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ft Clicks (10 cps)" sheetId="1" r:id="rId5"/>
    <sheet state="visible" name="Fast Clicks (15 cps)" sheetId="2" r:id="rId6"/>
    <sheet state="visible" name="Ultra Clicks (200 cps)" sheetId="3" r:id="rId7"/>
    <sheet state="visible" name="Upgrades" sheetId="4" r:id="rId8"/>
    <sheet state="visible" name="New Routes" sheetId="5" r:id="rId9"/>
    <sheet state="hidden" name="Routes" sheetId="6" r:id="rId10"/>
  </sheets>
  <definedNames/>
  <calcPr/>
</workbook>
</file>

<file path=xl/sharedStrings.xml><?xml version="1.0" encoding="utf-8"?>
<sst xmlns="http://schemas.openxmlformats.org/spreadsheetml/2006/main" count="2279" uniqueCount="65">
  <si>
    <t>Buildings</t>
  </si>
  <si>
    <t>Base Price</t>
  </si>
  <si>
    <t>Cps</t>
  </si>
  <si>
    <t>Cursor</t>
  </si>
  <si>
    <t>Grandma</t>
  </si>
  <si>
    <t>Farm</t>
  </si>
  <si>
    <t>Factory</t>
  </si>
  <si>
    <t>Mine</t>
  </si>
  <si>
    <t>Shipment</t>
  </si>
  <si>
    <t>Alchemy</t>
  </si>
  <si>
    <t>Portal</t>
  </si>
  <si>
    <t>Time</t>
  </si>
  <si>
    <t>Antimatter</t>
  </si>
  <si>
    <t>Prism</t>
  </si>
  <si>
    <t>Final Times:</t>
  </si>
  <si>
    <t>Δt:</t>
  </si>
  <si>
    <t>#</t>
  </si>
  <si>
    <t>Old Route</t>
  </si>
  <si>
    <t>Impossible</t>
  </si>
  <si>
    <t>Build cps</t>
  </si>
  <si>
    <t>Total cps</t>
  </si>
  <si>
    <t>Build Price</t>
  </si>
  <si>
    <t>Real Cost</t>
  </si>
  <si>
    <t>Seconds</t>
  </si>
  <si>
    <t>Time Passed</t>
  </si>
  <si>
    <t>Cookies</t>
  </si>
  <si>
    <t>Δ Time</t>
  </si>
  <si>
    <t>Δ Cookies</t>
  </si>
  <si>
    <t>New Route</t>
  </si>
  <si>
    <t>Start</t>
  </si>
  <si>
    <t>0s</t>
  </si>
  <si>
    <t>Crono:</t>
  </si>
  <si>
    <t>Route:</t>
  </si>
  <si>
    <t>Your Username:</t>
  </si>
  <si>
    <t>Cps:</t>
  </si>
  <si>
    <t>SELECT YOUR MOUSE CPS</t>
  </si>
  <si>
    <t>Cursor
Farm
Cursor
Farm
Cursor
Farm
Grandma
Farm
Cursor
Grandma
Farm
Grandma
Cursor
Farm
Grandma
Cursor
Farm
Cursor
Grandma
Farm
Factory
Cursor
Factory
Mine
Mine
Farm
Grandma
Mine
Factory
Farm
Mine
Cursor
Grandma
Factory
Mine
Farm
Cursor
Shipment
Grandma
Factory
Mine
Shipment
Farm
Cursor
Grandma
Factory
Mine
Shipment
Farm
Shipment
Mine
Cursor
Factory
Grandma
Alchemy
Shipment
Alchemy
Farm
Mine
Factory
Alchemy
Cursor
Grandma
Shipment
Farm
Alchemy
Sell_Alchemy
Sell_Alchemy
Sell_Alchemy
Sell_Shipment
Sell_Shipment
Sell_Shipment
Sell_Shipment
Sell_Shipment
Sell_Shipment
Sell_Alchemy
Portal
Shipment
Shipment
Alchemy
Sell_Alchemy
Sell_Shipment
Sell_Shipment
Portal
Shipment
Shipment
Sell_Shipment
Sell_Shipment
Portal
Shipment
Shipment
Portal
Alchemy
Shipment
Portal
Alchemy
Portal
Shipment
Alchemy
Portal
Shipment
Portal
Alchemy
Shipment
Portal
Mine
Alchemy
Factory
Shipment
Cursor
Grandma
Portal
Alchemy
Mine
Farm
Factory
Shipment
Cursor
Grandma
Portal
Alchemy
Mine
Farm
Factory
Shipment
Cursor
Grandma
Portal
Alchemy
Mine
Farm
Factory
Shipment
Cursor
Grandma
Portal
Alchemy
Mine
Farm
Factory
Shipment
Cursor
Grandma
Portal
Alchemy
Mine
Farm
Factory
Cursor
Shipment
Grandma
Portal
Alchemy
Mine
Farm
Factory
Cursor
Shipment
Grandma
Portal
Sell_Portal
Sell_Alchemy
Sell_Shipment
Sell_Shipment
Sell_Shipment
Sell_Shipment
Sell_Shipment
Sell_Shipment
Sell_Shipment
Sell_Alchemy
Sell_Shipment
Sell_Shipment
Sell_Shipment
Sell_Shipment
Sell_Shipment
Sell_Shipment
Sell_Alchemy
Sell_Alchemy
Sell_Alchemy
Sell_Alchemy
Sell_Alchemy
Sell_Alchemy
Sell_Alchemy
Sell_Alchemy
Sell_Alchemy
Sell_Portal
Sell_Portal
Sell_Portal
Sell_Portal
Sell_Portal
Time
Shipment
Shipment
Alchemy
Shipment
Alchemy
Shipment
Alchemy
Shipment
Alchemy
Shipment
Alchemy
Shipment
Alchemy
Portal
Shipment
Alchemy
Portal
Shipment
Alchemy
Portal
Shipment
Alchemy
Portal
Shipment
Alchemy
Portal
Shipment
Alchemy
Portal
Sell_Portal
Sell_Shipment
Sell_Shipment
Sell_Shipment
Sell_Shipment
Sell_Shipment
Sell_Shipment
Sell_Shipment
Sell_Shipment
Sell_Shipment
Sell_Shipment
Sell_Shipment
Sell_Shipment
Sell_Alchemy
Sell_Alchemy
Sell_Alchemy
Sell_Alchemy
Sell_Alchemy
Sell_Alchemy
Sell_Alchemy
Sell_Alchemy
Sell_Alchemy
Sell_Alchemy
Sell_Alchemy
Sell_Portal
Sell_Portal
Sell_Portal
Sell_Portal
Time
Shipment
Shipment
Alchemy
Shipment
Alchemy
Shipment
Alchemy
Shipment
Alchemy
Shipment
Alchemy
Shipment
Alchemy
Shipment
Alchemy
Portal
Shipment
Alchemy
Portal
Shipment
Alchemy
Portal
Shipment
Alchemy
Portal
Shipment
Alchemy
Portal
Shipment
Sell_Portal
Sell_Shipment
Sell_Shipment
Sell_Shipment
Sell_Shipment
Sell_Shipment
Sell_Shipment
Sell_Shipment
Sell_Shipment
Sell_Shipment
Sell_Shipment
Sell_Shipment
Sell_Shipment
Sell_Shipment
Sell_Alchemy
Sell_Alchemy
Sell_Alchemy
Sell_Alchemy
Sell_Alchemy
Sell_Alchemy
Sell_Alchemy
Sell_Alchemy
Sell_Alchemy
Sell_Alchemy
Sell_Alchemy
Sell_Portal
Sell_Portal
Sell_Portal
Time
Shipment
Shipment
Alchemy
Shipment
Alchemy
Shipment
Alchemy
Shipment
Alchemy
Shipment
Alchemy
Shipment
Alchemy
Shipment
Alchemy
Shipment
Alchemy
Shipment
Alchemy
Portal
Shipment
Alchemy
Portal
Shipment
Alchemy
Portal
Shipment
Alchemy
Mine
Farm
Portal
Factory
Cursor
Shipment
Grandma
Alchemy
Mine
Farm
Portal
Factory
Cursor
Shipment
Grandma
Alchemy
Mine
Farm
Portal
Factory
Cursor
Shipment
Grandma
Alchemy
Mine
Farm
Portal
Factory
Cursor
Shipment
Grandma
Sell_Portal
Sell_Shipment
Sell_Shipment
Sell_Shipment
Sell_Shipment
Sell_Shipment
Sell_Shipment
Sell_Shipment
Sell_Shipment
Sell_Shipment
Sell_Shipment
Sell_Shipment
Sell_Shipment
Sell_Shipment
Sell_Shipment
Sell_Shipment
Sell_Shipment
Sell_Shipment
Sell_Alchemy
Sell_Alchemy
Sell_Alchemy
Sell_Alchemy
Sell_Alchemy
Sell_Alchemy
Sell_Alchemy
Sell_Alchemy
Sell_Alchemy
Sell_Alchemy
Sell_Alchemy
Sell_Alchemy
Sell_Alchemy
Sell_Alchemy
Sell_Alchemy
Sell_Portal
Sell_Portal
Time
Shipment
Shipment
Alchemy
Shipment
Alchemy
Shipment
Alchemy
Shipment
Alchemy
Shipment
Alchemy
Shipment
Alchemy
Shipment
Alchemy
Shipment
Alchemy
Shipment
Alchemy
Shipment
Alchemy
Shipment
Alchemy
Shipment
Alchemy
Shipment
Alchemy
Portal
Shipment
Alchemy
Portal
Shipment
Alchemy
Portal
Shipment
Alchemy
Mine
Portal
Farm
Factory
Cursor
Shipment
Grandma
Alchemy
Mine
Portal
Farm
Factory
Cursor
Shipment
Grandma
Alchemy
Mine
Portal
Farm
Factory
Cursor
Shipment
Grandma
Alchemy
Mine
Farm
Factory
Cursor
Shipment
Grandma
Alchemy
Mine
Farm
Factory
Cursor
Shipment
Grandma
Alchemy
Mine
Farm
Factory
Cursor
Shipment
Grandma
Alchemy
Mine
Farm
Factory
Cursor
Shipment
Grandma
Mine
Farm
Factory
Cursor
Shipment
Grandma
Shipment
Grandma
Mine
Farm
Factory
Cursor
Alchemy
Grandma
Mine
Farm
Factory
Cursor
Shipment
Grandma
Mine
Farm
Factory
Cursor
Grandma
Mine
Farm
Factory
Cursor</t>
  </si>
  <si>
    <t>Lookas123</t>
  </si>
  <si>
    <t>Left Clicks (10 cps)</t>
  </si>
  <si>
    <t>Alternative</t>
  </si>
  <si>
    <t>Farm
Farm
Farm
Grandma
Cursor
Cursor
Cursor
Farm
Grandma
Cursor
Farm
Grandma
Cursor
Farm
Grandma
Cursor
Farm
Grandma
Cursor
Farm
Factory
Factory
Mine
Mine
Mine
Factory
Farm
Grandma
Cursor
Cursor
Mine
Factory
Farm
Grandma
Cursor
Mine
Shipment
Factory
Mine
Farm
Grandma
Shipment
Factory
Mine
Farm
Grandma
Shipment
Factory
Shipment
Mine
Farm
Alchemy
Shipment
Alchemy
Alchemy
Factory
Mine
Farm
Alchemy
Portal
Portal
Portal
Portal
Portal
Portal
Portal
Portal
Alchemy
Shipment
Portal
Alchemy
Shipment
Mine
Factory
Farm
Portal
Alchemy
Shipment
Mine
Factory
Farm
Portal
Alchemy
Shipment
Mine
Factory
Farm
Portal
Alchemy
Shipment
Mine
Factory
Farm
Portal
Alchemy
Shipment
Mine
Factory
Farm
Portal
Alchemy
Shipment
Mine
Factory
Farm
Portal
Alchemy
Shipment
Mine
Factory
Farm
Portal
Time_Machine
Time_Machine
Time_Machine
Alchemy
Time_Machine
Portal
Shipment
Alchemy
Portal
Shipment
Alchemy
Portal
Shipment
Alchemy
Portal
Shipment
Alchemy
Portal
Shipment
Alchemy
Portal
Shipment
Alchemy
Portal
Shipment
Alchemy
Portal
Shipment
Alchemy
Shipment
Alchemy
Shipment
Alchemy
Shipment
Alchemy
Shipment
Alchemy
Shipment
Alchemy
Shipment
Alchemy
Shipment
Shipment
Shipment
Shipment</t>
  </si>
  <si>
    <t>dha</t>
  </si>
  <si>
    <t>Left clicks (10 cps)</t>
  </si>
  <si>
    <t>Did you find a better route?</t>
  </si>
  <si>
    <t xml:space="preserve">INSTRUCTIONS: Create a copy of the spreadsheet. </t>
  </si>
  <si>
    <t>You can change the "New Route" actions, adding, removing,</t>
  </si>
  <si>
    <t>switching them and see if you get better numbers over time.</t>
  </si>
  <si>
    <t>You will have real-time cookies and time comparisons.</t>
  </si>
  <si>
    <t>WARNING: Never cut things (Ctrl+X), always copy (Ctrl+C).</t>
  </si>
  <si>
    <t>Don't add or remove any row. If you need more rows, you</t>
  </si>
  <si>
    <t>need to extend all the formulas, if you know how to do it.</t>
  </si>
  <si>
    <t>The Checkmark at the right of Δ Cookies is for switching the</t>
  </si>
  <si>
    <t>comparison method, might be useful if you get weird deltas.</t>
  </si>
  <si>
    <t>To sell things do Sell_Grandma, Sell_Cursor, Sell-Time etc.</t>
  </si>
  <si>
    <t>Available Actions:</t>
  </si>
  <si>
    <t>(Buy / Sell)</t>
  </si>
  <si>
    <t>Last updated: 25/03/2022</t>
  </si>
  <si>
    <t>Best Route by: dha</t>
  </si>
  <si>
    <t>SUBMIT</t>
  </si>
  <si>
    <t>Sell_Mine</t>
  </si>
  <si>
    <t>Sell_Alchemy</t>
  </si>
  <si>
    <t>Sell_Shipment</t>
  </si>
  <si>
    <t>Sell_Farm</t>
  </si>
  <si>
    <t>Sell_Cursor</t>
  </si>
  <si>
    <t>Sell_Portal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</si>
</sst>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m/d/yyyy h:mm:ss"/>
    <numFmt numFmtId="166" formatCode="[h].mm.ss"/>
  </numFmts>
  <fonts count="24">
    <font>
      <sz val="10.0"/>
      <color rgb="FF000000"/>
      <name val="Arial"/>
      <scheme val="minor"/>
    </font>
    <font>
      <color theme="1"/>
      <name val="Arial"/>
      <scheme val="minor"/>
    </font>
    <font>
      <b/>
      <color theme="1"/>
      <name val="Arial"/>
    </font>
    <font>
      <color rgb="FF0000FF"/>
      <name val="Arial"/>
    </font>
    <font>
      <color rgb="FF0000FF"/>
      <name val="Arial"/>
      <scheme val="minor"/>
    </font>
    <font>
      <color theme="1"/>
      <name val="Arial"/>
    </font>
    <font>
      <sz val="11.0"/>
      <color rgb="FF3C78D8"/>
      <name val="Inconsolata"/>
    </font>
    <font>
      <b/>
      <color theme="1"/>
      <name val="Arial"/>
      <scheme val="minor"/>
    </font>
    <font>
      <b/>
      <sz val="10.0"/>
      <color theme="1"/>
      <name val="Arial"/>
      <scheme val="minor"/>
    </font>
    <font>
      <b/>
      <color rgb="FF0000FF"/>
      <name val="Arial"/>
      <scheme val="minor"/>
    </font>
    <font/>
    <font>
      <b/>
      <color rgb="FF351C75"/>
      <name val="Arial"/>
      <scheme val="minor"/>
    </font>
    <font>
      <b/>
      <color rgb="FF073763"/>
      <name val="Arial"/>
      <scheme val="minor"/>
    </font>
    <font>
      <b/>
      <color rgb="FFB45F06"/>
      <name val="Arial"/>
    </font>
    <font>
      <b/>
      <color rgb="FF3D85C6"/>
      <name val="Arial"/>
      <scheme val="minor"/>
    </font>
    <font>
      <b/>
      <color rgb="FFFF00FF"/>
      <name val="Arial"/>
    </font>
    <font>
      <b/>
      <color rgb="FF1C4587"/>
      <name val="Arial"/>
    </font>
    <font>
      <b/>
      <sz val="7.0"/>
      <color rgb="FFA4C2F4"/>
      <name val="Arial"/>
    </font>
    <font>
      <color rgb="FF6D9EEB"/>
      <name val="Arial"/>
      <scheme val="minor"/>
    </font>
    <font>
      <b/>
      <color rgb="FFA64D79"/>
      <name val="Arial"/>
    </font>
    <font>
      <b/>
      <color rgb="FFCC0000"/>
      <name val="Arial"/>
      <scheme val="minor"/>
    </font>
    <font>
      <sz val="10.0"/>
      <color rgb="FF000000"/>
      <name val="Arial"/>
    </font>
    <font>
      <b/>
      <u/>
      <color rgb="FF1155CC"/>
    </font>
    <font>
      <sz val="11.0"/>
      <color rgb="FF000000"/>
      <name val="Inconsolata"/>
    </font>
  </fonts>
  <fills count="4">
    <fill>
      <patternFill patternType="none"/>
    </fill>
    <fill>
      <patternFill patternType="lightGray"/>
    </fill>
    <fill>
      <patternFill patternType="solid">
        <fgColor rgb="FFC9DAF8"/>
        <bgColor rgb="FFC9DAF8"/>
      </patternFill>
    </fill>
    <fill>
      <patternFill patternType="solid">
        <fgColor rgb="FFFFFFFF"/>
        <bgColor rgb="FFFFFFFF"/>
      </patternFill>
    </fill>
  </fills>
  <borders count="14">
    <border/>
    <border>
      <right style="thin">
        <color rgb="FF000000"/>
      </right>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1" xfId="0" applyFont="1" applyNumberFormat="1"/>
    <xf borderId="0" fillId="0" fontId="1" numFmtId="2" xfId="0" applyFont="1" applyNumberFormat="1"/>
    <xf borderId="0" fillId="2" fontId="2" numFmtId="0" xfId="0" applyAlignment="1" applyFill="1" applyFont="1">
      <alignment readingOrder="0" vertical="bottom"/>
    </xf>
    <xf borderId="0" fillId="2" fontId="3" numFmtId="0" xfId="0" applyAlignment="1" applyFont="1">
      <alignment horizontal="left" readingOrder="0" vertical="bottom"/>
    </xf>
    <xf borderId="0" fillId="2" fontId="4" numFmtId="0" xfId="0" applyAlignment="1" applyFont="1">
      <alignment horizontal="left" readingOrder="0"/>
    </xf>
    <xf borderId="0" fillId="0" fontId="2" numFmtId="0" xfId="0" applyAlignment="1" applyFont="1">
      <alignment readingOrder="0" vertical="bottom"/>
    </xf>
    <xf borderId="0" fillId="0" fontId="3" numFmtId="0" xfId="0" applyAlignment="1" applyFont="1">
      <alignment horizontal="left" readingOrder="0" vertical="bottom"/>
    </xf>
    <xf borderId="0" fillId="2" fontId="5" numFmtId="0" xfId="0" applyAlignment="1" applyFont="1">
      <alignment vertical="bottom"/>
    </xf>
    <xf borderId="0" fillId="0" fontId="5" numFmtId="0" xfId="0" applyAlignment="1" applyFont="1">
      <alignment vertical="bottom"/>
    </xf>
    <xf borderId="0" fillId="0" fontId="5" numFmtId="0" xfId="0" applyAlignment="1" applyFont="1">
      <alignment horizontal="left" readingOrder="0" vertical="bottom"/>
    </xf>
    <xf borderId="0" fillId="2" fontId="1" numFmtId="0" xfId="0" applyFont="1"/>
    <xf borderId="0" fillId="3" fontId="6" numFmtId="2" xfId="0" applyAlignment="1" applyFill="1" applyFont="1" applyNumberFormat="1">
      <alignment horizontal="center" vertical="center"/>
    </xf>
    <xf borderId="0" fillId="2" fontId="1" numFmtId="0" xfId="0" applyAlignment="1" applyFont="1">
      <alignment readingOrder="0"/>
    </xf>
    <xf borderId="0" fillId="0" fontId="1" numFmtId="0" xfId="0" applyAlignment="1" applyFont="1">
      <alignment readingOrder="0"/>
    </xf>
    <xf borderId="0" fillId="2" fontId="1" numFmtId="0" xfId="0" applyAlignment="1" applyFont="1">
      <alignment horizontal="left" readingOrder="0"/>
    </xf>
    <xf borderId="0" fillId="0" fontId="1" numFmtId="0" xfId="0" applyAlignment="1" applyFont="1">
      <alignment horizontal="left" readingOrder="0"/>
    </xf>
    <xf borderId="0" fillId="2" fontId="5" numFmtId="0" xfId="0" applyAlignment="1" applyFont="1">
      <alignment readingOrder="0" vertical="bottom"/>
    </xf>
    <xf borderId="0" fillId="2" fontId="1" numFmtId="0" xfId="0" applyAlignment="1" applyFont="1">
      <alignment horizontal="left"/>
    </xf>
    <xf borderId="0" fillId="2" fontId="5" numFmtId="2" xfId="0" applyAlignment="1" applyFont="1" applyNumberFormat="1">
      <alignment vertical="bottom"/>
    </xf>
    <xf borderId="0" fillId="2" fontId="5" numFmtId="1" xfId="0" applyAlignment="1" applyFont="1" applyNumberFormat="1">
      <alignment vertical="bottom"/>
    </xf>
    <xf borderId="0" fillId="2" fontId="7" numFmtId="0" xfId="0" applyAlignment="1" applyFont="1">
      <alignment horizontal="left" readingOrder="0"/>
    </xf>
    <xf borderId="1" fillId="2" fontId="8" numFmtId="0" xfId="0" applyAlignment="1" applyBorder="1" applyFont="1">
      <alignment horizontal="center" readingOrder="0" vertical="center"/>
    </xf>
    <xf borderId="0" fillId="2" fontId="7" numFmtId="0" xfId="0" applyAlignment="1" applyFont="1">
      <alignment horizontal="left"/>
    </xf>
    <xf borderId="0" fillId="2" fontId="3" numFmtId="0" xfId="0" applyAlignment="1" applyFont="1">
      <alignment vertical="bottom"/>
    </xf>
    <xf borderId="2" fillId="2" fontId="9" numFmtId="0" xfId="0" applyAlignment="1" applyBorder="1" applyFont="1">
      <alignment horizontal="center" readingOrder="0" vertical="center"/>
    </xf>
    <xf borderId="3" fillId="2" fontId="9" numFmtId="0" xfId="0" applyAlignment="1" applyBorder="1" applyFont="1">
      <alignment horizontal="center" readingOrder="0" vertical="center"/>
    </xf>
    <xf borderId="4" fillId="0" fontId="10" numFmtId="0" xfId="0" applyBorder="1" applyFont="1"/>
    <xf borderId="5" fillId="2" fontId="8" numFmtId="0" xfId="0" applyAlignment="1" applyBorder="1" applyFont="1">
      <alignment horizontal="center" readingOrder="0" vertical="center"/>
    </xf>
    <xf borderId="0" fillId="0" fontId="11" numFmtId="0" xfId="0" applyAlignment="1" applyFont="1">
      <alignment horizontal="left" readingOrder="0"/>
    </xf>
    <xf borderId="0" fillId="0" fontId="12" numFmtId="14" xfId="0" applyAlignment="1" applyFont="1" applyNumberFormat="1">
      <alignment horizontal="left"/>
    </xf>
    <xf borderId="0" fillId="0" fontId="9" numFmtId="14" xfId="0" applyAlignment="1" applyFont="1" applyNumberFormat="1">
      <alignment horizontal="left"/>
    </xf>
    <xf borderId="0" fillId="2" fontId="3" numFmtId="14" xfId="0" applyAlignment="1" applyFont="1" applyNumberFormat="1">
      <alignment vertical="bottom"/>
    </xf>
    <xf borderId="5" fillId="2" fontId="7" numFmtId="4" xfId="0" applyAlignment="1" applyBorder="1" applyFont="1" applyNumberFormat="1">
      <alignment horizontal="center" readingOrder="0" vertical="center"/>
    </xf>
    <xf borderId="0" fillId="2" fontId="2" numFmtId="0" xfId="0" applyAlignment="1" applyFont="1">
      <alignment vertical="bottom"/>
    </xf>
    <xf borderId="0" fillId="0" fontId="13" numFmtId="0" xfId="0" applyAlignment="1" applyFont="1">
      <alignment horizontal="right" readingOrder="0" vertical="bottom"/>
    </xf>
    <xf borderId="0" fillId="0" fontId="13" numFmtId="0" xfId="0" applyAlignment="1" applyFont="1">
      <alignment readingOrder="0" vertical="bottom"/>
    </xf>
    <xf borderId="0" fillId="0" fontId="13" numFmtId="0" xfId="0" applyAlignment="1" applyFont="1">
      <alignment horizontal="left" readingOrder="0" vertical="bottom"/>
    </xf>
    <xf borderId="0" fillId="0" fontId="14" numFmtId="0" xfId="0" applyAlignment="1" applyFont="1">
      <alignment horizontal="left" readingOrder="0"/>
    </xf>
    <xf borderId="0" fillId="0" fontId="9" numFmtId="0" xfId="0" applyAlignment="1" applyFont="1">
      <alignment horizontal="left"/>
    </xf>
    <xf borderId="0" fillId="0" fontId="15" numFmtId="2" xfId="0" applyAlignment="1" applyFont="1" applyNumberFormat="1">
      <alignment horizontal="center" readingOrder="0" vertical="bottom"/>
    </xf>
    <xf borderId="0" fillId="0" fontId="15" numFmtId="1" xfId="0" applyAlignment="1" applyFont="1" applyNumberFormat="1">
      <alignment horizontal="center" readingOrder="0" vertical="bottom"/>
    </xf>
    <xf borderId="0" fillId="0" fontId="16" numFmtId="2" xfId="0" applyAlignment="1" applyFont="1" applyNumberFormat="1">
      <alignment horizontal="center" readingOrder="0" vertical="bottom"/>
    </xf>
    <xf borderId="0" fillId="0" fontId="16" numFmtId="1" xfId="0" applyAlignment="1" applyFont="1" applyNumberFormat="1">
      <alignment horizontal="center" readingOrder="0" vertical="bottom"/>
    </xf>
    <xf borderId="0" fillId="0" fontId="17" numFmtId="0" xfId="0" applyAlignment="1" applyFont="1">
      <alignment horizontal="center" readingOrder="0" vertical="center"/>
    </xf>
    <xf borderId="0" fillId="0" fontId="18" numFmtId="14" xfId="0" applyAlignment="1" applyFont="1" applyNumberFormat="1">
      <alignment horizontal="left" readingOrder="0"/>
    </xf>
    <xf borderId="0" fillId="0" fontId="19" numFmtId="0" xfId="0" applyAlignment="1" applyFont="1">
      <alignment horizontal="left" readingOrder="0" vertical="bottom"/>
    </xf>
    <xf borderId="0" fillId="0" fontId="18" numFmtId="14" xfId="0" applyAlignment="1" applyFont="1" applyNumberFormat="1">
      <alignment horizontal="left"/>
    </xf>
    <xf borderId="0" fillId="0" fontId="19" numFmtId="164" xfId="0" applyAlignment="1" applyFont="1" applyNumberFormat="1">
      <alignment horizontal="left" readingOrder="0" vertical="bottom"/>
    </xf>
    <xf borderId="0" fillId="0" fontId="20" numFmtId="14" xfId="0" applyAlignment="1" applyFont="1" applyNumberFormat="1">
      <alignment horizontal="left"/>
    </xf>
    <xf borderId="6" fillId="0" fontId="10" numFmtId="0" xfId="0" applyBorder="1" applyFont="1"/>
    <xf borderId="7" fillId="0" fontId="10" numFmtId="0" xfId="0" applyBorder="1" applyFont="1"/>
    <xf borderId="0" fillId="2" fontId="5" numFmtId="14" xfId="0" applyAlignment="1" applyFont="1" applyNumberFormat="1">
      <alignment vertical="bottom"/>
    </xf>
    <xf borderId="8" fillId="0" fontId="10" numFmtId="0" xfId="0" applyBorder="1" applyFont="1"/>
    <xf borderId="9" fillId="0" fontId="10" numFmtId="0" xfId="0" applyBorder="1" applyFont="1"/>
    <xf borderId="0" fillId="0" fontId="1" numFmtId="0" xfId="0" applyFont="1"/>
    <xf borderId="0" fillId="3" fontId="21" numFmtId="0" xfId="0" applyFont="1"/>
    <xf borderId="0" fillId="0" fontId="5" numFmtId="0" xfId="0" applyAlignment="1" applyFont="1">
      <alignment vertical="bottom"/>
    </xf>
    <xf borderId="0" fillId="0" fontId="5" numFmtId="2" xfId="0" applyAlignment="1" applyFont="1" applyNumberFormat="1">
      <alignment horizontal="left" readingOrder="0" vertical="bottom"/>
    </xf>
    <xf borderId="0" fillId="0" fontId="5" numFmtId="0" xfId="0" applyAlignment="1" applyFont="1">
      <alignment horizontal="left" vertical="bottom"/>
    </xf>
    <xf borderId="0" fillId="0" fontId="2" numFmtId="2" xfId="0" applyAlignment="1" applyFont="1" applyNumberFormat="1">
      <alignment horizontal="center" readingOrder="0" vertical="bottom"/>
    </xf>
    <xf borderId="0" fillId="0" fontId="2" numFmtId="1" xfId="0" applyAlignment="1" applyFont="1" applyNumberFormat="1">
      <alignment horizontal="center" readingOrder="0" vertical="bottom"/>
    </xf>
    <xf borderId="0" fillId="3" fontId="5" numFmtId="0" xfId="0" applyAlignment="1" applyFont="1">
      <alignment vertical="bottom"/>
    </xf>
    <xf borderId="0" fillId="2" fontId="2" numFmtId="0" xfId="0" applyAlignment="1" applyFont="1">
      <alignment horizontal="left" readingOrder="0" vertical="bottom"/>
    </xf>
    <xf borderId="0" fillId="2" fontId="1" numFmtId="0" xfId="0" applyAlignment="1" applyFont="1">
      <alignment horizontal="left" readingOrder="0" shrinkToFit="0" wrapText="1"/>
    </xf>
    <xf borderId="0" fillId="2" fontId="5" numFmtId="0" xfId="0" applyAlignment="1" applyFont="1">
      <alignment vertical="bottom"/>
    </xf>
    <xf borderId="0" fillId="0" fontId="5" numFmtId="164" xfId="0" applyAlignment="1" applyFont="1" applyNumberFormat="1">
      <alignment horizontal="left" vertical="bottom"/>
    </xf>
    <xf borderId="0" fillId="0" fontId="5" numFmtId="0" xfId="0" applyAlignment="1" applyFont="1">
      <alignment readingOrder="0" vertical="bottom"/>
    </xf>
    <xf borderId="0" fillId="0" fontId="5" numFmtId="2" xfId="0" applyAlignment="1" applyFont="1" applyNumberFormat="1">
      <alignment horizontal="left" vertical="bottom"/>
    </xf>
    <xf borderId="0" fillId="0" fontId="5" numFmtId="3" xfId="0" applyAlignment="1" applyFont="1" applyNumberFormat="1">
      <alignment horizontal="left" vertical="bottom"/>
    </xf>
    <xf borderId="0" fillId="0" fontId="7" numFmtId="0" xfId="0" applyAlignment="1" applyFont="1">
      <alignment horizontal="left" readingOrder="0" vertical="top"/>
    </xf>
    <xf borderId="0" fillId="0" fontId="7" numFmtId="0" xfId="0" applyAlignment="1" applyFont="1">
      <alignment readingOrder="0" vertical="top"/>
    </xf>
    <xf borderId="0" fillId="0" fontId="1" numFmtId="165" xfId="0" applyAlignment="1" applyFont="1" applyNumberFormat="1">
      <alignment readingOrder="0"/>
    </xf>
    <xf borderId="10" fillId="2" fontId="8" numFmtId="0" xfId="0" applyAlignment="1" applyBorder="1" applyFont="1">
      <alignment horizontal="left" readingOrder="0"/>
    </xf>
    <xf borderId="10" fillId="0" fontId="10" numFmtId="0" xfId="0" applyBorder="1" applyFont="1"/>
    <xf borderId="0" fillId="0" fontId="1" numFmtId="0" xfId="0" applyAlignment="1" applyFont="1">
      <alignment horizontal="left" readingOrder="0" vertical="top"/>
    </xf>
    <xf borderId="0" fillId="0" fontId="1" numFmtId="0" xfId="0" applyAlignment="1" applyFont="1">
      <alignment readingOrder="0" vertical="top"/>
    </xf>
    <xf borderId="11" fillId="2" fontId="9" numFmtId="0" xfId="0" applyAlignment="1" applyBorder="1" applyFont="1">
      <alignment horizontal="center" readingOrder="0"/>
    </xf>
    <xf borderId="0" fillId="0" fontId="1" numFmtId="0" xfId="0" applyAlignment="1" applyFont="1">
      <alignment horizontal="left" vertical="top"/>
    </xf>
    <xf borderId="0" fillId="0" fontId="1" numFmtId="0" xfId="0" applyAlignment="1" applyFont="1">
      <alignment vertical="top"/>
    </xf>
    <xf borderId="2" fillId="2" fontId="2" numFmtId="0" xfId="0" applyAlignment="1" applyBorder="1" applyFont="1">
      <alignment shrinkToFit="0" vertical="bottom" wrapText="0"/>
    </xf>
    <xf borderId="2" fillId="2" fontId="2" numFmtId="0" xfId="0" applyAlignment="1" applyBorder="1" applyFont="1">
      <alignment vertical="bottom"/>
    </xf>
    <xf borderId="4" fillId="2" fontId="5" numFmtId="0" xfId="0" applyAlignment="1" applyBorder="1" applyFont="1">
      <alignment vertical="bottom"/>
    </xf>
    <xf borderId="0" fillId="2" fontId="2" numFmtId="0" xfId="0" applyAlignment="1" applyFont="1">
      <alignment shrinkToFit="0" vertical="bottom" wrapText="0"/>
    </xf>
    <xf borderId="0" fillId="2" fontId="2" numFmtId="0" xfId="0" applyAlignment="1" applyFont="1">
      <alignment vertical="bottom"/>
    </xf>
    <xf borderId="1" fillId="2" fontId="5" numFmtId="0" xfId="0" applyAlignment="1" applyBorder="1" applyFont="1">
      <alignment vertical="bottom"/>
    </xf>
    <xf borderId="7" fillId="2" fontId="2" numFmtId="0" xfId="0" applyAlignment="1" applyBorder="1" applyFont="1">
      <alignment shrinkToFit="0" vertical="bottom" wrapText="0"/>
    </xf>
    <xf borderId="7" fillId="2" fontId="2" numFmtId="0" xfId="0" applyAlignment="1" applyBorder="1" applyFont="1">
      <alignment vertical="bottom"/>
    </xf>
    <xf borderId="6" fillId="2" fontId="5" numFmtId="0" xfId="0" applyAlignment="1" applyBorder="1" applyFont="1">
      <alignment vertical="bottom"/>
    </xf>
    <xf borderId="2" fillId="2" fontId="2" numFmtId="0" xfId="0" applyAlignment="1" applyBorder="1" applyFont="1">
      <alignment shrinkToFit="0" vertical="bottom" wrapText="0"/>
    </xf>
    <xf borderId="2" fillId="2" fontId="2" numFmtId="0" xfId="0" applyAlignment="1" applyBorder="1" applyFont="1">
      <alignment vertical="bottom"/>
    </xf>
    <xf borderId="4" fillId="2" fontId="5" numFmtId="0" xfId="0" applyAlignment="1" applyBorder="1" applyFont="1">
      <alignment vertical="bottom"/>
    </xf>
    <xf borderId="10" fillId="2" fontId="2" numFmtId="0" xfId="0" applyAlignment="1" applyBorder="1" applyFont="1">
      <alignment shrinkToFit="0" vertical="bottom" wrapText="0"/>
    </xf>
    <xf borderId="10" fillId="2" fontId="2" numFmtId="0" xfId="0" applyAlignment="1" applyBorder="1" applyFont="1">
      <alignment vertical="bottom"/>
    </xf>
    <xf borderId="12" fillId="2" fontId="5" numFmtId="0" xfId="0" applyAlignment="1" applyBorder="1" applyFont="1">
      <alignment vertical="bottom"/>
    </xf>
    <xf borderId="2" fillId="2" fontId="7" numFmtId="0" xfId="0" applyAlignment="1" applyBorder="1" applyFont="1">
      <alignment horizontal="left" readingOrder="0"/>
    </xf>
    <xf borderId="4" fillId="2" fontId="7" numFmtId="0" xfId="0" applyAlignment="1" applyBorder="1" applyFont="1">
      <alignment horizontal="left" readingOrder="0"/>
    </xf>
    <xf borderId="1" fillId="2" fontId="1" numFmtId="0" xfId="0" applyAlignment="1" applyBorder="1" applyFont="1">
      <alignment horizontal="left" readingOrder="0"/>
    </xf>
    <xf borderId="7" fillId="2" fontId="1" numFmtId="0" xfId="0" applyAlignment="1" applyBorder="1" applyFont="1">
      <alignment horizontal="left" readingOrder="0"/>
    </xf>
    <xf borderId="6" fillId="2" fontId="1" numFmtId="0" xfId="0" applyAlignment="1" applyBorder="1" applyFont="1">
      <alignment horizontal="left" readingOrder="0"/>
    </xf>
    <xf borderId="7" fillId="2" fontId="7" numFmtId="0" xfId="0" applyAlignment="1" applyBorder="1" applyFont="1">
      <alignment horizontal="left" readingOrder="0"/>
    </xf>
    <xf borderId="6" fillId="2" fontId="7" numFmtId="0" xfId="0" applyAlignment="1" applyBorder="1" applyFont="1">
      <alignment horizontal="left" readingOrder="0"/>
    </xf>
    <xf borderId="10" fillId="2" fontId="22" numFmtId="0" xfId="0" applyAlignment="1" applyBorder="1" applyFont="1">
      <alignment horizontal="center" readingOrder="0"/>
    </xf>
    <xf borderId="12" fillId="0" fontId="10" numFmtId="0" xfId="0" applyBorder="1" applyFont="1"/>
    <xf borderId="0" fillId="3" fontId="23" numFmtId="0" xfId="0" applyAlignment="1" applyFont="1">
      <alignment readingOrder="0"/>
    </xf>
    <xf borderId="0" fillId="3" fontId="5" numFmtId="0" xfId="0" applyAlignment="1" applyFont="1">
      <alignment readingOrder="0" vertical="bottom"/>
    </xf>
    <xf borderId="0" fillId="0" fontId="1" numFmtId="166" xfId="0" applyAlignment="1" applyFont="1" applyNumberFormat="1">
      <alignment readingOrder="0"/>
    </xf>
    <xf borderId="13" fillId="3" fontId="5" numFmtId="0" xfId="0" applyAlignment="1" applyBorder="1" applyFont="1">
      <alignment readingOrder="0" shrinkToFit="0" vertical="bottom" wrapText="0"/>
    </xf>
  </cellXfs>
  <cellStyles count="1">
    <cellStyle xfId="0" name="Normal" builtinId="0"/>
  </cellStyles>
  <dxfs count="5">
    <dxf>
      <font>
        <color rgb="FF01CA01"/>
      </font>
      <fill>
        <patternFill patternType="none"/>
      </fill>
      <border/>
    </dxf>
    <dxf>
      <font>
        <color rgb="FFEB0000"/>
      </font>
      <fill>
        <patternFill patternType="none"/>
      </fill>
      <border/>
    </dxf>
    <dxf>
      <font>
        <b/>
        <color rgb="FFFF0000"/>
      </font>
      <fill>
        <patternFill patternType="solid">
          <fgColor rgb="FFFFF8CF"/>
          <bgColor rgb="FFFFF8CF"/>
        </patternFill>
      </fill>
      <border/>
    </dxf>
    <dxf>
      <font>
        <b/>
        <color rgb="FF01CA01"/>
      </font>
      <fill>
        <patternFill patternType="none"/>
      </fill>
      <border/>
    </dxf>
    <dxf>
      <font>
        <b/>
        <color rgb="FFEB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orms.gle/eng9EcTqgJyoqrcv8"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orms.gle/eng9EcTqgJyoqrcv8"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forms.gle/eng9EcTqgJyoqrcv8"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
    <col customWidth="1" min="2" max="2" width="3.0"/>
    <col customWidth="1" min="3" max="3" width="12.0"/>
    <col customWidth="1" hidden="1" min="4" max="4" width="10.63"/>
    <col customWidth="1" hidden="1" min="5" max="5" width="10.0"/>
    <col customWidth="1" min="6" max="6" width="8.63"/>
    <col customWidth="1" hidden="1" min="7" max="7" width="10.13"/>
    <col customWidth="1" hidden="1" min="8" max="8" width="12.5"/>
    <col customWidth="1" min="9" max="9" width="8.63"/>
    <col customWidth="1" hidden="1" min="10" max="10" width="11.38"/>
    <col customWidth="1" min="11" max="11" width="10.75"/>
    <col customWidth="1" hidden="1" min="12" max="12" width="8.38"/>
    <col customWidth="1" hidden="1" min="13" max="13" width="14.13"/>
    <col customWidth="1" min="14" max="14" width="8.25"/>
    <col customWidth="1" min="15" max="15" width="8.88"/>
    <col customWidth="1" min="16" max="16" width="3.0"/>
    <col customWidth="1" min="17" max="17" width="12.0"/>
    <col customWidth="1" hidden="1" min="18" max="18" width="10.63"/>
    <col customWidth="1" min="19" max="20" width="8.63"/>
    <col customWidth="1" min="21" max="21" width="10.13"/>
    <col customWidth="1" hidden="1" min="22" max="22" width="12.5"/>
    <col customWidth="1" min="23" max="23" width="8.38"/>
    <col customWidth="1" min="24" max="24" width="11.38"/>
    <col customWidth="1" min="25" max="25" width="10.75"/>
    <col customWidth="1" min="26" max="26" width="2.0"/>
    <col customWidth="1" min="27" max="27" width="11.88"/>
    <col customWidth="1" min="28" max="28" width="11.38"/>
    <col customWidth="1" min="29" max="30" width="5.75"/>
    <col customWidth="1" min="31" max="31" width="4.63"/>
    <col customWidth="1" min="32" max="32" width="9.25"/>
    <col customWidth="1" min="33" max="33" width="2.0"/>
  </cols>
  <sheetData>
    <row r="1" ht="15.0" hidden="1" customHeight="1">
      <c r="M1" s="1"/>
      <c r="N1" s="2"/>
      <c r="O1" s="1"/>
      <c r="AB1" s="12">
        <f t="array" ref="AB1">INDEX(I$4:I1644,MATCH(LARGE(K$4:K1644,COUNTIF(K$4:K1644,"&gt;"&amp;1000000000)+1),K$4:K1644,1))+(1000000000-LARGE(K$4:K1644,COUNTIF(K$4:K1644,"&gt;"&amp;1000000000)+1))/INDEX(F$4:F1644,MATCH(LARGE(K$4:K1644,COUNTIF(K$4:K1644,"&gt;"&amp;1000000000)+1),K$4:K1644,1))</f>
        <v>7850.247863</v>
      </c>
      <c r="AC1" s="12">
        <f t="array" ref="AC1">INDEX(W$4:W1644,MATCH(LARGE(Y$4:Y1644,COUNTIF(Y$4:Y1644,"&gt;"&amp;1000000000)+1),Y$4:Y1644,1))+(1000000000-LARGE(Y$4:Y1644,COUNTIF(Y$4:Y1644,"&gt;"&amp;1000000000)+1))/INDEX(T$4:T1644,MATCH(LARGE(Y$4:Y1644,COUNTIF(Y$4:Y1644,"&gt;"&amp;1000000000)+1),Y$4:Y1644,1))</f>
        <v>7801.121057</v>
      </c>
      <c r="AF1" s="12">
        <f>AC1-AB1</f>
        <v>-49.12680596</v>
      </c>
    </row>
    <row r="2" ht="11.25" customHeight="1">
      <c r="A2" s="8"/>
      <c r="B2" s="8"/>
      <c r="C2" s="17"/>
      <c r="D2" s="8"/>
      <c r="E2" s="18"/>
      <c r="F2" s="18"/>
      <c r="G2" s="18"/>
      <c r="H2" s="18"/>
      <c r="I2" s="18"/>
      <c r="J2" s="18"/>
      <c r="K2" s="11"/>
      <c r="L2" s="19"/>
      <c r="M2" s="20"/>
      <c r="N2" s="19"/>
      <c r="O2" s="20"/>
      <c r="P2" s="8"/>
      <c r="Q2" s="8"/>
      <c r="R2" s="8"/>
      <c r="S2" s="18"/>
      <c r="T2" s="18"/>
      <c r="U2" s="18"/>
      <c r="V2" s="18"/>
      <c r="W2" s="18"/>
      <c r="X2" s="18"/>
      <c r="Y2" s="11"/>
      <c r="Z2" s="11"/>
      <c r="AA2" s="22" t="s">
        <v>14</v>
      </c>
      <c r="AB2" s="25" t="str">
        <f t="shared" ref="AB2:AC2" si="1">IF(AB1&gt;3600,TRUNC(AB1/3600)&amp;"h ","")&amp;IF(AB1&gt;59,IF(AND(AB1&gt;3599,QUOTIENT(MOD(AB1,3600),60)&lt;10),"0","")&amp;QUOTIENT(MOD(AB1,3600),60)&amp;"m ","")&amp;IF(AND(AB1&gt;=10,MOD(AB1,60)&lt;10),"0","")&amp;ROUNDDOWN(MOD(AB1,60),0)&amp;"s"</f>
        <v>2h 10m 50s</v>
      </c>
      <c r="AC2" s="26" t="str">
        <f t="shared" si="1"/>
        <v>2h 10m 01s</v>
      </c>
      <c r="AD2" s="27"/>
      <c r="AE2" s="28" t="s">
        <v>15</v>
      </c>
      <c r="AF2" s="33" t="str">
        <f>IF(AF1&gt;0,"+","")&amp;IF(ABS(AF1)&gt;3600,TRUNC(AF1/3600)&amp;"h "&amp;IF(QUOTIENT(MOD(ABS(AF1),3600),60)&lt;10,"0","")&amp;QUOTIENT(MOD(ABS(AF1),3600),60)&amp;"m",TRUNC(AF1,3))</f>
        <v>-49,126</v>
      </c>
    </row>
    <row r="3" ht="15.0" customHeight="1">
      <c r="A3" s="34"/>
      <c r="B3" s="35" t="s">
        <v>16</v>
      </c>
      <c r="C3" s="36" t="s">
        <v>17</v>
      </c>
      <c r="D3" s="36" t="s">
        <v>18</v>
      </c>
      <c r="E3" s="36" t="s">
        <v>19</v>
      </c>
      <c r="F3" s="36" t="s">
        <v>20</v>
      </c>
      <c r="G3" s="36" t="s">
        <v>21</v>
      </c>
      <c r="H3" s="36" t="s">
        <v>22</v>
      </c>
      <c r="I3" s="37" t="s">
        <v>23</v>
      </c>
      <c r="J3" s="37" t="s">
        <v>24</v>
      </c>
      <c r="K3" s="37" t="s">
        <v>25</v>
      </c>
      <c r="L3" s="40" t="s">
        <v>26</v>
      </c>
      <c r="M3" s="41" t="s">
        <v>27</v>
      </c>
      <c r="N3" s="42" t="s">
        <v>26</v>
      </c>
      <c r="O3" s="43" t="s">
        <v>27</v>
      </c>
      <c r="P3" s="44" t="b">
        <v>0</v>
      </c>
      <c r="Q3" s="46" t="s">
        <v>28</v>
      </c>
      <c r="R3" s="46" t="s">
        <v>18</v>
      </c>
      <c r="S3" s="46" t="s">
        <v>19</v>
      </c>
      <c r="T3" s="48" t="s">
        <v>20</v>
      </c>
      <c r="U3" s="48" t="s">
        <v>21</v>
      </c>
      <c r="V3" s="48" t="s">
        <v>22</v>
      </c>
      <c r="W3" s="48" t="s">
        <v>23</v>
      </c>
      <c r="X3" s="48" t="s">
        <v>24</v>
      </c>
      <c r="Y3" s="48" t="s">
        <v>25</v>
      </c>
      <c r="Z3" s="11"/>
      <c r="AA3" s="50"/>
      <c r="AB3" s="51"/>
      <c r="AC3" s="53"/>
      <c r="AD3" s="50"/>
      <c r="AE3" s="54"/>
      <c r="AF3" s="54"/>
    </row>
    <row r="4">
      <c r="A4" s="8"/>
      <c r="B4" s="56">
        <f>COUNTIF(C$4:C4,C4)-COUNTIF(C$4:C4,"Sell_"&amp;C4)</f>
        <v>1</v>
      </c>
      <c r="C4" s="57" t="s">
        <v>29</v>
      </c>
      <c r="D4" s="10" t="b">
        <v>0</v>
      </c>
      <c r="E4" s="10">
        <v>0.0</v>
      </c>
      <c r="F4" s="10">
        <f>IF($AC$5&gt;0,$AC$5,15)</f>
        <v>10</v>
      </c>
      <c r="G4" s="10">
        <v>0.0</v>
      </c>
      <c r="H4" s="10">
        <v>0.0</v>
      </c>
      <c r="I4" s="58">
        <v>0.0</v>
      </c>
      <c r="J4" s="10" t="s">
        <v>30</v>
      </c>
      <c r="K4" s="59">
        <v>0.0</v>
      </c>
      <c r="L4" s="60">
        <v>0.0</v>
      </c>
      <c r="M4" s="61">
        <v>0.0</v>
      </c>
      <c r="N4" s="60">
        <v>0.0</v>
      </c>
      <c r="O4" s="61">
        <v>0.0</v>
      </c>
      <c r="P4" s="56">
        <f>COUNTIF(Q$4:Q4,Q4)-COUNTIF(Q$4:Q4,"Sell_"&amp;Q4)</f>
        <v>1</v>
      </c>
      <c r="Q4" s="62" t="s">
        <v>29</v>
      </c>
      <c r="R4" s="10" t="b">
        <v>0</v>
      </c>
      <c r="S4" s="10">
        <v>0.0</v>
      </c>
      <c r="T4" s="10">
        <f>IF($AD$5&gt;0,$AD$5,15)</f>
        <v>10</v>
      </c>
      <c r="U4" s="10">
        <v>0.0</v>
      </c>
      <c r="V4" s="10">
        <v>0.0</v>
      </c>
      <c r="W4" s="58">
        <v>0.0</v>
      </c>
      <c r="X4" s="10" t="s">
        <v>30</v>
      </c>
      <c r="Y4" s="59">
        <v>0.0</v>
      </c>
      <c r="Z4" s="11"/>
    </row>
    <row r="5">
      <c r="A5" s="8"/>
      <c r="B5" s="56">
        <f t="shared" ref="B5:B1644" si="2">IF(COUNTA(C5:C1644)=0,"",COUNTIF(C$4:C5,C5)-COUNTIF(C$4:C5,"Sell_"&amp;C5))</f>
        <v>1</v>
      </c>
      <c r="C5" s="67" t="s">
        <v>3</v>
      </c>
      <c r="D5" s="10" t="b">
        <f>IFERROR(__xludf.DUMMYFUNCTION("IF(COUNTA(C5:C1644)=0,"""",IF(ISBLANK(C5),FALSE,IF(NOT(COUNTIF($AA$24:$AA$34,SUBSTITUTE(C5,""Sell_"",""""))),1,IF(REGEXMATCH(C5,""Sell_""),IF(COUNTIF(C$4:C5,SUBSTITUTE(C5,""Sell_"",""""))-COUNTIF(C$4:C4,C5)&lt;1,1),FALSE))))"),FALSE)</f>
        <v>0</v>
      </c>
      <c r="E5" s="59">
        <f t="array" ref="E5">IF(COUNTA(C5:C1644)=0,"",SUM((COUNTIF(C$4:C5,Upgrades!$B$3:$B$13)-COUNTIF(C$4:C5,"Sell_"&amp;Upgrades!$B$3:$B$13))*Upgrades!$D$3:$D$13))</f>
        <v>0.1</v>
      </c>
      <c r="F5" s="66">
        <f>IFERROR(__xludf.DUMMYFUNCTION("IF(COUNTA(C5:C1644)=0,"""",IF(REGEXMATCH(INDEX(FILTER(C$4:C5,C$4:C5&lt;&gt;""""),ROWS(FILTER(C$4:C5,C$4:C5&lt;&gt;""""))),""^Sell_""),INDEX(FILTER(F$4:F4,C$4:C4&lt;&gt;""""),ROWS(FILTER(C$4:C4,C$4:C4&lt;&gt;""""))),$AC$5+E5))"),10.1)</f>
        <v>10.1</v>
      </c>
      <c r="G5" s="10">
        <f>IFERROR(__xludf.DUMMYFUNCTION("IF(COUNTA(C5:C1644)=0,"""",IF(C5="""",0,IF(REGEXMATCH(C5,""^Sell_""),-ROUNDDOWN(ROUNDUP(INDEX(Upgrades!$C$3:$C$13,MATCH(SUBSTITUTE(C5,""Sell_"",""""),Upgrades!$B$3:$B$13,0))*1.15^(COUNTIF(C$4:C4,SUBSTITUTE(C5,""Sell_"",""""))-COUNTIF(C$4:C4,""Sell_""&amp;SUBS"&amp;"TITUTE(C5,""Sell_"",""""))))/2),ROUNDUP(INDEX(Upgrades!$C$3:$C$13,MATCH(C5,Upgrades!$B$3:$B$13,0))*1.15^(COUNTIF(C$4:C4,C5)-COUNTIF(C$4:C4,""Sell_""&amp;C5))))))"),15.0)</f>
        <v>15</v>
      </c>
      <c r="H5" s="10">
        <f t="shared" ref="H5:H1644" si="3">IF(COUNTA(C5:C1644)=0,"",G5+IF(H4&lt;0,H4))</f>
        <v>15</v>
      </c>
      <c r="I5" s="68">
        <f t="shared" ref="I5:I1644" si="4">IF(COUNTA(C5:C1644)=0,"",I4+IF(H5&gt;0,H5,0)/F4)
</f>
        <v>1.5</v>
      </c>
      <c r="J5" s="59" t="str">
        <f t="shared" ref="J5:J1644" si="5">IF(COUNTA(C5:C1644)=0,"",IF(I5&gt;3600,TRUNC(I5/3600)&amp;"h ","")&amp;IF(I5&gt;59,IF(AND(I5&gt;3599,QUOTIENT(MOD(I5,3600),60)&lt;10),"0","")&amp;QUOTIENT(MOD(I5,3600),60)&amp;"m ","")&amp;IF(AND(I5&gt;=10,MOD(I5,60)&lt;10),"0","")&amp;ROUNDDOWN(MOD(I5,60),0)&amp;"s")</f>
        <v>1s</v>
      </c>
      <c r="K5" s="69">
        <f t="shared" ref="K5:K1644" si="6">IF(COUNTA(C5:C1644)=0,"",K4+IF(H5&gt;0,H5,0))</f>
        <v>15</v>
      </c>
      <c r="L5" s="60">
        <f t="shared" ref="L5:L1644" si="7">IFS(AND(COUNTA(C5:C1644)=0,COUNTA(Q5:Q1644)=0),"",OR(AND(K5&gt;=1000000000,OR(Y5&gt;=1000000000,COUNTA(Q5:Q1644)=0)),OR(Y5&gt;=1000000000,AND(COUNTA(C5:C1644)=0,P$3=TRUE))),AF$1,
AND(K5&lt;1000000000,COUNTA(C5:C1644)&gt;0,P$3=FALSE),TRUNC(LARGE(W$4:W1644,COUNTIF(Y$4:Y1644,"&gt;"&amp;K5)+1)+(K5-LARGE(Y$4:Y1644,COUNTIF(Y$4:Y1644,"&gt;"&amp;K5)+1))/LARGE(T$4:T1644,COUNTIF(Y$4:Y1644,"&gt;"&amp;K5)+1)-I5,5),1,
TRUNC(W5-LARGE(I$4:I1644,COUNTIF(K$4:K1644,"&gt;"&amp;Y5)+1)-(Y5-LARGE(K$4:K1644,COUNTIF(K$4:K1644,"&gt;"&amp;Y5)+1))/LARGE(F$4:F1644,COUNTIF(K$4:K1644,"&gt;"&amp;Y5)+1),5))</f>
        <v>0</v>
      </c>
      <c r="M5" s="61">
        <f>IFERROR(__xludf.DUMMYFUNCTION("IFS(AND(COUNTA(C5:C1644)=0,COUNTA(Q5:Q1644)=0),"""",OR(AND(K5&gt;=1000000000,OR(Y5&gt;=1000000000,COUNTA(Q5:Q1644)=0)),OR(Y5&gt;=1000000000,AND(COUNTA(C5:C1644)=0,P$3=TRUE))),
ROUNDDOWN((AB$1-AC$1)*MAX(INDEX(T$4:T1644,MATCH(LARGE(FILTER(Y$4:Y1644,Y$4:Y1644&lt;1000000"&amp;"000),1),Y$4:Y1644)),INDEX(F$4:F1644,MATCH(LARGE(FILTER(K$4:K1644,K$4:K1644&lt;1000000000),1),K$4:K1644)))),AND(K5&lt;1000000000,COUNTA(C5:C1644)&gt;0,P$3=FALSE),
ROUNDDOWN(INDEX(Y$4:Y1644,MATCH(LARGE(FILTER(W$4:W1644,W$4:W1644&lt;=I5),1),W$4:W1644))+(I5-LARGE(FILTER("&amp;"W$4:W1644,W$4:W1644&lt;=I5),1))*INDEX(T$4:T1644,MATCH(LARGE(FILTER(W$4:W1644,W$4:W1644&lt;=I5),1),W$4:W1644))-K5),1,
ROUNDDOWN(Y5-INDEX(K$4:K1644,MATCH(LARGE(FILTER(I$4:I1644,I$4:I1644&lt;=W5),1),I$4:I1644))-(W5-LARGE(FILTER(I$4:I1644,I$4:I1644&lt;=W5),1))*INDEX(F$4:"&amp;"F1644,MATCH(LARGE(FILTER(I$4:I1644,I$4:I1644&lt;=W5),1),I$4:I1644))))"),0.0)</f>
        <v>0</v>
      </c>
      <c r="N5" s="60">
        <f t="shared" ref="N5:N1644" si="8">IF(ABS(L5)&gt;=10000,TEXT(ROUND(L5,1),"#.#")&amp;IF(RIGHT(TEXT(ROUND(L5,1),"#.#"))=",","0",""),L5)</f>
        <v>0</v>
      </c>
      <c r="O5" s="61">
        <f t="shared" ref="O5:O1644" si="9">IF(ABS(M5)&lt;1000000,M5,IF(ABS(M5)&lt;1000000000,TEXT(ROUND(M5/1000000,1),"#.#")&amp;IF(RIGHT(TEXT(ROUND(M5/1000000,1),"#.#"))=",","0","")&amp;"M",TEXT(ROUND(M5/1000000000,1),"#.#")&amp;IF(RIGHT(TEXT(ROUND(M5/1000000000,1),"#.#"))=",","0","")&amp;"B"))</f>
        <v>0</v>
      </c>
      <c r="P5" s="56">
        <f t="shared" ref="P5:P1644" si="10">IF(COUNTA(Q5:Q1644)=0,"",COUNTIF(Q$4:Q5,Q5)-COUNTIF(Q$4:Q5,"Sell_"&amp;Q5))</f>
        <v>1</v>
      </c>
      <c r="Q5" s="67" t="s">
        <v>3</v>
      </c>
      <c r="R5" s="10" t="b">
        <f>IFERROR(__xludf.DUMMYFUNCTION("IF(COUNTA(Q5:Q1644)=0,"""",IF(ISBLANK(Q5),FALSE,IF(NOT(COUNTIF($AA$24:$AA$34,SUBSTITUTE(Q5,""Sell_"",""""))),1,IF(REGEXMATCH(Q5,""Sell_""),IF(COUNTIF(Q$4:Q5,SUBSTITUTE(Q5,""Sell_"",""""))-COUNTIF(Q$4:Q4,Q5)&lt;1,1),FALSE))))"),FALSE)</f>
        <v>0</v>
      </c>
      <c r="S5" s="59">
        <f t="array" ref="S5">IF(COUNTA(Q5:Q1644)=0,"",SUM((COUNTIF(Q$4:Q5,Upgrades!$B$3:$B$13)-COUNTIF(Q$4:Q5,"Sell_"&amp;Upgrades!$B$3:$B$13))*Upgrades!$D$3:$D$13))</f>
        <v>0.1</v>
      </c>
      <c r="T5" s="66">
        <f>IFERROR(__xludf.DUMMYFUNCTION("IF(COUNTA(Q5:Q1644)=0,"""",IF(REGEXMATCH(INDEX(FILTER(Q$4:Q5,Q$4:Q5&lt;&gt;""""),ROWS(FILTER(Q$4:Q5,Q$4:Q5&lt;&gt;""""))),""^Sell_""),INDEX(FILTER(T$4:T4,Q$4:Q4&lt;&gt;""""),ROWS(FILTER(Q$4:Q4,Q$4:Q4&lt;&gt;""""))),$AD$5+S5))"),10.1)</f>
        <v>10.1</v>
      </c>
      <c r="U5" s="10">
        <f>IFERROR(__xludf.DUMMYFUNCTION("IF(COUNTA(Q5:Q1644)=0,"""",IF(Q5="""",0,IF(REGEXMATCH(Q5,""^Sell_""),-ROUNDDOWN(ROUNDUP(INDEX(Upgrades!$C$3:$C$13,MATCH(SUBSTITUTE(Q5,""Sell_"",""""),Upgrades!$B$3:$B$13,0))*1.15^(COUNTIF(Q$4:Q4,SUBSTITUTE(Q5,""Sell_"",""""))-COUNTIF(Q$4:Q4,""Sell_""&amp;SUBS"&amp;"TITUTE(Q5,""Sell_"",""""))))/2),ROUNDUP(INDEX(Upgrades!$C$3:$C$13,MATCH(Q5,Upgrades!$B$3:$B$13,0))*1.15^(COUNTIF(Q$4:Q4,Q5)-COUNTIF(Q$4:Q4,""Sell_""&amp;Q5))))))"),15.0)</f>
        <v>15</v>
      </c>
      <c r="V5" s="10">
        <f t="shared" ref="V5:V1644" si="11">IF(COUNTA(Q5:Q1644)=0,"",U5+IF(V4&lt;0,V4))</f>
        <v>15</v>
      </c>
      <c r="W5" s="68">
        <f t="shared" ref="W5:W1644" si="12">IF(COUNTA(Q5:Q1644)=0,"",W4+IF(V5&gt;0,V5,0)/T4)
</f>
        <v>1.5</v>
      </c>
      <c r="X5" s="59" t="str">
        <f t="shared" ref="X5:X1644" si="13">IF(COUNTA(Q5:Q1644)=0,"",IF(W5&gt;3600,TRUNC(W5/3600)&amp;"h ","")&amp;IF(W5&gt;59,IF(AND(W5&gt;3599,QUOTIENT(MOD(W5,3600),60)&lt;10),"0","")&amp;QUOTIENT(MOD(W5,3600),60)&amp;"m ","")&amp;IF(AND(W5&gt;=10,MOD(W5,60)&lt;10),"0","")&amp;ROUNDDOWN(MOD(W5,60),0)&amp;"s")</f>
        <v>1s</v>
      </c>
      <c r="Y5" s="69">
        <f t="shared" ref="Y5:Y1644" si="14">IF(COUNTA(Q5:Q1644)=0,"",Y4+IF(V5&gt;0,V5,0))</f>
        <v>15</v>
      </c>
      <c r="Z5" s="11"/>
      <c r="AA5" s="73" t="s">
        <v>35</v>
      </c>
      <c r="AB5" s="74"/>
      <c r="AC5" s="77">
        <v>10.0</v>
      </c>
      <c r="AD5" s="77">
        <v>10.0</v>
      </c>
    </row>
    <row r="6">
      <c r="A6" s="8"/>
      <c r="B6" s="56">
        <f t="shared" si="2"/>
        <v>1</v>
      </c>
      <c r="C6" s="67" t="s">
        <v>5</v>
      </c>
      <c r="D6" s="10" t="b">
        <f>IFERROR(__xludf.DUMMYFUNCTION("IF(COUNTA(C6:C1644)=0,"""",IF(ISBLANK(C6),FALSE,IF(NOT(COUNTIF($AA$24:$AA$34,SUBSTITUTE(C6,""Sell_"",""""))),1,IF(REGEXMATCH(C6,""Sell_""),IF(COUNTIF(C$4:C6,SUBSTITUTE(C6,""Sell_"",""""))-COUNTIF(C$4:C5,C6)&lt;1,1),FALSE))))"),FALSE)</f>
        <v>0</v>
      </c>
      <c r="E6" s="59">
        <f t="array" ref="E6">IF(COUNTA(C6:C1644)=0,"",SUM((COUNTIF(C$4:C6,Upgrades!$B$3:$B$13)-COUNTIF(C$4:C6,"Sell_"&amp;Upgrades!$B$3:$B$13))*Upgrades!$D$3:$D$13))</f>
        <v>4.1</v>
      </c>
      <c r="F6" s="66">
        <f>IFERROR(__xludf.DUMMYFUNCTION("IF(COUNTA(C6:C1644)=0,"""",IF(REGEXMATCH(INDEX(FILTER(C$4:C6,C$4:C6&lt;&gt;""""),ROWS(FILTER(C$4:C6,C$4:C6&lt;&gt;""""))),""^Sell_""),INDEX(FILTER(F$4:F5,C$4:C5&lt;&gt;""""),ROWS(FILTER(C$4:C5,C$4:C5&lt;&gt;""""))),$AC$5+E6))"),14.1)</f>
        <v>14.1</v>
      </c>
      <c r="G6" s="10">
        <f>IFERROR(__xludf.DUMMYFUNCTION("IF(COUNTA(C6:C1644)=0,"""",IF(C6="""",0,IF(REGEXMATCH(C6,""^Sell_""),-ROUNDDOWN(ROUNDUP(INDEX(Upgrades!$C$3:$C$13,MATCH(SUBSTITUTE(C6,""Sell_"",""""),Upgrades!$B$3:$B$13,0))*1.15^(COUNTIF(C$4:C5,SUBSTITUTE(C6,""Sell_"",""""))-COUNTIF(C$4:C5,""Sell_""&amp;SUBS"&amp;"TITUTE(C6,""Sell_"",""""))))/2),ROUNDUP(INDEX(Upgrades!$C$3:$C$13,MATCH(C6,Upgrades!$B$3:$B$13,0))*1.15^(COUNTIF(C$4:C5,C6)-COUNTIF(C$4:C5,""Sell_""&amp;C6))))))"),500.0)</f>
        <v>500</v>
      </c>
      <c r="H6" s="10">
        <f t="shared" si="3"/>
        <v>500</v>
      </c>
      <c r="I6" s="68">
        <f t="shared" si="4"/>
        <v>51.0049505</v>
      </c>
      <c r="J6" s="59" t="str">
        <f t="shared" si="5"/>
        <v>51s</v>
      </c>
      <c r="K6" s="69">
        <f t="shared" si="6"/>
        <v>515</v>
      </c>
      <c r="L6" s="60">
        <f t="shared" si="7"/>
        <v>0</v>
      </c>
      <c r="M6" s="61">
        <f>IFERROR(__xludf.DUMMYFUNCTION("IFS(AND(COUNTA(C6:C1644)=0,COUNTA(Q6:Q1644)=0),"""",OR(AND(K6&gt;=1000000000,OR(Y6&gt;=1000000000,COUNTA(Q6:Q1644)=0)),OR(Y6&gt;=1000000000,AND(COUNTA(C6:C1644)=0,P$3=TRUE))),
ROUNDDOWN((AB$1-AC$1)*MAX(INDEX(T$4:T1644,MATCH(LARGE(FILTER(Y$4:Y1644,Y$4:Y1644&lt;1000000"&amp;"000),1),Y$4:Y1644)),INDEX(F$4:F1644,MATCH(LARGE(FILTER(K$4:K1644,K$4:K1644&lt;1000000000),1),K$4:K1644)))),AND(K6&lt;1000000000,COUNTA(C6:C1644)&gt;0,P$3=FALSE),
ROUNDDOWN(INDEX(Y$4:Y1644,MATCH(LARGE(FILTER(W$4:W1644,W$4:W1644&lt;=I6),1),W$4:W1644))+(I6-LARGE(FILTER("&amp;"W$4:W1644,W$4:W1644&lt;=I6),1))*INDEX(T$4:T1644,MATCH(LARGE(FILTER(W$4:W1644,W$4:W1644&lt;=I6),1),W$4:W1644))-K6),1,
ROUNDDOWN(Y6-INDEX(K$4:K1644,MATCH(LARGE(FILTER(I$4:I1644,I$4:I1644&lt;=W6),1),I$4:I1644))-(W6-LARGE(FILTER(I$4:I1644,I$4:I1644&lt;=W6),1))*INDEX(F$4:"&amp;"F1644,MATCH(LARGE(FILTER(I$4:I1644,I$4:I1644&lt;=W6),1),I$4:I1644))))"),0.0)</f>
        <v>0</v>
      </c>
      <c r="N6" s="60">
        <f t="shared" si="8"/>
        <v>0</v>
      </c>
      <c r="O6" s="61">
        <f t="shared" si="9"/>
        <v>0</v>
      </c>
      <c r="P6" s="56">
        <f t="shared" si="10"/>
        <v>1</v>
      </c>
      <c r="Q6" s="67" t="s">
        <v>5</v>
      </c>
      <c r="R6" s="10" t="b">
        <f>IFERROR(__xludf.DUMMYFUNCTION("IF(COUNTA(Q6:Q1644)=0,"""",IF(ISBLANK(Q6),FALSE,IF(NOT(COUNTIF($AA$24:$AA$34,SUBSTITUTE(Q6,""Sell_"",""""))),1,IF(REGEXMATCH(Q6,""Sell_""),IF(COUNTIF(Q$4:Q6,SUBSTITUTE(Q6,""Sell_"",""""))-COUNTIF(Q$4:Q5,Q6)&lt;1,1),FALSE))))"),FALSE)</f>
        <v>0</v>
      </c>
      <c r="S6" s="59">
        <f t="array" ref="S6">IF(COUNTA(Q6:Q1644)=0,"",SUM((COUNTIF(Q$4:Q6,Upgrades!$B$3:$B$13)-COUNTIF(Q$4:Q6,"Sell_"&amp;Upgrades!$B$3:$B$13))*Upgrades!$D$3:$D$13))</f>
        <v>4.1</v>
      </c>
      <c r="T6" s="66">
        <f>IFERROR(__xludf.DUMMYFUNCTION("IF(COUNTA(Q6:Q1644)=0,"""",IF(REGEXMATCH(INDEX(FILTER(Q$4:Q6,Q$4:Q6&lt;&gt;""""),ROWS(FILTER(Q$4:Q6,Q$4:Q6&lt;&gt;""""))),""^Sell_""),INDEX(FILTER(T$4:T5,Q$4:Q5&lt;&gt;""""),ROWS(FILTER(Q$4:Q5,Q$4:Q5&lt;&gt;""""))),$AD$5+S6))"),14.1)</f>
        <v>14.1</v>
      </c>
      <c r="U6" s="10">
        <f>IFERROR(__xludf.DUMMYFUNCTION("IF(COUNTA(Q6:Q1644)=0,"""",IF(Q6="""",0,IF(REGEXMATCH(Q6,""^Sell_""),-ROUNDDOWN(ROUNDUP(INDEX(Upgrades!$C$3:$C$13,MATCH(SUBSTITUTE(Q6,""Sell_"",""""),Upgrades!$B$3:$B$13,0))*1.15^(COUNTIF(Q$4:Q5,SUBSTITUTE(Q6,""Sell_"",""""))-COUNTIF(Q$4:Q5,""Sell_""&amp;SUBS"&amp;"TITUTE(Q6,""Sell_"",""""))))/2),ROUNDUP(INDEX(Upgrades!$C$3:$C$13,MATCH(Q6,Upgrades!$B$3:$B$13,0))*1.15^(COUNTIF(Q$4:Q5,Q6)-COUNTIF(Q$4:Q5,""Sell_""&amp;Q6))))))"),500.0)</f>
        <v>500</v>
      </c>
      <c r="V6" s="10">
        <f t="shared" si="11"/>
        <v>500</v>
      </c>
      <c r="W6" s="68">
        <f t="shared" si="12"/>
        <v>51.0049505</v>
      </c>
      <c r="X6" s="59" t="str">
        <f t="shared" si="13"/>
        <v>51s</v>
      </c>
      <c r="Y6" s="69">
        <f t="shared" si="14"/>
        <v>515</v>
      </c>
      <c r="Z6" s="11"/>
    </row>
    <row r="7">
      <c r="A7" s="8"/>
      <c r="B7" s="56">
        <f t="shared" si="2"/>
        <v>2</v>
      </c>
      <c r="C7" s="67" t="s">
        <v>3</v>
      </c>
      <c r="D7" s="10" t="b">
        <f>IFERROR(__xludf.DUMMYFUNCTION("IF(COUNTA(C7:C1644)=0,"""",IF(ISBLANK(C7),FALSE,IF(NOT(COUNTIF($AA$24:$AA$34,SUBSTITUTE(C7,""Sell_"",""""))),1,IF(REGEXMATCH(C7,""Sell_""),IF(COUNTIF(C$4:C7,SUBSTITUTE(C7,""Sell_"",""""))-COUNTIF(C$4:C6,C7)&lt;1,1),FALSE))))"),FALSE)</f>
        <v>0</v>
      </c>
      <c r="E7" s="59">
        <f t="array" ref="E7">IF(COUNTA(C7:C1644)=0,"",SUM((COUNTIF(C$4:C7,Upgrades!$B$3:$B$13)-COUNTIF(C$4:C7,"Sell_"&amp;Upgrades!$B$3:$B$13))*Upgrades!$D$3:$D$13))</f>
        <v>4.2</v>
      </c>
      <c r="F7" s="66">
        <f>IFERROR(__xludf.DUMMYFUNCTION("IF(COUNTA(C7:C1644)=0,"""",IF(REGEXMATCH(INDEX(FILTER(C$4:C7,C$4:C7&lt;&gt;""""),ROWS(FILTER(C$4:C7,C$4:C7&lt;&gt;""""))),""^Sell_""),INDEX(FILTER(F$4:F6,C$4:C6&lt;&gt;""""),ROWS(FILTER(C$4:C6,C$4:C6&lt;&gt;""""))),$AC$5+E7))"),14.2)</f>
        <v>14.2</v>
      </c>
      <c r="G7" s="10">
        <f>IFERROR(__xludf.DUMMYFUNCTION("IF(COUNTA(C7:C1644)=0,"""",IF(C7="""",0,IF(REGEXMATCH(C7,""^Sell_""),-ROUNDDOWN(ROUNDUP(INDEX(Upgrades!$C$3:$C$13,MATCH(SUBSTITUTE(C7,""Sell_"",""""),Upgrades!$B$3:$B$13,0))*1.15^(COUNTIF(C$4:C6,SUBSTITUTE(C7,""Sell_"",""""))-COUNTIF(C$4:C6,""Sell_""&amp;SUBS"&amp;"TITUTE(C7,""Sell_"",""""))))/2),ROUNDUP(INDEX(Upgrades!$C$3:$C$13,MATCH(C7,Upgrades!$B$3:$B$13,0))*1.15^(COUNTIF(C$4:C6,C7)-COUNTIF(C$4:C6,""Sell_""&amp;C7))))))"),18.0)</f>
        <v>18</v>
      </c>
      <c r="H7" s="10">
        <f t="shared" si="3"/>
        <v>18</v>
      </c>
      <c r="I7" s="68">
        <f t="shared" si="4"/>
        <v>52.28154624</v>
      </c>
      <c r="J7" s="59" t="str">
        <f t="shared" si="5"/>
        <v>52s</v>
      </c>
      <c r="K7" s="69">
        <f t="shared" si="6"/>
        <v>533</v>
      </c>
      <c r="L7" s="60">
        <f t="shared" si="7"/>
        <v>0</v>
      </c>
      <c r="M7" s="61">
        <f>IFERROR(__xludf.DUMMYFUNCTION("IFS(AND(COUNTA(C7:C1644)=0,COUNTA(Q7:Q1644)=0),"""",OR(AND(K7&gt;=1000000000,OR(Y7&gt;=1000000000,COUNTA(Q7:Q1644)=0)),OR(Y7&gt;=1000000000,AND(COUNTA(C7:C1644)=0,P$3=TRUE))),
ROUNDDOWN((AB$1-AC$1)*MAX(INDEX(T$4:T1644,MATCH(LARGE(FILTER(Y$4:Y1644,Y$4:Y1644&lt;1000000"&amp;"000),1),Y$4:Y1644)),INDEX(F$4:F1644,MATCH(LARGE(FILTER(K$4:K1644,K$4:K1644&lt;1000000000),1),K$4:K1644)))),AND(K7&lt;1000000000,COUNTA(C7:C1644)&gt;0,P$3=FALSE),
ROUNDDOWN(INDEX(Y$4:Y1644,MATCH(LARGE(FILTER(W$4:W1644,W$4:W1644&lt;=I7),1),W$4:W1644))+(I7-LARGE(FILTER("&amp;"W$4:W1644,W$4:W1644&lt;=I7),1))*INDEX(T$4:T1644,MATCH(LARGE(FILTER(W$4:W1644,W$4:W1644&lt;=I7),1),W$4:W1644))-K7),1,
ROUNDDOWN(Y7-INDEX(K$4:K1644,MATCH(LARGE(FILTER(I$4:I1644,I$4:I1644&lt;=W7),1),I$4:I1644))-(W7-LARGE(FILTER(I$4:I1644,I$4:I1644&lt;=W7),1))*INDEX(F$4:"&amp;"F1644,MATCH(LARGE(FILTER(I$4:I1644,I$4:I1644&lt;=W7),1),I$4:I1644))))"),0.0)</f>
        <v>0</v>
      </c>
      <c r="N7" s="60">
        <f t="shared" si="8"/>
        <v>0</v>
      </c>
      <c r="O7" s="61">
        <f t="shared" si="9"/>
        <v>0</v>
      </c>
      <c r="P7" s="56">
        <f t="shared" si="10"/>
        <v>2</v>
      </c>
      <c r="Q7" s="67" t="s">
        <v>3</v>
      </c>
      <c r="R7" s="10" t="b">
        <f>IFERROR(__xludf.DUMMYFUNCTION("IF(COUNTA(Q7:Q1644)=0,"""",IF(ISBLANK(Q7),FALSE,IF(NOT(COUNTIF($AA$24:$AA$34,SUBSTITUTE(Q7,""Sell_"",""""))),1,IF(REGEXMATCH(Q7,""Sell_""),IF(COUNTIF(Q$4:Q7,SUBSTITUTE(Q7,""Sell_"",""""))-COUNTIF(Q$4:Q6,Q7)&lt;1,1),FALSE))))"),FALSE)</f>
        <v>0</v>
      </c>
      <c r="S7" s="59">
        <f t="array" ref="S7">IF(COUNTA(Q7:Q1644)=0,"",SUM((COUNTIF(Q$4:Q7,Upgrades!$B$3:$B$13)-COUNTIF(Q$4:Q7,"Sell_"&amp;Upgrades!$B$3:$B$13))*Upgrades!$D$3:$D$13))</f>
        <v>4.2</v>
      </c>
      <c r="T7" s="66">
        <f>IFERROR(__xludf.DUMMYFUNCTION("IF(COUNTA(Q7:Q1644)=0,"""",IF(REGEXMATCH(INDEX(FILTER(Q$4:Q7,Q$4:Q7&lt;&gt;""""),ROWS(FILTER(Q$4:Q7,Q$4:Q7&lt;&gt;""""))),""^Sell_""),INDEX(FILTER(T$4:T6,Q$4:Q6&lt;&gt;""""),ROWS(FILTER(Q$4:Q6,Q$4:Q6&lt;&gt;""""))),$AD$5+S7))"),14.2)</f>
        <v>14.2</v>
      </c>
      <c r="U7" s="10">
        <f>IFERROR(__xludf.DUMMYFUNCTION("IF(COUNTA(Q7:Q1644)=0,"""",IF(Q7="""",0,IF(REGEXMATCH(Q7,""^Sell_""),-ROUNDDOWN(ROUNDUP(INDEX(Upgrades!$C$3:$C$13,MATCH(SUBSTITUTE(Q7,""Sell_"",""""),Upgrades!$B$3:$B$13,0))*1.15^(COUNTIF(Q$4:Q6,SUBSTITUTE(Q7,""Sell_"",""""))-COUNTIF(Q$4:Q6,""Sell_""&amp;SUBS"&amp;"TITUTE(Q7,""Sell_"",""""))))/2),ROUNDUP(INDEX(Upgrades!$C$3:$C$13,MATCH(Q7,Upgrades!$B$3:$B$13,0))*1.15^(COUNTIF(Q$4:Q6,Q7)-COUNTIF(Q$4:Q6,""Sell_""&amp;Q7))))))"),18.0)</f>
        <v>18</v>
      </c>
      <c r="V7" s="10">
        <f t="shared" si="11"/>
        <v>18</v>
      </c>
      <c r="W7" s="68">
        <f t="shared" si="12"/>
        <v>52.28154624</v>
      </c>
      <c r="X7" s="59" t="str">
        <f t="shared" si="13"/>
        <v>52s</v>
      </c>
      <c r="Y7" s="69">
        <f t="shared" si="14"/>
        <v>533</v>
      </c>
      <c r="Z7" s="11"/>
      <c r="AA7" s="73" t="s">
        <v>43</v>
      </c>
      <c r="AB7" s="74"/>
      <c r="AC7" s="77" t="str">
        <f>IF(AF1&lt;0,"YES","NO")</f>
        <v>YES</v>
      </c>
    </row>
    <row r="8">
      <c r="A8" s="8"/>
      <c r="B8" s="56">
        <f t="shared" si="2"/>
        <v>2</v>
      </c>
      <c r="C8" s="67" t="s">
        <v>5</v>
      </c>
      <c r="D8" s="10" t="b">
        <f>IFERROR(__xludf.DUMMYFUNCTION("IF(COUNTA(C8:C1644)=0,"""",IF(ISBLANK(C8),FALSE,IF(NOT(COUNTIF($AA$24:$AA$34,SUBSTITUTE(C8,""Sell_"",""""))),1,IF(REGEXMATCH(C8,""Sell_""),IF(COUNTIF(C$4:C8,SUBSTITUTE(C8,""Sell_"",""""))-COUNTIF(C$4:C7,C8)&lt;1,1),FALSE))))"),FALSE)</f>
        <v>0</v>
      </c>
      <c r="E8" s="59">
        <f t="array" ref="E8">IF(COUNTA(C8:C1644)=0,"",SUM((COUNTIF(C$4:C8,Upgrades!$B$3:$B$13)-COUNTIF(C$4:C8,"Sell_"&amp;Upgrades!$B$3:$B$13))*Upgrades!$D$3:$D$13))</f>
        <v>8.2</v>
      </c>
      <c r="F8" s="66">
        <f>IFERROR(__xludf.DUMMYFUNCTION("IF(COUNTA(C8:C1644)=0,"""",IF(REGEXMATCH(INDEX(FILTER(C$4:C8,C$4:C8&lt;&gt;""""),ROWS(FILTER(C$4:C8,C$4:C8&lt;&gt;""""))),""^Sell_""),INDEX(FILTER(F$4:F7,C$4:C7&lt;&gt;""""),ROWS(FILTER(C$4:C7,C$4:C7&lt;&gt;""""))),$AC$5+E8))"),18.2)</f>
        <v>18.2</v>
      </c>
      <c r="G8" s="10">
        <f>IFERROR(__xludf.DUMMYFUNCTION("IF(COUNTA(C8:C1644)=0,"""",IF(C8="""",0,IF(REGEXMATCH(C8,""^Sell_""),-ROUNDDOWN(ROUNDUP(INDEX(Upgrades!$C$3:$C$13,MATCH(SUBSTITUTE(C8,""Sell_"",""""),Upgrades!$B$3:$B$13,0))*1.15^(COUNTIF(C$4:C7,SUBSTITUTE(C8,""Sell_"",""""))-COUNTIF(C$4:C7,""Sell_""&amp;SUBS"&amp;"TITUTE(C8,""Sell_"",""""))))/2),ROUNDUP(INDEX(Upgrades!$C$3:$C$13,MATCH(C8,Upgrades!$B$3:$B$13,0))*1.15^(COUNTIF(C$4:C7,C8)-COUNTIF(C$4:C7,""Sell_""&amp;C8))))))"),575.0)</f>
        <v>575</v>
      </c>
      <c r="H8" s="10">
        <f t="shared" si="3"/>
        <v>575</v>
      </c>
      <c r="I8" s="68">
        <f t="shared" si="4"/>
        <v>92.77450399</v>
      </c>
      <c r="J8" s="59" t="str">
        <f t="shared" si="5"/>
        <v>1m 32s</v>
      </c>
      <c r="K8" s="69">
        <f t="shared" si="6"/>
        <v>1108</v>
      </c>
      <c r="L8" s="60">
        <f t="shared" si="7"/>
        <v>0</v>
      </c>
      <c r="M8" s="61">
        <f>IFERROR(__xludf.DUMMYFUNCTION("IFS(AND(COUNTA(C8:C1644)=0,COUNTA(Q8:Q1644)=0),"""",OR(AND(K8&gt;=1000000000,OR(Y8&gt;=1000000000,COUNTA(Q8:Q1644)=0)),OR(Y8&gt;=1000000000,AND(COUNTA(C8:C1644)=0,P$3=TRUE))),
ROUNDDOWN((AB$1-AC$1)*MAX(INDEX(T$4:T1644,MATCH(LARGE(FILTER(Y$4:Y1644,Y$4:Y1644&lt;1000000"&amp;"000),1),Y$4:Y1644)),INDEX(F$4:F1644,MATCH(LARGE(FILTER(K$4:K1644,K$4:K1644&lt;1000000000),1),K$4:K1644)))),AND(K8&lt;1000000000,COUNTA(C8:C1644)&gt;0,P$3=FALSE),
ROUNDDOWN(INDEX(Y$4:Y1644,MATCH(LARGE(FILTER(W$4:W1644,W$4:W1644&lt;=I8),1),W$4:W1644))+(I8-LARGE(FILTER("&amp;"W$4:W1644,W$4:W1644&lt;=I8),1))*INDEX(T$4:T1644,MATCH(LARGE(FILTER(W$4:W1644,W$4:W1644&lt;=I8),1),W$4:W1644))-K8),1,
ROUNDDOWN(Y8-INDEX(K$4:K1644,MATCH(LARGE(FILTER(I$4:I1644,I$4:I1644&lt;=W8),1),I$4:I1644))-(W8-LARGE(FILTER(I$4:I1644,I$4:I1644&lt;=W8),1))*INDEX(F$4:"&amp;"F1644,MATCH(LARGE(FILTER(I$4:I1644,I$4:I1644&lt;=W8),1),I$4:I1644))))"),0.0)</f>
        <v>0</v>
      </c>
      <c r="N8" s="60">
        <f t="shared" si="8"/>
        <v>0</v>
      </c>
      <c r="O8" s="61">
        <f t="shared" si="9"/>
        <v>0</v>
      </c>
      <c r="P8" s="56">
        <f t="shared" si="10"/>
        <v>2</v>
      </c>
      <c r="Q8" s="67" t="s">
        <v>5</v>
      </c>
      <c r="R8" s="10" t="b">
        <f>IFERROR(__xludf.DUMMYFUNCTION("IF(COUNTA(Q8:Q1644)=0,"""",IF(ISBLANK(Q8),FALSE,IF(NOT(COUNTIF($AA$24:$AA$34,SUBSTITUTE(Q8,""Sell_"",""""))),1,IF(REGEXMATCH(Q8,""Sell_""),IF(COUNTIF(Q$4:Q8,SUBSTITUTE(Q8,""Sell_"",""""))-COUNTIF(Q$4:Q7,Q8)&lt;1,1),FALSE))))"),FALSE)</f>
        <v>0</v>
      </c>
      <c r="S8" s="59">
        <f t="array" ref="S8">IF(COUNTA(Q8:Q1644)=0,"",SUM((COUNTIF(Q$4:Q8,Upgrades!$B$3:$B$13)-COUNTIF(Q$4:Q8,"Sell_"&amp;Upgrades!$B$3:$B$13))*Upgrades!$D$3:$D$13))</f>
        <v>8.2</v>
      </c>
      <c r="T8" s="66">
        <f>IFERROR(__xludf.DUMMYFUNCTION("IF(COUNTA(Q8:Q1644)=0,"""",IF(REGEXMATCH(INDEX(FILTER(Q$4:Q8,Q$4:Q8&lt;&gt;""""),ROWS(FILTER(Q$4:Q8,Q$4:Q8&lt;&gt;""""))),""^Sell_""),INDEX(FILTER(T$4:T7,Q$4:Q7&lt;&gt;""""),ROWS(FILTER(Q$4:Q7,Q$4:Q7&lt;&gt;""""))),$AD$5+S8))"),18.2)</f>
        <v>18.2</v>
      </c>
      <c r="U8" s="10">
        <f>IFERROR(__xludf.DUMMYFUNCTION("IF(COUNTA(Q8:Q1644)=0,"""",IF(Q8="""",0,IF(REGEXMATCH(Q8,""^Sell_""),-ROUNDDOWN(ROUNDUP(INDEX(Upgrades!$C$3:$C$13,MATCH(SUBSTITUTE(Q8,""Sell_"",""""),Upgrades!$B$3:$B$13,0))*1.15^(COUNTIF(Q$4:Q7,SUBSTITUTE(Q8,""Sell_"",""""))-COUNTIF(Q$4:Q7,""Sell_""&amp;SUBS"&amp;"TITUTE(Q8,""Sell_"",""""))))/2),ROUNDUP(INDEX(Upgrades!$C$3:$C$13,MATCH(Q8,Upgrades!$B$3:$B$13,0))*1.15^(COUNTIF(Q$4:Q7,Q8)-COUNTIF(Q$4:Q7,""Sell_""&amp;Q8))))))"),575.0)</f>
        <v>575</v>
      </c>
      <c r="V8" s="10">
        <f t="shared" si="11"/>
        <v>575</v>
      </c>
      <c r="W8" s="68">
        <f t="shared" si="12"/>
        <v>92.77450399</v>
      </c>
      <c r="X8" s="59" t="str">
        <f t="shared" si="13"/>
        <v>1m 32s</v>
      </c>
      <c r="Y8" s="69">
        <f t="shared" si="14"/>
        <v>1108</v>
      </c>
      <c r="Z8" s="11"/>
    </row>
    <row r="9">
      <c r="A9" s="8"/>
      <c r="B9" s="56">
        <f t="shared" si="2"/>
        <v>3</v>
      </c>
      <c r="C9" s="67" t="s">
        <v>3</v>
      </c>
      <c r="D9" s="10" t="b">
        <f>IFERROR(__xludf.DUMMYFUNCTION("IF(COUNTA(C9:C1644)=0,"""",IF(ISBLANK(C9),FALSE,IF(NOT(COUNTIF($AA$24:$AA$34,SUBSTITUTE(C9,""Sell_"",""""))),1,IF(REGEXMATCH(C9,""Sell_""),IF(COUNTIF(C$4:C9,SUBSTITUTE(C9,""Sell_"",""""))-COUNTIF(C$4:C8,C9)&lt;1,1),FALSE))))"),FALSE)</f>
        <v>0</v>
      </c>
      <c r="E9" s="59">
        <f t="array" ref="E9">IF(COUNTA(C9:C1644)=0,"",SUM((COUNTIF(C$4:C9,Upgrades!$B$3:$B$13)-COUNTIF(C$4:C9,"Sell_"&amp;Upgrades!$B$3:$B$13))*Upgrades!$D$3:$D$13))</f>
        <v>8.3</v>
      </c>
      <c r="F9" s="66">
        <f>IFERROR(__xludf.DUMMYFUNCTION("IF(COUNTA(C9:C1644)=0,"""",IF(REGEXMATCH(INDEX(FILTER(C$4:C9,C$4:C9&lt;&gt;""""),ROWS(FILTER(C$4:C9,C$4:C9&lt;&gt;""""))),""^Sell_""),INDEX(FILTER(F$4:F8,C$4:C8&lt;&gt;""""),ROWS(FILTER(C$4:C8,C$4:C8&lt;&gt;""""))),$AC$5+E9))"),18.3)</f>
        <v>18.3</v>
      </c>
      <c r="G9" s="10">
        <f>IFERROR(__xludf.DUMMYFUNCTION("IF(COUNTA(C9:C1644)=0,"""",IF(C9="""",0,IF(REGEXMATCH(C9,""^Sell_""),-ROUNDDOWN(ROUNDUP(INDEX(Upgrades!$C$3:$C$13,MATCH(SUBSTITUTE(C9,""Sell_"",""""),Upgrades!$B$3:$B$13,0))*1.15^(COUNTIF(C$4:C8,SUBSTITUTE(C9,""Sell_"",""""))-COUNTIF(C$4:C8,""Sell_""&amp;SUBS"&amp;"TITUTE(C9,""Sell_"",""""))))/2),ROUNDUP(INDEX(Upgrades!$C$3:$C$13,MATCH(C9,Upgrades!$B$3:$B$13,0))*1.15^(COUNTIF(C$4:C8,C9)-COUNTIF(C$4:C8,""Sell_""&amp;C9))))))"),20.0)</f>
        <v>20</v>
      </c>
      <c r="H9" s="10">
        <f t="shared" si="3"/>
        <v>20</v>
      </c>
      <c r="I9" s="68">
        <f t="shared" si="4"/>
        <v>93.87340509</v>
      </c>
      <c r="J9" s="59" t="str">
        <f t="shared" si="5"/>
        <v>1m 33s</v>
      </c>
      <c r="K9" s="69">
        <f t="shared" si="6"/>
        <v>1128</v>
      </c>
      <c r="L9" s="60">
        <f t="shared" si="7"/>
        <v>0</v>
      </c>
      <c r="M9" s="61">
        <f>IFERROR(__xludf.DUMMYFUNCTION("IFS(AND(COUNTA(C9:C1644)=0,COUNTA(Q9:Q1644)=0),"""",OR(AND(K9&gt;=1000000000,OR(Y9&gt;=1000000000,COUNTA(Q9:Q1644)=0)),OR(Y9&gt;=1000000000,AND(COUNTA(C9:C1644)=0,P$3=TRUE))),
ROUNDDOWN((AB$1-AC$1)*MAX(INDEX(T$4:T1644,MATCH(LARGE(FILTER(Y$4:Y1644,Y$4:Y1644&lt;1000000"&amp;"000),1),Y$4:Y1644)),INDEX(F$4:F1644,MATCH(LARGE(FILTER(K$4:K1644,K$4:K1644&lt;1000000000),1),K$4:K1644)))),AND(K9&lt;1000000000,COUNTA(C9:C1644)&gt;0,P$3=FALSE),
ROUNDDOWN(INDEX(Y$4:Y1644,MATCH(LARGE(FILTER(W$4:W1644,W$4:W1644&lt;=I9),1),W$4:W1644))+(I9-LARGE(FILTER("&amp;"W$4:W1644,W$4:W1644&lt;=I9),1))*INDEX(T$4:T1644,MATCH(LARGE(FILTER(W$4:W1644,W$4:W1644&lt;=I9),1),W$4:W1644))-K9),1,
ROUNDDOWN(Y9-INDEX(K$4:K1644,MATCH(LARGE(FILTER(I$4:I1644,I$4:I1644&lt;=W9),1),I$4:I1644))-(W9-LARGE(FILTER(I$4:I1644,I$4:I1644&lt;=W9),1))*INDEX(F$4:"&amp;"F1644,MATCH(LARGE(FILTER(I$4:I1644,I$4:I1644&lt;=W9),1),I$4:I1644))))"),0.0)</f>
        <v>0</v>
      </c>
      <c r="N9" s="60">
        <f t="shared" si="8"/>
        <v>0</v>
      </c>
      <c r="O9" s="61">
        <f t="shared" si="9"/>
        <v>0</v>
      </c>
      <c r="P9" s="56">
        <f t="shared" si="10"/>
        <v>3</v>
      </c>
      <c r="Q9" s="67" t="s">
        <v>3</v>
      </c>
      <c r="R9" s="10" t="b">
        <f>IFERROR(__xludf.DUMMYFUNCTION("IF(COUNTA(Q9:Q1644)=0,"""",IF(ISBLANK(Q9),FALSE,IF(NOT(COUNTIF($AA$24:$AA$34,SUBSTITUTE(Q9,""Sell_"",""""))),1,IF(REGEXMATCH(Q9,""Sell_""),IF(COUNTIF(Q$4:Q9,SUBSTITUTE(Q9,""Sell_"",""""))-COUNTIF(Q$4:Q8,Q9)&lt;1,1),FALSE))))"),FALSE)</f>
        <v>0</v>
      </c>
      <c r="S9" s="59">
        <f t="array" ref="S9">IF(COUNTA(Q9:Q1644)=0,"",SUM((COUNTIF(Q$4:Q9,Upgrades!$B$3:$B$13)-COUNTIF(Q$4:Q9,"Sell_"&amp;Upgrades!$B$3:$B$13))*Upgrades!$D$3:$D$13))</f>
        <v>8.3</v>
      </c>
      <c r="T9" s="66">
        <f>IFERROR(__xludf.DUMMYFUNCTION("IF(COUNTA(Q9:Q1644)=0,"""",IF(REGEXMATCH(INDEX(FILTER(Q$4:Q9,Q$4:Q9&lt;&gt;""""),ROWS(FILTER(Q$4:Q9,Q$4:Q9&lt;&gt;""""))),""^Sell_""),INDEX(FILTER(T$4:T8,Q$4:Q8&lt;&gt;""""),ROWS(FILTER(Q$4:Q8,Q$4:Q8&lt;&gt;""""))),$AD$5+S9))"),18.3)</f>
        <v>18.3</v>
      </c>
      <c r="U9" s="10">
        <f>IFERROR(__xludf.DUMMYFUNCTION("IF(COUNTA(Q9:Q1644)=0,"""",IF(Q9="""",0,IF(REGEXMATCH(Q9,""^Sell_""),-ROUNDDOWN(ROUNDUP(INDEX(Upgrades!$C$3:$C$13,MATCH(SUBSTITUTE(Q9,""Sell_"",""""),Upgrades!$B$3:$B$13,0))*1.15^(COUNTIF(Q$4:Q8,SUBSTITUTE(Q9,""Sell_"",""""))-COUNTIF(Q$4:Q8,""Sell_""&amp;SUBS"&amp;"TITUTE(Q9,""Sell_"",""""))))/2),ROUNDUP(INDEX(Upgrades!$C$3:$C$13,MATCH(Q9,Upgrades!$B$3:$B$13,0))*1.15^(COUNTIF(Q$4:Q8,Q9)-COUNTIF(Q$4:Q8,""Sell_""&amp;Q9))))))"),20.0)</f>
        <v>20</v>
      </c>
      <c r="V9" s="10">
        <f t="shared" si="11"/>
        <v>20</v>
      </c>
      <c r="W9" s="68">
        <f t="shared" si="12"/>
        <v>93.87340509</v>
      </c>
      <c r="X9" s="59" t="str">
        <f t="shared" si="13"/>
        <v>1m 33s</v>
      </c>
      <c r="Y9" s="69">
        <f t="shared" si="14"/>
        <v>1128</v>
      </c>
      <c r="Z9" s="11"/>
      <c r="AA9" s="80" t="s">
        <v>44</v>
      </c>
      <c r="AB9" s="81"/>
      <c r="AC9" s="81"/>
      <c r="AD9" s="81"/>
      <c r="AE9" s="81"/>
      <c r="AF9" s="82"/>
    </row>
    <row r="10">
      <c r="A10" s="8"/>
      <c r="B10" s="56">
        <f t="shared" si="2"/>
        <v>3</v>
      </c>
      <c r="C10" s="67" t="s">
        <v>5</v>
      </c>
      <c r="D10" s="10" t="b">
        <f>IFERROR(__xludf.DUMMYFUNCTION("IF(COUNTA(C10:C1644)=0,"""",IF(ISBLANK(C10),FALSE,IF(NOT(COUNTIF($AA$24:$AA$34,SUBSTITUTE(C10,""Sell_"",""""))),1,IF(REGEXMATCH(C10,""Sell_""),IF(COUNTIF(C$4:C10,SUBSTITUTE(C10,""Sell_"",""""))-COUNTIF(C$4:C9,C10)&lt;1,1),FALSE))))"),FALSE)</f>
        <v>0</v>
      </c>
      <c r="E10" s="59">
        <f t="array" ref="E10">IF(COUNTA(C10:C1644)=0,"",SUM((COUNTIF(C$4:C10,Upgrades!$B$3:$B$13)-COUNTIF(C$4:C10,"Sell_"&amp;Upgrades!$B$3:$B$13))*Upgrades!$D$3:$D$13))</f>
        <v>12.3</v>
      </c>
      <c r="F10" s="66">
        <f>IFERROR(__xludf.DUMMYFUNCTION("IF(COUNTA(C10:C1644)=0,"""",IF(REGEXMATCH(INDEX(FILTER(C$4:C10,C$4:C10&lt;&gt;""""),ROWS(FILTER(C$4:C10,C$4:C10&lt;&gt;""""))),""^Sell_""),INDEX(FILTER(F$4:F9,C$4:C9&lt;&gt;""""),ROWS(FILTER(C$4:C9,C$4:C9&lt;&gt;""""))),$AC$5+E10))"),22.3)</f>
        <v>22.3</v>
      </c>
      <c r="G10" s="10">
        <f>IFERROR(__xludf.DUMMYFUNCTION("IF(COUNTA(C10:C1644)=0,"""",IF(C10="""",0,IF(REGEXMATCH(C10,""^Sell_""),-ROUNDDOWN(ROUNDUP(INDEX(Upgrades!$C$3:$C$13,MATCH(SUBSTITUTE(C10,""Sell_"",""""),Upgrades!$B$3:$B$13,0))*1.15^(COUNTIF(C$4:C9,SUBSTITUTE(C10,""Sell_"",""""))-COUNTIF(C$4:C9,""Sell_"""&amp;"&amp;SUBSTITUTE(C10,""Sell_"",""""))))/2),ROUNDUP(INDEX(Upgrades!$C$3:$C$13,MATCH(C10,Upgrades!$B$3:$B$13,0))*1.15^(COUNTIF(C$4:C9,C10)-COUNTIF(C$4:C9,""Sell_""&amp;C10))))))"),662.0)</f>
        <v>662</v>
      </c>
      <c r="H10" s="10">
        <f t="shared" si="3"/>
        <v>662</v>
      </c>
      <c r="I10" s="68">
        <f t="shared" si="4"/>
        <v>130.0482685</v>
      </c>
      <c r="J10" s="59" t="str">
        <f t="shared" si="5"/>
        <v>2m 10s</v>
      </c>
      <c r="K10" s="69">
        <f t="shared" si="6"/>
        <v>1790</v>
      </c>
      <c r="L10" s="60">
        <f t="shared" si="7"/>
        <v>0</v>
      </c>
      <c r="M10" s="61">
        <f>IFERROR(__xludf.DUMMYFUNCTION("IFS(AND(COUNTA(C10:C1644)=0,COUNTA(Q10:Q1644)=0),"""",OR(AND(K10&gt;=1000000000,OR(Y10&gt;=1000000000,COUNTA(Q10:Q1644)=0)),OR(Y10&gt;=1000000000,AND(COUNTA(C10:C1644)=0,P$3=TRUE))),
ROUNDDOWN((AB$1-AC$1)*MAX(INDEX(T$4:T1644,MATCH(LARGE(FILTER(Y$4:Y1644,Y$4:Y1644&lt;"&amp;"1000000000),1),Y$4:Y1644)),INDEX(F$4:F1644,MATCH(LARGE(FILTER(K$4:K1644,K$4:K1644&lt;1000000000),1),K$4:K1644)))),AND(K10&lt;1000000000,COUNTA(C10:C1644)&gt;0,P$3=FALSE),
ROUNDDOWN(INDEX(Y$4:Y1644,MATCH(LARGE(FILTER(W$4:W1644,W$4:W1644&lt;=I10),1),W$4:W1644))+(I10-LA"&amp;"RGE(FILTER(W$4:W1644,W$4:W1644&lt;=I10),1))*INDEX(T$4:T1644,MATCH(LARGE(FILTER(W$4:W1644,W$4:W1644&lt;=I10),1),W$4:W1644))-K10),1,
ROUNDDOWN(Y10-INDEX(K$4:K1644,MATCH(LARGE(FILTER(I$4:I1644,I$4:I1644&lt;=W10),1),I$4:I1644))-(W10-LARGE(FILTER(I$4:I1644,I$4:I1644&lt;=W"&amp;"10),1))*INDEX(F$4:F1644,MATCH(LARGE(FILTER(I$4:I1644,I$4:I1644&lt;=W10),1),I$4:I1644))))"),0.0)</f>
        <v>0</v>
      </c>
      <c r="N10" s="60">
        <f t="shared" si="8"/>
        <v>0</v>
      </c>
      <c r="O10" s="61">
        <f t="shared" si="9"/>
        <v>0</v>
      </c>
      <c r="P10" s="56">
        <f t="shared" si="10"/>
        <v>3</v>
      </c>
      <c r="Q10" s="67" t="s">
        <v>5</v>
      </c>
      <c r="R10" s="10" t="b">
        <f>IFERROR(__xludf.DUMMYFUNCTION("IF(COUNTA(Q10:Q1644)=0,"""",IF(ISBLANK(Q10),FALSE,IF(NOT(COUNTIF($AA$24:$AA$34,SUBSTITUTE(Q10,""Sell_"",""""))),1,IF(REGEXMATCH(Q10,""Sell_""),IF(COUNTIF(Q$4:Q10,SUBSTITUTE(Q10,""Sell_"",""""))-COUNTIF(Q$4:Q9,Q10)&lt;1,1),FALSE))))"),FALSE)</f>
        <v>0</v>
      </c>
      <c r="S10" s="59">
        <f t="array" ref="S10">IF(COUNTA(Q10:Q1644)=0,"",SUM((COUNTIF(Q$4:Q10,Upgrades!$B$3:$B$13)-COUNTIF(Q$4:Q10,"Sell_"&amp;Upgrades!$B$3:$B$13))*Upgrades!$D$3:$D$13))</f>
        <v>12.3</v>
      </c>
      <c r="T10" s="66">
        <f>IFERROR(__xludf.DUMMYFUNCTION("IF(COUNTA(Q10:Q1644)=0,"""",IF(REGEXMATCH(INDEX(FILTER(Q$4:Q10,Q$4:Q10&lt;&gt;""""),ROWS(FILTER(Q$4:Q10,Q$4:Q10&lt;&gt;""""))),""^Sell_""),INDEX(FILTER(T$4:T9,Q$4:Q9&lt;&gt;""""),ROWS(FILTER(Q$4:Q9,Q$4:Q9&lt;&gt;""""))),$AD$5+S10))"),22.3)</f>
        <v>22.3</v>
      </c>
      <c r="U10" s="10">
        <f>IFERROR(__xludf.DUMMYFUNCTION("IF(COUNTA(Q10:Q1644)=0,"""",IF(Q10="""",0,IF(REGEXMATCH(Q10,""^Sell_""),-ROUNDDOWN(ROUNDUP(INDEX(Upgrades!$C$3:$C$13,MATCH(SUBSTITUTE(Q10,""Sell_"",""""),Upgrades!$B$3:$B$13,0))*1.15^(COUNTIF(Q$4:Q9,SUBSTITUTE(Q10,""Sell_"",""""))-COUNTIF(Q$4:Q9,""Sell_"""&amp;"&amp;SUBSTITUTE(Q10,""Sell_"",""""))))/2),ROUNDUP(INDEX(Upgrades!$C$3:$C$13,MATCH(Q10,Upgrades!$B$3:$B$13,0))*1.15^(COUNTIF(Q$4:Q9,Q10)-COUNTIF(Q$4:Q9,""Sell_""&amp;Q10))))))"),662.0)</f>
        <v>662</v>
      </c>
      <c r="V10" s="10">
        <f t="shared" si="11"/>
        <v>662</v>
      </c>
      <c r="W10" s="68">
        <f t="shared" si="12"/>
        <v>130.0482685</v>
      </c>
      <c r="X10" s="59" t="str">
        <f t="shared" si="13"/>
        <v>2m 10s</v>
      </c>
      <c r="Y10" s="69">
        <f t="shared" si="14"/>
        <v>1790</v>
      </c>
      <c r="Z10" s="11"/>
      <c r="AA10" s="83" t="s">
        <v>45</v>
      </c>
      <c r="AB10" s="84"/>
      <c r="AC10" s="84"/>
      <c r="AD10" s="84"/>
      <c r="AE10" s="84"/>
      <c r="AF10" s="85"/>
    </row>
    <row r="11">
      <c r="A11" s="8"/>
      <c r="B11" s="56">
        <f t="shared" si="2"/>
        <v>1</v>
      </c>
      <c r="C11" s="67" t="s">
        <v>4</v>
      </c>
      <c r="D11" s="10" t="b">
        <f>IFERROR(__xludf.DUMMYFUNCTION("IF(COUNTA(C11:C1644)=0,"""",IF(ISBLANK(C11),FALSE,IF(NOT(COUNTIF($AA$24:$AA$34,SUBSTITUTE(C11,""Sell_"",""""))),1,IF(REGEXMATCH(C11,""Sell_""),IF(COUNTIF(C$4:C11,SUBSTITUTE(C11,""Sell_"",""""))-COUNTIF(C$4:C10,C11)&lt;1,1),FALSE))))"),FALSE)</f>
        <v>0</v>
      </c>
      <c r="E11" s="59">
        <f t="array" ref="E11">IF(COUNTA(C11:C1644)=0,"",SUM((COUNTIF(C$4:C11,Upgrades!$B$3:$B$13)-COUNTIF(C$4:C11,"Sell_"&amp;Upgrades!$B$3:$B$13))*Upgrades!$D$3:$D$13))</f>
        <v>12.8</v>
      </c>
      <c r="F11" s="66">
        <f>IFERROR(__xludf.DUMMYFUNCTION("IF(COUNTA(C11:C1644)=0,"""",IF(REGEXMATCH(INDEX(FILTER(C$4:C11,C$4:C11&lt;&gt;""""),ROWS(FILTER(C$4:C11,C$4:C11&lt;&gt;""""))),""^Sell_""),INDEX(FILTER(F$4:F10,C$4:C10&lt;&gt;""""),ROWS(FILTER(C$4:C10,C$4:C10&lt;&gt;""""))),$AC$5+E11))"),22.8)</f>
        <v>22.8</v>
      </c>
      <c r="G11" s="10">
        <f>IFERROR(__xludf.DUMMYFUNCTION("IF(COUNTA(C11:C1644)=0,"""",IF(C11="""",0,IF(REGEXMATCH(C11,""^Sell_""),-ROUNDDOWN(ROUNDUP(INDEX(Upgrades!$C$3:$C$13,MATCH(SUBSTITUTE(C11,""Sell_"",""""),Upgrades!$B$3:$B$13,0))*1.15^(COUNTIF(C$4:C10,SUBSTITUTE(C11,""Sell_"",""""))-COUNTIF(C$4:C10,""Sell_"&amp;"""&amp;SUBSTITUTE(C11,""Sell_"",""""))))/2),ROUNDUP(INDEX(Upgrades!$C$3:$C$13,MATCH(C11,Upgrades!$B$3:$B$13,0))*1.15^(COUNTIF(C$4:C10,C11)-COUNTIF(C$4:C10,""Sell_""&amp;C11))))))"),100.0)</f>
        <v>100</v>
      </c>
      <c r="H11" s="10">
        <f t="shared" si="3"/>
        <v>100</v>
      </c>
      <c r="I11" s="68">
        <f t="shared" si="4"/>
        <v>134.5325734</v>
      </c>
      <c r="J11" s="59" t="str">
        <f t="shared" si="5"/>
        <v>2m 14s</v>
      </c>
      <c r="K11" s="69">
        <f t="shared" si="6"/>
        <v>1890</v>
      </c>
      <c r="L11" s="60">
        <f t="shared" si="7"/>
        <v>0</v>
      </c>
      <c r="M11" s="61">
        <f>IFERROR(__xludf.DUMMYFUNCTION("IFS(AND(COUNTA(C11:C1644)=0,COUNTA(Q11:Q1644)=0),"""",OR(AND(K11&gt;=1000000000,OR(Y11&gt;=1000000000,COUNTA(Q11:Q1644)=0)),OR(Y11&gt;=1000000000,AND(COUNTA(C11:C1644)=0,P$3=TRUE))),
ROUNDDOWN((AB$1-AC$1)*MAX(INDEX(T$4:T1644,MATCH(LARGE(FILTER(Y$4:Y1644,Y$4:Y1644&lt;"&amp;"1000000000),1),Y$4:Y1644)),INDEX(F$4:F1644,MATCH(LARGE(FILTER(K$4:K1644,K$4:K1644&lt;1000000000),1),K$4:K1644)))),AND(K11&lt;1000000000,COUNTA(C11:C1644)&gt;0,P$3=FALSE),
ROUNDDOWN(INDEX(Y$4:Y1644,MATCH(LARGE(FILTER(W$4:W1644,W$4:W1644&lt;=I11),1),W$4:W1644))+(I11-LA"&amp;"RGE(FILTER(W$4:W1644,W$4:W1644&lt;=I11),1))*INDEX(T$4:T1644,MATCH(LARGE(FILTER(W$4:W1644,W$4:W1644&lt;=I11),1),W$4:W1644))-K11),1,
ROUNDDOWN(Y11-INDEX(K$4:K1644,MATCH(LARGE(FILTER(I$4:I1644,I$4:I1644&lt;=W11),1),I$4:I1644))-(W11-LARGE(FILTER(I$4:I1644,I$4:I1644&lt;=W"&amp;"11),1))*INDEX(F$4:F1644,MATCH(LARGE(FILTER(I$4:I1644,I$4:I1644&lt;=W11),1),I$4:I1644))))"),0.0)</f>
        <v>0</v>
      </c>
      <c r="N11" s="60">
        <f t="shared" si="8"/>
        <v>0</v>
      </c>
      <c r="O11" s="61">
        <f t="shared" si="9"/>
        <v>0</v>
      </c>
      <c r="P11" s="56">
        <f t="shared" si="10"/>
        <v>1</v>
      </c>
      <c r="Q11" s="67" t="s">
        <v>4</v>
      </c>
      <c r="R11" s="10" t="b">
        <f>IFERROR(__xludf.DUMMYFUNCTION("IF(COUNTA(Q11:Q1644)=0,"""",IF(ISBLANK(Q11),FALSE,IF(NOT(COUNTIF($AA$24:$AA$34,SUBSTITUTE(Q11,""Sell_"",""""))),1,IF(REGEXMATCH(Q11,""Sell_""),IF(COUNTIF(Q$4:Q11,SUBSTITUTE(Q11,""Sell_"",""""))-COUNTIF(Q$4:Q10,Q11)&lt;1,1),FALSE))))"),FALSE)</f>
        <v>0</v>
      </c>
      <c r="S11" s="59">
        <f t="array" ref="S11">IF(COUNTA(Q11:Q1644)=0,"",SUM((COUNTIF(Q$4:Q11,Upgrades!$B$3:$B$13)-COUNTIF(Q$4:Q11,"Sell_"&amp;Upgrades!$B$3:$B$13))*Upgrades!$D$3:$D$13))</f>
        <v>12.8</v>
      </c>
      <c r="T11" s="66">
        <f>IFERROR(__xludf.DUMMYFUNCTION("IF(COUNTA(Q11:Q1644)=0,"""",IF(REGEXMATCH(INDEX(FILTER(Q$4:Q11,Q$4:Q11&lt;&gt;""""),ROWS(FILTER(Q$4:Q11,Q$4:Q11&lt;&gt;""""))),""^Sell_""),INDEX(FILTER(T$4:T10,Q$4:Q10&lt;&gt;""""),ROWS(FILTER(Q$4:Q10,Q$4:Q10&lt;&gt;""""))),$AD$5+S11))"),22.8)</f>
        <v>22.8</v>
      </c>
      <c r="U11" s="10">
        <f>IFERROR(__xludf.DUMMYFUNCTION("IF(COUNTA(Q11:Q1644)=0,"""",IF(Q11="""",0,IF(REGEXMATCH(Q11,""^Sell_""),-ROUNDDOWN(ROUNDUP(INDEX(Upgrades!$C$3:$C$13,MATCH(SUBSTITUTE(Q11,""Sell_"",""""),Upgrades!$B$3:$B$13,0))*1.15^(COUNTIF(Q$4:Q10,SUBSTITUTE(Q11,""Sell_"",""""))-COUNTIF(Q$4:Q10,""Sell_"&amp;"""&amp;SUBSTITUTE(Q11,""Sell_"",""""))))/2),ROUNDUP(INDEX(Upgrades!$C$3:$C$13,MATCH(Q11,Upgrades!$B$3:$B$13,0))*1.15^(COUNTIF(Q$4:Q10,Q11)-COUNTIF(Q$4:Q10,""Sell_""&amp;Q11))))))"),100.0)</f>
        <v>100</v>
      </c>
      <c r="V11" s="10">
        <f t="shared" si="11"/>
        <v>100</v>
      </c>
      <c r="W11" s="68">
        <f t="shared" si="12"/>
        <v>134.5325734</v>
      </c>
      <c r="X11" s="59" t="str">
        <f t="shared" si="13"/>
        <v>2m 14s</v>
      </c>
      <c r="Y11" s="69">
        <f t="shared" si="14"/>
        <v>1890</v>
      </c>
      <c r="Z11" s="11"/>
      <c r="AA11" s="83" t="s">
        <v>46</v>
      </c>
      <c r="AB11" s="84"/>
      <c r="AC11" s="84"/>
      <c r="AD11" s="84"/>
      <c r="AE11" s="84"/>
      <c r="AF11" s="85"/>
    </row>
    <row r="12">
      <c r="A12" s="8"/>
      <c r="B12" s="56">
        <f t="shared" si="2"/>
        <v>4</v>
      </c>
      <c r="C12" s="67" t="s">
        <v>5</v>
      </c>
      <c r="D12" s="10" t="b">
        <f>IFERROR(__xludf.DUMMYFUNCTION("IF(COUNTA(C12:C1644)=0,"""",IF(ISBLANK(C12),FALSE,IF(NOT(COUNTIF($AA$24:$AA$34,SUBSTITUTE(C12,""Sell_"",""""))),1,IF(REGEXMATCH(C12,""Sell_""),IF(COUNTIF(C$4:C12,SUBSTITUTE(C12,""Sell_"",""""))-COUNTIF(C$4:C11,C12)&lt;1,1),FALSE))))"),FALSE)</f>
        <v>0</v>
      </c>
      <c r="E12" s="59">
        <f t="array" ref="E12">IF(COUNTA(C12:C1644)=0,"",SUM((COUNTIF(C$4:C12,Upgrades!$B$3:$B$13)-COUNTIF(C$4:C12,"Sell_"&amp;Upgrades!$B$3:$B$13))*Upgrades!$D$3:$D$13))</f>
        <v>16.8</v>
      </c>
      <c r="F12" s="66">
        <f>IFERROR(__xludf.DUMMYFUNCTION("IF(COUNTA(C12:C1644)=0,"""",IF(REGEXMATCH(INDEX(FILTER(C$4:C12,C$4:C12&lt;&gt;""""),ROWS(FILTER(C$4:C12,C$4:C12&lt;&gt;""""))),""^Sell_""),INDEX(FILTER(F$4:F11,C$4:C11&lt;&gt;""""),ROWS(FILTER(C$4:C11,C$4:C11&lt;&gt;""""))),$AC$5+E12))"),26.8)</f>
        <v>26.8</v>
      </c>
      <c r="G12" s="10">
        <f>IFERROR(__xludf.DUMMYFUNCTION("IF(COUNTA(C12:C1644)=0,"""",IF(C12="""",0,IF(REGEXMATCH(C12,""^Sell_""),-ROUNDDOWN(ROUNDUP(INDEX(Upgrades!$C$3:$C$13,MATCH(SUBSTITUTE(C12,""Sell_"",""""),Upgrades!$B$3:$B$13,0))*1.15^(COUNTIF(C$4:C11,SUBSTITUTE(C12,""Sell_"",""""))-COUNTIF(C$4:C11,""Sell_"&amp;"""&amp;SUBSTITUTE(C12,""Sell_"",""""))))/2),ROUNDUP(INDEX(Upgrades!$C$3:$C$13,MATCH(C12,Upgrades!$B$3:$B$13,0))*1.15^(COUNTIF(C$4:C11,C12)-COUNTIF(C$4:C11,""Sell_""&amp;C12))))))"),761.0)</f>
        <v>761</v>
      </c>
      <c r="H12" s="10">
        <f t="shared" si="3"/>
        <v>761</v>
      </c>
      <c r="I12" s="68">
        <f t="shared" si="4"/>
        <v>167.9097664</v>
      </c>
      <c r="J12" s="59" t="str">
        <f t="shared" si="5"/>
        <v>2m 47s</v>
      </c>
      <c r="K12" s="69">
        <f t="shared" si="6"/>
        <v>2651</v>
      </c>
      <c r="L12" s="60">
        <f t="shared" si="7"/>
        <v>0</v>
      </c>
      <c r="M12" s="61">
        <f>IFERROR(__xludf.DUMMYFUNCTION("IFS(AND(COUNTA(C12:C1644)=0,COUNTA(Q12:Q1644)=0),"""",OR(AND(K12&gt;=1000000000,OR(Y12&gt;=1000000000,COUNTA(Q12:Q1644)=0)),OR(Y12&gt;=1000000000,AND(COUNTA(C12:C1644)=0,P$3=TRUE))),
ROUNDDOWN((AB$1-AC$1)*MAX(INDEX(T$4:T1644,MATCH(LARGE(FILTER(Y$4:Y1644,Y$4:Y1644&lt;"&amp;"1000000000),1),Y$4:Y1644)),INDEX(F$4:F1644,MATCH(LARGE(FILTER(K$4:K1644,K$4:K1644&lt;1000000000),1),K$4:K1644)))),AND(K12&lt;1000000000,COUNTA(C12:C1644)&gt;0,P$3=FALSE),
ROUNDDOWN(INDEX(Y$4:Y1644,MATCH(LARGE(FILTER(W$4:W1644,W$4:W1644&lt;=I12),1),W$4:W1644))+(I12-LA"&amp;"RGE(FILTER(W$4:W1644,W$4:W1644&lt;=I12),1))*INDEX(T$4:T1644,MATCH(LARGE(FILTER(W$4:W1644,W$4:W1644&lt;=I12),1),W$4:W1644))-K12),1,
ROUNDDOWN(Y12-INDEX(K$4:K1644,MATCH(LARGE(FILTER(I$4:I1644,I$4:I1644&lt;=W12),1),I$4:I1644))-(W12-LARGE(FILTER(I$4:I1644,I$4:I1644&lt;=W"&amp;"12),1))*INDEX(F$4:F1644,MATCH(LARGE(FILTER(I$4:I1644,I$4:I1644&lt;=W12),1),I$4:I1644))))"),0.0)</f>
        <v>0</v>
      </c>
      <c r="N12" s="60">
        <f t="shared" si="8"/>
        <v>0</v>
      </c>
      <c r="O12" s="61">
        <f t="shared" si="9"/>
        <v>0</v>
      </c>
      <c r="P12" s="56">
        <f t="shared" si="10"/>
        <v>4</v>
      </c>
      <c r="Q12" s="67" t="s">
        <v>5</v>
      </c>
      <c r="R12" s="10" t="b">
        <f>IFERROR(__xludf.DUMMYFUNCTION("IF(COUNTA(Q12:Q1644)=0,"""",IF(ISBLANK(Q12),FALSE,IF(NOT(COUNTIF($AA$24:$AA$34,SUBSTITUTE(Q12,""Sell_"",""""))),1,IF(REGEXMATCH(Q12,""Sell_""),IF(COUNTIF(Q$4:Q12,SUBSTITUTE(Q12,""Sell_"",""""))-COUNTIF(Q$4:Q11,Q12)&lt;1,1),FALSE))))"),FALSE)</f>
        <v>0</v>
      </c>
      <c r="S12" s="59">
        <f t="array" ref="S12">IF(COUNTA(Q12:Q1644)=0,"",SUM((COUNTIF(Q$4:Q12,Upgrades!$B$3:$B$13)-COUNTIF(Q$4:Q12,"Sell_"&amp;Upgrades!$B$3:$B$13))*Upgrades!$D$3:$D$13))</f>
        <v>16.8</v>
      </c>
      <c r="T12" s="66">
        <f>IFERROR(__xludf.DUMMYFUNCTION("IF(COUNTA(Q12:Q1644)=0,"""",IF(REGEXMATCH(INDEX(FILTER(Q$4:Q12,Q$4:Q12&lt;&gt;""""),ROWS(FILTER(Q$4:Q12,Q$4:Q12&lt;&gt;""""))),""^Sell_""),INDEX(FILTER(T$4:T11,Q$4:Q11&lt;&gt;""""),ROWS(FILTER(Q$4:Q11,Q$4:Q11&lt;&gt;""""))),$AD$5+S12))"),26.8)</f>
        <v>26.8</v>
      </c>
      <c r="U12" s="10">
        <f>IFERROR(__xludf.DUMMYFUNCTION("IF(COUNTA(Q12:Q1644)=0,"""",IF(Q12="""",0,IF(REGEXMATCH(Q12,""^Sell_""),-ROUNDDOWN(ROUNDUP(INDEX(Upgrades!$C$3:$C$13,MATCH(SUBSTITUTE(Q12,""Sell_"",""""),Upgrades!$B$3:$B$13,0))*1.15^(COUNTIF(Q$4:Q11,SUBSTITUTE(Q12,""Sell_"",""""))-COUNTIF(Q$4:Q11,""Sell_"&amp;"""&amp;SUBSTITUTE(Q12,""Sell_"",""""))))/2),ROUNDUP(INDEX(Upgrades!$C$3:$C$13,MATCH(Q12,Upgrades!$B$3:$B$13,0))*1.15^(COUNTIF(Q$4:Q11,Q12)-COUNTIF(Q$4:Q11,""Sell_""&amp;Q12))))))"),761.0)</f>
        <v>761</v>
      </c>
      <c r="V12" s="10">
        <f t="shared" si="11"/>
        <v>761</v>
      </c>
      <c r="W12" s="68">
        <f t="shared" si="12"/>
        <v>167.9097664</v>
      </c>
      <c r="X12" s="59" t="str">
        <f t="shared" si="13"/>
        <v>2m 47s</v>
      </c>
      <c r="Y12" s="69">
        <f t="shared" si="14"/>
        <v>2651</v>
      </c>
      <c r="Z12" s="11"/>
      <c r="AA12" s="86" t="s">
        <v>47</v>
      </c>
      <c r="AB12" s="87"/>
      <c r="AC12" s="87"/>
      <c r="AD12" s="87"/>
      <c r="AE12" s="87"/>
      <c r="AF12" s="88"/>
    </row>
    <row r="13">
      <c r="A13" s="8"/>
      <c r="B13" s="56">
        <f t="shared" si="2"/>
        <v>4</v>
      </c>
      <c r="C13" s="67" t="s">
        <v>3</v>
      </c>
      <c r="D13" s="10" t="b">
        <f>IFERROR(__xludf.DUMMYFUNCTION("IF(COUNTA(C13:C1644)=0,"""",IF(ISBLANK(C13),FALSE,IF(NOT(COUNTIF($AA$24:$AA$34,SUBSTITUTE(C13,""Sell_"",""""))),1,IF(REGEXMATCH(C13,""Sell_""),IF(COUNTIF(C$4:C13,SUBSTITUTE(C13,""Sell_"",""""))-COUNTIF(C$4:C12,C13)&lt;1,1),FALSE))))"),FALSE)</f>
        <v>0</v>
      </c>
      <c r="E13" s="59">
        <f t="array" ref="E13">IF(COUNTA(C13:C1644)=0,"",SUM((COUNTIF(C$4:C13,Upgrades!$B$3:$B$13)-COUNTIF(C$4:C13,"Sell_"&amp;Upgrades!$B$3:$B$13))*Upgrades!$D$3:$D$13))</f>
        <v>16.9</v>
      </c>
      <c r="F13" s="66">
        <f>IFERROR(__xludf.DUMMYFUNCTION("IF(COUNTA(C13:C1644)=0,"""",IF(REGEXMATCH(INDEX(FILTER(C$4:C13,C$4:C13&lt;&gt;""""),ROWS(FILTER(C$4:C13,C$4:C13&lt;&gt;""""))),""^Sell_""),INDEX(FILTER(F$4:F12,C$4:C12&lt;&gt;""""),ROWS(FILTER(C$4:C12,C$4:C12&lt;&gt;""""))),$AC$5+E13))"),26.9)</f>
        <v>26.9</v>
      </c>
      <c r="G13" s="10">
        <f>IFERROR(__xludf.DUMMYFUNCTION("IF(COUNTA(C13:C1644)=0,"""",IF(C13="""",0,IF(REGEXMATCH(C13,""^Sell_""),-ROUNDDOWN(ROUNDUP(INDEX(Upgrades!$C$3:$C$13,MATCH(SUBSTITUTE(C13,""Sell_"",""""),Upgrades!$B$3:$B$13,0))*1.15^(COUNTIF(C$4:C12,SUBSTITUTE(C13,""Sell_"",""""))-COUNTIF(C$4:C12,""Sell_"&amp;"""&amp;SUBSTITUTE(C13,""Sell_"",""""))))/2),ROUNDUP(INDEX(Upgrades!$C$3:$C$13,MATCH(C13,Upgrades!$B$3:$B$13,0))*1.15^(COUNTIF(C$4:C12,C13)-COUNTIF(C$4:C12,""Sell_""&amp;C13))))))"),23.0)</f>
        <v>23</v>
      </c>
      <c r="H13" s="10">
        <f t="shared" si="3"/>
        <v>23</v>
      </c>
      <c r="I13" s="68">
        <f t="shared" si="4"/>
        <v>168.7679753</v>
      </c>
      <c r="J13" s="59" t="str">
        <f t="shared" si="5"/>
        <v>2m 48s</v>
      </c>
      <c r="K13" s="69">
        <f t="shared" si="6"/>
        <v>2674</v>
      </c>
      <c r="L13" s="60">
        <f t="shared" si="7"/>
        <v>0</v>
      </c>
      <c r="M13" s="61">
        <f>IFERROR(__xludf.DUMMYFUNCTION("IFS(AND(COUNTA(C13:C1644)=0,COUNTA(Q13:Q1644)=0),"""",OR(AND(K13&gt;=1000000000,OR(Y13&gt;=1000000000,COUNTA(Q13:Q1644)=0)),OR(Y13&gt;=1000000000,AND(COUNTA(C13:C1644)=0,P$3=TRUE))),
ROUNDDOWN((AB$1-AC$1)*MAX(INDEX(T$4:T1644,MATCH(LARGE(FILTER(Y$4:Y1644,Y$4:Y1644&lt;"&amp;"1000000000),1),Y$4:Y1644)),INDEX(F$4:F1644,MATCH(LARGE(FILTER(K$4:K1644,K$4:K1644&lt;1000000000),1),K$4:K1644)))),AND(K13&lt;1000000000,COUNTA(C13:C1644)&gt;0,P$3=FALSE),
ROUNDDOWN(INDEX(Y$4:Y1644,MATCH(LARGE(FILTER(W$4:W1644,W$4:W1644&lt;=I13),1),W$4:W1644))+(I13-LA"&amp;"RGE(FILTER(W$4:W1644,W$4:W1644&lt;=I13),1))*INDEX(T$4:T1644,MATCH(LARGE(FILTER(W$4:W1644,W$4:W1644&lt;=I13),1),W$4:W1644))-K13),1,
ROUNDDOWN(Y13-INDEX(K$4:K1644,MATCH(LARGE(FILTER(I$4:I1644,I$4:I1644&lt;=W13),1),I$4:I1644))-(W13-LARGE(FILTER(I$4:I1644,I$4:I1644&lt;=W"&amp;"13),1))*INDEX(F$4:F1644,MATCH(LARGE(FILTER(I$4:I1644,I$4:I1644&lt;=W13),1),I$4:I1644))))"),0.0)</f>
        <v>0</v>
      </c>
      <c r="N13" s="60">
        <f t="shared" si="8"/>
        <v>0</v>
      </c>
      <c r="O13" s="61">
        <f t="shared" si="9"/>
        <v>0</v>
      </c>
      <c r="P13" s="56">
        <f t="shared" si="10"/>
        <v>4</v>
      </c>
      <c r="Q13" s="67" t="s">
        <v>3</v>
      </c>
      <c r="R13" s="10" t="b">
        <f>IFERROR(__xludf.DUMMYFUNCTION("IF(COUNTA(Q13:Q1644)=0,"""",IF(ISBLANK(Q13),FALSE,IF(NOT(COUNTIF($AA$24:$AA$34,SUBSTITUTE(Q13,""Sell_"",""""))),1,IF(REGEXMATCH(Q13,""Sell_""),IF(COUNTIF(Q$4:Q13,SUBSTITUTE(Q13,""Sell_"",""""))-COUNTIF(Q$4:Q12,Q13)&lt;1,1),FALSE))))"),FALSE)</f>
        <v>0</v>
      </c>
      <c r="S13" s="59">
        <f t="array" ref="S13">IF(COUNTA(Q13:Q1644)=0,"",SUM((COUNTIF(Q$4:Q13,Upgrades!$B$3:$B$13)-COUNTIF(Q$4:Q13,"Sell_"&amp;Upgrades!$B$3:$B$13))*Upgrades!$D$3:$D$13))</f>
        <v>16.9</v>
      </c>
      <c r="T13" s="66">
        <f>IFERROR(__xludf.DUMMYFUNCTION("IF(COUNTA(Q13:Q1644)=0,"""",IF(REGEXMATCH(INDEX(FILTER(Q$4:Q13,Q$4:Q13&lt;&gt;""""),ROWS(FILTER(Q$4:Q13,Q$4:Q13&lt;&gt;""""))),""^Sell_""),INDEX(FILTER(T$4:T12,Q$4:Q12&lt;&gt;""""),ROWS(FILTER(Q$4:Q12,Q$4:Q12&lt;&gt;""""))),$AD$5+S13))"),26.9)</f>
        <v>26.9</v>
      </c>
      <c r="U13" s="10">
        <f>IFERROR(__xludf.DUMMYFUNCTION("IF(COUNTA(Q13:Q1644)=0,"""",IF(Q13="""",0,IF(REGEXMATCH(Q13,""^Sell_""),-ROUNDDOWN(ROUNDUP(INDEX(Upgrades!$C$3:$C$13,MATCH(SUBSTITUTE(Q13,""Sell_"",""""),Upgrades!$B$3:$B$13,0))*1.15^(COUNTIF(Q$4:Q12,SUBSTITUTE(Q13,""Sell_"",""""))-COUNTIF(Q$4:Q12,""Sell_"&amp;"""&amp;SUBSTITUTE(Q13,""Sell_"",""""))))/2),ROUNDUP(INDEX(Upgrades!$C$3:$C$13,MATCH(Q13,Upgrades!$B$3:$B$13,0))*1.15^(COUNTIF(Q$4:Q12,Q13)-COUNTIF(Q$4:Q12,""Sell_""&amp;Q13))))))"),23.0)</f>
        <v>23</v>
      </c>
      <c r="V13" s="10">
        <f t="shared" si="11"/>
        <v>23</v>
      </c>
      <c r="W13" s="68">
        <f t="shared" si="12"/>
        <v>168.7679753</v>
      </c>
      <c r="X13" s="59" t="str">
        <f t="shared" si="13"/>
        <v>2m 48s</v>
      </c>
      <c r="Y13" s="69">
        <f t="shared" si="14"/>
        <v>2674</v>
      </c>
      <c r="Z13" s="11"/>
    </row>
    <row r="14">
      <c r="A14" s="8"/>
      <c r="B14" s="56">
        <f t="shared" si="2"/>
        <v>2</v>
      </c>
      <c r="C14" s="67" t="s">
        <v>4</v>
      </c>
      <c r="D14" s="10" t="b">
        <f>IFERROR(__xludf.DUMMYFUNCTION("IF(COUNTA(C14:C1644)=0,"""",IF(ISBLANK(C14),FALSE,IF(NOT(COUNTIF($AA$24:$AA$34,SUBSTITUTE(C14,""Sell_"",""""))),1,IF(REGEXMATCH(C14,""Sell_""),IF(COUNTIF(C$4:C14,SUBSTITUTE(C14,""Sell_"",""""))-COUNTIF(C$4:C13,C14)&lt;1,1),FALSE))))"),FALSE)</f>
        <v>0</v>
      </c>
      <c r="E14" s="59">
        <f t="array" ref="E14">IF(COUNTA(C14:C1644)=0,"",SUM((COUNTIF(C$4:C14,Upgrades!$B$3:$B$13)-COUNTIF(C$4:C14,"Sell_"&amp;Upgrades!$B$3:$B$13))*Upgrades!$D$3:$D$13))</f>
        <v>17.4</v>
      </c>
      <c r="F14" s="66">
        <f>IFERROR(__xludf.DUMMYFUNCTION("IF(COUNTA(C14:C1644)=0,"""",IF(REGEXMATCH(INDEX(FILTER(C$4:C14,C$4:C14&lt;&gt;""""),ROWS(FILTER(C$4:C14,C$4:C14&lt;&gt;""""))),""^Sell_""),INDEX(FILTER(F$4:F13,C$4:C13&lt;&gt;""""),ROWS(FILTER(C$4:C13,C$4:C13&lt;&gt;""""))),$AC$5+E14))"),27.4)</f>
        <v>27.4</v>
      </c>
      <c r="G14" s="10">
        <f>IFERROR(__xludf.DUMMYFUNCTION("IF(COUNTA(C14:C1644)=0,"""",IF(C14="""",0,IF(REGEXMATCH(C14,""^Sell_""),-ROUNDDOWN(ROUNDUP(INDEX(Upgrades!$C$3:$C$13,MATCH(SUBSTITUTE(C14,""Sell_"",""""),Upgrades!$B$3:$B$13,0))*1.15^(COUNTIF(C$4:C13,SUBSTITUTE(C14,""Sell_"",""""))-COUNTIF(C$4:C13,""Sell_"&amp;"""&amp;SUBSTITUTE(C14,""Sell_"",""""))))/2),ROUNDUP(INDEX(Upgrades!$C$3:$C$13,MATCH(C14,Upgrades!$B$3:$B$13,0))*1.15^(COUNTIF(C$4:C13,C14)-COUNTIF(C$4:C13,""Sell_""&amp;C14))))))"),115.0)</f>
        <v>115</v>
      </c>
      <c r="H14" s="10">
        <f t="shared" si="3"/>
        <v>115</v>
      </c>
      <c r="I14" s="68">
        <f t="shared" si="4"/>
        <v>173.0430683</v>
      </c>
      <c r="J14" s="59" t="str">
        <f t="shared" si="5"/>
        <v>2m 53s</v>
      </c>
      <c r="K14" s="69">
        <f t="shared" si="6"/>
        <v>2789</v>
      </c>
      <c r="L14" s="60">
        <f t="shared" si="7"/>
        <v>0</v>
      </c>
      <c r="M14" s="61">
        <f>IFERROR(__xludf.DUMMYFUNCTION("IFS(AND(COUNTA(C14:C1644)=0,COUNTA(Q14:Q1644)=0),"""",OR(AND(K14&gt;=1000000000,OR(Y14&gt;=1000000000,COUNTA(Q14:Q1644)=0)),OR(Y14&gt;=1000000000,AND(COUNTA(C14:C1644)=0,P$3=TRUE))),
ROUNDDOWN((AB$1-AC$1)*MAX(INDEX(T$4:T1644,MATCH(LARGE(FILTER(Y$4:Y1644,Y$4:Y1644&lt;"&amp;"1000000000),1),Y$4:Y1644)),INDEX(F$4:F1644,MATCH(LARGE(FILTER(K$4:K1644,K$4:K1644&lt;1000000000),1),K$4:K1644)))),AND(K14&lt;1000000000,COUNTA(C14:C1644)&gt;0,P$3=FALSE),
ROUNDDOWN(INDEX(Y$4:Y1644,MATCH(LARGE(FILTER(W$4:W1644,W$4:W1644&lt;=I14),1),W$4:W1644))+(I14-LA"&amp;"RGE(FILTER(W$4:W1644,W$4:W1644&lt;=I14),1))*INDEX(T$4:T1644,MATCH(LARGE(FILTER(W$4:W1644,W$4:W1644&lt;=I14),1),W$4:W1644))-K14),1,
ROUNDDOWN(Y14-INDEX(K$4:K1644,MATCH(LARGE(FILTER(I$4:I1644,I$4:I1644&lt;=W14),1),I$4:I1644))-(W14-LARGE(FILTER(I$4:I1644,I$4:I1644&lt;=W"&amp;"14),1))*INDEX(F$4:F1644,MATCH(LARGE(FILTER(I$4:I1644,I$4:I1644&lt;=W14),1),I$4:I1644))))"),0.0)</f>
        <v>0</v>
      </c>
      <c r="N14" s="60">
        <f t="shared" si="8"/>
        <v>0</v>
      </c>
      <c r="O14" s="61">
        <f t="shared" si="9"/>
        <v>0</v>
      </c>
      <c r="P14" s="56">
        <f t="shared" si="10"/>
        <v>2</v>
      </c>
      <c r="Q14" s="67" t="s">
        <v>4</v>
      </c>
      <c r="R14" s="10" t="b">
        <f>IFERROR(__xludf.DUMMYFUNCTION("IF(COUNTA(Q14:Q1644)=0,"""",IF(ISBLANK(Q14),FALSE,IF(NOT(COUNTIF($AA$24:$AA$34,SUBSTITUTE(Q14,""Sell_"",""""))),1,IF(REGEXMATCH(Q14,""Sell_""),IF(COUNTIF(Q$4:Q14,SUBSTITUTE(Q14,""Sell_"",""""))-COUNTIF(Q$4:Q13,Q14)&lt;1,1),FALSE))))"),FALSE)</f>
        <v>0</v>
      </c>
      <c r="S14" s="59">
        <f t="array" ref="S14">IF(COUNTA(Q14:Q1644)=0,"",SUM((COUNTIF(Q$4:Q14,Upgrades!$B$3:$B$13)-COUNTIF(Q$4:Q14,"Sell_"&amp;Upgrades!$B$3:$B$13))*Upgrades!$D$3:$D$13))</f>
        <v>17.4</v>
      </c>
      <c r="T14" s="66">
        <f>IFERROR(__xludf.DUMMYFUNCTION("IF(COUNTA(Q14:Q1644)=0,"""",IF(REGEXMATCH(INDEX(FILTER(Q$4:Q14,Q$4:Q14&lt;&gt;""""),ROWS(FILTER(Q$4:Q14,Q$4:Q14&lt;&gt;""""))),""^Sell_""),INDEX(FILTER(T$4:T13,Q$4:Q13&lt;&gt;""""),ROWS(FILTER(Q$4:Q13,Q$4:Q13&lt;&gt;""""))),$AD$5+S14))"),27.4)</f>
        <v>27.4</v>
      </c>
      <c r="U14" s="10">
        <f>IFERROR(__xludf.DUMMYFUNCTION("IF(COUNTA(Q14:Q1644)=0,"""",IF(Q14="""",0,IF(REGEXMATCH(Q14,""^Sell_""),-ROUNDDOWN(ROUNDUP(INDEX(Upgrades!$C$3:$C$13,MATCH(SUBSTITUTE(Q14,""Sell_"",""""),Upgrades!$B$3:$B$13,0))*1.15^(COUNTIF(Q$4:Q13,SUBSTITUTE(Q14,""Sell_"",""""))-COUNTIF(Q$4:Q13,""Sell_"&amp;"""&amp;SUBSTITUTE(Q14,""Sell_"",""""))))/2),ROUNDUP(INDEX(Upgrades!$C$3:$C$13,MATCH(Q14,Upgrades!$B$3:$B$13,0))*1.15^(COUNTIF(Q$4:Q13,Q14)-COUNTIF(Q$4:Q13,""Sell_""&amp;Q14))))))"),115.0)</f>
        <v>115</v>
      </c>
      <c r="V14" s="10">
        <f t="shared" si="11"/>
        <v>115</v>
      </c>
      <c r="W14" s="68">
        <f t="shared" si="12"/>
        <v>173.0430683</v>
      </c>
      <c r="X14" s="59" t="str">
        <f t="shared" si="13"/>
        <v>2m 53s</v>
      </c>
      <c r="Y14" s="69">
        <f t="shared" si="14"/>
        <v>2789</v>
      </c>
      <c r="Z14" s="11"/>
      <c r="AA14" s="80" t="s">
        <v>48</v>
      </c>
      <c r="AB14" s="81"/>
      <c r="AC14" s="81"/>
      <c r="AD14" s="81"/>
      <c r="AE14" s="81"/>
      <c r="AF14" s="82"/>
    </row>
    <row r="15">
      <c r="A15" s="8"/>
      <c r="B15" s="56">
        <f t="shared" si="2"/>
        <v>5</v>
      </c>
      <c r="C15" s="67" t="s">
        <v>5</v>
      </c>
      <c r="D15" s="10" t="b">
        <f>IFERROR(__xludf.DUMMYFUNCTION("IF(COUNTA(C15:C1644)=0,"""",IF(ISBLANK(C15),FALSE,IF(NOT(COUNTIF($AA$24:$AA$34,SUBSTITUTE(C15,""Sell_"",""""))),1,IF(REGEXMATCH(C15,""Sell_""),IF(COUNTIF(C$4:C15,SUBSTITUTE(C15,""Sell_"",""""))-COUNTIF(C$4:C14,C15)&lt;1,1),FALSE))))"),FALSE)</f>
        <v>0</v>
      </c>
      <c r="E15" s="59">
        <f t="array" ref="E15">IF(COUNTA(C15:C1644)=0,"",SUM((COUNTIF(C$4:C15,Upgrades!$B$3:$B$13)-COUNTIF(C$4:C15,"Sell_"&amp;Upgrades!$B$3:$B$13))*Upgrades!$D$3:$D$13))</f>
        <v>21.4</v>
      </c>
      <c r="F15" s="66">
        <f>IFERROR(__xludf.DUMMYFUNCTION("IF(COUNTA(C15:C1644)=0,"""",IF(REGEXMATCH(INDEX(FILTER(C$4:C15,C$4:C15&lt;&gt;""""),ROWS(FILTER(C$4:C15,C$4:C15&lt;&gt;""""))),""^Sell_""),INDEX(FILTER(F$4:F14,C$4:C14&lt;&gt;""""),ROWS(FILTER(C$4:C14,C$4:C14&lt;&gt;""""))),$AC$5+E15))"),31.4)</f>
        <v>31.4</v>
      </c>
      <c r="G15" s="10">
        <f>IFERROR(__xludf.DUMMYFUNCTION("IF(COUNTA(C15:C1644)=0,"""",IF(C15="""",0,IF(REGEXMATCH(C15,""^Sell_""),-ROUNDDOWN(ROUNDUP(INDEX(Upgrades!$C$3:$C$13,MATCH(SUBSTITUTE(C15,""Sell_"",""""),Upgrades!$B$3:$B$13,0))*1.15^(COUNTIF(C$4:C14,SUBSTITUTE(C15,""Sell_"",""""))-COUNTIF(C$4:C14,""Sell_"&amp;"""&amp;SUBSTITUTE(C15,""Sell_"",""""))))/2),ROUNDUP(INDEX(Upgrades!$C$3:$C$13,MATCH(C15,Upgrades!$B$3:$B$13,0))*1.15^(COUNTIF(C$4:C14,C15)-COUNTIF(C$4:C14,""Sell_""&amp;C15))))))"),875.0)</f>
        <v>875</v>
      </c>
      <c r="H15" s="10">
        <f t="shared" si="3"/>
        <v>875</v>
      </c>
      <c r="I15" s="68">
        <f t="shared" si="4"/>
        <v>204.9773748</v>
      </c>
      <c r="J15" s="59" t="str">
        <f t="shared" si="5"/>
        <v>3m 24s</v>
      </c>
      <c r="K15" s="69">
        <f t="shared" si="6"/>
        <v>3664</v>
      </c>
      <c r="L15" s="60">
        <f t="shared" si="7"/>
        <v>0</v>
      </c>
      <c r="M15" s="61">
        <f>IFERROR(__xludf.DUMMYFUNCTION("IFS(AND(COUNTA(C15:C1644)=0,COUNTA(Q15:Q1644)=0),"""",OR(AND(K15&gt;=1000000000,OR(Y15&gt;=1000000000,COUNTA(Q15:Q1644)=0)),OR(Y15&gt;=1000000000,AND(COUNTA(C15:C1644)=0,P$3=TRUE))),
ROUNDDOWN((AB$1-AC$1)*MAX(INDEX(T$4:T1644,MATCH(LARGE(FILTER(Y$4:Y1644,Y$4:Y1644&lt;"&amp;"1000000000),1),Y$4:Y1644)),INDEX(F$4:F1644,MATCH(LARGE(FILTER(K$4:K1644,K$4:K1644&lt;1000000000),1),K$4:K1644)))),AND(K15&lt;1000000000,COUNTA(C15:C1644)&gt;0,P$3=FALSE),
ROUNDDOWN(INDEX(Y$4:Y1644,MATCH(LARGE(FILTER(W$4:W1644,W$4:W1644&lt;=I15),1),W$4:W1644))+(I15-LA"&amp;"RGE(FILTER(W$4:W1644,W$4:W1644&lt;=I15),1))*INDEX(T$4:T1644,MATCH(LARGE(FILTER(W$4:W1644,W$4:W1644&lt;=I15),1),W$4:W1644))-K15),1,
ROUNDDOWN(Y15-INDEX(K$4:K1644,MATCH(LARGE(FILTER(I$4:I1644,I$4:I1644&lt;=W15),1),I$4:I1644))-(W15-LARGE(FILTER(I$4:I1644,I$4:I1644&lt;=W"&amp;"15),1))*INDEX(F$4:F1644,MATCH(LARGE(FILTER(I$4:I1644,I$4:I1644&lt;=W15),1),I$4:I1644))))"),0.0)</f>
        <v>0</v>
      </c>
      <c r="N15" s="60">
        <f t="shared" si="8"/>
        <v>0</v>
      </c>
      <c r="O15" s="61">
        <f t="shared" si="9"/>
        <v>0</v>
      </c>
      <c r="P15" s="56">
        <f t="shared" si="10"/>
        <v>5</v>
      </c>
      <c r="Q15" s="67" t="s">
        <v>5</v>
      </c>
      <c r="R15" s="10" t="b">
        <f>IFERROR(__xludf.DUMMYFUNCTION("IF(COUNTA(Q15:Q1644)=0,"""",IF(ISBLANK(Q15),FALSE,IF(NOT(COUNTIF($AA$24:$AA$34,SUBSTITUTE(Q15,""Sell_"",""""))),1,IF(REGEXMATCH(Q15,""Sell_""),IF(COUNTIF(Q$4:Q15,SUBSTITUTE(Q15,""Sell_"",""""))-COUNTIF(Q$4:Q14,Q15)&lt;1,1),FALSE))))"),FALSE)</f>
        <v>0</v>
      </c>
      <c r="S15" s="59">
        <f t="array" ref="S15">IF(COUNTA(Q15:Q1644)=0,"",SUM((COUNTIF(Q$4:Q15,Upgrades!$B$3:$B$13)-COUNTIF(Q$4:Q15,"Sell_"&amp;Upgrades!$B$3:$B$13))*Upgrades!$D$3:$D$13))</f>
        <v>21.4</v>
      </c>
      <c r="T15" s="66">
        <f>IFERROR(__xludf.DUMMYFUNCTION("IF(COUNTA(Q15:Q1644)=0,"""",IF(REGEXMATCH(INDEX(FILTER(Q$4:Q15,Q$4:Q15&lt;&gt;""""),ROWS(FILTER(Q$4:Q15,Q$4:Q15&lt;&gt;""""))),""^Sell_""),INDEX(FILTER(T$4:T14,Q$4:Q14&lt;&gt;""""),ROWS(FILTER(Q$4:Q14,Q$4:Q14&lt;&gt;""""))),$AD$5+S15))"),31.4)</f>
        <v>31.4</v>
      </c>
      <c r="U15" s="10">
        <f>IFERROR(__xludf.DUMMYFUNCTION("IF(COUNTA(Q15:Q1644)=0,"""",IF(Q15="""",0,IF(REGEXMATCH(Q15,""^Sell_""),-ROUNDDOWN(ROUNDUP(INDEX(Upgrades!$C$3:$C$13,MATCH(SUBSTITUTE(Q15,""Sell_"",""""),Upgrades!$B$3:$B$13,0))*1.15^(COUNTIF(Q$4:Q14,SUBSTITUTE(Q15,""Sell_"",""""))-COUNTIF(Q$4:Q14,""Sell_"&amp;"""&amp;SUBSTITUTE(Q15,""Sell_"",""""))))/2),ROUNDUP(INDEX(Upgrades!$C$3:$C$13,MATCH(Q15,Upgrades!$B$3:$B$13,0))*1.15^(COUNTIF(Q$4:Q14,Q15)-COUNTIF(Q$4:Q14,""Sell_""&amp;Q15))))))"),875.0)</f>
        <v>875</v>
      </c>
      <c r="V15" s="10">
        <f t="shared" si="11"/>
        <v>875</v>
      </c>
      <c r="W15" s="68">
        <f t="shared" si="12"/>
        <v>204.9773748</v>
      </c>
      <c r="X15" s="59" t="str">
        <f t="shared" si="13"/>
        <v>3m 24s</v>
      </c>
      <c r="Y15" s="69">
        <f t="shared" si="14"/>
        <v>3664</v>
      </c>
      <c r="Z15" s="11"/>
      <c r="AA15" s="83" t="s">
        <v>49</v>
      </c>
      <c r="AB15" s="84"/>
      <c r="AC15" s="84"/>
      <c r="AD15" s="84"/>
      <c r="AE15" s="84"/>
      <c r="AF15" s="85"/>
    </row>
    <row r="16">
      <c r="A16" s="8"/>
      <c r="B16" s="56">
        <f t="shared" si="2"/>
        <v>3</v>
      </c>
      <c r="C16" s="67" t="s">
        <v>4</v>
      </c>
      <c r="D16" s="10" t="b">
        <f>IFERROR(__xludf.DUMMYFUNCTION("IF(COUNTA(C16:C1644)=0,"""",IF(ISBLANK(C16),FALSE,IF(NOT(COUNTIF($AA$24:$AA$34,SUBSTITUTE(C16,""Sell_"",""""))),1,IF(REGEXMATCH(C16,""Sell_""),IF(COUNTIF(C$4:C16,SUBSTITUTE(C16,""Sell_"",""""))-COUNTIF(C$4:C15,C16)&lt;1,1),FALSE))))"),FALSE)</f>
        <v>0</v>
      </c>
      <c r="E16" s="59">
        <f t="array" ref="E16">IF(COUNTA(C16:C1644)=0,"",SUM((COUNTIF(C$4:C16,Upgrades!$B$3:$B$13)-COUNTIF(C$4:C16,"Sell_"&amp;Upgrades!$B$3:$B$13))*Upgrades!$D$3:$D$13))</f>
        <v>21.9</v>
      </c>
      <c r="F16" s="66">
        <f>IFERROR(__xludf.DUMMYFUNCTION("IF(COUNTA(C16:C1644)=0,"""",IF(REGEXMATCH(INDEX(FILTER(C$4:C16,C$4:C16&lt;&gt;""""),ROWS(FILTER(C$4:C16,C$4:C16&lt;&gt;""""))),""^Sell_""),INDEX(FILTER(F$4:F15,C$4:C15&lt;&gt;""""),ROWS(FILTER(C$4:C15,C$4:C15&lt;&gt;""""))),$AC$5+E16))"),31.9)</f>
        <v>31.9</v>
      </c>
      <c r="G16" s="10">
        <f>IFERROR(__xludf.DUMMYFUNCTION("IF(COUNTA(C16:C1644)=0,"""",IF(C16="""",0,IF(REGEXMATCH(C16,""^Sell_""),-ROUNDDOWN(ROUNDUP(INDEX(Upgrades!$C$3:$C$13,MATCH(SUBSTITUTE(C16,""Sell_"",""""),Upgrades!$B$3:$B$13,0))*1.15^(COUNTIF(C$4:C15,SUBSTITUTE(C16,""Sell_"",""""))-COUNTIF(C$4:C15,""Sell_"&amp;"""&amp;SUBSTITUTE(C16,""Sell_"",""""))))/2),ROUNDUP(INDEX(Upgrades!$C$3:$C$13,MATCH(C16,Upgrades!$B$3:$B$13,0))*1.15^(COUNTIF(C$4:C15,C16)-COUNTIF(C$4:C15,""Sell_""&amp;C16))))))"),133.0)</f>
        <v>133</v>
      </c>
      <c r="H16" s="10">
        <f t="shared" si="3"/>
        <v>133</v>
      </c>
      <c r="I16" s="68">
        <f t="shared" si="4"/>
        <v>209.2130436</v>
      </c>
      <c r="J16" s="59" t="str">
        <f t="shared" si="5"/>
        <v>3m 29s</v>
      </c>
      <c r="K16" s="69">
        <f t="shared" si="6"/>
        <v>3797</v>
      </c>
      <c r="L16" s="60">
        <f t="shared" si="7"/>
        <v>0</v>
      </c>
      <c r="M16" s="61">
        <f>IFERROR(__xludf.DUMMYFUNCTION("IFS(AND(COUNTA(C16:C1644)=0,COUNTA(Q16:Q1644)=0),"""",OR(AND(K16&gt;=1000000000,OR(Y16&gt;=1000000000,COUNTA(Q16:Q1644)=0)),OR(Y16&gt;=1000000000,AND(COUNTA(C16:C1644)=0,P$3=TRUE))),
ROUNDDOWN((AB$1-AC$1)*MAX(INDEX(T$4:T1644,MATCH(LARGE(FILTER(Y$4:Y1644,Y$4:Y1644&lt;"&amp;"1000000000),1),Y$4:Y1644)),INDEX(F$4:F1644,MATCH(LARGE(FILTER(K$4:K1644,K$4:K1644&lt;1000000000),1),K$4:K1644)))),AND(K16&lt;1000000000,COUNTA(C16:C1644)&gt;0,P$3=FALSE),
ROUNDDOWN(INDEX(Y$4:Y1644,MATCH(LARGE(FILTER(W$4:W1644,W$4:W1644&lt;=I16),1),W$4:W1644))+(I16-LA"&amp;"RGE(FILTER(W$4:W1644,W$4:W1644&lt;=I16),1))*INDEX(T$4:T1644,MATCH(LARGE(FILTER(W$4:W1644,W$4:W1644&lt;=I16),1),W$4:W1644))-K16),1,
ROUNDDOWN(Y16-INDEX(K$4:K1644,MATCH(LARGE(FILTER(I$4:I1644,I$4:I1644&lt;=W16),1),I$4:I1644))-(W16-LARGE(FILTER(I$4:I1644,I$4:I1644&lt;=W"&amp;"16),1))*INDEX(F$4:F1644,MATCH(LARGE(FILTER(I$4:I1644,I$4:I1644&lt;=W16),1),I$4:I1644))))"),0.0)</f>
        <v>0</v>
      </c>
      <c r="N16" s="60">
        <f t="shared" si="8"/>
        <v>0</v>
      </c>
      <c r="O16" s="61">
        <f t="shared" si="9"/>
        <v>0</v>
      </c>
      <c r="P16" s="56">
        <f t="shared" si="10"/>
        <v>3</v>
      </c>
      <c r="Q16" s="67" t="s">
        <v>4</v>
      </c>
      <c r="R16" s="10" t="b">
        <f>IFERROR(__xludf.DUMMYFUNCTION("IF(COUNTA(Q16:Q1644)=0,"""",IF(ISBLANK(Q16),FALSE,IF(NOT(COUNTIF($AA$24:$AA$34,SUBSTITUTE(Q16,""Sell_"",""""))),1,IF(REGEXMATCH(Q16,""Sell_""),IF(COUNTIF(Q$4:Q16,SUBSTITUTE(Q16,""Sell_"",""""))-COUNTIF(Q$4:Q15,Q16)&lt;1,1),FALSE))))"),FALSE)</f>
        <v>0</v>
      </c>
      <c r="S16" s="59">
        <f t="array" ref="S16">IF(COUNTA(Q16:Q1644)=0,"",SUM((COUNTIF(Q$4:Q16,Upgrades!$B$3:$B$13)-COUNTIF(Q$4:Q16,"Sell_"&amp;Upgrades!$B$3:$B$13))*Upgrades!$D$3:$D$13))</f>
        <v>21.9</v>
      </c>
      <c r="T16" s="66">
        <f>IFERROR(__xludf.DUMMYFUNCTION("IF(COUNTA(Q16:Q1644)=0,"""",IF(REGEXMATCH(INDEX(FILTER(Q$4:Q16,Q$4:Q16&lt;&gt;""""),ROWS(FILTER(Q$4:Q16,Q$4:Q16&lt;&gt;""""))),""^Sell_""),INDEX(FILTER(T$4:T15,Q$4:Q15&lt;&gt;""""),ROWS(FILTER(Q$4:Q15,Q$4:Q15&lt;&gt;""""))),$AD$5+S16))"),31.9)</f>
        <v>31.9</v>
      </c>
      <c r="U16" s="10">
        <f>IFERROR(__xludf.DUMMYFUNCTION("IF(COUNTA(Q16:Q1644)=0,"""",IF(Q16="""",0,IF(REGEXMATCH(Q16,""^Sell_""),-ROUNDDOWN(ROUNDUP(INDEX(Upgrades!$C$3:$C$13,MATCH(SUBSTITUTE(Q16,""Sell_"",""""),Upgrades!$B$3:$B$13,0))*1.15^(COUNTIF(Q$4:Q15,SUBSTITUTE(Q16,""Sell_"",""""))-COUNTIF(Q$4:Q15,""Sell_"&amp;"""&amp;SUBSTITUTE(Q16,""Sell_"",""""))))/2),ROUNDUP(INDEX(Upgrades!$C$3:$C$13,MATCH(Q16,Upgrades!$B$3:$B$13,0))*1.15^(COUNTIF(Q$4:Q15,Q16)-COUNTIF(Q$4:Q15,""Sell_""&amp;Q16))))))"),133.0)</f>
        <v>133</v>
      </c>
      <c r="V16" s="10">
        <f t="shared" si="11"/>
        <v>133</v>
      </c>
      <c r="W16" s="68">
        <f t="shared" si="12"/>
        <v>209.2130436</v>
      </c>
      <c r="X16" s="59" t="str">
        <f t="shared" si="13"/>
        <v>3m 29s</v>
      </c>
      <c r="Y16" s="69">
        <f t="shared" si="14"/>
        <v>3797</v>
      </c>
      <c r="Z16" s="11"/>
      <c r="AA16" s="86" t="s">
        <v>50</v>
      </c>
      <c r="AB16" s="87"/>
      <c r="AC16" s="87"/>
      <c r="AD16" s="87"/>
      <c r="AE16" s="87"/>
      <c r="AF16" s="88"/>
    </row>
    <row r="17">
      <c r="A17" s="8"/>
      <c r="B17" s="56">
        <f t="shared" si="2"/>
        <v>5</v>
      </c>
      <c r="C17" s="67" t="s">
        <v>3</v>
      </c>
      <c r="D17" s="10" t="b">
        <f>IFERROR(__xludf.DUMMYFUNCTION("IF(COUNTA(C17:C1644)=0,"""",IF(ISBLANK(C17),FALSE,IF(NOT(COUNTIF($AA$24:$AA$34,SUBSTITUTE(C17,""Sell_"",""""))),1,IF(REGEXMATCH(C17,""Sell_""),IF(COUNTIF(C$4:C17,SUBSTITUTE(C17,""Sell_"",""""))-COUNTIF(C$4:C16,C17)&lt;1,1),FALSE))))"),FALSE)</f>
        <v>0</v>
      </c>
      <c r="E17" s="59">
        <f t="array" ref="E17">IF(COUNTA(C17:C1644)=0,"",SUM((COUNTIF(C$4:C17,Upgrades!$B$3:$B$13)-COUNTIF(C$4:C17,"Sell_"&amp;Upgrades!$B$3:$B$13))*Upgrades!$D$3:$D$13))</f>
        <v>22</v>
      </c>
      <c r="F17" s="66">
        <f>IFERROR(__xludf.DUMMYFUNCTION("IF(COUNTA(C17:C1644)=0,"""",IF(REGEXMATCH(INDEX(FILTER(C$4:C17,C$4:C17&lt;&gt;""""),ROWS(FILTER(C$4:C17,C$4:C17&lt;&gt;""""))),""^Sell_""),INDEX(FILTER(F$4:F16,C$4:C16&lt;&gt;""""),ROWS(FILTER(C$4:C16,C$4:C16&lt;&gt;""""))),$AC$5+E17))"),32.0)</f>
        <v>32</v>
      </c>
      <c r="G17" s="10">
        <f>IFERROR(__xludf.DUMMYFUNCTION("IF(COUNTA(C17:C1644)=0,"""",IF(C17="""",0,IF(REGEXMATCH(C17,""^Sell_""),-ROUNDDOWN(ROUNDUP(INDEX(Upgrades!$C$3:$C$13,MATCH(SUBSTITUTE(C17,""Sell_"",""""),Upgrades!$B$3:$B$13,0))*1.15^(COUNTIF(C$4:C16,SUBSTITUTE(C17,""Sell_"",""""))-COUNTIF(C$4:C16,""Sell_"&amp;"""&amp;SUBSTITUTE(C17,""Sell_"",""""))))/2),ROUNDUP(INDEX(Upgrades!$C$3:$C$13,MATCH(C17,Upgrades!$B$3:$B$13,0))*1.15^(COUNTIF(C$4:C16,C17)-COUNTIF(C$4:C16,""Sell_""&amp;C17))))))"),27.0)</f>
        <v>27</v>
      </c>
      <c r="H17" s="10">
        <f t="shared" si="3"/>
        <v>27</v>
      </c>
      <c r="I17" s="68">
        <f t="shared" si="4"/>
        <v>210.0594386</v>
      </c>
      <c r="J17" s="59" t="str">
        <f t="shared" si="5"/>
        <v>3m 30s</v>
      </c>
      <c r="K17" s="69">
        <f t="shared" si="6"/>
        <v>3824</v>
      </c>
      <c r="L17" s="60">
        <f t="shared" si="7"/>
        <v>0</v>
      </c>
      <c r="M17" s="61">
        <f>IFERROR(__xludf.DUMMYFUNCTION("IFS(AND(COUNTA(C17:C1644)=0,COUNTA(Q17:Q1644)=0),"""",OR(AND(K17&gt;=1000000000,OR(Y17&gt;=1000000000,COUNTA(Q17:Q1644)=0)),OR(Y17&gt;=1000000000,AND(COUNTA(C17:C1644)=0,P$3=TRUE))),
ROUNDDOWN((AB$1-AC$1)*MAX(INDEX(T$4:T1644,MATCH(LARGE(FILTER(Y$4:Y1644,Y$4:Y1644&lt;"&amp;"1000000000),1),Y$4:Y1644)),INDEX(F$4:F1644,MATCH(LARGE(FILTER(K$4:K1644,K$4:K1644&lt;1000000000),1),K$4:K1644)))),AND(K17&lt;1000000000,COUNTA(C17:C1644)&gt;0,P$3=FALSE),
ROUNDDOWN(INDEX(Y$4:Y1644,MATCH(LARGE(FILTER(W$4:W1644,W$4:W1644&lt;=I17),1),W$4:W1644))+(I17-LA"&amp;"RGE(FILTER(W$4:W1644,W$4:W1644&lt;=I17),1))*INDEX(T$4:T1644,MATCH(LARGE(FILTER(W$4:W1644,W$4:W1644&lt;=I17),1),W$4:W1644))-K17),1,
ROUNDDOWN(Y17-INDEX(K$4:K1644,MATCH(LARGE(FILTER(I$4:I1644,I$4:I1644&lt;=W17),1),I$4:I1644))-(W17-LARGE(FILTER(I$4:I1644,I$4:I1644&lt;=W"&amp;"17),1))*INDEX(F$4:F1644,MATCH(LARGE(FILTER(I$4:I1644,I$4:I1644&lt;=W17),1),I$4:I1644))))"),0.0)</f>
        <v>0</v>
      </c>
      <c r="N17" s="60">
        <f t="shared" si="8"/>
        <v>0</v>
      </c>
      <c r="O17" s="61">
        <f t="shared" si="9"/>
        <v>0</v>
      </c>
      <c r="P17" s="56">
        <f t="shared" si="10"/>
        <v>5</v>
      </c>
      <c r="Q17" s="67" t="s">
        <v>3</v>
      </c>
      <c r="R17" s="10" t="b">
        <f>IFERROR(__xludf.DUMMYFUNCTION("IF(COUNTA(Q17:Q1644)=0,"""",IF(ISBLANK(Q17),FALSE,IF(NOT(COUNTIF($AA$24:$AA$34,SUBSTITUTE(Q17,""Sell_"",""""))),1,IF(REGEXMATCH(Q17,""Sell_""),IF(COUNTIF(Q$4:Q17,SUBSTITUTE(Q17,""Sell_"",""""))-COUNTIF(Q$4:Q16,Q17)&lt;1,1),FALSE))))"),FALSE)</f>
        <v>0</v>
      </c>
      <c r="S17" s="59">
        <f t="array" ref="S17">IF(COUNTA(Q17:Q1644)=0,"",SUM((COUNTIF(Q$4:Q17,Upgrades!$B$3:$B$13)-COUNTIF(Q$4:Q17,"Sell_"&amp;Upgrades!$B$3:$B$13))*Upgrades!$D$3:$D$13))</f>
        <v>22</v>
      </c>
      <c r="T17" s="66">
        <f>IFERROR(__xludf.DUMMYFUNCTION("IF(COUNTA(Q17:Q1644)=0,"""",IF(REGEXMATCH(INDEX(FILTER(Q$4:Q17,Q$4:Q17&lt;&gt;""""),ROWS(FILTER(Q$4:Q17,Q$4:Q17&lt;&gt;""""))),""^Sell_""),INDEX(FILTER(T$4:T16,Q$4:Q16&lt;&gt;""""),ROWS(FILTER(Q$4:Q16,Q$4:Q16&lt;&gt;""""))),$AD$5+S17))"),32.0)</f>
        <v>32</v>
      </c>
      <c r="U17" s="10">
        <f>IFERROR(__xludf.DUMMYFUNCTION("IF(COUNTA(Q17:Q1644)=0,"""",IF(Q17="""",0,IF(REGEXMATCH(Q17,""^Sell_""),-ROUNDDOWN(ROUNDUP(INDEX(Upgrades!$C$3:$C$13,MATCH(SUBSTITUTE(Q17,""Sell_"",""""),Upgrades!$B$3:$B$13,0))*1.15^(COUNTIF(Q$4:Q16,SUBSTITUTE(Q17,""Sell_"",""""))-COUNTIF(Q$4:Q16,""Sell_"&amp;"""&amp;SUBSTITUTE(Q17,""Sell_"",""""))))/2),ROUNDUP(INDEX(Upgrades!$C$3:$C$13,MATCH(Q17,Upgrades!$B$3:$B$13,0))*1.15^(COUNTIF(Q$4:Q16,Q17)-COUNTIF(Q$4:Q16,""Sell_""&amp;Q17))))))"),27.0)</f>
        <v>27</v>
      </c>
      <c r="V17" s="10">
        <f t="shared" si="11"/>
        <v>27</v>
      </c>
      <c r="W17" s="68">
        <f t="shared" si="12"/>
        <v>210.0594386</v>
      </c>
      <c r="X17" s="59" t="str">
        <f t="shared" si="13"/>
        <v>3m 30s</v>
      </c>
      <c r="Y17" s="69">
        <f t="shared" si="14"/>
        <v>3824</v>
      </c>
      <c r="Z17" s="11"/>
    </row>
    <row r="18">
      <c r="A18" s="8"/>
      <c r="B18" s="56">
        <f t="shared" si="2"/>
        <v>6</v>
      </c>
      <c r="C18" s="67" t="s">
        <v>5</v>
      </c>
      <c r="D18" s="10" t="b">
        <f>IFERROR(__xludf.DUMMYFUNCTION("IF(COUNTA(C18:C1644)=0,"""",IF(ISBLANK(C18),FALSE,IF(NOT(COUNTIF($AA$24:$AA$34,SUBSTITUTE(C18,""Sell_"",""""))),1,IF(REGEXMATCH(C18,""Sell_""),IF(COUNTIF(C$4:C18,SUBSTITUTE(C18,""Sell_"",""""))-COUNTIF(C$4:C17,C18)&lt;1,1),FALSE))))"),FALSE)</f>
        <v>0</v>
      </c>
      <c r="E18" s="59">
        <f t="array" ref="E18">IF(COUNTA(C18:C1644)=0,"",SUM((COUNTIF(C$4:C18,Upgrades!$B$3:$B$13)-COUNTIF(C$4:C18,"Sell_"&amp;Upgrades!$B$3:$B$13))*Upgrades!$D$3:$D$13))</f>
        <v>26</v>
      </c>
      <c r="F18" s="66">
        <f>IFERROR(__xludf.DUMMYFUNCTION("IF(COUNTA(C18:C1644)=0,"""",IF(REGEXMATCH(INDEX(FILTER(C$4:C18,C$4:C18&lt;&gt;""""),ROWS(FILTER(C$4:C18,C$4:C18&lt;&gt;""""))),""^Sell_""),INDEX(FILTER(F$4:F17,C$4:C17&lt;&gt;""""),ROWS(FILTER(C$4:C17,C$4:C17&lt;&gt;""""))),$AC$5+E18))"),36.0)</f>
        <v>36</v>
      </c>
      <c r="G18" s="10">
        <f>IFERROR(__xludf.DUMMYFUNCTION("IF(COUNTA(C18:C1644)=0,"""",IF(C18="""",0,IF(REGEXMATCH(C18,""^Sell_""),-ROUNDDOWN(ROUNDUP(INDEX(Upgrades!$C$3:$C$13,MATCH(SUBSTITUTE(C18,""Sell_"",""""),Upgrades!$B$3:$B$13,0))*1.15^(COUNTIF(C$4:C17,SUBSTITUTE(C18,""Sell_"",""""))-COUNTIF(C$4:C17,""Sell_"&amp;"""&amp;SUBSTITUTE(C18,""Sell_"",""""))))/2),ROUNDUP(INDEX(Upgrades!$C$3:$C$13,MATCH(C18,Upgrades!$B$3:$B$13,0))*1.15^(COUNTIF(C$4:C17,C18)-COUNTIF(C$4:C17,""Sell_""&amp;C18))))))"),1006.0)</f>
        <v>1006</v>
      </c>
      <c r="H18" s="10">
        <f t="shared" si="3"/>
        <v>1006</v>
      </c>
      <c r="I18" s="68">
        <f t="shared" si="4"/>
        <v>241.4969386</v>
      </c>
      <c r="J18" s="59" t="str">
        <f t="shared" si="5"/>
        <v>4m 01s</v>
      </c>
      <c r="K18" s="69">
        <f t="shared" si="6"/>
        <v>4830</v>
      </c>
      <c r="L18" s="60">
        <f t="shared" si="7"/>
        <v>0</v>
      </c>
      <c r="M18" s="61">
        <f>IFERROR(__xludf.DUMMYFUNCTION("IFS(AND(COUNTA(C18:C1644)=0,COUNTA(Q18:Q1644)=0),"""",OR(AND(K18&gt;=1000000000,OR(Y18&gt;=1000000000,COUNTA(Q18:Q1644)=0)),OR(Y18&gt;=1000000000,AND(COUNTA(C18:C1644)=0,P$3=TRUE))),
ROUNDDOWN((AB$1-AC$1)*MAX(INDEX(T$4:T1644,MATCH(LARGE(FILTER(Y$4:Y1644,Y$4:Y1644&lt;"&amp;"1000000000),1),Y$4:Y1644)),INDEX(F$4:F1644,MATCH(LARGE(FILTER(K$4:K1644,K$4:K1644&lt;1000000000),1),K$4:K1644)))),AND(K18&lt;1000000000,COUNTA(C18:C1644)&gt;0,P$3=FALSE),
ROUNDDOWN(INDEX(Y$4:Y1644,MATCH(LARGE(FILTER(W$4:W1644,W$4:W1644&lt;=I18),1),W$4:W1644))+(I18-LA"&amp;"RGE(FILTER(W$4:W1644,W$4:W1644&lt;=I18),1))*INDEX(T$4:T1644,MATCH(LARGE(FILTER(W$4:W1644,W$4:W1644&lt;=I18),1),W$4:W1644))-K18),1,
ROUNDDOWN(Y18-INDEX(K$4:K1644,MATCH(LARGE(FILTER(I$4:I1644,I$4:I1644&lt;=W18),1),I$4:I1644))-(W18-LARGE(FILTER(I$4:I1644,I$4:I1644&lt;=W"&amp;"18),1))*INDEX(F$4:F1644,MATCH(LARGE(FILTER(I$4:I1644,I$4:I1644&lt;=W18),1),I$4:I1644))))"),0.0)</f>
        <v>0</v>
      </c>
      <c r="N18" s="60">
        <f t="shared" si="8"/>
        <v>0</v>
      </c>
      <c r="O18" s="61">
        <f t="shared" si="9"/>
        <v>0</v>
      </c>
      <c r="P18" s="56">
        <f t="shared" si="10"/>
        <v>6</v>
      </c>
      <c r="Q18" s="67" t="s">
        <v>5</v>
      </c>
      <c r="R18" s="10" t="b">
        <f>IFERROR(__xludf.DUMMYFUNCTION("IF(COUNTA(Q18:Q1644)=0,"""",IF(ISBLANK(Q18),FALSE,IF(NOT(COUNTIF($AA$24:$AA$34,SUBSTITUTE(Q18,""Sell_"",""""))),1,IF(REGEXMATCH(Q18,""Sell_""),IF(COUNTIF(Q$4:Q18,SUBSTITUTE(Q18,""Sell_"",""""))-COUNTIF(Q$4:Q17,Q18)&lt;1,1),FALSE))))"),FALSE)</f>
        <v>0</v>
      </c>
      <c r="S18" s="59">
        <f t="array" ref="S18">IF(COUNTA(Q18:Q1644)=0,"",SUM((COUNTIF(Q$4:Q18,Upgrades!$B$3:$B$13)-COUNTIF(Q$4:Q18,"Sell_"&amp;Upgrades!$B$3:$B$13))*Upgrades!$D$3:$D$13))</f>
        <v>26</v>
      </c>
      <c r="T18" s="66">
        <f>IFERROR(__xludf.DUMMYFUNCTION("IF(COUNTA(Q18:Q1644)=0,"""",IF(REGEXMATCH(INDEX(FILTER(Q$4:Q18,Q$4:Q18&lt;&gt;""""),ROWS(FILTER(Q$4:Q18,Q$4:Q18&lt;&gt;""""))),""^Sell_""),INDEX(FILTER(T$4:T17,Q$4:Q17&lt;&gt;""""),ROWS(FILTER(Q$4:Q17,Q$4:Q17&lt;&gt;""""))),$AD$5+S18))"),36.0)</f>
        <v>36</v>
      </c>
      <c r="U18" s="10">
        <f>IFERROR(__xludf.DUMMYFUNCTION("IF(COUNTA(Q18:Q1644)=0,"""",IF(Q18="""",0,IF(REGEXMATCH(Q18,""^Sell_""),-ROUNDDOWN(ROUNDUP(INDEX(Upgrades!$C$3:$C$13,MATCH(SUBSTITUTE(Q18,""Sell_"",""""),Upgrades!$B$3:$B$13,0))*1.15^(COUNTIF(Q$4:Q17,SUBSTITUTE(Q18,""Sell_"",""""))-COUNTIF(Q$4:Q17,""Sell_"&amp;"""&amp;SUBSTITUTE(Q18,""Sell_"",""""))))/2),ROUNDUP(INDEX(Upgrades!$C$3:$C$13,MATCH(Q18,Upgrades!$B$3:$B$13,0))*1.15^(COUNTIF(Q$4:Q17,Q18)-COUNTIF(Q$4:Q17,""Sell_""&amp;Q18))))))"),1006.0)</f>
        <v>1006</v>
      </c>
      <c r="V18" s="10">
        <f t="shared" si="11"/>
        <v>1006</v>
      </c>
      <c r="W18" s="68">
        <f t="shared" si="12"/>
        <v>241.4969386</v>
      </c>
      <c r="X18" s="59" t="str">
        <f t="shared" si="13"/>
        <v>4m 01s</v>
      </c>
      <c r="Y18" s="69">
        <f t="shared" si="14"/>
        <v>4830</v>
      </c>
      <c r="Z18" s="11"/>
      <c r="AA18" s="89" t="s">
        <v>51</v>
      </c>
      <c r="AB18" s="90"/>
      <c r="AC18" s="90"/>
      <c r="AD18" s="90"/>
      <c r="AE18" s="90"/>
      <c r="AF18" s="91"/>
    </row>
    <row r="19">
      <c r="A19" s="8"/>
      <c r="B19" s="56">
        <f t="shared" si="2"/>
        <v>4</v>
      </c>
      <c r="C19" s="67" t="s">
        <v>4</v>
      </c>
      <c r="D19" s="10" t="b">
        <f>IFERROR(__xludf.DUMMYFUNCTION("IF(COUNTA(C19:C1644)=0,"""",IF(ISBLANK(C19),FALSE,IF(NOT(COUNTIF($AA$24:$AA$34,SUBSTITUTE(C19,""Sell_"",""""))),1,IF(REGEXMATCH(C19,""Sell_""),IF(COUNTIF(C$4:C19,SUBSTITUTE(C19,""Sell_"",""""))-COUNTIF(C$4:C18,C19)&lt;1,1),FALSE))))"),FALSE)</f>
        <v>0</v>
      </c>
      <c r="E19" s="59">
        <f t="array" ref="E19">IF(COUNTA(C19:C1644)=0,"",SUM((COUNTIF(C$4:C19,Upgrades!$B$3:$B$13)-COUNTIF(C$4:C19,"Sell_"&amp;Upgrades!$B$3:$B$13))*Upgrades!$D$3:$D$13))</f>
        <v>26.5</v>
      </c>
      <c r="F19" s="66">
        <f>IFERROR(__xludf.DUMMYFUNCTION("IF(COUNTA(C19:C1644)=0,"""",IF(REGEXMATCH(INDEX(FILTER(C$4:C19,C$4:C19&lt;&gt;""""),ROWS(FILTER(C$4:C19,C$4:C19&lt;&gt;""""))),""^Sell_""),INDEX(FILTER(F$4:F18,C$4:C18&lt;&gt;""""),ROWS(FILTER(C$4:C18,C$4:C18&lt;&gt;""""))),$AC$5+E19))"),36.5)</f>
        <v>36.5</v>
      </c>
      <c r="G19" s="10">
        <f>IFERROR(__xludf.DUMMYFUNCTION("IF(COUNTA(C19:C1644)=0,"""",IF(C19="""",0,IF(REGEXMATCH(C19,""^Sell_""),-ROUNDDOWN(ROUNDUP(INDEX(Upgrades!$C$3:$C$13,MATCH(SUBSTITUTE(C19,""Sell_"",""""),Upgrades!$B$3:$B$13,0))*1.15^(COUNTIF(C$4:C18,SUBSTITUTE(C19,""Sell_"",""""))-COUNTIF(C$4:C18,""Sell_"&amp;"""&amp;SUBSTITUTE(C19,""Sell_"",""""))))/2),ROUNDUP(INDEX(Upgrades!$C$3:$C$13,MATCH(C19,Upgrades!$B$3:$B$13,0))*1.15^(COUNTIF(C$4:C18,C19)-COUNTIF(C$4:C18,""Sell_""&amp;C19))))))"),153.0)</f>
        <v>153</v>
      </c>
      <c r="H19" s="10">
        <f t="shared" si="3"/>
        <v>153</v>
      </c>
      <c r="I19" s="68">
        <f t="shared" si="4"/>
        <v>245.7469386</v>
      </c>
      <c r="J19" s="59" t="str">
        <f t="shared" si="5"/>
        <v>4m 05s</v>
      </c>
      <c r="K19" s="69">
        <f t="shared" si="6"/>
        <v>4983</v>
      </c>
      <c r="L19" s="60">
        <f t="shared" si="7"/>
        <v>0</v>
      </c>
      <c r="M19" s="61">
        <f>IFERROR(__xludf.DUMMYFUNCTION("IFS(AND(COUNTA(C19:C1644)=0,COUNTA(Q19:Q1644)=0),"""",OR(AND(K19&gt;=1000000000,OR(Y19&gt;=1000000000,COUNTA(Q19:Q1644)=0)),OR(Y19&gt;=1000000000,AND(COUNTA(C19:C1644)=0,P$3=TRUE))),
ROUNDDOWN((AB$1-AC$1)*MAX(INDEX(T$4:T1644,MATCH(LARGE(FILTER(Y$4:Y1644,Y$4:Y1644&lt;"&amp;"1000000000),1),Y$4:Y1644)),INDEX(F$4:F1644,MATCH(LARGE(FILTER(K$4:K1644,K$4:K1644&lt;1000000000),1),K$4:K1644)))),AND(K19&lt;1000000000,COUNTA(C19:C1644)&gt;0,P$3=FALSE),
ROUNDDOWN(INDEX(Y$4:Y1644,MATCH(LARGE(FILTER(W$4:W1644,W$4:W1644&lt;=I19),1),W$4:W1644))+(I19-LA"&amp;"RGE(FILTER(W$4:W1644,W$4:W1644&lt;=I19),1))*INDEX(T$4:T1644,MATCH(LARGE(FILTER(W$4:W1644,W$4:W1644&lt;=I19),1),W$4:W1644))-K19),1,
ROUNDDOWN(Y19-INDEX(K$4:K1644,MATCH(LARGE(FILTER(I$4:I1644,I$4:I1644&lt;=W19),1),I$4:I1644))-(W19-LARGE(FILTER(I$4:I1644,I$4:I1644&lt;=W"&amp;"19),1))*INDEX(F$4:F1644,MATCH(LARGE(FILTER(I$4:I1644,I$4:I1644&lt;=W19),1),I$4:I1644))))"),0.0)</f>
        <v>0</v>
      </c>
      <c r="N19" s="60">
        <f t="shared" si="8"/>
        <v>0</v>
      </c>
      <c r="O19" s="61">
        <f t="shared" si="9"/>
        <v>0</v>
      </c>
      <c r="P19" s="56">
        <f t="shared" si="10"/>
        <v>4</v>
      </c>
      <c r="Q19" s="67" t="s">
        <v>4</v>
      </c>
      <c r="R19" s="10" t="b">
        <f>IFERROR(__xludf.DUMMYFUNCTION("IF(COUNTA(Q19:Q1644)=0,"""",IF(ISBLANK(Q19),FALSE,IF(NOT(COUNTIF($AA$24:$AA$34,SUBSTITUTE(Q19,""Sell_"",""""))),1,IF(REGEXMATCH(Q19,""Sell_""),IF(COUNTIF(Q$4:Q19,SUBSTITUTE(Q19,""Sell_"",""""))-COUNTIF(Q$4:Q18,Q19)&lt;1,1),FALSE))))"),FALSE)</f>
        <v>0</v>
      </c>
      <c r="S19" s="59">
        <f t="array" ref="S19">IF(COUNTA(Q19:Q1644)=0,"",SUM((COUNTIF(Q$4:Q19,Upgrades!$B$3:$B$13)-COUNTIF(Q$4:Q19,"Sell_"&amp;Upgrades!$B$3:$B$13))*Upgrades!$D$3:$D$13))</f>
        <v>26.5</v>
      </c>
      <c r="T19" s="66">
        <f>IFERROR(__xludf.DUMMYFUNCTION("IF(COUNTA(Q19:Q1644)=0,"""",IF(REGEXMATCH(INDEX(FILTER(Q$4:Q19,Q$4:Q19&lt;&gt;""""),ROWS(FILTER(Q$4:Q19,Q$4:Q19&lt;&gt;""""))),""^Sell_""),INDEX(FILTER(T$4:T18,Q$4:Q18&lt;&gt;""""),ROWS(FILTER(Q$4:Q18,Q$4:Q18&lt;&gt;""""))),$AD$5+S19))"),36.5)</f>
        <v>36.5</v>
      </c>
      <c r="U19" s="10">
        <f>IFERROR(__xludf.DUMMYFUNCTION("IF(COUNTA(Q19:Q1644)=0,"""",IF(Q19="""",0,IF(REGEXMATCH(Q19,""^Sell_""),-ROUNDDOWN(ROUNDUP(INDEX(Upgrades!$C$3:$C$13,MATCH(SUBSTITUTE(Q19,""Sell_"",""""),Upgrades!$B$3:$B$13,0))*1.15^(COUNTIF(Q$4:Q18,SUBSTITUTE(Q19,""Sell_"",""""))-COUNTIF(Q$4:Q18,""Sell_"&amp;"""&amp;SUBSTITUTE(Q19,""Sell_"",""""))))/2),ROUNDUP(INDEX(Upgrades!$C$3:$C$13,MATCH(Q19,Upgrades!$B$3:$B$13,0))*1.15^(COUNTIF(Q$4:Q18,Q19)-COUNTIF(Q$4:Q18,""Sell_""&amp;Q19))))))"),153.0)</f>
        <v>153</v>
      </c>
      <c r="V19" s="10">
        <f t="shared" si="11"/>
        <v>153</v>
      </c>
      <c r="W19" s="68">
        <f t="shared" si="12"/>
        <v>245.7469386</v>
      </c>
      <c r="X19" s="59" t="str">
        <f t="shared" si="13"/>
        <v>4m 05s</v>
      </c>
      <c r="Y19" s="69">
        <f t="shared" si="14"/>
        <v>4983</v>
      </c>
      <c r="Z19" s="11"/>
      <c r="AA19" s="86" t="s">
        <v>52</v>
      </c>
      <c r="AB19" s="87"/>
      <c r="AC19" s="87"/>
      <c r="AD19" s="87"/>
      <c r="AE19" s="87"/>
      <c r="AF19" s="88"/>
    </row>
    <row r="20">
      <c r="A20" s="8"/>
      <c r="B20" s="56">
        <f t="shared" si="2"/>
        <v>6</v>
      </c>
      <c r="C20" s="67" t="s">
        <v>3</v>
      </c>
      <c r="D20" s="10" t="b">
        <f>IFERROR(__xludf.DUMMYFUNCTION("IF(COUNTA(C20:C1644)=0,"""",IF(ISBLANK(C20),FALSE,IF(NOT(COUNTIF($AA$24:$AA$34,SUBSTITUTE(C20,""Sell_"",""""))),1,IF(REGEXMATCH(C20,""Sell_""),IF(COUNTIF(C$4:C20,SUBSTITUTE(C20,""Sell_"",""""))-COUNTIF(C$4:C19,C20)&lt;1,1),FALSE))))"),FALSE)</f>
        <v>0</v>
      </c>
      <c r="E20" s="59">
        <f t="array" ref="E20">IF(COUNTA(C20:C1644)=0,"",SUM((COUNTIF(C$4:C20,Upgrades!$B$3:$B$13)-COUNTIF(C$4:C20,"Sell_"&amp;Upgrades!$B$3:$B$13))*Upgrades!$D$3:$D$13))</f>
        <v>26.6</v>
      </c>
      <c r="F20" s="66">
        <f>IFERROR(__xludf.DUMMYFUNCTION("IF(COUNTA(C20:C1644)=0,"""",IF(REGEXMATCH(INDEX(FILTER(C$4:C20,C$4:C20&lt;&gt;""""),ROWS(FILTER(C$4:C20,C$4:C20&lt;&gt;""""))),""^Sell_""),INDEX(FILTER(F$4:F19,C$4:C19&lt;&gt;""""),ROWS(FILTER(C$4:C19,C$4:C19&lt;&gt;""""))),$AC$5+E20))"),36.6)</f>
        <v>36.6</v>
      </c>
      <c r="G20" s="10">
        <f>IFERROR(__xludf.DUMMYFUNCTION("IF(COUNTA(C20:C1644)=0,"""",IF(C20="""",0,IF(REGEXMATCH(C20,""^Sell_""),-ROUNDDOWN(ROUNDUP(INDEX(Upgrades!$C$3:$C$13,MATCH(SUBSTITUTE(C20,""Sell_"",""""),Upgrades!$B$3:$B$13,0))*1.15^(COUNTIF(C$4:C19,SUBSTITUTE(C20,""Sell_"",""""))-COUNTIF(C$4:C19,""Sell_"&amp;"""&amp;SUBSTITUTE(C20,""Sell_"",""""))))/2),ROUNDUP(INDEX(Upgrades!$C$3:$C$13,MATCH(C20,Upgrades!$B$3:$B$13,0))*1.15^(COUNTIF(C$4:C19,C20)-COUNTIF(C$4:C19,""Sell_""&amp;C20))))))"),31.0)</f>
        <v>31</v>
      </c>
      <c r="H20" s="10">
        <f t="shared" si="3"/>
        <v>31</v>
      </c>
      <c r="I20" s="68">
        <f t="shared" si="4"/>
        <v>246.5962537</v>
      </c>
      <c r="J20" s="59" t="str">
        <f t="shared" si="5"/>
        <v>4m 06s</v>
      </c>
      <c r="K20" s="69">
        <f t="shared" si="6"/>
        <v>5014</v>
      </c>
      <c r="L20" s="60">
        <f t="shared" si="7"/>
        <v>0</v>
      </c>
      <c r="M20" s="61">
        <f>IFERROR(__xludf.DUMMYFUNCTION("IFS(AND(COUNTA(C20:C1644)=0,COUNTA(Q20:Q1644)=0),"""",OR(AND(K20&gt;=1000000000,OR(Y20&gt;=1000000000,COUNTA(Q20:Q1644)=0)),OR(Y20&gt;=1000000000,AND(COUNTA(C20:C1644)=0,P$3=TRUE))),
ROUNDDOWN((AB$1-AC$1)*MAX(INDEX(T$4:T1644,MATCH(LARGE(FILTER(Y$4:Y1644,Y$4:Y1644&lt;"&amp;"1000000000),1),Y$4:Y1644)),INDEX(F$4:F1644,MATCH(LARGE(FILTER(K$4:K1644,K$4:K1644&lt;1000000000),1),K$4:K1644)))),AND(K20&lt;1000000000,COUNTA(C20:C1644)&gt;0,P$3=FALSE),
ROUNDDOWN(INDEX(Y$4:Y1644,MATCH(LARGE(FILTER(W$4:W1644,W$4:W1644&lt;=I20),1),W$4:W1644))+(I20-LA"&amp;"RGE(FILTER(W$4:W1644,W$4:W1644&lt;=I20),1))*INDEX(T$4:T1644,MATCH(LARGE(FILTER(W$4:W1644,W$4:W1644&lt;=I20),1),W$4:W1644))-K20),1,
ROUNDDOWN(Y20-INDEX(K$4:K1644,MATCH(LARGE(FILTER(I$4:I1644,I$4:I1644&lt;=W20),1),I$4:I1644))-(W20-LARGE(FILTER(I$4:I1644,I$4:I1644&lt;=W"&amp;"20),1))*INDEX(F$4:F1644,MATCH(LARGE(FILTER(I$4:I1644,I$4:I1644&lt;=W20),1),I$4:I1644))))"),0.0)</f>
        <v>0</v>
      </c>
      <c r="N20" s="60">
        <f t="shared" si="8"/>
        <v>0</v>
      </c>
      <c r="O20" s="61">
        <f t="shared" si="9"/>
        <v>0</v>
      </c>
      <c r="P20" s="56">
        <f t="shared" si="10"/>
        <v>6</v>
      </c>
      <c r="Q20" s="67" t="s">
        <v>3</v>
      </c>
      <c r="R20" s="10" t="b">
        <f>IFERROR(__xludf.DUMMYFUNCTION("IF(COUNTA(Q20:Q1644)=0,"""",IF(ISBLANK(Q20),FALSE,IF(NOT(COUNTIF($AA$24:$AA$34,SUBSTITUTE(Q20,""Sell_"",""""))),1,IF(REGEXMATCH(Q20,""Sell_""),IF(COUNTIF(Q$4:Q20,SUBSTITUTE(Q20,""Sell_"",""""))-COUNTIF(Q$4:Q19,Q20)&lt;1,1),FALSE))))"),FALSE)</f>
        <v>0</v>
      </c>
      <c r="S20" s="59">
        <f t="array" ref="S20">IF(COUNTA(Q20:Q1644)=0,"",SUM((COUNTIF(Q$4:Q20,Upgrades!$B$3:$B$13)-COUNTIF(Q$4:Q20,"Sell_"&amp;Upgrades!$B$3:$B$13))*Upgrades!$D$3:$D$13))</f>
        <v>26.6</v>
      </c>
      <c r="T20" s="66">
        <f>IFERROR(__xludf.DUMMYFUNCTION("IF(COUNTA(Q20:Q1644)=0,"""",IF(REGEXMATCH(INDEX(FILTER(Q$4:Q20,Q$4:Q20&lt;&gt;""""),ROWS(FILTER(Q$4:Q20,Q$4:Q20&lt;&gt;""""))),""^Sell_""),INDEX(FILTER(T$4:T19,Q$4:Q19&lt;&gt;""""),ROWS(FILTER(Q$4:Q19,Q$4:Q19&lt;&gt;""""))),$AD$5+S20))"),36.6)</f>
        <v>36.6</v>
      </c>
      <c r="U20" s="10">
        <f>IFERROR(__xludf.DUMMYFUNCTION("IF(COUNTA(Q20:Q1644)=0,"""",IF(Q20="""",0,IF(REGEXMATCH(Q20,""^Sell_""),-ROUNDDOWN(ROUNDUP(INDEX(Upgrades!$C$3:$C$13,MATCH(SUBSTITUTE(Q20,""Sell_"",""""),Upgrades!$B$3:$B$13,0))*1.15^(COUNTIF(Q$4:Q19,SUBSTITUTE(Q20,""Sell_"",""""))-COUNTIF(Q$4:Q19,""Sell_"&amp;"""&amp;SUBSTITUTE(Q20,""Sell_"",""""))))/2),ROUNDUP(INDEX(Upgrades!$C$3:$C$13,MATCH(Q20,Upgrades!$B$3:$B$13,0))*1.15^(COUNTIF(Q$4:Q19,Q20)-COUNTIF(Q$4:Q19,""Sell_""&amp;Q20))))))"),31.0)</f>
        <v>31</v>
      </c>
      <c r="V20" s="10">
        <f t="shared" si="11"/>
        <v>31</v>
      </c>
      <c r="W20" s="68">
        <f t="shared" si="12"/>
        <v>246.5962537</v>
      </c>
      <c r="X20" s="59" t="str">
        <f t="shared" si="13"/>
        <v>4m 06s</v>
      </c>
      <c r="Y20" s="69">
        <f t="shared" si="14"/>
        <v>5014</v>
      </c>
      <c r="Z20" s="11"/>
    </row>
    <row r="21">
      <c r="A21" s="8"/>
      <c r="B21" s="56">
        <f t="shared" si="2"/>
        <v>7</v>
      </c>
      <c r="C21" s="67" t="s">
        <v>5</v>
      </c>
      <c r="D21" s="10" t="b">
        <f>IFERROR(__xludf.DUMMYFUNCTION("IF(COUNTA(C21:C1644)=0,"""",IF(ISBLANK(C21),FALSE,IF(NOT(COUNTIF($AA$24:$AA$34,SUBSTITUTE(C21,""Sell_"",""""))),1,IF(REGEXMATCH(C21,""Sell_""),IF(COUNTIF(C$4:C21,SUBSTITUTE(C21,""Sell_"",""""))-COUNTIF(C$4:C20,C21)&lt;1,1),FALSE))))"),FALSE)</f>
        <v>0</v>
      </c>
      <c r="E21" s="59">
        <f t="array" ref="E21">IF(COUNTA(C21:C1644)=0,"",SUM((COUNTIF(C$4:C21,Upgrades!$B$3:$B$13)-COUNTIF(C$4:C21,"Sell_"&amp;Upgrades!$B$3:$B$13))*Upgrades!$D$3:$D$13))</f>
        <v>30.6</v>
      </c>
      <c r="F21" s="66">
        <f>IFERROR(__xludf.DUMMYFUNCTION("IF(COUNTA(C21:C1644)=0,"""",IF(REGEXMATCH(INDEX(FILTER(C$4:C21,C$4:C21&lt;&gt;""""),ROWS(FILTER(C$4:C21,C$4:C21&lt;&gt;""""))),""^Sell_""),INDEX(FILTER(F$4:F20,C$4:C20&lt;&gt;""""),ROWS(FILTER(C$4:C20,C$4:C20&lt;&gt;""""))),$AC$5+E21))"),40.6)</f>
        <v>40.6</v>
      </c>
      <c r="G21" s="10">
        <f>IFERROR(__xludf.DUMMYFUNCTION("IF(COUNTA(C21:C1644)=0,"""",IF(C21="""",0,IF(REGEXMATCH(C21,""^Sell_""),-ROUNDDOWN(ROUNDUP(INDEX(Upgrades!$C$3:$C$13,MATCH(SUBSTITUTE(C21,""Sell_"",""""),Upgrades!$B$3:$B$13,0))*1.15^(COUNTIF(C$4:C20,SUBSTITUTE(C21,""Sell_"",""""))-COUNTIF(C$4:C20,""Sell_"&amp;"""&amp;SUBSTITUTE(C21,""Sell_"",""""))))/2),ROUNDUP(INDEX(Upgrades!$C$3:$C$13,MATCH(C21,Upgrades!$B$3:$B$13,0))*1.15^(COUNTIF(C$4:C20,C21)-COUNTIF(C$4:C20,""Sell_""&amp;C21))))))"),1157.0)</f>
        <v>1157</v>
      </c>
      <c r="H21" s="10">
        <f t="shared" si="3"/>
        <v>1157</v>
      </c>
      <c r="I21" s="68">
        <f t="shared" si="4"/>
        <v>278.2082756</v>
      </c>
      <c r="J21" s="59" t="str">
        <f t="shared" si="5"/>
        <v>4m 38s</v>
      </c>
      <c r="K21" s="69">
        <f t="shared" si="6"/>
        <v>6171</v>
      </c>
      <c r="L21" s="60">
        <f t="shared" si="7"/>
        <v>0</v>
      </c>
      <c r="M21" s="61">
        <f>IFERROR(__xludf.DUMMYFUNCTION("IFS(AND(COUNTA(C21:C1644)=0,COUNTA(Q21:Q1644)=0),"""",OR(AND(K21&gt;=1000000000,OR(Y21&gt;=1000000000,COUNTA(Q21:Q1644)=0)),OR(Y21&gt;=1000000000,AND(COUNTA(C21:C1644)=0,P$3=TRUE))),
ROUNDDOWN((AB$1-AC$1)*MAX(INDEX(T$4:T1644,MATCH(LARGE(FILTER(Y$4:Y1644,Y$4:Y1644&lt;"&amp;"1000000000),1),Y$4:Y1644)),INDEX(F$4:F1644,MATCH(LARGE(FILTER(K$4:K1644,K$4:K1644&lt;1000000000),1),K$4:K1644)))),AND(K21&lt;1000000000,COUNTA(C21:C1644)&gt;0,P$3=FALSE),
ROUNDDOWN(INDEX(Y$4:Y1644,MATCH(LARGE(FILTER(W$4:W1644,W$4:W1644&lt;=I21),1),W$4:W1644))+(I21-LA"&amp;"RGE(FILTER(W$4:W1644,W$4:W1644&lt;=I21),1))*INDEX(T$4:T1644,MATCH(LARGE(FILTER(W$4:W1644,W$4:W1644&lt;=I21),1),W$4:W1644))-K21),1,
ROUNDDOWN(Y21-INDEX(K$4:K1644,MATCH(LARGE(FILTER(I$4:I1644,I$4:I1644&lt;=W21),1),I$4:I1644))-(W21-LARGE(FILTER(I$4:I1644,I$4:I1644&lt;=W"&amp;"21),1))*INDEX(F$4:F1644,MATCH(LARGE(FILTER(I$4:I1644,I$4:I1644&lt;=W21),1),I$4:I1644))))"),0.0)</f>
        <v>0</v>
      </c>
      <c r="N21" s="60">
        <f t="shared" si="8"/>
        <v>0</v>
      </c>
      <c r="O21" s="61">
        <f t="shared" si="9"/>
        <v>0</v>
      </c>
      <c r="P21" s="56">
        <f t="shared" si="10"/>
        <v>7</v>
      </c>
      <c r="Q21" s="67" t="s">
        <v>5</v>
      </c>
      <c r="R21" s="10" t="b">
        <f>IFERROR(__xludf.DUMMYFUNCTION("IF(COUNTA(Q21:Q1644)=0,"""",IF(ISBLANK(Q21),FALSE,IF(NOT(COUNTIF($AA$24:$AA$34,SUBSTITUTE(Q21,""Sell_"",""""))),1,IF(REGEXMATCH(Q21,""Sell_""),IF(COUNTIF(Q$4:Q21,SUBSTITUTE(Q21,""Sell_"",""""))-COUNTIF(Q$4:Q20,Q21)&lt;1,1),FALSE))))"),FALSE)</f>
        <v>0</v>
      </c>
      <c r="S21" s="59">
        <f t="array" ref="S21">IF(COUNTA(Q21:Q1644)=0,"",SUM((COUNTIF(Q$4:Q21,Upgrades!$B$3:$B$13)-COUNTIF(Q$4:Q21,"Sell_"&amp;Upgrades!$B$3:$B$13))*Upgrades!$D$3:$D$13))</f>
        <v>30.6</v>
      </c>
      <c r="T21" s="66">
        <f>IFERROR(__xludf.DUMMYFUNCTION("IF(COUNTA(Q21:Q1644)=0,"""",IF(REGEXMATCH(INDEX(FILTER(Q$4:Q21,Q$4:Q21&lt;&gt;""""),ROWS(FILTER(Q$4:Q21,Q$4:Q21&lt;&gt;""""))),""^Sell_""),INDEX(FILTER(T$4:T20,Q$4:Q20&lt;&gt;""""),ROWS(FILTER(Q$4:Q20,Q$4:Q20&lt;&gt;""""))),$AD$5+S21))"),40.6)</f>
        <v>40.6</v>
      </c>
      <c r="U21" s="10">
        <f>IFERROR(__xludf.DUMMYFUNCTION("IF(COUNTA(Q21:Q1644)=0,"""",IF(Q21="""",0,IF(REGEXMATCH(Q21,""^Sell_""),-ROUNDDOWN(ROUNDUP(INDEX(Upgrades!$C$3:$C$13,MATCH(SUBSTITUTE(Q21,""Sell_"",""""),Upgrades!$B$3:$B$13,0))*1.15^(COUNTIF(Q$4:Q20,SUBSTITUTE(Q21,""Sell_"",""""))-COUNTIF(Q$4:Q20,""Sell_"&amp;"""&amp;SUBSTITUTE(Q21,""Sell_"",""""))))/2),ROUNDUP(INDEX(Upgrades!$C$3:$C$13,MATCH(Q21,Upgrades!$B$3:$B$13,0))*1.15^(COUNTIF(Q$4:Q20,Q21)-COUNTIF(Q$4:Q20,""Sell_""&amp;Q21))))))"),1157.0)</f>
        <v>1157</v>
      </c>
      <c r="V21" s="10">
        <f t="shared" si="11"/>
        <v>1157</v>
      </c>
      <c r="W21" s="68">
        <f t="shared" si="12"/>
        <v>278.2082756</v>
      </c>
      <c r="X21" s="59" t="str">
        <f t="shared" si="13"/>
        <v>4m 38s</v>
      </c>
      <c r="Y21" s="69">
        <f t="shared" si="14"/>
        <v>6171</v>
      </c>
      <c r="Z21" s="11"/>
      <c r="AA21" s="92" t="s">
        <v>53</v>
      </c>
      <c r="AB21" s="93"/>
      <c r="AC21" s="93"/>
      <c r="AD21" s="93"/>
      <c r="AE21" s="93"/>
      <c r="AF21" s="94"/>
    </row>
    <row r="22">
      <c r="A22" s="8"/>
      <c r="B22" s="56">
        <f t="shared" si="2"/>
        <v>7</v>
      </c>
      <c r="C22" s="67" t="s">
        <v>3</v>
      </c>
      <c r="D22" s="10" t="b">
        <f>IFERROR(__xludf.DUMMYFUNCTION("IF(COUNTA(C22:C1644)=0,"""",IF(ISBLANK(C22),FALSE,IF(NOT(COUNTIF($AA$24:$AA$34,SUBSTITUTE(C22,""Sell_"",""""))),1,IF(REGEXMATCH(C22,""Sell_""),IF(COUNTIF(C$4:C22,SUBSTITUTE(C22,""Sell_"",""""))-COUNTIF(C$4:C21,C22)&lt;1,1),FALSE))))"),FALSE)</f>
        <v>0</v>
      </c>
      <c r="E22" s="59">
        <f t="array" ref="E22">IF(COUNTA(C22:C1644)=0,"",SUM((COUNTIF(C$4:C22,Upgrades!$B$3:$B$13)-COUNTIF(C$4:C22,"Sell_"&amp;Upgrades!$B$3:$B$13))*Upgrades!$D$3:$D$13))</f>
        <v>30.7</v>
      </c>
      <c r="F22" s="66">
        <f>IFERROR(__xludf.DUMMYFUNCTION("IF(COUNTA(C22:C1644)=0,"""",IF(REGEXMATCH(INDEX(FILTER(C$4:C22,C$4:C22&lt;&gt;""""),ROWS(FILTER(C$4:C22,C$4:C22&lt;&gt;""""))),""^Sell_""),INDEX(FILTER(F$4:F21,C$4:C21&lt;&gt;""""),ROWS(FILTER(C$4:C21,C$4:C21&lt;&gt;""""))),$AC$5+E22))"),40.7)</f>
        <v>40.7</v>
      </c>
      <c r="G22" s="10">
        <f>IFERROR(__xludf.DUMMYFUNCTION("IF(COUNTA(C22:C1644)=0,"""",IF(C22="""",0,IF(REGEXMATCH(C22,""^Sell_""),-ROUNDDOWN(ROUNDUP(INDEX(Upgrades!$C$3:$C$13,MATCH(SUBSTITUTE(C22,""Sell_"",""""),Upgrades!$B$3:$B$13,0))*1.15^(COUNTIF(C$4:C21,SUBSTITUTE(C22,""Sell_"",""""))-COUNTIF(C$4:C21,""Sell_"&amp;"""&amp;SUBSTITUTE(C22,""Sell_"",""""))))/2),ROUNDUP(INDEX(Upgrades!$C$3:$C$13,MATCH(C22,Upgrades!$B$3:$B$13,0))*1.15^(COUNTIF(C$4:C21,C22)-COUNTIF(C$4:C21,""Sell_""&amp;C22))))))"),35.0)</f>
        <v>35</v>
      </c>
      <c r="H22" s="10">
        <f t="shared" si="3"/>
        <v>35</v>
      </c>
      <c r="I22" s="68">
        <f t="shared" si="4"/>
        <v>279.0703445</v>
      </c>
      <c r="J22" s="59" t="str">
        <f t="shared" si="5"/>
        <v>4m 39s</v>
      </c>
      <c r="K22" s="69">
        <f t="shared" si="6"/>
        <v>6206</v>
      </c>
      <c r="L22" s="60">
        <f t="shared" si="7"/>
        <v>0</v>
      </c>
      <c r="M22" s="61">
        <f>IFERROR(__xludf.DUMMYFUNCTION("IFS(AND(COUNTA(C22:C1644)=0,COUNTA(Q22:Q1644)=0),"""",OR(AND(K22&gt;=1000000000,OR(Y22&gt;=1000000000,COUNTA(Q22:Q1644)=0)),OR(Y22&gt;=1000000000,AND(COUNTA(C22:C1644)=0,P$3=TRUE))),
ROUNDDOWN((AB$1-AC$1)*MAX(INDEX(T$4:T1644,MATCH(LARGE(FILTER(Y$4:Y1644,Y$4:Y1644&lt;"&amp;"1000000000),1),Y$4:Y1644)),INDEX(F$4:F1644,MATCH(LARGE(FILTER(K$4:K1644,K$4:K1644&lt;1000000000),1),K$4:K1644)))),AND(K22&lt;1000000000,COUNTA(C22:C1644)&gt;0,P$3=FALSE),
ROUNDDOWN(INDEX(Y$4:Y1644,MATCH(LARGE(FILTER(W$4:W1644,W$4:W1644&lt;=I22),1),W$4:W1644))+(I22-LA"&amp;"RGE(FILTER(W$4:W1644,W$4:W1644&lt;=I22),1))*INDEX(T$4:T1644,MATCH(LARGE(FILTER(W$4:W1644,W$4:W1644&lt;=I22),1),W$4:W1644))-K22),1,
ROUNDDOWN(Y22-INDEX(K$4:K1644,MATCH(LARGE(FILTER(I$4:I1644,I$4:I1644&lt;=W22),1),I$4:I1644))-(W22-LARGE(FILTER(I$4:I1644,I$4:I1644&lt;=W"&amp;"22),1))*INDEX(F$4:F1644,MATCH(LARGE(FILTER(I$4:I1644,I$4:I1644&lt;=W22),1),I$4:I1644))))"),0.0)</f>
        <v>0</v>
      </c>
      <c r="N22" s="60">
        <f t="shared" si="8"/>
        <v>0</v>
      </c>
      <c r="O22" s="61">
        <f t="shared" si="9"/>
        <v>0</v>
      </c>
      <c r="P22" s="56">
        <f t="shared" si="10"/>
        <v>7</v>
      </c>
      <c r="Q22" s="67" t="s">
        <v>3</v>
      </c>
      <c r="R22" s="10" t="b">
        <f>IFERROR(__xludf.DUMMYFUNCTION("IF(COUNTA(Q22:Q1644)=0,"""",IF(ISBLANK(Q22),FALSE,IF(NOT(COUNTIF($AA$24:$AA$34,SUBSTITUTE(Q22,""Sell_"",""""))),1,IF(REGEXMATCH(Q22,""Sell_""),IF(COUNTIF(Q$4:Q22,SUBSTITUTE(Q22,""Sell_"",""""))-COUNTIF(Q$4:Q21,Q22)&lt;1,1),FALSE))))"),FALSE)</f>
        <v>0</v>
      </c>
      <c r="S22" s="59">
        <f t="array" ref="S22">IF(COUNTA(Q22:Q1644)=0,"",SUM((COUNTIF(Q$4:Q22,Upgrades!$B$3:$B$13)-COUNTIF(Q$4:Q22,"Sell_"&amp;Upgrades!$B$3:$B$13))*Upgrades!$D$3:$D$13))</f>
        <v>30.7</v>
      </c>
      <c r="T22" s="66">
        <f>IFERROR(__xludf.DUMMYFUNCTION("IF(COUNTA(Q22:Q1644)=0,"""",IF(REGEXMATCH(INDEX(FILTER(Q$4:Q22,Q$4:Q22&lt;&gt;""""),ROWS(FILTER(Q$4:Q22,Q$4:Q22&lt;&gt;""""))),""^Sell_""),INDEX(FILTER(T$4:T21,Q$4:Q21&lt;&gt;""""),ROWS(FILTER(Q$4:Q21,Q$4:Q21&lt;&gt;""""))),$AD$5+S22))"),40.7)</f>
        <v>40.7</v>
      </c>
      <c r="U22" s="10">
        <f>IFERROR(__xludf.DUMMYFUNCTION("IF(COUNTA(Q22:Q1644)=0,"""",IF(Q22="""",0,IF(REGEXMATCH(Q22,""^Sell_""),-ROUNDDOWN(ROUNDUP(INDEX(Upgrades!$C$3:$C$13,MATCH(SUBSTITUTE(Q22,""Sell_"",""""),Upgrades!$B$3:$B$13,0))*1.15^(COUNTIF(Q$4:Q21,SUBSTITUTE(Q22,""Sell_"",""""))-COUNTIF(Q$4:Q21,""Sell_"&amp;"""&amp;SUBSTITUTE(Q22,""Sell_"",""""))))/2),ROUNDUP(INDEX(Upgrades!$C$3:$C$13,MATCH(Q22,Upgrades!$B$3:$B$13,0))*1.15^(COUNTIF(Q$4:Q21,Q22)-COUNTIF(Q$4:Q21,""Sell_""&amp;Q22))))))"),35.0)</f>
        <v>35</v>
      </c>
      <c r="V22" s="10">
        <f t="shared" si="11"/>
        <v>35</v>
      </c>
      <c r="W22" s="68">
        <f t="shared" si="12"/>
        <v>279.0703445</v>
      </c>
      <c r="X22" s="59" t="str">
        <f t="shared" si="13"/>
        <v>4m 39s</v>
      </c>
      <c r="Y22" s="69">
        <f t="shared" si="14"/>
        <v>6206</v>
      </c>
      <c r="Z22" s="11"/>
    </row>
    <row r="23">
      <c r="A23" s="8"/>
      <c r="B23" s="56">
        <f t="shared" si="2"/>
        <v>5</v>
      </c>
      <c r="C23" s="67" t="s">
        <v>4</v>
      </c>
      <c r="D23" s="10" t="b">
        <f>IFERROR(__xludf.DUMMYFUNCTION("IF(COUNTA(C23:C1644)=0,"""",IF(ISBLANK(C23),FALSE,IF(NOT(COUNTIF($AA$24:$AA$34,SUBSTITUTE(C23,""Sell_"",""""))),1,IF(REGEXMATCH(C23,""Sell_""),IF(COUNTIF(C$4:C23,SUBSTITUTE(C23,""Sell_"",""""))-COUNTIF(C$4:C22,C23)&lt;1,1),FALSE))))"),FALSE)</f>
        <v>0</v>
      </c>
      <c r="E23" s="59">
        <f t="array" ref="E23">IF(COUNTA(C23:C1644)=0,"",SUM((COUNTIF(C$4:C23,Upgrades!$B$3:$B$13)-COUNTIF(C$4:C23,"Sell_"&amp;Upgrades!$B$3:$B$13))*Upgrades!$D$3:$D$13))</f>
        <v>31.2</v>
      </c>
      <c r="F23" s="66">
        <f>IFERROR(__xludf.DUMMYFUNCTION("IF(COUNTA(C23:C1644)=0,"""",IF(REGEXMATCH(INDEX(FILTER(C$4:C23,C$4:C23&lt;&gt;""""),ROWS(FILTER(C$4:C23,C$4:C23&lt;&gt;""""))),""^Sell_""),INDEX(FILTER(F$4:F22,C$4:C22&lt;&gt;""""),ROWS(FILTER(C$4:C22,C$4:C22&lt;&gt;""""))),$AC$5+E23))"),41.2)</f>
        <v>41.2</v>
      </c>
      <c r="G23" s="10">
        <f>IFERROR(__xludf.DUMMYFUNCTION("IF(COUNTA(C23:C1644)=0,"""",IF(C23="""",0,IF(REGEXMATCH(C23,""^Sell_""),-ROUNDDOWN(ROUNDUP(INDEX(Upgrades!$C$3:$C$13,MATCH(SUBSTITUTE(C23,""Sell_"",""""),Upgrades!$B$3:$B$13,0))*1.15^(COUNTIF(C$4:C22,SUBSTITUTE(C23,""Sell_"",""""))-COUNTIF(C$4:C22,""Sell_"&amp;"""&amp;SUBSTITUTE(C23,""Sell_"",""""))))/2),ROUNDUP(INDEX(Upgrades!$C$3:$C$13,MATCH(C23,Upgrades!$B$3:$B$13,0))*1.15^(COUNTIF(C$4:C22,C23)-COUNTIF(C$4:C22,""Sell_""&amp;C23))))))"),175.0)</f>
        <v>175</v>
      </c>
      <c r="H23" s="10">
        <f t="shared" si="3"/>
        <v>175</v>
      </c>
      <c r="I23" s="68">
        <f t="shared" si="4"/>
        <v>283.3700988</v>
      </c>
      <c r="J23" s="59" t="str">
        <f t="shared" si="5"/>
        <v>4m 43s</v>
      </c>
      <c r="K23" s="69">
        <f t="shared" si="6"/>
        <v>6381</v>
      </c>
      <c r="L23" s="60">
        <f t="shared" si="7"/>
        <v>0</v>
      </c>
      <c r="M23" s="61">
        <f>IFERROR(__xludf.DUMMYFUNCTION("IFS(AND(COUNTA(C23:C1644)=0,COUNTA(Q23:Q1644)=0),"""",OR(AND(K23&gt;=1000000000,OR(Y23&gt;=1000000000,COUNTA(Q23:Q1644)=0)),OR(Y23&gt;=1000000000,AND(COUNTA(C23:C1644)=0,P$3=TRUE))),
ROUNDDOWN((AB$1-AC$1)*MAX(INDEX(T$4:T1644,MATCH(LARGE(FILTER(Y$4:Y1644,Y$4:Y1644&lt;"&amp;"1000000000),1),Y$4:Y1644)),INDEX(F$4:F1644,MATCH(LARGE(FILTER(K$4:K1644,K$4:K1644&lt;1000000000),1),K$4:K1644)))),AND(K23&lt;1000000000,COUNTA(C23:C1644)&gt;0,P$3=FALSE),
ROUNDDOWN(INDEX(Y$4:Y1644,MATCH(LARGE(FILTER(W$4:W1644,W$4:W1644&lt;=I23),1),W$4:W1644))+(I23-LA"&amp;"RGE(FILTER(W$4:W1644,W$4:W1644&lt;=I23),1))*INDEX(T$4:T1644,MATCH(LARGE(FILTER(W$4:W1644,W$4:W1644&lt;=I23),1),W$4:W1644))-K23),1,
ROUNDDOWN(Y23-INDEX(K$4:K1644,MATCH(LARGE(FILTER(I$4:I1644,I$4:I1644&lt;=W23),1),I$4:I1644))-(W23-LARGE(FILTER(I$4:I1644,I$4:I1644&lt;=W"&amp;"23),1))*INDEX(F$4:F1644,MATCH(LARGE(FILTER(I$4:I1644,I$4:I1644&lt;=W23),1),I$4:I1644))))"),0.0)</f>
        <v>0</v>
      </c>
      <c r="N23" s="60">
        <f t="shared" si="8"/>
        <v>0</v>
      </c>
      <c r="O23" s="61">
        <f t="shared" si="9"/>
        <v>0</v>
      </c>
      <c r="P23" s="56">
        <f t="shared" si="10"/>
        <v>5</v>
      </c>
      <c r="Q23" s="67" t="s">
        <v>4</v>
      </c>
      <c r="R23" s="10" t="b">
        <f>IFERROR(__xludf.DUMMYFUNCTION("IF(COUNTA(Q23:Q1644)=0,"""",IF(ISBLANK(Q23),FALSE,IF(NOT(COUNTIF($AA$24:$AA$34,SUBSTITUTE(Q23,""Sell_"",""""))),1,IF(REGEXMATCH(Q23,""Sell_""),IF(COUNTIF(Q$4:Q23,SUBSTITUTE(Q23,""Sell_"",""""))-COUNTIF(Q$4:Q22,Q23)&lt;1,1),FALSE))))"),FALSE)</f>
        <v>0</v>
      </c>
      <c r="S23" s="59">
        <f t="array" ref="S23">IF(COUNTA(Q23:Q1644)=0,"",SUM((COUNTIF(Q$4:Q23,Upgrades!$B$3:$B$13)-COUNTIF(Q$4:Q23,"Sell_"&amp;Upgrades!$B$3:$B$13))*Upgrades!$D$3:$D$13))</f>
        <v>31.2</v>
      </c>
      <c r="T23" s="66">
        <f>IFERROR(__xludf.DUMMYFUNCTION("IF(COUNTA(Q23:Q1644)=0,"""",IF(REGEXMATCH(INDEX(FILTER(Q$4:Q23,Q$4:Q23&lt;&gt;""""),ROWS(FILTER(Q$4:Q23,Q$4:Q23&lt;&gt;""""))),""^Sell_""),INDEX(FILTER(T$4:T22,Q$4:Q22&lt;&gt;""""),ROWS(FILTER(Q$4:Q22,Q$4:Q22&lt;&gt;""""))),$AD$5+S23))"),41.2)</f>
        <v>41.2</v>
      </c>
      <c r="U23" s="10">
        <f>IFERROR(__xludf.DUMMYFUNCTION("IF(COUNTA(Q23:Q1644)=0,"""",IF(Q23="""",0,IF(REGEXMATCH(Q23,""^Sell_""),-ROUNDDOWN(ROUNDUP(INDEX(Upgrades!$C$3:$C$13,MATCH(SUBSTITUTE(Q23,""Sell_"",""""),Upgrades!$B$3:$B$13,0))*1.15^(COUNTIF(Q$4:Q22,SUBSTITUTE(Q23,""Sell_"",""""))-COUNTIF(Q$4:Q22,""Sell_"&amp;"""&amp;SUBSTITUTE(Q23,""Sell_"",""""))))/2),ROUNDUP(INDEX(Upgrades!$C$3:$C$13,MATCH(Q23,Upgrades!$B$3:$B$13,0))*1.15^(COUNTIF(Q$4:Q22,Q23)-COUNTIF(Q$4:Q22,""Sell_""&amp;Q23))))))"),175.0)</f>
        <v>175</v>
      </c>
      <c r="V23" s="10">
        <f t="shared" si="11"/>
        <v>175</v>
      </c>
      <c r="W23" s="68">
        <f t="shared" si="12"/>
        <v>283.3700988</v>
      </c>
      <c r="X23" s="59" t="str">
        <f t="shared" si="13"/>
        <v>4m 43s</v>
      </c>
      <c r="Y23" s="69">
        <f t="shared" si="14"/>
        <v>6381</v>
      </c>
      <c r="Z23" s="11"/>
      <c r="AA23" s="95" t="s">
        <v>54</v>
      </c>
      <c r="AB23" s="96"/>
    </row>
    <row r="24">
      <c r="A24" s="8"/>
      <c r="B24" s="56">
        <f t="shared" si="2"/>
        <v>8</v>
      </c>
      <c r="C24" s="67" t="s">
        <v>5</v>
      </c>
      <c r="D24" s="10" t="b">
        <f>IFERROR(__xludf.DUMMYFUNCTION("IF(COUNTA(C24:C1644)=0,"""",IF(ISBLANK(C24),FALSE,IF(NOT(COUNTIF($AA$24:$AA$34,SUBSTITUTE(C24,""Sell_"",""""))),1,IF(REGEXMATCH(C24,""Sell_""),IF(COUNTIF(C$4:C24,SUBSTITUTE(C24,""Sell_"",""""))-COUNTIF(C$4:C23,C24)&lt;1,1),FALSE))))"),FALSE)</f>
        <v>0</v>
      </c>
      <c r="E24" s="59">
        <f t="array" ref="E24">IF(COUNTA(C24:C1644)=0,"",SUM((COUNTIF(C$4:C24,Upgrades!$B$3:$B$13)-COUNTIF(C$4:C24,"Sell_"&amp;Upgrades!$B$3:$B$13))*Upgrades!$D$3:$D$13))</f>
        <v>35.2</v>
      </c>
      <c r="F24" s="66">
        <f>IFERROR(__xludf.DUMMYFUNCTION("IF(COUNTA(C24:C1644)=0,"""",IF(REGEXMATCH(INDEX(FILTER(C$4:C24,C$4:C24&lt;&gt;""""),ROWS(FILTER(C$4:C24,C$4:C24&lt;&gt;""""))),""^Sell_""),INDEX(FILTER(F$4:F23,C$4:C23&lt;&gt;""""),ROWS(FILTER(C$4:C23,C$4:C23&lt;&gt;""""))),$AC$5+E24))"),45.2)</f>
        <v>45.2</v>
      </c>
      <c r="G24" s="10">
        <f>IFERROR(__xludf.DUMMYFUNCTION("IF(COUNTA(C24:C1644)=0,"""",IF(C24="""",0,IF(REGEXMATCH(C24,""^Sell_""),-ROUNDDOWN(ROUNDUP(INDEX(Upgrades!$C$3:$C$13,MATCH(SUBSTITUTE(C24,""Sell_"",""""),Upgrades!$B$3:$B$13,0))*1.15^(COUNTIF(C$4:C23,SUBSTITUTE(C24,""Sell_"",""""))-COUNTIF(C$4:C23,""Sell_"&amp;"""&amp;SUBSTITUTE(C24,""Sell_"",""""))))/2),ROUNDUP(INDEX(Upgrades!$C$3:$C$13,MATCH(C24,Upgrades!$B$3:$B$13,0))*1.15^(COUNTIF(C$4:C23,C24)-COUNTIF(C$4:C23,""Sell_""&amp;C24))))))"),1331.0)</f>
        <v>1331</v>
      </c>
      <c r="H24" s="10">
        <f t="shared" si="3"/>
        <v>1331</v>
      </c>
      <c r="I24" s="68">
        <f t="shared" si="4"/>
        <v>315.6759241</v>
      </c>
      <c r="J24" s="59" t="str">
        <f t="shared" si="5"/>
        <v>5m 15s</v>
      </c>
      <c r="K24" s="69">
        <f t="shared" si="6"/>
        <v>7712</v>
      </c>
      <c r="L24" s="60">
        <f t="shared" si="7"/>
        <v>0</v>
      </c>
      <c r="M24" s="61">
        <f>IFERROR(__xludf.DUMMYFUNCTION("IFS(AND(COUNTA(C24:C1644)=0,COUNTA(Q24:Q1644)=0),"""",OR(AND(K24&gt;=1000000000,OR(Y24&gt;=1000000000,COUNTA(Q24:Q1644)=0)),OR(Y24&gt;=1000000000,AND(COUNTA(C24:C1644)=0,P$3=TRUE))),
ROUNDDOWN((AB$1-AC$1)*MAX(INDEX(T$4:T1644,MATCH(LARGE(FILTER(Y$4:Y1644,Y$4:Y1644&lt;"&amp;"1000000000),1),Y$4:Y1644)),INDEX(F$4:F1644,MATCH(LARGE(FILTER(K$4:K1644,K$4:K1644&lt;1000000000),1),K$4:K1644)))),AND(K24&lt;1000000000,COUNTA(C24:C1644)&gt;0,P$3=FALSE),
ROUNDDOWN(INDEX(Y$4:Y1644,MATCH(LARGE(FILTER(W$4:W1644,W$4:W1644&lt;=I24),1),W$4:W1644))+(I24-LA"&amp;"RGE(FILTER(W$4:W1644,W$4:W1644&lt;=I24),1))*INDEX(T$4:T1644,MATCH(LARGE(FILTER(W$4:W1644,W$4:W1644&lt;=I24),1),W$4:W1644))-K24),1,
ROUNDDOWN(Y24-INDEX(K$4:K1644,MATCH(LARGE(FILTER(I$4:I1644,I$4:I1644&lt;=W24),1),I$4:I1644))-(W24-LARGE(FILTER(I$4:I1644,I$4:I1644&lt;=W"&amp;"24),1))*INDEX(F$4:F1644,MATCH(LARGE(FILTER(I$4:I1644,I$4:I1644&lt;=W24),1),I$4:I1644))))"),0.0)</f>
        <v>0</v>
      </c>
      <c r="N24" s="60">
        <f t="shared" si="8"/>
        <v>0</v>
      </c>
      <c r="O24" s="61">
        <f t="shared" si="9"/>
        <v>0</v>
      </c>
      <c r="P24" s="56">
        <f t="shared" si="10"/>
        <v>8</v>
      </c>
      <c r="Q24" s="67" t="s">
        <v>5</v>
      </c>
      <c r="R24" s="10" t="b">
        <f>IFERROR(__xludf.DUMMYFUNCTION("IF(COUNTA(Q24:Q1644)=0,"""",IF(ISBLANK(Q24),FALSE,IF(NOT(COUNTIF($AA$24:$AA$34,SUBSTITUTE(Q24,""Sell_"",""""))),1,IF(REGEXMATCH(Q24,""Sell_""),IF(COUNTIF(Q$4:Q24,SUBSTITUTE(Q24,""Sell_"",""""))-COUNTIF(Q$4:Q23,Q24)&lt;1,1),FALSE))))"),FALSE)</f>
        <v>0</v>
      </c>
      <c r="S24" s="59">
        <f t="array" ref="S24">IF(COUNTA(Q24:Q1644)=0,"",SUM((COUNTIF(Q$4:Q24,Upgrades!$B$3:$B$13)-COUNTIF(Q$4:Q24,"Sell_"&amp;Upgrades!$B$3:$B$13))*Upgrades!$D$3:$D$13))</f>
        <v>35.2</v>
      </c>
      <c r="T24" s="66">
        <f>IFERROR(__xludf.DUMMYFUNCTION("IF(COUNTA(Q24:Q1644)=0,"""",IF(REGEXMATCH(INDEX(FILTER(Q$4:Q24,Q$4:Q24&lt;&gt;""""),ROWS(FILTER(Q$4:Q24,Q$4:Q24&lt;&gt;""""))),""^Sell_""),INDEX(FILTER(T$4:T23,Q$4:Q23&lt;&gt;""""),ROWS(FILTER(Q$4:Q23,Q$4:Q23&lt;&gt;""""))),$AD$5+S24))"),45.2)</f>
        <v>45.2</v>
      </c>
      <c r="U24" s="10">
        <f>IFERROR(__xludf.DUMMYFUNCTION("IF(COUNTA(Q24:Q1644)=0,"""",IF(Q24="""",0,IF(REGEXMATCH(Q24,""^Sell_""),-ROUNDDOWN(ROUNDUP(INDEX(Upgrades!$C$3:$C$13,MATCH(SUBSTITUTE(Q24,""Sell_"",""""),Upgrades!$B$3:$B$13,0))*1.15^(COUNTIF(Q$4:Q23,SUBSTITUTE(Q24,""Sell_"",""""))-COUNTIF(Q$4:Q23,""Sell_"&amp;"""&amp;SUBSTITUTE(Q24,""Sell_"",""""))))/2),ROUNDUP(INDEX(Upgrades!$C$3:$C$13,MATCH(Q24,Upgrades!$B$3:$B$13,0))*1.15^(COUNTIF(Q$4:Q23,Q24)-COUNTIF(Q$4:Q23,""Sell_""&amp;Q24))))))"),1331.0)</f>
        <v>1331</v>
      </c>
      <c r="V24" s="10">
        <f t="shared" si="11"/>
        <v>1331</v>
      </c>
      <c r="W24" s="68">
        <f t="shared" si="12"/>
        <v>315.6759241</v>
      </c>
      <c r="X24" s="59" t="str">
        <f t="shared" si="13"/>
        <v>5m 15s</v>
      </c>
      <c r="Y24" s="69">
        <f t="shared" si="14"/>
        <v>7712</v>
      </c>
      <c r="Z24" s="11"/>
      <c r="AA24" s="15" t="s">
        <v>3</v>
      </c>
      <c r="AB24" s="97" t="s">
        <v>55</v>
      </c>
    </row>
    <row r="25">
      <c r="A25" s="8"/>
      <c r="B25" s="56">
        <f t="shared" si="2"/>
        <v>1</v>
      </c>
      <c r="C25" s="67" t="s">
        <v>6</v>
      </c>
      <c r="D25" s="10" t="b">
        <f>IFERROR(__xludf.DUMMYFUNCTION("IF(COUNTA(C25:C1644)=0,"""",IF(ISBLANK(C25),FALSE,IF(NOT(COUNTIF($AA$24:$AA$34,SUBSTITUTE(C25,""Sell_"",""""))),1,IF(REGEXMATCH(C25,""Sell_""),IF(COUNTIF(C$4:C25,SUBSTITUTE(C25,""Sell_"",""""))-COUNTIF(C$4:C24,C25)&lt;1,1),FALSE))))"),FALSE)</f>
        <v>0</v>
      </c>
      <c r="E25" s="59">
        <f t="array" ref="E25">IF(COUNTA(C25:C1644)=0,"",SUM((COUNTIF(C$4:C25,Upgrades!$B$3:$B$13)-COUNTIF(C$4:C25,"Sell_"&amp;Upgrades!$B$3:$B$13))*Upgrades!$D$3:$D$13))</f>
        <v>45.2</v>
      </c>
      <c r="F25" s="66">
        <f>IFERROR(__xludf.DUMMYFUNCTION("IF(COUNTA(C25:C1644)=0,"""",IF(REGEXMATCH(INDEX(FILTER(C$4:C25,C$4:C25&lt;&gt;""""),ROWS(FILTER(C$4:C25,C$4:C25&lt;&gt;""""))),""^Sell_""),INDEX(FILTER(F$4:F24,C$4:C24&lt;&gt;""""),ROWS(FILTER(C$4:C24,C$4:C24&lt;&gt;""""))),$AC$5+E25))"),55.2)</f>
        <v>55.2</v>
      </c>
      <c r="G25" s="10">
        <f>IFERROR(__xludf.DUMMYFUNCTION("IF(COUNTA(C25:C1644)=0,"""",IF(C25="""",0,IF(REGEXMATCH(C25,""^Sell_""),-ROUNDDOWN(ROUNDUP(INDEX(Upgrades!$C$3:$C$13,MATCH(SUBSTITUTE(C25,""Sell_"",""""),Upgrades!$B$3:$B$13,0))*1.15^(COUNTIF(C$4:C24,SUBSTITUTE(C25,""Sell_"",""""))-COUNTIF(C$4:C24,""Sell_"&amp;"""&amp;SUBSTITUTE(C25,""Sell_"",""""))))/2),ROUNDUP(INDEX(Upgrades!$C$3:$C$13,MATCH(C25,Upgrades!$B$3:$B$13,0))*1.15^(COUNTIF(C$4:C24,C25)-COUNTIF(C$4:C24,""Sell_""&amp;C25))))))"),3000.0)</f>
        <v>3000</v>
      </c>
      <c r="H25" s="10">
        <f t="shared" si="3"/>
        <v>3000</v>
      </c>
      <c r="I25" s="68">
        <f t="shared" si="4"/>
        <v>382.0476055</v>
      </c>
      <c r="J25" s="59" t="str">
        <f t="shared" si="5"/>
        <v>6m 22s</v>
      </c>
      <c r="K25" s="69">
        <f t="shared" si="6"/>
        <v>10712</v>
      </c>
      <c r="L25" s="60">
        <f t="shared" si="7"/>
        <v>0</v>
      </c>
      <c r="M25" s="61">
        <f>IFERROR(__xludf.DUMMYFUNCTION("IFS(AND(COUNTA(C25:C1644)=0,COUNTA(Q25:Q1644)=0),"""",OR(AND(K25&gt;=1000000000,OR(Y25&gt;=1000000000,COUNTA(Q25:Q1644)=0)),OR(Y25&gt;=1000000000,AND(COUNTA(C25:C1644)=0,P$3=TRUE))),
ROUNDDOWN((AB$1-AC$1)*MAX(INDEX(T$4:T1644,MATCH(LARGE(FILTER(Y$4:Y1644,Y$4:Y1644&lt;"&amp;"1000000000),1),Y$4:Y1644)),INDEX(F$4:F1644,MATCH(LARGE(FILTER(K$4:K1644,K$4:K1644&lt;1000000000),1),K$4:K1644)))),AND(K25&lt;1000000000,COUNTA(C25:C1644)&gt;0,P$3=FALSE),
ROUNDDOWN(INDEX(Y$4:Y1644,MATCH(LARGE(FILTER(W$4:W1644,W$4:W1644&lt;=I25),1),W$4:W1644))+(I25-LA"&amp;"RGE(FILTER(W$4:W1644,W$4:W1644&lt;=I25),1))*INDEX(T$4:T1644,MATCH(LARGE(FILTER(W$4:W1644,W$4:W1644&lt;=I25),1),W$4:W1644))-K25),1,
ROUNDDOWN(Y25-INDEX(K$4:K1644,MATCH(LARGE(FILTER(I$4:I1644,I$4:I1644&lt;=W25),1),I$4:I1644))-(W25-LARGE(FILTER(I$4:I1644,I$4:I1644&lt;=W"&amp;"25),1))*INDEX(F$4:F1644,MATCH(LARGE(FILTER(I$4:I1644,I$4:I1644&lt;=W25),1),I$4:I1644))))"),0.0)</f>
        <v>0</v>
      </c>
      <c r="N25" s="60">
        <f t="shared" si="8"/>
        <v>0</v>
      </c>
      <c r="O25" s="61">
        <f t="shared" si="9"/>
        <v>0</v>
      </c>
      <c r="P25" s="56">
        <f t="shared" si="10"/>
        <v>1</v>
      </c>
      <c r="Q25" s="67" t="s">
        <v>6</v>
      </c>
      <c r="R25" s="10" t="b">
        <f>IFERROR(__xludf.DUMMYFUNCTION("IF(COUNTA(Q25:Q1644)=0,"""",IF(ISBLANK(Q25),FALSE,IF(NOT(COUNTIF($AA$24:$AA$34,SUBSTITUTE(Q25,""Sell_"",""""))),1,IF(REGEXMATCH(Q25,""Sell_""),IF(COUNTIF(Q$4:Q25,SUBSTITUTE(Q25,""Sell_"",""""))-COUNTIF(Q$4:Q24,Q25)&lt;1,1),FALSE))))"),FALSE)</f>
        <v>0</v>
      </c>
      <c r="S25" s="59">
        <f t="array" ref="S25">IF(COUNTA(Q25:Q1644)=0,"",SUM((COUNTIF(Q$4:Q25,Upgrades!$B$3:$B$13)-COUNTIF(Q$4:Q25,"Sell_"&amp;Upgrades!$B$3:$B$13))*Upgrades!$D$3:$D$13))</f>
        <v>45.2</v>
      </c>
      <c r="T25" s="66">
        <f>IFERROR(__xludf.DUMMYFUNCTION("IF(COUNTA(Q25:Q1644)=0,"""",IF(REGEXMATCH(INDEX(FILTER(Q$4:Q25,Q$4:Q25&lt;&gt;""""),ROWS(FILTER(Q$4:Q25,Q$4:Q25&lt;&gt;""""))),""^Sell_""),INDEX(FILTER(T$4:T24,Q$4:Q24&lt;&gt;""""),ROWS(FILTER(Q$4:Q24,Q$4:Q24&lt;&gt;""""))),$AD$5+S25))"),55.2)</f>
        <v>55.2</v>
      </c>
      <c r="U25" s="10">
        <f>IFERROR(__xludf.DUMMYFUNCTION("IF(COUNTA(Q25:Q1644)=0,"""",IF(Q25="""",0,IF(REGEXMATCH(Q25,""^Sell_""),-ROUNDDOWN(ROUNDUP(INDEX(Upgrades!$C$3:$C$13,MATCH(SUBSTITUTE(Q25,""Sell_"",""""),Upgrades!$B$3:$B$13,0))*1.15^(COUNTIF(Q$4:Q24,SUBSTITUTE(Q25,""Sell_"",""""))-COUNTIF(Q$4:Q24,""Sell_"&amp;"""&amp;SUBSTITUTE(Q25,""Sell_"",""""))))/2),ROUNDUP(INDEX(Upgrades!$C$3:$C$13,MATCH(Q25,Upgrades!$B$3:$B$13,0))*1.15^(COUNTIF(Q$4:Q24,Q25)-COUNTIF(Q$4:Q24,""Sell_""&amp;Q25))))))"),3000.0)</f>
        <v>3000</v>
      </c>
      <c r="V25" s="10">
        <f t="shared" si="11"/>
        <v>3000</v>
      </c>
      <c r="W25" s="68">
        <f t="shared" si="12"/>
        <v>382.0476055</v>
      </c>
      <c r="X25" s="59" t="str">
        <f t="shared" si="13"/>
        <v>6m 22s</v>
      </c>
      <c r="Y25" s="69">
        <f t="shared" si="14"/>
        <v>10712</v>
      </c>
      <c r="Z25" s="11"/>
      <c r="AA25" s="15" t="s">
        <v>4</v>
      </c>
      <c r="AB25" s="97" t="s">
        <v>55</v>
      </c>
    </row>
    <row r="26">
      <c r="A26" s="8"/>
      <c r="B26" s="56">
        <f t="shared" si="2"/>
        <v>8</v>
      </c>
      <c r="C26" s="67" t="s">
        <v>3</v>
      </c>
      <c r="D26" s="10" t="b">
        <f>IFERROR(__xludf.DUMMYFUNCTION("IF(COUNTA(C26:C1644)=0,"""",IF(ISBLANK(C26),FALSE,IF(NOT(COUNTIF($AA$24:$AA$34,SUBSTITUTE(C26,""Sell_"",""""))),1,IF(REGEXMATCH(C26,""Sell_""),IF(COUNTIF(C$4:C26,SUBSTITUTE(C26,""Sell_"",""""))-COUNTIF(C$4:C25,C26)&lt;1,1),FALSE))))"),FALSE)</f>
        <v>0</v>
      </c>
      <c r="E26" s="59">
        <f t="array" ref="E26">IF(COUNTA(C26:C1644)=0,"",SUM((COUNTIF(C$4:C26,Upgrades!$B$3:$B$13)-COUNTIF(C$4:C26,"Sell_"&amp;Upgrades!$B$3:$B$13))*Upgrades!$D$3:$D$13))</f>
        <v>45.3</v>
      </c>
      <c r="F26" s="66">
        <f>IFERROR(__xludf.DUMMYFUNCTION("IF(COUNTA(C26:C1644)=0,"""",IF(REGEXMATCH(INDEX(FILTER(C$4:C26,C$4:C26&lt;&gt;""""),ROWS(FILTER(C$4:C26,C$4:C26&lt;&gt;""""))),""^Sell_""),INDEX(FILTER(F$4:F25,C$4:C25&lt;&gt;""""),ROWS(FILTER(C$4:C25,C$4:C25&lt;&gt;""""))),$AC$5+E26))"),55.3)</f>
        <v>55.3</v>
      </c>
      <c r="G26" s="10">
        <f>IFERROR(__xludf.DUMMYFUNCTION("IF(COUNTA(C26:C1644)=0,"""",IF(C26="""",0,IF(REGEXMATCH(C26,""^Sell_""),-ROUNDDOWN(ROUNDUP(INDEX(Upgrades!$C$3:$C$13,MATCH(SUBSTITUTE(C26,""Sell_"",""""),Upgrades!$B$3:$B$13,0))*1.15^(COUNTIF(C$4:C25,SUBSTITUTE(C26,""Sell_"",""""))-COUNTIF(C$4:C25,""Sell_"&amp;"""&amp;SUBSTITUTE(C26,""Sell_"",""""))))/2),ROUNDUP(INDEX(Upgrades!$C$3:$C$13,MATCH(C26,Upgrades!$B$3:$B$13,0))*1.15^(COUNTIF(C$4:C25,C26)-COUNTIF(C$4:C25,""Sell_""&amp;C26))))))"),40.0)</f>
        <v>40</v>
      </c>
      <c r="H26" s="10">
        <f t="shared" si="3"/>
        <v>40</v>
      </c>
      <c r="I26" s="68">
        <f t="shared" si="4"/>
        <v>382.7722432</v>
      </c>
      <c r="J26" s="59" t="str">
        <f t="shared" si="5"/>
        <v>6m 22s</v>
      </c>
      <c r="K26" s="69">
        <f t="shared" si="6"/>
        <v>10752</v>
      </c>
      <c r="L26" s="60">
        <f t="shared" si="7"/>
        <v>0</v>
      </c>
      <c r="M26" s="61">
        <f>IFERROR(__xludf.DUMMYFUNCTION("IFS(AND(COUNTA(C26:C1644)=0,COUNTA(Q26:Q1644)=0),"""",OR(AND(K26&gt;=1000000000,OR(Y26&gt;=1000000000,COUNTA(Q26:Q1644)=0)),OR(Y26&gt;=1000000000,AND(COUNTA(C26:C1644)=0,P$3=TRUE))),
ROUNDDOWN((AB$1-AC$1)*MAX(INDEX(T$4:T1644,MATCH(LARGE(FILTER(Y$4:Y1644,Y$4:Y1644&lt;"&amp;"1000000000),1),Y$4:Y1644)),INDEX(F$4:F1644,MATCH(LARGE(FILTER(K$4:K1644,K$4:K1644&lt;1000000000),1),K$4:K1644)))),AND(K26&lt;1000000000,COUNTA(C26:C1644)&gt;0,P$3=FALSE),
ROUNDDOWN(INDEX(Y$4:Y1644,MATCH(LARGE(FILTER(W$4:W1644,W$4:W1644&lt;=I26),1),W$4:W1644))+(I26-LA"&amp;"RGE(FILTER(W$4:W1644,W$4:W1644&lt;=I26),1))*INDEX(T$4:T1644,MATCH(LARGE(FILTER(W$4:W1644,W$4:W1644&lt;=I26),1),W$4:W1644))-K26),1,
ROUNDDOWN(Y26-INDEX(K$4:K1644,MATCH(LARGE(FILTER(I$4:I1644,I$4:I1644&lt;=W26),1),I$4:I1644))-(W26-LARGE(FILTER(I$4:I1644,I$4:I1644&lt;=W"&amp;"26),1))*INDEX(F$4:F1644,MATCH(LARGE(FILTER(I$4:I1644,I$4:I1644&lt;=W26),1),I$4:I1644))))"),0.0)</f>
        <v>0</v>
      </c>
      <c r="N26" s="60">
        <f t="shared" si="8"/>
        <v>0</v>
      </c>
      <c r="O26" s="61">
        <f t="shared" si="9"/>
        <v>0</v>
      </c>
      <c r="P26" s="56">
        <f t="shared" si="10"/>
        <v>8</v>
      </c>
      <c r="Q26" s="67" t="s">
        <v>3</v>
      </c>
      <c r="R26" s="10" t="b">
        <f>IFERROR(__xludf.DUMMYFUNCTION("IF(COUNTA(Q26:Q1644)=0,"""",IF(ISBLANK(Q26),FALSE,IF(NOT(COUNTIF($AA$24:$AA$34,SUBSTITUTE(Q26,""Sell_"",""""))),1,IF(REGEXMATCH(Q26,""Sell_""),IF(COUNTIF(Q$4:Q26,SUBSTITUTE(Q26,""Sell_"",""""))-COUNTIF(Q$4:Q25,Q26)&lt;1,1),FALSE))))"),FALSE)</f>
        <v>0</v>
      </c>
      <c r="S26" s="59">
        <f t="array" ref="S26">IF(COUNTA(Q26:Q1644)=0,"",SUM((COUNTIF(Q$4:Q26,Upgrades!$B$3:$B$13)-COUNTIF(Q$4:Q26,"Sell_"&amp;Upgrades!$B$3:$B$13))*Upgrades!$D$3:$D$13))</f>
        <v>45.3</v>
      </c>
      <c r="T26" s="66">
        <f>IFERROR(__xludf.DUMMYFUNCTION("IF(COUNTA(Q26:Q1644)=0,"""",IF(REGEXMATCH(INDEX(FILTER(Q$4:Q26,Q$4:Q26&lt;&gt;""""),ROWS(FILTER(Q$4:Q26,Q$4:Q26&lt;&gt;""""))),""^Sell_""),INDEX(FILTER(T$4:T25,Q$4:Q25&lt;&gt;""""),ROWS(FILTER(Q$4:Q25,Q$4:Q25&lt;&gt;""""))),$AD$5+S26))"),55.3)</f>
        <v>55.3</v>
      </c>
      <c r="U26" s="10">
        <f>IFERROR(__xludf.DUMMYFUNCTION("IF(COUNTA(Q26:Q1644)=0,"""",IF(Q26="""",0,IF(REGEXMATCH(Q26,""^Sell_""),-ROUNDDOWN(ROUNDUP(INDEX(Upgrades!$C$3:$C$13,MATCH(SUBSTITUTE(Q26,""Sell_"",""""),Upgrades!$B$3:$B$13,0))*1.15^(COUNTIF(Q$4:Q25,SUBSTITUTE(Q26,""Sell_"",""""))-COUNTIF(Q$4:Q25,""Sell_"&amp;"""&amp;SUBSTITUTE(Q26,""Sell_"",""""))))/2),ROUNDUP(INDEX(Upgrades!$C$3:$C$13,MATCH(Q26,Upgrades!$B$3:$B$13,0))*1.15^(COUNTIF(Q$4:Q25,Q26)-COUNTIF(Q$4:Q25,""Sell_""&amp;Q26))))))"),40.0)</f>
        <v>40</v>
      </c>
      <c r="V26" s="10">
        <f t="shared" si="11"/>
        <v>40</v>
      </c>
      <c r="W26" s="68">
        <f t="shared" si="12"/>
        <v>382.7722432</v>
      </c>
      <c r="X26" s="59" t="str">
        <f t="shared" si="13"/>
        <v>6m 22s</v>
      </c>
      <c r="Y26" s="69">
        <f t="shared" si="14"/>
        <v>10752</v>
      </c>
      <c r="Z26" s="11"/>
      <c r="AA26" s="15" t="s">
        <v>5</v>
      </c>
      <c r="AB26" s="97" t="s">
        <v>55</v>
      </c>
    </row>
    <row r="27">
      <c r="A27" s="8"/>
      <c r="B27" s="56">
        <f t="shared" si="2"/>
        <v>2</v>
      </c>
      <c r="C27" s="67" t="s">
        <v>6</v>
      </c>
      <c r="D27" s="10" t="b">
        <f>IFERROR(__xludf.DUMMYFUNCTION("IF(COUNTA(C27:C1644)=0,"""",IF(ISBLANK(C27),FALSE,IF(NOT(COUNTIF($AA$24:$AA$34,SUBSTITUTE(C27,""Sell_"",""""))),1,IF(REGEXMATCH(C27,""Sell_""),IF(COUNTIF(C$4:C27,SUBSTITUTE(C27,""Sell_"",""""))-COUNTIF(C$4:C26,C27)&lt;1,1),FALSE))))"),FALSE)</f>
        <v>0</v>
      </c>
      <c r="E27" s="59">
        <f t="array" ref="E27">IF(COUNTA(C27:C1644)=0,"",SUM((COUNTIF(C$4:C27,Upgrades!$B$3:$B$13)-COUNTIF(C$4:C27,"Sell_"&amp;Upgrades!$B$3:$B$13))*Upgrades!$D$3:$D$13))</f>
        <v>55.3</v>
      </c>
      <c r="F27" s="66">
        <f>IFERROR(__xludf.DUMMYFUNCTION("IF(COUNTA(C27:C1644)=0,"""",IF(REGEXMATCH(INDEX(FILTER(C$4:C27,C$4:C27&lt;&gt;""""),ROWS(FILTER(C$4:C27,C$4:C27&lt;&gt;""""))),""^Sell_""),INDEX(FILTER(F$4:F26,C$4:C26&lt;&gt;""""),ROWS(FILTER(C$4:C26,C$4:C26&lt;&gt;""""))),$AC$5+E27))"),65.3)</f>
        <v>65.3</v>
      </c>
      <c r="G27" s="10">
        <f>IFERROR(__xludf.DUMMYFUNCTION("IF(COUNTA(C27:C1644)=0,"""",IF(C27="""",0,IF(REGEXMATCH(C27,""^Sell_""),-ROUNDDOWN(ROUNDUP(INDEX(Upgrades!$C$3:$C$13,MATCH(SUBSTITUTE(C27,""Sell_"",""""),Upgrades!$B$3:$B$13,0))*1.15^(COUNTIF(C$4:C26,SUBSTITUTE(C27,""Sell_"",""""))-COUNTIF(C$4:C26,""Sell_"&amp;"""&amp;SUBSTITUTE(C27,""Sell_"",""""))))/2),ROUNDUP(INDEX(Upgrades!$C$3:$C$13,MATCH(C27,Upgrades!$B$3:$B$13,0))*1.15^(COUNTIF(C$4:C26,C27)-COUNTIF(C$4:C26,""Sell_""&amp;C27))))))"),3450.0)</f>
        <v>3450</v>
      </c>
      <c r="H27" s="10">
        <f t="shared" si="3"/>
        <v>3450</v>
      </c>
      <c r="I27" s="68">
        <f t="shared" si="4"/>
        <v>445.1592233</v>
      </c>
      <c r="J27" s="59" t="str">
        <f t="shared" si="5"/>
        <v>7m 25s</v>
      </c>
      <c r="K27" s="69">
        <f t="shared" si="6"/>
        <v>14202</v>
      </c>
      <c r="L27" s="60">
        <f t="shared" si="7"/>
        <v>0</v>
      </c>
      <c r="M27" s="61">
        <f>IFERROR(__xludf.DUMMYFUNCTION("IFS(AND(COUNTA(C27:C1644)=0,COUNTA(Q27:Q1644)=0),"""",OR(AND(K27&gt;=1000000000,OR(Y27&gt;=1000000000,COUNTA(Q27:Q1644)=0)),OR(Y27&gt;=1000000000,AND(COUNTA(C27:C1644)=0,P$3=TRUE))),
ROUNDDOWN((AB$1-AC$1)*MAX(INDEX(T$4:T1644,MATCH(LARGE(FILTER(Y$4:Y1644,Y$4:Y1644&lt;"&amp;"1000000000),1),Y$4:Y1644)),INDEX(F$4:F1644,MATCH(LARGE(FILTER(K$4:K1644,K$4:K1644&lt;1000000000),1),K$4:K1644)))),AND(K27&lt;1000000000,COUNTA(C27:C1644)&gt;0,P$3=FALSE),
ROUNDDOWN(INDEX(Y$4:Y1644,MATCH(LARGE(FILTER(W$4:W1644,W$4:W1644&lt;=I27),1),W$4:W1644))+(I27-LA"&amp;"RGE(FILTER(W$4:W1644,W$4:W1644&lt;=I27),1))*INDEX(T$4:T1644,MATCH(LARGE(FILTER(W$4:W1644,W$4:W1644&lt;=I27),1),W$4:W1644))-K27),1,
ROUNDDOWN(Y27-INDEX(K$4:K1644,MATCH(LARGE(FILTER(I$4:I1644,I$4:I1644&lt;=W27),1),I$4:I1644))-(W27-LARGE(FILTER(I$4:I1644,I$4:I1644&lt;=W"&amp;"27),1))*INDEX(F$4:F1644,MATCH(LARGE(FILTER(I$4:I1644,I$4:I1644&lt;=W27),1),I$4:I1644))))"),0.0)</f>
        <v>0</v>
      </c>
      <c r="N27" s="60">
        <f t="shared" si="8"/>
        <v>0</v>
      </c>
      <c r="O27" s="61">
        <f t="shared" si="9"/>
        <v>0</v>
      </c>
      <c r="P27" s="56">
        <f t="shared" si="10"/>
        <v>2</v>
      </c>
      <c r="Q27" s="67" t="s">
        <v>6</v>
      </c>
      <c r="R27" s="10" t="b">
        <f>IFERROR(__xludf.DUMMYFUNCTION("IF(COUNTA(Q27:Q1644)=0,"""",IF(ISBLANK(Q27),FALSE,IF(NOT(COUNTIF($AA$24:$AA$34,SUBSTITUTE(Q27,""Sell_"",""""))),1,IF(REGEXMATCH(Q27,""Sell_""),IF(COUNTIF(Q$4:Q27,SUBSTITUTE(Q27,""Sell_"",""""))-COUNTIF(Q$4:Q26,Q27)&lt;1,1),FALSE))))"),FALSE)</f>
        <v>0</v>
      </c>
      <c r="S27" s="59">
        <f t="array" ref="S27">IF(COUNTA(Q27:Q1644)=0,"",SUM((COUNTIF(Q$4:Q27,Upgrades!$B$3:$B$13)-COUNTIF(Q$4:Q27,"Sell_"&amp;Upgrades!$B$3:$B$13))*Upgrades!$D$3:$D$13))</f>
        <v>55.3</v>
      </c>
      <c r="T27" s="66">
        <f>IFERROR(__xludf.DUMMYFUNCTION("IF(COUNTA(Q27:Q1644)=0,"""",IF(REGEXMATCH(INDEX(FILTER(Q$4:Q27,Q$4:Q27&lt;&gt;""""),ROWS(FILTER(Q$4:Q27,Q$4:Q27&lt;&gt;""""))),""^Sell_""),INDEX(FILTER(T$4:T26,Q$4:Q26&lt;&gt;""""),ROWS(FILTER(Q$4:Q26,Q$4:Q26&lt;&gt;""""))),$AD$5+S27))"),65.3)</f>
        <v>65.3</v>
      </c>
      <c r="U27" s="10">
        <f>IFERROR(__xludf.DUMMYFUNCTION("IF(COUNTA(Q27:Q1644)=0,"""",IF(Q27="""",0,IF(REGEXMATCH(Q27,""^Sell_""),-ROUNDDOWN(ROUNDUP(INDEX(Upgrades!$C$3:$C$13,MATCH(SUBSTITUTE(Q27,""Sell_"",""""),Upgrades!$B$3:$B$13,0))*1.15^(COUNTIF(Q$4:Q26,SUBSTITUTE(Q27,""Sell_"",""""))-COUNTIF(Q$4:Q26,""Sell_"&amp;"""&amp;SUBSTITUTE(Q27,""Sell_"",""""))))/2),ROUNDUP(INDEX(Upgrades!$C$3:$C$13,MATCH(Q27,Upgrades!$B$3:$B$13,0))*1.15^(COUNTIF(Q$4:Q26,Q27)-COUNTIF(Q$4:Q26,""Sell_""&amp;Q27))))))"),3450.0)</f>
        <v>3450</v>
      </c>
      <c r="V27" s="10">
        <f t="shared" si="11"/>
        <v>3450</v>
      </c>
      <c r="W27" s="68">
        <f t="shared" si="12"/>
        <v>445.1592233</v>
      </c>
      <c r="X27" s="59" t="str">
        <f t="shared" si="13"/>
        <v>7m 25s</v>
      </c>
      <c r="Y27" s="69">
        <f t="shared" si="14"/>
        <v>14202</v>
      </c>
      <c r="Z27" s="11"/>
      <c r="AA27" s="15" t="s">
        <v>6</v>
      </c>
      <c r="AB27" s="97" t="s">
        <v>55</v>
      </c>
    </row>
    <row r="28">
      <c r="A28" s="8"/>
      <c r="B28" s="56">
        <f t="shared" si="2"/>
        <v>1</v>
      </c>
      <c r="C28" s="67" t="s">
        <v>7</v>
      </c>
      <c r="D28" s="10" t="b">
        <f>IFERROR(__xludf.DUMMYFUNCTION("IF(COUNTA(C28:C1644)=0,"""",IF(ISBLANK(C28),FALSE,IF(NOT(COUNTIF($AA$24:$AA$34,SUBSTITUTE(C28,""Sell_"",""""))),1,IF(REGEXMATCH(C28,""Sell_""),IF(COUNTIF(C$4:C28,SUBSTITUTE(C28,""Sell_"",""""))-COUNTIF(C$4:C27,C28)&lt;1,1),FALSE))))"),FALSE)</f>
        <v>0</v>
      </c>
      <c r="E28" s="59">
        <f t="array" ref="E28">IF(COUNTA(C28:C1644)=0,"",SUM((COUNTIF(C$4:C28,Upgrades!$B$3:$B$13)-COUNTIF(C$4:C28,"Sell_"&amp;Upgrades!$B$3:$B$13))*Upgrades!$D$3:$D$13))</f>
        <v>95.3</v>
      </c>
      <c r="F28" s="66">
        <f>IFERROR(__xludf.DUMMYFUNCTION("IF(COUNTA(C28:C1644)=0,"""",IF(REGEXMATCH(INDEX(FILTER(C$4:C28,C$4:C28&lt;&gt;""""),ROWS(FILTER(C$4:C28,C$4:C28&lt;&gt;""""))),""^Sell_""),INDEX(FILTER(F$4:F27,C$4:C27&lt;&gt;""""),ROWS(FILTER(C$4:C27,C$4:C27&lt;&gt;""""))),$AC$5+E28))"),105.3)</f>
        <v>105.3</v>
      </c>
      <c r="G28" s="10">
        <f>IFERROR(__xludf.DUMMYFUNCTION("IF(COUNTA(C28:C1644)=0,"""",IF(C28="""",0,IF(REGEXMATCH(C28,""^Sell_""),-ROUNDDOWN(ROUNDUP(INDEX(Upgrades!$C$3:$C$13,MATCH(SUBSTITUTE(C28,""Sell_"",""""),Upgrades!$B$3:$B$13,0))*1.15^(COUNTIF(C$4:C27,SUBSTITUTE(C28,""Sell_"",""""))-COUNTIF(C$4:C27,""Sell_"&amp;"""&amp;SUBSTITUTE(C28,""Sell_"",""""))))/2),ROUNDUP(INDEX(Upgrades!$C$3:$C$13,MATCH(C28,Upgrades!$B$3:$B$13,0))*1.15^(COUNTIF(C$4:C27,C28)-COUNTIF(C$4:C27,""Sell_""&amp;C28))))))"),10000.0)</f>
        <v>10000</v>
      </c>
      <c r="H28" s="10">
        <f t="shared" si="3"/>
        <v>10000</v>
      </c>
      <c r="I28" s="68">
        <f t="shared" si="4"/>
        <v>598.2985801</v>
      </c>
      <c r="J28" s="59" t="str">
        <f t="shared" si="5"/>
        <v>9m 58s</v>
      </c>
      <c r="K28" s="69">
        <f t="shared" si="6"/>
        <v>24202</v>
      </c>
      <c r="L28" s="60">
        <f t="shared" si="7"/>
        <v>0</v>
      </c>
      <c r="M28" s="61">
        <f>IFERROR(__xludf.DUMMYFUNCTION("IFS(AND(COUNTA(C28:C1644)=0,COUNTA(Q28:Q1644)=0),"""",OR(AND(K28&gt;=1000000000,OR(Y28&gt;=1000000000,COUNTA(Q28:Q1644)=0)),OR(Y28&gt;=1000000000,AND(COUNTA(C28:C1644)=0,P$3=TRUE))),
ROUNDDOWN((AB$1-AC$1)*MAX(INDEX(T$4:T1644,MATCH(LARGE(FILTER(Y$4:Y1644,Y$4:Y1644&lt;"&amp;"1000000000),1),Y$4:Y1644)),INDEX(F$4:F1644,MATCH(LARGE(FILTER(K$4:K1644,K$4:K1644&lt;1000000000),1),K$4:K1644)))),AND(K28&lt;1000000000,COUNTA(C28:C1644)&gt;0,P$3=FALSE),
ROUNDDOWN(INDEX(Y$4:Y1644,MATCH(LARGE(FILTER(W$4:W1644,W$4:W1644&lt;=I28),1),W$4:W1644))+(I28-LA"&amp;"RGE(FILTER(W$4:W1644,W$4:W1644&lt;=I28),1))*INDEX(T$4:T1644,MATCH(LARGE(FILTER(W$4:W1644,W$4:W1644&lt;=I28),1),W$4:W1644))-K28),1,
ROUNDDOWN(Y28-INDEX(K$4:K1644,MATCH(LARGE(FILTER(I$4:I1644,I$4:I1644&lt;=W28),1),I$4:I1644))-(W28-LARGE(FILTER(I$4:I1644,I$4:I1644&lt;=W"&amp;"28),1))*INDEX(F$4:F1644,MATCH(LARGE(FILTER(I$4:I1644,I$4:I1644&lt;=W28),1),I$4:I1644))))"),0.0)</f>
        <v>0</v>
      </c>
      <c r="N28" s="60">
        <f t="shared" si="8"/>
        <v>0</v>
      </c>
      <c r="O28" s="61">
        <f t="shared" si="9"/>
        <v>0</v>
      </c>
      <c r="P28" s="56">
        <f t="shared" si="10"/>
        <v>1</v>
      </c>
      <c r="Q28" s="67" t="s">
        <v>7</v>
      </c>
      <c r="R28" s="10" t="b">
        <f>IFERROR(__xludf.DUMMYFUNCTION("IF(COUNTA(Q28:Q1644)=0,"""",IF(ISBLANK(Q28),FALSE,IF(NOT(COUNTIF($AA$24:$AA$34,SUBSTITUTE(Q28,""Sell_"",""""))),1,IF(REGEXMATCH(Q28,""Sell_""),IF(COUNTIF(Q$4:Q28,SUBSTITUTE(Q28,""Sell_"",""""))-COUNTIF(Q$4:Q27,Q28)&lt;1,1),FALSE))))"),FALSE)</f>
        <v>0</v>
      </c>
      <c r="S28" s="59">
        <f t="array" ref="S28">IF(COUNTA(Q28:Q1644)=0,"",SUM((COUNTIF(Q$4:Q28,Upgrades!$B$3:$B$13)-COUNTIF(Q$4:Q28,"Sell_"&amp;Upgrades!$B$3:$B$13))*Upgrades!$D$3:$D$13))</f>
        <v>95.3</v>
      </c>
      <c r="T28" s="66">
        <f>IFERROR(__xludf.DUMMYFUNCTION("IF(COUNTA(Q28:Q1644)=0,"""",IF(REGEXMATCH(INDEX(FILTER(Q$4:Q28,Q$4:Q28&lt;&gt;""""),ROWS(FILTER(Q$4:Q28,Q$4:Q28&lt;&gt;""""))),""^Sell_""),INDEX(FILTER(T$4:T27,Q$4:Q27&lt;&gt;""""),ROWS(FILTER(Q$4:Q27,Q$4:Q27&lt;&gt;""""))),$AD$5+S28))"),105.3)</f>
        <v>105.3</v>
      </c>
      <c r="U28" s="10">
        <f>IFERROR(__xludf.DUMMYFUNCTION("IF(COUNTA(Q28:Q1644)=0,"""",IF(Q28="""",0,IF(REGEXMATCH(Q28,""^Sell_""),-ROUNDDOWN(ROUNDUP(INDEX(Upgrades!$C$3:$C$13,MATCH(SUBSTITUTE(Q28,""Sell_"",""""),Upgrades!$B$3:$B$13,0))*1.15^(COUNTIF(Q$4:Q27,SUBSTITUTE(Q28,""Sell_"",""""))-COUNTIF(Q$4:Q27,""Sell_"&amp;"""&amp;SUBSTITUTE(Q28,""Sell_"",""""))))/2),ROUNDUP(INDEX(Upgrades!$C$3:$C$13,MATCH(Q28,Upgrades!$B$3:$B$13,0))*1.15^(COUNTIF(Q$4:Q27,Q28)-COUNTIF(Q$4:Q27,""Sell_""&amp;Q28))))))"),10000.0)</f>
        <v>10000</v>
      </c>
      <c r="V28" s="10">
        <f t="shared" si="11"/>
        <v>10000</v>
      </c>
      <c r="W28" s="68">
        <f t="shared" si="12"/>
        <v>598.2985801</v>
      </c>
      <c r="X28" s="59" t="str">
        <f t="shared" si="13"/>
        <v>9m 58s</v>
      </c>
      <c r="Y28" s="69">
        <f t="shared" si="14"/>
        <v>24202</v>
      </c>
      <c r="Z28" s="11"/>
      <c r="AA28" s="15" t="s">
        <v>7</v>
      </c>
      <c r="AB28" s="97" t="s">
        <v>55</v>
      </c>
    </row>
    <row r="29">
      <c r="A29" s="8"/>
      <c r="B29" s="56">
        <f t="shared" si="2"/>
        <v>2</v>
      </c>
      <c r="C29" s="67" t="s">
        <v>7</v>
      </c>
      <c r="D29" s="10" t="b">
        <f>IFERROR(__xludf.DUMMYFUNCTION("IF(COUNTA(C29:C1644)=0,"""",IF(ISBLANK(C29),FALSE,IF(NOT(COUNTIF($AA$24:$AA$34,SUBSTITUTE(C29,""Sell_"",""""))),1,IF(REGEXMATCH(C29,""Sell_""),IF(COUNTIF(C$4:C29,SUBSTITUTE(C29,""Sell_"",""""))-COUNTIF(C$4:C28,C29)&lt;1,1),FALSE))))"),FALSE)</f>
        <v>0</v>
      </c>
      <c r="E29" s="59">
        <f t="array" ref="E29">IF(COUNTA(C29:C1644)=0,"",SUM((COUNTIF(C$4:C29,Upgrades!$B$3:$B$13)-COUNTIF(C$4:C29,"Sell_"&amp;Upgrades!$B$3:$B$13))*Upgrades!$D$3:$D$13))</f>
        <v>135.3</v>
      </c>
      <c r="F29" s="66">
        <f>IFERROR(__xludf.DUMMYFUNCTION("IF(COUNTA(C29:C1644)=0,"""",IF(REGEXMATCH(INDEX(FILTER(C$4:C29,C$4:C29&lt;&gt;""""),ROWS(FILTER(C$4:C29,C$4:C29&lt;&gt;""""))),""^Sell_""),INDEX(FILTER(F$4:F28,C$4:C28&lt;&gt;""""),ROWS(FILTER(C$4:C28,C$4:C28&lt;&gt;""""))),$AC$5+E29))"),145.3)</f>
        <v>145.3</v>
      </c>
      <c r="G29" s="10">
        <f>IFERROR(__xludf.DUMMYFUNCTION("IF(COUNTA(C29:C1644)=0,"""",IF(C29="""",0,IF(REGEXMATCH(C29,""^Sell_""),-ROUNDDOWN(ROUNDUP(INDEX(Upgrades!$C$3:$C$13,MATCH(SUBSTITUTE(C29,""Sell_"",""""),Upgrades!$B$3:$B$13,0))*1.15^(COUNTIF(C$4:C28,SUBSTITUTE(C29,""Sell_"",""""))-COUNTIF(C$4:C28,""Sell_"&amp;"""&amp;SUBSTITUTE(C29,""Sell_"",""""))))/2),ROUNDUP(INDEX(Upgrades!$C$3:$C$13,MATCH(C29,Upgrades!$B$3:$B$13,0))*1.15^(COUNTIF(C$4:C28,C29)-COUNTIF(C$4:C28,""Sell_""&amp;C29))))))"),11500.0)</f>
        <v>11500</v>
      </c>
      <c r="H29" s="10">
        <f t="shared" si="3"/>
        <v>11500</v>
      </c>
      <c r="I29" s="68">
        <f t="shared" si="4"/>
        <v>707.510356</v>
      </c>
      <c r="J29" s="59" t="str">
        <f t="shared" si="5"/>
        <v>11m 47s</v>
      </c>
      <c r="K29" s="69">
        <f t="shared" si="6"/>
        <v>35702</v>
      </c>
      <c r="L29" s="60">
        <f t="shared" si="7"/>
        <v>0</v>
      </c>
      <c r="M29" s="61">
        <f>IFERROR(__xludf.DUMMYFUNCTION("IFS(AND(COUNTA(C29:C1644)=0,COUNTA(Q29:Q1644)=0),"""",OR(AND(K29&gt;=1000000000,OR(Y29&gt;=1000000000,COUNTA(Q29:Q1644)=0)),OR(Y29&gt;=1000000000,AND(COUNTA(C29:C1644)=0,P$3=TRUE))),
ROUNDDOWN((AB$1-AC$1)*MAX(INDEX(T$4:T1644,MATCH(LARGE(FILTER(Y$4:Y1644,Y$4:Y1644&lt;"&amp;"1000000000),1),Y$4:Y1644)),INDEX(F$4:F1644,MATCH(LARGE(FILTER(K$4:K1644,K$4:K1644&lt;1000000000),1),K$4:K1644)))),AND(K29&lt;1000000000,COUNTA(C29:C1644)&gt;0,P$3=FALSE),
ROUNDDOWN(INDEX(Y$4:Y1644,MATCH(LARGE(FILTER(W$4:W1644,W$4:W1644&lt;=I29),1),W$4:W1644))+(I29-LA"&amp;"RGE(FILTER(W$4:W1644,W$4:W1644&lt;=I29),1))*INDEX(T$4:T1644,MATCH(LARGE(FILTER(W$4:W1644,W$4:W1644&lt;=I29),1),W$4:W1644))-K29),1,
ROUNDDOWN(Y29-INDEX(K$4:K1644,MATCH(LARGE(FILTER(I$4:I1644,I$4:I1644&lt;=W29),1),I$4:I1644))-(W29-LARGE(FILTER(I$4:I1644,I$4:I1644&lt;=W"&amp;"29),1))*INDEX(F$4:F1644,MATCH(LARGE(FILTER(I$4:I1644,I$4:I1644&lt;=W29),1),I$4:I1644))))"),0.0)</f>
        <v>0</v>
      </c>
      <c r="N29" s="60">
        <f t="shared" si="8"/>
        <v>0</v>
      </c>
      <c r="O29" s="61">
        <f t="shared" si="9"/>
        <v>0</v>
      </c>
      <c r="P29" s="56">
        <f t="shared" si="10"/>
        <v>2</v>
      </c>
      <c r="Q29" s="67" t="s">
        <v>7</v>
      </c>
      <c r="R29" s="10" t="b">
        <f>IFERROR(__xludf.DUMMYFUNCTION("IF(COUNTA(Q29:Q1644)=0,"""",IF(ISBLANK(Q29),FALSE,IF(NOT(COUNTIF($AA$24:$AA$34,SUBSTITUTE(Q29,""Sell_"",""""))),1,IF(REGEXMATCH(Q29,""Sell_""),IF(COUNTIF(Q$4:Q29,SUBSTITUTE(Q29,""Sell_"",""""))-COUNTIF(Q$4:Q28,Q29)&lt;1,1),FALSE))))"),FALSE)</f>
        <v>0</v>
      </c>
      <c r="S29" s="59">
        <f t="array" ref="S29">IF(COUNTA(Q29:Q1644)=0,"",SUM((COUNTIF(Q$4:Q29,Upgrades!$B$3:$B$13)-COUNTIF(Q$4:Q29,"Sell_"&amp;Upgrades!$B$3:$B$13))*Upgrades!$D$3:$D$13))</f>
        <v>135.3</v>
      </c>
      <c r="T29" s="66">
        <f>IFERROR(__xludf.DUMMYFUNCTION("IF(COUNTA(Q29:Q1644)=0,"""",IF(REGEXMATCH(INDEX(FILTER(Q$4:Q29,Q$4:Q29&lt;&gt;""""),ROWS(FILTER(Q$4:Q29,Q$4:Q29&lt;&gt;""""))),""^Sell_""),INDEX(FILTER(T$4:T28,Q$4:Q28&lt;&gt;""""),ROWS(FILTER(Q$4:Q28,Q$4:Q28&lt;&gt;""""))),$AD$5+S29))"),145.3)</f>
        <v>145.3</v>
      </c>
      <c r="U29" s="10">
        <f>IFERROR(__xludf.DUMMYFUNCTION("IF(COUNTA(Q29:Q1644)=0,"""",IF(Q29="""",0,IF(REGEXMATCH(Q29,""^Sell_""),-ROUNDDOWN(ROUNDUP(INDEX(Upgrades!$C$3:$C$13,MATCH(SUBSTITUTE(Q29,""Sell_"",""""),Upgrades!$B$3:$B$13,0))*1.15^(COUNTIF(Q$4:Q28,SUBSTITUTE(Q29,""Sell_"",""""))-COUNTIF(Q$4:Q28,""Sell_"&amp;"""&amp;SUBSTITUTE(Q29,""Sell_"",""""))))/2),ROUNDUP(INDEX(Upgrades!$C$3:$C$13,MATCH(Q29,Upgrades!$B$3:$B$13,0))*1.15^(COUNTIF(Q$4:Q28,Q29)-COUNTIF(Q$4:Q28,""Sell_""&amp;Q29))))))"),11500.0)</f>
        <v>11500</v>
      </c>
      <c r="V29" s="10">
        <f t="shared" si="11"/>
        <v>11500</v>
      </c>
      <c r="W29" s="68">
        <f t="shared" si="12"/>
        <v>707.510356</v>
      </c>
      <c r="X29" s="59" t="str">
        <f t="shared" si="13"/>
        <v>11m 47s</v>
      </c>
      <c r="Y29" s="69">
        <f t="shared" si="14"/>
        <v>35702</v>
      </c>
      <c r="Z29" s="11"/>
      <c r="AA29" s="15" t="s">
        <v>8</v>
      </c>
      <c r="AB29" s="97" t="s">
        <v>55</v>
      </c>
    </row>
    <row r="30">
      <c r="A30" s="8"/>
      <c r="B30" s="56">
        <f t="shared" si="2"/>
        <v>9</v>
      </c>
      <c r="C30" s="67" t="s">
        <v>5</v>
      </c>
      <c r="D30" s="10" t="b">
        <f>IFERROR(__xludf.DUMMYFUNCTION("IF(COUNTA(C30:C1644)=0,"""",IF(ISBLANK(C30),FALSE,IF(NOT(COUNTIF($AA$24:$AA$34,SUBSTITUTE(C30,""Sell_"",""""))),1,IF(REGEXMATCH(C30,""Sell_""),IF(COUNTIF(C$4:C30,SUBSTITUTE(C30,""Sell_"",""""))-COUNTIF(C$4:C29,C30)&lt;1,1),FALSE))))"),FALSE)</f>
        <v>0</v>
      </c>
      <c r="E30" s="59">
        <f t="array" ref="E30">IF(COUNTA(C30:C1644)=0,"",SUM((COUNTIF(C$4:C30,Upgrades!$B$3:$B$13)-COUNTIF(C$4:C30,"Sell_"&amp;Upgrades!$B$3:$B$13))*Upgrades!$D$3:$D$13))</f>
        <v>139.3</v>
      </c>
      <c r="F30" s="66">
        <f>IFERROR(__xludf.DUMMYFUNCTION("IF(COUNTA(C30:C1644)=0,"""",IF(REGEXMATCH(INDEX(FILTER(C$4:C30,C$4:C30&lt;&gt;""""),ROWS(FILTER(C$4:C30,C$4:C30&lt;&gt;""""))),""^Sell_""),INDEX(FILTER(F$4:F29,C$4:C29&lt;&gt;""""),ROWS(FILTER(C$4:C29,C$4:C29&lt;&gt;""""))),$AC$5+E30))"),149.3)</f>
        <v>149.3</v>
      </c>
      <c r="G30" s="10">
        <f>IFERROR(__xludf.DUMMYFUNCTION("IF(COUNTA(C30:C1644)=0,"""",IF(C30="""",0,IF(REGEXMATCH(C30,""^Sell_""),-ROUNDDOWN(ROUNDUP(INDEX(Upgrades!$C$3:$C$13,MATCH(SUBSTITUTE(C30,""Sell_"",""""),Upgrades!$B$3:$B$13,0))*1.15^(COUNTIF(C$4:C29,SUBSTITUTE(C30,""Sell_"",""""))-COUNTIF(C$4:C29,""Sell_"&amp;"""&amp;SUBSTITUTE(C30,""Sell_"",""""))))/2),ROUNDUP(INDEX(Upgrades!$C$3:$C$13,MATCH(C30,Upgrades!$B$3:$B$13,0))*1.15^(COUNTIF(C$4:C29,C30)-COUNTIF(C$4:C29,""Sell_""&amp;C30))))))"),1530.0)</f>
        <v>1530</v>
      </c>
      <c r="H30" s="10">
        <f t="shared" si="3"/>
        <v>1530</v>
      </c>
      <c r="I30" s="68">
        <f t="shared" si="4"/>
        <v>718.040294</v>
      </c>
      <c r="J30" s="59" t="str">
        <f t="shared" si="5"/>
        <v>11m 58s</v>
      </c>
      <c r="K30" s="69">
        <f t="shared" si="6"/>
        <v>37232</v>
      </c>
      <c r="L30" s="60">
        <f t="shared" si="7"/>
        <v>0</v>
      </c>
      <c r="M30" s="61">
        <f>IFERROR(__xludf.DUMMYFUNCTION("IFS(AND(COUNTA(C30:C1644)=0,COUNTA(Q30:Q1644)=0),"""",OR(AND(K30&gt;=1000000000,OR(Y30&gt;=1000000000,COUNTA(Q30:Q1644)=0)),OR(Y30&gt;=1000000000,AND(COUNTA(C30:C1644)=0,P$3=TRUE))),
ROUNDDOWN((AB$1-AC$1)*MAX(INDEX(T$4:T1644,MATCH(LARGE(FILTER(Y$4:Y1644,Y$4:Y1644&lt;"&amp;"1000000000),1),Y$4:Y1644)),INDEX(F$4:F1644,MATCH(LARGE(FILTER(K$4:K1644,K$4:K1644&lt;1000000000),1),K$4:K1644)))),AND(K30&lt;1000000000,COUNTA(C30:C1644)&gt;0,P$3=FALSE),
ROUNDDOWN(INDEX(Y$4:Y1644,MATCH(LARGE(FILTER(W$4:W1644,W$4:W1644&lt;=I30),1),W$4:W1644))+(I30-LA"&amp;"RGE(FILTER(W$4:W1644,W$4:W1644&lt;=I30),1))*INDEX(T$4:T1644,MATCH(LARGE(FILTER(W$4:W1644,W$4:W1644&lt;=I30),1),W$4:W1644))-K30),1,
ROUNDDOWN(Y30-INDEX(K$4:K1644,MATCH(LARGE(FILTER(I$4:I1644,I$4:I1644&lt;=W30),1),I$4:I1644))-(W30-LARGE(FILTER(I$4:I1644,I$4:I1644&lt;=W"&amp;"30),1))*INDEX(F$4:F1644,MATCH(LARGE(FILTER(I$4:I1644,I$4:I1644&lt;=W30),1),I$4:I1644))))"),0.0)</f>
        <v>0</v>
      </c>
      <c r="N30" s="60">
        <f t="shared" si="8"/>
        <v>0</v>
      </c>
      <c r="O30" s="61">
        <f t="shared" si="9"/>
        <v>0</v>
      </c>
      <c r="P30" s="56">
        <f t="shared" si="10"/>
        <v>9</v>
      </c>
      <c r="Q30" s="67" t="s">
        <v>5</v>
      </c>
      <c r="R30" s="10" t="b">
        <f>IFERROR(__xludf.DUMMYFUNCTION("IF(COUNTA(Q30:Q1644)=0,"""",IF(ISBLANK(Q30),FALSE,IF(NOT(COUNTIF($AA$24:$AA$34,SUBSTITUTE(Q30,""Sell_"",""""))),1,IF(REGEXMATCH(Q30,""Sell_""),IF(COUNTIF(Q$4:Q30,SUBSTITUTE(Q30,""Sell_"",""""))-COUNTIF(Q$4:Q29,Q30)&lt;1,1),FALSE))))"),FALSE)</f>
        <v>0</v>
      </c>
      <c r="S30" s="59">
        <f t="array" ref="S30">IF(COUNTA(Q30:Q1644)=0,"",SUM((COUNTIF(Q$4:Q30,Upgrades!$B$3:$B$13)-COUNTIF(Q$4:Q30,"Sell_"&amp;Upgrades!$B$3:$B$13))*Upgrades!$D$3:$D$13))</f>
        <v>139.3</v>
      </c>
      <c r="T30" s="66">
        <f>IFERROR(__xludf.DUMMYFUNCTION("IF(COUNTA(Q30:Q1644)=0,"""",IF(REGEXMATCH(INDEX(FILTER(Q$4:Q30,Q$4:Q30&lt;&gt;""""),ROWS(FILTER(Q$4:Q30,Q$4:Q30&lt;&gt;""""))),""^Sell_""),INDEX(FILTER(T$4:T29,Q$4:Q29&lt;&gt;""""),ROWS(FILTER(Q$4:Q29,Q$4:Q29&lt;&gt;""""))),$AD$5+S30))"),149.3)</f>
        <v>149.3</v>
      </c>
      <c r="U30" s="10">
        <f>IFERROR(__xludf.DUMMYFUNCTION("IF(COUNTA(Q30:Q1644)=0,"""",IF(Q30="""",0,IF(REGEXMATCH(Q30,""^Sell_""),-ROUNDDOWN(ROUNDUP(INDEX(Upgrades!$C$3:$C$13,MATCH(SUBSTITUTE(Q30,""Sell_"",""""),Upgrades!$B$3:$B$13,0))*1.15^(COUNTIF(Q$4:Q29,SUBSTITUTE(Q30,""Sell_"",""""))-COUNTIF(Q$4:Q29,""Sell_"&amp;"""&amp;SUBSTITUTE(Q30,""Sell_"",""""))))/2),ROUNDUP(INDEX(Upgrades!$C$3:$C$13,MATCH(Q30,Upgrades!$B$3:$B$13,0))*1.15^(COUNTIF(Q$4:Q29,Q30)-COUNTIF(Q$4:Q29,""Sell_""&amp;Q30))))))"),1530.0)</f>
        <v>1530</v>
      </c>
      <c r="V30" s="10">
        <f t="shared" si="11"/>
        <v>1530</v>
      </c>
      <c r="W30" s="68">
        <f t="shared" si="12"/>
        <v>718.040294</v>
      </c>
      <c r="X30" s="59" t="str">
        <f t="shared" si="13"/>
        <v>11m 58s</v>
      </c>
      <c r="Y30" s="69">
        <f t="shared" si="14"/>
        <v>37232</v>
      </c>
      <c r="Z30" s="11"/>
      <c r="AA30" s="15" t="s">
        <v>9</v>
      </c>
      <c r="AB30" s="97" t="s">
        <v>55</v>
      </c>
    </row>
    <row r="31">
      <c r="A31" s="8"/>
      <c r="B31" s="56">
        <f t="shared" si="2"/>
        <v>6</v>
      </c>
      <c r="C31" s="67" t="s">
        <v>4</v>
      </c>
      <c r="D31" s="10" t="b">
        <f>IFERROR(__xludf.DUMMYFUNCTION("IF(COUNTA(C31:C1644)=0,"""",IF(ISBLANK(C31),FALSE,IF(NOT(COUNTIF($AA$24:$AA$34,SUBSTITUTE(C31,""Sell_"",""""))),1,IF(REGEXMATCH(C31,""Sell_""),IF(COUNTIF(C$4:C31,SUBSTITUTE(C31,""Sell_"",""""))-COUNTIF(C$4:C30,C31)&lt;1,1),FALSE))))"),FALSE)</f>
        <v>0</v>
      </c>
      <c r="E31" s="59">
        <f t="array" ref="E31">IF(COUNTA(C31:C1644)=0,"",SUM((COUNTIF(C$4:C31,Upgrades!$B$3:$B$13)-COUNTIF(C$4:C31,"Sell_"&amp;Upgrades!$B$3:$B$13))*Upgrades!$D$3:$D$13))</f>
        <v>139.8</v>
      </c>
      <c r="F31" s="66">
        <f>IFERROR(__xludf.DUMMYFUNCTION("IF(COUNTA(C31:C1644)=0,"""",IF(REGEXMATCH(INDEX(FILTER(C$4:C31,C$4:C31&lt;&gt;""""),ROWS(FILTER(C$4:C31,C$4:C31&lt;&gt;""""))),""^Sell_""),INDEX(FILTER(F$4:F30,C$4:C30&lt;&gt;""""),ROWS(FILTER(C$4:C30,C$4:C30&lt;&gt;""""))),$AC$5+E31))"),149.8)</f>
        <v>149.8</v>
      </c>
      <c r="G31" s="10">
        <f>IFERROR(__xludf.DUMMYFUNCTION("IF(COUNTA(C31:C1644)=0,"""",IF(C31="""",0,IF(REGEXMATCH(C31,""^Sell_""),-ROUNDDOWN(ROUNDUP(INDEX(Upgrades!$C$3:$C$13,MATCH(SUBSTITUTE(C31,""Sell_"",""""),Upgrades!$B$3:$B$13,0))*1.15^(COUNTIF(C$4:C30,SUBSTITUTE(C31,""Sell_"",""""))-COUNTIF(C$4:C30,""Sell_"&amp;"""&amp;SUBSTITUTE(C31,""Sell_"",""""))))/2),ROUNDUP(INDEX(Upgrades!$C$3:$C$13,MATCH(C31,Upgrades!$B$3:$B$13,0))*1.15^(COUNTIF(C$4:C30,C31)-COUNTIF(C$4:C30,""Sell_""&amp;C31))))))"),202.0)</f>
        <v>202</v>
      </c>
      <c r="H31" s="10">
        <f t="shared" si="3"/>
        <v>202</v>
      </c>
      <c r="I31" s="68">
        <f t="shared" si="4"/>
        <v>719.3932746</v>
      </c>
      <c r="J31" s="59" t="str">
        <f t="shared" si="5"/>
        <v>11m 59s</v>
      </c>
      <c r="K31" s="69">
        <f t="shared" si="6"/>
        <v>37434</v>
      </c>
      <c r="L31" s="60">
        <f t="shared" si="7"/>
        <v>0</v>
      </c>
      <c r="M31" s="61">
        <f>IFERROR(__xludf.DUMMYFUNCTION("IFS(AND(COUNTA(C31:C1644)=0,COUNTA(Q31:Q1644)=0),"""",OR(AND(K31&gt;=1000000000,OR(Y31&gt;=1000000000,COUNTA(Q31:Q1644)=0)),OR(Y31&gt;=1000000000,AND(COUNTA(C31:C1644)=0,P$3=TRUE))),
ROUNDDOWN((AB$1-AC$1)*MAX(INDEX(T$4:T1644,MATCH(LARGE(FILTER(Y$4:Y1644,Y$4:Y1644&lt;"&amp;"1000000000),1),Y$4:Y1644)),INDEX(F$4:F1644,MATCH(LARGE(FILTER(K$4:K1644,K$4:K1644&lt;1000000000),1),K$4:K1644)))),AND(K31&lt;1000000000,COUNTA(C31:C1644)&gt;0,P$3=FALSE),
ROUNDDOWN(INDEX(Y$4:Y1644,MATCH(LARGE(FILTER(W$4:W1644,W$4:W1644&lt;=I31),1),W$4:W1644))+(I31-LA"&amp;"RGE(FILTER(W$4:W1644,W$4:W1644&lt;=I31),1))*INDEX(T$4:T1644,MATCH(LARGE(FILTER(W$4:W1644,W$4:W1644&lt;=I31),1),W$4:W1644))-K31),1,
ROUNDDOWN(Y31-INDEX(K$4:K1644,MATCH(LARGE(FILTER(I$4:I1644,I$4:I1644&lt;=W31),1),I$4:I1644))-(W31-LARGE(FILTER(I$4:I1644,I$4:I1644&lt;=W"&amp;"31),1))*INDEX(F$4:F1644,MATCH(LARGE(FILTER(I$4:I1644,I$4:I1644&lt;=W31),1),I$4:I1644))))"),0.0)</f>
        <v>0</v>
      </c>
      <c r="N31" s="60">
        <f t="shared" si="8"/>
        <v>0</v>
      </c>
      <c r="O31" s="61">
        <f t="shared" si="9"/>
        <v>0</v>
      </c>
      <c r="P31" s="56">
        <f t="shared" si="10"/>
        <v>6</v>
      </c>
      <c r="Q31" s="67" t="s">
        <v>4</v>
      </c>
      <c r="R31" s="10" t="b">
        <f>IFERROR(__xludf.DUMMYFUNCTION("IF(COUNTA(Q31:Q1644)=0,"""",IF(ISBLANK(Q31),FALSE,IF(NOT(COUNTIF($AA$24:$AA$34,SUBSTITUTE(Q31,""Sell_"",""""))),1,IF(REGEXMATCH(Q31,""Sell_""),IF(COUNTIF(Q$4:Q31,SUBSTITUTE(Q31,""Sell_"",""""))-COUNTIF(Q$4:Q30,Q31)&lt;1,1),FALSE))))"),FALSE)</f>
        <v>0</v>
      </c>
      <c r="S31" s="59">
        <f t="array" ref="S31">IF(COUNTA(Q31:Q1644)=0,"",SUM((COUNTIF(Q$4:Q31,Upgrades!$B$3:$B$13)-COUNTIF(Q$4:Q31,"Sell_"&amp;Upgrades!$B$3:$B$13))*Upgrades!$D$3:$D$13))</f>
        <v>139.8</v>
      </c>
      <c r="T31" s="66">
        <f>IFERROR(__xludf.DUMMYFUNCTION("IF(COUNTA(Q31:Q1644)=0,"""",IF(REGEXMATCH(INDEX(FILTER(Q$4:Q31,Q$4:Q31&lt;&gt;""""),ROWS(FILTER(Q$4:Q31,Q$4:Q31&lt;&gt;""""))),""^Sell_""),INDEX(FILTER(T$4:T30,Q$4:Q30&lt;&gt;""""),ROWS(FILTER(Q$4:Q30,Q$4:Q30&lt;&gt;""""))),$AD$5+S31))"),149.8)</f>
        <v>149.8</v>
      </c>
      <c r="U31" s="10">
        <f>IFERROR(__xludf.DUMMYFUNCTION("IF(COUNTA(Q31:Q1644)=0,"""",IF(Q31="""",0,IF(REGEXMATCH(Q31,""^Sell_""),-ROUNDDOWN(ROUNDUP(INDEX(Upgrades!$C$3:$C$13,MATCH(SUBSTITUTE(Q31,""Sell_"",""""),Upgrades!$B$3:$B$13,0))*1.15^(COUNTIF(Q$4:Q30,SUBSTITUTE(Q31,""Sell_"",""""))-COUNTIF(Q$4:Q30,""Sell_"&amp;"""&amp;SUBSTITUTE(Q31,""Sell_"",""""))))/2),ROUNDUP(INDEX(Upgrades!$C$3:$C$13,MATCH(Q31,Upgrades!$B$3:$B$13,0))*1.15^(COUNTIF(Q$4:Q30,Q31)-COUNTIF(Q$4:Q30,""Sell_""&amp;Q31))))))"),202.0)</f>
        <v>202</v>
      </c>
      <c r="V31" s="10">
        <f t="shared" si="11"/>
        <v>202</v>
      </c>
      <c r="W31" s="68">
        <f t="shared" si="12"/>
        <v>719.3932746</v>
      </c>
      <c r="X31" s="59" t="str">
        <f t="shared" si="13"/>
        <v>11m 59s</v>
      </c>
      <c r="Y31" s="69">
        <f t="shared" si="14"/>
        <v>37434</v>
      </c>
      <c r="Z31" s="11"/>
      <c r="AA31" s="15" t="s">
        <v>10</v>
      </c>
      <c r="AB31" s="97" t="s">
        <v>55</v>
      </c>
    </row>
    <row r="32">
      <c r="A32" s="8"/>
      <c r="B32" s="56">
        <f t="shared" si="2"/>
        <v>3</v>
      </c>
      <c r="C32" s="67" t="s">
        <v>7</v>
      </c>
      <c r="D32" s="10" t="b">
        <f>IFERROR(__xludf.DUMMYFUNCTION("IF(COUNTA(C32:C1644)=0,"""",IF(ISBLANK(C32),FALSE,IF(NOT(COUNTIF($AA$24:$AA$34,SUBSTITUTE(C32,""Sell_"",""""))),1,IF(REGEXMATCH(C32,""Sell_""),IF(COUNTIF(C$4:C32,SUBSTITUTE(C32,""Sell_"",""""))-COUNTIF(C$4:C31,C32)&lt;1,1),FALSE))))"),FALSE)</f>
        <v>0</v>
      </c>
      <c r="E32" s="59">
        <f t="array" ref="E32">IF(COUNTA(C32:C1644)=0,"",SUM((COUNTIF(C$4:C32,Upgrades!$B$3:$B$13)-COUNTIF(C$4:C32,"Sell_"&amp;Upgrades!$B$3:$B$13))*Upgrades!$D$3:$D$13))</f>
        <v>179.8</v>
      </c>
      <c r="F32" s="66">
        <f>IFERROR(__xludf.DUMMYFUNCTION("IF(COUNTA(C32:C1644)=0,"""",IF(REGEXMATCH(INDEX(FILTER(C$4:C32,C$4:C32&lt;&gt;""""),ROWS(FILTER(C$4:C32,C$4:C32&lt;&gt;""""))),""^Sell_""),INDEX(FILTER(F$4:F31,C$4:C31&lt;&gt;""""),ROWS(FILTER(C$4:C31,C$4:C31&lt;&gt;""""))),$AC$5+E32))"),189.8)</f>
        <v>189.8</v>
      </c>
      <c r="G32" s="10">
        <f>IFERROR(__xludf.DUMMYFUNCTION("IF(COUNTA(C32:C1644)=0,"""",IF(C32="""",0,IF(REGEXMATCH(C32,""^Sell_""),-ROUNDDOWN(ROUNDUP(INDEX(Upgrades!$C$3:$C$13,MATCH(SUBSTITUTE(C32,""Sell_"",""""),Upgrades!$B$3:$B$13,0))*1.15^(COUNTIF(C$4:C31,SUBSTITUTE(C32,""Sell_"",""""))-COUNTIF(C$4:C31,""Sell_"&amp;"""&amp;SUBSTITUTE(C32,""Sell_"",""""))))/2),ROUNDUP(INDEX(Upgrades!$C$3:$C$13,MATCH(C32,Upgrades!$B$3:$B$13,0))*1.15^(COUNTIF(C$4:C31,C32)-COUNTIF(C$4:C31,""Sell_""&amp;C32))))))"),13225.0)</f>
        <v>13225</v>
      </c>
      <c r="H32" s="10">
        <f t="shared" si="3"/>
        <v>13225</v>
      </c>
      <c r="I32" s="68">
        <f t="shared" si="4"/>
        <v>807.6776538</v>
      </c>
      <c r="J32" s="59" t="str">
        <f t="shared" si="5"/>
        <v>13m 27s</v>
      </c>
      <c r="K32" s="69">
        <f t="shared" si="6"/>
        <v>50659</v>
      </c>
      <c r="L32" s="60">
        <f t="shared" si="7"/>
        <v>0</v>
      </c>
      <c r="M32" s="61">
        <f>IFERROR(__xludf.DUMMYFUNCTION("IFS(AND(COUNTA(C32:C1644)=0,COUNTA(Q32:Q1644)=0),"""",OR(AND(K32&gt;=1000000000,OR(Y32&gt;=1000000000,COUNTA(Q32:Q1644)=0)),OR(Y32&gt;=1000000000,AND(COUNTA(C32:C1644)=0,P$3=TRUE))),
ROUNDDOWN((AB$1-AC$1)*MAX(INDEX(T$4:T1644,MATCH(LARGE(FILTER(Y$4:Y1644,Y$4:Y1644&lt;"&amp;"1000000000),1),Y$4:Y1644)),INDEX(F$4:F1644,MATCH(LARGE(FILTER(K$4:K1644,K$4:K1644&lt;1000000000),1),K$4:K1644)))),AND(K32&lt;1000000000,COUNTA(C32:C1644)&gt;0,P$3=FALSE),
ROUNDDOWN(INDEX(Y$4:Y1644,MATCH(LARGE(FILTER(W$4:W1644,W$4:W1644&lt;=I32),1),W$4:W1644))+(I32-LA"&amp;"RGE(FILTER(W$4:W1644,W$4:W1644&lt;=I32),1))*INDEX(T$4:T1644,MATCH(LARGE(FILTER(W$4:W1644,W$4:W1644&lt;=I32),1),W$4:W1644))-K32),1,
ROUNDDOWN(Y32-INDEX(K$4:K1644,MATCH(LARGE(FILTER(I$4:I1644,I$4:I1644&lt;=W32),1),I$4:I1644))-(W32-LARGE(FILTER(I$4:I1644,I$4:I1644&lt;=W"&amp;"32),1))*INDEX(F$4:F1644,MATCH(LARGE(FILTER(I$4:I1644,I$4:I1644&lt;=W32),1),I$4:I1644))))"),0.0)</f>
        <v>0</v>
      </c>
      <c r="N32" s="60">
        <f t="shared" si="8"/>
        <v>0</v>
      </c>
      <c r="O32" s="61">
        <f t="shared" si="9"/>
        <v>0</v>
      </c>
      <c r="P32" s="56">
        <f t="shared" si="10"/>
        <v>3</v>
      </c>
      <c r="Q32" s="67" t="s">
        <v>7</v>
      </c>
      <c r="R32" s="10" t="b">
        <f>IFERROR(__xludf.DUMMYFUNCTION("IF(COUNTA(Q32:Q1644)=0,"""",IF(ISBLANK(Q32),FALSE,IF(NOT(COUNTIF($AA$24:$AA$34,SUBSTITUTE(Q32,""Sell_"",""""))),1,IF(REGEXMATCH(Q32,""Sell_""),IF(COUNTIF(Q$4:Q32,SUBSTITUTE(Q32,""Sell_"",""""))-COUNTIF(Q$4:Q31,Q32)&lt;1,1),FALSE))))"),FALSE)</f>
        <v>0</v>
      </c>
      <c r="S32" s="59">
        <f t="array" ref="S32">IF(COUNTA(Q32:Q1644)=0,"",SUM((COUNTIF(Q$4:Q32,Upgrades!$B$3:$B$13)-COUNTIF(Q$4:Q32,"Sell_"&amp;Upgrades!$B$3:$B$13))*Upgrades!$D$3:$D$13))</f>
        <v>179.8</v>
      </c>
      <c r="T32" s="66">
        <f>IFERROR(__xludf.DUMMYFUNCTION("IF(COUNTA(Q32:Q1644)=0,"""",IF(REGEXMATCH(INDEX(FILTER(Q$4:Q32,Q$4:Q32&lt;&gt;""""),ROWS(FILTER(Q$4:Q32,Q$4:Q32&lt;&gt;""""))),""^Sell_""),INDEX(FILTER(T$4:T31,Q$4:Q31&lt;&gt;""""),ROWS(FILTER(Q$4:Q31,Q$4:Q31&lt;&gt;""""))),$AD$5+S32))"),189.8)</f>
        <v>189.8</v>
      </c>
      <c r="U32" s="10">
        <f>IFERROR(__xludf.DUMMYFUNCTION("IF(COUNTA(Q32:Q1644)=0,"""",IF(Q32="""",0,IF(REGEXMATCH(Q32,""^Sell_""),-ROUNDDOWN(ROUNDUP(INDEX(Upgrades!$C$3:$C$13,MATCH(SUBSTITUTE(Q32,""Sell_"",""""),Upgrades!$B$3:$B$13,0))*1.15^(COUNTIF(Q$4:Q31,SUBSTITUTE(Q32,""Sell_"",""""))-COUNTIF(Q$4:Q31,""Sell_"&amp;"""&amp;SUBSTITUTE(Q32,""Sell_"",""""))))/2),ROUNDUP(INDEX(Upgrades!$C$3:$C$13,MATCH(Q32,Upgrades!$B$3:$B$13,0))*1.15^(COUNTIF(Q$4:Q31,Q32)-COUNTIF(Q$4:Q31,""Sell_""&amp;Q32))))))"),13225.0)</f>
        <v>13225</v>
      </c>
      <c r="V32" s="10">
        <f t="shared" si="11"/>
        <v>13225</v>
      </c>
      <c r="W32" s="68">
        <f t="shared" si="12"/>
        <v>807.6776538</v>
      </c>
      <c r="X32" s="59" t="str">
        <f t="shared" si="13"/>
        <v>13m 27s</v>
      </c>
      <c r="Y32" s="69">
        <f t="shared" si="14"/>
        <v>50659</v>
      </c>
      <c r="Z32" s="11"/>
      <c r="AA32" s="15" t="s">
        <v>11</v>
      </c>
      <c r="AB32" s="97" t="s">
        <v>55</v>
      </c>
    </row>
    <row r="33">
      <c r="A33" s="8"/>
      <c r="B33" s="56">
        <f t="shared" si="2"/>
        <v>3</v>
      </c>
      <c r="C33" s="67" t="s">
        <v>6</v>
      </c>
      <c r="D33" s="10" t="b">
        <f>IFERROR(__xludf.DUMMYFUNCTION("IF(COUNTA(C33:C1644)=0,"""",IF(ISBLANK(C33),FALSE,IF(NOT(COUNTIF($AA$24:$AA$34,SUBSTITUTE(C33,""Sell_"",""""))),1,IF(REGEXMATCH(C33,""Sell_""),IF(COUNTIF(C$4:C33,SUBSTITUTE(C33,""Sell_"",""""))-COUNTIF(C$4:C32,C33)&lt;1,1),FALSE))))"),FALSE)</f>
        <v>0</v>
      </c>
      <c r="E33" s="59">
        <f t="array" ref="E33">IF(COUNTA(C33:C1644)=0,"",SUM((COUNTIF(C$4:C33,Upgrades!$B$3:$B$13)-COUNTIF(C$4:C33,"Sell_"&amp;Upgrades!$B$3:$B$13))*Upgrades!$D$3:$D$13))</f>
        <v>189.8</v>
      </c>
      <c r="F33" s="66">
        <f>IFERROR(__xludf.DUMMYFUNCTION("IF(COUNTA(C33:C1644)=0,"""",IF(REGEXMATCH(INDEX(FILTER(C$4:C33,C$4:C33&lt;&gt;""""),ROWS(FILTER(C$4:C33,C$4:C33&lt;&gt;""""))),""^Sell_""),INDEX(FILTER(F$4:F32,C$4:C32&lt;&gt;""""),ROWS(FILTER(C$4:C32,C$4:C32&lt;&gt;""""))),$AC$5+E33))"),199.8)</f>
        <v>199.8</v>
      </c>
      <c r="G33" s="10">
        <f>IFERROR(__xludf.DUMMYFUNCTION("IF(COUNTA(C33:C1644)=0,"""",IF(C33="""",0,IF(REGEXMATCH(C33,""^Sell_""),-ROUNDDOWN(ROUNDUP(INDEX(Upgrades!$C$3:$C$13,MATCH(SUBSTITUTE(C33,""Sell_"",""""),Upgrades!$B$3:$B$13,0))*1.15^(COUNTIF(C$4:C32,SUBSTITUTE(C33,""Sell_"",""""))-COUNTIF(C$4:C32,""Sell_"&amp;"""&amp;SUBSTITUTE(C33,""Sell_"",""""))))/2),ROUNDUP(INDEX(Upgrades!$C$3:$C$13,MATCH(C33,Upgrades!$B$3:$B$13,0))*1.15^(COUNTIF(C$4:C32,C33)-COUNTIF(C$4:C32,""Sell_""&amp;C33))))))"),3968.0)</f>
        <v>3968</v>
      </c>
      <c r="H33" s="10">
        <f t="shared" si="3"/>
        <v>3968</v>
      </c>
      <c r="I33" s="68">
        <f t="shared" si="4"/>
        <v>828.5838708</v>
      </c>
      <c r="J33" s="59" t="str">
        <f t="shared" si="5"/>
        <v>13m 48s</v>
      </c>
      <c r="K33" s="69">
        <f t="shared" si="6"/>
        <v>54627</v>
      </c>
      <c r="L33" s="60">
        <f t="shared" si="7"/>
        <v>0</v>
      </c>
      <c r="M33" s="61">
        <f>IFERROR(__xludf.DUMMYFUNCTION("IFS(AND(COUNTA(C33:C1644)=0,COUNTA(Q33:Q1644)=0),"""",OR(AND(K33&gt;=1000000000,OR(Y33&gt;=1000000000,COUNTA(Q33:Q1644)=0)),OR(Y33&gt;=1000000000,AND(COUNTA(C33:C1644)=0,P$3=TRUE))),
ROUNDDOWN((AB$1-AC$1)*MAX(INDEX(T$4:T1644,MATCH(LARGE(FILTER(Y$4:Y1644,Y$4:Y1644&lt;"&amp;"1000000000),1),Y$4:Y1644)),INDEX(F$4:F1644,MATCH(LARGE(FILTER(K$4:K1644,K$4:K1644&lt;1000000000),1),K$4:K1644)))),AND(K33&lt;1000000000,COUNTA(C33:C1644)&gt;0,P$3=FALSE),
ROUNDDOWN(INDEX(Y$4:Y1644,MATCH(LARGE(FILTER(W$4:W1644,W$4:W1644&lt;=I33),1),W$4:W1644))+(I33-LA"&amp;"RGE(FILTER(W$4:W1644,W$4:W1644&lt;=I33),1))*INDEX(T$4:T1644,MATCH(LARGE(FILTER(W$4:W1644,W$4:W1644&lt;=I33),1),W$4:W1644))-K33),1,
ROUNDDOWN(Y33-INDEX(K$4:K1644,MATCH(LARGE(FILTER(I$4:I1644,I$4:I1644&lt;=W33),1),I$4:I1644))-(W33-LARGE(FILTER(I$4:I1644,I$4:I1644&lt;=W"&amp;"33),1))*INDEX(F$4:F1644,MATCH(LARGE(FILTER(I$4:I1644,I$4:I1644&lt;=W33),1),I$4:I1644))))"),0.0)</f>
        <v>0</v>
      </c>
      <c r="N33" s="60">
        <f t="shared" si="8"/>
        <v>0</v>
      </c>
      <c r="O33" s="61">
        <f t="shared" si="9"/>
        <v>0</v>
      </c>
      <c r="P33" s="56">
        <f t="shared" si="10"/>
        <v>3</v>
      </c>
      <c r="Q33" s="67" t="s">
        <v>6</v>
      </c>
      <c r="R33" s="10" t="b">
        <f>IFERROR(__xludf.DUMMYFUNCTION("IF(COUNTA(Q33:Q1644)=0,"""",IF(ISBLANK(Q33),FALSE,IF(NOT(COUNTIF($AA$24:$AA$34,SUBSTITUTE(Q33,""Sell_"",""""))),1,IF(REGEXMATCH(Q33,""Sell_""),IF(COUNTIF(Q$4:Q33,SUBSTITUTE(Q33,""Sell_"",""""))-COUNTIF(Q$4:Q32,Q33)&lt;1,1),FALSE))))"),FALSE)</f>
        <v>0</v>
      </c>
      <c r="S33" s="59">
        <f t="array" ref="S33">IF(COUNTA(Q33:Q1644)=0,"",SUM((COUNTIF(Q$4:Q33,Upgrades!$B$3:$B$13)-COUNTIF(Q$4:Q33,"Sell_"&amp;Upgrades!$B$3:$B$13))*Upgrades!$D$3:$D$13))</f>
        <v>189.8</v>
      </c>
      <c r="T33" s="66">
        <f>IFERROR(__xludf.DUMMYFUNCTION("IF(COUNTA(Q33:Q1644)=0,"""",IF(REGEXMATCH(INDEX(FILTER(Q$4:Q33,Q$4:Q33&lt;&gt;""""),ROWS(FILTER(Q$4:Q33,Q$4:Q33&lt;&gt;""""))),""^Sell_""),INDEX(FILTER(T$4:T32,Q$4:Q32&lt;&gt;""""),ROWS(FILTER(Q$4:Q32,Q$4:Q32&lt;&gt;""""))),$AD$5+S33))"),199.8)</f>
        <v>199.8</v>
      </c>
      <c r="U33" s="10">
        <f>IFERROR(__xludf.DUMMYFUNCTION("IF(COUNTA(Q33:Q1644)=0,"""",IF(Q33="""",0,IF(REGEXMATCH(Q33,""^Sell_""),-ROUNDDOWN(ROUNDUP(INDEX(Upgrades!$C$3:$C$13,MATCH(SUBSTITUTE(Q33,""Sell_"",""""),Upgrades!$B$3:$B$13,0))*1.15^(COUNTIF(Q$4:Q32,SUBSTITUTE(Q33,""Sell_"",""""))-COUNTIF(Q$4:Q32,""Sell_"&amp;"""&amp;SUBSTITUTE(Q33,""Sell_"",""""))))/2),ROUNDUP(INDEX(Upgrades!$C$3:$C$13,MATCH(Q33,Upgrades!$B$3:$B$13,0))*1.15^(COUNTIF(Q$4:Q32,Q33)-COUNTIF(Q$4:Q32,""Sell_""&amp;Q33))))))"),3968.0)</f>
        <v>3968</v>
      </c>
      <c r="V33" s="10">
        <f t="shared" si="11"/>
        <v>3968</v>
      </c>
      <c r="W33" s="68">
        <f t="shared" si="12"/>
        <v>828.5838708</v>
      </c>
      <c r="X33" s="59" t="str">
        <f t="shared" si="13"/>
        <v>13m 48s</v>
      </c>
      <c r="Y33" s="69">
        <f t="shared" si="14"/>
        <v>54627</v>
      </c>
      <c r="Z33" s="11"/>
      <c r="AA33" s="15" t="s">
        <v>12</v>
      </c>
      <c r="AB33" s="97" t="s">
        <v>55</v>
      </c>
    </row>
    <row r="34">
      <c r="A34" s="8"/>
      <c r="B34" s="56">
        <f t="shared" si="2"/>
        <v>10</v>
      </c>
      <c r="C34" s="67" t="s">
        <v>5</v>
      </c>
      <c r="D34" s="10" t="b">
        <f>IFERROR(__xludf.DUMMYFUNCTION("IF(COUNTA(C34:C1644)=0,"""",IF(ISBLANK(C34),FALSE,IF(NOT(COUNTIF($AA$24:$AA$34,SUBSTITUTE(C34,""Sell_"",""""))),1,IF(REGEXMATCH(C34,""Sell_""),IF(COUNTIF(C$4:C34,SUBSTITUTE(C34,""Sell_"",""""))-COUNTIF(C$4:C33,C34)&lt;1,1),FALSE))))"),FALSE)</f>
        <v>0</v>
      </c>
      <c r="E34" s="59">
        <f t="array" ref="E34">IF(COUNTA(C34:C1644)=0,"",SUM((COUNTIF(C$4:C34,Upgrades!$B$3:$B$13)-COUNTIF(C$4:C34,"Sell_"&amp;Upgrades!$B$3:$B$13))*Upgrades!$D$3:$D$13))</f>
        <v>193.8</v>
      </c>
      <c r="F34" s="66">
        <f>IFERROR(__xludf.DUMMYFUNCTION("IF(COUNTA(C34:C1644)=0,"""",IF(REGEXMATCH(INDEX(FILTER(C$4:C34,C$4:C34&lt;&gt;""""),ROWS(FILTER(C$4:C34,C$4:C34&lt;&gt;""""))),""^Sell_""),INDEX(FILTER(F$4:F33,C$4:C33&lt;&gt;""""),ROWS(FILTER(C$4:C33,C$4:C33&lt;&gt;""""))),$AC$5+E34))"),203.8)</f>
        <v>203.8</v>
      </c>
      <c r="G34" s="10">
        <f>IFERROR(__xludf.DUMMYFUNCTION("IF(COUNTA(C34:C1644)=0,"""",IF(C34="""",0,IF(REGEXMATCH(C34,""^Sell_""),-ROUNDDOWN(ROUNDUP(INDEX(Upgrades!$C$3:$C$13,MATCH(SUBSTITUTE(C34,""Sell_"",""""),Upgrades!$B$3:$B$13,0))*1.15^(COUNTIF(C$4:C33,SUBSTITUTE(C34,""Sell_"",""""))-COUNTIF(C$4:C33,""Sell_"&amp;"""&amp;SUBSTITUTE(C34,""Sell_"",""""))))/2),ROUNDUP(INDEX(Upgrades!$C$3:$C$13,MATCH(C34,Upgrades!$B$3:$B$13,0))*1.15^(COUNTIF(C$4:C33,C34)-COUNTIF(C$4:C33,""Sell_""&amp;C34))))))"),1759.0)</f>
        <v>1759</v>
      </c>
      <c r="H34" s="10">
        <f t="shared" si="3"/>
        <v>1759</v>
      </c>
      <c r="I34" s="68">
        <f t="shared" si="4"/>
        <v>837.3876746</v>
      </c>
      <c r="J34" s="59" t="str">
        <f t="shared" si="5"/>
        <v>13m 57s</v>
      </c>
      <c r="K34" s="69">
        <f t="shared" si="6"/>
        <v>56386</v>
      </c>
      <c r="L34" s="60">
        <f t="shared" si="7"/>
        <v>0</v>
      </c>
      <c r="M34" s="61">
        <f>IFERROR(__xludf.DUMMYFUNCTION("IFS(AND(COUNTA(C34:C1644)=0,COUNTA(Q34:Q1644)=0),"""",OR(AND(K34&gt;=1000000000,OR(Y34&gt;=1000000000,COUNTA(Q34:Q1644)=0)),OR(Y34&gt;=1000000000,AND(COUNTA(C34:C1644)=0,P$3=TRUE))),
ROUNDDOWN((AB$1-AC$1)*MAX(INDEX(T$4:T1644,MATCH(LARGE(FILTER(Y$4:Y1644,Y$4:Y1644&lt;"&amp;"1000000000),1),Y$4:Y1644)),INDEX(F$4:F1644,MATCH(LARGE(FILTER(K$4:K1644,K$4:K1644&lt;1000000000),1),K$4:K1644)))),AND(K34&lt;1000000000,COUNTA(C34:C1644)&gt;0,P$3=FALSE),
ROUNDDOWN(INDEX(Y$4:Y1644,MATCH(LARGE(FILTER(W$4:W1644,W$4:W1644&lt;=I34),1),W$4:W1644))+(I34-LA"&amp;"RGE(FILTER(W$4:W1644,W$4:W1644&lt;=I34),1))*INDEX(T$4:T1644,MATCH(LARGE(FILTER(W$4:W1644,W$4:W1644&lt;=I34),1),W$4:W1644))-K34),1,
ROUNDDOWN(Y34-INDEX(K$4:K1644,MATCH(LARGE(FILTER(I$4:I1644,I$4:I1644&lt;=W34),1),I$4:I1644))-(W34-LARGE(FILTER(I$4:I1644,I$4:I1644&lt;=W"&amp;"34),1))*INDEX(F$4:F1644,MATCH(LARGE(FILTER(I$4:I1644,I$4:I1644&lt;=W34),1),I$4:I1644))))"),0.0)</f>
        <v>0</v>
      </c>
      <c r="N34" s="60">
        <f t="shared" si="8"/>
        <v>0</v>
      </c>
      <c r="O34" s="61">
        <f t="shared" si="9"/>
        <v>0</v>
      </c>
      <c r="P34" s="56">
        <f t="shared" si="10"/>
        <v>10</v>
      </c>
      <c r="Q34" s="67" t="s">
        <v>5</v>
      </c>
      <c r="R34" s="10" t="b">
        <f>IFERROR(__xludf.DUMMYFUNCTION("IF(COUNTA(Q34:Q1644)=0,"""",IF(ISBLANK(Q34),FALSE,IF(NOT(COUNTIF($AA$24:$AA$34,SUBSTITUTE(Q34,""Sell_"",""""))),1,IF(REGEXMATCH(Q34,""Sell_""),IF(COUNTIF(Q$4:Q34,SUBSTITUTE(Q34,""Sell_"",""""))-COUNTIF(Q$4:Q33,Q34)&lt;1,1),FALSE))))"),FALSE)</f>
        <v>0</v>
      </c>
      <c r="S34" s="59">
        <f t="array" ref="S34">IF(COUNTA(Q34:Q1644)=0,"",SUM((COUNTIF(Q$4:Q34,Upgrades!$B$3:$B$13)-COUNTIF(Q$4:Q34,"Sell_"&amp;Upgrades!$B$3:$B$13))*Upgrades!$D$3:$D$13))</f>
        <v>193.8</v>
      </c>
      <c r="T34" s="66">
        <f>IFERROR(__xludf.DUMMYFUNCTION("IF(COUNTA(Q34:Q1644)=0,"""",IF(REGEXMATCH(INDEX(FILTER(Q$4:Q34,Q$4:Q34&lt;&gt;""""),ROWS(FILTER(Q$4:Q34,Q$4:Q34&lt;&gt;""""))),""^Sell_""),INDEX(FILTER(T$4:T33,Q$4:Q33&lt;&gt;""""),ROWS(FILTER(Q$4:Q33,Q$4:Q33&lt;&gt;""""))),$AD$5+S34))"),203.8)</f>
        <v>203.8</v>
      </c>
      <c r="U34" s="10">
        <f>IFERROR(__xludf.DUMMYFUNCTION("IF(COUNTA(Q34:Q1644)=0,"""",IF(Q34="""",0,IF(REGEXMATCH(Q34,""^Sell_""),-ROUNDDOWN(ROUNDUP(INDEX(Upgrades!$C$3:$C$13,MATCH(SUBSTITUTE(Q34,""Sell_"",""""),Upgrades!$B$3:$B$13,0))*1.15^(COUNTIF(Q$4:Q33,SUBSTITUTE(Q34,""Sell_"",""""))-COUNTIF(Q$4:Q33,""Sell_"&amp;"""&amp;SUBSTITUTE(Q34,""Sell_"",""""))))/2),ROUNDUP(INDEX(Upgrades!$C$3:$C$13,MATCH(Q34,Upgrades!$B$3:$B$13,0))*1.15^(COUNTIF(Q$4:Q33,Q34)-COUNTIF(Q$4:Q33,""Sell_""&amp;Q34))))))"),1759.0)</f>
        <v>1759</v>
      </c>
      <c r="V34" s="10">
        <f t="shared" si="11"/>
        <v>1759</v>
      </c>
      <c r="W34" s="68">
        <f t="shared" si="12"/>
        <v>837.3876746</v>
      </c>
      <c r="X34" s="59" t="str">
        <f t="shared" si="13"/>
        <v>13m 57s</v>
      </c>
      <c r="Y34" s="69">
        <f t="shared" si="14"/>
        <v>56386</v>
      </c>
      <c r="Z34" s="11"/>
      <c r="AA34" s="98" t="s">
        <v>13</v>
      </c>
      <c r="AB34" s="99" t="s">
        <v>55</v>
      </c>
    </row>
    <row r="35">
      <c r="A35" s="8"/>
      <c r="B35" s="56">
        <f t="shared" si="2"/>
        <v>4</v>
      </c>
      <c r="C35" s="67" t="s">
        <v>7</v>
      </c>
      <c r="D35" s="10" t="b">
        <f>IFERROR(__xludf.DUMMYFUNCTION("IF(COUNTA(C35:C1644)=0,"""",IF(ISBLANK(C35),FALSE,IF(NOT(COUNTIF($AA$24:$AA$34,SUBSTITUTE(C35,""Sell_"",""""))),1,IF(REGEXMATCH(C35,""Sell_""),IF(COUNTIF(C$4:C35,SUBSTITUTE(C35,""Sell_"",""""))-COUNTIF(C$4:C34,C35)&lt;1,1),FALSE))))"),FALSE)</f>
        <v>0</v>
      </c>
      <c r="E35" s="59">
        <f t="array" ref="E35">IF(COUNTA(C35:C1644)=0,"",SUM((COUNTIF(C$4:C35,Upgrades!$B$3:$B$13)-COUNTIF(C$4:C35,"Sell_"&amp;Upgrades!$B$3:$B$13))*Upgrades!$D$3:$D$13))</f>
        <v>233.8</v>
      </c>
      <c r="F35" s="66">
        <f>IFERROR(__xludf.DUMMYFUNCTION("IF(COUNTA(C35:C1644)=0,"""",IF(REGEXMATCH(INDEX(FILTER(C$4:C35,C$4:C35&lt;&gt;""""),ROWS(FILTER(C$4:C35,C$4:C35&lt;&gt;""""))),""^Sell_""),INDEX(FILTER(F$4:F34,C$4:C34&lt;&gt;""""),ROWS(FILTER(C$4:C34,C$4:C34&lt;&gt;""""))),$AC$5+E35))"),243.8)</f>
        <v>243.8</v>
      </c>
      <c r="G35" s="10">
        <f>IFERROR(__xludf.DUMMYFUNCTION("IF(COUNTA(C35:C1644)=0,"""",IF(C35="""",0,IF(REGEXMATCH(C35,""^Sell_""),-ROUNDDOWN(ROUNDUP(INDEX(Upgrades!$C$3:$C$13,MATCH(SUBSTITUTE(C35,""Sell_"",""""),Upgrades!$B$3:$B$13,0))*1.15^(COUNTIF(C$4:C34,SUBSTITUTE(C35,""Sell_"",""""))-COUNTIF(C$4:C34,""Sell_"&amp;"""&amp;SUBSTITUTE(C35,""Sell_"",""""))))/2),ROUNDUP(INDEX(Upgrades!$C$3:$C$13,MATCH(C35,Upgrades!$B$3:$B$13,0))*1.15^(COUNTIF(C$4:C34,C35)-COUNTIF(C$4:C34,""Sell_""&amp;C35))))))"),15209.0)</f>
        <v>15209</v>
      </c>
      <c r="H35" s="10">
        <f t="shared" si="3"/>
        <v>15209</v>
      </c>
      <c r="I35" s="68">
        <f t="shared" si="4"/>
        <v>912.01476</v>
      </c>
      <c r="J35" s="59" t="str">
        <f t="shared" si="5"/>
        <v>15m 12s</v>
      </c>
      <c r="K35" s="69">
        <f t="shared" si="6"/>
        <v>71595</v>
      </c>
      <c r="L35" s="60">
        <f t="shared" si="7"/>
        <v>0</v>
      </c>
      <c r="M35" s="61">
        <f>IFERROR(__xludf.DUMMYFUNCTION("IFS(AND(COUNTA(C35:C1644)=0,COUNTA(Q35:Q1644)=0),"""",OR(AND(K35&gt;=1000000000,OR(Y35&gt;=1000000000,COUNTA(Q35:Q1644)=0)),OR(Y35&gt;=1000000000,AND(COUNTA(C35:C1644)=0,P$3=TRUE))),
ROUNDDOWN((AB$1-AC$1)*MAX(INDEX(T$4:T1644,MATCH(LARGE(FILTER(Y$4:Y1644,Y$4:Y1644&lt;"&amp;"1000000000),1),Y$4:Y1644)),INDEX(F$4:F1644,MATCH(LARGE(FILTER(K$4:K1644,K$4:K1644&lt;1000000000),1),K$4:K1644)))),AND(K35&lt;1000000000,COUNTA(C35:C1644)&gt;0,P$3=FALSE),
ROUNDDOWN(INDEX(Y$4:Y1644,MATCH(LARGE(FILTER(W$4:W1644,W$4:W1644&lt;=I35),1),W$4:W1644))+(I35-LA"&amp;"RGE(FILTER(W$4:W1644,W$4:W1644&lt;=I35),1))*INDEX(T$4:T1644,MATCH(LARGE(FILTER(W$4:W1644,W$4:W1644&lt;=I35),1),W$4:W1644))-K35),1,
ROUNDDOWN(Y35-INDEX(K$4:K1644,MATCH(LARGE(FILTER(I$4:I1644,I$4:I1644&lt;=W35),1),I$4:I1644))-(W35-LARGE(FILTER(I$4:I1644,I$4:I1644&lt;=W"&amp;"35),1))*INDEX(F$4:F1644,MATCH(LARGE(FILTER(I$4:I1644,I$4:I1644&lt;=W35),1),I$4:I1644))))"),0.0)</f>
        <v>0</v>
      </c>
      <c r="N35" s="60">
        <f t="shared" si="8"/>
        <v>0</v>
      </c>
      <c r="O35" s="61">
        <f t="shared" si="9"/>
        <v>0</v>
      </c>
      <c r="P35" s="56">
        <f t="shared" si="10"/>
        <v>4</v>
      </c>
      <c r="Q35" s="67" t="s">
        <v>7</v>
      </c>
      <c r="R35" s="10" t="b">
        <f>IFERROR(__xludf.DUMMYFUNCTION("IF(COUNTA(Q35:Q1644)=0,"""",IF(ISBLANK(Q35),FALSE,IF(NOT(COUNTIF($AA$24:$AA$34,SUBSTITUTE(Q35,""Sell_"",""""))),1,IF(REGEXMATCH(Q35,""Sell_""),IF(COUNTIF(Q$4:Q35,SUBSTITUTE(Q35,""Sell_"",""""))-COUNTIF(Q$4:Q34,Q35)&lt;1,1),FALSE))))"),FALSE)</f>
        <v>0</v>
      </c>
      <c r="S35" s="59">
        <f t="array" ref="S35">IF(COUNTA(Q35:Q1644)=0,"",SUM((COUNTIF(Q$4:Q35,Upgrades!$B$3:$B$13)-COUNTIF(Q$4:Q35,"Sell_"&amp;Upgrades!$B$3:$B$13))*Upgrades!$D$3:$D$13))</f>
        <v>233.8</v>
      </c>
      <c r="T35" s="66">
        <f>IFERROR(__xludf.DUMMYFUNCTION("IF(COUNTA(Q35:Q1644)=0,"""",IF(REGEXMATCH(INDEX(FILTER(Q$4:Q35,Q$4:Q35&lt;&gt;""""),ROWS(FILTER(Q$4:Q35,Q$4:Q35&lt;&gt;""""))),""^Sell_""),INDEX(FILTER(T$4:T34,Q$4:Q34&lt;&gt;""""),ROWS(FILTER(Q$4:Q34,Q$4:Q34&lt;&gt;""""))),$AD$5+S35))"),243.8)</f>
        <v>243.8</v>
      </c>
      <c r="U35" s="10">
        <f>IFERROR(__xludf.DUMMYFUNCTION("IF(COUNTA(Q35:Q1644)=0,"""",IF(Q35="""",0,IF(REGEXMATCH(Q35,""^Sell_""),-ROUNDDOWN(ROUNDUP(INDEX(Upgrades!$C$3:$C$13,MATCH(SUBSTITUTE(Q35,""Sell_"",""""),Upgrades!$B$3:$B$13,0))*1.15^(COUNTIF(Q$4:Q34,SUBSTITUTE(Q35,""Sell_"",""""))-COUNTIF(Q$4:Q34,""Sell_"&amp;"""&amp;SUBSTITUTE(Q35,""Sell_"",""""))))/2),ROUNDUP(INDEX(Upgrades!$C$3:$C$13,MATCH(Q35,Upgrades!$B$3:$B$13,0))*1.15^(COUNTIF(Q$4:Q34,Q35)-COUNTIF(Q$4:Q34,""Sell_""&amp;Q35))))))"),15209.0)</f>
        <v>15209</v>
      </c>
      <c r="V35" s="10">
        <f t="shared" si="11"/>
        <v>15209</v>
      </c>
      <c r="W35" s="68">
        <f t="shared" si="12"/>
        <v>912.01476</v>
      </c>
      <c r="X35" s="59" t="str">
        <f t="shared" si="13"/>
        <v>15m 12s</v>
      </c>
      <c r="Y35" s="69">
        <f t="shared" si="14"/>
        <v>71595</v>
      </c>
      <c r="Z35" s="11"/>
    </row>
    <row r="36">
      <c r="A36" s="8"/>
      <c r="B36" s="56">
        <f t="shared" si="2"/>
        <v>9</v>
      </c>
      <c r="C36" s="67" t="s">
        <v>3</v>
      </c>
      <c r="D36" s="10" t="b">
        <f>IFERROR(__xludf.DUMMYFUNCTION("IF(COUNTA(C36:C1644)=0,"""",IF(ISBLANK(C36),FALSE,IF(NOT(COUNTIF($AA$24:$AA$34,SUBSTITUTE(C36,""Sell_"",""""))),1,IF(REGEXMATCH(C36,""Sell_""),IF(COUNTIF(C$4:C36,SUBSTITUTE(C36,""Sell_"",""""))-COUNTIF(C$4:C35,C36)&lt;1,1),FALSE))))"),FALSE)</f>
        <v>0</v>
      </c>
      <c r="E36" s="59">
        <f t="array" ref="E36">IF(COUNTA(C36:C1644)=0,"",SUM((COUNTIF(C$4:C36,Upgrades!$B$3:$B$13)-COUNTIF(C$4:C36,"Sell_"&amp;Upgrades!$B$3:$B$13))*Upgrades!$D$3:$D$13))</f>
        <v>233.9</v>
      </c>
      <c r="F36" s="66">
        <f>IFERROR(__xludf.DUMMYFUNCTION("IF(COUNTA(C36:C1644)=0,"""",IF(REGEXMATCH(INDEX(FILTER(C$4:C36,C$4:C36&lt;&gt;""""),ROWS(FILTER(C$4:C36,C$4:C36&lt;&gt;""""))),""^Sell_""),INDEX(FILTER(F$4:F35,C$4:C35&lt;&gt;""""),ROWS(FILTER(C$4:C35,C$4:C35&lt;&gt;""""))),$AC$5+E36))"),243.9)</f>
        <v>243.9</v>
      </c>
      <c r="G36" s="10">
        <f>IFERROR(__xludf.DUMMYFUNCTION("IF(COUNTA(C36:C1644)=0,"""",IF(C36="""",0,IF(REGEXMATCH(C36,""^Sell_""),-ROUNDDOWN(ROUNDUP(INDEX(Upgrades!$C$3:$C$13,MATCH(SUBSTITUTE(C36,""Sell_"",""""),Upgrades!$B$3:$B$13,0))*1.15^(COUNTIF(C$4:C35,SUBSTITUTE(C36,""Sell_"",""""))-COUNTIF(C$4:C35,""Sell_"&amp;"""&amp;SUBSTITUTE(C36,""Sell_"",""""))))/2),ROUNDUP(INDEX(Upgrades!$C$3:$C$13,MATCH(C36,Upgrades!$B$3:$B$13,0))*1.15^(COUNTIF(C$4:C35,C36)-COUNTIF(C$4:C35,""Sell_""&amp;C36))))))"),46.0)</f>
        <v>46</v>
      </c>
      <c r="H36" s="10">
        <f t="shared" si="3"/>
        <v>46</v>
      </c>
      <c r="I36" s="68">
        <f t="shared" si="4"/>
        <v>912.2034393</v>
      </c>
      <c r="J36" s="59" t="str">
        <f t="shared" si="5"/>
        <v>15m 12s</v>
      </c>
      <c r="K36" s="69">
        <f t="shared" si="6"/>
        <v>71641</v>
      </c>
      <c r="L36" s="60">
        <f t="shared" si="7"/>
        <v>0</v>
      </c>
      <c r="M36" s="61">
        <f>IFERROR(__xludf.DUMMYFUNCTION("IFS(AND(COUNTA(C36:C1644)=0,COUNTA(Q36:Q1644)=0),"""",OR(AND(K36&gt;=1000000000,OR(Y36&gt;=1000000000,COUNTA(Q36:Q1644)=0)),OR(Y36&gt;=1000000000,AND(COUNTA(C36:C1644)=0,P$3=TRUE))),
ROUNDDOWN((AB$1-AC$1)*MAX(INDEX(T$4:T1644,MATCH(LARGE(FILTER(Y$4:Y1644,Y$4:Y1644&lt;"&amp;"1000000000),1),Y$4:Y1644)),INDEX(F$4:F1644,MATCH(LARGE(FILTER(K$4:K1644,K$4:K1644&lt;1000000000),1),K$4:K1644)))),AND(K36&lt;1000000000,COUNTA(C36:C1644)&gt;0,P$3=FALSE),
ROUNDDOWN(INDEX(Y$4:Y1644,MATCH(LARGE(FILTER(W$4:W1644,W$4:W1644&lt;=I36),1),W$4:W1644))+(I36-LA"&amp;"RGE(FILTER(W$4:W1644,W$4:W1644&lt;=I36),1))*INDEX(T$4:T1644,MATCH(LARGE(FILTER(W$4:W1644,W$4:W1644&lt;=I36),1),W$4:W1644))-K36),1,
ROUNDDOWN(Y36-INDEX(K$4:K1644,MATCH(LARGE(FILTER(I$4:I1644,I$4:I1644&lt;=W36),1),I$4:I1644))-(W36-LARGE(FILTER(I$4:I1644,I$4:I1644&lt;=W"&amp;"36),1))*INDEX(F$4:F1644,MATCH(LARGE(FILTER(I$4:I1644,I$4:I1644&lt;=W36),1),I$4:I1644))))"),0.0)</f>
        <v>0</v>
      </c>
      <c r="N36" s="60">
        <f t="shared" si="8"/>
        <v>0</v>
      </c>
      <c r="O36" s="61">
        <f t="shared" si="9"/>
        <v>0</v>
      </c>
      <c r="P36" s="56">
        <f t="shared" si="10"/>
        <v>9</v>
      </c>
      <c r="Q36" s="67" t="s">
        <v>3</v>
      </c>
      <c r="R36" s="10" t="b">
        <f>IFERROR(__xludf.DUMMYFUNCTION("IF(COUNTA(Q36:Q1644)=0,"""",IF(ISBLANK(Q36),FALSE,IF(NOT(COUNTIF($AA$24:$AA$34,SUBSTITUTE(Q36,""Sell_"",""""))),1,IF(REGEXMATCH(Q36,""Sell_""),IF(COUNTIF(Q$4:Q36,SUBSTITUTE(Q36,""Sell_"",""""))-COUNTIF(Q$4:Q35,Q36)&lt;1,1),FALSE))))"),FALSE)</f>
        <v>0</v>
      </c>
      <c r="S36" s="59">
        <f t="array" ref="S36">IF(COUNTA(Q36:Q1644)=0,"",SUM((COUNTIF(Q$4:Q36,Upgrades!$B$3:$B$13)-COUNTIF(Q$4:Q36,"Sell_"&amp;Upgrades!$B$3:$B$13))*Upgrades!$D$3:$D$13))</f>
        <v>233.9</v>
      </c>
      <c r="T36" s="66">
        <f>IFERROR(__xludf.DUMMYFUNCTION("IF(COUNTA(Q36:Q1644)=0,"""",IF(REGEXMATCH(INDEX(FILTER(Q$4:Q36,Q$4:Q36&lt;&gt;""""),ROWS(FILTER(Q$4:Q36,Q$4:Q36&lt;&gt;""""))),""^Sell_""),INDEX(FILTER(T$4:T35,Q$4:Q35&lt;&gt;""""),ROWS(FILTER(Q$4:Q35,Q$4:Q35&lt;&gt;""""))),$AD$5+S36))"),243.9)</f>
        <v>243.9</v>
      </c>
      <c r="U36" s="10">
        <f>IFERROR(__xludf.DUMMYFUNCTION("IF(COUNTA(Q36:Q1644)=0,"""",IF(Q36="""",0,IF(REGEXMATCH(Q36,""^Sell_""),-ROUNDDOWN(ROUNDUP(INDEX(Upgrades!$C$3:$C$13,MATCH(SUBSTITUTE(Q36,""Sell_"",""""),Upgrades!$B$3:$B$13,0))*1.15^(COUNTIF(Q$4:Q35,SUBSTITUTE(Q36,""Sell_"",""""))-COUNTIF(Q$4:Q35,""Sell_"&amp;"""&amp;SUBSTITUTE(Q36,""Sell_"",""""))))/2),ROUNDUP(INDEX(Upgrades!$C$3:$C$13,MATCH(Q36,Upgrades!$B$3:$B$13,0))*1.15^(COUNTIF(Q$4:Q35,Q36)-COUNTIF(Q$4:Q35,""Sell_""&amp;Q36))))))"),46.0)</f>
        <v>46</v>
      </c>
      <c r="V36" s="10">
        <f t="shared" si="11"/>
        <v>46</v>
      </c>
      <c r="W36" s="68">
        <f t="shared" si="12"/>
        <v>912.2034393</v>
      </c>
      <c r="X36" s="59" t="str">
        <f t="shared" si="13"/>
        <v>15m 12s</v>
      </c>
      <c r="Y36" s="69">
        <f t="shared" si="14"/>
        <v>71641</v>
      </c>
      <c r="Z36" s="11"/>
      <c r="AA36" s="95" t="s">
        <v>56</v>
      </c>
      <c r="AB36" s="95"/>
      <c r="AC36" s="95"/>
      <c r="AD36" s="95"/>
      <c r="AE36" s="96"/>
      <c r="AG36" s="59"/>
    </row>
    <row r="37">
      <c r="A37" s="8"/>
      <c r="B37" s="56">
        <f t="shared" si="2"/>
        <v>7</v>
      </c>
      <c r="C37" s="67" t="s">
        <v>4</v>
      </c>
      <c r="D37" s="10" t="b">
        <f>IFERROR(__xludf.DUMMYFUNCTION("IF(COUNTA(C37:C1644)=0,"""",IF(ISBLANK(C37),FALSE,IF(NOT(COUNTIF($AA$24:$AA$34,SUBSTITUTE(C37,""Sell_"",""""))),1,IF(REGEXMATCH(C37,""Sell_""),IF(COUNTIF(C$4:C37,SUBSTITUTE(C37,""Sell_"",""""))-COUNTIF(C$4:C36,C37)&lt;1,1),FALSE))))"),FALSE)</f>
        <v>0</v>
      </c>
      <c r="E37" s="59">
        <f t="array" ref="E37">IF(COUNTA(C37:C1644)=0,"",SUM((COUNTIF(C$4:C37,Upgrades!$B$3:$B$13)-COUNTIF(C$4:C37,"Sell_"&amp;Upgrades!$B$3:$B$13))*Upgrades!$D$3:$D$13))</f>
        <v>234.4</v>
      </c>
      <c r="F37" s="66">
        <f>IFERROR(__xludf.DUMMYFUNCTION("IF(COUNTA(C37:C1644)=0,"""",IF(REGEXMATCH(INDEX(FILTER(C$4:C37,C$4:C37&lt;&gt;""""),ROWS(FILTER(C$4:C37,C$4:C37&lt;&gt;""""))),""^Sell_""),INDEX(FILTER(F$4:F36,C$4:C36&lt;&gt;""""),ROWS(FILTER(C$4:C36,C$4:C36&lt;&gt;""""))),$AC$5+E37))"),244.4)</f>
        <v>244.4</v>
      </c>
      <c r="G37" s="10">
        <f>IFERROR(__xludf.DUMMYFUNCTION("IF(COUNTA(C37:C1644)=0,"""",IF(C37="""",0,IF(REGEXMATCH(C37,""^Sell_""),-ROUNDDOWN(ROUNDUP(INDEX(Upgrades!$C$3:$C$13,MATCH(SUBSTITUTE(C37,""Sell_"",""""),Upgrades!$B$3:$B$13,0))*1.15^(COUNTIF(C$4:C36,SUBSTITUTE(C37,""Sell_"",""""))-COUNTIF(C$4:C36,""Sell_"&amp;"""&amp;SUBSTITUTE(C37,""Sell_"",""""))))/2),ROUNDUP(INDEX(Upgrades!$C$3:$C$13,MATCH(C37,Upgrades!$B$3:$B$13,0))*1.15^(COUNTIF(C$4:C36,C37)-COUNTIF(C$4:C36,""Sell_""&amp;C37))))))"),232.0)</f>
        <v>232</v>
      </c>
      <c r="H37" s="10">
        <f t="shared" si="3"/>
        <v>232</v>
      </c>
      <c r="I37" s="68">
        <f t="shared" si="4"/>
        <v>913.1546488</v>
      </c>
      <c r="J37" s="59" t="str">
        <f t="shared" si="5"/>
        <v>15m 13s</v>
      </c>
      <c r="K37" s="69">
        <f t="shared" si="6"/>
        <v>71873</v>
      </c>
      <c r="L37" s="60">
        <f t="shared" si="7"/>
        <v>0</v>
      </c>
      <c r="M37" s="61">
        <f>IFERROR(__xludf.DUMMYFUNCTION("IFS(AND(COUNTA(C37:C1644)=0,COUNTA(Q37:Q1644)=0),"""",OR(AND(K37&gt;=1000000000,OR(Y37&gt;=1000000000,COUNTA(Q37:Q1644)=0)),OR(Y37&gt;=1000000000,AND(COUNTA(C37:C1644)=0,P$3=TRUE))),
ROUNDDOWN((AB$1-AC$1)*MAX(INDEX(T$4:T1644,MATCH(LARGE(FILTER(Y$4:Y1644,Y$4:Y1644&lt;"&amp;"1000000000),1),Y$4:Y1644)),INDEX(F$4:F1644,MATCH(LARGE(FILTER(K$4:K1644,K$4:K1644&lt;1000000000),1),K$4:K1644)))),AND(K37&lt;1000000000,COUNTA(C37:C1644)&gt;0,P$3=FALSE),
ROUNDDOWN(INDEX(Y$4:Y1644,MATCH(LARGE(FILTER(W$4:W1644,W$4:W1644&lt;=I37),1),W$4:W1644))+(I37-LA"&amp;"RGE(FILTER(W$4:W1644,W$4:W1644&lt;=I37),1))*INDEX(T$4:T1644,MATCH(LARGE(FILTER(W$4:W1644,W$4:W1644&lt;=I37),1),W$4:W1644))-K37),1,
ROUNDDOWN(Y37-INDEX(K$4:K1644,MATCH(LARGE(FILTER(I$4:I1644,I$4:I1644&lt;=W37),1),I$4:I1644))-(W37-LARGE(FILTER(I$4:I1644,I$4:I1644&lt;=W"&amp;"37),1))*INDEX(F$4:F1644,MATCH(LARGE(FILTER(I$4:I1644,I$4:I1644&lt;=W37),1),I$4:I1644))))"),0.0)</f>
        <v>0</v>
      </c>
      <c r="N37" s="60">
        <f t="shared" si="8"/>
        <v>0</v>
      </c>
      <c r="O37" s="61">
        <f t="shared" si="9"/>
        <v>0</v>
      </c>
      <c r="P37" s="56">
        <f t="shared" si="10"/>
        <v>7</v>
      </c>
      <c r="Q37" s="67" t="s">
        <v>4</v>
      </c>
      <c r="R37" s="10" t="b">
        <f>IFERROR(__xludf.DUMMYFUNCTION("IF(COUNTA(Q37:Q1644)=0,"""",IF(ISBLANK(Q37),FALSE,IF(NOT(COUNTIF($AA$24:$AA$34,SUBSTITUTE(Q37,""Sell_"",""""))),1,IF(REGEXMATCH(Q37,""Sell_""),IF(COUNTIF(Q$4:Q37,SUBSTITUTE(Q37,""Sell_"",""""))-COUNTIF(Q$4:Q36,Q37)&lt;1,1),FALSE))))"),FALSE)</f>
        <v>0</v>
      </c>
      <c r="S37" s="59">
        <f t="array" ref="S37">IF(COUNTA(Q37:Q1644)=0,"",SUM((COUNTIF(Q$4:Q37,Upgrades!$B$3:$B$13)-COUNTIF(Q$4:Q37,"Sell_"&amp;Upgrades!$B$3:$B$13))*Upgrades!$D$3:$D$13))</f>
        <v>234.4</v>
      </c>
      <c r="T37" s="66">
        <f>IFERROR(__xludf.DUMMYFUNCTION("IF(COUNTA(Q37:Q1644)=0,"""",IF(REGEXMATCH(INDEX(FILTER(Q$4:Q37,Q$4:Q37&lt;&gt;""""),ROWS(FILTER(Q$4:Q37,Q$4:Q37&lt;&gt;""""))),""^Sell_""),INDEX(FILTER(T$4:T36,Q$4:Q36&lt;&gt;""""),ROWS(FILTER(Q$4:Q36,Q$4:Q36&lt;&gt;""""))),$AD$5+S37))"),244.4)</f>
        <v>244.4</v>
      </c>
      <c r="U37" s="10">
        <f>IFERROR(__xludf.DUMMYFUNCTION("IF(COUNTA(Q37:Q1644)=0,"""",IF(Q37="""",0,IF(REGEXMATCH(Q37,""^Sell_""),-ROUNDDOWN(ROUNDUP(INDEX(Upgrades!$C$3:$C$13,MATCH(SUBSTITUTE(Q37,""Sell_"",""""),Upgrades!$B$3:$B$13,0))*1.15^(COUNTIF(Q$4:Q36,SUBSTITUTE(Q37,""Sell_"",""""))-COUNTIF(Q$4:Q36,""Sell_"&amp;"""&amp;SUBSTITUTE(Q37,""Sell_"",""""))))/2),ROUNDUP(INDEX(Upgrades!$C$3:$C$13,MATCH(Q37,Upgrades!$B$3:$B$13,0))*1.15^(COUNTIF(Q$4:Q36,Q37)-COUNTIF(Q$4:Q36,""Sell_""&amp;Q37))))))"),232.0)</f>
        <v>232</v>
      </c>
      <c r="V37" s="10">
        <f t="shared" si="11"/>
        <v>232</v>
      </c>
      <c r="W37" s="68">
        <f t="shared" si="12"/>
        <v>913.1546488</v>
      </c>
      <c r="X37" s="59" t="str">
        <f t="shared" si="13"/>
        <v>15m 13s</v>
      </c>
      <c r="Y37" s="69">
        <f t="shared" si="14"/>
        <v>71873</v>
      </c>
      <c r="Z37" s="11"/>
      <c r="AA37" s="100" t="s">
        <v>57</v>
      </c>
      <c r="AB37" s="100"/>
      <c r="AC37" s="100"/>
      <c r="AD37" s="100"/>
      <c r="AE37" s="101"/>
      <c r="AG37" s="48"/>
    </row>
    <row r="38">
      <c r="A38" s="8"/>
      <c r="B38" s="56">
        <f t="shared" si="2"/>
        <v>4</v>
      </c>
      <c r="C38" s="67" t="s">
        <v>6</v>
      </c>
      <c r="D38" s="10" t="b">
        <f>IFERROR(__xludf.DUMMYFUNCTION("IF(COUNTA(C38:C1644)=0,"""",IF(ISBLANK(C38),FALSE,IF(NOT(COUNTIF($AA$24:$AA$34,SUBSTITUTE(C38,""Sell_"",""""))),1,IF(REGEXMATCH(C38,""Sell_""),IF(COUNTIF(C$4:C38,SUBSTITUTE(C38,""Sell_"",""""))-COUNTIF(C$4:C37,C38)&lt;1,1),FALSE))))"),FALSE)</f>
        <v>0</v>
      </c>
      <c r="E38" s="59">
        <f t="array" ref="E38">IF(COUNTA(C38:C1644)=0,"",SUM((COUNTIF(C$4:C38,Upgrades!$B$3:$B$13)-COUNTIF(C$4:C38,"Sell_"&amp;Upgrades!$B$3:$B$13))*Upgrades!$D$3:$D$13))</f>
        <v>244.4</v>
      </c>
      <c r="F38" s="66">
        <f>IFERROR(__xludf.DUMMYFUNCTION("IF(COUNTA(C38:C1644)=0,"""",IF(REGEXMATCH(INDEX(FILTER(C$4:C38,C$4:C38&lt;&gt;""""),ROWS(FILTER(C$4:C38,C$4:C38&lt;&gt;""""))),""^Sell_""),INDEX(FILTER(F$4:F37,C$4:C37&lt;&gt;""""),ROWS(FILTER(C$4:C37,C$4:C37&lt;&gt;""""))),$AC$5+E38))"),254.4)</f>
        <v>254.4</v>
      </c>
      <c r="G38" s="10">
        <f>IFERROR(__xludf.DUMMYFUNCTION("IF(COUNTA(C38:C1644)=0,"""",IF(C38="""",0,IF(REGEXMATCH(C38,""^Sell_""),-ROUNDDOWN(ROUNDUP(INDEX(Upgrades!$C$3:$C$13,MATCH(SUBSTITUTE(C38,""Sell_"",""""),Upgrades!$B$3:$B$13,0))*1.15^(COUNTIF(C$4:C37,SUBSTITUTE(C38,""Sell_"",""""))-COUNTIF(C$4:C37,""Sell_"&amp;"""&amp;SUBSTITUTE(C38,""Sell_"",""""))))/2),ROUNDUP(INDEX(Upgrades!$C$3:$C$13,MATCH(C38,Upgrades!$B$3:$B$13,0))*1.15^(COUNTIF(C$4:C37,C38)-COUNTIF(C$4:C37,""Sell_""&amp;C38))))))"),4563.0)</f>
        <v>4563</v>
      </c>
      <c r="H38" s="10">
        <f t="shared" si="3"/>
        <v>4563</v>
      </c>
      <c r="I38" s="68">
        <f t="shared" si="4"/>
        <v>931.8248615</v>
      </c>
      <c r="J38" s="59" t="str">
        <f t="shared" si="5"/>
        <v>15m 31s</v>
      </c>
      <c r="K38" s="69">
        <f t="shared" si="6"/>
        <v>76436</v>
      </c>
      <c r="L38" s="60">
        <f t="shared" si="7"/>
        <v>0</v>
      </c>
      <c r="M38" s="61">
        <f>IFERROR(__xludf.DUMMYFUNCTION("IFS(AND(COUNTA(C38:C1644)=0,COUNTA(Q38:Q1644)=0),"""",OR(AND(K38&gt;=1000000000,OR(Y38&gt;=1000000000,COUNTA(Q38:Q1644)=0)),OR(Y38&gt;=1000000000,AND(COUNTA(C38:C1644)=0,P$3=TRUE))),
ROUNDDOWN((AB$1-AC$1)*MAX(INDEX(T$4:T1644,MATCH(LARGE(FILTER(Y$4:Y1644,Y$4:Y1644&lt;"&amp;"1000000000),1),Y$4:Y1644)),INDEX(F$4:F1644,MATCH(LARGE(FILTER(K$4:K1644,K$4:K1644&lt;1000000000),1),K$4:K1644)))),AND(K38&lt;1000000000,COUNTA(C38:C1644)&gt;0,P$3=FALSE),
ROUNDDOWN(INDEX(Y$4:Y1644,MATCH(LARGE(FILTER(W$4:W1644,W$4:W1644&lt;=I38),1),W$4:W1644))+(I38-LA"&amp;"RGE(FILTER(W$4:W1644,W$4:W1644&lt;=I38),1))*INDEX(T$4:T1644,MATCH(LARGE(FILTER(W$4:W1644,W$4:W1644&lt;=I38),1),W$4:W1644))-K38),1,
ROUNDDOWN(Y38-INDEX(K$4:K1644,MATCH(LARGE(FILTER(I$4:I1644,I$4:I1644&lt;=W38),1),I$4:I1644))-(W38-LARGE(FILTER(I$4:I1644,I$4:I1644&lt;=W"&amp;"38),1))*INDEX(F$4:F1644,MATCH(LARGE(FILTER(I$4:I1644,I$4:I1644&lt;=W38),1),I$4:I1644))))"),0.0)</f>
        <v>0</v>
      </c>
      <c r="N38" s="60">
        <f t="shared" si="8"/>
        <v>0</v>
      </c>
      <c r="O38" s="61">
        <f t="shared" si="9"/>
        <v>0</v>
      </c>
      <c r="P38" s="56">
        <f t="shared" si="10"/>
        <v>4</v>
      </c>
      <c r="Q38" s="67" t="s">
        <v>6</v>
      </c>
      <c r="R38" s="10" t="b">
        <f>IFERROR(__xludf.DUMMYFUNCTION("IF(COUNTA(Q38:Q1644)=0,"""",IF(ISBLANK(Q38),FALSE,IF(NOT(COUNTIF($AA$24:$AA$34,SUBSTITUTE(Q38,""Sell_"",""""))),1,IF(REGEXMATCH(Q38,""Sell_""),IF(COUNTIF(Q$4:Q38,SUBSTITUTE(Q38,""Sell_"",""""))-COUNTIF(Q$4:Q37,Q38)&lt;1,1),FALSE))))"),FALSE)</f>
        <v>0</v>
      </c>
      <c r="S38" s="59">
        <f t="array" ref="S38">IF(COUNTA(Q38:Q1644)=0,"",SUM((COUNTIF(Q$4:Q38,Upgrades!$B$3:$B$13)-COUNTIF(Q$4:Q38,"Sell_"&amp;Upgrades!$B$3:$B$13))*Upgrades!$D$3:$D$13))</f>
        <v>244.4</v>
      </c>
      <c r="T38" s="66">
        <f>IFERROR(__xludf.DUMMYFUNCTION("IF(COUNTA(Q38:Q1644)=0,"""",IF(REGEXMATCH(INDEX(FILTER(Q$4:Q38,Q$4:Q38&lt;&gt;""""),ROWS(FILTER(Q$4:Q38,Q$4:Q38&lt;&gt;""""))),""^Sell_""),INDEX(FILTER(T$4:T37,Q$4:Q37&lt;&gt;""""),ROWS(FILTER(Q$4:Q37,Q$4:Q37&lt;&gt;""""))),$AD$5+S38))"),254.4)</f>
        <v>254.4</v>
      </c>
      <c r="U38" s="10">
        <f>IFERROR(__xludf.DUMMYFUNCTION("IF(COUNTA(Q38:Q1644)=0,"""",IF(Q38="""",0,IF(REGEXMATCH(Q38,""^Sell_""),-ROUNDDOWN(ROUNDUP(INDEX(Upgrades!$C$3:$C$13,MATCH(SUBSTITUTE(Q38,""Sell_"",""""),Upgrades!$B$3:$B$13,0))*1.15^(COUNTIF(Q$4:Q37,SUBSTITUTE(Q38,""Sell_"",""""))-COUNTIF(Q$4:Q37,""Sell_"&amp;"""&amp;SUBSTITUTE(Q38,""Sell_"",""""))))/2),ROUNDUP(INDEX(Upgrades!$C$3:$C$13,MATCH(Q38,Upgrades!$B$3:$B$13,0))*1.15^(COUNTIF(Q$4:Q37,Q38)-COUNTIF(Q$4:Q37,""Sell_""&amp;Q38))))))"),4563.0)</f>
        <v>4563</v>
      </c>
      <c r="V38" s="10">
        <f t="shared" si="11"/>
        <v>4563</v>
      </c>
      <c r="W38" s="68">
        <f t="shared" si="12"/>
        <v>931.8248615</v>
      </c>
      <c r="X38" s="59" t="str">
        <f t="shared" si="13"/>
        <v>15m 31s</v>
      </c>
      <c r="Y38" s="69">
        <f t="shared" si="14"/>
        <v>76436</v>
      </c>
      <c r="Z38" s="11"/>
      <c r="AG38" s="10"/>
    </row>
    <row r="39">
      <c r="A39" s="8"/>
      <c r="B39" s="56">
        <f t="shared" si="2"/>
        <v>5</v>
      </c>
      <c r="C39" s="67" t="s">
        <v>7</v>
      </c>
      <c r="D39" s="10" t="b">
        <f>IFERROR(__xludf.DUMMYFUNCTION("IF(COUNTA(C39:C1644)=0,"""",IF(ISBLANK(C39),FALSE,IF(NOT(COUNTIF($AA$24:$AA$34,SUBSTITUTE(C39,""Sell_"",""""))),1,IF(REGEXMATCH(C39,""Sell_""),IF(COUNTIF(C$4:C39,SUBSTITUTE(C39,""Sell_"",""""))-COUNTIF(C$4:C38,C39)&lt;1,1),FALSE))))"),FALSE)</f>
        <v>0</v>
      </c>
      <c r="E39" s="59">
        <f t="array" ref="E39">IF(COUNTA(C39:C1644)=0,"",SUM((COUNTIF(C$4:C39,Upgrades!$B$3:$B$13)-COUNTIF(C$4:C39,"Sell_"&amp;Upgrades!$B$3:$B$13))*Upgrades!$D$3:$D$13))</f>
        <v>284.4</v>
      </c>
      <c r="F39" s="66">
        <f>IFERROR(__xludf.DUMMYFUNCTION("IF(COUNTA(C39:C1644)=0,"""",IF(REGEXMATCH(INDEX(FILTER(C$4:C39,C$4:C39&lt;&gt;""""),ROWS(FILTER(C$4:C39,C$4:C39&lt;&gt;""""))),""^Sell_""),INDEX(FILTER(F$4:F38,C$4:C38&lt;&gt;""""),ROWS(FILTER(C$4:C38,C$4:C38&lt;&gt;""""))),$AC$5+E39))"),294.4)</f>
        <v>294.4</v>
      </c>
      <c r="G39" s="10">
        <f>IFERROR(__xludf.DUMMYFUNCTION("IF(COUNTA(C39:C1644)=0,"""",IF(C39="""",0,IF(REGEXMATCH(C39,""^Sell_""),-ROUNDDOWN(ROUNDUP(INDEX(Upgrades!$C$3:$C$13,MATCH(SUBSTITUTE(C39,""Sell_"",""""),Upgrades!$B$3:$B$13,0))*1.15^(COUNTIF(C$4:C38,SUBSTITUTE(C39,""Sell_"",""""))-COUNTIF(C$4:C38,""Sell_"&amp;"""&amp;SUBSTITUTE(C39,""Sell_"",""""))))/2),ROUNDUP(INDEX(Upgrades!$C$3:$C$13,MATCH(C39,Upgrades!$B$3:$B$13,0))*1.15^(COUNTIF(C$4:C38,C39)-COUNTIF(C$4:C38,""Sell_""&amp;C39))))))"),17491.0)</f>
        <v>17491</v>
      </c>
      <c r="H39" s="10">
        <f t="shared" si="3"/>
        <v>17491</v>
      </c>
      <c r="I39" s="68">
        <f t="shared" si="4"/>
        <v>1000.578792</v>
      </c>
      <c r="J39" s="59" t="str">
        <f t="shared" si="5"/>
        <v>16m 40s</v>
      </c>
      <c r="K39" s="69">
        <f t="shared" si="6"/>
        <v>93927</v>
      </c>
      <c r="L39" s="60">
        <f t="shared" si="7"/>
        <v>0</v>
      </c>
      <c r="M39" s="61">
        <f>IFERROR(__xludf.DUMMYFUNCTION("IFS(AND(COUNTA(C39:C1644)=0,COUNTA(Q39:Q1644)=0),"""",OR(AND(K39&gt;=1000000000,OR(Y39&gt;=1000000000,COUNTA(Q39:Q1644)=0)),OR(Y39&gt;=1000000000,AND(COUNTA(C39:C1644)=0,P$3=TRUE))),
ROUNDDOWN((AB$1-AC$1)*MAX(INDEX(T$4:T1644,MATCH(LARGE(FILTER(Y$4:Y1644,Y$4:Y1644&lt;"&amp;"1000000000),1),Y$4:Y1644)),INDEX(F$4:F1644,MATCH(LARGE(FILTER(K$4:K1644,K$4:K1644&lt;1000000000),1),K$4:K1644)))),AND(K39&lt;1000000000,COUNTA(C39:C1644)&gt;0,P$3=FALSE),
ROUNDDOWN(INDEX(Y$4:Y1644,MATCH(LARGE(FILTER(W$4:W1644,W$4:W1644&lt;=I39),1),W$4:W1644))+(I39-LA"&amp;"RGE(FILTER(W$4:W1644,W$4:W1644&lt;=I39),1))*INDEX(T$4:T1644,MATCH(LARGE(FILTER(W$4:W1644,W$4:W1644&lt;=I39),1),W$4:W1644))-K39),1,
ROUNDDOWN(Y39-INDEX(K$4:K1644,MATCH(LARGE(FILTER(I$4:I1644,I$4:I1644&lt;=W39),1),I$4:I1644))-(W39-LARGE(FILTER(I$4:I1644,I$4:I1644&lt;=W"&amp;"39),1))*INDEX(F$4:F1644,MATCH(LARGE(FILTER(I$4:I1644,I$4:I1644&lt;=W39),1),I$4:I1644))))"),0.0)</f>
        <v>0</v>
      </c>
      <c r="N39" s="60">
        <f t="shared" si="8"/>
        <v>0</v>
      </c>
      <c r="O39" s="61">
        <f t="shared" si="9"/>
        <v>0</v>
      </c>
      <c r="P39" s="56">
        <f t="shared" si="10"/>
        <v>5</v>
      </c>
      <c r="Q39" s="67" t="s">
        <v>7</v>
      </c>
      <c r="R39" s="10" t="b">
        <f>IFERROR(__xludf.DUMMYFUNCTION("IF(COUNTA(Q39:Q1644)=0,"""",IF(ISBLANK(Q39),FALSE,IF(NOT(COUNTIF($AA$24:$AA$34,SUBSTITUTE(Q39,""Sell_"",""""))),1,IF(REGEXMATCH(Q39,""Sell_""),IF(COUNTIF(Q$4:Q39,SUBSTITUTE(Q39,""Sell_"",""""))-COUNTIF(Q$4:Q38,Q39)&lt;1,1),FALSE))))"),FALSE)</f>
        <v>0</v>
      </c>
      <c r="S39" s="59">
        <f t="array" ref="S39">IF(COUNTA(Q39:Q1644)=0,"",SUM((COUNTIF(Q$4:Q39,Upgrades!$B$3:$B$13)-COUNTIF(Q$4:Q39,"Sell_"&amp;Upgrades!$B$3:$B$13))*Upgrades!$D$3:$D$13))</f>
        <v>284.4</v>
      </c>
      <c r="T39" s="66">
        <f>IFERROR(__xludf.DUMMYFUNCTION("IF(COUNTA(Q39:Q1644)=0,"""",IF(REGEXMATCH(INDEX(FILTER(Q$4:Q39,Q$4:Q39&lt;&gt;""""),ROWS(FILTER(Q$4:Q39,Q$4:Q39&lt;&gt;""""))),""^Sell_""),INDEX(FILTER(T$4:T38,Q$4:Q38&lt;&gt;""""),ROWS(FILTER(Q$4:Q38,Q$4:Q38&lt;&gt;""""))),$AD$5+S39))"),294.4)</f>
        <v>294.4</v>
      </c>
      <c r="U39" s="10">
        <f>IFERROR(__xludf.DUMMYFUNCTION("IF(COUNTA(Q39:Q1644)=0,"""",IF(Q39="""",0,IF(REGEXMATCH(Q39,""^Sell_""),-ROUNDDOWN(ROUNDUP(INDEX(Upgrades!$C$3:$C$13,MATCH(SUBSTITUTE(Q39,""Sell_"",""""),Upgrades!$B$3:$B$13,0))*1.15^(COUNTIF(Q$4:Q38,SUBSTITUTE(Q39,""Sell_"",""""))-COUNTIF(Q$4:Q38,""Sell_"&amp;"""&amp;SUBSTITUTE(Q39,""Sell_"",""""))))/2),ROUNDUP(INDEX(Upgrades!$C$3:$C$13,MATCH(Q39,Upgrades!$B$3:$B$13,0))*1.15^(COUNTIF(Q$4:Q38,Q39)-COUNTIF(Q$4:Q38,""Sell_""&amp;Q39))))))"),17491.0)</f>
        <v>17491</v>
      </c>
      <c r="V39" s="10">
        <f t="shared" si="11"/>
        <v>17491</v>
      </c>
      <c r="W39" s="68">
        <f t="shared" si="12"/>
        <v>1000.578792</v>
      </c>
      <c r="X39" s="59" t="str">
        <f t="shared" si="13"/>
        <v>16m 40s</v>
      </c>
      <c r="Y39" s="69">
        <f t="shared" si="14"/>
        <v>93927</v>
      </c>
      <c r="Z39" s="11"/>
      <c r="AA39" s="73" t="s">
        <v>43</v>
      </c>
      <c r="AB39" s="74"/>
      <c r="AC39" s="77" t="str">
        <f>IF(AF1&lt;0,"YES","NO")</f>
        <v>YES</v>
      </c>
      <c r="AD39" s="102" t="s">
        <v>58</v>
      </c>
      <c r="AE39" s="103"/>
      <c r="AG39" s="59"/>
    </row>
    <row r="40">
      <c r="A40" s="8"/>
      <c r="B40" s="56">
        <f t="shared" si="2"/>
        <v>11</v>
      </c>
      <c r="C40" s="67" t="s">
        <v>5</v>
      </c>
      <c r="D40" s="10" t="b">
        <f>IFERROR(__xludf.DUMMYFUNCTION("IF(COUNTA(C40:C1644)=0,"""",IF(ISBLANK(C40),FALSE,IF(NOT(COUNTIF($AA$24:$AA$34,SUBSTITUTE(C40,""Sell_"",""""))),1,IF(REGEXMATCH(C40,""Sell_""),IF(COUNTIF(C$4:C40,SUBSTITUTE(C40,""Sell_"",""""))-COUNTIF(C$4:C39,C40)&lt;1,1),FALSE))))"),FALSE)</f>
        <v>0</v>
      </c>
      <c r="E40" s="59">
        <f t="array" ref="E40">IF(COUNTA(C40:C1644)=0,"",SUM((COUNTIF(C$4:C40,Upgrades!$B$3:$B$13)-COUNTIF(C$4:C40,"Sell_"&amp;Upgrades!$B$3:$B$13))*Upgrades!$D$3:$D$13))</f>
        <v>288.4</v>
      </c>
      <c r="F40" s="66">
        <f>IFERROR(__xludf.DUMMYFUNCTION("IF(COUNTA(C40:C1644)=0,"""",IF(REGEXMATCH(INDEX(FILTER(C$4:C40,C$4:C40&lt;&gt;""""),ROWS(FILTER(C$4:C40,C$4:C40&lt;&gt;""""))),""^Sell_""),INDEX(FILTER(F$4:F39,C$4:C39&lt;&gt;""""),ROWS(FILTER(C$4:C39,C$4:C39&lt;&gt;""""))),$AC$5+E40))"),298.4)</f>
        <v>298.4</v>
      </c>
      <c r="G40" s="10">
        <f>IFERROR(__xludf.DUMMYFUNCTION("IF(COUNTA(C40:C1644)=0,"""",IF(C40="""",0,IF(REGEXMATCH(C40,""^Sell_""),-ROUNDDOWN(ROUNDUP(INDEX(Upgrades!$C$3:$C$13,MATCH(SUBSTITUTE(C40,""Sell_"",""""),Upgrades!$B$3:$B$13,0))*1.15^(COUNTIF(C$4:C39,SUBSTITUTE(C40,""Sell_"",""""))-COUNTIF(C$4:C39,""Sell_"&amp;"""&amp;SUBSTITUTE(C40,""Sell_"",""""))))/2),ROUNDUP(INDEX(Upgrades!$C$3:$C$13,MATCH(C40,Upgrades!$B$3:$B$13,0))*1.15^(COUNTIF(C$4:C39,C40)-COUNTIF(C$4:C39,""Sell_""&amp;C40))))))"),2023.0)</f>
        <v>2023</v>
      </c>
      <c r="H40" s="10">
        <f t="shared" si="3"/>
        <v>2023</v>
      </c>
      <c r="I40" s="68">
        <f t="shared" si="4"/>
        <v>1007.450396</v>
      </c>
      <c r="J40" s="59" t="str">
        <f t="shared" si="5"/>
        <v>16m 47s</v>
      </c>
      <c r="K40" s="69">
        <f t="shared" si="6"/>
        <v>95950</v>
      </c>
      <c r="L40" s="60">
        <f t="shared" si="7"/>
        <v>0</v>
      </c>
      <c r="M40" s="61">
        <f>IFERROR(__xludf.DUMMYFUNCTION("IFS(AND(COUNTA(C40:C1644)=0,COUNTA(Q40:Q1644)=0),"""",OR(AND(K40&gt;=1000000000,OR(Y40&gt;=1000000000,COUNTA(Q40:Q1644)=0)),OR(Y40&gt;=1000000000,AND(COUNTA(C40:C1644)=0,P$3=TRUE))),
ROUNDDOWN((AB$1-AC$1)*MAX(INDEX(T$4:T1644,MATCH(LARGE(FILTER(Y$4:Y1644,Y$4:Y1644&lt;"&amp;"1000000000),1),Y$4:Y1644)),INDEX(F$4:F1644,MATCH(LARGE(FILTER(K$4:K1644,K$4:K1644&lt;1000000000),1),K$4:K1644)))),AND(K40&lt;1000000000,COUNTA(C40:C1644)&gt;0,P$3=FALSE),
ROUNDDOWN(INDEX(Y$4:Y1644,MATCH(LARGE(FILTER(W$4:W1644,W$4:W1644&lt;=I40),1),W$4:W1644))+(I40-LA"&amp;"RGE(FILTER(W$4:W1644,W$4:W1644&lt;=I40),1))*INDEX(T$4:T1644,MATCH(LARGE(FILTER(W$4:W1644,W$4:W1644&lt;=I40),1),W$4:W1644))-K40),1,
ROUNDDOWN(Y40-INDEX(K$4:K1644,MATCH(LARGE(FILTER(I$4:I1644,I$4:I1644&lt;=W40),1),I$4:I1644))-(W40-LARGE(FILTER(I$4:I1644,I$4:I1644&lt;=W"&amp;"40),1))*INDEX(F$4:F1644,MATCH(LARGE(FILTER(I$4:I1644,I$4:I1644&lt;=W40),1),I$4:I1644))))"),0.0)</f>
        <v>0</v>
      </c>
      <c r="N40" s="60">
        <f t="shared" si="8"/>
        <v>0</v>
      </c>
      <c r="O40" s="61">
        <f t="shared" si="9"/>
        <v>0</v>
      </c>
      <c r="P40" s="56">
        <f t="shared" si="10"/>
        <v>11</v>
      </c>
      <c r="Q40" s="67" t="s">
        <v>5</v>
      </c>
      <c r="R40" s="10" t="b">
        <f>IFERROR(__xludf.DUMMYFUNCTION("IF(COUNTA(Q40:Q1644)=0,"""",IF(ISBLANK(Q40),FALSE,IF(NOT(COUNTIF($AA$24:$AA$34,SUBSTITUTE(Q40,""Sell_"",""""))),1,IF(REGEXMATCH(Q40,""Sell_""),IF(COUNTIF(Q$4:Q40,SUBSTITUTE(Q40,""Sell_"",""""))-COUNTIF(Q$4:Q39,Q40)&lt;1,1),FALSE))))"),FALSE)</f>
        <v>0</v>
      </c>
      <c r="S40" s="59">
        <f t="array" ref="S40">IF(COUNTA(Q40:Q1644)=0,"",SUM((COUNTIF(Q$4:Q40,Upgrades!$B$3:$B$13)-COUNTIF(Q$4:Q40,"Sell_"&amp;Upgrades!$B$3:$B$13))*Upgrades!$D$3:$D$13))</f>
        <v>288.4</v>
      </c>
      <c r="T40" s="66">
        <f>IFERROR(__xludf.DUMMYFUNCTION("IF(COUNTA(Q40:Q1644)=0,"""",IF(REGEXMATCH(INDEX(FILTER(Q$4:Q40,Q$4:Q40&lt;&gt;""""),ROWS(FILTER(Q$4:Q40,Q$4:Q40&lt;&gt;""""))),""^Sell_""),INDEX(FILTER(T$4:T39,Q$4:Q39&lt;&gt;""""),ROWS(FILTER(Q$4:Q39,Q$4:Q39&lt;&gt;""""))),$AD$5+S40))"),298.4)</f>
        <v>298.4</v>
      </c>
      <c r="U40" s="10">
        <f>IFERROR(__xludf.DUMMYFUNCTION("IF(COUNTA(Q40:Q1644)=0,"""",IF(Q40="""",0,IF(REGEXMATCH(Q40,""^Sell_""),-ROUNDDOWN(ROUNDUP(INDEX(Upgrades!$C$3:$C$13,MATCH(SUBSTITUTE(Q40,""Sell_"",""""),Upgrades!$B$3:$B$13,0))*1.15^(COUNTIF(Q$4:Q39,SUBSTITUTE(Q40,""Sell_"",""""))-COUNTIF(Q$4:Q39,""Sell_"&amp;"""&amp;SUBSTITUTE(Q40,""Sell_"",""""))))/2),ROUNDUP(INDEX(Upgrades!$C$3:$C$13,MATCH(Q40,Upgrades!$B$3:$B$13,0))*1.15^(COUNTIF(Q$4:Q39,Q40)-COUNTIF(Q$4:Q39,""Sell_""&amp;Q40))))))"),2023.0)</f>
        <v>2023</v>
      </c>
      <c r="V40" s="10">
        <f t="shared" si="11"/>
        <v>2023</v>
      </c>
      <c r="W40" s="68">
        <f t="shared" si="12"/>
        <v>1007.450396</v>
      </c>
      <c r="X40" s="59" t="str">
        <f t="shared" si="13"/>
        <v>16m 47s</v>
      </c>
      <c r="Y40" s="69">
        <f t="shared" si="14"/>
        <v>95950</v>
      </c>
      <c r="Z40" s="11"/>
      <c r="AG40" s="59"/>
    </row>
    <row r="41">
      <c r="A41" s="8"/>
      <c r="B41" s="56">
        <f t="shared" si="2"/>
        <v>10</v>
      </c>
      <c r="C41" s="67" t="s">
        <v>3</v>
      </c>
      <c r="D41" s="10" t="b">
        <f>IFERROR(__xludf.DUMMYFUNCTION("IF(COUNTA(C41:C1644)=0,"""",IF(ISBLANK(C41),FALSE,IF(NOT(COUNTIF($AA$24:$AA$34,SUBSTITUTE(C41,""Sell_"",""""))),1,IF(REGEXMATCH(C41,""Sell_""),IF(COUNTIF(C$4:C41,SUBSTITUTE(C41,""Sell_"",""""))-COUNTIF(C$4:C40,C41)&lt;1,1),FALSE))))"),FALSE)</f>
        <v>0</v>
      </c>
      <c r="E41" s="59">
        <f t="array" ref="E41">IF(COUNTA(C41:C1644)=0,"",SUM((COUNTIF(C$4:C41,Upgrades!$B$3:$B$13)-COUNTIF(C$4:C41,"Sell_"&amp;Upgrades!$B$3:$B$13))*Upgrades!$D$3:$D$13))</f>
        <v>288.5</v>
      </c>
      <c r="F41" s="66">
        <f>IFERROR(__xludf.DUMMYFUNCTION("IF(COUNTA(C41:C1644)=0,"""",IF(REGEXMATCH(INDEX(FILTER(C$4:C41,C$4:C41&lt;&gt;""""),ROWS(FILTER(C$4:C41,C$4:C41&lt;&gt;""""))),""^Sell_""),INDEX(FILTER(F$4:F40,C$4:C40&lt;&gt;""""),ROWS(FILTER(C$4:C40,C$4:C40&lt;&gt;""""))),$AC$5+E41))"),298.5)</f>
        <v>298.5</v>
      </c>
      <c r="G41" s="10">
        <f>IFERROR(__xludf.DUMMYFUNCTION("IF(COUNTA(C41:C1644)=0,"""",IF(C41="""",0,IF(REGEXMATCH(C41,""^Sell_""),-ROUNDDOWN(ROUNDUP(INDEX(Upgrades!$C$3:$C$13,MATCH(SUBSTITUTE(C41,""Sell_"",""""),Upgrades!$B$3:$B$13,0))*1.15^(COUNTIF(C$4:C40,SUBSTITUTE(C41,""Sell_"",""""))-COUNTIF(C$4:C40,""Sell_"&amp;"""&amp;SUBSTITUTE(C41,""Sell_"",""""))))/2),ROUNDUP(INDEX(Upgrades!$C$3:$C$13,MATCH(C41,Upgrades!$B$3:$B$13,0))*1.15^(COUNTIF(C$4:C40,C41)-COUNTIF(C$4:C40,""Sell_""&amp;C41))))))"),53.0)</f>
        <v>53</v>
      </c>
      <c r="H41" s="10">
        <f t="shared" si="3"/>
        <v>53</v>
      </c>
      <c r="I41" s="68">
        <f t="shared" si="4"/>
        <v>1007.62801</v>
      </c>
      <c r="J41" s="59" t="str">
        <f t="shared" si="5"/>
        <v>16m 47s</v>
      </c>
      <c r="K41" s="69">
        <f t="shared" si="6"/>
        <v>96003</v>
      </c>
      <c r="L41" s="60">
        <f t="shared" si="7"/>
        <v>0</v>
      </c>
      <c r="M41" s="61">
        <f>IFERROR(__xludf.DUMMYFUNCTION("IFS(AND(COUNTA(C41:C1644)=0,COUNTA(Q41:Q1644)=0),"""",OR(AND(K41&gt;=1000000000,OR(Y41&gt;=1000000000,COUNTA(Q41:Q1644)=0)),OR(Y41&gt;=1000000000,AND(COUNTA(C41:C1644)=0,P$3=TRUE))),
ROUNDDOWN((AB$1-AC$1)*MAX(INDEX(T$4:T1644,MATCH(LARGE(FILTER(Y$4:Y1644,Y$4:Y1644&lt;"&amp;"1000000000),1),Y$4:Y1644)),INDEX(F$4:F1644,MATCH(LARGE(FILTER(K$4:K1644,K$4:K1644&lt;1000000000),1),K$4:K1644)))),AND(K41&lt;1000000000,COUNTA(C41:C1644)&gt;0,P$3=FALSE),
ROUNDDOWN(INDEX(Y$4:Y1644,MATCH(LARGE(FILTER(W$4:W1644,W$4:W1644&lt;=I41),1),W$4:W1644))+(I41-LA"&amp;"RGE(FILTER(W$4:W1644,W$4:W1644&lt;=I41),1))*INDEX(T$4:T1644,MATCH(LARGE(FILTER(W$4:W1644,W$4:W1644&lt;=I41),1),W$4:W1644))-K41),1,
ROUNDDOWN(Y41-INDEX(K$4:K1644,MATCH(LARGE(FILTER(I$4:I1644,I$4:I1644&lt;=W41),1),I$4:I1644))-(W41-LARGE(FILTER(I$4:I1644,I$4:I1644&lt;=W"&amp;"41),1))*INDEX(F$4:F1644,MATCH(LARGE(FILTER(I$4:I1644,I$4:I1644&lt;=W41),1),I$4:I1644))))"),0.0)</f>
        <v>0</v>
      </c>
      <c r="N41" s="60">
        <f t="shared" si="8"/>
        <v>0</v>
      </c>
      <c r="O41" s="61">
        <f t="shared" si="9"/>
        <v>0</v>
      </c>
      <c r="P41" s="56">
        <f t="shared" si="10"/>
        <v>10</v>
      </c>
      <c r="Q41" s="67" t="s">
        <v>3</v>
      </c>
      <c r="R41" s="10" t="b">
        <f>IFERROR(__xludf.DUMMYFUNCTION("IF(COUNTA(Q41:Q1644)=0,"""",IF(ISBLANK(Q41),FALSE,IF(NOT(COUNTIF($AA$24:$AA$34,SUBSTITUTE(Q41,""Sell_"",""""))),1,IF(REGEXMATCH(Q41,""Sell_""),IF(COUNTIF(Q$4:Q41,SUBSTITUTE(Q41,""Sell_"",""""))-COUNTIF(Q$4:Q40,Q41)&lt;1,1),FALSE))))"),FALSE)</f>
        <v>0</v>
      </c>
      <c r="S41" s="59">
        <f t="array" ref="S41">IF(COUNTA(Q41:Q1644)=0,"",SUM((COUNTIF(Q$4:Q41,Upgrades!$B$3:$B$13)-COUNTIF(Q$4:Q41,"Sell_"&amp;Upgrades!$B$3:$B$13))*Upgrades!$D$3:$D$13))</f>
        <v>288.5</v>
      </c>
      <c r="T41" s="66">
        <f>IFERROR(__xludf.DUMMYFUNCTION("IF(COUNTA(Q41:Q1644)=0,"""",IF(REGEXMATCH(INDEX(FILTER(Q$4:Q41,Q$4:Q41&lt;&gt;""""),ROWS(FILTER(Q$4:Q41,Q$4:Q41&lt;&gt;""""))),""^Sell_""),INDEX(FILTER(T$4:T40,Q$4:Q40&lt;&gt;""""),ROWS(FILTER(Q$4:Q40,Q$4:Q40&lt;&gt;""""))),$AD$5+S41))"),298.5)</f>
        <v>298.5</v>
      </c>
      <c r="U41" s="10">
        <f>IFERROR(__xludf.DUMMYFUNCTION("IF(COUNTA(Q41:Q1644)=0,"""",IF(Q41="""",0,IF(REGEXMATCH(Q41,""^Sell_""),-ROUNDDOWN(ROUNDUP(INDEX(Upgrades!$C$3:$C$13,MATCH(SUBSTITUTE(Q41,""Sell_"",""""),Upgrades!$B$3:$B$13,0))*1.15^(COUNTIF(Q$4:Q40,SUBSTITUTE(Q41,""Sell_"",""""))-COUNTIF(Q$4:Q40,""Sell_"&amp;"""&amp;SUBSTITUTE(Q41,""Sell_"",""""))))/2),ROUNDUP(INDEX(Upgrades!$C$3:$C$13,MATCH(Q41,Upgrades!$B$3:$B$13,0))*1.15^(COUNTIF(Q$4:Q40,Q41)-COUNTIF(Q$4:Q40,""Sell_""&amp;Q41))))))"),53.0)</f>
        <v>53</v>
      </c>
      <c r="V41" s="10">
        <f t="shared" si="11"/>
        <v>53</v>
      </c>
      <c r="W41" s="68">
        <f t="shared" si="12"/>
        <v>1007.62801</v>
      </c>
      <c r="X41" s="59" t="str">
        <f t="shared" si="13"/>
        <v>16m 47s</v>
      </c>
      <c r="Y41" s="69">
        <f t="shared" si="14"/>
        <v>96003</v>
      </c>
      <c r="Z41" s="11"/>
      <c r="AG41" s="59"/>
    </row>
    <row r="42">
      <c r="A42" s="8"/>
      <c r="B42" s="56">
        <f t="shared" si="2"/>
        <v>1</v>
      </c>
      <c r="C42" s="67" t="s">
        <v>8</v>
      </c>
      <c r="D42" s="10" t="b">
        <f>IFERROR(__xludf.DUMMYFUNCTION("IF(COUNTA(C42:C1644)=0,"""",IF(ISBLANK(C42),FALSE,IF(NOT(COUNTIF($AA$24:$AA$34,SUBSTITUTE(C42,""Sell_"",""""))),1,IF(REGEXMATCH(C42,""Sell_""),IF(COUNTIF(C$4:C42,SUBSTITUTE(C42,""Sell_"",""""))-COUNTIF(C$4:C41,C42)&lt;1,1),FALSE))))"),FALSE)</f>
        <v>0</v>
      </c>
      <c r="E42" s="59">
        <f t="array" ref="E42">IF(COUNTA(C42:C1644)=0,"",SUM((COUNTIF(C$4:C42,Upgrades!$B$3:$B$13)-COUNTIF(C$4:C42,"Sell_"&amp;Upgrades!$B$3:$B$13))*Upgrades!$D$3:$D$13))</f>
        <v>388.5</v>
      </c>
      <c r="F42" s="66">
        <f>IFERROR(__xludf.DUMMYFUNCTION("IF(COUNTA(C42:C1644)=0,"""",IF(REGEXMATCH(INDEX(FILTER(C$4:C42,C$4:C42&lt;&gt;""""),ROWS(FILTER(C$4:C42,C$4:C42&lt;&gt;""""))),""^Sell_""),INDEX(FILTER(F$4:F41,C$4:C41&lt;&gt;""""),ROWS(FILTER(C$4:C41,C$4:C41&lt;&gt;""""))),$AC$5+E42))"),398.5)</f>
        <v>398.5</v>
      </c>
      <c r="G42" s="10">
        <f>IFERROR(__xludf.DUMMYFUNCTION("IF(COUNTA(C42:C1644)=0,"""",IF(C42="""",0,IF(REGEXMATCH(C42,""^Sell_""),-ROUNDDOWN(ROUNDUP(INDEX(Upgrades!$C$3:$C$13,MATCH(SUBSTITUTE(C42,""Sell_"",""""),Upgrades!$B$3:$B$13,0))*1.15^(COUNTIF(C$4:C41,SUBSTITUTE(C42,""Sell_"",""""))-COUNTIF(C$4:C41,""Sell_"&amp;"""&amp;SUBSTITUTE(C42,""Sell_"",""""))))/2),ROUNDUP(INDEX(Upgrades!$C$3:$C$13,MATCH(C42,Upgrades!$B$3:$B$13,0))*1.15^(COUNTIF(C$4:C41,C42)-COUNTIF(C$4:C41,""Sell_""&amp;C42))))))"),40000.0)</f>
        <v>40000</v>
      </c>
      <c r="H42" s="10">
        <f t="shared" si="3"/>
        <v>40000</v>
      </c>
      <c r="I42" s="68">
        <f t="shared" si="4"/>
        <v>1141.63136</v>
      </c>
      <c r="J42" s="59" t="str">
        <f t="shared" si="5"/>
        <v>19m 01s</v>
      </c>
      <c r="K42" s="69">
        <f t="shared" si="6"/>
        <v>136003</v>
      </c>
      <c r="L42" s="60">
        <f t="shared" si="7"/>
        <v>0</v>
      </c>
      <c r="M42" s="61">
        <f>IFERROR(__xludf.DUMMYFUNCTION("IFS(AND(COUNTA(C42:C1644)=0,COUNTA(Q42:Q1644)=0),"""",OR(AND(K42&gt;=1000000000,OR(Y42&gt;=1000000000,COUNTA(Q42:Q1644)=0)),OR(Y42&gt;=1000000000,AND(COUNTA(C42:C1644)=0,P$3=TRUE))),
ROUNDDOWN((AB$1-AC$1)*MAX(INDEX(T$4:T1644,MATCH(LARGE(FILTER(Y$4:Y1644,Y$4:Y1644&lt;"&amp;"1000000000),1),Y$4:Y1644)),INDEX(F$4:F1644,MATCH(LARGE(FILTER(K$4:K1644,K$4:K1644&lt;1000000000),1),K$4:K1644)))),AND(K42&lt;1000000000,COUNTA(C42:C1644)&gt;0,P$3=FALSE),
ROUNDDOWN(INDEX(Y$4:Y1644,MATCH(LARGE(FILTER(W$4:W1644,W$4:W1644&lt;=I42),1),W$4:W1644))+(I42-LA"&amp;"RGE(FILTER(W$4:W1644,W$4:W1644&lt;=I42),1))*INDEX(T$4:T1644,MATCH(LARGE(FILTER(W$4:W1644,W$4:W1644&lt;=I42),1),W$4:W1644))-K42),1,
ROUNDDOWN(Y42-INDEX(K$4:K1644,MATCH(LARGE(FILTER(I$4:I1644,I$4:I1644&lt;=W42),1),I$4:I1644))-(W42-LARGE(FILTER(I$4:I1644,I$4:I1644&lt;=W"&amp;"42),1))*INDEX(F$4:F1644,MATCH(LARGE(FILTER(I$4:I1644,I$4:I1644&lt;=W42),1),I$4:I1644))))"),0.0)</f>
        <v>0</v>
      </c>
      <c r="N42" s="60">
        <f t="shared" si="8"/>
        <v>0</v>
      </c>
      <c r="O42" s="61">
        <f t="shared" si="9"/>
        <v>0</v>
      </c>
      <c r="P42" s="56">
        <f t="shared" si="10"/>
        <v>1</v>
      </c>
      <c r="Q42" s="67" t="s">
        <v>8</v>
      </c>
      <c r="R42" s="10" t="b">
        <f>IFERROR(__xludf.DUMMYFUNCTION("IF(COUNTA(Q42:Q1644)=0,"""",IF(ISBLANK(Q42),FALSE,IF(NOT(COUNTIF($AA$24:$AA$34,SUBSTITUTE(Q42,""Sell_"",""""))),1,IF(REGEXMATCH(Q42,""Sell_""),IF(COUNTIF(Q$4:Q42,SUBSTITUTE(Q42,""Sell_"",""""))-COUNTIF(Q$4:Q41,Q42)&lt;1,1),FALSE))))"),FALSE)</f>
        <v>0</v>
      </c>
      <c r="S42" s="59">
        <f t="array" ref="S42">IF(COUNTA(Q42:Q1644)=0,"",SUM((COUNTIF(Q$4:Q42,Upgrades!$B$3:$B$13)-COUNTIF(Q$4:Q42,"Sell_"&amp;Upgrades!$B$3:$B$13))*Upgrades!$D$3:$D$13))</f>
        <v>388.5</v>
      </c>
      <c r="T42" s="66">
        <f>IFERROR(__xludf.DUMMYFUNCTION("IF(COUNTA(Q42:Q1644)=0,"""",IF(REGEXMATCH(INDEX(FILTER(Q$4:Q42,Q$4:Q42&lt;&gt;""""),ROWS(FILTER(Q$4:Q42,Q$4:Q42&lt;&gt;""""))),""^Sell_""),INDEX(FILTER(T$4:T41,Q$4:Q41&lt;&gt;""""),ROWS(FILTER(Q$4:Q41,Q$4:Q41&lt;&gt;""""))),$AD$5+S42))"),398.5)</f>
        <v>398.5</v>
      </c>
      <c r="U42" s="10">
        <f>IFERROR(__xludf.DUMMYFUNCTION("IF(COUNTA(Q42:Q1644)=0,"""",IF(Q42="""",0,IF(REGEXMATCH(Q42,""^Sell_""),-ROUNDDOWN(ROUNDUP(INDEX(Upgrades!$C$3:$C$13,MATCH(SUBSTITUTE(Q42,""Sell_"",""""),Upgrades!$B$3:$B$13,0))*1.15^(COUNTIF(Q$4:Q41,SUBSTITUTE(Q42,""Sell_"",""""))-COUNTIF(Q$4:Q41,""Sell_"&amp;"""&amp;SUBSTITUTE(Q42,""Sell_"",""""))))/2),ROUNDUP(INDEX(Upgrades!$C$3:$C$13,MATCH(Q42,Upgrades!$B$3:$B$13,0))*1.15^(COUNTIF(Q$4:Q41,Q42)-COUNTIF(Q$4:Q41,""Sell_""&amp;Q42))))))"),40000.0)</f>
        <v>40000</v>
      </c>
      <c r="V42" s="10">
        <f t="shared" si="11"/>
        <v>40000</v>
      </c>
      <c r="W42" s="68">
        <f t="shared" si="12"/>
        <v>1141.63136</v>
      </c>
      <c r="X42" s="59" t="str">
        <f t="shared" si="13"/>
        <v>19m 01s</v>
      </c>
      <c r="Y42" s="69">
        <f t="shared" si="14"/>
        <v>136003</v>
      </c>
      <c r="Z42" s="11"/>
      <c r="AG42" s="59"/>
    </row>
    <row r="43">
      <c r="A43" s="8"/>
      <c r="B43" s="56">
        <f t="shared" si="2"/>
        <v>8</v>
      </c>
      <c r="C43" s="67" t="s">
        <v>4</v>
      </c>
      <c r="D43" s="10" t="b">
        <f>IFERROR(__xludf.DUMMYFUNCTION("IF(COUNTA(C43:C1644)=0,"""",IF(ISBLANK(C43),FALSE,IF(NOT(COUNTIF($AA$24:$AA$34,SUBSTITUTE(C43,""Sell_"",""""))),1,IF(REGEXMATCH(C43,""Sell_""),IF(COUNTIF(C$4:C43,SUBSTITUTE(C43,""Sell_"",""""))-COUNTIF(C$4:C42,C43)&lt;1,1),FALSE))))"),FALSE)</f>
        <v>0</v>
      </c>
      <c r="E43" s="59">
        <f t="array" ref="E43">IF(COUNTA(C43:C1644)=0,"",SUM((COUNTIF(C$4:C43,Upgrades!$B$3:$B$13)-COUNTIF(C$4:C43,"Sell_"&amp;Upgrades!$B$3:$B$13))*Upgrades!$D$3:$D$13))</f>
        <v>389</v>
      </c>
      <c r="F43" s="66">
        <f>IFERROR(__xludf.DUMMYFUNCTION("IF(COUNTA(C43:C1644)=0,"""",IF(REGEXMATCH(INDEX(FILTER(C$4:C43,C$4:C43&lt;&gt;""""),ROWS(FILTER(C$4:C43,C$4:C43&lt;&gt;""""))),""^Sell_""),INDEX(FILTER(F$4:F42,C$4:C42&lt;&gt;""""),ROWS(FILTER(C$4:C42,C$4:C42&lt;&gt;""""))),$AC$5+E43))"),399.0)</f>
        <v>399</v>
      </c>
      <c r="G43" s="10">
        <f>IFERROR(__xludf.DUMMYFUNCTION("IF(COUNTA(C43:C1644)=0,"""",IF(C43="""",0,IF(REGEXMATCH(C43,""^Sell_""),-ROUNDDOWN(ROUNDUP(INDEX(Upgrades!$C$3:$C$13,MATCH(SUBSTITUTE(C43,""Sell_"",""""),Upgrades!$B$3:$B$13,0))*1.15^(COUNTIF(C$4:C42,SUBSTITUTE(C43,""Sell_"",""""))-COUNTIF(C$4:C42,""Sell_"&amp;"""&amp;SUBSTITUTE(C43,""Sell_"",""""))))/2),ROUNDUP(INDEX(Upgrades!$C$3:$C$13,MATCH(C43,Upgrades!$B$3:$B$13,0))*1.15^(COUNTIF(C$4:C42,C43)-COUNTIF(C$4:C42,""Sell_""&amp;C43))))))"),267.0)</f>
        <v>267</v>
      </c>
      <c r="H43" s="10">
        <f t="shared" si="3"/>
        <v>267</v>
      </c>
      <c r="I43" s="68">
        <f t="shared" si="4"/>
        <v>1142.301372</v>
      </c>
      <c r="J43" s="59" t="str">
        <f t="shared" si="5"/>
        <v>19m 02s</v>
      </c>
      <c r="K43" s="69">
        <f t="shared" si="6"/>
        <v>136270</v>
      </c>
      <c r="L43" s="60">
        <f t="shared" si="7"/>
        <v>0</v>
      </c>
      <c r="M43" s="61">
        <f>IFERROR(__xludf.DUMMYFUNCTION("IFS(AND(COUNTA(C43:C1644)=0,COUNTA(Q43:Q1644)=0),"""",OR(AND(K43&gt;=1000000000,OR(Y43&gt;=1000000000,COUNTA(Q43:Q1644)=0)),OR(Y43&gt;=1000000000,AND(COUNTA(C43:C1644)=0,P$3=TRUE))),
ROUNDDOWN((AB$1-AC$1)*MAX(INDEX(T$4:T1644,MATCH(LARGE(FILTER(Y$4:Y1644,Y$4:Y1644&lt;"&amp;"1000000000),1),Y$4:Y1644)),INDEX(F$4:F1644,MATCH(LARGE(FILTER(K$4:K1644,K$4:K1644&lt;1000000000),1),K$4:K1644)))),AND(K43&lt;1000000000,COUNTA(C43:C1644)&gt;0,P$3=FALSE),
ROUNDDOWN(INDEX(Y$4:Y1644,MATCH(LARGE(FILTER(W$4:W1644,W$4:W1644&lt;=I43),1),W$4:W1644))+(I43-LA"&amp;"RGE(FILTER(W$4:W1644,W$4:W1644&lt;=I43),1))*INDEX(T$4:T1644,MATCH(LARGE(FILTER(W$4:W1644,W$4:W1644&lt;=I43),1),W$4:W1644))-K43),1,
ROUNDDOWN(Y43-INDEX(K$4:K1644,MATCH(LARGE(FILTER(I$4:I1644,I$4:I1644&lt;=W43),1),I$4:I1644))-(W43-LARGE(FILTER(I$4:I1644,I$4:I1644&lt;=W"&amp;"43),1))*INDEX(F$4:F1644,MATCH(LARGE(FILTER(I$4:I1644,I$4:I1644&lt;=W43),1),I$4:I1644))))"),0.0)</f>
        <v>0</v>
      </c>
      <c r="N43" s="60">
        <f t="shared" si="8"/>
        <v>0</v>
      </c>
      <c r="O43" s="61">
        <f t="shared" si="9"/>
        <v>0</v>
      </c>
      <c r="P43" s="56">
        <f t="shared" si="10"/>
        <v>8</v>
      </c>
      <c r="Q43" s="67" t="s">
        <v>4</v>
      </c>
      <c r="R43" s="10" t="b">
        <f>IFERROR(__xludf.DUMMYFUNCTION("IF(COUNTA(Q43:Q1644)=0,"""",IF(ISBLANK(Q43),FALSE,IF(NOT(COUNTIF($AA$24:$AA$34,SUBSTITUTE(Q43,""Sell_"",""""))),1,IF(REGEXMATCH(Q43,""Sell_""),IF(COUNTIF(Q$4:Q43,SUBSTITUTE(Q43,""Sell_"",""""))-COUNTIF(Q$4:Q42,Q43)&lt;1,1),FALSE))))"),FALSE)</f>
        <v>0</v>
      </c>
      <c r="S43" s="59">
        <f t="array" ref="S43">IF(COUNTA(Q43:Q1644)=0,"",SUM((COUNTIF(Q$4:Q43,Upgrades!$B$3:$B$13)-COUNTIF(Q$4:Q43,"Sell_"&amp;Upgrades!$B$3:$B$13))*Upgrades!$D$3:$D$13))</f>
        <v>389</v>
      </c>
      <c r="T43" s="66">
        <f>IFERROR(__xludf.DUMMYFUNCTION("IF(COUNTA(Q43:Q1644)=0,"""",IF(REGEXMATCH(INDEX(FILTER(Q$4:Q43,Q$4:Q43&lt;&gt;""""),ROWS(FILTER(Q$4:Q43,Q$4:Q43&lt;&gt;""""))),""^Sell_""),INDEX(FILTER(T$4:T42,Q$4:Q42&lt;&gt;""""),ROWS(FILTER(Q$4:Q42,Q$4:Q42&lt;&gt;""""))),$AD$5+S43))"),399.0)</f>
        <v>399</v>
      </c>
      <c r="U43" s="10">
        <f>IFERROR(__xludf.DUMMYFUNCTION("IF(COUNTA(Q43:Q1644)=0,"""",IF(Q43="""",0,IF(REGEXMATCH(Q43,""^Sell_""),-ROUNDDOWN(ROUNDUP(INDEX(Upgrades!$C$3:$C$13,MATCH(SUBSTITUTE(Q43,""Sell_"",""""),Upgrades!$B$3:$B$13,0))*1.15^(COUNTIF(Q$4:Q42,SUBSTITUTE(Q43,""Sell_"",""""))-COUNTIF(Q$4:Q42,""Sell_"&amp;"""&amp;SUBSTITUTE(Q43,""Sell_"",""""))))/2),ROUNDUP(INDEX(Upgrades!$C$3:$C$13,MATCH(Q43,Upgrades!$B$3:$B$13,0))*1.15^(COUNTIF(Q$4:Q42,Q43)-COUNTIF(Q$4:Q42,""Sell_""&amp;Q43))))))"),267.0)</f>
        <v>267</v>
      </c>
      <c r="V43" s="10">
        <f t="shared" si="11"/>
        <v>267</v>
      </c>
      <c r="W43" s="68">
        <f t="shared" si="12"/>
        <v>1142.301372</v>
      </c>
      <c r="X43" s="59" t="str">
        <f t="shared" si="13"/>
        <v>19m 02s</v>
      </c>
      <c r="Y43" s="69">
        <f t="shared" si="14"/>
        <v>136270</v>
      </c>
      <c r="Z43" s="11"/>
      <c r="AG43" s="59"/>
    </row>
    <row r="44">
      <c r="A44" s="8"/>
      <c r="B44" s="56">
        <f t="shared" si="2"/>
        <v>5</v>
      </c>
      <c r="C44" s="67" t="s">
        <v>6</v>
      </c>
      <c r="D44" s="10" t="b">
        <f>IFERROR(__xludf.DUMMYFUNCTION("IF(COUNTA(C44:C1644)=0,"""",IF(ISBLANK(C44),FALSE,IF(NOT(COUNTIF($AA$24:$AA$34,SUBSTITUTE(C44,""Sell_"",""""))),1,IF(REGEXMATCH(C44,""Sell_""),IF(COUNTIF(C$4:C44,SUBSTITUTE(C44,""Sell_"",""""))-COUNTIF(C$4:C43,C44)&lt;1,1),FALSE))))"),FALSE)</f>
        <v>0</v>
      </c>
      <c r="E44" s="59">
        <f t="array" ref="E44">IF(COUNTA(C44:C1644)=0,"",SUM((COUNTIF(C$4:C44,Upgrades!$B$3:$B$13)-COUNTIF(C$4:C44,"Sell_"&amp;Upgrades!$B$3:$B$13))*Upgrades!$D$3:$D$13))</f>
        <v>399</v>
      </c>
      <c r="F44" s="66">
        <f>IFERROR(__xludf.DUMMYFUNCTION("IF(COUNTA(C44:C1644)=0,"""",IF(REGEXMATCH(INDEX(FILTER(C$4:C44,C$4:C44&lt;&gt;""""),ROWS(FILTER(C$4:C44,C$4:C44&lt;&gt;""""))),""^Sell_""),INDEX(FILTER(F$4:F43,C$4:C43&lt;&gt;""""),ROWS(FILTER(C$4:C43,C$4:C43&lt;&gt;""""))),$AC$5+E44))"),409.0)</f>
        <v>409</v>
      </c>
      <c r="G44" s="10">
        <f>IFERROR(__xludf.DUMMYFUNCTION("IF(COUNTA(C44:C1644)=0,"""",IF(C44="""",0,IF(REGEXMATCH(C44,""^Sell_""),-ROUNDDOWN(ROUNDUP(INDEX(Upgrades!$C$3:$C$13,MATCH(SUBSTITUTE(C44,""Sell_"",""""),Upgrades!$B$3:$B$13,0))*1.15^(COUNTIF(C$4:C43,SUBSTITUTE(C44,""Sell_"",""""))-COUNTIF(C$4:C43,""Sell_"&amp;"""&amp;SUBSTITUTE(C44,""Sell_"",""""))))/2),ROUNDUP(INDEX(Upgrades!$C$3:$C$13,MATCH(C44,Upgrades!$B$3:$B$13,0))*1.15^(COUNTIF(C$4:C43,C44)-COUNTIF(C$4:C43,""Sell_""&amp;C44))))))"),5248.0)</f>
        <v>5248</v>
      </c>
      <c r="H44" s="10">
        <f t="shared" si="3"/>
        <v>5248</v>
      </c>
      <c r="I44" s="68">
        <f t="shared" si="4"/>
        <v>1155.454254</v>
      </c>
      <c r="J44" s="59" t="str">
        <f t="shared" si="5"/>
        <v>19m 15s</v>
      </c>
      <c r="K44" s="69">
        <f t="shared" si="6"/>
        <v>141518</v>
      </c>
      <c r="L44" s="60">
        <f t="shared" si="7"/>
        <v>0</v>
      </c>
      <c r="M44" s="61">
        <f>IFERROR(__xludf.DUMMYFUNCTION("IFS(AND(COUNTA(C44:C1644)=0,COUNTA(Q44:Q1644)=0),"""",OR(AND(K44&gt;=1000000000,OR(Y44&gt;=1000000000,COUNTA(Q44:Q1644)=0)),OR(Y44&gt;=1000000000,AND(COUNTA(C44:C1644)=0,P$3=TRUE))),
ROUNDDOWN((AB$1-AC$1)*MAX(INDEX(T$4:T1644,MATCH(LARGE(FILTER(Y$4:Y1644,Y$4:Y1644&lt;"&amp;"1000000000),1),Y$4:Y1644)),INDEX(F$4:F1644,MATCH(LARGE(FILTER(K$4:K1644,K$4:K1644&lt;1000000000),1),K$4:K1644)))),AND(K44&lt;1000000000,COUNTA(C44:C1644)&gt;0,P$3=FALSE),
ROUNDDOWN(INDEX(Y$4:Y1644,MATCH(LARGE(FILTER(W$4:W1644,W$4:W1644&lt;=I44),1),W$4:W1644))+(I44-LA"&amp;"RGE(FILTER(W$4:W1644,W$4:W1644&lt;=I44),1))*INDEX(T$4:T1644,MATCH(LARGE(FILTER(W$4:W1644,W$4:W1644&lt;=I44),1),W$4:W1644))-K44),1,
ROUNDDOWN(Y44-INDEX(K$4:K1644,MATCH(LARGE(FILTER(I$4:I1644,I$4:I1644&lt;=W44),1),I$4:I1644))-(W44-LARGE(FILTER(I$4:I1644,I$4:I1644&lt;=W"&amp;"44),1))*INDEX(F$4:F1644,MATCH(LARGE(FILTER(I$4:I1644,I$4:I1644&lt;=W44),1),I$4:I1644))))"),0.0)</f>
        <v>0</v>
      </c>
      <c r="N44" s="60">
        <f t="shared" si="8"/>
        <v>0</v>
      </c>
      <c r="O44" s="61">
        <f t="shared" si="9"/>
        <v>0</v>
      </c>
      <c r="P44" s="56">
        <f t="shared" si="10"/>
        <v>5</v>
      </c>
      <c r="Q44" s="67" t="s">
        <v>6</v>
      </c>
      <c r="R44" s="10" t="b">
        <f>IFERROR(__xludf.DUMMYFUNCTION("IF(COUNTA(Q44:Q1644)=0,"""",IF(ISBLANK(Q44),FALSE,IF(NOT(COUNTIF($AA$24:$AA$34,SUBSTITUTE(Q44,""Sell_"",""""))),1,IF(REGEXMATCH(Q44,""Sell_""),IF(COUNTIF(Q$4:Q44,SUBSTITUTE(Q44,""Sell_"",""""))-COUNTIF(Q$4:Q43,Q44)&lt;1,1),FALSE))))"),FALSE)</f>
        <v>0</v>
      </c>
      <c r="S44" s="59">
        <f t="array" ref="S44">IF(COUNTA(Q44:Q1644)=0,"",SUM((COUNTIF(Q$4:Q44,Upgrades!$B$3:$B$13)-COUNTIF(Q$4:Q44,"Sell_"&amp;Upgrades!$B$3:$B$13))*Upgrades!$D$3:$D$13))</f>
        <v>399</v>
      </c>
      <c r="T44" s="66">
        <f>IFERROR(__xludf.DUMMYFUNCTION("IF(COUNTA(Q44:Q1644)=0,"""",IF(REGEXMATCH(INDEX(FILTER(Q$4:Q44,Q$4:Q44&lt;&gt;""""),ROWS(FILTER(Q$4:Q44,Q$4:Q44&lt;&gt;""""))),""^Sell_""),INDEX(FILTER(T$4:T43,Q$4:Q43&lt;&gt;""""),ROWS(FILTER(Q$4:Q43,Q$4:Q43&lt;&gt;""""))),$AD$5+S44))"),409.0)</f>
        <v>409</v>
      </c>
      <c r="U44" s="10">
        <f>IFERROR(__xludf.DUMMYFUNCTION("IF(COUNTA(Q44:Q1644)=0,"""",IF(Q44="""",0,IF(REGEXMATCH(Q44,""^Sell_""),-ROUNDDOWN(ROUNDUP(INDEX(Upgrades!$C$3:$C$13,MATCH(SUBSTITUTE(Q44,""Sell_"",""""),Upgrades!$B$3:$B$13,0))*1.15^(COUNTIF(Q$4:Q43,SUBSTITUTE(Q44,""Sell_"",""""))-COUNTIF(Q$4:Q43,""Sell_"&amp;"""&amp;SUBSTITUTE(Q44,""Sell_"",""""))))/2),ROUNDUP(INDEX(Upgrades!$C$3:$C$13,MATCH(Q44,Upgrades!$B$3:$B$13,0))*1.15^(COUNTIF(Q$4:Q43,Q44)-COUNTIF(Q$4:Q43,""Sell_""&amp;Q44))))))"),5248.0)</f>
        <v>5248</v>
      </c>
      <c r="V44" s="10">
        <f t="shared" si="11"/>
        <v>5248</v>
      </c>
      <c r="W44" s="68">
        <f t="shared" si="12"/>
        <v>1155.454254</v>
      </c>
      <c r="X44" s="59" t="str">
        <f t="shared" si="13"/>
        <v>19m 15s</v>
      </c>
      <c r="Y44" s="69">
        <f t="shared" si="14"/>
        <v>141518</v>
      </c>
      <c r="Z44" s="11"/>
      <c r="AG44" s="59"/>
    </row>
    <row r="45">
      <c r="A45" s="8"/>
      <c r="B45" s="56">
        <f t="shared" si="2"/>
        <v>6</v>
      </c>
      <c r="C45" s="67" t="s">
        <v>7</v>
      </c>
      <c r="D45" s="10" t="b">
        <f>IFERROR(__xludf.DUMMYFUNCTION("IF(COUNTA(C45:C1644)=0,"""",IF(ISBLANK(C45),FALSE,IF(NOT(COUNTIF($AA$24:$AA$34,SUBSTITUTE(C45,""Sell_"",""""))),1,IF(REGEXMATCH(C45,""Sell_""),IF(COUNTIF(C$4:C45,SUBSTITUTE(C45,""Sell_"",""""))-COUNTIF(C$4:C44,C45)&lt;1,1),FALSE))))"),FALSE)</f>
        <v>0</v>
      </c>
      <c r="E45" s="59">
        <f t="array" ref="E45">IF(COUNTA(C45:C1644)=0,"",SUM((COUNTIF(C$4:C45,Upgrades!$B$3:$B$13)-COUNTIF(C$4:C45,"Sell_"&amp;Upgrades!$B$3:$B$13))*Upgrades!$D$3:$D$13))</f>
        <v>439</v>
      </c>
      <c r="F45" s="66">
        <f>IFERROR(__xludf.DUMMYFUNCTION("IF(COUNTA(C45:C1644)=0,"""",IF(REGEXMATCH(INDEX(FILTER(C$4:C45,C$4:C45&lt;&gt;""""),ROWS(FILTER(C$4:C45,C$4:C45&lt;&gt;""""))),""^Sell_""),INDEX(FILTER(F$4:F44,C$4:C44&lt;&gt;""""),ROWS(FILTER(C$4:C44,C$4:C44&lt;&gt;""""))),$AC$5+E45))"),449.0)</f>
        <v>449</v>
      </c>
      <c r="G45" s="10">
        <f>IFERROR(__xludf.DUMMYFUNCTION("IF(COUNTA(C45:C1644)=0,"""",IF(C45="""",0,IF(REGEXMATCH(C45,""^Sell_""),-ROUNDDOWN(ROUNDUP(INDEX(Upgrades!$C$3:$C$13,MATCH(SUBSTITUTE(C45,""Sell_"",""""),Upgrades!$B$3:$B$13,0))*1.15^(COUNTIF(C$4:C44,SUBSTITUTE(C45,""Sell_"",""""))-COUNTIF(C$4:C44,""Sell_"&amp;"""&amp;SUBSTITUTE(C45,""Sell_"",""""))))/2),ROUNDUP(INDEX(Upgrades!$C$3:$C$13,MATCH(C45,Upgrades!$B$3:$B$13,0))*1.15^(COUNTIF(C$4:C44,C45)-COUNTIF(C$4:C44,""Sell_""&amp;C45))))))"),20114.0)</f>
        <v>20114</v>
      </c>
      <c r="H45" s="10">
        <f t="shared" si="3"/>
        <v>20114</v>
      </c>
      <c r="I45" s="68">
        <f t="shared" si="4"/>
        <v>1204.632739</v>
      </c>
      <c r="J45" s="59" t="str">
        <f t="shared" si="5"/>
        <v>20m 04s</v>
      </c>
      <c r="K45" s="69">
        <f t="shared" si="6"/>
        <v>161632</v>
      </c>
      <c r="L45" s="60">
        <f t="shared" si="7"/>
        <v>0</v>
      </c>
      <c r="M45" s="61">
        <f>IFERROR(__xludf.DUMMYFUNCTION("IFS(AND(COUNTA(C45:C1644)=0,COUNTA(Q45:Q1644)=0),"""",OR(AND(K45&gt;=1000000000,OR(Y45&gt;=1000000000,COUNTA(Q45:Q1644)=0)),OR(Y45&gt;=1000000000,AND(COUNTA(C45:C1644)=0,P$3=TRUE))),
ROUNDDOWN((AB$1-AC$1)*MAX(INDEX(T$4:T1644,MATCH(LARGE(FILTER(Y$4:Y1644,Y$4:Y1644&lt;"&amp;"1000000000),1),Y$4:Y1644)),INDEX(F$4:F1644,MATCH(LARGE(FILTER(K$4:K1644,K$4:K1644&lt;1000000000),1),K$4:K1644)))),AND(K45&lt;1000000000,COUNTA(C45:C1644)&gt;0,P$3=FALSE),
ROUNDDOWN(INDEX(Y$4:Y1644,MATCH(LARGE(FILTER(W$4:W1644,W$4:W1644&lt;=I45),1),W$4:W1644))+(I45-LA"&amp;"RGE(FILTER(W$4:W1644,W$4:W1644&lt;=I45),1))*INDEX(T$4:T1644,MATCH(LARGE(FILTER(W$4:W1644,W$4:W1644&lt;=I45),1),W$4:W1644))-K45),1,
ROUNDDOWN(Y45-INDEX(K$4:K1644,MATCH(LARGE(FILTER(I$4:I1644,I$4:I1644&lt;=W45),1),I$4:I1644))-(W45-LARGE(FILTER(I$4:I1644,I$4:I1644&lt;=W"&amp;"45),1))*INDEX(F$4:F1644,MATCH(LARGE(FILTER(I$4:I1644,I$4:I1644&lt;=W45),1),I$4:I1644))))"),0.0)</f>
        <v>0</v>
      </c>
      <c r="N45" s="60">
        <f t="shared" si="8"/>
        <v>0</v>
      </c>
      <c r="O45" s="61">
        <f t="shared" si="9"/>
        <v>0</v>
      </c>
      <c r="P45" s="56">
        <f t="shared" si="10"/>
        <v>6</v>
      </c>
      <c r="Q45" s="67" t="s">
        <v>7</v>
      </c>
      <c r="R45" s="10" t="b">
        <f>IFERROR(__xludf.DUMMYFUNCTION("IF(COUNTA(Q45:Q1644)=0,"""",IF(ISBLANK(Q45),FALSE,IF(NOT(COUNTIF($AA$24:$AA$34,SUBSTITUTE(Q45,""Sell_"",""""))),1,IF(REGEXMATCH(Q45,""Sell_""),IF(COUNTIF(Q$4:Q45,SUBSTITUTE(Q45,""Sell_"",""""))-COUNTIF(Q$4:Q44,Q45)&lt;1,1),FALSE))))"),FALSE)</f>
        <v>0</v>
      </c>
      <c r="S45" s="59">
        <f t="array" ref="S45">IF(COUNTA(Q45:Q1644)=0,"",SUM((COUNTIF(Q$4:Q45,Upgrades!$B$3:$B$13)-COUNTIF(Q$4:Q45,"Sell_"&amp;Upgrades!$B$3:$B$13))*Upgrades!$D$3:$D$13))</f>
        <v>439</v>
      </c>
      <c r="T45" s="66">
        <f>IFERROR(__xludf.DUMMYFUNCTION("IF(COUNTA(Q45:Q1644)=0,"""",IF(REGEXMATCH(INDEX(FILTER(Q$4:Q45,Q$4:Q45&lt;&gt;""""),ROWS(FILTER(Q$4:Q45,Q$4:Q45&lt;&gt;""""))),""^Sell_""),INDEX(FILTER(T$4:T44,Q$4:Q44&lt;&gt;""""),ROWS(FILTER(Q$4:Q44,Q$4:Q44&lt;&gt;""""))),$AD$5+S45))"),449.0)</f>
        <v>449</v>
      </c>
      <c r="U45" s="10">
        <f>IFERROR(__xludf.DUMMYFUNCTION("IF(COUNTA(Q45:Q1644)=0,"""",IF(Q45="""",0,IF(REGEXMATCH(Q45,""^Sell_""),-ROUNDDOWN(ROUNDUP(INDEX(Upgrades!$C$3:$C$13,MATCH(SUBSTITUTE(Q45,""Sell_"",""""),Upgrades!$B$3:$B$13,0))*1.15^(COUNTIF(Q$4:Q44,SUBSTITUTE(Q45,""Sell_"",""""))-COUNTIF(Q$4:Q44,""Sell_"&amp;"""&amp;SUBSTITUTE(Q45,""Sell_"",""""))))/2),ROUNDUP(INDEX(Upgrades!$C$3:$C$13,MATCH(Q45,Upgrades!$B$3:$B$13,0))*1.15^(COUNTIF(Q$4:Q44,Q45)-COUNTIF(Q$4:Q44,""Sell_""&amp;Q45))))))"),20114.0)</f>
        <v>20114</v>
      </c>
      <c r="V45" s="10">
        <f t="shared" si="11"/>
        <v>20114</v>
      </c>
      <c r="W45" s="68">
        <f t="shared" si="12"/>
        <v>1204.632739</v>
      </c>
      <c r="X45" s="59" t="str">
        <f t="shared" si="13"/>
        <v>20m 04s</v>
      </c>
      <c r="Y45" s="69">
        <f t="shared" si="14"/>
        <v>161632</v>
      </c>
      <c r="Z45" s="11"/>
      <c r="AG45" s="59"/>
    </row>
    <row r="46">
      <c r="A46" s="8"/>
      <c r="B46" s="56">
        <f t="shared" si="2"/>
        <v>2</v>
      </c>
      <c r="C46" s="67" t="s">
        <v>8</v>
      </c>
      <c r="D46" s="10" t="b">
        <f>IFERROR(__xludf.DUMMYFUNCTION("IF(COUNTA(C46:C1644)=0,"""",IF(ISBLANK(C46),FALSE,IF(NOT(COUNTIF($AA$24:$AA$34,SUBSTITUTE(C46,""Sell_"",""""))),1,IF(REGEXMATCH(C46,""Sell_""),IF(COUNTIF(C$4:C46,SUBSTITUTE(C46,""Sell_"",""""))-COUNTIF(C$4:C45,C46)&lt;1,1),FALSE))))"),FALSE)</f>
        <v>0</v>
      </c>
      <c r="E46" s="59">
        <f t="array" ref="E46">IF(COUNTA(C46:C1644)=0,"",SUM((COUNTIF(C$4:C46,Upgrades!$B$3:$B$13)-COUNTIF(C$4:C46,"Sell_"&amp;Upgrades!$B$3:$B$13))*Upgrades!$D$3:$D$13))</f>
        <v>539</v>
      </c>
      <c r="F46" s="66">
        <f>IFERROR(__xludf.DUMMYFUNCTION("IF(COUNTA(C46:C1644)=0,"""",IF(REGEXMATCH(INDEX(FILTER(C$4:C46,C$4:C46&lt;&gt;""""),ROWS(FILTER(C$4:C46,C$4:C46&lt;&gt;""""))),""^Sell_""),INDEX(FILTER(F$4:F45,C$4:C45&lt;&gt;""""),ROWS(FILTER(C$4:C45,C$4:C45&lt;&gt;""""))),$AC$5+E46))"),549.0)</f>
        <v>549</v>
      </c>
      <c r="G46" s="10">
        <f>IFERROR(__xludf.DUMMYFUNCTION("IF(COUNTA(C46:C1644)=0,"""",IF(C46="""",0,IF(REGEXMATCH(C46,""^Sell_""),-ROUNDDOWN(ROUNDUP(INDEX(Upgrades!$C$3:$C$13,MATCH(SUBSTITUTE(C46,""Sell_"",""""),Upgrades!$B$3:$B$13,0))*1.15^(COUNTIF(C$4:C45,SUBSTITUTE(C46,""Sell_"",""""))-COUNTIF(C$4:C45,""Sell_"&amp;"""&amp;SUBSTITUTE(C46,""Sell_"",""""))))/2),ROUNDUP(INDEX(Upgrades!$C$3:$C$13,MATCH(C46,Upgrades!$B$3:$B$13,0))*1.15^(COUNTIF(C$4:C45,C46)-COUNTIF(C$4:C45,""Sell_""&amp;C46))))))"),46000.0)</f>
        <v>46000</v>
      </c>
      <c r="H46" s="10">
        <f t="shared" si="3"/>
        <v>46000</v>
      </c>
      <c r="I46" s="68">
        <f t="shared" si="4"/>
        <v>1307.082627</v>
      </c>
      <c r="J46" s="59" t="str">
        <f t="shared" si="5"/>
        <v>21m 47s</v>
      </c>
      <c r="K46" s="69">
        <f t="shared" si="6"/>
        <v>207632</v>
      </c>
      <c r="L46" s="60">
        <f t="shared" si="7"/>
        <v>0</v>
      </c>
      <c r="M46" s="61">
        <f>IFERROR(__xludf.DUMMYFUNCTION("IFS(AND(COUNTA(C46:C1644)=0,COUNTA(Q46:Q1644)=0),"""",OR(AND(K46&gt;=1000000000,OR(Y46&gt;=1000000000,COUNTA(Q46:Q1644)=0)),OR(Y46&gt;=1000000000,AND(COUNTA(C46:C1644)=0,P$3=TRUE))),
ROUNDDOWN((AB$1-AC$1)*MAX(INDEX(T$4:T1644,MATCH(LARGE(FILTER(Y$4:Y1644,Y$4:Y1644&lt;"&amp;"1000000000),1),Y$4:Y1644)),INDEX(F$4:F1644,MATCH(LARGE(FILTER(K$4:K1644,K$4:K1644&lt;1000000000),1),K$4:K1644)))),AND(K46&lt;1000000000,COUNTA(C46:C1644)&gt;0,P$3=FALSE),
ROUNDDOWN(INDEX(Y$4:Y1644,MATCH(LARGE(FILTER(W$4:W1644,W$4:W1644&lt;=I46),1),W$4:W1644))+(I46-LA"&amp;"RGE(FILTER(W$4:W1644,W$4:W1644&lt;=I46),1))*INDEX(T$4:T1644,MATCH(LARGE(FILTER(W$4:W1644,W$4:W1644&lt;=I46),1),W$4:W1644))-K46),1,
ROUNDDOWN(Y46-INDEX(K$4:K1644,MATCH(LARGE(FILTER(I$4:I1644,I$4:I1644&lt;=W46),1),I$4:I1644))-(W46-LARGE(FILTER(I$4:I1644,I$4:I1644&lt;=W"&amp;"46),1))*INDEX(F$4:F1644,MATCH(LARGE(FILTER(I$4:I1644,I$4:I1644&lt;=W46),1),I$4:I1644))))"),0.0)</f>
        <v>0</v>
      </c>
      <c r="N46" s="60">
        <f t="shared" si="8"/>
        <v>0</v>
      </c>
      <c r="O46" s="61">
        <f t="shared" si="9"/>
        <v>0</v>
      </c>
      <c r="P46" s="56">
        <f t="shared" si="10"/>
        <v>2</v>
      </c>
      <c r="Q46" s="67" t="s">
        <v>8</v>
      </c>
      <c r="R46" s="10" t="b">
        <f>IFERROR(__xludf.DUMMYFUNCTION("IF(COUNTA(Q46:Q1644)=0,"""",IF(ISBLANK(Q46),FALSE,IF(NOT(COUNTIF($AA$24:$AA$34,SUBSTITUTE(Q46,""Sell_"",""""))),1,IF(REGEXMATCH(Q46,""Sell_""),IF(COUNTIF(Q$4:Q46,SUBSTITUTE(Q46,""Sell_"",""""))-COUNTIF(Q$4:Q45,Q46)&lt;1,1),FALSE))))"),FALSE)</f>
        <v>0</v>
      </c>
      <c r="S46" s="59">
        <f t="array" ref="S46">IF(COUNTA(Q46:Q1644)=0,"",SUM((COUNTIF(Q$4:Q46,Upgrades!$B$3:$B$13)-COUNTIF(Q$4:Q46,"Sell_"&amp;Upgrades!$B$3:$B$13))*Upgrades!$D$3:$D$13))</f>
        <v>539</v>
      </c>
      <c r="T46" s="66">
        <f>IFERROR(__xludf.DUMMYFUNCTION("IF(COUNTA(Q46:Q1644)=0,"""",IF(REGEXMATCH(INDEX(FILTER(Q$4:Q46,Q$4:Q46&lt;&gt;""""),ROWS(FILTER(Q$4:Q46,Q$4:Q46&lt;&gt;""""))),""^Sell_""),INDEX(FILTER(T$4:T45,Q$4:Q45&lt;&gt;""""),ROWS(FILTER(Q$4:Q45,Q$4:Q45&lt;&gt;""""))),$AD$5+S46))"),549.0)</f>
        <v>549</v>
      </c>
      <c r="U46" s="10">
        <f>IFERROR(__xludf.DUMMYFUNCTION("IF(COUNTA(Q46:Q1644)=0,"""",IF(Q46="""",0,IF(REGEXMATCH(Q46,""^Sell_""),-ROUNDDOWN(ROUNDUP(INDEX(Upgrades!$C$3:$C$13,MATCH(SUBSTITUTE(Q46,""Sell_"",""""),Upgrades!$B$3:$B$13,0))*1.15^(COUNTIF(Q$4:Q45,SUBSTITUTE(Q46,""Sell_"",""""))-COUNTIF(Q$4:Q45,""Sell_"&amp;"""&amp;SUBSTITUTE(Q46,""Sell_"",""""))))/2),ROUNDUP(INDEX(Upgrades!$C$3:$C$13,MATCH(Q46,Upgrades!$B$3:$B$13,0))*1.15^(COUNTIF(Q$4:Q45,Q46)-COUNTIF(Q$4:Q45,""Sell_""&amp;Q46))))))"),46000.0)</f>
        <v>46000</v>
      </c>
      <c r="V46" s="10">
        <f t="shared" si="11"/>
        <v>46000</v>
      </c>
      <c r="W46" s="68">
        <f t="shared" si="12"/>
        <v>1307.082627</v>
      </c>
      <c r="X46" s="59" t="str">
        <f t="shared" si="13"/>
        <v>21m 47s</v>
      </c>
      <c r="Y46" s="69">
        <f t="shared" si="14"/>
        <v>207632</v>
      </c>
      <c r="Z46" s="11"/>
      <c r="AG46" s="59"/>
    </row>
    <row r="47">
      <c r="A47" s="8"/>
      <c r="B47" s="56">
        <f t="shared" si="2"/>
        <v>12</v>
      </c>
      <c r="C47" s="67" t="s">
        <v>5</v>
      </c>
      <c r="D47" s="10" t="b">
        <f>IFERROR(__xludf.DUMMYFUNCTION("IF(COUNTA(C47:C1644)=0,"""",IF(ISBLANK(C47),FALSE,IF(NOT(COUNTIF($AA$24:$AA$34,SUBSTITUTE(C47,""Sell_"",""""))),1,IF(REGEXMATCH(C47,""Sell_""),IF(COUNTIF(C$4:C47,SUBSTITUTE(C47,""Sell_"",""""))-COUNTIF(C$4:C46,C47)&lt;1,1),FALSE))))"),FALSE)</f>
        <v>0</v>
      </c>
      <c r="E47" s="59">
        <f t="array" ref="E47">IF(COUNTA(C47:C1644)=0,"",SUM((COUNTIF(C$4:C47,Upgrades!$B$3:$B$13)-COUNTIF(C$4:C47,"Sell_"&amp;Upgrades!$B$3:$B$13))*Upgrades!$D$3:$D$13))</f>
        <v>543</v>
      </c>
      <c r="F47" s="66">
        <f>IFERROR(__xludf.DUMMYFUNCTION("IF(COUNTA(C47:C1644)=0,"""",IF(REGEXMATCH(INDEX(FILTER(C$4:C47,C$4:C47&lt;&gt;""""),ROWS(FILTER(C$4:C47,C$4:C47&lt;&gt;""""))),""^Sell_""),INDEX(FILTER(F$4:F46,C$4:C46&lt;&gt;""""),ROWS(FILTER(C$4:C46,C$4:C46&lt;&gt;""""))),$AC$5+E47))"),553.0)</f>
        <v>553</v>
      </c>
      <c r="G47" s="10">
        <f>IFERROR(__xludf.DUMMYFUNCTION("IF(COUNTA(C47:C1644)=0,"""",IF(C47="""",0,IF(REGEXMATCH(C47,""^Sell_""),-ROUNDDOWN(ROUNDUP(INDEX(Upgrades!$C$3:$C$13,MATCH(SUBSTITUTE(C47,""Sell_"",""""),Upgrades!$B$3:$B$13,0))*1.15^(COUNTIF(C$4:C46,SUBSTITUTE(C47,""Sell_"",""""))-COUNTIF(C$4:C46,""Sell_"&amp;"""&amp;SUBSTITUTE(C47,""Sell_"",""""))))/2),ROUNDUP(INDEX(Upgrades!$C$3:$C$13,MATCH(C47,Upgrades!$B$3:$B$13,0))*1.15^(COUNTIF(C$4:C46,C47)-COUNTIF(C$4:C46,""Sell_""&amp;C47))))))"),2327.0)</f>
        <v>2327</v>
      </c>
      <c r="H47" s="10">
        <f t="shared" si="3"/>
        <v>2327</v>
      </c>
      <c r="I47" s="68">
        <f t="shared" si="4"/>
        <v>1311.321243</v>
      </c>
      <c r="J47" s="59" t="str">
        <f t="shared" si="5"/>
        <v>21m 51s</v>
      </c>
      <c r="K47" s="69">
        <f t="shared" si="6"/>
        <v>209959</v>
      </c>
      <c r="L47" s="60">
        <f t="shared" si="7"/>
        <v>0</v>
      </c>
      <c r="M47" s="61">
        <f>IFERROR(__xludf.DUMMYFUNCTION("IFS(AND(COUNTA(C47:C1644)=0,COUNTA(Q47:Q1644)=0),"""",OR(AND(K47&gt;=1000000000,OR(Y47&gt;=1000000000,COUNTA(Q47:Q1644)=0)),OR(Y47&gt;=1000000000,AND(COUNTA(C47:C1644)=0,P$3=TRUE))),
ROUNDDOWN((AB$1-AC$1)*MAX(INDEX(T$4:T1644,MATCH(LARGE(FILTER(Y$4:Y1644,Y$4:Y1644&lt;"&amp;"1000000000),1),Y$4:Y1644)),INDEX(F$4:F1644,MATCH(LARGE(FILTER(K$4:K1644,K$4:K1644&lt;1000000000),1),K$4:K1644)))),AND(K47&lt;1000000000,COUNTA(C47:C1644)&gt;0,P$3=FALSE),
ROUNDDOWN(INDEX(Y$4:Y1644,MATCH(LARGE(FILTER(W$4:W1644,W$4:W1644&lt;=I47),1),W$4:W1644))+(I47-LA"&amp;"RGE(FILTER(W$4:W1644,W$4:W1644&lt;=I47),1))*INDEX(T$4:T1644,MATCH(LARGE(FILTER(W$4:W1644,W$4:W1644&lt;=I47),1),W$4:W1644))-K47),1,
ROUNDDOWN(Y47-INDEX(K$4:K1644,MATCH(LARGE(FILTER(I$4:I1644,I$4:I1644&lt;=W47),1),I$4:I1644))-(W47-LARGE(FILTER(I$4:I1644,I$4:I1644&lt;=W"&amp;"47),1))*INDEX(F$4:F1644,MATCH(LARGE(FILTER(I$4:I1644,I$4:I1644&lt;=W47),1),I$4:I1644))))"),0.0)</f>
        <v>0</v>
      </c>
      <c r="N47" s="60">
        <f t="shared" si="8"/>
        <v>0</v>
      </c>
      <c r="O47" s="61">
        <f t="shared" si="9"/>
        <v>0</v>
      </c>
      <c r="P47" s="56">
        <f t="shared" si="10"/>
        <v>12</v>
      </c>
      <c r="Q47" s="67" t="s">
        <v>5</v>
      </c>
      <c r="R47" s="10" t="b">
        <f>IFERROR(__xludf.DUMMYFUNCTION("IF(COUNTA(Q47:Q1644)=0,"""",IF(ISBLANK(Q47),FALSE,IF(NOT(COUNTIF($AA$24:$AA$34,SUBSTITUTE(Q47,""Sell_"",""""))),1,IF(REGEXMATCH(Q47,""Sell_""),IF(COUNTIF(Q$4:Q47,SUBSTITUTE(Q47,""Sell_"",""""))-COUNTIF(Q$4:Q46,Q47)&lt;1,1),FALSE))))"),FALSE)</f>
        <v>0</v>
      </c>
      <c r="S47" s="59">
        <f t="array" ref="S47">IF(COUNTA(Q47:Q1644)=0,"",SUM((COUNTIF(Q$4:Q47,Upgrades!$B$3:$B$13)-COUNTIF(Q$4:Q47,"Sell_"&amp;Upgrades!$B$3:$B$13))*Upgrades!$D$3:$D$13))</f>
        <v>543</v>
      </c>
      <c r="T47" s="66">
        <f>IFERROR(__xludf.DUMMYFUNCTION("IF(COUNTA(Q47:Q1644)=0,"""",IF(REGEXMATCH(INDEX(FILTER(Q$4:Q47,Q$4:Q47&lt;&gt;""""),ROWS(FILTER(Q$4:Q47,Q$4:Q47&lt;&gt;""""))),""^Sell_""),INDEX(FILTER(T$4:T46,Q$4:Q46&lt;&gt;""""),ROWS(FILTER(Q$4:Q46,Q$4:Q46&lt;&gt;""""))),$AD$5+S47))"),553.0)</f>
        <v>553</v>
      </c>
      <c r="U47" s="10">
        <f>IFERROR(__xludf.DUMMYFUNCTION("IF(COUNTA(Q47:Q1644)=0,"""",IF(Q47="""",0,IF(REGEXMATCH(Q47,""^Sell_""),-ROUNDDOWN(ROUNDUP(INDEX(Upgrades!$C$3:$C$13,MATCH(SUBSTITUTE(Q47,""Sell_"",""""),Upgrades!$B$3:$B$13,0))*1.15^(COUNTIF(Q$4:Q46,SUBSTITUTE(Q47,""Sell_"",""""))-COUNTIF(Q$4:Q46,""Sell_"&amp;"""&amp;SUBSTITUTE(Q47,""Sell_"",""""))))/2),ROUNDUP(INDEX(Upgrades!$C$3:$C$13,MATCH(Q47,Upgrades!$B$3:$B$13,0))*1.15^(COUNTIF(Q$4:Q46,Q47)-COUNTIF(Q$4:Q46,""Sell_""&amp;Q47))))))"),2327.0)</f>
        <v>2327</v>
      </c>
      <c r="V47" s="10">
        <f t="shared" si="11"/>
        <v>2327</v>
      </c>
      <c r="W47" s="68">
        <f t="shared" si="12"/>
        <v>1311.321243</v>
      </c>
      <c r="X47" s="59" t="str">
        <f t="shared" si="13"/>
        <v>21m 51s</v>
      </c>
      <c r="Y47" s="69">
        <f t="shared" si="14"/>
        <v>209959</v>
      </c>
      <c r="Z47" s="11"/>
      <c r="AG47" s="59"/>
    </row>
    <row r="48">
      <c r="A48" s="8"/>
      <c r="B48" s="56">
        <f t="shared" si="2"/>
        <v>11</v>
      </c>
      <c r="C48" s="67" t="s">
        <v>3</v>
      </c>
      <c r="D48" s="10" t="b">
        <f>IFERROR(__xludf.DUMMYFUNCTION("IF(COUNTA(C48:C1644)=0,"""",IF(ISBLANK(C48),FALSE,IF(NOT(COUNTIF($AA$24:$AA$34,SUBSTITUTE(C48,""Sell_"",""""))),1,IF(REGEXMATCH(C48,""Sell_""),IF(COUNTIF(C$4:C48,SUBSTITUTE(C48,""Sell_"",""""))-COUNTIF(C$4:C47,C48)&lt;1,1),FALSE))))"),FALSE)</f>
        <v>0</v>
      </c>
      <c r="E48" s="59">
        <f t="array" ref="E48">IF(COUNTA(C48:C1644)=0,"",SUM((COUNTIF(C$4:C48,Upgrades!$B$3:$B$13)-COUNTIF(C$4:C48,"Sell_"&amp;Upgrades!$B$3:$B$13))*Upgrades!$D$3:$D$13))</f>
        <v>543.1</v>
      </c>
      <c r="F48" s="66">
        <f>IFERROR(__xludf.DUMMYFUNCTION("IF(COUNTA(C48:C1644)=0,"""",IF(REGEXMATCH(INDEX(FILTER(C$4:C48,C$4:C48&lt;&gt;""""),ROWS(FILTER(C$4:C48,C$4:C48&lt;&gt;""""))),""^Sell_""),INDEX(FILTER(F$4:F47,C$4:C47&lt;&gt;""""),ROWS(FILTER(C$4:C47,C$4:C47&lt;&gt;""""))),$AC$5+E48))"),553.1)</f>
        <v>553.1</v>
      </c>
      <c r="G48" s="10">
        <f>IFERROR(__xludf.DUMMYFUNCTION("IF(COUNTA(C48:C1644)=0,"""",IF(C48="""",0,IF(REGEXMATCH(C48,""^Sell_""),-ROUNDDOWN(ROUNDUP(INDEX(Upgrades!$C$3:$C$13,MATCH(SUBSTITUTE(C48,""Sell_"",""""),Upgrades!$B$3:$B$13,0))*1.15^(COUNTIF(C$4:C47,SUBSTITUTE(C48,""Sell_"",""""))-COUNTIF(C$4:C47,""Sell_"&amp;"""&amp;SUBSTITUTE(C48,""Sell_"",""""))))/2),ROUNDUP(INDEX(Upgrades!$C$3:$C$13,MATCH(C48,Upgrades!$B$3:$B$13,0))*1.15^(COUNTIF(C$4:C47,C48)-COUNTIF(C$4:C47,""Sell_""&amp;C48))))))"),61.0)</f>
        <v>61</v>
      </c>
      <c r="H48" s="10">
        <f t="shared" si="3"/>
        <v>61</v>
      </c>
      <c r="I48" s="68">
        <f t="shared" si="4"/>
        <v>1311.43155</v>
      </c>
      <c r="J48" s="59" t="str">
        <f t="shared" si="5"/>
        <v>21m 51s</v>
      </c>
      <c r="K48" s="69">
        <f t="shared" si="6"/>
        <v>210020</v>
      </c>
      <c r="L48" s="60">
        <f t="shared" si="7"/>
        <v>0</v>
      </c>
      <c r="M48" s="61">
        <f>IFERROR(__xludf.DUMMYFUNCTION("IFS(AND(COUNTA(C48:C1644)=0,COUNTA(Q48:Q1644)=0),"""",OR(AND(K48&gt;=1000000000,OR(Y48&gt;=1000000000,COUNTA(Q48:Q1644)=0)),OR(Y48&gt;=1000000000,AND(COUNTA(C48:C1644)=0,P$3=TRUE))),
ROUNDDOWN((AB$1-AC$1)*MAX(INDEX(T$4:T1644,MATCH(LARGE(FILTER(Y$4:Y1644,Y$4:Y1644&lt;"&amp;"1000000000),1),Y$4:Y1644)),INDEX(F$4:F1644,MATCH(LARGE(FILTER(K$4:K1644,K$4:K1644&lt;1000000000),1),K$4:K1644)))),AND(K48&lt;1000000000,COUNTA(C48:C1644)&gt;0,P$3=FALSE),
ROUNDDOWN(INDEX(Y$4:Y1644,MATCH(LARGE(FILTER(W$4:W1644,W$4:W1644&lt;=I48),1),W$4:W1644))+(I48-LA"&amp;"RGE(FILTER(W$4:W1644,W$4:W1644&lt;=I48),1))*INDEX(T$4:T1644,MATCH(LARGE(FILTER(W$4:W1644,W$4:W1644&lt;=I48),1),W$4:W1644))-K48),1,
ROUNDDOWN(Y48-INDEX(K$4:K1644,MATCH(LARGE(FILTER(I$4:I1644,I$4:I1644&lt;=W48),1),I$4:I1644))-(W48-LARGE(FILTER(I$4:I1644,I$4:I1644&lt;=W"&amp;"48),1))*INDEX(F$4:F1644,MATCH(LARGE(FILTER(I$4:I1644,I$4:I1644&lt;=W48),1),I$4:I1644))))"),0.0)</f>
        <v>0</v>
      </c>
      <c r="N48" s="60">
        <f t="shared" si="8"/>
        <v>0</v>
      </c>
      <c r="O48" s="61">
        <f t="shared" si="9"/>
        <v>0</v>
      </c>
      <c r="P48" s="56">
        <f t="shared" si="10"/>
        <v>11</v>
      </c>
      <c r="Q48" s="67" t="s">
        <v>3</v>
      </c>
      <c r="R48" s="10" t="b">
        <f>IFERROR(__xludf.DUMMYFUNCTION("IF(COUNTA(Q48:Q1644)=0,"""",IF(ISBLANK(Q48),FALSE,IF(NOT(COUNTIF($AA$24:$AA$34,SUBSTITUTE(Q48,""Sell_"",""""))),1,IF(REGEXMATCH(Q48,""Sell_""),IF(COUNTIF(Q$4:Q48,SUBSTITUTE(Q48,""Sell_"",""""))-COUNTIF(Q$4:Q47,Q48)&lt;1,1),FALSE))))"),FALSE)</f>
        <v>0</v>
      </c>
      <c r="S48" s="59">
        <f t="array" ref="S48">IF(COUNTA(Q48:Q1644)=0,"",SUM((COUNTIF(Q$4:Q48,Upgrades!$B$3:$B$13)-COUNTIF(Q$4:Q48,"Sell_"&amp;Upgrades!$B$3:$B$13))*Upgrades!$D$3:$D$13))</f>
        <v>543.1</v>
      </c>
      <c r="T48" s="66">
        <f>IFERROR(__xludf.DUMMYFUNCTION("IF(COUNTA(Q48:Q1644)=0,"""",IF(REGEXMATCH(INDEX(FILTER(Q$4:Q48,Q$4:Q48&lt;&gt;""""),ROWS(FILTER(Q$4:Q48,Q$4:Q48&lt;&gt;""""))),""^Sell_""),INDEX(FILTER(T$4:T47,Q$4:Q47&lt;&gt;""""),ROWS(FILTER(Q$4:Q47,Q$4:Q47&lt;&gt;""""))),$AD$5+S48))"),553.1)</f>
        <v>553.1</v>
      </c>
      <c r="U48" s="10">
        <f>IFERROR(__xludf.DUMMYFUNCTION("IF(COUNTA(Q48:Q1644)=0,"""",IF(Q48="""",0,IF(REGEXMATCH(Q48,""^Sell_""),-ROUNDDOWN(ROUNDUP(INDEX(Upgrades!$C$3:$C$13,MATCH(SUBSTITUTE(Q48,""Sell_"",""""),Upgrades!$B$3:$B$13,0))*1.15^(COUNTIF(Q$4:Q47,SUBSTITUTE(Q48,""Sell_"",""""))-COUNTIF(Q$4:Q47,""Sell_"&amp;"""&amp;SUBSTITUTE(Q48,""Sell_"",""""))))/2),ROUNDUP(INDEX(Upgrades!$C$3:$C$13,MATCH(Q48,Upgrades!$B$3:$B$13,0))*1.15^(COUNTIF(Q$4:Q47,Q48)-COUNTIF(Q$4:Q47,""Sell_""&amp;Q48))))))"),61.0)</f>
        <v>61</v>
      </c>
      <c r="V48" s="10">
        <f t="shared" si="11"/>
        <v>61</v>
      </c>
      <c r="W48" s="68">
        <f t="shared" si="12"/>
        <v>1311.43155</v>
      </c>
      <c r="X48" s="59" t="str">
        <f t="shared" si="13"/>
        <v>21m 51s</v>
      </c>
      <c r="Y48" s="69">
        <f t="shared" si="14"/>
        <v>210020</v>
      </c>
      <c r="Z48" s="11"/>
      <c r="AG48" s="59"/>
    </row>
    <row r="49">
      <c r="A49" s="8"/>
      <c r="B49" s="56">
        <f t="shared" si="2"/>
        <v>9</v>
      </c>
      <c r="C49" s="67" t="s">
        <v>4</v>
      </c>
      <c r="D49" s="10" t="b">
        <f>IFERROR(__xludf.DUMMYFUNCTION("IF(COUNTA(C49:C1644)=0,"""",IF(ISBLANK(C49),FALSE,IF(NOT(COUNTIF($AA$24:$AA$34,SUBSTITUTE(C49,""Sell_"",""""))),1,IF(REGEXMATCH(C49,""Sell_""),IF(COUNTIF(C$4:C49,SUBSTITUTE(C49,""Sell_"",""""))-COUNTIF(C$4:C48,C49)&lt;1,1),FALSE))))"),FALSE)</f>
        <v>0</v>
      </c>
      <c r="E49" s="59">
        <f t="array" ref="E49">IF(COUNTA(C49:C1644)=0,"",SUM((COUNTIF(C$4:C49,Upgrades!$B$3:$B$13)-COUNTIF(C$4:C49,"Sell_"&amp;Upgrades!$B$3:$B$13))*Upgrades!$D$3:$D$13))</f>
        <v>543.6</v>
      </c>
      <c r="F49" s="66">
        <f>IFERROR(__xludf.DUMMYFUNCTION("IF(COUNTA(C49:C1644)=0,"""",IF(REGEXMATCH(INDEX(FILTER(C$4:C49,C$4:C49&lt;&gt;""""),ROWS(FILTER(C$4:C49,C$4:C49&lt;&gt;""""))),""^Sell_""),INDEX(FILTER(F$4:F48,C$4:C48&lt;&gt;""""),ROWS(FILTER(C$4:C48,C$4:C48&lt;&gt;""""))),$AC$5+E49))"),553.6)</f>
        <v>553.6</v>
      </c>
      <c r="G49" s="10">
        <f>IFERROR(__xludf.DUMMYFUNCTION("IF(COUNTA(C49:C1644)=0,"""",IF(C49="""",0,IF(REGEXMATCH(C49,""^Sell_""),-ROUNDDOWN(ROUNDUP(INDEX(Upgrades!$C$3:$C$13,MATCH(SUBSTITUTE(C49,""Sell_"",""""),Upgrades!$B$3:$B$13,0))*1.15^(COUNTIF(C$4:C48,SUBSTITUTE(C49,""Sell_"",""""))-COUNTIF(C$4:C48,""Sell_"&amp;"""&amp;SUBSTITUTE(C49,""Sell_"",""""))))/2),ROUNDUP(INDEX(Upgrades!$C$3:$C$13,MATCH(C49,Upgrades!$B$3:$B$13,0))*1.15^(COUNTIF(C$4:C48,C49)-COUNTIF(C$4:C48,""Sell_""&amp;C49))))))"),306.0)</f>
        <v>306</v>
      </c>
      <c r="H49" s="10">
        <f t="shared" si="3"/>
        <v>306</v>
      </c>
      <c r="I49" s="68">
        <f t="shared" si="4"/>
        <v>1311.984796</v>
      </c>
      <c r="J49" s="59" t="str">
        <f t="shared" si="5"/>
        <v>21m 51s</v>
      </c>
      <c r="K49" s="69">
        <f t="shared" si="6"/>
        <v>210326</v>
      </c>
      <c r="L49" s="60">
        <f t="shared" si="7"/>
        <v>0</v>
      </c>
      <c r="M49" s="61">
        <f>IFERROR(__xludf.DUMMYFUNCTION("IFS(AND(COUNTA(C49:C1644)=0,COUNTA(Q49:Q1644)=0),"""",OR(AND(K49&gt;=1000000000,OR(Y49&gt;=1000000000,COUNTA(Q49:Q1644)=0)),OR(Y49&gt;=1000000000,AND(COUNTA(C49:C1644)=0,P$3=TRUE))),
ROUNDDOWN((AB$1-AC$1)*MAX(INDEX(T$4:T1644,MATCH(LARGE(FILTER(Y$4:Y1644,Y$4:Y1644&lt;"&amp;"1000000000),1),Y$4:Y1644)),INDEX(F$4:F1644,MATCH(LARGE(FILTER(K$4:K1644,K$4:K1644&lt;1000000000),1),K$4:K1644)))),AND(K49&lt;1000000000,COUNTA(C49:C1644)&gt;0,P$3=FALSE),
ROUNDDOWN(INDEX(Y$4:Y1644,MATCH(LARGE(FILTER(W$4:W1644,W$4:W1644&lt;=I49),1),W$4:W1644))+(I49-LA"&amp;"RGE(FILTER(W$4:W1644,W$4:W1644&lt;=I49),1))*INDEX(T$4:T1644,MATCH(LARGE(FILTER(W$4:W1644,W$4:W1644&lt;=I49),1),W$4:W1644))-K49),1,
ROUNDDOWN(Y49-INDEX(K$4:K1644,MATCH(LARGE(FILTER(I$4:I1644,I$4:I1644&lt;=W49),1),I$4:I1644))-(W49-LARGE(FILTER(I$4:I1644,I$4:I1644&lt;=W"&amp;"49),1))*INDEX(F$4:F1644,MATCH(LARGE(FILTER(I$4:I1644,I$4:I1644&lt;=W49),1),I$4:I1644))))"),0.0)</f>
        <v>0</v>
      </c>
      <c r="N49" s="60">
        <f t="shared" si="8"/>
        <v>0</v>
      </c>
      <c r="O49" s="61">
        <f t="shared" si="9"/>
        <v>0</v>
      </c>
      <c r="P49" s="56">
        <f t="shared" si="10"/>
        <v>9</v>
      </c>
      <c r="Q49" s="67" t="s">
        <v>4</v>
      </c>
      <c r="R49" s="10" t="b">
        <f>IFERROR(__xludf.DUMMYFUNCTION("IF(COUNTA(Q49:Q1644)=0,"""",IF(ISBLANK(Q49),FALSE,IF(NOT(COUNTIF($AA$24:$AA$34,SUBSTITUTE(Q49,""Sell_"",""""))),1,IF(REGEXMATCH(Q49,""Sell_""),IF(COUNTIF(Q$4:Q49,SUBSTITUTE(Q49,""Sell_"",""""))-COUNTIF(Q$4:Q48,Q49)&lt;1,1),FALSE))))"),FALSE)</f>
        <v>0</v>
      </c>
      <c r="S49" s="59">
        <f t="array" ref="S49">IF(COUNTA(Q49:Q1644)=0,"",SUM((COUNTIF(Q$4:Q49,Upgrades!$B$3:$B$13)-COUNTIF(Q$4:Q49,"Sell_"&amp;Upgrades!$B$3:$B$13))*Upgrades!$D$3:$D$13))</f>
        <v>543.6</v>
      </c>
      <c r="T49" s="66">
        <f>IFERROR(__xludf.DUMMYFUNCTION("IF(COUNTA(Q49:Q1644)=0,"""",IF(REGEXMATCH(INDEX(FILTER(Q$4:Q49,Q$4:Q49&lt;&gt;""""),ROWS(FILTER(Q$4:Q49,Q$4:Q49&lt;&gt;""""))),""^Sell_""),INDEX(FILTER(T$4:T48,Q$4:Q48&lt;&gt;""""),ROWS(FILTER(Q$4:Q48,Q$4:Q48&lt;&gt;""""))),$AD$5+S49))"),553.6)</f>
        <v>553.6</v>
      </c>
      <c r="U49" s="10">
        <f>IFERROR(__xludf.DUMMYFUNCTION("IF(COUNTA(Q49:Q1644)=0,"""",IF(Q49="""",0,IF(REGEXMATCH(Q49,""^Sell_""),-ROUNDDOWN(ROUNDUP(INDEX(Upgrades!$C$3:$C$13,MATCH(SUBSTITUTE(Q49,""Sell_"",""""),Upgrades!$B$3:$B$13,0))*1.15^(COUNTIF(Q$4:Q48,SUBSTITUTE(Q49,""Sell_"",""""))-COUNTIF(Q$4:Q48,""Sell_"&amp;"""&amp;SUBSTITUTE(Q49,""Sell_"",""""))))/2),ROUNDUP(INDEX(Upgrades!$C$3:$C$13,MATCH(Q49,Upgrades!$B$3:$B$13,0))*1.15^(COUNTIF(Q$4:Q48,Q49)-COUNTIF(Q$4:Q48,""Sell_""&amp;Q49))))))"),306.0)</f>
        <v>306</v>
      </c>
      <c r="V49" s="10">
        <f t="shared" si="11"/>
        <v>306</v>
      </c>
      <c r="W49" s="68">
        <f t="shared" si="12"/>
        <v>1311.984796</v>
      </c>
      <c r="X49" s="59" t="str">
        <f t="shared" si="13"/>
        <v>21m 51s</v>
      </c>
      <c r="Y49" s="69">
        <f t="shared" si="14"/>
        <v>210326</v>
      </c>
      <c r="Z49" s="11"/>
      <c r="AC49" s="104"/>
      <c r="AG49" s="59"/>
    </row>
    <row r="50">
      <c r="A50" s="8"/>
      <c r="B50" s="56">
        <f t="shared" si="2"/>
        <v>6</v>
      </c>
      <c r="C50" s="67" t="s">
        <v>6</v>
      </c>
      <c r="D50" s="10" t="b">
        <f>IFERROR(__xludf.DUMMYFUNCTION("IF(COUNTA(C50:C1644)=0,"""",IF(ISBLANK(C50),FALSE,IF(NOT(COUNTIF($AA$24:$AA$34,SUBSTITUTE(C50,""Sell_"",""""))),1,IF(REGEXMATCH(C50,""Sell_""),IF(COUNTIF(C$4:C50,SUBSTITUTE(C50,""Sell_"",""""))-COUNTIF(C$4:C49,C50)&lt;1,1),FALSE))))"),FALSE)</f>
        <v>0</v>
      </c>
      <c r="E50" s="59">
        <f t="array" ref="E50">IF(COUNTA(C50:C1644)=0,"",SUM((COUNTIF(C$4:C50,Upgrades!$B$3:$B$13)-COUNTIF(C$4:C50,"Sell_"&amp;Upgrades!$B$3:$B$13))*Upgrades!$D$3:$D$13))</f>
        <v>553.6</v>
      </c>
      <c r="F50" s="66">
        <f>IFERROR(__xludf.DUMMYFUNCTION("IF(COUNTA(C50:C1644)=0,"""",IF(REGEXMATCH(INDEX(FILTER(C$4:C50,C$4:C50&lt;&gt;""""),ROWS(FILTER(C$4:C50,C$4:C50&lt;&gt;""""))),""^Sell_""),INDEX(FILTER(F$4:F49,C$4:C49&lt;&gt;""""),ROWS(FILTER(C$4:C49,C$4:C49&lt;&gt;""""))),$AC$5+E50))"),563.6)</f>
        <v>563.6</v>
      </c>
      <c r="G50" s="10">
        <f>IFERROR(__xludf.DUMMYFUNCTION("IF(COUNTA(C50:C1644)=0,"""",IF(C50="""",0,IF(REGEXMATCH(C50,""^Sell_""),-ROUNDDOWN(ROUNDUP(INDEX(Upgrades!$C$3:$C$13,MATCH(SUBSTITUTE(C50,""Sell_"",""""),Upgrades!$B$3:$B$13,0))*1.15^(COUNTIF(C$4:C49,SUBSTITUTE(C50,""Sell_"",""""))-COUNTIF(C$4:C49,""Sell_"&amp;"""&amp;SUBSTITUTE(C50,""Sell_"",""""))))/2),ROUNDUP(INDEX(Upgrades!$C$3:$C$13,MATCH(C50,Upgrades!$B$3:$B$13,0))*1.15^(COUNTIF(C$4:C49,C50)-COUNTIF(C$4:C49,""Sell_""&amp;C50))))))"),6035.0)</f>
        <v>6035</v>
      </c>
      <c r="H50" s="10">
        <f t="shared" si="3"/>
        <v>6035</v>
      </c>
      <c r="I50" s="68">
        <f t="shared" si="4"/>
        <v>1322.886168</v>
      </c>
      <c r="J50" s="59" t="str">
        <f t="shared" si="5"/>
        <v>22m 02s</v>
      </c>
      <c r="K50" s="69">
        <f t="shared" si="6"/>
        <v>216361</v>
      </c>
      <c r="L50" s="60">
        <f t="shared" si="7"/>
        <v>0</v>
      </c>
      <c r="M50" s="61">
        <f>IFERROR(__xludf.DUMMYFUNCTION("IFS(AND(COUNTA(C50:C1644)=0,COUNTA(Q50:Q1644)=0),"""",OR(AND(K50&gt;=1000000000,OR(Y50&gt;=1000000000,COUNTA(Q50:Q1644)=0)),OR(Y50&gt;=1000000000,AND(COUNTA(C50:C1644)=0,P$3=TRUE))),
ROUNDDOWN((AB$1-AC$1)*MAX(INDEX(T$4:T1644,MATCH(LARGE(FILTER(Y$4:Y1644,Y$4:Y1644&lt;"&amp;"1000000000),1),Y$4:Y1644)),INDEX(F$4:F1644,MATCH(LARGE(FILTER(K$4:K1644,K$4:K1644&lt;1000000000),1),K$4:K1644)))),AND(K50&lt;1000000000,COUNTA(C50:C1644)&gt;0,P$3=FALSE),
ROUNDDOWN(INDEX(Y$4:Y1644,MATCH(LARGE(FILTER(W$4:W1644,W$4:W1644&lt;=I50),1),W$4:W1644))+(I50-LA"&amp;"RGE(FILTER(W$4:W1644,W$4:W1644&lt;=I50),1))*INDEX(T$4:T1644,MATCH(LARGE(FILTER(W$4:W1644,W$4:W1644&lt;=I50),1),W$4:W1644))-K50),1,
ROUNDDOWN(Y50-INDEX(K$4:K1644,MATCH(LARGE(FILTER(I$4:I1644,I$4:I1644&lt;=W50),1),I$4:I1644))-(W50-LARGE(FILTER(I$4:I1644,I$4:I1644&lt;=W"&amp;"50),1))*INDEX(F$4:F1644,MATCH(LARGE(FILTER(I$4:I1644,I$4:I1644&lt;=W50),1),I$4:I1644))))"),0.0)</f>
        <v>0</v>
      </c>
      <c r="N50" s="60">
        <f t="shared" si="8"/>
        <v>0</v>
      </c>
      <c r="O50" s="61">
        <f t="shared" si="9"/>
        <v>0</v>
      </c>
      <c r="P50" s="56">
        <f t="shared" si="10"/>
        <v>6</v>
      </c>
      <c r="Q50" s="67" t="s">
        <v>6</v>
      </c>
      <c r="R50" s="10" t="b">
        <f>IFERROR(__xludf.DUMMYFUNCTION("IF(COUNTA(Q50:Q1644)=0,"""",IF(ISBLANK(Q50),FALSE,IF(NOT(COUNTIF($AA$24:$AA$34,SUBSTITUTE(Q50,""Sell_"",""""))),1,IF(REGEXMATCH(Q50,""Sell_""),IF(COUNTIF(Q$4:Q50,SUBSTITUTE(Q50,""Sell_"",""""))-COUNTIF(Q$4:Q49,Q50)&lt;1,1),FALSE))))"),FALSE)</f>
        <v>0</v>
      </c>
      <c r="S50" s="59">
        <f t="array" ref="S50">IF(COUNTA(Q50:Q1644)=0,"",SUM((COUNTIF(Q$4:Q50,Upgrades!$B$3:$B$13)-COUNTIF(Q$4:Q50,"Sell_"&amp;Upgrades!$B$3:$B$13))*Upgrades!$D$3:$D$13))</f>
        <v>553.6</v>
      </c>
      <c r="T50" s="66">
        <f>IFERROR(__xludf.DUMMYFUNCTION("IF(COUNTA(Q50:Q1644)=0,"""",IF(REGEXMATCH(INDEX(FILTER(Q$4:Q50,Q$4:Q50&lt;&gt;""""),ROWS(FILTER(Q$4:Q50,Q$4:Q50&lt;&gt;""""))),""^Sell_""),INDEX(FILTER(T$4:T49,Q$4:Q49&lt;&gt;""""),ROWS(FILTER(Q$4:Q49,Q$4:Q49&lt;&gt;""""))),$AD$5+S50))"),563.6)</f>
        <v>563.6</v>
      </c>
      <c r="U50" s="10">
        <f>IFERROR(__xludf.DUMMYFUNCTION("IF(COUNTA(Q50:Q1644)=0,"""",IF(Q50="""",0,IF(REGEXMATCH(Q50,""^Sell_""),-ROUNDDOWN(ROUNDUP(INDEX(Upgrades!$C$3:$C$13,MATCH(SUBSTITUTE(Q50,""Sell_"",""""),Upgrades!$B$3:$B$13,0))*1.15^(COUNTIF(Q$4:Q49,SUBSTITUTE(Q50,""Sell_"",""""))-COUNTIF(Q$4:Q49,""Sell_"&amp;"""&amp;SUBSTITUTE(Q50,""Sell_"",""""))))/2),ROUNDUP(INDEX(Upgrades!$C$3:$C$13,MATCH(Q50,Upgrades!$B$3:$B$13,0))*1.15^(COUNTIF(Q$4:Q49,Q50)-COUNTIF(Q$4:Q49,""Sell_""&amp;Q50))))))"),6035.0)</f>
        <v>6035</v>
      </c>
      <c r="V50" s="10">
        <f t="shared" si="11"/>
        <v>6035</v>
      </c>
      <c r="W50" s="68">
        <f t="shared" si="12"/>
        <v>1322.886168</v>
      </c>
      <c r="X50" s="59" t="str">
        <f t="shared" si="13"/>
        <v>22m 02s</v>
      </c>
      <c r="Y50" s="69">
        <f t="shared" si="14"/>
        <v>216361</v>
      </c>
      <c r="Z50" s="11"/>
      <c r="AC50" s="104"/>
      <c r="AG50" s="59"/>
    </row>
    <row r="51">
      <c r="A51" s="8"/>
      <c r="B51" s="56">
        <f t="shared" si="2"/>
        <v>7</v>
      </c>
      <c r="C51" s="67" t="s">
        <v>7</v>
      </c>
      <c r="D51" s="10" t="b">
        <f>IFERROR(__xludf.DUMMYFUNCTION("IF(COUNTA(C51:C1644)=0,"""",IF(ISBLANK(C51),FALSE,IF(NOT(COUNTIF($AA$24:$AA$34,SUBSTITUTE(C51,""Sell_"",""""))),1,IF(REGEXMATCH(C51,""Sell_""),IF(COUNTIF(C$4:C51,SUBSTITUTE(C51,""Sell_"",""""))-COUNTIF(C$4:C50,C51)&lt;1,1),FALSE))))"),FALSE)</f>
        <v>0</v>
      </c>
      <c r="E51" s="59">
        <f t="array" ref="E51">IF(COUNTA(C51:C1644)=0,"",SUM((COUNTIF(C$4:C51,Upgrades!$B$3:$B$13)-COUNTIF(C$4:C51,"Sell_"&amp;Upgrades!$B$3:$B$13))*Upgrades!$D$3:$D$13))</f>
        <v>593.6</v>
      </c>
      <c r="F51" s="66">
        <f>IFERROR(__xludf.DUMMYFUNCTION("IF(COUNTA(C51:C1644)=0,"""",IF(REGEXMATCH(INDEX(FILTER(C$4:C51,C$4:C51&lt;&gt;""""),ROWS(FILTER(C$4:C51,C$4:C51&lt;&gt;""""))),""^Sell_""),INDEX(FILTER(F$4:F50,C$4:C50&lt;&gt;""""),ROWS(FILTER(C$4:C50,C$4:C50&lt;&gt;""""))),$AC$5+E51))"),603.6)</f>
        <v>603.6</v>
      </c>
      <c r="G51" s="10">
        <f>IFERROR(__xludf.DUMMYFUNCTION("IF(COUNTA(C51:C1644)=0,"""",IF(C51="""",0,IF(REGEXMATCH(C51,""^Sell_""),-ROUNDDOWN(ROUNDUP(INDEX(Upgrades!$C$3:$C$13,MATCH(SUBSTITUTE(C51,""Sell_"",""""),Upgrades!$B$3:$B$13,0))*1.15^(COUNTIF(C$4:C50,SUBSTITUTE(C51,""Sell_"",""""))-COUNTIF(C$4:C50,""Sell_"&amp;"""&amp;SUBSTITUTE(C51,""Sell_"",""""))))/2),ROUNDUP(INDEX(Upgrades!$C$3:$C$13,MATCH(C51,Upgrades!$B$3:$B$13,0))*1.15^(COUNTIF(C$4:C50,C51)-COUNTIF(C$4:C50,""Sell_""&amp;C51))))))"),23131.0)</f>
        <v>23131</v>
      </c>
      <c r="H51" s="10">
        <f t="shared" si="3"/>
        <v>23131</v>
      </c>
      <c r="I51" s="68">
        <f t="shared" si="4"/>
        <v>1363.927687</v>
      </c>
      <c r="J51" s="59" t="str">
        <f t="shared" si="5"/>
        <v>22m 43s</v>
      </c>
      <c r="K51" s="69">
        <f t="shared" si="6"/>
        <v>239492</v>
      </c>
      <c r="L51" s="60">
        <f t="shared" si="7"/>
        <v>0</v>
      </c>
      <c r="M51" s="61">
        <f>IFERROR(__xludf.DUMMYFUNCTION("IFS(AND(COUNTA(C51:C1644)=0,COUNTA(Q51:Q1644)=0),"""",OR(AND(K51&gt;=1000000000,OR(Y51&gt;=1000000000,COUNTA(Q51:Q1644)=0)),OR(Y51&gt;=1000000000,AND(COUNTA(C51:C1644)=0,P$3=TRUE))),
ROUNDDOWN((AB$1-AC$1)*MAX(INDEX(T$4:T1644,MATCH(LARGE(FILTER(Y$4:Y1644,Y$4:Y1644&lt;"&amp;"1000000000),1),Y$4:Y1644)),INDEX(F$4:F1644,MATCH(LARGE(FILTER(K$4:K1644,K$4:K1644&lt;1000000000),1),K$4:K1644)))),AND(K51&lt;1000000000,COUNTA(C51:C1644)&gt;0,P$3=FALSE),
ROUNDDOWN(INDEX(Y$4:Y1644,MATCH(LARGE(FILTER(W$4:W1644,W$4:W1644&lt;=I51),1),W$4:W1644))+(I51-LA"&amp;"RGE(FILTER(W$4:W1644,W$4:W1644&lt;=I51),1))*INDEX(T$4:T1644,MATCH(LARGE(FILTER(W$4:W1644,W$4:W1644&lt;=I51),1),W$4:W1644))-K51),1,
ROUNDDOWN(Y51-INDEX(K$4:K1644,MATCH(LARGE(FILTER(I$4:I1644,I$4:I1644&lt;=W51),1),I$4:I1644))-(W51-LARGE(FILTER(I$4:I1644,I$4:I1644&lt;=W"&amp;"51),1))*INDEX(F$4:F1644,MATCH(LARGE(FILTER(I$4:I1644,I$4:I1644&lt;=W51),1),I$4:I1644))))"),0.0)</f>
        <v>0</v>
      </c>
      <c r="N51" s="60">
        <f t="shared" si="8"/>
        <v>0</v>
      </c>
      <c r="O51" s="61">
        <f t="shared" si="9"/>
        <v>0</v>
      </c>
      <c r="P51" s="56">
        <f t="shared" si="10"/>
        <v>7</v>
      </c>
      <c r="Q51" s="67" t="s">
        <v>7</v>
      </c>
      <c r="R51" s="10" t="b">
        <f>IFERROR(__xludf.DUMMYFUNCTION("IF(COUNTA(Q51:Q1644)=0,"""",IF(ISBLANK(Q51),FALSE,IF(NOT(COUNTIF($AA$24:$AA$34,SUBSTITUTE(Q51,""Sell_"",""""))),1,IF(REGEXMATCH(Q51,""Sell_""),IF(COUNTIF(Q$4:Q51,SUBSTITUTE(Q51,""Sell_"",""""))-COUNTIF(Q$4:Q50,Q51)&lt;1,1),FALSE))))"),FALSE)</f>
        <v>0</v>
      </c>
      <c r="S51" s="59">
        <f t="array" ref="S51">IF(COUNTA(Q51:Q1644)=0,"",SUM((COUNTIF(Q$4:Q51,Upgrades!$B$3:$B$13)-COUNTIF(Q$4:Q51,"Sell_"&amp;Upgrades!$B$3:$B$13))*Upgrades!$D$3:$D$13))</f>
        <v>593.6</v>
      </c>
      <c r="T51" s="66">
        <f>IFERROR(__xludf.DUMMYFUNCTION("IF(COUNTA(Q51:Q1644)=0,"""",IF(REGEXMATCH(INDEX(FILTER(Q$4:Q51,Q$4:Q51&lt;&gt;""""),ROWS(FILTER(Q$4:Q51,Q$4:Q51&lt;&gt;""""))),""^Sell_""),INDEX(FILTER(T$4:T50,Q$4:Q50&lt;&gt;""""),ROWS(FILTER(Q$4:Q50,Q$4:Q50&lt;&gt;""""))),$AD$5+S51))"),603.6)</f>
        <v>603.6</v>
      </c>
      <c r="U51" s="10">
        <f>IFERROR(__xludf.DUMMYFUNCTION("IF(COUNTA(Q51:Q1644)=0,"""",IF(Q51="""",0,IF(REGEXMATCH(Q51,""^Sell_""),-ROUNDDOWN(ROUNDUP(INDEX(Upgrades!$C$3:$C$13,MATCH(SUBSTITUTE(Q51,""Sell_"",""""),Upgrades!$B$3:$B$13,0))*1.15^(COUNTIF(Q$4:Q50,SUBSTITUTE(Q51,""Sell_"",""""))-COUNTIF(Q$4:Q50,""Sell_"&amp;"""&amp;SUBSTITUTE(Q51,""Sell_"",""""))))/2),ROUNDUP(INDEX(Upgrades!$C$3:$C$13,MATCH(Q51,Upgrades!$B$3:$B$13,0))*1.15^(COUNTIF(Q$4:Q50,Q51)-COUNTIF(Q$4:Q50,""Sell_""&amp;Q51))))))"),23131.0)</f>
        <v>23131</v>
      </c>
      <c r="V51" s="10">
        <f t="shared" si="11"/>
        <v>23131</v>
      </c>
      <c r="W51" s="68">
        <f t="shared" si="12"/>
        <v>1363.927687</v>
      </c>
      <c r="X51" s="59" t="str">
        <f t="shared" si="13"/>
        <v>22m 43s</v>
      </c>
      <c r="Y51" s="69">
        <f t="shared" si="14"/>
        <v>239492</v>
      </c>
      <c r="Z51" s="11"/>
      <c r="AC51" s="104"/>
      <c r="AG51" s="59"/>
    </row>
    <row r="52">
      <c r="A52" s="8"/>
      <c r="B52" s="56">
        <f t="shared" si="2"/>
        <v>3</v>
      </c>
      <c r="C52" s="67" t="s">
        <v>8</v>
      </c>
      <c r="D52" s="10" t="b">
        <f>IFERROR(__xludf.DUMMYFUNCTION("IF(COUNTA(C52:C1644)=0,"""",IF(ISBLANK(C52),FALSE,IF(NOT(COUNTIF($AA$24:$AA$34,SUBSTITUTE(C52,""Sell_"",""""))),1,IF(REGEXMATCH(C52,""Sell_""),IF(COUNTIF(C$4:C52,SUBSTITUTE(C52,""Sell_"",""""))-COUNTIF(C$4:C51,C52)&lt;1,1),FALSE))))"),FALSE)</f>
        <v>0</v>
      </c>
      <c r="E52" s="59">
        <f t="array" ref="E52">IF(COUNTA(C52:C1644)=0,"",SUM((COUNTIF(C$4:C52,Upgrades!$B$3:$B$13)-COUNTIF(C$4:C52,"Sell_"&amp;Upgrades!$B$3:$B$13))*Upgrades!$D$3:$D$13))</f>
        <v>693.6</v>
      </c>
      <c r="F52" s="66">
        <f>IFERROR(__xludf.DUMMYFUNCTION("IF(COUNTA(C52:C1644)=0,"""",IF(REGEXMATCH(INDEX(FILTER(C$4:C52,C$4:C52&lt;&gt;""""),ROWS(FILTER(C$4:C52,C$4:C52&lt;&gt;""""))),""^Sell_""),INDEX(FILTER(F$4:F51,C$4:C51&lt;&gt;""""),ROWS(FILTER(C$4:C51,C$4:C51&lt;&gt;""""))),$AC$5+E52))"),703.6)</f>
        <v>703.6</v>
      </c>
      <c r="G52" s="10">
        <f>IFERROR(__xludf.DUMMYFUNCTION("IF(COUNTA(C52:C1644)=0,"""",IF(C52="""",0,IF(REGEXMATCH(C52,""^Sell_""),-ROUNDDOWN(ROUNDUP(INDEX(Upgrades!$C$3:$C$13,MATCH(SUBSTITUTE(C52,""Sell_"",""""),Upgrades!$B$3:$B$13,0))*1.15^(COUNTIF(C$4:C51,SUBSTITUTE(C52,""Sell_"",""""))-COUNTIF(C$4:C51,""Sell_"&amp;"""&amp;SUBSTITUTE(C52,""Sell_"",""""))))/2),ROUNDUP(INDEX(Upgrades!$C$3:$C$13,MATCH(C52,Upgrades!$B$3:$B$13,0))*1.15^(COUNTIF(C$4:C51,C52)-COUNTIF(C$4:C51,""Sell_""&amp;C52))))))"),52900.0)</f>
        <v>52900</v>
      </c>
      <c r="H52" s="10">
        <f t="shared" si="3"/>
        <v>52900</v>
      </c>
      <c r="I52" s="68">
        <f t="shared" si="4"/>
        <v>1451.568509</v>
      </c>
      <c r="J52" s="59" t="str">
        <f t="shared" si="5"/>
        <v>24m 11s</v>
      </c>
      <c r="K52" s="69">
        <f t="shared" si="6"/>
        <v>292392</v>
      </c>
      <c r="L52" s="60">
        <f t="shared" si="7"/>
        <v>0</v>
      </c>
      <c r="M52" s="61">
        <f>IFERROR(__xludf.DUMMYFUNCTION("IFS(AND(COUNTA(C52:C1644)=0,COUNTA(Q52:Q1644)=0),"""",OR(AND(K52&gt;=1000000000,OR(Y52&gt;=1000000000,COUNTA(Q52:Q1644)=0)),OR(Y52&gt;=1000000000,AND(COUNTA(C52:C1644)=0,P$3=TRUE))),
ROUNDDOWN((AB$1-AC$1)*MAX(INDEX(T$4:T1644,MATCH(LARGE(FILTER(Y$4:Y1644,Y$4:Y1644&lt;"&amp;"1000000000),1),Y$4:Y1644)),INDEX(F$4:F1644,MATCH(LARGE(FILTER(K$4:K1644,K$4:K1644&lt;1000000000),1),K$4:K1644)))),AND(K52&lt;1000000000,COUNTA(C52:C1644)&gt;0,P$3=FALSE),
ROUNDDOWN(INDEX(Y$4:Y1644,MATCH(LARGE(FILTER(W$4:W1644,W$4:W1644&lt;=I52),1),W$4:W1644))+(I52-LA"&amp;"RGE(FILTER(W$4:W1644,W$4:W1644&lt;=I52),1))*INDEX(T$4:T1644,MATCH(LARGE(FILTER(W$4:W1644,W$4:W1644&lt;=I52),1),W$4:W1644))-K52),1,
ROUNDDOWN(Y52-INDEX(K$4:K1644,MATCH(LARGE(FILTER(I$4:I1644,I$4:I1644&lt;=W52),1),I$4:I1644))-(W52-LARGE(FILTER(I$4:I1644,I$4:I1644&lt;=W"&amp;"52),1))*INDEX(F$4:F1644,MATCH(LARGE(FILTER(I$4:I1644,I$4:I1644&lt;=W52),1),I$4:I1644))))"),0.0)</f>
        <v>0</v>
      </c>
      <c r="N52" s="60">
        <f t="shared" si="8"/>
        <v>0</v>
      </c>
      <c r="O52" s="61">
        <f t="shared" si="9"/>
        <v>0</v>
      </c>
      <c r="P52" s="56">
        <f t="shared" si="10"/>
        <v>3</v>
      </c>
      <c r="Q52" s="67" t="s">
        <v>8</v>
      </c>
      <c r="R52" s="10" t="b">
        <f>IFERROR(__xludf.DUMMYFUNCTION("IF(COUNTA(Q52:Q1644)=0,"""",IF(ISBLANK(Q52),FALSE,IF(NOT(COUNTIF($AA$24:$AA$34,SUBSTITUTE(Q52,""Sell_"",""""))),1,IF(REGEXMATCH(Q52,""Sell_""),IF(COUNTIF(Q$4:Q52,SUBSTITUTE(Q52,""Sell_"",""""))-COUNTIF(Q$4:Q51,Q52)&lt;1,1),FALSE))))"),FALSE)</f>
        <v>0</v>
      </c>
      <c r="S52" s="59">
        <f t="array" ref="S52">IF(COUNTA(Q52:Q1644)=0,"",SUM((COUNTIF(Q$4:Q52,Upgrades!$B$3:$B$13)-COUNTIF(Q$4:Q52,"Sell_"&amp;Upgrades!$B$3:$B$13))*Upgrades!$D$3:$D$13))</f>
        <v>693.6</v>
      </c>
      <c r="T52" s="66">
        <f>IFERROR(__xludf.DUMMYFUNCTION("IF(COUNTA(Q52:Q1644)=0,"""",IF(REGEXMATCH(INDEX(FILTER(Q$4:Q52,Q$4:Q52&lt;&gt;""""),ROWS(FILTER(Q$4:Q52,Q$4:Q52&lt;&gt;""""))),""^Sell_""),INDEX(FILTER(T$4:T51,Q$4:Q51&lt;&gt;""""),ROWS(FILTER(Q$4:Q51,Q$4:Q51&lt;&gt;""""))),$AD$5+S52))"),703.6)</f>
        <v>703.6</v>
      </c>
      <c r="U52" s="10">
        <f>IFERROR(__xludf.DUMMYFUNCTION("IF(COUNTA(Q52:Q1644)=0,"""",IF(Q52="""",0,IF(REGEXMATCH(Q52,""^Sell_""),-ROUNDDOWN(ROUNDUP(INDEX(Upgrades!$C$3:$C$13,MATCH(SUBSTITUTE(Q52,""Sell_"",""""),Upgrades!$B$3:$B$13,0))*1.15^(COUNTIF(Q$4:Q51,SUBSTITUTE(Q52,""Sell_"",""""))-COUNTIF(Q$4:Q51,""Sell_"&amp;"""&amp;SUBSTITUTE(Q52,""Sell_"",""""))))/2),ROUNDUP(INDEX(Upgrades!$C$3:$C$13,MATCH(Q52,Upgrades!$B$3:$B$13,0))*1.15^(COUNTIF(Q$4:Q51,Q52)-COUNTIF(Q$4:Q51,""Sell_""&amp;Q52))))))"),52900.0)</f>
        <v>52900</v>
      </c>
      <c r="V52" s="10">
        <f t="shared" si="11"/>
        <v>52900</v>
      </c>
      <c r="W52" s="68">
        <f t="shared" si="12"/>
        <v>1451.568509</v>
      </c>
      <c r="X52" s="59" t="str">
        <f t="shared" si="13"/>
        <v>24m 11s</v>
      </c>
      <c r="Y52" s="69">
        <f t="shared" si="14"/>
        <v>292392</v>
      </c>
      <c r="Z52" s="11"/>
      <c r="AC52" s="104"/>
      <c r="AG52" s="59"/>
    </row>
    <row r="53">
      <c r="A53" s="8"/>
      <c r="B53" s="56">
        <f t="shared" si="2"/>
        <v>13</v>
      </c>
      <c r="C53" s="67" t="s">
        <v>5</v>
      </c>
      <c r="D53" s="10" t="b">
        <f>IFERROR(__xludf.DUMMYFUNCTION("IF(COUNTA(C53:C1644)=0,"""",IF(ISBLANK(C53),FALSE,IF(NOT(COUNTIF($AA$24:$AA$34,SUBSTITUTE(C53,""Sell_"",""""))),1,IF(REGEXMATCH(C53,""Sell_""),IF(COUNTIF(C$4:C53,SUBSTITUTE(C53,""Sell_"",""""))-COUNTIF(C$4:C52,C53)&lt;1,1),FALSE))))"),FALSE)</f>
        <v>0</v>
      </c>
      <c r="E53" s="59">
        <f t="array" ref="E53">IF(COUNTA(C53:C1644)=0,"",SUM((COUNTIF(C$4:C53,Upgrades!$B$3:$B$13)-COUNTIF(C$4:C53,"Sell_"&amp;Upgrades!$B$3:$B$13))*Upgrades!$D$3:$D$13))</f>
        <v>697.6</v>
      </c>
      <c r="F53" s="66">
        <f>IFERROR(__xludf.DUMMYFUNCTION("IF(COUNTA(C53:C1644)=0,"""",IF(REGEXMATCH(INDEX(FILTER(C$4:C53,C$4:C53&lt;&gt;""""),ROWS(FILTER(C$4:C53,C$4:C53&lt;&gt;""""))),""^Sell_""),INDEX(FILTER(F$4:F52,C$4:C52&lt;&gt;""""),ROWS(FILTER(C$4:C52,C$4:C52&lt;&gt;""""))),$AC$5+E53))"),707.6)</f>
        <v>707.6</v>
      </c>
      <c r="G53" s="10">
        <f>IFERROR(__xludf.DUMMYFUNCTION("IF(COUNTA(C53:C1644)=0,"""",IF(C53="""",0,IF(REGEXMATCH(C53,""^Sell_""),-ROUNDDOWN(ROUNDUP(INDEX(Upgrades!$C$3:$C$13,MATCH(SUBSTITUTE(C53,""Sell_"",""""),Upgrades!$B$3:$B$13,0))*1.15^(COUNTIF(C$4:C52,SUBSTITUTE(C53,""Sell_"",""""))-COUNTIF(C$4:C52,""Sell_"&amp;"""&amp;SUBSTITUTE(C53,""Sell_"",""""))))/2),ROUNDUP(INDEX(Upgrades!$C$3:$C$13,MATCH(C53,Upgrades!$B$3:$B$13,0))*1.15^(COUNTIF(C$4:C52,C53)-COUNTIF(C$4:C52,""Sell_""&amp;C53))))))"),2676.0)</f>
        <v>2676</v>
      </c>
      <c r="H53" s="10">
        <f t="shared" si="3"/>
        <v>2676</v>
      </c>
      <c r="I53" s="68">
        <f t="shared" si="4"/>
        <v>1455.371806</v>
      </c>
      <c r="J53" s="59" t="str">
        <f t="shared" si="5"/>
        <v>24m 15s</v>
      </c>
      <c r="K53" s="69">
        <f t="shared" si="6"/>
        <v>295068</v>
      </c>
      <c r="L53" s="60">
        <f t="shared" si="7"/>
        <v>0</v>
      </c>
      <c r="M53" s="61">
        <f>IFERROR(__xludf.DUMMYFUNCTION("IFS(AND(COUNTA(C53:C1644)=0,COUNTA(Q53:Q1644)=0),"""",OR(AND(K53&gt;=1000000000,OR(Y53&gt;=1000000000,COUNTA(Q53:Q1644)=0)),OR(Y53&gt;=1000000000,AND(COUNTA(C53:C1644)=0,P$3=TRUE))),
ROUNDDOWN((AB$1-AC$1)*MAX(INDEX(T$4:T1644,MATCH(LARGE(FILTER(Y$4:Y1644,Y$4:Y1644&lt;"&amp;"1000000000),1),Y$4:Y1644)),INDEX(F$4:F1644,MATCH(LARGE(FILTER(K$4:K1644,K$4:K1644&lt;1000000000),1),K$4:K1644)))),AND(K53&lt;1000000000,COUNTA(C53:C1644)&gt;0,P$3=FALSE),
ROUNDDOWN(INDEX(Y$4:Y1644,MATCH(LARGE(FILTER(W$4:W1644,W$4:W1644&lt;=I53),1),W$4:W1644))+(I53-LA"&amp;"RGE(FILTER(W$4:W1644,W$4:W1644&lt;=I53),1))*INDEX(T$4:T1644,MATCH(LARGE(FILTER(W$4:W1644,W$4:W1644&lt;=I53),1),W$4:W1644))-K53),1,
ROUNDDOWN(Y53-INDEX(K$4:K1644,MATCH(LARGE(FILTER(I$4:I1644,I$4:I1644&lt;=W53),1),I$4:I1644))-(W53-LARGE(FILTER(I$4:I1644,I$4:I1644&lt;=W"&amp;"53),1))*INDEX(F$4:F1644,MATCH(LARGE(FILTER(I$4:I1644,I$4:I1644&lt;=W53),1),I$4:I1644))))"),0.0)</f>
        <v>0</v>
      </c>
      <c r="N53" s="60">
        <f t="shared" si="8"/>
        <v>0</v>
      </c>
      <c r="O53" s="61">
        <f t="shared" si="9"/>
        <v>0</v>
      </c>
      <c r="P53" s="56">
        <f t="shared" si="10"/>
        <v>13</v>
      </c>
      <c r="Q53" s="67" t="s">
        <v>5</v>
      </c>
      <c r="R53" s="10" t="b">
        <f>IFERROR(__xludf.DUMMYFUNCTION("IF(COUNTA(Q53:Q1644)=0,"""",IF(ISBLANK(Q53),FALSE,IF(NOT(COUNTIF($AA$24:$AA$34,SUBSTITUTE(Q53,""Sell_"",""""))),1,IF(REGEXMATCH(Q53,""Sell_""),IF(COUNTIF(Q$4:Q53,SUBSTITUTE(Q53,""Sell_"",""""))-COUNTIF(Q$4:Q52,Q53)&lt;1,1),FALSE))))"),FALSE)</f>
        <v>0</v>
      </c>
      <c r="S53" s="59">
        <f t="array" ref="S53">IF(COUNTA(Q53:Q1644)=0,"",SUM((COUNTIF(Q$4:Q53,Upgrades!$B$3:$B$13)-COUNTIF(Q$4:Q53,"Sell_"&amp;Upgrades!$B$3:$B$13))*Upgrades!$D$3:$D$13))</f>
        <v>697.6</v>
      </c>
      <c r="T53" s="66">
        <f>IFERROR(__xludf.DUMMYFUNCTION("IF(COUNTA(Q53:Q1644)=0,"""",IF(REGEXMATCH(INDEX(FILTER(Q$4:Q53,Q$4:Q53&lt;&gt;""""),ROWS(FILTER(Q$4:Q53,Q$4:Q53&lt;&gt;""""))),""^Sell_""),INDEX(FILTER(T$4:T52,Q$4:Q52&lt;&gt;""""),ROWS(FILTER(Q$4:Q52,Q$4:Q52&lt;&gt;""""))),$AD$5+S53))"),707.6)</f>
        <v>707.6</v>
      </c>
      <c r="U53" s="10">
        <f>IFERROR(__xludf.DUMMYFUNCTION("IF(COUNTA(Q53:Q1644)=0,"""",IF(Q53="""",0,IF(REGEXMATCH(Q53,""^Sell_""),-ROUNDDOWN(ROUNDUP(INDEX(Upgrades!$C$3:$C$13,MATCH(SUBSTITUTE(Q53,""Sell_"",""""),Upgrades!$B$3:$B$13,0))*1.15^(COUNTIF(Q$4:Q52,SUBSTITUTE(Q53,""Sell_"",""""))-COUNTIF(Q$4:Q52,""Sell_"&amp;"""&amp;SUBSTITUTE(Q53,""Sell_"",""""))))/2),ROUNDUP(INDEX(Upgrades!$C$3:$C$13,MATCH(Q53,Upgrades!$B$3:$B$13,0))*1.15^(COUNTIF(Q$4:Q52,Q53)-COUNTIF(Q$4:Q52,""Sell_""&amp;Q53))))))"),2676.0)</f>
        <v>2676</v>
      </c>
      <c r="V53" s="10">
        <f t="shared" si="11"/>
        <v>2676</v>
      </c>
      <c r="W53" s="68">
        <f t="shared" si="12"/>
        <v>1455.371806</v>
      </c>
      <c r="X53" s="59" t="str">
        <f t="shared" si="13"/>
        <v>24m 15s</v>
      </c>
      <c r="Y53" s="69">
        <f t="shared" si="14"/>
        <v>295068</v>
      </c>
      <c r="Z53" s="11"/>
      <c r="AG53" s="59"/>
    </row>
    <row r="54">
      <c r="A54" s="8"/>
      <c r="B54" s="56">
        <f t="shared" si="2"/>
        <v>4</v>
      </c>
      <c r="C54" s="67" t="s">
        <v>8</v>
      </c>
      <c r="D54" s="10" t="b">
        <f>IFERROR(__xludf.DUMMYFUNCTION("IF(COUNTA(C54:C1644)=0,"""",IF(ISBLANK(C54),FALSE,IF(NOT(COUNTIF($AA$24:$AA$34,SUBSTITUTE(C54,""Sell_"",""""))),1,IF(REGEXMATCH(C54,""Sell_""),IF(COUNTIF(C$4:C54,SUBSTITUTE(C54,""Sell_"",""""))-COUNTIF(C$4:C53,C54)&lt;1,1),FALSE))))"),FALSE)</f>
        <v>0</v>
      </c>
      <c r="E54" s="59">
        <f t="array" ref="E54">IF(COUNTA(C54:C1644)=0,"",SUM((COUNTIF(C$4:C54,Upgrades!$B$3:$B$13)-COUNTIF(C$4:C54,"Sell_"&amp;Upgrades!$B$3:$B$13))*Upgrades!$D$3:$D$13))</f>
        <v>797.6</v>
      </c>
      <c r="F54" s="66">
        <f>IFERROR(__xludf.DUMMYFUNCTION("IF(COUNTA(C54:C1644)=0,"""",IF(REGEXMATCH(INDEX(FILTER(C$4:C54,C$4:C54&lt;&gt;""""),ROWS(FILTER(C$4:C54,C$4:C54&lt;&gt;""""))),""^Sell_""),INDEX(FILTER(F$4:F53,C$4:C53&lt;&gt;""""),ROWS(FILTER(C$4:C53,C$4:C53&lt;&gt;""""))),$AC$5+E54))"),807.6)</f>
        <v>807.6</v>
      </c>
      <c r="G54" s="10">
        <f>IFERROR(__xludf.DUMMYFUNCTION("IF(COUNTA(C54:C1644)=0,"""",IF(C54="""",0,IF(REGEXMATCH(C54,""^Sell_""),-ROUNDDOWN(ROUNDUP(INDEX(Upgrades!$C$3:$C$13,MATCH(SUBSTITUTE(C54,""Sell_"",""""),Upgrades!$B$3:$B$13,0))*1.15^(COUNTIF(C$4:C53,SUBSTITUTE(C54,""Sell_"",""""))-COUNTIF(C$4:C53,""Sell_"&amp;"""&amp;SUBSTITUTE(C54,""Sell_"",""""))))/2),ROUNDUP(INDEX(Upgrades!$C$3:$C$13,MATCH(C54,Upgrades!$B$3:$B$13,0))*1.15^(COUNTIF(C$4:C53,C54)-COUNTIF(C$4:C53,""Sell_""&amp;C54))))))"),60835.0)</f>
        <v>60835</v>
      </c>
      <c r="H54" s="10">
        <f t="shared" si="3"/>
        <v>60835</v>
      </c>
      <c r="I54" s="68">
        <f t="shared" si="4"/>
        <v>1541.34552</v>
      </c>
      <c r="J54" s="59" t="str">
        <f t="shared" si="5"/>
        <v>25m 41s</v>
      </c>
      <c r="K54" s="69">
        <f t="shared" si="6"/>
        <v>355903</v>
      </c>
      <c r="L54" s="60">
        <f t="shared" si="7"/>
        <v>0</v>
      </c>
      <c r="M54" s="61">
        <f>IFERROR(__xludf.DUMMYFUNCTION("IFS(AND(COUNTA(C54:C1644)=0,COUNTA(Q54:Q1644)=0),"""",OR(AND(K54&gt;=1000000000,OR(Y54&gt;=1000000000,COUNTA(Q54:Q1644)=0)),OR(Y54&gt;=1000000000,AND(COUNTA(C54:C1644)=0,P$3=TRUE))),
ROUNDDOWN((AB$1-AC$1)*MAX(INDEX(T$4:T1644,MATCH(LARGE(FILTER(Y$4:Y1644,Y$4:Y1644&lt;"&amp;"1000000000),1),Y$4:Y1644)),INDEX(F$4:F1644,MATCH(LARGE(FILTER(K$4:K1644,K$4:K1644&lt;1000000000),1),K$4:K1644)))),AND(K54&lt;1000000000,COUNTA(C54:C1644)&gt;0,P$3=FALSE),
ROUNDDOWN(INDEX(Y$4:Y1644,MATCH(LARGE(FILTER(W$4:W1644,W$4:W1644&lt;=I54),1),W$4:W1644))+(I54-LA"&amp;"RGE(FILTER(W$4:W1644,W$4:W1644&lt;=I54),1))*INDEX(T$4:T1644,MATCH(LARGE(FILTER(W$4:W1644,W$4:W1644&lt;=I54),1),W$4:W1644))-K54),1,
ROUNDDOWN(Y54-INDEX(K$4:K1644,MATCH(LARGE(FILTER(I$4:I1644,I$4:I1644&lt;=W54),1),I$4:I1644))-(W54-LARGE(FILTER(I$4:I1644,I$4:I1644&lt;=W"&amp;"54),1))*INDEX(F$4:F1644,MATCH(LARGE(FILTER(I$4:I1644,I$4:I1644&lt;=W54),1),I$4:I1644))))"),0.0)</f>
        <v>0</v>
      </c>
      <c r="N54" s="60">
        <f t="shared" si="8"/>
        <v>0</v>
      </c>
      <c r="O54" s="61">
        <f t="shared" si="9"/>
        <v>0</v>
      </c>
      <c r="P54" s="56">
        <f t="shared" si="10"/>
        <v>4</v>
      </c>
      <c r="Q54" s="67" t="s">
        <v>8</v>
      </c>
      <c r="R54" s="10" t="b">
        <f>IFERROR(__xludf.DUMMYFUNCTION("IF(COUNTA(Q54:Q1644)=0,"""",IF(ISBLANK(Q54),FALSE,IF(NOT(COUNTIF($AA$24:$AA$34,SUBSTITUTE(Q54,""Sell_"",""""))),1,IF(REGEXMATCH(Q54,""Sell_""),IF(COUNTIF(Q$4:Q54,SUBSTITUTE(Q54,""Sell_"",""""))-COUNTIF(Q$4:Q53,Q54)&lt;1,1),FALSE))))"),FALSE)</f>
        <v>0</v>
      </c>
      <c r="S54" s="59">
        <f t="array" ref="S54">IF(COUNTA(Q54:Q1644)=0,"",SUM((COUNTIF(Q$4:Q54,Upgrades!$B$3:$B$13)-COUNTIF(Q$4:Q54,"Sell_"&amp;Upgrades!$B$3:$B$13))*Upgrades!$D$3:$D$13))</f>
        <v>797.6</v>
      </c>
      <c r="T54" s="66">
        <f>IFERROR(__xludf.DUMMYFUNCTION("IF(COUNTA(Q54:Q1644)=0,"""",IF(REGEXMATCH(INDEX(FILTER(Q$4:Q54,Q$4:Q54&lt;&gt;""""),ROWS(FILTER(Q$4:Q54,Q$4:Q54&lt;&gt;""""))),""^Sell_""),INDEX(FILTER(T$4:T53,Q$4:Q53&lt;&gt;""""),ROWS(FILTER(Q$4:Q53,Q$4:Q53&lt;&gt;""""))),$AD$5+S54))"),807.6)</f>
        <v>807.6</v>
      </c>
      <c r="U54" s="10">
        <f>IFERROR(__xludf.DUMMYFUNCTION("IF(COUNTA(Q54:Q1644)=0,"""",IF(Q54="""",0,IF(REGEXMATCH(Q54,""^Sell_""),-ROUNDDOWN(ROUNDUP(INDEX(Upgrades!$C$3:$C$13,MATCH(SUBSTITUTE(Q54,""Sell_"",""""),Upgrades!$B$3:$B$13,0))*1.15^(COUNTIF(Q$4:Q53,SUBSTITUTE(Q54,""Sell_"",""""))-COUNTIF(Q$4:Q53,""Sell_"&amp;"""&amp;SUBSTITUTE(Q54,""Sell_"",""""))))/2),ROUNDUP(INDEX(Upgrades!$C$3:$C$13,MATCH(Q54,Upgrades!$B$3:$B$13,0))*1.15^(COUNTIF(Q$4:Q53,Q54)-COUNTIF(Q$4:Q53,""Sell_""&amp;Q54))))))"),60835.0)</f>
        <v>60835</v>
      </c>
      <c r="V54" s="10">
        <f t="shared" si="11"/>
        <v>60835</v>
      </c>
      <c r="W54" s="68">
        <f t="shared" si="12"/>
        <v>1541.34552</v>
      </c>
      <c r="X54" s="59" t="str">
        <f t="shared" si="13"/>
        <v>25m 41s</v>
      </c>
      <c r="Y54" s="69">
        <f t="shared" si="14"/>
        <v>355903</v>
      </c>
      <c r="Z54" s="11"/>
      <c r="AG54" s="59"/>
    </row>
    <row r="55">
      <c r="A55" s="8"/>
      <c r="B55" s="56">
        <f t="shared" si="2"/>
        <v>8</v>
      </c>
      <c r="C55" s="67" t="s">
        <v>7</v>
      </c>
      <c r="D55" s="10" t="b">
        <f>IFERROR(__xludf.DUMMYFUNCTION("IF(COUNTA(C55:C1644)=0,"""",IF(ISBLANK(C55),FALSE,IF(NOT(COUNTIF($AA$24:$AA$34,SUBSTITUTE(C55,""Sell_"",""""))),1,IF(REGEXMATCH(C55,""Sell_""),IF(COUNTIF(C$4:C55,SUBSTITUTE(C55,""Sell_"",""""))-COUNTIF(C$4:C54,C55)&lt;1,1),FALSE))))"),FALSE)</f>
        <v>0</v>
      </c>
      <c r="E55" s="59">
        <f t="array" ref="E55">IF(COUNTA(C55:C1644)=0,"",SUM((COUNTIF(C$4:C55,Upgrades!$B$3:$B$13)-COUNTIF(C$4:C55,"Sell_"&amp;Upgrades!$B$3:$B$13))*Upgrades!$D$3:$D$13))</f>
        <v>837.6</v>
      </c>
      <c r="F55" s="66">
        <f>IFERROR(__xludf.DUMMYFUNCTION("IF(COUNTA(C55:C1644)=0,"""",IF(REGEXMATCH(INDEX(FILTER(C$4:C55,C$4:C55&lt;&gt;""""),ROWS(FILTER(C$4:C55,C$4:C55&lt;&gt;""""))),""^Sell_""),INDEX(FILTER(F$4:F54,C$4:C54&lt;&gt;""""),ROWS(FILTER(C$4:C54,C$4:C54&lt;&gt;""""))),$AC$5+E55))"),847.6)</f>
        <v>847.6</v>
      </c>
      <c r="G55" s="10">
        <f>IFERROR(__xludf.DUMMYFUNCTION("IF(COUNTA(C55:C1644)=0,"""",IF(C55="""",0,IF(REGEXMATCH(C55,""^Sell_""),-ROUNDDOWN(ROUNDUP(INDEX(Upgrades!$C$3:$C$13,MATCH(SUBSTITUTE(C55,""Sell_"",""""),Upgrades!$B$3:$B$13,0))*1.15^(COUNTIF(C$4:C54,SUBSTITUTE(C55,""Sell_"",""""))-COUNTIF(C$4:C54,""Sell_"&amp;"""&amp;SUBSTITUTE(C55,""Sell_"",""""))))/2),ROUNDUP(INDEX(Upgrades!$C$3:$C$13,MATCH(C55,Upgrades!$B$3:$B$13,0))*1.15^(COUNTIF(C$4:C54,C55)-COUNTIF(C$4:C54,""Sell_""&amp;C55))))))"),26601.0)</f>
        <v>26601</v>
      </c>
      <c r="H55" s="10">
        <f t="shared" si="3"/>
        <v>26601</v>
      </c>
      <c r="I55" s="68">
        <f t="shared" si="4"/>
        <v>1574.283856</v>
      </c>
      <c r="J55" s="59" t="str">
        <f t="shared" si="5"/>
        <v>26m 14s</v>
      </c>
      <c r="K55" s="69">
        <f t="shared" si="6"/>
        <v>382504</v>
      </c>
      <c r="L55" s="60">
        <f t="shared" si="7"/>
        <v>0</v>
      </c>
      <c r="M55" s="61">
        <f>IFERROR(__xludf.DUMMYFUNCTION("IFS(AND(COUNTA(C55:C1644)=0,COUNTA(Q55:Q1644)=0),"""",OR(AND(K55&gt;=1000000000,OR(Y55&gt;=1000000000,COUNTA(Q55:Q1644)=0)),OR(Y55&gt;=1000000000,AND(COUNTA(C55:C1644)=0,P$3=TRUE))),
ROUNDDOWN((AB$1-AC$1)*MAX(INDEX(T$4:T1644,MATCH(LARGE(FILTER(Y$4:Y1644,Y$4:Y1644&lt;"&amp;"1000000000),1),Y$4:Y1644)),INDEX(F$4:F1644,MATCH(LARGE(FILTER(K$4:K1644,K$4:K1644&lt;1000000000),1),K$4:K1644)))),AND(K55&lt;1000000000,COUNTA(C55:C1644)&gt;0,P$3=FALSE),
ROUNDDOWN(INDEX(Y$4:Y1644,MATCH(LARGE(FILTER(W$4:W1644,W$4:W1644&lt;=I55),1),W$4:W1644))+(I55-LA"&amp;"RGE(FILTER(W$4:W1644,W$4:W1644&lt;=I55),1))*INDEX(T$4:T1644,MATCH(LARGE(FILTER(W$4:W1644,W$4:W1644&lt;=I55),1),W$4:W1644))-K55),1,
ROUNDDOWN(Y55-INDEX(K$4:K1644,MATCH(LARGE(FILTER(I$4:I1644,I$4:I1644&lt;=W55),1),I$4:I1644))-(W55-LARGE(FILTER(I$4:I1644,I$4:I1644&lt;=W"&amp;"55),1))*INDEX(F$4:F1644,MATCH(LARGE(FILTER(I$4:I1644,I$4:I1644&lt;=W55),1),I$4:I1644))))"),0.0)</f>
        <v>0</v>
      </c>
      <c r="N55" s="60">
        <f t="shared" si="8"/>
        <v>0</v>
      </c>
      <c r="O55" s="61">
        <f t="shared" si="9"/>
        <v>0</v>
      </c>
      <c r="P55" s="56">
        <f t="shared" si="10"/>
        <v>8</v>
      </c>
      <c r="Q55" s="67" t="s">
        <v>7</v>
      </c>
      <c r="R55" s="10" t="b">
        <f>IFERROR(__xludf.DUMMYFUNCTION("IF(COUNTA(Q55:Q1644)=0,"""",IF(ISBLANK(Q55),FALSE,IF(NOT(COUNTIF($AA$24:$AA$34,SUBSTITUTE(Q55,""Sell_"",""""))),1,IF(REGEXMATCH(Q55,""Sell_""),IF(COUNTIF(Q$4:Q55,SUBSTITUTE(Q55,""Sell_"",""""))-COUNTIF(Q$4:Q54,Q55)&lt;1,1),FALSE))))"),FALSE)</f>
        <v>0</v>
      </c>
      <c r="S55" s="59">
        <f t="array" ref="S55">IF(COUNTA(Q55:Q1644)=0,"",SUM((COUNTIF(Q$4:Q55,Upgrades!$B$3:$B$13)-COUNTIF(Q$4:Q55,"Sell_"&amp;Upgrades!$B$3:$B$13))*Upgrades!$D$3:$D$13))</f>
        <v>837.6</v>
      </c>
      <c r="T55" s="66">
        <f>IFERROR(__xludf.DUMMYFUNCTION("IF(COUNTA(Q55:Q1644)=0,"""",IF(REGEXMATCH(INDEX(FILTER(Q$4:Q55,Q$4:Q55&lt;&gt;""""),ROWS(FILTER(Q$4:Q55,Q$4:Q55&lt;&gt;""""))),""^Sell_""),INDEX(FILTER(T$4:T54,Q$4:Q54&lt;&gt;""""),ROWS(FILTER(Q$4:Q54,Q$4:Q54&lt;&gt;""""))),$AD$5+S55))"),847.6)</f>
        <v>847.6</v>
      </c>
      <c r="U55" s="10">
        <f>IFERROR(__xludf.DUMMYFUNCTION("IF(COUNTA(Q55:Q1644)=0,"""",IF(Q55="""",0,IF(REGEXMATCH(Q55,""^Sell_""),-ROUNDDOWN(ROUNDUP(INDEX(Upgrades!$C$3:$C$13,MATCH(SUBSTITUTE(Q55,""Sell_"",""""),Upgrades!$B$3:$B$13,0))*1.15^(COUNTIF(Q$4:Q54,SUBSTITUTE(Q55,""Sell_"",""""))-COUNTIF(Q$4:Q54,""Sell_"&amp;"""&amp;SUBSTITUTE(Q55,""Sell_"",""""))))/2),ROUNDUP(INDEX(Upgrades!$C$3:$C$13,MATCH(Q55,Upgrades!$B$3:$B$13,0))*1.15^(COUNTIF(Q$4:Q54,Q55)-COUNTIF(Q$4:Q54,""Sell_""&amp;Q55))))))"),26601.0)</f>
        <v>26601</v>
      </c>
      <c r="V55" s="10">
        <f t="shared" si="11"/>
        <v>26601</v>
      </c>
      <c r="W55" s="68">
        <f t="shared" si="12"/>
        <v>1574.283856</v>
      </c>
      <c r="X55" s="59" t="str">
        <f t="shared" si="13"/>
        <v>26m 14s</v>
      </c>
      <c r="Y55" s="69">
        <f t="shared" si="14"/>
        <v>382504</v>
      </c>
      <c r="Z55" s="11"/>
      <c r="AG55" s="59"/>
    </row>
    <row r="56">
      <c r="A56" s="8"/>
      <c r="B56" s="56">
        <f t="shared" si="2"/>
        <v>12</v>
      </c>
      <c r="C56" s="67" t="s">
        <v>3</v>
      </c>
      <c r="D56" s="10" t="b">
        <f>IFERROR(__xludf.DUMMYFUNCTION("IF(COUNTA(C56:C1644)=0,"""",IF(ISBLANK(C56),FALSE,IF(NOT(COUNTIF($AA$24:$AA$34,SUBSTITUTE(C56,""Sell_"",""""))),1,IF(REGEXMATCH(C56,""Sell_""),IF(COUNTIF(C$4:C56,SUBSTITUTE(C56,""Sell_"",""""))-COUNTIF(C$4:C55,C56)&lt;1,1),FALSE))))"),FALSE)</f>
        <v>0</v>
      </c>
      <c r="E56" s="59">
        <f t="array" ref="E56">IF(COUNTA(C56:C1644)=0,"",SUM((COUNTIF(C$4:C56,Upgrades!$B$3:$B$13)-COUNTIF(C$4:C56,"Sell_"&amp;Upgrades!$B$3:$B$13))*Upgrades!$D$3:$D$13))</f>
        <v>837.7</v>
      </c>
      <c r="F56" s="66">
        <f>IFERROR(__xludf.DUMMYFUNCTION("IF(COUNTA(C56:C1644)=0,"""",IF(REGEXMATCH(INDEX(FILTER(C$4:C56,C$4:C56&lt;&gt;""""),ROWS(FILTER(C$4:C56,C$4:C56&lt;&gt;""""))),""^Sell_""),INDEX(FILTER(F$4:F55,C$4:C55&lt;&gt;""""),ROWS(FILTER(C$4:C55,C$4:C55&lt;&gt;""""))),$AC$5+E56))"),847.7)</f>
        <v>847.7</v>
      </c>
      <c r="G56" s="10">
        <f>IFERROR(__xludf.DUMMYFUNCTION("IF(COUNTA(C56:C1644)=0,"""",IF(C56="""",0,IF(REGEXMATCH(C56,""^Sell_""),-ROUNDDOWN(ROUNDUP(INDEX(Upgrades!$C$3:$C$13,MATCH(SUBSTITUTE(C56,""Sell_"",""""),Upgrades!$B$3:$B$13,0))*1.15^(COUNTIF(C$4:C55,SUBSTITUTE(C56,""Sell_"",""""))-COUNTIF(C$4:C55,""Sell_"&amp;"""&amp;SUBSTITUTE(C56,""Sell_"",""""))))/2),ROUNDUP(INDEX(Upgrades!$C$3:$C$13,MATCH(C56,Upgrades!$B$3:$B$13,0))*1.15^(COUNTIF(C$4:C55,C56)-COUNTIF(C$4:C55,""Sell_""&amp;C56))))))"),70.0)</f>
        <v>70</v>
      </c>
      <c r="H56" s="10">
        <f t="shared" si="3"/>
        <v>70</v>
      </c>
      <c r="I56" s="68">
        <f t="shared" si="4"/>
        <v>1574.366442</v>
      </c>
      <c r="J56" s="59" t="str">
        <f t="shared" si="5"/>
        <v>26m 14s</v>
      </c>
      <c r="K56" s="69">
        <f t="shared" si="6"/>
        <v>382574</v>
      </c>
      <c r="L56" s="60">
        <f t="shared" si="7"/>
        <v>0</v>
      </c>
      <c r="M56" s="61">
        <f>IFERROR(__xludf.DUMMYFUNCTION("IFS(AND(COUNTA(C56:C1644)=0,COUNTA(Q56:Q1644)=0),"""",OR(AND(K56&gt;=1000000000,OR(Y56&gt;=1000000000,COUNTA(Q56:Q1644)=0)),OR(Y56&gt;=1000000000,AND(COUNTA(C56:C1644)=0,P$3=TRUE))),
ROUNDDOWN((AB$1-AC$1)*MAX(INDEX(T$4:T1644,MATCH(LARGE(FILTER(Y$4:Y1644,Y$4:Y1644&lt;"&amp;"1000000000),1),Y$4:Y1644)),INDEX(F$4:F1644,MATCH(LARGE(FILTER(K$4:K1644,K$4:K1644&lt;1000000000),1),K$4:K1644)))),AND(K56&lt;1000000000,COUNTA(C56:C1644)&gt;0,P$3=FALSE),
ROUNDDOWN(INDEX(Y$4:Y1644,MATCH(LARGE(FILTER(W$4:W1644,W$4:W1644&lt;=I56),1),W$4:W1644))+(I56-LA"&amp;"RGE(FILTER(W$4:W1644,W$4:W1644&lt;=I56),1))*INDEX(T$4:T1644,MATCH(LARGE(FILTER(W$4:W1644,W$4:W1644&lt;=I56),1),W$4:W1644))-K56),1,
ROUNDDOWN(Y56-INDEX(K$4:K1644,MATCH(LARGE(FILTER(I$4:I1644,I$4:I1644&lt;=W56),1),I$4:I1644))-(W56-LARGE(FILTER(I$4:I1644,I$4:I1644&lt;=W"&amp;"56),1))*INDEX(F$4:F1644,MATCH(LARGE(FILTER(I$4:I1644,I$4:I1644&lt;=W56),1),I$4:I1644))))"),0.0)</f>
        <v>0</v>
      </c>
      <c r="N56" s="60">
        <f t="shared" si="8"/>
        <v>0</v>
      </c>
      <c r="O56" s="61">
        <f t="shared" si="9"/>
        <v>0</v>
      </c>
      <c r="P56" s="56">
        <f t="shared" si="10"/>
        <v>12</v>
      </c>
      <c r="Q56" s="67" t="s">
        <v>3</v>
      </c>
      <c r="R56" s="10" t="b">
        <f>IFERROR(__xludf.DUMMYFUNCTION("IF(COUNTA(Q56:Q1644)=0,"""",IF(ISBLANK(Q56),FALSE,IF(NOT(COUNTIF($AA$24:$AA$34,SUBSTITUTE(Q56,""Sell_"",""""))),1,IF(REGEXMATCH(Q56,""Sell_""),IF(COUNTIF(Q$4:Q56,SUBSTITUTE(Q56,""Sell_"",""""))-COUNTIF(Q$4:Q55,Q56)&lt;1,1),FALSE))))"),FALSE)</f>
        <v>0</v>
      </c>
      <c r="S56" s="59">
        <f t="array" ref="S56">IF(COUNTA(Q56:Q1644)=0,"",SUM((COUNTIF(Q$4:Q56,Upgrades!$B$3:$B$13)-COUNTIF(Q$4:Q56,"Sell_"&amp;Upgrades!$B$3:$B$13))*Upgrades!$D$3:$D$13))</f>
        <v>837.7</v>
      </c>
      <c r="T56" s="66">
        <f>IFERROR(__xludf.DUMMYFUNCTION("IF(COUNTA(Q56:Q1644)=0,"""",IF(REGEXMATCH(INDEX(FILTER(Q$4:Q56,Q$4:Q56&lt;&gt;""""),ROWS(FILTER(Q$4:Q56,Q$4:Q56&lt;&gt;""""))),""^Sell_""),INDEX(FILTER(T$4:T55,Q$4:Q55&lt;&gt;""""),ROWS(FILTER(Q$4:Q55,Q$4:Q55&lt;&gt;""""))),$AD$5+S56))"),847.7)</f>
        <v>847.7</v>
      </c>
      <c r="U56" s="10">
        <f>IFERROR(__xludf.DUMMYFUNCTION("IF(COUNTA(Q56:Q1644)=0,"""",IF(Q56="""",0,IF(REGEXMATCH(Q56,""^Sell_""),-ROUNDDOWN(ROUNDUP(INDEX(Upgrades!$C$3:$C$13,MATCH(SUBSTITUTE(Q56,""Sell_"",""""),Upgrades!$B$3:$B$13,0))*1.15^(COUNTIF(Q$4:Q55,SUBSTITUTE(Q56,""Sell_"",""""))-COUNTIF(Q$4:Q55,""Sell_"&amp;"""&amp;SUBSTITUTE(Q56,""Sell_"",""""))))/2),ROUNDUP(INDEX(Upgrades!$C$3:$C$13,MATCH(Q56,Upgrades!$B$3:$B$13,0))*1.15^(COUNTIF(Q$4:Q55,Q56)-COUNTIF(Q$4:Q55,""Sell_""&amp;Q56))))))"),70.0)</f>
        <v>70</v>
      </c>
      <c r="V56" s="10">
        <f t="shared" si="11"/>
        <v>70</v>
      </c>
      <c r="W56" s="68">
        <f t="shared" si="12"/>
        <v>1574.366442</v>
      </c>
      <c r="X56" s="59" t="str">
        <f t="shared" si="13"/>
        <v>26m 14s</v>
      </c>
      <c r="Y56" s="69">
        <f t="shared" si="14"/>
        <v>382574</v>
      </c>
      <c r="Z56" s="11"/>
      <c r="AG56" s="59"/>
    </row>
    <row r="57">
      <c r="A57" s="8"/>
      <c r="B57" s="56">
        <f t="shared" si="2"/>
        <v>7</v>
      </c>
      <c r="C57" s="67" t="s">
        <v>6</v>
      </c>
      <c r="D57" s="10" t="b">
        <f>IFERROR(__xludf.DUMMYFUNCTION("IF(COUNTA(C57:C1644)=0,"""",IF(ISBLANK(C57),FALSE,IF(NOT(COUNTIF($AA$24:$AA$34,SUBSTITUTE(C57,""Sell_"",""""))),1,IF(REGEXMATCH(C57,""Sell_""),IF(COUNTIF(C$4:C57,SUBSTITUTE(C57,""Sell_"",""""))-COUNTIF(C$4:C56,C57)&lt;1,1),FALSE))))"),FALSE)</f>
        <v>0</v>
      </c>
      <c r="E57" s="59">
        <f t="array" ref="E57">IF(COUNTA(C57:C1644)=0,"",SUM((COUNTIF(C$4:C57,Upgrades!$B$3:$B$13)-COUNTIF(C$4:C57,"Sell_"&amp;Upgrades!$B$3:$B$13))*Upgrades!$D$3:$D$13))</f>
        <v>847.7</v>
      </c>
      <c r="F57" s="66">
        <f>IFERROR(__xludf.DUMMYFUNCTION("IF(COUNTA(C57:C1644)=0,"""",IF(REGEXMATCH(INDEX(FILTER(C$4:C57,C$4:C57&lt;&gt;""""),ROWS(FILTER(C$4:C57,C$4:C57&lt;&gt;""""))),""^Sell_""),INDEX(FILTER(F$4:F56,C$4:C56&lt;&gt;""""),ROWS(FILTER(C$4:C56,C$4:C56&lt;&gt;""""))),$AC$5+E57))"),857.7)</f>
        <v>857.7</v>
      </c>
      <c r="G57" s="10">
        <f>IFERROR(__xludf.DUMMYFUNCTION("IF(COUNTA(C57:C1644)=0,"""",IF(C57="""",0,IF(REGEXMATCH(C57,""^Sell_""),-ROUNDDOWN(ROUNDUP(INDEX(Upgrades!$C$3:$C$13,MATCH(SUBSTITUTE(C57,""Sell_"",""""),Upgrades!$B$3:$B$13,0))*1.15^(COUNTIF(C$4:C56,SUBSTITUTE(C57,""Sell_"",""""))-COUNTIF(C$4:C56,""Sell_"&amp;"""&amp;SUBSTITUTE(C57,""Sell_"",""""))))/2),ROUNDUP(INDEX(Upgrades!$C$3:$C$13,MATCH(C57,Upgrades!$B$3:$B$13,0))*1.15^(COUNTIF(C$4:C56,C57)-COUNTIF(C$4:C56,""Sell_""&amp;C57))))))"),6940.0)</f>
        <v>6940</v>
      </c>
      <c r="H57" s="10">
        <f t="shared" si="3"/>
        <v>6940</v>
      </c>
      <c r="I57" s="68">
        <f t="shared" si="4"/>
        <v>1582.553301</v>
      </c>
      <c r="J57" s="59" t="str">
        <f t="shared" si="5"/>
        <v>26m 22s</v>
      </c>
      <c r="K57" s="69">
        <f t="shared" si="6"/>
        <v>389514</v>
      </c>
      <c r="L57" s="60">
        <f t="shared" si="7"/>
        <v>0</v>
      </c>
      <c r="M57" s="61">
        <f>IFERROR(__xludf.DUMMYFUNCTION("IFS(AND(COUNTA(C57:C1644)=0,COUNTA(Q57:Q1644)=0),"""",OR(AND(K57&gt;=1000000000,OR(Y57&gt;=1000000000,COUNTA(Q57:Q1644)=0)),OR(Y57&gt;=1000000000,AND(COUNTA(C57:C1644)=0,P$3=TRUE))),
ROUNDDOWN((AB$1-AC$1)*MAX(INDEX(T$4:T1644,MATCH(LARGE(FILTER(Y$4:Y1644,Y$4:Y1644&lt;"&amp;"1000000000),1),Y$4:Y1644)),INDEX(F$4:F1644,MATCH(LARGE(FILTER(K$4:K1644,K$4:K1644&lt;1000000000),1),K$4:K1644)))),AND(K57&lt;1000000000,COUNTA(C57:C1644)&gt;0,P$3=FALSE),
ROUNDDOWN(INDEX(Y$4:Y1644,MATCH(LARGE(FILTER(W$4:W1644,W$4:W1644&lt;=I57),1),W$4:W1644))+(I57-LA"&amp;"RGE(FILTER(W$4:W1644,W$4:W1644&lt;=I57),1))*INDEX(T$4:T1644,MATCH(LARGE(FILTER(W$4:W1644,W$4:W1644&lt;=I57),1),W$4:W1644))-K57),1,
ROUNDDOWN(Y57-INDEX(K$4:K1644,MATCH(LARGE(FILTER(I$4:I1644,I$4:I1644&lt;=W57),1),I$4:I1644))-(W57-LARGE(FILTER(I$4:I1644,I$4:I1644&lt;=W"&amp;"57),1))*INDEX(F$4:F1644,MATCH(LARGE(FILTER(I$4:I1644,I$4:I1644&lt;=W57),1),I$4:I1644))))"),0.0)</f>
        <v>0</v>
      </c>
      <c r="N57" s="60">
        <f t="shared" si="8"/>
        <v>0</v>
      </c>
      <c r="O57" s="61">
        <f t="shared" si="9"/>
        <v>0</v>
      </c>
      <c r="P57" s="56">
        <f t="shared" si="10"/>
        <v>7</v>
      </c>
      <c r="Q57" s="67" t="s">
        <v>6</v>
      </c>
      <c r="R57" s="10" t="b">
        <f>IFERROR(__xludf.DUMMYFUNCTION("IF(COUNTA(Q57:Q1644)=0,"""",IF(ISBLANK(Q57),FALSE,IF(NOT(COUNTIF($AA$24:$AA$34,SUBSTITUTE(Q57,""Sell_"",""""))),1,IF(REGEXMATCH(Q57,""Sell_""),IF(COUNTIF(Q$4:Q57,SUBSTITUTE(Q57,""Sell_"",""""))-COUNTIF(Q$4:Q56,Q57)&lt;1,1),FALSE))))"),FALSE)</f>
        <v>0</v>
      </c>
      <c r="S57" s="59">
        <f t="array" ref="S57">IF(COUNTA(Q57:Q1644)=0,"",SUM((COUNTIF(Q$4:Q57,Upgrades!$B$3:$B$13)-COUNTIF(Q$4:Q57,"Sell_"&amp;Upgrades!$B$3:$B$13))*Upgrades!$D$3:$D$13))</f>
        <v>847.7</v>
      </c>
      <c r="T57" s="66">
        <f>IFERROR(__xludf.DUMMYFUNCTION("IF(COUNTA(Q57:Q1644)=0,"""",IF(REGEXMATCH(INDEX(FILTER(Q$4:Q57,Q$4:Q57&lt;&gt;""""),ROWS(FILTER(Q$4:Q57,Q$4:Q57&lt;&gt;""""))),""^Sell_""),INDEX(FILTER(T$4:T56,Q$4:Q56&lt;&gt;""""),ROWS(FILTER(Q$4:Q56,Q$4:Q56&lt;&gt;""""))),$AD$5+S57))"),857.7)</f>
        <v>857.7</v>
      </c>
      <c r="U57" s="10">
        <f>IFERROR(__xludf.DUMMYFUNCTION("IF(COUNTA(Q57:Q1644)=0,"""",IF(Q57="""",0,IF(REGEXMATCH(Q57,""^Sell_""),-ROUNDDOWN(ROUNDUP(INDEX(Upgrades!$C$3:$C$13,MATCH(SUBSTITUTE(Q57,""Sell_"",""""),Upgrades!$B$3:$B$13,0))*1.15^(COUNTIF(Q$4:Q56,SUBSTITUTE(Q57,""Sell_"",""""))-COUNTIF(Q$4:Q56,""Sell_"&amp;"""&amp;SUBSTITUTE(Q57,""Sell_"",""""))))/2),ROUNDUP(INDEX(Upgrades!$C$3:$C$13,MATCH(Q57,Upgrades!$B$3:$B$13,0))*1.15^(COUNTIF(Q$4:Q56,Q57)-COUNTIF(Q$4:Q56,""Sell_""&amp;Q57))))))"),6940.0)</f>
        <v>6940</v>
      </c>
      <c r="V57" s="10">
        <f t="shared" si="11"/>
        <v>6940</v>
      </c>
      <c r="W57" s="68">
        <f t="shared" si="12"/>
        <v>1582.553301</v>
      </c>
      <c r="X57" s="59" t="str">
        <f t="shared" si="13"/>
        <v>26m 22s</v>
      </c>
      <c r="Y57" s="69">
        <f t="shared" si="14"/>
        <v>389514</v>
      </c>
      <c r="Z57" s="11"/>
      <c r="AG57" s="59"/>
    </row>
    <row r="58">
      <c r="A58" s="8"/>
      <c r="B58" s="56">
        <f t="shared" si="2"/>
        <v>10</v>
      </c>
      <c r="C58" s="67" t="s">
        <v>4</v>
      </c>
      <c r="D58" s="10" t="b">
        <f>IFERROR(__xludf.DUMMYFUNCTION("IF(COUNTA(C58:C1644)=0,"""",IF(ISBLANK(C58),FALSE,IF(NOT(COUNTIF($AA$24:$AA$34,SUBSTITUTE(C58,""Sell_"",""""))),1,IF(REGEXMATCH(C58,""Sell_""),IF(COUNTIF(C$4:C58,SUBSTITUTE(C58,""Sell_"",""""))-COUNTIF(C$4:C57,C58)&lt;1,1),FALSE))))"),FALSE)</f>
        <v>0</v>
      </c>
      <c r="E58" s="59">
        <f t="array" ref="E58">IF(COUNTA(C58:C1644)=0,"",SUM((COUNTIF(C$4:C58,Upgrades!$B$3:$B$13)-COUNTIF(C$4:C58,"Sell_"&amp;Upgrades!$B$3:$B$13))*Upgrades!$D$3:$D$13))</f>
        <v>848.2</v>
      </c>
      <c r="F58" s="66">
        <f>IFERROR(__xludf.DUMMYFUNCTION("IF(COUNTA(C58:C1644)=0,"""",IF(REGEXMATCH(INDEX(FILTER(C$4:C58,C$4:C58&lt;&gt;""""),ROWS(FILTER(C$4:C58,C$4:C58&lt;&gt;""""))),""^Sell_""),INDEX(FILTER(F$4:F57,C$4:C57&lt;&gt;""""),ROWS(FILTER(C$4:C57,C$4:C57&lt;&gt;""""))),$AC$5+E58))"),858.2)</f>
        <v>858.2</v>
      </c>
      <c r="G58" s="10">
        <f>IFERROR(__xludf.DUMMYFUNCTION("IF(COUNTA(C58:C1644)=0,"""",IF(C58="""",0,IF(REGEXMATCH(C58,""^Sell_""),-ROUNDDOWN(ROUNDUP(INDEX(Upgrades!$C$3:$C$13,MATCH(SUBSTITUTE(C58,""Sell_"",""""),Upgrades!$B$3:$B$13,0))*1.15^(COUNTIF(C$4:C57,SUBSTITUTE(C58,""Sell_"",""""))-COUNTIF(C$4:C57,""Sell_"&amp;"""&amp;SUBSTITUTE(C58,""Sell_"",""""))))/2),ROUNDUP(INDEX(Upgrades!$C$3:$C$13,MATCH(C58,Upgrades!$B$3:$B$13,0))*1.15^(COUNTIF(C$4:C57,C58)-COUNTIF(C$4:C57,""Sell_""&amp;C58))))))"),352.0)</f>
        <v>352</v>
      </c>
      <c r="H58" s="10">
        <f t="shared" si="3"/>
        <v>352</v>
      </c>
      <c r="I58" s="68">
        <f t="shared" si="4"/>
        <v>1582.963701</v>
      </c>
      <c r="J58" s="59" t="str">
        <f t="shared" si="5"/>
        <v>26m 22s</v>
      </c>
      <c r="K58" s="69">
        <f t="shared" si="6"/>
        <v>389866</v>
      </c>
      <c r="L58" s="60">
        <f t="shared" si="7"/>
        <v>0</v>
      </c>
      <c r="M58" s="61">
        <f>IFERROR(__xludf.DUMMYFUNCTION("IFS(AND(COUNTA(C58:C1644)=0,COUNTA(Q58:Q1644)=0),"""",OR(AND(K58&gt;=1000000000,OR(Y58&gt;=1000000000,COUNTA(Q58:Q1644)=0)),OR(Y58&gt;=1000000000,AND(COUNTA(C58:C1644)=0,P$3=TRUE))),
ROUNDDOWN((AB$1-AC$1)*MAX(INDEX(T$4:T1644,MATCH(LARGE(FILTER(Y$4:Y1644,Y$4:Y1644&lt;"&amp;"1000000000),1),Y$4:Y1644)),INDEX(F$4:F1644,MATCH(LARGE(FILTER(K$4:K1644,K$4:K1644&lt;1000000000),1),K$4:K1644)))),AND(K58&lt;1000000000,COUNTA(C58:C1644)&gt;0,P$3=FALSE),
ROUNDDOWN(INDEX(Y$4:Y1644,MATCH(LARGE(FILTER(W$4:W1644,W$4:W1644&lt;=I58),1),W$4:W1644))+(I58-LA"&amp;"RGE(FILTER(W$4:W1644,W$4:W1644&lt;=I58),1))*INDEX(T$4:T1644,MATCH(LARGE(FILTER(W$4:W1644,W$4:W1644&lt;=I58),1),W$4:W1644))-K58),1,
ROUNDDOWN(Y58-INDEX(K$4:K1644,MATCH(LARGE(FILTER(I$4:I1644,I$4:I1644&lt;=W58),1),I$4:I1644))-(W58-LARGE(FILTER(I$4:I1644,I$4:I1644&lt;=W"&amp;"58),1))*INDEX(F$4:F1644,MATCH(LARGE(FILTER(I$4:I1644,I$4:I1644&lt;=W58),1),I$4:I1644))))"),0.0)</f>
        <v>0</v>
      </c>
      <c r="N58" s="60">
        <f t="shared" si="8"/>
        <v>0</v>
      </c>
      <c r="O58" s="61">
        <f t="shared" si="9"/>
        <v>0</v>
      </c>
      <c r="P58" s="56">
        <f t="shared" si="10"/>
        <v>10</v>
      </c>
      <c r="Q58" s="67" t="s">
        <v>4</v>
      </c>
      <c r="R58" s="10" t="b">
        <f>IFERROR(__xludf.DUMMYFUNCTION("IF(COUNTA(Q58:Q1644)=0,"""",IF(ISBLANK(Q58),FALSE,IF(NOT(COUNTIF($AA$24:$AA$34,SUBSTITUTE(Q58,""Sell_"",""""))),1,IF(REGEXMATCH(Q58,""Sell_""),IF(COUNTIF(Q$4:Q58,SUBSTITUTE(Q58,""Sell_"",""""))-COUNTIF(Q$4:Q57,Q58)&lt;1,1),FALSE))))"),FALSE)</f>
        <v>0</v>
      </c>
      <c r="S58" s="59">
        <f t="array" ref="S58">IF(COUNTA(Q58:Q1644)=0,"",SUM((COUNTIF(Q$4:Q58,Upgrades!$B$3:$B$13)-COUNTIF(Q$4:Q58,"Sell_"&amp;Upgrades!$B$3:$B$13))*Upgrades!$D$3:$D$13))</f>
        <v>848.2</v>
      </c>
      <c r="T58" s="66">
        <f>IFERROR(__xludf.DUMMYFUNCTION("IF(COUNTA(Q58:Q1644)=0,"""",IF(REGEXMATCH(INDEX(FILTER(Q$4:Q58,Q$4:Q58&lt;&gt;""""),ROWS(FILTER(Q$4:Q58,Q$4:Q58&lt;&gt;""""))),""^Sell_""),INDEX(FILTER(T$4:T57,Q$4:Q57&lt;&gt;""""),ROWS(FILTER(Q$4:Q57,Q$4:Q57&lt;&gt;""""))),$AD$5+S58))"),858.2)</f>
        <v>858.2</v>
      </c>
      <c r="U58" s="10">
        <f>IFERROR(__xludf.DUMMYFUNCTION("IF(COUNTA(Q58:Q1644)=0,"""",IF(Q58="""",0,IF(REGEXMATCH(Q58,""^Sell_""),-ROUNDDOWN(ROUNDUP(INDEX(Upgrades!$C$3:$C$13,MATCH(SUBSTITUTE(Q58,""Sell_"",""""),Upgrades!$B$3:$B$13,0))*1.15^(COUNTIF(Q$4:Q57,SUBSTITUTE(Q58,""Sell_"",""""))-COUNTIF(Q$4:Q57,""Sell_"&amp;"""&amp;SUBSTITUTE(Q58,""Sell_"",""""))))/2),ROUNDUP(INDEX(Upgrades!$C$3:$C$13,MATCH(Q58,Upgrades!$B$3:$B$13,0))*1.15^(COUNTIF(Q$4:Q57,Q58)-COUNTIF(Q$4:Q57,""Sell_""&amp;Q58))))))"),352.0)</f>
        <v>352</v>
      </c>
      <c r="V58" s="10">
        <f t="shared" si="11"/>
        <v>352</v>
      </c>
      <c r="W58" s="68">
        <f t="shared" si="12"/>
        <v>1582.963701</v>
      </c>
      <c r="X58" s="59" t="str">
        <f t="shared" si="13"/>
        <v>26m 22s</v>
      </c>
      <c r="Y58" s="69">
        <f t="shared" si="14"/>
        <v>389866</v>
      </c>
      <c r="Z58" s="11"/>
      <c r="AG58" s="59"/>
    </row>
    <row r="59">
      <c r="A59" s="8"/>
      <c r="B59" s="56">
        <f t="shared" si="2"/>
        <v>1</v>
      </c>
      <c r="C59" s="67" t="s">
        <v>9</v>
      </c>
      <c r="D59" s="10" t="b">
        <f>IFERROR(__xludf.DUMMYFUNCTION("IF(COUNTA(C59:C1644)=0,"""",IF(ISBLANK(C59),FALSE,IF(NOT(COUNTIF($AA$24:$AA$34,SUBSTITUTE(C59,""Sell_"",""""))),1,IF(REGEXMATCH(C59,""Sell_""),IF(COUNTIF(C$4:C59,SUBSTITUTE(C59,""Sell_"",""""))-COUNTIF(C$4:C58,C59)&lt;1,1),FALSE))))"),FALSE)</f>
        <v>0</v>
      </c>
      <c r="E59" s="59">
        <f t="array" ref="E59">IF(COUNTA(C59:C1644)=0,"",SUM((COUNTIF(C$4:C59,Upgrades!$B$3:$B$13)-COUNTIF(C$4:C59,"Sell_"&amp;Upgrades!$B$3:$B$13))*Upgrades!$D$3:$D$13))</f>
        <v>1248.2</v>
      </c>
      <c r="F59" s="66">
        <f>IFERROR(__xludf.DUMMYFUNCTION("IF(COUNTA(C59:C1644)=0,"""",IF(REGEXMATCH(INDEX(FILTER(C$4:C59,C$4:C59&lt;&gt;""""),ROWS(FILTER(C$4:C59,C$4:C59&lt;&gt;""""))),""^Sell_""),INDEX(FILTER(F$4:F58,C$4:C58&lt;&gt;""""),ROWS(FILTER(C$4:C58,C$4:C58&lt;&gt;""""))),$AC$5+E59))"),1258.2)</f>
        <v>1258.2</v>
      </c>
      <c r="G59" s="10">
        <f>IFERROR(__xludf.DUMMYFUNCTION("IF(COUNTA(C59:C1644)=0,"""",IF(C59="""",0,IF(REGEXMATCH(C59,""^Sell_""),-ROUNDDOWN(ROUNDUP(INDEX(Upgrades!$C$3:$C$13,MATCH(SUBSTITUTE(C59,""Sell_"",""""),Upgrades!$B$3:$B$13,0))*1.15^(COUNTIF(C$4:C58,SUBSTITUTE(C59,""Sell_"",""""))-COUNTIF(C$4:C58,""Sell_"&amp;"""&amp;SUBSTITUTE(C59,""Sell_"",""""))))/2),ROUNDUP(INDEX(Upgrades!$C$3:$C$13,MATCH(C59,Upgrades!$B$3:$B$13,0))*1.15^(COUNTIF(C$4:C58,C59)-COUNTIF(C$4:C58,""Sell_""&amp;C59))))))"),200000.0)</f>
        <v>200000</v>
      </c>
      <c r="H59" s="10">
        <f t="shared" si="3"/>
        <v>200000</v>
      </c>
      <c r="I59" s="68">
        <f t="shared" si="4"/>
        <v>1816.009611</v>
      </c>
      <c r="J59" s="59" t="str">
        <f t="shared" si="5"/>
        <v>30m 16s</v>
      </c>
      <c r="K59" s="69">
        <f t="shared" si="6"/>
        <v>589866</v>
      </c>
      <c r="L59" s="60">
        <f t="shared" si="7"/>
        <v>0</v>
      </c>
      <c r="M59" s="61">
        <f>IFERROR(__xludf.DUMMYFUNCTION("IFS(AND(COUNTA(C59:C1644)=0,COUNTA(Q59:Q1644)=0),"""",OR(AND(K59&gt;=1000000000,OR(Y59&gt;=1000000000,COUNTA(Q59:Q1644)=0)),OR(Y59&gt;=1000000000,AND(COUNTA(C59:C1644)=0,P$3=TRUE))),
ROUNDDOWN((AB$1-AC$1)*MAX(INDEX(T$4:T1644,MATCH(LARGE(FILTER(Y$4:Y1644,Y$4:Y1644&lt;"&amp;"1000000000),1),Y$4:Y1644)),INDEX(F$4:F1644,MATCH(LARGE(FILTER(K$4:K1644,K$4:K1644&lt;1000000000),1),K$4:K1644)))),AND(K59&lt;1000000000,COUNTA(C59:C1644)&gt;0,P$3=FALSE),
ROUNDDOWN(INDEX(Y$4:Y1644,MATCH(LARGE(FILTER(W$4:W1644,W$4:W1644&lt;=I59),1),W$4:W1644))+(I59-LA"&amp;"RGE(FILTER(W$4:W1644,W$4:W1644&lt;=I59),1))*INDEX(T$4:T1644,MATCH(LARGE(FILTER(W$4:W1644,W$4:W1644&lt;=I59),1),W$4:W1644))-K59),1,
ROUNDDOWN(Y59-INDEX(K$4:K1644,MATCH(LARGE(FILTER(I$4:I1644,I$4:I1644&lt;=W59),1),I$4:I1644))-(W59-LARGE(FILTER(I$4:I1644,I$4:I1644&lt;=W"&amp;"59),1))*INDEX(F$4:F1644,MATCH(LARGE(FILTER(I$4:I1644,I$4:I1644&lt;=W59),1),I$4:I1644))))"),0.0)</f>
        <v>0</v>
      </c>
      <c r="N59" s="60">
        <f t="shared" si="8"/>
        <v>0</v>
      </c>
      <c r="O59" s="61">
        <f t="shared" si="9"/>
        <v>0</v>
      </c>
      <c r="P59" s="56">
        <f t="shared" si="10"/>
        <v>1</v>
      </c>
      <c r="Q59" s="67" t="s">
        <v>9</v>
      </c>
      <c r="R59" s="10" t="b">
        <f>IFERROR(__xludf.DUMMYFUNCTION("IF(COUNTA(Q59:Q1644)=0,"""",IF(ISBLANK(Q59),FALSE,IF(NOT(COUNTIF($AA$24:$AA$34,SUBSTITUTE(Q59,""Sell_"",""""))),1,IF(REGEXMATCH(Q59,""Sell_""),IF(COUNTIF(Q$4:Q59,SUBSTITUTE(Q59,""Sell_"",""""))-COUNTIF(Q$4:Q58,Q59)&lt;1,1),FALSE))))"),FALSE)</f>
        <v>0</v>
      </c>
      <c r="S59" s="59">
        <f t="array" ref="S59">IF(COUNTA(Q59:Q1644)=0,"",SUM((COUNTIF(Q$4:Q59,Upgrades!$B$3:$B$13)-COUNTIF(Q$4:Q59,"Sell_"&amp;Upgrades!$B$3:$B$13))*Upgrades!$D$3:$D$13))</f>
        <v>1248.2</v>
      </c>
      <c r="T59" s="66">
        <f>IFERROR(__xludf.DUMMYFUNCTION("IF(COUNTA(Q59:Q1644)=0,"""",IF(REGEXMATCH(INDEX(FILTER(Q$4:Q59,Q$4:Q59&lt;&gt;""""),ROWS(FILTER(Q$4:Q59,Q$4:Q59&lt;&gt;""""))),""^Sell_""),INDEX(FILTER(T$4:T58,Q$4:Q58&lt;&gt;""""),ROWS(FILTER(Q$4:Q58,Q$4:Q58&lt;&gt;""""))),$AD$5+S59))"),1258.2)</f>
        <v>1258.2</v>
      </c>
      <c r="U59" s="10">
        <f>IFERROR(__xludf.DUMMYFUNCTION("IF(COUNTA(Q59:Q1644)=0,"""",IF(Q59="""",0,IF(REGEXMATCH(Q59,""^Sell_""),-ROUNDDOWN(ROUNDUP(INDEX(Upgrades!$C$3:$C$13,MATCH(SUBSTITUTE(Q59,""Sell_"",""""),Upgrades!$B$3:$B$13,0))*1.15^(COUNTIF(Q$4:Q58,SUBSTITUTE(Q59,""Sell_"",""""))-COUNTIF(Q$4:Q58,""Sell_"&amp;"""&amp;SUBSTITUTE(Q59,""Sell_"",""""))))/2),ROUNDUP(INDEX(Upgrades!$C$3:$C$13,MATCH(Q59,Upgrades!$B$3:$B$13,0))*1.15^(COUNTIF(Q$4:Q58,Q59)-COUNTIF(Q$4:Q58,""Sell_""&amp;Q59))))))"),200000.0)</f>
        <v>200000</v>
      </c>
      <c r="V59" s="10">
        <f t="shared" si="11"/>
        <v>200000</v>
      </c>
      <c r="W59" s="68">
        <f t="shared" si="12"/>
        <v>1816.009611</v>
      </c>
      <c r="X59" s="59" t="str">
        <f t="shared" si="13"/>
        <v>30m 16s</v>
      </c>
      <c r="Y59" s="69">
        <f t="shared" si="14"/>
        <v>589866</v>
      </c>
      <c r="Z59" s="11"/>
      <c r="AG59" s="59"/>
    </row>
    <row r="60">
      <c r="A60" s="8"/>
      <c r="B60" s="56">
        <f t="shared" si="2"/>
        <v>5</v>
      </c>
      <c r="C60" s="67" t="s">
        <v>8</v>
      </c>
      <c r="D60" s="10" t="b">
        <f>IFERROR(__xludf.DUMMYFUNCTION("IF(COUNTA(C60:C1644)=0,"""",IF(ISBLANK(C60),FALSE,IF(NOT(COUNTIF($AA$24:$AA$34,SUBSTITUTE(C60,""Sell_"",""""))),1,IF(REGEXMATCH(C60,""Sell_""),IF(COUNTIF(C$4:C60,SUBSTITUTE(C60,""Sell_"",""""))-COUNTIF(C$4:C59,C60)&lt;1,1),FALSE))))"),FALSE)</f>
        <v>0</v>
      </c>
      <c r="E60" s="59">
        <f t="array" ref="E60">IF(COUNTA(C60:C1644)=0,"",SUM((COUNTIF(C$4:C60,Upgrades!$B$3:$B$13)-COUNTIF(C$4:C60,"Sell_"&amp;Upgrades!$B$3:$B$13))*Upgrades!$D$3:$D$13))</f>
        <v>1348.2</v>
      </c>
      <c r="F60" s="66">
        <f>IFERROR(__xludf.DUMMYFUNCTION("IF(COUNTA(C60:C1644)=0,"""",IF(REGEXMATCH(INDEX(FILTER(C$4:C60,C$4:C60&lt;&gt;""""),ROWS(FILTER(C$4:C60,C$4:C60&lt;&gt;""""))),""^Sell_""),INDEX(FILTER(F$4:F59,C$4:C59&lt;&gt;""""),ROWS(FILTER(C$4:C59,C$4:C59&lt;&gt;""""))),$AC$5+E60))"),1358.2)</f>
        <v>1358.2</v>
      </c>
      <c r="G60" s="10">
        <f>IFERROR(__xludf.DUMMYFUNCTION("IF(COUNTA(C60:C1644)=0,"""",IF(C60="""",0,IF(REGEXMATCH(C60,""^Sell_""),-ROUNDDOWN(ROUNDUP(INDEX(Upgrades!$C$3:$C$13,MATCH(SUBSTITUTE(C60,""Sell_"",""""),Upgrades!$B$3:$B$13,0))*1.15^(COUNTIF(C$4:C59,SUBSTITUTE(C60,""Sell_"",""""))-COUNTIF(C$4:C59,""Sell_"&amp;"""&amp;SUBSTITUTE(C60,""Sell_"",""""))))/2),ROUNDUP(INDEX(Upgrades!$C$3:$C$13,MATCH(C60,Upgrades!$B$3:$B$13,0))*1.15^(COUNTIF(C$4:C59,C60)-COUNTIF(C$4:C59,""Sell_""&amp;C60))))))"),69961.0)</f>
        <v>69961</v>
      </c>
      <c r="H60" s="10">
        <f t="shared" si="3"/>
        <v>69961</v>
      </c>
      <c r="I60" s="68">
        <f t="shared" si="4"/>
        <v>1871.613648</v>
      </c>
      <c r="J60" s="59" t="str">
        <f t="shared" si="5"/>
        <v>31m 11s</v>
      </c>
      <c r="K60" s="69">
        <f t="shared" si="6"/>
        <v>659827</v>
      </c>
      <c r="L60" s="60">
        <f t="shared" si="7"/>
        <v>0</v>
      </c>
      <c r="M60" s="61">
        <f>IFERROR(__xludf.DUMMYFUNCTION("IFS(AND(COUNTA(C60:C1644)=0,COUNTA(Q60:Q1644)=0),"""",OR(AND(K60&gt;=1000000000,OR(Y60&gt;=1000000000,COUNTA(Q60:Q1644)=0)),OR(Y60&gt;=1000000000,AND(COUNTA(C60:C1644)=0,P$3=TRUE))),
ROUNDDOWN((AB$1-AC$1)*MAX(INDEX(T$4:T1644,MATCH(LARGE(FILTER(Y$4:Y1644,Y$4:Y1644&lt;"&amp;"1000000000),1),Y$4:Y1644)),INDEX(F$4:F1644,MATCH(LARGE(FILTER(K$4:K1644,K$4:K1644&lt;1000000000),1),K$4:K1644)))),AND(K60&lt;1000000000,COUNTA(C60:C1644)&gt;0,P$3=FALSE),
ROUNDDOWN(INDEX(Y$4:Y1644,MATCH(LARGE(FILTER(W$4:W1644,W$4:W1644&lt;=I60),1),W$4:W1644))+(I60-LA"&amp;"RGE(FILTER(W$4:W1644,W$4:W1644&lt;=I60),1))*INDEX(T$4:T1644,MATCH(LARGE(FILTER(W$4:W1644,W$4:W1644&lt;=I60),1),W$4:W1644))-K60),1,
ROUNDDOWN(Y60-INDEX(K$4:K1644,MATCH(LARGE(FILTER(I$4:I1644,I$4:I1644&lt;=W60),1),I$4:I1644))-(W60-LARGE(FILTER(I$4:I1644,I$4:I1644&lt;=W"&amp;"60),1))*INDEX(F$4:F1644,MATCH(LARGE(FILTER(I$4:I1644,I$4:I1644&lt;=W60),1),I$4:I1644))))"),0.0)</f>
        <v>0</v>
      </c>
      <c r="N60" s="60">
        <f t="shared" si="8"/>
        <v>0</v>
      </c>
      <c r="O60" s="61">
        <f t="shared" si="9"/>
        <v>0</v>
      </c>
      <c r="P60" s="56">
        <f t="shared" si="10"/>
        <v>5</v>
      </c>
      <c r="Q60" s="67" t="s">
        <v>8</v>
      </c>
      <c r="R60" s="10" t="b">
        <f>IFERROR(__xludf.DUMMYFUNCTION("IF(COUNTA(Q60:Q1644)=0,"""",IF(ISBLANK(Q60),FALSE,IF(NOT(COUNTIF($AA$24:$AA$34,SUBSTITUTE(Q60,""Sell_"",""""))),1,IF(REGEXMATCH(Q60,""Sell_""),IF(COUNTIF(Q$4:Q60,SUBSTITUTE(Q60,""Sell_"",""""))-COUNTIF(Q$4:Q59,Q60)&lt;1,1),FALSE))))"),FALSE)</f>
        <v>0</v>
      </c>
      <c r="S60" s="59">
        <f t="array" ref="S60">IF(COUNTA(Q60:Q1644)=0,"",SUM((COUNTIF(Q$4:Q60,Upgrades!$B$3:$B$13)-COUNTIF(Q$4:Q60,"Sell_"&amp;Upgrades!$B$3:$B$13))*Upgrades!$D$3:$D$13))</f>
        <v>1348.2</v>
      </c>
      <c r="T60" s="66">
        <f>IFERROR(__xludf.DUMMYFUNCTION("IF(COUNTA(Q60:Q1644)=0,"""",IF(REGEXMATCH(INDEX(FILTER(Q$4:Q60,Q$4:Q60&lt;&gt;""""),ROWS(FILTER(Q$4:Q60,Q$4:Q60&lt;&gt;""""))),""^Sell_""),INDEX(FILTER(T$4:T59,Q$4:Q59&lt;&gt;""""),ROWS(FILTER(Q$4:Q59,Q$4:Q59&lt;&gt;""""))),$AD$5+S60))"),1358.2)</f>
        <v>1358.2</v>
      </c>
      <c r="U60" s="10">
        <f>IFERROR(__xludf.DUMMYFUNCTION("IF(COUNTA(Q60:Q1644)=0,"""",IF(Q60="""",0,IF(REGEXMATCH(Q60,""^Sell_""),-ROUNDDOWN(ROUNDUP(INDEX(Upgrades!$C$3:$C$13,MATCH(SUBSTITUTE(Q60,""Sell_"",""""),Upgrades!$B$3:$B$13,0))*1.15^(COUNTIF(Q$4:Q59,SUBSTITUTE(Q60,""Sell_"",""""))-COUNTIF(Q$4:Q59,""Sell_"&amp;"""&amp;SUBSTITUTE(Q60,""Sell_"",""""))))/2),ROUNDUP(INDEX(Upgrades!$C$3:$C$13,MATCH(Q60,Upgrades!$B$3:$B$13,0))*1.15^(COUNTIF(Q$4:Q59,Q60)-COUNTIF(Q$4:Q59,""Sell_""&amp;Q60))))))"),69961.0)</f>
        <v>69961</v>
      </c>
      <c r="V60" s="10">
        <f t="shared" si="11"/>
        <v>69961</v>
      </c>
      <c r="W60" s="68">
        <f t="shared" si="12"/>
        <v>1871.613648</v>
      </c>
      <c r="X60" s="59" t="str">
        <f t="shared" si="13"/>
        <v>31m 11s</v>
      </c>
      <c r="Y60" s="69">
        <f t="shared" si="14"/>
        <v>659827</v>
      </c>
      <c r="Z60" s="11"/>
      <c r="AG60" s="59"/>
    </row>
    <row r="61">
      <c r="A61" s="8"/>
      <c r="B61" s="56">
        <f t="shared" si="2"/>
        <v>2</v>
      </c>
      <c r="C61" s="67" t="s">
        <v>9</v>
      </c>
      <c r="D61" s="10" t="b">
        <f>IFERROR(__xludf.DUMMYFUNCTION("IF(COUNTA(C61:C1644)=0,"""",IF(ISBLANK(C61),FALSE,IF(NOT(COUNTIF($AA$24:$AA$34,SUBSTITUTE(C61,""Sell_"",""""))),1,IF(REGEXMATCH(C61,""Sell_""),IF(COUNTIF(C$4:C61,SUBSTITUTE(C61,""Sell_"",""""))-COUNTIF(C$4:C60,C61)&lt;1,1),FALSE))))"),FALSE)</f>
        <v>0</v>
      </c>
      <c r="E61" s="59">
        <f t="array" ref="E61">IF(COUNTA(C61:C1644)=0,"",SUM((COUNTIF(C$4:C61,Upgrades!$B$3:$B$13)-COUNTIF(C$4:C61,"Sell_"&amp;Upgrades!$B$3:$B$13))*Upgrades!$D$3:$D$13))</f>
        <v>1748.2</v>
      </c>
      <c r="F61" s="66">
        <f>IFERROR(__xludf.DUMMYFUNCTION("IF(COUNTA(C61:C1644)=0,"""",IF(REGEXMATCH(INDEX(FILTER(C$4:C61,C$4:C61&lt;&gt;""""),ROWS(FILTER(C$4:C61,C$4:C61&lt;&gt;""""))),""^Sell_""),INDEX(FILTER(F$4:F60,C$4:C60&lt;&gt;""""),ROWS(FILTER(C$4:C60,C$4:C60&lt;&gt;""""))),$AC$5+E61))"),1758.2)</f>
        <v>1758.2</v>
      </c>
      <c r="G61" s="10">
        <f>IFERROR(__xludf.DUMMYFUNCTION("IF(COUNTA(C61:C1644)=0,"""",IF(C61="""",0,IF(REGEXMATCH(C61,""^Sell_""),-ROUNDDOWN(ROUNDUP(INDEX(Upgrades!$C$3:$C$13,MATCH(SUBSTITUTE(C61,""Sell_"",""""),Upgrades!$B$3:$B$13,0))*1.15^(COUNTIF(C$4:C60,SUBSTITUTE(C61,""Sell_"",""""))-COUNTIF(C$4:C60,""Sell_"&amp;"""&amp;SUBSTITUTE(C61,""Sell_"",""""))))/2),ROUNDUP(INDEX(Upgrades!$C$3:$C$13,MATCH(C61,Upgrades!$B$3:$B$13,0))*1.15^(COUNTIF(C$4:C60,C61)-COUNTIF(C$4:C60,""Sell_""&amp;C61))))))"),230000.0)</f>
        <v>230000</v>
      </c>
      <c r="H61" s="10">
        <f t="shared" si="3"/>
        <v>230000</v>
      </c>
      <c r="I61" s="68">
        <f t="shared" si="4"/>
        <v>2040.955424</v>
      </c>
      <c r="J61" s="59" t="str">
        <f t="shared" si="5"/>
        <v>34m 00s</v>
      </c>
      <c r="K61" s="69">
        <f t="shared" si="6"/>
        <v>889827</v>
      </c>
      <c r="L61" s="60">
        <f t="shared" si="7"/>
        <v>0</v>
      </c>
      <c r="M61" s="61">
        <f>IFERROR(__xludf.DUMMYFUNCTION("IFS(AND(COUNTA(C61:C1644)=0,COUNTA(Q61:Q1644)=0),"""",OR(AND(K61&gt;=1000000000,OR(Y61&gt;=1000000000,COUNTA(Q61:Q1644)=0)),OR(Y61&gt;=1000000000,AND(COUNTA(C61:C1644)=0,P$3=TRUE))),
ROUNDDOWN((AB$1-AC$1)*MAX(INDEX(T$4:T1644,MATCH(LARGE(FILTER(Y$4:Y1644,Y$4:Y1644&lt;"&amp;"1000000000),1),Y$4:Y1644)),INDEX(F$4:F1644,MATCH(LARGE(FILTER(K$4:K1644,K$4:K1644&lt;1000000000),1),K$4:K1644)))),AND(K61&lt;1000000000,COUNTA(C61:C1644)&gt;0,P$3=FALSE),
ROUNDDOWN(INDEX(Y$4:Y1644,MATCH(LARGE(FILTER(W$4:W1644,W$4:W1644&lt;=I61),1),W$4:W1644))+(I61-LA"&amp;"RGE(FILTER(W$4:W1644,W$4:W1644&lt;=I61),1))*INDEX(T$4:T1644,MATCH(LARGE(FILTER(W$4:W1644,W$4:W1644&lt;=I61),1),W$4:W1644))-K61),1,
ROUNDDOWN(Y61-INDEX(K$4:K1644,MATCH(LARGE(FILTER(I$4:I1644,I$4:I1644&lt;=W61),1),I$4:I1644))-(W61-LARGE(FILTER(I$4:I1644,I$4:I1644&lt;=W"&amp;"61),1))*INDEX(F$4:F1644,MATCH(LARGE(FILTER(I$4:I1644,I$4:I1644&lt;=W61),1),I$4:I1644))))"),0.0)</f>
        <v>0</v>
      </c>
      <c r="N61" s="60">
        <f t="shared" si="8"/>
        <v>0</v>
      </c>
      <c r="O61" s="61">
        <f t="shared" si="9"/>
        <v>0</v>
      </c>
      <c r="P61" s="56">
        <f t="shared" si="10"/>
        <v>2</v>
      </c>
      <c r="Q61" s="67" t="s">
        <v>9</v>
      </c>
      <c r="R61" s="10" t="b">
        <f>IFERROR(__xludf.DUMMYFUNCTION("IF(COUNTA(Q61:Q1644)=0,"""",IF(ISBLANK(Q61),FALSE,IF(NOT(COUNTIF($AA$24:$AA$34,SUBSTITUTE(Q61,""Sell_"",""""))),1,IF(REGEXMATCH(Q61,""Sell_""),IF(COUNTIF(Q$4:Q61,SUBSTITUTE(Q61,""Sell_"",""""))-COUNTIF(Q$4:Q60,Q61)&lt;1,1),FALSE))))"),FALSE)</f>
        <v>0</v>
      </c>
      <c r="S61" s="59">
        <f t="array" ref="S61">IF(COUNTA(Q61:Q1644)=0,"",SUM((COUNTIF(Q$4:Q61,Upgrades!$B$3:$B$13)-COUNTIF(Q$4:Q61,"Sell_"&amp;Upgrades!$B$3:$B$13))*Upgrades!$D$3:$D$13))</f>
        <v>1748.2</v>
      </c>
      <c r="T61" s="66">
        <f>IFERROR(__xludf.DUMMYFUNCTION("IF(COUNTA(Q61:Q1644)=0,"""",IF(REGEXMATCH(INDEX(FILTER(Q$4:Q61,Q$4:Q61&lt;&gt;""""),ROWS(FILTER(Q$4:Q61,Q$4:Q61&lt;&gt;""""))),""^Sell_""),INDEX(FILTER(T$4:T60,Q$4:Q60&lt;&gt;""""),ROWS(FILTER(Q$4:Q60,Q$4:Q60&lt;&gt;""""))),$AD$5+S61))"),1758.2)</f>
        <v>1758.2</v>
      </c>
      <c r="U61" s="10">
        <f>IFERROR(__xludf.DUMMYFUNCTION("IF(COUNTA(Q61:Q1644)=0,"""",IF(Q61="""",0,IF(REGEXMATCH(Q61,""^Sell_""),-ROUNDDOWN(ROUNDUP(INDEX(Upgrades!$C$3:$C$13,MATCH(SUBSTITUTE(Q61,""Sell_"",""""),Upgrades!$B$3:$B$13,0))*1.15^(COUNTIF(Q$4:Q60,SUBSTITUTE(Q61,""Sell_"",""""))-COUNTIF(Q$4:Q60,""Sell_"&amp;"""&amp;SUBSTITUTE(Q61,""Sell_"",""""))))/2),ROUNDUP(INDEX(Upgrades!$C$3:$C$13,MATCH(Q61,Upgrades!$B$3:$B$13,0))*1.15^(COUNTIF(Q$4:Q60,Q61)-COUNTIF(Q$4:Q60,""Sell_""&amp;Q61))))))"),230000.0)</f>
        <v>230000</v>
      </c>
      <c r="V61" s="10">
        <f t="shared" si="11"/>
        <v>230000</v>
      </c>
      <c r="W61" s="68">
        <f t="shared" si="12"/>
        <v>2040.955424</v>
      </c>
      <c r="X61" s="59" t="str">
        <f t="shared" si="13"/>
        <v>34m 00s</v>
      </c>
      <c r="Y61" s="69">
        <f t="shared" si="14"/>
        <v>889827</v>
      </c>
      <c r="Z61" s="11"/>
      <c r="AG61" s="59"/>
    </row>
    <row r="62">
      <c r="A62" s="8"/>
      <c r="B62" s="56">
        <f t="shared" si="2"/>
        <v>14</v>
      </c>
      <c r="C62" s="67" t="s">
        <v>5</v>
      </c>
      <c r="D62" s="10" t="b">
        <f>IFERROR(__xludf.DUMMYFUNCTION("IF(COUNTA(C62:C1644)=0,"""",IF(ISBLANK(C62),FALSE,IF(NOT(COUNTIF($AA$24:$AA$34,SUBSTITUTE(C62,""Sell_"",""""))),1,IF(REGEXMATCH(C62,""Sell_""),IF(COUNTIF(C$4:C62,SUBSTITUTE(C62,""Sell_"",""""))-COUNTIF(C$4:C61,C62)&lt;1,1),FALSE))))"),FALSE)</f>
        <v>0</v>
      </c>
      <c r="E62" s="59">
        <f t="array" ref="E62">IF(COUNTA(C62:C1644)=0,"",SUM((COUNTIF(C$4:C62,Upgrades!$B$3:$B$13)-COUNTIF(C$4:C62,"Sell_"&amp;Upgrades!$B$3:$B$13))*Upgrades!$D$3:$D$13))</f>
        <v>1752.2</v>
      </c>
      <c r="F62" s="66">
        <f>IFERROR(__xludf.DUMMYFUNCTION("IF(COUNTA(C62:C1644)=0,"""",IF(REGEXMATCH(INDEX(FILTER(C$4:C62,C$4:C62&lt;&gt;""""),ROWS(FILTER(C$4:C62,C$4:C62&lt;&gt;""""))),""^Sell_""),INDEX(FILTER(F$4:F61,C$4:C61&lt;&gt;""""),ROWS(FILTER(C$4:C61,C$4:C61&lt;&gt;""""))),$AC$5+E62))"),1762.2)</f>
        <v>1762.2</v>
      </c>
      <c r="G62" s="10">
        <f>IFERROR(__xludf.DUMMYFUNCTION("IF(COUNTA(C62:C1644)=0,"""",IF(C62="""",0,IF(REGEXMATCH(C62,""^Sell_""),-ROUNDDOWN(ROUNDUP(INDEX(Upgrades!$C$3:$C$13,MATCH(SUBSTITUTE(C62,""Sell_"",""""),Upgrades!$B$3:$B$13,0))*1.15^(COUNTIF(C$4:C61,SUBSTITUTE(C62,""Sell_"",""""))-COUNTIF(C$4:C61,""Sell_"&amp;"""&amp;SUBSTITUTE(C62,""Sell_"",""""))))/2),ROUNDUP(INDEX(Upgrades!$C$3:$C$13,MATCH(C62,Upgrades!$B$3:$B$13,0))*1.15^(COUNTIF(C$4:C61,C62)-COUNTIF(C$4:C61,""Sell_""&amp;C62))))))"),3077.0)</f>
        <v>3077</v>
      </c>
      <c r="H62" s="10">
        <f t="shared" si="3"/>
        <v>3077</v>
      </c>
      <c r="I62" s="68">
        <f t="shared" si="4"/>
        <v>2042.705509</v>
      </c>
      <c r="J62" s="59" t="str">
        <f t="shared" si="5"/>
        <v>34m 02s</v>
      </c>
      <c r="K62" s="69">
        <f t="shared" si="6"/>
        <v>892904</v>
      </c>
      <c r="L62" s="60">
        <f t="shared" si="7"/>
        <v>0</v>
      </c>
      <c r="M62" s="61">
        <f>IFERROR(__xludf.DUMMYFUNCTION("IFS(AND(COUNTA(C62:C1644)=0,COUNTA(Q62:Q1644)=0),"""",OR(AND(K62&gt;=1000000000,OR(Y62&gt;=1000000000,COUNTA(Q62:Q1644)=0)),OR(Y62&gt;=1000000000,AND(COUNTA(C62:C1644)=0,P$3=TRUE))),
ROUNDDOWN((AB$1-AC$1)*MAX(INDEX(T$4:T1644,MATCH(LARGE(FILTER(Y$4:Y1644,Y$4:Y1644&lt;"&amp;"1000000000),1),Y$4:Y1644)),INDEX(F$4:F1644,MATCH(LARGE(FILTER(K$4:K1644,K$4:K1644&lt;1000000000),1),K$4:K1644)))),AND(K62&lt;1000000000,COUNTA(C62:C1644)&gt;0,P$3=FALSE),
ROUNDDOWN(INDEX(Y$4:Y1644,MATCH(LARGE(FILTER(W$4:W1644,W$4:W1644&lt;=I62),1),W$4:W1644))+(I62-LA"&amp;"RGE(FILTER(W$4:W1644,W$4:W1644&lt;=I62),1))*INDEX(T$4:T1644,MATCH(LARGE(FILTER(W$4:W1644,W$4:W1644&lt;=I62),1),W$4:W1644))-K62),1,
ROUNDDOWN(Y62-INDEX(K$4:K1644,MATCH(LARGE(FILTER(I$4:I1644,I$4:I1644&lt;=W62),1),I$4:I1644))-(W62-LARGE(FILTER(I$4:I1644,I$4:I1644&lt;=W"&amp;"62),1))*INDEX(F$4:F1644,MATCH(LARGE(FILTER(I$4:I1644,I$4:I1644&lt;=W62),1),I$4:I1644))))"),0.0)</f>
        <v>0</v>
      </c>
      <c r="N62" s="60">
        <f t="shared" si="8"/>
        <v>0</v>
      </c>
      <c r="O62" s="61">
        <f t="shared" si="9"/>
        <v>0</v>
      </c>
      <c r="P62" s="56">
        <f t="shared" si="10"/>
        <v>14</v>
      </c>
      <c r="Q62" s="67" t="s">
        <v>5</v>
      </c>
      <c r="R62" s="10" t="b">
        <f>IFERROR(__xludf.DUMMYFUNCTION("IF(COUNTA(Q62:Q1644)=0,"""",IF(ISBLANK(Q62),FALSE,IF(NOT(COUNTIF($AA$24:$AA$34,SUBSTITUTE(Q62,""Sell_"",""""))),1,IF(REGEXMATCH(Q62,""Sell_""),IF(COUNTIF(Q$4:Q62,SUBSTITUTE(Q62,""Sell_"",""""))-COUNTIF(Q$4:Q61,Q62)&lt;1,1),FALSE))))"),FALSE)</f>
        <v>0</v>
      </c>
      <c r="S62" s="59">
        <f t="array" ref="S62">IF(COUNTA(Q62:Q1644)=0,"",SUM((COUNTIF(Q$4:Q62,Upgrades!$B$3:$B$13)-COUNTIF(Q$4:Q62,"Sell_"&amp;Upgrades!$B$3:$B$13))*Upgrades!$D$3:$D$13))</f>
        <v>1752.2</v>
      </c>
      <c r="T62" s="66">
        <f>IFERROR(__xludf.DUMMYFUNCTION("IF(COUNTA(Q62:Q1644)=0,"""",IF(REGEXMATCH(INDEX(FILTER(Q$4:Q62,Q$4:Q62&lt;&gt;""""),ROWS(FILTER(Q$4:Q62,Q$4:Q62&lt;&gt;""""))),""^Sell_""),INDEX(FILTER(T$4:T61,Q$4:Q61&lt;&gt;""""),ROWS(FILTER(Q$4:Q61,Q$4:Q61&lt;&gt;""""))),$AD$5+S62))"),1762.2)</f>
        <v>1762.2</v>
      </c>
      <c r="U62" s="10">
        <f>IFERROR(__xludf.DUMMYFUNCTION("IF(COUNTA(Q62:Q1644)=0,"""",IF(Q62="""",0,IF(REGEXMATCH(Q62,""^Sell_""),-ROUNDDOWN(ROUNDUP(INDEX(Upgrades!$C$3:$C$13,MATCH(SUBSTITUTE(Q62,""Sell_"",""""),Upgrades!$B$3:$B$13,0))*1.15^(COUNTIF(Q$4:Q61,SUBSTITUTE(Q62,""Sell_"",""""))-COUNTIF(Q$4:Q61,""Sell_"&amp;"""&amp;SUBSTITUTE(Q62,""Sell_"",""""))))/2),ROUNDUP(INDEX(Upgrades!$C$3:$C$13,MATCH(Q62,Upgrades!$B$3:$B$13,0))*1.15^(COUNTIF(Q$4:Q61,Q62)-COUNTIF(Q$4:Q61,""Sell_""&amp;Q62))))))"),3077.0)</f>
        <v>3077</v>
      </c>
      <c r="V62" s="10">
        <f t="shared" si="11"/>
        <v>3077</v>
      </c>
      <c r="W62" s="68">
        <f t="shared" si="12"/>
        <v>2042.705509</v>
      </c>
      <c r="X62" s="59" t="str">
        <f t="shared" si="13"/>
        <v>34m 02s</v>
      </c>
      <c r="Y62" s="69">
        <f t="shared" si="14"/>
        <v>892904</v>
      </c>
      <c r="Z62" s="11"/>
      <c r="AG62" s="59"/>
    </row>
    <row r="63">
      <c r="A63" s="8"/>
      <c r="B63" s="56">
        <f t="shared" si="2"/>
        <v>9</v>
      </c>
      <c r="C63" s="67" t="s">
        <v>7</v>
      </c>
      <c r="D63" s="10" t="b">
        <f>IFERROR(__xludf.DUMMYFUNCTION("IF(COUNTA(C63:C1644)=0,"""",IF(ISBLANK(C63),FALSE,IF(NOT(COUNTIF($AA$24:$AA$34,SUBSTITUTE(C63,""Sell_"",""""))),1,IF(REGEXMATCH(C63,""Sell_""),IF(COUNTIF(C$4:C63,SUBSTITUTE(C63,""Sell_"",""""))-COUNTIF(C$4:C62,C63)&lt;1,1),FALSE))))"),FALSE)</f>
        <v>0</v>
      </c>
      <c r="E63" s="59">
        <f t="array" ref="E63">IF(COUNTA(C63:C1644)=0,"",SUM((COUNTIF(C$4:C63,Upgrades!$B$3:$B$13)-COUNTIF(C$4:C63,"Sell_"&amp;Upgrades!$B$3:$B$13))*Upgrades!$D$3:$D$13))</f>
        <v>1792.2</v>
      </c>
      <c r="F63" s="66">
        <f>IFERROR(__xludf.DUMMYFUNCTION("IF(COUNTA(C63:C1644)=0,"""",IF(REGEXMATCH(INDEX(FILTER(C$4:C63,C$4:C63&lt;&gt;""""),ROWS(FILTER(C$4:C63,C$4:C63&lt;&gt;""""))),""^Sell_""),INDEX(FILTER(F$4:F62,C$4:C62&lt;&gt;""""),ROWS(FILTER(C$4:C62,C$4:C62&lt;&gt;""""))),$AC$5+E63))"),1802.2)</f>
        <v>1802.2</v>
      </c>
      <c r="G63" s="10">
        <f>IFERROR(__xludf.DUMMYFUNCTION("IF(COUNTA(C63:C1644)=0,"""",IF(C63="""",0,IF(REGEXMATCH(C63,""^Sell_""),-ROUNDDOWN(ROUNDUP(INDEX(Upgrades!$C$3:$C$13,MATCH(SUBSTITUTE(C63,""Sell_"",""""),Upgrades!$B$3:$B$13,0))*1.15^(COUNTIF(C$4:C62,SUBSTITUTE(C63,""Sell_"",""""))-COUNTIF(C$4:C62,""Sell_"&amp;"""&amp;SUBSTITUTE(C63,""Sell_"",""""))))/2),ROUNDUP(INDEX(Upgrades!$C$3:$C$13,MATCH(C63,Upgrades!$B$3:$B$13,0))*1.15^(COUNTIF(C$4:C62,C63)-COUNTIF(C$4:C62,""Sell_""&amp;C63))))))"),30591.0)</f>
        <v>30591</v>
      </c>
      <c r="H63" s="10">
        <f t="shared" si="3"/>
        <v>30591</v>
      </c>
      <c r="I63" s="68">
        <f t="shared" si="4"/>
        <v>2060.06506</v>
      </c>
      <c r="J63" s="59" t="str">
        <f t="shared" si="5"/>
        <v>34m 20s</v>
      </c>
      <c r="K63" s="69">
        <f t="shared" si="6"/>
        <v>923495</v>
      </c>
      <c r="L63" s="60">
        <f t="shared" si="7"/>
        <v>0</v>
      </c>
      <c r="M63" s="61">
        <f>IFERROR(__xludf.DUMMYFUNCTION("IFS(AND(COUNTA(C63:C1644)=0,COUNTA(Q63:Q1644)=0),"""",OR(AND(K63&gt;=1000000000,OR(Y63&gt;=1000000000,COUNTA(Q63:Q1644)=0)),OR(Y63&gt;=1000000000,AND(COUNTA(C63:C1644)=0,P$3=TRUE))),
ROUNDDOWN((AB$1-AC$1)*MAX(INDEX(T$4:T1644,MATCH(LARGE(FILTER(Y$4:Y1644,Y$4:Y1644&lt;"&amp;"1000000000),1),Y$4:Y1644)),INDEX(F$4:F1644,MATCH(LARGE(FILTER(K$4:K1644,K$4:K1644&lt;1000000000),1),K$4:K1644)))),AND(K63&lt;1000000000,COUNTA(C63:C1644)&gt;0,P$3=FALSE),
ROUNDDOWN(INDEX(Y$4:Y1644,MATCH(LARGE(FILTER(W$4:W1644,W$4:W1644&lt;=I63),1),W$4:W1644))+(I63-LA"&amp;"RGE(FILTER(W$4:W1644,W$4:W1644&lt;=I63),1))*INDEX(T$4:T1644,MATCH(LARGE(FILTER(W$4:W1644,W$4:W1644&lt;=I63),1),W$4:W1644))-K63),1,
ROUNDDOWN(Y63-INDEX(K$4:K1644,MATCH(LARGE(FILTER(I$4:I1644,I$4:I1644&lt;=W63),1),I$4:I1644))-(W63-LARGE(FILTER(I$4:I1644,I$4:I1644&lt;=W"&amp;"63),1))*INDEX(F$4:F1644,MATCH(LARGE(FILTER(I$4:I1644,I$4:I1644&lt;=W63),1),I$4:I1644))))"),0.0)</f>
        <v>0</v>
      </c>
      <c r="N63" s="60">
        <f t="shared" si="8"/>
        <v>0</v>
      </c>
      <c r="O63" s="61">
        <f t="shared" si="9"/>
        <v>0</v>
      </c>
      <c r="P63" s="56">
        <f t="shared" si="10"/>
        <v>9</v>
      </c>
      <c r="Q63" s="67" t="s">
        <v>7</v>
      </c>
      <c r="R63" s="10" t="b">
        <f>IFERROR(__xludf.DUMMYFUNCTION("IF(COUNTA(Q63:Q1644)=0,"""",IF(ISBLANK(Q63),FALSE,IF(NOT(COUNTIF($AA$24:$AA$34,SUBSTITUTE(Q63,""Sell_"",""""))),1,IF(REGEXMATCH(Q63,""Sell_""),IF(COUNTIF(Q$4:Q63,SUBSTITUTE(Q63,""Sell_"",""""))-COUNTIF(Q$4:Q62,Q63)&lt;1,1),FALSE))))"),FALSE)</f>
        <v>0</v>
      </c>
      <c r="S63" s="59">
        <f t="array" ref="S63">IF(COUNTA(Q63:Q1644)=0,"",SUM((COUNTIF(Q$4:Q63,Upgrades!$B$3:$B$13)-COUNTIF(Q$4:Q63,"Sell_"&amp;Upgrades!$B$3:$B$13))*Upgrades!$D$3:$D$13))</f>
        <v>1792.2</v>
      </c>
      <c r="T63" s="66">
        <f>IFERROR(__xludf.DUMMYFUNCTION("IF(COUNTA(Q63:Q1644)=0,"""",IF(REGEXMATCH(INDEX(FILTER(Q$4:Q63,Q$4:Q63&lt;&gt;""""),ROWS(FILTER(Q$4:Q63,Q$4:Q63&lt;&gt;""""))),""^Sell_""),INDEX(FILTER(T$4:T62,Q$4:Q62&lt;&gt;""""),ROWS(FILTER(Q$4:Q62,Q$4:Q62&lt;&gt;""""))),$AD$5+S63))"),1802.2)</f>
        <v>1802.2</v>
      </c>
      <c r="U63" s="10">
        <f>IFERROR(__xludf.DUMMYFUNCTION("IF(COUNTA(Q63:Q1644)=0,"""",IF(Q63="""",0,IF(REGEXMATCH(Q63,""^Sell_""),-ROUNDDOWN(ROUNDUP(INDEX(Upgrades!$C$3:$C$13,MATCH(SUBSTITUTE(Q63,""Sell_"",""""),Upgrades!$B$3:$B$13,0))*1.15^(COUNTIF(Q$4:Q62,SUBSTITUTE(Q63,""Sell_"",""""))-COUNTIF(Q$4:Q62,""Sell_"&amp;"""&amp;SUBSTITUTE(Q63,""Sell_"",""""))))/2),ROUNDUP(INDEX(Upgrades!$C$3:$C$13,MATCH(Q63,Upgrades!$B$3:$B$13,0))*1.15^(COUNTIF(Q$4:Q62,Q63)-COUNTIF(Q$4:Q62,""Sell_""&amp;Q63))))))"),30591.0)</f>
        <v>30591</v>
      </c>
      <c r="V63" s="10">
        <f t="shared" si="11"/>
        <v>30591</v>
      </c>
      <c r="W63" s="68">
        <f t="shared" si="12"/>
        <v>2060.06506</v>
      </c>
      <c r="X63" s="59" t="str">
        <f t="shared" si="13"/>
        <v>34m 20s</v>
      </c>
      <c r="Y63" s="69">
        <f t="shared" si="14"/>
        <v>923495</v>
      </c>
      <c r="Z63" s="11"/>
      <c r="AG63" s="59"/>
    </row>
    <row r="64">
      <c r="A64" s="8"/>
      <c r="B64" s="56">
        <f t="shared" si="2"/>
        <v>8</v>
      </c>
      <c r="C64" s="67" t="s">
        <v>6</v>
      </c>
      <c r="D64" s="10" t="b">
        <f>IFERROR(__xludf.DUMMYFUNCTION("IF(COUNTA(C64:C1644)=0,"""",IF(ISBLANK(C64),FALSE,IF(NOT(COUNTIF($AA$24:$AA$34,SUBSTITUTE(C64,""Sell_"",""""))),1,IF(REGEXMATCH(C64,""Sell_""),IF(COUNTIF(C$4:C64,SUBSTITUTE(C64,""Sell_"",""""))-COUNTIF(C$4:C63,C64)&lt;1,1),FALSE))))"),FALSE)</f>
        <v>0</v>
      </c>
      <c r="E64" s="59">
        <f t="array" ref="E64">IF(COUNTA(C64:C1644)=0,"",SUM((COUNTIF(C$4:C64,Upgrades!$B$3:$B$13)-COUNTIF(C$4:C64,"Sell_"&amp;Upgrades!$B$3:$B$13))*Upgrades!$D$3:$D$13))</f>
        <v>1802.2</v>
      </c>
      <c r="F64" s="66">
        <f>IFERROR(__xludf.DUMMYFUNCTION("IF(COUNTA(C64:C1644)=0,"""",IF(REGEXMATCH(INDEX(FILTER(C$4:C64,C$4:C64&lt;&gt;""""),ROWS(FILTER(C$4:C64,C$4:C64&lt;&gt;""""))),""^Sell_""),INDEX(FILTER(F$4:F63,C$4:C63&lt;&gt;""""),ROWS(FILTER(C$4:C63,C$4:C63&lt;&gt;""""))),$AC$5+E64))"),1812.2)</f>
        <v>1812.2</v>
      </c>
      <c r="G64" s="10">
        <f>IFERROR(__xludf.DUMMYFUNCTION("IF(COUNTA(C64:C1644)=0,"""",IF(C64="""",0,IF(REGEXMATCH(C64,""^Sell_""),-ROUNDDOWN(ROUNDUP(INDEX(Upgrades!$C$3:$C$13,MATCH(SUBSTITUTE(C64,""Sell_"",""""),Upgrades!$B$3:$B$13,0))*1.15^(COUNTIF(C$4:C63,SUBSTITUTE(C64,""Sell_"",""""))-COUNTIF(C$4:C63,""Sell_"&amp;"""&amp;SUBSTITUTE(C64,""Sell_"",""""))))/2),ROUNDUP(INDEX(Upgrades!$C$3:$C$13,MATCH(C64,Upgrades!$B$3:$B$13,0))*1.15^(COUNTIF(C$4:C63,C64)-COUNTIF(C$4:C63,""Sell_""&amp;C64))))))"),7981.0)</f>
        <v>7981</v>
      </c>
      <c r="H64" s="10">
        <f t="shared" si="3"/>
        <v>7981</v>
      </c>
      <c r="I64" s="68">
        <f t="shared" si="4"/>
        <v>2064.493536</v>
      </c>
      <c r="J64" s="59" t="str">
        <f t="shared" si="5"/>
        <v>34m 24s</v>
      </c>
      <c r="K64" s="69">
        <f t="shared" si="6"/>
        <v>931476</v>
      </c>
      <c r="L64" s="60">
        <f t="shared" si="7"/>
        <v>0</v>
      </c>
      <c r="M64" s="61">
        <f>IFERROR(__xludf.DUMMYFUNCTION("IFS(AND(COUNTA(C64:C1644)=0,COUNTA(Q64:Q1644)=0),"""",OR(AND(K64&gt;=1000000000,OR(Y64&gt;=1000000000,COUNTA(Q64:Q1644)=0)),OR(Y64&gt;=1000000000,AND(COUNTA(C64:C1644)=0,P$3=TRUE))),
ROUNDDOWN((AB$1-AC$1)*MAX(INDEX(T$4:T1644,MATCH(LARGE(FILTER(Y$4:Y1644,Y$4:Y1644&lt;"&amp;"1000000000),1),Y$4:Y1644)),INDEX(F$4:F1644,MATCH(LARGE(FILTER(K$4:K1644,K$4:K1644&lt;1000000000),1),K$4:K1644)))),AND(K64&lt;1000000000,COUNTA(C64:C1644)&gt;0,P$3=FALSE),
ROUNDDOWN(INDEX(Y$4:Y1644,MATCH(LARGE(FILTER(W$4:W1644,W$4:W1644&lt;=I64),1),W$4:W1644))+(I64-LA"&amp;"RGE(FILTER(W$4:W1644,W$4:W1644&lt;=I64),1))*INDEX(T$4:T1644,MATCH(LARGE(FILTER(W$4:W1644,W$4:W1644&lt;=I64),1),W$4:W1644))-K64),1,
ROUNDDOWN(Y64-INDEX(K$4:K1644,MATCH(LARGE(FILTER(I$4:I1644,I$4:I1644&lt;=W64),1),I$4:I1644))-(W64-LARGE(FILTER(I$4:I1644,I$4:I1644&lt;=W"&amp;"64),1))*INDEX(F$4:F1644,MATCH(LARGE(FILTER(I$4:I1644,I$4:I1644&lt;=W64),1),I$4:I1644))))"),0.0)</f>
        <v>0</v>
      </c>
      <c r="N64" s="60">
        <f t="shared" si="8"/>
        <v>0</v>
      </c>
      <c r="O64" s="61">
        <f t="shared" si="9"/>
        <v>0</v>
      </c>
      <c r="P64" s="56">
        <f t="shared" si="10"/>
        <v>8</v>
      </c>
      <c r="Q64" s="67" t="s">
        <v>6</v>
      </c>
      <c r="R64" s="10" t="b">
        <f>IFERROR(__xludf.DUMMYFUNCTION("IF(COUNTA(Q64:Q1644)=0,"""",IF(ISBLANK(Q64),FALSE,IF(NOT(COUNTIF($AA$24:$AA$34,SUBSTITUTE(Q64,""Sell_"",""""))),1,IF(REGEXMATCH(Q64,""Sell_""),IF(COUNTIF(Q$4:Q64,SUBSTITUTE(Q64,""Sell_"",""""))-COUNTIF(Q$4:Q63,Q64)&lt;1,1),FALSE))))"),FALSE)</f>
        <v>0</v>
      </c>
      <c r="S64" s="59">
        <f t="array" ref="S64">IF(COUNTA(Q64:Q1644)=0,"",SUM((COUNTIF(Q$4:Q64,Upgrades!$B$3:$B$13)-COUNTIF(Q$4:Q64,"Sell_"&amp;Upgrades!$B$3:$B$13))*Upgrades!$D$3:$D$13))</f>
        <v>1802.2</v>
      </c>
      <c r="T64" s="66">
        <f>IFERROR(__xludf.DUMMYFUNCTION("IF(COUNTA(Q64:Q1644)=0,"""",IF(REGEXMATCH(INDEX(FILTER(Q$4:Q64,Q$4:Q64&lt;&gt;""""),ROWS(FILTER(Q$4:Q64,Q$4:Q64&lt;&gt;""""))),""^Sell_""),INDEX(FILTER(T$4:T63,Q$4:Q63&lt;&gt;""""),ROWS(FILTER(Q$4:Q63,Q$4:Q63&lt;&gt;""""))),$AD$5+S64))"),1812.2)</f>
        <v>1812.2</v>
      </c>
      <c r="U64" s="10">
        <f>IFERROR(__xludf.DUMMYFUNCTION("IF(COUNTA(Q64:Q1644)=0,"""",IF(Q64="""",0,IF(REGEXMATCH(Q64,""^Sell_""),-ROUNDDOWN(ROUNDUP(INDEX(Upgrades!$C$3:$C$13,MATCH(SUBSTITUTE(Q64,""Sell_"",""""),Upgrades!$B$3:$B$13,0))*1.15^(COUNTIF(Q$4:Q63,SUBSTITUTE(Q64,""Sell_"",""""))-COUNTIF(Q$4:Q63,""Sell_"&amp;"""&amp;SUBSTITUTE(Q64,""Sell_"",""""))))/2),ROUNDUP(INDEX(Upgrades!$C$3:$C$13,MATCH(Q64,Upgrades!$B$3:$B$13,0))*1.15^(COUNTIF(Q$4:Q63,Q64)-COUNTIF(Q$4:Q63,""Sell_""&amp;Q64))))))"),7981.0)</f>
        <v>7981</v>
      </c>
      <c r="V64" s="10">
        <f t="shared" si="11"/>
        <v>7981</v>
      </c>
      <c r="W64" s="68">
        <f t="shared" si="12"/>
        <v>2064.493536</v>
      </c>
      <c r="X64" s="59" t="str">
        <f t="shared" si="13"/>
        <v>34m 24s</v>
      </c>
      <c r="Y64" s="69">
        <f t="shared" si="14"/>
        <v>931476</v>
      </c>
      <c r="Z64" s="11"/>
      <c r="AG64" s="59"/>
    </row>
    <row r="65">
      <c r="A65" s="8"/>
      <c r="B65" s="56">
        <f t="shared" si="2"/>
        <v>3</v>
      </c>
      <c r="C65" s="67" t="s">
        <v>9</v>
      </c>
      <c r="D65" s="10" t="b">
        <f>IFERROR(__xludf.DUMMYFUNCTION("IF(COUNTA(C65:C1644)=0,"""",IF(ISBLANK(C65),FALSE,IF(NOT(COUNTIF($AA$24:$AA$34,SUBSTITUTE(C65,""Sell_"",""""))),1,IF(REGEXMATCH(C65,""Sell_""),IF(COUNTIF(C$4:C65,SUBSTITUTE(C65,""Sell_"",""""))-COUNTIF(C$4:C64,C65)&lt;1,1),FALSE))))"),FALSE)</f>
        <v>0</v>
      </c>
      <c r="E65" s="59">
        <f t="array" ref="E65">IF(COUNTA(C65:C1644)=0,"",SUM((COUNTIF(C$4:C65,Upgrades!$B$3:$B$13)-COUNTIF(C$4:C65,"Sell_"&amp;Upgrades!$B$3:$B$13))*Upgrades!$D$3:$D$13))</f>
        <v>2202.2</v>
      </c>
      <c r="F65" s="66">
        <f>IFERROR(__xludf.DUMMYFUNCTION("IF(COUNTA(C65:C1644)=0,"""",IF(REGEXMATCH(INDEX(FILTER(C$4:C65,C$4:C65&lt;&gt;""""),ROWS(FILTER(C$4:C65,C$4:C65&lt;&gt;""""))),""^Sell_""),INDEX(FILTER(F$4:F64,C$4:C64&lt;&gt;""""),ROWS(FILTER(C$4:C64,C$4:C64&lt;&gt;""""))),$AC$5+E65))"),2212.2)</f>
        <v>2212.2</v>
      </c>
      <c r="G65" s="10">
        <f>IFERROR(__xludf.DUMMYFUNCTION("IF(COUNTA(C65:C1644)=0,"""",IF(C65="""",0,IF(REGEXMATCH(C65,""^Sell_""),-ROUNDDOWN(ROUNDUP(INDEX(Upgrades!$C$3:$C$13,MATCH(SUBSTITUTE(C65,""Sell_"",""""),Upgrades!$B$3:$B$13,0))*1.15^(COUNTIF(C$4:C64,SUBSTITUTE(C65,""Sell_"",""""))-COUNTIF(C$4:C64,""Sell_"&amp;"""&amp;SUBSTITUTE(C65,""Sell_"",""""))))/2),ROUNDUP(INDEX(Upgrades!$C$3:$C$13,MATCH(C65,Upgrades!$B$3:$B$13,0))*1.15^(COUNTIF(C$4:C64,C65)-COUNTIF(C$4:C64,""Sell_""&amp;C65))))))"),264500.0)</f>
        <v>264500</v>
      </c>
      <c r="H65" s="10">
        <f t="shared" si="3"/>
        <v>264500</v>
      </c>
      <c r="I65" s="68">
        <f t="shared" si="4"/>
        <v>2210.448729</v>
      </c>
      <c r="J65" s="59" t="str">
        <f t="shared" si="5"/>
        <v>36m 50s</v>
      </c>
      <c r="K65" s="69">
        <f t="shared" si="6"/>
        <v>1195976</v>
      </c>
      <c r="L65" s="60">
        <f t="shared" si="7"/>
        <v>0</v>
      </c>
      <c r="M65" s="61">
        <f>IFERROR(__xludf.DUMMYFUNCTION("IFS(AND(COUNTA(C65:C1644)=0,COUNTA(Q65:Q1644)=0),"""",OR(AND(K65&gt;=1000000000,OR(Y65&gt;=1000000000,COUNTA(Q65:Q1644)=0)),OR(Y65&gt;=1000000000,AND(COUNTA(C65:C1644)=0,P$3=TRUE))),
ROUNDDOWN((AB$1-AC$1)*MAX(INDEX(T$4:T1644,MATCH(LARGE(FILTER(Y$4:Y1644,Y$4:Y1644&lt;"&amp;"1000000000),1),Y$4:Y1644)),INDEX(F$4:F1644,MATCH(LARGE(FILTER(K$4:K1644,K$4:K1644&lt;1000000000),1),K$4:K1644)))),AND(K65&lt;1000000000,COUNTA(C65:C1644)&gt;0,P$3=FALSE),
ROUNDDOWN(INDEX(Y$4:Y1644,MATCH(LARGE(FILTER(W$4:W1644,W$4:W1644&lt;=I65),1),W$4:W1644))+(I65-LA"&amp;"RGE(FILTER(W$4:W1644,W$4:W1644&lt;=I65),1))*INDEX(T$4:T1644,MATCH(LARGE(FILTER(W$4:W1644,W$4:W1644&lt;=I65),1),W$4:W1644))-K65),1,
ROUNDDOWN(Y65-INDEX(K$4:K1644,MATCH(LARGE(FILTER(I$4:I1644,I$4:I1644&lt;=W65),1),I$4:I1644))-(W65-LARGE(FILTER(I$4:I1644,I$4:I1644&lt;=W"&amp;"65),1))*INDEX(F$4:F1644,MATCH(LARGE(FILTER(I$4:I1644,I$4:I1644&lt;=W65),1),I$4:I1644))))"),0.0)</f>
        <v>0</v>
      </c>
      <c r="N65" s="60">
        <f t="shared" si="8"/>
        <v>0</v>
      </c>
      <c r="O65" s="61">
        <f t="shared" si="9"/>
        <v>0</v>
      </c>
      <c r="P65" s="56">
        <f t="shared" si="10"/>
        <v>3</v>
      </c>
      <c r="Q65" s="67" t="s">
        <v>9</v>
      </c>
      <c r="R65" s="10" t="b">
        <f>IFERROR(__xludf.DUMMYFUNCTION("IF(COUNTA(Q65:Q1644)=0,"""",IF(ISBLANK(Q65),FALSE,IF(NOT(COUNTIF($AA$24:$AA$34,SUBSTITUTE(Q65,""Sell_"",""""))),1,IF(REGEXMATCH(Q65,""Sell_""),IF(COUNTIF(Q$4:Q65,SUBSTITUTE(Q65,""Sell_"",""""))-COUNTIF(Q$4:Q64,Q65)&lt;1,1),FALSE))))"),FALSE)</f>
        <v>0</v>
      </c>
      <c r="S65" s="59">
        <f t="array" ref="S65">IF(COUNTA(Q65:Q1644)=0,"",SUM((COUNTIF(Q$4:Q65,Upgrades!$B$3:$B$13)-COUNTIF(Q$4:Q65,"Sell_"&amp;Upgrades!$B$3:$B$13))*Upgrades!$D$3:$D$13))</f>
        <v>2202.2</v>
      </c>
      <c r="T65" s="66">
        <f>IFERROR(__xludf.DUMMYFUNCTION("IF(COUNTA(Q65:Q1644)=0,"""",IF(REGEXMATCH(INDEX(FILTER(Q$4:Q65,Q$4:Q65&lt;&gt;""""),ROWS(FILTER(Q$4:Q65,Q$4:Q65&lt;&gt;""""))),""^Sell_""),INDEX(FILTER(T$4:T64,Q$4:Q64&lt;&gt;""""),ROWS(FILTER(Q$4:Q64,Q$4:Q64&lt;&gt;""""))),$AD$5+S65))"),2212.2)</f>
        <v>2212.2</v>
      </c>
      <c r="U65" s="10">
        <f>IFERROR(__xludf.DUMMYFUNCTION("IF(COUNTA(Q65:Q1644)=0,"""",IF(Q65="""",0,IF(REGEXMATCH(Q65,""^Sell_""),-ROUNDDOWN(ROUNDUP(INDEX(Upgrades!$C$3:$C$13,MATCH(SUBSTITUTE(Q65,""Sell_"",""""),Upgrades!$B$3:$B$13,0))*1.15^(COUNTIF(Q$4:Q64,SUBSTITUTE(Q65,""Sell_"",""""))-COUNTIF(Q$4:Q64,""Sell_"&amp;"""&amp;SUBSTITUTE(Q65,""Sell_"",""""))))/2),ROUNDUP(INDEX(Upgrades!$C$3:$C$13,MATCH(Q65,Upgrades!$B$3:$B$13,0))*1.15^(COUNTIF(Q$4:Q64,Q65)-COUNTIF(Q$4:Q64,""Sell_""&amp;Q65))))))"),264500.0)</f>
        <v>264500</v>
      </c>
      <c r="V65" s="10">
        <f t="shared" si="11"/>
        <v>264500</v>
      </c>
      <c r="W65" s="68">
        <f t="shared" si="12"/>
        <v>2210.448729</v>
      </c>
      <c r="X65" s="59" t="str">
        <f t="shared" si="13"/>
        <v>36m 50s</v>
      </c>
      <c r="Y65" s="69">
        <f t="shared" si="14"/>
        <v>1195976</v>
      </c>
      <c r="Z65" s="11"/>
      <c r="AG65" s="59"/>
    </row>
    <row r="66">
      <c r="A66" s="8"/>
      <c r="B66" s="56">
        <f t="shared" si="2"/>
        <v>13</v>
      </c>
      <c r="C66" s="67" t="s">
        <v>3</v>
      </c>
      <c r="D66" s="10" t="b">
        <f>IFERROR(__xludf.DUMMYFUNCTION("IF(COUNTA(C66:C1644)=0,"""",IF(ISBLANK(C66),FALSE,IF(NOT(COUNTIF($AA$24:$AA$34,SUBSTITUTE(C66,""Sell_"",""""))),1,IF(REGEXMATCH(C66,""Sell_""),IF(COUNTIF(C$4:C66,SUBSTITUTE(C66,""Sell_"",""""))-COUNTIF(C$4:C65,C66)&lt;1,1),FALSE))))"),FALSE)</f>
        <v>0</v>
      </c>
      <c r="E66" s="59">
        <f t="array" ref="E66">IF(COUNTA(C66:C1644)=0,"",SUM((COUNTIF(C$4:C66,Upgrades!$B$3:$B$13)-COUNTIF(C$4:C66,"Sell_"&amp;Upgrades!$B$3:$B$13))*Upgrades!$D$3:$D$13))</f>
        <v>2202.3</v>
      </c>
      <c r="F66" s="66">
        <f>IFERROR(__xludf.DUMMYFUNCTION("IF(COUNTA(C66:C1644)=0,"""",IF(REGEXMATCH(INDEX(FILTER(C$4:C66,C$4:C66&lt;&gt;""""),ROWS(FILTER(C$4:C66,C$4:C66&lt;&gt;""""))),""^Sell_""),INDEX(FILTER(F$4:F65,C$4:C65&lt;&gt;""""),ROWS(FILTER(C$4:C65,C$4:C65&lt;&gt;""""))),$AC$5+E66))"),2212.3)</f>
        <v>2212.3</v>
      </c>
      <c r="G66" s="10">
        <f>IFERROR(__xludf.DUMMYFUNCTION("IF(COUNTA(C66:C1644)=0,"""",IF(C66="""",0,IF(REGEXMATCH(C66,""^Sell_""),-ROUNDDOWN(ROUNDUP(INDEX(Upgrades!$C$3:$C$13,MATCH(SUBSTITUTE(C66,""Sell_"",""""),Upgrades!$B$3:$B$13,0))*1.15^(COUNTIF(C$4:C65,SUBSTITUTE(C66,""Sell_"",""""))-COUNTIF(C$4:C65,""Sell_"&amp;"""&amp;SUBSTITUTE(C66,""Sell_"",""""))))/2),ROUNDUP(INDEX(Upgrades!$C$3:$C$13,MATCH(C66,Upgrades!$B$3:$B$13,0))*1.15^(COUNTIF(C$4:C65,C66)-COUNTIF(C$4:C65,""Sell_""&amp;C66))))))"),81.0)</f>
        <v>81</v>
      </c>
      <c r="H66" s="10">
        <f t="shared" si="3"/>
        <v>81</v>
      </c>
      <c r="I66" s="68">
        <f t="shared" si="4"/>
        <v>2210.485344</v>
      </c>
      <c r="J66" s="59" t="str">
        <f t="shared" si="5"/>
        <v>36m 50s</v>
      </c>
      <c r="K66" s="69">
        <f t="shared" si="6"/>
        <v>1196057</v>
      </c>
      <c r="L66" s="60">
        <f t="shared" si="7"/>
        <v>0</v>
      </c>
      <c r="M66" s="61">
        <f>IFERROR(__xludf.DUMMYFUNCTION("IFS(AND(COUNTA(C66:C1644)=0,COUNTA(Q66:Q1644)=0),"""",OR(AND(K66&gt;=1000000000,OR(Y66&gt;=1000000000,COUNTA(Q66:Q1644)=0)),OR(Y66&gt;=1000000000,AND(COUNTA(C66:C1644)=0,P$3=TRUE))),
ROUNDDOWN((AB$1-AC$1)*MAX(INDEX(T$4:T1644,MATCH(LARGE(FILTER(Y$4:Y1644,Y$4:Y1644&lt;"&amp;"1000000000),1),Y$4:Y1644)),INDEX(F$4:F1644,MATCH(LARGE(FILTER(K$4:K1644,K$4:K1644&lt;1000000000),1),K$4:K1644)))),AND(K66&lt;1000000000,COUNTA(C66:C1644)&gt;0,P$3=FALSE),
ROUNDDOWN(INDEX(Y$4:Y1644,MATCH(LARGE(FILTER(W$4:W1644,W$4:W1644&lt;=I66),1),W$4:W1644))+(I66-LA"&amp;"RGE(FILTER(W$4:W1644,W$4:W1644&lt;=I66),1))*INDEX(T$4:T1644,MATCH(LARGE(FILTER(W$4:W1644,W$4:W1644&lt;=I66),1),W$4:W1644))-K66),1,
ROUNDDOWN(Y66-INDEX(K$4:K1644,MATCH(LARGE(FILTER(I$4:I1644,I$4:I1644&lt;=W66),1),I$4:I1644))-(W66-LARGE(FILTER(I$4:I1644,I$4:I1644&lt;=W"&amp;"66),1))*INDEX(F$4:F1644,MATCH(LARGE(FILTER(I$4:I1644,I$4:I1644&lt;=W66),1),I$4:I1644))))"),0.0)</f>
        <v>0</v>
      </c>
      <c r="N66" s="60">
        <f t="shared" si="8"/>
        <v>0</v>
      </c>
      <c r="O66" s="61">
        <f t="shared" si="9"/>
        <v>0</v>
      </c>
      <c r="P66" s="56">
        <f t="shared" si="10"/>
        <v>13</v>
      </c>
      <c r="Q66" s="67" t="s">
        <v>3</v>
      </c>
      <c r="R66" s="10" t="b">
        <f>IFERROR(__xludf.DUMMYFUNCTION("IF(COUNTA(Q66:Q1644)=0,"""",IF(ISBLANK(Q66),FALSE,IF(NOT(COUNTIF($AA$24:$AA$34,SUBSTITUTE(Q66,""Sell_"",""""))),1,IF(REGEXMATCH(Q66,""Sell_""),IF(COUNTIF(Q$4:Q66,SUBSTITUTE(Q66,""Sell_"",""""))-COUNTIF(Q$4:Q65,Q66)&lt;1,1),FALSE))))"),FALSE)</f>
        <v>0</v>
      </c>
      <c r="S66" s="59">
        <f t="array" ref="S66">IF(COUNTA(Q66:Q1644)=0,"",SUM((COUNTIF(Q$4:Q66,Upgrades!$B$3:$B$13)-COUNTIF(Q$4:Q66,"Sell_"&amp;Upgrades!$B$3:$B$13))*Upgrades!$D$3:$D$13))</f>
        <v>2202.3</v>
      </c>
      <c r="T66" s="66">
        <f>IFERROR(__xludf.DUMMYFUNCTION("IF(COUNTA(Q66:Q1644)=0,"""",IF(REGEXMATCH(INDEX(FILTER(Q$4:Q66,Q$4:Q66&lt;&gt;""""),ROWS(FILTER(Q$4:Q66,Q$4:Q66&lt;&gt;""""))),""^Sell_""),INDEX(FILTER(T$4:T65,Q$4:Q65&lt;&gt;""""),ROWS(FILTER(Q$4:Q65,Q$4:Q65&lt;&gt;""""))),$AD$5+S66))"),2212.3)</f>
        <v>2212.3</v>
      </c>
      <c r="U66" s="10">
        <f>IFERROR(__xludf.DUMMYFUNCTION("IF(COUNTA(Q66:Q1644)=0,"""",IF(Q66="""",0,IF(REGEXMATCH(Q66,""^Sell_""),-ROUNDDOWN(ROUNDUP(INDEX(Upgrades!$C$3:$C$13,MATCH(SUBSTITUTE(Q66,""Sell_"",""""),Upgrades!$B$3:$B$13,0))*1.15^(COUNTIF(Q$4:Q65,SUBSTITUTE(Q66,""Sell_"",""""))-COUNTIF(Q$4:Q65,""Sell_"&amp;"""&amp;SUBSTITUTE(Q66,""Sell_"",""""))))/2),ROUNDUP(INDEX(Upgrades!$C$3:$C$13,MATCH(Q66,Upgrades!$B$3:$B$13,0))*1.15^(COUNTIF(Q$4:Q65,Q66)-COUNTIF(Q$4:Q65,""Sell_""&amp;Q66))))))"),81.0)</f>
        <v>81</v>
      </c>
      <c r="V66" s="10">
        <f t="shared" si="11"/>
        <v>81</v>
      </c>
      <c r="W66" s="68">
        <f t="shared" si="12"/>
        <v>2210.485344</v>
      </c>
      <c r="X66" s="59" t="str">
        <f t="shared" si="13"/>
        <v>36m 50s</v>
      </c>
      <c r="Y66" s="69">
        <f t="shared" si="14"/>
        <v>1196057</v>
      </c>
      <c r="Z66" s="11"/>
      <c r="AG66" s="59"/>
    </row>
    <row r="67">
      <c r="A67" s="8"/>
      <c r="B67" s="56">
        <f t="shared" si="2"/>
        <v>11</v>
      </c>
      <c r="C67" s="67" t="s">
        <v>4</v>
      </c>
      <c r="D67" s="10" t="b">
        <f>IFERROR(__xludf.DUMMYFUNCTION("IF(COUNTA(C67:C1644)=0,"""",IF(ISBLANK(C67),FALSE,IF(NOT(COUNTIF($AA$24:$AA$34,SUBSTITUTE(C67,""Sell_"",""""))),1,IF(REGEXMATCH(C67,""Sell_""),IF(COUNTIF(C$4:C67,SUBSTITUTE(C67,""Sell_"",""""))-COUNTIF(C$4:C66,C67)&lt;1,1),FALSE))))"),FALSE)</f>
        <v>0</v>
      </c>
      <c r="E67" s="59">
        <f t="array" ref="E67">IF(COUNTA(C67:C1644)=0,"",SUM((COUNTIF(C$4:C67,Upgrades!$B$3:$B$13)-COUNTIF(C$4:C67,"Sell_"&amp;Upgrades!$B$3:$B$13))*Upgrades!$D$3:$D$13))</f>
        <v>2202.8</v>
      </c>
      <c r="F67" s="66">
        <f>IFERROR(__xludf.DUMMYFUNCTION("IF(COUNTA(C67:C1644)=0,"""",IF(REGEXMATCH(INDEX(FILTER(C$4:C67,C$4:C67&lt;&gt;""""),ROWS(FILTER(C$4:C67,C$4:C67&lt;&gt;""""))),""^Sell_""),INDEX(FILTER(F$4:F66,C$4:C66&lt;&gt;""""),ROWS(FILTER(C$4:C66,C$4:C66&lt;&gt;""""))),$AC$5+E67))"),2212.8)</f>
        <v>2212.8</v>
      </c>
      <c r="G67" s="10">
        <f>IFERROR(__xludf.DUMMYFUNCTION("IF(COUNTA(C67:C1644)=0,"""",IF(C67="""",0,IF(REGEXMATCH(C67,""^Sell_""),-ROUNDDOWN(ROUNDUP(INDEX(Upgrades!$C$3:$C$13,MATCH(SUBSTITUTE(C67,""Sell_"",""""),Upgrades!$B$3:$B$13,0))*1.15^(COUNTIF(C$4:C66,SUBSTITUTE(C67,""Sell_"",""""))-COUNTIF(C$4:C66,""Sell_"&amp;"""&amp;SUBSTITUTE(C67,""Sell_"",""""))))/2),ROUNDUP(INDEX(Upgrades!$C$3:$C$13,MATCH(C67,Upgrades!$B$3:$B$13,0))*1.15^(COUNTIF(C$4:C66,C67)-COUNTIF(C$4:C66,""Sell_""&amp;C67))))))"),405.0)</f>
        <v>405</v>
      </c>
      <c r="H67" s="10">
        <f t="shared" si="3"/>
        <v>405</v>
      </c>
      <c r="I67" s="68">
        <f t="shared" si="4"/>
        <v>2210.668411</v>
      </c>
      <c r="J67" s="59" t="str">
        <f t="shared" si="5"/>
        <v>36m 50s</v>
      </c>
      <c r="K67" s="69">
        <f t="shared" si="6"/>
        <v>1196462</v>
      </c>
      <c r="L67" s="60">
        <f t="shared" si="7"/>
        <v>0</v>
      </c>
      <c r="M67" s="61">
        <f>IFERROR(__xludf.DUMMYFUNCTION("IFS(AND(COUNTA(C67:C1644)=0,COUNTA(Q67:Q1644)=0),"""",OR(AND(K67&gt;=1000000000,OR(Y67&gt;=1000000000,COUNTA(Q67:Q1644)=0)),OR(Y67&gt;=1000000000,AND(COUNTA(C67:C1644)=0,P$3=TRUE))),
ROUNDDOWN((AB$1-AC$1)*MAX(INDEX(T$4:T1644,MATCH(LARGE(FILTER(Y$4:Y1644,Y$4:Y1644&lt;"&amp;"1000000000),1),Y$4:Y1644)),INDEX(F$4:F1644,MATCH(LARGE(FILTER(K$4:K1644,K$4:K1644&lt;1000000000),1),K$4:K1644)))),AND(K67&lt;1000000000,COUNTA(C67:C1644)&gt;0,P$3=FALSE),
ROUNDDOWN(INDEX(Y$4:Y1644,MATCH(LARGE(FILTER(W$4:W1644,W$4:W1644&lt;=I67),1),W$4:W1644))+(I67-LA"&amp;"RGE(FILTER(W$4:W1644,W$4:W1644&lt;=I67),1))*INDEX(T$4:T1644,MATCH(LARGE(FILTER(W$4:W1644,W$4:W1644&lt;=I67),1),W$4:W1644))-K67),1,
ROUNDDOWN(Y67-INDEX(K$4:K1644,MATCH(LARGE(FILTER(I$4:I1644,I$4:I1644&lt;=W67),1),I$4:I1644))-(W67-LARGE(FILTER(I$4:I1644,I$4:I1644&lt;=W"&amp;"67),1))*INDEX(F$4:F1644,MATCH(LARGE(FILTER(I$4:I1644,I$4:I1644&lt;=W67),1),I$4:I1644))))"),0.0)</f>
        <v>0</v>
      </c>
      <c r="N67" s="60">
        <f t="shared" si="8"/>
        <v>0</v>
      </c>
      <c r="O67" s="61">
        <f t="shared" si="9"/>
        <v>0</v>
      </c>
      <c r="P67" s="56">
        <f t="shared" si="10"/>
        <v>11</v>
      </c>
      <c r="Q67" s="67" t="s">
        <v>4</v>
      </c>
      <c r="R67" s="10" t="b">
        <f>IFERROR(__xludf.DUMMYFUNCTION("IF(COUNTA(Q67:Q1644)=0,"""",IF(ISBLANK(Q67),FALSE,IF(NOT(COUNTIF($AA$24:$AA$34,SUBSTITUTE(Q67,""Sell_"",""""))),1,IF(REGEXMATCH(Q67,""Sell_""),IF(COUNTIF(Q$4:Q67,SUBSTITUTE(Q67,""Sell_"",""""))-COUNTIF(Q$4:Q66,Q67)&lt;1,1),FALSE))))"),FALSE)</f>
        <v>0</v>
      </c>
      <c r="S67" s="59">
        <f t="array" ref="S67">IF(COUNTA(Q67:Q1644)=0,"",SUM((COUNTIF(Q$4:Q67,Upgrades!$B$3:$B$13)-COUNTIF(Q$4:Q67,"Sell_"&amp;Upgrades!$B$3:$B$13))*Upgrades!$D$3:$D$13))</f>
        <v>2202.8</v>
      </c>
      <c r="T67" s="66">
        <f>IFERROR(__xludf.DUMMYFUNCTION("IF(COUNTA(Q67:Q1644)=0,"""",IF(REGEXMATCH(INDEX(FILTER(Q$4:Q67,Q$4:Q67&lt;&gt;""""),ROWS(FILTER(Q$4:Q67,Q$4:Q67&lt;&gt;""""))),""^Sell_""),INDEX(FILTER(T$4:T66,Q$4:Q66&lt;&gt;""""),ROWS(FILTER(Q$4:Q66,Q$4:Q66&lt;&gt;""""))),$AD$5+S67))"),2212.8)</f>
        <v>2212.8</v>
      </c>
      <c r="U67" s="10">
        <f>IFERROR(__xludf.DUMMYFUNCTION("IF(COUNTA(Q67:Q1644)=0,"""",IF(Q67="""",0,IF(REGEXMATCH(Q67,""^Sell_""),-ROUNDDOWN(ROUNDUP(INDEX(Upgrades!$C$3:$C$13,MATCH(SUBSTITUTE(Q67,""Sell_"",""""),Upgrades!$B$3:$B$13,0))*1.15^(COUNTIF(Q$4:Q66,SUBSTITUTE(Q67,""Sell_"",""""))-COUNTIF(Q$4:Q66,""Sell_"&amp;"""&amp;SUBSTITUTE(Q67,""Sell_"",""""))))/2),ROUNDUP(INDEX(Upgrades!$C$3:$C$13,MATCH(Q67,Upgrades!$B$3:$B$13,0))*1.15^(COUNTIF(Q$4:Q66,Q67)-COUNTIF(Q$4:Q66,""Sell_""&amp;Q67))))))"),405.0)</f>
        <v>405</v>
      </c>
      <c r="V67" s="10">
        <f t="shared" si="11"/>
        <v>405</v>
      </c>
      <c r="W67" s="68">
        <f t="shared" si="12"/>
        <v>2210.668411</v>
      </c>
      <c r="X67" s="59" t="str">
        <f t="shared" si="13"/>
        <v>36m 50s</v>
      </c>
      <c r="Y67" s="69">
        <f t="shared" si="14"/>
        <v>1196462</v>
      </c>
      <c r="Z67" s="11"/>
      <c r="AG67" s="59"/>
    </row>
    <row r="68">
      <c r="A68" s="8"/>
      <c r="B68" s="56">
        <f t="shared" si="2"/>
        <v>6</v>
      </c>
      <c r="C68" s="67" t="s">
        <v>8</v>
      </c>
      <c r="D68" s="10" t="b">
        <f>IFERROR(__xludf.DUMMYFUNCTION("IF(COUNTA(C68:C1644)=0,"""",IF(ISBLANK(C68),FALSE,IF(NOT(COUNTIF($AA$24:$AA$34,SUBSTITUTE(C68,""Sell_"",""""))),1,IF(REGEXMATCH(C68,""Sell_""),IF(COUNTIF(C$4:C68,SUBSTITUTE(C68,""Sell_"",""""))-COUNTIF(C$4:C67,C68)&lt;1,1),FALSE))))"),FALSE)</f>
        <v>0</v>
      </c>
      <c r="E68" s="59">
        <f t="array" ref="E68">IF(COUNTA(C68:C1644)=0,"",SUM((COUNTIF(C$4:C68,Upgrades!$B$3:$B$13)-COUNTIF(C$4:C68,"Sell_"&amp;Upgrades!$B$3:$B$13))*Upgrades!$D$3:$D$13))</f>
        <v>2302.8</v>
      </c>
      <c r="F68" s="66">
        <f>IFERROR(__xludf.DUMMYFUNCTION("IF(COUNTA(C68:C1644)=0,"""",IF(REGEXMATCH(INDEX(FILTER(C$4:C68,C$4:C68&lt;&gt;""""),ROWS(FILTER(C$4:C68,C$4:C68&lt;&gt;""""))),""^Sell_""),INDEX(FILTER(F$4:F67,C$4:C67&lt;&gt;""""),ROWS(FILTER(C$4:C67,C$4:C67&lt;&gt;""""))),$AC$5+E68))"),2312.8)</f>
        <v>2312.8</v>
      </c>
      <c r="G68" s="10">
        <f>IFERROR(__xludf.DUMMYFUNCTION("IF(COUNTA(C68:C1644)=0,"""",IF(C68="""",0,IF(REGEXMATCH(C68,""^Sell_""),-ROUNDDOWN(ROUNDUP(INDEX(Upgrades!$C$3:$C$13,MATCH(SUBSTITUTE(C68,""Sell_"",""""),Upgrades!$B$3:$B$13,0))*1.15^(COUNTIF(C$4:C67,SUBSTITUTE(C68,""Sell_"",""""))-COUNTIF(C$4:C67,""Sell_"&amp;"""&amp;SUBSTITUTE(C68,""Sell_"",""""))))/2),ROUNDUP(INDEX(Upgrades!$C$3:$C$13,MATCH(C68,Upgrades!$B$3:$B$13,0))*1.15^(COUNTIF(C$4:C67,C68)-COUNTIF(C$4:C67,""Sell_""&amp;C68))))))"),80455.0)</f>
        <v>80455</v>
      </c>
      <c r="H68" s="10">
        <f t="shared" si="3"/>
        <v>80455</v>
      </c>
      <c r="I68" s="68">
        <f t="shared" si="4"/>
        <v>2247.027323</v>
      </c>
      <c r="J68" s="59" t="str">
        <f t="shared" si="5"/>
        <v>37m 27s</v>
      </c>
      <c r="K68" s="69">
        <f t="shared" si="6"/>
        <v>1276917</v>
      </c>
      <c r="L68" s="60">
        <f t="shared" si="7"/>
        <v>0</v>
      </c>
      <c r="M68" s="61">
        <f>IFERROR(__xludf.DUMMYFUNCTION("IFS(AND(COUNTA(C68:C1644)=0,COUNTA(Q68:Q1644)=0),"""",OR(AND(K68&gt;=1000000000,OR(Y68&gt;=1000000000,COUNTA(Q68:Q1644)=0)),OR(Y68&gt;=1000000000,AND(COUNTA(C68:C1644)=0,P$3=TRUE))),
ROUNDDOWN((AB$1-AC$1)*MAX(INDEX(T$4:T1644,MATCH(LARGE(FILTER(Y$4:Y1644,Y$4:Y1644&lt;"&amp;"1000000000),1),Y$4:Y1644)),INDEX(F$4:F1644,MATCH(LARGE(FILTER(K$4:K1644,K$4:K1644&lt;1000000000),1),K$4:K1644)))),AND(K68&lt;1000000000,COUNTA(C68:C1644)&gt;0,P$3=FALSE),
ROUNDDOWN(INDEX(Y$4:Y1644,MATCH(LARGE(FILTER(W$4:W1644,W$4:W1644&lt;=I68),1),W$4:W1644))+(I68-LA"&amp;"RGE(FILTER(W$4:W1644,W$4:W1644&lt;=I68),1))*INDEX(T$4:T1644,MATCH(LARGE(FILTER(W$4:W1644,W$4:W1644&lt;=I68),1),W$4:W1644))-K68),1,
ROUNDDOWN(Y68-INDEX(K$4:K1644,MATCH(LARGE(FILTER(I$4:I1644,I$4:I1644&lt;=W68),1),I$4:I1644))-(W68-LARGE(FILTER(I$4:I1644,I$4:I1644&lt;=W"&amp;"68),1))*INDEX(F$4:F1644,MATCH(LARGE(FILTER(I$4:I1644,I$4:I1644&lt;=W68),1),I$4:I1644))))"),0.0)</f>
        <v>0</v>
      </c>
      <c r="N68" s="60">
        <f t="shared" si="8"/>
        <v>0</v>
      </c>
      <c r="O68" s="61">
        <f t="shared" si="9"/>
        <v>0</v>
      </c>
      <c r="P68" s="56">
        <f t="shared" si="10"/>
        <v>6</v>
      </c>
      <c r="Q68" s="67" t="s">
        <v>8</v>
      </c>
      <c r="R68" s="10" t="b">
        <f>IFERROR(__xludf.DUMMYFUNCTION("IF(COUNTA(Q68:Q1644)=0,"""",IF(ISBLANK(Q68),FALSE,IF(NOT(COUNTIF($AA$24:$AA$34,SUBSTITUTE(Q68,""Sell_"",""""))),1,IF(REGEXMATCH(Q68,""Sell_""),IF(COUNTIF(Q$4:Q68,SUBSTITUTE(Q68,""Sell_"",""""))-COUNTIF(Q$4:Q67,Q68)&lt;1,1),FALSE))))"),FALSE)</f>
        <v>0</v>
      </c>
      <c r="S68" s="59">
        <f t="array" ref="S68">IF(COUNTA(Q68:Q1644)=0,"",SUM((COUNTIF(Q$4:Q68,Upgrades!$B$3:$B$13)-COUNTIF(Q$4:Q68,"Sell_"&amp;Upgrades!$B$3:$B$13))*Upgrades!$D$3:$D$13))</f>
        <v>2302.8</v>
      </c>
      <c r="T68" s="66">
        <f>IFERROR(__xludf.DUMMYFUNCTION("IF(COUNTA(Q68:Q1644)=0,"""",IF(REGEXMATCH(INDEX(FILTER(Q$4:Q68,Q$4:Q68&lt;&gt;""""),ROWS(FILTER(Q$4:Q68,Q$4:Q68&lt;&gt;""""))),""^Sell_""),INDEX(FILTER(T$4:T67,Q$4:Q67&lt;&gt;""""),ROWS(FILTER(Q$4:Q67,Q$4:Q67&lt;&gt;""""))),$AD$5+S68))"),2312.8)</f>
        <v>2312.8</v>
      </c>
      <c r="U68" s="10">
        <f>IFERROR(__xludf.DUMMYFUNCTION("IF(COUNTA(Q68:Q1644)=0,"""",IF(Q68="""",0,IF(REGEXMATCH(Q68,""^Sell_""),-ROUNDDOWN(ROUNDUP(INDEX(Upgrades!$C$3:$C$13,MATCH(SUBSTITUTE(Q68,""Sell_"",""""),Upgrades!$B$3:$B$13,0))*1.15^(COUNTIF(Q$4:Q67,SUBSTITUTE(Q68,""Sell_"",""""))-COUNTIF(Q$4:Q67,""Sell_"&amp;"""&amp;SUBSTITUTE(Q68,""Sell_"",""""))))/2),ROUNDUP(INDEX(Upgrades!$C$3:$C$13,MATCH(Q68,Upgrades!$B$3:$B$13,0))*1.15^(COUNTIF(Q$4:Q67,Q68)-COUNTIF(Q$4:Q67,""Sell_""&amp;Q68))))))"),80455.0)</f>
        <v>80455</v>
      </c>
      <c r="V68" s="10">
        <f t="shared" si="11"/>
        <v>80455</v>
      </c>
      <c r="W68" s="68">
        <f t="shared" si="12"/>
        <v>2247.027323</v>
      </c>
      <c r="X68" s="59" t="str">
        <f t="shared" si="13"/>
        <v>37m 27s</v>
      </c>
      <c r="Y68" s="69">
        <f t="shared" si="14"/>
        <v>1276917</v>
      </c>
      <c r="Z68" s="11"/>
      <c r="AG68" s="59"/>
    </row>
    <row r="69">
      <c r="A69" s="8"/>
      <c r="B69" s="56">
        <f t="shared" si="2"/>
        <v>15</v>
      </c>
      <c r="C69" s="67" t="s">
        <v>5</v>
      </c>
      <c r="D69" s="10" t="b">
        <f>IFERROR(__xludf.DUMMYFUNCTION("IF(COUNTA(C69:C1644)=0,"""",IF(ISBLANK(C69),FALSE,IF(NOT(COUNTIF($AA$24:$AA$34,SUBSTITUTE(C69,""Sell_"",""""))),1,IF(REGEXMATCH(C69,""Sell_""),IF(COUNTIF(C$4:C69,SUBSTITUTE(C69,""Sell_"",""""))-COUNTIF(C$4:C68,C69)&lt;1,1),FALSE))))"),FALSE)</f>
        <v>0</v>
      </c>
      <c r="E69" s="59">
        <f t="array" ref="E69">IF(COUNTA(C69:C1644)=0,"",SUM((COUNTIF(C$4:C69,Upgrades!$B$3:$B$13)-COUNTIF(C$4:C69,"Sell_"&amp;Upgrades!$B$3:$B$13))*Upgrades!$D$3:$D$13))</f>
        <v>2306.8</v>
      </c>
      <c r="F69" s="66">
        <f>IFERROR(__xludf.DUMMYFUNCTION("IF(COUNTA(C69:C1644)=0,"""",IF(REGEXMATCH(INDEX(FILTER(C$4:C69,C$4:C69&lt;&gt;""""),ROWS(FILTER(C$4:C69,C$4:C69&lt;&gt;""""))),""^Sell_""),INDEX(FILTER(F$4:F68,C$4:C68&lt;&gt;""""),ROWS(FILTER(C$4:C68,C$4:C68&lt;&gt;""""))),$AC$5+E69))"),2316.8)</f>
        <v>2316.8</v>
      </c>
      <c r="G69" s="10">
        <f>IFERROR(__xludf.DUMMYFUNCTION("IF(COUNTA(C69:C1644)=0,"""",IF(C69="""",0,IF(REGEXMATCH(C69,""^Sell_""),-ROUNDDOWN(ROUNDUP(INDEX(Upgrades!$C$3:$C$13,MATCH(SUBSTITUTE(C69,""Sell_"",""""),Upgrades!$B$3:$B$13,0))*1.15^(COUNTIF(C$4:C68,SUBSTITUTE(C69,""Sell_"",""""))-COUNTIF(C$4:C68,""Sell_"&amp;"""&amp;SUBSTITUTE(C69,""Sell_"",""""))))/2),ROUNDUP(INDEX(Upgrades!$C$3:$C$13,MATCH(C69,Upgrades!$B$3:$B$13,0))*1.15^(COUNTIF(C$4:C68,C69)-COUNTIF(C$4:C68,""Sell_""&amp;C69))))))"),3538.0)</f>
        <v>3538</v>
      </c>
      <c r="H69" s="10">
        <f t="shared" si="3"/>
        <v>3538</v>
      </c>
      <c r="I69" s="68">
        <f t="shared" si="4"/>
        <v>2248.557071</v>
      </c>
      <c r="J69" s="59" t="str">
        <f t="shared" si="5"/>
        <v>37m 28s</v>
      </c>
      <c r="K69" s="69">
        <f t="shared" si="6"/>
        <v>1280455</v>
      </c>
      <c r="L69" s="60">
        <f t="shared" si="7"/>
        <v>0</v>
      </c>
      <c r="M69" s="61">
        <f>IFERROR(__xludf.DUMMYFUNCTION("IFS(AND(COUNTA(C69:C1644)=0,COUNTA(Q69:Q1644)=0),"""",OR(AND(K69&gt;=1000000000,OR(Y69&gt;=1000000000,COUNTA(Q69:Q1644)=0)),OR(Y69&gt;=1000000000,AND(COUNTA(C69:C1644)=0,P$3=TRUE))),
ROUNDDOWN((AB$1-AC$1)*MAX(INDEX(T$4:T1644,MATCH(LARGE(FILTER(Y$4:Y1644,Y$4:Y1644&lt;"&amp;"1000000000),1),Y$4:Y1644)),INDEX(F$4:F1644,MATCH(LARGE(FILTER(K$4:K1644,K$4:K1644&lt;1000000000),1),K$4:K1644)))),AND(K69&lt;1000000000,COUNTA(C69:C1644)&gt;0,P$3=FALSE),
ROUNDDOWN(INDEX(Y$4:Y1644,MATCH(LARGE(FILTER(W$4:W1644,W$4:W1644&lt;=I69),1),W$4:W1644))+(I69-LA"&amp;"RGE(FILTER(W$4:W1644,W$4:W1644&lt;=I69),1))*INDEX(T$4:T1644,MATCH(LARGE(FILTER(W$4:W1644,W$4:W1644&lt;=I69),1),W$4:W1644))-K69),1,
ROUNDDOWN(Y69-INDEX(K$4:K1644,MATCH(LARGE(FILTER(I$4:I1644,I$4:I1644&lt;=W69),1),I$4:I1644))-(W69-LARGE(FILTER(I$4:I1644,I$4:I1644&lt;=W"&amp;"69),1))*INDEX(F$4:F1644,MATCH(LARGE(FILTER(I$4:I1644,I$4:I1644&lt;=W69),1),I$4:I1644))))"),0.0)</f>
        <v>0</v>
      </c>
      <c r="N69" s="60">
        <f t="shared" si="8"/>
        <v>0</v>
      </c>
      <c r="O69" s="61">
        <f t="shared" si="9"/>
        <v>0</v>
      </c>
      <c r="P69" s="56">
        <f t="shared" si="10"/>
        <v>15</v>
      </c>
      <c r="Q69" s="67" t="s">
        <v>5</v>
      </c>
      <c r="R69" s="10" t="b">
        <f>IFERROR(__xludf.DUMMYFUNCTION("IF(COUNTA(Q69:Q1644)=0,"""",IF(ISBLANK(Q69),FALSE,IF(NOT(COUNTIF($AA$24:$AA$34,SUBSTITUTE(Q69,""Sell_"",""""))),1,IF(REGEXMATCH(Q69,""Sell_""),IF(COUNTIF(Q$4:Q69,SUBSTITUTE(Q69,""Sell_"",""""))-COUNTIF(Q$4:Q68,Q69)&lt;1,1),FALSE))))"),FALSE)</f>
        <v>0</v>
      </c>
      <c r="S69" s="59">
        <f t="array" ref="S69">IF(COUNTA(Q69:Q1644)=0,"",SUM((COUNTIF(Q$4:Q69,Upgrades!$B$3:$B$13)-COUNTIF(Q$4:Q69,"Sell_"&amp;Upgrades!$B$3:$B$13))*Upgrades!$D$3:$D$13))</f>
        <v>2306.8</v>
      </c>
      <c r="T69" s="66">
        <f>IFERROR(__xludf.DUMMYFUNCTION("IF(COUNTA(Q69:Q1644)=0,"""",IF(REGEXMATCH(INDEX(FILTER(Q$4:Q69,Q$4:Q69&lt;&gt;""""),ROWS(FILTER(Q$4:Q69,Q$4:Q69&lt;&gt;""""))),""^Sell_""),INDEX(FILTER(T$4:T68,Q$4:Q68&lt;&gt;""""),ROWS(FILTER(Q$4:Q68,Q$4:Q68&lt;&gt;""""))),$AD$5+S69))"),2316.8)</f>
        <v>2316.8</v>
      </c>
      <c r="U69" s="10">
        <f>IFERROR(__xludf.DUMMYFUNCTION("IF(COUNTA(Q69:Q1644)=0,"""",IF(Q69="""",0,IF(REGEXMATCH(Q69,""^Sell_""),-ROUNDDOWN(ROUNDUP(INDEX(Upgrades!$C$3:$C$13,MATCH(SUBSTITUTE(Q69,""Sell_"",""""),Upgrades!$B$3:$B$13,0))*1.15^(COUNTIF(Q$4:Q68,SUBSTITUTE(Q69,""Sell_"",""""))-COUNTIF(Q$4:Q68,""Sell_"&amp;"""&amp;SUBSTITUTE(Q69,""Sell_"",""""))))/2),ROUNDUP(INDEX(Upgrades!$C$3:$C$13,MATCH(Q69,Upgrades!$B$3:$B$13,0))*1.15^(COUNTIF(Q$4:Q68,Q69)-COUNTIF(Q$4:Q68,""Sell_""&amp;Q69))))))"),3538.0)</f>
        <v>3538</v>
      </c>
      <c r="V69" s="10">
        <f t="shared" si="11"/>
        <v>3538</v>
      </c>
      <c r="W69" s="68">
        <f t="shared" si="12"/>
        <v>2248.557071</v>
      </c>
      <c r="X69" s="59" t="str">
        <f t="shared" si="13"/>
        <v>37m 28s</v>
      </c>
      <c r="Y69" s="69">
        <f t="shared" si="14"/>
        <v>1280455</v>
      </c>
      <c r="Z69" s="11"/>
      <c r="AG69" s="59"/>
    </row>
    <row r="70">
      <c r="A70" s="8"/>
      <c r="B70" s="56">
        <f t="shared" si="2"/>
        <v>4</v>
      </c>
      <c r="C70" s="67" t="s">
        <v>9</v>
      </c>
      <c r="D70" s="10" t="b">
        <f>IFERROR(__xludf.DUMMYFUNCTION("IF(COUNTA(C70:C1644)=0,"""",IF(ISBLANK(C70),FALSE,IF(NOT(COUNTIF($AA$24:$AA$34,SUBSTITUTE(C70,""Sell_"",""""))),1,IF(REGEXMATCH(C70,""Sell_""),IF(COUNTIF(C$4:C70,SUBSTITUTE(C70,""Sell_"",""""))-COUNTIF(C$4:C69,C70)&lt;1,1),FALSE))))"),FALSE)</f>
        <v>0</v>
      </c>
      <c r="E70" s="59">
        <f t="array" ref="E70">IF(COUNTA(C70:C1644)=0,"",SUM((COUNTIF(C$4:C70,Upgrades!$B$3:$B$13)-COUNTIF(C$4:C70,"Sell_"&amp;Upgrades!$B$3:$B$13))*Upgrades!$D$3:$D$13))</f>
        <v>2706.8</v>
      </c>
      <c r="F70" s="66">
        <f>IFERROR(__xludf.DUMMYFUNCTION("IF(COUNTA(C70:C1644)=0,"""",IF(REGEXMATCH(INDEX(FILTER(C$4:C70,C$4:C70&lt;&gt;""""),ROWS(FILTER(C$4:C70,C$4:C70&lt;&gt;""""))),""^Sell_""),INDEX(FILTER(F$4:F69,C$4:C69&lt;&gt;""""),ROWS(FILTER(C$4:C69,C$4:C69&lt;&gt;""""))),$AC$5+E70))"),2716.8)</f>
        <v>2716.8</v>
      </c>
      <c r="G70" s="10">
        <f>IFERROR(__xludf.DUMMYFUNCTION("IF(COUNTA(C70:C1644)=0,"""",IF(C70="""",0,IF(REGEXMATCH(C70,""^Sell_""),-ROUNDDOWN(ROUNDUP(INDEX(Upgrades!$C$3:$C$13,MATCH(SUBSTITUTE(C70,""Sell_"",""""),Upgrades!$B$3:$B$13,0))*1.15^(COUNTIF(C$4:C69,SUBSTITUTE(C70,""Sell_"",""""))-COUNTIF(C$4:C69,""Sell_"&amp;"""&amp;SUBSTITUTE(C70,""Sell_"",""""))))/2),ROUNDUP(INDEX(Upgrades!$C$3:$C$13,MATCH(C70,Upgrades!$B$3:$B$13,0))*1.15^(COUNTIF(C$4:C69,C70)-COUNTIF(C$4:C69,""Sell_""&amp;C70))))))"),304175.0)</f>
        <v>304175</v>
      </c>
      <c r="H70" s="10">
        <f t="shared" si="3"/>
        <v>304175</v>
      </c>
      <c r="I70" s="68">
        <f t="shared" si="4"/>
        <v>2379.848075</v>
      </c>
      <c r="J70" s="59" t="str">
        <f t="shared" si="5"/>
        <v>39m 39s</v>
      </c>
      <c r="K70" s="69">
        <f t="shared" si="6"/>
        <v>1584630</v>
      </c>
      <c r="L70" s="60">
        <f t="shared" si="7"/>
        <v>0</v>
      </c>
      <c r="M70" s="61">
        <f>IFERROR(__xludf.DUMMYFUNCTION("IFS(AND(COUNTA(C70:C1644)=0,COUNTA(Q70:Q1644)=0),"""",OR(AND(K70&gt;=1000000000,OR(Y70&gt;=1000000000,COUNTA(Q70:Q1644)=0)),OR(Y70&gt;=1000000000,AND(COUNTA(C70:C1644)=0,P$3=TRUE))),
ROUNDDOWN((AB$1-AC$1)*MAX(INDEX(T$4:T1644,MATCH(LARGE(FILTER(Y$4:Y1644,Y$4:Y1644&lt;"&amp;"1000000000),1),Y$4:Y1644)),INDEX(F$4:F1644,MATCH(LARGE(FILTER(K$4:K1644,K$4:K1644&lt;1000000000),1),K$4:K1644)))),AND(K70&lt;1000000000,COUNTA(C70:C1644)&gt;0,P$3=FALSE),
ROUNDDOWN(INDEX(Y$4:Y1644,MATCH(LARGE(FILTER(W$4:W1644,W$4:W1644&lt;=I70),1),W$4:W1644))+(I70-LA"&amp;"RGE(FILTER(W$4:W1644,W$4:W1644&lt;=I70),1))*INDEX(T$4:T1644,MATCH(LARGE(FILTER(W$4:W1644,W$4:W1644&lt;=I70),1),W$4:W1644))-K70),1,
ROUNDDOWN(Y70-INDEX(K$4:K1644,MATCH(LARGE(FILTER(I$4:I1644,I$4:I1644&lt;=W70),1),I$4:I1644))-(W70-LARGE(FILTER(I$4:I1644,I$4:I1644&lt;=W"&amp;"70),1))*INDEX(F$4:F1644,MATCH(LARGE(FILTER(I$4:I1644,I$4:I1644&lt;=W70),1),I$4:I1644))))"),0.0)</f>
        <v>0</v>
      </c>
      <c r="N70" s="60">
        <f t="shared" si="8"/>
        <v>0</v>
      </c>
      <c r="O70" s="61">
        <f t="shared" si="9"/>
        <v>0</v>
      </c>
      <c r="P70" s="56">
        <f t="shared" si="10"/>
        <v>4</v>
      </c>
      <c r="Q70" s="67" t="s">
        <v>9</v>
      </c>
      <c r="R70" s="10" t="b">
        <f>IFERROR(__xludf.DUMMYFUNCTION("IF(COUNTA(Q70:Q1644)=0,"""",IF(ISBLANK(Q70),FALSE,IF(NOT(COUNTIF($AA$24:$AA$34,SUBSTITUTE(Q70,""Sell_"",""""))),1,IF(REGEXMATCH(Q70,""Sell_""),IF(COUNTIF(Q$4:Q70,SUBSTITUTE(Q70,""Sell_"",""""))-COUNTIF(Q$4:Q69,Q70)&lt;1,1),FALSE))))"),FALSE)</f>
        <v>0</v>
      </c>
      <c r="S70" s="59">
        <f t="array" ref="S70">IF(COUNTA(Q70:Q1644)=0,"",SUM((COUNTIF(Q$4:Q70,Upgrades!$B$3:$B$13)-COUNTIF(Q$4:Q70,"Sell_"&amp;Upgrades!$B$3:$B$13))*Upgrades!$D$3:$D$13))</f>
        <v>2706.8</v>
      </c>
      <c r="T70" s="66">
        <f>IFERROR(__xludf.DUMMYFUNCTION("IF(COUNTA(Q70:Q1644)=0,"""",IF(REGEXMATCH(INDEX(FILTER(Q$4:Q70,Q$4:Q70&lt;&gt;""""),ROWS(FILTER(Q$4:Q70,Q$4:Q70&lt;&gt;""""))),""^Sell_""),INDEX(FILTER(T$4:T69,Q$4:Q69&lt;&gt;""""),ROWS(FILTER(Q$4:Q69,Q$4:Q69&lt;&gt;""""))),$AD$5+S70))"),2716.8)</f>
        <v>2716.8</v>
      </c>
      <c r="U70" s="10">
        <f>IFERROR(__xludf.DUMMYFUNCTION("IF(COUNTA(Q70:Q1644)=0,"""",IF(Q70="""",0,IF(REGEXMATCH(Q70,""^Sell_""),-ROUNDDOWN(ROUNDUP(INDEX(Upgrades!$C$3:$C$13,MATCH(SUBSTITUTE(Q70,""Sell_"",""""),Upgrades!$B$3:$B$13,0))*1.15^(COUNTIF(Q$4:Q69,SUBSTITUTE(Q70,""Sell_"",""""))-COUNTIF(Q$4:Q69,""Sell_"&amp;"""&amp;SUBSTITUTE(Q70,""Sell_"",""""))))/2),ROUNDUP(INDEX(Upgrades!$C$3:$C$13,MATCH(Q70,Upgrades!$B$3:$B$13,0))*1.15^(COUNTIF(Q$4:Q69,Q70)-COUNTIF(Q$4:Q69,""Sell_""&amp;Q70))))))"),304175.0)</f>
        <v>304175</v>
      </c>
      <c r="V70" s="10">
        <f t="shared" si="11"/>
        <v>304175</v>
      </c>
      <c r="W70" s="68">
        <f t="shared" si="12"/>
        <v>2379.848075</v>
      </c>
      <c r="X70" s="59" t="str">
        <f t="shared" si="13"/>
        <v>39m 39s</v>
      </c>
      <c r="Y70" s="69">
        <f t="shared" si="14"/>
        <v>1584630</v>
      </c>
      <c r="Z70" s="11"/>
      <c r="AG70" s="59"/>
    </row>
    <row r="71">
      <c r="A71" s="8"/>
      <c r="B71" s="56">
        <f t="shared" si="2"/>
        <v>1</v>
      </c>
      <c r="C71" s="67" t="s">
        <v>60</v>
      </c>
      <c r="D71" s="10" t="b">
        <f>IFERROR(__xludf.DUMMYFUNCTION("IF(COUNTA(C71:C1644)=0,"""",IF(ISBLANK(C71),FALSE,IF(NOT(COUNTIF($AA$24:$AA$34,SUBSTITUTE(C71,""Sell_"",""""))),1,IF(REGEXMATCH(C71,""Sell_""),IF(COUNTIF(C$4:C71,SUBSTITUTE(C71,""Sell_"",""""))-COUNTIF(C$4:C70,C71)&lt;1,1),FALSE))))"),FALSE)</f>
        <v>0</v>
      </c>
      <c r="E71" s="59">
        <f t="array" ref="E71">IF(COUNTA(C71:C1644)=0,"",SUM((COUNTIF(C$4:C71,Upgrades!$B$3:$B$13)-COUNTIF(C$4:C71,"Sell_"&amp;Upgrades!$B$3:$B$13))*Upgrades!$D$3:$D$13))</f>
        <v>2306.8</v>
      </c>
      <c r="F71" s="66">
        <f>IFERROR(__xludf.DUMMYFUNCTION("IF(COUNTA(C71:C1644)=0,"""",IF(REGEXMATCH(INDEX(FILTER(C$4:C71,C$4:C71&lt;&gt;""""),ROWS(FILTER(C$4:C71,C$4:C71&lt;&gt;""""))),""^Sell_""),INDEX(FILTER(F$4:F70,C$4:C70&lt;&gt;""""),ROWS(FILTER(C$4:C70,C$4:C70&lt;&gt;""""))),$AC$5+E71))"),2716.8)</f>
        <v>2716.8</v>
      </c>
      <c r="G71" s="10">
        <f>IFERROR(__xludf.DUMMYFUNCTION("IF(COUNTA(C71:C1644)=0,"""",IF(C71="""",0,IF(REGEXMATCH(C71,""^Sell_""),-ROUNDDOWN(ROUNDUP(INDEX(Upgrades!$C$3:$C$13,MATCH(SUBSTITUTE(C71,""Sell_"",""""),Upgrades!$B$3:$B$13,0))*1.15^(COUNTIF(C$4:C70,SUBSTITUTE(C71,""Sell_"",""""))-COUNTIF(C$4:C70,""Sell_"&amp;"""&amp;SUBSTITUTE(C71,""Sell_"",""""))))/2),ROUNDUP(INDEX(Upgrades!$C$3:$C$13,MATCH(C71,Upgrades!$B$3:$B$13,0))*1.15^(COUNTIF(C$4:C70,C71)-COUNTIF(C$4:C70,""Sell_""&amp;C71))))))"),-174901.0)</f>
        <v>-174901</v>
      </c>
      <c r="H71" s="10">
        <f t="shared" si="3"/>
        <v>-174901</v>
      </c>
      <c r="I71" s="68">
        <f t="shared" si="4"/>
        <v>2379.848075</v>
      </c>
      <c r="J71" s="59" t="str">
        <f t="shared" si="5"/>
        <v>39m 39s</v>
      </c>
      <c r="K71" s="69">
        <f t="shared" si="6"/>
        <v>1584630</v>
      </c>
      <c r="L71" s="60">
        <f t="shared" si="7"/>
        <v>0</v>
      </c>
      <c r="M71" s="61">
        <f>IFERROR(__xludf.DUMMYFUNCTION("IFS(AND(COUNTA(C71:C1644)=0,COUNTA(Q71:Q1644)=0),"""",OR(AND(K71&gt;=1000000000,OR(Y71&gt;=1000000000,COUNTA(Q71:Q1644)=0)),OR(Y71&gt;=1000000000,AND(COUNTA(C71:C1644)=0,P$3=TRUE))),
ROUNDDOWN((AB$1-AC$1)*MAX(INDEX(T$4:T1644,MATCH(LARGE(FILTER(Y$4:Y1644,Y$4:Y1644&lt;"&amp;"1000000000),1),Y$4:Y1644)),INDEX(F$4:F1644,MATCH(LARGE(FILTER(K$4:K1644,K$4:K1644&lt;1000000000),1),K$4:K1644)))),AND(K71&lt;1000000000,COUNTA(C71:C1644)&gt;0,P$3=FALSE),
ROUNDDOWN(INDEX(Y$4:Y1644,MATCH(LARGE(FILTER(W$4:W1644,W$4:W1644&lt;=I71),1),W$4:W1644))+(I71-LA"&amp;"RGE(FILTER(W$4:W1644,W$4:W1644&lt;=I71),1))*INDEX(T$4:T1644,MATCH(LARGE(FILTER(W$4:W1644,W$4:W1644&lt;=I71),1),W$4:W1644))-K71),1,
ROUNDDOWN(Y71-INDEX(K$4:K1644,MATCH(LARGE(FILTER(I$4:I1644,I$4:I1644&lt;=W71),1),I$4:I1644))-(W71-LARGE(FILTER(I$4:I1644,I$4:I1644&lt;=W"&amp;"71),1))*INDEX(F$4:F1644,MATCH(LARGE(FILTER(I$4:I1644,I$4:I1644&lt;=W71),1),I$4:I1644))))"),0.0)</f>
        <v>0</v>
      </c>
      <c r="N71" s="60">
        <f t="shared" si="8"/>
        <v>0</v>
      </c>
      <c r="O71" s="61">
        <f t="shared" si="9"/>
        <v>0</v>
      </c>
      <c r="P71" s="56">
        <f t="shared" si="10"/>
        <v>1</v>
      </c>
      <c r="Q71" s="67" t="s">
        <v>60</v>
      </c>
      <c r="R71" s="10" t="b">
        <f>IFERROR(__xludf.DUMMYFUNCTION("IF(COUNTA(Q71:Q1644)=0,"""",IF(ISBLANK(Q71),FALSE,IF(NOT(COUNTIF($AA$24:$AA$34,SUBSTITUTE(Q71,""Sell_"",""""))),1,IF(REGEXMATCH(Q71,""Sell_""),IF(COUNTIF(Q$4:Q71,SUBSTITUTE(Q71,""Sell_"",""""))-COUNTIF(Q$4:Q70,Q71)&lt;1,1),FALSE))))"),FALSE)</f>
        <v>0</v>
      </c>
      <c r="S71" s="59">
        <f t="array" ref="S71">IF(COUNTA(Q71:Q1644)=0,"",SUM((COUNTIF(Q$4:Q71,Upgrades!$B$3:$B$13)-COUNTIF(Q$4:Q71,"Sell_"&amp;Upgrades!$B$3:$B$13))*Upgrades!$D$3:$D$13))</f>
        <v>2306.8</v>
      </c>
      <c r="T71" s="66">
        <f>IFERROR(__xludf.DUMMYFUNCTION("IF(COUNTA(Q71:Q1644)=0,"""",IF(REGEXMATCH(INDEX(FILTER(Q$4:Q71,Q$4:Q71&lt;&gt;""""),ROWS(FILTER(Q$4:Q71,Q$4:Q71&lt;&gt;""""))),""^Sell_""),INDEX(FILTER(T$4:T70,Q$4:Q70&lt;&gt;""""),ROWS(FILTER(Q$4:Q70,Q$4:Q70&lt;&gt;""""))),$AD$5+S71))"),2716.8)</f>
        <v>2716.8</v>
      </c>
      <c r="U71" s="10">
        <f>IFERROR(__xludf.DUMMYFUNCTION("IF(COUNTA(Q71:Q1644)=0,"""",IF(Q71="""",0,IF(REGEXMATCH(Q71,""^Sell_""),-ROUNDDOWN(ROUNDUP(INDEX(Upgrades!$C$3:$C$13,MATCH(SUBSTITUTE(Q71,""Sell_"",""""),Upgrades!$B$3:$B$13,0))*1.15^(COUNTIF(Q$4:Q70,SUBSTITUTE(Q71,""Sell_"",""""))-COUNTIF(Q$4:Q70,""Sell_"&amp;"""&amp;SUBSTITUTE(Q71,""Sell_"",""""))))/2),ROUNDUP(INDEX(Upgrades!$C$3:$C$13,MATCH(Q71,Upgrades!$B$3:$B$13,0))*1.15^(COUNTIF(Q$4:Q70,Q71)-COUNTIF(Q$4:Q70,""Sell_""&amp;Q71))))))"),-174901.0)</f>
        <v>-174901</v>
      </c>
      <c r="V71" s="10">
        <f t="shared" si="11"/>
        <v>-174901</v>
      </c>
      <c r="W71" s="68">
        <f t="shared" si="12"/>
        <v>2379.848075</v>
      </c>
      <c r="X71" s="59" t="str">
        <f t="shared" si="13"/>
        <v>39m 39s</v>
      </c>
      <c r="Y71" s="69">
        <f t="shared" si="14"/>
        <v>1584630</v>
      </c>
      <c r="Z71" s="11"/>
      <c r="AG71" s="59"/>
    </row>
    <row r="72">
      <c r="A72" s="8"/>
      <c r="B72" s="56">
        <f t="shared" si="2"/>
        <v>2</v>
      </c>
      <c r="C72" s="67" t="s">
        <v>60</v>
      </c>
      <c r="D72" s="10" t="b">
        <f>IFERROR(__xludf.DUMMYFUNCTION("IF(COUNTA(C72:C1644)=0,"""",IF(ISBLANK(C72),FALSE,IF(NOT(COUNTIF($AA$24:$AA$34,SUBSTITUTE(C72,""Sell_"",""""))),1,IF(REGEXMATCH(C72,""Sell_""),IF(COUNTIF(C$4:C72,SUBSTITUTE(C72,""Sell_"",""""))-COUNTIF(C$4:C71,C72)&lt;1,1),FALSE))))"),FALSE)</f>
        <v>0</v>
      </c>
      <c r="E72" s="59">
        <f t="array" ref="E72">IF(COUNTA(C72:C1644)=0,"",SUM((COUNTIF(C$4:C72,Upgrades!$B$3:$B$13)-COUNTIF(C$4:C72,"Sell_"&amp;Upgrades!$B$3:$B$13))*Upgrades!$D$3:$D$13))</f>
        <v>1906.8</v>
      </c>
      <c r="F72" s="66">
        <f>IFERROR(__xludf.DUMMYFUNCTION("IF(COUNTA(C72:C1644)=0,"""",IF(REGEXMATCH(INDEX(FILTER(C$4:C72,C$4:C72&lt;&gt;""""),ROWS(FILTER(C$4:C72,C$4:C72&lt;&gt;""""))),""^Sell_""),INDEX(FILTER(F$4:F71,C$4:C71&lt;&gt;""""),ROWS(FILTER(C$4:C71,C$4:C71&lt;&gt;""""))),$AC$5+E72))"),2716.8)</f>
        <v>2716.8</v>
      </c>
      <c r="G72" s="10">
        <f>IFERROR(__xludf.DUMMYFUNCTION("IF(COUNTA(C72:C1644)=0,"""",IF(C72="""",0,IF(REGEXMATCH(C72,""^Sell_""),-ROUNDDOWN(ROUNDUP(INDEX(Upgrades!$C$3:$C$13,MATCH(SUBSTITUTE(C72,""Sell_"",""""),Upgrades!$B$3:$B$13,0))*1.15^(COUNTIF(C$4:C71,SUBSTITUTE(C72,""Sell_"",""""))-COUNTIF(C$4:C71,""Sell_"&amp;"""&amp;SUBSTITUTE(C72,""Sell_"",""""))))/2),ROUNDUP(INDEX(Upgrades!$C$3:$C$13,MATCH(C72,Upgrades!$B$3:$B$13,0))*1.15^(COUNTIF(C$4:C71,C72)-COUNTIF(C$4:C71,""Sell_""&amp;C72))))))"),-152087.0)</f>
        <v>-152087</v>
      </c>
      <c r="H72" s="10">
        <f t="shared" si="3"/>
        <v>-326988</v>
      </c>
      <c r="I72" s="68">
        <f t="shared" si="4"/>
        <v>2379.848075</v>
      </c>
      <c r="J72" s="59" t="str">
        <f t="shared" si="5"/>
        <v>39m 39s</v>
      </c>
      <c r="K72" s="69">
        <f t="shared" si="6"/>
        <v>1584630</v>
      </c>
      <c r="L72" s="60">
        <f t="shared" si="7"/>
        <v>0</v>
      </c>
      <c r="M72" s="61">
        <f>IFERROR(__xludf.DUMMYFUNCTION("IFS(AND(COUNTA(C72:C1644)=0,COUNTA(Q72:Q1644)=0),"""",OR(AND(K72&gt;=1000000000,OR(Y72&gt;=1000000000,COUNTA(Q72:Q1644)=0)),OR(Y72&gt;=1000000000,AND(COUNTA(C72:C1644)=0,P$3=TRUE))),
ROUNDDOWN((AB$1-AC$1)*MAX(INDEX(T$4:T1644,MATCH(LARGE(FILTER(Y$4:Y1644,Y$4:Y1644&lt;"&amp;"1000000000),1),Y$4:Y1644)),INDEX(F$4:F1644,MATCH(LARGE(FILTER(K$4:K1644,K$4:K1644&lt;1000000000),1),K$4:K1644)))),AND(K72&lt;1000000000,COUNTA(C72:C1644)&gt;0,P$3=FALSE),
ROUNDDOWN(INDEX(Y$4:Y1644,MATCH(LARGE(FILTER(W$4:W1644,W$4:W1644&lt;=I72),1),W$4:W1644))+(I72-LA"&amp;"RGE(FILTER(W$4:W1644,W$4:W1644&lt;=I72),1))*INDEX(T$4:T1644,MATCH(LARGE(FILTER(W$4:W1644,W$4:W1644&lt;=I72),1),W$4:W1644))-K72),1,
ROUNDDOWN(Y72-INDEX(K$4:K1644,MATCH(LARGE(FILTER(I$4:I1644,I$4:I1644&lt;=W72),1),I$4:I1644))-(W72-LARGE(FILTER(I$4:I1644,I$4:I1644&lt;=W"&amp;"72),1))*INDEX(F$4:F1644,MATCH(LARGE(FILTER(I$4:I1644,I$4:I1644&lt;=W72),1),I$4:I1644))))"),0.0)</f>
        <v>0</v>
      </c>
      <c r="N72" s="60">
        <f t="shared" si="8"/>
        <v>0</v>
      </c>
      <c r="O72" s="61">
        <f t="shared" si="9"/>
        <v>0</v>
      </c>
      <c r="P72" s="56">
        <f t="shared" si="10"/>
        <v>2</v>
      </c>
      <c r="Q72" s="67" t="s">
        <v>60</v>
      </c>
      <c r="R72" s="10" t="b">
        <f>IFERROR(__xludf.DUMMYFUNCTION("IF(COUNTA(Q72:Q1644)=0,"""",IF(ISBLANK(Q72),FALSE,IF(NOT(COUNTIF($AA$24:$AA$34,SUBSTITUTE(Q72,""Sell_"",""""))),1,IF(REGEXMATCH(Q72,""Sell_""),IF(COUNTIF(Q$4:Q72,SUBSTITUTE(Q72,""Sell_"",""""))-COUNTIF(Q$4:Q71,Q72)&lt;1,1),FALSE))))"),FALSE)</f>
        <v>0</v>
      </c>
      <c r="S72" s="59">
        <f t="array" ref="S72">IF(COUNTA(Q72:Q1644)=0,"",SUM((COUNTIF(Q$4:Q72,Upgrades!$B$3:$B$13)-COUNTIF(Q$4:Q72,"Sell_"&amp;Upgrades!$B$3:$B$13))*Upgrades!$D$3:$D$13))</f>
        <v>1906.8</v>
      </c>
      <c r="T72" s="66">
        <f>IFERROR(__xludf.DUMMYFUNCTION("IF(COUNTA(Q72:Q1644)=0,"""",IF(REGEXMATCH(INDEX(FILTER(Q$4:Q72,Q$4:Q72&lt;&gt;""""),ROWS(FILTER(Q$4:Q72,Q$4:Q72&lt;&gt;""""))),""^Sell_""),INDEX(FILTER(T$4:T71,Q$4:Q71&lt;&gt;""""),ROWS(FILTER(Q$4:Q71,Q$4:Q71&lt;&gt;""""))),$AD$5+S72))"),2716.8)</f>
        <v>2716.8</v>
      </c>
      <c r="U72" s="10">
        <f>IFERROR(__xludf.DUMMYFUNCTION("IF(COUNTA(Q72:Q1644)=0,"""",IF(Q72="""",0,IF(REGEXMATCH(Q72,""^Sell_""),-ROUNDDOWN(ROUNDUP(INDEX(Upgrades!$C$3:$C$13,MATCH(SUBSTITUTE(Q72,""Sell_"",""""),Upgrades!$B$3:$B$13,0))*1.15^(COUNTIF(Q$4:Q71,SUBSTITUTE(Q72,""Sell_"",""""))-COUNTIF(Q$4:Q71,""Sell_"&amp;"""&amp;SUBSTITUTE(Q72,""Sell_"",""""))))/2),ROUNDUP(INDEX(Upgrades!$C$3:$C$13,MATCH(Q72,Upgrades!$B$3:$B$13,0))*1.15^(COUNTIF(Q$4:Q71,Q72)-COUNTIF(Q$4:Q71,""Sell_""&amp;Q72))))))"),-152087.0)</f>
        <v>-152087</v>
      </c>
      <c r="V72" s="10">
        <f t="shared" si="11"/>
        <v>-326988</v>
      </c>
      <c r="W72" s="68">
        <f t="shared" si="12"/>
        <v>2379.848075</v>
      </c>
      <c r="X72" s="59" t="str">
        <f t="shared" si="13"/>
        <v>39m 39s</v>
      </c>
      <c r="Y72" s="69">
        <f t="shared" si="14"/>
        <v>1584630</v>
      </c>
      <c r="Z72" s="11"/>
      <c r="AG72" s="59"/>
    </row>
    <row r="73">
      <c r="A73" s="8"/>
      <c r="B73" s="56">
        <f t="shared" si="2"/>
        <v>3</v>
      </c>
      <c r="C73" s="67" t="s">
        <v>60</v>
      </c>
      <c r="D73" s="10" t="b">
        <f>IFERROR(__xludf.DUMMYFUNCTION("IF(COUNTA(C73:C1644)=0,"""",IF(ISBLANK(C73),FALSE,IF(NOT(COUNTIF($AA$24:$AA$34,SUBSTITUTE(C73,""Sell_"",""""))),1,IF(REGEXMATCH(C73,""Sell_""),IF(COUNTIF(C$4:C73,SUBSTITUTE(C73,""Sell_"",""""))-COUNTIF(C$4:C72,C73)&lt;1,1),FALSE))))"),FALSE)</f>
        <v>0</v>
      </c>
      <c r="E73" s="59">
        <f t="array" ref="E73">IF(COUNTA(C73:C1644)=0,"",SUM((COUNTIF(C$4:C73,Upgrades!$B$3:$B$13)-COUNTIF(C$4:C73,"Sell_"&amp;Upgrades!$B$3:$B$13))*Upgrades!$D$3:$D$13))</f>
        <v>1506.8</v>
      </c>
      <c r="F73" s="66">
        <f>IFERROR(__xludf.DUMMYFUNCTION("IF(COUNTA(C73:C1644)=0,"""",IF(REGEXMATCH(INDEX(FILTER(C$4:C73,C$4:C73&lt;&gt;""""),ROWS(FILTER(C$4:C73,C$4:C73&lt;&gt;""""))),""^Sell_""),INDEX(FILTER(F$4:F72,C$4:C72&lt;&gt;""""),ROWS(FILTER(C$4:C72,C$4:C72&lt;&gt;""""))),$AC$5+E73))"),2716.8)</f>
        <v>2716.8</v>
      </c>
      <c r="G73" s="10">
        <f>IFERROR(__xludf.DUMMYFUNCTION("IF(COUNTA(C73:C1644)=0,"""",IF(C73="""",0,IF(REGEXMATCH(C73,""^Sell_""),-ROUNDDOWN(ROUNDUP(INDEX(Upgrades!$C$3:$C$13,MATCH(SUBSTITUTE(C73,""Sell_"",""""),Upgrades!$B$3:$B$13,0))*1.15^(COUNTIF(C$4:C72,SUBSTITUTE(C73,""Sell_"",""""))-COUNTIF(C$4:C72,""Sell_"&amp;"""&amp;SUBSTITUTE(C73,""Sell_"",""""))))/2),ROUNDUP(INDEX(Upgrades!$C$3:$C$13,MATCH(C73,Upgrades!$B$3:$B$13,0))*1.15^(COUNTIF(C$4:C72,C73)-COUNTIF(C$4:C72,""Sell_""&amp;C73))))))"),-132250.0)</f>
        <v>-132250</v>
      </c>
      <c r="H73" s="10">
        <f t="shared" si="3"/>
        <v>-459238</v>
      </c>
      <c r="I73" s="68">
        <f t="shared" si="4"/>
        <v>2379.848075</v>
      </c>
      <c r="J73" s="59" t="str">
        <f t="shared" si="5"/>
        <v>39m 39s</v>
      </c>
      <c r="K73" s="69">
        <f t="shared" si="6"/>
        <v>1584630</v>
      </c>
      <c r="L73" s="60">
        <f t="shared" si="7"/>
        <v>0</v>
      </c>
      <c r="M73" s="61">
        <f>IFERROR(__xludf.DUMMYFUNCTION("IFS(AND(COUNTA(C73:C1644)=0,COUNTA(Q73:Q1644)=0),"""",OR(AND(K73&gt;=1000000000,OR(Y73&gt;=1000000000,COUNTA(Q73:Q1644)=0)),OR(Y73&gt;=1000000000,AND(COUNTA(C73:C1644)=0,P$3=TRUE))),
ROUNDDOWN((AB$1-AC$1)*MAX(INDEX(T$4:T1644,MATCH(LARGE(FILTER(Y$4:Y1644,Y$4:Y1644&lt;"&amp;"1000000000),1),Y$4:Y1644)),INDEX(F$4:F1644,MATCH(LARGE(FILTER(K$4:K1644,K$4:K1644&lt;1000000000),1),K$4:K1644)))),AND(K73&lt;1000000000,COUNTA(C73:C1644)&gt;0,P$3=FALSE),
ROUNDDOWN(INDEX(Y$4:Y1644,MATCH(LARGE(FILTER(W$4:W1644,W$4:W1644&lt;=I73),1),W$4:W1644))+(I73-LA"&amp;"RGE(FILTER(W$4:W1644,W$4:W1644&lt;=I73),1))*INDEX(T$4:T1644,MATCH(LARGE(FILTER(W$4:W1644,W$4:W1644&lt;=I73),1),W$4:W1644))-K73),1,
ROUNDDOWN(Y73-INDEX(K$4:K1644,MATCH(LARGE(FILTER(I$4:I1644,I$4:I1644&lt;=W73),1),I$4:I1644))-(W73-LARGE(FILTER(I$4:I1644,I$4:I1644&lt;=W"&amp;"73),1))*INDEX(F$4:F1644,MATCH(LARGE(FILTER(I$4:I1644,I$4:I1644&lt;=W73),1),I$4:I1644))))"),0.0)</f>
        <v>0</v>
      </c>
      <c r="N73" s="60">
        <f t="shared" si="8"/>
        <v>0</v>
      </c>
      <c r="O73" s="61">
        <f t="shared" si="9"/>
        <v>0</v>
      </c>
      <c r="P73" s="56">
        <f t="shared" si="10"/>
        <v>3</v>
      </c>
      <c r="Q73" s="67" t="s">
        <v>60</v>
      </c>
      <c r="R73" s="10" t="b">
        <f>IFERROR(__xludf.DUMMYFUNCTION("IF(COUNTA(Q73:Q1644)=0,"""",IF(ISBLANK(Q73),FALSE,IF(NOT(COUNTIF($AA$24:$AA$34,SUBSTITUTE(Q73,""Sell_"",""""))),1,IF(REGEXMATCH(Q73,""Sell_""),IF(COUNTIF(Q$4:Q73,SUBSTITUTE(Q73,""Sell_"",""""))-COUNTIF(Q$4:Q72,Q73)&lt;1,1),FALSE))))"),FALSE)</f>
        <v>0</v>
      </c>
      <c r="S73" s="59">
        <f t="array" ref="S73">IF(COUNTA(Q73:Q1644)=0,"",SUM((COUNTIF(Q$4:Q73,Upgrades!$B$3:$B$13)-COUNTIF(Q$4:Q73,"Sell_"&amp;Upgrades!$B$3:$B$13))*Upgrades!$D$3:$D$13))</f>
        <v>1506.8</v>
      </c>
      <c r="T73" s="66">
        <f>IFERROR(__xludf.DUMMYFUNCTION("IF(COUNTA(Q73:Q1644)=0,"""",IF(REGEXMATCH(INDEX(FILTER(Q$4:Q73,Q$4:Q73&lt;&gt;""""),ROWS(FILTER(Q$4:Q73,Q$4:Q73&lt;&gt;""""))),""^Sell_""),INDEX(FILTER(T$4:T72,Q$4:Q72&lt;&gt;""""),ROWS(FILTER(Q$4:Q72,Q$4:Q72&lt;&gt;""""))),$AD$5+S73))"),2716.8)</f>
        <v>2716.8</v>
      </c>
      <c r="U73" s="10">
        <f>IFERROR(__xludf.DUMMYFUNCTION("IF(COUNTA(Q73:Q1644)=0,"""",IF(Q73="""",0,IF(REGEXMATCH(Q73,""^Sell_""),-ROUNDDOWN(ROUNDUP(INDEX(Upgrades!$C$3:$C$13,MATCH(SUBSTITUTE(Q73,""Sell_"",""""),Upgrades!$B$3:$B$13,0))*1.15^(COUNTIF(Q$4:Q72,SUBSTITUTE(Q73,""Sell_"",""""))-COUNTIF(Q$4:Q72,""Sell_"&amp;"""&amp;SUBSTITUTE(Q73,""Sell_"",""""))))/2),ROUNDUP(INDEX(Upgrades!$C$3:$C$13,MATCH(Q73,Upgrades!$B$3:$B$13,0))*1.15^(COUNTIF(Q$4:Q72,Q73)-COUNTIF(Q$4:Q72,""Sell_""&amp;Q73))))))"),-132250.0)</f>
        <v>-132250</v>
      </c>
      <c r="V73" s="10">
        <f t="shared" si="11"/>
        <v>-459238</v>
      </c>
      <c r="W73" s="68">
        <f t="shared" si="12"/>
        <v>2379.848075</v>
      </c>
      <c r="X73" s="59" t="str">
        <f t="shared" si="13"/>
        <v>39m 39s</v>
      </c>
      <c r="Y73" s="69">
        <f t="shared" si="14"/>
        <v>1584630</v>
      </c>
      <c r="Z73" s="11"/>
      <c r="AG73" s="59"/>
    </row>
    <row r="74">
      <c r="A74" s="8"/>
      <c r="B74" s="56">
        <f t="shared" si="2"/>
        <v>4</v>
      </c>
      <c r="C74" s="67" t="s">
        <v>60</v>
      </c>
      <c r="D74" s="10" t="b">
        <f>IFERROR(__xludf.DUMMYFUNCTION("IF(COUNTA(C74:C1644)=0,"""",IF(ISBLANK(C74),FALSE,IF(NOT(COUNTIF($AA$24:$AA$34,SUBSTITUTE(C74,""Sell_"",""""))),1,IF(REGEXMATCH(C74,""Sell_""),IF(COUNTIF(C$4:C74,SUBSTITUTE(C74,""Sell_"",""""))-COUNTIF(C$4:C73,C74)&lt;1,1),FALSE))))"),FALSE)</f>
        <v>0</v>
      </c>
      <c r="E74" s="59">
        <f t="array" ref="E74">IF(COUNTA(C74:C1644)=0,"",SUM((COUNTIF(C$4:C74,Upgrades!$B$3:$B$13)-COUNTIF(C$4:C74,"Sell_"&amp;Upgrades!$B$3:$B$13))*Upgrades!$D$3:$D$13))</f>
        <v>1106.8</v>
      </c>
      <c r="F74" s="66">
        <f>IFERROR(__xludf.DUMMYFUNCTION("IF(COUNTA(C74:C1644)=0,"""",IF(REGEXMATCH(INDEX(FILTER(C$4:C74,C$4:C74&lt;&gt;""""),ROWS(FILTER(C$4:C74,C$4:C74&lt;&gt;""""))),""^Sell_""),INDEX(FILTER(F$4:F73,C$4:C73&lt;&gt;""""),ROWS(FILTER(C$4:C73,C$4:C73&lt;&gt;""""))),$AC$5+E74))"),2716.8)</f>
        <v>2716.8</v>
      </c>
      <c r="G74" s="10">
        <f>IFERROR(__xludf.DUMMYFUNCTION("IF(COUNTA(C74:C1644)=0,"""",IF(C74="""",0,IF(REGEXMATCH(C74,""^Sell_""),-ROUNDDOWN(ROUNDUP(INDEX(Upgrades!$C$3:$C$13,MATCH(SUBSTITUTE(C74,""Sell_"",""""),Upgrades!$B$3:$B$13,0))*1.15^(COUNTIF(C$4:C73,SUBSTITUTE(C74,""Sell_"",""""))-COUNTIF(C$4:C73,""Sell_"&amp;"""&amp;SUBSTITUTE(C74,""Sell_"",""""))))/2),ROUNDUP(INDEX(Upgrades!$C$3:$C$13,MATCH(C74,Upgrades!$B$3:$B$13,0))*1.15^(COUNTIF(C$4:C73,C74)-COUNTIF(C$4:C73,""Sell_""&amp;C74))))))"),-115000.0)</f>
        <v>-115000</v>
      </c>
      <c r="H74" s="10">
        <f t="shared" si="3"/>
        <v>-574238</v>
      </c>
      <c r="I74" s="68">
        <f t="shared" si="4"/>
        <v>2379.848075</v>
      </c>
      <c r="J74" s="59" t="str">
        <f t="shared" si="5"/>
        <v>39m 39s</v>
      </c>
      <c r="K74" s="69">
        <f t="shared" si="6"/>
        <v>1584630</v>
      </c>
      <c r="L74" s="60">
        <f t="shared" si="7"/>
        <v>0</v>
      </c>
      <c r="M74" s="61">
        <f>IFERROR(__xludf.DUMMYFUNCTION("IFS(AND(COUNTA(C74:C1644)=0,COUNTA(Q74:Q1644)=0),"""",OR(AND(K74&gt;=1000000000,OR(Y74&gt;=1000000000,COUNTA(Q74:Q1644)=0)),OR(Y74&gt;=1000000000,AND(COUNTA(C74:C1644)=0,P$3=TRUE))),
ROUNDDOWN((AB$1-AC$1)*MAX(INDEX(T$4:T1644,MATCH(LARGE(FILTER(Y$4:Y1644,Y$4:Y1644&lt;"&amp;"1000000000),1),Y$4:Y1644)),INDEX(F$4:F1644,MATCH(LARGE(FILTER(K$4:K1644,K$4:K1644&lt;1000000000),1),K$4:K1644)))),AND(K74&lt;1000000000,COUNTA(C74:C1644)&gt;0,P$3=FALSE),
ROUNDDOWN(INDEX(Y$4:Y1644,MATCH(LARGE(FILTER(W$4:W1644,W$4:W1644&lt;=I74),1),W$4:W1644))+(I74-LA"&amp;"RGE(FILTER(W$4:W1644,W$4:W1644&lt;=I74),1))*INDEX(T$4:T1644,MATCH(LARGE(FILTER(W$4:W1644,W$4:W1644&lt;=I74),1),W$4:W1644))-K74),1,
ROUNDDOWN(Y74-INDEX(K$4:K1644,MATCH(LARGE(FILTER(I$4:I1644,I$4:I1644&lt;=W74),1),I$4:I1644))-(W74-LARGE(FILTER(I$4:I1644,I$4:I1644&lt;=W"&amp;"74),1))*INDEX(F$4:F1644,MATCH(LARGE(FILTER(I$4:I1644,I$4:I1644&lt;=W74),1),I$4:I1644))))"),0.0)</f>
        <v>0</v>
      </c>
      <c r="N74" s="60">
        <f t="shared" si="8"/>
        <v>0</v>
      </c>
      <c r="O74" s="61">
        <f t="shared" si="9"/>
        <v>0</v>
      </c>
      <c r="P74" s="56">
        <f t="shared" si="10"/>
        <v>1</v>
      </c>
      <c r="Q74" s="67" t="s">
        <v>61</v>
      </c>
      <c r="R74" s="10" t="b">
        <f>IFERROR(__xludf.DUMMYFUNCTION("IF(COUNTA(Q74:Q1644)=0,"""",IF(ISBLANK(Q74),FALSE,IF(NOT(COUNTIF($AA$24:$AA$34,SUBSTITUTE(Q74,""Sell_"",""""))),1,IF(REGEXMATCH(Q74,""Sell_""),IF(COUNTIF(Q$4:Q74,SUBSTITUTE(Q74,""Sell_"",""""))-COUNTIF(Q$4:Q73,Q74)&lt;1,1),FALSE))))"),FALSE)</f>
        <v>0</v>
      </c>
      <c r="S74" s="59">
        <f t="array" ref="S74">IF(COUNTA(Q74:Q1644)=0,"",SUM((COUNTIF(Q$4:Q74,Upgrades!$B$3:$B$13)-COUNTIF(Q$4:Q74,"Sell_"&amp;Upgrades!$B$3:$B$13))*Upgrades!$D$3:$D$13))</f>
        <v>1406.8</v>
      </c>
      <c r="T74" s="66">
        <f>IFERROR(__xludf.DUMMYFUNCTION("IF(COUNTA(Q74:Q1644)=0,"""",IF(REGEXMATCH(INDEX(FILTER(Q$4:Q74,Q$4:Q74&lt;&gt;""""),ROWS(FILTER(Q$4:Q74,Q$4:Q74&lt;&gt;""""))),""^Sell_""),INDEX(FILTER(T$4:T73,Q$4:Q73&lt;&gt;""""),ROWS(FILTER(Q$4:Q73,Q$4:Q73&lt;&gt;""""))),$AD$5+S74))"),2716.8)</f>
        <v>2716.8</v>
      </c>
      <c r="U74" s="10">
        <f>IFERROR(__xludf.DUMMYFUNCTION("IF(COUNTA(Q74:Q1644)=0,"""",IF(Q74="""",0,IF(REGEXMATCH(Q74,""^Sell_""),-ROUNDDOWN(ROUNDUP(INDEX(Upgrades!$C$3:$C$13,MATCH(SUBSTITUTE(Q74,""Sell_"",""""),Upgrades!$B$3:$B$13,0))*1.15^(COUNTIF(Q$4:Q73,SUBSTITUTE(Q74,""Sell_"",""""))-COUNTIF(Q$4:Q73,""Sell_"&amp;"""&amp;SUBSTITUTE(Q74,""Sell_"",""""))))/2),ROUNDUP(INDEX(Upgrades!$C$3:$C$13,MATCH(Q74,Upgrades!$B$3:$B$13,0))*1.15^(COUNTIF(Q$4:Q73,Q74)-COUNTIF(Q$4:Q73,""Sell_""&amp;Q74))))))"),-46261.0)</f>
        <v>-46261</v>
      </c>
      <c r="V74" s="10">
        <f t="shared" si="11"/>
        <v>-505499</v>
      </c>
      <c r="W74" s="68">
        <f t="shared" si="12"/>
        <v>2379.848075</v>
      </c>
      <c r="X74" s="59" t="str">
        <f t="shared" si="13"/>
        <v>39m 39s</v>
      </c>
      <c r="Y74" s="69">
        <f t="shared" si="14"/>
        <v>1584630</v>
      </c>
      <c r="Z74" s="11"/>
      <c r="AG74" s="59"/>
    </row>
    <row r="75">
      <c r="A75" s="8"/>
      <c r="B75" s="56">
        <f t="shared" si="2"/>
        <v>1</v>
      </c>
      <c r="C75" s="67" t="s">
        <v>10</v>
      </c>
      <c r="D75" s="10" t="b">
        <f>IFERROR(__xludf.DUMMYFUNCTION("IF(COUNTA(C75:C1644)=0,"""",IF(ISBLANK(C75),FALSE,IF(NOT(COUNTIF($AA$24:$AA$34,SUBSTITUTE(C75,""Sell_"",""""))),1,IF(REGEXMATCH(C75,""Sell_""),IF(COUNTIF(C$4:C75,SUBSTITUTE(C75,""Sell_"",""""))-COUNTIF(C$4:C74,C75)&lt;1,1),FALSE))))"),FALSE)</f>
        <v>0</v>
      </c>
      <c r="E75" s="59">
        <f t="array" ref="E75">IF(COUNTA(C75:C1644)=0,"",SUM((COUNTIF(C$4:C75,Upgrades!$B$3:$B$13)-COUNTIF(C$4:C75,"Sell_"&amp;Upgrades!$B$3:$B$13))*Upgrades!$D$3:$D$13))</f>
        <v>7772.8</v>
      </c>
      <c r="F75" s="66">
        <f>IFERROR(__xludf.DUMMYFUNCTION("IF(COUNTA(C75:C1644)=0,"""",IF(REGEXMATCH(INDEX(FILTER(C$4:C75,C$4:C75&lt;&gt;""""),ROWS(FILTER(C$4:C75,C$4:C75&lt;&gt;""""))),""^Sell_""),INDEX(FILTER(F$4:F74,C$4:C74&lt;&gt;""""),ROWS(FILTER(C$4:C74,C$4:C74&lt;&gt;""""))),$AC$5+E75))"),7782.8)</f>
        <v>7782.8</v>
      </c>
      <c r="G75" s="10">
        <f>IFERROR(__xludf.DUMMYFUNCTION("IF(COUNTA(C75:C1644)=0,"""",IF(C75="""",0,IF(REGEXMATCH(C75,""^Sell_""),-ROUNDDOWN(ROUNDUP(INDEX(Upgrades!$C$3:$C$13,MATCH(SUBSTITUTE(C75,""Sell_"",""""),Upgrades!$B$3:$B$13,0))*1.15^(COUNTIF(C$4:C74,SUBSTITUTE(C75,""Sell_"",""""))-COUNTIF(C$4:C74,""Sell_"&amp;"""&amp;SUBSTITUTE(C75,""Sell_"",""""))))/2),ROUNDUP(INDEX(Upgrades!$C$3:$C$13,MATCH(C75,Upgrades!$B$3:$B$13,0))*1.15^(COUNTIF(C$4:C74,C75)-COUNTIF(C$4:C74,""Sell_""&amp;C75))))))"),1666666.0)</f>
        <v>1666666</v>
      </c>
      <c r="H75" s="10">
        <f t="shared" si="3"/>
        <v>1092428</v>
      </c>
      <c r="I75" s="68">
        <f t="shared" si="4"/>
        <v>2781.949077</v>
      </c>
      <c r="J75" s="59" t="str">
        <f t="shared" si="5"/>
        <v>46m 21s</v>
      </c>
      <c r="K75" s="69">
        <f t="shared" si="6"/>
        <v>2677058</v>
      </c>
      <c r="L75" s="60">
        <f t="shared" si="7"/>
        <v>-46.60017</v>
      </c>
      <c r="M75" s="61">
        <f>IFERROR(__xludf.DUMMYFUNCTION("IFS(AND(COUNTA(C75:C1644)=0,COUNTA(Q75:Q1644)=0),"""",OR(AND(K75&gt;=1000000000,OR(Y75&gt;=1000000000,COUNTA(Q75:Q1644)=0)),OR(Y75&gt;=1000000000,AND(COUNTA(C75:C1644)=0,P$3=TRUE))),
ROUNDDOWN((AB$1-AC$1)*MAX(INDEX(T$4:T1644,MATCH(LARGE(FILTER(Y$4:Y1644,Y$4:Y1644&lt;"&amp;"1000000000),1),Y$4:Y1644)),INDEX(F$4:F1644,MATCH(LARGE(FILTER(K$4:K1644,K$4:K1644&lt;1000000000),1),K$4:K1644)))),AND(K75&lt;1000000000,COUNTA(C75:C1644)&gt;0,P$3=FALSE),
ROUNDDOWN(INDEX(Y$4:Y1644,MATCH(LARGE(FILTER(W$4:W1644,W$4:W1644&lt;=I75),1),W$4:W1644))+(I75-LA"&amp;"RGE(FILTER(W$4:W1644,W$4:W1644&lt;=I75),1))*INDEX(T$4:T1644,MATCH(LARGE(FILTER(W$4:W1644,W$4:W1644&lt;=I75),1),W$4:W1644))-K75),1,
ROUNDDOWN(Y75-INDEX(K$4:K1644,MATCH(LARGE(FILTER(I$4:I1644,I$4:I1644&lt;=W75),1),I$4:I1644))-(W75-LARGE(FILTER(I$4:I1644,I$4:I1644&lt;=W"&amp;"75),1))*INDEX(F$4:F1644,MATCH(LARGE(FILTER(I$4:I1644,I$4:I1644&lt;=W75),1),I$4:I1644))))"),358092.0)</f>
        <v>358092</v>
      </c>
      <c r="N75" s="60">
        <f t="shared" si="8"/>
        <v>-46.60017</v>
      </c>
      <c r="O75" s="61">
        <f t="shared" si="9"/>
        <v>358092</v>
      </c>
      <c r="P75" s="56">
        <f t="shared" si="10"/>
        <v>2</v>
      </c>
      <c r="Q75" s="67" t="s">
        <v>61</v>
      </c>
      <c r="R75" s="10" t="b">
        <f>IFERROR(__xludf.DUMMYFUNCTION("IF(COUNTA(Q75:Q1644)=0,"""",IF(ISBLANK(Q75),FALSE,IF(NOT(COUNTIF($AA$24:$AA$34,SUBSTITUTE(Q75,""Sell_"",""""))),1,IF(REGEXMATCH(Q75,""Sell_""),IF(COUNTIF(Q$4:Q75,SUBSTITUTE(Q75,""Sell_"",""""))-COUNTIF(Q$4:Q74,Q75)&lt;1,1),FALSE))))"),FALSE)</f>
        <v>0</v>
      </c>
      <c r="S75" s="59">
        <f t="array" ref="S75">IF(COUNTA(Q75:Q1644)=0,"",SUM((COUNTIF(Q$4:Q75,Upgrades!$B$3:$B$13)-COUNTIF(Q$4:Q75,"Sell_"&amp;Upgrades!$B$3:$B$13))*Upgrades!$D$3:$D$13))</f>
        <v>1306.8</v>
      </c>
      <c r="T75" s="66">
        <f>IFERROR(__xludf.DUMMYFUNCTION("IF(COUNTA(Q75:Q1644)=0,"""",IF(REGEXMATCH(INDEX(FILTER(Q$4:Q75,Q$4:Q75&lt;&gt;""""),ROWS(FILTER(Q$4:Q75,Q$4:Q75&lt;&gt;""""))),""^Sell_""),INDEX(FILTER(T$4:T74,Q$4:Q74&lt;&gt;""""),ROWS(FILTER(Q$4:Q74,Q$4:Q74&lt;&gt;""""))),$AD$5+S75))"),2716.8)</f>
        <v>2716.8</v>
      </c>
      <c r="U75" s="10">
        <f>IFERROR(__xludf.DUMMYFUNCTION("IF(COUNTA(Q75:Q1644)=0,"""",IF(Q75="""",0,IF(REGEXMATCH(Q75,""^Sell_""),-ROUNDDOWN(ROUNDUP(INDEX(Upgrades!$C$3:$C$13,MATCH(SUBSTITUTE(Q75,""Sell_"",""""),Upgrades!$B$3:$B$13,0))*1.15^(COUNTIF(Q$4:Q74,SUBSTITUTE(Q75,""Sell_"",""""))-COUNTIF(Q$4:Q74,""Sell_"&amp;"""&amp;SUBSTITUTE(Q75,""Sell_"",""""))))/2),ROUNDUP(INDEX(Upgrades!$C$3:$C$13,MATCH(Q75,Upgrades!$B$3:$B$13,0))*1.15^(COUNTIF(Q$4:Q74,Q75)-COUNTIF(Q$4:Q74,""Sell_""&amp;Q75))))))"),-40227.0)</f>
        <v>-40227</v>
      </c>
      <c r="V75" s="10">
        <f t="shared" si="11"/>
        <v>-545726</v>
      </c>
      <c r="W75" s="68">
        <f t="shared" si="12"/>
        <v>2379.848075</v>
      </c>
      <c r="X75" s="59" t="str">
        <f t="shared" si="13"/>
        <v>39m 39s</v>
      </c>
      <c r="Y75" s="69">
        <f t="shared" si="14"/>
        <v>1584630</v>
      </c>
      <c r="Z75" s="11"/>
      <c r="AG75" s="59"/>
    </row>
    <row r="76">
      <c r="A76" s="8"/>
      <c r="B76" s="56">
        <f t="shared" si="2"/>
        <v>1</v>
      </c>
      <c r="C76" s="67" t="s">
        <v>61</v>
      </c>
      <c r="D76" s="10" t="b">
        <f>IFERROR(__xludf.DUMMYFUNCTION("IF(COUNTA(C76:C1644)=0,"""",IF(ISBLANK(C76),FALSE,IF(NOT(COUNTIF($AA$24:$AA$34,SUBSTITUTE(C76,""Sell_"",""""))),1,IF(REGEXMATCH(C76,""Sell_""),IF(COUNTIF(C$4:C76,SUBSTITUTE(C76,""Sell_"",""""))-COUNTIF(C$4:C75,C76)&lt;1,1),FALSE))))"),FALSE)</f>
        <v>0</v>
      </c>
      <c r="E76" s="59">
        <f t="array" ref="E76">IF(COUNTA(C76:C1644)=0,"",SUM((COUNTIF(C$4:C76,Upgrades!$B$3:$B$13)-COUNTIF(C$4:C76,"Sell_"&amp;Upgrades!$B$3:$B$13))*Upgrades!$D$3:$D$13))</f>
        <v>7672.8</v>
      </c>
      <c r="F76" s="66">
        <f>IFERROR(__xludf.DUMMYFUNCTION("IF(COUNTA(C76:C1644)=0,"""",IF(REGEXMATCH(INDEX(FILTER(C$4:C76,C$4:C76&lt;&gt;""""),ROWS(FILTER(C$4:C76,C$4:C76&lt;&gt;""""))),""^Sell_""),INDEX(FILTER(F$4:F75,C$4:C75&lt;&gt;""""),ROWS(FILTER(C$4:C75,C$4:C75&lt;&gt;""""))),$AC$5+E76))"),7782.8)</f>
        <v>7782.8</v>
      </c>
      <c r="G76" s="10">
        <f>IFERROR(__xludf.DUMMYFUNCTION("IF(COUNTA(C76:C1644)=0,"""",IF(C76="""",0,IF(REGEXMATCH(C76,""^Sell_""),-ROUNDDOWN(ROUNDUP(INDEX(Upgrades!$C$3:$C$13,MATCH(SUBSTITUTE(C76,""Sell_"",""""),Upgrades!$B$3:$B$13,0))*1.15^(COUNTIF(C$4:C75,SUBSTITUTE(C76,""Sell_"",""""))-COUNTIF(C$4:C75,""Sell_"&amp;"""&amp;SUBSTITUTE(C76,""Sell_"",""""))))/2),ROUNDUP(INDEX(Upgrades!$C$3:$C$13,MATCH(C76,Upgrades!$B$3:$B$13,0))*1.15^(COUNTIF(C$4:C75,C76)-COUNTIF(C$4:C75,""Sell_""&amp;C76))))))"),-46261.0)</f>
        <v>-46261</v>
      </c>
      <c r="H76" s="10">
        <f t="shared" si="3"/>
        <v>-46261</v>
      </c>
      <c r="I76" s="68">
        <f t="shared" si="4"/>
        <v>2781.949077</v>
      </c>
      <c r="J76" s="59" t="str">
        <f t="shared" si="5"/>
        <v>46m 21s</v>
      </c>
      <c r="K76" s="69">
        <f t="shared" si="6"/>
        <v>2677058</v>
      </c>
      <c r="L76" s="60">
        <f t="shared" si="7"/>
        <v>-46.60017</v>
      </c>
      <c r="M76" s="61">
        <f>IFERROR(__xludf.DUMMYFUNCTION("IFS(AND(COUNTA(C76:C1644)=0,COUNTA(Q76:Q1644)=0),"""",OR(AND(K76&gt;=1000000000,OR(Y76&gt;=1000000000,COUNTA(Q76:Q1644)=0)),OR(Y76&gt;=1000000000,AND(COUNTA(C76:C1644)=0,P$3=TRUE))),
ROUNDDOWN((AB$1-AC$1)*MAX(INDEX(T$4:T1644,MATCH(LARGE(FILTER(Y$4:Y1644,Y$4:Y1644&lt;"&amp;"1000000000),1),Y$4:Y1644)),INDEX(F$4:F1644,MATCH(LARGE(FILTER(K$4:K1644,K$4:K1644&lt;1000000000),1),K$4:K1644)))),AND(K76&lt;1000000000,COUNTA(C76:C1644)&gt;0,P$3=FALSE),
ROUNDDOWN(INDEX(Y$4:Y1644,MATCH(LARGE(FILTER(W$4:W1644,W$4:W1644&lt;=I76),1),W$4:W1644))+(I76-LA"&amp;"RGE(FILTER(W$4:W1644,W$4:W1644&lt;=I76),1))*INDEX(T$4:T1644,MATCH(LARGE(FILTER(W$4:W1644,W$4:W1644&lt;=I76),1),W$4:W1644))-K76),1,
ROUNDDOWN(Y76-INDEX(K$4:K1644,MATCH(LARGE(FILTER(I$4:I1644,I$4:I1644&lt;=W76),1),I$4:I1644))-(W76-LARGE(FILTER(I$4:I1644,I$4:I1644&lt;=W"&amp;"76),1))*INDEX(F$4:F1644,MATCH(LARGE(FILTER(I$4:I1644,I$4:I1644&lt;=W76),1),I$4:I1644))))"),358092.0)</f>
        <v>358092</v>
      </c>
      <c r="N76" s="60">
        <f t="shared" si="8"/>
        <v>-46.60017</v>
      </c>
      <c r="O76" s="61">
        <f t="shared" si="9"/>
        <v>358092</v>
      </c>
      <c r="P76" s="56">
        <f t="shared" si="10"/>
        <v>3</v>
      </c>
      <c r="Q76" s="67" t="s">
        <v>61</v>
      </c>
      <c r="R76" s="10" t="b">
        <f>IFERROR(__xludf.DUMMYFUNCTION("IF(COUNTA(Q76:Q1644)=0,"""",IF(ISBLANK(Q76),FALSE,IF(NOT(COUNTIF($AA$24:$AA$34,SUBSTITUTE(Q76,""Sell_"",""""))),1,IF(REGEXMATCH(Q76,""Sell_""),IF(COUNTIF(Q$4:Q76,SUBSTITUTE(Q76,""Sell_"",""""))-COUNTIF(Q$4:Q75,Q76)&lt;1,1),FALSE))))"),FALSE)</f>
        <v>0</v>
      </c>
      <c r="S76" s="59">
        <f t="array" ref="S76">IF(COUNTA(Q76:Q1644)=0,"",SUM((COUNTIF(Q$4:Q76,Upgrades!$B$3:$B$13)-COUNTIF(Q$4:Q76,"Sell_"&amp;Upgrades!$B$3:$B$13))*Upgrades!$D$3:$D$13))</f>
        <v>1206.8</v>
      </c>
      <c r="T76" s="66">
        <f>IFERROR(__xludf.DUMMYFUNCTION("IF(COUNTA(Q76:Q1644)=0,"""",IF(REGEXMATCH(INDEX(FILTER(Q$4:Q76,Q$4:Q76&lt;&gt;""""),ROWS(FILTER(Q$4:Q76,Q$4:Q76&lt;&gt;""""))),""^Sell_""),INDEX(FILTER(T$4:T75,Q$4:Q75&lt;&gt;""""),ROWS(FILTER(Q$4:Q75,Q$4:Q75&lt;&gt;""""))),$AD$5+S76))"),2716.8)</f>
        <v>2716.8</v>
      </c>
      <c r="U76" s="10">
        <f>IFERROR(__xludf.DUMMYFUNCTION("IF(COUNTA(Q76:Q1644)=0,"""",IF(Q76="""",0,IF(REGEXMATCH(Q76,""^Sell_""),-ROUNDDOWN(ROUNDUP(INDEX(Upgrades!$C$3:$C$13,MATCH(SUBSTITUTE(Q76,""Sell_"",""""),Upgrades!$B$3:$B$13,0))*1.15^(COUNTIF(Q$4:Q75,SUBSTITUTE(Q76,""Sell_"",""""))-COUNTIF(Q$4:Q75,""Sell_"&amp;"""&amp;SUBSTITUTE(Q76,""Sell_"",""""))))/2),ROUNDUP(INDEX(Upgrades!$C$3:$C$13,MATCH(Q76,Upgrades!$B$3:$B$13,0))*1.15^(COUNTIF(Q$4:Q75,Q76)-COUNTIF(Q$4:Q75,""Sell_""&amp;Q76))))))"),-34980.0)</f>
        <v>-34980</v>
      </c>
      <c r="V76" s="10">
        <f t="shared" si="11"/>
        <v>-580706</v>
      </c>
      <c r="W76" s="68">
        <f t="shared" si="12"/>
        <v>2379.848075</v>
      </c>
      <c r="X76" s="59" t="str">
        <f t="shared" si="13"/>
        <v>39m 39s</v>
      </c>
      <c r="Y76" s="69">
        <f t="shared" si="14"/>
        <v>1584630</v>
      </c>
      <c r="Z76" s="11"/>
      <c r="AG76" s="59"/>
    </row>
    <row r="77">
      <c r="A77" s="8"/>
      <c r="B77" s="56">
        <f t="shared" si="2"/>
        <v>2</v>
      </c>
      <c r="C77" s="67" t="s">
        <v>61</v>
      </c>
      <c r="D77" s="10" t="b">
        <f>IFERROR(__xludf.DUMMYFUNCTION("IF(COUNTA(C77:C1644)=0,"""",IF(ISBLANK(C77),FALSE,IF(NOT(COUNTIF($AA$24:$AA$34,SUBSTITUTE(C77,""Sell_"",""""))),1,IF(REGEXMATCH(C77,""Sell_""),IF(COUNTIF(C$4:C77,SUBSTITUTE(C77,""Sell_"",""""))-COUNTIF(C$4:C76,C77)&lt;1,1),FALSE))))"),FALSE)</f>
        <v>0</v>
      </c>
      <c r="E77" s="59">
        <f t="array" ref="E77">IF(COUNTA(C77:C1644)=0,"",SUM((COUNTIF(C$4:C77,Upgrades!$B$3:$B$13)-COUNTIF(C$4:C77,"Sell_"&amp;Upgrades!$B$3:$B$13))*Upgrades!$D$3:$D$13))</f>
        <v>7572.8</v>
      </c>
      <c r="F77" s="66">
        <f>IFERROR(__xludf.DUMMYFUNCTION("IF(COUNTA(C77:C1644)=0,"""",IF(REGEXMATCH(INDEX(FILTER(C$4:C77,C$4:C77&lt;&gt;""""),ROWS(FILTER(C$4:C77,C$4:C77&lt;&gt;""""))),""^Sell_""),INDEX(FILTER(F$4:F76,C$4:C76&lt;&gt;""""),ROWS(FILTER(C$4:C76,C$4:C76&lt;&gt;""""))),$AC$5+E77))"),7782.8)</f>
        <v>7782.8</v>
      </c>
      <c r="G77" s="10">
        <f>IFERROR(__xludf.DUMMYFUNCTION("IF(COUNTA(C77:C1644)=0,"""",IF(C77="""",0,IF(REGEXMATCH(C77,""^Sell_""),-ROUNDDOWN(ROUNDUP(INDEX(Upgrades!$C$3:$C$13,MATCH(SUBSTITUTE(C77,""Sell_"",""""),Upgrades!$B$3:$B$13,0))*1.15^(COUNTIF(C$4:C76,SUBSTITUTE(C77,""Sell_"",""""))-COUNTIF(C$4:C76,""Sell_"&amp;"""&amp;SUBSTITUTE(C77,""Sell_"",""""))))/2),ROUNDUP(INDEX(Upgrades!$C$3:$C$13,MATCH(C77,Upgrades!$B$3:$B$13,0))*1.15^(COUNTIF(C$4:C76,C77)-COUNTIF(C$4:C76,""Sell_""&amp;C77))))))"),-40227.0)</f>
        <v>-40227</v>
      </c>
      <c r="H77" s="10">
        <f t="shared" si="3"/>
        <v>-86488</v>
      </c>
      <c r="I77" s="68">
        <f t="shared" si="4"/>
        <v>2781.949077</v>
      </c>
      <c r="J77" s="59" t="str">
        <f t="shared" si="5"/>
        <v>46m 21s</v>
      </c>
      <c r="K77" s="69">
        <f t="shared" si="6"/>
        <v>2677058</v>
      </c>
      <c r="L77" s="60">
        <f t="shared" si="7"/>
        <v>-46.60017</v>
      </c>
      <c r="M77" s="61">
        <f>IFERROR(__xludf.DUMMYFUNCTION("IFS(AND(COUNTA(C77:C1644)=0,COUNTA(Q77:Q1644)=0),"""",OR(AND(K77&gt;=1000000000,OR(Y77&gt;=1000000000,COUNTA(Q77:Q1644)=0)),OR(Y77&gt;=1000000000,AND(COUNTA(C77:C1644)=0,P$3=TRUE))),
ROUNDDOWN((AB$1-AC$1)*MAX(INDEX(T$4:T1644,MATCH(LARGE(FILTER(Y$4:Y1644,Y$4:Y1644&lt;"&amp;"1000000000),1),Y$4:Y1644)),INDEX(F$4:F1644,MATCH(LARGE(FILTER(K$4:K1644,K$4:K1644&lt;1000000000),1),K$4:K1644)))),AND(K77&lt;1000000000,COUNTA(C77:C1644)&gt;0,P$3=FALSE),
ROUNDDOWN(INDEX(Y$4:Y1644,MATCH(LARGE(FILTER(W$4:W1644,W$4:W1644&lt;=I77),1),W$4:W1644))+(I77-LA"&amp;"RGE(FILTER(W$4:W1644,W$4:W1644&lt;=I77),1))*INDEX(T$4:T1644,MATCH(LARGE(FILTER(W$4:W1644,W$4:W1644&lt;=I77),1),W$4:W1644))-K77),1,
ROUNDDOWN(Y77-INDEX(K$4:K1644,MATCH(LARGE(FILTER(I$4:I1644,I$4:I1644&lt;=W77),1),I$4:I1644))-(W77-LARGE(FILTER(I$4:I1644,I$4:I1644&lt;=W"&amp;"77),1))*INDEX(F$4:F1644,MATCH(LARGE(FILTER(I$4:I1644,I$4:I1644&lt;=W77),1),I$4:I1644))))"),358092.0)</f>
        <v>358092</v>
      </c>
      <c r="N77" s="60">
        <f t="shared" si="8"/>
        <v>-46.60017</v>
      </c>
      <c r="O77" s="61">
        <f t="shared" si="9"/>
        <v>358092</v>
      </c>
      <c r="P77" s="56">
        <f t="shared" si="10"/>
        <v>4</v>
      </c>
      <c r="Q77" s="67" t="s">
        <v>61</v>
      </c>
      <c r="R77" s="10" t="b">
        <f>IFERROR(__xludf.DUMMYFUNCTION("IF(COUNTA(Q77:Q1644)=0,"""",IF(ISBLANK(Q77),FALSE,IF(NOT(COUNTIF($AA$24:$AA$34,SUBSTITUTE(Q77,""Sell_"",""""))),1,IF(REGEXMATCH(Q77,""Sell_""),IF(COUNTIF(Q$4:Q77,SUBSTITUTE(Q77,""Sell_"",""""))-COUNTIF(Q$4:Q76,Q77)&lt;1,1),FALSE))))"),FALSE)</f>
        <v>0</v>
      </c>
      <c r="S77" s="59">
        <f t="array" ref="S77">IF(COUNTA(Q77:Q1644)=0,"",SUM((COUNTIF(Q$4:Q77,Upgrades!$B$3:$B$13)-COUNTIF(Q$4:Q77,"Sell_"&amp;Upgrades!$B$3:$B$13))*Upgrades!$D$3:$D$13))</f>
        <v>1106.8</v>
      </c>
      <c r="T77" s="66">
        <f>IFERROR(__xludf.DUMMYFUNCTION("IF(COUNTA(Q77:Q1644)=0,"""",IF(REGEXMATCH(INDEX(FILTER(Q$4:Q77,Q$4:Q77&lt;&gt;""""),ROWS(FILTER(Q$4:Q77,Q$4:Q77&lt;&gt;""""))),""^Sell_""),INDEX(FILTER(T$4:T76,Q$4:Q76&lt;&gt;""""),ROWS(FILTER(Q$4:Q76,Q$4:Q76&lt;&gt;""""))),$AD$5+S77))"),2716.8)</f>
        <v>2716.8</v>
      </c>
      <c r="U77" s="10">
        <f>IFERROR(__xludf.DUMMYFUNCTION("IF(COUNTA(Q77:Q1644)=0,"""",IF(Q77="""",0,IF(REGEXMATCH(Q77,""^Sell_""),-ROUNDDOWN(ROUNDUP(INDEX(Upgrades!$C$3:$C$13,MATCH(SUBSTITUTE(Q77,""Sell_"",""""),Upgrades!$B$3:$B$13,0))*1.15^(COUNTIF(Q$4:Q76,SUBSTITUTE(Q77,""Sell_"",""""))-COUNTIF(Q$4:Q76,""Sell_"&amp;"""&amp;SUBSTITUTE(Q77,""Sell_"",""""))))/2),ROUNDUP(INDEX(Upgrades!$C$3:$C$13,MATCH(Q77,Upgrades!$B$3:$B$13,0))*1.15^(COUNTIF(Q$4:Q76,Q77)-COUNTIF(Q$4:Q76,""Sell_""&amp;Q77))))))"),-30417.0)</f>
        <v>-30417</v>
      </c>
      <c r="V77" s="10">
        <f t="shared" si="11"/>
        <v>-611123</v>
      </c>
      <c r="W77" s="68">
        <f t="shared" si="12"/>
        <v>2379.848075</v>
      </c>
      <c r="X77" s="59" t="str">
        <f t="shared" si="13"/>
        <v>39m 39s</v>
      </c>
      <c r="Y77" s="69">
        <f t="shared" si="14"/>
        <v>1584630</v>
      </c>
      <c r="Z77" s="11"/>
      <c r="AG77" s="59"/>
    </row>
    <row r="78">
      <c r="A78" s="8"/>
      <c r="B78" s="56">
        <f t="shared" si="2"/>
        <v>2</v>
      </c>
      <c r="C78" s="67" t="s">
        <v>10</v>
      </c>
      <c r="D78" s="10" t="b">
        <f>IFERROR(__xludf.DUMMYFUNCTION("IF(COUNTA(C78:C1644)=0,"""",IF(ISBLANK(C78),FALSE,IF(NOT(COUNTIF($AA$24:$AA$34,SUBSTITUTE(C78,""Sell_"",""""))),1,IF(REGEXMATCH(C78,""Sell_""),IF(COUNTIF(C$4:C78,SUBSTITUTE(C78,""Sell_"",""""))-COUNTIF(C$4:C77,C78)&lt;1,1),FALSE))))"),FALSE)</f>
        <v>0</v>
      </c>
      <c r="E78" s="59">
        <f t="array" ref="E78">IF(COUNTA(C78:C1644)=0,"",SUM((COUNTIF(C$4:C78,Upgrades!$B$3:$B$13)-COUNTIF(C$4:C78,"Sell_"&amp;Upgrades!$B$3:$B$13))*Upgrades!$D$3:$D$13))</f>
        <v>14238.8</v>
      </c>
      <c r="F78" s="66">
        <f>IFERROR(__xludf.DUMMYFUNCTION("IF(COUNTA(C78:C1644)=0,"""",IF(REGEXMATCH(INDEX(FILTER(C$4:C78,C$4:C78&lt;&gt;""""),ROWS(FILTER(C$4:C78,C$4:C78&lt;&gt;""""))),""^Sell_""),INDEX(FILTER(F$4:F77,C$4:C77&lt;&gt;""""),ROWS(FILTER(C$4:C77,C$4:C77&lt;&gt;""""))),$AC$5+E78))"),14248.8)</f>
        <v>14248.8</v>
      </c>
      <c r="G78" s="10">
        <f>IFERROR(__xludf.DUMMYFUNCTION("IF(COUNTA(C78:C1644)=0,"""",IF(C78="""",0,IF(REGEXMATCH(C78,""^Sell_""),-ROUNDDOWN(ROUNDUP(INDEX(Upgrades!$C$3:$C$13,MATCH(SUBSTITUTE(C78,""Sell_"",""""),Upgrades!$B$3:$B$13,0))*1.15^(COUNTIF(C$4:C77,SUBSTITUTE(C78,""Sell_"",""""))-COUNTIF(C$4:C77,""Sell_"&amp;"""&amp;SUBSTITUTE(C78,""Sell_"",""""))))/2),ROUNDUP(INDEX(Upgrades!$C$3:$C$13,MATCH(C78,Upgrades!$B$3:$B$13,0))*1.15^(COUNTIF(C$4:C77,C78)-COUNTIF(C$4:C77,""Sell_""&amp;C78))))))"),1916666.0)</f>
        <v>1916666</v>
      </c>
      <c r="H78" s="10">
        <f t="shared" si="3"/>
        <v>1830178</v>
      </c>
      <c r="I78" s="68">
        <f t="shared" si="4"/>
        <v>3017.105833</v>
      </c>
      <c r="J78" s="59" t="str">
        <f t="shared" si="5"/>
        <v>50m 17s</v>
      </c>
      <c r="K78" s="69">
        <f t="shared" si="6"/>
        <v>4507236</v>
      </c>
      <c r="L78" s="60">
        <f t="shared" si="7"/>
        <v>-46.01077</v>
      </c>
      <c r="M78" s="61">
        <f>IFERROR(__xludf.DUMMYFUNCTION("IFS(AND(COUNTA(C78:C1644)=0,COUNTA(Q78:Q1644)=0),"""",OR(AND(K78&gt;=1000000000,OR(Y78&gt;=1000000000,COUNTA(Q78:Q1644)=0)),OR(Y78&gt;=1000000000,AND(COUNTA(C78:C1644)=0,P$3=TRUE))),
ROUNDDOWN((AB$1-AC$1)*MAX(INDEX(T$4:T1644,MATCH(LARGE(FILTER(Y$4:Y1644,Y$4:Y1644&lt;"&amp;"1000000000),1),Y$4:Y1644)),INDEX(F$4:F1644,MATCH(LARGE(FILTER(K$4:K1644,K$4:K1644&lt;1000000000),1),K$4:K1644)))),AND(K78&lt;1000000000,COUNTA(C78:C1644)&gt;0,P$3=FALSE),
ROUNDDOWN(INDEX(Y$4:Y1644,MATCH(LARGE(FILTER(W$4:W1644,W$4:W1644&lt;=I78),1),W$4:W1644))+(I78-LA"&amp;"RGE(FILTER(W$4:W1644,W$4:W1644&lt;=I78),1))*INDEX(T$4:T1644,MATCH(LARGE(FILTER(W$4:W1644,W$4:W1644&lt;=I78),1),W$4:W1644))-K78),1,
ROUNDDOWN(Y78-INDEX(K$4:K1644,MATCH(LARGE(FILTER(I$4:I1644,I$4:I1644&lt;=W78),1),I$4:I1644))-(W78-LARGE(FILTER(I$4:I1644,I$4:I1644&lt;=W"&amp;"78),1))*INDEX(F$4:F1644,MATCH(LARGE(FILTER(I$4:I1644,I$4:I1644&lt;=W78),1),I$4:I1644))))"),640092.0)</f>
        <v>640092</v>
      </c>
      <c r="N78" s="60">
        <f t="shared" si="8"/>
        <v>-46.01077</v>
      </c>
      <c r="O78" s="61">
        <f t="shared" si="9"/>
        <v>640092</v>
      </c>
      <c r="P78" s="56">
        <f t="shared" si="10"/>
        <v>5</v>
      </c>
      <c r="Q78" s="67" t="s">
        <v>61</v>
      </c>
      <c r="R78" s="10" t="b">
        <f>IFERROR(__xludf.DUMMYFUNCTION("IF(COUNTA(Q78:Q1644)=0,"""",IF(ISBLANK(Q78),FALSE,IF(NOT(COUNTIF($AA$24:$AA$34,SUBSTITUTE(Q78,""Sell_"",""""))),1,IF(REGEXMATCH(Q78,""Sell_""),IF(COUNTIF(Q$4:Q78,SUBSTITUTE(Q78,""Sell_"",""""))-COUNTIF(Q$4:Q77,Q78)&lt;1,1),FALSE))))"),FALSE)</f>
        <v>0</v>
      </c>
      <c r="S78" s="59">
        <f t="array" ref="S78">IF(COUNTA(Q78:Q1644)=0,"",SUM((COUNTIF(Q$4:Q78,Upgrades!$B$3:$B$13)-COUNTIF(Q$4:Q78,"Sell_"&amp;Upgrades!$B$3:$B$13))*Upgrades!$D$3:$D$13))</f>
        <v>1006.8</v>
      </c>
      <c r="T78" s="66">
        <f>IFERROR(__xludf.DUMMYFUNCTION("IF(COUNTA(Q78:Q1644)=0,"""",IF(REGEXMATCH(INDEX(FILTER(Q$4:Q78,Q$4:Q78&lt;&gt;""""),ROWS(FILTER(Q$4:Q78,Q$4:Q78&lt;&gt;""""))),""^Sell_""),INDEX(FILTER(T$4:T77,Q$4:Q77&lt;&gt;""""),ROWS(FILTER(Q$4:Q77,Q$4:Q77&lt;&gt;""""))),$AD$5+S78))"),2716.8)</f>
        <v>2716.8</v>
      </c>
      <c r="U78" s="10">
        <f>IFERROR(__xludf.DUMMYFUNCTION("IF(COUNTA(Q78:Q1644)=0,"""",IF(Q78="""",0,IF(REGEXMATCH(Q78,""^Sell_""),-ROUNDDOWN(ROUNDUP(INDEX(Upgrades!$C$3:$C$13,MATCH(SUBSTITUTE(Q78,""Sell_"",""""),Upgrades!$B$3:$B$13,0))*1.15^(COUNTIF(Q$4:Q77,SUBSTITUTE(Q78,""Sell_"",""""))-COUNTIF(Q$4:Q77,""Sell_"&amp;"""&amp;SUBSTITUTE(Q78,""Sell_"",""""))))/2),ROUNDUP(INDEX(Upgrades!$C$3:$C$13,MATCH(Q78,Upgrades!$B$3:$B$13,0))*1.15^(COUNTIF(Q$4:Q77,Q78)-COUNTIF(Q$4:Q77,""Sell_""&amp;Q78))))))"),-26450.0)</f>
        <v>-26450</v>
      </c>
      <c r="V78" s="10">
        <f t="shared" si="11"/>
        <v>-637573</v>
      </c>
      <c r="W78" s="68">
        <f t="shared" si="12"/>
        <v>2379.848075</v>
      </c>
      <c r="X78" s="59" t="str">
        <f t="shared" si="13"/>
        <v>39m 39s</v>
      </c>
      <c r="Y78" s="69">
        <f t="shared" si="14"/>
        <v>1584630</v>
      </c>
      <c r="Z78" s="11"/>
      <c r="AG78" s="59"/>
    </row>
    <row r="79">
      <c r="A79" s="8"/>
      <c r="B79" s="56">
        <f t="shared" si="2"/>
        <v>14</v>
      </c>
      <c r="C79" s="67" t="s">
        <v>3</v>
      </c>
      <c r="D79" s="10" t="b">
        <f>IFERROR(__xludf.DUMMYFUNCTION("IF(COUNTA(C79:C1644)=0,"""",IF(ISBLANK(C79),FALSE,IF(NOT(COUNTIF($AA$24:$AA$34,SUBSTITUTE(C79,""Sell_"",""""))),1,IF(REGEXMATCH(C79,""Sell_""),IF(COUNTIF(C$4:C79,SUBSTITUTE(C79,""Sell_"",""""))-COUNTIF(C$4:C78,C79)&lt;1,1),FALSE))))"),FALSE)</f>
        <v>0</v>
      </c>
      <c r="E79" s="59">
        <f t="array" ref="E79">IF(COUNTA(C79:C1644)=0,"",SUM((COUNTIF(C$4:C79,Upgrades!$B$3:$B$13)-COUNTIF(C$4:C79,"Sell_"&amp;Upgrades!$B$3:$B$13))*Upgrades!$D$3:$D$13))</f>
        <v>14238.9</v>
      </c>
      <c r="F79" s="66">
        <f>IFERROR(__xludf.DUMMYFUNCTION("IF(COUNTA(C79:C1644)=0,"""",IF(REGEXMATCH(INDEX(FILTER(C$4:C79,C$4:C79&lt;&gt;""""),ROWS(FILTER(C$4:C79,C$4:C79&lt;&gt;""""))),""^Sell_""),INDEX(FILTER(F$4:F78,C$4:C78&lt;&gt;""""),ROWS(FILTER(C$4:C78,C$4:C78&lt;&gt;""""))),$AC$5+E79))"),14248.9)</f>
        <v>14248.9</v>
      </c>
      <c r="G79" s="10">
        <f>IFERROR(__xludf.DUMMYFUNCTION("IF(COUNTA(C79:C1644)=0,"""",IF(C79="""",0,IF(REGEXMATCH(C79,""^Sell_""),-ROUNDDOWN(ROUNDUP(INDEX(Upgrades!$C$3:$C$13,MATCH(SUBSTITUTE(C79,""Sell_"",""""),Upgrades!$B$3:$B$13,0))*1.15^(COUNTIF(C$4:C78,SUBSTITUTE(C79,""Sell_"",""""))-COUNTIF(C$4:C78,""Sell_"&amp;"""&amp;SUBSTITUTE(C79,""Sell_"",""""))))/2),ROUNDUP(INDEX(Upgrades!$C$3:$C$13,MATCH(C79,Upgrades!$B$3:$B$13,0))*1.15^(COUNTIF(C$4:C78,C79)-COUNTIF(C$4:C78,""Sell_""&amp;C79))))))"),93.0)</f>
        <v>93</v>
      </c>
      <c r="H79" s="10">
        <f t="shared" si="3"/>
        <v>93</v>
      </c>
      <c r="I79" s="68">
        <f t="shared" si="4"/>
        <v>3017.112359</v>
      </c>
      <c r="J79" s="59" t="str">
        <f t="shared" si="5"/>
        <v>50m 17s</v>
      </c>
      <c r="K79" s="69">
        <f t="shared" si="6"/>
        <v>4507329</v>
      </c>
      <c r="L79" s="60">
        <f t="shared" si="7"/>
        <v>-46.00535</v>
      </c>
      <c r="M79" s="61">
        <f>IFERROR(__xludf.DUMMYFUNCTION("IFS(AND(COUNTA(C79:C1644)=0,COUNTA(Q79:Q1644)=0),"""",OR(AND(K79&gt;=1000000000,OR(Y79&gt;=1000000000,COUNTA(Q79:Q1644)=0)),OR(Y79&gt;=1000000000,AND(COUNTA(C79:C1644)=0,P$3=TRUE))),
ROUNDDOWN((AB$1-AC$1)*MAX(INDEX(T$4:T1644,MATCH(LARGE(FILTER(Y$4:Y1644,Y$4:Y1644&lt;"&amp;"1000000000),1),Y$4:Y1644)),INDEX(F$4:F1644,MATCH(LARGE(FILTER(K$4:K1644,K$4:K1644&lt;1000000000),1),K$4:K1644)))),AND(K79&lt;1000000000,COUNTA(C79:C1644)&gt;0,P$3=FALSE),
ROUNDDOWN(INDEX(Y$4:Y1644,MATCH(LARGE(FILTER(W$4:W1644,W$4:W1644&lt;=I79),1),W$4:W1644))+(I79-LA"&amp;"RGE(FILTER(W$4:W1644,W$4:W1644&lt;=I79),1))*INDEX(T$4:T1644,MATCH(LARGE(FILTER(W$4:W1644,W$4:W1644&lt;=I79),1),W$4:W1644))-K79),1,
ROUNDDOWN(Y79-INDEX(K$4:K1644,MATCH(LARGE(FILTER(I$4:I1644,I$4:I1644&lt;=W79),1),I$4:I1644))-(W79-LARGE(FILTER(I$4:I1644,I$4:I1644&lt;=W"&amp;"79),1))*INDEX(F$4:F1644,MATCH(LARGE(FILTER(I$4:I1644,I$4:I1644&lt;=W79),1),I$4:I1644))))"),640090.0)</f>
        <v>640090</v>
      </c>
      <c r="N79" s="60">
        <f t="shared" si="8"/>
        <v>-46.00535</v>
      </c>
      <c r="O79" s="61">
        <f t="shared" si="9"/>
        <v>640090</v>
      </c>
      <c r="P79" s="56">
        <f t="shared" si="10"/>
        <v>6</v>
      </c>
      <c r="Q79" s="67" t="s">
        <v>61</v>
      </c>
      <c r="R79" s="10" t="b">
        <f>IFERROR(__xludf.DUMMYFUNCTION("IF(COUNTA(Q79:Q1644)=0,"""",IF(ISBLANK(Q79),FALSE,IF(NOT(COUNTIF($AA$24:$AA$34,SUBSTITUTE(Q79,""Sell_"",""""))),1,IF(REGEXMATCH(Q79,""Sell_""),IF(COUNTIF(Q$4:Q79,SUBSTITUTE(Q79,""Sell_"",""""))-COUNTIF(Q$4:Q78,Q79)&lt;1,1),FALSE))))"),FALSE)</f>
        <v>0</v>
      </c>
      <c r="S79" s="59">
        <f t="array" ref="S79">IF(COUNTA(Q79:Q1644)=0,"",SUM((COUNTIF(Q$4:Q79,Upgrades!$B$3:$B$13)-COUNTIF(Q$4:Q79,"Sell_"&amp;Upgrades!$B$3:$B$13))*Upgrades!$D$3:$D$13))</f>
        <v>906.8</v>
      </c>
      <c r="T79" s="66">
        <f>IFERROR(__xludf.DUMMYFUNCTION("IF(COUNTA(Q79:Q1644)=0,"""",IF(REGEXMATCH(INDEX(FILTER(Q$4:Q79,Q$4:Q79&lt;&gt;""""),ROWS(FILTER(Q$4:Q79,Q$4:Q79&lt;&gt;""""))),""^Sell_""),INDEX(FILTER(T$4:T78,Q$4:Q78&lt;&gt;""""),ROWS(FILTER(Q$4:Q78,Q$4:Q78&lt;&gt;""""))),$AD$5+S79))"),2716.8)</f>
        <v>2716.8</v>
      </c>
      <c r="U79" s="10">
        <f>IFERROR(__xludf.DUMMYFUNCTION("IF(COUNTA(Q79:Q1644)=0,"""",IF(Q79="""",0,IF(REGEXMATCH(Q79,""^Sell_""),-ROUNDDOWN(ROUNDUP(INDEX(Upgrades!$C$3:$C$13,MATCH(SUBSTITUTE(Q79,""Sell_"",""""),Upgrades!$B$3:$B$13,0))*1.15^(COUNTIF(Q$4:Q78,SUBSTITUTE(Q79,""Sell_"",""""))-COUNTIF(Q$4:Q78,""Sell_"&amp;"""&amp;SUBSTITUTE(Q79,""Sell_"",""""))))/2),ROUNDUP(INDEX(Upgrades!$C$3:$C$13,MATCH(Q79,Upgrades!$B$3:$B$13,0))*1.15^(COUNTIF(Q$4:Q78,Q79)-COUNTIF(Q$4:Q78,""Sell_""&amp;Q79))))))"),-23000.0)</f>
        <v>-23000</v>
      </c>
      <c r="V79" s="10">
        <f t="shared" si="11"/>
        <v>-660573</v>
      </c>
      <c r="W79" s="68">
        <f t="shared" si="12"/>
        <v>2379.848075</v>
      </c>
      <c r="X79" s="59" t="str">
        <f t="shared" si="13"/>
        <v>39m 39s</v>
      </c>
      <c r="Y79" s="69">
        <f t="shared" si="14"/>
        <v>1584630</v>
      </c>
      <c r="Z79" s="11"/>
      <c r="AG79" s="59"/>
    </row>
    <row r="80">
      <c r="A80" s="8"/>
      <c r="B80" s="56">
        <f t="shared" si="2"/>
        <v>1</v>
      </c>
      <c r="C80" s="67" t="s">
        <v>62</v>
      </c>
      <c r="D80" s="10" t="b">
        <f>IFERROR(__xludf.DUMMYFUNCTION("IF(COUNTA(C80:C1644)=0,"""",IF(ISBLANK(C80),FALSE,IF(NOT(COUNTIF($AA$24:$AA$34,SUBSTITUTE(C80,""Sell_"",""""))),1,IF(REGEXMATCH(C80,""Sell_""),IF(COUNTIF(C$4:C80,SUBSTITUTE(C80,""Sell_"",""""))-COUNTIF(C$4:C79,C80)&lt;1,1),FALSE))))"),FALSE)</f>
        <v>0</v>
      </c>
      <c r="E80" s="59">
        <f t="array" ref="E80">IF(COUNTA(C80:C1644)=0,"",SUM((COUNTIF(C$4:C80,Upgrades!$B$3:$B$13)-COUNTIF(C$4:C80,"Sell_"&amp;Upgrades!$B$3:$B$13))*Upgrades!$D$3:$D$13))</f>
        <v>14234.9</v>
      </c>
      <c r="F80" s="66">
        <f>IFERROR(__xludf.DUMMYFUNCTION("IF(COUNTA(C80:C1644)=0,"""",IF(REGEXMATCH(INDEX(FILTER(C$4:C80,C$4:C80&lt;&gt;""""),ROWS(FILTER(C$4:C80,C$4:C80&lt;&gt;""""))),""^Sell_""),INDEX(FILTER(F$4:F79,C$4:C79&lt;&gt;""""),ROWS(FILTER(C$4:C79,C$4:C79&lt;&gt;""""))),$AC$5+E80))"),14248.9)</f>
        <v>14248.9</v>
      </c>
      <c r="G80" s="10">
        <f>IFERROR(__xludf.DUMMYFUNCTION("IF(COUNTA(C80:C1644)=0,"""",IF(C80="""",0,IF(REGEXMATCH(C80,""^Sell_""),-ROUNDDOWN(ROUNDUP(INDEX(Upgrades!$C$3:$C$13,MATCH(SUBSTITUTE(C80,""Sell_"",""""),Upgrades!$B$3:$B$13,0))*1.15^(COUNTIF(C$4:C79,SUBSTITUTE(C80,""Sell_"",""""))-COUNTIF(C$4:C79,""Sell_"&amp;"""&amp;SUBSTITUTE(C80,""Sell_"",""""))))/2),ROUNDUP(INDEX(Upgrades!$C$3:$C$13,MATCH(C80,Upgrades!$B$3:$B$13,0))*1.15^(COUNTIF(C$4:C79,C80)-COUNTIF(C$4:C79,""Sell_""&amp;C80))))))"),-2034.0)</f>
        <v>-2034</v>
      </c>
      <c r="H80" s="10">
        <f t="shared" si="3"/>
        <v>-2034</v>
      </c>
      <c r="I80" s="68">
        <f t="shared" si="4"/>
        <v>3017.112359</v>
      </c>
      <c r="J80" s="59" t="str">
        <f t="shared" si="5"/>
        <v>50m 17s</v>
      </c>
      <c r="K80" s="69">
        <f t="shared" si="6"/>
        <v>4507329</v>
      </c>
      <c r="L80" s="60">
        <f t="shared" si="7"/>
        <v>-46.00535</v>
      </c>
      <c r="M80" s="61">
        <f>IFERROR(__xludf.DUMMYFUNCTION("IFS(AND(COUNTA(C80:C1644)=0,COUNTA(Q80:Q1644)=0),"""",OR(AND(K80&gt;=1000000000,OR(Y80&gt;=1000000000,COUNTA(Q80:Q1644)=0)),OR(Y80&gt;=1000000000,AND(COUNTA(C80:C1644)=0,P$3=TRUE))),
ROUNDDOWN((AB$1-AC$1)*MAX(INDEX(T$4:T1644,MATCH(LARGE(FILTER(Y$4:Y1644,Y$4:Y1644&lt;"&amp;"1000000000),1),Y$4:Y1644)),INDEX(F$4:F1644,MATCH(LARGE(FILTER(K$4:K1644,K$4:K1644&lt;1000000000),1),K$4:K1644)))),AND(K80&lt;1000000000,COUNTA(C80:C1644)&gt;0,P$3=FALSE),
ROUNDDOWN(INDEX(Y$4:Y1644,MATCH(LARGE(FILTER(W$4:W1644,W$4:W1644&lt;=I80),1),W$4:W1644))+(I80-LA"&amp;"RGE(FILTER(W$4:W1644,W$4:W1644&lt;=I80),1))*INDEX(T$4:T1644,MATCH(LARGE(FILTER(W$4:W1644,W$4:W1644&lt;=I80),1),W$4:W1644))-K80),1,
ROUNDDOWN(Y80-INDEX(K$4:K1644,MATCH(LARGE(FILTER(I$4:I1644,I$4:I1644&lt;=W80),1),I$4:I1644))-(W80-LARGE(FILTER(I$4:I1644,I$4:I1644&lt;=W"&amp;"80),1))*INDEX(F$4:F1644,MATCH(LARGE(FILTER(I$4:I1644,I$4:I1644&lt;=W80),1),I$4:I1644))))"),640090.0)</f>
        <v>640090</v>
      </c>
      <c r="N80" s="60">
        <f t="shared" si="8"/>
        <v>-46.00535</v>
      </c>
      <c r="O80" s="61">
        <f t="shared" si="9"/>
        <v>640090</v>
      </c>
      <c r="P80" s="56">
        <f t="shared" si="10"/>
        <v>4</v>
      </c>
      <c r="Q80" s="67" t="s">
        <v>60</v>
      </c>
      <c r="R80" s="10" t="b">
        <f>IFERROR(__xludf.DUMMYFUNCTION("IF(COUNTA(Q80:Q1644)=0,"""",IF(ISBLANK(Q80),FALSE,IF(NOT(COUNTIF($AA$24:$AA$34,SUBSTITUTE(Q80,""Sell_"",""""))),1,IF(REGEXMATCH(Q80,""Sell_""),IF(COUNTIF(Q$4:Q80,SUBSTITUTE(Q80,""Sell_"",""""))-COUNTIF(Q$4:Q79,Q80)&lt;1,1),FALSE))))"),FALSE)</f>
        <v>0</v>
      </c>
      <c r="S80" s="59">
        <f t="array" ref="S80">IF(COUNTA(Q80:Q1644)=0,"",SUM((COUNTIF(Q$4:Q80,Upgrades!$B$3:$B$13)-COUNTIF(Q$4:Q80,"Sell_"&amp;Upgrades!$B$3:$B$13))*Upgrades!$D$3:$D$13))</f>
        <v>506.8</v>
      </c>
      <c r="T80" s="66">
        <f>IFERROR(__xludf.DUMMYFUNCTION("IF(COUNTA(Q80:Q1644)=0,"""",IF(REGEXMATCH(INDEX(FILTER(Q$4:Q80,Q$4:Q80&lt;&gt;""""),ROWS(FILTER(Q$4:Q80,Q$4:Q80&lt;&gt;""""))),""^Sell_""),INDEX(FILTER(T$4:T79,Q$4:Q79&lt;&gt;""""),ROWS(FILTER(Q$4:Q79,Q$4:Q79&lt;&gt;""""))),$AD$5+S80))"),2716.8)</f>
        <v>2716.8</v>
      </c>
      <c r="U80" s="10">
        <f>IFERROR(__xludf.DUMMYFUNCTION("IF(COUNTA(Q80:Q1644)=0,"""",IF(Q80="""",0,IF(REGEXMATCH(Q80,""^Sell_""),-ROUNDDOWN(ROUNDUP(INDEX(Upgrades!$C$3:$C$13,MATCH(SUBSTITUTE(Q80,""Sell_"",""""),Upgrades!$B$3:$B$13,0))*1.15^(COUNTIF(Q$4:Q79,SUBSTITUTE(Q80,""Sell_"",""""))-COUNTIF(Q$4:Q79,""Sell_"&amp;"""&amp;SUBSTITUTE(Q80,""Sell_"",""""))))/2),ROUNDUP(INDEX(Upgrades!$C$3:$C$13,MATCH(Q80,Upgrades!$B$3:$B$13,0))*1.15^(COUNTIF(Q$4:Q79,Q80)-COUNTIF(Q$4:Q79,""Sell_""&amp;Q80))))))"),-115000.0)</f>
        <v>-115000</v>
      </c>
      <c r="V80" s="10">
        <f t="shared" si="11"/>
        <v>-775573</v>
      </c>
      <c r="W80" s="68">
        <f t="shared" si="12"/>
        <v>2379.848075</v>
      </c>
      <c r="X80" s="59" t="str">
        <f t="shared" si="13"/>
        <v>39m 39s</v>
      </c>
      <c r="Y80" s="69">
        <f t="shared" si="14"/>
        <v>1584630</v>
      </c>
      <c r="Z80" s="11"/>
      <c r="AG80" s="59"/>
    </row>
    <row r="81">
      <c r="A81" s="8"/>
      <c r="B81" s="56">
        <f t="shared" si="2"/>
        <v>3</v>
      </c>
      <c r="C81" s="67" t="s">
        <v>10</v>
      </c>
      <c r="D81" s="10" t="b">
        <f>IFERROR(__xludf.DUMMYFUNCTION("IF(COUNTA(C81:C1644)=0,"""",IF(ISBLANK(C81),FALSE,IF(NOT(COUNTIF($AA$24:$AA$34,SUBSTITUTE(C81,""Sell_"",""""))),1,IF(REGEXMATCH(C81,""Sell_""),IF(COUNTIF(C$4:C81,SUBSTITUTE(C81,""Sell_"",""""))-COUNTIF(C$4:C80,C81)&lt;1,1),FALSE))))"),FALSE)</f>
        <v>0</v>
      </c>
      <c r="E81" s="59">
        <f t="array" ref="E81">IF(COUNTA(C81:C1644)=0,"",SUM((COUNTIF(C$4:C81,Upgrades!$B$3:$B$13)-COUNTIF(C$4:C81,"Sell_"&amp;Upgrades!$B$3:$B$13))*Upgrades!$D$3:$D$13))</f>
        <v>20900.9</v>
      </c>
      <c r="F81" s="66">
        <f>IFERROR(__xludf.DUMMYFUNCTION("IF(COUNTA(C81:C1644)=0,"""",IF(REGEXMATCH(INDEX(FILTER(C$4:C81,C$4:C81&lt;&gt;""""),ROWS(FILTER(C$4:C81,C$4:C81&lt;&gt;""""))),""^Sell_""),INDEX(FILTER(F$4:F80,C$4:C80&lt;&gt;""""),ROWS(FILTER(C$4:C80,C$4:C80&lt;&gt;""""))),$AC$5+E81))"),20910.9)</f>
        <v>20910.9</v>
      </c>
      <c r="G81" s="10">
        <f>IFERROR(__xludf.DUMMYFUNCTION("IF(COUNTA(C81:C1644)=0,"""",IF(C81="""",0,IF(REGEXMATCH(C81,""^Sell_""),-ROUNDDOWN(ROUNDUP(INDEX(Upgrades!$C$3:$C$13,MATCH(SUBSTITUTE(C81,""Sell_"",""""),Upgrades!$B$3:$B$13,0))*1.15^(COUNTIF(C$4:C80,SUBSTITUTE(C81,""Sell_"",""""))-COUNTIF(C$4:C80,""Sell_"&amp;"""&amp;SUBSTITUTE(C81,""Sell_"",""""))))/2),ROUNDUP(INDEX(Upgrades!$C$3:$C$13,MATCH(C81,Upgrades!$B$3:$B$13,0))*1.15^(COUNTIF(C$4:C80,C81)-COUNTIF(C$4:C80,""Sell_""&amp;C81))))))"),2204166.0)</f>
        <v>2204166</v>
      </c>
      <c r="H81" s="10">
        <f t="shared" si="3"/>
        <v>2202132</v>
      </c>
      <c r="I81" s="68">
        <f t="shared" si="4"/>
        <v>3171.659868</v>
      </c>
      <c r="J81" s="59" t="str">
        <f t="shared" si="5"/>
        <v>52m 51s</v>
      </c>
      <c r="K81" s="69">
        <f t="shared" si="6"/>
        <v>6709461</v>
      </c>
      <c r="L81" s="60">
        <f t="shared" si="7"/>
        <v>-43.3607</v>
      </c>
      <c r="M81" s="61">
        <f>IFERROR(__xludf.DUMMYFUNCTION("IFS(AND(COUNTA(C81:C1644)=0,COUNTA(Q81:Q1644)=0),"""",OR(AND(K81&gt;=1000000000,OR(Y81&gt;=1000000000,COUNTA(Q81:Q1644)=0)),OR(Y81&gt;=1000000000,AND(COUNTA(C81:C1644)=0,P$3=TRUE))),
ROUNDDOWN((AB$1-AC$1)*MAX(INDEX(T$4:T1644,MATCH(LARGE(FILTER(Y$4:Y1644,Y$4:Y1644&lt;"&amp;"1000000000),1),Y$4:Y1644)),INDEX(F$4:F1644,MATCH(LARGE(FILTER(K$4:K1644,K$4:K1644&lt;1000000000),1),K$4:K1644)))),AND(K81&lt;1000000000,COUNTA(C81:C1644)&gt;0,P$3=FALSE),
ROUNDDOWN(INDEX(Y$4:Y1644,MATCH(LARGE(FILTER(W$4:W1644,W$4:W1644&lt;=I81),1),W$4:W1644))+(I81-LA"&amp;"RGE(FILTER(W$4:W1644,W$4:W1644&lt;=I81),1))*INDEX(T$4:T1644,MATCH(LARGE(FILTER(W$4:W1644,W$4:W1644&lt;=I81),1),W$4:W1644))-K81),1,
ROUNDDOWN(Y81-INDEX(K$4:K1644,MATCH(LARGE(FILTER(I$4:I1644,I$4:I1644&lt;=W81),1),I$4:I1644))-(W81-LARGE(FILTER(I$4:I1644,I$4:I1644&lt;=W"&amp;"81),1))*INDEX(F$4:F1644,MATCH(LARGE(FILTER(I$4:I1644,I$4:I1644&lt;=W81),1),I$4:I1644))))"),876151.0)</f>
        <v>876151</v>
      </c>
      <c r="N81" s="60">
        <f t="shared" si="8"/>
        <v>-43.3607</v>
      </c>
      <c r="O81" s="61">
        <f t="shared" si="9"/>
        <v>876151</v>
      </c>
      <c r="P81" s="56">
        <f t="shared" si="10"/>
        <v>1</v>
      </c>
      <c r="Q81" s="67" t="s">
        <v>10</v>
      </c>
      <c r="R81" s="10" t="b">
        <f>IFERROR(__xludf.DUMMYFUNCTION("IF(COUNTA(Q81:Q1644)=0,"""",IF(ISBLANK(Q81),FALSE,IF(NOT(COUNTIF($AA$24:$AA$34,SUBSTITUTE(Q81,""Sell_"",""""))),1,IF(REGEXMATCH(Q81,""Sell_""),IF(COUNTIF(Q$4:Q81,SUBSTITUTE(Q81,""Sell_"",""""))-COUNTIF(Q$4:Q80,Q81)&lt;1,1),FALSE))))"),FALSE)</f>
        <v>0</v>
      </c>
      <c r="S81" s="59">
        <f t="array" ref="S81">IF(COUNTA(Q81:Q1644)=0,"",SUM((COUNTIF(Q$4:Q81,Upgrades!$B$3:$B$13)-COUNTIF(Q$4:Q81,"Sell_"&amp;Upgrades!$B$3:$B$13))*Upgrades!$D$3:$D$13))</f>
        <v>7172.8</v>
      </c>
      <c r="T81" s="66">
        <f>IFERROR(__xludf.DUMMYFUNCTION("IF(COUNTA(Q81:Q1644)=0,"""",IF(REGEXMATCH(INDEX(FILTER(Q$4:Q81,Q$4:Q81&lt;&gt;""""),ROWS(FILTER(Q$4:Q81,Q$4:Q81&lt;&gt;""""))),""^Sell_""),INDEX(FILTER(T$4:T80,Q$4:Q80&lt;&gt;""""),ROWS(FILTER(Q$4:Q80,Q$4:Q80&lt;&gt;""""))),$AD$5+S81))"),7182.8)</f>
        <v>7182.8</v>
      </c>
      <c r="U81" s="10">
        <f>IFERROR(__xludf.DUMMYFUNCTION("IF(COUNTA(Q81:Q1644)=0,"""",IF(Q81="""",0,IF(REGEXMATCH(Q81,""^Sell_""),-ROUNDDOWN(ROUNDUP(INDEX(Upgrades!$C$3:$C$13,MATCH(SUBSTITUTE(Q81,""Sell_"",""""),Upgrades!$B$3:$B$13,0))*1.15^(COUNTIF(Q$4:Q80,SUBSTITUTE(Q81,""Sell_"",""""))-COUNTIF(Q$4:Q80,""Sell_"&amp;"""&amp;SUBSTITUTE(Q81,""Sell_"",""""))))/2),ROUNDUP(INDEX(Upgrades!$C$3:$C$13,MATCH(Q81,Upgrades!$B$3:$B$13,0))*1.15^(COUNTIF(Q$4:Q80,Q81)-COUNTIF(Q$4:Q80,""Sell_""&amp;Q81))))))"),1666666.0)</f>
        <v>1666666</v>
      </c>
      <c r="V81" s="10">
        <f t="shared" si="11"/>
        <v>891093</v>
      </c>
      <c r="W81" s="68">
        <f t="shared" si="12"/>
        <v>2707.841671</v>
      </c>
      <c r="X81" s="59" t="str">
        <f t="shared" si="13"/>
        <v>45m 07s</v>
      </c>
      <c r="Y81" s="69">
        <f t="shared" si="14"/>
        <v>2475723</v>
      </c>
      <c r="Z81" s="11"/>
      <c r="AG81" s="59"/>
    </row>
    <row r="82">
      <c r="A82" s="8"/>
      <c r="B82" s="56">
        <f t="shared" si="2"/>
        <v>15</v>
      </c>
      <c r="C82" s="67" t="s">
        <v>3</v>
      </c>
      <c r="D82" s="10" t="b">
        <f>IFERROR(__xludf.DUMMYFUNCTION("IF(COUNTA(C82:C1644)=0,"""",IF(ISBLANK(C82),FALSE,IF(NOT(COUNTIF($AA$24:$AA$34,SUBSTITUTE(C82,""Sell_"",""""))),1,IF(REGEXMATCH(C82,""Sell_""),IF(COUNTIF(C$4:C82,SUBSTITUTE(C82,""Sell_"",""""))-COUNTIF(C$4:C81,C82)&lt;1,1),FALSE))))"),FALSE)</f>
        <v>0</v>
      </c>
      <c r="E82" s="59">
        <f t="array" ref="E82">IF(COUNTA(C82:C1644)=0,"",SUM((COUNTIF(C$4:C82,Upgrades!$B$3:$B$13)-COUNTIF(C$4:C82,"Sell_"&amp;Upgrades!$B$3:$B$13))*Upgrades!$D$3:$D$13))</f>
        <v>20901</v>
      </c>
      <c r="F82" s="66">
        <f>IFERROR(__xludf.DUMMYFUNCTION("IF(COUNTA(C82:C1644)=0,"""",IF(REGEXMATCH(INDEX(FILTER(C$4:C82,C$4:C82&lt;&gt;""""),ROWS(FILTER(C$4:C82,C$4:C82&lt;&gt;""""))),""^Sell_""),INDEX(FILTER(F$4:F81,C$4:C81&lt;&gt;""""),ROWS(FILTER(C$4:C81,C$4:C81&lt;&gt;""""))),$AC$5+E82))"),20911.0)</f>
        <v>20911</v>
      </c>
      <c r="G82" s="10">
        <f>IFERROR(__xludf.DUMMYFUNCTION("IF(COUNTA(C82:C1644)=0,"""",IF(C82="""",0,IF(REGEXMATCH(C82,""^Sell_""),-ROUNDDOWN(ROUNDUP(INDEX(Upgrades!$C$3:$C$13,MATCH(SUBSTITUTE(C82,""Sell_"",""""),Upgrades!$B$3:$B$13,0))*1.15^(COUNTIF(C$4:C81,SUBSTITUTE(C82,""Sell_"",""""))-COUNTIF(C$4:C81,""Sell_"&amp;"""&amp;SUBSTITUTE(C82,""Sell_"",""""))))/2),ROUNDUP(INDEX(Upgrades!$C$3:$C$13,MATCH(C82,Upgrades!$B$3:$B$13,0))*1.15^(COUNTIF(C$4:C81,C82)-COUNTIF(C$4:C81,""Sell_""&amp;C82))))))"),107.0)</f>
        <v>107</v>
      </c>
      <c r="H82" s="10">
        <f t="shared" si="3"/>
        <v>107</v>
      </c>
      <c r="I82" s="68">
        <f t="shared" si="4"/>
        <v>3171.664985</v>
      </c>
      <c r="J82" s="59" t="str">
        <f t="shared" si="5"/>
        <v>52m 51s</v>
      </c>
      <c r="K82" s="69">
        <f t="shared" si="6"/>
        <v>6709568</v>
      </c>
      <c r="L82" s="60">
        <f t="shared" si="7"/>
        <v>-43.3582</v>
      </c>
      <c r="M82" s="61">
        <f>IFERROR(__xludf.DUMMYFUNCTION("IFS(AND(COUNTA(C82:C1644)=0,COUNTA(Q82:Q1644)=0),"""",OR(AND(K82&gt;=1000000000,OR(Y82&gt;=1000000000,COUNTA(Q82:Q1644)=0)),OR(Y82&gt;=1000000000,AND(COUNTA(C82:C1644)=0,P$3=TRUE))),
ROUNDDOWN((AB$1-AC$1)*MAX(INDEX(T$4:T1644,MATCH(LARGE(FILTER(Y$4:Y1644,Y$4:Y1644&lt;"&amp;"1000000000),1),Y$4:Y1644)),INDEX(F$4:F1644,MATCH(LARGE(FILTER(K$4:K1644,K$4:K1644&lt;1000000000),1),K$4:K1644)))),AND(K82&lt;1000000000,COUNTA(C82:C1644)&gt;0,P$3=FALSE),
ROUNDDOWN(INDEX(Y$4:Y1644,MATCH(LARGE(FILTER(W$4:W1644,W$4:W1644&lt;=I82),1),W$4:W1644))+(I82-LA"&amp;"RGE(FILTER(W$4:W1644,W$4:W1644&lt;=I82),1))*INDEX(T$4:T1644,MATCH(LARGE(FILTER(W$4:W1644,W$4:W1644&lt;=I82),1),W$4:W1644))-K82),1,
ROUNDDOWN(Y82-INDEX(K$4:K1644,MATCH(LARGE(FILTER(I$4:I1644,I$4:I1644&lt;=W82),1),I$4:I1644))-(W82-LARGE(FILTER(I$4:I1644,I$4:I1644&lt;=W"&amp;"82),1))*INDEX(F$4:F1644,MATCH(LARGE(FILTER(I$4:I1644,I$4:I1644&lt;=W82),1),I$4:I1644))))"),876150.0)</f>
        <v>876150</v>
      </c>
      <c r="N82" s="60">
        <f t="shared" si="8"/>
        <v>-43.3582</v>
      </c>
      <c r="O82" s="61">
        <f t="shared" si="9"/>
        <v>876150</v>
      </c>
      <c r="P82" s="56">
        <f t="shared" si="10"/>
        <v>1</v>
      </c>
      <c r="Q82" s="67" t="s">
        <v>8</v>
      </c>
      <c r="R82" s="10" t="b">
        <f>IFERROR(__xludf.DUMMYFUNCTION("IF(COUNTA(Q82:Q1644)=0,"""",IF(ISBLANK(Q82),FALSE,IF(NOT(COUNTIF($AA$24:$AA$34,SUBSTITUTE(Q82,""Sell_"",""""))),1,IF(REGEXMATCH(Q82,""Sell_""),IF(COUNTIF(Q$4:Q82,SUBSTITUTE(Q82,""Sell_"",""""))-COUNTIF(Q$4:Q81,Q82)&lt;1,1),FALSE))))"),FALSE)</f>
        <v>0</v>
      </c>
      <c r="S82" s="59">
        <f t="array" ref="S82">IF(COUNTA(Q82:Q1644)=0,"",SUM((COUNTIF(Q$4:Q82,Upgrades!$B$3:$B$13)-COUNTIF(Q$4:Q82,"Sell_"&amp;Upgrades!$B$3:$B$13))*Upgrades!$D$3:$D$13))</f>
        <v>7272.8</v>
      </c>
      <c r="T82" s="66">
        <f>IFERROR(__xludf.DUMMYFUNCTION("IF(COUNTA(Q82:Q1644)=0,"""",IF(REGEXMATCH(INDEX(FILTER(Q$4:Q82,Q$4:Q82&lt;&gt;""""),ROWS(FILTER(Q$4:Q82,Q$4:Q82&lt;&gt;""""))),""^Sell_""),INDEX(FILTER(T$4:T81,Q$4:Q81&lt;&gt;""""),ROWS(FILTER(Q$4:Q81,Q$4:Q81&lt;&gt;""""))),$AD$5+S82))"),7282.8)</f>
        <v>7282.8</v>
      </c>
      <c r="U82" s="10">
        <f>IFERROR(__xludf.DUMMYFUNCTION("IF(COUNTA(Q82:Q1644)=0,"""",IF(Q82="""",0,IF(REGEXMATCH(Q82,""^Sell_""),-ROUNDDOWN(ROUNDUP(INDEX(Upgrades!$C$3:$C$13,MATCH(SUBSTITUTE(Q82,""Sell_"",""""),Upgrades!$B$3:$B$13,0))*1.15^(COUNTIF(Q$4:Q81,SUBSTITUTE(Q82,""Sell_"",""""))-COUNTIF(Q$4:Q81,""Sell_"&amp;"""&amp;SUBSTITUTE(Q82,""Sell_"",""""))))/2),ROUNDUP(INDEX(Upgrades!$C$3:$C$13,MATCH(Q82,Upgrades!$B$3:$B$13,0))*1.15^(COUNTIF(Q$4:Q81,Q82)-COUNTIF(Q$4:Q81,""Sell_""&amp;Q82))))))"),40000.0)</f>
        <v>40000</v>
      </c>
      <c r="V82" s="10">
        <f t="shared" si="11"/>
        <v>40000</v>
      </c>
      <c r="W82" s="68">
        <f t="shared" si="12"/>
        <v>2713.41053</v>
      </c>
      <c r="X82" s="59" t="str">
        <f t="shared" si="13"/>
        <v>45m 13s</v>
      </c>
      <c r="Y82" s="69">
        <f t="shared" si="14"/>
        <v>2515723</v>
      </c>
      <c r="Z82" s="11"/>
      <c r="AG82" s="59"/>
    </row>
    <row r="83">
      <c r="A83" s="8"/>
      <c r="B83" s="56">
        <f t="shared" si="2"/>
        <v>4</v>
      </c>
      <c r="C83" s="67" t="s">
        <v>10</v>
      </c>
      <c r="D83" s="10" t="b">
        <f>IFERROR(__xludf.DUMMYFUNCTION("IF(COUNTA(C83:C1644)=0,"""",IF(ISBLANK(C83),FALSE,IF(NOT(COUNTIF($AA$24:$AA$34,SUBSTITUTE(C83,""Sell_"",""""))),1,IF(REGEXMATCH(C83,""Sell_""),IF(COUNTIF(C$4:C83,SUBSTITUTE(C83,""Sell_"",""""))-COUNTIF(C$4:C82,C83)&lt;1,1),FALSE))))"),FALSE)</f>
        <v>0</v>
      </c>
      <c r="E83" s="59">
        <f t="array" ref="E83">IF(COUNTA(C83:C1644)=0,"",SUM((COUNTIF(C$4:C83,Upgrades!$B$3:$B$13)-COUNTIF(C$4:C83,"Sell_"&amp;Upgrades!$B$3:$B$13))*Upgrades!$D$3:$D$13))</f>
        <v>27567</v>
      </c>
      <c r="F83" s="66">
        <f>IFERROR(__xludf.DUMMYFUNCTION("IF(COUNTA(C83:C1644)=0,"""",IF(REGEXMATCH(INDEX(FILTER(C$4:C83,C$4:C83&lt;&gt;""""),ROWS(FILTER(C$4:C83,C$4:C83&lt;&gt;""""))),""^Sell_""),INDEX(FILTER(F$4:F82,C$4:C82&lt;&gt;""""),ROWS(FILTER(C$4:C82,C$4:C82&lt;&gt;""""))),$AC$5+E83))"),27577.0)</f>
        <v>27577</v>
      </c>
      <c r="G83" s="10">
        <f>IFERROR(__xludf.DUMMYFUNCTION("IF(COUNTA(C83:C1644)=0,"""",IF(C83="""",0,IF(REGEXMATCH(C83,""^Sell_""),-ROUNDDOWN(ROUNDUP(INDEX(Upgrades!$C$3:$C$13,MATCH(SUBSTITUTE(C83,""Sell_"",""""),Upgrades!$B$3:$B$13,0))*1.15^(COUNTIF(C$4:C82,SUBSTITUTE(C83,""Sell_"",""""))-COUNTIF(C$4:C82,""Sell_"&amp;"""&amp;SUBSTITUTE(C83,""Sell_"",""""))))/2),ROUNDUP(INDEX(Upgrades!$C$3:$C$13,MATCH(C83,Upgrades!$B$3:$B$13,0))*1.15^(COUNTIF(C$4:C82,C83)-COUNTIF(C$4:C82,""Sell_""&amp;C83))))))"),2534791.0)</f>
        <v>2534791</v>
      </c>
      <c r="H83" s="10">
        <f t="shared" si="3"/>
        <v>2534791</v>
      </c>
      <c r="I83" s="68">
        <f t="shared" si="4"/>
        <v>3292.883052</v>
      </c>
      <c r="J83" s="59" t="str">
        <f t="shared" si="5"/>
        <v>54m 52s</v>
      </c>
      <c r="K83" s="69">
        <f t="shared" si="6"/>
        <v>9244359</v>
      </c>
      <c r="L83" s="60">
        <f t="shared" si="7"/>
        <v>-41.14773</v>
      </c>
      <c r="M83" s="61">
        <f>IFERROR(__xludf.DUMMYFUNCTION("IFS(AND(COUNTA(C83:C1644)=0,COUNTA(Q83:Q1644)=0),"""",OR(AND(K83&gt;=1000000000,OR(Y83&gt;=1000000000,COUNTA(Q83:Q1644)=0)),OR(Y83&gt;=1000000000,AND(COUNTA(C83:C1644)=0,P$3=TRUE))),
ROUNDDOWN((AB$1-AC$1)*MAX(INDEX(T$4:T1644,MATCH(LARGE(FILTER(Y$4:Y1644,Y$4:Y1644&lt;"&amp;"1000000000),1),Y$4:Y1644)),INDEX(F$4:F1644,MATCH(LARGE(FILTER(K$4:K1644,K$4:K1644&lt;1000000000),1),K$4:K1644)))),AND(K83&lt;1000000000,COUNTA(C83:C1644)&gt;0,P$3=FALSE),
ROUNDDOWN(INDEX(Y$4:Y1644,MATCH(LARGE(FILTER(W$4:W1644,W$4:W1644&lt;=I83),1),W$4:W1644))+(I83-LA"&amp;"RGE(FILTER(W$4:W1644,W$4:W1644&lt;=I83),1))*INDEX(T$4:T1644,MATCH(LARGE(FILTER(W$4:W1644,W$4:W1644&lt;=I83),1),W$4:W1644))-K83),1,
ROUNDDOWN(Y83-INDEX(K$4:K1644,MATCH(LARGE(FILTER(I$4:I1644,I$4:I1644&lt;=W83),1),I$4:I1644))-(W83-LARGE(FILTER(I$4:I1644,I$4:I1644&lt;=W"&amp;"83),1))*INDEX(F$4:F1644,MATCH(LARGE(FILTER(I$4:I1644,I$4:I1644&lt;=W83),1),I$4:I1644))))"),1098041.0)</f>
        <v>1098041</v>
      </c>
      <c r="N83" s="60">
        <f t="shared" si="8"/>
        <v>-41.14773</v>
      </c>
      <c r="O83" s="61" t="str">
        <f t="shared" si="9"/>
        <v>1,1M</v>
      </c>
      <c r="P83" s="56">
        <f t="shared" si="10"/>
        <v>2</v>
      </c>
      <c r="Q83" s="67" t="s">
        <v>8</v>
      </c>
      <c r="R83" s="10" t="b">
        <f>IFERROR(__xludf.DUMMYFUNCTION("IF(COUNTA(Q83:Q1644)=0,"""",IF(ISBLANK(Q83),FALSE,IF(NOT(COUNTIF($AA$24:$AA$34,SUBSTITUTE(Q83,""Sell_"",""""))),1,IF(REGEXMATCH(Q83,""Sell_""),IF(COUNTIF(Q$4:Q83,SUBSTITUTE(Q83,""Sell_"",""""))-COUNTIF(Q$4:Q82,Q83)&lt;1,1),FALSE))))"),FALSE)</f>
        <v>0</v>
      </c>
      <c r="S83" s="59">
        <f t="array" ref="S83">IF(COUNTA(Q83:Q1644)=0,"",SUM((COUNTIF(Q$4:Q83,Upgrades!$B$3:$B$13)-COUNTIF(Q$4:Q83,"Sell_"&amp;Upgrades!$B$3:$B$13))*Upgrades!$D$3:$D$13))</f>
        <v>7372.8</v>
      </c>
      <c r="T83" s="66">
        <f>IFERROR(__xludf.DUMMYFUNCTION("IF(COUNTA(Q83:Q1644)=0,"""",IF(REGEXMATCH(INDEX(FILTER(Q$4:Q83,Q$4:Q83&lt;&gt;""""),ROWS(FILTER(Q$4:Q83,Q$4:Q83&lt;&gt;""""))),""^Sell_""),INDEX(FILTER(T$4:T82,Q$4:Q82&lt;&gt;""""),ROWS(FILTER(Q$4:Q82,Q$4:Q82&lt;&gt;""""))),$AD$5+S83))"),7382.8)</f>
        <v>7382.8</v>
      </c>
      <c r="U83" s="10">
        <f>IFERROR(__xludf.DUMMYFUNCTION("IF(COUNTA(Q83:Q1644)=0,"""",IF(Q83="""",0,IF(REGEXMATCH(Q83,""^Sell_""),-ROUNDDOWN(ROUNDUP(INDEX(Upgrades!$C$3:$C$13,MATCH(SUBSTITUTE(Q83,""Sell_"",""""),Upgrades!$B$3:$B$13,0))*1.15^(COUNTIF(Q$4:Q82,SUBSTITUTE(Q83,""Sell_"",""""))-COUNTIF(Q$4:Q82,""Sell_"&amp;"""&amp;SUBSTITUTE(Q83,""Sell_"",""""))))/2),ROUNDUP(INDEX(Upgrades!$C$3:$C$13,MATCH(Q83,Upgrades!$B$3:$B$13,0))*1.15^(COUNTIF(Q$4:Q82,Q83)-COUNTIF(Q$4:Q82,""Sell_""&amp;Q83))))))"),46000.0)</f>
        <v>46000</v>
      </c>
      <c r="V83" s="10">
        <f t="shared" si="11"/>
        <v>46000</v>
      </c>
      <c r="W83" s="68">
        <f t="shared" si="12"/>
        <v>2719.726782</v>
      </c>
      <c r="X83" s="59" t="str">
        <f t="shared" si="13"/>
        <v>45m 19s</v>
      </c>
      <c r="Y83" s="69">
        <f t="shared" si="14"/>
        <v>2561723</v>
      </c>
      <c r="Z83" s="11"/>
      <c r="AG83" s="59"/>
    </row>
    <row r="84">
      <c r="A84" s="8"/>
      <c r="B84" s="56">
        <f t="shared" si="2"/>
        <v>5</v>
      </c>
      <c r="C84" s="67" t="s">
        <v>10</v>
      </c>
      <c r="D84" s="10" t="b">
        <f>IFERROR(__xludf.DUMMYFUNCTION("IF(COUNTA(C84:C1644)=0,"""",IF(ISBLANK(C84),FALSE,IF(NOT(COUNTIF($AA$24:$AA$34,SUBSTITUTE(C84,""Sell_"",""""))),1,IF(REGEXMATCH(C84,""Sell_""),IF(COUNTIF(C$4:C84,SUBSTITUTE(C84,""Sell_"",""""))-COUNTIF(C$4:C83,C84)&lt;1,1),FALSE))))"),FALSE)</f>
        <v>0</v>
      </c>
      <c r="E84" s="59">
        <f t="array" ref="E84">IF(COUNTA(C84:C1644)=0,"",SUM((COUNTIF(C$4:C84,Upgrades!$B$3:$B$13)-COUNTIF(C$4:C84,"Sell_"&amp;Upgrades!$B$3:$B$13))*Upgrades!$D$3:$D$13))</f>
        <v>34233</v>
      </c>
      <c r="F84" s="66">
        <f>IFERROR(__xludf.DUMMYFUNCTION("IF(COUNTA(C84:C1644)=0,"""",IF(REGEXMATCH(INDEX(FILTER(C$4:C84,C$4:C84&lt;&gt;""""),ROWS(FILTER(C$4:C84,C$4:C84&lt;&gt;""""))),""^Sell_""),INDEX(FILTER(F$4:F83,C$4:C83&lt;&gt;""""),ROWS(FILTER(C$4:C83,C$4:C83&lt;&gt;""""))),$AC$5+E84))"),34243.0)</f>
        <v>34243</v>
      </c>
      <c r="G84" s="10">
        <f>IFERROR(__xludf.DUMMYFUNCTION("IF(COUNTA(C84:C1644)=0,"""",IF(C84="""",0,IF(REGEXMATCH(C84,""^Sell_""),-ROUNDDOWN(ROUNDUP(INDEX(Upgrades!$C$3:$C$13,MATCH(SUBSTITUTE(C84,""Sell_"",""""),Upgrades!$B$3:$B$13,0))*1.15^(COUNTIF(C$4:C83,SUBSTITUTE(C84,""Sell_"",""""))-COUNTIF(C$4:C83,""Sell_"&amp;"""&amp;SUBSTITUTE(C84,""Sell_"",""""))))/2),ROUNDUP(INDEX(Upgrades!$C$3:$C$13,MATCH(C84,Upgrades!$B$3:$B$13,0))*1.15^(COUNTIF(C$4:C83,C84)-COUNTIF(C$4:C83,""Sell_""&amp;C84))))))"),2915010.0)</f>
        <v>2915010</v>
      </c>
      <c r="H84" s="10">
        <f t="shared" si="3"/>
        <v>2915010</v>
      </c>
      <c r="I84" s="68">
        <f t="shared" si="4"/>
        <v>3398.587444</v>
      </c>
      <c r="J84" s="59" t="str">
        <f t="shared" si="5"/>
        <v>56m 38s</v>
      </c>
      <c r="K84" s="69">
        <f t="shared" si="6"/>
        <v>12159369</v>
      </c>
      <c r="L84" s="60">
        <f t="shared" si="7"/>
        <v>-40.53522</v>
      </c>
      <c r="M84" s="61">
        <f>IFERROR(__xludf.DUMMYFUNCTION("IFS(AND(COUNTA(C84:C1644)=0,COUNTA(Q84:Q1644)=0),"""",OR(AND(K84&gt;=1000000000,OR(Y84&gt;=1000000000,COUNTA(Q84:Q1644)=0)),OR(Y84&gt;=1000000000,AND(COUNTA(C84:C1644)=0,P$3=TRUE))),
ROUNDDOWN((AB$1-AC$1)*MAX(INDEX(T$4:T1644,MATCH(LARGE(FILTER(Y$4:Y1644,Y$4:Y1644&lt;"&amp;"1000000000),1),Y$4:Y1644)),INDEX(F$4:F1644,MATCH(LARGE(FILTER(K$4:K1644,K$4:K1644&lt;1000000000),1),K$4:K1644)))),AND(K84&lt;1000000000,COUNTA(C84:C1644)&gt;0,P$3=FALSE),
ROUNDDOWN(INDEX(Y$4:Y1644,MATCH(LARGE(FILTER(W$4:W1644,W$4:W1644&lt;=I84),1),W$4:W1644))+(I84-LA"&amp;"RGE(FILTER(W$4:W1644,W$4:W1644&lt;=I84),1))*INDEX(T$4:T1644,MATCH(LARGE(FILTER(W$4:W1644,W$4:W1644&lt;=I84),1),W$4:W1644))-K84),1,
ROUNDDOWN(Y84-INDEX(K$4:K1644,MATCH(LARGE(FILTER(I$4:I1644,I$4:I1644&lt;=W84),1),I$4:I1644))-(W84-LARGE(FILTER(I$4:I1644,I$4:I1644&lt;=W"&amp;"84),1))*INDEX(F$4:F1644,MATCH(LARGE(FILTER(I$4:I1644,I$4:I1644&lt;=W84),1),I$4:I1644))))"),1316597.0)</f>
        <v>1316597</v>
      </c>
      <c r="N84" s="60">
        <f t="shared" si="8"/>
        <v>-40.53522</v>
      </c>
      <c r="O84" s="61" t="str">
        <f t="shared" si="9"/>
        <v>1,3M</v>
      </c>
      <c r="P84" s="56">
        <f t="shared" si="10"/>
        <v>1</v>
      </c>
      <c r="Q84" s="67" t="s">
        <v>9</v>
      </c>
      <c r="R84" s="10" t="b">
        <f>IFERROR(__xludf.DUMMYFUNCTION("IF(COUNTA(Q84:Q1644)=0,"""",IF(ISBLANK(Q84),FALSE,IF(NOT(COUNTIF($AA$24:$AA$34,SUBSTITUTE(Q84,""Sell_"",""""))),1,IF(REGEXMATCH(Q84,""Sell_""),IF(COUNTIF(Q$4:Q84,SUBSTITUTE(Q84,""Sell_"",""""))-COUNTIF(Q$4:Q83,Q84)&lt;1,1),FALSE))))"),FALSE)</f>
        <v>0</v>
      </c>
      <c r="S84" s="59">
        <f t="array" ref="S84">IF(COUNTA(Q84:Q1644)=0,"",SUM((COUNTIF(Q$4:Q84,Upgrades!$B$3:$B$13)-COUNTIF(Q$4:Q84,"Sell_"&amp;Upgrades!$B$3:$B$13))*Upgrades!$D$3:$D$13))</f>
        <v>7772.8</v>
      </c>
      <c r="T84" s="66">
        <f>IFERROR(__xludf.DUMMYFUNCTION("IF(COUNTA(Q84:Q1644)=0,"""",IF(REGEXMATCH(INDEX(FILTER(Q$4:Q84,Q$4:Q84&lt;&gt;""""),ROWS(FILTER(Q$4:Q84,Q$4:Q84&lt;&gt;""""))),""^Sell_""),INDEX(FILTER(T$4:T83,Q$4:Q83&lt;&gt;""""),ROWS(FILTER(Q$4:Q83,Q$4:Q83&lt;&gt;""""))),$AD$5+S84))"),7782.8)</f>
        <v>7782.8</v>
      </c>
      <c r="U84" s="10">
        <f>IFERROR(__xludf.DUMMYFUNCTION("IF(COUNTA(Q84:Q1644)=0,"""",IF(Q84="""",0,IF(REGEXMATCH(Q84,""^Sell_""),-ROUNDDOWN(ROUNDUP(INDEX(Upgrades!$C$3:$C$13,MATCH(SUBSTITUTE(Q84,""Sell_"",""""),Upgrades!$B$3:$B$13,0))*1.15^(COUNTIF(Q$4:Q83,SUBSTITUTE(Q84,""Sell_"",""""))-COUNTIF(Q$4:Q83,""Sell_"&amp;"""&amp;SUBSTITUTE(Q84,""Sell_"",""""))))/2),ROUNDUP(INDEX(Upgrades!$C$3:$C$13,MATCH(Q84,Upgrades!$B$3:$B$13,0))*1.15^(COUNTIF(Q$4:Q83,Q84)-COUNTIF(Q$4:Q83,""Sell_""&amp;Q84))))))"),200000.0)</f>
        <v>200000</v>
      </c>
      <c r="V84" s="10">
        <f t="shared" si="11"/>
        <v>200000</v>
      </c>
      <c r="W84" s="68">
        <f t="shared" si="12"/>
        <v>2746.816775</v>
      </c>
      <c r="X84" s="59" t="str">
        <f t="shared" si="13"/>
        <v>45m 46s</v>
      </c>
      <c r="Y84" s="69">
        <f t="shared" si="14"/>
        <v>2761723</v>
      </c>
      <c r="Z84" s="11"/>
      <c r="AG84" s="59"/>
    </row>
    <row r="85">
      <c r="A85" s="8"/>
      <c r="B85" s="56">
        <f t="shared" si="2"/>
        <v>6</v>
      </c>
      <c r="C85" s="67" t="s">
        <v>10</v>
      </c>
      <c r="D85" s="10" t="b">
        <f>IFERROR(__xludf.DUMMYFUNCTION("IF(COUNTA(C85:C1644)=0,"""",IF(ISBLANK(C85),FALSE,IF(NOT(COUNTIF($AA$24:$AA$34,SUBSTITUTE(C85,""Sell_"",""""))),1,IF(REGEXMATCH(C85,""Sell_""),IF(COUNTIF(C$4:C85,SUBSTITUTE(C85,""Sell_"",""""))-COUNTIF(C$4:C84,C85)&lt;1,1),FALSE))))"),FALSE)</f>
        <v>0</v>
      </c>
      <c r="E85" s="59">
        <f t="array" ref="E85">IF(COUNTA(C85:C1644)=0,"",SUM((COUNTIF(C$4:C85,Upgrades!$B$3:$B$13)-COUNTIF(C$4:C85,"Sell_"&amp;Upgrades!$B$3:$B$13))*Upgrades!$D$3:$D$13))</f>
        <v>40899</v>
      </c>
      <c r="F85" s="66">
        <f>IFERROR(__xludf.DUMMYFUNCTION("IF(COUNTA(C85:C1644)=0,"""",IF(REGEXMATCH(INDEX(FILTER(C$4:C85,C$4:C85&lt;&gt;""""),ROWS(FILTER(C$4:C85,C$4:C85&lt;&gt;""""))),""^Sell_""),INDEX(FILTER(F$4:F84,C$4:C84&lt;&gt;""""),ROWS(FILTER(C$4:C84,C$4:C84&lt;&gt;""""))),$AC$5+E85))"),40909.0)</f>
        <v>40909</v>
      </c>
      <c r="G85" s="10">
        <f>IFERROR(__xludf.DUMMYFUNCTION("IF(COUNTA(C85:C1644)=0,"""",IF(C85="""",0,IF(REGEXMATCH(C85,""^Sell_""),-ROUNDDOWN(ROUNDUP(INDEX(Upgrades!$C$3:$C$13,MATCH(SUBSTITUTE(C85,""Sell_"",""""),Upgrades!$B$3:$B$13,0))*1.15^(COUNTIF(C$4:C84,SUBSTITUTE(C85,""Sell_"",""""))-COUNTIF(C$4:C84,""Sell_"&amp;"""&amp;SUBSTITUTE(C85,""Sell_"",""""))))/2),ROUNDUP(INDEX(Upgrades!$C$3:$C$13,MATCH(C85,Upgrades!$B$3:$B$13,0))*1.15^(COUNTIF(C$4:C84,C85)-COUNTIF(C$4:C84,""Sell_""&amp;C85))))))"),3352261.0)</f>
        <v>3352261</v>
      </c>
      <c r="H85" s="10">
        <f t="shared" si="3"/>
        <v>3352261</v>
      </c>
      <c r="I85" s="68">
        <f t="shared" si="4"/>
        <v>3496.483685</v>
      </c>
      <c r="J85" s="59" t="str">
        <f t="shared" si="5"/>
        <v>58m 16s</v>
      </c>
      <c r="K85" s="69">
        <f t="shared" si="6"/>
        <v>15511630</v>
      </c>
      <c r="L85" s="60">
        <f t="shared" si="7"/>
        <v>-39.64587</v>
      </c>
      <c r="M85" s="61">
        <f>IFERROR(__xludf.DUMMYFUNCTION("IFS(AND(COUNTA(C85:C1644)=0,COUNTA(Q85:Q1644)=0),"""",OR(AND(K85&gt;=1000000000,OR(Y85&gt;=1000000000,COUNTA(Q85:Q1644)=0)),OR(Y85&gt;=1000000000,AND(COUNTA(C85:C1644)=0,P$3=TRUE))),
ROUNDDOWN((AB$1-AC$1)*MAX(INDEX(T$4:T1644,MATCH(LARGE(FILTER(Y$4:Y1644,Y$4:Y1644&lt;"&amp;"1000000000),1),Y$4:Y1644)),INDEX(F$4:F1644,MATCH(LARGE(FILTER(K$4:K1644,K$4:K1644&lt;1000000000),1),K$4:K1644)))),AND(K85&lt;1000000000,COUNTA(C85:C1644)&gt;0,P$3=FALSE),
ROUNDDOWN(INDEX(Y$4:Y1644,MATCH(LARGE(FILTER(W$4:W1644,W$4:W1644&lt;=I85),1),W$4:W1644))+(I85-LA"&amp;"RGE(FILTER(W$4:W1644,W$4:W1644&lt;=I85),1))*INDEX(T$4:T1644,MATCH(LARGE(FILTER(W$4:W1644,W$4:W1644&lt;=I85),1),W$4:W1644))-K85),1,
ROUNDDOWN(Y85-INDEX(K$4:K1644,MATCH(LARGE(FILTER(I$4:I1644,I$4:I1644&lt;=W85),1),I$4:I1644))-(W85-LARGE(FILTER(I$4:I1644,I$4:I1644&lt;=W"&amp;"85),1))*INDEX(F$4:F1644,MATCH(LARGE(FILTER(I$4:I1644,I$4:I1644&lt;=W85),1),I$4:I1644))))"),1540430.0)</f>
        <v>1540430</v>
      </c>
      <c r="N85" s="60">
        <f t="shared" si="8"/>
        <v>-39.64587</v>
      </c>
      <c r="O85" s="61" t="str">
        <f t="shared" si="9"/>
        <v>1,5M</v>
      </c>
      <c r="P85" s="56">
        <f t="shared" si="10"/>
        <v>5</v>
      </c>
      <c r="Q85" s="67" t="s">
        <v>60</v>
      </c>
      <c r="R85" s="10" t="b">
        <f>IFERROR(__xludf.DUMMYFUNCTION("IF(COUNTA(Q85:Q1644)=0,"""",IF(ISBLANK(Q85),FALSE,IF(NOT(COUNTIF($AA$24:$AA$34,SUBSTITUTE(Q85,""Sell_"",""""))),1,IF(REGEXMATCH(Q85,""Sell_""),IF(COUNTIF(Q$4:Q85,SUBSTITUTE(Q85,""Sell_"",""""))-COUNTIF(Q$4:Q84,Q85)&lt;1,1),FALSE))))"),FALSE)</f>
        <v>0</v>
      </c>
      <c r="S85" s="59">
        <f t="array" ref="S85">IF(COUNTA(Q85:Q1644)=0,"",SUM((COUNTIF(Q$4:Q85,Upgrades!$B$3:$B$13)-COUNTIF(Q$4:Q85,"Sell_"&amp;Upgrades!$B$3:$B$13))*Upgrades!$D$3:$D$13))</f>
        <v>7372.8</v>
      </c>
      <c r="T85" s="66">
        <f>IFERROR(__xludf.DUMMYFUNCTION("IF(COUNTA(Q85:Q1644)=0,"""",IF(REGEXMATCH(INDEX(FILTER(Q$4:Q85,Q$4:Q85&lt;&gt;""""),ROWS(FILTER(Q$4:Q85,Q$4:Q85&lt;&gt;""""))),""^Sell_""),INDEX(FILTER(T$4:T84,Q$4:Q84&lt;&gt;""""),ROWS(FILTER(Q$4:Q84,Q$4:Q84&lt;&gt;""""))),$AD$5+S85))"),7782.8)</f>
        <v>7782.8</v>
      </c>
      <c r="U85" s="10">
        <f>IFERROR(__xludf.DUMMYFUNCTION("IF(COUNTA(Q85:Q1644)=0,"""",IF(Q85="""",0,IF(REGEXMATCH(Q85,""^Sell_""),-ROUNDDOWN(ROUNDUP(INDEX(Upgrades!$C$3:$C$13,MATCH(SUBSTITUTE(Q85,""Sell_"",""""),Upgrades!$B$3:$B$13,0))*1.15^(COUNTIF(Q$4:Q84,SUBSTITUTE(Q85,""Sell_"",""""))-COUNTIF(Q$4:Q84,""Sell_"&amp;"""&amp;SUBSTITUTE(Q85,""Sell_"",""""))))/2),ROUNDUP(INDEX(Upgrades!$C$3:$C$13,MATCH(Q85,Upgrades!$B$3:$B$13,0))*1.15^(COUNTIF(Q$4:Q84,Q85)-COUNTIF(Q$4:Q84,""Sell_""&amp;Q85))))))"),-115000.0)</f>
        <v>-115000</v>
      </c>
      <c r="V85" s="10">
        <f t="shared" si="11"/>
        <v>-115000</v>
      </c>
      <c r="W85" s="68">
        <f t="shared" si="12"/>
        <v>2746.816775</v>
      </c>
      <c r="X85" s="59" t="str">
        <f t="shared" si="13"/>
        <v>45m 46s</v>
      </c>
      <c r="Y85" s="69">
        <f t="shared" si="14"/>
        <v>2761723</v>
      </c>
      <c r="Z85" s="11"/>
      <c r="AG85" s="59"/>
    </row>
    <row r="86">
      <c r="A86" s="8"/>
      <c r="B86" s="56">
        <f t="shared" si="2"/>
        <v>1</v>
      </c>
      <c r="C86" s="67" t="s">
        <v>9</v>
      </c>
      <c r="D86" s="10" t="b">
        <f>IFERROR(__xludf.DUMMYFUNCTION("IF(COUNTA(C86:C1644)=0,"""",IF(ISBLANK(C86),FALSE,IF(NOT(COUNTIF($AA$24:$AA$34,SUBSTITUTE(C86,""Sell_"",""""))),1,IF(REGEXMATCH(C86,""Sell_""),IF(COUNTIF(C$4:C86,SUBSTITUTE(C86,""Sell_"",""""))-COUNTIF(C$4:C85,C86)&lt;1,1),FALSE))))"),FALSE)</f>
        <v>0</v>
      </c>
      <c r="E86" s="59">
        <f t="array" ref="E86">IF(COUNTA(C86:C1644)=0,"",SUM((COUNTIF(C$4:C86,Upgrades!$B$3:$B$13)-COUNTIF(C$4:C86,"Sell_"&amp;Upgrades!$B$3:$B$13))*Upgrades!$D$3:$D$13))</f>
        <v>41299</v>
      </c>
      <c r="F86" s="66">
        <f>IFERROR(__xludf.DUMMYFUNCTION("IF(COUNTA(C86:C1644)=0,"""",IF(REGEXMATCH(INDEX(FILTER(C$4:C86,C$4:C86&lt;&gt;""""),ROWS(FILTER(C$4:C86,C$4:C86&lt;&gt;""""))),""^Sell_""),INDEX(FILTER(F$4:F85,C$4:C85&lt;&gt;""""),ROWS(FILTER(C$4:C85,C$4:C85&lt;&gt;""""))),$AC$5+E86))"),41309.0)</f>
        <v>41309</v>
      </c>
      <c r="G86" s="10">
        <f>IFERROR(__xludf.DUMMYFUNCTION("IF(COUNTA(C86:C1644)=0,"""",IF(C86="""",0,IF(REGEXMATCH(C86,""^Sell_""),-ROUNDDOWN(ROUNDUP(INDEX(Upgrades!$C$3:$C$13,MATCH(SUBSTITUTE(C86,""Sell_"",""""),Upgrades!$B$3:$B$13,0))*1.15^(COUNTIF(C$4:C85,SUBSTITUTE(C86,""Sell_"",""""))-COUNTIF(C$4:C85,""Sell_"&amp;"""&amp;SUBSTITUTE(C86,""Sell_"",""""))))/2),ROUNDUP(INDEX(Upgrades!$C$3:$C$13,MATCH(C86,Upgrades!$B$3:$B$13,0))*1.15^(COUNTIF(C$4:C85,C86)-COUNTIF(C$4:C85,""Sell_""&amp;C86))))))"),200000.0)</f>
        <v>200000</v>
      </c>
      <c r="H86" s="10">
        <f t="shared" si="3"/>
        <v>200000</v>
      </c>
      <c r="I86" s="68">
        <f t="shared" si="4"/>
        <v>3501.372585</v>
      </c>
      <c r="J86" s="59" t="str">
        <f t="shared" si="5"/>
        <v>58m 21s</v>
      </c>
      <c r="K86" s="69">
        <f t="shared" si="6"/>
        <v>15711630</v>
      </c>
      <c r="L86" s="60">
        <f t="shared" si="7"/>
        <v>-38.81179</v>
      </c>
      <c r="M86" s="61">
        <f>IFERROR(__xludf.DUMMYFUNCTION("IFS(AND(COUNTA(C86:C1644)=0,COUNTA(Q86:Q1644)=0),"""",OR(AND(K86&gt;=1000000000,OR(Y86&gt;=1000000000,COUNTA(Q86:Q1644)=0)),OR(Y86&gt;=1000000000,AND(COUNTA(C86:C1644)=0,P$3=TRUE))),
ROUNDDOWN((AB$1-AC$1)*MAX(INDEX(T$4:T1644,MATCH(LARGE(FILTER(Y$4:Y1644,Y$4:Y1644&lt;"&amp;"1000000000),1),Y$4:Y1644)),INDEX(F$4:F1644,MATCH(LARGE(FILTER(K$4:K1644,K$4:K1644&lt;1000000000),1),K$4:K1644)))),AND(K86&lt;1000000000,COUNTA(C86:C1644)&gt;0,P$3=FALSE),
ROUNDDOWN(INDEX(Y$4:Y1644,MATCH(LARGE(FILTER(W$4:W1644,W$4:W1644&lt;=I86),1),W$4:W1644))+(I86-LA"&amp;"RGE(FILTER(W$4:W1644,W$4:W1644&lt;=I86),1))*INDEX(T$4:T1644,MATCH(LARGE(FILTER(W$4:W1644,W$4:W1644&lt;=I86),1),W$4:W1644))-K86),1,
ROUNDDOWN(Y86-INDEX(K$4:K1644,MATCH(LARGE(FILTER(I$4:I1644,I$4:I1644&lt;=W86),1),I$4:I1644))-(W86-LARGE(FILTER(I$4:I1644,I$4:I1644&lt;=W"&amp;"86),1))*INDEX(F$4:F1644,MATCH(LARGE(FILTER(I$4:I1644,I$4:I1644&lt;=W86),1),I$4:I1644))))"),1546316.0)</f>
        <v>1546316</v>
      </c>
      <c r="N86" s="60">
        <f t="shared" si="8"/>
        <v>-38.81179</v>
      </c>
      <c r="O86" s="61" t="str">
        <f t="shared" si="9"/>
        <v>1,5M</v>
      </c>
      <c r="P86" s="56">
        <f t="shared" si="10"/>
        <v>7</v>
      </c>
      <c r="Q86" s="67" t="s">
        <v>61</v>
      </c>
      <c r="R86" s="10" t="b">
        <f>IFERROR(__xludf.DUMMYFUNCTION("IF(COUNTA(Q86:Q1644)=0,"""",IF(ISBLANK(Q86),FALSE,IF(NOT(COUNTIF($AA$24:$AA$34,SUBSTITUTE(Q86,""Sell_"",""""))),1,IF(REGEXMATCH(Q86,""Sell_""),IF(COUNTIF(Q$4:Q86,SUBSTITUTE(Q86,""Sell_"",""""))-COUNTIF(Q$4:Q85,Q86)&lt;1,1),FALSE))))"),FALSE)</f>
        <v>0</v>
      </c>
      <c r="S86" s="59">
        <f t="array" ref="S86">IF(COUNTA(Q86:Q1644)=0,"",SUM((COUNTIF(Q$4:Q86,Upgrades!$B$3:$B$13)-COUNTIF(Q$4:Q86,"Sell_"&amp;Upgrades!$B$3:$B$13))*Upgrades!$D$3:$D$13))</f>
        <v>7272.8</v>
      </c>
      <c r="T86" s="66">
        <f>IFERROR(__xludf.DUMMYFUNCTION("IF(COUNTA(Q86:Q1644)=0,"""",IF(REGEXMATCH(INDEX(FILTER(Q$4:Q86,Q$4:Q86&lt;&gt;""""),ROWS(FILTER(Q$4:Q86,Q$4:Q86&lt;&gt;""""))),""^Sell_""),INDEX(FILTER(T$4:T85,Q$4:Q85&lt;&gt;""""),ROWS(FILTER(Q$4:Q85,Q$4:Q85&lt;&gt;""""))),$AD$5+S86))"),7782.8)</f>
        <v>7782.8</v>
      </c>
      <c r="U86" s="10">
        <f>IFERROR(__xludf.DUMMYFUNCTION("IF(COUNTA(Q86:Q1644)=0,"""",IF(Q86="""",0,IF(REGEXMATCH(Q86,""^Sell_""),-ROUNDDOWN(ROUNDUP(INDEX(Upgrades!$C$3:$C$13,MATCH(SUBSTITUTE(Q86,""Sell_"",""""),Upgrades!$B$3:$B$13,0))*1.15^(COUNTIF(Q$4:Q85,SUBSTITUTE(Q86,""Sell_"",""""))-COUNTIF(Q$4:Q85,""Sell_"&amp;"""&amp;SUBSTITUTE(Q86,""Sell_"",""""))))/2),ROUNDUP(INDEX(Upgrades!$C$3:$C$13,MATCH(Q86,Upgrades!$B$3:$B$13,0))*1.15^(COUNTIF(Q$4:Q85,Q86)-COUNTIF(Q$4:Q85,""Sell_""&amp;Q86))))))"),-26450.0)</f>
        <v>-26450</v>
      </c>
      <c r="V86" s="10">
        <f t="shared" si="11"/>
        <v>-141450</v>
      </c>
      <c r="W86" s="68">
        <f t="shared" si="12"/>
        <v>2746.816775</v>
      </c>
      <c r="X86" s="59" t="str">
        <f t="shared" si="13"/>
        <v>45m 46s</v>
      </c>
      <c r="Y86" s="69">
        <f t="shared" si="14"/>
        <v>2761723</v>
      </c>
      <c r="Z86" s="11"/>
      <c r="AG86" s="59"/>
    </row>
    <row r="87">
      <c r="A87" s="8"/>
      <c r="B87" s="56">
        <f t="shared" si="2"/>
        <v>2</v>
      </c>
      <c r="C87" s="67" t="s">
        <v>9</v>
      </c>
      <c r="D87" s="10" t="b">
        <f>IFERROR(__xludf.DUMMYFUNCTION("IF(COUNTA(C87:C1644)=0,"""",IF(ISBLANK(C87),FALSE,IF(NOT(COUNTIF($AA$24:$AA$34,SUBSTITUTE(C87,""Sell_"",""""))),1,IF(REGEXMATCH(C87,""Sell_""),IF(COUNTIF(C$4:C87,SUBSTITUTE(C87,""Sell_"",""""))-COUNTIF(C$4:C86,C87)&lt;1,1),FALSE))))"),FALSE)</f>
        <v>0</v>
      </c>
      <c r="E87" s="59">
        <f t="array" ref="E87">IF(COUNTA(C87:C1644)=0,"",SUM((COUNTIF(C$4:C87,Upgrades!$B$3:$B$13)-COUNTIF(C$4:C87,"Sell_"&amp;Upgrades!$B$3:$B$13))*Upgrades!$D$3:$D$13))</f>
        <v>41699</v>
      </c>
      <c r="F87" s="66">
        <f>IFERROR(__xludf.DUMMYFUNCTION("IF(COUNTA(C87:C1644)=0,"""",IF(REGEXMATCH(INDEX(FILTER(C$4:C87,C$4:C87&lt;&gt;""""),ROWS(FILTER(C$4:C87,C$4:C87&lt;&gt;""""))),""^Sell_""),INDEX(FILTER(F$4:F86,C$4:C86&lt;&gt;""""),ROWS(FILTER(C$4:C86,C$4:C86&lt;&gt;""""))),$AC$5+E87))"),41709.0)</f>
        <v>41709</v>
      </c>
      <c r="G87" s="10">
        <f>IFERROR(__xludf.DUMMYFUNCTION("IF(COUNTA(C87:C1644)=0,"""",IF(C87="""",0,IF(REGEXMATCH(C87,""^Sell_""),-ROUNDDOWN(ROUNDUP(INDEX(Upgrades!$C$3:$C$13,MATCH(SUBSTITUTE(C87,""Sell_"",""""),Upgrades!$B$3:$B$13,0))*1.15^(COUNTIF(C$4:C86,SUBSTITUTE(C87,""Sell_"",""""))-COUNTIF(C$4:C86,""Sell_"&amp;"""&amp;SUBSTITUTE(C87,""Sell_"",""""))))/2),ROUNDUP(INDEX(Upgrades!$C$3:$C$13,MATCH(C87,Upgrades!$B$3:$B$13,0))*1.15^(COUNTIF(C$4:C86,C87)-COUNTIF(C$4:C86,""Sell_""&amp;C87))))))"),230000.0)</f>
        <v>230000</v>
      </c>
      <c r="H87" s="10">
        <f t="shared" si="3"/>
        <v>230000</v>
      </c>
      <c r="I87" s="68">
        <f t="shared" si="4"/>
        <v>3506.940379</v>
      </c>
      <c r="J87" s="59" t="str">
        <f t="shared" si="5"/>
        <v>58m 26s</v>
      </c>
      <c r="K87" s="69">
        <f t="shared" si="6"/>
        <v>15941630</v>
      </c>
      <c r="L87" s="60">
        <f t="shared" si="7"/>
        <v>-37.79815</v>
      </c>
      <c r="M87" s="61">
        <f>IFERROR(__xludf.DUMMYFUNCTION("IFS(AND(COUNTA(C87:C1644)=0,COUNTA(Q87:Q1644)=0),"""",OR(AND(K87&gt;=1000000000,OR(Y87&gt;=1000000000,COUNTA(Q87:Q1644)=0)),OR(Y87&gt;=1000000000,AND(COUNTA(C87:C1644)=0,P$3=TRUE))),
ROUNDDOWN((AB$1-AC$1)*MAX(INDEX(T$4:T1644,MATCH(LARGE(FILTER(Y$4:Y1644,Y$4:Y1644&lt;"&amp;"1000000000),1),Y$4:Y1644)),INDEX(F$4:F1644,MATCH(LARGE(FILTER(K$4:K1644,K$4:K1644&lt;1000000000),1),K$4:K1644)))),AND(K87&lt;1000000000,COUNTA(C87:C1644)&gt;0,P$3=FALSE),
ROUNDDOWN(INDEX(Y$4:Y1644,MATCH(LARGE(FILTER(W$4:W1644,W$4:W1644&lt;=I87),1),W$4:W1644))+(I87-LA"&amp;"RGE(FILTER(W$4:W1644,W$4:W1644&lt;=I87),1))*INDEX(T$4:T1644,MATCH(LARGE(FILTER(W$4:W1644,W$4:W1644&lt;=I87),1),W$4:W1644))-K87),1,
ROUNDDOWN(Y87-INDEX(K$4:K1644,MATCH(LARGE(FILTER(I$4:I1644,I$4:I1644&lt;=W87),1),I$4:I1644))-(W87-LARGE(FILTER(I$4:I1644,I$4:I1644&lt;=W"&amp;"87),1))*INDEX(F$4:F1644,MATCH(LARGE(FILTER(I$4:I1644,I$4:I1644&lt;=W87),1),I$4:I1644))))"),1550791.0)</f>
        <v>1550791</v>
      </c>
      <c r="N87" s="60">
        <f t="shared" si="8"/>
        <v>-37.79815</v>
      </c>
      <c r="O87" s="61" t="str">
        <f t="shared" si="9"/>
        <v>1,6M</v>
      </c>
      <c r="P87" s="56">
        <f t="shared" si="10"/>
        <v>8</v>
      </c>
      <c r="Q87" s="67" t="s">
        <v>61</v>
      </c>
      <c r="R87" s="10" t="b">
        <f>IFERROR(__xludf.DUMMYFUNCTION("IF(COUNTA(Q87:Q1644)=0,"""",IF(ISBLANK(Q87),FALSE,IF(NOT(COUNTIF($AA$24:$AA$34,SUBSTITUTE(Q87,""Sell_"",""""))),1,IF(REGEXMATCH(Q87,""Sell_""),IF(COUNTIF(Q$4:Q87,SUBSTITUTE(Q87,""Sell_"",""""))-COUNTIF(Q$4:Q86,Q87)&lt;1,1),FALSE))))"),FALSE)</f>
        <v>0</v>
      </c>
      <c r="S87" s="59">
        <f t="array" ref="S87">IF(COUNTA(Q87:Q1644)=0,"",SUM((COUNTIF(Q$4:Q87,Upgrades!$B$3:$B$13)-COUNTIF(Q$4:Q87,"Sell_"&amp;Upgrades!$B$3:$B$13))*Upgrades!$D$3:$D$13))</f>
        <v>7172.8</v>
      </c>
      <c r="T87" s="66">
        <f>IFERROR(__xludf.DUMMYFUNCTION("IF(COUNTA(Q87:Q1644)=0,"""",IF(REGEXMATCH(INDEX(FILTER(Q$4:Q87,Q$4:Q87&lt;&gt;""""),ROWS(FILTER(Q$4:Q87,Q$4:Q87&lt;&gt;""""))),""^Sell_""),INDEX(FILTER(T$4:T86,Q$4:Q86&lt;&gt;""""),ROWS(FILTER(Q$4:Q86,Q$4:Q86&lt;&gt;""""))),$AD$5+S87))"),7782.8)</f>
        <v>7782.8</v>
      </c>
      <c r="U87" s="10">
        <f>IFERROR(__xludf.DUMMYFUNCTION("IF(COUNTA(Q87:Q1644)=0,"""",IF(Q87="""",0,IF(REGEXMATCH(Q87,""^Sell_""),-ROUNDDOWN(ROUNDUP(INDEX(Upgrades!$C$3:$C$13,MATCH(SUBSTITUTE(Q87,""Sell_"",""""),Upgrades!$B$3:$B$13,0))*1.15^(COUNTIF(Q$4:Q86,SUBSTITUTE(Q87,""Sell_"",""""))-COUNTIF(Q$4:Q86,""Sell_"&amp;"""&amp;SUBSTITUTE(Q87,""Sell_"",""""))))/2),ROUNDUP(INDEX(Upgrades!$C$3:$C$13,MATCH(Q87,Upgrades!$B$3:$B$13,0))*1.15^(COUNTIF(Q$4:Q86,Q87)-COUNTIF(Q$4:Q86,""Sell_""&amp;Q87))))))"),-23000.0)</f>
        <v>-23000</v>
      </c>
      <c r="V87" s="10">
        <f t="shared" si="11"/>
        <v>-164450</v>
      </c>
      <c r="W87" s="68">
        <f t="shared" si="12"/>
        <v>2746.816775</v>
      </c>
      <c r="X87" s="59" t="str">
        <f t="shared" si="13"/>
        <v>45m 46s</v>
      </c>
      <c r="Y87" s="69">
        <f t="shared" si="14"/>
        <v>2761723</v>
      </c>
      <c r="Z87" s="11"/>
      <c r="AG87" s="59"/>
    </row>
    <row r="88">
      <c r="A88" s="8"/>
      <c r="B88" s="56">
        <f t="shared" si="2"/>
        <v>3</v>
      </c>
      <c r="C88" s="67" t="s">
        <v>9</v>
      </c>
      <c r="D88" s="10" t="b">
        <f>IFERROR(__xludf.DUMMYFUNCTION("IF(COUNTA(C88:C1644)=0,"""",IF(ISBLANK(C88),FALSE,IF(NOT(COUNTIF($AA$24:$AA$34,SUBSTITUTE(C88,""Sell_"",""""))),1,IF(REGEXMATCH(C88,""Sell_""),IF(COUNTIF(C$4:C88,SUBSTITUTE(C88,""Sell_"",""""))-COUNTIF(C$4:C87,C88)&lt;1,1),FALSE))))"),FALSE)</f>
        <v>0</v>
      </c>
      <c r="E88" s="59">
        <f t="array" ref="E88">IF(COUNTA(C88:C1644)=0,"",SUM((COUNTIF(C$4:C88,Upgrades!$B$3:$B$13)-COUNTIF(C$4:C88,"Sell_"&amp;Upgrades!$B$3:$B$13))*Upgrades!$D$3:$D$13))</f>
        <v>42099</v>
      </c>
      <c r="F88" s="66">
        <f>IFERROR(__xludf.DUMMYFUNCTION("IF(COUNTA(C88:C1644)=0,"""",IF(REGEXMATCH(INDEX(FILTER(C$4:C88,C$4:C88&lt;&gt;""""),ROWS(FILTER(C$4:C88,C$4:C88&lt;&gt;""""))),""^Sell_""),INDEX(FILTER(F$4:F87,C$4:C87&lt;&gt;""""),ROWS(FILTER(C$4:C87,C$4:C87&lt;&gt;""""))),$AC$5+E88))"),42109.0)</f>
        <v>42109</v>
      </c>
      <c r="G88" s="10">
        <f>IFERROR(__xludf.DUMMYFUNCTION("IF(COUNTA(C88:C1644)=0,"""",IF(C88="""",0,IF(REGEXMATCH(C88,""^Sell_""),-ROUNDDOWN(ROUNDUP(INDEX(Upgrades!$C$3:$C$13,MATCH(SUBSTITUTE(C88,""Sell_"",""""),Upgrades!$B$3:$B$13,0))*1.15^(COUNTIF(C$4:C87,SUBSTITUTE(C88,""Sell_"",""""))-COUNTIF(C$4:C87,""Sell_"&amp;"""&amp;SUBSTITUTE(C88,""Sell_"",""""))))/2),ROUNDUP(INDEX(Upgrades!$C$3:$C$13,MATCH(C88,Upgrades!$B$3:$B$13,0))*1.15^(COUNTIF(C$4:C87,C88)-COUNTIF(C$4:C87,""Sell_""&amp;C88))))))"),264500.0)</f>
        <v>264500</v>
      </c>
      <c r="H88" s="10">
        <f t="shared" si="3"/>
        <v>264500</v>
      </c>
      <c r="I88" s="68">
        <f t="shared" si="4"/>
        <v>3513.281936</v>
      </c>
      <c r="J88" s="59" t="str">
        <f t="shared" si="5"/>
        <v>58m 33s</v>
      </c>
      <c r="K88" s="69">
        <f t="shared" si="6"/>
        <v>16206130</v>
      </c>
      <c r="L88" s="60">
        <f t="shared" si="7"/>
        <v>-36.94125</v>
      </c>
      <c r="M88" s="61">
        <f>IFERROR(__xludf.DUMMYFUNCTION("IFS(AND(COUNTA(C88:C1644)=0,COUNTA(Q88:Q1644)=0),"""",OR(AND(K88&gt;=1000000000,OR(Y88&gt;=1000000000,COUNTA(Q88:Q1644)=0)),OR(Y88&gt;=1000000000,AND(COUNTA(C88:C1644)=0,P$3=TRUE))),
ROUNDDOWN((AB$1-AC$1)*MAX(INDEX(T$4:T1644,MATCH(LARGE(FILTER(Y$4:Y1644,Y$4:Y1644&lt;"&amp;"1000000000),1),Y$4:Y1644)),INDEX(F$4:F1644,MATCH(LARGE(FILTER(K$4:K1644,K$4:K1644&lt;1000000000),1),K$4:K1644)))),AND(K88&lt;1000000000,COUNTA(C88:C1644)&gt;0,P$3=FALSE),
ROUNDDOWN(INDEX(Y$4:Y1644,MATCH(LARGE(FILTER(W$4:W1644,W$4:W1644&lt;=I88),1),W$4:W1644))+(I88-LA"&amp;"RGE(FILTER(W$4:W1644,W$4:W1644&lt;=I88),1))*INDEX(T$4:T1644,MATCH(LARGE(FILTER(W$4:W1644,W$4:W1644&lt;=I88),1),W$4:W1644))-K88),1,
ROUNDDOWN(Y88-INDEX(K$4:K1644,MATCH(LARGE(FILTER(I$4:I1644,I$4:I1644&lt;=W88),1),I$4:I1644))-(W88-LARGE(FILTER(I$4:I1644,I$4:I1644&lt;=W"&amp;"88),1))*INDEX(F$4:F1644,MATCH(LARGE(FILTER(I$4:I1644,I$4:I1644&lt;=W88),1),I$4:I1644))))"),1553352.0)</f>
        <v>1553352</v>
      </c>
      <c r="N88" s="60">
        <f t="shared" si="8"/>
        <v>-36.94125</v>
      </c>
      <c r="O88" s="61" t="str">
        <f t="shared" si="9"/>
        <v>1,6M</v>
      </c>
      <c r="P88" s="56">
        <f t="shared" si="10"/>
        <v>2</v>
      </c>
      <c r="Q88" s="67" t="s">
        <v>10</v>
      </c>
      <c r="R88" s="10" t="b">
        <f>IFERROR(__xludf.DUMMYFUNCTION("IF(COUNTA(Q88:Q1644)=0,"""",IF(ISBLANK(Q88),FALSE,IF(NOT(COUNTIF($AA$24:$AA$34,SUBSTITUTE(Q88,""Sell_"",""""))),1,IF(REGEXMATCH(Q88,""Sell_""),IF(COUNTIF(Q$4:Q88,SUBSTITUTE(Q88,""Sell_"",""""))-COUNTIF(Q$4:Q87,Q88)&lt;1,1),FALSE))))"),FALSE)</f>
        <v>0</v>
      </c>
      <c r="S88" s="59">
        <f t="array" ref="S88">IF(COUNTA(Q88:Q1644)=0,"",SUM((COUNTIF(Q$4:Q88,Upgrades!$B$3:$B$13)-COUNTIF(Q$4:Q88,"Sell_"&amp;Upgrades!$B$3:$B$13))*Upgrades!$D$3:$D$13))</f>
        <v>13838.8</v>
      </c>
      <c r="T88" s="66">
        <f>IFERROR(__xludf.DUMMYFUNCTION("IF(COUNTA(Q88:Q1644)=0,"""",IF(REGEXMATCH(INDEX(FILTER(Q$4:Q88,Q$4:Q88&lt;&gt;""""),ROWS(FILTER(Q$4:Q88,Q$4:Q88&lt;&gt;""""))),""^Sell_""),INDEX(FILTER(T$4:T87,Q$4:Q87&lt;&gt;""""),ROWS(FILTER(Q$4:Q87,Q$4:Q87&lt;&gt;""""))),$AD$5+S88))"),13848.8)</f>
        <v>13848.8</v>
      </c>
      <c r="U88" s="10">
        <f>IFERROR(__xludf.DUMMYFUNCTION("IF(COUNTA(Q88:Q1644)=0,"""",IF(Q88="""",0,IF(REGEXMATCH(Q88,""^Sell_""),-ROUNDDOWN(ROUNDUP(INDEX(Upgrades!$C$3:$C$13,MATCH(SUBSTITUTE(Q88,""Sell_"",""""),Upgrades!$B$3:$B$13,0))*1.15^(COUNTIF(Q$4:Q87,SUBSTITUTE(Q88,""Sell_"",""""))-COUNTIF(Q$4:Q87,""Sell_"&amp;"""&amp;SUBSTITUTE(Q88,""Sell_"",""""))))/2),ROUNDUP(INDEX(Upgrades!$C$3:$C$13,MATCH(Q88,Upgrades!$B$3:$B$13,0))*1.15^(COUNTIF(Q$4:Q87,Q88)-COUNTIF(Q$4:Q87,""Sell_""&amp;Q88))))))"),1916666.0)</f>
        <v>1916666</v>
      </c>
      <c r="V88" s="10">
        <f t="shared" si="11"/>
        <v>1752216</v>
      </c>
      <c r="W88" s="68">
        <f t="shared" si="12"/>
        <v>2971.956313</v>
      </c>
      <c r="X88" s="59" t="str">
        <f t="shared" si="13"/>
        <v>49m 31s</v>
      </c>
      <c r="Y88" s="69">
        <f t="shared" si="14"/>
        <v>4513939</v>
      </c>
      <c r="Z88" s="11"/>
      <c r="AG88" s="59"/>
    </row>
    <row r="89">
      <c r="A89" s="8"/>
      <c r="B89" s="56">
        <f t="shared" si="2"/>
        <v>5</v>
      </c>
      <c r="C89" s="67" t="s">
        <v>8</v>
      </c>
      <c r="D89" s="10" t="b">
        <f>IFERROR(__xludf.DUMMYFUNCTION("IF(COUNTA(C89:C1644)=0,"""",IF(ISBLANK(C89),FALSE,IF(NOT(COUNTIF($AA$24:$AA$34,SUBSTITUTE(C89,""Sell_"",""""))),1,IF(REGEXMATCH(C89,""Sell_""),IF(COUNTIF(C$4:C89,SUBSTITUTE(C89,""Sell_"",""""))-COUNTIF(C$4:C88,C89)&lt;1,1),FALSE))))"),FALSE)</f>
        <v>0</v>
      </c>
      <c r="E89" s="59">
        <f t="array" ref="E89">IF(COUNTA(C89:C1644)=0,"",SUM((COUNTIF(C$4:C89,Upgrades!$B$3:$B$13)-COUNTIF(C$4:C89,"Sell_"&amp;Upgrades!$B$3:$B$13))*Upgrades!$D$3:$D$13))</f>
        <v>42199</v>
      </c>
      <c r="F89" s="66">
        <f>IFERROR(__xludf.DUMMYFUNCTION("IF(COUNTA(C89:C1644)=0,"""",IF(REGEXMATCH(INDEX(FILTER(C$4:C89,C$4:C89&lt;&gt;""""),ROWS(FILTER(C$4:C89,C$4:C89&lt;&gt;""""))),""^Sell_""),INDEX(FILTER(F$4:F88,C$4:C88&lt;&gt;""""),ROWS(FILTER(C$4:C88,C$4:C88&lt;&gt;""""))),$AC$5+E89))"),42209.0)</f>
        <v>42209</v>
      </c>
      <c r="G89" s="10">
        <f>IFERROR(__xludf.DUMMYFUNCTION("IF(COUNTA(C89:C1644)=0,"""",IF(C89="""",0,IF(REGEXMATCH(C89,""^Sell_""),-ROUNDDOWN(ROUNDUP(INDEX(Upgrades!$C$3:$C$13,MATCH(SUBSTITUTE(C89,""Sell_"",""""),Upgrades!$B$3:$B$13,0))*1.15^(COUNTIF(C$4:C88,SUBSTITUTE(C89,""Sell_"",""""))-COUNTIF(C$4:C88,""Sell_"&amp;"""&amp;SUBSTITUTE(C89,""Sell_"",""""))))/2),ROUNDUP(INDEX(Upgrades!$C$3:$C$13,MATCH(C89,Upgrades!$B$3:$B$13,0))*1.15^(COUNTIF(C$4:C88,C89)-COUNTIF(C$4:C88,""Sell_""&amp;C89))))))"),69961.0)</f>
        <v>69961</v>
      </c>
      <c r="H89" s="10">
        <f t="shared" si="3"/>
        <v>69961</v>
      </c>
      <c r="I89" s="68">
        <f t="shared" si="4"/>
        <v>3514.943362</v>
      </c>
      <c r="J89" s="59" t="str">
        <f t="shared" si="5"/>
        <v>58m 34s</v>
      </c>
      <c r="K89" s="69">
        <f t="shared" si="6"/>
        <v>16276091</v>
      </c>
      <c r="L89" s="60">
        <f t="shared" si="7"/>
        <v>-36.92547</v>
      </c>
      <c r="M89" s="61">
        <f>IFERROR(__xludf.DUMMYFUNCTION("IFS(AND(COUNTA(C89:C1644)=0,COUNTA(Q89:Q1644)=0),"""",OR(AND(K89&gt;=1000000000,OR(Y89&gt;=1000000000,COUNTA(Q89:Q1644)=0)),OR(Y89&gt;=1000000000,AND(COUNTA(C89:C1644)=0,P$3=TRUE))),
ROUNDDOWN((AB$1-AC$1)*MAX(INDEX(T$4:T1644,MATCH(LARGE(FILTER(Y$4:Y1644,Y$4:Y1644&lt;"&amp;"1000000000),1),Y$4:Y1644)),INDEX(F$4:F1644,MATCH(LARGE(FILTER(K$4:K1644,K$4:K1644&lt;1000000000),1),K$4:K1644)))),AND(K89&lt;1000000000,COUNTA(C89:C1644)&gt;0,P$3=FALSE),
ROUNDDOWN(INDEX(Y$4:Y1644,MATCH(LARGE(FILTER(W$4:W1644,W$4:W1644&lt;=I89),1),W$4:W1644))+(I89-LA"&amp;"RGE(FILTER(W$4:W1644,W$4:W1644&lt;=I89),1))*INDEX(T$4:T1644,MATCH(LARGE(FILTER(W$4:W1644,W$4:W1644&lt;=I89),1),W$4:W1644))-K89),1,
ROUNDDOWN(Y89-INDEX(K$4:K1644,MATCH(LARGE(FILTER(I$4:I1644,I$4:I1644&lt;=W89),1),I$4:I1644))-(W89-LARGE(FILTER(I$4:I1644,I$4:I1644&lt;=W"&amp;"89),1))*INDEX(F$4:F1644,MATCH(LARGE(FILTER(I$4:I1644,I$4:I1644&lt;=W89),1),I$4:I1644))))"),1553358.0)</f>
        <v>1553358</v>
      </c>
      <c r="N89" s="60">
        <f t="shared" si="8"/>
        <v>-36.92547</v>
      </c>
      <c r="O89" s="61" t="str">
        <f t="shared" si="9"/>
        <v>1,6M</v>
      </c>
      <c r="P89" s="56">
        <f t="shared" si="10"/>
        <v>1</v>
      </c>
      <c r="Q89" s="67" t="s">
        <v>8</v>
      </c>
      <c r="R89" s="10" t="b">
        <f>IFERROR(__xludf.DUMMYFUNCTION("IF(COUNTA(Q89:Q1644)=0,"""",IF(ISBLANK(Q89),FALSE,IF(NOT(COUNTIF($AA$24:$AA$34,SUBSTITUTE(Q89,""Sell_"",""""))),1,IF(REGEXMATCH(Q89,""Sell_""),IF(COUNTIF(Q$4:Q89,SUBSTITUTE(Q89,""Sell_"",""""))-COUNTIF(Q$4:Q88,Q89)&lt;1,1),FALSE))))"),FALSE)</f>
        <v>0</v>
      </c>
      <c r="S89" s="59">
        <f t="array" ref="S89">IF(COUNTA(Q89:Q1644)=0,"",SUM((COUNTIF(Q$4:Q89,Upgrades!$B$3:$B$13)-COUNTIF(Q$4:Q89,"Sell_"&amp;Upgrades!$B$3:$B$13))*Upgrades!$D$3:$D$13))</f>
        <v>13938.8</v>
      </c>
      <c r="T89" s="66">
        <f>IFERROR(__xludf.DUMMYFUNCTION("IF(COUNTA(Q89:Q1644)=0,"""",IF(REGEXMATCH(INDEX(FILTER(Q$4:Q89,Q$4:Q89&lt;&gt;""""),ROWS(FILTER(Q$4:Q89,Q$4:Q89&lt;&gt;""""))),""^Sell_""),INDEX(FILTER(T$4:T88,Q$4:Q88&lt;&gt;""""),ROWS(FILTER(Q$4:Q88,Q$4:Q88&lt;&gt;""""))),$AD$5+S89))"),13948.8)</f>
        <v>13948.8</v>
      </c>
      <c r="U89" s="10">
        <f>IFERROR(__xludf.DUMMYFUNCTION("IF(COUNTA(Q89:Q1644)=0,"""",IF(Q89="""",0,IF(REGEXMATCH(Q89,""^Sell_""),-ROUNDDOWN(ROUNDUP(INDEX(Upgrades!$C$3:$C$13,MATCH(SUBSTITUTE(Q89,""Sell_"",""""),Upgrades!$B$3:$B$13,0))*1.15^(COUNTIF(Q$4:Q88,SUBSTITUTE(Q89,""Sell_"",""""))-COUNTIF(Q$4:Q88,""Sell_"&amp;"""&amp;SUBSTITUTE(Q89,""Sell_"",""""))))/2),ROUNDUP(INDEX(Upgrades!$C$3:$C$13,MATCH(Q89,Upgrades!$B$3:$B$13,0))*1.15^(COUNTIF(Q$4:Q88,Q89)-COUNTIF(Q$4:Q88,""Sell_""&amp;Q89))))))"),40000.0)</f>
        <v>40000</v>
      </c>
      <c r="V89" s="10">
        <f t="shared" si="11"/>
        <v>40000</v>
      </c>
      <c r="W89" s="68">
        <f t="shared" si="12"/>
        <v>2974.84465</v>
      </c>
      <c r="X89" s="59" t="str">
        <f t="shared" si="13"/>
        <v>49m 34s</v>
      </c>
      <c r="Y89" s="69">
        <f t="shared" si="14"/>
        <v>4553939</v>
      </c>
      <c r="Z89" s="11"/>
      <c r="AG89" s="59"/>
    </row>
    <row r="90">
      <c r="A90" s="8"/>
      <c r="B90" s="56">
        <f t="shared" si="2"/>
        <v>6</v>
      </c>
      <c r="C90" s="67" t="s">
        <v>8</v>
      </c>
      <c r="D90" s="10" t="b">
        <f>IFERROR(__xludf.DUMMYFUNCTION("IF(COUNTA(C90:C1644)=0,"""",IF(ISBLANK(C90),FALSE,IF(NOT(COUNTIF($AA$24:$AA$34,SUBSTITUTE(C90,""Sell_"",""""))),1,IF(REGEXMATCH(C90,""Sell_""),IF(COUNTIF(C$4:C90,SUBSTITUTE(C90,""Sell_"",""""))-COUNTIF(C$4:C89,C90)&lt;1,1),FALSE))))"),FALSE)</f>
        <v>0</v>
      </c>
      <c r="E90" s="59">
        <f t="array" ref="E90">IF(COUNTA(C90:C1644)=0,"",SUM((COUNTIF(C$4:C90,Upgrades!$B$3:$B$13)-COUNTIF(C$4:C90,"Sell_"&amp;Upgrades!$B$3:$B$13))*Upgrades!$D$3:$D$13))</f>
        <v>42299</v>
      </c>
      <c r="F90" s="66">
        <f>IFERROR(__xludf.DUMMYFUNCTION("IF(COUNTA(C90:C1644)=0,"""",IF(REGEXMATCH(INDEX(FILTER(C$4:C90,C$4:C90&lt;&gt;""""),ROWS(FILTER(C$4:C90,C$4:C90&lt;&gt;""""))),""^Sell_""),INDEX(FILTER(F$4:F89,C$4:C89&lt;&gt;""""),ROWS(FILTER(C$4:C89,C$4:C89&lt;&gt;""""))),$AC$5+E90))"),42309.0)</f>
        <v>42309</v>
      </c>
      <c r="G90" s="10">
        <f>IFERROR(__xludf.DUMMYFUNCTION("IF(COUNTA(C90:C1644)=0,"""",IF(C90="""",0,IF(REGEXMATCH(C90,""^Sell_""),-ROUNDDOWN(ROUNDUP(INDEX(Upgrades!$C$3:$C$13,MATCH(SUBSTITUTE(C90,""Sell_"",""""),Upgrades!$B$3:$B$13,0))*1.15^(COUNTIF(C$4:C89,SUBSTITUTE(C90,""Sell_"",""""))-COUNTIF(C$4:C89,""Sell_"&amp;"""&amp;SUBSTITUTE(C90,""Sell_"",""""))))/2),ROUNDUP(INDEX(Upgrades!$C$3:$C$13,MATCH(C90,Upgrades!$B$3:$B$13,0))*1.15^(COUNTIF(C$4:C89,C90)-COUNTIF(C$4:C89,""Sell_""&amp;C90))))))"),80455.0)</f>
        <v>80455</v>
      </c>
      <c r="H90" s="10">
        <f t="shared" si="3"/>
        <v>80455</v>
      </c>
      <c r="I90" s="68">
        <f t="shared" si="4"/>
        <v>3516.849472</v>
      </c>
      <c r="J90" s="59" t="str">
        <f t="shared" si="5"/>
        <v>58m 36s</v>
      </c>
      <c r="K90" s="69">
        <f t="shared" si="6"/>
        <v>16356546</v>
      </c>
      <c r="L90" s="60">
        <f t="shared" si="7"/>
        <v>-36.9028</v>
      </c>
      <c r="M90" s="61">
        <f>IFERROR(__xludf.DUMMYFUNCTION("IFS(AND(COUNTA(C90:C1644)=0,COUNTA(Q90:Q1644)=0),"""",OR(AND(K90&gt;=1000000000,OR(Y90&gt;=1000000000,COUNTA(Q90:Q1644)=0)),OR(Y90&gt;=1000000000,AND(COUNTA(C90:C1644)=0,P$3=TRUE))),
ROUNDDOWN((AB$1-AC$1)*MAX(INDEX(T$4:T1644,MATCH(LARGE(FILTER(Y$4:Y1644,Y$4:Y1644&lt;"&amp;"1000000000),1),Y$4:Y1644)),INDEX(F$4:F1644,MATCH(LARGE(FILTER(K$4:K1644,K$4:K1644&lt;1000000000),1),K$4:K1644)))),AND(K90&lt;1000000000,COUNTA(C90:C1644)&gt;0,P$3=FALSE),
ROUNDDOWN(INDEX(Y$4:Y1644,MATCH(LARGE(FILTER(W$4:W1644,W$4:W1644&lt;=I90),1),W$4:W1644))+(I90-LA"&amp;"RGE(FILTER(W$4:W1644,W$4:W1644&lt;=I90),1))*INDEX(T$4:T1644,MATCH(LARGE(FILTER(W$4:W1644,W$4:W1644&lt;=I90),1),W$4:W1644))-K90),1,
ROUNDDOWN(Y90-INDEX(K$4:K1644,MATCH(LARGE(FILTER(I$4:I1644,I$4:I1644&lt;=W90),1),I$4:I1644))-(W90-LARGE(FILTER(I$4:I1644,I$4:I1644&lt;=W"&amp;"90),1))*INDEX(F$4:F1644,MATCH(LARGE(FILTER(I$4:I1644,I$4:I1644&lt;=W90),1),I$4:I1644))))"),1553175.0)</f>
        <v>1553175</v>
      </c>
      <c r="N90" s="60">
        <f t="shared" si="8"/>
        <v>-36.9028</v>
      </c>
      <c r="O90" s="61" t="str">
        <f t="shared" si="9"/>
        <v>1,6M</v>
      </c>
      <c r="P90" s="56">
        <f t="shared" si="10"/>
        <v>2</v>
      </c>
      <c r="Q90" s="67" t="s">
        <v>8</v>
      </c>
      <c r="R90" s="10" t="b">
        <f>IFERROR(__xludf.DUMMYFUNCTION("IF(COUNTA(Q90:Q1644)=0,"""",IF(ISBLANK(Q90),FALSE,IF(NOT(COUNTIF($AA$24:$AA$34,SUBSTITUTE(Q90,""Sell_"",""""))),1,IF(REGEXMATCH(Q90,""Sell_""),IF(COUNTIF(Q$4:Q90,SUBSTITUTE(Q90,""Sell_"",""""))-COUNTIF(Q$4:Q89,Q90)&lt;1,1),FALSE))))"),FALSE)</f>
        <v>0</v>
      </c>
      <c r="S90" s="59">
        <f t="array" ref="S90">IF(COUNTA(Q90:Q1644)=0,"",SUM((COUNTIF(Q$4:Q90,Upgrades!$B$3:$B$13)-COUNTIF(Q$4:Q90,"Sell_"&amp;Upgrades!$B$3:$B$13))*Upgrades!$D$3:$D$13))</f>
        <v>14038.8</v>
      </c>
      <c r="T90" s="66">
        <f>IFERROR(__xludf.DUMMYFUNCTION("IF(COUNTA(Q90:Q1644)=0,"""",IF(REGEXMATCH(INDEX(FILTER(Q$4:Q90,Q$4:Q90&lt;&gt;""""),ROWS(FILTER(Q$4:Q90,Q$4:Q90&lt;&gt;""""))),""^Sell_""),INDEX(FILTER(T$4:T89,Q$4:Q89&lt;&gt;""""),ROWS(FILTER(Q$4:Q89,Q$4:Q89&lt;&gt;""""))),$AD$5+S90))"),14048.8)</f>
        <v>14048.8</v>
      </c>
      <c r="U90" s="10">
        <f>IFERROR(__xludf.DUMMYFUNCTION("IF(COUNTA(Q90:Q1644)=0,"""",IF(Q90="""",0,IF(REGEXMATCH(Q90,""^Sell_""),-ROUNDDOWN(ROUNDUP(INDEX(Upgrades!$C$3:$C$13,MATCH(SUBSTITUTE(Q90,""Sell_"",""""),Upgrades!$B$3:$B$13,0))*1.15^(COUNTIF(Q$4:Q89,SUBSTITUTE(Q90,""Sell_"",""""))-COUNTIF(Q$4:Q89,""Sell_"&amp;"""&amp;SUBSTITUTE(Q90,""Sell_"",""""))))/2),ROUNDUP(INDEX(Upgrades!$C$3:$C$13,MATCH(Q90,Upgrades!$B$3:$B$13,0))*1.15^(COUNTIF(Q$4:Q89,Q90)-COUNTIF(Q$4:Q89,""Sell_""&amp;Q90))))))"),46000.0)</f>
        <v>46000</v>
      </c>
      <c r="V90" s="10">
        <f t="shared" si="11"/>
        <v>46000</v>
      </c>
      <c r="W90" s="68">
        <f t="shared" si="12"/>
        <v>2978.142425</v>
      </c>
      <c r="X90" s="59" t="str">
        <f t="shared" si="13"/>
        <v>49m 38s</v>
      </c>
      <c r="Y90" s="69">
        <f t="shared" si="14"/>
        <v>4599939</v>
      </c>
      <c r="Z90" s="11"/>
      <c r="AG90" s="59"/>
    </row>
    <row r="91">
      <c r="A91" s="8"/>
      <c r="B91" s="56">
        <f t="shared" si="2"/>
        <v>16</v>
      </c>
      <c r="C91" s="67" t="s">
        <v>3</v>
      </c>
      <c r="D91" s="10" t="b">
        <f>IFERROR(__xludf.DUMMYFUNCTION("IF(COUNTA(C91:C1644)=0,"""",IF(ISBLANK(C91),FALSE,IF(NOT(COUNTIF($AA$24:$AA$34,SUBSTITUTE(C91,""Sell_"",""""))),1,IF(REGEXMATCH(C91,""Sell_""),IF(COUNTIF(C$4:C91,SUBSTITUTE(C91,""Sell_"",""""))-COUNTIF(C$4:C90,C91)&lt;1,1),FALSE))))"),FALSE)</f>
        <v>0</v>
      </c>
      <c r="E91" s="59">
        <f t="array" ref="E91">IF(COUNTA(C91:C1644)=0,"",SUM((COUNTIF(C$4:C91,Upgrades!$B$3:$B$13)-COUNTIF(C$4:C91,"Sell_"&amp;Upgrades!$B$3:$B$13))*Upgrades!$D$3:$D$13))</f>
        <v>42299.1</v>
      </c>
      <c r="F91" s="66">
        <f>IFERROR(__xludf.DUMMYFUNCTION("IF(COUNTA(C91:C1644)=0,"""",IF(REGEXMATCH(INDEX(FILTER(C$4:C91,C$4:C91&lt;&gt;""""),ROWS(FILTER(C$4:C91,C$4:C91&lt;&gt;""""))),""^Sell_""),INDEX(FILTER(F$4:F90,C$4:C90&lt;&gt;""""),ROWS(FILTER(C$4:C90,C$4:C90&lt;&gt;""""))),$AC$5+E91))"),42309.1)</f>
        <v>42309.1</v>
      </c>
      <c r="G91" s="10">
        <f>IFERROR(__xludf.DUMMYFUNCTION("IF(COUNTA(C91:C1644)=0,"""",IF(C91="""",0,IF(REGEXMATCH(C91,""^Sell_""),-ROUNDDOWN(ROUNDUP(INDEX(Upgrades!$C$3:$C$13,MATCH(SUBSTITUTE(C91,""Sell_"",""""),Upgrades!$B$3:$B$13,0))*1.15^(COUNTIF(C$4:C90,SUBSTITUTE(C91,""Sell_"",""""))-COUNTIF(C$4:C90,""Sell_"&amp;"""&amp;SUBSTITUTE(C91,""Sell_"",""""))))/2),ROUNDUP(INDEX(Upgrades!$C$3:$C$13,MATCH(C91,Upgrades!$B$3:$B$13,0))*1.15^(COUNTIF(C$4:C90,C91)-COUNTIF(C$4:C90,""Sell_""&amp;C91))))))"),123.0)</f>
        <v>123</v>
      </c>
      <c r="H91" s="10">
        <f t="shared" si="3"/>
        <v>123</v>
      </c>
      <c r="I91" s="68">
        <f t="shared" si="4"/>
        <v>3516.85238</v>
      </c>
      <c r="J91" s="59" t="str">
        <f t="shared" si="5"/>
        <v>58m 36s</v>
      </c>
      <c r="K91" s="69">
        <f t="shared" si="6"/>
        <v>16356669</v>
      </c>
      <c r="L91" s="60">
        <f t="shared" si="7"/>
        <v>-36.90276</v>
      </c>
      <c r="M91" s="61">
        <f>IFERROR(__xludf.DUMMYFUNCTION("IFS(AND(COUNTA(C91:C1644)=0,COUNTA(Q91:Q1644)=0),"""",OR(AND(K91&gt;=1000000000,OR(Y91&gt;=1000000000,COUNTA(Q91:Q1644)=0)),OR(Y91&gt;=1000000000,AND(COUNTA(C91:C1644)=0,P$3=TRUE))),
ROUNDDOWN((AB$1-AC$1)*MAX(INDEX(T$4:T1644,MATCH(LARGE(FILTER(Y$4:Y1644,Y$4:Y1644&lt;"&amp;"1000000000),1),Y$4:Y1644)),INDEX(F$4:F1644,MATCH(LARGE(FILTER(K$4:K1644,K$4:K1644&lt;1000000000),1),K$4:K1644)))),AND(K91&lt;1000000000,COUNTA(C91:C1644)&gt;0,P$3=FALSE),
ROUNDDOWN(INDEX(Y$4:Y1644,MATCH(LARGE(FILTER(W$4:W1644,W$4:W1644&lt;=I91),1),W$4:W1644))+(I91-LA"&amp;"RGE(FILTER(W$4:W1644,W$4:W1644&lt;=I91),1))*INDEX(T$4:T1644,MATCH(LARGE(FILTER(W$4:W1644,W$4:W1644&lt;=I91),1),W$4:W1644))-K91),1,
ROUNDDOWN(Y91-INDEX(K$4:K1644,MATCH(LARGE(FILTER(I$4:I1644,I$4:I1644&lt;=W91),1),I$4:I1644))-(W91-LARGE(FILTER(I$4:I1644,I$4:I1644&lt;=W"&amp;"91),1))*INDEX(F$4:F1644,MATCH(LARGE(FILTER(I$4:I1644,I$4:I1644&lt;=W91),1),I$4:I1644))))"),1553174.0)</f>
        <v>1553174</v>
      </c>
      <c r="N91" s="60">
        <f t="shared" si="8"/>
        <v>-36.90276</v>
      </c>
      <c r="O91" s="61" t="str">
        <f t="shared" si="9"/>
        <v>1,6M</v>
      </c>
      <c r="P91" s="56">
        <f t="shared" si="10"/>
        <v>9</v>
      </c>
      <c r="Q91" s="67" t="s">
        <v>61</v>
      </c>
      <c r="R91" s="10" t="b">
        <f>IFERROR(__xludf.DUMMYFUNCTION("IF(COUNTA(Q91:Q1644)=0,"""",IF(ISBLANK(Q91),FALSE,IF(NOT(COUNTIF($AA$24:$AA$34,SUBSTITUTE(Q91,""Sell_"",""""))),1,IF(REGEXMATCH(Q91,""Sell_""),IF(COUNTIF(Q$4:Q91,SUBSTITUTE(Q91,""Sell_"",""""))-COUNTIF(Q$4:Q90,Q91)&lt;1,1),FALSE))))"),FALSE)</f>
        <v>0</v>
      </c>
      <c r="S91" s="59">
        <f t="array" ref="S91">IF(COUNTA(Q91:Q1644)=0,"",SUM((COUNTIF(Q$4:Q91,Upgrades!$B$3:$B$13)-COUNTIF(Q$4:Q91,"Sell_"&amp;Upgrades!$B$3:$B$13))*Upgrades!$D$3:$D$13))</f>
        <v>13938.8</v>
      </c>
      <c r="T91" s="66">
        <f>IFERROR(__xludf.DUMMYFUNCTION("IF(COUNTA(Q91:Q1644)=0,"""",IF(REGEXMATCH(INDEX(FILTER(Q$4:Q91,Q$4:Q91&lt;&gt;""""),ROWS(FILTER(Q$4:Q91,Q$4:Q91&lt;&gt;""""))),""^Sell_""),INDEX(FILTER(T$4:T90,Q$4:Q90&lt;&gt;""""),ROWS(FILTER(Q$4:Q90,Q$4:Q90&lt;&gt;""""))),$AD$5+S91))"),14048.8)</f>
        <v>14048.8</v>
      </c>
      <c r="U91" s="10">
        <f>IFERROR(__xludf.DUMMYFUNCTION("IF(COUNTA(Q91:Q1644)=0,"""",IF(Q91="""",0,IF(REGEXMATCH(Q91,""^Sell_""),-ROUNDDOWN(ROUNDUP(INDEX(Upgrades!$C$3:$C$13,MATCH(SUBSTITUTE(Q91,""Sell_"",""""),Upgrades!$B$3:$B$13,0))*1.15^(COUNTIF(Q$4:Q90,SUBSTITUTE(Q91,""Sell_"",""""))-COUNTIF(Q$4:Q90,""Sell_"&amp;"""&amp;SUBSTITUTE(Q91,""Sell_"",""""))))/2),ROUNDUP(INDEX(Upgrades!$C$3:$C$13,MATCH(Q91,Upgrades!$B$3:$B$13,0))*1.15^(COUNTIF(Q$4:Q90,Q91)-COUNTIF(Q$4:Q90,""Sell_""&amp;Q91))))))"),-26450.0)</f>
        <v>-26450</v>
      </c>
      <c r="V91" s="10">
        <f t="shared" si="11"/>
        <v>-26450</v>
      </c>
      <c r="W91" s="68">
        <f t="shared" si="12"/>
        <v>2978.142425</v>
      </c>
      <c r="X91" s="59" t="str">
        <f t="shared" si="13"/>
        <v>49m 38s</v>
      </c>
      <c r="Y91" s="69">
        <f t="shared" si="14"/>
        <v>4599939</v>
      </c>
      <c r="Z91" s="11"/>
      <c r="AG91" s="59"/>
    </row>
    <row r="92">
      <c r="A92" s="8"/>
      <c r="B92" s="56">
        <f t="shared" si="2"/>
        <v>7</v>
      </c>
      <c r="C92" s="67" t="s">
        <v>10</v>
      </c>
      <c r="D92" s="10" t="b">
        <f>IFERROR(__xludf.DUMMYFUNCTION("IF(COUNTA(C92:C1644)=0,"""",IF(ISBLANK(C92),FALSE,IF(NOT(COUNTIF($AA$24:$AA$34,SUBSTITUTE(C92,""Sell_"",""""))),1,IF(REGEXMATCH(C92,""Sell_""),IF(COUNTIF(C$4:C92,SUBSTITUTE(C92,""Sell_"",""""))-COUNTIF(C$4:C91,C92)&lt;1,1),FALSE))))"),FALSE)</f>
        <v>0</v>
      </c>
      <c r="E92" s="59">
        <f t="array" ref="E92">IF(COUNTA(C92:C1644)=0,"",SUM((COUNTIF(C$4:C92,Upgrades!$B$3:$B$13)-COUNTIF(C$4:C92,"Sell_"&amp;Upgrades!$B$3:$B$13))*Upgrades!$D$3:$D$13))</f>
        <v>48965.1</v>
      </c>
      <c r="F92" s="66">
        <f>IFERROR(__xludf.DUMMYFUNCTION("IF(COUNTA(C92:C1644)=0,"""",IF(REGEXMATCH(INDEX(FILTER(C$4:C92,C$4:C92&lt;&gt;""""),ROWS(FILTER(C$4:C92,C$4:C92&lt;&gt;""""))),""^Sell_""),INDEX(FILTER(F$4:F91,C$4:C91&lt;&gt;""""),ROWS(FILTER(C$4:C91,C$4:C91&lt;&gt;""""))),$AC$5+E92))"),48975.1)</f>
        <v>48975.1</v>
      </c>
      <c r="G92" s="10">
        <f>IFERROR(__xludf.DUMMYFUNCTION("IF(COUNTA(C92:C1644)=0,"""",IF(C92="""",0,IF(REGEXMATCH(C92,""^Sell_""),-ROUNDDOWN(ROUNDUP(INDEX(Upgrades!$C$3:$C$13,MATCH(SUBSTITUTE(C92,""Sell_"",""""),Upgrades!$B$3:$B$13,0))*1.15^(COUNTIF(C$4:C91,SUBSTITUTE(C92,""Sell_"",""""))-COUNTIF(C$4:C91,""Sell_"&amp;"""&amp;SUBSTITUTE(C92,""Sell_"",""""))))/2),ROUNDUP(INDEX(Upgrades!$C$3:$C$13,MATCH(C92,Upgrades!$B$3:$B$13,0))*1.15^(COUNTIF(C$4:C91,C92)-COUNTIF(C$4:C91,""Sell_""&amp;C92))))))"),3855100.0)</f>
        <v>3855100</v>
      </c>
      <c r="H92" s="10">
        <f t="shared" si="3"/>
        <v>3855100</v>
      </c>
      <c r="I92" s="68">
        <f t="shared" si="4"/>
        <v>3607.969893</v>
      </c>
      <c r="J92" s="59" t="str">
        <f t="shared" si="5"/>
        <v>1h 00m 07s</v>
      </c>
      <c r="K92" s="69">
        <f t="shared" si="6"/>
        <v>20211769</v>
      </c>
      <c r="L92" s="60">
        <f t="shared" si="7"/>
        <v>-36.45656</v>
      </c>
      <c r="M92" s="61">
        <f>IFERROR(__xludf.DUMMYFUNCTION("IFS(AND(COUNTA(C92:C1644)=0,COUNTA(Q92:Q1644)=0),"""",OR(AND(K92&gt;=1000000000,OR(Y92&gt;=1000000000,COUNTA(Q92:Q1644)=0)),OR(Y92&gt;=1000000000,AND(COUNTA(C92:C1644)=0,P$3=TRUE))),
ROUNDDOWN((AB$1-AC$1)*MAX(INDEX(T$4:T1644,MATCH(LARGE(FILTER(Y$4:Y1644,Y$4:Y1644&lt;"&amp;"1000000000),1),Y$4:Y1644)),INDEX(F$4:F1644,MATCH(LARGE(FILTER(K$4:K1644,K$4:K1644&lt;1000000000),1),K$4:K1644)))),AND(K92&lt;1000000000,COUNTA(C92:C1644)&gt;0,P$3=FALSE),
ROUNDDOWN(INDEX(Y$4:Y1644,MATCH(LARGE(FILTER(W$4:W1644,W$4:W1644&lt;=I92),1),W$4:W1644))+(I92-LA"&amp;"RGE(FILTER(W$4:W1644,W$4:W1644&lt;=I92),1))*INDEX(T$4:T1644,MATCH(LARGE(FILTER(W$4:W1644,W$4:W1644&lt;=I92),1),W$4:W1644))-K92),1,
ROUNDDOWN(Y92-INDEX(K$4:K1644,MATCH(LARGE(FILTER(I$4:I1644,I$4:I1644&lt;=W92),1),I$4:I1644))-(W92-LARGE(FILTER(I$4:I1644,I$4:I1644&lt;=W"&amp;"92),1))*INDEX(F$4:F1644,MATCH(LARGE(FILTER(I$4:I1644,I$4:I1644&lt;=W92),1),I$4:I1644))))"),1766661.0)</f>
        <v>1766661</v>
      </c>
      <c r="N92" s="60">
        <f t="shared" si="8"/>
        <v>-36.45656</v>
      </c>
      <c r="O92" s="61" t="str">
        <f t="shared" si="9"/>
        <v>1,8M</v>
      </c>
      <c r="P92" s="56">
        <f t="shared" si="10"/>
        <v>10</v>
      </c>
      <c r="Q92" s="67" t="s">
        <v>61</v>
      </c>
      <c r="R92" s="10" t="b">
        <f>IFERROR(__xludf.DUMMYFUNCTION("IF(COUNTA(Q92:Q1644)=0,"""",IF(ISBLANK(Q92),FALSE,IF(NOT(COUNTIF($AA$24:$AA$34,SUBSTITUTE(Q92,""Sell_"",""""))),1,IF(REGEXMATCH(Q92,""Sell_""),IF(COUNTIF(Q$4:Q92,SUBSTITUTE(Q92,""Sell_"",""""))-COUNTIF(Q$4:Q91,Q92)&lt;1,1),FALSE))))"),FALSE)</f>
        <v>0</v>
      </c>
      <c r="S92" s="59">
        <f t="array" ref="S92">IF(COUNTA(Q92:Q1644)=0,"",SUM((COUNTIF(Q$4:Q92,Upgrades!$B$3:$B$13)-COUNTIF(Q$4:Q92,"Sell_"&amp;Upgrades!$B$3:$B$13))*Upgrades!$D$3:$D$13))</f>
        <v>13838.8</v>
      </c>
      <c r="T92" s="66">
        <f>IFERROR(__xludf.DUMMYFUNCTION("IF(COUNTA(Q92:Q1644)=0,"""",IF(REGEXMATCH(INDEX(FILTER(Q$4:Q92,Q$4:Q92&lt;&gt;""""),ROWS(FILTER(Q$4:Q92,Q$4:Q92&lt;&gt;""""))),""^Sell_""),INDEX(FILTER(T$4:T91,Q$4:Q91&lt;&gt;""""),ROWS(FILTER(Q$4:Q91,Q$4:Q91&lt;&gt;""""))),$AD$5+S92))"),14048.8)</f>
        <v>14048.8</v>
      </c>
      <c r="U92" s="10">
        <f>IFERROR(__xludf.DUMMYFUNCTION("IF(COUNTA(Q92:Q1644)=0,"""",IF(Q92="""",0,IF(REGEXMATCH(Q92,""^Sell_""),-ROUNDDOWN(ROUNDUP(INDEX(Upgrades!$C$3:$C$13,MATCH(SUBSTITUTE(Q92,""Sell_"",""""),Upgrades!$B$3:$B$13,0))*1.15^(COUNTIF(Q$4:Q91,SUBSTITUTE(Q92,""Sell_"",""""))-COUNTIF(Q$4:Q91,""Sell_"&amp;"""&amp;SUBSTITUTE(Q92,""Sell_"",""""))))/2),ROUNDUP(INDEX(Upgrades!$C$3:$C$13,MATCH(Q92,Upgrades!$B$3:$B$13,0))*1.15^(COUNTIF(Q$4:Q91,Q92)-COUNTIF(Q$4:Q91,""Sell_""&amp;Q92))))))"),-23000.0)</f>
        <v>-23000</v>
      </c>
      <c r="V92" s="10">
        <f t="shared" si="11"/>
        <v>-49450</v>
      </c>
      <c r="W92" s="68">
        <f t="shared" si="12"/>
        <v>2978.142425</v>
      </c>
      <c r="X92" s="59" t="str">
        <f t="shared" si="13"/>
        <v>49m 38s</v>
      </c>
      <c r="Y92" s="69">
        <f t="shared" si="14"/>
        <v>4599939</v>
      </c>
      <c r="Z92" s="11"/>
      <c r="AG92" s="59"/>
    </row>
    <row r="93">
      <c r="A93" s="8"/>
      <c r="B93" s="56">
        <f t="shared" si="2"/>
        <v>8</v>
      </c>
      <c r="C93" s="67" t="s">
        <v>10</v>
      </c>
      <c r="D93" s="10" t="b">
        <f>IFERROR(__xludf.DUMMYFUNCTION("IF(COUNTA(C93:C1644)=0,"""",IF(ISBLANK(C93),FALSE,IF(NOT(COUNTIF($AA$24:$AA$34,SUBSTITUTE(C93,""Sell_"",""""))),1,IF(REGEXMATCH(C93,""Sell_""),IF(COUNTIF(C$4:C93,SUBSTITUTE(C93,""Sell_"",""""))-COUNTIF(C$4:C92,C93)&lt;1,1),FALSE))))"),FALSE)</f>
        <v>0</v>
      </c>
      <c r="E93" s="59">
        <f t="array" ref="E93">IF(COUNTA(C93:C1644)=0,"",SUM((COUNTIF(C$4:C93,Upgrades!$B$3:$B$13)-COUNTIF(C$4:C93,"Sell_"&amp;Upgrades!$B$3:$B$13))*Upgrades!$D$3:$D$13))</f>
        <v>55631.1</v>
      </c>
      <c r="F93" s="66">
        <f>IFERROR(__xludf.DUMMYFUNCTION("IF(COUNTA(C93:C1644)=0,"""",IF(REGEXMATCH(INDEX(FILTER(C$4:C93,C$4:C93&lt;&gt;""""),ROWS(FILTER(C$4:C93,C$4:C93&lt;&gt;""""))),""^Sell_""),INDEX(FILTER(F$4:F92,C$4:C92&lt;&gt;""""),ROWS(FILTER(C$4:C92,C$4:C92&lt;&gt;""""))),$AC$5+E93))"),55641.1)</f>
        <v>55641.1</v>
      </c>
      <c r="G93" s="10">
        <f>IFERROR(__xludf.DUMMYFUNCTION("IF(COUNTA(C93:C1644)=0,"""",IF(C93="""",0,IF(REGEXMATCH(C93,""^Sell_""),-ROUNDDOWN(ROUNDUP(INDEX(Upgrades!$C$3:$C$13,MATCH(SUBSTITUTE(C93,""Sell_"",""""),Upgrades!$B$3:$B$13,0))*1.15^(COUNTIF(C$4:C92,SUBSTITUTE(C93,""Sell_"",""""))-COUNTIF(C$4:C92,""Sell_"&amp;"""&amp;SUBSTITUTE(C93,""Sell_"",""""))))/2),ROUNDUP(INDEX(Upgrades!$C$3:$C$13,MATCH(C93,Upgrades!$B$3:$B$13,0))*1.15^(COUNTIF(C$4:C92,C93)-COUNTIF(C$4:C92,""Sell_""&amp;C93))))))"),4433365.0)</f>
        <v>4433365</v>
      </c>
      <c r="H93" s="10">
        <f t="shared" si="3"/>
        <v>4433365</v>
      </c>
      <c r="I93" s="68">
        <f t="shared" si="4"/>
        <v>3698.49273</v>
      </c>
      <c r="J93" s="59" t="str">
        <f t="shared" si="5"/>
        <v>1h 01m 38s</v>
      </c>
      <c r="K93" s="69">
        <f t="shared" si="6"/>
        <v>24645134</v>
      </c>
      <c r="L93" s="60">
        <f t="shared" si="7"/>
        <v>-35.96538</v>
      </c>
      <c r="M93" s="61">
        <f>IFERROR(__xludf.DUMMYFUNCTION("IFS(AND(COUNTA(C93:C1644)=0,COUNTA(Q93:Q1644)=0),"""",OR(AND(K93&gt;=1000000000,OR(Y93&gt;=1000000000,COUNTA(Q93:Q1644)=0)),OR(Y93&gt;=1000000000,AND(COUNTA(C93:C1644)=0,P$3=TRUE))),
ROUNDDOWN((AB$1-AC$1)*MAX(INDEX(T$4:T1644,MATCH(LARGE(FILTER(Y$4:Y1644,Y$4:Y1644&lt;"&amp;"1000000000),1),Y$4:Y1644)),INDEX(F$4:F1644,MATCH(LARGE(FILTER(K$4:K1644,K$4:K1644&lt;1000000000),1),K$4:K1644)))),AND(K93&lt;1000000000,COUNTA(C93:C1644)&gt;0,P$3=FALSE),
ROUNDDOWN(INDEX(Y$4:Y1644,MATCH(LARGE(FILTER(W$4:W1644,W$4:W1644&lt;=I93),1),W$4:W1644))+(I93-LA"&amp;"RGE(FILTER(W$4:W1644,W$4:W1644&lt;=I93),1))*INDEX(T$4:T1644,MATCH(LARGE(FILTER(W$4:W1644,W$4:W1644&lt;=I93),1),W$4:W1644))-K93),1,
ROUNDDOWN(Y93-INDEX(K$4:K1644,MATCH(LARGE(FILTER(I$4:I1644,I$4:I1644&lt;=W93),1),I$4:I1644))-(W93-LARGE(FILTER(I$4:I1644,I$4:I1644&lt;=W"&amp;"93),1))*INDEX(F$4:F1644,MATCH(LARGE(FILTER(I$4:I1644,I$4:I1644&lt;=W93),1),I$4:I1644))))"),1988711.0)</f>
        <v>1988711</v>
      </c>
      <c r="N93" s="60">
        <f t="shared" si="8"/>
        <v>-35.96538</v>
      </c>
      <c r="O93" s="61" t="str">
        <f t="shared" si="9"/>
        <v>2,0M</v>
      </c>
      <c r="P93" s="56">
        <f t="shared" si="10"/>
        <v>3</v>
      </c>
      <c r="Q93" s="67" t="s">
        <v>10</v>
      </c>
      <c r="R93" s="10" t="b">
        <f>IFERROR(__xludf.DUMMYFUNCTION("IF(COUNTA(Q93:Q1644)=0,"""",IF(ISBLANK(Q93),FALSE,IF(NOT(COUNTIF($AA$24:$AA$34,SUBSTITUTE(Q93,""Sell_"",""""))),1,IF(REGEXMATCH(Q93,""Sell_""),IF(COUNTIF(Q$4:Q93,SUBSTITUTE(Q93,""Sell_"",""""))-COUNTIF(Q$4:Q92,Q93)&lt;1,1),FALSE))))"),FALSE)</f>
        <v>0</v>
      </c>
      <c r="S93" s="59">
        <f t="array" ref="S93">IF(COUNTA(Q93:Q1644)=0,"",SUM((COUNTIF(Q$4:Q93,Upgrades!$B$3:$B$13)-COUNTIF(Q$4:Q93,"Sell_"&amp;Upgrades!$B$3:$B$13))*Upgrades!$D$3:$D$13))</f>
        <v>20504.8</v>
      </c>
      <c r="T93" s="66">
        <f>IFERROR(__xludf.DUMMYFUNCTION("IF(COUNTA(Q93:Q1644)=0,"""",IF(REGEXMATCH(INDEX(FILTER(Q$4:Q93,Q$4:Q93&lt;&gt;""""),ROWS(FILTER(Q$4:Q93,Q$4:Q93&lt;&gt;""""))),""^Sell_""),INDEX(FILTER(T$4:T92,Q$4:Q92&lt;&gt;""""),ROWS(FILTER(Q$4:Q92,Q$4:Q92&lt;&gt;""""))),$AD$5+S93))"),20514.8)</f>
        <v>20514.8</v>
      </c>
      <c r="U93" s="10">
        <f>IFERROR(__xludf.DUMMYFUNCTION("IF(COUNTA(Q93:Q1644)=0,"""",IF(Q93="""",0,IF(REGEXMATCH(Q93,""^Sell_""),-ROUNDDOWN(ROUNDUP(INDEX(Upgrades!$C$3:$C$13,MATCH(SUBSTITUTE(Q93,""Sell_"",""""),Upgrades!$B$3:$B$13,0))*1.15^(COUNTIF(Q$4:Q92,SUBSTITUTE(Q93,""Sell_"",""""))-COUNTIF(Q$4:Q92,""Sell_"&amp;"""&amp;SUBSTITUTE(Q93,""Sell_"",""""))))/2),ROUNDUP(INDEX(Upgrades!$C$3:$C$13,MATCH(Q93,Upgrades!$B$3:$B$13,0))*1.15^(COUNTIF(Q$4:Q92,Q93)-COUNTIF(Q$4:Q92,""Sell_""&amp;Q93))))))"),2204166.0)</f>
        <v>2204166</v>
      </c>
      <c r="V93" s="10">
        <f t="shared" si="11"/>
        <v>2154716</v>
      </c>
      <c r="W93" s="68">
        <f t="shared" si="12"/>
        <v>3131.516094</v>
      </c>
      <c r="X93" s="59" t="str">
        <f t="shared" si="13"/>
        <v>52m 11s</v>
      </c>
      <c r="Y93" s="69">
        <f t="shared" si="14"/>
        <v>6754655</v>
      </c>
      <c r="Z93" s="11"/>
      <c r="AG93" s="59"/>
    </row>
    <row r="94">
      <c r="A94" s="8"/>
      <c r="B94" s="56">
        <f t="shared" si="2"/>
        <v>9</v>
      </c>
      <c r="C94" s="67" t="s">
        <v>10</v>
      </c>
      <c r="D94" s="10" t="b">
        <f>IFERROR(__xludf.DUMMYFUNCTION("IF(COUNTA(C94:C1644)=0,"""",IF(ISBLANK(C94),FALSE,IF(NOT(COUNTIF($AA$24:$AA$34,SUBSTITUTE(C94,""Sell_"",""""))),1,IF(REGEXMATCH(C94,""Sell_""),IF(COUNTIF(C$4:C94,SUBSTITUTE(C94,""Sell_"",""""))-COUNTIF(C$4:C93,C94)&lt;1,1),FALSE))))"),FALSE)</f>
        <v>0</v>
      </c>
      <c r="E94" s="59">
        <f t="array" ref="E94">IF(COUNTA(C94:C1644)=0,"",SUM((COUNTIF(C$4:C94,Upgrades!$B$3:$B$13)-COUNTIF(C$4:C94,"Sell_"&amp;Upgrades!$B$3:$B$13))*Upgrades!$D$3:$D$13))</f>
        <v>62297.1</v>
      </c>
      <c r="F94" s="66">
        <f>IFERROR(__xludf.DUMMYFUNCTION("IF(COUNTA(C94:C1644)=0,"""",IF(REGEXMATCH(INDEX(FILTER(C$4:C94,C$4:C94&lt;&gt;""""),ROWS(FILTER(C$4:C94,C$4:C94&lt;&gt;""""))),""^Sell_""),INDEX(FILTER(F$4:F93,C$4:C93&lt;&gt;""""),ROWS(FILTER(C$4:C93,C$4:C93&lt;&gt;""""))),$AC$5+E94))"),62307.1)</f>
        <v>62307.1</v>
      </c>
      <c r="G94" s="10">
        <f>IFERROR(__xludf.DUMMYFUNCTION("IF(COUNTA(C94:C1644)=0,"""",IF(C94="""",0,IF(REGEXMATCH(C94,""^Sell_""),-ROUNDDOWN(ROUNDUP(INDEX(Upgrades!$C$3:$C$13,MATCH(SUBSTITUTE(C94,""Sell_"",""""),Upgrades!$B$3:$B$13,0))*1.15^(COUNTIF(C$4:C93,SUBSTITUTE(C94,""Sell_"",""""))-COUNTIF(C$4:C93,""Sell_"&amp;"""&amp;SUBSTITUTE(C94,""Sell_"",""""))))/2),ROUNDUP(INDEX(Upgrades!$C$3:$C$13,MATCH(C94,Upgrades!$B$3:$B$13,0))*1.15^(COUNTIF(C$4:C93,C94)-COUNTIF(C$4:C93,""Sell_""&amp;C94))))))"),5098370.0)</f>
        <v>5098370</v>
      </c>
      <c r="H94" s="10">
        <f t="shared" si="3"/>
        <v>5098370</v>
      </c>
      <c r="I94" s="68">
        <f t="shared" si="4"/>
        <v>3790.122299</v>
      </c>
      <c r="J94" s="59" t="str">
        <f t="shared" si="5"/>
        <v>1h 03m 10s</v>
      </c>
      <c r="K94" s="69">
        <f t="shared" si="6"/>
        <v>29743504</v>
      </c>
      <c r="L94" s="60">
        <f t="shared" si="7"/>
        <v>-36.14433</v>
      </c>
      <c r="M94" s="61">
        <f>IFERROR(__xludf.DUMMYFUNCTION("IFS(AND(COUNTA(C94:C1644)=0,COUNTA(Q94:Q1644)=0),"""",OR(AND(K94&gt;=1000000000,OR(Y94&gt;=1000000000,COUNTA(Q94:Q1644)=0)),OR(Y94&gt;=1000000000,AND(COUNTA(C94:C1644)=0,P$3=TRUE))),
ROUNDDOWN((AB$1-AC$1)*MAX(INDEX(T$4:T1644,MATCH(LARGE(FILTER(Y$4:Y1644,Y$4:Y1644&lt;"&amp;"1000000000),1),Y$4:Y1644)),INDEX(F$4:F1644,MATCH(LARGE(FILTER(K$4:K1644,K$4:K1644&lt;1000000000),1),K$4:K1644)))),AND(K94&lt;1000000000,COUNTA(C94:C1644)&gt;0,P$3=FALSE),
ROUNDDOWN(INDEX(Y$4:Y1644,MATCH(LARGE(FILTER(W$4:W1644,W$4:W1644&lt;=I94),1),W$4:W1644))+(I94-LA"&amp;"RGE(FILTER(W$4:W1644,W$4:W1644&lt;=I94),1))*INDEX(T$4:T1644,MATCH(LARGE(FILTER(W$4:W1644,W$4:W1644&lt;=I94),1),W$4:W1644))-K94),1,
ROUNDDOWN(Y94-INDEX(K$4:K1644,MATCH(LARGE(FILTER(I$4:I1644,I$4:I1644&lt;=W94),1),I$4:I1644))-(W94-LARGE(FILTER(I$4:I1644,I$4:I1644&lt;=W"&amp;"94),1))*INDEX(F$4:F1644,MATCH(LARGE(FILTER(I$4:I1644,I$4:I1644&lt;=W94),1),I$4:I1644))))"),2212546.0)</f>
        <v>2212546</v>
      </c>
      <c r="N94" s="60">
        <f t="shared" si="8"/>
        <v>-36.14433</v>
      </c>
      <c r="O94" s="61" t="str">
        <f t="shared" si="9"/>
        <v>2,2M</v>
      </c>
      <c r="P94" s="56">
        <f t="shared" si="10"/>
        <v>1</v>
      </c>
      <c r="Q94" s="67" t="s">
        <v>8</v>
      </c>
      <c r="R94" s="10" t="b">
        <f>IFERROR(__xludf.DUMMYFUNCTION("IF(COUNTA(Q94:Q1644)=0,"""",IF(ISBLANK(Q94),FALSE,IF(NOT(COUNTIF($AA$24:$AA$34,SUBSTITUTE(Q94,""Sell_"",""""))),1,IF(REGEXMATCH(Q94,""Sell_""),IF(COUNTIF(Q$4:Q94,SUBSTITUTE(Q94,""Sell_"",""""))-COUNTIF(Q$4:Q93,Q94)&lt;1,1),FALSE))))"),FALSE)</f>
        <v>0</v>
      </c>
      <c r="S94" s="59">
        <f t="array" ref="S94">IF(COUNTA(Q94:Q1644)=0,"",SUM((COUNTIF(Q$4:Q94,Upgrades!$B$3:$B$13)-COUNTIF(Q$4:Q94,"Sell_"&amp;Upgrades!$B$3:$B$13))*Upgrades!$D$3:$D$13))</f>
        <v>20604.8</v>
      </c>
      <c r="T94" s="66">
        <f>IFERROR(__xludf.DUMMYFUNCTION("IF(COUNTA(Q94:Q1644)=0,"""",IF(REGEXMATCH(INDEX(FILTER(Q$4:Q94,Q$4:Q94&lt;&gt;""""),ROWS(FILTER(Q$4:Q94,Q$4:Q94&lt;&gt;""""))),""^Sell_""),INDEX(FILTER(T$4:T93,Q$4:Q93&lt;&gt;""""),ROWS(FILTER(Q$4:Q93,Q$4:Q93&lt;&gt;""""))),$AD$5+S94))"),20614.8)</f>
        <v>20614.8</v>
      </c>
      <c r="U94" s="10">
        <f>IFERROR(__xludf.DUMMYFUNCTION("IF(COUNTA(Q94:Q1644)=0,"""",IF(Q94="""",0,IF(REGEXMATCH(Q94,""^Sell_""),-ROUNDDOWN(ROUNDUP(INDEX(Upgrades!$C$3:$C$13,MATCH(SUBSTITUTE(Q94,""Sell_"",""""),Upgrades!$B$3:$B$13,0))*1.15^(COUNTIF(Q$4:Q93,SUBSTITUTE(Q94,""Sell_"",""""))-COUNTIF(Q$4:Q93,""Sell_"&amp;"""&amp;SUBSTITUTE(Q94,""Sell_"",""""))))/2),ROUNDUP(INDEX(Upgrades!$C$3:$C$13,MATCH(Q94,Upgrades!$B$3:$B$13,0))*1.15^(COUNTIF(Q$4:Q93,Q94)-COUNTIF(Q$4:Q93,""Sell_""&amp;Q94))))))"),40000.0)</f>
        <v>40000</v>
      </c>
      <c r="V94" s="10">
        <f t="shared" si="11"/>
        <v>40000</v>
      </c>
      <c r="W94" s="68">
        <f t="shared" si="12"/>
        <v>3133.465906</v>
      </c>
      <c r="X94" s="59" t="str">
        <f t="shared" si="13"/>
        <v>52m 13s</v>
      </c>
      <c r="Y94" s="69">
        <f t="shared" si="14"/>
        <v>6794655</v>
      </c>
      <c r="Z94" s="11"/>
      <c r="AG94" s="59"/>
    </row>
    <row r="95">
      <c r="A95" s="8"/>
      <c r="B95" s="56">
        <f t="shared" si="2"/>
        <v>10</v>
      </c>
      <c r="C95" s="67" t="s">
        <v>7</v>
      </c>
      <c r="D95" s="10" t="b">
        <f>IFERROR(__xludf.DUMMYFUNCTION("IF(COUNTA(C95:C1644)=0,"""",IF(ISBLANK(C95),FALSE,IF(NOT(COUNTIF($AA$24:$AA$34,SUBSTITUTE(C95,""Sell_"",""""))),1,IF(REGEXMATCH(C95,""Sell_""),IF(COUNTIF(C$4:C95,SUBSTITUTE(C95,""Sell_"",""""))-COUNTIF(C$4:C94,C95)&lt;1,1),FALSE))))"),FALSE)</f>
        <v>0</v>
      </c>
      <c r="E95" s="59">
        <f t="array" ref="E95">IF(COUNTA(C95:C1644)=0,"",SUM((COUNTIF(C$4:C95,Upgrades!$B$3:$B$13)-COUNTIF(C$4:C95,"Sell_"&amp;Upgrades!$B$3:$B$13))*Upgrades!$D$3:$D$13))</f>
        <v>62337.1</v>
      </c>
      <c r="F95" s="66">
        <f>IFERROR(__xludf.DUMMYFUNCTION("IF(COUNTA(C95:C1644)=0,"""",IF(REGEXMATCH(INDEX(FILTER(C$4:C95,C$4:C95&lt;&gt;""""),ROWS(FILTER(C$4:C95,C$4:C95&lt;&gt;""""))),""^Sell_""),INDEX(FILTER(F$4:F94,C$4:C94&lt;&gt;""""),ROWS(FILTER(C$4:C94,C$4:C94&lt;&gt;""""))),$AC$5+E95))"),62347.1)</f>
        <v>62347.1</v>
      </c>
      <c r="G95" s="10">
        <f>IFERROR(__xludf.DUMMYFUNCTION("IF(COUNTA(C95:C1644)=0,"""",IF(C95="""",0,IF(REGEXMATCH(C95,""^Sell_""),-ROUNDDOWN(ROUNDUP(INDEX(Upgrades!$C$3:$C$13,MATCH(SUBSTITUTE(C95,""Sell_"",""""),Upgrades!$B$3:$B$13,0))*1.15^(COUNTIF(C$4:C94,SUBSTITUTE(C95,""Sell_"",""""))-COUNTIF(C$4:C94,""Sell_"&amp;"""&amp;SUBSTITUTE(C95,""Sell_"",""""))))/2),ROUNDUP(INDEX(Upgrades!$C$3:$C$13,MATCH(C95,Upgrades!$B$3:$B$13,0))*1.15^(COUNTIF(C$4:C94,C95)-COUNTIF(C$4:C94,""Sell_""&amp;C95))))))"),35179.0)</f>
        <v>35179</v>
      </c>
      <c r="H95" s="10">
        <f t="shared" si="3"/>
        <v>35179</v>
      </c>
      <c r="I95" s="68">
        <f t="shared" si="4"/>
        <v>3790.686906</v>
      </c>
      <c r="J95" s="59" t="str">
        <f t="shared" si="5"/>
        <v>1h 03m 10s</v>
      </c>
      <c r="K95" s="69">
        <f t="shared" si="6"/>
        <v>29778683</v>
      </c>
      <c r="L95" s="60">
        <f t="shared" si="7"/>
        <v>-36.08124</v>
      </c>
      <c r="M95" s="61">
        <f>IFERROR(__xludf.DUMMYFUNCTION("IFS(AND(COUNTA(C95:C1644)=0,COUNTA(Q95:Q1644)=0),"""",OR(AND(K95&gt;=1000000000,OR(Y95&gt;=1000000000,COUNTA(Q95:Q1644)=0)),OR(Y95&gt;=1000000000,AND(COUNTA(C95:C1644)=0,P$3=TRUE))),
ROUNDDOWN((AB$1-AC$1)*MAX(INDEX(T$4:T1644,MATCH(LARGE(FILTER(Y$4:Y1644,Y$4:Y1644&lt;"&amp;"1000000000),1),Y$4:Y1644)),INDEX(F$4:F1644,MATCH(LARGE(FILTER(K$4:K1644,K$4:K1644&lt;1000000000),1),K$4:K1644)))),AND(K95&lt;1000000000,COUNTA(C95:C1644)&gt;0,P$3=FALSE),
ROUNDDOWN(INDEX(Y$4:Y1644,MATCH(LARGE(FILTER(W$4:W1644,W$4:W1644&lt;=I95),1),W$4:W1644))+(I95-LA"&amp;"RGE(FILTER(W$4:W1644,W$4:W1644&lt;=I95),1))*INDEX(T$4:T1644,MATCH(LARGE(FILTER(W$4:W1644,W$4:W1644&lt;=I95),1),W$4:W1644))-K95),1,
ROUNDDOWN(Y95-INDEX(K$4:K1644,MATCH(LARGE(FILTER(I$4:I1644,I$4:I1644&lt;=W95),1),I$4:I1644))-(W95-LARGE(FILTER(I$4:I1644,I$4:I1644&lt;=W"&amp;"95),1))*INDEX(F$4:F1644,MATCH(LARGE(FILTER(I$4:I1644,I$4:I1644&lt;=W95),1),I$4:I1644))))"),2213085.0)</f>
        <v>2213085</v>
      </c>
      <c r="N95" s="60">
        <f t="shared" si="8"/>
        <v>-36.08124</v>
      </c>
      <c r="O95" s="61" t="str">
        <f t="shared" si="9"/>
        <v>2,2M</v>
      </c>
      <c r="P95" s="56">
        <f t="shared" si="10"/>
        <v>2</v>
      </c>
      <c r="Q95" s="67" t="s">
        <v>8</v>
      </c>
      <c r="R95" s="10" t="b">
        <f>IFERROR(__xludf.DUMMYFUNCTION("IF(COUNTA(Q95:Q1644)=0,"""",IF(ISBLANK(Q95),FALSE,IF(NOT(COUNTIF($AA$24:$AA$34,SUBSTITUTE(Q95,""Sell_"",""""))),1,IF(REGEXMATCH(Q95,""Sell_""),IF(COUNTIF(Q$4:Q95,SUBSTITUTE(Q95,""Sell_"",""""))-COUNTIF(Q$4:Q94,Q95)&lt;1,1),FALSE))))"),FALSE)</f>
        <v>0</v>
      </c>
      <c r="S95" s="59">
        <f t="array" ref="S95">IF(COUNTA(Q95:Q1644)=0,"",SUM((COUNTIF(Q$4:Q95,Upgrades!$B$3:$B$13)-COUNTIF(Q$4:Q95,"Sell_"&amp;Upgrades!$B$3:$B$13))*Upgrades!$D$3:$D$13))</f>
        <v>20704.8</v>
      </c>
      <c r="T95" s="66">
        <f>IFERROR(__xludf.DUMMYFUNCTION("IF(COUNTA(Q95:Q1644)=0,"""",IF(REGEXMATCH(INDEX(FILTER(Q$4:Q95,Q$4:Q95&lt;&gt;""""),ROWS(FILTER(Q$4:Q95,Q$4:Q95&lt;&gt;""""))),""^Sell_""),INDEX(FILTER(T$4:T94,Q$4:Q94&lt;&gt;""""),ROWS(FILTER(Q$4:Q94,Q$4:Q94&lt;&gt;""""))),$AD$5+S95))"),20714.8)</f>
        <v>20714.8</v>
      </c>
      <c r="U95" s="10">
        <f>IFERROR(__xludf.DUMMYFUNCTION("IF(COUNTA(Q95:Q1644)=0,"""",IF(Q95="""",0,IF(REGEXMATCH(Q95,""^Sell_""),-ROUNDDOWN(ROUNDUP(INDEX(Upgrades!$C$3:$C$13,MATCH(SUBSTITUTE(Q95,""Sell_"",""""),Upgrades!$B$3:$B$13,0))*1.15^(COUNTIF(Q$4:Q94,SUBSTITUTE(Q95,""Sell_"",""""))-COUNTIF(Q$4:Q94,""Sell_"&amp;"""&amp;SUBSTITUTE(Q95,""Sell_"",""""))))/2),ROUNDUP(INDEX(Upgrades!$C$3:$C$13,MATCH(Q95,Upgrades!$B$3:$B$13,0))*1.15^(COUNTIF(Q$4:Q94,Q95)-COUNTIF(Q$4:Q94,""Sell_""&amp;Q95))))))"),46000.0)</f>
        <v>46000</v>
      </c>
      <c r="V95" s="10">
        <f t="shared" si="11"/>
        <v>46000</v>
      </c>
      <c r="W95" s="68">
        <f t="shared" si="12"/>
        <v>3135.697312</v>
      </c>
      <c r="X95" s="59" t="str">
        <f t="shared" si="13"/>
        <v>52m 15s</v>
      </c>
      <c r="Y95" s="69">
        <f t="shared" si="14"/>
        <v>6840655</v>
      </c>
      <c r="Z95" s="11"/>
      <c r="AG95" s="59"/>
    </row>
    <row r="96">
      <c r="A96" s="8"/>
      <c r="B96" s="56">
        <f t="shared" si="2"/>
        <v>4</v>
      </c>
      <c r="C96" s="67" t="s">
        <v>9</v>
      </c>
      <c r="D96" s="10" t="b">
        <f>IFERROR(__xludf.DUMMYFUNCTION("IF(COUNTA(C96:C1644)=0,"""",IF(ISBLANK(C96),FALSE,IF(NOT(COUNTIF($AA$24:$AA$34,SUBSTITUTE(C96,""Sell_"",""""))),1,IF(REGEXMATCH(C96,""Sell_""),IF(COUNTIF(C$4:C96,SUBSTITUTE(C96,""Sell_"",""""))-COUNTIF(C$4:C95,C96)&lt;1,1),FALSE))))"),FALSE)</f>
        <v>0</v>
      </c>
      <c r="E96" s="59">
        <f t="array" ref="E96">IF(COUNTA(C96:C1644)=0,"",SUM((COUNTIF(C$4:C96,Upgrades!$B$3:$B$13)-COUNTIF(C$4:C96,"Sell_"&amp;Upgrades!$B$3:$B$13))*Upgrades!$D$3:$D$13))</f>
        <v>62737.1</v>
      </c>
      <c r="F96" s="66">
        <f>IFERROR(__xludf.DUMMYFUNCTION("IF(COUNTA(C96:C1644)=0,"""",IF(REGEXMATCH(INDEX(FILTER(C$4:C96,C$4:C96&lt;&gt;""""),ROWS(FILTER(C$4:C96,C$4:C96&lt;&gt;""""))),""^Sell_""),INDEX(FILTER(F$4:F95,C$4:C95&lt;&gt;""""),ROWS(FILTER(C$4:C95,C$4:C95&lt;&gt;""""))),$AC$5+E96))"),62747.1)</f>
        <v>62747.1</v>
      </c>
      <c r="G96" s="10">
        <f>IFERROR(__xludf.DUMMYFUNCTION("IF(COUNTA(C96:C1644)=0,"""",IF(C96="""",0,IF(REGEXMATCH(C96,""^Sell_""),-ROUNDDOWN(ROUNDUP(INDEX(Upgrades!$C$3:$C$13,MATCH(SUBSTITUTE(C96,""Sell_"",""""),Upgrades!$B$3:$B$13,0))*1.15^(COUNTIF(C$4:C95,SUBSTITUTE(C96,""Sell_"",""""))-COUNTIF(C$4:C95,""Sell_"&amp;"""&amp;SUBSTITUTE(C96,""Sell_"",""""))))/2),ROUNDUP(INDEX(Upgrades!$C$3:$C$13,MATCH(C96,Upgrades!$B$3:$B$13,0))*1.15^(COUNTIF(C$4:C95,C96)-COUNTIF(C$4:C95,""Sell_""&amp;C96))))))"),304175.0)</f>
        <v>304175</v>
      </c>
      <c r="H96" s="10">
        <f t="shared" si="3"/>
        <v>304175</v>
      </c>
      <c r="I96" s="68">
        <f t="shared" si="4"/>
        <v>3795.565641</v>
      </c>
      <c r="J96" s="59" t="str">
        <f t="shared" si="5"/>
        <v>1h 03m 15s</v>
      </c>
      <c r="K96" s="69">
        <f t="shared" si="6"/>
        <v>30082858</v>
      </c>
      <c r="L96" s="60">
        <f t="shared" si="7"/>
        <v>-35.53262</v>
      </c>
      <c r="M96" s="61">
        <f>IFERROR(__xludf.DUMMYFUNCTION("IFS(AND(COUNTA(C96:C1644)=0,COUNTA(Q96:Q1644)=0),"""",OR(AND(K96&gt;=1000000000,OR(Y96&gt;=1000000000,COUNTA(Q96:Q1644)=0)),OR(Y96&gt;=1000000000,AND(COUNTA(C96:C1644)=0,P$3=TRUE))),
ROUNDDOWN((AB$1-AC$1)*MAX(INDEX(T$4:T1644,MATCH(LARGE(FILTER(Y$4:Y1644,Y$4:Y1644&lt;"&amp;"1000000000),1),Y$4:Y1644)),INDEX(F$4:F1644,MATCH(LARGE(FILTER(K$4:K1644,K$4:K1644&lt;1000000000),1),K$4:K1644)))),AND(K96&lt;1000000000,COUNTA(C96:C1644)&gt;0,P$3=FALSE),
ROUNDDOWN(INDEX(Y$4:Y1644,MATCH(LARGE(FILTER(W$4:W1644,W$4:W1644&lt;=I96),1),W$4:W1644))+(I96-LA"&amp;"RGE(FILTER(W$4:W1644,W$4:W1644&lt;=I96),1))*INDEX(T$4:T1644,MATCH(LARGE(FILTER(W$4:W1644,W$4:W1644&lt;=I96),1),W$4:W1644))-K96),1,
ROUNDDOWN(Y96-INDEX(K$4:K1644,MATCH(LARGE(FILTER(I$4:I1644,I$4:I1644&lt;=W96),1),I$4:I1644))-(W96-LARGE(FILTER(I$4:I1644,I$4:I1644&lt;=W"&amp;"96),1))*INDEX(F$4:F1644,MATCH(LARGE(FILTER(I$4:I1644,I$4:I1644&lt;=W96),1),I$4:I1644))))"),2217546.0)</f>
        <v>2217546</v>
      </c>
      <c r="N96" s="60">
        <f t="shared" si="8"/>
        <v>-35.53262</v>
      </c>
      <c r="O96" s="61" t="str">
        <f t="shared" si="9"/>
        <v>2,2M</v>
      </c>
      <c r="P96" s="56">
        <f t="shared" si="10"/>
        <v>4</v>
      </c>
      <c r="Q96" s="67" t="s">
        <v>10</v>
      </c>
      <c r="R96" s="10" t="b">
        <f>IFERROR(__xludf.DUMMYFUNCTION("IF(COUNTA(Q96:Q1644)=0,"""",IF(ISBLANK(Q96),FALSE,IF(NOT(COUNTIF($AA$24:$AA$34,SUBSTITUTE(Q96,""Sell_"",""""))),1,IF(REGEXMATCH(Q96,""Sell_""),IF(COUNTIF(Q$4:Q96,SUBSTITUTE(Q96,""Sell_"",""""))-COUNTIF(Q$4:Q95,Q96)&lt;1,1),FALSE))))"),FALSE)</f>
        <v>0</v>
      </c>
      <c r="S96" s="59">
        <f t="array" ref="S96">IF(COUNTA(Q96:Q1644)=0,"",SUM((COUNTIF(Q$4:Q96,Upgrades!$B$3:$B$13)-COUNTIF(Q$4:Q96,"Sell_"&amp;Upgrades!$B$3:$B$13))*Upgrades!$D$3:$D$13))</f>
        <v>27370.8</v>
      </c>
      <c r="T96" s="66">
        <f>IFERROR(__xludf.DUMMYFUNCTION("IF(COUNTA(Q96:Q1644)=0,"""",IF(REGEXMATCH(INDEX(FILTER(Q$4:Q96,Q$4:Q96&lt;&gt;""""),ROWS(FILTER(Q$4:Q96,Q$4:Q96&lt;&gt;""""))),""^Sell_""),INDEX(FILTER(T$4:T95,Q$4:Q95&lt;&gt;""""),ROWS(FILTER(Q$4:Q95,Q$4:Q95&lt;&gt;""""))),$AD$5+S96))"),27380.8)</f>
        <v>27380.8</v>
      </c>
      <c r="U96" s="10">
        <f>IFERROR(__xludf.DUMMYFUNCTION("IF(COUNTA(Q96:Q1644)=0,"""",IF(Q96="""",0,IF(REGEXMATCH(Q96,""^Sell_""),-ROUNDDOWN(ROUNDUP(INDEX(Upgrades!$C$3:$C$13,MATCH(SUBSTITUTE(Q96,""Sell_"",""""),Upgrades!$B$3:$B$13,0))*1.15^(COUNTIF(Q$4:Q95,SUBSTITUTE(Q96,""Sell_"",""""))-COUNTIF(Q$4:Q95,""Sell_"&amp;"""&amp;SUBSTITUTE(Q96,""Sell_"",""""))))/2),ROUNDUP(INDEX(Upgrades!$C$3:$C$13,MATCH(Q96,Upgrades!$B$3:$B$13,0))*1.15^(COUNTIF(Q$4:Q95,Q96)-COUNTIF(Q$4:Q95,""Sell_""&amp;Q96))))))"),2534791.0)</f>
        <v>2534791</v>
      </c>
      <c r="V96" s="10">
        <f t="shared" si="11"/>
        <v>2534791</v>
      </c>
      <c r="W96" s="68">
        <f t="shared" si="12"/>
        <v>3258.063495</v>
      </c>
      <c r="X96" s="59" t="str">
        <f t="shared" si="13"/>
        <v>54m 18s</v>
      </c>
      <c r="Y96" s="69">
        <f t="shared" si="14"/>
        <v>9375446</v>
      </c>
      <c r="Z96" s="11"/>
      <c r="AG96" s="59"/>
    </row>
    <row r="97">
      <c r="A97" s="8"/>
      <c r="B97" s="56">
        <f t="shared" si="2"/>
        <v>15</v>
      </c>
      <c r="C97" s="67" t="s">
        <v>5</v>
      </c>
      <c r="D97" s="10" t="b">
        <f>IFERROR(__xludf.DUMMYFUNCTION("IF(COUNTA(C97:C1644)=0,"""",IF(ISBLANK(C97),FALSE,IF(NOT(COUNTIF($AA$24:$AA$34,SUBSTITUTE(C97,""Sell_"",""""))),1,IF(REGEXMATCH(C97,""Sell_""),IF(COUNTIF(C$4:C97,SUBSTITUTE(C97,""Sell_"",""""))-COUNTIF(C$4:C96,C97)&lt;1,1),FALSE))))"),FALSE)</f>
        <v>0</v>
      </c>
      <c r="E97" s="59">
        <f t="array" ref="E97">IF(COUNTA(C97:C1644)=0,"",SUM((COUNTIF(C$4:C97,Upgrades!$B$3:$B$13)-COUNTIF(C$4:C97,"Sell_"&amp;Upgrades!$B$3:$B$13))*Upgrades!$D$3:$D$13))</f>
        <v>62741.1</v>
      </c>
      <c r="F97" s="66">
        <f>IFERROR(__xludf.DUMMYFUNCTION("IF(COUNTA(C97:C1644)=0,"""",IF(REGEXMATCH(INDEX(FILTER(C$4:C97,C$4:C97&lt;&gt;""""),ROWS(FILTER(C$4:C97,C$4:C97&lt;&gt;""""))),""^Sell_""),INDEX(FILTER(F$4:F96,C$4:C96&lt;&gt;""""),ROWS(FILTER(C$4:C96,C$4:C96&lt;&gt;""""))),$AC$5+E97))"),62751.1)</f>
        <v>62751.1</v>
      </c>
      <c r="G97" s="10">
        <f>IFERROR(__xludf.DUMMYFUNCTION("IF(COUNTA(C97:C1644)=0,"""",IF(C97="""",0,IF(REGEXMATCH(C97,""^Sell_""),-ROUNDDOWN(ROUNDUP(INDEX(Upgrades!$C$3:$C$13,MATCH(SUBSTITUTE(C97,""Sell_"",""""),Upgrades!$B$3:$B$13,0))*1.15^(COUNTIF(C$4:C96,SUBSTITUTE(C97,""Sell_"",""""))-COUNTIF(C$4:C96,""Sell_"&amp;"""&amp;SUBSTITUTE(C97,""Sell_"",""""))))/2),ROUNDUP(INDEX(Upgrades!$C$3:$C$13,MATCH(C97,Upgrades!$B$3:$B$13,0))*1.15^(COUNTIF(C$4:C96,C97)-COUNTIF(C$4:C96,""Sell_""&amp;C97))))))"),3538.0)</f>
        <v>3538</v>
      </c>
      <c r="H97" s="10">
        <f t="shared" si="3"/>
        <v>3538</v>
      </c>
      <c r="I97" s="68">
        <f t="shared" si="4"/>
        <v>3795.622026</v>
      </c>
      <c r="J97" s="59" t="str">
        <f t="shared" si="5"/>
        <v>1h 03m 15s</v>
      </c>
      <c r="K97" s="69">
        <f t="shared" si="6"/>
        <v>30086396</v>
      </c>
      <c r="L97" s="60">
        <f t="shared" si="7"/>
        <v>-35.52588</v>
      </c>
      <c r="M97" s="61">
        <f>IFERROR(__xludf.DUMMYFUNCTION("IFS(AND(COUNTA(C97:C1644)=0,COUNTA(Q97:Q1644)=0),"""",OR(AND(K97&gt;=1000000000,OR(Y97&gt;=1000000000,COUNTA(Q97:Q1644)=0)),OR(Y97&gt;=1000000000,AND(COUNTA(C97:C1644)=0,P$3=TRUE))),
ROUNDDOWN((AB$1-AC$1)*MAX(INDEX(T$4:T1644,MATCH(LARGE(FILTER(Y$4:Y1644,Y$4:Y1644&lt;"&amp;"1000000000),1),Y$4:Y1644)),INDEX(F$4:F1644,MATCH(LARGE(FILTER(K$4:K1644,K$4:K1644&lt;1000000000),1),K$4:K1644)))),AND(K97&lt;1000000000,COUNTA(C97:C1644)&gt;0,P$3=FALSE),
ROUNDDOWN(INDEX(Y$4:Y1644,MATCH(LARGE(FILTER(W$4:W1644,W$4:W1644&lt;=I97),1),W$4:W1644))+(I97-LA"&amp;"RGE(FILTER(W$4:W1644,W$4:W1644&lt;=I97),1))*INDEX(T$4:T1644,MATCH(LARGE(FILTER(W$4:W1644,W$4:W1644&lt;=I97),1),W$4:W1644))-K97),1,
ROUNDDOWN(Y97-INDEX(K$4:K1644,MATCH(LARGE(FILTER(I$4:I1644,I$4:I1644&lt;=W97),1),I$4:I1644))-(W97-LARGE(FILTER(I$4:I1644,I$4:I1644&lt;=W"&amp;"97),1))*INDEX(F$4:F1644,MATCH(LARGE(FILTER(I$4:I1644,I$4:I1644&lt;=W97),1),I$4:I1644))))"),2217575.0)</f>
        <v>2217575</v>
      </c>
      <c r="N97" s="60">
        <f t="shared" si="8"/>
        <v>-35.52588</v>
      </c>
      <c r="O97" s="61" t="str">
        <f t="shared" si="9"/>
        <v>2,2M</v>
      </c>
      <c r="P97" s="56">
        <f t="shared" si="10"/>
        <v>1</v>
      </c>
      <c r="Q97" s="67" t="s">
        <v>9</v>
      </c>
      <c r="R97" s="10" t="b">
        <f>IFERROR(__xludf.DUMMYFUNCTION("IF(COUNTA(Q97:Q1644)=0,"""",IF(ISBLANK(Q97),FALSE,IF(NOT(COUNTIF($AA$24:$AA$34,SUBSTITUTE(Q97,""Sell_"",""""))),1,IF(REGEXMATCH(Q97,""Sell_""),IF(COUNTIF(Q$4:Q97,SUBSTITUTE(Q97,""Sell_"",""""))-COUNTIF(Q$4:Q96,Q97)&lt;1,1),FALSE))))"),FALSE)</f>
        <v>0</v>
      </c>
      <c r="S97" s="59">
        <f t="array" ref="S97">IF(COUNTA(Q97:Q1644)=0,"",SUM((COUNTIF(Q$4:Q97,Upgrades!$B$3:$B$13)-COUNTIF(Q$4:Q97,"Sell_"&amp;Upgrades!$B$3:$B$13))*Upgrades!$D$3:$D$13))</f>
        <v>27770.8</v>
      </c>
      <c r="T97" s="66">
        <f>IFERROR(__xludf.DUMMYFUNCTION("IF(COUNTA(Q97:Q1644)=0,"""",IF(REGEXMATCH(INDEX(FILTER(Q$4:Q97,Q$4:Q97&lt;&gt;""""),ROWS(FILTER(Q$4:Q97,Q$4:Q97&lt;&gt;""""))),""^Sell_""),INDEX(FILTER(T$4:T96,Q$4:Q96&lt;&gt;""""),ROWS(FILTER(Q$4:Q96,Q$4:Q96&lt;&gt;""""))),$AD$5+S97))"),27780.8)</f>
        <v>27780.8</v>
      </c>
      <c r="U97" s="10">
        <f>IFERROR(__xludf.DUMMYFUNCTION("IF(COUNTA(Q97:Q1644)=0,"""",IF(Q97="""",0,IF(REGEXMATCH(Q97,""^Sell_""),-ROUNDDOWN(ROUNDUP(INDEX(Upgrades!$C$3:$C$13,MATCH(SUBSTITUTE(Q97,""Sell_"",""""),Upgrades!$B$3:$B$13,0))*1.15^(COUNTIF(Q$4:Q96,SUBSTITUTE(Q97,""Sell_"",""""))-COUNTIF(Q$4:Q96,""Sell_"&amp;"""&amp;SUBSTITUTE(Q97,""Sell_"",""""))))/2),ROUNDUP(INDEX(Upgrades!$C$3:$C$13,MATCH(Q97,Upgrades!$B$3:$B$13,0))*1.15^(COUNTIF(Q$4:Q96,Q97)-COUNTIF(Q$4:Q96,""Sell_""&amp;Q97))))))"),200000.0)</f>
        <v>200000</v>
      </c>
      <c r="V97" s="10">
        <f t="shared" si="11"/>
        <v>200000</v>
      </c>
      <c r="W97" s="68">
        <f t="shared" si="12"/>
        <v>3265.367883</v>
      </c>
      <c r="X97" s="59" t="str">
        <f t="shared" si="13"/>
        <v>54m 25s</v>
      </c>
      <c r="Y97" s="69">
        <f t="shared" si="14"/>
        <v>9575446</v>
      </c>
      <c r="Z97" s="11"/>
      <c r="AG97" s="59"/>
    </row>
    <row r="98">
      <c r="A98" s="8"/>
      <c r="B98" s="56">
        <f t="shared" si="2"/>
        <v>9</v>
      </c>
      <c r="C98" s="67" t="s">
        <v>6</v>
      </c>
      <c r="D98" s="10" t="b">
        <f>IFERROR(__xludf.DUMMYFUNCTION("IF(COUNTA(C98:C1644)=0,"""",IF(ISBLANK(C98),FALSE,IF(NOT(COUNTIF($AA$24:$AA$34,SUBSTITUTE(C98,""Sell_"",""""))),1,IF(REGEXMATCH(C98,""Sell_""),IF(COUNTIF(C$4:C98,SUBSTITUTE(C98,""Sell_"",""""))-COUNTIF(C$4:C97,C98)&lt;1,1),FALSE))))"),FALSE)</f>
        <v>0</v>
      </c>
      <c r="E98" s="59">
        <f t="array" ref="E98">IF(COUNTA(C98:C1644)=0,"",SUM((COUNTIF(C$4:C98,Upgrades!$B$3:$B$13)-COUNTIF(C$4:C98,"Sell_"&amp;Upgrades!$B$3:$B$13))*Upgrades!$D$3:$D$13))</f>
        <v>62751.1</v>
      </c>
      <c r="F98" s="66">
        <f>IFERROR(__xludf.DUMMYFUNCTION("IF(COUNTA(C98:C1644)=0,"""",IF(REGEXMATCH(INDEX(FILTER(C$4:C98,C$4:C98&lt;&gt;""""),ROWS(FILTER(C$4:C98,C$4:C98&lt;&gt;""""))),""^Sell_""),INDEX(FILTER(F$4:F97,C$4:C97&lt;&gt;""""),ROWS(FILTER(C$4:C97,C$4:C97&lt;&gt;""""))),$AC$5+E98))"),62761.1)</f>
        <v>62761.1</v>
      </c>
      <c r="G98" s="10">
        <f>IFERROR(__xludf.DUMMYFUNCTION("IF(COUNTA(C98:C1644)=0,"""",IF(C98="""",0,IF(REGEXMATCH(C98,""^Sell_""),-ROUNDDOWN(ROUNDUP(INDEX(Upgrades!$C$3:$C$13,MATCH(SUBSTITUTE(C98,""Sell_"",""""),Upgrades!$B$3:$B$13,0))*1.15^(COUNTIF(C$4:C97,SUBSTITUTE(C98,""Sell_"",""""))-COUNTIF(C$4:C97,""Sell_"&amp;"""&amp;SUBSTITUTE(C98,""Sell_"",""""))))/2),ROUNDUP(INDEX(Upgrades!$C$3:$C$13,MATCH(C98,Upgrades!$B$3:$B$13,0))*1.15^(COUNTIF(C$4:C97,C98)-COUNTIF(C$4:C97,""Sell_""&amp;C98))))))"),9178.0)</f>
        <v>9178</v>
      </c>
      <c r="H98" s="10">
        <f t="shared" si="3"/>
        <v>9178</v>
      </c>
      <c r="I98" s="68">
        <f t="shared" si="4"/>
        <v>3795.768287</v>
      </c>
      <c r="J98" s="59" t="str">
        <f t="shared" si="5"/>
        <v>1h 03m 15s</v>
      </c>
      <c r="K98" s="69">
        <f t="shared" si="6"/>
        <v>30095574</v>
      </c>
      <c r="L98" s="60">
        <f t="shared" si="7"/>
        <v>-35.50838</v>
      </c>
      <c r="M98" s="61">
        <f>IFERROR(__xludf.DUMMYFUNCTION("IFS(AND(COUNTA(C98:C1644)=0,COUNTA(Q98:Q1644)=0),"""",OR(AND(K98&gt;=1000000000,OR(Y98&gt;=1000000000,COUNTA(Q98:Q1644)=0)),OR(Y98&gt;=1000000000,AND(COUNTA(C98:C1644)=0,P$3=TRUE))),
ROUNDDOWN((AB$1-AC$1)*MAX(INDEX(T$4:T1644,MATCH(LARGE(FILTER(Y$4:Y1644,Y$4:Y1644&lt;"&amp;"1000000000),1),Y$4:Y1644)),INDEX(F$4:F1644,MATCH(LARGE(FILTER(K$4:K1644,K$4:K1644&lt;1000000000),1),K$4:K1644)))),AND(K98&lt;1000000000,COUNTA(C98:C1644)&gt;0,P$3=FALSE),
ROUNDDOWN(INDEX(Y$4:Y1644,MATCH(LARGE(FILTER(W$4:W1644,W$4:W1644&lt;=I98),1),W$4:W1644))+(I98-LA"&amp;"RGE(FILTER(W$4:W1644,W$4:W1644&lt;=I98),1))*INDEX(T$4:T1644,MATCH(LARGE(FILTER(W$4:W1644,W$4:W1644&lt;=I98),1),W$4:W1644))-K98),1,
ROUNDDOWN(Y98-INDEX(K$4:K1644,MATCH(LARGE(FILTER(I$4:I1644,I$4:I1644&lt;=W98),1),I$4:I1644))-(W98-LARGE(FILTER(I$4:I1644,I$4:I1644&lt;=W"&amp;"98),1))*INDEX(F$4:F1644,MATCH(LARGE(FILTER(I$4:I1644,I$4:I1644&lt;=W98),1),I$4:I1644))))"),2217650.0)</f>
        <v>2217650</v>
      </c>
      <c r="N98" s="60">
        <f t="shared" si="8"/>
        <v>-35.50838</v>
      </c>
      <c r="O98" s="61" t="str">
        <f t="shared" si="9"/>
        <v>2,2M</v>
      </c>
      <c r="P98" s="56">
        <f t="shared" si="10"/>
        <v>3</v>
      </c>
      <c r="Q98" s="67" t="s">
        <v>8</v>
      </c>
      <c r="R98" s="10" t="b">
        <f>IFERROR(__xludf.DUMMYFUNCTION("IF(COUNTA(Q98:Q1644)=0,"""",IF(ISBLANK(Q98),FALSE,IF(NOT(COUNTIF($AA$24:$AA$34,SUBSTITUTE(Q98,""Sell_"",""""))),1,IF(REGEXMATCH(Q98,""Sell_""),IF(COUNTIF(Q$4:Q98,SUBSTITUTE(Q98,""Sell_"",""""))-COUNTIF(Q$4:Q97,Q98)&lt;1,1),FALSE))))"),FALSE)</f>
        <v>0</v>
      </c>
      <c r="S98" s="59">
        <f t="array" ref="S98">IF(COUNTA(Q98:Q1644)=0,"",SUM((COUNTIF(Q$4:Q98,Upgrades!$B$3:$B$13)-COUNTIF(Q$4:Q98,"Sell_"&amp;Upgrades!$B$3:$B$13))*Upgrades!$D$3:$D$13))</f>
        <v>27870.8</v>
      </c>
      <c r="T98" s="66">
        <f>IFERROR(__xludf.DUMMYFUNCTION("IF(COUNTA(Q98:Q1644)=0,"""",IF(REGEXMATCH(INDEX(FILTER(Q$4:Q98,Q$4:Q98&lt;&gt;""""),ROWS(FILTER(Q$4:Q98,Q$4:Q98&lt;&gt;""""))),""^Sell_""),INDEX(FILTER(T$4:T97,Q$4:Q97&lt;&gt;""""),ROWS(FILTER(Q$4:Q97,Q$4:Q97&lt;&gt;""""))),$AD$5+S98))"),27880.8)</f>
        <v>27880.8</v>
      </c>
      <c r="U98" s="10">
        <f>IFERROR(__xludf.DUMMYFUNCTION("IF(COUNTA(Q98:Q1644)=0,"""",IF(Q98="""",0,IF(REGEXMATCH(Q98,""^Sell_""),-ROUNDDOWN(ROUNDUP(INDEX(Upgrades!$C$3:$C$13,MATCH(SUBSTITUTE(Q98,""Sell_"",""""),Upgrades!$B$3:$B$13,0))*1.15^(COUNTIF(Q$4:Q97,SUBSTITUTE(Q98,""Sell_"",""""))-COUNTIF(Q$4:Q97,""Sell_"&amp;"""&amp;SUBSTITUTE(Q98,""Sell_"",""""))))/2),ROUNDUP(INDEX(Upgrades!$C$3:$C$13,MATCH(Q98,Upgrades!$B$3:$B$13,0))*1.15^(COUNTIF(Q$4:Q97,Q98)-COUNTIF(Q$4:Q97,""Sell_""&amp;Q98))))))"),52900.0)</f>
        <v>52900</v>
      </c>
      <c r="V98" s="10">
        <f t="shared" si="11"/>
        <v>52900</v>
      </c>
      <c r="W98" s="68">
        <f t="shared" si="12"/>
        <v>3267.272076</v>
      </c>
      <c r="X98" s="59" t="str">
        <f t="shared" si="13"/>
        <v>54m 27s</v>
      </c>
      <c r="Y98" s="69">
        <f t="shared" si="14"/>
        <v>9628346</v>
      </c>
      <c r="Z98" s="11"/>
      <c r="AG98" s="59"/>
    </row>
    <row r="99">
      <c r="A99" s="8"/>
      <c r="B99" s="56">
        <f t="shared" si="2"/>
        <v>7</v>
      </c>
      <c r="C99" s="67" t="s">
        <v>8</v>
      </c>
      <c r="D99" s="10" t="b">
        <f>IFERROR(__xludf.DUMMYFUNCTION("IF(COUNTA(C99:C1644)=0,"""",IF(ISBLANK(C99),FALSE,IF(NOT(COUNTIF($AA$24:$AA$34,SUBSTITUTE(C99,""Sell_"",""""))),1,IF(REGEXMATCH(C99,""Sell_""),IF(COUNTIF(C$4:C99,SUBSTITUTE(C99,""Sell_"",""""))-COUNTIF(C$4:C98,C99)&lt;1,1),FALSE))))"),FALSE)</f>
        <v>0</v>
      </c>
      <c r="E99" s="59">
        <f t="array" ref="E99">IF(COUNTA(C99:C1644)=0,"",SUM((COUNTIF(C$4:C99,Upgrades!$B$3:$B$13)-COUNTIF(C$4:C99,"Sell_"&amp;Upgrades!$B$3:$B$13))*Upgrades!$D$3:$D$13))</f>
        <v>62851.1</v>
      </c>
      <c r="F99" s="66">
        <f>IFERROR(__xludf.DUMMYFUNCTION("IF(COUNTA(C99:C1644)=0,"""",IF(REGEXMATCH(INDEX(FILTER(C$4:C99,C$4:C99&lt;&gt;""""),ROWS(FILTER(C$4:C99,C$4:C99&lt;&gt;""""))),""^Sell_""),INDEX(FILTER(F$4:F98,C$4:C98&lt;&gt;""""),ROWS(FILTER(C$4:C98,C$4:C98&lt;&gt;""""))),$AC$5+E99))"),62861.1)</f>
        <v>62861.1</v>
      </c>
      <c r="G99" s="10">
        <f>IFERROR(__xludf.DUMMYFUNCTION("IF(COUNTA(C99:C1644)=0,"""",IF(C99="""",0,IF(REGEXMATCH(C99,""^Sell_""),-ROUNDDOWN(ROUNDUP(INDEX(Upgrades!$C$3:$C$13,MATCH(SUBSTITUTE(C99,""Sell_"",""""),Upgrades!$B$3:$B$13,0))*1.15^(COUNTIF(C$4:C98,SUBSTITUTE(C99,""Sell_"",""""))-COUNTIF(C$4:C98,""Sell_"&amp;"""&amp;SUBSTITUTE(C99,""Sell_"",""""))))/2),ROUNDUP(INDEX(Upgrades!$C$3:$C$13,MATCH(C99,Upgrades!$B$3:$B$13,0))*1.15^(COUNTIF(C$4:C98,C99)-COUNTIF(C$4:C98,""Sell_""&amp;C99))))))"),92523.0)</f>
        <v>92523</v>
      </c>
      <c r="H99" s="10">
        <f t="shared" si="3"/>
        <v>92523</v>
      </c>
      <c r="I99" s="68">
        <f t="shared" si="4"/>
        <v>3797.242496</v>
      </c>
      <c r="J99" s="59" t="str">
        <f t="shared" si="5"/>
        <v>1h 03m 17s</v>
      </c>
      <c r="K99" s="69">
        <f t="shared" si="6"/>
        <v>30188097</v>
      </c>
      <c r="L99" s="60">
        <f t="shared" si="7"/>
        <v>-35.33171</v>
      </c>
      <c r="M99" s="61">
        <f>IFERROR(__xludf.DUMMYFUNCTION("IFS(AND(COUNTA(C99:C1644)=0,COUNTA(Q99:Q1644)=0),"""",OR(AND(K99&gt;=1000000000,OR(Y99&gt;=1000000000,COUNTA(Q99:Q1644)=0)),OR(Y99&gt;=1000000000,AND(COUNTA(C99:C1644)=0,P$3=TRUE))),
ROUNDDOWN((AB$1-AC$1)*MAX(INDEX(T$4:T1644,MATCH(LARGE(FILTER(Y$4:Y1644,Y$4:Y1644&lt;"&amp;"1000000000),1),Y$4:Y1644)),INDEX(F$4:F1644,MATCH(LARGE(FILTER(K$4:K1644,K$4:K1644&lt;1000000000),1),K$4:K1644)))),AND(K99&lt;1000000000,COUNTA(C99:C1644)&gt;0,P$3=FALSE),
ROUNDDOWN(INDEX(Y$4:Y1644,MATCH(LARGE(FILTER(W$4:W1644,W$4:W1644&lt;=I99),1),W$4:W1644))+(I99-LA"&amp;"RGE(FILTER(W$4:W1644,W$4:W1644&lt;=I99),1))*INDEX(T$4:T1644,MATCH(LARGE(FILTER(W$4:W1644,W$4:W1644&lt;=I99),1),W$4:W1644))-K99),1,
ROUNDDOWN(Y99-INDEX(K$4:K1644,MATCH(LARGE(FILTER(I$4:I1644,I$4:I1644&lt;=W99),1),I$4:I1644))-(W99-LARGE(FILTER(I$4:I1644,I$4:I1644&lt;=W"&amp;"99),1))*INDEX(F$4:F1644,MATCH(LARGE(FILTER(I$4:I1644,I$4:I1644&lt;=W99),1),I$4:I1644))))"),2218387.0)</f>
        <v>2218387</v>
      </c>
      <c r="N99" s="60">
        <f t="shared" si="8"/>
        <v>-35.33171</v>
      </c>
      <c r="O99" s="61" t="str">
        <f t="shared" si="9"/>
        <v>2,2M</v>
      </c>
      <c r="P99" s="56">
        <f t="shared" si="10"/>
        <v>5</v>
      </c>
      <c r="Q99" s="67" t="s">
        <v>10</v>
      </c>
      <c r="R99" s="10" t="b">
        <f>IFERROR(__xludf.DUMMYFUNCTION("IF(COUNTA(Q99:Q1644)=0,"""",IF(ISBLANK(Q99),FALSE,IF(NOT(COUNTIF($AA$24:$AA$34,SUBSTITUTE(Q99,""Sell_"",""""))),1,IF(REGEXMATCH(Q99,""Sell_""),IF(COUNTIF(Q$4:Q99,SUBSTITUTE(Q99,""Sell_"",""""))-COUNTIF(Q$4:Q98,Q99)&lt;1,1),FALSE))))"),FALSE)</f>
        <v>0</v>
      </c>
      <c r="S99" s="59">
        <f t="array" ref="S99">IF(COUNTA(Q99:Q1644)=0,"",SUM((COUNTIF(Q$4:Q99,Upgrades!$B$3:$B$13)-COUNTIF(Q$4:Q99,"Sell_"&amp;Upgrades!$B$3:$B$13))*Upgrades!$D$3:$D$13))</f>
        <v>34536.8</v>
      </c>
      <c r="T99" s="66">
        <f>IFERROR(__xludf.DUMMYFUNCTION("IF(COUNTA(Q99:Q1644)=0,"""",IF(REGEXMATCH(INDEX(FILTER(Q$4:Q99,Q$4:Q99&lt;&gt;""""),ROWS(FILTER(Q$4:Q99,Q$4:Q99&lt;&gt;""""))),""^Sell_""),INDEX(FILTER(T$4:T98,Q$4:Q98&lt;&gt;""""),ROWS(FILTER(Q$4:Q98,Q$4:Q98&lt;&gt;""""))),$AD$5+S99))"),34546.8)</f>
        <v>34546.8</v>
      </c>
      <c r="U99" s="10">
        <f>IFERROR(__xludf.DUMMYFUNCTION("IF(COUNTA(Q99:Q1644)=0,"""",IF(Q99="""",0,IF(REGEXMATCH(Q99,""^Sell_""),-ROUNDDOWN(ROUNDUP(INDEX(Upgrades!$C$3:$C$13,MATCH(SUBSTITUTE(Q99,""Sell_"",""""),Upgrades!$B$3:$B$13,0))*1.15^(COUNTIF(Q$4:Q98,SUBSTITUTE(Q99,""Sell_"",""""))-COUNTIF(Q$4:Q98,""Sell_"&amp;"""&amp;SUBSTITUTE(Q99,""Sell_"",""""))))/2),ROUNDUP(INDEX(Upgrades!$C$3:$C$13,MATCH(Q99,Upgrades!$B$3:$B$13,0))*1.15^(COUNTIF(Q$4:Q98,Q99)-COUNTIF(Q$4:Q98,""Sell_""&amp;Q99))))))"),2915010.0)</f>
        <v>2915010</v>
      </c>
      <c r="V99" s="10">
        <f t="shared" si="11"/>
        <v>2915010</v>
      </c>
      <c r="W99" s="68">
        <f t="shared" si="12"/>
        <v>3371.824671</v>
      </c>
      <c r="X99" s="59" t="str">
        <f t="shared" si="13"/>
        <v>56m 11s</v>
      </c>
      <c r="Y99" s="69">
        <f t="shared" si="14"/>
        <v>12543356</v>
      </c>
      <c r="Z99" s="11"/>
      <c r="AG99" s="59"/>
    </row>
    <row r="100">
      <c r="A100" s="8"/>
      <c r="B100" s="56">
        <f t="shared" si="2"/>
        <v>12</v>
      </c>
      <c r="C100" s="67" t="s">
        <v>4</v>
      </c>
      <c r="D100" s="10" t="b">
        <f>IFERROR(__xludf.DUMMYFUNCTION("IF(COUNTA(C100:C1644)=0,"""",IF(ISBLANK(C100),FALSE,IF(NOT(COUNTIF($AA$24:$AA$34,SUBSTITUTE(C100,""Sell_"",""""))),1,IF(REGEXMATCH(C100,""Sell_""),IF(COUNTIF(C$4:C100,SUBSTITUTE(C100,""Sell_"",""""))-COUNTIF(C$4:C99,C100)&lt;1,1),FALSE))))"),FALSE)</f>
        <v>0</v>
      </c>
      <c r="E100" s="59">
        <f t="array" ref="E100">IF(COUNTA(C100:C1644)=0,"",SUM((COUNTIF(C$4:C100,Upgrades!$B$3:$B$13)-COUNTIF(C$4:C100,"Sell_"&amp;Upgrades!$B$3:$B$13))*Upgrades!$D$3:$D$13))</f>
        <v>62851.6</v>
      </c>
      <c r="F100" s="66">
        <f>IFERROR(__xludf.DUMMYFUNCTION("IF(COUNTA(C100:C1644)=0,"""",IF(REGEXMATCH(INDEX(FILTER(C$4:C100,C$4:C100&lt;&gt;""""),ROWS(FILTER(C$4:C100,C$4:C100&lt;&gt;""""))),""^Sell_""),INDEX(FILTER(F$4:F99,C$4:C99&lt;&gt;""""),ROWS(FILTER(C$4:C99,C$4:C99&lt;&gt;""""))),$AC$5+E100))"),62861.6)</f>
        <v>62861.6</v>
      </c>
      <c r="G100" s="10">
        <f>IFERROR(__xludf.DUMMYFUNCTION("IF(COUNTA(C100:C1644)=0,"""",IF(C100="""",0,IF(REGEXMATCH(C100,""^Sell_""),-ROUNDDOWN(ROUNDUP(INDEX(Upgrades!$C$3:$C$13,MATCH(SUBSTITUTE(C100,""Sell_"",""""),Upgrades!$B$3:$B$13,0))*1.15^(COUNTIF(C$4:C99,SUBSTITUTE(C100,""Sell_"",""""))-COUNTIF(C$4:C99,"""&amp;"Sell_""&amp;SUBSTITUTE(C100,""Sell_"",""""))))/2),ROUNDUP(INDEX(Upgrades!$C$3:$C$13,MATCH(C100,Upgrades!$B$3:$B$13,0))*1.15^(COUNTIF(C$4:C99,C100)-COUNTIF(C$4:C99,""Sell_""&amp;C100))))))"),466.0)</f>
        <v>466</v>
      </c>
      <c r="H100" s="10">
        <f t="shared" si="3"/>
        <v>466</v>
      </c>
      <c r="I100" s="68">
        <f t="shared" si="4"/>
        <v>3797.249909</v>
      </c>
      <c r="J100" s="59" t="str">
        <f t="shared" si="5"/>
        <v>1h 03m 17s</v>
      </c>
      <c r="K100" s="69">
        <f t="shared" si="6"/>
        <v>30188563</v>
      </c>
      <c r="L100" s="60">
        <f t="shared" si="7"/>
        <v>-35.33081</v>
      </c>
      <c r="M100" s="61">
        <f>IFERROR(__xludf.DUMMYFUNCTION("IFS(AND(COUNTA(C100:C1644)=0,COUNTA(Q100:Q1644)=0),"""",OR(AND(K100&gt;=1000000000,OR(Y100&gt;=1000000000,COUNTA(Q100:Q1644)=0)),OR(Y100&gt;=1000000000,AND(COUNTA(C100:C1644)=0,P$3=TRUE))),
ROUNDDOWN((AB$1-AC$1)*MAX(INDEX(T$4:T1644,MATCH(LARGE(FILTER(Y$4:Y1644,Y$4"&amp;":Y1644&lt;1000000000),1),Y$4:Y1644)),INDEX(F$4:F1644,MATCH(LARGE(FILTER(K$4:K1644,K$4:K1644&lt;1000000000),1),K$4:K1644)))),AND(K100&lt;1000000000,COUNTA(C100:C1644)&gt;0,P$3=FALSE),
ROUNDDOWN(INDEX(Y$4:Y1644,MATCH(LARGE(FILTER(W$4:W1644,W$4:W1644&lt;=I100),1),W$4:W1644"&amp;"))+(I100-LARGE(FILTER(W$4:W1644,W$4:W1644&lt;=I100),1))*INDEX(T$4:T1644,MATCH(LARGE(FILTER(W$4:W1644,W$4:W1644&lt;=I100),1),W$4:W1644))-K100),1,
ROUNDDOWN(Y100-INDEX(K$4:K1644,MATCH(LARGE(FILTER(I$4:I1644,I$4:I1644&lt;=W100),1),I$4:I1644))-(W100-LARGE(FILTER(I$4:I"&amp;"1644,I$4:I1644&lt;=W100),1))*INDEX(F$4:F1644,MATCH(LARGE(FILTER(I$4:I1644,I$4:I1644&lt;=W100),1),I$4:I1644))))"),2218390.0)</f>
        <v>2218390</v>
      </c>
      <c r="N100" s="60">
        <f t="shared" si="8"/>
        <v>-35.33081</v>
      </c>
      <c r="O100" s="61" t="str">
        <f t="shared" si="9"/>
        <v>2,2M</v>
      </c>
      <c r="P100" s="56">
        <f t="shared" si="10"/>
        <v>2</v>
      </c>
      <c r="Q100" s="67" t="s">
        <v>9</v>
      </c>
      <c r="R100" s="10" t="b">
        <f>IFERROR(__xludf.DUMMYFUNCTION("IF(COUNTA(Q100:Q1644)=0,"""",IF(ISBLANK(Q100),FALSE,IF(NOT(COUNTIF($AA$24:$AA$34,SUBSTITUTE(Q100,""Sell_"",""""))),1,IF(REGEXMATCH(Q100,""Sell_""),IF(COUNTIF(Q$4:Q100,SUBSTITUTE(Q100,""Sell_"",""""))-COUNTIF(Q$4:Q99,Q100)&lt;1,1),FALSE))))"),FALSE)</f>
        <v>0</v>
      </c>
      <c r="S100" s="59">
        <f t="array" ref="S100">IF(COUNTA(Q100:Q1644)=0,"",SUM((COUNTIF(Q$4:Q100,Upgrades!$B$3:$B$13)-COUNTIF(Q$4:Q100,"Sell_"&amp;Upgrades!$B$3:$B$13))*Upgrades!$D$3:$D$13))</f>
        <v>34936.8</v>
      </c>
      <c r="T100" s="66">
        <f>IFERROR(__xludf.DUMMYFUNCTION("IF(COUNTA(Q100:Q1644)=0,"""",IF(REGEXMATCH(INDEX(FILTER(Q$4:Q100,Q$4:Q100&lt;&gt;""""),ROWS(FILTER(Q$4:Q100,Q$4:Q100&lt;&gt;""""))),""^Sell_""),INDEX(FILTER(T$4:T99,Q$4:Q99&lt;&gt;""""),ROWS(FILTER(Q$4:Q99,Q$4:Q99&lt;&gt;""""))),$AD$5+S100))"),34946.8)</f>
        <v>34946.8</v>
      </c>
      <c r="U100" s="10">
        <f>IFERROR(__xludf.DUMMYFUNCTION("IF(COUNTA(Q100:Q1644)=0,"""",IF(Q100="""",0,IF(REGEXMATCH(Q100,""^Sell_""),-ROUNDDOWN(ROUNDUP(INDEX(Upgrades!$C$3:$C$13,MATCH(SUBSTITUTE(Q100,""Sell_"",""""),Upgrades!$B$3:$B$13,0))*1.15^(COUNTIF(Q$4:Q99,SUBSTITUTE(Q100,""Sell_"",""""))-COUNTIF(Q$4:Q99,"""&amp;"Sell_""&amp;SUBSTITUTE(Q100,""Sell_"",""""))))/2),ROUNDUP(INDEX(Upgrades!$C$3:$C$13,MATCH(Q100,Upgrades!$B$3:$B$13,0))*1.15^(COUNTIF(Q$4:Q99,Q100)-COUNTIF(Q$4:Q99,""Sell_""&amp;Q100))))))"),230000.0)</f>
        <v>230000</v>
      </c>
      <c r="V100" s="10">
        <f t="shared" si="11"/>
        <v>230000</v>
      </c>
      <c r="W100" s="68">
        <f t="shared" si="12"/>
        <v>3378.482307</v>
      </c>
      <c r="X100" s="59" t="str">
        <f t="shared" si="13"/>
        <v>56m 18s</v>
      </c>
      <c r="Y100" s="69">
        <f t="shared" si="14"/>
        <v>12773356</v>
      </c>
      <c r="Z100" s="11"/>
      <c r="AG100" s="59"/>
    </row>
    <row r="101">
      <c r="A101" s="8"/>
      <c r="B101" s="56">
        <f t="shared" si="2"/>
        <v>10</v>
      </c>
      <c r="C101" s="67" t="s">
        <v>10</v>
      </c>
      <c r="D101" s="10" t="b">
        <f>IFERROR(__xludf.DUMMYFUNCTION("IF(COUNTA(C101:C1644)=0,"""",IF(ISBLANK(C101),FALSE,IF(NOT(COUNTIF($AA$24:$AA$34,SUBSTITUTE(C101,""Sell_"",""""))),1,IF(REGEXMATCH(C101,""Sell_""),IF(COUNTIF(C$4:C101,SUBSTITUTE(C101,""Sell_"",""""))-COUNTIF(C$4:C100,C101)&lt;1,1),FALSE))))"),FALSE)</f>
        <v>0</v>
      </c>
      <c r="E101" s="59">
        <f t="array" ref="E101">IF(COUNTA(C101:C1644)=0,"",SUM((COUNTIF(C$4:C101,Upgrades!$B$3:$B$13)-COUNTIF(C$4:C101,"Sell_"&amp;Upgrades!$B$3:$B$13))*Upgrades!$D$3:$D$13))</f>
        <v>69517.6</v>
      </c>
      <c r="F101" s="66">
        <f>IFERROR(__xludf.DUMMYFUNCTION("IF(COUNTA(C101:C1644)=0,"""",IF(REGEXMATCH(INDEX(FILTER(C$4:C101,C$4:C101&lt;&gt;""""),ROWS(FILTER(C$4:C101,C$4:C101&lt;&gt;""""))),""^Sell_""),INDEX(FILTER(F$4:F100,C$4:C100&lt;&gt;""""),ROWS(FILTER(C$4:C100,C$4:C100&lt;&gt;""""))),$AC$5+E101))"),69527.6)</f>
        <v>69527.6</v>
      </c>
      <c r="G101" s="10">
        <f>IFERROR(__xludf.DUMMYFUNCTION("IF(COUNTA(C101:C1644)=0,"""",IF(C101="""",0,IF(REGEXMATCH(C101,""^Sell_""),-ROUNDDOWN(ROUNDUP(INDEX(Upgrades!$C$3:$C$13,MATCH(SUBSTITUTE(C101,""Sell_"",""""),Upgrades!$B$3:$B$13,0))*1.15^(COUNTIF(C$4:C100,SUBSTITUTE(C101,""Sell_"",""""))-COUNTIF(C$4:C100,"&amp;"""Sell_""&amp;SUBSTITUTE(C101,""Sell_"",""""))))/2),ROUNDUP(INDEX(Upgrades!$C$3:$C$13,MATCH(C101,Upgrades!$B$3:$B$13,0))*1.15^(COUNTIF(C$4:C100,C101)-COUNTIF(C$4:C100,""Sell_""&amp;C101))))))"),5863125.0)</f>
        <v>5863125</v>
      </c>
      <c r="H101" s="10">
        <f t="shared" si="3"/>
        <v>5863125</v>
      </c>
      <c r="I101" s="68">
        <f t="shared" si="4"/>
        <v>3890.520284</v>
      </c>
      <c r="J101" s="59" t="str">
        <f t="shared" si="5"/>
        <v>1h 04m 50s</v>
      </c>
      <c r="K101" s="69">
        <f t="shared" si="6"/>
        <v>36051688</v>
      </c>
      <c r="L101" s="60">
        <f t="shared" si="7"/>
        <v>-35.65649</v>
      </c>
      <c r="M101" s="61">
        <f>IFERROR(__xludf.DUMMYFUNCTION("IFS(AND(COUNTA(C101:C1644)=0,COUNTA(Q101:Q1644)=0),"""",OR(AND(K101&gt;=1000000000,OR(Y101&gt;=1000000000,COUNTA(Q101:Q1644)=0)),OR(Y101&gt;=1000000000,AND(COUNTA(C101:C1644)=0,P$3=TRUE))),
ROUNDDOWN((AB$1-AC$1)*MAX(INDEX(T$4:T1644,MATCH(LARGE(FILTER(Y$4:Y1644,Y$4"&amp;":Y1644&lt;1000000000),1),Y$4:Y1644)),INDEX(F$4:F1644,MATCH(LARGE(FILTER(K$4:K1644,K$4:K1644&lt;1000000000),1),K$4:K1644)))),AND(K101&lt;1000000000,COUNTA(C101:C1644)&gt;0,P$3=FALSE),
ROUNDDOWN(INDEX(Y$4:Y1644,MATCH(LARGE(FILTER(W$4:W1644,W$4:W1644&lt;=I101),1),W$4:W1644"&amp;"))+(I101-LARGE(FILTER(W$4:W1644,W$4:W1644&lt;=I101),1))*INDEX(T$4:T1644,MATCH(LARGE(FILTER(W$4:W1644,W$4:W1644&lt;=I101),1),W$4:W1644))-K101),1,
ROUNDDOWN(Y101-INDEX(K$4:K1644,MATCH(LARGE(FILTER(I$4:I1644,I$4:I1644&lt;=W101),1),I$4:I1644))-(W101-LARGE(FILTER(I$4:I"&amp;"1644,I$4:I1644&lt;=W101),1))*INDEX(F$4:F1644,MATCH(LARGE(FILTER(I$4:I1644,I$4:I1644&lt;=W101),1),I$4:I1644))))"),2442224.0)</f>
        <v>2442224</v>
      </c>
      <c r="N101" s="60">
        <f t="shared" si="8"/>
        <v>-35.65649</v>
      </c>
      <c r="O101" s="61" t="str">
        <f t="shared" si="9"/>
        <v>2,4M</v>
      </c>
      <c r="P101" s="56">
        <f t="shared" si="10"/>
        <v>6</v>
      </c>
      <c r="Q101" s="67" t="s">
        <v>10</v>
      </c>
      <c r="R101" s="10" t="b">
        <f>IFERROR(__xludf.DUMMYFUNCTION("IF(COUNTA(Q101:Q1644)=0,"""",IF(ISBLANK(Q101),FALSE,IF(NOT(COUNTIF($AA$24:$AA$34,SUBSTITUTE(Q101,""Sell_"",""""))),1,IF(REGEXMATCH(Q101,""Sell_""),IF(COUNTIF(Q$4:Q101,SUBSTITUTE(Q101,""Sell_"",""""))-COUNTIF(Q$4:Q100,Q101)&lt;1,1),FALSE))))"),FALSE)</f>
        <v>0</v>
      </c>
      <c r="S101" s="59">
        <f t="array" ref="S101">IF(COUNTA(Q101:Q1644)=0,"",SUM((COUNTIF(Q$4:Q101,Upgrades!$B$3:$B$13)-COUNTIF(Q$4:Q101,"Sell_"&amp;Upgrades!$B$3:$B$13))*Upgrades!$D$3:$D$13))</f>
        <v>41602.8</v>
      </c>
      <c r="T101" s="66">
        <f>IFERROR(__xludf.DUMMYFUNCTION("IF(COUNTA(Q101:Q1644)=0,"""",IF(REGEXMATCH(INDEX(FILTER(Q$4:Q101,Q$4:Q101&lt;&gt;""""),ROWS(FILTER(Q$4:Q101,Q$4:Q101&lt;&gt;""""))),""^Sell_""),INDEX(FILTER(T$4:T100,Q$4:Q100&lt;&gt;""""),ROWS(FILTER(Q$4:Q100,Q$4:Q100&lt;&gt;""""))),$AD$5+S101))"),41612.8)</f>
        <v>41612.8</v>
      </c>
      <c r="U101" s="10">
        <f>IFERROR(__xludf.DUMMYFUNCTION("IF(COUNTA(Q101:Q1644)=0,"""",IF(Q101="""",0,IF(REGEXMATCH(Q101,""^Sell_""),-ROUNDDOWN(ROUNDUP(INDEX(Upgrades!$C$3:$C$13,MATCH(SUBSTITUTE(Q101,""Sell_"",""""),Upgrades!$B$3:$B$13,0))*1.15^(COUNTIF(Q$4:Q100,SUBSTITUTE(Q101,""Sell_"",""""))-COUNTIF(Q$4:Q100,"&amp;"""Sell_""&amp;SUBSTITUTE(Q101,""Sell_"",""""))))/2),ROUNDUP(INDEX(Upgrades!$C$3:$C$13,MATCH(Q101,Upgrades!$B$3:$B$13,0))*1.15^(COUNTIF(Q$4:Q100,Q101)-COUNTIF(Q$4:Q100,""Sell_""&amp;Q101))))))"),3352261.0)</f>
        <v>3352261</v>
      </c>
      <c r="V101" s="10">
        <f t="shared" si="11"/>
        <v>3352261</v>
      </c>
      <c r="W101" s="68">
        <f t="shared" si="12"/>
        <v>3474.406998</v>
      </c>
      <c r="X101" s="59" t="str">
        <f t="shared" si="13"/>
        <v>57m 54s</v>
      </c>
      <c r="Y101" s="69">
        <f t="shared" si="14"/>
        <v>16125617</v>
      </c>
      <c r="Z101" s="11"/>
      <c r="AG101" s="59"/>
    </row>
    <row r="102">
      <c r="A102" s="8"/>
      <c r="B102" s="56">
        <f t="shared" si="2"/>
        <v>5</v>
      </c>
      <c r="C102" s="67" t="s">
        <v>9</v>
      </c>
      <c r="D102" s="10" t="b">
        <f>IFERROR(__xludf.DUMMYFUNCTION("IF(COUNTA(C102:C1644)=0,"""",IF(ISBLANK(C102),FALSE,IF(NOT(COUNTIF($AA$24:$AA$34,SUBSTITUTE(C102,""Sell_"",""""))),1,IF(REGEXMATCH(C102,""Sell_""),IF(COUNTIF(C$4:C102,SUBSTITUTE(C102,""Sell_"",""""))-COUNTIF(C$4:C101,C102)&lt;1,1),FALSE))))"),FALSE)</f>
        <v>0</v>
      </c>
      <c r="E102" s="59">
        <f t="array" ref="E102">IF(COUNTA(C102:C1644)=0,"",SUM((COUNTIF(C$4:C102,Upgrades!$B$3:$B$13)-COUNTIF(C$4:C102,"Sell_"&amp;Upgrades!$B$3:$B$13))*Upgrades!$D$3:$D$13))</f>
        <v>69917.6</v>
      </c>
      <c r="F102" s="66">
        <f>IFERROR(__xludf.DUMMYFUNCTION("IF(COUNTA(C102:C1644)=0,"""",IF(REGEXMATCH(INDEX(FILTER(C$4:C102,C$4:C102&lt;&gt;""""),ROWS(FILTER(C$4:C102,C$4:C102&lt;&gt;""""))),""^Sell_""),INDEX(FILTER(F$4:F101,C$4:C101&lt;&gt;""""),ROWS(FILTER(C$4:C101,C$4:C101&lt;&gt;""""))),$AC$5+E102))"),69927.6)</f>
        <v>69927.6</v>
      </c>
      <c r="G102" s="10">
        <f>IFERROR(__xludf.DUMMYFUNCTION("IF(COUNTA(C102:C1644)=0,"""",IF(C102="""",0,IF(REGEXMATCH(C102,""^Sell_""),-ROUNDDOWN(ROUNDUP(INDEX(Upgrades!$C$3:$C$13,MATCH(SUBSTITUTE(C102,""Sell_"",""""),Upgrades!$B$3:$B$13,0))*1.15^(COUNTIF(C$4:C101,SUBSTITUTE(C102,""Sell_"",""""))-COUNTIF(C$4:C101,"&amp;"""Sell_""&amp;SUBSTITUTE(C102,""Sell_"",""""))))/2),ROUNDUP(INDEX(Upgrades!$C$3:$C$13,MATCH(C102,Upgrades!$B$3:$B$13,0))*1.15^(COUNTIF(C$4:C101,C102)-COUNTIF(C$4:C101,""Sell_""&amp;C102))))))"),349802.0)</f>
        <v>349802</v>
      </c>
      <c r="H102" s="10">
        <f t="shared" si="3"/>
        <v>349802</v>
      </c>
      <c r="I102" s="68">
        <f t="shared" si="4"/>
        <v>3895.551408</v>
      </c>
      <c r="J102" s="59" t="str">
        <f t="shared" si="5"/>
        <v>1h 04m 55s</v>
      </c>
      <c r="K102" s="69">
        <f t="shared" si="6"/>
        <v>36401490</v>
      </c>
      <c r="L102" s="60">
        <f t="shared" si="7"/>
        <v>-35.15815</v>
      </c>
      <c r="M102" s="61">
        <f>IFERROR(__xludf.DUMMYFUNCTION("IFS(AND(COUNTA(C102:C1644)=0,COUNTA(Q102:Q1644)=0),"""",OR(AND(K102&gt;=1000000000,OR(Y102&gt;=1000000000,COUNTA(Q102:Q1644)=0)),OR(Y102&gt;=1000000000,AND(COUNTA(C102:C1644)=0,P$3=TRUE))),
ROUNDDOWN((AB$1-AC$1)*MAX(INDEX(T$4:T1644,MATCH(LARGE(FILTER(Y$4:Y1644,Y$4"&amp;":Y1644&lt;1000000000),1),Y$4:Y1644)),INDEX(F$4:F1644,MATCH(LARGE(FILTER(K$4:K1644,K$4:K1644&lt;1000000000),1),K$4:K1644)))),AND(K102&lt;1000000000,COUNTA(C102:C1644)&gt;0,P$3=FALSE),
ROUNDDOWN(INDEX(Y$4:Y1644,MATCH(LARGE(FILTER(W$4:W1644,W$4:W1644&lt;=I102),1),W$4:W1644"&amp;"))+(I102-LARGE(FILTER(W$4:W1644,W$4:W1644&lt;=I102),1))*INDEX(T$4:T1644,MATCH(LARGE(FILTER(W$4:W1644,W$4:W1644&lt;=I102),1),W$4:W1644))-K102),1,
ROUNDDOWN(Y102-INDEX(K$4:K1644,MATCH(LARGE(FILTER(I$4:I1644,I$4:I1644&lt;=W102),1),I$4:I1644))-(W102-LARGE(FILTER(I$4:I"&amp;"1644,I$4:I1644&lt;=W102),1))*INDEX(F$4:F1644,MATCH(LARGE(FILTER(I$4:I1644,I$4:I1644&lt;=W102),1),I$4:I1644))))"),2447025.0)</f>
        <v>2447025</v>
      </c>
      <c r="N102" s="60">
        <f t="shared" si="8"/>
        <v>-35.15815</v>
      </c>
      <c r="O102" s="61" t="str">
        <f t="shared" si="9"/>
        <v>2,4M</v>
      </c>
      <c r="P102" s="56">
        <f t="shared" si="10"/>
        <v>4</v>
      </c>
      <c r="Q102" s="67" t="s">
        <v>8</v>
      </c>
      <c r="R102" s="10" t="b">
        <f>IFERROR(__xludf.DUMMYFUNCTION("IF(COUNTA(Q102:Q1644)=0,"""",IF(ISBLANK(Q102),FALSE,IF(NOT(COUNTIF($AA$24:$AA$34,SUBSTITUTE(Q102,""Sell_"",""""))),1,IF(REGEXMATCH(Q102,""Sell_""),IF(COUNTIF(Q$4:Q102,SUBSTITUTE(Q102,""Sell_"",""""))-COUNTIF(Q$4:Q101,Q102)&lt;1,1),FALSE))))"),FALSE)</f>
        <v>0</v>
      </c>
      <c r="S102" s="59">
        <f t="array" ref="S102">IF(COUNTA(Q102:Q1644)=0,"",SUM((COUNTIF(Q$4:Q102,Upgrades!$B$3:$B$13)-COUNTIF(Q$4:Q102,"Sell_"&amp;Upgrades!$B$3:$B$13))*Upgrades!$D$3:$D$13))</f>
        <v>41702.8</v>
      </c>
      <c r="T102" s="66">
        <f>IFERROR(__xludf.DUMMYFUNCTION("IF(COUNTA(Q102:Q1644)=0,"""",IF(REGEXMATCH(INDEX(FILTER(Q$4:Q102,Q$4:Q102&lt;&gt;""""),ROWS(FILTER(Q$4:Q102,Q$4:Q102&lt;&gt;""""))),""^Sell_""),INDEX(FILTER(T$4:T101,Q$4:Q101&lt;&gt;""""),ROWS(FILTER(Q$4:Q101,Q$4:Q101&lt;&gt;""""))),$AD$5+S102))"),41712.8)</f>
        <v>41712.8</v>
      </c>
      <c r="U102" s="10">
        <f>IFERROR(__xludf.DUMMYFUNCTION("IF(COUNTA(Q102:Q1644)=0,"""",IF(Q102="""",0,IF(REGEXMATCH(Q102,""^Sell_""),-ROUNDDOWN(ROUNDUP(INDEX(Upgrades!$C$3:$C$13,MATCH(SUBSTITUTE(Q102,""Sell_"",""""),Upgrades!$B$3:$B$13,0))*1.15^(COUNTIF(Q$4:Q101,SUBSTITUTE(Q102,""Sell_"",""""))-COUNTIF(Q$4:Q101,"&amp;"""Sell_""&amp;SUBSTITUTE(Q102,""Sell_"",""""))))/2),ROUNDUP(INDEX(Upgrades!$C$3:$C$13,MATCH(Q102,Upgrades!$B$3:$B$13,0))*1.15^(COUNTIF(Q$4:Q101,Q102)-COUNTIF(Q$4:Q101,""Sell_""&amp;Q102))))))"),60835.0)</f>
        <v>60835</v>
      </c>
      <c r="V102" s="10">
        <f t="shared" si="11"/>
        <v>60835</v>
      </c>
      <c r="W102" s="68">
        <f t="shared" si="12"/>
        <v>3475.868928</v>
      </c>
      <c r="X102" s="59" t="str">
        <f t="shared" si="13"/>
        <v>57m 55s</v>
      </c>
      <c r="Y102" s="69">
        <f t="shared" si="14"/>
        <v>16186452</v>
      </c>
      <c r="Z102" s="11"/>
      <c r="AG102" s="59"/>
    </row>
    <row r="103">
      <c r="A103" s="8"/>
      <c r="B103" s="56">
        <f t="shared" si="2"/>
        <v>11</v>
      </c>
      <c r="C103" s="67" t="s">
        <v>7</v>
      </c>
      <c r="D103" s="10" t="b">
        <f>IFERROR(__xludf.DUMMYFUNCTION("IF(COUNTA(C103:C1644)=0,"""",IF(ISBLANK(C103),FALSE,IF(NOT(COUNTIF($AA$24:$AA$34,SUBSTITUTE(C103,""Sell_"",""""))),1,IF(REGEXMATCH(C103,""Sell_""),IF(COUNTIF(C$4:C103,SUBSTITUTE(C103,""Sell_"",""""))-COUNTIF(C$4:C102,C103)&lt;1,1),FALSE))))"),FALSE)</f>
        <v>0</v>
      </c>
      <c r="E103" s="59">
        <f t="array" ref="E103">IF(COUNTA(C103:C1644)=0,"",SUM((COUNTIF(C$4:C103,Upgrades!$B$3:$B$13)-COUNTIF(C$4:C103,"Sell_"&amp;Upgrades!$B$3:$B$13))*Upgrades!$D$3:$D$13))</f>
        <v>69957.6</v>
      </c>
      <c r="F103" s="66">
        <f>IFERROR(__xludf.DUMMYFUNCTION("IF(COUNTA(C103:C1644)=0,"""",IF(REGEXMATCH(INDEX(FILTER(C$4:C103,C$4:C103&lt;&gt;""""),ROWS(FILTER(C$4:C103,C$4:C103&lt;&gt;""""))),""^Sell_""),INDEX(FILTER(F$4:F102,C$4:C102&lt;&gt;""""),ROWS(FILTER(C$4:C102,C$4:C102&lt;&gt;""""))),$AC$5+E103))"),69967.6)</f>
        <v>69967.6</v>
      </c>
      <c r="G103" s="10">
        <f>IFERROR(__xludf.DUMMYFUNCTION("IF(COUNTA(C103:C1644)=0,"""",IF(C103="""",0,IF(REGEXMATCH(C103,""^Sell_""),-ROUNDDOWN(ROUNDUP(INDEX(Upgrades!$C$3:$C$13,MATCH(SUBSTITUTE(C103,""Sell_"",""""),Upgrades!$B$3:$B$13,0))*1.15^(COUNTIF(C$4:C102,SUBSTITUTE(C103,""Sell_"",""""))-COUNTIF(C$4:C102,"&amp;"""Sell_""&amp;SUBSTITUTE(C103,""Sell_"",""""))))/2),ROUNDUP(INDEX(Upgrades!$C$3:$C$13,MATCH(C103,Upgrades!$B$3:$B$13,0))*1.15^(COUNTIF(C$4:C102,C103)-COUNTIF(C$4:C102,""Sell_""&amp;C103))))))"),40456.0)</f>
        <v>40456</v>
      </c>
      <c r="H103" s="10">
        <f t="shared" si="3"/>
        <v>40456</v>
      </c>
      <c r="I103" s="68">
        <f t="shared" si="4"/>
        <v>3896.12995</v>
      </c>
      <c r="J103" s="59" t="str">
        <f t="shared" si="5"/>
        <v>1h 04m 56s</v>
      </c>
      <c r="K103" s="69">
        <f t="shared" si="6"/>
        <v>36441946</v>
      </c>
      <c r="L103" s="60">
        <f t="shared" si="7"/>
        <v>-35.09718</v>
      </c>
      <c r="M103" s="61">
        <f>IFERROR(__xludf.DUMMYFUNCTION("IFS(AND(COUNTA(C103:C1644)=0,COUNTA(Q103:Q1644)=0),"""",OR(AND(K103&gt;=1000000000,OR(Y103&gt;=1000000000,COUNTA(Q103:Q1644)=0)),OR(Y103&gt;=1000000000,AND(COUNTA(C103:C1644)=0,P$3=TRUE))),
ROUNDDOWN((AB$1-AC$1)*MAX(INDEX(T$4:T1644,MATCH(LARGE(FILTER(Y$4:Y1644,Y$4"&amp;":Y1644&lt;1000000000),1),Y$4:Y1644)),INDEX(F$4:F1644,MATCH(LARGE(FILTER(K$4:K1644,K$4:K1644&lt;1000000000),1),K$4:K1644)))),AND(K103&lt;1000000000,COUNTA(C103:C1644)&gt;0,P$3=FALSE),
ROUNDDOWN(INDEX(Y$4:Y1644,MATCH(LARGE(FILTER(W$4:W1644,W$4:W1644&lt;=I103),1),W$4:W1644"&amp;"))+(I103-LARGE(FILTER(W$4:W1644,W$4:W1644&lt;=I103),1))*INDEX(T$4:T1644,MATCH(LARGE(FILTER(W$4:W1644,W$4:W1644&lt;=I103),1),W$4:W1644))-K103),1,
ROUNDDOWN(Y103-INDEX(K$4:K1644,MATCH(LARGE(FILTER(I$4:I1644,I$4:I1644&lt;=W103),1),I$4:I1644))-(W103-LARGE(FILTER(I$4:I"&amp;"1644,I$4:I1644&lt;=W103),1))*INDEX(F$4:F1644,MATCH(LARGE(FILTER(I$4:I1644,I$4:I1644&lt;=W103),1),I$4:I1644))))"),2447346.0)</f>
        <v>2447346</v>
      </c>
      <c r="N103" s="60">
        <f t="shared" si="8"/>
        <v>-35.09718</v>
      </c>
      <c r="O103" s="61" t="str">
        <f t="shared" si="9"/>
        <v>2,4M</v>
      </c>
      <c r="P103" s="56">
        <f t="shared" si="10"/>
        <v>3</v>
      </c>
      <c r="Q103" s="67" t="s">
        <v>9</v>
      </c>
      <c r="R103" s="10" t="b">
        <f>IFERROR(__xludf.DUMMYFUNCTION("IF(COUNTA(Q103:Q1644)=0,"""",IF(ISBLANK(Q103),FALSE,IF(NOT(COUNTIF($AA$24:$AA$34,SUBSTITUTE(Q103,""Sell_"",""""))),1,IF(REGEXMATCH(Q103,""Sell_""),IF(COUNTIF(Q$4:Q103,SUBSTITUTE(Q103,""Sell_"",""""))-COUNTIF(Q$4:Q102,Q103)&lt;1,1),FALSE))))"),FALSE)</f>
        <v>0</v>
      </c>
      <c r="S103" s="59">
        <f t="array" ref="S103">IF(COUNTA(Q103:Q1644)=0,"",SUM((COUNTIF(Q$4:Q103,Upgrades!$B$3:$B$13)-COUNTIF(Q$4:Q103,"Sell_"&amp;Upgrades!$B$3:$B$13))*Upgrades!$D$3:$D$13))</f>
        <v>42102.8</v>
      </c>
      <c r="T103" s="66">
        <f>IFERROR(__xludf.DUMMYFUNCTION("IF(COUNTA(Q103:Q1644)=0,"""",IF(REGEXMATCH(INDEX(FILTER(Q$4:Q103,Q$4:Q103&lt;&gt;""""),ROWS(FILTER(Q$4:Q103,Q$4:Q103&lt;&gt;""""))),""^Sell_""),INDEX(FILTER(T$4:T102,Q$4:Q102&lt;&gt;""""),ROWS(FILTER(Q$4:Q102,Q$4:Q102&lt;&gt;""""))),$AD$5+S103))"),42112.8)</f>
        <v>42112.8</v>
      </c>
      <c r="U103" s="10">
        <f>IFERROR(__xludf.DUMMYFUNCTION("IF(COUNTA(Q103:Q1644)=0,"""",IF(Q103="""",0,IF(REGEXMATCH(Q103,""^Sell_""),-ROUNDDOWN(ROUNDUP(INDEX(Upgrades!$C$3:$C$13,MATCH(SUBSTITUTE(Q103,""Sell_"",""""),Upgrades!$B$3:$B$13,0))*1.15^(COUNTIF(Q$4:Q102,SUBSTITUTE(Q103,""Sell_"",""""))-COUNTIF(Q$4:Q102,"&amp;"""Sell_""&amp;SUBSTITUTE(Q103,""Sell_"",""""))))/2),ROUNDUP(INDEX(Upgrades!$C$3:$C$13,MATCH(Q103,Upgrades!$B$3:$B$13,0))*1.15^(COUNTIF(Q$4:Q102,Q103)-COUNTIF(Q$4:Q102,""Sell_""&amp;Q103))))))"),264500.0)</f>
        <v>264500</v>
      </c>
      <c r="V103" s="10">
        <f t="shared" si="11"/>
        <v>264500</v>
      </c>
      <c r="W103" s="68">
        <f t="shared" si="12"/>
        <v>3482.209907</v>
      </c>
      <c r="X103" s="59" t="str">
        <f t="shared" si="13"/>
        <v>58m 02s</v>
      </c>
      <c r="Y103" s="69">
        <f t="shared" si="14"/>
        <v>16450952</v>
      </c>
      <c r="Z103" s="11"/>
      <c r="AG103" s="59"/>
    </row>
    <row r="104">
      <c r="A104" s="8"/>
      <c r="B104" s="56">
        <f t="shared" si="2"/>
        <v>16</v>
      </c>
      <c r="C104" s="67" t="s">
        <v>5</v>
      </c>
      <c r="D104" s="10" t="b">
        <f>IFERROR(__xludf.DUMMYFUNCTION("IF(COUNTA(C104:C1644)=0,"""",IF(ISBLANK(C104),FALSE,IF(NOT(COUNTIF($AA$24:$AA$34,SUBSTITUTE(C104,""Sell_"",""""))),1,IF(REGEXMATCH(C104,""Sell_""),IF(COUNTIF(C$4:C104,SUBSTITUTE(C104,""Sell_"",""""))-COUNTIF(C$4:C103,C104)&lt;1,1),FALSE))))"),FALSE)</f>
        <v>0</v>
      </c>
      <c r="E104" s="59">
        <f t="array" ref="E104">IF(COUNTA(C104:C1644)=0,"",SUM((COUNTIF(C$4:C104,Upgrades!$B$3:$B$13)-COUNTIF(C$4:C104,"Sell_"&amp;Upgrades!$B$3:$B$13))*Upgrades!$D$3:$D$13))</f>
        <v>69961.6</v>
      </c>
      <c r="F104" s="66">
        <f>IFERROR(__xludf.DUMMYFUNCTION("IF(COUNTA(C104:C1644)=0,"""",IF(REGEXMATCH(INDEX(FILTER(C$4:C104,C$4:C104&lt;&gt;""""),ROWS(FILTER(C$4:C104,C$4:C104&lt;&gt;""""))),""^Sell_""),INDEX(FILTER(F$4:F103,C$4:C103&lt;&gt;""""),ROWS(FILTER(C$4:C103,C$4:C103&lt;&gt;""""))),$AC$5+E104))"),69971.6)</f>
        <v>69971.6</v>
      </c>
      <c r="G104" s="10">
        <f>IFERROR(__xludf.DUMMYFUNCTION("IF(COUNTA(C104:C1644)=0,"""",IF(C104="""",0,IF(REGEXMATCH(C104,""^Sell_""),-ROUNDDOWN(ROUNDUP(INDEX(Upgrades!$C$3:$C$13,MATCH(SUBSTITUTE(C104,""Sell_"",""""),Upgrades!$B$3:$B$13,0))*1.15^(COUNTIF(C$4:C103,SUBSTITUTE(C104,""Sell_"",""""))-COUNTIF(C$4:C103,"&amp;"""Sell_""&amp;SUBSTITUTE(C104,""Sell_"",""""))))/2),ROUNDUP(INDEX(Upgrades!$C$3:$C$13,MATCH(C104,Upgrades!$B$3:$B$13,0))*1.15^(COUNTIF(C$4:C103,C104)-COUNTIF(C$4:C103,""Sell_""&amp;C104))))))"),4069.0)</f>
        <v>4069</v>
      </c>
      <c r="H104" s="10">
        <f t="shared" si="3"/>
        <v>4069</v>
      </c>
      <c r="I104" s="68">
        <f t="shared" si="4"/>
        <v>3896.188105</v>
      </c>
      <c r="J104" s="59" t="str">
        <f t="shared" si="5"/>
        <v>1h 04m 56s</v>
      </c>
      <c r="K104" s="69">
        <f t="shared" si="6"/>
        <v>36446015</v>
      </c>
      <c r="L104" s="60">
        <f t="shared" si="7"/>
        <v>-35.09102</v>
      </c>
      <c r="M104" s="61">
        <f>IFERROR(__xludf.DUMMYFUNCTION("IFS(AND(COUNTA(C104:C1644)=0,COUNTA(Q104:Q1644)=0),"""",OR(AND(K104&gt;=1000000000,OR(Y104&gt;=1000000000,COUNTA(Q104:Q1644)=0)),OR(Y104&gt;=1000000000,AND(COUNTA(C104:C1644)=0,P$3=TRUE))),
ROUNDDOWN((AB$1-AC$1)*MAX(INDEX(T$4:T1644,MATCH(LARGE(FILTER(Y$4:Y1644,Y$4"&amp;":Y1644&lt;1000000000),1),Y$4:Y1644)),INDEX(F$4:F1644,MATCH(LARGE(FILTER(K$4:K1644,K$4:K1644&lt;1000000000),1),K$4:K1644)))),AND(K104&lt;1000000000,COUNTA(C104:C1644)&gt;0,P$3=FALSE),
ROUNDDOWN(INDEX(Y$4:Y1644,MATCH(LARGE(FILTER(W$4:W1644,W$4:W1644&lt;=I104),1),W$4:W1644"&amp;"))+(I104-LARGE(FILTER(W$4:W1644,W$4:W1644&lt;=I104),1))*INDEX(T$4:T1644,MATCH(LARGE(FILTER(W$4:W1644,W$4:W1644&lt;=I104),1),W$4:W1644))-K104),1,
ROUNDDOWN(Y104-INDEX(K$4:K1644,MATCH(LARGE(FILTER(I$4:I1644,I$4:I1644&lt;=W104),1),I$4:I1644))-(W104-LARGE(FILTER(I$4:I"&amp;"1644,I$4:I1644&lt;=W104),1))*INDEX(F$4:F1644,MATCH(LARGE(FILTER(I$4:I1644,I$4:I1644&lt;=W104),1),I$4:I1644))))"),2447376.0)</f>
        <v>2447376</v>
      </c>
      <c r="N104" s="60">
        <f t="shared" si="8"/>
        <v>-35.09102</v>
      </c>
      <c r="O104" s="61" t="str">
        <f t="shared" si="9"/>
        <v>2,4M</v>
      </c>
      <c r="P104" s="56">
        <f t="shared" si="10"/>
        <v>7</v>
      </c>
      <c r="Q104" s="67" t="s">
        <v>10</v>
      </c>
      <c r="R104" s="10" t="b">
        <f>IFERROR(__xludf.DUMMYFUNCTION("IF(COUNTA(Q104:Q1644)=0,"""",IF(ISBLANK(Q104),FALSE,IF(NOT(COUNTIF($AA$24:$AA$34,SUBSTITUTE(Q104,""Sell_"",""""))),1,IF(REGEXMATCH(Q104,""Sell_""),IF(COUNTIF(Q$4:Q104,SUBSTITUTE(Q104,""Sell_"",""""))-COUNTIF(Q$4:Q103,Q104)&lt;1,1),FALSE))))"),FALSE)</f>
        <v>0</v>
      </c>
      <c r="S104" s="59">
        <f t="array" ref="S104">IF(COUNTA(Q104:Q1644)=0,"",SUM((COUNTIF(Q$4:Q104,Upgrades!$B$3:$B$13)-COUNTIF(Q$4:Q104,"Sell_"&amp;Upgrades!$B$3:$B$13))*Upgrades!$D$3:$D$13))</f>
        <v>48768.8</v>
      </c>
      <c r="T104" s="66">
        <f>IFERROR(__xludf.DUMMYFUNCTION("IF(COUNTA(Q104:Q1644)=0,"""",IF(REGEXMATCH(INDEX(FILTER(Q$4:Q104,Q$4:Q104&lt;&gt;""""),ROWS(FILTER(Q$4:Q104,Q$4:Q104&lt;&gt;""""))),""^Sell_""),INDEX(FILTER(T$4:T103,Q$4:Q103&lt;&gt;""""),ROWS(FILTER(Q$4:Q103,Q$4:Q103&lt;&gt;""""))),$AD$5+S104))"),48778.8)</f>
        <v>48778.8</v>
      </c>
      <c r="U104" s="10">
        <f>IFERROR(__xludf.DUMMYFUNCTION("IF(COUNTA(Q104:Q1644)=0,"""",IF(Q104="""",0,IF(REGEXMATCH(Q104,""^Sell_""),-ROUNDDOWN(ROUNDUP(INDEX(Upgrades!$C$3:$C$13,MATCH(SUBSTITUTE(Q104,""Sell_"",""""),Upgrades!$B$3:$B$13,0))*1.15^(COUNTIF(Q$4:Q103,SUBSTITUTE(Q104,""Sell_"",""""))-COUNTIF(Q$4:Q103,"&amp;"""Sell_""&amp;SUBSTITUTE(Q104,""Sell_"",""""))))/2),ROUNDUP(INDEX(Upgrades!$C$3:$C$13,MATCH(Q104,Upgrades!$B$3:$B$13,0))*1.15^(COUNTIF(Q$4:Q103,Q104)-COUNTIF(Q$4:Q103,""Sell_""&amp;Q104))))))"),3855100.0)</f>
        <v>3855100</v>
      </c>
      <c r="V104" s="10">
        <f t="shared" si="11"/>
        <v>3855100</v>
      </c>
      <c r="W104" s="68">
        <f t="shared" si="12"/>
        <v>3573.752146</v>
      </c>
      <c r="X104" s="59" t="str">
        <f t="shared" si="13"/>
        <v>59m 33s</v>
      </c>
      <c r="Y104" s="69">
        <f t="shared" si="14"/>
        <v>20306052</v>
      </c>
      <c r="Z104" s="11"/>
      <c r="AG104" s="59"/>
    </row>
    <row r="105">
      <c r="A105" s="8"/>
      <c r="B105" s="56">
        <f t="shared" si="2"/>
        <v>10</v>
      </c>
      <c r="C105" s="67" t="s">
        <v>6</v>
      </c>
      <c r="D105" s="10" t="b">
        <f>IFERROR(__xludf.DUMMYFUNCTION("IF(COUNTA(C105:C1644)=0,"""",IF(ISBLANK(C105),FALSE,IF(NOT(COUNTIF($AA$24:$AA$34,SUBSTITUTE(C105,""Sell_"",""""))),1,IF(REGEXMATCH(C105,""Sell_""),IF(COUNTIF(C$4:C105,SUBSTITUTE(C105,""Sell_"",""""))-COUNTIF(C$4:C104,C105)&lt;1,1),FALSE))))"),FALSE)</f>
        <v>0</v>
      </c>
      <c r="E105" s="59">
        <f t="array" ref="E105">IF(COUNTA(C105:C1644)=0,"",SUM((COUNTIF(C$4:C105,Upgrades!$B$3:$B$13)-COUNTIF(C$4:C105,"Sell_"&amp;Upgrades!$B$3:$B$13))*Upgrades!$D$3:$D$13))</f>
        <v>69971.6</v>
      </c>
      <c r="F105" s="66">
        <f>IFERROR(__xludf.DUMMYFUNCTION("IF(COUNTA(C105:C1644)=0,"""",IF(REGEXMATCH(INDEX(FILTER(C$4:C105,C$4:C105&lt;&gt;""""),ROWS(FILTER(C$4:C105,C$4:C105&lt;&gt;""""))),""^Sell_""),INDEX(FILTER(F$4:F104,C$4:C104&lt;&gt;""""),ROWS(FILTER(C$4:C104,C$4:C104&lt;&gt;""""))),$AC$5+E105))"),69981.6)</f>
        <v>69981.6</v>
      </c>
      <c r="G105" s="10">
        <f>IFERROR(__xludf.DUMMYFUNCTION("IF(COUNTA(C105:C1644)=0,"""",IF(C105="""",0,IF(REGEXMATCH(C105,""^Sell_""),-ROUNDDOWN(ROUNDUP(INDEX(Upgrades!$C$3:$C$13,MATCH(SUBSTITUTE(C105,""Sell_"",""""),Upgrades!$B$3:$B$13,0))*1.15^(COUNTIF(C$4:C104,SUBSTITUTE(C105,""Sell_"",""""))-COUNTIF(C$4:C104,"&amp;"""Sell_""&amp;SUBSTITUTE(C105,""Sell_"",""""))))/2),ROUNDUP(INDEX(Upgrades!$C$3:$C$13,MATCH(C105,Upgrades!$B$3:$B$13,0))*1.15^(COUNTIF(C$4:C104,C105)-COUNTIF(C$4:C104,""Sell_""&amp;C105))))))"),10554.0)</f>
        <v>10554</v>
      </c>
      <c r="H105" s="10">
        <f t="shared" si="3"/>
        <v>10554</v>
      </c>
      <c r="I105" s="68">
        <f t="shared" si="4"/>
        <v>3896.338938</v>
      </c>
      <c r="J105" s="59" t="str">
        <f t="shared" si="5"/>
        <v>1h 04m 56s</v>
      </c>
      <c r="K105" s="69">
        <f t="shared" si="6"/>
        <v>36456569</v>
      </c>
      <c r="L105" s="60">
        <f t="shared" si="7"/>
        <v>-35.07502</v>
      </c>
      <c r="M105" s="61">
        <f>IFERROR(__xludf.DUMMYFUNCTION("IFS(AND(COUNTA(C105:C1644)=0,COUNTA(Q105:Q1644)=0),"""",OR(AND(K105&gt;=1000000000,OR(Y105&gt;=1000000000,COUNTA(Q105:Q1644)=0)),OR(Y105&gt;=1000000000,AND(COUNTA(C105:C1644)=0,P$3=TRUE))),
ROUNDDOWN((AB$1-AC$1)*MAX(INDEX(T$4:T1644,MATCH(LARGE(FILTER(Y$4:Y1644,Y$4"&amp;":Y1644&lt;1000000000),1),Y$4:Y1644)),INDEX(F$4:F1644,MATCH(LARGE(FILTER(K$4:K1644,K$4:K1644&lt;1000000000),1),K$4:K1644)))),AND(K105&lt;1000000000,COUNTA(C105:C1644)&gt;0,P$3=FALSE),
ROUNDDOWN(INDEX(Y$4:Y1644,MATCH(LARGE(FILTER(W$4:W1644,W$4:W1644&lt;=I105),1),W$4:W1644"&amp;"))+(I105-LARGE(FILTER(W$4:W1644,W$4:W1644&lt;=I105),1))*INDEX(T$4:T1644,MATCH(LARGE(FILTER(W$4:W1644,W$4:W1644&lt;=I105),1),W$4:W1644))-K105),1,
ROUNDDOWN(Y105-INDEX(K$4:K1644,MATCH(LARGE(FILTER(I$4:I1644,I$4:I1644&lt;=W105),1),I$4:I1644))-(W105-LARGE(FILTER(I$4:I"&amp;"1644,I$4:I1644&lt;=W105),1))*INDEX(F$4:F1644,MATCH(LARGE(FILTER(I$4:I1644,I$4:I1644&lt;=W105),1),I$4:I1644))))"),2447453.0)</f>
        <v>2447453</v>
      </c>
      <c r="N105" s="60">
        <f t="shared" si="8"/>
        <v>-35.07502</v>
      </c>
      <c r="O105" s="61" t="str">
        <f t="shared" si="9"/>
        <v>2,4M</v>
      </c>
      <c r="P105" s="56">
        <f t="shared" si="10"/>
        <v>5</v>
      </c>
      <c r="Q105" s="67" t="s">
        <v>8</v>
      </c>
      <c r="R105" s="10" t="b">
        <f>IFERROR(__xludf.DUMMYFUNCTION("IF(COUNTA(Q105:Q1644)=0,"""",IF(ISBLANK(Q105),FALSE,IF(NOT(COUNTIF($AA$24:$AA$34,SUBSTITUTE(Q105,""Sell_"",""""))),1,IF(REGEXMATCH(Q105,""Sell_""),IF(COUNTIF(Q$4:Q105,SUBSTITUTE(Q105,""Sell_"",""""))-COUNTIF(Q$4:Q104,Q105)&lt;1,1),FALSE))))"),FALSE)</f>
        <v>0</v>
      </c>
      <c r="S105" s="59">
        <f t="array" ref="S105">IF(COUNTA(Q105:Q1644)=0,"",SUM((COUNTIF(Q$4:Q105,Upgrades!$B$3:$B$13)-COUNTIF(Q$4:Q105,"Sell_"&amp;Upgrades!$B$3:$B$13))*Upgrades!$D$3:$D$13))</f>
        <v>48868.8</v>
      </c>
      <c r="T105" s="66">
        <f>IFERROR(__xludf.DUMMYFUNCTION("IF(COUNTA(Q105:Q1644)=0,"""",IF(REGEXMATCH(INDEX(FILTER(Q$4:Q105,Q$4:Q105&lt;&gt;""""),ROWS(FILTER(Q$4:Q105,Q$4:Q105&lt;&gt;""""))),""^Sell_""),INDEX(FILTER(T$4:T104,Q$4:Q104&lt;&gt;""""),ROWS(FILTER(Q$4:Q104,Q$4:Q104&lt;&gt;""""))),$AD$5+S105))"),48878.8)</f>
        <v>48878.8</v>
      </c>
      <c r="U105" s="10">
        <f>IFERROR(__xludf.DUMMYFUNCTION("IF(COUNTA(Q105:Q1644)=0,"""",IF(Q105="""",0,IF(REGEXMATCH(Q105,""^Sell_""),-ROUNDDOWN(ROUNDUP(INDEX(Upgrades!$C$3:$C$13,MATCH(SUBSTITUTE(Q105,""Sell_"",""""),Upgrades!$B$3:$B$13,0))*1.15^(COUNTIF(Q$4:Q104,SUBSTITUTE(Q105,""Sell_"",""""))-COUNTIF(Q$4:Q104,"&amp;"""Sell_""&amp;SUBSTITUTE(Q105,""Sell_"",""""))))/2),ROUNDUP(INDEX(Upgrades!$C$3:$C$13,MATCH(Q105,Upgrades!$B$3:$B$13,0))*1.15^(COUNTIF(Q$4:Q104,Q105)-COUNTIF(Q$4:Q104,""Sell_""&amp;Q105))))))"),69961.0)</f>
        <v>69961</v>
      </c>
      <c r="V105" s="10">
        <f t="shared" si="11"/>
        <v>69961</v>
      </c>
      <c r="W105" s="68">
        <f t="shared" si="12"/>
        <v>3575.186396</v>
      </c>
      <c r="X105" s="59" t="str">
        <f t="shared" si="13"/>
        <v>59m 35s</v>
      </c>
      <c r="Y105" s="69">
        <f t="shared" si="14"/>
        <v>20376013</v>
      </c>
      <c r="Z105" s="11"/>
      <c r="AG105" s="59"/>
    </row>
    <row r="106">
      <c r="A106" s="8"/>
      <c r="B106" s="56">
        <f t="shared" si="2"/>
        <v>8</v>
      </c>
      <c r="C106" s="67" t="s">
        <v>8</v>
      </c>
      <c r="D106" s="10" t="b">
        <f>IFERROR(__xludf.DUMMYFUNCTION("IF(COUNTA(C106:C1644)=0,"""",IF(ISBLANK(C106),FALSE,IF(NOT(COUNTIF($AA$24:$AA$34,SUBSTITUTE(C106,""Sell_"",""""))),1,IF(REGEXMATCH(C106,""Sell_""),IF(COUNTIF(C$4:C106,SUBSTITUTE(C106,""Sell_"",""""))-COUNTIF(C$4:C105,C106)&lt;1,1),FALSE))))"),FALSE)</f>
        <v>0</v>
      </c>
      <c r="E106" s="59">
        <f t="array" ref="E106">IF(COUNTA(C106:C1644)=0,"",SUM((COUNTIF(C$4:C106,Upgrades!$B$3:$B$13)-COUNTIF(C$4:C106,"Sell_"&amp;Upgrades!$B$3:$B$13))*Upgrades!$D$3:$D$13))</f>
        <v>70071.6</v>
      </c>
      <c r="F106" s="66">
        <f>IFERROR(__xludf.DUMMYFUNCTION("IF(COUNTA(C106:C1644)=0,"""",IF(REGEXMATCH(INDEX(FILTER(C$4:C106,C$4:C106&lt;&gt;""""),ROWS(FILTER(C$4:C106,C$4:C106&lt;&gt;""""))),""^Sell_""),INDEX(FILTER(F$4:F105,C$4:C105&lt;&gt;""""),ROWS(FILTER(C$4:C105,C$4:C105&lt;&gt;""""))),$AC$5+E106))"),70081.6)</f>
        <v>70081.6</v>
      </c>
      <c r="G106" s="10">
        <f>IFERROR(__xludf.DUMMYFUNCTION("IF(COUNTA(C106:C1644)=0,"""",IF(C106="""",0,IF(REGEXMATCH(C106,""^Sell_""),-ROUNDDOWN(ROUNDUP(INDEX(Upgrades!$C$3:$C$13,MATCH(SUBSTITUTE(C106,""Sell_"",""""),Upgrades!$B$3:$B$13,0))*1.15^(COUNTIF(C$4:C105,SUBSTITUTE(C106,""Sell_"",""""))-COUNTIF(C$4:C105,"&amp;"""Sell_""&amp;SUBSTITUTE(C106,""Sell_"",""""))))/2),ROUNDUP(INDEX(Upgrades!$C$3:$C$13,MATCH(C106,Upgrades!$B$3:$B$13,0))*1.15^(COUNTIF(C$4:C105,C106)-COUNTIF(C$4:C105,""Sell_""&amp;C106))))))"),106401.0)</f>
        <v>106401</v>
      </c>
      <c r="H106" s="10">
        <f t="shared" si="3"/>
        <v>106401</v>
      </c>
      <c r="I106" s="68">
        <f t="shared" si="4"/>
        <v>3897.859352</v>
      </c>
      <c r="J106" s="59" t="str">
        <f t="shared" si="5"/>
        <v>1h 04m 57s</v>
      </c>
      <c r="K106" s="69">
        <f t="shared" si="6"/>
        <v>36562970</v>
      </c>
      <c r="L106" s="60">
        <f t="shared" si="7"/>
        <v>-34.91351</v>
      </c>
      <c r="M106" s="61">
        <f>IFERROR(__xludf.DUMMYFUNCTION("IFS(AND(COUNTA(C106:C1644)=0,COUNTA(Q106:Q1644)=0),"""",OR(AND(K106&gt;=1000000000,OR(Y106&gt;=1000000000,COUNTA(Q106:Q1644)=0)),OR(Y106&gt;=1000000000,AND(COUNTA(C106:C1644)=0,P$3=TRUE))),
ROUNDDOWN((AB$1-AC$1)*MAX(INDEX(T$4:T1644,MATCH(LARGE(FILTER(Y$4:Y1644,Y$4"&amp;":Y1644&lt;1000000000),1),Y$4:Y1644)),INDEX(F$4:F1644,MATCH(LARGE(FILTER(K$4:K1644,K$4:K1644&lt;1000000000),1),K$4:K1644)))),AND(K106&lt;1000000000,COUNTA(C106:C1644)&gt;0,P$3=FALSE),
ROUNDDOWN(INDEX(Y$4:Y1644,MATCH(LARGE(FILTER(W$4:W1644,W$4:W1644&lt;=I106),1),W$4:W1644"&amp;"))+(I106-LARGE(FILTER(W$4:W1644,W$4:W1644&lt;=I106),1))*INDEX(T$4:T1644,MATCH(LARGE(FILTER(W$4:W1644,W$4:W1644&lt;=I106),1),W$4:W1644))-K106),1,
ROUNDDOWN(Y106-INDEX(K$4:K1644,MATCH(LARGE(FILTER(I$4:I1644,I$4:I1644&lt;=W106),1),I$4:I1644))-(W106-LARGE(FILTER(I$4:I"&amp;"1644,I$4:I1644&lt;=W106),1))*INDEX(F$4:F1644,MATCH(LARGE(FILTER(I$4:I1644,I$4:I1644&lt;=W106),1),I$4:I1644))))"),2448214.0)</f>
        <v>2448214</v>
      </c>
      <c r="N106" s="60">
        <f t="shared" si="8"/>
        <v>-34.91351</v>
      </c>
      <c r="O106" s="61" t="str">
        <f t="shared" si="9"/>
        <v>2,4M</v>
      </c>
      <c r="P106" s="56">
        <f t="shared" si="10"/>
        <v>8</v>
      </c>
      <c r="Q106" s="67" t="s">
        <v>10</v>
      </c>
      <c r="R106" s="10" t="b">
        <f>IFERROR(__xludf.DUMMYFUNCTION("IF(COUNTA(Q106:Q1644)=0,"""",IF(ISBLANK(Q106),FALSE,IF(NOT(COUNTIF($AA$24:$AA$34,SUBSTITUTE(Q106,""Sell_"",""""))),1,IF(REGEXMATCH(Q106,""Sell_""),IF(COUNTIF(Q$4:Q106,SUBSTITUTE(Q106,""Sell_"",""""))-COUNTIF(Q$4:Q105,Q106)&lt;1,1),FALSE))))"),FALSE)</f>
        <v>0</v>
      </c>
      <c r="S106" s="59">
        <f t="array" ref="S106">IF(COUNTA(Q106:Q1644)=0,"",SUM((COUNTIF(Q$4:Q106,Upgrades!$B$3:$B$13)-COUNTIF(Q$4:Q106,"Sell_"&amp;Upgrades!$B$3:$B$13))*Upgrades!$D$3:$D$13))</f>
        <v>55534.8</v>
      </c>
      <c r="T106" s="66">
        <f>IFERROR(__xludf.DUMMYFUNCTION("IF(COUNTA(Q106:Q1644)=0,"""",IF(REGEXMATCH(INDEX(FILTER(Q$4:Q106,Q$4:Q106&lt;&gt;""""),ROWS(FILTER(Q$4:Q106,Q$4:Q106&lt;&gt;""""))),""^Sell_""),INDEX(FILTER(T$4:T105,Q$4:Q105&lt;&gt;""""),ROWS(FILTER(Q$4:Q105,Q$4:Q105&lt;&gt;""""))),$AD$5+S106))"),55544.8)</f>
        <v>55544.8</v>
      </c>
      <c r="U106" s="10">
        <f>IFERROR(__xludf.DUMMYFUNCTION("IF(COUNTA(Q106:Q1644)=0,"""",IF(Q106="""",0,IF(REGEXMATCH(Q106,""^Sell_""),-ROUNDDOWN(ROUNDUP(INDEX(Upgrades!$C$3:$C$13,MATCH(SUBSTITUTE(Q106,""Sell_"",""""),Upgrades!$B$3:$B$13,0))*1.15^(COUNTIF(Q$4:Q105,SUBSTITUTE(Q106,""Sell_"",""""))-COUNTIF(Q$4:Q105,"&amp;"""Sell_""&amp;SUBSTITUTE(Q106,""Sell_"",""""))))/2),ROUNDUP(INDEX(Upgrades!$C$3:$C$13,MATCH(Q106,Upgrades!$B$3:$B$13,0))*1.15^(COUNTIF(Q$4:Q105,Q106)-COUNTIF(Q$4:Q105,""Sell_""&amp;Q106))))))"),4433365.0)</f>
        <v>4433365</v>
      </c>
      <c r="V106" s="10">
        <f t="shared" si="11"/>
        <v>4433365</v>
      </c>
      <c r="W106" s="68">
        <f t="shared" si="12"/>
        <v>3665.88758</v>
      </c>
      <c r="X106" s="59" t="str">
        <f t="shared" si="13"/>
        <v>1h 01m 05s</v>
      </c>
      <c r="Y106" s="69">
        <f t="shared" si="14"/>
        <v>24809378</v>
      </c>
      <c r="Z106" s="11"/>
      <c r="AG106" s="59"/>
    </row>
    <row r="107">
      <c r="A107" s="8"/>
      <c r="B107" s="56">
        <f t="shared" si="2"/>
        <v>13</v>
      </c>
      <c r="C107" s="67" t="s">
        <v>4</v>
      </c>
      <c r="D107" s="10" t="b">
        <f>IFERROR(__xludf.DUMMYFUNCTION("IF(COUNTA(C107:C1644)=0,"""",IF(ISBLANK(C107),FALSE,IF(NOT(COUNTIF($AA$24:$AA$34,SUBSTITUTE(C107,""Sell_"",""""))),1,IF(REGEXMATCH(C107,""Sell_""),IF(COUNTIF(C$4:C107,SUBSTITUTE(C107,""Sell_"",""""))-COUNTIF(C$4:C106,C107)&lt;1,1),FALSE))))"),FALSE)</f>
        <v>0</v>
      </c>
      <c r="E107" s="59">
        <f t="array" ref="E107">IF(COUNTA(C107:C1644)=0,"",SUM((COUNTIF(C$4:C107,Upgrades!$B$3:$B$13)-COUNTIF(C$4:C107,"Sell_"&amp;Upgrades!$B$3:$B$13))*Upgrades!$D$3:$D$13))</f>
        <v>70072.1</v>
      </c>
      <c r="F107" s="66">
        <f>IFERROR(__xludf.DUMMYFUNCTION("IF(COUNTA(C107:C1644)=0,"""",IF(REGEXMATCH(INDEX(FILTER(C$4:C107,C$4:C107&lt;&gt;""""),ROWS(FILTER(C$4:C107,C$4:C107&lt;&gt;""""))),""^Sell_""),INDEX(FILTER(F$4:F106,C$4:C106&lt;&gt;""""),ROWS(FILTER(C$4:C106,C$4:C106&lt;&gt;""""))),$AC$5+E107))"),70082.1)</f>
        <v>70082.1</v>
      </c>
      <c r="G107" s="10">
        <f>IFERROR(__xludf.DUMMYFUNCTION("IF(COUNTA(C107:C1644)=0,"""",IF(C107="""",0,IF(REGEXMATCH(C107,""^Sell_""),-ROUNDDOWN(ROUNDUP(INDEX(Upgrades!$C$3:$C$13,MATCH(SUBSTITUTE(C107,""Sell_"",""""),Upgrades!$B$3:$B$13,0))*1.15^(COUNTIF(C$4:C106,SUBSTITUTE(C107,""Sell_"",""""))-COUNTIF(C$4:C106,"&amp;"""Sell_""&amp;SUBSTITUTE(C107,""Sell_"",""""))))/2),ROUNDUP(INDEX(Upgrades!$C$3:$C$13,MATCH(C107,Upgrades!$B$3:$B$13,0))*1.15^(COUNTIF(C$4:C106,C107)-COUNTIF(C$4:C106,""Sell_""&amp;C107))))))"),536.0)</f>
        <v>536</v>
      </c>
      <c r="H107" s="10">
        <f t="shared" si="3"/>
        <v>536</v>
      </c>
      <c r="I107" s="68">
        <f t="shared" si="4"/>
        <v>3897.867</v>
      </c>
      <c r="J107" s="59" t="str">
        <f t="shared" si="5"/>
        <v>1h 04m 57s</v>
      </c>
      <c r="K107" s="69">
        <f t="shared" si="6"/>
        <v>36563506</v>
      </c>
      <c r="L107" s="60">
        <f t="shared" si="7"/>
        <v>-34.91268</v>
      </c>
      <c r="M107" s="61">
        <f>IFERROR(__xludf.DUMMYFUNCTION("IFS(AND(COUNTA(C107:C1644)=0,COUNTA(Q107:Q1644)=0),"""",OR(AND(K107&gt;=1000000000,OR(Y107&gt;=1000000000,COUNTA(Q107:Q1644)=0)),OR(Y107&gt;=1000000000,AND(COUNTA(C107:C1644)=0,P$3=TRUE))),
ROUNDDOWN((AB$1-AC$1)*MAX(INDEX(T$4:T1644,MATCH(LARGE(FILTER(Y$4:Y1644,Y$4"&amp;":Y1644&lt;1000000000),1),Y$4:Y1644)),INDEX(F$4:F1644,MATCH(LARGE(FILTER(K$4:K1644,K$4:K1644&lt;1000000000),1),K$4:K1644)))),AND(K107&lt;1000000000,COUNTA(C107:C1644)&gt;0,P$3=FALSE),
ROUNDDOWN(INDEX(Y$4:Y1644,MATCH(LARGE(FILTER(W$4:W1644,W$4:W1644&lt;=I107),1),W$4:W1644"&amp;"))+(I107-LARGE(FILTER(W$4:W1644,W$4:W1644&lt;=I107),1))*INDEX(T$4:T1644,MATCH(LARGE(FILTER(W$4:W1644,W$4:W1644&lt;=I107),1),W$4:W1644))-K107),1,
ROUNDDOWN(Y107-INDEX(K$4:K1644,MATCH(LARGE(FILTER(I$4:I1644,I$4:I1644&lt;=W107),1),I$4:I1644))-(W107-LARGE(FILTER(I$4:I"&amp;"1644,I$4:I1644&lt;=W107),1))*INDEX(F$4:F1644,MATCH(LARGE(FILTER(I$4:I1644,I$4:I1644&lt;=W107),1),I$4:I1644))))"),2448217.0)</f>
        <v>2448217</v>
      </c>
      <c r="N107" s="60">
        <f t="shared" si="8"/>
        <v>-34.91268</v>
      </c>
      <c r="O107" s="61" t="str">
        <f t="shared" si="9"/>
        <v>2,4M</v>
      </c>
      <c r="P107" s="56">
        <f t="shared" si="10"/>
        <v>4</v>
      </c>
      <c r="Q107" s="67" t="s">
        <v>9</v>
      </c>
      <c r="R107" s="10" t="b">
        <f>IFERROR(__xludf.DUMMYFUNCTION("IF(COUNTA(Q107:Q1644)=0,"""",IF(ISBLANK(Q107),FALSE,IF(NOT(COUNTIF($AA$24:$AA$34,SUBSTITUTE(Q107,""Sell_"",""""))),1,IF(REGEXMATCH(Q107,""Sell_""),IF(COUNTIF(Q$4:Q107,SUBSTITUTE(Q107,""Sell_"",""""))-COUNTIF(Q$4:Q106,Q107)&lt;1,1),FALSE))))"),FALSE)</f>
        <v>0</v>
      </c>
      <c r="S107" s="59">
        <f t="array" ref="S107">IF(COUNTA(Q107:Q1644)=0,"",SUM((COUNTIF(Q$4:Q107,Upgrades!$B$3:$B$13)-COUNTIF(Q$4:Q107,"Sell_"&amp;Upgrades!$B$3:$B$13))*Upgrades!$D$3:$D$13))</f>
        <v>55934.8</v>
      </c>
      <c r="T107" s="66">
        <f>IFERROR(__xludf.DUMMYFUNCTION("IF(COUNTA(Q107:Q1644)=0,"""",IF(REGEXMATCH(INDEX(FILTER(Q$4:Q107,Q$4:Q107&lt;&gt;""""),ROWS(FILTER(Q$4:Q107,Q$4:Q107&lt;&gt;""""))),""^Sell_""),INDEX(FILTER(T$4:T106,Q$4:Q106&lt;&gt;""""),ROWS(FILTER(Q$4:Q106,Q$4:Q106&lt;&gt;""""))),$AD$5+S107))"),55944.8)</f>
        <v>55944.8</v>
      </c>
      <c r="U107" s="10">
        <f>IFERROR(__xludf.DUMMYFUNCTION("IF(COUNTA(Q107:Q1644)=0,"""",IF(Q107="""",0,IF(REGEXMATCH(Q107,""^Sell_""),-ROUNDDOWN(ROUNDUP(INDEX(Upgrades!$C$3:$C$13,MATCH(SUBSTITUTE(Q107,""Sell_"",""""),Upgrades!$B$3:$B$13,0))*1.15^(COUNTIF(Q$4:Q106,SUBSTITUTE(Q107,""Sell_"",""""))-COUNTIF(Q$4:Q106,"&amp;"""Sell_""&amp;SUBSTITUTE(Q107,""Sell_"",""""))))/2),ROUNDUP(INDEX(Upgrades!$C$3:$C$13,MATCH(Q107,Upgrades!$B$3:$B$13,0))*1.15^(COUNTIF(Q$4:Q106,Q107)-COUNTIF(Q$4:Q106,""Sell_""&amp;Q107))))))"),304175.0)</f>
        <v>304175</v>
      </c>
      <c r="V107" s="10">
        <f t="shared" si="11"/>
        <v>304175</v>
      </c>
      <c r="W107" s="68">
        <f t="shared" si="12"/>
        <v>3671.36379</v>
      </c>
      <c r="X107" s="59" t="str">
        <f t="shared" si="13"/>
        <v>1h 01m 11s</v>
      </c>
      <c r="Y107" s="69">
        <f t="shared" si="14"/>
        <v>25113553</v>
      </c>
      <c r="Z107" s="11"/>
      <c r="AG107" s="59"/>
    </row>
    <row r="108">
      <c r="A108" s="8"/>
      <c r="B108" s="56">
        <f t="shared" si="2"/>
        <v>11</v>
      </c>
      <c r="C108" s="67" t="s">
        <v>10</v>
      </c>
      <c r="D108" s="10" t="b">
        <f>IFERROR(__xludf.DUMMYFUNCTION("IF(COUNTA(C108:C1644)=0,"""",IF(ISBLANK(C108),FALSE,IF(NOT(COUNTIF($AA$24:$AA$34,SUBSTITUTE(C108,""Sell_"",""""))),1,IF(REGEXMATCH(C108,""Sell_""),IF(COUNTIF(C$4:C108,SUBSTITUTE(C108,""Sell_"",""""))-COUNTIF(C$4:C107,C108)&lt;1,1),FALSE))))"),FALSE)</f>
        <v>0</v>
      </c>
      <c r="E108" s="59">
        <f t="array" ref="E108">IF(COUNTA(C108:C1644)=0,"",SUM((COUNTIF(C$4:C108,Upgrades!$B$3:$B$13)-COUNTIF(C$4:C108,"Sell_"&amp;Upgrades!$B$3:$B$13))*Upgrades!$D$3:$D$13))</f>
        <v>76738.1</v>
      </c>
      <c r="F108" s="66">
        <f>IFERROR(__xludf.DUMMYFUNCTION("IF(COUNTA(C108:C1644)=0,"""",IF(REGEXMATCH(INDEX(FILTER(C$4:C108,C$4:C108&lt;&gt;""""),ROWS(FILTER(C$4:C108,C$4:C108&lt;&gt;""""))),""^Sell_""),INDEX(FILTER(F$4:F107,C$4:C107&lt;&gt;""""),ROWS(FILTER(C$4:C107,C$4:C107&lt;&gt;""""))),$AC$5+E108))"),76748.1)</f>
        <v>76748.1</v>
      </c>
      <c r="G108" s="10">
        <f>IFERROR(__xludf.DUMMYFUNCTION("IF(COUNTA(C108:C1644)=0,"""",IF(C108="""",0,IF(REGEXMATCH(C108,""^Sell_""),-ROUNDDOWN(ROUNDUP(INDEX(Upgrades!$C$3:$C$13,MATCH(SUBSTITUTE(C108,""Sell_"",""""),Upgrades!$B$3:$B$13,0))*1.15^(COUNTIF(C$4:C107,SUBSTITUTE(C108,""Sell_"",""""))-COUNTIF(C$4:C107,"&amp;"""Sell_""&amp;SUBSTITUTE(C108,""Sell_"",""""))))/2),ROUNDUP(INDEX(Upgrades!$C$3:$C$13,MATCH(C108,Upgrades!$B$3:$B$13,0))*1.15^(COUNTIF(C$4:C107,C108)-COUNTIF(C$4:C107,""Sell_""&amp;C108))))))"),6742594.0)</f>
        <v>6742594</v>
      </c>
      <c r="H108" s="10">
        <f t="shared" si="3"/>
        <v>6742594</v>
      </c>
      <c r="I108" s="68">
        <f t="shared" si="4"/>
        <v>3994.076931</v>
      </c>
      <c r="J108" s="59" t="str">
        <f t="shared" si="5"/>
        <v>1h 06m 34s</v>
      </c>
      <c r="K108" s="69">
        <f t="shared" si="6"/>
        <v>43306100</v>
      </c>
      <c r="L108" s="60">
        <f t="shared" si="7"/>
        <v>-35.28123</v>
      </c>
      <c r="M108" s="61">
        <f>IFERROR(__xludf.DUMMYFUNCTION("IFS(AND(COUNTA(C108:C1644)=0,COUNTA(Q108:Q1644)=0),"""",OR(AND(K108&gt;=1000000000,OR(Y108&gt;=1000000000,COUNTA(Q108:Q1644)=0)),OR(Y108&gt;=1000000000,AND(COUNTA(C108:C1644)=0,P$3=TRUE))),
ROUNDDOWN((AB$1-AC$1)*MAX(INDEX(T$4:T1644,MATCH(LARGE(FILTER(Y$4:Y1644,Y$4"&amp;":Y1644&lt;1000000000),1),Y$4:Y1644)),INDEX(F$4:F1644,MATCH(LARGE(FILTER(K$4:K1644,K$4:K1644&lt;1000000000),1),K$4:K1644)))),AND(K108&lt;1000000000,COUNTA(C108:C1644)&gt;0,P$3=FALSE),
ROUNDDOWN(INDEX(Y$4:Y1644,MATCH(LARGE(FILTER(W$4:W1644,W$4:W1644&lt;=I108),1),W$4:W1644"&amp;"))+(I108-LARGE(FILTER(W$4:W1644,W$4:W1644&lt;=I108),1))*INDEX(T$4:T1644,MATCH(LARGE(FILTER(W$4:W1644,W$4:W1644&lt;=I108),1),W$4:W1644))-K108),1,
ROUNDDOWN(Y108-INDEX(K$4:K1644,MATCH(LARGE(FILTER(I$4:I1644,I$4:I1644&lt;=W108),1),I$4:I1644))-(W108-LARGE(FILTER(I$4:I"&amp;"1644,I$4:I1644&lt;=W108),1))*INDEX(F$4:F1644,MATCH(LARGE(FILTER(I$4:I1644,I$4:I1644&lt;=W108),1),I$4:I1644))))"),2671904.0)</f>
        <v>2671904</v>
      </c>
      <c r="N108" s="60">
        <f t="shared" si="8"/>
        <v>-35.28123</v>
      </c>
      <c r="O108" s="61" t="str">
        <f t="shared" si="9"/>
        <v>2,7M</v>
      </c>
      <c r="P108" s="56">
        <f t="shared" si="10"/>
        <v>6</v>
      </c>
      <c r="Q108" s="67" t="s">
        <v>8</v>
      </c>
      <c r="R108" s="10" t="b">
        <f>IFERROR(__xludf.DUMMYFUNCTION("IF(COUNTA(Q108:Q1644)=0,"""",IF(ISBLANK(Q108),FALSE,IF(NOT(COUNTIF($AA$24:$AA$34,SUBSTITUTE(Q108,""Sell_"",""""))),1,IF(REGEXMATCH(Q108,""Sell_""),IF(COUNTIF(Q$4:Q108,SUBSTITUTE(Q108,""Sell_"",""""))-COUNTIF(Q$4:Q107,Q108)&lt;1,1),FALSE))))"),FALSE)</f>
        <v>0</v>
      </c>
      <c r="S108" s="59">
        <f t="array" ref="S108">IF(COUNTA(Q108:Q1644)=0,"",SUM((COUNTIF(Q$4:Q108,Upgrades!$B$3:$B$13)-COUNTIF(Q$4:Q108,"Sell_"&amp;Upgrades!$B$3:$B$13))*Upgrades!$D$3:$D$13))</f>
        <v>56034.8</v>
      </c>
      <c r="T108" s="66">
        <f>IFERROR(__xludf.DUMMYFUNCTION("IF(COUNTA(Q108:Q1644)=0,"""",IF(REGEXMATCH(INDEX(FILTER(Q$4:Q108,Q$4:Q108&lt;&gt;""""),ROWS(FILTER(Q$4:Q108,Q$4:Q108&lt;&gt;""""))),""^Sell_""),INDEX(FILTER(T$4:T107,Q$4:Q107&lt;&gt;""""),ROWS(FILTER(Q$4:Q107,Q$4:Q107&lt;&gt;""""))),$AD$5+S108))"),56044.8)</f>
        <v>56044.8</v>
      </c>
      <c r="U108" s="10">
        <f>IFERROR(__xludf.DUMMYFUNCTION("IF(COUNTA(Q108:Q1644)=0,"""",IF(Q108="""",0,IF(REGEXMATCH(Q108,""^Sell_""),-ROUNDDOWN(ROUNDUP(INDEX(Upgrades!$C$3:$C$13,MATCH(SUBSTITUTE(Q108,""Sell_"",""""),Upgrades!$B$3:$B$13,0))*1.15^(COUNTIF(Q$4:Q107,SUBSTITUTE(Q108,""Sell_"",""""))-COUNTIF(Q$4:Q107,"&amp;"""Sell_""&amp;SUBSTITUTE(Q108,""Sell_"",""""))))/2),ROUNDUP(INDEX(Upgrades!$C$3:$C$13,MATCH(Q108,Upgrades!$B$3:$B$13,0))*1.15^(COUNTIF(Q$4:Q107,Q108)-COUNTIF(Q$4:Q107,""Sell_""&amp;Q108))))))"),80455.0)</f>
        <v>80455</v>
      </c>
      <c r="V108" s="10">
        <f t="shared" si="11"/>
        <v>80455</v>
      </c>
      <c r="W108" s="68">
        <f t="shared" si="12"/>
        <v>3672.801904</v>
      </c>
      <c r="X108" s="59" t="str">
        <f t="shared" si="13"/>
        <v>1h 01m 12s</v>
      </c>
      <c r="Y108" s="69">
        <f t="shared" si="14"/>
        <v>25194008</v>
      </c>
      <c r="Z108" s="11"/>
      <c r="AG108" s="59"/>
    </row>
    <row r="109">
      <c r="A109" s="8"/>
      <c r="B109" s="56">
        <f t="shared" si="2"/>
        <v>6</v>
      </c>
      <c r="C109" s="67" t="s">
        <v>9</v>
      </c>
      <c r="D109" s="10" t="b">
        <f>IFERROR(__xludf.DUMMYFUNCTION("IF(COUNTA(C109:C1644)=0,"""",IF(ISBLANK(C109),FALSE,IF(NOT(COUNTIF($AA$24:$AA$34,SUBSTITUTE(C109,""Sell_"",""""))),1,IF(REGEXMATCH(C109,""Sell_""),IF(COUNTIF(C$4:C109,SUBSTITUTE(C109,""Sell_"",""""))-COUNTIF(C$4:C108,C109)&lt;1,1),FALSE))))"),FALSE)</f>
        <v>0</v>
      </c>
      <c r="E109" s="59">
        <f t="array" ref="E109">IF(COUNTA(C109:C1644)=0,"",SUM((COUNTIF(C$4:C109,Upgrades!$B$3:$B$13)-COUNTIF(C$4:C109,"Sell_"&amp;Upgrades!$B$3:$B$13))*Upgrades!$D$3:$D$13))</f>
        <v>77138.1</v>
      </c>
      <c r="F109" s="66">
        <f>IFERROR(__xludf.DUMMYFUNCTION("IF(COUNTA(C109:C1644)=0,"""",IF(REGEXMATCH(INDEX(FILTER(C$4:C109,C$4:C109&lt;&gt;""""),ROWS(FILTER(C$4:C109,C$4:C109&lt;&gt;""""))),""^Sell_""),INDEX(FILTER(F$4:F108,C$4:C108&lt;&gt;""""),ROWS(FILTER(C$4:C108,C$4:C108&lt;&gt;""""))),$AC$5+E109))"),77148.1)</f>
        <v>77148.1</v>
      </c>
      <c r="G109" s="10">
        <f>IFERROR(__xludf.DUMMYFUNCTION("IF(COUNTA(C109:C1644)=0,"""",IF(C109="""",0,IF(REGEXMATCH(C109,""^Sell_""),-ROUNDDOWN(ROUNDUP(INDEX(Upgrades!$C$3:$C$13,MATCH(SUBSTITUTE(C109,""Sell_"",""""),Upgrades!$B$3:$B$13,0))*1.15^(COUNTIF(C$4:C108,SUBSTITUTE(C109,""Sell_"",""""))-COUNTIF(C$4:C108,"&amp;"""Sell_""&amp;SUBSTITUTE(C109,""Sell_"",""""))))/2),ROUNDUP(INDEX(Upgrades!$C$3:$C$13,MATCH(C109,Upgrades!$B$3:$B$13,0))*1.15^(COUNTIF(C$4:C108,C109)-COUNTIF(C$4:C108,""Sell_""&amp;C109))))))"),402272.0)</f>
        <v>402272</v>
      </c>
      <c r="H109" s="10">
        <f t="shared" si="3"/>
        <v>402272</v>
      </c>
      <c r="I109" s="68">
        <f t="shared" si="4"/>
        <v>3999.318389</v>
      </c>
      <c r="J109" s="59" t="str">
        <f t="shared" si="5"/>
        <v>1h 06m 39s</v>
      </c>
      <c r="K109" s="69">
        <f t="shared" si="6"/>
        <v>43708372</v>
      </c>
      <c r="L109" s="60">
        <f t="shared" si="7"/>
        <v>-34.81524</v>
      </c>
      <c r="M109" s="61">
        <f>IFERROR(__xludf.DUMMYFUNCTION("IFS(AND(COUNTA(C109:C1644)=0,COUNTA(Q109:Q1644)=0),"""",OR(AND(K109&gt;=1000000000,OR(Y109&gt;=1000000000,COUNTA(Q109:Q1644)=0)),OR(Y109&gt;=1000000000,AND(COUNTA(C109:C1644)=0,P$3=TRUE))),
ROUNDDOWN((AB$1-AC$1)*MAX(INDEX(T$4:T1644,MATCH(LARGE(FILTER(Y$4:Y1644,Y$4"&amp;":Y1644&lt;1000000000),1),Y$4:Y1644)),INDEX(F$4:F1644,MATCH(LARGE(FILTER(K$4:K1644,K$4:K1644&lt;1000000000),1),K$4:K1644)))),AND(K109&lt;1000000000,COUNTA(C109:C1644)&gt;0,P$3=FALSE),
ROUNDDOWN(INDEX(Y$4:Y1644,MATCH(LARGE(FILTER(W$4:W1644,W$4:W1644&lt;=I109),1),W$4:W1644"&amp;"))+(I109-LARGE(FILTER(W$4:W1644,W$4:W1644&lt;=I109),1))*INDEX(T$4:T1644,MATCH(LARGE(FILTER(W$4:W1644,W$4:W1644&lt;=I109),1),W$4:W1644))-K109),1,
ROUNDDOWN(Y109-INDEX(K$4:K1644,MATCH(LARGE(FILTER(I$4:I1644,I$4:I1644&lt;=W109),1),I$4:I1644))-(W109-LARGE(FILTER(I$4:I"&amp;"1644,I$4:I1644&lt;=W109),1))*INDEX(F$4:F1644,MATCH(LARGE(FILTER(I$4:I1644,I$4:I1644&lt;=W109),1),I$4:I1644))))"),2676907.0)</f>
        <v>2676907</v>
      </c>
      <c r="N109" s="60">
        <f t="shared" si="8"/>
        <v>-34.81524</v>
      </c>
      <c r="O109" s="61" t="str">
        <f t="shared" si="9"/>
        <v>2,7M</v>
      </c>
      <c r="P109" s="56">
        <f t="shared" si="10"/>
        <v>9</v>
      </c>
      <c r="Q109" s="67" t="s">
        <v>10</v>
      </c>
      <c r="R109" s="10" t="b">
        <f>IFERROR(__xludf.DUMMYFUNCTION("IF(COUNTA(Q109:Q1644)=0,"""",IF(ISBLANK(Q109),FALSE,IF(NOT(COUNTIF($AA$24:$AA$34,SUBSTITUTE(Q109,""Sell_"",""""))),1,IF(REGEXMATCH(Q109,""Sell_""),IF(COUNTIF(Q$4:Q109,SUBSTITUTE(Q109,""Sell_"",""""))-COUNTIF(Q$4:Q108,Q109)&lt;1,1),FALSE))))"),FALSE)</f>
        <v>0</v>
      </c>
      <c r="S109" s="59">
        <f t="array" ref="S109">IF(COUNTA(Q109:Q1644)=0,"",SUM((COUNTIF(Q$4:Q109,Upgrades!$B$3:$B$13)-COUNTIF(Q$4:Q109,"Sell_"&amp;Upgrades!$B$3:$B$13))*Upgrades!$D$3:$D$13))</f>
        <v>62700.8</v>
      </c>
      <c r="T109" s="66">
        <f>IFERROR(__xludf.DUMMYFUNCTION("IF(COUNTA(Q109:Q1644)=0,"""",IF(REGEXMATCH(INDEX(FILTER(Q$4:Q109,Q$4:Q109&lt;&gt;""""),ROWS(FILTER(Q$4:Q109,Q$4:Q109&lt;&gt;""""))),""^Sell_""),INDEX(FILTER(T$4:T108,Q$4:Q108&lt;&gt;""""),ROWS(FILTER(Q$4:Q108,Q$4:Q108&lt;&gt;""""))),$AD$5+S109))"),62710.8)</f>
        <v>62710.8</v>
      </c>
      <c r="U109" s="10">
        <f>IFERROR(__xludf.DUMMYFUNCTION("IF(COUNTA(Q109:Q1644)=0,"""",IF(Q109="""",0,IF(REGEXMATCH(Q109,""^Sell_""),-ROUNDDOWN(ROUNDUP(INDEX(Upgrades!$C$3:$C$13,MATCH(SUBSTITUTE(Q109,""Sell_"",""""),Upgrades!$B$3:$B$13,0))*1.15^(COUNTIF(Q$4:Q108,SUBSTITUTE(Q109,""Sell_"",""""))-COUNTIF(Q$4:Q108,"&amp;"""Sell_""&amp;SUBSTITUTE(Q109,""Sell_"",""""))))/2),ROUNDUP(INDEX(Upgrades!$C$3:$C$13,MATCH(Q109,Upgrades!$B$3:$B$13,0))*1.15^(COUNTIF(Q$4:Q108,Q109)-COUNTIF(Q$4:Q108,""Sell_""&amp;Q109))))))"),5098370.0)</f>
        <v>5098370</v>
      </c>
      <c r="V109" s="10">
        <f t="shared" si="11"/>
        <v>5098370</v>
      </c>
      <c r="W109" s="68">
        <f t="shared" si="12"/>
        <v>3763.77145</v>
      </c>
      <c r="X109" s="59" t="str">
        <f t="shared" si="13"/>
        <v>1h 02m 43s</v>
      </c>
      <c r="Y109" s="69">
        <f t="shared" si="14"/>
        <v>30292378</v>
      </c>
      <c r="Z109" s="11"/>
      <c r="AG109" s="59"/>
    </row>
    <row r="110">
      <c r="A110" s="8"/>
      <c r="B110" s="56">
        <f t="shared" si="2"/>
        <v>12</v>
      </c>
      <c r="C110" s="67" t="s">
        <v>7</v>
      </c>
      <c r="D110" s="10" t="b">
        <f>IFERROR(__xludf.DUMMYFUNCTION("IF(COUNTA(C110:C1644)=0,"""",IF(ISBLANK(C110),FALSE,IF(NOT(COUNTIF($AA$24:$AA$34,SUBSTITUTE(C110,""Sell_"",""""))),1,IF(REGEXMATCH(C110,""Sell_""),IF(COUNTIF(C$4:C110,SUBSTITUTE(C110,""Sell_"",""""))-COUNTIF(C$4:C109,C110)&lt;1,1),FALSE))))"),FALSE)</f>
        <v>0</v>
      </c>
      <c r="E110" s="59">
        <f t="array" ref="E110">IF(COUNTA(C110:C1644)=0,"",SUM((COUNTIF(C$4:C110,Upgrades!$B$3:$B$13)-COUNTIF(C$4:C110,"Sell_"&amp;Upgrades!$B$3:$B$13))*Upgrades!$D$3:$D$13))</f>
        <v>77178.1</v>
      </c>
      <c r="F110" s="66">
        <f>IFERROR(__xludf.DUMMYFUNCTION("IF(COUNTA(C110:C1644)=0,"""",IF(REGEXMATCH(INDEX(FILTER(C$4:C110,C$4:C110&lt;&gt;""""),ROWS(FILTER(C$4:C110,C$4:C110&lt;&gt;""""))),""^Sell_""),INDEX(FILTER(F$4:F109,C$4:C109&lt;&gt;""""),ROWS(FILTER(C$4:C109,C$4:C109&lt;&gt;""""))),$AC$5+E110))"),77188.1)</f>
        <v>77188.1</v>
      </c>
      <c r="G110" s="10">
        <f>IFERROR(__xludf.DUMMYFUNCTION("IF(COUNTA(C110:C1644)=0,"""",IF(C110="""",0,IF(REGEXMATCH(C110,""^Sell_""),-ROUNDDOWN(ROUNDUP(INDEX(Upgrades!$C$3:$C$13,MATCH(SUBSTITUTE(C110,""Sell_"",""""),Upgrades!$B$3:$B$13,0))*1.15^(COUNTIF(C$4:C109,SUBSTITUTE(C110,""Sell_"",""""))-COUNTIF(C$4:C109,"&amp;"""Sell_""&amp;SUBSTITUTE(C110,""Sell_"",""""))))/2),ROUNDUP(INDEX(Upgrades!$C$3:$C$13,MATCH(C110,Upgrades!$B$3:$B$13,0))*1.15^(COUNTIF(C$4:C109,C110)-COUNTIF(C$4:C109,""Sell_""&amp;C110))))))"),46524.0)</f>
        <v>46524</v>
      </c>
      <c r="H110" s="10">
        <f t="shared" si="3"/>
        <v>46524</v>
      </c>
      <c r="I110" s="68">
        <f t="shared" si="4"/>
        <v>3999.921437</v>
      </c>
      <c r="J110" s="59" t="str">
        <f t="shared" si="5"/>
        <v>1h 06m 39s</v>
      </c>
      <c r="K110" s="69">
        <f t="shared" si="6"/>
        <v>43754896</v>
      </c>
      <c r="L110" s="60">
        <f t="shared" si="7"/>
        <v>-34.75821</v>
      </c>
      <c r="M110" s="61">
        <f>IFERROR(__xludf.DUMMYFUNCTION("IFS(AND(COUNTA(C110:C1644)=0,COUNTA(Q110:Q1644)=0),"""",OR(AND(K110&gt;=1000000000,OR(Y110&gt;=1000000000,COUNTA(Q110:Q1644)=0)),OR(Y110&gt;=1000000000,AND(COUNTA(C110:C1644)=0,P$3=TRUE))),
ROUNDDOWN((AB$1-AC$1)*MAX(INDEX(T$4:T1644,MATCH(LARGE(FILTER(Y$4:Y1644,Y$4"&amp;":Y1644&lt;1000000000),1),Y$4:Y1644)),INDEX(F$4:F1644,MATCH(LARGE(FILTER(K$4:K1644,K$4:K1644&lt;1000000000),1),K$4:K1644)))),AND(K110&lt;1000000000,COUNTA(C110:C1644)&gt;0,P$3=FALSE),
ROUNDDOWN(INDEX(Y$4:Y1644,MATCH(LARGE(FILTER(W$4:W1644,W$4:W1644&lt;=I110),1),W$4:W1644"&amp;"))+(I110-LARGE(FILTER(W$4:W1644,W$4:W1644&lt;=I110),1))*INDEX(T$4:T1644,MATCH(LARGE(FILTER(W$4:W1644,W$4:W1644&lt;=I110),1),W$4:W1644))-K110),1,
ROUNDDOWN(Y110-INDEX(K$4:K1644,MATCH(LARGE(FILTER(I$4:I1644,I$4:I1644&lt;=W110),1),I$4:I1644))-(W110-LARGE(FILTER(I$4:I"&amp;"1644,I$4:I1644&lt;=W110),1))*INDEX(F$4:F1644,MATCH(LARGE(FILTER(I$4:I1644,I$4:I1644&lt;=W110),1),I$4:I1644))))"),2677241.0)</f>
        <v>2677241</v>
      </c>
      <c r="N110" s="60">
        <f t="shared" si="8"/>
        <v>-34.75821</v>
      </c>
      <c r="O110" s="61" t="str">
        <f t="shared" si="9"/>
        <v>2,7M</v>
      </c>
      <c r="P110" s="56">
        <f t="shared" si="10"/>
        <v>10</v>
      </c>
      <c r="Q110" s="67" t="s">
        <v>7</v>
      </c>
      <c r="R110" s="10" t="b">
        <f>IFERROR(__xludf.DUMMYFUNCTION("IF(COUNTA(Q110:Q1644)=0,"""",IF(ISBLANK(Q110),FALSE,IF(NOT(COUNTIF($AA$24:$AA$34,SUBSTITUTE(Q110,""Sell_"",""""))),1,IF(REGEXMATCH(Q110,""Sell_""),IF(COUNTIF(Q$4:Q110,SUBSTITUTE(Q110,""Sell_"",""""))-COUNTIF(Q$4:Q109,Q110)&lt;1,1),FALSE))))"),FALSE)</f>
        <v>0</v>
      </c>
      <c r="S110" s="59">
        <f t="array" ref="S110">IF(COUNTA(Q110:Q1644)=0,"",SUM((COUNTIF(Q$4:Q110,Upgrades!$B$3:$B$13)-COUNTIF(Q$4:Q110,"Sell_"&amp;Upgrades!$B$3:$B$13))*Upgrades!$D$3:$D$13))</f>
        <v>62740.8</v>
      </c>
      <c r="T110" s="66">
        <f>IFERROR(__xludf.DUMMYFUNCTION("IF(COUNTA(Q110:Q1644)=0,"""",IF(REGEXMATCH(INDEX(FILTER(Q$4:Q110,Q$4:Q110&lt;&gt;""""),ROWS(FILTER(Q$4:Q110,Q$4:Q110&lt;&gt;""""))),""^Sell_""),INDEX(FILTER(T$4:T109,Q$4:Q109&lt;&gt;""""),ROWS(FILTER(Q$4:Q109,Q$4:Q109&lt;&gt;""""))),$AD$5+S110))"),62750.8)</f>
        <v>62750.8</v>
      </c>
      <c r="U110" s="10">
        <f>IFERROR(__xludf.DUMMYFUNCTION("IF(COUNTA(Q110:Q1644)=0,"""",IF(Q110="""",0,IF(REGEXMATCH(Q110,""^Sell_""),-ROUNDDOWN(ROUNDUP(INDEX(Upgrades!$C$3:$C$13,MATCH(SUBSTITUTE(Q110,""Sell_"",""""),Upgrades!$B$3:$B$13,0))*1.15^(COUNTIF(Q$4:Q109,SUBSTITUTE(Q110,""Sell_"",""""))-COUNTIF(Q$4:Q109,"&amp;"""Sell_""&amp;SUBSTITUTE(Q110,""Sell_"",""""))))/2),ROUNDUP(INDEX(Upgrades!$C$3:$C$13,MATCH(Q110,Upgrades!$B$3:$B$13,0))*1.15^(COUNTIF(Q$4:Q109,Q110)-COUNTIF(Q$4:Q109,""Sell_""&amp;Q110))))))"),35179.0)</f>
        <v>35179</v>
      </c>
      <c r="V110" s="10">
        <f t="shared" si="11"/>
        <v>35179</v>
      </c>
      <c r="W110" s="68">
        <f t="shared" si="12"/>
        <v>3764.332422</v>
      </c>
      <c r="X110" s="59" t="str">
        <f t="shared" si="13"/>
        <v>1h 02m 44s</v>
      </c>
      <c r="Y110" s="69">
        <f t="shared" si="14"/>
        <v>30327557</v>
      </c>
      <c r="Z110" s="11"/>
      <c r="AG110" s="59"/>
    </row>
    <row r="111">
      <c r="A111" s="8"/>
      <c r="B111" s="56">
        <f t="shared" si="2"/>
        <v>17</v>
      </c>
      <c r="C111" s="67" t="s">
        <v>5</v>
      </c>
      <c r="D111" s="10" t="b">
        <f>IFERROR(__xludf.DUMMYFUNCTION("IF(COUNTA(C111:C1644)=0,"""",IF(ISBLANK(C111),FALSE,IF(NOT(COUNTIF($AA$24:$AA$34,SUBSTITUTE(C111,""Sell_"",""""))),1,IF(REGEXMATCH(C111,""Sell_""),IF(COUNTIF(C$4:C111,SUBSTITUTE(C111,""Sell_"",""""))-COUNTIF(C$4:C110,C111)&lt;1,1),FALSE))))"),FALSE)</f>
        <v>0</v>
      </c>
      <c r="E111" s="59">
        <f t="array" ref="E111">IF(COUNTA(C111:C1644)=0,"",SUM((COUNTIF(C$4:C111,Upgrades!$B$3:$B$13)-COUNTIF(C$4:C111,"Sell_"&amp;Upgrades!$B$3:$B$13))*Upgrades!$D$3:$D$13))</f>
        <v>77182.1</v>
      </c>
      <c r="F111" s="66">
        <f>IFERROR(__xludf.DUMMYFUNCTION("IF(COUNTA(C111:C1644)=0,"""",IF(REGEXMATCH(INDEX(FILTER(C$4:C111,C$4:C111&lt;&gt;""""),ROWS(FILTER(C$4:C111,C$4:C111&lt;&gt;""""))),""^Sell_""),INDEX(FILTER(F$4:F110,C$4:C110&lt;&gt;""""),ROWS(FILTER(C$4:C110,C$4:C110&lt;&gt;""""))),$AC$5+E111))"),77192.1)</f>
        <v>77192.1</v>
      </c>
      <c r="G111" s="10">
        <f>IFERROR(__xludf.DUMMYFUNCTION("IF(COUNTA(C111:C1644)=0,"""",IF(C111="""",0,IF(REGEXMATCH(C111,""^Sell_""),-ROUNDDOWN(ROUNDUP(INDEX(Upgrades!$C$3:$C$13,MATCH(SUBSTITUTE(C111,""Sell_"",""""),Upgrades!$B$3:$B$13,0))*1.15^(COUNTIF(C$4:C110,SUBSTITUTE(C111,""Sell_"",""""))-COUNTIF(C$4:C110,"&amp;"""Sell_""&amp;SUBSTITUTE(C111,""Sell_"",""""))))/2),ROUNDUP(INDEX(Upgrades!$C$3:$C$13,MATCH(C111,Upgrades!$B$3:$B$13,0))*1.15^(COUNTIF(C$4:C110,C111)-COUNTIF(C$4:C110,""Sell_""&amp;C111))))))"),4679.0)</f>
        <v>4679</v>
      </c>
      <c r="H111" s="10">
        <f t="shared" si="3"/>
        <v>4679</v>
      </c>
      <c r="I111" s="68">
        <f t="shared" si="4"/>
        <v>3999.982056</v>
      </c>
      <c r="J111" s="59" t="str">
        <f t="shared" si="5"/>
        <v>1h 06m 39s</v>
      </c>
      <c r="K111" s="69">
        <f t="shared" si="6"/>
        <v>43759575</v>
      </c>
      <c r="L111" s="60">
        <f t="shared" si="7"/>
        <v>-34.75244</v>
      </c>
      <c r="M111" s="61">
        <f>IFERROR(__xludf.DUMMYFUNCTION("IFS(AND(COUNTA(C111:C1644)=0,COUNTA(Q111:Q1644)=0),"""",OR(AND(K111&gt;=1000000000,OR(Y111&gt;=1000000000,COUNTA(Q111:Q1644)=0)),OR(Y111&gt;=1000000000,AND(COUNTA(C111:C1644)=0,P$3=TRUE))),
ROUNDDOWN((AB$1-AC$1)*MAX(INDEX(T$4:T1644,MATCH(LARGE(FILTER(Y$4:Y1644,Y$4"&amp;":Y1644&lt;1000000000),1),Y$4:Y1644)),INDEX(F$4:F1644,MATCH(LARGE(FILTER(K$4:K1644,K$4:K1644&lt;1000000000),1),K$4:K1644)))),AND(K111&lt;1000000000,COUNTA(C111:C1644)&gt;0,P$3=FALSE),
ROUNDDOWN(INDEX(Y$4:Y1644,MATCH(LARGE(FILTER(W$4:W1644,W$4:W1644&lt;=I111),1),W$4:W1644"&amp;"))+(I111-LARGE(FILTER(W$4:W1644,W$4:W1644&lt;=I111),1))*INDEX(T$4:T1644,MATCH(LARGE(FILTER(W$4:W1644,W$4:W1644&lt;=I111),1),W$4:W1644))-K111),1,
ROUNDDOWN(Y111-INDEX(K$4:K1644,MATCH(LARGE(FILTER(I$4:I1644,I$4:I1644&lt;=W111),1),I$4:I1644))-(W111-LARGE(FILTER(I$4:I"&amp;"1644,I$4:I1644&lt;=W111),1))*INDEX(F$4:F1644,MATCH(LARGE(FILTER(I$4:I1644,I$4:I1644&lt;=W111),1),I$4:I1644))))"),2677273.0)</f>
        <v>2677273</v>
      </c>
      <c r="N111" s="60">
        <f t="shared" si="8"/>
        <v>-34.75244</v>
      </c>
      <c r="O111" s="61" t="str">
        <f t="shared" si="9"/>
        <v>2,7M</v>
      </c>
      <c r="P111" s="56">
        <f t="shared" si="10"/>
        <v>5</v>
      </c>
      <c r="Q111" s="67" t="s">
        <v>9</v>
      </c>
      <c r="R111" s="10" t="b">
        <f>IFERROR(__xludf.DUMMYFUNCTION("IF(COUNTA(Q111:Q1644)=0,"""",IF(ISBLANK(Q111),FALSE,IF(NOT(COUNTIF($AA$24:$AA$34,SUBSTITUTE(Q111,""Sell_"",""""))),1,IF(REGEXMATCH(Q111,""Sell_""),IF(COUNTIF(Q$4:Q111,SUBSTITUTE(Q111,""Sell_"",""""))-COUNTIF(Q$4:Q110,Q111)&lt;1,1),FALSE))))"),FALSE)</f>
        <v>0</v>
      </c>
      <c r="S111" s="59">
        <f t="array" ref="S111">IF(COUNTA(Q111:Q1644)=0,"",SUM((COUNTIF(Q$4:Q111,Upgrades!$B$3:$B$13)-COUNTIF(Q$4:Q111,"Sell_"&amp;Upgrades!$B$3:$B$13))*Upgrades!$D$3:$D$13))</f>
        <v>63140.8</v>
      </c>
      <c r="T111" s="66">
        <f>IFERROR(__xludf.DUMMYFUNCTION("IF(COUNTA(Q111:Q1644)=0,"""",IF(REGEXMATCH(INDEX(FILTER(Q$4:Q111,Q$4:Q111&lt;&gt;""""),ROWS(FILTER(Q$4:Q111,Q$4:Q111&lt;&gt;""""))),""^Sell_""),INDEX(FILTER(T$4:T110,Q$4:Q110&lt;&gt;""""),ROWS(FILTER(Q$4:Q110,Q$4:Q110&lt;&gt;""""))),$AD$5+S111))"),63150.8)</f>
        <v>63150.8</v>
      </c>
      <c r="U111" s="10">
        <f>IFERROR(__xludf.DUMMYFUNCTION("IF(COUNTA(Q111:Q1644)=0,"""",IF(Q111="""",0,IF(REGEXMATCH(Q111,""^Sell_""),-ROUNDDOWN(ROUNDUP(INDEX(Upgrades!$C$3:$C$13,MATCH(SUBSTITUTE(Q111,""Sell_"",""""),Upgrades!$B$3:$B$13,0))*1.15^(COUNTIF(Q$4:Q110,SUBSTITUTE(Q111,""Sell_"",""""))-COUNTIF(Q$4:Q110,"&amp;"""Sell_""&amp;SUBSTITUTE(Q111,""Sell_"",""""))))/2),ROUNDUP(INDEX(Upgrades!$C$3:$C$13,MATCH(Q111,Upgrades!$B$3:$B$13,0))*1.15^(COUNTIF(Q$4:Q110,Q111)-COUNTIF(Q$4:Q110,""Sell_""&amp;Q111))))))"),349802.0)</f>
        <v>349802</v>
      </c>
      <c r="V111" s="10">
        <f t="shared" si="11"/>
        <v>349802</v>
      </c>
      <c r="W111" s="68">
        <f t="shared" si="12"/>
        <v>3769.906885</v>
      </c>
      <c r="X111" s="59" t="str">
        <f t="shared" si="13"/>
        <v>1h 02m 49s</v>
      </c>
      <c r="Y111" s="69">
        <f t="shared" si="14"/>
        <v>30677359</v>
      </c>
      <c r="Z111" s="11"/>
      <c r="AG111" s="59"/>
    </row>
    <row r="112">
      <c r="A112" s="8"/>
      <c r="B112" s="56">
        <f t="shared" si="2"/>
        <v>11</v>
      </c>
      <c r="C112" s="67" t="s">
        <v>6</v>
      </c>
      <c r="D112" s="10" t="b">
        <f>IFERROR(__xludf.DUMMYFUNCTION("IF(COUNTA(C112:C1644)=0,"""",IF(ISBLANK(C112),FALSE,IF(NOT(COUNTIF($AA$24:$AA$34,SUBSTITUTE(C112,""Sell_"",""""))),1,IF(REGEXMATCH(C112,""Sell_""),IF(COUNTIF(C$4:C112,SUBSTITUTE(C112,""Sell_"",""""))-COUNTIF(C$4:C111,C112)&lt;1,1),FALSE))))"),FALSE)</f>
        <v>0</v>
      </c>
      <c r="E112" s="59">
        <f t="array" ref="E112">IF(COUNTA(C112:C1644)=0,"",SUM((COUNTIF(C$4:C112,Upgrades!$B$3:$B$13)-COUNTIF(C$4:C112,"Sell_"&amp;Upgrades!$B$3:$B$13))*Upgrades!$D$3:$D$13))</f>
        <v>77192.1</v>
      </c>
      <c r="F112" s="66">
        <f>IFERROR(__xludf.DUMMYFUNCTION("IF(COUNTA(C112:C1644)=0,"""",IF(REGEXMATCH(INDEX(FILTER(C$4:C112,C$4:C112&lt;&gt;""""),ROWS(FILTER(C$4:C112,C$4:C112&lt;&gt;""""))),""^Sell_""),INDEX(FILTER(F$4:F111,C$4:C111&lt;&gt;""""),ROWS(FILTER(C$4:C111,C$4:C111&lt;&gt;""""))),$AC$5+E112))"),77202.1)</f>
        <v>77202.1</v>
      </c>
      <c r="G112" s="10">
        <f>IFERROR(__xludf.DUMMYFUNCTION("IF(COUNTA(C112:C1644)=0,"""",IF(C112="""",0,IF(REGEXMATCH(C112,""^Sell_""),-ROUNDDOWN(ROUNDUP(INDEX(Upgrades!$C$3:$C$13,MATCH(SUBSTITUTE(C112,""Sell_"",""""),Upgrades!$B$3:$B$13,0))*1.15^(COUNTIF(C$4:C111,SUBSTITUTE(C112,""Sell_"",""""))-COUNTIF(C$4:C111,"&amp;"""Sell_""&amp;SUBSTITUTE(C112,""Sell_"",""""))))/2),ROUNDUP(INDEX(Upgrades!$C$3:$C$13,MATCH(C112,Upgrades!$B$3:$B$13,0))*1.15^(COUNTIF(C$4:C111,C112)-COUNTIF(C$4:C111,""Sell_""&amp;C112))))))"),12137.0)</f>
        <v>12137</v>
      </c>
      <c r="H112" s="10">
        <f t="shared" si="3"/>
        <v>12137</v>
      </c>
      <c r="I112" s="68">
        <f t="shared" si="4"/>
        <v>4000.139287</v>
      </c>
      <c r="J112" s="59" t="str">
        <f t="shared" si="5"/>
        <v>1h 06m 40s</v>
      </c>
      <c r="K112" s="69">
        <f t="shared" si="6"/>
        <v>43771712</v>
      </c>
      <c r="L112" s="60">
        <f t="shared" si="7"/>
        <v>-34.73747</v>
      </c>
      <c r="M112" s="61">
        <f>IFERROR(__xludf.DUMMYFUNCTION("IFS(AND(COUNTA(C112:C1644)=0,COUNTA(Q112:Q1644)=0),"""",OR(AND(K112&gt;=1000000000,OR(Y112&gt;=1000000000,COUNTA(Q112:Q1644)=0)),OR(Y112&gt;=1000000000,AND(COUNTA(C112:C1644)=0,P$3=TRUE))),
ROUNDDOWN((AB$1-AC$1)*MAX(INDEX(T$4:T1644,MATCH(LARGE(FILTER(Y$4:Y1644,Y$4"&amp;":Y1644&lt;1000000000),1),Y$4:Y1644)),INDEX(F$4:F1644,MATCH(LARGE(FILTER(K$4:K1644,K$4:K1644&lt;1000000000),1),K$4:K1644)))),AND(K112&lt;1000000000,COUNTA(C112:C1644)&gt;0,P$3=FALSE),
ROUNDDOWN(INDEX(Y$4:Y1644,MATCH(LARGE(FILTER(W$4:W1644,W$4:W1644&lt;=I112),1),W$4:W1644"&amp;"))+(I112-LARGE(FILTER(W$4:W1644,W$4:W1644&lt;=I112),1))*INDEX(T$4:T1644,MATCH(LARGE(FILTER(W$4:W1644,W$4:W1644&lt;=I112),1),W$4:W1644))-K112),1,
ROUNDDOWN(Y112-INDEX(K$4:K1644,MATCH(LARGE(FILTER(I$4:I1644,I$4:I1644&lt;=W112),1),I$4:I1644))-(W112-LARGE(FILTER(I$4:I"&amp;"1644,I$4:I1644&lt;=W112),1))*INDEX(F$4:F1644,MATCH(LARGE(FILTER(I$4:I1644,I$4:I1644&lt;=W112),1),I$4:I1644))))"),2677353.0)</f>
        <v>2677353</v>
      </c>
      <c r="N112" s="60">
        <f t="shared" si="8"/>
        <v>-34.73747</v>
      </c>
      <c r="O112" s="61" t="str">
        <f t="shared" si="9"/>
        <v>2,7M</v>
      </c>
      <c r="P112" s="56">
        <f t="shared" si="10"/>
        <v>9</v>
      </c>
      <c r="Q112" s="67" t="s">
        <v>6</v>
      </c>
      <c r="R112" s="10" t="b">
        <f>IFERROR(__xludf.DUMMYFUNCTION("IF(COUNTA(Q112:Q1644)=0,"""",IF(ISBLANK(Q112),FALSE,IF(NOT(COUNTIF($AA$24:$AA$34,SUBSTITUTE(Q112,""Sell_"",""""))),1,IF(REGEXMATCH(Q112,""Sell_""),IF(COUNTIF(Q$4:Q112,SUBSTITUTE(Q112,""Sell_"",""""))-COUNTIF(Q$4:Q111,Q112)&lt;1,1),FALSE))))"),FALSE)</f>
        <v>0</v>
      </c>
      <c r="S112" s="59">
        <f t="array" ref="S112">IF(COUNTA(Q112:Q1644)=0,"",SUM((COUNTIF(Q$4:Q112,Upgrades!$B$3:$B$13)-COUNTIF(Q$4:Q112,"Sell_"&amp;Upgrades!$B$3:$B$13))*Upgrades!$D$3:$D$13))</f>
        <v>63150.8</v>
      </c>
      <c r="T112" s="66">
        <f>IFERROR(__xludf.DUMMYFUNCTION("IF(COUNTA(Q112:Q1644)=0,"""",IF(REGEXMATCH(INDEX(FILTER(Q$4:Q112,Q$4:Q112&lt;&gt;""""),ROWS(FILTER(Q$4:Q112,Q$4:Q112&lt;&gt;""""))),""^Sell_""),INDEX(FILTER(T$4:T111,Q$4:Q111&lt;&gt;""""),ROWS(FILTER(Q$4:Q111,Q$4:Q111&lt;&gt;""""))),$AD$5+S112))"),63160.8)</f>
        <v>63160.8</v>
      </c>
      <c r="U112" s="10">
        <f>IFERROR(__xludf.DUMMYFUNCTION("IF(COUNTA(Q112:Q1644)=0,"""",IF(Q112="""",0,IF(REGEXMATCH(Q112,""^Sell_""),-ROUNDDOWN(ROUNDUP(INDEX(Upgrades!$C$3:$C$13,MATCH(SUBSTITUTE(Q112,""Sell_"",""""),Upgrades!$B$3:$B$13,0))*1.15^(COUNTIF(Q$4:Q111,SUBSTITUTE(Q112,""Sell_"",""""))-COUNTIF(Q$4:Q111,"&amp;"""Sell_""&amp;SUBSTITUTE(Q112,""Sell_"",""""))))/2),ROUNDUP(INDEX(Upgrades!$C$3:$C$13,MATCH(Q112,Upgrades!$B$3:$B$13,0))*1.15^(COUNTIF(Q$4:Q111,Q112)-COUNTIF(Q$4:Q111,""Sell_""&amp;Q112))))))"),9178.0)</f>
        <v>9178</v>
      </c>
      <c r="V112" s="10">
        <f t="shared" si="11"/>
        <v>9178</v>
      </c>
      <c r="W112" s="68">
        <f t="shared" si="12"/>
        <v>3770.052219</v>
      </c>
      <c r="X112" s="59" t="str">
        <f t="shared" si="13"/>
        <v>1h 02m 50s</v>
      </c>
      <c r="Y112" s="69">
        <f t="shared" si="14"/>
        <v>30686537</v>
      </c>
      <c r="Z112" s="11"/>
      <c r="AG112" s="59"/>
    </row>
    <row r="113">
      <c r="A113" s="8"/>
      <c r="B113" s="56">
        <f t="shared" si="2"/>
        <v>9</v>
      </c>
      <c r="C113" s="67" t="s">
        <v>8</v>
      </c>
      <c r="D113" s="10" t="b">
        <f>IFERROR(__xludf.DUMMYFUNCTION("IF(COUNTA(C113:C1644)=0,"""",IF(ISBLANK(C113),FALSE,IF(NOT(COUNTIF($AA$24:$AA$34,SUBSTITUTE(C113,""Sell_"",""""))),1,IF(REGEXMATCH(C113,""Sell_""),IF(COUNTIF(C$4:C113,SUBSTITUTE(C113,""Sell_"",""""))-COUNTIF(C$4:C112,C113)&lt;1,1),FALSE))))"),FALSE)</f>
        <v>0</v>
      </c>
      <c r="E113" s="59">
        <f t="array" ref="E113">IF(COUNTA(C113:C1644)=0,"",SUM((COUNTIF(C$4:C113,Upgrades!$B$3:$B$13)-COUNTIF(C$4:C113,"Sell_"&amp;Upgrades!$B$3:$B$13))*Upgrades!$D$3:$D$13))</f>
        <v>77292.1</v>
      </c>
      <c r="F113" s="66">
        <f>IFERROR(__xludf.DUMMYFUNCTION("IF(COUNTA(C113:C1644)=0,"""",IF(REGEXMATCH(INDEX(FILTER(C$4:C113,C$4:C113&lt;&gt;""""),ROWS(FILTER(C$4:C113,C$4:C113&lt;&gt;""""))),""^Sell_""),INDEX(FILTER(F$4:F112,C$4:C112&lt;&gt;""""),ROWS(FILTER(C$4:C112,C$4:C112&lt;&gt;""""))),$AC$5+E113))"),77302.1)</f>
        <v>77302.1</v>
      </c>
      <c r="G113" s="10">
        <f>IFERROR(__xludf.DUMMYFUNCTION("IF(COUNTA(C113:C1644)=0,"""",IF(C113="""",0,IF(REGEXMATCH(C113,""^Sell_""),-ROUNDDOWN(ROUNDUP(INDEX(Upgrades!$C$3:$C$13,MATCH(SUBSTITUTE(C113,""Sell_"",""""),Upgrades!$B$3:$B$13,0))*1.15^(COUNTIF(C$4:C112,SUBSTITUTE(C113,""Sell_"",""""))-COUNTIF(C$4:C112,"&amp;"""Sell_""&amp;SUBSTITUTE(C113,""Sell_"",""""))))/2),ROUNDUP(INDEX(Upgrades!$C$3:$C$13,MATCH(C113,Upgrades!$B$3:$B$13,0))*1.15^(COUNTIF(C$4:C112,C113)-COUNTIF(C$4:C112,""Sell_""&amp;C113))))))"),122361.0)</f>
        <v>122361</v>
      </c>
      <c r="H113" s="10">
        <f t="shared" si="3"/>
        <v>122361</v>
      </c>
      <c r="I113" s="68">
        <f t="shared" si="4"/>
        <v>4001.724231</v>
      </c>
      <c r="J113" s="59" t="str">
        <f t="shared" si="5"/>
        <v>1h 06m 41s</v>
      </c>
      <c r="K113" s="69">
        <f t="shared" si="6"/>
        <v>43894073</v>
      </c>
      <c r="L113" s="60">
        <f t="shared" si="7"/>
        <v>-34.58635</v>
      </c>
      <c r="M113" s="61">
        <f>IFERROR(__xludf.DUMMYFUNCTION("IFS(AND(COUNTA(C113:C1644)=0,COUNTA(Q113:Q1644)=0),"""",OR(AND(K113&gt;=1000000000,OR(Y113&gt;=1000000000,COUNTA(Q113:Q1644)=0)),OR(Y113&gt;=1000000000,AND(COUNTA(C113:C1644)=0,P$3=TRUE))),
ROUNDDOWN((AB$1-AC$1)*MAX(INDEX(T$4:T1644,MATCH(LARGE(FILTER(Y$4:Y1644,Y$4"&amp;":Y1644&lt;1000000000),1),Y$4:Y1644)),INDEX(F$4:F1644,MATCH(LARGE(FILTER(K$4:K1644,K$4:K1644&lt;1000000000),1),K$4:K1644)))),AND(K113&lt;1000000000,COUNTA(C113:C1644)&gt;0,P$3=FALSE),
ROUNDDOWN(INDEX(Y$4:Y1644,MATCH(LARGE(FILTER(W$4:W1644,W$4:W1644&lt;=I113),1),W$4:W1644"&amp;"))+(I113-LARGE(FILTER(W$4:W1644,W$4:W1644&lt;=I113),1))*INDEX(T$4:T1644,MATCH(LARGE(FILTER(W$4:W1644,W$4:W1644&lt;=I113),1),W$4:W1644))-K113),1,
ROUNDDOWN(Y113-INDEX(K$4:K1644,MATCH(LARGE(FILTER(I$4:I1644,I$4:I1644&lt;=W113),1),I$4:I1644))-(W113-LARGE(FILTER(I$4:I"&amp;"1644,I$4:I1644&lt;=W113),1))*INDEX(F$4:F1644,MATCH(LARGE(FILTER(I$4:I1644,I$4:I1644&lt;=W113),1),I$4:I1644))))"),2678146.0)</f>
        <v>2678146</v>
      </c>
      <c r="N113" s="60">
        <f t="shared" si="8"/>
        <v>-34.58635</v>
      </c>
      <c r="O113" s="61" t="str">
        <f t="shared" si="9"/>
        <v>2,7M</v>
      </c>
      <c r="P113" s="56">
        <f t="shared" si="10"/>
        <v>7</v>
      </c>
      <c r="Q113" s="67" t="s">
        <v>8</v>
      </c>
      <c r="R113" s="10" t="b">
        <f>IFERROR(__xludf.DUMMYFUNCTION("IF(COUNTA(Q113:Q1644)=0,"""",IF(ISBLANK(Q113),FALSE,IF(NOT(COUNTIF($AA$24:$AA$34,SUBSTITUTE(Q113,""Sell_"",""""))),1,IF(REGEXMATCH(Q113,""Sell_""),IF(COUNTIF(Q$4:Q113,SUBSTITUTE(Q113,""Sell_"",""""))-COUNTIF(Q$4:Q112,Q113)&lt;1,1),FALSE))))"),FALSE)</f>
        <v>0</v>
      </c>
      <c r="S113" s="59">
        <f t="array" ref="S113">IF(COUNTA(Q113:Q1644)=0,"",SUM((COUNTIF(Q$4:Q113,Upgrades!$B$3:$B$13)-COUNTIF(Q$4:Q113,"Sell_"&amp;Upgrades!$B$3:$B$13))*Upgrades!$D$3:$D$13))</f>
        <v>63250.8</v>
      </c>
      <c r="T113" s="66">
        <f>IFERROR(__xludf.DUMMYFUNCTION("IF(COUNTA(Q113:Q1644)=0,"""",IF(REGEXMATCH(INDEX(FILTER(Q$4:Q113,Q$4:Q113&lt;&gt;""""),ROWS(FILTER(Q$4:Q113,Q$4:Q113&lt;&gt;""""))),""^Sell_""),INDEX(FILTER(T$4:T112,Q$4:Q112&lt;&gt;""""),ROWS(FILTER(Q$4:Q112,Q$4:Q112&lt;&gt;""""))),$AD$5+S113))"),63260.8)</f>
        <v>63260.8</v>
      </c>
      <c r="U113" s="10">
        <f>IFERROR(__xludf.DUMMYFUNCTION("IF(COUNTA(Q113:Q1644)=0,"""",IF(Q113="""",0,IF(REGEXMATCH(Q113,""^Sell_""),-ROUNDDOWN(ROUNDUP(INDEX(Upgrades!$C$3:$C$13,MATCH(SUBSTITUTE(Q113,""Sell_"",""""),Upgrades!$B$3:$B$13,0))*1.15^(COUNTIF(Q$4:Q112,SUBSTITUTE(Q113,""Sell_"",""""))-COUNTIF(Q$4:Q112,"&amp;"""Sell_""&amp;SUBSTITUTE(Q113,""Sell_"",""""))))/2),ROUNDUP(INDEX(Upgrades!$C$3:$C$13,MATCH(Q113,Upgrades!$B$3:$B$13,0))*1.15^(COUNTIF(Q$4:Q112,Q113)-COUNTIF(Q$4:Q112,""Sell_""&amp;Q113))))))"),92523.0)</f>
        <v>92523</v>
      </c>
      <c r="V113" s="10">
        <f t="shared" si="11"/>
        <v>92523</v>
      </c>
      <c r="W113" s="68">
        <f t="shared" si="12"/>
        <v>3771.517099</v>
      </c>
      <c r="X113" s="59" t="str">
        <f t="shared" si="13"/>
        <v>1h 02m 51s</v>
      </c>
      <c r="Y113" s="69">
        <f t="shared" si="14"/>
        <v>30779060</v>
      </c>
      <c r="Z113" s="11"/>
      <c r="AG113" s="59"/>
    </row>
    <row r="114">
      <c r="A114" s="8"/>
      <c r="B114" s="56">
        <f t="shared" si="2"/>
        <v>17</v>
      </c>
      <c r="C114" s="67" t="s">
        <v>3</v>
      </c>
      <c r="D114" s="10" t="b">
        <f>IFERROR(__xludf.DUMMYFUNCTION("IF(COUNTA(C114:C1644)=0,"""",IF(ISBLANK(C114),FALSE,IF(NOT(COUNTIF($AA$24:$AA$34,SUBSTITUTE(C114,""Sell_"",""""))),1,IF(REGEXMATCH(C114,""Sell_""),IF(COUNTIF(C$4:C114,SUBSTITUTE(C114,""Sell_"",""""))-COUNTIF(C$4:C113,C114)&lt;1,1),FALSE))))"),FALSE)</f>
        <v>0</v>
      </c>
      <c r="E114" s="59">
        <f t="array" ref="E114">IF(COUNTA(C114:C1644)=0,"",SUM((COUNTIF(C$4:C114,Upgrades!$B$3:$B$13)-COUNTIF(C$4:C114,"Sell_"&amp;Upgrades!$B$3:$B$13))*Upgrades!$D$3:$D$13))</f>
        <v>77292.2</v>
      </c>
      <c r="F114" s="66">
        <f>IFERROR(__xludf.DUMMYFUNCTION("IF(COUNTA(C114:C1644)=0,"""",IF(REGEXMATCH(INDEX(FILTER(C$4:C114,C$4:C114&lt;&gt;""""),ROWS(FILTER(C$4:C114,C$4:C114&lt;&gt;""""))),""^Sell_""),INDEX(FILTER(F$4:F113,C$4:C113&lt;&gt;""""),ROWS(FILTER(C$4:C113,C$4:C113&lt;&gt;""""))),$AC$5+E114))"),77302.2)</f>
        <v>77302.2</v>
      </c>
      <c r="G114" s="10">
        <f>IFERROR(__xludf.DUMMYFUNCTION("IF(COUNTA(C114:C1644)=0,"""",IF(C114="""",0,IF(REGEXMATCH(C114,""^Sell_""),-ROUNDDOWN(ROUNDUP(INDEX(Upgrades!$C$3:$C$13,MATCH(SUBSTITUTE(C114,""Sell_"",""""),Upgrades!$B$3:$B$13,0))*1.15^(COUNTIF(C$4:C113,SUBSTITUTE(C114,""Sell_"",""""))-COUNTIF(C$4:C113,"&amp;"""Sell_""&amp;SUBSTITUTE(C114,""Sell_"",""""))))/2),ROUNDUP(INDEX(Upgrades!$C$3:$C$13,MATCH(C114,Upgrades!$B$3:$B$13,0))*1.15^(COUNTIF(C$4:C113,C114)-COUNTIF(C$4:C113,""Sell_""&amp;C114))))))"),141.0)</f>
        <v>141</v>
      </c>
      <c r="H114" s="10">
        <f t="shared" si="3"/>
        <v>141</v>
      </c>
      <c r="I114" s="68">
        <f t="shared" si="4"/>
        <v>4001.726055</v>
      </c>
      <c r="J114" s="59" t="str">
        <f t="shared" si="5"/>
        <v>1h 06m 41s</v>
      </c>
      <c r="K114" s="69">
        <f t="shared" si="6"/>
        <v>43894214</v>
      </c>
      <c r="L114" s="60">
        <f t="shared" si="7"/>
        <v>-34.58618</v>
      </c>
      <c r="M114" s="61">
        <f>IFERROR(__xludf.DUMMYFUNCTION("IFS(AND(COUNTA(C114:C1644)=0,COUNTA(Q114:Q1644)=0),"""",OR(AND(K114&gt;=1000000000,OR(Y114&gt;=1000000000,COUNTA(Q114:Q1644)=0)),OR(Y114&gt;=1000000000,AND(COUNTA(C114:C1644)=0,P$3=TRUE))),
ROUNDDOWN((AB$1-AC$1)*MAX(INDEX(T$4:T1644,MATCH(LARGE(FILTER(Y$4:Y1644,Y$4"&amp;":Y1644&lt;1000000000),1),Y$4:Y1644)),INDEX(F$4:F1644,MATCH(LARGE(FILTER(K$4:K1644,K$4:K1644&lt;1000000000),1),K$4:K1644)))),AND(K114&lt;1000000000,COUNTA(C114:C1644)&gt;0,P$3=FALSE),
ROUNDDOWN(INDEX(Y$4:Y1644,MATCH(LARGE(FILTER(W$4:W1644,W$4:W1644&lt;=I114),1),W$4:W1644"&amp;"))+(I114-LARGE(FILTER(W$4:W1644,W$4:W1644&lt;=I114),1))*INDEX(T$4:T1644,MATCH(LARGE(FILTER(W$4:W1644,W$4:W1644&lt;=I114),1),W$4:W1644))-K114),1,
ROUNDDOWN(Y114-INDEX(K$4:K1644,MATCH(LARGE(FILTER(I$4:I1644,I$4:I1644&lt;=W114),1),I$4:I1644))-(W114-LARGE(FILTER(I$4:I"&amp;"1644,I$4:I1644&lt;=W114),1))*INDEX(F$4:F1644,MATCH(LARGE(FILTER(I$4:I1644,I$4:I1644&lt;=W114),1),I$4:I1644))))"),2678147.0)</f>
        <v>2678147</v>
      </c>
      <c r="N114" s="60">
        <f t="shared" si="8"/>
        <v>-34.58618</v>
      </c>
      <c r="O114" s="61" t="str">
        <f t="shared" si="9"/>
        <v>2,7M</v>
      </c>
      <c r="P114" s="56">
        <f t="shared" si="10"/>
        <v>14</v>
      </c>
      <c r="Q114" s="67" t="s">
        <v>3</v>
      </c>
      <c r="R114" s="10" t="b">
        <f>IFERROR(__xludf.DUMMYFUNCTION("IF(COUNTA(Q114:Q1644)=0,"""",IF(ISBLANK(Q114),FALSE,IF(NOT(COUNTIF($AA$24:$AA$34,SUBSTITUTE(Q114,""Sell_"",""""))),1,IF(REGEXMATCH(Q114,""Sell_""),IF(COUNTIF(Q$4:Q114,SUBSTITUTE(Q114,""Sell_"",""""))-COUNTIF(Q$4:Q113,Q114)&lt;1,1),FALSE))))"),FALSE)</f>
        <v>0</v>
      </c>
      <c r="S114" s="59">
        <f t="array" ref="S114">IF(COUNTA(Q114:Q1644)=0,"",SUM((COUNTIF(Q$4:Q114,Upgrades!$B$3:$B$13)-COUNTIF(Q$4:Q114,"Sell_"&amp;Upgrades!$B$3:$B$13))*Upgrades!$D$3:$D$13))</f>
        <v>63250.9</v>
      </c>
      <c r="T114" s="66">
        <f>IFERROR(__xludf.DUMMYFUNCTION("IF(COUNTA(Q114:Q1644)=0,"""",IF(REGEXMATCH(INDEX(FILTER(Q$4:Q114,Q$4:Q114&lt;&gt;""""),ROWS(FILTER(Q$4:Q114,Q$4:Q114&lt;&gt;""""))),""^Sell_""),INDEX(FILTER(T$4:T113,Q$4:Q113&lt;&gt;""""),ROWS(FILTER(Q$4:Q113,Q$4:Q113&lt;&gt;""""))),$AD$5+S114))"),63260.9)</f>
        <v>63260.9</v>
      </c>
      <c r="U114" s="10">
        <f>IFERROR(__xludf.DUMMYFUNCTION("IF(COUNTA(Q114:Q1644)=0,"""",IF(Q114="""",0,IF(REGEXMATCH(Q114,""^Sell_""),-ROUNDDOWN(ROUNDUP(INDEX(Upgrades!$C$3:$C$13,MATCH(SUBSTITUTE(Q114,""Sell_"",""""),Upgrades!$B$3:$B$13,0))*1.15^(COUNTIF(Q$4:Q113,SUBSTITUTE(Q114,""Sell_"",""""))-COUNTIF(Q$4:Q113,"&amp;"""Sell_""&amp;SUBSTITUTE(Q114,""Sell_"",""""))))/2),ROUNDUP(INDEX(Upgrades!$C$3:$C$13,MATCH(Q114,Upgrades!$B$3:$B$13,0))*1.15^(COUNTIF(Q$4:Q113,Q114)-COUNTIF(Q$4:Q113,""Sell_""&amp;Q114))))))"),93.0)</f>
        <v>93</v>
      </c>
      <c r="V114" s="10">
        <f t="shared" si="11"/>
        <v>93</v>
      </c>
      <c r="W114" s="68">
        <f t="shared" si="12"/>
        <v>3771.518569</v>
      </c>
      <c r="X114" s="59" t="str">
        <f t="shared" si="13"/>
        <v>1h 02m 51s</v>
      </c>
      <c r="Y114" s="69">
        <f t="shared" si="14"/>
        <v>30779153</v>
      </c>
      <c r="Z114" s="11"/>
      <c r="AG114" s="59"/>
    </row>
    <row r="115">
      <c r="A115" s="8"/>
      <c r="B115" s="56">
        <f t="shared" si="2"/>
        <v>14</v>
      </c>
      <c r="C115" s="67" t="s">
        <v>4</v>
      </c>
      <c r="D115" s="10" t="b">
        <f>IFERROR(__xludf.DUMMYFUNCTION("IF(COUNTA(C115:C1644)=0,"""",IF(ISBLANK(C115),FALSE,IF(NOT(COUNTIF($AA$24:$AA$34,SUBSTITUTE(C115,""Sell_"",""""))),1,IF(REGEXMATCH(C115,""Sell_""),IF(COUNTIF(C$4:C115,SUBSTITUTE(C115,""Sell_"",""""))-COUNTIF(C$4:C114,C115)&lt;1,1),FALSE))))"),FALSE)</f>
        <v>0</v>
      </c>
      <c r="E115" s="59">
        <f t="array" ref="E115">IF(COUNTA(C115:C1644)=0,"",SUM((COUNTIF(C$4:C115,Upgrades!$B$3:$B$13)-COUNTIF(C$4:C115,"Sell_"&amp;Upgrades!$B$3:$B$13))*Upgrades!$D$3:$D$13))</f>
        <v>77292.7</v>
      </c>
      <c r="F115" s="66">
        <f>IFERROR(__xludf.DUMMYFUNCTION("IF(COUNTA(C115:C1644)=0,"""",IF(REGEXMATCH(INDEX(FILTER(C$4:C115,C$4:C115&lt;&gt;""""),ROWS(FILTER(C$4:C115,C$4:C115&lt;&gt;""""))),""^Sell_""),INDEX(FILTER(F$4:F114,C$4:C114&lt;&gt;""""),ROWS(FILTER(C$4:C114,C$4:C114&lt;&gt;""""))),$AC$5+E115))"),77302.7)</f>
        <v>77302.7</v>
      </c>
      <c r="G115" s="10">
        <f>IFERROR(__xludf.DUMMYFUNCTION("IF(COUNTA(C115:C1644)=0,"""",IF(C115="""",0,IF(REGEXMATCH(C115,""^Sell_""),-ROUNDDOWN(ROUNDUP(INDEX(Upgrades!$C$3:$C$13,MATCH(SUBSTITUTE(C115,""Sell_"",""""),Upgrades!$B$3:$B$13,0))*1.15^(COUNTIF(C$4:C114,SUBSTITUTE(C115,""Sell_"",""""))-COUNTIF(C$4:C114,"&amp;"""Sell_""&amp;SUBSTITUTE(C115,""Sell_"",""""))))/2),ROUNDUP(INDEX(Upgrades!$C$3:$C$13,MATCH(C115,Upgrades!$B$3:$B$13,0))*1.15^(COUNTIF(C$4:C114,C115)-COUNTIF(C$4:C114,""Sell_""&amp;C115))))))"),616.0)</f>
        <v>616</v>
      </c>
      <c r="H115" s="10">
        <f t="shared" si="3"/>
        <v>616</v>
      </c>
      <c r="I115" s="68">
        <f t="shared" si="4"/>
        <v>4001.734023</v>
      </c>
      <c r="J115" s="59" t="str">
        <f t="shared" si="5"/>
        <v>1h 06m 41s</v>
      </c>
      <c r="K115" s="69">
        <f t="shared" si="6"/>
        <v>43894830</v>
      </c>
      <c r="L115" s="60">
        <f t="shared" si="7"/>
        <v>-34.5854</v>
      </c>
      <c r="M115" s="61">
        <f>IFERROR(__xludf.DUMMYFUNCTION("IFS(AND(COUNTA(C115:C1644)=0,COUNTA(Q115:Q1644)=0),"""",OR(AND(K115&gt;=1000000000,OR(Y115&gt;=1000000000,COUNTA(Q115:Q1644)=0)),OR(Y115&gt;=1000000000,AND(COUNTA(C115:C1644)=0,P$3=TRUE))),
ROUNDDOWN((AB$1-AC$1)*MAX(INDEX(T$4:T1644,MATCH(LARGE(FILTER(Y$4:Y1644,Y$4"&amp;":Y1644&lt;1000000000),1),Y$4:Y1644)),INDEX(F$4:F1644,MATCH(LARGE(FILTER(K$4:K1644,K$4:K1644&lt;1000000000),1),K$4:K1644)))),AND(K115&lt;1000000000,COUNTA(C115:C1644)&gt;0,P$3=FALSE),
ROUNDDOWN(INDEX(Y$4:Y1644,MATCH(LARGE(FILTER(W$4:W1644,W$4:W1644&lt;=I115),1),W$4:W1644"&amp;"))+(I115-LARGE(FILTER(W$4:W1644,W$4:W1644&lt;=I115),1))*INDEX(T$4:T1644,MATCH(LARGE(FILTER(W$4:W1644,W$4:W1644&lt;=I115),1),W$4:W1644))-K115),1,
ROUNDDOWN(Y115-INDEX(K$4:K1644,MATCH(LARGE(FILTER(I$4:I1644,I$4:I1644&lt;=W115),1),I$4:I1644))-(W115-LARGE(FILTER(I$4:I"&amp;"1644,I$4:I1644&lt;=W115),1))*INDEX(F$4:F1644,MATCH(LARGE(FILTER(I$4:I1644,I$4:I1644&lt;=W115),1),I$4:I1644))))"),2678150.0)</f>
        <v>2678150</v>
      </c>
      <c r="N115" s="60">
        <f t="shared" si="8"/>
        <v>-34.5854</v>
      </c>
      <c r="O115" s="61" t="str">
        <f t="shared" si="9"/>
        <v>2,7M</v>
      </c>
      <c r="P115" s="56">
        <f t="shared" si="10"/>
        <v>12</v>
      </c>
      <c r="Q115" s="67" t="s">
        <v>4</v>
      </c>
      <c r="R115" s="10" t="b">
        <f>IFERROR(__xludf.DUMMYFUNCTION("IF(COUNTA(Q115:Q1644)=0,"""",IF(ISBLANK(Q115),FALSE,IF(NOT(COUNTIF($AA$24:$AA$34,SUBSTITUTE(Q115,""Sell_"",""""))),1,IF(REGEXMATCH(Q115,""Sell_""),IF(COUNTIF(Q$4:Q115,SUBSTITUTE(Q115,""Sell_"",""""))-COUNTIF(Q$4:Q114,Q115)&lt;1,1),FALSE))))"),FALSE)</f>
        <v>0</v>
      </c>
      <c r="S115" s="59">
        <f t="array" ref="S115">IF(COUNTA(Q115:Q1644)=0,"",SUM((COUNTIF(Q$4:Q115,Upgrades!$B$3:$B$13)-COUNTIF(Q$4:Q115,"Sell_"&amp;Upgrades!$B$3:$B$13))*Upgrades!$D$3:$D$13))</f>
        <v>63251.4</v>
      </c>
      <c r="T115" s="66">
        <f>IFERROR(__xludf.DUMMYFUNCTION("IF(COUNTA(Q115:Q1644)=0,"""",IF(REGEXMATCH(INDEX(FILTER(Q$4:Q115,Q$4:Q115&lt;&gt;""""),ROWS(FILTER(Q$4:Q115,Q$4:Q115&lt;&gt;""""))),""^Sell_""),INDEX(FILTER(T$4:T114,Q$4:Q114&lt;&gt;""""),ROWS(FILTER(Q$4:Q114,Q$4:Q114&lt;&gt;""""))),$AD$5+S115))"),63261.4)</f>
        <v>63261.4</v>
      </c>
      <c r="U115" s="10">
        <f>IFERROR(__xludf.DUMMYFUNCTION("IF(COUNTA(Q115:Q1644)=0,"""",IF(Q115="""",0,IF(REGEXMATCH(Q115,""^Sell_""),-ROUNDDOWN(ROUNDUP(INDEX(Upgrades!$C$3:$C$13,MATCH(SUBSTITUTE(Q115,""Sell_"",""""),Upgrades!$B$3:$B$13,0))*1.15^(COUNTIF(Q$4:Q114,SUBSTITUTE(Q115,""Sell_"",""""))-COUNTIF(Q$4:Q114,"&amp;"""Sell_""&amp;SUBSTITUTE(Q115,""Sell_"",""""))))/2),ROUNDUP(INDEX(Upgrades!$C$3:$C$13,MATCH(Q115,Upgrades!$B$3:$B$13,0))*1.15^(COUNTIF(Q$4:Q114,Q115)-COUNTIF(Q$4:Q114,""Sell_""&amp;Q115))))))"),466.0)</f>
        <v>466</v>
      </c>
      <c r="V115" s="10">
        <f t="shared" si="11"/>
        <v>466</v>
      </c>
      <c r="W115" s="68">
        <f t="shared" si="12"/>
        <v>3771.525936</v>
      </c>
      <c r="X115" s="59" t="str">
        <f t="shared" si="13"/>
        <v>1h 02m 51s</v>
      </c>
      <c r="Y115" s="69">
        <f t="shared" si="14"/>
        <v>30779619</v>
      </c>
      <c r="Z115" s="11"/>
      <c r="AG115" s="59"/>
    </row>
    <row r="116">
      <c r="A116" s="8"/>
      <c r="B116" s="56">
        <f t="shared" si="2"/>
        <v>12</v>
      </c>
      <c r="C116" s="67" t="s">
        <v>10</v>
      </c>
      <c r="D116" s="10" t="b">
        <f>IFERROR(__xludf.DUMMYFUNCTION("IF(COUNTA(C116:C1644)=0,"""",IF(ISBLANK(C116),FALSE,IF(NOT(COUNTIF($AA$24:$AA$34,SUBSTITUTE(C116,""Sell_"",""""))),1,IF(REGEXMATCH(C116,""Sell_""),IF(COUNTIF(C$4:C116,SUBSTITUTE(C116,""Sell_"",""""))-COUNTIF(C$4:C115,C116)&lt;1,1),FALSE))))"),FALSE)</f>
        <v>0</v>
      </c>
      <c r="E116" s="59">
        <f t="array" ref="E116">IF(COUNTA(C116:C1644)=0,"",SUM((COUNTIF(C$4:C116,Upgrades!$B$3:$B$13)-COUNTIF(C$4:C116,"Sell_"&amp;Upgrades!$B$3:$B$13))*Upgrades!$D$3:$D$13))</f>
        <v>83958.7</v>
      </c>
      <c r="F116" s="66">
        <f>IFERROR(__xludf.DUMMYFUNCTION("IF(COUNTA(C116:C1644)=0,"""",IF(REGEXMATCH(INDEX(FILTER(C$4:C116,C$4:C116&lt;&gt;""""),ROWS(FILTER(C$4:C116,C$4:C116&lt;&gt;""""))),""^Sell_""),INDEX(FILTER(F$4:F115,C$4:C115&lt;&gt;""""),ROWS(FILTER(C$4:C115,C$4:C115&lt;&gt;""""))),$AC$5+E116))"),83968.7)</f>
        <v>83968.7</v>
      </c>
      <c r="G116" s="10">
        <f>IFERROR(__xludf.DUMMYFUNCTION("IF(COUNTA(C116:C1644)=0,"""",IF(C116="""",0,IF(REGEXMATCH(C116,""^Sell_""),-ROUNDDOWN(ROUNDUP(INDEX(Upgrades!$C$3:$C$13,MATCH(SUBSTITUTE(C116,""Sell_"",""""),Upgrades!$B$3:$B$13,0))*1.15^(COUNTIF(C$4:C115,SUBSTITUTE(C116,""Sell_"",""""))-COUNTIF(C$4:C115,"&amp;"""Sell_""&amp;SUBSTITUTE(C116,""Sell_"",""""))))/2),ROUNDUP(INDEX(Upgrades!$C$3:$C$13,MATCH(C116,Upgrades!$B$3:$B$13,0))*1.15^(COUNTIF(C$4:C115,C116)-COUNTIF(C$4:C115,""Sell_""&amp;C116))))))"),7753983.0)</f>
        <v>7753983</v>
      </c>
      <c r="H116" s="10">
        <f t="shared" si="3"/>
        <v>7753983</v>
      </c>
      <c r="I116" s="68">
        <f t="shared" si="4"/>
        <v>4102.040778</v>
      </c>
      <c r="J116" s="59" t="str">
        <f t="shared" si="5"/>
        <v>1h 08m 22s</v>
      </c>
      <c r="K116" s="69">
        <f t="shared" si="6"/>
        <v>51648813</v>
      </c>
      <c r="L116" s="60">
        <f t="shared" si="7"/>
        <v>-34.98291</v>
      </c>
      <c r="M116" s="61">
        <f>IFERROR(__xludf.DUMMYFUNCTION("IFS(AND(COUNTA(C116:C1644)=0,COUNTA(Q116:Q1644)=0),"""",OR(AND(K116&gt;=1000000000,OR(Y116&gt;=1000000000,COUNTA(Q116:Q1644)=0)),OR(Y116&gt;=1000000000,AND(COUNTA(C116:C1644)=0,P$3=TRUE))),
ROUNDDOWN((AB$1-AC$1)*MAX(INDEX(T$4:T1644,MATCH(LARGE(FILTER(Y$4:Y1644,Y$4"&amp;":Y1644&lt;1000000000),1),Y$4:Y1644)),INDEX(F$4:F1644,MATCH(LARGE(FILTER(K$4:K1644,K$4:K1644&lt;1000000000),1),K$4:K1644)))),AND(K116&lt;1000000000,COUNTA(C116:C1644)&gt;0,P$3=FALSE),
ROUNDDOWN(INDEX(Y$4:Y1644,MATCH(LARGE(FILTER(W$4:W1644,W$4:W1644&lt;=I116),1),W$4:W1644"&amp;"))+(I116-LARGE(FILTER(W$4:W1644,W$4:W1644&lt;=I116),1))*INDEX(T$4:T1644,MATCH(LARGE(FILTER(W$4:W1644,W$4:W1644&lt;=I116),1),W$4:W1644))-K116),1,
ROUNDDOWN(Y116-INDEX(K$4:K1644,MATCH(LARGE(FILTER(I$4:I1644,I$4:I1644&lt;=W116),1),I$4:I1644))-(W116-LARGE(FILTER(I$4:I"&amp;"1644,I$4:I1644&lt;=W116),1))*INDEX(F$4:F1644,MATCH(LARGE(FILTER(I$4:I1644,I$4:I1644&lt;=W116),1),I$4:I1644))))"),2901657.0)</f>
        <v>2901657</v>
      </c>
      <c r="N116" s="60">
        <f t="shared" si="8"/>
        <v>-34.98291</v>
      </c>
      <c r="O116" s="61" t="str">
        <f t="shared" si="9"/>
        <v>2,9M</v>
      </c>
      <c r="P116" s="56">
        <f t="shared" si="10"/>
        <v>10</v>
      </c>
      <c r="Q116" s="67" t="s">
        <v>10</v>
      </c>
      <c r="R116" s="10" t="b">
        <f>IFERROR(__xludf.DUMMYFUNCTION("IF(COUNTA(Q116:Q1644)=0,"""",IF(ISBLANK(Q116),FALSE,IF(NOT(COUNTIF($AA$24:$AA$34,SUBSTITUTE(Q116,""Sell_"",""""))),1,IF(REGEXMATCH(Q116,""Sell_""),IF(COUNTIF(Q$4:Q116,SUBSTITUTE(Q116,""Sell_"",""""))-COUNTIF(Q$4:Q115,Q116)&lt;1,1),FALSE))))"),FALSE)</f>
        <v>0</v>
      </c>
      <c r="S116" s="59">
        <f t="array" ref="S116">IF(COUNTA(Q116:Q1644)=0,"",SUM((COUNTIF(Q$4:Q116,Upgrades!$B$3:$B$13)-COUNTIF(Q$4:Q116,"Sell_"&amp;Upgrades!$B$3:$B$13))*Upgrades!$D$3:$D$13))</f>
        <v>69917.4</v>
      </c>
      <c r="T116" s="66">
        <f>IFERROR(__xludf.DUMMYFUNCTION("IF(COUNTA(Q116:Q1644)=0,"""",IF(REGEXMATCH(INDEX(FILTER(Q$4:Q116,Q$4:Q116&lt;&gt;""""),ROWS(FILTER(Q$4:Q116,Q$4:Q116&lt;&gt;""""))),""^Sell_""),INDEX(FILTER(T$4:T115,Q$4:Q115&lt;&gt;""""),ROWS(FILTER(Q$4:Q115,Q$4:Q115&lt;&gt;""""))),$AD$5+S116))"),69927.4)</f>
        <v>69927.4</v>
      </c>
      <c r="U116" s="10">
        <f>IFERROR(__xludf.DUMMYFUNCTION("IF(COUNTA(Q116:Q1644)=0,"""",IF(Q116="""",0,IF(REGEXMATCH(Q116,""^Sell_""),-ROUNDDOWN(ROUNDUP(INDEX(Upgrades!$C$3:$C$13,MATCH(SUBSTITUTE(Q116,""Sell_"",""""),Upgrades!$B$3:$B$13,0))*1.15^(COUNTIF(Q$4:Q115,SUBSTITUTE(Q116,""Sell_"",""""))-COUNTIF(Q$4:Q115,"&amp;"""Sell_""&amp;SUBSTITUTE(Q116,""Sell_"",""""))))/2),ROUNDUP(INDEX(Upgrades!$C$3:$C$13,MATCH(Q116,Upgrades!$B$3:$B$13,0))*1.15^(COUNTIF(Q$4:Q115,Q116)-COUNTIF(Q$4:Q115,""Sell_""&amp;Q116))))))"),5863125.0)</f>
        <v>5863125</v>
      </c>
      <c r="V116" s="10">
        <f t="shared" si="11"/>
        <v>5863125</v>
      </c>
      <c r="W116" s="68">
        <f t="shared" si="12"/>
        <v>3864.20686</v>
      </c>
      <c r="X116" s="59" t="str">
        <f t="shared" si="13"/>
        <v>1h 04m 24s</v>
      </c>
      <c r="Y116" s="69">
        <f t="shared" si="14"/>
        <v>36642744</v>
      </c>
      <c r="Z116" s="11"/>
      <c r="AG116" s="59"/>
    </row>
    <row r="117">
      <c r="A117" s="8"/>
      <c r="B117" s="56">
        <f t="shared" si="2"/>
        <v>7</v>
      </c>
      <c r="C117" s="67" t="s">
        <v>9</v>
      </c>
      <c r="D117" s="10" t="b">
        <f>IFERROR(__xludf.DUMMYFUNCTION("IF(COUNTA(C117:C1644)=0,"""",IF(ISBLANK(C117),FALSE,IF(NOT(COUNTIF($AA$24:$AA$34,SUBSTITUTE(C117,""Sell_"",""""))),1,IF(REGEXMATCH(C117,""Sell_""),IF(COUNTIF(C$4:C117,SUBSTITUTE(C117,""Sell_"",""""))-COUNTIF(C$4:C116,C117)&lt;1,1),FALSE))))"),FALSE)</f>
        <v>0</v>
      </c>
      <c r="E117" s="59">
        <f t="array" ref="E117">IF(COUNTA(C117:C1644)=0,"",SUM((COUNTIF(C$4:C117,Upgrades!$B$3:$B$13)-COUNTIF(C$4:C117,"Sell_"&amp;Upgrades!$B$3:$B$13))*Upgrades!$D$3:$D$13))</f>
        <v>84358.7</v>
      </c>
      <c r="F117" s="66">
        <f>IFERROR(__xludf.DUMMYFUNCTION("IF(COUNTA(C117:C1644)=0,"""",IF(REGEXMATCH(INDEX(FILTER(C$4:C117,C$4:C117&lt;&gt;""""),ROWS(FILTER(C$4:C117,C$4:C117&lt;&gt;""""))),""^Sell_""),INDEX(FILTER(F$4:F116,C$4:C116&lt;&gt;""""),ROWS(FILTER(C$4:C116,C$4:C116&lt;&gt;""""))),$AC$5+E117))"),84368.7)</f>
        <v>84368.7</v>
      </c>
      <c r="G117" s="10">
        <f>IFERROR(__xludf.DUMMYFUNCTION("IF(COUNTA(C117:C1644)=0,"""",IF(C117="""",0,IF(REGEXMATCH(C117,""^Sell_""),-ROUNDDOWN(ROUNDUP(INDEX(Upgrades!$C$3:$C$13,MATCH(SUBSTITUTE(C117,""Sell_"",""""),Upgrades!$B$3:$B$13,0))*1.15^(COUNTIF(C$4:C116,SUBSTITUTE(C117,""Sell_"",""""))-COUNTIF(C$4:C116,"&amp;"""Sell_""&amp;SUBSTITUTE(C117,""Sell_"",""""))))/2),ROUNDUP(INDEX(Upgrades!$C$3:$C$13,MATCH(C117,Upgrades!$B$3:$B$13,0))*1.15^(COUNTIF(C$4:C116,C117)-COUNTIF(C$4:C116,""Sell_""&amp;C117))))))"),462613.0)</f>
        <v>462613</v>
      </c>
      <c r="H117" s="10">
        <f t="shared" si="3"/>
        <v>462613</v>
      </c>
      <c r="I117" s="68">
        <f t="shared" si="4"/>
        <v>4107.550129</v>
      </c>
      <c r="J117" s="59" t="str">
        <f t="shared" si="5"/>
        <v>1h 08m 27s</v>
      </c>
      <c r="K117" s="69">
        <f t="shared" si="6"/>
        <v>52111426</v>
      </c>
      <c r="L117" s="60">
        <f t="shared" si="7"/>
        <v>-34.53862</v>
      </c>
      <c r="M117" s="61">
        <f>IFERROR(__xludf.DUMMYFUNCTION("IFS(AND(COUNTA(C117:C1644)=0,COUNTA(Q117:Q1644)=0),"""",OR(AND(K117&gt;=1000000000,OR(Y117&gt;=1000000000,COUNTA(Q117:Q1644)=0)),OR(Y117&gt;=1000000000,AND(COUNTA(C117:C1644)=0,P$3=TRUE))),
ROUNDDOWN((AB$1-AC$1)*MAX(INDEX(T$4:T1644,MATCH(LARGE(FILTER(Y$4:Y1644,Y$4"&amp;":Y1644&lt;1000000000),1),Y$4:Y1644)),INDEX(F$4:F1644,MATCH(LARGE(FILTER(K$4:K1644,K$4:K1644&lt;1000000000),1),K$4:K1644)))),AND(K117&lt;1000000000,COUNTA(C117:C1644)&gt;0,P$3=FALSE),
ROUNDDOWN(INDEX(Y$4:Y1644,MATCH(LARGE(FILTER(W$4:W1644,W$4:W1644&lt;=I117),1),W$4:W1644"&amp;"))+(I117-LARGE(FILTER(W$4:W1644,W$4:W1644&lt;=I117),1))*INDEX(T$4:T1644,MATCH(LARGE(FILTER(W$4:W1644,W$4:W1644&lt;=I117),1),W$4:W1644))-K117),1,
ROUNDDOWN(Y117-INDEX(K$4:K1644,MATCH(LARGE(FILTER(I$4:I1644,I$4:I1644&lt;=W117),1),I$4:I1644))-(W117-LARGE(FILTER(I$4:I"&amp;"1644,I$4:I1644&lt;=W117),1))*INDEX(F$4:F1644,MATCH(LARGE(FILTER(I$4:I1644,I$4:I1644&lt;=W117),1),I$4:I1644))))"),2906916.0)</f>
        <v>2906916</v>
      </c>
      <c r="N117" s="60">
        <f t="shared" si="8"/>
        <v>-34.53862</v>
      </c>
      <c r="O117" s="61" t="str">
        <f t="shared" si="9"/>
        <v>2,9M</v>
      </c>
      <c r="P117" s="56">
        <f t="shared" si="10"/>
        <v>6</v>
      </c>
      <c r="Q117" s="67" t="s">
        <v>9</v>
      </c>
      <c r="R117" s="10" t="b">
        <f>IFERROR(__xludf.DUMMYFUNCTION("IF(COUNTA(Q117:Q1644)=0,"""",IF(ISBLANK(Q117),FALSE,IF(NOT(COUNTIF($AA$24:$AA$34,SUBSTITUTE(Q117,""Sell_"",""""))),1,IF(REGEXMATCH(Q117,""Sell_""),IF(COUNTIF(Q$4:Q117,SUBSTITUTE(Q117,""Sell_"",""""))-COUNTIF(Q$4:Q116,Q117)&lt;1,1),FALSE))))"),FALSE)</f>
        <v>0</v>
      </c>
      <c r="S117" s="59">
        <f t="array" ref="S117">IF(COUNTA(Q117:Q1644)=0,"",SUM((COUNTIF(Q$4:Q117,Upgrades!$B$3:$B$13)-COUNTIF(Q$4:Q117,"Sell_"&amp;Upgrades!$B$3:$B$13))*Upgrades!$D$3:$D$13))</f>
        <v>70317.4</v>
      </c>
      <c r="T117" s="66">
        <f>IFERROR(__xludf.DUMMYFUNCTION("IF(COUNTA(Q117:Q1644)=0,"""",IF(REGEXMATCH(INDEX(FILTER(Q$4:Q117,Q$4:Q117&lt;&gt;""""),ROWS(FILTER(Q$4:Q117,Q$4:Q117&lt;&gt;""""))),""^Sell_""),INDEX(FILTER(T$4:T116,Q$4:Q116&lt;&gt;""""),ROWS(FILTER(Q$4:Q116,Q$4:Q116&lt;&gt;""""))),$AD$5+S117))"),70327.4)</f>
        <v>70327.4</v>
      </c>
      <c r="U117" s="10">
        <f>IFERROR(__xludf.DUMMYFUNCTION("IF(COUNTA(Q117:Q1644)=0,"""",IF(Q117="""",0,IF(REGEXMATCH(Q117,""^Sell_""),-ROUNDDOWN(ROUNDUP(INDEX(Upgrades!$C$3:$C$13,MATCH(SUBSTITUTE(Q117,""Sell_"",""""),Upgrades!$B$3:$B$13,0))*1.15^(COUNTIF(Q$4:Q116,SUBSTITUTE(Q117,""Sell_"",""""))-COUNTIF(Q$4:Q116,"&amp;"""Sell_""&amp;SUBSTITUTE(Q117,""Sell_"",""""))))/2),ROUNDUP(INDEX(Upgrades!$C$3:$C$13,MATCH(Q117,Upgrades!$B$3:$B$13,0))*1.15^(COUNTIF(Q$4:Q116,Q117)-COUNTIF(Q$4:Q116,""Sell_""&amp;Q117))))))"),402272.0)</f>
        <v>402272</v>
      </c>
      <c r="V117" s="10">
        <f t="shared" si="11"/>
        <v>402272</v>
      </c>
      <c r="W117" s="68">
        <f t="shared" si="12"/>
        <v>3869.959569</v>
      </c>
      <c r="X117" s="59" t="str">
        <f t="shared" si="13"/>
        <v>1h 04m 29s</v>
      </c>
      <c r="Y117" s="69">
        <f t="shared" si="14"/>
        <v>37045016</v>
      </c>
      <c r="Z117" s="11"/>
      <c r="AG117" s="59"/>
    </row>
    <row r="118">
      <c r="A118" s="8"/>
      <c r="B118" s="56">
        <f t="shared" si="2"/>
        <v>13</v>
      </c>
      <c r="C118" s="67" t="s">
        <v>7</v>
      </c>
      <c r="D118" s="10" t="b">
        <f>IFERROR(__xludf.DUMMYFUNCTION("IF(COUNTA(C118:C1644)=0,"""",IF(ISBLANK(C118),FALSE,IF(NOT(COUNTIF($AA$24:$AA$34,SUBSTITUTE(C118,""Sell_"",""""))),1,IF(REGEXMATCH(C118,""Sell_""),IF(COUNTIF(C$4:C118,SUBSTITUTE(C118,""Sell_"",""""))-COUNTIF(C$4:C117,C118)&lt;1,1),FALSE))))"),FALSE)</f>
        <v>0</v>
      </c>
      <c r="E118" s="59">
        <f t="array" ref="E118">IF(COUNTA(C118:C1644)=0,"",SUM((COUNTIF(C$4:C118,Upgrades!$B$3:$B$13)-COUNTIF(C$4:C118,"Sell_"&amp;Upgrades!$B$3:$B$13))*Upgrades!$D$3:$D$13))</f>
        <v>84398.7</v>
      </c>
      <c r="F118" s="66">
        <f>IFERROR(__xludf.DUMMYFUNCTION("IF(COUNTA(C118:C1644)=0,"""",IF(REGEXMATCH(INDEX(FILTER(C$4:C118,C$4:C118&lt;&gt;""""),ROWS(FILTER(C$4:C118,C$4:C118&lt;&gt;""""))),""^Sell_""),INDEX(FILTER(F$4:F117,C$4:C117&lt;&gt;""""),ROWS(FILTER(C$4:C117,C$4:C117&lt;&gt;""""))),$AC$5+E118))"),84408.7)</f>
        <v>84408.7</v>
      </c>
      <c r="G118" s="10">
        <f>IFERROR(__xludf.DUMMYFUNCTION("IF(COUNTA(C118:C1644)=0,"""",IF(C118="""",0,IF(REGEXMATCH(C118,""^Sell_""),-ROUNDDOWN(ROUNDUP(INDEX(Upgrades!$C$3:$C$13,MATCH(SUBSTITUTE(C118,""Sell_"",""""),Upgrades!$B$3:$B$13,0))*1.15^(COUNTIF(C$4:C117,SUBSTITUTE(C118,""Sell_"",""""))-COUNTIF(C$4:C117,"&amp;"""Sell_""&amp;SUBSTITUTE(C118,""Sell_"",""""))))/2),ROUNDUP(INDEX(Upgrades!$C$3:$C$13,MATCH(C118,Upgrades!$B$3:$B$13,0))*1.15^(COUNTIF(C$4:C117,C118)-COUNTIF(C$4:C117,""Sell_""&amp;C118))))))"),53503.0)</f>
        <v>53503</v>
      </c>
      <c r="H118" s="10">
        <f t="shared" si="3"/>
        <v>53503</v>
      </c>
      <c r="I118" s="68">
        <f t="shared" si="4"/>
        <v>4108.184286</v>
      </c>
      <c r="J118" s="59" t="str">
        <f t="shared" si="5"/>
        <v>1h 08m 28s</v>
      </c>
      <c r="K118" s="69">
        <f t="shared" si="6"/>
        <v>52164929</v>
      </c>
      <c r="L118" s="60">
        <f t="shared" si="7"/>
        <v>-34.48422</v>
      </c>
      <c r="M118" s="61">
        <f>IFERROR(__xludf.DUMMYFUNCTION("IFS(AND(COUNTA(C118:C1644)=0,COUNTA(Q118:Q1644)=0),"""",OR(AND(K118&gt;=1000000000,OR(Y118&gt;=1000000000,COUNTA(Q118:Q1644)=0)),OR(Y118&gt;=1000000000,AND(COUNTA(C118:C1644)=0,P$3=TRUE))),
ROUNDDOWN((AB$1-AC$1)*MAX(INDEX(T$4:T1644,MATCH(LARGE(FILTER(Y$4:Y1644,Y$4"&amp;":Y1644&lt;1000000000),1),Y$4:Y1644)),INDEX(F$4:F1644,MATCH(LARGE(FILTER(K$4:K1644,K$4:K1644&lt;1000000000),1),K$4:K1644)))),AND(K118&lt;1000000000,COUNTA(C118:C1644)&gt;0,P$3=FALSE),
ROUNDDOWN(INDEX(Y$4:Y1644,MATCH(LARGE(FILTER(W$4:W1644,W$4:W1644&lt;=I118),1),W$4:W1644"&amp;"))+(I118-LARGE(FILTER(W$4:W1644,W$4:W1644&lt;=I118),1))*INDEX(T$4:T1644,MATCH(LARGE(FILTER(W$4:W1644,W$4:W1644&lt;=I118),1),W$4:W1644))-K118),1,
ROUNDDOWN(Y118-INDEX(K$4:K1644,MATCH(LARGE(FILTER(I$4:I1644,I$4:I1644&lt;=W118),1),I$4:I1644))-(W118-LARGE(FILTER(I$4:I"&amp;"1644,I$4:I1644&lt;=W118),1))*INDEX(F$4:F1644,MATCH(LARGE(FILTER(I$4:I1644,I$4:I1644&lt;=W118),1),I$4:I1644))))"),2907268.0)</f>
        <v>2907268</v>
      </c>
      <c r="N118" s="60">
        <f t="shared" si="8"/>
        <v>-34.48422</v>
      </c>
      <c r="O118" s="61" t="str">
        <f t="shared" si="9"/>
        <v>2,9M</v>
      </c>
      <c r="P118" s="56">
        <f t="shared" si="10"/>
        <v>11</v>
      </c>
      <c r="Q118" s="67" t="s">
        <v>7</v>
      </c>
      <c r="R118" s="10" t="b">
        <f>IFERROR(__xludf.DUMMYFUNCTION("IF(COUNTA(Q118:Q1644)=0,"""",IF(ISBLANK(Q118),FALSE,IF(NOT(COUNTIF($AA$24:$AA$34,SUBSTITUTE(Q118,""Sell_"",""""))),1,IF(REGEXMATCH(Q118,""Sell_""),IF(COUNTIF(Q$4:Q118,SUBSTITUTE(Q118,""Sell_"",""""))-COUNTIF(Q$4:Q117,Q118)&lt;1,1),FALSE))))"),FALSE)</f>
        <v>0</v>
      </c>
      <c r="S118" s="59">
        <f t="array" ref="S118">IF(COUNTA(Q118:Q1644)=0,"",SUM((COUNTIF(Q$4:Q118,Upgrades!$B$3:$B$13)-COUNTIF(Q$4:Q118,"Sell_"&amp;Upgrades!$B$3:$B$13))*Upgrades!$D$3:$D$13))</f>
        <v>70357.4</v>
      </c>
      <c r="T118" s="66">
        <f>IFERROR(__xludf.DUMMYFUNCTION("IF(COUNTA(Q118:Q1644)=0,"""",IF(REGEXMATCH(INDEX(FILTER(Q$4:Q118,Q$4:Q118&lt;&gt;""""),ROWS(FILTER(Q$4:Q118,Q$4:Q118&lt;&gt;""""))),""^Sell_""),INDEX(FILTER(T$4:T117,Q$4:Q117&lt;&gt;""""),ROWS(FILTER(Q$4:Q117,Q$4:Q117&lt;&gt;""""))),$AD$5+S118))"),70367.4)</f>
        <v>70367.4</v>
      </c>
      <c r="U118" s="10">
        <f>IFERROR(__xludf.DUMMYFUNCTION("IF(COUNTA(Q118:Q1644)=0,"""",IF(Q118="""",0,IF(REGEXMATCH(Q118,""^Sell_""),-ROUNDDOWN(ROUNDUP(INDEX(Upgrades!$C$3:$C$13,MATCH(SUBSTITUTE(Q118,""Sell_"",""""),Upgrades!$B$3:$B$13,0))*1.15^(COUNTIF(Q$4:Q117,SUBSTITUTE(Q118,""Sell_"",""""))-COUNTIF(Q$4:Q117,"&amp;"""Sell_""&amp;SUBSTITUTE(Q118,""Sell_"",""""))))/2),ROUNDUP(INDEX(Upgrades!$C$3:$C$13,MATCH(Q118,Upgrades!$B$3:$B$13,0))*1.15^(COUNTIF(Q$4:Q117,Q118)-COUNTIF(Q$4:Q117,""Sell_""&amp;Q118))))))"),40456.0)</f>
        <v>40456</v>
      </c>
      <c r="V118" s="10">
        <f t="shared" si="11"/>
        <v>40456</v>
      </c>
      <c r="W118" s="68">
        <f t="shared" si="12"/>
        <v>3870.534821</v>
      </c>
      <c r="X118" s="59" t="str">
        <f t="shared" si="13"/>
        <v>1h 04m 30s</v>
      </c>
      <c r="Y118" s="69">
        <f t="shared" si="14"/>
        <v>37085472</v>
      </c>
      <c r="Z118" s="11"/>
      <c r="AG118" s="59"/>
    </row>
    <row r="119">
      <c r="A119" s="8"/>
      <c r="B119" s="56">
        <f t="shared" si="2"/>
        <v>18</v>
      </c>
      <c r="C119" s="67" t="s">
        <v>5</v>
      </c>
      <c r="D119" s="10" t="b">
        <f>IFERROR(__xludf.DUMMYFUNCTION("IF(COUNTA(C119:C1644)=0,"""",IF(ISBLANK(C119),FALSE,IF(NOT(COUNTIF($AA$24:$AA$34,SUBSTITUTE(C119,""Sell_"",""""))),1,IF(REGEXMATCH(C119,""Sell_""),IF(COUNTIF(C$4:C119,SUBSTITUTE(C119,""Sell_"",""""))-COUNTIF(C$4:C118,C119)&lt;1,1),FALSE))))"),FALSE)</f>
        <v>0</v>
      </c>
      <c r="E119" s="59">
        <f t="array" ref="E119">IF(COUNTA(C119:C1644)=0,"",SUM((COUNTIF(C$4:C119,Upgrades!$B$3:$B$13)-COUNTIF(C$4:C119,"Sell_"&amp;Upgrades!$B$3:$B$13))*Upgrades!$D$3:$D$13))</f>
        <v>84402.7</v>
      </c>
      <c r="F119" s="66">
        <f>IFERROR(__xludf.DUMMYFUNCTION("IF(COUNTA(C119:C1644)=0,"""",IF(REGEXMATCH(INDEX(FILTER(C$4:C119,C$4:C119&lt;&gt;""""),ROWS(FILTER(C$4:C119,C$4:C119&lt;&gt;""""))),""^Sell_""),INDEX(FILTER(F$4:F118,C$4:C118&lt;&gt;""""),ROWS(FILTER(C$4:C118,C$4:C118&lt;&gt;""""))),$AC$5+E119))"),84412.7)</f>
        <v>84412.7</v>
      </c>
      <c r="G119" s="10">
        <f>IFERROR(__xludf.DUMMYFUNCTION("IF(COUNTA(C119:C1644)=0,"""",IF(C119="""",0,IF(REGEXMATCH(C119,""^Sell_""),-ROUNDDOWN(ROUNDUP(INDEX(Upgrades!$C$3:$C$13,MATCH(SUBSTITUTE(C119,""Sell_"",""""),Upgrades!$B$3:$B$13,0))*1.15^(COUNTIF(C$4:C118,SUBSTITUTE(C119,""Sell_"",""""))-COUNTIF(C$4:C118,"&amp;"""Sell_""&amp;SUBSTITUTE(C119,""Sell_"",""""))))/2),ROUNDUP(INDEX(Upgrades!$C$3:$C$13,MATCH(C119,Upgrades!$B$3:$B$13,0))*1.15^(COUNTIF(C$4:C118,C119)-COUNTIF(C$4:C118,""Sell_""&amp;C119))))))"),5381.0)</f>
        <v>5381</v>
      </c>
      <c r="H119" s="10">
        <f t="shared" si="3"/>
        <v>5381</v>
      </c>
      <c r="I119" s="68">
        <f t="shared" si="4"/>
        <v>4108.248035</v>
      </c>
      <c r="J119" s="59" t="str">
        <f t="shared" si="5"/>
        <v>1h 08m 28s</v>
      </c>
      <c r="K119" s="69">
        <f t="shared" si="6"/>
        <v>52170310</v>
      </c>
      <c r="L119" s="60">
        <f t="shared" si="7"/>
        <v>-34.47871</v>
      </c>
      <c r="M119" s="61">
        <f>IFERROR(__xludf.DUMMYFUNCTION("IFS(AND(COUNTA(C119:C1644)=0,COUNTA(Q119:Q1644)=0),"""",OR(AND(K119&gt;=1000000000,OR(Y119&gt;=1000000000,COUNTA(Q119:Q1644)=0)),OR(Y119&gt;=1000000000,AND(COUNTA(C119:C1644)=0,P$3=TRUE))),
ROUNDDOWN((AB$1-AC$1)*MAX(INDEX(T$4:T1644,MATCH(LARGE(FILTER(Y$4:Y1644,Y$4"&amp;":Y1644&lt;1000000000),1),Y$4:Y1644)),INDEX(F$4:F1644,MATCH(LARGE(FILTER(K$4:K1644,K$4:K1644&lt;1000000000),1),K$4:K1644)))),AND(K119&lt;1000000000,COUNTA(C119:C1644)&gt;0,P$3=FALSE),
ROUNDDOWN(INDEX(Y$4:Y1644,MATCH(LARGE(FILTER(W$4:W1644,W$4:W1644&lt;=I119),1),W$4:W1644"&amp;"))+(I119-LARGE(FILTER(W$4:W1644,W$4:W1644&lt;=I119),1))*INDEX(T$4:T1644,MATCH(LARGE(FILTER(W$4:W1644,W$4:W1644&lt;=I119),1),W$4:W1644))-K119),1,
ROUNDDOWN(Y119-INDEX(K$4:K1644,MATCH(LARGE(FILTER(I$4:I1644,I$4:I1644&lt;=W119),1),I$4:I1644))-(W119-LARGE(FILTER(I$4:I"&amp;"1644,I$4:I1644&lt;=W119),1))*INDEX(F$4:F1644,MATCH(LARGE(FILTER(I$4:I1644,I$4:I1644&lt;=W119),1),I$4:I1644))))"),2907300.0)</f>
        <v>2907300</v>
      </c>
      <c r="N119" s="60">
        <f t="shared" si="8"/>
        <v>-34.47871</v>
      </c>
      <c r="O119" s="61" t="str">
        <f t="shared" si="9"/>
        <v>2,9M</v>
      </c>
      <c r="P119" s="56">
        <f t="shared" si="10"/>
        <v>16</v>
      </c>
      <c r="Q119" s="67" t="s">
        <v>5</v>
      </c>
      <c r="R119" s="10" t="b">
        <f>IFERROR(__xludf.DUMMYFUNCTION("IF(COUNTA(Q119:Q1644)=0,"""",IF(ISBLANK(Q119),FALSE,IF(NOT(COUNTIF($AA$24:$AA$34,SUBSTITUTE(Q119,""Sell_"",""""))),1,IF(REGEXMATCH(Q119,""Sell_""),IF(COUNTIF(Q$4:Q119,SUBSTITUTE(Q119,""Sell_"",""""))-COUNTIF(Q$4:Q118,Q119)&lt;1,1),FALSE))))"),FALSE)</f>
        <v>0</v>
      </c>
      <c r="S119" s="59">
        <f t="array" ref="S119">IF(COUNTA(Q119:Q1644)=0,"",SUM((COUNTIF(Q$4:Q119,Upgrades!$B$3:$B$13)-COUNTIF(Q$4:Q119,"Sell_"&amp;Upgrades!$B$3:$B$13))*Upgrades!$D$3:$D$13))</f>
        <v>70361.4</v>
      </c>
      <c r="T119" s="66">
        <f>IFERROR(__xludf.DUMMYFUNCTION("IF(COUNTA(Q119:Q1644)=0,"""",IF(REGEXMATCH(INDEX(FILTER(Q$4:Q119,Q$4:Q119&lt;&gt;""""),ROWS(FILTER(Q$4:Q119,Q$4:Q119&lt;&gt;""""))),""^Sell_""),INDEX(FILTER(T$4:T118,Q$4:Q118&lt;&gt;""""),ROWS(FILTER(Q$4:Q118,Q$4:Q118&lt;&gt;""""))),$AD$5+S119))"),70371.4)</f>
        <v>70371.4</v>
      </c>
      <c r="U119" s="10">
        <f>IFERROR(__xludf.DUMMYFUNCTION("IF(COUNTA(Q119:Q1644)=0,"""",IF(Q119="""",0,IF(REGEXMATCH(Q119,""^Sell_""),-ROUNDDOWN(ROUNDUP(INDEX(Upgrades!$C$3:$C$13,MATCH(SUBSTITUTE(Q119,""Sell_"",""""),Upgrades!$B$3:$B$13,0))*1.15^(COUNTIF(Q$4:Q118,SUBSTITUTE(Q119,""Sell_"",""""))-COUNTIF(Q$4:Q118,"&amp;"""Sell_""&amp;SUBSTITUTE(Q119,""Sell_"",""""))))/2),ROUNDUP(INDEX(Upgrades!$C$3:$C$13,MATCH(Q119,Upgrades!$B$3:$B$13,0))*1.15^(COUNTIF(Q$4:Q118,Q119)-COUNTIF(Q$4:Q118,""Sell_""&amp;Q119))))))"),4069.0)</f>
        <v>4069</v>
      </c>
      <c r="V119" s="10">
        <f t="shared" si="11"/>
        <v>4069</v>
      </c>
      <c r="W119" s="68">
        <f t="shared" si="12"/>
        <v>3870.592646</v>
      </c>
      <c r="X119" s="59" t="str">
        <f t="shared" si="13"/>
        <v>1h 04m 30s</v>
      </c>
      <c r="Y119" s="69">
        <f t="shared" si="14"/>
        <v>37089541</v>
      </c>
      <c r="Z119" s="11"/>
      <c r="AG119" s="59"/>
    </row>
    <row r="120">
      <c r="A120" s="8"/>
      <c r="B120" s="56">
        <f t="shared" si="2"/>
        <v>12</v>
      </c>
      <c r="C120" s="67" t="s">
        <v>6</v>
      </c>
      <c r="D120" s="10" t="b">
        <f>IFERROR(__xludf.DUMMYFUNCTION("IF(COUNTA(C120:C1644)=0,"""",IF(ISBLANK(C120),FALSE,IF(NOT(COUNTIF($AA$24:$AA$34,SUBSTITUTE(C120,""Sell_"",""""))),1,IF(REGEXMATCH(C120,""Sell_""),IF(COUNTIF(C$4:C120,SUBSTITUTE(C120,""Sell_"",""""))-COUNTIF(C$4:C119,C120)&lt;1,1),FALSE))))"),FALSE)</f>
        <v>0</v>
      </c>
      <c r="E120" s="59">
        <f t="array" ref="E120">IF(COUNTA(C120:C1644)=0,"",SUM((COUNTIF(C$4:C120,Upgrades!$B$3:$B$13)-COUNTIF(C$4:C120,"Sell_"&amp;Upgrades!$B$3:$B$13))*Upgrades!$D$3:$D$13))</f>
        <v>84412.7</v>
      </c>
      <c r="F120" s="66">
        <f>IFERROR(__xludf.DUMMYFUNCTION("IF(COUNTA(C120:C1644)=0,"""",IF(REGEXMATCH(INDEX(FILTER(C$4:C120,C$4:C120&lt;&gt;""""),ROWS(FILTER(C$4:C120,C$4:C120&lt;&gt;""""))),""^Sell_""),INDEX(FILTER(F$4:F119,C$4:C119&lt;&gt;""""),ROWS(FILTER(C$4:C119,C$4:C119&lt;&gt;""""))),$AC$5+E120))"),84422.7)</f>
        <v>84422.7</v>
      </c>
      <c r="G120" s="10">
        <f>IFERROR(__xludf.DUMMYFUNCTION("IF(COUNTA(C120:C1644)=0,"""",IF(C120="""",0,IF(REGEXMATCH(C120,""^Sell_""),-ROUNDDOWN(ROUNDUP(INDEX(Upgrades!$C$3:$C$13,MATCH(SUBSTITUTE(C120,""Sell_"",""""),Upgrades!$B$3:$B$13,0))*1.15^(COUNTIF(C$4:C119,SUBSTITUTE(C120,""Sell_"",""""))-COUNTIF(C$4:C119,"&amp;"""Sell_""&amp;SUBSTITUTE(C120,""Sell_"",""""))))/2),ROUNDUP(INDEX(Upgrades!$C$3:$C$13,MATCH(C120,Upgrades!$B$3:$B$13,0))*1.15^(COUNTIF(C$4:C119,C120)-COUNTIF(C$4:C119,""Sell_""&amp;C120))))))"),13958.0)</f>
        <v>13958</v>
      </c>
      <c r="H120" s="10">
        <f t="shared" si="3"/>
        <v>13958</v>
      </c>
      <c r="I120" s="68">
        <f t="shared" si="4"/>
        <v>4108.41339</v>
      </c>
      <c r="J120" s="59" t="str">
        <f t="shared" si="5"/>
        <v>1h 08m 28s</v>
      </c>
      <c r="K120" s="69">
        <f t="shared" si="6"/>
        <v>52184268</v>
      </c>
      <c r="L120" s="60">
        <f t="shared" si="7"/>
        <v>-34.46443</v>
      </c>
      <c r="M120" s="61">
        <f>IFERROR(__xludf.DUMMYFUNCTION("IFS(AND(COUNTA(C120:C1644)=0,COUNTA(Q120:Q1644)=0),"""",OR(AND(K120&gt;=1000000000,OR(Y120&gt;=1000000000,COUNTA(Q120:Q1644)=0)),OR(Y120&gt;=1000000000,AND(COUNTA(C120:C1644)=0,P$3=TRUE))),
ROUNDDOWN((AB$1-AC$1)*MAX(INDEX(T$4:T1644,MATCH(LARGE(FILTER(Y$4:Y1644,Y$4"&amp;":Y1644&lt;1000000000),1),Y$4:Y1644)),INDEX(F$4:F1644,MATCH(LARGE(FILTER(K$4:K1644,K$4:K1644&lt;1000000000),1),K$4:K1644)))),AND(K120&lt;1000000000,COUNTA(C120:C1644)&gt;0,P$3=FALSE),
ROUNDDOWN(INDEX(Y$4:Y1644,MATCH(LARGE(FILTER(W$4:W1644,W$4:W1644&lt;=I120),1),W$4:W1644"&amp;"))+(I120-LARGE(FILTER(W$4:W1644,W$4:W1644&lt;=I120),1))*INDEX(T$4:T1644,MATCH(LARGE(FILTER(W$4:W1644,W$4:W1644&lt;=I120),1),W$4:W1644))-K120),1,
ROUNDDOWN(Y120-INDEX(K$4:K1644,MATCH(LARGE(FILTER(I$4:I1644,I$4:I1644&lt;=W120),1),I$4:I1644))-(W120-LARGE(FILTER(I$4:I"&amp;"1644,I$4:I1644&lt;=W120),1))*INDEX(F$4:F1644,MATCH(LARGE(FILTER(I$4:I1644,I$4:I1644&lt;=W120),1),I$4:I1644))))"),2907385.0)</f>
        <v>2907385</v>
      </c>
      <c r="N120" s="60">
        <f t="shared" si="8"/>
        <v>-34.46443</v>
      </c>
      <c r="O120" s="61" t="str">
        <f t="shared" si="9"/>
        <v>2,9M</v>
      </c>
      <c r="P120" s="56">
        <f t="shared" si="10"/>
        <v>10</v>
      </c>
      <c r="Q120" s="67" t="s">
        <v>6</v>
      </c>
      <c r="R120" s="10" t="b">
        <f>IFERROR(__xludf.DUMMYFUNCTION("IF(COUNTA(Q120:Q1644)=0,"""",IF(ISBLANK(Q120),FALSE,IF(NOT(COUNTIF($AA$24:$AA$34,SUBSTITUTE(Q120,""Sell_"",""""))),1,IF(REGEXMATCH(Q120,""Sell_""),IF(COUNTIF(Q$4:Q120,SUBSTITUTE(Q120,""Sell_"",""""))-COUNTIF(Q$4:Q119,Q120)&lt;1,1),FALSE))))"),FALSE)</f>
        <v>0</v>
      </c>
      <c r="S120" s="59">
        <f t="array" ref="S120">IF(COUNTA(Q120:Q1644)=0,"",SUM((COUNTIF(Q$4:Q120,Upgrades!$B$3:$B$13)-COUNTIF(Q$4:Q120,"Sell_"&amp;Upgrades!$B$3:$B$13))*Upgrades!$D$3:$D$13))</f>
        <v>70371.4</v>
      </c>
      <c r="T120" s="66">
        <f>IFERROR(__xludf.DUMMYFUNCTION("IF(COUNTA(Q120:Q1644)=0,"""",IF(REGEXMATCH(INDEX(FILTER(Q$4:Q120,Q$4:Q120&lt;&gt;""""),ROWS(FILTER(Q$4:Q120,Q$4:Q120&lt;&gt;""""))),""^Sell_""),INDEX(FILTER(T$4:T119,Q$4:Q119&lt;&gt;""""),ROWS(FILTER(Q$4:Q119,Q$4:Q119&lt;&gt;""""))),$AD$5+S120))"),70381.4)</f>
        <v>70381.4</v>
      </c>
      <c r="U120" s="10">
        <f>IFERROR(__xludf.DUMMYFUNCTION("IF(COUNTA(Q120:Q1644)=0,"""",IF(Q120="""",0,IF(REGEXMATCH(Q120,""^Sell_""),-ROUNDDOWN(ROUNDUP(INDEX(Upgrades!$C$3:$C$13,MATCH(SUBSTITUTE(Q120,""Sell_"",""""),Upgrades!$B$3:$B$13,0))*1.15^(COUNTIF(Q$4:Q119,SUBSTITUTE(Q120,""Sell_"",""""))-COUNTIF(Q$4:Q119,"&amp;"""Sell_""&amp;SUBSTITUTE(Q120,""Sell_"",""""))))/2),ROUNDUP(INDEX(Upgrades!$C$3:$C$13,MATCH(Q120,Upgrades!$B$3:$B$13,0))*1.15^(COUNTIF(Q$4:Q119,Q120)-COUNTIF(Q$4:Q119,""Sell_""&amp;Q120))))))"),10554.0)</f>
        <v>10554</v>
      </c>
      <c r="V120" s="10">
        <f t="shared" si="11"/>
        <v>10554</v>
      </c>
      <c r="W120" s="68">
        <f t="shared" si="12"/>
        <v>3870.742622</v>
      </c>
      <c r="X120" s="59" t="str">
        <f t="shared" si="13"/>
        <v>1h 04m 30s</v>
      </c>
      <c r="Y120" s="69">
        <f t="shared" si="14"/>
        <v>37100095</v>
      </c>
      <c r="Z120" s="11"/>
      <c r="AG120" s="59"/>
    </row>
    <row r="121">
      <c r="A121" s="8"/>
      <c r="B121" s="56">
        <f t="shared" si="2"/>
        <v>10</v>
      </c>
      <c r="C121" s="67" t="s">
        <v>8</v>
      </c>
      <c r="D121" s="10" t="b">
        <f>IFERROR(__xludf.DUMMYFUNCTION("IF(COUNTA(C121:C1644)=0,"""",IF(ISBLANK(C121),FALSE,IF(NOT(COUNTIF($AA$24:$AA$34,SUBSTITUTE(C121,""Sell_"",""""))),1,IF(REGEXMATCH(C121,""Sell_""),IF(COUNTIF(C$4:C121,SUBSTITUTE(C121,""Sell_"",""""))-COUNTIF(C$4:C120,C121)&lt;1,1),FALSE))))"),FALSE)</f>
        <v>0</v>
      </c>
      <c r="E121" s="59">
        <f t="array" ref="E121">IF(COUNTA(C121:C1644)=0,"",SUM((COUNTIF(C$4:C121,Upgrades!$B$3:$B$13)-COUNTIF(C$4:C121,"Sell_"&amp;Upgrades!$B$3:$B$13))*Upgrades!$D$3:$D$13))</f>
        <v>84512.7</v>
      </c>
      <c r="F121" s="66">
        <f>IFERROR(__xludf.DUMMYFUNCTION("IF(COUNTA(C121:C1644)=0,"""",IF(REGEXMATCH(INDEX(FILTER(C$4:C121,C$4:C121&lt;&gt;""""),ROWS(FILTER(C$4:C121,C$4:C121&lt;&gt;""""))),""^Sell_""),INDEX(FILTER(F$4:F120,C$4:C120&lt;&gt;""""),ROWS(FILTER(C$4:C120,C$4:C120&lt;&gt;""""))),$AC$5+E121))"),84522.7)</f>
        <v>84522.7</v>
      </c>
      <c r="G121" s="10">
        <f>IFERROR(__xludf.DUMMYFUNCTION("IF(COUNTA(C121:C1644)=0,"""",IF(C121="""",0,IF(REGEXMATCH(C121,""^Sell_""),-ROUNDDOWN(ROUNDUP(INDEX(Upgrades!$C$3:$C$13,MATCH(SUBSTITUTE(C121,""Sell_"",""""),Upgrades!$B$3:$B$13,0))*1.15^(COUNTIF(C$4:C120,SUBSTITUTE(C121,""Sell_"",""""))-COUNTIF(C$4:C120,"&amp;"""Sell_""&amp;SUBSTITUTE(C121,""Sell_"",""""))))/2),ROUNDUP(INDEX(Upgrades!$C$3:$C$13,MATCH(C121,Upgrades!$B$3:$B$13,0))*1.15^(COUNTIF(C$4:C120,C121)-COUNTIF(C$4:C120,""Sell_""&amp;C121))))))"),140716.0)</f>
        <v>140716</v>
      </c>
      <c r="H121" s="10">
        <f t="shared" si="3"/>
        <v>140716</v>
      </c>
      <c r="I121" s="68">
        <f t="shared" si="4"/>
        <v>4110.080192</v>
      </c>
      <c r="J121" s="59" t="str">
        <f t="shared" si="5"/>
        <v>1h 08m 30s</v>
      </c>
      <c r="K121" s="69">
        <f t="shared" si="6"/>
        <v>52324984</v>
      </c>
      <c r="L121" s="60">
        <f t="shared" si="7"/>
        <v>-34.32028</v>
      </c>
      <c r="M121" s="61">
        <f>IFERROR(__xludf.DUMMYFUNCTION("IFS(AND(COUNTA(C121:C1644)=0,COUNTA(Q121:Q1644)=0),"""",OR(AND(K121&gt;=1000000000,OR(Y121&gt;=1000000000,COUNTA(Q121:Q1644)=0)),OR(Y121&gt;=1000000000,AND(COUNTA(C121:C1644)=0,P$3=TRUE))),
ROUNDDOWN((AB$1-AC$1)*MAX(INDEX(T$4:T1644,MATCH(LARGE(FILTER(Y$4:Y1644,Y$4"&amp;":Y1644&lt;1000000000),1),Y$4:Y1644)),INDEX(F$4:F1644,MATCH(LARGE(FILTER(K$4:K1644,K$4:K1644&lt;1000000000),1),K$4:K1644)))),AND(K121&lt;1000000000,COUNTA(C121:C1644)&gt;0,P$3=FALSE),
ROUNDDOWN(INDEX(Y$4:Y1644,MATCH(LARGE(FILTER(W$4:W1644,W$4:W1644&lt;=I121),1),W$4:W1644"&amp;"))+(I121-LARGE(FILTER(W$4:W1644,W$4:W1644&lt;=I121),1))*INDEX(T$4:T1644,MATCH(LARGE(FILTER(W$4:W1644,W$4:W1644&lt;=I121),1),W$4:W1644))-K121),1,
ROUNDDOWN(Y121-INDEX(K$4:K1644,MATCH(LARGE(FILTER(I$4:I1644,I$4:I1644&lt;=W121),1),I$4:I1644))-(W121-LARGE(FILTER(I$4:I"&amp;"1644,I$4:I1644&lt;=W121),1))*INDEX(F$4:F1644,MATCH(LARGE(FILTER(I$4:I1644,I$4:I1644&lt;=W121),1),I$4:I1644))))"),2908219.0)</f>
        <v>2908219</v>
      </c>
      <c r="N121" s="60">
        <f t="shared" si="8"/>
        <v>-34.32028</v>
      </c>
      <c r="O121" s="61" t="str">
        <f t="shared" si="9"/>
        <v>2,9M</v>
      </c>
      <c r="P121" s="56">
        <f t="shared" si="10"/>
        <v>8</v>
      </c>
      <c r="Q121" s="67" t="s">
        <v>8</v>
      </c>
      <c r="R121" s="10" t="b">
        <f>IFERROR(__xludf.DUMMYFUNCTION("IF(COUNTA(Q121:Q1644)=0,"""",IF(ISBLANK(Q121),FALSE,IF(NOT(COUNTIF($AA$24:$AA$34,SUBSTITUTE(Q121,""Sell_"",""""))),1,IF(REGEXMATCH(Q121,""Sell_""),IF(COUNTIF(Q$4:Q121,SUBSTITUTE(Q121,""Sell_"",""""))-COUNTIF(Q$4:Q120,Q121)&lt;1,1),FALSE))))"),FALSE)</f>
        <v>0</v>
      </c>
      <c r="S121" s="59">
        <f t="array" ref="S121">IF(COUNTA(Q121:Q1644)=0,"",SUM((COUNTIF(Q$4:Q121,Upgrades!$B$3:$B$13)-COUNTIF(Q$4:Q121,"Sell_"&amp;Upgrades!$B$3:$B$13))*Upgrades!$D$3:$D$13))</f>
        <v>70471.4</v>
      </c>
      <c r="T121" s="66">
        <f>IFERROR(__xludf.DUMMYFUNCTION("IF(COUNTA(Q121:Q1644)=0,"""",IF(REGEXMATCH(INDEX(FILTER(Q$4:Q121,Q$4:Q121&lt;&gt;""""),ROWS(FILTER(Q$4:Q121,Q$4:Q121&lt;&gt;""""))),""^Sell_""),INDEX(FILTER(T$4:T120,Q$4:Q120&lt;&gt;""""),ROWS(FILTER(Q$4:Q120,Q$4:Q120&lt;&gt;""""))),$AD$5+S121))"),70481.4)</f>
        <v>70481.4</v>
      </c>
      <c r="U121" s="10">
        <f>IFERROR(__xludf.DUMMYFUNCTION("IF(COUNTA(Q121:Q1644)=0,"""",IF(Q121="""",0,IF(REGEXMATCH(Q121,""^Sell_""),-ROUNDDOWN(ROUNDUP(INDEX(Upgrades!$C$3:$C$13,MATCH(SUBSTITUTE(Q121,""Sell_"",""""),Upgrades!$B$3:$B$13,0))*1.15^(COUNTIF(Q$4:Q120,SUBSTITUTE(Q121,""Sell_"",""""))-COUNTIF(Q$4:Q120,"&amp;"""Sell_""&amp;SUBSTITUTE(Q121,""Sell_"",""""))))/2),ROUNDUP(INDEX(Upgrades!$C$3:$C$13,MATCH(Q121,Upgrades!$B$3:$B$13,0))*1.15^(COUNTIF(Q$4:Q120,Q121)-COUNTIF(Q$4:Q120,""Sell_""&amp;Q121))))))"),106401.0)</f>
        <v>106401</v>
      </c>
      <c r="V121" s="10">
        <f t="shared" si="11"/>
        <v>106401</v>
      </c>
      <c r="W121" s="68">
        <f t="shared" si="12"/>
        <v>3872.254399</v>
      </c>
      <c r="X121" s="59" t="str">
        <f t="shared" si="13"/>
        <v>1h 04m 32s</v>
      </c>
      <c r="Y121" s="69">
        <f t="shared" si="14"/>
        <v>37206496</v>
      </c>
      <c r="Z121" s="11"/>
      <c r="AG121" s="59"/>
    </row>
    <row r="122">
      <c r="A122" s="8"/>
      <c r="B122" s="56">
        <f t="shared" si="2"/>
        <v>18</v>
      </c>
      <c r="C122" s="67" t="s">
        <v>3</v>
      </c>
      <c r="D122" s="10" t="b">
        <f>IFERROR(__xludf.DUMMYFUNCTION("IF(COUNTA(C122:C1644)=0,"""",IF(ISBLANK(C122),FALSE,IF(NOT(COUNTIF($AA$24:$AA$34,SUBSTITUTE(C122,""Sell_"",""""))),1,IF(REGEXMATCH(C122,""Sell_""),IF(COUNTIF(C$4:C122,SUBSTITUTE(C122,""Sell_"",""""))-COUNTIF(C$4:C121,C122)&lt;1,1),FALSE))))"),FALSE)</f>
        <v>0</v>
      </c>
      <c r="E122" s="59">
        <f t="array" ref="E122">IF(COUNTA(C122:C1644)=0,"",SUM((COUNTIF(C$4:C122,Upgrades!$B$3:$B$13)-COUNTIF(C$4:C122,"Sell_"&amp;Upgrades!$B$3:$B$13))*Upgrades!$D$3:$D$13))</f>
        <v>84512.8</v>
      </c>
      <c r="F122" s="66">
        <f>IFERROR(__xludf.DUMMYFUNCTION("IF(COUNTA(C122:C1644)=0,"""",IF(REGEXMATCH(INDEX(FILTER(C$4:C122,C$4:C122&lt;&gt;""""),ROWS(FILTER(C$4:C122,C$4:C122&lt;&gt;""""))),""^Sell_""),INDEX(FILTER(F$4:F121,C$4:C121&lt;&gt;""""),ROWS(FILTER(C$4:C121,C$4:C121&lt;&gt;""""))),$AC$5+E122))"),84522.8)</f>
        <v>84522.8</v>
      </c>
      <c r="G122" s="10">
        <f>IFERROR(__xludf.DUMMYFUNCTION("IF(COUNTA(C122:C1644)=0,"""",IF(C122="""",0,IF(REGEXMATCH(C122,""^Sell_""),-ROUNDDOWN(ROUNDUP(INDEX(Upgrades!$C$3:$C$13,MATCH(SUBSTITUTE(C122,""Sell_"",""""),Upgrades!$B$3:$B$13,0))*1.15^(COUNTIF(C$4:C121,SUBSTITUTE(C122,""Sell_"",""""))-COUNTIF(C$4:C121,"&amp;"""Sell_""&amp;SUBSTITUTE(C122,""Sell_"",""""))))/2),ROUNDUP(INDEX(Upgrades!$C$3:$C$13,MATCH(C122,Upgrades!$B$3:$B$13,0))*1.15^(COUNTIF(C$4:C121,C122)-COUNTIF(C$4:C121,""Sell_""&amp;C122))))))"),162.0)</f>
        <v>162</v>
      </c>
      <c r="H122" s="10">
        <f t="shared" si="3"/>
        <v>162</v>
      </c>
      <c r="I122" s="68">
        <f t="shared" si="4"/>
        <v>4110.082109</v>
      </c>
      <c r="J122" s="59" t="str">
        <f t="shared" si="5"/>
        <v>1h 08m 30s</v>
      </c>
      <c r="K122" s="69">
        <f t="shared" si="6"/>
        <v>52325146</v>
      </c>
      <c r="L122" s="60">
        <f t="shared" si="7"/>
        <v>-34.32011</v>
      </c>
      <c r="M122" s="61">
        <f>IFERROR(__xludf.DUMMYFUNCTION("IFS(AND(COUNTA(C122:C1644)=0,COUNTA(Q122:Q1644)=0),"""",OR(AND(K122&gt;=1000000000,OR(Y122&gt;=1000000000,COUNTA(Q122:Q1644)=0)),OR(Y122&gt;=1000000000,AND(COUNTA(C122:C1644)=0,P$3=TRUE))),
ROUNDDOWN((AB$1-AC$1)*MAX(INDEX(T$4:T1644,MATCH(LARGE(FILTER(Y$4:Y1644,Y$4"&amp;":Y1644&lt;1000000000),1),Y$4:Y1644)),INDEX(F$4:F1644,MATCH(LARGE(FILTER(K$4:K1644,K$4:K1644&lt;1000000000),1),K$4:K1644)))),AND(K122&lt;1000000000,COUNTA(C122:C1644)&gt;0,P$3=FALSE),
ROUNDDOWN(INDEX(Y$4:Y1644,MATCH(LARGE(FILTER(W$4:W1644,W$4:W1644&lt;=I122),1),W$4:W1644"&amp;"))+(I122-LARGE(FILTER(W$4:W1644,W$4:W1644&lt;=I122),1))*INDEX(T$4:T1644,MATCH(LARGE(FILTER(W$4:W1644,W$4:W1644&lt;=I122),1),W$4:W1644))-K122),1,
ROUNDDOWN(Y122-INDEX(K$4:K1644,MATCH(LARGE(FILTER(I$4:I1644,I$4:I1644&lt;=W122),1),I$4:I1644))-(W122-LARGE(FILTER(I$4:I"&amp;"1644,I$4:I1644&lt;=W122),1))*INDEX(F$4:F1644,MATCH(LARGE(FILTER(I$4:I1644,I$4:I1644&lt;=W122),1),I$4:I1644))))"),2908220.0)</f>
        <v>2908220</v>
      </c>
      <c r="N122" s="60">
        <f t="shared" si="8"/>
        <v>-34.32011</v>
      </c>
      <c r="O122" s="61" t="str">
        <f t="shared" si="9"/>
        <v>2,9M</v>
      </c>
      <c r="P122" s="56">
        <f t="shared" si="10"/>
        <v>15</v>
      </c>
      <c r="Q122" s="67" t="s">
        <v>3</v>
      </c>
      <c r="R122" s="10" t="b">
        <f>IFERROR(__xludf.DUMMYFUNCTION("IF(COUNTA(Q122:Q1644)=0,"""",IF(ISBLANK(Q122),FALSE,IF(NOT(COUNTIF($AA$24:$AA$34,SUBSTITUTE(Q122,""Sell_"",""""))),1,IF(REGEXMATCH(Q122,""Sell_""),IF(COUNTIF(Q$4:Q122,SUBSTITUTE(Q122,""Sell_"",""""))-COUNTIF(Q$4:Q121,Q122)&lt;1,1),FALSE))))"),FALSE)</f>
        <v>0</v>
      </c>
      <c r="S122" s="59">
        <f t="array" ref="S122">IF(COUNTA(Q122:Q1644)=0,"",SUM((COUNTIF(Q$4:Q122,Upgrades!$B$3:$B$13)-COUNTIF(Q$4:Q122,"Sell_"&amp;Upgrades!$B$3:$B$13))*Upgrades!$D$3:$D$13))</f>
        <v>70471.5</v>
      </c>
      <c r="T122" s="66">
        <f>IFERROR(__xludf.DUMMYFUNCTION("IF(COUNTA(Q122:Q1644)=0,"""",IF(REGEXMATCH(INDEX(FILTER(Q$4:Q122,Q$4:Q122&lt;&gt;""""),ROWS(FILTER(Q$4:Q122,Q$4:Q122&lt;&gt;""""))),""^Sell_""),INDEX(FILTER(T$4:T121,Q$4:Q121&lt;&gt;""""),ROWS(FILTER(Q$4:Q121,Q$4:Q121&lt;&gt;""""))),$AD$5+S122))"),70481.5)</f>
        <v>70481.5</v>
      </c>
      <c r="U122" s="10">
        <f>IFERROR(__xludf.DUMMYFUNCTION("IF(COUNTA(Q122:Q1644)=0,"""",IF(Q122="""",0,IF(REGEXMATCH(Q122,""^Sell_""),-ROUNDDOWN(ROUNDUP(INDEX(Upgrades!$C$3:$C$13,MATCH(SUBSTITUTE(Q122,""Sell_"",""""),Upgrades!$B$3:$B$13,0))*1.15^(COUNTIF(Q$4:Q121,SUBSTITUTE(Q122,""Sell_"",""""))-COUNTIF(Q$4:Q121,"&amp;"""Sell_""&amp;SUBSTITUTE(Q122,""Sell_"",""""))))/2),ROUNDUP(INDEX(Upgrades!$C$3:$C$13,MATCH(Q122,Upgrades!$B$3:$B$13,0))*1.15^(COUNTIF(Q$4:Q121,Q122)-COUNTIF(Q$4:Q121,""Sell_""&amp;Q122))))))"),107.0)</f>
        <v>107</v>
      </c>
      <c r="V122" s="10">
        <f t="shared" si="11"/>
        <v>107</v>
      </c>
      <c r="W122" s="68">
        <f t="shared" si="12"/>
        <v>3872.255917</v>
      </c>
      <c r="X122" s="59" t="str">
        <f t="shared" si="13"/>
        <v>1h 04m 32s</v>
      </c>
      <c r="Y122" s="69">
        <f t="shared" si="14"/>
        <v>37206603</v>
      </c>
      <c r="Z122" s="11"/>
      <c r="AG122" s="59"/>
    </row>
    <row r="123">
      <c r="A123" s="8"/>
      <c r="B123" s="56">
        <f t="shared" si="2"/>
        <v>15</v>
      </c>
      <c r="C123" s="67" t="s">
        <v>4</v>
      </c>
      <c r="D123" s="10" t="b">
        <f>IFERROR(__xludf.DUMMYFUNCTION("IF(COUNTA(C123:C1644)=0,"""",IF(ISBLANK(C123),FALSE,IF(NOT(COUNTIF($AA$24:$AA$34,SUBSTITUTE(C123,""Sell_"",""""))),1,IF(REGEXMATCH(C123,""Sell_""),IF(COUNTIF(C$4:C123,SUBSTITUTE(C123,""Sell_"",""""))-COUNTIF(C$4:C122,C123)&lt;1,1),FALSE))))"),FALSE)</f>
        <v>0</v>
      </c>
      <c r="E123" s="59">
        <f t="array" ref="E123">IF(COUNTA(C123:C1644)=0,"",SUM((COUNTIF(C$4:C123,Upgrades!$B$3:$B$13)-COUNTIF(C$4:C123,"Sell_"&amp;Upgrades!$B$3:$B$13))*Upgrades!$D$3:$D$13))</f>
        <v>84513.3</v>
      </c>
      <c r="F123" s="66">
        <f>IFERROR(__xludf.DUMMYFUNCTION("IF(COUNTA(C123:C1644)=0,"""",IF(REGEXMATCH(INDEX(FILTER(C$4:C123,C$4:C123&lt;&gt;""""),ROWS(FILTER(C$4:C123,C$4:C123&lt;&gt;""""))),""^Sell_""),INDEX(FILTER(F$4:F122,C$4:C122&lt;&gt;""""),ROWS(FILTER(C$4:C122,C$4:C122&lt;&gt;""""))),$AC$5+E123))"),84523.3)</f>
        <v>84523.3</v>
      </c>
      <c r="G123" s="10">
        <f>IFERROR(__xludf.DUMMYFUNCTION("IF(COUNTA(C123:C1644)=0,"""",IF(C123="""",0,IF(REGEXMATCH(C123,""^Sell_""),-ROUNDDOWN(ROUNDUP(INDEX(Upgrades!$C$3:$C$13,MATCH(SUBSTITUTE(C123,""Sell_"",""""),Upgrades!$B$3:$B$13,0))*1.15^(COUNTIF(C$4:C122,SUBSTITUTE(C123,""Sell_"",""""))-COUNTIF(C$4:C122,"&amp;"""Sell_""&amp;SUBSTITUTE(C123,""Sell_"",""""))))/2),ROUNDUP(INDEX(Upgrades!$C$3:$C$13,MATCH(C123,Upgrades!$B$3:$B$13,0))*1.15^(COUNTIF(C$4:C122,C123)-COUNTIF(C$4:C122,""Sell_""&amp;C123))))))"),708.0)</f>
        <v>708</v>
      </c>
      <c r="H123" s="10">
        <f t="shared" si="3"/>
        <v>708</v>
      </c>
      <c r="I123" s="68">
        <f t="shared" si="4"/>
        <v>4110.090486</v>
      </c>
      <c r="J123" s="59" t="str">
        <f t="shared" si="5"/>
        <v>1h 08m 30s</v>
      </c>
      <c r="K123" s="69">
        <f t="shared" si="6"/>
        <v>52325854</v>
      </c>
      <c r="L123" s="60">
        <f t="shared" si="7"/>
        <v>-34.31938</v>
      </c>
      <c r="M123" s="61">
        <f>IFERROR(__xludf.DUMMYFUNCTION("IFS(AND(COUNTA(C123:C1644)=0,COUNTA(Q123:Q1644)=0),"""",OR(AND(K123&gt;=1000000000,OR(Y123&gt;=1000000000,COUNTA(Q123:Q1644)=0)),OR(Y123&gt;=1000000000,AND(COUNTA(C123:C1644)=0,P$3=TRUE))),
ROUNDDOWN((AB$1-AC$1)*MAX(INDEX(T$4:T1644,MATCH(LARGE(FILTER(Y$4:Y1644,Y$4"&amp;":Y1644&lt;1000000000),1),Y$4:Y1644)),INDEX(F$4:F1644,MATCH(LARGE(FILTER(K$4:K1644,K$4:K1644&lt;1000000000),1),K$4:K1644)))),AND(K123&lt;1000000000,COUNTA(C123:C1644)&gt;0,P$3=FALSE),
ROUNDDOWN(INDEX(Y$4:Y1644,MATCH(LARGE(FILTER(W$4:W1644,W$4:W1644&lt;=I123),1),W$4:W1644"&amp;"))+(I123-LARGE(FILTER(W$4:W1644,W$4:W1644&lt;=I123),1))*INDEX(T$4:T1644,MATCH(LARGE(FILTER(W$4:W1644,W$4:W1644&lt;=I123),1),W$4:W1644))-K123),1,
ROUNDDOWN(Y123-INDEX(K$4:K1644,MATCH(LARGE(FILTER(I$4:I1644,I$4:I1644&lt;=W123),1),I$4:I1644))-(W123-LARGE(FILTER(I$4:I"&amp;"1644,I$4:I1644&lt;=W123),1))*INDEX(F$4:F1644,MATCH(LARGE(FILTER(I$4:I1644,I$4:I1644&lt;=W123),1),I$4:I1644))))"),2908223.0)</f>
        <v>2908223</v>
      </c>
      <c r="N123" s="60">
        <f t="shared" si="8"/>
        <v>-34.31938</v>
      </c>
      <c r="O123" s="61" t="str">
        <f t="shared" si="9"/>
        <v>2,9M</v>
      </c>
      <c r="P123" s="56">
        <f t="shared" si="10"/>
        <v>13</v>
      </c>
      <c r="Q123" s="67" t="s">
        <v>4</v>
      </c>
      <c r="R123" s="10" t="b">
        <f>IFERROR(__xludf.DUMMYFUNCTION("IF(COUNTA(Q123:Q1644)=0,"""",IF(ISBLANK(Q123),FALSE,IF(NOT(COUNTIF($AA$24:$AA$34,SUBSTITUTE(Q123,""Sell_"",""""))),1,IF(REGEXMATCH(Q123,""Sell_""),IF(COUNTIF(Q$4:Q123,SUBSTITUTE(Q123,""Sell_"",""""))-COUNTIF(Q$4:Q122,Q123)&lt;1,1),FALSE))))"),FALSE)</f>
        <v>0</v>
      </c>
      <c r="S123" s="59">
        <f t="array" ref="S123">IF(COUNTA(Q123:Q1644)=0,"",SUM((COUNTIF(Q$4:Q123,Upgrades!$B$3:$B$13)-COUNTIF(Q$4:Q123,"Sell_"&amp;Upgrades!$B$3:$B$13))*Upgrades!$D$3:$D$13))</f>
        <v>70472</v>
      </c>
      <c r="T123" s="66">
        <f>IFERROR(__xludf.DUMMYFUNCTION("IF(COUNTA(Q123:Q1644)=0,"""",IF(REGEXMATCH(INDEX(FILTER(Q$4:Q123,Q$4:Q123&lt;&gt;""""),ROWS(FILTER(Q$4:Q123,Q$4:Q123&lt;&gt;""""))),""^Sell_""),INDEX(FILTER(T$4:T122,Q$4:Q122&lt;&gt;""""),ROWS(FILTER(Q$4:Q122,Q$4:Q122&lt;&gt;""""))),$AD$5+S123))"),70482.0)</f>
        <v>70482</v>
      </c>
      <c r="U123" s="10">
        <f>IFERROR(__xludf.DUMMYFUNCTION("IF(COUNTA(Q123:Q1644)=0,"""",IF(Q123="""",0,IF(REGEXMATCH(Q123,""^Sell_""),-ROUNDDOWN(ROUNDUP(INDEX(Upgrades!$C$3:$C$13,MATCH(SUBSTITUTE(Q123,""Sell_"",""""),Upgrades!$B$3:$B$13,0))*1.15^(COUNTIF(Q$4:Q122,SUBSTITUTE(Q123,""Sell_"",""""))-COUNTIF(Q$4:Q122,"&amp;"""Sell_""&amp;SUBSTITUTE(Q123,""Sell_"",""""))))/2),ROUNDUP(INDEX(Upgrades!$C$3:$C$13,MATCH(Q123,Upgrades!$B$3:$B$13,0))*1.15^(COUNTIF(Q$4:Q122,Q123)-COUNTIF(Q$4:Q122,""Sell_""&amp;Q123))))))"),536.0)</f>
        <v>536</v>
      </c>
      <c r="V123" s="10">
        <f t="shared" si="11"/>
        <v>536</v>
      </c>
      <c r="W123" s="68">
        <f t="shared" si="12"/>
        <v>3872.263522</v>
      </c>
      <c r="X123" s="59" t="str">
        <f t="shared" si="13"/>
        <v>1h 04m 32s</v>
      </c>
      <c r="Y123" s="69">
        <f t="shared" si="14"/>
        <v>37207139</v>
      </c>
      <c r="Z123" s="11"/>
      <c r="AG123" s="59"/>
    </row>
    <row r="124">
      <c r="A124" s="8"/>
      <c r="B124" s="56">
        <f t="shared" si="2"/>
        <v>13</v>
      </c>
      <c r="C124" s="67" t="s">
        <v>10</v>
      </c>
      <c r="D124" s="10" t="b">
        <f>IFERROR(__xludf.DUMMYFUNCTION("IF(COUNTA(C124:C1644)=0,"""",IF(ISBLANK(C124),FALSE,IF(NOT(COUNTIF($AA$24:$AA$34,SUBSTITUTE(C124,""Sell_"",""""))),1,IF(REGEXMATCH(C124,""Sell_""),IF(COUNTIF(C$4:C124,SUBSTITUTE(C124,""Sell_"",""""))-COUNTIF(C$4:C123,C124)&lt;1,1),FALSE))))"),FALSE)</f>
        <v>0</v>
      </c>
      <c r="E124" s="59">
        <f t="array" ref="E124">IF(COUNTA(C124:C1644)=0,"",SUM((COUNTIF(C$4:C124,Upgrades!$B$3:$B$13)-COUNTIF(C$4:C124,"Sell_"&amp;Upgrades!$B$3:$B$13))*Upgrades!$D$3:$D$13))</f>
        <v>91179.3</v>
      </c>
      <c r="F124" s="66">
        <f>IFERROR(__xludf.DUMMYFUNCTION("IF(COUNTA(C124:C1644)=0,"""",IF(REGEXMATCH(INDEX(FILTER(C$4:C124,C$4:C124&lt;&gt;""""),ROWS(FILTER(C$4:C124,C$4:C124&lt;&gt;""""))),""^Sell_""),INDEX(FILTER(F$4:F123,C$4:C123&lt;&gt;""""),ROWS(FILTER(C$4:C123,C$4:C123&lt;&gt;""""))),$AC$5+E124))"),91189.3)</f>
        <v>91189.3</v>
      </c>
      <c r="G124" s="10">
        <f>IFERROR(__xludf.DUMMYFUNCTION("IF(COUNTA(C124:C1644)=0,"""",IF(C124="""",0,IF(REGEXMATCH(C124,""^Sell_""),-ROUNDDOWN(ROUNDUP(INDEX(Upgrades!$C$3:$C$13,MATCH(SUBSTITUTE(C124,""Sell_"",""""),Upgrades!$B$3:$B$13,0))*1.15^(COUNTIF(C$4:C123,SUBSTITUTE(C124,""Sell_"",""""))-COUNTIF(C$4:C123,"&amp;"""Sell_""&amp;SUBSTITUTE(C124,""Sell_"",""""))))/2),ROUNDUP(INDEX(Upgrades!$C$3:$C$13,MATCH(C124,Upgrades!$B$3:$B$13,0))*1.15^(COUNTIF(C$4:C123,C124)-COUNTIF(C$4:C123,""Sell_""&amp;C124))))))"),8917080.0)</f>
        <v>8917080</v>
      </c>
      <c r="H124" s="10">
        <f t="shared" si="3"/>
        <v>8917080</v>
      </c>
      <c r="I124" s="68">
        <f t="shared" si="4"/>
        <v>4215.588969</v>
      </c>
      <c r="J124" s="59" t="str">
        <f t="shared" si="5"/>
        <v>1h 10m 15s</v>
      </c>
      <c r="K124" s="69">
        <f t="shared" si="6"/>
        <v>61242934</v>
      </c>
      <c r="L124" s="60">
        <f t="shared" si="7"/>
        <v>-34.74212</v>
      </c>
      <c r="M124" s="61">
        <f>IFERROR(__xludf.DUMMYFUNCTION("IFS(AND(COUNTA(C124:C1644)=0,COUNTA(Q124:Q1644)=0),"""",OR(AND(K124&gt;=1000000000,OR(Y124&gt;=1000000000,COUNTA(Q124:Q1644)=0)),OR(Y124&gt;=1000000000,AND(COUNTA(C124:C1644)=0,P$3=TRUE))),
ROUNDDOWN((AB$1-AC$1)*MAX(INDEX(T$4:T1644,MATCH(LARGE(FILTER(Y$4:Y1644,Y$4"&amp;":Y1644&lt;1000000000),1),Y$4:Y1644)),INDEX(F$4:F1644,MATCH(LARGE(FILTER(K$4:K1644,K$4:K1644&lt;1000000000),1),K$4:K1644)))),AND(K124&lt;1000000000,COUNTA(C124:C1644)&gt;0,P$3=FALSE),
ROUNDDOWN(INDEX(Y$4:Y1644,MATCH(LARGE(FILTER(W$4:W1644,W$4:W1644&lt;=I124),1),W$4:W1644"&amp;"))+(I124-LARGE(FILTER(W$4:W1644,W$4:W1644&lt;=I124),1))*INDEX(T$4:T1644,MATCH(LARGE(FILTER(W$4:W1644,W$4:W1644&lt;=I124),1),W$4:W1644))-K124),1,
ROUNDDOWN(Y124-INDEX(K$4:K1644,MATCH(LARGE(FILTER(I$4:I1644,I$4:I1644&lt;=W124),1),I$4:I1644))-(W124-LARGE(FILTER(I$4:I"&amp;"1644,I$4:I1644&lt;=W124),1))*INDEX(F$4:F1644,MATCH(LARGE(FILTER(I$4:I1644,I$4:I1644&lt;=W124),1),I$4:I1644))))"),3131507.0)</f>
        <v>3131507</v>
      </c>
      <c r="N124" s="60">
        <f t="shared" si="8"/>
        <v>-34.74212</v>
      </c>
      <c r="O124" s="61" t="str">
        <f t="shared" si="9"/>
        <v>3,1M</v>
      </c>
      <c r="P124" s="56">
        <f t="shared" si="10"/>
        <v>11</v>
      </c>
      <c r="Q124" s="67" t="s">
        <v>10</v>
      </c>
      <c r="R124" s="10" t="b">
        <f>IFERROR(__xludf.DUMMYFUNCTION("IF(COUNTA(Q124:Q1644)=0,"""",IF(ISBLANK(Q124),FALSE,IF(NOT(COUNTIF($AA$24:$AA$34,SUBSTITUTE(Q124,""Sell_"",""""))),1,IF(REGEXMATCH(Q124,""Sell_""),IF(COUNTIF(Q$4:Q124,SUBSTITUTE(Q124,""Sell_"",""""))-COUNTIF(Q$4:Q123,Q124)&lt;1,1),FALSE))))"),FALSE)</f>
        <v>0</v>
      </c>
      <c r="S124" s="59">
        <f t="array" ref="S124">IF(COUNTA(Q124:Q1644)=0,"",SUM((COUNTIF(Q$4:Q124,Upgrades!$B$3:$B$13)-COUNTIF(Q$4:Q124,"Sell_"&amp;Upgrades!$B$3:$B$13))*Upgrades!$D$3:$D$13))</f>
        <v>77138</v>
      </c>
      <c r="T124" s="66">
        <f>IFERROR(__xludf.DUMMYFUNCTION("IF(COUNTA(Q124:Q1644)=0,"""",IF(REGEXMATCH(INDEX(FILTER(Q$4:Q124,Q$4:Q124&lt;&gt;""""),ROWS(FILTER(Q$4:Q124,Q$4:Q124&lt;&gt;""""))),""^Sell_""),INDEX(FILTER(T$4:T123,Q$4:Q123&lt;&gt;""""),ROWS(FILTER(Q$4:Q123,Q$4:Q123&lt;&gt;""""))),$AD$5+S124))"),77148.0)</f>
        <v>77148</v>
      </c>
      <c r="U124" s="10">
        <f>IFERROR(__xludf.DUMMYFUNCTION("IF(COUNTA(Q124:Q1644)=0,"""",IF(Q124="""",0,IF(REGEXMATCH(Q124,""^Sell_""),-ROUNDDOWN(ROUNDUP(INDEX(Upgrades!$C$3:$C$13,MATCH(SUBSTITUTE(Q124,""Sell_"",""""),Upgrades!$B$3:$B$13,0))*1.15^(COUNTIF(Q$4:Q123,SUBSTITUTE(Q124,""Sell_"",""""))-COUNTIF(Q$4:Q123,"&amp;"""Sell_""&amp;SUBSTITUTE(Q124,""Sell_"",""""))))/2),ROUNDUP(INDEX(Upgrades!$C$3:$C$13,MATCH(Q124,Upgrades!$B$3:$B$13,0))*1.15^(COUNTIF(Q$4:Q123,Q124)-COUNTIF(Q$4:Q123,""Sell_""&amp;Q124))))))"),6742594.0)</f>
        <v>6742594</v>
      </c>
      <c r="V124" s="10">
        <f t="shared" si="11"/>
        <v>6742594</v>
      </c>
      <c r="W124" s="68">
        <f t="shared" si="12"/>
        <v>3967.927578</v>
      </c>
      <c r="X124" s="59" t="str">
        <f t="shared" si="13"/>
        <v>1h 06m 07s</v>
      </c>
      <c r="Y124" s="69">
        <f t="shared" si="14"/>
        <v>43949733</v>
      </c>
      <c r="Z124" s="11"/>
      <c r="AG124" s="59"/>
    </row>
    <row r="125">
      <c r="A125" s="8"/>
      <c r="B125" s="56">
        <f t="shared" si="2"/>
        <v>8</v>
      </c>
      <c r="C125" s="67" t="s">
        <v>9</v>
      </c>
      <c r="D125" s="10" t="b">
        <f>IFERROR(__xludf.DUMMYFUNCTION("IF(COUNTA(C125:C1644)=0,"""",IF(ISBLANK(C125),FALSE,IF(NOT(COUNTIF($AA$24:$AA$34,SUBSTITUTE(C125,""Sell_"",""""))),1,IF(REGEXMATCH(C125,""Sell_""),IF(COUNTIF(C$4:C125,SUBSTITUTE(C125,""Sell_"",""""))-COUNTIF(C$4:C124,C125)&lt;1,1),FALSE))))"),FALSE)</f>
        <v>0</v>
      </c>
      <c r="E125" s="59">
        <f t="array" ref="E125">IF(COUNTA(C125:C1644)=0,"",SUM((COUNTIF(C$4:C125,Upgrades!$B$3:$B$13)-COUNTIF(C$4:C125,"Sell_"&amp;Upgrades!$B$3:$B$13))*Upgrades!$D$3:$D$13))</f>
        <v>91579.3</v>
      </c>
      <c r="F125" s="66">
        <f>IFERROR(__xludf.DUMMYFUNCTION("IF(COUNTA(C125:C1644)=0,"""",IF(REGEXMATCH(INDEX(FILTER(C$4:C125,C$4:C125&lt;&gt;""""),ROWS(FILTER(C$4:C125,C$4:C125&lt;&gt;""""))),""^Sell_""),INDEX(FILTER(F$4:F124,C$4:C124&lt;&gt;""""),ROWS(FILTER(C$4:C124,C$4:C124&lt;&gt;""""))),$AC$5+E125))"),91589.3)</f>
        <v>91589.3</v>
      </c>
      <c r="G125" s="10">
        <f>IFERROR(__xludf.DUMMYFUNCTION("IF(COUNTA(C125:C1644)=0,"""",IF(C125="""",0,IF(REGEXMATCH(C125,""^Sell_""),-ROUNDDOWN(ROUNDUP(INDEX(Upgrades!$C$3:$C$13,MATCH(SUBSTITUTE(C125,""Sell_"",""""),Upgrades!$B$3:$B$13,0))*1.15^(COUNTIF(C$4:C124,SUBSTITUTE(C125,""Sell_"",""""))-COUNTIF(C$4:C124,"&amp;"""Sell_""&amp;SUBSTITUTE(C125,""Sell_"",""""))))/2),ROUNDUP(INDEX(Upgrades!$C$3:$C$13,MATCH(C125,Upgrades!$B$3:$B$13,0))*1.15^(COUNTIF(C$4:C124,C125)-COUNTIF(C$4:C124,""Sell_""&amp;C125))))))"),532004.0)</f>
        <v>532004</v>
      </c>
      <c r="H125" s="10">
        <f t="shared" si="3"/>
        <v>532004</v>
      </c>
      <c r="I125" s="68">
        <f t="shared" si="4"/>
        <v>4221.423031</v>
      </c>
      <c r="J125" s="59" t="str">
        <f t="shared" si="5"/>
        <v>1h 10m 21s</v>
      </c>
      <c r="K125" s="69">
        <f t="shared" si="6"/>
        <v>61774938</v>
      </c>
      <c r="L125" s="60">
        <f t="shared" si="7"/>
        <v>-34.31165</v>
      </c>
      <c r="M125" s="61">
        <f>IFERROR(__xludf.DUMMYFUNCTION("IFS(AND(COUNTA(C125:C1644)=0,COUNTA(Q125:Q1644)=0),"""",OR(AND(K125&gt;=1000000000,OR(Y125&gt;=1000000000,COUNTA(Q125:Q1644)=0)),OR(Y125&gt;=1000000000,AND(COUNTA(C125:C1644)=0,P$3=TRUE))),
ROUNDDOWN((AB$1-AC$1)*MAX(INDEX(T$4:T1644,MATCH(LARGE(FILTER(Y$4:Y1644,Y$4"&amp;":Y1644&lt;1000000000),1),Y$4:Y1644)),INDEX(F$4:F1644,MATCH(LARGE(FILTER(K$4:K1644,K$4:K1644&lt;1000000000),1),K$4:K1644)))),AND(K125&lt;1000000000,COUNTA(C125:C1644)&gt;0,P$3=FALSE),
ROUNDDOWN(INDEX(Y$4:Y1644,MATCH(LARGE(FILTER(W$4:W1644,W$4:W1644&lt;=I125),1),W$4:W1644"&amp;"))+(I125-LARGE(FILTER(W$4:W1644,W$4:W1644&lt;=I125),1))*INDEX(T$4:T1644,MATCH(LARGE(FILTER(W$4:W1644,W$4:W1644&lt;=I125),1),W$4:W1644))-K125),1,
ROUNDDOWN(Y125-INDEX(K$4:K1644,MATCH(LARGE(FILTER(I$4:I1644,I$4:I1644&lt;=W125),1),I$4:I1644))-(W125-LARGE(FILTER(I$4:I"&amp;"1644,I$4:I1644&lt;=W125),1))*INDEX(F$4:F1644,MATCH(LARGE(FILTER(I$4:I1644,I$4:I1644&lt;=W125),1),I$4:I1644))))"),3137076.0)</f>
        <v>3137076</v>
      </c>
      <c r="N125" s="60">
        <f t="shared" si="8"/>
        <v>-34.31165</v>
      </c>
      <c r="O125" s="61" t="str">
        <f t="shared" si="9"/>
        <v>3,1M</v>
      </c>
      <c r="P125" s="56">
        <f t="shared" si="10"/>
        <v>7</v>
      </c>
      <c r="Q125" s="67" t="s">
        <v>9</v>
      </c>
      <c r="R125" s="10" t="b">
        <f>IFERROR(__xludf.DUMMYFUNCTION("IF(COUNTA(Q125:Q1644)=0,"""",IF(ISBLANK(Q125),FALSE,IF(NOT(COUNTIF($AA$24:$AA$34,SUBSTITUTE(Q125,""Sell_"",""""))),1,IF(REGEXMATCH(Q125,""Sell_""),IF(COUNTIF(Q$4:Q125,SUBSTITUTE(Q125,""Sell_"",""""))-COUNTIF(Q$4:Q124,Q125)&lt;1,1),FALSE))))"),FALSE)</f>
        <v>0</v>
      </c>
      <c r="S125" s="59">
        <f t="array" ref="S125">IF(COUNTA(Q125:Q1644)=0,"",SUM((COUNTIF(Q$4:Q125,Upgrades!$B$3:$B$13)-COUNTIF(Q$4:Q125,"Sell_"&amp;Upgrades!$B$3:$B$13))*Upgrades!$D$3:$D$13))</f>
        <v>77538</v>
      </c>
      <c r="T125" s="66">
        <f>IFERROR(__xludf.DUMMYFUNCTION("IF(COUNTA(Q125:Q1644)=0,"""",IF(REGEXMATCH(INDEX(FILTER(Q$4:Q125,Q$4:Q125&lt;&gt;""""),ROWS(FILTER(Q$4:Q125,Q$4:Q125&lt;&gt;""""))),""^Sell_""),INDEX(FILTER(T$4:T124,Q$4:Q124&lt;&gt;""""),ROWS(FILTER(Q$4:Q124,Q$4:Q124&lt;&gt;""""))),$AD$5+S125))"),77548.0)</f>
        <v>77548</v>
      </c>
      <c r="U125" s="10">
        <f>IFERROR(__xludf.DUMMYFUNCTION("IF(COUNTA(Q125:Q1644)=0,"""",IF(Q125="""",0,IF(REGEXMATCH(Q125,""^Sell_""),-ROUNDDOWN(ROUNDUP(INDEX(Upgrades!$C$3:$C$13,MATCH(SUBSTITUTE(Q125,""Sell_"",""""),Upgrades!$B$3:$B$13,0))*1.15^(COUNTIF(Q$4:Q124,SUBSTITUTE(Q125,""Sell_"",""""))-COUNTIF(Q$4:Q124,"&amp;"""Sell_""&amp;SUBSTITUTE(Q125,""Sell_"",""""))))/2),ROUNDUP(INDEX(Upgrades!$C$3:$C$13,MATCH(Q125,Upgrades!$B$3:$B$13,0))*1.15^(COUNTIF(Q$4:Q124,Q125)-COUNTIF(Q$4:Q124,""Sell_""&amp;Q125))))))"),462613.0)</f>
        <v>462613</v>
      </c>
      <c r="V125" s="10">
        <f t="shared" si="11"/>
        <v>462613</v>
      </c>
      <c r="W125" s="68">
        <f t="shared" si="12"/>
        <v>3973.924014</v>
      </c>
      <c r="X125" s="59" t="str">
        <f t="shared" si="13"/>
        <v>1h 06m 13s</v>
      </c>
      <c r="Y125" s="69">
        <f t="shared" si="14"/>
        <v>44412346</v>
      </c>
      <c r="Z125" s="11"/>
      <c r="AG125" s="59"/>
    </row>
    <row r="126">
      <c r="A126" s="8"/>
      <c r="B126" s="56">
        <f t="shared" si="2"/>
        <v>14</v>
      </c>
      <c r="C126" s="67" t="s">
        <v>7</v>
      </c>
      <c r="D126" s="10" t="b">
        <f>IFERROR(__xludf.DUMMYFUNCTION("IF(COUNTA(C126:C1644)=0,"""",IF(ISBLANK(C126),FALSE,IF(NOT(COUNTIF($AA$24:$AA$34,SUBSTITUTE(C126,""Sell_"",""""))),1,IF(REGEXMATCH(C126,""Sell_""),IF(COUNTIF(C$4:C126,SUBSTITUTE(C126,""Sell_"",""""))-COUNTIF(C$4:C125,C126)&lt;1,1),FALSE))))"),FALSE)</f>
        <v>0</v>
      </c>
      <c r="E126" s="59">
        <f t="array" ref="E126">IF(COUNTA(C126:C1644)=0,"",SUM((COUNTIF(C$4:C126,Upgrades!$B$3:$B$13)-COUNTIF(C$4:C126,"Sell_"&amp;Upgrades!$B$3:$B$13))*Upgrades!$D$3:$D$13))</f>
        <v>91619.3</v>
      </c>
      <c r="F126" s="66">
        <f>IFERROR(__xludf.DUMMYFUNCTION("IF(COUNTA(C126:C1644)=0,"""",IF(REGEXMATCH(INDEX(FILTER(C$4:C126,C$4:C126&lt;&gt;""""),ROWS(FILTER(C$4:C126,C$4:C126&lt;&gt;""""))),""^Sell_""),INDEX(FILTER(F$4:F125,C$4:C125&lt;&gt;""""),ROWS(FILTER(C$4:C125,C$4:C125&lt;&gt;""""))),$AC$5+E126))"),91629.3)</f>
        <v>91629.3</v>
      </c>
      <c r="G126" s="10">
        <f>IFERROR(__xludf.DUMMYFUNCTION("IF(COUNTA(C126:C1644)=0,"""",IF(C126="""",0,IF(REGEXMATCH(C126,""^Sell_""),-ROUNDDOWN(ROUNDUP(INDEX(Upgrades!$C$3:$C$13,MATCH(SUBSTITUTE(C126,""Sell_"",""""),Upgrades!$B$3:$B$13,0))*1.15^(COUNTIF(C$4:C125,SUBSTITUTE(C126,""Sell_"",""""))-COUNTIF(C$4:C125,"&amp;"""Sell_""&amp;SUBSTITUTE(C126,""Sell_"",""""))))/2),ROUNDUP(INDEX(Upgrades!$C$3:$C$13,MATCH(C126,Upgrades!$B$3:$B$13,0))*1.15^(COUNTIF(C$4:C125,C126)-COUNTIF(C$4:C125,""Sell_""&amp;C126))))))"),61528.0)</f>
        <v>61528</v>
      </c>
      <c r="H126" s="10">
        <f t="shared" si="3"/>
        <v>61528</v>
      </c>
      <c r="I126" s="68">
        <f t="shared" si="4"/>
        <v>4222.094813</v>
      </c>
      <c r="J126" s="59" t="str">
        <f t="shared" si="5"/>
        <v>1h 10m 22s</v>
      </c>
      <c r="K126" s="69">
        <f t="shared" si="6"/>
        <v>61836466</v>
      </c>
      <c r="L126" s="60">
        <f t="shared" si="7"/>
        <v>-34.25892</v>
      </c>
      <c r="M126" s="61">
        <f>IFERROR(__xludf.DUMMYFUNCTION("IFS(AND(COUNTA(C126:C1644)=0,COUNTA(Q126:Q1644)=0),"""",OR(AND(K126&gt;=1000000000,OR(Y126&gt;=1000000000,COUNTA(Q126:Q1644)=0)),OR(Y126&gt;=1000000000,AND(COUNTA(C126:C1644)=0,P$3=TRUE))),
ROUNDDOWN((AB$1-AC$1)*MAX(INDEX(T$4:T1644,MATCH(LARGE(FILTER(Y$4:Y1644,Y$4"&amp;":Y1644&lt;1000000000),1),Y$4:Y1644)),INDEX(F$4:F1644,MATCH(LARGE(FILTER(K$4:K1644,K$4:K1644&lt;1000000000),1),K$4:K1644)))),AND(K126&lt;1000000000,COUNTA(C126:C1644)&gt;0,P$3=FALSE),
ROUNDDOWN(INDEX(Y$4:Y1644,MATCH(LARGE(FILTER(W$4:W1644,W$4:W1644&lt;=I126),1),W$4:W1644"&amp;"))+(I126-LARGE(FILTER(W$4:W1644,W$4:W1644&lt;=I126),1))*INDEX(T$4:T1644,MATCH(LARGE(FILTER(W$4:W1644,W$4:W1644&lt;=I126),1),W$4:W1644))-K126),1,
ROUNDDOWN(Y126-INDEX(K$4:K1644,MATCH(LARGE(FILTER(I$4:I1644,I$4:I1644&lt;=W126),1),I$4:I1644))-(W126-LARGE(FILTER(I$4:I"&amp;"1644,I$4:I1644&lt;=W126),1))*INDEX(F$4:F1644,MATCH(LARGE(FILTER(I$4:I1644,I$4:I1644&lt;=W126),1),I$4:I1644))))"),3137448.0)</f>
        <v>3137448</v>
      </c>
      <c r="N126" s="60">
        <f t="shared" si="8"/>
        <v>-34.25892</v>
      </c>
      <c r="O126" s="61" t="str">
        <f t="shared" si="9"/>
        <v>3,1M</v>
      </c>
      <c r="P126" s="56">
        <f t="shared" si="10"/>
        <v>12</v>
      </c>
      <c r="Q126" s="67" t="s">
        <v>7</v>
      </c>
      <c r="R126" s="10" t="b">
        <f>IFERROR(__xludf.DUMMYFUNCTION("IF(COUNTA(Q126:Q1644)=0,"""",IF(ISBLANK(Q126),FALSE,IF(NOT(COUNTIF($AA$24:$AA$34,SUBSTITUTE(Q126,""Sell_"",""""))),1,IF(REGEXMATCH(Q126,""Sell_""),IF(COUNTIF(Q$4:Q126,SUBSTITUTE(Q126,""Sell_"",""""))-COUNTIF(Q$4:Q125,Q126)&lt;1,1),FALSE))))"),FALSE)</f>
        <v>0</v>
      </c>
      <c r="S126" s="59">
        <f t="array" ref="S126">IF(COUNTA(Q126:Q1644)=0,"",SUM((COUNTIF(Q$4:Q126,Upgrades!$B$3:$B$13)-COUNTIF(Q$4:Q126,"Sell_"&amp;Upgrades!$B$3:$B$13))*Upgrades!$D$3:$D$13))</f>
        <v>77578</v>
      </c>
      <c r="T126" s="66">
        <f>IFERROR(__xludf.DUMMYFUNCTION("IF(COUNTA(Q126:Q1644)=0,"""",IF(REGEXMATCH(INDEX(FILTER(Q$4:Q126,Q$4:Q126&lt;&gt;""""),ROWS(FILTER(Q$4:Q126,Q$4:Q126&lt;&gt;""""))),""^Sell_""),INDEX(FILTER(T$4:T125,Q$4:Q125&lt;&gt;""""),ROWS(FILTER(Q$4:Q125,Q$4:Q125&lt;&gt;""""))),$AD$5+S126))"),77588.0)</f>
        <v>77588</v>
      </c>
      <c r="U126" s="10">
        <f>IFERROR(__xludf.DUMMYFUNCTION("IF(COUNTA(Q126:Q1644)=0,"""",IF(Q126="""",0,IF(REGEXMATCH(Q126,""^Sell_""),-ROUNDDOWN(ROUNDUP(INDEX(Upgrades!$C$3:$C$13,MATCH(SUBSTITUTE(Q126,""Sell_"",""""),Upgrades!$B$3:$B$13,0))*1.15^(COUNTIF(Q$4:Q125,SUBSTITUTE(Q126,""Sell_"",""""))-COUNTIF(Q$4:Q125,"&amp;"""Sell_""&amp;SUBSTITUTE(Q126,""Sell_"",""""))))/2),ROUNDUP(INDEX(Upgrades!$C$3:$C$13,MATCH(Q126,Upgrades!$B$3:$B$13,0))*1.15^(COUNTIF(Q$4:Q125,Q126)-COUNTIF(Q$4:Q125,""Sell_""&amp;Q126))))))"),46524.0)</f>
        <v>46524</v>
      </c>
      <c r="V126" s="10">
        <f t="shared" si="11"/>
        <v>46524</v>
      </c>
      <c r="W126" s="68">
        <f t="shared" si="12"/>
        <v>3974.523952</v>
      </c>
      <c r="X126" s="59" t="str">
        <f t="shared" si="13"/>
        <v>1h 06m 14s</v>
      </c>
      <c r="Y126" s="69">
        <f t="shared" si="14"/>
        <v>44458870</v>
      </c>
      <c r="Z126" s="11"/>
      <c r="AG126" s="59"/>
    </row>
    <row r="127">
      <c r="A127" s="8"/>
      <c r="B127" s="56">
        <f t="shared" si="2"/>
        <v>19</v>
      </c>
      <c r="C127" s="67" t="s">
        <v>5</v>
      </c>
      <c r="D127" s="10" t="b">
        <f>IFERROR(__xludf.DUMMYFUNCTION("IF(COUNTA(C127:C1644)=0,"""",IF(ISBLANK(C127),FALSE,IF(NOT(COUNTIF($AA$24:$AA$34,SUBSTITUTE(C127,""Sell_"",""""))),1,IF(REGEXMATCH(C127,""Sell_""),IF(COUNTIF(C$4:C127,SUBSTITUTE(C127,""Sell_"",""""))-COUNTIF(C$4:C126,C127)&lt;1,1),FALSE))))"),FALSE)</f>
        <v>0</v>
      </c>
      <c r="E127" s="59">
        <f t="array" ref="E127">IF(COUNTA(C127:C1644)=0,"",SUM((COUNTIF(C$4:C127,Upgrades!$B$3:$B$13)-COUNTIF(C$4:C127,"Sell_"&amp;Upgrades!$B$3:$B$13))*Upgrades!$D$3:$D$13))</f>
        <v>91623.3</v>
      </c>
      <c r="F127" s="66">
        <f>IFERROR(__xludf.DUMMYFUNCTION("IF(COUNTA(C127:C1644)=0,"""",IF(REGEXMATCH(INDEX(FILTER(C$4:C127,C$4:C127&lt;&gt;""""),ROWS(FILTER(C$4:C127,C$4:C127&lt;&gt;""""))),""^Sell_""),INDEX(FILTER(F$4:F126,C$4:C126&lt;&gt;""""),ROWS(FILTER(C$4:C126,C$4:C126&lt;&gt;""""))),$AC$5+E127))"),91633.3)</f>
        <v>91633.3</v>
      </c>
      <c r="G127" s="10">
        <f>IFERROR(__xludf.DUMMYFUNCTION("IF(COUNTA(C127:C1644)=0,"""",IF(C127="""",0,IF(REGEXMATCH(C127,""^Sell_""),-ROUNDDOWN(ROUNDUP(INDEX(Upgrades!$C$3:$C$13,MATCH(SUBSTITUTE(C127,""Sell_"",""""),Upgrades!$B$3:$B$13,0))*1.15^(COUNTIF(C$4:C126,SUBSTITUTE(C127,""Sell_"",""""))-COUNTIF(C$4:C126,"&amp;"""Sell_""&amp;SUBSTITUTE(C127,""Sell_"",""""))))/2),ROUNDUP(INDEX(Upgrades!$C$3:$C$13,MATCH(C127,Upgrades!$B$3:$B$13,0))*1.15^(COUNTIF(C$4:C126,C127)-COUNTIF(C$4:C126,""Sell_""&amp;C127))))))"),6188.0)</f>
        <v>6188</v>
      </c>
      <c r="H127" s="10">
        <f t="shared" si="3"/>
        <v>6188</v>
      </c>
      <c r="I127" s="68">
        <f t="shared" si="4"/>
        <v>4222.162346</v>
      </c>
      <c r="J127" s="59" t="str">
        <f t="shared" si="5"/>
        <v>1h 10m 22s</v>
      </c>
      <c r="K127" s="69">
        <f t="shared" si="6"/>
        <v>61842654</v>
      </c>
      <c r="L127" s="60">
        <f t="shared" si="7"/>
        <v>-34.25359</v>
      </c>
      <c r="M127" s="61">
        <f>IFERROR(__xludf.DUMMYFUNCTION("IFS(AND(COUNTA(C127:C1644)=0,COUNTA(Q127:Q1644)=0),"""",OR(AND(K127&gt;=1000000000,OR(Y127&gt;=1000000000,COUNTA(Q127:Q1644)=0)),OR(Y127&gt;=1000000000,AND(COUNTA(C127:C1644)=0,P$3=TRUE))),
ROUNDDOWN((AB$1-AC$1)*MAX(INDEX(T$4:T1644,MATCH(LARGE(FILTER(Y$4:Y1644,Y$4"&amp;":Y1644&lt;1000000000),1),Y$4:Y1644)),INDEX(F$4:F1644,MATCH(LARGE(FILTER(K$4:K1644,K$4:K1644&lt;1000000000),1),K$4:K1644)))),AND(K127&lt;1000000000,COUNTA(C127:C1644)&gt;0,P$3=FALSE),
ROUNDDOWN(INDEX(Y$4:Y1644,MATCH(LARGE(FILTER(W$4:W1644,W$4:W1644&lt;=I127),1),W$4:W1644"&amp;"))+(I127-LARGE(FILTER(W$4:W1644,W$4:W1644&lt;=I127),1))*INDEX(T$4:T1644,MATCH(LARGE(FILTER(W$4:W1644,W$4:W1644&lt;=I127),1),W$4:W1644))-K127),1,
ROUNDDOWN(Y127-INDEX(K$4:K1644,MATCH(LARGE(FILTER(I$4:I1644,I$4:I1644&lt;=W127),1),I$4:I1644))-(W127-LARGE(FILTER(I$4:I"&amp;"1644,I$4:I1644&lt;=W127),1))*INDEX(F$4:F1644,MATCH(LARGE(FILTER(I$4:I1644,I$4:I1644&lt;=W127),1),I$4:I1644))))"),3137483.0)</f>
        <v>3137483</v>
      </c>
      <c r="N127" s="60">
        <f t="shared" si="8"/>
        <v>-34.25359</v>
      </c>
      <c r="O127" s="61" t="str">
        <f t="shared" si="9"/>
        <v>3,1M</v>
      </c>
      <c r="P127" s="56">
        <f t="shared" si="10"/>
        <v>17</v>
      </c>
      <c r="Q127" s="67" t="s">
        <v>5</v>
      </c>
      <c r="R127" s="10" t="b">
        <f>IFERROR(__xludf.DUMMYFUNCTION("IF(COUNTA(Q127:Q1644)=0,"""",IF(ISBLANK(Q127),FALSE,IF(NOT(COUNTIF($AA$24:$AA$34,SUBSTITUTE(Q127,""Sell_"",""""))),1,IF(REGEXMATCH(Q127,""Sell_""),IF(COUNTIF(Q$4:Q127,SUBSTITUTE(Q127,""Sell_"",""""))-COUNTIF(Q$4:Q126,Q127)&lt;1,1),FALSE))))"),FALSE)</f>
        <v>0</v>
      </c>
      <c r="S127" s="59">
        <f t="array" ref="S127">IF(COUNTA(Q127:Q1644)=0,"",SUM((COUNTIF(Q$4:Q127,Upgrades!$B$3:$B$13)-COUNTIF(Q$4:Q127,"Sell_"&amp;Upgrades!$B$3:$B$13))*Upgrades!$D$3:$D$13))</f>
        <v>77582</v>
      </c>
      <c r="T127" s="66">
        <f>IFERROR(__xludf.DUMMYFUNCTION("IF(COUNTA(Q127:Q1644)=0,"""",IF(REGEXMATCH(INDEX(FILTER(Q$4:Q127,Q$4:Q127&lt;&gt;""""),ROWS(FILTER(Q$4:Q127,Q$4:Q127&lt;&gt;""""))),""^Sell_""),INDEX(FILTER(T$4:T126,Q$4:Q126&lt;&gt;""""),ROWS(FILTER(Q$4:Q126,Q$4:Q126&lt;&gt;""""))),$AD$5+S127))"),77592.0)</f>
        <v>77592</v>
      </c>
      <c r="U127" s="10">
        <f>IFERROR(__xludf.DUMMYFUNCTION("IF(COUNTA(Q127:Q1644)=0,"""",IF(Q127="""",0,IF(REGEXMATCH(Q127,""^Sell_""),-ROUNDDOWN(ROUNDUP(INDEX(Upgrades!$C$3:$C$13,MATCH(SUBSTITUTE(Q127,""Sell_"",""""),Upgrades!$B$3:$B$13,0))*1.15^(COUNTIF(Q$4:Q126,SUBSTITUTE(Q127,""Sell_"",""""))-COUNTIF(Q$4:Q126,"&amp;"""Sell_""&amp;SUBSTITUTE(Q127,""Sell_"",""""))))/2),ROUNDUP(INDEX(Upgrades!$C$3:$C$13,MATCH(Q127,Upgrades!$B$3:$B$13,0))*1.15^(COUNTIF(Q$4:Q126,Q127)-COUNTIF(Q$4:Q126,""Sell_""&amp;Q127))))))"),4679.0)</f>
        <v>4679</v>
      </c>
      <c r="V127" s="10">
        <f t="shared" si="11"/>
        <v>4679</v>
      </c>
      <c r="W127" s="68">
        <f t="shared" si="12"/>
        <v>3974.584258</v>
      </c>
      <c r="X127" s="59" t="str">
        <f t="shared" si="13"/>
        <v>1h 06m 14s</v>
      </c>
      <c r="Y127" s="69">
        <f t="shared" si="14"/>
        <v>44463549</v>
      </c>
      <c r="Z127" s="11"/>
      <c r="AG127" s="59"/>
    </row>
    <row r="128">
      <c r="A128" s="8"/>
      <c r="B128" s="56">
        <f t="shared" si="2"/>
        <v>13</v>
      </c>
      <c r="C128" s="67" t="s">
        <v>6</v>
      </c>
      <c r="D128" s="10" t="b">
        <f>IFERROR(__xludf.DUMMYFUNCTION("IF(COUNTA(C128:C1644)=0,"""",IF(ISBLANK(C128),FALSE,IF(NOT(COUNTIF($AA$24:$AA$34,SUBSTITUTE(C128,""Sell_"",""""))),1,IF(REGEXMATCH(C128,""Sell_""),IF(COUNTIF(C$4:C128,SUBSTITUTE(C128,""Sell_"",""""))-COUNTIF(C$4:C127,C128)&lt;1,1),FALSE))))"),FALSE)</f>
        <v>0</v>
      </c>
      <c r="E128" s="59">
        <f t="array" ref="E128">IF(COUNTA(C128:C1644)=0,"",SUM((COUNTIF(C$4:C128,Upgrades!$B$3:$B$13)-COUNTIF(C$4:C128,"Sell_"&amp;Upgrades!$B$3:$B$13))*Upgrades!$D$3:$D$13))</f>
        <v>91633.3</v>
      </c>
      <c r="F128" s="66">
        <f>IFERROR(__xludf.DUMMYFUNCTION("IF(COUNTA(C128:C1644)=0,"""",IF(REGEXMATCH(INDEX(FILTER(C$4:C128,C$4:C128&lt;&gt;""""),ROWS(FILTER(C$4:C128,C$4:C128&lt;&gt;""""))),""^Sell_""),INDEX(FILTER(F$4:F127,C$4:C127&lt;&gt;""""),ROWS(FILTER(C$4:C127,C$4:C127&lt;&gt;""""))),$AC$5+E128))"),91643.3)</f>
        <v>91643.3</v>
      </c>
      <c r="G128" s="10">
        <f>IFERROR(__xludf.DUMMYFUNCTION("IF(COUNTA(C128:C1644)=0,"""",IF(C128="""",0,IF(REGEXMATCH(C128,""^Sell_""),-ROUNDDOWN(ROUNDUP(INDEX(Upgrades!$C$3:$C$13,MATCH(SUBSTITUTE(C128,""Sell_"",""""),Upgrades!$B$3:$B$13,0))*1.15^(COUNTIF(C$4:C127,SUBSTITUTE(C128,""Sell_"",""""))-COUNTIF(C$4:C127,"&amp;"""Sell_""&amp;SUBSTITUTE(C128,""Sell_"",""""))))/2),ROUNDUP(INDEX(Upgrades!$C$3:$C$13,MATCH(C128,Upgrades!$B$3:$B$13,0))*1.15^(COUNTIF(C$4:C127,C128)-COUNTIF(C$4:C127,""Sell_""&amp;C128))))))"),16051.0)</f>
        <v>16051</v>
      </c>
      <c r="H128" s="10">
        <f t="shared" si="3"/>
        <v>16051</v>
      </c>
      <c r="I128" s="68">
        <f t="shared" si="4"/>
        <v>4222.337511</v>
      </c>
      <c r="J128" s="59" t="str">
        <f t="shared" si="5"/>
        <v>1h 10m 22s</v>
      </c>
      <c r="K128" s="69">
        <f t="shared" si="6"/>
        <v>61858705</v>
      </c>
      <c r="L128" s="60">
        <f t="shared" si="7"/>
        <v>-34.23975</v>
      </c>
      <c r="M128" s="61">
        <f>IFERROR(__xludf.DUMMYFUNCTION("IFS(AND(COUNTA(C128:C1644)=0,COUNTA(Q128:Q1644)=0),"""",OR(AND(K128&gt;=1000000000,OR(Y128&gt;=1000000000,COUNTA(Q128:Q1644)=0)),OR(Y128&gt;=1000000000,AND(COUNTA(C128:C1644)=0,P$3=TRUE))),
ROUNDDOWN((AB$1-AC$1)*MAX(INDEX(T$4:T1644,MATCH(LARGE(FILTER(Y$4:Y1644,Y$4"&amp;":Y1644&lt;1000000000),1),Y$4:Y1644)),INDEX(F$4:F1644,MATCH(LARGE(FILTER(K$4:K1644,K$4:K1644&lt;1000000000),1),K$4:K1644)))),AND(K128&lt;1000000000,COUNTA(C128:C1644)&gt;0,P$3=FALSE),
ROUNDDOWN(INDEX(Y$4:Y1644,MATCH(LARGE(FILTER(W$4:W1644,W$4:W1644&lt;=I128),1),W$4:W1644"&amp;"))+(I128-LARGE(FILTER(W$4:W1644,W$4:W1644&lt;=I128),1))*INDEX(T$4:T1644,MATCH(LARGE(FILTER(W$4:W1644,W$4:W1644&lt;=I128),1),W$4:W1644))-K128),1,
ROUNDDOWN(Y128-INDEX(K$4:K1644,MATCH(LARGE(FILTER(I$4:I1644,I$4:I1644&lt;=W128),1),I$4:I1644))-(W128-LARGE(FILTER(I$4:I"&amp;"1644,I$4:I1644&lt;=W128),1))*INDEX(F$4:F1644,MATCH(LARGE(FILTER(I$4:I1644,I$4:I1644&lt;=W128),1),I$4:I1644))))"),3137572.0)</f>
        <v>3137572</v>
      </c>
      <c r="N128" s="60">
        <f t="shared" si="8"/>
        <v>-34.23975</v>
      </c>
      <c r="O128" s="61" t="str">
        <f t="shared" si="9"/>
        <v>3,1M</v>
      </c>
      <c r="P128" s="56">
        <f t="shared" si="10"/>
        <v>11</v>
      </c>
      <c r="Q128" s="67" t="s">
        <v>6</v>
      </c>
      <c r="R128" s="10" t="b">
        <f>IFERROR(__xludf.DUMMYFUNCTION("IF(COUNTA(Q128:Q1644)=0,"""",IF(ISBLANK(Q128),FALSE,IF(NOT(COUNTIF($AA$24:$AA$34,SUBSTITUTE(Q128,""Sell_"",""""))),1,IF(REGEXMATCH(Q128,""Sell_""),IF(COUNTIF(Q$4:Q128,SUBSTITUTE(Q128,""Sell_"",""""))-COUNTIF(Q$4:Q127,Q128)&lt;1,1),FALSE))))"),FALSE)</f>
        <v>0</v>
      </c>
      <c r="S128" s="59">
        <f t="array" ref="S128">IF(COUNTA(Q128:Q1644)=0,"",SUM((COUNTIF(Q$4:Q128,Upgrades!$B$3:$B$13)-COUNTIF(Q$4:Q128,"Sell_"&amp;Upgrades!$B$3:$B$13))*Upgrades!$D$3:$D$13))</f>
        <v>77592</v>
      </c>
      <c r="T128" s="66">
        <f>IFERROR(__xludf.DUMMYFUNCTION("IF(COUNTA(Q128:Q1644)=0,"""",IF(REGEXMATCH(INDEX(FILTER(Q$4:Q128,Q$4:Q128&lt;&gt;""""),ROWS(FILTER(Q$4:Q128,Q$4:Q128&lt;&gt;""""))),""^Sell_""),INDEX(FILTER(T$4:T127,Q$4:Q127&lt;&gt;""""),ROWS(FILTER(Q$4:Q127,Q$4:Q127&lt;&gt;""""))),$AD$5+S128))"),77602.0)</f>
        <v>77602</v>
      </c>
      <c r="U128" s="10">
        <f>IFERROR(__xludf.DUMMYFUNCTION("IF(COUNTA(Q128:Q1644)=0,"""",IF(Q128="""",0,IF(REGEXMATCH(Q128,""^Sell_""),-ROUNDDOWN(ROUNDUP(INDEX(Upgrades!$C$3:$C$13,MATCH(SUBSTITUTE(Q128,""Sell_"",""""),Upgrades!$B$3:$B$13,0))*1.15^(COUNTIF(Q$4:Q127,SUBSTITUTE(Q128,""Sell_"",""""))-COUNTIF(Q$4:Q127,"&amp;"""Sell_""&amp;SUBSTITUTE(Q128,""Sell_"",""""))))/2),ROUNDUP(INDEX(Upgrades!$C$3:$C$13,MATCH(Q128,Upgrades!$B$3:$B$13,0))*1.15^(COUNTIF(Q$4:Q127,Q128)-COUNTIF(Q$4:Q127,""Sell_""&amp;Q128))))))"),12137.0)</f>
        <v>12137</v>
      </c>
      <c r="V128" s="10">
        <f t="shared" si="11"/>
        <v>12137</v>
      </c>
      <c r="W128" s="68">
        <f t="shared" si="12"/>
        <v>3974.740678</v>
      </c>
      <c r="X128" s="59" t="str">
        <f t="shared" si="13"/>
        <v>1h 06m 14s</v>
      </c>
      <c r="Y128" s="69">
        <f t="shared" si="14"/>
        <v>44475686</v>
      </c>
      <c r="Z128" s="11"/>
      <c r="AG128" s="59"/>
    </row>
    <row r="129">
      <c r="A129" s="8"/>
      <c r="B129" s="56">
        <f t="shared" si="2"/>
        <v>11</v>
      </c>
      <c r="C129" s="67" t="s">
        <v>8</v>
      </c>
      <c r="D129" s="10" t="b">
        <f>IFERROR(__xludf.DUMMYFUNCTION("IF(COUNTA(C129:C1644)=0,"""",IF(ISBLANK(C129),FALSE,IF(NOT(COUNTIF($AA$24:$AA$34,SUBSTITUTE(C129,""Sell_"",""""))),1,IF(REGEXMATCH(C129,""Sell_""),IF(COUNTIF(C$4:C129,SUBSTITUTE(C129,""Sell_"",""""))-COUNTIF(C$4:C128,C129)&lt;1,1),FALSE))))"),FALSE)</f>
        <v>0</v>
      </c>
      <c r="E129" s="59">
        <f t="array" ref="E129">IF(COUNTA(C129:C1644)=0,"",SUM((COUNTIF(C$4:C129,Upgrades!$B$3:$B$13)-COUNTIF(C$4:C129,"Sell_"&amp;Upgrades!$B$3:$B$13))*Upgrades!$D$3:$D$13))</f>
        <v>91733.3</v>
      </c>
      <c r="F129" s="66">
        <f>IFERROR(__xludf.DUMMYFUNCTION("IF(COUNTA(C129:C1644)=0,"""",IF(REGEXMATCH(INDEX(FILTER(C$4:C129,C$4:C129&lt;&gt;""""),ROWS(FILTER(C$4:C129,C$4:C129&lt;&gt;""""))),""^Sell_""),INDEX(FILTER(F$4:F128,C$4:C128&lt;&gt;""""),ROWS(FILTER(C$4:C128,C$4:C128&lt;&gt;""""))),$AC$5+E129))"),91743.3)</f>
        <v>91743.3</v>
      </c>
      <c r="G129" s="10">
        <f>IFERROR(__xludf.DUMMYFUNCTION("IF(COUNTA(C129:C1644)=0,"""",IF(C129="""",0,IF(REGEXMATCH(C129,""^Sell_""),-ROUNDDOWN(ROUNDUP(INDEX(Upgrades!$C$3:$C$13,MATCH(SUBSTITUTE(C129,""Sell_"",""""),Upgrades!$B$3:$B$13,0))*1.15^(COUNTIF(C$4:C128,SUBSTITUTE(C129,""Sell_"",""""))-COUNTIF(C$4:C128,"&amp;"""Sell_""&amp;SUBSTITUTE(C129,""Sell_"",""""))))/2),ROUNDUP(INDEX(Upgrades!$C$3:$C$13,MATCH(C129,Upgrades!$B$3:$B$13,0))*1.15^(COUNTIF(C$4:C128,C129)-COUNTIF(C$4:C128,""Sell_""&amp;C129))))))"),161823.0)</f>
        <v>161823</v>
      </c>
      <c r="H129" s="10">
        <f t="shared" si="3"/>
        <v>161823</v>
      </c>
      <c r="I129" s="68">
        <f t="shared" si="4"/>
        <v>4224.103303</v>
      </c>
      <c r="J129" s="59" t="str">
        <f t="shared" si="5"/>
        <v>1h 10m 24s</v>
      </c>
      <c r="K129" s="69">
        <f t="shared" si="6"/>
        <v>62020528</v>
      </c>
      <c r="L129" s="60">
        <f t="shared" si="7"/>
        <v>-34.10367</v>
      </c>
      <c r="M129" s="61">
        <f>IFERROR(__xludf.DUMMYFUNCTION("IFS(AND(COUNTA(C129:C1644)=0,COUNTA(Q129:Q1644)=0),"""",OR(AND(K129&gt;=1000000000,OR(Y129&gt;=1000000000,COUNTA(Q129:Q1644)=0)),OR(Y129&gt;=1000000000,AND(COUNTA(C129:C1644)=0,P$3=TRUE))),
ROUNDDOWN((AB$1-AC$1)*MAX(INDEX(T$4:T1644,MATCH(LARGE(FILTER(Y$4:Y1644,Y$4"&amp;":Y1644&lt;1000000000),1),Y$4:Y1644)),INDEX(F$4:F1644,MATCH(LARGE(FILTER(K$4:K1644,K$4:K1644&lt;1000000000),1),K$4:K1644)))),AND(K129&lt;1000000000,COUNTA(C129:C1644)&gt;0,P$3=FALSE),
ROUNDDOWN(INDEX(Y$4:Y1644,MATCH(LARGE(FILTER(W$4:W1644,W$4:W1644&lt;=I129),1),W$4:W1644"&amp;"))+(I129-LARGE(FILTER(W$4:W1644,W$4:W1644&lt;=I129),1))*INDEX(T$4:T1644,MATCH(LARGE(FILTER(W$4:W1644,W$4:W1644&lt;=I129),1),W$4:W1644))-K129),1,
ROUNDDOWN(Y129-INDEX(K$4:K1644,MATCH(LARGE(FILTER(I$4:I1644,I$4:I1644&lt;=W129),1),I$4:I1644))-(W129-LARGE(FILTER(I$4:I"&amp;"1644,I$4:I1644&lt;=W129),1))*INDEX(F$4:F1644,MATCH(LARGE(FILTER(I$4:I1644,I$4:I1644&lt;=W129),1),I$4:I1644))))"),3138456.0)</f>
        <v>3138456</v>
      </c>
      <c r="N129" s="60">
        <f t="shared" si="8"/>
        <v>-34.10367</v>
      </c>
      <c r="O129" s="61" t="str">
        <f t="shared" si="9"/>
        <v>3,1M</v>
      </c>
      <c r="P129" s="56">
        <f t="shared" si="10"/>
        <v>9</v>
      </c>
      <c r="Q129" s="67" t="s">
        <v>8</v>
      </c>
      <c r="R129" s="10" t="b">
        <f>IFERROR(__xludf.DUMMYFUNCTION("IF(COUNTA(Q129:Q1644)=0,"""",IF(ISBLANK(Q129),FALSE,IF(NOT(COUNTIF($AA$24:$AA$34,SUBSTITUTE(Q129,""Sell_"",""""))),1,IF(REGEXMATCH(Q129,""Sell_""),IF(COUNTIF(Q$4:Q129,SUBSTITUTE(Q129,""Sell_"",""""))-COUNTIF(Q$4:Q128,Q129)&lt;1,1),FALSE))))"),FALSE)</f>
        <v>0</v>
      </c>
      <c r="S129" s="59">
        <f t="array" ref="S129">IF(COUNTA(Q129:Q1644)=0,"",SUM((COUNTIF(Q$4:Q129,Upgrades!$B$3:$B$13)-COUNTIF(Q$4:Q129,"Sell_"&amp;Upgrades!$B$3:$B$13))*Upgrades!$D$3:$D$13))</f>
        <v>77692</v>
      </c>
      <c r="T129" s="66">
        <f>IFERROR(__xludf.DUMMYFUNCTION("IF(COUNTA(Q129:Q1644)=0,"""",IF(REGEXMATCH(INDEX(FILTER(Q$4:Q129,Q$4:Q129&lt;&gt;""""),ROWS(FILTER(Q$4:Q129,Q$4:Q129&lt;&gt;""""))),""^Sell_""),INDEX(FILTER(T$4:T128,Q$4:Q128&lt;&gt;""""),ROWS(FILTER(Q$4:Q128,Q$4:Q128&lt;&gt;""""))),$AD$5+S129))"),77702.0)</f>
        <v>77702</v>
      </c>
      <c r="U129" s="10">
        <f>IFERROR(__xludf.DUMMYFUNCTION("IF(COUNTA(Q129:Q1644)=0,"""",IF(Q129="""",0,IF(REGEXMATCH(Q129,""^Sell_""),-ROUNDDOWN(ROUNDUP(INDEX(Upgrades!$C$3:$C$13,MATCH(SUBSTITUTE(Q129,""Sell_"",""""),Upgrades!$B$3:$B$13,0))*1.15^(COUNTIF(Q$4:Q128,SUBSTITUTE(Q129,""Sell_"",""""))-COUNTIF(Q$4:Q128,"&amp;"""Sell_""&amp;SUBSTITUTE(Q129,""Sell_"",""""))))/2),ROUNDUP(INDEX(Upgrades!$C$3:$C$13,MATCH(Q129,Upgrades!$B$3:$B$13,0))*1.15^(COUNTIF(Q$4:Q128,Q129)-COUNTIF(Q$4:Q128,""Sell_""&amp;Q129))))))"),122361.0)</f>
        <v>122361</v>
      </c>
      <c r="V129" s="10">
        <f t="shared" si="11"/>
        <v>122361</v>
      </c>
      <c r="W129" s="68">
        <f t="shared" si="12"/>
        <v>3976.317455</v>
      </c>
      <c r="X129" s="59" t="str">
        <f t="shared" si="13"/>
        <v>1h 06m 16s</v>
      </c>
      <c r="Y129" s="69">
        <f t="shared" si="14"/>
        <v>44598047</v>
      </c>
      <c r="Z129" s="11"/>
      <c r="AG129" s="59"/>
    </row>
    <row r="130">
      <c r="A130" s="8"/>
      <c r="B130" s="56">
        <f t="shared" si="2"/>
        <v>19</v>
      </c>
      <c r="C130" s="67" t="s">
        <v>3</v>
      </c>
      <c r="D130" s="10" t="b">
        <f>IFERROR(__xludf.DUMMYFUNCTION("IF(COUNTA(C130:C1644)=0,"""",IF(ISBLANK(C130),FALSE,IF(NOT(COUNTIF($AA$24:$AA$34,SUBSTITUTE(C130,""Sell_"",""""))),1,IF(REGEXMATCH(C130,""Sell_""),IF(COUNTIF(C$4:C130,SUBSTITUTE(C130,""Sell_"",""""))-COUNTIF(C$4:C129,C130)&lt;1,1),FALSE))))"),FALSE)</f>
        <v>0</v>
      </c>
      <c r="E130" s="59">
        <f t="array" ref="E130">IF(COUNTA(C130:C1644)=0,"",SUM((COUNTIF(C$4:C130,Upgrades!$B$3:$B$13)-COUNTIF(C$4:C130,"Sell_"&amp;Upgrades!$B$3:$B$13))*Upgrades!$D$3:$D$13))</f>
        <v>91733.4</v>
      </c>
      <c r="F130" s="66">
        <f>IFERROR(__xludf.DUMMYFUNCTION("IF(COUNTA(C130:C1644)=0,"""",IF(REGEXMATCH(INDEX(FILTER(C$4:C130,C$4:C130&lt;&gt;""""),ROWS(FILTER(C$4:C130,C$4:C130&lt;&gt;""""))),""^Sell_""),INDEX(FILTER(F$4:F129,C$4:C129&lt;&gt;""""),ROWS(FILTER(C$4:C129,C$4:C129&lt;&gt;""""))),$AC$5+E130))"),91743.4)</f>
        <v>91743.4</v>
      </c>
      <c r="G130" s="10">
        <f>IFERROR(__xludf.DUMMYFUNCTION("IF(COUNTA(C130:C1644)=0,"""",IF(C130="""",0,IF(REGEXMATCH(C130,""^Sell_""),-ROUNDDOWN(ROUNDUP(INDEX(Upgrades!$C$3:$C$13,MATCH(SUBSTITUTE(C130,""Sell_"",""""),Upgrades!$B$3:$B$13,0))*1.15^(COUNTIF(C$4:C129,SUBSTITUTE(C130,""Sell_"",""""))-COUNTIF(C$4:C129,"&amp;"""Sell_""&amp;SUBSTITUTE(C130,""Sell_"",""""))))/2),ROUNDUP(INDEX(Upgrades!$C$3:$C$13,MATCH(C130,Upgrades!$B$3:$B$13,0))*1.15^(COUNTIF(C$4:C129,C130)-COUNTIF(C$4:C129,""Sell_""&amp;C130))))))"),186.0)</f>
        <v>186</v>
      </c>
      <c r="H130" s="10">
        <f t="shared" si="3"/>
        <v>186</v>
      </c>
      <c r="I130" s="68">
        <f t="shared" si="4"/>
        <v>4224.10533</v>
      </c>
      <c r="J130" s="59" t="str">
        <f t="shared" si="5"/>
        <v>1h 10m 24s</v>
      </c>
      <c r="K130" s="69">
        <f t="shared" si="6"/>
        <v>62020714</v>
      </c>
      <c r="L130" s="60">
        <f t="shared" si="7"/>
        <v>-34.10367</v>
      </c>
      <c r="M130" s="61">
        <f>IFERROR(__xludf.DUMMYFUNCTION("IFS(AND(COUNTA(C130:C1644)=0,COUNTA(Q130:Q1644)=0),"""",OR(AND(K130&gt;=1000000000,OR(Y130&gt;=1000000000,COUNTA(Q130:Q1644)=0)),OR(Y130&gt;=1000000000,AND(COUNTA(C130:C1644)=0,P$3=TRUE))),
ROUNDDOWN((AB$1-AC$1)*MAX(INDEX(T$4:T1644,MATCH(LARGE(FILTER(Y$4:Y1644,Y$4"&amp;":Y1644&lt;1000000000),1),Y$4:Y1644)),INDEX(F$4:F1644,MATCH(LARGE(FILTER(K$4:K1644,K$4:K1644&lt;1000000000),1),K$4:K1644)))),AND(K130&lt;1000000000,COUNTA(C130:C1644)&gt;0,P$3=FALSE),
ROUNDDOWN(INDEX(Y$4:Y1644,MATCH(LARGE(FILTER(W$4:W1644,W$4:W1644&lt;=I130),1),W$4:W1644"&amp;"))+(I130-LARGE(FILTER(W$4:W1644,W$4:W1644&lt;=I130),1))*INDEX(T$4:T1644,MATCH(LARGE(FILTER(W$4:W1644,W$4:W1644&lt;=I130),1),W$4:W1644))-K130),1,
ROUNDDOWN(Y130-INDEX(K$4:K1644,MATCH(LARGE(FILTER(I$4:I1644,I$4:I1644&lt;=W130),1),I$4:I1644))-(W130-LARGE(FILTER(I$4:I"&amp;"1644,I$4:I1644&lt;=W130),1))*INDEX(F$4:F1644,MATCH(LARGE(FILTER(I$4:I1644,I$4:I1644&lt;=W130),1),I$4:I1644))))"),3138457.0)</f>
        <v>3138457</v>
      </c>
      <c r="N130" s="60">
        <f t="shared" si="8"/>
        <v>-34.10367</v>
      </c>
      <c r="O130" s="61" t="str">
        <f t="shared" si="9"/>
        <v>3,1M</v>
      </c>
      <c r="P130" s="56">
        <f t="shared" si="10"/>
        <v>16</v>
      </c>
      <c r="Q130" s="67" t="s">
        <v>3</v>
      </c>
      <c r="R130" s="10" t="b">
        <f>IFERROR(__xludf.DUMMYFUNCTION("IF(COUNTA(Q130:Q1644)=0,"""",IF(ISBLANK(Q130),FALSE,IF(NOT(COUNTIF($AA$24:$AA$34,SUBSTITUTE(Q130,""Sell_"",""""))),1,IF(REGEXMATCH(Q130,""Sell_""),IF(COUNTIF(Q$4:Q130,SUBSTITUTE(Q130,""Sell_"",""""))-COUNTIF(Q$4:Q129,Q130)&lt;1,1),FALSE))))"),FALSE)</f>
        <v>0</v>
      </c>
      <c r="S130" s="59">
        <f t="array" ref="S130">IF(COUNTA(Q130:Q1644)=0,"",SUM((COUNTIF(Q$4:Q130,Upgrades!$B$3:$B$13)-COUNTIF(Q$4:Q130,"Sell_"&amp;Upgrades!$B$3:$B$13))*Upgrades!$D$3:$D$13))</f>
        <v>77692.1</v>
      </c>
      <c r="T130" s="66">
        <f>IFERROR(__xludf.DUMMYFUNCTION("IF(COUNTA(Q130:Q1644)=0,"""",IF(REGEXMATCH(INDEX(FILTER(Q$4:Q130,Q$4:Q130&lt;&gt;""""),ROWS(FILTER(Q$4:Q130,Q$4:Q130&lt;&gt;""""))),""^Sell_""),INDEX(FILTER(T$4:T129,Q$4:Q129&lt;&gt;""""),ROWS(FILTER(Q$4:Q129,Q$4:Q129&lt;&gt;""""))),$AD$5+S130))"),77702.1)</f>
        <v>77702.1</v>
      </c>
      <c r="U130" s="10">
        <f>IFERROR(__xludf.DUMMYFUNCTION("IF(COUNTA(Q130:Q1644)=0,"""",IF(Q130="""",0,IF(REGEXMATCH(Q130,""^Sell_""),-ROUNDDOWN(ROUNDUP(INDEX(Upgrades!$C$3:$C$13,MATCH(SUBSTITUTE(Q130,""Sell_"",""""),Upgrades!$B$3:$B$13,0))*1.15^(COUNTIF(Q$4:Q129,SUBSTITUTE(Q130,""Sell_"",""""))-COUNTIF(Q$4:Q129,"&amp;"""Sell_""&amp;SUBSTITUTE(Q130,""Sell_"",""""))))/2),ROUNDUP(INDEX(Upgrades!$C$3:$C$13,MATCH(Q130,Upgrades!$B$3:$B$13,0))*1.15^(COUNTIF(Q$4:Q129,Q130)-COUNTIF(Q$4:Q129,""Sell_""&amp;Q130))))))"),123.0)</f>
        <v>123</v>
      </c>
      <c r="V130" s="10">
        <f t="shared" si="11"/>
        <v>123</v>
      </c>
      <c r="W130" s="68">
        <f t="shared" si="12"/>
        <v>3976.319038</v>
      </c>
      <c r="X130" s="59" t="str">
        <f t="shared" si="13"/>
        <v>1h 06m 16s</v>
      </c>
      <c r="Y130" s="69">
        <f t="shared" si="14"/>
        <v>44598170</v>
      </c>
      <c r="Z130" s="11"/>
      <c r="AG130" s="59"/>
    </row>
    <row r="131">
      <c r="A131" s="8"/>
      <c r="B131" s="56">
        <f t="shared" si="2"/>
        <v>16</v>
      </c>
      <c r="C131" s="67" t="s">
        <v>4</v>
      </c>
      <c r="D131" s="10" t="b">
        <f>IFERROR(__xludf.DUMMYFUNCTION("IF(COUNTA(C131:C1644)=0,"""",IF(ISBLANK(C131),FALSE,IF(NOT(COUNTIF($AA$24:$AA$34,SUBSTITUTE(C131,""Sell_"",""""))),1,IF(REGEXMATCH(C131,""Sell_""),IF(COUNTIF(C$4:C131,SUBSTITUTE(C131,""Sell_"",""""))-COUNTIF(C$4:C130,C131)&lt;1,1),FALSE))))"),FALSE)</f>
        <v>0</v>
      </c>
      <c r="E131" s="59">
        <f t="array" ref="E131">IF(COUNTA(C131:C1644)=0,"",SUM((COUNTIF(C$4:C131,Upgrades!$B$3:$B$13)-COUNTIF(C$4:C131,"Sell_"&amp;Upgrades!$B$3:$B$13))*Upgrades!$D$3:$D$13))</f>
        <v>91733.9</v>
      </c>
      <c r="F131" s="66">
        <f>IFERROR(__xludf.DUMMYFUNCTION("IF(COUNTA(C131:C1644)=0,"""",IF(REGEXMATCH(INDEX(FILTER(C$4:C131,C$4:C131&lt;&gt;""""),ROWS(FILTER(C$4:C131,C$4:C131&lt;&gt;""""))),""^Sell_""),INDEX(FILTER(F$4:F130,C$4:C130&lt;&gt;""""),ROWS(FILTER(C$4:C130,C$4:C130&lt;&gt;""""))),$AC$5+E131))"),91743.9)</f>
        <v>91743.9</v>
      </c>
      <c r="G131" s="10">
        <f>IFERROR(__xludf.DUMMYFUNCTION("IF(COUNTA(C131:C1644)=0,"""",IF(C131="""",0,IF(REGEXMATCH(C131,""^Sell_""),-ROUNDDOWN(ROUNDUP(INDEX(Upgrades!$C$3:$C$13,MATCH(SUBSTITUTE(C131,""Sell_"",""""),Upgrades!$B$3:$B$13,0))*1.15^(COUNTIF(C$4:C130,SUBSTITUTE(C131,""Sell_"",""""))-COUNTIF(C$4:C130,"&amp;"""Sell_""&amp;SUBSTITUTE(C131,""Sell_"",""""))))/2),ROUNDUP(INDEX(Upgrades!$C$3:$C$13,MATCH(C131,Upgrades!$B$3:$B$13,0))*1.15^(COUNTIF(C$4:C130,C131)-COUNTIF(C$4:C130,""Sell_""&amp;C131))))))"),814.0)</f>
        <v>814</v>
      </c>
      <c r="H131" s="10">
        <f t="shared" si="3"/>
        <v>814</v>
      </c>
      <c r="I131" s="68">
        <f t="shared" si="4"/>
        <v>4224.114203</v>
      </c>
      <c r="J131" s="59" t="str">
        <f t="shared" si="5"/>
        <v>1h 10m 24s</v>
      </c>
      <c r="K131" s="69">
        <f t="shared" si="6"/>
        <v>62021528</v>
      </c>
      <c r="L131" s="60">
        <f t="shared" si="7"/>
        <v>-34.10366</v>
      </c>
      <c r="M131" s="61">
        <f>IFERROR(__xludf.DUMMYFUNCTION("IFS(AND(COUNTA(C131:C1644)=0,COUNTA(Q131:Q1644)=0),"""",OR(AND(K131&gt;=1000000000,OR(Y131&gt;=1000000000,COUNTA(Q131:Q1644)=0)),OR(Y131&gt;=1000000000,AND(COUNTA(C131:C1644)=0,P$3=TRUE))),
ROUNDDOWN((AB$1-AC$1)*MAX(INDEX(T$4:T1644,MATCH(LARGE(FILTER(Y$4:Y1644,Y$4"&amp;":Y1644&lt;1000000000),1),Y$4:Y1644)),INDEX(F$4:F1644,MATCH(LARGE(FILTER(K$4:K1644,K$4:K1644&lt;1000000000),1),K$4:K1644)))),AND(K131&lt;1000000000,COUNTA(C131:C1644)&gt;0,P$3=FALSE),
ROUNDDOWN(INDEX(Y$4:Y1644,MATCH(LARGE(FILTER(W$4:W1644,W$4:W1644&lt;=I131),1),W$4:W1644"&amp;"))+(I131-LARGE(FILTER(W$4:W1644,W$4:W1644&lt;=I131),1))*INDEX(T$4:T1644,MATCH(LARGE(FILTER(W$4:W1644,W$4:W1644&lt;=I131),1),W$4:W1644))-K131),1,
ROUNDDOWN(Y131-INDEX(K$4:K1644,MATCH(LARGE(FILTER(I$4:I1644,I$4:I1644&lt;=W131),1),I$4:I1644))-(W131-LARGE(FILTER(I$4:I"&amp;"1644,I$4:I1644&lt;=W131),1))*INDEX(F$4:F1644,MATCH(LARGE(FILTER(I$4:I1644,I$4:I1644&lt;=W131),1),I$4:I1644))))"),3138460.0)</f>
        <v>3138460</v>
      </c>
      <c r="N131" s="60">
        <f t="shared" si="8"/>
        <v>-34.10366</v>
      </c>
      <c r="O131" s="61" t="str">
        <f t="shared" si="9"/>
        <v>3,1M</v>
      </c>
      <c r="P131" s="56">
        <f t="shared" si="10"/>
        <v>14</v>
      </c>
      <c r="Q131" s="67" t="s">
        <v>4</v>
      </c>
      <c r="R131" s="10" t="b">
        <f>IFERROR(__xludf.DUMMYFUNCTION("IF(COUNTA(Q131:Q1644)=0,"""",IF(ISBLANK(Q131),FALSE,IF(NOT(COUNTIF($AA$24:$AA$34,SUBSTITUTE(Q131,""Sell_"",""""))),1,IF(REGEXMATCH(Q131,""Sell_""),IF(COUNTIF(Q$4:Q131,SUBSTITUTE(Q131,""Sell_"",""""))-COUNTIF(Q$4:Q130,Q131)&lt;1,1),FALSE))))"),FALSE)</f>
        <v>0</v>
      </c>
      <c r="S131" s="59">
        <f t="array" ref="S131">IF(COUNTA(Q131:Q1644)=0,"",SUM((COUNTIF(Q$4:Q131,Upgrades!$B$3:$B$13)-COUNTIF(Q$4:Q131,"Sell_"&amp;Upgrades!$B$3:$B$13))*Upgrades!$D$3:$D$13))</f>
        <v>77692.6</v>
      </c>
      <c r="T131" s="66">
        <f>IFERROR(__xludf.DUMMYFUNCTION("IF(COUNTA(Q131:Q1644)=0,"""",IF(REGEXMATCH(INDEX(FILTER(Q$4:Q131,Q$4:Q131&lt;&gt;""""),ROWS(FILTER(Q$4:Q131,Q$4:Q131&lt;&gt;""""))),""^Sell_""),INDEX(FILTER(T$4:T130,Q$4:Q130&lt;&gt;""""),ROWS(FILTER(Q$4:Q130,Q$4:Q130&lt;&gt;""""))),$AD$5+S131))"),77702.6)</f>
        <v>77702.6</v>
      </c>
      <c r="U131" s="10">
        <f>IFERROR(__xludf.DUMMYFUNCTION("IF(COUNTA(Q131:Q1644)=0,"""",IF(Q131="""",0,IF(REGEXMATCH(Q131,""^Sell_""),-ROUNDDOWN(ROUNDUP(INDEX(Upgrades!$C$3:$C$13,MATCH(SUBSTITUTE(Q131,""Sell_"",""""),Upgrades!$B$3:$B$13,0))*1.15^(COUNTIF(Q$4:Q130,SUBSTITUTE(Q131,""Sell_"",""""))-COUNTIF(Q$4:Q130,"&amp;"""Sell_""&amp;SUBSTITUTE(Q131,""Sell_"",""""))))/2),ROUNDUP(INDEX(Upgrades!$C$3:$C$13,MATCH(Q131,Upgrades!$B$3:$B$13,0))*1.15^(COUNTIF(Q$4:Q130,Q131)-COUNTIF(Q$4:Q130,""Sell_""&amp;Q131))))))"),616.0)</f>
        <v>616</v>
      </c>
      <c r="V131" s="10">
        <f t="shared" si="11"/>
        <v>616</v>
      </c>
      <c r="W131" s="68">
        <f t="shared" si="12"/>
        <v>3976.326965</v>
      </c>
      <c r="X131" s="59" t="str">
        <f t="shared" si="13"/>
        <v>1h 06m 16s</v>
      </c>
      <c r="Y131" s="69">
        <f t="shared" si="14"/>
        <v>44598786</v>
      </c>
      <c r="Z131" s="11"/>
      <c r="AG131" s="59"/>
    </row>
    <row r="132">
      <c r="A132" s="8"/>
      <c r="B132" s="56">
        <f t="shared" si="2"/>
        <v>14</v>
      </c>
      <c r="C132" s="67" t="s">
        <v>10</v>
      </c>
      <c r="D132" s="10" t="b">
        <f>IFERROR(__xludf.DUMMYFUNCTION("IF(COUNTA(C132:C1644)=0,"""",IF(ISBLANK(C132),FALSE,IF(NOT(COUNTIF($AA$24:$AA$34,SUBSTITUTE(C132,""Sell_"",""""))),1,IF(REGEXMATCH(C132,""Sell_""),IF(COUNTIF(C$4:C132,SUBSTITUTE(C132,""Sell_"",""""))-COUNTIF(C$4:C131,C132)&lt;1,1),FALSE))))"),FALSE)</f>
        <v>0</v>
      </c>
      <c r="E132" s="59">
        <f t="array" ref="E132">IF(COUNTA(C132:C1644)=0,"",SUM((COUNTIF(C$4:C132,Upgrades!$B$3:$B$13)-COUNTIF(C$4:C132,"Sell_"&amp;Upgrades!$B$3:$B$13))*Upgrades!$D$3:$D$13))</f>
        <v>98399.9</v>
      </c>
      <c r="F132" s="66">
        <f>IFERROR(__xludf.DUMMYFUNCTION("IF(COUNTA(C132:C1644)=0,"""",IF(REGEXMATCH(INDEX(FILTER(C$4:C132,C$4:C132&lt;&gt;""""),ROWS(FILTER(C$4:C132,C$4:C132&lt;&gt;""""))),""^Sell_""),INDEX(FILTER(F$4:F131,C$4:C131&lt;&gt;""""),ROWS(FILTER(C$4:C131,C$4:C131&lt;&gt;""""))),$AC$5+E132))"),98409.9)</f>
        <v>98409.9</v>
      </c>
      <c r="G132" s="10">
        <f>IFERROR(__xludf.DUMMYFUNCTION("IF(COUNTA(C132:C1644)=0,"""",IF(C132="""",0,IF(REGEXMATCH(C132,""^Sell_""),-ROUNDDOWN(ROUNDUP(INDEX(Upgrades!$C$3:$C$13,MATCH(SUBSTITUTE(C132,""Sell_"",""""),Upgrades!$B$3:$B$13,0))*1.15^(COUNTIF(C$4:C131,SUBSTITUTE(C132,""Sell_"",""""))-COUNTIF(C$4:C131,"&amp;"""Sell_""&amp;SUBSTITUTE(C132,""Sell_"",""""))))/2),ROUNDUP(INDEX(Upgrades!$C$3:$C$13,MATCH(C132,Upgrades!$B$3:$B$13,0))*1.15^(COUNTIF(C$4:C131,C132)-COUNTIF(C$4:C131,""Sell_""&amp;C132))))))"),1.0254642E7)</f>
        <v>10254642</v>
      </c>
      <c r="H132" s="10">
        <f t="shared" si="3"/>
        <v>10254642</v>
      </c>
      <c r="I132" s="68">
        <f t="shared" si="4"/>
        <v>4335.88885</v>
      </c>
      <c r="J132" s="59" t="str">
        <f t="shared" si="5"/>
        <v>1h 12m 15s</v>
      </c>
      <c r="K132" s="69">
        <f t="shared" si="6"/>
        <v>72276170</v>
      </c>
      <c r="L132" s="60">
        <f t="shared" si="7"/>
        <v>-34.54556</v>
      </c>
      <c r="M132" s="61">
        <f>IFERROR(__xludf.DUMMYFUNCTION("IFS(AND(COUNTA(C132:C1644)=0,COUNTA(Q132:Q1644)=0),"""",OR(AND(K132&gt;=1000000000,OR(Y132&gt;=1000000000,COUNTA(Q132:Q1644)=0)),OR(Y132&gt;=1000000000,AND(COUNTA(C132:C1644)=0,P$3=TRUE))),
ROUNDDOWN((AB$1-AC$1)*MAX(INDEX(T$4:T1644,MATCH(LARGE(FILTER(Y$4:Y1644,Y$4"&amp;":Y1644&lt;1000000000),1),Y$4:Y1644)),INDEX(F$4:F1644,MATCH(LARGE(FILTER(K$4:K1644,K$4:K1644&lt;1000000000),1),K$4:K1644)))),AND(K132&lt;1000000000,COUNTA(C132:C1644)&gt;0,P$3=FALSE),
ROUNDDOWN(INDEX(Y$4:Y1644,MATCH(LARGE(FILTER(W$4:W1644,W$4:W1644&lt;=I132),1),W$4:W1644"&amp;"))+(I132-LARGE(FILTER(W$4:W1644,W$4:W1644&lt;=I132),1))*INDEX(T$4:T1644,MATCH(LARGE(FILTER(W$4:W1644,W$4:W1644&lt;=I132),1),W$4:W1644))-K132),1,
ROUNDDOWN(Y132-INDEX(K$4:K1644,MATCH(LARGE(FILTER(I$4:I1644,I$4:I1644&lt;=W132),1),I$4:I1644))-(W132-LARGE(FILTER(I$4:I"&amp;"1644,I$4:I1644&lt;=W132),1))*INDEX(F$4:F1644,MATCH(LARGE(FILTER(I$4:I1644,I$4:I1644&lt;=W132),1),I$4:I1644))))"),3361471.0)</f>
        <v>3361471</v>
      </c>
      <c r="N132" s="60">
        <f t="shared" si="8"/>
        <v>-34.54556</v>
      </c>
      <c r="O132" s="61" t="str">
        <f t="shared" si="9"/>
        <v>3,4M</v>
      </c>
      <c r="P132" s="56">
        <f t="shared" si="10"/>
        <v>12</v>
      </c>
      <c r="Q132" s="67" t="s">
        <v>10</v>
      </c>
      <c r="R132" s="10" t="b">
        <f>IFERROR(__xludf.DUMMYFUNCTION("IF(COUNTA(Q132:Q1644)=0,"""",IF(ISBLANK(Q132),FALSE,IF(NOT(COUNTIF($AA$24:$AA$34,SUBSTITUTE(Q132,""Sell_"",""""))),1,IF(REGEXMATCH(Q132,""Sell_""),IF(COUNTIF(Q$4:Q132,SUBSTITUTE(Q132,""Sell_"",""""))-COUNTIF(Q$4:Q131,Q132)&lt;1,1),FALSE))))"),FALSE)</f>
        <v>0</v>
      </c>
      <c r="S132" s="59">
        <f t="array" ref="S132">IF(COUNTA(Q132:Q1644)=0,"",SUM((COUNTIF(Q$4:Q132,Upgrades!$B$3:$B$13)-COUNTIF(Q$4:Q132,"Sell_"&amp;Upgrades!$B$3:$B$13))*Upgrades!$D$3:$D$13))</f>
        <v>84358.6</v>
      </c>
      <c r="T132" s="66">
        <f>IFERROR(__xludf.DUMMYFUNCTION("IF(COUNTA(Q132:Q1644)=0,"""",IF(REGEXMATCH(INDEX(FILTER(Q$4:Q132,Q$4:Q132&lt;&gt;""""),ROWS(FILTER(Q$4:Q132,Q$4:Q132&lt;&gt;""""))),""^Sell_""),INDEX(FILTER(T$4:T131,Q$4:Q131&lt;&gt;""""),ROWS(FILTER(Q$4:Q131,Q$4:Q131&lt;&gt;""""))),$AD$5+S132))"),84368.6)</f>
        <v>84368.6</v>
      </c>
      <c r="U132" s="10">
        <f>IFERROR(__xludf.DUMMYFUNCTION("IF(COUNTA(Q132:Q1644)=0,"""",IF(Q132="""",0,IF(REGEXMATCH(Q132,""^Sell_""),-ROUNDDOWN(ROUNDUP(INDEX(Upgrades!$C$3:$C$13,MATCH(SUBSTITUTE(Q132,""Sell_"",""""),Upgrades!$B$3:$B$13,0))*1.15^(COUNTIF(Q$4:Q131,SUBSTITUTE(Q132,""Sell_"",""""))-COUNTIF(Q$4:Q131,"&amp;"""Sell_""&amp;SUBSTITUTE(Q132,""Sell_"",""""))))/2),ROUNDUP(INDEX(Upgrades!$C$3:$C$13,MATCH(Q132,Upgrades!$B$3:$B$13,0))*1.15^(COUNTIF(Q$4:Q131,Q132)-COUNTIF(Q$4:Q131,""Sell_""&amp;Q132))))))"),7753983.0)</f>
        <v>7753983</v>
      </c>
      <c r="V132" s="10">
        <f t="shared" si="11"/>
        <v>7753983</v>
      </c>
      <c r="W132" s="68">
        <f t="shared" si="12"/>
        <v>4076.117487</v>
      </c>
      <c r="X132" s="59" t="str">
        <f t="shared" si="13"/>
        <v>1h 07m 56s</v>
      </c>
      <c r="Y132" s="69">
        <f t="shared" si="14"/>
        <v>52352769</v>
      </c>
      <c r="Z132" s="11"/>
      <c r="AG132" s="59"/>
    </row>
    <row r="133">
      <c r="A133" s="8"/>
      <c r="B133" s="56">
        <f t="shared" si="2"/>
        <v>9</v>
      </c>
      <c r="C133" s="67" t="s">
        <v>9</v>
      </c>
      <c r="D133" s="10" t="b">
        <f>IFERROR(__xludf.DUMMYFUNCTION("IF(COUNTA(C133:C1644)=0,"""",IF(ISBLANK(C133),FALSE,IF(NOT(COUNTIF($AA$24:$AA$34,SUBSTITUTE(C133,""Sell_"",""""))),1,IF(REGEXMATCH(C133,""Sell_""),IF(COUNTIF(C$4:C133,SUBSTITUTE(C133,""Sell_"",""""))-COUNTIF(C$4:C132,C133)&lt;1,1),FALSE))))"),FALSE)</f>
        <v>0</v>
      </c>
      <c r="E133" s="59">
        <f t="array" ref="E133">IF(COUNTA(C133:C1644)=0,"",SUM((COUNTIF(C$4:C133,Upgrades!$B$3:$B$13)-COUNTIF(C$4:C133,"Sell_"&amp;Upgrades!$B$3:$B$13))*Upgrades!$D$3:$D$13))</f>
        <v>98799.9</v>
      </c>
      <c r="F133" s="66">
        <f>IFERROR(__xludf.DUMMYFUNCTION("IF(COUNTA(C133:C1644)=0,"""",IF(REGEXMATCH(INDEX(FILTER(C$4:C133,C$4:C133&lt;&gt;""""),ROWS(FILTER(C$4:C133,C$4:C133&lt;&gt;""""))),""^Sell_""),INDEX(FILTER(F$4:F132,C$4:C132&lt;&gt;""""),ROWS(FILTER(C$4:C132,C$4:C132&lt;&gt;""""))),$AC$5+E133))"),98809.9)</f>
        <v>98809.9</v>
      </c>
      <c r="G133" s="10">
        <f>IFERROR(__xludf.DUMMYFUNCTION("IF(COUNTA(C133:C1644)=0,"""",IF(C133="""",0,IF(REGEXMATCH(C133,""^Sell_""),-ROUNDDOWN(ROUNDUP(INDEX(Upgrades!$C$3:$C$13,MATCH(SUBSTITUTE(C133,""Sell_"",""""),Upgrades!$B$3:$B$13,0))*1.15^(COUNTIF(C$4:C132,SUBSTITUTE(C133,""Sell_"",""""))-COUNTIF(C$4:C132,"&amp;"""Sell_""&amp;SUBSTITUTE(C133,""Sell_"",""""))))/2),ROUNDUP(INDEX(Upgrades!$C$3:$C$13,MATCH(C133,Upgrades!$B$3:$B$13,0))*1.15^(COUNTIF(C$4:C132,C133)-COUNTIF(C$4:C132,""Sell_""&amp;C133))))))"),611805.0)</f>
        <v>611805</v>
      </c>
      <c r="H133" s="10">
        <f t="shared" si="3"/>
        <v>611805</v>
      </c>
      <c r="I133" s="68">
        <f t="shared" si="4"/>
        <v>4342.105755</v>
      </c>
      <c r="J133" s="59" t="str">
        <f t="shared" si="5"/>
        <v>1h 12m 22s</v>
      </c>
      <c r="K133" s="69">
        <f t="shared" si="6"/>
        <v>72887975</v>
      </c>
      <c r="L133" s="60">
        <f t="shared" si="7"/>
        <v>-34.12279</v>
      </c>
      <c r="M133" s="61">
        <f>IFERROR(__xludf.DUMMYFUNCTION("IFS(AND(COUNTA(C133:C1644)=0,COUNTA(Q133:Q1644)=0),"""",OR(AND(K133&gt;=1000000000,OR(Y133&gt;=1000000000,COUNTA(Q133:Q1644)=0)),OR(Y133&gt;=1000000000,AND(COUNTA(C133:C1644)=0,P$3=TRUE))),
ROUNDDOWN((AB$1-AC$1)*MAX(INDEX(T$4:T1644,MATCH(LARGE(FILTER(Y$4:Y1644,Y$4"&amp;":Y1644&lt;1000000000),1),Y$4:Y1644)),INDEX(F$4:F1644,MATCH(LARGE(FILTER(K$4:K1644,K$4:K1644&lt;1000000000),1),K$4:K1644)))),AND(K133&lt;1000000000,COUNTA(C133:C1644)&gt;0,P$3=FALSE),
ROUNDDOWN(INDEX(Y$4:Y1644,MATCH(LARGE(FILTER(W$4:W1644,W$4:W1644&lt;=I133),1),W$4:W1644"&amp;"))+(I133-LARGE(FILTER(W$4:W1644,W$4:W1644&lt;=I133),1))*INDEX(T$4:T1644,MATCH(LARGE(FILTER(W$4:W1644,W$4:W1644&lt;=I133),1),W$4:W1644))-K133),1,
ROUNDDOWN(Y133-INDEX(K$4:K1644,MATCH(LARGE(FILTER(I$4:I1644,I$4:I1644&lt;=W133),1),I$4:I1644))-(W133-LARGE(FILTER(I$4:I"&amp;"1644,I$4:I1644&lt;=W133),1))*INDEX(F$4:F1644,MATCH(LARGE(FILTER(I$4:I1644,I$4:I1644&lt;=W133),1),I$4:I1644))))"),3367405.0)</f>
        <v>3367405</v>
      </c>
      <c r="N133" s="60">
        <f t="shared" si="8"/>
        <v>-34.12279</v>
      </c>
      <c r="O133" s="61" t="str">
        <f t="shared" si="9"/>
        <v>3,4M</v>
      </c>
      <c r="P133" s="56">
        <f t="shared" si="10"/>
        <v>8</v>
      </c>
      <c r="Q133" s="67" t="s">
        <v>9</v>
      </c>
      <c r="R133" s="10" t="b">
        <f>IFERROR(__xludf.DUMMYFUNCTION("IF(COUNTA(Q133:Q1644)=0,"""",IF(ISBLANK(Q133),FALSE,IF(NOT(COUNTIF($AA$24:$AA$34,SUBSTITUTE(Q133,""Sell_"",""""))),1,IF(REGEXMATCH(Q133,""Sell_""),IF(COUNTIF(Q$4:Q133,SUBSTITUTE(Q133,""Sell_"",""""))-COUNTIF(Q$4:Q132,Q133)&lt;1,1),FALSE))))"),FALSE)</f>
        <v>0</v>
      </c>
      <c r="S133" s="59">
        <f t="array" ref="S133">IF(COUNTA(Q133:Q1644)=0,"",SUM((COUNTIF(Q$4:Q133,Upgrades!$B$3:$B$13)-COUNTIF(Q$4:Q133,"Sell_"&amp;Upgrades!$B$3:$B$13))*Upgrades!$D$3:$D$13))</f>
        <v>84758.6</v>
      </c>
      <c r="T133" s="66">
        <f>IFERROR(__xludf.DUMMYFUNCTION("IF(COUNTA(Q133:Q1644)=0,"""",IF(REGEXMATCH(INDEX(FILTER(Q$4:Q133,Q$4:Q133&lt;&gt;""""),ROWS(FILTER(Q$4:Q133,Q$4:Q133&lt;&gt;""""))),""^Sell_""),INDEX(FILTER(T$4:T132,Q$4:Q132&lt;&gt;""""),ROWS(FILTER(Q$4:Q132,Q$4:Q132&lt;&gt;""""))),$AD$5+S133))"),84768.6)</f>
        <v>84768.6</v>
      </c>
      <c r="U133" s="10">
        <f>IFERROR(__xludf.DUMMYFUNCTION("IF(COUNTA(Q133:Q1644)=0,"""",IF(Q133="""",0,IF(REGEXMATCH(Q133,""^Sell_""),-ROUNDDOWN(ROUNDUP(INDEX(Upgrades!$C$3:$C$13,MATCH(SUBSTITUTE(Q133,""Sell_"",""""),Upgrades!$B$3:$B$13,0))*1.15^(COUNTIF(Q$4:Q132,SUBSTITUTE(Q133,""Sell_"",""""))-COUNTIF(Q$4:Q132,"&amp;"""Sell_""&amp;SUBSTITUTE(Q133,""Sell_"",""""))))/2),ROUNDUP(INDEX(Upgrades!$C$3:$C$13,MATCH(Q133,Upgrades!$B$3:$B$13,0))*1.15^(COUNTIF(Q$4:Q132,Q133)-COUNTIF(Q$4:Q132,""Sell_""&amp;Q133))))))"),532004.0)</f>
        <v>532004</v>
      </c>
      <c r="V133" s="10">
        <f t="shared" si="11"/>
        <v>532004</v>
      </c>
      <c r="W133" s="68">
        <f t="shared" si="12"/>
        <v>4082.423198</v>
      </c>
      <c r="X133" s="59" t="str">
        <f t="shared" si="13"/>
        <v>1h 08m 02s</v>
      </c>
      <c r="Y133" s="69">
        <f t="shared" si="14"/>
        <v>52884773</v>
      </c>
      <c r="Z133" s="11"/>
      <c r="AG133" s="59"/>
    </row>
    <row r="134">
      <c r="A134" s="8"/>
      <c r="B134" s="56">
        <f t="shared" si="2"/>
        <v>15</v>
      </c>
      <c r="C134" s="67" t="s">
        <v>7</v>
      </c>
      <c r="D134" s="10" t="b">
        <f>IFERROR(__xludf.DUMMYFUNCTION("IF(COUNTA(C134:C1644)=0,"""",IF(ISBLANK(C134),FALSE,IF(NOT(COUNTIF($AA$24:$AA$34,SUBSTITUTE(C134,""Sell_"",""""))),1,IF(REGEXMATCH(C134,""Sell_""),IF(COUNTIF(C$4:C134,SUBSTITUTE(C134,""Sell_"",""""))-COUNTIF(C$4:C133,C134)&lt;1,1),FALSE))))"),FALSE)</f>
        <v>0</v>
      </c>
      <c r="E134" s="59">
        <f t="array" ref="E134">IF(COUNTA(C134:C1644)=0,"",SUM((COUNTIF(C$4:C134,Upgrades!$B$3:$B$13)-COUNTIF(C$4:C134,"Sell_"&amp;Upgrades!$B$3:$B$13))*Upgrades!$D$3:$D$13))</f>
        <v>98839.9</v>
      </c>
      <c r="F134" s="66">
        <f>IFERROR(__xludf.DUMMYFUNCTION("IF(COUNTA(C134:C1644)=0,"""",IF(REGEXMATCH(INDEX(FILTER(C$4:C134,C$4:C134&lt;&gt;""""),ROWS(FILTER(C$4:C134,C$4:C134&lt;&gt;""""))),""^Sell_""),INDEX(FILTER(F$4:F133,C$4:C133&lt;&gt;""""),ROWS(FILTER(C$4:C133,C$4:C133&lt;&gt;""""))),$AC$5+E134))"),98849.9)</f>
        <v>98849.9</v>
      </c>
      <c r="G134" s="10">
        <f>IFERROR(__xludf.DUMMYFUNCTION("IF(COUNTA(C134:C1644)=0,"""",IF(C134="""",0,IF(REGEXMATCH(C134,""^Sell_""),-ROUNDDOWN(ROUNDUP(INDEX(Upgrades!$C$3:$C$13,MATCH(SUBSTITUTE(C134,""Sell_"",""""),Upgrades!$B$3:$B$13,0))*1.15^(COUNTIF(C$4:C133,SUBSTITUTE(C134,""Sell_"",""""))-COUNTIF(C$4:C133,"&amp;"""Sell_""&amp;SUBSTITUTE(C134,""Sell_"",""""))))/2),ROUNDUP(INDEX(Upgrades!$C$3:$C$13,MATCH(C134,Upgrades!$B$3:$B$13,0))*1.15^(COUNTIF(C$4:C133,C134)-COUNTIF(C$4:C133,""Sell_""&amp;C134))))))"),70758.0)</f>
        <v>70758</v>
      </c>
      <c r="H134" s="10">
        <f t="shared" si="3"/>
        <v>70758</v>
      </c>
      <c r="I134" s="68">
        <f t="shared" si="4"/>
        <v>4342.821857</v>
      </c>
      <c r="J134" s="59" t="str">
        <f t="shared" si="5"/>
        <v>1h 12m 22s</v>
      </c>
      <c r="K134" s="69">
        <f t="shared" si="6"/>
        <v>72958733</v>
      </c>
      <c r="L134" s="60">
        <f t="shared" si="7"/>
        <v>-34.07098</v>
      </c>
      <c r="M134" s="61">
        <f>IFERROR(__xludf.DUMMYFUNCTION("IFS(AND(COUNTA(C134:C1644)=0,COUNTA(Q134:Q1644)=0),"""",OR(AND(K134&gt;=1000000000,OR(Y134&gt;=1000000000,COUNTA(Q134:Q1644)=0)),OR(Y134&gt;=1000000000,AND(COUNTA(C134:C1644)=0,P$3=TRUE))),
ROUNDDOWN((AB$1-AC$1)*MAX(INDEX(T$4:T1644,MATCH(LARGE(FILTER(Y$4:Y1644,Y$4"&amp;":Y1644&lt;1000000000),1),Y$4:Y1644)),INDEX(F$4:F1644,MATCH(LARGE(FILTER(K$4:K1644,K$4:K1644&lt;1000000000),1),K$4:K1644)))),AND(K134&lt;1000000000,COUNTA(C134:C1644)&gt;0,P$3=FALSE),
ROUNDDOWN(INDEX(Y$4:Y1644,MATCH(LARGE(FILTER(W$4:W1644,W$4:W1644&lt;=I134),1),W$4:W1644"&amp;"))+(I134-LARGE(FILTER(W$4:W1644,W$4:W1644&lt;=I134),1))*INDEX(T$4:T1644,MATCH(LARGE(FILTER(W$4:W1644,W$4:W1644&lt;=I134),1),W$4:W1644))-K134),1,
ROUNDDOWN(Y134-INDEX(K$4:K1644,MATCH(LARGE(FILTER(I$4:I1644,I$4:I1644&lt;=W134),1),I$4:I1644))-(W134-LARGE(FILTER(I$4:I"&amp;"1644,I$4:I1644&lt;=W134),1))*INDEX(F$4:F1644,MATCH(LARGE(FILTER(I$4:I1644,I$4:I1644&lt;=W134),1),I$4:I1644))))"),3367802.0)</f>
        <v>3367802</v>
      </c>
      <c r="N134" s="60">
        <f t="shared" si="8"/>
        <v>-34.07098</v>
      </c>
      <c r="O134" s="61" t="str">
        <f t="shared" si="9"/>
        <v>3,4M</v>
      </c>
      <c r="P134" s="56">
        <f t="shared" si="10"/>
        <v>13</v>
      </c>
      <c r="Q134" s="67" t="s">
        <v>7</v>
      </c>
      <c r="R134" s="10" t="b">
        <f>IFERROR(__xludf.DUMMYFUNCTION("IF(COUNTA(Q134:Q1644)=0,"""",IF(ISBLANK(Q134),FALSE,IF(NOT(COUNTIF($AA$24:$AA$34,SUBSTITUTE(Q134,""Sell_"",""""))),1,IF(REGEXMATCH(Q134,""Sell_""),IF(COUNTIF(Q$4:Q134,SUBSTITUTE(Q134,""Sell_"",""""))-COUNTIF(Q$4:Q133,Q134)&lt;1,1),FALSE))))"),FALSE)</f>
        <v>0</v>
      </c>
      <c r="S134" s="59">
        <f t="array" ref="S134">IF(COUNTA(Q134:Q1644)=0,"",SUM((COUNTIF(Q$4:Q134,Upgrades!$B$3:$B$13)-COUNTIF(Q$4:Q134,"Sell_"&amp;Upgrades!$B$3:$B$13))*Upgrades!$D$3:$D$13))</f>
        <v>84798.6</v>
      </c>
      <c r="T134" s="66">
        <f>IFERROR(__xludf.DUMMYFUNCTION("IF(COUNTA(Q134:Q1644)=0,"""",IF(REGEXMATCH(INDEX(FILTER(Q$4:Q134,Q$4:Q134&lt;&gt;""""),ROWS(FILTER(Q$4:Q134,Q$4:Q134&lt;&gt;""""))),""^Sell_""),INDEX(FILTER(T$4:T133,Q$4:Q133&lt;&gt;""""),ROWS(FILTER(Q$4:Q133,Q$4:Q133&lt;&gt;""""))),$AD$5+S134))"),84808.6)</f>
        <v>84808.6</v>
      </c>
      <c r="U134" s="10">
        <f>IFERROR(__xludf.DUMMYFUNCTION("IF(COUNTA(Q134:Q1644)=0,"""",IF(Q134="""",0,IF(REGEXMATCH(Q134,""^Sell_""),-ROUNDDOWN(ROUNDUP(INDEX(Upgrades!$C$3:$C$13,MATCH(SUBSTITUTE(Q134,""Sell_"",""""),Upgrades!$B$3:$B$13,0))*1.15^(COUNTIF(Q$4:Q133,SUBSTITUTE(Q134,""Sell_"",""""))-COUNTIF(Q$4:Q133,"&amp;"""Sell_""&amp;SUBSTITUTE(Q134,""Sell_"",""""))))/2),ROUNDUP(INDEX(Upgrades!$C$3:$C$13,MATCH(Q134,Upgrades!$B$3:$B$13,0))*1.15^(COUNTIF(Q$4:Q133,Q134)-COUNTIF(Q$4:Q133,""Sell_""&amp;Q134))))))"),53503.0)</f>
        <v>53503</v>
      </c>
      <c r="V134" s="10">
        <f t="shared" si="11"/>
        <v>53503</v>
      </c>
      <c r="W134" s="68">
        <f t="shared" si="12"/>
        <v>4083.054363</v>
      </c>
      <c r="X134" s="59" t="str">
        <f t="shared" si="13"/>
        <v>1h 08m 03s</v>
      </c>
      <c r="Y134" s="69">
        <f t="shared" si="14"/>
        <v>52938276</v>
      </c>
      <c r="Z134" s="11"/>
      <c r="AG134" s="59"/>
    </row>
    <row r="135">
      <c r="A135" s="8"/>
      <c r="B135" s="56">
        <f t="shared" si="2"/>
        <v>20</v>
      </c>
      <c r="C135" s="67" t="s">
        <v>5</v>
      </c>
      <c r="D135" s="10" t="b">
        <f>IFERROR(__xludf.DUMMYFUNCTION("IF(COUNTA(C135:C1644)=0,"""",IF(ISBLANK(C135),FALSE,IF(NOT(COUNTIF($AA$24:$AA$34,SUBSTITUTE(C135,""Sell_"",""""))),1,IF(REGEXMATCH(C135,""Sell_""),IF(COUNTIF(C$4:C135,SUBSTITUTE(C135,""Sell_"",""""))-COUNTIF(C$4:C134,C135)&lt;1,1),FALSE))))"),FALSE)</f>
        <v>0</v>
      </c>
      <c r="E135" s="59">
        <f t="array" ref="E135">IF(COUNTA(C135:C1644)=0,"",SUM((COUNTIF(C$4:C135,Upgrades!$B$3:$B$13)-COUNTIF(C$4:C135,"Sell_"&amp;Upgrades!$B$3:$B$13))*Upgrades!$D$3:$D$13))</f>
        <v>98843.9</v>
      </c>
      <c r="F135" s="66">
        <f>IFERROR(__xludf.DUMMYFUNCTION("IF(COUNTA(C135:C1644)=0,"""",IF(REGEXMATCH(INDEX(FILTER(C$4:C135,C$4:C135&lt;&gt;""""),ROWS(FILTER(C$4:C135,C$4:C135&lt;&gt;""""))),""^Sell_""),INDEX(FILTER(F$4:F134,C$4:C134&lt;&gt;""""),ROWS(FILTER(C$4:C134,C$4:C134&lt;&gt;""""))),$AC$5+E135))"),98853.9)</f>
        <v>98853.9</v>
      </c>
      <c r="G135" s="10">
        <f>IFERROR(__xludf.DUMMYFUNCTION("IF(COUNTA(C135:C1644)=0,"""",IF(C135="""",0,IF(REGEXMATCH(C135,""^Sell_""),-ROUNDDOWN(ROUNDUP(INDEX(Upgrades!$C$3:$C$13,MATCH(SUBSTITUTE(C135,""Sell_"",""""),Upgrades!$B$3:$B$13,0))*1.15^(COUNTIF(C$4:C134,SUBSTITUTE(C135,""Sell_"",""""))-COUNTIF(C$4:C134,"&amp;"""Sell_""&amp;SUBSTITUTE(C135,""Sell_"",""""))))/2),ROUNDUP(INDEX(Upgrades!$C$3:$C$13,MATCH(C135,Upgrades!$B$3:$B$13,0))*1.15^(COUNTIF(C$4:C134,C135)-COUNTIF(C$4:C134,""Sell_""&amp;C135))))))"),7116.0)</f>
        <v>7116</v>
      </c>
      <c r="H135" s="10">
        <f t="shared" si="3"/>
        <v>7116</v>
      </c>
      <c r="I135" s="68">
        <f t="shared" si="4"/>
        <v>4342.893845</v>
      </c>
      <c r="J135" s="59" t="str">
        <f t="shared" si="5"/>
        <v>1h 12m 22s</v>
      </c>
      <c r="K135" s="69">
        <f t="shared" si="6"/>
        <v>72965849</v>
      </c>
      <c r="L135" s="60">
        <f t="shared" si="7"/>
        <v>-34.06574</v>
      </c>
      <c r="M135" s="61">
        <f>IFERROR(__xludf.DUMMYFUNCTION("IFS(AND(COUNTA(C135:C1644)=0,COUNTA(Q135:Q1644)=0),"""",OR(AND(K135&gt;=1000000000,OR(Y135&gt;=1000000000,COUNTA(Q135:Q1644)=0)),OR(Y135&gt;=1000000000,AND(COUNTA(C135:C1644)=0,P$3=TRUE))),
ROUNDDOWN((AB$1-AC$1)*MAX(INDEX(T$4:T1644,MATCH(LARGE(FILTER(Y$4:Y1644,Y$4"&amp;":Y1644&lt;1000000000),1),Y$4:Y1644)),INDEX(F$4:F1644,MATCH(LARGE(FILTER(K$4:K1644,K$4:K1644&lt;1000000000),1),K$4:K1644)))),AND(K135&lt;1000000000,COUNTA(C135:C1644)&gt;0,P$3=FALSE),
ROUNDDOWN(INDEX(Y$4:Y1644,MATCH(LARGE(FILTER(W$4:W1644,W$4:W1644&lt;=I135),1),W$4:W1644"&amp;"))+(I135-LARGE(FILTER(W$4:W1644,W$4:W1644&lt;=I135),1))*INDEX(T$4:T1644,MATCH(LARGE(FILTER(W$4:W1644,W$4:W1644&lt;=I135),1),W$4:W1644))-K135),1,
ROUNDDOWN(Y135-INDEX(K$4:K1644,MATCH(LARGE(FILTER(I$4:I1644,I$4:I1644&lt;=W135),1),I$4:I1644))-(W135-LARGE(FILTER(I$4:I"&amp;"1644,I$4:I1644&lt;=W135),1))*INDEX(F$4:F1644,MATCH(LARGE(FILTER(I$4:I1644,I$4:I1644&lt;=W135),1),I$4:I1644))))"),3367839.0)</f>
        <v>3367839</v>
      </c>
      <c r="N135" s="60">
        <f t="shared" si="8"/>
        <v>-34.06574</v>
      </c>
      <c r="O135" s="61" t="str">
        <f t="shared" si="9"/>
        <v>3,4M</v>
      </c>
      <c r="P135" s="56">
        <f t="shared" si="10"/>
        <v>18</v>
      </c>
      <c r="Q135" s="67" t="s">
        <v>5</v>
      </c>
      <c r="R135" s="10" t="b">
        <f>IFERROR(__xludf.DUMMYFUNCTION("IF(COUNTA(Q135:Q1644)=0,"""",IF(ISBLANK(Q135),FALSE,IF(NOT(COUNTIF($AA$24:$AA$34,SUBSTITUTE(Q135,""Sell_"",""""))),1,IF(REGEXMATCH(Q135,""Sell_""),IF(COUNTIF(Q$4:Q135,SUBSTITUTE(Q135,""Sell_"",""""))-COUNTIF(Q$4:Q134,Q135)&lt;1,1),FALSE))))"),FALSE)</f>
        <v>0</v>
      </c>
      <c r="S135" s="59">
        <f t="array" ref="S135">IF(COUNTA(Q135:Q1644)=0,"",SUM((COUNTIF(Q$4:Q135,Upgrades!$B$3:$B$13)-COUNTIF(Q$4:Q135,"Sell_"&amp;Upgrades!$B$3:$B$13))*Upgrades!$D$3:$D$13))</f>
        <v>84802.6</v>
      </c>
      <c r="T135" s="66">
        <f>IFERROR(__xludf.DUMMYFUNCTION("IF(COUNTA(Q135:Q1644)=0,"""",IF(REGEXMATCH(INDEX(FILTER(Q$4:Q135,Q$4:Q135&lt;&gt;""""),ROWS(FILTER(Q$4:Q135,Q$4:Q135&lt;&gt;""""))),""^Sell_""),INDEX(FILTER(T$4:T134,Q$4:Q134&lt;&gt;""""),ROWS(FILTER(Q$4:Q134,Q$4:Q134&lt;&gt;""""))),$AD$5+S135))"),84812.6)</f>
        <v>84812.6</v>
      </c>
      <c r="U135" s="10">
        <f>IFERROR(__xludf.DUMMYFUNCTION("IF(COUNTA(Q135:Q1644)=0,"""",IF(Q135="""",0,IF(REGEXMATCH(Q135,""^Sell_""),-ROUNDDOWN(ROUNDUP(INDEX(Upgrades!$C$3:$C$13,MATCH(SUBSTITUTE(Q135,""Sell_"",""""),Upgrades!$B$3:$B$13,0))*1.15^(COUNTIF(Q$4:Q134,SUBSTITUTE(Q135,""Sell_"",""""))-COUNTIF(Q$4:Q134,"&amp;"""Sell_""&amp;SUBSTITUTE(Q135,""Sell_"",""""))))/2),ROUNDUP(INDEX(Upgrades!$C$3:$C$13,MATCH(Q135,Upgrades!$B$3:$B$13,0))*1.15^(COUNTIF(Q$4:Q134,Q135)-COUNTIF(Q$4:Q134,""Sell_""&amp;Q135))))))"),5381.0)</f>
        <v>5381</v>
      </c>
      <c r="V135" s="10">
        <f t="shared" si="11"/>
        <v>5381</v>
      </c>
      <c r="W135" s="68">
        <f t="shared" si="12"/>
        <v>4083.117812</v>
      </c>
      <c r="X135" s="59" t="str">
        <f t="shared" si="13"/>
        <v>1h 08m 03s</v>
      </c>
      <c r="Y135" s="69">
        <f t="shared" si="14"/>
        <v>52943657</v>
      </c>
      <c r="Z135" s="11"/>
      <c r="AG135" s="59"/>
    </row>
    <row r="136">
      <c r="A136" s="8"/>
      <c r="B136" s="56">
        <f t="shared" si="2"/>
        <v>14</v>
      </c>
      <c r="C136" s="67" t="s">
        <v>6</v>
      </c>
      <c r="D136" s="10" t="b">
        <f>IFERROR(__xludf.DUMMYFUNCTION("IF(COUNTA(C136:C1644)=0,"""",IF(ISBLANK(C136),FALSE,IF(NOT(COUNTIF($AA$24:$AA$34,SUBSTITUTE(C136,""Sell_"",""""))),1,IF(REGEXMATCH(C136,""Sell_""),IF(COUNTIF(C$4:C136,SUBSTITUTE(C136,""Sell_"",""""))-COUNTIF(C$4:C135,C136)&lt;1,1),FALSE))))"),FALSE)</f>
        <v>0</v>
      </c>
      <c r="E136" s="59">
        <f t="array" ref="E136">IF(COUNTA(C136:C1644)=0,"",SUM((COUNTIF(C$4:C136,Upgrades!$B$3:$B$13)-COUNTIF(C$4:C136,"Sell_"&amp;Upgrades!$B$3:$B$13))*Upgrades!$D$3:$D$13))</f>
        <v>98853.9</v>
      </c>
      <c r="F136" s="66">
        <f>IFERROR(__xludf.DUMMYFUNCTION("IF(COUNTA(C136:C1644)=0,"""",IF(REGEXMATCH(INDEX(FILTER(C$4:C136,C$4:C136&lt;&gt;""""),ROWS(FILTER(C$4:C136,C$4:C136&lt;&gt;""""))),""^Sell_""),INDEX(FILTER(F$4:F135,C$4:C135&lt;&gt;""""),ROWS(FILTER(C$4:C135,C$4:C135&lt;&gt;""""))),$AC$5+E136))"),98863.9)</f>
        <v>98863.9</v>
      </c>
      <c r="G136" s="10">
        <f>IFERROR(__xludf.DUMMYFUNCTION("IF(COUNTA(C136:C1644)=0,"""",IF(C136="""",0,IF(REGEXMATCH(C136,""^Sell_""),-ROUNDDOWN(ROUNDUP(INDEX(Upgrades!$C$3:$C$13,MATCH(SUBSTITUTE(C136,""Sell_"",""""),Upgrades!$B$3:$B$13,0))*1.15^(COUNTIF(C$4:C135,SUBSTITUTE(C136,""Sell_"",""""))-COUNTIF(C$4:C135,"&amp;"""Sell_""&amp;SUBSTITUTE(C136,""Sell_"",""""))))/2),ROUNDUP(INDEX(Upgrades!$C$3:$C$13,MATCH(C136,Upgrades!$B$3:$B$13,0))*1.15^(COUNTIF(C$4:C135,C136)-COUNTIF(C$4:C135,""Sell_""&amp;C136))))))"),18459.0)</f>
        <v>18459</v>
      </c>
      <c r="H136" s="10">
        <f t="shared" si="3"/>
        <v>18459</v>
      </c>
      <c r="I136" s="68">
        <f t="shared" si="4"/>
        <v>4343.080575</v>
      </c>
      <c r="J136" s="59" t="str">
        <f t="shared" si="5"/>
        <v>1h 12m 23s</v>
      </c>
      <c r="K136" s="69">
        <f t="shared" si="6"/>
        <v>72984308</v>
      </c>
      <c r="L136" s="60">
        <f t="shared" si="7"/>
        <v>-34.05214</v>
      </c>
      <c r="M136" s="61">
        <f>IFERROR(__xludf.DUMMYFUNCTION("IFS(AND(COUNTA(C136:C1644)=0,COUNTA(Q136:Q1644)=0),"""",OR(AND(K136&gt;=1000000000,OR(Y136&gt;=1000000000,COUNTA(Q136:Q1644)=0)),OR(Y136&gt;=1000000000,AND(COUNTA(C136:C1644)=0,P$3=TRUE))),
ROUNDDOWN((AB$1-AC$1)*MAX(INDEX(T$4:T1644,MATCH(LARGE(FILTER(Y$4:Y1644,Y$4"&amp;":Y1644&lt;1000000000),1),Y$4:Y1644)),INDEX(F$4:F1644,MATCH(LARGE(FILTER(K$4:K1644,K$4:K1644&lt;1000000000),1),K$4:K1644)))),AND(K136&lt;1000000000,COUNTA(C136:C1644)&gt;0,P$3=FALSE),
ROUNDDOWN(INDEX(Y$4:Y1644,MATCH(LARGE(FILTER(W$4:W1644,W$4:W1644&lt;=I136),1),W$4:W1644"&amp;"))+(I136-LARGE(FILTER(W$4:W1644,W$4:W1644&lt;=I136),1))*INDEX(T$4:T1644,MATCH(LARGE(FILTER(W$4:W1644,W$4:W1644&lt;=I136),1),W$4:W1644))-K136),1,
ROUNDDOWN(Y136-INDEX(K$4:K1644,MATCH(LARGE(FILTER(I$4:I1644,I$4:I1644&lt;=W136),1),I$4:I1644))-(W136-LARGE(FILTER(I$4:I"&amp;"1644,I$4:I1644&lt;=W136),1))*INDEX(F$4:F1644,MATCH(LARGE(FILTER(I$4:I1644,I$4:I1644&lt;=W136),1),I$4:I1644))))"),3367934.0)</f>
        <v>3367934</v>
      </c>
      <c r="N136" s="60">
        <f t="shared" si="8"/>
        <v>-34.05214</v>
      </c>
      <c r="O136" s="61" t="str">
        <f t="shared" si="9"/>
        <v>3,4M</v>
      </c>
      <c r="P136" s="56">
        <f t="shared" si="10"/>
        <v>12</v>
      </c>
      <c r="Q136" s="67" t="s">
        <v>6</v>
      </c>
      <c r="R136" s="10" t="b">
        <f>IFERROR(__xludf.DUMMYFUNCTION("IF(COUNTA(Q136:Q1644)=0,"""",IF(ISBLANK(Q136),FALSE,IF(NOT(COUNTIF($AA$24:$AA$34,SUBSTITUTE(Q136,""Sell_"",""""))),1,IF(REGEXMATCH(Q136,""Sell_""),IF(COUNTIF(Q$4:Q136,SUBSTITUTE(Q136,""Sell_"",""""))-COUNTIF(Q$4:Q135,Q136)&lt;1,1),FALSE))))"),FALSE)</f>
        <v>0</v>
      </c>
      <c r="S136" s="59">
        <f t="array" ref="S136">IF(COUNTA(Q136:Q1644)=0,"",SUM((COUNTIF(Q$4:Q136,Upgrades!$B$3:$B$13)-COUNTIF(Q$4:Q136,"Sell_"&amp;Upgrades!$B$3:$B$13))*Upgrades!$D$3:$D$13))</f>
        <v>84812.6</v>
      </c>
      <c r="T136" s="66">
        <f>IFERROR(__xludf.DUMMYFUNCTION("IF(COUNTA(Q136:Q1644)=0,"""",IF(REGEXMATCH(INDEX(FILTER(Q$4:Q136,Q$4:Q136&lt;&gt;""""),ROWS(FILTER(Q$4:Q136,Q$4:Q136&lt;&gt;""""))),""^Sell_""),INDEX(FILTER(T$4:T135,Q$4:Q135&lt;&gt;""""),ROWS(FILTER(Q$4:Q135,Q$4:Q135&lt;&gt;""""))),$AD$5+S136))"),84822.6)</f>
        <v>84822.6</v>
      </c>
      <c r="U136" s="10">
        <f>IFERROR(__xludf.DUMMYFUNCTION("IF(COUNTA(Q136:Q1644)=0,"""",IF(Q136="""",0,IF(REGEXMATCH(Q136,""^Sell_""),-ROUNDDOWN(ROUNDUP(INDEX(Upgrades!$C$3:$C$13,MATCH(SUBSTITUTE(Q136,""Sell_"",""""),Upgrades!$B$3:$B$13,0))*1.15^(COUNTIF(Q$4:Q135,SUBSTITUTE(Q136,""Sell_"",""""))-COUNTIF(Q$4:Q135,"&amp;"""Sell_""&amp;SUBSTITUTE(Q136,""Sell_"",""""))))/2),ROUNDUP(INDEX(Upgrades!$C$3:$C$13,MATCH(Q136,Upgrades!$B$3:$B$13,0))*1.15^(COUNTIF(Q$4:Q135,Q136)-COUNTIF(Q$4:Q135,""Sell_""&amp;Q136))))))"),13958.0)</f>
        <v>13958</v>
      </c>
      <c r="V136" s="10">
        <f t="shared" si="11"/>
        <v>13958</v>
      </c>
      <c r="W136" s="68">
        <f t="shared" si="12"/>
        <v>4083.282387</v>
      </c>
      <c r="X136" s="59" t="str">
        <f t="shared" si="13"/>
        <v>1h 08m 03s</v>
      </c>
      <c r="Y136" s="69">
        <f t="shared" si="14"/>
        <v>52957615</v>
      </c>
      <c r="Z136" s="11"/>
      <c r="AG136" s="59"/>
    </row>
    <row r="137">
      <c r="A137" s="8"/>
      <c r="B137" s="56">
        <f t="shared" si="2"/>
        <v>20</v>
      </c>
      <c r="C137" s="67" t="s">
        <v>3</v>
      </c>
      <c r="D137" s="10" t="b">
        <f>IFERROR(__xludf.DUMMYFUNCTION("IF(COUNTA(C137:C1644)=0,"""",IF(ISBLANK(C137),FALSE,IF(NOT(COUNTIF($AA$24:$AA$34,SUBSTITUTE(C137,""Sell_"",""""))),1,IF(REGEXMATCH(C137,""Sell_""),IF(COUNTIF(C$4:C137,SUBSTITUTE(C137,""Sell_"",""""))-COUNTIF(C$4:C136,C137)&lt;1,1),FALSE))))"),FALSE)</f>
        <v>0</v>
      </c>
      <c r="E137" s="59">
        <f t="array" ref="E137">IF(COUNTA(C137:C1644)=0,"",SUM((COUNTIF(C$4:C137,Upgrades!$B$3:$B$13)-COUNTIF(C$4:C137,"Sell_"&amp;Upgrades!$B$3:$B$13))*Upgrades!$D$3:$D$13))</f>
        <v>98854</v>
      </c>
      <c r="F137" s="66">
        <f>IFERROR(__xludf.DUMMYFUNCTION("IF(COUNTA(C137:C1644)=0,"""",IF(REGEXMATCH(INDEX(FILTER(C$4:C137,C$4:C137&lt;&gt;""""),ROWS(FILTER(C$4:C137,C$4:C137&lt;&gt;""""))),""^Sell_""),INDEX(FILTER(F$4:F136,C$4:C136&lt;&gt;""""),ROWS(FILTER(C$4:C136,C$4:C136&lt;&gt;""""))),$AC$5+E137))"),98864.0)</f>
        <v>98864</v>
      </c>
      <c r="G137" s="10">
        <f>IFERROR(__xludf.DUMMYFUNCTION("IF(COUNTA(C137:C1644)=0,"""",IF(C137="""",0,IF(REGEXMATCH(C137,""^Sell_""),-ROUNDDOWN(ROUNDUP(INDEX(Upgrades!$C$3:$C$13,MATCH(SUBSTITUTE(C137,""Sell_"",""""),Upgrades!$B$3:$B$13,0))*1.15^(COUNTIF(C$4:C136,SUBSTITUTE(C137,""Sell_"",""""))-COUNTIF(C$4:C136,"&amp;"""Sell_""&amp;SUBSTITUTE(C137,""Sell_"",""""))))/2),ROUNDUP(INDEX(Upgrades!$C$3:$C$13,MATCH(C137,Upgrades!$B$3:$B$13,0))*1.15^(COUNTIF(C$4:C136,C137)-COUNTIF(C$4:C136,""Sell_""&amp;C137))))))"),214.0)</f>
        <v>214</v>
      </c>
      <c r="H137" s="10">
        <f t="shared" si="3"/>
        <v>214</v>
      </c>
      <c r="I137" s="68">
        <f t="shared" si="4"/>
        <v>4343.08274</v>
      </c>
      <c r="J137" s="59" t="str">
        <f t="shared" si="5"/>
        <v>1h 12m 23s</v>
      </c>
      <c r="K137" s="69">
        <f t="shared" si="6"/>
        <v>72984522</v>
      </c>
      <c r="L137" s="60">
        <f t="shared" si="7"/>
        <v>-34.05199</v>
      </c>
      <c r="M137" s="61">
        <f>IFERROR(__xludf.DUMMYFUNCTION("IFS(AND(COUNTA(C137:C1644)=0,COUNTA(Q137:Q1644)=0),"""",OR(AND(K137&gt;=1000000000,OR(Y137&gt;=1000000000,COUNTA(Q137:Q1644)=0)),OR(Y137&gt;=1000000000,AND(COUNTA(C137:C1644)=0,P$3=TRUE))),
ROUNDDOWN((AB$1-AC$1)*MAX(INDEX(T$4:T1644,MATCH(LARGE(FILTER(Y$4:Y1644,Y$4"&amp;":Y1644&lt;1000000000),1),Y$4:Y1644)),INDEX(F$4:F1644,MATCH(LARGE(FILTER(K$4:K1644,K$4:K1644&lt;1000000000),1),K$4:K1644)))),AND(K137&lt;1000000000,COUNTA(C137:C1644)&gt;0,P$3=FALSE),
ROUNDDOWN(INDEX(Y$4:Y1644,MATCH(LARGE(FILTER(W$4:W1644,W$4:W1644&lt;=I137),1),W$4:W1644"&amp;"))+(I137-LARGE(FILTER(W$4:W1644,W$4:W1644&lt;=I137),1))*INDEX(T$4:T1644,MATCH(LARGE(FILTER(W$4:W1644,W$4:W1644&lt;=I137),1),W$4:W1644))-K137),1,
ROUNDDOWN(Y137-INDEX(K$4:K1644,MATCH(LARGE(FILTER(I$4:I1644,I$4:I1644&lt;=W137),1),I$4:I1644))-(W137-LARGE(FILTER(I$4:I"&amp;"1644,I$4:I1644&lt;=W137),1))*INDEX(F$4:F1644,MATCH(LARGE(FILTER(I$4:I1644,I$4:I1644&lt;=W137),1),I$4:I1644))))"),3367936.0)</f>
        <v>3367936</v>
      </c>
      <c r="N137" s="60">
        <f t="shared" si="8"/>
        <v>-34.05199</v>
      </c>
      <c r="O137" s="61" t="str">
        <f t="shared" si="9"/>
        <v>3,4M</v>
      </c>
      <c r="P137" s="56">
        <f t="shared" si="10"/>
        <v>10</v>
      </c>
      <c r="Q137" s="67" t="s">
        <v>8</v>
      </c>
      <c r="R137" s="10" t="b">
        <f>IFERROR(__xludf.DUMMYFUNCTION("IF(COUNTA(Q137:Q1644)=0,"""",IF(ISBLANK(Q137),FALSE,IF(NOT(COUNTIF($AA$24:$AA$34,SUBSTITUTE(Q137,""Sell_"",""""))),1,IF(REGEXMATCH(Q137,""Sell_""),IF(COUNTIF(Q$4:Q137,SUBSTITUTE(Q137,""Sell_"",""""))-COUNTIF(Q$4:Q136,Q137)&lt;1,1),FALSE))))"),FALSE)</f>
        <v>0</v>
      </c>
      <c r="S137" s="59">
        <f t="array" ref="S137">IF(COUNTA(Q137:Q1644)=0,"",SUM((COUNTIF(Q$4:Q137,Upgrades!$B$3:$B$13)-COUNTIF(Q$4:Q137,"Sell_"&amp;Upgrades!$B$3:$B$13))*Upgrades!$D$3:$D$13))</f>
        <v>84912.6</v>
      </c>
      <c r="T137" s="66">
        <f>IFERROR(__xludf.DUMMYFUNCTION("IF(COUNTA(Q137:Q1644)=0,"""",IF(REGEXMATCH(INDEX(FILTER(Q$4:Q137,Q$4:Q137&lt;&gt;""""),ROWS(FILTER(Q$4:Q137,Q$4:Q137&lt;&gt;""""))),""^Sell_""),INDEX(FILTER(T$4:T136,Q$4:Q136&lt;&gt;""""),ROWS(FILTER(Q$4:Q136,Q$4:Q136&lt;&gt;""""))),$AD$5+S137))"),84922.6)</f>
        <v>84922.6</v>
      </c>
      <c r="U137" s="10">
        <f>IFERROR(__xludf.DUMMYFUNCTION("IF(COUNTA(Q137:Q1644)=0,"""",IF(Q137="""",0,IF(REGEXMATCH(Q137,""^Sell_""),-ROUNDDOWN(ROUNDUP(INDEX(Upgrades!$C$3:$C$13,MATCH(SUBSTITUTE(Q137,""Sell_"",""""),Upgrades!$B$3:$B$13,0))*1.15^(COUNTIF(Q$4:Q136,SUBSTITUTE(Q137,""Sell_"",""""))-COUNTIF(Q$4:Q136,"&amp;"""Sell_""&amp;SUBSTITUTE(Q137,""Sell_"",""""))))/2),ROUNDUP(INDEX(Upgrades!$C$3:$C$13,MATCH(Q137,Upgrades!$B$3:$B$13,0))*1.15^(COUNTIF(Q$4:Q136,Q137)-COUNTIF(Q$4:Q136,""Sell_""&amp;Q137))))))"),140716.0)</f>
        <v>140716</v>
      </c>
      <c r="V137" s="10">
        <f t="shared" si="11"/>
        <v>140716</v>
      </c>
      <c r="W137" s="68">
        <f t="shared" si="12"/>
        <v>4084.941331</v>
      </c>
      <c r="X137" s="59" t="str">
        <f t="shared" si="13"/>
        <v>1h 08m 04s</v>
      </c>
      <c r="Y137" s="69">
        <f t="shared" si="14"/>
        <v>53098331</v>
      </c>
      <c r="Z137" s="11"/>
      <c r="AG137" s="59"/>
    </row>
    <row r="138">
      <c r="A138" s="8"/>
      <c r="B138" s="56">
        <f t="shared" si="2"/>
        <v>12</v>
      </c>
      <c r="C138" s="67" t="s">
        <v>8</v>
      </c>
      <c r="D138" s="10" t="b">
        <f>IFERROR(__xludf.DUMMYFUNCTION("IF(COUNTA(C138:C1644)=0,"""",IF(ISBLANK(C138),FALSE,IF(NOT(COUNTIF($AA$24:$AA$34,SUBSTITUTE(C138,""Sell_"",""""))),1,IF(REGEXMATCH(C138,""Sell_""),IF(COUNTIF(C$4:C138,SUBSTITUTE(C138,""Sell_"",""""))-COUNTIF(C$4:C137,C138)&lt;1,1),FALSE))))"),FALSE)</f>
        <v>0</v>
      </c>
      <c r="E138" s="59">
        <f t="array" ref="E138">IF(COUNTA(C138:C1644)=0,"",SUM((COUNTIF(C$4:C138,Upgrades!$B$3:$B$13)-COUNTIF(C$4:C138,"Sell_"&amp;Upgrades!$B$3:$B$13))*Upgrades!$D$3:$D$13))</f>
        <v>98954</v>
      </c>
      <c r="F138" s="66">
        <f>IFERROR(__xludf.DUMMYFUNCTION("IF(COUNTA(C138:C1644)=0,"""",IF(REGEXMATCH(INDEX(FILTER(C$4:C138,C$4:C138&lt;&gt;""""),ROWS(FILTER(C$4:C138,C$4:C138&lt;&gt;""""))),""^Sell_""),INDEX(FILTER(F$4:F137,C$4:C137&lt;&gt;""""),ROWS(FILTER(C$4:C137,C$4:C137&lt;&gt;""""))),$AC$5+E138))"),98964.0)</f>
        <v>98964</v>
      </c>
      <c r="G138" s="10">
        <f>IFERROR(__xludf.DUMMYFUNCTION("IF(COUNTA(C138:C1644)=0,"""",IF(C138="""",0,IF(REGEXMATCH(C138,""^Sell_""),-ROUNDDOWN(ROUNDUP(INDEX(Upgrades!$C$3:$C$13,MATCH(SUBSTITUTE(C138,""Sell_"",""""),Upgrades!$B$3:$B$13,0))*1.15^(COUNTIF(C$4:C137,SUBSTITUTE(C138,""Sell_"",""""))-COUNTIF(C$4:C137,"&amp;"""Sell_""&amp;SUBSTITUTE(C138,""Sell_"",""""))))/2),ROUNDUP(INDEX(Upgrades!$C$3:$C$13,MATCH(C138,Upgrades!$B$3:$B$13,0))*1.15^(COUNTIF(C$4:C137,C138)-COUNTIF(C$4:C137,""Sell_""&amp;C138))))))"),186096.0)</f>
        <v>186096</v>
      </c>
      <c r="H138" s="10">
        <f t="shared" si="3"/>
        <v>186096</v>
      </c>
      <c r="I138" s="68">
        <f t="shared" si="4"/>
        <v>4344.965083</v>
      </c>
      <c r="J138" s="59" t="str">
        <f t="shared" si="5"/>
        <v>1h 12m 24s</v>
      </c>
      <c r="K138" s="69">
        <f t="shared" si="6"/>
        <v>73170618</v>
      </c>
      <c r="L138" s="60">
        <f t="shared" si="7"/>
        <v>-33.94498</v>
      </c>
      <c r="M138" s="61">
        <f>IFERROR(__xludf.DUMMYFUNCTION("IFS(AND(COUNTA(C138:C1644)=0,COUNTA(Q138:Q1644)=0),"""",OR(AND(K138&gt;=1000000000,OR(Y138&gt;=1000000000,COUNTA(Q138:Q1644)=0)),OR(Y138&gt;=1000000000,AND(COUNTA(C138:C1644)=0,P$3=TRUE))),
ROUNDDOWN((AB$1-AC$1)*MAX(INDEX(T$4:T1644,MATCH(LARGE(FILTER(Y$4:Y1644,Y$4"&amp;":Y1644&lt;1000000000),1),Y$4:Y1644)),INDEX(F$4:F1644,MATCH(LARGE(FILTER(K$4:K1644,K$4:K1644&lt;1000000000),1),K$4:K1644)))),AND(K138&lt;1000000000,COUNTA(C138:C1644)&gt;0,P$3=FALSE),
ROUNDDOWN(INDEX(Y$4:Y1644,MATCH(LARGE(FILTER(W$4:W1644,W$4:W1644&lt;=I138),1),W$4:W1644"&amp;"))+(I138-LARGE(FILTER(W$4:W1644,W$4:W1644&lt;=I138),1))*INDEX(T$4:T1644,MATCH(LARGE(FILTER(W$4:W1644,W$4:W1644&lt;=I138),1),W$4:W1644))-K138),1,
ROUNDDOWN(Y138-INDEX(K$4:K1644,MATCH(LARGE(FILTER(I$4:I1644,I$4:I1644&lt;=W138),1),I$4:I1644))-(W138-LARGE(FILTER(I$4:I"&amp;"1644,I$4:I1644&lt;=W138),1))*INDEX(F$4:F1644,MATCH(LARGE(FILTER(I$4:I1644,I$4:I1644&lt;=W138),1),I$4:I1644))))"),3368877.0)</f>
        <v>3368877</v>
      </c>
      <c r="N138" s="60">
        <f t="shared" si="8"/>
        <v>-33.94498</v>
      </c>
      <c r="O138" s="61" t="str">
        <f t="shared" si="9"/>
        <v>3,4M</v>
      </c>
      <c r="P138" s="56">
        <f t="shared" si="10"/>
        <v>17</v>
      </c>
      <c r="Q138" s="67" t="s">
        <v>3</v>
      </c>
      <c r="R138" s="10" t="b">
        <f>IFERROR(__xludf.DUMMYFUNCTION("IF(COUNTA(Q138:Q1644)=0,"""",IF(ISBLANK(Q138),FALSE,IF(NOT(COUNTIF($AA$24:$AA$34,SUBSTITUTE(Q138,""Sell_"",""""))),1,IF(REGEXMATCH(Q138,""Sell_""),IF(COUNTIF(Q$4:Q138,SUBSTITUTE(Q138,""Sell_"",""""))-COUNTIF(Q$4:Q137,Q138)&lt;1,1),FALSE))))"),FALSE)</f>
        <v>0</v>
      </c>
      <c r="S138" s="59">
        <f t="array" ref="S138">IF(COUNTA(Q138:Q1644)=0,"",SUM((COUNTIF(Q$4:Q138,Upgrades!$B$3:$B$13)-COUNTIF(Q$4:Q138,"Sell_"&amp;Upgrades!$B$3:$B$13))*Upgrades!$D$3:$D$13))</f>
        <v>84912.7</v>
      </c>
      <c r="T138" s="66">
        <f>IFERROR(__xludf.DUMMYFUNCTION("IF(COUNTA(Q138:Q1644)=0,"""",IF(REGEXMATCH(INDEX(FILTER(Q$4:Q138,Q$4:Q138&lt;&gt;""""),ROWS(FILTER(Q$4:Q138,Q$4:Q138&lt;&gt;""""))),""^Sell_""),INDEX(FILTER(T$4:T137,Q$4:Q137&lt;&gt;""""),ROWS(FILTER(Q$4:Q137,Q$4:Q137&lt;&gt;""""))),$AD$5+S138))"),84922.7)</f>
        <v>84922.7</v>
      </c>
      <c r="U138" s="10">
        <f>IFERROR(__xludf.DUMMYFUNCTION("IF(COUNTA(Q138:Q1644)=0,"""",IF(Q138="""",0,IF(REGEXMATCH(Q138,""^Sell_""),-ROUNDDOWN(ROUNDUP(INDEX(Upgrades!$C$3:$C$13,MATCH(SUBSTITUTE(Q138,""Sell_"",""""),Upgrades!$B$3:$B$13,0))*1.15^(COUNTIF(Q$4:Q137,SUBSTITUTE(Q138,""Sell_"",""""))-COUNTIF(Q$4:Q137,"&amp;"""Sell_""&amp;SUBSTITUTE(Q138,""Sell_"",""""))))/2),ROUNDUP(INDEX(Upgrades!$C$3:$C$13,MATCH(Q138,Upgrades!$B$3:$B$13,0))*1.15^(COUNTIF(Q$4:Q137,Q138)-COUNTIF(Q$4:Q137,""Sell_""&amp;Q138))))))"),141.0)</f>
        <v>141</v>
      </c>
      <c r="V138" s="10">
        <f t="shared" si="11"/>
        <v>141</v>
      </c>
      <c r="W138" s="68">
        <f t="shared" si="12"/>
        <v>4084.942992</v>
      </c>
      <c r="X138" s="59" t="str">
        <f t="shared" si="13"/>
        <v>1h 08m 04s</v>
      </c>
      <c r="Y138" s="69">
        <f t="shared" si="14"/>
        <v>53098472</v>
      </c>
      <c r="Z138" s="11"/>
      <c r="AG138" s="59"/>
    </row>
    <row r="139">
      <c r="A139" s="8"/>
      <c r="B139" s="56">
        <f t="shared" si="2"/>
        <v>17</v>
      </c>
      <c r="C139" s="67" t="s">
        <v>4</v>
      </c>
      <c r="D139" s="10" t="b">
        <f>IFERROR(__xludf.DUMMYFUNCTION("IF(COUNTA(C139:C1644)=0,"""",IF(ISBLANK(C139),FALSE,IF(NOT(COUNTIF($AA$24:$AA$34,SUBSTITUTE(C139,""Sell_"",""""))),1,IF(REGEXMATCH(C139,""Sell_""),IF(COUNTIF(C$4:C139,SUBSTITUTE(C139,""Sell_"",""""))-COUNTIF(C$4:C138,C139)&lt;1,1),FALSE))))"),FALSE)</f>
        <v>0</v>
      </c>
      <c r="E139" s="59">
        <f t="array" ref="E139">IF(COUNTA(C139:C1644)=0,"",SUM((COUNTIF(C$4:C139,Upgrades!$B$3:$B$13)-COUNTIF(C$4:C139,"Sell_"&amp;Upgrades!$B$3:$B$13))*Upgrades!$D$3:$D$13))</f>
        <v>98954.5</v>
      </c>
      <c r="F139" s="66">
        <f>IFERROR(__xludf.DUMMYFUNCTION("IF(COUNTA(C139:C1644)=0,"""",IF(REGEXMATCH(INDEX(FILTER(C$4:C139,C$4:C139&lt;&gt;""""),ROWS(FILTER(C$4:C139,C$4:C139&lt;&gt;""""))),""^Sell_""),INDEX(FILTER(F$4:F138,C$4:C138&lt;&gt;""""),ROWS(FILTER(C$4:C138,C$4:C138&lt;&gt;""""))),$AC$5+E139))"),98964.5)</f>
        <v>98964.5</v>
      </c>
      <c r="G139" s="10">
        <f>IFERROR(__xludf.DUMMYFUNCTION("IF(COUNTA(C139:C1644)=0,"""",IF(C139="""",0,IF(REGEXMATCH(C139,""^Sell_""),-ROUNDDOWN(ROUNDUP(INDEX(Upgrades!$C$3:$C$13,MATCH(SUBSTITUTE(C139,""Sell_"",""""),Upgrades!$B$3:$B$13,0))*1.15^(COUNTIF(C$4:C138,SUBSTITUTE(C139,""Sell_"",""""))-COUNTIF(C$4:C138,"&amp;"""Sell_""&amp;SUBSTITUTE(C139,""Sell_"",""""))))/2),ROUNDUP(INDEX(Upgrades!$C$3:$C$13,MATCH(C139,Upgrades!$B$3:$B$13,0))*1.15^(COUNTIF(C$4:C138,C139)-COUNTIF(C$4:C138,""Sell_""&amp;C139))))))"),936.0)</f>
        <v>936</v>
      </c>
      <c r="H139" s="10">
        <f t="shared" si="3"/>
        <v>936</v>
      </c>
      <c r="I139" s="68">
        <f t="shared" si="4"/>
        <v>4344.974541</v>
      </c>
      <c r="J139" s="59" t="str">
        <f t="shared" si="5"/>
        <v>1h 12m 24s</v>
      </c>
      <c r="K139" s="69">
        <f t="shared" si="6"/>
        <v>73171554</v>
      </c>
      <c r="L139" s="60">
        <f t="shared" si="7"/>
        <v>-33.94496</v>
      </c>
      <c r="M139" s="61">
        <f>IFERROR(__xludf.DUMMYFUNCTION("IFS(AND(COUNTA(C139:C1644)=0,COUNTA(Q139:Q1644)=0),"""",OR(AND(K139&gt;=1000000000,OR(Y139&gt;=1000000000,COUNTA(Q139:Q1644)=0)),OR(Y139&gt;=1000000000,AND(COUNTA(C139:C1644)=0,P$3=TRUE))),
ROUNDDOWN((AB$1-AC$1)*MAX(INDEX(T$4:T1644,MATCH(LARGE(FILTER(Y$4:Y1644,Y$4"&amp;":Y1644&lt;1000000000),1),Y$4:Y1644)),INDEX(F$4:F1644,MATCH(LARGE(FILTER(K$4:K1644,K$4:K1644&lt;1000000000),1),K$4:K1644)))),AND(K139&lt;1000000000,COUNTA(C139:C1644)&gt;0,P$3=FALSE),
ROUNDDOWN(INDEX(Y$4:Y1644,MATCH(LARGE(FILTER(W$4:W1644,W$4:W1644&lt;=I139),1),W$4:W1644"&amp;"))+(I139-LARGE(FILTER(W$4:W1644,W$4:W1644&lt;=I139),1))*INDEX(T$4:T1644,MATCH(LARGE(FILTER(W$4:W1644,W$4:W1644&lt;=I139),1),W$4:W1644))-K139),1,
ROUNDDOWN(Y139-INDEX(K$4:K1644,MATCH(LARGE(FILTER(I$4:I1644,I$4:I1644&lt;=W139),1),I$4:I1644))-(W139-LARGE(FILTER(I$4:I"&amp;"1644,I$4:I1644&lt;=W139),1))*INDEX(F$4:F1644,MATCH(LARGE(FILTER(I$4:I1644,I$4:I1644&lt;=W139),1),I$4:I1644))))"),3368881.0)</f>
        <v>3368881</v>
      </c>
      <c r="N139" s="60">
        <f t="shared" si="8"/>
        <v>-33.94496</v>
      </c>
      <c r="O139" s="61" t="str">
        <f t="shared" si="9"/>
        <v>3,4M</v>
      </c>
      <c r="P139" s="56">
        <f t="shared" si="10"/>
        <v>15</v>
      </c>
      <c r="Q139" s="67" t="s">
        <v>4</v>
      </c>
      <c r="R139" s="10" t="b">
        <f>IFERROR(__xludf.DUMMYFUNCTION("IF(COUNTA(Q139:Q1644)=0,"""",IF(ISBLANK(Q139),FALSE,IF(NOT(COUNTIF($AA$24:$AA$34,SUBSTITUTE(Q139,""Sell_"",""""))),1,IF(REGEXMATCH(Q139,""Sell_""),IF(COUNTIF(Q$4:Q139,SUBSTITUTE(Q139,""Sell_"",""""))-COUNTIF(Q$4:Q138,Q139)&lt;1,1),FALSE))))"),FALSE)</f>
        <v>0</v>
      </c>
      <c r="S139" s="59">
        <f t="array" ref="S139">IF(COUNTA(Q139:Q1644)=0,"",SUM((COUNTIF(Q$4:Q139,Upgrades!$B$3:$B$13)-COUNTIF(Q$4:Q139,"Sell_"&amp;Upgrades!$B$3:$B$13))*Upgrades!$D$3:$D$13))</f>
        <v>84913.2</v>
      </c>
      <c r="T139" s="66">
        <f>IFERROR(__xludf.DUMMYFUNCTION("IF(COUNTA(Q139:Q1644)=0,"""",IF(REGEXMATCH(INDEX(FILTER(Q$4:Q139,Q$4:Q139&lt;&gt;""""),ROWS(FILTER(Q$4:Q139,Q$4:Q139&lt;&gt;""""))),""^Sell_""),INDEX(FILTER(T$4:T138,Q$4:Q138&lt;&gt;""""),ROWS(FILTER(Q$4:Q138,Q$4:Q138&lt;&gt;""""))),$AD$5+S139))"),84923.2)</f>
        <v>84923.2</v>
      </c>
      <c r="U139" s="10">
        <f>IFERROR(__xludf.DUMMYFUNCTION("IF(COUNTA(Q139:Q1644)=0,"""",IF(Q139="""",0,IF(REGEXMATCH(Q139,""^Sell_""),-ROUNDDOWN(ROUNDUP(INDEX(Upgrades!$C$3:$C$13,MATCH(SUBSTITUTE(Q139,""Sell_"",""""),Upgrades!$B$3:$B$13,0))*1.15^(COUNTIF(Q$4:Q138,SUBSTITUTE(Q139,""Sell_"",""""))-COUNTIF(Q$4:Q138,"&amp;"""Sell_""&amp;SUBSTITUTE(Q139,""Sell_"",""""))))/2),ROUNDUP(INDEX(Upgrades!$C$3:$C$13,MATCH(Q139,Upgrades!$B$3:$B$13,0))*1.15^(COUNTIF(Q$4:Q138,Q139)-COUNTIF(Q$4:Q138,""Sell_""&amp;Q139))))))"),708.0)</f>
        <v>708</v>
      </c>
      <c r="V139" s="10">
        <f t="shared" si="11"/>
        <v>708</v>
      </c>
      <c r="W139" s="68">
        <f t="shared" si="12"/>
        <v>4084.951329</v>
      </c>
      <c r="X139" s="59" t="str">
        <f t="shared" si="13"/>
        <v>1h 08m 04s</v>
      </c>
      <c r="Y139" s="69">
        <f t="shared" si="14"/>
        <v>53099180</v>
      </c>
      <c r="Z139" s="11"/>
      <c r="AG139" s="59"/>
    </row>
    <row r="140">
      <c r="A140" s="8"/>
      <c r="B140" s="56">
        <f t="shared" si="2"/>
        <v>15</v>
      </c>
      <c r="C140" s="67" t="s">
        <v>10</v>
      </c>
      <c r="D140" s="10" t="b">
        <f>IFERROR(__xludf.DUMMYFUNCTION("IF(COUNTA(C140:C1644)=0,"""",IF(ISBLANK(C140),FALSE,IF(NOT(COUNTIF($AA$24:$AA$34,SUBSTITUTE(C140,""Sell_"",""""))),1,IF(REGEXMATCH(C140,""Sell_""),IF(COUNTIF(C$4:C140,SUBSTITUTE(C140,""Sell_"",""""))-COUNTIF(C$4:C139,C140)&lt;1,1),FALSE))))"),FALSE)</f>
        <v>0</v>
      </c>
      <c r="E140" s="59">
        <f t="array" ref="E140">IF(COUNTA(C140:C1644)=0,"",SUM((COUNTIF(C$4:C140,Upgrades!$B$3:$B$13)-COUNTIF(C$4:C140,"Sell_"&amp;Upgrades!$B$3:$B$13))*Upgrades!$D$3:$D$13))</f>
        <v>105620.5</v>
      </c>
      <c r="F140" s="66">
        <f>IFERROR(__xludf.DUMMYFUNCTION("IF(COUNTA(C140:C1644)=0,"""",IF(REGEXMATCH(INDEX(FILTER(C$4:C140,C$4:C140&lt;&gt;""""),ROWS(FILTER(C$4:C140,C$4:C140&lt;&gt;""""))),""^Sell_""),INDEX(FILTER(F$4:F139,C$4:C139&lt;&gt;""""),ROWS(FILTER(C$4:C139,C$4:C139&lt;&gt;""""))),$AC$5+E140))"),105630.5)</f>
        <v>105630.5</v>
      </c>
      <c r="G140" s="10">
        <f>IFERROR(__xludf.DUMMYFUNCTION("IF(COUNTA(C140:C1644)=0,"""",IF(C140="""",0,IF(REGEXMATCH(C140,""^Sell_""),-ROUNDDOWN(ROUNDUP(INDEX(Upgrades!$C$3:$C$13,MATCH(SUBSTITUTE(C140,""Sell_"",""""),Upgrades!$B$3:$B$13,0))*1.15^(COUNTIF(C$4:C139,SUBSTITUTE(C140,""Sell_"",""""))-COUNTIF(C$4:C139,"&amp;"""Sell_""&amp;SUBSTITUTE(C140,""Sell_"",""""))))/2),ROUNDUP(INDEX(Upgrades!$C$3:$C$13,MATCH(C140,Upgrades!$B$3:$B$13,0))*1.15^(COUNTIF(C$4:C139,C140)-COUNTIF(C$4:C139,""Sell_""&amp;C140))))))"),1.1792839E7)</f>
        <v>11792839</v>
      </c>
      <c r="H140" s="10">
        <f t="shared" si="3"/>
        <v>11792839</v>
      </c>
      <c r="I140" s="68">
        <f t="shared" si="4"/>
        <v>4464.136857</v>
      </c>
      <c r="J140" s="59" t="str">
        <f t="shared" si="5"/>
        <v>1h 14m 24s</v>
      </c>
      <c r="K140" s="69">
        <f t="shared" si="6"/>
        <v>84964393</v>
      </c>
      <c r="L140" s="60">
        <f t="shared" si="7"/>
        <v>-34.38389</v>
      </c>
      <c r="M140" s="61">
        <f>IFERROR(__xludf.DUMMYFUNCTION("IFS(AND(COUNTA(C140:C1644)=0,COUNTA(Q140:Q1644)=0),"""",OR(AND(K140&gt;=1000000000,OR(Y140&gt;=1000000000,COUNTA(Q140:Q1644)=0)),OR(Y140&gt;=1000000000,AND(COUNTA(C140:C1644)=0,P$3=TRUE))),
ROUNDDOWN((AB$1-AC$1)*MAX(INDEX(T$4:T1644,MATCH(LARGE(FILTER(Y$4:Y1644,Y$4"&amp;":Y1644&lt;1000000000),1),Y$4:Y1644)),INDEX(F$4:F1644,MATCH(LARGE(FILTER(K$4:K1644,K$4:K1644&lt;1000000000),1),K$4:K1644)))),AND(K140&lt;1000000000,COUNTA(C140:C1644)&gt;0,P$3=FALSE),
ROUNDDOWN(INDEX(Y$4:Y1644,MATCH(LARGE(FILTER(W$4:W1644,W$4:W1644&lt;=I140),1),W$4:W1644"&amp;"))+(I140-LARGE(FILTER(W$4:W1644,W$4:W1644&lt;=I140),1))*INDEX(T$4:T1644,MATCH(LARGE(FILTER(W$4:W1644,W$4:W1644&lt;=I140),1),W$4:W1644))-K140),1,
ROUNDDOWN(Y140-INDEX(K$4:K1644,MATCH(LARGE(FILTER(I$4:I1644,I$4:I1644&lt;=W140),1),I$4:I1644))-(W140-LARGE(FILTER(I$4:I"&amp;"1644,I$4:I1644&lt;=W140),1))*INDEX(F$4:F1644,MATCH(LARGE(FILTER(I$4:I1644,I$4:I1644&lt;=W140),1),I$4:I1644))))"),3591563.0)</f>
        <v>3591563</v>
      </c>
      <c r="N140" s="60">
        <f t="shared" si="8"/>
        <v>-34.38389</v>
      </c>
      <c r="O140" s="61" t="str">
        <f t="shared" si="9"/>
        <v>3,6M</v>
      </c>
      <c r="P140" s="56">
        <f t="shared" si="10"/>
        <v>13</v>
      </c>
      <c r="Q140" s="67" t="s">
        <v>10</v>
      </c>
      <c r="R140" s="10" t="b">
        <f>IFERROR(__xludf.DUMMYFUNCTION("IF(COUNTA(Q140:Q1644)=0,"""",IF(ISBLANK(Q140),FALSE,IF(NOT(COUNTIF($AA$24:$AA$34,SUBSTITUTE(Q140,""Sell_"",""""))),1,IF(REGEXMATCH(Q140,""Sell_""),IF(COUNTIF(Q$4:Q140,SUBSTITUTE(Q140,""Sell_"",""""))-COUNTIF(Q$4:Q139,Q140)&lt;1,1),FALSE))))"),FALSE)</f>
        <v>0</v>
      </c>
      <c r="S140" s="59">
        <f t="array" ref="S140">IF(COUNTA(Q140:Q1644)=0,"",SUM((COUNTIF(Q$4:Q140,Upgrades!$B$3:$B$13)-COUNTIF(Q$4:Q140,"Sell_"&amp;Upgrades!$B$3:$B$13))*Upgrades!$D$3:$D$13))</f>
        <v>91579.2</v>
      </c>
      <c r="T140" s="66">
        <f>IFERROR(__xludf.DUMMYFUNCTION("IF(COUNTA(Q140:Q1644)=0,"""",IF(REGEXMATCH(INDEX(FILTER(Q$4:Q140,Q$4:Q140&lt;&gt;""""),ROWS(FILTER(Q$4:Q140,Q$4:Q140&lt;&gt;""""))),""^Sell_""),INDEX(FILTER(T$4:T139,Q$4:Q139&lt;&gt;""""),ROWS(FILTER(Q$4:Q139,Q$4:Q139&lt;&gt;""""))),$AD$5+S140))"),91589.2)</f>
        <v>91589.2</v>
      </c>
      <c r="U140" s="10">
        <f>IFERROR(__xludf.DUMMYFUNCTION("IF(COUNTA(Q140:Q1644)=0,"""",IF(Q140="""",0,IF(REGEXMATCH(Q140,""^Sell_""),-ROUNDDOWN(ROUNDUP(INDEX(Upgrades!$C$3:$C$13,MATCH(SUBSTITUTE(Q140,""Sell_"",""""),Upgrades!$B$3:$B$13,0))*1.15^(COUNTIF(Q$4:Q139,SUBSTITUTE(Q140,""Sell_"",""""))-COUNTIF(Q$4:Q139,"&amp;"""Sell_""&amp;SUBSTITUTE(Q140,""Sell_"",""""))))/2),ROUNDUP(INDEX(Upgrades!$C$3:$C$13,MATCH(Q140,Upgrades!$B$3:$B$13,0))*1.15^(COUNTIF(Q$4:Q139,Q140)-COUNTIF(Q$4:Q139,""Sell_""&amp;Q140))))))"),8917080.0)</f>
        <v>8917080</v>
      </c>
      <c r="V140" s="10">
        <f t="shared" si="11"/>
        <v>8917080</v>
      </c>
      <c r="W140" s="68">
        <f t="shared" si="12"/>
        <v>4189.953024</v>
      </c>
      <c r="X140" s="59" t="str">
        <f t="shared" si="13"/>
        <v>1h 09m 49s</v>
      </c>
      <c r="Y140" s="69">
        <f t="shared" si="14"/>
        <v>62016260</v>
      </c>
      <c r="Z140" s="11"/>
      <c r="AG140" s="59"/>
    </row>
    <row r="141">
      <c r="A141" s="8"/>
      <c r="B141" s="56">
        <f t="shared" si="2"/>
        <v>10</v>
      </c>
      <c r="C141" s="67" t="s">
        <v>9</v>
      </c>
      <c r="D141" s="10" t="b">
        <f>IFERROR(__xludf.DUMMYFUNCTION("IF(COUNTA(C141:C1644)=0,"""",IF(ISBLANK(C141),FALSE,IF(NOT(COUNTIF($AA$24:$AA$34,SUBSTITUTE(C141,""Sell_"",""""))),1,IF(REGEXMATCH(C141,""Sell_""),IF(COUNTIF(C$4:C141,SUBSTITUTE(C141,""Sell_"",""""))-COUNTIF(C$4:C140,C141)&lt;1,1),FALSE))))"),FALSE)</f>
        <v>0</v>
      </c>
      <c r="E141" s="59">
        <f t="array" ref="E141">IF(COUNTA(C141:C1644)=0,"",SUM((COUNTIF(C$4:C141,Upgrades!$B$3:$B$13)-COUNTIF(C$4:C141,"Sell_"&amp;Upgrades!$B$3:$B$13))*Upgrades!$D$3:$D$13))</f>
        <v>106020.5</v>
      </c>
      <c r="F141" s="66">
        <f>IFERROR(__xludf.DUMMYFUNCTION("IF(COUNTA(C141:C1644)=0,"""",IF(REGEXMATCH(INDEX(FILTER(C$4:C141,C$4:C141&lt;&gt;""""),ROWS(FILTER(C$4:C141,C$4:C141&lt;&gt;""""))),""^Sell_""),INDEX(FILTER(F$4:F140,C$4:C140&lt;&gt;""""),ROWS(FILTER(C$4:C140,C$4:C140&lt;&gt;""""))),$AC$5+E141))"),106030.5)</f>
        <v>106030.5</v>
      </c>
      <c r="G141" s="10">
        <f>IFERROR(__xludf.DUMMYFUNCTION("IF(COUNTA(C141:C1644)=0,"""",IF(C141="""",0,IF(REGEXMATCH(C141,""^Sell_""),-ROUNDDOWN(ROUNDUP(INDEX(Upgrades!$C$3:$C$13,MATCH(SUBSTITUTE(C141,""Sell_"",""""),Upgrades!$B$3:$B$13,0))*1.15^(COUNTIF(C$4:C140,SUBSTITUTE(C141,""Sell_"",""""))-COUNTIF(C$4:C140,"&amp;"""Sell_""&amp;SUBSTITUTE(C141,""Sell_"",""""))))/2),ROUNDUP(INDEX(Upgrades!$C$3:$C$13,MATCH(C141,Upgrades!$B$3:$B$13,0))*1.15^(COUNTIF(C$4:C140,C141)-COUNTIF(C$4:C140,""Sell_""&amp;C141))))))"),703576.0)</f>
        <v>703576</v>
      </c>
      <c r="H141" s="10">
        <f t="shared" si="3"/>
        <v>703576</v>
      </c>
      <c r="I141" s="68">
        <f t="shared" si="4"/>
        <v>4470.797585</v>
      </c>
      <c r="J141" s="59" t="str">
        <f t="shared" si="5"/>
        <v>1h 14m 30s</v>
      </c>
      <c r="K141" s="69">
        <f t="shared" si="6"/>
        <v>85667969</v>
      </c>
      <c r="L141" s="60">
        <f t="shared" si="7"/>
        <v>-33.96385</v>
      </c>
      <c r="M141" s="61">
        <f>IFERROR(__xludf.DUMMYFUNCTION("IFS(AND(COUNTA(C141:C1644)=0,COUNTA(Q141:Q1644)=0),"""",OR(AND(K141&gt;=1000000000,OR(Y141&gt;=1000000000,COUNTA(Q141:Q1644)=0)),OR(Y141&gt;=1000000000,AND(COUNTA(C141:C1644)=0,P$3=TRUE))),
ROUNDDOWN((AB$1-AC$1)*MAX(INDEX(T$4:T1644,MATCH(LARGE(FILTER(Y$4:Y1644,Y$4"&amp;":Y1644&lt;1000000000),1),Y$4:Y1644)),INDEX(F$4:F1644,MATCH(LARGE(FILTER(K$4:K1644,K$4:K1644&lt;1000000000),1),K$4:K1644)))),AND(K141&lt;1000000000,COUNTA(C141:C1644)&gt;0,P$3=FALSE),
ROUNDDOWN(INDEX(Y$4:Y1644,MATCH(LARGE(FILTER(W$4:W1644,W$4:W1644&lt;=I141),1),W$4:W1644"&amp;"))+(I141-LARGE(FILTER(W$4:W1644,W$4:W1644&lt;=I141),1))*INDEX(T$4:T1644,MATCH(LARGE(FILTER(W$4:W1644,W$4:W1644&lt;=I141),1),W$4:W1644))-K141),1,
ROUNDDOWN(Y141-INDEX(K$4:K1644,MATCH(LARGE(FILTER(I$4:I1644,I$4:I1644&lt;=W141),1),I$4:I1644))-(W141-LARGE(FILTER(I$4:I"&amp;"1644,I$4:I1644&lt;=W141),1))*INDEX(F$4:F1644,MATCH(LARGE(FILTER(I$4:I1644,I$4:I1644&lt;=W141),1),I$4:I1644))))"),3597921.0)</f>
        <v>3597921</v>
      </c>
      <c r="N141" s="60">
        <f t="shared" si="8"/>
        <v>-33.96385</v>
      </c>
      <c r="O141" s="61" t="str">
        <f t="shared" si="9"/>
        <v>3,6M</v>
      </c>
      <c r="P141" s="56">
        <f t="shared" si="10"/>
        <v>9</v>
      </c>
      <c r="Q141" s="67" t="s">
        <v>9</v>
      </c>
      <c r="R141" s="10" t="b">
        <f>IFERROR(__xludf.DUMMYFUNCTION("IF(COUNTA(Q141:Q1644)=0,"""",IF(ISBLANK(Q141),FALSE,IF(NOT(COUNTIF($AA$24:$AA$34,SUBSTITUTE(Q141,""Sell_"",""""))),1,IF(REGEXMATCH(Q141,""Sell_""),IF(COUNTIF(Q$4:Q141,SUBSTITUTE(Q141,""Sell_"",""""))-COUNTIF(Q$4:Q140,Q141)&lt;1,1),FALSE))))"),FALSE)</f>
        <v>0</v>
      </c>
      <c r="S141" s="59">
        <f t="array" ref="S141">IF(COUNTA(Q141:Q1644)=0,"",SUM((COUNTIF(Q$4:Q141,Upgrades!$B$3:$B$13)-COUNTIF(Q$4:Q141,"Sell_"&amp;Upgrades!$B$3:$B$13))*Upgrades!$D$3:$D$13))</f>
        <v>91979.2</v>
      </c>
      <c r="T141" s="66">
        <f>IFERROR(__xludf.DUMMYFUNCTION("IF(COUNTA(Q141:Q1644)=0,"""",IF(REGEXMATCH(INDEX(FILTER(Q$4:Q141,Q$4:Q141&lt;&gt;""""),ROWS(FILTER(Q$4:Q141,Q$4:Q141&lt;&gt;""""))),""^Sell_""),INDEX(FILTER(T$4:T140,Q$4:Q140&lt;&gt;""""),ROWS(FILTER(Q$4:Q140,Q$4:Q140&lt;&gt;""""))),$AD$5+S141))"),91989.2)</f>
        <v>91989.2</v>
      </c>
      <c r="U141" s="10">
        <f>IFERROR(__xludf.DUMMYFUNCTION("IF(COUNTA(Q141:Q1644)=0,"""",IF(Q141="""",0,IF(REGEXMATCH(Q141,""^Sell_""),-ROUNDDOWN(ROUNDUP(INDEX(Upgrades!$C$3:$C$13,MATCH(SUBSTITUTE(Q141,""Sell_"",""""),Upgrades!$B$3:$B$13,0))*1.15^(COUNTIF(Q$4:Q140,SUBSTITUTE(Q141,""Sell_"",""""))-COUNTIF(Q$4:Q140,"&amp;"""Sell_""&amp;SUBSTITUTE(Q141,""Sell_"",""""))))/2),ROUNDUP(INDEX(Upgrades!$C$3:$C$13,MATCH(Q141,Upgrades!$B$3:$B$13,0))*1.15^(COUNTIF(Q$4:Q140,Q141)-COUNTIF(Q$4:Q140,""Sell_""&amp;Q141))))))"),611805.0)</f>
        <v>611805</v>
      </c>
      <c r="V141" s="10">
        <f t="shared" si="11"/>
        <v>611805</v>
      </c>
      <c r="W141" s="68">
        <f t="shared" si="12"/>
        <v>4196.632906</v>
      </c>
      <c r="X141" s="59" t="str">
        <f t="shared" si="13"/>
        <v>1h 09m 56s</v>
      </c>
      <c r="Y141" s="69">
        <f t="shared" si="14"/>
        <v>62628065</v>
      </c>
      <c r="Z141" s="11"/>
      <c r="AG141" s="59"/>
    </row>
    <row r="142">
      <c r="A142" s="8"/>
      <c r="B142" s="56">
        <f t="shared" si="2"/>
        <v>16</v>
      </c>
      <c r="C142" s="67" t="s">
        <v>7</v>
      </c>
      <c r="D142" s="10" t="b">
        <f>IFERROR(__xludf.DUMMYFUNCTION("IF(COUNTA(C142:C1644)=0,"""",IF(ISBLANK(C142),FALSE,IF(NOT(COUNTIF($AA$24:$AA$34,SUBSTITUTE(C142,""Sell_"",""""))),1,IF(REGEXMATCH(C142,""Sell_""),IF(COUNTIF(C$4:C142,SUBSTITUTE(C142,""Sell_"",""""))-COUNTIF(C$4:C141,C142)&lt;1,1),FALSE))))"),FALSE)</f>
        <v>0</v>
      </c>
      <c r="E142" s="59">
        <f t="array" ref="E142">IF(COUNTA(C142:C1644)=0,"",SUM((COUNTIF(C$4:C142,Upgrades!$B$3:$B$13)-COUNTIF(C$4:C142,"Sell_"&amp;Upgrades!$B$3:$B$13))*Upgrades!$D$3:$D$13))</f>
        <v>106060.5</v>
      </c>
      <c r="F142" s="66">
        <f>IFERROR(__xludf.DUMMYFUNCTION("IF(COUNTA(C142:C1644)=0,"""",IF(REGEXMATCH(INDEX(FILTER(C$4:C142,C$4:C142&lt;&gt;""""),ROWS(FILTER(C$4:C142,C$4:C142&lt;&gt;""""))),""^Sell_""),INDEX(FILTER(F$4:F141,C$4:C141&lt;&gt;""""),ROWS(FILTER(C$4:C141,C$4:C141&lt;&gt;""""))),$AC$5+E142))"),106070.5)</f>
        <v>106070.5</v>
      </c>
      <c r="G142" s="10">
        <f>IFERROR(__xludf.DUMMYFUNCTION("IF(COUNTA(C142:C1644)=0,"""",IF(C142="""",0,IF(REGEXMATCH(C142,""^Sell_""),-ROUNDDOWN(ROUNDUP(INDEX(Upgrades!$C$3:$C$13,MATCH(SUBSTITUTE(C142,""Sell_"",""""),Upgrades!$B$3:$B$13,0))*1.15^(COUNTIF(C$4:C141,SUBSTITUTE(C142,""Sell_"",""""))-COUNTIF(C$4:C141,"&amp;"""Sell_""&amp;SUBSTITUTE(C142,""Sell_"",""""))))/2),ROUNDUP(INDEX(Upgrades!$C$3:$C$13,MATCH(C142,Upgrades!$B$3:$B$13,0))*1.15^(COUNTIF(C$4:C141,C142)-COUNTIF(C$4:C141,""Sell_""&amp;C142))))))"),81371.0)</f>
        <v>81371</v>
      </c>
      <c r="H142" s="10">
        <f t="shared" si="3"/>
        <v>81371</v>
      </c>
      <c r="I142" s="68">
        <f t="shared" si="4"/>
        <v>4471.565015</v>
      </c>
      <c r="J142" s="59" t="str">
        <f t="shared" si="5"/>
        <v>1h 14m 31s</v>
      </c>
      <c r="K142" s="69">
        <f t="shared" si="6"/>
        <v>85749340</v>
      </c>
      <c r="L142" s="60">
        <f t="shared" si="7"/>
        <v>-33.91236</v>
      </c>
      <c r="M142" s="61">
        <f>IFERROR(__xludf.DUMMYFUNCTION("IFS(AND(COUNTA(C142:C1644)=0,COUNTA(Q142:Q1644)=0),"""",OR(AND(K142&gt;=1000000000,OR(Y142&gt;=1000000000,COUNTA(Q142:Q1644)=0)),OR(Y142&gt;=1000000000,AND(COUNTA(C142:C1644)=0,P$3=TRUE))),
ROUNDDOWN((AB$1-AC$1)*MAX(INDEX(T$4:T1644,MATCH(LARGE(FILTER(Y$4:Y1644,Y$4"&amp;":Y1644&lt;1000000000),1),Y$4:Y1644)),INDEX(F$4:F1644,MATCH(LARGE(FILTER(K$4:K1644,K$4:K1644&lt;1000000000),1),K$4:K1644)))),AND(K142&lt;1000000000,COUNTA(C142:C1644)&gt;0,P$3=FALSE),
ROUNDDOWN(INDEX(Y$4:Y1644,MATCH(LARGE(FILTER(W$4:W1644,W$4:W1644&lt;=I142),1),W$4:W1644"&amp;"))+(I142-LARGE(FILTER(W$4:W1644,W$4:W1644&lt;=I142),1))*INDEX(T$4:T1644,MATCH(LARGE(FILTER(W$4:W1644,W$4:W1644&lt;=I142),1),W$4:W1644))-K142),1,
ROUNDDOWN(Y142-INDEX(K$4:K1644,MATCH(LARGE(FILTER(I$4:I1644,I$4:I1644&lt;=W142),1),I$4:I1644))-(W142-LARGE(FILTER(I$4:I"&amp;"1644,I$4:I1644&lt;=W142),1))*INDEX(F$4:F1644,MATCH(LARGE(FILTER(I$4:I1644,I$4:I1644&lt;=W142),1),I$4:I1644))))"),3598346.0)</f>
        <v>3598346</v>
      </c>
      <c r="N142" s="60">
        <f t="shared" si="8"/>
        <v>-33.91236</v>
      </c>
      <c r="O142" s="61" t="str">
        <f t="shared" si="9"/>
        <v>3,6M</v>
      </c>
      <c r="P142" s="56">
        <f t="shared" si="10"/>
        <v>14</v>
      </c>
      <c r="Q142" s="67" t="s">
        <v>7</v>
      </c>
      <c r="R142" s="10" t="b">
        <f>IFERROR(__xludf.DUMMYFUNCTION("IF(COUNTA(Q142:Q1644)=0,"""",IF(ISBLANK(Q142),FALSE,IF(NOT(COUNTIF($AA$24:$AA$34,SUBSTITUTE(Q142,""Sell_"",""""))),1,IF(REGEXMATCH(Q142,""Sell_""),IF(COUNTIF(Q$4:Q142,SUBSTITUTE(Q142,""Sell_"",""""))-COUNTIF(Q$4:Q141,Q142)&lt;1,1),FALSE))))"),FALSE)</f>
        <v>0</v>
      </c>
      <c r="S142" s="59">
        <f t="array" ref="S142">IF(COUNTA(Q142:Q1644)=0,"",SUM((COUNTIF(Q$4:Q142,Upgrades!$B$3:$B$13)-COUNTIF(Q$4:Q142,"Sell_"&amp;Upgrades!$B$3:$B$13))*Upgrades!$D$3:$D$13))</f>
        <v>92019.2</v>
      </c>
      <c r="T142" s="66">
        <f>IFERROR(__xludf.DUMMYFUNCTION("IF(COUNTA(Q142:Q1644)=0,"""",IF(REGEXMATCH(INDEX(FILTER(Q$4:Q142,Q$4:Q142&lt;&gt;""""),ROWS(FILTER(Q$4:Q142,Q$4:Q142&lt;&gt;""""))),""^Sell_""),INDEX(FILTER(T$4:T141,Q$4:Q141&lt;&gt;""""),ROWS(FILTER(Q$4:Q141,Q$4:Q141&lt;&gt;""""))),$AD$5+S142))"),92029.2)</f>
        <v>92029.2</v>
      </c>
      <c r="U142" s="10">
        <f>IFERROR(__xludf.DUMMYFUNCTION("IF(COUNTA(Q142:Q1644)=0,"""",IF(Q142="""",0,IF(REGEXMATCH(Q142,""^Sell_""),-ROUNDDOWN(ROUNDUP(INDEX(Upgrades!$C$3:$C$13,MATCH(SUBSTITUTE(Q142,""Sell_"",""""),Upgrades!$B$3:$B$13,0))*1.15^(COUNTIF(Q$4:Q141,SUBSTITUTE(Q142,""Sell_"",""""))-COUNTIF(Q$4:Q141,"&amp;"""Sell_""&amp;SUBSTITUTE(Q142,""Sell_"",""""))))/2),ROUNDUP(INDEX(Upgrades!$C$3:$C$13,MATCH(Q142,Upgrades!$B$3:$B$13,0))*1.15^(COUNTIF(Q$4:Q141,Q142)-COUNTIF(Q$4:Q141,""Sell_""&amp;Q142))))))"),61528.0)</f>
        <v>61528</v>
      </c>
      <c r="V142" s="10">
        <f t="shared" si="11"/>
        <v>61528</v>
      </c>
      <c r="W142" s="68">
        <f t="shared" si="12"/>
        <v>4197.301767</v>
      </c>
      <c r="X142" s="59" t="str">
        <f t="shared" si="13"/>
        <v>1h 09m 57s</v>
      </c>
      <c r="Y142" s="69">
        <f t="shared" si="14"/>
        <v>62689593</v>
      </c>
      <c r="Z142" s="11"/>
      <c r="AG142" s="59"/>
    </row>
    <row r="143">
      <c r="A143" s="8"/>
      <c r="B143" s="56">
        <f t="shared" si="2"/>
        <v>21</v>
      </c>
      <c r="C143" s="67" t="s">
        <v>5</v>
      </c>
      <c r="D143" s="10" t="b">
        <f>IFERROR(__xludf.DUMMYFUNCTION("IF(COUNTA(C143:C1644)=0,"""",IF(ISBLANK(C143),FALSE,IF(NOT(COUNTIF($AA$24:$AA$34,SUBSTITUTE(C143,""Sell_"",""""))),1,IF(REGEXMATCH(C143,""Sell_""),IF(COUNTIF(C$4:C143,SUBSTITUTE(C143,""Sell_"",""""))-COUNTIF(C$4:C142,C143)&lt;1,1),FALSE))))"),FALSE)</f>
        <v>0</v>
      </c>
      <c r="E143" s="59">
        <f t="array" ref="E143">IF(COUNTA(C143:C1644)=0,"",SUM((COUNTIF(C$4:C143,Upgrades!$B$3:$B$13)-COUNTIF(C$4:C143,"Sell_"&amp;Upgrades!$B$3:$B$13))*Upgrades!$D$3:$D$13))</f>
        <v>106064.5</v>
      </c>
      <c r="F143" s="66">
        <f>IFERROR(__xludf.DUMMYFUNCTION("IF(COUNTA(C143:C1644)=0,"""",IF(REGEXMATCH(INDEX(FILTER(C$4:C143,C$4:C143&lt;&gt;""""),ROWS(FILTER(C$4:C143,C$4:C143&lt;&gt;""""))),""^Sell_""),INDEX(FILTER(F$4:F142,C$4:C142&lt;&gt;""""),ROWS(FILTER(C$4:C142,C$4:C142&lt;&gt;""""))),$AC$5+E143))"),106074.5)</f>
        <v>106074.5</v>
      </c>
      <c r="G143" s="10">
        <f>IFERROR(__xludf.DUMMYFUNCTION("IF(COUNTA(C143:C1644)=0,"""",IF(C143="""",0,IF(REGEXMATCH(C143,""^Sell_""),-ROUNDDOWN(ROUNDUP(INDEX(Upgrades!$C$3:$C$13,MATCH(SUBSTITUTE(C143,""Sell_"",""""),Upgrades!$B$3:$B$13,0))*1.15^(COUNTIF(C$4:C142,SUBSTITUTE(C143,""Sell_"",""""))-COUNTIF(C$4:C142,"&amp;"""Sell_""&amp;SUBSTITUTE(C143,""Sell_"",""""))))/2),ROUNDUP(INDEX(Upgrades!$C$3:$C$13,MATCH(C143,Upgrades!$B$3:$B$13,0))*1.15^(COUNTIF(C$4:C142,C143)-COUNTIF(C$4:C142,""Sell_""&amp;C143))))))"),8184.0)</f>
        <v>8184</v>
      </c>
      <c r="H143" s="10">
        <f t="shared" si="3"/>
        <v>8184</v>
      </c>
      <c r="I143" s="68">
        <f t="shared" si="4"/>
        <v>4471.642171</v>
      </c>
      <c r="J143" s="59" t="str">
        <f t="shared" si="5"/>
        <v>1h 14m 31s</v>
      </c>
      <c r="K143" s="69">
        <f t="shared" si="6"/>
        <v>85757524</v>
      </c>
      <c r="L143" s="60">
        <f t="shared" si="7"/>
        <v>-33.90716</v>
      </c>
      <c r="M143" s="61">
        <f>IFERROR(__xludf.DUMMYFUNCTION("IFS(AND(COUNTA(C143:C1644)=0,COUNTA(Q143:Q1644)=0),"""",OR(AND(K143&gt;=1000000000,OR(Y143&gt;=1000000000,COUNTA(Q143:Q1644)=0)),OR(Y143&gt;=1000000000,AND(COUNTA(C143:C1644)=0,P$3=TRUE))),
ROUNDDOWN((AB$1-AC$1)*MAX(INDEX(T$4:T1644,MATCH(LARGE(FILTER(Y$4:Y1644,Y$4"&amp;":Y1644&lt;1000000000),1),Y$4:Y1644)),INDEX(F$4:F1644,MATCH(LARGE(FILTER(K$4:K1644,K$4:K1644&lt;1000000000),1),K$4:K1644)))),AND(K143&lt;1000000000,COUNTA(C143:C1644)&gt;0,P$3=FALSE),
ROUNDDOWN(INDEX(Y$4:Y1644,MATCH(LARGE(FILTER(W$4:W1644,W$4:W1644&lt;=I143),1),W$4:W1644"&amp;"))+(I143-LARGE(FILTER(W$4:W1644,W$4:W1644&lt;=I143),1))*INDEX(T$4:T1644,MATCH(LARGE(FILTER(W$4:W1644,W$4:W1644&lt;=I143),1),W$4:W1644))-K143),1,
ROUNDDOWN(Y143-INDEX(K$4:K1644,MATCH(LARGE(FILTER(I$4:I1644,I$4:I1644&lt;=W143),1),I$4:I1644))-(W143-LARGE(FILTER(I$4:I"&amp;"1644,I$4:I1644&lt;=W143),1))*INDEX(F$4:F1644,MATCH(LARGE(FILTER(I$4:I1644,I$4:I1644&lt;=W143),1),I$4:I1644))))"),3598386.0)</f>
        <v>3598386</v>
      </c>
      <c r="N143" s="60">
        <f t="shared" si="8"/>
        <v>-33.90716</v>
      </c>
      <c r="O143" s="61" t="str">
        <f t="shared" si="9"/>
        <v>3,6M</v>
      </c>
      <c r="P143" s="56">
        <f t="shared" si="10"/>
        <v>19</v>
      </c>
      <c r="Q143" s="67" t="s">
        <v>5</v>
      </c>
      <c r="R143" s="10" t="b">
        <f>IFERROR(__xludf.DUMMYFUNCTION("IF(COUNTA(Q143:Q1644)=0,"""",IF(ISBLANK(Q143),FALSE,IF(NOT(COUNTIF($AA$24:$AA$34,SUBSTITUTE(Q143,""Sell_"",""""))),1,IF(REGEXMATCH(Q143,""Sell_""),IF(COUNTIF(Q$4:Q143,SUBSTITUTE(Q143,""Sell_"",""""))-COUNTIF(Q$4:Q142,Q143)&lt;1,1),FALSE))))"),FALSE)</f>
        <v>0</v>
      </c>
      <c r="S143" s="59">
        <f t="array" ref="S143">IF(COUNTA(Q143:Q1644)=0,"",SUM((COUNTIF(Q$4:Q143,Upgrades!$B$3:$B$13)-COUNTIF(Q$4:Q143,"Sell_"&amp;Upgrades!$B$3:$B$13))*Upgrades!$D$3:$D$13))</f>
        <v>92023.2</v>
      </c>
      <c r="T143" s="66">
        <f>IFERROR(__xludf.DUMMYFUNCTION("IF(COUNTA(Q143:Q1644)=0,"""",IF(REGEXMATCH(INDEX(FILTER(Q$4:Q143,Q$4:Q143&lt;&gt;""""),ROWS(FILTER(Q$4:Q143,Q$4:Q143&lt;&gt;""""))),""^Sell_""),INDEX(FILTER(T$4:T142,Q$4:Q142&lt;&gt;""""),ROWS(FILTER(Q$4:Q142,Q$4:Q142&lt;&gt;""""))),$AD$5+S143))"),92033.2)</f>
        <v>92033.2</v>
      </c>
      <c r="U143" s="10">
        <f>IFERROR(__xludf.DUMMYFUNCTION("IF(COUNTA(Q143:Q1644)=0,"""",IF(Q143="""",0,IF(REGEXMATCH(Q143,""^Sell_""),-ROUNDDOWN(ROUNDUP(INDEX(Upgrades!$C$3:$C$13,MATCH(SUBSTITUTE(Q143,""Sell_"",""""),Upgrades!$B$3:$B$13,0))*1.15^(COUNTIF(Q$4:Q142,SUBSTITUTE(Q143,""Sell_"",""""))-COUNTIF(Q$4:Q142,"&amp;"""Sell_""&amp;SUBSTITUTE(Q143,""Sell_"",""""))))/2),ROUNDUP(INDEX(Upgrades!$C$3:$C$13,MATCH(Q143,Upgrades!$B$3:$B$13,0))*1.15^(COUNTIF(Q$4:Q142,Q143)-COUNTIF(Q$4:Q142,""Sell_""&amp;Q143))))))"),6188.0)</f>
        <v>6188</v>
      </c>
      <c r="V143" s="10">
        <f t="shared" si="11"/>
        <v>6188</v>
      </c>
      <c r="W143" s="68">
        <f t="shared" si="12"/>
        <v>4197.369006</v>
      </c>
      <c r="X143" s="59" t="str">
        <f t="shared" si="13"/>
        <v>1h 09m 57s</v>
      </c>
      <c r="Y143" s="69">
        <f t="shared" si="14"/>
        <v>62695781</v>
      </c>
      <c r="Z143" s="11"/>
      <c r="AG143" s="59"/>
    </row>
    <row r="144">
      <c r="A144" s="8"/>
      <c r="B144" s="56">
        <f t="shared" si="2"/>
        <v>15</v>
      </c>
      <c r="C144" s="67" t="s">
        <v>6</v>
      </c>
      <c r="D144" s="10" t="b">
        <f>IFERROR(__xludf.DUMMYFUNCTION("IF(COUNTA(C144:C1644)=0,"""",IF(ISBLANK(C144),FALSE,IF(NOT(COUNTIF($AA$24:$AA$34,SUBSTITUTE(C144,""Sell_"",""""))),1,IF(REGEXMATCH(C144,""Sell_""),IF(COUNTIF(C$4:C144,SUBSTITUTE(C144,""Sell_"",""""))-COUNTIF(C$4:C143,C144)&lt;1,1),FALSE))))"),FALSE)</f>
        <v>0</v>
      </c>
      <c r="E144" s="59">
        <f t="array" ref="E144">IF(COUNTA(C144:C1644)=0,"",SUM((COUNTIF(C$4:C144,Upgrades!$B$3:$B$13)-COUNTIF(C$4:C144,"Sell_"&amp;Upgrades!$B$3:$B$13))*Upgrades!$D$3:$D$13))</f>
        <v>106074.5</v>
      </c>
      <c r="F144" s="66">
        <f>IFERROR(__xludf.DUMMYFUNCTION("IF(COUNTA(C144:C1644)=0,"""",IF(REGEXMATCH(INDEX(FILTER(C$4:C144,C$4:C144&lt;&gt;""""),ROWS(FILTER(C$4:C144,C$4:C144&lt;&gt;""""))),""^Sell_""),INDEX(FILTER(F$4:F143,C$4:C143&lt;&gt;""""),ROWS(FILTER(C$4:C143,C$4:C143&lt;&gt;""""))),$AC$5+E144))"),106084.5)</f>
        <v>106084.5</v>
      </c>
      <c r="G144" s="10">
        <f>IFERROR(__xludf.DUMMYFUNCTION("IF(COUNTA(C144:C1644)=0,"""",IF(C144="""",0,IF(REGEXMATCH(C144,""^Sell_""),-ROUNDDOWN(ROUNDUP(INDEX(Upgrades!$C$3:$C$13,MATCH(SUBSTITUTE(C144,""Sell_"",""""),Upgrades!$B$3:$B$13,0))*1.15^(COUNTIF(C$4:C143,SUBSTITUTE(C144,""Sell_"",""""))-COUNTIF(C$4:C143,"&amp;"""Sell_""&amp;SUBSTITUTE(C144,""Sell_"",""""))))/2),ROUNDUP(INDEX(Upgrades!$C$3:$C$13,MATCH(C144,Upgrades!$B$3:$B$13,0))*1.15^(COUNTIF(C$4:C143,C144)-COUNTIF(C$4:C143,""Sell_""&amp;C144))))))"),21228.0)</f>
        <v>21228</v>
      </c>
      <c r="H144" s="10">
        <f t="shared" si="3"/>
        <v>21228</v>
      </c>
      <c r="I144" s="68">
        <f t="shared" si="4"/>
        <v>4471.842294</v>
      </c>
      <c r="J144" s="59" t="str">
        <f t="shared" si="5"/>
        <v>1h 14m 31s</v>
      </c>
      <c r="K144" s="69">
        <f t="shared" si="6"/>
        <v>85778752</v>
      </c>
      <c r="L144" s="60">
        <f t="shared" si="7"/>
        <v>-33.89364</v>
      </c>
      <c r="M144" s="61">
        <f>IFERROR(__xludf.DUMMYFUNCTION("IFS(AND(COUNTA(C144:C1644)=0,COUNTA(Q144:Q1644)=0),"""",OR(AND(K144&gt;=1000000000,OR(Y144&gt;=1000000000,COUNTA(Q144:Q1644)=0)),OR(Y144&gt;=1000000000,AND(COUNTA(C144:C1644)=0,P$3=TRUE))),
ROUNDDOWN((AB$1-AC$1)*MAX(INDEX(T$4:T1644,MATCH(LARGE(FILTER(Y$4:Y1644,Y$4"&amp;":Y1644&lt;1000000000),1),Y$4:Y1644)),INDEX(F$4:F1644,MATCH(LARGE(FILTER(K$4:K1644,K$4:K1644&lt;1000000000),1),K$4:K1644)))),AND(K144&lt;1000000000,COUNTA(C144:C1644)&gt;0,P$3=FALSE),
ROUNDDOWN(INDEX(Y$4:Y1644,MATCH(LARGE(FILTER(W$4:W1644,W$4:W1644&lt;=I144),1),W$4:W1644"&amp;"))+(I144-LARGE(FILTER(W$4:W1644,W$4:W1644&lt;=I144),1))*INDEX(T$4:T1644,MATCH(LARGE(FILTER(W$4:W1644,W$4:W1644&lt;=I144),1),W$4:W1644))-K144),1,
ROUNDDOWN(Y144-INDEX(K$4:K1644,MATCH(LARGE(FILTER(I$4:I1644,I$4:I1644&lt;=W144),1),I$4:I1644))-(W144-LARGE(FILTER(I$4:I"&amp;"1644,I$4:I1644&lt;=W144),1))*INDEX(F$4:F1644,MATCH(LARGE(FILTER(I$4:I1644,I$4:I1644&lt;=W144),1),I$4:I1644))))"),3598488.0)</f>
        <v>3598488</v>
      </c>
      <c r="N144" s="60">
        <f t="shared" si="8"/>
        <v>-33.89364</v>
      </c>
      <c r="O144" s="61" t="str">
        <f t="shared" si="9"/>
        <v>3,6M</v>
      </c>
      <c r="P144" s="56">
        <f t="shared" si="10"/>
        <v>13</v>
      </c>
      <c r="Q144" s="67" t="s">
        <v>6</v>
      </c>
      <c r="R144" s="10" t="b">
        <f>IFERROR(__xludf.DUMMYFUNCTION("IF(COUNTA(Q144:Q1644)=0,"""",IF(ISBLANK(Q144),FALSE,IF(NOT(COUNTIF($AA$24:$AA$34,SUBSTITUTE(Q144,""Sell_"",""""))),1,IF(REGEXMATCH(Q144,""Sell_""),IF(COUNTIF(Q$4:Q144,SUBSTITUTE(Q144,""Sell_"",""""))-COUNTIF(Q$4:Q143,Q144)&lt;1,1),FALSE))))"),FALSE)</f>
        <v>0</v>
      </c>
      <c r="S144" s="59">
        <f t="array" ref="S144">IF(COUNTA(Q144:Q1644)=0,"",SUM((COUNTIF(Q$4:Q144,Upgrades!$B$3:$B$13)-COUNTIF(Q$4:Q144,"Sell_"&amp;Upgrades!$B$3:$B$13))*Upgrades!$D$3:$D$13))</f>
        <v>92033.2</v>
      </c>
      <c r="T144" s="66">
        <f>IFERROR(__xludf.DUMMYFUNCTION("IF(COUNTA(Q144:Q1644)=0,"""",IF(REGEXMATCH(INDEX(FILTER(Q$4:Q144,Q$4:Q144&lt;&gt;""""),ROWS(FILTER(Q$4:Q144,Q$4:Q144&lt;&gt;""""))),""^Sell_""),INDEX(FILTER(T$4:T143,Q$4:Q143&lt;&gt;""""),ROWS(FILTER(Q$4:Q143,Q$4:Q143&lt;&gt;""""))),$AD$5+S144))"),92043.2)</f>
        <v>92043.2</v>
      </c>
      <c r="U144" s="10">
        <f>IFERROR(__xludf.DUMMYFUNCTION("IF(COUNTA(Q144:Q1644)=0,"""",IF(Q144="""",0,IF(REGEXMATCH(Q144,""^Sell_""),-ROUNDDOWN(ROUNDUP(INDEX(Upgrades!$C$3:$C$13,MATCH(SUBSTITUTE(Q144,""Sell_"",""""),Upgrades!$B$3:$B$13,0))*1.15^(COUNTIF(Q$4:Q143,SUBSTITUTE(Q144,""Sell_"",""""))-COUNTIF(Q$4:Q143,"&amp;"""Sell_""&amp;SUBSTITUTE(Q144,""Sell_"",""""))))/2),ROUNDUP(INDEX(Upgrades!$C$3:$C$13,MATCH(Q144,Upgrades!$B$3:$B$13,0))*1.15^(COUNTIF(Q$4:Q143,Q144)-COUNTIF(Q$4:Q143,""Sell_""&amp;Q144))))))"),16051.0)</f>
        <v>16051</v>
      </c>
      <c r="V144" s="10">
        <f t="shared" si="11"/>
        <v>16051</v>
      </c>
      <c r="W144" s="68">
        <f t="shared" si="12"/>
        <v>4197.543411</v>
      </c>
      <c r="X144" s="59" t="str">
        <f t="shared" si="13"/>
        <v>1h 09m 57s</v>
      </c>
      <c r="Y144" s="69">
        <f t="shared" si="14"/>
        <v>62711832</v>
      </c>
      <c r="Z144" s="11"/>
      <c r="AG144" s="59"/>
    </row>
    <row r="145">
      <c r="A145" s="8"/>
      <c r="B145" s="56">
        <f t="shared" si="2"/>
        <v>21</v>
      </c>
      <c r="C145" s="67" t="s">
        <v>3</v>
      </c>
      <c r="D145" s="10" t="b">
        <f>IFERROR(__xludf.DUMMYFUNCTION("IF(COUNTA(C145:C1644)=0,"""",IF(ISBLANK(C145),FALSE,IF(NOT(COUNTIF($AA$24:$AA$34,SUBSTITUTE(C145,""Sell_"",""""))),1,IF(REGEXMATCH(C145,""Sell_""),IF(COUNTIF(C$4:C145,SUBSTITUTE(C145,""Sell_"",""""))-COUNTIF(C$4:C144,C145)&lt;1,1),FALSE))))"),FALSE)</f>
        <v>0</v>
      </c>
      <c r="E145" s="59">
        <f t="array" ref="E145">IF(COUNTA(C145:C1644)=0,"",SUM((COUNTIF(C$4:C145,Upgrades!$B$3:$B$13)-COUNTIF(C$4:C145,"Sell_"&amp;Upgrades!$B$3:$B$13))*Upgrades!$D$3:$D$13))</f>
        <v>106074.6</v>
      </c>
      <c r="F145" s="66">
        <f>IFERROR(__xludf.DUMMYFUNCTION("IF(COUNTA(C145:C1644)=0,"""",IF(REGEXMATCH(INDEX(FILTER(C$4:C145,C$4:C145&lt;&gt;""""),ROWS(FILTER(C$4:C145,C$4:C145&lt;&gt;""""))),""^Sell_""),INDEX(FILTER(F$4:F144,C$4:C144&lt;&gt;""""),ROWS(FILTER(C$4:C144,C$4:C144&lt;&gt;""""))),$AC$5+E145))"),106084.6)</f>
        <v>106084.6</v>
      </c>
      <c r="G145" s="10">
        <f>IFERROR(__xludf.DUMMYFUNCTION("IF(COUNTA(C145:C1644)=0,"""",IF(C145="""",0,IF(REGEXMATCH(C145,""^Sell_""),-ROUNDDOWN(ROUNDUP(INDEX(Upgrades!$C$3:$C$13,MATCH(SUBSTITUTE(C145,""Sell_"",""""),Upgrades!$B$3:$B$13,0))*1.15^(COUNTIF(C$4:C144,SUBSTITUTE(C145,""Sell_"",""""))-COUNTIF(C$4:C144,"&amp;"""Sell_""&amp;SUBSTITUTE(C145,""Sell_"",""""))))/2),ROUNDUP(INDEX(Upgrades!$C$3:$C$13,MATCH(C145,Upgrades!$B$3:$B$13,0))*1.15^(COUNTIF(C$4:C144,C145)-COUNTIF(C$4:C144,""Sell_""&amp;C145))))))"),246.0)</f>
        <v>246</v>
      </c>
      <c r="H145" s="10">
        <f t="shared" si="3"/>
        <v>246</v>
      </c>
      <c r="I145" s="68">
        <f t="shared" si="4"/>
        <v>4471.844613</v>
      </c>
      <c r="J145" s="59" t="str">
        <f t="shared" si="5"/>
        <v>1h 14m 31s</v>
      </c>
      <c r="K145" s="69">
        <f t="shared" si="6"/>
        <v>85778998</v>
      </c>
      <c r="L145" s="60">
        <f t="shared" si="7"/>
        <v>-33.89349</v>
      </c>
      <c r="M145" s="61">
        <f>IFERROR(__xludf.DUMMYFUNCTION("IFS(AND(COUNTA(C145:C1644)=0,COUNTA(Q145:Q1644)=0),"""",OR(AND(K145&gt;=1000000000,OR(Y145&gt;=1000000000,COUNTA(Q145:Q1644)=0)),OR(Y145&gt;=1000000000,AND(COUNTA(C145:C1644)=0,P$3=TRUE))),
ROUNDDOWN((AB$1-AC$1)*MAX(INDEX(T$4:T1644,MATCH(LARGE(FILTER(Y$4:Y1644,Y$4"&amp;":Y1644&lt;1000000000),1),Y$4:Y1644)),INDEX(F$4:F1644,MATCH(LARGE(FILTER(K$4:K1644,K$4:K1644&lt;1000000000),1),K$4:K1644)))),AND(K145&lt;1000000000,COUNTA(C145:C1644)&gt;0,P$3=FALSE),
ROUNDDOWN(INDEX(Y$4:Y1644,MATCH(LARGE(FILTER(W$4:W1644,W$4:W1644&lt;=I145),1),W$4:W1644"&amp;"))+(I145-LARGE(FILTER(W$4:W1644,W$4:W1644&lt;=I145),1))*INDEX(T$4:T1644,MATCH(LARGE(FILTER(W$4:W1644,W$4:W1644&lt;=I145),1),W$4:W1644))-K145),1,
ROUNDDOWN(Y145-INDEX(K$4:K1644,MATCH(LARGE(FILTER(I$4:I1644,I$4:I1644&lt;=W145),1),I$4:I1644))-(W145-LARGE(FILTER(I$4:I"&amp;"1644,I$4:I1644&lt;=W145),1))*INDEX(F$4:F1644,MATCH(LARGE(FILTER(I$4:I1644,I$4:I1644&lt;=W145),1),I$4:I1644))))"),3598489.0)</f>
        <v>3598489</v>
      </c>
      <c r="N145" s="60">
        <f t="shared" si="8"/>
        <v>-33.89349</v>
      </c>
      <c r="O145" s="61" t="str">
        <f t="shared" si="9"/>
        <v>3,6M</v>
      </c>
      <c r="P145" s="56">
        <f t="shared" si="10"/>
        <v>11</v>
      </c>
      <c r="Q145" s="67" t="s">
        <v>8</v>
      </c>
      <c r="R145" s="10" t="b">
        <f>IFERROR(__xludf.DUMMYFUNCTION("IF(COUNTA(Q145:Q1644)=0,"""",IF(ISBLANK(Q145),FALSE,IF(NOT(COUNTIF($AA$24:$AA$34,SUBSTITUTE(Q145,""Sell_"",""""))),1,IF(REGEXMATCH(Q145,""Sell_""),IF(COUNTIF(Q$4:Q145,SUBSTITUTE(Q145,""Sell_"",""""))-COUNTIF(Q$4:Q144,Q145)&lt;1,1),FALSE))))"),FALSE)</f>
        <v>0</v>
      </c>
      <c r="S145" s="59">
        <f t="array" ref="S145">IF(COUNTA(Q145:Q1644)=0,"",SUM((COUNTIF(Q$4:Q145,Upgrades!$B$3:$B$13)-COUNTIF(Q$4:Q145,"Sell_"&amp;Upgrades!$B$3:$B$13))*Upgrades!$D$3:$D$13))</f>
        <v>92133.2</v>
      </c>
      <c r="T145" s="66">
        <f>IFERROR(__xludf.DUMMYFUNCTION("IF(COUNTA(Q145:Q1644)=0,"""",IF(REGEXMATCH(INDEX(FILTER(Q$4:Q145,Q$4:Q145&lt;&gt;""""),ROWS(FILTER(Q$4:Q145,Q$4:Q145&lt;&gt;""""))),""^Sell_""),INDEX(FILTER(T$4:T144,Q$4:Q144&lt;&gt;""""),ROWS(FILTER(Q$4:Q144,Q$4:Q144&lt;&gt;""""))),$AD$5+S145))"),92143.2)</f>
        <v>92143.2</v>
      </c>
      <c r="U145" s="10">
        <f>IFERROR(__xludf.DUMMYFUNCTION("IF(COUNTA(Q145:Q1644)=0,"""",IF(Q145="""",0,IF(REGEXMATCH(Q145,""^Sell_""),-ROUNDDOWN(ROUNDUP(INDEX(Upgrades!$C$3:$C$13,MATCH(SUBSTITUTE(Q145,""Sell_"",""""),Upgrades!$B$3:$B$13,0))*1.15^(COUNTIF(Q$4:Q144,SUBSTITUTE(Q145,""Sell_"",""""))-COUNTIF(Q$4:Q144,"&amp;"""Sell_""&amp;SUBSTITUTE(Q145,""Sell_"",""""))))/2),ROUNDUP(INDEX(Upgrades!$C$3:$C$13,MATCH(Q145,Upgrades!$B$3:$B$13,0))*1.15^(COUNTIF(Q$4:Q144,Q145)-COUNTIF(Q$4:Q144,""Sell_""&amp;Q145))))))"),161823.0)</f>
        <v>161823</v>
      </c>
      <c r="V145" s="10">
        <f t="shared" si="11"/>
        <v>161823</v>
      </c>
      <c r="W145" s="68">
        <f t="shared" si="12"/>
        <v>4199.301531</v>
      </c>
      <c r="X145" s="59" t="str">
        <f t="shared" si="13"/>
        <v>1h 09m 59s</v>
      </c>
      <c r="Y145" s="69">
        <f t="shared" si="14"/>
        <v>62873655</v>
      </c>
      <c r="Z145" s="11"/>
      <c r="AG145" s="59"/>
    </row>
    <row r="146">
      <c r="A146" s="8"/>
      <c r="B146" s="56">
        <f t="shared" si="2"/>
        <v>13</v>
      </c>
      <c r="C146" s="67" t="s">
        <v>8</v>
      </c>
      <c r="D146" s="10" t="b">
        <f>IFERROR(__xludf.DUMMYFUNCTION("IF(COUNTA(C146:C1644)=0,"""",IF(ISBLANK(C146),FALSE,IF(NOT(COUNTIF($AA$24:$AA$34,SUBSTITUTE(C146,""Sell_"",""""))),1,IF(REGEXMATCH(C146,""Sell_""),IF(COUNTIF(C$4:C146,SUBSTITUTE(C146,""Sell_"",""""))-COUNTIF(C$4:C145,C146)&lt;1,1),FALSE))))"),FALSE)</f>
        <v>0</v>
      </c>
      <c r="E146" s="59">
        <f t="array" ref="E146">IF(COUNTA(C146:C1644)=0,"",SUM((COUNTIF(C$4:C146,Upgrades!$B$3:$B$13)-COUNTIF(C$4:C146,"Sell_"&amp;Upgrades!$B$3:$B$13))*Upgrades!$D$3:$D$13))</f>
        <v>106174.6</v>
      </c>
      <c r="F146" s="66">
        <f>IFERROR(__xludf.DUMMYFUNCTION("IF(COUNTA(C146:C1644)=0,"""",IF(REGEXMATCH(INDEX(FILTER(C$4:C146,C$4:C146&lt;&gt;""""),ROWS(FILTER(C$4:C146,C$4:C146&lt;&gt;""""))),""^Sell_""),INDEX(FILTER(F$4:F145,C$4:C145&lt;&gt;""""),ROWS(FILTER(C$4:C145,C$4:C145&lt;&gt;""""))),$AC$5+E146))"),106184.6)</f>
        <v>106184.6</v>
      </c>
      <c r="G146" s="10">
        <f>IFERROR(__xludf.DUMMYFUNCTION("IF(COUNTA(C146:C1644)=0,"""",IF(C146="""",0,IF(REGEXMATCH(C146,""^Sell_""),-ROUNDDOWN(ROUNDUP(INDEX(Upgrades!$C$3:$C$13,MATCH(SUBSTITUTE(C146,""Sell_"",""""),Upgrades!$B$3:$B$13,0))*1.15^(COUNTIF(C$4:C145,SUBSTITUTE(C146,""Sell_"",""""))-COUNTIF(C$4:C145,"&amp;"""Sell_""&amp;SUBSTITUTE(C146,""Sell_"",""""))))/2),ROUNDUP(INDEX(Upgrades!$C$3:$C$13,MATCH(C146,Upgrades!$B$3:$B$13,0))*1.15^(COUNTIF(C$4:C145,C146)-COUNTIF(C$4:C145,""Sell_""&amp;C146))))))"),214011.0)</f>
        <v>214011</v>
      </c>
      <c r="H146" s="10">
        <f t="shared" si="3"/>
        <v>214011</v>
      </c>
      <c r="I146" s="68">
        <f t="shared" si="4"/>
        <v>4473.861975</v>
      </c>
      <c r="J146" s="59" t="str">
        <f t="shared" si="5"/>
        <v>1h 14m 33s</v>
      </c>
      <c r="K146" s="69">
        <f t="shared" si="6"/>
        <v>85993009</v>
      </c>
      <c r="L146" s="60">
        <f t="shared" si="7"/>
        <v>-33.81005</v>
      </c>
      <c r="M146" s="61">
        <f>IFERROR(__xludf.DUMMYFUNCTION("IFS(AND(COUNTA(C146:C1644)=0,COUNTA(Q146:Q1644)=0),"""",OR(AND(K146&gt;=1000000000,OR(Y146&gt;=1000000000,COUNTA(Q146:Q1644)=0)),OR(Y146&gt;=1000000000,AND(COUNTA(C146:C1644)=0,P$3=TRUE))),
ROUNDDOWN((AB$1-AC$1)*MAX(INDEX(T$4:T1644,MATCH(LARGE(FILTER(Y$4:Y1644,Y$4"&amp;":Y1644&lt;1000000000),1),Y$4:Y1644)),INDEX(F$4:F1644,MATCH(LARGE(FILTER(K$4:K1644,K$4:K1644&lt;1000000000),1),K$4:K1644)))),AND(K146&lt;1000000000,COUNTA(C146:C1644)&gt;0,P$3=FALSE),
ROUNDDOWN(INDEX(Y$4:Y1644,MATCH(LARGE(FILTER(W$4:W1644,W$4:W1644&lt;=I146),1),W$4:W1644"&amp;"))+(I146-LARGE(FILTER(W$4:W1644,W$4:W1644&lt;=I146),1))*INDEX(T$4:T1644,MATCH(LARGE(FILTER(W$4:W1644,W$4:W1644&lt;=I146),1),W$4:W1644))-K146),1,
ROUNDDOWN(Y146-INDEX(K$4:K1644,MATCH(LARGE(FILTER(I$4:I1644,I$4:I1644&lt;=W146),1),I$4:I1644))-(W146-LARGE(FILTER(I$4:I"&amp;"1644,I$4:I1644&lt;=W146),1))*INDEX(F$4:F1644,MATCH(LARGE(FILTER(I$4:I1644,I$4:I1644&lt;=W146),1),I$4:I1644))))"),3599499.0)</f>
        <v>3599499</v>
      </c>
      <c r="N146" s="60">
        <f t="shared" si="8"/>
        <v>-33.81005</v>
      </c>
      <c r="O146" s="61" t="str">
        <f t="shared" si="9"/>
        <v>3,6M</v>
      </c>
      <c r="P146" s="56">
        <f t="shared" si="10"/>
        <v>18</v>
      </c>
      <c r="Q146" s="67" t="s">
        <v>3</v>
      </c>
      <c r="R146" s="10" t="b">
        <f>IFERROR(__xludf.DUMMYFUNCTION("IF(COUNTA(Q146:Q1644)=0,"""",IF(ISBLANK(Q146),FALSE,IF(NOT(COUNTIF($AA$24:$AA$34,SUBSTITUTE(Q146,""Sell_"",""""))),1,IF(REGEXMATCH(Q146,""Sell_""),IF(COUNTIF(Q$4:Q146,SUBSTITUTE(Q146,""Sell_"",""""))-COUNTIF(Q$4:Q145,Q146)&lt;1,1),FALSE))))"),FALSE)</f>
        <v>0</v>
      </c>
      <c r="S146" s="59">
        <f t="array" ref="S146">IF(COUNTA(Q146:Q1644)=0,"",SUM((COUNTIF(Q$4:Q146,Upgrades!$B$3:$B$13)-COUNTIF(Q$4:Q146,"Sell_"&amp;Upgrades!$B$3:$B$13))*Upgrades!$D$3:$D$13))</f>
        <v>92133.3</v>
      </c>
      <c r="T146" s="66">
        <f>IFERROR(__xludf.DUMMYFUNCTION("IF(COUNTA(Q146:Q1644)=0,"""",IF(REGEXMATCH(INDEX(FILTER(Q$4:Q146,Q$4:Q146&lt;&gt;""""),ROWS(FILTER(Q$4:Q146,Q$4:Q146&lt;&gt;""""))),""^Sell_""),INDEX(FILTER(T$4:T145,Q$4:Q145&lt;&gt;""""),ROWS(FILTER(Q$4:Q145,Q$4:Q145&lt;&gt;""""))),$AD$5+S146))"),92143.3)</f>
        <v>92143.3</v>
      </c>
      <c r="U146" s="10">
        <f>IFERROR(__xludf.DUMMYFUNCTION("IF(COUNTA(Q146:Q1644)=0,"""",IF(Q146="""",0,IF(REGEXMATCH(Q146,""^Sell_""),-ROUNDDOWN(ROUNDUP(INDEX(Upgrades!$C$3:$C$13,MATCH(SUBSTITUTE(Q146,""Sell_"",""""),Upgrades!$B$3:$B$13,0))*1.15^(COUNTIF(Q$4:Q145,SUBSTITUTE(Q146,""Sell_"",""""))-COUNTIF(Q$4:Q145,"&amp;"""Sell_""&amp;SUBSTITUTE(Q146,""Sell_"",""""))))/2),ROUNDUP(INDEX(Upgrades!$C$3:$C$13,MATCH(Q146,Upgrades!$B$3:$B$13,0))*1.15^(COUNTIF(Q$4:Q145,Q146)-COUNTIF(Q$4:Q145,""Sell_""&amp;Q146))))))"),162.0)</f>
        <v>162</v>
      </c>
      <c r="V146" s="10">
        <f t="shared" si="11"/>
        <v>162</v>
      </c>
      <c r="W146" s="68">
        <f t="shared" si="12"/>
        <v>4199.303289</v>
      </c>
      <c r="X146" s="59" t="str">
        <f t="shared" si="13"/>
        <v>1h 09m 59s</v>
      </c>
      <c r="Y146" s="69">
        <f t="shared" si="14"/>
        <v>62873817</v>
      </c>
      <c r="Z146" s="11"/>
      <c r="AG146" s="59"/>
    </row>
    <row r="147">
      <c r="A147" s="8"/>
      <c r="B147" s="56">
        <f t="shared" si="2"/>
        <v>18</v>
      </c>
      <c r="C147" s="67" t="s">
        <v>4</v>
      </c>
      <c r="D147" s="10" t="b">
        <f>IFERROR(__xludf.DUMMYFUNCTION("IF(COUNTA(C147:C1644)=0,"""",IF(ISBLANK(C147),FALSE,IF(NOT(COUNTIF($AA$24:$AA$34,SUBSTITUTE(C147,""Sell_"",""""))),1,IF(REGEXMATCH(C147,""Sell_""),IF(COUNTIF(C$4:C147,SUBSTITUTE(C147,""Sell_"",""""))-COUNTIF(C$4:C146,C147)&lt;1,1),FALSE))))"),FALSE)</f>
        <v>0</v>
      </c>
      <c r="E147" s="59">
        <f t="array" ref="E147">IF(COUNTA(C147:C1644)=0,"",SUM((COUNTIF(C$4:C147,Upgrades!$B$3:$B$13)-COUNTIF(C$4:C147,"Sell_"&amp;Upgrades!$B$3:$B$13))*Upgrades!$D$3:$D$13))</f>
        <v>106175.1</v>
      </c>
      <c r="F147" s="66">
        <f>IFERROR(__xludf.DUMMYFUNCTION("IF(COUNTA(C147:C1644)=0,"""",IF(REGEXMATCH(INDEX(FILTER(C$4:C147,C$4:C147&lt;&gt;""""),ROWS(FILTER(C$4:C147,C$4:C147&lt;&gt;""""))),""^Sell_""),INDEX(FILTER(F$4:F146,C$4:C146&lt;&gt;""""),ROWS(FILTER(C$4:C146,C$4:C146&lt;&gt;""""))),$AC$5+E147))"),106185.1)</f>
        <v>106185.1</v>
      </c>
      <c r="G147" s="10">
        <f>IFERROR(__xludf.DUMMYFUNCTION("IF(COUNTA(C147:C1644)=0,"""",IF(C147="""",0,IF(REGEXMATCH(C147,""^Sell_""),-ROUNDDOWN(ROUNDUP(INDEX(Upgrades!$C$3:$C$13,MATCH(SUBSTITUTE(C147,""Sell_"",""""),Upgrades!$B$3:$B$13,0))*1.15^(COUNTIF(C$4:C146,SUBSTITUTE(C147,""Sell_"",""""))-COUNTIF(C$4:C146,"&amp;"""Sell_""&amp;SUBSTITUTE(C147,""Sell_"",""""))))/2),ROUNDUP(INDEX(Upgrades!$C$3:$C$13,MATCH(C147,Upgrades!$B$3:$B$13,0))*1.15^(COUNTIF(C$4:C146,C147)-COUNTIF(C$4:C146,""Sell_""&amp;C147))))))"),1077.0)</f>
        <v>1077</v>
      </c>
      <c r="H147" s="10">
        <f t="shared" si="3"/>
        <v>1077</v>
      </c>
      <c r="I147" s="68">
        <f t="shared" si="4"/>
        <v>4473.872118</v>
      </c>
      <c r="J147" s="59" t="str">
        <f t="shared" si="5"/>
        <v>1h 14m 33s</v>
      </c>
      <c r="K147" s="69">
        <f t="shared" si="6"/>
        <v>85994086</v>
      </c>
      <c r="L147" s="60">
        <f t="shared" si="7"/>
        <v>-33.81003</v>
      </c>
      <c r="M147" s="61">
        <f>IFERROR(__xludf.DUMMYFUNCTION("IFS(AND(COUNTA(C147:C1644)=0,COUNTA(Q147:Q1644)=0),"""",OR(AND(K147&gt;=1000000000,OR(Y147&gt;=1000000000,COUNTA(Q147:Q1644)=0)),OR(Y147&gt;=1000000000,AND(COUNTA(C147:C1644)=0,P$3=TRUE))),
ROUNDDOWN((AB$1-AC$1)*MAX(INDEX(T$4:T1644,MATCH(LARGE(FILTER(Y$4:Y1644,Y$4"&amp;":Y1644&lt;1000000000),1),Y$4:Y1644)),INDEX(F$4:F1644,MATCH(LARGE(FILTER(K$4:K1644,K$4:K1644&lt;1000000000),1),K$4:K1644)))),AND(K147&lt;1000000000,COUNTA(C147:C1644)&gt;0,P$3=FALSE),
ROUNDDOWN(INDEX(Y$4:Y1644,MATCH(LARGE(FILTER(W$4:W1644,W$4:W1644&lt;=I147),1),W$4:W1644"&amp;"))+(I147-LARGE(FILTER(W$4:W1644,W$4:W1644&lt;=I147),1))*INDEX(T$4:T1644,MATCH(LARGE(FILTER(W$4:W1644,W$4:W1644&lt;=I147),1),W$4:W1644))-K147),1,
ROUNDDOWN(Y147-INDEX(K$4:K1644,MATCH(LARGE(FILTER(I$4:I1644,I$4:I1644&lt;=W147),1),I$4:I1644))-(W147-LARGE(FILTER(I$4:I"&amp;"1644,I$4:I1644&lt;=W147),1))*INDEX(F$4:F1644,MATCH(LARGE(FILTER(I$4:I1644,I$4:I1644&lt;=W147),1),I$4:I1644))))"),3599503.0)</f>
        <v>3599503</v>
      </c>
      <c r="N147" s="60">
        <f t="shared" si="8"/>
        <v>-33.81003</v>
      </c>
      <c r="O147" s="61" t="str">
        <f t="shared" si="9"/>
        <v>3,6M</v>
      </c>
      <c r="P147" s="56">
        <f t="shared" si="10"/>
        <v>16</v>
      </c>
      <c r="Q147" s="67" t="s">
        <v>4</v>
      </c>
      <c r="R147" s="10" t="b">
        <f>IFERROR(__xludf.DUMMYFUNCTION("IF(COUNTA(Q147:Q1644)=0,"""",IF(ISBLANK(Q147),FALSE,IF(NOT(COUNTIF($AA$24:$AA$34,SUBSTITUTE(Q147,""Sell_"",""""))),1,IF(REGEXMATCH(Q147,""Sell_""),IF(COUNTIF(Q$4:Q147,SUBSTITUTE(Q147,""Sell_"",""""))-COUNTIF(Q$4:Q146,Q147)&lt;1,1),FALSE))))"),FALSE)</f>
        <v>0</v>
      </c>
      <c r="S147" s="59">
        <f t="array" ref="S147">IF(COUNTA(Q147:Q1644)=0,"",SUM((COUNTIF(Q$4:Q147,Upgrades!$B$3:$B$13)-COUNTIF(Q$4:Q147,"Sell_"&amp;Upgrades!$B$3:$B$13))*Upgrades!$D$3:$D$13))</f>
        <v>92133.8</v>
      </c>
      <c r="T147" s="66">
        <f>IFERROR(__xludf.DUMMYFUNCTION("IF(COUNTA(Q147:Q1644)=0,"""",IF(REGEXMATCH(INDEX(FILTER(Q$4:Q147,Q$4:Q147&lt;&gt;""""),ROWS(FILTER(Q$4:Q147,Q$4:Q147&lt;&gt;""""))),""^Sell_""),INDEX(FILTER(T$4:T146,Q$4:Q146&lt;&gt;""""),ROWS(FILTER(Q$4:Q146,Q$4:Q146&lt;&gt;""""))),$AD$5+S147))"),92143.8)</f>
        <v>92143.8</v>
      </c>
      <c r="U147" s="10">
        <f>IFERROR(__xludf.DUMMYFUNCTION("IF(COUNTA(Q147:Q1644)=0,"""",IF(Q147="""",0,IF(REGEXMATCH(Q147,""^Sell_""),-ROUNDDOWN(ROUNDUP(INDEX(Upgrades!$C$3:$C$13,MATCH(SUBSTITUTE(Q147,""Sell_"",""""),Upgrades!$B$3:$B$13,0))*1.15^(COUNTIF(Q$4:Q146,SUBSTITUTE(Q147,""Sell_"",""""))-COUNTIF(Q$4:Q146,"&amp;"""Sell_""&amp;SUBSTITUTE(Q147,""Sell_"",""""))))/2),ROUNDUP(INDEX(Upgrades!$C$3:$C$13,MATCH(Q147,Upgrades!$B$3:$B$13,0))*1.15^(COUNTIF(Q$4:Q146,Q147)-COUNTIF(Q$4:Q146,""Sell_""&amp;Q147))))))"),814.0)</f>
        <v>814</v>
      </c>
      <c r="V147" s="10">
        <f t="shared" si="11"/>
        <v>814</v>
      </c>
      <c r="W147" s="68">
        <f t="shared" si="12"/>
        <v>4199.312123</v>
      </c>
      <c r="X147" s="59" t="str">
        <f t="shared" si="13"/>
        <v>1h 09m 59s</v>
      </c>
      <c r="Y147" s="69">
        <f t="shared" si="14"/>
        <v>62874631</v>
      </c>
      <c r="Z147" s="11"/>
      <c r="AG147" s="59"/>
    </row>
    <row r="148">
      <c r="A148" s="8"/>
      <c r="B148" s="56">
        <f t="shared" si="2"/>
        <v>16</v>
      </c>
      <c r="C148" s="67" t="s">
        <v>10</v>
      </c>
      <c r="D148" s="10" t="b">
        <f>IFERROR(__xludf.DUMMYFUNCTION("IF(COUNTA(C148:C1644)=0,"""",IF(ISBLANK(C148),FALSE,IF(NOT(COUNTIF($AA$24:$AA$34,SUBSTITUTE(C148,""Sell_"",""""))),1,IF(REGEXMATCH(C148,""Sell_""),IF(COUNTIF(C$4:C148,SUBSTITUTE(C148,""Sell_"",""""))-COUNTIF(C$4:C147,C148)&lt;1,1),FALSE))))"),FALSE)</f>
        <v>0</v>
      </c>
      <c r="E148" s="59">
        <f t="array" ref="E148">IF(COUNTA(C148:C1644)=0,"",SUM((COUNTIF(C$4:C148,Upgrades!$B$3:$B$13)-COUNTIF(C$4:C148,"Sell_"&amp;Upgrades!$B$3:$B$13))*Upgrades!$D$3:$D$13))</f>
        <v>112841.1</v>
      </c>
      <c r="F148" s="66">
        <f>IFERROR(__xludf.DUMMYFUNCTION("IF(COUNTA(C148:C1644)=0,"""",IF(REGEXMATCH(INDEX(FILTER(C$4:C148,C$4:C148&lt;&gt;""""),ROWS(FILTER(C$4:C148,C$4:C148&lt;&gt;""""))),""^Sell_""),INDEX(FILTER(F$4:F147,C$4:C147&lt;&gt;""""),ROWS(FILTER(C$4:C147,C$4:C147&lt;&gt;""""))),$AC$5+E148))"),112851.1)</f>
        <v>112851.1</v>
      </c>
      <c r="G148" s="10">
        <f>IFERROR(__xludf.DUMMYFUNCTION("IF(COUNTA(C148:C1644)=0,"""",IF(C148="""",0,IF(REGEXMATCH(C148,""^Sell_""),-ROUNDDOWN(ROUNDUP(INDEX(Upgrades!$C$3:$C$13,MATCH(SUBSTITUTE(C148,""Sell_"",""""),Upgrades!$B$3:$B$13,0))*1.15^(COUNTIF(C$4:C147,SUBSTITUTE(C148,""Sell_"",""""))-COUNTIF(C$4:C147,"&amp;"""Sell_""&amp;SUBSTITUTE(C148,""Sell_"",""""))))/2),ROUNDUP(INDEX(Upgrades!$C$3:$C$13,MATCH(C148,Upgrades!$B$3:$B$13,0))*1.15^(COUNTIF(C$4:C147,C148)-COUNTIF(C$4:C147,""Sell_""&amp;C148))))))"),1.3561764E7)</f>
        <v>13561764</v>
      </c>
      <c r="H148" s="10">
        <f t="shared" si="3"/>
        <v>13561764</v>
      </c>
      <c r="I148" s="68">
        <f t="shared" si="4"/>
        <v>4601.590263</v>
      </c>
      <c r="J148" s="59" t="str">
        <f t="shared" si="5"/>
        <v>1h 16m 41s</v>
      </c>
      <c r="K148" s="69">
        <f t="shared" si="6"/>
        <v>99555850</v>
      </c>
      <c r="L148" s="60">
        <f t="shared" si="7"/>
        <v>-34.25039</v>
      </c>
      <c r="M148" s="61">
        <f>IFERROR(__xludf.DUMMYFUNCTION("IFS(AND(COUNTA(C148:C1644)=0,COUNTA(Q148:Q1644)=0),"""",OR(AND(K148&gt;=1000000000,OR(Y148&gt;=1000000000,COUNTA(Q148:Q1644)=0)),OR(Y148&gt;=1000000000,AND(COUNTA(C148:C1644)=0,P$3=TRUE))),
ROUNDDOWN((AB$1-AC$1)*MAX(INDEX(T$4:T1644,MATCH(LARGE(FILTER(Y$4:Y1644,Y$4"&amp;":Y1644&lt;1000000000),1),Y$4:Y1644)),INDEX(F$4:F1644,MATCH(LARGE(FILTER(K$4:K1644,K$4:K1644&lt;1000000000),1),K$4:K1644)))),AND(K148&lt;1000000000,COUNTA(C148:C1644)&gt;0,P$3=FALSE),
ROUNDDOWN(INDEX(Y$4:Y1644,MATCH(LARGE(FILTER(W$4:W1644,W$4:W1644&lt;=I148),1),W$4:W1644"&amp;"))+(I148-LARGE(FILTER(W$4:W1644,W$4:W1644&lt;=I148),1))*INDEX(T$4:T1644,MATCH(LARGE(FILTER(W$4:W1644,W$4:W1644&lt;=I148),1),W$4:W1644))-K148),1,
ROUNDDOWN(Y148-INDEX(K$4:K1644,MATCH(LARGE(FILTER(I$4:I1644,I$4:I1644&lt;=W148),1),I$4:I1644))-(W148-LARGE(FILTER(I$4:I"&amp;"1644,I$4:I1644&lt;=W148),1))*INDEX(F$4:F1644,MATCH(LARGE(FILTER(I$4:I1644,I$4:I1644&lt;=W148),1),I$4:I1644))))"),3813200.0)</f>
        <v>3813200</v>
      </c>
      <c r="N148" s="60">
        <f t="shared" si="8"/>
        <v>-34.25039</v>
      </c>
      <c r="O148" s="61" t="str">
        <f t="shared" si="9"/>
        <v>3,8M</v>
      </c>
      <c r="P148" s="56">
        <f t="shared" si="10"/>
        <v>14</v>
      </c>
      <c r="Q148" s="67" t="s">
        <v>10</v>
      </c>
      <c r="R148" s="10" t="b">
        <f>IFERROR(__xludf.DUMMYFUNCTION("IF(COUNTA(Q148:Q1644)=0,"""",IF(ISBLANK(Q148),FALSE,IF(NOT(COUNTIF($AA$24:$AA$34,SUBSTITUTE(Q148,""Sell_"",""""))),1,IF(REGEXMATCH(Q148,""Sell_""),IF(COUNTIF(Q$4:Q148,SUBSTITUTE(Q148,""Sell_"",""""))-COUNTIF(Q$4:Q147,Q148)&lt;1,1),FALSE))))"),FALSE)</f>
        <v>0</v>
      </c>
      <c r="S148" s="59">
        <f t="array" ref="S148">IF(COUNTA(Q148:Q1644)=0,"",SUM((COUNTIF(Q$4:Q148,Upgrades!$B$3:$B$13)-COUNTIF(Q$4:Q148,"Sell_"&amp;Upgrades!$B$3:$B$13))*Upgrades!$D$3:$D$13))</f>
        <v>98799.8</v>
      </c>
      <c r="T148" s="66">
        <f>IFERROR(__xludf.DUMMYFUNCTION("IF(COUNTA(Q148:Q1644)=0,"""",IF(REGEXMATCH(INDEX(FILTER(Q$4:Q148,Q$4:Q148&lt;&gt;""""),ROWS(FILTER(Q$4:Q148,Q$4:Q148&lt;&gt;""""))),""^Sell_""),INDEX(FILTER(T$4:T147,Q$4:Q147&lt;&gt;""""),ROWS(FILTER(Q$4:Q147,Q$4:Q147&lt;&gt;""""))),$AD$5+S148))"),98809.8)</f>
        <v>98809.8</v>
      </c>
      <c r="U148" s="10">
        <f>IFERROR(__xludf.DUMMYFUNCTION("IF(COUNTA(Q148:Q1644)=0,"""",IF(Q148="""",0,IF(REGEXMATCH(Q148,""^Sell_""),-ROUNDDOWN(ROUNDUP(INDEX(Upgrades!$C$3:$C$13,MATCH(SUBSTITUTE(Q148,""Sell_"",""""),Upgrades!$B$3:$B$13,0))*1.15^(COUNTIF(Q$4:Q147,SUBSTITUTE(Q148,""Sell_"",""""))-COUNTIF(Q$4:Q147,"&amp;"""Sell_""&amp;SUBSTITUTE(Q148,""Sell_"",""""))))/2),ROUNDUP(INDEX(Upgrades!$C$3:$C$13,MATCH(Q148,Upgrades!$B$3:$B$13,0))*1.15^(COUNTIF(Q$4:Q147,Q148)-COUNTIF(Q$4:Q147,""Sell_""&amp;Q148))))))"),1.0254642E7)</f>
        <v>10254642</v>
      </c>
      <c r="V148" s="10">
        <f t="shared" si="11"/>
        <v>10254642</v>
      </c>
      <c r="W148" s="68">
        <f t="shared" si="12"/>
        <v>4310.601673</v>
      </c>
      <c r="X148" s="59" t="str">
        <f t="shared" si="13"/>
        <v>1h 11m 50s</v>
      </c>
      <c r="Y148" s="69">
        <f t="shared" si="14"/>
        <v>73129273</v>
      </c>
      <c r="Z148" s="11"/>
      <c r="AG148" s="59"/>
    </row>
    <row r="149">
      <c r="A149" s="8"/>
      <c r="B149" s="56">
        <f t="shared" si="2"/>
        <v>11</v>
      </c>
      <c r="C149" s="67" t="s">
        <v>9</v>
      </c>
      <c r="D149" s="10" t="b">
        <f>IFERROR(__xludf.DUMMYFUNCTION("IF(COUNTA(C149:C1644)=0,"""",IF(ISBLANK(C149),FALSE,IF(NOT(COUNTIF($AA$24:$AA$34,SUBSTITUTE(C149,""Sell_"",""""))),1,IF(REGEXMATCH(C149,""Sell_""),IF(COUNTIF(C$4:C149,SUBSTITUTE(C149,""Sell_"",""""))-COUNTIF(C$4:C148,C149)&lt;1,1),FALSE))))"),FALSE)</f>
        <v>0</v>
      </c>
      <c r="E149" s="59">
        <f t="array" ref="E149">IF(COUNTA(C149:C1644)=0,"",SUM((COUNTIF(C$4:C149,Upgrades!$B$3:$B$13)-COUNTIF(C$4:C149,"Sell_"&amp;Upgrades!$B$3:$B$13))*Upgrades!$D$3:$D$13))</f>
        <v>113241.1</v>
      </c>
      <c r="F149" s="66">
        <f>IFERROR(__xludf.DUMMYFUNCTION("IF(COUNTA(C149:C1644)=0,"""",IF(REGEXMATCH(INDEX(FILTER(C$4:C149,C$4:C149&lt;&gt;""""),ROWS(FILTER(C$4:C149,C$4:C149&lt;&gt;""""))),""^Sell_""),INDEX(FILTER(F$4:F148,C$4:C148&lt;&gt;""""),ROWS(FILTER(C$4:C148,C$4:C148&lt;&gt;""""))),$AC$5+E149))"),113251.1)</f>
        <v>113251.1</v>
      </c>
      <c r="G149" s="10">
        <f>IFERROR(__xludf.DUMMYFUNCTION("IF(COUNTA(C149:C1644)=0,"""",IF(C149="""",0,IF(REGEXMATCH(C149,""^Sell_""),-ROUNDDOWN(ROUNDUP(INDEX(Upgrades!$C$3:$C$13,MATCH(SUBSTITUTE(C149,""Sell_"",""""),Upgrades!$B$3:$B$13,0))*1.15^(COUNTIF(C$4:C148,SUBSTITUTE(C149,""Sell_"",""""))-COUNTIF(C$4:C148,"&amp;"""Sell_""&amp;SUBSTITUTE(C149,""Sell_"",""""))))/2),ROUNDUP(INDEX(Upgrades!$C$3:$C$13,MATCH(C149,Upgrades!$B$3:$B$13,0))*1.15^(COUNTIF(C$4:C148,C149)-COUNTIF(C$4:C148,""Sell_""&amp;C149))))))"),809112.0)</f>
        <v>809112</v>
      </c>
      <c r="H149" s="10">
        <f t="shared" si="3"/>
        <v>809112</v>
      </c>
      <c r="I149" s="68">
        <f t="shared" si="4"/>
        <v>4608.759993</v>
      </c>
      <c r="J149" s="59" t="str">
        <f t="shared" si="5"/>
        <v>1h 16m 48s</v>
      </c>
      <c r="K149" s="69">
        <f t="shared" si="6"/>
        <v>100364962</v>
      </c>
      <c r="L149" s="60">
        <f t="shared" si="7"/>
        <v>-33.82888</v>
      </c>
      <c r="M149" s="61">
        <f>IFERROR(__xludf.DUMMYFUNCTION("IFS(AND(COUNTA(C149:C1644)=0,COUNTA(Q149:Q1644)=0),"""",OR(AND(K149&gt;=1000000000,OR(Y149&gt;=1000000000,COUNTA(Q149:Q1644)=0)),OR(Y149&gt;=1000000000,AND(COUNTA(C149:C1644)=0,P$3=TRUE))),
ROUNDDOWN((AB$1-AC$1)*MAX(INDEX(T$4:T1644,MATCH(LARGE(FILTER(Y$4:Y1644,Y$4"&amp;":Y1644&lt;1000000000),1),Y$4:Y1644)),INDEX(F$4:F1644,MATCH(LARGE(FILTER(K$4:K1644,K$4:K1644&lt;1000000000),1),K$4:K1644)))),AND(K149&lt;1000000000,COUNTA(C149:C1644)&gt;0,P$3=FALSE),
ROUNDDOWN(INDEX(Y$4:Y1644,MATCH(LARGE(FILTER(W$4:W1644,W$4:W1644&lt;=I149),1),W$4:W1644"&amp;"))+(I149-LARGE(FILTER(W$4:W1644,W$4:W1644&lt;=I149),1))*INDEX(T$4:T1644,MATCH(LARGE(FILTER(W$4:W1644,W$4:W1644&lt;=I149),1),W$4:W1644))-K149),1,
ROUNDDOWN(Y149-INDEX(K$4:K1644,MATCH(LARGE(FILTER(I$4:I1644,I$4:I1644&lt;=W149),1),I$4:I1644))-(W149-LARGE(FILTER(I$4:I"&amp;"1644,I$4:I1644&lt;=W149),1))*INDEX(F$4:F1644,MATCH(LARGE(FILTER(I$4:I1644,I$4:I1644&lt;=W149),1),I$4:I1644))))"),3816067.0)</f>
        <v>3816067</v>
      </c>
      <c r="N149" s="60">
        <f t="shared" si="8"/>
        <v>-33.82888</v>
      </c>
      <c r="O149" s="61" t="str">
        <f t="shared" si="9"/>
        <v>3,8M</v>
      </c>
      <c r="P149" s="56">
        <f t="shared" si="10"/>
        <v>10</v>
      </c>
      <c r="Q149" s="67" t="s">
        <v>9</v>
      </c>
      <c r="R149" s="10" t="b">
        <f>IFERROR(__xludf.DUMMYFUNCTION("IF(COUNTA(Q149:Q1644)=0,"""",IF(ISBLANK(Q149),FALSE,IF(NOT(COUNTIF($AA$24:$AA$34,SUBSTITUTE(Q149,""Sell_"",""""))),1,IF(REGEXMATCH(Q149,""Sell_""),IF(COUNTIF(Q$4:Q149,SUBSTITUTE(Q149,""Sell_"",""""))-COUNTIF(Q$4:Q148,Q149)&lt;1,1),FALSE))))"),FALSE)</f>
        <v>0</v>
      </c>
      <c r="S149" s="59">
        <f t="array" ref="S149">IF(COUNTA(Q149:Q1644)=0,"",SUM((COUNTIF(Q$4:Q149,Upgrades!$B$3:$B$13)-COUNTIF(Q$4:Q149,"Sell_"&amp;Upgrades!$B$3:$B$13))*Upgrades!$D$3:$D$13))</f>
        <v>99199.8</v>
      </c>
      <c r="T149" s="66">
        <f>IFERROR(__xludf.DUMMYFUNCTION("IF(COUNTA(Q149:Q1644)=0,"""",IF(REGEXMATCH(INDEX(FILTER(Q$4:Q149,Q$4:Q149&lt;&gt;""""),ROWS(FILTER(Q$4:Q149,Q$4:Q149&lt;&gt;""""))),""^Sell_""),INDEX(FILTER(T$4:T148,Q$4:Q148&lt;&gt;""""),ROWS(FILTER(Q$4:Q148,Q$4:Q148&lt;&gt;""""))),$AD$5+S149))"),99209.8)</f>
        <v>99209.8</v>
      </c>
      <c r="U149" s="10">
        <f>IFERROR(__xludf.DUMMYFUNCTION("IF(COUNTA(Q149:Q1644)=0,"""",IF(Q149="""",0,IF(REGEXMATCH(Q149,""^Sell_""),-ROUNDDOWN(ROUNDUP(INDEX(Upgrades!$C$3:$C$13,MATCH(SUBSTITUTE(Q149,""Sell_"",""""),Upgrades!$B$3:$B$13,0))*1.15^(COUNTIF(Q$4:Q148,SUBSTITUTE(Q149,""Sell_"",""""))-COUNTIF(Q$4:Q148,"&amp;"""Sell_""&amp;SUBSTITUTE(Q149,""Sell_"",""""))))/2),ROUNDUP(INDEX(Upgrades!$C$3:$C$13,MATCH(Q149,Upgrades!$B$3:$B$13,0))*1.15^(COUNTIF(Q$4:Q148,Q149)-COUNTIF(Q$4:Q148,""Sell_""&amp;Q149))))))"),703576.0)</f>
        <v>703576</v>
      </c>
      <c r="V149" s="10">
        <f t="shared" si="11"/>
        <v>703576</v>
      </c>
      <c r="W149" s="68">
        <f t="shared" si="12"/>
        <v>4317.722181</v>
      </c>
      <c r="X149" s="59" t="str">
        <f t="shared" si="13"/>
        <v>1h 11m 57s</v>
      </c>
      <c r="Y149" s="69">
        <f t="shared" si="14"/>
        <v>73832849</v>
      </c>
      <c r="Z149" s="11"/>
      <c r="AG149" s="59"/>
    </row>
    <row r="150">
      <c r="A150" s="8"/>
      <c r="B150" s="56">
        <f t="shared" si="2"/>
        <v>1</v>
      </c>
      <c r="C150" s="67" t="s">
        <v>64</v>
      </c>
      <c r="D150" s="10" t="b">
        <f>IFERROR(__xludf.DUMMYFUNCTION("IF(COUNTA(C150:C1644)=0,"""",IF(ISBLANK(C150),FALSE,IF(NOT(COUNTIF($AA$24:$AA$34,SUBSTITUTE(C150,""Sell_"",""""))),1,IF(REGEXMATCH(C150,""Sell_""),IF(COUNTIF(C$4:C150,SUBSTITUTE(C150,""Sell_"",""""))-COUNTIF(C$4:C149,C150)&lt;1,1),FALSE))))"),FALSE)</f>
        <v>0</v>
      </c>
      <c r="E150" s="59">
        <f t="array" ref="E150">IF(COUNTA(C150:C1644)=0,"",SUM((COUNTIF(C$4:C150,Upgrades!$B$3:$B$13)-COUNTIF(C$4:C150,"Sell_"&amp;Upgrades!$B$3:$B$13))*Upgrades!$D$3:$D$13))</f>
        <v>106575.1</v>
      </c>
      <c r="F150" s="66">
        <f>IFERROR(__xludf.DUMMYFUNCTION("IF(COUNTA(C150:C1644)=0,"""",IF(REGEXMATCH(INDEX(FILTER(C$4:C150,C$4:C150&lt;&gt;""""),ROWS(FILTER(C$4:C150,C$4:C150&lt;&gt;""""))),""^Sell_""),INDEX(FILTER(F$4:F149,C$4:C149&lt;&gt;""""),ROWS(FILTER(C$4:C149,C$4:C149&lt;&gt;""""))),$AC$5+E150))"),113251.1)</f>
        <v>113251.1</v>
      </c>
      <c r="G150" s="10">
        <f>IFERROR(__xludf.DUMMYFUNCTION("IF(COUNTA(C150:C1644)=0,"""",IF(C150="""",0,IF(REGEXMATCH(C150,""^Sell_""),-ROUNDDOWN(ROUNDUP(INDEX(Upgrades!$C$3:$C$13,MATCH(SUBSTITUTE(C150,""Sell_"",""""),Upgrades!$B$3:$B$13,0))*1.15^(COUNTIF(C$4:C149,SUBSTITUTE(C150,""Sell_"",""""))-COUNTIF(C$4:C149,"&amp;"""Sell_""&amp;SUBSTITUTE(C150,""Sell_"",""""))))/2),ROUNDUP(INDEX(Upgrades!$C$3:$C$13,MATCH(C150,Upgrades!$B$3:$B$13,0))*1.15^(COUNTIF(C$4:C149,C150)-COUNTIF(C$4:C149,""Sell_""&amp;C150))))))"),-7798014.0)</f>
        <v>-7798014</v>
      </c>
      <c r="H150" s="10">
        <f t="shared" si="3"/>
        <v>-7798014</v>
      </c>
      <c r="I150" s="68">
        <f t="shared" si="4"/>
        <v>4608.759993</v>
      </c>
      <c r="J150" s="59" t="str">
        <f t="shared" si="5"/>
        <v>1h 16m 48s</v>
      </c>
      <c r="K150" s="69">
        <f t="shared" si="6"/>
        <v>100364962</v>
      </c>
      <c r="L150" s="60">
        <f t="shared" si="7"/>
        <v>-33.82888</v>
      </c>
      <c r="M150" s="61">
        <f>IFERROR(__xludf.DUMMYFUNCTION("IFS(AND(COUNTA(C150:C1644)=0,COUNTA(Q150:Q1644)=0),"""",OR(AND(K150&gt;=1000000000,OR(Y150&gt;=1000000000,COUNTA(Q150:Q1644)=0)),OR(Y150&gt;=1000000000,AND(COUNTA(C150:C1644)=0,P$3=TRUE))),
ROUNDDOWN((AB$1-AC$1)*MAX(INDEX(T$4:T1644,MATCH(LARGE(FILTER(Y$4:Y1644,Y$4"&amp;":Y1644&lt;1000000000),1),Y$4:Y1644)),INDEX(F$4:F1644,MATCH(LARGE(FILTER(K$4:K1644,K$4:K1644&lt;1000000000),1),K$4:K1644)))),AND(K150&lt;1000000000,COUNTA(C150:C1644)&gt;0,P$3=FALSE),
ROUNDDOWN(INDEX(Y$4:Y1644,MATCH(LARGE(FILTER(W$4:W1644,W$4:W1644&lt;=I150),1),W$4:W1644"&amp;"))+(I150-LARGE(FILTER(W$4:W1644,W$4:W1644&lt;=I150),1))*INDEX(T$4:T1644,MATCH(LARGE(FILTER(W$4:W1644,W$4:W1644&lt;=I150),1),W$4:W1644))-K150),1,
ROUNDDOWN(Y150-INDEX(K$4:K1644,MATCH(LARGE(FILTER(I$4:I1644,I$4:I1644&lt;=W150),1),I$4:I1644))-(W150-LARGE(FILTER(I$4:I"&amp;"1644,I$4:I1644&lt;=W150),1))*INDEX(F$4:F1644,MATCH(LARGE(FILTER(I$4:I1644,I$4:I1644&lt;=W150),1),I$4:I1644))))"),3816067.0)</f>
        <v>3816067</v>
      </c>
      <c r="N150" s="60">
        <f t="shared" si="8"/>
        <v>-33.82888</v>
      </c>
      <c r="O150" s="61" t="str">
        <f t="shared" si="9"/>
        <v>3,8M</v>
      </c>
      <c r="P150" s="56">
        <f t="shared" si="10"/>
        <v>15</v>
      </c>
      <c r="Q150" s="67" t="s">
        <v>7</v>
      </c>
      <c r="R150" s="10" t="b">
        <f>IFERROR(__xludf.DUMMYFUNCTION("IF(COUNTA(Q150:Q1644)=0,"""",IF(ISBLANK(Q150),FALSE,IF(NOT(COUNTIF($AA$24:$AA$34,SUBSTITUTE(Q150,""Sell_"",""""))),1,IF(REGEXMATCH(Q150,""Sell_""),IF(COUNTIF(Q$4:Q150,SUBSTITUTE(Q150,""Sell_"",""""))-COUNTIF(Q$4:Q149,Q150)&lt;1,1),FALSE))))"),FALSE)</f>
        <v>0</v>
      </c>
      <c r="S150" s="59">
        <f t="array" ref="S150">IF(COUNTA(Q150:Q1644)=0,"",SUM((COUNTIF(Q$4:Q150,Upgrades!$B$3:$B$13)-COUNTIF(Q$4:Q150,"Sell_"&amp;Upgrades!$B$3:$B$13))*Upgrades!$D$3:$D$13))</f>
        <v>99239.8</v>
      </c>
      <c r="T150" s="66">
        <f>IFERROR(__xludf.DUMMYFUNCTION("IF(COUNTA(Q150:Q1644)=0,"""",IF(REGEXMATCH(INDEX(FILTER(Q$4:Q150,Q$4:Q150&lt;&gt;""""),ROWS(FILTER(Q$4:Q150,Q$4:Q150&lt;&gt;""""))),""^Sell_""),INDEX(FILTER(T$4:T149,Q$4:Q149&lt;&gt;""""),ROWS(FILTER(Q$4:Q149,Q$4:Q149&lt;&gt;""""))),$AD$5+S150))"),99249.8)</f>
        <v>99249.8</v>
      </c>
      <c r="U150" s="10">
        <f>IFERROR(__xludf.DUMMYFUNCTION("IF(COUNTA(Q150:Q1644)=0,"""",IF(Q150="""",0,IF(REGEXMATCH(Q150,""^Sell_""),-ROUNDDOWN(ROUNDUP(INDEX(Upgrades!$C$3:$C$13,MATCH(SUBSTITUTE(Q150,""Sell_"",""""),Upgrades!$B$3:$B$13,0))*1.15^(COUNTIF(Q$4:Q149,SUBSTITUTE(Q150,""Sell_"",""""))-COUNTIF(Q$4:Q149,"&amp;"""Sell_""&amp;SUBSTITUTE(Q150,""Sell_"",""""))))/2),ROUNDUP(INDEX(Upgrades!$C$3:$C$13,MATCH(Q150,Upgrades!$B$3:$B$13,0))*1.15^(COUNTIF(Q$4:Q149,Q150)-COUNTIF(Q$4:Q149,""Sell_""&amp;Q150))))))"),70758.0)</f>
        <v>70758</v>
      </c>
      <c r="V150" s="10">
        <f t="shared" si="11"/>
        <v>70758</v>
      </c>
      <c r="W150" s="68">
        <f t="shared" si="12"/>
        <v>4318.435397</v>
      </c>
      <c r="X150" s="59" t="str">
        <f t="shared" si="13"/>
        <v>1h 11m 58s</v>
      </c>
      <c r="Y150" s="69">
        <f t="shared" si="14"/>
        <v>73903607</v>
      </c>
      <c r="Z150" s="11"/>
      <c r="AG150" s="59"/>
    </row>
    <row r="151">
      <c r="A151" s="8"/>
      <c r="B151" s="56">
        <f t="shared" si="2"/>
        <v>2</v>
      </c>
      <c r="C151" s="67" t="s">
        <v>64</v>
      </c>
      <c r="D151" s="10" t="b">
        <f>IFERROR(__xludf.DUMMYFUNCTION("IF(COUNTA(C151:C1644)=0,"""",IF(ISBLANK(C151),FALSE,IF(NOT(COUNTIF($AA$24:$AA$34,SUBSTITUTE(C151,""Sell_"",""""))),1,IF(REGEXMATCH(C151,""Sell_""),IF(COUNTIF(C$4:C151,SUBSTITUTE(C151,""Sell_"",""""))-COUNTIF(C$4:C150,C151)&lt;1,1),FALSE))))"),FALSE)</f>
        <v>0</v>
      </c>
      <c r="E151" s="59">
        <f t="array" ref="E151">IF(COUNTA(C151:C1644)=0,"",SUM((COUNTIF(C$4:C151,Upgrades!$B$3:$B$13)-COUNTIF(C$4:C151,"Sell_"&amp;Upgrades!$B$3:$B$13))*Upgrades!$D$3:$D$13))</f>
        <v>99909.1</v>
      </c>
      <c r="F151" s="66">
        <f>IFERROR(__xludf.DUMMYFUNCTION("IF(COUNTA(C151:C1644)=0,"""",IF(REGEXMATCH(INDEX(FILTER(C$4:C151,C$4:C151&lt;&gt;""""),ROWS(FILTER(C$4:C151,C$4:C151&lt;&gt;""""))),""^Sell_""),INDEX(FILTER(F$4:F150,C$4:C150&lt;&gt;""""),ROWS(FILTER(C$4:C150,C$4:C150&lt;&gt;""""))),$AC$5+E151))"),113251.1)</f>
        <v>113251.1</v>
      </c>
      <c r="G151" s="10">
        <f>IFERROR(__xludf.DUMMYFUNCTION("IF(COUNTA(C151:C1644)=0,"""",IF(C151="""",0,IF(REGEXMATCH(C151,""^Sell_""),-ROUNDDOWN(ROUNDUP(INDEX(Upgrades!$C$3:$C$13,MATCH(SUBSTITUTE(C151,""Sell_"",""""),Upgrades!$B$3:$B$13,0))*1.15^(COUNTIF(C$4:C150,SUBSTITUTE(C151,""Sell_"",""""))-COUNTIF(C$4:C150,"&amp;"""Sell_""&amp;SUBSTITUTE(C151,""Sell_"",""""))))/2),ROUNDUP(INDEX(Upgrades!$C$3:$C$13,MATCH(C151,Upgrades!$B$3:$B$13,0))*1.15^(COUNTIF(C$4:C150,C151)-COUNTIF(C$4:C150,""Sell_""&amp;C151))))))"),-6780882.0)</f>
        <v>-6780882</v>
      </c>
      <c r="H151" s="10">
        <f t="shared" si="3"/>
        <v>-14578896</v>
      </c>
      <c r="I151" s="68">
        <f t="shared" si="4"/>
        <v>4608.759993</v>
      </c>
      <c r="J151" s="59" t="str">
        <f t="shared" si="5"/>
        <v>1h 16m 48s</v>
      </c>
      <c r="K151" s="69">
        <f t="shared" si="6"/>
        <v>100364962</v>
      </c>
      <c r="L151" s="60">
        <f t="shared" si="7"/>
        <v>-33.82888</v>
      </c>
      <c r="M151" s="61">
        <f>IFERROR(__xludf.DUMMYFUNCTION("IFS(AND(COUNTA(C151:C1644)=0,COUNTA(Q151:Q1644)=0),"""",OR(AND(K151&gt;=1000000000,OR(Y151&gt;=1000000000,COUNTA(Q151:Q1644)=0)),OR(Y151&gt;=1000000000,AND(COUNTA(C151:C1644)=0,P$3=TRUE))),
ROUNDDOWN((AB$1-AC$1)*MAX(INDEX(T$4:T1644,MATCH(LARGE(FILTER(Y$4:Y1644,Y$4"&amp;":Y1644&lt;1000000000),1),Y$4:Y1644)),INDEX(F$4:F1644,MATCH(LARGE(FILTER(K$4:K1644,K$4:K1644&lt;1000000000),1),K$4:K1644)))),AND(K151&lt;1000000000,COUNTA(C151:C1644)&gt;0,P$3=FALSE),
ROUNDDOWN(INDEX(Y$4:Y1644,MATCH(LARGE(FILTER(W$4:W1644,W$4:W1644&lt;=I151),1),W$4:W1644"&amp;"))+(I151-LARGE(FILTER(W$4:W1644,W$4:W1644&lt;=I151),1))*INDEX(T$4:T1644,MATCH(LARGE(FILTER(W$4:W1644,W$4:W1644&lt;=I151),1),W$4:W1644))-K151),1,
ROUNDDOWN(Y151-INDEX(K$4:K1644,MATCH(LARGE(FILTER(I$4:I1644,I$4:I1644&lt;=W151),1),I$4:I1644))-(W151-LARGE(FILTER(I$4:I"&amp;"1644,I$4:I1644&lt;=W151),1))*INDEX(F$4:F1644,MATCH(LARGE(FILTER(I$4:I1644,I$4:I1644&lt;=W151),1),I$4:I1644))))"),3816067.0)</f>
        <v>3816067</v>
      </c>
      <c r="N151" s="60">
        <f t="shared" si="8"/>
        <v>-33.82888</v>
      </c>
      <c r="O151" s="61" t="str">
        <f t="shared" si="9"/>
        <v>3,8M</v>
      </c>
      <c r="P151" s="56">
        <f t="shared" si="10"/>
        <v>20</v>
      </c>
      <c r="Q151" s="67" t="s">
        <v>5</v>
      </c>
      <c r="R151" s="10" t="b">
        <f>IFERROR(__xludf.DUMMYFUNCTION("IF(COUNTA(Q151:Q1644)=0,"""",IF(ISBLANK(Q151),FALSE,IF(NOT(COUNTIF($AA$24:$AA$34,SUBSTITUTE(Q151,""Sell_"",""""))),1,IF(REGEXMATCH(Q151,""Sell_""),IF(COUNTIF(Q$4:Q151,SUBSTITUTE(Q151,""Sell_"",""""))-COUNTIF(Q$4:Q150,Q151)&lt;1,1),FALSE))))"),FALSE)</f>
        <v>0</v>
      </c>
      <c r="S151" s="59">
        <f t="array" ref="S151">IF(COUNTA(Q151:Q1644)=0,"",SUM((COUNTIF(Q$4:Q151,Upgrades!$B$3:$B$13)-COUNTIF(Q$4:Q151,"Sell_"&amp;Upgrades!$B$3:$B$13))*Upgrades!$D$3:$D$13))</f>
        <v>99243.8</v>
      </c>
      <c r="T151" s="66">
        <f>IFERROR(__xludf.DUMMYFUNCTION("IF(COUNTA(Q151:Q1644)=0,"""",IF(REGEXMATCH(INDEX(FILTER(Q$4:Q151,Q$4:Q151&lt;&gt;""""),ROWS(FILTER(Q$4:Q151,Q$4:Q151&lt;&gt;""""))),""^Sell_""),INDEX(FILTER(T$4:T150,Q$4:Q150&lt;&gt;""""),ROWS(FILTER(Q$4:Q150,Q$4:Q150&lt;&gt;""""))),$AD$5+S151))"),99253.8)</f>
        <v>99253.8</v>
      </c>
      <c r="U151" s="10">
        <f>IFERROR(__xludf.DUMMYFUNCTION("IF(COUNTA(Q151:Q1644)=0,"""",IF(Q151="""",0,IF(REGEXMATCH(Q151,""^Sell_""),-ROUNDDOWN(ROUNDUP(INDEX(Upgrades!$C$3:$C$13,MATCH(SUBSTITUTE(Q151,""Sell_"",""""),Upgrades!$B$3:$B$13,0))*1.15^(COUNTIF(Q$4:Q150,SUBSTITUTE(Q151,""Sell_"",""""))-COUNTIF(Q$4:Q150,"&amp;"""Sell_""&amp;SUBSTITUTE(Q151,""Sell_"",""""))))/2),ROUNDUP(INDEX(Upgrades!$C$3:$C$13,MATCH(Q151,Upgrades!$B$3:$B$13,0))*1.15^(COUNTIF(Q$4:Q150,Q151)-COUNTIF(Q$4:Q150,""Sell_""&amp;Q151))))))"),7116.0)</f>
        <v>7116</v>
      </c>
      <c r="V151" s="10">
        <f t="shared" si="11"/>
        <v>7116</v>
      </c>
      <c r="W151" s="68">
        <f t="shared" si="12"/>
        <v>4318.507095</v>
      </c>
      <c r="X151" s="59" t="str">
        <f t="shared" si="13"/>
        <v>1h 11m 58s</v>
      </c>
      <c r="Y151" s="69">
        <f t="shared" si="14"/>
        <v>73910723</v>
      </c>
      <c r="Z151" s="11"/>
      <c r="AG151" s="59"/>
    </row>
    <row r="152">
      <c r="A152" s="8"/>
      <c r="B152" s="56">
        <f t="shared" si="2"/>
        <v>5</v>
      </c>
      <c r="C152" s="67" t="s">
        <v>60</v>
      </c>
      <c r="D152" s="10" t="b">
        <f>IFERROR(__xludf.DUMMYFUNCTION("IF(COUNTA(C152:C1644)=0,"""",IF(ISBLANK(C152),FALSE,IF(NOT(COUNTIF($AA$24:$AA$34,SUBSTITUTE(C152,""Sell_"",""""))),1,IF(REGEXMATCH(C152,""Sell_""),IF(COUNTIF(C$4:C152,SUBSTITUTE(C152,""Sell_"",""""))-COUNTIF(C$4:C151,C152)&lt;1,1),FALSE))))"),FALSE)</f>
        <v>0</v>
      </c>
      <c r="E152" s="59">
        <f t="array" ref="E152">IF(COUNTA(C152:C1644)=0,"",SUM((COUNTIF(C$4:C152,Upgrades!$B$3:$B$13)-COUNTIF(C$4:C152,"Sell_"&amp;Upgrades!$B$3:$B$13))*Upgrades!$D$3:$D$13))</f>
        <v>99509.1</v>
      </c>
      <c r="F152" s="66">
        <f>IFERROR(__xludf.DUMMYFUNCTION("IF(COUNTA(C152:C1644)=0,"""",IF(REGEXMATCH(INDEX(FILTER(C$4:C152,C$4:C152&lt;&gt;""""),ROWS(FILTER(C$4:C152,C$4:C152&lt;&gt;""""))),""^Sell_""),INDEX(FILTER(F$4:F151,C$4:C151&lt;&gt;""""),ROWS(FILTER(C$4:C151,C$4:C151&lt;&gt;""""))),$AC$5+E152))"),113251.1)</f>
        <v>113251.1</v>
      </c>
      <c r="G152" s="10">
        <f>IFERROR(__xludf.DUMMYFUNCTION("IF(COUNTA(C152:C1644)=0,"""",IF(C152="""",0,IF(REGEXMATCH(C152,""^Sell_""),-ROUNDDOWN(ROUNDUP(INDEX(Upgrades!$C$3:$C$13,MATCH(SUBSTITUTE(C152,""Sell_"",""""),Upgrades!$B$3:$B$13,0))*1.15^(COUNTIF(C$4:C151,SUBSTITUTE(C152,""Sell_"",""""))-COUNTIF(C$4:C151,"&amp;"""Sell_""&amp;SUBSTITUTE(C152,""Sell_"",""""))))/2),ROUNDUP(INDEX(Upgrades!$C$3:$C$13,MATCH(C152,Upgrades!$B$3:$B$13,0))*1.15^(COUNTIF(C$4:C151,C152)-COUNTIF(C$4:C151,""Sell_""&amp;C152))))))"),-465239.0)</f>
        <v>-465239</v>
      </c>
      <c r="H152" s="10">
        <f t="shared" si="3"/>
        <v>-15044135</v>
      </c>
      <c r="I152" s="68">
        <f t="shared" si="4"/>
        <v>4608.759993</v>
      </c>
      <c r="J152" s="59" t="str">
        <f t="shared" si="5"/>
        <v>1h 16m 48s</v>
      </c>
      <c r="K152" s="69">
        <f t="shared" si="6"/>
        <v>100364962</v>
      </c>
      <c r="L152" s="60">
        <f t="shared" si="7"/>
        <v>-33.82888</v>
      </c>
      <c r="M152" s="61">
        <f>IFERROR(__xludf.DUMMYFUNCTION("IFS(AND(COUNTA(C152:C1644)=0,COUNTA(Q152:Q1644)=0),"""",OR(AND(K152&gt;=1000000000,OR(Y152&gt;=1000000000,COUNTA(Q152:Q1644)=0)),OR(Y152&gt;=1000000000,AND(COUNTA(C152:C1644)=0,P$3=TRUE))),
ROUNDDOWN((AB$1-AC$1)*MAX(INDEX(T$4:T1644,MATCH(LARGE(FILTER(Y$4:Y1644,Y$4"&amp;":Y1644&lt;1000000000),1),Y$4:Y1644)),INDEX(F$4:F1644,MATCH(LARGE(FILTER(K$4:K1644,K$4:K1644&lt;1000000000),1),K$4:K1644)))),AND(K152&lt;1000000000,COUNTA(C152:C1644)&gt;0,P$3=FALSE),
ROUNDDOWN(INDEX(Y$4:Y1644,MATCH(LARGE(FILTER(W$4:W1644,W$4:W1644&lt;=I152),1),W$4:W1644"&amp;"))+(I152-LARGE(FILTER(W$4:W1644,W$4:W1644&lt;=I152),1))*INDEX(T$4:T1644,MATCH(LARGE(FILTER(W$4:W1644,W$4:W1644&lt;=I152),1),W$4:W1644))-K152),1,
ROUNDDOWN(Y152-INDEX(K$4:K1644,MATCH(LARGE(FILTER(I$4:I1644,I$4:I1644&lt;=W152),1),I$4:I1644))-(W152-LARGE(FILTER(I$4:I"&amp;"1644,I$4:I1644&lt;=W152),1))*INDEX(F$4:F1644,MATCH(LARGE(FILTER(I$4:I1644,I$4:I1644&lt;=W152),1),I$4:I1644))))"),3816067.0)</f>
        <v>3816067</v>
      </c>
      <c r="N152" s="60">
        <f t="shared" si="8"/>
        <v>-33.82888</v>
      </c>
      <c r="O152" s="61" t="str">
        <f t="shared" si="9"/>
        <v>3,8M</v>
      </c>
      <c r="P152" s="56">
        <f t="shared" si="10"/>
        <v>14</v>
      </c>
      <c r="Q152" s="67" t="s">
        <v>6</v>
      </c>
      <c r="R152" s="10" t="b">
        <f>IFERROR(__xludf.DUMMYFUNCTION("IF(COUNTA(Q152:Q1644)=0,"""",IF(ISBLANK(Q152),FALSE,IF(NOT(COUNTIF($AA$24:$AA$34,SUBSTITUTE(Q152,""Sell_"",""""))),1,IF(REGEXMATCH(Q152,""Sell_""),IF(COUNTIF(Q$4:Q152,SUBSTITUTE(Q152,""Sell_"",""""))-COUNTIF(Q$4:Q151,Q152)&lt;1,1),FALSE))))"),FALSE)</f>
        <v>0</v>
      </c>
      <c r="S152" s="59">
        <f t="array" ref="S152">IF(COUNTA(Q152:Q1644)=0,"",SUM((COUNTIF(Q$4:Q152,Upgrades!$B$3:$B$13)-COUNTIF(Q$4:Q152,"Sell_"&amp;Upgrades!$B$3:$B$13))*Upgrades!$D$3:$D$13))</f>
        <v>99253.8</v>
      </c>
      <c r="T152" s="66">
        <f>IFERROR(__xludf.DUMMYFUNCTION("IF(COUNTA(Q152:Q1644)=0,"""",IF(REGEXMATCH(INDEX(FILTER(Q$4:Q152,Q$4:Q152&lt;&gt;""""),ROWS(FILTER(Q$4:Q152,Q$4:Q152&lt;&gt;""""))),""^Sell_""),INDEX(FILTER(T$4:T151,Q$4:Q151&lt;&gt;""""),ROWS(FILTER(Q$4:Q151,Q$4:Q151&lt;&gt;""""))),$AD$5+S152))"),99263.8)</f>
        <v>99263.8</v>
      </c>
      <c r="U152" s="10">
        <f>IFERROR(__xludf.DUMMYFUNCTION("IF(COUNTA(Q152:Q1644)=0,"""",IF(Q152="""",0,IF(REGEXMATCH(Q152,""^Sell_""),-ROUNDDOWN(ROUNDUP(INDEX(Upgrades!$C$3:$C$13,MATCH(SUBSTITUTE(Q152,""Sell_"",""""),Upgrades!$B$3:$B$13,0))*1.15^(COUNTIF(Q$4:Q151,SUBSTITUTE(Q152,""Sell_"",""""))-COUNTIF(Q$4:Q151,"&amp;"""Sell_""&amp;SUBSTITUTE(Q152,""Sell_"",""""))))/2),ROUNDUP(INDEX(Upgrades!$C$3:$C$13,MATCH(Q152,Upgrades!$B$3:$B$13,0))*1.15^(COUNTIF(Q$4:Q151,Q152)-COUNTIF(Q$4:Q151,""Sell_""&amp;Q152))))))"),18459.0)</f>
        <v>18459</v>
      </c>
      <c r="V152" s="10">
        <f t="shared" si="11"/>
        <v>18459</v>
      </c>
      <c r="W152" s="68">
        <f t="shared" si="12"/>
        <v>4318.693073</v>
      </c>
      <c r="X152" s="59" t="str">
        <f t="shared" si="13"/>
        <v>1h 11m 58s</v>
      </c>
      <c r="Y152" s="69">
        <f t="shared" si="14"/>
        <v>73929182</v>
      </c>
      <c r="Z152" s="11"/>
      <c r="AG152" s="59"/>
    </row>
    <row r="153">
      <c r="A153" s="8"/>
      <c r="B153" s="56">
        <f t="shared" si="2"/>
        <v>1</v>
      </c>
      <c r="C153" s="67" t="s">
        <v>11</v>
      </c>
      <c r="D153" s="10" t="b">
        <f>IFERROR(__xludf.DUMMYFUNCTION("IF(COUNTA(C153:C1644)=0,"""",IF(ISBLANK(C153),FALSE,IF(NOT(COUNTIF($AA$24:$AA$34,SUBSTITUTE(C153,""Sell_"",""""))),1,IF(REGEXMATCH(C153,""Sell_""),IF(COUNTIF(C$4:C153,SUBSTITUTE(C153,""Sell_"",""""))-COUNTIF(C$4:C152,C153)&lt;1,1),FALSE))))"),FALSE)</f>
        <v>0</v>
      </c>
      <c r="E153" s="59">
        <f t="array" ref="E153">IF(COUNTA(C153:C1644)=0,"",SUM((COUNTIF(C$4:C153,Upgrades!$B$3:$B$13)-COUNTIF(C$4:C153,"Sell_"&amp;Upgrades!$B$3:$B$13))*Upgrades!$D$3:$D$13))</f>
        <v>198274.1</v>
      </c>
      <c r="F153" s="66">
        <f>IFERROR(__xludf.DUMMYFUNCTION("IF(COUNTA(C153:C1644)=0,"""",IF(REGEXMATCH(INDEX(FILTER(C$4:C153,C$4:C153&lt;&gt;""""),ROWS(FILTER(C$4:C153,C$4:C153&lt;&gt;""""))),""^Sell_""),INDEX(FILTER(F$4:F152,C$4:C152&lt;&gt;""""),ROWS(FILTER(C$4:C152,C$4:C152&lt;&gt;""""))),$AC$5+E153))"),198284.1)</f>
        <v>198284.1</v>
      </c>
      <c r="G153" s="10">
        <f>IFERROR(__xludf.DUMMYFUNCTION("IF(COUNTA(C153:C1644)=0,"""",IF(C153="""",0,IF(REGEXMATCH(C153,""^Sell_""),-ROUNDDOWN(ROUNDUP(INDEX(Upgrades!$C$3:$C$13,MATCH(SUBSTITUTE(C153,""Sell_"",""""),Upgrades!$B$3:$B$13,0))*1.15^(COUNTIF(C$4:C152,SUBSTITUTE(C153,""Sell_"",""""))-COUNTIF(C$4:C152,"&amp;"""Sell_""&amp;SUBSTITUTE(C153,""Sell_"",""""))))/2),ROUNDUP(INDEX(Upgrades!$C$3:$C$13,MATCH(C153,Upgrades!$B$3:$B$13,0))*1.15^(COUNTIF(C$4:C152,C153)-COUNTIF(C$4:C152,""Sell_""&amp;C153))))))"),1.23456789E8)</f>
        <v>123456789</v>
      </c>
      <c r="H153" s="10">
        <f t="shared" si="3"/>
        <v>108412654</v>
      </c>
      <c r="I153" s="68">
        <f t="shared" si="4"/>
        <v>5566.036823</v>
      </c>
      <c r="J153" s="59" t="str">
        <f t="shared" si="5"/>
        <v>1h 32m 46s</v>
      </c>
      <c r="K153" s="69">
        <f t="shared" si="6"/>
        <v>208777616</v>
      </c>
      <c r="L153" s="60">
        <f t="shared" si="7"/>
        <v>-102.96687</v>
      </c>
      <c r="M153" s="61">
        <f>IFERROR(__xludf.DUMMYFUNCTION("IFS(AND(COUNTA(C153:C1644)=0,COUNTA(Q153:Q1644)=0),"""",OR(AND(K153&gt;=1000000000,OR(Y153&gt;=1000000000,COUNTA(Q153:Q1644)=0)),OR(Y153&gt;=1000000000,AND(COUNTA(C153:C1644)=0,P$3=TRUE))),
ROUNDDOWN((AB$1-AC$1)*MAX(INDEX(T$4:T1644,MATCH(LARGE(FILTER(Y$4:Y1644,Y$4"&amp;":Y1644&lt;1000000000),1),Y$4:Y1644)),INDEX(F$4:F1644,MATCH(LARGE(FILTER(K$4:K1644,K$4:K1644&lt;1000000000),1),K$4:K1644)))),AND(K153&lt;1000000000,COUNTA(C153:C1644)&gt;0,P$3=FALSE),
ROUNDDOWN(INDEX(Y$4:Y1644,MATCH(LARGE(FILTER(W$4:W1644,W$4:W1644&lt;=I153),1),W$4:W1644"&amp;"))+(I153-LARGE(FILTER(W$4:W1644,W$4:W1644&lt;=I153),1))*INDEX(T$4:T1644,MATCH(LARGE(FILTER(W$4:W1644,W$4:W1644&lt;=I153),1),W$4:W1644))-K153),1,
ROUNDDOWN(Y153-INDEX(K$4:K1644,MATCH(LARGE(FILTER(I$4:I1644,I$4:I1644&lt;=W153),1),I$4:I1644))-(W153-LARGE(FILTER(I$4:I"&amp;"1644,I$4:I1644&lt;=W153),1))*INDEX(F$4:F1644,MATCH(LARGE(FILTER(I$4:I1644,I$4:I1644&lt;=W153),1),I$4:I1644))))"),1.9621591E7)</f>
        <v>19621591</v>
      </c>
      <c r="N153" s="60">
        <f t="shared" si="8"/>
        <v>-102.96687</v>
      </c>
      <c r="O153" s="61" t="str">
        <f t="shared" si="9"/>
        <v>19,6M</v>
      </c>
      <c r="P153" s="56">
        <f t="shared" si="10"/>
        <v>19</v>
      </c>
      <c r="Q153" s="67" t="s">
        <v>3</v>
      </c>
      <c r="R153" s="10" t="b">
        <f>IFERROR(__xludf.DUMMYFUNCTION("IF(COUNTA(Q153:Q1644)=0,"""",IF(ISBLANK(Q153),FALSE,IF(NOT(COUNTIF($AA$24:$AA$34,SUBSTITUTE(Q153,""Sell_"",""""))),1,IF(REGEXMATCH(Q153,""Sell_""),IF(COUNTIF(Q$4:Q153,SUBSTITUTE(Q153,""Sell_"",""""))-COUNTIF(Q$4:Q152,Q153)&lt;1,1),FALSE))))"),FALSE)</f>
        <v>0</v>
      </c>
      <c r="S153" s="59">
        <f t="array" ref="S153">IF(COUNTA(Q153:Q1644)=0,"",SUM((COUNTIF(Q$4:Q153,Upgrades!$B$3:$B$13)-COUNTIF(Q$4:Q153,"Sell_"&amp;Upgrades!$B$3:$B$13))*Upgrades!$D$3:$D$13))</f>
        <v>99253.9</v>
      </c>
      <c r="T153" s="66">
        <f>IFERROR(__xludf.DUMMYFUNCTION("IF(COUNTA(Q153:Q1644)=0,"""",IF(REGEXMATCH(INDEX(FILTER(Q$4:Q153,Q$4:Q153&lt;&gt;""""),ROWS(FILTER(Q$4:Q153,Q$4:Q153&lt;&gt;""""))),""^Sell_""),INDEX(FILTER(T$4:T152,Q$4:Q152&lt;&gt;""""),ROWS(FILTER(Q$4:Q152,Q$4:Q152&lt;&gt;""""))),$AD$5+S153))"),99263.9)</f>
        <v>99263.9</v>
      </c>
      <c r="U153" s="10">
        <f>IFERROR(__xludf.DUMMYFUNCTION("IF(COUNTA(Q153:Q1644)=0,"""",IF(Q153="""",0,IF(REGEXMATCH(Q153,""^Sell_""),-ROUNDDOWN(ROUNDUP(INDEX(Upgrades!$C$3:$C$13,MATCH(SUBSTITUTE(Q153,""Sell_"",""""),Upgrades!$B$3:$B$13,0))*1.15^(COUNTIF(Q$4:Q152,SUBSTITUTE(Q153,""Sell_"",""""))-COUNTIF(Q$4:Q152,"&amp;"""Sell_""&amp;SUBSTITUTE(Q153,""Sell_"",""""))))/2),ROUNDUP(INDEX(Upgrades!$C$3:$C$13,MATCH(Q153,Upgrades!$B$3:$B$13,0))*1.15^(COUNTIF(Q$4:Q152,Q153)-COUNTIF(Q$4:Q152,""Sell_""&amp;Q153))))))"),186.0)</f>
        <v>186</v>
      </c>
      <c r="V153" s="10">
        <f t="shared" si="11"/>
        <v>186</v>
      </c>
      <c r="W153" s="68">
        <f t="shared" si="12"/>
        <v>4318.694946</v>
      </c>
      <c r="X153" s="59" t="str">
        <f t="shared" si="13"/>
        <v>1h 11m 58s</v>
      </c>
      <c r="Y153" s="69">
        <f t="shared" si="14"/>
        <v>73929368</v>
      </c>
      <c r="Z153" s="11"/>
      <c r="AG153" s="59"/>
    </row>
    <row r="154">
      <c r="A154" s="8"/>
      <c r="B154" s="56">
        <f t="shared" si="2"/>
        <v>15</v>
      </c>
      <c r="C154" s="67" t="s">
        <v>10</v>
      </c>
      <c r="D154" s="10" t="b">
        <f>IFERROR(__xludf.DUMMYFUNCTION("IF(COUNTA(C154:C1644)=0,"""",IF(ISBLANK(C154),FALSE,IF(NOT(COUNTIF($AA$24:$AA$34,SUBSTITUTE(C154,""Sell_"",""""))),1,IF(REGEXMATCH(C154,""Sell_""),IF(COUNTIF(C$4:C154,SUBSTITUTE(C154,""Sell_"",""""))-COUNTIF(C$4:C153,C154)&lt;1,1),FALSE))))"),FALSE)</f>
        <v>0</v>
      </c>
      <c r="E154" s="59">
        <f t="array" ref="E154">IF(COUNTA(C154:C1644)=0,"",SUM((COUNTIF(C$4:C154,Upgrades!$B$3:$B$13)-COUNTIF(C$4:C154,"Sell_"&amp;Upgrades!$B$3:$B$13))*Upgrades!$D$3:$D$13))</f>
        <v>204940.1</v>
      </c>
      <c r="F154" s="66">
        <f>IFERROR(__xludf.DUMMYFUNCTION("IF(COUNTA(C154:C1644)=0,"""",IF(REGEXMATCH(INDEX(FILTER(C$4:C154,C$4:C154&lt;&gt;""""),ROWS(FILTER(C$4:C154,C$4:C154&lt;&gt;""""))),""^Sell_""),INDEX(FILTER(F$4:F153,C$4:C153&lt;&gt;""""),ROWS(FILTER(C$4:C153,C$4:C153&lt;&gt;""""))),$AC$5+E154))"),204950.1)</f>
        <v>204950.1</v>
      </c>
      <c r="G154" s="10">
        <f>IFERROR(__xludf.DUMMYFUNCTION("IF(COUNTA(C154:C1644)=0,"""",IF(C154="""",0,IF(REGEXMATCH(C154,""^Sell_""),-ROUNDDOWN(ROUNDUP(INDEX(Upgrades!$C$3:$C$13,MATCH(SUBSTITUTE(C154,""Sell_"",""""),Upgrades!$B$3:$B$13,0))*1.15^(COUNTIF(C$4:C153,SUBSTITUTE(C154,""Sell_"",""""))-COUNTIF(C$4:C153,"&amp;"""Sell_""&amp;SUBSTITUTE(C154,""Sell_"",""""))))/2),ROUNDUP(INDEX(Upgrades!$C$3:$C$13,MATCH(C154,Upgrades!$B$3:$B$13,0))*1.15^(COUNTIF(C$4:C153,C154)-COUNTIF(C$4:C153,""Sell_""&amp;C154))))))"),1.1792839E7)</f>
        <v>11792839</v>
      </c>
      <c r="H154" s="10">
        <f t="shared" si="3"/>
        <v>11792839</v>
      </c>
      <c r="I154" s="68">
        <f t="shared" si="4"/>
        <v>5625.511279</v>
      </c>
      <c r="J154" s="59" t="str">
        <f t="shared" si="5"/>
        <v>1h 33m 45s</v>
      </c>
      <c r="K154" s="69">
        <f t="shared" si="6"/>
        <v>220570455</v>
      </c>
      <c r="L154" s="60">
        <f t="shared" si="7"/>
        <v>-99.72647</v>
      </c>
      <c r="M154" s="61">
        <f>IFERROR(__xludf.DUMMYFUNCTION("IFS(AND(COUNTA(C154:C1644)=0,COUNTA(Q154:Q1644)=0),"""",OR(AND(K154&gt;=1000000000,OR(Y154&gt;=1000000000,COUNTA(Q154:Q1644)=0)),OR(Y154&gt;=1000000000,AND(COUNTA(C154:C1644)=0,P$3=TRUE))),
ROUNDDOWN((AB$1-AC$1)*MAX(INDEX(T$4:T1644,MATCH(LARGE(FILTER(Y$4:Y1644,Y$4"&amp;":Y1644&lt;1000000000),1),Y$4:Y1644)),INDEX(F$4:F1644,MATCH(LARGE(FILTER(K$4:K1644,K$4:K1644&lt;1000000000),1),K$4:K1644)))),AND(K154&lt;1000000000,COUNTA(C154:C1644)&gt;0,P$3=FALSE),
ROUNDDOWN(INDEX(Y$4:Y1644,MATCH(LARGE(FILTER(W$4:W1644,W$4:W1644&lt;=I154),1),W$4:W1644"&amp;"))+(I154-LARGE(FILTER(W$4:W1644,W$4:W1644&lt;=I154),1))*INDEX(T$4:T1644,MATCH(LARGE(FILTER(W$4:W1644,W$4:W1644&lt;=I154),1),W$4:W1644))-K154),1,
ROUNDDOWN(Y154-INDEX(K$4:K1644,MATCH(LARGE(FILTER(I$4:I1644,I$4:I1644&lt;=W154),1),I$4:I1644))-(W154-LARGE(FILTER(I$4:I"&amp;"1644,I$4:I1644&lt;=W154),1))*INDEX(F$4:F1644,MATCH(LARGE(FILTER(I$4:I1644,I$4:I1644&lt;=W154),1),I$4:I1644))))"),1.9721602E7)</f>
        <v>19721602</v>
      </c>
      <c r="N154" s="60">
        <f t="shared" si="8"/>
        <v>-99.72647</v>
      </c>
      <c r="O154" s="61" t="str">
        <f t="shared" si="9"/>
        <v>19,7M</v>
      </c>
      <c r="P154" s="56">
        <f t="shared" si="10"/>
        <v>12</v>
      </c>
      <c r="Q154" s="67" t="s">
        <v>8</v>
      </c>
      <c r="R154" s="10" t="b">
        <f>IFERROR(__xludf.DUMMYFUNCTION("IF(COUNTA(Q154:Q1644)=0,"""",IF(ISBLANK(Q154),FALSE,IF(NOT(COUNTIF($AA$24:$AA$34,SUBSTITUTE(Q154,""Sell_"",""""))),1,IF(REGEXMATCH(Q154,""Sell_""),IF(COUNTIF(Q$4:Q154,SUBSTITUTE(Q154,""Sell_"",""""))-COUNTIF(Q$4:Q153,Q154)&lt;1,1),FALSE))))"),FALSE)</f>
        <v>0</v>
      </c>
      <c r="S154" s="59">
        <f t="array" ref="S154">IF(COUNTA(Q154:Q1644)=0,"",SUM((COUNTIF(Q$4:Q154,Upgrades!$B$3:$B$13)-COUNTIF(Q$4:Q154,"Sell_"&amp;Upgrades!$B$3:$B$13))*Upgrades!$D$3:$D$13))</f>
        <v>99353.9</v>
      </c>
      <c r="T154" s="66">
        <f>IFERROR(__xludf.DUMMYFUNCTION("IF(COUNTA(Q154:Q1644)=0,"""",IF(REGEXMATCH(INDEX(FILTER(Q$4:Q154,Q$4:Q154&lt;&gt;""""),ROWS(FILTER(Q$4:Q154,Q$4:Q154&lt;&gt;""""))),""^Sell_""),INDEX(FILTER(T$4:T153,Q$4:Q153&lt;&gt;""""),ROWS(FILTER(Q$4:Q153,Q$4:Q153&lt;&gt;""""))),$AD$5+S154))"),99363.9)</f>
        <v>99363.9</v>
      </c>
      <c r="U154" s="10">
        <f>IFERROR(__xludf.DUMMYFUNCTION("IF(COUNTA(Q154:Q1644)=0,"""",IF(Q154="""",0,IF(REGEXMATCH(Q154,""^Sell_""),-ROUNDDOWN(ROUNDUP(INDEX(Upgrades!$C$3:$C$13,MATCH(SUBSTITUTE(Q154,""Sell_"",""""),Upgrades!$B$3:$B$13,0))*1.15^(COUNTIF(Q$4:Q153,SUBSTITUTE(Q154,""Sell_"",""""))-COUNTIF(Q$4:Q153,"&amp;"""Sell_""&amp;SUBSTITUTE(Q154,""Sell_"",""""))))/2),ROUNDUP(INDEX(Upgrades!$C$3:$C$13,MATCH(Q154,Upgrades!$B$3:$B$13,0))*1.15^(COUNTIF(Q$4:Q153,Q154)-COUNTIF(Q$4:Q153,""Sell_""&amp;Q154))))))"),186096.0)</f>
        <v>186096</v>
      </c>
      <c r="V154" s="10">
        <f t="shared" si="11"/>
        <v>186096</v>
      </c>
      <c r="W154" s="68">
        <f t="shared" si="12"/>
        <v>4320.569706</v>
      </c>
      <c r="X154" s="59" t="str">
        <f t="shared" si="13"/>
        <v>1h 12m 00s</v>
      </c>
      <c r="Y154" s="69">
        <f t="shared" si="14"/>
        <v>74115464</v>
      </c>
      <c r="Z154" s="11"/>
      <c r="AG154" s="59"/>
    </row>
    <row r="155">
      <c r="A155" s="8"/>
      <c r="B155" s="56">
        <f t="shared" si="2"/>
        <v>16</v>
      </c>
      <c r="C155" s="67" t="s">
        <v>10</v>
      </c>
      <c r="D155" s="10" t="b">
        <f>IFERROR(__xludf.DUMMYFUNCTION("IF(COUNTA(C155:C1644)=0,"""",IF(ISBLANK(C155),FALSE,IF(NOT(COUNTIF($AA$24:$AA$34,SUBSTITUTE(C155,""Sell_"",""""))),1,IF(REGEXMATCH(C155,""Sell_""),IF(COUNTIF(C$4:C155,SUBSTITUTE(C155,""Sell_"",""""))-COUNTIF(C$4:C154,C155)&lt;1,1),FALSE))))"),FALSE)</f>
        <v>0</v>
      </c>
      <c r="E155" s="59">
        <f t="array" ref="E155">IF(COUNTA(C155:C1644)=0,"",SUM((COUNTIF(C$4:C155,Upgrades!$B$3:$B$13)-COUNTIF(C$4:C155,"Sell_"&amp;Upgrades!$B$3:$B$13))*Upgrades!$D$3:$D$13))</f>
        <v>211606.1</v>
      </c>
      <c r="F155" s="66">
        <f>IFERROR(__xludf.DUMMYFUNCTION("IF(COUNTA(C155:C1644)=0,"""",IF(REGEXMATCH(INDEX(FILTER(C$4:C155,C$4:C155&lt;&gt;""""),ROWS(FILTER(C$4:C155,C$4:C155&lt;&gt;""""))),""^Sell_""),INDEX(FILTER(F$4:F154,C$4:C154&lt;&gt;""""),ROWS(FILTER(C$4:C154,C$4:C154&lt;&gt;""""))),$AC$5+E155))"),211616.1)</f>
        <v>211616.1</v>
      </c>
      <c r="G155" s="10">
        <f>IFERROR(__xludf.DUMMYFUNCTION("IF(COUNTA(C155:C1644)=0,"""",IF(C155="""",0,IF(REGEXMATCH(C155,""^Sell_""),-ROUNDDOWN(ROUNDUP(INDEX(Upgrades!$C$3:$C$13,MATCH(SUBSTITUTE(C155,""Sell_"",""""),Upgrades!$B$3:$B$13,0))*1.15^(COUNTIF(C$4:C154,SUBSTITUTE(C155,""Sell_"",""""))-COUNTIF(C$4:C154,"&amp;"""Sell_""&amp;SUBSTITUTE(C155,""Sell_"",""""))))/2),ROUNDUP(INDEX(Upgrades!$C$3:$C$13,MATCH(C155,Upgrades!$B$3:$B$13,0))*1.15^(COUNTIF(C$4:C154,C155)-COUNTIF(C$4:C154,""Sell_""&amp;C155))))))"),1.3561764E7)</f>
        <v>13561764</v>
      </c>
      <c r="H155" s="10">
        <f t="shared" si="3"/>
        <v>13561764</v>
      </c>
      <c r="I155" s="68">
        <f t="shared" si="4"/>
        <v>5691.682333</v>
      </c>
      <c r="J155" s="59" t="str">
        <f t="shared" si="5"/>
        <v>1h 34m 51s</v>
      </c>
      <c r="K155" s="69">
        <f t="shared" si="6"/>
        <v>234132219</v>
      </c>
      <c r="L155" s="60">
        <f t="shared" si="7"/>
        <v>-96.70318</v>
      </c>
      <c r="M155" s="61">
        <f>IFERROR(__xludf.DUMMYFUNCTION("IFS(AND(COUNTA(C155:C1644)=0,COUNTA(Q155:Q1644)=0),"""",OR(AND(K155&gt;=1000000000,OR(Y155&gt;=1000000000,COUNTA(Q155:Q1644)=0)),OR(Y155&gt;=1000000000,AND(COUNTA(C155:C1644)=0,P$3=TRUE))),
ROUNDDOWN((AB$1-AC$1)*MAX(INDEX(T$4:T1644,MATCH(LARGE(FILTER(Y$4:Y1644,Y$4"&amp;":Y1644&lt;1000000000),1),Y$4:Y1644)),INDEX(F$4:F1644,MATCH(LARGE(FILTER(K$4:K1644,K$4:K1644&lt;1000000000),1),K$4:K1644)))),AND(K155&lt;1000000000,COUNTA(C155:C1644)&gt;0,P$3=FALSE),
ROUNDDOWN(INDEX(Y$4:Y1644,MATCH(LARGE(FILTER(W$4:W1644,W$4:W1644&lt;=I155),1),W$4:W1644"&amp;"))+(I155-LARGE(FILTER(W$4:W1644,W$4:W1644&lt;=I155),1))*INDEX(T$4:T1644,MATCH(LARGE(FILTER(W$4:W1644,W$4:W1644&lt;=I155),1),W$4:W1644))-K155),1,
ROUNDDOWN(Y155-INDEX(K$4:K1644,MATCH(LARGE(FILTER(I$4:I1644,I$4:I1644&lt;=W155),1),I$4:I1644))-(W155-LARGE(FILTER(I$4:I"&amp;"1644,I$4:I1644&lt;=W155),1))*INDEX(F$4:F1644,MATCH(LARGE(FILTER(I$4:I1644,I$4:I1644&lt;=W155),1),I$4:I1644))))"),1.9815699E7)</f>
        <v>19815699</v>
      </c>
      <c r="N155" s="60">
        <f t="shared" si="8"/>
        <v>-96.70318</v>
      </c>
      <c r="O155" s="61" t="str">
        <f t="shared" si="9"/>
        <v>19,8M</v>
      </c>
      <c r="P155" s="56">
        <f t="shared" si="10"/>
        <v>17</v>
      </c>
      <c r="Q155" s="67" t="s">
        <v>4</v>
      </c>
      <c r="R155" s="10" t="b">
        <f>IFERROR(__xludf.DUMMYFUNCTION("IF(COUNTA(Q155:Q1644)=0,"""",IF(ISBLANK(Q155),FALSE,IF(NOT(COUNTIF($AA$24:$AA$34,SUBSTITUTE(Q155,""Sell_"",""""))),1,IF(REGEXMATCH(Q155,""Sell_""),IF(COUNTIF(Q$4:Q155,SUBSTITUTE(Q155,""Sell_"",""""))-COUNTIF(Q$4:Q154,Q155)&lt;1,1),FALSE))))"),FALSE)</f>
        <v>0</v>
      </c>
      <c r="S155" s="59">
        <f t="array" ref="S155">IF(COUNTA(Q155:Q1644)=0,"",SUM((COUNTIF(Q$4:Q155,Upgrades!$B$3:$B$13)-COUNTIF(Q$4:Q155,"Sell_"&amp;Upgrades!$B$3:$B$13))*Upgrades!$D$3:$D$13))</f>
        <v>99354.4</v>
      </c>
      <c r="T155" s="66">
        <f>IFERROR(__xludf.DUMMYFUNCTION("IF(COUNTA(Q155:Q1644)=0,"""",IF(REGEXMATCH(INDEX(FILTER(Q$4:Q155,Q$4:Q155&lt;&gt;""""),ROWS(FILTER(Q$4:Q155,Q$4:Q155&lt;&gt;""""))),""^Sell_""),INDEX(FILTER(T$4:T154,Q$4:Q154&lt;&gt;""""),ROWS(FILTER(Q$4:Q154,Q$4:Q154&lt;&gt;""""))),$AD$5+S155))"),99364.4)</f>
        <v>99364.4</v>
      </c>
      <c r="U155" s="10">
        <f>IFERROR(__xludf.DUMMYFUNCTION("IF(COUNTA(Q155:Q1644)=0,"""",IF(Q155="""",0,IF(REGEXMATCH(Q155,""^Sell_""),-ROUNDDOWN(ROUNDUP(INDEX(Upgrades!$C$3:$C$13,MATCH(SUBSTITUTE(Q155,""Sell_"",""""),Upgrades!$B$3:$B$13,0))*1.15^(COUNTIF(Q$4:Q154,SUBSTITUTE(Q155,""Sell_"",""""))-COUNTIF(Q$4:Q154,"&amp;"""Sell_""&amp;SUBSTITUTE(Q155,""Sell_"",""""))))/2),ROUNDUP(INDEX(Upgrades!$C$3:$C$13,MATCH(Q155,Upgrades!$B$3:$B$13,0))*1.15^(COUNTIF(Q$4:Q154,Q155)-COUNTIF(Q$4:Q154,""Sell_""&amp;Q155))))))"),936.0)</f>
        <v>936</v>
      </c>
      <c r="V155" s="10">
        <f t="shared" si="11"/>
        <v>936</v>
      </c>
      <c r="W155" s="68">
        <f t="shared" si="12"/>
        <v>4320.579126</v>
      </c>
      <c r="X155" s="59" t="str">
        <f t="shared" si="13"/>
        <v>1h 12m 00s</v>
      </c>
      <c r="Y155" s="69">
        <f t="shared" si="14"/>
        <v>74116400</v>
      </c>
      <c r="Z155" s="11"/>
      <c r="AG155" s="59"/>
    </row>
    <row r="156">
      <c r="A156" s="8"/>
      <c r="B156" s="56">
        <f t="shared" si="2"/>
        <v>2</v>
      </c>
      <c r="C156" s="67" t="s">
        <v>11</v>
      </c>
      <c r="D156" s="10" t="b">
        <f>IFERROR(__xludf.DUMMYFUNCTION("IF(COUNTA(C156:C1644)=0,"""",IF(ISBLANK(C156),FALSE,IF(NOT(COUNTIF($AA$24:$AA$34,SUBSTITUTE(C156,""Sell_"",""""))),1,IF(REGEXMATCH(C156,""Sell_""),IF(COUNTIF(C$4:C156,SUBSTITUTE(C156,""Sell_"",""""))-COUNTIF(C$4:C155,C156)&lt;1,1),FALSE))))"),FALSE)</f>
        <v>0</v>
      </c>
      <c r="E156" s="59">
        <f t="array" ref="E156">IF(COUNTA(C156:C1644)=0,"",SUM((COUNTIF(C$4:C156,Upgrades!$B$3:$B$13)-COUNTIF(C$4:C156,"Sell_"&amp;Upgrades!$B$3:$B$13))*Upgrades!$D$3:$D$13))</f>
        <v>310371.1</v>
      </c>
      <c r="F156" s="66">
        <f>IFERROR(__xludf.DUMMYFUNCTION("IF(COUNTA(C156:C1644)=0,"""",IF(REGEXMATCH(INDEX(FILTER(C$4:C156,C$4:C156&lt;&gt;""""),ROWS(FILTER(C$4:C156,C$4:C156&lt;&gt;""""))),""^Sell_""),INDEX(FILTER(F$4:F155,C$4:C155&lt;&gt;""""),ROWS(FILTER(C$4:C155,C$4:C155&lt;&gt;""""))),$AC$5+E156))"),310381.1)</f>
        <v>310381.1</v>
      </c>
      <c r="G156" s="10">
        <f>IFERROR(__xludf.DUMMYFUNCTION("IF(COUNTA(C156:C1644)=0,"""",IF(C156="""",0,IF(REGEXMATCH(C156,""^Sell_""),-ROUNDDOWN(ROUNDUP(INDEX(Upgrades!$C$3:$C$13,MATCH(SUBSTITUTE(C156,""Sell_"",""""),Upgrades!$B$3:$B$13,0))*1.15^(COUNTIF(C$4:C155,SUBSTITUTE(C156,""Sell_"",""""))-COUNTIF(C$4:C155,"&amp;"""Sell_""&amp;SUBSTITUTE(C156,""Sell_"",""""))))/2),ROUNDUP(INDEX(Upgrades!$C$3:$C$13,MATCH(C156,Upgrades!$B$3:$B$13,0))*1.15^(COUNTIF(C$4:C155,C156)-COUNTIF(C$4:C155,""Sell_""&amp;C156))))))"),1.41975308E8)</f>
        <v>141975308</v>
      </c>
      <c r="H156" s="10">
        <f t="shared" si="3"/>
        <v>141975308</v>
      </c>
      <c r="I156" s="68">
        <f t="shared" si="4"/>
        <v>6362.592098</v>
      </c>
      <c r="J156" s="59" t="str">
        <f t="shared" si="5"/>
        <v>1h 46m 02s</v>
      </c>
      <c r="K156" s="69">
        <f t="shared" si="6"/>
        <v>376107527</v>
      </c>
      <c r="L156" s="60">
        <f t="shared" si="7"/>
        <v>-112.37735</v>
      </c>
      <c r="M156" s="61">
        <f>IFERROR(__xludf.DUMMYFUNCTION("IFS(AND(COUNTA(C156:C1644)=0,COUNTA(Q156:Q1644)=0),"""",OR(AND(K156&gt;=1000000000,OR(Y156&gt;=1000000000,COUNTA(Q156:Q1644)=0)),OR(Y156&gt;=1000000000,AND(COUNTA(C156:C1644)=0,P$3=TRUE))),
ROUNDDOWN((AB$1-AC$1)*MAX(INDEX(T$4:T1644,MATCH(LARGE(FILTER(Y$4:Y1644,Y$4"&amp;":Y1644&lt;1000000000),1),Y$4:Y1644)),INDEX(F$4:F1644,MATCH(LARGE(FILTER(K$4:K1644,K$4:K1644&lt;1000000000),1),K$4:K1644)))),AND(K156&lt;1000000000,COUNTA(C156:C1644)&gt;0,P$3=FALSE),
ROUNDDOWN(INDEX(Y$4:Y1644,MATCH(LARGE(FILTER(W$4:W1644,W$4:W1644&lt;=I156),1),W$4:W1644"&amp;"))+(I156-LARGE(FILTER(W$4:W1644,W$4:W1644&lt;=I156),1))*INDEX(T$4:T1644,MATCH(LARGE(FILTER(W$4:W1644,W$4:W1644&lt;=I156),1),W$4:W1644))-K156),1,
ROUNDDOWN(Y156-INDEX(K$4:K1644,MATCH(LARGE(FILTER(I$4:I1644,I$4:I1644&lt;=W156),1),I$4:I1644))-(W156-LARGE(FILTER(I$4:I"&amp;"1644,I$4:I1644&lt;=W156),1))*INDEX(F$4:F1644,MATCH(LARGE(FILTER(I$4:I1644,I$4:I1644&lt;=W156),1),I$4:I1644))))"),3.300499E7)</f>
        <v>33004990</v>
      </c>
      <c r="N156" s="60">
        <f t="shared" si="8"/>
        <v>-112.37735</v>
      </c>
      <c r="O156" s="61" t="str">
        <f t="shared" si="9"/>
        <v>33,0M</v>
      </c>
      <c r="P156" s="56">
        <f t="shared" si="10"/>
        <v>15</v>
      </c>
      <c r="Q156" s="67" t="s">
        <v>10</v>
      </c>
      <c r="R156" s="10" t="b">
        <f>IFERROR(__xludf.DUMMYFUNCTION("IF(COUNTA(Q156:Q1644)=0,"""",IF(ISBLANK(Q156),FALSE,IF(NOT(COUNTIF($AA$24:$AA$34,SUBSTITUTE(Q156,""Sell_"",""""))),1,IF(REGEXMATCH(Q156,""Sell_""),IF(COUNTIF(Q$4:Q156,SUBSTITUTE(Q156,""Sell_"",""""))-COUNTIF(Q$4:Q155,Q156)&lt;1,1),FALSE))))"),FALSE)</f>
        <v>0</v>
      </c>
      <c r="S156" s="59">
        <f t="array" ref="S156">IF(COUNTA(Q156:Q1644)=0,"",SUM((COUNTIF(Q$4:Q156,Upgrades!$B$3:$B$13)-COUNTIF(Q$4:Q156,"Sell_"&amp;Upgrades!$B$3:$B$13))*Upgrades!$D$3:$D$13))</f>
        <v>106020.4</v>
      </c>
      <c r="T156" s="66">
        <f>IFERROR(__xludf.DUMMYFUNCTION("IF(COUNTA(Q156:Q1644)=0,"""",IF(REGEXMATCH(INDEX(FILTER(Q$4:Q156,Q$4:Q156&lt;&gt;""""),ROWS(FILTER(Q$4:Q156,Q$4:Q156&lt;&gt;""""))),""^Sell_""),INDEX(FILTER(T$4:T155,Q$4:Q155&lt;&gt;""""),ROWS(FILTER(Q$4:Q155,Q$4:Q155&lt;&gt;""""))),$AD$5+S156))"),106030.4)</f>
        <v>106030.4</v>
      </c>
      <c r="U156" s="10">
        <f>IFERROR(__xludf.DUMMYFUNCTION("IF(COUNTA(Q156:Q1644)=0,"""",IF(Q156="""",0,IF(REGEXMATCH(Q156,""^Sell_""),-ROUNDDOWN(ROUNDUP(INDEX(Upgrades!$C$3:$C$13,MATCH(SUBSTITUTE(Q156,""Sell_"",""""),Upgrades!$B$3:$B$13,0))*1.15^(COUNTIF(Q$4:Q155,SUBSTITUTE(Q156,""Sell_"",""""))-COUNTIF(Q$4:Q155,"&amp;"""Sell_""&amp;SUBSTITUTE(Q156,""Sell_"",""""))))/2),ROUNDUP(INDEX(Upgrades!$C$3:$C$13,MATCH(Q156,Upgrades!$B$3:$B$13,0))*1.15^(COUNTIF(Q$4:Q155,Q156)-COUNTIF(Q$4:Q155,""Sell_""&amp;Q156))))))"),1.1792839E7)</f>
        <v>11792839</v>
      </c>
      <c r="V156" s="10">
        <f t="shared" si="11"/>
        <v>11792839</v>
      </c>
      <c r="W156" s="68">
        <f t="shared" si="12"/>
        <v>4439.261864</v>
      </c>
      <c r="X156" s="59" t="str">
        <f t="shared" si="13"/>
        <v>1h 13m 59s</v>
      </c>
      <c r="Y156" s="69">
        <f t="shared" si="14"/>
        <v>85909239</v>
      </c>
      <c r="Z156" s="11"/>
      <c r="AG156" s="59"/>
    </row>
    <row r="157">
      <c r="A157" s="8"/>
      <c r="B157" s="56">
        <f t="shared" si="2"/>
        <v>3</v>
      </c>
      <c r="C157" s="67" t="s">
        <v>11</v>
      </c>
      <c r="D157" s="10" t="b">
        <f>IFERROR(__xludf.DUMMYFUNCTION("IF(COUNTA(C157:C1644)=0,"""",IF(ISBLANK(C157),FALSE,IF(NOT(COUNTIF($AA$24:$AA$34,SUBSTITUTE(C157,""Sell_"",""""))),1,IF(REGEXMATCH(C157,""Sell_""),IF(COUNTIF(C$4:C157,SUBSTITUTE(C157,""Sell_"",""""))-COUNTIF(C$4:C156,C157)&lt;1,1),FALSE))))"),FALSE)</f>
        <v>0</v>
      </c>
      <c r="E157" s="59">
        <f t="array" ref="E157">IF(COUNTA(C157:C1644)=0,"",SUM((COUNTIF(C$4:C157,Upgrades!$B$3:$B$13)-COUNTIF(C$4:C157,"Sell_"&amp;Upgrades!$B$3:$B$13))*Upgrades!$D$3:$D$13))</f>
        <v>409136.1</v>
      </c>
      <c r="F157" s="66">
        <f>IFERROR(__xludf.DUMMYFUNCTION("IF(COUNTA(C157:C1644)=0,"""",IF(REGEXMATCH(INDEX(FILTER(C$4:C157,C$4:C157&lt;&gt;""""),ROWS(FILTER(C$4:C157,C$4:C157&lt;&gt;""""))),""^Sell_""),INDEX(FILTER(F$4:F156,C$4:C156&lt;&gt;""""),ROWS(FILTER(C$4:C156,C$4:C156&lt;&gt;""""))),$AC$5+E157))"),409146.1)</f>
        <v>409146.1</v>
      </c>
      <c r="G157" s="10">
        <f>IFERROR(__xludf.DUMMYFUNCTION("IF(COUNTA(C157:C1644)=0,"""",IF(C157="""",0,IF(REGEXMATCH(C157,""^Sell_""),-ROUNDDOWN(ROUNDUP(INDEX(Upgrades!$C$3:$C$13,MATCH(SUBSTITUTE(C157,""Sell_"",""""),Upgrades!$B$3:$B$13,0))*1.15^(COUNTIF(C$4:C156,SUBSTITUTE(C157,""Sell_"",""""))-COUNTIF(C$4:C156,"&amp;"""Sell_""&amp;SUBSTITUTE(C157,""Sell_"",""""))))/2),ROUNDUP(INDEX(Upgrades!$C$3:$C$13,MATCH(C157,Upgrades!$B$3:$B$13,0))*1.15^(COUNTIF(C$4:C156,C157)-COUNTIF(C$4:C156,""Sell_""&amp;C157))))))"),1.63271604E8)</f>
        <v>163271604</v>
      </c>
      <c r="H157" s="10">
        <f t="shared" si="3"/>
        <v>163271604</v>
      </c>
      <c r="I157" s="68">
        <f t="shared" si="4"/>
        <v>6888.628007</v>
      </c>
      <c r="J157" s="59" t="str">
        <f t="shared" si="5"/>
        <v>1h 54m 48s</v>
      </c>
      <c r="K157" s="69">
        <f t="shared" si="6"/>
        <v>539379131</v>
      </c>
      <c r="L157" s="60">
        <f t="shared" si="7"/>
        <v>-106.21569</v>
      </c>
      <c r="M157" s="61">
        <f>IFERROR(__xludf.DUMMYFUNCTION("IFS(AND(COUNTA(C157:C1644)=0,COUNTA(Q157:Q1644)=0),"""",OR(AND(K157&gt;=1000000000,OR(Y157&gt;=1000000000,COUNTA(Q157:Q1644)=0)),OR(Y157&gt;=1000000000,AND(COUNTA(C157:C1644)=0,P$3=TRUE))),
ROUNDDOWN((AB$1-AC$1)*MAX(INDEX(T$4:T1644,MATCH(LARGE(FILTER(Y$4:Y1644,Y$4"&amp;":Y1644&lt;1000000000),1),Y$4:Y1644)),INDEX(F$4:F1644,MATCH(LARGE(FILTER(K$4:K1644,K$4:K1644&lt;1000000000),1),K$4:K1644)))),AND(K157&lt;1000000000,COUNTA(C157:C1644)&gt;0,P$3=FALSE),
ROUNDDOWN(INDEX(Y$4:Y1644,MATCH(LARGE(FILTER(W$4:W1644,W$4:W1644&lt;=I157),1),W$4:W1644"&amp;"))+(I157-LARGE(FILTER(W$4:W1644,W$4:W1644&lt;=I157),1))*INDEX(T$4:T1644,MATCH(LARGE(FILTER(W$4:W1644,W$4:W1644&lt;=I157),1),W$4:W1644))-K157),1,
ROUNDDOWN(Y157-INDEX(K$4:K1644,MATCH(LARGE(FILTER(I$4:I1644,I$4:I1644&lt;=W157),1),I$4:I1644))-(W157-LARGE(FILTER(I$4:I"&amp;"1644,I$4:I1644&lt;=W157),1))*INDEX(F$4:F1644,MATCH(LARGE(FILTER(I$4:I1644,I$4:I1644&lt;=W157),1),I$4:I1644))))"),3.300982E7)</f>
        <v>33009820</v>
      </c>
      <c r="N157" s="60">
        <f t="shared" si="8"/>
        <v>-106.21569</v>
      </c>
      <c r="O157" s="61" t="str">
        <f t="shared" si="9"/>
        <v>33,0M</v>
      </c>
      <c r="P157" s="56">
        <f t="shared" si="10"/>
        <v>11</v>
      </c>
      <c r="Q157" s="67" t="s">
        <v>9</v>
      </c>
      <c r="R157" s="10" t="b">
        <f>IFERROR(__xludf.DUMMYFUNCTION("IF(COUNTA(Q157:Q1644)=0,"""",IF(ISBLANK(Q157),FALSE,IF(NOT(COUNTIF($AA$24:$AA$34,SUBSTITUTE(Q157,""Sell_"",""""))),1,IF(REGEXMATCH(Q157,""Sell_""),IF(COUNTIF(Q$4:Q157,SUBSTITUTE(Q157,""Sell_"",""""))-COUNTIF(Q$4:Q156,Q157)&lt;1,1),FALSE))))"),FALSE)</f>
        <v>0</v>
      </c>
      <c r="S157" s="59">
        <f t="array" ref="S157">IF(COUNTA(Q157:Q1644)=0,"",SUM((COUNTIF(Q$4:Q157,Upgrades!$B$3:$B$13)-COUNTIF(Q$4:Q157,"Sell_"&amp;Upgrades!$B$3:$B$13))*Upgrades!$D$3:$D$13))</f>
        <v>106420.4</v>
      </c>
      <c r="T157" s="66">
        <f>IFERROR(__xludf.DUMMYFUNCTION("IF(COUNTA(Q157:Q1644)=0,"""",IF(REGEXMATCH(INDEX(FILTER(Q$4:Q157,Q$4:Q157&lt;&gt;""""),ROWS(FILTER(Q$4:Q157,Q$4:Q157&lt;&gt;""""))),""^Sell_""),INDEX(FILTER(T$4:T156,Q$4:Q156&lt;&gt;""""),ROWS(FILTER(Q$4:Q156,Q$4:Q156&lt;&gt;""""))),$AD$5+S157))"),106430.4)</f>
        <v>106430.4</v>
      </c>
      <c r="U157" s="10">
        <f>IFERROR(__xludf.DUMMYFUNCTION("IF(COUNTA(Q157:Q1644)=0,"""",IF(Q157="""",0,IF(REGEXMATCH(Q157,""^Sell_""),-ROUNDDOWN(ROUNDUP(INDEX(Upgrades!$C$3:$C$13,MATCH(SUBSTITUTE(Q157,""Sell_"",""""),Upgrades!$B$3:$B$13,0))*1.15^(COUNTIF(Q$4:Q156,SUBSTITUTE(Q157,""Sell_"",""""))-COUNTIF(Q$4:Q156,"&amp;"""Sell_""&amp;SUBSTITUTE(Q157,""Sell_"",""""))))/2),ROUNDUP(INDEX(Upgrades!$C$3:$C$13,MATCH(Q157,Upgrades!$B$3:$B$13,0))*1.15^(COUNTIF(Q$4:Q156,Q157)-COUNTIF(Q$4:Q156,""Sell_""&amp;Q157))))))"),809112.0)</f>
        <v>809112</v>
      </c>
      <c r="V157" s="10">
        <f t="shared" si="11"/>
        <v>809112</v>
      </c>
      <c r="W157" s="68">
        <f t="shared" si="12"/>
        <v>4446.892807</v>
      </c>
      <c r="X157" s="59" t="str">
        <f t="shared" si="13"/>
        <v>1h 14m 06s</v>
      </c>
      <c r="Y157" s="69">
        <f t="shared" si="14"/>
        <v>86718351</v>
      </c>
      <c r="Z157" s="11"/>
      <c r="AG157" s="59"/>
    </row>
    <row r="158">
      <c r="A158" s="8"/>
      <c r="B158" s="56">
        <f t="shared" si="2"/>
        <v>17</v>
      </c>
      <c r="C158" s="67" t="s">
        <v>10</v>
      </c>
      <c r="D158" s="10" t="b">
        <f>IFERROR(__xludf.DUMMYFUNCTION("IF(COUNTA(C158:C1644)=0,"""",IF(ISBLANK(C158),FALSE,IF(NOT(COUNTIF($AA$24:$AA$34,SUBSTITUTE(C158,""Sell_"",""""))),1,IF(REGEXMATCH(C158,""Sell_""),IF(COUNTIF(C$4:C158,SUBSTITUTE(C158,""Sell_"",""""))-COUNTIF(C$4:C157,C158)&lt;1,1),FALSE))))"),FALSE)</f>
        <v>0</v>
      </c>
      <c r="E158" s="59">
        <f t="array" ref="E158">IF(COUNTA(C158:C1644)=0,"",SUM((COUNTIF(C$4:C158,Upgrades!$B$3:$B$13)-COUNTIF(C$4:C158,"Sell_"&amp;Upgrades!$B$3:$B$13))*Upgrades!$D$3:$D$13))</f>
        <v>415802.1</v>
      </c>
      <c r="F158" s="66">
        <f>IFERROR(__xludf.DUMMYFUNCTION("IF(COUNTA(C158:C1644)=0,"""",IF(REGEXMATCH(INDEX(FILTER(C$4:C158,C$4:C158&lt;&gt;""""),ROWS(FILTER(C$4:C158,C$4:C158&lt;&gt;""""))),""^Sell_""),INDEX(FILTER(F$4:F157,C$4:C157&lt;&gt;""""),ROWS(FILTER(C$4:C157,C$4:C157&lt;&gt;""""))),$AC$5+E158))"),415812.1)</f>
        <v>415812.1</v>
      </c>
      <c r="G158" s="10">
        <f>IFERROR(__xludf.DUMMYFUNCTION("IF(COUNTA(C158:C1644)=0,"""",IF(C158="""",0,IF(REGEXMATCH(C158,""^Sell_""),-ROUNDDOWN(ROUNDUP(INDEX(Upgrades!$C$3:$C$13,MATCH(SUBSTITUTE(C158,""Sell_"",""""),Upgrades!$B$3:$B$13,0))*1.15^(COUNTIF(C$4:C157,SUBSTITUTE(C158,""Sell_"",""""))-COUNTIF(C$4:C157,"&amp;"""Sell_""&amp;SUBSTITUTE(C158,""Sell_"",""""))))/2),ROUNDUP(INDEX(Upgrades!$C$3:$C$13,MATCH(C158,Upgrades!$B$3:$B$13,0))*1.15^(COUNTIF(C$4:C157,C158)-COUNTIF(C$4:C157,""Sell_""&amp;C158))))))"),1.5596029E7)</f>
        <v>15596029</v>
      </c>
      <c r="H158" s="10">
        <f t="shared" si="3"/>
        <v>15596029</v>
      </c>
      <c r="I158" s="68">
        <f t="shared" si="4"/>
        <v>6926.746491</v>
      </c>
      <c r="J158" s="59" t="str">
        <f t="shared" si="5"/>
        <v>1h 55m 26s</v>
      </c>
      <c r="K158" s="69">
        <f t="shared" si="6"/>
        <v>554975160</v>
      </c>
      <c r="L158" s="60">
        <f t="shared" si="7"/>
        <v>-94.15083</v>
      </c>
      <c r="M158" s="61">
        <f>IFERROR(__xludf.DUMMYFUNCTION("IFS(AND(COUNTA(C158:C1644)=0,COUNTA(Q158:Q1644)=0),"""",OR(AND(K158&gt;=1000000000,OR(Y158&gt;=1000000000,COUNTA(Q158:Q1644)=0)),OR(Y158&gt;=1000000000,AND(COUNTA(C158:C1644)=0,P$3=TRUE))),
ROUNDDOWN((AB$1-AC$1)*MAX(INDEX(T$4:T1644,MATCH(LARGE(FILTER(Y$4:Y1644,Y$4"&amp;":Y1644&lt;1000000000),1),Y$4:Y1644)),INDEX(F$4:F1644,MATCH(LARGE(FILTER(K$4:K1644,K$4:K1644&lt;1000000000),1),K$4:K1644)))),AND(K158&lt;1000000000,COUNTA(C158:C1644)&gt;0,P$3=FALSE),
ROUNDDOWN(INDEX(Y$4:Y1644,MATCH(LARGE(FILTER(W$4:W1644,W$4:W1644&lt;=I158),1),W$4:W1644"&amp;"))+(I158-LARGE(FILTER(W$4:W1644,W$4:W1644&lt;=I158),1))*INDEX(T$4:T1644,MATCH(LARGE(FILTER(W$4:W1644,W$4:W1644&lt;=I158),1),W$4:W1644))-K158),1,
ROUNDDOWN(Y158-INDEX(K$4:K1644,MATCH(LARGE(FILTER(I$4:I1644,I$4:I1644&lt;=W158),1),I$4:I1644))-(W158-LARGE(FILTER(I$4:I"&amp;"1644,I$4:I1644&lt;=W158),1))*INDEX(F$4:F1644,MATCH(LARGE(FILTER(I$4:I1644,I$4:I1644&lt;=W158),1),I$4:I1644))))"),3.0027096E7)</f>
        <v>30027096</v>
      </c>
      <c r="N158" s="60">
        <f t="shared" si="8"/>
        <v>-94.15083</v>
      </c>
      <c r="O158" s="61" t="str">
        <f t="shared" si="9"/>
        <v>30,0M</v>
      </c>
      <c r="P158" s="56">
        <f t="shared" si="10"/>
        <v>16</v>
      </c>
      <c r="Q158" s="67" t="s">
        <v>7</v>
      </c>
      <c r="R158" s="10" t="b">
        <f>IFERROR(__xludf.DUMMYFUNCTION("IF(COUNTA(Q158:Q1644)=0,"""",IF(ISBLANK(Q158),FALSE,IF(NOT(COUNTIF($AA$24:$AA$34,SUBSTITUTE(Q158,""Sell_"",""""))),1,IF(REGEXMATCH(Q158,""Sell_""),IF(COUNTIF(Q$4:Q158,SUBSTITUTE(Q158,""Sell_"",""""))-COUNTIF(Q$4:Q157,Q158)&lt;1,1),FALSE))))"),FALSE)</f>
        <v>0</v>
      </c>
      <c r="S158" s="59">
        <f t="array" ref="S158">IF(COUNTA(Q158:Q1644)=0,"",SUM((COUNTIF(Q$4:Q158,Upgrades!$B$3:$B$13)-COUNTIF(Q$4:Q158,"Sell_"&amp;Upgrades!$B$3:$B$13))*Upgrades!$D$3:$D$13))</f>
        <v>106460.4</v>
      </c>
      <c r="T158" s="66">
        <f>IFERROR(__xludf.DUMMYFUNCTION("IF(COUNTA(Q158:Q1644)=0,"""",IF(REGEXMATCH(INDEX(FILTER(Q$4:Q158,Q$4:Q158&lt;&gt;""""),ROWS(FILTER(Q$4:Q158,Q$4:Q158&lt;&gt;""""))),""^Sell_""),INDEX(FILTER(T$4:T157,Q$4:Q157&lt;&gt;""""),ROWS(FILTER(Q$4:Q157,Q$4:Q157&lt;&gt;""""))),$AD$5+S158))"),106470.4)</f>
        <v>106470.4</v>
      </c>
      <c r="U158" s="10">
        <f>IFERROR(__xludf.DUMMYFUNCTION("IF(COUNTA(Q158:Q1644)=0,"""",IF(Q158="""",0,IF(REGEXMATCH(Q158,""^Sell_""),-ROUNDDOWN(ROUNDUP(INDEX(Upgrades!$C$3:$C$13,MATCH(SUBSTITUTE(Q158,""Sell_"",""""),Upgrades!$B$3:$B$13,0))*1.15^(COUNTIF(Q$4:Q157,SUBSTITUTE(Q158,""Sell_"",""""))-COUNTIF(Q$4:Q157,"&amp;"""Sell_""&amp;SUBSTITUTE(Q158,""Sell_"",""""))))/2),ROUNDUP(INDEX(Upgrades!$C$3:$C$13,MATCH(Q158,Upgrades!$B$3:$B$13,0))*1.15^(COUNTIF(Q$4:Q157,Q158)-COUNTIF(Q$4:Q157,""Sell_""&amp;Q158))))))"),81371.0)</f>
        <v>81371</v>
      </c>
      <c r="V158" s="10">
        <f t="shared" si="11"/>
        <v>81371</v>
      </c>
      <c r="W158" s="68">
        <f t="shared" si="12"/>
        <v>4447.657354</v>
      </c>
      <c r="X158" s="59" t="str">
        <f t="shared" si="13"/>
        <v>1h 14m 07s</v>
      </c>
      <c r="Y158" s="69">
        <f t="shared" si="14"/>
        <v>86799722</v>
      </c>
      <c r="Z158" s="11"/>
      <c r="AG158" s="59"/>
    </row>
    <row r="159">
      <c r="A159" s="8"/>
      <c r="B159" s="56">
        <f t="shared" si="2"/>
        <v>11</v>
      </c>
      <c r="C159" s="67" t="s">
        <v>9</v>
      </c>
      <c r="D159" s="10" t="b">
        <f>IFERROR(__xludf.DUMMYFUNCTION("IF(COUNTA(C159:C1644)=0,"""",IF(ISBLANK(C159),FALSE,IF(NOT(COUNTIF($AA$24:$AA$34,SUBSTITUTE(C159,""Sell_"",""""))),1,IF(REGEXMATCH(C159,""Sell_""),IF(COUNTIF(C$4:C159,SUBSTITUTE(C159,""Sell_"",""""))-COUNTIF(C$4:C158,C159)&lt;1,1),FALSE))))"),FALSE)</f>
        <v>0</v>
      </c>
      <c r="E159" s="59">
        <f t="array" ref="E159">IF(COUNTA(C159:C1644)=0,"",SUM((COUNTIF(C$4:C159,Upgrades!$B$3:$B$13)-COUNTIF(C$4:C159,"Sell_"&amp;Upgrades!$B$3:$B$13))*Upgrades!$D$3:$D$13))</f>
        <v>416202.1</v>
      </c>
      <c r="F159" s="66">
        <f>IFERROR(__xludf.DUMMYFUNCTION("IF(COUNTA(C159:C1644)=0,"""",IF(REGEXMATCH(INDEX(FILTER(C$4:C159,C$4:C159&lt;&gt;""""),ROWS(FILTER(C$4:C159,C$4:C159&lt;&gt;""""))),""^Sell_""),INDEX(FILTER(F$4:F158,C$4:C158&lt;&gt;""""),ROWS(FILTER(C$4:C158,C$4:C158&lt;&gt;""""))),$AC$5+E159))"),416212.1)</f>
        <v>416212.1</v>
      </c>
      <c r="G159" s="10">
        <f>IFERROR(__xludf.DUMMYFUNCTION("IF(COUNTA(C159:C1644)=0,"""",IF(C159="""",0,IF(REGEXMATCH(C159,""^Sell_""),-ROUNDDOWN(ROUNDUP(INDEX(Upgrades!$C$3:$C$13,MATCH(SUBSTITUTE(C159,""Sell_"",""""),Upgrades!$B$3:$B$13,0))*1.15^(COUNTIF(C$4:C158,SUBSTITUTE(C159,""Sell_"",""""))-COUNTIF(C$4:C158,"&amp;"""Sell_""&amp;SUBSTITUTE(C159,""Sell_"",""""))))/2),ROUNDUP(INDEX(Upgrades!$C$3:$C$13,MATCH(C159,Upgrades!$B$3:$B$13,0))*1.15^(COUNTIF(C$4:C158,C159)-COUNTIF(C$4:C158,""Sell_""&amp;C159))))))"),809112.0)</f>
        <v>809112</v>
      </c>
      <c r="H159" s="10">
        <f t="shared" si="3"/>
        <v>809112</v>
      </c>
      <c r="I159" s="68">
        <f t="shared" si="4"/>
        <v>6928.69235</v>
      </c>
      <c r="J159" s="59" t="str">
        <f t="shared" si="5"/>
        <v>1h 55m 28s</v>
      </c>
      <c r="K159" s="69">
        <f t="shared" si="6"/>
        <v>555784272</v>
      </c>
      <c r="L159" s="60">
        <f t="shared" si="7"/>
        <v>-93.49321</v>
      </c>
      <c r="M159" s="61">
        <f>IFERROR(__xludf.DUMMYFUNCTION("IFS(AND(COUNTA(C159:C1644)=0,COUNTA(Q159:Q1644)=0),"""",OR(AND(K159&gt;=1000000000,OR(Y159&gt;=1000000000,COUNTA(Q159:Q1644)=0)),OR(Y159&gt;=1000000000,AND(COUNTA(C159:C1644)=0,P$3=TRUE))),
ROUNDDOWN((AB$1-AC$1)*MAX(INDEX(T$4:T1644,MATCH(LARGE(FILTER(Y$4:Y1644,Y$4"&amp;":Y1644&lt;1000000000),1),Y$4:Y1644)),INDEX(F$4:F1644,MATCH(LARGE(FILTER(K$4:K1644,K$4:K1644&lt;1000000000),1),K$4:K1644)))),AND(K159&lt;1000000000,COUNTA(C159:C1644)&gt;0,P$3=FALSE),
ROUNDDOWN(INDEX(Y$4:Y1644,MATCH(LARGE(FILTER(W$4:W1644,W$4:W1644&lt;=I159),1),W$4:W1644"&amp;"))+(I159-LARGE(FILTER(W$4:W1644,W$4:W1644&lt;=I159),1))*INDEX(T$4:T1644,MATCH(LARGE(FILTER(W$4:W1644,W$4:W1644&lt;=I159),1),W$4:W1644))-K159),1,
ROUNDDOWN(Y159-INDEX(K$4:K1644,MATCH(LARGE(FILTER(I$4:I1644,I$4:I1644&lt;=W159),1),I$4:I1644))-(W159-LARGE(FILTER(I$4:I"&amp;"1644,I$4:I1644&lt;=W159),1))*INDEX(F$4:F1644,MATCH(LARGE(FILTER(I$4:I1644,I$4:I1644&lt;=W159),1),I$4:I1644))))"),3.0015767E7)</f>
        <v>30015767</v>
      </c>
      <c r="N159" s="60">
        <f t="shared" si="8"/>
        <v>-93.49321</v>
      </c>
      <c r="O159" s="61" t="str">
        <f t="shared" si="9"/>
        <v>30,0M</v>
      </c>
      <c r="P159" s="56">
        <f t="shared" si="10"/>
        <v>21</v>
      </c>
      <c r="Q159" s="67" t="s">
        <v>5</v>
      </c>
      <c r="R159" s="10" t="b">
        <f>IFERROR(__xludf.DUMMYFUNCTION("IF(COUNTA(Q159:Q1644)=0,"""",IF(ISBLANK(Q159),FALSE,IF(NOT(COUNTIF($AA$24:$AA$34,SUBSTITUTE(Q159,""Sell_"",""""))),1,IF(REGEXMATCH(Q159,""Sell_""),IF(COUNTIF(Q$4:Q159,SUBSTITUTE(Q159,""Sell_"",""""))-COUNTIF(Q$4:Q158,Q159)&lt;1,1),FALSE))))"),FALSE)</f>
        <v>0</v>
      </c>
      <c r="S159" s="59">
        <f t="array" ref="S159">IF(COUNTA(Q159:Q1644)=0,"",SUM((COUNTIF(Q$4:Q159,Upgrades!$B$3:$B$13)-COUNTIF(Q$4:Q159,"Sell_"&amp;Upgrades!$B$3:$B$13))*Upgrades!$D$3:$D$13))</f>
        <v>106464.4</v>
      </c>
      <c r="T159" s="66">
        <f>IFERROR(__xludf.DUMMYFUNCTION("IF(COUNTA(Q159:Q1644)=0,"""",IF(REGEXMATCH(INDEX(FILTER(Q$4:Q159,Q$4:Q159&lt;&gt;""""),ROWS(FILTER(Q$4:Q159,Q$4:Q159&lt;&gt;""""))),""^Sell_""),INDEX(FILTER(T$4:T158,Q$4:Q158&lt;&gt;""""),ROWS(FILTER(Q$4:Q158,Q$4:Q158&lt;&gt;""""))),$AD$5+S159))"),106474.4)</f>
        <v>106474.4</v>
      </c>
      <c r="U159" s="10">
        <f>IFERROR(__xludf.DUMMYFUNCTION("IF(COUNTA(Q159:Q1644)=0,"""",IF(Q159="""",0,IF(REGEXMATCH(Q159,""^Sell_""),-ROUNDDOWN(ROUNDUP(INDEX(Upgrades!$C$3:$C$13,MATCH(SUBSTITUTE(Q159,""Sell_"",""""),Upgrades!$B$3:$B$13,0))*1.15^(COUNTIF(Q$4:Q158,SUBSTITUTE(Q159,""Sell_"",""""))-COUNTIF(Q$4:Q158,"&amp;"""Sell_""&amp;SUBSTITUTE(Q159,""Sell_"",""""))))/2),ROUNDUP(INDEX(Upgrades!$C$3:$C$13,MATCH(Q159,Upgrades!$B$3:$B$13,0))*1.15^(COUNTIF(Q$4:Q158,Q159)-COUNTIF(Q$4:Q158,""Sell_""&amp;Q159))))))"),8184.0)</f>
        <v>8184</v>
      </c>
      <c r="V159" s="10">
        <f t="shared" si="11"/>
        <v>8184</v>
      </c>
      <c r="W159" s="68">
        <f t="shared" si="12"/>
        <v>4447.734221</v>
      </c>
      <c r="X159" s="59" t="str">
        <f t="shared" si="13"/>
        <v>1h 14m 07s</v>
      </c>
      <c r="Y159" s="69">
        <f t="shared" si="14"/>
        <v>86807906</v>
      </c>
      <c r="Z159" s="11"/>
      <c r="AG159" s="59"/>
    </row>
    <row r="160">
      <c r="A160" s="8"/>
      <c r="B160" s="56">
        <f t="shared" si="2"/>
        <v>12</v>
      </c>
      <c r="C160" s="67" t="s">
        <v>9</v>
      </c>
      <c r="D160" s="10" t="b">
        <f>IFERROR(__xludf.DUMMYFUNCTION("IF(COUNTA(C160:C1644)=0,"""",IF(ISBLANK(C160),FALSE,IF(NOT(COUNTIF($AA$24:$AA$34,SUBSTITUTE(C160,""Sell_"",""""))),1,IF(REGEXMATCH(C160,""Sell_""),IF(COUNTIF(C$4:C160,SUBSTITUTE(C160,""Sell_"",""""))-COUNTIF(C$4:C159,C160)&lt;1,1),FALSE))))"),FALSE)</f>
        <v>0</v>
      </c>
      <c r="E160" s="59">
        <f t="array" ref="E160">IF(COUNTA(C160:C1644)=0,"",SUM((COUNTIF(C$4:C160,Upgrades!$B$3:$B$13)-COUNTIF(C$4:C160,"Sell_"&amp;Upgrades!$B$3:$B$13))*Upgrades!$D$3:$D$13))</f>
        <v>416602.1</v>
      </c>
      <c r="F160" s="66">
        <f>IFERROR(__xludf.DUMMYFUNCTION("IF(COUNTA(C160:C1644)=0,"""",IF(REGEXMATCH(INDEX(FILTER(C$4:C160,C$4:C160&lt;&gt;""""),ROWS(FILTER(C$4:C160,C$4:C160&lt;&gt;""""))),""^Sell_""),INDEX(FILTER(F$4:F159,C$4:C159&lt;&gt;""""),ROWS(FILTER(C$4:C159,C$4:C159&lt;&gt;""""))),$AC$5+E160))"),416612.1)</f>
        <v>416612.1</v>
      </c>
      <c r="G160" s="10">
        <f>IFERROR(__xludf.DUMMYFUNCTION("IF(COUNTA(C160:C1644)=0,"""",IF(C160="""",0,IF(REGEXMATCH(C160,""^Sell_""),-ROUNDDOWN(ROUNDUP(INDEX(Upgrades!$C$3:$C$13,MATCH(SUBSTITUTE(C160,""Sell_"",""""),Upgrades!$B$3:$B$13,0))*1.15^(COUNTIF(C$4:C159,SUBSTITUTE(C160,""Sell_"",""""))-COUNTIF(C$4:C159,"&amp;"""Sell_""&amp;SUBSTITUTE(C160,""Sell_"",""""))))/2),ROUNDUP(INDEX(Upgrades!$C$3:$C$13,MATCH(C160,Upgrades!$B$3:$B$13,0))*1.15^(COUNTIF(C$4:C159,C160)-COUNTIF(C$4:C159,""Sell_""&amp;C160))))))"),930479.0)</f>
        <v>930479</v>
      </c>
      <c r="H160" s="10">
        <f t="shared" si="3"/>
        <v>930479</v>
      </c>
      <c r="I160" s="68">
        <f t="shared" si="4"/>
        <v>6930.927939</v>
      </c>
      <c r="J160" s="59" t="str">
        <f t="shared" si="5"/>
        <v>1h 55m 30s</v>
      </c>
      <c r="K160" s="69">
        <f t="shared" si="6"/>
        <v>556714751</v>
      </c>
      <c r="L160" s="60">
        <f t="shared" si="7"/>
        <v>-92.7348</v>
      </c>
      <c r="M160" s="61">
        <f>IFERROR(__xludf.DUMMYFUNCTION("IFS(AND(COUNTA(C160:C1644)=0,COUNTA(Q160:Q1644)=0),"""",OR(AND(K160&gt;=1000000000,OR(Y160&gt;=1000000000,COUNTA(Q160:Q1644)=0)),OR(Y160&gt;=1000000000,AND(COUNTA(C160:C1644)=0,P$3=TRUE))),
ROUNDDOWN((AB$1-AC$1)*MAX(INDEX(T$4:T1644,MATCH(LARGE(FILTER(Y$4:Y1644,Y$4"&amp;":Y1644&lt;1000000000),1),Y$4:Y1644)),INDEX(F$4:F1644,MATCH(LARGE(FILTER(K$4:K1644,K$4:K1644&lt;1000000000),1),K$4:K1644)))),AND(K160&lt;1000000000,COUNTA(C160:C1644)&gt;0,P$3=FALSE),
ROUNDDOWN(INDEX(Y$4:Y1644,MATCH(LARGE(FILTER(W$4:W1644,W$4:W1644&lt;=I160),1),W$4:W1644"&amp;"))+(I160-LARGE(FILTER(W$4:W1644,W$4:W1644&lt;=I160),1))*INDEX(T$4:T1644,MATCH(LARGE(FILTER(W$4:W1644,W$4:W1644&lt;=I160),1),W$4:W1644))-K160),1,
ROUNDDOWN(Y160-INDEX(K$4:K1644,MATCH(LARGE(FILTER(I$4:I1644,I$4:I1644&lt;=W160),1),I$4:I1644))-(W160-LARGE(FILTER(I$4:I"&amp;"1644,I$4:I1644&lt;=W160),1))*INDEX(F$4:F1644,MATCH(LARGE(FILTER(I$4:I1644,I$4:I1644&lt;=W160),1),I$4:I1644))))"),3.0001857E7)</f>
        <v>30001857</v>
      </c>
      <c r="N160" s="60">
        <f t="shared" si="8"/>
        <v>-92.7348</v>
      </c>
      <c r="O160" s="61" t="str">
        <f t="shared" si="9"/>
        <v>30,0M</v>
      </c>
      <c r="P160" s="56">
        <f t="shared" si="10"/>
        <v>15</v>
      </c>
      <c r="Q160" s="67" t="s">
        <v>6</v>
      </c>
      <c r="R160" s="10" t="b">
        <f>IFERROR(__xludf.DUMMYFUNCTION("IF(COUNTA(Q160:Q1644)=0,"""",IF(ISBLANK(Q160),FALSE,IF(NOT(COUNTIF($AA$24:$AA$34,SUBSTITUTE(Q160,""Sell_"",""""))),1,IF(REGEXMATCH(Q160,""Sell_""),IF(COUNTIF(Q$4:Q160,SUBSTITUTE(Q160,""Sell_"",""""))-COUNTIF(Q$4:Q159,Q160)&lt;1,1),FALSE))))"),FALSE)</f>
        <v>0</v>
      </c>
      <c r="S160" s="59">
        <f t="array" ref="S160">IF(COUNTA(Q160:Q1644)=0,"",SUM((COUNTIF(Q$4:Q160,Upgrades!$B$3:$B$13)-COUNTIF(Q$4:Q160,"Sell_"&amp;Upgrades!$B$3:$B$13))*Upgrades!$D$3:$D$13))</f>
        <v>106474.4</v>
      </c>
      <c r="T160" s="66">
        <f>IFERROR(__xludf.DUMMYFUNCTION("IF(COUNTA(Q160:Q1644)=0,"""",IF(REGEXMATCH(INDEX(FILTER(Q$4:Q160,Q$4:Q160&lt;&gt;""""),ROWS(FILTER(Q$4:Q160,Q$4:Q160&lt;&gt;""""))),""^Sell_""),INDEX(FILTER(T$4:T159,Q$4:Q159&lt;&gt;""""),ROWS(FILTER(Q$4:Q159,Q$4:Q159&lt;&gt;""""))),$AD$5+S160))"),106484.4)</f>
        <v>106484.4</v>
      </c>
      <c r="U160" s="10">
        <f>IFERROR(__xludf.DUMMYFUNCTION("IF(COUNTA(Q160:Q1644)=0,"""",IF(Q160="""",0,IF(REGEXMATCH(Q160,""^Sell_""),-ROUNDDOWN(ROUNDUP(INDEX(Upgrades!$C$3:$C$13,MATCH(SUBSTITUTE(Q160,""Sell_"",""""),Upgrades!$B$3:$B$13,0))*1.15^(COUNTIF(Q$4:Q159,SUBSTITUTE(Q160,""Sell_"",""""))-COUNTIF(Q$4:Q159,"&amp;"""Sell_""&amp;SUBSTITUTE(Q160,""Sell_"",""""))))/2),ROUNDUP(INDEX(Upgrades!$C$3:$C$13,MATCH(Q160,Upgrades!$B$3:$B$13,0))*1.15^(COUNTIF(Q$4:Q159,Q160)-COUNTIF(Q$4:Q159,""Sell_""&amp;Q160))))))"),21228.0)</f>
        <v>21228</v>
      </c>
      <c r="V160" s="10">
        <f t="shared" si="11"/>
        <v>21228</v>
      </c>
      <c r="W160" s="68">
        <f t="shared" si="12"/>
        <v>4447.933592</v>
      </c>
      <c r="X160" s="59" t="str">
        <f t="shared" si="13"/>
        <v>1h 14m 07s</v>
      </c>
      <c r="Y160" s="69">
        <f t="shared" si="14"/>
        <v>86829134</v>
      </c>
      <c r="Z160" s="11"/>
      <c r="AG160" s="59"/>
    </row>
    <row r="161">
      <c r="A161" s="8"/>
      <c r="B161" s="56">
        <f t="shared" si="2"/>
        <v>17</v>
      </c>
      <c r="C161" s="67" t="s">
        <v>7</v>
      </c>
      <c r="D161" s="10" t="b">
        <f>IFERROR(__xludf.DUMMYFUNCTION("IF(COUNTA(C161:C1644)=0,"""",IF(ISBLANK(C161),FALSE,IF(NOT(COUNTIF($AA$24:$AA$34,SUBSTITUTE(C161,""Sell_"",""""))),1,IF(REGEXMATCH(C161,""Sell_""),IF(COUNTIF(C$4:C161,SUBSTITUTE(C161,""Sell_"",""""))-COUNTIF(C$4:C160,C161)&lt;1,1),FALSE))))"),FALSE)</f>
        <v>0</v>
      </c>
      <c r="E161" s="59">
        <f t="array" ref="E161">IF(COUNTA(C161:C1644)=0,"",SUM((COUNTIF(C$4:C161,Upgrades!$B$3:$B$13)-COUNTIF(C$4:C161,"Sell_"&amp;Upgrades!$B$3:$B$13))*Upgrades!$D$3:$D$13))</f>
        <v>416642.1</v>
      </c>
      <c r="F161" s="66">
        <f>IFERROR(__xludf.DUMMYFUNCTION("IF(COUNTA(C161:C1644)=0,"""",IF(REGEXMATCH(INDEX(FILTER(C$4:C161,C$4:C161&lt;&gt;""""),ROWS(FILTER(C$4:C161,C$4:C161&lt;&gt;""""))),""^Sell_""),INDEX(FILTER(F$4:F160,C$4:C160&lt;&gt;""""),ROWS(FILTER(C$4:C160,C$4:C160&lt;&gt;""""))),$AC$5+E161))"),416652.1)</f>
        <v>416652.1</v>
      </c>
      <c r="G161" s="10">
        <f>IFERROR(__xludf.DUMMYFUNCTION("IF(COUNTA(C161:C1644)=0,"""",IF(C161="""",0,IF(REGEXMATCH(C161,""^Sell_""),-ROUNDDOWN(ROUNDUP(INDEX(Upgrades!$C$3:$C$13,MATCH(SUBSTITUTE(C161,""Sell_"",""""),Upgrades!$B$3:$B$13,0))*1.15^(COUNTIF(C$4:C160,SUBSTITUTE(C161,""Sell_"",""""))-COUNTIF(C$4:C160,"&amp;"""Sell_""&amp;SUBSTITUTE(C161,""Sell_"",""""))))/2),ROUNDUP(INDEX(Upgrades!$C$3:$C$13,MATCH(C161,Upgrades!$B$3:$B$13,0))*1.15^(COUNTIF(C$4:C160,C161)-COUNTIF(C$4:C160,""Sell_""&amp;C161))))))"),93577.0)</f>
        <v>93577</v>
      </c>
      <c r="H161" s="10">
        <f t="shared" si="3"/>
        <v>93577</v>
      </c>
      <c r="I161" s="68">
        <f t="shared" si="4"/>
        <v>6931.152553</v>
      </c>
      <c r="J161" s="59" t="str">
        <f t="shared" si="5"/>
        <v>1h 55m 31s</v>
      </c>
      <c r="K161" s="69">
        <f t="shared" si="6"/>
        <v>556808328</v>
      </c>
      <c r="L161" s="60">
        <f t="shared" si="7"/>
        <v>-92.65831</v>
      </c>
      <c r="M161" s="61">
        <f>IFERROR(__xludf.DUMMYFUNCTION("IFS(AND(COUNTA(C161:C1644)=0,COUNTA(Q161:Q1644)=0),"""",OR(AND(K161&gt;=1000000000,OR(Y161&gt;=1000000000,COUNTA(Q161:Q1644)=0)),OR(Y161&gt;=1000000000,AND(COUNTA(C161:C1644)=0,P$3=TRUE))),
ROUNDDOWN((AB$1-AC$1)*MAX(INDEX(T$4:T1644,MATCH(LARGE(FILTER(Y$4:Y1644,Y$4"&amp;":Y1644&lt;1000000000),1),Y$4:Y1644)),INDEX(F$4:F1644,MATCH(LARGE(FILTER(K$4:K1644,K$4:K1644&lt;1000000000),1),K$4:K1644)))),AND(K161&lt;1000000000,COUNTA(C161:C1644)&gt;0,P$3=FALSE),
ROUNDDOWN(INDEX(Y$4:Y1644,MATCH(LARGE(FILTER(W$4:W1644,W$4:W1644&lt;=I161),1),W$4:W1644"&amp;"))+(I161-LARGE(FILTER(W$4:W1644,W$4:W1644&lt;=I161),1))*INDEX(T$4:T1644,MATCH(LARGE(FILTER(W$4:W1644,W$4:W1644&lt;=I161),1),W$4:W1644))-K161),1,
ROUNDDOWN(Y161-INDEX(K$4:K1644,MATCH(LARGE(FILTER(I$4:I1644,I$4:I1644&lt;=W161),1),I$4:I1644))-(W161-LARGE(FILTER(I$4:I"&amp;"1644,I$4:I1644&lt;=W161),1))*INDEX(F$4:F1644,MATCH(LARGE(FILTER(I$4:I1644,I$4:I1644&lt;=W161),1),I$4:I1644))))"),3.000037E7)</f>
        <v>30000370</v>
      </c>
      <c r="N161" s="60">
        <f t="shared" si="8"/>
        <v>-92.65831</v>
      </c>
      <c r="O161" s="61" t="str">
        <f t="shared" si="9"/>
        <v>30,0M</v>
      </c>
      <c r="P161" s="56">
        <f t="shared" si="10"/>
        <v>20</v>
      </c>
      <c r="Q161" s="67" t="s">
        <v>3</v>
      </c>
      <c r="R161" s="10" t="b">
        <f>IFERROR(__xludf.DUMMYFUNCTION("IF(COUNTA(Q161:Q1644)=0,"""",IF(ISBLANK(Q161),FALSE,IF(NOT(COUNTIF($AA$24:$AA$34,SUBSTITUTE(Q161,""Sell_"",""""))),1,IF(REGEXMATCH(Q161,""Sell_""),IF(COUNTIF(Q$4:Q161,SUBSTITUTE(Q161,""Sell_"",""""))-COUNTIF(Q$4:Q160,Q161)&lt;1,1),FALSE))))"),FALSE)</f>
        <v>0</v>
      </c>
      <c r="S161" s="59">
        <f t="array" ref="S161">IF(COUNTA(Q161:Q1644)=0,"",SUM((COUNTIF(Q$4:Q161,Upgrades!$B$3:$B$13)-COUNTIF(Q$4:Q161,"Sell_"&amp;Upgrades!$B$3:$B$13))*Upgrades!$D$3:$D$13))</f>
        <v>106474.5</v>
      </c>
      <c r="T161" s="66">
        <f>IFERROR(__xludf.DUMMYFUNCTION("IF(COUNTA(Q161:Q1644)=0,"""",IF(REGEXMATCH(INDEX(FILTER(Q$4:Q161,Q$4:Q161&lt;&gt;""""),ROWS(FILTER(Q$4:Q161,Q$4:Q161&lt;&gt;""""))),""^Sell_""),INDEX(FILTER(T$4:T160,Q$4:Q160&lt;&gt;""""),ROWS(FILTER(Q$4:Q160,Q$4:Q160&lt;&gt;""""))),$AD$5+S161))"),106484.5)</f>
        <v>106484.5</v>
      </c>
      <c r="U161" s="10">
        <f>IFERROR(__xludf.DUMMYFUNCTION("IF(COUNTA(Q161:Q1644)=0,"""",IF(Q161="""",0,IF(REGEXMATCH(Q161,""^Sell_""),-ROUNDDOWN(ROUNDUP(INDEX(Upgrades!$C$3:$C$13,MATCH(SUBSTITUTE(Q161,""Sell_"",""""),Upgrades!$B$3:$B$13,0))*1.15^(COUNTIF(Q$4:Q160,SUBSTITUTE(Q161,""Sell_"",""""))-COUNTIF(Q$4:Q160,"&amp;"""Sell_""&amp;SUBSTITUTE(Q161,""Sell_"",""""))))/2),ROUNDUP(INDEX(Upgrades!$C$3:$C$13,MATCH(Q161,Upgrades!$B$3:$B$13,0))*1.15^(COUNTIF(Q$4:Q160,Q161)-COUNTIF(Q$4:Q160,""Sell_""&amp;Q161))))))"),214.0)</f>
        <v>214</v>
      </c>
      <c r="V161" s="10">
        <f t="shared" si="11"/>
        <v>214</v>
      </c>
      <c r="W161" s="68">
        <f t="shared" si="12"/>
        <v>4447.935602</v>
      </c>
      <c r="X161" s="59" t="str">
        <f t="shared" si="13"/>
        <v>1h 14m 07s</v>
      </c>
      <c r="Y161" s="69">
        <f t="shared" si="14"/>
        <v>86829348</v>
      </c>
      <c r="Z161" s="11"/>
      <c r="AG161" s="59"/>
    </row>
    <row r="162">
      <c r="A162" s="8"/>
      <c r="B162" s="56">
        <f t="shared" si="2"/>
        <v>22</v>
      </c>
      <c r="C162" s="67" t="s">
        <v>5</v>
      </c>
      <c r="D162" s="10" t="b">
        <f>IFERROR(__xludf.DUMMYFUNCTION("IF(COUNTA(C162:C1644)=0,"""",IF(ISBLANK(C162),FALSE,IF(NOT(COUNTIF($AA$24:$AA$34,SUBSTITUTE(C162,""Sell_"",""""))),1,IF(REGEXMATCH(C162,""Sell_""),IF(COUNTIF(C$4:C162,SUBSTITUTE(C162,""Sell_"",""""))-COUNTIF(C$4:C161,C162)&lt;1,1),FALSE))))"),FALSE)</f>
        <v>0</v>
      </c>
      <c r="E162" s="59">
        <f t="array" ref="E162">IF(COUNTA(C162:C1644)=0,"",SUM((COUNTIF(C$4:C162,Upgrades!$B$3:$B$13)-COUNTIF(C$4:C162,"Sell_"&amp;Upgrades!$B$3:$B$13))*Upgrades!$D$3:$D$13))</f>
        <v>416646.1</v>
      </c>
      <c r="F162" s="66">
        <f>IFERROR(__xludf.DUMMYFUNCTION("IF(COUNTA(C162:C1644)=0,"""",IF(REGEXMATCH(INDEX(FILTER(C$4:C162,C$4:C162&lt;&gt;""""),ROWS(FILTER(C$4:C162,C$4:C162&lt;&gt;""""))),""^Sell_""),INDEX(FILTER(F$4:F161,C$4:C161&lt;&gt;""""),ROWS(FILTER(C$4:C161,C$4:C161&lt;&gt;""""))),$AC$5+E162))"),416656.1)</f>
        <v>416656.1</v>
      </c>
      <c r="G162" s="10">
        <f>IFERROR(__xludf.DUMMYFUNCTION("IF(COUNTA(C162:C1644)=0,"""",IF(C162="""",0,IF(REGEXMATCH(C162,""^Sell_""),-ROUNDDOWN(ROUNDUP(INDEX(Upgrades!$C$3:$C$13,MATCH(SUBSTITUTE(C162,""Sell_"",""""),Upgrades!$B$3:$B$13,0))*1.15^(COUNTIF(C$4:C161,SUBSTITUTE(C162,""Sell_"",""""))-COUNTIF(C$4:C161,"&amp;"""Sell_""&amp;SUBSTITUTE(C162,""Sell_"",""""))))/2),ROUNDUP(INDEX(Upgrades!$C$3:$C$13,MATCH(C162,Upgrades!$B$3:$B$13,0))*1.15^(COUNTIF(C$4:C161,C162)-COUNTIF(C$4:C161,""Sell_""&amp;C162))))))"),9411.0)</f>
        <v>9411</v>
      </c>
      <c r="H162" s="10">
        <f t="shared" si="3"/>
        <v>9411</v>
      </c>
      <c r="I162" s="68">
        <f t="shared" si="4"/>
        <v>6931.17514</v>
      </c>
      <c r="J162" s="59" t="str">
        <f t="shared" si="5"/>
        <v>1h 55m 31s</v>
      </c>
      <c r="K162" s="69">
        <f t="shared" si="6"/>
        <v>556817739</v>
      </c>
      <c r="L162" s="60">
        <f t="shared" si="7"/>
        <v>-92.65062</v>
      </c>
      <c r="M162" s="61">
        <f>IFERROR(__xludf.DUMMYFUNCTION("IFS(AND(COUNTA(C162:C1644)=0,COUNTA(Q162:Q1644)=0),"""",OR(AND(K162&gt;=1000000000,OR(Y162&gt;=1000000000,COUNTA(Q162:Q1644)=0)),OR(Y162&gt;=1000000000,AND(COUNTA(C162:C1644)=0,P$3=TRUE))),
ROUNDDOWN((AB$1-AC$1)*MAX(INDEX(T$4:T1644,MATCH(LARGE(FILTER(Y$4:Y1644,Y$4"&amp;":Y1644&lt;1000000000),1),Y$4:Y1644)),INDEX(F$4:F1644,MATCH(LARGE(FILTER(K$4:K1644,K$4:K1644&lt;1000000000),1),K$4:K1644)))),AND(K162&lt;1000000000,COUNTA(C162:C1644)&gt;0,P$3=FALSE),
ROUNDDOWN(INDEX(Y$4:Y1644,MATCH(LARGE(FILTER(W$4:W1644,W$4:W1644&lt;=I162),1),W$4:W1644"&amp;"))+(I162-LARGE(FILTER(W$4:W1644,W$4:W1644&lt;=I162),1))*INDEX(T$4:T1644,MATCH(LARGE(FILTER(W$4:W1644,W$4:W1644&lt;=I162),1),W$4:W1644))-K162),1,
ROUNDDOWN(Y162-INDEX(K$4:K1644,MATCH(LARGE(FILTER(I$4:I1644,I$4:I1644&lt;=W162),1),I$4:I1644))-(W162-LARGE(FILTER(I$4:I"&amp;"1644,I$4:I1644&lt;=W162),1))*INDEX(F$4:F1644,MATCH(LARGE(FILTER(I$4:I1644,I$4:I1644&lt;=W162),1),I$4:I1644))))"),3.0000219E7)</f>
        <v>30000219</v>
      </c>
      <c r="N162" s="60">
        <f t="shared" si="8"/>
        <v>-92.65062</v>
      </c>
      <c r="O162" s="61" t="str">
        <f t="shared" si="9"/>
        <v>30,0M</v>
      </c>
      <c r="P162" s="56">
        <f t="shared" si="10"/>
        <v>13</v>
      </c>
      <c r="Q162" s="67" t="s">
        <v>8</v>
      </c>
      <c r="R162" s="10" t="b">
        <f>IFERROR(__xludf.DUMMYFUNCTION("IF(COUNTA(Q162:Q1644)=0,"""",IF(ISBLANK(Q162),FALSE,IF(NOT(COUNTIF($AA$24:$AA$34,SUBSTITUTE(Q162,""Sell_"",""""))),1,IF(REGEXMATCH(Q162,""Sell_""),IF(COUNTIF(Q$4:Q162,SUBSTITUTE(Q162,""Sell_"",""""))-COUNTIF(Q$4:Q161,Q162)&lt;1,1),FALSE))))"),FALSE)</f>
        <v>0</v>
      </c>
      <c r="S162" s="59">
        <f t="array" ref="S162">IF(COUNTA(Q162:Q1644)=0,"",SUM((COUNTIF(Q$4:Q162,Upgrades!$B$3:$B$13)-COUNTIF(Q$4:Q162,"Sell_"&amp;Upgrades!$B$3:$B$13))*Upgrades!$D$3:$D$13))</f>
        <v>106574.5</v>
      </c>
      <c r="T162" s="66">
        <f>IFERROR(__xludf.DUMMYFUNCTION("IF(COUNTA(Q162:Q1644)=0,"""",IF(REGEXMATCH(INDEX(FILTER(Q$4:Q162,Q$4:Q162&lt;&gt;""""),ROWS(FILTER(Q$4:Q162,Q$4:Q162&lt;&gt;""""))),""^Sell_""),INDEX(FILTER(T$4:T161,Q$4:Q161&lt;&gt;""""),ROWS(FILTER(Q$4:Q161,Q$4:Q161&lt;&gt;""""))),$AD$5+S162))"),106584.5)</f>
        <v>106584.5</v>
      </c>
      <c r="U162" s="10">
        <f>IFERROR(__xludf.DUMMYFUNCTION("IF(COUNTA(Q162:Q1644)=0,"""",IF(Q162="""",0,IF(REGEXMATCH(Q162,""^Sell_""),-ROUNDDOWN(ROUNDUP(INDEX(Upgrades!$C$3:$C$13,MATCH(SUBSTITUTE(Q162,""Sell_"",""""),Upgrades!$B$3:$B$13,0))*1.15^(COUNTIF(Q$4:Q161,SUBSTITUTE(Q162,""Sell_"",""""))-COUNTIF(Q$4:Q161,"&amp;"""Sell_""&amp;SUBSTITUTE(Q162,""Sell_"",""""))))/2),ROUNDUP(INDEX(Upgrades!$C$3:$C$13,MATCH(Q162,Upgrades!$B$3:$B$13,0))*1.15^(COUNTIF(Q$4:Q161,Q162)-COUNTIF(Q$4:Q161,""Sell_""&amp;Q162))))))"),214011.0)</f>
        <v>214011</v>
      </c>
      <c r="V162" s="10">
        <f t="shared" si="11"/>
        <v>214011</v>
      </c>
      <c r="W162" s="68">
        <f t="shared" si="12"/>
        <v>4449.945388</v>
      </c>
      <c r="X162" s="59" t="str">
        <f t="shared" si="13"/>
        <v>1h 14m 09s</v>
      </c>
      <c r="Y162" s="69">
        <f t="shared" si="14"/>
        <v>87043359</v>
      </c>
      <c r="Z162" s="11"/>
      <c r="AG162" s="59"/>
    </row>
    <row r="163">
      <c r="A163" s="8"/>
      <c r="B163" s="56">
        <f t="shared" si="2"/>
        <v>4</v>
      </c>
      <c r="C163" s="67" t="s">
        <v>11</v>
      </c>
      <c r="D163" s="10" t="b">
        <f>IFERROR(__xludf.DUMMYFUNCTION("IF(COUNTA(C163:C1644)=0,"""",IF(ISBLANK(C163),FALSE,IF(NOT(COUNTIF($AA$24:$AA$34,SUBSTITUTE(C163,""Sell_"",""""))),1,IF(REGEXMATCH(C163,""Sell_""),IF(COUNTIF(C$4:C163,SUBSTITUTE(C163,""Sell_"",""""))-COUNTIF(C$4:C162,C163)&lt;1,1),FALSE))))"),FALSE)</f>
        <v>0</v>
      </c>
      <c r="E163" s="59">
        <f t="array" ref="E163">IF(COUNTA(C163:C1644)=0,"",SUM((COUNTIF(C$4:C163,Upgrades!$B$3:$B$13)-COUNTIF(C$4:C163,"Sell_"&amp;Upgrades!$B$3:$B$13))*Upgrades!$D$3:$D$13))</f>
        <v>515411.1</v>
      </c>
      <c r="F163" s="66">
        <f>IFERROR(__xludf.DUMMYFUNCTION("IF(COUNTA(C163:C1644)=0,"""",IF(REGEXMATCH(INDEX(FILTER(C$4:C163,C$4:C163&lt;&gt;""""),ROWS(FILTER(C$4:C163,C$4:C163&lt;&gt;""""))),""^Sell_""),INDEX(FILTER(F$4:F162,C$4:C162&lt;&gt;""""),ROWS(FILTER(C$4:C162,C$4:C162&lt;&gt;""""))),$AC$5+E163))"),515421.1)</f>
        <v>515421.1</v>
      </c>
      <c r="G163" s="10">
        <f>IFERROR(__xludf.DUMMYFUNCTION("IF(COUNTA(C163:C1644)=0,"""",IF(C163="""",0,IF(REGEXMATCH(C163,""^Sell_""),-ROUNDDOWN(ROUNDUP(INDEX(Upgrades!$C$3:$C$13,MATCH(SUBSTITUTE(C163,""Sell_"",""""),Upgrades!$B$3:$B$13,0))*1.15^(COUNTIF(C$4:C162,SUBSTITUTE(C163,""Sell_"",""""))-COUNTIF(C$4:C162,"&amp;"""Sell_""&amp;SUBSTITUTE(C163,""Sell_"",""""))))/2),ROUNDUP(INDEX(Upgrades!$C$3:$C$13,MATCH(C163,Upgrades!$B$3:$B$13,0))*1.15^(COUNTIF(C$4:C162,C163)-COUNTIF(C$4:C162,""Sell_""&amp;C163))))))"),1.87762344E8)</f>
        <v>187762344</v>
      </c>
      <c r="H163" s="10">
        <f t="shared" si="3"/>
        <v>187762344</v>
      </c>
      <c r="I163" s="68">
        <f t="shared" si="4"/>
        <v>7381.816194</v>
      </c>
      <c r="J163" s="59" t="str">
        <f t="shared" si="5"/>
        <v>2h 03m 01s</v>
      </c>
      <c r="K163" s="69">
        <f t="shared" si="6"/>
        <v>744580083</v>
      </c>
      <c r="L163" s="60">
        <f t="shared" si="7"/>
        <v>-84.10517</v>
      </c>
      <c r="M163" s="61">
        <f>IFERROR(__xludf.DUMMYFUNCTION("IFS(AND(COUNTA(C163:C1644)=0,COUNTA(Q163:Q1644)=0),"""",OR(AND(K163&gt;=1000000000,OR(Y163&gt;=1000000000,COUNTA(Q163:Q1644)=0)),OR(Y163&gt;=1000000000,AND(COUNTA(C163:C1644)=0,P$3=TRUE))),
ROUNDDOWN((AB$1-AC$1)*MAX(INDEX(T$4:T1644,MATCH(LARGE(FILTER(Y$4:Y1644,Y$4"&amp;":Y1644&lt;1000000000),1),Y$4:Y1644)),INDEX(F$4:F1644,MATCH(LARGE(FILTER(K$4:K1644,K$4:K1644&lt;1000000000),1),K$4:K1644)))),AND(K163&lt;1000000000,COUNTA(C163:C1644)&gt;0,P$3=FALSE),
ROUNDDOWN(INDEX(Y$4:Y1644,MATCH(LARGE(FILTER(W$4:W1644,W$4:W1644&lt;=I163),1),W$4:W1644"&amp;"))+(I163-LARGE(FILTER(W$4:W1644,W$4:W1644&lt;=I163),1))*INDEX(T$4:T1644,MATCH(LARGE(FILTER(W$4:W1644,W$4:W1644&lt;=I163),1),W$4:W1644))-K163),1,
ROUNDDOWN(Y163-INDEX(K$4:K1644,MATCH(LARGE(FILTER(I$4:I1644,I$4:I1644&lt;=W163),1),I$4:I1644))-(W163-LARGE(FILTER(I$4:I"&amp;"1644,I$4:I1644&lt;=W163),1))*INDEX(F$4:F1644,MATCH(LARGE(FILTER(I$4:I1644,I$4:I1644&lt;=W163),1),I$4:I1644))))"),3.6874095E7)</f>
        <v>36874095</v>
      </c>
      <c r="N163" s="60">
        <f t="shared" si="8"/>
        <v>-84.10517</v>
      </c>
      <c r="O163" s="61" t="str">
        <f t="shared" si="9"/>
        <v>36,9M</v>
      </c>
      <c r="P163" s="56">
        <f t="shared" si="10"/>
        <v>18</v>
      </c>
      <c r="Q163" s="67" t="s">
        <v>4</v>
      </c>
      <c r="R163" s="10" t="b">
        <f>IFERROR(__xludf.DUMMYFUNCTION("IF(COUNTA(Q163:Q1644)=0,"""",IF(ISBLANK(Q163),FALSE,IF(NOT(COUNTIF($AA$24:$AA$34,SUBSTITUTE(Q163,""Sell_"",""""))),1,IF(REGEXMATCH(Q163,""Sell_""),IF(COUNTIF(Q$4:Q163,SUBSTITUTE(Q163,""Sell_"",""""))-COUNTIF(Q$4:Q162,Q163)&lt;1,1),FALSE))))"),FALSE)</f>
        <v>0</v>
      </c>
      <c r="S163" s="59">
        <f t="array" ref="S163">IF(COUNTA(Q163:Q1644)=0,"",SUM((COUNTIF(Q$4:Q163,Upgrades!$B$3:$B$13)-COUNTIF(Q$4:Q163,"Sell_"&amp;Upgrades!$B$3:$B$13))*Upgrades!$D$3:$D$13))</f>
        <v>106575</v>
      </c>
      <c r="T163" s="66">
        <f>IFERROR(__xludf.DUMMYFUNCTION("IF(COUNTA(Q163:Q1644)=0,"""",IF(REGEXMATCH(INDEX(FILTER(Q$4:Q163,Q$4:Q163&lt;&gt;""""),ROWS(FILTER(Q$4:Q163,Q$4:Q163&lt;&gt;""""))),""^Sell_""),INDEX(FILTER(T$4:T162,Q$4:Q162&lt;&gt;""""),ROWS(FILTER(Q$4:Q162,Q$4:Q162&lt;&gt;""""))),$AD$5+S163))"),106585.0)</f>
        <v>106585</v>
      </c>
      <c r="U163" s="10">
        <f>IFERROR(__xludf.DUMMYFUNCTION("IF(COUNTA(Q163:Q1644)=0,"""",IF(Q163="""",0,IF(REGEXMATCH(Q163,""^Sell_""),-ROUNDDOWN(ROUNDUP(INDEX(Upgrades!$C$3:$C$13,MATCH(SUBSTITUTE(Q163,""Sell_"",""""),Upgrades!$B$3:$B$13,0))*1.15^(COUNTIF(Q$4:Q162,SUBSTITUTE(Q163,""Sell_"",""""))-COUNTIF(Q$4:Q162,"&amp;"""Sell_""&amp;SUBSTITUTE(Q163,""Sell_"",""""))))/2),ROUNDUP(INDEX(Upgrades!$C$3:$C$13,MATCH(Q163,Upgrades!$B$3:$B$13,0))*1.15^(COUNTIF(Q$4:Q162,Q163)-COUNTIF(Q$4:Q162,""Sell_""&amp;Q163))))))"),1077.0)</f>
        <v>1077</v>
      </c>
      <c r="V163" s="10">
        <f t="shared" si="11"/>
        <v>1077</v>
      </c>
      <c r="W163" s="68">
        <f t="shared" si="12"/>
        <v>4449.955492</v>
      </c>
      <c r="X163" s="59" t="str">
        <f t="shared" si="13"/>
        <v>1h 14m 09s</v>
      </c>
      <c r="Y163" s="69">
        <f t="shared" si="14"/>
        <v>87044436</v>
      </c>
      <c r="Z163" s="11"/>
      <c r="AG163" s="59"/>
    </row>
    <row r="164">
      <c r="A164" s="8"/>
      <c r="B164" s="56">
        <f t="shared" si="2"/>
        <v>18</v>
      </c>
      <c r="C164" s="67" t="s">
        <v>10</v>
      </c>
      <c r="D164" s="10" t="b">
        <f>IFERROR(__xludf.DUMMYFUNCTION("IF(COUNTA(C164:C1644)=0,"""",IF(ISBLANK(C164),FALSE,IF(NOT(COUNTIF($AA$24:$AA$34,SUBSTITUTE(C164,""Sell_"",""""))),1,IF(REGEXMATCH(C164,""Sell_""),IF(COUNTIF(C$4:C164,SUBSTITUTE(C164,""Sell_"",""""))-COUNTIF(C$4:C163,C164)&lt;1,1),FALSE))))"),FALSE)</f>
        <v>0</v>
      </c>
      <c r="E164" s="59">
        <f t="array" ref="E164">IF(COUNTA(C164:C1644)=0,"",SUM((COUNTIF(C$4:C164,Upgrades!$B$3:$B$13)-COUNTIF(C$4:C164,"Sell_"&amp;Upgrades!$B$3:$B$13))*Upgrades!$D$3:$D$13))</f>
        <v>522077.1</v>
      </c>
      <c r="F164" s="66">
        <f>IFERROR(__xludf.DUMMYFUNCTION("IF(COUNTA(C164:C1644)=0,"""",IF(REGEXMATCH(INDEX(FILTER(C$4:C164,C$4:C164&lt;&gt;""""),ROWS(FILTER(C$4:C164,C$4:C164&lt;&gt;""""))),""^Sell_""),INDEX(FILTER(F$4:F163,C$4:C163&lt;&gt;""""),ROWS(FILTER(C$4:C163,C$4:C163&lt;&gt;""""))),$AC$5+E164))"),522087.1)</f>
        <v>522087.1</v>
      </c>
      <c r="G164" s="10">
        <f>IFERROR(__xludf.DUMMYFUNCTION("IF(COUNTA(C164:C1644)=0,"""",IF(C164="""",0,IF(REGEXMATCH(C164,""^Sell_""),-ROUNDDOWN(ROUNDUP(INDEX(Upgrades!$C$3:$C$13,MATCH(SUBSTITUTE(C164,""Sell_"",""""),Upgrades!$B$3:$B$13,0))*1.15^(COUNTIF(C$4:C163,SUBSTITUTE(C164,""Sell_"",""""))-COUNTIF(C$4:C163,"&amp;"""Sell_""&amp;SUBSTITUTE(C164,""Sell_"",""""))))/2),ROUNDUP(INDEX(Upgrades!$C$3:$C$13,MATCH(C164,Upgrades!$B$3:$B$13,0))*1.15^(COUNTIF(C$4:C163,C164)-COUNTIF(C$4:C163,""Sell_""&amp;C164))))))"),1.7935433E7)</f>
        <v>17935433</v>
      </c>
      <c r="H164" s="10">
        <f t="shared" si="3"/>
        <v>17935433</v>
      </c>
      <c r="I164" s="68">
        <f t="shared" si="4"/>
        <v>7416.613825</v>
      </c>
      <c r="J164" s="59" t="str">
        <f t="shared" si="5"/>
        <v>2h 03m 36s</v>
      </c>
      <c r="K164" s="69">
        <f t="shared" si="6"/>
        <v>762515516</v>
      </c>
      <c r="L164" s="60">
        <f t="shared" si="7"/>
        <v>-77.99433</v>
      </c>
      <c r="M164" s="61">
        <f>IFERROR(__xludf.DUMMYFUNCTION("IFS(AND(COUNTA(C164:C1644)=0,COUNTA(Q164:Q1644)=0),"""",OR(AND(K164&gt;=1000000000,OR(Y164&gt;=1000000000,COUNTA(Q164:Q1644)=0)),OR(Y164&gt;=1000000000,AND(COUNTA(C164:C1644)=0,P$3=TRUE))),
ROUNDDOWN((AB$1-AC$1)*MAX(INDEX(T$4:T1644,MATCH(LARGE(FILTER(Y$4:Y1644,Y$4"&amp;":Y1644&lt;1000000000),1),Y$4:Y1644)),INDEX(F$4:F1644,MATCH(LARGE(FILTER(K$4:K1644,K$4:K1644&lt;1000000000),1),K$4:K1644)))),AND(K164&lt;1000000000,COUNTA(C164:C1644)&gt;0,P$3=FALSE),
ROUNDDOWN(INDEX(Y$4:Y1644,MATCH(LARGE(FILTER(W$4:W1644,W$4:W1644&lt;=I164),1),W$4:W1644"&amp;"))+(I164-LARGE(FILTER(W$4:W1644,W$4:W1644&lt;=I164),1))*INDEX(T$4:T1644,MATCH(LARGE(FILTER(W$4:W1644,W$4:W1644&lt;=I164),1),W$4:W1644))-K164),1,
ROUNDDOWN(Y164-INDEX(K$4:K1644,MATCH(LARGE(FILTER(I$4:I1644,I$4:I1644&lt;=W164),1),I$4:I1644))-(W164-LARGE(FILTER(I$4:I"&amp;"1644,I$4:I1644&lt;=W164),1))*INDEX(F$4:F1644,MATCH(LARGE(FILTER(I$4:I1644,I$4:I1644&lt;=W164),1),I$4:I1644))))"),3.4194931E7)</f>
        <v>34194931</v>
      </c>
      <c r="N164" s="60">
        <f t="shared" si="8"/>
        <v>-77.99433</v>
      </c>
      <c r="O164" s="61" t="str">
        <f t="shared" si="9"/>
        <v>34,2M</v>
      </c>
      <c r="P164" s="56">
        <f t="shared" si="10"/>
        <v>16</v>
      </c>
      <c r="Q164" s="67" t="s">
        <v>10</v>
      </c>
      <c r="R164" s="10" t="b">
        <f>IFERROR(__xludf.DUMMYFUNCTION("IF(COUNTA(Q164:Q1644)=0,"""",IF(ISBLANK(Q164),FALSE,IF(NOT(COUNTIF($AA$24:$AA$34,SUBSTITUTE(Q164,""Sell_"",""""))),1,IF(REGEXMATCH(Q164,""Sell_""),IF(COUNTIF(Q$4:Q164,SUBSTITUTE(Q164,""Sell_"",""""))-COUNTIF(Q$4:Q163,Q164)&lt;1,1),FALSE))))"),FALSE)</f>
        <v>0</v>
      </c>
      <c r="S164" s="59">
        <f t="array" ref="S164">IF(COUNTA(Q164:Q1644)=0,"",SUM((COUNTIF(Q$4:Q164,Upgrades!$B$3:$B$13)-COUNTIF(Q$4:Q164,"Sell_"&amp;Upgrades!$B$3:$B$13))*Upgrades!$D$3:$D$13))</f>
        <v>113241</v>
      </c>
      <c r="T164" s="66">
        <f>IFERROR(__xludf.DUMMYFUNCTION("IF(COUNTA(Q164:Q1644)=0,"""",IF(REGEXMATCH(INDEX(FILTER(Q$4:Q164,Q$4:Q164&lt;&gt;""""),ROWS(FILTER(Q$4:Q164,Q$4:Q164&lt;&gt;""""))),""^Sell_""),INDEX(FILTER(T$4:T163,Q$4:Q163&lt;&gt;""""),ROWS(FILTER(Q$4:Q163,Q$4:Q163&lt;&gt;""""))),$AD$5+S164))"),113251.0)</f>
        <v>113251</v>
      </c>
      <c r="U164" s="10">
        <f>IFERROR(__xludf.DUMMYFUNCTION("IF(COUNTA(Q164:Q1644)=0,"""",IF(Q164="""",0,IF(REGEXMATCH(Q164,""^Sell_""),-ROUNDDOWN(ROUNDUP(INDEX(Upgrades!$C$3:$C$13,MATCH(SUBSTITUTE(Q164,""Sell_"",""""),Upgrades!$B$3:$B$13,0))*1.15^(COUNTIF(Q$4:Q163,SUBSTITUTE(Q164,""Sell_"",""""))-COUNTIF(Q$4:Q163,"&amp;"""Sell_""&amp;SUBSTITUTE(Q164,""Sell_"",""""))))/2),ROUNDUP(INDEX(Upgrades!$C$3:$C$13,MATCH(Q164,Upgrades!$B$3:$B$13,0))*1.15^(COUNTIF(Q$4:Q163,Q164)-COUNTIF(Q$4:Q163,""Sell_""&amp;Q164))))))"),1.3561764E7)</f>
        <v>13561764</v>
      </c>
      <c r="V164" s="10">
        <f t="shared" si="11"/>
        <v>13561764</v>
      </c>
      <c r="W164" s="68">
        <f t="shared" si="12"/>
        <v>4577.194447</v>
      </c>
      <c r="X164" s="59" t="str">
        <f t="shared" si="13"/>
        <v>1h 16m 17s</v>
      </c>
      <c r="Y164" s="69">
        <f t="shared" si="14"/>
        <v>100606200</v>
      </c>
      <c r="Z164" s="11"/>
      <c r="AG164" s="59"/>
    </row>
    <row r="165">
      <c r="A165" s="8"/>
      <c r="B165" s="56">
        <f t="shared" si="2"/>
        <v>16</v>
      </c>
      <c r="C165" s="67" t="s">
        <v>6</v>
      </c>
      <c r="D165" s="10" t="b">
        <f>IFERROR(__xludf.DUMMYFUNCTION("IF(COUNTA(C165:C1644)=0,"""",IF(ISBLANK(C165),FALSE,IF(NOT(COUNTIF($AA$24:$AA$34,SUBSTITUTE(C165,""Sell_"",""""))),1,IF(REGEXMATCH(C165,""Sell_""),IF(COUNTIF(C$4:C165,SUBSTITUTE(C165,""Sell_"",""""))-COUNTIF(C$4:C164,C165)&lt;1,1),FALSE))))"),FALSE)</f>
        <v>0</v>
      </c>
      <c r="E165" s="59">
        <f t="array" ref="E165">IF(COUNTA(C165:C1644)=0,"",SUM((COUNTIF(C$4:C165,Upgrades!$B$3:$B$13)-COUNTIF(C$4:C165,"Sell_"&amp;Upgrades!$B$3:$B$13))*Upgrades!$D$3:$D$13))</f>
        <v>522087.1</v>
      </c>
      <c r="F165" s="66">
        <f>IFERROR(__xludf.DUMMYFUNCTION("IF(COUNTA(C165:C1644)=0,"""",IF(REGEXMATCH(INDEX(FILTER(C$4:C165,C$4:C165&lt;&gt;""""),ROWS(FILTER(C$4:C165,C$4:C165&lt;&gt;""""))),""^Sell_""),INDEX(FILTER(F$4:F164,C$4:C164&lt;&gt;""""),ROWS(FILTER(C$4:C164,C$4:C164&lt;&gt;""""))),$AC$5+E165))"),522097.1)</f>
        <v>522097.1</v>
      </c>
      <c r="G165" s="10">
        <f>IFERROR(__xludf.DUMMYFUNCTION("IF(COUNTA(C165:C1644)=0,"""",IF(C165="""",0,IF(REGEXMATCH(C165,""^Sell_""),-ROUNDDOWN(ROUNDUP(INDEX(Upgrades!$C$3:$C$13,MATCH(SUBSTITUTE(C165,""Sell_"",""""),Upgrades!$B$3:$B$13,0))*1.15^(COUNTIF(C$4:C164,SUBSTITUTE(C165,""Sell_"",""""))-COUNTIF(C$4:C164,"&amp;"""Sell_""&amp;SUBSTITUTE(C165,""Sell_"",""""))))/2),ROUNDUP(INDEX(Upgrades!$C$3:$C$13,MATCH(C165,Upgrades!$B$3:$B$13,0))*1.15^(COUNTIF(C$4:C164,C165)-COUNTIF(C$4:C164,""Sell_""&amp;C165))))))"),24412.0)</f>
        <v>24412</v>
      </c>
      <c r="H165" s="10">
        <f t="shared" si="3"/>
        <v>24412</v>
      </c>
      <c r="I165" s="68">
        <f t="shared" si="4"/>
        <v>7416.660583</v>
      </c>
      <c r="J165" s="59" t="str">
        <f t="shared" si="5"/>
        <v>2h 03m 36s</v>
      </c>
      <c r="K165" s="69">
        <f t="shared" si="6"/>
        <v>762539928</v>
      </c>
      <c r="L165" s="60">
        <f t="shared" si="7"/>
        <v>-77.98541</v>
      </c>
      <c r="M165" s="61">
        <f>IFERROR(__xludf.DUMMYFUNCTION("IFS(AND(COUNTA(C165:C1644)=0,COUNTA(Q165:Q1644)=0),"""",OR(AND(K165&gt;=1000000000,OR(Y165&gt;=1000000000,COUNTA(Q165:Q1644)=0)),OR(Y165&gt;=1000000000,AND(COUNTA(C165:C1644)=0,P$3=TRUE))),
ROUNDDOWN((AB$1-AC$1)*MAX(INDEX(T$4:T1644,MATCH(LARGE(FILTER(Y$4:Y1644,Y$4"&amp;":Y1644&lt;1000000000),1),Y$4:Y1644)),INDEX(F$4:F1644,MATCH(LARGE(FILTER(K$4:K1644,K$4:K1644&lt;1000000000),1),K$4:K1644)))),AND(K165&lt;1000000000,COUNTA(C165:C1644)&gt;0,P$3=FALSE),
ROUNDDOWN(INDEX(Y$4:Y1644,MATCH(LARGE(FILTER(W$4:W1644,W$4:W1644&lt;=I165),1),W$4:W1644"&amp;"))+(I165-LARGE(FILTER(W$4:W1644,W$4:W1644&lt;=I165),1))*INDEX(T$4:T1644,MATCH(LARGE(FILTER(W$4:W1644,W$4:W1644&lt;=I165),1),W$4:W1644))-K165),1,
ROUNDDOWN(Y165-INDEX(K$4:K1644,MATCH(LARGE(FILTER(I$4:I1644,I$4:I1644&lt;=W165),1),I$4:I1644))-(W165-LARGE(FILTER(I$4:I"&amp;"1644,I$4:I1644&lt;=W165),1))*INDEX(F$4:F1644,MATCH(LARGE(FILTER(I$4:I1644,I$4:I1644&lt;=W165),1),I$4:I1644))))"),3.419102E7)</f>
        <v>34191020</v>
      </c>
      <c r="N165" s="60">
        <f t="shared" si="8"/>
        <v>-77.98541</v>
      </c>
      <c r="O165" s="61" t="str">
        <f t="shared" si="9"/>
        <v>34,2M</v>
      </c>
      <c r="P165" s="56">
        <f t="shared" si="10"/>
        <v>1</v>
      </c>
      <c r="Q165" s="67" t="s">
        <v>64</v>
      </c>
      <c r="R165" s="10" t="b">
        <f>IFERROR(__xludf.DUMMYFUNCTION("IF(COUNTA(Q165:Q1644)=0,"""",IF(ISBLANK(Q165),FALSE,IF(NOT(COUNTIF($AA$24:$AA$34,SUBSTITUTE(Q165,""Sell_"",""""))),1,IF(REGEXMATCH(Q165,""Sell_""),IF(COUNTIF(Q$4:Q165,SUBSTITUTE(Q165,""Sell_"",""""))-COUNTIF(Q$4:Q164,Q165)&lt;1,1),FALSE))))"),FALSE)</f>
        <v>0</v>
      </c>
      <c r="S165" s="59">
        <f t="array" ref="S165">IF(COUNTA(Q165:Q1644)=0,"",SUM((COUNTIF(Q$4:Q165,Upgrades!$B$3:$B$13)-COUNTIF(Q$4:Q165,"Sell_"&amp;Upgrades!$B$3:$B$13))*Upgrades!$D$3:$D$13))</f>
        <v>106575</v>
      </c>
      <c r="T165" s="66">
        <f>IFERROR(__xludf.DUMMYFUNCTION("IF(COUNTA(Q165:Q1644)=0,"""",IF(REGEXMATCH(INDEX(FILTER(Q$4:Q165,Q$4:Q165&lt;&gt;""""),ROWS(FILTER(Q$4:Q165,Q$4:Q165&lt;&gt;""""))),""^Sell_""),INDEX(FILTER(T$4:T164,Q$4:Q164&lt;&gt;""""),ROWS(FILTER(Q$4:Q164,Q$4:Q164&lt;&gt;""""))),$AD$5+S165))"),113251.0)</f>
        <v>113251</v>
      </c>
      <c r="U165" s="10">
        <f>IFERROR(__xludf.DUMMYFUNCTION("IF(COUNTA(Q165:Q1644)=0,"""",IF(Q165="""",0,IF(REGEXMATCH(Q165,""^Sell_""),-ROUNDDOWN(ROUNDUP(INDEX(Upgrades!$C$3:$C$13,MATCH(SUBSTITUTE(Q165,""Sell_"",""""),Upgrades!$B$3:$B$13,0))*1.15^(COUNTIF(Q$4:Q164,SUBSTITUTE(Q165,""Sell_"",""""))-COUNTIF(Q$4:Q164,"&amp;"""Sell_""&amp;SUBSTITUTE(Q165,""Sell_"",""""))))/2),ROUNDUP(INDEX(Upgrades!$C$3:$C$13,MATCH(Q165,Upgrades!$B$3:$B$13,0))*1.15^(COUNTIF(Q$4:Q164,Q165)-COUNTIF(Q$4:Q164,""Sell_""&amp;Q165))))))"),-7798014.0)</f>
        <v>-7798014</v>
      </c>
      <c r="V165" s="10">
        <f t="shared" si="11"/>
        <v>-7798014</v>
      </c>
      <c r="W165" s="68">
        <f t="shared" si="12"/>
        <v>4577.194447</v>
      </c>
      <c r="X165" s="59" t="str">
        <f t="shared" si="13"/>
        <v>1h 16m 17s</v>
      </c>
      <c r="Y165" s="69">
        <f t="shared" si="14"/>
        <v>100606200</v>
      </c>
      <c r="Z165" s="11"/>
      <c r="AG165" s="59"/>
    </row>
    <row r="166">
      <c r="A166" s="8"/>
      <c r="B166" s="56">
        <f t="shared" si="2"/>
        <v>22</v>
      </c>
      <c r="C166" s="67" t="s">
        <v>3</v>
      </c>
      <c r="D166" s="10"/>
      <c r="E166" s="59">
        <f t="array" ref="E166">IF(COUNTA(C166:C1644)=0,"",SUM((COUNTIF(C$4:C166,Upgrades!$B$3:$B$13)-COUNTIF(C$4:C166,"Sell_"&amp;Upgrades!$B$3:$B$13))*Upgrades!$D$3:$D$13))</f>
        <v>522087.2</v>
      </c>
      <c r="F166" s="66">
        <f>IFERROR(__xludf.DUMMYFUNCTION("IF(COUNTA(C166:C1644)=0,"""",IF(REGEXMATCH(INDEX(FILTER(C$4:C166,C$4:C166&lt;&gt;""""),ROWS(FILTER(C$4:C166,C$4:C166&lt;&gt;""""))),""^Sell_""),INDEX(FILTER(F$4:F165,C$4:C165&lt;&gt;""""),ROWS(FILTER(C$4:C165,C$4:C165&lt;&gt;""""))),$AC$5+E166))"),522097.2)</f>
        <v>522097.2</v>
      </c>
      <c r="G166" s="10">
        <f>IFERROR(__xludf.DUMMYFUNCTION("IF(COUNTA(C166:C1644)=0,"""",IF(C166="""",0,IF(REGEXMATCH(C166,""^Sell_""),-ROUNDDOWN(ROUNDUP(INDEX(Upgrades!$C$3:$C$13,MATCH(SUBSTITUTE(C166,""Sell_"",""""),Upgrades!$B$3:$B$13,0))*1.15^(COUNTIF(C$4:C165,SUBSTITUTE(C166,""Sell_"",""""))-COUNTIF(C$4:C165,"&amp;"""Sell_""&amp;SUBSTITUTE(C166,""Sell_"",""""))))/2),ROUNDUP(INDEX(Upgrades!$C$3:$C$13,MATCH(C166,Upgrades!$B$3:$B$13,0))*1.15^(COUNTIF(C$4:C165,C166)-COUNTIF(C$4:C165,""Sell_""&amp;C166))))))"),283.0)</f>
        <v>283</v>
      </c>
      <c r="H166" s="10">
        <f t="shared" si="3"/>
        <v>283</v>
      </c>
      <c r="I166" s="68">
        <f t="shared" si="4"/>
        <v>7416.661125</v>
      </c>
      <c r="J166" s="59" t="str">
        <f t="shared" si="5"/>
        <v>2h 03m 36s</v>
      </c>
      <c r="K166" s="69">
        <f t="shared" si="6"/>
        <v>762540211</v>
      </c>
      <c r="L166" s="60">
        <f t="shared" si="7"/>
        <v>-77.98531</v>
      </c>
      <c r="M166" s="61">
        <f>IFERROR(__xludf.DUMMYFUNCTION("IFS(AND(COUNTA(C166:C1644)=0,COUNTA(Q166:Q1644)=0),"""",OR(AND(K166&gt;=1000000000,OR(Y166&gt;=1000000000,COUNTA(Q166:Q1644)=0)),OR(Y166&gt;=1000000000,AND(COUNTA(C166:C1644)=0,P$3=TRUE))),
ROUNDDOWN((AB$1-AC$1)*MAX(INDEX(T$4:T1644,MATCH(LARGE(FILTER(Y$4:Y1644,Y$4"&amp;":Y1644&lt;1000000000),1),Y$4:Y1644)),INDEX(F$4:F1644,MATCH(LARGE(FILTER(K$4:K1644,K$4:K1644&lt;1000000000),1),K$4:K1644)))),AND(K166&lt;1000000000,COUNTA(C166:C1644)&gt;0,P$3=FALSE),
ROUNDDOWN(INDEX(Y$4:Y1644,MATCH(LARGE(FILTER(W$4:W1644,W$4:W1644&lt;=I166),1),W$4:W1644"&amp;"))+(I166-LARGE(FILTER(W$4:W1644,W$4:W1644&lt;=I166),1))*INDEX(T$4:T1644,MATCH(LARGE(FILTER(W$4:W1644,W$4:W1644&lt;=I166),1),W$4:W1644))-K166),1,
ROUNDDOWN(Y166-INDEX(K$4:K1644,MATCH(LARGE(FILTER(I$4:I1644,I$4:I1644&lt;=W166),1),I$4:I1644))-(W166-LARGE(FILTER(I$4:I"&amp;"1644,I$4:I1644&lt;=W166),1))*INDEX(F$4:F1644,MATCH(LARGE(FILTER(I$4:I1644,I$4:I1644&lt;=W166),1),I$4:I1644))))"),3.4190974E7)</f>
        <v>34190974</v>
      </c>
      <c r="N166" s="60">
        <f t="shared" si="8"/>
        <v>-77.98531</v>
      </c>
      <c r="O166" s="61" t="str">
        <f t="shared" si="9"/>
        <v>34,2M</v>
      </c>
      <c r="P166" s="56">
        <f t="shared" si="10"/>
        <v>6</v>
      </c>
      <c r="Q166" s="67" t="s">
        <v>60</v>
      </c>
      <c r="R166" s="10" t="b">
        <f>IFERROR(__xludf.DUMMYFUNCTION("IF(COUNTA(Q166:Q1644)=0,"""",IF(ISBLANK(Q166),FALSE,IF(NOT(COUNTIF($AA$24:$AA$34,SUBSTITUTE(Q166,""Sell_"",""""))),1,IF(REGEXMATCH(Q166,""Sell_""),IF(COUNTIF(Q$4:Q166,SUBSTITUTE(Q166,""Sell_"",""""))-COUNTIF(Q$4:Q165,Q166)&lt;1,1),FALSE))))"),FALSE)</f>
        <v>0</v>
      </c>
      <c r="S166" s="59">
        <f t="array" ref="S166">IF(COUNTA(Q166:Q1644)=0,"",SUM((COUNTIF(Q$4:Q166,Upgrades!$B$3:$B$13)-COUNTIF(Q$4:Q166,"Sell_"&amp;Upgrades!$B$3:$B$13))*Upgrades!$D$3:$D$13))</f>
        <v>106175</v>
      </c>
      <c r="T166" s="66">
        <f>IFERROR(__xludf.DUMMYFUNCTION("IF(COUNTA(Q166:Q1644)=0,"""",IF(REGEXMATCH(INDEX(FILTER(Q$4:Q166,Q$4:Q166&lt;&gt;""""),ROWS(FILTER(Q$4:Q166,Q$4:Q166&lt;&gt;""""))),""^Sell_""),INDEX(FILTER(T$4:T165,Q$4:Q165&lt;&gt;""""),ROWS(FILTER(Q$4:Q165,Q$4:Q165&lt;&gt;""""))),$AD$5+S166))"),113251.0)</f>
        <v>113251</v>
      </c>
      <c r="U166" s="10">
        <f>IFERROR(__xludf.DUMMYFUNCTION("IF(COUNTA(Q166:Q1644)=0,"""",IF(Q166="""",0,IF(REGEXMATCH(Q166,""^Sell_""),-ROUNDDOWN(ROUNDUP(INDEX(Upgrades!$C$3:$C$13,MATCH(SUBSTITUTE(Q166,""Sell_"",""""),Upgrades!$B$3:$B$13,0))*1.15^(COUNTIF(Q$4:Q165,SUBSTITUTE(Q166,""Sell_"",""""))-COUNTIF(Q$4:Q165,"&amp;"""Sell_""&amp;SUBSTITUTE(Q166,""Sell_"",""""))))/2),ROUNDUP(INDEX(Upgrades!$C$3:$C$13,MATCH(Q166,Upgrades!$B$3:$B$13,0))*1.15^(COUNTIF(Q$4:Q165,Q166)-COUNTIF(Q$4:Q165,""Sell_""&amp;Q166))))))"),-465239.0)</f>
        <v>-465239</v>
      </c>
      <c r="V166" s="10">
        <f t="shared" si="11"/>
        <v>-8263253</v>
      </c>
      <c r="W166" s="68">
        <f t="shared" si="12"/>
        <v>4577.194447</v>
      </c>
      <c r="X166" s="59" t="str">
        <f t="shared" si="13"/>
        <v>1h 16m 17s</v>
      </c>
      <c r="Y166" s="69">
        <f t="shared" si="14"/>
        <v>100606200</v>
      </c>
      <c r="Z166" s="11"/>
      <c r="AG166" s="59"/>
    </row>
    <row r="167">
      <c r="A167" s="8"/>
      <c r="B167" s="56">
        <f t="shared" si="2"/>
        <v>14</v>
      </c>
      <c r="C167" s="67" t="s">
        <v>8</v>
      </c>
      <c r="D167" s="10"/>
      <c r="E167" s="59">
        <f t="array" ref="E167">IF(COUNTA(C167:C1644)=0,"",SUM((COUNTIF(C$4:C167,Upgrades!$B$3:$B$13)-COUNTIF(C$4:C167,"Sell_"&amp;Upgrades!$B$3:$B$13))*Upgrades!$D$3:$D$13))</f>
        <v>522187.2</v>
      </c>
      <c r="F167" s="66">
        <f>IFERROR(__xludf.DUMMYFUNCTION("IF(COUNTA(C167:C1644)=0,"""",IF(REGEXMATCH(INDEX(FILTER(C$4:C167,C$4:C167&lt;&gt;""""),ROWS(FILTER(C$4:C167,C$4:C167&lt;&gt;""""))),""^Sell_""),INDEX(FILTER(F$4:F166,C$4:C166&lt;&gt;""""),ROWS(FILTER(C$4:C166,C$4:C166&lt;&gt;""""))),$AC$5+E167))"),522197.2)</f>
        <v>522197.2</v>
      </c>
      <c r="G167" s="10">
        <f>IFERROR(__xludf.DUMMYFUNCTION("IF(COUNTA(C167:C1644)=0,"""",IF(C167="""",0,IF(REGEXMATCH(C167,""^Sell_""),-ROUNDDOWN(ROUNDUP(INDEX(Upgrades!$C$3:$C$13,MATCH(SUBSTITUTE(C167,""Sell_"",""""),Upgrades!$B$3:$B$13,0))*1.15^(COUNTIF(C$4:C166,SUBSTITUTE(C167,""Sell_"",""""))-COUNTIF(C$4:C166,"&amp;"""Sell_""&amp;SUBSTITUTE(C167,""Sell_"",""""))))/2),ROUNDUP(INDEX(Upgrades!$C$3:$C$13,MATCH(C167,Upgrades!$B$3:$B$13,0))*1.15^(COUNTIF(C$4:C166,C167)-COUNTIF(C$4:C166,""Sell_""&amp;C167))))))"),246112.0)</f>
        <v>246112</v>
      </c>
      <c r="H167" s="10">
        <f t="shared" si="3"/>
        <v>246112</v>
      </c>
      <c r="I167" s="68">
        <f t="shared" si="4"/>
        <v>7417.132516</v>
      </c>
      <c r="J167" s="59" t="str">
        <f t="shared" si="5"/>
        <v>2h 03m 37s</v>
      </c>
      <c r="K167" s="69">
        <f t="shared" si="6"/>
        <v>762786323</v>
      </c>
      <c r="L167" s="60">
        <f t="shared" si="7"/>
        <v>-77.89535</v>
      </c>
      <c r="M167" s="61">
        <f>IFERROR(__xludf.DUMMYFUNCTION("IFS(AND(COUNTA(C167:C1644)=0,COUNTA(Q167:Q1644)=0),"""",OR(AND(K167&gt;=1000000000,OR(Y167&gt;=1000000000,COUNTA(Q167:Q1644)=0)),OR(Y167&gt;=1000000000,AND(COUNTA(C167:C1644)=0,P$3=TRUE))),
ROUNDDOWN((AB$1-AC$1)*MAX(INDEX(T$4:T1644,MATCH(LARGE(FILTER(Y$4:Y1644,Y$4"&amp;":Y1644&lt;1000000000),1),Y$4:Y1644)),INDEX(F$4:F1644,MATCH(LARGE(FILTER(K$4:K1644,K$4:K1644&lt;1000000000),1),K$4:K1644)))),AND(K167&lt;1000000000,COUNTA(C167:C1644)&gt;0,P$3=FALSE),
ROUNDDOWN(INDEX(Y$4:Y1644,MATCH(LARGE(FILTER(W$4:W1644,W$4:W1644&lt;=I167),1),W$4:W1644"&amp;"))+(I167-LARGE(FILTER(W$4:W1644,W$4:W1644&lt;=I167),1))*INDEX(T$4:T1644,MATCH(LARGE(FILTER(W$4:W1644,W$4:W1644&lt;=I167),1),W$4:W1644))-K167),1,
ROUNDDOWN(Y167-INDEX(K$4:K1644,MATCH(LARGE(FILTER(I$4:I1644,I$4:I1644&lt;=W167),1),I$4:I1644))-(W167-LARGE(FILTER(I$4:I"&amp;"1644,I$4:I1644&lt;=W167),1))*INDEX(F$4:F1644,MATCH(LARGE(FILTER(I$4:I1644,I$4:I1644&lt;=W167),1),I$4:I1644))))"),3.4151533E7)</f>
        <v>34151533</v>
      </c>
      <c r="N167" s="60">
        <f t="shared" si="8"/>
        <v>-77.89535</v>
      </c>
      <c r="O167" s="61" t="str">
        <f t="shared" si="9"/>
        <v>34,2M</v>
      </c>
      <c r="P167" s="56">
        <f t="shared" si="10"/>
        <v>11</v>
      </c>
      <c r="Q167" s="67" t="s">
        <v>61</v>
      </c>
      <c r="R167" s="10"/>
      <c r="S167" s="59">
        <f t="array" ref="S167">IF(COUNTA(Q167:Q1644)=0,"",SUM((COUNTIF(Q$4:Q167,Upgrades!$B$3:$B$13)-COUNTIF(Q$4:Q167,"Sell_"&amp;Upgrades!$B$3:$B$13))*Upgrades!$D$3:$D$13))</f>
        <v>106075</v>
      </c>
      <c r="T167" s="66">
        <f>IFERROR(__xludf.DUMMYFUNCTION("IF(COUNTA(Q167:Q1644)=0,"""",IF(REGEXMATCH(INDEX(FILTER(Q$4:Q167,Q$4:Q167&lt;&gt;""""),ROWS(FILTER(Q$4:Q167,Q$4:Q167&lt;&gt;""""))),""^Sell_""),INDEX(FILTER(T$4:T166,Q$4:Q166&lt;&gt;""""),ROWS(FILTER(Q$4:Q166,Q$4:Q166&lt;&gt;""""))),$AD$5+S167))"),113251.0)</f>
        <v>113251</v>
      </c>
      <c r="U167" s="10">
        <f>IFERROR(__xludf.DUMMYFUNCTION("IF(COUNTA(Q167:Q1644)=0,"""",IF(Q167="""",0,IF(REGEXMATCH(Q167,""^Sell_""),-ROUNDDOWN(ROUNDUP(INDEX(Upgrades!$C$3:$C$13,MATCH(SUBSTITUTE(Q167,""Sell_"",""""),Upgrades!$B$3:$B$13,0))*1.15^(COUNTIF(Q$4:Q166,SUBSTITUTE(Q167,""Sell_"",""""))-COUNTIF(Q$4:Q166,"&amp;"""Sell_""&amp;SUBSTITUTE(Q167,""Sell_"",""""))))/2),ROUNDUP(INDEX(Upgrades!$C$3:$C$13,MATCH(Q167,Upgrades!$B$3:$B$13,0))*1.15^(COUNTIF(Q$4:Q166,Q167)-COUNTIF(Q$4:Q166,""Sell_""&amp;Q167))))))"),-123056.0)</f>
        <v>-123056</v>
      </c>
      <c r="V167" s="10">
        <f t="shared" si="11"/>
        <v>-8386309</v>
      </c>
      <c r="W167" s="68">
        <f t="shared" si="12"/>
        <v>4577.194447</v>
      </c>
      <c r="X167" s="59" t="str">
        <f t="shared" si="13"/>
        <v>1h 16m 17s</v>
      </c>
      <c r="Y167" s="69">
        <f t="shared" si="14"/>
        <v>100606200</v>
      </c>
      <c r="Z167" s="11"/>
      <c r="AG167" s="59"/>
    </row>
    <row r="168">
      <c r="A168" s="8"/>
      <c r="B168" s="56">
        <f t="shared" si="2"/>
        <v>19</v>
      </c>
      <c r="C168" s="67" t="s">
        <v>4</v>
      </c>
      <c r="D168" s="10"/>
      <c r="E168" s="59">
        <f t="array" ref="E168">IF(COUNTA(C168:C1644)=0,"",SUM((COUNTIF(C$4:C168,Upgrades!$B$3:$B$13)-COUNTIF(C$4:C168,"Sell_"&amp;Upgrades!$B$3:$B$13))*Upgrades!$D$3:$D$13))</f>
        <v>522187.7</v>
      </c>
      <c r="F168" s="66">
        <f>IFERROR(__xludf.DUMMYFUNCTION("IF(COUNTA(C168:C1644)=0,"""",IF(REGEXMATCH(INDEX(FILTER(C$4:C168,C$4:C168&lt;&gt;""""),ROWS(FILTER(C$4:C168,C$4:C168&lt;&gt;""""))),""^Sell_""),INDEX(FILTER(F$4:F167,C$4:C167&lt;&gt;""""),ROWS(FILTER(C$4:C167,C$4:C167&lt;&gt;""""))),$AC$5+E168))"),522197.7)</f>
        <v>522197.7</v>
      </c>
      <c r="G168" s="10">
        <f>IFERROR(__xludf.DUMMYFUNCTION("IF(COUNTA(C168:C1644)=0,"""",IF(C168="""",0,IF(REGEXMATCH(C168,""^Sell_""),-ROUNDDOWN(ROUNDUP(INDEX(Upgrades!$C$3:$C$13,MATCH(SUBSTITUTE(C168,""Sell_"",""""),Upgrades!$B$3:$B$13,0))*1.15^(COUNTIF(C$4:C167,SUBSTITUTE(C168,""Sell_"",""""))-COUNTIF(C$4:C167,"&amp;"""Sell_""&amp;SUBSTITUTE(C168,""Sell_"",""""))))/2),ROUNDUP(INDEX(Upgrades!$C$3:$C$13,MATCH(C168,Upgrades!$B$3:$B$13,0))*1.15^(COUNTIF(C$4:C167,C168)-COUNTIF(C$4:C167,""Sell_""&amp;C168))))))"),1238.0)</f>
        <v>1238</v>
      </c>
      <c r="H168" s="10">
        <f t="shared" si="3"/>
        <v>1238</v>
      </c>
      <c r="I168" s="68">
        <f t="shared" si="4"/>
        <v>7417.134887</v>
      </c>
      <c r="J168" s="59" t="str">
        <f t="shared" si="5"/>
        <v>2h 03m 37s</v>
      </c>
      <c r="K168" s="69">
        <f t="shared" si="6"/>
        <v>762787561</v>
      </c>
      <c r="L168" s="60">
        <f t="shared" si="7"/>
        <v>-77.89489</v>
      </c>
      <c r="M168" s="61">
        <f>IFERROR(__xludf.DUMMYFUNCTION("IFS(AND(COUNTA(C168:C1644)=0,COUNTA(Q168:Q1644)=0),"""",OR(AND(K168&gt;=1000000000,OR(Y168&gt;=1000000000,COUNTA(Q168:Q1644)=0)),OR(Y168&gt;=1000000000,AND(COUNTA(C168:C1644)=0,P$3=TRUE))),
ROUNDDOWN((AB$1-AC$1)*MAX(INDEX(T$4:T1644,MATCH(LARGE(FILTER(Y$4:Y1644,Y$4"&amp;":Y1644&lt;1000000000),1),Y$4:Y1644)),INDEX(F$4:F1644,MATCH(LARGE(FILTER(K$4:K1644,K$4:K1644&lt;1000000000),1),K$4:K1644)))),AND(K168&lt;1000000000,COUNTA(C168:C1644)&gt;0,P$3=FALSE),
ROUNDDOWN(INDEX(Y$4:Y1644,MATCH(LARGE(FILTER(W$4:W1644,W$4:W1644&lt;=I168),1),W$4:W1644"&amp;"))+(I168-LARGE(FILTER(W$4:W1644,W$4:W1644&lt;=I168),1))*INDEX(T$4:T1644,MATCH(LARGE(FILTER(W$4:W1644,W$4:W1644&lt;=I168),1),W$4:W1644))-K168),1,
ROUNDDOWN(Y168-INDEX(K$4:K1644,MATCH(LARGE(FILTER(I$4:I1644,I$4:I1644&lt;=W168),1),I$4:I1644))-(W168-LARGE(FILTER(I$4:I"&amp;"1644,I$4:I1644&lt;=W168),1))*INDEX(F$4:F1644,MATCH(LARGE(FILTER(I$4:I1644,I$4:I1644&lt;=W168),1),I$4:I1644))))"),3.4151335E7)</f>
        <v>34151335</v>
      </c>
      <c r="N168" s="60">
        <f t="shared" si="8"/>
        <v>-77.89489</v>
      </c>
      <c r="O168" s="61" t="str">
        <f t="shared" si="9"/>
        <v>34,2M</v>
      </c>
      <c r="P168" s="56">
        <f t="shared" si="10"/>
        <v>12</v>
      </c>
      <c r="Q168" s="67" t="s">
        <v>61</v>
      </c>
      <c r="R168" s="10"/>
      <c r="S168" s="59">
        <f t="array" ref="S168">IF(COUNTA(Q168:Q1644)=0,"",SUM((COUNTIF(Q$4:Q168,Upgrades!$B$3:$B$13)-COUNTIF(Q$4:Q168,"Sell_"&amp;Upgrades!$B$3:$B$13))*Upgrades!$D$3:$D$13))</f>
        <v>105975</v>
      </c>
      <c r="T168" s="66">
        <f>IFERROR(__xludf.DUMMYFUNCTION("IF(COUNTA(Q168:Q1644)=0,"""",IF(REGEXMATCH(INDEX(FILTER(Q$4:Q168,Q$4:Q168&lt;&gt;""""),ROWS(FILTER(Q$4:Q168,Q$4:Q168&lt;&gt;""""))),""^Sell_""),INDEX(FILTER(T$4:T167,Q$4:Q167&lt;&gt;""""),ROWS(FILTER(Q$4:Q167,Q$4:Q167&lt;&gt;""""))),$AD$5+S168))"),113251.0)</f>
        <v>113251</v>
      </c>
      <c r="U168" s="10">
        <f>IFERROR(__xludf.DUMMYFUNCTION("IF(COUNTA(Q168:Q1644)=0,"""",IF(Q168="""",0,IF(REGEXMATCH(Q168,""^Sell_""),-ROUNDDOWN(ROUNDUP(INDEX(Upgrades!$C$3:$C$13,MATCH(SUBSTITUTE(Q168,""Sell_"",""""),Upgrades!$B$3:$B$13,0))*1.15^(COUNTIF(Q$4:Q167,SUBSTITUTE(Q168,""Sell_"",""""))-COUNTIF(Q$4:Q167,"&amp;"""Sell_""&amp;SUBSTITUTE(Q168,""Sell_"",""""))))/2),ROUNDUP(INDEX(Upgrades!$C$3:$C$13,MATCH(Q168,Upgrades!$B$3:$B$13,0))*1.15^(COUNTIF(Q$4:Q167,Q168)-COUNTIF(Q$4:Q167,""Sell_""&amp;Q168))))))"),-107005.0)</f>
        <v>-107005</v>
      </c>
      <c r="V168" s="10">
        <f t="shared" si="11"/>
        <v>-8493314</v>
      </c>
      <c r="W168" s="68">
        <f t="shared" si="12"/>
        <v>4577.194447</v>
      </c>
      <c r="X168" s="59" t="str">
        <f t="shared" si="13"/>
        <v>1h 16m 17s</v>
      </c>
      <c r="Y168" s="69">
        <f t="shared" si="14"/>
        <v>100606200</v>
      </c>
      <c r="Z168" s="11"/>
      <c r="AG168" s="59"/>
    </row>
    <row r="169">
      <c r="A169" s="8"/>
      <c r="B169" s="56">
        <f t="shared" si="2"/>
        <v>13</v>
      </c>
      <c r="C169" s="67" t="s">
        <v>9</v>
      </c>
      <c r="D169" s="10"/>
      <c r="E169" s="59">
        <f t="array" ref="E169">IF(COUNTA(C169:C1644)=0,"",SUM((COUNTIF(C$4:C169,Upgrades!$B$3:$B$13)-COUNTIF(C$4:C169,"Sell_"&amp;Upgrades!$B$3:$B$13))*Upgrades!$D$3:$D$13))</f>
        <v>522587.7</v>
      </c>
      <c r="F169" s="66">
        <f>IFERROR(__xludf.DUMMYFUNCTION("IF(COUNTA(C169:C1644)=0,"""",IF(REGEXMATCH(INDEX(FILTER(C$4:C169,C$4:C169&lt;&gt;""""),ROWS(FILTER(C$4:C169,C$4:C169&lt;&gt;""""))),""^Sell_""),INDEX(FILTER(F$4:F168,C$4:C168&lt;&gt;""""),ROWS(FILTER(C$4:C168,C$4:C168&lt;&gt;""""))),$AC$5+E169))"),522597.7)</f>
        <v>522597.7</v>
      </c>
      <c r="G169" s="10">
        <f>IFERROR(__xludf.DUMMYFUNCTION("IF(COUNTA(C169:C1644)=0,"""",IF(C169="""",0,IF(REGEXMATCH(C169,""^Sell_""),-ROUNDDOWN(ROUNDUP(INDEX(Upgrades!$C$3:$C$13,MATCH(SUBSTITUTE(C169,""Sell_"",""""),Upgrades!$B$3:$B$13,0))*1.15^(COUNTIF(C$4:C168,SUBSTITUTE(C169,""Sell_"",""""))-COUNTIF(C$4:C168,"&amp;"""Sell_""&amp;SUBSTITUTE(C169,""Sell_"",""""))))/2),ROUNDUP(INDEX(Upgrades!$C$3:$C$13,MATCH(C169,Upgrades!$B$3:$B$13,0))*1.15^(COUNTIF(C$4:C168,C169)-COUNTIF(C$4:C168,""Sell_""&amp;C169))))))"),1070051.0)</f>
        <v>1070051</v>
      </c>
      <c r="H169" s="10">
        <f t="shared" si="3"/>
        <v>1070051</v>
      </c>
      <c r="I169" s="68">
        <f t="shared" si="4"/>
        <v>7419.184017</v>
      </c>
      <c r="J169" s="59" t="str">
        <f t="shared" si="5"/>
        <v>2h 03m 39s</v>
      </c>
      <c r="K169" s="69">
        <f t="shared" si="6"/>
        <v>763857612</v>
      </c>
      <c r="L169" s="60">
        <f t="shared" si="7"/>
        <v>-77.50337</v>
      </c>
      <c r="M169" s="61">
        <f>IFERROR(__xludf.DUMMYFUNCTION("IFS(AND(COUNTA(C169:C1644)=0,COUNTA(Q169:Q1644)=0),"""",OR(AND(K169&gt;=1000000000,OR(Y169&gt;=1000000000,COUNTA(Q169:Q1644)=0)),OR(Y169&gt;=1000000000,AND(COUNTA(C169:C1644)=0,P$3=TRUE))),
ROUNDDOWN((AB$1-AC$1)*MAX(INDEX(T$4:T1644,MATCH(LARGE(FILTER(Y$4:Y1644,Y$4"&amp;":Y1644&lt;1000000000),1),Y$4:Y1644)),INDEX(F$4:F1644,MATCH(LARGE(FILTER(K$4:K1644,K$4:K1644&lt;1000000000),1),K$4:K1644)))),AND(K169&lt;1000000000,COUNTA(C169:C1644)&gt;0,P$3=FALSE),
ROUNDDOWN(INDEX(Y$4:Y1644,MATCH(LARGE(FILTER(W$4:W1644,W$4:W1644&lt;=I169),1),W$4:W1644"&amp;"))+(I169-LARGE(FILTER(W$4:W1644,W$4:W1644&lt;=I169),1))*INDEX(T$4:T1644,MATCH(LARGE(FILTER(W$4:W1644,W$4:W1644&lt;=I169),1),W$4:W1644))-K169),1,
ROUNDDOWN(Y169-INDEX(K$4:K1644,MATCH(LARGE(FILTER(I$4:I1644,I$4:I1644&lt;=W169),1),I$4:I1644))-(W169-LARGE(FILTER(I$4:I"&amp;"1644,I$4:I1644&lt;=W169),1))*INDEX(F$4:F1644,MATCH(LARGE(FILTER(I$4:I1644,I$4:I1644&lt;=W169),1),I$4:I1644))))"),3.3979681E7)</f>
        <v>33979681</v>
      </c>
      <c r="N169" s="60">
        <f t="shared" si="8"/>
        <v>-77.50337</v>
      </c>
      <c r="O169" s="61" t="str">
        <f t="shared" si="9"/>
        <v>34,0M</v>
      </c>
      <c r="P169" s="56">
        <f t="shared" si="10"/>
        <v>13</v>
      </c>
      <c r="Q169" s="67" t="s">
        <v>61</v>
      </c>
      <c r="R169" s="10"/>
      <c r="S169" s="59">
        <f t="array" ref="S169">IF(COUNTA(Q169:Q1644)=0,"",SUM((COUNTIF(Q$4:Q169,Upgrades!$B$3:$B$13)-COUNTIF(Q$4:Q169,"Sell_"&amp;Upgrades!$B$3:$B$13))*Upgrades!$D$3:$D$13))</f>
        <v>105875</v>
      </c>
      <c r="T169" s="66">
        <f>IFERROR(__xludf.DUMMYFUNCTION("IF(COUNTA(Q169:Q1644)=0,"""",IF(REGEXMATCH(INDEX(FILTER(Q$4:Q169,Q$4:Q169&lt;&gt;""""),ROWS(FILTER(Q$4:Q169,Q$4:Q169&lt;&gt;""""))),""^Sell_""),INDEX(FILTER(T$4:T168,Q$4:Q168&lt;&gt;""""),ROWS(FILTER(Q$4:Q168,Q$4:Q168&lt;&gt;""""))),$AD$5+S169))"),113251.0)</f>
        <v>113251</v>
      </c>
      <c r="U169" s="10">
        <f>IFERROR(__xludf.DUMMYFUNCTION("IF(COUNTA(Q169:Q1644)=0,"""",IF(Q169="""",0,IF(REGEXMATCH(Q169,""^Sell_""),-ROUNDDOWN(ROUNDUP(INDEX(Upgrades!$C$3:$C$13,MATCH(SUBSTITUTE(Q169,""Sell_"",""""),Upgrades!$B$3:$B$13,0))*1.15^(COUNTIF(Q$4:Q168,SUBSTITUTE(Q169,""Sell_"",""""))-COUNTIF(Q$4:Q168,"&amp;"""Sell_""&amp;SUBSTITUTE(Q169,""Sell_"",""""))))/2),ROUNDUP(INDEX(Upgrades!$C$3:$C$13,MATCH(Q169,Upgrades!$B$3:$B$13,0))*1.15^(COUNTIF(Q$4:Q168,Q169)-COUNTIF(Q$4:Q168,""Sell_""&amp;Q169))))))"),-93048.0)</f>
        <v>-93048</v>
      </c>
      <c r="V169" s="10">
        <f t="shared" si="11"/>
        <v>-8586362</v>
      </c>
      <c r="W169" s="68">
        <f t="shared" si="12"/>
        <v>4577.194447</v>
      </c>
      <c r="X169" s="59" t="str">
        <f t="shared" si="13"/>
        <v>1h 16m 17s</v>
      </c>
      <c r="Y169" s="69">
        <f t="shared" si="14"/>
        <v>100606200</v>
      </c>
      <c r="Z169" s="11"/>
      <c r="AG169" s="59"/>
    </row>
    <row r="170">
      <c r="A170" s="8"/>
      <c r="B170" s="56">
        <f t="shared" si="2"/>
        <v>18</v>
      </c>
      <c r="C170" s="67" t="s">
        <v>7</v>
      </c>
      <c r="D170" s="10"/>
      <c r="E170" s="59">
        <f t="array" ref="E170">IF(COUNTA(C170:C1644)=0,"",SUM((COUNTIF(C$4:C170,Upgrades!$B$3:$B$13)-COUNTIF(C$4:C170,"Sell_"&amp;Upgrades!$B$3:$B$13))*Upgrades!$D$3:$D$13))</f>
        <v>522627.7</v>
      </c>
      <c r="F170" s="66">
        <f>IFERROR(__xludf.DUMMYFUNCTION("IF(COUNTA(C170:C1644)=0,"""",IF(REGEXMATCH(INDEX(FILTER(C$4:C170,C$4:C170&lt;&gt;""""),ROWS(FILTER(C$4:C170,C$4:C170&lt;&gt;""""))),""^Sell_""),INDEX(FILTER(F$4:F169,C$4:C169&lt;&gt;""""),ROWS(FILTER(C$4:C169,C$4:C169&lt;&gt;""""))),$AC$5+E170))"),522637.7)</f>
        <v>522637.7</v>
      </c>
      <c r="G170" s="10">
        <f>IFERROR(__xludf.DUMMYFUNCTION("IF(COUNTA(C170:C1644)=0,"""",IF(C170="""",0,IF(REGEXMATCH(C170,""^Sell_""),-ROUNDDOWN(ROUNDUP(INDEX(Upgrades!$C$3:$C$13,MATCH(SUBSTITUTE(C170,""Sell_"",""""),Upgrades!$B$3:$B$13,0))*1.15^(COUNTIF(C$4:C169,SUBSTITUTE(C170,""Sell_"",""""))-COUNTIF(C$4:C169,"&amp;"""Sell_""&amp;SUBSTITUTE(C170,""Sell_"",""""))))/2),ROUNDUP(INDEX(Upgrades!$C$3:$C$13,MATCH(C170,Upgrades!$B$3:$B$13,0))*1.15^(COUNTIF(C$4:C169,C170)-COUNTIF(C$4:C169,""Sell_""&amp;C170))))))"),107613.0)</f>
        <v>107613</v>
      </c>
      <c r="H170" s="10">
        <f t="shared" si="3"/>
        <v>107613</v>
      </c>
      <c r="I170" s="68">
        <f t="shared" si="4"/>
        <v>7419.389937</v>
      </c>
      <c r="J170" s="59" t="str">
        <f t="shared" si="5"/>
        <v>2h 03m 39s</v>
      </c>
      <c r="K170" s="69">
        <f t="shared" si="6"/>
        <v>763965225</v>
      </c>
      <c r="L170" s="60">
        <f t="shared" si="7"/>
        <v>-77.46384</v>
      </c>
      <c r="M170" s="61">
        <f>IFERROR(__xludf.DUMMYFUNCTION("IFS(AND(COUNTA(C170:C1644)=0,COUNTA(Q170:Q1644)=0),"""",OR(AND(K170&gt;=1000000000,OR(Y170&gt;=1000000000,COUNTA(Q170:Q1644)=0)),OR(Y170&gt;=1000000000,AND(COUNTA(C170:C1644)=0,P$3=TRUE))),
ROUNDDOWN((AB$1-AC$1)*MAX(INDEX(T$4:T1644,MATCH(LARGE(FILTER(Y$4:Y1644,Y$4"&amp;":Y1644&lt;1000000000),1),Y$4:Y1644)),INDEX(F$4:F1644,MATCH(LARGE(FILTER(K$4:K1644,K$4:K1644&lt;1000000000),1),K$4:K1644)))),AND(K170&lt;1000000000,COUNTA(C170:C1644)&gt;0,P$3=FALSE),
ROUNDDOWN(INDEX(Y$4:Y1644,MATCH(LARGE(FILTER(W$4:W1644,W$4:W1644&lt;=I170),1),W$4:W1644"&amp;"))+(I170-LARGE(FILTER(W$4:W1644,W$4:W1644&lt;=I170),1))*INDEX(T$4:T1644,MATCH(LARGE(FILTER(W$4:W1644,W$4:W1644&lt;=I170),1),W$4:W1644))-K170),1,
ROUNDDOWN(Y170-INDEX(K$4:K1644,MATCH(LARGE(FILTER(I$4:I1644,I$4:I1644&lt;=W170),1),I$4:I1644))-(W170-LARGE(FILTER(I$4:I"&amp;"1644,I$4:I1644&lt;=W170),1))*INDEX(F$4:F1644,MATCH(LARGE(FILTER(I$4:I1644,I$4:I1644&lt;=W170),1),I$4:I1644))))"),3.3962349E7)</f>
        <v>33962349</v>
      </c>
      <c r="N170" s="60">
        <f t="shared" si="8"/>
        <v>-77.46384</v>
      </c>
      <c r="O170" s="61" t="str">
        <f t="shared" si="9"/>
        <v>34,0M</v>
      </c>
      <c r="P170" s="56">
        <f t="shared" si="10"/>
        <v>14</v>
      </c>
      <c r="Q170" s="67" t="s">
        <v>61</v>
      </c>
      <c r="R170" s="10"/>
      <c r="S170" s="59">
        <f t="array" ref="S170">IF(COUNTA(Q170:Q1644)=0,"",SUM((COUNTIF(Q$4:Q170,Upgrades!$B$3:$B$13)-COUNTIF(Q$4:Q170,"Sell_"&amp;Upgrades!$B$3:$B$13))*Upgrades!$D$3:$D$13))</f>
        <v>105775</v>
      </c>
      <c r="T170" s="66">
        <f>IFERROR(__xludf.DUMMYFUNCTION("IF(COUNTA(Q170:Q1644)=0,"""",IF(REGEXMATCH(INDEX(FILTER(Q$4:Q170,Q$4:Q170&lt;&gt;""""),ROWS(FILTER(Q$4:Q170,Q$4:Q170&lt;&gt;""""))),""^Sell_""),INDEX(FILTER(T$4:T169,Q$4:Q169&lt;&gt;""""),ROWS(FILTER(Q$4:Q169,Q$4:Q169&lt;&gt;""""))),$AD$5+S170))"),113251.0)</f>
        <v>113251</v>
      </c>
      <c r="U170" s="10">
        <f>IFERROR(__xludf.DUMMYFUNCTION("IF(COUNTA(Q170:Q1644)=0,"""",IF(Q170="""",0,IF(REGEXMATCH(Q170,""^Sell_""),-ROUNDDOWN(ROUNDUP(INDEX(Upgrades!$C$3:$C$13,MATCH(SUBSTITUTE(Q170,""Sell_"",""""),Upgrades!$B$3:$B$13,0))*1.15^(COUNTIF(Q$4:Q169,SUBSTITUTE(Q170,""Sell_"",""""))-COUNTIF(Q$4:Q169,"&amp;"""Sell_""&amp;SUBSTITUTE(Q170,""Sell_"",""""))))/2),ROUNDUP(INDEX(Upgrades!$C$3:$C$13,MATCH(Q170,Upgrades!$B$3:$B$13,0))*1.15^(COUNTIF(Q$4:Q169,Q170)-COUNTIF(Q$4:Q169,""Sell_""&amp;Q170))))))"),-80911.0)</f>
        <v>-80911</v>
      </c>
      <c r="V170" s="10">
        <f t="shared" si="11"/>
        <v>-8667273</v>
      </c>
      <c r="W170" s="68">
        <f t="shared" si="12"/>
        <v>4577.194447</v>
      </c>
      <c r="X170" s="59" t="str">
        <f t="shared" si="13"/>
        <v>1h 16m 17s</v>
      </c>
      <c r="Y170" s="69">
        <f t="shared" si="14"/>
        <v>100606200</v>
      </c>
      <c r="Z170" s="11"/>
      <c r="AG170" s="59"/>
    </row>
    <row r="171">
      <c r="A171" s="8"/>
      <c r="B171" s="56">
        <f t="shared" si="2"/>
        <v>23</v>
      </c>
      <c r="C171" s="67" t="s">
        <v>5</v>
      </c>
      <c r="D171" s="10"/>
      <c r="E171" s="59">
        <f t="array" ref="E171">IF(COUNTA(C171:C1644)=0,"",SUM((COUNTIF(C$4:C171,Upgrades!$B$3:$B$13)-COUNTIF(C$4:C171,"Sell_"&amp;Upgrades!$B$3:$B$13))*Upgrades!$D$3:$D$13))</f>
        <v>522631.7</v>
      </c>
      <c r="F171" s="66">
        <f>IFERROR(__xludf.DUMMYFUNCTION("IF(COUNTA(C171:C1644)=0,"""",IF(REGEXMATCH(INDEX(FILTER(C$4:C171,C$4:C171&lt;&gt;""""),ROWS(FILTER(C$4:C171,C$4:C171&lt;&gt;""""))),""^Sell_""),INDEX(FILTER(F$4:F170,C$4:C170&lt;&gt;""""),ROWS(FILTER(C$4:C170,C$4:C170&lt;&gt;""""))),$AC$5+E171))"),522641.7)</f>
        <v>522641.7</v>
      </c>
      <c r="G171" s="10">
        <f>IFERROR(__xludf.DUMMYFUNCTION("IF(COUNTA(C171:C1644)=0,"""",IF(C171="""",0,IF(REGEXMATCH(C171,""^Sell_""),-ROUNDDOWN(ROUNDUP(INDEX(Upgrades!$C$3:$C$13,MATCH(SUBSTITUTE(C171,""Sell_"",""""),Upgrades!$B$3:$B$13,0))*1.15^(COUNTIF(C$4:C170,SUBSTITUTE(C171,""Sell_"",""""))-COUNTIF(C$4:C170,"&amp;"""Sell_""&amp;SUBSTITUTE(C171,""Sell_"",""""))))/2),ROUNDUP(INDEX(Upgrades!$C$3:$C$13,MATCH(C171,Upgrades!$B$3:$B$13,0))*1.15^(COUNTIF(C$4:C170,C171)-COUNTIF(C$4:C170,""Sell_""&amp;C171))))))"),10823.0)</f>
        <v>10823</v>
      </c>
      <c r="H171" s="10">
        <f t="shared" si="3"/>
        <v>10823</v>
      </c>
      <c r="I171" s="68">
        <f t="shared" si="4"/>
        <v>7419.410645</v>
      </c>
      <c r="J171" s="59" t="str">
        <f t="shared" si="5"/>
        <v>2h 03m 39s</v>
      </c>
      <c r="K171" s="69">
        <f t="shared" si="6"/>
        <v>763976048</v>
      </c>
      <c r="L171" s="60">
        <f t="shared" si="7"/>
        <v>-77.45986</v>
      </c>
      <c r="M171" s="61">
        <f>IFERROR(__xludf.DUMMYFUNCTION("IFS(AND(COUNTA(C171:C1644)=0,COUNTA(Q171:Q1644)=0),"""",OR(AND(K171&gt;=1000000000,OR(Y171&gt;=1000000000,COUNTA(Q171:Q1644)=0)),OR(Y171&gt;=1000000000,AND(COUNTA(C171:C1644)=0,P$3=TRUE))),
ROUNDDOWN((AB$1-AC$1)*MAX(INDEX(T$4:T1644,MATCH(LARGE(FILTER(Y$4:Y1644,Y$4"&amp;":Y1644&lt;1000000000),1),Y$4:Y1644)),INDEX(F$4:F1644,MATCH(LARGE(FILTER(K$4:K1644,K$4:K1644&lt;1000000000),1),K$4:K1644)))),AND(K171&lt;1000000000,COUNTA(C171:C1644)&gt;0,P$3=FALSE),
ROUNDDOWN(INDEX(Y$4:Y1644,MATCH(LARGE(FILTER(W$4:W1644,W$4:W1644&lt;=I171),1),W$4:W1644"&amp;"))+(I171-LARGE(FILTER(W$4:W1644,W$4:W1644&lt;=I171),1))*INDEX(T$4:T1644,MATCH(LARGE(FILTER(W$4:W1644,W$4:W1644&lt;=I171),1),W$4:W1644))-K171),1,
ROUNDDOWN(Y171-INDEX(K$4:K1644,MATCH(LARGE(FILTER(I$4:I1644,I$4:I1644&lt;=W171),1),I$4:I1644))-(W171-LARGE(FILTER(I$4:I"&amp;"1644,I$4:I1644&lt;=W171),1))*INDEX(F$4:F1644,MATCH(LARGE(FILTER(I$4:I1644,I$4:I1644&lt;=W171),1),I$4:I1644))))"),3.3960605E7)</f>
        <v>33960605</v>
      </c>
      <c r="N171" s="60">
        <f t="shared" si="8"/>
        <v>-77.45986</v>
      </c>
      <c r="O171" s="61" t="str">
        <f t="shared" si="9"/>
        <v>34,0M</v>
      </c>
      <c r="P171" s="56">
        <f t="shared" si="10"/>
        <v>15</v>
      </c>
      <c r="Q171" s="67" t="s">
        <v>61</v>
      </c>
      <c r="R171" s="10"/>
      <c r="S171" s="59">
        <f t="array" ref="S171">IF(COUNTA(Q171:Q1644)=0,"",SUM((COUNTIF(Q$4:Q171,Upgrades!$B$3:$B$13)-COUNTIF(Q$4:Q171,"Sell_"&amp;Upgrades!$B$3:$B$13))*Upgrades!$D$3:$D$13))</f>
        <v>105675</v>
      </c>
      <c r="T171" s="66">
        <f>IFERROR(__xludf.DUMMYFUNCTION("IF(COUNTA(Q171:Q1644)=0,"""",IF(REGEXMATCH(INDEX(FILTER(Q$4:Q171,Q$4:Q171&lt;&gt;""""),ROWS(FILTER(Q$4:Q171,Q$4:Q171&lt;&gt;""""))),""^Sell_""),INDEX(FILTER(T$4:T170,Q$4:Q170&lt;&gt;""""),ROWS(FILTER(Q$4:Q170,Q$4:Q170&lt;&gt;""""))),$AD$5+S171))"),113251.0)</f>
        <v>113251</v>
      </c>
      <c r="U171" s="10">
        <f>IFERROR(__xludf.DUMMYFUNCTION("IF(COUNTA(Q171:Q1644)=0,"""",IF(Q171="""",0,IF(REGEXMATCH(Q171,""^Sell_""),-ROUNDDOWN(ROUNDUP(INDEX(Upgrades!$C$3:$C$13,MATCH(SUBSTITUTE(Q171,""Sell_"",""""),Upgrades!$B$3:$B$13,0))*1.15^(COUNTIF(Q$4:Q170,SUBSTITUTE(Q171,""Sell_"",""""))-COUNTIF(Q$4:Q170,"&amp;"""Sell_""&amp;SUBSTITUTE(Q171,""Sell_"",""""))))/2),ROUNDUP(INDEX(Upgrades!$C$3:$C$13,MATCH(Q171,Upgrades!$B$3:$B$13,0))*1.15^(COUNTIF(Q$4:Q170,Q171)-COUNTIF(Q$4:Q170,""Sell_""&amp;Q171))))))"),-70358.0)</f>
        <v>-70358</v>
      </c>
      <c r="V171" s="10">
        <f t="shared" si="11"/>
        <v>-8737631</v>
      </c>
      <c r="W171" s="68">
        <f t="shared" si="12"/>
        <v>4577.194447</v>
      </c>
      <c r="X171" s="59" t="str">
        <f t="shared" si="13"/>
        <v>1h 16m 17s</v>
      </c>
      <c r="Y171" s="69">
        <f t="shared" si="14"/>
        <v>100606200</v>
      </c>
      <c r="Z171" s="11"/>
      <c r="AG171" s="59"/>
    </row>
    <row r="172">
      <c r="A172" s="8"/>
      <c r="B172" s="56">
        <f t="shared" si="2"/>
        <v>19</v>
      </c>
      <c r="C172" s="67" t="s">
        <v>10</v>
      </c>
      <c r="D172" s="10"/>
      <c r="E172" s="59">
        <f t="array" ref="E172">IF(COUNTA(C172:C1644)=0,"",SUM((COUNTIF(C$4:C172,Upgrades!$B$3:$B$13)-COUNTIF(C$4:C172,"Sell_"&amp;Upgrades!$B$3:$B$13))*Upgrades!$D$3:$D$13))</f>
        <v>529297.7</v>
      </c>
      <c r="F172" s="66">
        <f>IFERROR(__xludf.DUMMYFUNCTION("IF(COUNTA(C172:C1644)=0,"""",IF(REGEXMATCH(INDEX(FILTER(C$4:C172,C$4:C172&lt;&gt;""""),ROWS(FILTER(C$4:C172,C$4:C172&lt;&gt;""""))),""^Sell_""),INDEX(FILTER(F$4:F171,C$4:C171&lt;&gt;""""),ROWS(FILTER(C$4:C171,C$4:C171&lt;&gt;""""))),$AC$5+E172))"),529307.7)</f>
        <v>529307.7</v>
      </c>
      <c r="G172" s="10">
        <f>IFERROR(__xludf.DUMMYFUNCTION("IF(COUNTA(C172:C1644)=0,"""",IF(C172="""",0,IF(REGEXMATCH(C172,""^Sell_""),-ROUNDDOWN(ROUNDUP(INDEX(Upgrades!$C$3:$C$13,MATCH(SUBSTITUTE(C172,""Sell_"",""""),Upgrades!$B$3:$B$13,0))*1.15^(COUNTIF(C$4:C171,SUBSTITUTE(C172,""Sell_"",""""))-COUNTIF(C$4:C171,"&amp;"""Sell_""&amp;SUBSTITUTE(C172,""Sell_"",""""))))/2),ROUNDUP(INDEX(Upgrades!$C$3:$C$13,MATCH(C172,Upgrades!$B$3:$B$13,0))*1.15^(COUNTIF(C$4:C171,C172)-COUNTIF(C$4:C171,""Sell_""&amp;C172))))))"),2.0625748E7)</f>
        <v>20625748</v>
      </c>
      <c r="H172" s="10">
        <f t="shared" si="3"/>
        <v>20625748</v>
      </c>
      <c r="I172" s="68">
        <f t="shared" si="4"/>
        <v>7458.875058</v>
      </c>
      <c r="J172" s="59" t="str">
        <f t="shared" si="5"/>
        <v>2h 04m 18s</v>
      </c>
      <c r="K172" s="69">
        <f t="shared" si="6"/>
        <v>784601796</v>
      </c>
      <c r="L172" s="60">
        <f t="shared" si="7"/>
        <v>-69.87954</v>
      </c>
      <c r="M172" s="61">
        <f>IFERROR(__xludf.DUMMYFUNCTION("IFS(AND(COUNTA(C172:C1644)=0,COUNTA(Q172:Q1644)=0),"""",OR(AND(K172&gt;=1000000000,OR(Y172&gt;=1000000000,COUNTA(Q172:Q1644)=0)),OR(Y172&gt;=1000000000,AND(COUNTA(C172:C1644)=0,P$3=TRUE))),
ROUNDDOWN((AB$1-AC$1)*MAX(INDEX(T$4:T1644,MATCH(LARGE(FILTER(Y$4:Y1644,Y$4"&amp;":Y1644&lt;1000000000),1),Y$4:Y1644)),INDEX(F$4:F1644,MATCH(LARGE(FILTER(K$4:K1644,K$4:K1644&lt;1000000000),1),K$4:K1644)))),AND(K172&lt;1000000000,COUNTA(C172:C1644)&gt;0,P$3=FALSE),
ROUNDDOWN(INDEX(Y$4:Y1644,MATCH(LARGE(FILTER(W$4:W1644,W$4:W1644&lt;=I172),1),W$4:W1644"&amp;"))+(I172-LARGE(FILTER(W$4:W1644,W$4:W1644&lt;=I172),1))*INDEX(T$4:T1644,MATCH(LARGE(FILTER(W$4:W1644,W$4:W1644&lt;=I172),1),W$4:W1644))-K172),1,
ROUNDDOWN(Y172-INDEX(K$4:K1644,MATCH(LARGE(FILTER(I$4:I1644,I$4:I1644&lt;=W172),1),I$4:I1644))-(W172-LARGE(FILTER(I$4:I"&amp;"1644,I$4:I1644&lt;=W172),1))*INDEX(F$4:F1644,MATCH(LARGE(FILTER(I$4:I1644,I$4:I1644&lt;=W172),1),I$4:I1644))))"),3.1316693E7)</f>
        <v>31316693</v>
      </c>
      <c r="N172" s="60">
        <f t="shared" si="8"/>
        <v>-69.87954</v>
      </c>
      <c r="O172" s="61" t="str">
        <f t="shared" si="9"/>
        <v>31,3M</v>
      </c>
      <c r="P172" s="56">
        <f t="shared" si="10"/>
        <v>16</v>
      </c>
      <c r="Q172" s="67" t="s">
        <v>61</v>
      </c>
      <c r="R172" s="10"/>
      <c r="S172" s="59">
        <f t="array" ref="S172">IF(COUNTA(Q172:Q1644)=0,"",SUM((COUNTIF(Q$4:Q172,Upgrades!$B$3:$B$13)-COUNTIF(Q$4:Q172,"Sell_"&amp;Upgrades!$B$3:$B$13))*Upgrades!$D$3:$D$13))</f>
        <v>105575</v>
      </c>
      <c r="T172" s="66">
        <f>IFERROR(__xludf.DUMMYFUNCTION("IF(COUNTA(Q172:Q1644)=0,"""",IF(REGEXMATCH(INDEX(FILTER(Q$4:Q172,Q$4:Q172&lt;&gt;""""),ROWS(FILTER(Q$4:Q172,Q$4:Q172&lt;&gt;""""))),""^Sell_""),INDEX(FILTER(T$4:T171,Q$4:Q171&lt;&gt;""""),ROWS(FILTER(Q$4:Q171,Q$4:Q171&lt;&gt;""""))),$AD$5+S172))"),113251.0)</f>
        <v>113251</v>
      </c>
      <c r="U172" s="10">
        <f>IFERROR(__xludf.DUMMYFUNCTION("IF(COUNTA(Q172:Q1644)=0,"""",IF(Q172="""",0,IF(REGEXMATCH(Q172,""^Sell_""),-ROUNDDOWN(ROUNDUP(INDEX(Upgrades!$C$3:$C$13,MATCH(SUBSTITUTE(Q172,""Sell_"",""""),Upgrades!$B$3:$B$13,0))*1.15^(COUNTIF(Q$4:Q171,SUBSTITUTE(Q172,""Sell_"",""""))-COUNTIF(Q$4:Q171,"&amp;"""Sell_""&amp;SUBSTITUTE(Q172,""Sell_"",""""))))/2),ROUNDUP(INDEX(Upgrades!$C$3:$C$13,MATCH(Q172,Upgrades!$B$3:$B$13,0))*1.15^(COUNTIF(Q$4:Q171,Q172)-COUNTIF(Q$4:Q171,""Sell_""&amp;Q172))))))"),-61180.0)</f>
        <v>-61180</v>
      </c>
      <c r="V172" s="10">
        <f t="shared" si="11"/>
        <v>-8798811</v>
      </c>
      <c r="W172" s="68">
        <f t="shared" si="12"/>
        <v>4577.194447</v>
      </c>
      <c r="X172" s="59" t="str">
        <f t="shared" si="13"/>
        <v>1h 16m 17s</v>
      </c>
      <c r="Y172" s="69">
        <f t="shared" si="14"/>
        <v>100606200</v>
      </c>
      <c r="Z172" s="11"/>
      <c r="AG172" s="59"/>
    </row>
    <row r="173">
      <c r="A173" s="8"/>
      <c r="B173" s="56">
        <f t="shared" si="2"/>
        <v>17</v>
      </c>
      <c r="C173" s="67" t="s">
        <v>6</v>
      </c>
      <c r="D173" s="10"/>
      <c r="E173" s="59">
        <f t="array" ref="E173">IF(COUNTA(C173:C1644)=0,"",SUM((COUNTIF(C$4:C173,Upgrades!$B$3:$B$13)-COUNTIF(C$4:C173,"Sell_"&amp;Upgrades!$B$3:$B$13))*Upgrades!$D$3:$D$13))</f>
        <v>529307.7</v>
      </c>
      <c r="F173" s="66">
        <f>IFERROR(__xludf.DUMMYFUNCTION("IF(COUNTA(C173:C1644)=0,"""",IF(REGEXMATCH(INDEX(FILTER(C$4:C173,C$4:C173&lt;&gt;""""),ROWS(FILTER(C$4:C173,C$4:C173&lt;&gt;""""))),""^Sell_""),INDEX(FILTER(F$4:F172,C$4:C172&lt;&gt;""""),ROWS(FILTER(C$4:C172,C$4:C172&lt;&gt;""""))),$AC$5+E173))"),529317.7)</f>
        <v>529317.7</v>
      </c>
      <c r="G173" s="10">
        <f>IFERROR(__xludf.DUMMYFUNCTION("IF(COUNTA(C173:C1644)=0,"""",IF(C173="""",0,IF(REGEXMATCH(C173,""^Sell_""),-ROUNDDOWN(ROUNDUP(INDEX(Upgrades!$C$3:$C$13,MATCH(SUBSTITUTE(C173,""Sell_"",""""),Upgrades!$B$3:$B$13,0))*1.15^(COUNTIF(C$4:C172,SUBSTITUTE(C173,""Sell_"",""""))-COUNTIF(C$4:C172,"&amp;"""Sell_""&amp;SUBSTITUTE(C173,""Sell_"",""""))))/2),ROUNDUP(INDEX(Upgrades!$C$3:$C$13,MATCH(C173,Upgrades!$B$3:$B$13,0))*1.15^(COUNTIF(C$4:C172,C173)-COUNTIF(C$4:C172,""Sell_""&amp;C173))))))"),28073.0)</f>
        <v>28073</v>
      </c>
      <c r="H173" s="10">
        <f t="shared" si="3"/>
        <v>28073</v>
      </c>
      <c r="I173" s="68">
        <f t="shared" si="4"/>
        <v>7458.928095</v>
      </c>
      <c r="J173" s="59" t="str">
        <f t="shared" si="5"/>
        <v>2h 04m 18s</v>
      </c>
      <c r="K173" s="69">
        <f t="shared" si="6"/>
        <v>784629869</v>
      </c>
      <c r="L173" s="60">
        <f t="shared" si="7"/>
        <v>-69.86855</v>
      </c>
      <c r="M173" s="61">
        <f>IFERROR(__xludf.DUMMYFUNCTION("IFS(AND(COUNTA(C173:C1644)=0,COUNTA(Q173:Q1644)=0),"""",OR(AND(K173&gt;=1000000000,OR(Y173&gt;=1000000000,COUNTA(Q173:Q1644)=0)),OR(Y173&gt;=1000000000,AND(COUNTA(C173:C1644)=0,P$3=TRUE))),
ROUNDDOWN((AB$1-AC$1)*MAX(INDEX(T$4:T1644,MATCH(LARGE(FILTER(Y$4:Y1644,Y$4"&amp;":Y1644&lt;1000000000),1),Y$4:Y1644)),INDEX(F$4:F1644,MATCH(LARGE(FILTER(K$4:K1644,K$4:K1644&lt;1000000000),1),K$4:K1644)))),AND(K173&lt;1000000000,COUNTA(C173:C1644)&gt;0,P$3=FALSE),
ROUNDDOWN(INDEX(Y$4:Y1644,MATCH(LARGE(FILTER(W$4:W1644,W$4:W1644&lt;=I173),1),W$4:W1644"&amp;"))+(I173-LARGE(FILTER(W$4:W1644,W$4:W1644&lt;=I173),1))*INDEX(T$4:T1644,MATCH(LARGE(FILTER(W$4:W1644,W$4:W1644&lt;=I173),1),W$4:W1644))-K173),1,
ROUNDDOWN(Y173-INDEX(K$4:K1644,MATCH(LARGE(FILTER(I$4:I1644,I$4:I1644&lt;=W173),1),I$4:I1644))-(W173-LARGE(FILTER(I$4:I"&amp;"1644,I$4:I1644&lt;=W173),1))*INDEX(F$4:F1644,MATCH(LARGE(FILTER(I$4:I1644,I$4:I1644&lt;=W173),1),I$4:I1644))))"),3.1315891E7)</f>
        <v>31315891</v>
      </c>
      <c r="N173" s="60">
        <f t="shared" si="8"/>
        <v>-69.86855</v>
      </c>
      <c r="O173" s="61" t="str">
        <f t="shared" si="9"/>
        <v>31,3M</v>
      </c>
      <c r="P173" s="56">
        <f t="shared" si="10"/>
        <v>17</v>
      </c>
      <c r="Q173" s="67" t="s">
        <v>61</v>
      </c>
      <c r="R173" s="10"/>
      <c r="S173" s="59">
        <f t="array" ref="S173">IF(COUNTA(Q173:Q1644)=0,"",SUM((COUNTIF(Q$4:Q173,Upgrades!$B$3:$B$13)-COUNTIF(Q$4:Q173,"Sell_"&amp;Upgrades!$B$3:$B$13))*Upgrades!$D$3:$D$13))</f>
        <v>105475</v>
      </c>
      <c r="T173" s="66">
        <f>IFERROR(__xludf.DUMMYFUNCTION("IF(COUNTA(Q173:Q1644)=0,"""",IF(REGEXMATCH(INDEX(FILTER(Q$4:Q173,Q$4:Q173&lt;&gt;""""),ROWS(FILTER(Q$4:Q173,Q$4:Q173&lt;&gt;""""))),""^Sell_""),INDEX(FILTER(T$4:T172,Q$4:Q172&lt;&gt;""""),ROWS(FILTER(Q$4:Q172,Q$4:Q172&lt;&gt;""""))),$AD$5+S173))"),113251.0)</f>
        <v>113251</v>
      </c>
      <c r="U173" s="10">
        <f>IFERROR(__xludf.DUMMYFUNCTION("IF(COUNTA(Q173:Q1644)=0,"""",IF(Q173="""",0,IF(REGEXMATCH(Q173,""^Sell_""),-ROUNDDOWN(ROUNDUP(INDEX(Upgrades!$C$3:$C$13,MATCH(SUBSTITUTE(Q173,""Sell_"",""""),Upgrades!$B$3:$B$13,0))*1.15^(COUNTIF(Q$4:Q172,SUBSTITUTE(Q173,""Sell_"",""""))-COUNTIF(Q$4:Q172,"&amp;"""Sell_""&amp;SUBSTITUTE(Q173,""Sell_"",""""))))/2),ROUNDUP(INDEX(Upgrades!$C$3:$C$13,MATCH(Q173,Upgrades!$B$3:$B$13,0))*1.15^(COUNTIF(Q$4:Q172,Q173)-COUNTIF(Q$4:Q172,""Sell_""&amp;Q173))))))"),-53200.0)</f>
        <v>-53200</v>
      </c>
      <c r="V173" s="10">
        <f t="shared" si="11"/>
        <v>-8852011</v>
      </c>
      <c r="W173" s="68">
        <f t="shared" si="12"/>
        <v>4577.194447</v>
      </c>
      <c r="X173" s="59" t="str">
        <f t="shared" si="13"/>
        <v>1h 16m 17s</v>
      </c>
      <c r="Y173" s="69">
        <f t="shared" si="14"/>
        <v>100606200</v>
      </c>
      <c r="Z173" s="11"/>
      <c r="AG173" s="59"/>
    </row>
    <row r="174">
      <c r="A174" s="8"/>
      <c r="B174" s="56">
        <f t="shared" si="2"/>
        <v>23</v>
      </c>
      <c r="C174" s="67" t="s">
        <v>3</v>
      </c>
      <c r="D174" s="10"/>
      <c r="E174" s="59">
        <f t="array" ref="E174">IF(COUNTA(C174:C1644)=0,"",SUM((COUNTIF(C$4:C174,Upgrades!$B$3:$B$13)-COUNTIF(C$4:C174,"Sell_"&amp;Upgrades!$B$3:$B$13))*Upgrades!$D$3:$D$13))</f>
        <v>529307.8</v>
      </c>
      <c r="F174" s="66">
        <f>IFERROR(__xludf.DUMMYFUNCTION("IF(COUNTA(C174:C1644)=0,"""",IF(REGEXMATCH(INDEX(FILTER(C$4:C174,C$4:C174&lt;&gt;""""),ROWS(FILTER(C$4:C174,C$4:C174&lt;&gt;""""))),""^Sell_""),INDEX(FILTER(F$4:F173,C$4:C173&lt;&gt;""""),ROWS(FILTER(C$4:C173,C$4:C173&lt;&gt;""""))),$AC$5+E174))"),529317.8)</f>
        <v>529317.8</v>
      </c>
      <c r="G174" s="10">
        <f>IFERROR(__xludf.DUMMYFUNCTION("IF(COUNTA(C174:C1644)=0,"""",IF(C174="""",0,IF(REGEXMATCH(C174,""^Sell_""),-ROUNDDOWN(ROUNDUP(INDEX(Upgrades!$C$3:$C$13,MATCH(SUBSTITUTE(C174,""Sell_"",""""),Upgrades!$B$3:$B$13,0))*1.15^(COUNTIF(C$4:C173,SUBSTITUTE(C174,""Sell_"",""""))-COUNTIF(C$4:C173,"&amp;"""Sell_""&amp;SUBSTITUTE(C174,""Sell_"",""""))))/2),ROUNDUP(INDEX(Upgrades!$C$3:$C$13,MATCH(C174,Upgrades!$B$3:$B$13,0))*1.15^(COUNTIF(C$4:C173,C174)-COUNTIF(C$4:C173,""Sell_""&amp;C174))))))"),325.0)</f>
        <v>325</v>
      </c>
      <c r="H174" s="10">
        <f t="shared" si="3"/>
        <v>325</v>
      </c>
      <c r="I174" s="68">
        <f t="shared" si="4"/>
        <v>7458.928709</v>
      </c>
      <c r="J174" s="59" t="str">
        <f t="shared" si="5"/>
        <v>2h 04m 18s</v>
      </c>
      <c r="K174" s="69">
        <f t="shared" si="6"/>
        <v>784630194</v>
      </c>
      <c r="L174" s="60">
        <f t="shared" si="7"/>
        <v>-69.86842</v>
      </c>
      <c r="M174" s="61">
        <f>IFERROR(__xludf.DUMMYFUNCTION("IFS(AND(COUNTA(C174:C1644)=0,COUNTA(Q174:Q1644)=0),"""",OR(AND(K174&gt;=1000000000,OR(Y174&gt;=1000000000,COUNTA(Q174:Q1644)=0)),OR(Y174&gt;=1000000000,AND(COUNTA(C174:C1644)=0,P$3=TRUE))),
ROUNDDOWN((AB$1-AC$1)*MAX(INDEX(T$4:T1644,MATCH(LARGE(FILTER(Y$4:Y1644,Y$4"&amp;":Y1644&lt;1000000000),1),Y$4:Y1644)),INDEX(F$4:F1644,MATCH(LARGE(FILTER(K$4:K1644,K$4:K1644&lt;1000000000),1),K$4:K1644)))),AND(K174&lt;1000000000,COUNTA(C174:C1644)&gt;0,P$3=FALSE),
ROUNDDOWN(INDEX(Y$4:Y1644,MATCH(LARGE(FILTER(W$4:W1644,W$4:W1644&lt;=I174),1),W$4:W1644"&amp;"))+(I174-LARGE(FILTER(W$4:W1644,W$4:W1644&lt;=I174),1))*INDEX(T$4:T1644,MATCH(LARGE(FILTER(W$4:W1644,W$4:W1644&lt;=I174),1),W$4:W1644))-K174),1,
ROUNDDOWN(Y174-INDEX(K$4:K1644,MATCH(LARGE(FILTER(I$4:I1644,I$4:I1644&lt;=W174),1),I$4:I1644))-(W174-LARGE(FILTER(I$4:I"&amp;"1644,I$4:I1644&lt;=W174),1))*INDEX(F$4:F1644,MATCH(LARGE(FILTER(I$4:I1644,I$4:I1644&lt;=W174),1),I$4:I1644))))"),3.1315882E7)</f>
        <v>31315882</v>
      </c>
      <c r="N174" s="60">
        <f t="shared" si="8"/>
        <v>-69.86842</v>
      </c>
      <c r="O174" s="61" t="str">
        <f t="shared" si="9"/>
        <v>31,3M</v>
      </c>
      <c r="P174" s="56">
        <f t="shared" si="10"/>
        <v>7</v>
      </c>
      <c r="Q174" s="67" t="s">
        <v>60</v>
      </c>
      <c r="R174" s="10"/>
      <c r="S174" s="59">
        <f t="array" ref="S174">IF(COUNTA(Q174:Q1644)=0,"",SUM((COUNTIF(Q$4:Q174,Upgrades!$B$3:$B$13)-COUNTIF(Q$4:Q174,"Sell_"&amp;Upgrades!$B$3:$B$13))*Upgrades!$D$3:$D$13))</f>
        <v>105075</v>
      </c>
      <c r="T174" s="66">
        <f>IFERROR(__xludf.DUMMYFUNCTION("IF(COUNTA(Q174:Q1644)=0,"""",IF(REGEXMATCH(INDEX(FILTER(Q$4:Q174,Q$4:Q174&lt;&gt;""""),ROWS(FILTER(Q$4:Q174,Q$4:Q174&lt;&gt;""""))),""^Sell_""),INDEX(FILTER(T$4:T173,Q$4:Q173&lt;&gt;""""),ROWS(FILTER(Q$4:Q173,Q$4:Q173&lt;&gt;""""))),$AD$5+S174))"),113251.0)</f>
        <v>113251</v>
      </c>
      <c r="U174" s="10">
        <f>IFERROR(__xludf.DUMMYFUNCTION("IF(COUNTA(Q174:Q1644)=0,"""",IF(Q174="""",0,IF(REGEXMATCH(Q174,""^Sell_""),-ROUNDDOWN(ROUNDUP(INDEX(Upgrades!$C$3:$C$13,MATCH(SUBSTITUTE(Q174,""Sell_"",""""),Upgrades!$B$3:$B$13,0))*1.15^(COUNTIF(Q$4:Q173,SUBSTITUTE(Q174,""Sell_"",""""))-COUNTIF(Q$4:Q173,"&amp;"""Sell_""&amp;SUBSTITUTE(Q174,""Sell_"",""""))))/2),ROUNDUP(INDEX(Upgrades!$C$3:$C$13,MATCH(Q174,Upgrades!$B$3:$B$13,0))*1.15^(COUNTIF(Q$4:Q173,Q174)-COUNTIF(Q$4:Q173,""Sell_""&amp;Q174))))))"),-404556.0)</f>
        <v>-404556</v>
      </c>
      <c r="V174" s="10">
        <f t="shared" si="11"/>
        <v>-9256567</v>
      </c>
      <c r="W174" s="68">
        <f t="shared" si="12"/>
        <v>4577.194447</v>
      </c>
      <c r="X174" s="59" t="str">
        <f t="shared" si="13"/>
        <v>1h 16m 17s</v>
      </c>
      <c r="Y174" s="69">
        <f t="shared" si="14"/>
        <v>100606200</v>
      </c>
      <c r="Z174" s="11"/>
      <c r="AG174" s="59"/>
    </row>
    <row r="175">
      <c r="A175" s="8"/>
      <c r="B175" s="56">
        <f t="shared" si="2"/>
        <v>15</v>
      </c>
      <c r="C175" s="67" t="s">
        <v>8</v>
      </c>
      <c r="D175" s="10"/>
      <c r="E175" s="59">
        <f t="array" ref="E175">IF(COUNTA(C175:C1644)=0,"",SUM((COUNTIF(C$4:C175,Upgrades!$B$3:$B$13)-COUNTIF(C$4:C175,"Sell_"&amp;Upgrades!$B$3:$B$13))*Upgrades!$D$3:$D$13))</f>
        <v>529407.8</v>
      </c>
      <c r="F175" s="66">
        <f>IFERROR(__xludf.DUMMYFUNCTION("IF(COUNTA(C175:C1644)=0,"""",IF(REGEXMATCH(INDEX(FILTER(C$4:C175,C$4:C175&lt;&gt;""""),ROWS(FILTER(C$4:C175,C$4:C175&lt;&gt;""""))),""^Sell_""),INDEX(FILTER(F$4:F174,C$4:C174&lt;&gt;""""),ROWS(FILTER(C$4:C174,C$4:C174&lt;&gt;""""))),$AC$5+E175))"),529417.8)</f>
        <v>529417.8</v>
      </c>
      <c r="G175" s="10">
        <f>IFERROR(__xludf.DUMMYFUNCTION("IF(COUNTA(C175:C1644)=0,"""",IF(C175="""",0,IF(REGEXMATCH(C175,""^Sell_""),-ROUNDDOWN(ROUNDUP(INDEX(Upgrades!$C$3:$C$13,MATCH(SUBSTITUTE(C175,""Sell_"",""""),Upgrades!$B$3:$B$13,0))*1.15^(COUNTIF(C$4:C174,SUBSTITUTE(C175,""Sell_"",""""))-COUNTIF(C$4:C174,"&amp;"""Sell_""&amp;SUBSTITUTE(C175,""Sell_"",""""))))/2),ROUNDUP(INDEX(Upgrades!$C$3:$C$13,MATCH(C175,Upgrades!$B$3:$B$13,0))*1.15^(COUNTIF(C$4:C174,C175)-COUNTIF(C$4:C174,""Sell_""&amp;C175))))))"),283029.0)</f>
        <v>283029</v>
      </c>
      <c r="H175" s="10">
        <f t="shared" si="3"/>
        <v>283029</v>
      </c>
      <c r="I175" s="68">
        <f t="shared" si="4"/>
        <v>7459.463415</v>
      </c>
      <c r="J175" s="59" t="str">
        <f t="shared" si="5"/>
        <v>2h 04m 19s</v>
      </c>
      <c r="K175" s="69">
        <f t="shared" si="6"/>
        <v>784913223</v>
      </c>
      <c r="L175" s="60">
        <f t="shared" si="7"/>
        <v>-69.75757</v>
      </c>
      <c r="M175" s="61">
        <f>IFERROR(__xludf.DUMMYFUNCTION("IFS(AND(COUNTA(C175:C1644)=0,COUNTA(Q175:Q1644)=0),"""",OR(AND(K175&gt;=1000000000,OR(Y175&gt;=1000000000,COUNTA(Q175:Q1644)=0)),OR(Y175&gt;=1000000000,AND(COUNTA(C175:C1644)=0,P$3=TRUE))),
ROUNDDOWN((AB$1-AC$1)*MAX(INDEX(T$4:T1644,MATCH(LARGE(FILTER(Y$4:Y1644,Y$4"&amp;":Y1644&lt;1000000000),1),Y$4:Y1644)),INDEX(F$4:F1644,MATCH(LARGE(FILTER(K$4:K1644,K$4:K1644&lt;1000000000),1),K$4:K1644)))),AND(K175&lt;1000000000,COUNTA(C175:C1644)&gt;0,P$3=FALSE),
ROUNDDOWN(INDEX(Y$4:Y1644,MATCH(LARGE(FILTER(W$4:W1644,W$4:W1644&lt;=I175),1),W$4:W1644"&amp;"))+(I175-LARGE(FILTER(W$4:W1644,W$4:W1644&lt;=I175),1))*INDEX(T$4:T1644,MATCH(LARGE(FILTER(W$4:W1644,W$4:W1644&lt;=I175),1),W$4:W1644))-K175),1,
ROUNDDOWN(Y175-INDEX(K$4:K1644,MATCH(LARGE(FILTER(I$4:I1644,I$4:I1644&lt;=W175),1),I$4:I1644))-(W175-LARGE(FILTER(I$4:I"&amp;"1644,I$4:I1644&lt;=W175),1))*INDEX(F$4:F1644,MATCH(LARGE(FILTER(I$4:I1644,I$4:I1644&lt;=W175),1),I$4:I1644))))"),3.1307796E7)</f>
        <v>31307796</v>
      </c>
      <c r="N175" s="60">
        <f t="shared" si="8"/>
        <v>-69.75757</v>
      </c>
      <c r="O175" s="61" t="str">
        <f t="shared" si="9"/>
        <v>31,3M</v>
      </c>
      <c r="P175" s="56">
        <f t="shared" si="10"/>
        <v>18</v>
      </c>
      <c r="Q175" s="67" t="s">
        <v>61</v>
      </c>
      <c r="R175" s="10"/>
      <c r="S175" s="59">
        <f t="array" ref="S175">IF(COUNTA(Q175:Q1644)=0,"",SUM((COUNTIF(Q$4:Q175,Upgrades!$B$3:$B$13)-COUNTIF(Q$4:Q175,"Sell_"&amp;Upgrades!$B$3:$B$13))*Upgrades!$D$3:$D$13))</f>
        <v>104975</v>
      </c>
      <c r="T175" s="66">
        <f>IFERROR(__xludf.DUMMYFUNCTION("IF(COUNTA(Q175:Q1644)=0,"""",IF(REGEXMATCH(INDEX(FILTER(Q$4:Q175,Q$4:Q175&lt;&gt;""""),ROWS(FILTER(Q$4:Q175,Q$4:Q175&lt;&gt;""""))),""^Sell_""),INDEX(FILTER(T$4:T174,Q$4:Q174&lt;&gt;""""),ROWS(FILTER(Q$4:Q174,Q$4:Q174&lt;&gt;""""))),$AD$5+S175))"),113251.0)</f>
        <v>113251</v>
      </c>
      <c r="U175" s="10">
        <f>IFERROR(__xludf.DUMMYFUNCTION("IF(COUNTA(Q175:Q1644)=0,"""",IF(Q175="""",0,IF(REGEXMATCH(Q175,""^Sell_""),-ROUNDDOWN(ROUNDUP(INDEX(Upgrades!$C$3:$C$13,MATCH(SUBSTITUTE(Q175,""Sell_"",""""),Upgrades!$B$3:$B$13,0))*1.15^(COUNTIF(Q$4:Q174,SUBSTITUTE(Q175,""Sell_"",""""))-COUNTIF(Q$4:Q174,"&amp;"""Sell_""&amp;SUBSTITUTE(Q175,""Sell_"",""""))))/2),ROUNDUP(INDEX(Upgrades!$C$3:$C$13,MATCH(Q175,Upgrades!$B$3:$B$13,0))*1.15^(COUNTIF(Q$4:Q174,Q175)-COUNTIF(Q$4:Q174,""Sell_""&amp;Q175))))))"),-46261.0)</f>
        <v>-46261</v>
      </c>
      <c r="V175" s="10">
        <f t="shared" si="11"/>
        <v>-9302828</v>
      </c>
      <c r="W175" s="68">
        <f t="shared" si="12"/>
        <v>4577.194447</v>
      </c>
      <c r="X175" s="59" t="str">
        <f t="shared" si="13"/>
        <v>1h 16m 17s</v>
      </c>
      <c r="Y175" s="69">
        <f t="shared" si="14"/>
        <v>100606200</v>
      </c>
      <c r="Z175" s="11"/>
      <c r="AG175" s="59"/>
    </row>
    <row r="176">
      <c r="A176" s="8"/>
      <c r="B176" s="56">
        <f t="shared" si="2"/>
        <v>20</v>
      </c>
      <c r="C176" s="67" t="s">
        <v>4</v>
      </c>
      <c r="D176" s="10"/>
      <c r="E176" s="59">
        <f t="array" ref="E176">IF(COUNTA(C176:C1644)=0,"",SUM((COUNTIF(C$4:C176,Upgrades!$B$3:$B$13)-COUNTIF(C$4:C176,"Sell_"&amp;Upgrades!$B$3:$B$13))*Upgrades!$D$3:$D$13))</f>
        <v>529408.3</v>
      </c>
      <c r="F176" s="66">
        <f>IFERROR(__xludf.DUMMYFUNCTION("IF(COUNTA(C176:C1644)=0,"""",IF(REGEXMATCH(INDEX(FILTER(C$4:C176,C$4:C176&lt;&gt;""""),ROWS(FILTER(C$4:C176,C$4:C176&lt;&gt;""""))),""^Sell_""),INDEX(FILTER(F$4:F175,C$4:C175&lt;&gt;""""),ROWS(FILTER(C$4:C175,C$4:C175&lt;&gt;""""))),$AC$5+E176))"),529418.3)</f>
        <v>529418.3</v>
      </c>
      <c r="G176" s="10">
        <f>IFERROR(__xludf.DUMMYFUNCTION("IF(COUNTA(C176:C1644)=0,"""",IF(C176="""",0,IF(REGEXMATCH(C176,""^Sell_""),-ROUNDDOWN(ROUNDUP(INDEX(Upgrades!$C$3:$C$13,MATCH(SUBSTITUTE(C176,""Sell_"",""""),Upgrades!$B$3:$B$13,0))*1.15^(COUNTIF(C$4:C175,SUBSTITUTE(C176,""Sell_"",""""))-COUNTIF(C$4:C175,"&amp;"""Sell_""&amp;SUBSTITUTE(C176,""Sell_"",""""))))/2),ROUNDUP(INDEX(Upgrades!$C$3:$C$13,MATCH(C176,Upgrades!$B$3:$B$13,0))*1.15^(COUNTIF(C$4:C175,C176)-COUNTIF(C$4:C175,""Sell_""&amp;C176))))))"),1424.0)</f>
        <v>1424</v>
      </c>
      <c r="H176" s="10">
        <f t="shared" si="3"/>
        <v>1424</v>
      </c>
      <c r="I176" s="68">
        <f t="shared" si="4"/>
        <v>7459.466104</v>
      </c>
      <c r="J176" s="59" t="str">
        <f t="shared" si="5"/>
        <v>2h 04m 19s</v>
      </c>
      <c r="K176" s="69">
        <f t="shared" si="6"/>
        <v>784914647</v>
      </c>
      <c r="L176" s="60">
        <f t="shared" si="7"/>
        <v>-69.75701</v>
      </c>
      <c r="M176" s="61">
        <f>IFERROR(__xludf.DUMMYFUNCTION("IFS(AND(COUNTA(C176:C1644)=0,COUNTA(Q176:Q1644)=0),"""",OR(AND(K176&gt;=1000000000,OR(Y176&gt;=1000000000,COUNTA(Q176:Q1644)=0)),OR(Y176&gt;=1000000000,AND(COUNTA(C176:C1644)=0,P$3=TRUE))),
ROUNDDOWN((AB$1-AC$1)*MAX(INDEX(T$4:T1644,MATCH(LARGE(FILTER(Y$4:Y1644,Y$4"&amp;":Y1644&lt;1000000000),1),Y$4:Y1644)),INDEX(F$4:F1644,MATCH(LARGE(FILTER(K$4:K1644,K$4:K1644&lt;1000000000),1),K$4:K1644)))),AND(K176&lt;1000000000,COUNTA(C176:C1644)&gt;0,P$3=FALSE),
ROUNDDOWN(INDEX(Y$4:Y1644,MATCH(LARGE(FILTER(W$4:W1644,W$4:W1644&lt;=I176),1),W$4:W1644"&amp;"))+(I176-LARGE(FILTER(W$4:W1644,W$4:W1644&lt;=I176),1))*INDEX(T$4:T1644,MATCH(LARGE(FILTER(W$4:W1644,W$4:W1644&lt;=I176),1),W$4:W1644))-K176),1,
ROUNDDOWN(Y176-INDEX(K$4:K1644,MATCH(LARGE(FILTER(I$4:I1644,I$4:I1644&lt;=W176),1),I$4:I1644))-(W176-LARGE(FILTER(I$4:I"&amp;"1644,I$4:I1644&lt;=W176),1))*INDEX(F$4:F1644,MATCH(LARGE(FILTER(I$4:I1644,I$4:I1644&lt;=W176),1),I$4:I1644))))"),3.1307755E7)</f>
        <v>31307755</v>
      </c>
      <c r="N176" s="60">
        <f t="shared" si="8"/>
        <v>-69.75701</v>
      </c>
      <c r="O176" s="61" t="str">
        <f t="shared" si="9"/>
        <v>31,3M</v>
      </c>
      <c r="P176" s="56">
        <f t="shared" si="10"/>
        <v>19</v>
      </c>
      <c r="Q176" s="67" t="s">
        <v>61</v>
      </c>
      <c r="R176" s="10"/>
      <c r="S176" s="59">
        <f t="array" ref="S176">IF(COUNTA(Q176:Q1644)=0,"",SUM((COUNTIF(Q$4:Q176,Upgrades!$B$3:$B$13)-COUNTIF(Q$4:Q176,"Sell_"&amp;Upgrades!$B$3:$B$13))*Upgrades!$D$3:$D$13))</f>
        <v>104875</v>
      </c>
      <c r="T176" s="66">
        <f>IFERROR(__xludf.DUMMYFUNCTION("IF(COUNTA(Q176:Q1644)=0,"""",IF(REGEXMATCH(INDEX(FILTER(Q$4:Q176,Q$4:Q176&lt;&gt;""""),ROWS(FILTER(Q$4:Q176,Q$4:Q176&lt;&gt;""""))),""^Sell_""),INDEX(FILTER(T$4:T175,Q$4:Q175&lt;&gt;""""),ROWS(FILTER(Q$4:Q175,Q$4:Q175&lt;&gt;""""))),$AD$5+S176))"),113251.0)</f>
        <v>113251</v>
      </c>
      <c r="U176" s="10">
        <f>IFERROR(__xludf.DUMMYFUNCTION("IF(COUNTA(Q176:Q1644)=0,"""",IF(Q176="""",0,IF(REGEXMATCH(Q176,""^Sell_""),-ROUNDDOWN(ROUNDUP(INDEX(Upgrades!$C$3:$C$13,MATCH(SUBSTITUTE(Q176,""Sell_"",""""),Upgrades!$B$3:$B$13,0))*1.15^(COUNTIF(Q$4:Q175,SUBSTITUTE(Q176,""Sell_"",""""))-COUNTIF(Q$4:Q175,"&amp;"""Sell_""&amp;SUBSTITUTE(Q176,""Sell_"",""""))))/2),ROUNDUP(INDEX(Upgrades!$C$3:$C$13,MATCH(Q176,Upgrades!$B$3:$B$13,0))*1.15^(COUNTIF(Q$4:Q175,Q176)-COUNTIF(Q$4:Q175,""Sell_""&amp;Q176))))))"),-40227.0)</f>
        <v>-40227</v>
      </c>
      <c r="V176" s="10">
        <f t="shared" si="11"/>
        <v>-9343055</v>
      </c>
      <c r="W176" s="68">
        <f t="shared" si="12"/>
        <v>4577.194447</v>
      </c>
      <c r="X176" s="59" t="str">
        <f t="shared" si="13"/>
        <v>1h 16m 17s</v>
      </c>
      <c r="Y176" s="69">
        <f t="shared" si="14"/>
        <v>100606200</v>
      </c>
      <c r="Z176" s="11"/>
      <c r="AG176" s="59"/>
    </row>
    <row r="177">
      <c r="A177" s="8"/>
      <c r="B177" s="56">
        <f t="shared" si="2"/>
        <v>14</v>
      </c>
      <c r="C177" s="67" t="s">
        <v>9</v>
      </c>
      <c r="D177" s="10"/>
      <c r="E177" s="59">
        <f t="array" ref="E177">IF(COUNTA(C177:C1644)=0,"",SUM((COUNTIF(C$4:C177,Upgrades!$B$3:$B$13)-COUNTIF(C$4:C177,"Sell_"&amp;Upgrades!$B$3:$B$13))*Upgrades!$D$3:$D$13))</f>
        <v>529808.3</v>
      </c>
      <c r="F177" s="66">
        <f>IFERROR(__xludf.DUMMYFUNCTION("IF(COUNTA(C177:C1644)=0,"""",IF(REGEXMATCH(INDEX(FILTER(C$4:C177,C$4:C177&lt;&gt;""""),ROWS(FILTER(C$4:C177,C$4:C177&lt;&gt;""""))),""^Sell_""),INDEX(FILTER(F$4:F176,C$4:C176&lt;&gt;""""),ROWS(FILTER(C$4:C176,C$4:C176&lt;&gt;""""))),$AC$5+E177))"),529818.3)</f>
        <v>529818.3</v>
      </c>
      <c r="G177" s="10">
        <f>IFERROR(__xludf.DUMMYFUNCTION("IF(COUNTA(C177:C1644)=0,"""",IF(C177="""",0,IF(REGEXMATCH(C177,""^Sell_""),-ROUNDDOWN(ROUNDUP(INDEX(Upgrades!$C$3:$C$13,MATCH(SUBSTITUTE(C177,""Sell_"",""""),Upgrades!$B$3:$B$13,0))*1.15^(COUNTIF(C$4:C176,SUBSTITUTE(C177,""Sell_"",""""))-COUNTIF(C$4:C176,"&amp;"""Sell_""&amp;SUBSTITUTE(C177,""Sell_"",""""))))/2),ROUNDUP(INDEX(Upgrades!$C$3:$C$13,MATCH(C177,Upgrades!$B$3:$B$13,0))*1.15^(COUNTIF(C$4:C176,C177)-COUNTIF(C$4:C176,""Sell_""&amp;C177))))))"),1230558.0)</f>
        <v>1230558</v>
      </c>
      <c r="H177" s="10">
        <f t="shared" si="3"/>
        <v>1230558</v>
      </c>
      <c r="I177" s="68">
        <f t="shared" si="4"/>
        <v>7461.790463</v>
      </c>
      <c r="J177" s="59" t="str">
        <f t="shared" si="5"/>
        <v>2h 04m 21s</v>
      </c>
      <c r="K177" s="69">
        <f t="shared" si="6"/>
        <v>786145205</v>
      </c>
      <c r="L177" s="60">
        <f t="shared" si="7"/>
        <v>-69.27462</v>
      </c>
      <c r="M177" s="61">
        <f>IFERROR(__xludf.DUMMYFUNCTION("IFS(AND(COUNTA(C177:C1644)=0,COUNTA(Q177:Q1644)=0),"""",OR(AND(K177&gt;=1000000000,OR(Y177&gt;=1000000000,COUNTA(Q177:Q1644)=0)),OR(Y177&gt;=1000000000,AND(COUNTA(C177:C1644)=0,P$3=TRUE))),
ROUNDDOWN((AB$1-AC$1)*MAX(INDEX(T$4:T1644,MATCH(LARGE(FILTER(Y$4:Y1644,Y$4"&amp;":Y1644&lt;1000000000),1),Y$4:Y1644)),INDEX(F$4:F1644,MATCH(LARGE(FILTER(K$4:K1644,K$4:K1644&lt;1000000000),1),K$4:K1644)))),AND(K177&lt;1000000000,COUNTA(C177:C1644)&gt;0,P$3=FALSE),
ROUNDDOWN(INDEX(Y$4:Y1644,MATCH(LARGE(FILTER(W$4:W1644,W$4:W1644&lt;=I177),1),W$4:W1644"&amp;"))+(I177-LARGE(FILTER(W$4:W1644,W$4:W1644&lt;=I177),1))*INDEX(T$4:T1644,MATCH(LARGE(FILTER(W$4:W1644,W$4:W1644&lt;=I177),1),W$4:W1644))-K177),1,
ROUNDDOWN(Y177-INDEX(K$4:K1644,MATCH(LARGE(FILTER(I$4:I1644,I$4:I1644&lt;=W177),1),I$4:I1644))-(W177-LARGE(FILTER(I$4:I"&amp;"1644,I$4:I1644&lt;=W177),1))*INDEX(F$4:F1644,MATCH(LARGE(FILTER(I$4:I1644,I$4:I1644&lt;=W177),1),I$4:I1644))))"),3.1273618E7)</f>
        <v>31273618</v>
      </c>
      <c r="N177" s="60">
        <f t="shared" si="8"/>
        <v>-69.27462</v>
      </c>
      <c r="O177" s="61" t="str">
        <f t="shared" si="9"/>
        <v>31,3M</v>
      </c>
      <c r="P177" s="56">
        <f t="shared" si="10"/>
        <v>20</v>
      </c>
      <c r="Q177" s="67" t="s">
        <v>61</v>
      </c>
      <c r="R177" s="10"/>
      <c r="S177" s="59">
        <f t="array" ref="S177">IF(COUNTA(Q177:Q1644)=0,"",SUM((COUNTIF(Q$4:Q177,Upgrades!$B$3:$B$13)-COUNTIF(Q$4:Q177,"Sell_"&amp;Upgrades!$B$3:$B$13))*Upgrades!$D$3:$D$13))</f>
        <v>104775</v>
      </c>
      <c r="T177" s="66">
        <f>IFERROR(__xludf.DUMMYFUNCTION("IF(COUNTA(Q177:Q1644)=0,"""",IF(REGEXMATCH(INDEX(FILTER(Q$4:Q177,Q$4:Q177&lt;&gt;""""),ROWS(FILTER(Q$4:Q177,Q$4:Q177&lt;&gt;""""))),""^Sell_""),INDEX(FILTER(T$4:T176,Q$4:Q176&lt;&gt;""""),ROWS(FILTER(Q$4:Q176,Q$4:Q176&lt;&gt;""""))),$AD$5+S177))"),113251.0)</f>
        <v>113251</v>
      </c>
      <c r="U177" s="10">
        <f>IFERROR(__xludf.DUMMYFUNCTION("IF(COUNTA(Q177:Q1644)=0,"""",IF(Q177="""",0,IF(REGEXMATCH(Q177,""^Sell_""),-ROUNDDOWN(ROUNDUP(INDEX(Upgrades!$C$3:$C$13,MATCH(SUBSTITUTE(Q177,""Sell_"",""""),Upgrades!$B$3:$B$13,0))*1.15^(COUNTIF(Q$4:Q176,SUBSTITUTE(Q177,""Sell_"",""""))-COUNTIF(Q$4:Q176,"&amp;"""Sell_""&amp;SUBSTITUTE(Q177,""Sell_"",""""))))/2),ROUNDUP(INDEX(Upgrades!$C$3:$C$13,MATCH(Q177,Upgrades!$B$3:$B$13,0))*1.15^(COUNTIF(Q$4:Q176,Q177)-COUNTIF(Q$4:Q176,""Sell_""&amp;Q177))))))"),-34980.0)</f>
        <v>-34980</v>
      </c>
      <c r="V177" s="10">
        <f t="shared" si="11"/>
        <v>-9378035</v>
      </c>
      <c r="W177" s="68">
        <f t="shared" si="12"/>
        <v>4577.194447</v>
      </c>
      <c r="X177" s="59" t="str">
        <f t="shared" si="13"/>
        <v>1h 16m 17s</v>
      </c>
      <c r="Y177" s="69">
        <f t="shared" si="14"/>
        <v>100606200</v>
      </c>
      <c r="Z177" s="11"/>
      <c r="AG177" s="59"/>
    </row>
    <row r="178">
      <c r="A178" s="8"/>
      <c r="B178" s="56">
        <f t="shared" si="2"/>
        <v>19</v>
      </c>
      <c r="C178" s="67" t="s">
        <v>7</v>
      </c>
      <c r="D178" s="10"/>
      <c r="E178" s="59">
        <f t="array" ref="E178">IF(COUNTA(C178:C1644)=0,"",SUM((COUNTIF(C$4:C178,Upgrades!$B$3:$B$13)-COUNTIF(C$4:C178,"Sell_"&amp;Upgrades!$B$3:$B$13))*Upgrades!$D$3:$D$13))</f>
        <v>529848.3</v>
      </c>
      <c r="F178" s="66">
        <f>IFERROR(__xludf.DUMMYFUNCTION("IF(COUNTA(C178:C1644)=0,"""",IF(REGEXMATCH(INDEX(FILTER(C$4:C178,C$4:C178&lt;&gt;""""),ROWS(FILTER(C$4:C178,C$4:C178&lt;&gt;""""))),""^Sell_""),INDEX(FILTER(F$4:F177,C$4:C177&lt;&gt;""""),ROWS(FILTER(C$4:C177,C$4:C177&lt;&gt;""""))),$AC$5+E178))"),529858.3)</f>
        <v>529858.3</v>
      </c>
      <c r="G178" s="10">
        <f>IFERROR(__xludf.DUMMYFUNCTION("IF(COUNTA(C178:C1644)=0,"""",IF(C178="""",0,IF(REGEXMATCH(C178,""^Sell_""),-ROUNDDOWN(ROUNDUP(INDEX(Upgrades!$C$3:$C$13,MATCH(SUBSTITUTE(C178,""Sell_"",""""),Upgrades!$B$3:$B$13,0))*1.15^(COUNTIF(C$4:C177,SUBSTITUTE(C178,""Sell_"",""""))-COUNTIF(C$4:C177,"&amp;"""Sell_""&amp;SUBSTITUTE(C178,""Sell_"",""""))))/2),ROUNDUP(INDEX(Upgrades!$C$3:$C$13,MATCH(C178,Upgrades!$B$3:$B$13,0))*1.15^(COUNTIF(C$4:C177,C178)-COUNTIF(C$4:C177,""Sell_""&amp;C178))))))"),123755.0)</f>
        <v>123755</v>
      </c>
      <c r="H178" s="10">
        <f t="shared" si="3"/>
        <v>123755</v>
      </c>
      <c r="I178" s="68">
        <f t="shared" si="4"/>
        <v>7462.024043</v>
      </c>
      <c r="J178" s="59" t="str">
        <f t="shared" si="5"/>
        <v>2h 04m 22s</v>
      </c>
      <c r="K178" s="69">
        <f t="shared" si="6"/>
        <v>786268960</v>
      </c>
      <c r="L178" s="60">
        <f t="shared" si="7"/>
        <v>-69.22593</v>
      </c>
      <c r="M178" s="61">
        <f>IFERROR(__xludf.DUMMYFUNCTION("IFS(AND(COUNTA(C178:C1644)=0,COUNTA(Q178:Q1644)=0),"""",OR(AND(K178&gt;=1000000000,OR(Y178&gt;=1000000000,COUNTA(Q178:Q1644)=0)),OR(Y178&gt;=1000000000,AND(COUNTA(C178:C1644)=0,P$3=TRUE))),
ROUNDDOWN((AB$1-AC$1)*MAX(INDEX(T$4:T1644,MATCH(LARGE(FILTER(Y$4:Y1644,Y$4"&amp;":Y1644&lt;1000000000),1),Y$4:Y1644)),INDEX(F$4:F1644,MATCH(LARGE(FILTER(K$4:K1644,K$4:K1644&lt;1000000000),1),K$4:K1644)))),AND(K178&lt;1000000000,COUNTA(C178:C1644)&gt;0,P$3=FALSE),
ROUNDDOWN(INDEX(Y$4:Y1644,MATCH(LARGE(FILTER(W$4:W1644,W$4:W1644&lt;=I178),1),W$4:W1644"&amp;"))+(I178-LARGE(FILTER(W$4:W1644,W$4:W1644&lt;=I178),1))*INDEX(T$4:T1644,MATCH(LARGE(FILTER(W$4:W1644,W$4:W1644&lt;=I178),1),W$4:W1644))-K178),1,
ROUNDDOWN(Y178-INDEX(K$4:K1644,MATCH(LARGE(FILTER(I$4:I1644,I$4:I1644&lt;=W178),1),I$4:I1644))-(W178-LARGE(FILTER(I$4:I"&amp;"1644,I$4:I1644&lt;=W178),1))*INDEX(F$4:F1644,MATCH(LARGE(FILTER(I$4:I1644,I$4:I1644&lt;=W178),1),I$4:I1644))))"),3.1270196E7)</f>
        <v>31270196</v>
      </c>
      <c r="N178" s="60">
        <f t="shared" si="8"/>
        <v>-69.22593</v>
      </c>
      <c r="O178" s="61" t="str">
        <f t="shared" si="9"/>
        <v>31,3M</v>
      </c>
      <c r="P178" s="56">
        <f t="shared" si="10"/>
        <v>21</v>
      </c>
      <c r="Q178" s="67" t="s">
        <v>61</v>
      </c>
      <c r="R178" s="10"/>
      <c r="S178" s="59">
        <f t="array" ref="S178">IF(COUNTA(Q178:Q1644)=0,"",SUM((COUNTIF(Q$4:Q178,Upgrades!$B$3:$B$13)-COUNTIF(Q$4:Q178,"Sell_"&amp;Upgrades!$B$3:$B$13))*Upgrades!$D$3:$D$13))</f>
        <v>104675</v>
      </c>
      <c r="T178" s="66">
        <f>IFERROR(__xludf.DUMMYFUNCTION("IF(COUNTA(Q178:Q1644)=0,"""",IF(REGEXMATCH(INDEX(FILTER(Q$4:Q178,Q$4:Q178&lt;&gt;""""),ROWS(FILTER(Q$4:Q178,Q$4:Q178&lt;&gt;""""))),""^Sell_""),INDEX(FILTER(T$4:T177,Q$4:Q177&lt;&gt;""""),ROWS(FILTER(Q$4:Q177,Q$4:Q177&lt;&gt;""""))),$AD$5+S178))"),113251.0)</f>
        <v>113251</v>
      </c>
      <c r="U178" s="10">
        <f>IFERROR(__xludf.DUMMYFUNCTION("IF(COUNTA(Q178:Q1644)=0,"""",IF(Q178="""",0,IF(REGEXMATCH(Q178,""^Sell_""),-ROUNDDOWN(ROUNDUP(INDEX(Upgrades!$C$3:$C$13,MATCH(SUBSTITUTE(Q178,""Sell_"",""""),Upgrades!$B$3:$B$13,0))*1.15^(COUNTIF(Q$4:Q177,SUBSTITUTE(Q178,""Sell_"",""""))-COUNTIF(Q$4:Q177,"&amp;"""Sell_""&amp;SUBSTITUTE(Q178,""Sell_"",""""))))/2),ROUNDUP(INDEX(Upgrades!$C$3:$C$13,MATCH(Q178,Upgrades!$B$3:$B$13,0))*1.15^(COUNTIF(Q$4:Q177,Q178)-COUNTIF(Q$4:Q177,""Sell_""&amp;Q178))))))"),-30417.0)</f>
        <v>-30417</v>
      </c>
      <c r="V178" s="10">
        <f t="shared" si="11"/>
        <v>-9408452</v>
      </c>
      <c r="W178" s="68">
        <f t="shared" si="12"/>
        <v>4577.194447</v>
      </c>
      <c r="X178" s="59" t="str">
        <f t="shared" si="13"/>
        <v>1h 16m 17s</v>
      </c>
      <c r="Y178" s="69">
        <f t="shared" si="14"/>
        <v>100606200</v>
      </c>
      <c r="Z178" s="11"/>
      <c r="AG178" s="59"/>
    </row>
    <row r="179">
      <c r="A179" s="8"/>
      <c r="B179" s="56">
        <f t="shared" si="2"/>
        <v>24</v>
      </c>
      <c r="C179" s="67" t="s">
        <v>5</v>
      </c>
      <c r="D179" s="10"/>
      <c r="E179" s="59">
        <f t="array" ref="E179">IF(COUNTA(C179:C1644)=0,"",SUM((COUNTIF(C$4:C179,Upgrades!$B$3:$B$13)-COUNTIF(C$4:C179,"Sell_"&amp;Upgrades!$B$3:$B$13))*Upgrades!$D$3:$D$13))</f>
        <v>529852.3</v>
      </c>
      <c r="F179" s="66">
        <f>IFERROR(__xludf.DUMMYFUNCTION("IF(COUNTA(C179:C1644)=0,"""",IF(REGEXMATCH(INDEX(FILTER(C$4:C179,C$4:C179&lt;&gt;""""),ROWS(FILTER(C$4:C179,C$4:C179&lt;&gt;""""))),""^Sell_""),INDEX(FILTER(F$4:F178,C$4:C178&lt;&gt;""""),ROWS(FILTER(C$4:C178,C$4:C178&lt;&gt;""""))),$AC$5+E179))"),529862.3)</f>
        <v>529862.3</v>
      </c>
      <c r="G179" s="10">
        <f>IFERROR(__xludf.DUMMYFUNCTION("IF(COUNTA(C179:C1644)=0,"""",IF(C179="""",0,IF(REGEXMATCH(C179,""^Sell_""),-ROUNDDOWN(ROUNDUP(INDEX(Upgrades!$C$3:$C$13,MATCH(SUBSTITUTE(C179,""Sell_"",""""),Upgrades!$B$3:$B$13,0))*1.15^(COUNTIF(C$4:C178,SUBSTITUTE(C179,""Sell_"",""""))-COUNTIF(C$4:C178,"&amp;"""Sell_""&amp;SUBSTITUTE(C179,""Sell_"",""""))))/2),ROUNDUP(INDEX(Upgrades!$C$3:$C$13,MATCH(C179,Upgrades!$B$3:$B$13,0))*1.15^(COUNTIF(C$4:C178,C179)-COUNTIF(C$4:C178,""Sell_""&amp;C179))))))"),12446.0)</f>
        <v>12446</v>
      </c>
      <c r="H179" s="10">
        <f t="shared" si="3"/>
        <v>12446</v>
      </c>
      <c r="I179" s="68">
        <f t="shared" si="4"/>
        <v>7462.047532</v>
      </c>
      <c r="J179" s="59" t="str">
        <f t="shared" si="5"/>
        <v>2h 04m 22s</v>
      </c>
      <c r="K179" s="69">
        <f t="shared" si="6"/>
        <v>786281406</v>
      </c>
      <c r="L179" s="60">
        <f t="shared" si="7"/>
        <v>-69.22103</v>
      </c>
      <c r="M179" s="61">
        <f>IFERROR(__xludf.DUMMYFUNCTION("IFS(AND(COUNTA(C179:C1644)=0,COUNTA(Q179:Q1644)=0),"""",OR(AND(K179&gt;=1000000000,OR(Y179&gt;=1000000000,COUNTA(Q179:Q1644)=0)),OR(Y179&gt;=1000000000,AND(COUNTA(C179:C1644)=0,P$3=TRUE))),
ROUNDDOWN((AB$1-AC$1)*MAX(INDEX(T$4:T1644,MATCH(LARGE(FILTER(Y$4:Y1644,Y$4"&amp;":Y1644&lt;1000000000),1),Y$4:Y1644)),INDEX(F$4:F1644,MATCH(LARGE(FILTER(K$4:K1644,K$4:K1644&lt;1000000000),1),K$4:K1644)))),AND(K179&lt;1000000000,COUNTA(C179:C1644)&gt;0,P$3=FALSE),
ROUNDDOWN(INDEX(Y$4:Y1644,MATCH(LARGE(FILTER(W$4:W1644,W$4:W1644&lt;=I179),1),W$4:W1644"&amp;"))+(I179-LARGE(FILTER(W$4:W1644,W$4:W1644&lt;=I179),1))*INDEX(T$4:T1644,MATCH(LARGE(FILTER(W$4:W1644,W$4:W1644&lt;=I179),1),W$4:W1644))-K179),1,
ROUNDDOWN(Y179-INDEX(K$4:K1644,MATCH(LARGE(FILTER(I$4:I1644,I$4:I1644&lt;=W179),1),I$4:I1644))-(W179-LARGE(FILTER(I$4:I"&amp;"1644,I$4:I1644&lt;=W179),1))*INDEX(F$4:F1644,MATCH(LARGE(FILTER(I$4:I1644,I$4:I1644&lt;=W179),1),I$4:I1644))))"),3.1269851E7)</f>
        <v>31269851</v>
      </c>
      <c r="N179" s="60">
        <f t="shared" si="8"/>
        <v>-69.22103</v>
      </c>
      <c r="O179" s="61" t="str">
        <f t="shared" si="9"/>
        <v>31,3M</v>
      </c>
      <c r="P179" s="56">
        <f t="shared" si="10"/>
        <v>22</v>
      </c>
      <c r="Q179" s="67" t="s">
        <v>61</v>
      </c>
      <c r="R179" s="10"/>
      <c r="S179" s="59">
        <f t="array" ref="S179">IF(COUNTA(Q179:Q1644)=0,"",SUM((COUNTIF(Q$4:Q179,Upgrades!$B$3:$B$13)-COUNTIF(Q$4:Q179,"Sell_"&amp;Upgrades!$B$3:$B$13))*Upgrades!$D$3:$D$13))</f>
        <v>104575</v>
      </c>
      <c r="T179" s="66">
        <f>IFERROR(__xludf.DUMMYFUNCTION("IF(COUNTA(Q179:Q1644)=0,"""",IF(REGEXMATCH(INDEX(FILTER(Q$4:Q179,Q$4:Q179&lt;&gt;""""),ROWS(FILTER(Q$4:Q179,Q$4:Q179&lt;&gt;""""))),""^Sell_""),INDEX(FILTER(T$4:T178,Q$4:Q178&lt;&gt;""""),ROWS(FILTER(Q$4:Q178,Q$4:Q178&lt;&gt;""""))),$AD$5+S179))"),113251.0)</f>
        <v>113251</v>
      </c>
      <c r="U179" s="10">
        <f>IFERROR(__xludf.DUMMYFUNCTION("IF(COUNTA(Q179:Q1644)=0,"""",IF(Q179="""",0,IF(REGEXMATCH(Q179,""^Sell_""),-ROUNDDOWN(ROUNDUP(INDEX(Upgrades!$C$3:$C$13,MATCH(SUBSTITUTE(Q179,""Sell_"",""""),Upgrades!$B$3:$B$13,0))*1.15^(COUNTIF(Q$4:Q178,SUBSTITUTE(Q179,""Sell_"",""""))-COUNTIF(Q$4:Q178,"&amp;"""Sell_""&amp;SUBSTITUTE(Q179,""Sell_"",""""))))/2),ROUNDUP(INDEX(Upgrades!$C$3:$C$13,MATCH(Q179,Upgrades!$B$3:$B$13,0))*1.15^(COUNTIF(Q$4:Q178,Q179)-COUNTIF(Q$4:Q178,""Sell_""&amp;Q179))))))"),-26450.0)</f>
        <v>-26450</v>
      </c>
      <c r="V179" s="10">
        <f t="shared" si="11"/>
        <v>-9434902</v>
      </c>
      <c r="W179" s="68">
        <f t="shared" si="12"/>
        <v>4577.194447</v>
      </c>
      <c r="X179" s="59" t="str">
        <f t="shared" si="13"/>
        <v>1h 16m 17s</v>
      </c>
      <c r="Y179" s="69">
        <f t="shared" si="14"/>
        <v>100606200</v>
      </c>
      <c r="Z179" s="11"/>
      <c r="AG179" s="59"/>
    </row>
    <row r="180">
      <c r="A180" s="8"/>
      <c r="B180" s="56">
        <f t="shared" si="2"/>
        <v>20</v>
      </c>
      <c r="C180" s="67" t="s">
        <v>10</v>
      </c>
      <c r="D180" s="10"/>
      <c r="E180" s="59">
        <f t="array" ref="E180">IF(COUNTA(C180:C1644)=0,"",SUM((COUNTIF(C$4:C180,Upgrades!$B$3:$B$13)-COUNTIF(C$4:C180,"Sell_"&amp;Upgrades!$B$3:$B$13))*Upgrades!$D$3:$D$13))</f>
        <v>536518.3</v>
      </c>
      <c r="F180" s="66">
        <f>IFERROR(__xludf.DUMMYFUNCTION("IF(COUNTA(C180:C1644)=0,"""",IF(REGEXMATCH(INDEX(FILTER(C$4:C180,C$4:C180&lt;&gt;""""),ROWS(FILTER(C$4:C180,C$4:C180&lt;&gt;""""))),""^Sell_""),INDEX(FILTER(F$4:F179,C$4:C179&lt;&gt;""""),ROWS(FILTER(C$4:C179,C$4:C179&lt;&gt;""""))),$AC$5+E180))"),536528.3)</f>
        <v>536528.3</v>
      </c>
      <c r="G180" s="10">
        <f>IFERROR(__xludf.DUMMYFUNCTION("IF(COUNTA(C180:C1644)=0,"""",IF(C180="""",0,IF(REGEXMATCH(C180,""^Sell_""),-ROUNDDOWN(ROUNDUP(INDEX(Upgrades!$C$3:$C$13,MATCH(SUBSTITUTE(C180,""Sell_"",""""),Upgrades!$B$3:$B$13,0))*1.15^(COUNTIF(C$4:C179,SUBSTITUTE(C180,""Sell_"",""""))-COUNTIF(C$4:C179,"&amp;"""Sell_""&amp;SUBSTITUTE(C180,""Sell_"",""""))))/2),ROUNDUP(INDEX(Upgrades!$C$3:$C$13,MATCH(C180,Upgrades!$B$3:$B$13,0))*1.15^(COUNTIF(C$4:C179,C180)-COUNTIF(C$4:C179,""Sell_""&amp;C180))))))"),2.371961E7)</f>
        <v>23719610</v>
      </c>
      <c r="H180" s="10">
        <f t="shared" si="3"/>
        <v>23719610</v>
      </c>
      <c r="I180" s="68">
        <f t="shared" si="4"/>
        <v>7506.813144</v>
      </c>
      <c r="J180" s="59" t="str">
        <f t="shared" si="5"/>
        <v>2h 05m 06s</v>
      </c>
      <c r="K180" s="69">
        <f t="shared" si="6"/>
        <v>810001016</v>
      </c>
      <c r="L180" s="60">
        <f t="shared" si="7"/>
        <v>-59.8852</v>
      </c>
      <c r="M180" s="61">
        <f>IFERROR(__xludf.DUMMYFUNCTION("IFS(AND(COUNTA(C180:C1644)=0,COUNTA(Q180:Q1644)=0),"""",OR(AND(K180&gt;=1000000000,OR(Y180&gt;=1000000000,COUNTA(Q180:Q1644)=0)),OR(Y180&gt;=1000000000,AND(COUNTA(C180:C1644)=0,P$3=TRUE))),
ROUNDDOWN((AB$1-AC$1)*MAX(INDEX(T$4:T1644,MATCH(LARGE(FILTER(Y$4:Y1644,Y$4"&amp;":Y1644&lt;1000000000),1),Y$4:Y1644)),INDEX(F$4:F1644,MATCH(LARGE(FILTER(K$4:K1644,K$4:K1644&lt;1000000000),1),K$4:K1644)))),AND(K180&lt;1000000000,COUNTA(C180:C1644)&gt;0,P$3=FALSE),
ROUNDDOWN(INDEX(Y$4:Y1644,MATCH(LARGE(FILTER(W$4:W1644,W$4:W1644&lt;=I180),1),W$4:W1644"&amp;"))+(I180-LARGE(FILTER(W$4:W1644,W$4:W1644&lt;=I180),1))*INDEX(T$4:T1644,MATCH(LARGE(FILTER(W$4:W1644,W$4:W1644&lt;=I180),1),W$4:W1644))-K180),1,
ROUNDDOWN(Y180-INDEX(K$4:K1644,MATCH(LARGE(FILTER(I$4:I1644,I$4:I1644&lt;=W180),1),I$4:I1644))-(W180-LARGE(FILTER(I$4:I"&amp;"1644,I$4:I1644&lt;=W180),1))*INDEX(F$4:F1644,MATCH(LARGE(FILTER(I$4:I1644,I$4:I1644&lt;=W180),1),I$4:I1644))))"),3.0691738E7)</f>
        <v>30691738</v>
      </c>
      <c r="N180" s="60">
        <f t="shared" si="8"/>
        <v>-59.8852</v>
      </c>
      <c r="O180" s="61" t="str">
        <f t="shared" si="9"/>
        <v>30,7M</v>
      </c>
      <c r="P180" s="56">
        <f t="shared" si="10"/>
        <v>23</v>
      </c>
      <c r="Q180" s="67" t="s">
        <v>61</v>
      </c>
      <c r="R180" s="10"/>
      <c r="S180" s="59">
        <f t="array" ref="S180">IF(COUNTA(Q180:Q1644)=0,"",SUM((COUNTIF(Q$4:Q180,Upgrades!$B$3:$B$13)-COUNTIF(Q$4:Q180,"Sell_"&amp;Upgrades!$B$3:$B$13))*Upgrades!$D$3:$D$13))</f>
        <v>104475</v>
      </c>
      <c r="T180" s="66">
        <f>IFERROR(__xludf.DUMMYFUNCTION("IF(COUNTA(Q180:Q1644)=0,"""",IF(REGEXMATCH(INDEX(FILTER(Q$4:Q180,Q$4:Q180&lt;&gt;""""),ROWS(FILTER(Q$4:Q180,Q$4:Q180&lt;&gt;""""))),""^Sell_""),INDEX(FILTER(T$4:T179,Q$4:Q179&lt;&gt;""""),ROWS(FILTER(Q$4:Q179,Q$4:Q179&lt;&gt;""""))),$AD$5+S180))"),113251.0)</f>
        <v>113251</v>
      </c>
      <c r="U180" s="10">
        <f>IFERROR(__xludf.DUMMYFUNCTION("IF(COUNTA(Q180:Q1644)=0,"""",IF(Q180="""",0,IF(REGEXMATCH(Q180,""^Sell_""),-ROUNDDOWN(ROUNDUP(INDEX(Upgrades!$C$3:$C$13,MATCH(SUBSTITUTE(Q180,""Sell_"",""""),Upgrades!$B$3:$B$13,0))*1.15^(COUNTIF(Q$4:Q179,SUBSTITUTE(Q180,""Sell_"",""""))-COUNTIF(Q$4:Q179,"&amp;"""Sell_""&amp;SUBSTITUTE(Q180,""Sell_"",""""))))/2),ROUNDUP(INDEX(Upgrades!$C$3:$C$13,MATCH(Q180,Upgrades!$B$3:$B$13,0))*1.15^(COUNTIF(Q$4:Q179,Q180)-COUNTIF(Q$4:Q179,""Sell_""&amp;Q180))))))"),-23000.0)</f>
        <v>-23000</v>
      </c>
      <c r="V180" s="10">
        <f t="shared" si="11"/>
        <v>-9457902</v>
      </c>
      <c r="W180" s="68">
        <f t="shared" si="12"/>
        <v>4577.194447</v>
      </c>
      <c r="X180" s="59" t="str">
        <f t="shared" si="13"/>
        <v>1h 16m 17s</v>
      </c>
      <c r="Y180" s="69">
        <f t="shared" si="14"/>
        <v>100606200</v>
      </c>
      <c r="Z180" s="11"/>
      <c r="AG180" s="59"/>
    </row>
    <row r="181">
      <c r="A181" s="8"/>
      <c r="B181" s="56">
        <f t="shared" si="2"/>
        <v>18</v>
      </c>
      <c r="C181" s="105" t="s">
        <v>6</v>
      </c>
      <c r="D181" s="10"/>
      <c r="E181" s="59">
        <f t="array" ref="E181">IF(COUNTA(C181:C1644)=0,"",SUM((COUNTIF(C$4:C181,Upgrades!$B$3:$B$13)-COUNTIF(C$4:C181,"Sell_"&amp;Upgrades!$B$3:$B$13))*Upgrades!$D$3:$D$13))</f>
        <v>536528.3</v>
      </c>
      <c r="F181" s="66">
        <f>IFERROR(__xludf.DUMMYFUNCTION("IF(COUNTA(C181:C1644)=0,"""",IF(REGEXMATCH(INDEX(FILTER(C$4:C181,C$4:C181&lt;&gt;""""),ROWS(FILTER(C$4:C181,C$4:C181&lt;&gt;""""))),""^Sell_""),INDEX(FILTER(F$4:F180,C$4:C180&lt;&gt;""""),ROWS(FILTER(C$4:C180,C$4:C180&lt;&gt;""""))),$AC$5+E181))"),536538.3)</f>
        <v>536538.3</v>
      </c>
      <c r="G181" s="10">
        <f>IFERROR(__xludf.DUMMYFUNCTION("IF(COUNTA(C181:C1644)=0,"""",IF(C181="""",0,IF(REGEXMATCH(C181,""^Sell_""),-ROUNDDOWN(ROUNDUP(INDEX(Upgrades!$C$3:$C$13,MATCH(SUBSTITUTE(C181,""Sell_"",""""),Upgrades!$B$3:$B$13,0))*1.15^(COUNTIF(C$4:C180,SUBSTITUTE(C181,""Sell_"",""""))-COUNTIF(C$4:C180,"&amp;"""Sell_""&amp;SUBSTITUTE(C181,""Sell_"",""""))))/2),ROUNDUP(INDEX(Upgrades!$C$3:$C$13,MATCH(C181,Upgrades!$B$3:$B$13,0))*1.15^(COUNTIF(C$4:C180,C181)-COUNTIF(C$4:C180,""Sell_""&amp;C181))))))"),32284.0)</f>
        <v>32284</v>
      </c>
      <c r="H181" s="10">
        <f t="shared" si="3"/>
        <v>32284</v>
      </c>
      <c r="I181" s="68">
        <f t="shared" si="4"/>
        <v>7506.873316</v>
      </c>
      <c r="J181" s="59" t="str">
        <f t="shared" si="5"/>
        <v>2h 05m 06s</v>
      </c>
      <c r="K181" s="69">
        <f t="shared" si="6"/>
        <v>810033300</v>
      </c>
      <c r="L181" s="60">
        <f t="shared" si="7"/>
        <v>-59.87174</v>
      </c>
      <c r="M181" s="61">
        <f>IFERROR(__xludf.DUMMYFUNCTION("IFS(AND(COUNTA(C181:C1644)=0,COUNTA(Q181:Q1644)=0),"""",OR(AND(K181&gt;=1000000000,OR(Y181&gt;=1000000000,COUNTA(Q181:Q1644)=0)),OR(Y181&gt;=1000000000,AND(COUNTA(C181:C1644)=0,P$3=TRUE))),
ROUNDDOWN((AB$1-AC$1)*MAX(INDEX(T$4:T1644,MATCH(LARGE(FILTER(Y$4:Y1644,Y$4"&amp;":Y1644&lt;1000000000),1),Y$4:Y1644)),INDEX(F$4:F1644,MATCH(LARGE(FILTER(K$4:K1644,K$4:K1644&lt;1000000000),1),K$4:K1644)))),AND(K181&lt;1000000000,COUNTA(C181:C1644)&gt;0,P$3=FALSE),
ROUNDDOWN(INDEX(Y$4:Y1644,MATCH(LARGE(FILTER(W$4:W1644,W$4:W1644&lt;=I181),1),W$4:W1644"&amp;"))+(I181-LARGE(FILTER(W$4:W1644,W$4:W1644&lt;=I181),1))*INDEX(T$4:T1644,MATCH(LARGE(FILTER(W$4:W1644,W$4:W1644&lt;=I181),1),W$4:W1644))-K181),1,
ROUNDDOWN(Y181-INDEX(K$4:K1644,MATCH(LARGE(FILTER(I$4:I1644,I$4:I1644&lt;=W181),1),I$4:I1644))-(W181-LARGE(FILTER(I$4:I"&amp;"1644,I$4:I1644&lt;=W181),1))*INDEX(F$4:F1644,MATCH(LARGE(FILTER(I$4:I1644,I$4:I1644&lt;=W181),1),I$4:I1644))))"),3.069094E7)</f>
        <v>30690940</v>
      </c>
      <c r="N181" s="60">
        <f t="shared" si="8"/>
        <v>-59.87174</v>
      </c>
      <c r="O181" s="61" t="str">
        <f t="shared" si="9"/>
        <v>30,7M</v>
      </c>
      <c r="P181" s="56">
        <f t="shared" si="10"/>
        <v>8</v>
      </c>
      <c r="Q181" s="105" t="s">
        <v>60</v>
      </c>
      <c r="R181" s="10"/>
      <c r="S181" s="59">
        <f t="array" ref="S181">IF(COUNTA(Q181:Q1644)=0,"",SUM((COUNTIF(Q$4:Q181,Upgrades!$B$3:$B$13)-COUNTIF(Q$4:Q181,"Sell_"&amp;Upgrades!$B$3:$B$13))*Upgrades!$D$3:$D$13))</f>
        <v>104075</v>
      </c>
      <c r="T181" s="66">
        <f>IFERROR(__xludf.DUMMYFUNCTION("IF(COUNTA(Q181:Q1644)=0,"""",IF(REGEXMATCH(INDEX(FILTER(Q$4:Q181,Q$4:Q181&lt;&gt;""""),ROWS(FILTER(Q$4:Q181,Q$4:Q181&lt;&gt;""""))),""^Sell_""),INDEX(FILTER(T$4:T180,Q$4:Q180&lt;&gt;""""),ROWS(FILTER(Q$4:Q180,Q$4:Q180&lt;&gt;""""))),$AD$5+S181))"),113251.0)</f>
        <v>113251</v>
      </c>
      <c r="U181" s="10">
        <f>IFERROR(__xludf.DUMMYFUNCTION("IF(COUNTA(Q181:Q1644)=0,"""",IF(Q181="""",0,IF(REGEXMATCH(Q181,""^Sell_""),-ROUNDDOWN(ROUNDUP(INDEX(Upgrades!$C$3:$C$13,MATCH(SUBSTITUTE(Q181,""Sell_"",""""),Upgrades!$B$3:$B$13,0))*1.15^(COUNTIF(Q$4:Q180,SUBSTITUTE(Q181,""Sell_"",""""))-COUNTIF(Q$4:Q180,"&amp;"""Sell_""&amp;SUBSTITUTE(Q181,""Sell_"",""""))))/2),ROUNDUP(INDEX(Upgrades!$C$3:$C$13,MATCH(Q181,Upgrades!$B$3:$B$13,0))*1.15^(COUNTIF(Q$4:Q180,Q181)-COUNTIF(Q$4:Q180,""Sell_""&amp;Q181))))))"),-351788.0)</f>
        <v>-351788</v>
      </c>
      <c r="V181" s="10">
        <f t="shared" si="11"/>
        <v>-9809690</v>
      </c>
      <c r="W181" s="68">
        <f t="shared" si="12"/>
        <v>4577.194447</v>
      </c>
      <c r="X181" s="59" t="str">
        <f t="shared" si="13"/>
        <v>1h 16m 17s</v>
      </c>
      <c r="Y181" s="69">
        <f t="shared" si="14"/>
        <v>100606200</v>
      </c>
      <c r="Z181" s="11"/>
      <c r="AG181" s="59"/>
    </row>
    <row r="182">
      <c r="A182" s="8"/>
      <c r="B182" s="56">
        <f t="shared" si="2"/>
        <v>24</v>
      </c>
      <c r="C182" s="105" t="s">
        <v>3</v>
      </c>
      <c r="D182" s="10"/>
      <c r="E182" s="59">
        <f t="array" ref="E182">IF(COUNTA(C182:C1644)=0,"",SUM((COUNTIF(C$4:C182,Upgrades!$B$3:$B$13)-COUNTIF(C$4:C182,"Sell_"&amp;Upgrades!$B$3:$B$13))*Upgrades!$D$3:$D$13))</f>
        <v>536528.4</v>
      </c>
      <c r="F182" s="66">
        <f>IFERROR(__xludf.DUMMYFUNCTION("IF(COUNTA(C182:C1644)=0,"""",IF(REGEXMATCH(INDEX(FILTER(C$4:C182,C$4:C182&lt;&gt;""""),ROWS(FILTER(C$4:C182,C$4:C182&lt;&gt;""""))),""^Sell_""),INDEX(FILTER(F$4:F181,C$4:C181&lt;&gt;""""),ROWS(FILTER(C$4:C181,C$4:C181&lt;&gt;""""))),$AC$5+E182))"),536538.4)</f>
        <v>536538.4</v>
      </c>
      <c r="G182" s="10">
        <f>IFERROR(__xludf.DUMMYFUNCTION("IF(COUNTA(C182:C1644)=0,"""",IF(C182="""",0,IF(REGEXMATCH(C182,""^Sell_""),-ROUNDDOWN(ROUNDUP(INDEX(Upgrades!$C$3:$C$13,MATCH(SUBSTITUTE(C182,""Sell_"",""""),Upgrades!$B$3:$B$13,0))*1.15^(COUNTIF(C$4:C181,SUBSTITUTE(C182,""Sell_"",""""))-COUNTIF(C$4:C181,"&amp;"""Sell_""&amp;SUBSTITUTE(C182,""Sell_"",""""))))/2),ROUNDUP(INDEX(Upgrades!$C$3:$C$13,MATCH(C182,Upgrades!$B$3:$B$13,0))*1.15^(COUNTIF(C$4:C181,C182)-COUNTIF(C$4:C181,""Sell_""&amp;C182))))))"),374.0)</f>
        <v>374</v>
      </c>
      <c r="H182" s="10">
        <f t="shared" si="3"/>
        <v>374</v>
      </c>
      <c r="I182" s="68">
        <f t="shared" si="4"/>
        <v>7506.874013</v>
      </c>
      <c r="J182" s="59" t="str">
        <f t="shared" si="5"/>
        <v>2h 05m 06s</v>
      </c>
      <c r="K182" s="69">
        <f t="shared" si="6"/>
        <v>810033674</v>
      </c>
      <c r="L182" s="60">
        <f t="shared" si="7"/>
        <v>-59.87158</v>
      </c>
      <c r="M182" s="61">
        <f>IFERROR(__xludf.DUMMYFUNCTION("IFS(AND(COUNTA(C182:C1644)=0,COUNTA(Q182:Q1644)=0),"""",OR(AND(K182&gt;=1000000000,OR(Y182&gt;=1000000000,COUNTA(Q182:Q1644)=0)),OR(Y182&gt;=1000000000,AND(COUNTA(C182:C1644)=0,P$3=TRUE))),
ROUNDDOWN((AB$1-AC$1)*MAX(INDEX(T$4:T1644,MATCH(LARGE(FILTER(Y$4:Y1644,Y$4"&amp;":Y1644&lt;1000000000),1),Y$4:Y1644)),INDEX(F$4:F1644,MATCH(LARGE(FILTER(K$4:K1644,K$4:K1644&lt;1000000000),1),K$4:K1644)))),AND(K182&lt;1000000000,COUNTA(C182:C1644)&gt;0,P$3=FALSE),
ROUNDDOWN(INDEX(Y$4:Y1644,MATCH(LARGE(FILTER(W$4:W1644,W$4:W1644&lt;=I182),1),W$4:W1644"&amp;"))+(I182-LARGE(FILTER(W$4:W1644,W$4:W1644&lt;=I182),1))*INDEX(T$4:T1644,MATCH(LARGE(FILTER(W$4:W1644,W$4:W1644&lt;=I182),1),W$4:W1644))-K182),1,
ROUNDDOWN(Y182-INDEX(K$4:K1644,MATCH(LARGE(FILTER(I$4:I1644,I$4:I1644&lt;=W182),1),I$4:I1644))-(W182-LARGE(FILTER(I$4:I"&amp;"1644,I$4:I1644&lt;=W182),1))*INDEX(F$4:F1644,MATCH(LARGE(FILTER(I$4:I1644,I$4:I1644&lt;=W182),1),I$4:I1644))))"),3.0690931E7)</f>
        <v>30690931</v>
      </c>
      <c r="N182" s="60">
        <f t="shared" si="8"/>
        <v>-59.87158</v>
      </c>
      <c r="O182" s="61" t="str">
        <f t="shared" si="9"/>
        <v>30,7M</v>
      </c>
      <c r="P182" s="56">
        <f t="shared" si="10"/>
        <v>9</v>
      </c>
      <c r="Q182" s="105" t="s">
        <v>60</v>
      </c>
      <c r="R182" s="10"/>
      <c r="S182" s="59">
        <f t="array" ref="S182">IF(COUNTA(Q182:Q1644)=0,"",SUM((COUNTIF(Q$4:Q182,Upgrades!$B$3:$B$13)-COUNTIF(Q$4:Q182,"Sell_"&amp;Upgrades!$B$3:$B$13))*Upgrades!$D$3:$D$13))</f>
        <v>103675</v>
      </c>
      <c r="T182" s="66">
        <f>IFERROR(__xludf.DUMMYFUNCTION("IF(COUNTA(Q182:Q1644)=0,"""",IF(REGEXMATCH(INDEX(FILTER(Q$4:Q182,Q$4:Q182&lt;&gt;""""),ROWS(FILTER(Q$4:Q182,Q$4:Q182&lt;&gt;""""))),""^Sell_""),INDEX(FILTER(T$4:T181,Q$4:Q181&lt;&gt;""""),ROWS(FILTER(Q$4:Q181,Q$4:Q181&lt;&gt;""""))),$AD$5+S182))"),113251.0)</f>
        <v>113251</v>
      </c>
      <c r="U182" s="10">
        <f>IFERROR(__xludf.DUMMYFUNCTION("IF(COUNTA(Q182:Q1644)=0,"""",IF(Q182="""",0,IF(REGEXMATCH(Q182,""^Sell_""),-ROUNDDOWN(ROUNDUP(INDEX(Upgrades!$C$3:$C$13,MATCH(SUBSTITUTE(Q182,""Sell_"",""""),Upgrades!$B$3:$B$13,0))*1.15^(COUNTIF(Q$4:Q181,SUBSTITUTE(Q182,""Sell_"",""""))-COUNTIF(Q$4:Q181,"&amp;"""Sell_""&amp;SUBSTITUTE(Q182,""Sell_"",""""))))/2),ROUNDUP(INDEX(Upgrades!$C$3:$C$13,MATCH(Q182,Upgrades!$B$3:$B$13,0))*1.15^(COUNTIF(Q$4:Q181,Q182)-COUNTIF(Q$4:Q181,""Sell_""&amp;Q182))))))"),-305902.0)</f>
        <v>-305902</v>
      </c>
      <c r="V182" s="10">
        <f t="shared" si="11"/>
        <v>-10115592</v>
      </c>
      <c r="W182" s="68">
        <f t="shared" si="12"/>
        <v>4577.194447</v>
      </c>
      <c r="X182" s="59" t="str">
        <f t="shared" si="13"/>
        <v>1h 16m 17s</v>
      </c>
      <c r="Y182" s="69">
        <f t="shared" si="14"/>
        <v>100606200</v>
      </c>
      <c r="Z182" s="11"/>
      <c r="AG182" s="59"/>
    </row>
    <row r="183">
      <c r="A183" s="8"/>
      <c r="B183" s="56">
        <f t="shared" si="2"/>
        <v>16</v>
      </c>
      <c r="C183" s="105" t="s">
        <v>8</v>
      </c>
      <c r="D183" s="10"/>
      <c r="E183" s="59">
        <f t="array" ref="E183">IF(COUNTA(C183:C1644)=0,"",SUM((COUNTIF(C$4:C183,Upgrades!$B$3:$B$13)-COUNTIF(C$4:C183,"Sell_"&amp;Upgrades!$B$3:$B$13))*Upgrades!$D$3:$D$13))</f>
        <v>536628.4</v>
      </c>
      <c r="F183" s="66">
        <f>IFERROR(__xludf.DUMMYFUNCTION("IF(COUNTA(C183:C1644)=0,"""",IF(REGEXMATCH(INDEX(FILTER(C$4:C183,C$4:C183&lt;&gt;""""),ROWS(FILTER(C$4:C183,C$4:C183&lt;&gt;""""))),""^Sell_""),INDEX(FILTER(F$4:F182,C$4:C182&lt;&gt;""""),ROWS(FILTER(C$4:C182,C$4:C182&lt;&gt;""""))),$AC$5+E183))"),536638.4)</f>
        <v>536638.4</v>
      </c>
      <c r="G183" s="10">
        <f>IFERROR(__xludf.DUMMYFUNCTION("IF(COUNTA(C183:C1644)=0,"""",IF(C183="""",0,IF(REGEXMATCH(C183,""^Sell_""),-ROUNDDOWN(ROUNDUP(INDEX(Upgrades!$C$3:$C$13,MATCH(SUBSTITUTE(C183,""Sell_"",""""),Upgrades!$B$3:$B$13,0))*1.15^(COUNTIF(C$4:C182,SUBSTITUTE(C183,""Sell_"",""""))-COUNTIF(C$4:C182,"&amp;"""Sell_""&amp;SUBSTITUTE(C183,""Sell_"",""""))))/2),ROUNDUP(INDEX(Upgrades!$C$3:$C$13,MATCH(C183,Upgrades!$B$3:$B$13,0))*1.15^(COUNTIF(C$4:C182,C183)-COUNTIF(C$4:C182,""Sell_""&amp;C183))))))"),325483.0)</f>
        <v>325483</v>
      </c>
      <c r="H183" s="10">
        <f t="shared" si="3"/>
        <v>325483</v>
      </c>
      <c r="I183" s="68">
        <f t="shared" si="4"/>
        <v>7507.480648</v>
      </c>
      <c r="J183" s="59" t="str">
        <f t="shared" si="5"/>
        <v>2h 05m 07s</v>
      </c>
      <c r="K183" s="69">
        <f t="shared" si="6"/>
        <v>810359157</v>
      </c>
      <c r="L183" s="60">
        <f t="shared" si="7"/>
        <v>-59.73583</v>
      </c>
      <c r="M183" s="61">
        <f>IFERROR(__xludf.DUMMYFUNCTION("IFS(AND(COUNTA(C183:C1644)=0,COUNTA(Q183:Q1644)=0),"""",OR(AND(K183&gt;=1000000000,OR(Y183&gt;=1000000000,COUNTA(Q183:Q1644)=0)),OR(Y183&gt;=1000000000,AND(COUNTA(C183:C1644)=0,P$3=TRUE))),
ROUNDDOWN((AB$1-AC$1)*MAX(INDEX(T$4:T1644,MATCH(LARGE(FILTER(Y$4:Y1644,Y$4"&amp;":Y1644&lt;1000000000),1),Y$4:Y1644)),INDEX(F$4:F1644,MATCH(LARGE(FILTER(K$4:K1644,K$4:K1644&lt;1000000000),1),K$4:K1644)))),AND(K183&lt;1000000000,COUNTA(C183:C1644)&gt;0,P$3=FALSE),
ROUNDDOWN(INDEX(Y$4:Y1644,MATCH(LARGE(FILTER(W$4:W1644,W$4:W1644&lt;=I183),1),W$4:W1644"&amp;"))+(I183-LARGE(FILTER(W$4:W1644,W$4:W1644&lt;=I183),1))*INDEX(T$4:T1644,MATCH(LARGE(FILTER(W$4:W1644,W$4:W1644&lt;=I183),1),W$4:W1644))-K183),1,
ROUNDDOWN(Y183-INDEX(K$4:K1644,MATCH(LARGE(FILTER(I$4:I1644,I$4:I1644&lt;=W183),1),I$4:I1644))-(W183-LARGE(FILTER(I$4:I"&amp;"1644,I$4:I1644&lt;=W183),1))*INDEX(F$4:F1644,MATCH(LARGE(FILTER(I$4:I1644,I$4:I1644&lt;=W183),1),I$4:I1644))))"),3.0682877E7)</f>
        <v>30682877</v>
      </c>
      <c r="N183" s="60">
        <f t="shared" si="8"/>
        <v>-59.73583</v>
      </c>
      <c r="O183" s="61" t="str">
        <f t="shared" si="9"/>
        <v>30,7M</v>
      </c>
      <c r="P183" s="56">
        <f t="shared" si="10"/>
        <v>10</v>
      </c>
      <c r="Q183" s="105" t="s">
        <v>60</v>
      </c>
      <c r="R183" s="10"/>
      <c r="S183" s="59">
        <f t="array" ref="S183">IF(COUNTA(Q183:Q1644)=0,"",SUM((COUNTIF(Q$4:Q183,Upgrades!$B$3:$B$13)-COUNTIF(Q$4:Q183,"Sell_"&amp;Upgrades!$B$3:$B$13))*Upgrades!$D$3:$D$13))</f>
        <v>103275</v>
      </c>
      <c r="T183" s="66">
        <f>IFERROR(__xludf.DUMMYFUNCTION("IF(COUNTA(Q183:Q1644)=0,"""",IF(REGEXMATCH(INDEX(FILTER(Q$4:Q183,Q$4:Q183&lt;&gt;""""),ROWS(FILTER(Q$4:Q183,Q$4:Q183&lt;&gt;""""))),""^Sell_""),INDEX(FILTER(T$4:T182,Q$4:Q182&lt;&gt;""""),ROWS(FILTER(Q$4:Q182,Q$4:Q182&lt;&gt;""""))),$AD$5+S183))"),113251.0)</f>
        <v>113251</v>
      </c>
      <c r="U183" s="10">
        <f>IFERROR(__xludf.DUMMYFUNCTION("IF(COUNTA(Q183:Q1644)=0,"""",IF(Q183="""",0,IF(REGEXMATCH(Q183,""^Sell_""),-ROUNDDOWN(ROUNDUP(INDEX(Upgrades!$C$3:$C$13,MATCH(SUBSTITUTE(Q183,""Sell_"",""""),Upgrades!$B$3:$B$13,0))*1.15^(COUNTIF(Q$4:Q182,SUBSTITUTE(Q183,""Sell_"",""""))-COUNTIF(Q$4:Q182,"&amp;"""Sell_""&amp;SUBSTITUTE(Q183,""Sell_"",""""))))/2),ROUNDUP(INDEX(Upgrades!$C$3:$C$13,MATCH(Q183,Upgrades!$B$3:$B$13,0))*1.15^(COUNTIF(Q$4:Q182,Q183)-COUNTIF(Q$4:Q182,""Sell_""&amp;Q183))))))"),-266002.0)</f>
        <v>-266002</v>
      </c>
      <c r="V183" s="10">
        <f t="shared" si="11"/>
        <v>-10381594</v>
      </c>
      <c r="W183" s="68">
        <f t="shared" si="12"/>
        <v>4577.194447</v>
      </c>
      <c r="X183" s="59" t="str">
        <f t="shared" si="13"/>
        <v>1h 16m 17s</v>
      </c>
      <c r="Y183" s="69">
        <f t="shared" si="14"/>
        <v>100606200</v>
      </c>
      <c r="Z183" s="11"/>
      <c r="AG183" s="59"/>
    </row>
    <row r="184">
      <c r="A184" s="8"/>
      <c r="B184" s="56">
        <f t="shared" si="2"/>
        <v>21</v>
      </c>
      <c r="C184" s="105" t="s">
        <v>4</v>
      </c>
      <c r="D184" s="10"/>
      <c r="E184" s="59">
        <f t="array" ref="E184">IF(COUNTA(C184:C1644)=0,"",SUM((COUNTIF(C$4:C184,Upgrades!$B$3:$B$13)-COUNTIF(C$4:C184,"Sell_"&amp;Upgrades!$B$3:$B$13))*Upgrades!$D$3:$D$13))</f>
        <v>536628.9</v>
      </c>
      <c r="F184" s="66">
        <f>IFERROR(__xludf.DUMMYFUNCTION("IF(COUNTA(C184:C1644)=0,"""",IF(REGEXMATCH(INDEX(FILTER(C$4:C184,C$4:C184&lt;&gt;""""),ROWS(FILTER(C$4:C184,C$4:C184&lt;&gt;""""))),""^Sell_""),INDEX(FILTER(F$4:F183,C$4:C183&lt;&gt;""""),ROWS(FILTER(C$4:C183,C$4:C183&lt;&gt;""""))),$AC$5+E184))"),536638.9)</f>
        <v>536638.9</v>
      </c>
      <c r="G184" s="10">
        <f>IFERROR(__xludf.DUMMYFUNCTION("IF(COUNTA(C184:C1644)=0,"""",IF(C184="""",0,IF(REGEXMATCH(C184,""^Sell_""),-ROUNDDOWN(ROUNDUP(INDEX(Upgrades!$C$3:$C$13,MATCH(SUBSTITUTE(C184,""Sell_"",""""),Upgrades!$B$3:$B$13,0))*1.15^(COUNTIF(C$4:C183,SUBSTITUTE(C184,""Sell_"",""""))-COUNTIF(C$4:C183,"&amp;"""Sell_""&amp;SUBSTITUTE(C184,""Sell_"",""""))))/2),ROUNDUP(INDEX(Upgrades!$C$3:$C$13,MATCH(C184,Upgrades!$B$3:$B$13,0))*1.15^(COUNTIF(C$4:C183,C184)-COUNTIF(C$4:C183,""Sell_""&amp;C184))))))"),1637.0)</f>
        <v>1637</v>
      </c>
      <c r="H184" s="10">
        <f t="shared" si="3"/>
        <v>1637</v>
      </c>
      <c r="I184" s="68">
        <f t="shared" si="4"/>
        <v>7507.483699</v>
      </c>
      <c r="J184" s="59" t="str">
        <f t="shared" si="5"/>
        <v>2h 05m 07s</v>
      </c>
      <c r="K184" s="69">
        <f t="shared" si="6"/>
        <v>810360794</v>
      </c>
      <c r="L184" s="60">
        <f t="shared" si="7"/>
        <v>-59.73515</v>
      </c>
      <c r="M184" s="61">
        <f>IFERROR(__xludf.DUMMYFUNCTION("IFS(AND(COUNTA(C184:C1644)=0,COUNTA(Q184:Q1644)=0),"""",OR(AND(K184&gt;=1000000000,OR(Y184&gt;=1000000000,COUNTA(Q184:Q1644)=0)),OR(Y184&gt;=1000000000,AND(COUNTA(C184:C1644)=0,P$3=TRUE))),
ROUNDDOWN((AB$1-AC$1)*MAX(INDEX(T$4:T1644,MATCH(LARGE(FILTER(Y$4:Y1644,Y$4"&amp;":Y1644&lt;1000000000),1),Y$4:Y1644)),INDEX(F$4:F1644,MATCH(LARGE(FILTER(K$4:K1644,K$4:K1644&lt;1000000000),1),K$4:K1644)))),AND(K184&lt;1000000000,COUNTA(C184:C1644)&gt;0,P$3=FALSE),
ROUNDDOWN(INDEX(Y$4:Y1644,MATCH(LARGE(FILTER(W$4:W1644,W$4:W1644&lt;=I184),1),W$4:W1644"&amp;"))+(I184-LARGE(FILTER(W$4:W1644,W$4:W1644&lt;=I184),1))*INDEX(T$4:T1644,MATCH(LARGE(FILTER(W$4:W1644,W$4:W1644&lt;=I184),1),W$4:W1644))-K184),1,
ROUNDDOWN(Y184-INDEX(K$4:K1644,MATCH(LARGE(FILTER(I$4:I1644,I$4:I1644&lt;=W184),1),I$4:I1644))-(W184-LARGE(FILTER(I$4:I"&amp;"1644,I$4:I1644&lt;=W184),1))*INDEX(F$4:F1644,MATCH(LARGE(FILTER(I$4:I1644,I$4:I1644&lt;=W184),1),I$4:I1644))))"),3.0682836E7)</f>
        <v>30682836</v>
      </c>
      <c r="N184" s="60">
        <f t="shared" si="8"/>
        <v>-59.73515</v>
      </c>
      <c r="O184" s="61" t="str">
        <f t="shared" si="9"/>
        <v>30,7M</v>
      </c>
      <c r="P184" s="56">
        <f t="shared" si="10"/>
        <v>11</v>
      </c>
      <c r="Q184" s="105" t="s">
        <v>60</v>
      </c>
      <c r="R184" s="10"/>
      <c r="S184" s="59">
        <f t="array" ref="S184">IF(COUNTA(Q184:Q1644)=0,"",SUM((COUNTIF(Q$4:Q184,Upgrades!$B$3:$B$13)-COUNTIF(Q$4:Q184,"Sell_"&amp;Upgrades!$B$3:$B$13))*Upgrades!$D$3:$D$13))</f>
        <v>102875</v>
      </c>
      <c r="T184" s="66">
        <f>IFERROR(__xludf.DUMMYFUNCTION("IF(COUNTA(Q184:Q1644)=0,"""",IF(REGEXMATCH(INDEX(FILTER(Q$4:Q184,Q$4:Q184&lt;&gt;""""),ROWS(FILTER(Q$4:Q184,Q$4:Q184&lt;&gt;""""))),""^Sell_""),INDEX(FILTER(T$4:T183,Q$4:Q183&lt;&gt;""""),ROWS(FILTER(Q$4:Q183,Q$4:Q183&lt;&gt;""""))),$AD$5+S184))"),113251.0)</f>
        <v>113251</v>
      </c>
      <c r="U184" s="10">
        <f>IFERROR(__xludf.DUMMYFUNCTION("IF(COUNTA(Q184:Q1644)=0,"""",IF(Q184="""",0,IF(REGEXMATCH(Q184,""^Sell_""),-ROUNDDOWN(ROUNDUP(INDEX(Upgrades!$C$3:$C$13,MATCH(SUBSTITUTE(Q184,""Sell_"",""""),Upgrades!$B$3:$B$13,0))*1.15^(COUNTIF(Q$4:Q183,SUBSTITUTE(Q184,""Sell_"",""""))-COUNTIF(Q$4:Q183,"&amp;"""Sell_""&amp;SUBSTITUTE(Q184,""Sell_"",""""))))/2),ROUNDUP(INDEX(Upgrades!$C$3:$C$13,MATCH(Q184,Upgrades!$B$3:$B$13,0))*1.15^(COUNTIF(Q$4:Q183,Q184)-COUNTIF(Q$4:Q183,""Sell_""&amp;Q184))))))"),-231306.0)</f>
        <v>-231306</v>
      </c>
      <c r="V184" s="10">
        <f t="shared" si="11"/>
        <v>-10612900</v>
      </c>
      <c r="W184" s="68">
        <f t="shared" si="12"/>
        <v>4577.194447</v>
      </c>
      <c r="X184" s="59" t="str">
        <f t="shared" si="13"/>
        <v>1h 16m 17s</v>
      </c>
      <c r="Y184" s="69">
        <f t="shared" si="14"/>
        <v>100606200</v>
      </c>
      <c r="Z184" s="11"/>
      <c r="AG184" s="59"/>
    </row>
    <row r="185">
      <c r="A185" s="8"/>
      <c r="B185" s="56">
        <f t="shared" si="2"/>
        <v>15</v>
      </c>
      <c r="C185" s="105" t="s">
        <v>9</v>
      </c>
      <c r="D185" s="10"/>
      <c r="E185" s="59">
        <f t="array" ref="E185">IF(COUNTA(C185:C1644)=0,"",SUM((COUNTIF(C$4:C185,Upgrades!$B$3:$B$13)-COUNTIF(C$4:C185,"Sell_"&amp;Upgrades!$B$3:$B$13))*Upgrades!$D$3:$D$13))</f>
        <v>537028.9</v>
      </c>
      <c r="F185" s="66">
        <f>IFERROR(__xludf.DUMMYFUNCTION("IF(COUNTA(C185:C1644)=0,"""",IF(REGEXMATCH(INDEX(FILTER(C$4:C185,C$4:C185&lt;&gt;""""),ROWS(FILTER(C$4:C185,C$4:C185&lt;&gt;""""))),""^Sell_""),INDEX(FILTER(F$4:F184,C$4:C184&lt;&gt;""""),ROWS(FILTER(C$4:C184,C$4:C184&lt;&gt;""""))),$AC$5+E185))"),537038.9)</f>
        <v>537038.9</v>
      </c>
      <c r="G185" s="10">
        <f>IFERROR(__xludf.DUMMYFUNCTION("IF(COUNTA(C185:C1644)=0,"""",IF(C185="""",0,IF(REGEXMATCH(C185,""^Sell_""),-ROUNDDOWN(ROUNDUP(INDEX(Upgrades!$C$3:$C$13,MATCH(SUBSTITUTE(C185,""Sell_"",""""),Upgrades!$B$3:$B$13,0))*1.15^(COUNTIF(C$4:C184,SUBSTITUTE(C185,""Sell_"",""""))-COUNTIF(C$4:C184,"&amp;"""Sell_""&amp;SUBSTITUTE(C185,""Sell_"",""""))))/2),ROUNDUP(INDEX(Upgrades!$C$3:$C$13,MATCH(C185,Upgrades!$B$3:$B$13,0))*1.15^(COUNTIF(C$4:C184,C185)-COUNTIF(C$4:C184,""Sell_""&amp;C185))))))"),1415142.0)</f>
        <v>1415142</v>
      </c>
      <c r="H185" s="10">
        <f t="shared" si="3"/>
        <v>1415142</v>
      </c>
      <c r="I185" s="68">
        <f t="shared" si="4"/>
        <v>7510.120746</v>
      </c>
      <c r="J185" s="59" t="str">
        <f t="shared" si="5"/>
        <v>2h 05m 10s</v>
      </c>
      <c r="K185" s="69">
        <f t="shared" si="6"/>
        <v>811775936</v>
      </c>
      <c r="L185" s="60">
        <f t="shared" si="7"/>
        <v>-59.32599</v>
      </c>
      <c r="M185" s="61">
        <f>IFERROR(__xludf.DUMMYFUNCTION("IFS(AND(COUNTA(C185:C1644)=0,COUNTA(Q185:Q1644)=0),"""",OR(AND(K185&gt;=1000000000,OR(Y185&gt;=1000000000,COUNTA(Q185:Q1644)=0)),OR(Y185&gt;=1000000000,AND(COUNTA(C185:C1644)=0,P$3=TRUE))),
ROUNDDOWN((AB$1-AC$1)*MAX(INDEX(T$4:T1644,MATCH(LARGE(FILTER(Y$4:Y1644,Y$4"&amp;":Y1644&lt;1000000000),1),Y$4:Y1644)),INDEX(F$4:F1644,MATCH(LARGE(FILTER(K$4:K1644,K$4:K1644&lt;1000000000),1),K$4:K1644)))),AND(K185&lt;1000000000,COUNTA(C185:C1644)&gt;0,P$3=FALSE),
ROUNDDOWN(INDEX(Y$4:Y1644,MATCH(LARGE(FILTER(W$4:W1644,W$4:W1644&lt;=I185),1),W$4:W1644"&amp;"))+(I185-LARGE(FILTER(W$4:W1644,W$4:W1644&lt;=I185),1))*INDEX(T$4:T1644,MATCH(LARGE(FILTER(W$4:W1644,W$4:W1644&lt;=I185),1),W$4:W1644))-K185),1,
ROUNDDOWN(Y185-INDEX(K$4:K1644,MATCH(LARGE(FILTER(I$4:I1644,I$4:I1644&lt;=W185),1),I$4:I1644))-(W185-LARGE(FILTER(I$4:I"&amp;"1644,I$4:I1644&lt;=W185),1))*INDEX(F$4:F1644,MATCH(LARGE(FILTER(I$4:I1644,I$4:I1644&lt;=W185),1),I$4:I1644))))"),3.0647559E7)</f>
        <v>30647559</v>
      </c>
      <c r="N185" s="60">
        <f t="shared" si="8"/>
        <v>-59.32599</v>
      </c>
      <c r="O185" s="61" t="str">
        <f t="shared" si="9"/>
        <v>30,6M</v>
      </c>
      <c r="P185" s="56">
        <f t="shared" si="10"/>
        <v>12</v>
      </c>
      <c r="Q185" s="105" t="s">
        <v>60</v>
      </c>
      <c r="R185" s="10"/>
      <c r="S185" s="59">
        <f t="array" ref="S185">IF(COUNTA(Q185:Q1644)=0,"",SUM((COUNTIF(Q$4:Q185,Upgrades!$B$3:$B$13)-COUNTIF(Q$4:Q185,"Sell_"&amp;Upgrades!$B$3:$B$13))*Upgrades!$D$3:$D$13))</f>
        <v>102475</v>
      </c>
      <c r="T185" s="66">
        <f>IFERROR(__xludf.DUMMYFUNCTION("IF(COUNTA(Q185:Q1644)=0,"""",IF(REGEXMATCH(INDEX(FILTER(Q$4:Q185,Q$4:Q185&lt;&gt;""""),ROWS(FILTER(Q$4:Q185,Q$4:Q185&lt;&gt;""""))),""^Sell_""),INDEX(FILTER(T$4:T184,Q$4:Q184&lt;&gt;""""),ROWS(FILTER(Q$4:Q184,Q$4:Q184&lt;&gt;""""))),$AD$5+S185))"),113251.0)</f>
        <v>113251</v>
      </c>
      <c r="U185" s="10">
        <f>IFERROR(__xludf.DUMMYFUNCTION("IF(COUNTA(Q185:Q1644)=0,"""",IF(Q185="""",0,IF(REGEXMATCH(Q185,""^Sell_""),-ROUNDDOWN(ROUNDUP(INDEX(Upgrades!$C$3:$C$13,MATCH(SUBSTITUTE(Q185,""Sell_"",""""),Upgrades!$B$3:$B$13,0))*1.15^(COUNTIF(Q$4:Q184,SUBSTITUTE(Q185,""Sell_"",""""))-COUNTIF(Q$4:Q184,"&amp;"""Sell_""&amp;SUBSTITUTE(Q185,""Sell_"",""""))))/2),ROUNDUP(INDEX(Upgrades!$C$3:$C$13,MATCH(Q185,Upgrades!$B$3:$B$13,0))*1.15^(COUNTIF(Q$4:Q184,Q185)-COUNTIF(Q$4:Q184,""Sell_""&amp;Q185))))))"),-201136.0)</f>
        <v>-201136</v>
      </c>
      <c r="V185" s="10">
        <f t="shared" si="11"/>
        <v>-10814036</v>
      </c>
      <c r="W185" s="68">
        <f t="shared" si="12"/>
        <v>4577.194447</v>
      </c>
      <c r="X185" s="59" t="str">
        <f t="shared" si="13"/>
        <v>1h 16m 17s</v>
      </c>
      <c r="Y185" s="69">
        <f t="shared" si="14"/>
        <v>100606200</v>
      </c>
      <c r="Z185" s="11"/>
      <c r="AG185" s="59"/>
    </row>
    <row r="186">
      <c r="A186" s="8"/>
      <c r="B186" s="56">
        <f t="shared" si="2"/>
        <v>20</v>
      </c>
      <c r="C186" s="105" t="s">
        <v>7</v>
      </c>
      <c r="D186" s="10"/>
      <c r="E186" s="59">
        <f t="array" ref="E186">IF(COUNTA(C186:C1644)=0,"",SUM((COUNTIF(C$4:C186,Upgrades!$B$3:$B$13)-COUNTIF(C$4:C186,"Sell_"&amp;Upgrades!$B$3:$B$13))*Upgrades!$D$3:$D$13))</f>
        <v>537068.9</v>
      </c>
      <c r="F186" s="66">
        <f>IFERROR(__xludf.DUMMYFUNCTION("IF(COUNTA(C186:C1644)=0,"""",IF(REGEXMATCH(INDEX(FILTER(C$4:C186,C$4:C186&lt;&gt;""""),ROWS(FILTER(C$4:C186,C$4:C186&lt;&gt;""""))),""^Sell_""),INDEX(FILTER(F$4:F185,C$4:C185&lt;&gt;""""),ROWS(FILTER(C$4:C185,C$4:C185&lt;&gt;""""))),$AC$5+E186))"),537078.9)</f>
        <v>537078.9</v>
      </c>
      <c r="G186" s="10">
        <f>IFERROR(__xludf.DUMMYFUNCTION("IF(COUNTA(C186:C1644)=0,"""",IF(C186="""",0,IF(REGEXMATCH(C186,""^Sell_""),-ROUNDDOWN(ROUNDUP(INDEX(Upgrades!$C$3:$C$13,MATCH(SUBSTITUTE(C186,""Sell_"",""""),Upgrades!$B$3:$B$13,0))*1.15^(COUNTIF(C$4:C185,SUBSTITUTE(C186,""Sell_"",""""))-COUNTIF(C$4:C185,"&amp;"""Sell_""&amp;SUBSTITUTE(C186,""Sell_"",""""))))/2),ROUNDUP(INDEX(Upgrades!$C$3:$C$13,MATCH(C186,Upgrades!$B$3:$B$13,0))*1.15^(COUNTIF(C$4:C185,C186)-COUNTIF(C$4:C185,""Sell_""&amp;C186))))))"),142318.0)</f>
        <v>142318</v>
      </c>
      <c r="H186" s="10">
        <f t="shared" si="3"/>
        <v>142318</v>
      </c>
      <c r="I186" s="68">
        <f t="shared" si="4"/>
        <v>7510.385751</v>
      </c>
      <c r="J186" s="59" t="str">
        <f t="shared" si="5"/>
        <v>2h 05m 10s</v>
      </c>
      <c r="K186" s="69">
        <f t="shared" si="6"/>
        <v>811918254</v>
      </c>
      <c r="L186" s="60">
        <f t="shared" si="7"/>
        <v>-59.31229</v>
      </c>
      <c r="M186" s="61">
        <f>IFERROR(__xludf.DUMMYFUNCTION("IFS(AND(COUNTA(C186:C1644)=0,COUNTA(Q186:Q1644)=0),"""",OR(AND(K186&gt;=1000000000,OR(Y186&gt;=1000000000,COUNTA(Q186:Q1644)=0)),OR(Y186&gt;=1000000000,AND(COUNTA(C186:C1644)=0,P$3=TRUE))),
ROUNDDOWN((AB$1-AC$1)*MAX(INDEX(T$4:T1644,MATCH(LARGE(FILTER(Y$4:Y1644,Y$4"&amp;":Y1644&lt;1000000000),1),Y$4:Y1644)),INDEX(F$4:F1644,MATCH(LARGE(FILTER(K$4:K1644,K$4:K1644&lt;1000000000),1),K$4:K1644)))),AND(K186&lt;1000000000,COUNTA(C186:C1644)&gt;0,P$3=FALSE),
ROUNDDOWN(INDEX(Y$4:Y1644,MATCH(LARGE(FILTER(W$4:W1644,W$4:W1644&lt;=I186),1),W$4:W1644"&amp;"))+(I186-LARGE(FILTER(W$4:W1644,W$4:W1644&lt;=I186),1))*INDEX(T$4:T1644,MATCH(LARGE(FILTER(W$4:W1644,W$4:W1644&lt;=I186),1),W$4:W1644))-K186),1,
ROUNDDOWN(Y186-INDEX(K$4:K1644,MATCH(LARGE(FILTER(I$4:I1644,I$4:I1644&lt;=W186),1),I$4:I1644))-(W186-LARGE(FILTER(I$4:I"&amp;"1644,I$4:I1644&lt;=W186),1))*INDEX(F$4:F1644,MATCH(LARGE(FILTER(I$4:I1644,I$4:I1644&lt;=W186),1),I$4:I1644))))"),3.0643908E7)</f>
        <v>30643908</v>
      </c>
      <c r="N186" s="60">
        <f t="shared" si="8"/>
        <v>-59.31229</v>
      </c>
      <c r="O186" s="61" t="str">
        <f t="shared" si="9"/>
        <v>30,6M</v>
      </c>
      <c r="P186" s="56">
        <f t="shared" si="10"/>
        <v>13</v>
      </c>
      <c r="Q186" s="105" t="s">
        <v>60</v>
      </c>
      <c r="R186" s="10"/>
      <c r="S186" s="59">
        <f t="array" ref="S186">IF(COUNTA(Q186:Q1644)=0,"",SUM((COUNTIF(Q$4:Q186,Upgrades!$B$3:$B$13)-COUNTIF(Q$4:Q186,"Sell_"&amp;Upgrades!$B$3:$B$13))*Upgrades!$D$3:$D$13))</f>
        <v>102075</v>
      </c>
      <c r="T186" s="66">
        <f>IFERROR(__xludf.DUMMYFUNCTION("IF(COUNTA(Q186:Q1644)=0,"""",IF(REGEXMATCH(INDEX(FILTER(Q$4:Q186,Q$4:Q186&lt;&gt;""""),ROWS(FILTER(Q$4:Q186,Q$4:Q186&lt;&gt;""""))),""^Sell_""),INDEX(FILTER(T$4:T185,Q$4:Q185&lt;&gt;""""),ROWS(FILTER(Q$4:Q185,Q$4:Q185&lt;&gt;""""))),$AD$5+S186))"),113251.0)</f>
        <v>113251</v>
      </c>
      <c r="U186" s="10">
        <f>IFERROR(__xludf.DUMMYFUNCTION("IF(COUNTA(Q186:Q1644)=0,"""",IF(Q186="""",0,IF(REGEXMATCH(Q186,""^Sell_""),-ROUNDDOWN(ROUNDUP(INDEX(Upgrades!$C$3:$C$13,MATCH(SUBSTITUTE(Q186,""Sell_"",""""),Upgrades!$B$3:$B$13,0))*1.15^(COUNTIF(Q$4:Q185,SUBSTITUTE(Q186,""Sell_"",""""))-COUNTIF(Q$4:Q185,"&amp;"""Sell_""&amp;SUBSTITUTE(Q186,""Sell_"",""""))))/2),ROUNDUP(INDEX(Upgrades!$C$3:$C$13,MATCH(Q186,Upgrades!$B$3:$B$13,0))*1.15^(COUNTIF(Q$4:Q185,Q186)-COUNTIF(Q$4:Q185,""Sell_""&amp;Q186))))))"),-174901.0)</f>
        <v>-174901</v>
      </c>
      <c r="V186" s="10">
        <f t="shared" si="11"/>
        <v>-10988937</v>
      </c>
      <c r="W186" s="68">
        <f t="shared" si="12"/>
        <v>4577.194447</v>
      </c>
      <c r="X186" s="59" t="str">
        <f t="shared" si="13"/>
        <v>1h 16m 17s</v>
      </c>
      <c r="Y186" s="69">
        <f t="shared" si="14"/>
        <v>100606200</v>
      </c>
      <c r="Z186" s="11"/>
      <c r="AG186" s="59"/>
    </row>
    <row r="187">
      <c r="A187" s="8"/>
      <c r="B187" s="56">
        <f t="shared" si="2"/>
        <v>25</v>
      </c>
      <c r="C187" s="105" t="s">
        <v>5</v>
      </c>
      <c r="D187" s="10"/>
      <c r="E187" s="59">
        <f t="array" ref="E187">IF(COUNTA(C187:C1644)=0,"",SUM((COUNTIF(C$4:C187,Upgrades!$B$3:$B$13)-COUNTIF(C$4:C187,"Sell_"&amp;Upgrades!$B$3:$B$13))*Upgrades!$D$3:$D$13))</f>
        <v>537072.9</v>
      </c>
      <c r="F187" s="66">
        <f>IFERROR(__xludf.DUMMYFUNCTION("IF(COUNTA(C187:C1644)=0,"""",IF(REGEXMATCH(INDEX(FILTER(C$4:C187,C$4:C187&lt;&gt;""""),ROWS(FILTER(C$4:C187,C$4:C187&lt;&gt;""""))),""^Sell_""),INDEX(FILTER(F$4:F186,C$4:C186&lt;&gt;""""),ROWS(FILTER(C$4:C186,C$4:C186&lt;&gt;""""))),$AC$5+E187))"),537082.9)</f>
        <v>537082.9</v>
      </c>
      <c r="G187" s="10">
        <f>IFERROR(__xludf.DUMMYFUNCTION("IF(COUNTA(C187:C1644)=0,"""",IF(C187="""",0,IF(REGEXMATCH(C187,""^Sell_""),-ROUNDDOWN(ROUNDUP(INDEX(Upgrades!$C$3:$C$13,MATCH(SUBSTITUTE(C187,""Sell_"",""""),Upgrades!$B$3:$B$13,0))*1.15^(COUNTIF(C$4:C186,SUBSTITUTE(C187,""Sell_"",""""))-COUNTIF(C$4:C186,"&amp;"""Sell_""&amp;SUBSTITUTE(C187,""Sell_"",""""))))/2),ROUNDUP(INDEX(Upgrades!$C$3:$C$13,MATCH(C187,Upgrades!$B$3:$B$13,0))*1.15^(COUNTIF(C$4:C186,C187)-COUNTIF(C$4:C186,""Sell_""&amp;C187))))))"),14313.0)</f>
        <v>14313</v>
      </c>
      <c r="H187" s="10">
        <f t="shared" si="3"/>
        <v>14313</v>
      </c>
      <c r="I187" s="68">
        <f t="shared" si="4"/>
        <v>7510.412401</v>
      </c>
      <c r="J187" s="59" t="str">
        <f t="shared" si="5"/>
        <v>2h 05m 10s</v>
      </c>
      <c r="K187" s="69">
        <f t="shared" si="6"/>
        <v>811932567</v>
      </c>
      <c r="L187" s="60">
        <f t="shared" si="7"/>
        <v>-59.31092</v>
      </c>
      <c r="M187" s="61">
        <f>IFERROR(__xludf.DUMMYFUNCTION("IFS(AND(COUNTA(C187:C1644)=0,COUNTA(Q187:Q1644)=0),"""",OR(AND(K187&gt;=1000000000,OR(Y187&gt;=1000000000,COUNTA(Q187:Q1644)=0)),OR(Y187&gt;=1000000000,AND(COUNTA(C187:C1644)=0,P$3=TRUE))),
ROUNDDOWN((AB$1-AC$1)*MAX(INDEX(T$4:T1644,MATCH(LARGE(FILTER(Y$4:Y1644,Y$4"&amp;":Y1644&lt;1000000000),1),Y$4:Y1644)),INDEX(F$4:F1644,MATCH(LARGE(FILTER(K$4:K1644,K$4:K1644&lt;1000000000),1),K$4:K1644)))),AND(K187&lt;1000000000,COUNTA(C187:C1644)&gt;0,P$3=FALSE),
ROUNDDOWN(INDEX(Y$4:Y1644,MATCH(LARGE(FILTER(W$4:W1644,W$4:W1644&lt;=I187),1),W$4:W1644"&amp;"))+(I187-LARGE(FILTER(W$4:W1644,W$4:W1644&lt;=I187),1))*INDEX(T$4:T1644,MATCH(LARGE(FILTER(W$4:W1644,W$4:W1644&lt;=I187),1),W$4:W1644))-K187),1,
ROUNDDOWN(Y187-INDEX(K$4:K1644,MATCH(LARGE(FILTER(I$4:I1644,I$4:I1644&lt;=W187),1),I$4:I1644))-(W187-LARGE(FILTER(I$4:I"&amp;"1644,I$4:I1644&lt;=W187),1))*INDEX(F$4:F1644,MATCH(LARGE(FILTER(I$4:I1644,I$4:I1644&lt;=W187),1),I$4:I1644))))"),3.0643539E7)</f>
        <v>30643539</v>
      </c>
      <c r="N187" s="60">
        <f t="shared" si="8"/>
        <v>-59.31092</v>
      </c>
      <c r="O187" s="61" t="str">
        <f t="shared" si="9"/>
        <v>30,6M</v>
      </c>
      <c r="P187" s="56">
        <f t="shared" si="10"/>
        <v>14</v>
      </c>
      <c r="Q187" s="105" t="s">
        <v>60</v>
      </c>
      <c r="R187" s="10"/>
      <c r="S187" s="59">
        <f t="array" ref="S187">IF(COUNTA(Q187:Q1644)=0,"",SUM((COUNTIF(Q$4:Q187,Upgrades!$B$3:$B$13)-COUNTIF(Q$4:Q187,"Sell_"&amp;Upgrades!$B$3:$B$13))*Upgrades!$D$3:$D$13))</f>
        <v>101675</v>
      </c>
      <c r="T187" s="66">
        <f>IFERROR(__xludf.DUMMYFUNCTION("IF(COUNTA(Q187:Q1644)=0,"""",IF(REGEXMATCH(INDEX(FILTER(Q$4:Q187,Q$4:Q187&lt;&gt;""""),ROWS(FILTER(Q$4:Q187,Q$4:Q187&lt;&gt;""""))),""^Sell_""),INDEX(FILTER(T$4:T186,Q$4:Q186&lt;&gt;""""),ROWS(FILTER(Q$4:Q186,Q$4:Q186&lt;&gt;""""))),$AD$5+S187))"),113251.0)</f>
        <v>113251</v>
      </c>
      <c r="U187" s="10">
        <f>IFERROR(__xludf.DUMMYFUNCTION("IF(COUNTA(Q187:Q1644)=0,"""",IF(Q187="""",0,IF(REGEXMATCH(Q187,""^Sell_""),-ROUNDDOWN(ROUNDUP(INDEX(Upgrades!$C$3:$C$13,MATCH(SUBSTITUTE(Q187,""Sell_"",""""),Upgrades!$B$3:$B$13,0))*1.15^(COUNTIF(Q$4:Q186,SUBSTITUTE(Q187,""Sell_"",""""))-COUNTIF(Q$4:Q186,"&amp;"""Sell_""&amp;SUBSTITUTE(Q187,""Sell_"",""""))))/2),ROUNDUP(INDEX(Upgrades!$C$3:$C$13,MATCH(Q187,Upgrades!$B$3:$B$13,0))*1.15^(COUNTIF(Q$4:Q186,Q187)-COUNTIF(Q$4:Q186,""Sell_""&amp;Q187))))))"),-152087.0)</f>
        <v>-152087</v>
      </c>
      <c r="V187" s="10">
        <f t="shared" si="11"/>
        <v>-11141024</v>
      </c>
      <c r="W187" s="68">
        <f t="shared" si="12"/>
        <v>4577.194447</v>
      </c>
      <c r="X187" s="59" t="str">
        <f t="shared" si="13"/>
        <v>1h 16m 17s</v>
      </c>
      <c r="Y187" s="69">
        <f t="shared" si="14"/>
        <v>100606200</v>
      </c>
      <c r="Z187" s="11"/>
      <c r="AG187" s="59"/>
    </row>
    <row r="188">
      <c r="A188" s="8"/>
      <c r="B188" s="56">
        <f t="shared" si="2"/>
        <v>21</v>
      </c>
      <c r="C188" s="105" t="s">
        <v>10</v>
      </c>
      <c r="D188" s="10"/>
      <c r="E188" s="59">
        <f t="array" ref="E188">IF(COUNTA(C188:C1644)=0,"",SUM((COUNTIF(C$4:C188,Upgrades!$B$3:$B$13)-COUNTIF(C$4:C188,"Sell_"&amp;Upgrades!$B$3:$B$13))*Upgrades!$D$3:$D$13))</f>
        <v>543738.9</v>
      </c>
      <c r="F188" s="66">
        <f>IFERROR(__xludf.DUMMYFUNCTION("IF(COUNTA(C188:C1644)=0,"""",IF(REGEXMATCH(INDEX(FILTER(C$4:C188,C$4:C188&lt;&gt;""""),ROWS(FILTER(C$4:C188,C$4:C188&lt;&gt;""""))),""^Sell_""),INDEX(FILTER(F$4:F187,C$4:C187&lt;&gt;""""),ROWS(FILTER(C$4:C187,C$4:C187&lt;&gt;""""))),$AC$5+E188))"),543748.9)</f>
        <v>543748.9</v>
      </c>
      <c r="G188" s="10">
        <f>IFERROR(__xludf.DUMMYFUNCTION("IF(COUNTA(C188:C1644)=0,"""",IF(C188="""",0,IF(REGEXMATCH(C188,""^Sell_""),-ROUNDDOWN(ROUNDUP(INDEX(Upgrades!$C$3:$C$13,MATCH(SUBSTITUTE(C188,""Sell_"",""""),Upgrades!$B$3:$B$13,0))*1.15^(COUNTIF(C$4:C187,SUBSTITUTE(C188,""Sell_"",""""))-COUNTIF(C$4:C187,"&amp;"""Sell_""&amp;SUBSTITUTE(C188,""Sell_"",""""))))/2),ROUNDUP(INDEX(Upgrades!$C$3:$C$13,MATCH(C188,Upgrades!$B$3:$B$13,0))*1.15^(COUNTIF(C$4:C187,C188)-COUNTIF(C$4:C187,""Sell_""&amp;C188))))))"),2.7277552E7)</f>
        <v>27277552</v>
      </c>
      <c r="H188" s="10">
        <f t="shared" si="3"/>
        <v>27277552</v>
      </c>
      <c r="I188" s="68">
        <f t="shared" si="4"/>
        <v>7561.200746</v>
      </c>
      <c r="J188" s="59" t="str">
        <f t="shared" si="5"/>
        <v>2h 06m 01s</v>
      </c>
      <c r="K188" s="69">
        <f t="shared" si="6"/>
        <v>839210119</v>
      </c>
      <c r="L188" s="60">
        <f t="shared" si="7"/>
        <v>-57.22105</v>
      </c>
      <c r="M188" s="61">
        <f>IFERROR(__xludf.DUMMYFUNCTION("IFS(AND(COUNTA(C188:C1644)=0,COUNTA(Q188:Q1644)=0),"""",OR(AND(K188&gt;=1000000000,OR(Y188&gt;=1000000000,COUNTA(Q188:Q1644)=0)),OR(Y188&gt;=1000000000,AND(COUNTA(C188:C1644)=0,P$3=TRUE))),
ROUNDDOWN((AB$1-AC$1)*MAX(INDEX(T$4:T1644,MATCH(LARGE(FILTER(Y$4:Y1644,Y$4"&amp;":Y1644&lt;1000000000),1),Y$4:Y1644)),INDEX(F$4:F1644,MATCH(LARGE(FILTER(K$4:K1644,K$4:K1644&lt;1000000000),1),K$4:K1644)))),AND(K188&lt;1000000000,COUNTA(C188:C1644)&gt;0,P$3=FALSE),
ROUNDDOWN(INDEX(Y$4:Y1644,MATCH(LARGE(FILTER(W$4:W1644,W$4:W1644&lt;=I188),1),W$4:W1644"&amp;"))+(I188-LARGE(FILTER(W$4:W1644,W$4:W1644&lt;=I188),1))*INDEX(T$4:T1644,MATCH(LARGE(FILTER(W$4:W1644,W$4:W1644&lt;=I188),1),W$4:W1644))-K188),1,
ROUNDDOWN(Y188-INDEX(K$4:K1644,MATCH(LARGE(FILTER(I$4:I1644,I$4:I1644&lt;=W188),1),I$4:I1644))-(W188-LARGE(FILTER(I$4:I"&amp;"1644,I$4:I1644&lt;=W188),1))*INDEX(F$4:F1644,MATCH(LARGE(FILTER(I$4:I1644,I$4:I1644&lt;=W188),1),I$4:I1644))))"),3.0068627E7)</f>
        <v>30068627</v>
      </c>
      <c r="N188" s="60">
        <f t="shared" si="8"/>
        <v>-57.22105</v>
      </c>
      <c r="O188" s="61" t="str">
        <f t="shared" si="9"/>
        <v>30,1M</v>
      </c>
      <c r="P188" s="56">
        <f t="shared" si="10"/>
        <v>15</v>
      </c>
      <c r="Q188" s="105" t="s">
        <v>60</v>
      </c>
      <c r="R188" s="10"/>
      <c r="S188" s="59">
        <f t="array" ref="S188">IF(COUNTA(Q188:Q1644)=0,"",SUM((COUNTIF(Q$4:Q188,Upgrades!$B$3:$B$13)-COUNTIF(Q$4:Q188,"Sell_"&amp;Upgrades!$B$3:$B$13))*Upgrades!$D$3:$D$13))</f>
        <v>101275</v>
      </c>
      <c r="T188" s="66">
        <f>IFERROR(__xludf.DUMMYFUNCTION("IF(COUNTA(Q188:Q1644)=0,"""",IF(REGEXMATCH(INDEX(FILTER(Q$4:Q188,Q$4:Q188&lt;&gt;""""),ROWS(FILTER(Q$4:Q188,Q$4:Q188&lt;&gt;""""))),""^Sell_""),INDEX(FILTER(T$4:T187,Q$4:Q187&lt;&gt;""""),ROWS(FILTER(Q$4:Q187,Q$4:Q187&lt;&gt;""""))),$AD$5+S188))"),113251.0)</f>
        <v>113251</v>
      </c>
      <c r="U188" s="10">
        <f>IFERROR(__xludf.DUMMYFUNCTION("IF(COUNTA(Q188:Q1644)=0,"""",IF(Q188="""",0,IF(REGEXMATCH(Q188,""^Sell_""),-ROUNDDOWN(ROUNDUP(INDEX(Upgrades!$C$3:$C$13,MATCH(SUBSTITUTE(Q188,""Sell_"",""""),Upgrades!$B$3:$B$13,0))*1.15^(COUNTIF(Q$4:Q187,SUBSTITUTE(Q188,""Sell_"",""""))-COUNTIF(Q$4:Q187,"&amp;"""Sell_""&amp;SUBSTITUTE(Q188,""Sell_"",""""))))/2),ROUNDUP(INDEX(Upgrades!$C$3:$C$13,MATCH(Q188,Upgrades!$B$3:$B$13,0))*1.15^(COUNTIF(Q$4:Q187,Q188)-COUNTIF(Q$4:Q187,""Sell_""&amp;Q188))))))"),-132250.0)</f>
        <v>-132250</v>
      </c>
      <c r="V188" s="10">
        <f t="shared" si="11"/>
        <v>-11273274</v>
      </c>
      <c r="W188" s="68">
        <f t="shared" si="12"/>
        <v>4577.194447</v>
      </c>
      <c r="X188" s="59" t="str">
        <f t="shared" si="13"/>
        <v>1h 16m 17s</v>
      </c>
      <c r="Y188" s="69">
        <f t="shared" si="14"/>
        <v>100606200</v>
      </c>
      <c r="Z188" s="11"/>
      <c r="AG188" s="59"/>
    </row>
    <row r="189">
      <c r="A189" s="8"/>
      <c r="B189" s="56">
        <f t="shared" si="2"/>
        <v>19</v>
      </c>
      <c r="C189" s="105" t="s">
        <v>6</v>
      </c>
      <c r="D189" s="10"/>
      <c r="E189" s="59">
        <f t="array" ref="E189">IF(COUNTA(C189:C1644)=0,"",SUM((COUNTIF(C$4:C189,Upgrades!$B$3:$B$13)-COUNTIF(C$4:C189,"Sell_"&amp;Upgrades!$B$3:$B$13))*Upgrades!$D$3:$D$13))</f>
        <v>543748.9</v>
      </c>
      <c r="F189" s="66">
        <f>IFERROR(__xludf.DUMMYFUNCTION("IF(COUNTA(C189:C1644)=0,"""",IF(REGEXMATCH(INDEX(FILTER(C$4:C189,C$4:C189&lt;&gt;""""),ROWS(FILTER(C$4:C189,C$4:C189&lt;&gt;""""))),""^Sell_""),INDEX(FILTER(F$4:F188,C$4:C188&lt;&gt;""""),ROWS(FILTER(C$4:C188,C$4:C188&lt;&gt;""""))),$AC$5+E189))"),543758.9)</f>
        <v>543758.9</v>
      </c>
      <c r="G189" s="10">
        <f>IFERROR(__xludf.DUMMYFUNCTION("IF(COUNTA(C189:C1644)=0,"""",IF(C189="""",0,IF(REGEXMATCH(C189,""^Sell_""),-ROUNDDOWN(ROUNDUP(INDEX(Upgrades!$C$3:$C$13,MATCH(SUBSTITUTE(C189,""Sell_"",""""),Upgrades!$B$3:$B$13,0))*1.15^(COUNTIF(C$4:C188,SUBSTITUTE(C189,""Sell_"",""""))-COUNTIF(C$4:C188,"&amp;"""Sell_""&amp;SUBSTITUTE(C189,""Sell_"",""""))))/2),ROUNDUP(INDEX(Upgrades!$C$3:$C$13,MATCH(C189,Upgrades!$B$3:$B$13,0))*1.15^(COUNTIF(C$4:C188,C189)-COUNTIF(C$4:C188,""Sell_""&amp;C189))))))"),37127.0)</f>
        <v>37127</v>
      </c>
      <c r="H189" s="10">
        <f t="shared" si="3"/>
        <v>37127</v>
      </c>
      <c r="I189" s="68">
        <f t="shared" si="4"/>
        <v>7561.269026</v>
      </c>
      <c r="J189" s="59" t="str">
        <f t="shared" si="5"/>
        <v>2h 06m 01s</v>
      </c>
      <c r="K189" s="69">
        <f t="shared" si="6"/>
        <v>839247246</v>
      </c>
      <c r="L189" s="60">
        <f t="shared" si="7"/>
        <v>-57.21838</v>
      </c>
      <c r="M189" s="61">
        <f>IFERROR(__xludf.DUMMYFUNCTION("IFS(AND(COUNTA(C189:C1644)=0,COUNTA(Q189:Q1644)=0),"""",OR(AND(K189&gt;=1000000000,OR(Y189&gt;=1000000000,COUNTA(Q189:Q1644)=0)),OR(Y189&gt;=1000000000,AND(COUNTA(C189:C1644)=0,P$3=TRUE))),
ROUNDDOWN((AB$1-AC$1)*MAX(INDEX(T$4:T1644,MATCH(LARGE(FILTER(Y$4:Y1644,Y$4"&amp;":Y1644&lt;1000000000),1),Y$4:Y1644)),INDEX(F$4:F1644,MATCH(LARGE(FILTER(K$4:K1644,K$4:K1644&lt;1000000000),1),K$4:K1644)))),AND(K189&lt;1000000000,COUNTA(C189:C1644)&gt;0,P$3=FALSE),
ROUNDDOWN(INDEX(Y$4:Y1644,MATCH(LARGE(FILTER(W$4:W1644,W$4:W1644&lt;=I189),1),W$4:W1644"&amp;"))+(I189-LARGE(FILTER(W$4:W1644,W$4:W1644&lt;=I189),1))*INDEX(T$4:T1644,MATCH(LARGE(FILTER(W$4:W1644,W$4:W1644&lt;=I189),1),W$4:W1644))-K189),1,
ROUNDDOWN(Y189-INDEX(K$4:K1644,MATCH(LARGE(FILTER(I$4:I1644,I$4:I1644&lt;=W189),1),I$4:I1644))-(W189-LARGE(FILTER(I$4:I"&amp;"1644,I$4:I1644&lt;=W189),1))*INDEX(F$4:F1644,MATCH(LARGE(FILTER(I$4:I1644,I$4:I1644&lt;=W189),1),I$4:I1644))))"),3.0067717E7)</f>
        <v>30067717</v>
      </c>
      <c r="N189" s="60">
        <f t="shared" si="8"/>
        <v>-57.21838</v>
      </c>
      <c r="O189" s="61" t="str">
        <f t="shared" si="9"/>
        <v>30,1M</v>
      </c>
      <c r="P189" s="56">
        <f t="shared" si="10"/>
        <v>16</v>
      </c>
      <c r="Q189" s="105" t="s">
        <v>60</v>
      </c>
      <c r="R189" s="10"/>
      <c r="S189" s="59">
        <f t="array" ref="S189">IF(COUNTA(Q189:Q1644)=0,"",SUM((COUNTIF(Q$4:Q189,Upgrades!$B$3:$B$13)-COUNTIF(Q$4:Q189,"Sell_"&amp;Upgrades!$B$3:$B$13))*Upgrades!$D$3:$D$13))</f>
        <v>100875</v>
      </c>
      <c r="T189" s="66">
        <f>IFERROR(__xludf.DUMMYFUNCTION("IF(COUNTA(Q189:Q1644)=0,"""",IF(REGEXMATCH(INDEX(FILTER(Q$4:Q189,Q$4:Q189&lt;&gt;""""),ROWS(FILTER(Q$4:Q189,Q$4:Q189&lt;&gt;""""))),""^Sell_""),INDEX(FILTER(T$4:T188,Q$4:Q188&lt;&gt;""""),ROWS(FILTER(Q$4:Q188,Q$4:Q188&lt;&gt;""""))),$AD$5+S189))"),113251.0)</f>
        <v>113251</v>
      </c>
      <c r="U189" s="10">
        <f>IFERROR(__xludf.DUMMYFUNCTION("IF(COUNTA(Q189:Q1644)=0,"""",IF(Q189="""",0,IF(REGEXMATCH(Q189,""^Sell_""),-ROUNDDOWN(ROUNDUP(INDEX(Upgrades!$C$3:$C$13,MATCH(SUBSTITUTE(Q189,""Sell_"",""""),Upgrades!$B$3:$B$13,0))*1.15^(COUNTIF(Q$4:Q188,SUBSTITUTE(Q189,""Sell_"",""""))-COUNTIF(Q$4:Q188,"&amp;"""Sell_""&amp;SUBSTITUTE(Q189,""Sell_"",""""))))/2),ROUNDUP(INDEX(Upgrades!$C$3:$C$13,MATCH(Q189,Upgrades!$B$3:$B$13,0))*1.15^(COUNTIF(Q$4:Q188,Q189)-COUNTIF(Q$4:Q188,""Sell_""&amp;Q189))))))"),-115000.0)</f>
        <v>-115000</v>
      </c>
      <c r="V189" s="10">
        <f t="shared" si="11"/>
        <v>-11388274</v>
      </c>
      <c r="W189" s="68">
        <f t="shared" si="12"/>
        <v>4577.194447</v>
      </c>
      <c r="X189" s="59" t="str">
        <f t="shared" si="13"/>
        <v>1h 16m 17s</v>
      </c>
      <c r="Y189" s="69">
        <f t="shared" si="14"/>
        <v>100606200</v>
      </c>
      <c r="Z189" s="11"/>
      <c r="AG189" s="59"/>
    </row>
    <row r="190">
      <c r="A190" s="8"/>
      <c r="B190" s="56">
        <f t="shared" si="2"/>
        <v>25</v>
      </c>
      <c r="C190" s="105" t="s">
        <v>3</v>
      </c>
      <c r="D190" s="10"/>
      <c r="E190" s="59">
        <f t="array" ref="E190">IF(COUNTA(C190:C1644)=0,"",SUM((COUNTIF(C$4:C190,Upgrades!$B$3:$B$13)-COUNTIF(C$4:C190,"Sell_"&amp;Upgrades!$B$3:$B$13))*Upgrades!$D$3:$D$13))</f>
        <v>543749</v>
      </c>
      <c r="F190" s="66">
        <f>IFERROR(__xludf.DUMMYFUNCTION("IF(COUNTA(C190:C1644)=0,"""",IF(REGEXMATCH(INDEX(FILTER(C$4:C190,C$4:C190&lt;&gt;""""),ROWS(FILTER(C$4:C190,C$4:C190&lt;&gt;""""))),""^Sell_""),INDEX(FILTER(F$4:F189,C$4:C189&lt;&gt;""""),ROWS(FILTER(C$4:C189,C$4:C189&lt;&gt;""""))),$AC$5+E190))"),543759.0)</f>
        <v>543759</v>
      </c>
      <c r="G190" s="10">
        <f>IFERROR(__xludf.DUMMYFUNCTION("IF(COUNTA(C190:C1644)=0,"""",IF(C190="""",0,IF(REGEXMATCH(C190,""^Sell_""),-ROUNDDOWN(ROUNDUP(INDEX(Upgrades!$C$3:$C$13,MATCH(SUBSTITUTE(C190,""Sell_"",""""),Upgrades!$B$3:$B$13,0))*1.15^(COUNTIF(C$4:C189,SUBSTITUTE(C190,""Sell_"",""""))-COUNTIF(C$4:C189,"&amp;"""Sell_""&amp;SUBSTITUTE(C190,""Sell_"",""""))))/2),ROUNDUP(INDEX(Upgrades!$C$3:$C$13,MATCH(C190,Upgrades!$B$3:$B$13,0))*1.15^(COUNTIF(C$4:C189,C190)-COUNTIF(C$4:C189,""Sell_""&amp;C190))))))"),430.0)</f>
        <v>430</v>
      </c>
      <c r="H190" s="10">
        <f t="shared" si="3"/>
        <v>430</v>
      </c>
      <c r="I190" s="68">
        <f t="shared" si="4"/>
        <v>7561.269817</v>
      </c>
      <c r="J190" s="59" t="str">
        <f t="shared" si="5"/>
        <v>2h 06m 01s</v>
      </c>
      <c r="K190" s="69">
        <f t="shared" si="6"/>
        <v>839247676</v>
      </c>
      <c r="L190" s="60">
        <f t="shared" si="7"/>
        <v>-57.21834</v>
      </c>
      <c r="M190" s="61">
        <f>IFERROR(__xludf.DUMMYFUNCTION("IFS(AND(COUNTA(C190:C1644)=0,COUNTA(Q190:Q1644)=0),"""",OR(AND(K190&gt;=1000000000,OR(Y190&gt;=1000000000,COUNTA(Q190:Q1644)=0)),OR(Y190&gt;=1000000000,AND(COUNTA(C190:C1644)=0,P$3=TRUE))),
ROUNDDOWN((AB$1-AC$1)*MAX(INDEX(T$4:T1644,MATCH(LARGE(FILTER(Y$4:Y1644,Y$4"&amp;":Y1644&lt;1000000000),1),Y$4:Y1644)),INDEX(F$4:F1644,MATCH(LARGE(FILTER(K$4:K1644,K$4:K1644&lt;1000000000),1),K$4:K1644)))),AND(K190&lt;1000000000,COUNTA(C190:C1644)&gt;0,P$3=FALSE),
ROUNDDOWN(INDEX(Y$4:Y1644,MATCH(LARGE(FILTER(W$4:W1644,W$4:W1644&lt;=I190),1),W$4:W1644"&amp;"))+(I190-LARGE(FILTER(W$4:W1644,W$4:W1644&lt;=I190),1))*INDEX(T$4:T1644,MATCH(LARGE(FILTER(W$4:W1644,W$4:W1644&lt;=I190),1),W$4:W1644))-K190),1,
ROUNDDOWN(Y190-INDEX(K$4:K1644,MATCH(LARGE(FILTER(I$4:I1644,I$4:I1644&lt;=W190),1),I$4:I1644))-(W190-LARGE(FILTER(I$4:I"&amp;"1644,I$4:I1644&lt;=W190),1))*INDEX(F$4:F1644,MATCH(LARGE(FILTER(I$4:I1644,I$4:I1644&lt;=W190),1),I$4:I1644))))"),3.0067706E7)</f>
        <v>30067706</v>
      </c>
      <c r="N190" s="60">
        <f t="shared" si="8"/>
        <v>-57.21834</v>
      </c>
      <c r="O190" s="61" t="str">
        <f t="shared" si="9"/>
        <v>30,1M</v>
      </c>
      <c r="P190" s="56">
        <f t="shared" si="10"/>
        <v>2</v>
      </c>
      <c r="Q190" s="105" t="s">
        <v>64</v>
      </c>
      <c r="R190" s="10"/>
      <c r="S190" s="59">
        <f t="array" ref="S190">IF(COUNTA(Q190:Q1644)=0,"",SUM((COUNTIF(Q$4:Q190,Upgrades!$B$3:$B$13)-COUNTIF(Q$4:Q190,"Sell_"&amp;Upgrades!$B$3:$B$13))*Upgrades!$D$3:$D$13))</f>
        <v>94209</v>
      </c>
      <c r="T190" s="66">
        <f>IFERROR(__xludf.DUMMYFUNCTION("IF(COUNTA(Q190:Q1644)=0,"""",IF(REGEXMATCH(INDEX(FILTER(Q$4:Q190,Q$4:Q190&lt;&gt;""""),ROWS(FILTER(Q$4:Q190,Q$4:Q190&lt;&gt;""""))),""^Sell_""),INDEX(FILTER(T$4:T189,Q$4:Q189&lt;&gt;""""),ROWS(FILTER(Q$4:Q189,Q$4:Q189&lt;&gt;""""))),$AD$5+S190))"),113251.0)</f>
        <v>113251</v>
      </c>
      <c r="U190" s="10">
        <f>IFERROR(__xludf.DUMMYFUNCTION("IF(COUNTA(Q190:Q1644)=0,"""",IF(Q190="""",0,IF(REGEXMATCH(Q190,""^Sell_""),-ROUNDDOWN(ROUNDUP(INDEX(Upgrades!$C$3:$C$13,MATCH(SUBSTITUTE(Q190,""Sell_"",""""),Upgrades!$B$3:$B$13,0))*1.15^(COUNTIF(Q$4:Q189,SUBSTITUTE(Q190,""Sell_"",""""))-COUNTIF(Q$4:Q189,"&amp;"""Sell_""&amp;SUBSTITUTE(Q190,""Sell_"",""""))))/2),ROUNDUP(INDEX(Upgrades!$C$3:$C$13,MATCH(Q190,Upgrades!$B$3:$B$13,0))*1.15^(COUNTIF(Q$4:Q189,Q190)-COUNTIF(Q$4:Q189,""Sell_""&amp;Q190))))))"),-6780882.0)</f>
        <v>-6780882</v>
      </c>
      <c r="V190" s="10">
        <f t="shared" si="11"/>
        <v>-18169156</v>
      </c>
      <c r="W190" s="68">
        <f t="shared" si="12"/>
        <v>4577.194447</v>
      </c>
      <c r="X190" s="59" t="str">
        <f t="shared" si="13"/>
        <v>1h 16m 17s</v>
      </c>
      <c r="Y190" s="69">
        <f t="shared" si="14"/>
        <v>100606200</v>
      </c>
      <c r="Z190" s="11"/>
      <c r="AG190" s="59"/>
    </row>
    <row r="191">
      <c r="A191" s="8"/>
      <c r="B191" s="56">
        <f t="shared" si="2"/>
        <v>17</v>
      </c>
      <c r="C191" s="105" t="s">
        <v>8</v>
      </c>
      <c r="D191" s="10"/>
      <c r="E191" s="59">
        <f t="array" ref="E191">IF(COUNTA(C191:C1644)=0,"",SUM((COUNTIF(C$4:C191,Upgrades!$B$3:$B$13)-COUNTIF(C$4:C191,"Sell_"&amp;Upgrades!$B$3:$B$13))*Upgrades!$D$3:$D$13))</f>
        <v>543849</v>
      </c>
      <c r="F191" s="66">
        <f>IFERROR(__xludf.DUMMYFUNCTION("IF(COUNTA(C191:C1644)=0,"""",IF(REGEXMATCH(INDEX(FILTER(C$4:C191,C$4:C191&lt;&gt;""""),ROWS(FILTER(C$4:C191,C$4:C191&lt;&gt;""""))),""^Sell_""),INDEX(FILTER(F$4:F190,C$4:C190&lt;&gt;""""),ROWS(FILTER(C$4:C190,C$4:C190&lt;&gt;""""))),$AC$5+E191))"),543859.0)</f>
        <v>543859</v>
      </c>
      <c r="G191" s="10">
        <f>IFERROR(__xludf.DUMMYFUNCTION("IF(COUNTA(C191:C1644)=0,"""",IF(C191="""",0,IF(REGEXMATCH(C191,""^Sell_""),-ROUNDDOWN(ROUNDUP(INDEX(Upgrades!$C$3:$C$13,MATCH(SUBSTITUTE(C191,""Sell_"",""""),Upgrades!$B$3:$B$13,0))*1.15^(COUNTIF(C$4:C190,SUBSTITUTE(C191,""Sell_"",""""))-COUNTIF(C$4:C190,"&amp;"""Sell_""&amp;SUBSTITUTE(C191,""Sell_"",""""))))/2),ROUNDUP(INDEX(Upgrades!$C$3:$C$13,MATCH(C191,Upgrades!$B$3:$B$13,0))*1.15^(COUNTIF(C$4:C190,C191)-COUNTIF(C$4:C190,""Sell_""&amp;C191))))))"),374305.0)</f>
        <v>374305</v>
      </c>
      <c r="H191" s="10">
        <f t="shared" si="3"/>
        <v>374305</v>
      </c>
      <c r="I191" s="68">
        <f t="shared" si="4"/>
        <v>7561.958182</v>
      </c>
      <c r="J191" s="59" t="str">
        <f t="shared" si="5"/>
        <v>2h 06m 01s</v>
      </c>
      <c r="K191" s="69">
        <f t="shared" si="6"/>
        <v>839621981</v>
      </c>
      <c r="L191" s="60">
        <f t="shared" si="7"/>
        <v>-57.19138</v>
      </c>
      <c r="M191" s="61">
        <f>IFERROR(__xludf.DUMMYFUNCTION("IFS(AND(COUNTA(C191:C1644)=0,COUNTA(Q191:Q1644)=0),"""",OR(AND(K191&gt;=1000000000,OR(Y191&gt;=1000000000,COUNTA(Q191:Q1644)=0)),OR(Y191&gt;=1000000000,AND(COUNTA(C191:C1644)=0,P$3=TRUE))),
ROUNDDOWN((AB$1-AC$1)*MAX(INDEX(T$4:T1644,MATCH(LARGE(FILTER(Y$4:Y1644,Y$4"&amp;":Y1644&lt;1000000000),1),Y$4:Y1644)),INDEX(F$4:F1644,MATCH(LARGE(FILTER(K$4:K1644,K$4:K1644&lt;1000000000),1),K$4:K1644)))),AND(K191&lt;1000000000,COUNTA(C191:C1644)&gt;0,P$3=FALSE),
ROUNDDOWN(INDEX(Y$4:Y1644,MATCH(LARGE(FILTER(W$4:W1644,W$4:W1644&lt;=I191),1),W$4:W1644"&amp;"))+(I191-LARGE(FILTER(W$4:W1644,W$4:W1644&lt;=I191),1))*INDEX(T$4:T1644,MATCH(LARGE(FILTER(W$4:W1644,W$4:W1644&lt;=I191),1),W$4:W1644))-K191),1,
ROUNDDOWN(Y191-INDEX(K$4:K1644,MATCH(LARGE(FILTER(I$4:I1644,I$4:I1644&lt;=W191),1),I$4:I1644))-(W191-LARGE(FILTER(I$4:I"&amp;"1644,I$4:I1644&lt;=W191),1))*INDEX(F$4:F1644,MATCH(LARGE(FILTER(I$4:I1644,I$4:I1644&lt;=W191),1),I$4:I1644))))"),3.0058529E7)</f>
        <v>30058529</v>
      </c>
      <c r="N191" s="60">
        <f t="shared" si="8"/>
        <v>-57.19138</v>
      </c>
      <c r="O191" s="61" t="str">
        <f t="shared" si="9"/>
        <v>30,1M</v>
      </c>
      <c r="P191" s="56">
        <f t="shared" si="10"/>
        <v>3</v>
      </c>
      <c r="Q191" s="105" t="s">
        <v>64</v>
      </c>
      <c r="R191" s="10"/>
      <c r="S191" s="59">
        <f t="array" ref="S191">IF(COUNTA(Q191:Q1644)=0,"",SUM((COUNTIF(Q$4:Q191,Upgrades!$B$3:$B$13)-COUNTIF(Q$4:Q191,"Sell_"&amp;Upgrades!$B$3:$B$13))*Upgrades!$D$3:$D$13))</f>
        <v>87543</v>
      </c>
      <c r="T191" s="66">
        <f>IFERROR(__xludf.DUMMYFUNCTION("IF(COUNTA(Q191:Q1644)=0,"""",IF(REGEXMATCH(INDEX(FILTER(Q$4:Q191,Q$4:Q191&lt;&gt;""""),ROWS(FILTER(Q$4:Q191,Q$4:Q191&lt;&gt;""""))),""^Sell_""),INDEX(FILTER(T$4:T190,Q$4:Q190&lt;&gt;""""),ROWS(FILTER(Q$4:Q190,Q$4:Q190&lt;&gt;""""))),$AD$5+S191))"),113251.0)</f>
        <v>113251</v>
      </c>
      <c r="U191" s="10">
        <f>IFERROR(__xludf.DUMMYFUNCTION("IF(COUNTA(Q191:Q1644)=0,"""",IF(Q191="""",0,IF(REGEXMATCH(Q191,""^Sell_""),-ROUNDDOWN(ROUNDUP(INDEX(Upgrades!$C$3:$C$13,MATCH(SUBSTITUTE(Q191,""Sell_"",""""),Upgrades!$B$3:$B$13,0))*1.15^(COUNTIF(Q$4:Q190,SUBSTITUTE(Q191,""Sell_"",""""))-COUNTIF(Q$4:Q190,"&amp;"""Sell_""&amp;SUBSTITUTE(Q191,""Sell_"",""""))))/2),ROUNDUP(INDEX(Upgrades!$C$3:$C$13,MATCH(Q191,Upgrades!$B$3:$B$13,0))*1.15^(COUNTIF(Q$4:Q190,Q191)-COUNTIF(Q$4:Q190,""Sell_""&amp;Q191))))))"),-5896419.0)</f>
        <v>-5896419</v>
      </c>
      <c r="V191" s="10">
        <f t="shared" si="11"/>
        <v>-24065575</v>
      </c>
      <c r="W191" s="68">
        <f t="shared" si="12"/>
        <v>4577.194447</v>
      </c>
      <c r="X191" s="59" t="str">
        <f t="shared" si="13"/>
        <v>1h 16m 17s</v>
      </c>
      <c r="Y191" s="69">
        <f t="shared" si="14"/>
        <v>100606200</v>
      </c>
      <c r="Z191" s="11"/>
      <c r="AG191" s="59"/>
    </row>
    <row r="192">
      <c r="A192" s="8"/>
      <c r="B192" s="56">
        <f t="shared" si="2"/>
        <v>22</v>
      </c>
      <c r="C192" s="105" t="s">
        <v>4</v>
      </c>
      <c r="D192" s="10"/>
      <c r="E192" s="59">
        <f t="array" ref="E192">IF(COUNTA(C192:C1644)=0,"",SUM((COUNTIF(C$4:C192,Upgrades!$B$3:$B$13)-COUNTIF(C$4:C192,"Sell_"&amp;Upgrades!$B$3:$B$13))*Upgrades!$D$3:$D$13))</f>
        <v>543849.5</v>
      </c>
      <c r="F192" s="66">
        <f>IFERROR(__xludf.DUMMYFUNCTION("IF(COUNTA(C192:C1644)=0,"""",IF(REGEXMATCH(INDEX(FILTER(C$4:C192,C$4:C192&lt;&gt;""""),ROWS(FILTER(C$4:C192,C$4:C192&lt;&gt;""""))),""^Sell_""),INDEX(FILTER(F$4:F191,C$4:C191&lt;&gt;""""),ROWS(FILTER(C$4:C191,C$4:C191&lt;&gt;""""))),$AC$5+E192))"),543859.5)</f>
        <v>543859.5</v>
      </c>
      <c r="G192" s="10">
        <f>IFERROR(__xludf.DUMMYFUNCTION("IF(COUNTA(C192:C1644)=0,"""",IF(C192="""",0,IF(REGEXMATCH(C192,""^Sell_""),-ROUNDDOWN(ROUNDUP(INDEX(Upgrades!$C$3:$C$13,MATCH(SUBSTITUTE(C192,""Sell_"",""""),Upgrades!$B$3:$B$13,0))*1.15^(COUNTIF(C$4:C191,SUBSTITUTE(C192,""Sell_"",""""))-COUNTIF(C$4:C191,"&amp;"""Sell_""&amp;SUBSTITUTE(C192,""Sell_"",""""))))/2),ROUNDUP(INDEX(Upgrades!$C$3:$C$13,MATCH(C192,Upgrades!$B$3:$B$13,0))*1.15^(COUNTIF(C$4:C191,C192)-COUNTIF(C$4:C191,""Sell_""&amp;C192))))))"),1883.0)</f>
        <v>1883</v>
      </c>
      <c r="H192" s="10">
        <f t="shared" si="3"/>
        <v>1883</v>
      </c>
      <c r="I192" s="68">
        <f t="shared" si="4"/>
        <v>7561.961645</v>
      </c>
      <c r="J192" s="59" t="str">
        <f t="shared" si="5"/>
        <v>2h 06m 01s</v>
      </c>
      <c r="K192" s="69">
        <f t="shared" si="6"/>
        <v>839623864</v>
      </c>
      <c r="L192" s="60">
        <f t="shared" si="7"/>
        <v>-57.19124</v>
      </c>
      <c r="M192" s="61">
        <f>IFERROR(__xludf.DUMMYFUNCTION("IFS(AND(COUNTA(C192:C1644)=0,COUNTA(Q192:Q1644)=0),"""",OR(AND(K192&gt;=1000000000,OR(Y192&gt;=1000000000,COUNTA(Q192:Q1644)=0)),OR(Y192&gt;=1000000000,AND(COUNTA(C192:C1644)=0,P$3=TRUE))),
ROUNDDOWN((AB$1-AC$1)*MAX(INDEX(T$4:T1644,MATCH(LARGE(FILTER(Y$4:Y1644,Y$4"&amp;":Y1644&lt;1000000000),1),Y$4:Y1644)),INDEX(F$4:F1644,MATCH(LARGE(FILTER(K$4:K1644,K$4:K1644&lt;1000000000),1),K$4:K1644)))),AND(K192&lt;1000000000,COUNTA(C192:C1644)&gt;0,P$3=FALSE),
ROUNDDOWN(INDEX(Y$4:Y1644,MATCH(LARGE(FILTER(W$4:W1644,W$4:W1644&lt;=I192),1),W$4:W1644"&amp;"))+(I192-LARGE(FILTER(W$4:W1644,W$4:W1644&lt;=I192),1))*INDEX(T$4:T1644,MATCH(LARGE(FILTER(W$4:W1644,W$4:W1644&lt;=I192),1),W$4:W1644))-K192),1,
ROUNDDOWN(Y192-INDEX(K$4:K1644,MATCH(LARGE(FILTER(I$4:I1644,I$4:I1644&lt;=W192),1),I$4:I1644))-(W192-LARGE(FILTER(I$4:I"&amp;"1644,I$4:I1644&lt;=W192),1))*INDEX(F$4:F1644,MATCH(LARGE(FILTER(I$4:I1644,I$4:I1644&lt;=W192),1),I$4:I1644))))"),3.0058483E7)</f>
        <v>30058483</v>
      </c>
      <c r="N192" s="60">
        <f t="shared" si="8"/>
        <v>-57.19124</v>
      </c>
      <c r="O192" s="61" t="str">
        <f t="shared" si="9"/>
        <v>30,1M</v>
      </c>
      <c r="P192" s="56">
        <f t="shared" si="10"/>
        <v>4</v>
      </c>
      <c r="Q192" s="105" t="s">
        <v>64</v>
      </c>
      <c r="R192" s="10"/>
      <c r="S192" s="59">
        <f t="array" ref="S192">IF(COUNTA(Q192:Q1644)=0,"",SUM((COUNTIF(Q$4:Q192,Upgrades!$B$3:$B$13)-COUNTIF(Q$4:Q192,"Sell_"&amp;Upgrades!$B$3:$B$13))*Upgrades!$D$3:$D$13))</f>
        <v>80877</v>
      </c>
      <c r="T192" s="66">
        <f>IFERROR(__xludf.DUMMYFUNCTION("IF(COUNTA(Q192:Q1644)=0,"""",IF(REGEXMATCH(INDEX(FILTER(Q$4:Q192,Q$4:Q192&lt;&gt;""""),ROWS(FILTER(Q$4:Q192,Q$4:Q192&lt;&gt;""""))),""^Sell_""),INDEX(FILTER(T$4:T191,Q$4:Q191&lt;&gt;""""),ROWS(FILTER(Q$4:Q191,Q$4:Q191&lt;&gt;""""))),$AD$5+S192))"),113251.0)</f>
        <v>113251</v>
      </c>
      <c r="U192" s="10">
        <f>IFERROR(__xludf.DUMMYFUNCTION("IF(COUNTA(Q192:Q1644)=0,"""",IF(Q192="""",0,IF(REGEXMATCH(Q192,""^Sell_""),-ROUNDDOWN(ROUNDUP(INDEX(Upgrades!$C$3:$C$13,MATCH(SUBSTITUTE(Q192,""Sell_"",""""),Upgrades!$B$3:$B$13,0))*1.15^(COUNTIF(Q$4:Q191,SUBSTITUTE(Q192,""Sell_"",""""))-COUNTIF(Q$4:Q191,"&amp;"""Sell_""&amp;SUBSTITUTE(Q192,""Sell_"",""""))))/2),ROUNDUP(INDEX(Upgrades!$C$3:$C$13,MATCH(Q192,Upgrades!$B$3:$B$13,0))*1.15^(COUNTIF(Q$4:Q191,Q192)-COUNTIF(Q$4:Q191,""Sell_""&amp;Q192))))))"),-5127321.0)</f>
        <v>-5127321</v>
      </c>
      <c r="V192" s="10">
        <f t="shared" si="11"/>
        <v>-29192896</v>
      </c>
      <c r="W192" s="68">
        <f t="shared" si="12"/>
        <v>4577.194447</v>
      </c>
      <c r="X192" s="59" t="str">
        <f t="shared" si="13"/>
        <v>1h 16m 17s</v>
      </c>
      <c r="Y192" s="69">
        <f t="shared" si="14"/>
        <v>100606200</v>
      </c>
      <c r="Z192" s="11"/>
      <c r="AG192" s="59"/>
    </row>
    <row r="193">
      <c r="A193" s="8"/>
      <c r="B193" s="56">
        <f t="shared" si="2"/>
        <v>16</v>
      </c>
      <c r="C193" s="105" t="s">
        <v>9</v>
      </c>
      <c r="D193" s="10"/>
      <c r="E193" s="59">
        <f t="array" ref="E193">IF(COUNTA(C193:C1644)=0,"",SUM((COUNTIF(C$4:C193,Upgrades!$B$3:$B$13)-COUNTIF(C$4:C193,"Sell_"&amp;Upgrades!$B$3:$B$13))*Upgrades!$D$3:$D$13))</f>
        <v>544249.5</v>
      </c>
      <c r="F193" s="66">
        <f>IFERROR(__xludf.DUMMYFUNCTION("IF(COUNTA(C193:C1644)=0,"""",IF(REGEXMATCH(INDEX(FILTER(C$4:C193,C$4:C193&lt;&gt;""""),ROWS(FILTER(C$4:C193,C$4:C193&lt;&gt;""""))),""^Sell_""),INDEX(FILTER(F$4:F192,C$4:C192&lt;&gt;""""),ROWS(FILTER(C$4:C192,C$4:C192&lt;&gt;""""))),$AC$5+E193))"),544259.5)</f>
        <v>544259.5</v>
      </c>
      <c r="G193" s="10">
        <f>IFERROR(__xludf.DUMMYFUNCTION("IF(COUNTA(C193:C1644)=0,"""",IF(C193="""",0,IF(REGEXMATCH(C193,""^Sell_""),-ROUNDDOWN(ROUNDUP(INDEX(Upgrades!$C$3:$C$13,MATCH(SUBSTITUTE(C193,""Sell_"",""""),Upgrades!$B$3:$B$13,0))*1.15^(COUNTIF(C$4:C192,SUBSTITUTE(C193,""Sell_"",""""))-COUNTIF(C$4:C192,"&amp;"""Sell_""&amp;SUBSTITUTE(C193,""Sell_"",""""))))/2),ROUNDUP(INDEX(Upgrades!$C$3:$C$13,MATCH(C193,Upgrades!$B$3:$B$13,0))*1.15^(COUNTIF(C$4:C192,C193)-COUNTIF(C$4:C192,""Sell_""&amp;C193))))))"),1627413.0)</f>
        <v>1627413</v>
      </c>
      <c r="H193" s="10">
        <f t="shared" si="3"/>
        <v>1627413</v>
      </c>
      <c r="I193" s="68">
        <f t="shared" si="4"/>
        <v>7564.953985</v>
      </c>
      <c r="J193" s="59" t="str">
        <f t="shared" si="5"/>
        <v>2h 06m 04s</v>
      </c>
      <c r="K193" s="69">
        <f t="shared" si="6"/>
        <v>841251277</v>
      </c>
      <c r="L193" s="60">
        <f t="shared" si="7"/>
        <v>-57.07345</v>
      </c>
      <c r="M193" s="61">
        <f>IFERROR(__xludf.DUMMYFUNCTION("IFS(AND(COUNTA(C193:C1644)=0,COUNTA(Q193:Q1644)=0),"""",OR(AND(K193&gt;=1000000000,OR(Y193&gt;=1000000000,COUNTA(Q193:Q1644)=0)),OR(Y193&gt;=1000000000,AND(COUNTA(C193:C1644)=0,P$3=TRUE))),
ROUNDDOWN((AB$1-AC$1)*MAX(INDEX(T$4:T1644,MATCH(LARGE(FILTER(Y$4:Y1644,Y$4"&amp;":Y1644&lt;1000000000),1),Y$4:Y1644)),INDEX(F$4:F1644,MATCH(LARGE(FILTER(K$4:K1644,K$4:K1644&lt;1000000000),1),K$4:K1644)))),AND(K193&lt;1000000000,COUNTA(C193:C1644)&gt;0,P$3=FALSE),
ROUNDDOWN(INDEX(Y$4:Y1644,MATCH(LARGE(FILTER(W$4:W1644,W$4:W1644&lt;=I193),1),W$4:W1644"&amp;"))+(I193-LARGE(FILTER(W$4:W1644,W$4:W1644&lt;=I193),1))*INDEX(T$4:T1644,MATCH(LARGE(FILTER(W$4:W1644,W$4:W1644&lt;=I193),1),W$4:W1644))-K193),1,
ROUNDDOWN(Y193-INDEX(K$4:K1644,MATCH(LARGE(FILTER(I$4:I1644,I$4:I1644&lt;=W193),1),I$4:I1644))-(W193-LARGE(FILTER(I$4:I"&amp;"1644,I$4:I1644&lt;=W193),1))*INDEX(F$4:F1644,MATCH(LARGE(FILTER(I$4:I1644,I$4:I1644&lt;=W193),1),I$4:I1644))))"),3.0018289E7)</f>
        <v>30018289</v>
      </c>
      <c r="N193" s="60">
        <f t="shared" si="8"/>
        <v>-57.07345</v>
      </c>
      <c r="O193" s="61" t="str">
        <f t="shared" si="9"/>
        <v>30,0M</v>
      </c>
      <c r="P193" s="56">
        <f t="shared" si="10"/>
        <v>5</v>
      </c>
      <c r="Q193" s="105" t="s">
        <v>64</v>
      </c>
      <c r="R193" s="10"/>
      <c r="S193" s="59">
        <f t="array" ref="S193">IF(COUNTA(Q193:Q1644)=0,"",SUM((COUNTIF(Q$4:Q193,Upgrades!$B$3:$B$13)-COUNTIF(Q$4:Q193,"Sell_"&amp;Upgrades!$B$3:$B$13))*Upgrades!$D$3:$D$13))</f>
        <v>74211</v>
      </c>
      <c r="T193" s="66">
        <f>IFERROR(__xludf.DUMMYFUNCTION("IF(COUNTA(Q193:Q1644)=0,"""",IF(REGEXMATCH(INDEX(FILTER(Q$4:Q193,Q$4:Q193&lt;&gt;""""),ROWS(FILTER(Q$4:Q193,Q$4:Q193&lt;&gt;""""))),""^Sell_""),INDEX(FILTER(T$4:T192,Q$4:Q192&lt;&gt;""""),ROWS(FILTER(Q$4:Q192,Q$4:Q192&lt;&gt;""""))),$AD$5+S193))"),113251.0)</f>
        <v>113251</v>
      </c>
      <c r="U193" s="10">
        <f>IFERROR(__xludf.DUMMYFUNCTION("IF(COUNTA(Q193:Q1644)=0,"""",IF(Q193="""",0,IF(REGEXMATCH(Q193,""^Sell_""),-ROUNDDOWN(ROUNDUP(INDEX(Upgrades!$C$3:$C$13,MATCH(SUBSTITUTE(Q193,""Sell_"",""""),Upgrades!$B$3:$B$13,0))*1.15^(COUNTIF(Q$4:Q192,SUBSTITUTE(Q193,""Sell_"",""""))-COUNTIF(Q$4:Q192,"&amp;"""Sell_""&amp;SUBSTITUTE(Q193,""Sell_"",""""))))/2),ROUNDUP(INDEX(Upgrades!$C$3:$C$13,MATCH(Q193,Upgrades!$B$3:$B$13,0))*1.15^(COUNTIF(Q$4:Q192,Q193)-COUNTIF(Q$4:Q192,""Sell_""&amp;Q193))))))"),-4458540.0)</f>
        <v>-4458540</v>
      </c>
      <c r="V193" s="10">
        <f t="shared" si="11"/>
        <v>-33651436</v>
      </c>
      <c r="W193" s="68">
        <f t="shared" si="12"/>
        <v>4577.194447</v>
      </c>
      <c r="X193" s="59" t="str">
        <f t="shared" si="13"/>
        <v>1h 16m 17s</v>
      </c>
      <c r="Y193" s="69">
        <f t="shared" si="14"/>
        <v>100606200</v>
      </c>
      <c r="Z193" s="11"/>
      <c r="AG193" s="59"/>
    </row>
    <row r="194">
      <c r="A194" s="8"/>
      <c r="B194" s="56">
        <f t="shared" si="2"/>
        <v>21</v>
      </c>
      <c r="C194" s="105" t="s">
        <v>7</v>
      </c>
      <c r="D194" s="10"/>
      <c r="E194" s="59">
        <f t="array" ref="E194">IF(COUNTA(C194:C1644)=0,"",SUM((COUNTIF(C$4:C194,Upgrades!$B$3:$B$13)-COUNTIF(C$4:C194,"Sell_"&amp;Upgrades!$B$3:$B$13))*Upgrades!$D$3:$D$13))</f>
        <v>544289.5</v>
      </c>
      <c r="F194" s="66">
        <f>IFERROR(__xludf.DUMMYFUNCTION("IF(COUNTA(C194:C1644)=0,"""",IF(REGEXMATCH(INDEX(FILTER(C$4:C194,C$4:C194&lt;&gt;""""),ROWS(FILTER(C$4:C194,C$4:C194&lt;&gt;""""))),""^Sell_""),INDEX(FILTER(F$4:F193,C$4:C193&lt;&gt;""""),ROWS(FILTER(C$4:C193,C$4:C193&lt;&gt;""""))),$AC$5+E194))"),544299.5)</f>
        <v>544299.5</v>
      </c>
      <c r="G194" s="10">
        <f>IFERROR(__xludf.DUMMYFUNCTION("IF(COUNTA(C194:C1644)=0,"""",IF(C194="""",0,IF(REGEXMATCH(C194,""^Sell_""),-ROUNDDOWN(ROUNDUP(INDEX(Upgrades!$C$3:$C$13,MATCH(SUBSTITUTE(C194,""Sell_"",""""),Upgrades!$B$3:$B$13,0))*1.15^(COUNTIF(C$4:C193,SUBSTITUTE(C194,""Sell_"",""""))-COUNTIF(C$4:C193,"&amp;"""Sell_""&amp;SUBSTITUTE(C194,""Sell_"",""""))))/2),ROUNDUP(INDEX(Upgrades!$C$3:$C$13,MATCH(C194,Upgrades!$B$3:$B$13,0))*1.15^(COUNTIF(C$4:C193,C194)-COUNTIF(C$4:C193,""Sell_""&amp;C194))))))"),163666.0)</f>
        <v>163666</v>
      </c>
      <c r="H194" s="10">
        <f t="shared" si="3"/>
        <v>163666</v>
      </c>
      <c r="I194" s="68">
        <f t="shared" si="4"/>
        <v>7565.254699</v>
      </c>
      <c r="J194" s="59" t="str">
        <f t="shared" si="5"/>
        <v>2h 06m 05s</v>
      </c>
      <c r="K194" s="69">
        <f t="shared" si="6"/>
        <v>841414943</v>
      </c>
      <c r="L194" s="60">
        <f t="shared" si="7"/>
        <v>-57.06138</v>
      </c>
      <c r="M194" s="61">
        <f>IFERROR(__xludf.DUMMYFUNCTION("IFS(AND(COUNTA(C194:C1644)=0,COUNTA(Q194:Q1644)=0),"""",OR(AND(K194&gt;=1000000000,OR(Y194&gt;=1000000000,COUNTA(Q194:Q1644)=0)),OR(Y194&gt;=1000000000,AND(COUNTA(C194:C1644)=0,P$3=TRUE))),
ROUNDDOWN((AB$1-AC$1)*MAX(INDEX(T$4:T1644,MATCH(LARGE(FILTER(Y$4:Y1644,Y$4"&amp;":Y1644&lt;1000000000),1),Y$4:Y1644)),INDEX(F$4:F1644,MATCH(LARGE(FILTER(K$4:K1644,K$4:K1644&lt;1000000000),1),K$4:K1644)))),AND(K194&lt;1000000000,COUNTA(C194:C1644)&gt;0,P$3=FALSE),
ROUNDDOWN(INDEX(Y$4:Y1644,MATCH(LARGE(FILTER(W$4:W1644,W$4:W1644&lt;=I194),1),W$4:W1644"&amp;"))+(I194-LARGE(FILTER(W$4:W1644,W$4:W1644&lt;=I194),1))*INDEX(T$4:T1644,MATCH(LARGE(FILTER(W$4:W1644,W$4:W1644&lt;=I194),1),W$4:W1644))-K194),1,
ROUNDDOWN(Y194-INDEX(K$4:K1644,MATCH(LARGE(FILTER(I$4:I1644,I$4:I1644&lt;=W194),1),I$4:I1644))-(W194-LARGE(FILTER(I$4:I"&amp;"1644,I$4:I1644&lt;=W194),1))*INDEX(F$4:F1644,MATCH(LARGE(FILTER(I$4:I1644,I$4:I1644&lt;=W194),1),I$4:I1644))))"),3.001413E7)</f>
        <v>30014130</v>
      </c>
      <c r="N194" s="60">
        <f t="shared" si="8"/>
        <v>-57.06138</v>
      </c>
      <c r="O194" s="61" t="str">
        <f t="shared" si="9"/>
        <v>30,0M</v>
      </c>
      <c r="P194" s="56">
        <f t="shared" si="10"/>
        <v>6</v>
      </c>
      <c r="Q194" s="105" t="s">
        <v>64</v>
      </c>
      <c r="R194" s="10"/>
      <c r="S194" s="59">
        <f t="array" ref="S194">IF(COUNTA(Q194:Q1644)=0,"",SUM((COUNTIF(Q$4:Q194,Upgrades!$B$3:$B$13)-COUNTIF(Q$4:Q194,"Sell_"&amp;Upgrades!$B$3:$B$13))*Upgrades!$D$3:$D$13))</f>
        <v>67545</v>
      </c>
      <c r="T194" s="66">
        <f>IFERROR(__xludf.DUMMYFUNCTION("IF(COUNTA(Q194:Q1644)=0,"""",IF(REGEXMATCH(INDEX(FILTER(Q$4:Q194,Q$4:Q194&lt;&gt;""""),ROWS(FILTER(Q$4:Q194,Q$4:Q194&lt;&gt;""""))),""^Sell_""),INDEX(FILTER(T$4:T193,Q$4:Q193&lt;&gt;""""),ROWS(FILTER(Q$4:Q193,Q$4:Q193&lt;&gt;""""))),$AD$5+S194))"),113251.0)</f>
        <v>113251</v>
      </c>
      <c r="U194" s="10">
        <f>IFERROR(__xludf.DUMMYFUNCTION("IF(COUNTA(Q194:Q1644)=0,"""",IF(Q194="""",0,IF(REGEXMATCH(Q194,""^Sell_""),-ROUNDDOWN(ROUNDUP(INDEX(Upgrades!$C$3:$C$13,MATCH(SUBSTITUTE(Q194,""Sell_"",""""),Upgrades!$B$3:$B$13,0))*1.15^(COUNTIF(Q$4:Q193,SUBSTITUTE(Q194,""Sell_"",""""))-COUNTIF(Q$4:Q193,"&amp;"""Sell_""&amp;SUBSTITUTE(Q194,""Sell_"",""""))))/2),ROUNDUP(INDEX(Upgrades!$C$3:$C$13,MATCH(Q194,Upgrades!$B$3:$B$13,0))*1.15^(COUNTIF(Q$4:Q193,Q194)-COUNTIF(Q$4:Q193,""Sell_""&amp;Q194))))))"),-3876991.0)</f>
        <v>-3876991</v>
      </c>
      <c r="V194" s="10">
        <f t="shared" si="11"/>
        <v>-37528427</v>
      </c>
      <c r="W194" s="68">
        <f t="shared" si="12"/>
        <v>4577.194447</v>
      </c>
      <c r="X194" s="59" t="str">
        <f t="shared" si="13"/>
        <v>1h 16m 17s</v>
      </c>
      <c r="Y194" s="69">
        <f t="shared" si="14"/>
        <v>100606200</v>
      </c>
      <c r="Z194" s="11"/>
      <c r="AG194" s="59"/>
    </row>
    <row r="195">
      <c r="A195" s="8"/>
      <c r="B195" s="56">
        <f t="shared" si="2"/>
        <v>26</v>
      </c>
      <c r="C195" s="105" t="s">
        <v>5</v>
      </c>
      <c r="D195" s="10"/>
      <c r="E195" s="59">
        <f t="array" ref="E195">IF(COUNTA(C195:C1644)=0,"",SUM((COUNTIF(C$4:C195,Upgrades!$B$3:$B$13)-COUNTIF(C$4:C195,"Sell_"&amp;Upgrades!$B$3:$B$13))*Upgrades!$D$3:$D$13))</f>
        <v>544293.5</v>
      </c>
      <c r="F195" s="66">
        <f>IFERROR(__xludf.DUMMYFUNCTION("IF(COUNTA(C195:C1644)=0,"""",IF(REGEXMATCH(INDEX(FILTER(C$4:C195,C$4:C195&lt;&gt;""""),ROWS(FILTER(C$4:C195,C$4:C195&lt;&gt;""""))),""^Sell_""),INDEX(FILTER(F$4:F194,C$4:C194&lt;&gt;""""),ROWS(FILTER(C$4:C194,C$4:C194&lt;&gt;""""))),$AC$5+E195))"),544303.5)</f>
        <v>544303.5</v>
      </c>
      <c r="G195" s="10">
        <f>IFERROR(__xludf.DUMMYFUNCTION("IF(COUNTA(C195:C1644)=0,"""",IF(C195="""",0,IF(REGEXMATCH(C195,""^Sell_""),-ROUNDDOWN(ROUNDUP(INDEX(Upgrades!$C$3:$C$13,MATCH(SUBSTITUTE(C195,""Sell_"",""""),Upgrades!$B$3:$B$13,0))*1.15^(COUNTIF(C$4:C194,SUBSTITUTE(C195,""Sell_"",""""))-COUNTIF(C$4:C194,"&amp;"""Sell_""&amp;SUBSTITUTE(C195,""Sell_"",""""))))/2),ROUNDUP(INDEX(Upgrades!$C$3:$C$13,MATCH(C195,Upgrades!$B$3:$B$13,0))*1.15^(COUNTIF(C$4:C194,C195)-COUNTIF(C$4:C194,""Sell_""&amp;C195))))))"),16460.0)</f>
        <v>16460</v>
      </c>
      <c r="H195" s="10">
        <f t="shared" si="3"/>
        <v>16460</v>
      </c>
      <c r="I195" s="68">
        <f t="shared" si="4"/>
        <v>7565.284939</v>
      </c>
      <c r="J195" s="59" t="str">
        <f t="shared" si="5"/>
        <v>2h 06m 05s</v>
      </c>
      <c r="K195" s="69">
        <f t="shared" si="6"/>
        <v>841431403</v>
      </c>
      <c r="L195" s="60">
        <f t="shared" si="7"/>
        <v>-57.06017</v>
      </c>
      <c r="M195" s="61">
        <f>IFERROR(__xludf.DUMMYFUNCTION("IFS(AND(COUNTA(C195:C1644)=0,COUNTA(Q195:Q1644)=0),"""",OR(AND(K195&gt;=1000000000,OR(Y195&gt;=1000000000,COUNTA(Q195:Q1644)=0)),OR(Y195&gt;=1000000000,AND(COUNTA(C195:C1644)=0,P$3=TRUE))),
ROUNDDOWN((AB$1-AC$1)*MAX(INDEX(T$4:T1644,MATCH(LARGE(FILTER(Y$4:Y1644,Y$4"&amp;":Y1644&lt;1000000000),1),Y$4:Y1644)),INDEX(F$4:F1644,MATCH(LARGE(FILTER(K$4:K1644,K$4:K1644&lt;1000000000),1),K$4:K1644)))),AND(K195&lt;1000000000,COUNTA(C195:C1644)&gt;0,P$3=FALSE),
ROUNDDOWN(INDEX(Y$4:Y1644,MATCH(LARGE(FILTER(W$4:W1644,W$4:W1644&lt;=I195),1),W$4:W1644"&amp;"))+(I195-LARGE(FILTER(W$4:W1644,W$4:W1644&lt;=I195),1))*INDEX(T$4:T1644,MATCH(LARGE(FILTER(W$4:W1644,W$4:W1644&lt;=I195),1),W$4:W1644))-K195),1,
ROUNDDOWN(Y195-INDEX(K$4:K1644,MATCH(LARGE(FILTER(I$4:I1644,I$4:I1644&lt;=W195),1),I$4:I1644))-(W195-LARGE(FILTER(I$4:I"&amp;"1644,I$4:I1644&lt;=W195),1))*INDEX(F$4:F1644,MATCH(LARGE(FILTER(I$4:I1644,I$4:I1644&lt;=W195),1),I$4:I1644))))"),3.001371E7)</f>
        <v>30013710</v>
      </c>
      <c r="N195" s="60">
        <f t="shared" si="8"/>
        <v>-57.06017</v>
      </c>
      <c r="O195" s="61" t="str">
        <f t="shared" si="9"/>
        <v>30,0M</v>
      </c>
      <c r="P195" s="56">
        <f t="shared" si="10"/>
        <v>1</v>
      </c>
      <c r="Q195" s="105" t="s">
        <v>11</v>
      </c>
      <c r="R195" s="10"/>
      <c r="S195" s="59">
        <f t="array" ref="S195">IF(COUNTA(Q195:Q1644)=0,"",SUM((COUNTIF(Q$4:Q195,Upgrades!$B$3:$B$13)-COUNTIF(Q$4:Q195,"Sell_"&amp;Upgrades!$B$3:$B$13))*Upgrades!$D$3:$D$13))</f>
        <v>166310</v>
      </c>
      <c r="T195" s="66">
        <f>IFERROR(__xludf.DUMMYFUNCTION("IF(COUNTA(Q195:Q1644)=0,"""",IF(REGEXMATCH(INDEX(FILTER(Q$4:Q195,Q$4:Q195&lt;&gt;""""),ROWS(FILTER(Q$4:Q195,Q$4:Q195&lt;&gt;""""))),""^Sell_""),INDEX(FILTER(T$4:T194,Q$4:Q194&lt;&gt;""""),ROWS(FILTER(Q$4:Q194,Q$4:Q194&lt;&gt;""""))),$AD$5+S195))"),166320.0)</f>
        <v>166320</v>
      </c>
      <c r="U195" s="10">
        <f>IFERROR(__xludf.DUMMYFUNCTION("IF(COUNTA(Q195:Q1644)=0,"""",IF(Q195="""",0,IF(REGEXMATCH(Q195,""^Sell_""),-ROUNDDOWN(ROUNDUP(INDEX(Upgrades!$C$3:$C$13,MATCH(SUBSTITUTE(Q195,""Sell_"",""""),Upgrades!$B$3:$B$13,0))*1.15^(COUNTIF(Q$4:Q194,SUBSTITUTE(Q195,""Sell_"",""""))-COUNTIF(Q$4:Q194,"&amp;"""Sell_""&amp;SUBSTITUTE(Q195,""Sell_"",""""))))/2),ROUNDUP(INDEX(Upgrades!$C$3:$C$13,MATCH(Q195,Upgrades!$B$3:$B$13,0))*1.15^(COUNTIF(Q$4:Q194,Q195)-COUNTIF(Q$4:Q194,""Sell_""&amp;Q195))))))"),1.23456789E8)</f>
        <v>123456789</v>
      </c>
      <c r="V195" s="10">
        <f t="shared" si="11"/>
        <v>85928362</v>
      </c>
      <c r="W195" s="68">
        <f t="shared" si="12"/>
        <v>5335.937081</v>
      </c>
      <c r="X195" s="59" t="str">
        <f t="shared" si="13"/>
        <v>1h 28m 55s</v>
      </c>
      <c r="Y195" s="69">
        <f t="shared" si="14"/>
        <v>186534562</v>
      </c>
      <c r="Z195" s="11"/>
      <c r="AG195" s="59"/>
    </row>
    <row r="196">
      <c r="A196" s="8"/>
      <c r="B196" s="56">
        <f t="shared" si="2"/>
        <v>22</v>
      </c>
      <c r="C196" s="105" t="s">
        <v>10</v>
      </c>
      <c r="D196" s="10"/>
      <c r="E196" s="59">
        <f t="array" ref="E196">IF(COUNTA(C196:C1644)=0,"",SUM((COUNTIF(C$4:C196,Upgrades!$B$3:$B$13)-COUNTIF(C$4:C196,"Sell_"&amp;Upgrades!$B$3:$B$13))*Upgrades!$D$3:$D$13))</f>
        <v>550959.5</v>
      </c>
      <c r="F196" s="66">
        <f>IFERROR(__xludf.DUMMYFUNCTION("IF(COUNTA(C196:C1644)=0,"""",IF(REGEXMATCH(INDEX(FILTER(C$4:C196,C$4:C196&lt;&gt;""""),ROWS(FILTER(C$4:C196,C$4:C196&lt;&gt;""""))),""^Sell_""),INDEX(FILTER(F$4:F195,C$4:C195&lt;&gt;""""),ROWS(FILTER(C$4:C195,C$4:C195&lt;&gt;""""))),$AC$5+E196))"),550969.5)</f>
        <v>550969.5</v>
      </c>
      <c r="G196" s="10">
        <f>IFERROR(__xludf.DUMMYFUNCTION("IF(COUNTA(C196:C1644)=0,"""",IF(C196="""",0,IF(REGEXMATCH(C196,""^Sell_""),-ROUNDDOWN(ROUNDUP(INDEX(Upgrades!$C$3:$C$13,MATCH(SUBSTITUTE(C196,""Sell_"",""""),Upgrades!$B$3:$B$13,0))*1.15^(COUNTIF(C$4:C195,SUBSTITUTE(C196,""Sell_"",""""))-COUNTIF(C$4:C195,"&amp;"""Sell_""&amp;SUBSTITUTE(C196,""Sell_"",""""))))/2),ROUNDUP(INDEX(Upgrades!$C$3:$C$13,MATCH(C196,Upgrades!$B$3:$B$13,0))*1.15^(COUNTIF(C$4:C195,C196)-COUNTIF(C$4:C195,""Sell_""&amp;C196))))))"),3.1369185E7)</f>
        <v>31369185</v>
      </c>
      <c r="H196" s="10">
        <f t="shared" si="3"/>
        <v>31369185</v>
      </c>
      <c r="I196" s="68">
        <f t="shared" si="4"/>
        <v>7622.916729</v>
      </c>
      <c r="J196" s="59" t="str">
        <f t="shared" si="5"/>
        <v>2h 07m 02s</v>
      </c>
      <c r="K196" s="69">
        <f t="shared" si="6"/>
        <v>872800588</v>
      </c>
      <c r="L196" s="60">
        <f t="shared" si="7"/>
        <v>-55.07635</v>
      </c>
      <c r="M196" s="61">
        <f>IFERROR(__xludf.DUMMYFUNCTION("IFS(AND(COUNTA(C196:C1644)=0,COUNTA(Q196:Q1644)=0),"""",OR(AND(K196&gt;=1000000000,OR(Y196&gt;=1000000000,COUNTA(Q196:Q1644)=0)),OR(Y196&gt;=1000000000,AND(COUNTA(C196:C1644)=0,P$3=TRUE))),
ROUNDDOWN((AB$1-AC$1)*MAX(INDEX(T$4:T1644,MATCH(LARGE(FILTER(Y$4:Y1644,Y$4"&amp;":Y1644&lt;1000000000),1),Y$4:Y1644)),INDEX(F$4:F1644,MATCH(LARGE(FILTER(K$4:K1644,K$4:K1644&lt;1000000000),1),K$4:K1644)))),AND(K196&lt;1000000000,COUNTA(C196:C1644)&gt;0,P$3=FALSE),
ROUNDDOWN(INDEX(Y$4:Y1644,MATCH(LARGE(FILTER(W$4:W1644,W$4:W1644&lt;=I196),1),W$4:W1644"&amp;"))+(I196-LARGE(FILTER(W$4:W1644,W$4:W1644&lt;=I196),1))*INDEX(T$4:T1644,MATCH(LARGE(FILTER(W$4:W1644,W$4:W1644&lt;=I196),1),W$4:W1644))-K196),1,
ROUNDDOWN(Y196-INDEX(K$4:K1644,MATCH(LARGE(FILTER(I$4:I1644,I$4:I1644&lt;=W196),1),I$4:I1644))-(W196-LARGE(FILTER(I$4:I"&amp;"1644,I$4:I1644&lt;=W196),1))*INDEX(F$4:F1644,MATCH(LARGE(FILTER(I$4:I1644,I$4:I1644&lt;=W196),1),I$4:I1644))))"),2.9440257E7)</f>
        <v>29440257</v>
      </c>
      <c r="N196" s="60">
        <f t="shared" si="8"/>
        <v>-55.07635</v>
      </c>
      <c r="O196" s="61" t="str">
        <f t="shared" si="9"/>
        <v>29,4M</v>
      </c>
      <c r="P196" s="56">
        <f t="shared" si="10"/>
        <v>1</v>
      </c>
      <c r="Q196" s="105" t="s">
        <v>8</v>
      </c>
      <c r="R196" s="10"/>
      <c r="S196" s="59">
        <f t="array" ref="S196">IF(COUNTA(Q196:Q1644)=0,"",SUM((COUNTIF(Q$4:Q196,Upgrades!$B$3:$B$13)-COUNTIF(Q$4:Q196,"Sell_"&amp;Upgrades!$B$3:$B$13))*Upgrades!$D$3:$D$13))</f>
        <v>166410</v>
      </c>
      <c r="T196" s="66">
        <f>IFERROR(__xludf.DUMMYFUNCTION("IF(COUNTA(Q196:Q1644)=0,"""",IF(REGEXMATCH(INDEX(FILTER(Q$4:Q196,Q$4:Q196&lt;&gt;""""),ROWS(FILTER(Q$4:Q196,Q$4:Q196&lt;&gt;""""))),""^Sell_""),INDEX(FILTER(T$4:T195,Q$4:Q195&lt;&gt;""""),ROWS(FILTER(Q$4:Q195,Q$4:Q195&lt;&gt;""""))),$AD$5+S196))"),166420.0)</f>
        <v>166420</v>
      </c>
      <c r="U196" s="10">
        <f>IFERROR(__xludf.DUMMYFUNCTION("IF(COUNTA(Q196:Q1644)=0,"""",IF(Q196="""",0,IF(REGEXMATCH(Q196,""^Sell_""),-ROUNDDOWN(ROUNDUP(INDEX(Upgrades!$C$3:$C$13,MATCH(SUBSTITUTE(Q196,""Sell_"",""""),Upgrades!$B$3:$B$13,0))*1.15^(COUNTIF(Q$4:Q195,SUBSTITUTE(Q196,""Sell_"",""""))-COUNTIF(Q$4:Q195,"&amp;"""Sell_""&amp;SUBSTITUTE(Q196,""Sell_"",""""))))/2),ROUNDUP(INDEX(Upgrades!$C$3:$C$13,MATCH(Q196,Upgrades!$B$3:$B$13,0))*1.15^(COUNTIF(Q$4:Q195,Q196)-COUNTIF(Q$4:Q195,""Sell_""&amp;Q196))))))"),40000.0)</f>
        <v>40000</v>
      </c>
      <c r="V196" s="10">
        <f t="shared" si="11"/>
        <v>40000</v>
      </c>
      <c r="W196" s="68">
        <f t="shared" si="12"/>
        <v>5336.177581</v>
      </c>
      <c r="X196" s="59" t="str">
        <f t="shared" si="13"/>
        <v>1h 28m 56s</v>
      </c>
      <c r="Y196" s="69">
        <f t="shared" si="14"/>
        <v>186574562</v>
      </c>
      <c r="Z196" s="11"/>
      <c r="AG196" s="59"/>
    </row>
    <row r="197">
      <c r="A197" s="8"/>
      <c r="B197" s="56">
        <f t="shared" si="2"/>
        <v>20</v>
      </c>
      <c r="C197" s="105" t="s">
        <v>6</v>
      </c>
      <c r="D197" s="10"/>
      <c r="E197" s="59">
        <f t="array" ref="E197">IF(COUNTA(C197:C1644)=0,"",SUM((COUNTIF(C$4:C197,Upgrades!$B$3:$B$13)-COUNTIF(C$4:C197,"Sell_"&amp;Upgrades!$B$3:$B$13))*Upgrades!$D$3:$D$13))</f>
        <v>550969.5</v>
      </c>
      <c r="F197" s="66">
        <f>IFERROR(__xludf.DUMMYFUNCTION("IF(COUNTA(C197:C1644)=0,"""",IF(REGEXMATCH(INDEX(FILTER(C$4:C197,C$4:C197&lt;&gt;""""),ROWS(FILTER(C$4:C197,C$4:C197&lt;&gt;""""))),""^Sell_""),INDEX(FILTER(F$4:F196,C$4:C196&lt;&gt;""""),ROWS(FILTER(C$4:C196,C$4:C196&lt;&gt;""""))),$AC$5+E197))"),550979.5)</f>
        <v>550979.5</v>
      </c>
      <c r="G197" s="10">
        <f>IFERROR(__xludf.DUMMYFUNCTION("IF(COUNTA(C197:C1644)=0,"""",IF(C197="""",0,IF(REGEXMATCH(C197,""^Sell_""),-ROUNDDOWN(ROUNDUP(INDEX(Upgrades!$C$3:$C$13,MATCH(SUBSTITUTE(C197,""Sell_"",""""),Upgrades!$B$3:$B$13,0))*1.15^(COUNTIF(C$4:C196,SUBSTITUTE(C197,""Sell_"",""""))-COUNTIF(C$4:C196,"&amp;"""Sell_""&amp;SUBSTITUTE(C197,""Sell_"",""""))))/2),ROUNDUP(INDEX(Upgrades!$C$3:$C$13,MATCH(C197,Upgrades!$B$3:$B$13,0))*1.15^(COUNTIF(C$4:C196,C197)-COUNTIF(C$4:C196,""Sell_""&amp;C197))))))"),42696.0)</f>
        <v>42696</v>
      </c>
      <c r="H197" s="10">
        <f t="shared" si="3"/>
        <v>42696</v>
      </c>
      <c r="I197" s="68">
        <f t="shared" si="4"/>
        <v>7622.994222</v>
      </c>
      <c r="J197" s="59" t="str">
        <f t="shared" si="5"/>
        <v>2h 07m 02s</v>
      </c>
      <c r="K197" s="69">
        <f t="shared" si="6"/>
        <v>872843284</v>
      </c>
      <c r="L197" s="60">
        <f t="shared" si="7"/>
        <v>-55.07335</v>
      </c>
      <c r="M197" s="61">
        <f>IFERROR(__xludf.DUMMYFUNCTION("IFS(AND(COUNTA(C197:C1644)=0,COUNTA(Q197:Q1644)=0),"""",OR(AND(K197&gt;=1000000000,OR(Y197&gt;=1000000000,COUNTA(Q197:Q1644)=0)),OR(Y197&gt;=1000000000,AND(COUNTA(C197:C1644)=0,P$3=TRUE))),
ROUNDDOWN((AB$1-AC$1)*MAX(INDEX(T$4:T1644,MATCH(LARGE(FILTER(Y$4:Y1644,Y$4"&amp;":Y1644&lt;1000000000),1),Y$4:Y1644)),INDEX(F$4:F1644,MATCH(LARGE(FILTER(K$4:K1644,K$4:K1644&lt;1000000000),1),K$4:K1644)))),AND(K197&lt;1000000000,COUNTA(C197:C1644)&gt;0,P$3=FALSE),
ROUNDDOWN(INDEX(Y$4:Y1644,MATCH(LARGE(FILTER(W$4:W1644,W$4:W1644&lt;=I197),1),W$4:W1644"&amp;"))+(I197-LARGE(FILTER(W$4:W1644,W$4:W1644&lt;=I197),1))*INDEX(T$4:T1644,MATCH(LARGE(FILTER(W$4:W1644,W$4:W1644&lt;=I197),1),W$4:W1644))-K197),1,
ROUNDDOWN(Y197-INDEX(K$4:K1644,MATCH(LARGE(FILTER(I$4:I1644,I$4:I1644&lt;=W197),1),I$4:I1644))-(W197-LARGE(FILTER(I$4:I"&amp;"1644,I$4:I1644&lt;=W197),1))*INDEX(F$4:F1644,MATCH(LARGE(FILTER(I$4:I1644,I$4:I1644&lt;=W197),1),I$4:I1644))))"),2.9439224E7)</f>
        <v>29439224</v>
      </c>
      <c r="N197" s="60">
        <f t="shared" si="8"/>
        <v>-55.07335</v>
      </c>
      <c r="O197" s="61" t="str">
        <f t="shared" si="9"/>
        <v>29,4M</v>
      </c>
      <c r="P197" s="56">
        <f t="shared" si="10"/>
        <v>2</v>
      </c>
      <c r="Q197" s="105" t="s">
        <v>8</v>
      </c>
      <c r="R197" s="10"/>
      <c r="S197" s="59">
        <f t="array" ref="S197">IF(COUNTA(Q197:Q1644)=0,"",SUM((COUNTIF(Q$4:Q197,Upgrades!$B$3:$B$13)-COUNTIF(Q$4:Q197,"Sell_"&amp;Upgrades!$B$3:$B$13))*Upgrades!$D$3:$D$13))</f>
        <v>166510</v>
      </c>
      <c r="T197" s="66">
        <f>IFERROR(__xludf.DUMMYFUNCTION("IF(COUNTA(Q197:Q1644)=0,"""",IF(REGEXMATCH(INDEX(FILTER(Q$4:Q197,Q$4:Q197&lt;&gt;""""),ROWS(FILTER(Q$4:Q197,Q$4:Q197&lt;&gt;""""))),""^Sell_""),INDEX(FILTER(T$4:T196,Q$4:Q196&lt;&gt;""""),ROWS(FILTER(Q$4:Q196,Q$4:Q196&lt;&gt;""""))),$AD$5+S197))"),166520.0)</f>
        <v>166520</v>
      </c>
      <c r="U197" s="10">
        <f>IFERROR(__xludf.DUMMYFUNCTION("IF(COUNTA(Q197:Q1644)=0,"""",IF(Q197="""",0,IF(REGEXMATCH(Q197,""^Sell_""),-ROUNDDOWN(ROUNDUP(INDEX(Upgrades!$C$3:$C$13,MATCH(SUBSTITUTE(Q197,""Sell_"",""""),Upgrades!$B$3:$B$13,0))*1.15^(COUNTIF(Q$4:Q196,SUBSTITUTE(Q197,""Sell_"",""""))-COUNTIF(Q$4:Q196,"&amp;"""Sell_""&amp;SUBSTITUTE(Q197,""Sell_"",""""))))/2),ROUNDUP(INDEX(Upgrades!$C$3:$C$13,MATCH(Q197,Upgrades!$B$3:$B$13,0))*1.15^(COUNTIF(Q$4:Q196,Q197)-COUNTIF(Q$4:Q196,""Sell_""&amp;Q197))))))"),46000.0)</f>
        <v>46000</v>
      </c>
      <c r="V197" s="10">
        <f t="shared" si="11"/>
        <v>46000</v>
      </c>
      <c r="W197" s="68">
        <f t="shared" si="12"/>
        <v>5336.45399</v>
      </c>
      <c r="X197" s="59" t="str">
        <f t="shared" si="13"/>
        <v>1h 28m 56s</v>
      </c>
      <c r="Y197" s="69">
        <f t="shared" si="14"/>
        <v>186620562</v>
      </c>
      <c r="Z197" s="11"/>
      <c r="AG197" s="59"/>
    </row>
    <row r="198">
      <c r="A198" s="8"/>
      <c r="B198" s="56">
        <f t="shared" si="2"/>
        <v>26</v>
      </c>
      <c r="C198" s="105" t="s">
        <v>3</v>
      </c>
      <c r="D198" s="10"/>
      <c r="E198" s="59">
        <f t="array" ref="E198">IF(COUNTA(C198:C1644)=0,"",SUM((COUNTIF(C$4:C198,Upgrades!$B$3:$B$13)-COUNTIF(C$4:C198,"Sell_"&amp;Upgrades!$B$3:$B$13))*Upgrades!$D$3:$D$13))</f>
        <v>550969.6</v>
      </c>
      <c r="F198" s="66">
        <f>IFERROR(__xludf.DUMMYFUNCTION("IF(COUNTA(C198:C1644)=0,"""",IF(REGEXMATCH(INDEX(FILTER(C$4:C198,C$4:C198&lt;&gt;""""),ROWS(FILTER(C$4:C198,C$4:C198&lt;&gt;""""))),""^Sell_""),INDEX(FILTER(F$4:F197,C$4:C197&lt;&gt;""""),ROWS(FILTER(C$4:C197,C$4:C197&lt;&gt;""""))),$AC$5+E198))"),550979.6)</f>
        <v>550979.6</v>
      </c>
      <c r="G198" s="10">
        <f>IFERROR(__xludf.DUMMYFUNCTION("IF(COUNTA(C198:C1644)=0,"""",IF(C198="""",0,IF(REGEXMATCH(C198,""^Sell_""),-ROUNDDOWN(ROUNDUP(INDEX(Upgrades!$C$3:$C$13,MATCH(SUBSTITUTE(C198,""Sell_"",""""),Upgrades!$B$3:$B$13,0))*1.15^(COUNTIF(C$4:C197,SUBSTITUTE(C198,""Sell_"",""""))-COUNTIF(C$4:C197,"&amp;"""Sell_""&amp;SUBSTITUTE(C198,""Sell_"",""""))))/2),ROUNDUP(INDEX(Upgrades!$C$3:$C$13,MATCH(C198,Upgrades!$B$3:$B$13,0))*1.15^(COUNTIF(C$4:C197,C198)-COUNTIF(C$4:C197,""Sell_""&amp;C198))))))"),494.0)</f>
        <v>494</v>
      </c>
      <c r="H198" s="10">
        <f t="shared" si="3"/>
        <v>494</v>
      </c>
      <c r="I198" s="68">
        <f t="shared" si="4"/>
        <v>7622.995118</v>
      </c>
      <c r="J198" s="59" t="str">
        <f t="shared" si="5"/>
        <v>2h 07m 02s</v>
      </c>
      <c r="K198" s="69">
        <f t="shared" si="6"/>
        <v>872843778</v>
      </c>
      <c r="L198" s="60">
        <f t="shared" si="7"/>
        <v>-55.07331</v>
      </c>
      <c r="M198" s="61">
        <f>IFERROR(__xludf.DUMMYFUNCTION("IFS(AND(COUNTA(C198:C1644)=0,COUNTA(Q198:Q1644)=0),"""",OR(AND(K198&gt;=1000000000,OR(Y198&gt;=1000000000,COUNTA(Q198:Q1644)=0)),OR(Y198&gt;=1000000000,AND(COUNTA(C198:C1644)=0,P$3=TRUE))),
ROUNDDOWN((AB$1-AC$1)*MAX(INDEX(T$4:T1644,MATCH(LARGE(FILTER(Y$4:Y1644,Y$4"&amp;":Y1644&lt;1000000000),1),Y$4:Y1644)),INDEX(F$4:F1644,MATCH(LARGE(FILTER(K$4:K1644,K$4:K1644&lt;1000000000),1),K$4:K1644)))),AND(K198&lt;1000000000,COUNTA(C198:C1644)&gt;0,P$3=FALSE),
ROUNDDOWN(INDEX(Y$4:Y1644,MATCH(LARGE(FILTER(W$4:W1644,W$4:W1644&lt;=I198),1),W$4:W1644"&amp;"))+(I198-LARGE(FILTER(W$4:W1644,W$4:W1644&lt;=I198),1))*INDEX(T$4:T1644,MATCH(LARGE(FILTER(W$4:W1644,W$4:W1644&lt;=I198),1),W$4:W1644))-K198),1,
ROUNDDOWN(Y198-INDEX(K$4:K1644,MATCH(LARGE(FILTER(I$4:I1644,I$4:I1644&lt;=W198),1),I$4:I1644))-(W198-LARGE(FILTER(I$4:I"&amp;"1644,I$4:I1644&lt;=W198),1))*INDEX(F$4:F1644,MATCH(LARGE(FILTER(I$4:I1644,I$4:I1644&lt;=W198),1),I$4:I1644))))"),2.9439212E7)</f>
        <v>29439212</v>
      </c>
      <c r="N198" s="60">
        <f t="shared" si="8"/>
        <v>-55.07331</v>
      </c>
      <c r="O198" s="61" t="str">
        <f t="shared" si="9"/>
        <v>29,4M</v>
      </c>
      <c r="P198" s="56">
        <f t="shared" si="10"/>
        <v>1</v>
      </c>
      <c r="Q198" s="105" t="s">
        <v>9</v>
      </c>
      <c r="R198" s="10"/>
      <c r="S198" s="59">
        <f t="array" ref="S198">IF(COUNTA(Q198:Q1644)=0,"",SUM((COUNTIF(Q$4:Q198,Upgrades!$B$3:$B$13)-COUNTIF(Q$4:Q198,"Sell_"&amp;Upgrades!$B$3:$B$13))*Upgrades!$D$3:$D$13))</f>
        <v>166910</v>
      </c>
      <c r="T198" s="66">
        <f>IFERROR(__xludf.DUMMYFUNCTION("IF(COUNTA(Q198:Q1644)=0,"""",IF(REGEXMATCH(INDEX(FILTER(Q$4:Q198,Q$4:Q198&lt;&gt;""""),ROWS(FILTER(Q$4:Q198,Q$4:Q198&lt;&gt;""""))),""^Sell_""),INDEX(FILTER(T$4:T197,Q$4:Q197&lt;&gt;""""),ROWS(FILTER(Q$4:Q197,Q$4:Q197&lt;&gt;""""))),$AD$5+S198))"),166920.0)</f>
        <v>166920</v>
      </c>
      <c r="U198" s="10">
        <f>IFERROR(__xludf.DUMMYFUNCTION("IF(COUNTA(Q198:Q1644)=0,"""",IF(Q198="""",0,IF(REGEXMATCH(Q198,""^Sell_""),-ROUNDDOWN(ROUNDUP(INDEX(Upgrades!$C$3:$C$13,MATCH(SUBSTITUTE(Q198,""Sell_"",""""),Upgrades!$B$3:$B$13,0))*1.15^(COUNTIF(Q$4:Q197,SUBSTITUTE(Q198,""Sell_"",""""))-COUNTIF(Q$4:Q197,"&amp;"""Sell_""&amp;SUBSTITUTE(Q198,""Sell_"",""""))))/2),ROUNDUP(INDEX(Upgrades!$C$3:$C$13,MATCH(Q198,Upgrades!$B$3:$B$13,0))*1.15^(COUNTIF(Q$4:Q197,Q198)-COUNTIF(Q$4:Q197,""Sell_""&amp;Q198))))))"),200000.0)</f>
        <v>200000</v>
      </c>
      <c r="V198" s="10">
        <f t="shared" si="11"/>
        <v>200000</v>
      </c>
      <c r="W198" s="68">
        <f t="shared" si="12"/>
        <v>5337.655047</v>
      </c>
      <c r="X198" s="59" t="str">
        <f t="shared" si="13"/>
        <v>1h 28m 57s</v>
      </c>
      <c r="Y198" s="69">
        <f t="shared" si="14"/>
        <v>186820562</v>
      </c>
      <c r="Z198" s="11"/>
      <c r="AG198" s="59"/>
    </row>
    <row r="199">
      <c r="A199" s="8"/>
      <c r="B199" s="56">
        <f t="shared" si="2"/>
        <v>18</v>
      </c>
      <c r="C199" s="105" t="s">
        <v>8</v>
      </c>
      <c r="D199" s="10"/>
      <c r="E199" s="59">
        <f t="array" ref="E199">IF(COUNTA(C199:C1644)=0,"",SUM((COUNTIF(C$4:C199,Upgrades!$B$3:$B$13)-COUNTIF(C$4:C199,"Sell_"&amp;Upgrades!$B$3:$B$13))*Upgrades!$D$3:$D$13))</f>
        <v>551069.6</v>
      </c>
      <c r="F199" s="66">
        <f>IFERROR(__xludf.DUMMYFUNCTION("IF(COUNTA(C199:C1644)=0,"""",IF(REGEXMATCH(INDEX(FILTER(C$4:C199,C$4:C199&lt;&gt;""""),ROWS(FILTER(C$4:C199,C$4:C199&lt;&gt;""""))),""^Sell_""),INDEX(FILTER(F$4:F198,C$4:C198&lt;&gt;""""),ROWS(FILTER(C$4:C198,C$4:C198&lt;&gt;""""))),$AC$5+E199))"),551079.6)</f>
        <v>551079.6</v>
      </c>
      <c r="G199" s="10">
        <f>IFERROR(__xludf.DUMMYFUNCTION("IF(COUNTA(C199:C1644)=0,"""",IF(C199="""",0,IF(REGEXMATCH(C199,""^Sell_""),-ROUNDDOWN(ROUNDUP(INDEX(Upgrades!$C$3:$C$13,MATCH(SUBSTITUTE(C199,""Sell_"",""""),Upgrades!$B$3:$B$13,0))*1.15^(COUNTIF(C$4:C198,SUBSTITUTE(C199,""Sell_"",""""))-COUNTIF(C$4:C198,"&amp;"""Sell_""&amp;SUBSTITUTE(C199,""Sell_"",""""))))/2),ROUNDUP(INDEX(Upgrades!$C$3:$C$13,MATCH(C199,Upgrades!$B$3:$B$13,0))*1.15^(COUNTIF(C$4:C198,C199)-COUNTIF(C$4:C198,""Sell_""&amp;C199))))))"),430451.0)</f>
        <v>430451</v>
      </c>
      <c r="H199" s="10">
        <f t="shared" si="3"/>
        <v>430451</v>
      </c>
      <c r="I199" s="68">
        <f t="shared" si="4"/>
        <v>7623.776365</v>
      </c>
      <c r="J199" s="59" t="str">
        <f t="shared" si="5"/>
        <v>2h 07m 03s</v>
      </c>
      <c r="K199" s="69">
        <f t="shared" si="6"/>
        <v>873274229</v>
      </c>
      <c r="L199" s="60">
        <f t="shared" si="7"/>
        <v>-55.04304</v>
      </c>
      <c r="M199" s="61">
        <f>IFERROR(__xludf.DUMMYFUNCTION("IFS(AND(COUNTA(C199:C1644)=0,COUNTA(Q199:Q1644)=0),"""",OR(AND(K199&gt;=1000000000,OR(Y199&gt;=1000000000,COUNTA(Q199:Q1644)=0)),OR(Y199&gt;=1000000000,AND(COUNTA(C199:C1644)=0,P$3=TRUE))),
ROUNDDOWN((AB$1-AC$1)*MAX(INDEX(T$4:T1644,MATCH(LARGE(FILTER(Y$4:Y1644,Y$4"&amp;":Y1644&lt;1000000000),1),Y$4:Y1644)),INDEX(F$4:F1644,MATCH(LARGE(FILTER(K$4:K1644,K$4:K1644&lt;1000000000),1),K$4:K1644)))),AND(K199&lt;1000000000,COUNTA(C199:C1644)&gt;0,P$3=FALSE),
ROUNDDOWN(INDEX(Y$4:Y1644,MATCH(LARGE(FILTER(W$4:W1644,W$4:W1644&lt;=I199),1),W$4:W1644"&amp;"))+(I199-LARGE(FILTER(W$4:W1644,W$4:W1644&lt;=I199),1))*INDEX(T$4:T1644,MATCH(LARGE(FILTER(W$4:W1644,W$4:W1644&lt;=I199),1),W$4:W1644))-K199),1,
ROUNDDOWN(Y199-INDEX(K$4:K1644,MATCH(LARGE(FILTER(I$4:I1644,I$4:I1644&lt;=W199),1),I$4:I1644))-(W199-LARGE(FILTER(I$4:I"&amp;"1644,I$4:I1644&lt;=W199),1))*INDEX(F$4:F1644,MATCH(LARGE(FILTER(I$4:I1644,I$4:I1644&lt;=W199),1),I$4:I1644))))"),2.9428785E7)</f>
        <v>29428785</v>
      </c>
      <c r="N199" s="60">
        <f t="shared" si="8"/>
        <v>-55.04304</v>
      </c>
      <c r="O199" s="61" t="str">
        <f t="shared" si="9"/>
        <v>29,4M</v>
      </c>
      <c r="P199" s="56">
        <f t="shared" si="10"/>
        <v>3</v>
      </c>
      <c r="Q199" s="105" t="s">
        <v>8</v>
      </c>
      <c r="R199" s="10"/>
      <c r="S199" s="59">
        <f t="array" ref="S199">IF(COUNTA(Q199:Q1644)=0,"",SUM((COUNTIF(Q$4:Q199,Upgrades!$B$3:$B$13)-COUNTIF(Q$4:Q199,"Sell_"&amp;Upgrades!$B$3:$B$13))*Upgrades!$D$3:$D$13))</f>
        <v>167010</v>
      </c>
      <c r="T199" s="66">
        <f>IFERROR(__xludf.DUMMYFUNCTION("IF(COUNTA(Q199:Q1644)=0,"""",IF(REGEXMATCH(INDEX(FILTER(Q$4:Q199,Q$4:Q199&lt;&gt;""""),ROWS(FILTER(Q$4:Q199,Q$4:Q199&lt;&gt;""""))),""^Sell_""),INDEX(FILTER(T$4:T198,Q$4:Q198&lt;&gt;""""),ROWS(FILTER(Q$4:Q198,Q$4:Q198&lt;&gt;""""))),$AD$5+S199))"),167020.0)</f>
        <v>167020</v>
      </c>
      <c r="U199" s="10">
        <f>IFERROR(__xludf.DUMMYFUNCTION("IF(COUNTA(Q199:Q1644)=0,"""",IF(Q199="""",0,IF(REGEXMATCH(Q199,""^Sell_""),-ROUNDDOWN(ROUNDUP(INDEX(Upgrades!$C$3:$C$13,MATCH(SUBSTITUTE(Q199,""Sell_"",""""),Upgrades!$B$3:$B$13,0))*1.15^(COUNTIF(Q$4:Q198,SUBSTITUTE(Q199,""Sell_"",""""))-COUNTIF(Q$4:Q198,"&amp;"""Sell_""&amp;SUBSTITUTE(Q199,""Sell_"",""""))))/2),ROUNDUP(INDEX(Upgrades!$C$3:$C$13,MATCH(Q199,Upgrades!$B$3:$B$13,0))*1.15^(COUNTIF(Q$4:Q198,Q199)-COUNTIF(Q$4:Q198,""Sell_""&amp;Q199))))))"),52900.0)</f>
        <v>52900</v>
      </c>
      <c r="V199" s="10">
        <f t="shared" si="11"/>
        <v>52900</v>
      </c>
      <c r="W199" s="68">
        <f t="shared" si="12"/>
        <v>5337.971965</v>
      </c>
      <c r="X199" s="59" t="str">
        <f t="shared" si="13"/>
        <v>1h 28m 57s</v>
      </c>
      <c r="Y199" s="69">
        <f t="shared" si="14"/>
        <v>186873462</v>
      </c>
      <c r="Z199" s="11"/>
      <c r="AG199" s="59"/>
    </row>
    <row r="200">
      <c r="A200" s="8"/>
      <c r="B200" s="56">
        <f t="shared" si="2"/>
        <v>23</v>
      </c>
      <c r="C200" s="105" t="s">
        <v>4</v>
      </c>
      <c r="D200" s="10"/>
      <c r="E200" s="59">
        <f t="array" ref="E200">IF(COUNTA(C200:C1644)=0,"",SUM((COUNTIF(C$4:C200,Upgrades!$B$3:$B$13)-COUNTIF(C$4:C200,"Sell_"&amp;Upgrades!$B$3:$B$13))*Upgrades!$D$3:$D$13))</f>
        <v>551070.1</v>
      </c>
      <c r="F200" s="66">
        <f>IFERROR(__xludf.DUMMYFUNCTION("IF(COUNTA(C200:C1644)=0,"""",IF(REGEXMATCH(INDEX(FILTER(C$4:C200,C$4:C200&lt;&gt;""""),ROWS(FILTER(C$4:C200,C$4:C200&lt;&gt;""""))),""^Sell_""),INDEX(FILTER(F$4:F199,C$4:C199&lt;&gt;""""),ROWS(FILTER(C$4:C199,C$4:C199&lt;&gt;""""))),$AC$5+E200))"),551080.1)</f>
        <v>551080.1</v>
      </c>
      <c r="G200" s="10">
        <f>IFERROR(__xludf.DUMMYFUNCTION("IF(COUNTA(C200:C1644)=0,"""",IF(C200="""",0,IF(REGEXMATCH(C200,""^Sell_""),-ROUNDDOWN(ROUNDUP(INDEX(Upgrades!$C$3:$C$13,MATCH(SUBSTITUTE(C200,""Sell_"",""""),Upgrades!$B$3:$B$13,0))*1.15^(COUNTIF(C$4:C199,SUBSTITUTE(C200,""Sell_"",""""))-COUNTIF(C$4:C199,"&amp;"""Sell_""&amp;SUBSTITUTE(C200,""Sell_"",""""))))/2),ROUNDUP(INDEX(Upgrades!$C$3:$C$13,MATCH(C200,Upgrades!$B$3:$B$13,0))*1.15^(COUNTIF(C$4:C199,C200)-COUNTIF(C$4:C199,""Sell_""&amp;C200))))))"),2165.0)</f>
        <v>2165</v>
      </c>
      <c r="H200" s="10">
        <f t="shared" si="3"/>
        <v>2165</v>
      </c>
      <c r="I200" s="68">
        <f t="shared" si="4"/>
        <v>7623.780294</v>
      </c>
      <c r="J200" s="59" t="str">
        <f t="shared" si="5"/>
        <v>2h 07m 03s</v>
      </c>
      <c r="K200" s="69">
        <f t="shared" si="6"/>
        <v>873276394</v>
      </c>
      <c r="L200" s="60">
        <f t="shared" si="7"/>
        <v>-55.04289</v>
      </c>
      <c r="M200" s="61">
        <f>IFERROR(__xludf.DUMMYFUNCTION("IFS(AND(COUNTA(C200:C1644)=0,COUNTA(Q200:Q1644)=0),"""",OR(AND(K200&gt;=1000000000,OR(Y200&gt;=1000000000,COUNTA(Q200:Q1644)=0)),OR(Y200&gt;=1000000000,AND(COUNTA(C200:C1644)=0,P$3=TRUE))),
ROUNDDOWN((AB$1-AC$1)*MAX(INDEX(T$4:T1644,MATCH(LARGE(FILTER(Y$4:Y1644,Y$4"&amp;":Y1644&lt;1000000000),1),Y$4:Y1644)),INDEX(F$4:F1644,MATCH(LARGE(FILTER(K$4:K1644,K$4:K1644&lt;1000000000),1),K$4:K1644)))),AND(K200&lt;1000000000,COUNTA(C200:C1644)&gt;0,P$3=FALSE),
ROUNDDOWN(INDEX(Y$4:Y1644,MATCH(LARGE(FILTER(W$4:W1644,W$4:W1644&lt;=I200),1),W$4:W1644"&amp;"))+(I200-LARGE(FILTER(W$4:W1644,W$4:W1644&lt;=I200),1))*INDEX(T$4:T1644,MATCH(LARGE(FILTER(W$4:W1644,W$4:W1644&lt;=I200),1),W$4:W1644))-K200),1,
ROUNDDOWN(Y200-INDEX(K$4:K1644,MATCH(LARGE(FILTER(I$4:I1644,I$4:I1644&lt;=W200),1),I$4:I1644))-(W200-LARGE(FILTER(I$4:I"&amp;"1644,I$4:I1644&lt;=W200),1))*INDEX(F$4:F1644,MATCH(LARGE(FILTER(I$4:I1644,I$4:I1644&lt;=W200),1),I$4:I1644))))"),2.9428732E7)</f>
        <v>29428732</v>
      </c>
      <c r="N200" s="60">
        <f t="shared" si="8"/>
        <v>-55.04289</v>
      </c>
      <c r="O200" s="61" t="str">
        <f t="shared" si="9"/>
        <v>29,4M</v>
      </c>
      <c r="P200" s="56">
        <f t="shared" si="10"/>
        <v>2</v>
      </c>
      <c r="Q200" s="105" t="s">
        <v>9</v>
      </c>
      <c r="R200" s="10"/>
      <c r="S200" s="59">
        <f t="array" ref="S200">IF(COUNTA(Q200:Q1644)=0,"",SUM((COUNTIF(Q$4:Q200,Upgrades!$B$3:$B$13)-COUNTIF(Q$4:Q200,"Sell_"&amp;Upgrades!$B$3:$B$13))*Upgrades!$D$3:$D$13))</f>
        <v>167410</v>
      </c>
      <c r="T200" s="66">
        <f>IFERROR(__xludf.DUMMYFUNCTION("IF(COUNTA(Q200:Q1644)=0,"""",IF(REGEXMATCH(INDEX(FILTER(Q$4:Q200,Q$4:Q200&lt;&gt;""""),ROWS(FILTER(Q$4:Q200,Q$4:Q200&lt;&gt;""""))),""^Sell_""),INDEX(FILTER(T$4:T199,Q$4:Q199&lt;&gt;""""),ROWS(FILTER(Q$4:Q199,Q$4:Q199&lt;&gt;""""))),$AD$5+S200))"),167420.0)</f>
        <v>167420</v>
      </c>
      <c r="U200" s="10">
        <f>IFERROR(__xludf.DUMMYFUNCTION("IF(COUNTA(Q200:Q1644)=0,"""",IF(Q200="""",0,IF(REGEXMATCH(Q200,""^Sell_""),-ROUNDDOWN(ROUNDUP(INDEX(Upgrades!$C$3:$C$13,MATCH(SUBSTITUTE(Q200,""Sell_"",""""),Upgrades!$B$3:$B$13,0))*1.15^(COUNTIF(Q$4:Q199,SUBSTITUTE(Q200,""Sell_"",""""))-COUNTIF(Q$4:Q199,"&amp;"""Sell_""&amp;SUBSTITUTE(Q200,""Sell_"",""""))))/2),ROUNDUP(INDEX(Upgrades!$C$3:$C$13,MATCH(Q200,Upgrades!$B$3:$B$13,0))*1.15^(COUNTIF(Q$4:Q199,Q200)-COUNTIF(Q$4:Q199,""Sell_""&amp;Q200))))))"),230000.0)</f>
        <v>230000</v>
      </c>
      <c r="V200" s="10">
        <f t="shared" si="11"/>
        <v>230000</v>
      </c>
      <c r="W200" s="68">
        <f t="shared" si="12"/>
        <v>5339.349046</v>
      </c>
      <c r="X200" s="59" t="str">
        <f t="shared" si="13"/>
        <v>1h 28m 59s</v>
      </c>
      <c r="Y200" s="69">
        <f t="shared" si="14"/>
        <v>187103462</v>
      </c>
      <c r="Z200" s="11"/>
      <c r="AG200" s="59"/>
    </row>
    <row r="201">
      <c r="A201" s="8"/>
      <c r="B201" s="56">
        <f t="shared" si="2"/>
        <v>17</v>
      </c>
      <c r="C201" s="105" t="s">
        <v>9</v>
      </c>
      <c r="D201" s="10"/>
      <c r="E201" s="59">
        <f t="array" ref="E201">IF(COUNTA(C201:C1644)=0,"",SUM((COUNTIF(C$4:C201,Upgrades!$B$3:$B$13)-COUNTIF(C$4:C201,"Sell_"&amp;Upgrades!$B$3:$B$13))*Upgrades!$D$3:$D$13))</f>
        <v>551470.1</v>
      </c>
      <c r="F201" s="66">
        <f>IFERROR(__xludf.DUMMYFUNCTION("IF(COUNTA(C201:C1644)=0,"""",IF(REGEXMATCH(INDEX(FILTER(C$4:C201,C$4:C201&lt;&gt;""""),ROWS(FILTER(C$4:C201,C$4:C201&lt;&gt;""""))),""^Sell_""),INDEX(FILTER(F$4:F200,C$4:C200&lt;&gt;""""),ROWS(FILTER(C$4:C200,C$4:C200&lt;&gt;""""))),$AC$5+E201))"),551480.1)</f>
        <v>551480.1</v>
      </c>
      <c r="G201" s="10">
        <f>IFERROR(__xludf.DUMMYFUNCTION("IF(COUNTA(C201:C1644)=0,"""",IF(C201="""",0,IF(REGEXMATCH(C201,""^Sell_""),-ROUNDDOWN(ROUNDUP(INDEX(Upgrades!$C$3:$C$13,MATCH(SUBSTITUTE(C201,""Sell_"",""""),Upgrades!$B$3:$B$13,0))*1.15^(COUNTIF(C$4:C200,SUBSTITUTE(C201,""Sell_"",""""))-COUNTIF(C$4:C200,"&amp;"""Sell_""&amp;SUBSTITUTE(C201,""Sell_"",""""))))/2),ROUNDUP(INDEX(Upgrades!$C$3:$C$13,MATCH(C201,Upgrades!$B$3:$B$13,0))*1.15^(COUNTIF(C$4:C200,C201)-COUNTIF(C$4:C200,""Sell_""&amp;C201))))))"),1871525.0)</f>
        <v>1871525</v>
      </c>
      <c r="H201" s="10">
        <f t="shared" si="3"/>
        <v>1871525</v>
      </c>
      <c r="I201" s="68">
        <f t="shared" si="4"/>
        <v>7627.176397</v>
      </c>
      <c r="J201" s="59" t="str">
        <f t="shared" si="5"/>
        <v>2h 07m 07s</v>
      </c>
      <c r="K201" s="69">
        <f t="shared" si="6"/>
        <v>875147919</v>
      </c>
      <c r="L201" s="60">
        <f t="shared" si="7"/>
        <v>-54.91066</v>
      </c>
      <c r="M201" s="61">
        <f>IFERROR(__xludf.DUMMYFUNCTION("IFS(AND(COUNTA(C201:C1644)=0,COUNTA(Q201:Q1644)=0),"""",OR(AND(K201&gt;=1000000000,OR(Y201&gt;=1000000000,COUNTA(Q201:Q1644)=0)),OR(Y201&gt;=1000000000,AND(COUNTA(C201:C1644)=0,P$3=TRUE))),
ROUNDDOWN((AB$1-AC$1)*MAX(INDEX(T$4:T1644,MATCH(LARGE(FILTER(Y$4:Y1644,Y$4"&amp;":Y1644&lt;1000000000),1),Y$4:Y1644)),INDEX(F$4:F1644,MATCH(LARGE(FILTER(K$4:K1644,K$4:K1644&lt;1000000000),1),K$4:K1644)))),AND(K201&lt;1000000000,COUNTA(C201:C1644)&gt;0,P$3=FALSE),
ROUNDDOWN(INDEX(Y$4:Y1644,MATCH(LARGE(FILTER(W$4:W1644,W$4:W1644&lt;=I201),1),W$4:W1644"&amp;"))+(I201-LARGE(FILTER(W$4:W1644,W$4:W1644&lt;=I201),1))*INDEX(T$4:T1644,MATCH(LARGE(FILTER(W$4:W1644,W$4:W1644&lt;=I201),1),W$4:W1644))-K201),1,
ROUNDDOWN(Y201-INDEX(K$4:K1644,MATCH(LARGE(FILTER(I$4:I1644,I$4:I1644&lt;=W201),1),I$4:I1644))-(W201-LARGE(FILTER(I$4:I"&amp;"1644,I$4:I1644&lt;=W201),1))*INDEX(F$4:F1644,MATCH(LARGE(FILTER(I$4:I1644,I$4:I1644&lt;=W201),1),I$4:I1644))))"),2.9383066E7)</f>
        <v>29383066</v>
      </c>
      <c r="N201" s="60">
        <f t="shared" si="8"/>
        <v>-54.91066</v>
      </c>
      <c r="O201" s="61" t="str">
        <f t="shared" si="9"/>
        <v>29,4M</v>
      </c>
      <c r="P201" s="56">
        <f t="shared" si="10"/>
        <v>4</v>
      </c>
      <c r="Q201" s="105" t="s">
        <v>8</v>
      </c>
      <c r="R201" s="10"/>
      <c r="S201" s="59">
        <f t="array" ref="S201">IF(COUNTA(Q201:Q1644)=0,"",SUM((COUNTIF(Q$4:Q201,Upgrades!$B$3:$B$13)-COUNTIF(Q$4:Q201,"Sell_"&amp;Upgrades!$B$3:$B$13))*Upgrades!$D$3:$D$13))</f>
        <v>167510</v>
      </c>
      <c r="T201" s="66">
        <f>IFERROR(__xludf.DUMMYFUNCTION("IF(COUNTA(Q201:Q1644)=0,"""",IF(REGEXMATCH(INDEX(FILTER(Q$4:Q201,Q$4:Q201&lt;&gt;""""),ROWS(FILTER(Q$4:Q201,Q$4:Q201&lt;&gt;""""))),""^Sell_""),INDEX(FILTER(T$4:T200,Q$4:Q200&lt;&gt;""""),ROWS(FILTER(Q$4:Q200,Q$4:Q200&lt;&gt;""""))),$AD$5+S201))"),167520.0)</f>
        <v>167520</v>
      </c>
      <c r="U201" s="10">
        <f>IFERROR(__xludf.DUMMYFUNCTION("IF(COUNTA(Q201:Q1644)=0,"""",IF(Q201="""",0,IF(REGEXMATCH(Q201,""^Sell_""),-ROUNDDOWN(ROUNDUP(INDEX(Upgrades!$C$3:$C$13,MATCH(SUBSTITUTE(Q201,""Sell_"",""""),Upgrades!$B$3:$B$13,0))*1.15^(COUNTIF(Q$4:Q200,SUBSTITUTE(Q201,""Sell_"",""""))-COUNTIF(Q$4:Q200,"&amp;"""Sell_""&amp;SUBSTITUTE(Q201,""Sell_"",""""))))/2),ROUNDUP(INDEX(Upgrades!$C$3:$C$13,MATCH(Q201,Upgrades!$B$3:$B$13,0))*1.15^(COUNTIF(Q$4:Q200,Q201)-COUNTIF(Q$4:Q200,""Sell_""&amp;Q201))))))"),60835.0)</f>
        <v>60835</v>
      </c>
      <c r="V201" s="10">
        <f t="shared" si="11"/>
        <v>60835</v>
      </c>
      <c r="W201" s="68">
        <f t="shared" si="12"/>
        <v>5339.712413</v>
      </c>
      <c r="X201" s="59" t="str">
        <f t="shared" si="13"/>
        <v>1h 28m 59s</v>
      </c>
      <c r="Y201" s="69">
        <f t="shared" si="14"/>
        <v>187164297</v>
      </c>
      <c r="Z201" s="11"/>
      <c r="AG201" s="59"/>
    </row>
    <row r="202">
      <c r="A202" s="8"/>
      <c r="B202" s="56">
        <f t="shared" si="2"/>
        <v>22</v>
      </c>
      <c r="C202" s="105" t="s">
        <v>7</v>
      </c>
      <c r="D202" s="10"/>
      <c r="E202" s="59">
        <f t="array" ref="E202">IF(COUNTA(C202:C1644)=0,"",SUM((COUNTIF(C$4:C202,Upgrades!$B$3:$B$13)-COUNTIF(C$4:C202,"Sell_"&amp;Upgrades!$B$3:$B$13))*Upgrades!$D$3:$D$13))</f>
        <v>551510.1</v>
      </c>
      <c r="F202" s="66">
        <f>IFERROR(__xludf.DUMMYFUNCTION("IF(COUNTA(C202:C1644)=0,"""",IF(REGEXMATCH(INDEX(FILTER(C$4:C202,C$4:C202&lt;&gt;""""),ROWS(FILTER(C$4:C202,C$4:C202&lt;&gt;""""))),""^Sell_""),INDEX(FILTER(F$4:F201,C$4:C201&lt;&gt;""""),ROWS(FILTER(C$4:C201,C$4:C201&lt;&gt;""""))),$AC$5+E202))"),551520.1)</f>
        <v>551520.1</v>
      </c>
      <c r="G202" s="10">
        <f>IFERROR(__xludf.DUMMYFUNCTION("IF(COUNTA(C202:C1644)=0,"""",IF(C202="""",0,IF(REGEXMATCH(C202,""^Sell_""),-ROUNDDOWN(ROUNDUP(INDEX(Upgrades!$C$3:$C$13,MATCH(SUBSTITUTE(C202,""Sell_"",""""),Upgrades!$B$3:$B$13,0))*1.15^(COUNTIF(C$4:C201,SUBSTITUTE(C202,""Sell_"",""""))-COUNTIF(C$4:C201,"&amp;"""Sell_""&amp;SUBSTITUTE(C202,""Sell_"",""""))))/2),ROUNDUP(INDEX(Upgrades!$C$3:$C$13,MATCH(C202,Upgrades!$B$3:$B$13,0))*1.15^(COUNTIF(C$4:C201,C202)-COUNTIF(C$4:C201,""Sell_""&amp;C202))))))"),188216.0)</f>
        <v>188216</v>
      </c>
      <c r="H202" s="10">
        <f t="shared" si="3"/>
        <v>188216</v>
      </c>
      <c r="I202" s="68">
        <f t="shared" si="4"/>
        <v>7627.51769</v>
      </c>
      <c r="J202" s="59" t="str">
        <f t="shared" si="5"/>
        <v>2h 07m 07s</v>
      </c>
      <c r="K202" s="69">
        <f t="shared" si="6"/>
        <v>875336135</v>
      </c>
      <c r="L202" s="60">
        <f t="shared" si="7"/>
        <v>-54.89711</v>
      </c>
      <c r="M202" s="61">
        <f>IFERROR(__xludf.DUMMYFUNCTION("IFS(AND(COUNTA(C202:C1644)=0,COUNTA(Q202:Q1644)=0),"""",OR(AND(K202&gt;=1000000000,OR(Y202&gt;=1000000000,COUNTA(Q202:Q1644)=0)),OR(Y202&gt;=1000000000,AND(COUNTA(C202:C1644)=0,P$3=TRUE))),
ROUNDDOWN((AB$1-AC$1)*MAX(INDEX(T$4:T1644,MATCH(LARGE(FILTER(Y$4:Y1644,Y$4"&amp;":Y1644&lt;1000000000),1),Y$4:Y1644)),INDEX(F$4:F1644,MATCH(LARGE(FILTER(K$4:K1644,K$4:K1644&lt;1000000000),1),K$4:K1644)))),AND(K202&lt;1000000000,COUNTA(C202:C1644)&gt;0,P$3=FALSE),
ROUNDDOWN(INDEX(Y$4:Y1644,MATCH(LARGE(FILTER(W$4:W1644,W$4:W1644&lt;=I202),1),W$4:W1644"&amp;"))+(I202-LARGE(FILTER(W$4:W1644,W$4:W1644&lt;=I202),1))*INDEX(T$4:T1644,MATCH(LARGE(FILTER(W$4:W1644,W$4:W1644&lt;=I202),1),W$4:W1644))-K202),1,
ROUNDDOWN(Y202-INDEX(K$4:K1644,MATCH(LARGE(FILTER(I$4:I1644,I$4:I1644&lt;=W202),1),I$4:I1644))-(W202-LARGE(FILTER(I$4:I"&amp;"1644,I$4:I1644&lt;=W202),1))*INDEX(F$4:F1644,MATCH(LARGE(FILTER(I$4:I1644,I$4:I1644&lt;=W202),1),I$4:I1644))))"),2.937834E7)</f>
        <v>29378340</v>
      </c>
      <c r="N202" s="60">
        <f t="shared" si="8"/>
        <v>-54.89711</v>
      </c>
      <c r="O202" s="61" t="str">
        <f t="shared" si="9"/>
        <v>29,4M</v>
      </c>
      <c r="P202" s="56">
        <f t="shared" si="10"/>
        <v>3</v>
      </c>
      <c r="Q202" s="105" t="s">
        <v>9</v>
      </c>
      <c r="R202" s="10"/>
      <c r="S202" s="59">
        <f t="array" ref="S202">IF(COUNTA(Q202:Q1644)=0,"",SUM((COUNTIF(Q$4:Q202,Upgrades!$B$3:$B$13)-COUNTIF(Q$4:Q202,"Sell_"&amp;Upgrades!$B$3:$B$13))*Upgrades!$D$3:$D$13))</f>
        <v>167910</v>
      </c>
      <c r="T202" s="66">
        <f>IFERROR(__xludf.DUMMYFUNCTION("IF(COUNTA(Q202:Q1644)=0,"""",IF(REGEXMATCH(INDEX(FILTER(Q$4:Q202,Q$4:Q202&lt;&gt;""""),ROWS(FILTER(Q$4:Q202,Q$4:Q202&lt;&gt;""""))),""^Sell_""),INDEX(FILTER(T$4:T201,Q$4:Q201&lt;&gt;""""),ROWS(FILTER(Q$4:Q201,Q$4:Q201&lt;&gt;""""))),$AD$5+S202))"),167920.0)</f>
        <v>167920</v>
      </c>
      <c r="U202" s="10">
        <f>IFERROR(__xludf.DUMMYFUNCTION("IF(COUNTA(Q202:Q1644)=0,"""",IF(Q202="""",0,IF(REGEXMATCH(Q202,""^Sell_""),-ROUNDDOWN(ROUNDUP(INDEX(Upgrades!$C$3:$C$13,MATCH(SUBSTITUTE(Q202,""Sell_"",""""),Upgrades!$B$3:$B$13,0))*1.15^(COUNTIF(Q$4:Q201,SUBSTITUTE(Q202,""Sell_"",""""))-COUNTIF(Q$4:Q201,"&amp;"""Sell_""&amp;SUBSTITUTE(Q202,""Sell_"",""""))))/2),ROUNDUP(INDEX(Upgrades!$C$3:$C$13,MATCH(Q202,Upgrades!$B$3:$B$13,0))*1.15^(COUNTIF(Q$4:Q201,Q202)-COUNTIF(Q$4:Q201,""Sell_""&amp;Q202))))))"),264500.0)</f>
        <v>264500</v>
      </c>
      <c r="V202" s="10">
        <f t="shared" si="11"/>
        <v>264500</v>
      </c>
      <c r="W202" s="68">
        <f t="shared" si="12"/>
        <v>5341.291329</v>
      </c>
      <c r="X202" s="59" t="str">
        <f t="shared" si="13"/>
        <v>1h 29m 01s</v>
      </c>
      <c r="Y202" s="69">
        <f t="shared" si="14"/>
        <v>187428797</v>
      </c>
      <c r="Z202" s="11"/>
      <c r="AG202" s="59"/>
    </row>
    <row r="203">
      <c r="A203" s="8"/>
      <c r="B203" s="56">
        <f t="shared" si="2"/>
        <v>27</v>
      </c>
      <c r="C203" s="105" t="s">
        <v>5</v>
      </c>
      <c r="D203" s="10"/>
      <c r="E203" s="59">
        <f t="array" ref="E203">IF(COUNTA(C203:C1644)=0,"",SUM((COUNTIF(C$4:C203,Upgrades!$B$3:$B$13)-COUNTIF(C$4:C203,"Sell_"&amp;Upgrades!$B$3:$B$13))*Upgrades!$D$3:$D$13))</f>
        <v>551514.1</v>
      </c>
      <c r="F203" s="66">
        <f>IFERROR(__xludf.DUMMYFUNCTION("IF(COUNTA(C203:C1644)=0,"""",IF(REGEXMATCH(INDEX(FILTER(C$4:C203,C$4:C203&lt;&gt;""""),ROWS(FILTER(C$4:C203,C$4:C203&lt;&gt;""""))),""^Sell_""),INDEX(FILTER(F$4:F202,C$4:C202&lt;&gt;""""),ROWS(FILTER(C$4:C202,C$4:C202&lt;&gt;""""))),$AC$5+E203))"),551524.1)</f>
        <v>551524.1</v>
      </c>
      <c r="G203" s="10">
        <f>IFERROR(__xludf.DUMMYFUNCTION("IF(COUNTA(C203:C1644)=0,"""",IF(C203="""",0,IF(REGEXMATCH(C203,""^Sell_""),-ROUNDDOWN(ROUNDUP(INDEX(Upgrades!$C$3:$C$13,MATCH(SUBSTITUTE(C203,""Sell_"",""""),Upgrades!$B$3:$B$13,0))*1.15^(COUNTIF(C$4:C202,SUBSTITUTE(C203,""Sell_"",""""))-COUNTIF(C$4:C202,"&amp;"""Sell_""&amp;SUBSTITUTE(C203,""Sell_"",""""))))/2),ROUNDUP(INDEX(Upgrades!$C$3:$C$13,MATCH(C203,Upgrades!$B$3:$B$13,0))*1.15^(COUNTIF(C$4:C202,C203)-COUNTIF(C$4:C202,""Sell_""&amp;C203))))))"),18929.0)</f>
        <v>18929</v>
      </c>
      <c r="H203" s="10">
        <f t="shared" si="3"/>
        <v>18929</v>
      </c>
      <c r="I203" s="68">
        <f t="shared" si="4"/>
        <v>7627.552011</v>
      </c>
      <c r="J203" s="59" t="str">
        <f t="shared" si="5"/>
        <v>2h 07m 07s</v>
      </c>
      <c r="K203" s="69">
        <f t="shared" si="6"/>
        <v>875355064</v>
      </c>
      <c r="L203" s="60">
        <f t="shared" si="7"/>
        <v>-54.89575</v>
      </c>
      <c r="M203" s="61">
        <f>IFERROR(__xludf.DUMMYFUNCTION("IFS(AND(COUNTA(C203:C1644)=0,COUNTA(Q203:Q1644)=0),"""",OR(AND(K203&gt;=1000000000,OR(Y203&gt;=1000000000,COUNTA(Q203:Q1644)=0)),OR(Y203&gt;=1000000000,AND(COUNTA(C203:C1644)=0,P$3=TRUE))),
ROUNDDOWN((AB$1-AC$1)*MAX(INDEX(T$4:T1644,MATCH(LARGE(FILTER(Y$4:Y1644,Y$4"&amp;":Y1644&lt;1000000000),1),Y$4:Y1644)),INDEX(F$4:F1644,MATCH(LARGE(FILTER(K$4:K1644,K$4:K1644&lt;1000000000),1),K$4:K1644)))),AND(K203&lt;1000000000,COUNTA(C203:C1644)&gt;0,P$3=FALSE),
ROUNDDOWN(INDEX(Y$4:Y1644,MATCH(LARGE(FILTER(W$4:W1644,W$4:W1644&lt;=I203),1),W$4:W1644"&amp;"))+(I203-LARGE(FILTER(W$4:W1644,W$4:W1644&lt;=I203),1))*INDEX(T$4:T1644,MATCH(LARGE(FILTER(W$4:W1644,W$4:W1644&lt;=I203),1),W$4:W1644))-K203),1,
ROUNDDOWN(Y203-INDEX(K$4:K1644,MATCH(LARGE(FILTER(I$4:I1644,I$4:I1644&lt;=W203),1),I$4:I1644))-(W203-LARGE(FILTER(I$4:I"&amp;"1644,I$4:I1644&lt;=W203),1))*INDEX(F$4:F1644,MATCH(LARGE(FILTER(I$4:I1644,I$4:I1644&lt;=W203),1),I$4:I1644))))"),2.9377864E7)</f>
        <v>29377864</v>
      </c>
      <c r="N203" s="60">
        <f t="shared" si="8"/>
        <v>-54.89575</v>
      </c>
      <c r="O203" s="61" t="str">
        <f t="shared" si="9"/>
        <v>29,4M</v>
      </c>
      <c r="P203" s="56">
        <f t="shared" si="10"/>
        <v>5</v>
      </c>
      <c r="Q203" s="105" t="s">
        <v>8</v>
      </c>
      <c r="R203" s="10"/>
      <c r="S203" s="59">
        <f t="array" ref="S203">IF(COUNTA(Q203:Q1644)=0,"",SUM((COUNTIF(Q$4:Q203,Upgrades!$B$3:$B$13)-COUNTIF(Q$4:Q203,"Sell_"&amp;Upgrades!$B$3:$B$13))*Upgrades!$D$3:$D$13))</f>
        <v>168010</v>
      </c>
      <c r="T203" s="66">
        <f>IFERROR(__xludf.DUMMYFUNCTION("IF(COUNTA(Q203:Q1644)=0,"""",IF(REGEXMATCH(INDEX(FILTER(Q$4:Q203,Q$4:Q203&lt;&gt;""""),ROWS(FILTER(Q$4:Q203,Q$4:Q203&lt;&gt;""""))),""^Sell_""),INDEX(FILTER(T$4:T202,Q$4:Q202&lt;&gt;""""),ROWS(FILTER(Q$4:Q202,Q$4:Q202&lt;&gt;""""))),$AD$5+S203))"),168020.0)</f>
        <v>168020</v>
      </c>
      <c r="U203" s="10">
        <f>IFERROR(__xludf.DUMMYFUNCTION("IF(COUNTA(Q203:Q1644)=0,"""",IF(Q203="""",0,IF(REGEXMATCH(Q203,""^Sell_""),-ROUNDDOWN(ROUNDUP(INDEX(Upgrades!$C$3:$C$13,MATCH(SUBSTITUTE(Q203,""Sell_"",""""),Upgrades!$B$3:$B$13,0))*1.15^(COUNTIF(Q$4:Q202,SUBSTITUTE(Q203,""Sell_"",""""))-COUNTIF(Q$4:Q202,"&amp;"""Sell_""&amp;SUBSTITUTE(Q203,""Sell_"",""""))))/2),ROUNDUP(INDEX(Upgrades!$C$3:$C$13,MATCH(Q203,Upgrades!$B$3:$B$13,0))*1.15^(COUNTIF(Q$4:Q202,Q203)-COUNTIF(Q$4:Q202,""Sell_""&amp;Q203))))))"),69961.0)</f>
        <v>69961</v>
      </c>
      <c r="V203" s="10">
        <f t="shared" si="11"/>
        <v>69961</v>
      </c>
      <c r="W203" s="68">
        <f t="shared" si="12"/>
        <v>5341.707962</v>
      </c>
      <c r="X203" s="59" t="str">
        <f t="shared" si="13"/>
        <v>1h 29m 01s</v>
      </c>
      <c r="Y203" s="69">
        <f t="shared" si="14"/>
        <v>187498758</v>
      </c>
      <c r="Z203" s="11"/>
      <c r="AG203" s="59"/>
    </row>
    <row r="204">
      <c r="A204" s="8"/>
      <c r="B204" s="56">
        <f t="shared" si="2"/>
        <v>23</v>
      </c>
      <c r="C204" s="105" t="s">
        <v>10</v>
      </c>
      <c r="D204" s="10"/>
      <c r="E204" s="59">
        <f t="array" ref="E204">IF(COUNTA(C204:C1644)=0,"",SUM((COUNTIF(C$4:C204,Upgrades!$B$3:$B$13)-COUNTIF(C$4:C204,"Sell_"&amp;Upgrades!$B$3:$B$13))*Upgrades!$D$3:$D$13))</f>
        <v>558180.1</v>
      </c>
      <c r="F204" s="66">
        <f>IFERROR(__xludf.DUMMYFUNCTION("IF(COUNTA(C204:C1644)=0,"""",IF(REGEXMATCH(INDEX(FILTER(C$4:C204,C$4:C204&lt;&gt;""""),ROWS(FILTER(C$4:C204,C$4:C204&lt;&gt;""""))),""^Sell_""),INDEX(FILTER(F$4:F203,C$4:C203&lt;&gt;""""),ROWS(FILTER(C$4:C203,C$4:C203&lt;&gt;""""))),$AC$5+E204))"),558190.1)</f>
        <v>558190.1</v>
      </c>
      <c r="G204" s="10">
        <f>IFERROR(__xludf.DUMMYFUNCTION("IF(COUNTA(C204:C1644)=0,"""",IF(C204="""",0,IF(REGEXMATCH(C204,""^Sell_""),-ROUNDDOWN(ROUNDUP(INDEX(Upgrades!$C$3:$C$13,MATCH(SUBSTITUTE(C204,""Sell_"",""""),Upgrades!$B$3:$B$13,0))*1.15^(COUNTIF(C$4:C203,SUBSTITUTE(C204,""Sell_"",""""))-COUNTIF(C$4:C203,"&amp;"""Sell_""&amp;SUBSTITUTE(C204,""Sell_"",""""))))/2),ROUNDUP(INDEX(Upgrades!$C$3:$C$13,MATCH(C204,Upgrades!$B$3:$B$13,0))*1.15^(COUNTIF(C$4:C203,C204)-COUNTIF(C$4:C203,""Sell_""&amp;C204))))))"),3.6074562E7)</f>
        <v>36074562</v>
      </c>
      <c r="H204" s="10">
        <f t="shared" si="3"/>
        <v>36074562</v>
      </c>
      <c r="I204" s="68">
        <f t="shared" si="4"/>
        <v>7692.96087</v>
      </c>
      <c r="J204" s="59" t="str">
        <f t="shared" si="5"/>
        <v>2h 08m 12s</v>
      </c>
      <c r="K204" s="69">
        <f t="shared" si="6"/>
        <v>911429626</v>
      </c>
      <c r="L204" s="60">
        <f t="shared" si="7"/>
        <v>-52.95297</v>
      </c>
      <c r="M204" s="61">
        <f>IFERROR(__xludf.DUMMYFUNCTION("IFS(AND(COUNTA(C204:C1644)=0,COUNTA(Q204:Q1644)=0),"""",OR(AND(K204&gt;=1000000000,OR(Y204&gt;=1000000000,COUNTA(Q204:Q1644)=0)),OR(Y204&gt;=1000000000,AND(COUNTA(C204:C1644)=0,P$3=TRUE))),
ROUNDDOWN((AB$1-AC$1)*MAX(INDEX(T$4:T1644,MATCH(LARGE(FILTER(Y$4:Y1644,Y$4"&amp;":Y1644&lt;1000000000),1),Y$4:Y1644)),INDEX(F$4:F1644,MATCH(LARGE(FILTER(K$4:K1644,K$4:K1644&lt;1000000000),1),K$4:K1644)))),AND(K204&lt;1000000000,COUNTA(C204:C1644)&gt;0,P$3=FALSE),
ROUNDDOWN(INDEX(Y$4:Y1644,MATCH(LARGE(FILTER(W$4:W1644,W$4:W1644&lt;=I204),1),W$4:W1644"&amp;"))+(I204-LARGE(FILTER(W$4:W1644,W$4:W1644&lt;=I204),1))*INDEX(T$4:T1644,MATCH(LARGE(FILTER(W$4:W1644,W$4:W1644&lt;=I204),1),W$4:W1644))-K204),1,
ROUNDDOWN(Y204-INDEX(K$4:K1644,MATCH(LARGE(FILTER(I$4:I1644,I$4:I1644&lt;=W204),1),I$4:I1644))-(W204-LARGE(FILTER(I$4:I"&amp;"1644,I$4:I1644&lt;=W204),1))*INDEX(F$4:F1644,MATCH(LARGE(FILTER(I$4:I1644,I$4:I1644&lt;=W204),1),I$4:I1644))))"),2.8806016E7)</f>
        <v>28806016</v>
      </c>
      <c r="N204" s="60">
        <f t="shared" si="8"/>
        <v>-52.95297</v>
      </c>
      <c r="O204" s="61" t="str">
        <f t="shared" si="9"/>
        <v>28,8M</v>
      </c>
      <c r="P204" s="56">
        <f t="shared" si="10"/>
        <v>4</v>
      </c>
      <c r="Q204" s="105" t="s">
        <v>9</v>
      </c>
      <c r="R204" s="10"/>
      <c r="S204" s="59">
        <f t="array" ref="S204">IF(COUNTA(Q204:Q1644)=0,"",SUM((COUNTIF(Q$4:Q204,Upgrades!$B$3:$B$13)-COUNTIF(Q$4:Q204,"Sell_"&amp;Upgrades!$B$3:$B$13))*Upgrades!$D$3:$D$13))</f>
        <v>168410</v>
      </c>
      <c r="T204" s="66">
        <f>IFERROR(__xludf.DUMMYFUNCTION("IF(COUNTA(Q204:Q1644)=0,"""",IF(REGEXMATCH(INDEX(FILTER(Q$4:Q204,Q$4:Q204&lt;&gt;""""),ROWS(FILTER(Q$4:Q204,Q$4:Q204&lt;&gt;""""))),""^Sell_""),INDEX(FILTER(T$4:T203,Q$4:Q203&lt;&gt;""""),ROWS(FILTER(Q$4:Q203,Q$4:Q203&lt;&gt;""""))),$AD$5+S204))"),168420.0)</f>
        <v>168420</v>
      </c>
      <c r="U204" s="10">
        <f>IFERROR(__xludf.DUMMYFUNCTION("IF(COUNTA(Q204:Q1644)=0,"""",IF(Q204="""",0,IF(REGEXMATCH(Q204,""^Sell_""),-ROUNDDOWN(ROUNDUP(INDEX(Upgrades!$C$3:$C$13,MATCH(SUBSTITUTE(Q204,""Sell_"",""""),Upgrades!$B$3:$B$13,0))*1.15^(COUNTIF(Q$4:Q203,SUBSTITUTE(Q204,""Sell_"",""""))-COUNTIF(Q$4:Q203,"&amp;"""Sell_""&amp;SUBSTITUTE(Q204,""Sell_"",""""))))/2),ROUNDUP(INDEX(Upgrades!$C$3:$C$13,MATCH(Q204,Upgrades!$B$3:$B$13,0))*1.15^(COUNTIF(Q$4:Q203,Q204)-COUNTIF(Q$4:Q203,""Sell_""&amp;Q204))))))"),304175.0)</f>
        <v>304175</v>
      </c>
      <c r="V204" s="10">
        <f t="shared" si="11"/>
        <v>304175</v>
      </c>
      <c r="W204" s="68">
        <f t="shared" si="12"/>
        <v>5343.518312</v>
      </c>
      <c r="X204" s="59" t="str">
        <f t="shared" si="13"/>
        <v>1h 29m 03s</v>
      </c>
      <c r="Y204" s="69">
        <f t="shared" si="14"/>
        <v>187802933</v>
      </c>
      <c r="Z204" s="11"/>
      <c r="AG204" s="59"/>
    </row>
    <row r="205">
      <c r="A205" s="8"/>
      <c r="B205" s="56">
        <f t="shared" si="2"/>
        <v>21</v>
      </c>
      <c r="C205" s="105" t="s">
        <v>6</v>
      </c>
      <c r="D205" s="10"/>
      <c r="E205" s="59">
        <f t="array" ref="E205">IF(COUNTA(C205:C1644)=0,"",SUM((COUNTIF(C$4:C205,Upgrades!$B$3:$B$13)-COUNTIF(C$4:C205,"Sell_"&amp;Upgrades!$B$3:$B$13))*Upgrades!$D$3:$D$13))</f>
        <v>558190.1</v>
      </c>
      <c r="F205" s="66">
        <f>IFERROR(__xludf.DUMMYFUNCTION("IF(COUNTA(C205:C1644)=0,"""",IF(REGEXMATCH(INDEX(FILTER(C$4:C205,C$4:C205&lt;&gt;""""),ROWS(FILTER(C$4:C205,C$4:C205&lt;&gt;""""))),""^Sell_""),INDEX(FILTER(F$4:F204,C$4:C204&lt;&gt;""""),ROWS(FILTER(C$4:C204,C$4:C204&lt;&gt;""""))),$AC$5+E205))"),558200.1)</f>
        <v>558200.1</v>
      </c>
      <c r="G205" s="10">
        <f>IFERROR(__xludf.DUMMYFUNCTION("IF(COUNTA(C205:C1644)=0,"""",IF(C205="""",0,IF(REGEXMATCH(C205,""^Sell_""),-ROUNDDOWN(ROUNDUP(INDEX(Upgrades!$C$3:$C$13,MATCH(SUBSTITUTE(C205,""Sell_"",""""),Upgrades!$B$3:$B$13,0))*1.15^(COUNTIF(C$4:C204,SUBSTITUTE(C205,""Sell_"",""""))-COUNTIF(C$4:C204,"&amp;"""Sell_""&amp;SUBSTITUTE(C205,""Sell_"",""""))))/2),ROUNDUP(INDEX(Upgrades!$C$3:$C$13,MATCH(C205,Upgrades!$B$3:$B$13,0))*1.15^(COUNTIF(C$4:C204,C205)-COUNTIF(C$4:C204,""Sell_""&amp;C205))))))"),49100.0)</f>
        <v>49100</v>
      </c>
      <c r="H205" s="10">
        <f t="shared" si="3"/>
        <v>49100</v>
      </c>
      <c r="I205" s="68">
        <f t="shared" si="4"/>
        <v>7693.048833</v>
      </c>
      <c r="J205" s="59" t="str">
        <f t="shared" si="5"/>
        <v>2h 08m 13s</v>
      </c>
      <c r="K205" s="69">
        <f t="shared" si="6"/>
        <v>911478726</v>
      </c>
      <c r="L205" s="60">
        <f t="shared" si="7"/>
        <v>-52.94961</v>
      </c>
      <c r="M205" s="61">
        <f>IFERROR(__xludf.DUMMYFUNCTION("IFS(AND(COUNTA(C205:C1644)=0,COUNTA(Q205:Q1644)=0),"""",OR(AND(K205&gt;=1000000000,OR(Y205&gt;=1000000000,COUNTA(Q205:Q1644)=0)),OR(Y205&gt;=1000000000,AND(COUNTA(C205:C1644)=0,P$3=TRUE))),
ROUNDDOWN((AB$1-AC$1)*MAX(INDEX(T$4:T1644,MATCH(LARGE(FILTER(Y$4:Y1644,Y$4"&amp;":Y1644&lt;1000000000),1),Y$4:Y1644)),INDEX(F$4:F1644,MATCH(LARGE(FILTER(K$4:K1644,K$4:K1644&lt;1000000000),1),K$4:K1644)))),AND(K205&lt;1000000000,COUNTA(C205:C1644)&gt;0,P$3=FALSE),
ROUNDDOWN(INDEX(Y$4:Y1644,MATCH(LARGE(FILTER(W$4:W1644,W$4:W1644&lt;=I205),1),W$4:W1644"&amp;"))+(I205-LARGE(FILTER(W$4:W1644,W$4:W1644&lt;=I205),1))*INDEX(T$4:T1644,MATCH(LARGE(FILTER(W$4:W1644,W$4:W1644&lt;=I205),1),W$4:W1644))-K205),1,
ROUNDDOWN(Y205-INDEX(K$4:K1644,MATCH(LARGE(FILTER(I$4:I1644,I$4:I1644&lt;=W205),1),I$4:I1644))-(W205-LARGE(FILTER(I$4:I"&amp;"1644,I$4:I1644&lt;=W205),1))*INDEX(F$4:F1644,MATCH(LARGE(FILTER(I$4:I1644,I$4:I1644&lt;=W205),1),I$4:I1644))))"),2.8804843E7)</f>
        <v>28804843</v>
      </c>
      <c r="N205" s="60">
        <f t="shared" si="8"/>
        <v>-52.94961</v>
      </c>
      <c r="O205" s="61" t="str">
        <f t="shared" si="9"/>
        <v>28,8M</v>
      </c>
      <c r="P205" s="56">
        <f t="shared" si="10"/>
        <v>6</v>
      </c>
      <c r="Q205" s="105" t="s">
        <v>8</v>
      </c>
      <c r="R205" s="10"/>
      <c r="S205" s="59">
        <f t="array" ref="S205">IF(COUNTA(Q205:Q1644)=0,"",SUM((COUNTIF(Q$4:Q205,Upgrades!$B$3:$B$13)-COUNTIF(Q$4:Q205,"Sell_"&amp;Upgrades!$B$3:$B$13))*Upgrades!$D$3:$D$13))</f>
        <v>168510</v>
      </c>
      <c r="T205" s="66">
        <f>IFERROR(__xludf.DUMMYFUNCTION("IF(COUNTA(Q205:Q1644)=0,"""",IF(REGEXMATCH(INDEX(FILTER(Q$4:Q205,Q$4:Q205&lt;&gt;""""),ROWS(FILTER(Q$4:Q205,Q$4:Q205&lt;&gt;""""))),""^Sell_""),INDEX(FILTER(T$4:T204,Q$4:Q204&lt;&gt;""""),ROWS(FILTER(Q$4:Q204,Q$4:Q204&lt;&gt;""""))),$AD$5+S205))"),168520.0)</f>
        <v>168520</v>
      </c>
      <c r="U205" s="10">
        <f>IFERROR(__xludf.DUMMYFUNCTION("IF(COUNTA(Q205:Q1644)=0,"""",IF(Q205="""",0,IF(REGEXMATCH(Q205,""^Sell_""),-ROUNDDOWN(ROUNDUP(INDEX(Upgrades!$C$3:$C$13,MATCH(SUBSTITUTE(Q205,""Sell_"",""""),Upgrades!$B$3:$B$13,0))*1.15^(COUNTIF(Q$4:Q204,SUBSTITUTE(Q205,""Sell_"",""""))-COUNTIF(Q$4:Q204,"&amp;"""Sell_""&amp;SUBSTITUTE(Q205,""Sell_"",""""))))/2),ROUNDUP(INDEX(Upgrades!$C$3:$C$13,MATCH(Q205,Upgrades!$B$3:$B$13,0))*1.15^(COUNTIF(Q$4:Q204,Q205)-COUNTIF(Q$4:Q204,""Sell_""&amp;Q205))))))"),80455.0)</f>
        <v>80455</v>
      </c>
      <c r="V205" s="10">
        <f t="shared" si="11"/>
        <v>80455</v>
      </c>
      <c r="W205" s="68">
        <f t="shared" si="12"/>
        <v>5343.996017</v>
      </c>
      <c r="X205" s="59" t="str">
        <f t="shared" si="13"/>
        <v>1h 29m 03s</v>
      </c>
      <c r="Y205" s="69">
        <f t="shared" si="14"/>
        <v>187883388</v>
      </c>
      <c r="Z205" s="11"/>
      <c r="AG205" s="59"/>
    </row>
    <row r="206">
      <c r="A206" s="8"/>
      <c r="B206" s="56">
        <f t="shared" si="2"/>
        <v>27</v>
      </c>
      <c r="C206" s="105" t="s">
        <v>3</v>
      </c>
      <c r="D206" s="10"/>
      <c r="E206" s="59">
        <f t="array" ref="E206">IF(COUNTA(C206:C1644)=0,"",SUM((COUNTIF(C$4:C206,Upgrades!$B$3:$B$13)-COUNTIF(C$4:C206,"Sell_"&amp;Upgrades!$B$3:$B$13))*Upgrades!$D$3:$D$13))</f>
        <v>558190.2</v>
      </c>
      <c r="F206" s="66">
        <f>IFERROR(__xludf.DUMMYFUNCTION("IF(COUNTA(C206:C1644)=0,"""",IF(REGEXMATCH(INDEX(FILTER(C$4:C206,C$4:C206&lt;&gt;""""),ROWS(FILTER(C$4:C206,C$4:C206&lt;&gt;""""))),""^Sell_""),INDEX(FILTER(F$4:F205,C$4:C205&lt;&gt;""""),ROWS(FILTER(C$4:C205,C$4:C205&lt;&gt;""""))),$AC$5+E206))"),558200.2)</f>
        <v>558200.2</v>
      </c>
      <c r="G206" s="10">
        <f>IFERROR(__xludf.DUMMYFUNCTION("IF(COUNTA(C206:C1644)=0,"""",IF(C206="""",0,IF(REGEXMATCH(C206,""^Sell_""),-ROUNDDOWN(ROUNDUP(INDEX(Upgrades!$C$3:$C$13,MATCH(SUBSTITUTE(C206,""Sell_"",""""),Upgrades!$B$3:$B$13,0))*1.15^(COUNTIF(C$4:C205,SUBSTITUTE(C206,""Sell_"",""""))-COUNTIF(C$4:C205,"&amp;"""Sell_""&amp;SUBSTITUTE(C206,""Sell_"",""""))))/2),ROUNDUP(INDEX(Upgrades!$C$3:$C$13,MATCH(C206,Upgrades!$B$3:$B$13,0))*1.15^(COUNTIF(C$4:C205,C206)-COUNTIF(C$4:C205,""Sell_""&amp;C206))))))"),568.0)</f>
        <v>568</v>
      </c>
      <c r="H206" s="10">
        <f t="shared" si="3"/>
        <v>568</v>
      </c>
      <c r="I206" s="68">
        <f t="shared" si="4"/>
        <v>7693.04985</v>
      </c>
      <c r="J206" s="59" t="str">
        <f t="shared" si="5"/>
        <v>2h 08m 13s</v>
      </c>
      <c r="K206" s="69">
        <f t="shared" si="6"/>
        <v>911479294</v>
      </c>
      <c r="L206" s="60">
        <f t="shared" si="7"/>
        <v>-52.94957</v>
      </c>
      <c r="M206" s="61">
        <f>IFERROR(__xludf.DUMMYFUNCTION("IFS(AND(COUNTA(C206:C1644)=0,COUNTA(Q206:Q1644)=0),"""",OR(AND(K206&gt;=1000000000,OR(Y206&gt;=1000000000,COUNTA(Q206:Q1644)=0)),OR(Y206&gt;=1000000000,AND(COUNTA(C206:C1644)=0,P$3=TRUE))),
ROUNDDOWN((AB$1-AC$1)*MAX(INDEX(T$4:T1644,MATCH(LARGE(FILTER(Y$4:Y1644,Y$4"&amp;":Y1644&lt;1000000000),1),Y$4:Y1644)),INDEX(F$4:F1644,MATCH(LARGE(FILTER(K$4:K1644,K$4:K1644&lt;1000000000),1),K$4:K1644)))),AND(K206&lt;1000000000,COUNTA(C206:C1644)&gt;0,P$3=FALSE),
ROUNDDOWN(INDEX(Y$4:Y1644,MATCH(LARGE(FILTER(W$4:W1644,W$4:W1644&lt;=I206),1),W$4:W1644"&amp;"))+(I206-LARGE(FILTER(W$4:W1644,W$4:W1644&lt;=I206),1))*INDEX(T$4:T1644,MATCH(LARGE(FILTER(W$4:W1644,W$4:W1644&lt;=I206),1),W$4:W1644))-K206),1,
ROUNDDOWN(Y206-INDEX(K$4:K1644,MATCH(LARGE(FILTER(I$4:I1644,I$4:I1644&lt;=W206),1),I$4:I1644))-(W206-LARGE(FILTER(I$4:I"&amp;"1644,I$4:I1644&lt;=W206),1))*INDEX(F$4:F1644,MATCH(LARGE(FILTER(I$4:I1644,I$4:I1644&lt;=W206),1),I$4:I1644))))"),2.880483E7)</f>
        <v>28804830</v>
      </c>
      <c r="N206" s="60">
        <f t="shared" si="8"/>
        <v>-52.94957</v>
      </c>
      <c r="O206" s="61" t="str">
        <f t="shared" si="9"/>
        <v>28,8M</v>
      </c>
      <c r="P206" s="56">
        <f t="shared" si="10"/>
        <v>5</v>
      </c>
      <c r="Q206" s="105" t="s">
        <v>9</v>
      </c>
      <c r="R206" s="10"/>
      <c r="S206" s="59">
        <f t="array" ref="S206">IF(COUNTA(Q206:Q1644)=0,"",SUM((COUNTIF(Q$4:Q206,Upgrades!$B$3:$B$13)-COUNTIF(Q$4:Q206,"Sell_"&amp;Upgrades!$B$3:$B$13))*Upgrades!$D$3:$D$13))</f>
        <v>168910</v>
      </c>
      <c r="T206" s="66">
        <f>IFERROR(__xludf.DUMMYFUNCTION("IF(COUNTA(Q206:Q1644)=0,"""",IF(REGEXMATCH(INDEX(FILTER(Q$4:Q206,Q$4:Q206&lt;&gt;""""),ROWS(FILTER(Q$4:Q206,Q$4:Q206&lt;&gt;""""))),""^Sell_""),INDEX(FILTER(T$4:T205,Q$4:Q205&lt;&gt;""""),ROWS(FILTER(Q$4:Q205,Q$4:Q205&lt;&gt;""""))),$AD$5+S206))"),168920.0)</f>
        <v>168920</v>
      </c>
      <c r="U206" s="10">
        <f>IFERROR(__xludf.DUMMYFUNCTION("IF(COUNTA(Q206:Q1644)=0,"""",IF(Q206="""",0,IF(REGEXMATCH(Q206,""^Sell_""),-ROUNDDOWN(ROUNDUP(INDEX(Upgrades!$C$3:$C$13,MATCH(SUBSTITUTE(Q206,""Sell_"",""""),Upgrades!$B$3:$B$13,0))*1.15^(COUNTIF(Q$4:Q205,SUBSTITUTE(Q206,""Sell_"",""""))-COUNTIF(Q$4:Q205,"&amp;"""Sell_""&amp;SUBSTITUTE(Q206,""Sell_"",""""))))/2),ROUNDUP(INDEX(Upgrades!$C$3:$C$13,MATCH(Q206,Upgrades!$B$3:$B$13,0))*1.15^(COUNTIF(Q$4:Q205,Q206)-COUNTIF(Q$4:Q205,""Sell_""&amp;Q206))))))"),349802.0)</f>
        <v>349802</v>
      </c>
      <c r="V206" s="10">
        <f t="shared" si="11"/>
        <v>349802</v>
      </c>
      <c r="W206" s="68">
        <f t="shared" si="12"/>
        <v>5346.071747</v>
      </c>
      <c r="X206" s="59" t="str">
        <f t="shared" si="13"/>
        <v>1h 29m 06s</v>
      </c>
      <c r="Y206" s="69">
        <f t="shared" si="14"/>
        <v>188233190</v>
      </c>
      <c r="Z206" s="11"/>
      <c r="AG206" s="59"/>
    </row>
    <row r="207">
      <c r="A207" s="8"/>
      <c r="B207" s="56">
        <f t="shared" si="2"/>
        <v>19</v>
      </c>
      <c r="C207" s="105" t="s">
        <v>8</v>
      </c>
      <c r="D207" s="10"/>
      <c r="E207" s="59">
        <f t="array" ref="E207">IF(COUNTA(C207:C1644)=0,"",SUM((COUNTIF(C$4:C207,Upgrades!$B$3:$B$13)-COUNTIF(C$4:C207,"Sell_"&amp;Upgrades!$B$3:$B$13))*Upgrades!$D$3:$D$13))</f>
        <v>558290.2</v>
      </c>
      <c r="F207" s="66">
        <f>IFERROR(__xludf.DUMMYFUNCTION("IF(COUNTA(C207:C1644)=0,"""",IF(REGEXMATCH(INDEX(FILTER(C$4:C207,C$4:C207&lt;&gt;""""),ROWS(FILTER(C$4:C207,C$4:C207&lt;&gt;""""))),""^Sell_""),INDEX(FILTER(F$4:F206,C$4:C206&lt;&gt;""""),ROWS(FILTER(C$4:C206,C$4:C206&lt;&gt;""""))),$AC$5+E207))"),558300.2)</f>
        <v>558300.2</v>
      </c>
      <c r="G207" s="10">
        <f>IFERROR(__xludf.DUMMYFUNCTION("IF(COUNTA(C207:C1644)=0,"""",IF(C207="""",0,IF(REGEXMATCH(C207,""^Sell_""),-ROUNDDOWN(ROUNDUP(INDEX(Upgrades!$C$3:$C$13,MATCH(SUBSTITUTE(C207,""Sell_"",""""),Upgrades!$B$3:$B$13,0))*1.15^(COUNTIF(C$4:C206,SUBSTITUTE(C207,""Sell_"",""""))-COUNTIF(C$4:C206,"&amp;"""Sell_""&amp;SUBSTITUTE(C207,""Sell_"",""""))))/2),ROUNDUP(INDEX(Upgrades!$C$3:$C$13,MATCH(C207,Upgrades!$B$3:$B$13,0))*1.15^(COUNTIF(C$4:C206,C207)-COUNTIF(C$4:C206,""Sell_""&amp;C207))))))"),495019.0)</f>
        <v>495019</v>
      </c>
      <c r="H207" s="10">
        <f t="shared" si="3"/>
        <v>495019</v>
      </c>
      <c r="I207" s="68">
        <f t="shared" si="4"/>
        <v>7693.936663</v>
      </c>
      <c r="J207" s="59" t="str">
        <f t="shared" si="5"/>
        <v>2h 08m 13s</v>
      </c>
      <c r="K207" s="69">
        <f t="shared" si="6"/>
        <v>911974313</v>
      </c>
      <c r="L207" s="60">
        <f t="shared" si="7"/>
        <v>-52.91565</v>
      </c>
      <c r="M207" s="61">
        <f>IFERROR(__xludf.DUMMYFUNCTION("IFS(AND(COUNTA(C207:C1644)=0,COUNTA(Q207:Q1644)=0),"""",OR(AND(K207&gt;=1000000000,OR(Y207&gt;=1000000000,COUNTA(Q207:Q1644)=0)),OR(Y207&gt;=1000000000,AND(COUNTA(C207:C1644)=0,P$3=TRUE))),
ROUNDDOWN((AB$1-AC$1)*MAX(INDEX(T$4:T1644,MATCH(LARGE(FILTER(Y$4:Y1644,Y$4"&amp;":Y1644&lt;1000000000),1),Y$4:Y1644)),INDEX(F$4:F1644,MATCH(LARGE(FILTER(K$4:K1644,K$4:K1644&lt;1000000000),1),K$4:K1644)))),AND(K207&lt;1000000000,COUNTA(C207:C1644)&gt;0,P$3=FALSE),
ROUNDDOWN(INDEX(Y$4:Y1644,MATCH(LARGE(FILTER(W$4:W1644,W$4:W1644&lt;=I207),1),W$4:W1644"&amp;"))+(I207-LARGE(FILTER(W$4:W1644,W$4:W1644&lt;=I207),1))*INDEX(T$4:T1644,MATCH(LARGE(FILTER(W$4:W1644,W$4:W1644&lt;=I207),1),W$4:W1644))-K207),1,
ROUNDDOWN(Y207-INDEX(K$4:K1644,MATCH(LARGE(FILTER(I$4:I1644,I$4:I1644&lt;=W207),1),I$4:I1644))-(W207-LARGE(FILTER(I$4:I"&amp;"1644,I$4:I1644&lt;=W207),1))*INDEX(F$4:F1644,MATCH(LARGE(FILTER(I$4:I1644,I$4:I1644&lt;=W207),1),I$4:I1644))))"),2.8792994E7)</f>
        <v>28792994</v>
      </c>
      <c r="N207" s="60">
        <f t="shared" si="8"/>
        <v>-52.91565</v>
      </c>
      <c r="O207" s="61" t="str">
        <f t="shared" si="9"/>
        <v>28,8M</v>
      </c>
      <c r="P207" s="56">
        <f t="shared" si="10"/>
        <v>7</v>
      </c>
      <c r="Q207" s="105" t="s">
        <v>8</v>
      </c>
      <c r="R207" s="10"/>
      <c r="S207" s="59">
        <f t="array" ref="S207">IF(COUNTA(Q207:Q1644)=0,"",SUM((COUNTIF(Q$4:Q207,Upgrades!$B$3:$B$13)-COUNTIF(Q$4:Q207,"Sell_"&amp;Upgrades!$B$3:$B$13))*Upgrades!$D$3:$D$13))</f>
        <v>169010</v>
      </c>
      <c r="T207" s="66">
        <f>IFERROR(__xludf.DUMMYFUNCTION("IF(COUNTA(Q207:Q1644)=0,"""",IF(REGEXMATCH(INDEX(FILTER(Q$4:Q207,Q$4:Q207&lt;&gt;""""),ROWS(FILTER(Q$4:Q207,Q$4:Q207&lt;&gt;""""))),""^Sell_""),INDEX(FILTER(T$4:T206,Q$4:Q206&lt;&gt;""""),ROWS(FILTER(Q$4:Q206,Q$4:Q206&lt;&gt;""""))),$AD$5+S207))"),169020.0)</f>
        <v>169020</v>
      </c>
      <c r="U207" s="10">
        <f>IFERROR(__xludf.DUMMYFUNCTION("IF(COUNTA(Q207:Q1644)=0,"""",IF(Q207="""",0,IF(REGEXMATCH(Q207,""^Sell_""),-ROUNDDOWN(ROUNDUP(INDEX(Upgrades!$C$3:$C$13,MATCH(SUBSTITUTE(Q207,""Sell_"",""""),Upgrades!$B$3:$B$13,0))*1.15^(COUNTIF(Q$4:Q206,SUBSTITUTE(Q207,""Sell_"",""""))-COUNTIF(Q$4:Q206,"&amp;"""Sell_""&amp;SUBSTITUTE(Q207,""Sell_"",""""))))/2),ROUNDUP(INDEX(Upgrades!$C$3:$C$13,MATCH(Q207,Upgrades!$B$3:$B$13,0))*1.15^(COUNTIF(Q$4:Q206,Q207)-COUNTIF(Q$4:Q206,""Sell_""&amp;Q207))))))"),92523.0)</f>
        <v>92523</v>
      </c>
      <c r="V207" s="10">
        <f t="shared" si="11"/>
        <v>92523</v>
      </c>
      <c r="W207" s="68">
        <f t="shared" si="12"/>
        <v>5346.619479</v>
      </c>
      <c r="X207" s="59" t="str">
        <f t="shared" si="13"/>
        <v>1h 29m 06s</v>
      </c>
      <c r="Y207" s="69">
        <f t="shared" si="14"/>
        <v>188325713</v>
      </c>
      <c r="Z207" s="11"/>
      <c r="AG207" s="59"/>
    </row>
    <row r="208">
      <c r="A208" s="8"/>
      <c r="B208" s="56">
        <f t="shared" si="2"/>
        <v>24</v>
      </c>
      <c r="C208" s="105" t="s">
        <v>4</v>
      </c>
      <c r="D208" s="10"/>
      <c r="E208" s="59">
        <f t="array" ref="E208">IF(COUNTA(C208:C1644)=0,"",SUM((COUNTIF(C$4:C208,Upgrades!$B$3:$B$13)-COUNTIF(C$4:C208,"Sell_"&amp;Upgrades!$B$3:$B$13))*Upgrades!$D$3:$D$13))</f>
        <v>558290.7</v>
      </c>
      <c r="F208" s="66">
        <f>IFERROR(__xludf.DUMMYFUNCTION("IF(COUNTA(C208:C1644)=0,"""",IF(REGEXMATCH(INDEX(FILTER(C$4:C208,C$4:C208&lt;&gt;""""),ROWS(FILTER(C$4:C208,C$4:C208&lt;&gt;""""))),""^Sell_""),INDEX(FILTER(F$4:F207,C$4:C207&lt;&gt;""""),ROWS(FILTER(C$4:C207,C$4:C207&lt;&gt;""""))),$AC$5+E208))"),558300.7)</f>
        <v>558300.7</v>
      </c>
      <c r="G208" s="10">
        <f>IFERROR(__xludf.DUMMYFUNCTION("IF(COUNTA(C208:C1644)=0,"""",IF(C208="""",0,IF(REGEXMATCH(C208,""^Sell_""),-ROUNDDOWN(ROUNDUP(INDEX(Upgrades!$C$3:$C$13,MATCH(SUBSTITUTE(C208,""Sell_"",""""),Upgrades!$B$3:$B$13,0))*1.15^(COUNTIF(C$4:C207,SUBSTITUTE(C208,""Sell_"",""""))-COUNTIF(C$4:C207,"&amp;"""Sell_""&amp;SUBSTITUTE(C208,""Sell_"",""""))))/2),ROUNDUP(INDEX(Upgrades!$C$3:$C$13,MATCH(C208,Upgrades!$B$3:$B$13,0))*1.15^(COUNTIF(C$4:C207,C208)-COUNTIF(C$4:C207,""Sell_""&amp;C208))))))"),2490.0)</f>
        <v>2490</v>
      </c>
      <c r="H208" s="10">
        <f t="shared" si="3"/>
        <v>2490</v>
      </c>
      <c r="I208" s="68">
        <f t="shared" si="4"/>
        <v>7693.941123</v>
      </c>
      <c r="J208" s="59" t="str">
        <f t="shared" si="5"/>
        <v>2h 08m 13s</v>
      </c>
      <c r="K208" s="69">
        <f t="shared" si="6"/>
        <v>911976803</v>
      </c>
      <c r="L208" s="60">
        <f t="shared" si="7"/>
        <v>-52.91547</v>
      </c>
      <c r="M208" s="61">
        <f>IFERROR(__xludf.DUMMYFUNCTION("IFS(AND(COUNTA(C208:C1644)=0,COUNTA(Q208:Q1644)=0),"""",OR(AND(K208&gt;=1000000000,OR(Y208&gt;=1000000000,COUNTA(Q208:Q1644)=0)),OR(Y208&gt;=1000000000,AND(COUNTA(C208:C1644)=0,P$3=TRUE))),
ROUNDDOWN((AB$1-AC$1)*MAX(INDEX(T$4:T1644,MATCH(LARGE(FILTER(Y$4:Y1644,Y$4"&amp;":Y1644&lt;1000000000),1),Y$4:Y1644)),INDEX(F$4:F1644,MATCH(LARGE(FILTER(K$4:K1644,K$4:K1644&lt;1000000000),1),K$4:K1644)))),AND(K208&lt;1000000000,COUNTA(C208:C1644)&gt;0,P$3=FALSE),
ROUNDDOWN(INDEX(Y$4:Y1644,MATCH(LARGE(FILTER(W$4:W1644,W$4:W1644&lt;=I208),1),W$4:W1644"&amp;"))+(I208-LARGE(FILTER(W$4:W1644,W$4:W1644&lt;=I208),1))*INDEX(T$4:T1644,MATCH(LARGE(FILTER(W$4:W1644,W$4:W1644&lt;=I208),1),W$4:W1644))-K208),1,
ROUNDDOWN(Y208-INDEX(K$4:K1644,MATCH(LARGE(FILTER(I$4:I1644,I$4:I1644&lt;=W208),1),I$4:I1644))-(W208-LARGE(FILTER(I$4:I"&amp;"1644,I$4:I1644&lt;=W208),1))*INDEX(F$4:F1644,MATCH(LARGE(FILTER(I$4:I1644,I$4:I1644&lt;=W208),1),I$4:I1644))))"),2.8792934E7)</f>
        <v>28792934</v>
      </c>
      <c r="N208" s="60">
        <f t="shared" si="8"/>
        <v>-52.91547</v>
      </c>
      <c r="O208" s="61" t="str">
        <f t="shared" si="9"/>
        <v>28,8M</v>
      </c>
      <c r="P208" s="56">
        <f t="shared" si="10"/>
        <v>6</v>
      </c>
      <c r="Q208" s="105" t="s">
        <v>9</v>
      </c>
      <c r="R208" s="10"/>
      <c r="S208" s="59">
        <f t="array" ref="S208">IF(COUNTA(Q208:Q1644)=0,"",SUM((COUNTIF(Q$4:Q208,Upgrades!$B$3:$B$13)-COUNTIF(Q$4:Q208,"Sell_"&amp;Upgrades!$B$3:$B$13))*Upgrades!$D$3:$D$13))</f>
        <v>169410</v>
      </c>
      <c r="T208" s="66">
        <f>IFERROR(__xludf.DUMMYFUNCTION("IF(COUNTA(Q208:Q1644)=0,"""",IF(REGEXMATCH(INDEX(FILTER(Q$4:Q208,Q$4:Q208&lt;&gt;""""),ROWS(FILTER(Q$4:Q208,Q$4:Q208&lt;&gt;""""))),""^Sell_""),INDEX(FILTER(T$4:T207,Q$4:Q207&lt;&gt;""""),ROWS(FILTER(Q$4:Q207,Q$4:Q207&lt;&gt;""""))),$AD$5+S208))"),169420.0)</f>
        <v>169420</v>
      </c>
      <c r="U208" s="10">
        <f>IFERROR(__xludf.DUMMYFUNCTION("IF(COUNTA(Q208:Q1644)=0,"""",IF(Q208="""",0,IF(REGEXMATCH(Q208,""^Sell_""),-ROUNDDOWN(ROUNDUP(INDEX(Upgrades!$C$3:$C$13,MATCH(SUBSTITUTE(Q208,""Sell_"",""""),Upgrades!$B$3:$B$13,0))*1.15^(COUNTIF(Q$4:Q207,SUBSTITUTE(Q208,""Sell_"",""""))-COUNTIF(Q$4:Q207,"&amp;"""Sell_""&amp;SUBSTITUTE(Q208,""Sell_"",""""))))/2),ROUNDUP(INDEX(Upgrades!$C$3:$C$13,MATCH(Q208,Upgrades!$B$3:$B$13,0))*1.15^(COUNTIF(Q$4:Q207,Q208)-COUNTIF(Q$4:Q207,""Sell_""&amp;Q208))))))"),402272.0)</f>
        <v>402272</v>
      </c>
      <c r="V208" s="10">
        <f t="shared" si="11"/>
        <v>402272</v>
      </c>
      <c r="W208" s="68">
        <f t="shared" si="12"/>
        <v>5348.999505</v>
      </c>
      <c r="X208" s="59" t="str">
        <f t="shared" si="13"/>
        <v>1h 29m 08s</v>
      </c>
      <c r="Y208" s="69">
        <f t="shared" si="14"/>
        <v>188727985</v>
      </c>
      <c r="Z208" s="11"/>
      <c r="AG208" s="59"/>
    </row>
    <row r="209">
      <c r="A209" s="8"/>
      <c r="B209" s="56">
        <f t="shared" si="2"/>
        <v>18</v>
      </c>
      <c r="C209" s="105" t="s">
        <v>9</v>
      </c>
      <c r="D209" s="10"/>
      <c r="E209" s="59">
        <f t="array" ref="E209">IF(COUNTA(C209:C1644)=0,"",SUM((COUNTIF(C$4:C209,Upgrades!$B$3:$B$13)-COUNTIF(C$4:C209,"Sell_"&amp;Upgrades!$B$3:$B$13))*Upgrades!$D$3:$D$13))</f>
        <v>558690.7</v>
      </c>
      <c r="F209" s="66">
        <f>IFERROR(__xludf.DUMMYFUNCTION("IF(COUNTA(C209:C1644)=0,"""",IF(REGEXMATCH(INDEX(FILTER(C$4:C209,C$4:C209&lt;&gt;""""),ROWS(FILTER(C$4:C209,C$4:C209&lt;&gt;""""))),""^Sell_""),INDEX(FILTER(F$4:F208,C$4:C208&lt;&gt;""""),ROWS(FILTER(C$4:C208,C$4:C208&lt;&gt;""""))),$AC$5+E209))"),558700.7)</f>
        <v>558700.7</v>
      </c>
      <c r="G209" s="10">
        <f>IFERROR(__xludf.DUMMYFUNCTION("IF(COUNTA(C209:C1644)=0,"""",IF(C209="""",0,IF(REGEXMATCH(C209,""^Sell_""),-ROUNDDOWN(ROUNDUP(INDEX(Upgrades!$C$3:$C$13,MATCH(SUBSTITUTE(C209,""Sell_"",""""),Upgrades!$B$3:$B$13,0))*1.15^(COUNTIF(C$4:C208,SUBSTITUTE(C209,""Sell_"",""""))-COUNTIF(C$4:C208,"&amp;"""Sell_""&amp;SUBSTITUTE(C209,""Sell_"",""""))))/2),ROUNDUP(INDEX(Upgrades!$C$3:$C$13,MATCH(C209,Upgrades!$B$3:$B$13,0))*1.15^(COUNTIF(C$4:C208,C209)-COUNTIF(C$4:C208,""Sell_""&amp;C209))))))"),2152253.0)</f>
        <v>2152253</v>
      </c>
      <c r="H209" s="10">
        <f t="shared" si="3"/>
        <v>2152253</v>
      </c>
      <c r="I209" s="68">
        <f t="shared" si="4"/>
        <v>7697.79613</v>
      </c>
      <c r="J209" s="59" t="str">
        <f t="shared" si="5"/>
        <v>2h 08m 17s</v>
      </c>
      <c r="K209" s="69">
        <f t="shared" si="6"/>
        <v>914129056</v>
      </c>
      <c r="L209" s="60">
        <f t="shared" si="7"/>
        <v>-52.76728</v>
      </c>
      <c r="M209" s="61">
        <f>IFERROR(__xludf.DUMMYFUNCTION("IFS(AND(COUNTA(C209:C1644)=0,COUNTA(Q209:Q1644)=0),"""",OR(AND(K209&gt;=1000000000,OR(Y209&gt;=1000000000,COUNTA(Q209:Q1644)=0)),OR(Y209&gt;=1000000000,AND(COUNTA(C209:C1644)=0,P$3=TRUE))),
ROUNDDOWN((AB$1-AC$1)*MAX(INDEX(T$4:T1644,MATCH(LARGE(FILTER(Y$4:Y1644,Y$4"&amp;":Y1644&lt;1000000000),1),Y$4:Y1644)),INDEX(F$4:F1644,MATCH(LARGE(FILTER(K$4:K1644,K$4:K1644&lt;1000000000),1),K$4:K1644)))),AND(K209&lt;1000000000,COUNTA(C209:C1644)&gt;0,P$3=FALSE),
ROUNDDOWN(INDEX(Y$4:Y1644,MATCH(LARGE(FILTER(W$4:W1644,W$4:W1644&lt;=I209),1),W$4:W1644"&amp;"))+(I209-LARGE(FILTER(W$4:W1644,W$4:W1644&lt;=I209),1))*INDEX(T$4:T1644,MATCH(LARGE(FILTER(W$4:W1644,W$4:W1644&lt;=I209),1),W$4:W1644))-K209),1,
ROUNDDOWN(Y209-INDEX(K$4:K1644,MATCH(LARGE(FILTER(I$4:I1644,I$4:I1644&lt;=W209),1),I$4:I1644))-(W209-LARGE(FILTER(I$4:I"&amp;"1644,I$4:I1644&lt;=W209),1))*INDEX(F$4:F1644,MATCH(LARGE(FILTER(I$4:I1644,I$4:I1644&lt;=W209),1),I$4:I1644))))"),2.8741097E7)</f>
        <v>28741097</v>
      </c>
      <c r="N209" s="60">
        <f t="shared" si="8"/>
        <v>-52.76728</v>
      </c>
      <c r="O209" s="61" t="str">
        <f t="shared" si="9"/>
        <v>28,7M</v>
      </c>
      <c r="P209" s="56">
        <f t="shared" si="10"/>
        <v>11</v>
      </c>
      <c r="Q209" s="105" t="s">
        <v>10</v>
      </c>
      <c r="R209" s="10"/>
      <c r="S209" s="59">
        <f t="array" ref="S209">IF(COUNTA(Q209:Q1644)=0,"",SUM((COUNTIF(Q$4:Q209,Upgrades!$B$3:$B$13)-COUNTIF(Q$4:Q209,"Sell_"&amp;Upgrades!$B$3:$B$13))*Upgrades!$D$3:$D$13))</f>
        <v>176076</v>
      </c>
      <c r="T209" s="66">
        <f>IFERROR(__xludf.DUMMYFUNCTION("IF(COUNTA(Q209:Q1644)=0,"""",IF(REGEXMATCH(INDEX(FILTER(Q$4:Q209,Q$4:Q209&lt;&gt;""""),ROWS(FILTER(Q$4:Q209,Q$4:Q209&lt;&gt;""""))),""^Sell_""),INDEX(FILTER(T$4:T208,Q$4:Q208&lt;&gt;""""),ROWS(FILTER(Q$4:Q208,Q$4:Q208&lt;&gt;""""))),$AD$5+S209))"),176086.0)</f>
        <v>176086</v>
      </c>
      <c r="U209" s="10">
        <f>IFERROR(__xludf.DUMMYFUNCTION("IF(COUNTA(Q209:Q1644)=0,"""",IF(Q209="""",0,IF(REGEXMATCH(Q209,""^Sell_""),-ROUNDDOWN(ROUNDUP(INDEX(Upgrades!$C$3:$C$13,MATCH(SUBSTITUTE(Q209,""Sell_"",""""),Upgrades!$B$3:$B$13,0))*1.15^(COUNTIF(Q$4:Q208,SUBSTITUTE(Q209,""Sell_"",""""))-COUNTIF(Q$4:Q208,"&amp;"""Sell_""&amp;SUBSTITUTE(Q209,""Sell_"",""""))))/2),ROUNDUP(INDEX(Upgrades!$C$3:$C$13,MATCH(Q209,Upgrades!$B$3:$B$13,0))*1.15^(COUNTIF(Q$4:Q208,Q209)-COUNTIF(Q$4:Q208,""Sell_""&amp;Q209))))))"),6742594.0)</f>
        <v>6742594</v>
      </c>
      <c r="V209" s="10">
        <f t="shared" si="11"/>
        <v>6742594</v>
      </c>
      <c r="W209" s="68">
        <f t="shared" si="12"/>
        <v>5388.797605</v>
      </c>
      <c r="X209" s="59" t="str">
        <f t="shared" si="13"/>
        <v>1h 29m 48s</v>
      </c>
      <c r="Y209" s="69">
        <f t="shared" si="14"/>
        <v>195470579</v>
      </c>
      <c r="Z209" s="11"/>
      <c r="AG209" s="59"/>
    </row>
    <row r="210">
      <c r="A210" s="8"/>
      <c r="B210" s="56">
        <f t="shared" si="2"/>
        <v>23</v>
      </c>
      <c r="C210" s="105" t="s">
        <v>7</v>
      </c>
      <c r="D210" s="10"/>
      <c r="E210" s="59">
        <f t="array" ref="E210">IF(COUNTA(C210:C1644)=0,"",SUM((COUNTIF(C$4:C210,Upgrades!$B$3:$B$13)-COUNTIF(C$4:C210,"Sell_"&amp;Upgrades!$B$3:$B$13))*Upgrades!$D$3:$D$13))</f>
        <v>558730.7</v>
      </c>
      <c r="F210" s="66">
        <f>IFERROR(__xludf.DUMMYFUNCTION("IF(COUNTA(C210:C1644)=0,"""",IF(REGEXMATCH(INDEX(FILTER(C$4:C210,C$4:C210&lt;&gt;""""),ROWS(FILTER(C$4:C210,C$4:C210&lt;&gt;""""))),""^Sell_""),INDEX(FILTER(F$4:F209,C$4:C209&lt;&gt;""""),ROWS(FILTER(C$4:C209,C$4:C209&lt;&gt;""""))),$AC$5+E210))"),558740.7)</f>
        <v>558740.7</v>
      </c>
      <c r="G210" s="10">
        <f>IFERROR(__xludf.DUMMYFUNCTION("IF(COUNTA(C210:C1644)=0,"""",IF(C210="""",0,IF(REGEXMATCH(C210,""^Sell_""),-ROUNDDOWN(ROUNDUP(INDEX(Upgrades!$C$3:$C$13,MATCH(SUBSTITUTE(C210,""Sell_"",""""),Upgrades!$B$3:$B$13,0))*1.15^(COUNTIF(C$4:C209,SUBSTITUTE(C210,""Sell_"",""""))-COUNTIF(C$4:C209,"&amp;"""Sell_""&amp;SUBSTITUTE(C210,""Sell_"",""""))))/2),ROUNDUP(INDEX(Upgrades!$C$3:$C$13,MATCH(C210,Upgrades!$B$3:$B$13,0))*1.15^(COUNTIF(C$4:C209,C210)-COUNTIF(C$4:C209,""Sell_""&amp;C210))))))"),216448.0)</f>
        <v>216448</v>
      </c>
      <c r="H210" s="10">
        <f t="shared" si="3"/>
        <v>216448</v>
      </c>
      <c r="I210" s="68">
        <f t="shared" si="4"/>
        <v>7698.183543</v>
      </c>
      <c r="J210" s="59" t="str">
        <f t="shared" si="5"/>
        <v>2h 08m 18s</v>
      </c>
      <c r="K210" s="69">
        <f t="shared" si="6"/>
        <v>914345504</v>
      </c>
      <c r="L210" s="60">
        <f t="shared" si="7"/>
        <v>-52.7521</v>
      </c>
      <c r="M210" s="61">
        <f>IFERROR(__xludf.DUMMYFUNCTION("IFS(AND(COUNTA(C210:C1644)=0,COUNTA(Q210:Q1644)=0),"""",OR(AND(K210&gt;=1000000000,OR(Y210&gt;=1000000000,COUNTA(Q210:Q1644)=0)),OR(Y210&gt;=1000000000,AND(COUNTA(C210:C1644)=0,P$3=TRUE))),
ROUNDDOWN((AB$1-AC$1)*MAX(INDEX(T$4:T1644,MATCH(LARGE(FILTER(Y$4:Y1644,Y$4"&amp;":Y1644&lt;1000000000),1),Y$4:Y1644)),INDEX(F$4:F1644,MATCH(LARGE(FILTER(K$4:K1644,K$4:K1644&lt;1000000000),1),K$4:K1644)))),AND(K210&lt;1000000000,COUNTA(C210:C1644)&gt;0,P$3=FALSE),
ROUNDDOWN(INDEX(Y$4:Y1644,MATCH(LARGE(FILTER(W$4:W1644,W$4:W1644&lt;=I210),1),W$4:W1644"&amp;"))+(I210-LARGE(FILTER(W$4:W1644,W$4:W1644&lt;=I210),1))*INDEX(T$4:T1644,MATCH(LARGE(FILTER(W$4:W1644,W$4:W1644&lt;=I210),1),W$4:W1644))-K210),1,
ROUNDDOWN(Y210-INDEX(K$4:K1644,MATCH(LARGE(FILTER(I$4:I1644,I$4:I1644&lt;=W210),1),I$4:I1644))-(W210-LARGE(FILTER(I$4:I"&amp;"1644,I$4:I1644&lt;=W210),1))*INDEX(F$4:F1644,MATCH(LARGE(FILTER(I$4:I1644,I$4:I1644&lt;=W210),1),I$4:I1644))))"),2.8735733E7)</f>
        <v>28735733</v>
      </c>
      <c r="N210" s="60">
        <f t="shared" si="8"/>
        <v>-52.7521</v>
      </c>
      <c r="O210" s="61" t="str">
        <f t="shared" si="9"/>
        <v>28,7M</v>
      </c>
      <c r="P210" s="56">
        <f t="shared" si="10"/>
        <v>8</v>
      </c>
      <c r="Q210" s="105" t="s">
        <v>8</v>
      </c>
      <c r="R210" s="10"/>
      <c r="S210" s="59">
        <f t="array" ref="S210">IF(COUNTA(Q210:Q1644)=0,"",SUM((COUNTIF(Q$4:Q210,Upgrades!$B$3:$B$13)-COUNTIF(Q$4:Q210,"Sell_"&amp;Upgrades!$B$3:$B$13))*Upgrades!$D$3:$D$13))</f>
        <v>176176</v>
      </c>
      <c r="T210" s="66">
        <f>IFERROR(__xludf.DUMMYFUNCTION("IF(COUNTA(Q210:Q1644)=0,"""",IF(REGEXMATCH(INDEX(FILTER(Q$4:Q210,Q$4:Q210&lt;&gt;""""),ROWS(FILTER(Q$4:Q210,Q$4:Q210&lt;&gt;""""))),""^Sell_""),INDEX(FILTER(T$4:T209,Q$4:Q209&lt;&gt;""""),ROWS(FILTER(Q$4:Q209,Q$4:Q209&lt;&gt;""""))),$AD$5+S210))"),176186.0)</f>
        <v>176186</v>
      </c>
      <c r="U210" s="10">
        <f>IFERROR(__xludf.DUMMYFUNCTION("IF(COUNTA(Q210:Q1644)=0,"""",IF(Q210="""",0,IF(REGEXMATCH(Q210,""^Sell_""),-ROUNDDOWN(ROUNDUP(INDEX(Upgrades!$C$3:$C$13,MATCH(SUBSTITUTE(Q210,""Sell_"",""""),Upgrades!$B$3:$B$13,0))*1.15^(COUNTIF(Q$4:Q209,SUBSTITUTE(Q210,""Sell_"",""""))-COUNTIF(Q$4:Q209,"&amp;"""Sell_""&amp;SUBSTITUTE(Q210,""Sell_"",""""))))/2),ROUNDUP(INDEX(Upgrades!$C$3:$C$13,MATCH(Q210,Upgrades!$B$3:$B$13,0))*1.15^(COUNTIF(Q$4:Q209,Q210)-COUNTIF(Q$4:Q209,""Sell_""&amp;Q210))))))"),106401.0)</f>
        <v>106401</v>
      </c>
      <c r="V210" s="10">
        <f t="shared" si="11"/>
        <v>106401</v>
      </c>
      <c r="W210" s="68">
        <f t="shared" si="12"/>
        <v>5389.401861</v>
      </c>
      <c r="X210" s="59" t="str">
        <f t="shared" si="13"/>
        <v>1h 29m 49s</v>
      </c>
      <c r="Y210" s="69">
        <f t="shared" si="14"/>
        <v>195576980</v>
      </c>
      <c r="Z210" s="11"/>
      <c r="AG210" s="59"/>
    </row>
    <row r="211">
      <c r="A211" s="8"/>
      <c r="B211" s="56">
        <f t="shared" si="2"/>
        <v>28</v>
      </c>
      <c r="C211" s="105" t="s">
        <v>5</v>
      </c>
      <c r="D211" s="10"/>
      <c r="E211" s="59">
        <f t="array" ref="E211">IF(COUNTA(C211:C1644)=0,"",SUM((COUNTIF(C$4:C211,Upgrades!$B$3:$B$13)-COUNTIF(C$4:C211,"Sell_"&amp;Upgrades!$B$3:$B$13))*Upgrades!$D$3:$D$13))</f>
        <v>558734.7</v>
      </c>
      <c r="F211" s="66">
        <f>IFERROR(__xludf.DUMMYFUNCTION("IF(COUNTA(C211:C1644)=0,"""",IF(REGEXMATCH(INDEX(FILTER(C$4:C211,C$4:C211&lt;&gt;""""),ROWS(FILTER(C$4:C211,C$4:C211&lt;&gt;""""))),""^Sell_""),INDEX(FILTER(F$4:F210,C$4:C210&lt;&gt;""""),ROWS(FILTER(C$4:C210,C$4:C210&lt;&gt;""""))),$AC$5+E211))"),558744.7)</f>
        <v>558744.7</v>
      </c>
      <c r="G211" s="10">
        <f>IFERROR(__xludf.DUMMYFUNCTION("IF(COUNTA(C211:C1644)=0,"""",IF(C211="""",0,IF(REGEXMATCH(C211,""^Sell_""),-ROUNDDOWN(ROUNDUP(INDEX(Upgrades!$C$3:$C$13,MATCH(SUBSTITUTE(C211,""Sell_"",""""),Upgrades!$B$3:$B$13,0))*1.15^(COUNTIF(C$4:C210,SUBSTITUTE(C211,""Sell_"",""""))-COUNTIF(C$4:C210,"&amp;"""Sell_""&amp;SUBSTITUTE(C211,""Sell_"",""""))))/2),ROUNDUP(INDEX(Upgrades!$C$3:$C$13,MATCH(C211,Upgrades!$B$3:$B$13,0))*1.15^(COUNTIF(C$4:C210,C211)-COUNTIF(C$4:C210,""Sell_""&amp;C211))))))"),21768.0)</f>
        <v>21768</v>
      </c>
      <c r="H211" s="10">
        <f t="shared" si="3"/>
        <v>21768</v>
      </c>
      <c r="I211" s="68">
        <f t="shared" si="4"/>
        <v>7698.222502</v>
      </c>
      <c r="J211" s="59" t="str">
        <f t="shared" si="5"/>
        <v>2h 08m 18s</v>
      </c>
      <c r="K211" s="69">
        <f t="shared" si="6"/>
        <v>914367272</v>
      </c>
      <c r="L211" s="60">
        <f t="shared" si="7"/>
        <v>-52.75057</v>
      </c>
      <c r="M211" s="61">
        <f>IFERROR(__xludf.DUMMYFUNCTION("IFS(AND(COUNTA(C211:C1644)=0,COUNTA(Q211:Q1644)=0),"""",OR(AND(K211&gt;=1000000000,OR(Y211&gt;=1000000000,COUNTA(Q211:Q1644)=0)),OR(Y211&gt;=1000000000,AND(COUNTA(C211:C1644)=0,P$3=TRUE))),
ROUNDDOWN((AB$1-AC$1)*MAX(INDEX(T$4:T1644,MATCH(LARGE(FILTER(Y$4:Y1644,Y$4"&amp;":Y1644&lt;1000000000),1),Y$4:Y1644)),INDEX(F$4:F1644,MATCH(LARGE(FILTER(K$4:K1644,K$4:K1644&lt;1000000000),1),K$4:K1644)))),AND(K211&lt;1000000000,COUNTA(C211:C1644)&gt;0,P$3=FALSE),
ROUNDDOWN(INDEX(Y$4:Y1644,MATCH(LARGE(FILTER(W$4:W1644,W$4:W1644&lt;=I211),1),W$4:W1644"&amp;"))+(I211-LARGE(FILTER(W$4:W1644,W$4:W1644&lt;=I211),1))*INDEX(T$4:T1644,MATCH(LARGE(FILTER(W$4:W1644,W$4:W1644&lt;=I211),1),W$4:W1644))-K211),1,
ROUNDDOWN(Y211-INDEX(K$4:K1644,MATCH(LARGE(FILTER(I$4:I1644,I$4:I1644&lt;=W211),1),I$4:I1644))-(W211-LARGE(FILTER(I$4:I"&amp;"1644,I$4:I1644&lt;=W211),1))*INDEX(F$4:F1644,MATCH(LARGE(FILTER(I$4:I1644,I$4:I1644&lt;=W211),1),I$4:I1644))))"),2.8735192E7)</f>
        <v>28735192</v>
      </c>
      <c r="N211" s="60">
        <f t="shared" si="8"/>
        <v>-52.75057</v>
      </c>
      <c r="O211" s="61" t="str">
        <f t="shared" si="9"/>
        <v>28,7M</v>
      </c>
      <c r="P211" s="56">
        <f t="shared" si="10"/>
        <v>7</v>
      </c>
      <c r="Q211" s="105" t="s">
        <v>9</v>
      </c>
      <c r="R211" s="10"/>
      <c r="S211" s="59">
        <f t="array" ref="S211">IF(COUNTA(Q211:Q1644)=0,"",SUM((COUNTIF(Q$4:Q211,Upgrades!$B$3:$B$13)-COUNTIF(Q$4:Q211,"Sell_"&amp;Upgrades!$B$3:$B$13))*Upgrades!$D$3:$D$13))</f>
        <v>176576</v>
      </c>
      <c r="T211" s="66">
        <f>IFERROR(__xludf.DUMMYFUNCTION("IF(COUNTA(Q211:Q1644)=0,"""",IF(REGEXMATCH(INDEX(FILTER(Q$4:Q211,Q$4:Q211&lt;&gt;""""),ROWS(FILTER(Q$4:Q211,Q$4:Q211&lt;&gt;""""))),""^Sell_""),INDEX(FILTER(T$4:T210,Q$4:Q210&lt;&gt;""""),ROWS(FILTER(Q$4:Q210,Q$4:Q210&lt;&gt;""""))),$AD$5+S211))"),176586.0)</f>
        <v>176586</v>
      </c>
      <c r="U211" s="10">
        <f>IFERROR(__xludf.DUMMYFUNCTION("IF(COUNTA(Q211:Q1644)=0,"""",IF(Q211="""",0,IF(REGEXMATCH(Q211,""^Sell_""),-ROUNDDOWN(ROUNDUP(INDEX(Upgrades!$C$3:$C$13,MATCH(SUBSTITUTE(Q211,""Sell_"",""""),Upgrades!$B$3:$B$13,0))*1.15^(COUNTIF(Q$4:Q210,SUBSTITUTE(Q211,""Sell_"",""""))-COUNTIF(Q$4:Q210,"&amp;"""Sell_""&amp;SUBSTITUTE(Q211,""Sell_"",""""))))/2),ROUNDUP(INDEX(Upgrades!$C$3:$C$13,MATCH(Q211,Upgrades!$B$3:$B$13,0))*1.15^(COUNTIF(Q$4:Q210,Q211)-COUNTIF(Q$4:Q210,""Sell_""&amp;Q211))))))"),462613.0)</f>
        <v>462613</v>
      </c>
      <c r="V211" s="10">
        <f t="shared" si="11"/>
        <v>462613</v>
      </c>
      <c r="W211" s="68">
        <f t="shared" si="12"/>
        <v>5392.027569</v>
      </c>
      <c r="X211" s="59" t="str">
        <f t="shared" si="13"/>
        <v>1h 29m 52s</v>
      </c>
      <c r="Y211" s="69">
        <f t="shared" si="14"/>
        <v>196039593</v>
      </c>
      <c r="Z211" s="11"/>
      <c r="AG211" s="59"/>
    </row>
    <row r="212">
      <c r="A212" s="8"/>
      <c r="B212" s="56">
        <f t="shared" si="2"/>
        <v>22</v>
      </c>
      <c r="C212" s="105" t="s">
        <v>6</v>
      </c>
      <c r="D212" s="10"/>
      <c r="E212" s="59">
        <f t="array" ref="E212">IF(COUNTA(C212:C1644)=0,"",SUM((COUNTIF(C$4:C212,Upgrades!$B$3:$B$13)-COUNTIF(C$4:C212,"Sell_"&amp;Upgrades!$B$3:$B$13))*Upgrades!$D$3:$D$13))</f>
        <v>558744.7</v>
      </c>
      <c r="F212" s="66">
        <f>IFERROR(__xludf.DUMMYFUNCTION("IF(COUNTA(C212:C1644)=0,"""",IF(REGEXMATCH(INDEX(FILTER(C$4:C212,C$4:C212&lt;&gt;""""),ROWS(FILTER(C$4:C212,C$4:C212&lt;&gt;""""))),""^Sell_""),INDEX(FILTER(F$4:F211,C$4:C211&lt;&gt;""""),ROWS(FILTER(C$4:C211,C$4:C211&lt;&gt;""""))),$AC$5+E212))"),558754.7)</f>
        <v>558754.7</v>
      </c>
      <c r="G212" s="10">
        <f>IFERROR(__xludf.DUMMYFUNCTION("IF(COUNTA(C212:C1644)=0,"""",IF(C212="""",0,IF(REGEXMATCH(C212,""^Sell_""),-ROUNDDOWN(ROUNDUP(INDEX(Upgrades!$C$3:$C$13,MATCH(SUBSTITUTE(C212,""Sell_"",""""),Upgrades!$B$3:$B$13,0))*1.15^(COUNTIF(C$4:C211,SUBSTITUTE(C212,""Sell_"",""""))-COUNTIF(C$4:C211,"&amp;"""Sell_""&amp;SUBSTITUTE(C212,""Sell_"",""""))))/2),ROUNDUP(INDEX(Upgrades!$C$3:$C$13,MATCH(C212,Upgrades!$B$3:$B$13,0))*1.15^(COUNTIF(C$4:C211,C212)-COUNTIF(C$4:C211,""Sell_""&amp;C212))))))"),56465.0)</f>
        <v>56465</v>
      </c>
      <c r="H212" s="10">
        <f t="shared" si="3"/>
        <v>56465</v>
      </c>
      <c r="I212" s="68">
        <f t="shared" si="4"/>
        <v>7698.323559</v>
      </c>
      <c r="J212" s="59" t="str">
        <f t="shared" si="5"/>
        <v>2h 08m 18s</v>
      </c>
      <c r="K212" s="69">
        <f t="shared" si="6"/>
        <v>914423737</v>
      </c>
      <c r="L212" s="60">
        <f t="shared" si="7"/>
        <v>-52.7466</v>
      </c>
      <c r="M212" s="61">
        <f>IFERROR(__xludf.DUMMYFUNCTION("IFS(AND(COUNTA(C212:C1644)=0,COUNTA(Q212:Q1644)=0),"""",OR(AND(K212&gt;=1000000000,OR(Y212&gt;=1000000000,COUNTA(Q212:Q1644)=0)),OR(Y212&gt;=1000000000,AND(COUNTA(C212:C1644)=0,P$3=TRUE))),
ROUNDDOWN((AB$1-AC$1)*MAX(INDEX(T$4:T1644,MATCH(LARGE(FILTER(Y$4:Y1644,Y$4"&amp;":Y1644&lt;1000000000),1),Y$4:Y1644)),INDEX(F$4:F1644,MATCH(LARGE(FILTER(K$4:K1644,K$4:K1644&lt;1000000000),1),K$4:K1644)))),AND(K212&lt;1000000000,COUNTA(C212:C1644)&gt;0,P$3=FALSE),
ROUNDDOWN(INDEX(Y$4:Y1644,MATCH(LARGE(FILTER(W$4:W1644,W$4:W1644&lt;=I212),1),W$4:W1644"&amp;"))+(I212-LARGE(FILTER(W$4:W1644,W$4:W1644&lt;=I212),1))*INDEX(T$4:T1644,MATCH(LARGE(FILTER(W$4:W1644,W$4:W1644&lt;=I212),1),W$4:W1644))-K212),1,
ROUNDDOWN(Y212-INDEX(K$4:K1644,MATCH(LARGE(FILTER(I$4:I1644,I$4:I1644&lt;=W212),1),I$4:I1644))-(W212-LARGE(FILTER(I$4:I"&amp;"1644,I$4:I1644&lt;=W212),1))*INDEX(F$4:F1644,MATCH(LARGE(FILTER(I$4:I1644,I$4:I1644&lt;=W212),1),I$4:I1644))))"),2.8733788E7)</f>
        <v>28733788</v>
      </c>
      <c r="N212" s="60">
        <f t="shared" si="8"/>
        <v>-52.7466</v>
      </c>
      <c r="O212" s="61" t="str">
        <f t="shared" si="9"/>
        <v>28,7M</v>
      </c>
      <c r="P212" s="56">
        <f t="shared" si="10"/>
        <v>12</v>
      </c>
      <c r="Q212" s="105" t="s">
        <v>10</v>
      </c>
      <c r="R212" s="10"/>
      <c r="S212" s="59">
        <f t="array" ref="S212">IF(COUNTA(Q212:Q1644)=0,"",SUM((COUNTIF(Q$4:Q212,Upgrades!$B$3:$B$13)-COUNTIF(Q$4:Q212,"Sell_"&amp;Upgrades!$B$3:$B$13))*Upgrades!$D$3:$D$13))</f>
        <v>183242</v>
      </c>
      <c r="T212" s="66">
        <f>IFERROR(__xludf.DUMMYFUNCTION("IF(COUNTA(Q212:Q1644)=0,"""",IF(REGEXMATCH(INDEX(FILTER(Q$4:Q212,Q$4:Q212&lt;&gt;""""),ROWS(FILTER(Q$4:Q212,Q$4:Q212&lt;&gt;""""))),""^Sell_""),INDEX(FILTER(T$4:T211,Q$4:Q211&lt;&gt;""""),ROWS(FILTER(Q$4:Q211,Q$4:Q211&lt;&gt;""""))),$AD$5+S212))"),183252.0)</f>
        <v>183252</v>
      </c>
      <c r="U212" s="10">
        <f>IFERROR(__xludf.DUMMYFUNCTION("IF(COUNTA(Q212:Q1644)=0,"""",IF(Q212="""",0,IF(REGEXMATCH(Q212,""^Sell_""),-ROUNDDOWN(ROUNDUP(INDEX(Upgrades!$C$3:$C$13,MATCH(SUBSTITUTE(Q212,""Sell_"",""""),Upgrades!$B$3:$B$13,0))*1.15^(COUNTIF(Q$4:Q211,SUBSTITUTE(Q212,""Sell_"",""""))-COUNTIF(Q$4:Q211,"&amp;"""Sell_""&amp;SUBSTITUTE(Q212,""Sell_"",""""))))/2),ROUNDUP(INDEX(Upgrades!$C$3:$C$13,MATCH(Q212,Upgrades!$B$3:$B$13,0))*1.15^(COUNTIF(Q$4:Q211,Q212)-COUNTIF(Q$4:Q211,""Sell_""&amp;Q212))))))"),7753983.0)</f>
        <v>7753983</v>
      </c>
      <c r="V212" s="10">
        <f t="shared" si="11"/>
        <v>7753983</v>
      </c>
      <c r="W212" s="68">
        <f t="shared" si="12"/>
        <v>5435.938088</v>
      </c>
      <c r="X212" s="59" t="str">
        <f t="shared" si="13"/>
        <v>1h 30m 35s</v>
      </c>
      <c r="Y212" s="69">
        <f t="shared" si="14"/>
        <v>203793576</v>
      </c>
      <c r="Z212" s="11"/>
      <c r="AG212" s="59"/>
    </row>
    <row r="213">
      <c r="A213" s="8"/>
      <c r="B213" s="56">
        <f t="shared" si="2"/>
        <v>28</v>
      </c>
      <c r="C213" s="105" t="s">
        <v>3</v>
      </c>
      <c r="D213" s="10"/>
      <c r="E213" s="59">
        <f t="array" ref="E213">IF(COUNTA(C213:C1644)=0,"",SUM((COUNTIF(C$4:C213,Upgrades!$B$3:$B$13)-COUNTIF(C$4:C213,"Sell_"&amp;Upgrades!$B$3:$B$13))*Upgrades!$D$3:$D$13))</f>
        <v>558744.8</v>
      </c>
      <c r="F213" s="66">
        <f>IFERROR(__xludf.DUMMYFUNCTION("IF(COUNTA(C213:C1644)=0,"""",IF(REGEXMATCH(INDEX(FILTER(C$4:C213,C$4:C213&lt;&gt;""""),ROWS(FILTER(C$4:C213,C$4:C213&lt;&gt;""""))),""^Sell_""),INDEX(FILTER(F$4:F212,C$4:C212&lt;&gt;""""),ROWS(FILTER(C$4:C212,C$4:C212&lt;&gt;""""))),$AC$5+E213))"),558754.8)</f>
        <v>558754.8</v>
      </c>
      <c r="G213" s="10">
        <f>IFERROR(__xludf.DUMMYFUNCTION("IF(COUNTA(C213:C1644)=0,"""",IF(C213="""",0,IF(REGEXMATCH(C213,""^Sell_""),-ROUNDDOWN(ROUNDUP(INDEX(Upgrades!$C$3:$C$13,MATCH(SUBSTITUTE(C213,""Sell_"",""""),Upgrades!$B$3:$B$13,0))*1.15^(COUNTIF(C$4:C212,SUBSTITUTE(C213,""Sell_"",""""))-COUNTIF(C$4:C212,"&amp;"""Sell_""&amp;SUBSTITUTE(C213,""Sell_"",""""))))/2),ROUNDUP(INDEX(Upgrades!$C$3:$C$13,MATCH(C213,Upgrades!$B$3:$B$13,0))*1.15^(COUNTIF(C$4:C212,C213)-COUNTIF(C$4:C212,""Sell_""&amp;C213))))))"),654.0)</f>
        <v>654</v>
      </c>
      <c r="H213" s="10">
        <f t="shared" si="3"/>
        <v>654</v>
      </c>
      <c r="I213" s="68">
        <f t="shared" si="4"/>
        <v>7698.324729</v>
      </c>
      <c r="J213" s="59" t="str">
        <f t="shared" si="5"/>
        <v>2h 08m 18s</v>
      </c>
      <c r="K213" s="69">
        <f t="shared" si="6"/>
        <v>914424391</v>
      </c>
      <c r="L213" s="60">
        <f t="shared" si="7"/>
        <v>-52.74656</v>
      </c>
      <c r="M213" s="61">
        <f>IFERROR(__xludf.DUMMYFUNCTION("IFS(AND(COUNTA(C213:C1644)=0,COUNTA(Q213:Q1644)=0),"""",OR(AND(K213&gt;=1000000000,OR(Y213&gt;=1000000000,COUNTA(Q213:Q1644)=0)),OR(Y213&gt;=1000000000,AND(COUNTA(C213:C1644)=0,P$3=TRUE))),
ROUNDDOWN((AB$1-AC$1)*MAX(INDEX(T$4:T1644,MATCH(LARGE(FILTER(Y$4:Y1644,Y$4"&amp;":Y1644&lt;1000000000),1),Y$4:Y1644)),INDEX(F$4:F1644,MATCH(LARGE(FILTER(K$4:K1644,K$4:K1644&lt;1000000000),1),K$4:K1644)))),AND(K213&lt;1000000000,COUNTA(C213:C1644)&gt;0,P$3=FALSE),
ROUNDDOWN(INDEX(Y$4:Y1644,MATCH(LARGE(FILTER(W$4:W1644,W$4:W1644&lt;=I213),1),W$4:W1644"&amp;"))+(I213-LARGE(FILTER(W$4:W1644,W$4:W1644&lt;=I213),1))*INDEX(T$4:T1644,MATCH(LARGE(FILTER(W$4:W1644,W$4:W1644&lt;=I213),1),W$4:W1644))-K213),1,
ROUNDDOWN(Y213-INDEX(K$4:K1644,MATCH(LARGE(FILTER(I$4:I1644,I$4:I1644&lt;=W213),1),I$4:I1644))-(W213-LARGE(FILTER(I$4:I"&amp;"1644,I$4:I1644&lt;=W213),1))*INDEX(F$4:F1644,MATCH(LARGE(FILTER(I$4:I1644,I$4:I1644&lt;=W213),1),I$4:I1644))))"),2.8733772E7)</f>
        <v>28733772</v>
      </c>
      <c r="N213" s="60">
        <f t="shared" si="8"/>
        <v>-52.74656</v>
      </c>
      <c r="O213" s="61" t="str">
        <f t="shared" si="9"/>
        <v>28,7M</v>
      </c>
      <c r="P213" s="56">
        <f t="shared" si="10"/>
        <v>9</v>
      </c>
      <c r="Q213" s="105" t="s">
        <v>8</v>
      </c>
      <c r="R213" s="10"/>
      <c r="S213" s="59">
        <f t="array" ref="S213">IF(COUNTA(Q213:Q1644)=0,"",SUM((COUNTIF(Q$4:Q213,Upgrades!$B$3:$B$13)-COUNTIF(Q$4:Q213,"Sell_"&amp;Upgrades!$B$3:$B$13))*Upgrades!$D$3:$D$13))</f>
        <v>183342</v>
      </c>
      <c r="T213" s="66">
        <f>IFERROR(__xludf.DUMMYFUNCTION("IF(COUNTA(Q213:Q1644)=0,"""",IF(REGEXMATCH(INDEX(FILTER(Q$4:Q213,Q$4:Q213&lt;&gt;""""),ROWS(FILTER(Q$4:Q213,Q$4:Q213&lt;&gt;""""))),""^Sell_""),INDEX(FILTER(T$4:T212,Q$4:Q212&lt;&gt;""""),ROWS(FILTER(Q$4:Q212,Q$4:Q212&lt;&gt;""""))),$AD$5+S213))"),183352.0)</f>
        <v>183352</v>
      </c>
      <c r="U213" s="10">
        <f>IFERROR(__xludf.DUMMYFUNCTION("IF(COUNTA(Q213:Q1644)=0,"""",IF(Q213="""",0,IF(REGEXMATCH(Q213,""^Sell_""),-ROUNDDOWN(ROUNDUP(INDEX(Upgrades!$C$3:$C$13,MATCH(SUBSTITUTE(Q213,""Sell_"",""""),Upgrades!$B$3:$B$13,0))*1.15^(COUNTIF(Q$4:Q212,SUBSTITUTE(Q213,""Sell_"",""""))-COUNTIF(Q$4:Q212,"&amp;"""Sell_""&amp;SUBSTITUTE(Q213,""Sell_"",""""))))/2),ROUNDUP(INDEX(Upgrades!$C$3:$C$13,MATCH(Q213,Upgrades!$B$3:$B$13,0))*1.15^(COUNTIF(Q$4:Q212,Q213)-COUNTIF(Q$4:Q212,""Sell_""&amp;Q213))))))"),122361.0)</f>
        <v>122361</v>
      </c>
      <c r="V213" s="10">
        <f t="shared" si="11"/>
        <v>122361</v>
      </c>
      <c r="W213" s="68">
        <f t="shared" si="12"/>
        <v>5436.605808</v>
      </c>
      <c r="X213" s="59" t="str">
        <f t="shared" si="13"/>
        <v>1h 30m 36s</v>
      </c>
      <c r="Y213" s="69">
        <f t="shared" si="14"/>
        <v>203915937</v>
      </c>
      <c r="Z213" s="11"/>
      <c r="AG213" s="59"/>
    </row>
    <row r="214">
      <c r="A214" s="8"/>
      <c r="B214" s="56">
        <f t="shared" si="2"/>
        <v>20</v>
      </c>
      <c r="C214" s="105" t="s">
        <v>8</v>
      </c>
      <c r="D214" s="10"/>
      <c r="E214" s="59">
        <f t="array" ref="E214">IF(COUNTA(C214:C1644)=0,"",SUM((COUNTIF(C$4:C214,Upgrades!$B$3:$B$13)-COUNTIF(C$4:C214,"Sell_"&amp;Upgrades!$B$3:$B$13))*Upgrades!$D$3:$D$13))</f>
        <v>558844.8</v>
      </c>
      <c r="F214" s="66">
        <f>IFERROR(__xludf.DUMMYFUNCTION("IF(COUNTA(C214:C1644)=0,"""",IF(REGEXMATCH(INDEX(FILTER(C$4:C214,C$4:C214&lt;&gt;""""),ROWS(FILTER(C$4:C214,C$4:C214&lt;&gt;""""))),""^Sell_""),INDEX(FILTER(F$4:F213,C$4:C213&lt;&gt;""""),ROWS(FILTER(C$4:C213,C$4:C213&lt;&gt;""""))),$AC$5+E214))"),558854.8)</f>
        <v>558854.8</v>
      </c>
      <c r="G214" s="10">
        <f>IFERROR(__xludf.DUMMYFUNCTION("IF(COUNTA(C214:C1644)=0,"""",IF(C214="""",0,IF(REGEXMATCH(C214,""^Sell_""),-ROUNDDOWN(ROUNDUP(INDEX(Upgrades!$C$3:$C$13,MATCH(SUBSTITUTE(C214,""Sell_"",""""),Upgrades!$B$3:$B$13,0))*1.15^(COUNTIF(C$4:C213,SUBSTITUTE(C214,""Sell_"",""""))-COUNTIF(C$4:C213,"&amp;"""Sell_""&amp;SUBSTITUTE(C214,""Sell_"",""""))))/2),ROUNDUP(INDEX(Upgrades!$C$3:$C$13,MATCH(C214,Upgrades!$B$3:$B$13,0))*1.15^(COUNTIF(C$4:C213,C214)-COUNTIF(C$4:C213,""Sell_""&amp;C214))))))"),569271.0)</f>
        <v>569271</v>
      </c>
      <c r="H214" s="10">
        <f t="shared" si="3"/>
        <v>569271</v>
      </c>
      <c r="I214" s="68">
        <f t="shared" si="4"/>
        <v>7699.34355</v>
      </c>
      <c r="J214" s="59" t="str">
        <f t="shared" si="5"/>
        <v>2h 08m 19s</v>
      </c>
      <c r="K214" s="69">
        <f t="shared" si="6"/>
        <v>914993662</v>
      </c>
      <c r="L214" s="60">
        <f t="shared" si="7"/>
        <v>-52.71377</v>
      </c>
      <c r="M214" s="61">
        <f>IFERROR(__xludf.DUMMYFUNCTION("IFS(AND(COUNTA(C214:C1644)=0,COUNTA(Q214:Q1644)=0),"""",OR(AND(K214&gt;=1000000000,OR(Y214&gt;=1000000000,COUNTA(Q214:Q1644)=0)),OR(Y214&gt;=1000000000,AND(COUNTA(C214:C1644)=0,P$3=TRUE))),
ROUNDDOWN((AB$1-AC$1)*MAX(INDEX(T$4:T1644,MATCH(LARGE(FILTER(Y$4:Y1644,Y$4"&amp;":Y1644&lt;1000000000),1),Y$4:Y1644)),INDEX(F$4:F1644,MATCH(LARGE(FILTER(K$4:K1644,K$4:K1644&lt;1000000000),1),K$4:K1644)))),AND(K214&lt;1000000000,COUNTA(C214:C1644)&gt;0,P$3=FALSE),
ROUNDDOWN(INDEX(Y$4:Y1644,MATCH(LARGE(FILTER(W$4:W1644,W$4:W1644&lt;=I214),1),W$4:W1644"&amp;"))+(I214-LARGE(FILTER(W$4:W1644,W$4:W1644&lt;=I214),1))*INDEX(T$4:T1644,MATCH(LARGE(FILTER(W$4:W1644,W$4:W1644&lt;=I214),1),W$4:W1644))-K214),1,
ROUNDDOWN(Y214-INDEX(K$4:K1644,MATCH(LARGE(FILTER(I$4:I1644,I$4:I1644&lt;=W214),1),I$4:I1644))-(W214-LARGE(FILTER(I$4:I"&amp;"1644,I$4:I1644&lt;=W214),1))*INDEX(F$4:F1644,MATCH(LARGE(FILTER(I$4:I1644,I$4:I1644&lt;=W214),1),I$4:I1644))))"),2.8719609E7)</f>
        <v>28719609</v>
      </c>
      <c r="N214" s="60">
        <f t="shared" si="8"/>
        <v>-52.71377</v>
      </c>
      <c r="O214" s="61" t="str">
        <f t="shared" si="9"/>
        <v>28,7M</v>
      </c>
      <c r="P214" s="56">
        <f t="shared" si="10"/>
        <v>8</v>
      </c>
      <c r="Q214" s="105" t="s">
        <v>9</v>
      </c>
      <c r="R214" s="10"/>
      <c r="S214" s="59">
        <f t="array" ref="S214">IF(COUNTA(Q214:Q1644)=0,"",SUM((COUNTIF(Q$4:Q214,Upgrades!$B$3:$B$13)-COUNTIF(Q$4:Q214,"Sell_"&amp;Upgrades!$B$3:$B$13))*Upgrades!$D$3:$D$13))</f>
        <v>183742</v>
      </c>
      <c r="T214" s="66">
        <f>IFERROR(__xludf.DUMMYFUNCTION("IF(COUNTA(Q214:Q1644)=0,"""",IF(REGEXMATCH(INDEX(FILTER(Q$4:Q214,Q$4:Q214&lt;&gt;""""),ROWS(FILTER(Q$4:Q214,Q$4:Q214&lt;&gt;""""))),""^Sell_""),INDEX(FILTER(T$4:T213,Q$4:Q213&lt;&gt;""""),ROWS(FILTER(Q$4:Q213,Q$4:Q213&lt;&gt;""""))),$AD$5+S214))"),183752.0)</f>
        <v>183752</v>
      </c>
      <c r="U214" s="10">
        <f>IFERROR(__xludf.DUMMYFUNCTION("IF(COUNTA(Q214:Q1644)=0,"""",IF(Q214="""",0,IF(REGEXMATCH(Q214,""^Sell_""),-ROUNDDOWN(ROUNDUP(INDEX(Upgrades!$C$3:$C$13,MATCH(SUBSTITUTE(Q214,""Sell_"",""""),Upgrades!$B$3:$B$13,0))*1.15^(COUNTIF(Q$4:Q213,SUBSTITUTE(Q214,""Sell_"",""""))-COUNTIF(Q$4:Q213,"&amp;"""Sell_""&amp;SUBSTITUTE(Q214,""Sell_"",""""))))/2),ROUNDUP(INDEX(Upgrades!$C$3:$C$13,MATCH(Q214,Upgrades!$B$3:$B$13,0))*1.15^(COUNTIF(Q$4:Q213,Q214)-COUNTIF(Q$4:Q213,""Sell_""&amp;Q214))))))"),532004.0)</f>
        <v>532004</v>
      </c>
      <c r="V214" s="10">
        <f t="shared" si="11"/>
        <v>532004</v>
      </c>
      <c r="W214" s="68">
        <f t="shared" si="12"/>
        <v>5439.507353</v>
      </c>
      <c r="X214" s="59" t="str">
        <f t="shared" si="13"/>
        <v>1h 30m 39s</v>
      </c>
      <c r="Y214" s="69">
        <f t="shared" si="14"/>
        <v>204447941</v>
      </c>
      <c r="Z214" s="11"/>
      <c r="AG214" s="59"/>
    </row>
    <row r="215">
      <c r="A215" s="8"/>
      <c r="B215" s="56">
        <f t="shared" si="2"/>
        <v>25</v>
      </c>
      <c r="C215" s="105" t="s">
        <v>4</v>
      </c>
      <c r="D215" s="10"/>
      <c r="E215" s="59">
        <f t="array" ref="E215">IF(COUNTA(C215:C1644)=0,"",SUM((COUNTIF(C$4:C215,Upgrades!$B$3:$B$13)-COUNTIF(C$4:C215,"Sell_"&amp;Upgrades!$B$3:$B$13))*Upgrades!$D$3:$D$13))</f>
        <v>558845.3</v>
      </c>
      <c r="F215" s="66">
        <f>IFERROR(__xludf.DUMMYFUNCTION("IF(COUNTA(C215:C1644)=0,"""",IF(REGEXMATCH(INDEX(FILTER(C$4:C215,C$4:C215&lt;&gt;""""),ROWS(FILTER(C$4:C215,C$4:C215&lt;&gt;""""))),""^Sell_""),INDEX(FILTER(F$4:F214,C$4:C214&lt;&gt;""""),ROWS(FILTER(C$4:C214,C$4:C214&lt;&gt;""""))),$AC$5+E215))"),558855.3)</f>
        <v>558855.3</v>
      </c>
      <c r="G215" s="10">
        <f>IFERROR(__xludf.DUMMYFUNCTION("IF(COUNTA(C215:C1644)=0,"""",IF(C215="""",0,IF(REGEXMATCH(C215,""^Sell_""),-ROUNDDOWN(ROUNDUP(INDEX(Upgrades!$C$3:$C$13,MATCH(SUBSTITUTE(C215,""Sell_"",""""),Upgrades!$B$3:$B$13,0))*1.15^(COUNTIF(C$4:C214,SUBSTITUTE(C215,""Sell_"",""""))-COUNTIF(C$4:C214,"&amp;"""Sell_""&amp;SUBSTITUTE(C215,""Sell_"",""""))))/2),ROUNDUP(INDEX(Upgrades!$C$3:$C$13,MATCH(C215,Upgrades!$B$3:$B$13,0))*1.15^(COUNTIF(C$4:C214,C215)-COUNTIF(C$4:C214,""Sell_""&amp;C215))))))"),2863.0)</f>
        <v>2863</v>
      </c>
      <c r="H215" s="10">
        <f t="shared" si="3"/>
        <v>2863</v>
      </c>
      <c r="I215" s="68">
        <f t="shared" si="4"/>
        <v>7699.348673</v>
      </c>
      <c r="J215" s="59" t="str">
        <f t="shared" si="5"/>
        <v>2h 08m 19s</v>
      </c>
      <c r="K215" s="69">
        <f t="shared" si="6"/>
        <v>914996525</v>
      </c>
      <c r="L215" s="60">
        <f t="shared" si="7"/>
        <v>-52.71363</v>
      </c>
      <c r="M215" s="61">
        <f>IFERROR(__xludf.DUMMYFUNCTION("IFS(AND(COUNTA(C215:C1644)=0,COUNTA(Q215:Q1644)=0),"""",OR(AND(K215&gt;=1000000000,OR(Y215&gt;=1000000000,COUNTA(Q215:Q1644)=0)),OR(Y215&gt;=1000000000,AND(COUNTA(C215:C1644)=0,P$3=TRUE))),
ROUNDDOWN((AB$1-AC$1)*MAX(INDEX(T$4:T1644,MATCH(LARGE(FILTER(Y$4:Y1644,Y$4"&amp;":Y1644&lt;1000000000),1),Y$4:Y1644)),INDEX(F$4:F1644,MATCH(LARGE(FILTER(K$4:K1644,K$4:K1644&lt;1000000000),1),K$4:K1644)))),AND(K215&lt;1000000000,COUNTA(C215:C1644)&gt;0,P$3=FALSE),
ROUNDDOWN(INDEX(Y$4:Y1644,MATCH(LARGE(FILTER(W$4:W1644,W$4:W1644&lt;=I215),1),W$4:W1644"&amp;"))+(I215-LARGE(FILTER(W$4:W1644,W$4:W1644&lt;=I215),1))*INDEX(T$4:T1644,MATCH(LARGE(FILTER(W$4:W1644,W$4:W1644&lt;=I215),1),W$4:W1644))-K215),1,
ROUNDDOWN(Y215-INDEX(K$4:K1644,MATCH(LARGE(FILTER(I$4:I1644,I$4:I1644&lt;=W215),1),I$4:I1644))-(W215-LARGE(FILTER(I$4:I"&amp;"1644,I$4:I1644&lt;=W215),1))*INDEX(F$4:F1644,MATCH(LARGE(FILTER(I$4:I1644,I$4:I1644&lt;=W215),1),I$4:I1644))))"),2.8719537E7)</f>
        <v>28719537</v>
      </c>
      <c r="N215" s="60">
        <f t="shared" si="8"/>
        <v>-52.71363</v>
      </c>
      <c r="O215" s="61" t="str">
        <f t="shared" si="9"/>
        <v>28,7M</v>
      </c>
      <c r="P215" s="56">
        <f t="shared" si="10"/>
        <v>13</v>
      </c>
      <c r="Q215" s="105" t="s">
        <v>10</v>
      </c>
      <c r="R215" s="10"/>
      <c r="S215" s="59">
        <f t="array" ref="S215">IF(COUNTA(Q215:Q1644)=0,"",SUM((COUNTIF(Q$4:Q215,Upgrades!$B$3:$B$13)-COUNTIF(Q$4:Q215,"Sell_"&amp;Upgrades!$B$3:$B$13))*Upgrades!$D$3:$D$13))</f>
        <v>190408</v>
      </c>
      <c r="T215" s="66">
        <f>IFERROR(__xludf.DUMMYFUNCTION("IF(COUNTA(Q215:Q1644)=0,"""",IF(REGEXMATCH(INDEX(FILTER(Q$4:Q215,Q$4:Q215&lt;&gt;""""),ROWS(FILTER(Q$4:Q215,Q$4:Q215&lt;&gt;""""))),""^Sell_""),INDEX(FILTER(T$4:T214,Q$4:Q214&lt;&gt;""""),ROWS(FILTER(Q$4:Q214,Q$4:Q214&lt;&gt;""""))),$AD$5+S215))"),190418.0)</f>
        <v>190418</v>
      </c>
      <c r="U215" s="10">
        <f>IFERROR(__xludf.DUMMYFUNCTION("IF(COUNTA(Q215:Q1644)=0,"""",IF(Q215="""",0,IF(REGEXMATCH(Q215,""^Sell_""),-ROUNDDOWN(ROUNDUP(INDEX(Upgrades!$C$3:$C$13,MATCH(SUBSTITUTE(Q215,""Sell_"",""""),Upgrades!$B$3:$B$13,0))*1.15^(COUNTIF(Q$4:Q214,SUBSTITUTE(Q215,""Sell_"",""""))-COUNTIF(Q$4:Q214,"&amp;"""Sell_""&amp;SUBSTITUTE(Q215,""Sell_"",""""))))/2),ROUNDUP(INDEX(Upgrades!$C$3:$C$13,MATCH(Q215,Upgrades!$B$3:$B$13,0))*1.15^(COUNTIF(Q$4:Q214,Q215)-COUNTIF(Q$4:Q214,""Sell_""&amp;Q215))))))"),8917080.0)</f>
        <v>8917080</v>
      </c>
      <c r="V215" s="10">
        <f t="shared" si="11"/>
        <v>8917080</v>
      </c>
      <c r="W215" s="68">
        <f t="shared" si="12"/>
        <v>5488.035151</v>
      </c>
      <c r="X215" s="59" t="str">
        <f t="shared" si="13"/>
        <v>1h 31m 28s</v>
      </c>
      <c r="Y215" s="69">
        <f t="shared" si="14"/>
        <v>213365021</v>
      </c>
      <c r="Z215" s="11"/>
      <c r="AC215" s="106"/>
      <c r="AG215" s="59"/>
    </row>
    <row r="216">
      <c r="A216" s="8"/>
      <c r="B216" s="56">
        <f t="shared" si="2"/>
        <v>19</v>
      </c>
      <c r="C216" s="105" t="s">
        <v>9</v>
      </c>
      <c r="D216" s="10"/>
      <c r="E216" s="59">
        <f t="array" ref="E216">IF(COUNTA(C216:C1644)=0,"",SUM((COUNTIF(C$4:C216,Upgrades!$B$3:$B$13)-COUNTIF(C$4:C216,"Sell_"&amp;Upgrades!$B$3:$B$13))*Upgrades!$D$3:$D$13))</f>
        <v>559245.3</v>
      </c>
      <c r="F216" s="66">
        <f>IFERROR(__xludf.DUMMYFUNCTION("IF(COUNTA(C216:C1644)=0,"""",IF(REGEXMATCH(INDEX(FILTER(C$4:C216,C$4:C216&lt;&gt;""""),ROWS(FILTER(C$4:C216,C$4:C216&lt;&gt;""""))),""^Sell_""),INDEX(FILTER(F$4:F215,C$4:C215&lt;&gt;""""),ROWS(FILTER(C$4:C215,C$4:C215&lt;&gt;""""))),$AC$5+E216))"),559255.3)</f>
        <v>559255.3</v>
      </c>
      <c r="G216" s="10">
        <f>IFERROR(__xludf.DUMMYFUNCTION("IF(COUNTA(C216:C1644)=0,"""",IF(C216="""",0,IF(REGEXMATCH(C216,""^Sell_""),-ROUNDDOWN(ROUNDUP(INDEX(Upgrades!$C$3:$C$13,MATCH(SUBSTITUTE(C216,""Sell_"",""""),Upgrades!$B$3:$B$13,0))*1.15^(COUNTIF(C$4:C215,SUBSTITUTE(C216,""Sell_"",""""))-COUNTIF(C$4:C215,"&amp;"""Sell_""&amp;SUBSTITUTE(C216,""Sell_"",""""))))/2),ROUNDUP(INDEX(Upgrades!$C$3:$C$13,MATCH(C216,Upgrades!$B$3:$B$13,0))*1.15^(COUNTIF(C$4:C215,C216)-COUNTIF(C$4:C215,""Sell_""&amp;C216))))))"),2475091.0)</f>
        <v>2475091</v>
      </c>
      <c r="H216" s="10">
        <f t="shared" si="3"/>
        <v>2475091</v>
      </c>
      <c r="I216" s="68">
        <f t="shared" si="4"/>
        <v>7703.777532</v>
      </c>
      <c r="J216" s="59" t="str">
        <f t="shared" si="5"/>
        <v>2h 08m 23s</v>
      </c>
      <c r="K216" s="69">
        <f t="shared" si="6"/>
        <v>917471616</v>
      </c>
      <c r="L216" s="60">
        <f t="shared" si="7"/>
        <v>-52.59671</v>
      </c>
      <c r="M216" s="61">
        <f>IFERROR(__xludf.DUMMYFUNCTION("IFS(AND(COUNTA(C216:C1644)=0,COUNTA(Q216:Q1644)=0),"""",OR(AND(K216&gt;=1000000000,OR(Y216&gt;=1000000000,COUNTA(Q216:Q1644)=0)),OR(Y216&gt;=1000000000,AND(COUNTA(C216:C1644)=0,P$3=TRUE))),
ROUNDDOWN((AB$1-AC$1)*MAX(INDEX(T$4:T1644,MATCH(LARGE(FILTER(Y$4:Y1644,Y$4"&amp;":Y1644&lt;1000000000),1),Y$4:Y1644)),INDEX(F$4:F1644,MATCH(LARGE(FILTER(K$4:K1644,K$4:K1644&lt;1000000000),1),K$4:K1644)))),AND(K216&lt;1000000000,COUNTA(C216:C1644)&gt;0,P$3=FALSE),
ROUNDDOWN(INDEX(Y$4:Y1644,MATCH(LARGE(FILTER(W$4:W1644,W$4:W1644&lt;=I216),1),W$4:W1644"&amp;"))+(I216-LARGE(FILTER(W$4:W1644,W$4:W1644&lt;=I216),1))*INDEX(T$4:T1644,MATCH(LARGE(FILTER(W$4:W1644,W$4:W1644&lt;=I216),1),W$4:W1644))-K216),1,
ROUNDDOWN(Y216-INDEX(K$4:K1644,MATCH(LARGE(FILTER(I$4:I1644,I$4:I1644&lt;=W216),1),I$4:I1644))-(W216-LARGE(FILTER(I$4:I"&amp;"1644,I$4:I1644&lt;=W216),1))*INDEX(F$4:F1644,MATCH(LARGE(FILTER(I$4:I1644,I$4:I1644&lt;=W216),1),I$4:I1644))))"),2.8657528E7)</f>
        <v>28657528</v>
      </c>
      <c r="N216" s="60">
        <f t="shared" si="8"/>
        <v>-52.59671</v>
      </c>
      <c r="O216" s="61" t="str">
        <f t="shared" si="9"/>
        <v>28,7M</v>
      </c>
      <c r="P216" s="56">
        <f t="shared" si="10"/>
        <v>10</v>
      </c>
      <c r="Q216" s="105" t="s">
        <v>8</v>
      </c>
      <c r="R216" s="10"/>
      <c r="S216" s="59">
        <f t="array" ref="S216">IF(COUNTA(Q216:Q1644)=0,"",SUM((COUNTIF(Q$4:Q216,Upgrades!$B$3:$B$13)-COUNTIF(Q$4:Q216,"Sell_"&amp;Upgrades!$B$3:$B$13))*Upgrades!$D$3:$D$13))</f>
        <v>190508</v>
      </c>
      <c r="T216" s="66">
        <f>IFERROR(__xludf.DUMMYFUNCTION("IF(COUNTA(Q216:Q1644)=0,"""",IF(REGEXMATCH(INDEX(FILTER(Q$4:Q216,Q$4:Q216&lt;&gt;""""),ROWS(FILTER(Q$4:Q216,Q$4:Q216&lt;&gt;""""))),""^Sell_""),INDEX(FILTER(T$4:T215,Q$4:Q215&lt;&gt;""""),ROWS(FILTER(Q$4:Q215,Q$4:Q215&lt;&gt;""""))),$AD$5+S216))"),190518.0)</f>
        <v>190518</v>
      </c>
      <c r="U216" s="10">
        <f>IFERROR(__xludf.DUMMYFUNCTION("IF(COUNTA(Q216:Q1644)=0,"""",IF(Q216="""",0,IF(REGEXMATCH(Q216,""^Sell_""),-ROUNDDOWN(ROUNDUP(INDEX(Upgrades!$C$3:$C$13,MATCH(SUBSTITUTE(Q216,""Sell_"",""""),Upgrades!$B$3:$B$13,0))*1.15^(COUNTIF(Q$4:Q215,SUBSTITUTE(Q216,""Sell_"",""""))-COUNTIF(Q$4:Q215,"&amp;"""Sell_""&amp;SUBSTITUTE(Q216,""Sell_"",""""))))/2),ROUNDUP(INDEX(Upgrades!$C$3:$C$13,MATCH(Q216,Upgrades!$B$3:$B$13,0))*1.15^(COUNTIF(Q$4:Q215,Q216)-COUNTIF(Q$4:Q215,""Sell_""&amp;Q216))))))"),140716.0)</f>
        <v>140716</v>
      </c>
      <c r="V216" s="10">
        <f t="shared" si="11"/>
        <v>140716</v>
      </c>
      <c r="W216" s="68">
        <f t="shared" si="12"/>
        <v>5488.774136</v>
      </c>
      <c r="X216" s="59" t="str">
        <f t="shared" si="13"/>
        <v>1h 31m 28s</v>
      </c>
      <c r="Y216" s="69">
        <f t="shared" si="14"/>
        <v>213505737</v>
      </c>
      <c r="Z216" s="11"/>
      <c r="AG216" s="59"/>
    </row>
    <row r="217">
      <c r="A217" s="8"/>
      <c r="B217" s="56">
        <f t="shared" si="2"/>
        <v>24</v>
      </c>
      <c r="C217" s="105" t="s">
        <v>7</v>
      </c>
      <c r="D217" s="10"/>
      <c r="E217" s="59">
        <f t="array" ref="E217">IF(COUNTA(C217:C1644)=0,"",SUM((COUNTIF(C$4:C217,Upgrades!$B$3:$B$13)-COUNTIF(C$4:C217,"Sell_"&amp;Upgrades!$B$3:$B$13))*Upgrades!$D$3:$D$13))</f>
        <v>559285.3</v>
      </c>
      <c r="F217" s="66">
        <f>IFERROR(__xludf.DUMMYFUNCTION("IF(COUNTA(C217:C1644)=0,"""",IF(REGEXMATCH(INDEX(FILTER(C$4:C217,C$4:C217&lt;&gt;""""),ROWS(FILTER(C$4:C217,C$4:C217&lt;&gt;""""))),""^Sell_""),INDEX(FILTER(F$4:F216,C$4:C216&lt;&gt;""""),ROWS(FILTER(C$4:C216,C$4:C216&lt;&gt;""""))),$AC$5+E217))"),559295.3)</f>
        <v>559295.3</v>
      </c>
      <c r="G217" s="10">
        <f>IFERROR(__xludf.DUMMYFUNCTION("IF(COUNTA(C217:C1644)=0,"""",IF(C217="""",0,IF(REGEXMATCH(C217,""^Sell_""),-ROUNDDOWN(ROUNDUP(INDEX(Upgrades!$C$3:$C$13,MATCH(SUBSTITUTE(C217,""Sell_"",""""),Upgrades!$B$3:$B$13,0))*1.15^(COUNTIF(C$4:C216,SUBSTITUTE(C217,""Sell_"",""""))-COUNTIF(C$4:C216,"&amp;"""Sell_""&amp;SUBSTITUTE(C217,""Sell_"",""""))))/2),ROUNDUP(INDEX(Upgrades!$C$3:$C$13,MATCH(C217,Upgrades!$B$3:$B$13,0))*1.15^(COUNTIF(C$4:C216,C217)-COUNTIF(C$4:C216,""Sell_""&amp;C217))))))"),248915.0)</f>
        <v>248915</v>
      </c>
      <c r="H217" s="10">
        <f t="shared" si="3"/>
        <v>248915</v>
      </c>
      <c r="I217" s="68">
        <f t="shared" si="4"/>
        <v>7704.222614</v>
      </c>
      <c r="J217" s="59" t="str">
        <f t="shared" si="5"/>
        <v>2h 08m 24s</v>
      </c>
      <c r="K217" s="69">
        <f t="shared" si="6"/>
        <v>917720531</v>
      </c>
      <c r="L217" s="60">
        <f t="shared" si="7"/>
        <v>-52.58494</v>
      </c>
      <c r="M217" s="61">
        <f>IFERROR(__xludf.DUMMYFUNCTION("IFS(AND(COUNTA(C217:C1644)=0,COUNTA(Q217:Q1644)=0),"""",OR(AND(K217&gt;=1000000000,OR(Y217&gt;=1000000000,COUNTA(Q217:Q1644)=0)),OR(Y217&gt;=1000000000,AND(COUNTA(C217:C1644)=0,P$3=TRUE))),
ROUNDDOWN((AB$1-AC$1)*MAX(INDEX(T$4:T1644,MATCH(LARGE(FILTER(Y$4:Y1644,Y$4"&amp;":Y1644&lt;1000000000),1),Y$4:Y1644)),INDEX(F$4:F1644,MATCH(LARGE(FILTER(K$4:K1644,K$4:K1644&lt;1000000000),1),K$4:K1644)))),AND(K217&lt;1000000000,COUNTA(C217:C1644)&gt;0,P$3=FALSE),
ROUNDDOWN(INDEX(Y$4:Y1644,MATCH(LARGE(FILTER(W$4:W1644,W$4:W1644&lt;=I217),1),W$4:W1644"&amp;"))+(I217-LARGE(FILTER(W$4:W1644,W$4:W1644&lt;=I217),1))*INDEX(T$4:T1644,MATCH(LARGE(FILTER(W$4:W1644,W$4:W1644&lt;=I217),1),W$4:W1644))-K217),1,
ROUNDDOWN(Y217-INDEX(K$4:K1644,MATCH(LARGE(FILTER(I$4:I1644,I$4:I1644&lt;=W217),1),I$4:I1644))-(W217-LARGE(FILTER(I$4:I"&amp;"1644,I$4:I1644&lt;=W217),1))*INDEX(F$4:F1644,MATCH(LARGE(FILTER(I$4:I1644,I$4:I1644&lt;=W217),1),I$4:I1644))))"),2.8651118E7)</f>
        <v>28651118</v>
      </c>
      <c r="N217" s="60">
        <f t="shared" si="8"/>
        <v>-52.58494</v>
      </c>
      <c r="O217" s="61" t="str">
        <f t="shared" si="9"/>
        <v>28,7M</v>
      </c>
      <c r="P217" s="56">
        <f t="shared" si="10"/>
        <v>9</v>
      </c>
      <c r="Q217" s="105" t="s">
        <v>9</v>
      </c>
      <c r="R217" s="10"/>
      <c r="S217" s="59">
        <f t="array" ref="S217">IF(COUNTA(Q217:Q1644)=0,"",SUM((COUNTIF(Q$4:Q217,Upgrades!$B$3:$B$13)-COUNTIF(Q$4:Q217,"Sell_"&amp;Upgrades!$B$3:$B$13))*Upgrades!$D$3:$D$13))</f>
        <v>190908</v>
      </c>
      <c r="T217" s="66">
        <f>IFERROR(__xludf.DUMMYFUNCTION("IF(COUNTA(Q217:Q1644)=0,"""",IF(REGEXMATCH(INDEX(FILTER(Q$4:Q217,Q$4:Q217&lt;&gt;""""),ROWS(FILTER(Q$4:Q217,Q$4:Q217&lt;&gt;""""))),""^Sell_""),INDEX(FILTER(T$4:T216,Q$4:Q216&lt;&gt;""""),ROWS(FILTER(Q$4:Q216,Q$4:Q216&lt;&gt;""""))),$AD$5+S217))"),190918.0)</f>
        <v>190918</v>
      </c>
      <c r="U217" s="10">
        <f>IFERROR(__xludf.DUMMYFUNCTION("IF(COUNTA(Q217:Q1644)=0,"""",IF(Q217="""",0,IF(REGEXMATCH(Q217,""^Sell_""),-ROUNDDOWN(ROUNDUP(INDEX(Upgrades!$C$3:$C$13,MATCH(SUBSTITUTE(Q217,""Sell_"",""""),Upgrades!$B$3:$B$13,0))*1.15^(COUNTIF(Q$4:Q216,SUBSTITUTE(Q217,""Sell_"",""""))-COUNTIF(Q$4:Q216,"&amp;"""Sell_""&amp;SUBSTITUTE(Q217,""Sell_"",""""))))/2),ROUNDUP(INDEX(Upgrades!$C$3:$C$13,MATCH(Q217,Upgrades!$B$3:$B$13,0))*1.15^(COUNTIF(Q$4:Q216,Q217)-COUNTIF(Q$4:Q216,""Sell_""&amp;Q217))))))"),611805.0)</f>
        <v>611805</v>
      </c>
      <c r="V217" s="10">
        <f t="shared" si="11"/>
        <v>611805</v>
      </c>
      <c r="W217" s="68">
        <f t="shared" si="12"/>
        <v>5491.985407</v>
      </c>
      <c r="X217" s="59" t="str">
        <f t="shared" si="13"/>
        <v>1h 31m 31s</v>
      </c>
      <c r="Y217" s="69">
        <f t="shared" si="14"/>
        <v>214117542</v>
      </c>
      <c r="Z217" s="11"/>
      <c r="AG217" s="59"/>
    </row>
    <row r="218">
      <c r="A218" s="8"/>
      <c r="B218" s="56">
        <f t="shared" si="2"/>
        <v>29</v>
      </c>
      <c r="C218" s="105" t="s">
        <v>5</v>
      </c>
      <c r="D218" s="10"/>
      <c r="E218" s="59">
        <f t="array" ref="E218">IF(COUNTA(C218:C1644)=0,"",SUM((COUNTIF(C$4:C218,Upgrades!$B$3:$B$13)-COUNTIF(C$4:C218,"Sell_"&amp;Upgrades!$B$3:$B$13))*Upgrades!$D$3:$D$13))</f>
        <v>559289.3</v>
      </c>
      <c r="F218" s="66">
        <f>IFERROR(__xludf.DUMMYFUNCTION("IF(COUNTA(C218:C1644)=0,"""",IF(REGEXMATCH(INDEX(FILTER(C$4:C218,C$4:C218&lt;&gt;""""),ROWS(FILTER(C$4:C218,C$4:C218&lt;&gt;""""))),""^Sell_""),INDEX(FILTER(F$4:F217,C$4:C217&lt;&gt;""""),ROWS(FILTER(C$4:C217,C$4:C217&lt;&gt;""""))),$AC$5+E218))"),559299.3)</f>
        <v>559299.3</v>
      </c>
      <c r="G218" s="10">
        <f>IFERROR(__xludf.DUMMYFUNCTION("IF(COUNTA(C218:C1644)=0,"""",IF(C218="""",0,IF(REGEXMATCH(C218,""^Sell_""),-ROUNDDOWN(ROUNDUP(INDEX(Upgrades!$C$3:$C$13,MATCH(SUBSTITUTE(C218,""Sell_"",""""),Upgrades!$B$3:$B$13,0))*1.15^(COUNTIF(C$4:C217,SUBSTITUTE(C218,""Sell_"",""""))-COUNTIF(C$4:C217,"&amp;"""Sell_""&amp;SUBSTITUTE(C218,""Sell_"",""""))))/2),ROUNDUP(INDEX(Upgrades!$C$3:$C$13,MATCH(C218,Upgrades!$B$3:$B$13,0))*1.15^(COUNTIF(C$4:C217,C218)-COUNTIF(C$4:C217,""Sell_""&amp;C218))))))"),25033.0)</f>
        <v>25033</v>
      </c>
      <c r="H218" s="10">
        <f t="shared" si="3"/>
        <v>25033</v>
      </c>
      <c r="I218" s="68">
        <f t="shared" si="4"/>
        <v>7704.267373</v>
      </c>
      <c r="J218" s="59" t="str">
        <f t="shared" si="5"/>
        <v>2h 08m 24s</v>
      </c>
      <c r="K218" s="69">
        <f t="shared" si="6"/>
        <v>917745564</v>
      </c>
      <c r="L218" s="60">
        <f t="shared" si="7"/>
        <v>-52.58376</v>
      </c>
      <c r="M218" s="61">
        <f>IFERROR(__xludf.DUMMYFUNCTION("IFS(AND(COUNTA(C218:C1644)=0,COUNTA(Q218:Q1644)=0),"""",OR(AND(K218&gt;=1000000000,OR(Y218&gt;=1000000000,COUNTA(Q218:Q1644)=0)),OR(Y218&gt;=1000000000,AND(COUNTA(C218:C1644)=0,P$3=TRUE))),
ROUNDDOWN((AB$1-AC$1)*MAX(INDEX(T$4:T1644,MATCH(LARGE(FILTER(Y$4:Y1644,Y$4"&amp;":Y1644&lt;1000000000),1),Y$4:Y1644)),INDEX(F$4:F1644,MATCH(LARGE(FILTER(K$4:K1644,K$4:K1644&lt;1000000000),1),K$4:K1644)))),AND(K218&lt;1000000000,COUNTA(C218:C1644)&gt;0,P$3=FALSE),
ROUNDDOWN(INDEX(Y$4:Y1644,MATCH(LARGE(FILTER(W$4:W1644,W$4:W1644&lt;=I218),1),W$4:W1644"&amp;"))+(I218-LARGE(FILTER(W$4:W1644,W$4:W1644&lt;=I218),1))*INDEX(T$4:T1644,MATCH(LARGE(FILTER(W$4:W1644,W$4:W1644&lt;=I218),1),W$4:W1644))-K218),1,
ROUNDDOWN(Y218-INDEX(K$4:K1644,MATCH(LARGE(FILTER(I$4:I1644,I$4:I1644&lt;=W218),1),I$4:I1644))-(W218-LARGE(FILTER(I$4:I"&amp;"1644,I$4:I1644&lt;=W218),1))*INDEX(F$4:F1644,MATCH(LARGE(FILTER(I$4:I1644,I$4:I1644&lt;=W218),1),I$4:I1644))))"),2.8650472E7)</f>
        <v>28650472</v>
      </c>
      <c r="N218" s="60">
        <f t="shared" si="8"/>
        <v>-52.58376</v>
      </c>
      <c r="O218" s="61" t="str">
        <f t="shared" si="9"/>
        <v>28,7M</v>
      </c>
      <c r="P218" s="56">
        <f t="shared" si="10"/>
        <v>14</v>
      </c>
      <c r="Q218" s="105" t="s">
        <v>10</v>
      </c>
      <c r="R218" s="10"/>
      <c r="S218" s="59">
        <f t="array" ref="S218">IF(COUNTA(Q218:Q1644)=0,"",SUM((COUNTIF(Q$4:Q218,Upgrades!$B$3:$B$13)-COUNTIF(Q$4:Q218,"Sell_"&amp;Upgrades!$B$3:$B$13))*Upgrades!$D$3:$D$13))</f>
        <v>197574</v>
      </c>
      <c r="T218" s="66">
        <f>IFERROR(__xludf.DUMMYFUNCTION("IF(COUNTA(Q218:Q1644)=0,"""",IF(REGEXMATCH(INDEX(FILTER(Q$4:Q218,Q$4:Q218&lt;&gt;""""),ROWS(FILTER(Q$4:Q218,Q$4:Q218&lt;&gt;""""))),""^Sell_""),INDEX(FILTER(T$4:T217,Q$4:Q217&lt;&gt;""""),ROWS(FILTER(Q$4:Q217,Q$4:Q217&lt;&gt;""""))),$AD$5+S218))"),197584.0)</f>
        <v>197584</v>
      </c>
      <c r="U218" s="10">
        <f>IFERROR(__xludf.DUMMYFUNCTION("IF(COUNTA(Q218:Q1644)=0,"""",IF(Q218="""",0,IF(REGEXMATCH(Q218,""^Sell_""),-ROUNDDOWN(ROUNDUP(INDEX(Upgrades!$C$3:$C$13,MATCH(SUBSTITUTE(Q218,""Sell_"",""""),Upgrades!$B$3:$B$13,0))*1.15^(COUNTIF(Q$4:Q217,SUBSTITUTE(Q218,""Sell_"",""""))-COUNTIF(Q$4:Q217,"&amp;"""Sell_""&amp;SUBSTITUTE(Q218,""Sell_"",""""))))/2),ROUNDUP(INDEX(Upgrades!$C$3:$C$13,MATCH(Q218,Upgrades!$B$3:$B$13,0))*1.15^(COUNTIF(Q$4:Q217,Q218)-COUNTIF(Q$4:Q217,""Sell_""&amp;Q218))))))"),1.0254642E7)</f>
        <v>10254642</v>
      </c>
      <c r="V218" s="10">
        <f t="shared" si="11"/>
        <v>10254642</v>
      </c>
      <c r="W218" s="68">
        <f t="shared" si="12"/>
        <v>5545.697692</v>
      </c>
      <c r="X218" s="59" t="str">
        <f t="shared" si="13"/>
        <v>1h 32m 25s</v>
      </c>
      <c r="Y218" s="69">
        <f t="shared" si="14"/>
        <v>224372184</v>
      </c>
      <c r="Z218" s="11"/>
      <c r="AG218" s="59"/>
    </row>
    <row r="219">
      <c r="A219" s="8"/>
      <c r="B219" s="56">
        <f t="shared" si="2"/>
        <v>23</v>
      </c>
      <c r="C219" s="105" t="s">
        <v>6</v>
      </c>
      <c r="D219" s="10"/>
      <c r="E219" s="59">
        <f t="array" ref="E219">IF(COUNTA(C219:C1644)=0,"",SUM((COUNTIF(C$4:C219,Upgrades!$B$3:$B$13)-COUNTIF(C$4:C219,"Sell_"&amp;Upgrades!$B$3:$B$13))*Upgrades!$D$3:$D$13))</f>
        <v>559299.3</v>
      </c>
      <c r="F219" s="66">
        <f>IFERROR(__xludf.DUMMYFUNCTION("IF(COUNTA(C219:C1644)=0,"""",IF(REGEXMATCH(INDEX(FILTER(C$4:C219,C$4:C219&lt;&gt;""""),ROWS(FILTER(C$4:C219,C$4:C219&lt;&gt;""""))),""^Sell_""),INDEX(FILTER(F$4:F218,C$4:C218&lt;&gt;""""),ROWS(FILTER(C$4:C218,C$4:C218&lt;&gt;""""))),$AC$5+E219))"),559309.3)</f>
        <v>559309.3</v>
      </c>
      <c r="G219" s="10">
        <f>IFERROR(__xludf.DUMMYFUNCTION("IF(COUNTA(C219:C1644)=0,"""",IF(C219="""",0,IF(REGEXMATCH(C219,""^Sell_""),-ROUNDDOWN(ROUNDUP(INDEX(Upgrades!$C$3:$C$13,MATCH(SUBSTITUTE(C219,""Sell_"",""""),Upgrades!$B$3:$B$13,0))*1.15^(COUNTIF(C$4:C218,SUBSTITUTE(C219,""Sell_"",""""))-COUNTIF(C$4:C218,"&amp;"""Sell_""&amp;SUBSTITUTE(C219,""Sell_"",""""))))/2),ROUNDUP(INDEX(Upgrades!$C$3:$C$13,MATCH(C219,Upgrades!$B$3:$B$13,0))*1.15^(COUNTIF(C$4:C218,C219)-COUNTIF(C$4:C218,""Sell_""&amp;C219))))))"),64935.0)</f>
        <v>64935</v>
      </c>
      <c r="H219" s="10">
        <f t="shared" si="3"/>
        <v>64935</v>
      </c>
      <c r="I219" s="68">
        <f t="shared" si="4"/>
        <v>7704.383473</v>
      </c>
      <c r="J219" s="59" t="str">
        <f t="shared" si="5"/>
        <v>2h 08m 24s</v>
      </c>
      <c r="K219" s="69">
        <f t="shared" si="6"/>
        <v>917810499</v>
      </c>
      <c r="L219" s="60">
        <f t="shared" si="7"/>
        <v>-52.58068</v>
      </c>
      <c r="M219" s="61">
        <f>IFERROR(__xludf.DUMMYFUNCTION("IFS(AND(COUNTA(C219:C1644)=0,COUNTA(Q219:Q1644)=0),"""",OR(AND(K219&gt;=1000000000,OR(Y219&gt;=1000000000,COUNTA(Q219:Q1644)=0)),OR(Y219&gt;=1000000000,AND(COUNTA(C219:C1644)=0,P$3=TRUE))),
ROUNDDOWN((AB$1-AC$1)*MAX(INDEX(T$4:T1644,MATCH(LARGE(FILTER(Y$4:Y1644,Y$4"&amp;":Y1644&lt;1000000000),1),Y$4:Y1644)),INDEX(F$4:F1644,MATCH(LARGE(FILTER(K$4:K1644,K$4:K1644&lt;1000000000),1),K$4:K1644)))),AND(K219&lt;1000000000,COUNTA(C219:C1644)&gt;0,P$3=FALSE),
ROUNDDOWN(INDEX(Y$4:Y1644,MATCH(LARGE(FILTER(W$4:W1644,W$4:W1644&lt;=I219),1),W$4:W1644"&amp;"))+(I219-LARGE(FILTER(W$4:W1644,W$4:W1644&lt;=I219),1))*INDEX(T$4:T1644,MATCH(LARGE(FILTER(W$4:W1644,W$4:W1644&lt;=I219),1),W$4:W1644))-K219),1,
ROUNDDOWN(Y219-INDEX(K$4:K1644,MATCH(LARGE(FILTER(I$4:I1644,I$4:I1644&lt;=W219),1),I$4:I1644))-(W219-LARGE(FILTER(I$4:I"&amp;"1644,I$4:I1644&lt;=W219),1))*INDEX(F$4:F1644,MATCH(LARGE(FILTER(I$4:I1644,I$4:I1644&lt;=W219),1),I$4:I1644))))"),2.8648794E7)</f>
        <v>28648794</v>
      </c>
      <c r="N219" s="60">
        <f t="shared" si="8"/>
        <v>-52.58068</v>
      </c>
      <c r="O219" s="61" t="str">
        <f t="shared" si="9"/>
        <v>28,6M</v>
      </c>
      <c r="P219" s="56">
        <f t="shared" si="10"/>
        <v>11</v>
      </c>
      <c r="Q219" s="105" t="s">
        <v>8</v>
      </c>
      <c r="R219" s="10"/>
      <c r="S219" s="59">
        <f t="array" ref="S219">IF(COUNTA(Q219:Q1644)=0,"",SUM((COUNTIF(Q$4:Q219,Upgrades!$B$3:$B$13)-COUNTIF(Q$4:Q219,"Sell_"&amp;Upgrades!$B$3:$B$13))*Upgrades!$D$3:$D$13))</f>
        <v>197674</v>
      </c>
      <c r="T219" s="66">
        <f>IFERROR(__xludf.DUMMYFUNCTION("IF(COUNTA(Q219:Q1644)=0,"""",IF(REGEXMATCH(INDEX(FILTER(Q$4:Q219,Q$4:Q219&lt;&gt;""""),ROWS(FILTER(Q$4:Q219,Q$4:Q219&lt;&gt;""""))),""^Sell_""),INDEX(FILTER(T$4:T218,Q$4:Q218&lt;&gt;""""),ROWS(FILTER(Q$4:Q218,Q$4:Q218&lt;&gt;""""))),$AD$5+S219))"),197684.0)</f>
        <v>197684</v>
      </c>
      <c r="U219" s="10">
        <f>IFERROR(__xludf.DUMMYFUNCTION("IF(COUNTA(Q219:Q1644)=0,"""",IF(Q219="""",0,IF(REGEXMATCH(Q219,""^Sell_""),-ROUNDDOWN(ROUNDUP(INDEX(Upgrades!$C$3:$C$13,MATCH(SUBSTITUTE(Q219,""Sell_"",""""),Upgrades!$B$3:$B$13,0))*1.15^(COUNTIF(Q$4:Q218,SUBSTITUTE(Q219,""Sell_"",""""))-COUNTIF(Q$4:Q218,"&amp;"""Sell_""&amp;SUBSTITUTE(Q219,""Sell_"",""""))))/2),ROUNDUP(INDEX(Upgrades!$C$3:$C$13,MATCH(Q219,Upgrades!$B$3:$B$13,0))*1.15^(COUNTIF(Q$4:Q218,Q219)-COUNTIF(Q$4:Q218,""Sell_""&amp;Q219))))))"),161823.0)</f>
        <v>161823</v>
      </c>
      <c r="V219" s="10">
        <f t="shared" si="11"/>
        <v>161823</v>
      </c>
      <c r="W219" s="68">
        <f t="shared" si="12"/>
        <v>5546.516701</v>
      </c>
      <c r="X219" s="59" t="str">
        <f t="shared" si="13"/>
        <v>1h 32m 26s</v>
      </c>
      <c r="Y219" s="69">
        <f t="shared" si="14"/>
        <v>224534007</v>
      </c>
      <c r="Z219" s="11"/>
      <c r="AG219" s="59"/>
    </row>
    <row r="220">
      <c r="A220" s="8"/>
      <c r="B220" s="56">
        <f t="shared" si="2"/>
        <v>29</v>
      </c>
      <c r="C220" s="105" t="s">
        <v>3</v>
      </c>
      <c r="D220" s="10"/>
      <c r="E220" s="59">
        <f t="array" ref="E220">IF(COUNTA(C220:C1644)=0,"",SUM((COUNTIF(C$4:C220,Upgrades!$B$3:$B$13)-COUNTIF(C$4:C220,"Sell_"&amp;Upgrades!$B$3:$B$13))*Upgrades!$D$3:$D$13))</f>
        <v>559299.4</v>
      </c>
      <c r="F220" s="66">
        <f>IFERROR(__xludf.DUMMYFUNCTION("IF(COUNTA(C220:C1644)=0,"""",IF(REGEXMATCH(INDEX(FILTER(C$4:C220,C$4:C220&lt;&gt;""""),ROWS(FILTER(C$4:C220,C$4:C220&lt;&gt;""""))),""^Sell_""),INDEX(FILTER(F$4:F219,C$4:C219&lt;&gt;""""),ROWS(FILTER(C$4:C219,C$4:C219&lt;&gt;""""))),$AC$5+E220))"),559309.4)</f>
        <v>559309.4</v>
      </c>
      <c r="G220" s="10">
        <f>IFERROR(__xludf.DUMMYFUNCTION("IF(COUNTA(C220:C1644)=0,"""",IF(C220="""",0,IF(REGEXMATCH(C220,""^Sell_""),-ROUNDDOWN(ROUNDUP(INDEX(Upgrades!$C$3:$C$13,MATCH(SUBSTITUTE(C220,""Sell_"",""""),Upgrades!$B$3:$B$13,0))*1.15^(COUNTIF(C$4:C219,SUBSTITUTE(C220,""Sell_"",""""))-COUNTIF(C$4:C219,"&amp;"""Sell_""&amp;SUBSTITUTE(C220,""Sell_"",""""))))/2),ROUNDUP(INDEX(Upgrades!$C$3:$C$13,MATCH(C220,Upgrades!$B$3:$B$13,0))*1.15^(COUNTIF(C$4:C219,C220)-COUNTIF(C$4:C219,""Sell_""&amp;C220))))))"),751.0)</f>
        <v>751</v>
      </c>
      <c r="H220" s="10">
        <f t="shared" si="3"/>
        <v>751</v>
      </c>
      <c r="I220" s="68">
        <f t="shared" si="4"/>
        <v>7704.384816</v>
      </c>
      <c r="J220" s="59" t="str">
        <f t="shared" si="5"/>
        <v>2h 08m 24s</v>
      </c>
      <c r="K220" s="69">
        <f t="shared" si="6"/>
        <v>917811250</v>
      </c>
      <c r="L220" s="60">
        <f t="shared" si="7"/>
        <v>-52.58064</v>
      </c>
      <c r="M220" s="61">
        <f>IFERROR(__xludf.DUMMYFUNCTION("IFS(AND(COUNTA(C220:C1644)=0,COUNTA(Q220:Q1644)=0),"""",OR(AND(K220&gt;=1000000000,OR(Y220&gt;=1000000000,COUNTA(Q220:Q1644)=0)),OR(Y220&gt;=1000000000,AND(COUNTA(C220:C1644)=0,P$3=TRUE))),
ROUNDDOWN((AB$1-AC$1)*MAX(INDEX(T$4:T1644,MATCH(LARGE(FILTER(Y$4:Y1644,Y$4"&amp;":Y1644&lt;1000000000),1),Y$4:Y1644)),INDEX(F$4:F1644,MATCH(LARGE(FILTER(K$4:K1644,K$4:K1644&lt;1000000000),1),K$4:K1644)))),AND(K220&lt;1000000000,COUNTA(C220:C1644)&gt;0,P$3=FALSE),
ROUNDDOWN(INDEX(Y$4:Y1644,MATCH(LARGE(FILTER(W$4:W1644,W$4:W1644&lt;=I220),1),W$4:W1644"&amp;"))+(I220-LARGE(FILTER(W$4:W1644,W$4:W1644&lt;=I220),1))*INDEX(T$4:T1644,MATCH(LARGE(FILTER(W$4:W1644,W$4:W1644&lt;=I220),1),W$4:W1644))-K220),1,
ROUNDDOWN(Y220-INDEX(K$4:K1644,MATCH(LARGE(FILTER(I$4:I1644,I$4:I1644&lt;=W220),1),I$4:I1644))-(W220-LARGE(FILTER(I$4:I"&amp;"1644,I$4:I1644&lt;=W220),1))*INDEX(F$4:F1644,MATCH(LARGE(FILTER(I$4:I1644,I$4:I1644&lt;=W220),1),I$4:I1644))))"),2.8648775E7)</f>
        <v>28648775</v>
      </c>
      <c r="N220" s="60">
        <f t="shared" si="8"/>
        <v>-52.58064</v>
      </c>
      <c r="O220" s="61" t="str">
        <f t="shared" si="9"/>
        <v>28,6M</v>
      </c>
      <c r="P220" s="56">
        <f t="shared" si="10"/>
        <v>10</v>
      </c>
      <c r="Q220" s="105" t="s">
        <v>9</v>
      </c>
      <c r="R220" s="10"/>
      <c r="S220" s="59">
        <f t="array" ref="S220">IF(COUNTA(Q220:Q1644)=0,"",SUM((COUNTIF(Q$4:Q220,Upgrades!$B$3:$B$13)-COUNTIF(Q$4:Q220,"Sell_"&amp;Upgrades!$B$3:$B$13))*Upgrades!$D$3:$D$13))</f>
        <v>198074</v>
      </c>
      <c r="T220" s="66">
        <f>IFERROR(__xludf.DUMMYFUNCTION("IF(COUNTA(Q220:Q1644)=0,"""",IF(REGEXMATCH(INDEX(FILTER(Q$4:Q220,Q$4:Q220&lt;&gt;""""),ROWS(FILTER(Q$4:Q220,Q$4:Q220&lt;&gt;""""))),""^Sell_""),INDEX(FILTER(T$4:T219,Q$4:Q219&lt;&gt;""""),ROWS(FILTER(Q$4:Q219,Q$4:Q219&lt;&gt;""""))),$AD$5+S220))"),198084.0)</f>
        <v>198084</v>
      </c>
      <c r="U220" s="10">
        <f>IFERROR(__xludf.DUMMYFUNCTION("IF(COUNTA(Q220:Q1644)=0,"""",IF(Q220="""",0,IF(REGEXMATCH(Q220,""^Sell_""),-ROUNDDOWN(ROUNDUP(INDEX(Upgrades!$C$3:$C$13,MATCH(SUBSTITUTE(Q220,""Sell_"",""""),Upgrades!$B$3:$B$13,0))*1.15^(COUNTIF(Q$4:Q219,SUBSTITUTE(Q220,""Sell_"",""""))-COUNTIF(Q$4:Q219,"&amp;"""Sell_""&amp;SUBSTITUTE(Q220,""Sell_"",""""))))/2),ROUNDUP(INDEX(Upgrades!$C$3:$C$13,MATCH(Q220,Upgrades!$B$3:$B$13,0))*1.15^(COUNTIF(Q$4:Q219,Q220)-COUNTIF(Q$4:Q219,""Sell_""&amp;Q220))))))"),703576.0)</f>
        <v>703576</v>
      </c>
      <c r="V220" s="10">
        <f t="shared" si="11"/>
        <v>703576</v>
      </c>
      <c r="W220" s="68">
        <f t="shared" si="12"/>
        <v>5550.075795</v>
      </c>
      <c r="X220" s="59" t="str">
        <f t="shared" si="13"/>
        <v>1h 32m 30s</v>
      </c>
      <c r="Y220" s="69">
        <f t="shared" si="14"/>
        <v>225237583</v>
      </c>
      <c r="Z220" s="11"/>
      <c r="AG220" s="59"/>
    </row>
    <row r="221">
      <c r="A221" s="8"/>
      <c r="B221" s="56">
        <f t="shared" si="2"/>
        <v>21</v>
      </c>
      <c r="C221" s="105" t="s">
        <v>8</v>
      </c>
      <c r="D221" s="10"/>
      <c r="E221" s="59">
        <f t="array" ref="E221">IF(COUNTA(C221:C1644)=0,"",SUM((COUNTIF(C$4:C221,Upgrades!$B$3:$B$13)-COUNTIF(C$4:C221,"Sell_"&amp;Upgrades!$B$3:$B$13))*Upgrades!$D$3:$D$13))</f>
        <v>559399.4</v>
      </c>
      <c r="F221" s="66">
        <f>IFERROR(__xludf.DUMMYFUNCTION("IF(COUNTA(C221:C1644)=0,"""",IF(REGEXMATCH(INDEX(FILTER(C$4:C221,C$4:C221&lt;&gt;""""),ROWS(FILTER(C$4:C221,C$4:C221&lt;&gt;""""))),""^Sell_""),INDEX(FILTER(F$4:F220,C$4:C220&lt;&gt;""""),ROWS(FILTER(C$4:C220,C$4:C220&lt;&gt;""""))),$AC$5+E221))"),559409.4)</f>
        <v>559409.4</v>
      </c>
      <c r="G221" s="10">
        <f>IFERROR(__xludf.DUMMYFUNCTION("IF(COUNTA(C221:C1644)=0,"""",IF(C221="""",0,IF(REGEXMATCH(C221,""^Sell_""),-ROUNDDOWN(ROUNDUP(INDEX(Upgrades!$C$3:$C$13,MATCH(SUBSTITUTE(C221,""Sell_"",""""),Upgrades!$B$3:$B$13,0))*1.15^(COUNTIF(C$4:C220,SUBSTITUTE(C221,""Sell_"",""""))-COUNTIF(C$4:C220,"&amp;"""Sell_""&amp;SUBSTITUTE(C221,""Sell_"",""""))))/2),ROUNDUP(INDEX(Upgrades!$C$3:$C$13,MATCH(C221,Upgrades!$B$3:$B$13,0))*1.15^(COUNTIF(C$4:C220,C221)-COUNTIF(C$4:C220,""Sell_""&amp;C221))))))"),654662.0)</f>
        <v>654662</v>
      </c>
      <c r="H221" s="10">
        <f t="shared" si="3"/>
        <v>654662</v>
      </c>
      <c r="I221" s="68">
        <f t="shared" si="4"/>
        <v>7705.555299</v>
      </c>
      <c r="J221" s="59" t="str">
        <f t="shared" si="5"/>
        <v>2h 08m 25s</v>
      </c>
      <c r="K221" s="69">
        <f t="shared" si="6"/>
        <v>918465912</v>
      </c>
      <c r="L221" s="60">
        <f t="shared" si="7"/>
        <v>-52.54959</v>
      </c>
      <c r="M221" s="61">
        <f>IFERROR(__xludf.DUMMYFUNCTION("IFS(AND(COUNTA(C221:C1644)=0,COUNTA(Q221:Q1644)=0),"""",OR(AND(K221&gt;=1000000000,OR(Y221&gt;=1000000000,COUNTA(Q221:Q1644)=0)),OR(Y221&gt;=1000000000,AND(COUNTA(C221:C1644)=0,P$3=TRUE))),
ROUNDDOWN((AB$1-AC$1)*MAX(INDEX(T$4:T1644,MATCH(LARGE(FILTER(Y$4:Y1644,Y$4"&amp;":Y1644&lt;1000000000),1),Y$4:Y1644)),INDEX(F$4:F1644,MATCH(LARGE(FILTER(K$4:K1644,K$4:K1644&lt;1000000000),1),K$4:K1644)))),AND(K221&lt;1000000000,COUNTA(C221:C1644)&gt;0,P$3=FALSE),
ROUNDDOWN(INDEX(Y$4:Y1644,MATCH(LARGE(FILTER(W$4:W1644,W$4:W1644&lt;=I221),1),W$4:W1644"&amp;"))+(I221-LARGE(FILTER(W$4:W1644,W$4:W1644&lt;=I221),1))*INDEX(T$4:T1644,MATCH(LARGE(FILTER(W$4:W1644,W$4:W1644&lt;=I221),1),W$4:W1644))-K221),1,
ROUNDDOWN(Y221-INDEX(K$4:K1644,MATCH(LARGE(FILTER(I$4:I1644,I$4:I1644&lt;=W221),1),I$4:I1644))-(W221-LARGE(FILTER(I$4:I"&amp;"1644,I$4:I1644&lt;=W221),1))*INDEX(F$4:F1644,MATCH(LARGE(FILTER(I$4:I1644,I$4:I1644&lt;=W221),1),I$4:I1644))))"),2.8631855E7)</f>
        <v>28631855</v>
      </c>
      <c r="N221" s="60">
        <f t="shared" si="8"/>
        <v>-52.54959</v>
      </c>
      <c r="O221" s="61" t="str">
        <f t="shared" si="9"/>
        <v>28,6M</v>
      </c>
      <c r="P221" s="56">
        <f t="shared" si="10"/>
        <v>15</v>
      </c>
      <c r="Q221" s="105" t="s">
        <v>10</v>
      </c>
      <c r="R221" s="10"/>
      <c r="S221" s="59">
        <f t="array" ref="S221">IF(COUNTA(Q221:Q1644)=0,"",SUM((COUNTIF(Q$4:Q221,Upgrades!$B$3:$B$13)-COUNTIF(Q$4:Q221,"Sell_"&amp;Upgrades!$B$3:$B$13))*Upgrades!$D$3:$D$13))</f>
        <v>204740</v>
      </c>
      <c r="T221" s="66">
        <f>IFERROR(__xludf.DUMMYFUNCTION("IF(COUNTA(Q221:Q1644)=0,"""",IF(REGEXMATCH(INDEX(FILTER(Q$4:Q221,Q$4:Q221&lt;&gt;""""),ROWS(FILTER(Q$4:Q221,Q$4:Q221&lt;&gt;""""))),""^Sell_""),INDEX(FILTER(T$4:T220,Q$4:Q220&lt;&gt;""""),ROWS(FILTER(Q$4:Q220,Q$4:Q220&lt;&gt;""""))),$AD$5+S221))"),204750.0)</f>
        <v>204750</v>
      </c>
      <c r="U221" s="10">
        <f>IFERROR(__xludf.DUMMYFUNCTION("IF(COUNTA(Q221:Q1644)=0,"""",IF(Q221="""",0,IF(REGEXMATCH(Q221,""^Sell_""),-ROUNDDOWN(ROUNDUP(INDEX(Upgrades!$C$3:$C$13,MATCH(SUBSTITUTE(Q221,""Sell_"",""""),Upgrades!$B$3:$B$13,0))*1.15^(COUNTIF(Q$4:Q220,SUBSTITUTE(Q221,""Sell_"",""""))-COUNTIF(Q$4:Q220,"&amp;"""Sell_""&amp;SUBSTITUTE(Q221,""Sell_"",""""))))/2),ROUNDUP(INDEX(Upgrades!$C$3:$C$13,MATCH(Q221,Upgrades!$B$3:$B$13,0))*1.15^(COUNTIF(Q$4:Q220,Q221)-COUNTIF(Q$4:Q220,""Sell_""&amp;Q221))))))"),1.1792839E7)</f>
        <v>11792839</v>
      </c>
      <c r="V221" s="10">
        <f t="shared" si="11"/>
        <v>11792839</v>
      </c>
      <c r="W221" s="68">
        <f t="shared" si="12"/>
        <v>5609.610331</v>
      </c>
      <c r="X221" s="59" t="str">
        <f t="shared" si="13"/>
        <v>1h 33m 29s</v>
      </c>
      <c r="Y221" s="69">
        <f t="shared" si="14"/>
        <v>237030422</v>
      </c>
      <c r="Z221" s="11"/>
      <c r="AG221" s="59"/>
    </row>
    <row r="222">
      <c r="A222" s="8"/>
      <c r="B222" s="56">
        <f t="shared" si="2"/>
        <v>26</v>
      </c>
      <c r="C222" s="105" t="s">
        <v>4</v>
      </c>
      <c r="D222" s="10"/>
      <c r="E222" s="59">
        <f t="array" ref="E222">IF(COUNTA(C222:C1644)=0,"",SUM((COUNTIF(C$4:C222,Upgrades!$B$3:$B$13)-COUNTIF(C$4:C222,"Sell_"&amp;Upgrades!$B$3:$B$13))*Upgrades!$D$3:$D$13))</f>
        <v>559399.9</v>
      </c>
      <c r="F222" s="66">
        <f>IFERROR(__xludf.DUMMYFUNCTION("IF(COUNTA(C222:C1644)=0,"""",IF(REGEXMATCH(INDEX(FILTER(C$4:C222,C$4:C222&lt;&gt;""""),ROWS(FILTER(C$4:C222,C$4:C222&lt;&gt;""""))),""^Sell_""),INDEX(FILTER(F$4:F221,C$4:C221&lt;&gt;""""),ROWS(FILTER(C$4:C221,C$4:C221&lt;&gt;""""))),$AC$5+E222))"),559409.9)</f>
        <v>559409.9</v>
      </c>
      <c r="G222" s="10">
        <f>IFERROR(__xludf.DUMMYFUNCTION("IF(COUNTA(C222:C1644)=0,"""",IF(C222="""",0,IF(REGEXMATCH(C222,""^Sell_""),-ROUNDDOWN(ROUNDUP(INDEX(Upgrades!$C$3:$C$13,MATCH(SUBSTITUTE(C222,""Sell_"",""""),Upgrades!$B$3:$B$13,0))*1.15^(COUNTIF(C$4:C221,SUBSTITUTE(C222,""Sell_"",""""))-COUNTIF(C$4:C221,"&amp;"""Sell_""&amp;SUBSTITUTE(C222,""Sell_"",""""))))/2),ROUNDUP(INDEX(Upgrades!$C$3:$C$13,MATCH(C222,Upgrades!$B$3:$B$13,0))*1.15^(COUNTIF(C$4:C221,C222)-COUNTIF(C$4:C221,""Sell_""&amp;C222))))))"),3292.0)</f>
        <v>3292</v>
      </c>
      <c r="H222" s="10">
        <f t="shared" si="3"/>
        <v>3292</v>
      </c>
      <c r="I222" s="68">
        <f t="shared" si="4"/>
        <v>7705.561183</v>
      </c>
      <c r="J222" s="59" t="str">
        <f t="shared" si="5"/>
        <v>2h 08m 25s</v>
      </c>
      <c r="K222" s="69">
        <f t="shared" si="6"/>
        <v>918469204</v>
      </c>
      <c r="L222" s="60">
        <f t="shared" si="7"/>
        <v>-52.54943</v>
      </c>
      <c r="M222" s="61">
        <f>IFERROR(__xludf.DUMMYFUNCTION("IFS(AND(COUNTA(C222:C1644)=0,COUNTA(Q222:Q1644)=0),"""",OR(AND(K222&gt;=1000000000,OR(Y222&gt;=1000000000,COUNTA(Q222:Q1644)=0)),OR(Y222&gt;=1000000000,AND(COUNTA(C222:C1644)=0,P$3=TRUE))),
ROUNDDOWN((AB$1-AC$1)*MAX(INDEX(T$4:T1644,MATCH(LARGE(FILTER(Y$4:Y1644,Y$4"&amp;":Y1644&lt;1000000000),1),Y$4:Y1644)),INDEX(F$4:F1644,MATCH(LARGE(FILTER(K$4:K1644,K$4:K1644&lt;1000000000),1),K$4:K1644)))),AND(K222&lt;1000000000,COUNTA(C222:C1644)&gt;0,P$3=FALSE),
ROUNDDOWN(INDEX(Y$4:Y1644,MATCH(LARGE(FILTER(W$4:W1644,W$4:W1644&lt;=I222),1),W$4:W1644"&amp;"))+(I222-LARGE(FILTER(W$4:W1644,W$4:W1644&lt;=I222),1))*INDEX(T$4:T1644,MATCH(LARGE(FILTER(W$4:W1644,W$4:W1644&lt;=I222),1),W$4:W1644))-K222),1,
ROUNDDOWN(Y222-INDEX(K$4:K1644,MATCH(LARGE(FILTER(I$4:I1644,I$4:I1644&lt;=W222),1),I$4:I1644))-(W222-LARGE(FILTER(I$4:I"&amp;"1644,I$4:I1644&lt;=W222),1))*INDEX(F$4:F1644,MATCH(LARGE(FILTER(I$4:I1644,I$4:I1644&lt;=W222),1),I$4:I1644))))"),2.863177E7)</f>
        <v>28631770</v>
      </c>
      <c r="N222" s="60">
        <f t="shared" si="8"/>
        <v>-52.54943</v>
      </c>
      <c r="O222" s="61" t="str">
        <f t="shared" si="9"/>
        <v>28,6M</v>
      </c>
      <c r="P222" s="56">
        <f t="shared" si="10"/>
        <v>12</v>
      </c>
      <c r="Q222" s="105" t="s">
        <v>8</v>
      </c>
      <c r="R222" s="10"/>
      <c r="S222" s="59">
        <f t="array" ref="S222">IF(COUNTA(Q222:Q1644)=0,"",SUM((COUNTIF(Q$4:Q222,Upgrades!$B$3:$B$13)-COUNTIF(Q$4:Q222,"Sell_"&amp;Upgrades!$B$3:$B$13))*Upgrades!$D$3:$D$13))</f>
        <v>204840</v>
      </c>
      <c r="T222" s="66">
        <f>IFERROR(__xludf.DUMMYFUNCTION("IF(COUNTA(Q222:Q1644)=0,"""",IF(REGEXMATCH(INDEX(FILTER(Q$4:Q222,Q$4:Q222&lt;&gt;""""),ROWS(FILTER(Q$4:Q222,Q$4:Q222&lt;&gt;""""))),""^Sell_""),INDEX(FILTER(T$4:T221,Q$4:Q221&lt;&gt;""""),ROWS(FILTER(Q$4:Q221,Q$4:Q221&lt;&gt;""""))),$AD$5+S222))"),204850.0)</f>
        <v>204850</v>
      </c>
      <c r="U222" s="10">
        <f>IFERROR(__xludf.DUMMYFUNCTION("IF(COUNTA(Q222:Q1644)=0,"""",IF(Q222="""",0,IF(REGEXMATCH(Q222,""^Sell_""),-ROUNDDOWN(ROUNDUP(INDEX(Upgrades!$C$3:$C$13,MATCH(SUBSTITUTE(Q222,""Sell_"",""""),Upgrades!$B$3:$B$13,0))*1.15^(COUNTIF(Q$4:Q221,SUBSTITUTE(Q222,""Sell_"",""""))-COUNTIF(Q$4:Q221,"&amp;"""Sell_""&amp;SUBSTITUTE(Q222,""Sell_"",""""))))/2),ROUNDUP(INDEX(Upgrades!$C$3:$C$13,MATCH(Q222,Upgrades!$B$3:$B$13,0))*1.15^(COUNTIF(Q$4:Q221,Q222)-COUNTIF(Q$4:Q221,""Sell_""&amp;Q222))))))"),186096.0)</f>
        <v>186096</v>
      </c>
      <c r="V222" s="10">
        <f t="shared" si="11"/>
        <v>186096</v>
      </c>
      <c r="W222" s="68">
        <f t="shared" si="12"/>
        <v>5610.519224</v>
      </c>
      <c r="X222" s="59" t="str">
        <f t="shared" si="13"/>
        <v>1h 33m 30s</v>
      </c>
      <c r="Y222" s="69">
        <f t="shared" si="14"/>
        <v>237216518</v>
      </c>
      <c r="Z222" s="11"/>
      <c r="AG222" s="59"/>
    </row>
    <row r="223">
      <c r="A223" s="8"/>
      <c r="B223" s="56">
        <f t="shared" si="2"/>
        <v>24</v>
      </c>
      <c r="C223" s="105" t="s">
        <v>10</v>
      </c>
      <c r="D223" s="10"/>
      <c r="E223" s="59">
        <f t="array" ref="E223">IF(COUNTA(C223:C1644)=0,"",SUM((COUNTIF(C$4:C223,Upgrades!$B$3:$B$13)-COUNTIF(C$4:C223,"Sell_"&amp;Upgrades!$B$3:$B$13))*Upgrades!$D$3:$D$13))</f>
        <v>566065.9</v>
      </c>
      <c r="F223" s="66">
        <f>IFERROR(__xludf.DUMMYFUNCTION("IF(COUNTA(C223:C1644)=0,"""",IF(REGEXMATCH(INDEX(FILTER(C$4:C223,C$4:C223&lt;&gt;""""),ROWS(FILTER(C$4:C223,C$4:C223&lt;&gt;""""))),""^Sell_""),INDEX(FILTER(F$4:F222,C$4:C222&lt;&gt;""""),ROWS(FILTER(C$4:C222,C$4:C222&lt;&gt;""""))),$AC$5+E223))"),566075.9)</f>
        <v>566075.9</v>
      </c>
      <c r="G223" s="10">
        <f>IFERROR(__xludf.DUMMYFUNCTION("IF(COUNTA(C223:C1644)=0,"""",IF(C223="""",0,IF(REGEXMATCH(C223,""^Sell_""),-ROUNDDOWN(ROUNDUP(INDEX(Upgrades!$C$3:$C$13,MATCH(SUBSTITUTE(C223,""Sell_"",""""),Upgrades!$B$3:$B$13,0))*1.15^(COUNTIF(C$4:C222,SUBSTITUTE(C223,""Sell_"",""""))-COUNTIF(C$4:C222,"&amp;"""Sell_""&amp;SUBSTITUTE(C223,""Sell_"",""""))))/2),ROUNDUP(INDEX(Upgrades!$C$3:$C$13,MATCH(C223,Upgrades!$B$3:$B$13,0))*1.15^(COUNTIF(C$4:C222,C223)-COUNTIF(C$4:C222,""Sell_""&amp;C223))))))"),4.1485747E7)</f>
        <v>41485747</v>
      </c>
      <c r="H223" s="10">
        <f t="shared" si="3"/>
        <v>41485747</v>
      </c>
      <c r="I223" s="68">
        <f t="shared" si="4"/>
        <v>7779.72102</v>
      </c>
      <c r="J223" s="59" t="str">
        <f t="shared" si="5"/>
        <v>2h 09m 39s</v>
      </c>
      <c r="K223" s="69">
        <f t="shared" si="6"/>
        <v>959954951</v>
      </c>
      <c r="L223" s="60">
        <f t="shared" si="7"/>
        <v>-50.83671</v>
      </c>
      <c r="M223" s="61">
        <f>IFERROR(__xludf.DUMMYFUNCTION("IFS(AND(COUNTA(C223:C1644)=0,COUNTA(Q223:Q1644)=0),"""",OR(AND(K223&gt;=1000000000,OR(Y223&gt;=1000000000,COUNTA(Q223:Q1644)=0)),OR(Y223&gt;=1000000000,AND(COUNTA(C223:C1644)=0,P$3=TRUE))),
ROUNDDOWN((AB$1-AC$1)*MAX(INDEX(T$4:T1644,MATCH(LARGE(FILTER(Y$4:Y1644,Y$4"&amp;":Y1644&lt;1000000000),1),Y$4:Y1644)),INDEX(F$4:F1644,MATCH(LARGE(FILTER(K$4:K1644,K$4:K1644&lt;1000000000),1),K$4:K1644)))),AND(K223&lt;1000000000,COUNTA(C223:C1644)&gt;0,P$3=FALSE),
ROUNDDOWN(INDEX(Y$4:Y1644,MATCH(LARGE(FILTER(W$4:W1644,W$4:W1644&lt;=I223),1),W$4:W1644"&amp;"))+(I223-LARGE(FILTER(W$4:W1644,W$4:W1644&lt;=I223),1))*INDEX(T$4:T1644,MATCH(LARGE(FILTER(W$4:W1644,W$4:W1644&lt;=I223),1),W$4:W1644))-K223),1,
ROUNDDOWN(Y223-INDEX(K$4:K1644,MATCH(LARGE(FILTER(I$4:I1644,I$4:I1644&lt;=W223),1),I$4:I1644))-(W223-LARGE(FILTER(I$4:I"&amp;"1644,I$4:I1644&lt;=W223),1))*INDEX(F$4:F1644,MATCH(LARGE(FILTER(I$4:I1644,I$4:I1644&lt;=W223),1),I$4:I1644))))"),2.8070663E7)</f>
        <v>28070663</v>
      </c>
      <c r="N223" s="60">
        <f t="shared" si="8"/>
        <v>-50.83671</v>
      </c>
      <c r="O223" s="61" t="str">
        <f t="shared" si="9"/>
        <v>28,1M</v>
      </c>
      <c r="P223" s="56">
        <f t="shared" si="10"/>
        <v>11</v>
      </c>
      <c r="Q223" s="105" t="s">
        <v>9</v>
      </c>
      <c r="R223" s="10"/>
      <c r="S223" s="59">
        <f t="array" ref="S223">IF(COUNTA(Q223:Q1644)=0,"",SUM((COUNTIF(Q$4:Q223,Upgrades!$B$3:$B$13)-COUNTIF(Q$4:Q223,"Sell_"&amp;Upgrades!$B$3:$B$13))*Upgrades!$D$3:$D$13))</f>
        <v>205240</v>
      </c>
      <c r="T223" s="66">
        <f>IFERROR(__xludf.DUMMYFUNCTION("IF(COUNTA(Q223:Q1644)=0,"""",IF(REGEXMATCH(INDEX(FILTER(Q$4:Q223,Q$4:Q223&lt;&gt;""""),ROWS(FILTER(Q$4:Q223,Q$4:Q223&lt;&gt;""""))),""^Sell_""),INDEX(FILTER(T$4:T222,Q$4:Q222&lt;&gt;""""),ROWS(FILTER(Q$4:Q222,Q$4:Q222&lt;&gt;""""))),$AD$5+S223))"),205250.0)</f>
        <v>205250</v>
      </c>
      <c r="U223" s="10">
        <f>IFERROR(__xludf.DUMMYFUNCTION("IF(COUNTA(Q223:Q1644)=0,"""",IF(Q223="""",0,IF(REGEXMATCH(Q223,""^Sell_""),-ROUNDDOWN(ROUNDUP(INDEX(Upgrades!$C$3:$C$13,MATCH(SUBSTITUTE(Q223,""Sell_"",""""),Upgrades!$B$3:$B$13,0))*1.15^(COUNTIF(Q$4:Q222,SUBSTITUTE(Q223,""Sell_"",""""))-COUNTIF(Q$4:Q222,"&amp;"""Sell_""&amp;SUBSTITUTE(Q223,""Sell_"",""""))))/2),ROUNDUP(INDEX(Upgrades!$C$3:$C$13,MATCH(Q223,Upgrades!$B$3:$B$13,0))*1.15^(COUNTIF(Q$4:Q222,Q223)-COUNTIF(Q$4:Q222,""Sell_""&amp;Q223))))))"),809112.0)</f>
        <v>809112</v>
      </c>
      <c r="V223" s="10">
        <f t="shared" si="11"/>
        <v>809112</v>
      </c>
      <c r="W223" s="68">
        <f t="shared" si="12"/>
        <v>5614.469002</v>
      </c>
      <c r="X223" s="59" t="str">
        <f t="shared" si="13"/>
        <v>1h 33m 34s</v>
      </c>
      <c r="Y223" s="69">
        <f t="shared" si="14"/>
        <v>238025630</v>
      </c>
      <c r="Z223" s="11"/>
      <c r="AG223" s="59"/>
    </row>
    <row r="224">
      <c r="A224" s="8"/>
      <c r="B224" s="56">
        <f t="shared" si="2"/>
        <v>20</v>
      </c>
      <c r="C224" s="105" t="s">
        <v>9</v>
      </c>
      <c r="D224" s="10"/>
      <c r="E224" s="59">
        <f t="array" ref="E224">IF(COUNTA(C224:C1644)=0,"",SUM((COUNTIF(C$4:C224,Upgrades!$B$3:$B$13)-COUNTIF(C$4:C224,"Sell_"&amp;Upgrades!$B$3:$B$13))*Upgrades!$D$3:$D$13))</f>
        <v>566465.9</v>
      </c>
      <c r="F224" s="66">
        <f>IFERROR(__xludf.DUMMYFUNCTION("IF(COUNTA(C224:C1644)=0,"""",IF(REGEXMATCH(INDEX(FILTER(C$4:C224,C$4:C224&lt;&gt;""""),ROWS(FILTER(C$4:C224,C$4:C224&lt;&gt;""""))),""^Sell_""),INDEX(FILTER(F$4:F223,C$4:C223&lt;&gt;""""),ROWS(FILTER(C$4:C223,C$4:C223&lt;&gt;""""))),$AC$5+E224))"),566475.9)</f>
        <v>566475.9</v>
      </c>
      <c r="G224" s="10">
        <f>IFERROR(__xludf.DUMMYFUNCTION("IF(COUNTA(C224:C1644)=0,"""",IF(C224="""",0,IF(REGEXMATCH(C224,""^Sell_""),-ROUNDDOWN(ROUNDUP(INDEX(Upgrades!$C$3:$C$13,MATCH(SUBSTITUTE(C224,""Sell_"",""""),Upgrades!$B$3:$B$13,0))*1.15^(COUNTIF(C$4:C223,SUBSTITUTE(C224,""Sell_"",""""))-COUNTIF(C$4:C223,"&amp;"""Sell_""&amp;SUBSTITUTE(C224,""Sell_"",""""))))/2),ROUNDUP(INDEX(Upgrades!$C$3:$C$13,MATCH(C224,Upgrades!$B$3:$B$13,0))*1.15^(COUNTIF(C$4:C223,C224)-COUNTIF(C$4:C223,""Sell_""&amp;C224))))))"),2846355.0)</f>
        <v>2846355</v>
      </c>
      <c r="H224" s="10">
        <f t="shared" si="3"/>
        <v>2846355</v>
      </c>
      <c r="I224" s="68">
        <f t="shared" si="4"/>
        <v>7784.749242</v>
      </c>
      <c r="J224" s="59" t="str">
        <f t="shared" si="5"/>
        <v>2h 09m 44s</v>
      </c>
      <c r="K224" s="69">
        <f t="shared" si="6"/>
        <v>962801306</v>
      </c>
      <c r="L224" s="60">
        <f t="shared" si="7"/>
        <v>-50.70919</v>
      </c>
      <c r="M224" s="61">
        <f>IFERROR(__xludf.DUMMYFUNCTION("IFS(AND(COUNTA(C224:C1644)=0,COUNTA(Q224:Q1644)=0),"""",OR(AND(K224&gt;=1000000000,OR(Y224&gt;=1000000000,COUNTA(Q224:Q1644)=0)),OR(Y224&gt;=1000000000,AND(COUNTA(C224:C1644)=0,P$3=TRUE))),
ROUNDDOWN((AB$1-AC$1)*MAX(INDEX(T$4:T1644,MATCH(LARGE(FILTER(Y$4:Y1644,Y$4"&amp;":Y1644&lt;1000000000),1),Y$4:Y1644)),INDEX(F$4:F1644,MATCH(LARGE(FILTER(K$4:K1644,K$4:K1644&lt;1000000000),1),K$4:K1644)))),AND(K224&lt;1000000000,COUNTA(C224:C1644)&gt;0,P$3=FALSE),
ROUNDDOWN(INDEX(Y$4:Y1644,MATCH(LARGE(FILTER(W$4:W1644,W$4:W1644&lt;=I224),1),W$4:W1644"&amp;"))+(I224-LARGE(FILTER(W$4:W1644,W$4:W1644&lt;=I224),1))*INDEX(T$4:T1644,MATCH(LARGE(FILTER(W$4:W1644,W$4:W1644&lt;=I224),1),W$4:W1644))-K224),1,
ROUNDDOWN(Y224-INDEX(K$4:K1644,MATCH(LARGE(FILTER(I$4:I1644,I$4:I1644&lt;=W224),1),I$4:I1644))-(W224-LARGE(FILTER(I$4:I"&amp;"1644,I$4:I1644&lt;=W224),1))*INDEX(F$4:F1644,MATCH(LARGE(FILTER(I$4:I1644,I$4:I1644&lt;=W224),1),I$4:I1644))))"),2.8034388E7)</f>
        <v>28034388</v>
      </c>
      <c r="N224" s="60">
        <f t="shared" si="8"/>
        <v>-50.70919</v>
      </c>
      <c r="O224" s="61" t="str">
        <f t="shared" si="9"/>
        <v>28,0M</v>
      </c>
      <c r="P224" s="56">
        <f t="shared" si="10"/>
        <v>16</v>
      </c>
      <c r="Q224" s="105" t="s">
        <v>10</v>
      </c>
      <c r="R224" s="10"/>
      <c r="S224" s="59">
        <f t="array" ref="S224">IF(COUNTA(Q224:Q1644)=0,"",SUM((COUNTIF(Q$4:Q224,Upgrades!$B$3:$B$13)-COUNTIF(Q$4:Q224,"Sell_"&amp;Upgrades!$B$3:$B$13))*Upgrades!$D$3:$D$13))</f>
        <v>211906</v>
      </c>
      <c r="T224" s="66">
        <f>IFERROR(__xludf.DUMMYFUNCTION("IF(COUNTA(Q224:Q1644)=0,"""",IF(REGEXMATCH(INDEX(FILTER(Q$4:Q224,Q$4:Q224&lt;&gt;""""),ROWS(FILTER(Q$4:Q224,Q$4:Q224&lt;&gt;""""))),""^Sell_""),INDEX(FILTER(T$4:T223,Q$4:Q223&lt;&gt;""""),ROWS(FILTER(Q$4:Q223,Q$4:Q223&lt;&gt;""""))),$AD$5+S224))"),211916.0)</f>
        <v>211916</v>
      </c>
      <c r="U224" s="10">
        <f>IFERROR(__xludf.DUMMYFUNCTION("IF(COUNTA(Q224:Q1644)=0,"""",IF(Q224="""",0,IF(REGEXMATCH(Q224,""^Sell_""),-ROUNDDOWN(ROUNDUP(INDEX(Upgrades!$C$3:$C$13,MATCH(SUBSTITUTE(Q224,""Sell_"",""""),Upgrades!$B$3:$B$13,0))*1.15^(COUNTIF(Q$4:Q223,SUBSTITUTE(Q224,""Sell_"",""""))-COUNTIF(Q$4:Q223,"&amp;"""Sell_""&amp;SUBSTITUTE(Q224,""Sell_"",""""))))/2),ROUNDUP(INDEX(Upgrades!$C$3:$C$13,MATCH(Q224,Upgrades!$B$3:$B$13,0))*1.15^(COUNTIF(Q$4:Q223,Q224)-COUNTIF(Q$4:Q223,""Sell_""&amp;Q224))))))"),1.3561764E7)</f>
        <v>13561764</v>
      </c>
      <c r="V224" s="10">
        <f t="shared" si="11"/>
        <v>13561764</v>
      </c>
      <c r="W224" s="68">
        <f t="shared" si="12"/>
        <v>5680.54337</v>
      </c>
      <c r="X224" s="59" t="str">
        <f t="shared" si="13"/>
        <v>1h 34m 40s</v>
      </c>
      <c r="Y224" s="69">
        <f t="shared" si="14"/>
        <v>251587394</v>
      </c>
      <c r="Z224" s="11"/>
      <c r="AG224" s="59"/>
    </row>
    <row r="225">
      <c r="A225" s="8"/>
      <c r="B225" s="56">
        <f t="shared" si="2"/>
        <v>21</v>
      </c>
      <c r="C225" s="105" t="s">
        <v>9</v>
      </c>
      <c r="D225" s="10"/>
      <c r="E225" s="59">
        <f t="array" ref="E225">IF(COUNTA(C225:C1644)=0,"",SUM((COUNTIF(C$4:C225,Upgrades!$B$3:$B$13)-COUNTIF(C$4:C225,"Sell_"&amp;Upgrades!$B$3:$B$13))*Upgrades!$D$3:$D$13))</f>
        <v>566865.9</v>
      </c>
      <c r="F225" s="66">
        <f>IFERROR(__xludf.DUMMYFUNCTION("IF(COUNTA(C225:C1644)=0,"""",IF(REGEXMATCH(INDEX(FILTER(C$4:C225,C$4:C225&lt;&gt;""""),ROWS(FILTER(C$4:C225,C$4:C225&lt;&gt;""""))),""^Sell_""),INDEX(FILTER(F$4:F224,C$4:C224&lt;&gt;""""),ROWS(FILTER(C$4:C224,C$4:C224&lt;&gt;""""))),$AC$5+E225))"),566875.9)</f>
        <v>566875.9</v>
      </c>
      <c r="G225" s="10">
        <f>IFERROR(__xludf.DUMMYFUNCTION("IF(COUNTA(C225:C1644)=0,"""",IF(C225="""",0,IF(REGEXMATCH(C225,""^Sell_""),-ROUNDDOWN(ROUNDUP(INDEX(Upgrades!$C$3:$C$13,MATCH(SUBSTITUTE(C225,""Sell_"",""""),Upgrades!$B$3:$B$13,0))*1.15^(COUNTIF(C$4:C224,SUBSTITUTE(C225,""Sell_"",""""))-COUNTIF(C$4:C224,"&amp;"""Sell_""&amp;SUBSTITUTE(C225,""Sell_"",""""))))/2),ROUNDUP(INDEX(Upgrades!$C$3:$C$13,MATCH(C225,Upgrades!$B$3:$B$13,0))*1.15^(COUNTIF(C$4:C224,C225)-COUNTIF(C$4:C224,""Sell_""&amp;C225))))))"),3273308.0)</f>
        <v>3273308</v>
      </c>
      <c r="H225" s="10">
        <f t="shared" si="3"/>
        <v>3273308</v>
      </c>
      <c r="I225" s="68">
        <f t="shared" si="4"/>
        <v>7790.527613</v>
      </c>
      <c r="J225" s="59" t="str">
        <f t="shared" si="5"/>
        <v>2h 09m 50s</v>
      </c>
      <c r="K225" s="69">
        <f t="shared" si="6"/>
        <v>966074614</v>
      </c>
      <c r="L225" s="60">
        <f t="shared" si="7"/>
        <v>-50.55846</v>
      </c>
      <c r="M225" s="61">
        <f>IFERROR(__xludf.DUMMYFUNCTION("IFS(AND(COUNTA(C225:C1644)=0,COUNTA(Q225:Q1644)=0),"""",OR(AND(K225&gt;=1000000000,OR(Y225&gt;=1000000000,COUNTA(Q225:Q1644)=0)),OR(Y225&gt;=1000000000,AND(COUNTA(C225:C1644)=0,P$3=TRUE))),
ROUNDDOWN((AB$1-AC$1)*MAX(INDEX(T$4:T1644,MATCH(LARGE(FILTER(Y$4:Y1644,Y$4"&amp;":Y1644&lt;1000000000),1),Y$4:Y1644)),INDEX(F$4:F1644,MATCH(LARGE(FILTER(K$4:K1644,K$4:K1644&lt;1000000000),1),K$4:K1644)))),AND(K225&lt;1000000000,COUNTA(C225:C1644)&gt;0,P$3=FALSE),
ROUNDDOWN(INDEX(Y$4:Y1644,MATCH(LARGE(FILTER(W$4:W1644,W$4:W1644&lt;=I225),1),W$4:W1644"&amp;"))+(I225-LARGE(FILTER(W$4:W1644,W$4:W1644&lt;=I225),1))*INDEX(T$4:T1644,MATCH(LARGE(FILTER(W$4:W1644,W$4:W1644&lt;=I225),1),W$4:W1644))-K225),1,
ROUNDDOWN(Y225-INDEX(K$4:K1644,MATCH(LARGE(FILTER(I$4:I1644,I$4:I1644&lt;=W225),1),I$4:I1644))-(W225-LARGE(FILTER(I$4:I"&amp;"1644,I$4:I1644&lt;=W225),1))*INDEX(F$4:F1644,MATCH(LARGE(FILTER(I$4:I1644,I$4:I1644&lt;=W225),1),I$4:I1644))))"),2.7993381E7)</f>
        <v>27993381</v>
      </c>
      <c r="N225" s="60">
        <f t="shared" si="8"/>
        <v>-50.55846</v>
      </c>
      <c r="O225" s="61" t="str">
        <f t="shared" si="9"/>
        <v>28,0M</v>
      </c>
      <c r="P225" s="56">
        <f t="shared" si="10"/>
        <v>7</v>
      </c>
      <c r="Q225" s="105" t="s">
        <v>64</v>
      </c>
      <c r="R225" s="10"/>
      <c r="S225" s="59">
        <f t="array" ref="S225">IF(COUNTA(Q225:Q1644)=0,"",SUM((COUNTIF(Q$4:Q225,Upgrades!$B$3:$B$13)-COUNTIF(Q$4:Q225,"Sell_"&amp;Upgrades!$B$3:$B$13))*Upgrades!$D$3:$D$13))</f>
        <v>205240</v>
      </c>
      <c r="T225" s="66">
        <f>IFERROR(__xludf.DUMMYFUNCTION("IF(COUNTA(Q225:Q1644)=0,"""",IF(REGEXMATCH(INDEX(FILTER(Q$4:Q225,Q$4:Q225&lt;&gt;""""),ROWS(FILTER(Q$4:Q225,Q$4:Q225&lt;&gt;""""))),""^Sell_""),INDEX(FILTER(T$4:T224,Q$4:Q224&lt;&gt;""""),ROWS(FILTER(Q$4:Q224,Q$4:Q224&lt;&gt;""""))),$AD$5+S225))"),211916.0)</f>
        <v>211916</v>
      </c>
      <c r="U225" s="10">
        <f>IFERROR(__xludf.DUMMYFUNCTION("IF(COUNTA(Q225:Q1644)=0,"""",IF(Q225="""",0,IF(REGEXMATCH(Q225,""^Sell_""),-ROUNDDOWN(ROUNDUP(INDEX(Upgrades!$C$3:$C$13,MATCH(SUBSTITUTE(Q225,""Sell_"",""""),Upgrades!$B$3:$B$13,0))*1.15^(COUNTIF(Q$4:Q224,SUBSTITUTE(Q225,""Sell_"",""""))-COUNTIF(Q$4:Q224,"&amp;"""Sell_""&amp;SUBSTITUTE(Q225,""Sell_"",""""))))/2),ROUNDUP(INDEX(Upgrades!$C$3:$C$13,MATCH(Q225,Upgrades!$B$3:$B$13,0))*1.15^(COUNTIF(Q$4:Q224,Q225)-COUNTIF(Q$4:Q224,""Sell_""&amp;Q225))))))"),-7798014.0)</f>
        <v>-7798014</v>
      </c>
      <c r="V225" s="10">
        <f t="shared" si="11"/>
        <v>-7798014</v>
      </c>
      <c r="W225" s="68">
        <f t="shared" si="12"/>
        <v>5680.54337</v>
      </c>
      <c r="X225" s="59" t="str">
        <f t="shared" si="13"/>
        <v>1h 34m 40s</v>
      </c>
      <c r="Y225" s="69">
        <f t="shared" si="14"/>
        <v>251587394</v>
      </c>
      <c r="Z225" s="11"/>
      <c r="AG225" s="59"/>
    </row>
    <row r="226">
      <c r="A226" s="8"/>
      <c r="B226" s="56">
        <f t="shared" si="2"/>
        <v>22</v>
      </c>
      <c r="C226" s="105" t="s">
        <v>9</v>
      </c>
      <c r="D226" s="10"/>
      <c r="E226" s="59">
        <f t="array" ref="E226">IF(COUNTA(C226:C1644)=0,"",SUM((COUNTIF(C$4:C226,Upgrades!$B$3:$B$13)-COUNTIF(C$4:C226,"Sell_"&amp;Upgrades!$B$3:$B$13))*Upgrades!$D$3:$D$13))</f>
        <v>567265.9</v>
      </c>
      <c r="F226" s="66">
        <f>IFERROR(__xludf.DUMMYFUNCTION("IF(COUNTA(C226:C1644)=0,"""",IF(REGEXMATCH(INDEX(FILTER(C$4:C226,C$4:C226&lt;&gt;""""),ROWS(FILTER(C$4:C226,C$4:C226&lt;&gt;""""))),""^Sell_""),INDEX(FILTER(F$4:F225,C$4:C225&lt;&gt;""""),ROWS(FILTER(C$4:C225,C$4:C225&lt;&gt;""""))),$AC$5+E226))"),567275.9)</f>
        <v>567275.9</v>
      </c>
      <c r="G226" s="10">
        <f>IFERROR(__xludf.DUMMYFUNCTION("IF(COUNTA(C226:C1644)=0,"""",IF(C226="""",0,IF(REGEXMATCH(C226,""^Sell_""),-ROUNDDOWN(ROUNDUP(INDEX(Upgrades!$C$3:$C$13,MATCH(SUBSTITUTE(C226,""Sell_"",""""),Upgrades!$B$3:$B$13,0))*1.15^(COUNTIF(C$4:C225,SUBSTITUTE(C226,""Sell_"",""""))-COUNTIF(C$4:C225,"&amp;"""Sell_""&amp;SUBSTITUTE(C226,""Sell_"",""""))))/2),ROUNDUP(INDEX(Upgrades!$C$3:$C$13,MATCH(C226,Upgrades!$B$3:$B$13,0))*1.15^(COUNTIF(C$4:C225,C226)-COUNTIF(C$4:C225,""Sell_""&amp;C226))))))"),3764304.0)</f>
        <v>3764304</v>
      </c>
      <c r="H226" s="10">
        <f t="shared" si="3"/>
        <v>3764304</v>
      </c>
      <c r="I226" s="68">
        <f t="shared" si="4"/>
        <v>7797.168051</v>
      </c>
      <c r="J226" s="59" t="str">
        <f t="shared" si="5"/>
        <v>2h 09m 57s</v>
      </c>
      <c r="K226" s="69">
        <f t="shared" si="6"/>
        <v>969838918</v>
      </c>
      <c r="L226" s="60">
        <f t="shared" si="7"/>
        <v>-50.38043</v>
      </c>
      <c r="M226" s="61">
        <f>IFERROR(__xludf.DUMMYFUNCTION("IFS(AND(COUNTA(C226:C1644)=0,COUNTA(Q226:Q1644)=0),"""",OR(AND(K226&gt;=1000000000,OR(Y226&gt;=1000000000,COUNTA(Q226:Q1644)=0)),OR(Y226&gt;=1000000000,AND(COUNTA(C226:C1644)=0,P$3=TRUE))),
ROUNDDOWN((AB$1-AC$1)*MAX(INDEX(T$4:T1644,MATCH(LARGE(FILTER(Y$4:Y1644,Y$4"&amp;":Y1644&lt;1000000000),1),Y$4:Y1644)),INDEX(F$4:F1644,MATCH(LARGE(FILTER(K$4:K1644,K$4:K1644&lt;1000000000),1),K$4:K1644)))),AND(K226&lt;1000000000,COUNTA(C226:C1644)&gt;0,P$3=FALSE),
ROUNDDOWN(INDEX(Y$4:Y1644,MATCH(LARGE(FILTER(W$4:W1644,W$4:W1644&lt;=I226),1),W$4:W1644"&amp;"))+(I226-LARGE(FILTER(W$4:W1644,W$4:W1644&lt;=I226),1))*INDEX(T$4:T1644,MATCH(LARGE(FILTER(W$4:W1644,W$4:W1644&lt;=I226),1),W$4:W1644))-K226),1,
ROUNDDOWN(Y226-INDEX(K$4:K1644,MATCH(LARGE(FILTER(I$4:I1644,I$4:I1644&lt;=W226),1),I$4:I1644))-(W226-LARGE(FILTER(I$4:I"&amp;"1644,I$4:I1644&lt;=W226),1))*INDEX(F$4:F1644,MATCH(LARGE(FILTER(I$4:I1644,I$4:I1644&lt;=W226),1),I$4:I1644))))"),2.7946746E7)</f>
        <v>27946746</v>
      </c>
      <c r="N226" s="60">
        <f t="shared" si="8"/>
        <v>-50.38043</v>
      </c>
      <c r="O226" s="61" t="str">
        <f t="shared" si="9"/>
        <v>27,9M</v>
      </c>
      <c r="P226" s="56">
        <f t="shared" si="10"/>
        <v>24</v>
      </c>
      <c r="Q226" s="105" t="s">
        <v>61</v>
      </c>
      <c r="R226" s="10"/>
      <c r="S226" s="59">
        <f t="array" ref="S226">IF(COUNTA(Q226:Q1644)=0,"",SUM((COUNTIF(Q$4:Q226,Upgrades!$B$3:$B$13)-COUNTIF(Q$4:Q226,"Sell_"&amp;Upgrades!$B$3:$B$13))*Upgrades!$D$3:$D$13))</f>
        <v>205140</v>
      </c>
      <c r="T226" s="66">
        <f>IFERROR(__xludf.DUMMYFUNCTION("IF(COUNTA(Q226:Q1644)=0,"""",IF(REGEXMATCH(INDEX(FILTER(Q$4:Q226,Q$4:Q226&lt;&gt;""""),ROWS(FILTER(Q$4:Q226,Q$4:Q226&lt;&gt;""""))),""^Sell_""),INDEX(FILTER(T$4:T225,Q$4:Q225&lt;&gt;""""),ROWS(FILTER(Q$4:Q225,Q$4:Q225&lt;&gt;""""))),$AD$5+S226))"),211916.0)</f>
        <v>211916</v>
      </c>
      <c r="U226" s="10">
        <f>IFERROR(__xludf.DUMMYFUNCTION("IF(COUNTA(Q226:Q1644)=0,"""",IF(Q226="""",0,IF(REGEXMATCH(Q226,""^Sell_""),-ROUNDDOWN(ROUNDUP(INDEX(Upgrades!$C$3:$C$13,MATCH(SUBSTITUTE(Q226,""Sell_"",""""),Upgrades!$B$3:$B$13,0))*1.15^(COUNTIF(Q$4:Q225,SUBSTITUTE(Q226,""Sell_"",""""))-COUNTIF(Q$4:Q225,"&amp;"""Sell_""&amp;SUBSTITUTE(Q226,""Sell_"",""""))))/2),ROUNDUP(INDEX(Upgrades!$C$3:$C$13,MATCH(Q226,Upgrades!$B$3:$B$13,0))*1.15^(COUNTIF(Q$4:Q225,Q226)-COUNTIF(Q$4:Q225,""Sell_""&amp;Q226))))))"),-107005.0)</f>
        <v>-107005</v>
      </c>
      <c r="V226" s="10">
        <f t="shared" si="11"/>
        <v>-7905019</v>
      </c>
      <c r="W226" s="68">
        <f t="shared" si="12"/>
        <v>5680.54337</v>
      </c>
      <c r="X226" s="59" t="str">
        <f t="shared" si="13"/>
        <v>1h 34m 40s</v>
      </c>
      <c r="Y226" s="69">
        <f t="shared" si="14"/>
        <v>251587394</v>
      </c>
      <c r="Z226" s="11"/>
      <c r="AG226" s="59"/>
    </row>
    <row r="227">
      <c r="A227" s="8"/>
      <c r="B227" s="56">
        <f t="shared" si="2"/>
        <v>23</v>
      </c>
      <c r="C227" s="105" t="s">
        <v>9</v>
      </c>
      <c r="D227" s="10"/>
      <c r="E227" s="59">
        <f t="array" ref="E227">IF(COUNTA(C227:C1644)=0,"",SUM((COUNTIF(C$4:C227,Upgrades!$B$3:$B$13)-COUNTIF(C$4:C227,"Sell_"&amp;Upgrades!$B$3:$B$13))*Upgrades!$D$3:$D$13))</f>
        <v>567665.9</v>
      </c>
      <c r="F227" s="66">
        <f>IFERROR(__xludf.DUMMYFUNCTION("IF(COUNTA(C227:C1644)=0,"""",IF(REGEXMATCH(INDEX(FILTER(C$4:C227,C$4:C227&lt;&gt;""""),ROWS(FILTER(C$4:C227,C$4:C227&lt;&gt;""""))),""^Sell_""),INDEX(FILTER(F$4:F226,C$4:C226&lt;&gt;""""),ROWS(FILTER(C$4:C226,C$4:C226&lt;&gt;""""))),$AC$5+E227))"),567675.9)</f>
        <v>567675.9</v>
      </c>
      <c r="G227" s="10">
        <f>IFERROR(__xludf.DUMMYFUNCTION("IF(COUNTA(C227:C1644)=0,"""",IF(C227="""",0,IF(REGEXMATCH(C227,""^Sell_""),-ROUNDDOWN(ROUNDUP(INDEX(Upgrades!$C$3:$C$13,MATCH(SUBSTITUTE(C227,""Sell_"",""""),Upgrades!$B$3:$B$13,0))*1.15^(COUNTIF(C$4:C226,SUBSTITUTE(C227,""Sell_"",""""))-COUNTIF(C$4:C226,"&amp;"""Sell_""&amp;SUBSTITUTE(C227,""Sell_"",""""))))/2),ROUNDUP(INDEX(Upgrades!$C$3:$C$13,MATCH(C227,Upgrades!$B$3:$B$13,0))*1.15^(COUNTIF(C$4:C226,C227)-COUNTIF(C$4:C226,""Sell_""&amp;C227))))))"),4328950.0)</f>
        <v>4328950</v>
      </c>
      <c r="H227" s="10">
        <f t="shared" si="3"/>
        <v>4328950</v>
      </c>
      <c r="I227" s="68">
        <f t="shared" si="4"/>
        <v>7804.79917</v>
      </c>
      <c r="J227" s="59" t="str">
        <f t="shared" si="5"/>
        <v>2h 10m 04s</v>
      </c>
      <c r="K227" s="69">
        <f t="shared" si="6"/>
        <v>974167868</v>
      </c>
      <c r="L227" s="60">
        <f t="shared" si="7"/>
        <v>-50.1703</v>
      </c>
      <c r="M227" s="61">
        <f>IFERROR(__xludf.DUMMYFUNCTION("IFS(AND(COUNTA(C227:C1644)=0,COUNTA(Q227:Q1644)=0),"""",OR(AND(K227&gt;=1000000000,OR(Y227&gt;=1000000000,COUNTA(Q227:Q1644)=0)),OR(Y227&gt;=1000000000,AND(COUNTA(C227:C1644)=0,P$3=TRUE))),
ROUNDDOWN((AB$1-AC$1)*MAX(INDEX(T$4:T1644,MATCH(LARGE(FILTER(Y$4:Y1644,Y$4"&amp;":Y1644&lt;1000000000),1),Y$4:Y1644)),INDEX(F$4:F1644,MATCH(LARGE(FILTER(K$4:K1644,K$4:K1644&lt;1000000000),1),K$4:K1644)))),AND(K227&lt;1000000000,COUNTA(C227:C1644)&gt;0,P$3=FALSE),
ROUNDDOWN(INDEX(Y$4:Y1644,MATCH(LARGE(FILTER(W$4:W1644,W$4:W1644&lt;=I227),1),W$4:W1644"&amp;"))+(I227-LARGE(FILTER(W$4:W1644,W$4:W1644&lt;=I227),1))*INDEX(T$4:T1644,MATCH(LARGE(FILTER(W$4:W1644,W$4:W1644&lt;=I227),1),W$4:W1644))-K227),1,
ROUNDDOWN(Y227-INDEX(K$4:K1644,MATCH(LARGE(FILTER(I$4:I1644,I$4:I1644&lt;=W227),1),I$4:I1644))-(W227-LARGE(FILTER(I$4:I"&amp;"1644,I$4:I1644&lt;=W227),1))*INDEX(F$4:F1644,MATCH(LARGE(FILTER(I$4:I1644,I$4:I1644&lt;=W227),1),I$4:I1644))))"),2.7893624E7)</f>
        <v>27893624</v>
      </c>
      <c r="N227" s="60">
        <f t="shared" si="8"/>
        <v>-50.1703</v>
      </c>
      <c r="O227" s="61" t="str">
        <f t="shared" si="9"/>
        <v>27,9M</v>
      </c>
      <c r="P227" s="56">
        <f t="shared" si="10"/>
        <v>25</v>
      </c>
      <c r="Q227" s="105" t="s">
        <v>61</v>
      </c>
      <c r="R227" s="10"/>
      <c r="S227" s="59">
        <f t="array" ref="S227">IF(COUNTA(Q227:Q1644)=0,"",SUM((COUNTIF(Q$4:Q227,Upgrades!$B$3:$B$13)-COUNTIF(Q$4:Q227,"Sell_"&amp;Upgrades!$B$3:$B$13))*Upgrades!$D$3:$D$13))</f>
        <v>205040</v>
      </c>
      <c r="T227" s="66">
        <f>IFERROR(__xludf.DUMMYFUNCTION("IF(COUNTA(Q227:Q1644)=0,"""",IF(REGEXMATCH(INDEX(FILTER(Q$4:Q227,Q$4:Q227&lt;&gt;""""),ROWS(FILTER(Q$4:Q227,Q$4:Q227&lt;&gt;""""))),""^Sell_""),INDEX(FILTER(T$4:T226,Q$4:Q226&lt;&gt;""""),ROWS(FILTER(Q$4:Q226,Q$4:Q226&lt;&gt;""""))),$AD$5+S227))"),211916.0)</f>
        <v>211916</v>
      </c>
      <c r="U227" s="10">
        <f>IFERROR(__xludf.DUMMYFUNCTION("IF(COUNTA(Q227:Q1644)=0,"""",IF(Q227="""",0,IF(REGEXMATCH(Q227,""^Sell_""),-ROUNDDOWN(ROUNDUP(INDEX(Upgrades!$C$3:$C$13,MATCH(SUBSTITUTE(Q227,""Sell_"",""""),Upgrades!$B$3:$B$13,0))*1.15^(COUNTIF(Q$4:Q226,SUBSTITUTE(Q227,""Sell_"",""""))-COUNTIF(Q$4:Q226,"&amp;"""Sell_""&amp;SUBSTITUTE(Q227,""Sell_"",""""))))/2),ROUNDUP(INDEX(Upgrades!$C$3:$C$13,MATCH(Q227,Upgrades!$B$3:$B$13,0))*1.15^(COUNTIF(Q$4:Q226,Q227)-COUNTIF(Q$4:Q226,""Sell_""&amp;Q227))))))"),-93048.0)</f>
        <v>-93048</v>
      </c>
      <c r="V227" s="10">
        <f t="shared" si="11"/>
        <v>-7998067</v>
      </c>
      <c r="W227" s="68">
        <f t="shared" si="12"/>
        <v>5680.54337</v>
      </c>
      <c r="X227" s="59" t="str">
        <f t="shared" si="13"/>
        <v>1h 34m 40s</v>
      </c>
      <c r="Y227" s="69">
        <f t="shared" si="14"/>
        <v>251587394</v>
      </c>
      <c r="Z227" s="11"/>
      <c r="AG227" s="59"/>
    </row>
    <row r="228">
      <c r="A228" s="8"/>
      <c r="B228" s="56">
        <f t="shared" si="2"/>
        <v>24</v>
      </c>
      <c r="C228" s="105" t="s">
        <v>9</v>
      </c>
      <c r="D228" s="10"/>
      <c r="E228" s="59">
        <f t="array" ref="E228">IF(COUNTA(C228:C1644)=0,"",SUM((COUNTIF(C$4:C228,Upgrades!$B$3:$B$13)-COUNTIF(C$4:C228,"Sell_"&amp;Upgrades!$B$3:$B$13))*Upgrades!$D$3:$D$13))</f>
        <v>568065.9</v>
      </c>
      <c r="F228" s="66">
        <f>IFERROR(__xludf.DUMMYFUNCTION("IF(COUNTA(C228:C1644)=0,"""",IF(REGEXMATCH(INDEX(FILTER(C$4:C228,C$4:C228&lt;&gt;""""),ROWS(FILTER(C$4:C228,C$4:C228&lt;&gt;""""))),""^Sell_""),INDEX(FILTER(F$4:F227,C$4:C227&lt;&gt;""""),ROWS(FILTER(C$4:C227,C$4:C227&lt;&gt;""""))),$AC$5+E228))"),568075.9)</f>
        <v>568075.9</v>
      </c>
      <c r="G228" s="10">
        <f>IFERROR(__xludf.DUMMYFUNCTION("IF(COUNTA(C228:C1644)=0,"""",IF(C228="""",0,IF(REGEXMATCH(C228,""^Sell_""),-ROUNDDOWN(ROUNDUP(INDEX(Upgrades!$C$3:$C$13,MATCH(SUBSTITUTE(C228,""Sell_"",""""),Upgrades!$B$3:$B$13,0))*1.15^(COUNTIF(C$4:C227,SUBSTITUTE(C228,""Sell_"",""""))-COUNTIF(C$4:C227,"&amp;"""Sell_""&amp;SUBSTITUTE(C228,""Sell_"",""""))))/2),ROUNDUP(INDEX(Upgrades!$C$3:$C$13,MATCH(C228,Upgrades!$B$3:$B$13,0))*1.15^(COUNTIF(C$4:C227,C228)-COUNTIF(C$4:C227,""Sell_""&amp;C228))))))"),4978292.0)</f>
        <v>4978292</v>
      </c>
      <c r="H228" s="10">
        <f t="shared" si="3"/>
        <v>4978292</v>
      </c>
      <c r="I228" s="68">
        <f t="shared" si="4"/>
        <v>7813.568772</v>
      </c>
      <c r="J228" s="59" t="str">
        <f t="shared" si="5"/>
        <v>2h 10m 13s</v>
      </c>
      <c r="K228" s="69">
        <f t="shared" si="6"/>
        <v>979146160</v>
      </c>
      <c r="L228" s="60">
        <f t="shared" si="7"/>
        <v>-49.92248</v>
      </c>
      <c r="M228" s="61">
        <f>IFERROR(__xludf.DUMMYFUNCTION("IFS(AND(COUNTA(C228:C1644)=0,COUNTA(Q228:Q1644)=0),"""",OR(AND(K228&gt;=1000000000,OR(Y228&gt;=1000000000,COUNTA(Q228:Q1644)=0)),OR(Y228&gt;=1000000000,AND(COUNTA(C228:C1644)=0,P$3=TRUE))),
ROUNDDOWN((AB$1-AC$1)*MAX(INDEX(T$4:T1644,MATCH(LARGE(FILTER(Y$4:Y1644,Y$4"&amp;":Y1644&lt;1000000000),1),Y$4:Y1644)),INDEX(F$4:F1644,MATCH(LARGE(FILTER(K$4:K1644,K$4:K1644&lt;1000000000),1),K$4:K1644)))),AND(K228&lt;1000000000,COUNTA(C228:C1644)&gt;0,P$3=FALSE),
ROUNDDOWN(INDEX(Y$4:Y1644,MATCH(LARGE(FILTER(W$4:W1644,W$4:W1644&lt;=I228),1),W$4:W1644"&amp;"))+(I228-LARGE(FILTER(W$4:W1644,W$4:W1644&lt;=I228),1))*INDEX(T$4:T1644,MATCH(LARGE(FILTER(W$4:W1644,W$4:W1644&lt;=I228),1),W$4:W1644))-K228),1,
ROUNDDOWN(Y228-INDEX(K$4:K1644,MATCH(LARGE(FILTER(I$4:I1644,I$4:I1644&lt;=W228),1),I$4:I1644))-(W228-LARGE(FILTER(I$4:I"&amp;"1644,I$4:I1644&lt;=W228),1))*INDEX(F$4:F1644,MATCH(LARGE(FILTER(I$4:I1644,I$4:I1644&lt;=W228),1),I$4:I1644))))"),2.783048E7)</f>
        <v>27830480</v>
      </c>
      <c r="N228" s="60">
        <f t="shared" si="8"/>
        <v>-49.92248</v>
      </c>
      <c r="O228" s="61" t="str">
        <f t="shared" si="9"/>
        <v>27,8M</v>
      </c>
      <c r="P228" s="56">
        <f t="shared" si="10"/>
        <v>26</v>
      </c>
      <c r="Q228" s="105" t="s">
        <v>61</v>
      </c>
      <c r="R228" s="10"/>
      <c r="S228" s="59">
        <f t="array" ref="S228">IF(COUNTA(Q228:Q1644)=0,"",SUM((COUNTIF(Q$4:Q228,Upgrades!$B$3:$B$13)-COUNTIF(Q$4:Q228,"Sell_"&amp;Upgrades!$B$3:$B$13))*Upgrades!$D$3:$D$13))</f>
        <v>204940</v>
      </c>
      <c r="T228" s="66">
        <f>IFERROR(__xludf.DUMMYFUNCTION("IF(COUNTA(Q228:Q1644)=0,"""",IF(REGEXMATCH(INDEX(FILTER(Q$4:Q228,Q$4:Q228&lt;&gt;""""),ROWS(FILTER(Q$4:Q228,Q$4:Q228&lt;&gt;""""))),""^Sell_""),INDEX(FILTER(T$4:T227,Q$4:Q227&lt;&gt;""""),ROWS(FILTER(Q$4:Q227,Q$4:Q227&lt;&gt;""""))),$AD$5+S228))"),211916.0)</f>
        <v>211916</v>
      </c>
      <c r="U228" s="10">
        <f>IFERROR(__xludf.DUMMYFUNCTION("IF(COUNTA(Q228:Q1644)=0,"""",IF(Q228="""",0,IF(REGEXMATCH(Q228,""^Sell_""),-ROUNDDOWN(ROUNDUP(INDEX(Upgrades!$C$3:$C$13,MATCH(SUBSTITUTE(Q228,""Sell_"",""""),Upgrades!$B$3:$B$13,0))*1.15^(COUNTIF(Q$4:Q227,SUBSTITUTE(Q228,""Sell_"",""""))-COUNTIF(Q$4:Q227,"&amp;"""Sell_""&amp;SUBSTITUTE(Q228,""Sell_"",""""))))/2),ROUNDUP(INDEX(Upgrades!$C$3:$C$13,MATCH(Q228,Upgrades!$B$3:$B$13,0))*1.15^(COUNTIF(Q$4:Q227,Q228)-COUNTIF(Q$4:Q227,""Sell_""&amp;Q228))))))"),-80911.0)</f>
        <v>-80911</v>
      </c>
      <c r="V228" s="10">
        <f t="shared" si="11"/>
        <v>-8078978</v>
      </c>
      <c r="W228" s="68">
        <f t="shared" si="12"/>
        <v>5680.54337</v>
      </c>
      <c r="X228" s="59" t="str">
        <f t="shared" si="13"/>
        <v>1h 34m 40s</v>
      </c>
      <c r="Y228" s="69">
        <f t="shared" si="14"/>
        <v>251587394</v>
      </c>
      <c r="Z228" s="11"/>
      <c r="AG228" s="59"/>
    </row>
    <row r="229">
      <c r="A229" s="8"/>
      <c r="B229" s="56">
        <f t="shared" si="2"/>
        <v>25</v>
      </c>
      <c r="C229" s="105" t="s">
        <v>9</v>
      </c>
      <c r="D229" s="10"/>
      <c r="E229" s="59">
        <f t="array" ref="E229">IF(COUNTA(C229:C1644)=0,"",SUM((COUNTIF(C$4:C229,Upgrades!$B$3:$B$13)-COUNTIF(C$4:C229,"Sell_"&amp;Upgrades!$B$3:$B$13))*Upgrades!$D$3:$D$13))</f>
        <v>568465.9</v>
      </c>
      <c r="F229" s="66">
        <f>IFERROR(__xludf.DUMMYFUNCTION("IF(COUNTA(C229:C1644)=0,"""",IF(REGEXMATCH(INDEX(FILTER(C$4:C229,C$4:C229&lt;&gt;""""),ROWS(FILTER(C$4:C229,C$4:C229&lt;&gt;""""))),""^Sell_""),INDEX(FILTER(F$4:F228,C$4:C228&lt;&gt;""""),ROWS(FILTER(C$4:C228,C$4:C228&lt;&gt;""""))),$AC$5+E229))"),568475.9)</f>
        <v>568475.9</v>
      </c>
      <c r="G229" s="10">
        <f>IFERROR(__xludf.DUMMYFUNCTION("IF(COUNTA(C229:C1644)=0,"""",IF(C229="""",0,IF(REGEXMATCH(C229,""^Sell_""),-ROUNDDOWN(ROUNDUP(INDEX(Upgrades!$C$3:$C$13,MATCH(SUBSTITUTE(C229,""Sell_"",""""),Upgrades!$B$3:$B$13,0))*1.15^(COUNTIF(C$4:C228,SUBSTITUTE(C229,""Sell_"",""""))-COUNTIF(C$4:C228,"&amp;"""Sell_""&amp;SUBSTITUTE(C229,""Sell_"",""""))))/2),ROUNDUP(INDEX(Upgrades!$C$3:$C$13,MATCH(C229,Upgrades!$B$3:$B$13,0))*1.15^(COUNTIF(C$4:C228,C229)-COUNTIF(C$4:C228,""Sell_""&amp;C229))))))"),5725036.0)</f>
        <v>5725036</v>
      </c>
      <c r="H229" s="10">
        <f t="shared" si="3"/>
        <v>5725036</v>
      </c>
      <c r="I229" s="68">
        <f t="shared" si="4"/>
        <v>7823.646714</v>
      </c>
      <c r="J229" s="59" t="str">
        <f t="shared" si="5"/>
        <v>2h 10m 23s</v>
      </c>
      <c r="K229" s="69">
        <f t="shared" si="6"/>
        <v>984871196</v>
      </c>
      <c r="L229" s="60">
        <f t="shared" si="7"/>
        <v>-49.63038</v>
      </c>
      <c r="M229" s="61">
        <f>IFERROR(__xludf.DUMMYFUNCTION("IFS(AND(COUNTA(C229:C1644)=0,COUNTA(Q229:Q1644)=0),"""",OR(AND(K229&gt;=1000000000,OR(Y229&gt;=1000000000,COUNTA(Q229:Q1644)=0)),OR(Y229&gt;=1000000000,AND(COUNTA(C229:C1644)=0,P$3=TRUE))),
ROUNDDOWN((AB$1-AC$1)*MAX(INDEX(T$4:T1644,MATCH(LARGE(FILTER(Y$4:Y1644,Y$4"&amp;":Y1644&lt;1000000000),1),Y$4:Y1644)),INDEX(F$4:F1644,MATCH(LARGE(FILTER(K$4:K1644,K$4:K1644&lt;1000000000),1),K$4:K1644)))),AND(K229&lt;1000000000,COUNTA(C229:C1644)&gt;0,P$3=FALSE),
ROUNDDOWN(INDEX(Y$4:Y1644,MATCH(LARGE(FILTER(W$4:W1644,W$4:W1644&lt;=I229),1),W$4:W1644"&amp;"))+(I229-LARGE(FILTER(W$4:W1644,W$4:W1644&lt;=I229),1))*INDEX(T$4:T1644,MATCH(LARGE(FILTER(W$4:W1644,W$4:W1644&lt;=I229),1),W$4:W1644))-K229),1,
ROUNDDOWN(Y229-INDEX(K$4:K1644,MATCH(LARGE(FILTER(I$4:I1644,I$4:I1644&lt;=W229),1),I$4:I1644))-(W229-LARGE(FILTER(I$4:I"&amp;"1644,I$4:I1644&lt;=W229),1))*INDEX(F$4:F1644,MATCH(LARGE(FILTER(I$4:I1644,I$4:I1644&lt;=W229),1),I$4:I1644))))"),2.7753885E7)</f>
        <v>27753885</v>
      </c>
      <c r="N229" s="60">
        <f t="shared" si="8"/>
        <v>-49.63038</v>
      </c>
      <c r="O229" s="61" t="str">
        <f t="shared" si="9"/>
        <v>27,8M</v>
      </c>
      <c r="P229" s="56">
        <f t="shared" si="10"/>
        <v>27</v>
      </c>
      <c r="Q229" s="105" t="s">
        <v>61</v>
      </c>
      <c r="R229" s="10"/>
      <c r="S229" s="59">
        <f t="array" ref="S229">IF(COUNTA(Q229:Q1644)=0,"",SUM((COUNTIF(Q$4:Q229,Upgrades!$B$3:$B$13)-COUNTIF(Q$4:Q229,"Sell_"&amp;Upgrades!$B$3:$B$13))*Upgrades!$D$3:$D$13))</f>
        <v>204840</v>
      </c>
      <c r="T229" s="66">
        <f>IFERROR(__xludf.DUMMYFUNCTION("IF(COUNTA(Q229:Q1644)=0,"""",IF(REGEXMATCH(INDEX(FILTER(Q$4:Q229,Q$4:Q229&lt;&gt;""""),ROWS(FILTER(Q$4:Q229,Q$4:Q229&lt;&gt;""""))),""^Sell_""),INDEX(FILTER(T$4:T228,Q$4:Q228&lt;&gt;""""),ROWS(FILTER(Q$4:Q228,Q$4:Q228&lt;&gt;""""))),$AD$5+S229))"),211916.0)</f>
        <v>211916</v>
      </c>
      <c r="U229" s="10">
        <f>IFERROR(__xludf.DUMMYFUNCTION("IF(COUNTA(Q229:Q1644)=0,"""",IF(Q229="""",0,IF(REGEXMATCH(Q229,""^Sell_""),-ROUNDDOWN(ROUNDUP(INDEX(Upgrades!$C$3:$C$13,MATCH(SUBSTITUTE(Q229,""Sell_"",""""),Upgrades!$B$3:$B$13,0))*1.15^(COUNTIF(Q$4:Q228,SUBSTITUTE(Q229,""Sell_"",""""))-COUNTIF(Q$4:Q228,"&amp;"""Sell_""&amp;SUBSTITUTE(Q229,""Sell_"",""""))))/2),ROUNDUP(INDEX(Upgrades!$C$3:$C$13,MATCH(Q229,Upgrades!$B$3:$B$13,0))*1.15^(COUNTIF(Q$4:Q228,Q229)-COUNTIF(Q$4:Q228,""Sell_""&amp;Q229))))))"),-70358.0)</f>
        <v>-70358</v>
      </c>
      <c r="V229" s="10">
        <f t="shared" si="11"/>
        <v>-8149336</v>
      </c>
      <c r="W229" s="68">
        <f t="shared" si="12"/>
        <v>5680.54337</v>
      </c>
      <c r="X229" s="59" t="str">
        <f t="shared" si="13"/>
        <v>1h 34m 40s</v>
      </c>
      <c r="Y229" s="69">
        <f t="shared" si="14"/>
        <v>251587394</v>
      </c>
      <c r="Z229" s="11"/>
      <c r="AG229" s="59"/>
    </row>
    <row r="230">
      <c r="A230" s="8"/>
      <c r="B230" s="56">
        <f t="shared" si="2"/>
        <v>26</v>
      </c>
      <c r="C230" s="105" t="s">
        <v>9</v>
      </c>
      <c r="D230" s="10"/>
      <c r="E230" s="59">
        <f t="array" ref="E230">IF(COUNTA(C230:C1644)=0,"",SUM((COUNTIF(C$4:C230,Upgrades!$B$3:$B$13)-COUNTIF(C$4:C230,"Sell_"&amp;Upgrades!$B$3:$B$13))*Upgrades!$D$3:$D$13))</f>
        <v>568865.9</v>
      </c>
      <c r="F230" s="66">
        <f>IFERROR(__xludf.DUMMYFUNCTION("IF(COUNTA(C230:C1644)=0,"""",IF(REGEXMATCH(INDEX(FILTER(C$4:C230,C$4:C230&lt;&gt;""""),ROWS(FILTER(C$4:C230,C$4:C230&lt;&gt;""""))),""^Sell_""),INDEX(FILTER(F$4:F229,C$4:C229&lt;&gt;""""),ROWS(FILTER(C$4:C229,C$4:C229&lt;&gt;""""))),$AC$5+E230))"),568875.9)</f>
        <v>568875.9</v>
      </c>
      <c r="G230" s="10">
        <f>IFERROR(__xludf.DUMMYFUNCTION("IF(COUNTA(C230:C1644)=0,"""",IF(C230="""",0,IF(REGEXMATCH(C230,""^Sell_""),-ROUNDDOWN(ROUNDUP(INDEX(Upgrades!$C$3:$C$13,MATCH(SUBSTITUTE(C230,""Sell_"",""""),Upgrades!$B$3:$B$13,0))*1.15^(COUNTIF(C$4:C229,SUBSTITUTE(C230,""Sell_"",""""))-COUNTIF(C$4:C229,"&amp;"""Sell_""&amp;SUBSTITUTE(C230,""Sell_"",""""))))/2),ROUNDUP(INDEX(Upgrades!$C$3:$C$13,MATCH(C230,Upgrades!$B$3:$B$13,0))*1.15^(COUNTIF(C$4:C229,C230)-COUNTIF(C$4:C229,""Sell_""&amp;C230))))))"),6583791.0)</f>
        <v>6583791</v>
      </c>
      <c r="H230" s="10">
        <f t="shared" si="3"/>
        <v>6583791</v>
      </c>
      <c r="I230" s="68">
        <f t="shared" si="4"/>
        <v>7835.228192</v>
      </c>
      <c r="J230" s="59" t="str">
        <f t="shared" si="5"/>
        <v>2h 10m 35s</v>
      </c>
      <c r="K230" s="69">
        <f t="shared" si="6"/>
        <v>991454987</v>
      </c>
      <c r="L230" s="60">
        <f t="shared" si="7"/>
        <v>-49.37167</v>
      </c>
      <c r="M230" s="61">
        <f>IFERROR(__xludf.DUMMYFUNCTION("IFS(AND(COUNTA(C230:C1644)=0,COUNTA(Q230:Q1644)=0),"""",OR(AND(K230&gt;=1000000000,OR(Y230&gt;=1000000000,COUNTA(Q230:Q1644)=0)),OR(Y230&gt;=1000000000,AND(COUNTA(C230:C1644)=0,P$3=TRUE))),
ROUNDDOWN((AB$1-AC$1)*MAX(INDEX(T$4:T1644,MATCH(LARGE(FILTER(Y$4:Y1644,Y$4"&amp;":Y1644&lt;1000000000),1),Y$4:Y1644)),INDEX(F$4:F1644,MATCH(LARGE(FILTER(K$4:K1644,K$4:K1644&lt;1000000000),1),K$4:K1644)))),AND(K230&lt;1000000000,COUNTA(C230:C1644)&gt;0,P$3=FALSE),
ROUNDDOWN(INDEX(Y$4:Y1644,MATCH(LARGE(FILTER(W$4:W1644,W$4:W1644&lt;=I230),1),W$4:W1644"&amp;"))+(I230-LARGE(FILTER(W$4:W1644,W$4:W1644&lt;=I230),1))*INDEX(T$4:T1644,MATCH(LARGE(FILTER(W$4:W1644,W$4:W1644&lt;=I230),1),W$4:W1644))-K230),1,
ROUNDDOWN(Y230-INDEX(K$4:K1644,MATCH(LARGE(FILTER(I$4:I1644,I$4:I1644&lt;=W230),1),I$4:I1644))-(W230-LARGE(FILTER(I$4:I"&amp;"1644,I$4:I1644&lt;=W230),1))*INDEX(F$4:F1644,MATCH(LARGE(FILTER(I$4:I1644,I$4:I1644&lt;=W230),1),I$4:I1644))))"),2.7661229E7)</f>
        <v>27661229</v>
      </c>
      <c r="N230" s="60">
        <f t="shared" si="8"/>
        <v>-49.37167</v>
      </c>
      <c r="O230" s="61" t="str">
        <f t="shared" si="9"/>
        <v>27,7M</v>
      </c>
      <c r="P230" s="56">
        <f t="shared" si="10"/>
        <v>28</v>
      </c>
      <c r="Q230" s="105" t="s">
        <v>61</v>
      </c>
      <c r="R230" s="10"/>
      <c r="S230" s="59">
        <f t="array" ref="S230">IF(COUNTA(Q230:Q1644)=0,"",SUM((COUNTIF(Q$4:Q230,Upgrades!$B$3:$B$13)-COUNTIF(Q$4:Q230,"Sell_"&amp;Upgrades!$B$3:$B$13))*Upgrades!$D$3:$D$13))</f>
        <v>204740</v>
      </c>
      <c r="T230" s="66">
        <f>IFERROR(__xludf.DUMMYFUNCTION("IF(COUNTA(Q230:Q1644)=0,"""",IF(REGEXMATCH(INDEX(FILTER(Q$4:Q230,Q$4:Q230&lt;&gt;""""),ROWS(FILTER(Q$4:Q230,Q$4:Q230&lt;&gt;""""))),""^Sell_""),INDEX(FILTER(T$4:T229,Q$4:Q229&lt;&gt;""""),ROWS(FILTER(Q$4:Q229,Q$4:Q229&lt;&gt;""""))),$AD$5+S230))"),211916.0)</f>
        <v>211916</v>
      </c>
      <c r="U230" s="10">
        <f>IFERROR(__xludf.DUMMYFUNCTION("IF(COUNTA(Q230:Q1644)=0,"""",IF(Q230="""",0,IF(REGEXMATCH(Q230,""^Sell_""),-ROUNDDOWN(ROUNDUP(INDEX(Upgrades!$C$3:$C$13,MATCH(SUBSTITUTE(Q230,""Sell_"",""""),Upgrades!$B$3:$B$13,0))*1.15^(COUNTIF(Q$4:Q229,SUBSTITUTE(Q230,""Sell_"",""""))-COUNTIF(Q$4:Q229,"&amp;"""Sell_""&amp;SUBSTITUTE(Q230,""Sell_"",""""))))/2),ROUNDUP(INDEX(Upgrades!$C$3:$C$13,MATCH(Q230,Upgrades!$B$3:$B$13,0))*1.15^(COUNTIF(Q$4:Q229,Q230)-COUNTIF(Q$4:Q229,""Sell_""&amp;Q230))))))"),-61180.0)</f>
        <v>-61180</v>
      </c>
      <c r="V230" s="10">
        <f t="shared" si="11"/>
        <v>-8210516</v>
      </c>
      <c r="W230" s="68">
        <f t="shared" si="12"/>
        <v>5680.54337</v>
      </c>
      <c r="X230" s="59" t="str">
        <f t="shared" si="13"/>
        <v>1h 34m 40s</v>
      </c>
      <c r="Y230" s="69">
        <f t="shared" si="14"/>
        <v>251587394</v>
      </c>
      <c r="Z230" s="11"/>
      <c r="AG230" s="59"/>
    </row>
    <row r="231">
      <c r="A231" s="8"/>
      <c r="B231" s="56">
        <f t="shared" si="2"/>
        <v>27</v>
      </c>
      <c r="C231" s="105" t="s">
        <v>9</v>
      </c>
      <c r="D231" s="10"/>
      <c r="E231" s="59">
        <f t="array" ref="E231">IF(COUNTA(C231:C1644)=0,"",SUM((COUNTIF(C$4:C231,Upgrades!$B$3:$B$13)-COUNTIF(C$4:C231,"Sell_"&amp;Upgrades!$B$3:$B$13))*Upgrades!$D$3:$D$13))</f>
        <v>569265.9</v>
      </c>
      <c r="F231" s="66">
        <f>IFERROR(__xludf.DUMMYFUNCTION("IF(COUNTA(C231:C1644)=0,"""",IF(REGEXMATCH(INDEX(FILTER(C$4:C231,C$4:C231&lt;&gt;""""),ROWS(FILTER(C$4:C231,C$4:C231&lt;&gt;""""))),""^Sell_""),INDEX(FILTER(F$4:F230,C$4:C230&lt;&gt;""""),ROWS(FILTER(C$4:C230,C$4:C230&lt;&gt;""""))),$AC$5+E231))"),569275.9)</f>
        <v>569275.9</v>
      </c>
      <c r="G231" s="10">
        <f>IFERROR(__xludf.DUMMYFUNCTION("IF(COUNTA(C231:C1644)=0,"""",IF(C231="""",0,IF(REGEXMATCH(C231,""^Sell_""),-ROUNDDOWN(ROUNDUP(INDEX(Upgrades!$C$3:$C$13,MATCH(SUBSTITUTE(C231,""Sell_"",""""),Upgrades!$B$3:$B$13,0))*1.15^(COUNTIF(C$4:C230,SUBSTITUTE(C231,""Sell_"",""""))-COUNTIF(C$4:C230,"&amp;"""Sell_""&amp;SUBSTITUTE(C231,""Sell_"",""""))))/2),ROUNDUP(INDEX(Upgrades!$C$3:$C$13,MATCH(C231,Upgrades!$B$3:$B$13,0))*1.15^(COUNTIF(C$4:C230,C231)-COUNTIF(C$4:C230,""Sell_""&amp;C231))))))"),7571360.0)</f>
        <v>7571360</v>
      </c>
      <c r="H231" s="10">
        <f t="shared" si="3"/>
        <v>7571360</v>
      </c>
      <c r="I231" s="68">
        <f t="shared" si="4"/>
        <v>7848.537527</v>
      </c>
      <c r="J231" s="59" t="str">
        <f t="shared" si="5"/>
        <v>2h 10m 48s</v>
      </c>
      <c r="K231" s="69">
        <f t="shared" si="6"/>
        <v>999026347</v>
      </c>
      <c r="L231" s="60">
        <f t="shared" si="7"/>
        <v>-49.15386</v>
      </c>
      <c r="M231" s="61">
        <f>IFERROR(__xludf.DUMMYFUNCTION("IFS(AND(COUNTA(C231:C1644)=0,COUNTA(Q231:Q1644)=0),"""",OR(AND(K231&gt;=1000000000,OR(Y231&gt;=1000000000,COUNTA(Q231:Q1644)=0)),OR(Y231&gt;=1000000000,AND(COUNTA(C231:C1644)=0,P$3=TRUE))),
ROUNDDOWN((AB$1-AC$1)*MAX(INDEX(T$4:T1644,MATCH(LARGE(FILTER(Y$4:Y1644,Y$4"&amp;":Y1644&lt;1000000000),1),Y$4:Y1644)),INDEX(F$4:F1644,MATCH(LARGE(FILTER(K$4:K1644,K$4:K1644&lt;1000000000),1),K$4:K1644)))),AND(K231&lt;1000000000,COUNTA(C231:C1644)&gt;0,P$3=FALSE),
ROUNDDOWN(INDEX(Y$4:Y1644,MATCH(LARGE(FILTER(W$4:W1644,W$4:W1644&lt;=I231),1),W$4:W1644"&amp;"))+(I231-LARGE(FILTER(W$4:W1644,W$4:W1644&lt;=I231),1))*INDEX(T$4:T1644,MATCH(LARGE(FILTER(W$4:W1644,W$4:W1644&lt;=I231),1),W$4:W1644))-K231),1,
ROUNDDOWN(Y231-INDEX(K$4:K1644,MATCH(LARGE(FILTER(I$4:I1644,I$4:I1644&lt;=W231),1),I$4:I1644))-(W231-LARGE(FILTER(I$4:I"&amp;"1644,I$4:I1644&lt;=W231),1))*INDEX(F$4:F1644,MATCH(LARGE(FILTER(I$4:I1644,I$4:I1644&lt;=W231),1),I$4:I1644))))"),2.7549427E7)</f>
        <v>27549427</v>
      </c>
      <c r="N231" s="60">
        <f t="shared" si="8"/>
        <v>-49.15386</v>
      </c>
      <c r="O231" s="61" t="str">
        <f t="shared" si="9"/>
        <v>27,5M</v>
      </c>
      <c r="P231" s="56">
        <f t="shared" si="10"/>
        <v>29</v>
      </c>
      <c r="Q231" s="105" t="s">
        <v>61</v>
      </c>
      <c r="R231" s="10"/>
      <c r="S231" s="59">
        <f t="array" ref="S231">IF(COUNTA(Q231:Q1644)=0,"",SUM((COUNTIF(Q$4:Q231,Upgrades!$B$3:$B$13)-COUNTIF(Q$4:Q231,"Sell_"&amp;Upgrades!$B$3:$B$13))*Upgrades!$D$3:$D$13))</f>
        <v>204640</v>
      </c>
      <c r="T231" s="66">
        <f>IFERROR(__xludf.DUMMYFUNCTION("IF(COUNTA(Q231:Q1644)=0,"""",IF(REGEXMATCH(INDEX(FILTER(Q$4:Q231,Q$4:Q231&lt;&gt;""""),ROWS(FILTER(Q$4:Q231,Q$4:Q231&lt;&gt;""""))),""^Sell_""),INDEX(FILTER(T$4:T230,Q$4:Q230&lt;&gt;""""),ROWS(FILTER(Q$4:Q230,Q$4:Q230&lt;&gt;""""))),$AD$5+S231))"),211916.0)</f>
        <v>211916</v>
      </c>
      <c r="U231" s="10">
        <f>IFERROR(__xludf.DUMMYFUNCTION("IF(COUNTA(Q231:Q1644)=0,"""",IF(Q231="""",0,IF(REGEXMATCH(Q231,""^Sell_""),-ROUNDDOWN(ROUNDUP(INDEX(Upgrades!$C$3:$C$13,MATCH(SUBSTITUTE(Q231,""Sell_"",""""),Upgrades!$B$3:$B$13,0))*1.15^(COUNTIF(Q$4:Q230,SUBSTITUTE(Q231,""Sell_"",""""))-COUNTIF(Q$4:Q230,"&amp;"""Sell_""&amp;SUBSTITUTE(Q231,""Sell_"",""""))))/2),ROUNDUP(INDEX(Upgrades!$C$3:$C$13,MATCH(Q231,Upgrades!$B$3:$B$13,0))*1.15^(COUNTIF(Q$4:Q230,Q231)-COUNTIF(Q$4:Q230,""Sell_""&amp;Q231))))))"),-53200.0)</f>
        <v>-53200</v>
      </c>
      <c r="V231" s="10">
        <f t="shared" si="11"/>
        <v>-8263716</v>
      </c>
      <c r="W231" s="68">
        <f t="shared" si="12"/>
        <v>5680.54337</v>
      </c>
      <c r="X231" s="59" t="str">
        <f t="shared" si="13"/>
        <v>1h 34m 40s</v>
      </c>
      <c r="Y231" s="69">
        <f t="shared" si="14"/>
        <v>251587394</v>
      </c>
      <c r="Z231" s="11"/>
      <c r="AG231" s="59"/>
    </row>
    <row r="232">
      <c r="A232" s="8"/>
      <c r="B232" s="56">
        <f t="shared" si="2"/>
        <v>28</v>
      </c>
      <c r="C232" s="105" t="s">
        <v>9</v>
      </c>
      <c r="D232" s="10"/>
      <c r="E232" s="59">
        <f t="array" ref="E232">IF(COUNTA(C232:C1644)=0,"",SUM((COUNTIF(C$4:C232,Upgrades!$B$3:$B$13)-COUNTIF(C$4:C232,"Sell_"&amp;Upgrades!$B$3:$B$13))*Upgrades!$D$3:$D$13))</f>
        <v>569665.9</v>
      </c>
      <c r="F232" s="66">
        <f>IFERROR(__xludf.DUMMYFUNCTION("IF(COUNTA(C232:C1644)=0,"""",IF(REGEXMATCH(INDEX(FILTER(C$4:C232,C$4:C232&lt;&gt;""""),ROWS(FILTER(C$4:C232,C$4:C232&lt;&gt;""""))),""^Sell_""),INDEX(FILTER(F$4:F231,C$4:C231&lt;&gt;""""),ROWS(FILTER(C$4:C231,C$4:C231&lt;&gt;""""))),$AC$5+E232))"),569675.9)</f>
        <v>569675.9</v>
      </c>
      <c r="G232" s="10">
        <f>IFERROR(__xludf.DUMMYFUNCTION("IF(COUNTA(C232:C1644)=0,"""",IF(C232="""",0,IF(REGEXMATCH(C232,""^Sell_""),-ROUNDDOWN(ROUNDUP(INDEX(Upgrades!$C$3:$C$13,MATCH(SUBSTITUTE(C232,""Sell_"",""""),Upgrades!$B$3:$B$13,0))*1.15^(COUNTIF(C$4:C231,SUBSTITUTE(C232,""Sell_"",""""))-COUNTIF(C$4:C231,"&amp;"""Sell_""&amp;SUBSTITUTE(C232,""Sell_"",""""))))/2),ROUNDUP(INDEX(Upgrades!$C$3:$C$13,MATCH(C232,Upgrades!$B$3:$B$13,0))*1.15^(COUNTIF(C$4:C231,C232)-COUNTIF(C$4:C231,""Sell_""&amp;C232))))))"),8707063.0)</f>
        <v>8707063</v>
      </c>
      <c r="H232" s="10">
        <f t="shared" si="3"/>
        <v>8707063</v>
      </c>
      <c r="I232" s="68">
        <f t="shared" si="4"/>
        <v>7863.832506</v>
      </c>
      <c r="J232" s="59" t="str">
        <f t="shared" si="5"/>
        <v>2h 11m 03s</v>
      </c>
      <c r="K232" s="69">
        <f t="shared" si="6"/>
        <v>1007733410</v>
      </c>
      <c r="L232" s="60">
        <f t="shared" si="7"/>
        <v>-93.62406</v>
      </c>
      <c r="M232" s="61">
        <f>IFERROR(__xludf.DUMMYFUNCTION("IFS(AND(COUNTA(C232:C1644)=0,COUNTA(Q232:Q1644)=0),"""",OR(AND(K232&gt;=1000000000,OR(Y232&gt;=1000000000,COUNTA(Q232:Q1644)=0)),OR(Y232&gt;=1000000000,AND(COUNTA(C232:C1644)=0,P$3=TRUE))),
ROUNDDOWN((AB$1-AC$1)*MAX(INDEX(T$4:T1644,MATCH(LARGE(FILTER(Y$4:Y1644,Y$4"&amp;":Y1644&lt;1000000000),1),Y$4:Y1644)),INDEX(F$4:F1644,MATCH(LARGE(FILTER(K$4:K1644,K$4:K1644&lt;1000000000),1),K$4:K1644)))),AND(K232&lt;1000000000,COUNTA(C232:C1644)&gt;0,P$3=FALSE),
ROUNDDOWN(INDEX(Y$4:Y1644,MATCH(LARGE(FILTER(W$4:W1644,W$4:W1644&lt;=I232),1),W$4:W1644"&amp;"))+(I232-LARGE(FILTER(W$4:W1644,W$4:W1644&lt;=I232),1))*INDEX(T$4:T1644,MATCH(LARGE(FILTER(W$4:W1644,W$4:W1644&lt;=I232),1),W$4:W1644))-K232),1,
ROUNDDOWN(Y232-INDEX(K$4:K1644,MATCH(LARGE(FILTER(I$4:I1644,I$4:I1644&lt;=W232),1),I$4:I1644))-(W232-LARGE(FILTER(I$4:I"&amp;"1644,I$4:I1644&lt;=W232),1))*INDEX(F$4:F1644,MATCH(LARGE(FILTER(I$4:I1644,I$4:I1644&lt;=W232),1),I$4:I1644))))"),1.9738106E7)</f>
        <v>19738106</v>
      </c>
      <c r="N232" s="60">
        <f t="shared" si="8"/>
        <v>-93.62406</v>
      </c>
      <c r="O232" s="61" t="str">
        <f t="shared" si="9"/>
        <v>19,7M</v>
      </c>
      <c r="P232" s="56">
        <f t="shared" si="10"/>
        <v>30</v>
      </c>
      <c r="Q232" s="105" t="s">
        <v>61</v>
      </c>
      <c r="R232" s="10"/>
      <c r="S232" s="59">
        <f t="array" ref="S232">IF(COUNTA(Q232:Q1644)=0,"",SUM((COUNTIF(Q$4:Q232,Upgrades!$B$3:$B$13)-COUNTIF(Q$4:Q232,"Sell_"&amp;Upgrades!$B$3:$B$13))*Upgrades!$D$3:$D$13))</f>
        <v>204540</v>
      </c>
      <c r="T232" s="66">
        <f>IFERROR(__xludf.DUMMYFUNCTION("IF(COUNTA(Q232:Q1644)=0,"""",IF(REGEXMATCH(INDEX(FILTER(Q$4:Q232,Q$4:Q232&lt;&gt;""""),ROWS(FILTER(Q$4:Q232,Q$4:Q232&lt;&gt;""""))),""^Sell_""),INDEX(FILTER(T$4:T231,Q$4:Q231&lt;&gt;""""),ROWS(FILTER(Q$4:Q231,Q$4:Q231&lt;&gt;""""))),$AD$5+S232))"),211916.0)</f>
        <v>211916</v>
      </c>
      <c r="U232" s="10">
        <f>IFERROR(__xludf.DUMMYFUNCTION("IF(COUNTA(Q232:Q1644)=0,"""",IF(Q232="""",0,IF(REGEXMATCH(Q232,""^Sell_""),-ROUNDDOWN(ROUNDUP(INDEX(Upgrades!$C$3:$C$13,MATCH(SUBSTITUTE(Q232,""Sell_"",""""),Upgrades!$B$3:$B$13,0))*1.15^(COUNTIF(Q$4:Q231,SUBSTITUTE(Q232,""Sell_"",""""))-COUNTIF(Q$4:Q231,"&amp;"""Sell_""&amp;SUBSTITUTE(Q232,""Sell_"",""""))))/2),ROUNDUP(INDEX(Upgrades!$C$3:$C$13,MATCH(Q232,Upgrades!$B$3:$B$13,0))*1.15^(COUNTIF(Q$4:Q231,Q232)-COUNTIF(Q$4:Q231,""Sell_""&amp;Q232))))))"),-46261.0)</f>
        <v>-46261</v>
      </c>
      <c r="V232" s="10">
        <f t="shared" si="11"/>
        <v>-8309977</v>
      </c>
      <c r="W232" s="68">
        <f t="shared" si="12"/>
        <v>5680.54337</v>
      </c>
      <c r="X232" s="59" t="str">
        <f t="shared" si="13"/>
        <v>1h 34m 40s</v>
      </c>
      <c r="Y232" s="69">
        <f t="shared" si="14"/>
        <v>251587394</v>
      </c>
      <c r="Z232" s="11"/>
      <c r="AG232" s="59"/>
    </row>
    <row r="233">
      <c r="A233" s="8"/>
      <c r="B233" s="56" t="str">
        <f t="shared" si="2"/>
        <v/>
      </c>
      <c r="C233" s="105"/>
      <c r="D233" s="10"/>
      <c r="E233" s="59" t="str">
        <f t="array" ref="E233">IF(COUNTA(C233:C1644)=0,"",SUM((COUNTIF(C$4:C233,Upgrades!$B$3:$B$13)-COUNTIF(C$4:C233,"Sell_"&amp;Upgrades!$B$3:$B$13))*Upgrades!$D$3:$D$13))</f>
        <v/>
      </c>
      <c r="F233" s="66" t="str">
        <f>IFERROR(__xludf.DUMMYFUNCTION("IF(COUNTA(C233:C1644)=0,"""",IF(REGEXMATCH(INDEX(FILTER(C$4:C233,C$4:C233&lt;&gt;""""),ROWS(FILTER(C$4:C233,C$4:C233&lt;&gt;""""))),""^Sell_""),INDEX(FILTER(F$4:F232,C$4:C232&lt;&gt;""""),ROWS(FILTER(C$4:C232,C$4:C232&lt;&gt;""""))),$AC$5+E233))"),"")</f>
        <v/>
      </c>
      <c r="G233" s="10" t="str">
        <f>IFERROR(__xludf.DUMMYFUNCTION("IF(COUNTA(C233:C1644)=0,"""",IF(C233="""",0,IF(REGEXMATCH(C233,""^Sell_""),-ROUNDDOWN(ROUNDUP(INDEX(Upgrades!$C$3:$C$13,MATCH(SUBSTITUTE(C233,""Sell_"",""""),Upgrades!$B$3:$B$13,0))*1.15^(COUNTIF(C$4:C232,SUBSTITUTE(C233,""Sell_"",""""))-COUNTIF(C$4:C232,"&amp;"""Sell_""&amp;SUBSTITUTE(C233,""Sell_"",""""))))/2),ROUNDUP(INDEX(Upgrades!$C$3:$C$13,MATCH(C233,Upgrades!$B$3:$B$13,0))*1.15^(COUNTIF(C$4:C232,C233)-COUNTIF(C$4:C232,""Sell_""&amp;C233))))))"),"")</f>
        <v/>
      </c>
      <c r="H233" s="10" t="str">
        <f t="shared" si="3"/>
        <v/>
      </c>
      <c r="I233" s="68" t="str">
        <f t="shared" si="4"/>
        <v/>
      </c>
      <c r="J233" s="59" t="str">
        <f t="shared" si="5"/>
        <v/>
      </c>
      <c r="K233" s="69" t="str">
        <f t="shared" si="6"/>
        <v/>
      </c>
      <c r="L233" s="60">
        <f t="shared" si="7"/>
        <v>-93.62406</v>
      </c>
      <c r="M233" s="61">
        <f>IFERROR(__xludf.DUMMYFUNCTION("IFS(AND(COUNTA(C233:C1644)=0,COUNTA(Q233:Q1644)=0),"""",OR(AND(K233&gt;=1000000000,OR(Y233&gt;=1000000000,COUNTA(Q233:Q1644)=0)),OR(Y233&gt;=1000000000,AND(COUNTA(C233:C1644)=0,P$3=TRUE))),
ROUNDDOWN((AB$1-AC$1)*MAX(INDEX(T$4:T1644,MATCH(LARGE(FILTER(Y$4:Y1644,Y$4"&amp;":Y1644&lt;1000000000),1),Y$4:Y1644)),INDEX(F$4:F1644,MATCH(LARGE(FILTER(K$4:K1644,K$4:K1644&lt;1000000000),1),K$4:K1644)))),AND(K233&lt;1000000000,COUNTA(C233:C1644)&gt;0,P$3=FALSE),
ROUNDDOWN(INDEX(Y$4:Y1644,MATCH(LARGE(FILTER(W$4:W1644,W$4:W1644&lt;=I233),1),W$4:W1644"&amp;"))+(I233-LARGE(FILTER(W$4:W1644,W$4:W1644&lt;=I233),1))*INDEX(T$4:T1644,MATCH(LARGE(FILTER(W$4:W1644,W$4:W1644&lt;=I233),1),W$4:W1644))-K233),1,
ROUNDDOWN(Y233-INDEX(K$4:K1644,MATCH(LARGE(FILTER(I$4:I1644,I$4:I1644&lt;=W233),1),I$4:I1644))-(W233-LARGE(FILTER(I$4:I"&amp;"1644,I$4:I1644&lt;=W233),1))*INDEX(F$4:F1644,MATCH(LARGE(FILTER(I$4:I1644,I$4:I1644&lt;=W233),1),I$4:I1644))))"),1.9738106E7)</f>
        <v>19738106</v>
      </c>
      <c r="N233" s="60">
        <f t="shared" si="8"/>
        <v>-93.62406</v>
      </c>
      <c r="O233" s="61" t="str">
        <f t="shared" si="9"/>
        <v>19,7M</v>
      </c>
      <c r="P233" s="56">
        <f t="shared" si="10"/>
        <v>31</v>
      </c>
      <c r="Q233" s="105" t="s">
        <v>61</v>
      </c>
      <c r="R233" s="10"/>
      <c r="S233" s="59">
        <f t="array" ref="S233">IF(COUNTA(Q233:Q1644)=0,"",SUM((COUNTIF(Q$4:Q233,Upgrades!$B$3:$B$13)-COUNTIF(Q$4:Q233,"Sell_"&amp;Upgrades!$B$3:$B$13))*Upgrades!$D$3:$D$13))</f>
        <v>204440</v>
      </c>
      <c r="T233" s="66">
        <f>IFERROR(__xludf.DUMMYFUNCTION("IF(COUNTA(Q233:Q1644)=0,"""",IF(REGEXMATCH(INDEX(FILTER(Q$4:Q233,Q$4:Q233&lt;&gt;""""),ROWS(FILTER(Q$4:Q233,Q$4:Q233&lt;&gt;""""))),""^Sell_""),INDEX(FILTER(T$4:T232,Q$4:Q232&lt;&gt;""""),ROWS(FILTER(Q$4:Q232,Q$4:Q232&lt;&gt;""""))),$AD$5+S233))"),211916.0)</f>
        <v>211916</v>
      </c>
      <c r="U233" s="10">
        <f>IFERROR(__xludf.DUMMYFUNCTION("IF(COUNTA(Q233:Q1644)=0,"""",IF(Q233="""",0,IF(REGEXMATCH(Q233,""^Sell_""),-ROUNDDOWN(ROUNDUP(INDEX(Upgrades!$C$3:$C$13,MATCH(SUBSTITUTE(Q233,""Sell_"",""""),Upgrades!$B$3:$B$13,0))*1.15^(COUNTIF(Q$4:Q232,SUBSTITUTE(Q233,""Sell_"",""""))-COUNTIF(Q$4:Q232,"&amp;"""Sell_""&amp;SUBSTITUTE(Q233,""Sell_"",""""))))/2),ROUNDUP(INDEX(Upgrades!$C$3:$C$13,MATCH(Q233,Upgrades!$B$3:$B$13,0))*1.15^(COUNTIF(Q$4:Q232,Q233)-COUNTIF(Q$4:Q232,""Sell_""&amp;Q233))))))"),-40227.0)</f>
        <v>-40227</v>
      </c>
      <c r="V233" s="10">
        <f t="shared" si="11"/>
        <v>-8350204</v>
      </c>
      <c r="W233" s="68">
        <f t="shared" si="12"/>
        <v>5680.54337</v>
      </c>
      <c r="X233" s="59" t="str">
        <f t="shared" si="13"/>
        <v>1h 34m 40s</v>
      </c>
      <c r="Y233" s="69">
        <f t="shared" si="14"/>
        <v>251587394</v>
      </c>
      <c r="Z233" s="11"/>
      <c r="AG233" s="59"/>
    </row>
    <row r="234">
      <c r="A234" s="8"/>
      <c r="B234" s="56" t="str">
        <f t="shared" si="2"/>
        <v/>
      </c>
      <c r="C234" s="105"/>
      <c r="D234" s="10"/>
      <c r="E234" s="59" t="str">
        <f t="array" ref="E234">IF(COUNTA(C234:C1644)=0,"",SUM((COUNTIF(C$4:C234,Upgrades!$B$3:$B$13)-COUNTIF(C$4:C234,"Sell_"&amp;Upgrades!$B$3:$B$13))*Upgrades!$D$3:$D$13))</f>
        <v/>
      </c>
      <c r="F234" s="66" t="str">
        <f>IFERROR(__xludf.DUMMYFUNCTION("IF(COUNTA(C234:C1644)=0,"""",IF(REGEXMATCH(INDEX(FILTER(C$4:C234,C$4:C234&lt;&gt;""""),ROWS(FILTER(C$4:C234,C$4:C234&lt;&gt;""""))),""^Sell_""),INDEX(FILTER(F$4:F233,C$4:C233&lt;&gt;""""),ROWS(FILTER(C$4:C233,C$4:C233&lt;&gt;""""))),$AC$5+E234))"),"")</f>
        <v/>
      </c>
      <c r="G234" s="10" t="str">
        <f>IFERROR(__xludf.DUMMYFUNCTION("IF(COUNTA(C234:C1644)=0,"""",IF(C234="""",0,IF(REGEXMATCH(C234,""^Sell_""),-ROUNDDOWN(ROUNDUP(INDEX(Upgrades!$C$3:$C$13,MATCH(SUBSTITUTE(C234,""Sell_"",""""),Upgrades!$B$3:$B$13,0))*1.15^(COUNTIF(C$4:C233,SUBSTITUTE(C234,""Sell_"",""""))-COUNTIF(C$4:C233,"&amp;"""Sell_""&amp;SUBSTITUTE(C234,""Sell_"",""""))))/2),ROUNDUP(INDEX(Upgrades!$C$3:$C$13,MATCH(C234,Upgrades!$B$3:$B$13,0))*1.15^(COUNTIF(C$4:C233,C234)-COUNTIF(C$4:C233,""Sell_""&amp;C234))))))"),"")</f>
        <v/>
      </c>
      <c r="H234" s="10" t="str">
        <f t="shared" si="3"/>
        <v/>
      </c>
      <c r="I234" s="68" t="str">
        <f t="shared" si="4"/>
        <v/>
      </c>
      <c r="J234" s="59" t="str">
        <f t="shared" si="5"/>
        <v/>
      </c>
      <c r="K234" s="69" t="str">
        <f t="shared" si="6"/>
        <v/>
      </c>
      <c r="L234" s="60">
        <f t="shared" si="7"/>
        <v>-93.62406</v>
      </c>
      <c r="M234" s="61">
        <f>IFERROR(__xludf.DUMMYFUNCTION("IFS(AND(COUNTA(C234:C1644)=0,COUNTA(Q234:Q1644)=0),"""",OR(AND(K234&gt;=1000000000,OR(Y234&gt;=1000000000,COUNTA(Q234:Q1644)=0)),OR(Y234&gt;=1000000000,AND(COUNTA(C234:C1644)=0,P$3=TRUE))),
ROUNDDOWN((AB$1-AC$1)*MAX(INDEX(T$4:T1644,MATCH(LARGE(FILTER(Y$4:Y1644,Y$4"&amp;":Y1644&lt;1000000000),1),Y$4:Y1644)),INDEX(F$4:F1644,MATCH(LARGE(FILTER(K$4:K1644,K$4:K1644&lt;1000000000),1),K$4:K1644)))),AND(K234&lt;1000000000,COUNTA(C234:C1644)&gt;0,P$3=FALSE),
ROUNDDOWN(INDEX(Y$4:Y1644,MATCH(LARGE(FILTER(W$4:W1644,W$4:W1644&lt;=I234),1),W$4:W1644"&amp;"))+(I234-LARGE(FILTER(W$4:W1644,W$4:W1644&lt;=I234),1))*INDEX(T$4:T1644,MATCH(LARGE(FILTER(W$4:W1644,W$4:W1644&lt;=I234),1),W$4:W1644))-K234),1,
ROUNDDOWN(Y234-INDEX(K$4:K1644,MATCH(LARGE(FILTER(I$4:I1644,I$4:I1644&lt;=W234),1),I$4:I1644))-(W234-LARGE(FILTER(I$4:I"&amp;"1644,I$4:I1644&lt;=W234),1))*INDEX(F$4:F1644,MATCH(LARGE(FILTER(I$4:I1644,I$4:I1644&lt;=W234),1),I$4:I1644))))"),1.9738106E7)</f>
        <v>19738106</v>
      </c>
      <c r="N234" s="60">
        <f t="shared" si="8"/>
        <v>-93.62406</v>
      </c>
      <c r="O234" s="61" t="str">
        <f t="shared" si="9"/>
        <v>19,7M</v>
      </c>
      <c r="P234" s="56">
        <f t="shared" si="10"/>
        <v>32</v>
      </c>
      <c r="Q234" s="105" t="s">
        <v>61</v>
      </c>
      <c r="R234" s="10"/>
      <c r="S234" s="59">
        <f t="array" ref="S234">IF(COUNTA(Q234:Q1644)=0,"",SUM((COUNTIF(Q$4:Q234,Upgrades!$B$3:$B$13)-COUNTIF(Q$4:Q234,"Sell_"&amp;Upgrades!$B$3:$B$13))*Upgrades!$D$3:$D$13))</f>
        <v>204340</v>
      </c>
      <c r="T234" s="66">
        <f>IFERROR(__xludf.DUMMYFUNCTION("IF(COUNTA(Q234:Q1644)=0,"""",IF(REGEXMATCH(INDEX(FILTER(Q$4:Q234,Q$4:Q234&lt;&gt;""""),ROWS(FILTER(Q$4:Q234,Q$4:Q234&lt;&gt;""""))),""^Sell_""),INDEX(FILTER(T$4:T233,Q$4:Q233&lt;&gt;""""),ROWS(FILTER(Q$4:Q233,Q$4:Q233&lt;&gt;""""))),$AD$5+S234))"),211916.0)</f>
        <v>211916</v>
      </c>
      <c r="U234" s="10">
        <f>IFERROR(__xludf.DUMMYFUNCTION("IF(COUNTA(Q234:Q1644)=0,"""",IF(Q234="""",0,IF(REGEXMATCH(Q234,""^Sell_""),-ROUNDDOWN(ROUNDUP(INDEX(Upgrades!$C$3:$C$13,MATCH(SUBSTITUTE(Q234,""Sell_"",""""),Upgrades!$B$3:$B$13,0))*1.15^(COUNTIF(Q$4:Q233,SUBSTITUTE(Q234,""Sell_"",""""))-COUNTIF(Q$4:Q233,"&amp;"""Sell_""&amp;SUBSTITUTE(Q234,""Sell_"",""""))))/2),ROUNDUP(INDEX(Upgrades!$C$3:$C$13,MATCH(Q234,Upgrades!$B$3:$B$13,0))*1.15^(COUNTIF(Q$4:Q233,Q234)-COUNTIF(Q$4:Q233,""Sell_""&amp;Q234))))))"),-34980.0)</f>
        <v>-34980</v>
      </c>
      <c r="V234" s="10">
        <f t="shared" si="11"/>
        <v>-8385184</v>
      </c>
      <c r="W234" s="68">
        <f t="shared" si="12"/>
        <v>5680.54337</v>
      </c>
      <c r="X234" s="59" t="str">
        <f t="shared" si="13"/>
        <v>1h 34m 40s</v>
      </c>
      <c r="Y234" s="69">
        <f t="shared" si="14"/>
        <v>251587394</v>
      </c>
      <c r="Z234" s="11"/>
      <c r="AG234" s="59"/>
    </row>
    <row r="235">
      <c r="A235" s="8"/>
      <c r="B235" s="56" t="str">
        <f t="shared" si="2"/>
        <v/>
      </c>
      <c r="C235" s="105"/>
      <c r="D235" s="10"/>
      <c r="E235" s="59" t="str">
        <f t="array" ref="E235">IF(COUNTA(C235:C1644)=0,"",SUM((COUNTIF(C$4:C235,Upgrades!$B$3:$B$13)-COUNTIF(C$4:C235,"Sell_"&amp;Upgrades!$B$3:$B$13))*Upgrades!$D$3:$D$13))</f>
        <v/>
      </c>
      <c r="F235" s="66" t="str">
        <f>IFERROR(__xludf.DUMMYFUNCTION("IF(COUNTA(C235:C1644)=0,"""",IF(REGEXMATCH(INDEX(FILTER(C$4:C235,C$4:C235&lt;&gt;""""),ROWS(FILTER(C$4:C235,C$4:C235&lt;&gt;""""))),""^Sell_""),INDEX(FILTER(F$4:F234,C$4:C234&lt;&gt;""""),ROWS(FILTER(C$4:C234,C$4:C234&lt;&gt;""""))),$AC$5+E235))"),"")</f>
        <v/>
      </c>
      <c r="G235" s="10" t="str">
        <f>IFERROR(__xludf.DUMMYFUNCTION("IF(COUNTA(C235:C1644)=0,"""",IF(C235="""",0,IF(REGEXMATCH(C235,""^Sell_""),-ROUNDDOWN(ROUNDUP(INDEX(Upgrades!$C$3:$C$13,MATCH(SUBSTITUTE(C235,""Sell_"",""""),Upgrades!$B$3:$B$13,0))*1.15^(COUNTIF(C$4:C234,SUBSTITUTE(C235,""Sell_"",""""))-COUNTIF(C$4:C234,"&amp;"""Sell_""&amp;SUBSTITUTE(C235,""Sell_"",""""))))/2),ROUNDUP(INDEX(Upgrades!$C$3:$C$13,MATCH(C235,Upgrades!$B$3:$B$13,0))*1.15^(COUNTIF(C$4:C234,C235)-COUNTIF(C$4:C234,""Sell_""&amp;C235))))))"),"")</f>
        <v/>
      </c>
      <c r="H235" s="10" t="str">
        <f t="shared" si="3"/>
        <v/>
      </c>
      <c r="I235" s="68" t="str">
        <f t="shared" si="4"/>
        <v/>
      </c>
      <c r="J235" s="59" t="str">
        <f t="shared" si="5"/>
        <v/>
      </c>
      <c r="K235" s="69" t="str">
        <f t="shared" si="6"/>
        <v/>
      </c>
      <c r="L235" s="60">
        <f t="shared" si="7"/>
        <v>-93.62406</v>
      </c>
      <c r="M235" s="61">
        <f>IFERROR(__xludf.DUMMYFUNCTION("IFS(AND(COUNTA(C235:C1644)=0,COUNTA(Q235:Q1644)=0),"""",OR(AND(K235&gt;=1000000000,OR(Y235&gt;=1000000000,COUNTA(Q235:Q1644)=0)),OR(Y235&gt;=1000000000,AND(COUNTA(C235:C1644)=0,P$3=TRUE))),
ROUNDDOWN((AB$1-AC$1)*MAX(INDEX(T$4:T1644,MATCH(LARGE(FILTER(Y$4:Y1644,Y$4"&amp;":Y1644&lt;1000000000),1),Y$4:Y1644)),INDEX(F$4:F1644,MATCH(LARGE(FILTER(K$4:K1644,K$4:K1644&lt;1000000000),1),K$4:K1644)))),AND(K235&lt;1000000000,COUNTA(C235:C1644)&gt;0,P$3=FALSE),
ROUNDDOWN(INDEX(Y$4:Y1644,MATCH(LARGE(FILTER(W$4:W1644,W$4:W1644&lt;=I235),1),W$4:W1644"&amp;"))+(I235-LARGE(FILTER(W$4:W1644,W$4:W1644&lt;=I235),1))*INDEX(T$4:T1644,MATCH(LARGE(FILTER(W$4:W1644,W$4:W1644&lt;=I235),1),W$4:W1644))-K235),1,
ROUNDDOWN(Y235-INDEX(K$4:K1644,MATCH(LARGE(FILTER(I$4:I1644,I$4:I1644&lt;=W235),1),I$4:I1644))-(W235-LARGE(FILTER(I$4:I"&amp;"1644,I$4:I1644&lt;=W235),1))*INDEX(F$4:F1644,MATCH(LARGE(FILTER(I$4:I1644,I$4:I1644&lt;=W235),1),I$4:I1644))))"),1.9738106E7)</f>
        <v>19738106</v>
      </c>
      <c r="N235" s="60">
        <f t="shared" si="8"/>
        <v>-93.62406</v>
      </c>
      <c r="O235" s="61" t="str">
        <f t="shared" si="9"/>
        <v>19,7M</v>
      </c>
      <c r="P235" s="56">
        <f t="shared" si="10"/>
        <v>33</v>
      </c>
      <c r="Q235" s="105" t="s">
        <v>61</v>
      </c>
      <c r="R235" s="10"/>
      <c r="S235" s="59">
        <f t="array" ref="S235">IF(COUNTA(Q235:Q1644)=0,"",SUM((COUNTIF(Q$4:Q235,Upgrades!$B$3:$B$13)-COUNTIF(Q$4:Q235,"Sell_"&amp;Upgrades!$B$3:$B$13))*Upgrades!$D$3:$D$13))</f>
        <v>204240</v>
      </c>
      <c r="T235" s="66">
        <f>IFERROR(__xludf.DUMMYFUNCTION("IF(COUNTA(Q235:Q1644)=0,"""",IF(REGEXMATCH(INDEX(FILTER(Q$4:Q235,Q$4:Q235&lt;&gt;""""),ROWS(FILTER(Q$4:Q235,Q$4:Q235&lt;&gt;""""))),""^Sell_""),INDEX(FILTER(T$4:T234,Q$4:Q234&lt;&gt;""""),ROWS(FILTER(Q$4:Q234,Q$4:Q234&lt;&gt;""""))),$AD$5+S235))"),211916.0)</f>
        <v>211916</v>
      </c>
      <c r="U235" s="10">
        <f>IFERROR(__xludf.DUMMYFUNCTION("IF(COUNTA(Q235:Q1644)=0,"""",IF(Q235="""",0,IF(REGEXMATCH(Q235,""^Sell_""),-ROUNDDOWN(ROUNDUP(INDEX(Upgrades!$C$3:$C$13,MATCH(SUBSTITUTE(Q235,""Sell_"",""""),Upgrades!$B$3:$B$13,0))*1.15^(COUNTIF(Q$4:Q234,SUBSTITUTE(Q235,""Sell_"",""""))-COUNTIF(Q$4:Q234,"&amp;"""Sell_""&amp;SUBSTITUTE(Q235,""Sell_"",""""))))/2),ROUNDUP(INDEX(Upgrades!$C$3:$C$13,MATCH(Q235,Upgrades!$B$3:$B$13,0))*1.15^(COUNTIF(Q$4:Q234,Q235)-COUNTIF(Q$4:Q234,""Sell_""&amp;Q235))))))"),-30417.0)</f>
        <v>-30417</v>
      </c>
      <c r="V235" s="10">
        <f t="shared" si="11"/>
        <v>-8415601</v>
      </c>
      <c r="W235" s="68">
        <f t="shared" si="12"/>
        <v>5680.54337</v>
      </c>
      <c r="X235" s="59" t="str">
        <f t="shared" si="13"/>
        <v>1h 34m 40s</v>
      </c>
      <c r="Y235" s="69">
        <f t="shared" si="14"/>
        <v>251587394</v>
      </c>
      <c r="Z235" s="11"/>
      <c r="AG235" s="59"/>
    </row>
    <row r="236">
      <c r="A236" s="8"/>
      <c r="B236" s="56" t="str">
        <f t="shared" si="2"/>
        <v/>
      </c>
      <c r="C236" s="105"/>
      <c r="D236" s="10"/>
      <c r="E236" s="59" t="str">
        <f t="array" ref="E236">IF(COUNTA(C236:C1644)=0,"",SUM((COUNTIF(C$4:C236,Upgrades!$B$3:$B$13)-COUNTIF(C$4:C236,"Sell_"&amp;Upgrades!$B$3:$B$13))*Upgrades!$D$3:$D$13))</f>
        <v/>
      </c>
      <c r="F236" s="66" t="str">
        <f>IFERROR(__xludf.DUMMYFUNCTION("IF(COUNTA(C236:C1644)=0,"""",IF(REGEXMATCH(INDEX(FILTER(C$4:C236,C$4:C236&lt;&gt;""""),ROWS(FILTER(C$4:C236,C$4:C236&lt;&gt;""""))),""^Sell_""),INDEX(FILTER(F$4:F235,C$4:C235&lt;&gt;""""),ROWS(FILTER(C$4:C235,C$4:C235&lt;&gt;""""))),$AC$5+E236))"),"")</f>
        <v/>
      </c>
      <c r="G236" s="10" t="str">
        <f>IFERROR(__xludf.DUMMYFUNCTION("IF(COUNTA(C236:C1644)=0,"""",IF(C236="""",0,IF(REGEXMATCH(C236,""^Sell_""),-ROUNDDOWN(ROUNDUP(INDEX(Upgrades!$C$3:$C$13,MATCH(SUBSTITUTE(C236,""Sell_"",""""),Upgrades!$B$3:$B$13,0))*1.15^(COUNTIF(C$4:C235,SUBSTITUTE(C236,""Sell_"",""""))-COUNTIF(C$4:C235,"&amp;"""Sell_""&amp;SUBSTITUTE(C236,""Sell_"",""""))))/2),ROUNDUP(INDEX(Upgrades!$C$3:$C$13,MATCH(C236,Upgrades!$B$3:$B$13,0))*1.15^(COUNTIF(C$4:C235,C236)-COUNTIF(C$4:C235,""Sell_""&amp;C236))))))"),"")</f>
        <v/>
      </c>
      <c r="H236" s="10" t="str">
        <f t="shared" si="3"/>
        <v/>
      </c>
      <c r="I236" s="68" t="str">
        <f t="shared" si="4"/>
        <v/>
      </c>
      <c r="J236" s="59" t="str">
        <f t="shared" si="5"/>
        <v/>
      </c>
      <c r="K236" s="69" t="str">
        <f t="shared" si="6"/>
        <v/>
      </c>
      <c r="L236" s="60">
        <f t="shared" si="7"/>
        <v>-93.62406</v>
      </c>
      <c r="M236" s="61">
        <f>IFERROR(__xludf.DUMMYFUNCTION("IFS(AND(COUNTA(C236:C1644)=0,COUNTA(Q236:Q1644)=0),"""",OR(AND(K236&gt;=1000000000,OR(Y236&gt;=1000000000,COUNTA(Q236:Q1644)=0)),OR(Y236&gt;=1000000000,AND(COUNTA(C236:C1644)=0,P$3=TRUE))),
ROUNDDOWN((AB$1-AC$1)*MAX(INDEX(T$4:T1644,MATCH(LARGE(FILTER(Y$4:Y1644,Y$4"&amp;":Y1644&lt;1000000000),1),Y$4:Y1644)),INDEX(F$4:F1644,MATCH(LARGE(FILTER(K$4:K1644,K$4:K1644&lt;1000000000),1),K$4:K1644)))),AND(K236&lt;1000000000,COUNTA(C236:C1644)&gt;0,P$3=FALSE),
ROUNDDOWN(INDEX(Y$4:Y1644,MATCH(LARGE(FILTER(W$4:W1644,W$4:W1644&lt;=I236),1),W$4:W1644"&amp;"))+(I236-LARGE(FILTER(W$4:W1644,W$4:W1644&lt;=I236),1))*INDEX(T$4:T1644,MATCH(LARGE(FILTER(W$4:W1644,W$4:W1644&lt;=I236),1),W$4:W1644))-K236),1,
ROUNDDOWN(Y236-INDEX(K$4:K1644,MATCH(LARGE(FILTER(I$4:I1644,I$4:I1644&lt;=W236),1),I$4:I1644))-(W236-LARGE(FILTER(I$4:I"&amp;"1644,I$4:I1644&lt;=W236),1))*INDEX(F$4:F1644,MATCH(LARGE(FILTER(I$4:I1644,I$4:I1644&lt;=W236),1),I$4:I1644))))"),1.9738106E7)</f>
        <v>19738106</v>
      </c>
      <c r="N236" s="60">
        <f t="shared" si="8"/>
        <v>-93.62406</v>
      </c>
      <c r="O236" s="61" t="str">
        <f t="shared" si="9"/>
        <v>19,7M</v>
      </c>
      <c r="P236" s="56">
        <f t="shared" si="10"/>
        <v>34</v>
      </c>
      <c r="Q236" s="105" t="s">
        <v>61</v>
      </c>
      <c r="R236" s="10"/>
      <c r="S236" s="59">
        <f t="array" ref="S236">IF(COUNTA(Q236:Q1644)=0,"",SUM((COUNTIF(Q$4:Q236,Upgrades!$B$3:$B$13)-COUNTIF(Q$4:Q236,"Sell_"&amp;Upgrades!$B$3:$B$13))*Upgrades!$D$3:$D$13))</f>
        <v>204140</v>
      </c>
      <c r="T236" s="66">
        <f>IFERROR(__xludf.DUMMYFUNCTION("IF(COUNTA(Q236:Q1644)=0,"""",IF(REGEXMATCH(INDEX(FILTER(Q$4:Q236,Q$4:Q236&lt;&gt;""""),ROWS(FILTER(Q$4:Q236,Q$4:Q236&lt;&gt;""""))),""^Sell_""),INDEX(FILTER(T$4:T235,Q$4:Q235&lt;&gt;""""),ROWS(FILTER(Q$4:Q235,Q$4:Q235&lt;&gt;""""))),$AD$5+S236))"),211916.0)</f>
        <v>211916</v>
      </c>
      <c r="U236" s="10">
        <f>IFERROR(__xludf.DUMMYFUNCTION("IF(COUNTA(Q236:Q1644)=0,"""",IF(Q236="""",0,IF(REGEXMATCH(Q236,""^Sell_""),-ROUNDDOWN(ROUNDUP(INDEX(Upgrades!$C$3:$C$13,MATCH(SUBSTITUTE(Q236,""Sell_"",""""),Upgrades!$B$3:$B$13,0))*1.15^(COUNTIF(Q$4:Q235,SUBSTITUTE(Q236,""Sell_"",""""))-COUNTIF(Q$4:Q235,"&amp;"""Sell_""&amp;SUBSTITUTE(Q236,""Sell_"",""""))))/2),ROUNDUP(INDEX(Upgrades!$C$3:$C$13,MATCH(Q236,Upgrades!$B$3:$B$13,0))*1.15^(COUNTIF(Q$4:Q235,Q236)-COUNTIF(Q$4:Q235,""Sell_""&amp;Q236))))))"),-26450.0)</f>
        <v>-26450</v>
      </c>
      <c r="V236" s="10">
        <f t="shared" si="11"/>
        <v>-8442051</v>
      </c>
      <c r="W236" s="68">
        <f t="shared" si="12"/>
        <v>5680.54337</v>
      </c>
      <c r="X236" s="59" t="str">
        <f t="shared" si="13"/>
        <v>1h 34m 40s</v>
      </c>
      <c r="Y236" s="69">
        <f t="shared" si="14"/>
        <v>251587394</v>
      </c>
      <c r="Z236" s="11"/>
      <c r="AG236" s="59"/>
    </row>
    <row r="237">
      <c r="A237" s="8"/>
      <c r="B237" s="56" t="str">
        <f t="shared" si="2"/>
        <v/>
      </c>
      <c r="C237" s="105"/>
      <c r="D237" s="10"/>
      <c r="E237" s="59" t="str">
        <f t="array" ref="E237">IF(COUNTA(C237:C1644)=0,"",SUM((COUNTIF(C$4:C237,Upgrades!$B$3:$B$13)-COUNTIF(C$4:C237,"Sell_"&amp;Upgrades!$B$3:$B$13))*Upgrades!$D$3:$D$13))</f>
        <v/>
      </c>
      <c r="F237" s="66" t="str">
        <f>IFERROR(__xludf.DUMMYFUNCTION("IF(COUNTA(C237:C1644)=0,"""",IF(REGEXMATCH(INDEX(FILTER(C$4:C237,C$4:C237&lt;&gt;""""),ROWS(FILTER(C$4:C237,C$4:C237&lt;&gt;""""))),""^Sell_""),INDEX(FILTER(F$4:F236,C$4:C236&lt;&gt;""""),ROWS(FILTER(C$4:C236,C$4:C236&lt;&gt;""""))),$AC$5+E237))"),"")</f>
        <v/>
      </c>
      <c r="G237" s="10" t="str">
        <f>IFERROR(__xludf.DUMMYFUNCTION("IF(COUNTA(C237:C1644)=0,"""",IF(C237="""",0,IF(REGEXMATCH(C237,""^Sell_""),-ROUNDDOWN(ROUNDUP(INDEX(Upgrades!$C$3:$C$13,MATCH(SUBSTITUTE(C237,""Sell_"",""""),Upgrades!$B$3:$B$13,0))*1.15^(COUNTIF(C$4:C236,SUBSTITUTE(C237,""Sell_"",""""))-COUNTIF(C$4:C236,"&amp;"""Sell_""&amp;SUBSTITUTE(C237,""Sell_"",""""))))/2),ROUNDUP(INDEX(Upgrades!$C$3:$C$13,MATCH(C237,Upgrades!$B$3:$B$13,0))*1.15^(COUNTIF(C$4:C236,C237)-COUNTIF(C$4:C236,""Sell_""&amp;C237))))))"),"")</f>
        <v/>
      </c>
      <c r="H237" s="10" t="str">
        <f t="shared" si="3"/>
        <v/>
      </c>
      <c r="I237" s="68" t="str">
        <f t="shared" si="4"/>
        <v/>
      </c>
      <c r="J237" s="59" t="str">
        <f t="shared" si="5"/>
        <v/>
      </c>
      <c r="K237" s="69" t="str">
        <f t="shared" si="6"/>
        <v/>
      </c>
      <c r="L237" s="60">
        <f t="shared" si="7"/>
        <v>-93.62406</v>
      </c>
      <c r="M237" s="61">
        <f>IFERROR(__xludf.DUMMYFUNCTION("IFS(AND(COUNTA(C237:C1644)=0,COUNTA(Q237:Q1644)=0),"""",OR(AND(K237&gt;=1000000000,OR(Y237&gt;=1000000000,COUNTA(Q237:Q1644)=0)),OR(Y237&gt;=1000000000,AND(COUNTA(C237:C1644)=0,P$3=TRUE))),
ROUNDDOWN((AB$1-AC$1)*MAX(INDEX(T$4:T1644,MATCH(LARGE(FILTER(Y$4:Y1644,Y$4"&amp;":Y1644&lt;1000000000),1),Y$4:Y1644)),INDEX(F$4:F1644,MATCH(LARGE(FILTER(K$4:K1644,K$4:K1644&lt;1000000000),1),K$4:K1644)))),AND(K237&lt;1000000000,COUNTA(C237:C1644)&gt;0,P$3=FALSE),
ROUNDDOWN(INDEX(Y$4:Y1644,MATCH(LARGE(FILTER(W$4:W1644,W$4:W1644&lt;=I237),1),W$4:W1644"&amp;"))+(I237-LARGE(FILTER(W$4:W1644,W$4:W1644&lt;=I237),1))*INDEX(T$4:T1644,MATCH(LARGE(FILTER(W$4:W1644,W$4:W1644&lt;=I237),1),W$4:W1644))-K237),1,
ROUNDDOWN(Y237-INDEX(K$4:K1644,MATCH(LARGE(FILTER(I$4:I1644,I$4:I1644&lt;=W237),1),I$4:I1644))-(W237-LARGE(FILTER(I$4:I"&amp;"1644,I$4:I1644&lt;=W237),1))*INDEX(F$4:F1644,MATCH(LARGE(FILTER(I$4:I1644,I$4:I1644&lt;=W237),1),I$4:I1644))))"),1.9738106E7)</f>
        <v>19738106</v>
      </c>
      <c r="N237" s="60">
        <f t="shared" si="8"/>
        <v>-93.62406</v>
      </c>
      <c r="O237" s="61" t="str">
        <f t="shared" si="9"/>
        <v>19,7M</v>
      </c>
      <c r="P237" s="56">
        <f t="shared" si="10"/>
        <v>35</v>
      </c>
      <c r="Q237" s="105" t="s">
        <v>61</v>
      </c>
      <c r="R237" s="10"/>
      <c r="S237" s="59">
        <f t="array" ref="S237">IF(COUNTA(Q237:Q1644)=0,"",SUM((COUNTIF(Q$4:Q237,Upgrades!$B$3:$B$13)-COUNTIF(Q$4:Q237,"Sell_"&amp;Upgrades!$B$3:$B$13))*Upgrades!$D$3:$D$13))</f>
        <v>204040</v>
      </c>
      <c r="T237" s="66">
        <f>IFERROR(__xludf.DUMMYFUNCTION("IF(COUNTA(Q237:Q1644)=0,"""",IF(REGEXMATCH(INDEX(FILTER(Q$4:Q237,Q$4:Q237&lt;&gt;""""),ROWS(FILTER(Q$4:Q237,Q$4:Q237&lt;&gt;""""))),""^Sell_""),INDEX(FILTER(T$4:T236,Q$4:Q236&lt;&gt;""""),ROWS(FILTER(Q$4:Q236,Q$4:Q236&lt;&gt;""""))),$AD$5+S237))"),211916.0)</f>
        <v>211916</v>
      </c>
      <c r="U237" s="10">
        <f>IFERROR(__xludf.DUMMYFUNCTION("IF(COUNTA(Q237:Q1644)=0,"""",IF(Q237="""",0,IF(REGEXMATCH(Q237,""^Sell_""),-ROUNDDOWN(ROUNDUP(INDEX(Upgrades!$C$3:$C$13,MATCH(SUBSTITUTE(Q237,""Sell_"",""""),Upgrades!$B$3:$B$13,0))*1.15^(COUNTIF(Q$4:Q236,SUBSTITUTE(Q237,""Sell_"",""""))-COUNTIF(Q$4:Q236,"&amp;"""Sell_""&amp;SUBSTITUTE(Q237,""Sell_"",""""))))/2),ROUNDUP(INDEX(Upgrades!$C$3:$C$13,MATCH(Q237,Upgrades!$B$3:$B$13,0))*1.15^(COUNTIF(Q$4:Q236,Q237)-COUNTIF(Q$4:Q236,""Sell_""&amp;Q237))))))"),-23000.0)</f>
        <v>-23000</v>
      </c>
      <c r="V237" s="10">
        <f t="shared" si="11"/>
        <v>-8465051</v>
      </c>
      <c r="W237" s="68">
        <f t="shared" si="12"/>
        <v>5680.54337</v>
      </c>
      <c r="X237" s="59" t="str">
        <f t="shared" si="13"/>
        <v>1h 34m 40s</v>
      </c>
      <c r="Y237" s="69">
        <f t="shared" si="14"/>
        <v>251587394</v>
      </c>
      <c r="Z237" s="11"/>
      <c r="AG237" s="59"/>
    </row>
    <row r="238">
      <c r="A238" s="8"/>
      <c r="B238" s="56" t="str">
        <f t="shared" si="2"/>
        <v/>
      </c>
      <c r="C238" s="105"/>
      <c r="D238" s="10"/>
      <c r="E238" s="59" t="str">
        <f t="array" ref="E238">IF(COUNTA(C238:C1644)=0,"",SUM((COUNTIF(C$4:C238,Upgrades!$B$3:$B$13)-COUNTIF(C$4:C238,"Sell_"&amp;Upgrades!$B$3:$B$13))*Upgrades!$D$3:$D$13))</f>
        <v/>
      </c>
      <c r="F238" s="66" t="str">
        <f>IFERROR(__xludf.DUMMYFUNCTION("IF(COUNTA(C238:C1644)=0,"""",IF(REGEXMATCH(INDEX(FILTER(C$4:C238,C$4:C238&lt;&gt;""""),ROWS(FILTER(C$4:C238,C$4:C238&lt;&gt;""""))),""^Sell_""),INDEX(FILTER(F$4:F237,C$4:C237&lt;&gt;""""),ROWS(FILTER(C$4:C237,C$4:C237&lt;&gt;""""))),$AC$5+E238))"),"")</f>
        <v/>
      </c>
      <c r="G238" s="10" t="str">
        <f>IFERROR(__xludf.DUMMYFUNCTION("IF(COUNTA(C238:C1644)=0,"""",IF(C238="""",0,IF(REGEXMATCH(C238,""^Sell_""),-ROUNDDOWN(ROUNDUP(INDEX(Upgrades!$C$3:$C$13,MATCH(SUBSTITUTE(C238,""Sell_"",""""),Upgrades!$B$3:$B$13,0))*1.15^(COUNTIF(C$4:C237,SUBSTITUTE(C238,""Sell_"",""""))-COUNTIF(C$4:C237,"&amp;"""Sell_""&amp;SUBSTITUTE(C238,""Sell_"",""""))))/2),ROUNDUP(INDEX(Upgrades!$C$3:$C$13,MATCH(C238,Upgrades!$B$3:$B$13,0))*1.15^(COUNTIF(C$4:C237,C238)-COUNTIF(C$4:C237,""Sell_""&amp;C238))))))"),"")</f>
        <v/>
      </c>
      <c r="H238" s="10" t="str">
        <f t="shared" si="3"/>
        <v/>
      </c>
      <c r="I238" s="68" t="str">
        <f t="shared" si="4"/>
        <v/>
      </c>
      <c r="J238" s="59" t="str">
        <f t="shared" si="5"/>
        <v/>
      </c>
      <c r="K238" s="69" t="str">
        <f t="shared" si="6"/>
        <v/>
      </c>
      <c r="L238" s="60">
        <f t="shared" si="7"/>
        <v>-93.62406</v>
      </c>
      <c r="M238" s="61">
        <f>IFERROR(__xludf.DUMMYFUNCTION("IFS(AND(COUNTA(C238:C1644)=0,COUNTA(Q238:Q1644)=0),"""",OR(AND(K238&gt;=1000000000,OR(Y238&gt;=1000000000,COUNTA(Q238:Q1644)=0)),OR(Y238&gt;=1000000000,AND(COUNTA(C238:C1644)=0,P$3=TRUE))),
ROUNDDOWN((AB$1-AC$1)*MAX(INDEX(T$4:T1644,MATCH(LARGE(FILTER(Y$4:Y1644,Y$4"&amp;":Y1644&lt;1000000000),1),Y$4:Y1644)),INDEX(F$4:F1644,MATCH(LARGE(FILTER(K$4:K1644,K$4:K1644&lt;1000000000),1),K$4:K1644)))),AND(K238&lt;1000000000,COUNTA(C238:C1644)&gt;0,P$3=FALSE),
ROUNDDOWN(INDEX(Y$4:Y1644,MATCH(LARGE(FILTER(W$4:W1644,W$4:W1644&lt;=I238),1),W$4:W1644"&amp;"))+(I238-LARGE(FILTER(W$4:W1644,W$4:W1644&lt;=I238),1))*INDEX(T$4:T1644,MATCH(LARGE(FILTER(W$4:W1644,W$4:W1644&lt;=I238),1),W$4:W1644))-K238),1,
ROUNDDOWN(Y238-INDEX(K$4:K1644,MATCH(LARGE(FILTER(I$4:I1644,I$4:I1644&lt;=W238),1),I$4:I1644))-(W238-LARGE(FILTER(I$4:I"&amp;"1644,I$4:I1644&lt;=W238),1))*INDEX(F$4:F1644,MATCH(LARGE(FILTER(I$4:I1644,I$4:I1644&lt;=W238),1),I$4:I1644))))"),1.9738106E7)</f>
        <v>19738106</v>
      </c>
      <c r="N238" s="60">
        <f t="shared" si="8"/>
        <v>-93.62406</v>
      </c>
      <c r="O238" s="61" t="str">
        <f t="shared" si="9"/>
        <v>19,7M</v>
      </c>
      <c r="P238" s="56">
        <f t="shared" si="10"/>
        <v>17</v>
      </c>
      <c r="Q238" s="105" t="s">
        <v>60</v>
      </c>
      <c r="R238" s="10"/>
      <c r="S238" s="59">
        <f t="array" ref="S238">IF(COUNTA(Q238:Q1644)=0,"",SUM((COUNTIF(Q$4:Q238,Upgrades!$B$3:$B$13)-COUNTIF(Q$4:Q238,"Sell_"&amp;Upgrades!$B$3:$B$13))*Upgrades!$D$3:$D$13))</f>
        <v>203640</v>
      </c>
      <c r="T238" s="66">
        <f>IFERROR(__xludf.DUMMYFUNCTION("IF(COUNTA(Q238:Q1644)=0,"""",IF(REGEXMATCH(INDEX(FILTER(Q$4:Q238,Q$4:Q238&lt;&gt;""""),ROWS(FILTER(Q$4:Q238,Q$4:Q238&lt;&gt;""""))),""^Sell_""),INDEX(FILTER(T$4:T237,Q$4:Q237&lt;&gt;""""),ROWS(FILTER(Q$4:Q237,Q$4:Q237&lt;&gt;""""))),$AD$5+S238))"),211916.0)</f>
        <v>211916</v>
      </c>
      <c r="U238" s="10">
        <f>IFERROR(__xludf.DUMMYFUNCTION("IF(COUNTA(Q238:Q1644)=0,"""",IF(Q238="""",0,IF(REGEXMATCH(Q238,""^Sell_""),-ROUNDDOWN(ROUNDUP(INDEX(Upgrades!$C$3:$C$13,MATCH(SUBSTITUTE(Q238,""Sell_"",""""),Upgrades!$B$3:$B$13,0))*1.15^(COUNTIF(Q$4:Q237,SUBSTITUTE(Q238,""Sell_"",""""))-COUNTIF(Q$4:Q237,"&amp;"""Sell_""&amp;SUBSTITUTE(Q238,""Sell_"",""""))))/2),ROUNDUP(INDEX(Upgrades!$C$3:$C$13,MATCH(Q238,Upgrades!$B$3:$B$13,0))*1.15^(COUNTIF(Q$4:Q237,Q238)-COUNTIF(Q$4:Q237,""Sell_""&amp;Q238))))))"),-465239.0)</f>
        <v>-465239</v>
      </c>
      <c r="V238" s="10">
        <f t="shared" si="11"/>
        <v>-8930290</v>
      </c>
      <c r="W238" s="68">
        <f t="shared" si="12"/>
        <v>5680.54337</v>
      </c>
      <c r="X238" s="59" t="str">
        <f t="shared" si="13"/>
        <v>1h 34m 40s</v>
      </c>
      <c r="Y238" s="69">
        <f t="shared" si="14"/>
        <v>251587394</v>
      </c>
      <c r="Z238" s="11"/>
      <c r="AG238" s="59"/>
    </row>
    <row r="239">
      <c r="A239" s="8"/>
      <c r="B239" s="56" t="str">
        <f t="shared" si="2"/>
        <v/>
      </c>
      <c r="C239" s="105"/>
      <c r="D239" s="10"/>
      <c r="E239" s="59" t="str">
        <f t="array" ref="E239">IF(COUNTA(C239:C1644)=0,"",SUM((COUNTIF(C$4:C239,Upgrades!$B$3:$B$13)-COUNTIF(C$4:C239,"Sell_"&amp;Upgrades!$B$3:$B$13))*Upgrades!$D$3:$D$13))</f>
        <v/>
      </c>
      <c r="F239" s="66" t="str">
        <f>IFERROR(__xludf.DUMMYFUNCTION("IF(COUNTA(C239:C1644)=0,"""",IF(REGEXMATCH(INDEX(FILTER(C$4:C239,C$4:C239&lt;&gt;""""),ROWS(FILTER(C$4:C239,C$4:C239&lt;&gt;""""))),""^Sell_""),INDEX(FILTER(F$4:F238,C$4:C238&lt;&gt;""""),ROWS(FILTER(C$4:C238,C$4:C238&lt;&gt;""""))),$AC$5+E239))"),"")</f>
        <v/>
      </c>
      <c r="G239" s="10" t="str">
        <f>IFERROR(__xludf.DUMMYFUNCTION("IF(COUNTA(C239:C1644)=0,"""",IF(C239="""",0,IF(REGEXMATCH(C239,""^Sell_""),-ROUNDDOWN(ROUNDUP(INDEX(Upgrades!$C$3:$C$13,MATCH(SUBSTITUTE(C239,""Sell_"",""""),Upgrades!$B$3:$B$13,0))*1.15^(COUNTIF(C$4:C238,SUBSTITUTE(C239,""Sell_"",""""))-COUNTIF(C$4:C238,"&amp;"""Sell_""&amp;SUBSTITUTE(C239,""Sell_"",""""))))/2),ROUNDUP(INDEX(Upgrades!$C$3:$C$13,MATCH(C239,Upgrades!$B$3:$B$13,0))*1.15^(COUNTIF(C$4:C238,C239)-COUNTIF(C$4:C238,""Sell_""&amp;C239))))))"),"")</f>
        <v/>
      </c>
      <c r="H239" s="10" t="str">
        <f t="shared" si="3"/>
        <v/>
      </c>
      <c r="I239" s="68" t="str">
        <f t="shared" si="4"/>
        <v/>
      </c>
      <c r="J239" s="59" t="str">
        <f t="shared" si="5"/>
        <v/>
      </c>
      <c r="K239" s="69" t="str">
        <f t="shared" si="6"/>
        <v/>
      </c>
      <c r="L239" s="60">
        <f t="shared" si="7"/>
        <v>-93.62406</v>
      </c>
      <c r="M239" s="61">
        <f>IFERROR(__xludf.DUMMYFUNCTION("IFS(AND(COUNTA(C239:C1644)=0,COUNTA(Q239:Q1644)=0),"""",OR(AND(K239&gt;=1000000000,OR(Y239&gt;=1000000000,COUNTA(Q239:Q1644)=0)),OR(Y239&gt;=1000000000,AND(COUNTA(C239:C1644)=0,P$3=TRUE))),
ROUNDDOWN((AB$1-AC$1)*MAX(INDEX(T$4:T1644,MATCH(LARGE(FILTER(Y$4:Y1644,Y$4"&amp;":Y1644&lt;1000000000),1),Y$4:Y1644)),INDEX(F$4:F1644,MATCH(LARGE(FILTER(K$4:K1644,K$4:K1644&lt;1000000000),1),K$4:K1644)))),AND(K239&lt;1000000000,COUNTA(C239:C1644)&gt;0,P$3=FALSE),
ROUNDDOWN(INDEX(Y$4:Y1644,MATCH(LARGE(FILTER(W$4:W1644,W$4:W1644&lt;=I239),1),W$4:W1644"&amp;"))+(I239-LARGE(FILTER(W$4:W1644,W$4:W1644&lt;=I239),1))*INDEX(T$4:T1644,MATCH(LARGE(FILTER(W$4:W1644,W$4:W1644&lt;=I239),1),W$4:W1644))-K239),1,
ROUNDDOWN(Y239-INDEX(K$4:K1644,MATCH(LARGE(FILTER(I$4:I1644,I$4:I1644&lt;=W239),1),I$4:I1644))-(W239-LARGE(FILTER(I$4:I"&amp;"1644,I$4:I1644&lt;=W239),1))*INDEX(F$4:F1644,MATCH(LARGE(FILTER(I$4:I1644,I$4:I1644&lt;=W239),1),I$4:I1644))))"),1.9738106E7)</f>
        <v>19738106</v>
      </c>
      <c r="N239" s="60">
        <f t="shared" si="8"/>
        <v>-93.62406</v>
      </c>
      <c r="O239" s="61" t="str">
        <f t="shared" si="9"/>
        <v>19,7M</v>
      </c>
      <c r="P239" s="56">
        <f t="shared" si="10"/>
        <v>18</v>
      </c>
      <c r="Q239" s="105" t="s">
        <v>60</v>
      </c>
      <c r="R239" s="10"/>
      <c r="S239" s="59">
        <f t="array" ref="S239">IF(COUNTA(Q239:Q1644)=0,"",SUM((COUNTIF(Q$4:Q239,Upgrades!$B$3:$B$13)-COUNTIF(Q$4:Q239,"Sell_"&amp;Upgrades!$B$3:$B$13))*Upgrades!$D$3:$D$13))</f>
        <v>203240</v>
      </c>
      <c r="T239" s="66">
        <f>IFERROR(__xludf.DUMMYFUNCTION("IF(COUNTA(Q239:Q1644)=0,"""",IF(REGEXMATCH(INDEX(FILTER(Q$4:Q239,Q$4:Q239&lt;&gt;""""),ROWS(FILTER(Q$4:Q239,Q$4:Q239&lt;&gt;""""))),""^Sell_""),INDEX(FILTER(T$4:T238,Q$4:Q238&lt;&gt;""""),ROWS(FILTER(Q$4:Q238,Q$4:Q238&lt;&gt;""""))),$AD$5+S239))"),211916.0)</f>
        <v>211916</v>
      </c>
      <c r="U239" s="10">
        <f>IFERROR(__xludf.DUMMYFUNCTION("IF(COUNTA(Q239:Q1644)=0,"""",IF(Q239="""",0,IF(REGEXMATCH(Q239,""^Sell_""),-ROUNDDOWN(ROUNDUP(INDEX(Upgrades!$C$3:$C$13,MATCH(SUBSTITUTE(Q239,""Sell_"",""""),Upgrades!$B$3:$B$13,0))*1.15^(COUNTIF(Q$4:Q238,SUBSTITUTE(Q239,""Sell_"",""""))-COUNTIF(Q$4:Q238,"&amp;"""Sell_""&amp;SUBSTITUTE(Q239,""Sell_"",""""))))/2),ROUNDUP(INDEX(Upgrades!$C$3:$C$13,MATCH(Q239,Upgrades!$B$3:$B$13,0))*1.15^(COUNTIF(Q$4:Q238,Q239)-COUNTIF(Q$4:Q238,""Sell_""&amp;Q239))))))"),-404556.0)</f>
        <v>-404556</v>
      </c>
      <c r="V239" s="10">
        <f t="shared" si="11"/>
        <v>-9334846</v>
      </c>
      <c r="W239" s="68">
        <f t="shared" si="12"/>
        <v>5680.54337</v>
      </c>
      <c r="X239" s="59" t="str">
        <f t="shared" si="13"/>
        <v>1h 34m 40s</v>
      </c>
      <c r="Y239" s="69">
        <f t="shared" si="14"/>
        <v>251587394</v>
      </c>
      <c r="Z239" s="11"/>
      <c r="AG239" s="59"/>
    </row>
    <row r="240">
      <c r="A240" s="8"/>
      <c r="B240" s="56" t="str">
        <f t="shared" si="2"/>
        <v/>
      </c>
      <c r="C240" s="105"/>
      <c r="D240" s="10"/>
      <c r="E240" s="59" t="str">
        <f t="array" ref="E240">IF(COUNTA(C240:C1644)=0,"",SUM((COUNTIF(C$4:C240,Upgrades!$B$3:$B$13)-COUNTIF(C$4:C240,"Sell_"&amp;Upgrades!$B$3:$B$13))*Upgrades!$D$3:$D$13))</f>
        <v/>
      </c>
      <c r="F240" s="66" t="str">
        <f>IFERROR(__xludf.DUMMYFUNCTION("IF(COUNTA(C240:C1644)=0,"""",IF(REGEXMATCH(INDEX(FILTER(C$4:C240,C$4:C240&lt;&gt;""""),ROWS(FILTER(C$4:C240,C$4:C240&lt;&gt;""""))),""^Sell_""),INDEX(FILTER(F$4:F239,C$4:C239&lt;&gt;""""),ROWS(FILTER(C$4:C239,C$4:C239&lt;&gt;""""))),$AC$5+E240))"),"")</f>
        <v/>
      </c>
      <c r="G240" s="10" t="str">
        <f>IFERROR(__xludf.DUMMYFUNCTION("IF(COUNTA(C240:C1644)=0,"""",IF(C240="""",0,IF(REGEXMATCH(C240,""^Sell_""),-ROUNDDOWN(ROUNDUP(INDEX(Upgrades!$C$3:$C$13,MATCH(SUBSTITUTE(C240,""Sell_"",""""),Upgrades!$B$3:$B$13,0))*1.15^(COUNTIF(C$4:C239,SUBSTITUTE(C240,""Sell_"",""""))-COUNTIF(C$4:C239,"&amp;"""Sell_""&amp;SUBSTITUTE(C240,""Sell_"",""""))))/2),ROUNDUP(INDEX(Upgrades!$C$3:$C$13,MATCH(C240,Upgrades!$B$3:$B$13,0))*1.15^(COUNTIF(C$4:C239,C240)-COUNTIF(C$4:C239,""Sell_""&amp;C240))))))"),"")</f>
        <v/>
      </c>
      <c r="H240" s="10" t="str">
        <f t="shared" si="3"/>
        <v/>
      </c>
      <c r="I240" s="68" t="str">
        <f t="shared" si="4"/>
        <v/>
      </c>
      <c r="J240" s="59" t="str">
        <f t="shared" si="5"/>
        <v/>
      </c>
      <c r="K240" s="69" t="str">
        <f t="shared" si="6"/>
        <v/>
      </c>
      <c r="L240" s="60">
        <f t="shared" si="7"/>
        <v>-93.62406</v>
      </c>
      <c r="M240" s="61">
        <f>IFERROR(__xludf.DUMMYFUNCTION("IFS(AND(COUNTA(C240:C1644)=0,COUNTA(Q240:Q1644)=0),"""",OR(AND(K240&gt;=1000000000,OR(Y240&gt;=1000000000,COUNTA(Q240:Q1644)=0)),OR(Y240&gt;=1000000000,AND(COUNTA(C240:C1644)=0,P$3=TRUE))),
ROUNDDOWN((AB$1-AC$1)*MAX(INDEX(T$4:T1644,MATCH(LARGE(FILTER(Y$4:Y1644,Y$4"&amp;":Y1644&lt;1000000000),1),Y$4:Y1644)),INDEX(F$4:F1644,MATCH(LARGE(FILTER(K$4:K1644,K$4:K1644&lt;1000000000),1),K$4:K1644)))),AND(K240&lt;1000000000,COUNTA(C240:C1644)&gt;0,P$3=FALSE),
ROUNDDOWN(INDEX(Y$4:Y1644,MATCH(LARGE(FILTER(W$4:W1644,W$4:W1644&lt;=I240),1),W$4:W1644"&amp;"))+(I240-LARGE(FILTER(W$4:W1644,W$4:W1644&lt;=I240),1))*INDEX(T$4:T1644,MATCH(LARGE(FILTER(W$4:W1644,W$4:W1644&lt;=I240),1),W$4:W1644))-K240),1,
ROUNDDOWN(Y240-INDEX(K$4:K1644,MATCH(LARGE(FILTER(I$4:I1644,I$4:I1644&lt;=W240),1),I$4:I1644))-(W240-LARGE(FILTER(I$4:I"&amp;"1644,I$4:I1644&lt;=W240),1))*INDEX(F$4:F1644,MATCH(LARGE(FILTER(I$4:I1644,I$4:I1644&lt;=W240),1),I$4:I1644))))"),1.9738106E7)</f>
        <v>19738106</v>
      </c>
      <c r="N240" s="60">
        <f t="shared" si="8"/>
        <v>-93.62406</v>
      </c>
      <c r="O240" s="61" t="str">
        <f t="shared" si="9"/>
        <v>19,7M</v>
      </c>
      <c r="P240" s="56">
        <f t="shared" si="10"/>
        <v>19</v>
      </c>
      <c r="Q240" s="105" t="s">
        <v>60</v>
      </c>
      <c r="R240" s="10"/>
      <c r="S240" s="59">
        <f t="array" ref="S240">IF(COUNTA(Q240:Q1644)=0,"",SUM((COUNTIF(Q$4:Q240,Upgrades!$B$3:$B$13)-COUNTIF(Q$4:Q240,"Sell_"&amp;Upgrades!$B$3:$B$13))*Upgrades!$D$3:$D$13))</f>
        <v>202840</v>
      </c>
      <c r="T240" s="66">
        <f>IFERROR(__xludf.DUMMYFUNCTION("IF(COUNTA(Q240:Q1644)=0,"""",IF(REGEXMATCH(INDEX(FILTER(Q$4:Q240,Q$4:Q240&lt;&gt;""""),ROWS(FILTER(Q$4:Q240,Q$4:Q240&lt;&gt;""""))),""^Sell_""),INDEX(FILTER(T$4:T239,Q$4:Q239&lt;&gt;""""),ROWS(FILTER(Q$4:Q239,Q$4:Q239&lt;&gt;""""))),$AD$5+S240))"),211916.0)</f>
        <v>211916</v>
      </c>
      <c r="U240" s="10">
        <f>IFERROR(__xludf.DUMMYFUNCTION("IF(COUNTA(Q240:Q1644)=0,"""",IF(Q240="""",0,IF(REGEXMATCH(Q240,""^Sell_""),-ROUNDDOWN(ROUNDUP(INDEX(Upgrades!$C$3:$C$13,MATCH(SUBSTITUTE(Q240,""Sell_"",""""),Upgrades!$B$3:$B$13,0))*1.15^(COUNTIF(Q$4:Q239,SUBSTITUTE(Q240,""Sell_"",""""))-COUNTIF(Q$4:Q239,"&amp;"""Sell_""&amp;SUBSTITUTE(Q240,""Sell_"",""""))))/2),ROUNDUP(INDEX(Upgrades!$C$3:$C$13,MATCH(Q240,Upgrades!$B$3:$B$13,0))*1.15^(COUNTIF(Q$4:Q239,Q240)-COUNTIF(Q$4:Q239,""Sell_""&amp;Q240))))))"),-351788.0)</f>
        <v>-351788</v>
      </c>
      <c r="V240" s="10">
        <f t="shared" si="11"/>
        <v>-9686634</v>
      </c>
      <c r="W240" s="68">
        <f t="shared" si="12"/>
        <v>5680.54337</v>
      </c>
      <c r="X240" s="59" t="str">
        <f t="shared" si="13"/>
        <v>1h 34m 40s</v>
      </c>
      <c r="Y240" s="69">
        <f t="shared" si="14"/>
        <v>251587394</v>
      </c>
      <c r="Z240" s="11"/>
      <c r="AG240" s="59"/>
    </row>
    <row r="241">
      <c r="A241" s="8"/>
      <c r="B241" s="56" t="str">
        <f t="shared" si="2"/>
        <v/>
      </c>
      <c r="C241" s="105"/>
      <c r="D241" s="10"/>
      <c r="E241" s="59" t="str">
        <f t="array" ref="E241">IF(COUNTA(C241:C1644)=0,"",SUM((COUNTIF(C$4:C241,Upgrades!$B$3:$B$13)-COUNTIF(C$4:C241,"Sell_"&amp;Upgrades!$B$3:$B$13))*Upgrades!$D$3:$D$13))</f>
        <v/>
      </c>
      <c r="F241" s="66" t="str">
        <f>IFERROR(__xludf.DUMMYFUNCTION("IF(COUNTA(C241:C1644)=0,"""",IF(REGEXMATCH(INDEX(FILTER(C$4:C241,C$4:C241&lt;&gt;""""),ROWS(FILTER(C$4:C241,C$4:C241&lt;&gt;""""))),""^Sell_""),INDEX(FILTER(F$4:F240,C$4:C240&lt;&gt;""""),ROWS(FILTER(C$4:C240,C$4:C240&lt;&gt;""""))),$AC$5+E241))"),"")</f>
        <v/>
      </c>
      <c r="G241" s="10" t="str">
        <f>IFERROR(__xludf.DUMMYFUNCTION("IF(COUNTA(C241:C1644)=0,"""",IF(C241="""",0,IF(REGEXMATCH(C241,""^Sell_""),-ROUNDDOWN(ROUNDUP(INDEX(Upgrades!$C$3:$C$13,MATCH(SUBSTITUTE(C241,""Sell_"",""""),Upgrades!$B$3:$B$13,0))*1.15^(COUNTIF(C$4:C240,SUBSTITUTE(C241,""Sell_"",""""))-COUNTIF(C$4:C240,"&amp;"""Sell_""&amp;SUBSTITUTE(C241,""Sell_"",""""))))/2),ROUNDUP(INDEX(Upgrades!$C$3:$C$13,MATCH(C241,Upgrades!$B$3:$B$13,0))*1.15^(COUNTIF(C$4:C240,C241)-COUNTIF(C$4:C240,""Sell_""&amp;C241))))))"),"")</f>
        <v/>
      </c>
      <c r="H241" s="10" t="str">
        <f t="shared" si="3"/>
        <v/>
      </c>
      <c r="I241" s="68" t="str">
        <f t="shared" si="4"/>
        <v/>
      </c>
      <c r="J241" s="59" t="str">
        <f t="shared" si="5"/>
        <v/>
      </c>
      <c r="K241" s="69" t="str">
        <f t="shared" si="6"/>
        <v/>
      </c>
      <c r="L241" s="60">
        <f t="shared" si="7"/>
        <v>-93.62406</v>
      </c>
      <c r="M241" s="61">
        <f>IFERROR(__xludf.DUMMYFUNCTION("IFS(AND(COUNTA(C241:C1644)=0,COUNTA(Q241:Q1644)=0),"""",OR(AND(K241&gt;=1000000000,OR(Y241&gt;=1000000000,COUNTA(Q241:Q1644)=0)),OR(Y241&gt;=1000000000,AND(COUNTA(C241:C1644)=0,P$3=TRUE))),
ROUNDDOWN((AB$1-AC$1)*MAX(INDEX(T$4:T1644,MATCH(LARGE(FILTER(Y$4:Y1644,Y$4"&amp;":Y1644&lt;1000000000),1),Y$4:Y1644)),INDEX(F$4:F1644,MATCH(LARGE(FILTER(K$4:K1644,K$4:K1644&lt;1000000000),1),K$4:K1644)))),AND(K241&lt;1000000000,COUNTA(C241:C1644)&gt;0,P$3=FALSE),
ROUNDDOWN(INDEX(Y$4:Y1644,MATCH(LARGE(FILTER(W$4:W1644,W$4:W1644&lt;=I241),1),W$4:W1644"&amp;"))+(I241-LARGE(FILTER(W$4:W1644,W$4:W1644&lt;=I241),1))*INDEX(T$4:T1644,MATCH(LARGE(FILTER(W$4:W1644,W$4:W1644&lt;=I241),1),W$4:W1644))-K241),1,
ROUNDDOWN(Y241-INDEX(K$4:K1644,MATCH(LARGE(FILTER(I$4:I1644,I$4:I1644&lt;=W241),1),I$4:I1644))-(W241-LARGE(FILTER(I$4:I"&amp;"1644,I$4:I1644&lt;=W241),1))*INDEX(F$4:F1644,MATCH(LARGE(FILTER(I$4:I1644,I$4:I1644&lt;=W241),1),I$4:I1644))))"),1.9738106E7)</f>
        <v>19738106</v>
      </c>
      <c r="N241" s="60">
        <f t="shared" si="8"/>
        <v>-93.62406</v>
      </c>
      <c r="O241" s="61" t="str">
        <f t="shared" si="9"/>
        <v>19,7M</v>
      </c>
      <c r="P241" s="56">
        <f t="shared" si="10"/>
        <v>20</v>
      </c>
      <c r="Q241" s="105" t="s">
        <v>60</v>
      </c>
      <c r="R241" s="10"/>
      <c r="S241" s="59">
        <f t="array" ref="S241">IF(COUNTA(Q241:Q1644)=0,"",SUM((COUNTIF(Q$4:Q241,Upgrades!$B$3:$B$13)-COUNTIF(Q$4:Q241,"Sell_"&amp;Upgrades!$B$3:$B$13))*Upgrades!$D$3:$D$13))</f>
        <v>202440</v>
      </c>
      <c r="T241" s="66">
        <f>IFERROR(__xludf.DUMMYFUNCTION("IF(COUNTA(Q241:Q1644)=0,"""",IF(REGEXMATCH(INDEX(FILTER(Q$4:Q241,Q$4:Q241&lt;&gt;""""),ROWS(FILTER(Q$4:Q241,Q$4:Q241&lt;&gt;""""))),""^Sell_""),INDEX(FILTER(T$4:T240,Q$4:Q240&lt;&gt;""""),ROWS(FILTER(Q$4:Q240,Q$4:Q240&lt;&gt;""""))),$AD$5+S241))"),211916.0)</f>
        <v>211916</v>
      </c>
      <c r="U241" s="10">
        <f>IFERROR(__xludf.DUMMYFUNCTION("IF(COUNTA(Q241:Q1644)=0,"""",IF(Q241="""",0,IF(REGEXMATCH(Q241,""^Sell_""),-ROUNDDOWN(ROUNDUP(INDEX(Upgrades!$C$3:$C$13,MATCH(SUBSTITUTE(Q241,""Sell_"",""""),Upgrades!$B$3:$B$13,0))*1.15^(COUNTIF(Q$4:Q240,SUBSTITUTE(Q241,""Sell_"",""""))-COUNTIF(Q$4:Q240,"&amp;"""Sell_""&amp;SUBSTITUTE(Q241,""Sell_"",""""))))/2),ROUNDUP(INDEX(Upgrades!$C$3:$C$13,MATCH(Q241,Upgrades!$B$3:$B$13,0))*1.15^(COUNTIF(Q$4:Q240,Q241)-COUNTIF(Q$4:Q240,""Sell_""&amp;Q241))))))"),-305902.0)</f>
        <v>-305902</v>
      </c>
      <c r="V241" s="10">
        <f t="shared" si="11"/>
        <v>-9992536</v>
      </c>
      <c r="W241" s="68">
        <f t="shared" si="12"/>
        <v>5680.54337</v>
      </c>
      <c r="X241" s="59" t="str">
        <f t="shared" si="13"/>
        <v>1h 34m 40s</v>
      </c>
      <c r="Y241" s="69">
        <f t="shared" si="14"/>
        <v>251587394</v>
      </c>
      <c r="Z241" s="11"/>
      <c r="AG241" s="59"/>
    </row>
    <row r="242">
      <c r="A242" s="8"/>
      <c r="B242" s="56" t="str">
        <f t="shared" si="2"/>
        <v/>
      </c>
      <c r="C242" s="105"/>
      <c r="D242" s="10"/>
      <c r="E242" s="59" t="str">
        <f t="array" ref="E242">IF(COUNTA(C242:C1644)=0,"",SUM((COUNTIF(C$4:C242,Upgrades!$B$3:$B$13)-COUNTIF(C$4:C242,"Sell_"&amp;Upgrades!$B$3:$B$13))*Upgrades!$D$3:$D$13))</f>
        <v/>
      </c>
      <c r="F242" s="66" t="str">
        <f>IFERROR(__xludf.DUMMYFUNCTION("IF(COUNTA(C242:C1644)=0,"""",IF(REGEXMATCH(INDEX(FILTER(C$4:C242,C$4:C242&lt;&gt;""""),ROWS(FILTER(C$4:C242,C$4:C242&lt;&gt;""""))),""^Sell_""),INDEX(FILTER(F$4:F241,C$4:C241&lt;&gt;""""),ROWS(FILTER(C$4:C241,C$4:C241&lt;&gt;""""))),$AC$5+E242))"),"")</f>
        <v/>
      </c>
      <c r="G242" s="10" t="str">
        <f>IFERROR(__xludf.DUMMYFUNCTION("IF(COUNTA(C242:C1644)=0,"""",IF(C242="""",0,IF(REGEXMATCH(C242,""^Sell_""),-ROUNDDOWN(ROUNDUP(INDEX(Upgrades!$C$3:$C$13,MATCH(SUBSTITUTE(C242,""Sell_"",""""),Upgrades!$B$3:$B$13,0))*1.15^(COUNTIF(C$4:C241,SUBSTITUTE(C242,""Sell_"",""""))-COUNTIF(C$4:C241,"&amp;"""Sell_""&amp;SUBSTITUTE(C242,""Sell_"",""""))))/2),ROUNDUP(INDEX(Upgrades!$C$3:$C$13,MATCH(C242,Upgrades!$B$3:$B$13,0))*1.15^(COUNTIF(C$4:C241,C242)-COUNTIF(C$4:C241,""Sell_""&amp;C242))))))"),"")</f>
        <v/>
      </c>
      <c r="H242" s="10" t="str">
        <f t="shared" si="3"/>
        <v/>
      </c>
      <c r="I242" s="68" t="str">
        <f t="shared" si="4"/>
        <v/>
      </c>
      <c r="J242" s="59" t="str">
        <f t="shared" si="5"/>
        <v/>
      </c>
      <c r="K242" s="69" t="str">
        <f t="shared" si="6"/>
        <v/>
      </c>
      <c r="L242" s="60">
        <f t="shared" si="7"/>
        <v>-93.62406</v>
      </c>
      <c r="M242" s="61">
        <f>IFERROR(__xludf.DUMMYFUNCTION("IFS(AND(COUNTA(C242:C1644)=0,COUNTA(Q242:Q1644)=0),"""",OR(AND(K242&gt;=1000000000,OR(Y242&gt;=1000000000,COUNTA(Q242:Q1644)=0)),OR(Y242&gt;=1000000000,AND(COUNTA(C242:C1644)=0,P$3=TRUE))),
ROUNDDOWN((AB$1-AC$1)*MAX(INDEX(T$4:T1644,MATCH(LARGE(FILTER(Y$4:Y1644,Y$4"&amp;":Y1644&lt;1000000000),1),Y$4:Y1644)),INDEX(F$4:F1644,MATCH(LARGE(FILTER(K$4:K1644,K$4:K1644&lt;1000000000),1),K$4:K1644)))),AND(K242&lt;1000000000,COUNTA(C242:C1644)&gt;0,P$3=FALSE),
ROUNDDOWN(INDEX(Y$4:Y1644,MATCH(LARGE(FILTER(W$4:W1644,W$4:W1644&lt;=I242),1),W$4:W1644"&amp;"))+(I242-LARGE(FILTER(W$4:W1644,W$4:W1644&lt;=I242),1))*INDEX(T$4:T1644,MATCH(LARGE(FILTER(W$4:W1644,W$4:W1644&lt;=I242),1),W$4:W1644))-K242),1,
ROUNDDOWN(Y242-INDEX(K$4:K1644,MATCH(LARGE(FILTER(I$4:I1644,I$4:I1644&lt;=W242),1),I$4:I1644))-(W242-LARGE(FILTER(I$4:I"&amp;"1644,I$4:I1644&lt;=W242),1))*INDEX(F$4:F1644,MATCH(LARGE(FILTER(I$4:I1644,I$4:I1644&lt;=W242),1),I$4:I1644))))"),1.9738106E7)</f>
        <v>19738106</v>
      </c>
      <c r="N242" s="60">
        <f t="shared" si="8"/>
        <v>-93.62406</v>
      </c>
      <c r="O242" s="61" t="str">
        <f t="shared" si="9"/>
        <v>19,7M</v>
      </c>
      <c r="P242" s="56">
        <f t="shared" si="10"/>
        <v>21</v>
      </c>
      <c r="Q242" s="105" t="s">
        <v>60</v>
      </c>
      <c r="R242" s="10"/>
      <c r="S242" s="59">
        <f t="array" ref="S242">IF(COUNTA(Q242:Q1644)=0,"",SUM((COUNTIF(Q$4:Q242,Upgrades!$B$3:$B$13)-COUNTIF(Q$4:Q242,"Sell_"&amp;Upgrades!$B$3:$B$13))*Upgrades!$D$3:$D$13))</f>
        <v>202040</v>
      </c>
      <c r="T242" s="66">
        <f>IFERROR(__xludf.DUMMYFUNCTION("IF(COUNTA(Q242:Q1644)=0,"""",IF(REGEXMATCH(INDEX(FILTER(Q$4:Q242,Q$4:Q242&lt;&gt;""""),ROWS(FILTER(Q$4:Q242,Q$4:Q242&lt;&gt;""""))),""^Sell_""),INDEX(FILTER(T$4:T241,Q$4:Q241&lt;&gt;""""),ROWS(FILTER(Q$4:Q241,Q$4:Q241&lt;&gt;""""))),$AD$5+S242))"),211916.0)</f>
        <v>211916</v>
      </c>
      <c r="U242" s="10">
        <f>IFERROR(__xludf.DUMMYFUNCTION("IF(COUNTA(Q242:Q1644)=0,"""",IF(Q242="""",0,IF(REGEXMATCH(Q242,""^Sell_""),-ROUNDDOWN(ROUNDUP(INDEX(Upgrades!$C$3:$C$13,MATCH(SUBSTITUTE(Q242,""Sell_"",""""),Upgrades!$B$3:$B$13,0))*1.15^(COUNTIF(Q$4:Q241,SUBSTITUTE(Q242,""Sell_"",""""))-COUNTIF(Q$4:Q241,"&amp;"""Sell_""&amp;SUBSTITUTE(Q242,""Sell_"",""""))))/2),ROUNDUP(INDEX(Upgrades!$C$3:$C$13,MATCH(Q242,Upgrades!$B$3:$B$13,0))*1.15^(COUNTIF(Q$4:Q241,Q242)-COUNTIF(Q$4:Q241,""Sell_""&amp;Q242))))))"),-266002.0)</f>
        <v>-266002</v>
      </c>
      <c r="V242" s="10">
        <f t="shared" si="11"/>
        <v>-10258538</v>
      </c>
      <c r="W242" s="68">
        <f t="shared" si="12"/>
        <v>5680.54337</v>
      </c>
      <c r="X242" s="59" t="str">
        <f t="shared" si="13"/>
        <v>1h 34m 40s</v>
      </c>
      <c r="Y242" s="69">
        <f t="shared" si="14"/>
        <v>251587394</v>
      </c>
      <c r="Z242" s="11"/>
      <c r="AG242" s="59"/>
    </row>
    <row r="243">
      <c r="A243" s="8"/>
      <c r="B243" s="56" t="str">
        <f t="shared" si="2"/>
        <v/>
      </c>
      <c r="C243" s="105"/>
      <c r="D243" s="10"/>
      <c r="E243" s="59" t="str">
        <f t="array" ref="E243">IF(COUNTA(C243:C1644)=0,"",SUM((COUNTIF(C$4:C243,Upgrades!$B$3:$B$13)-COUNTIF(C$4:C243,"Sell_"&amp;Upgrades!$B$3:$B$13))*Upgrades!$D$3:$D$13))</f>
        <v/>
      </c>
      <c r="F243" s="66" t="str">
        <f>IFERROR(__xludf.DUMMYFUNCTION("IF(COUNTA(C243:C1644)=0,"""",IF(REGEXMATCH(INDEX(FILTER(C$4:C243,C$4:C243&lt;&gt;""""),ROWS(FILTER(C$4:C243,C$4:C243&lt;&gt;""""))),""^Sell_""),INDEX(FILTER(F$4:F242,C$4:C242&lt;&gt;""""),ROWS(FILTER(C$4:C242,C$4:C242&lt;&gt;""""))),$AC$5+E243))"),"")</f>
        <v/>
      </c>
      <c r="G243" s="10" t="str">
        <f>IFERROR(__xludf.DUMMYFUNCTION("IF(COUNTA(C243:C1644)=0,"""",IF(C243="""",0,IF(REGEXMATCH(C243,""^Sell_""),-ROUNDDOWN(ROUNDUP(INDEX(Upgrades!$C$3:$C$13,MATCH(SUBSTITUTE(C243,""Sell_"",""""),Upgrades!$B$3:$B$13,0))*1.15^(COUNTIF(C$4:C242,SUBSTITUTE(C243,""Sell_"",""""))-COUNTIF(C$4:C242,"&amp;"""Sell_""&amp;SUBSTITUTE(C243,""Sell_"",""""))))/2),ROUNDUP(INDEX(Upgrades!$C$3:$C$13,MATCH(C243,Upgrades!$B$3:$B$13,0))*1.15^(COUNTIF(C$4:C242,C243)-COUNTIF(C$4:C242,""Sell_""&amp;C243))))))"),"")</f>
        <v/>
      </c>
      <c r="H243" s="10" t="str">
        <f t="shared" si="3"/>
        <v/>
      </c>
      <c r="I243" s="68" t="str">
        <f t="shared" si="4"/>
        <v/>
      </c>
      <c r="J243" s="59" t="str">
        <f t="shared" si="5"/>
        <v/>
      </c>
      <c r="K243" s="69" t="str">
        <f t="shared" si="6"/>
        <v/>
      </c>
      <c r="L243" s="60">
        <f t="shared" si="7"/>
        <v>-93.62406</v>
      </c>
      <c r="M243" s="61">
        <f>IFERROR(__xludf.DUMMYFUNCTION("IFS(AND(COUNTA(C243:C1644)=0,COUNTA(Q243:Q1644)=0),"""",OR(AND(K243&gt;=1000000000,OR(Y243&gt;=1000000000,COUNTA(Q243:Q1644)=0)),OR(Y243&gt;=1000000000,AND(COUNTA(C243:C1644)=0,P$3=TRUE))),
ROUNDDOWN((AB$1-AC$1)*MAX(INDEX(T$4:T1644,MATCH(LARGE(FILTER(Y$4:Y1644,Y$4"&amp;":Y1644&lt;1000000000),1),Y$4:Y1644)),INDEX(F$4:F1644,MATCH(LARGE(FILTER(K$4:K1644,K$4:K1644&lt;1000000000),1),K$4:K1644)))),AND(K243&lt;1000000000,COUNTA(C243:C1644)&gt;0,P$3=FALSE),
ROUNDDOWN(INDEX(Y$4:Y1644,MATCH(LARGE(FILTER(W$4:W1644,W$4:W1644&lt;=I243),1),W$4:W1644"&amp;"))+(I243-LARGE(FILTER(W$4:W1644,W$4:W1644&lt;=I243),1))*INDEX(T$4:T1644,MATCH(LARGE(FILTER(W$4:W1644,W$4:W1644&lt;=I243),1),W$4:W1644))-K243),1,
ROUNDDOWN(Y243-INDEX(K$4:K1644,MATCH(LARGE(FILTER(I$4:I1644,I$4:I1644&lt;=W243),1),I$4:I1644))-(W243-LARGE(FILTER(I$4:I"&amp;"1644,I$4:I1644&lt;=W243),1))*INDEX(F$4:F1644,MATCH(LARGE(FILTER(I$4:I1644,I$4:I1644&lt;=W243),1),I$4:I1644))))"),1.9738106E7)</f>
        <v>19738106</v>
      </c>
      <c r="N243" s="60">
        <f t="shared" si="8"/>
        <v>-93.62406</v>
      </c>
      <c r="O243" s="61" t="str">
        <f t="shared" si="9"/>
        <v>19,7M</v>
      </c>
      <c r="P243" s="56">
        <f t="shared" si="10"/>
        <v>22</v>
      </c>
      <c r="Q243" s="105" t="s">
        <v>60</v>
      </c>
      <c r="R243" s="10"/>
      <c r="S243" s="59">
        <f t="array" ref="S243">IF(COUNTA(Q243:Q1644)=0,"",SUM((COUNTIF(Q$4:Q243,Upgrades!$B$3:$B$13)-COUNTIF(Q$4:Q243,"Sell_"&amp;Upgrades!$B$3:$B$13))*Upgrades!$D$3:$D$13))</f>
        <v>201640</v>
      </c>
      <c r="T243" s="66">
        <f>IFERROR(__xludf.DUMMYFUNCTION("IF(COUNTA(Q243:Q1644)=0,"""",IF(REGEXMATCH(INDEX(FILTER(Q$4:Q243,Q$4:Q243&lt;&gt;""""),ROWS(FILTER(Q$4:Q243,Q$4:Q243&lt;&gt;""""))),""^Sell_""),INDEX(FILTER(T$4:T242,Q$4:Q242&lt;&gt;""""),ROWS(FILTER(Q$4:Q242,Q$4:Q242&lt;&gt;""""))),$AD$5+S243))"),211916.0)</f>
        <v>211916</v>
      </c>
      <c r="U243" s="10">
        <f>IFERROR(__xludf.DUMMYFUNCTION("IF(COUNTA(Q243:Q1644)=0,"""",IF(Q243="""",0,IF(REGEXMATCH(Q243,""^Sell_""),-ROUNDDOWN(ROUNDUP(INDEX(Upgrades!$C$3:$C$13,MATCH(SUBSTITUTE(Q243,""Sell_"",""""),Upgrades!$B$3:$B$13,0))*1.15^(COUNTIF(Q$4:Q242,SUBSTITUTE(Q243,""Sell_"",""""))-COUNTIF(Q$4:Q242,"&amp;"""Sell_""&amp;SUBSTITUTE(Q243,""Sell_"",""""))))/2),ROUNDUP(INDEX(Upgrades!$C$3:$C$13,MATCH(Q243,Upgrades!$B$3:$B$13,0))*1.15^(COUNTIF(Q$4:Q242,Q243)-COUNTIF(Q$4:Q242,""Sell_""&amp;Q243))))))"),-231306.0)</f>
        <v>-231306</v>
      </c>
      <c r="V243" s="10">
        <f t="shared" si="11"/>
        <v>-10489844</v>
      </c>
      <c r="W243" s="68">
        <f t="shared" si="12"/>
        <v>5680.54337</v>
      </c>
      <c r="X243" s="59" t="str">
        <f t="shared" si="13"/>
        <v>1h 34m 40s</v>
      </c>
      <c r="Y243" s="69">
        <f t="shared" si="14"/>
        <v>251587394</v>
      </c>
      <c r="Z243" s="11"/>
      <c r="AG243" s="59"/>
    </row>
    <row r="244">
      <c r="A244" s="8"/>
      <c r="B244" s="56" t="str">
        <f t="shared" si="2"/>
        <v/>
      </c>
      <c r="C244" s="105"/>
      <c r="D244" s="10"/>
      <c r="E244" s="59" t="str">
        <f t="array" ref="E244">IF(COUNTA(C244:C1644)=0,"",SUM((COUNTIF(C$4:C244,Upgrades!$B$3:$B$13)-COUNTIF(C$4:C244,"Sell_"&amp;Upgrades!$B$3:$B$13))*Upgrades!$D$3:$D$13))</f>
        <v/>
      </c>
      <c r="F244" s="66" t="str">
        <f>IFERROR(__xludf.DUMMYFUNCTION("IF(COUNTA(C244:C1644)=0,"""",IF(REGEXMATCH(INDEX(FILTER(C$4:C244,C$4:C244&lt;&gt;""""),ROWS(FILTER(C$4:C244,C$4:C244&lt;&gt;""""))),""^Sell_""),INDEX(FILTER(F$4:F243,C$4:C243&lt;&gt;""""),ROWS(FILTER(C$4:C243,C$4:C243&lt;&gt;""""))),$AC$5+E244))"),"")</f>
        <v/>
      </c>
      <c r="G244" s="10" t="str">
        <f>IFERROR(__xludf.DUMMYFUNCTION("IF(COUNTA(C244:C1644)=0,"""",IF(C244="""",0,IF(REGEXMATCH(C244,""^Sell_""),-ROUNDDOWN(ROUNDUP(INDEX(Upgrades!$C$3:$C$13,MATCH(SUBSTITUTE(C244,""Sell_"",""""),Upgrades!$B$3:$B$13,0))*1.15^(COUNTIF(C$4:C243,SUBSTITUTE(C244,""Sell_"",""""))-COUNTIF(C$4:C243,"&amp;"""Sell_""&amp;SUBSTITUTE(C244,""Sell_"",""""))))/2),ROUNDUP(INDEX(Upgrades!$C$3:$C$13,MATCH(C244,Upgrades!$B$3:$B$13,0))*1.15^(COUNTIF(C$4:C243,C244)-COUNTIF(C$4:C243,""Sell_""&amp;C244))))))"),"")</f>
        <v/>
      </c>
      <c r="H244" s="10" t="str">
        <f t="shared" si="3"/>
        <v/>
      </c>
      <c r="I244" s="68" t="str">
        <f t="shared" si="4"/>
        <v/>
      </c>
      <c r="J244" s="59" t="str">
        <f t="shared" si="5"/>
        <v/>
      </c>
      <c r="K244" s="69" t="str">
        <f t="shared" si="6"/>
        <v/>
      </c>
      <c r="L244" s="60">
        <f t="shared" si="7"/>
        <v>-93.62406</v>
      </c>
      <c r="M244" s="61">
        <f>IFERROR(__xludf.DUMMYFUNCTION("IFS(AND(COUNTA(C244:C1644)=0,COUNTA(Q244:Q1644)=0),"""",OR(AND(K244&gt;=1000000000,OR(Y244&gt;=1000000000,COUNTA(Q244:Q1644)=0)),OR(Y244&gt;=1000000000,AND(COUNTA(C244:C1644)=0,P$3=TRUE))),
ROUNDDOWN((AB$1-AC$1)*MAX(INDEX(T$4:T1644,MATCH(LARGE(FILTER(Y$4:Y1644,Y$4"&amp;":Y1644&lt;1000000000),1),Y$4:Y1644)),INDEX(F$4:F1644,MATCH(LARGE(FILTER(K$4:K1644,K$4:K1644&lt;1000000000),1),K$4:K1644)))),AND(K244&lt;1000000000,COUNTA(C244:C1644)&gt;0,P$3=FALSE),
ROUNDDOWN(INDEX(Y$4:Y1644,MATCH(LARGE(FILTER(W$4:W1644,W$4:W1644&lt;=I244),1),W$4:W1644"&amp;"))+(I244-LARGE(FILTER(W$4:W1644,W$4:W1644&lt;=I244),1))*INDEX(T$4:T1644,MATCH(LARGE(FILTER(W$4:W1644,W$4:W1644&lt;=I244),1),W$4:W1644))-K244),1,
ROUNDDOWN(Y244-INDEX(K$4:K1644,MATCH(LARGE(FILTER(I$4:I1644,I$4:I1644&lt;=W244),1),I$4:I1644))-(W244-LARGE(FILTER(I$4:I"&amp;"1644,I$4:I1644&lt;=W244),1))*INDEX(F$4:F1644,MATCH(LARGE(FILTER(I$4:I1644,I$4:I1644&lt;=W244),1),I$4:I1644))))"),1.9738106E7)</f>
        <v>19738106</v>
      </c>
      <c r="N244" s="60">
        <f t="shared" si="8"/>
        <v>-93.62406</v>
      </c>
      <c r="O244" s="61" t="str">
        <f t="shared" si="9"/>
        <v>19,7M</v>
      </c>
      <c r="P244" s="56">
        <f t="shared" si="10"/>
        <v>23</v>
      </c>
      <c r="Q244" s="105" t="s">
        <v>60</v>
      </c>
      <c r="R244" s="10"/>
      <c r="S244" s="59">
        <f t="array" ref="S244">IF(COUNTA(Q244:Q1644)=0,"",SUM((COUNTIF(Q$4:Q244,Upgrades!$B$3:$B$13)-COUNTIF(Q$4:Q244,"Sell_"&amp;Upgrades!$B$3:$B$13))*Upgrades!$D$3:$D$13))</f>
        <v>201240</v>
      </c>
      <c r="T244" s="66">
        <f>IFERROR(__xludf.DUMMYFUNCTION("IF(COUNTA(Q244:Q1644)=0,"""",IF(REGEXMATCH(INDEX(FILTER(Q$4:Q244,Q$4:Q244&lt;&gt;""""),ROWS(FILTER(Q$4:Q244,Q$4:Q244&lt;&gt;""""))),""^Sell_""),INDEX(FILTER(T$4:T243,Q$4:Q243&lt;&gt;""""),ROWS(FILTER(Q$4:Q243,Q$4:Q243&lt;&gt;""""))),$AD$5+S244))"),211916.0)</f>
        <v>211916</v>
      </c>
      <c r="U244" s="10">
        <f>IFERROR(__xludf.DUMMYFUNCTION("IF(COUNTA(Q244:Q1644)=0,"""",IF(Q244="""",0,IF(REGEXMATCH(Q244,""^Sell_""),-ROUNDDOWN(ROUNDUP(INDEX(Upgrades!$C$3:$C$13,MATCH(SUBSTITUTE(Q244,""Sell_"",""""),Upgrades!$B$3:$B$13,0))*1.15^(COUNTIF(Q$4:Q243,SUBSTITUTE(Q244,""Sell_"",""""))-COUNTIF(Q$4:Q243,"&amp;"""Sell_""&amp;SUBSTITUTE(Q244,""Sell_"",""""))))/2),ROUNDUP(INDEX(Upgrades!$C$3:$C$13,MATCH(Q244,Upgrades!$B$3:$B$13,0))*1.15^(COUNTIF(Q$4:Q243,Q244)-COUNTIF(Q$4:Q243,""Sell_""&amp;Q244))))))"),-201136.0)</f>
        <v>-201136</v>
      </c>
      <c r="V244" s="10">
        <f t="shared" si="11"/>
        <v>-10690980</v>
      </c>
      <c r="W244" s="68">
        <f t="shared" si="12"/>
        <v>5680.54337</v>
      </c>
      <c r="X244" s="59" t="str">
        <f t="shared" si="13"/>
        <v>1h 34m 40s</v>
      </c>
      <c r="Y244" s="69">
        <f t="shared" si="14"/>
        <v>251587394</v>
      </c>
      <c r="Z244" s="11"/>
      <c r="AG244" s="59"/>
    </row>
    <row r="245">
      <c r="A245" s="8"/>
      <c r="B245" s="56" t="str">
        <f t="shared" si="2"/>
        <v/>
      </c>
      <c r="C245" s="105"/>
      <c r="D245" s="10"/>
      <c r="E245" s="59" t="str">
        <f t="array" ref="E245">IF(COUNTA(C245:C1644)=0,"",SUM((COUNTIF(C$4:C245,Upgrades!$B$3:$B$13)-COUNTIF(C$4:C245,"Sell_"&amp;Upgrades!$B$3:$B$13))*Upgrades!$D$3:$D$13))</f>
        <v/>
      </c>
      <c r="F245" s="66" t="str">
        <f>IFERROR(__xludf.DUMMYFUNCTION("IF(COUNTA(C245:C1644)=0,"""",IF(REGEXMATCH(INDEX(FILTER(C$4:C245,C$4:C245&lt;&gt;""""),ROWS(FILTER(C$4:C245,C$4:C245&lt;&gt;""""))),""^Sell_""),INDEX(FILTER(F$4:F244,C$4:C244&lt;&gt;""""),ROWS(FILTER(C$4:C244,C$4:C244&lt;&gt;""""))),$AC$5+E245))"),"")</f>
        <v/>
      </c>
      <c r="G245" s="10" t="str">
        <f>IFERROR(__xludf.DUMMYFUNCTION("IF(COUNTA(C245:C1644)=0,"""",IF(C245="""",0,IF(REGEXMATCH(C245,""^Sell_""),-ROUNDDOWN(ROUNDUP(INDEX(Upgrades!$C$3:$C$13,MATCH(SUBSTITUTE(C245,""Sell_"",""""),Upgrades!$B$3:$B$13,0))*1.15^(COUNTIF(C$4:C244,SUBSTITUTE(C245,""Sell_"",""""))-COUNTIF(C$4:C244,"&amp;"""Sell_""&amp;SUBSTITUTE(C245,""Sell_"",""""))))/2),ROUNDUP(INDEX(Upgrades!$C$3:$C$13,MATCH(C245,Upgrades!$B$3:$B$13,0))*1.15^(COUNTIF(C$4:C244,C245)-COUNTIF(C$4:C244,""Sell_""&amp;C245))))))"),"")</f>
        <v/>
      </c>
      <c r="H245" s="10" t="str">
        <f t="shared" si="3"/>
        <v/>
      </c>
      <c r="I245" s="68" t="str">
        <f t="shared" si="4"/>
        <v/>
      </c>
      <c r="J245" s="59" t="str">
        <f t="shared" si="5"/>
        <v/>
      </c>
      <c r="K245" s="69" t="str">
        <f t="shared" si="6"/>
        <v/>
      </c>
      <c r="L245" s="60">
        <f t="shared" si="7"/>
        <v>-93.62406</v>
      </c>
      <c r="M245" s="61">
        <f>IFERROR(__xludf.DUMMYFUNCTION("IFS(AND(COUNTA(C245:C1644)=0,COUNTA(Q245:Q1644)=0),"""",OR(AND(K245&gt;=1000000000,OR(Y245&gt;=1000000000,COUNTA(Q245:Q1644)=0)),OR(Y245&gt;=1000000000,AND(COUNTA(C245:C1644)=0,P$3=TRUE))),
ROUNDDOWN((AB$1-AC$1)*MAX(INDEX(T$4:T1644,MATCH(LARGE(FILTER(Y$4:Y1644,Y$4"&amp;":Y1644&lt;1000000000),1),Y$4:Y1644)),INDEX(F$4:F1644,MATCH(LARGE(FILTER(K$4:K1644,K$4:K1644&lt;1000000000),1),K$4:K1644)))),AND(K245&lt;1000000000,COUNTA(C245:C1644)&gt;0,P$3=FALSE),
ROUNDDOWN(INDEX(Y$4:Y1644,MATCH(LARGE(FILTER(W$4:W1644,W$4:W1644&lt;=I245),1),W$4:W1644"&amp;"))+(I245-LARGE(FILTER(W$4:W1644,W$4:W1644&lt;=I245),1))*INDEX(T$4:T1644,MATCH(LARGE(FILTER(W$4:W1644,W$4:W1644&lt;=I245),1),W$4:W1644))-K245),1,
ROUNDDOWN(Y245-INDEX(K$4:K1644,MATCH(LARGE(FILTER(I$4:I1644,I$4:I1644&lt;=W245),1),I$4:I1644))-(W245-LARGE(FILTER(I$4:I"&amp;"1644,I$4:I1644&lt;=W245),1))*INDEX(F$4:F1644,MATCH(LARGE(FILTER(I$4:I1644,I$4:I1644&lt;=W245),1),I$4:I1644))))"),1.9738106E7)</f>
        <v>19738106</v>
      </c>
      <c r="N245" s="60">
        <f t="shared" si="8"/>
        <v>-93.62406</v>
      </c>
      <c r="O245" s="61" t="str">
        <f t="shared" si="9"/>
        <v>19,7M</v>
      </c>
      <c r="P245" s="56">
        <f t="shared" si="10"/>
        <v>24</v>
      </c>
      <c r="Q245" s="105" t="s">
        <v>60</v>
      </c>
      <c r="R245" s="10"/>
      <c r="S245" s="59">
        <f t="array" ref="S245">IF(COUNTA(Q245:Q1644)=0,"",SUM((COUNTIF(Q$4:Q245,Upgrades!$B$3:$B$13)-COUNTIF(Q$4:Q245,"Sell_"&amp;Upgrades!$B$3:$B$13))*Upgrades!$D$3:$D$13))</f>
        <v>200840</v>
      </c>
      <c r="T245" s="66">
        <f>IFERROR(__xludf.DUMMYFUNCTION("IF(COUNTA(Q245:Q1644)=0,"""",IF(REGEXMATCH(INDEX(FILTER(Q$4:Q245,Q$4:Q245&lt;&gt;""""),ROWS(FILTER(Q$4:Q245,Q$4:Q245&lt;&gt;""""))),""^Sell_""),INDEX(FILTER(T$4:T244,Q$4:Q244&lt;&gt;""""),ROWS(FILTER(Q$4:Q244,Q$4:Q244&lt;&gt;""""))),$AD$5+S245))"),211916.0)</f>
        <v>211916</v>
      </c>
      <c r="U245" s="10">
        <f>IFERROR(__xludf.DUMMYFUNCTION("IF(COUNTA(Q245:Q1644)=0,"""",IF(Q245="""",0,IF(REGEXMATCH(Q245,""^Sell_""),-ROUNDDOWN(ROUNDUP(INDEX(Upgrades!$C$3:$C$13,MATCH(SUBSTITUTE(Q245,""Sell_"",""""),Upgrades!$B$3:$B$13,0))*1.15^(COUNTIF(Q$4:Q244,SUBSTITUTE(Q245,""Sell_"",""""))-COUNTIF(Q$4:Q244,"&amp;"""Sell_""&amp;SUBSTITUTE(Q245,""Sell_"",""""))))/2),ROUNDUP(INDEX(Upgrades!$C$3:$C$13,MATCH(Q245,Upgrades!$B$3:$B$13,0))*1.15^(COUNTIF(Q$4:Q244,Q245)-COUNTIF(Q$4:Q244,""Sell_""&amp;Q245))))))"),-174901.0)</f>
        <v>-174901</v>
      </c>
      <c r="V245" s="10">
        <f t="shared" si="11"/>
        <v>-10865881</v>
      </c>
      <c r="W245" s="68">
        <f t="shared" si="12"/>
        <v>5680.54337</v>
      </c>
      <c r="X245" s="59" t="str">
        <f t="shared" si="13"/>
        <v>1h 34m 40s</v>
      </c>
      <c r="Y245" s="69">
        <f t="shared" si="14"/>
        <v>251587394</v>
      </c>
      <c r="Z245" s="11"/>
      <c r="AG245" s="59"/>
    </row>
    <row r="246">
      <c r="A246" s="8"/>
      <c r="B246" s="56" t="str">
        <f t="shared" si="2"/>
        <v/>
      </c>
      <c r="C246" s="105"/>
      <c r="D246" s="10"/>
      <c r="E246" s="59" t="str">
        <f t="array" ref="E246">IF(COUNTA(C246:C1644)=0,"",SUM((COUNTIF(C$4:C246,Upgrades!$B$3:$B$13)-COUNTIF(C$4:C246,"Sell_"&amp;Upgrades!$B$3:$B$13))*Upgrades!$D$3:$D$13))</f>
        <v/>
      </c>
      <c r="F246" s="66" t="str">
        <f>IFERROR(__xludf.DUMMYFUNCTION("IF(COUNTA(C246:C1644)=0,"""",IF(REGEXMATCH(INDEX(FILTER(C$4:C246,C$4:C246&lt;&gt;""""),ROWS(FILTER(C$4:C246,C$4:C246&lt;&gt;""""))),""^Sell_""),INDEX(FILTER(F$4:F245,C$4:C245&lt;&gt;""""),ROWS(FILTER(C$4:C245,C$4:C245&lt;&gt;""""))),$AC$5+E246))"),"")</f>
        <v/>
      </c>
      <c r="G246" s="10" t="str">
        <f>IFERROR(__xludf.DUMMYFUNCTION("IF(COUNTA(C246:C1644)=0,"""",IF(C246="""",0,IF(REGEXMATCH(C246,""^Sell_""),-ROUNDDOWN(ROUNDUP(INDEX(Upgrades!$C$3:$C$13,MATCH(SUBSTITUTE(C246,""Sell_"",""""),Upgrades!$B$3:$B$13,0))*1.15^(COUNTIF(C$4:C245,SUBSTITUTE(C246,""Sell_"",""""))-COUNTIF(C$4:C245,"&amp;"""Sell_""&amp;SUBSTITUTE(C246,""Sell_"",""""))))/2),ROUNDUP(INDEX(Upgrades!$C$3:$C$13,MATCH(C246,Upgrades!$B$3:$B$13,0))*1.15^(COUNTIF(C$4:C245,C246)-COUNTIF(C$4:C245,""Sell_""&amp;C246))))))"),"")</f>
        <v/>
      </c>
      <c r="H246" s="10" t="str">
        <f t="shared" si="3"/>
        <v/>
      </c>
      <c r="I246" s="68" t="str">
        <f t="shared" si="4"/>
        <v/>
      </c>
      <c r="J246" s="59" t="str">
        <f t="shared" si="5"/>
        <v/>
      </c>
      <c r="K246" s="69" t="str">
        <f t="shared" si="6"/>
        <v/>
      </c>
      <c r="L246" s="60">
        <f t="shared" si="7"/>
        <v>-93.62406</v>
      </c>
      <c r="M246" s="61">
        <f>IFERROR(__xludf.DUMMYFUNCTION("IFS(AND(COUNTA(C246:C1644)=0,COUNTA(Q246:Q1644)=0),"""",OR(AND(K246&gt;=1000000000,OR(Y246&gt;=1000000000,COUNTA(Q246:Q1644)=0)),OR(Y246&gt;=1000000000,AND(COUNTA(C246:C1644)=0,P$3=TRUE))),
ROUNDDOWN((AB$1-AC$1)*MAX(INDEX(T$4:T1644,MATCH(LARGE(FILTER(Y$4:Y1644,Y$4"&amp;":Y1644&lt;1000000000),1),Y$4:Y1644)),INDEX(F$4:F1644,MATCH(LARGE(FILTER(K$4:K1644,K$4:K1644&lt;1000000000),1),K$4:K1644)))),AND(K246&lt;1000000000,COUNTA(C246:C1644)&gt;0,P$3=FALSE),
ROUNDDOWN(INDEX(Y$4:Y1644,MATCH(LARGE(FILTER(W$4:W1644,W$4:W1644&lt;=I246),1),W$4:W1644"&amp;"))+(I246-LARGE(FILTER(W$4:W1644,W$4:W1644&lt;=I246),1))*INDEX(T$4:T1644,MATCH(LARGE(FILTER(W$4:W1644,W$4:W1644&lt;=I246),1),W$4:W1644))-K246),1,
ROUNDDOWN(Y246-INDEX(K$4:K1644,MATCH(LARGE(FILTER(I$4:I1644,I$4:I1644&lt;=W246),1),I$4:I1644))-(W246-LARGE(FILTER(I$4:I"&amp;"1644,I$4:I1644&lt;=W246),1))*INDEX(F$4:F1644,MATCH(LARGE(FILTER(I$4:I1644,I$4:I1644&lt;=W246),1),I$4:I1644))))"),1.9738106E7)</f>
        <v>19738106</v>
      </c>
      <c r="N246" s="60">
        <f t="shared" si="8"/>
        <v>-93.62406</v>
      </c>
      <c r="O246" s="61" t="str">
        <f t="shared" si="9"/>
        <v>19,7M</v>
      </c>
      <c r="P246" s="56">
        <f t="shared" si="10"/>
        <v>25</v>
      </c>
      <c r="Q246" s="105" t="s">
        <v>60</v>
      </c>
      <c r="R246" s="10"/>
      <c r="S246" s="59">
        <f t="array" ref="S246">IF(COUNTA(Q246:Q1644)=0,"",SUM((COUNTIF(Q$4:Q246,Upgrades!$B$3:$B$13)-COUNTIF(Q$4:Q246,"Sell_"&amp;Upgrades!$B$3:$B$13))*Upgrades!$D$3:$D$13))</f>
        <v>200440</v>
      </c>
      <c r="T246" s="66">
        <f>IFERROR(__xludf.DUMMYFUNCTION("IF(COUNTA(Q246:Q1644)=0,"""",IF(REGEXMATCH(INDEX(FILTER(Q$4:Q246,Q$4:Q246&lt;&gt;""""),ROWS(FILTER(Q$4:Q246,Q$4:Q246&lt;&gt;""""))),""^Sell_""),INDEX(FILTER(T$4:T245,Q$4:Q245&lt;&gt;""""),ROWS(FILTER(Q$4:Q245,Q$4:Q245&lt;&gt;""""))),$AD$5+S246))"),211916.0)</f>
        <v>211916</v>
      </c>
      <c r="U246" s="10">
        <f>IFERROR(__xludf.DUMMYFUNCTION("IF(COUNTA(Q246:Q1644)=0,"""",IF(Q246="""",0,IF(REGEXMATCH(Q246,""^Sell_""),-ROUNDDOWN(ROUNDUP(INDEX(Upgrades!$C$3:$C$13,MATCH(SUBSTITUTE(Q246,""Sell_"",""""),Upgrades!$B$3:$B$13,0))*1.15^(COUNTIF(Q$4:Q245,SUBSTITUTE(Q246,""Sell_"",""""))-COUNTIF(Q$4:Q245,"&amp;"""Sell_""&amp;SUBSTITUTE(Q246,""Sell_"",""""))))/2),ROUNDUP(INDEX(Upgrades!$C$3:$C$13,MATCH(Q246,Upgrades!$B$3:$B$13,0))*1.15^(COUNTIF(Q$4:Q245,Q246)-COUNTIF(Q$4:Q245,""Sell_""&amp;Q246))))))"),-152087.0)</f>
        <v>-152087</v>
      </c>
      <c r="V246" s="10">
        <f t="shared" si="11"/>
        <v>-11017968</v>
      </c>
      <c r="W246" s="68">
        <f t="shared" si="12"/>
        <v>5680.54337</v>
      </c>
      <c r="X246" s="59" t="str">
        <f t="shared" si="13"/>
        <v>1h 34m 40s</v>
      </c>
      <c r="Y246" s="69">
        <f t="shared" si="14"/>
        <v>251587394</v>
      </c>
      <c r="Z246" s="11"/>
      <c r="AG246" s="59"/>
    </row>
    <row r="247">
      <c r="A247" s="8"/>
      <c r="B247" s="56" t="str">
        <f t="shared" si="2"/>
        <v/>
      </c>
      <c r="C247" s="105"/>
      <c r="D247" s="10"/>
      <c r="E247" s="59" t="str">
        <f t="array" ref="E247">IF(COUNTA(C247:C1644)=0,"",SUM((COUNTIF(C$4:C247,Upgrades!$B$3:$B$13)-COUNTIF(C$4:C247,"Sell_"&amp;Upgrades!$B$3:$B$13))*Upgrades!$D$3:$D$13))</f>
        <v/>
      </c>
      <c r="F247" s="66" t="str">
        <f>IFERROR(__xludf.DUMMYFUNCTION("IF(COUNTA(C247:C1644)=0,"""",IF(REGEXMATCH(INDEX(FILTER(C$4:C247,C$4:C247&lt;&gt;""""),ROWS(FILTER(C$4:C247,C$4:C247&lt;&gt;""""))),""^Sell_""),INDEX(FILTER(F$4:F246,C$4:C246&lt;&gt;""""),ROWS(FILTER(C$4:C246,C$4:C246&lt;&gt;""""))),$AC$5+E247))"),"")</f>
        <v/>
      </c>
      <c r="G247" s="10" t="str">
        <f>IFERROR(__xludf.DUMMYFUNCTION("IF(COUNTA(C247:C1644)=0,"""",IF(C247="""",0,IF(REGEXMATCH(C247,""^Sell_""),-ROUNDDOWN(ROUNDUP(INDEX(Upgrades!$C$3:$C$13,MATCH(SUBSTITUTE(C247,""Sell_"",""""),Upgrades!$B$3:$B$13,0))*1.15^(COUNTIF(C$4:C246,SUBSTITUTE(C247,""Sell_"",""""))-COUNTIF(C$4:C246,"&amp;"""Sell_""&amp;SUBSTITUTE(C247,""Sell_"",""""))))/2),ROUNDUP(INDEX(Upgrades!$C$3:$C$13,MATCH(C247,Upgrades!$B$3:$B$13,0))*1.15^(COUNTIF(C$4:C246,C247)-COUNTIF(C$4:C246,""Sell_""&amp;C247))))))"),"")</f>
        <v/>
      </c>
      <c r="H247" s="10" t="str">
        <f t="shared" si="3"/>
        <v/>
      </c>
      <c r="I247" s="68" t="str">
        <f t="shared" si="4"/>
        <v/>
      </c>
      <c r="J247" s="59" t="str">
        <f t="shared" si="5"/>
        <v/>
      </c>
      <c r="K247" s="69" t="str">
        <f t="shared" si="6"/>
        <v/>
      </c>
      <c r="L247" s="60">
        <f t="shared" si="7"/>
        <v>-93.62406</v>
      </c>
      <c r="M247" s="61">
        <f>IFERROR(__xludf.DUMMYFUNCTION("IFS(AND(COUNTA(C247:C1644)=0,COUNTA(Q247:Q1644)=0),"""",OR(AND(K247&gt;=1000000000,OR(Y247&gt;=1000000000,COUNTA(Q247:Q1644)=0)),OR(Y247&gt;=1000000000,AND(COUNTA(C247:C1644)=0,P$3=TRUE))),
ROUNDDOWN((AB$1-AC$1)*MAX(INDEX(T$4:T1644,MATCH(LARGE(FILTER(Y$4:Y1644,Y$4"&amp;":Y1644&lt;1000000000),1),Y$4:Y1644)),INDEX(F$4:F1644,MATCH(LARGE(FILTER(K$4:K1644,K$4:K1644&lt;1000000000),1),K$4:K1644)))),AND(K247&lt;1000000000,COUNTA(C247:C1644)&gt;0,P$3=FALSE),
ROUNDDOWN(INDEX(Y$4:Y1644,MATCH(LARGE(FILTER(W$4:W1644,W$4:W1644&lt;=I247),1),W$4:W1644"&amp;"))+(I247-LARGE(FILTER(W$4:W1644,W$4:W1644&lt;=I247),1))*INDEX(T$4:T1644,MATCH(LARGE(FILTER(W$4:W1644,W$4:W1644&lt;=I247),1),W$4:W1644))-K247),1,
ROUNDDOWN(Y247-INDEX(K$4:K1644,MATCH(LARGE(FILTER(I$4:I1644,I$4:I1644&lt;=W247),1),I$4:I1644))-(W247-LARGE(FILTER(I$4:I"&amp;"1644,I$4:I1644&lt;=W247),1))*INDEX(F$4:F1644,MATCH(LARGE(FILTER(I$4:I1644,I$4:I1644&lt;=W247),1),I$4:I1644))))"),1.9738106E7)</f>
        <v>19738106</v>
      </c>
      <c r="N247" s="60">
        <f t="shared" si="8"/>
        <v>-93.62406</v>
      </c>
      <c r="O247" s="61" t="str">
        <f t="shared" si="9"/>
        <v>19,7M</v>
      </c>
      <c r="P247" s="56">
        <f t="shared" si="10"/>
        <v>26</v>
      </c>
      <c r="Q247" s="105" t="s">
        <v>60</v>
      </c>
      <c r="R247" s="10"/>
      <c r="S247" s="59">
        <f t="array" ref="S247">IF(COUNTA(Q247:Q1644)=0,"",SUM((COUNTIF(Q$4:Q247,Upgrades!$B$3:$B$13)-COUNTIF(Q$4:Q247,"Sell_"&amp;Upgrades!$B$3:$B$13))*Upgrades!$D$3:$D$13))</f>
        <v>200040</v>
      </c>
      <c r="T247" s="66">
        <f>IFERROR(__xludf.DUMMYFUNCTION("IF(COUNTA(Q247:Q1644)=0,"""",IF(REGEXMATCH(INDEX(FILTER(Q$4:Q247,Q$4:Q247&lt;&gt;""""),ROWS(FILTER(Q$4:Q247,Q$4:Q247&lt;&gt;""""))),""^Sell_""),INDEX(FILTER(T$4:T246,Q$4:Q246&lt;&gt;""""),ROWS(FILTER(Q$4:Q246,Q$4:Q246&lt;&gt;""""))),$AD$5+S247))"),211916.0)</f>
        <v>211916</v>
      </c>
      <c r="U247" s="10">
        <f>IFERROR(__xludf.DUMMYFUNCTION("IF(COUNTA(Q247:Q1644)=0,"""",IF(Q247="""",0,IF(REGEXMATCH(Q247,""^Sell_""),-ROUNDDOWN(ROUNDUP(INDEX(Upgrades!$C$3:$C$13,MATCH(SUBSTITUTE(Q247,""Sell_"",""""),Upgrades!$B$3:$B$13,0))*1.15^(COUNTIF(Q$4:Q246,SUBSTITUTE(Q247,""Sell_"",""""))-COUNTIF(Q$4:Q246,"&amp;"""Sell_""&amp;SUBSTITUTE(Q247,""Sell_"",""""))))/2),ROUNDUP(INDEX(Upgrades!$C$3:$C$13,MATCH(Q247,Upgrades!$B$3:$B$13,0))*1.15^(COUNTIF(Q$4:Q246,Q247)-COUNTIF(Q$4:Q246,""Sell_""&amp;Q247))))))"),-132250.0)</f>
        <v>-132250</v>
      </c>
      <c r="V247" s="10">
        <f t="shared" si="11"/>
        <v>-11150218</v>
      </c>
      <c r="W247" s="68">
        <f t="shared" si="12"/>
        <v>5680.54337</v>
      </c>
      <c r="X247" s="59" t="str">
        <f t="shared" si="13"/>
        <v>1h 34m 40s</v>
      </c>
      <c r="Y247" s="69">
        <f t="shared" si="14"/>
        <v>251587394</v>
      </c>
      <c r="Z247" s="11"/>
      <c r="AG247" s="59"/>
    </row>
    <row r="248">
      <c r="A248" s="8"/>
      <c r="B248" s="56" t="str">
        <f t="shared" si="2"/>
        <v/>
      </c>
      <c r="C248" s="105"/>
      <c r="D248" s="10"/>
      <c r="E248" s="59" t="str">
        <f t="array" ref="E248">IF(COUNTA(C248:C1644)=0,"",SUM((COUNTIF(C$4:C248,Upgrades!$B$3:$B$13)-COUNTIF(C$4:C248,"Sell_"&amp;Upgrades!$B$3:$B$13))*Upgrades!$D$3:$D$13))</f>
        <v/>
      </c>
      <c r="F248" s="66" t="str">
        <f>IFERROR(__xludf.DUMMYFUNCTION("IF(COUNTA(C248:C1644)=0,"""",IF(REGEXMATCH(INDEX(FILTER(C$4:C248,C$4:C248&lt;&gt;""""),ROWS(FILTER(C$4:C248,C$4:C248&lt;&gt;""""))),""^Sell_""),INDEX(FILTER(F$4:F247,C$4:C247&lt;&gt;""""),ROWS(FILTER(C$4:C247,C$4:C247&lt;&gt;""""))),$AC$5+E248))"),"")</f>
        <v/>
      </c>
      <c r="G248" s="10" t="str">
        <f>IFERROR(__xludf.DUMMYFUNCTION("IF(COUNTA(C248:C1644)=0,"""",IF(C248="""",0,IF(REGEXMATCH(C248,""^Sell_""),-ROUNDDOWN(ROUNDUP(INDEX(Upgrades!$C$3:$C$13,MATCH(SUBSTITUTE(C248,""Sell_"",""""),Upgrades!$B$3:$B$13,0))*1.15^(COUNTIF(C$4:C247,SUBSTITUTE(C248,""Sell_"",""""))-COUNTIF(C$4:C247,"&amp;"""Sell_""&amp;SUBSTITUTE(C248,""Sell_"",""""))))/2),ROUNDUP(INDEX(Upgrades!$C$3:$C$13,MATCH(C248,Upgrades!$B$3:$B$13,0))*1.15^(COUNTIF(C$4:C247,C248)-COUNTIF(C$4:C247,""Sell_""&amp;C248))))))"),"")</f>
        <v/>
      </c>
      <c r="H248" s="10" t="str">
        <f t="shared" si="3"/>
        <v/>
      </c>
      <c r="I248" s="68" t="str">
        <f t="shared" si="4"/>
        <v/>
      </c>
      <c r="J248" s="59" t="str">
        <f t="shared" si="5"/>
        <v/>
      </c>
      <c r="K248" s="69" t="str">
        <f t="shared" si="6"/>
        <v/>
      </c>
      <c r="L248" s="60">
        <f t="shared" si="7"/>
        <v>-93.62406</v>
      </c>
      <c r="M248" s="61">
        <f>IFERROR(__xludf.DUMMYFUNCTION("IFS(AND(COUNTA(C248:C1644)=0,COUNTA(Q248:Q1644)=0),"""",OR(AND(K248&gt;=1000000000,OR(Y248&gt;=1000000000,COUNTA(Q248:Q1644)=0)),OR(Y248&gt;=1000000000,AND(COUNTA(C248:C1644)=0,P$3=TRUE))),
ROUNDDOWN((AB$1-AC$1)*MAX(INDEX(T$4:T1644,MATCH(LARGE(FILTER(Y$4:Y1644,Y$4"&amp;":Y1644&lt;1000000000),1),Y$4:Y1644)),INDEX(F$4:F1644,MATCH(LARGE(FILTER(K$4:K1644,K$4:K1644&lt;1000000000),1),K$4:K1644)))),AND(K248&lt;1000000000,COUNTA(C248:C1644)&gt;0,P$3=FALSE),
ROUNDDOWN(INDEX(Y$4:Y1644,MATCH(LARGE(FILTER(W$4:W1644,W$4:W1644&lt;=I248),1),W$4:W1644"&amp;"))+(I248-LARGE(FILTER(W$4:W1644,W$4:W1644&lt;=I248),1))*INDEX(T$4:T1644,MATCH(LARGE(FILTER(W$4:W1644,W$4:W1644&lt;=I248),1),W$4:W1644))-K248),1,
ROUNDDOWN(Y248-INDEX(K$4:K1644,MATCH(LARGE(FILTER(I$4:I1644,I$4:I1644&lt;=W248),1),I$4:I1644))-(W248-LARGE(FILTER(I$4:I"&amp;"1644,I$4:I1644&lt;=W248),1))*INDEX(F$4:F1644,MATCH(LARGE(FILTER(I$4:I1644,I$4:I1644&lt;=W248),1),I$4:I1644))))"),1.9738106E7)</f>
        <v>19738106</v>
      </c>
      <c r="N248" s="60">
        <f t="shared" si="8"/>
        <v>-93.62406</v>
      </c>
      <c r="O248" s="61" t="str">
        <f t="shared" si="9"/>
        <v>19,7M</v>
      </c>
      <c r="P248" s="56">
        <f t="shared" si="10"/>
        <v>27</v>
      </c>
      <c r="Q248" s="105" t="s">
        <v>60</v>
      </c>
      <c r="R248" s="10"/>
      <c r="S248" s="59">
        <f t="array" ref="S248">IF(COUNTA(Q248:Q1644)=0,"",SUM((COUNTIF(Q$4:Q248,Upgrades!$B$3:$B$13)-COUNTIF(Q$4:Q248,"Sell_"&amp;Upgrades!$B$3:$B$13))*Upgrades!$D$3:$D$13))</f>
        <v>199640</v>
      </c>
      <c r="T248" s="66">
        <f>IFERROR(__xludf.DUMMYFUNCTION("IF(COUNTA(Q248:Q1644)=0,"""",IF(REGEXMATCH(INDEX(FILTER(Q$4:Q248,Q$4:Q248&lt;&gt;""""),ROWS(FILTER(Q$4:Q248,Q$4:Q248&lt;&gt;""""))),""^Sell_""),INDEX(FILTER(T$4:T247,Q$4:Q247&lt;&gt;""""),ROWS(FILTER(Q$4:Q247,Q$4:Q247&lt;&gt;""""))),$AD$5+S248))"),211916.0)</f>
        <v>211916</v>
      </c>
      <c r="U248" s="10">
        <f>IFERROR(__xludf.DUMMYFUNCTION("IF(COUNTA(Q248:Q1644)=0,"""",IF(Q248="""",0,IF(REGEXMATCH(Q248,""^Sell_""),-ROUNDDOWN(ROUNDUP(INDEX(Upgrades!$C$3:$C$13,MATCH(SUBSTITUTE(Q248,""Sell_"",""""),Upgrades!$B$3:$B$13,0))*1.15^(COUNTIF(Q$4:Q247,SUBSTITUTE(Q248,""Sell_"",""""))-COUNTIF(Q$4:Q247,"&amp;"""Sell_""&amp;SUBSTITUTE(Q248,""Sell_"",""""))))/2),ROUNDUP(INDEX(Upgrades!$C$3:$C$13,MATCH(Q248,Upgrades!$B$3:$B$13,0))*1.15^(COUNTIF(Q$4:Q247,Q248)-COUNTIF(Q$4:Q247,""Sell_""&amp;Q248))))))"),-115000.0)</f>
        <v>-115000</v>
      </c>
      <c r="V248" s="10">
        <f t="shared" si="11"/>
        <v>-11265218</v>
      </c>
      <c r="W248" s="68">
        <f t="shared" si="12"/>
        <v>5680.54337</v>
      </c>
      <c r="X248" s="59" t="str">
        <f t="shared" si="13"/>
        <v>1h 34m 40s</v>
      </c>
      <c r="Y248" s="69">
        <f t="shared" si="14"/>
        <v>251587394</v>
      </c>
      <c r="Z248" s="11"/>
      <c r="AG248" s="59"/>
    </row>
    <row r="249">
      <c r="A249" s="8"/>
      <c r="B249" s="56" t="str">
        <f t="shared" si="2"/>
        <v/>
      </c>
      <c r="C249" s="105"/>
      <c r="D249" s="10"/>
      <c r="E249" s="59" t="str">
        <f t="array" ref="E249">IF(COUNTA(C249:C1644)=0,"",SUM((COUNTIF(C$4:C249,Upgrades!$B$3:$B$13)-COUNTIF(C$4:C249,"Sell_"&amp;Upgrades!$B$3:$B$13))*Upgrades!$D$3:$D$13))</f>
        <v/>
      </c>
      <c r="F249" s="66" t="str">
        <f>IFERROR(__xludf.DUMMYFUNCTION("IF(COUNTA(C249:C1644)=0,"""",IF(REGEXMATCH(INDEX(FILTER(C$4:C249,C$4:C249&lt;&gt;""""),ROWS(FILTER(C$4:C249,C$4:C249&lt;&gt;""""))),""^Sell_""),INDEX(FILTER(F$4:F248,C$4:C248&lt;&gt;""""),ROWS(FILTER(C$4:C248,C$4:C248&lt;&gt;""""))),$AC$5+E249))"),"")</f>
        <v/>
      </c>
      <c r="G249" s="10" t="str">
        <f>IFERROR(__xludf.DUMMYFUNCTION("IF(COUNTA(C249:C1644)=0,"""",IF(C249="""",0,IF(REGEXMATCH(C249,""^Sell_""),-ROUNDDOWN(ROUNDUP(INDEX(Upgrades!$C$3:$C$13,MATCH(SUBSTITUTE(C249,""Sell_"",""""),Upgrades!$B$3:$B$13,0))*1.15^(COUNTIF(C$4:C248,SUBSTITUTE(C249,""Sell_"",""""))-COUNTIF(C$4:C248,"&amp;"""Sell_""&amp;SUBSTITUTE(C249,""Sell_"",""""))))/2),ROUNDUP(INDEX(Upgrades!$C$3:$C$13,MATCH(C249,Upgrades!$B$3:$B$13,0))*1.15^(COUNTIF(C$4:C248,C249)-COUNTIF(C$4:C248,""Sell_""&amp;C249))))))"),"")</f>
        <v/>
      </c>
      <c r="H249" s="10" t="str">
        <f t="shared" si="3"/>
        <v/>
      </c>
      <c r="I249" s="68" t="str">
        <f t="shared" si="4"/>
        <v/>
      </c>
      <c r="J249" s="59" t="str">
        <f t="shared" si="5"/>
        <v/>
      </c>
      <c r="K249" s="69" t="str">
        <f t="shared" si="6"/>
        <v/>
      </c>
      <c r="L249" s="60">
        <f t="shared" si="7"/>
        <v>-93.62406</v>
      </c>
      <c r="M249" s="61">
        <f>IFERROR(__xludf.DUMMYFUNCTION("IFS(AND(COUNTA(C249:C1644)=0,COUNTA(Q249:Q1644)=0),"""",OR(AND(K249&gt;=1000000000,OR(Y249&gt;=1000000000,COUNTA(Q249:Q1644)=0)),OR(Y249&gt;=1000000000,AND(COUNTA(C249:C1644)=0,P$3=TRUE))),
ROUNDDOWN((AB$1-AC$1)*MAX(INDEX(T$4:T1644,MATCH(LARGE(FILTER(Y$4:Y1644,Y$4"&amp;":Y1644&lt;1000000000),1),Y$4:Y1644)),INDEX(F$4:F1644,MATCH(LARGE(FILTER(K$4:K1644,K$4:K1644&lt;1000000000),1),K$4:K1644)))),AND(K249&lt;1000000000,COUNTA(C249:C1644)&gt;0,P$3=FALSE),
ROUNDDOWN(INDEX(Y$4:Y1644,MATCH(LARGE(FILTER(W$4:W1644,W$4:W1644&lt;=I249),1),W$4:W1644"&amp;"))+(I249-LARGE(FILTER(W$4:W1644,W$4:W1644&lt;=I249),1))*INDEX(T$4:T1644,MATCH(LARGE(FILTER(W$4:W1644,W$4:W1644&lt;=I249),1),W$4:W1644))-K249),1,
ROUNDDOWN(Y249-INDEX(K$4:K1644,MATCH(LARGE(FILTER(I$4:I1644,I$4:I1644&lt;=W249),1),I$4:I1644))-(W249-LARGE(FILTER(I$4:I"&amp;"1644,I$4:I1644&lt;=W249),1))*INDEX(F$4:F1644,MATCH(LARGE(FILTER(I$4:I1644,I$4:I1644&lt;=W249),1),I$4:I1644))))"),1.9738106E7)</f>
        <v>19738106</v>
      </c>
      <c r="N249" s="60">
        <f t="shared" si="8"/>
        <v>-93.62406</v>
      </c>
      <c r="O249" s="61" t="str">
        <f t="shared" si="9"/>
        <v>19,7M</v>
      </c>
      <c r="P249" s="56">
        <f t="shared" si="10"/>
        <v>8</v>
      </c>
      <c r="Q249" s="105" t="s">
        <v>64</v>
      </c>
      <c r="R249" s="10"/>
      <c r="S249" s="59">
        <f t="array" ref="S249">IF(COUNTA(Q249:Q1644)=0,"",SUM((COUNTIF(Q$4:Q249,Upgrades!$B$3:$B$13)-COUNTIF(Q$4:Q249,"Sell_"&amp;Upgrades!$B$3:$B$13))*Upgrades!$D$3:$D$13))</f>
        <v>192974</v>
      </c>
      <c r="T249" s="66">
        <f>IFERROR(__xludf.DUMMYFUNCTION("IF(COUNTA(Q249:Q1644)=0,"""",IF(REGEXMATCH(INDEX(FILTER(Q$4:Q249,Q$4:Q249&lt;&gt;""""),ROWS(FILTER(Q$4:Q249,Q$4:Q249&lt;&gt;""""))),""^Sell_""),INDEX(FILTER(T$4:T248,Q$4:Q248&lt;&gt;""""),ROWS(FILTER(Q$4:Q248,Q$4:Q248&lt;&gt;""""))),$AD$5+S249))"),211916.0)</f>
        <v>211916</v>
      </c>
      <c r="U249" s="10">
        <f>IFERROR(__xludf.DUMMYFUNCTION("IF(COUNTA(Q249:Q1644)=0,"""",IF(Q249="""",0,IF(REGEXMATCH(Q249,""^Sell_""),-ROUNDDOWN(ROUNDUP(INDEX(Upgrades!$C$3:$C$13,MATCH(SUBSTITUTE(Q249,""Sell_"",""""),Upgrades!$B$3:$B$13,0))*1.15^(COUNTIF(Q$4:Q248,SUBSTITUTE(Q249,""Sell_"",""""))-COUNTIF(Q$4:Q248,"&amp;"""Sell_""&amp;SUBSTITUTE(Q249,""Sell_"",""""))))/2),ROUNDUP(INDEX(Upgrades!$C$3:$C$13,MATCH(Q249,Upgrades!$B$3:$B$13,0))*1.15^(COUNTIF(Q$4:Q248,Q249)-COUNTIF(Q$4:Q248,""Sell_""&amp;Q249))))))"),-6780882.0)</f>
        <v>-6780882</v>
      </c>
      <c r="V249" s="10">
        <f t="shared" si="11"/>
        <v>-18046100</v>
      </c>
      <c r="W249" s="68">
        <f t="shared" si="12"/>
        <v>5680.54337</v>
      </c>
      <c r="X249" s="59" t="str">
        <f t="shared" si="13"/>
        <v>1h 34m 40s</v>
      </c>
      <c r="Y249" s="69">
        <f t="shared" si="14"/>
        <v>251587394</v>
      </c>
      <c r="Z249" s="11"/>
      <c r="AG249" s="59"/>
    </row>
    <row r="250">
      <c r="A250" s="8"/>
      <c r="B250" s="56" t="str">
        <f t="shared" si="2"/>
        <v/>
      </c>
      <c r="C250" s="105"/>
      <c r="D250" s="10"/>
      <c r="E250" s="59" t="str">
        <f t="array" ref="E250">IF(COUNTA(C250:C1644)=0,"",SUM((COUNTIF(C$4:C250,Upgrades!$B$3:$B$13)-COUNTIF(C$4:C250,"Sell_"&amp;Upgrades!$B$3:$B$13))*Upgrades!$D$3:$D$13))</f>
        <v/>
      </c>
      <c r="F250" s="66" t="str">
        <f>IFERROR(__xludf.DUMMYFUNCTION("IF(COUNTA(C250:C1644)=0,"""",IF(REGEXMATCH(INDEX(FILTER(C$4:C250,C$4:C250&lt;&gt;""""),ROWS(FILTER(C$4:C250,C$4:C250&lt;&gt;""""))),""^Sell_""),INDEX(FILTER(F$4:F249,C$4:C249&lt;&gt;""""),ROWS(FILTER(C$4:C249,C$4:C249&lt;&gt;""""))),$AC$5+E250))"),"")</f>
        <v/>
      </c>
      <c r="G250" s="10" t="str">
        <f>IFERROR(__xludf.DUMMYFUNCTION("IF(COUNTA(C250:C1644)=0,"""",IF(C250="""",0,IF(REGEXMATCH(C250,""^Sell_""),-ROUNDDOWN(ROUNDUP(INDEX(Upgrades!$C$3:$C$13,MATCH(SUBSTITUTE(C250,""Sell_"",""""),Upgrades!$B$3:$B$13,0))*1.15^(COUNTIF(C$4:C249,SUBSTITUTE(C250,""Sell_"",""""))-COUNTIF(C$4:C249,"&amp;"""Sell_""&amp;SUBSTITUTE(C250,""Sell_"",""""))))/2),ROUNDUP(INDEX(Upgrades!$C$3:$C$13,MATCH(C250,Upgrades!$B$3:$B$13,0))*1.15^(COUNTIF(C$4:C249,C250)-COUNTIF(C$4:C249,""Sell_""&amp;C250))))))"),"")</f>
        <v/>
      </c>
      <c r="H250" s="10" t="str">
        <f t="shared" si="3"/>
        <v/>
      </c>
      <c r="I250" s="68" t="str">
        <f t="shared" si="4"/>
        <v/>
      </c>
      <c r="J250" s="59" t="str">
        <f t="shared" si="5"/>
        <v/>
      </c>
      <c r="K250" s="69" t="str">
        <f t="shared" si="6"/>
        <v/>
      </c>
      <c r="L250" s="60">
        <f t="shared" si="7"/>
        <v>-93.62406</v>
      </c>
      <c r="M250" s="61">
        <f>IFERROR(__xludf.DUMMYFUNCTION("IFS(AND(COUNTA(C250:C1644)=0,COUNTA(Q250:Q1644)=0),"""",OR(AND(K250&gt;=1000000000,OR(Y250&gt;=1000000000,COUNTA(Q250:Q1644)=0)),OR(Y250&gt;=1000000000,AND(COUNTA(C250:C1644)=0,P$3=TRUE))),
ROUNDDOWN((AB$1-AC$1)*MAX(INDEX(T$4:T1644,MATCH(LARGE(FILTER(Y$4:Y1644,Y$4"&amp;":Y1644&lt;1000000000),1),Y$4:Y1644)),INDEX(F$4:F1644,MATCH(LARGE(FILTER(K$4:K1644,K$4:K1644&lt;1000000000),1),K$4:K1644)))),AND(K250&lt;1000000000,COUNTA(C250:C1644)&gt;0,P$3=FALSE),
ROUNDDOWN(INDEX(Y$4:Y1644,MATCH(LARGE(FILTER(W$4:W1644,W$4:W1644&lt;=I250),1),W$4:W1644"&amp;"))+(I250-LARGE(FILTER(W$4:W1644,W$4:W1644&lt;=I250),1))*INDEX(T$4:T1644,MATCH(LARGE(FILTER(W$4:W1644,W$4:W1644&lt;=I250),1),W$4:W1644))-K250),1,
ROUNDDOWN(Y250-INDEX(K$4:K1644,MATCH(LARGE(FILTER(I$4:I1644,I$4:I1644&lt;=W250),1),I$4:I1644))-(W250-LARGE(FILTER(I$4:I"&amp;"1644,I$4:I1644&lt;=W250),1))*INDEX(F$4:F1644,MATCH(LARGE(FILTER(I$4:I1644,I$4:I1644&lt;=W250),1),I$4:I1644))))"),1.9738106E7)</f>
        <v>19738106</v>
      </c>
      <c r="N250" s="60">
        <f t="shared" si="8"/>
        <v>-93.62406</v>
      </c>
      <c r="O250" s="61" t="str">
        <f t="shared" si="9"/>
        <v>19,7M</v>
      </c>
      <c r="P250" s="56">
        <f t="shared" si="10"/>
        <v>9</v>
      </c>
      <c r="Q250" s="105" t="s">
        <v>64</v>
      </c>
      <c r="R250" s="10"/>
      <c r="S250" s="59">
        <f t="array" ref="S250">IF(COUNTA(Q250:Q1644)=0,"",SUM((COUNTIF(Q$4:Q250,Upgrades!$B$3:$B$13)-COUNTIF(Q$4:Q250,"Sell_"&amp;Upgrades!$B$3:$B$13))*Upgrades!$D$3:$D$13))</f>
        <v>186308</v>
      </c>
      <c r="T250" s="66">
        <f>IFERROR(__xludf.DUMMYFUNCTION("IF(COUNTA(Q250:Q1644)=0,"""",IF(REGEXMATCH(INDEX(FILTER(Q$4:Q250,Q$4:Q250&lt;&gt;""""),ROWS(FILTER(Q$4:Q250,Q$4:Q250&lt;&gt;""""))),""^Sell_""),INDEX(FILTER(T$4:T249,Q$4:Q249&lt;&gt;""""),ROWS(FILTER(Q$4:Q249,Q$4:Q249&lt;&gt;""""))),$AD$5+S250))"),211916.0)</f>
        <v>211916</v>
      </c>
      <c r="U250" s="10">
        <f>IFERROR(__xludf.DUMMYFUNCTION("IF(COUNTA(Q250:Q1644)=0,"""",IF(Q250="""",0,IF(REGEXMATCH(Q250,""^Sell_""),-ROUNDDOWN(ROUNDUP(INDEX(Upgrades!$C$3:$C$13,MATCH(SUBSTITUTE(Q250,""Sell_"",""""),Upgrades!$B$3:$B$13,0))*1.15^(COUNTIF(Q$4:Q249,SUBSTITUTE(Q250,""Sell_"",""""))-COUNTIF(Q$4:Q249,"&amp;"""Sell_""&amp;SUBSTITUTE(Q250,""Sell_"",""""))))/2),ROUNDUP(INDEX(Upgrades!$C$3:$C$13,MATCH(Q250,Upgrades!$B$3:$B$13,0))*1.15^(COUNTIF(Q$4:Q249,Q250)-COUNTIF(Q$4:Q249,""Sell_""&amp;Q250))))))"),-5896419.0)</f>
        <v>-5896419</v>
      </c>
      <c r="V250" s="10">
        <f t="shared" si="11"/>
        <v>-23942519</v>
      </c>
      <c r="W250" s="68">
        <f t="shared" si="12"/>
        <v>5680.54337</v>
      </c>
      <c r="X250" s="59" t="str">
        <f t="shared" si="13"/>
        <v>1h 34m 40s</v>
      </c>
      <c r="Y250" s="69">
        <f t="shared" si="14"/>
        <v>251587394</v>
      </c>
      <c r="Z250" s="11"/>
      <c r="AG250" s="59"/>
    </row>
    <row r="251">
      <c r="A251" s="8"/>
      <c r="B251" s="56" t="str">
        <f t="shared" si="2"/>
        <v/>
      </c>
      <c r="C251" s="105"/>
      <c r="D251" s="10"/>
      <c r="E251" s="59" t="str">
        <f t="array" ref="E251">IF(COUNTA(C251:C1644)=0,"",SUM((COUNTIF(C$4:C251,Upgrades!$B$3:$B$13)-COUNTIF(C$4:C251,"Sell_"&amp;Upgrades!$B$3:$B$13))*Upgrades!$D$3:$D$13))</f>
        <v/>
      </c>
      <c r="F251" s="66" t="str">
        <f>IFERROR(__xludf.DUMMYFUNCTION("IF(COUNTA(C251:C1644)=0,"""",IF(REGEXMATCH(INDEX(FILTER(C$4:C251,C$4:C251&lt;&gt;""""),ROWS(FILTER(C$4:C251,C$4:C251&lt;&gt;""""))),""^Sell_""),INDEX(FILTER(F$4:F250,C$4:C250&lt;&gt;""""),ROWS(FILTER(C$4:C250,C$4:C250&lt;&gt;""""))),$AC$5+E251))"),"")</f>
        <v/>
      </c>
      <c r="G251" s="10" t="str">
        <f>IFERROR(__xludf.DUMMYFUNCTION("IF(COUNTA(C251:C1644)=0,"""",IF(C251="""",0,IF(REGEXMATCH(C251,""^Sell_""),-ROUNDDOWN(ROUNDUP(INDEX(Upgrades!$C$3:$C$13,MATCH(SUBSTITUTE(C251,""Sell_"",""""),Upgrades!$B$3:$B$13,0))*1.15^(COUNTIF(C$4:C250,SUBSTITUTE(C251,""Sell_"",""""))-COUNTIF(C$4:C250,"&amp;"""Sell_""&amp;SUBSTITUTE(C251,""Sell_"",""""))))/2),ROUNDUP(INDEX(Upgrades!$C$3:$C$13,MATCH(C251,Upgrades!$B$3:$B$13,0))*1.15^(COUNTIF(C$4:C250,C251)-COUNTIF(C$4:C250,""Sell_""&amp;C251))))))"),"")</f>
        <v/>
      </c>
      <c r="H251" s="10" t="str">
        <f t="shared" si="3"/>
        <v/>
      </c>
      <c r="I251" s="68" t="str">
        <f t="shared" si="4"/>
        <v/>
      </c>
      <c r="J251" s="59" t="str">
        <f t="shared" si="5"/>
        <v/>
      </c>
      <c r="K251" s="69" t="str">
        <f t="shared" si="6"/>
        <v/>
      </c>
      <c r="L251" s="60">
        <f t="shared" si="7"/>
        <v>-93.62406</v>
      </c>
      <c r="M251" s="61">
        <f>IFERROR(__xludf.DUMMYFUNCTION("IFS(AND(COUNTA(C251:C1644)=0,COUNTA(Q251:Q1644)=0),"""",OR(AND(K251&gt;=1000000000,OR(Y251&gt;=1000000000,COUNTA(Q251:Q1644)=0)),OR(Y251&gt;=1000000000,AND(COUNTA(C251:C1644)=0,P$3=TRUE))),
ROUNDDOWN((AB$1-AC$1)*MAX(INDEX(T$4:T1644,MATCH(LARGE(FILTER(Y$4:Y1644,Y$4"&amp;":Y1644&lt;1000000000),1),Y$4:Y1644)),INDEX(F$4:F1644,MATCH(LARGE(FILTER(K$4:K1644,K$4:K1644&lt;1000000000),1),K$4:K1644)))),AND(K251&lt;1000000000,COUNTA(C251:C1644)&gt;0,P$3=FALSE),
ROUNDDOWN(INDEX(Y$4:Y1644,MATCH(LARGE(FILTER(W$4:W1644,W$4:W1644&lt;=I251),1),W$4:W1644"&amp;"))+(I251-LARGE(FILTER(W$4:W1644,W$4:W1644&lt;=I251),1))*INDEX(T$4:T1644,MATCH(LARGE(FILTER(W$4:W1644,W$4:W1644&lt;=I251),1),W$4:W1644))-K251),1,
ROUNDDOWN(Y251-INDEX(K$4:K1644,MATCH(LARGE(FILTER(I$4:I1644,I$4:I1644&lt;=W251),1),I$4:I1644))-(W251-LARGE(FILTER(I$4:I"&amp;"1644,I$4:I1644&lt;=W251),1))*INDEX(F$4:F1644,MATCH(LARGE(FILTER(I$4:I1644,I$4:I1644&lt;=W251),1),I$4:I1644))))"),1.9738106E7)</f>
        <v>19738106</v>
      </c>
      <c r="N251" s="60">
        <f t="shared" si="8"/>
        <v>-93.62406</v>
      </c>
      <c r="O251" s="61" t="str">
        <f t="shared" si="9"/>
        <v>19,7M</v>
      </c>
      <c r="P251" s="56">
        <f t="shared" si="10"/>
        <v>10</v>
      </c>
      <c r="Q251" s="105" t="s">
        <v>64</v>
      </c>
      <c r="R251" s="10"/>
      <c r="S251" s="59">
        <f t="array" ref="S251">IF(COUNTA(Q251:Q1644)=0,"",SUM((COUNTIF(Q$4:Q251,Upgrades!$B$3:$B$13)-COUNTIF(Q$4:Q251,"Sell_"&amp;Upgrades!$B$3:$B$13))*Upgrades!$D$3:$D$13))</f>
        <v>179642</v>
      </c>
      <c r="T251" s="66">
        <f>IFERROR(__xludf.DUMMYFUNCTION("IF(COUNTA(Q251:Q1644)=0,"""",IF(REGEXMATCH(INDEX(FILTER(Q$4:Q251,Q$4:Q251&lt;&gt;""""),ROWS(FILTER(Q$4:Q251,Q$4:Q251&lt;&gt;""""))),""^Sell_""),INDEX(FILTER(T$4:T250,Q$4:Q250&lt;&gt;""""),ROWS(FILTER(Q$4:Q250,Q$4:Q250&lt;&gt;""""))),$AD$5+S251))"),211916.0)</f>
        <v>211916</v>
      </c>
      <c r="U251" s="10">
        <f>IFERROR(__xludf.DUMMYFUNCTION("IF(COUNTA(Q251:Q1644)=0,"""",IF(Q251="""",0,IF(REGEXMATCH(Q251,""^Sell_""),-ROUNDDOWN(ROUNDUP(INDEX(Upgrades!$C$3:$C$13,MATCH(SUBSTITUTE(Q251,""Sell_"",""""),Upgrades!$B$3:$B$13,0))*1.15^(COUNTIF(Q$4:Q250,SUBSTITUTE(Q251,""Sell_"",""""))-COUNTIF(Q$4:Q250,"&amp;"""Sell_""&amp;SUBSTITUTE(Q251,""Sell_"",""""))))/2),ROUNDUP(INDEX(Upgrades!$C$3:$C$13,MATCH(Q251,Upgrades!$B$3:$B$13,0))*1.15^(COUNTIF(Q$4:Q250,Q251)-COUNTIF(Q$4:Q250,""Sell_""&amp;Q251))))))"),-5127321.0)</f>
        <v>-5127321</v>
      </c>
      <c r="V251" s="10">
        <f t="shared" si="11"/>
        <v>-29069840</v>
      </c>
      <c r="W251" s="68">
        <f t="shared" si="12"/>
        <v>5680.54337</v>
      </c>
      <c r="X251" s="59" t="str">
        <f t="shared" si="13"/>
        <v>1h 34m 40s</v>
      </c>
      <c r="Y251" s="69">
        <f t="shared" si="14"/>
        <v>251587394</v>
      </c>
      <c r="Z251" s="11"/>
      <c r="AG251" s="59"/>
    </row>
    <row r="252">
      <c r="A252" s="8"/>
      <c r="B252" s="56" t="str">
        <f t="shared" si="2"/>
        <v/>
      </c>
      <c r="C252" s="105"/>
      <c r="D252" s="10"/>
      <c r="E252" s="59" t="str">
        <f t="array" ref="E252">IF(COUNTA(C252:C1644)=0,"",SUM((COUNTIF(C$4:C252,Upgrades!$B$3:$B$13)-COUNTIF(C$4:C252,"Sell_"&amp;Upgrades!$B$3:$B$13))*Upgrades!$D$3:$D$13))</f>
        <v/>
      </c>
      <c r="F252" s="66" t="str">
        <f>IFERROR(__xludf.DUMMYFUNCTION("IF(COUNTA(C252:C1644)=0,"""",IF(REGEXMATCH(INDEX(FILTER(C$4:C252,C$4:C252&lt;&gt;""""),ROWS(FILTER(C$4:C252,C$4:C252&lt;&gt;""""))),""^Sell_""),INDEX(FILTER(F$4:F251,C$4:C251&lt;&gt;""""),ROWS(FILTER(C$4:C251,C$4:C251&lt;&gt;""""))),$AC$5+E252))"),"")</f>
        <v/>
      </c>
      <c r="G252" s="10" t="str">
        <f>IFERROR(__xludf.DUMMYFUNCTION("IF(COUNTA(C252:C1644)=0,"""",IF(C252="""",0,IF(REGEXMATCH(C252,""^Sell_""),-ROUNDDOWN(ROUNDUP(INDEX(Upgrades!$C$3:$C$13,MATCH(SUBSTITUTE(C252,""Sell_"",""""),Upgrades!$B$3:$B$13,0))*1.15^(COUNTIF(C$4:C251,SUBSTITUTE(C252,""Sell_"",""""))-COUNTIF(C$4:C251,"&amp;"""Sell_""&amp;SUBSTITUTE(C252,""Sell_"",""""))))/2),ROUNDUP(INDEX(Upgrades!$C$3:$C$13,MATCH(C252,Upgrades!$B$3:$B$13,0))*1.15^(COUNTIF(C$4:C251,C252)-COUNTIF(C$4:C251,""Sell_""&amp;C252))))))"),"")</f>
        <v/>
      </c>
      <c r="H252" s="10" t="str">
        <f t="shared" si="3"/>
        <v/>
      </c>
      <c r="I252" s="68" t="str">
        <f t="shared" si="4"/>
        <v/>
      </c>
      <c r="J252" s="59" t="str">
        <f t="shared" si="5"/>
        <v/>
      </c>
      <c r="K252" s="69" t="str">
        <f t="shared" si="6"/>
        <v/>
      </c>
      <c r="L252" s="60">
        <f t="shared" si="7"/>
        <v>-93.62406</v>
      </c>
      <c r="M252" s="61">
        <f>IFERROR(__xludf.DUMMYFUNCTION("IFS(AND(COUNTA(C252:C1644)=0,COUNTA(Q252:Q1644)=0),"""",OR(AND(K252&gt;=1000000000,OR(Y252&gt;=1000000000,COUNTA(Q252:Q1644)=0)),OR(Y252&gt;=1000000000,AND(COUNTA(C252:C1644)=0,P$3=TRUE))),
ROUNDDOWN((AB$1-AC$1)*MAX(INDEX(T$4:T1644,MATCH(LARGE(FILTER(Y$4:Y1644,Y$4"&amp;":Y1644&lt;1000000000),1),Y$4:Y1644)),INDEX(F$4:F1644,MATCH(LARGE(FILTER(K$4:K1644,K$4:K1644&lt;1000000000),1),K$4:K1644)))),AND(K252&lt;1000000000,COUNTA(C252:C1644)&gt;0,P$3=FALSE),
ROUNDDOWN(INDEX(Y$4:Y1644,MATCH(LARGE(FILTER(W$4:W1644,W$4:W1644&lt;=I252),1),W$4:W1644"&amp;"))+(I252-LARGE(FILTER(W$4:W1644,W$4:W1644&lt;=I252),1))*INDEX(T$4:T1644,MATCH(LARGE(FILTER(W$4:W1644,W$4:W1644&lt;=I252),1),W$4:W1644))-K252),1,
ROUNDDOWN(Y252-INDEX(K$4:K1644,MATCH(LARGE(FILTER(I$4:I1644,I$4:I1644&lt;=W252),1),I$4:I1644))-(W252-LARGE(FILTER(I$4:I"&amp;"1644,I$4:I1644&lt;=W252),1))*INDEX(F$4:F1644,MATCH(LARGE(FILTER(I$4:I1644,I$4:I1644&lt;=W252),1),I$4:I1644))))"),1.9738106E7)</f>
        <v>19738106</v>
      </c>
      <c r="N252" s="60">
        <f t="shared" si="8"/>
        <v>-93.62406</v>
      </c>
      <c r="O252" s="61" t="str">
        <f t="shared" si="9"/>
        <v>19,7M</v>
      </c>
      <c r="P252" s="56">
        <f t="shared" si="10"/>
        <v>11</v>
      </c>
      <c r="Q252" s="105" t="s">
        <v>64</v>
      </c>
      <c r="R252" s="10"/>
      <c r="S252" s="59">
        <f t="array" ref="S252">IF(COUNTA(Q252:Q1644)=0,"",SUM((COUNTIF(Q$4:Q252,Upgrades!$B$3:$B$13)-COUNTIF(Q$4:Q252,"Sell_"&amp;Upgrades!$B$3:$B$13))*Upgrades!$D$3:$D$13))</f>
        <v>172976</v>
      </c>
      <c r="T252" s="66">
        <f>IFERROR(__xludf.DUMMYFUNCTION("IF(COUNTA(Q252:Q1644)=0,"""",IF(REGEXMATCH(INDEX(FILTER(Q$4:Q252,Q$4:Q252&lt;&gt;""""),ROWS(FILTER(Q$4:Q252,Q$4:Q252&lt;&gt;""""))),""^Sell_""),INDEX(FILTER(T$4:T251,Q$4:Q251&lt;&gt;""""),ROWS(FILTER(Q$4:Q251,Q$4:Q251&lt;&gt;""""))),$AD$5+S252))"),211916.0)</f>
        <v>211916</v>
      </c>
      <c r="U252" s="10">
        <f>IFERROR(__xludf.DUMMYFUNCTION("IF(COUNTA(Q252:Q1644)=0,"""",IF(Q252="""",0,IF(REGEXMATCH(Q252,""^Sell_""),-ROUNDDOWN(ROUNDUP(INDEX(Upgrades!$C$3:$C$13,MATCH(SUBSTITUTE(Q252,""Sell_"",""""),Upgrades!$B$3:$B$13,0))*1.15^(COUNTIF(Q$4:Q251,SUBSTITUTE(Q252,""Sell_"",""""))-COUNTIF(Q$4:Q251,"&amp;"""Sell_""&amp;SUBSTITUTE(Q252,""Sell_"",""""))))/2),ROUNDUP(INDEX(Upgrades!$C$3:$C$13,MATCH(Q252,Upgrades!$B$3:$B$13,0))*1.15^(COUNTIF(Q$4:Q251,Q252)-COUNTIF(Q$4:Q251,""Sell_""&amp;Q252))))))"),-4458540.0)</f>
        <v>-4458540</v>
      </c>
      <c r="V252" s="10">
        <f t="shared" si="11"/>
        <v>-33528380</v>
      </c>
      <c r="W252" s="68">
        <f t="shared" si="12"/>
        <v>5680.54337</v>
      </c>
      <c r="X252" s="59" t="str">
        <f t="shared" si="13"/>
        <v>1h 34m 40s</v>
      </c>
      <c r="Y252" s="69">
        <f t="shared" si="14"/>
        <v>251587394</v>
      </c>
      <c r="Z252" s="11"/>
      <c r="AG252" s="59"/>
    </row>
    <row r="253">
      <c r="A253" s="8"/>
      <c r="B253" s="56" t="str">
        <f t="shared" si="2"/>
        <v/>
      </c>
      <c r="C253" s="105"/>
      <c r="D253" s="10"/>
      <c r="E253" s="59" t="str">
        <f t="array" ref="E253">IF(COUNTA(C253:C1644)=0,"",SUM((COUNTIF(C$4:C253,Upgrades!$B$3:$B$13)-COUNTIF(C$4:C253,"Sell_"&amp;Upgrades!$B$3:$B$13))*Upgrades!$D$3:$D$13))</f>
        <v/>
      </c>
      <c r="F253" s="66" t="str">
        <f>IFERROR(__xludf.DUMMYFUNCTION("IF(COUNTA(C253:C1644)=0,"""",IF(REGEXMATCH(INDEX(FILTER(C$4:C253,C$4:C253&lt;&gt;""""),ROWS(FILTER(C$4:C253,C$4:C253&lt;&gt;""""))),""^Sell_""),INDEX(FILTER(F$4:F252,C$4:C252&lt;&gt;""""),ROWS(FILTER(C$4:C252,C$4:C252&lt;&gt;""""))),$AC$5+E253))"),"")</f>
        <v/>
      </c>
      <c r="G253" s="10" t="str">
        <f>IFERROR(__xludf.DUMMYFUNCTION("IF(COUNTA(C253:C1644)=0,"""",IF(C253="""",0,IF(REGEXMATCH(C253,""^Sell_""),-ROUNDDOWN(ROUNDUP(INDEX(Upgrades!$C$3:$C$13,MATCH(SUBSTITUTE(C253,""Sell_"",""""),Upgrades!$B$3:$B$13,0))*1.15^(COUNTIF(C$4:C252,SUBSTITUTE(C253,""Sell_"",""""))-COUNTIF(C$4:C252,"&amp;"""Sell_""&amp;SUBSTITUTE(C253,""Sell_"",""""))))/2),ROUNDUP(INDEX(Upgrades!$C$3:$C$13,MATCH(C253,Upgrades!$B$3:$B$13,0))*1.15^(COUNTIF(C$4:C252,C253)-COUNTIF(C$4:C252,""Sell_""&amp;C253))))))"),"")</f>
        <v/>
      </c>
      <c r="H253" s="10" t="str">
        <f t="shared" si="3"/>
        <v/>
      </c>
      <c r="I253" s="68" t="str">
        <f t="shared" si="4"/>
        <v/>
      </c>
      <c r="J253" s="59" t="str">
        <f t="shared" si="5"/>
        <v/>
      </c>
      <c r="K253" s="69" t="str">
        <f t="shared" si="6"/>
        <v/>
      </c>
      <c r="L253" s="60">
        <f t="shared" si="7"/>
        <v>-94.3493</v>
      </c>
      <c r="M253" s="61">
        <f>IFERROR(__xludf.DUMMYFUNCTION("IFS(AND(COUNTA(C253:C1644)=0,COUNTA(Q253:Q1644)=0),"""",OR(AND(K253&gt;=1000000000,OR(Y253&gt;=1000000000,COUNTA(Q253:Q1644)=0)),OR(Y253&gt;=1000000000,AND(COUNTA(C253:C1644)=0,P$3=TRUE))),
ROUNDDOWN((AB$1-AC$1)*MAX(INDEX(T$4:T1644,MATCH(LARGE(FILTER(Y$4:Y1644,Y$4"&amp;":Y1644&lt;1000000000),1),Y$4:Y1644)),INDEX(F$4:F1644,MATCH(LARGE(FILTER(K$4:K1644,K$4:K1644&lt;1000000000),1),K$4:K1644)))),AND(K253&lt;1000000000,COUNTA(C253:C1644)&gt;0,P$3=FALSE),
ROUNDDOWN(INDEX(Y$4:Y1644,MATCH(LARGE(FILTER(W$4:W1644,W$4:W1644&lt;=I253),1),W$4:W1644"&amp;"))+(I253-LARGE(FILTER(W$4:W1644,W$4:W1644&lt;=I253),1))*INDEX(T$4:T1644,MATCH(LARGE(FILTER(W$4:W1644,W$4:W1644&lt;=I253),1),W$4:W1644))-K253),1,
ROUNDDOWN(Y253-INDEX(K$4:K1644,MATCH(LARGE(FILTER(I$4:I1644,I$4:I1644&lt;=W253),1),I$4:I1644))-(W253-LARGE(FILTER(I$4:I"&amp;"1644,I$4:I1644&lt;=W253),1))*INDEX(F$4:F1644,MATCH(LARGE(FILTER(I$4:I1644,I$4:I1644&lt;=W253),1),I$4:I1644))))"),1.9965831E7)</f>
        <v>19965831</v>
      </c>
      <c r="N253" s="60">
        <f t="shared" si="8"/>
        <v>-94.3493</v>
      </c>
      <c r="O253" s="61" t="str">
        <f t="shared" si="9"/>
        <v>20,0M</v>
      </c>
      <c r="P253" s="56">
        <f t="shared" si="10"/>
        <v>2</v>
      </c>
      <c r="Q253" s="105" t="s">
        <v>11</v>
      </c>
      <c r="R253" s="10"/>
      <c r="S253" s="59">
        <f t="array" ref="S253">IF(COUNTA(Q253:Q1644)=0,"",SUM((COUNTIF(Q$4:Q253,Upgrades!$B$3:$B$13)-COUNTIF(Q$4:Q253,"Sell_"&amp;Upgrades!$B$3:$B$13))*Upgrades!$D$3:$D$13))</f>
        <v>271741</v>
      </c>
      <c r="T253" s="66">
        <f>IFERROR(__xludf.DUMMYFUNCTION("IF(COUNTA(Q253:Q1644)=0,"""",IF(REGEXMATCH(INDEX(FILTER(Q$4:Q253,Q$4:Q253&lt;&gt;""""),ROWS(FILTER(Q$4:Q253,Q$4:Q253&lt;&gt;""""))),""^Sell_""),INDEX(FILTER(T$4:T252,Q$4:Q252&lt;&gt;""""),ROWS(FILTER(Q$4:Q252,Q$4:Q252&lt;&gt;""""))),$AD$5+S253))"),271751.0)</f>
        <v>271751</v>
      </c>
      <c r="U253" s="10">
        <f>IFERROR(__xludf.DUMMYFUNCTION("IF(COUNTA(Q253:Q1644)=0,"""",IF(Q253="""",0,IF(REGEXMATCH(Q253,""^Sell_""),-ROUNDDOWN(ROUNDUP(INDEX(Upgrades!$C$3:$C$13,MATCH(SUBSTITUTE(Q253,""Sell_"",""""),Upgrades!$B$3:$B$13,0))*1.15^(COUNTIF(Q$4:Q252,SUBSTITUTE(Q253,""Sell_"",""""))-COUNTIF(Q$4:Q252,"&amp;"""Sell_""&amp;SUBSTITUTE(Q253,""Sell_"",""""))))/2),ROUNDUP(INDEX(Upgrades!$C$3:$C$13,MATCH(Q253,Upgrades!$B$3:$B$13,0))*1.15^(COUNTIF(Q$4:Q252,Q253)-COUNTIF(Q$4:Q252,""Sell_""&amp;Q253))))))"),1.41975308E8)</f>
        <v>141975308</v>
      </c>
      <c r="V253" s="10">
        <f t="shared" si="11"/>
        <v>108446928</v>
      </c>
      <c r="W253" s="68">
        <f t="shared" si="12"/>
        <v>6192.28825</v>
      </c>
      <c r="X253" s="59" t="str">
        <f t="shared" si="13"/>
        <v>1h 43m 12s</v>
      </c>
      <c r="Y253" s="69">
        <f t="shared" si="14"/>
        <v>360034322</v>
      </c>
      <c r="Z253" s="11"/>
      <c r="AG253" s="59"/>
    </row>
    <row r="254">
      <c r="A254" s="8"/>
      <c r="B254" s="56" t="str">
        <f t="shared" si="2"/>
        <v/>
      </c>
      <c r="C254" s="105"/>
      <c r="D254" s="10"/>
      <c r="E254" s="59" t="str">
        <f t="array" ref="E254">IF(COUNTA(C254:C1644)=0,"",SUM((COUNTIF(C$4:C254,Upgrades!$B$3:$B$13)-COUNTIF(C$4:C254,"Sell_"&amp;Upgrades!$B$3:$B$13))*Upgrades!$D$3:$D$13))</f>
        <v/>
      </c>
      <c r="F254" s="66" t="str">
        <f>IFERROR(__xludf.DUMMYFUNCTION("IF(COUNTA(C254:C1644)=0,"""",IF(REGEXMATCH(INDEX(FILTER(C$4:C254,C$4:C254&lt;&gt;""""),ROWS(FILTER(C$4:C254,C$4:C254&lt;&gt;""""))),""^Sell_""),INDEX(FILTER(F$4:F253,C$4:C253&lt;&gt;""""),ROWS(FILTER(C$4:C253,C$4:C253&lt;&gt;""""))),$AC$5+E254))"),"")</f>
        <v/>
      </c>
      <c r="G254" s="10" t="str">
        <f>IFERROR(__xludf.DUMMYFUNCTION("IF(COUNTA(C254:C1644)=0,"""",IF(C254="""",0,IF(REGEXMATCH(C254,""^Sell_""),-ROUNDDOWN(ROUNDUP(INDEX(Upgrades!$C$3:$C$13,MATCH(SUBSTITUTE(C254,""Sell_"",""""),Upgrades!$B$3:$B$13,0))*1.15^(COUNTIF(C$4:C253,SUBSTITUTE(C254,""Sell_"",""""))-COUNTIF(C$4:C253,"&amp;"""Sell_""&amp;SUBSTITUTE(C254,""Sell_"",""""))))/2),ROUNDUP(INDEX(Upgrades!$C$3:$C$13,MATCH(C254,Upgrades!$B$3:$B$13,0))*1.15^(COUNTIF(C$4:C253,C254)-COUNTIF(C$4:C253,""Sell_""&amp;C254))))))"),"")</f>
        <v/>
      </c>
      <c r="H254" s="10" t="str">
        <f t="shared" si="3"/>
        <v/>
      </c>
      <c r="I254" s="68" t="str">
        <f t="shared" si="4"/>
        <v/>
      </c>
      <c r="J254" s="59" t="str">
        <f t="shared" si="5"/>
        <v/>
      </c>
      <c r="K254" s="69" t="str">
        <f t="shared" si="6"/>
        <v/>
      </c>
      <c r="L254" s="60">
        <f t="shared" si="7"/>
        <v>-94.39112</v>
      </c>
      <c r="M254" s="61">
        <f>IFERROR(__xludf.DUMMYFUNCTION("IFS(AND(COUNTA(C254:C1644)=0,COUNTA(Q254:Q1644)=0),"""",OR(AND(K254&gt;=1000000000,OR(Y254&gt;=1000000000,COUNTA(Q254:Q1644)=0)),OR(Y254&gt;=1000000000,AND(COUNTA(C254:C1644)=0,P$3=TRUE))),
ROUNDDOWN((AB$1-AC$1)*MAX(INDEX(T$4:T1644,MATCH(LARGE(FILTER(Y$4:Y1644,Y$4"&amp;":Y1644&lt;1000000000),1),Y$4:Y1644)),INDEX(F$4:F1644,MATCH(LARGE(FILTER(K$4:K1644,K$4:K1644&lt;1000000000),1),K$4:K1644)))),AND(K254&lt;1000000000,COUNTA(C254:C1644)&gt;0,P$3=FALSE),
ROUNDDOWN(INDEX(Y$4:Y1644,MATCH(LARGE(FILTER(W$4:W1644,W$4:W1644&lt;=I254),1),W$4:W1644"&amp;"))+(I254-LARGE(FILTER(W$4:W1644,W$4:W1644&lt;=I254),1))*INDEX(T$4:T1644,MATCH(LARGE(FILTER(W$4:W1644,W$4:W1644&lt;=I254),1),W$4:W1644))-K254),1,
ROUNDDOWN(Y254-INDEX(K$4:K1644,MATCH(LARGE(FILTER(I$4:I1644,I$4:I1644&lt;=W254),1),I$4:I1644))-(W254-LARGE(FILTER(I$4:I"&amp;"1644,I$4:I1644&lt;=W254),1))*INDEX(F$4:F1644,MATCH(LARGE(FILTER(I$4:I1644,I$4:I1644&lt;=W254),1),I$4:I1644))))"),1.9974682E7)</f>
        <v>19974682</v>
      </c>
      <c r="N254" s="60">
        <f t="shared" si="8"/>
        <v>-94.39112</v>
      </c>
      <c r="O254" s="61" t="str">
        <f t="shared" si="9"/>
        <v>20,0M</v>
      </c>
      <c r="P254" s="56">
        <f t="shared" si="10"/>
        <v>1</v>
      </c>
      <c r="Q254" s="105" t="s">
        <v>8</v>
      </c>
      <c r="R254" s="10"/>
      <c r="S254" s="59">
        <f t="array" ref="S254">IF(COUNTA(Q254:Q1644)=0,"",SUM((COUNTIF(Q$4:Q254,Upgrades!$B$3:$B$13)-COUNTIF(Q$4:Q254,"Sell_"&amp;Upgrades!$B$3:$B$13))*Upgrades!$D$3:$D$13))</f>
        <v>271841</v>
      </c>
      <c r="T254" s="66">
        <f>IFERROR(__xludf.DUMMYFUNCTION("IF(COUNTA(Q254:Q1644)=0,"""",IF(REGEXMATCH(INDEX(FILTER(Q$4:Q254,Q$4:Q254&lt;&gt;""""),ROWS(FILTER(Q$4:Q254,Q$4:Q254&lt;&gt;""""))),""^Sell_""),INDEX(FILTER(T$4:T253,Q$4:Q253&lt;&gt;""""),ROWS(FILTER(Q$4:Q253,Q$4:Q253&lt;&gt;""""))),$AD$5+S254))"),271851.0)</f>
        <v>271851</v>
      </c>
      <c r="U254" s="10">
        <f>IFERROR(__xludf.DUMMYFUNCTION("IF(COUNTA(Q254:Q1644)=0,"""",IF(Q254="""",0,IF(REGEXMATCH(Q254,""^Sell_""),-ROUNDDOWN(ROUNDUP(INDEX(Upgrades!$C$3:$C$13,MATCH(SUBSTITUTE(Q254,""Sell_"",""""),Upgrades!$B$3:$B$13,0))*1.15^(COUNTIF(Q$4:Q253,SUBSTITUTE(Q254,""Sell_"",""""))-COUNTIF(Q$4:Q253,"&amp;"""Sell_""&amp;SUBSTITUTE(Q254,""Sell_"",""""))))/2),ROUNDUP(INDEX(Upgrades!$C$3:$C$13,MATCH(Q254,Upgrades!$B$3:$B$13,0))*1.15^(COUNTIF(Q$4:Q253,Q254)-COUNTIF(Q$4:Q253,""Sell_""&amp;Q254))))))"),40000.0)</f>
        <v>40000</v>
      </c>
      <c r="V254" s="10">
        <f t="shared" si="11"/>
        <v>40000</v>
      </c>
      <c r="W254" s="68">
        <f t="shared" si="12"/>
        <v>6192.435444</v>
      </c>
      <c r="X254" s="59" t="str">
        <f t="shared" si="13"/>
        <v>1h 43m 12s</v>
      </c>
      <c r="Y254" s="69">
        <f t="shared" si="14"/>
        <v>360074322</v>
      </c>
      <c r="Z254" s="11"/>
      <c r="AG254" s="59"/>
    </row>
    <row r="255">
      <c r="A255" s="8"/>
      <c r="B255" s="56" t="str">
        <f t="shared" si="2"/>
        <v/>
      </c>
      <c r="C255" s="105"/>
      <c r="D255" s="10"/>
      <c r="E255" s="59" t="str">
        <f t="array" ref="E255">IF(COUNTA(C255:C1644)=0,"",SUM((COUNTIF(C$4:C255,Upgrades!$B$3:$B$13)-COUNTIF(C$4:C255,"Sell_"&amp;Upgrades!$B$3:$B$13))*Upgrades!$D$3:$D$13))</f>
        <v/>
      </c>
      <c r="F255" s="66" t="str">
        <f>IFERROR(__xludf.DUMMYFUNCTION("IF(COUNTA(C255:C1644)=0,"""",IF(REGEXMATCH(INDEX(FILTER(C$4:C255,C$4:C255&lt;&gt;""""),ROWS(FILTER(C$4:C255,C$4:C255&lt;&gt;""""))),""^Sell_""),INDEX(FILTER(F$4:F254,C$4:C254&lt;&gt;""""),ROWS(FILTER(C$4:C254,C$4:C254&lt;&gt;""""))),$AC$5+E255))"),"")</f>
        <v/>
      </c>
      <c r="G255" s="10" t="str">
        <f>IFERROR(__xludf.DUMMYFUNCTION("IF(COUNTA(C255:C1644)=0,"""",IF(C255="""",0,IF(REGEXMATCH(C255,""^Sell_""),-ROUNDDOWN(ROUNDUP(INDEX(Upgrades!$C$3:$C$13,MATCH(SUBSTITUTE(C255,""Sell_"",""""),Upgrades!$B$3:$B$13,0))*1.15^(COUNTIF(C$4:C254,SUBSTITUTE(C255,""Sell_"",""""))-COUNTIF(C$4:C254,"&amp;"""Sell_""&amp;SUBSTITUTE(C255,""Sell_"",""""))))/2),ROUNDUP(INDEX(Upgrades!$C$3:$C$13,MATCH(C255,Upgrades!$B$3:$B$13,0))*1.15^(COUNTIF(C$4:C254,C255)-COUNTIF(C$4:C254,""Sell_""&amp;C255))))))"),"")</f>
        <v/>
      </c>
      <c r="H255" s="10" t="str">
        <f t="shared" si="3"/>
        <v/>
      </c>
      <c r="I255" s="68" t="str">
        <f t="shared" si="4"/>
        <v/>
      </c>
      <c r="J255" s="59" t="str">
        <f t="shared" si="5"/>
        <v/>
      </c>
      <c r="K255" s="69" t="str">
        <f t="shared" si="6"/>
        <v/>
      </c>
      <c r="L255" s="60">
        <f t="shared" si="7"/>
        <v>-94.43929</v>
      </c>
      <c r="M255" s="61">
        <f>IFERROR(__xludf.DUMMYFUNCTION("IFS(AND(COUNTA(C255:C1644)=0,COUNTA(Q255:Q1644)=0),"""",OR(AND(K255&gt;=1000000000,OR(Y255&gt;=1000000000,COUNTA(Q255:Q1644)=0)),OR(Y255&gt;=1000000000,AND(COUNTA(C255:C1644)=0,P$3=TRUE))),
ROUNDDOWN((AB$1-AC$1)*MAX(INDEX(T$4:T1644,MATCH(LARGE(FILTER(Y$4:Y1644,Y$4"&amp;":Y1644&lt;1000000000),1),Y$4:Y1644)),INDEX(F$4:F1644,MATCH(LARGE(FILTER(K$4:K1644,K$4:K1644&lt;1000000000),1),K$4:K1644)))),AND(K255&lt;1000000000,COUNTA(C255:C1644)&gt;0,P$3=FALSE),
ROUNDDOWN(INDEX(Y$4:Y1644,MATCH(LARGE(FILTER(W$4:W1644,W$4:W1644&lt;=I255),1),W$4:W1644"&amp;"))+(I255-LARGE(FILTER(W$4:W1644,W$4:W1644&lt;=I255),1))*INDEX(T$4:T1644,MATCH(LARGE(FILTER(W$4:W1644,W$4:W1644&lt;=I255),1),W$4:W1644))-K255),1,
ROUNDDOWN(Y255-INDEX(K$4:K1644,MATCH(LARGE(FILTER(I$4:I1644,I$4:I1644&lt;=W255),1),I$4:I1644))-(W255-LARGE(FILTER(I$4:I"&amp;"1644,I$4:I1644&lt;=W255),1))*INDEX(F$4:F1644,MATCH(LARGE(FILTER(I$4:I1644,I$4:I1644&lt;=W255),1),I$4:I1644))))"),1.9984874E7)</f>
        <v>19984874</v>
      </c>
      <c r="N255" s="60">
        <f t="shared" si="8"/>
        <v>-94.43929</v>
      </c>
      <c r="O255" s="61" t="str">
        <f t="shared" si="9"/>
        <v>20,0M</v>
      </c>
      <c r="P255" s="56">
        <f t="shared" si="10"/>
        <v>2</v>
      </c>
      <c r="Q255" s="105" t="s">
        <v>8</v>
      </c>
      <c r="R255" s="10"/>
      <c r="S255" s="59">
        <f t="array" ref="S255">IF(COUNTA(Q255:Q1644)=0,"",SUM((COUNTIF(Q$4:Q255,Upgrades!$B$3:$B$13)-COUNTIF(Q$4:Q255,"Sell_"&amp;Upgrades!$B$3:$B$13))*Upgrades!$D$3:$D$13))</f>
        <v>271941</v>
      </c>
      <c r="T255" s="66">
        <f>IFERROR(__xludf.DUMMYFUNCTION("IF(COUNTA(Q255:Q1644)=0,"""",IF(REGEXMATCH(INDEX(FILTER(Q$4:Q255,Q$4:Q255&lt;&gt;""""),ROWS(FILTER(Q$4:Q255,Q$4:Q255&lt;&gt;""""))),""^Sell_""),INDEX(FILTER(T$4:T254,Q$4:Q254&lt;&gt;""""),ROWS(FILTER(Q$4:Q254,Q$4:Q254&lt;&gt;""""))),$AD$5+S255))"),271951.0)</f>
        <v>271951</v>
      </c>
      <c r="U255" s="10">
        <f>IFERROR(__xludf.DUMMYFUNCTION("IF(COUNTA(Q255:Q1644)=0,"""",IF(Q255="""",0,IF(REGEXMATCH(Q255,""^Sell_""),-ROUNDDOWN(ROUNDUP(INDEX(Upgrades!$C$3:$C$13,MATCH(SUBSTITUTE(Q255,""Sell_"",""""),Upgrades!$B$3:$B$13,0))*1.15^(COUNTIF(Q$4:Q254,SUBSTITUTE(Q255,""Sell_"",""""))-COUNTIF(Q$4:Q254,"&amp;"""Sell_""&amp;SUBSTITUTE(Q255,""Sell_"",""""))))/2),ROUNDUP(INDEX(Upgrades!$C$3:$C$13,MATCH(Q255,Upgrades!$B$3:$B$13,0))*1.15^(COUNTIF(Q$4:Q254,Q255)-COUNTIF(Q$4:Q254,""Sell_""&amp;Q255))))))"),46000.0)</f>
        <v>46000</v>
      </c>
      <c r="V255" s="10">
        <f t="shared" si="11"/>
        <v>46000</v>
      </c>
      <c r="W255" s="68">
        <f t="shared" si="12"/>
        <v>6192.604654</v>
      </c>
      <c r="X255" s="59" t="str">
        <f t="shared" si="13"/>
        <v>1h 43m 12s</v>
      </c>
      <c r="Y255" s="69">
        <f t="shared" si="14"/>
        <v>360120322</v>
      </c>
      <c r="Z255" s="11"/>
      <c r="AG255" s="59"/>
    </row>
    <row r="256">
      <c r="A256" s="8"/>
      <c r="B256" s="56" t="str">
        <f t="shared" si="2"/>
        <v/>
      </c>
      <c r="C256" s="105"/>
      <c r="D256" s="10"/>
      <c r="E256" s="59" t="str">
        <f t="array" ref="E256">IF(COUNTA(C256:C1644)=0,"",SUM((COUNTIF(C$4:C256,Upgrades!$B$3:$B$13)-COUNTIF(C$4:C256,"Sell_"&amp;Upgrades!$B$3:$B$13))*Upgrades!$D$3:$D$13))</f>
        <v/>
      </c>
      <c r="F256" s="66" t="str">
        <f>IFERROR(__xludf.DUMMYFUNCTION("IF(COUNTA(C256:C1644)=0,"""",IF(REGEXMATCH(INDEX(FILTER(C$4:C256,C$4:C256&lt;&gt;""""),ROWS(FILTER(C$4:C256,C$4:C256&lt;&gt;""""))),""^Sell_""),INDEX(FILTER(F$4:F255,C$4:C255&lt;&gt;""""),ROWS(FILTER(C$4:C255,C$4:C255&lt;&gt;""""))),$AC$5+E256))"),"")</f>
        <v/>
      </c>
      <c r="G256" s="10" t="str">
        <f>IFERROR(__xludf.DUMMYFUNCTION("IF(COUNTA(C256:C1644)=0,"""",IF(C256="""",0,IF(REGEXMATCH(C256,""^Sell_""),-ROUNDDOWN(ROUNDUP(INDEX(Upgrades!$C$3:$C$13,MATCH(SUBSTITUTE(C256,""Sell_"",""""),Upgrades!$B$3:$B$13,0))*1.15^(COUNTIF(C$4:C255,SUBSTITUTE(C256,""Sell_"",""""))-COUNTIF(C$4:C255,"&amp;"""Sell_""&amp;SUBSTITUTE(C256,""Sell_"",""""))))/2),ROUNDUP(INDEX(Upgrades!$C$3:$C$13,MATCH(C256,Upgrades!$B$3:$B$13,0))*1.15^(COUNTIF(C$4:C255,C256)-COUNTIF(C$4:C255,""Sell_""&amp;C256))))))"),"")</f>
        <v/>
      </c>
      <c r="H256" s="10" t="str">
        <f t="shared" si="3"/>
        <v/>
      </c>
      <c r="I256" s="68" t="str">
        <f t="shared" si="4"/>
        <v/>
      </c>
      <c r="J256" s="59" t="str">
        <f t="shared" si="5"/>
        <v/>
      </c>
      <c r="K256" s="69" t="str">
        <f t="shared" si="6"/>
        <v/>
      </c>
      <c r="L256" s="60">
        <f t="shared" si="7"/>
        <v>-94.64897</v>
      </c>
      <c r="M256" s="61">
        <f>IFERROR(__xludf.DUMMYFUNCTION("IFS(AND(COUNTA(C256:C1644)=0,COUNTA(Q256:Q1644)=0),"""",OR(AND(K256&gt;=1000000000,OR(Y256&gt;=1000000000,COUNTA(Q256:Q1644)=0)),OR(Y256&gt;=1000000000,AND(COUNTA(C256:C1644)=0,P$3=TRUE))),
ROUNDDOWN((AB$1-AC$1)*MAX(INDEX(T$4:T1644,MATCH(LARGE(FILTER(Y$4:Y1644,Y$4"&amp;":Y1644&lt;1000000000),1),Y$4:Y1644)),INDEX(F$4:F1644,MATCH(LARGE(FILTER(K$4:K1644,K$4:K1644&lt;1000000000),1),K$4:K1644)))),AND(K256&lt;1000000000,COUNTA(C256:C1644)&gt;0,P$3=FALSE),
ROUNDDOWN(INDEX(Y$4:Y1644,MATCH(LARGE(FILTER(W$4:W1644,W$4:W1644&lt;=I256),1),W$4:W1644"&amp;"))+(I256-LARGE(FILTER(W$4:W1644,W$4:W1644&lt;=I256),1))*INDEX(T$4:T1644,MATCH(LARGE(FILTER(W$4:W1644,W$4:W1644&lt;=I256),1),W$4:W1644))-K256),1,
ROUNDDOWN(Y256-INDEX(K$4:K1644,MATCH(LARGE(FILTER(I$4:I1644,I$4:I1644&lt;=W256),1),I$4:I1644))-(W256-LARGE(FILTER(I$4:I"&amp;"1644,I$4:I1644&lt;=W256),1))*INDEX(F$4:F1644,MATCH(LARGE(FILTER(I$4:I1644,I$4:I1644&lt;=W256),1),I$4:I1644))))"),2.0029246E7)</f>
        <v>20029246</v>
      </c>
      <c r="N256" s="60">
        <f t="shared" si="8"/>
        <v>-94.64897</v>
      </c>
      <c r="O256" s="61" t="str">
        <f t="shared" si="9"/>
        <v>20,0M</v>
      </c>
      <c r="P256" s="56">
        <f t="shared" si="10"/>
        <v>1</v>
      </c>
      <c r="Q256" s="105" t="s">
        <v>9</v>
      </c>
      <c r="R256" s="10"/>
      <c r="S256" s="59">
        <f t="array" ref="S256">IF(COUNTA(Q256:Q1644)=0,"",SUM((COUNTIF(Q$4:Q256,Upgrades!$B$3:$B$13)-COUNTIF(Q$4:Q256,"Sell_"&amp;Upgrades!$B$3:$B$13))*Upgrades!$D$3:$D$13))</f>
        <v>272341</v>
      </c>
      <c r="T256" s="66">
        <f>IFERROR(__xludf.DUMMYFUNCTION("IF(COUNTA(Q256:Q1644)=0,"""",IF(REGEXMATCH(INDEX(FILTER(Q$4:Q256,Q$4:Q256&lt;&gt;""""),ROWS(FILTER(Q$4:Q256,Q$4:Q256&lt;&gt;""""))),""^Sell_""),INDEX(FILTER(T$4:T255,Q$4:Q255&lt;&gt;""""),ROWS(FILTER(Q$4:Q255,Q$4:Q255&lt;&gt;""""))),$AD$5+S256))"),272351.0)</f>
        <v>272351</v>
      </c>
      <c r="U256" s="10">
        <f>IFERROR(__xludf.DUMMYFUNCTION("IF(COUNTA(Q256:Q1644)=0,"""",IF(Q256="""",0,IF(REGEXMATCH(Q256,""^Sell_""),-ROUNDDOWN(ROUNDUP(INDEX(Upgrades!$C$3:$C$13,MATCH(SUBSTITUTE(Q256,""Sell_"",""""),Upgrades!$B$3:$B$13,0))*1.15^(COUNTIF(Q$4:Q255,SUBSTITUTE(Q256,""Sell_"",""""))-COUNTIF(Q$4:Q255,"&amp;"""Sell_""&amp;SUBSTITUTE(Q256,""Sell_"",""""))))/2),ROUNDUP(INDEX(Upgrades!$C$3:$C$13,MATCH(Q256,Upgrades!$B$3:$B$13,0))*1.15^(COUNTIF(Q$4:Q255,Q256)-COUNTIF(Q$4:Q255,""Sell_""&amp;Q256))))))"),200000.0)</f>
        <v>200000</v>
      </c>
      <c r="V256" s="10">
        <f t="shared" si="11"/>
        <v>200000</v>
      </c>
      <c r="W256" s="68">
        <f t="shared" si="12"/>
        <v>6193.340081</v>
      </c>
      <c r="X256" s="59" t="str">
        <f t="shared" si="13"/>
        <v>1h 43m 13s</v>
      </c>
      <c r="Y256" s="69">
        <f t="shared" si="14"/>
        <v>360320322</v>
      </c>
      <c r="Z256" s="11"/>
      <c r="AG256" s="59"/>
    </row>
    <row r="257">
      <c r="A257" s="8"/>
      <c r="B257" s="56" t="str">
        <f t="shared" si="2"/>
        <v/>
      </c>
      <c r="C257" s="105"/>
      <c r="D257" s="10"/>
      <c r="E257" s="59" t="str">
        <f t="array" ref="E257">IF(COUNTA(C257:C1644)=0,"",SUM((COUNTIF(C$4:C257,Upgrades!$B$3:$B$13)-COUNTIF(C$4:C257,"Sell_"&amp;Upgrades!$B$3:$B$13))*Upgrades!$D$3:$D$13))</f>
        <v/>
      </c>
      <c r="F257" s="66" t="str">
        <f>IFERROR(__xludf.DUMMYFUNCTION("IF(COUNTA(C257:C1644)=0,"""",IF(REGEXMATCH(INDEX(FILTER(C$4:C257,C$4:C257&lt;&gt;""""),ROWS(FILTER(C$4:C257,C$4:C257&lt;&gt;""""))),""^Sell_""),INDEX(FILTER(F$4:F256,C$4:C256&lt;&gt;""""),ROWS(FILTER(C$4:C256,C$4:C256&lt;&gt;""""))),$AC$5+E257))"),"")</f>
        <v/>
      </c>
      <c r="G257" s="10" t="str">
        <f>IFERROR(__xludf.DUMMYFUNCTION("IF(COUNTA(C257:C1644)=0,"""",IF(C257="""",0,IF(REGEXMATCH(C257,""^Sell_""),-ROUNDDOWN(ROUNDUP(INDEX(Upgrades!$C$3:$C$13,MATCH(SUBSTITUTE(C257,""Sell_"",""""),Upgrades!$B$3:$B$13,0))*1.15^(COUNTIF(C$4:C256,SUBSTITUTE(C257,""Sell_"",""""))-COUNTIF(C$4:C256,"&amp;"""Sell_""&amp;SUBSTITUTE(C257,""Sell_"",""""))))/2),ROUNDUP(INDEX(Upgrades!$C$3:$C$13,MATCH(C257,Upgrades!$B$3:$B$13,0))*1.15^(COUNTIF(C$4:C256,C257)-COUNTIF(C$4:C256,""Sell_""&amp;C257))))))"),"")</f>
        <v/>
      </c>
      <c r="H257" s="10" t="str">
        <f t="shared" si="3"/>
        <v/>
      </c>
      <c r="I257" s="68" t="str">
        <f t="shared" si="4"/>
        <v/>
      </c>
      <c r="J257" s="59" t="str">
        <f t="shared" si="5"/>
        <v/>
      </c>
      <c r="K257" s="69" t="str">
        <f t="shared" si="6"/>
        <v/>
      </c>
      <c r="L257" s="60">
        <f t="shared" si="7"/>
        <v>-94.70472</v>
      </c>
      <c r="M257" s="61">
        <f>IFERROR(__xludf.DUMMYFUNCTION("IFS(AND(COUNTA(C257:C1644)=0,COUNTA(Q257:Q1644)=0),"""",OR(AND(K257&gt;=1000000000,OR(Y257&gt;=1000000000,COUNTA(Q257:Q1644)=0)),OR(Y257&gt;=1000000000,AND(COUNTA(C257:C1644)=0,P$3=TRUE))),
ROUNDDOWN((AB$1-AC$1)*MAX(INDEX(T$4:T1644,MATCH(LARGE(FILTER(Y$4:Y1644,Y$4"&amp;":Y1644&lt;1000000000),1),Y$4:Y1644)),INDEX(F$4:F1644,MATCH(LARGE(FILTER(K$4:K1644,K$4:K1644&lt;1000000000),1),K$4:K1644)))),AND(K257&lt;1000000000,COUNTA(C257:C1644)&gt;0,P$3=FALSE),
ROUNDDOWN(INDEX(Y$4:Y1644,MATCH(LARGE(FILTER(W$4:W1644,W$4:W1644&lt;=I257),1),W$4:W1644"&amp;"))+(I257-LARGE(FILTER(W$4:W1644,W$4:W1644&lt;=I257),1))*INDEX(T$4:T1644,MATCH(LARGE(FILTER(W$4:W1644,W$4:W1644&lt;=I257),1),W$4:W1644))-K257),1,
ROUNDDOWN(Y257-INDEX(K$4:K1644,MATCH(LARGE(FILTER(I$4:I1644,I$4:I1644&lt;=W257),1),I$4:I1644))-(W257-LARGE(FILTER(I$4:I"&amp;"1644,I$4:I1644&lt;=W257),1))*INDEX(F$4:F1644,MATCH(LARGE(FILTER(I$4:I1644,I$4:I1644&lt;=W257),1),I$4:I1644))))"),2.0041043E7)</f>
        <v>20041043</v>
      </c>
      <c r="N257" s="60">
        <f t="shared" si="8"/>
        <v>-94.70472</v>
      </c>
      <c r="O257" s="61" t="str">
        <f t="shared" si="9"/>
        <v>20,0M</v>
      </c>
      <c r="P257" s="56">
        <f t="shared" si="10"/>
        <v>3</v>
      </c>
      <c r="Q257" s="105" t="s">
        <v>8</v>
      </c>
      <c r="R257" s="10"/>
      <c r="S257" s="59">
        <f t="array" ref="S257">IF(COUNTA(Q257:Q1644)=0,"",SUM((COUNTIF(Q$4:Q257,Upgrades!$B$3:$B$13)-COUNTIF(Q$4:Q257,"Sell_"&amp;Upgrades!$B$3:$B$13))*Upgrades!$D$3:$D$13))</f>
        <v>272441</v>
      </c>
      <c r="T257" s="66">
        <f>IFERROR(__xludf.DUMMYFUNCTION("IF(COUNTA(Q257:Q1644)=0,"""",IF(REGEXMATCH(INDEX(FILTER(Q$4:Q257,Q$4:Q257&lt;&gt;""""),ROWS(FILTER(Q$4:Q257,Q$4:Q257&lt;&gt;""""))),""^Sell_""),INDEX(FILTER(T$4:T256,Q$4:Q256&lt;&gt;""""),ROWS(FILTER(Q$4:Q256,Q$4:Q256&lt;&gt;""""))),$AD$5+S257))"),272451.0)</f>
        <v>272451</v>
      </c>
      <c r="U257" s="10">
        <f>IFERROR(__xludf.DUMMYFUNCTION("IF(COUNTA(Q257:Q1644)=0,"""",IF(Q257="""",0,IF(REGEXMATCH(Q257,""^Sell_""),-ROUNDDOWN(ROUNDUP(INDEX(Upgrades!$C$3:$C$13,MATCH(SUBSTITUTE(Q257,""Sell_"",""""),Upgrades!$B$3:$B$13,0))*1.15^(COUNTIF(Q$4:Q256,SUBSTITUTE(Q257,""Sell_"",""""))-COUNTIF(Q$4:Q256,"&amp;"""Sell_""&amp;SUBSTITUTE(Q257,""Sell_"",""""))))/2),ROUNDUP(INDEX(Upgrades!$C$3:$C$13,MATCH(Q257,Upgrades!$B$3:$B$13,0))*1.15^(COUNTIF(Q$4:Q256,Q257)-COUNTIF(Q$4:Q256,""Sell_""&amp;Q257))))))"),52900.0)</f>
        <v>52900</v>
      </c>
      <c r="V257" s="10">
        <f t="shared" si="11"/>
        <v>52900</v>
      </c>
      <c r="W257" s="68">
        <f t="shared" si="12"/>
        <v>6193.534315</v>
      </c>
      <c r="X257" s="59" t="str">
        <f t="shared" si="13"/>
        <v>1h 43m 13s</v>
      </c>
      <c r="Y257" s="69">
        <f t="shared" si="14"/>
        <v>360373222</v>
      </c>
      <c r="Z257" s="11"/>
      <c r="AG257" s="59"/>
    </row>
    <row r="258">
      <c r="A258" s="8"/>
      <c r="B258" s="56" t="str">
        <f t="shared" si="2"/>
        <v/>
      </c>
      <c r="C258" s="105"/>
      <c r="D258" s="10"/>
      <c r="E258" s="59" t="str">
        <f t="array" ref="E258">IF(COUNTA(C258:C1644)=0,"",SUM((COUNTIF(C$4:C258,Upgrades!$B$3:$B$13)-COUNTIF(C$4:C258,"Sell_"&amp;Upgrades!$B$3:$B$13))*Upgrades!$D$3:$D$13))</f>
        <v/>
      </c>
      <c r="F258" s="66" t="str">
        <f>IFERROR(__xludf.DUMMYFUNCTION("IF(COUNTA(C258:C1644)=0,"""",IF(REGEXMATCH(INDEX(FILTER(C$4:C258,C$4:C258&lt;&gt;""""),ROWS(FILTER(C$4:C258,C$4:C258&lt;&gt;""""))),""^Sell_""),INDEX(FILTER(F$4:F257,C$4:C257&lt;&gt;""""),ROWS(FILTER(C$4:C257,C$4:C257&lt;&gt;""""))),$AC$5+E258))"),"")</f>
        <v/>
      </c>
      <c r="G258" s="10" t="str">
        <f>IFERROR(__xludf.DUMMYFUNCTION("IF(COUNTA(C258:C1644)=0,"""",IF(C258="""",0,IF(REGEXMATCH(C258,""^Sell_""),-ROUNDDOWN(ROUNDUP(INDEX(Upgrades!$C$3:$C$13,MATCH(SUBSTITUTE(C258,""Sell_"",""""),Upgrades!$B$3:$B$13,0))*1.15^(COUNTIF(C$4:C257,SUBSTITUTE(C258,""Sell_"",""""))-COUNTIF(C$4:C257,"&amp;"""Sell_""&amp;SUBSTITUTE(C258,""Sell_"",""""))))/2),ROUNDUP(INDEX(Upgrades!$C$3:$C$13,MATCH(C258,Upgrades!$B$3:$B$13,0))*1.15^(COUNTIF(C$4:C257,C258)-COUNTIF(C$4:C257,""Sell_""&amp;C258))))))"),"")</f>
        <v/>
      </c>
      <c r="H258" s="10" t="str">
        <f t="shared" si="3"/>
        <v/>
      </c>
      <c r="I258" s="68" t="str">
        <f t="shared" si="4"/>
        <v/>
      </c>
      <c r="J258" s="59" t="str">
        <f t="shared" si="5"/>
        <v/>
      </c>
      <c r="K258" s="69" t="str">
        <f t="shared" si="6"/>
        <v/>
      </c>
      <c r="L258" s="60">
        <f t="shared" si="7"/>
        <v>-94.9474</v>
      </c>
      <c r="M258" s="61">
        <f>IFERROR(__xludf.DUMMYFUNCTION("IFS(AND(COUNTA(C258:C1644)=0,COUNTA(Q258:Q1644)=0),"""",OR(AND(K258&gt;=1000000000,OR(Y258&gt;=1000000000,COUNTA(Q258:Q1644)=0)),OR(Y258&gt;=1000000000,AND(COUNTA(C258:C1644)=0,P$3=TRUE))),
ROUNDDOWN((AB$1-AC$1)*MAX(INDEX(T$4:T1644,MATCH(LARGE(FILTER(Y$4:Y1644,Y$4"&amp;":Y1644&lt;1000000000),1),Y$4:Y1644)),INDEX(F$4:F1644,MATCH(LARGE(FILTER(K$4:K1644,K$4:K1644&lt;1000000000),1),K$4:K1644)))),AND(K258&lt;1000000000,COUNTA(C258:C1644)&gt;0,P$3=FALSE),
ROUNDDOWN(INDEX(Y$4:Y1644,MATCH(LARGE(FILTER(W$4:W1644,W$4:W1644&lt;=I258),1),W$4:W1644"&amp;"))+(I258-LARGE(FILTER(W$4:W1644,W$4:W1644&lt;=I258),1))*INDEX(T$4:T1644,MATCH(LARGE(FILTER(W$4:W1644,W$4:W1644&lt;=I258),1),W$4:W1644))-K258),1,
ROUNDDOWN(Y258-INDEX(K$4:K1644,MATCH(LARGE(FILTER(I$4:I1644,I$4:I1644&lt;=W258),1),I$4:I1644))-(W258-LARGE(FILTER(I$4:I"&amp;"1644,I$4:I1644&lt;=W258),1))*INDEX(F$4:F1644,MATCH(LARGE(FILTER(I$4:I1644,I$4:I1644&lt;=W258),1),I$4:I1644))))"),2.0092399E7)</f>
        <v>20092399</v>
      </c>
      <c r="N258" s="60">
        <f t="shared" si="8"/>
        <v>-94.9474</v>
      </c>
      <c r="O258" s="61" t="str">
        <f t="shared" si="9"/>
        <v>20,1M</v>
      </c>
      <c r="P258" s="56">
        <f t="shared" si="10"/>
        <v>2</v>
      </c>
      <c r="Q258" s="105" t="s">
        <v>9</v>
      </c>
      <c r="R258" s="10"/>
      <c r="S258" s="59">
        <f t="array" ref="S258">IF(COUNTA(Q258:Q1644)=0,"",SUM((COUNTIF(Q$4:Q258,Upgrades!$B$3:$B$13)-COUNTIF(Q$4:Q258,"Sell_"&amp;Upgrades!$B$3:$B$13))*Upgrades!$D$3:$D$13))</f>
        <v>272841</v>
      </c>
      <c r="T258" s="66">
        <f>IFERROR(__xludf.DUMMYFUNCTION("IF(COUNTA(Q258:Q1644)=0,"""",IF(REGEXMATCH(INDEX(FILTER(Q$4:Q258,Q$4:Q258&lt;&gt;""""),ROWS(FILTER(Q$4:Q258,Q$4:Q258&lt;&gt;""""))),""^Sell_""),INDEX(FILTER(T$4:T257,Q$4:Q257&lt;&gt;""""),ROWS(FILTER(Q$4:Q257,Q$4:Q257&lt;&gt;""""))),$AD$5+S258))"),272851.0)</f>
        <v>272851</v>
      </c>
      <c r="U258" s="10">
        <f>IFERROR(__xludf.DUMMYFUNCTION("IF(COUNTA(Q258:Q1644)=0,"""",IF(Q258="""",0,IF(REGEXMATCH(Q258,""^Sell_""),-ROUNDDOWN(ROUNDUP(INDEX(Upgrades!$C$3:$C$13,MATCH(SUBSTITUTE(Q258,""Sell_"",""""),Upgrades!$B$3:$B$13,0))*1.15^(COUNTIF(Q$4:Q257,SUBSTITUTE(Q258,""Sell_"",""""))-COUNTIF(Q$4:Q257,"&amp;"""Sell_""&amp;SUBSTITUTE(Q258,""Sell_"",""""))))/2),ROUNDUP(INDEX(Upgrades!$C$3:$C$13,MATCH(Q258,Upgrades!$B$3:$B$13,0))*1.15^(COUNTIF(Q$4:Q257,Q258)-COUNTIF(Q$4:Q257,""Sell_""&amp;Q258))))))"),230000.0)</f>
        <v>230000</v>
      </c>
      <c r="V258" s="10">
        <f t="shared" si="11"/>
        <v>230000</v>
      </c>
      <c r="W258" s="68">
        <f t="shared" si="12"/>
        <v>6194.378504</v>
      </c>
      <c r="X258" s="59" t="str">
        <f t="shared" si="13"/>
        <v>1h 43m 14s</v>
      </c>
      <c r="Y258" s="69">
        <f t="shared" si="14"/>
        <v>360603222</v>
      </c>
      <c r="Z258" s="11"/>
      <c r="AG258" s="59"/>
    </row>
    <row r="259">
      <c r="A259" s="8"/>
      <c r="B259" s="56" t="str">
        <f t="shared" si="2"/>
        <v/>
      </c>
      <c r="C259" s="105"/>
      <c r="D259" s="10"/>
      <c r="E259" s="59" t="str">
        <f t="array" ref="E259">IF(COUNTA(C259:C1644)=0,"",SUM((COUNTIF(C$4:C259,Upgrades!$B$3:$B$13)-COUNTIF(C$4:C259,"Sell_"&amp;Upgrades!$B$3:$B$13))*Upgrades!$D$3:$D$13))</f>
        <v/>
      </c>
      <c r="F259" s="66" t="str">
        <f>IFERROR(__xludf.DUMMYFUNCTION("IF(COUNTA(C259:C1644)=0,"""",IF(REGEXMATCH(INDEX(FILTER(C$4:C259,C$4:C259&lt;&gt;""""),ROWS(FILTER(C$4:C259,C$4:C259&lt;&gt;""""))),""^Sell_""),INDEX(FILTER(F$4:F258,C$4:C258&lt;&gt;""""),ROWS(FILTER(C$4:C258,C$4:C258&lt;&gt;""""))),$AC$5+E259))"),"")</f>
        <v/>
      </c>
      <c r="G259" s="10" t="str">
        <f>IFERROR(__xludf.DUMMYFUNCTION("IF(COUNTA(C259:C1644)=0,"""",IF(C259="""",0,IF(REGEXMATCH(C259,""^Sell_""),-ROUNDDOWN(ROUNDUP(INDEX(Upgrades!$C$3:$C$13,MATCH(SUBSTITUTE(C259,""Sell_"",""""),Upgrades!$B$3:$B$13,0))*1.15^(COUNTIF(C$4:C258,SUBSTITUTE(C259,""Sell_"",""""))-COUNTIF(C$4:C258,"&amp;"""Sell_""&amp;SUBSTITUTE(C259,""Sell_"",""""))))/2),ROUNDUP(INDEX(Upgrades!$C$3:$C$13,MATCH(C259,Upgrades!$B$3:$B$13,0))*1.15^(COUNTIF(C$4:C258,C259)-COUNTIF(C$4:C258,""Sell_""&amp;C259))))))"),"")</f>
        <v/>
      </c>
      <c r="H259" s="10" t="str">
        <f t="shared" si="3"/>
        <v/>
      </c>
      <c r="I259" s="68" t="str">
        <f t="shared" si="4"/>
        <v/>
      </c>
      <c r="J259" s="59" t="str">
        <f t="shared" si="5"/>
        <v/>
      </c>
      <c r="K259" s="69" t="str">
        <f t="shared" si="6"/>
        <v/>
      </c>
      <c r="L259" s="60">
        <f t="shared" si="7"/>
        <v>-95.01192</v>
      </c>
      <c r="M259" s="61">
        <f>IFERROR(__xludf.DUMMYFUNCTION("IFS(AND(COUNTA(C259:C1644)=0,COUNTA(Q259:Q1644)=0),"""",OR(AND(K259&gt;=1000000000,OR(Y259&gt;=1000000000,COUNTA(Q259:Q1644)=0)),OR(Y259&gt;=1000000000,AND(COUNTA(C259:C1644)=0,P$3=TRUE))),
ROUNDDOWN((AB$1-AC$1)*MAX(INDEX(T$4:T1644,MATCH(LARGE(FILTER(Y$4:Y1644,Y$4"&amp;":Y1644&lt;1000000000),1),Y$4:Y1644)),INDEX(F$4:F1644,MATCH(LARGE(FILTER(K$4:K1644,K$4:K1644&lt;1000000000),1),K$4:K1644)))),AND(K259&lt;1000000000,COUNTA(C259:C1644)&gt;0,P$3=FALSE),
ROUNDDOWN(INDEX(Y$4:Y1644,MATCH(LARGE(FILTER(W$4:W1644,W$4:W1644&lt;=I259),1),W$4:W1644"&amp;"))+(I259-LARGE(FILTER(W$4:W1644,W$4:W1644&lt;=I259),1))*INDEX(T$4:T1644,MATCH(LARGE(FILTER(W$4:W1644,W$4:W1644&lt;=I259),1),W$4:W1644))-K259),1,
ROUNDDOWN(Y259-INDEX(K$4:K1644,MATCH(LARGE(FILTER(I$4:I1644,I$4:I1644&lt;=W259),1),I$4:I1644))-(W259-LARGE(FILTER(I$4:I"&amp;"1644,I$4:I1644&lt;=W259),1))*INDEX(F$4:F1644,MATCH(LARGE(FILTER(I$4:I1644,I$4:I1644&lt;=W259),1),I$4:I1644))))"),2.0106052E7)</f>
        <v>20106052</v>
      </c>
      <c r="N259" s="60">
        <f t="shared" si="8"/>
        <v>-95.01192</v>
      </c>
      <c r="O259" s="61" t="str">
        <f t="shared" si="9"/>
        <v>20,1M</v>
      </c>
      <c r="P259" s="56">
        <f t="shared" si="10"/>
        <v>4</v>
      </c>
      <c r="Q259" s="105" t="s">
        <v>8</v>
      </c>
      <c r="R259" s="10"/>
      <c r="S259" s="59">
        <f t="array" ref="S259">IF(COUNTA(Q259:Q1644)=0,"",SUM((COUNTIF(Q$4:Q259,Upgrades!$B$3:$B$13)-COUNTIF(Q$4:Q259,"Sell_"&amp;Upgrades!$B$3:$B$13))*Upgrades!$D$3:$D$13))</f>
        <v>272941</v>
      </c>
      <c r="T259" s="66">
        <f>IFERROR(__xludf.DUMMYFUNCTION("IF(COUNTA(Q259:Q1644)=0,"""",IF(REGEXMATCH(INDEX(FILTER(Q$4:Q259,Q$4:Q259&lt;&gt;""""),ROWS(FILTER(Q$4:Q259,Q$4:Q259&lt;&gt;""""))),""^Sell_""),INDEX(FILTER(T$4:T258,Q$4:Q258&lt;&gt;""""),ROWS(FILTER(Q$4:Q258,Q$4:Q258&lt;&gt;""""))),$AD$5+S259))"),272951.0)</f>
        <v>272951</v>
      </c>
      <c r="U259" s="10">
        <f>IFERROR(__xludf.DUMMYFUNCTION("IF(COUNTA(Q259:Q1644)=0,"""",IF(Q259="""",0,IF(REGEXMATCH(Q259,""^Sell_""),-ROUNDDOWN(ROUNDUP(INDEX(Upgrades!$C$3:$C$13,MATCH(SUBSTITUTE(Q259,""Sell_"",""""),Upgrades!$B$3:$B$13,0))*1.15^(COUNTIF(Q$4:Q258,SUBSTITUTE(Q259,""Sell_"",""""))-COUNTIF(Q$4:Q258,"&amp;"""Sell_""&amp;SUBSTITUTE(Q259,""Sell_"",""""))))/2),ROUNDUP(INDEX(Upgrades!$C$3:$C$13,MATCH(Q259,Upgrades!$B$3:$B$13,0))*1.15^(COUNTIF(Q$4:Q258,Q259)-COUNTIF(Q$4:Q258,""Sell_""&amp;Q259))))))"),60835.0)</f>
        <v>60835</v>
      </c>
      <c r="V259" s="10">
        <f t="shared" si="11"/>
        <v>60835</v>
      </c>
      <c r="W259" s="68">
        <f t="shared" si="12"/>
        <v>6194.601464</v>
      </c>
      <c r="X259" s="59" t="str">
        <f t="shared" si="13"/>
        <v>1h 43m 14s</v>
      </c>
      <c r="Y259" s="69">
        <f t="shared" si="14"/>
        <v>360664057</v>
      </c>
      <c r="Z259" s="11"/>
      <c r="AG259" s="59"/>
    </row>
    <row r="260">
      <c r="A260" s="8"/>
      <c r="B260" s="56" t="str">
        <f t="shared" si="2"/>
        <v/>
      </c>
      <c r="C260" s="105"/>
      <c r="D260" s="10"/>
      <c r="E260" s="59" t="str">
        <f t="array" ref="E260">IF(COUNTA(C260:C1644)=0,"",SUM((COUNTIF(C$4:C260,Upgrades!$B$3:$B$13)-COUNTIF(C$4:C260,"Sell_"&amp;Upgrades!$B$3:$B$13))*Upgrades!$D$3:$D$13))</f>
        <v/>
      </c>
      <c r="F260" s="66" t="str">
        <f>IFERROR(__xludf.DUMMYFUNCTION("IF(COUNTA(C260:C1644)=0,"""",IF(REGEXMATCH(INDEX(FILTER(C$4:C260,C$4:C260&lt;&gt;""""),ROWS(FILTER(C$4:C260,C$4:C260&lt;&gt;""""))),""^Sell_""),INDEX(FILTER(F$4:F259,C$4:C259&lt;&gt;""""),ROWS(FILTER(C$4:C259,C$4:C259&lt;&gt;""""))),$AC$5+E260))"),"")</f>
        <v/>
      </c>
      <c r="G260" s="10" t="str">
        <f>IFERROR(__xludf.DUMMYFUNCTION("IF(COUNTA(C260:C1644)=0,"""",IF(C260="""",0,IF(REGEXMATCH(C260,""^Sell_""),-ROUNDDOWN(ROUNDUP(INDEX(Upgrades!$C$3:$C$13,MATCH(SUBSTITUTE(C260,""Sell_"",""""),Upgrades!$B$3:$B$13,0))*1.15^(COUNTIF(C$4:C259,SUBSTITUTE(C260,""Sell_"",""""))-COUNTIF(C$4:C259,"&amp;"""Sell_""&amp;SUBSTITUTE(C260,""Sell_"",""""))))/2),ROUNDUP(INDEX(Upgrades!$C$3:$C$13,MATCH(C260,Upgrades!$B$3:$B$13,0))*1.15^(COUNTIF(C$4:C259,C260)-COUNTIF(C$4:C259,""Sell_""&amp;C260))))))"),"")</f>
        <v/>
      </c>
      <c r="H260" s="10" t="str">
        <f t="shared" si="3"/>
        <v/>
      </c>
      <c r="I260" s="68" t="str">
        <f t="shared" si="4"/>
        <v/>
      </c>
      <c r="J260" s="59" t="str">
        <f t="shared" si="5"/>
        <v/>
      </c>
      <c r="K260" s="69" t="str">
        <f t="shared" si="6"/>
        <v/>
      </c>
      <c r="L260" s="60">
        <f t="shared" si="7"/>
        <v>-95.29279</v>
      </c>
      <c r="M260" s="61">
        <f>IFERROR(__xludf.DUMMYFUNCTION("IFS(AND(COUNTA(C260:C1644)=0,COUNTA(Q260:Q1644)=0),"""",OR(AND(K260&gt;=1000000000,OR(Y260&gt;=1000000000,COUNTA(Q260:Q1644)=0)),OR(Y260&gt;=1000000000,AND(COUNTA(C260:C1644)=0,P$3=TRUE))),
ROUNDDOWN((AB$1-AC$1)*MAX(INDEX(T$4:T1644,MATCH(LARGE(FILTER(Y$4:Y1644,Y$4"&amp;":Y1644&lt;1000000000),1),Y$4:Y1644)),INDEX(F$4:F1644,MATCH(LARGE(FILTER(K$4:K1644,K$4:K1644&lt;1000000000),1),K$4:K1644)))),AND(K260&lt;1000000000,COUNTA(C260:C1644)&gt;0,P$3=FALSE),
ROUNDDOWN(INDEX(Y$4:Y1644,MATCH(LARGE(FILTER(W$4:W1644,W$4:W1644&lt;=I260),1),W$4:W1644"&amp;"))+(I260-LARGE(FILTER(W$4:W1644,W$4:W1644&lt;=I260),1))*INDEX(T$4:T1644,MATCH(LARGE(FILTER(W$4:W1644,W$4:W1644&lt;=I260),1),W$4:W1644))-K260),1,
ROUNDDOWN(Y260-INDEX(K$4:K1644,MATCH(LARGE(FILTER(I$4:I1644,I$4:I1644&lt;=W260),1),I$4:I1644))-(W260-LARGE(FILTER(I$4:I"&amp;"1644,I$4:I1644&lt;=W260),1))*INDEX(F$4:F1644,MATCH(LARGE(FILTER(I$4:I1644,I$4:I1644&lt;=W260),1),I$4:I1644))))"),2.0165488E7)</f>
        <v>20165488</v>
      </c>
      <c r="N260" s="60">
        <f t="shared" si="8"/>
        <v>-95.29279</v>
      </c>
      <c r="O260" s="61" t="str">
        <f t="shared" si="9"/>
        <v>20,2M</v>
      </c>
      <c r="P260" s="56">
        <f t="shared" si="10"/>
        <v>3</v>
      </c>
      <c r="Q260" s="105" t="s">
        <v>9</v>
      </c>
      <c r="R260" s="10"/>
      <c r="S260" s="59">
        <f t="array" ref="S260">IF(COUNTA(Q260:Q1644)=0,"",SUM((COUNTIF(Q$4:Q260,Upgrades!$B$3:$B$13)-COUNTIF(Q$4:Q260,"Sell_"&amp;Upgrades!$B$3:$B$13))*Upgrades!$D$3:$D$13))</f>
        <v>273341</v>
      </c>
      <c r="T260" s="66">
        <f>IFERROR(__xludf.DUMMYFUNCTION("IF(COUNTA(Q260:Q1644)=0,"""",IF(REGEXMATCH(INDEX(FILTER(Q$4:Q260,Q$4:Q260&lt;&gt;""""),ROWS(FILTER(Q$4:Q260,Q$4:Q260&lt;&gt;""""))),""^Sell_""),INDEX(FILTER(T$4:T259,Q$4:Q259&lt;&gt;""""),ROWS(FILTER(Q$4:Q259,Q$4:Q259&lt;&gt;""""))),$AD$5+S260))"),273351.0)</f>
        <v>273351</v>
      </c>
      <c r="U260" s="10">
        <f>IFERROR(__xludf.DUMMYFUNCTION("IF(COUNTA(Q260:Q1644)=0,"""",IF(Q260="""",0,IF(REGEXMATCH(Q260,""^Sell_""),-ROUNDDOWN(ROUNDUP(INDEX(Upgrades!$C$3:$C$13,MATCH(SUBSTITUTE(Q260,""Sell_"",""""),Upgrades!$B$3:$B$13,0))*1.15^(COUNTIF(Q$4:Q259,SUBSTITUTE(Q260,""Sell_"",""""))-COUNTIF(Q$4:Q259,"&amp;"""Sell_""&amp;SUBSTITUTE(Q260,""Sell_"",""""))))/2),ROUNDUP(INDEX(Upgrades!$C$3:$C$13,MATCH(Q260,Upgrades!$B$3:$B$13,0))*1.15^(COUNTIF(Q$4:Q259,Q260)-COUNTIF(Q$4:Q259,""Sell_""&amp;Q260))))))"),264500.0)</f>
        <v>264500</v>
      </c>
      <c r="V260" s="10">
        <f t="shared" si="11"/>
        <v>264500</v>
      </c>
      <c r="W260" s="68">
        <f t="shared" si="12"/>
        <v>6195.570503</v>
      </c>
      <c r="X260" s="59" t="str">
        <f t="shared" si="13"/>
        <v>1h 43m 15s</v>
      </c>
      <c r="Y260" s="69">
        <f t="shared" si="14"/>
        <v>360928557</v>
      </c>
      <c r="Z260" s="11"/>
      <c r="AG260" s="59"/>
    </row>
    <row r="261">
      <c r="A261" s="8"/>
      <c r="B261" s="56" t="str">
        <f t="shared" si="2"/>
        <v/>
      </c>
      <c r="C261" s="105"/>
      <c r="D261" s="10"/>
      <c r="E261" s="59" t="str">
        <f t="array" ref="E261">IF(COUNTA(C261:C1644)=0,"",SUM((COUNTIF(C$4:C261,Upgrades!$B$3:$B$13)-COUNTIF(C$4:C261,"Sell_"&amp;Upgrades!$B$3:$B$13))*Upgrades!$D$3:$D$13))</f>
        <v/>
      </c>
      <c r="F261" s="66" t="str">
        <f>IFERROR(__xludf.DUMMYFUNCTION("IF(COUNTA(C261:C1644)=0,"""",IF(REGEXMATCH(INDEX(FILTER(C$4:C261,C$4:C261&lt;&gt;""""),ROWS(FILTER(C$4:C261,C$4:C261&lt;&gt;""""))),""^Sell_""),INDEX(FILTER(F$4:F260,C$4:C260&lt;&gt;""""),ROWS(FILTER(C$4:C260,C$4:C260&lt;&gt;""""))),$AC$5+E261))"),"")</f>
        <v/>
      </c>
      <c r="G261" s="10" t="str">
        <f>IFERROR(__xludf.DUMMYFUNCTION("IF(COUNTA(C261:C1644)=0,"""",IF(C261="""",0,IF(REGEXMATCH(C261,""^Sell_""),-ROUNDDOWN(ROUNDUP(INDEX(Upgrades!$C$3:$C$13,MATCH(SUBSTITUTE(C261,""Sell_"",""""),Upgrades!$B$3:$B$13,0))*1.15^(COUNTIF(C$4:C260,SUBSTITUTE(C261,""Sell_"",""""))-COUNTIF(C$4:C260,"&amp;"""Sell_""&amp;SUBSTITUTE(C261,""Sell_"",""""))))/2),ROUNDUP(INDEX(Upgrades!$C$3:$C$13,MATCH(C261,Upgrades!$B$3:$B$13,0))*1.15^(COUNTIF(C$4:C260,C261)-COUNTIF(C$4:C260,""Sell_""&amp;C261))))))"),"")</f>
        <v/>
      </c>
      <c r="H261" s="10" t="str">
        <f t="shared" si="3"/>
        <v/>
      </c>
      <c r="I261" s="68" t="str">
        <f t="shared" si="4"/>
        <v/>
      </c>
      <c r="J261" s="59" t="str">
        <f t="shared" si="5"/>
        <v/>
      </c>
      <c r="K261" s="69" t="str">
        <f t="shared" si="6"/>
        <v/>
      </c>
      <c r="L261" s="60">
        <f t="shared" si="7"/>
        <v>-95.36745</v>
      </c>
      <c r="M261" s="61">
        <f>IFERROR(__xludf.DUMMYFUNCTION("IFS(AND(COUNTA(C261:C1644)=0,COUNTA(Q261:Q1644)=0),"""",OR(AND(K261&gt;=1000000000,OR(Y261&gt;=1000000000,COUNTA(Q261:Q1644)=0)),OR(Y261&gt;=1000000000,AND(COUNTA(C261:C1644)=0,P$3=TRUE))),
ROUNDDOWN((AB$1-AC$1)*MAX(INDEX(T$4:T1644,MATCH(LARGE(FILTER(Y$4:Y1644,Y$4"&amp;":Y1644&lt;1000000000),1),Y$4:Y1644)),INDEX(F$4:F1644,MATCH(LARGE(FILTER(K$4:K1644,K$4:K1644&lt;1000000000),1),K$4:K1644)))),AND(K261&lt;1000000000,COUNTA(C261:C1644)&gt;0,P$3=FALSE),
ROUNDDOWN(INDEX(Y$4:Y1644,MATCH(LARGE(FILTER(W$4:W1644,W$4:W1644&lt;=I261),1),W$4:W1644"&amp;"))+(I261-LARGE(FILTER(W$4:W1644,W$4:W1644&lt;=I261),1))*INDEX(T$4:T1644,MATCH(LARGE(FILTER(W$4:W1644,W$4:W1644&lt;=I261),1),W$4:W1644))-K261),1,
ROUNDDOWN(Y261-INDEX(K$4:K1644,MATCH(LARGE(FILTER(I$4:I1644,I$4:I1644&lt;=W261),1),I$4:I1644))-(W261-LARGE(FILTER(I$4:I"&amp;"1644,I$4:I1644&lt;=W261),1))*INDEX(F$4:F1644,MATCH(LARGE(FILTER(I$4:I1644,I$4:I1644&lt;=W261),1),I$4:I1644))))"),2.0181288E7)</f>
        <v>20181288</v>
      </c>
      <c r="N261" s="60">
        <f t="shared" si="8"/>
        <v>-95.36745</v>
      </c>
      <c r="O261" s="61" t="str">
        <f t="shared" si="9"/>
        <v>20,2M</v>
      </c>
      <c r="P261" s="56">
        <f t="shared" si="10"/>
        <v>5</v>
      </c>
      <c r="Q261" s="105" t="s">
        <v>8</v>
      </c>
      <c r="R261" s="10"/>
      <c r="S261" s="59">
        <f t="array" ref="S261">IF(COUNTA(Q261:Q1644)=0,"",SUM((COUNTIF(Q$4:Q261,Upgrades!$B$3:$B$13)-COUNTIF(Q$4:Q261,"Sell_"&amp;Upgrades!$B$3:$B$13))*Upgrades!$D$3:$D$13))</f>
        <v>273441</v>
      </c>
      <c r="T261" s="66">
        <f>IFERROR(__xludf.DUMMYFUNCTION("IF(COUNTA(Q261:Q1644)=0,"""",IF(REGEXMATCH(INDEX(FILTER(Q$4:Q261,Q$4:Q261&lt;&gt;""""),ROWS(FILTER(Q$4:Q261,Q$4:Q261&lt;&gt;""""))),""^Sell_""),INDEX(FILTER(T$4:T260,Q$4:Q260&lt;&gt;""""),ROWS(FILTER(Q$4:Q260,Q$4:Q260&lt;&gt;""""))),$AD$5+S261))"),273451.0)</f>
        <v>273451</v>
      </c>
      <c r="U261" s="10">
        <f>IFERROR(__xludf.DUMMYFUNCTION("IF(COUNTA(Q261:Q1644)=0,"""",IF(Q261="""",0,IF(REGEXMATCH(Q261,""^Sell_""),-ROUNDDOWN(ROUNDUP(INDEX(Upgrades!$C$3:$C$13,MATCH(SUBSTITUTE(Q261,""Sell_"",""""),Upgrades!$B$3:$B$13,0))*1.15^(COUNTIF(Q$4:Q260,SUBSTITUTE(Q261,""Sell_"",""""))-COUNTIF(Q$4:Q260,"&amp;"""Sell_""&amp;SUBSTITUTE(Q261,""Sell_"",""""))))/2),ROUNDUP(INDEX(Upgrades!$C$3:$C$13,MATCH(Q261,Upgrades!$B$3:$B$13,0))*1.15^(COUNTIF(Q$4:Q260,Q261)-COUNTIF(Q$4:Q260,""Sell_""&amp;Q261))))))"),69961.0)</f>
        <v>69961</v>
      </c>
      <c r="V261" s="10">
        <f t="shared" si="11"/>
        <v>69961</v>
      </c>
      <c r="W261" s="68">
        <f t="shared" si="12"/>
        <v>6195.826441</v>
      </c>
      <c r="X261" s="59" t="str">
        <f t="shared" si="13"/>
        <v>1h 43m 15s</v>
      </c>
      <c r="Y261" s="69">
        <f t="shared" si="14"/>
        <v>360998518</v>
      </c>
      <c r="Z261" s="11"/>
      <c r="AG261" s="59"/>
    </row>
    <row r="262">
      <c r="A262" s="8"/>
      <c r="B262" s="56" t="str">
        <f t="shared" si="2"/>
        <v/>
      </c>
      <c r="C262" s="105"/>
      <c r="D262" s="10"/>
      <c r="E262" s="59" t="str">
        <f t="array" ref="E262">IF(COUNTA(C262:C1644)=0,"",SUM((COUNTIF(C$4:C262,Upgrades!$B$3:$B$13)-COUNTIF(C$4:C262,"Sell_"&amp;Upgrades!$B$3:$B$13))*Upgrades!$D$3:$D$13))</f>
        <v/>
      </c>
      <c r="F262" s="66" t="str">
        <f>IFERROR(__xludf.DUMMYFUNCTION("IF(COUNTA(C262:C1644)=0,"""",IF(REGEXMATCH(INDEX(FILTER(C$4:C262,C$4:C262&lt;&gt;""""),ROWS(FILTER(C$4:C262,C$4:C262&lt;&gt;""""))),""^Sell_""),INDEX(FILTER(F$4:F261,C$4:C261&lt;&gt;""""),ROWS(FILTER(C$4:C261,C$4:C261&lt;&gt;""""))),$AC$5+E262))"),"")</f>
        <v/>
      </c>
      <c r="G262" s="10" t="str">
        <f>IFERROR(__xludf.DUMMYFUNCTION("IF(COUNTA(C262:C1644)=0,"""",IF(C262="""",0,IF(REGEXMATCH(C262,""^Sell_""),-ROUNDDOWN(ROUNDUP(INDEX(Upgrades!$C$3:$C$13,MATCH(SUBSTITUTE(C262,""Sell_"",""""),Upgrades!$B$3:$B$13,0))*1.15^(COUNTIF(C$4:C261,SUBSTITUTE(C262,""Sell_"",""""))-COUNTIF(C$4:C261,"&amp;"""Sell_""&amp;SUBSTITUTE(C262,""Sell_"",""""))))/2),ROUNDUP(INDEX(Upgrades!$C$3:$C$13,MATCH(C262,Upgrades!$B$3:$B$13,0))*1.15^(COUNTIF(C$4:C261,C262)-COUNTIF(C$4:C261,""Sell_""&amp;C262))))))"),"")</f>
        <v/>
      </c>
      <c r="H262" s="10" t="str">
        <f t="shared" si="3"/>
        <v/>
      </c>
      <c r="I262" s="68" t="str">
        <f t="shared" si="4"/>
        <v/>
      </c>
      <c r="J262" s="59" t="str">
        <f t="shared" si="5"/>
        <v/>
      </c>
      <c r="K262" s="69" t="str">
        <f t="shared" si="6"/>
        <v/>
      </c>
      <c r="L262" s="60">
        <f t="shared" si="7"/>
        <v>-95.69248</v>
      </c>
      <c r="M262" s="61">
        <f>IFERROR(__xludf.DUMMYFUNCTION("IFS(AND(COUNTA(C262:C1644)=0,COUNTA(Q262:Q1644)=0),"""",OR(AND(K262&gt;=1000000000,OR(Y262&gt;=1000000000,COUNTA(Q262:Q1644)=0)),OR(Y262&gt;=1000000000,AND(COUNTA(C262:C1644)=0,P$3=TRUE))),
ROUNDDOWN((AB$1-AC$1)*MAX(INDEX(T$4:T1644,MATCH(LARGE(FILTER(Y$4:Y1644,Y$4"&amp;":Y1644&lt;1000000000),1),Y$4:Y1644)),INDEX(F$4:F1644,MATCH(LARGE(FILTER(K$4:K1644,K$4:K1644&lt;1000000000),1),K$4:K1644)))),AND(K262&lt;1000000000,COUNTA(C262:C1644)&gt;0,P$3=FALSE),
ROUNDDOWN(INDEX(Y$4:Y1644,MATCH(LARGE(FILTER(W$4:W1644,W$4:W1644&lt;=I262),1),W$4:W1644"&amp;"))+(I262-LARGE(FILTER(W$4:W1644,W$4:W1644&lt;=I262),1))*INDEX(T$4:T1644,MATCH(LARGE(FILTER(W$4:W1644,W$4:W1644&lt;=I262),1),W$4:W1644))-K262),1,
ROUNDDOWN(Y262-INDEX(K$4:K1644,MATCH(LARGE(FILTER(I$4:I1644,I$4:I1644&lt;=W262),1),I$4:I1644))-(W262-LARGE(FILTER(I$4:I"&amp;"1644,I$4:I1644&lt;=W262),1))*INDEX(F$4:F1644,MATCH(LARGE(FILTER(I$4:I1644,I$4:I1644&lt;=W262),1),I$4:I1644))))"),2.0250071E7)</f>
        <v>20250071</v>
      </c>
      <c r="N262" s="60">
        <f t="shared" si="8"/>
        <v>-95.69248</v>
      </c>
      <c r="O262" s="61" t="str">
        <f t="shared" si="9"/>
        <v>20,3M</v>
      </c>
      <c r="P262" s="56">
        <f t="shared" si="10"/>
        <v>4</v>
      </c>
      <c r="Q262" s="105" t="s">
        <v>9</v>
      </c>
      <c r="R262" s="10"/>
      <c r="S262" s="59">
        <f t="array" ref="S262">IF(COUNTA(Q262:Q1644)=0,"",SUM((COUNTIF(Q$4:Q262,Upgrades!$B$3:$B$13)-COUNTIF(Q$4:Q262,"Sell_"&amp;Upgrades!$B$3:$B$13))*Upgrades!$D$3:$D$13))</f>
        <v>273841</v>
      </c>
      <c r="T262" s="66">
        <f>IFERROR(__xludf.DUMMYFUNCTION("IF(COUNTA(Q262:Q1644)=0,"""",IF(REGEXMATCH(INDEX(FILTER(Q$4:Q262,Q$4:Q262&lt;&gt;""""),ROWS(FILTER(Q$4:Q262,Q$4:Q262&lt;&gt;""""))),""^Sell_""),INDEX(FILTER(T$4:T261,Q$4:Q261&lt;&gt;""""),ROWS(FILTER(Q$4:Q261,Q$4:Q261&lt;&gt;""""))),$AD$5+S262))"),273851.0)</f>
        <v>273851</v>
      </c>
      <c r="U262" s="10">
        <f>IFERROR(__xludf.DUMMYFUNCTION("IF(COUNTA(Q262:Q1644)=0,"""",IF(Q262="""",0,IF(REGEXMATCH(Q262,""^Sell_""),-ROUNDDOWN(ROUNDUP(INDEX(Upgrades!$C$3:$C$13,MATCH(SUBSTITUTE(Q262,""Sell_"",""""),Upgrades!$B$3:$B$13,0))*1.15^(COUNTIF(Q$4:Q261,SUBSTITUTE(Q262,""Sell_"",""""))-COUNTIF(Q$4:Q261,"&amp;"""Sell_""&amp;SUBSTITUTE(Q262,""Sell_"",""""))))/2),ROUNDUP(INDEX(Upgrades!$C$3:$C$13,MATCH(Q262,Upgrades!$B$3:$B$13,0))*1.15^(COUNTIF(Q$4:Q261,Q262)-COUNTIF(Q$4:Q261,""Sell_""&amp;Q262))))))"),304175.0)</f>
        <v>304175</v>
      </c>
      <c r="V262" s="10">
        <f t="shared" si="11"/>
        <v>304175</v>
      </c>
      <c r="W262" s="68">
        <f t="shared" si="12"/>
        <v>6196.938798</v>
      </c>
      <c r="X262" s="59" t="str">
        <f t="shared" si="13"/>
        <v>1h 43m 16s</v>
      </c>
      <c r="Y262" s="69">
        <f t="shared" si="14"/>
        <v>361302693</v>
      </c>
      <c r="Z262" s="11"/>
      <c r="AG262" s="59"/>
    </row>
    <row r="263">
      <c r="A263" s="8"/>
      <c r="B263" s="56" t="str">
        <f t="shared" si="2"/>
        <v/>
      </c>
      <c r="C263" s="105"/>
      <c r="D263" s="10"/>
      <c r="E263" s="59" t="str">
        <f t="array" ref="E263">IF(COUNTA(C263:C1644)=0,"",SUM((COUNTIF(C$4:C263,Upgrades!$B$3:$B$13)-COUNTIF(C$4:C263,"Sell_"&amp;Upgrades!$B$3:$B$13))*Upgrades!$D$3:$D$13))</f>
        <v/>
      </c>
      <c r="F263" s="66" t="str">
        <f>IFERROR(__xludf.DUMMYFUNCTION("IF(COUNTA(C263:C1644)=0,"""",IF(REGEXMATCH(INDEX(FILTER(C$4:C263,C$4:C263&lt;&gt;""""),ROWS(FILTER(C$4:C263,C$4:C263&lt;&gt;""""))),""^Sell_""),INDEX(FILTER(F$4:F262,C$4:C262&lt;&gt;""""),ROWS(FILTER(C$4:C262,C$4:C262&lt;&gt;""""))),$AC$5+E263))"),"")</f>
        <v/>
      </c>
      <c r="G263" s="10" t="str">
        <f>IFERROR(__xludf.DUMMYFUNCTION("IF(COUNTA(C263:C1644)=0,"""",IF(C263="""",0,IF(REGEXMATCH(C263,""^Sell_""),-ROUNDDOWN(ROUNDUP(INDEX(Upgrades!$C$3:$C$13,MATCH(SUBSTITUTE(C263,""Sell_"",""""),Upgrades!$B$3:$B$13,0))*1.15^(COUNTIF(C$4:C262,SUBSTITUTE(C263,""Sell_"",""""))-COUNTIF(C$4:C262,"&amp;"""Sell_""&amp;SUBSTITUTE(C263,""Sell_"",""""))))/2),ROUNDUP(INDEX(Upgrades!$C$3:$C$13,MATCH(C263,Upgrades!$B$3:$B$13,0))*1.15^(COUNTIF(C$4:C262,C263)-COUNTIF(C$4:C262,""Sell_""&amp;C263))))))"),"")</f>
        <v/>
      </c>
      <c r="H263" s="10" t="str">
        <f t="shared" si="3"/>
        <v/>
      </c>
      <c r="I263" s="68" t="str">
        <f t="shared" si="4"/>
        <v/>
      </c>
      <c r="J263" s="59" t="str">
        <f t="shared" si="5"/>
        <v/>
      </c>
      <c r="K263" s="69" t="str">
        <f t="shared" si="6"/>
        <v/>
      </c>
      <c r="L263" s="60">
        <f t="shared" si="7"/>
        <v>-95.77889</v>
      </c>
      <c r="M263" s="61">
        <f>IFERROR(__xludf.DUMMYFUNCTION("IFS(AND(COUNTA(C263:C1644)=0,COUNTA(Q263:Q1644)=0),"""",OR(AND(K263&gt;=1000000000,OR(Y263&gt;=1000000000,COUNTA(Q263:Q1644)=0)),OR(Y263&gt;=1000000000,AND(COUNTA(C263:C1644)=0,P$3=TRUE))),
ROUNDDOWN((AB$1-AC$1)*MAX(INDEX(T$4:T1644,MATCH(LARGE(FILTER(Y$4:Y1644,Y$4"&amp;":Y1644&lt;1000000000),1),Y$4:Y1644)),INDEX(F$4:F1644,MATCH(LARGE(FILTER(K$4:K1644,K$4:K1644&lt;1000000000),1),K$4:K1644)))),AND(K263&lt;1000000000,COUNTA(C263:C1644)&gt;0,P$3=FALSE),
ROUNDDOWN(INDEX(Y$4:Y1644,MATCH(LARGE(FILTER(W$4:W1644,W$4:W1644&lt;=I263),1),W$4:W1644"&amp;"))+(I263-LARGE(FILTER(W$4:W1644,W$4:W1644&lt;=I263),1))*INDEX(T$4:T1644,MATCH(LARGE(FILTER(W$4:W1644,W$4:W1644&lt;=I263),1),W$4:W1644))-K263),1,
ROUNDDOWN(Y263-INDEX(K$4:K1644,MATCH(LARGE(FILTER(I$4:I1644,I$4:I1644&lt;=W263),1),I$4:I1644))-(W263-LARGE(FILTER(I$4:I"&amp;"1644,I$4:I1644&lt;=W263),1))*INDEX(F$4:F1644,MATCH(LARGE(FILTER(I$4:I1644,I$4:I1644&lt;=W263),1),I$4:I1644))))"),2.0268355E7)</f>
        <v>20268355</v>
      </c>
      <c r="N263" s="60">
        <f t="shared" si="8"/>
        <v>-95.77889</v>
      </c>
      <c r="O263" s="61" t="str">
        <f t="shared" si="9"/>
        <v>20,3M</v>
      </c>
      <c r="P263" s="56">
        <f t="shared" si="10"/>
        <v>6</v>
      </c>
      <c r="Q263" s="105" t="s">
        <v>8</v>
      </c>
      <c r="R263" s="10"/>
      <c r="S263" s="59">
        <f t="array" ref="S263">IF(COUNTA(Q263:Q1644)=0,"",SUM((COUNTIF(Q$4:Q263,Upgrades!$B$3:$B$13)-COUNTIF(Q$4:Q263,"Sell_"&amp;Upgrades!$B$3:$B$13))*Upgrades!$D$3:$D$13))</f>
        <v>273941</v>
      </c>
      <c r="T263" s="66">
        <f>IFERROR(__xludf.DUMMYFUNCTION("IF(COUNTA(Q263:Q1644)=0,"""",IF(REGEXMATCH(INDEX(FILTER(Q$4:Q263,Q$4:Q263&lt;&gt;""""),ROWS(FILTER(Q$4:Q263,Q$4:Q263&lt;&gt;""""))),""^Sell_""),INDEX(FILTER(T$4:T262,Q$4:Q262&lt;&gt;""""),ROWS(FILTER(Q$4:Q262,Q$4:Q262&lt;&gt;""""))),$AD$5+S263))"),273951.0)</f>
        <v>273951</v>
      </c>
      <c r="U263" s="10">
        <f>IFERROR(__xludf.DUMMYFUNCTION("IF(COUNTA(Q263:Q1644)=0,"""",IF(Q263="""",0,IF(REGEXMATCH(Q263,""^Sell_""),-ROUNDDOWN(ROUNDUP(INDEX(Upgrades!$C$3:$C$13,MATCH(SUBSTITUTE(Q263,""Sell_"",""""),Upgrades!$B$3:$B$13,0))*1.15^(COUNTIF(Q$4:Q262,SUBSTITUTE(Q263,""Sell_"",""""))-COUNTIF(Q$4:Q262,"&amp;"""Sell_""&amp;SUBSTITUTE(Q263,""Sell_"",""""))))/2),ROUNDUP(INDEX(Upgrades!$C$3:$C$13,MATCH(Q263,Upgrades!$B$3:$B$13,0))*1.15^(COUNTIF(Q$4:Q262,Q263)-COUNTIF(Q$4:Q262,""Sell_""&amp;Q263))))))"),80455.0)</f>
        <v>80455</v>
      </c>
      <c r="V263" s="10">
        <f t="shared" si="11"/>
        <v>80455</v>
      </c>
      <c r="W263" s="68">
        <f t="shared" si="12"/>
        <v>6197.232589</v>
      </c>
      <c r="X263" s="59" t="str">
        <f t="shared" si="13"/>
        <v>1h 43m 17s</v>
      </c>
      <c r="Y263" s="69">
        <f t="shared" si="14"/>
        <v>361383148</v>
      </c>
      <c r="Z263" s="11"/>
      <c r="AG263" s="59"/>
    </row>
    <row r="264">
      <c r="A264" s="8"/>
      <c r="B264" s="56" t="str">
        <f t="shared" si="2"/>
        <v/>
      </c>
      <c r="C264" s="105"/>
      <c r="D264" s="10"/>
      <c r="E264" s="59" t="str">
        <f t="array" ref="E264">IF(COUNTA(C264:C1644)=0,"",SUM((COUNTIF(C$4:C264,Upgrades!$B$3:$B$13)-COUNTIF(C$4:C264,"Sell_"&amp;Upgrades!$B$3:$B$13))*Upgrades!$D$3:$D$13))</f>
        <v/>
      </c>
      <c r="F264" s="66" t="str">
        <f>IFERROR(__xludf.DUMMYFUNCTION("IF(COUNTA(C264:C1644)=0,"""",IF(REGEXMATCH(INDEX(FILTER(C$4:C264,C$4:C264&lt;&gt;""""),ROWS(FILTER(C$4:C264,C$4:C264&lt;&gt;""""))),""^Sell_""),INDEX(FILTER(F$4:F263,C$4:C263&lt;&gt;""""),ROWS(FILTER(C$4:C263,C$4:C263&lt;&gt;""""))),$AC$5+E264))"),"")</f>
        <v/>
      </c>
      <c r="G264" s="10" t="str">
        <f>IFERROR(__xludf.DUMMYFUNCTION("IF(COUNTA(C264:C1644)=0,"""",IF(C264="""",0,IF(REGEXMATCH(C264,""^Sell_""),-ROUNDDOWN(ROUNDUP(INDEX(Upgrades!$C$3:$C$13,MATCH(SUBSTITUTE(C264,""Sell_"",""""),Upgrades!$B$3:$B$13,0))*1.15^(COUNTIF(C$4:C263,SUBSTITUTE(C264,""Sell_"",""""))-COUNTIF(C$4:C263,"&amp;"""Sell_""&amp;SUBSTITUTE(C264,""Sell_"",""""))))/2),ROUNDUP(INDEX(Upgrades!$C$3:$C$13,MATCH(C264,Upgrades!$B$3:$B$13,0))*1.15^(COUNTIF(C$4:C263,C264)-COUNTIF(C$4:C263,""Sell_""&amp;C264))))))"),"")</f>
        <v/>
      </c>
      <c r="H264" s="10" t="str">
        <f t="shared" si="3"/>
        <v/>
      </c>
      <c r="I264" s="68" t="str">
        <f t="shared" si="4"/>
        <v/>
      </c>
      <c r="J264" s="59" t="str">
        <f t="shared" si="5"/>
        <v/>
      </c>
      <c r="K264" s="69" t="str">
        <f t="shared" si="6"/>
        <v/>
      </c>
      <c r="L264" s="60">
        <f t="shared" si="7"/>
        <v>-96.15501</v>
      </c>
      <c r="M264" s="61">
        <f>IFERROR(__xludf.DUMMYFUNCTION("IFS(AND(COUNTA(C264:C1644)=0,COUNTA(Q264:Q1644)=0),"""",OR(AND(K264&gt;=1000000000,OR(Y264&gt;=1000000000,COUNTA(Q264:Q1644)=0)),OR(Y264&gt;=1000000000,AND(COUNTA(C264:C1644)=0,P$3=TRUE))),
ROUNDDOWN((AB$1-AC$1)*MAX(INDEX(T$4:T1644,MATCH(LARGE(FILTER(Y$4:Y1644,Y$4"&amp;":Y1644&lt;1000000000),1),Y$4:Y1644)),INDEX(F$4:F1644,MATCH(LARGE(FILTER(K$4:K1644,K$4:K1644&lt;1000000000),1),K$4:K1644)))),AND(K264&lt;1000000000,COUNTA(C264:C1644)&gt;0,P$3=FALSE),
ROUNDDOWN(INDEX(Y$4:Y1644,MATCH(LARGE(FILTER(W$4:W1644,W$4:W1644&lt;=I264),1),W$4:W1644"&amp;"))+(I264-LARGE(FILTER(W$4:W1644,W$4:W1644&lt;=I264),1))*INDEX(T$4:T1644,MATCH(LARGE(FILTER(W$4:W1644,W$4:W1644&lt;=I264),1),W$4:W1644))-K264),1,
ROUNDDOWN(Y264-INDEX(K$4:K1644,MATCH(LARGE(FILTER(I$4:I1644,I$4:I1644&lt;=W264),1),I$4:I1644))-(W264-LARGE(FILTER(I$4:I"&amp;"1644,I$4:I1644&lt;=W264),1))*INDEX(F$4:F1644,MATCH(LARGE(FILTER(I$4:I1644,I$4:I1644&lt;=W264),1),I$4:I1644))))"),2.0347949E7)</f>
        <v>20347949</v>
      </c>
      <c r="N264" s="60">
        <f t="shared" si="8"/>
        <v>-96.15501</v>
      </c>
      <c r="O264" s="61" t="str">
        <f t="shared" si="9"/>
        <v>20,3M</v>
      </c>
      <c r="P264" s="56">
        <f t="shared" si="10"/>
        <v>5</v>
      </c>
      <c r="Q264" s="105" t="s">
        <v>9</v>
      </c>
      <c r="R264" s="10"/>
      <c r="S264" s="59">
        <f t="array" ref="S264">IF(COUNTA(Q264:Q1644)=0,"",SUM((COUNTIF(Q$4:Q264,Upgrades!$B$3:$B$13)-COUNTIF(Q$4:Q264,"Sell_"&amp;Upgrades!$B$3:$B$13))*Upgrades!$D$3:$D$13))</f>
        <v>274341</v>
      </c>
      <c r="T264" s="66">
        <f>IFERROR(__xludf.DUMMYFUNCTION("IF(COUNTA(Q264:Q1644)=0,"""",IF(REGEXMATCH(INDEX(FILTER(Q$4:Q264,Q$4:Q264&lt;&gt;""""),ROWS(FILTER(Q$4:Q264,Q$4:Q264&lt;&gt;""""))),""^Sell_""),INDEX(FILTER(T$4:T263,Q$4:Q263&lt;&gt;""""),ROWS(FILTER(Q$4:Q263,Q$4:Q263&lt;&gt;""""))),$AD$5+S264))"),274351.0)</f>
        <v>274351</v>
      </c>
      <c r="U264" s="10">
        <f>IFERROR(__xludf.DUMMYFUNCTION("IF(COUNTA(Q264:Q1644)=0,"""",IF(Q264="""",0,IF(REGEXMATCH(Q264,""^Sell_""),-ROUNDDOWN(ROUNDUP(INDEX(Upgrades!$C$3:$C$13,MATCH(SUBSTITUTE(Q264,""Sell_"",""""),Upgrades!$B$3:$B$13,0))*1.15^(COUNTIF(Q$4:Q263,SUBSTITUTE(Q264,""Sell_"",""""))-COUNTIF(Q$4:Q263,"&amp;"""Sell_""&amp;SUBSTITUTE(Q264,""Sell_"",""""))))/2),ROUNDUP(INDEX(Upgrades!$C$3:$C$13,MATCH(Q264,Upgrades!$B$3:$B$13,0))*1.15^(COUNTIF(Q$4:Q263,Q264)-COUNTIF(Q$4:Q263,""Sell_""&amp;Q264))))))"),349802.0)</f>
        <v>349802</v>
      </c>
      <c r="V264" s="10">
        <f t="shared" si="11"/>
        <v>349802</v>
      </c>
      <c r="W264" s="68">
        <f t="shared" si="12"/>
        <v>6198.509467</v>
      </c>
      <c r="X264" s="59" t="str">
        <f t="shared" si="13"/>
        <v>1h 43m 18s</v>
      </c>
      <c r="Y264" s="69">
        <f t="shared" si="14"/>
        <v>361732950</v>
      </c>
      <c r="Z264" s="11"/>
      <c r="AG264" s="59"/>
    </row>
    <row r="265">
      <c r="A265" s="8"/>
      <c r="B265" s="56" t="str">
        <f t="shared" si="2"/>
        <v/>
      </c>
      <c r="C265" s="105"/>
      <c r="D265" s="10"/>
      <c r="E265" s="59" t="str">
        <f t="array" ref="E265">IF(COUNTA(C265:C1644)=0,"",SUM((COUNTIF(C$4:C265,Upgrades!$B$3:$B$13)-COUNTIF(C$4:C265,"Sell_"&amp;Upgrades!$B$3:$B$13))*Upgrades!$D$3:$D$13))</f>
        <v/>
      </c>
      <c r="F265" s="66" t="str">
        <f>IFERROR(__xludf.DUMMYFUNCTION("IF(COUNTA(C265:C1644)=0,"""",IF(REGEXMATCH(INDEX(FILTER(C$4:C265,C$4:C265&lt;&gt;""""),ROWS(FILTER(C$4:C265,C$4:C265&lt;&gt;""""))),""^Sell_""),INDEX(FILTER(F$4:F264,C$4:C264&lt;&gt;""""),ROWS(FILTER(C$4:C264,C$4:C264&lt;&gt;""""))),$AC$5+E265))"),"")</f>
        <v/>
      </c>
      <c r="G265" s="10" t="str">
        <f>IFERROR(__xludf.DUMMYFUNCTION("IF(COUNTA(C265:C1644)=0,"""",IF(C265="""",0,IF(REGEXMATCH(C265,""^Sell_""),-ROUNDDOWN(ROUNDUP(INDEX(Upgrades!$C$3:$C$13,MATCH(SUBSTITUTE(C265,""Sell_"",""""),Upgrades!$B$3:$B$13,0))*1.15^(COUNTIF(C$4:C264,SUBSTITUTE(C265,""Sell_"",""""))-COUNTIF(C$4:C264,"&amp;"""Sell_""&amp;SUBSTITUTE(C265,""Sell_"",""""))))/2),ROUNDUP(INDEX(Upgrades!$C$3:$C$13,MATCH(C265,Upgrades!$B$3:$B$13,0))*1.15^(COUNTIF(C$4:C264,C265)-COUNTIF(C$4:C264,""Sell_""&amp;C265))))))"),"")</f>
        <v/>
      </c>
      <c r="H265" s="10" t="str">
        <f t="shared" si="3"/>
        <v/>
      </c>
      <c r="I265" s="68" t="str">
        <f t="shared" si="4"/>
        <v/>
      </c>
      <c r="J265" s="59" t="str">
        <f t="shared" si="5"/>
        <v/>
      </c>
      <c r="K265" s="69" t="str">
        <f t="shared" si="6"/>
        <v/>
      </c>
      <c r="L265" s="60">
        <f t="shared" si="7"/>
        <v>-96.25499</v>
      </c>
      <c r="M265" s="61">
        <f>IFERROR(__xludf.DUMMYFUNCTION("IFS(AND(COUNTA(C265:C1644)=0,COUNTA(Q265:Q1644)=0),"""",OR(AND(K265&gt;=1000000000,OR(Y265&gt;=1000000000,COUNTA(Q265:Q1644)=0)),OR(Y265&gt;=1000000000,AND(COUNTA(C265:C1644)=0,P$3=TRUE))),
ROUNDDOWN((AB$1-AC$1)*MAX(INDEX(T$4:T1644,MATCH(LARGE(FILTER(Y$4:Y1644,Y$4"&amp;":Y1644&lt;1000000000),1),Y$4:Y1644)),INDEX(F$4:F1644,MATCH(LARGE(FILTER(K$4:K1644,K$4:K1644&lt;1000000000),1),K$4:K1644)))),AND(K265&lt;1000000000,COUNTA(C265:C1644)&gt;0,P$3=FALSE),
ROUNDDOWN(INDEX(Y$4:Y1644,MATCH(LARGE(FILTER(W$4:W1644,W$4:W1644&lt;=I265),1),W$4:W1644"&amp;"))+(I265-LARGE(FILTER(W$4:W1644,W$4:W1644&lt;=I265),1))*INDEX(T$4:T1644,MATCH(LARGE(FILTER(W$4:W1644,W$4:W1644&lt;=I265),1),W$4:W1644))-K265),1,
ROUNDDOWN(Y265-INDEX(K$4:K1644,MATCH(LARGE(FILTER(I$4:I1644,I$4:I1644&lt;=W265),1),I$4:I1644))-(W265-LARGE(FILTER(I$4:I"&amp;"1644,I$4:I1644&lt;=W265),1))*INDEX(F$4:F1644,MATCH(LARGE(FILTER(I$4:I1644,I$4:I1644&lt;=W265),1),I$4:I1644))))"),2.0369106E7)</f>
        <v>20369106</v>
      </c>
      <c r="N265" s="60">
        <f t="shared" si="8"/>
        <v>-96.25499</v>
      </c>
      <c r="O265" s="61" t="str">
        <f t="shared" si="9"/>
        <v>20,4M</v>
      </c>
      <c r="P265" s="56">
        <f t="shared" si="10"/>
        <v>7</v>
      </c>
      <c r="Q265" s="105" t="s">
        <v>8</v>
      </c>
      <c r="R265" s="10"/>
      <c r="S265" s="59">
        <f t="array" ref="S265">IF(COUNTA(Q265:Q1644)=0,"",SUM((COUNTIF(Q$4:Q265,Upgrades!$B$3:$B$13)-COUNTIF(Q$4:Q265,"Sell_"&amp;Upgrades!$B$3:$B$13))*Upgrades!$D$3:$D$13))</f>
        <v>274441</v>
      </c>
      <c r="T265" s="66">
        <f>IFERROR(__xludf.DUMMYFUNCTION("IF(COUNTA(Q265:Q1644)=0,"""",IF(REGEXMATCH(INDEX(FILTER(Q$4:Q265,Q$4:Q265&lt;&gt;""""),ROWS(FILTER(Q$4:Q265,Q$4:Q265&lt;&gt;""""))),""^Sell_""),INDEX(FILTER(T$4:T264,Q$4:Q264&lt;&gt;""""),ROWS(FILTER(Q$4:Q264,Q$4:Q264&lt;&gt;""""))),$AD$5+S265))"),274451.0)</f>
        <v>274451</v>
      </c>
      <c r="U265" s="10">
        <f>IFERROR(__xludf.DUMMYFUNCTION("IF(COUNTA(Q265:Q1644)=0,"""",IF(Q265="""",0,IF(REGEXMATCH(Q265,""^Sell_""),-ROUNDDOWN(ROUNDUP(INDEX(Upgrades!$C$3:$C$13,MATCH(SUBSTITUTE(Q265,""Sell_"",""""),Upgrades!$B$3:$B$13,0))*1.15^(COUNTIF(Q$4:Q264,SUBSTITUTE(Q265,""Sell_"",""""))-COUNTIF(Q$4:Q264,"&amp;"""Sell_""&amp;SUBSTITUTE(Q265,""Sell_"",""""))))/2),ROUNDUP(INDEX(Upgrades!$C$3:$C$13,MATCH(Q265,Upgrades!$B$3:$B$13,0))*1.15^(COUNTIF(Q$4:Q264,Q265)-COUNTIF(Q$4:Q264,""Sell_""&amp;Q265))))))"),92523.0)</f>
        <v>92523</v>
      </c>
      <c r="V265" s="10">
        <f t="shared" si="11"/>
        <v>92523</v>
      </c>
      <c r="W265" s="68">
        <f t="shared" si="12"/>
        <v>6198.84671</v>
      </c>
      <c r="X265" s="59" t="str">
        <f t="shared" si="13"/>
        <v>1h 43m 18s</v>
      </c>
      <c r="Y265" s="69">
        <f t="shared" si="14"/>
        <v>361825473</v>
      </c>
      <c r="Z265" s="11"/>
      <c r="AG265" s="59"/>
    </row>
    <row r="266">
      <c r="A266" s="8"/>
      <c r="B266" s="56" t="str">
        <f t="shared" si="2"/>
        <v/>
      </c>
      <c r="C266" s="105"/>
      <c r="D266" s="10"/>
      <c r="E266" s="59" t="str">
        <f t="array" ref="E266">IF(COUNTA(C266:C1644)=0,"",SUM((COUNTIF(C$4:C266,Upgrades!$B$3:$B$13)-COUNTIF(C$4:C266,"Sell_"&amp;Upgrades!$B$3:$B$13))*Upgrades!$D$3:$D$13))</f>
        <v/>
      </c>
      <c r="F266" s="66" t="str">
        <f>IFERROR(__xludf.DUMMYFUNCTION("IF(COUNTA(C266:C1644)=0,"""",IF(REGEXMATCH(INDEX(FILTER(C$4:C266,C$4:C266&lt;&gt;""""),ROWS(FILTER(C$4:C266,C$4:C266&lt;&gt;""""))),""^Sell_""),INDEX(FILTER(F$4:F265,C$4:C265&lt;&gt;""""),ROWS(FILTER(C$4:C265,C$4:C265&lt;&gt;""""))),$AC$5+E266))"),"")</f>
        <v/>
      </c>
      <c r="G266" s="10" t="str">
        <f>IFERROR(__xludf.DUMMYFUNCTION("IF(COUNTA(C266:C1644)=0,"""",IF(C266="""",0,IF(REGEXMATCH(C266,""^Sell_""),-ROUNDDOWN(ROUNDUP(INDEX(Upgrades!$C$3:$C$13,MATCH(SUBSTITUTE(C266,""Sell_"",""""),Upgrades!$B$3:$B$13,0))*1.15^(COUNTIF(C$4:C265,SUBSTITUTE(C266,""Sell_"",""""))-COUNTIF(C$4:C265,"&amp;"""Sell_""&amp;SUBSTITUTE(C266,""Sell_"",""""))))/2),ROUNDUP(INDEX(Upgrades!$C$3:$C$13,MATCH(C266,Upgrades!$B$3:$B$13,0))*1.15^(COUNTIF(C$4:C265,C266)-COUNTIF(C$4:C265,""Sell_""&amp;C266))))))"),"")</f>
        <v/>
      </c>
      <c r="H266" s="10" t="str">
        <f t="shared" si="3"/>
        <v/>
      </c>
      <c r="I266" s="68" t="str">
        <f t="shared" si="4"/>
        <v/>
      </c>
      <c r="J266" s="59" t="str">
        <f t="shared" si="5"/>
        <v/>
      </c>
      <c r="K266" s="69" t="str">
        <f t="shared" si="6"/>
        <v/>
      </c>
      <c r="L266" s="60">
        <f t="shared" si="7"/>
        <v>-96.69021</v>
      </c>
      <c r="M266" s="61">
        <f>IFERROR(__xludf.DUMMYFUNCTION("IFS(AND(COUNTA(C266:C1644)=0,COUNTA(Q266:Q1644)=0),"""",OR(AND(K266&gt;=1000000000,OR(Y266&gt;=1000000000,COUNTA(Q266:Q1644)=0)),OR(Y266&gt;=1000000000,AND(COUNTA(C266:C1644)=0,P$3=TRUE))),
ROUNDDOWN((AB$1-AC$1)*MAX(INDEX(T$4:T1644,MATCH(LARGE(FILTER(Y$4:Y1644,Y$4"&amp;":Y1644&lt;1000000000),1),Y$4:Y1644)),INDEX(F$4:F1644,MATCH(LARGE(FILTER(K$4:K1644,K$4:K1644&lt;1000000000),1),K$4:K1644)))),AND(K266&lt;1000000000,COUNTA(C266:C1644)&gt;0,P$3=FALSE),
ROUNDDOWN(INDEX(Y$4:Y1644,MATCH(LARGE(FILTER(W$4:W1644,W$4:W1644&lt;=I266),1),W$4:W1644"&amp;"))+(I266-LARGE(FILTER(W$4:W1644,W$4:W1644&lt;=I266),1))*INDEX(T$4:T1644,MATCH(LARGE(FILTER(W$4:W1644,W$4:W1644&lt;=I266),1),W$4:W1644))-K266),1,
ROUNDDOWN(Y266-INDEX(K$4:K1644,MATCH(LARGE(FILTER(I$4:I1644,I$4:I1644&lt;=W266),1),I$4:I1644))-(W266-LARGE(FILTER(I$4:I"&amp;"1644,I$4:I1644&lt;=W266),1))*INDEX(F$4:F1644,MATCH(LARGE(FILTER(I$4:I1644,I$4:I1644&lt;=W266),1),I$4:I1644))))"),2.0461205E7)</f>
        <v>20461205</v>
      </c>
      <c r="N266" s="60">
        <f t="shared" si="8"/>
        <v>-96.69021</v>
      </c>
      <c r="O266" s="61" t="str">
        <f t="shared" si="9"/>
        <v>20,5M</v>
      </c>
      <c r="P266" s="56">
        <f t="shared" si="10"/>
        <v>6</v>
      </c>
      <c r="Q266" s="105" t="s">
        <v>9</v>
      </c>
      <c r="R266" s="10"/>
      <c r="S266" s="59">
        <f t="array" ref="S266">IF(COUNTA(Q266:Q1644)=0,"",SUM((COUNTIF(Q$4:Q266,Upgrades!$B$3:$B$13)-COUNTIF(Q$4:Q266,"Sell_"&amp;Upgrades!$B$3:$B$13))*Upgrades!$D$3:$D$13))</f>
        <v>274841</v>
      </c>
      <c r="T266" s="66">
        <f>IFERROR(__xludf.DUMMYFUNCTION("IF(COUNTA(Q266:Q1644)=0,"""",IF(REGEXMATCH(INDEX(FILTER(Q$4:Q266,Q$4:Q266&lt;&gt;""""),ROWS(FILTER(Q$4:Q266,Q$4:Q266&lt;&gt;""""))),""^Sell_""),INDEX(FILTER(T$4:T265,Q$4:Q265&lt;&gt;""""),ROWS(FILTER(Q$4:Q265,Q$4:Q265&lt;&gt;""""))),$AD$5+S266))"),274851.0)</f>
        <v>274851</v>
      </c>
      <c r="U266" s="10">
        <f>IFERROR(__xludf.DUMMYFUNCTION("IF(COUNTA(Q266:Q1644)=0,"""",IF(Q266="""",0,IF(REGEXMATCH(Q266,""^Sell_""),-ROUNDDOWN(ROUNDUP(INDEX(Upgrades!$C$3:$C$13,MATCH(SUBSTITUTE(Q266,""Sell_"",""""),Upgrades!$B$3:$B$13,0))*1.15^(COUNTIF(Q$4:Q265,SUBSTITUTE(Q266,""Sell_"",""""))-COUNTIF(Q$4:Q265,"&amp;"""Sell_""&amp;SUBSTITUTE(Q266,""Sell_"",""""))))/2),ROUNDUP(INDEX(Upgrades!$C$3:$C$13,MATCH(Q266,Upgrades!$B$3:$B$13,0))*1.15^(COUNTIF(Q$4:Q265,Q266)-COUNTIF(Q$4:Q265,""Sell_""&amp;Q266))))))"),402272.0)</f>
        <v>402272</v>
      </c>
      <c r="V266" s="10">
        <f t="shared" si="11"/>
        <v>402272</v>
      </c>
      <c r="W266" s="68">
        <f t="shared" si="12"/>
        <v>6200.312443</v>
      </c>
      <c r="X266" s="59" t="str">
        <f t="shared" si="13"/>
        <v>1h 43m 20s</v>
      </c>
      <c r="Y266" s="69">
        <f t="shared" si="14"/>
        <v>362227745</v>
      </c>
      <c r="Z266" s="11"/>
      <c r="AG266" s="59"/>
    </row>
    <row r="267">
      <c r="A267" s="8"/>
      <c r="B267" s="56" t="str">
        <f t="shared" si="2"/>
        <v/>
      </c>
      <c r="C267" s="105"/>
      <c r="D267" s="10"/>
      <c r="E267" s="59" t="str">
        <f t="array" ref="E267">IF(COUNTA(C267:C1644)=0,"",SUM((COUNTIF(C$4:C267,Upgrades!$B$3:$B$13)-COUNTIF(C$4:C267,"Sell_"&amp;Upgrades!$B$3:$B$13))*Upgrades!$D$3:$D$13))</f>
        <v/>
      </c>
      <c r="F267" s="66" t="str">
        <f>IFERROR(__xludf.DUMMYFUNCTION("IF(COUNTA(C267:C1644)=0,"""",IF(REGEXMATCH(INDEX(FILTER(C$4:C267,C$4:C267&lt;&gt;""""),ROWS(FILTER(C$4:C267,C$4:C267&lt;&gt;""""))),""^Sell_""),INDEX(FILTER(F$4:F266,C$4:C266&lt;&gt;""""),ROWS(FILTER(C$4:C266,C$4:C266&lt;&gt;""""))),$AC$5+E267))"),"")</f>
        <v/>
      </c>
      <c r="G267" s="10" t="str">
        <f>IFERROR(__xludf.DUMMYFUNCTION("IF(COUNTA(C267:C1644)=0,"""",IF(C267="""",0,IF(REGEXMATCH(C267,""^Sell_""),-ROUNDDOWN(ROUNDUP(INDEX(Upgrades!$C$3:$C$13,MATCH(SUBSTITUTE(C267,""Sell_"",""""),Upgrades!$B$3:$B$13,0))*1.15^(COUNTIF(C$4:C266,SUBSTITUTE(C267,""Sell_"",""""))-COUNTIF(C$4:C266,"&amp;"""Sell_""&amp;SUBSTITUTE(C267,""Sell_"",""""))))/2),ROUNDUP(INDEX(Upgrades!$C$3:$C$13,MATCH(C267,Upgrades!$B$3:$B$13,0))*1.15^(COUNTIF(C$4:C266,C267)-COUNTIF(C$4:C266,""Sell_""&amp;C267))))))"),"")</f>
        <v/>
      </c>
      <c r="H267" s="10" t="str">
        <f t="shared" si="3"/>
        <v/>
      </c>
      <c r="I267" s="68" t="str">
        <f t="shared" si="4"/>
        <v/>
      </c>
      <c r="J267" s="59" t="str">
        <f t="shared" si="5"/>
        <v/>
      </c>
      <c r="K267" s="69" t="str">
        <f t="shared" si="6"/>
        <v/>
      </c>
      <c r="L267" s="60">
        <f t="shared" si="7"/>
        <v>-96.80589</v>
      </c>
      <c r="M267" s="61">
        <f>IFERROR(__xludf.DUMMYFUNCTION("IFS(AND(COUNTA(C267:C1644)=0,COUNTA(Q267:Q1644)=0),"""",OR(AND(K267&gt;=1000000000,OR(Y267&gt;=1000000000,COUNTA(Q267:Q1644)=0)),OR(Y267&gt;=1000000000,AND(COUNTA(C267:C1644)=0,P$3=TRUE))),
ROUNDDOWN((AB$1-AC$1)*MAX(INDEX(T$4:T1644,MATCH(LARGE(FILTER(Y$4:Y1644,Y$4"&amp;":Y1644&lt;1000000000),1),Y$4:Y1644)),INDEX(F$4:F1644,MATCH(LARGE(FILTER(K$4:K1644,K$4:K1644&lt;1000000000),1),K$4:K1644)))),AND(K267&lt;1000000000,COUNTA(C267:C1644)&gt;0,P$3=FALSE),
ROUNDDOWN(INDEX(Y$4:Y1644,MATCH(LARGE(FILTER(W$4:W1644,W$4:W1644&lt;=I267),1),W$4:W1644"&amp;"))+(I267-LARGE(FILTER(W$4:W1644,W$4:W1644&lt;=I267),1))*INDEX(T$4:T1644,MATCH(LARGE(FILTER(W$4:W1644,W$4:W1644&lt;=I267),1),W$4:W1644))-K267),1,
ROUNDDOWN(Y267-INDEX(K$4:K1644,MATCH(LARGE(FILTER(I$4:I1644,I$4:I1644&lt;=W267),1),I$4:I1644))-(W267-LARGE(FILTER(I$4:I"&amp;"1644,I$4:I1644&lt;=W267),1))*INDEX(F$4:F1644,MATCH(LARGE(FILTER(I$4:I1644,I$4:I1644&lt;=W267),1),I$4:I1644))))"),2.0485685E7)</f>
        <v>20485685</v>
      </c>
      <c r="N267" s="60">
        <f t="shared" si="8"/>
        <v>-96.80589</v>
      </c>
      <c r="O267" s="61" t="str">
        <f t="shared" si="9"/>
        <v>20,5M</v>
      </c>
      <c r="P267" s="56">
        <f t="shared" si="10"/>
        <v>8</v>
      </c>
      <c r="Q267" s="105" t="s">
        <v>8</v>
      </c>
      <c r="R267" s="10"/>
      <c r="S267" s="59">
        <f t="array" ref="S267">IF(COUNTA(Q267:Q1644)=0,"",SUM((COUNTIF(Q$4:Q267,Upgrades!$B$3:$B$13)-COUNTIF(Q$4:Q267,"Sell_"&amp;Upgrades!$B$3:$B$13))*Upgrades!$D$3:$D$13))</f>
        <v>274941</v>
      </c>
      <c r="T267" s="66">
        <f>IFERROR(__xludf.DUMMYFUNCTION("IF(COUNTA(Q267:Q1644)=0,"""",IF(REGEXMATCH(INDEX(FILTER(Q$4:Q267,Q$4:Q267&lt;&gt;""""),ROWS(FILTER(Q$4:Q267,Q$4:Q267&lt;&gt;""""))),""^Sell_""),INDEX(FILTER(T$4:T266,Q$4:Q266&lt;&gt;""""),ROWS(FILTER(Q$4:Q266,Q$4:Q266&lt;&gt;""""))),$AD$5+S267))"),274951.0)</f>
        <v>274951</v>
      </c>
      <c r="U267" s="10">
        <f>IFERROR(__xludf.DUMMYFUNCTION("IF(COUNTA(Q267:Q1644)=0,"""",IF(Q267="""",0,IF(REGEXMATCH(Q267,""^Sell_""),-ROUNDDOWN(ROUNDUP(INDEX(Upgrades!$C$3:$C$13,MATCH(SUBSTITUTE(Q267,""Sell_"",""""),Upgrades!$B$3:$B$13,0))*1.15^(COUNTIF(Q$4:Q266,SUBSTITUTE(Q267,""Sell_"",""""))-COUNTIF(Q$4:Q266,"&amp;"""Sell_""&amp;SUBSTITUTE(Q267,""Sell_"",""""))))/2),ROUNDUP(INDEX(Upgrades!$C$3:$C$13,MATCH(Q267,Upgrades!$B$3:$B$13,0))*1.15^(COUNTIF(Q$4:Q266,Q267)-COUNTIF(Q$4:Q266,""Sell_""&amp;Q267))))))"),106401.0)</f>
        <v>106401</v>
      </c>
      <c r="V267" s="10">
        <f t="shared" si="11"/>
        <v>106401</v>
      </c>
      <c r="W267" s="68">
        <f t="shared" si="12"/>
        <v>6200.699566</v>
      </c>
      <c r="X267" s="59" t="str">
        <f t="shared" si="13"/>
        <v>1h 43m 20s</v>
      </c>
      <c r="Y267" s="69">
        <f t="shared" si="14"/>
        <v>362334146</v>
      </c>
      <c r="Z267" s="11"/>
      <c r="AG267" s="59"/>
    </row>
    <row r="268">
      <c r="A268" s="8"/>
      <c r="B268" s="56" t="str">
        <f t="shared" si="2"/>
        <v/>
      </c>
      <c r="C268" s="105"/>
      <c r="D268" s="10"/>
      <c r="E268" s="59" t="str">
        <f t="array" ref="E268">IF(COUNTA(C268:C1644)=0,"",SUM((COUNTIF(C$4:C268,Upgrades!$B$3:$B$13)-COUNTIF(C$4:C268,"Sell_"&amp;Upgrades!$B$3:$B$13))*Upgrades!$D$3:$D$13))</f>
        <v/>
      </c>
      <c r="F268" s="66" t="str">
        <f>IFERROR(__xludf.DUMMYFUNCTION("IF(COUNTA(C268:C1644)=0,"""",IF(REGEXMATCH(INDEX(FILTER(C$4:C268,C$4:C268&lt;&gt;""""),ROWS(FILTER(C$4:C268,C$4:C268&lt;&gt;""""))),""^Sell_""),INDEX(FILTER(F$4:F267,C$4:C267&lt;&gt;""""),ROWS(FILTER(C$4:C267,C$4:C267&lt;&gt;""""))),$AC$5+E268))"),"")</f>
        <v/>
      </c>
      <c r="G268" s="10" t="str">
        <f>IFERROR(__xludf.DUMMYFUNCTION("IF(COUNTA(C268:C1644)=0,"""",IF(C268="""",0,IF(REGEXMATCH(C268,""^Sell_""),-ROUNDDOWN(ROUNDUP(INDEX(Upgrades!$C$3:$C$13,MATCH(SUBSTITUTE(C268,""Sell_"",""""),Upgrades!$B$3:$B$13,0))*1.15^(COUNTIF(C$4:C267,SUBSTITUTE(C268,""Sell_"",""""))-COUNTIF(C$4:C267,"&amp;"""Sell_""&amp;SUBSTITUTE(C268,""Sell_"",""""))))/2),ROUNDUP(INDEX(Upgrades!$C$3:$C$13,MATCH(C268,Upgrades!$B$3:$B$13,0))*1.15^(COUNTIF(C$4:C267,C268)-COUNTIF(C$4:C267,""Sell_""&amp;C268))))))"),"")</f>
        <v/>
      </c>
      <c r="H268" s="10" t="str">
        <f t="shared" si="3"/>
        <v/>
      </c>
      <c r="I268" s="68" t="str">
        <f t="shared" si="4"/>
        <v/>
      </c>
      <c r="J268" s="59" t="str">
        <f t="shared" si="5"/>
        <v/>
      </c>
      <c r="K268" s="69" t="str">
        <f t="shared" si="6"/>
        <v/>
      </c>
      <c r="L268" s="60">
        <f t="shared" si="7"/>
        <v>-97.30945</v>
      </c>
      <c r="M268" s="61">
        <f>IFERROR(__xludf.DUMMYFUNCTION("IFS(AND(COUNTA(C268:C1644)=0,COUNTA(Q268:Q1644)=0),"""",OR(AND(K268&gt;=1000000000,OR(Y268&gt;=1000000000,COUNTA(Q268:Q1644)=0)),OR(Y268&gt;=1000000000,AND(COUNTA(C268:C1644)=0,P$3=TRUE))),
ROUNDDOWN((AB$1-AC$1)*MAX(INDEX(T$4:T1644,MATCH(LARGE(FILTER(Y$4:Y1644,Y$4"&amp;":Y1644&lt;1000000000),1),Y$4:Y1644)),INDEX(F$4:F1644,MATCH(LARGE(FILTER(K$4:K1644,K$4:K1644&lt;1000000000),1),K$4:K1644)))),AND(K268&lt;1000000000,COUNTA(C268:C1644)&gt;0,P$3=FALSE),
ROUNDDOWN(INDEX(Y$4:Y1644,MATCH(LARGE(FILTER(W$4:W1644,W$4:W1644&lt;=I268),1),W$4:W1644"&amp;"))+(I268-LARGE(FILTER(W$4:W1644,W$4:W1644&lt;=I268),1))*INDEX(T$4:T1644,MATCH(LARGE(FILTER(W$4:W1644,W$4:W1644&lt;=I268),1),W$4:W1644))-K268),1,
ROUNDDOWN(Y268-INDEX(K$4:K1644,MATCH(LARGE(FILTER(I$4:I1644,I$4:I1644&lt;=W268),1),I$4:I1644))-(W268-LARGE(FILTER(I$4:I"&amp;"1644,I$4:I1644&lt;=W268),1))*INDEX(F$4:F1644,MATCH(LARGE(FILTER(I$4:I1644,I$4:I1644&lt;=W268),1),I$4:I1644))))"),2.0592248E7)</f>
        <v>20592248</v>
      </c>
      <c r="N268" s="60">
        <f t="shared" si="8"/>
        <v>-97.30945</v>
      </c>
      <c r="O268" s="61" t="str">
        <f t="shared" si="9"/>
        <v>20,6M</v>
      </c>
      <c r="P268" s="56">
        <f t="shared" si="10"/>
        <v>7</v>
      </c>
      <c r="Q268" s="105" t="s">
        <v>9</v>
      </c>
      <c r="R268" s="10"/>
      <c r="S268" s="59">
        <f t="array" ref="S268">IF(COUNTA(Q268:Q1644)=0,"",SUM((COUNTIF(Q$4:Q268,Upgrades!$B$3:$B$13)-COUNTIF(Q$4:Q268,"Sell_"&amp;Upgrades!$B$3:$B$13))*Upgrades!$D$3:$D$13))</f>
        <v>275341</v>
      </c>
      <c r="T268" s="66">
        <f>IFERROR(__xludf.DUMMYFUNCTION("IF(COUNTA(Q268:Q1644)=0,"""",IF(REGEXMATCH(INDEX(FILTER(Q$4:Q268,Q$4:Q268&lt;&gt;""""),ROWS(FILTER(Q$4:Q268,Q$4:Q268&lt;&gt;""""))),""^Sell_""),INDEX(FILTER(T$4:T267,Q$4:Q267&lt;&gt;""""),ROWS(FILTER(Q$4:Q267,Q$4:Q267&lt;&gt;""""))),$AD$5+S268))"),275351.0)</f>
        <v>275351</v>
      </c>
      <c r="U268" s="10">
        <f>IFERROR(__xludf.DUMMYFUNCTION("IF(COUNTA(Q268:Q1644)=0,"""",IF(Q268="""",0,IF(REGEXMATCH(Q268,""^Sell_""),-ROUNDDOWN(ROUNDUP(INDEX(Upgrades!$C$3:$C$13,MATCH(SUBSTITUTE(Q268,""Sell_"",""""),Upgrades!$B$3:$B$13,0))*1.15^(COUNTIF(Q$4:Q267,SUBSTITUTE(Q268,""Sell_"",""""))-COUNTIF(Q$4:Q267,"&amp;"""Sell_""&amp;SUBSTITUTE(Q268,""Sell_"",""""))))/2),ROUNDUP(INDEX(Upgrades!$C$3:$C$13,MATCH(Q268,Upgrades!$B$3:$B$13,0))*1.15^(COUNTIF(Q$4:Q267,Q268)-COUNTIF(Q$4:Q267,""Sell_""&amp;Q268))))))"),462613.0)</f>
        <v>462613</v>
      </c>
      <c r="V268" s="10">
        <f t="shared" si="11"/>
        <v>462613</v>
      </c>
      <c r="W268" s="68">
        <f t="shared" si="12"/>
        <v>6202.382095</v>
      </c>
      <c r="X268" s="59" t="str">
        <f t="shared" si="13"/>
        <v>1h 43m 22s</v>
      </c>
      <c r="Y268" s="69">
        <f t="shared" si="14"/>
        <v>362796759</v>
      </c>
      <c r="Z268" s="11"/>
      <c r="AG268" s="59"/>
    </row>
    <row r="269">
      <c r="A269" s="8"/>
      <c r="B269" s="56" t="str">
        <f t="shared" si="2"/>
        <v/>
      </c>
      <c r="C269" s="105"/>
      <c r="D269" s="10"/>
      <c r="E269" s="59" t="str">
        <f t="array" ref="E269">IF(COUNTA(C269:C1644)=0,"",SUM((COUNTIF(C$4:C269,Upgrades!$B$3:$B$13)-COUNTIF(C$4:C269,"Sell_"&amp;Upgrades!$B$3:$B$13))*Upgrades!$D$3:$D$13))</f>
        <v/>
      </c>
      <c r="F269" s="66" t="str">
        <f>IFERROR(__xludf.DUMMYFUNCTION("IF(COUNTA(C269:C1644)=0,"""",IF(REGEXMATCH(INDEX(FILTER(C$4:C269,C$4:C269&lt;&gt;""""),ROWS(FILTER(C$4:C269,C$4:C269&lt;&gt;""""))),""^Sell_""),INDEX(FILTER(F$4:F268,C$4:C268&lt;&gt;""""),ROWS(FILTER(C$4:C268,C$4:C268&lt;&gt;""""))),$AC$5+E269))"),"")</f>
        <v/>
      </c>
      <c r="G269" s="10" t="str">
        <f>IFERROR(__xludf.DUMMYFUNCTION("IF(COUNTA(C269:C1644)=0,"""",IF(C269="""",0,IF(REGEXMATCH(C269,""^Sell_""),-ROUNDDOWN(ROUNDUP(INDEX(Upgrades!$C$3:$C$13,MATCH(SUBSTITUTE(C269,""Sell_"",""""),Upgrades!$B$3:$B$13,0))*1.15^(COUNTIF(C$4:C268,SUBSTITUTE(C269,""Sell_"",""""))-COUNTIF(C$4:C268,"&amp;"""Sell_""&amp;SUBSTITUTE(C269,""Sell_"",""""))))/2),ROUNDUP(INDEX(Upgrades!$C$3:$C$13,MATCH(C269,Upgrades!$B$3:$B$13,0))*1.15^(COUNTIF(C$4:C268,C269)-COUNTIF(C$4:C268,""Sell_""&amp;C269))))))"),"")</f>
        <v/>
      </c>
      <c r="H269" s="10" t="str">
        <f t="shared" si="3"/>
        <v/>
      </c>
      <c r="I269" s="68" t="str">
        <f t="shared" si="4"/>
        <v/>
      </c>
      <c r="J269" s="59" t="str">
        <f t="shared" si="5"/>
        <v/>
      </c>
      <c r="K269" s="69" t="str">
        <f t="shared" si="6"/>
        <v/>
      </c>
      <c r="L269" s="60">
        <f t="shared" si="7"/>
        <v>-105.79084</v>
      </c>
      <c r="M269" s="61">
        <f>IFERROR(__xludf.DUMMYFUNCTION("IFS(AND(COUNTA(C269:C1644)=0,COUNTA(Q269:Q1644)=0),"""",OR(AND(K269&gt;=1000000000,OR(Y269&gt;=1000000000,COUNTA(Q269:Q1644)=0)),OR(Y269&gt;=1000000000,AND(COUNTA(C269:C1644)=0,P$3=TRUE))),
ROUNDDOWN((AB$1-AC$1)*MAX(INDEX(T$4:T1644,MATCH(LARGE(FILTER(Y$4:Y1644,Y$4"&amp;":Y1644&lt;1000000000),1),Y$4:Y1644)),INDEX(F$4:F1644,MATCH(LARGE(FILTER(K$4:K1644,K$4:K1644&lt;1000000000),1),K$4:K1644)))),AND(K269&lt;1000000000,COUNTA(C269:C1644)&gt;0,P$3=FALSE),
ROUNDDOWN(INDEX(Y$4:Y1644,MATCH(LARGE(FILTER(W$4:W1644,W$4:W1644&lt;=I269),1),W$4:W1644"&amp;"))+(I269-LARGE(FILTER(W$4:W1644,W$4:W1644&lt;=I269),1))*INDEX(T$4:T1644,MATCH(LARGE(FILTER(W$4:W1644,W$4:W1644&lt;=I269),1),W$4:W1644))-K269),1,
ROUNDDOWN(Y269-INDEX(K$4:K1644,MATCH(LARGE(FILTER(I$4:I1644,I$4:I1644&lt;=W269),1),I$4:I1644))-(W269-LARGE(FILTER(I$4:I"&amp;"1644,I$4:I1644&lt;=W269),1))*INDEX(F$4:F1644,MATCH(LARGE(FILTER(I$4:I1644,I$4:I1644&lt;=W269),1),I$4:I1644))))"),2.2387045E7)</f>
        <v>22387045</v>
      </c>
      <c r="N269" s="60">
        <f t="shared" si="8"/>
        <v>-105.79084</v>
      </c>
      <c r="O269" s="61" t="str">
        <f t="shared" si="9"/>
        <v>22,4M</v>
      </c>
      <c r="P269" s="56">
        <f t="shared" si="10"/>
        <v>12</v>
      </c>
      <c r="Q269" s="105" t="s">
        <v>10</v>
      </c>
      <c r="R269" s="10"/>
      <c r="S269" s="59">
        <f t="array" ref="S269">IF(COUNTA(Q269:Q1644)=0,"",SUM((COUNTIF(Q$4:Q269,Upgrades!$B$3:$B$13)-COUNTIF(Q$4:Q269,"Sell_"&amp;Upgrades!$B$3:$B$13))*Upgrades!$D$3:$D$13))</f>
        <v>282007</v>
      </c>
      <c r="T269" s="66">
        <f>IFERROR(__xludf.DUMMYFUNCTION("IF(COUNTA(Q269:Q1644)=0,"""",IF(REGEXMATCH(INDEX(FILTER(Q$4:Q269,Q$4:Q269&lt;&gt;""""),ROWS(FILTER(Q$4:Q269,Q$4:Q269&lt;&gt;""""))),""^Sell_""),INDEX(FILTER(T$4:T268,Q$4:Q268&lt;&gt;""""),ROWS(FILTER(Q$4:Q268,Q$4:Q268&lt;&gt;""""))),$AD$5+S269))"),282017.0)</f>
        <v>282017</v>
      </c>
      <c r="U269" s="10">
        <f>IFERROR(__xludf.DUMMYFUNCTION("IF(COUNTA(Q269:Q1644)=0,"""",IF(Q269="""",0,IF(REGEXMATCH(Q269,""^Sell_""),-ROUNDDOWN(ROUNDUP(INDEX(Upgrades!$C$3:$C$13,MATCH(SUBSTITUTE(Q269,""Sell_"",""""),Upgrades!$B$3:$B$13,0))*1.15^(COUNTIF(Q$4:Q268,SUBSTITUTE(Q269,""Sell_"",""""))-COUNTIF(Q$4:Q268,"&amp;"""Sell_""&amp;SUBSTITUTE(Q269,""Sell_"",""""))))/2),ROUNDUP(INDEX(Upgrades!$C$3:$C$13,MATCH(Q269,Upgrades!$B$3:$B$13,0))*1.15^(COUNTIF(Q$4:Q268,Q269)-COUNTIF(Q$4:Q268,""Sell_""&amp;Q269))))))"),7753983.0)</f>
        <v>7753983</v>
      </c>
      <c r="V269" s="10">
        <f t="shared" si="11"/>
        <v>7753983</v>
      </c>
      <c r="W269" s="68">
        <f t="shared" si="12"/>
        <v>6230.542454</v>
      </c>
      <c r="X269" s="59" t="str">
        <f t="shared" si="13"/>
        <v>1h 43m 50s</v>
      </c>
      <c r="Y269" s="69">
        <f t="shared" si="14"/>
        <v>370550742</v>
      </c>
      <c r="Z269" s="11"/>
      <c r="AG269" s="59"/>
    </row>
    <row r="270">
      <c r="A270" s="8"/>
      <c r="B270" s="56" t="str">
        <f t="shared" si="2"/>
        <v/>
      </c>
      <c r="C270" s="105"/>
      <c r="D270" s="10"/>
      <c r="E270" s="59" t="str">
        <f t="array" ref="E270">IF(COUNTA(C270:C1644)=0,"",SUM((COUNTIF(C$4:C270,Upgrades!$B$3:$B$13)-COUNTIF(C$4:C270,"Sell_"&amp;Upgrades!$B$3:$B$13))*Upgrades!$D$3:$D$13))</f>
        <v/>
      </c>
      <c r="F270" s="66" t="str">
        <f>IFERROR(__xludf.DUMMYFUNCTION("IF(COUNTA(C270:C1644)=0,"""",IF(REGEXMATCH(INDEX(FILTER(C$4:C270,C$4:C270&lt;&gt;""""),ROWS(FILTER(C$4:C270,C$4:C270&lt;&gt;""""))),""^Sell_""),INDEX(FILTER(F$4:F269,C$4:C269&lt;&gt;""""),ROWS(FILTER(C$4:C269,C$4:C269&lt;&gt;""""))),$AC$5+E270))"),"")</f>
        <v/>
      </c>
      <c r="G270" s="10" t="str">
        <f>IFERROR(__xludf.DUMMYFUNCTION("IF(COUNTA(C270:C1644)=0,"""",IF(C270="""",0,IF(REGEXMATCH(C270,""^Sell_""),-ROUNDDOWN(ROUNDUP(INDEX(Upgrades!$C$3:$C$13,MATCH(SUBSTITUTE(C270,""Sell_"",""""),Upgrades!$B$3:$B$13,0))*1.15^(COUNTIF(C$4:C269,SUBSTITUTE(C270,""Sell_"",""""))-COUNTIF(C$4:C269,"&amp;"""Sell_""&amp;SUBSTITUTE(C270,""Sell_"",""""))))/2),ROUNDUP(INDEX(Upgrades!$C$3:$C$13,MATCH(C270,Upgrades!$B$3:$B$13,0))*1.15^(COUNTIF(C$4:C269,C270)-COUNTIF(C$4:C269,""Sell_""&amp;C270))))))"),"")</f>
        <v/>
      </c>
      <c r="H270" s="10" t="str">
        <f t="shared" si="3"/>
        <v/>
      </c>
      <c r="I270" s="68" t="str">
        <f t="shared" si="4"/>
        <v/>
      </c>
      <c r="J270" s="59" t="str">
        <f t="shared" si="5"/>
        <v/>
      </c>
      <c r="K270" s="69" t="str">
        <f t="shared" si="6"/>
        <v/>
      </c>
      <c r="L270" s="60">
        <f t="shared" si="7"/>
        <v>-105.93518</v>
      </c>
      <c r="M270" s="61">
        <f>IFERROR(__xludf.DUMMYFUNCTION("IFS(AND(COUNTA(C270:C1644)=0,COUNTA(Q270:Q1644)=0),"""",OR(AND(K270&gt;=1000000000,OR(Y270&gt;=1000000000,COUNTA(Q270:Q1644)=0)),OR(Y270&gt;=1000000000,AND(COUNTA(C270:C1644)=0,P$3=TRUE))),
ROUNDDOWN((AB$1-AC$1)*MAX(INDEX(T$4:T1644,MATCH(LARGE(FILTER(Y$4:Y1644,Y$4"&amp;":Y1644&lt;1000000000),1),Y$4:Y1644)),INDEX(F$4:F1644,MATCH(LARGE(FILTER(K$4:K1644,K$4:K1644&lt;1000000000),1),K$4:K1644)))),AND(K270&lt;1000000000,COUNTA(C270:C1644)&gt;0,P$3=FALSE),
ROUNDDOWN(INDEX(Y$4:Y1644,MATCH(LARGE(FILTER(W$4:W1644,W$4:W1644&lt;=I270),1),W$4:W1644"&amp;"))+(I270-LARGE(FILTER(W$4:W1644,W$4:W1644&lt;=I270),1))*INDEX(T$4:T1644,MATCH(LARGE(FILTER(W$4:W1644,W$4:W1644&lt;=I270),1),W$4:W1644))-K270),1,
ROUNDDOWN(Y270-INDEX(K$4:K1644,MATCH(LARGE(FILTER(I$4:I1644,I$4:I1644&lt;=W270),1),I$4:I1644))-(W270-LARGE(FILTER(I$4:I"&amp;"1644,I$4:I1644&lt;=W270),1))*INDEX(F$4:F1644,MATCH(LARGE(FILTER(I$4:I1644,I$4:I1644&lt;=W270),1),I$4:I1644))))"),2.2417591E7)</f>
        <v>22417591</v>
      </c>
      <c r="N270" s="60">
        <f t="shared" si="8"/>
        <v>-105.93518</v>
      </c>
      <c r="O270" s="61" t="str">
        <f t="shared" si="9"/>
        <v>22,4M</v>
      </c>
      <c r="P270" s="56">
        <f t="shared" si="10"/>
        <v>9</v>
      </c>
      <c r="Q270" s="105" t="s">
        <v>8</v>
      </c>
      <c r="R270" s="10"/>
      <c r="S270" s="59">
        <f t="array" ref="S270">IF(COUNTA(Q270:Q1644)=0,"",SUM((COUNTIF(Q$4:Q270,Upgrades!$B$3:$B$13)-COUNTIF(Q$4:Q270,"Sell_"&amp;Upgrades!$B$3:$B$13))*Upgrades!$D$3:$D$13))</f>
        <v>282107</v>
      </c>
      <c r="T270" s="66">
        <f>IFERROR(__xludf.DUMMYFUNCTION("IF(COUNTA(Q270:Q1644)=0,"""",IF(REGEXMATCH(INDEX(FILTER(Q$4:Q270,Q$4:Q270&lt;&gt;""""),ROWS(FILTER(Q$4:Q270,Q$4:Q270&lt;&gt;""""))),""^Sell_""),INDEX(FILTER(T$4:T269,Q$4:Q269&lt;&gt;""""),ROWS(FILTER(Q$4:Q269,Q$4:Q269&lt;&gt;""""))),$AD$5+S270))"),282117.0)</f>
        <v>282117</v>
      </c>
      <c r="U270" s="10">
        <f>IFERROR(__xludf.DUMMYFUNCTION("IF(COUNTA(Q270:Q1644)=0,"""",IF(Q270="""",0,IF(REGEXMATCH(Q270,""^Sell_""),-ROUNDDOWN(ROUNDUP(INDEX(Upgrades!$C$3:$C$13,MATCH(SUBSTITUTE(Q270,""Sell_"",""""),Upgrades!$B$3:$B$13,0))*1.15^(COUNTIF(Q$4:Q269,SUBSTITUTE(Q270,""Sell_"",""""))-COUNTIF(Q$4:Q269,"&amp;"""Sell_""&amp;SUBSTITUTE(Q270,""Sell_"",""""))))/2),ROUNDUP(INDEX(Upgrades!$C$3:$C$13,MATCH(Q270,Upgrades!$B$3:$B$13,0))*1.15^(COUNTIF(Q$4:Q269,Q270)-COUNTIF(Q$4:Q269,""Sell_""&amp;Q270))))))"),122361.0)</f>
        <v>122361</v>
      </c>
      <c r="V270" s="10">
        <f t="shared" si="11"/>
        <v>122361</v>
      </c>
      <c r="W270" s="68">
        <f t="shared" si="12"/>
        <v>6230.976332</v>
      </c>
      <c r="X270" s="59" t="str">
        <f t="shared" si="13"/>
        <v>1h 43m 50s</v>
      </c>
      <c r="Y270" s="69">
        <f t="shared" si="14"/>
        <v>370673103</v>
      </c>
      <c r="Z270" s="11"/>
      <c r="AG270" s="59"/>
    </row>
    <row r="271">
      <c r="A271" s="8"/>
      <c r="B271" s="56" t="str">
        <f t="shared" si="2"/>
        <v/>
      </c>
      <c r="C271" s="105"/>
      <c r="D271" s="10"/>
      <c r="E271" s="59" t="str">
        <f t="array" ref="E271">IF(COUNTA(C271:C1644)=0,"",SUM((COUNTIF(C$4:C271,Upgrades!$B$3:$B$13)-COUNTIF(C$4:C271,"Sell_"&amp;Upgrades!$B$3:$B$13))*Upgrades!$D$3:$D$13))</f>
        <v/>
      </c>
      <c r="F271" s="66" t="str">
        <f>IFERROR(__xludf.DUMMYFUNCTION("IF(COUNTA(C271:C1644)=0,"""",IF(REGEXMATCH(INDEX(FILTER(C$4:C271,C$4:C271&lt;&gt;""""),ROWS(FILTER(C$4:C271,C$4:C271&lt;&gt;""""))),""^Sell_""),INDEX(FILTER(F$4:F270,C$4:C270&lt;&gt;""""),ROWS(FILTER(C$4:C270,C$4:C270&lt;&gt;""""))),$AC$5+E271))"),"")</f>
        <v/>
      </c>
      <c r="G271" s="10" t="str">
        <f>IFERROR(__xludf.DUMMYFUNCTION("IF(COUNTA(C271:C1644)=0,"""",IF(C271="""",0,IF(REGEXMATCH(C271,""^Sell_""),-ROUNDDOWN(ROUNDUP(INDEX(Upgrades!$C$3:$C$13,MATCH(SUBSTITUTE(C271,""Sell_"",""""),Upgrades!$B$3:$B$13,0))*1.15^(COUNTIF(C$4:C270,SUBSTITUTE(C271,""Sell_"",""""))-COUNTIF(C$4:C270,"&amp;"""Sell_""&amp;SUBSTITUTE(C271,""Sell_"",""""))))/2),ROUNDUP(INDEX(Upgrades!$C$3:$C$13,MATCH(C271,Upgrades!$B$3:$B$13,0))*1.15^(COUNTIF(C$4:C270,C271)-COUNTIF(C$4:C270,""Sell_""&amp;C271))))))"),"")</f>
        <v/>
      </c>
      <c r="H271" s="10" t="str">
        <f t="shared" si="3"/>
        <v/>
      </c>
      <c r="I271" s="68" t="str">
        <f t="shared" si="4"/>
        <v/>
      </c>
      <c r="J271" s="59" t="str">
        <f t="shared" si="5"/>
        <v/>
      </c>
      <c r="K271" s="69" t="str">
        <f t="shared" si="6"/>
        <v/>
      </c>
      <c r="L271" s="60">
        <f t="shared" si="7"/>
        <v>-106.56343</v>
      </c>
      <c r="M271" s="61">
        <f>IFERROR(__xludf.DUMMYFUNCTION("IFS(AND(COUNTA(C271:C1644)=0,COUNTA(Q271:Q1644)=0),"""",OR(AND(K271&gt;=1000000000,OR(Y271&gt;=1000000000,COUNTA(Q271:Q1644)=0)),OR(Y271&gt;=1000000000,AND(COUNTA(C271:C1644)=0,P$3=TRUE))),
ROUNDDOWN((AB$1-AC$1)*MAX(INDEX(T$4:T1644,MATCH(LARGE(FILTER(Y$4:Y1644,Y$4"&amp;":Y1644&lt;1000000000),1),Y$4:Y1644)),INDEX(F$4:F1644,MATCH(LARGE(FILTER(K$4:K1644,K$4:K1644&lt;1000000000),1),K$4:K1644)))),AND(K271&lt;1000000000,COUNTA(C271:C1644)&gt;0,P$3=FALSE),
ROUNDDOWN(INDEX(Y$4:Y1644,MATCH(LARGE(FILTER(W$4:W1644,W$4:W1644&lt;=I271),1),W$4:W1644"&amp;"))+(I271-LARGE(FILTER(W$4:W1644,W$4:W1644&lt;=I271),1))*INDEX(T$4:T1644,MATCH(LARGE(FILTER(W$4:W1644,W$4:W1644&lt;=I271),1),W$4:W1644))-K271),1,
ROUNDDOWN(Y271-INDEX(K$4:K1644,MATCH(LARGE(FILTER(I$4:I1644,I$4:I1644&lt;=W271),1),I$4:I1644))-(W271-LARGE(FILTER(I$4:I"&amp;"1644,I$4:I1644&lt;=W271),1))*INDEX(F$4:F1644,MATCH(LARGE(FILTER(I$4:I1644,I$4:I1644&lt;=W271),1),I$4:I1644))))"),2.2550538E7)</f>
        <v>22550538</v>
      </c>
      <c r="N271" s="60">
        <f t="shared" si="8"/>
        <v>-106.56343</v>
      </c>
      <c r="O271" s="61" t="str">
        <f t="shared" si="9"/>
        <v>22,6M</v>
      </c>
      <c r="P271" s="56">
        <f t="shared" si="10"/>
        <v>8</v>
      </c>
      <c r="Q271" s="105" t="s">
        <v>9</v>
      </c>
      <c r="R271" s="10"/>
      <c r="S271" s="59">
        <f t="array" ref="S271">IF(COUNTA(Q271:Q1644)=0,"",SUM((COUNTIF(Q$4:Q271,Upgrades!$B$3:$B$13)-COUNTIF(Q$4:Q271,"Sell_"&amp;Upgrades!$B$3:$B$13))*Upgrades!$D$3:$D$13))</f>
        <v>282507</v>
      </c>
      <c r="T271" s="66">
        <f>IFERROR(__xludf.DUMMYFUNCTION("IF(COUNTA(Q271:Q1644)=0,"""",IF(REGEXMATCH(INDEX(FILTER(Q$4:Q271,Q$4:Q271&lt;&gt;""""),ROWS(FILTER(Q$4:Q271,Q$4:Q271&lt;&gt;""""))),""^Sell_""),INDEX(FILTER(T$4:T270,Q$4:Q270&lt;&gt;""""),ROWS(FILTER(Q$4:Q270,Q$4:Q270&lt;&gt;""""))),$AD$5+S271))"),282517.0)</f>
        <v>282517</v>
      </c>
      <c r="U271" s="10">
        <f>IFERROR(__xludf.DUMMYFUNCTION("IF(COUNTA(Q271:Q1644)=0,"""",IF(Q271="""",0,IF(REGEXMATCH(Q271,""^Sell_""),-ROUNDDOWN(ROUNDUP(INDEX(Upgrades!$C$3:$C$13,MATCH(SUBSTITUTE(Q271,""Sell_"",""""),Upgrades!$B$3:$B$13,0))*1.15^(COUNTIF(Q$4:Q270,SUBSTITUTE(Q271,""Sell_"",""""))-COUNTIF(Q$4:Q270,"&amp;"""Sell_""&amp;SUBSTITUTE(Q271,""Sell_"",""""))))/2),ROUNDUP(INDEX(Upgrades!$C$3:$C$13,MATCH(Q271,Upgrades!$B$3:$B$13,0))*1.15^(COUNTIF(Q$4:Q270,Q271)-COUNTIF(Q$4:Q270,""Sell_""&amp;Q271))))))"),532004.0)</f>
        <v>532004</v>
      </c>
      <c r="V271" s="10">
        <f t="shared" si="11"/>
        <v>532004</v>
      </c>
      <c r="W271" s="68">
        <f t="shared" si="12"/>
        <v>6232.862088</v>
      </c>
      <c r="X271" s="59" t="str">
        <f t="shared" si="13"/>
        <v>1h 43m 52s</v>
      </c>
      <c r="Y271" s="69">
        <f t="shared" si="14"/>
        <v>371205107</v>
      </c>
      <c r="Z271" s="11"/>
      <c r="AG271" s="59"/>
    </row>
    <row r="272">
      <c r="A272" s="8"/>
      <c r="B272" s="56" t="str">
        <f t="shared" si="2"/>
        <v/>
      </c>
      <c r="C272" s="105"/>
      <c r="D272" s="10"/>
      <c r="E272" s="59" t="str">
        <f t="array" ref="E272">IF(COUNTA(C272:C1644)=0,"",SUM((COUNTIF(C$4:C272,Upgrades!$B$3:$B$13)-COUNTIF(C$4:C272,"Sell_"&amp;Upgrades!$B$3:$B$13))*Upgrades!$D$3:$D$13))</f>
        <v/>
      </c>
      <c r="F272" s="66" t="str">
        <f>IFERROR(__xludf.DUMMYFUNCTION("IF(COUNTA(C272:C1644)=0,"""",IF(REGEXMATCH(INDEX(FILTER(C$4:C272,C$4:C272&lt;&gt;""""),ROWS(FILTER(C$4:C272,C$4:C272&lt;&gt;""""))),""^Sell_""),INDEX(FILTER(F$4:F271,C$4:C271&lt;&gt;""""),ROWS(FILTER(C$4:C271,C$4:C271&lt;&gt;""""))),$AC$5+E272))"),"")</f>
        <v/>
      </c>
      <c r="G272" s="10" t="str">
        <f>IFERROR(__xludf.DUMMYFUNCTION("IF(COUNTA(C272:C1644)=0,"""",IF(C272="""",0,IF(REGEXMATCH(C272,""^Sell_""),-ROUNDDOWN(ROUNDUP(INDEX(Upgrades!$C$3:$C$13,MATCH(SUBSTITUTE(C272,""Sell_"",""""),Upgrades!$B$3:$B$13,0))*1.15^(COUNTIF(C$4:C271,SUBSTITUTE(C272,""Sell_"",""""))-COUNTIF(C$4:C271,"&amp;"""Sell_""&amp;SUBSTITUTE(C272,""Sell_"",""""))))/2),ROUNDUP(INDEX(Upgrades!$C$3:$C$13,MATCH(C272,Upgrades!$B$3:$B$13,0))*1.15^(COUNTIF(C$4:C271,C272)-COUNTIF(C$4:C271,""Sell_""&amp;C272))))))"),"")</f>
        <v/>
      </c>
      <c r="H272" s="10" t="str">
        <f t="shared" si="3"/>
        <v/>
      </c>
      <c r="I272" s="68" t="str">
        <f t="shared" si="4"/>
        <v/>
      </c>
      <c r="J272" s="59" t="str">
        <f t="shared" si="5"/>
        <v/>
      </c>
      <c r="K272" s="69" t="str">
        <f t="shared" si="6"/>
        <v/>
      </c>
      <c r="L272" s="60">
        <f t="shared" si="7"/>
        <v>-111.10163</v>
      </c>
      <c r="M272" s="61">
        <f>IFERROR(__xludf.DUMMYFUNCTION("IFS(AND(COUNTA(C272:C1644)=0,COUNTA(Q272:Q1644)=0),"""",OR(AND(K272&gt;=1000000000,OR(Y272&gt;=1000000000,COUNTA(Q272:Q1644)=0)),OR(Y272&gt;=1000000000,AND(COUNTA(C272:C1644)=0,P$3=TRUE))),
ROUNDDOWN((AB$1-AC$1)*MAX(INDEX(T$4:T1644,MATCH(LARGE(FILTER(Y$4:Y1644,Y$4"&amp;":Y1644&lt;1000000000),1),Y$4:Y1644)),INDEX(F$4:F1644,MATCH(LARGE(FILTER(K$4:K1644,K$4:K1644&lt;1000000000),1),K$4:K1644)))),AND(K272&lt;1000000000,COUNTA(C272:C1644)&gt;0,P$3=FALSE),
ROUNDDOWN(INDEX(Y$4:Y1644,MATCH(LARGE(FILTER(W$4:W1644,W$4:W1644&lt;=I272),1),W$4:W1644"&amp;"))+(I272-LARGE(FILTER(W$4:W1644,W$4:W1644&lt;=I272),1))*INDEX(T$4:T1644,MATCH(LARGE(FILTER(W$4:W1644,W$4:W1644&lt;=I272),1),W$4:W1644))-K272),1,
ROUNDDOWN(Y272-INDEX(K$4:K1644,MATCH(LARGE(FILTER(I$4:I1644,I$4:I1644&lt;=W272),1),I$4:I1644))-(W272-LARGE(FILTER(I$4:I"&amp;"1644,I$4:I1644&lt;=W272),1))*INDEX(F$4:F1644,MATCH(LARGE(FILTER(I$4:I1644,I$4:I1644&lt;=W272),1),I$4:I1644))))"),2.4788382E7)</f>
        <v>24788382</v>
      </c>
      <c r="N272" s="60">
        <f t="shared" si="8"/>
        <v>-111.10163</v>
      </c>
      <c r="O272" s="61" t="str">
        <f t="shared" si="9"/>
        <v>24,8M</v>
      </c>
      <c r="P272" s="56">
        <f t="shared" si="10"/>
        <v>13</v>
      </c>
      <c r="Q272" s="105" t="s">
        <v>10</v>
      </c>
      <c r="R272" s="10"/>
      <c r="S272" s="59">
        <f t="array" ref="S272">IF(COUNTA(Q272:Q1644)=0,"",SUM((COUNTIF(Q$4:Q272,Upgrades!$B$3:$B$13)-COUNTIF(Q$4:Q272,"Sell_"&amp;Upgrades!$B$3:$B$13))*Upgrades!$D$3:$D$13))</f>
        <v>289173</v>
      </c>
      <c r="T272" s="66">
        <f>IFERROR(__xludf.DUMMYFUNCTION("IF(COUNTA(Q272:Q1644)=0,"""",IF(REGEXMATCH(INDEX(FILTER(Q$4:Q272,Q$4:Q272&lt;&gt;""""),ROWS(FILTER(Q$4:Q272,Q$4:Q272&lt;&gt;""""))),""^Sell_""),INDEX(FILTER(T$4:T271,Q$4:Q271&lt;&gt;""""),ROWS(FILTER(Q$4:Q271,Q$4:Q271&lt;&gt;""""))),$AD$5+S272))"),289183.0)</f>
        <v>289183</v>
      </c>
      <c r="U272" s="10">
        <f>IFERROR(__xludf.DUMMYFUNCTION("IF(COUNTA(Q272:Q1644)=0,"""",IF(Q272="""",0,IF(REGEXMATCH(Q272,""^Sell_""),-ROUNDDOWN(ROUNDUP(INDEX(Upgrades!$C$3:$C$13,MATCH(SUBSTITUTE(Q272,""Sell_"",""""),Upgrades!$B$3:$B$13,0))*1.15^(COUNTIF(Q$4:Q271,SUBSTITUTE(Q272,""Sell_"",""""))-COUNTIF(Q$4:Q271,"&amp;"""Sell_""&amp;SUBSTITUTE(Q272,""Sell_"",""""))))/2),ROUNDUP(INDEX(Upgrades!$C$3:$C$13,MATCH(Q272,Upgrades!$B$3:$B$13,0))*1.15^(COUNTIF(Q$4:Q271,Q272)-COUNTIF(Q$4:Q271,""Sell_""&amp;Q272))))))"),8917080.0)</f>
        <v>8917080</v>
      </c>
      <c r="V272" s="10">
        <f t="shared" si="11"/>
        <v>8917080</v>
      </c>
      <c r="W272" s="68">
        <f t="shared" si="12"/>
        <v>6264.425074</v>
      </c>
      <c r="X272" s="59" t="str">
        <f t="shared" si="13"/>
        <v>1h 44m 24s</v>
      </c>
      <c r="Y272" s="69">
        <f t="shared" si="14"/>
        <v>380122187</v>
      </c>
      <c r="Z272" s="11"/>
      <c r="AG272" s="59"/>
    </row>
    <row r="273">
      <c r="A273" s="8"/>
      <c r="B273" s="56" t="str">
        <f t="shared" si="2"/>
        <v/>
      </c>
      <c r="C273" s="105"/>
      <c r="D273" s="10"/>
      <c r="E273" s="59" t="str">
        <f t="array" ref="E273">IF(COUNTA(C273:C1644)=0,"",SUM((COUNTIF(C$4:C273,Upgrades!$B$3:$B$13)-COUNTIF(C$4:C273,"Sell_"&amp;Upgrades!$B$3:$B$13))*Upgrades!$D$3:$D$13))</f>
        <v/>
      </c>
      <c r="F273" s="66" t="str">
        <f>IFERROR(__xludf.DUMMYFUNCTION("IF(COUNTA(C273:C1644)=0,"""",IF(REGEXMATCH(INDEX(FILTER(C$4:C273,C$4:C273&lt;&gt;""""),ROWS(FILTER(C$4:C273,C$4:C273&lt;&gt;""""))),""^Sell_""),INDEX(FILTER(F$4:F272,C$4:C272&lt;&gt;""""),ROWS(FILTER(C$4:C272,C$4:C272&lt;&gt;""""))),$AC$5+E273))"),"")</f>
        <v/>
      </c>
      <c r="G273" s="10" t="str">
        <f>IFERROR(__xludf.DUMMYFUNCTION("IF(COUNTA(C273:C1644)=0,"""",IF(C273="""",0,IF(REGEXMATCH(C273,""^Sell_""),-ROUNDDOWN(ROUNDUP(INDEX(Upgrades!$C$3:$C$13,MATCH(SUBSTITUTE(C273,""Sell_"",""""),Upgrades!$B$3:$B$13,0))*1.15^(COUNTIF(C$4:C272,SUBSTITUTE(C273,""Sell_"",""""))-COUNTIF(C$4:C272,"&amp;"""Sell_""&amp;SUBSTITUTE(C273,""Sell_"",""""))))/2),ROUNDUP(INDEX(Upgrades!$C$3:$C$13,MATCH(C273,Upgrades!$B$3:$B$13,0))*1.15^(COUNTIF(C$4:C272,C273)-COUNTIF(C$4:C272,""Sell_""&amp;C273))))))"),"")</f>
        <v/>
      </c>
      <c r="H273" s="10" t="str">
        <f t="shared" si="3"/>
        <v/>
      </c>
      <c r="I273" s="68" t="str">
        <f t="shared" si="4"/>
        <v/>
      </c>
      <c r="J273" s="59" t="str">
        <f t="shared" si="5"/>
        <v/>
      </c>
      <c r="K273" s="69" t="str">
        <f t="shared" si="6"/>
        <v/>
      </c>
      <c r="L273" s="60">
        <f t="shared" si="7"/>
        <v>-111.0684</v>
      </c>
      <c r="M273" s="61">
        <f>IFERROR(__xludf.DUMMYFUNCTION("IFS(AND(COUNTA(C273:C1644)=0,COUNTA(Q273:Q1644)=0),"""",OR(AND(K273&gt;=1000000000,OR(Y273&gt;=1000000000,COUNTA(Q273:Q1644)=0)),OR(Y273&gt;=1000000000,AND(COUNTA(C273:C1644)=0,P$3=TRUE))),
ROUNDDOWN((AB$1-AC$1)*MAX(INDEX(T$4:T1644,MATCH(LARGE(FILTER(Y$4:Y1644,Y$4"&amp;":Y1644&lt;1000000000),1),Y$4:Y1644)),INDEX(F$4:F1644,MATCH(LARGE(FILTER(K$4:K1644,K$4:K1644&lt;1000000000),1),K$4:K1644)))),AND(K273&lt;1000000000,COUNTA(C273:C1644)&gt;0,P$3=FALSE),
ROUNDDOWN(INDEX(Y$4:Y1644,MATCH(LARGE(FILTER(W$4:W1644,W$4:W1644&lt;=I273),1),W$4:W1644"&amp;"))+(I273-LARGE(FILTER(W$4:W1644,W$4:W1644&lt;=I273),1))*INDEX(T$4:T1644,MATCH(LARGE(FILTER(W$4:W1644,W$4:W1644&lt;=I273),1),W$4:W1644))-K273),1,
ROUNDDOWN(Y273-INDEX(K$4:K1644,MATCH(LARGE(FILTER(I$4:I1644,I$4:I1644&lt;=W273),1),I$4:I1644))-(W273-LARGE(FILTER(I$4:I"&amp;"1644,I$4:I1644&lt;=W273),1))*INDEX(F$4:F1644,MATCH(LARGE(FILTER(I$4:I1644,I$4:I1644&lt;=W273),1),I$4:I1644))))"),2.4826126E7)</f>
        <v>24826126</v>
      </c>
      <c r="N273" s="60">
        <f t="shared" si="8"/>
        <v>-111.0684</v>
      </c>
      <c r="O273" s="61" t="str">
        <f t="shared" si="9"/>
        <v>24,8M</v>
      </c>
      <c r="P273" s="56">
        <f t="shared" si="10"/>
        <v>10</v>
      </c>
      <c r="Q273" s="105" t="s">
        <v>8</v>
      </c>
      <c r="R273" s="10"/>
      <c r="S273" s="59">
        <f t="array" ref="S273">IF(COUNTA(Q273:Q1644)=0,"",SUM((COUNTIF(Q$4:Q273,Upgrades!$B$3:$B$13)-COUNTIF(Q$4:Q273,"Sell_"&amp;Upgrades!$B$3:$B$13))*Upgrades!$D$3:$D$13))</f>
        <v>289273</v>
      </c>
      <c r="T273" s="66">
        <f>IFERROR(__xludf.DUMMYFUNCTION("IF(COUNTA(Q273:Q1644)=0,"""",IF(REGEXMATCH(INDEX(FILTER(Q$4:Q273,Q$4:Q273&lt;&gt;""""),ROWS(FILTER(Q$4:Q273,Q$4:Q273&lt;&gt;""""))),""^Sell_""),INDEX(FILTER(T$4:T272,Q$4:Q272&lt;&gt;""""),ROWS(FILTER(Q$4:Q272,Q$4:Q272&lt;&gt;""""))),$AD$5+S273))"),289283.0)</f>
        <v>289283</v>
      </c>
      <c r="U273" s="10">
        <f>IFERROR(__xludf.DUMMYFUNCTION("IF(COUNTA(Q273:Q1644)=0,"""",IF(Q273="""",0,IF(REGEXMATCH(Q273,""^Sell_""),-ROUNDDOWN(ROUNDUP(INDEX(Upgrades!$C$3:$C$13,MATCH(SUBSTITUTE(Q273,""Sell_"",""""),Upgrades!$B$3:$B$13,0))*1.15^(COUNTIF(Q$4:Q272,SUBSTITUTE(Q273,""Sell_"",""""))-COUNTIF(Q$4:Q272,"&amp;"""Sell_""&amp;SUBSTITUTE(Q273,""Sell_"",""""))))/2),ROUNDUP(INDEX(Upgrades!$C$3:$C$13,MATCH(Q273,Upgrades!$B$3:$B$13,0))*1.15^(COUNTIF(Q$4:Q272,Q273)-COUNTIF(Q$4:Q272,""Sell_""&amp;Q273))))))"),140716.0)</f>
        <v>140716</v>
      </c>
      <c r="V273" s="10">
        <f t="shared" si="11"/>
        <v>140716</v>
      </c>
      <c r="W273" s="68">
        <f t="shared" si="12"/>
        <v>6264.911672</v>
      </c>
      <c r="X273" s="59" t="str">
        <f t="shared" si="13"/>
        <v>1h 44m 24s</v>
      </c>
      <c r="Y273" s="69">
        <f t="shared" si="14"/>
        <v>380262903</v>
      </c>
      <c r="Z273" s="11"/>
      <c r="AG273" s="59"/>
    </row>
    <row r="274">
      <c r="A274" s="8"/>
      <c r="B274" s="56" t="str">
        <f t="shared" si="2"/>
        <v/>
      </c>
      <c r="C274" s="105"/>
      <c r="D274" s="10"/>
      <c r="E274" s="59" t="str">
        <f t="array" ref="E274">IF(COUNTA(C274:C1644)=0,"",SUM((COUNTIF(C$4:C274,Upgrades!$B$3:$B$13)-COUNTIF(C$4:C274,"Sell_"&amp;Upgrades!$B$3:$B$13))*Upgrades!$D$3:$D$13))</f>
        <v/>
      </c>
      <c r="F274" s="66" t="str">
        <f>IFERROR(__xludf.DUMMYFUNCTION("IF(COUNTA(C274:C1644)=0,"""",IF(REGEXMATCH(INDEX(FILTER(C$4:C274,C$4:C274&lt;&gt;""""),ROWS(FILTER(C$4:C274,C$4:C274&lt;&gt;""""))),""^Sell_""),INDEX(FILTER(F$4:F273,C$4:C273&lt;&gt;""""),ROWS(FILTER(C$4:C273,C$4:C273&lt;&gt;""""))),$AC$5+E274))"),"")</f>
        <v/>
      </c>
      <c r="G274" s="10" t="str">
        <f>IFERROR(__xludf.DUMMYFUNCTION("IF(COUNTA(C274:C1644)=0,"""",IF(C274="""",0,IF(REGEXMATCH(C274,""^Sell_""),-ROUNDDOWN(ROUNDUP(INDEX(Upgrades!$C$3:$C$13,MATCH(SUBSTITUTE(C274,""Sell_"",""""),Upgrades!$B$3:$B$13,0))*1.15^(COUNTIF(C$4:C273,SUBSTITUTE(C274,""Sell_"",""""))-COUNTIF(C$4:C273,"&amp;"""Sell_""&amp;SUBSTITUTE(C274,""Sell_"",""""))))/2),ROUNDUP(INDEX(Upgrades!$C$3:$C$13,MATCH(C274,Upgrades!$B$3:$B$13,0))*1.15^(COUNTIF(C$4:C273,C274)-COUNTIF(C$4:C273,""Sell_""&amp;C274))))))"),"")</f>
        <v/>
      </c>
      <c r="H274" s="10" t="str">
        <f t="shared" si="3"/>
        <v/>
      </c>
      <c r="I274" s="68" t="str">
        <f t="shared" si="4"/>
        <v/>
      </c>
      <c r="J274" s="59" t="str">
        <f t="shared" si="5"/>
        <v/>
      </c>
      <c r="K274" s="69" t="str">
        <f t="shared" si="6"/>
        <v/>
      </c>
      <c r="L274" s="60">
        <f t="shared" si="7"/>
        <v>-110.92464</v>
      </c>
      <c r="M274" s="61">
        <f>IFERROR(__xludf.DUMMYFUNCTION("IFS(AND(COUNTA(C274:C1644)=0,COUNTA(Q274:Q1644)=0),"""",OR(AND(K274&gt;=1000000000,OR(Y274&gt;=1000000000,COUNTA(Q274:Q1644)=0)),OR(Y274&gt;=1000000000,AND(COUNTA(C274:C1644)=0,P$3=TRUE))),
ROUNDDOWN((AB$1-AC$1)*MAX(INDEX(T$4:T1644,MATCH(LARGE(FILTER(Y$4:Y1644,Y$4"&amp;":Y1644&lt;1000000000),1),Y$4:Y1644)),INDEX(F$4:F1644,MATCH(LARGE(FILTER(K$4:K1644,K$4:K1644&lt;1000000000),1),K$4:K1644)))),AND(K274&lt;1000000000,COUNTA(C274:C1644)&gt;0,P$3=FALSE),
ROUNDDOWN(INDEX(Y$4:Y1644,MATCH(LARGE(FILTER(W$4:W1644,W$4:W1644&lt;=I274),1),W$4:W1644"&amp;"))+(I274-LARGE(FILTER(W$4:W1644,W$4:W1644&lt;=I274),1))*INDEX(T$4:T1644,MATCH(LARGE(FILTER(W$4:W1644,W$4:W1644&lt;=I274),1),W$4:W1644))-K274),1,
ROUNDDOWN(Y274-INDEX(K$4:K1644,MATCH(LARGE(FILTER(I$4:I1644,I$4:I1644&lt;=W274),1),I$4:I1644))-(W274-LARGE(FILTER(I$4:I"&amp;"1644,I$4:I1644&lt;=W274),1))*INDEX(F$4:F1644,MATCH(LARGE(FILTER(I$4:I1644,I$4:I1644&lt;=W274),1),I$4:I1644))))"),2.4990384E7)</f>
        <v>24990384</v>
      </c>
      <c r="N274" s="60">
        <f t="shared" si="8"/>
        <v>-110.92464</v>
      </c>
      <c r="O274" s="61" t="str">
        <f t="shared" si="9"/>
        <v>25,0M</v>
      </c>
      <c r="P274" s="56">
        <f t="shared" si="10"/>
        <v>9</v>
      </c>
      <c r="Q274" s="105" t="s">
        <v>9</v>
      </c>
      <c r="R274" s="10"/>
      <c r="S274" s="59">
        <f t="array" ref="S274">IF(COUNTA(Q274:Q1644)=0,"",SUM((COUNTIF(Q$4:Q274,Upgrades!$B$3:$B$13)-COUNTIF(Q$4:Q274,"Sell_"&amp;Upgrades!$B$3:$B$13))*Upgrades!$D$3:$D$13))</f>
        <v>289673</v>
      </c>
      <c r="T274" s="66">
        <f>IFERROR(__xludf.DUMMYFUNCTION("IF(COUNTA(Q274:Q1644)=0,"""",IF(REGEXMATCH(INDEX(FILTER(Q$4:Q274,Q$4:Q274&lt;&gt;""""),ROWS(FILTER(Q$4:Q274,Q$4:Q274&lt;&gt;""""))),""^Sell_""),INDEX(FILTER(T$4:T273,Q$4:Q273&lt;&gt;""""),ROWS(FILTER(Q$4:Q273,Q$4:Q273&lt;&gt;""""))),$AD$5+S274))"),289683.0)</f>
        <v>289683</v>
      </c>
      <c r="U274" s="10">
        <f>IFERROR(__xludf.DUMMYFUNCTION("IF(COUNTA(Q274:Q1644)=0,"""",IF(Q274="""",0,IF(REGEXMATCH(Q274,""^Sell_""),-ROUNDDOWN(ROUNDUP(INDEX(Upgrades!$C$3:$C$13,MATCH(SUBSTITUTE(Q274,""Sell_"",""""),Upgrades!$B$3:$B$13,0))*1.15^(COUNTIF(Q$4:Q273,SUBSTITUTE(Q274,""Sell_"",""""))-COUNTIF(Q$4:Q273,"&amp;"""Sell_""&amp;SUBSTITUTE(Q274,""Sell_"",""""))))/2),ROUNDUP(INDEX(Upgrades!$C$3:$C$13,MATCH(Q274,Upgrades!$B$3:$B$13,0))*1.15^(COUNTIF(Q$4:Q273,Q274)-COUNTIF(Q$4:Q273,""Sell_""&amp;Q274))))))"),611805.0)</f>
        <v>611805</v>
      </c>
      <c r="V274" s="10">
        <f t="shared" si="11"/>
        <v>611805</v>
      </c>
      <c r="W274" s="68">
        <f t="shared" si="12"/>
        <v>6267.026574</v>
      </c>
      <c r="X274" s="59" t="str">
        <f t="shared" si="13"/>
        <v>1h 44m 27s</v>
      </c>
      <c r="Y274" s="69">
        <f t="shared" si="14"/>
        <v>380874708</v>
      </c>
      <c r="Z274" s="11"/>
      <c r="AG274" s="59"/>
    </row>
    <row r="275">
      <c r="A275" s="8"/>
      <c r="B275" s="56" t="str">
        <f t="shared" si="2"/>
        <v/>
      </c>
      <c r="C275" s="105"/>
      <c r="D275" s="10"/>
      <c r="E275" s="59" t="str">
        <f t="array" ref="E275">IF(COUNTA(C275:C1644)=0,"",SUM((COUNTIF(C$4:C275,Upgrades!$B$3:$B$13)-COUNTIF(C$4:C275,"Sell_"&amp;Upgrades!$B$3:$B$13))*Upgrades!$D$3:$D$13))</f>
        <v/>
      </c>
      <c r="F275" s="66" t="str">
        <f>IFERROR(__xludf.DUMMYFUNCTION("IF(COUNTA(C275:C1644)=0,"""",IF(REGEXMATCH(INDEX(FILTER(C$4:C275,C$4:C275&lt;&gt;""""),ROWS(FILTER(C$4:C275,C$4:C275&lt;&gt;""""))),""^Sell_""),INDEX(FILTER(F$4:F274,C$4:C274&lt;&gt;""""),ROWS(FILTER(C$4:C274,C$4:C274&lt;&gt;""""))),$AC$5+E275))"),"")</f>
        <v/>
      </c>
      <c r="G275" s="10" t="str">
        <f>IFERROR(__xludf.DUMMYFUNCTION("IF(COUNTA(C275:C1644)=0,"""",IF(C275="""",0,IF(REGEXMATCH(C275,""^Sell_""),-ROUNDDOWN(ROUNDUP(INDEX(Upgrades!$C$3:$C$13,MATCH(SUBSTITUTE(C275,""Sell_"",""""),Upgrades!$B$3:$B$13,0))*1.15^(COUNTIF(C$4:C274,SUBSTITUTE(C275,""Sell_"",""""))-COUNTIF(C$4:C274,"&amp;"""Sell_""&amp;SUBSTITUTE(C275,""Sell_"",""""))))/2),ROUNDUP(INDEX(Upgrades!$C$3:$C$13,MATCH(C275,Upgrades!$B$3:$B$13,0))*1.15^(COUNTIF(C$4:C274,C275)-COUNTIF(C$4:C274,""Sell_""&amp;C275))))))"),"")</f>
        <v/>
      </c>
      <c r="H275" s="10" t="str">
        <f t="shared" si="3"/>
        <v/>
      </c>
      <c r="I275" s="68" t="str">
        <f t="shared" si="4"/>
        <v/>
      </c>
      <c r="J275" s="59" t="str">
        <f t="shared" si="5"/>
        <v/>
      </c>
      <c r="K275" s="69" t="str">
        <f t="shared" si="6"/>
        <v/>
      </c>
      <c r="L275" s="60">
        <f t="shared" si="7"/>
        <v>-108.56398</v>
      </c>
      <c r="M275" s="61">
        <f>IFERROR(__xludf.DUMMYFUNCTION("IFS(AND(COUNTA(C275:C1644)=0,COUNTA(Q275:Q1644)=0),"""",OR(AND(K275&gt;=1000000000,OR(Y275&gt;=1000000000,COUNTA(Q275:Q1644)=0)),OR(Y275&gt;=1000000000,AND(COUNTA(C275:C1644)=0,P$3=TRUE))),
ROUNDDOWN((AB$1-AC$1)*MAX(INDEX(T$4:T1644,MATCH(LARGE(FILTER(Y$4:Y1644,Y$4"&amp;":Y1644&lt;1000000000),1),Y$4:Y1644)),INDEX(F$4:F1644,MATCH(LARGE(FILTER(K$4:K1644,K$4:K1644&lt;1000000000),1),K$4:K1644)))),AND(K275&lt;1000000000,COUNTA(C275:C1644)&gt;0,P$3=FALSE),
ROUNDDOWN(INDEX(Y$4:Y1644,MATCH(LARGE(FILTER(W$4:W1644,W$4:W1644&lt;=I275),1),W$4:W1644"&amp;"))+(I275-LARGE(FILTER(W$4:W1644,W$4:W1644&lt;=I275),1))*INDEX(T$4:T1644,MATCH(LARGE(FILTER(W$4:W1644,W$4:W1644&lt;=I275),1),W$4:W1644))-K275),1,
ROUNDDOWN(Y275-INDEX(K$4:K1644,MATCH(LARGE(FILTER(I$4:I1644,I$4:I1644&lt;=W275),1),I$4:I1644))-(W275-LARGE(FILTER(I$4:I"&amp;"1644,I$4:I1644&lt;=W275),1))*INDEX(F$4:F1644,MATCH(LARGE(FILTER(I$4:I1644,I$4:I1644&lt;=W275),1),I$4:I1644))))"),2.7753916E7)</f>
        <v>27753916</v>
      </c>
      <c r="N275" s="60">
        <f t="shared" si="8"/>
        <v>-108.56398</v>
      </c>
      <c r="O275" s="61" t="str">
        <f t="shared" si="9"/>
        <v>27,8M</v>
      </c>
      <c r="P275" s="56">
        <f t="shared" si="10"/>
        <v>14</v>
      </c>
      <c r="Q275" s="105" t="s">
        <v>10</v>
      </c>
      <c r="R275" s="10"/>
      <c r="S275" s="59">
        <f t="array" ref="S275">IF(COUNTA(Q275:Q1644)=0,"",SUM((COUNTIF(Q$4:Q275,Upgrades!$B$3:$B$13)-COUNTIF(Q$4:Q275,"Sell_"&amp;Upgrades!$B$3:$B$13))*Upgrades!$D$3:$D$13))</f>
        <v>296339</v>
      </c>
      <c r="T275" s="66">
        <f>IFERROR(__xludf.DUMMYFUNCTION("IF(COUNTA(Q275:Q1644)=0,"""",IF(REGEXMATCH(INDEX(FILTER(Q$4:Q275,Q$4:Q275&lt;&gt;""""),ROWS(FILTER(Q$4:Q275,Q$4:Q275&lt;&gt;""""))),""^Sell_""),INDEX(FILTER(T$4:T274,Q$4:Q274&lt;&gt;""""),ROWS(FILTER(Q$4:Q274,Q$4:Q274&lt;&gt;""""))),$AD$5+S275))"),296349.0)</f>
        <v>296349</v>
      </c>
      <c r="U275" s="10">
        <f>IFERROR(__xludf.DUMMYFUNCTION("IF(COUNTA(Q275:Q1644)=0,"""",IF(Q275="""",0,IF(REGEXMATCH(Q275,""^Sell_""),-ROUNDDOWN(ROUNDUP(INDEX(Upgrades!$C$3:$C$13,MATCH(SUBSTITUTE(Q275,""Sell_"",""""),Upgrades!$B$3:$B$13,0))*1.15^(COUNTIF(Q$4:Q274,SUBSTITUTE(Q275,""Sell_"",""""))-COUNTIF(Q$4:Q274,"&amp;"""Sell_""&amp;SUBSTITUTE(Q275,""Sell_"",""""))))/2),ROUNDUP(INDEX(Upgrades!$C$3:$C$13,MATCH(Q275,Upgrades!$B$3:$B$13,0))*1.15^(COUNTIF(Q$4:Q274,Q275)-COUNTIF(Q$4:Q274,""Sell_""&amp;Q275))))))"),1.0254642E7)</f>
        <v>10254642</v>
      </c>
      <c r="V275" s="10">
        <f t="shared" si="11"/>
        <v>10254642</v>
      </c>
      <c r="W275" s="68">
        <f t="shared" si="12"/>
        <v>6302.426104</v>
      </c>
      <c r="X275" s="59" t="str">
        <f t="shared" si="13"/>
        <v>1h 45m 02s</v>
      </c>
      <c r="Y275" s="69">
        <f t="shared" si="14"/>
        <v>391129350</v>
      </c>
      <c r="Z275" s="11"/>
      <c r="AG275" s="59"/>
    </row>
    <row r="276">
      <c r="A276" s="8"/>
      <c r="B276" s="56" t="str">
        <f t="shared" si="2"/>
        <v/>
      </c>
      <c r="C276" s="105"/>
      <c r="D276" s="10"/>
      <c r="E276" s="59" t="str">
        <f t="array" ref="E276">IF(COUNTA(C276:C1644)=0,"",SUM((COUNTIF(C$4:C276,Upgrades!$B$3:$B$13)-COUNTIF(C$4:C276,"Sell_"&amp;Upgrades!$B$3:$B$13))*Upgrades!$D$3:$D$13))</f>
        <v/>
      </c>
      <c r="F276" s="66" t="str">
        <f>IFERROR(__xludf.DUMMYFUNCTION("IF(COUNTA(C276:C1644)=0,"""",IF(REGEXMATCH(INDEX(FILTER(C$4:C276,C$4:C276&lt;&gt;""""),ROWS(FILTER(C$4:C276,C$4:C276&lt;&gt;""""))),""^Sell_""),INDEX(FILTER(F$4:F275,C$4:C275&lt;&gt;""""),ROWS(FILTER(C$4:C275,C$4:C275&lt;&gt;""""))),$AC$5+E276))"),"")</f>
        <v/>
      </c>
      <c r="G276" s="10" t="str">
        <f>IFERROR(__xludf.DUMMYFUNCTION("IF(COUNTA(C276:C1644)=0,"""",IF(C276="""",0,IF(REGEXMATCH(C276,""^Sell_""),-ROUNDDOWN(ROUNDUP(INDEX(Upgrades!$C$3:$C$13,MATCH(SUBSTITUTE(C276,""Sell_"",""""),Upgrades!$B$3:$B$13,0))*1.15^(COUNTIF(C$4:C275,SUBSTITUTE(C276,""Sell_"",""""))-COUNTIF(C$4:C275,"&amp;"""Sell_""&amp;SUBSTITUTE(C276,""Sell_"",""""))))/2),ROUNDUP(INDEX(Upgrades!$C$3:$C$13,MATCH(C276,Upgrades!$B$3:$B$13,0))*1.15^(COUNTIF(C$4:C275,C276)-COUNTIF(C$4:C275,""Sell_""&amp;C276))))))"),"")</f>
        <v/>
      </c>
      <c r="H276" s="10" t="str">
        <f t="shared" si="3"/>
        <v/>
      </c>
      <c r="I276" s="68" t="str">
        <f t="shared" si="4"/>
        <v/>
      </c>
      <c r="J276" s="59" t="str">
        <f t="shared" si="5"/>
        <v/>
      </c>
      <c r="K276" s="69" t="str">
        <f t="shared" si="6"/>
        <v/>
      </c>
      <c r="L276" s="60">
        <f t="shared" si="7"/>
        <v>-108.5393</v>
      </c>
      <c r="M276" s="61">
        <f>IFERROR(__xludf.DUMMYFUNCTION("IFS(AND(COUNTA(C276:C1644)=0,COUNTA(Q276:Q1644)=0),"""",OR(AND(K276&gt;=1000000000,OR(Y276&gt;=1000000000,COUNTA(Q276:Q1644)=0)),OR(Y276&gt;=1000000000,AND(COUNTA(C276:C1644)=0,P$3=TRUE))),
ROUNDDOWN((AB$1-AC$1)*MAX(INDEX(T$4:T1644,MATCH(LARGE(FILTER(Y$4:Y1644,Y$4"&amp;":Y1644&lt;1000000000),1),Y$4:Y1644)),INDEX(F$4:F1644,MATCH(LARGE(FILTER(K$4:K1644,K$4:K1644&lt;1000000000),1),K$4:K1644)))),AND(K276&lt;1000000000,COUNTA(C276:C1644)&gt;0,P$3=FALSE),
ROUNDDOWN(INDEX(Y$4:Y1644,MATCH(LARGE(FILTER(W$4:W1644,W$4:W1644&lt;=I276),1),W$4:W1644"&amp;"))+(I276-LARGE(FILTER(W$4:W1644,W$4:W1644&lt;=I276),1))*INDEX(T$4:T1644,MATCH(LARGE(FILTER(W$4:W1644,W$4:W1644&lt;=I276),1),W$4:W1644))-K276),1,
ROUNDDOWN(Y276-INDEX(K$4:K1644,MATCH(LARGE(FILTER(I$4:I1644,I$4:I1644&lt;=W276),1),I$4:I1644))-(W276-LARGE(FILTER(I$4:I"&amp;"1644,I$4:I1644&lt;=W276),1))*INDEX(F$4:F1644,MATCH(LARGE(FILTER(I$4:I1644,I$4:I1644&lt;=W276),1),I$4:I1644))))"),2.7800184E7)</f>
        <v>27800184</v>
      </c>
      <c r="N276" s="60">
        <f t="shared" si="8"/>
        <v>-108.5393</v>
      </c>
      <c r="O276" s="61" t="str">
        <f t="shared" si="9"/>
        <v>27,8M</v>
      </c>
      <c r="P276" s="56">
        <f t="shared" si="10"/>
        <v>11</v>
      </c>
      <c r="Q276" s="105" t="s">
        <v>8</v>
      </c>
      <c r="R276" s="10"/>
      <c r="S276" s="59">
        <f t="array" ref="S276">IF(COUNTA(Q276:Q1644)=0,"",SUM((COUNTIF(Q$4:Q276,Upgrades!$B$3:$B$13)-COUNTIF(Q$4:Q276,"Sell_"&amp;Upgrades!$B$3:$B$13))*Upgrades!$D$3:$D$13))</f>
        <v>296439</v>
      </c>
      <c r="T276" s="66">
        <f>IFERROR(__xludf.DUMMYFUNCTION("IF(COUNTA(Q276:Q1644)=0,"""",IF(REGEXMATCH(INDEX(FILTER(Q$4:Q276,Q$4:Q276&lt;&gt;""""),ROWS(FILTER(Q$4:Q276,Q$4:Q276&lt;&gt;""""))),""^Sell_""),INDEX(FILTER(T$4:T275,Q$4:Q275&lt;&gt;""""),ROWS(FILTER(Q$4:Q275,Q$4:Q275&lt;&gt;""""))),$AD$5+S276))"),296449.0)</f>
        <v>296449</v>
      </c>
      <c r="U276" s="10">
        <f>IFERROR(__xludf.DUMMYFUNCTION("IF(COUNTA(Q276:Q1644)=0,"""",IF(Q276="""",0,IF(REGEXMATCH(Q276,""^Sell_""),-ROUNDDOWN(ROUNDUP(INDEX(Upgrades!$C$3:$C$13,MATCH(SUBSTITUTE(Q276,""Sell_"",""""),Upgrades!$B$3:$B$13,0))*1.15^(COUNTIF(Q$4:Q275,SUBSTITUTE(Q276,""Sell_"",""""))-COUNTIF(Q$4:Q275,"&amp;"""Sell_""&amp;SUBSTITUTE(Q276,""Sell_"",""""))))/2),ROUNDUP(INDEX(Upgrades!$C$3:$C$13,MATCH(Q276,Upgrades!$B$3:$B$13,0))*1.15^(COUNTIF(Q$4:Q275,Q276)-COUNTIF(Q$4:Q275,""Sell_""&amp;Q276))))))"),161823.0)</f>
        <v>161823</v>
      </c>
      <c r="V276" s="10">
        <f t="shared" si="11"/>
        <v>161823</v>
      </c>
      <c r="W276" s="68">
        <f t="shared" si="12"/>
        <v>6302.972159</v>
      </c>
      <c r="X276" s="59" t="str">
        <f t="shared" si="13"/>
        <v>1h 45m 02s</v>
      </c>
      <c r="Y276" s="69">
        <f t="shared" si="14"/>
        <v>391291173</v>
      </c>
      <c r="Z276" s="11"/>
      <c r="AG276" s="59"/>
    </row>
    <row r="277">
      <c r="A277" s="8"/>
      <c r="B277" s="56" t="str">
        <f t="shared" si="2"/>
        <v/>
      </c>
      <c r="C277" s="105"/>
      <c r="D277" s="10"/>
      <c r="E277" s="59" t="str">
        <f t="array" ref="E277">IF(COUNTA(C277:C1644)=0,"",SUM((COUNTIF(C$4:C277,Upgrades!$B$3:$B$13)-COUNTIF(C$4:C277,"Sell_"&amp;Upgrades!$B$3:$B$13))*Upgrades!$D$3:$D$13))</f>
        <v/>
      </c>
      <c r="F277" s="66" t="str">
        <f>IFERROR(__xludf.DUMMYFUNCTION("IF(COUNTA(C277:C1644)=0,"""",IF(REGEXMATCH(INDEX(FILTER(C$4:C277,C$4:C277&lt;&gt;""""),ROWS(FILTER(C$4:C277,C$4:C277&lt;&gt;""""))),""^Sell_""),INDEX(FILTER(F$4:F276,C$4:C276&lt;&gt;""""),ROWS(FILTER(C$4:C276,C$4:C276&lt;&gt;""""))),$AC$5+E277))"),"")</f>
        <v/>
      </c>
      <c r="G277" s="10" t="str">
        <f>IFERROR(__xludf.DUMMYFUNCTION("IF(COUNTA(C277:C1644)=0,"""",IF(C277="""",0,IF(REGEXMATCH(C277,""^Sell_""),-ROUNDDOWN(ROUNDUP(INDEX(Upgrades!$C$3:$C$13,MATCH(SUBSTITUTE(C277,""Sell_"",""""),Upgrades!$B$3:$B$13,0))*1.15^(COUNTIF(C$4:C276,SUBSTITUTE(C277,""Sell_"",""""))-COUNTIF(C$4:C276,"&amp;"""Sell_""&amp;SUBSTITUTE(C277,""Sell_"",""""))))/2),ROUNDUP(INDEX(Upgrades!$C$3:$C$13,MATCH(C277,Upgrades!$B$3:$B$13,0))*1.15^(COUNTIF(C$4:C276,C277)-COUNTIF(C$4:C276,""Sell_""&amp;C277))))))"),"")</f>
        <v/>
      </c>
      <c r="H277" s="10" t="str">
        <f t="shared" si="3"/>
        <v/>
      </c>
      <c r="I277" s="68" t="str">
        <f t="shared" si="4"/>
        <v/>
      </c>
      <c r="J277" s="59" t="str">
        <f t="shared" si="5"/>
        <v/>
      </c>
      <c r="K277" s="69" t="str">
        <f t="shared" si="6"/>
        <v/>
      </c>
      <c r="L277" s="60">
        <f t="shared" si="7"/>
        <v>-108.43277</v>
      </c>
      <c r="M277" s="61">
        <f>IFERROR(__xludf.DUMMYFUNCTION("IFS(AND(COUNTA(C277:C1644)=0,COUNTA(Q277:Q1644)=0),"""",OR(AND(K277&gt;=1000000000,OR(Y277&gt;=1000000000,COUNTA(Q277:Q1644)=0)),OR(Y277&gt;=1000000000,AND(COUNTA(C277:C1644)=0,P$3=TRUE))),
ROUNDDOWN((AB$1-AC$1)*MAX(INDEX(T$4:T1644,MATCH(LARGE(FILTER(Y$4:Y1644,Y$4"&amp;":Y1644&lt;1000000000),1),Y$4:Y1644)),INDEX(F$4:F1644,MATCH(LARGE(FILTER(K$4:K1644,K$4:K1644&lt;1000000000),1),K$4:K1644)))),AND(K277&lt;1000000000,COUNTA(C277:C1644)&gt;0,P$3=FALSE),
ROUNDDOWN(INDEX(Y$4:Y1644,MATCH(LARGE(FILTER(W$4:W1644,W$4:W1644&lt;=I277),1),W$4:W1644"&amp;"))+(I277-LARGE(FILTER(W$4:W1644,W$4:W1644&lt;=I277),1))*INDEX(T$4:T1644,MATCH(LARGE(FILTER(W$4:W1644,W$4:W1644&lt;=I277),1),W$4:W1644))-K277),1,
ROUNDDOWN(Y277-INDEX(K$4:K1644,MATCH(LARGE(FILTER(I$4:I1644,I$4:I1644&lt;=W277),1),I$4:I1644))-(W277-LARGE(FILTER(I$4:I"&amp;"1644,I$4:I1644&lt;=W277),1))*INDEX(F$4:F1644,MATCH(LARGE(FILTER(I$4:I1644,I$4:I1644&lt;=W277),1),I$4:I1644))))"),2.8001522E7)</f>
        <v>28001522</v>
      </c>
      <c r="N277" s="60">
        <f t="shared" si="8"/>
        <v>-108.43277</v>
      </c>
      <c r="O277" s="61" t="str">
        <f t="shared" si="9"/>
        <v>28,0M</v>
      </c>
      <c r="P277" s="56">
        <f t="shared" si="10"/>
        <v>10</v>
      </c>
      <c r="Q277" s="105" t="s">
        <v>9</v>
      </c>
      <c r="R277" s="10"/>
      <c r="S277" s="59">
        <f t="array" ref="S277">IF(COUNTA(Q277:Q1644)=0,"",SUM((COUNTIF(Q$4:Q277,Upgrades!$B$3:$B$13)-COUNTIF(Q$4:Q277,"Sell_"&amp;Upgrades!$B$3:$B$13))*Upgrades!$D$3:$D$13))</f>
        <v>296839</v>
      </c>
      <c r="T277" s="66">
        <f>IFERROR(__xludf.DUMMYFUNCTION("IF(COUNTA(Q277:Q1644)=0,"""",IF(REGEXMATCH(INDEX(FILTER(Q$4:Q277,Q$4:Q277&lt;&gt;""""),ROWS(FILTER(Q$4:Q277,Q$4:Q277&lt;&gt;""""))),""^Sell_""),INDEX(FILTER(T$4:T276,Q$4:Q276&lt;&gt;""""),ROWS(FILTER(Q$4:Q276,Q$4:Q276&lt;&gt;""""))),$AD$5+S277))"),296849.0)</f>
        <v>296849</v>
      </c>
      <c r="U277" s="10">
        <f>IFERROR(__xludf.DUMMYFUNCTION("IF(COUNTA(Q277:Q1644)=0,"""",IF(Q277="""",0,IF(REGEXMATCH(Q277,""^Sell_""),-ROUNDDOWN(ROUNDUP(INDEX(Upgrades!$C$3:$C$13,MATCH(SUBSTITUTE(Q277,""Sell_"",""""),Upgrades!$B$3:$B$13,0))*1.15^(COUNTIF(Q$4:Q276,SUBSTITUTE(Q277,""Sell_"",""""))-COUNTIF(Q$4:Q276,"&amp;"""Sell_""&amp;SUBSTITUTE(Q277,""Sell_"",""""))))/2),ROUNDUP(INDEX(Upgrades!$C$3:$C$13,MATCH(Q277,Upgrades!$B$3:$B$13,0))*1.15^(COUNTIF(Q$4:Q276,Q277)-COUNTIF(Q$4:Q276,""Sell_""&amp;Q277))))))"),703576.0)</f>
        <v>703576</v>
      </c>
      <c r="V277" s="10">
        <f t="shared" si="11"/>
        <v>703576</v>
      </c>
      <c r="W277" s="68">
        <f t="shared" si="12"/>
        <v>6305.345505</v>
      </c>
      <c r="X277" s="59" t="str">
        <f t="shared" si="13"/>
        <v>1h 45m 05s</v>
      </c>
      <c r="Y277" s="69">
        <f t="shared" si="14"/>
        <v>391994749</v>
      </c>
      <c r="Z277" s="11"/>
      <c r="AG277" s="59"/>
    </row>
    <row r="278">
      <c r="A278" s="8"/>
      <c r="B278" s="56" t="str">
        <f t="shared" si="2"/>
        <v/>
      </c>
      <c r="C278" s="105"/>
      <c r="D278" s="10"/>
      <c r="E278" s="59" t="str">
        <f t="array" ref="E278">IF(COUNTA(C278:C1644)=0,"",SUM((COUNTIF(C$4:C278,Upgrades!$B$3:$B$13)-COUNTIF(C$4:C278,"Sell_"&amp;Upgrades!$B$3:$B$13))*Upgrades!$D$3:$D$13))</f>
        <v/>
      </c>
      <c r="F278" s="66" t="str">
        <f>IFERROR(__xludf.DUMMYFUNCTION("IF(COUNTA(C278:C1644)=0,"""",IF(REGEXMATCH(INDEX(FILTER(C$4:C278,C$4:C278&lt;&gt;""""),ROWS(FILTER(C$4:C278,C$4:C278&lt;&gt;""""))),""^Sell_""),INDEX(FILTER(F$4:F277,C$4:C277&lt;&gt;""""),ROWS(FILTER(C$4:C277,C$4:C277&lt;&gt;""""))),$AC$5+E278))"),"")</f>
        <v/>
      </c>
      <c r="G278" s="10" t="str">
        <f>IFERROR(__xludf.DUMMYFUNCTION("IF(COUNTA(C278:C1644)=0,"""",IF(C278="""",0,IF(REGEXMATCH(C278,""^Sell_""),-ROUNDDOWN(ROUNDUP(INDEX(Upgrades!$C$3:$C$13,MATCH(SUBSTITUTE(C278,""Sell_"",""""),Upgrades!$B$3:$B$13,0))*1.15^(COUNTIF(C$4:C277,SUBSTITUTE(C278,""Sell_"",""""))-COUNTIF(C$4:C277,"&amp;"""Sell_""&amp;SUBSTITUTE(C278,""Sell_"",""""))))/2),ROUNDUP(INDEX(Upgrades!$C$3:$C$13,MATCH(C278,Upgrades!$B$3:$B$13,0))*1.15^(COUNTIF(C$4:C277,C278)-COUNTIF(C$4:C277,""Sell_""&amp;C278))))))"),"")</f>
        <v/>
      </c>
      <c r="H278" s="10" t="str">
        <f t="shared" si="3"/>
        <v/>
      </c>
      <c r="I278" s="68" t="str">
        <f t="shared" si="4"/>
        <v/>
      </c>
      <c r="J278" s="59" t="str">
        <f t="shared" si="5"/>
        <v/>
      </c>
      <c r="K278" s="69" t="str">
        <f t="shared" si="6"/>
        <v/>
      </c>
      <c r="L278" s="60">
        <f t="shared" si="7"/>
        <v>-106.70075</v>
      </c>
      <c r="M278" s="61">
        <f>IFERROR(__xludf.DUMMYFUNCTION("IFS(AND(COUNTA(C278:C1644)=0,COUNTA(Q278:Q1644)=0),"""",OR(AND(K278&gt;=1000000000,OR(Y278&gt;=1000000000,COUNTA(Q278:Q1644)=0)),OR(Y278&gt;=1000000000,AND(COUNTA(C278:C1644)=0,P$3=TRUE))),
ROUNDDOWN((AB$1-AC$1)*MAX(INDEX(T$4:T1644,MATCH(LARGE(FILTER(Y$4:Y1644,Y$4"&amp;":Y1644&lt;1000000000),1),Y$4:Y1644)),INDEX(F$4:F1644,MATCH(LARGE(FILTER(K$4:K1644,K$4:K1644&lt;1000000000),1),K$4:K1644)))),AND(K278&lt;1000000000,COUNTA(C278:C1644)&gt;0,P$3=FALSE),
ROUNDDOWN(INDEX(Y$4:Y1644,MATCH(LARGE(FILTER(W$4:W1644,W$4:W1644&lt;=I278),1),W$4:W1644"&amp;"))+(I278-LARGE(FILTER(W$4:W1644,W$4:W1644&lt;=I278),1))*INDEX(T$4:T1644,MATCH(LARGE(FILTER(W$4:W1644,W$4:W1644&lt;=I278),1),W$4:W1644))-K278),1,
ROUNDDOWN(Y278-INDEX(K$4:K1644,MATCH(LARGE(FILTER(I$4:I1644,I$4:I1644&lt;=W278),1),I$4:I1644))-(W278-LARGE(FILTER(I$4:I"&amp;"1644,I$4:I1644&lt;=W278),1))*INDEX(F$4:F1644,MATCH(LARGE(FILTER(I$4:I1644,I$4:I1644&lt;=W278),1),I$4:I1644))))"),3.1387546E7)</f>
        <v>31387546</v>
      </c>
      <c r="N278" s="60">
        <f t="shared" si="8"/>
        <v>-106.70075</v>
      </c>
      <c r="O278" s="61" t="str">
        <f t="shared" si="9"/>
        <v>31,4M</v>
      </c>
      <c r="P278" s="56">
        <f t="shared" si="10"/>
        <v>15</v>
      </c>
      <c r="Q278" s="105" t="s">
        <v>10</v>
      </c>
      <c r="R278" s="10"/>
      <c r="S278" s="59">
        <f t="array" ref="S278">IF(COUNTA(Q278:Q1644)=0,"",SUM((COUNTIF(Q$4:Q278,Upgrades!$B$3:$B$13)-COUNTIF(Q$4:Q278,"Sell_"&amp;Upgrades!$B$3:$B$13))*Upgrades!$D$3:$D$13))</f>
        <v>303505</v>
      </c>
      <c r="T278" s="66">
        <f>IFERROR(__xludf.DUMMYFUNCTION("IF(COUNTA(Q278:Q1644)=0,"""",IF(REGEXMATCH(INDEX(FILTER(Q$4:Q278,Q$4:Q278&lt;&gt;""""),ROWS(FILTER(Q$4:Q278,Q$4:Q278&lt;&gt;""""))),""^Sell_""),INDEX(FILTER(T$4:T277,Q$4:Q277&lt;&gt;""""),ROWS(FILTER(Q$4:Q277,Q$4:Q277&lt;&gt;""""))),$AD$5+S278))"),303515.0)</f>
        <v>303515</v>
      </c>
      <c r="U278" s="10">
        <f>IFERROR(__xludf.DUMMYFUNCTION("IF(COUNTA(Q278:Q1644)=0,"""",IF(Q278="""",0,IF(REGEXMATCH(Q278,""^Sell_""),-ROUNDDOWN(ROUNDUP(INDEX(Upgrades!$C$3:$C$13,MATCH(SUBSTITUTE(Q278,""Sell_"",""""),Upgrades!$B$3:$B$13,0))*1.15^(COUNTIF(Q$4:Q277,SUBSTITUTE(Q278,""Sell_"",""""))-COUNTIF(Q$4:Q277,"&amp;"""Sell_""&amp;SUBSTITUTE(Q278,""Sell_"",""""))))/2),ROUNDUP(INDEX(Upgrades!$C$3:$C$13,MATCH(Q278,Upgrades!$B$3:$B$13,0))*1.15^(COUNTIF(Q$4:Q277,Q278)-COUNTIF(Q$4:Q277,""Sell_""&amp;Q278))))))"),1.1792839E7)</f>
        <v>11792839</v>
      </c>
      <c r="V278" s="10">
        <f t="shared" si="11"/>
        <v>11792839</v>
      </c>
      <c r="W278" s="68">
        <f t="shared" si="12"/>
        <v>6345.072231</v>
      </c>
      <c r="X278" s="59" t="str">
        <f t="shared" si="13"/>
        <v>1h 45m 45s</v>
      </c>
      <c r="Y278" s="69">
        <f t="shared" si="14"/>
        <v>403787588</v>
      </c>
      <c r="Z278" s="11"/>
      <c r="AG278" s="59"/>
    </row>
    <row r="279">
      <c r="A279" s="8"/>
      <c r="B279" s="56" t="str">
        <f t="shared" si="2"/>
        <v/>
      </c>
      <c r="C279" s="105"/>
      <c r="D279" s="10"/>
      <c r="E279" s="59" t="str">
        <f t="array" ref="E279">IF(COUNTA(C279:C1644)=0,"",SUM((COUNTIF(C$4:C279,Upgrades!$B$3:$B$13)-COUNTIF(C$4:C279,"Sell_"&amp;Upgrades!$B$3:$B$13))*Upgrades!$D$3:$D$13))</f>
        <v/>
      </c>
      <c r="F279" s="66" t="str">
        <f>IFERROR(__xludf.DUMMYFUNCTION("IF(COUNTA(C279:C1644)=0,"""",IF(REGEXMATCH(INDEX(FILTER(C$4:C279,C$4:C279&lt;&gt;""""),ROWS(FILTER(C$4:C279,C$4:C279&lt;&gt;""""))),""^Sell_""),INDEX(FILTER(F$4:F278,C$4:C278&lt;&gt;""""),ROWS(FILTER(C$4:C278,C$4:C278&lt;&gt;""""))),$AC$5+E279))"),"")</f>
        <v/>
      </c>
      <c r="G279" s="10" t="str">
        <f>IFERROR(__xludf.DUMMYFUNCTION("IF(COUNTA(C279:C1644)=0,"""",IF(C279="""",0,IF(REGEXMATCH(C279,""^Sell_""),-ROUNDDOWN(ROUNDUP(INDEX(Upgrades!$C$3:$C$13,MATCH(SUBSTITUTE(C279,""Sell_"",""""),Upgrades!$B$3:$B$13,0))*1.15^(COUNTIF(C$4:C278,SUBSTITUTE(C279,""Sell_"",""""))-COUNTIF(C$4:C278,"&amp;"""Sell_""&amp;SUBSTITUTE(C279,""Sell_"",""""))))/2),ROUNDUP(INDEX(Upgrades!$C$3:$C$13,MATCH(C279,Upgrades!$B$3:$B$13,0))*1.15^(COUNTIF(C$4:C278,C279)-COUNTIF(C$4:C278,""Sell_""&amp;C279))))))"),"")</f>
        <v/>
      </c>
      <c r="H279" s="10" t="str">
        <f t="shared" si="3"/>
        <v/>
      </c>
      <c r="I279" s="68" t="str">
        <f t="shared" si="4"/>
        <v/>
      </c>
      <c r="J279" s="59" t="str">
        <f t="shared" si="5"/>
        <v/>
      </c>
      <c r="K279" s="69" t="str">
        <f t="shared" si="6"/>
        <v/>
      </c>
      <c r="L279" s="60">
        <f t="shared" si="7"/>
        <v>-106.68718</v>
      </c>
      <c r="M279" s="61">
        <f>IFERROR(__xludf.DUMMYFUNCTION("IFS(AND(COUNTA(C279:C1644)=0,COUNTA(Q279:Q1644)=0),"""",OR(AND(K279&gt;=1000000000,OR(Y279&gt;=1000000000,COUNTA(Q279:Q1644)=0)),OR(Y279&gt;=1000000000,AND(COUNTA(C279:C1644)=0,P$3=TRUE))),
ROUNDDOWN((AB$1-AC$1)*MAX(INDEX(T$4:T1644,MATCH(LARGE(FILTER(Y$4:Y1644,Y$4"&amp;":Y1644&lt;1000000000),1),Y$4:Y1644)),INDEX(F$4:F1644,MATCH(LARGE(FILTER(K$4:K1644,K$4:K1644&lt;1000000000),1),K$4:K1644)))),AND(K279&lt;1000000000,COUNTA(C279:C1644)&gt;0,P$3=FALSE),
ROUNDDOWN(INDEX(Y$4:Y1644,MATCH(LARGE(FILTER(W$4:W1644,W$4:W1644&lt;=I279),1),W$4:W1644"&amp;"))+(I279-LARGE(FILTER(W$4:W1644,W$4:W1644&lt;=I279),1))*INDEX(T$4:T1644,MATCH(LARGE(FILTER(W$4:W1644,W$4:W1644&lt;=I279),1),W$4:W1644))-K279),1,
ROUNDDOWN(Y279-INDEX(K$4:K1644,MATCH(LARGE(FILTER(I$4:I1644,I$4:I1644&lt;=W279),1),I$4:I1644))-(W279-LARGE(FILTER(I$4:I"&amp;"1644,I$4:I1644&lt;=W279),1))*INDEX(F$4:F1644,MATCH(LARGE(FILTER(I$4:I1644,I$4:I1644&lt;=W279),1),I$4:I1644))))"),3.1443893E7)</f>
        <v>31443893</v>
      </c>
      <c r="N279" s="60">
        <f t="shared" si="8"/>
        <v>-106.68718</v>
      </c>
      <c r="O279" s="61" t="str">
        <f t="shared" si="9"/>
        <v>31,4M</v>
      </c>
      <c r="P279" s="56">
        <f t="shared" si="10"/>
        <v>12</v>
      </c>
      <c r="Q279" s="105" t="s">
        <v>8</v>
      </c>
      <c r="R279" s="10"/>
      <c r="S279" s="59">
        <f t="array" ref="S279">IF(COUNTA(Q279:Q1644)=0,"",SUM((COUNTIF(Q$4:Q279,Upgrades!$B$3:$B$13)-COUNTIF(Q$4:Q279,"Sell_"&amp;Upgrades!$B$3:$B$13))*Upgrades!$D$3:$D$13))</f>
        <v>303605</v>
      </c>
      <c r="T279" s="66">
        <f>IFERROR(__xludf.DUMMYFUNCTION("IF(COUNTA(Q279:Q1644)=0,"""",IF(REGEXMATCH(INDEX(FILTER(Q$4:Q279,Q$4:Q279&lt;&gt;""""),ROWS(FILTER(Q$4:Q279,Q$4:Q279&lt;&gt;""""))),""^Sell_""),INDEX(FILTER(T$4:T278,Q$4:Q278&lt;&gt;""""),ROWS(FILTER(Q$4:Q278,Q$4:Q278&lt;&gt;""""))),$AD$5+S279))"),303615.0)</f>
        <v>303615</v>
      </c>
      <c r="U279" s="10">
        <f>IFERROR(__xludf.DUMMYFUNCTION("IF(COUNTA(Q279:Q1644)=0,"""",IF(Q279="""",0,IF(REGEXMATCH(Q279,""^Sell_""),-ROUNDDOWN(ROUNDUP(INDEX(Upgrades!$C$3:$C$13,MATCH(SUBSTITUTE(Q279,""Sell_"",""""),Upgrades!$B$3:$B$13,0))*1.15^(COUNTIF(Q$4:Q278,SUBSTITUTE(Q279,""Sell_"",""""))-COUNTIF(Q$4:Q278,"&amp;"""Sell_""&amp;SUBSTITUTE(Q279,""Sell_"",""""))))/2),ROUNDUP(INDEX(Upgrades!$C$3:$C$13,MATCH(Q279,Upgrades!$B$3:$B$13,0))*1.15^(COUNTIF(Q$4:Q278,Q279)-COUNTIF(Q$4:Q278,""Sell_""&amp;Q279))))))"),186096.0)</f>
        <v>186096</v>
      </c>
      <c r="V279" s="10">
        <f t="shared" si="11"/>
        <v>186096</v>
      </c>
      <c r="W279" s="68">
        <f t="shared" si="12"/>
        <v>6345.685367</v>
      </c>
      <c r="X279" s="59" t="str">
        <f t="shared" si="13"/>
        <v>1h 45m 45s</v>
      </c>
      <c r="Y279" s="69">
        <f t="shared" si="14"/>
        <v>403973684</v>
      </c>
      <c r="Z279" s="11"/>
      <c r="AG279" s="59"/>
    </row>
    <row r="280">
      <c r="A280" s="8"/>
      <c r="B280" s="56" t="str">
        <f t="shared" si="2"/>
        <v/>
      </c>
      <c r="C280" s="105"/>
      <c r="D280" s="10"/>
      <c r="E280" s="59" t="str">
        <f t="array" ref="E280">IF(COUNTA(C280:C1644)=0,"",SUM((COUNTIF(C$4:C280,Upgrades!$B$3:$B$13)-COUNTIF(C$4:C280,"Sell_"&amp;Upgrades!$B$3:$B$13))*Upgrades!$D$3:$D$13))</f>
        <v/>
      </c>
      <c r="F280" s="66" t="str">
        <f>IFERROR(__xludf.DUMMYFUNCTION("IF(COUNTA(C280:C1644)=0,"""",IF(REGEXMATCH(INDEX(FILTER(C$4:C280,C$4:C280&lt;&gt;""""),ROWS(FILTER(C$4:C280,C$4:C280&lt;&gt;""""))),""^Sell_""),INDEX(FILTER(F$4:F279,C$4:C279&lt;&gt;""""),ROWS(FILTER(C$4:C279,C$4:C279&lt;&gt;""""))),$AC$5+E280))"),"")</f>
        <v/>
      </c>
      <c r="G280" s="10" t="str">
        <f>IFERROR(__xludf.DUMMYFUNCTION("IF(COUNTA(C280:C1644)=0,"""",IF(C280="""",0,IF(REGEXMATCH(C280,""^Sell_""),-ROUNDDOWN(ROUNDUP(INDEX(Upgrades!$C$3:$C$13,MATCH(SUBSTITUTE(C280,""Sell_"",""""),Upgrades!$B$3:$B$13,0))*1.15^(COUNTIF(C$4:C279,SUBSTITUTE(C280,""Sell_"",""""))-COUNTIF(C$4:C279,"&amp;"""Sell_""&amp;SUBSTITUTE(C280,""Sell_"",""""))))/2),ROUNDUP(INDEX(Upgrades!$C$3:$C$13,MATCH(C280,Upgrades!$B$3:$B$13,0))*1.15^(COUNTIF(C$4:C279,C280)-COUNTIF(C$4:C279,""Sell_""&amp;C280))))))"),"")</f>
        <v/>
      </c>
      <c r="H280" s="10" t="str">
        <f t="shared" si="3"/>
        <v/>
      </c>
      <c r="I280" s="68" t="str">
        <f t="shared" si="4"/>
        <v/>
      </c>
      <c r="J280" s="59" t="str">
        <f t="shared" si="5"/>
        <v/>
      </c>
      <c r="K280" s="69" t="str">
        <f t="shared" si="6"/>
        <v/>
      </c>
      <c r="L280" s="60">
        <f t="shared" si="7"/>
        <v>-106.62909</v>
      </c>
      <c r="M280" s="61">
        <f>IFERROR(__xludf.DUMMYFUNCTION("IFS(AND(COUNTA(C280:C1644)=0,COUNTA(Q280:Q1644)=0),"""",OR(AND(K280&gt;=1000000000,OR(Y280&gt;=1000000000,COUNTA(Q280:Q1644)=0)),OR(Y280&gt;=1000000000,AND(COUNTA(C280:C1644)=0,P$3=TRUE))),
ROUNDDOWN((AB$1-AC$1)*MAX(INDEX(T$4:T1644,MATCH(LARGE(FILTER(Y$4:Y1644,Y$4"&amp;":Y1644&lt;1000000000),1),Y$4:Y1644)),INDEX(F$4:F1644,MATCH(LARGE(FILTER(K$4:K1644,K$4:K1644&lt;1000000000),1),K$4:K1644)))),AND(K280&lt;1000000000,COUNTA(C280:C1644)&gt;0,P$3=FALSE),
ROUNDDOWN(INDEX(Y$4:Y1644,MATCH(LARGE(FILTER(W$4:W1644,W$4:W1644&lt;=I280),1),W$4:W1644"&amp;"))+(I280-LARGE(FILTER(W$4:W1644,W$4:W1644&lt;=I280),1))*INDEX(T$4:T1644,MATCH(LARGE(FILTER(W$4:W1644,W$4:W1644&lt;=I280),1),W$4:W1644))-K280),1,
ROUNDDOWN(Y280-INDEX(K$4:K1644,MATCH(LARGE(FILTER(I$4:I1644,I$4:I1644&lt;=W280),1),I$4:I1644))-(W280-LARGE(FILTER(I$4:I"&amp;"1644,I$4:I1644&lt;=W280),1))*INDEX(F$4:F1644,MATCH(LARGE(FILTER(I$4:I1644,I$4:I1644&lt;=W280),1),I$4:I1644))))"),3.1689063E7)</f>
        <v>31689063</v>
      </c>
      <c r="N280" s="60">
        <f t="shared" si="8"/>
        <v>-106.62909</v>
      </c>
      <c r="O280" s="61" t="str">
        <f t="shared" si="9"/>
        <v>31,7M</v>
      </c>
      <c r="P280" s="56">
        <f t="shared" si="10"/>
        <v>11</v>
      </c>
      <c r="Q280" s="105" t="s">
        <v>9</v>
      </c>
      <c r="R280" s="10"/>
      <c r="S280" s="59">
        <f t="array" ref="S280">IF(COUNTA(Q280:Q1644)=0,"",SUM((COUNTIF(Q$4:Q280,Upgrades!$B$3:$B$13)-COUNTIF(Q$4:Q280,"Sell_"&amp;Upgrades!$B$3:$B$13))*Upgrades!$D$3:$D$13))</f>
        <v>304005</v>
      </c>
      <c r="T280" s="66">
        <f>IFERROR(__xludf.DUMMYFUNCTION("IF(COUNTA(Q280:Q1644)=0,"""",IF(REGEXMATCH(INDEX(FILTER(Q$4:Q280,Q$4:Q280&lt;&gt;""""),ROWS(FILTER(Q$4:Q280,Q$4:Q280&lt;&gt;""""))),""^Sell_""),INDEX(FILTER(T$4:T279,Q$4:Q279&lt;&gt;""""),ROWS(FILTER(Q$4:Q279,Q$4:Q279&lt;&gt;""""))),$AD$5+S280))"),304015.0)</f>
        <v>304015</v>
      </c>
      <c r="U280" s="10">
        <f>IFERROR(__xludf.DUMMYFUNCTION("IF(COUNTA(Q280:Q1644)=0,"""",IF(Q280="""",0,IF(REGEXMATCH(Q280,""^Sell_""),-ROUNDDOWN(ROUNDUP(INDEX(Upgrades!$C$3:$C$13,MATCH(SUBSTITUTE(Q280,""Sell_"",""""),Upgrades!$B$3:$B$13,0))*1.15^(COUNTIF(Q$4:Q279,SUBSTITUTE(Q280,""Sell_"",""""))-COUNTIF(Q$4:Q279,"&amp;"""Sell_""&amp;SUBSTITUTE(Q280,""Sell_"",""""))))/2),ROUNDUP(INDEX(Upgrades!$C$3:$C$13,MATCH(Q280,Upgrades!$B$3:$B$13,0))*1.15^(COUNTIF(Q$4:Q279,Q280)-COUNTIF(Q$4:Q279,""Sell_""&amp;Q280))))))"),809112.0)</f>
        <v>809112</v>
      </c>
      <c r="V280" s="10">
        <f t="shared" si="11"/>
        <v>809112</v>
      </c>
      <c r="W280" s="68">
        <f t="shared" si="12"/>
        <v>6348.350295</v>
      </c>
      <c r="X280" s="59" t="str">
        <f t="shared" si="13"/>
        <v>1h 45m 48s</v>
      </c>
      <c r="Y280" s="69">
        <f t="shared" si="14"/>
        <v>404782796</v>
      </c>
      <c r="Z280" s="11"/>
      <c r="AG280" s="59"/>
    </row>
    <row r="281">
      <c r="A281" s="8"/>
      <c r="B281" s="56" t="str">
        <f t="shared" si="2"/>
        <v/>
      </c>
      <c r="C281" s="105"/>
      <c r="D281" s="10"/>
      <c r="E281" s="59" t="str">
        <f t="array" ref="E281">IF(COUNTA(C281:C1644)=0,"",SUM((COUNTIF(C$4:C281,Upgrades!$B$3:$B$13)-COUNTIF(C$4:C281,"Sell_"&amp;Upgrades!$B$3:$B$13))*Upgrades!$D$3:$D$13))</f>
        <v/>
      </c>
      <c r="F281" s="66" t="str">
        <f>IFERROR(__xludf.DUMMYFUNCTION("IF(COUNTA(C281:C1644)=0,"""",IF(REGEXMATCH(INDEX(FILTER(C$4:C281,C$4:C281&lt;&gt;""""),ROWS(FILTER(C$4:C281,C$4:C281&lt;&gt;""""))),""^Sell_""),INDEX(FILTER(F$4:F280,C$4:C280&lt;&gt;""""),ROWS(FILTER(C$4:C280,C$4:C280&lt;&gt;""""))),$AC$5+E281))"),"")</f>
        <v/>
      </c>
      <c r="G281" s="10" t="str">
        <f>IFERROR(__xludf.DUMMYFUNCTION("IF(COUNTA(C281:C1644)=0,"""",IF(C281="""",0,IF(REGEXMATCH(C281,""^Sell_""),-ROUNDDOWN(ROUNDUP(INDEX(Upgrades!$C$3:$C$13,MATCH(SUBSTITUTE(C281,""Sell_"",""""),Upgrades!$B$3:$B$13,0))*1.15^(COUNTIF(C$4:C280,SUBSTITUTE(C281,""Sell_"",""""))-COUNTIF(C$4:C280,"&amp;"""Sell_""&amp;SUBSTITUTE(C281,""Sell_"",""""))))/2),ROUNDUP(INDEX(Upgrades!$C$3:$C$13,MATCH(C281,Upgrades!$B$3:$B$13,0))*1.15^(COUNTIF(C$4:C280,C281)-COUNTIF(C$4:C280,""Sell_""&amp;C281))))))"),"")</f>
        <v/>
      </c>
      <c r="H281" s="10" t="str">
        <f t="shared" si="3"/>
        <v/>
      </c>
      <c r="I281" s="68" t="str">
        <f t="shared" si="4"/>
        <v/>
      </c>
      <c r="J281" s="59" t="str">
        <f t="shared" si="5"/>
        <v/>
      </c>
      <c r="K281" s="69" t="str">
        <f t="shared" si="6"/>
        <v/>
      </c>
      <c r="L281" s="60">
        <f t="shared" si="7"/>
        <v>-105.71413</v>
      </c>
      <c r="M281" s="61">
        <f>IFERROR(__xludf.DUMMYFUNCTION("IFS(AND(COUNTA(C281:C1644)=0,COUNTA(Q281:Q1644)=0),"""",OR(AND(K281&gt;=1000000000,OR(Y281&gt;=1000000000,COUNTA(Q281:Q1644)=0)),OR(Y281&gt;=1000000000,AND(COUNTA(C281:C1644)=0,P$3=TRUE))),
ROUNDDOWN((AB$1-AC$1)*MAX(INDEX(T$4:T1644,MATCH(LARGE(FILTER(Y$4:Y1644,Y$4"&amp;":Y1644&lt;1000000000),1),Y$4:Y1644)),INDEX(F$4:F1644,MATCH(LARGE(FILTER(K$4:K1644,K$4:K1644&lt;1000000000),1),K$4:K1644)))),AND(K281&lt;1000000000,COUNTA(C281:C1644)&gt;0,P$3=FALSE),
ROUNDDOWN(INDEX(Y$4:Y1644,MATCH(LARGE(FILTER(W$4:W1644,W$4:W1644&lt;=I281),1),W$4:W1644"&amp;"))+(I281-LARGE(FILTER(W$4:W1644,W$4:W1644&lt;=I281),1))*INDEX(T$4:T1644,MATCH(LARGE(FILTER(W$4:W1644,W$4:W1644&lt;=I281),1),W$4:W1644))-K281),1,
ROUNDDOWN(Y281-INDEX(K$4:K1644,MATCH(LARGE(FILTER(I$4:I1644,I$4:I1644&lt;=W281),1),I$4:I1644))-(W281-LARGE(FILTER(I$4:I"&amp;"1644,I$4:I1644&lt;=W281),1))*INDEX(F$4:F1644,MATCH(LARGE(FILTER(I$4:I1644,I$4:I1644&lt;=W281),1),I$4:I1644))))"),3.2811671E7)</f>
        <v>32811671</v>
      </c>
      <c r="N281" s="60">
        <f t="shared" si="8"/>
        <v>-105.71413</v>
      </c>
      <c r="O281" s="61" t="str">
        <f t="shared" si="9"/>
        <v>32,8M</v>
      </c>
      <c r="P281" s="56">
        <f t="shared" si="10"/>
        <v>16</v>
      </c>
      <c r="Q281" s="105" t="s">
        <v>10</v>
      </c>
      <c r="R281" s="10"/>
      <c r="S281" s="59">
        <f t="array" ref="S281">IF(COUNTA(Q281:Q1644)=0,"",SUM((COUNTIF(Q$4:Q281,Upgrades!$B$3:$B$13)-COUNTIF(Q$4:Q281,"Sell_"&amp;Upgrades!$B$3:$B$13))*Upgrades!$D$3:$D$13))</f>
        <v>310671</v>
      </c>
      <c r="T281" s="66">
        <f>IFERROR(__xludf.DUMMYFUNCTION("IF(COUNTA(Q281:Q1644)=0,"""",IF(REGEXMATCH(INDEX(FILTER(Q$4:Q281,Q$4:Q281&lt;&gt;""""),ROWS(FILTER(Q$4:Q281,Q$4:Q281&lt;&gt;""""))),""^Sell_""),INDEX(FILTER(T$4:T280,Q$4:Q280&lt;&gt;""""),ROWS(FILTER(Q$4:Q280,Q$4:Q280&lt;&gt;""""))),$AD$5+S281))"),310681.0)</f>
        <v>310681</v>
      </c>
      <c r="U281" s="10">
        <f>IFERROR(__xludf.DUMMYFUNCTION("IF(COUNTA(Q281:Q1644)=0,"""",IF(Q281="""",0,IF(REGEXMATCH(Q281,""^Sell_""),-ROUNDDOWN(ROUNDUP(INDEX(Upgrades!$C$3:$C$13,MATCH(SUBSTITUTE(Q281,""Sell_"",""""),Upgrades!$B$3:$B$13,0))*1.15^(COUNTIF(Q$4:Q280,SUBSTITUTE(Q281,""Sell_"",""""))-COUNTIF(Q$4:Q280,"&amp;"""Sell_""&amp;SUBSTITUTE(Q281,""Sell_"",""""))))/2),ROUNDUP(INDEX(Upgrades!$C$3:$C$13,MATCH(Q281,Upgrades!$B$3:$B$13,0))*1.15^(COUNTIF(Q$4:Q280,Q281)-COUNTIF(Q$4:Q280,""Sell_""&amp;Q281))))))"),1.3561764E7)</f>
        <v>13561764</v>
      </c>
      <c r="V281" s="10">
        <f t="shared" si="11"/>
        <v>13561764</v>
      </c>
      <c r="W281" s="68">
        <f t="shared" si="12"/>
        <v>6392.95916</v>
      </c>
      <c r="X281" s="59" t="str">
        <f t="shared" si="13"/>
        <v>1h 46m 32s</v>
      </c>
      <c r="Y281" s="69">
        <f t="shared" si="14"/>
        <v>418344560</v>
      </c>
      <c r="Z281" s="11"/>
      <c r="AG281" s="59"/>
    </row>
    <row r="282">
      <c r="A282" s="8"/>
      <c r="B282" s="56" t="str">
        <f t="shared" si="2"/>
        <v/>
      </c>
      <c r="C282" s="105"/>
      <c r="D282" s="10"/>
      <c r="E282" s="59" t="str">
        <f t="array" ref="E282">IF(COUNTA(C282:C1644)=0,"",SUM((COUNTIF(C$4:C282,Upgrades!$B$3:$B$13)-COUNTIF(C$4:C282,"Sell_"&amp;Upgrades!$B$3:$B$13))*Upgrades!$D$3:$D$13))</f>
        <v/>
      </c>
      <c r="F282" s="66" t="str">
        <f>IFERROR(__xludf.DUMMYFUNCTION("IF(COUNTA(C282:C1644)=0,"""",IF(REGEXMATCH(INDEX(FILTER(C$4:C282,C$4:C282&lt;&gt;""""),ROWS(FILTER(C$4:C282,C$4:C282&lt;&gt;""""))),""^Sell_""),INDEX(FILTER(F$4:F281,C$4:C281&lt;&gt;""""),ROWS(FILTER(C$4:C281,C$4:C281&lt;&gt;""""))),$AC$5+E282))"),"")</f>
        <v/>
      </c>
      <c r="G282" s="10" t="str">
        <f>IFERROR(__xludf.DUMMYFUNCTION("IF(COUNTA(C282:C1644)=0,"""",IF(C282="""",0,IF(REGEXMATCH(C282,""^Sell_""),-ROUNDDOWN(ROUNDUP(INDEX(Upgrades!$C$3:$C$13,MATCH(SUBSTITUTE(C282,""Sell_"",""""),Upgrades!$B$3:$B$13,0))*1.15^(COUNTIF(C$4:C281,SUBSTITUTE(C282,""Sell_"",""""))-COUNTIF(C$4:C281,"&amp;"""Sell_""&amp;SUBSTITUTE(C282,""Sell_"",""""))))/2),ROUNDUP(INDEX(Upgrades!$C$3:$C$13,MATCH(C282,Upgrades!$B$3:$B$13,0))*1.15^(COUNTIF(C$4:C281,C282)-COUNTIF(C$4:C281,""Sell_""&amp;C282))))))"),"")</f>
        <v/>
      </c>
      <c r="H282" s="10" t="str">
        <f t="shared" si="3"/>
        <v/>
      </c>
      <c r="I282" s="68" t="str">
        <f t="shared" si="4"/>
        <v/>
      </c>
      <c r="J282" s="59" t="str">
        <f t="shared" si="5"/>
        <v/>
      </c>
      <c r="K282" s="69" t="str">
        <f t="shared" si="6"/>
        <v/>
      </c>
      <c r="L282" s="60">
        <f t="shared" si="7"/>
        <v>-105.7148</v>
      </c>
      <c r="M282" s="61">
        <f>IFERROR(__xludf.DUMMYFUNCTION("IFS(AND(COUNTA(C282:C1644)=0,COUNTA(Q282:Q1644)=0),"""",OR(AND(K282&gt;=1000000000,OR(Y282&gt;=1000000000,COUNTA(Q282:Q1644)=0)),OR(Y282&gt;=1000000000,AND(COUNTA(C282:C1644)=0,P$3=TRUE))),
ROUNDDOWN((AB$1-AC$1)*MAX(INDEX(T$4:T1644,MATCH(LARGE(FILTER(Y$4:Y1644,Y$4"&amp;":Y1644&lt;1000000000),1),Y$4:Y1644)),INDEX(F$4:F1644,MATCH(LARGE(FILTER(K$4:K1644,K$4:K1644&lt;1000000000),1),K$4:K1644)))),AND(K282&lt;1000000000,COUNTA(C282:C1644)&gt;0,P$3=FALSE),
ROUNDDOWN(INDEX(Y$4:Y1644,MATCH(LARGE(FILTER(W$4:W1644,W$4:W1644&lt;=I282),1),W$4:W1644"&amp;"))+(I282-LARGE(FILTER(W$4:W1644,W$4:W1644&lt;=I282),1))*INDEX(T$4:T1644,MATCH(LARGE(FILTER(W$4:W1644,W$4:W1644&lt;=I282),1),W$4:W1644))-K282),1,
ROUNDDOWN(Y282-INDEX(K$4:K1644,MATCH(LARGE(FILTER(I$4:I1644,I$4:I1644&lt;=W282),1),I$4:I1644))-(W282-LARGE(FILTER(I$4:I"&amp;"1644,I$4:I1644&lt;=W282),1))*INDEX(F$4:F1644,MATCH(LARGE(FILTER(I$4:I1644,I$4:I1644&lt;=W282),1),I$4:I1644))))"),3.2811877E7)</f>
        <v>32811877</v>
      </c>
      <c r="N282" s="60">
        <f t="shared" si="8"/>
        <v>-105.7148</v>
      </c>
      <c r="O282" s="61" t="str">
        <f t="shared" si="9"/>
        <v>32,8M</v>
      </c>
      <c r="P282" s="56">
        <f t="shared" si="10"/>
        <v>13</v>
      </c>
      <c r="Q282" s="105" t="s">
        <v>8</v>
      </c>
      <c r="R282" s="10"/>
      <c r="S282" s="59">
        <f t="array" ref="S282">IF(COUNTA(Q282:Q1644)=0,"",SUM((COUNTIF(Q$4:Q282,Upgrades!$B$3:$B$13)-COUNTIF(Q$4:Q282,"Sell_"&amp;Upgrades!$B$3:$B$13))*Upgrades!$D$3:$D$13))</f>
        <v>310771</v>
      </c>
      <c r="T282" s="66">
        <f>IFERROR(__xludf.DUMMYFUNCTION("IF(COUNTA(Q282:Q1644)=0,"""",IF(REGEXMATCH(INDEX(FILTER(Q$4:Q282,Q$4:Q282&lt;&gt;""""),ROWS(FILTER(Q$4:Q282,Q$4:Q282&lt;&gt;""""))),""^Sell_""),INDEX(FILTER(T$4:T281,Q$4:Q281&lt;&gt;""""),ROWS(FILTER(Q$4:Q281,Q$4:Q281&lt;&gt;""""))),$AD$5+S282))"),310781.0)</f>
        <v>310781</v>
      </c>
      <c r="U282" s="10">
        <f>IFERROR(__xludf.DUMMYFUNCTION("IF(COUNTA(Q282:Q1644)=0,"""",IF(Q282="""",0,IF(REGEXMATCH(Q282,""^Sell_""),-ROUNDDOWN(ROUNDUP(INDEX(Upgrades!$C$3:$C$13,MATCH(SUBSTITUTE(Q282,""Sell_"",""""),Upgrades!$B$3:$B$13,0))*1.15^(COUNTIF(Q$4:Q281,SUBSTITUTE(Q282,""Sell_"",""""))-COUNTIF(Q$4:Q281,"&amp;"""Sell_""&amp;SUBSTITUTE(Q282,""Sell_"",""""))))/2),ROUNDUP(INDEX(Upgrades!$C$3:$C$13,MATCH(Q282,Upgrades!$B$3:$B$13,0))*1.15^(COUNTIF(Q$4:Q281,Q282)-COUNTIF(Q$4:Q281,""Sell_""&amp;Q282))))))"),214011.0)</f>
        <v>214011</v>
      </c>
      <c r="V282" s="10">
        <f t="shared" si="11"/>
        <v>214011</v>
      </c>
      <c r="W282" s="68">
        <f t="shared" si="12"/>
        <v>6393.648005</v>
      </c>
      <c r="X282" s="59" t="str">
        <f t="shared" si="13"/>
        <v>1h 46m 33s</v>
      </c>
      <c r="Y282" s="69">
        <f t="shared" si="14"/>
        <v>418558571</v>
      </c>
      <c r="Z282" s="11"/>
      <c r="AG282" s="59"/>
    </row>
    <row r="283">
      <c r="A283" s="8"/>
      <c r="B283" s="56" t="str">
        <f t="shared" si="2"/>
        <v/>
      </c>
      <c r="C283" s="105"/>
      <c r="D283" s="10"/>
      <c r="E283" s="59" t="str">
        <f t="array" ref="E283">IF(COUNTA(C283:C1644)=0,"",SUM((COUNTIF(C$4:C283,Upgrades!$B$3:$B$13)-COUNTIF(C$4:C283,"Sell_"&amp;Upgrades!$B$3:$B$13))*Upgrades!$D$3:$D$13))</f>
        <v/>
      </c>
      <c r="F283" s="66" t="str">
        <f>IFERROR(__xludf.DUMMYFUNCTION("IF(COUNTA(C283:C1644)=0,"""",IF(REGEXMATCH(INDEX(FILTER(C$4:C283,C$4:C283&lt;&gt;""""),ROWS(FILTER(C$4:C283,C$4:C283&lt;&gt;""""))),""^Sell_""),INDEX(FILTER(F$4:F282,C$4:C282&lt;&gt;""""),ROWS(FILTER(C$4:C282,C$4:C282&lt;&gt;""""))),$AC$5+E283))"),"")</f>
        <v/>
      </c>
      <c r="G283" s="10" t="str">
        <f>IFERROR(__xludf.DUMMYFUNCTION("IF(COUNTA(C283:C1644)=0,"""",IF(C283="""",0,IF(REGEXMATCH(C283,""^Sell_""),-ROUNDDOWN(ROUNDUP(INDEX(Upgrades!$C$3:$C$13,MATCH(SUBSTITUTE(C283,""Sell_"",""""),Upgrades!$B$3:$B$13,0))*1.15^(COUNTIF(C$4:C282,SUBSTITUTE(C283,""Sell_"",""""))-COUNTIF(C$4:C282,"&amp;"""Sell_""&amp;SUBSTITUTE(C283,""Sell_"",""""))))/2),ROUNDUP(INDEX(Upgrades!$C$3:$C$13,MATCH(C283,Upgrades!$B$3:$B$13,0))*1.15^(COUNTIF(C$4:C282,C283)-COUNTIF(C$4:C282,""Sell_""&amp;C283))))))"),"")</f>
        <v/>
      </c>
      <c r="H283" s="10" t="str">
        <f t="shared" si="3"/>
        <v/>
      </c>
      <c r="I283" s="68" t="str">
        <f t="shared" si="4"/>
        <v/>
      </c>
      <c r="J283" s="59" t="str">
        <f t="shared" si="5"/>
        <v/>
      </c>
      <c r="K283" s="69" t="str">
        <f t="shared" si="6"/>
        <v/>
      </c>
      <c r="L283" s="60">
        <f t="shared" si="7"/>
        <v>-72.19947</v>
      </c>
      <c r="M283" s="61">
        <f>IFERROR(__xludf.DUMMYFUNCTION("IFS(AND(COUNTA(C283:C1644)=0,COUNTA(Q283:Q1644)=0),"""",OR(AND(K283&gt;=1000000000,OR(Y283&gt;=1000000000,COUNTA(Q283:Q1644)=0)),OR(Y283&gt;=1000000000,AND(COUNTA(C283:C1644)=0,P$3=TRUE))),
ROUNDDOWN((AB$1-AC$1)*MAX(INDEX(T$4:T1644,MATCH(LARGE(FILTER(Y$4:Y1644,Y$4"&amp;":Y1644&lt;1000000000),1),Y$4:Y1644)),INDEX(F$4:F1644,MATCH(LARGE(FILTER(K$4:K1644,K$4:K1644&lt;1000000000),1),K$4:K1644)))),AND(K283&lt;1000000000,COUNTA(C283:C1644)&gt;0,P$3=FALSE),
ROUNDDOWN(INDEX(Y$4:Y1644,MATCH(LARGE(FILTER(W$4:W1644,W$4:W1644&lt;=I283),1),W$4:W1644"&amp;"))+(I283-LARGE(FILTER(W$4:W1644,W$4:W1644&lt;=I283),1))*INDEX(T$4:T1644,MATCH(LARGE(FILTER(W$4:W1644,W$4:W1644&lt;=I283),1),W$4:W1644))-K283),1,
ROUNDDOWN(Y283-INDEX(K$4:K1644,MATCH(LARGE(FILTER(I$4:I1644,I$4:I1644&lt;=W283),1),I$4:I1644))-(W283-LARGE(FILTER(I$4:I"&amp;"1644,I$4:I1644&lt;=W283),1))*INDEX(F$4:F1644,MATCH(LARGE(FILTER(I$4:I1644,I$4:I1644&lt;=W283),1),I$4:I1644))))"),3.0021584E7)</f>
        <v>30021584</v>
      </c>
      <c r="N283" s="60">
        <f t="shared" si="8"/>
        <v>-72.19947</v>
      </c>
      <c r="O283" s="61" t="str">
        <f t="shared" si="9"/>
        <v>30,0M</v>
      </c>
      <c r="P283" s="56">
        <f t="shared" si="10"/>
        <v>3</v>
      </c>
      <c r="Q283" s="105" t="s">
        <v>11</v>
      </c>
      <c r="R283" s="10"/>
      <c r="S283" s="59">
        <f t="array" ref="S283">IF(COUNTA(Q283:Q1644)=0,"",SUM((COUNTIF(Q$4:Q283,Upgrades!$B$3:$B$13)-COUNTIF(Q$4:Q283,"Sell_"&amp;Upgrades!$B$3:$B$13))*Upgrades!$D$3:$D$13))</f>
        <v>409536</v>
      </c>
      <c r="T283" s="66">
        <f>IFERROR(__xludf.DUMMYFUNCTION("IF(COUNTA(Q283:Q1644)=0,"""",IF(REGEXMATCH(INDEX(FILTER(Q$4:Q283,Q$4:Q283&lt;&gt;""""),ROWS(FILTER(Q$4:Q283,Q$4:Q283&lt;&gt;""""))),""^Sell_""),INDEX(FILTER(T$4:T282,Q$4:Q282&lt;&gt;""""),ROWS(FILTER(Q$4:Q282,Q$4:Q282&lt;&gt;""""))),$AD$5+S283))"),409546.0)</f>
        <v>409546</v>
      </c>
      <c r="U283" s="10">
        <f>IFERROR(__xludf.DUMMYFUNCTION("IF(COUNTA(Q283:Q1644)=0,"""",IF(Q283="""",0,IF(REGEXMATCH(Q283,""^Sell_""),-ROUNDDOWN(ROUNDUP(INDEX(Upgrades!$C$3:$C$13,MATCH(SUBSTITUTE(Q283,""Sell_"",""""),Upgrades!$B$3:$B$13,0))*1.15^(COUNTIF(Q$4:Q282,SUBSTITUTE(Q283,""Sell_"",""""))-COUNTIF(Q$4:Q282,"&amp;"""Sell_""&amp;SUBSTITUTE(Q283,""Sell_"",""""))))/2),ROUNDUP(INDEX(Upgrades!$C$3:$C$13,MATCH(Q283,Upgrades!$B$3:$B$13,0))*1.15^(COUNTIF(Q$4:Q282,Q283)-COUNTIF(Q$4:Q282,""Sell_""&amp;Q283))))))"),1.63271604E8)</f>
        <v>163271604</v>
      </c>
      <c r="V283" s="10">
        <f t="shared" si="11"/>
        <v>163271604</v>
      </c>
      <c r="W283" s="68">
        <f t="shared" si="12"/>
        <v>6919.007032</v>
      </c>
      <c r="X283" s="59" t="str">
        <f t="shared" si="13"/>
        <v>1h 55m 19s</v>
      </c>
      <c r="Y283" s="69">
        <f t="shared" si="14"/>
        <v>581830175</v>
      </c>
      <c r="Z283" s="11"/>
      <c r="AG283" s="59"/>
    </row>
    <row r="284">
      <c r="A284" s="8"/>
      <c r="B284" s="56" t="str">
        <f t="shared" si="2"/>
        <v/>
      </c>
      <c r="C284" s="105"/>
      <c r="D284" s="10"/>
      <c r="E284" s="59" t="str">
        <f t="array" ref="E284">IF(COUNTA(C284:C1644)=0,"",SUM((COUNTIF(C$4:C284,Upgrades!$B$3:$B$13)-COUNTIF(C$4:C284,"Sell_"&amp;Upgrades!$B$3:$B$13))*Upgrades!$D$3:$D$13))</f>
        <v/>
      </c>
      <c r="F284" s="66" t="str">
        <f>IFERROR(__xludf.DUMMYFUNCTION("IF(COUNTA(C284:C1644)=0,"""",IF(REGEXMATCH(INDEX(FILTER(C$4:C284,C$4:C284&lt;&gt;""""),ROWS(FILTER(C$4:C284,C$4:C284&lt;&gt;""""))),""^Sell_""),INDEX(FILTER(F$4:F283,C$4:C283&lt;&gt;""""),ROWS(FILTER(C$4:C283,C$4:C283&lt;&gt;""""))),$AC$5+E284))"),"")</f>
        <v/>
      </c>
      <c r="G284" s="10" t="str">
        <f>IFERROR(__xludf.DUMMYFUNCTION("IF(COUNTA(C284:C1644)=0,"""",IF(C284="""",0,IF(REGEXMATCH(C284,""^Sell_""),-ROUNDDOWN(ROUNDUP(INDEX(Upgrades!$C$3:$C$13,MATCH(SUBSTITUTE(C284,""Sell_"",""""),Upgrades!$B$3:$B$13,0))*1.15^(COUNTIF(C$4:C283,SUBSTITUTE(C284,""Sell_"",""""))-COUNTIF(C$4:C283,"&amp;"""Sell_""&amp;SUBSTITUTE(C284,""Sell_"",""""))))/2),ROUNDUP(INDEX(Upgrades!$C$3:$C$13,MATCH(C284,Upgrades!$B$3:$B$13,0))*1.15^(COUNTIF(C$4:C283,C284)-COUNTIF(C$4:C283,""Sell_""&amp;C284))))))"),"")</f>
        <v/>
      </c>
      <c r="H284" s="10" t="str">
        <f t="shared" si="3"/>
        <v/>
      </c>
      <c r="I284" s="68" t="str">
        <f t="shared" si="4"/>
        <v/>
      </c>
      <c r="J284" s="59" t="str">
        <f t="shared" si="5"/>
        <v/>
      </c>
      <c r="K284" s="69" t="str">
        <f t="shared" si="6"/>
        <v/>
      </c>
      <c r="L284" s="60">
        <f t="shared" si="7"/>
        <v>-72.1607</v>
      </c>
      <c r="M284" s="61">
        <f>IFERROR(__xludf.DUMMYFUNCTION("IFS(AND(COUNTA(C284:C1644)=0,COUNTA(Q284:Q1644)=0),"""",OR(AND(K284&gt;=1000000000,OR(Y284&gt;=1000000000,COUNTA(Q284:Q1644)=0)),OR(Y284&gt;=1000000000,AND(COUNTA(C284:C1644)=0,P$3=TRUE))),
ROUNDDOWN((AB$1-AC$1)*MAX(INDEX(T$4:T1644,MATCH(LARGE(FILTER(Y$4:Y1644,Y$4"&amp;":Y1644&lt;1000000000),1),Y$4:Y1644)),INDEX(F$4:F1644,MATCH(LARGE(FILTER(K$4:K1644,K$4:K1644&lt;1000000000),1),K$4:K1644)))),AND(K284&lt;1000000000,COUNTA(C284:C1644)&gt;0,P$3=FALSE),
ROUNDDOWN(INDEX(Y$4:Y1644,MATCH(LARGE(FILTER(W$4:W1644,W$4:W1644&lt;=I284),1),W$4:W1644"&amp;"))+(I284-LARGE(FILTER(W$4:W1644,W$4:W1644&lt;=I284),1))*INDEX(T$4:T1644,MATCH(LARGE(FILTER(W$4:W1644,W$4:W1644&lt;=I284),1),W$4:W1644))-K284),1,
ROUNDDOWN(Y284-INDEX(K$4:K1644,MATCH(LARGE(FILTER(I$4:I1644,I$4:I1644&lt;=W284),1),I$4:I1644))-(W284-LARGE(FILTER(I$4:I"&amp;"1644,I$4:I1644&lt;=W284),1))*INDEX(F$4:F1644,MATCH(LARGE(FILTER(I$4:I1644,I$4:I1644&lt;=W284),1),I$4:I1644))))"),3.0022492E7)</f>
        <v>30022492</v>
      </c>
      <c r="N284" s="60">
        <f t="shared" si="8"/>
        <v>-72.1607</v>
      </c>
      <c r="O284" s="61" t="str">
        <f t="shared" si="9"/>
        <v>30,0M</v>
      </c>
      <c r="P284" s="56">
        <f t="shared" si="10"/>
        <v>12</v>
      </c>
      <c r="Q284" s="105" t="s">
        <v>9</v>
      </c>
      <c r="R284" s="10"/>
      <c r="S284" s="59">
        <f t="array" ref="S284">IF(COUNTA(Q284:Q1644)=0,"",SUM((COUNTIF(Q$4:Q284,Upgrades!$B$3:$B$13)-COUNTIF(Q$4:Q284,"Sell_"&amp;Upgrades!$B$3:$B$13))*Upgrades!$D$3:$D$13))</f>
        <v>409936</v>
      </c>
      <c r="T284" s="66">
        <f>IFERROR(__xludf.DUMMYFUNCTION("IF(COUNTA(Q284:Q1644)=0,"""",IF(REGEXMATCH(INDEX(FILTER(Q$4:Q284,Q$4:Q284&lt;&gt;""""),ROWS(FILTER(Q$4:Q284,Q$4:Q284&lt;&gt;""""))),""^Sell_""),INDEX(FILTER(T$4:T283,Q$4:Q283&lt;&gt;""""),ROWS(FILTER(Q$4:Q283,Q$4:Q283&lt;&gt;""""))),$AD$5+S284))"),409946.0)</f>
        <v>409946</v>
      </c>
      <c r="U284" s="10">
        <f>IFERROR(__xludf.DUMMYFUNCTION("IF(COUNTA(Q284:Q1644)=0,"""",IF(Q284="""",0,IF(REGEXMATCH(Q284,""^Sell_""),-ROUNDDOWN(ROUNDUP(INDEX(Upgrades!$C$3:$C$13,MATCH(SUBSTITUTE(Q284,""Sell_"",""""),Upgrades!$B$3:$B$13,0))*1.15^(COUNTIF(Q$4:Q283,SUBSTITUTE(Q284,""Sell_"",""""))-COUNTIF(Q$4:Q283,"&amp;"""Sell_""&amp;SUBSTITUTE(Q284,""Sell_"",""""))))/2),ROUNDUP(INDEX(Upgrades!$C$3:$C$13,MATCH(Q284,Upgrades!$B$3:$B$13,0))*1.15^(COUNTIF(Q$4:Q283,Q284)-COUNTIF(Q$4:Q283,""Sell_""&amp;Q284))))))"),930479.0)</f>
        <v>930479</v>
      </c>
      <c r="V284" s="10">
        <f t="shared" si="11"/>
        <v>930479</v>
      </c>
      <c r="W284" s="68">
        <f t="shared" si="12"/>
        <v>6921.279009</v>
      </c>
      <c r="X284" s="59" t="str">
        <f t="shared" si="13"/>
        <v>1h 55m 21s</v>
      </c>
      <c r="Y284" s="69">
        <f t="shared" si="14"/>
        <v>582760654</v>
      </c>
      <c r="Z284" s="11"/>
      <c r="AG284" s="59"/>
    </row>
    <row r="285">
      <c r="A285" s="8"/>
      <c r="B285" s="56" t="str">
        <f t="shared" si="2"/>
        <v/>
      </c>
      <c r="C285" s="105"/>
      <c r="D285" s="10"/>
      <c r="E285" s="59" t="str">
        <f t="array" ref="E285">IF(COUNTA(C285:C1644)=0,"",SUM((COUNTIF(C$4:C285,Upgrades!$B$3:$B$13)-COUNTIF(C$4:C285,"Sell_"&amp;Upgrades!$B$3:$B$13))*Upgrades!$D$3:$D$13))</f>
        <v/>
      </c>
      <c r="F285" s="66" t="str">
        <f>IFERROR(__xludf.DUMMYFUNCTION("IF(COUNTA(C285:C1644)=0,"""",IF(REGEXMATCH(INDEX(FILTER(C$4:C285,C$4:C285&lt;&gt;""""),ROWS(FILTER(C$4:C285,C$4:C285&lt;&gt;""""))),""^Sell_""),INDEX(FILTER(F$4:F284,C$4:C284&lt;&gt;""""),ROWS(FILTER(C$4:C284,C$4:C284&lt;&gt;""""))),$AC$5+E285))"),"")</f>
        <v/>
      </c>
      <c r="G285" s="10" t="str">
        <f>IFERROR(__xludf.DUMMYFUNCTION("IF(COUNTA(C285:C1644)=0,"""",IF(C285="""",0,IF(REGEXMATCH(C285,""^Sell_""),-ROUNDDOWN(ROUNDUP(INDEX(Upgrades!$C$3:$C$13,MATCH(SUBSTITUTE(C285,""Sell_"",""""),Upgrades!$B$3:$B$13,0))*1.15^(COUNTIF(C$4:C284,SUBSTITUTE(C285,""Sell_"",""""))-COUNTIF(C$4:C284,"&amp;"""Sell_""&amp;SUBSTITUTE(C285,""Sell_"",""""))))/2),ROUNDUP(INDEX(Upgrades!$C$3:$C$13,MATCH(C285,Upgrades!$B$3:$B$13,0))*1.15^(COUNTIF(C$4:C284,C285)-COUNTIF(C$4:C284,""Sell_""&amp;C285))))))"),"")</f>
        <v/>
      </c>
      <c r="H285" s="10" t="str">
        <f t="shared" si="3"/>
        <v/>
      </c>
      <c r="I285" s="68" t="str">
        <f t="shared" si="4"/>
        <v/>
      </c>
      <c r="J285" s="59" t="str">
        <f t="shared" si="5"/>
        <v/>
      </c>
      <c r="K285" s="69" t="str">
        <f t="shared" si="6"/>
        <v/>
      </c>
      <c r="L285" s="60">
        <f t="shared" si="7"/>
        <v>-72.15703</v>
      </c>
      <c r="M285" s="61">
        <f>IFERROR(__xludf.DUMMYFUNCTION("IFS(AND(COUNTA(C285:C1644)=0,COUNTA(Q285:Q1644)=0),"""",OR(AND(K285&gt;=1000000000,OR(Y285&gt;=1000000000,COUNTA(Q285:Q1644)=0)),OR(Y285&gt;=1000000000,AND(COUNTA(C285:C1644)=0,P$3=TRUE))),
ROUNDDOWN((AB$1-AC$1)*MAX(INDEX(T$4:T1644,MATCH(LARGE(FILTER(Y$4:Y1644,Y$4"&amp;":Y1644&lt;1000000000),1),Y$4:Y1644)),INDEX(F$4:F1644,MATCH(LARGE(FILTER(K$4:K1644,K$4:K1644&lt;1000000000),1),K$4:K1644)))),AND(K285&lt;1000000000,COUNTA(C285:C1644)&gt;0,P$3=FALSE),
ROUNDDOWN(INDEX(Y$4:Y1644,MATCH(LARGE(FILTER(W$4:W1644,W$4:W1644&lt;=I285),1),W$4:W1644"&amp;"))+(I285-LARGE(FILTER(W$4:W1644,W$4:W1644&lt;=I285),1))*INDEX(T$4:T1644,MATCH(LARGE(FILTER(W$4:W1644,W$4:W1644&lt;=I285),1),W$4:W1644))-K285),1,
ROUNDDOWN(Y285-INDEX(K$4:K1644,MATCH(LARGE(FILTER(I$4:I1644,I$4:I1644&lt;=W285),1),I$4:I1644))-(W285-LARGE(FILTER(I$4:I"&amp;"1644,I$4:I1644&lt;=W285),1))*INDEX(F$4:F1644,MATCH(LARGE(FILTER(I$4:I1644,I$4:I1644&lt;=W285),1),I$4:I1644))))"),3.0022675E7)</f>
        <v>30022675</v>
      </c>
      <c r="N285" s="60">
        <f t="shared" si="8"/>
        <v>-72.15703</v>
      </c>
      <c r="O285" s="61" t="str">
        <f t="shared" si="9"/>
        <v>30,0M</v>
      </c>
      <c r="P285" s="56">
        <f t="shared" si="10"/>
        <v>17</v>
      </c>
      <c r="Q285" s="105" t="s">
        <v>7</v>
      </c>
      <c r="R285" s="10"/>
      <c r="S285" s="59">
        <f t="array" ref="S285">IF(COUNTA(Q285:Q1644)=0,"",SUM((COUNTIF(Q$4:Q285,Upgrades!$B$3:$B$13)-COUNTIF(Q$4:Q285,"Sell_"&amp;Upgrades!$B$3:$B$13))*Upgrades!$D$3:$D$13))</f>
        <v>409976</v>
      </c>
      <c r="T285" s="66">
        <f>IFERROR(__xludf.DUMMYFUNCTION("IF(COUNTA(Q285:Q1644)=0,"""",IF(REGEXMATCH(INDEX(FILTER(Q$4:Q285,Q$4:Q285&lt;&gt;""""),ROWS(FILTER(Q$4:Q285,Q$4:Q285&lt;&gt;""""))),""^Sell_""),INDEX(FILTER(T$4:T284,Q$4:Q284&lt;&gt;""""),ROWS(FILTER(Q$4:Q284,Q$4:Q284&lt;&gt;""""))),$AD$5+S285))"),409986.0)</f>
        <v>409986</v>
      </c>
      <c r="U285" s="10">
        <f>IFERROR(__xludf.DUMMYFUNCTION("IF(COUNTA(Q285:Q1644)=0,"""",IF(Q285="""",0,IF(REGEXMATCH(Q285,""^Sell_""),-ROUNDDOWN(ROUNDUP(INDEX(Upgrades!$C$3:$C$13,MATCH(SUBSTITUTE(Q285,""Sell_"",""""),Upgrades!$B$3:$B$13,0))*1.15^(COUNTIF(Q$4:Q284,SUBSTITUTE(Q285,""Sell_"",""""))-COUNTIF(Q$4:Q284,"&amp;"""Sell_""&amp;SUBSTITUTE(Q285,""Sell_"",""""))))/2),ROUNDUP(INDEX(Upgrades!$C$3:$C$13,MATCH(Q285,Upgrades!$B$3:$B$13,0))*1.15^(COUNTIF(Q$4:Q284,Q285)-COUNTIF(Q$4:Q284,""Sell_""&amp;Q285))))))"),93577.0)</f>
        <v>93577</v>
      </c>
      <c r="V285" s="10">
        <f t="shared" si="11"/>
        <v>93577</v>
      </c>
      <c r="W285" s="68">
        <f t="shared" si="12"/>
        <v>6921.507276</v>
      </c>
      <c r="X285" s="59" t="str">
        <f t="shared" si="13"/>
        <v>1h 55m 21s</v>
      </c>
      <c r="Y285" s="69">
        <f t="shared" si="14"/>
        <v>582854231</v>
      </c>
      <c r="Z285" s="11"/>
      <c r="AG285" s="59"/>
    </row>
    <row r="286">
      <c r="A286" s="8"/>
      <c r="B286" s="56" t="str">
        <f t="shared" si="2"/>
        <v/>
      </c>
      <c r="C286" s="105"/>
      <c r="D286" s="10"/>
      <c r="E286" s="59" t="str">
        <f t="array" ref="E286">IF(COUNTA(C286:C1644)=0,"",SUM((COUNTIF(C$4:C286,Upgrades!$B$3:$B$13)-COUNTIF(C$4:C286,"Sell_"&amp;Upgrades!$B$3:$B$13))*Upgrades!$D$3:$D$13))</f>
        <v/>
      </c>
      <c r="F286" s="66" t="str">
        <f>IFERROR(__xludf.DUMMYFUNCTION("IF(COUNTA(C286:C1644)=0,"""",IF(REGEXMATCH(INDEX(FILTER(C$4:C286,C$4:C286&lt;&gt;""""),ROWS(FILTER(C$4:C286,C$4:C286&lt;&gt;""""))),""^Sell_""),INDEX(FILTER(F$4:F285,C$4:C285&lt;&gt;""""),ROWS(FILTER(C$4:C285,C$4:C285&lt;&gt;""""))),$AC$5+E286))"),"")</f>
        <v/>
      </c>
      <c r="G286" s="10" t="str">
        <f>IFERROR(__xludf.DUMMYFUNCTION("IF(COUNTA(C286:C1644)=0,"""",IF(C286="""",0,IF(REGEXMATCH(C286,""^Sell_""),-ROUNDDOWN(ROUNDUP(INDEX(Upgrades!$C$3:$C$13,MATCH(SUBSTITUTE(C286,""Sell_"",""""),Upgrades!$B$3:$B$13,0))*1.15^(COUNTIF(C$4:C285,SUBSTITUTE(C286,""Sell_"",""""))-COUNTIF(C$4:C285,"&amp;"""Sell_""&amp;SUBSTITUTE(C286,""Sell_"",""""))))/2),ROUNDUP(INDEX(Upgrades!$C$3:$C$13,MATCH(C286,Upgrades!$B$3:$B$13,0))*1.15^(COUNTIF(C$4:C285,C286)-COUNTIF(C$4:C285,""Sell_""&amp;C286))))))"),"")</f>
        <v/>
      </c>
      <c r="H286" s="10" t="str">
        <f t="shared" si="3"/>
        <v/>
      </c>
      <c r="I286" s="68" t="str">
        <f t="shared" si="4"/>
        <v/>
      </c>
      <c r="J286" s="59" t="str">
        <f t="shared" si="5"/>
        <v/>
      </c>
      <c r="K286" s="69" t="str">
        <f t="shared" si="6"/>
        <v/>
      </c>
      <c r="L286" s="60">
        <f t="shared" si="7"/>
        <v>-72.15666</v>
      </c>
      <c r="M286" s="61">
        <f>IFERROR(__xludf.DUMMYFUNCTION("IFS(AND(COUNTA(C286:C1644)=0,COUNTA(Q286:Q1644)=0),"""",OR(AND(K286&gt;=1000000000,OR(Y286&gt;=1000000000,COUNTA(Q286:Q1644)=0)),OR(Y286&gt;=1000000000,AND(COUNTA(C286:C1644)=0,P$3=TRUE))),
ROUNDDOWN((AB$1-AC$1)*MAX(INDEX(T$4:T1644,MATCH(LARGE(FILTER(Y$4:Y1644,Y$4"&amp;":Y1644&lt;1000000000),1),Y$4:Y1644)),INDEX(F$4:F1644,MATCH(LARGE(FILTER(K$4:K1644,K$4:K1644&lt;1000000000),1),K$4:K1644)))),AND(K286&lt;1000000000,COUNTA(C286:C1644)&gt;0,P$3=FALSE),
ROUNDDOWN(INDEX(Y$4:Y1644,MATCH(LARGE(FILTER(W$4:W1644,W$4:W1644&lt;=I286),1),W$4:W1644"&amp;"))+(I286-LARGE(FILTER(W$4:W1644,W$4:W1644&lt;=I286),1))*INDEX(T$4:T1644,MATCH(LARGE(FILTER(W$4:W1644,W$4:W1644&lt;=I286),1),W$4:W1644))-K286),1,
ROUNDDOWN(Y286-INDEX(K$4:K1644,MATCH(LARGE(FILTER(I$4:I1644,I$4:I1644&lt;=W286),1),I$4:I1644))-(W286-LARGE(FILTER(I$4:I"&amp;"1644,I$4:I1644&lt;=W286),1))*INDEX(F$4:F1644,MATCH(LARGE(FILTER(I$4:I1644,I$4:I1644&lt;=W286),1),I$4:I1644))))"),3.0022694E7)</f>
        <v>30022694</v>
      </c>
      <c r="N286" s="60">
        <f t="shared" si="8"/>
        <v>-72.15666</v>
      </c>
      <c r="O286" s="61" t="str">
        <f t="shared" si="9"/>
        <v>30,0M</v>
      </c>
      <c r="P286" s="56">
        <f t="shared" si="10"/>
        <v>22</v>
      </c>
      <c r="Q286" s="105" t="s">
        <v>5</v>
      </c>
      <c r="R286" s="10"/>
      <c r="S286" s="59">
        <f t="array" ref="S286">IF(COUNTA(Q286:Q1644)=0,"",SUM((COUNTIF(Q$4:Q286,Upgrades!$B$3:$B$13)-COUNTIF(Q$4:Q286,"Sell_"&amp;Upgrades!$B$3:$B$13))*Upgrades!$D$3:$D$13))</f>
        <v>409980</v>
      </c>
      <c r="T286" s="66">
        <f>IFERROR(__xludf.DUMMYFUNCTION("IF(COUNTA(Q286:Q1644)=0,"""",IF(REGEXMATCH(INDEX(FILTER(Q$4:Q286,Q$4:Q286&lt;&gt;""""),ROWS(FILTER(Q$4:Q286,Q$4:Q286&lt;&gt;""""))),""^Sell_""),INDEX(FILTER(T$4:T285,Q$4:Q285&lt;&gt;""""),ROWS(FILTER(Q$4:Q285,Q$4:Q285&lt;&gt;""""))),$AD$5+S286))"),409990.0)</f>
        <v>409990</v>
      </c>
      <c r="U286" s="10">
        <f>IFERROR(__xludf.DUMMYFUNCTION("IF(COUNTA(Q286:Q1644)=0,"""",IF(Q286="""",0,IF(REGEXMATCH(Q286,""^Sell_""),-ROUNDDOWN(ROUNDUP(INDEX(Upgrades!$C$3:$C$13,MATCH(SUBSTITUTE(Q286,""Sell_"",""""),Upgrades!$B$3:$B$13,0))*1.15^(COUNTIF(Q$4:Q285,SUBSTITUTE(Q286,""Sell_"",""""))-COUNTIF(Q$4:Q285,"&amp;"""Sell_""&amp;SUBSTITUTE(Q286,""Sell_"",""""))))/2),ROUNDUP(INDEX(Upgrades!$C$3:$C$13,MATCH(Q286,Upgrades!$B$3:$B$13,0))*1.15^(COUNTIF(Q$4:Q285,Q286)-COUNTIF(Q$4:Q285,""Sell_""&amp;Q286))))))"),9411.0)</f>
        <v>9411</v>
      </c>
      <c r="V286" s="10">
        <f t="shared" si="11"/>
        <v>9411</v>
      </c>
      <c r="W286" s="68">
        <f t="shared" si="12"/>
        <v>6921.53023</v>
      </c>
      <c r="X286" s="59" t="str">
        <f t="shared" si="13"/>
        <v>1h 55m 21s</v>
      </c>
      <c r="Y286" s="69">
        <f t="shared" si="14"/>
        <v>582863642</v>
      </c>
      <c r="Z286" s="11"/>
      <c r="AG286" s="59"/>
    </row>
    <row r="287">
      <c r="A287" s="8"/>
      <c r="B287" s="56" t="str">
        <f t="shared" si="2"/>
        <v/>
      </c>
      <c r="C287" s="105"/>
      <c r="D287" s="10"/>
      <c r="E287" s="59" t="str">
        <f t="array" ref="E287">IF(COUNTA(C287:C1644)=0,"",SUM((COUNTIF(C$4:C287,Upgrades!$B$3:$B$13)-COUNTIF(C$4:C287,"Sell_"&amp;Upgrades!$B$3:$B$13))*Upgrades!$D$3:$D$13))</f>
        <v/>
      </c>
      <c r="F287" s="66" t="str">
        <f>IFERROR(__xludf.DUMMYFUNCTION("IF(COUNTA(C287:C1644)=0,"""",IF(REGEXMATCH(INDEX(FILTER(C$4:C287,C$4:C287&lt;&gt;""""),ROWS(FILTER(C$4:C287,C$4:C287&lt;&gt;""""))),""^Sell_""),INDEX(FILTER(F$4:F286,C$4:C286&lt;&gt;""""),ROWS(FILTER(C$4:C286,C$4:C286&lt;&gt;""""))),$AC$5+E287))"),"")</f>
        <v/>
      </c>
      <c r="G287" s="10" t="str">
        <f>IFERROR(__xludf.DUMMYFUNCTION("IF(COUNTA(C287:C1644)=0,"""",IF(C287="""",0,IF(REGEXMATCH(C287,""^Sell_""),-ROUNDDOWN(ROUNDUP(INDEX(Upgrades!$C$3:$C$13,MATCH(SUBSTITUTE(C287,""Sell_"",""""),Upgrades!$B$3:$B$13,0))*1.15^(COUNTIF(C$4:C286,SUBSTITUTE(C287,""Sell_"",""""))-COUNTIF(C$4:C286,"&amp;"""Sell_""&amp;SUBSTITUTE(C287,""Sell_"",""""))))/2),ROUNDUP(INDEX(Upgrades!$C$3:$C$13,MATCH(C287,Upgrades!$B$3:$B$13,0))*1.15^(COUNTIF(C$4:C286,C287)-COUNTIF(C$4:C286,""Sell_""&amp;C287))))))"),"")</f>
        <v/>
      </c>
      <c r="H287" s="10" t="str">
        <f t="shared" si="3"/>
        <v/>
      </c>
      <c r="I287" s="68" t="str">
        <f t="shared" si="4"/>
        <v/>
      </c>
      <c r="J287" s="59" t="str">
        <f t="shared" si="5"/>
        <v/>
      </c>
      <c r="K287" s="69" t="str">
        <f t="shared" si="6"/>
        <v/>
      </c>
      <c r="L287" s="60">
        <f t="shared" si="7"/>
        <v>-71.54805</v>
      </c>
      <c r="M287" s="61">
        <f>IFERROR(__xludf.DUMMYFUNCTION("IFS(AND(COUNTA(C287:C1644)=0,COUNTA(Q287:Q1644)=0),"""",OR(AND(K287&gt;=1000000000,OR(Y287&gt;=1000000000,COUNTA(Q287:Q1644)=0)),OR(Y287&gt;=1000000000,AND(COUNTA(C287:C1644)=0,P$3=TRUE))),
ROUNDDOWN((AB$1-AC$1)*MAX(INDEX(T$4:T1644,MATCH(LARGE(FILTER(Y$4:Y1644,Y$4"&amp;":Y1644&lt;1000000000),1),Y$4:Y1644)),INDEX(F$4:F1644,MATCH(LARGE(FILTER(K$4:K1644,K$4:K1644&lt;1000000000),1),K$4:K1644)))),AND(K287&lt;1000000000,COUNTA(C287:C1644)&gt;0,P$3=FALSE),
ROUNDDOWN(INDEX(Y$4:Y1644,MATCH(LARGE(FILTER(W$4:W1644,W$4:W1644&lt;=I287),1),W$4:W1644"&amp;"))+(I287-LARGE(FILTER(W$4:W1644,W$4:W1644&lt;=I287),1))*INDEX(T$4:T1644,MATCH(LARGE(FILTER(W$4:W1644,W$4:W1644&lt;=I287),1),W$4:W1644))-K287),1,
ROUNDDOWN(Y287-INDEX(K$4:K1644,MATCH(LARGE(FILTER(I$4:I1644,I$4:I1644&lt;=W287),1),I$4:I1644))-(W287-LARGE(FILTER(I$4:I"&amp;"1644,I$4:I1644&lt;=W287),1))*INDEX(F$4:F1644,MATCH(LARGE(FILTER(I$4:I1644,I$4:I1644&lt;=W287),1),I$4:I1644))))"),2.9810935E7)</f>
        <v>29810935</v>
      </c>
      <c r="N287" s="60">
        <f t="shared" si="8"/>
        <v>-71.54805</v>
      </c>
      <c r="O287" s="61" t="str">
        <f t="shared" si="9"/>
        <v>29,8M</v>
      </c>
      <c r="P287" s="56">
        <f t="shared" si="10"/>
        <v>17</v>
      </c>
      <c r="Q287" s="105" t="s">
        <v>10</v>
      </c>
      <c r="R287" s="10"/>
      <c r="S287" s="59">
        <f t="array" ref="S287">IF(COUNTA(Q287:Q1644)=0,"",SUM((COUNTIF(Q$4:Q287,Upgrades!$B$3:$B$13)-COUNTIF(Q$4:Q287,"Sell_"&amp;Upgrades!$B$3:$B$13))*Upgrades!$D$3:$D$13))</f>
        <v>416646</v>
      </c>
      <c r="T287" s="66">
        <f>IFERROR(__xludf.DUMMYFUNCTION("IF(COUNTA(Q287:Q1644)=0,"""",IF(REGEXMATCH(INDEX(FILTER(Q$4:Q287,Q$4:Q287&lt;&gt;""""),ROWS(FILTER(Q$4:Q287,Q$4:Q287&lt;&gt;""""))),""^Sell_""),INDEX(FILTER(T$4:T286,Q$4:Q286&lt;&gt;""""),ROWS(FILTER(Q$4:Q286,Q$4:Q286&lt;&gt;""""))),$AD$5+S287))"),416656.0)</f>
        <v>416656</v>
      </c>
      <c r="U287" s="10">
        <f>IFERROR(__xludf.DUMMYFUNCTION("IF(COUNTA(Q287:Q1644)=0,"""",IF(Q287="""",0,IF(REGEXMATCH(Q287,""^Sell_""),-ROUNDDOWN(ROUNDUP(INDEX(Upgrades!$C$3:$C$13,MATCH(SUBSTITUTE(Q287,""Sell_"",""""),Upgrades!$B$3:$B$13,0))*1.15^(COUNTIF(Q$4:Q286,SUBSTITUTE(Q287,""Sell_"",""""))-COUNTIF(Q$4:Q286,"&amp;"""Sell_""&amp;SUBSTITUTE(Q287,""Sell_"",""""))))/2),ROUNDUP(INDEX(Upgrades!$C$3:$C$13,MATCH(Q287,Upgrades!$B$3:$B$13,0))*1.15^(COUNTIF(Q$4:Q286,Q287)-COUNTIF(Q$4:Q286,""Sell_""&amp;Q287))))))"),1.5596029E7)</f>
        <v>15596029</v>
      </c>
      <c r="V287" s="10">
        <f t="shared" si="11"/>
        <v>15596029</v>
      </c>
      <c r="W287" s="68">
        <f t="shared" si="12"/>
        <v>6959.570253</v>
      </c>
      <c r="X287" s="59" t="str">
        <f t="shared" si="13"/>
        <v>1h 55m 59s</v>
      </c>
      <c r="Y287" s="69">
        <f t="shared" si="14"/>
        <v>598459671</v>
      </c>
      <c r="Z287" s="11"/>
      <c r="AG287" s="59"/>
    </row>
    <row r="288">
      <c r="A288" s="8"/>
      <c r="B288" s="56" t="str">
        <f t="shared" si="2"/>
        <v/>
      </c>
      <c r="C288" s="105"/>
      <c r="D288" s="10"/>
      <c r="E288" s="59" t="str">
        <f t="array" ref="E288">IF(COUNTA(C288:C1644)=0,"",SUM((COUNTIF(C$4:C288,Upgrades!$B$3:$B$13)-COUNTIF(C$4:C288,"Sell_"&amp;Upgrades!$B$3:$B$13))*Upgrades!$D$3:$D$13))</f>
        <v/>
      </c>
      <c r="F288" s="66" t="str">
        <f>IFERROR(__xludf.DUMMYFUNCTION("IF(COUNTA(C288:C1644)=0,"""",IF(REGEXMATCH(INDEX(FILTER(C$4:C288,C$4:C288&lt;&gt;""""),ROWS(FILTER(C$4:C288,C$4:C288&lt;&gt;""""))),""^Sell_""),INDEX(FILTER(F$4:F287,C$4:C287&lt;&gt;""""),ROWS(FILTER(C$4:C287,C$4:C287&lt;&gt;""""))),$AC$5+E288))"),"")</f>
        <v/>
      </c>
      <c r="G288" s="10" t="str">
        <f>IFERROR(__xludf.DUMMYFUNCTION("IF(COUNTA(C288:C1644)=0,"""",IF(C288="""",0,IF(REGEXMATCH(C288,""^Sell_""),-ROUNDDOWN(ROUNDUP(INDEX(Upgrades!$C$3:$C$13,MATCH(SUBSTITUTE(C288,""Sell_"",""""),Upgrades!$B$3:$B$13,0))*1.15^(COUNTIF(C$4:C287,SUBSTITUTE(C288,""Sell_"",""""))-COUNTIF(C$4:C287,"&amp;"""Sell_""&amp;SUBSTITUTE(C288,""Sell_"",""""))))/2),ROUNDUP(INDEX(Upgrades!$C$3:$C$13,MATCH(C288,Upgrades!$B$3:$B$13,0))*1.15^(COUNTIF(C$4:C287,C288)-COUNTIF(C$4:C287,""Sell_""&amp;C288))))))"),"")</f>
        <v/>
      </c>
      <c r="H288" s="10" t="str">
        <f t="shared" si="3"/>
        <v/>
      </c>
      <c r="I288" s="68" t="str">
        <f t="shared" si="4"/>
        <v/>
      </c>
      <c r="J288" s="59" t="str">
        <f t="shared" si="5"/>
        <v/>
      </c>
      <c r="K288" s="69" t="str">
        <f t="shared" si="6"/>
        <v/>
      </c>
      <c r="L288" s="60">
        <f t="shared" si="7"/>
        <v>-71.54805</v>
      </c>
      <c r="M288" s="61">
        <f>IFERROR(__xludf.DUMMYFUNCTION("IFS(AND(COUNTA(C288:C1644)=0,COUNTA(Q288:Q1644)=0),"""",OR(AND(K288&gt;=1000000000,OR(Y288&gt;=1000000000,COUNTA(Q288:Q1644)=0)),OR(Y288&gt;=1000000000,AND(COUNTA(C288:C1644)=0,P$3=TRUE))),
ROUNDDOWN((AB$1-AC$1)*MAX(INDEX(T$4:T1644,MATCH(LARGE(FILTER(Y$4:Y1644,Y$4"&amp;":Y1644&lt;1000000000),1),Y$4:Y1644)),INDEX(F$4:F1644,MATCH(LARGE(FILTER(K$4:K1644,K$4:K1644&lt;1000000000),1),K$4:K1644)))),AND(K288&lt;1000000000,COUNTA(C288:C1644)&gt;0,P$3=FALSE),
ROUNDDOWN(INDEX(Y$4:Y1644,MATCH(LARGE(FILTER(W$4:W1644,W$4:W1644&lt;=I288),1),W$4:W1644"&amp;"))+(I288-LARGE(FILTER(W$4:W1644,W$4:W1644&lt;=I288),1))*INDEX(T$4:T1644,MATCH(LARGE(FILTER(W$4:W1644,W$4:W1644&lt;=I288),1),W$4:W1644))-K288),1,
ROUNDDOWN(Y288-INDEX(K$4:K1644,MATCH(LARGE(FILTER(I$4:I1644,I$4:I1644&lt;=W288),1),I$4:I1644))-(W288-LARGE(FILTER(I$4:I"&amp;"1644,I$4:I1644&lt;=W288),1))*INDEX(F$4:F1644,MATCH(LARGE(FILTER(I$4:I1644,I$4:I1644&lt;=W288),1),I$4:I1644))))"),2.9810935E7)</f>
        <v>29810935</v>
      </c>
      <c r="N288" s="60">
        <f t="shared" si="8"/>
        <v>-71.54805</v>
      </c>
      <c r="O288" s="61" t="str">
        <f t="shared" si="9"/>
        <v>29,8M</v>
      </c>
      <c r="P288" s="56">
        <f t="shared" si="10"/>
        <v>16</v>
      </c>
      <c r="Q288" s="105" t="s">
        <v>6</v>
      </c>
      <c r="R288" s="10"/>
      <c r="S288" s="59">
        <f t="array" ref="S288">IF(COUNTA(Q288:Q1644)=0,"",SUM((COUNTIF(Q$4:Q288,Upgrades!$B$3:$B$13)-COUNTIF(Q$4:Q288,"Sell_"&amp;Upgrades!$B$3:$B$13))*Upgrades!$D$3:$D$13))</f>
        <v>416656</v>
      </c>
      <c r="T288" s="66">
        <f>IFERROR(__xludf.DUMMYFUNCTION("IF(COUNTA(Q288:Q1644)=0,"""",IF(REGEXMATCH(INDEX(FILTER(Q$4:Q288,Q$4:Q288&lt;&gt;""""),ROWS(FILTER(Q$4:Q288,Q$4:Q288&lt;&gt;""""))),""^Sell_""),INDEX(FILTER(T$4:T287,Q$4:Q287&lt;&gt;""""),ROWS(FILTER(Q$4:Q287,Q$4:Q287&lt;&gt;""""))),$AD$5+S288))"),416666.0)</f>
        <v>416666</v>
      </c>
      <c r="U288" s="10">
        <f>IFERROR(__xludf.DUMMYFUNCTION("IF(COUNTA(Q288:Q1644)=0,"""",IF(Q288="""",0,IF(REGEXMATCH(Q288,""^Sell_""),-ROUNDDOWN(ROUNDUP(INDEX(Upgrades!$C$3:$C$13,MATCH(SUBSTITUTE(Q288,""Sell_"",""""),Upgrades!$B$3:$B$13,0))*1.15^(COUNTIF(Q$4:Q287,SUBSTITUTE(Q288,""Sell_"",""""))-COUNTIF(Q$4:Q287,"&amp;"""Sell_""&amp;SUBSTITUTE(Q288,""Sell_"",""""))))/2),ROUNDUP(INDEX(Upgrades!$C$3:$C$13,MATCH(Q288,Upgrades!$B$3:$B$13,0))*1.15^(COUNTIF(Q$4:Q287,Q288)-COUNTIF(Q$4:Q287,""Sell_""&amp;Q288))))))"),24412.0)</f>
        <v>24412</v>
      </c>
      <c r="V288" s="10">
        <f t="shared" si="11"/>
        <v>24412</v>
      </c>
      <c r="W288" s="68">
        <f t="shared" si="12"/>
        <v>6959.628843</v>
      </c>
      <c r="X288" s="59" t="str">
        <f t="shared" si="13"/>
        <v>1h 55m 59s</v>
      </c>
      <c r="Y288" s="69">
        <f t="shared" si="14"/>
        <v>598484083</v>
      </c>
      <c r="Z288" s="11"/>
      <c r="AG288" s="59"/>
    </row>
    <row r="289">
      <c r="A289" s="8"/>
      <c r="B289" s="56" t="str">
        <f t="shared" si="2"/>
        <v/>
      </c>
      <c r="C289" s="105"/>
      <c r="D289" s="10"/>
      <c r="E289" s="59" t="str">
        <f t="array" ref="E289">IF(COUNTA(C289:C1644)=0,"",SUM((COUNTIF(C$4:C289,Upgrades!$B$3:$B$13)-COUNTIF(C$4:C289,"Sell_"&amp;Upgrades!$B$3:$B$13))*Upgrades!$D$3:$D$13))</f>
        <v/>
      </c>
      <c r="F289" s="66" t="str">
        <f>IFERROR(__xludf.DUMMYFUNCTION("IF(COUNTA(C289:C1644)=0,"""",IF(REGEXMATCH(INDEX(FILTER(C$4:C289,C$4:C289&lt;&gt;""""),ROWS(FILTER(C$4:C289,C$4:C289&lt;&gt;""""))),""^Sell_""),INDEX(FILTER(F$4:F288,C$4:C288&lt;&gt;""""),ROWS(FILTER(C$4:C288,C$4:C288&lt;&gt;""""))),$AC$5+E289))"),"")</f>
        <v/>
      </c>
      <c r="G289" s="10" t="str">
        <f>IFERROR(__xludf.DUMMYFUNCTION("IF(COUNTA(C289:C1644)=0,"""",IF(C289="""",0,IF(REGEXMATCH(C289,""^Sell_""),-ROUNDDOWN(ROUNDUP(INDEX(Upgrades!$C$3:$C$13,MATCH(SUBSTITUTE(C289,""Sell_"",""""),Upgrades!$B$3:$B$13,0))*1.15^(COUNTIF(C$4:C288,SUBSTITUTE(C289,""Sell_"",""""))-COUNTIF(C$4:C288,"&amp;"""Sell_""&amp;SUBSTITUTE(C289,""Sell_"",""""))))/2),ROUNDUP(INDEX(Upgrades!$C$3:$C$13,MATCH(C289,Upgrades!$B$3:$B$13,0))*1.15^(COUNTIF(C$4:C288,C289)-COUNTIF(C$4:C288,""Sell_""&amp;C289))))))"),"")</f>
        <v/>
      </c>
      <c r="H289" s="10" t="str">
        <f t="shared" si="3"/>
        <v/>
      </c>
      <c r="I289" s="68" t="str">
        <f t="shared" si="4"/>
        <v/>
      </c>
      <c r="J289" s="59" t="str">
        <f t="shared" si="5"/>
        <v/>
      </c>
      <c r="K289" s="69" t="str">
        <f t="shared" si="6"/>
        <v/>
      </c>
      <c r="L289" s="60">
        <f t="shared" si="7"/>
        <v>-71.54805</v>
      </c>
      <c r="M289" s="61">
        <f>IFERROR(__xludf.DUMMYFUNCTION("IFS(AND(COUNTA(C289:C1644)=0,COUNTA(Q289:Q1644)=0),"""",OR(AND(K289&gt;=1000000000,OR(Y289&gt;=1000000000,COUNTA(Q289:Q1644)=0)),OR(Y289&gt;=1000000000,AND(COUNTA(C289:C1644)=0,P$3=TRUE))),
ROUNDDOWN((AB$1-AC$1)*MAX(INDEX(T$4:T1644,MATCH(LARGE(FILTER(Y$4:Y1644,Y$4"&amp;":Y1644&lt;1000000000),1),Y$4:Y1644)),INDEX(F$4:F1644,MATCH(LARGE(FILTER(K$4:K1644,K$4:K1644&lt;1000000000),1),K$4:K1644)))),AND(K289&lt;1000000000,COUNTA(C289:C1644)&gt;0,P$3=FALSE),
ROUNDDOWN(INDEX(Y$4:Y1644,MATCH(LARGE(FILTER(W$4:W1644,W$4:W1644&lt;=I289),1),W$4:W1644"&amp;"))+(I289-LARGE(FILTER(W$4:W1644,W$4:W1644&lt;=I289),1))*INDEX(T$4:T1644,MATCH(LARGE(FILTER(W$4:W1644,W$4:W1644&lt;=I289),1),W$4:W1644))-K289),1,
ROUNDDOWN(Y289-INDEX(K$4:K1644,MATCH(LARGE(FILTER(I$4:I1644,I$4:I1644&lt;=W289),1),I$4:I1644))-(W289-LARGE(FILTER(I$4:I"&amp;"1644,I$4:I1644&lt;=W289),1))*INDEX(F$4:F1644,MATCH(LARGE(FILTER(I$4:I1644,I$4:I1644&lt;=W289),1),I$4:I1644))))"),2.9810935E7)</f>
        <v>29810935</v>
      </c>
      <c r="N289" s="60">
        <f t="shared" si="8"/>
        <v>-71.54805</v>
      </c>
      <c r="O289" s="61" t="str">
        <f t="shared" si="9"/>
        <v>29,8M</v>
      </c>
      <c r="P289" s="56">
        <f t="shared" si="10"/>
        <v>21</v>
      </c>
      <c r="Q289" s="105" t="s">
        <v>3</v>
      </c>
      <c r="R289" s="10"/>
      <c r="S289" s="59">
        <f t="array" ref="S289">IF(COUNTA(Q289:Q1644)=0,"",SUM((COUNTIF(Q$4:Q289,Upgrades!$B$3:$B$13)-COUNTIF(Q$4:Q289,"Sell_"&amp;Upgrades!$B$3:$B$13))*Upgrades!$D$3:$D$13))</f>
        <v>416656.1</v>
      </c>
      <c r="T289" s="66">
        <f>IFERROR(__xludf.DUMMYFUNCTION("IF(COUNTA(Q289:Q1644)=0,"""",IF(REGEXMATCH(INDEX(FILTER(Q$4:Q289,Q$4:Q289&lt;&gt;""""),ROWS(FILTER(Q$4:Q289,Q$4:Q289&lt;&gt;""""))),""^Sell_""),INDEX(FILTER(T$4:T288,Q$4:Q288&lt;&gt;""""),ROWS(FILTER(Q$4:Q288,Q$4:Q288&lt;&gt;""""))),$AD$5+S289))"),416666.1)</f>
        <v>416666.1</v>
      </c>
      <c r="U289" s="10">
        <f>IFERROR(__xludf.DUMMYFUNCTION("IF(COUNTA(Q289:Q1644)=0,"""",IF(Q289="""",0,IF(REGEXMATCH(Q289,""^Sell_""),-ROUNDDOWN(ROUNDUP(INDEX(Upgrades!$C$3:$C$13,MATCH(SUBSTITUTE(Q289,""Sell_"",""""),Upgrades!$B$3:$B$13,0))*1.15^(COUNTIF(Q$4:Q288,SUBSTITUTE(Q289,""Sell_"",""""))-COUNTIF(Q$4:Q288,"&amp;"""Sell_""&amp;SUBSTITUTE(Q289,""Sell_"",""""))))/2),ROUNDUP(INDEX(Upgrades!$C$3:$C$13,MATCH(Q289,Upgrades!$B$3:$B$13,0))*1.15^(COUNTIF(Q$4:Q288,Q289)-COUNTIF(Q$4:Q288,""Sell_""&amp;Q289))))))"),246.0)</f>
        <v>246</v>
      </c>
      <c r="V289" s="10">
        <f t="shared" si="11"/>
        <v>246</v>
      </c>
      <c r="W289" s="68">
        <f t="shared" si="12"/>
        <v>6959.629434</v>
      </c>
      <c r="X289" s="59" t="str">
        <f t="shared" si="13"/>
        <v>1h 55m 59s</v>
      </c>
      <c r="Y289" s="69">
        <f t="shared" si="14"/>
        <v>598484329</v>
      </c>
      <c r="Z289" s="11"/>
      <c r="AG289" s="59"/>
    </row>
    <row r="290">
      <c r="A290" s="8"/>
      <c r="B290" s="56" t="str">
        <f t="shared" si="2"/>
        <v/>
      </c>
      <c r="C290" s="105"/>
      <c r="D290" s="10"/>
      <c r="E290" s="59" t="str">
        <f t="array" ref="E290">IF(COUNTA(C290:C1644)=0,"",SUM((COUNTIF(C$4:C290,Upgrades!$B$3:$B$13)-COUNTIF(C$4:C290,"Sell_"&amp;Upgrades!$B$3:$B$13))*Upgrades!$D$3:$D$13))</f>
        <v/>
      </c>
      <c r="F290" s="66" t="str">
        <f>IFERROR(__xludf.DUMMYFUNCTION("IF(COUNTA(C290:C1644)=0,"""",IF(REGEXMATCH(INDEX(FILTER(C$4:C290,C$4:C290&lt;&gt;""""),ROWS(FILTER(C$4:C290,C$4:C290&lt;&gt;""""))),""^Sell_""),INDEX(FILTER(F$4:F289,C$4:C289&lt;&gt;""""),ROWS(FILTER(C$4:C289,C$4:C289&lt;&gt;""""))),$AC$5+E290))"),"")</f>
        <v/>
      </c>
      <c r="G290" s="10" t="str">
        <f>IFERROR(__xludf.DUMMYFUNCTION("IF(COUNTA(C290:C1644)=0,"""",IF(C290="""",0,IF(REGEXMATCH(C290,""^Sell_""),-ROUNDDOWN(ROUNDUP(INDEX(Upgrades!$C$3:$C$13,MATCH(SUBSTITUTE(C290,""Sell_"",""""),Upgrades!$B$3:$B$13,0))*1.15^(COUNTIF(C$4:C289,SUBSTITUTE(C290,""Sell_"",""""))-COUNTIF(C$4:C289,"&amp;"""Sell_""&amp;SUBSTITUTE(C290,""Sell_"",""""))))/2),ROUNDUP(INDEX(Upgrades!$C$3:$C$13,MATCH(C290,Upgrades!$B$3:$B$13,0))*1.15^(COUNTIF(C$4:C289,C290)-COUNTIF(C$4:C289,""Sell_""&amp;C290))))))"),"")</f>
        <v/>
      </c>
      <c r="H290" s="10" t="str">
        <f t="shared" si="3"/>
        <v/>
      </c>
      <c r="I290" s="68" t="str">
        <f t="shared" si="4"/>
        <v/>
      </c>
      <c r="J290" s="59" t="str">
        <f t="shared" si="5"/>
        <v/>
      </c>
      <c r="K290" s="69" t="str">
        <f t="shared" si="6"/>
        <v/>
      </c>
      <c r="L290" s="60">
        <f t="shared" si="7"/>
        <v>-71.54807</v>
      </c>
      <c r="M290" s="61">
        <f>IFERROR(__xludf.DUMMYFUNCTION("IFS(AND(COUNTA(C290:C1644)=0,COUNTA(Q290:Q1644)=0),"""",OR(AND(K290&gt;=1000000000,OR(Y290&gt;=1000000000,COUNTA(Q290:Q1644)=0)),OR(Y290&gt;=1000000000,AND(COUNTA(C290:C1644)=0,P$3=TRUE))),
ROUNDDOWN((AB$1-AC$1)*MAX(INDEX(T$4:T1644,MATCH(LARGE(FILTER(Y$4:Y1644,Y$4"&amp;":Y1644&lt;1000000000),1),Y$4:Y1644)),INDEX(F$4:F1644,MATCH(LARGE(FILTER(K$4:K1644,K$4:K1644&lt;1000000000),1),K$4:K1644)))),AND(K290&lt;1000000000,COUNTA(C290:C1644)&gt;0,P$3=FALSE),
ROUNDDOWN(INDEX(Y$4:Y1644,MATCH(LARGE(FILTER(W$4:W1644,W$4:W1644&lt;=I290),1),W$4:W1644"&amp;"))+(I290-LARGE(FILTER(W$4:W1644,W$4:W1644&lt;=I290),1))*INDEX(T$4:T1644,MATCH(LARGE(FILTER(W$4:W1644,W$4:W1644&lt;=I290),1),W$4:W1644))-K290),1,
ROUNDDOWN(Y290-INDEX(K$4:K1644,MATCH(LARGE(FILTER(I$4:I1644,I$4:I1644&lt;=W290),1),I$4:I1644))-(W290-LARGE(FILTER(I$4:I"&amp;"1644,I$4:I1644&lt;=W290),1))*INDEX(F$4:F1644,MATCH(LARGE(FILTER(I$4:I1644,I$4:I1644&lt;=W290),1),I$4:I1644))))"),2.981094E7)</f>
        <v>29810940</v>
      </c>
      <c r="N290" s="60">
        <f t="shared" si="8"/>
        <v>-71.54807</v>
      </c>
      <c r="O290" s="61" t="str">
        <f t="shared" si="9"/>
        <v>29,8M</v>
      </c>
      <c r="P290" s="56">
        <f t="shared" si="10"/>
        <v>14</v>
      </c>
      <c r="Q290" s="105" t="s">
        <v>8</v>
      </c>
      <c r="R290" s="10"/>
      <c r="S290" s="59">
        <f t="array" ref="S290">IF(COUNTA(Q290:Q1644)=0,"",SUM((COUNTIF(Q$4:Q290,Upgrades!$B$3:$B$13)-COUNTIF(Q$4:Q290,"Sell_"&amp;Upgrades!$B$3:$B$13))*Upgrades!$D$3:$D$13))</f>
        <v>416756.1</v>
      </c>
      <c r="T290" s="66">
        <f>IFERROR(__xludf.DUMMYFUNCTION("IF(COUNTA(Q290:Q1644)=0,"""",IF(REGEXMATCH(INDEX(FILTER(Q$4:Q290,Q$4:Q290&lt;&gt;""""),ROWS(FILTER(Q$4:Q290,Q$4:Q290&lt;&gt;""""))),""^Sell_""),INDEX(FILTER(T$4:T289,Q$4:Q289&lt;&gt;""""),ROWS(FILTER(Q$4:Q289,Q$4:Q289&lt;&gt;""""))),$AD$5+S290))"),416766.1)</f>
        <v>416766.1</v>
      </c>
      <c r="U290" s="10">
        <f>IFERROR(__xludf.DUMMYFUNCTION("IF(COUNTA(Q290:Q1644)=0,"""",IF(Q290="""",0,IF(REGEXMATCH(Q290,""^Sell_""),-ROUNDDOWN(ROUNDUP(INDEX(Upgrades!$C$3:$C$13,MATCH(SUBSTITUTE(Q290,""Sell_"",""""),Upgrades!$B$3:$B$13,0))*1.15^(COUNTIF(Q$4:Q289,SUBSTITUTE(Q290,""Sell_"",""""))-COUNTIF(Q$4:Q289,"&amp;"""Sell_""&amp;SUBSTITUTE(Q290,""Sell_"",""""))))/2),ROUNDUP(INDEX(Upgrades!$C$3:$C$13,MATCH(Q290,Upgrades!$B$3:$B$13,0))*1.15^(COUNTIF(Q$4:Q289,Q290)-COUNTIF(Q$4:Q289,""Sell_""&amp;Q290))))))"),246112.0)</f>
        <v>246112</v>
      </c>
      <c r="V290" s="10">
        <f t="shared" si="11"/>
        <v>246112</v>
      </c>
      <c r="W290" s="68">
        <f t="shared" si="12"/>
        <v>6960.220103</v>
      </c>
      <c r="X290" s="59" t="str">
        <f t="shared" si="13"/>
        <v>1h 56m 00s</v>
      </c>
      <c r="Y290" s="69">
        <f t="shared" si="14"/>
        <v>598730441</v>
      </c>
      <c r="Z290" s="11"/>
      <c r="AG290" s="59"/>
    </row>
    <row r="291">
      <c r="A291" s="8"/>
      <c r="B291" s="56" t="str">
        <f t="shared" si="2"/>
        <v/>
      </c>
      <c r="C291" s="105"/>
      <c r="D291" s="10"/>
      <c r="E291" s="59" t="str">
        <f t="array" ref="E291">IF(COUNTA(C291:C1644)=0,"",SUM((COUNTIF(C$4:C291,Upgrades!$B$3:$B$13)-COUNTIF(C$4:C291,"Sell_"&amp;Upgrades!$B$3:$B$13))*Upgrades!$D$3:$D$13))</f>
        <v/>
      </c>
      <c r="F291" s="66" t="str">
        <f>IFERROR(__xludf.DUMMYFUNCTION("IF(COUNTA(C291:C1644)=0,"""",IF(REGEXMATCH(INDEX(FILTER(C$4:C291,C$4:C291&lt;&gt;""""),ROWS(FILTER(C$4:C291,C$4:C291&lt;&gt;""""))),""^Sell_""),INDEX(FILTER(F$4:F290,C$4:C290&lt;&gt;""""),ROWS(FILTER(C$4:C290,C$4:C290&lt;&gt;""""))),$AC$5+E291))"),"")</f>
        <v/>
      </c>
      <c r="G291" s="10" t="str">
        <f>IFERROR(__xludf.DUMMYFUNCTION("IF(COUNTA(C291:C1644)=0,"""",IF(C291="""",0,IF(REGEXMATCH(C291,""^Sell_""),-ROUNDDOWN(ROUNDUP(INDEX(Upgrades!$C$3:$C$13,MATCH(SUBSTITUTE(C291,""Sell_"",""""),Upgrades!$B$3:$B$13,0))*1.15^(COUNTIF(C$4:C290,SUBSTITUTE(C291,""Sell_"",""""))-COUNTIF(C$4:C290,"&amp;"""Sell_""&amp;SUBSTITUTE(C291,""Sell_"",""""))))/2),ROUNDUP(INDEX(Upgrades!$C$3:$C$13,MATCH(C291,Upgrades!$B$3:$B$13,0))*1.15^(COUNTIF(C$4:C290,C291)-COUNTIF(C$4:C290,""Sell_""&amp;C291))))))"),"")</f>
        <v/>
      </c>
      <c r="H291" s="10" t="str">
        <f t="shared" si="3"/>
        <v/>
      </c>
      <c r="I291" s="68" t="str">
        <f t="shared" si="4"/>
        <v/>
      </c>
      <c r="J291" s="59" t="str">
        <f t="shared" si="5"/>
        <v/>
      </c>
      <c r="K291" s="69" t="str">
        <f t="shared" si="6"/>
        <v/>
      </c>
      <c r="L291" s="60">
        <f t="shared" si="7"/>
        <v>-71.54807</v>
      </c>
      <c r="M291" s="61">
        <f>IFERROR(__xludf.DUMMYFUNCTION("IFS(AND(COUNTA(C291:C1644)=0,COUNTA(Q291:Q1644)=0),"""",OR(AND(K291&gt;=1000000000,OR(Y291&gt;=1000000000,COUNTA(Q291:Q1644)=0)),OR(Y291&gt;=1000000000,AND(COUNTA(C291:C1644)=0,P$3=TRUE))),
ROUNDDOWN((AB$1-AC$1)*MAX(INDEX(T$4:T1644,MATCH(LARGE(FILTER(Y$4:Y1644,Y$4"&amp;":Y1644&lt;1000000000),1),Y$4:Y1644)),INDEX(F$4:F1644,MATCH(LARGE(FILTER(K$4:K1644,K$4:K1644&lt;1000000000),1),K$4:K1644)))),AND(K291&lt;1000000000,COUNTA(C291:C1644)&gt;0,P$3=FALSE),
ROUNDDOWN(INDEX(Y$4:Y1644,MATCH(LARGE(FILTER(W$4:W1644,W$4:W1644&lt;=I291),1),W$4:W1644"&amp;"))+(I291-LARGE(FILTER(W$4:W1644,W$4:W1644&lt;=I291),1))*INDEX(T$4:T1644,MATCH(LARGE(FILTER(W$4:W1644,W$4:W1644&lt;=I291),1),W$4:W1644))-K291),1,
ROUNDDOWN(Y291-INDEX(K$4:K1644,MATCH(LARGE(FILTER(I$4:I1644,I$4:I1644&lt;=W291),1),I$4:I1644))-(W291-LARGE(FILTER(I$4:I"&amp;"1644,I$4:I1644&lt;=W291),1))*INDEX(F$4:F1644,MATCH(LARGE(FILTER(I$4:I1644,I$4:I1644&lt;=W291),1),I$4:I1644))))"),2.9810941E7)</f>
        <v>29810941</v>
      </c>
      <c r="N291" s="60">
        <f t="shared" si="8"/>
        <v>-71.54807</v>
      </c>
      <c r="O291" s="61" t="str">
        <f t="shared" si="9"/>
        <v>29,8M</v>
      </c>
      <c r="P291" s="56">
        <f t="shared" si="10"/>
        <v>19</v>
      </c>
      <c r="Q291" s="105" t="s">
        <v>4</v>
      </c>
      <c r="R291" s="10"/>
      <c r="S291" s="59">
        <f t="array" ref="S291">IF(COUNTA(Q291:Q1644)=0,"",SUM((COUNTIF(Q$4:Q291,Upgrades!$B$3:$B$13)-COUNTIF(Q$4:Q291,"Sell_"&amp;Upgrades!$B$3:$B$13))*Upgrades!$D$3:$D$13))</f>
        <v>416756.6</v>
      </c>
      <c r="T291" s="66">
        <f>IFERROR(__xludf.DUMMYFUNCTION("IF(COUNTA(Q291:Q1644)=0,"""",IF(REGEXMATCH(INDEX(FILTER(Q$4:Q291,Q$4:Q291&lt;&gt;""""),ROWS(FILTER(Q$4:Q291,Q$4:Q291&lt;&gt;""""))),""^Sell_""),INDEX(FILTER(T$4:T290,Q$4:Q290&lt;&gt;""""),ROWS(FILTER(Q$4:Q290,Q$4:Q290&lt;&gt;""""))),$AD$5+S291))"),416766.6)</f>
        <v>416766.6</v>
      </c>
      <c r="U291" s="10">
        <f>IFERROR(__xludf.DUMMYFUNCTION("IF(COUNTA(Q291:Q1644)=0,"""",IF(Q291="""",0,IF(REGEXMATCH(Q291,""^Sell_""),-ROUNDDOWN(ROUNDUP(INDEX(Upgrades!$C$3:$C$13,MATCH(SUBSTITUTE(Q291,""Sell_"",""""),Upgrades!$B$3:$B$13,0))*1.15^(COUNTIF(Q$4:Q290,SUBSTITUTE(Q291,""Sell_"",""""))-COUNTIF(Q$4:Q290,"&amp;"""Sell_""&amp;SUBSTITUTE(Q291,""Sell_"",""""))))/2),ROUNDUP(INDEX(Upgrades!$C$3:$C$13,MATCH(Q291,Upgrades!$B$3:$B$13,0))*1.15^(COUNTIF(Q$4:Q290,Q291)-COUNTIF(Q$4:Q290,""Sell_""&amp;Q291))))))"),1238.0)</f>
        <v>1238</v>
      </c>
      <c r="V291" s="10">
        <f t="shared" si="11"/>
        <v>1238</v>
      </c>
      <c r="W291" s="68">
        <f t="shared" si="12"/>
        <v>6960.223074</v>
      </c>
      <c r="X291" s="59" t="str">
        <f t="shared" si="13"/>
        <v>1h 56m 00s</v>
      </c>
      <c r="Y291" s="69">
        <f t="shared" si="14"/>
        <v>598731679</v>
      </c>
      <c r="Z291" s="11"/>
      <c r="AG291" s="59"/>
    </row>
    <row r="292">
      <c r="A292" s="8"/>
      <c r="B292" s="56" t="str">
        <f t="shared" si="2"/>
        <v/>
      </c>
      <c r="C292" s="105"/>
      <c r="D292" s="10"/>
      <c r="E292" s="59" t="str">
        <f t="array" ref="E292">IF(COUNTA(C292:C1644)=0,"",SUM((COUNTIF(C$4:C292,Upgrades!$B$3:$B$13)-COUNTIF(C$4:C292,"Sell_"&amp;Upgrades!$B$3:$B$13))*Upgrades!$D$3:$D$13))</f>
        <v/>
      </c>
      <c r="F292" s="66" t="str">
        <f>IFERROR(__xludf.DUMMYFUNCTION("IF(COUNTA(C292:C1644)=0,"""",IF(REGEXMATCH(INDEX(FILTER(C$4:C292,C$4:C292&lt;&gt;""""),ROWS(FILTER(C$4:C292,C$4:C292&lt;&gt;""""))),""^Sell_""),INDEX(FILTER(F$4:F291,C$4:C291&lt;&gt;""""),ROWS(FILTER(C$4:C291,C$4:C291&lt;&gt;""""))),$AC$5+E292))"),"")</f>
        <v/>
      </c>
      <c r="G292" s="10" t="str">
        <f>IFERROR(__xludf.DUMMYFUNCTION("IF(COUNTA(C292:C1644)=0,"""",IF(C292="""",0,IF(REGEXMATCH(C292,""^Sell_""),-ROUNDDOWN(ROUNDUP(INDEX(Upgrades!$C$3:$C$13,MATCH(SUBSTITUTE(C292,""Sell_"",""""),Upgrades!$B$3:$B$13,0))*1.15^(COUNTIF(C$4:C291,SUBSTITUTE(C292,""Sell_"",""""))-COUNTIF(C$4:C291,"&amp;"""Sell_""&amp;SUBSTITUTE(C292,""Sell_"",""""))))/2),ROUNDUP(INDEX(Upgrades!$C$3:$C$13,MATCH(C292,Upgrades!$B$3:$B$13,0))*1.15^(COUNTIF(C$4:C291,C292)-COUNTIF(C$4:C291,""Sell_""&amp;C292))))))"),"")</f>
        <v/>
      </c>
      <c r="H292" s="10" t="str">
        <f t="shared" si="3"/>
        <v/>
      </c>
      <c r="I292" s="68" t="str">
        <f t="shared" si="4"/>
        <v/>
      </c>
      <c r="J292" s="59" t="str">
        <f t="shared" si="5"/>
        <v/>
      </c>
      <c r="K292" s="69" t="str">
        <f t="shared" si="6"/>
        <v/>
      </c>
      <c r="L292" s="60">
        <f t="shared" si="7"/>
        <v>-71.54875</v>
      </c>
      <c r="M292" s="61">
        <f>IFERROR(__xludf.DUMMYFUNCTION("IFS(AND(COUNTA(C292:C1644)=0,COUNTA(Q292:Q1644)=0),"""",OR(AND(K292&gt;=1000000000,OR(Y292&gt;=1000000000,COUNTA(Q292:Q1644)=0)),OR(Y292&gt;=1000000000,AND(COUNTA(C292:C1644)=0,P$3=TRUE))),
ROUNDDOWN((AB$1-AC$1)*MAX(INDEX(T$4:T1644,MATCH(LARGE(FILTER(Y$4:Y1644,Y$4"&amp;":Y1644&lt;1000000000),1),Y$4:Y1644)),INDEX(F$4:F1644,MATCH(LARGE(FILTER(K$4:K1644,K$4:K1644&lt;1000000000),1),K$4:K1644)))),AND(K292&lt;1000000000,COUNTA(C292:C1644)&gt;0,P$3=FALSE),
ROUNDDOWN(INDEX(Y$4:Y1644,MATCH(LARGE(FILTER(W$4:W1644,W$4:W1644&lt;=I292),1),W$4:W1644"&amp;"))+(I292-LARGE(FILTER(W$4:W1644,W$4:W1644&lt;=I292),1))*INDEX(T$4:T1644,MATCH(LARGE(FILTER(W$4:W1644,W$4:W1644&lt;=I292),1),W$4:W1644))-K292),1,
ROUNDDOWN(Y292-INDEX(K$4:K1644,MATCH(LARGE(FILTER(I$4:I1644,I$4:I1644&lt;=W292),1),I$4:I1644))-(W292-LARGE(FILTER(I$4:I"&amp;"1644,I$4:I1644&lt;=W292),1))*INDEX(F$4:F1644,MATCH(LARGE(FILTER(I$4:I1644,I$4:I1644&lt;=W292),1),I$4:I1644))))"),2.9811225E7)</f>
        <v>29811225</v>
      </c>
      <c r="N292" s="60">
        <f t="shared" si="8"/>
        <v>-71.54875</v>
      </c>
      <c r="O292" s="61" t="str">
        <f t="shared" si="9"/>
        <v>29,8M</v>
      </c>
      <c r="P292" s="56">
        <f t="shared" si="10"/>
        <v>13</v>
      </c>
      <c r="Q292" s="105" t="s">
        <v>9</v>
      </c>
      <c r="R292" s="10"/>
      <c r="S292" s="59">
        <f t="array" ref="S292">IF(COUNTA(Q292:Q1644)=0,"",SUM((COUNTIF(Q$4:Q292,Upgrades!$B$3:$B$13)-COUNTIF(Q$4:Q292,"Sell_"&amp;Upgrades!$B$3:$B$13))*Upgrades!$D$3:$D$13))</f>
        <v>417156.6</v>
      </c>
      <c r="T292" s="66">
        <f>IFERROR(__xludf.DUMMYFUNCTION("IF(COUNTA(Q292:Q1644)=0,"""",IF(REGEXMATCH(INDEX(FILTER(Q$4:Q292,Q$4:Q292&lt;&gt;""""),ROWS(FILTER(Q$4:Q292,Q$4:Q292&lt;&gt;""""))),""^Sell_""),INDEX(FILTER(T$4:T291,Q$4:Q291&lt;&gt;""""),ROWS(FILTER(Q$4:Q291,Q$4:Q291&lt;&gt;""""))),$AD$5+S292))"),417166.6)</f>
        <v>417166.6</v>
      </c>
      <c r="U292" s="10">
        <f>IFERROR(__xludf.DUMMYFUNCTION("IF(COUNTA(Q292:Q1644)=0,"""",IF(Q292="""",0,IF(REGEXMATCH(Q292,""^Sell_""),-ROUNDDOWN(ROUNDUP(INDEX(Upgrades!$C$3:$C$13,MATCH(SUBSTITUTE(Q292,""Sell_"",""""),Upgrades!$B$3:$B$13,0))*1.15^(COUNTIF(Q$4:Q291,SUBSTITUTE(Q292,""Sell_"",""""))-COUNTIF(Q$4:Q291,"&amp;"""Sell_""&amp;SUBSTITUTE(Q292,""Sell_"",""""))))/2),ROUNDUP(INDEX(Upgrades!$C$3:$C$13,MATCH(Q292,Upgrades!$B$3:$B$13,0))*1.15^(COUNTIF(Q$4:Q291,Q292)-COUNTIF(Q$4:Q291,""Sell_""&amp;Q292))))))"),1070051.0)</f>
        <v>1070051</v>
      </c>
      <c r="V292" s="10">
        <f t="shared" si="11"/>
        <v>1070051</v>
      </c>
      <c r="W292" s="68">
        <f t="shared" si="12"/>
        <v>6962.79058</v>
      </c>
      <c r="X292" s="59" t="str">
        <f t="shared" si="13"/>
        <v>1h 56m 02s</v>
      </c>
      <c r="Y292" s="69">
        <f t="shared" si="14"/>
        <v>599801730</v>
      </c>
      <c r="Z292" s="11"/>
      <c r="AG292" s="59"/>
    </row>
    <row r="293">
      <c r="A293" s="8"/>
      <c r="B293" s="56" t="str">
        <f t="shared" si="2"/>
        <v/>
      </c>
      <c r="C293" s="105"/>
      <c r="D293" s="10"/>
      <c r="E293" s="59" t="str">
        <f t="array" ref="E293">IF(COUNTA(C293:C1644)=0,"",SUM((COUNTIF(C$4:C293,Upgrades!$B$3:$B$13)-COUNTIF(C$4:C293,"Sell_"&amp;Upgrades!$B$3:$B$13))*Upgrades!$D$3:$D$13))</f>
        <v/>
      </c>
      <c r="F293" s="66" t="str">
        <f>IFERROR(__xludf.DUMMYFUNCTION("IF(COUNTA(C293:C1644)=0,"""",IF(REGEXMATCH(INDEX(FILTER(C$4:C293,C$4:C293&lt;&gt;""""),ROWS(FILTER(C$4:C293,C$4:C293&lt;&gt;""""))),""^Sell_""),INDEX(FILTER(F$4:F292,C$4:C292&lt;&gt;""""),ROWS(FILTER(C$4:C292,C$4:C292&lt;&gt;""""))),$AC$5+E293))"),"")</f>
        <v/>
      </c>
      <c r="G293" s="10" t="str">
        <f>IFERROR(__xludf.DUMMYFUNCTION("IF(COUNTA(C293:C1644)=0,"""",IF(C293="""",0,IF(REGEXMATCH(C293,""^Sell_""),-ROUNDDOWN(ROUNDUP(INDEX(Upgrades!$C$3:$C$13,MATCH(SUBSTITUTE(C293,""Sell_"",""""),Upgrades!$B$3:$B$13,0))*1.15^(COUNTIF(C$4:C292,SUBSTITUTE(C293,""Sell_"",""""))-COUNTIF(C$4:C292,"&amp;"""Sell_""&amp;SUBSTITUTE(C293,""Sell_"",""""))))/2),ROUNDUP(INDEX(Upgrades!$C$3:$C$13,MATCH(C293,Upgrades!$B$3:$B$13,0))*1.15^(COUNTIF(C$4:C292,C293)-COUNTIF(C$4:C292,""Sell_""&amp;C293))))))"),"")</f>
        <v/>
      </c>
      <c r="H293" s="10" t="str">
        <f t="shared" si="3"/>
        <v/>
      </c>
      <c r="I293" s="68" t="str">
        <f t="shared" si="4"/>
        <v/>
      </c>
      <c r="J293" s="59" t="str">
        <f t="shared" si="5"/>
        <v/>
      </c>
      <c r="K293" s="69" t="str">
        <f t="shared" si="6"/>
        <v/>
      </c>
      <c r="L293" s="60">
        <f t="shared" si="7"/>
        <v>-71.54907</v>
      </c>
      <c r="M293" s="61">
        <f>IFERROR(__xludf.DUMMYFUNCTION("IFS(AND(COUNTA(C293:C1644)=0,COUNTA(Q293:Q1644)=0),"""",OR(AND(K293&gt;=1000000000,OR(Y293&gt;=1000000000,COUNTA(Q293:Q1644)=0)),OR(Y293&gt;=1000000000,AND(COUNTA(C293:C1644)=0,P$3=TRUE))),
ROUNDDOWN((AB$1-AC$1)*MAX(INDEX(T$4:T1644,MATCH(LARGE(FILTER(Y$4:Y1644,Y$4"&amp;":Y1644&lt;1000000000),1),Y$4:Y1644)),INDEX(F$4:F1644,MATCH(LARGE(FILTER(K$4:K1644,K$4:K1644&lt;1000000000),1),K$4:K1644)))),AND(K293&lt;1000000000,COUNTA(C293:C1644)&gt;0,P$3=FALSE),
ROUNDDOWN(INDEX(Y$4:Y1644,MATCH(LARGE(FILTER(W$4:W1644,W$4:W1644&lt;=I293),1),W$4:W1644"&amp;"))+(I293-LARGE(FILTER(W$4:W1644,W$4:W1644&lt;=I293),1))*INDEX(T$4:T1644,MATCH(LARGE(FILTER(W$4:W1644,W$4:W1644&lt;=I293),1),W$4:W1644))-K293),1,
ROUNDDOWN(Y293-INDEX(K$4:K1644,MATCH(LARGE(FILTER(I$4:I1644,I$4:I1644&lt;=W293),1),I$4:I1644))-(W293-LARGE(FILTER(I$4:I"&amp;"1644,I$4:I1644&lt;=W293),1))*INDEX(F$4:F1644,MATCH(LARGE(FILTER(I$4:I1644,I$4:I1644&lt;=W293),1),I$4:I1644))))"),2.9811356E7)</f>
        <v>29811356</v>
      </c>
      <c r="N293" s="60">
        <f t="shared" si="8"/>
        <v>-71.54907</v>
      </c>
      <c r="O293" s="61" t="str">
        <f t="shared" si="9"/>
        <v>29,8M</v>
      </c>
      <c r="P293" s="56">
        <f t="shared" si="10"/>
        <v>18</v>
      </c>
      <c r="Q293" s="105" t="s">
        <v>7</v>
      </c>
      <c r="R293" s="10"/>
      <c r="S293" s="59">
        <f t="array" ref="S293">IF(COUNTA(Q293:Q1644)=0,"",SUM((COUNTIF(Q$4:Q293,Upgrades!$B$3:$B$13)-COUNTIF(Q$4:Q293,"Sell_"&amp;Upgrades!$B$3:$B$13))*Upgrades!$D$3:$D$13))</f>
        <v>417196.6</v>
      </c>
      <c r="T293" s="66">
        <f>IFERROR(__xludf.DUMMYFUNCTION("IF(COUNTA(Q293:Q1644)=0,"""",IF(REGEXMATCH(INDEX(FILTER(Q$4:Q293,Q$4:Q293&lt;&gt;""""),ROWS(FILTER(Q$4:Q293,Q$4:Q293&lt;&gt;""""))),""^Sell_""),INDEX(FILTER(T$4:T292,Q$4:Q292&lt;&gt;""""),ROWS(FILTER(Q$4:Q292,Q$4:Q292&lt;&gt;""""))),$AD$5+S293))"),417206.6)</f>
        <v>417206.6</v>
      </c>
      <c r="U293" s="10">
        <f>IFERROR(__xludf.DUMMYFUNCTION("IF(COUNTA(Q293:Q1644)=0,"""",IF(Q293="""",0,IF(REGEXMATCH(Q293,""^Sell_""),-ROUNDDOWN(ROUNDUP(INDEX(Upgrades!$C$3:$C$13,MATCH(SUBSTITUTE(Q293,""Sell_"",""""),Upgrades!$B$3:$B$13,0))*1.15^(COUNTIF(Q$4:Q292,SUBSTITUTE(Q293,""Sell_"",""""))-COUNTIF(Q$4:Q292,"&amp;"""Sell_""&amp;SUBSTITUTE(Q293,""Sell_"",""""))))/2),ROUNDUP(INDEX(Upgrades!$C$3:$C$13,MATCH(Q293,Upgrades!$B$3:$B$13,0))*1.15^(COUNTIF(Q$4:Q292,Q293)-COUNTIF(Q$4:Q292,""Sell_""&amp;Q293))))))"),107613.0)</f>
        <v>107613</v>
      </c>
      <c r="V293" s="10">
        <f t="shared" si="11"/>
        <v>107613</v>
      </c>
      <c r="W293" s="68">
        <f t="shared" si="12"/>
        <v>6963.048542</v>
      </c>
      <c r="X293" s="59" t="str">
        <f t="shared" si="13"/>
        <v>1h 56m 03s</v>
      </c>
      <c r="Y293" s="69">
        <f t="shared" si="14"/>
        <v>599909343</v>
      </c>
      <c r="Z293" s="11"/>
      <c r="AG293" s="59"/>
    </row>
    <row r="294">
      <c r="A294" s="8"/>
      <c r="B294" s="56" t="str">
        <f t="shared" si="2"/>
        <v/>
      </c>
      <c r="C294" s="105"/>
      <c r="D294" s="10"/>
      <c r="E294" s="59" t="str">
        <f t="array" ref="E294">IF(COUNTA(C294:C1644)=0,"",SUM((COUNTIF(C$4:C294,Upgrades!$B$3:$B$13)-COUNTIF(C$4:C294,"Sell_"&amp;Upgrades!$B$3:$B$13))*Upgrades!$D$3:$D$13))</f>
        <v/>
      </c>
      <c r="F294" s="66" t="str">
        <f>IFERROR(__xludf.DUMMYFUNCTION("IF(COUNTA(C294:C1644)=0,"""",IF(REGEXMATCH(INDEX(FILTER(C$4:C294,C$4:C294&lt;&gt;""""),ROWS(FILTER(C$4:C294,C$4:C294&lt;&gt;""""))),""^Sell_""),INDEX(FILTER(F$4:F293,C$4:C293&lt;&gt;""""),ROWS(FILTER(C$4:C293,C$4:C293&lt;&gt;""""))),$AC$5+E294))"),"")</f>
        <v/>
      </c>
      <c r="G294" s="10" t="str">
        <f>IFERROR(__xludf.DUMMYFUNCTION("IF(COUNTA(C294:C1644)=0,"""",IF(C294="""",0,IF(REGEXMATCH(C294,""^Sell_""),-ROUNDDOWN(ROUNDUP(INDEX(Upgrades!$C$3:$C$13,MATCH(SUBSTITUTE(C294,""Sell_"",""""),Upgrades!$B$3:$B$13,0))*1.15^(COUNTIF(C$4:C293,SUBSTITUTE(C294,""Sell_"",""""))-COUNTIF(C$4:C293,"&amp;"""Sell_""&amp;SUBSTITUTE(C294,""Sell_"",""""))))/2),ROUNDUP(INDEX(Upgrades!$C$3:$C$13,MATCH(C294,Upgrades!$B$3:$B$13,0))*1.15^(COUNTIF(C$4:C293,C294)-COUNTIF(C$4:C293,""Sell_""&amp;C294))))))"),"")</f>
        <v/>
      </c>
      <c r="H294" s="10" t="str">
        <f t="shared" si="3"/>
        <v/>
      </c>
      <c r="I294" s="68" t="str">
        <f t="shared" si="4"/>
        <v/>
      </c>
      <c r="J294" s="59" t="str">
        <f t="shared" si="5"/>
        <v/>
      </c>
      <c r="K294" s="69" t="str">
        <f t="shared" si="6"/>
        <v/>
      </c>
      <c r="L294" s="60">
        <f t="shared" si="7"/>
        <v>-71.5491</v>
      </c>
      <c r="M294" s="61">
        <f>IFERROR(__xludf.DUMMYFUNCTION("IFS(AND(COUNTA(C294:C1644)=0,COUNTA(Q294:Q1644)=0),"""",OR(AND(K294&gt;=1000000000,OR(Y294&gt;=1000000000,COUNTA(Q294:Q1644)=0)),OR(Y294&gt;=1000000000,AND(COUNTA(C294:C1644)=0,P$3=TRUE))),
ROUNDDOWN((AB$1-AC$1)*MAX(INDEX(T$4:T1644,MATCH(LARGE(FILTER(Y$4:Y1644,Y$4"&amp;":Y1644&lt;1000000000),1),Y$4:Y1644)),INDEX(F$4:F1644,MATCH(LARGE(FILTER(K$4:K1644,K$4:K1644&lt;1000000000),1),K$4:K1644)))),AND(K294&lt;1000000000,COUNTA(C294:C1644)&gt;0,P$3=FALSE),
ROUNDDOWN(INDEX(Y$4:Y1644,MATCH(LARGE(FILTER(W$4:W1644,W$4:W1644&lt;=I294),1),W$4:W1644"&amp;"))+(I294-LARGE(FILTER(W$4:W1644,W$4:W1644&lt;=I294),1))*INDEX(T$4:T1644,MATCH(LARGE(FILTER(W$4:W1644,W$4:W1644&lt;=I294),1),W$4:W1644))-K294),1,
ROUNDDOWN(Y294-INDEX(K$4:K1644,MATCH(LARGE(FILTER(I$4:I1644,I$4:I1644&lt;=W294),1),I$4:I1644))-(W294-LARGE(FILTER(I$4:I"&amp;"1644,I$4:I1644&lt;=W294),1))*INDEX(F$4:F1644,MATCH(LARGE(FILTER(I$4:I1644,I$4:I1644&lt;=W294),1),I$4:I1644))))"),2.9811371E7)</f>
        <v>29811371</v>
      </c>
      <c r="N294" s="60">
        <f t="shared" si="8"/>
        <v>-71.5491</v>
      </c>
      <c r="O294" s="61" t="str">
        <f t="shared" si="9"/>
        <v>29,8M</v>
      </c>
      <c r="P294" s="56">
        <f t="shared" si="10"/>
        <v>23</v>
      </c>
      <c r="Q294" s="105" t="s">
        <v>5</v>
      </c>
      <c r="R294" s="10"/>
      <c r="S294" s="59">
        <f t="array" ref="S294">IF(COUNTA(Q294:Q1644)=0,"",SUM((COUNTIF(Q$4:Q294,Upgrades!$B$3:$B$13)-COUNTIF(Q$4:Q294,"Sell_"&amp;Upgrades!$B$3:$B$13))*Upgrades!$D$3:$D$13))</f>
        <v>417200.6</v>
      </c>
      <c r="T294" s="66">
        <f>IFERROR(__xludf.DUMMYFUNCTION("IF(COUNTA(Q294:Q1644)=0,"""",IF(REGEXMATCH(INDEX(FILTER(Q$4:Q294,Q$4:Q294&lt;&gt;""""),ROWS(FILTER(Q$4:Q294,Q$4:Q294&lt;&gt;""""))),""^Sell_""),INDEX(FILTER(T$4:T293,Q$4:Q293&lt;&gt;""""),ROWS(FILTER(Q$4:Q293,Q$4:Q293&lt;&gt;""""))),$AD$5+S294))"),417210.6)</f>
        <v>417210.6</v>
      </c>
      <c r="U294" s="10">
        <f>IFERROR(__xludf.DUMMYFUNCTION("IF(COUNTA(Q294:Q1644)=0,"""",IF(Q294="""",0,IF(REGEXMATCH(Q294,""^Sell_""),-ROUNDDOWN(ROUNDUP(INDEX(Upgrades!$C$3:$C$13,MATCH(SUBSTITUTE(Q294,""Sell_"",""""),Upgrades!$B$3:$B$13,0))*1.15^(COUNTIF(Q$4:Q293,SUBSTITUTE(Q294,""Sell_"",""""))-COUNTIF(Q$4:Q293,"&amp;"""Sell_""&amp;SUBSTITUTE(Q294,""Sell_"",""""))))/2),ROUNDUP(INDEX(Upgrades!$C$3:$C$13,MATCH(Q294,Upgrades!$B$3:$B$13,0))*1.15^(COUNTIF(Q$4:Q293,Q294)-COUNTIF(Q$4:Q293,""Sell_""&amp;Q294))))))"),10823.0)</f>
        <v>10823</v>
      </c>
      <c r="V294" s="10">
        <f t="shared" si="11"/>
        <v>10823</v>
      </c>
      <c r="W294" s="68">
        <f t="shared" si="12"/>
        <v>6963.074484</v>
      </c>
      <c r="X294" s="59" t="str">
        <f t="shared" si="13"/>
        <v>1h 56m 03s</v>
      </c>
      <c r="Y294" s="69">
        <f t="shared" si="14"/>
        <v>599920166</v>
      </c>
      <c r="Z294" s="11"/>
      <c r="AG294" s="59"/>
    </row>
    <row r="295">
      <c r="A295" s="8"/>
      <c r="B295" s="56" t="str">
        <f t="shared" si="2"/>
        <v/>
      </c>
      <c r="C295" s="105"/>
      <c r="D295" s="10"/>
      <c r="E295" s="59" t="str">
        <f t="array" ref="E295">IF(COUNTA(C295:C1644)=0,"",SUM((COUNTIF(C$4:C295,Upgrades!$B$3:$B$13)-COUNTIF(C$4:C295,"Sell_"&amp;Upgrades!$B$3:$B$13))*Upgrades!$D$3:$D$13))</f>
        <v/>
      </c>
      <c r="F295" s="66" t="str">
        <f>IFERROR(__xludf.DUMMYFUNCTION("IF(COUNTA(C295:C1644)=0,"""",IF(REGEXMATCH(INDEX(FILTER(C$4:C295,C$4:C295&lt;&gt;""""),ROWS(FILTER(C$4:C295,C$4:C295&lt;&gt;""""))),""^Sell_""),INDEX(FILTER(F$4:F294,C$4:C294&lt;&gt;""""),ROWS(FILTER(C$4:C294,C$4:C294&lt;&gt;""""))),$AC$5+E295))"),"")</f>
        <v/>
      </c>
      <c r="G295" s="10" t="str">
        <f>IFERROR(__xludf.DUMMYFUNCTION("IF(COUNTA(C295:C1644)=0,"""",IF(C295="""",0,IF(REGEXMATCH(C295,""^Sell_""),-ROUNDDOWN(ROUNDUP(INDEX(Upgrades!$C$3:$C$13,MATCH(SUBSTITUTE(C295,""Sell_"",""""),Upgrades!$B$3:$B$13,0))*1.15^(COUNTIF(C$4:C294,SUBSTITUTE(C295,""Sell_"",""""))-COUNTIF(C$4:C294,"&amp;"""Sell_""&amp;SUBSTITUTE(C295,""Sell_"",""""))))/2),ROUNDUP(INDEX(Upgrades!$C$3:$C$13,MATCH(C295,Upgrades!$B$3:$B$13,0))*1.15^(COUNTIF(C$4:C294,C295)-COUNTIF(C$4:C294,""Sell_""&amp;C295))))))"),"")</f>
        <v/>
      </c>
      <c r="H295" s="10" t="str">
        <f t="shared" si="3"/>
        <v/>
      </c>
      <c r="I295" s="68" t="str">
        <f t="shared" si="4"/>
        <v/>
      </c>
      <c r="J295" s="59" t="str">
        <f t="shared" si="5"/>
        <v/>
      </c>
      <c r="K295" s="69" t="str">
        <f t="shared" si="6"/>
        <v/>
      </c>
      <c r="L295" s="60">
        <f t="shared" si="7"/>
        <v>-71.60631</v>
      </c>
      <c r="M295" s="61">
        <f>IFERROR(__xludf.DUMMYFUNCTION("IFS(AND(COUNTA(C295:C1644)=0,COUNTA(Q295:Q1644)=0),"""",OR(AND(K295&gt;=1000000000,OR(Y295&gt;=1000000000,COUNTA(Q295:Q1644)=0)),OR(Y295&gt;=1000000000,AND(COUNTA(C295:C1644)=0,P$3=TRUE))),
ROUNDDOWN((AB$1-AC$1)*MAX(INDEX(T$4:T1644,MATCH(LARGE(FILTER(Y$4:Y1644,Y$4"&amp;":Y1644&lt;1000000000),1),Y$4:Y1644)),INDEX(F$4:F1644,MATCH(LARGE(FILTER(K$4:K1644,K$4:K1644&lt;1000000000),1),K$4:K1644)))),AND(K295&lt;1000000000,COUNTA(C295:C1644)&gt;0,P$3=FALSE),
ROUNDDOWN(INDEX(Y$4:Y1644,MATCH(LARGE(FILTER(W$4:W1644,W$4:W1644&lt;=I295),1),W$4:W1644"&amp;"))+(I295-LARGE(FILTER(W$4:W1644,W$4:W1644&lt;=I295),1))*INDEX(T$4:T1644,MATCH(LARGE(FILTER(W$4:W1644,W$4:W1644&lt;=I295),1),W$4:W1644))-K295),1,
ROUNDDOWN(Y295-INDEX(K$4:K1644,MATCH(LARGE(FILTER(I$4:I1644,I$4:I1644&lt;=W295),1),I$4:I1644))-(W295-LARGE(FILTER(I$4:I"&amp;"1644,I$4:I1644&lt;=W295),1))*INDEX(F$4:F1644,MATCH(LARGE(FILTER(I$4:I1644,I$4:I1644&lt;=W295),1),I$4:I1644))))"),2.9835208E7)</f>
        <v>29835208</v>
      </c>
      <c r="N295" s="60">
        <f t="shared" si="8"/>
        <v>-71.60631</v>
      </c>
      <c r="O295" s="61" t="str">
        <f t="shared" si="9"/>
        <v>29,8M</v>
      </c>
      <c r="P295" s="56">
        <f t="shared" si="10"/>
        <v>18</v>
      </c>
      <c r="Q295" s="105" t="s">
        <v>10</v>
      </c>
      <c r="R295" s="10"/>
      <c r="S295" s="59">
        <f t="array" ref="S295">IF(COUNTA(Q295:Q1644)=0,"",SUM((COUNTIF(Q$4:Q295,Upgrades!$B$3:$B$13)-COUNTIF(Q$4:Q295,"Sell_"&amp;Upgrades!$B$3:$B$13))*Upgrades!$D$3:$D$13))</f>
        <v>423866.6</v>
      </c>
      <c r="T295" s="66">
        <f>IFERROR(__xludf.DUMMYFUNCTION("IF(COUNTA(Q295:Q1644)=0,"""",IF(REGEXMATCH(INDEX(FILTER(Q$4:Q295,Q$4:Q295&lt;&gt;""""),ROWS(FILTER(Q$4:Q295,Q$4:Q295&lt;&gt;""""))),""^Sell_""),INDEX(FILTER(T$4:T294,Q$4:Q294&lt;&gt;""""),ROWS(FILTER(Q$4:Q294,Q$4:Q294&lt;&gt;""""))),$AD$5+S295))"),423876.6)</f>
        <v>423876.6</v>
      </c>
      <c r="U295" s="10">
        <f>IFERROR(__xludf.DUMMYFUNCTION("IF(COUNTA(Q295:Q1644)=0,"""",IF(Q295="""",0,IF(REGEXMATCH(Q295,""^Sell_""),-ROUNDDOWN(ROUNDUP(INDEX(Upgrades!$C$3:$C$13,MATCH(SUBSTITUTE(Q295,""Sell_"",""""),Upgrades!$B$3:$B$13,0))*1.15^(COUNTIF(Q$4:Q294,SUBSTITUTE(Q295,""Sell_"",""""))-COUNTIF(Q$4:Q294,"&amp;"""Sell_""&amp;SUBSTITUTE(Q295,""Sell_"",""""))))/2),ROUNDUP(INDEX(Upgrades!$C$3:$C$13,MATCH(Q295,Upgrades!$B$3:$B$13,0))*1.15^(COUNTIF(Q$4:Q294,Q295)-COUNTIF(Q$4:Q294,""Sell_""&amp;Q295))))))"),1.7935433E7)</f>
        <v>17935433</v>
      </c>
      <c r="V295" s="10">
        <f t="shared" si="11"/>
        <v>17935433</v>
      </c>
      <c r="W295" s="68">
        <f t="shared" si="12"/>
        <v>7006.063403</v>
      </c>
      <c r="X295" s="59" t="str">
        <f t="shared" si="13"/>
        <v>1h 56m 46s</v>
      </c>
      <c r="Y295" s="69">
        <f t="shared" si="14"/>
        <v>617855599</v>
      </c>
      <c r="Z295" s="11"/>
      <c r="AG295" s="59"/>
    </row>
    <row r="296">
      <c r="A296" s="8"/>
      <c r="B296" s="56" t="str">
        <f t="shared" si="2"/>
        <v/>
      </c>
      <c r="C296" s="105"/>
      <c r="D296" s="10"/>
      <c r="E296" s="59" t="str">
        <f t="array" ref="E296">IF(COUNTA(C296:C1644)=0,"",SUM((COUNTIF(C$4:C296,Upgrades!$B$3:$B$13)-COUNTIF(C$4:C296,"Sell_"&amp;Upgrades!$B$3:$B$13))*Upgrades!$D$3:$D$13))</f>
        <v/>
      </c>
      <c r="F296" s="66" t="str">
        <f>IFERROR(__xludf.DUMMYFUNCTION("IF(COUNTA(C296:C1644)=0,"""",IF(REGEXMATCH(INDEX(FILTER(C$4:C296,C$4:C296&lt;&gt;""""),ROWS(FILTER(C$4:C296,C$4:C296&lt;&gt;""""))),""^Sell_""),INDEX(FILTER(F$4:F295,C$4:C295&lt;&gt;""""),ROWS(FILTER(C$4:C295,C$4:C295&lt;&gt;""""))),$AC$5+E296))"),"")</f>
        <v/>
      </c>
      <c r="G296" s="10" t="str">
        <f>IFERROR(__xludf.DUMMYFUNCTION("IF(COUNTA(C296:C1644)=0,"""",IF(C296="""",0,IF(REGEXMATCH(C296,""^Sell_""),-ROUNDDOWN(ROUNDUP(INDEX(Upgrades!$C$3:$C$13,MATCH(SUBSTITUTE(C296,""Sell_"",""""),Upgrades!$B$3:$B$13,0))*1.15^(COUNTIF(C$4:C295,SUBSTITUTE(C296,""Sell_"",""""))-COUNTIF(C$4:C295,"&amp;"""Sell_""&amp;SUBSTITUTE(C296,""Sell_"",""""))))/2),ROUNDUP(INDEX(Upgrades!$C$3:$C$13,MATCH(C296,Upgrades!$B$3:$B$13,0))*1.15^(COUNTIF(C$4:C295,C296)-COUNTIF(C$4:C295,""Sell_""&amp;C296))))))"),"")</f>
        <v/>
      </c>
      <c r="H296" s="10" t="str">
        <f t="shared" si="3"/>
        <v/>
      </c>
      <c r="I296" s="68" t="str">
        <f t="shared" si="4"/>
        <v/>
      </c>
      <c r="J296" s="59" t="str">
        <f t="shared" si="5"/>
        <v/>
      </c>
      <c r="K296" s="69" t="str">
        <f t="shared" si="6"/>
        <v/>
      </c>
      <c r="L296" s="60">
        <f t="shared" si="7"/>
        <v>-71.60746</v>
      </c>
      <c r="M296" s="61">
        <f>IFERROR(__xludf.DUMMYFUNCTION("IFS(AND(COUNTA(C296:C1644)=0,COUNTA(Q296:Q1644)=0),"""",OR(AND(K296&gt;=1000000000,OR(Y296&gt;=1000000000,COUNTA(Q296:Q1644)=0)),OR(Y296&gt;=1000000000,AND(COUNTA(C296:C1644)=0,P$3=TRUE))),
ROUNDDOWN((AB$1-AC$1)*MAX(INDEX(T$4:T1644,MATCH(LARGE(FILTER(Y$4:Y1644,Y$4"&amp;":Y1644&lt;1000000000),1),Y$4:Y1644)),INDEX(F$4:F1644,MATCH(LARGE(FILTER(K$4:K1644,K$4:K1644&lt;1000000000),1),K$4:K1644)))),AND(K296&lt;1000000000,COUNTA(C296:C1644)&gt;0,P$3=FALSE),
ROUNDDOWN(INDEX(Y$4:Y1644,MATCH(LARGE(FILTER(W$4:W1644,W$4:W1644&lt;=I296),1),W$4:W1644"&amp;"))+(I296-LARGE(FILTER(W$4:W1644,W$4:W1644&lt;=I296),1))*INDEX(T$4:T1644,MATCH(LARGE(FILTER(W$4:W1644,W$4:W1644&lt;=I296),1),W$4:W1644))-K296),1,
ROUNDDOWN(Y296-INDEX(K$4:K1644,MATCH(LARGE(FILTER(I$4:I1644,I$4:I1644&lt;=W296),1),I$4:I1644))-(W296-LARGE(FILTER(I$4:I"&amp;"1644,I$4:I1644&lt;=W296),1))*INDEX(F$4:F1644,MATCH(LARGE(FILTER(I$4:I1644,I$4:I1644&lt;=W296),1),I$4:I1644))))"),2.9835686E7)</f>
        <v>29835686</v>
      </c>
      <c r="N296" s="60">
        <f t="shared" si="8"/>
        <v>-71.60746</v>
      </c>
      <c r="O296" s="61" t="str">
        <f t="shared" si="9"/>
        <v>29,8M</v>
      </c>
      <c r="P296" s="56">
        <f t="shared" si="10"/>
        <v>17</v>
      </c>
      <c r="Q296" s="105" t="s">
        <v>6</v>
      </c>
      <c r="R296" s="10"/>
      <c r="S296" s="59">
        <f t="array" ref="S296">IF(COUNTA(Q296:Q1644)=0,"",SUM((COUNTIF(Q$4:Q296,Upgrades!$B$3:$B$13)-COUNTIF(Q$4:Q296,"Sell_"&amp;Upgrades!$B$3:$B$13))*Upgrades!$D$3:$D$13))</f>
        <v>423876.6</v>
      </c>
      <c r="T296" s="66">
        <f>IFERROR(__xludf.DUMMYFUNCTION("IF(COUNTA(Q296:Q1644)=0,"""",IF(REGEXMATCH(INDEX(FILTER(Q$4:Q296,Q$4:Q296&lt;&gt;""""),ROWS(FILTER(Q$4:Q296,Q$4:Q296&lt;&gt;""""))),""^Sell_""),INDEX(FILTER(T$4:T295,Q$4:Q295&lt;&gt;""""),ROWS(FILTER(Q$4:Q295,Q$4:Q295&lt;&gt;""""))),$AD$5+S296))"),423886.6)</f>
        <v>423886.6</v>
      </c>
      <c r="U296" s="10">
        <f>IFERROR(__xludf.DUMMYFUNCTION("IF(COUNTA(Q296:Q1644)=0,"""",IF(Q296="""",0,IF(REGEXMATCH(Q296,""^Sell_""),-ROUNDDOWN(ROUNDUP(INDEX(Upgrades!$C$3:$C$13,MATCH(SUBSTITUTE(Q296,""Sell_"",""""),Upgrades!$B$3:$B$13,0))*1.15^(COUNTIF(Q$4:Q295,SUBSTITUTE(Q296,""Sell_"",""""))-COUNTIF(Q$4:Q295,"&amp;"""Sell_""&amp;SUBSTITUTE(Q296,""Sell_"",""""))))/2),ROUNDUP(INDEX(Upgrades!$C$3:$C$13,MATCH(Q296,Upgrades!$B$3:$B$13,0))*1.15^(COUNTIF(Q$4:Q295,Q296)-COUNTIF(Q$4:Q295,""Sell_""&amp;Q296))))))"),28073.0)</f>
        <v>28073</v>
      </c>
      <c r="V296" s="10">
        <f t="shared" si="11"/>
        <v>28073</v>
      </c>
      <c r="W296" s="68">
        <f t="shared" si="12"/>
        <v>7006.129633</v>
      </c>
      <c r="X296" s="59" t="str">
        <f t="shared" si="13"/>
        <v>1h 56m 46s</v>
      </c>
      <c r="Y296" s="69">
        <f t="shared" si="14"/>
        <v>617883672</v>
      </c>
      <c r="Z296" s="11"/>
      <c r="AG296" s="59"/>
    </row>
    <row r="297">
      <c r="A297" s="8"/>
      <c r="B297" s="56" t="str">
        <f t="shared" si="2"/>
        <v/>
      </c>
      <c r="C297" s="105"/>
      <c r="D297" s="10"/>
      <c r="E297" s="59" t="str">
        <f t="array" ref="E297">IF(COUNTA(C297:C1644)=0,"",SUM((COUNTIF(C$4:C297,Upgrades!$B$3:$B$13)-COUNTIF(C$4:C297,"Sell_"&amp;Upgrades!$B$3:$B$13))*Upgrades!$D$3:$D$13))</f>
        <v/>
      </c>
      <c r="F297" s="66" t="str">
        <f>IFERROR(__xludf.DUMMYFUNCTION("IF(COUNTA(C297:C1644)=0,"""",IF(REGEXMATCH(INDEX(FILTER(C$4:C297,C$4:C297&lt;&gt;""""),ROWS(FILTER(C$4:C297,C$4:C297&lt;&gt;""""))),""^Sell_""),INDEX(FILTER(F$4:F296,C$4:C296&lt;&gt;""""),ROWS(FILTER(C$4:C296,C$4:C296&lt;&gt;""""))),$AC$5+E297))"),"")</f>
        <v/>
      </c>
      <c r="G297" s="10" t="str">
        <f>IFERROR(__xludf.DUMMYFUNCTION("IF(COUNTA(C297:C1644)=0,"""",IF(C297="""",0,IF(REGEXMATCH(C297,""^Sell_""),-ROUNDDOWN(ROUNDUP(INDEX(Upgrades!$C$3:$C$13,MATCH(SUBSTITUTE(C297,""Sell_"",""""),Upgrades!$B$3:$B$13,0))*1.15^(COUNTIF(C$4:C296,SUBSTITUTE(C297,""Sell_"",""""))-COUNTIF(C$4:C296,"&amp;"""Sell_""&amp;SUBSTITUTE(C297,""Sell_"",""""))))/2),ROUNDUP(INDEX(Upgrades!$C$3:$C$13,MATCH(C297,Upgrades!$B$3:$B$13,0))*1.15^(COUNTIF(C$4:C296,C297)-COUNTIF(C$4:C296,""Sell_""&amp;C297))))))"),"")</f>
        <v/>
      </c>
      <c r="H297" s="10" t="str">
        <f t="shared" si="3"/>
        <v/>
      </c>
      <c r="I297" s="68" t="str">
        <f t="shared" si="4"/>
        <v/>
      </c>
      <c r="J297" s="59" t="str">
        <f t="shared" si="5"/>
        <v/>
      </c>
      <c r="K297" s="69" t="str">
        <f t="shared" si="6"/>
        <v/>
      </c>
      <c r="L297" s="60">
        <f t="shared" si="7"/>
        <v>-71.60747</v>
      </c>
      <c r="M297" s="61">
        <f>IFERROR(__xludf.DUMMYFUNCTION("IFS(AND(COUNTA(C297:C1644)=0,COUNTA(Q297:Q1644)=0),"""",OR(AND(K297&gt;=1000000000,OR(Y297&gt;=1000000000,COUNTA(Q297:Q1644)=0)),OR(Y297&gt;=1000000000,AND(COUNTA(C297:C1644)=0,P$3=TRUE))),
ROUNDDOWN((AB$1-AC$1)*MAX(INDEX(T$4:T1644,MATCH(LARGE(FILTER(Y$4:Y1644,Y$4"&amp;":Y1644&lt;1000000000),1),Y$4:Y1644)),INDEX(F$4:F1644,MATCH(LARGE(FILTER(K$4:K1644,K$4:K1644&lt;1000000000),1),K$4:K1644)))),AND(K297&lt;1000000000,COUNTA(C297:C1644)&gt;0,P$3=FALSE),
ROUNDDOWN(INDEX(Y$4:Y1644,MATCH(LARGE(FILTER(W$4:W1644,W$4:W1644&lt;=I297),1),W$4:W1644"&amp;"))+(I297-LARGE(FILTER(W$4:W1644,W$4:W1644&lt;=I297),1))*INDEX(T$4:T1644,MATCH(LARGE(FILTER(W$4:W1644,W$4:W1644&lt;=I297),1),W$4:W1644))-K297),1,
ROUNDDOWN(Y297-INDEX(K$4:K1644,MATCH(LARGE(FILTER(I$4:I1644,I$4:I1644&lt;=W297),1),I$4:I1644))-(W297-LARGE(FILTER(I$4:I"&amp;"1644,I$4:I1644&lt;=W297),1))*INDEX(F$4:F1644,MATCH(LARGE(FILTER(I$4:I1644,I$4:I1644&lt;=W297),1),I$4:I1644))))"),2.9835691E7)</f>
        <v>29835691</v>
      </c>
      <c r="N297" s="60">
        <f t="shared" si="8"/>
        <v>-71.60747</v>
      </c>
      <c r="O297" s="61" t="str">
        <f t="shared" si="9"/>
        <v>29,8M</v>
      </c>
      <c r="P297" s="56">
        <f t="shared" si="10"/>
        <v>22</v>
      </c>
      <c r="Q297" s="105" t="s">
        <v>3</v>
      </c>
      <c r="R297" s="10"/>
      <c r="S297" s="59">
        <f t="array" ref="S297">IF(COUNTA(Q297:Q1644)=0,"",SUM((COUNTIF(Q$4:Q297,Upgrades!$B$3:$B$13)-COUNTIF(Q$4:Q297,"Sell_"&amp;Upgrades!$B$3:$B$13))*Upgrades!$D$3:$D$13))</f>
        <v>423876.7</v>
      </c>
      <c r="T297" s="66">
        <f>IFERROR(__xludf.DUMMYFUNCTION("IF(COUNTA(Q297:Q1644)=0,"""",IF(REGEXMATCH(INDEX(FILTER(Q$4:Q297,Q$4:Q297&lt;&gt;""""),ROWS(FILTER(Q$4:Q297,Q$4:Q297&lt;&gt;""""))),""^Sell_""),INDEX(FILTER(T$4:T296,Q$4:Q296&lt;&gt;""""),ROWS(FILTER(Q$4:Q296,Q$4:Q296&lt;&gt;""""))),$AD$5+S297))"),423886.7)</f>
        <v>423886.7</v>
      </c>
      <c r="U297" s="10">
        <f>IFERROR(__xludf.DUMMYFUNCTION("IF(COUNTA(Q297:Q1644)=0,"""",IF(Q297="""",0,IF(REGEXMATCH(Q297,""^Sell_""),-ROUNDDOWN(ROUNDUP(INDEX(Upgrades!$C$3:$C$13,MATCH(SUBSTITUTE(Q297,""Sell_"",""""),Upgrades!$B$3:$B$13,0))*1.15^(COUNTIF(Q$4:Q296,SUBSTITUTE(Q297,""Sell_"",""""))-COUNTIF(Q$4:Q296,"&amp;"""Sell_""&amp;SUBSTITUTE(Q297,""Sell_"",""""))))/2),ROUNDUP(INDEX(Upgrades!$C$3:$C$13,MATCH(Q297,Upgrades!$B$3:$B$13,0))*1.15^(COUNTIF(Q$4:Q296,Q297)-COUNTIF(Q$4:Q296,""Sell_""&amp;Q297))))))"),283.0)</f>
        <v>283</v>
      </c>
      <c r="V297" s="10">
        <f t="shared" si="11"/>
        <v>283</v>
      </c>
      <c r="W297" s="68">
        <f t="shared" si="12"/>
        <v>7006.1303</v>
      </c>
      <c r="X297" s="59" t="str">
        <f t="shared" si="13"/>
        <v>1h 56m 46s</v>
      </c>
      <c r="Y297" s="69">
        <f t="shared" si="14"/>
        <v>617883955</v>
      </c>
      <c r="Z297" s="11"/>
      <c r="AG297" s="59"/>
    </row>
    <row r="298">
      <c r="A298" s="8"/>
      <c r="B298" s="56" t="str">
        <f t="shared" si="2"/>
        <v/>
      </c>
      <c r="C298" s="105"/>
      <c r="D298" s="10"/>
      <c r="E298" s="59" t="str">
        <f t="array" ref="E298">IF(COUNTA(C298:C1644)=0,"",SUM((COUNTIF(C$4:C298,Upgrades!$B$3:$B$13)-COUNTIF(C$4:C298,"Sell_"&amp;Upgrades!$B$3:$B$13))*Upgrades!$D$3:$D$13))</f>
        <v/>
      </c>
      <c r="F298" s="66" t="str">
        <f>IFERROR(__xludf.DUMMYFUNCTION("IF(COUNTA(C298:C1644)=0,"""",IF(REGEXMATCH(INDEX(FILTER(C$4:C298,C$4:C298&lt;&gt;""""),ROWS(FILTER(C$4:C298,C$4:C298&lt;&gt;""""))),""^Sell_""),INDEX(FILTER(F$4:F297,C$4:C297&lt;&gt;""""),ROWS(FILTER(C$4:C297,C$4:C297&lt;&gt;""""))),$AC$5+E298))"),"")</f>
        <v/>
      </c>
      <c r="G298" s="10" t="str">
        <f>IFERROR(__xludf.DUMMYFUNCTION("IF(COUNTA(C298:C1644)=0,"""",IF(C298="""",0,IF(REGEXMATCH(C298,""^Sell_""),-ROUNDDOWN(ROUNDUP(INDEX(Upgrades!$C$3:$C$13,MATCH(SUBSTITUTE(C298,""Sell_"",""""),Upgrades!$B$3:$B$13,0))*1.15^(COUNTIF(C$4:C297,SUBSTITUTE(C298,""Sell_"",""""))-COUNTIF(C$4:C297,"&amp;"""Sell_""&amp;SUBSTITUTE(C298,""Sell_"",""""))))/2),ROUNDUP(INDEX(Upgrades!$C$3:$C$13,MATCH(C298,Upgrades!$B$3:$B$13,0))*1.15^(COUNTIF(C$4:C297,C298)-COUNTIF(C$4:C297,""Sell_""&amp;C298))))))"),"")</f>
        <v/>
      </c>
      <c r="H298" s="10" t="str">
        <f t="shared" si="3"/>
        <v/>
      </c>
      <c r="I298" s="68" t="str">
        <f t="shared" si="4"/>
        <v/>
      </c>
      <c r="J298" s="59" t="str">
        <f t="shared" si="5"/>
        <v/>
      </c>
      <c r="K298" s="69" t="str">
        <f t="shared" si="6"/>
        <v/>
      </c>
      <c r="L298" s="60">
        <f t="shared" si="7"/>
        <v>-71.61906</v>
      </c>
      <c r="M298" s="61">
        <f>IFERROR(__xludf.DUMMYFUNCTION("IFS(AND(COUNTA(C298:C1644)=0,COUNTA(Q298:Q1644)=0),"""",OR(AND(K298&gt;=1000000000,OR(Y298&gt;=1000000000,COUNTA(Q298:Q1644)=0)),OR(Y298&gt;=1000000000,AND(COUNTA(C298:C1644)=0,P$3=TRUE))),
ROUNDDOWN((AB$1-AC$1)*MAX(INDEX(T$4:T1644,MATCH(LARGE(FILTER(Y$4:Y1644,Y$4"&amp;":Y1644&lt;1000000000),1),Y$4:Y1644)),INDEX(F$4:F1644,MATCH(LARGE(FILTER(K$4:K1644,K$4:K1644&lt;1000000000),1),K$4:K1644)))),AND(K298&lt;1000000000,COUNTA(C298:C1644)&gt;0,P$3=FALSE),
ROUNDDOWN(INDEX(Y$4:Y1644,MATCH(LARGE(FILTER(W$4:W1644,W$4:W1644&lt;=I298),1),W$4:W1644"&amp;"))+(I298-LARGE(FILTER(W$4:W1644,W$4:W1644&lt;=I298),1))*INDEX(T$4:T1644,MATCH(LARGE(FILTER(W$4:W1644,W$4:W1644&lt;=I298),1),W$4:W1644))-K298),1,
ROUNDDOWN(Y298-INDEX(K$4:K1644,MATCH(LARGE(FILTER(I$4:I1644,I$4:I1644&lt;=W298),1),I$4:I1644))-(W298-LARGE(FILTER(I$4:I"&amp;"1644,I$4:I1644&lt;=W298),1))*INDEX(F$4:F1644,MATCH(LARGE(FILTER(I$4:I1644,I$4:I1644&lt;=W298),1),I$4:I1644))))"),2.9840519E7)</f>
        <v>29840519</v>
      </c>
      <c r="N298" s="60">
        <f t="shared" si="8"/>
        <v>-71.61906</v>
      </c>
      <c r="O298" s="61" t="str">
        <f t="shared" si="9"/>
        <v>29,8M</v>
      </c>
      <c r="P298" s="56">
        <f t="shared" si="10"/>
        <v>15</v>
      </c>
      <c r="Q298" s="105" t="s">
        <v>8</v>
      </c>
      <c r="R298" s="10"/>
      <c r="S298" s="59">
        <f t="array" ref="S298">IF(COUNTA(Q298:Q1644)=0,"",SUM((COUNTIF(Q$4:Q298,Upgrades!$B$3:$B$13)-COUNTIF(Q$4:Q298,"Sell_"&amp;Upgrades!$B$3:$B$13))*Upgrades!$D$3:$D$13))</f>
        <v>423976.7</v>
      </c>
      <c r="T298" s="66">
        <f>IFERROR(__xludf.DUMMYFUNCTION("IF(COUNTA(Q298:Q1644)=0,"""",IF(REGEXMATCH(INDEX(FILTER(Q$4:Q298,Q$4:Q298&lt;&gt;""""),ROWS(FILTER(Q$4:Q298,Q$4:Q298&lt;&gt;""""))),""^Sell_""),INDEX(FILTER(T$4:T297,Q$4:Q297&lt;&gt;""""),ROWS(FILTER(Q$4:Q297,Q$4:Q297&lt;&gt;""""))),$AD$5+S298))"),423986.7)</f>
        <v>423986.7</v>
      </c>
      <c r="U298" s="10">
        <f>IFERROR(__xludf.DUMMYFUNCTION("IF(COUNTA(Q298:Q1644)=0,"""",IF(Q298="""",0,IF(REGEXMATCH(Q298,""^Sell_""),-ROUNDDOWN(ROUNDUP(INDEX(Upgrades!$C$3:$C$13,MATCH(SUBSTITUTE(Q298,""Sell_"",""""),Upgrades!$B$3:$B$13,0))*1.15^(COUNTIF(Q$4:Q297,SUBSTITUTE(Q298,""Sell_"",""""))-COUNTIF(Q$4:Q297,"&amp;"""Sell_""&amp;SUBSTITUTE(Q298,""Sell_"",""""))))/2),ROUNDUP(INDEX(Upgrades!$C$3:$C$13,MATCH(Q298,Upgrades!$B$3:$B$13,0))*1.15^(COUNTIF(Q$4:Q297,Q298)-COUNTIF(Q$4:Q297,""Sell_""&amp;Q298))))))"),283029.0)</f>
        <v>283029</v>
      </c>
      <c r="V298" s="10">
        <f t="shared" si="11"/>
        <v>283029</v>
      </c>
      <c r="W298" s="68">
        <f t="shared" si="12"/>
        <v>7006.798</v>
      </c>
      <c r="X298" s="59" t="str">
        <f t="shared" si="13"/>
        <v>1h 56m 46s</v>
      </c>
      <c r="Y298" s="69">
        <f t="shared" si="14"/>
        <v>618166984</v>
      </c>
      <c r="Z298" s="11"/>
      <c r="AG298" s="59"/>
    </row>
    <row r="299">
      <c r="A299" s="8"/>
      <c r="B299" s="56" t="str">
        <f t="shared" si="2"/>
        <v/>
      </c>
      <c r="C299" s="105"/>
      <c r="D299" s="10"/>
      <c r="E299" s="59" t="str">
        <f t="array" ref="E299">IF(COUNTA(C299:C1644)=0,"",SUM((COUNTIF(C$4:C299,Upgrades!$B$3:$B$13)-COUNTIF(C$4:C299,"Sell_"&amp;Upgrades!$B$3:$B$13))*Upgrades!$D$3:$D$13))</f>
        <v/>
      </c>
      <c r="F299" s="66" t="str">
        <f>IFERROR(__xludf.DUMMYFUNCTION("IF(COUNTA(C299:C1644)=0,"""",IF(REGEXMATCH(INDEX(FILTER(C$4:C299,C$4:C299&lt;&gt;""""),ROWS(FILTER(C$4:C299,C$4:C299&lt;&gt;""""))),""^Sell_""),INDEX(FILTER(F$4:F298,C$4:C298&lt;&gt;""""),ROWS(FILTER(C$4:C298,C$4:C298&lt;&gt;""""))),$AC$5+E299))"),"")</f>
        <v/>
      </c>
      <c r="G299" s="10" t="str">
        <f>IFERROR(__xludf.DUMMYFUNCTION("IF(COUNTA(C299:C1644)=0,"""",IF(C299="""",0,IF(REGEXMATCH(C299,""^Sell_""),-ROUNDDOWN(ROUNDUP(INDEX(Upgrades!$C$3:$C$13,MATCH(SUBSTITUTE(C299,""Sell_"",""""),Upgrades!$B$3:$B$13,0))*1.15^(COUNTIF(C$4:C298,SUBSTITUTE(C299,""Sell_"",""""))-COUNTIF(C$4:C298,"&amp;"""Sell_""&amp;SUBSTITUTE(C299,""Sell_"",""""))))/2),ROUNDUP(INDEX(Upgrades!$C$3:$C$13,MATCH(C299,Upgrades!$B$3:$B$13,0))*1.15^(COUNTIF(C$4:C298,C299)-COUNTIF(C$4:C298,""Sell_""&amp;C299))))))"),"")</f>
        <v/>
      </c>
      <c r="H299" s="10" t="str">
        <f t="shared" si="3"/>
        <v/>
      </c>
      <c r="I299" s="68" t="str">
        <f t="shared" si="4"/>
        <v/>
      </c>
      <c r="J299" s="59" t="str">
        <f t="shared" si="5"/>
        <v/>
      </c>
      <c r="K299" s="69" t="str">
        <f t="shared" si="6"/>
        <v/>
      </c>
      <c r="L299" s="60">
        <f t="shared" si="7"/>
        <v>-71.61912</v>
      </c>
      <c r="M299" s="61">
        <f>IFERROR(__xludf.DUMMYFUNCTION("IFS(AND(COUNTA(C299:C1644)=0,COUNTA(Q299:Q1644)=0),"""",OR(AND(K299&gt;=1000000000,OR(Y299&gt;=1000000000,COUNTA(Q299:Q1644)=0)),OR(Y299&gt;=1000000000,AND(COUNTA(C299:C1644)=0,P$3=TRUE))),
ROUNDDOWN((AB$1-AC$1)*MAX(INDEX(T$4:T1644,MATCH(LARGE(FILTER(Y$4:Y1644,Y$4"&amp;":Y1644&lt;1000000000),1),Y$4:Y1644)),INDEX(F$4:F1644,MATCH(LARGE(FILTER(K$4:K1644,K$4:K1644&lt;1000000000),1),K$4:K1644)))),AND(K299&lt;1000000000,COUNTA(C299:C1644)&gt;0,P$3=FALSE),
ROUNDDOWN(INDEX(Y$4:Y1644,MATCH(LARGE(FILTER(W$4:W1644,W$4:W1644&lt;=I299),1),W$4:W1644"&amp;"))+(I299-LARGE(FILTER(W$4:W1644,W$4:W1644&lt;=I299),1))*INDEX(T$4:T1644,MATCH(LARGE(FILTER(W$4:W1644,W$4:W1644&lt;=I299),1),W$4:W1644))-K299),1,
ROUNDDOWN(Y299-INDEX(K$4:K1644,MATCH(LARGE(FILTER(I$4:I1644,I$4:I1644&lt;=W299),1),I$4:I1644))-(W299-LARGE(FILTER(I$4:I"&amp;"1644,I$4:I1644&lt;=W299),1))*INDEX(F$4:F1644,MATCH(LARGE(FILTER(I$4:I1644,I$4:I1644&lt;=W299),1),I$4:I1644))))"),2.9840543E7)</f>
        <v>29840543</v>
      </c>
      <c r="N299" s="60">
        <f t="shared" si="8"/>
        <v>-71.61912</v>
      </c>
      <c r="O299" s="61" t="str">
        <f t="shared" si="9"/>
        <v>29,8M</v>
      </c>
      <c r="P299" s="56">
        <f t="shared" si="10"/>
        <v>20</v>
      </c>
      <c r="Q299" s="105" t="s">
        <v>4</v>
      </c>
      <c r="R299" s="10"/>
      <c r="S299" s="59">
        <f t="array" ref="S299">IF(COUNTA(Q299:Q1644)=0,"",SUM((COUNTIF(Q$4:Q299,Upgrades!$B$3:$B$13)-COUNTIF(Q$4:Q299,"Sell_"&amp;Upgrades!$B$3:$B$13))*Upgrades!$D$3:$D$13))</f>
        <v>423977.2</v>
      </c>
      <c r="T299" s="66">
        <f>IFERROR(__xludf.DUMMYFUNCTION("IF(COUNTA(Q299:Q1644)=0,"""",IF(REGEXMATCH(INDEX(FILTER(Q$4:Q299,Q$4:Q299&lt;&gt;""""),ROWS(FILTER(Q$4:Q299,Q$4:Q299&lt;&gt;""""))),""^Sell_""),INDEX(FILTER(T$4:T298,Q$4:Q298&lt;&gt;""""),ROWS(FILTER(Q$4:Q298,Q$4:Q298&lt;&gt;""""))),$AD$5+S299))"),423987.2)</f>
        <v>423987.2</v>
      </c>
      <c r="U299" s="10">
        <f>IFERROR(__xludf.DUMMYFUNCTION("IF(COUNTA(Q299:Q1644)=0,"""",IF(Q299="""",0,IF(REGEXMATCH(Q299,""^Sell_""),-ROUNDDOWN(ROUNDUP(INDEX(Upgrades!$C$3:$C$13,MATCH(SUBSTITUTE(Q299,""Sell_"",""""),Upgrades!$B$3:$B$13,0))*1.15^(COUNTIF(Q$4:Q298,SUBSTITUTE(Q299,""Sell_"",""""))-COUNTIF(Q$4:Q298,"&amp;"""Sell_""&amp;SUBSTITUTE(Q299,""Sell_"",""""))))/2),ROUNDUP(INDEX(Upgrades!$C$3:$C$13,MATCH(Q299,Upgrades!$B$3:$B$13,0))*1.15^(COUNTIF(Q$4:Q298,Q299)-COUNTIF(Q$4:Q298,""Sell_""&amp;Q299))))))"),1424.0)</f>
        <v>1424</v>
      </c>
      <c r="V299" s="10">
        <f t="shared" si="11"/>
        <v>1424</v>
      </c>
      <c r="W299" s="68">
        <f t="shared" si="12"/>
        <v>7006.801359</v>
      </c>
      <c r="X299" s="59" t="str">
        <f t="shared" si="13"/>
        <v>1h 56m 46s</v>
      </c>
      <c r="Y299" s="69">
        <f t="shared" si="14"/>
        <v>618168408</v>
      </c>
      <c r="Z299" s="11"/>
      <c r="AG299" s="59"/>
    </row>
    <row r="300">
      <c r="A300" s="8"/>
      <c r="B300" s="56" t="str">
        <f t="shared" si="2"/>
        <v/>
      </c>
      <c r="C300" s="105"/>
      <c r="D300" s="10"/>
      <c r="E300" s="59" t="str">
        <f t="array" ref="E300">IF(COUNTA(C300:C1644)=0,"",SUM((COUNTIF(C$4:C300,Upgrades!$B$3:$B$13)-COUNTIF(C$4:C300,"Sell_"&amp;Upgrades!$B$3:$B$13))*Upgrades!$D$3:$D$13))</f>
        <v/>
      </c>
      <c r="F300" s="66" t="str">
        <f>IFERROR(__xludf.DUMMYFUNCTION("IF(COUNTA(C300:C1644)=0,"""",IF(REGEXMATCH(INDEX(FILTER(C$4:C300,C$4:C300&lt;&gt;""""),ROWS(FILTER(C$4:C300,C$4:C300&lt;&gt;""""))),""^Sell_""),INDEX(FILTER(F$4:F299,C$4:C299&lt;&gt;""""),ROWS(FILTER(C$4:C299,C$4:C299&lt;&gt;""""))),$AC$5+E300))"),"")</f>
        <v/>
      </c>
      <c r="G300" s="10" t="str">
        <f>IFERROR(__xludf.DUMMYFUNCTION("IF(COUNTA(C300:C1644)=0,"""",IF(C300="""",0,IF(REGEXMATCH(C300,""^Sell_""),-ROUNDDOWN(ROUNDUP(INDEX(Upgrades!$C$3:$C$13,MATCH(SUBSTITUTE(C300,""Sell_"",""""),Upgrades!$B$3:$B$13,0))*1.15^(COUNTIF(C$4:C299,SUBSTITUTE(C300,""Sell_"",""""))-COUNTIF(C$4:C299,"&amp;"""Sell_""&amp;SUBSTITUTE(C300,""Sell_"",""""))))/2),ROUNDUP(INDEX(Upgrades!$C$3:$C$13,MATCH(C300,Upgrades!$B$3:$B$13,0))*1.15^(COUNTIF(C$4:C299,C300)-COUNTIF(C$4:C299,""Sell_""&amp;C300))))))"),"")</f>
        <v/>
      </c>
      <c r="H300" s="10" t="str">
        <f t="shared" si="3"/>
        <v/>
      </c>
      <c r="I300" s="68" t="str">
        <f t="shared" si="4"/>
        <v/>
      </c>
      <c r="J300" s="59" t="str">
        <f t="shared" si="5"/>
        <v/>
      </c>
      <c r="K300" s="69" t="str">
        <f t="shared" si="6"/>
        <v/>
      </c>
      <c r="L300" s="60">
        <f t="shared" si="7"/>
        <v>-71.67018</v>
      </c>
      <c r="M300" s="61">
        <f>IFERROR(__xludf.DUMMYFUNCTION("IFS(AND(COUNTA(C300:C1644)=0,COUNTA(Q300:Q1644)=0),"""",OR(AND(K300&gt;=1000000000,OR(Y300&gt;=1000000000,COUNTA(Q300:Q1644)=0)),OR(Y300&gt;=1000000000,AND(COUNTA(C300:C1644)=0,P$3=TRUE))),
ROUNDDOWN((AB$1-AC$1)*MAX(INDEX(T$4:T1644,MATCH(LARGE(FILTER(Y$4:Y1644,Y$4"&amp;":Y1644&lt;1000000000),1),Y$4:Y1644)),INDEX(F$4:F1644,MATCH(LARGE(FILTER(K$4:K1644,K$4:K1644&lt;1000000000),1),K$4:K1644)))),AND(K300&lt;1000000000,COUNTA(C300:C1644)&gt;0,P$3=FALSE),
ROUNDDOWN(INDEX(Y$4:Y1644,MATCH(LARGE(FILTER(W$4:W1644,W$4:W1644&lt;=I300),1),W$4:W1644"&amp;"))+(I300-LARGE(FILTER(W$4:W1644,W$4:W1644&lt;=I300),1))*INDEX(T$4:T1644,MATCH(LARGE(FILTER(W$4:W1644,W$4:W1644&lt;=I300),1),W$4:W1644))-K300),1,
ROUNDDOWN(Y300-INDEX(K$4:K1644,MATCH(LARGE(FILTER(I$4:I1644,I$4:I1644&lt;=W300),1),I$4:I1644))-(W300-LARGE(FILTER(I$4:I"&amp;"1644,I$4:I1644&lt;=W300),1))*INDEX(F$4:F1644,MATCH(LARGE(FILTER(I$4:I1644,I$4:I1644&lt;=W300),1),I$4:I1644))))"),2.9861821E7)</f>
        <v>29861821</v>
      </c>
      <c r="N300" s="60">
        <f t="shared" si="8"/>
        <v>-71.67018</v>
      </c>
      <c r="O300" s="61" t="str">
        <f t="shared" si="9"/>
        <v>29,9M</v>
      </c>
      <c r="P300" s="56">
        <f t="shared" si="10"/>
        <v>14</v>
      </c>
      <c r="Q300" s="105" t="s">
        <v>9</v>
      </c>
      <c r="R300" s="10"/>
      <c r="S300" s="59">
        <f t="array" ref="S300">IF(COUNTA(Q300:Q1644)=0,"",SUM((COUNTIF(Q$4:Q300,Upgrades!$B$3:$B$13)-COUNTIF(Q$4:Q300,"Sell_"&amp;Upgrades!$B$3:$B$13))*Upgrades!$D$3:$D$13))</f>
        <v>424377.2</v>
      </c>
      <c r="T300" s="66">
        <f>IFERROR(__xludf.DUMMYFUNCTION("IF(COUNTA(Q300:Q1644)=0,"""",IF(REGEXMATCH(INDEX(FILTER(Q$4:Q300,Q$4:Q300&lt;&gt;""""),ROWS(FILTER(Q$4:Q300,Q$4:Q300&lt;&gt;""""))),""^Sell_""),INDEX(FILTER(T$4:T299,Q$4:Q299&lt;&gt;""""),ROWS(FILTER(Q$4:Q299,Q$4:Q299&lt;&gt;""""))),$AD$5+S300))"),424387.2)</f>
        <v>424387.2</v>
      </c>
      <c r="U300" s="10">
        <f>IFERROR(__xludf.DUMMYFUNCTION("IF(COUNTA(Q300:Q1644)=0,"""",IF(Q300="""",0,IF(REGEXMATCH(Q300,""^Sell_""),-ROUNDDOWN(ROUNDUP(INDEX(Upgrades!$C$3:$C$13,MATCH(SUBSTITUTE(Q300,""Sell_"",""""),Upgrades!$B$3:$B$13,0))*1.15^(COUNTIF(Q$4:Q299,SUBSTITUTE(Q300,""Sell_"",""""))-COUNTIF(Q$4:Q299,"&amp;"""Sell_""&amp;SUBSTITUTE(Q300,""Sell_"",""""))))/2),ROUNDUP(INDEX(Upgrades!$C$3:$C$13,MATCH(Q300,Upgrades!$B$3:$B$13,0))*1.15^(COUNTIF(Q$4:Q299,Q300)-COUNTIF(Q$4:Q299,""Sell_""&amp;Q300))))))"),1230558.0)</f>
        <v>1230558</v>
      </c>
      <c r="V300" s="10">
        <f t="shared" si="11"/>
        <v>1230558</v>
      </c>
      <c r="W300" s="68">
        <f t="shared" si="12"/>
        <v>7009.703706</v>
      </c>
      <c r="X300" s="59" t="str">
        <f t="shared" si="13"/>
        <v>1h 56m 49s</v>
      </c>
      <c r="Y300" s="69">
        <f t="shared" si="14"/>
        <v>619398966</v>
      </c>
      <c r="Z300" s="11"/>
      <c r="AG300" s="59"/>
    </row>
    <row r="301">
      <c r="A301" s="8"/>
      <c r="B301" s="56" t="str">
        <f t="shared" si="2"/>
        <v/>
      </c>
      <c r="C301" s="105"/>
      <c r="D301" s="10"/>
      <c r="E301" s="59" t="str">
        <f t="array" ref="E301">IF(COUNTA(C301:C1644)=0,"",SUM((COUNTIF(C$4:C301,Upgrades!$B$3:$B$13)-COUNTIF(C$4:C301,"Sell_"&amp;Upgrades!$B$3:$B$13))*Upgrades!$D$3:$D$13))</f>
        <v/>
      </c>
      <c r="F301" s="66" t="str">
        <f>IFERROR(__xludf.DUMMYFUNCTION("IF(COUNTA(C301:C1644)=0,"""",IF(REGEXMATCH(INDEX(FILTER(C$4:C301,C$4:C301&lt;&gt;""""),ROWS(FILTER(C$4:C301,C$4:C301&lt;&gt;""""))),""^Sell_""),INDEX(FILTER(F$4:F300,C$4:C300&lt;&gt;""""),ROWS(FILTER(C$4:C300,C$4:C300&lt;&gt;""""))),$AC$5+E301))"),"")</f>
        <v/>
      </c>
      <c r="G301" s="10" t="str">
        <f>IFERROR(__xludf.DUMMYFUNCTION("IF(COUNTA(C301:C1644)=0,"""",IF(C301="""",0,IF(REGEXMATCH(C301,""^Sell_""),-ROUNDDOWN(ROUNDUP(INDEX(Upgrades!$C$3:$C$13,MATCH(SUBSTITUTE(C301,""Sell_"",""""),Upgrades!$B$3:$B$13,0))*1.15^(COUNTIF(C$4:C300,SUBSTITUTE(C301,""Sell_"",""""))-COUNTIF(C$4:C300,"&amp;"""Sell_""&amp;SUBSTITUTE(C301,""Sell_"",""""))))/2),ROUNDUP(INDEX(Upgrades!$C$3:$C$13,MATCH(C301,Upgrades!$B$3:$B$13,0))*1.15^(COUNTIF(C$4:C300,C301)-COUNTIF(C$4:C300,""Sell_""&amp;C301))))))"),"")</f>
        <v/>
      </c>
      <c r="H301" s="10" t="str">
        <f t="shared" si="3"/>
        <v/>
      </c>
      <c r="I301" s="68" t="str">
        <f t="shared" si="4"/>
        <v/>
      </c>
      <c r="J301" s="59" t="str">
        <f t="shared" si="5"/>
        <v/>
      </c>
      <c r="K301" s="69" t="str">
        <f t="shared" si="6"/>
        <v/>
      </c>
      <c r="L301" s="60">
        <f t="shared" si="7"/>
        <v>-71.67559</v>
      </c>
      <c r="M301" s="61">
        <f>IFERROR(__xludf.DUMMYFUNCTION("IFS(AND(COUNTA(C301:C1644)=0,COUNTA(Q301:Q1644)=0),"""",OR(AND(K301&gt;=1000000000,OR(Y301&gt;=1000000000,COUNTA(Q301:Q1644)=0)),OR(Y301&gt;=1000000000,AND(COUNTA(C301:C1644)=0,P$3=TRUE))),
ROUNDDOWN((AB$1-AC$1)*MAX(INDEX(T$4:T1644,MATCH(LARGE(FILTER(Y$4:Y1644,Y$4"&amp;":Y1644&lt;1000000000),1),Y$4:Y1644)),INDEX(F$4:F1644,MATCH(LARGE(FILTER(K$4:K1644,K$4:K1644&lt;1000000000),1),K$4:K1644)))),AND(K301&lt;1000000000,COUNTA(C301:C1644)&gt;0,P$3=FALSE),
ROUNDDOWN(INDEX(Y$4:Y1644,MATCH(LARGE(FILTER(W$4:W1644,W$4:W1644&lt;=I301),1),W$4:W1644"&amp;"))+(I301-LARGE(FILTER(W$4:W1644,W$4:W1644&lt;=I301),1))*INDEX(T$4:T1644,MATCH(LARGE(FILTER(W$4:W1644,W$4:W1644&lt;=I301),1),W$4:W1644))-K301),1,
ROUNDDOWN(Y301-INDEX(K$4:K1644,MATCH(LARGE(FILTER(I$4:I1644,I$4:I1644&lt;=W301),1),I$4:I1644))-(W301-LARGE(FILTER(I$4:I"&amp;"1644,I$4:I1644&lt;=W301),1))*INDEX(F$4:F1644,MATCH(LARGE(FILTER(I$4:I1644,I$4:I1644&lt;=W301),1),I$4:I1644))))"),2.9864075E7)</f>
        <v>29864075</v>
      </c>
      <c r="N301" s="60">
        <f t="shared" si="8"/>
        <v>-71.67559</v>
      </c>
      <c r="O301" s="61" t="str">
        <f t="shared" si="9"/>
        <v>29,9M</v>
      </c>
      <c r="P301" s="56">
        <f t="shared" si="10"/>
        <v>19</v>
      </c>
      <c r="Q301" s="105" t="s">
        <v>7</v>
      </c>
      <c r="R301" s="10"/>
      <c r="S301" s="59">
        <f t="array" ref="S301">IF(COUNTA(Q301:Q1644)=0,"",SUM((COUNTIF(Q$4:Q301,Upgrades!$B$3:$B$13)-COUNTIF(Q$4:Q301,"Sell_"&amp;Upgrades!$B$3:$B$13))*Upgrades!$D$3:$D$13))</f>
        <v>424417.2</v>
      </c>
      <c r="T301" s="66">
        <f>IFERROR(__xludf.DUMMYFUNCTION("IF(COUNTA(Q301:Q1644)=0,"""",IF(REGEXMATCH(INDEX(FILTER(Q$4:Q301,Q$4:Q301&lt;&gt;""""),ROWS(FILTER(Q$4:Q301,Q$4:Q301&lt;&gt;""""))),""^Sell_""),INDEX(FILTER(T$4:T300,Q$4:Q300&lt;&gt;""""),ROWS(FILTER(Q$4:Q300,Q$4:Q300&lt;&gt;""""))),$AD$5+S301))"),424427.2)</f>
        <v>424427.2</v>
      </c>
      <c r="U301" s="10">
        <f>IFERROR(__xludf.DUMMYFUNCTION("IF(COUNTA(Q301:Q1644)=0,"""",IF(Q301="""",0,IF(REGEXMATCH(Q301,""^Sell_""),-ROUNDDOWN(ROUNDUP(INDEX(Upgrades!$C$3:$C$13,MATCH(SUBSTITUTE(Q301,""Sell_"",""""),Upgrades!$B$3:$B$13,0))*1.15^(COUNTIF(Q$4:Q300,SUBSTITUTE(Q301,""Sell_"",""""))-COUNTIF(Q$4:Q300,"&amp;"""Sell_""&amp;SUBSTITUTE(Q301,""Sell_"",""""))))/2),ROUNDUP(INDEX(Upgrades!$C$3:$C$13,MATCH(Q301,Upgrades!$B$3:$B$13,0))*1.15^(COUNTIF(Q$4:Q300,Q301)-COUNTIF(Q$4:Q300,""Sell_""&amp;Q301))))))"),123755.0)</f>
        <v>123755</v>
      </c>
      <c r="V301" s="10">
        <f t="shared" si="11"/>
        <v>123755</v>
      </c>
      <c r="W301" s="68">
        <f t="shared" si="12"/>
        <v>7009.995314</v>
      </c>
      <c r="X301" s="59" t="str">
        <f t="shared" si="13"/>
        <v>1h 56m 49s</v>
      </c>
      <c r="Y301" s="69">
        <f t="shared" si="14"/>
        <v>619522721</v>
      </c>
      <c r="Z301" s="11"/>
      <c r="AG301" s="59"/>
    </row>
    <row r="302">
      <c r="A302" s="8"/>
      <c r="B302" s="56" t="str">
        <f t="shared" si="2"/>
        <v/>
      </c>
      <c r="C302" s="105"/>
      <c r="D302" s="10"/>
      <c r="E302" s="59" t="str">
        <f t="array" ref="E302">IF(COUNTA(C302:C1644)=0,"",SUM((COUNTIF(C$4:C302,Upgrades!$B$3:$B$13)-COUNTIF(C$4:C302,"Sell_"&amp;Upgrades!$B$3:$B$13))*Upgrades!$D$3:$D$13))</f>
        <v/>
      </c>
      <c r="F302" s="66" t="str">
        <f>IFERROR(__xludf.DUMMYFUNCTION("IF(COUNTA(C302:C1644)=0,"""",IF(REGEXMATCH(INDEX(FILTER(C$4:C302,C$4:C302&lt;&gt;""""),ROWS(FILTER(C$4:C302,C$4:C302&lt;&gt;""""))),""^Sell_""),INDEX(FILTER(F$4:F301,C$4:C301&lt;&gt;""""),ROWS(FILTER(C$4:C301,C$4:C301&lt;&gt;""""))),$AC$5+E302))"),"")</f>
        <v/>
      </c>
      <c r="G302" s="10" t="str">
        <f>IFERROR(__xludf.DUMMYFUNCTION("IF(COUNTA(C302:C1644)=0,"""",IF(C302="""",0,IF(REGEXMATCH(C302,""^Sell_""),-ROUNDDOWN(ROUNDUP(INDEX(Upgrades!$C$3:$C$13,MATCH(SUBSTITUTE(C302,""Sell_"",""""),Upgrades!$B$3:$B$13,0))*1.15^(COUNTIF(C$4:C301,SUBSTITUTE(C302,""Sell_"",""""))-COUNTIF(C$4:C301,"&amp;"""Sell_""&amp;SUBSTITUTE(C302,""Sell_"",""""))))/2),ROUNDUP(INDEX(Upgrades!$C$3:$C$13,MATCH(C302,Upgrades!$B$3:$B$13,0))*1.15^(COUNTIF(C$4:C301,C302)-COUNTIF(C$4:C301,""Sell_""&amp;C302))))))"),"")</f>
        <v/>
      </c>
      <c r="H302" s="10" t="str">
        <f t="shared" si="3"/>
        <v/>
      </c>
      <c r="I302" s="68" t="str">
        <f t="shared" si="4"/>
        <v/>
      </c>
      <c r="J302" s="59" t="str">
        <f t="shared" si="5"/>
        <v/>
      </c>
      <c r="K302" s="69" t="str">
        <f t="shared" si="6"/>
        <v/>
      </c>
      <c r="L302" s="60">
        <f t="shared" si="7"/>
        <v>-71.67614</v>
      </c>
      <c r="M302" s="61">
        <f>IFERROR(__xludf.DUMMYFUNCTION("IFS(AND(COUNTA(C302:C1644)=0,COUNTA(Q302:Q1644)=0),"""",OR(AND(K302&gt;=1000000000,OR(Y302&gt;=1000000000,COUNTA(Q302:Q1644)=0)),OR(Y302&gt;=1000000000,AND(COUNTA(C302:C1644)=0,P$3=TRUE))),
ROUNDDOWN((AB$1-AC$1)*MAX(INDEX(T$4:T1644,MATCH(LARGE(FILTER(Y$4:Y1644,Y$4"&amp;":Y1644&lt;1000000000),1),Y$4:Y1644)),INDEX(F$4:F1644,MATCH(LARGE(FILTER(K$4:K1644,K$4:K1644&lt;1000000000),1),K$4:K1644)))),AND(K302&lt;1000000000,COUNTA(C302:C1644)&gt;0,P$3=FALSE),
ROUNDDOWN(INDEX(Y$4:Y1644,MATCH(LARGE(FILTER(W$4:W1644,W$4:W1644&lt;=I302),1),W$4:W1644"&amp;"))+(I302-LARGE(FILTER(W$4:W1644,W$4:W1644&lt;=I302),1))*INDEX(T$4:T1644,MATCH(LARGE(FILTER(W$4:W1644,W$4:W1644&lt;=I302),1),W$4:W1644))-K302),1,
ROUNDDOWN(Y302-INDEX(K$4:K1644,MATCH(LARGE(FILTER(I$4:I1644,I$4:I1644&lt;=W302),1),I$4:I1644))-(W302-LARGE(FILTER(I$4:I"&amp;"1644,I$4:I1644&lt;=W302),1))*INDEX(F$4:F1644,MATCH(LARGE(FILTER(I$4:I1644,I$4:I1644&lt;=W302),1),I$4:I1644))))"),2.9864303E7)</f>
        <v>29864303</v>
      </c>
      <c r="N302" s="60">
        <f t="shared" si="8"/>
        <v>-71.67614</v>
      </c>
      <c r="O302" s="61" t="str">
        <f t="shared" si="9"/>
        <v>29,9M</v>
      </c>
      <c r="P302" s="56">
        <f t="shared" si="10"/>
        <v>24</v>
      </c>
      <c r="Q302" s="105" t="s">
        <v>5</v>
      </c>
      <c r="R302" s="10"/>
      <c r="S302" s="59">
        <f t="array" ref="S302">IF(COUNTA(Q302:Q1644)=0,"",SUM((COUNTIF(Q$4:Q302,Upgrades!$B$3:$B$13)-COUNTIF(Q$4:Q302,"Sell_"&amp;Upgrades!$B$3:$B$13))*Upgrades!$D$3:$D$13))</f>
        <v>424421.2</v>
      </c>
      <c r="T302" s="66">
        <f>IFERROR(__xludf.DUMMYFUNCTION("IF(COUNTA(Q302:Q1644)=0,"""",IF(REGEXMATCH(INDEX(FILTER(Q$4:Q302,Q$4:Q302&lt;&gt;""""),ROWS(FILTER(Q$4:Q302,Q$4:Q302&lt;&gt;""""))),""^Sell_""),INDEX(FILTER(T$4:T301,Q$4:Q301&lt;&gt;""""),ROWS(FILTER(Q$4:Q301,Q$4:Q301&lt;&gt;""""))),$AD$5+S302))"),424431.2)</f>
        <v>424431.2</v>
      </c>
      <c r="U302" s="10">
        <f>IFERROR(__xludf.DUMMYFUNCTION("IF(COUNTA(Q302:Q1644)=0,"""",IF(Q302="""",0,IF(REGEXMATCH(Q302,""^Sell_""),-ROUNDDOWN(ROUNDUP(INDEX(Upgrades!$C$3:$C$13,MATCH(SUBSTITUTE(Q302,""Sell_"",""""),Upgrades!$B$3:$B$13,0))*1.15^(COUNTIF(Q$4:Q301,SUBSTITUTE(Q302,""Sell_"",""""))-COUNTIF(Q$4:Q301,"&amp;"""Sell_""&amp;SUBSTITUTE(Q302,""Sell_"",""""))))/2),ROUNDUP(INDEX(Upgrades!$C$3:$C$13,MATCH(Q302,Upgrades!$B$3:$B$13,0))*1.15^(COUNTIF(Q$4:Q301,Q302)-COUNTIF(Q$4:Q301,""Sell_""&amp;Q302))))))"),12446.0)</f>
        <v>12446</v>
      </c>
      <c r="V302" s="10">
        <f t="shared" si="11"/>
        <v>12446</v>
      </c>
      <c r="W302" s="68">
        <f t="shared" si="12"/>
        <v>7010.024639</v>
      </c>
      <c r="X302" s="59" t="str">
        <f t="shared" si="13"/>
        <v>1h 56m 50s</v>
      </c>
      <c r="Y302" s="69">
        <f t="shared" si="14"/>
        <v>619535167</v>
      </c>
      <c r="Z302" s="11"/>
      <c r="AG302" s="59"/>
    </row>
    <row r="303">
      <c r="A303" s="8"/>
      <c r="B303" s="56" t="str">
        <f t="shared" si="2"/>
        <v/>
      </c>
      <c r="C303" s="105"/>
      <c r="D303" s="10"/>
      <c r="E303" s="59" t="str">
        <f t="array" ref="E303">IF(COUNTA(C303:C1644)=0,"",SUM((COUNTIF(C$4:C303,Upgrades!$B$3:$B$13)-COUNTIF(C$4:C303,"Sell_"&amp;Upgrades!$B$3:$B$13))*Upgrades!$D$3:$D$13))</f>
        <v/>
      </c>
      <c r="F303" s="66" t="str">
        <f>IFERROR(__xludf.DUMMYFUNCTION("IF(COUNTA(C303:C1644)=0,"""",IF(REGEXMATCH(INDEX(FILTER(C$4:C303,C$4:C303&lt;&gt;""""),ROWS(FILTER(C$4:C303,C$4:C303&lt;&gt;""""))),""^Sell_""),INDEX(FILTER(F$4:F302,C$4:C302&lt;&gt;""""),ROWS(FILTER(C$4:C302,C$4:C302&lt;&gt;""""))),$AC$5+E303))"),"")</f>
        <v/>
      </c>
      <c r="G303" s="10" t="str">
        <f>IFERROR(__xludf.DUMMYFUNCTION("IF(COUNTA(C303:C1644)=0,"""",IF(C303="""",0,IF(REGEXMATCH(C303,""^Sell_""),-ROUNDDOWN(ROUNDUP(INDEX(Upgrades!$C$3:$C$13,MATCH(SUBSTITUTE(C303,""Sell_"",""""),Upgrades!$B$3:$B$13,0))*1.15^(COUNTIF(C$4:C302,SUBSTITUTE(C303,""Sell_"",""""))-COUNTIF(C$4:C302,"&amp;"""Sell_""&amp;SUBSTITUTE(C303,""Sell_"",""""))))/2),ROUNDUP(INDEX(Upgrades!$C$3:$C$13,MATCH(C303,Upgrades!$B$3:$B$13,0))*1.15^(COUNTIF(C$4:C302,C303)-COUNTIF(C$4:C302,""Sell_""&amp;C303))))))"),"")</f>
        <v/>
      </c>
      <c r="H303" s="10" t="str">
        <f t="shared" si="3"/>
        <v/>
      </c>
      <c r="I303" s="68" t="str">
        <f t="shared" si="4"/>
        <v/>
      </c>
      <c r="J303" s="59" t="str">
        <f t="shared" si="5"/>
        <v/>
      </c>
      <c r="K303" s="69" t="str">
        <f t="shared" si="6"/>
        <v/>
      </c>
      <c r="L303" s="60">
        <f t="shared" si="7"/>
        <v>-72.58298</v>
      </c>
      <c r="M303" s="61">
        <f>IFERROR(__xludf.DUMMYFUNCTION("IFS(AND(COUNTA(C303:C1644)=0,COUNTA(Q303:Q1644)=0),"""",OR(AND(K303&gt;=1000000000,OR(Y303&gt;=1000000000,COUNTA(Q303:Q1644)=0)),OR(Y303&gt;=1000000000,AND(COUNTA(C303:C1644)=0,P$3=TRUE))),
ROUNDDOWN((AB$1-AC$1)*MAX(INDEX(T$4:T1644,MATCH(LARGE(FILTER(Y$4:Y1644,Y$4"&amp;":Y1644&lt;1000000000),1),Y$4:Y1644)),INDEX(F$4:F1644,MATCH(LARGE(FILTER(K$4:K1644,K$4:K1644&lt;1000000000),1),K$4:K1644)))),AND(K303&lt;1000000000,COUNTA(C303:C1644)&gt;0,P$3=FALSE),
ROUNDDOWN(INDEX(Y$4:Y1644,MATCH(LARGE(FILTER(W$4:W1644,W$4:W1644&lt;=I303),1),W$4:W1644"&amp;"))+(I303-LARGE(FILTER(W$4:W1644,W$4:W1644&lt;=I303),1))*INDEX(T$4:T1644,MATCH(LARGE(FILTER(W$4:W1644,W$4:W1644&lt;=I303),1),W$4:W1644))-K303),1,
ROUNDDOWN(Y303-INDEX(K$4:K1644,MATCH(LARGE(FILTER(I$4:I1644,I$4:I1644&lt;=W303),1),I$4:I1644))-(W303-LARGE(FILTER(I$4:I"&amp;"1644,I$4:I1644&lt;=W303),1))*INDEX(F$4:F1644,MATCH(LARGE(FILTER(I$4:I1644,I$4:I1644&lt;=W303),1),I$4:I1644))))"),3.0242144E7)</f>
        <v>30242144</v>
      </c>
      <c r="N303" s="60">
        <f t="shared" si="8"/>
        <v>-72.58298</v>
      </c>
      <c r="O303" s="61" t="str">
        <f t="shared" si="9"/>
        <v>30,2M</v>
      </c>
      <c r="P303" s="56">
        <f t="shared" si="10"/>
        <v>19</v>
      </c>
      <c r="Q303" s="105" t="s">
        <v>10</v>
      </c>
      <c r="R303" s="10"/>
      <c r="S303" s="59">
        <f t="array" ref="S303">IF(COUNTA(Q303:Q1644)=0,"",SUM((COUNTIF(Q$4:Q303,Upgrades!$B$3:$B$13)-COUNTIF(Q$4:Q303,"Sell_"&amp;Upgrades!$B$3:$B$13))*Upgrades!$D$3:$D$13))</f>
        <v>431087.2</v>
      </c>
      <c r="T303" s="66">
        <f>IFERROR(__xludf.DUMMYFUNCTION("IF(COUNTA(Q303:Q1644)=0,"""",IF(REGEXMATCH(INDEX(FILTER(Q$4:Q303,Q$4:Q303&lt;&gt;""""),ROWS(FILTER(Q$4:Q303,Q$4:Q303&lt;&gt;""""))),""^Sell_""),INDEX(FILTER(T$4:T302,Q$4:Q302&lt;&gt;""""),ROWS(FILTER(Q$4:Q302,Q$4:Q302&lt;&gt;""""))),$AD$5+S303))"),431097.2)</f>
        <v>431097.2</v>
      </c>
      <c r="U303" s="10">
        <f>IFERROR(__xludf.DUMMYFUNCTION("IF(COUNTA(Q303:Q1644)=0,"""",IF(Q303="""",0,IF(REGEXMATCH(Q303,""^Sell_""),-ROUNDDOWN(ROUNDUP(INDEX(Upgrades!$C$3:$C$13,MATCH(SUBSTITUTE(Q303,""Sell_"",""""),Upgrades!$B$3:$B$13,0))*1.15^(COUNTIF(Q$4:Q302,SUBSTITUTE(Q303,""Sell_"",""""))-COUNTIF(Q$4:Q302,"&amp;"""Sell_""&amp;SUBSTITUTE(Q303,""Sell_"",""""))))/2),ROUNDUP(INDEX(Upgrades!$C$3:$C$13,MATCH(Q303,Upgrades!$B$3:$B$13,0))*1.15^(COUNTIF(Q$4:Q302,Q303)-COUNTIF(Q$4:Q302,""Sell_""&amp;Q303))))))"),2.0625748E7)</f>
        <v>20625748</v>
      </c>
      <c r="V303" s="10">
        <f t="shared" si="11"/>
        <v>20625748</v>
      </c>
      <c r="W303" s="68">
        <f t="shared" si="12"/>
        <v>7058.620849</v>
      </c>
      <c r="X303" s="59" t="str">
        <f t="shared" si="13"/>
        <v>1h 57m 38s</v>
      </c>
      <c r="Y303" s="69">
        <f t="shared" si="14"/>
        <v>640160915</v>
      </c>
      <c r="Z303" s="11"/>
      <c r="AG303" s="59"/>
    </row>
    <row r="304">
      <c r="A304" s="8"/>
      <c r="B304" s="56" t="str">
        <f t="shared" si="2"/>
        <v/>
      </c>
      <c r="C304" s="105"/>
      <c r="D304" s="10"/>
      <c r="E304" s="59" t="str">
        <f t="array" ref="E304">IF(COUNTA(C304:C1644)=0,"",SUM((COUNTIF(C$4:C304,Upgrades!$B$3:$B$13)-COUNTIF(C$4:C304,"Sell_"&amp;Upgrades!$B$3:$B$13))*Upgrades!$D$3:$D$13))</f>
        <v/>
      </c>
      <c r="F304" s="66" t="str">
        <f>IFERROR(__xludf.DUMMYFUNCTION("IF(COUNTA(C304:C1644)=0,"""",IF(REGEXMATCH(INDEX(FILTER(C$4:C304,C$4:C304&lt;&gt;""""),ROWS(FILTER(C$4:C304,C$4:C304&lt;&gt;""""))),""^Sell_""),INDEX(FILTER(F$4:F303,C$4:C303&lt;&gt;""""),ROWS(FILTER(C$4:C303,C$4:C303&lt;&gt;""""))),$AC$5+E304))"),"")</f>
        <v/>
      </c>
      <c r="G304" s="10" t="str">
        <f>IFERROR(__xludf.DUMMYFUNCTION("IF(COUNTA(C304:C1644)=0,"""",IF(C304="""",0,IF(REGEXMATCH(C304,""^Sell_""),-ROUNDDOWN(ROUNDUP(INDEX(Upgrades!$C$3:$C$13,MATCH(SUBSTITUTE(C304,""Sell_"",""""),Upgrades!$B$3:$B$13,0))*1.15^(COUNTIF(C$4:C303,SUBSTITUTE(C304,""Sell_"",""""))-COUNTIF(C$4:C303,"&amp;"""Sell_""&amp;SUBSTITUTE(C304,""Sell_"",""""))))/2),ROUNDUP(INDEX(Upgrades!$C$3:$C$13,MATCH(C304,Upgrades!$B$3:$B$13,0))*1.15^(COUNTIF(C$4:C303,C304)-COUNTIF(C$4:C303,""Sell_""&amp;C304))))))"),"")</f>
        <v/>
      </c>
      <c r="H304" s="10" t="str">
        <f t="shared" si="3"/>
        <v/>
      </c>
      <c r="I304" s="68" t="str">
        <f t="shared" si="4"/>
        <v/>
      </c>
      <c r="J304" s="59" t="str">
        <f t="shared" si="5"/>
        <v/>
      </c>
      <c r="K304" s="69" t="str">
        <f t="shared" si="6"/>
        <v/>
      </c>
      <c r="L304" s="60">
        <f t="shared" si="7"/>
        <v>-72.58558</v>
      </c>
      <c r="M304" s="61">
        <f>IFERROR(__xludf.DUMMYFUNCTION("IFS(AND(COUNTA(C304:C1644)=0,COUNTA(Q304:Q1644)=0),"""",OR(AND(K304&gt;=1000000000,OR(Y304&gt;=1000000000,COUNTA(Q304:Q1644)=0)),OR(Y304&gt;=1000000000,AND(COUNTA(C304:C1644)=0,P$3=TRUE))),
ROUNDDOWN((AB$1-AC$1)*MAX(INDEX(T$4:T1644,MATCH(LARGE(FILTER(Y$4:Y1644,Y$4"&amp;":Y1644&lt;1000000000),1),Y$4:Y1644)),INDEX(F$4:F1644,MATCH(LARGE(FILTER(K$4:K1644,K$4:K1644&lt;1000000000),1),K$4:K1644)))),AND(K304&lt;1000000000,COUNTA(C304:C1644)&gt;0,P$3=FALSE),
ROUNDDOWN(INDEX(Y$4:Y1644,MATCH(LARGE(FILTER(W$4:W1644,W$4:W1644&lt;=I304),1),W$4:W1644"&amp;"))+(I304-LARGE(FILTER(W$4:W1644,W$4:W1644&lt;=I304),1))*INDEX(T$4:T1644,MATCH(LARGE(FILTER(W$4:W1644,W$4:W1644&lt;=I304),1),W$4:W1644))-K304),1,
ROUNDDOWN(Y304-INDEX(K$4:K1644,MATCH(LARGE(FILTER(I$4:I1644,I$4:I1644&lt;=W304),1),I$4:I1644))-(W304-LARGE(FILTER(I$4:I"&amp;"1644,I$4:I1644&lt;=W304),1))*INDEX(F$4:F1644,MATCH(LARGE(FILTER(I$4:I1644,I$4:I1644&lt;=W304),1),I$4:I1644))))"),3.0243225E7)</f>
        <v>30243225</v>
      </c>
      <c r="N304" s="60">
        <f t="shared" si="8"/>
        <v>-72.58558</v>
      </c>
      <c r="O304" s="61" t="str">
        <f t="shared" si="9"/>
        <v>30,2M</v>
      </c>
      <c r="P304" s="56">
        <f t="shared" si="10"/>
        <v>18</v>
      </c>
      <c r="Q304" s="105" t="s">
        <v>6</v>
      </c>
      <c r="R304" s="10"/>
      <c r="S304" s="59">
        <f t="array" ref="S304">IF(COUNTA(Q304:Q1644)=0,"",SUM((COUNTIF(Q$4:Q304,Upgrades!$B$3:$B$13)-COUNTIF(Q$4:Q304,"Sell_"&amp;Upgrades!$B$3:$B$13))*Upgrades!$D$3:$D$13))</f>
        <v>431097.2</v>
      </c>
      <c r="T304" s="66">
        <f>IFERROR(__xludf.DUMMYFUNCTION("IF(COUNTA(Q304:Q1644)=0,"""",IF(REGEXMATCH(INDEX(FILTER(Q$4:Q304,Q$4:Q304&lt;&gt;""""),ROWS(FILTER(Q$4:Q304,Q$4:Q304&lt;&gt;""""))),""^Sell_""),INDEX(FILTER(T$4:T303,Q$4:Q303&lt;&gt;""""),ROWS(FILTER(Q$4:Q303,Q$4:Q303&lt;&gt;""""))),$AD$5+S304))"),431107.2)</f>
        <v>431107.2</v>
      </c>
      <c r="U304" s="10">
        <f>IFERROR(__xludf.DUMMYFUNCTION("IF(COUNTA(Q304:Q1644)=0,"""",IF(Q304="""",0,IF(REGEXMATCH(Q304,""^Sell_""),-ROUNDDOWN(ROUNDUP(INDEX(Upgrades!$C$3:$C$13,MATCH(SUBSTITUTE(Q304,""Sell_"",""""),Upgrades!$B$3:$B$13,0))*1.15^(COUNTIF(Q$4:Q303,SUBSTITUTE(Q304,""Sell_"",""""))-COUNTIF(Q$4:Q303,"&amp;"""Sell_""&amp;SUBSTITUTE(Q304,""Sell_"",""""))))/2),ROUNDUP(INDEX(Upgrades!$C$3:$C$13,MATCH(Q304,Upgrades!$B$3:$B$13,0))*1.15^(COUNTIF(Q$4:Q303,Q304)-COUNTIF(Q$4:Q303,""Sell_""&amp;Q304))))))"),32284.0)</f>
        <v>32284</v>
      </c>
      <c r="V304" s="10">
        <f t="shared" si="11"/>
        <v>32284</v>
      </c>
      <c r="W304" s="68">
        <f t="shared" si="12"/>
        <v>7058.695737</v>
      </c>
      <c r="X304" s="59" t="str">
        <f t="shared" si="13"/>
        <v>1h 57m 38s</v>
      </c>
      <c r="Y304" s="69">
        <f t="shared" si="14"/>
        <v>640193199</v>
      </c>
      <c r="Z304" s="11"/>
      <c r="AG304" s="59"/>
    </row>
    <row r="305">
      <c r="A305" s="8"/>
      <c r="B305" s="56" t="str">
        <f t="shared" si="2"/>
        <v/>
      </c>
      <c r="C305" s="105"/>
      <c r="D305" s="10"/>
      <c r="E305" s="59" t="str">
        <f t="array" ref="E305">IF(COUNTA(C305:C1644)=0,"",SUM((COUNTIF(C$4:C305,Upgrades!$B$3:$B$13)-COUNTIF(C$4:C305,"Sell_"&amp;Upgrades!$B$3:$B$13))*Upgrades!$D$3:$D$13))</f>
        <v/>
      </c>
      <c r="F305" s="66" t="str">
        <f>IFERROR(__xludf.DUMMYFUNCTION("IF(COUNTA(C305:C1644)=0,"""",IF(REGEXMATCH(INDEX(FILTER(C$4:C305,C$4:C305&lt;&gt;""""),ROWS(FILTER(C$4:C305,C$4:C305&lt;&gt;""""))),""^Sell_""),INDEX(FILTER(F$4:F304,C$4:C304&lt;&gt;""""),ROWS(FILTER(C$4:C304,C$4:C304&lt;&gt;""""))),$AC$5+E305))"),"")</f>
        <v/>
      </c>
      <c r="G305" s="10" t="str">
        <f>IFERROR(__xludf.DUMMYFUNCTION("IF(COUNTA(C305:C1644)=0,"""",IF(C305="""",0,IF(REGEXMATCH(C305,""^Sell_""),-ROUNDDOWN(ROUNDUP(INDEX(Upgrades!$C$3:$C$13,MATCH(SUBSTITUTE(C305,""Sell_"",""""),Upgrades!$B$3:$B$13,0))*1.15^(COUNTIF(C$4:C304,SUBSTITUTE(C305,""Sell_"",""""))-COUNTIF(C$4:C304,"&amp;"""Sell_""&amp;SUBSTITUTE(C305,""Sell_"",""""))))/2),ROUNDUP(INDEX(Upgrades!$C$3:$C$13,MATCH(C305,Upgrades!$B$3:$B$13,0))*1.15^(COUNTIF(C$4:C304,C305)-COUNTIF(C$4:C304,""Sell_""&amp;C305))))))"),"")</f>
        <v/>
      </c>
      <c r="H305" s="10" t="str">
        <f t="shared" si="3"/>
        <v/>
      </c>
      <c r="I305" s="68" t="str">
        <f t="shared" si="4"/>
        <v/>
      </c>
      <c r="J305" s="59" t="str">
        <f t="shared" si="5"/>
        <v/>
      </c>
      <c r="K305" s="69" t="str">
        <f t="shared" si="6"/>
        <v/>
      </c>
      <c r="L305" s="60">
        <f t="shared" si="7"/>
        <v>-72.5856</v>
      </c>
      <c r="M305" s="61">
        <f>IFERROR(__xludf.DUMMYFUNCTION("IFS(AND(COUNTA(C305:C1644)=0,COUNTA(Q305:Q1644)=0),"""",OR(AND(K305&gt;=1000000000,OR(Y305&gt;=1000000000,COUNTA(Q305:Q1644)=0)),OR(Y305&gt;=1000000000,AND(COUNTA(C305:C1644)=0,P$3=TRUE))),
ROUNDDOWN((AB$1-AC$1)*MAX(INDEX(T$4:T1644,MATCH(LARGE(FILTER(Y$4:Y1644,Y$4"&amp;":Y1644&lt;1000000000),1),Y$4:Y1644)),INDEX(F$4:F1644,MATCH(LARGE(FILTER(K$4:K1644,K$4:K1644&lt;1000000000),1),K$4:K1644)))),AND(K305&lt;1000000000,COUNTA(C305:C1644)&gt;0,P$3=FALSE),
ROUNDDOWN(INDEX(Y$4:Y1644,MATCH(LARGE(FILTER(W$4:W1644,W$4:W1644&lt;=I305),1),W$4:W1644"&amp;"))+(I305-LARGE(FILTER(W$4:W1644,W$4:W1644&lt;=I305),1))*INDEX(T$4:T1644,MATCH(LARGE(FILTER(W$4:W1644,W$4:W1644&lt;=I305),1),W$4:W1644))-K305),1,
ROUNDDOWN(Y305-INDEX(K$4:K1644,MATCH(LARGE(FILTER(I$4:I1644,I$4:I1644&lt;=W305),1),I$4:I1644))-(W305-LARGE(FILTER(I$4:I"&amp;"1644,I$4:I1644&lt;=W305),1))*INDEX(F$4:F1644,MATCH(LARGE(FILTER(I$4:I1644,I$4:I1644&lt;=W305),1),I$4:I1644))))"),3.0243236E7)</f>
        <v>30243236</v>
      </c>
      <c r="N305" s="60">
        <f t="shared" si="8"/>
        <v>-72.5856</v>
      </c>
      <c r="O305" s="61" t="str">
        <f t="shared" si="9"/>
        <v>30,2M</v>
      </c>
      <c r="P305" s="56">
        <f t="shared" si="10"/>
        <v>23</v>
      </c>
      <c r="Q305" s="105" t="s">
        <v>3</v>
      </c>
      <c r="R305" s="10"/>
      <c r="S305" s="59">
        <f t="array" ref="S305">IF(COUNTA(Q305:Q1644)=0,"",SUM((COUNTIF(Q$4:Q305,Upgrades!$B$3:$B$13)-COUNTIF(Q$4:Q305,"Sell_"&amp;Upgrades!$B$3:$B$13))*Upgrades!$D$3:$D$13))</f>
        <v>431097.3</v>
      </c>
      <c r="T305" s="66">
        <f>IFERROR(__xludf.DUMMYFUNCTION("IF(COUNTA(Q305:Q1644)=0,"""",IF(REGEXMATCH(INDEX(FILTER(Q$4:Q305,Q$4:Q305&lt;&gt;""""),ROWS(FILTER(Q$4:Q305,Q$4:Q305&lt;&gt;""""))),""^Sell_""),INDEX(FILTER(T$4:T304,Q$4:Q304&lt;&gt;""""),ROWS(FILTER(Q$4:Q304,Q$4:Q304&lt;&gt;""""))),$AD$5+S305))"),431107.3)</f>
        <v>431107.3</v>
      </c>
      <c r="U305" s="10">
        <f>IFERROR(__xludf.DUMMYFUNCTION("IF(COUNTA(Q305:Q1644)=0,"""",IF(Q305="""",0,IF(REGEXMATCH(Q305,""^Sell_""),-ROUNDDOWN(ROUNDUP(INDEX(Upgrades!$C$3:$C$13,MATCH(SUBSTITUTE(Q305,""Sell_"",""""),Upgrades!$B$3:$B$13,0))*1.15^(COUNTIF(Q$4:Q304,SUBSTITUTE(Q305,""Sell_"",""""))-COUNTIF(Q$4:Q304,"&amp;"""Sell_""&amp;SUBSTITUTE(Q305,""Sell_"",""""))))/2),ROUNDUP(INDEX(Upgrades!$C$3:$C$13,MATCH(Q305,Upgrades!$B$3:$B$13,0))*1.15^(COUNTIF(Q$4:Q304,Q305)-COUNTIF(Q$4:Q304,""Sell_""&amp;Q305))))))"),325.0)</f>
        <v>325</v>
      </c>
      <c r="V305" s="10">
        <f t="shared" si="11"/>
        <v>325</v>
      </c>
      <c r="W305" s="68">
        <f t="shared" si="12"/>
        <v>7058.696491</v>
      </c>
      <c r="X305" s="59" t="str">
        <f t="shared" si="13"/>
        <v>1h 57m 38s</v>
      </c>
      <c r="Y305" s="69">
        <f t="shared" si="14"/>
        <v>640193524</v>
      </c>
      <c r="Z305" s="11"/>
      <c r="AG305" s="59"/>
    </row>
    <row r="306">
      <c r="A306" s="8"/>
      <c r="B306" s="56" t="str">
        <f t="shared" si="2"/>
        <v/>
      </c>
      <c r="C306" s="105"/>
      <c r="D306" s="10"/>
      <c r="E306" s="59" t="str">
        <f t="array" ref="E306">IF(COUNTA(C306:C1644)=0,"",SUM((COUNTIF(C$4:C306,Upgrades!$B$3:$B$13)-COUNTIF(C$4:C306,"Sell_"&amp;Upgrades!$B$3:$B$13))*Upgrades!$D$3:$D$13))</f>
        <v/>
      </c>
      <c r="F306" s="66" t="str">
        <f>IFERROR(__xludf.DUMMYFUNCTION("IF(COUNTA(C306:C1644)=0,"""",IF(REGEXMATCH(INDEX(FILTER(C$4:C306,C$4:C306&lt;&gt;""""),ROWS(FILTER(C$4:C306,C$4:C306&lt;&gt;""""))),""^Sell_""),INDEX(FILTER(F$4:F305,C$4:C305&lt;&gt;""""),ROWS(FILTER(C$4:C305,C$4:C305&lt;&gt;""""))),$AC$5+E306))"),"")</f>
        <v/>
      </c>
      <c r="G306" s="10" t="str">
        <f>IFERROR(__xludf.DUMMYFUNCTION("IF(COUNTA(C306:C1644)=0,"""",IF(C306="""",0,IF(REGEXMATCH(C306,""^Sell_""),-ROUNDDOWN(ROUNDUP(INDEX(Upgrades!$C$3:$C$13,MATCH(SUBSTITUTE(C306,""Sell_"",""""),Upgrades!$B$3:$B$13,0))*1.15^(COUNTIF(C$4:C305,SUBSTITUTE(C306,""Sell_"",""""))-COUNTIF(C$4:C305,"&amp;"""Sell_""&amp;SUBSTITUTE(C306,""Sell_"",""""))))/2),ROUNDUP(INDEX(Upgrades!$C$3:$C$13,MATCH(C306,Upgrades!$B$3:$B$13,0))*1.15^(COUNTIF(C$4:C305,C306)-COUNTIF(C$4:C305,""Sell_""&amp;C306))))))"),"")</f>
        <v/>
      </c>
      <c r="H306" s="10" t="str">
        <f t="shared" si="3"/>
        <v/>
      </c>
      <c r="I306" s="68" t="str">
        <f t="shared" si="4"/>
        <v/>
      </c>
      <c r="J306" s="59" t="str">
        <f t="shared" si="5"/>
        <v/>
      </c>
      <c r="K306" s="69" t="str">
        <f t="shared" si="6"/>
        <v/>
      </c>
      <c r="L306" s="60">
        <f t="shared" si="7"/>
        <v>-72.61179</v>
      </c>
      <c r="M306" s="61">
        <f>IFERROR(__xludf.DUMMYFUNCTION("IFS(AND(COUNTA(C306:C1644)=0,COUNTA(Q306:Q1644)=0),"""",OR(AND(K306&gt;=1000000000,OR(Y306&gt;=1000000000,COUNTA(Q306:Q1644)=0)),OR(Y306&gt;=1000000000,AND(COUNTA(C306:C1644)=0,P$3=TRUE))),
ROUNDDOWN((AB$1-AC$1)*MAX(INDEX(T$4:T1644,MATCH(LARGE(FILTER(Y$4:Y1644,Y$4"&amp;":Y1644&lt;1000000000),1),Y$4:Y1644)),INDEX(F$4:F1644,MATCH(LARGE(FILTER(K$4:K1644,K$4:K1644&lt;1000000000),1),K$4:K1644)))),AND(K306&lt;1000000000,COUNTA(C306:C1644)&gt;0,P$3=FALSE),
ROUNDDOWN(INDEX(Y$4:Y1644,MATCH(LARGE(FILTER(W$4:W1644,W$4:W1644&lt;=I306),1),W$4:W1644"&amp;"))+(I306-LARGE(FILTER(W$4:W1644,W$4:W1644&lt;=I306),1))*INDEX(T$4:T1644,MATCH(LARGE(FILTER(W$4:W1644,W$4:W1644&lt;=I306),1),W$4:W1644))-K306),1,
ROUNDDOWN(Y306-INDEX(K$4:K1644,MATCH(LARGE(FILTER(I$4:I1644,I$4:I1644&lt;=W306),1),I$4:I1644))-(W306-LARGE(FILTER(I$4:I"&amp;"1644,I$4:I1644&lt;=W306),1))*INDEX(F$4:F1644,MATCH(LARGE(FILTER(I$4:I1644,I$4:I1644&lt;=W306),1),I$4:I1644))))"),3.0254146E7)</f>
        <v>30254146</v>
      </c>
      <c r="N306" s="60">
        <f t="shared" si="8"/>
        <v>-72.61179</v>
      </c>
      <c r="O306" s="61" t="str">
        <f t="shared" si="9"/>
        <v>30,3M</v>
      </c>
      <c r="P306" s="56">
        <f t="shared" si="10"/>
        <v>16</v>
      </c>
      <c r="Q306" s="105" t="s">
        <v>8</v>
      </c>
      <c r="R306" s="10"/>
      <c r="S306" s="59">
        <f t="array" ref="S306">IF(COUNTA(Q306:Q1644)=0,"",SUM((COUNTIF(Q$4:Q306,Upgrades!$B$3:$B$13)-COUNTIF(Q$4:Q306,"Sell_"&amp;Upgrades!$B$3:$B$13))*Upgrades!$D$3:$D$13))</f>
        <v>431197.3</v>
      </c>
      <c r="T306" s="66">
        <f>IFERROR(__xludf.DUMMYFUNCTION("IF(COUNTA(Q306:Q1644)=0,"""",IF(REGEXMATCH(INDEX(FILTER(Q$4:Q306,Q$4:Q306&lt;&gt;""""),ROWS(FILTER(Q$4:Q306,Q$4:Q306&lt;&gt;""""))),""^Sell_""),INDEX(FILTER(T$4:T305,Q$4:Q305&lt;&gt;""""),ROWS(FILTER(Q$4:Q305,Q$4:Q305&lt;&gt;""""))),$AD$5+S306))"),431207.3)</f>
        <v>431207.3</v>
      </c>
      <c r="U306" s="10">
        <f>IFERROR(__xludf.DUMMYFUNCTION("IF(COUNTA(Q306:Q1644)=0,"""",IF(Q306="""",0,IF(REGEXMATCH(Q306,""^Sell_""),-ROUNDDOWN(ROUNDUP(INDEX(Upgrades!$C$3:$C$13,MATCH(SUBSTITUTE(Q306,""Sell_"",""""),Upgrades!$B$3:$B$13,0))*1.15^(COUNTIF(Q$4:Q305,SUBSTITUTE(Q306,""Sell_"",""""))-COUNTIF(Q$4:Q305,"&amp;"""Sell_""&amp;SUBSTITUTE(Q306,""Sell_"",""""))))/2),ROUNDUP(INDEX(Upgrades!$C$3:$C$13,MATCH(Q306,Upgrades!$B$3:$B$13,0))*1.15^(COUNTIF(Q$4:Q305,Q306)-COUNTIF(Q$4:Q305,""Sell_""&amp;Q306))))))"),325483.0)</f>
        <v>325483</v>
      </c>
      <c r="V306" s="10">
        <f t="shared" si="11"/>
        <v>325483</v>
      </c>
      <c r="W306" s="68">
        <f t="shared" si="12"/>
        <v>7059.451484</v>
      </c>
      <c r="X306" s="59" t="str">
        <f t="shared" si="13"/>
        <v>1h 57m 39s</v>
      </c>
      <c r="Y306" s="69">
        <f t="shared" si="14"/>
        <v>640519007</v>
      </c>
      <c r="Z306" s="11"/>
      <c r="AG306" s="59"/>
    </row>
    <row r="307">
      <c r="A307" s="8"/>
      <c r="B307" s="56" t="str">
        <f t="shared" si="2"/>
        <v/>
      </c>
      <c r="C307" s="105"/>
      <c r="D307" s="10"/>
      <c r="E307" s="59" t="str">
        <f t="array" ref="E307">IF(COUNTA(C307:C1644)=0,"",SUM((COUNTIF(C$4:C307,Upgrades!$B$3:$B$13)-COUNTIF(C$4:C307,"Sell_"&amp;Upgrades!$B$3:$B$13))*Upgrades!$D$3:$D$13))</f>
        <v/>
      </c>
      <c r="F307" s="66" t="str">
        <f>IFERROR(__xludf.DUMMYFUNCTION("IF(COUNTA(C307:C1644)=0,"""",IF(REGEXMATCH(INDEX(FILTER(C$4:C307,C$4:C307&lt;&gt;""""),ROWS(FILTER(C$4:C307,C$4:C307&lt;&gt;""""))),""^Sell_""),INDEX(FILTER(F$4:F306,C$4:C306&lt;&gt;""""),ROWS(FILTER(C$4:C306,C$4:C306&lt;&gt;""""))),$AC$5+E307))"),"")</f>
        <v/>
      </c>
      <c r="G307" s="10" t="str">
        <f>IFERROR(__xludf.DUMMYFUNCTION("IF(COUNTA(C307:C1644)=0,"""",IF(C307="""",0,IF(REGEXMATCH(C307,""^Sell_""),-ROUNDDOWN(ROUNDUP(INDEX(Upgrades!$C$3:$C$13,MATCH(SUBSTITUTE(C307,""Sell_"",""""),Upgrades!$B$3:$B$13,0))*1.15^(COUNTIF(C$4:C306,SUBSTITUTE(C307,""Sell_"",""""))-COUNTIF(C$4:C306,"&amp;"""Sell_""&amp;SUBSTITUTE(C307,""Sell_"",""""))))/2),ROUNDUP(INDEX(Upgrades!$C$3:$C$13,MATCH(C307,Upgrades!$B$3:$B$13,0))*1.15^(COUNTIF(C$4:C306,C307)-COUNTIF(C$4:C306,""Sell_""&amp;C307))))))"),"")</f>
        <v/>
      </c>
      <c r="H307" s="10" t="str">
        <f t="shared" si="3"/>
        <v/>
      </c>
      <c r="I307" s="68" t="str">
        <f t="shared" si="4"/>
        <v/>
      </c>
      <c r="J307" s="59" t="str">
        <f t="shared" si="5"/>
        <v/>
      </c>
      <c r="K307" s="69" t="str">
        <f t="shared" si="6"/>
        <v/>
      </c>
      <c r="L307" s="60">
        <f t="shared" si="7"/>
        <v>-72.61192</v>
      </c>
      <c r="M307" s="61">
        <f>IFERROR(__xludf.DUMMYFUNCTION("IFS(AND(COUNTA(C307:C1644)=0,COUNTA(Q307:Q1644)=0),"""",OR(AND(K307&gt;=1000000000,OR(Y307&gt;=1000000000,COUNTA(Q307:Q1644)=0)),OR(Y307&gt;=1000000000,AND(COUNTA(C307:C1644)=0,P$3=TRUE))),
ROUNDDOWN((AB$1-AC$1)*MAX(INDEX(T$4:T1644,MATCH(LARGE(FILTER(Y$4:Y1644,Y$4"&amp;":Y1644&lt;1000000000),1),Y$4:Y1644)),INDEX(F$4:F1644,MATCH(LARGE(FILTER(K$4:K1644,K$4:K1644&lt;1000000000),1),K$4:K1644)))),AND(K307&lt;1000000000,COUNTA(C307:C1644)&gt;0,P$3=FALSE),
ROUNDDOWN(INDEX(Y$4:Y1644,MATCH(LARGE(FILTER(W$4:W1644,W$4:W1644&lt;=I307),1),W$4:W1644"&amp;"))+(I307-LARGE(FILTER(W$4:W1644,W$4:W1644&lt;=I307),1))*INDEX(T$4:T1644,MATCH(LARGE(FILTER(W$4:W1644,W$4:W1644&lt;=I307),1),W$4:W1644))-K307),1,
ROUNDDOWN(Y307-INDEX(K$4:K1644,MATCH(LARGE(FILTER(I$4:I1644,I$4:I1644&lt;=W307),1),I$4:I1644))-(W307-LARGE(FILTER(I$4:I"&amp;"1644,I$4:I1644&lt;=W307),1))*INDEX(F$4:F1644,MATCH(LARGE(FILTER(I$4:I1644,I$4:I1644&lt;=W307),1),I$4:I1644))))"),3.0254202E7)</f>
        <v>30254202</v>
      </c>
      <c r="N307" s="60">
        <f t="shared" si="8"/>
        <v>-72.61192</v>
      </c>
      <c r="O307" s="61" t="str">
        <f t="shared" si="9"/>
        <v>30,3M</v>
      </c>
      <c r="P307" s="56">
        <f t="shared" si="10"/>
        <v>21</v>
      </c>
      <c r="Q307" s="105" t="s">
        <v>4</v>
      </c>
      <c r="R307" s="10"/>
      <c r="S307" s="59">
        <f t="array" ref="S307">IF(COUNTA(Q307:Q1644)=0,"",SUM((COUNTIF(Q$4:Q307,Upgrades!$B$3:$B$13)-COUNTIF(Q$4:Q307,"Sell_"&amp;Upgrades!$B$3:$B$13))*Upgrades!$D$3:$D$13))</f>
        <v>431197.8</v>
      </c>
      <c r="T307" s="66">
        <f>IFERROR(__xludf.DUMMYFUNCTION("IF(COUNTA(Q307:Q1644)=0,"""",IF(REGEXMATCH(INDEX(FILTER(Q$4:Q307,Q$4:Q307&lt;&gt;""""),ROWS(FILTER(Q$4:Q307,Q$4:Q307&lt;&gt;""""))),""^Sell_""),INDEX(FILTER(T$4:T306,Q$4:Q306&lt;&gt;""""),ROWS(FILTER(Q$4:Q306,Q$4:Q306&lt;&gt;""""))),$AD$5+S307))"),431207.8)</f>
        <v>431207.8</v>
      </c>
      <c r="U307" s="10">
        <f>IFERROR(__xludf.DUMMYFUNCTION("IF(COUNTA(Q307:Q1644)=0,"""",IF(Q307="""",0,IF(REGEXMATCH(Q307,""^Sell_""),-ROUNDDOWN(ROUNDUP(INDEX(Upgrades!$C$3:$C$13,MATCH(SUBSTITUTE(Q307,""Sell_"",""""),Upgrades!$B$3:$B$13,0))*1.15^(COUNTIF(Q$4:Q306,SUBSTITUTE(Q307,""Sell_"",""""))-COUNTIF(Q$4:Q306,"&amp;"""Sell_""&amp;SUBSTITUTE(Q307,""Sell_"",""""))))/2),ROUNDUP(INDEX(Upgrades!$C$3:$C$13,MATCH(Q307,Upgrades!$B$3:$B$13,0))*1.15^(COUNTIF(Q$4:Q306,Q307)-COUNTIF(Q$4:Q306,""Sell_""&amp;Q307))))))"),1637.0)</f>
        <v>1637</v>
      </c>
      <c r="V307" s="10">
        <f t="shared" si="11"/>
        <v>1637</v>
      </c>
      <c r="W307" s="68">
        <f t="shared" si="12"/>
        <v>7059.45528</v>
      </c>
      <c r="X307" s="59" t="str">
        <f t="shared" si="13"/>
        <v>1h 57m 39s</v>
      </c>
      <c r="Y307" s="69">
        <f t="shared" si="14"/>
        <v>640520644</v>
      </c>
      <c r="Z307" s="11"/>
      <c r="AG307" s="59"/>
    </row>
    <row r="308">
      <c r="A308" s="8"/>
      <c r="B308" s="56" t="str">
        <f t="shared" si="2"/>
        <v/>
      </c>
      <c r="C308" s="105"/>
      <c r="D308" s="10"/>
      <c r="E308" s="59" t="str">
        <f t="array" ref="E308">IF(COUNTA(C308:C1644)=0,"",SUM((COUNTIF(C$4:C308,Upgrades!$B$3:$B$13)-COUNTIF(C$4:C308,"Sell_"&amp;Upgrades!$B$3:$B$13))*Upgrades!$D$3:$D$13))</f>
        <v/>
      </c>
      <c r="F308" s="66" t="str">
        <f>IFERROR(__xludf.DUMMYFUNCTION("IF(COUNTA(C308:C1644)=0,"""",IF(REGEXMATCH(INDEX(FILTER(C$4:C308,C$4:C308&lt;&gt;""""),ROWS(FILTER(C$4:C308,C$4:C308&lt;&gt;""""))),""^Sell_""),INDEX(FILTER(F$4:F307,C$4:C307&lt;&gt;""""),ROWS(FILTER(C$4:C307,C$4:C307&lt;&gt;""""))),$AC$5+E308))"),"")</f>
        <v/>
      </c>
      <c r="G308" s="10" t="str">
        <f>IFERROR(__xludf.DUMMYFUNCTION("IF(COUNTA(C308:C1644)=0,"""",IF(C308="""",0,IF(REGEXMATCH(C308,""^Sell_""),-ROUNDDOWN(ROUNDUP(INDEX(Upgrades!$C$3:$C$13,MATCH(SUBSTITUTE(C308,""Sell_"",""""),Upgrades!$B$3:$B$13,0))*1.15^(COUNTIF(C$4:C307,SUBSTITUTE(C308,""Sell_"",""""))-COUNTIF(C$4:C307,"&amp;"""Sell_""&amp;SUBSTITUTE(C308,""Sell_"",""""))))/2),ROUNDUP(INDEX(Upgrades!$C$3:$C$13,MATCH(C308,Upgrades!$B$3:$B$13,0))*1.15^(COUNTIF(C$4:C307,C308)-COUNTIF(C$4:C307,""Sell_""&amp;C308))))))"),"")</f>
        <v/>
      </c>
      <c r="H308" s="10" t="str">
        <f t="shared" si="3"/>
        <v/>
      </c>
      <c r="I308" s="68" t="str">
        <f t="shared" si="4"/>
        <v/>
      </c>
      <c r="J308" s="59" t="str">
        <f t="shared" si="5"/>
        <v/>
      </c>
      <c r="K308" s="69" t="str">
        <f t="shared" si="6"/>
        <v/>
      </c>
      <c r="L308" s="60">
        <f t="shared" si="7"/>
        <v>-72.72654</v>
      </c>
      <c r="M308" s="61">
        <f>IFERROR(__xludf.DUMMYFUNCTION("IFS(AND(COUNTA(C308:C1644)=0,COUNTA(Q308:Q1644)=0),"""",OR(AND(K308&gt;=1000000000,OR(Y308&gt;=1000000000,COUNTA(Q308:Q1644)=0)),OR(Y308&gt;=1000000000,AND(COUNTA(C308:C1644)=0,P$3=TRUE))),
ROUNDDOWN((AB$1-AC$1)*MAX(INDEX(T$4:T1644,MATCH(LARGE(FILTER(Y$4:Y1644,Y$4"&amp;":Y1644&lt;1000000000),1),Y$4:Y1644)),INDEX(F$4:F1644,MATCH(LARGE(FILTER(K$4:K1644,K$4:K1644&lt;1000000000),1),K$4:K1644)))),AND(K308&lt;1000000000,COUNTA(C308:C1644)&gt;0,P$3=FALSE),
ROUNDDOWN(INDEX(Y$4:Y1644,MATCH(LARGE(FILTER(W$4:W1644,W$4:W1644&lt;=I308),1),W$4:W1644"&amp;"))+(I308-LARGE(FILTER(W$4:W1644,W$4:W1644&lt;=I308),1))*INDEX(T$4:T1644,MATCH(LARGE(FILTER(W$4:W1644,W$4:W1644&lt;=I308),1),W$4:W1644))-K308),1,
ROUNDDOWN(Y308-INDEX(K$4:K1644,MATCH(LARGE(FILTER(I$4:I1644,I$4:I1644&lt;=W308),1),I$4:I1644))-(W308-LARGE(FILTER(I$4:I"&amp;"1644,I$4:I1644&lt;=W308),1))*INDEX(F$4:F1644,MATCH(LARGE(FILTER(I$4:I1644,I$4:I1644&lt;=W308),1),I$4:I1644))))"),3.0301958E7)</f>
        <v>30301958</v>
      </c>
      <c r="N308" s="60">
        <f t="shared" si="8"/>
        <v>-72.72654</v>
      </c>
      <c r="O308" s="61" t="str">
        <f t="shared" si="9"/>
        <v>30,3M</v>
      </c>
      <c r="P308" s="56">
        <f t="shared" si="10"/>
        <v>15</v>
      </c>
      <c r="Q308" s="105" t="s">
        <v>9</v>
      </c>
      <c r="R308" s="10"/>
      <c r="S308" s="59">
        <f t="array" ref="S308">IF(COUNTA(Q308:Q1644)=0,"",SUM((COUNTIF(Q$4:Q308,Upgrades!$B$3:$B$13)-COUNTIF(Q$4:Q308,"Sell_"&amp;Upgrades!$B$3:$B$13))*Upgrades!$D$3:$D$13))</f>
        <v>431597.8</v>
      </c>
      <c r="T308" s="66">
        <f>IFERROR(__xludf.DUMMYFUNCTION("IF(COUNTA(Q308:Q1644)=0,"""",IF(REGEXMATCH(INDEX(FILTER(Q$4:Q308,Q$4:Q308&lt;&gt;""""),ROWS(FILTER(Q$4:Q308,Q$4:Q308&lt;&gt;""""))),""^Sell_""),INDEX(FILTER(T$4:T307,Q$4:Q307&lt;&gt;""""),ROWS(FILTER(Q$4:Q307,Q$4:Q307&lt;&gt;""""))),$AD$5+S308))"),431607.8)</f>
        <v>431607.8</v>
      </c>
      <c r="U308" s="10">
        <f>IFERROR(__xludf.DUMMYFUNCTION("IF(COUNTA(Q308:Q1644)=0,"""",IF(Q308="""",0,IF(REGEXMATCH(Q308,""^Sell_""),-ROUNDDOWN(ROUNDUP(INDEX(Upgrades!$C$3:$C$13,MATCH(SUBSTITUTE(Q308,""Sell_"",""""),Upgrades!$B$3:$B$13,0))*1.15^(COUNTIF(Q$4:Q307,SUBSTITUTE(Q308,""Sell_"",""""))-COUNTIF(Q$4:Q307,"&amp;"""Sell_""&amp;SUBSTITUTE(Q308,""Sell_"",""""))))/2),ROUNDUP(INDEX(Upgrades!$C$3:$C$13,MATCH(Q308,Upgrades!$B$3:$B$13,0))*1.15^(COUNTIF(Q$4:Q307,Q308)-COUNTIF(Q$4:Q307,""Sell_""&amp;Q308))))))"),1415142.0)</f>
        <v>1415142</v>
      </c>
      <c r="V308" s="10">
        <f t="shared" si="11"/>
        <v>1415142</v>
      </c>
      <c r="W308" s="68">
        <f t="shared" si="12"/>
        <v>7062.73709</v>
      </c>
      <c r="X308" s="59" t="str">
        <f t="shared" si="13"/>
        <v>1h 57m 42s</v>
      </c>
      <c r="Y308" s="69">
        <f t="shared" si="14"/>
        <v>641935786</v>
      </c>
      <c r="Z308" s="11"/>
      <c r="AG308" s="59"/>
    </row>
    <row r="309">
      <c r="A309" s="8"/>
      <c r="B309" s="56" t="str">
        <f t="shared" si="2"/>
        <v/>
      </c>
      <c r="C309" s="105"/>
      <c r="D309" s="10"/>
      <c r="E309" s="59" t="str">
        <f t="array" ref="E309">IF(COUNTA(C309:C1644)=0,"",SUM((COUNTIF(C$4:C309,Upgrades!$B$3:$B$13)-COUNTIF(C$4:C309,"Sell_"&amp;Upgrades!$B$3:$B$13))*Upgrades!$D$3:$D$13))</f>
        <v/>
      </c>
      <c r="F309" s="66" t="str">
        <f>IFERROR(__xludf.DUMMYFUNCTION("IF(COUNTA(C309:C1644)=0,"""",IF(REGEXMATCH(INDEX(FILTER(C$4:C309,C$4:C309&lt;&gt;""""),ROWS(FILTER(C$4:C309,C$4:C309&lt;&gt;""""))),""^Sell_""),INDEX(FILTER(F$4:F308,C$4:C308&lt;&gt;""""),ROWS(FILTER(C$4:C308,C$4:C308&lt;&gt;""""))),$AC$5+E309))"),"")</f>
        <v/>
      </c>
      <c r="G309" s="10" t="str">
        <f>IFERROR(__xludf.DUMMYFUNCTION("IF(COUNTA(C309:C1644)=0,"""",IF(C309="""",0,IF(REGEXMATCH(C309,""^Sell_""),-ROUNDDOWN(ROUNDUP(INDEX(Upgrades!$C$3:$C$13,MATCH(SUBSTITUTE(C309,""Sell_"",""""),Upgrades!$B$3:$B$13,0))*1.15^(COUNTIF(C$4:C308,SUBSTITUTE(C309,""Sell_"",""""))-COUNTIF(C$4:C308,"&amp;"""Sell_""&amp;SUBSTITUTE(C309,""Sell_"",""""))))/2),ROUNDUP(INDEX(Upgrades!$C$3:$C$13,MATCH(C309,Upgrades!$B$3:$B$13,0))*1.15^(COUNTIF(C$4:C308,C309)-COUNTIF(C$4:C308,""Sell_""&amp;C309))))))"),"")</f>
        <v/>
      </c>
      <c r="H309" s="10" t="str">
        <f t="shared" si="3"/>
        <v/>
      </c>
      <c r="I309" s="68" t="str">
        <f t="shared" si="4"/>
        <v/>
      </c>
      <c r="J309" s="59" t="str">
        <f t="shared" si="5"/>
        <v/>
      </c>
      <c r="K309" s="69" t="str">
        <f t="shared" si="6"/>
        <v/>
      </c>
      <c r="L309" s="60">
        <f t="shared" si="7"/>
        <v>-72.73837</v>
      </c>
      <c r="M309" s="61">
        <f>IFERROR(__xludf.DUMMYFUNCTION("IFS(AND(COUNTA(C309:C1644)=0,COUNTA(Q309:Q1644)=0),"""",OR(AND(K309&gt;=1000000000,OR(Y309&gt;=1000000000,COUNTA(Q309:Q1644)=0)),OR(Y309&gt;=1000000000,AND(COUNTA(C309:C1644)=0,P$3=TRUE))),
ROUNDDOWN((AB$1-AC$1)*MAX(INDEX(T$4:T1644,MATCH(LARGE(FILTER(Y$4:Y1644,Y$4"&amp;":Y1644&lt;1000000000),1),Y$4:Y1644)),INDEX(F$4:F1644,MATCH(LARGE(FILTER(K$4:K1644,K$4:K1644&lt;1000000000),1),K$4:K1644)))),AND(K309&lt;1000000000,COUNTA(C309:C1644)&gt;0,P$3=FALSE),
ROUNDDOWN(INDEX(Y$4:Y1644,MATCH(LARGE(FILTER(W$4:W1644,W$4:W1644&lt;=I309),1),W$4:W1644"&amp;"))+(I309-LARGE(FILTER(W$4:W1644,W$4:W1644&lt;=I309),1))*INDEX(T$4:T1644,MATCH(LARGE(FILTER(W$4:W1644,W$4:W1644&lt;=I309),1),W$4:W1644))-K309),1,
ROUNDDOWN(Y309-INDEX(K$4:K1644,MATCH(LARGE(FILTER(I$4:I1644,I$4:I1644&lt;=W309),1),I$4:I1644))-(W309-LARGE(FILTER(I$4:I"&amp;"1644,I$4:I1644&lt;=W309),1))*INDEX(F$4:F1644,MATCH(LARGE(FILTER(I$4:I1644,I$4:I1644&lt;=W309),1),I$4:I1644))))"),3.0306888E7)</f>
        <v>30306888</v>
      </c>
      <c r="N309" s="60">
        <f t="shared" si="8"/>
        <v>-72.73837</v>
      </c>
      <c r="O309" s="61" t="str">
        <f t="shared" si="9"/>
        <v>30,3M</v>
      </c>
      <c r="P309" s="56">
        <f t="shared" si="10"/>
        <v>20</v>
      </c>
      <c r="Q309" s="105" t="s">
        <v>7</v>
      </c>
      <c r="R309" s="10"/>
      <c r="S309" s="59">
        <f t="array" ref="S309">IF(COUNTA(Q309:Q1644)=0,"",SUM((COUNTIF(Q$4:Q309,Upgrades!$B$3:$B$13)-COUNTIF(Q$4:Q309,"Sell_"&amp;Upgrades!$B$3:$B$13))*Upgrades!$D$3:$D$13))</f>
        <v>431637.8</v>
      </c>
      <c r="T309" s="66">
        <f>IFERROR(__xludf.DUMMYFUNCTION("IF(COUNTA(Q309:Q1644)=0,"""",IF(REGEXMATCH(INDEX(FILTER(Q$4:Q309,Q$4:Q309&lt;&gt;""""),ROWS(FILTER(Q$4:Q309,Q$4:Q309&lt;&gt;""""))),""^Sell_""),INDEX(FILTER(T$4:T308,Q$4:Q308&lt;&gt;""""),ROWS(FILTER(Q$4:Q308,Q$4:Q308&lt;&gt;""""))),$AD$5+S309))"),431647.8)</f>
        <v>431647.8</v>
      </c>
      <c r="U309" s="10">
        <f>IFERROR(__xludf.DUMMYFUNCTION("IF(COUNTA(Q309:Q1644)=0,"""",IF(Q309="""",0,IF(REGEXMATCH(Q309,""^Sell_""),-ROUNDDOWN(ROUNDUP(INDEX(Upgrades!$C$3:$C$13,MATCH(SUBSTITUTE(Q309,""Sell_"",""""),Upgrades!$B$3:$B$13,0))*1.15^(COUNTIF(Q$4:Q308,SUBSTITUTE(Q309,""Sell_"",""""))-COUNTIF(Q$4:Q308,"&amp;"""Sell_""&amp;SUBSTITUTE(Q309,""Sell_"",""""))))/2),ROUNDUP(INDEX(Upgrades!$C$3:$C$13,MATCH(Q309,Upgrades!$B$3:$B$13,0))*1.15^(COUNTIF(Q$4:Q308,Q309)-COUNTIF(Q$4:Q308,""Sell_""&amp;Q309))))))"),142318.0)</f>
        <v>142318</v>
      </c>
      <c r="V309" s="10">
        <f t="shared" si="11"/>
        <v>142318</v>
      </c>
      <c r="W309" s="68">
        <f t="shared" si="12"/>
        <v>7063.066829</v>
      </c>
      <c r="X309" s="59" t="str">
        <f t="shared" si="13"/>
        <v>1h 57m 43s</v>
      </c>
      <c r="Y309" s="69">
        <f t="shared" si="14"/>
        <v>642078104</v>
      </c>
      <c r="Z309" s="11"/>
      <c r="AG309" s="59"/>
    </row>
    <row r="310">
      <c r="A310" s="8"/>
      <c r="B310" s="56" t="str">
        <f t="shared" si="2"/>
        <v/>
      </c>
      <c r="C310" s="105"/>
      <c r="D310" s="10"/>
      <c r="E310" s="59" t="str">
        <f t="array" ref="E310">IF(COUNTA(C310:C1644)=0,"",SUM((COUNTIF(C$4:C310,Upgrades!$B$3:$B$13)-COUNTIF(C$4:C310,"Sell_"&amp;Upgrades!$B$3:$B$13))*Upgrades!$D$3:$D$13))</f>
        <v/>
      </c>
      <c r="F310" s="66" t="str">
        <f>IFERROR(__xludf.DUMMYFUNCTION("IF(COUNTA(C310:C1644)=0,"""",IF(REGEXMATCH(INDEX(FILTER(C$4:C310,C$4:C310&lt;&gt;""""),ROWS(FILTER(C$4:C310,C$4:C310&lt;&gt;""""))),""^Sell_""),INDEX(FILTER(F$4:F309,C$4:C309&lt;&gt;""""),ROWS(FILTER(C$4:C309,C$4:C309&lt;&gt;""""))),$AC$5+E310))"),"")</f>
        <v/>
      </c>
      <c r="G310" s="10" t="str">
        <f>IFERROR(__xludf.DUMMYFUNCTION("IF(COUNTA(C310:C1644)=0,"""",IF(C310="""",0,IF(REGEXMATCH(C310,""^Sell_""),-ROUNDDOWN(ROUNDUP(INDEX(Upgrades!$C$3:$C$13,MATCH(SUBSTITUTE(C310,""Sell_"",""""),Upgrades!$B$3:$B$13,0))*1.15^(COUNTIF(C$4:C309,SUBSTITUTE(C310,""Sell_"",""""))-COUNTIF(C$4:C309,"&amp;"""Sell_""&amp;SUBSTITUTE(C310,""Sell_"",""""))))/2),ROUNDUP(INDEX(Upgrades!$C$3:$C$13,MATCH(C310,Upgrades!$B$3:$B$13,0))*1.15^(COUNTIF(C$4:C309,C310)-COUNTIF(C$4:C309,""Sell_""&amp;C310))))))"),"")</f>
        <v/>
      </c>
      <c r="H310" s="10" t="str">
        <f t="shared" si="3"/>
        <v/>
      </c>
      <c r="I310" s="68" t="str">
        <f t="shared" si="4"/>
        <v/>
      </c>
      <c r="J310" s="59" t="str">
        <f t="shared" si="5"/>
        <v/>
      </c>
      <c r="K310" s="69" t="str">
        <f t="shared" si="6"/>
        <v/>
      </c>
      <c r="L310" s="60">
        <f t="shared" si="7"/>
        <v>-72.73956</v>
      </c>
      <c r="M310" s="61">
        <f>IFERROR(__xludf.DUMMYFUNCTION("IFS(AND(COUNTA(C310:C1644)=0,COUNTA(Q310:Q1644)=0),"""",OR(AND(K310&gt;=1000000000,OR(Y310&gt;=1000000000,COUNTA(Q310:Q1644)=0)),OR(Y310&gt;=1000000000,AND(COUNTA(C310:C1644)=0,P$3=TRUE))),
ROUNDDOWN((AB$1-AC$1)*MAX(INDEX(T$4:T1644,MATCH(LARGE(FILTER(Y$4:Y1644,Y$4"&amp;":Y1644&lt;1000000000),1),Y$4:Y1644)),INDEX(F$4:F1644,MATCH(LARGE(FILTER(K$4:K1644,K$4:K1644&lt;1000000000),1),K$4:K1644)))),AND(K310&lt;1000000000,COUNTA(C310:C1644)&gt;0,P$3=FALSE),
ROUNDDOWN(INDEX(Y$4:Y1644,MATCH(LARGE(FILTER(W$4:W1644,W$4:W1644&lt;=I310),1),W$4:W1644"&amp;"))+(I310-LARGE(FILTER(W$4:W1644,W$4:W1644&lt;=I310),1))*INDEX(T$4:T1644,MATCH(LARGE(FILTER(W$4:W1644,W$4:W1644&lt;=I310),1),W$4:W1644))-K310),1,
ROUNDDOWN(Y310-INDEX(K$4:K1644,MATCH(LARGE(FILTER(I$4:I1644,I$4:I1644&lt;=W310),1),I$4:I1644))-(W310-LARGE(FILTER(I$4:I"&amp;"1644,I$4:I1644&lt;=W310),1))*INDEX(F$4:F1644,MATCH(LARGE(FILTER(I$4:I1644,I$4:I1644&lt;=W310),1),I$4:I1644))))"),3.0307385E7)</f>
        <v>30307385</v>
      </c>
      <c r="N310" s="60">
        <f t="shared" si="8"/>
        <v>-72.73956</v>
      </c>
      <c r="O310" s="61" t="str">
        <f t="shared" si="9"/>
        <v>30,3M</v>
      </c>
      <c r="P310" s="56">
        <f t="shared" si="10"/>
        <v>25</v>
      </c>
      <c r="Q310" s="105" t="s">
        <v>5</v>
      </c>
      <c r="R310" s="10"/>
      <c r="S310" s="59">
        <f t="array" ref="S310">IF(COUNTA(Q310:Q1644)=0,"",SUM((COUNTIF(Q$4:Q310,Upgrades!$B$3:$B$13)-COUNTIF(Q$4:Q310,"Sell_"&amp;Upgrades!$B$3:$B$13))*Upgrades!$D$3:$D$13))</f>
        <v>431641.8</v>
      </c>
      <c r="T310" s="66">
        <f>IFERROR(__xludf.DUMMYFUNCTION("IF(COUNTA(Q310:Q1644)=0,"""",IF(REGEXMATCH(INDEX(FILTER(Q$4:Q310,Q$4:Q310&lt;&gt;""""),ROWS(FILTER(Q$4:Q310,Q$4:Q310&lt;&gt;""""))),""^Sell_""),INDEX(FILTER(T$4:T309,Q$4:Q309&lt;&gt;""""),ROWS(FILTER(Q$4:Q309,Q$4:Q309&lt;&gt;""""))),$AD$5+S310))"),431651.8)</f>
        <v>431651.8</v>
      </c>
      <c r="U310" s="10">
        <f>IFERROR(__xludf.DUMMYFUNCTION("IF(COUNTA(Q310:Q1644)=0,"""",IF(Q310="""",0,IF(REGEXMATCH(Q310,""^Sell_""),-ROUNDDOWN(ROUNDUP(INDEX(Upgrades!$C$3:$C$13,MATCH(SUBSTITUTE(Q310,""Sell_"",""""),Upgrades!$B$3:$B$13,0))*1.15^(COUNTIF(Q$4:Q309,SUBSTITUTE(Q310,""Sell_"",""""))-COUNTIF(Q$4:Q309,"&amp;"""Sell_""&amp;SUBSTITUTE(Q310,""Sell_"",""""))))/2),ROUNDUP(INDEX(Upgrades!$C$3:$C$13,MATCH(Q310,Upgrades!$B$3:$B$13,0))*1.15^(COUNTIF(Q$4:Q309,Q310)-COUNTIF(Q$4:Q309,""Sell_""&amp;Q310))))))"),14313.0)</f>
        <v>14313</v>
      </c>
      <c r="V310" s="10">
        <f t="shared" si="11"/>
        <v>14313</v>
      </c>
      <c r="W310" s="68">
        <f t="shared" si="12"/>
        <v>7063.099988</v>
      </c>
      <c r="X310" s="59" t="str">
        <f t="shared" si="13"/>
        <v>1h 57m 43s</v>
      </c>
      <c r="Y310" s="69">
        <f t="shared" si="14"/>
        <v>642092417</v>
      </c>
      <c r="Z310" s="11"/>
      <c r="AG310" s="59"/>
    </row>
    <row r="311">
      <c r="A311" s="8"/>
      <c r="B311" s="56" t="str">
        <f t="shared" si="2"/>
        <v/>
      </c>
      <c r="C311" s="105"/>
      <c r="D311" s="10"/>
      <c r="E311" s="59" t="str">
        <f t="array" ref="E311">IF(COUNTA(C311:C1644)=0,"",SUM((COUNTIF(C$4:C311,Upgrades!$B$3:$B$13)-COUNTIF(C$4:C311,"Sell_"&amp;Upgrades!$B$3:$B$13))*Upgrades!$D$3:$D$13))</f>
        <v/>
      </c>
      <c r="F311" s="66" t="str">
        <f>IFERROR(__xludf.DUMMYFUNCTION("IF(COUNTA(C311:C1644)=0,"""",IF(REGEXMATCH(INDEX(FILTER(C$4:C311,C$4:C311&lt;&gt;""""),ROWS(FILTER(C$4:C311,C$4:C311&lt;&gt;""""))),""^Sell_""),INDEX(FILTER(F$4:F310,C$4:C310&lt;&gt;""""),ROWS(FILTER(C$4:C310,C$4:C310&lt;&gt;""""))),$AC$5+E311))"),"")</f>
        <v/>
      </c>
      <c r="G311" s="10" t="str">
        <f>IFERROR(__xludf.DUMMYFUNCTION("IF(COUNTA(C311:C1644)=0,"""",IF(C311="""",0,IF(REGEXMATCH(C311,""^Sell_""),-ROUNDDOWN(ROUNDUP(INDEX(Upgrades!$C$3:$C$13,MATCH(SUBSTITUTE(C311,""Sell_"",""""),Upgrades!$B$3:$B$13,0))*1.15^(COUNTIF(C$4:C310,SUBSTITUTE(C311,""Sell_"",""""))-COUNTIF(C$4:C310,"&amp;"""Sell_""&amp;SUBSTITUTE(C311,""Sell_"",""""))))/2),ROUNDUP(INDEX(Upgrades!$C$3:$C$13,MATCH(C311,Upgrades!$B$3:$B$13,0))*1.15^(COUNTIF(C$4:C310,C311)-COUNTIF(C$4:C310,""Sell_""&amp;C311))))))"),"")</f>
        <v/>
      </c>
      <c r="H311" s="10" t="str">
        <f t="shared" si="3"/>
        <v/>
      </c>
      <c r="I311" s="68" t="str">
        <f t="shared" si="4"/>
        <v/>
      </c>
      <c r="J311" s="59" t="str">
        <f t="shared" si="5"/>
        <v/>
      </c>
      <c r="K311" s="69" t="str">
        <f t="shared" si="6"/>
        <v/>
      </c>
      <c r="L311" s="60">
        <f t="shared" si="7"/>
        <v>-74.71728</v>
      </c>
      <c r="M311" s="61">
        <f>IFERROR(__xludf.DUMMYFUNCTION("IFS(AND(COUNTA(C311:C1644)=0,COUNTA(Q311:Q1644)=0),"""",OR(AND(K311&gt;=1000000000,OR(Y311&gt;=1000000000,COUNTA(Q311:Q1644)=0)),OR(Y311&gt;=1000000000,AND(COUNTA(C311:C1644)=0,P$3=TRUE))),
ROUNDDOWN((AB$1-AC$1)*MAX(INDEX(T$4:T1644,MATCH(LARGE(FILTER(Y$4:Y1644,Y$4"&amp;":Y1644&lt;1000000000),1),Y$4:Y1644)),INDEX(F$4:F1644,MATCH(LARGE(FILTER(K$4:K1644,K$4:K1644&lt;1000000000),1),K$4:K1644)))),AND(K311&lt;1000000000,COUNTA(C311:C1644)&gt;0,P$3=FALSE),
ROUNDDOWN(INDEX(Y$4:Y1644,MATCH(LARGE(FILTER(W$4:W1644,W$4:W1644&lt;=I311),1),W$4:W1644"&amp;"))+(I311-LARGE(FILTER(W$4:W1644,W$4:W1644&lt;=I311),1))*INDEX(T$4:T1644,MATCH(LARGE(FILTER(W$4:W1644,W$4:W1644&lt;=I311),1),W$4:W1644))-K311),1,
ROUNDDOWN(Y311-INDEX(K$4:K1644,MATCH(LARGE(FILTER(I$4:I1644,I$4:I1644&lt;=W311),1),I$4:I1644))-(W311-LARGE(FILTER(I$4:I"&amp;"1644,I$4:I1644&lt;=W311),1))*INDEX(F$4:F1644,MATCH(LARGE(FILTER(I$4:I1644,I$4:I1644&lt;=W311),1),I$4:I1644))))"),3.1131411E7)</f>
        <v>31131411</v>
      </c>
      <c r="N311" s="60">
        <f t="shared" si="8"/>
        <v>-74.71728</v>
      </c>
      <c r="O311" s="61" t="str">
        <f t="shared" si="9"/>
        <v>31,1M</v>
      </c>
      <c r="P311" s="56">
        <f t="shared" si="10"/>
        <v>20</v>
      </c>
      <c r="Q311" s="105" t="s">
        <v>10</v>
      </c>
      <c r="R311" s="10"/>
      <c r="S311" s="59">
        <f t="array" ref="S311">IF(COUNTA(Q311:Q1644)=0,"",SUM((COUNTIF(Q$4:Q311,Upgrades!$B$3:$B$13)-COUNTIF(Q$4:Q311,"Sell_"&amp;Upgrades!$B$3:$B$13))*Upgrades!$D$3:$D$13))</f>
        <v>438307.8</v>
      </c>
      <c r="T311" s="66">
        <f>IFERROR(__xludf.DUMMYFUNCTION("IF(COUNTA(Q311:Q1644)=0,"""",IF(REGEXMATCH(INDEX(FILTER(Q$4:Q311,Q$4:Q311&lt;&gt;""""),ROWS(FILTER(Q$4:Q311,Q$4:Q311&lt;&gt;""""))),""^Sell_""),INDEX(FILTER(T$4:T310,Q$4:Q310&lt;&gt;""""),ROWS(FILTER(Q$4:Q310,Q$4:Q310&lt;&gt;""""))),$AD$5+S311))"),438317.8)</f>
        <v>438317.8</v>
      </c>
      <c r="U311" s="10">
        <f>IFERROR(__xludf.DUMMYFUNCTION("IF(COUNTA(Q311:Q1644)=0,"""",IF(Q311="""",0,IF(REGEXMATCH(Q311,""^Sell_""),-ROUNDDOWN(ROUNDUP(INDEX(Upgrades!$C$3:$C$13,MATCH(SUBSTITUTE(Q311,""Sell_"",""""),Upgrades!$B$3:$B$13,0))*1.15^(COUNTIF(Q$4:Q310,SUBSTITUTE(Q311,""Sell_"",""""))-COUNTIF(Q$4:Q310,"&amp;"""Sell_""&amp;SUBSTITUTE(Q311,""Sell_"",""""))))/2),ROUNDUP(INDEX(Upgrades!$C$3:$C$13,MATCH(Q311,Upgrades!$B$3:$B$13,0))*1.15^(COUNTIF(Q$4:Q310,Q311)-COUNTIF(Q$4:Q310,""Sell_""&amp;Q311))))))"),2.371961E7)</f>
        <v>23719610</v>
      </c>
      <c r="V311" s="10">
        <f t="shared" si="11"/>
        <v>23719610</v>
      </c>
      <c r="W311" s="68">
        <f t="shared" si="12"/>
        <v>7118.050784</v>
      </c>
      <c r="X311" s="59" t="str">
        <f t="shared" si="13"/>
        <v>1h 58m 38s</v>
      </c>
      <c r="Y311" s="69">
        <f t="shared" si="14"/>
        <v>665812027</v>
      </c>
      <c r="Z311" s="11"/>
      <c r="AG311" s="59"/>
    </row>
    <row r="312">
      <c r="A312" s="8"/>
      <c r="B312" s="56" t="str">
        <f t="shared" si="2"/>
        <v/>
      </c>
      <c r="C312" s="105"/>
      <c r="D312" s="10"/>
      <c r="E312" s="59" t="str">
        <f t="array" ref="E312">IF(COUNTA(C312:C1644)=0,"",SUM((COUNTIF(C$4:C312,Upgrades!$B$3:$B$13)-COUNTIF(C$4:C312,"Sell_"&amp;Upgrades!$B$3:$B$13))*Upgrades!$D$3:$D$13))</f>
        <v/>
      </c>
      <c r="F312" s="66" t="str">
        <f>IFERROR(__xludf.DUMMYFUNCTION("IF(COUNTA(C312:C1644)=0,"""",IF(REGEXMATCH(INDEX(FILTER(C$4:C312,C$4:C312&lt;&gt;""""),ROWS(FILTER(C$4:C312,C$4:C312&lt;&gt;""""))),""^Sell_""),INDEX(FILTER(F$4:F311,C$4:C311&lt;&gt;""""),ROWS(FILTER(C$4:C311,C$4:C311&lt;&gt;""""))),$AC$5+E312))"),"")</f>
        <v/>
      </c>
      <c r="G312" s="10" t="str">
        <f>IFERROR(__xludf.DUMMYFUNCTION("IF(COUNTA(C312:C1644)=0,"""",IF(C312="""",0,IF(REGEXMATCH(C312,""^Sell_""),-ROUNDDOWN(ROUNDUP(INDEX(Upgrades!$C$3:$C$13,MATCH(SUBSTITUTE(C312,""Sell_"",""""),Upgrades!$B$3:$B$13,0))*1.15^(COUNTIF(C$4:C311,SUBSTITUTE(C312,""Sell_"",""""))-COUNTIF(C$4:C311,"&amp;"""Sell_""&amp;SUBSTITUTE(C312,""Sell_"",""""))))/2),ROUNDUP(INDEX(Upgrades!$C$3:$C$13,MATCH(C312,Upgrades!$B$3:$B$13,0))*1.15^(COUNTIF(C$4:C311,C312)-COUNTIF(C$4:C311,""Sell_""&amp;C312))))))"),"")</f>
        <v/>
      </c>
      <c r="H312" s="10" t="str">
        <f t="shared" si="3"/>
        <v/>
      </c>
      <c r="I312" s="68" t="str">
        <f t="shared" si="4"/>
        <v/>
      </c>
      <c r="J312" s="59" t="str">
        <f t="shared" si="5"/>
        <v/>
      </c>
      <c r="K312" s="69" t="str">
        <f t="shared" si="6"/>
        <v/>
      </c>
      <c r="L312" s="60">
        <f t="shared" si="7"/>
        <v>-74.72168</v>
      </c>
      <c r="M312" s="61">
        <f>IFERROR(__xludf.DUMMYFUNCTION("IFS(AND(COUNTA(C312:C1644)=0,COUNTA(Q312:Q1644)=0),"""",OR(AND(K312&gt;=1000000000,OR(Y312&gt;=1000000000,COUNTA(Q312:Q1644)=0)),OR(Y312&gt;=1000000000,AND(COUNTA(C312:C1644)=0,P$3=TRUE))),
ROUNDDOWN((AB$1-AC$1)*MAX(INDEX(T$4:T1644,MATCH(LARGE(FILTER(Y$4:Y1644,Y$4"&amp;":Y1644&lt;1000000000),1),Y$4:Y1644)),INDEX(F$4:F1644,MATCH(LARGE(FILTER(K$4:K1644,K$4:K1644&lt;1000000000),1),K$4:K1644)))),AND(K312&lt;1000000000,COUNTA(C312:C1644)&gt;0,P$3=FALSE),
ROUNDDOWN(INDEX(Y$4:Y1644,MATCH(LARGE(FILTER(W$4:W1644,W$4:W1644&lt;=I312),1),W$4:W1644"&amp;"))+(I312-LARGE(FILTER(W$4:W1644,W$4:W1644&lt;=I312),1))*INDEX(T$4:T1644,MATCH(LARGE(FILTER(W$4:W1644,W$4:W1644&lt;=I312),1),W$4:W1644))-K312),1,
ROUNDDOWN(Y312-INDEX(K$4:K1644,MATCH(LARGE(FILTER(I$4:I1644,I$4:I1644&lt;=W312),1),I$4:I1644))-(W312-LARGE(FILTER(I$4:I"&amp;"1644,I$4:I1644&lt;=W312),1))*INDEX(F$4:F1644,MATCH(LARGE(FILTER(I$4:I1644,I$4:I1644&lt;=W312),1),I$4:I1644))))"),3.1133245E7)</f>
        <v>31133245</v>
      </c>
      <c r="N312" s="60">
        <f t="shared" si="8"/>
        <v>-74.72168</v>
      </c>
      <c r="O312" s="61" t="str">
        <f t="shared" si="9"/>
        <v>31,1M</v>
      </c>
      <c r="P312" s="56">
        <f t="shared" si="10"/>
        <v>19</v>
      </c>
      <c r="Q312" s="105" t="s">
        <v>6</v>
      </c>
      <c r="R312" s="10"/>
      <c r="S312" s="59">
        <f t="array" ref="S312">IF(COUNTA(Q312:Q1644)=0,"",SUM((COUNTIF(Q$4:Q312,Upgrades!$B$3:$B$13)-COUNTIF(Q$4:Q312,"Sell_"&amp;Upgrades!$B$3:$B$13))*Upgrades!$D$3:$D$13))</f>
        <v>438317.8</v>
      </c>
      <c r="T312" s="66">
        <f>IFERROR(__xludf.DUMMYFUNCTION("IF(COUNTA(Q312:Q1644)=0,"""",IF(REGEXMATCH(INDEX(FILTER(Q$4:Q312,Q$4:Q312&lt;&gt;""""),ROWS(FILTER(Q$4:Q312,Q$4:Q312&lt;&gt;""""))),""^Sell_""),INDEX(FILTER(T$4:T311,Q$4:Q311&lt;&gt;""""),ROWS(FILTER(Q$4:Q311,Q$4:Q311&lt;&gt;""""))),$AD$5+S312))"),438327.8)</f>
        <v>438327.8</v>
      </c>
      <c r="U312" s="10">
        <f>IFERROR(__xludf.DUMMYFUNCTION("IF(COUNTA(Q312:Q1644)=0,"""",IF(Q312="""",0,IF(REGEXMATCH(Q312,""^Sell_""),-ROUNDDOWN(ROUNDUP(INDEX(Upgrades!$C$3:$C$13,MATCH(SUBSTITUTE(Q312,""Sell_"",""""),Upgrades!$B$3:$B$13,0))*1.15^(COUNTIF(Q$4:Q311,SUBSTITUTE(Q312,""Sell_"",""""))-COUNTIF(Q$4:Q311,"&amp;"""Sell_""&amp;SUBSTITUTE(Q312,""Sell_"",""""))))/2),ROUNDUP(INDEX(Upgrades!$C$3:$C$13,MATCH(Q312,Upgrades!$B$3:$B$13,0))*1.15^(COUNTIF(Q$4:Q311,Q312)-COUNTIF(Q$4:Q311,""Sell_""&amp;Q312))))))"),37127.0)</f>
        <v>37127</v>
      </c>
      <c r="V312" s="10">
        <f t="shared" si="11"/>
        <v>37127</v>
      </c>
      <c r="W312" s="68">
        <f t="shared" si="12"/>
        <v>7118.135488</v>
      </c>
      <c r="X312" s="59" t="str">
        <f t="shared" si="13"/>
        <v>1h 58m 38s</v>
      </c>
      <c r="Y312" s="69">
        <f t="shared" si="14"/>
        <v>665849154</v>
      </c>
      <c r="Z312" s="11"/>
      <c r="AG312" s="59"/>
    </row>
    <row r="313">
      <c r="A313" s="8"/>
      <c r="B313" s="56" t="str">
        <f t="shared" si="2"/>
        <v/>
      </c>
      <c r="C313" s="105"/>
      <c r="D313" s="10"/>
      <c r="E313" s="59" t="str">
        <f t="array" ref="E313">IF(COUNTA(C313:C1644)=0,"",SUM((COUNTIF(C$4:C313,Upgrades!$B$3:$B$13)-COUNTIF(C$4:C313,"Sell_"&amp;Upgrades!$B$3:$B$13))*Upgrades!$D$3:$D$13))</f>
        <v/>
      </c>
      <c r="F313" s="66" t="str">
        <f>IFERROR(__xludf.DUMMYFUNCTION("IF(COUNTA(C313:C1644)=0,"""",IF(REGEXMATCH(INDEX(FILTER(C$4:C313,C$4:C313&lt;&gt;""""),ROWS(FILTER(C$4:C313,C$4:C313&lt;&gt;""""))),""^Sell_""),INDEX(FILTER(F$4:F312,C$4:C312&lt;&gt;""""),ROWS(FILTER(C$4:C312,C$4:C312&lt;&gt;""""))),$AC$5+E313))"),"")</f>
        <v/>
      </c>
      <c r="G313" s="10" t="str">
        <f>IFERROR(__xludf.DUMMYFUNCTION("IF(COUNTA(C313:C1644)=0,"""",IF(C313="""",0,IF(REGEXMATCH(C313,""^Sell_""),-ROUNDDOWN(ROUNDUP(INDEX(Upgrades!$C$3:$C$13,MATCH(SUBSTITUTE(C313,""Sell_"",""""),Upgrades!$B$3:$B$13,0))*1.15^(COUNTIF(C$4:C312,SUBSTITUTE(C313,""Sell_"",""""))-COUNTIF(C$4:C312,"&amp;"""Sell_""&amp;SUBSTITUTE(C313,""Sell_"",""""))))/2),ROUNDUP(INDEX(Upgrades!$C$3:$C$13,MATCH(C313,Upgrades!$B$3:$B$13,0))*1.15^(COUNTIF(C$4:C312,C313)-COUNTIF(C$4:C312,""Sell_""&amp;C313))))))"),"")</f>
        <v/>
      </c>
      <c r="H313" s="10" t="str">
        <f t="shared" si="3"/>
        <v/>
      </c>
      <c r="I313" s="68" t="str">
        <f t="shared" si="4"/>
        <v/>
      </c>
      <c r="J313" s="59" t="str">
        <f t="shared" si="5"/>
        <v/>
      </c>
      <c r="K313" s="69" t="str">
        <f t="shared" si="6"/>
        <v/>
      </c>
      <c r="L313" s="60">
        <f t="shared" si="7"/>
        <v>-74.72172</v>
      </c>
      <c r="M313" s="61">
        <f>IFERROR(__xludf.DUMMYFUNCTION("IFS(AND(COUNTA(C313:C1644)=0,COUNTA(Q313:Q1644)=0),"""",OR(AND(K313&gt;=1000000000,OR(Y313&gt;=1000000000,COUNTA(Q313:Q1644)=0)),OR(Y313&gt;=1000000000,AND(COUNTA(C313:C1644)=0,P$3=TRUE))),
ROUNDDOWN((AB$1-AC$1)*MAX(INDEX(T$4:T1644,MATCH(LARGE(FILTER(Y$4:Y1644,Y$4"&amp;":Y1644&lt;1000000000),1),Y$4:Y1644)),INDEX(F$4:F1644,MATCH(LARGE(FILTER(K$4:K1644,K$4:K1644&lt;1000000000),1),K$4:K1644)))),AND(K313&lt;1000000000,COUNTA(C313:C1644)&gt;0,P$3=FALSE),
ROUNDDOWN(INDEX(Y$4:Y1644,MATCH(LARGE(FILTER(W$4:W1644,W$4:W1644&lt;=I313),1),W$4:W1644"&amp;"))+(I313-LARGE(FILTER(W$4:W1644,W$4:W1644&lt;=I313),1))*INDEX(T$4:T1644,MATCH(LARGE(FILTER(W$4:W1644,W$4:W1644&lt;=I313),1),W$4:W1644))-K313),1,
ROUNDDOWN(Y313-INDEX(K$4:K1644,MATCH(LARGE(FILTER(I$4:I1644,I$4:I1644&lt;=W313),1),I$4:I1644))-(W313-LARGE(FILTER(I$4:I"&amp;"1644,I$4:I1644&lt;=W313),1))*INDEX(F$4:F1644,MATCH(LARGE(FILTER(I$4:I1644,I$4:I1644&lt;=W313),1),I$4:I1644))))"),3.1133264E7)</f>
        <v>31133264</v>
      </c>
      <c r="N313" s="60">
        <f t="shared" si="8"/>
        <v>-74.72172</v>
      </c>
      <c r="O313" s="61" t="str">
        <f t="shared" si="9"/>
        <v>31,1M</v>
      </c>
      <c r="P313" s="56">
        <f t="shared" si="10"/>
        <v>24</v>
      </c>
      <c r="Q313" s="105" t="s">
        <v>3</v>
      </c>
      <c r="R313" s="10"/>
      <c r="S313" s="59">
        <f t="array" ref="S313">IF(COUNTA(Q313:Q1644)=0,"",SUM((COUNTIF(Q$4:Q313,Upgrades!$B$3:$B$13)-COUNTIF(Q$4:Q313,"Sell_"&amp;Upgrades!$B$3:$B$13))*Upgrades!$D$3:$D$13))</f>
        <v>438317.9</v>
      </c>
      <c r="T313" s="66">
        <f>IFERROR(__xludf.DUMMYFUNCTION("IF(COUNTA(Q313:Q1644)=0,"""",IF(REGEXMATCH(INDEX(FILTER(Q$4:Q313,Q$4:Q313&lt;&gt;""""),ROWS(FILTER(Q$4:Q313,Q$4:Q313&lt;&gt;""""))),""^Sell_""),INDEX(FILTER(T$4:T312,Q$4:Q312&lt;&gt;""""),ROWS(FILTER(Q$4:Q312,Q$4:Q312&lt;&gt;""""))),$AD$5+S313))"),438327.9)</f>
        <v>438327.9</v>
      </c>
      <c r="U313" s="10">
        <f>IFERROR(__xludf.DUMMYFUNCTION("IF(COUNTA(Q313:Q1644)=0,"""",IF(Q313="""",0,IF(REGEXMATCH(Q313,""^Sell_""),-ROUNDDOWN(ROUNDUP(INDEX(Upgrades!$C$3:$C$13,MATCH(SUBSTITUTE(Q313,""Sell_"",""""),Upgrades!$B$3:$B$13,0))*1.15^(COUNTIF(Q$4:Q312,SUBSTITUTE(Q313,""Sell_"",""""))-COUNTIF(Q$4:Q312,"&amp;"""Sell_""&amp;SUBSTITUTE(Q313,""Sell_"",""""))))/2),ROUNDUP(INDEX(Upgrades!$C$3:$C$13,MATCH(Q313,Upgrades!$B$3:$B$13,0))*1.15^(COUNTIF(Q$4:Q312,Q313)-COUNTIF(Q$4:Q312,""Sell_""&amp;Q313))))))"),374.0)</f>
        <v>374</v>
      </c>
      <c r="V313" s="10">
        <f t="shared" si="11"/>
        <v>374</v>
      </c>
      <c r="W313" s="68">
        <f t="shared" si="12"/>
        <v>7118.136341</v>
      </c>
      <c r="X313" s="59" t="str">
        <f t="shared" si="13"/>
        <v>1h 58m 38s</v>
      </c>
      <c r="Y313" s="69">
        <f t="shared" si="14"/>
        <v>665849528</v>
      </c>
      <c r="Z313" s="11"/>
      <c r="AG313" s="59"/>
    </row>
    <row r="314">
      <c r="A314" s="8"/>
      <c r="B314" s="56" t="str">
        <f t="shared" si="2"/>
        <v/>
      </c>
      <c r="C314" s="105"/>
      <c r="D314" s="10"/>
      <c r="E314" s="59" t="str">
        <f t="array" ref="E314">IF(COUNTA(C314:C1644)=0,"",SUM((COUNTIF(C$4:C314,Upgrades!$B$3:$B$13)-COUNTIF(C$4:C314,"Sell_"&amp;Upgrades!$B$3:$B$13))*Upgrades!$D$3:$D$13))</f>
        <v/>
      </c>
      <c r="F314" s="66" t="str">
        <f>IFERROR(__xludf.DUMMYFUNCTION("IF(COUNTA(C314:C1644)=0,"""",IF(REGEXMATCH(INDEX(FILTER(C$4:C314,C$4:C314&lt;&gt;""""),ROWS(FILTER(C$4:C314,C$4:C314&lt;&gt;""""))),""^Sell_""),INDEX(FILTER(F$4:F313,C$4:C313&lt;&gt;""""),ROWS(FILTER(C$4:C313,C$4:C313&lt;&gt;""""))),$AC$5+E314))"),"")</f>
        <v/>
      </c>
      <c r="G314" s="10" t="str">
        <f>IFERROR(__xludf.DUMMYFUNCTION("IF(COUNTA(C314:C1644)=0,"""",IF(C314="""",0,IF(REGEXMATCH(C314,""^Sell_""),-ROUNDDOWN(ROUNDUP(INDEX(Upgrades!$C$3:$C$13,MATCH(SUBSTITUTE(C314,""Sell_"",""""),Upgrades!$B$3:$B$13,0))*1.15^(COUNTIF(C$4:C313,SUBSTITUTE(C314,""Sell_"",""""))-COUNTIF(C$4:C313,"&amp;"""Sell_""&amp;SUBSTITUTE(C314,""Sell_"",""""))))/2),ROUNDUP(INDEX(Upgrades!$C$3:$C$13,MATCH(C314,Upgrades!$B$3:$B$13,0))*1.15^(COUNTIF(C$4:C313,C314)-COUNTIF(C$4:C313,""Sell_""&amp;C314))))))"),"")</f>
        <v/>
      </c>
      <c r="H314" s="10" t="str">
        <f t="shared" si="3"/>
        <v/>
      </c>
      <c r="I314" s="68" t="str">
        <f t="shared" si="4"/>
        <v/>
      </c>
      <c r="J314" s="59" t="str">
        <f t="shared" si="5"/>
        <v/>
      </c>
      <c r="K314" s="69" t="str">
        <f t="shared" si="6"/>
        <v/>
      </c>
      <c r="L314" s="60">
        <f t="shared" si="7"/>
        <v>-74.76614</v>
      </c>
      <c r="M314" s="61">
        <f>IFERROR(__xludf.DUMMYFUNCTION("IFS(AND(COUNTA(C314:C1644)=0,COUNTA(Q314:Q1644)=0),"""",OR(AND(K314&gt;=1000000000,OR(Y314&gt;=1000000000,COUNTA(Q314:Q1644)=0)),OR(Y314&gt;=1000000000,AND(COUNTA(C314:C1644)=0,P$3=TRUE))),
ROUNDDOWN((AB$1-AC$1)*MAX(INDEX(T$4:T1644,MATCH(LARGE(FILTER(Y$4:Y1644,Y$4"&amp;":Y1644&lt;1000000000),1),Y$4:Y1644)),INDEX(F$4:F1644,MATCH(LARGE(FILTER(K$4:K1644,K$4:K1644&lt;1000000000),1),K$4:K1644)))),AND(K314&lt;1000000000,COUNTA(C314:C1644)&gt;0,P$3=FALSE),
ROUNDDOWN(INDEX(Y$4:Y1644,MATCH(LARGE(FILTER(W$4:W1644,W$4:W1644&lt;=I314),1),W$4:W1644"&amp;"))+(I314-LARGE(FILTER(W$4:W1644,W$4:W1644&lt;=I314),1))*INDEX(T$4:T1644,MATCH(LARGE(FILTER(W$4:W1644,W$4:W1644&lt;=I314),1),W$4:W1644))-K314),1,
ROUNDDOWN(Y314-INDEX(K$4:K1644,MATCH(LARGE(FILTER(I$4:I1644,I$4:I1644&lt;=W314),1),I$4:I1644))-(W314-LARGE(FILTER(I$4:I"&amp;"1644,I$4:I1644&lt;=W314),1))*INDEX(F$4:F1644,MATCH(LARGE(FILTER(I$4:I1644,I$4:I1644&lt;=W314),1),I$4:I1644))))"),3.115177E7)</f>
        <v>31151770</v>
      </c>
      <c r="N314" s="60">
        <f t="shared" si="8"/>
        <v>-74.76614</v>
      </c>
      <c r="O314" s="61" t="str">
        <f t="shared" si="9"/>
        <v>31,2M</v>
      </c>
      <c r="P314" s="56">
        <f t="shared" si="10"/>
        <v>17</v>
      </c>
      <c r="Q314" s="105" t="s">
        <v>8</v>
      </c>
      <c r="R314" s="10"/>
      <c r="S314" s="59">
        <f t="array" ref="S314">IF(COUNTA(Q314:Q1644)=0,"",SUM((COUNTIF(Q$4:Q314,Upgrades!$B$3:$B$13)-COUNTIF(Q$4:Q314,"Sell_"&amp;Upgrades!$B$3:$B$13))*Upgrades!$D$3:$D$13))</f>
        <v>438417.9</v>
      </c>
      <c r="T314" s="66">
        <f>IFERROR(__xludf.DUMMYFUNCTION("IF(COUNTA(Q314:Q1644)=0,"""",IF(REGEXMATCH(INDEX(FILTER(Q$4:Q314,Q$4:Q314&lt;&gt;""""),ROWS(FILTER(Q$4:Q314,Q$4:Q314&lt;&gt;""""))),""^Sell_""),INDEX(FILTER(T$4:T313,Q$4:Q313&lt;&gt;""""),ROWS(FILTER(Q$4:Q313,Q$4:Q313&lt;&gt;""""))),$AD$5+S314))"),438427.9)</f>
        <v>438427.9</v>
      </c>
      <c r="U314" s="10">
        <f>IFERROR(__xludf.DUMMYFUNCTION("IF(COUNTA(Q314:Q1644)=0,"""",IF(Q314="""",0,IF(REGEXMATCH(Q314,""^Sell_""),-ROUNDDOWN(ROUNDUP(INDEX(Upgrades!$C$3:$C$13,MATCH(SUBSTITUTE(Q314,""Sell_"",""""),Upgrades!$B$3:$B$13,0))*1.15^(COUNTIF(Q$4:Q313,SUBSTITUTE(Q314,""Sell_"",""""))-COUNTIF(Q$4:Q313,"&amp;"""Sell_""&amp;SUBSTITUTE(Q314,""Sell_"",""""))))/2),ROUNDUP(INDEX(Upgrades!$C$3:$C$13,MATCH(Q314,Upgrades!$B$3:$B$13,0))*1.15^(COUNTIF(Q$4:Q313,Q314)-COUNTIF(Q$4:Q313,""Sell_""&amp;Q314))))))"),374305.0)</f>
        <v>374305</v>
      </c>
      <c r="V314" s="10">
        <f t="shared" si="11"/>
        <v>374305</v>
      </c>
      <c r="W314" s="68">
        <f t="shared" si="12"/>
        <v>7118.990279</v>
      </c>
      <c r="X314" s="59" t="str">
        <f t="shared" si="13"/>
        <v>1h 58m 38s</v>
      </c>
      <c r="Y314" s="69">
        <f t="shared" si="14"/>
        <v>666223833</v>
      </c>
      <c r="Z314" s="11"/>
      <c r="AG314" s="59"/>
    </row>
    <row r="315">
      <c r="A315" s="8"/>
      <c r="B315" s="56" t="str">
        <f t="shared" si="2"/>
        <v/>
      </c>
      <c r="C315" s="105"/>
      <c r="D315" s="10"/>
      <c r="E315" s="59" t="str">
        <f t="array" ref="E315">IF(COUNTA(C315:C1644)=0,"",SUM((COUNTIF(C$4:C315,Upgrades!$B$3:$B$13)-COUNTIF(C$4:C315,"Sell_"&amp;Upgrades!$B$3:$B$13))*Upgrades!$D$3:$D$13))</f>
        <v/>
      </c>
      <c r="F315" s="66" t="str">
        <f>IFERROR(__xludf.DUMMYFUNCTION("IF(COUNTA(C315:C1644)=0,"""",IF(REGEXMATCH(INDEX(FILTER(C$4:C315,C$4:C315&lt;&gt;""""),ROWS(FILTER(C$4:C315,C$4:C315&lt;&gt;""""))),""^Sell_""),INDEX(FILTER(F$4:F314,C$4:C314&lt;&gt;""""),ROWS(FILTER(C$4:C314,C$4:C314&lt;&gt;""""))),$AC$5+E315))"),"")</f>
        <v/>
      </c>
      <c r="G315" s="10" t="str">
        <f>IFERROR(__xludf.DUMMYFUNCTION("IF(COUNTA(C315:C1644)=0,"""",IF(C315="""",0,IF(REGEXMATCH(C315,""^Sell_""),-ROUNDDOWN(ROUNDUP(INDEX(Upgrades!$C$3:$C$13,MATCH(SUBSTITUTE(C315,""Sell_"",""""),Upgrades!$B$3:$B$13,0))*1.15^(COUNTIF(C$4:C314,SUBSTITUTE(C315,""Sell_"",""""))-COUNTIF(C$4:C314,"&amp;"""Sell_""&amp;SUBSTITUTE(C315,""Sell_"",""""))))/2),ROUNDUP(INDEX(Upgrades!$C$3:$C$13,MATCH(C315,Upgrades!$B$3:$B$13,0))*1.15^(COUNTIF(C$4:C314,C315)-COUNTIF(C$4:C314,""Sell_""&amp;C315))))))"),"")</f>
        <v/>
      </c>
      <c r="H315" s="10" t="str">
        <f t="shared" si="3"/>
        <v/>
      </c>
      <c r="I315" s="68" t="str">
        <f t="shared" si="4"/>
        <v/>
      </c>
      <c r="J315" s="59" t="str">
        <f t="shared" si="5"/>
        <v/>
      </c>
      <c r="K315" s="69" t="str">
        <f t="shared" si="6"/>
        <v/>
      </c>
      <c r="L315" s="60">
        <f t="shared" si="7"/>
        <v>-74.76637</v>
      </c>
      <c r="M315" s="61">
        <f>IFERROR(__xludf.DUMMYFUNCTION("IFS(AND(COUNTA(C315:C1644)=0,COUNTA(Q315:Q1644)=0),"""",OR(AND(K315&gt;=1000000000,OR(Y315&gt;=1000000000,COUNTA(Q315:Q1644)=0)),OR(Y315&gt;=1000000000,AND(COUNTA(C315:C1644)=0,P$3=TRUE))),
ROUNDDOWN((AB$1-AC$1)*MAX(INDEX(T$4:T1644,MATCH(LARGE(FILTER(Y$4:Y1644,Y$4"&amp;":Y1644&lt;1000000000),1),Y$4:Y1644)),INDEX(F$4:F1644,MATCH(LARGE(FILTER(K$4:K1644,K$4:K1644&lt;1000000000),1),K$4:K1644)))),AND(K315&lt;1000000000,COUNTA(C315:C1644)&gt;0,P$3=FALSE),
ROUNDDOWN(INDEX(Y$4:Y1644,MATCH(LARGE(FILTER(W$4:W1644,W$4:W1644&lt;=I315),1),W$4:W1644"&amp;"))+(I315-LARGE(FILTER(W$4:W1644,W$4:W1644&lt;=I315),1))*INDEX(T$4:T1644,MATCH(LARGE(FILTER(W$4:W1644,W$4:W1644&lt;=I315),1),W$4:W1644))-K315),1,
ROUNDDOWN(Y315-INDEX(K$4:K1644,MATCH(LARGE(FILTER(I$4:I1644,I$4:I1644&lt;=W315),1),I$4:I1644))-(W315-LARGE(FILTER(I$4:I"&amp;"1644,I$4:I1644&lt;=W315),1))*INDEX(F$4:F1644,MATCH(LARGE(FILTER(I$4:I1644,I$4:I1644&lt;=W315),1),I$4:I1644))))"),3.1151864E7)</f>
        <v>31151864</v>
      </c>
      <c r="N315" s="60">
        <f t="shared" si="8"/>
        <v>-74.76637</v>
      </c>
      <c r="O315" s="61" t="str">
        <f t="shared" si="9"/>
        <v>31,2M</v>
      </c>
      <c r="P315" s="56">
        <f t="shared" si="10"/>
        <v>22</v>
      </c>
      <c r="Q315" s="105" t="s">
        <v>4</v>
      </c>
      <c r="R315" s="10"/>
      <c r="S315" s="59">
        <f t="array" ref="S315">IF(COUNTA(Q315:Q1644)=0,"",SUM((COUNTIF(Q$4:Q315,Upgrades!$B$3:$B$13)-COUNTIF(Q$4:Q315,"Sell_"&amp;Upgrades!$B$3:$B$13))*Upgrades!$D$3:$D$13))</f>
        <v>438418.4</v>
      </c>
      <c r="T315" s="66">
        <f>IFERROR(__xludf.DUMMYFUNCTION("IF(COUNTA(Q315:Q1644)=0,"""",IF(REGEXMATCH(INDEX(FILTER(Q$4:Q315,Q$4:Q315&lt;&gt;""""),ROWS(FILTER(Q$4:Q315,Q$4:Q315&lt;&gt;""""))),""^Sell_""),INDEX(FILTER(T$4:T314,Q$4:Q314&lt;&gt;""""),ROWS(FILTER(Q$4:Q314,Q$4:Q314&lt;&gt;""""))),$AD$5+S315))"),438428.4)</f>
        <v>438428.4</v>
      </c>
      <c r="U315" s="10">
        <f>IFERROR(__xludf.DUMMYFUNCTION("IF(COUNTA(Q315:Q1644)=0,"""",IF(Q315="""",0,IF(REGEXMATCH(Q315,""^Sell_""),-ROUNDDOWN(ROUNDUP(INDEX(Upgrades!$C$3:$C$13,MATCH(SUBSTITUTE(Q315,""Sell_"",""""),Upgrades!$B$3:$B$13,0))*1.15^(COUNTIF(Q$4:Q314,SUBSTITUTE(Q315,""Sell_"",""""))-COUNTIF(Q$4:Q314,"&amp;"""Sell_""&amp;SUBSTITUTE(Q315,""Sell_"",""""))))/2),ROUNDUP(INDEX(Upgrades!$C$3:$C$13,MATCH(Q315,Upgrades!$B$3:$B$13,0))*1.15^(COUNTIF(Q$4:Q314,Q315)-COUNTIF(Q$4:Q314,""Sell_""&amp;Q315))))))"),1883.0)</f>
        <v>1883</v>
      </c>
      <c r="V315" s="10">
        <f t="shared" si="11"/>
        <v>1883</v>
      </c>
      <c r="W315" s="68">
        <f t="shared" si="12"/>
        <v>7118.994574</v>
      </c>
      <c r="X315" s="59" t="str">
        <f t="shared" si="13"/>
        <v>1h 58m 38s</v>
      </c>
      <c r="Y315" s="69">
        <f t="shared" si="14"/>
        <v>666225716</v>
      </c>
      <c r="Z315" s="11"/>
      <c r="AG315" s="59"/>
    </row>
    <row r="316">
      <c r="A316" s="8"/>
      <c r="B316" s="56" t="str">
        <f t="shared" si="2"/>
        <v/>
      </c>
      <c r="C316" s="105"/>
      <c r="D316" s="10"/>
      <c r="E316" s="59" t="str">
        <f t="array" ref="E316">IF(COUNTA(C316:C1644)=0,"",SUM((COUNTIF(C$4:C316,Upgrades!$B$3:$B$13)-COUNTIF(C$4:C316,"Sell_"&amp;Upgrades!$B$3:$B$13))*Upgrades!$D$3:$D$13))</f>
        <v/>
      </c>
      <c r="F316" s="66" t="str">
        <f>IFERROR(__xludf.DUMMYFUNCTION("IF(COUNTA(C316:C1644)=0,"""",IF(REGEXMATCH(INDEX(FILTER(C$4:C316,C$4:C316&lt;&gt;""""),ROWS(FILTER(C$4:C316,C$4:C316&lt;&gt;""""))),""^Sell_""),INDEX(FILTER(F$4:F315,C$4:C315&lt;&gt;""""),ROWS(FILTER(C$4:C315,C$4:C315&lt;&gt;""""))),$AC$5+E316))"),"")</f>
        <v/>
      </c>
      <c r="G316" s="10" t="str">
        <f>IFERROR(__xludf.DUMMYFUNCTION("IF(COUNTA(C316:C1644)=0,"""",IF(C316="""",0,IF(REGEXMATCH(C316,""^Sell_""),-ROUNDDOWN(ROUNDUP(INDEX(Upgrades!$C$3:$C$13,MATCH(SUBSTITUTE(C316,""Sell_"",""""),Upgrades!$B$3:$B$13,0))*1.15^(COUNTIF(C$4:C315,SUBSTITUTE(C316,""Sell_"",""""))-COUNTIF(C$4:C315,"&amp;"""Sell_""&amp;SUBSTITUTE(C316,""Sell_"",""""))))/2),ROUNDUP(INDEX(Upgrades!$C$3:$C$13,MATCH(C316,Upgrades!$B$3:$B$13,0))*1.15^(COUNTIF(C$4:C315,C316)-COUNTIF(C$4:C315,""Sell_""&amp;C316))))))"),"")</f>
        <v/>
      </c>
      <c r="H316" s="10" t="str">
        <f t="shared" si="3"/>
        <v/>
      </c>
      <c r="I316" s="68" t="str">
        <f t="shared" si="4"/>
        <v/>
      </c>
      <c r="J316" s="59" t="str">
        <f t="shared" si="5"/>
        <v/>
      </c>
      <c r="K316" s="69" t="str">
        <f t="shared" si="6"/>
        <v/>
      </c>
      <c r="L316" s="60">
        <f t="shared" si="7"/>
        <v>-74.76637</v>
      </c>
      <c r="M316" s="61">
        <f>IFERROR(__xludf.DUMMYFUNCTION("IFS(AND(COUNTA(C316:C1644)=0,COUNTA(Q316:Q1644)=0),"""",OR(AND(K316&gt;=1000000000,OR(Y316&gt;=1000000000,COUNTA(Q316:Q1644)=0)),OR(Y316&gt;=1000000000,AND(COUNTA(C316:C1644)=0,P$3=TRUE))),
ROUNDDOWN((AB$1-AC$1)*MAX(INDEX(T$4:T1644,MATCH(LARGE(FILTER(Y$4:Y1644,Y$4"&amp;":Y1644&lt;1000000000),1),Y$4:Y1644)),INDEX(F$4:F1644,MATCH(LARGE(FILTER(K$4:K1644,K$4:K1644&lt;1000000000),1),K$4:K1644)))),AND(K316&lt;1000000000,COUNTA(C316:C1644)&gt;0,P$3=FALSE),
ROUNDDOWN(INDEX(Y$4:Y1644,MATCH(LARGE(FILTER(W$4:W1644,W$4:W1644&lt;=I316),1),W$4:W1644"&amp;"))+(I316-LARGE(FILTER(W$4:W1644,W$4:W1644&lt;=I316),1))*INDEX(T$4:T1644,MATCH(LARGE(FILTER(W$4:W1644,W$4:W1644&lt;=I316),1),W$4:W1644))-K316),1,
ROUNDDOWN(Y316-INDEX(K$4:K1644,MATCH(LARGE(FILTER(I$4:I1644,I$4:I1644&lt;=W316),1),I$4:I1644))-(W316-LARGE(FILTER(I$4:I"&amp;"1644,I$4:I1644&lt;=W316),1))*INDEX(F$4:F1644,MATCH(LARGE(FILTER(I$4:I1644,I$4:I1644&lt;=W316),1),I$4:I1644))))"),3.1151864E7)</f>
        <v>31151864</v>
      </c>
      <c r="N316" s="60">
        <f t="shared" si="8"/>
        <v>-74.76637</v>
      </c>
      <c r="O316" s="61" t="str">
        <f t="shared" si="9"/>
        <v>31,2M</v>
      </c>
      <c r="P316" s="56">
        <f t="shared" si="10"/>
        <v>12</v>
      </c>
      <c r="Q316" s="105" t="s">
        <v>64</v>
      </c>
      <c r="R316" s="10"/>
      <c r="S316" s="59">
        <f t="array" ref="S316">IF(COUNTA(Q316:Q1644)=0,"",SUM((COUNTIF(Q$4:Q316,Upgrades!$B$3:$B$13)-COUNTIF(Q$4:Q316,"Sell_"&amp;Upgrades!$B$3:$B$13))*Upgrades!$D$3:$D$13))</f>
        <v>431752.4</v>
      </c>
      <c r="T316" s="66">
        <f>IFERROR(__xludf.DUMMYFUNCTION("IF(COUNTA(Q316:Q1644)=0,"""",IF(REGEXMATCH(INDEX(FILTER(Q$4:Q316,Q$4:Q316&lt;&gt;""""),ROWS(FILTER(Q$4:Q316,Q$4:Q316&lt;&gt;""""))),""^Sell_""),INDEX(FILTER(T$4:T315,Q$4:Q315&lt;&gt;""""),ROWS(FILTER(Q$4:Q315,Q$4:Q315&lt;&gt;""""))),$AD$5+S316))"),438428.4)</f>
        <v>438428.4</v>
      </c>
      <c r="U316" s="10">
        <f>IFERROR(__xludf.DUMMYFUNCTION("IF(COUNTA(Q316:Q1644)=0,"""",IF(Q316="""",0,IF(REGEXMATCH(Q316,""^Sell_""),-ROUNDDOWN(ROUNDUP(INDEX(Upgrades!$C$3:$C$13,MATCH(SUBSTITUTE(Q316,""Sell_"",""""),Upgrades!$B$3:$B$13,0))*1.15^(COUNTIF(Q$4:Q315,SUBSTITUTE(Q316,""Sell_"",""""))-COUNTIF(Q$4:Q315,"&amp;"""Sell_""&amp;SUBSTITUTE(Q316,""Sell_"",""""))))/2),ROUNDUP(INDEX(Upgrades!$C$3:$C$13,MATCH(Q316,Upgrades!$B$3:$B$13,0))*1.15^(COUNTIF(Q$4:Q315,Q316)-COUNTIF(Q$4:Q315,""Sell_""&amp;Q316))))))"),-1.3638776E7)</f>
        <v>-13638776</v>
      </c>
      <c r="V316" s="10">
        <f t="shared" si="11"/>
        <v>-13638776</v>
      </c>
      <c r="W316" s="68">
        <f t="shared" si="12"/>
        <v>7118.994574</v>
      </c>
      <c r="X316" s="59" t="str">
        <f t="shared" si="13"/>
        <v>1h 58m 38s</v>
      </c>
      <c r="Y316" s="69">
        <f t="shared" si="14"/>
        <v>666225716</v>
      </c>
      <c r="Z316" s="11"/>
      <c r="AG316" s="59"/>
    </row>
    <row r="317">
      <c r="A317" s="8"/>
      <c r="B317" s="56" t="str">
        <f t="shared" si="2"/>
        <v/>
      </c>
      <c r="C317" s="105"/>
      <c r="D317" s="10"/>
      <c r="E317" s="59" t="str">
        <f t="array" ref="E317">IF(COUNTA(C317:C1644)=0,"",SUM((COUNTIF(C$4:C317,Upgrades!$B$3:$B$13)-COUNTIF(C$4:C317,"Sell_"&amp;Upgrades!$B$3:$B$13))*Upgrades!$D$3:$D$13))</f>
        <v/>
      </c>
      <c r="F317" s="66" t="str">
        <f>IFERROR(__xludf.DUMMYFUNCTION("IF(COUNTA(C317:C1644)=0,"""",IF(REGEXMATCH(INDEX(FILTER(C$4:C317,C$4:C317&lt;&gt;""""),ROWS(FILTER(C$4:C317,C$4:C317&lt;&gt;""""))),""^Sell_""),INDEX(FILTER(F$4:F316,C$4:C316&lt;&gt;""""),ROWS(FILTER(C$4:C316,C$4:C316&lt;&gt;""""))),$AC$5+E317))"),"")</f>
        <v/>
      </c>
      <c r="G317" s="10" t="str">
        <f>IFERROR(__xludf.DUMMYFUNCTION("IF(COUNTA(C317:C1644)=0,"""",IF(C317="""",0,IF(REGEXMATCH(C317,""^Sell_""),-ROUNDDOWN(ROUNDUP(INDEX(Upgrades!$C$3:$C$13,MATCH(SUBSTITUTE(C317,""Sell_"",""""),Upgrades!$B$3:$B$13,0))*1.15^(COUNTIF(C$4:C316,SUBSTITUTE(C317,""Sell_"",""""))-COUNTIF(C$4:C316,"&amp;"""Sell_""&amp;SUBSTITUTE(C317,""Sell_"",""""))))/2),ROUNDUP(INDEX(Upgrades!$C$3:$C$13,MATCH(C317,Upgrades!$B$3:$B$13,0))*1.15^(COUNTIF(C$4:C316,C317)-COUNTIF(C$4:C316,""Sell_""&amp;C317))))))"),"")</f>
        <v/>
      </c>
      <c r="H317" s="10" t="str">
        <f t="shared" si="3"/>
        <v/>
      </c>
      <c r="I317" s="68" t="str">
        <f t="shared" si="4"/>
        <v/>
      </c>
      <c r="J317" s="59" t="str">
        <f t="shared" si="5"/>
        <v/>
      </c>
      <c r="K317" s="69" t="str">
        <f t="shared" si="6"/>
        <v/>
      </c>
      <c r="L317" s="60">
        <f t="shared" si="7"/>
        <v>-74.76637</v>
      </c>
      <c r="M317" s="61">
        <f>IFERROR(__xludf.DUMMYFUNCTION("IFS(AND(COUNTA(C317:C1644)=0,COUNTA(Q317:Q1644)=0),"""",OR(AND(K317&gt;=1000000000,OR(Y317&gt;=1000000000,COUNTA(Q317:Q1644)=0)),OR(Y317&gt;=1000000000,AND(COUNTA(C317:C1644)=0,P$3=TRUE))),
ROUNDDOWN((AB$1-AC$1)*MAX(INDEX(T$4:T1644,MATCH(LARGE(FILTER(Y$4:Y1644,Y$4"&amp;":Y1644&lt;1000000000),1),Y$4:Y1644)),INDEX(F$4:F1644,MATCH(LARGE(FILTER(K$4:K1644,K$4:K1644&lt;1000000000),1),K$4:K1644)))),AND(K317&lt;1000000000,COUNTA(C317:C1644)&gt;0,P$3=FALSE),
ROUNDDOWN(INDEX(Y$4:Y1644,MATCH(LARGE(FILTER(W$4:W1644,W$4:W1644&lt;=I317),1),W$4:W1644"&amp;"))+(I317-LARGE(FILTER(W$4:W1644,W$4:W1644&lt;=I317),1))*INDEX(T$4:T1644,MATCH(LARGE(FILTER(W$4:W1644,W$4:W1644&lt;=I317),1),W$4:W1644))-K317),1,
ROUNDDOWN(Y317-INDEX(K$4:K1644,MATCH(LARGE(FILTER(I$4:I1644,I$4:I1644&lt;=W317),1),I$4:I1644))-(W317-LARGE(FILTER(I$4:I"&amp;"1644,I$4:I1644&lt;=W317),1))*INDEX(F$4:F1644,MATCH(LARGE(FILTER(I$4:I1644,I$4:I1644&lt;=W317),1),I$4:I1644))))"),3.1151864E7)</f>
        <v>31151864</v>
      </c>
      <c r="N317" s="60">
        <f t="shared" si="8"/>
        <v>-74.76637</v>
      </c>
      <c r="O317" s="61" t="str">
        <f t="shared" si="9"/>
        <v>31,2M</v>
      </c>
      <c r="P317" s="56">
        <f t="shared" si="10"/>
        <v>36</v>
      </c>
      <c r="Q317" s="105" t="s">
        <v>61</v>
      </c>
      <c r="R317" s="10"/>
      <c r="S317" s="59">
        <f t="array" ref="S317">IF(COUNTA(Q317:Q1644)=0,"",SUM((COUNTIF(Q$4:Q317,Upgrades!$B$3:$B$13)-COUNTIF(Q$4:Q317,"Sell_"&amp;Upgrades!$B$3:$B$13))*Upgrades!$D$3:$D$13))</f>
        <v>431652.4</v>
      </c>
      <c r="T317" s="66">
        <f>IFERROR(__xludf.DUMMYFUNCTION("IF(COUNTA(Q317:Q1644)=0,"""",IF(REGEXMATCH(INDEX(FILTER(Q$4:Q317,Q$4:Q317&lt;&gt;""""),ROWS(FILTER(Q$4:Q317,Q$4:Q317&lt;&gt;""""))),""^Sell_""),INDEX(FILTER(T$4:T316,Q$4:Q316&lt;&gt;""""),ROWS(FILTER(Q$4:Q316,Q$4:Q316&lt;&gt;""""))),$AD$5+S317))"),438428.4)</f>
        <v>438428.4</v>
      </c>
      <c r="U317" s="10">
        <f>IFERROR(__xludf.DUMMYFUNCTION("IF(COUNTA(Q317:Q1644)=0,"""",IF(Q317="""",0,IF(REGEXMATCH(Q317,""^Sell_""),-ROUNDDOWN(ROUNDUP(INDEX(Upgrades!$C$3:$C$13,MATCH(SUBSTITUTE(Q317,""Sell_"",""""),Upgrades!$B$3:$B$13,0))*1.15^(COUNTIF(Q$4:Q316,SUBSTITUTE(Q317,""Sell_"",""""))-COUNTIF(Q$4:Q316,"&amp;"""Sell_""&amp;SUBSTITUTE(Q317,""Sell_"",""""))))/2),ROUNDUP(INDEX(Upgrades!$C$3:$C$13,MATCH(Q317,Upgrades!$B$3:$B$13,0))*1.15^(COUNTIF(Q$4:Q316,Q317)-COUNTIF(Q$4:Q316,""Sell_""&amp;Q317))))))"),-215225.0)</f>
        <v>-215225</v>
      </c>
      <c r="V317" s="10">
        <f t="shared" si="11"/>
        <v>-13854001</v>
      </c>
      <c r="W317" s="68">
        <f t="shared" si="12"/>
        <v>7118.994574</v>
      </c>
      <c r="X317" s="59" t="str">
        <f t="shared" si="13"/>
        <v>1h 58m 38s</v>
      </c>
      <c r="Y317" s="69">
        <f t="shared" si="14"/>
        <v>666225716</v>
      </c>
      <c r="Z317" s="11"/>
      <c r="AG317" s="59"/>
    </row>
    <row r="318">
      <c r="A318" s="8"/>
      <c r="B318" s="56" t="str">
        <f t="shared" si="2"/>
        <v/>
      </c>
      <c r="C318" s="105"/>
      <c r="D318" s="10"/>
      <c r="E318" s="59" t="str">
        <f t="array" ref="E318">IF(COUNTA(C318:C1644)=0,"",SUM((COUNTIF(C$4:C318,Upgrades!$B$3:$B$13)-COUNTIF(C$4:C318,"Sell_"&amp;Upgrades!$B$3:$B$13))*Upgrades!$D$3:$D$13))</f>
        <v/>
      </c>
      <c r="F318" s="66" t="str">
        <f>IFERROR(__xludf.DUMMYFUNCTION("IF(COUNTA(C318:C1644)=0,"""",IF(REGEXMATCH(INDEX(FILTER(C$4:C318,C$4:C318&lt;&gt;""""),ROWS(FILTER(C$4:C318,C$4:C318&lt;&gt;""""))),""^Sell_""),INDEX(FILTER(F$4:F317,C$4:C317&lt;&gt;""""),ROWS(FILTER(C$4:C317,C$4:C317&lt;&gt;""""))),$AC$5+E318))"),"")</f>
        <v/>
      </c>
      <c r="G318" s="10" t="str">
        <f>IFERROR(__xludf.DUMMYFUNCTION("IF(COUNTA(C318:C1644)=0,"""",IF(C318="""",0,IF(REGEXMATCH(C318,""^Sell_""),-ROUNDDOWN(ROUNDUP(INDEX(Upgrades!$C$3:$C$13,MATCH(SUBSTITUTE(C318,""Sell_"",""""),Upgrades!$B$3:$B$13,0))*1.15^(COUNTIF(C$4:C317,SUBSTITUTE(C318,""Sell_"",""""))-COUNTIF(C$4:C317,"&amp;"""Sell_""&amp;SUBSTITUTE(C318,""Sell_"",""""))))/2),ROUNDUP(INDEX(Upgrades!$C$3:$C$13,MATCH(C318,Upgrades!$B$3:$B$13,0))*1.15^(COUNTIF(C$4:C317,C318)-COUNTIF(C$4:C317,""Sell_""&amp;C318))))))"),"")</f>
        <v/>
      </c>
      <c r="H318" s="10" t="str">
        <f t="shared" si="3"/>
        <v/>
      </c>
      <c r="I318" s="68" t="str">
        <f t="shared" si="4"/>
        <v/>
      </c>
      <c r="J318" s="59" t="str">
        <f t="shared" si="5"/>
        <v/>
      </c>
      <c r="K318" s="69" t="str">
        <f t="shared" si="6"/>
        <v/>
      </c>
      <c r="L318" s="60">
        <f t="shared" si="7"/>
        <v>-74.76637</v>
      </c>
      <c r="M318" s="61">
        <f>IFERROR(__xludf.DUMMYFUNCTION("IFS(AND(COUNTA(C318:C1644)=0,COUNTA(Q318:Q1644)=0),"""",OR(AND(K318&gt;=1000000000,OR(Y318&gt;=1000000000,COUNTA(Q318:Q1644)=0)),OR(Y318&gt;=1000000000,AND(COUNTA(C318:C1644)=0,P$3=TRUE))),
ROUNDDOWN((AB$1-AC$1)*MAX(INDEX(T$4:T1644,MATCH(LARGE(FILTER(Y$4:Y1644,Y$4"&amp;":Y1644&lt;1000000000),1),Y$4:Y1644)),INDEX(F$4:F1644,MATCH(LARGE(FILTER(K$4:K1644,K$4:K1644&lt;1000000000),1),K$4:K1644)))),AND(K318&lt;1000000000,COUNTA(C318:C1644)&gt;0,P$3=FALSE),
ROUNDDOWN(INDEX(Y$4:Y1644,MATCH(LARGE(FILTER(W$4:W1644,W$4:W1644&lt;=I318),1),W$4:W1644"&amp;"))+(I318-LARGE(FILTER(W$4:W1644,W$4:W1644&lt;=I318),1))*INDEX(T$4:T1644,MATCH(LARGE(FILTER(W$4:W1644,W$4:W1644&lt;=I318),1),W$4:W1644))-K318),1,
ROUNDDOWN(Y318-INDEX(K$4:K1644,MATCH(LARGE(FILTER(I$4:I1644,I$4:I1644&lt;=W318),1),I$4:I1644))-(W318-LARGE(FILTER(I$4:I"&amp;"1644,I$4:I1644&lt;=W318),1))*INDEX(F$4:F1644,MATCH(LARGE(FILTER(I$4:I1644,I$4:I1644&lt;=W318),1),I$4:I1644))))"),3.1151864E7)</f>
        <v>31151864</v>
      </c>
      <c r="N318" s="60">
        <f t="shared" si="8"/>
        <v>-74.76637</v>
      </c>
      <c r="O318" s="61" t="str">
        <f t="shared" si="9"/>
        <v>31,2M</v>
      </c>
      <c r="P318" s="56">
        <f t="shared" si="10"/>
        <v>37</v>
      </c>
      <c r="Q318" s="105" t="s">
        <v>61</v>
      </c>
      <c r="R318" s="10"/>
      <c r="S318" s="59">
        <f t="array" ref="S318">IF(COUNTA(Q318:Q1644)=0,"",SUM((COUNTIF(Q$4:Q318,Upgrades!$B$3:$B$13)-COUNTIF(Q$4:Q318,"Sell_"&amp;Upgrades!$B$3:$B$13))*Upgrades!$D$3:$D$13))</f>
        <v>431552.4</v>
      </c>
      <c r="T318" s="66">
        <f>IFERROR(__xludf.DUMMYFUNCTION("IF(COUNTA(Q318:Q1644)=0,"""",IF(REGEXMATCH(INDEX(FILTER(Q$4:Q318,Q$4:Q318&lt;&gt;""""),ROWS(FILTER(Q$4:Q318,Q$4:Q318&lt;&gt;""""))),""^Sell_""),INDEX(FILTER(T$4:T317,Q$4:Q317&lt;&gt;""""),ROWS(FILTER(Q$4:Q317,Q$4:Q317&lt;&gt;""""))),$AD$5+S318))"),438428.4)</f>
        <v>438428.4</v>
      </c>
      <c r="U318" s="10">
        <f>IFERROR(__xludf.DUMMYFUNCTION("IF(COUNTA(Q318:Q1644)=0,"""",IF(Q318="""",0,IF(REGEXMATCH(Q318,""^Sell_""),-ROUNDDOWN(ROUNDUP(INDEX(Upgrades!$C$3:$C$13,MATCH(SUBSTITUTE(Q318,""Sell_"",""""),Upgrades!$B$3:$B$13,0))*1.15^(COUNTIF(Q$4:Q317,SUBSTITUTE(Q318,""Sell_"",""""))-COUNTIF(Q$4:Q317,"&amp;"""Sell_""&amp;SUBSTITUTE(Q318,""Sell_"",""""))))/2),ROUNDUP(INDEX(Upgrades!$C$3:$C$13,MATCH(Q318,Upgrades!$B$3:$B$13,0))*1.15^(COUNTIF(Q$4:Q317,Q318)-COUNTIF(Q$4:Q317,""Sell_""&amp;Q318))))))"),-187152.0)</f>
        <v>-187152</v>
      </c>
      <c r="V318" s="10">
        <f t="shared" si="11"/>
        <v>-14041153</v>
      </c>
      <c r="W318" s="68">
        <f t="shared" si="12"/>
        <v>7118.994574</v>
      </c>
      <c r="X318" s="59" t="str">
        <f t="shared" si="13"/>
        <v>1h 58m 38s</v>
      </c>
      <c r="Y318" s="69">
        <f t="shared" si="14"/>
        <v>666225716</v>
      </c>
      <c r="Z318" s="11"/>
      <c r="AG318" s="59"/>
    </row>
    <row r="319">
      <c r="A319" s="8"/>
      <c r="B319" s="56" t="str">
        <f t="shared" si="2"/>
        <v/>
      </c>
      <c r="C319" s="105"/>
      <c r="D319" s="10"/>
      <c r="E319" s="59" t="str">
        <f t="array" ref="E319">IF(COUNTA(C319:C1644)=0,"",SUM((COUNTIF(C$4:C319,Upgrades!$B$3:$B$13)-COUNTIF(C$4:C319,"Sell_"&amp;Upgrades!$B$3:$B$13))*Upgrades!$D$3:$D$13))</f>
        <v/>
      </c>
      <c r="F319" s="66" t="str">
        <f>IFERROR(__xludf.DUMMYFUNCTION("IF(COUNTA(C319:C1644)=0,"""",IF(REGEXMATCH(INDEX(FILTER(C$4:C319,C$4:C319&lt;&gt;""""),ROWS(FILTER(C$4:C319,C$4:C319&lt;&gt;""""))),""^Sell_""),INDEX(FILTER(F$4:F318,C$4:C318&lt;&gt;""""),ROWS(FILTER(C$4:C318,C$4:C318&lt;&gt;""""))),$AC$5+E319))"),"")</f>
        <v/>
      </c>
      <c r="G319" s="10" t="str">
        <f>IFERROR(__xludf.DUMMYFUNCTION("IF(COUNTA(C319:C1644)=0,"""",IF(C319="""",0,IF(REGEXMATCH(C319,""^Sell_""),-ROUNDDOWN(ROUNDUP(INDEX(Upgrades!$C$3:$C$13,MATCH(SUBSTITUTE(C319,""Sell_"",""""),Upgrades!$B$3:$B$13,0))*1.15^(COUNTIF(C$4:C318,SUBSTITUTE(C319,""Sell_"",""""))-COUNTIF(C$4:C318,"&amp;"""Sell_""&amp;SUBSTITUTE(C319,""Sell_"",""""))))/2),ROUNDUP(INDEX(Upgrades!$C$3:$C$13,MATCH(C319,Upgrades!$B$3:$B$13,0))*1.15^(COUNTIF(C$4:C318,C319)-COUNTIF(C$4:C318,""Sell_""&amp;C319))))))"),"")</f>
        <v/>
      </c>
      <c r="H319" s="10" t="str">
        <f t="shared" si="3"/>
        <v/>
      </c>
      <c r="I319" s="68" t="str">
        <f t="shared" si="4"/>
        <v/>
      </c>
      <c r="J319" s="59" t="str">
        <f t="shared" si="5"/>
        <v/>
      </c>
      <c r="K319" s="69" t="str">
        <f t="shared" si="6"/>
        <v/>
      </c>
      <c r="L319" s="60">
        <f t="shared" si="7"/>
        <v>-74.76637</v>
      </c>
      <c r="M319" s="61">
        <f>IFERROR(__xludf.DUMMYFUNCTION("IFS(AND(COUNTA(C319:C1644)=0,COUNTA(Q319:Q1644)=0),"""",OR(AND(K319&gt;=1000000000,OR(Y319&gt;=1000000000,COUNTA(Q319:Q1644)=0)),OR(Y319&gt;=1000000000,AND(COUNTA(C319:C1644)=0,P$3=TRUE))),
ROUNDDOWN((AB$1-AC$1)*MAX(INDEX(T$4:T1644,MATCH(LARGE(FILTER(Y$4:Y1644,Y$4"&amp;":Y1644&lt;1000000000),1),Y$4:Y1644)),INDEX(F$4:F1644,MATCH(LARGE(FILTER(K$4:K1644,K$4:K1644&lt;1000000000),1),K$4:K1644)))),AND(K319&lt;1000000000,COUNTA(C319:C1644)&gt;0,P$3=FALSE),
ROUNDDOWN(INDEX(Y$4:Y1644,MATCH(LARGE(FILTER(W$4:W1644,W$4:W1644&lt;=I319),1),W$4:W1644"&amp;"))+(I319-LARGE(FILTER(W$4:W1644,W$4:W1644&lt;=I319),1))*INDEX(T$4:T1644,MATCH(LARGE(FILTER(W$4:W1644,W$4:W1644&lt;=I319),1),W$4:W1644))-K319),1,
ROUNDDOWN(Y319-INDEX(K$4:K1644,MATCH(LARGE(FILTER(I$4:I1644,I$4:I1644&lt;=W319),1),I$4:I1644))-(W319-LARGE(FILTER(I$4:I"&amp;"1644,I$4:I1644&lt;=W319),1))*INDEX(F$4:F1644,MATCH(LARGE(FILTER(I$4:I1644,I$4:I1644&lt;=W319),1),I$4:I1644))))"),3.1151864E7)</f>
        <v>31151864</v>
      </c>
      <c r="N319" s="60">
        <f t="shared" si="8"/>
        <v>-74.76637</v>
      </c>
      <c r="O319" s="61" t="str">
        <f t="shared" si="9"/>
        <v>31,2M</v>
      </c>
      <c r="P319" s="56">
        <f t="shared" si="10"/>
        <v>38</v>
      </c>
      <c r="Q319" s="105" t="s">
        <v>61</v>
      </c>
      <c r="R319" s="10"/>
      <c r="S319" s="59">
        <f t="array" ref="S319">IF(COUNTA(Q319:Q1644)=0,"",SUM((COUNTIF(Q$4:Q319,Upgrades!$B$3:$B$13)-COUNTIF(Q$4:Q319,"Sell_"&amp;Upgrades!$B$3:$B$13))*Upgrades!$D$3:$D$13))</f>
        <v>431452.4</v>
      </c>
      <c r="T319" s="66">
        <f>IFERROR(__xludf.DUMMYFUNCTION("IF(COUNTA(Q319:Q1644)=0,"""",IF(REGEXMATCH(INDEX(FILTER(Q$4:Q319,Q$4:Q319&lt;&gt;""""),ROWS(FILTER(Q$4:Q319,Q$4:Q319&lt;&gt;""""))),""^Sell_""),INDEX(FILTER(T$4:T318,Q$4:Q318&lt;&gt;""""),ROWS(FILTER(Q$4:Q318,Q$4:Q318&lt;&gt;""""))),$AD$5+S319))"),438428.4)</f>
        <v>438428.4</v>
      </c>
      <c r="U319" s="10">
        <f>IFERROR(__xludf.DUMMYFUNCTION("IF(COUNTA(Q319:Q1644)=0,"""",IF(Q319="""",0,IF(REGEXMATCH(Q319,""^Sell_""),-ROUNDDOWN(ROUNDUP(INDEX(Upgrades!$C$3:$C$13,MATCH(SUBSTITUTE(Q319,""Sell_"",""""),Upgrades!$B$3:$B$13,0))*1.15^(COUNTIF(Q$4:Q318,SUBSTITUTE(Q319,""Sell_"",""""))-COUNTIF(Q$4:Q318,"&amp;"""Sell_""&amp;SUBSTITUTE(Q319,""Sell_"",""""))))/2),ROUNDUP(INDEX(Upgrades!$C$3:$C$13,MATCH(Q319,Upgrades!$B$3:$B$13,0))*1.15^(COUNTIF(Q$4:Q318,Q319)-COUNTIF(Q$4:Q318,""Sell_""&amp;Q319))))))"),-162741.0)</f>
        <v>-162741</v>
      </c>
      <c r="V319" s="10">
        <f t="shared" si="11"/>
        <v>-14203894</v>
      </c>
      <c r="W319" s="68">
        <f t="shared" si="12"/>
        <v>7118.994574</v>
      </c>
      <c r="X319" s="59" t="str">
        <f t="shared" si="13"/>
        <v>1h 58m 38s</v>
      </c>
      <c r="Y319" s="69">
        <f t="shared" si="14"/>
        <v>666225716</v>
      </c>
      <c r="Z319" s="11"/>
      <c r="AG319" s="59"/>
    </row>
    <row r="320">
      <c r="A320" s="8"/>
      <c r="B320" s="56" t="str">
        <f t="shared" si="2"/>
        <v/>
      </c>
      <c r="C320" s="105"/>
      <c r="D320" s="10"/>
      <c r="E320" s="59" t="str">
        <f t="array" ref="E320">IF(COUNTA(C320:C1644)=0,"",SUM((COUNTIF(C$4:C320,Upgrades!$B$3:$B$13)-COUNTIF(C$4:C320,"Sell_"&amp;Upgrades!$B$3:$B$13))*Upgrades!$D$3:$D$13))</f>
        <v/>
      </c>
      <c r="F320" s="66" t="str">
        <f>IFERROR(__xludf.DUMMYFUNCTION("IF(COUNTA(C320:C1644)=0,"""",IF(REGEXMATCH(INDEX(FILTER(C$4:C320,C$4:C320&lt;&gt;""""),ROWS(FILTER(C$4:C320,C$4:C320&lt;&gt;""""))),""^Sell_""),INDEX(FILTER(F$4:F319,C$4:C319&lt;&gt;""""),ROWS(FILTER(C$4:C319,C$4:C319&lt;&gt;""""))),$AC$5+E320))"),"")</f>
        <v/>
      </c>
      <c r="G320" s="10" t="str">
        <f>IFERROR(__xludf.DUMMYFUNCTION("IF(COUNTA(C320:C1644)=0,"""",IF(C320="""",0,IF(REGEXMATCH(C320,""^Sell_""),-ROUNDDOWN(ROUNDUP(INDEX(Upgrades!$C$3:$C$13,MATCH(SUBSTITUTE(C320,""Sell_"",""""),Upgrades!$B$3:$B$13,0))*1.15^(COUNTIF(C$4:C319,SUBSTITUTE(C320,""Sell_"",""""))-COUNTIF(C$4:C319,"&amp;"""Sell_""&amp;SUBSTITUTE(C320,""Sell_"",""""))))/2),ROUNDUP(INDEX(Upgrades!$C$3:$C$13,MATCH(C320,Upgrades!$B$3:$B$13,0))*1.15^(COUNTIF(C$4:C319,C320)-COUNTIF(C$4:C319,""Sell_""&amp;C320))))))"),"")</f>
        <v/>
      </c>
      <c r="H320" s="10" t="str">
        <f t="shared" si="3"/>
        <v/>
      </c>
      <c r="I320" s="68" t="str">
        <f t="shared" si="4"/>
        <v/>
      </c>
      <c r="J320" s="59" t="str">
        <f t="shared" si="5"/>
        <v/>
      </c>
      <c r="K320" s="69" t="str">
        <f t="shared" si="6"/>
        <v/>
      </c>
      <c r="L320" s="60">
        <f t="shared" si="7"/>
        <v>-74.76637</v>
      </c>
      <c r="M320" s="61">
        <f>IFERROR(__xludf.DUMMYFUNCTION("IFS(AND(COUNTA(C320:C1644)=0,COUNTA(Q320:Q1644)=0),"""",OR(AND(K320&gt;=1000000000,OR(Y320&gt;=1000000000,COUNTA(Q320:Q1644)=0)),OR(Y320&gt;=1000000000,AND(COUNTA(C320:C1644)=0,P$3=TRUE))),
ROUNDDOWN((AB$1-AC$1)*MAX(INDEX(T$4:T1644,MATCH(LARGE(FILTER(Y$4:Y1644,Y$4"&amp;":Y1644&lt;1000000000),1),Y$4:Y1644)),INDEX(F$4:F1644,MATCH(LARGE(FILTER(K$4:K1644,K$4:K1644&lt;1000000000),1),K$4:K1644)))),AND(K320&lt;1000000000,COUNTA(C320:C1644)&gt;0,P$3=FALSE),
ROUNDDOWN(INDEX(Y$4:Y1644,MATCH(LARGE(FILTER(W$4:W1644,W$4:W1644&lt;=I320),1),W$4:W1644"&amp;"))+(I320-LARGE(FILTER(W$4:W1644,W$4:W1644&lt;=I320),1))*INDEX(T$4:T1644,MATCH(LARGE(FILTER(W$4:W1644,W$4:W1644&lt;=I320),1),W$4:W1644))-K320),1,
ROUNDDOWN(Y320-INDEX(K$4:K1644,MATCH(LARGE(FILTER(I$4:I1644,I$4:I1644&lt;=W320),1),I$4:I1644))-(W320-LARGE(FILTER(I$4:I"&amp;"1644,I$4:I1644&lt;=W320),1))*INDEX(F$4:F1644,MATCH(LARGE(FILTER(I$4:I1644,I$4:I1644&lt;=W320),1),I$4:I1644))))"),3.1151864E7)</f>
        <v>31151864</v>
      </c>
      <c r="N320" s="60">
        <f t="shared" si="8"/>
        <v>-74.76637</v>
      </c>
      <c r="O320" s="61" t="str">
        <f t="shared" si="9"/>
        <v>31,2M</v>
      </c>
      <c r="P320" s="56">
        <f t="shared" si="10"/>
        <v>39</v>
      </c>
      <c r="Q320" s="105" t="s">
        <v>61</v>
      </c>
      <c r="R320" s="10"/>
      <c r="S320" s="59">
        <f t="array" ref="S320">IF(COUNTA(Q320:Q1644)=0,"",SUM((COUNTIF(Q$4:Q320,Upgrades!$B$3:$B$13)-COUNTIF(Q$4:Q320,"Sell_"&amp;Upgrades!$B$3:$B$13))*Upgrades!$D$3:$D$13))</f>
        <v>431352.4</v>
      </c>
      <c r="T320" s="66">
        <f>IFERROR(__xludf.DUMMYFUNCTION("IF(COUNTA(Q320:Q1644)=0,"""",IF(REGEXMATCH(INDEX(FILTER(Q$4:Q320,Q$4:Q320&lt;&gt;""""),ROWS(FILTER(Q$4:Q320,Q$4:Q320&lt;&gt;""""))),""^Sell_""),INDEX(FILTER(T$4:T319,Q$4:Q319&lt;&gt;""""),ROWS(FILTER(Q$4:Q319,Q$4:Q319&lt;&gt;""""))),$AD$5+S320))"),438428.4)</f>
        <v>438428.4</v>
      </c>
      <c r="U320" s="10">
        <f>IFERROR(__xludf.DUMMYFUNCTION("IF(COUNTA(Q320:Q1644)=0,"""",IF(Q320="""",0,IF(REGEXMATCH(Q320,""^Sell_""),-ROUNDDOWN(ROUNDUP(INDEX(Upgrades!$C$3:$C$13,MATCH(SUBSTITUTE(Q320,""Sell_"",""""),Upgrades!$B$3:$B$13,0))*1.15^(COUNTIF(Q$4:Q319,SUBSTITUTE(Q320,""Sell_"",""""))-COUNTIF(Q$4:Q319,"&amp;"""Sell_""&amp;SUBSTITUTE(Q320,""Sell_"",""""))))/2),ROUNDUP(INDEX(Upgrades!$C$3:$C$13,MATCH(Q320,Upgrades!$B$3:$B$13,0))*1.15^(COUNTIF(Q$4:Q319,Q320)-COUNTIF(Q$4:Q319,""Sell_""&amp;Q320))))))"),-141514.0)</f>
        <v>-141514</v>
      </c>
      <c r="V320" s="10">
        <f t="shared" si="11"/>
        <v>-14345408</v>
      </c>
      <c r="W320" s="68">
        <f t="shared" si="12"/>
        <v>7118.994574</v>
      </c>
      <c r="X320" s="59" t="str">
        <f t="shared" si="13"/>
        <v>1h 58m 38s</v>
      </c>
      <c r="Y320" s="69">
        <f t="shared" si="14"/>
        <v>666225716</v>
      </c>
      <c r="Z320" s="11"/>
      <c r="AG320" s="59"/>
    </row>
    <row r="321">
      <c r="A321" s="8"/>
      <c r="B321" s="56" t="str">
        <f t="shared" si="2"/>
        <v/>
      </c>
      <c r="C321" s="105"/>
      <c r="D321" s="10"/>
      <c r="E321" s="59" t="str">
        <f t="array" ref="E321">IF(COUNTA(C321:C1644)=0,"",SUM((COUNTIF(C$4:C321,Upgrades!$B$3:$B$13)-COUNTIF(C$4:C321,"Sell_"&amp;Upgrades!$B$3:$B$13))*Upgrades!$D$3:$D$13))</f>
        <v/>
      </c>
      <c r="F321" s="66" t="str">
        <f>IFERROR(__xludf.DUMMYFUNCTION("IF(COUNTA(C321:C1644)=0,"""",IF(REGEXMATCH(INDEX(FILTER(C$4:C321,C$4:C321&lt;&gt;""""),ROWS(FILTER(C$4:C321,C$4:C321&lt;&gt;""""))),""^Sell_""),INDEX(FILTER(F$4:F320,C$4:C320&lt;&gt;""""),ROWS(FILTER(C$4:C320,C$4:C320&lt;&gt;""""))),$AC$5+E321))"),"")</f>
        <v/>
      </c>
      <c r="G321" s="10" t="str">
        <f>IFERROR(__xludf.DUMMYFUNCTION("IF(COUNTA(C321:C1644)=0,"""",IF(C321="""",0,IF(REGEXMATCH(C321,""^Sell_""),-ROUNDDOWN(ROUNDUP(INDEX(Upgrades!$C$3:$C$13,MATCH(SUBSTITUTE(C321,""Sell_"",""""),Upgrades!$B$3:$B$13,0))*1.15^(COUNTIF(C$4:C320,SUBSTITUTE(C321,""Sell_"",""""))-COUNTIF(C$4:C320,"&amp;"""Sell_""&amp;SUBSTITUTE(C321,""Sell_"",""""))))/2),ROUNDUP(INDEX(Upgrades!$C$3:$C$13,MATCH(C321,Upgrades!$B$3:$B$13,0))*1.15^(COUNTIF(C$4:C320,C321)-COUNTIF(C$4:C320,""Sell_""&amp;C321))))))"),"")</f>
        <v/>
      </c>
      <c r="H321" s="10" t="str">
        <f t="shared" si="3"/>
        <v/>
      </c>
      <c r="I321" s="68" t="str">
        <f t="shared" si="4"/>
        <v/>
      </c>
      <c r="J321" s="59" t="str">
        <f t="shared" si="5"/>
        <v/>
      </c>
      <c r="K321" s="69" t="str">
        <f t="shared" si="6"/>
        <v/>
      </c>
      <c r="L321" s="60">
        <f t="shared" si="7"/>
        <v>-74.76637</v>
      </c>
      <c r="M321" s="61">
        <f>IFERROR(__xludf.DUMMYFUNCTION("IFS(AND(COUNTA(C321:C1644)=0,COUNTA(Q321:Q1644)=0),"""",OR(AND(K321&gt;=1000000000,OR(Y321&gt;=1000000000,COUNTA(Q321:Q1644)=0)),OR(Y321&gt;=1000000000,AND(COUNTA(C321:C1644)=0,P$3=TRUE))),
ROUNDDOWN((AB$1-AC$1)*MAX(INDEX(T$4:T1644,MATCH(LARGE(FILTER(Y$4:Y1644,Y$4"&amp;":Y1644&lt;1000000000),1),Y$4:Y1644)),INDEX(F$4:F1644,MATCH(LARGE(FILTER(K$4:K1644,K$4:K1644&lt;1000000000),1),K$4:K1644)))),AND(K321&lt;1000000000,COUNTA(C321:C1644)&gt;0,P$3=FALSE),
ROUNDDOWN(INDEX(Y$4:Y1644,MATCH(LARGE(FILTER(W$4:W1644,W$4:W1644&lt;=I321),1),W$4:W1644"&amp;"))+(I321-LARGE(FILTER(W$4:W1644,W$4:W1644&lt;=I321),1))*INDEX(T$4:T1644,MATCH(LARGE(FILTER(W$4:W1644,W$4:W1644&lt;=I321),1),W$4:W1644))-K321),1,
ROUNDDOWN(Y321-INDEX(K$4:K1644,MATCH(LARGE(FILTER(I$4:I1644,I$4:I1644&lt;=W321),1),I$4:I1644))-(W321-LARGE(FILTER(I$4:I"&amp;"1644,I$4:I1644&lt;=W321),1))*INDEX(F$4:F1644,MATCH(LARGE(FILTER(I$4:I1644,I$4:I1644&lt;=W321),1),I$4:I1644))))"),3.1151864E7)</f>
        <v>31151864</v>
      </c>
      <c r="N321" s="60">
        <f t="shared" si="8"/>
        <v>-74.76637</v>
      </c>
      <c r="O321" s="61" t="str">
        <f t="shared" si="9"/>
        <v>31,2M</v>
      </c>
      <c r="P321" s="56">
        <f t="shared" si="10"/>
        <v>40</v>
      </c>
      <c r="Q321" s="105" t="s">
        <v>61</v>
      </c>
      <c r="R321" s="10"/>
      <c r="S321" s="59">
        <f t="array" ref="S321">IF(COUNTA(Q321:Q1644)=0,"",SUM((COUNTIF(Q$4:Q321,Upgrades!$B$3:$B$13)-COUNTIF(Q$4:Q321,"Sell_"&amp;Upgrades!$B$3:$B$13))*Upgrades!$D$3:$D$13))</f>
        <v>431252.4</v>
      </c>
      <c r="T321" s="66">
        <f>IFERROR(__xludf.DUMMYFUNCTION("IF(COUNTA(Q321:Q1644)=0,"""",IF(REGEXMATCH(INDEX(FILTER(Q$4:Q321,Q$4:Q321&lt;&gt;""""),ROWS(FILTER(Q$4:Q321,Q$4:Q321&lt;&gt;""""))),""^Sell_""),INDEX(FILTER(T$4:T320,Q$4:Q320&lt;&gt;""""),ROWS(FILTER(Q$4:Q320,Q$4:Q320&lt;&gt;""""))),$AD$5+S321))"),438428.4)</f>
        <v>438428.4</v>
      </c>
      <c r="U321" s="10">
        <f>IFERROR(__xludf.DUMMYFUNCTION("IF(COUNTA(Q321:Q1644)=0,"""",IF(Q321="""",0,IF(REGEXMATCH(Q321,""^Sell_""),-ROUNDDOWN(ROUNDUP(INDEX(Upgrades!$C$3:$C$13,MATCH(SUBSTITUTE(Q321,""Sell_"",""""),Upgrades!$B$3:$B$13,0))*1.15^(COUNTIF(Q$4:Q320,SUBSTITUTE(Q321,""Sell_"",""""))-COUNTIF(Q$4:Q320,"&amp;"""Sell_""&amp;SUBSTITUTE(Q321,""Sell_"",""""))))/2),ROUNDUP(INDEX(Upgrades!$C$3:$C$13,MATCH(Q321,Upgrades!$B$3:$B$13,0))*1.15^(COUNTIF(Q$4:Q320,Q321)-COUNTIF(Q$4:Q320,""Sell_""&amp;Q321))))))"),-123056.0)</f>
        <v>-123056</v>
      </c>
      <c r="V321" s="10">
        <f t="shared" si="11"/>
        <v>-14468464</v>
      </c>
      <c r="W321" s="68">
        <f t="shared" si="12"/>
        <v>7118.994574</v>
      </c>
      <c r="X321" s="59" t="str">
        <f t="shared" si="13"/>
        <v>1h 58m 38s</v>
      </c>
      <c r="Y321" s="69">
        <f t="shared" si="14"/>
        <v>666225716</v>
      </c>
      <c r="Z321" s="11"/>
      <c r="AG321" s="59"/>
    </row>
    <row r="322">
      <c r="A322" s="8"/>
      <c r="B322" s="56" t="str">
        <f t="shared" si="2"/>
        <v/>
      </c>
      <c r="C322" s="105"/>
      <c r="D322" s="10"/>
      <c r="E322" s="59" t="str">
        <f t="array" ref="E322">IF(COUNTA(C322:C1644)=0,"",SUM((COUNTIF(C$4:C322,Upgrades!$B$3:$B$13)-COUNTIF(C$4:C322,"Sell_"&amp;Upgrades!$B$3:$B$13))*Upgrades!$D$3:$D$13))</f>
        <v/>
      </c>
      <c r="F322" s="66" t="str">
        <f>IFERROR(__xludf.DUMMYFUNCTION("IF(COUNTA(C322:C1644)=0,"""",IF(REGEXMATCH(INDEX(FILTER(C$4:C322,C$4:C322&lt;&gt;""""),ROWS(FILTER(C$4:C322,C$4:C322&lt;&gt;""""))),""^Sell_""),INDEX(FILTER(F$4:F321,C$4:C321&lt;&gt;""""),ROWS(FILTER(C$4:C321,C$4:C321&lt;&gt;""""))),$AC$5+E322))"),"")</f>
        <v/>
      </c>
      <c r="G322" s="10" t="str">
        <f>IFERROR(__xludf.DUMMYFUNCTION("IF(COUNTA(C322:C1644)=0,"""",IF(C322="""",0,IF(REGEXMATCH(C322,""^Sell_""),-ROUNDDOWN(ROUNDUP(INDEX(Upgrades!$C$3:$C$13,MATCH(SUBSTITUTE(C322,""Sell_"",""""),Upgrades!$B$3:$B$13,0))*1.15^(COUNTIF(C$4:C321,SUBSTITUTE(C322,""Sell_"",""""))-COUNTIF(C$4:C321,"&amp;"""Sell_""&amp;SUBSTITUTE(C322,""Sell_"",""""))))/2),ROUNDUP(INDEX(Upgrades!$C$3:$C$13,MATCH(C322,Upgrades!$B$3:$B$13,0))*1.15^(COUNTIF(C$4:C321,C322)-COUNTIF(C$4:C321,""Sell_""&amp;C322))))))"),"")</f>
        <v/>
      </c>
      <c r="H322" s="10" t="str">
        <f t="shared" si="3"/>
        <v/>
      </c>
      <c r="I322" s="68" t="str">
        <f t="shared" si="4"/>
        <v/>
      </c>
      <c r="J322" s="59" t="str">
        <f t="shared" si="5"/>
        <v/>
      </c>
      <c r="K322" s="69" t="str">
        <f t="shared" si="6"/>
        <v/>
      </c>
      <c r="L322" s="60">
        <f t="shared" si="7"/>
        <v>-74.76637</v>
      </c>
      <c r="M322" s="61">
        <f>IFERROR(__xludf.DUMMYFUNCTION("IFS(AND(COUNTA(C322:C1644)=0,COUNTA(Q322:Q1644)=0),"""",OR(AND(K322&gt;=1000000000,OR(Y322&gt;=1000000000,COUNTA(Q322:Q1644)=0)),OR(Y322&gt;=1000000000,AND(COUNTA(C322:C1644)=0,P$3=TRUE))),
ROUNDDOWN((AB$1-AC$1)*MAX(INDEX(T$4:T1644,MATCH(LARGE(FILTER(Y$4:Y1644,Y$4"&amp;":Y1644&lt;1000000000),1),Y$4:Y1644)),INDEX(F$4:F1644,MATCH(LARGE(FILTER(K$4:K1644,K$4:K1644&lt;1000000000),1),K$4:K1644)))),AND(K322&lt;1000000000,COUNTA(C322:C1644)&gt;0,P$3=FALSE),
ROUNDDOWN(INDEX(Y$4:Y1644,MATCH(LARGE(FILTER(W$4:W1644,W$4:W1644&lt;=I322),1),W$4:W1644"&amp;"))+(I322-LARGE(FILTER(W$4:W1644,W$4:W1644&lt;=I322),1))*INDEX(T$4:T1644,MATCH(LARGE(FILTER(W$4:W1644,W$4:W1644&lt;=I322),1),W$4:W1644))-K322),1,
ROUNDDOWN(Y322-INDEX(K$4:K1644,MATCH(LARGE(FILTER(I$4:I1644,I$4:I1644&lt;=W322),1),I$4:I1644))-(W322-LARGE(FILTER(I$4:I"&amp;"1644,I$4:I1644&lt;=W322),1))*INDEX(F$4:F1644,MATCH(LARGE(FILTER(I$4:I1644,I$4:I1644&lt;=W322),1),I$4:I1644))))"),3.1151864E7)</f>
        <v>31151864</v>
      </c>
      <c r="N322" s="60">
        <f t="shared" si="8"/>
        <v>-74.76637</v>
      </c>
      <c r="O322" s="61" t="str">
        <f t="shared" si="9"/>
        <v>31,2M</v>
      </c>
      <c r="P322" s="56">
        <f t="shared" si="10"/>
        <v>41</v>
      </c>
      <c r="Q322" s="105" t="s">
        <v>61</v>
      </c>
      <c r="R322" s="10"/>
      <c r="S322" s="59">
        <f t="array" ref="S322">IF(COUNTA(Q322:Q1644)=0,"",SUM((COUNTIF(Q$4:Q322,Upgrades!$B$3:$B$13)-COUNTIF(Q$4:Q322,"Sell_"&amp;Upgrades!$B$3:$B$13))*Upgrades!$D$3:$D$13))</f>
        <v>431152.4</v>
      </c>
      <c r="T322" s="66">
        <f>IFERROR(__xludf.DUMMYFUNCTION("IF(COUNTA(Q322:Q1644)=0,"""",IF(REGEXMATCH(INDEX(FILTER(Q$4:Q322,Q$4:Q322&lt;&gt;""""),ROWS(FILTER(Q$4:Q322,Q$4:Q322&lt;&gt;""""))),""^Sell_""),INDEX(FILTER(T$4:T321,Q$4:Q321&lt;&gt;""""),ROWS(FILTER(Q$4:Q321,Q$4:Q321&lt;&gt;""""))),$AD$5+S322))"),438428.4)</f>
        <v>438428.4</v>
      </c>
      <c r="U322" s="10">
        <f>IFERROR(__xludf.DUMMYFUNCTION("IF(COUNTA(Q322:Q1644)=0,"""",IF(Q322="""",0,IF(REGEXMATCH(Q322,""^Sell_""),-ROUNDDOWN(ROUNDUP(INDEX(Upgrades!$C$3:$C$13,MATCH(SUBSTITUTE(Q322,""Sell_"",""""),Upgrades!$B$3:$B$13,0))*1.15^(COUNTIF(Q$4:Q321,SUBSTITUTE(Q322,""Sell_"",""""))-COUNTIF(Q$4:Q321,"&amp;"""Sell_""&amp;SUBSTITUTE(Q322,""Sell_"",""""))))/2),ROUNDUP(INDEX(Upgrades!$C$3:$C$13,MATCH(Q322,Upgrades!$B$3:$B$13,0))*1.15^(COUNTIF(Q$4:Q321,Q322)-COUNTIF(Q$4:Q321,""Sell_""&amp;Q322))))))"),-107005.0)</f>
        <v>-107005</v>
      </c>
      <c r="V322" s="10">
        <f t="shared" si="11"/>
        <v>-14575469</v>
      </c>
      <c r="W322" s="68">
        <f t="shared" si="12"/>
        <v>7118.994574</v>
      </c>
      <c r="X322" s="59" t="str">
        <f t="shared" si="13"/>
        <v>1h 58m 38s</v>
      </c>
      <c r="Y322" s="69">
        <f t="shared" si="14"/>
        <v>666225716</v>
      </c>
      <c r="Z322" s="11"/>
      <c r="AG322" s="59"/>
    </row>
    <row r="323">
      <c r="A323" s="8"/>
      <c r="B323" s="56" t="str">
        <f t="shared" si="2"/>
        <v/>
      </c>
      <c r="C323" s="105"/>
      <c r="D323" s="10"/>
      <c r="E323" s="59" t="str">
        <f t="array" ref="E323">IF(COUNTA(C323:C1644)=0,"",SUM((COUNTIF(C$4:C323,Upgrades!$B$3:$B$13)-COUNTIF(C$4:C323,"Sell_"&amp;Upgrades!$B$3:$B$13))*Upgrades!$D$3:$D$13))</f>
        <v/>
      </c>
      <c r="F323" s="66" t="str">
        <f>IFERROR(__xludf.DUMMYFUNCTION("IF(COUNTA(C323:C1644)=0,"""",IF(REGEXMATCH(INDEX(FILTER(C$4:C323,C$4:C323&lt;&gt;""""),ROWS(FILTER(C$4:C323,C$4:C323&lt;&gt;""""))),""^Sell_""),INDEX(FILTER(F$4:F322,C$4:C322&lt;&gt;""""),ROWS(FILTER(C$4:C322,C$4:C322&lt;&gt;""""))),$AC$5+E323))"),"")</f>
        <v/>
      </c>
      <c r="G323" s="10" t="str">
        <f>IFERROR(__xludf.DUMMYFUNCTION("IF(COUNTA(C323:C1644)=0,"""",IF(C323="""",0,IF(REGEXMATCH(C323,""^Sell_""),-ROUNDDOWN(ROUNDUP(INDEX(Upgrades!$C$3:$C$13,MATCH(SUBSTITUTE(C323,""Sell_"",""""),Upgrades!$B$3:$B$13,0))*1.15^(COUNTIF(C$4:C322,SUBSTITUTE(C323,""Sell_"",""""))-COUNTIF(C$4:C322,"&amp;"""Sell_""&amp;SUBSTITUTE(C323,""Sell_"",""""))))/2),ROUNDUP(INDEX(Upgrades!$C$3:$C$13,MATCH(C323,Upgrades!$B$3:$B$13,0))*1.15^(COUNTIF(C$4:C322,C323)-COUNTIF(C$4:C322,""Sell_""&amp;C323))))))"),"")</f>
        <v/>
      </c>
      <c r="H323" s="10" t="str">
        <f t="shared" si="3"/>
        <v/>
      </c>
      <c r="I323" s="68" t="str">
        <f t="shared" si="4"/>
        <v/>
      </c>
      <c r="J323" s="59" t="str">
        <f t="shared" si="5"/>
        <v/>
      </c>
      <c r="K323" s="69" t="str">
        <f t="shared" si="6"/>
        <v/>
      </c>
      <c r="L323" s="60">
        <f t="shared" si="7"/>
        <v>-74.76637</v>
      </c>
      <c r="M323" s="61">
        <f>IFERROR(__xludf.DUMMYFUNCTION("IFS(AND(COUNTA(C323:C1644)=0,COUNTA(Q323:Q1644)=0),"""",OR(AND(K323&gt;=1000000000,OR(Y323&gt;=1000000000,COUNTA(Q323:Q1644)=0)),OR(Y323&gt;=1000000000,AND(COUNTA(C323:C1644)=0,P$3=TRUE))),
ROUNDDOWN((AB$1-AC$1)*MAX(INDEX(T$4:T1644,MATCH(LARGE(FILTER(Y$4:Y1644,Y$4"&amp;":Y1644&lt;1000000000),1),Y$4:Y1644)),INDEX(F$4:F1644,MATCH(LARGE(FILTER(K$4:K1644,K$4:K1644&lt;1000000000),1),K$4:K1644)))),AND(K323&lt;1000000000,COUNTA(C323:C1644)&gt;0,P$3=FALSE),
ROUNDDOWN(INDEX(Y$4:Y1644,MATCH(LARGE(FILTER(W$4:W1644,W$4:W1644&lt;=I323),1),W$4:W1644"&amp;"))+(I323-LARGE(FILTER(W$4:W1644,W$4:W1644&lt;=I323),1))*INDEX(T$4:T1644,MATCH(LARGE(FILTER(W$4:W1644,W$4:W1644&lt;=I323),1),W$4:W1644))-K323),1,
ROUNDDOWN(Y323-INDEX(K$4:K1644,MATCH(LARGE(FILTER(I$4:I1644,I$4:I1644&lt;=W323),1),I$4:I1644))-(W323-LARGE(FILTER(I$4:I"&amp;"1644,I$4:I1644&lt;=W323),1))*INDEX(F$4:F1644,MATCH(LARGE(FILTER(I$4:I1644,I$4:I1644&lt;=W323),1),I$4:I1644))))"),3.1151864E7)</f>
        <v>31151864</v>
      </c>
      <c r="N323" s="60">
        <f t="shared" si="8"/>
        <v>-74.76637</v>
      </c>
      <c r="O323" s="61" t="str">
        <f t="shared" si="9"/>
        <v>31,2M</v>
      </c>
      <c r="P323" s="56">
        <f t="shared" si="10"/>
        <v>42</v>
      </c>
      <c r="Q323" s="105" t="s">
        <v>61</v>
      </c>
      <c r="R323" s="10"/>
      <c r="S323" s="59">
        <f t="array" ref="S323">IF(COUNTA(Q323:Q1644)=0,"",SUM((COUNTIF(Q$4:Q323,Upgrades!$B$3:$B$13)-COUNTIF(Q$4:Q323,"Sell_"&amp;Upgrades!$B$3:$B$13))*Upgrades!$D$3:$D$13))</f>
        <v>431052.4</v>
      </c>
      <c r="T323" s="66">
        <f>IFERROR(__xludf.DUMMYFUNCTION("IF(COUNTA(Q323:Q1644)=0,"""",IF(REGEXMATCH(INDEX(FILTER(Q$4:Q323,Q$4:Q323&lt;&gt;""""),ROWS(FILTER(Q$4:Q323,Q$4:Q323&lt;&gt;""""))),""^Sell_""),INDEX(FILTER(T$4:T322,Q$4:Q322&lt;&gt;""""),ROWS(FILTER(Q$4:Q322,Q$4:Q322&lt;&gt;""""))),$AD$5+S323))"),438428.4)</f>
        <v>438428.4</v>
      </c>
      <c r="U323" s="10">
        <f>IFERROR(__xludf.DUMMYFUNCTION("IF(COUNTA(Q323:Q1644)=0,"""",IF(Q323="""",0,IF(REGEXMATCH(Q323,""^Sell_""),-ROUNDDOWN(ROUNDUP(INDEX(Upgrades!$C$3:$C$13,MATCH(SUBSTITUTE(Q323,""Sell_"",""""),Upgrades!$B$3:$B$13,0))*1.15^(COUNTIF(Q$4:Q322,SUBSTITUTE(Q323,""Sell_"",""""))-COUNTIF(Q$4:Q322,"&amp;"""Sell_""&amp;SUBSTITUTE(Q323,""Sell_"",""""))))/2),ROUNDUP(INDEX(Upgrades!$C$3:$C$13,MATCH(Q323,Upgrades!$B$3:$B$13,0))*1.15^(COUNTIF(Q$4:Q322,Q323)-COUNTIF(Q$4:Q322,""Sell_""&amp;Q323))))))"),-93048.0)</f>
        <v>-93048</v>
      </c>
      <c r="V323" s="10">
        <f t="shared" si="11"/>
        <v>-14668517</v>
      </c>
      <c r="W323" s="68">
        <f t="shared" si="12"/>
        <v>7118.994574</v>
      </c>
      <c r="X323" s="59" t="str">
        <f t="shared" si="13"/>
        <v>1h 58m 38s</v>
      </c>
      <c r="Y323" s="69">
        <f t="shared" si="14"/>
        <v>666225716</v>
      </c>
      <c r="Z323" s="11"/>
      <c r="AG323" s="59"/>
    </row>
    <row r="324">
      <c r="A324" s="8"/>
      <c r="B324" s="56" t="str">
        <f t="shared" si="2"/>
        <v/>
      </c>
      <c r="C324" s="105"/>
      <c r="D324" s="10"/>
      <c r="E324" s="59" t="str">
        <f t="array" ref="E324">IF(COUNTA(C324:C1644)=0,"",SUM((COUNTIF(C$4:C324,Upgrades!$B$3:$B$13)-COUNTIF(C$4:C324,"Sell_"&amp;Upgrades!$B$3:$B$13))*Upgrades!$D$3:$D$13))</f>
        <v/>
      </c>
      <c r="F324" s="66" t="str">
        <f>IFERROR(__xludf.DUMMYFUNCTION("IF(COUNTA(C324:C1644)=0,"""",IF(REGEXMATCH(INDEX(FILTER(C$4:C324,C$4:C324&lt;&gt;""""),ROWS(FILTER(C$4:C324,C$4:C324&lt;&gt;""""))),""^Sell_""),INDEX(FILTER(F$4:F323,C$4:C323&lt;&gt;""""),ROWS(FILTER(C$4:C323,C$4:C323&lt;&gt;""""))),$AC$5+E324))"),"")</f>
        <v/>
      </c>
      <c r="G324" s="10" t="str">
        <f>IFERROR(__xludf.DUMMYFUNCTION("IF(COUNTA(C324:C1644)=0,"""",IF(C324="""",0,IF(REGEXMATCH(C324,""^Sell_""),-ROUNDDOWN(ROUNDUP(INDEX(Upgrades!$C$3:$C$13,MATCH(SUBSTITUTE(C324,""Sell_"",""""),Upgrades!$B$3:$B$13,0))*1.15^(COUNTIF(C$4:C323,SUBSTITUTE(C324,""Sell_"",""""))-COUNTIF(C$4:C323,"&amp;"""Sell_""&amp;SUBSTITUTE(C324,""Sell_"",""""))))/2),ROUNDUP(INDEX(Upgrades!$C$3:$C$13,MATCH(C324,Upgrades!$B$3:$B$13,0))*1.15^(COUNTIF(C$4:C323,C324)-COUNTIF(C$4:C323,""Sell_""&amp;C324))))))"),"")</f>
        <v/>
      </c>
      <c r="H324" s="10" t="str">
        <f t="shared" si="3"/>
        <v/>
      </c>
      <c r="I324" s="68" t="str">
        <f t="shared" si="4"/>
        <v/>
      </c>
      <c r="J324" s="59" t="str">
        <f t="shared" si="5"/>
        <v/>
      </c>
      <c r="K324" s="69" t="str">
        <f t="shared" si="6"/>
        <v/>
      </c>
      <c r="L324" s="60">
        <f t="shared" si="7"/>
        <v>-74.76637</v>
      </c>
      <c r="M324" s="61">
        <f>IFERROR(__xludf.DUMMYFUNCTION("IFS(AND(COUNTA(C324:C1644)=0,COUNTA(Q324:Q1644)=0),"""",OR(AND(K324&gt;=1000000000,OR(Y324&gt;=1000000000,COUNTA(Q324:Q1644)=0)),OR(Y324&gt;=1000000000,AND(COUNTA(C324:C1644)=0,P$3=TRUE))),
ROUNDDOWN((AB$1-AC$1)*MAX(INDEX(T$4:T1644,MATCH(LARGE(FILTER(Y$4:Y1644,Y$4"&amp;":Y1644&lt;1000000000),1),Y$4:Y1644)),INDEX(F$4:F1644,MATCH(LARGE(FILTER(K$4:K1644,K$4:K1644&lt;1000000000),1),K$4:K1644)))),AND(K324&lt;1000000000,COUNTA(C324:C1644)&gt;0,P$3=FALSE),
ROUNDDOWN(INDEX(Y$4:Y1644,MATCH(LARGE(FILTER(W$4:W1644,W$4:W1644&lt;=I324),1),W$4:W1644"&amp;"))+(I324-LARGE(FILTER(W$4:W1644,W$4:W1644&lt;=I324),1))*INDEX(T$4:T1644,MATCH(LARGE(FILTER(W$4:W1644,W$4:W1644&lt;=I324),1),W$4:W1644))-K324),1,
ROUNDDOWN(Y324-INDEX(K$4:K1644,MATCH(LARGE(FILTER(I$4:I1644,I$4:I1644&lt;=W324),1),I$4:I1644))-(W324-LARGE(FILTER(I$4:I"&amp;"1644,I$4:I1644&lt;=W324),1))*INDEX(F$4:F1644,MATCH(LARGE(FILTER(I$4:I1644,I$4:I1644&lt;=W324),1),I$4:I1644))))"),3.1151864E7)</f>
        <v>31151864</v>
      </c>
      <c r="N324" s="60">
        <f t="shared" si="8"/>
        <v>-74.76637</v>
      </c>
      <c r="O324" s="61" t="str">
        <f t="shared" si="9"/>
        <v>31,2M</v>
      </c>
      <c r="P324" s="56">
        <f t="shared" si="10"/>
        <v>43</v>
      </c>
      <c r="Q324" s="105" t="s">
        <v>61</v>
      </c>
      <c r="R324" s="10"/>
      <c r="S324" s="59">
        <f t="array" ref="S324">IF(COUNTA(Q324:Q1644)=0,"",SUM((COUNTIF(Q$4:Q324,Upgrades!$B$3:$B$13)-COUNTIF(Q$4:Q324,"Sell_"&amp;Upgrades!$B$3:$B$13))*Upgrades!$D$3:$D$13))</f>
        <v>430952.4</v>
      </c>
      <c r="T324" s="66">
        <f>IFERROR(__xludf.DUMMYFUNCTION("IF(COUNTA(Q324:Q1644)=0,"""",IF(REGEXMATCH(INDEX(FILTER(Q$4:Q324,Q$4:Q324&lt;&gt;""""),ROWS(FILTER(Q$4:Q324,Q$4:Q324&lt;&gt;""""))),""^Sell_""),INDEX(FILTER(T$4:T323,Q$4:Q323&lt;&gt;""""),ROWS(FILTER(Q$4:Q323,Q$4:Q323&lt;&gt;""""))),$AD$5+S324))"),438428.4)</f>
        <v>438428.4</v>
      </c>
      <c r="U324" s="10">
        <f>IFERROR(__xludf.DUMMYFUNCTION("IF(COUNTA(Q324:Q1644)=0,"""",IF(Q324="""",0,IF(REGEXMATCH(Q324,""^Sell_""),-ROUNDDOWN(ROUNDUP(INDEX(Upgrades!$C$3:$C$13,MATCH(SUBSTITUTE(Q324,""Sell_"",""""),Upgrades!$B$3:$B$13,0))*1.15^(COUNTIF(Q$4:Q323,SUBSTITUTE(Q324,""Sell_"",""""))-COUNTIF(Q$4:Q323,"&amp;"""Sell_""&amp;SUBSTITUTE(Q324,""Sell_"",""""))))/2),ROUNDUP(INDEX(Upgrades!$C$3:$C$13,MATCH(Q324,Upgrades!$B$3:$B$13,0))*1.15^(COUNTIF(Q$4:Q323,Q324)-COUNTIF(Q$4:Q323,""Sell_""&amp;Q324))))))"),-80911.0)</f>
        <v>-80911</v>
      </c>
      <c r="V324" s="10">
        <f t="shared" si="11"/>
        <v>-14749428</v>
      </c>
      <c r="W324" s="68">
        <f t="shared" si="12"/>
        <v>7118.994574</v>
      </c>
      <c r="X324" s="59" t="str">
        <f t="shared" si="13"/>
        <v>1h 58m 38s</v>
      </c>
      <c r="Y324" s="69">
        <f t="shared" si="14"/>
        <v>666225716</v>
      </c>
      <c r="Z324" s="11"/>
      <c r="AG324" s="59"/>
    </row>
    <row r="325">
      <c r="A325" s="8"/>
      <c r="B325" s="56" t="str">
        <f t="shared" si="2"/>
        <v/>
      </c>
      <c r="C325" s="105"/>
      <c r="D325" s="10"/>
      <c r="E325" s="59" t="str">
        <f t="array" ref="E325">IF(COUNTA(C325:C1644)=0,"",SUM((COUNTIF(C$4:C325,Upgrades!$B$3:$B$13)-COUNTIF(C$4:C325,"Sell_"&amp;Upgrades!$B$3:$B$13))*Upgrades!$D$3:$D$13))</f>
        <v/>
      </c>
      <c r="F325" s="66" t="str">
        <f>IFERROR(__xludf.DUMMYFUNCTION("IF(COUNTA(C325:C1644)=0,"""",IF(REGEXMATCH(INDEX(FILTER(C$4:C325,C$4:C325&lt;&gt;""""),ROWS(FILTER(C$4:C325,C$4:C325&lt;&gt;""""))),""^Sell_""),INDEX(FILTER(F$4:F324,C$4:C324&lt;&gt;""""),ROWS(FILTER(C$4:C324,C$4:C324&lt;&gt;""""))),$AC$5+E325))"),"")</f>
        <v/>
      </c>
      <c r="G325" s="10" t="str">
        <f>IFERROR(__xludf.DUMMYFUNCTION("IF(COUNTA(C325:C1644)=0,"""",IF(C325="""",0,IF(REGEXMATCH(C325,""^Sell_""),-ROUNDDOWN(ROUNDUP(INDEX(Upgrades!$C$3:$C$13,MATCH(SUBSTITUTE(C325,""Sell_"",""""),Upgrades!$B$3:$B$13,0))*1.15^(COUNTIF(C$4:C324,SUBSTITUTE(C325,""Sell_"",""""))-COUNTIF(C$4:C324,"&amp;"""Sell_""&amp;SUBSTITUTE(C325,""Sell_"",""""))))/2),ROUNDUP(INDEX(Upgrades!$C$3:$C$13,MATCH(C325,Upgrades!$B$3:$B$13,0))*1.15^(COUNTIF(C$4:C324,C325)-COUNTIF(C$4:C324,""Sell_""&amp;C325))))))"),"")</f>
        <v/>
      </c>
      <c r="H325" s="10" t="str">
        <f t="shared" si="3"/>
        <v/>
      </c>
      <c r="I325" s="68" t="str">
        <f t="shared" si="4"/>
        <v/>
      </c>
      <c r="J325" s="59" t="str">
        <f t="shared" si="5"/>
        <v/>
      </c>
      <c r="K325" s="69" t="str">
        <f t="shared" si="6"/>
        <v/>
      </c>
      <c r="L325" s="60">
        <f t="shared" si="7"/>
        <v>-74.76637</v>
      </c>
      <c r="M325" s="61">
        <f>IFERROR(__xludf.DUMMYFUNCTION("IFS(AND(COUNTA(C325:C1644)=0,COUNTA(Q325:Q1644)=0),"""",OR(AND(K325&gt;=1000000000,OR(Y325&gt;=1000000000,COUNTA(Q325:Q1644)=0)),OR(Y325&gt;=1000000000,AND(COUNTA(C325:C1644)=0,P$3=TRUE))),
ROUNDDOWN((AB$1-AC$1)*MAX(INDEX(T$4:T1644,MATCH(LARGE(FILTER(Y$4:Y1644,Y$4"&amp;":Y1644&lt;1000000000),1),Y$4:Y1644)),INDEX(F$4:F1644,MATCH(LARGE(FILTER(K$4:K1644,K$4:K1644&lt;1000000000),1),K$4:K1644)))),AND(K325&lt;1000000000,COUNTA(C325:C1644)&gt;0,P$3=FALSE),
ROUNDDOWN(INDEX(Y$4:Y1644,MATCH(LARGE(FILTER(W$4:W1644,W$4:W1644&lt;=I325),1),W$4:W1644"&amp;"))+(I325-LARGE(FILTER(W$4:W1644,W$4:W1644&lt;=I325),1))*INDEX(T$4:T1644,MATCH(LARGE(FILTER(W$4:W1644,W$4:W1644&lt;=I325),1),W$4:W1644))-K325),1,
ROUNDDOWN(Y325-INDEX(K$4:K1644,MATCH(LARGE(FILTER(I$4:I1644,I$4:I1644&lt;=W325),1),I$4:I1644))-(W325-LARGE(FILTER(I$4:I"&amp;"1644,I$4:I1644&lt;=W325),1))*INDEX(F$4:F1644,MATCH(LARGE(FILTER(I$4:I1644,I$4:I1644&lt;=W325),1),I$4:I1644))))"),3.1151864E7)</f>
        <v>31151864</v>
      </c>
      <c r="N325" s="60">
        <f t="shared" si="8"/>
        <v>-74.76637</v>
      </c>
      <c r="O325" s="61" t="str">
        <f t="shared" si="9"/>
        <v>31,2M</v>
      </c>
      <c r="P325" s="56">
        <f t="shared" si="10"/>
        <v>44</v>
      </c>
      <c r="Q325" s="105" t="s">
        <v>61</v>
      </c>
      <c r="R325" s="10"/>
      <c r="S325" s="59">
        <f t="array" ref="S325">IF(COUNTA(Q325:Q1644)=0,"",SUM((COUNTIF(Q$4:Q325,Upgrades!$B$3:$B$13)-COUNTIF(Q$4:Q325,"Sell_"&amp;Upgrades!$B$3:$B$13))*Upgrades!$D$3:$D$13))</f>
        <v>430852.4</v>
      </c>
      <c r="T325" s="66">
        <f>IFERROR(__xludf.DUMMYFUNCTION("IF(COUNTA(Q325:Q1644)=0,"""",IF(REGEXMATCH(INDEX(FILTER(Q$4:Q325,Q$4:Q325&lt;&gt;""""),ROWS(FILTER(Q$4:Q325,Q$4:Q325&lt;&gt;""""))),""^Sell_""),INDEX(FILTER(T$4:T324,Q$4:Q324&lt;&gt;""""),ROWS(FILTER(Q$4:Q324,Q$4:Q324&lt;&gt;""""))),$AD$5+S325))"),438428.4)</f>
        <v>438428.4</v>
      </c>
      <c r="U325" s="10">
        <f>IFERROR(__xludf.DUMMYFUNCTION("IF(COUNTA(Q325:Q1644)=0,"""",IF(Q325="""",0,IF(REGEXMATCH(Q325,""^Sell_""),-ROUNDDOWN(ROUNDUP(INDEX(Upgrades!$C$3:$C$13,MATCH(SUBSTITUTE(Q325,""Sell_"",""""),Upgrades!$B$3:$B$13,0))*1.15^(COUNTIF(Q$4:Q324,SUBSTITUTE(Q325,""Sell_"",""""))-COUNTIF(Q$4:Q324,"&amp;"""Sell_""&amp;SUBSTITUTE(Q325,""Sell_"",""""))))/2),ROUNDUP(INDEX(Upgrades!$C$3:$C$13,MATCH(Q325,Upgrades!$B$3:$B$13,0))*1.15^(COUNTIF(Q$4:Q324,Q325)-COUNTIF(Q$4:Q324,""Sell_""&amp;Q325))))))"),-70358.0)</f>
        <v>-70358</v>
      </c>
      <c r="V325" s="10">
        <f t="shared" si="11"/>
        <v>-14819786</v>
      </c>
      <c r="W325" s="68">
        <f t="shared" si="12"/>
        <v>7118.994574</v>
      </c>
      <c r="X325" s="59" t="str">
        <f t="shared" si="13"/>
        <v>1h 58m 38s</v>
      </c>
      <c r="Y325" s="69">
        <f t="shared" si="14"/>
        <v>666225716</v>
      </c>
      <c r="Z325" s="11"/>
      <c r="AG325" s="59"/>
    </row>
    <row r="326">
      <c r="A326" s="8"/>
      <c r="B326" s="56" t="str">
        <f t="shared" si="2"/>
        <v/>
      </c>
      <c r="C326" s="105"/>
      <c r="D326" s="10"/>
      <c r="E326" s="59" t="str">
        <f t="array" ref="E326">IF(COUNTA(C326:C1644)=0,"",SUM((COUNTIF(C$4:C326,Upgrades!$B$3:$B$13)-COUNTIF(C$4:C326,"Sell_"&amp;Upgrades!$B$3:$B$13))*Upgrades!$D$3:$D$13))</f>
        <v/>
      </c>
      <c r="F326" s="66" t="str">
        <f>IFERROR(__xludf.DUMMYFUNCTION("IF(COUNTA(C326:C1644)=0,"""",IF(REGEXMATCH(INDEX(FILTER(C$4:C326,C$4:C326&lt;&gt;""""),ROWS(FILTER(C$4:C326,C$4:C326&lt;&gt;""""))),""^Sell_""),INDEX(FILTER(F$4:F325,C$4:C325&lt;&gt;""""),ROWS(FILTER(C$4:C325,C$4:C325&lt;&gt;""""))),$AC$5+E326))"),"")</f>
        <v/>
      </c>
      <c r="G326" s="10" t="str">
        <f>IFERROR(__xludf.DUMMYFUNCTION("IF(COUNTA(C326:C1644)=0,"""",IF(C326="""",0,IF(REGEXMATCH(C326,""^Sell_""),-ROUNDDOWN(ROUNDUP(INDEX(Upgrades!$C$3:$C$13,MATCH(SUBSTITUTE(C326,""Sell_"",""""),Upgrades!$B$3:$B$13,0))*1.15^(COUNTIF(C$4:C325,SUBSTITUTE(C326,""Sell_"",""""))-COUNTIF(C$4:C325,"&amp;"""Sell_""&amp;SUBSTITUTE(C326,""Sell_"",""""))))/2),ROUNDUP(INDEX(Upgrades!$C$3:$C$13,MATCH(C326,Upgrades!$B$3:$B$13,0))*1.15^(COUNTIF(C$4:C325,C326)-COUNTIF(C$4:C325,""Sell_""&amp;C326))))))"),"")</f>
        <v/>
      </c>
      <c r="H326" s="10" t="str">
        <f t="shared" si="3"/>
        <v/>
      </c>
      <c r="I326" s="68" t="str">
        <f t="shared" si="4"/>
        <v/>
      </c>
      <c r="J326" s="59" t="str">
        <f t="shared" si="5"/>
        <v/>
      </c>
      <c r="K326" s="69" t="str">
        <f t="shared" si="6"/>
        <v/>
      </c>
      <c r="L326" s="60">
        <f t="shared" si="7"/>
        <v>-74.76637</v>
      </c>
      <c r="M326" s="61">
        <f>IFERROR(__xludf.DUMMYFUNCTION("IFS(AND(COUNTA(C326:C1644)=0,COUNTA(Q326:Q1644)=0),"""",OR(AND(K326&gt;=1000000000,OR(Y326&gt;=1000000000,COUNTA(Q326:Q1644)=0)),OR(Y326&gt;=1000000000,AND(COUNTA(C326:C1644)=0,P$3=TRUE))),
ROUNDDOWN((AB$1-AC$1)*MAX(INDEX(T$4:T1644,MATCH(LARGE(FILTER(Y$4:Y1644,Y$4"&amp;":Y1644&lt;1000000000),1),Y$4:Y1644)),INDEX(F$4:F1644,MATCH(LARGE(FILTER(K$4:K1644,K$4:K1644&lt;1000000000),1),K$4:K1644)))),AND(K326&lt;1000000000,COUNTA(C326:C1644)&gt;0,P$3=FALSE),
ROUNDDOWN(INDEX(Y$4:Y1644,MATCH(LARGE(FILTER(W$4:W1644,W$4:W1644&lt;=I326),1),W$4:W1644"&amp;"))+(I326-LARGE(FILTER(W$4:W1644,W$4:W1644&lt;=I326),1))*INDEX(T$4:T1644,MATCH(LARGE(FILTER(W$4:W1644,W$4:W1644&lt;=I326),1),W$4:W1644))-K326),1,
ROUNDDOWN(Y326-INDEX(K$4:K1644,MATCH(LARGE(FILTER(I$4:I1644,I$4:I1644&lt;=W326),1),I$4:I1644))-(W326-LARGE(FILTER(I$4:I"&amp;"1644,I$4:I1644&lt;=W326),1))*INDEX(F$4:F1644,MATCH(LARGE(FILTER(I$4:I1644,I$4:I1644&lt;=W326),1),I$4:I1644))))"),3.1151864E7)</f>
        <v>31151864</v>
      </c>
      <c r="N326" s="60">
        <f t="shared" si="8"/>
        <v>-74.76637</v>
      </c>
      <c r="O326" s="61" t="str">
        <f t="shared" si="9"/>
        <v>31,2M</v>
      </c>
      <c r="P326" s="56">
        <f t="shared" si="10"/>
        <v>45</v>
      </c>
      <c r="Q326" s="105" t="s">
        <v>61</v>
      </c>
      <c r="R326" s="10"/>
      <c r="S326" s="59">
        <f t="array" ref="S326">IF(COUNTA(Q326:Q1644)=0,"",SUM((COUNTIF(Q$4:Q326,Upgrades!$B$3:$B$13)-COUNTIF(Q$4:Q326,"Sell_"&amp;Upgrades!$B$3:$B$13))*Upgrades!$D$3:$D$13))</f>
        <v>430752.4</v>
      </c>
      <c r="T326" s="66">
        <f>IFERROR(__xludf.DUMMYFUNCTION("IF(COUNTA(Q326:Q1644)=0,"""",IF(REGEXMATCH(INDEX(FILTER(Q$4:Q326,Q$4:Q326&lt;&gt;""""),ROWS(FILTER(Q$4:Q326,Q$4:Q326&lt;&gt;""""))),""^Sell_""),INDEX(FILTER(T$4:T325,Q$4:Q325&lt;&gt;""""),ROWS(FILTER(Q$4:Q325,Q$4:Q325&lt;&gt;""""))),$AD$5+S326))"),438428.4)</f>
        <v>438428.4</v>
      </c>
      <c r="U326" s="10">
        <f>IFERROR(__xludf.DUMMYFUNCTION("IF(COUNTA(Q326:Q1644)=0,"""",IF(Q326="""",0,IF(REGEXMATCH(Q326,""^Sell_""),-ROUNDDOWN(ROUNDUP(INDEX(Upgrades!$C$3:$C$13,MATCH(SUBSTITUTE(Q326,""Sell_"",""""),Upgrades!$B$3:$B$13,0))*1.15^(COUNTIF(Q$4:Q325,SUBSTITUTE(Q326,""Sell_"",""""))-COUNTIF(Q$4:Q325,"&amp;"""Sell_""&amp;SUBSTITUTE(Q326,""Sell_"",""""))))/2),ROUNDUP(INDEX(Upgrades!$C$3:$C$13,MATCH(Q326,Upgrades!$B$3:$B$13,0))*1.15^(COUNTIF(Q$4:Q325,Q326)-COUNTIF(Q$4:Q325,""Sell_""&amp;Q326))))))"),-61180.0)</f>
        <v>-61180</v>
      </c>
      <c r="V326" s="10">
        <f t="shared" si="11"/>
        <v>-14880966</v>
      </c>
      <c r="W326" s="68">
        <f t="shared" si="12"/>
        <v>7118.994574</v>
      </c>
      <c r="X326" s="59" t="str">
        <f t="shared" si="13"/>
        <v>1h 58m 38s</v>
      </c>
      <c r="Y326" s="69">
        <f t="shared" si="14"/>
        <v>666225716</v>
      </c>
      <c r="Z326" s="11"/>
      <c r="AG326" s="59"/>
    </row>
    <row r="327">
      <c r="A327" s="8"/>
      <c r="B327" s="56" t="str">
        <f t="shared" si="2"/>
        <v/>
      </c>
      <c r="C327" s="105"/>
      <c r="D327" s="10"/>
      <c r="E327" s="59" t="str">
        <f t="array" ref="E327">IF(COUNTA(C327:C1644)=0,"",SUM((COUNTIF(C$4:C327,Upgrades!$B$3:$B$13)-COUNTIF(C$4:C327,"Sell_"&amp;Upgrades!$B$3:$B$13))*Upgrades!$D$3:$D$13))</f>
        <v/>
      </c>
      <c r="F327" s="66" t="str">
        <f>IFERROR(__xludf.DUMMYFUNCTION("IF(COUNTA(C327:C1644)=0,"""",IF(REGEXMATCH(INDEX(FILTER(C$4:C327,C$4:C327&lt;&gt;""""),ROWS(FILTER(C$4:C327,C$4:C327&lt;&gt;""""))),""^Sell_""),INDEX(FILTER(F$4:F326,C$4:C326&lt;&gt;""""),ROWS(FILTER(C$4:C326,C$4:C326&lt;&gt;""""))),$AC$5+E327))"),"")</f>
        <v/>
      </c>
      <c r="G327" s="10" t="str">
        <f>IFERROR(__xludf.DUMMYFUNCTION("IF(COUNTA(C327:C1644)=0,"""",IF(C327="""",0,IF(REGEXMATCH(C327,""^Sell_""),-ROUNDDOWN(ROUNDUP(INDEX(Upgrades!$C$3:$C$13,MATCH(SUBSTITUTE(C327,""Sell_"",""""),Upgrades!$B$3:$B$13,0))*1.15^(COUNTIF(C$4:C326,SUBSTITUTE(C327,""Sell_"",""""))-COUNTIF(C$4:C326,"&amp;"""Sell_""&amp;SUBSTITUTE(C327,""Sell_"",""""))))/2),ROUNDUP(INDEX(Upgrades!$C$3:$C$13,MATCH(C327,Upgrades!$B$3:$B$13,0))*1.15^(COUNTIF(C$4:C326,C327)-COUNTIF(C$4:C326,""Sell_""&amp;C327))))))"),"")</f>
        <v/>
      </c>
      <c r="H327" s="10" t="str">
        <f t="shared" si="3"/>
        <v/>
      </c>
      <c r="I327" s="68" t="str">
        <f t="shared" si="4"/>
        <v/>
      </c>
      <c r="J327" s="59" t="str">
        <f t="shared" si="5"/>
        <v/>
      </c>
      <c r="K327" s="69" t="str">
        <f t="shared" si="6"/>
        <v/>
      </c>
      <c r="L327" s="60">
        <f t="shared" si="7"/>
        <v>-74.76637</v>
      </c>
      <c r="M327" s="61">
        <f>IFERROR(__xludf.DUMMYFUNCTION("IFS(AND(COUNTA(C327:C1644)=0,COUNTA(Q327:Q1644)=0),"""",OR(AND(K327&gt;=1000000000,OR(Y327&gt;=1000000000,COUNTA(Q327:Q1644)=0)),OR(Y327&gt;=1000000000,AND(COUNTA(C327:C1644)=0,P$3=TRUE))),
ROUNDDOWN((AB$1-AC$1)*MAX(INDEX(T$4:T1644,MATCH(LARGE(FILTER(Y$4:Y1644,Y$4"&amp;":Y1644&lt;1000000000),1),Y$4:Y1644)),INDEX(F$4:F1644,MATCH(LARGE(FILTER(K$4:K1644,K$4:K1644&lt;1000000000),1),K$4:K1644)))),AND(K327&lt;1000000000,COUNTA(C327:C1644)&gt;0,P$3=FALSE),
ROUNDDOWN(INDEX(Y$4:Y1644,MATCH(LARGE(FILTER(W$4:W1644,W$4:W1644&lt;=I327),1),W$4:W1644"&amp;"))+(I327-LARGE(FILTER(W$4:W1644,W$4:W1644&lt;=I327),1))*INDEX(T$4:T1644,MATCH(LARGE(FILTER(W$4:W1644,W$4:W1644&lt;=I327),1),W$4:W1644))-K327),1,
ROUNDDOWN(Y327-INDEX(K$4:K1644,MATCH(LARGE(FILTER(I$4:I1644,I$4:I1644&lt;=W327),1),I$4:I1644))-(W327-LARGE(FILTER(I$4:I"&amp;"1644,I$4:I1644&lt;=W327),1))*INDEX(F$4:F1644,MATCH(LARGE(FILTER(I$4:I1644,I$4:I1644&lt;=W327),1),I$4:I1644))))"),3.1151864E7)</f>
        <v>31151864</v>
      </c>
      <c r="N327" s="60">
        <f t="shared" si="8"/>
        <v>-74.76637</v>
      </c>
      <c r="O327" s="61" t="str">
        <f t="shared" si="9"/>
        <v>31,2M</v>
      </c>
      <c r="P327" s="56">
        <f t="shared" si="10"/>
        <v>46</v>
      </c>
      <c r="Q327" s="105" t="s">
        <v>61</v>
      </c>
      <c r="R327" s="10"/>
      <c r="S327" s="59">
        <f t="array" ref="S327">IF(COUNTA(Q327:Q1644)=0,"",SUM((COUNTIF(Q$4:Q327,Upgrades!$B$3:$B$13)-COUNTIF(Q$4:Q327,"Sell_"&amp;Upgrades!$B$3:$B$13))*Upgrades!$D$3:$D$13))</f>
        <v>430652.4</v>
      </c>
      <c r="T327" s="66">
        <f>IFERROR(__xludf.DUMMYFUNCTION("IF(COUNTA(Q327:Q1644)=0,"""",IF(REGEXMATCH(INDEX(FILTER(Q$4:Q327,Q$4:Q327&lt;&gt;""""),ROWS(FILTER(Q$4:Q327,Q$4:Q327&lt;&gt;""""))),""^Sell_""),INDEX(FILTER(T$4:T326,Q$4:Q326&lt;&gt;""""),ROWS(FILTER(Q$4:Q326,Q$4:Q326&lt;&gt;""""))),$AD$5+S327))"),438428.4)</f>
        <v>438428.4</v>
      </c>
      <c r="U327" s="10">
        <f>IFERROR(__xludf.DUMMYFUNCTION("IF(COUNTA(Q327:Q1644)=0,"""",IF(Q327="""",0,IF(REGEXMATCH(Q327,""^Sell_""),-ROUNDDOWN(ROUNDUP(INDEX(Upgrades!$C$3:$C$13,MATCH(SUBSTITUTE(Q327,""Sell_"",""""),Upgrades!$B$3:$B$13,0))*1.15^(COUNTIF(Q$4:Q326,SUBSTITUTE(Q327,""Sell_"",""""))-COUNTIF(Q$4:Q326,"&amp;"""Sell_""&amp;SUBSTITUTE(Q327,""Sell_"",""""))))/2),ROUNDUP(INDEX(Upgrades!$C$3:$C$13,MATCH(Q327,Upgrades!$B$3:$B$13,0))*1.15^(COUNTIF(Q$4:Q326,Q327)-COUNTIF(Q$4:Q326,""Sell_""&amp;Q327))))))"),-53200.0)</f>
        <v>-53200</v>
      </c>
      <c r="V327" s="10">
        <f t="shared" si="11"/>
        <v>-14934166</v>
      </c>
      <c r="W327" s="68">
        <f t="shared" si="12"/>
        <v>7118.994574</v>
      </c>
      <c r="X327" s="59" t="str">
        <f t="shared" si="13"/>
        <v>1h 58m 38s</v>
      </c>
      <c r="Y327" s="69">
        <f t="shared" si="14"/>
        <v>666225716</v>
      </c>
      <c r="Z327" s="11"/>
      <c r="AG327" s="59"/>
    </row>
    <row r="328">
      <c r="A328" s="8"/>
      <c r="B328" s="56" t="str">
        <f t="shared" si="2"/>
        <v/>
      </c>
      <c r="C328" s="105"/>
      <c r="D328" s="10"/>
      <c r="E328" s="59" t="str">
        <f t="array" ref="E328">IF(COUNTA(C328:C1644)=0,"",SUM((COUNTIF(C$4:C328,Upgrades!$B$3:$B$13)-COUNTIF(C$4:C328,"Sell_"&amp;Upgrades!$B$3:$B$13))*Upgrades!$D$3:$D$13))</f>
        <v/>
      </c>
      <c r="F328" s="66" t="str">
        <f>IFERROR(__xludf.DUMMYFUNCTION("IF(COUNTA(C328:C1644)=0,"""",IF(REGEXMATCH(INDEX(FILTER(C$4:C328,C$4:C328&lt;&gt;""""),ROWS(FILTER(C$4:C328,C$4:C328&lt;&gt;""""))),""^Sell_""),INDEX(FILTER(F$4:F327,C$4:C327&lt;&gt;""""),ROWS(FILTER(C$4:C327,C$4:C327&lt;&gt;""""))),$AC$5+E328))"),"")</f>
        <v/>
      </c>
      <c r="G328" s="10" t="str">
        <f>IFERROR(__xludf.DUMMYFUNCTION("IF(COUNTA(C328:C1644)=0,"""",IF(C328="""",0,IF(REGEXMATCH(C328,""^Sell_""),-ROUNDDOWN(ROUNDUP(INDEX(Upgrades!$C$3:$C$13,MATCH(SUBSTITUTE(C328,""Sell_"",""""),Upgrades!$B$3:$B$13,0))*1.15^(COUNTIF(C$4:C327,SUBSTITUTE(C328,""Sell_"",""""))-COUNTIF(C$4:C327,"&amp;"""Sell_""&amp;SUBSTITUTE(C328,""Sell_"",""""))))/2),ROUNDUP(INDEX(Upgrades!$C$3:$C$13,MATCH(C328,Upgrades!$B$3:$B$13,0))*1.15^(COUNTIF(C$4:C327,C328)-COUNTIF(C$4:C327,""Sell_""&amp;C328))))))"),"")</f>
        <v/>
      </c>
      <c r="H328" s="10" t="str">
        <f t="shared" si="3"/>
        <v/>
      </c>
      <c r="I328" s="68" t="str">
        <f t="shared" si="4"/>
        <v/>
      </c>
      <c r="J328" s="59" t="str">
        <f t="shared" si="5"/>
        <v/>
      </c>
      <c r="K328" s="69" t="str">
        <f t="shared" si="6"/>
        <v/>
      </c>
      <c r="L328" s="60">
        <f t="shared" si="7"/>
        <v>-74.76637</v>
      </c>
      <c r="M328" s="61">
        <f>IFERROR(__xludf.DUMMYFUNCTION("IFS(AND(COUNTA(C328:C1644)=0,COUNTA(Q328:Q1644)=0),"""",OR(AND(K328&gt;=1000000000,OR(Y328&gt;=1000000000,COUNTA(Q328:Q1644)=0)),OR(Y328&gt;=1000000000,AND(COUNTA(C328:C1644)=0,P$3=TRUE))),
ROUNDDOWN((AB$1-AC$1)*MAX(INDEX(T$4:T1644,MATCH(LARGE(FILTER(Y$4:Y1644,Y$4"&amp;":Y1644&lt;1000000000),1),Y$4:Y1644)),INDEX(F$4:F1644,MATCH(LARGE(FILTER(K$4:K1644,K$4:K1644&lt;1000000000),1),K$4:K1644)))),AND(K328&lt;1000000000,COUNTA(C328:C1644)&gt;0,P$3=FALSE),
ROUNDDOWN(INDEX(Y$4:Y1644,MATCH(LARGE(FILTER(W$4:W1644,W$4:W1644&lt;=I328),1),W$4:W1644"&amp;"))+(I328-LARGE(FILTER(W$4:W1644,W$4:W1644&lt;=I328),1))*INDEX(T$4:T1644,MATCH(LARGE(FILTER(W$4:W1644,W$4:W1644&lt;=I328),1),W$4:W1644))-K328),1,
ROUNDDOWN(Y328-INDEX(K$4:K1644,MATCH(LARGE(FILTER(I$4:I1644,I$4:I1644&lt;=W328),1),I$4:I1644))-(W328-LARGE(FILTER(I$4:I"&amp;"1644,I$4:I1644&lt;=W328),1))*INDEX(F$4:F1644,MATCH(LARGE(FILTER(I$4:I1644,I$4:I1644&lt;=W328),1),I$4:I1644))))"),3.1151864E7)</f>
        <v>31151864</v>
      </c>
      <c r="N328" s="60">
        <f t="shared" si="8"/>
        <v>-74.76637</v>
      </c>
      <c r="O328" s="61" t="str">
        <f t="shared" si="9"/>
        <v>31,2M</v>
      </c>
      <c r="P328" s="56">
        <f t="shared" si="10"/>
        <v>47</v>
      </c>
      <c r="Q328" s="105" t="s">
        <v>61</v>
      </c>
      <c r="R328" s="10"/>
      <c r="S328" s="59">
        <f t="array" ref="S328">IF(COUNTA(Q328:Q1644)=0,"",SUM((COUNTIF(Q$4:Q328,Upgrades!$B$3:$B$13)-COUNTIF(Q$4:Q328,"Sell_"&amp;Upgrades!$B$3:$B$13))*Upgrades!$D$3:$D$13))</f>
        <v>430552.4</v>
      </c>
      <c r="T328" s="66">
        <f>IFERROR(__xludf.DUMMYFUNCTION("IF(COUNTA(Q328:Q1644)=0,"""",IF(REGEXMATCH(INDEX(FILTER(Q$4:Q328,Q$4:Q328&lt;&gt;""""),ROWS(FILTER(Q$4:Q328,Q$4:Q328&lt;&gt;""""))),""^Sell_""),INDEX(FILTER(T$4:T327,Q$4:Q327&lt;&gt;""""),ROWS(FILTER(Q$4:Q327,Q$4:Q327&lt;&gt;""""))),$AD$5+S328))"),438428.4)</f>
        <v>438428.4</v>
      </c>
      <c r="U328" s="10">
        <f>IFERROR(__xludf.DUMMYFUNCTION("IF(COUNTA(Q328:Q1644)=0,"""",IF(Q328="""",0,IF(REGEXMATCH(Q328,""^Sell_""),-ROUNDDOWN(ROUNDUP(INDEX(Upgrades!$C$3:$C$13,MATCH(SUBSTITUTE(Q328,""Sell_"",""""),Upgrades!$B$3:$B$13,0))*1.15^(COUNTIF(Q$4:Q327,SUBSTITUTE(Q328,""Sell_"",""""))-COUNTIF(Q$4:Q327,"&amp;"""Sell_""&amp;SUBSTITUTE(Q328,""Sell_"",""""))))/2),ROUNDUP(INDEX(Upgrades!$C$3:$C$13,MATCH(Q328,Upgrades!$B$3:$B$13,0))*1.15^(COUNTIF(Q$4:Q327,Q328)-COUNTIF(Q$4:Q327,""Sell_""&amp;Q328))))))"),-46261.0)</f>
        <v>-46261</v>
      </c>
      <c r="V328" s="10">
        <f t="shared" si="11"/>
        <v>-14980427</v>
      </c>
      <c r="W328" s="68">
        <f t="shared" si="12"/>
        <v>7118.994574</v>
      </c>
      <c r="X328" s="59" t="str">
        <f t="shared" si="13"/>
        <v>1h 58m 38s</v>
      </c>
      <c r="Y328" s="69">
        <f t="shared" si="14"/>
        <v>666225716</v>
      </c>
      <c r="Z328" s="11"/>
      <c r="AG328" s="59"/>
    </row>
    <row r="329">
      <c r="A329" s="8"/>
      <c r="B329" s="56" t="str">
        <f t="shared" si="2"/>
        <v/>
      </c>
      <c r="C329" s="105"/>
      <c r="D329" s="10"/>
      <c r="E329" s="59" t="str">
        <f t="array" ref="E329">IF(COUNTA(C329:C1644)=0,"",SUM((COUNTIF(C$4:C329,Upgrades!$B$3:$B$13)-COUNTIF(C$4:C329,"Sell_"&amp;Upgrades!$B$3:$B$13))*Upgrades!$D$3:$D$13))</f>
        <v/>
      </c>
      <c r="F329" s="66" t="str">
        <f>IFERROR(__xludf.DUMMYFUNCTION("IF(COUNTA(C329:C1644)=0,"""",IF(REGEXMATCH(INDEX(FILTER(C$4:C329,C$4:C329&lt;&gt;""""),ROWS(FILTER(C$4:C329,C$4:C329&lt;&gt;""""))),""^Sell_""),INDEX(FILTER(F$4:F328,C$4:C328&lt;&gt;""""),ROWS(FILTER(C$4:C328,C$4:C328&lt;&gt;""""))),$AC$5+E329))"),"")</f>
        <v/>
      </c>
      <c r="G329" s="10" t="str">
        <f>IFERROR(__xludf.DUMMYFUNCTION("IF(COUNTA(C329:C1644)=0,"""",IF(C329="""",0,IF(REGEXMATCH(C329,""^Sell_""),-ROUNDDOWN(ROUNDUP(INDEX(Upgrades!$C$3:$C$13,MATCH(SUBSTITUTE(C329,""Sell_"",""""),Upgrades!$B$3:$B$13,0))*1.15^(COUNTIF(C$4:C328,SUBSTITUTE(C329,""Sell_"",""""))-COUNTIF(C$4:C328,"&amp;"""Sell_""&amp;SUBSTITUTE(C329,""Sell_"",""""))))/2),ROUNDUP(INDEX(Upgrades!$C$3:$C$13,MATCH(C329,Upgrades!$B$3:$B$13,0))*1.15^(COUNTIF(C$4:C328,C329)-COUNTIF(C$4:C328,""Sell_""&amp;C329))))))"),"")</f>
        <v/>
      </c>
      <c r="H329" s="10" t="str">
        <f t="shared" si="3"/>
        <v/>
      </c>
      <c r="I329" s="68" t="str">
        <f t="shared" si="4"/>
        <v/>
      </c>
      <c r="J329" s="59" t="str">
        <f t="shared" si="5"/>
        <v/>
      </c>
      <c r="K329" s="69" t="str">
        <f t="shared" si="6"/>
        <v/>
      </c>
      <c r="L329" s="60">
        <f t="shared" si="7"/>
        <v>-74.76637</v>
      </c>
      <c r="M329" s="61">
        <f>IFERROR(__xludf.DUMMYFUNCTION("IFS(AND(COUNTA(C329:C1644)=0,COUNTA(Q329:Q1644)=0),"""",OR(AND(K329&gt;=1000000000,OR(Y329&gt;=1000000000,COUNTA(Q329:Q1644)=0)),OR(Y329&gt;=1000000000,AND(COUNTA(C329:C1644)=0,P$3=TRUE))),
ROUNDDOWN((AB$1-AC$1)*MAX(INDEX(T$4:T1644,MATCH(LARGE(FILTER(Y$4:Y1644,Y$4"&amp;":Y1644&lt;1000000000),1),Y$4:Y1644)),INDEX(F$4:F1644,MATCH(LARGE(FILTER(K$4:K1644,K$4:K1644&lt;1000000000),1),K$4:K1644)))),AND(K329&lt;1000000000,COUNTA(C329:C1644)&gt;0,P$3=FALSE),
ROUNDDOWN(INDEX(Y$4:Y1644,MATCH(LARGE(FILTER(W$4:W1644,W$4:W1644&lt;=I329),1),W$4:W1644"&amp;"))+(I329-LARGE(FILTER(W$4:W1644,W$4:W1644&lt;=I329),1))*INDEX(T$4:T1644,MATCH(LARGE(FILTER(W$4:W1644,W$4:W1644&lt;=I329),1),W$4:W1644))-K329),1,
ROUNDDOWN(Y329-INDEX(K$4:K1644,MATCH(LARGE(FILTER(I$4:I1644,I$4:I1644&lt;=W329),1),I$4:I1644))-(W329-LARGE(FILTER(I$4:I"&amp;"1644,I$4:I1644&lt;=W329),1))*INDEX(F$4:F1644,MATCH(LARGE(FILTER(I$4:I1644,I$4:I1644&lt;=W329),1),I$4:I1644))))"),3.1151864E7)</f>
        <v>31151864</v>
      </c>
      <c r="N329" s="60">
        <f t="shared" si="8"/>
        <v>-74.76637</v>
      </c>
      <c r="O329" s="61" t="str">
        <f t="shared" si="9"/>
        <v>31,2M</v>
      </c>
      <c r="P329" s="56">
        <f t="shared" si="10"/>
        <v>48</v>
      </c>
      <c r="Q329" s="105" t="s">
        <v>61</v>
      </c>
      <c r="R329" s="10"/>
      <c r="S329" s="59">
        <f t="array" ref="S329">IF(COUNTA(Q329:Q1644)=0,"",SUM((COUNTIF(Q$4:Q329,Upgrades!$B$3:$B$13)-COUNTIF(Q$4:Q329,"Sell_"&amp;Upgrades!$B$3:$B$13))*Upgrades!$D$3:$D$13))</f>
        <v>430452.4</v>
      </c>
      <c r="T329" s="66">
        <f>IFERROR(__xludf.DUMMYFUNCTION("IF(COUNTA(Q329:Q1644)=0,"""",IF(REGEXMATCH(INDEX(FILTER(Q$4:Q329,Q$4:Q329&lt;&gt;""""),ROWS(FILTER(Q$4:Q329,Q$4:Q329&lt;&gt;""""))),""^Sell_""),INDEX(FILTER(T$4:T328,Q$4:Q328&lt;&gt;""""),ROWS(FILTER(Q$4:Q328,Q$4:Q328&lt;&gt;""""))),$AD$5+S329))"),438428.4)</f>
        <v>438428.4</v>
      </c>
      <c r="U329" s="10">
        <f>IFERROR(__xludf.DUMMYFUNCTION("IF(COUNTA(Q329:Q1644)=0,"""",IF(Q329="""",0,IF(REGEXMATCH(Q329,""^Sell_""),-ROUNDDOWN(ROUNDUP(INDEX(Upgrades!$C$3:$C$13,MATCH(SUBSTITUTE(Q329,""Sell_"",""""),Upgrades!$B$3:$B$13,0))*1.15^(COUNTIF(Q$4:Q328,SUBSTITUTE(Q329,""Sell_"",""""))-COUNTIF(Q$4:Q328,"&amp;"""Sell_""&amp;SUBSTITUTE(Q329,""Sell_"",""""))))/2),ROUNDUP(INDEX(Upgrades!$C$3:$C$13,MATCH(Q329,Upgrades!$B$3:$B$13,0))*1.15^(COUNTIF(Q$4:Q328,Q329)-COUNTIF(Q$4:Q328,""Sell_""&amp;Q329))))))"),-40227.0)</f>
        <v>-40227</v>
      </c>
      <c r="V329" s="10">
        <f t="shared" si="11"/>
        <v>-15020654</v>
      </c>
      <c r="W329" s="68">
        <f t="shared" si="12"/>
        <v>7118.994574</v>
      </c>
      <c r="X329" s="59" t="str">
        <f t="shared" si="13"/>
        <v>1h 58m 38s</v>
      </c>
      <c r="Y329" s="69">
        <f t="shared" si="14"/>
        <v>666225716</v>
      </c>
      <c r="Z329" s="11"/>
      <c r="AG329" s="59"/>
    </row>
    <row r="330">
      <c r="A330" s="8"/>
      <c r="B330" s="56" t="str">
        <f t="shared" si="2"/>
        <v/>
      </c>
      <c r="C330" s="105"/>
      <c r="D330" s="10"/>
      <c r="E330" s="59" t="str">
        <f t="array" ref="E330">IF(COUNTA(C330:C1644)=0,"",SUM((COUNTIF(C$4:C330,Upgrades!$B$3:$B$13)-COUNTIF(C$4:C330,"Sell_"&amp;Upgrades!$B$3:$B$13))*Upgrades!$D$3:$D$13))</f>
        <v/>
      </c>
      <c r="F330" s="66" t="str">
        <f>IFERROR(__xludf.DUMMYFUNCTION("IF(COUNTA(C330:C1644)=0,"""",IF(REGEXMATCH(INDEX(FILTER(C$4:C330,C$4:C330&lt;&gt;""""),ROWS(FILTER(C$4:C330,C$4:C330&lt;&gt;""""))),""^Sell_""),INDEX(FILTER(F$4:F329,C$4:C329&lt;&gt;""""),ROWS(FILTER(C$4:C329,C$4:C329&lt;&gt;""""))),$AC$5+E330))"),"")</f>
        <v/>
      </c>
      <c r="G330" s="10" t="str">
        <f>IFERROR(__xludf.DUMMYFUNCTION("IF(COUNTA(C330:C1644)=0,"""",IF(C330="""",0,IF(REGEXMATCH(C330,""^Sell_""),-ROUNDDOWN(ROUNDUP(INDEX(Upgrades!$C$3:$C$13,MATCH(SUBSTITUTE(C330,""Sell_"",""""),Upgrades!$B$3:$B$13,0))*1.15^(COUNTIF(C$4:C329,SUBSTITUTE(C330,""Sell_"",""""))-COUNTIF(C$4:C329,"&amp;"""Sell_""&amp;SUBSTITUTE(C330,""Sell_"",""""))))/2),ROUNDUP(INDEX(Upgrades!$C$3:$C$13,MATCH(C330,Upgrades!$B$3:$B$13,0))*1.15^(COUNTIF(C$4:C329,C330)-COUNTIF(C$4:C329,""Sell_""&amp;C330))))))"),"")</f>
        <v/>
      </c>
      <c r="H330" s="10" t="str">
        <f t="shared" si="3"/>
        <v/>
      </c>
      <c r="I330" s="68" t="str">
        <f t="shared" si="4"/>
        <v/>
      </c>
      <c r="J330" s="59" t="str">
        <f t="shared" si="5"/>
        <v/>
      </c>
      <c r="K330" s="69" t="str">
        <f t="shared" si="6"/>
        <v/>
      </c>
      <c r="L330" s="60">
        <f t="shared" si="7"/>
        <v>-74.76637</v>
      </c>
      <c r="M330" s="61">
        <f>IFERROR(__xludf.DUMMYFUNCTION("IFS(AND(COUNTA(C330:C1644)=0,COUNTA(Q330:Q1644)=0),"""",OR(AND(K330&gt;=1000000000,OR(Y330&gt;=1000000000,COUNTA(Q330:Q1644)=0)),OR(Y330&gt;=1000000000,AND(COUNTA(C330:C1644)=0,P$3=TRUE))),
ROUNDDOWN((AB$1-AC$1)*MAX(INDEX(T$4:T1644,MATCH(LARGE(FILTER(Y$4:Y1644,Y$4"&amp;":Y1644&lt;1000000000),1),Y$4:Y1644)),INDEX(F$4:F1644,MATCH(LARGE(FILTER(K$4:K1644,K$4:K1644&lt;1000000000),1),K$4:K1644)))),AND(K330&lt;1000000000,COUNTA(C330:C1644)&gt;0,P$3=FALSE),
ROUNDDOWN(INDEX(Y$4:Y1644,MATCH(LARGE(FILTER(W$4:W1644,W$4:W1644&lt;=I330),1),W$4:W1644"&amp;"))+(I330-LARGE(FILTER(W$4:W1644,W$4:W1644&lt;=I330),1))*INDEX(T$4:T1644,MATCH(LARGE(FILTER(W$4:W1644,W$4:W1644&lt;=I330),1),W$4:W1644))-K330),1,
ROUNDDOWN(Y330-INDEX(K$4:K1644,MATCH(LARGE(FILTER(I$4:I1644,I$4:I1644&lt;=W330),1),I$4:I1644))-(W330-LARGE(FILTER(I$4:I"&amp;"1644,I$4:I1644&lt;=W330),1))*INDEX(F$4:F1644,MATCH(LARGE(FILTER(I$4:I1644,I$4:I1644&lt;=W330),1),I$4:I1644))))"),3.1151864E7)</f>
        <v>31151864</v>
      </c>
      <c r="N330" s="60">
        <f t="shared" si="8"/>
        <v>-74.76637</v>
      </c>
      <c r="O330" s="61" t="str">
        <f t="shared" si="9"/>
        <v>31,2M</v>
      </c>
      <c r="P330" s="56">
        <f t="shared" si="10"/>
        <v>49</v>
      </c>
      <c r="Q330" s="105" t="s">
        <v>61</v>
      </c>
      <c r="R330" s="10"/>
      <c r="S330" s="59">
        <f t="array" ref="S330">IF(COUNTA(Q330:Q1644)=0,"",SUM((COUNTIF(Q$4:Q330,Upgrades!$B$3:$B$13)-COUNTIF(Q$4:Q330,"Sell_"&amp;Upgrades!$B$3:$B$13))*Upgrades!$D$3:$D$13))</f>
        <v>430352.4</v>
      </c>
      <c r="T330" s="66">
        <f>IFERROR(__xludf.DUMMYFUNCTION("IF(COUNTA(Q330:Q1644)=0,"""",IF(REGEXMATCH(INDEX(FILTER(Q$4:Q330,Q$4:Q330&lt;&gt;""""),ROWS(FILTER(Q$4:Q330,Q$4:Q330&lt;&gt;""""))),""^Sell_""),INDEX(FILTER(T$4:T329,Q$4:Q329&lt;&gt;""""),ROWS(FILTER(Q$4:Q329,Q$4:Q329&lt;&gt;""""))),$AD$5+S330))"),438428.4)</f>
        <v>438428.4</v>
      </c>
      <c r="U330" s="10">
        <f>IFERROR(__xludf.DUMMYFUNCTION("IF(COUNTA(Q330:Q1644)=0,"""",IF(Q330="""",0,IF(REGEXMATCH(Q330,""^Sell_""),-ROUNDDOWN(ROUNDUP(INDEX(Upgrades!$C$3:$C$13,MATCH(SUBSTITUTE(Q330,""Sell_"",""""),Upgrades!$B$3:$B$13,0))*1.15^(COUNTIF(Q$4:Q329,SUBSTITUTE(Q330,""Sell_"",""""))-COUNTIF(Q$4:Q329,"&amp;"""Sell_""&amp;SUBSTITUTE(Q330,""Sell_"",""""))))/2),ROUNDUP(INDEX(Upgrades!$C$3:$C$13,MATCH(Q330,Upgrades!$B$3:$B$13,0))*1.15^(COUNTIF(Q$4:Q329,Q330)-COUNTIF(Q$4:Q329,""Sell_""&amp;Q330))))))"),-34980.0)</f>
        <v>-34980</v>
      </c>
      <c r="V330" s="10">
        <f t="shared" si="11"/>
        <v>-15055634</v>
      </c>
      <c r="W330" s="68">
        <f t="shared" si="12"/>
        <v>7118.994574</v>
      </c>
      <c r="X330" s="59" t="str">
        <f t="shared" si="13"/>
        <v>1h 58m 38s</v>
      </c>
      <c r="Y330" s="69">
        <f t="shared" si="14"/>
        <v>666225716</v>
      </c>
      <c r="Z330" s="11"/>
      <c r="AG330" s="59"/>
    </row>
    <row r="331">
      <c r="A331" s="8"/>
      <c r="B331" s="56" t="str">
        <f t="shared" si="2"/>
        <v/>
      </c>
      <c r="C331" s="105"/>
      <c r="D331" s="10"/>
      <c r="E331" s="59" t="str">
        <f t="array" ref="E331">IF(COUNTA(C331:C1644)=0,"",SUM((COUNTIF(C$4:C331,Upgrades!$B$3:$B$13)-COUNTIF(C$4:C331,"Sell_"&amp;Upgrades!$B$3:$B$13))*Upgrades!$D$3:$D$13))</f>
        <v/>
      </c>
      <c r="F331" s="66" t="str">
        <f>IFERROR(__xludf.DUMMYFUNCTION("IF(COUNTA(C331:C1644)=0,"""",IF(REGEXMATCH(INDEX(FILTER(C$4:C331,C$4:C331&lt;&gt;""""),ROWS(FILTER(C$4:C331,C$4:C331&lt;&gt;""""))),""^Sell_""),INDEX(FILTER(F$4:F330,C$4:C330&lt;&gt;""""),ROWS(FILTER(C$4:C330,C$4:C330&lt;&gt;""""))),$AC$5+E331))"),"")</f>
        <v/>
      </c>
      <c r="G331" s="10" t="str">
        <f>IFERROR(__xludf.DUMMYFUNCTION("IF(COUNTA(C331:C1644)=0,"""",IF(C331="""",0,IF(REGEXMATCH(C331,""^Sell_""),-ROUNDDOWN(ROUNDUP(INDEX(Upgrades!$C$3:$C$13,MATCH(SUBSTITUTE(C331,""Sell_"",""""),Upgrades!$B$3:$B$13,0))*1.15^(COUNTIF(C$4:C330,SUBSTITUTE(C331,""Sell_"",""""))-COUNTIF(C$4:C330,"&amp;"""Sell_""&amp;SUBSTITUTE(C331,""Sell_"",""""))))/2),ROUNDUP(INDEX(Upgrades!$C$3:$C$13,MATCH(C331,Upgrades!$B$3:$B$13,0))*1.15^(COUNTIF(C$4:C330,C331)-COUNTIF(C$4:C330,""Sell_""&amp;C331))))))"),"")</f>
        <v/>
      </c>
      <c r="H331" s="10" t="str">
        <f t="shared" si="3"/>
        <v/>
      </c>
      <c r="I331" s="68" t="str">
        <f t="shared" si="4"/>
        <v/>
      </c>
      <c r="J331" s="59" t="str">
        <f t="shared" si="5"/>
        <v/>
      </c>
      <c r="K331" s="69" t="str">
        <f t="shared" si="6"/>
        <v/>
      </c>
      <c r="L331" s="60">
        <f t="shared" si="7"/>
        <v>-74.76637</v>
      </c>
      <c r="M331" s="61">
        <f>IFERROR(__xludf.DUMMYFUNCTION("IFS(AND(COUNTA(C331:C1644)=0,COUNTA(Q331:Q1644)=0),"""",OR(AND(K331&gt;=1000000000,OR(Y331&gt;=1000000000,COUNTA(Q331:Q1644)=0)),OR(Y331&gt;=1000000000,AND(COUNTA(C331:C1644)=0,P$3=TRUE))),
ROUNDDOWN((AB$1-AC$1)*MAX(INDEX(T$4:T1644,MATCH(LARGE(FILTER(Y$4:Y1644,Y$4"&amp;":Y1644&lt;1000000000),1),Y$4:Y1644)),INDEX(F$4:F1644,MATCH(LARGE(FILTER(K$4:K1644,K$4:K1644&lt;1000000000),1),K$4:K1644)))),AND(K331&lt;1000000000,COUNTA(C331:C1644)&gt;0,P$3=FALSE),
ROUNDDOWN(INDEX(Y$4:Y1644,MATCH(LARGE(FILTER(W$4:W1644,W$4:W1644&lt;=I331),1),W$4:W1644"&amp;"))+(I331-LARGE(FILTER(W$4:W1644,W$4:W1644&lt;=I331),1))*INDEX(T$4:T1644,MATCH(LARGE(FILTER(W$4:W1644,W$4:W1644&lt;=I331),1),W$4:W1644))-K331),1,
ROUNDDOWN(Y331-INDEX(K$4:K1644,MATCH(LARGE(FILTER(I$4:I1644,I$4:I1644&lt;=W331),1),I$4:I1644))-(W331-LARGE(FILTER(I$4:I"&amp;"1644,I$4:I1644&lt;=W331),1))*INDEX(F$4:F1644,MATCH(LARGE(FILTER(I$4:I1644,I$4:I1644&lt;=W331),1),I$4:I1644))))"),3.1151864E7)</f>
        <v>31151864</v>
      </c>
      <c r="N331" s="60">
        <f t="shared" si="8"/>
        <v>-74.76637</v>
      </c>
      <c r="O331" s="61" t="str">
        <f t="shared" si="9"/>
        <v>31,2M</v>
      </c>
      <c r="P331" s="56">
        <f t="shared" si="10"/>
        <v>50</v>
      </c>
      <c r="Q331" s="105" t="s">
        <v>61</v>
      </c>
      <c r="R331" s="10"/>
      <c r="S331" s="59">
        <f t="array" ref="S331">IF(COUNTA(Q331:Q1644)=0,"",SUM((COUNTIF(Q$4:Q331,Upgrades!$B$3:$B$13)-COUNTIF(Q$4:Q331,"Sell_"&amp;Upgrades!$B$3:$B$13))*Upgrades!$D$3:$D$13))</f>
        <v>430252.4</v>
      </c>
      <c r="T331" s="66">
        <f>IFERROR(__xludf.DUMMYFUNCTION("IF(COUNTA(Q331:Q1644)=0,"""",IF(REGEXMATCH(INDEX(FILTER(Q$4:Q331,Q$4:Q331&lt;&gt;""""),ROWS(FILTER(Q$4:Q331,Q$4:Q331&lt;&gt;""""))),""^Sell_""),INDEX(FILTER(T$4:T330,Q$4:Q330&lt;&gt;""""),ROWS(FILTER(Q$4:Q330,Q$4:Q330&lt;&gt;""""))),$AD$5+S331))"),438428.4)</f>
        <v>438428.4</v>
      </c>
      <c r="U331" s="10">
        <f>IFERROR(__xludf.DUMMYFUNCTION("IF(COUNTA(Q331:Q1644)=0,"""",IF(Q331="""",0,IF(REGEXMATCH(Q331,""^Sell_""),-ROUNDDOWN(ROUNDUP(INDEX(Upgrades!$C$3:$C$13,MATCH(SUBSTITUTE(Q331,""Sell_"",""""),Upgrades!$B$3:$B$13,0))*1.15^(COUNTIF(Q$4:Q330,SUBSTITUTE(Q331,""Sell_"",""""))-COUNTIF(Q$4:Q330,"&amp;"""Sell_""&amp;SUBSTITUTE(Q331,""Sell_"",""""))))/2),ROUNDUP(INDEX(Upgrades!$C$3:$C$13,MATCH(Q331,Upgrades!$B$3:$B$13,0))*1.15^(COUNTIF(Q$4:Q330,Q331)-COUNTIF(Q$4:Q330,""Sell_""&amp;Q331))))))"),-30417.0)</f>
        <v>-30417</v>
      </c>
      <c r="V331" s="10">
        <f t="shared" si="11"/>
        <v>-15086051</v>
      </c>
      <c r="W331" s="68">
        <f t="shared" si="12"/>
        <v>7118.994574</v>
      </c>
      <c r="X331" s="59" t="str">
        <f t="shared" si="13"/>
        <v>1h 58m 38s</v>
      </c>
      <c r="Y331" s="69">
        <f t="shared" si="14"/>
        <v>666225716</v>
      </c>
      <c r="Z331" s="11"/>
      <c r="AG331" s="59"/>
    </row>
    <row r="332">
      <c r="A332" s="8"/>
      <c r="B332" s="56" t="str">
        <f t="shared" si="2"/>
        <v/>
      </c>
      <c r="C332" s="105"/>
      <c r="D332" s="10"/>
      <c r="E332" s="59" t="str">
        <f t="array" ref="E332">IF(COUNTA(C332:C1644)=0,"",SUM((COUNTIF(C$4:C332,Upgrades!$B$3:$B$13)-COUNTIF(C$4:C332,"Sell_"&amp;Upgrades!$B$3:$B$13))*Upgrades!$D$3:$D$13))</f>
        <v/>
      </c>
      <c r="F332" s="66" t="str">
        <f>IFERROR(__xludf.DUMMYFUNCTION("IF(COUNTA(C332:C1644)=0,"""",IF(REGEXMATCH(INDEX(FILTER(C$4:C332,C$4:C332&lt;&gt;""""),ROWS(FILTER(C$4:C332,C$4:C332&lt;&gt;""""))),""^Sell_""),INDEX(FILTER(F$4:F331,C$4:C331&lt;&gt;""""),ROWS(FILTER(C$4:C331,C$4:C331&lt;&gt;""""))),$AC$5+E332))"),"")</f>
        <v/>
      </c>
      <c r="G332" s="10" t="str">
        <f>IFERROR(__xludf.DUMMYFUNCTION("IF(COUNTA(C332:C1644)=0,"""",IF(C332="""",0,IF(REGEXMATCH(C332,""^Sell_""),-ROUNDDOWN(ROUNDUP(INDEX(Upgrades!$C$3:$C$13,MATCH(SUBSTITUTE(C332,""Sell_"",""""),Upgrades!$B$3:$B$13,0))*1.15^(COUNTIF(C$4:C331,SUBSTITUTE(C332,""Sell_"",""""))-COUNTIF(C$4:C331,"&amp;"""Sell_""&amp;SUBSTITUTE(C332,""Sell_"",""""))))/2),ROUNDUP(INDEX(Upgrades!$C$3:$C$13,MATCH(C332,Upgrades!$B$3:$B$13,0))*1.15^(COUNTIF(C$4:C331,C332)-COUNTIF(C$4:C331,""Sell_""&amp;C332))))))"),"")</f>
        <v/>
      </c>
      <c r="H332" s="10" t="str">
        <f t="shared" si="3"/>
        <v/>
      </c>
      <c r="I332" s="68" t="str">
        <f t="shared" si="4"/>
        <v/>
      </c>
      <c r="J332" s="59" t="str">
        <f t="shared" si="5"/>
        <v/>
      </c>
      <c r="K332" s="69" t="str">
        <f t="shared" si="6"/>
        <v/>
      </c>
      <c r="L332" s="60">
        <f t="shared" si="7"/>
        <v>-74.76637</v>
      </c>
      <c r="M332" s="61">
        <f>IFERROR(__xludf.DUMMYFUNCTION("IFS(AND(COUNTA(C332:C1644)=0,COUNTA(Q332:Q1644)=0),"""",OR(AND(K332&gt;=1000000000,OR(Y332&gt;=1000000000,COUNTA(Q332:Q1644)=0)),OR(Y332&gt;=1000000000,AND(COUNTA(C332:C1644)=0,P$3=TRUE))),
ROUNDDOWN((AB$1-AC$1)*MAX(INDEX(T$4:T1644,MATCH(LARGE(FILTER(Y$4:Y1644,Y$4"&amp;":Y1644&lt;1000000000),1),Y$4:Y1644)),INDEX(F$4:F1644,MATCH(LARGE(FILTER(K$4:K1644,K$4:K1644&lt;1000000000),1),K$4:K1644)))),AND(K332&lt;1000000000,COUNTA(C332:C1644)&gt;0,P$3=FALSE),
ROUNDDOWN(INDEX(Y$4:Y1644,MATCH(LARGE(FILTER(W$4:W1644,W$4:W1644&lt;=I332),1),W$4:W1644"&amp;"))+(I332-LARGE(FILTER(W$4:W1644,W$4:W1644&lt;=I332),1))*INDEX(T$4:T1644,MATCH(LARGE(FILTER(W$4:W1644,W$4:W1644&lt;=I332),1),W$4:W1644))-K332),1,
ROUNDDOWN(Y332-INDEX(K$4:K1644,MATCH(LARGE(FILTER(I$4:I1644,I$4:I1644&lt;=W332),1),I$4:I1644))-(W332-LARGE(FILTER(I$4:I"&amp;"1644,I$4:I1644&lt;=W332),1))*INDEX(F$4:F1644,MATCH(LARGE(FILTER(I$4:I1644,I$4:I1644&lt;=W332),1),I$4:I1644))))"),3.1151864E7)</f>
        <v>31151864</v>
      </c>
      <c r="N332" s="60">
        <f t="shared" si="8"/>
        <v>-74.76637</v>
      </c>
      <c r="O332" s="61" t="str">
        <f t="shared" si="9"/>
        <v>31,2M</v>
      </c>
      <c r="P332" s="56">
        <f t="shared" si="10"/>
        <v>51</v>
      </c>
      <c r="Q332" s="105" t="s">
        <v>61</v>
      </c>
      <c r="R332" s="10"/>
      <c r="S332" s="59">
        <f t="array" ref="S332">IF(COUNTA(Q332:Q1644)=0,"",SUM((COUNTIF(Q$4:Q332,Upgrades!$B$3:$B$13)-COUNTIF(Q$4:Q332,"Sell_"&amp;Upgrades!$B$3:$B$13))*Upgrades!$D$3:$D$13))</f>
        <v>430152.4</v>
      </c>
      <c r="T332" s="66">
        <f>IFERROR(__xludf.DUMMYFUNCTION("IF(COUNTA(Q332:Q1644)=0,"""",IF(REGEXMATCH(INDEX(FILTER(Q$4:Q332,Q$4:Q332&lt;&gt;""""),ROWS(FILTER(Q$4:Q332,Q$4:Q332&lt;&gt;""""))),""^Sell_""),INDEX(FILTER(T$4:T331,Q$4:Q331&lt;&gt;""""),ROWS(FILTER(Q$4:Q331,Q$4:Q331&lt;&gt;""""))),$AD$5+S332))"),438428.4)</f>
        <v>438428.4</v>
      </c>
      <c r="U332" s="10">
        <f>IFERROR(__xludf.DUMMYFUNCTION("IF(COUNTA(Q332:Q1644)=0,"""",IF(Q332="""",0,IF(REGEXMATCH(Q332,""^Sell_""),-ROUNDDOWN(ROUNDUP(INDEX(Upgrades!$C$3:$C$13,MATCH(SUBSTITUTE(Q332,""Sell_"",""""),Upgrades!$B$3:$B$13,0))*1.15^(COUNTIF(Q$4:Q331,SUBSTITUTE(Q332,""Sell_"",""""))-COUNTIF(Q$4:Q331,"&amp;"""Sell_""&amp;SUBSTITUTE(Q332,""Sell_"",""""))))/2),ROUNDUP(INDEX(Upgrades!$C$3:$C$13,MATCH(Q332,Upgrades!$B$3:$B$13,0))*1.15^(COUNTIF(Q$4:Q331,Q332)-COUNTIF(Q$4:Q331,""Sell_""&amp;Q332))))))"),-26450.0)</f>
        <v>-26450</v>
      </c>
      <c r="V332" s="10">
        <f t="shared" si="11"/>
        <v>-15112501</v>
      </c>
      <c r="W332" s="68">
        <f t="shared" si="12"/>
        <v>7118.994574</v>
      </c>
      <c r="X332" s="59" t="str">
        <f t="shared" si="13"/>
        <v>1h 58m 38s</v>
      </c>
      <c r="Y332" s="69">
        <f t="shared" si="14"/>
        <v>666225716</v>
      </c>
      <c r="Z332" s="11"/>
      <c r="AG332" s="59"/>
    </row>
    <row r="333">
      <c r="A333" s="8"/>
      <c r="B333" s="56" t="str">
        <f t="shared" si="2"/>
        <v/>
      </c>
      <c r="C333" s="105"/>
      <c r="D333" s="10"/>
      <c r="E333" s="59" t="str">
        <f t="array" ref="E333">IF(COUNTA(C333:C1644)=0,"",SUM((COUNTIF(C$4:C333,Upgrades!$B$3:$B$13)-COUNTIF(C$4:C333,"Sell_"&amp;Upgrades!$B$3:$B$13))*Upgrades!$D$3:$D$13))</f>
        <v/>
      </c>
      <c r="F333" s="66" t="str">
        <f>IFERROR(__xludf.DUMMYFUNCTION("IF(COUNTA(C333:C1644)=0,"""",IF(REGEXMATCH(INDEX(FILTER(C$4:C333,C$4:C333&lt;&gt;""""),ROWS(FILTER(C$4:C333,C$4:C333&lt;&gt;""""))),""^Sell_""),INDEX(FILTER(F$4:F332,C$4:C332&lt;&gt;""""),ROWS(FILTER(C$4:C332,C$4:C332&lt;&gt;""""))),$AC$5+E333))"),"")</f>
        <v/>
      </c>
      <c r="G333" s="10" t="str">
        <f>IFERROR(__xludf.DUMMYFUNCTION("IF(COUNTA(C333:C1644)=0,"""",IF(C333="""",0,IF(REGEXMATCH(C333,""^Sell_""),-ROUNDDOWN(ROUNDUP(INDEX(Upgrades!$C$3:$C$13,MATCH(SUBSTITUTE(C333,""Sell_"",""""),Upgrades!$B$3:$B$13,0))*1.15^(COUNTIF(C$4:C332,SUBSTITUTE(C333,""Sell_"",""""))-COUNTIF(C$4:C332,"&amp;"""Sell_""&amp;SUBSTITUTE(C333,""Sell_"",""""))))/2),ROUNDUP(INDEX(Upgrades!$C$3:$C$13,MATCH(C333,Upgrades!$B$3:$B$13,0))*1.15^(COUNTIF(C$4:C332,C333)-COUNTIF(C$4:C332,""Sell_""&amp;C333))))))"),"")</f>
        <v/>
      </c>
      <c r="H333" s="10" t="str">
        <f t="shared" si="3"/>
        <v/>
      </c>
      <c r="I333" s="68" t="str">
        <f t="shared" si="4"/>
        <v/>
      </c>
      <c r="J333" s="59" t="str">
        <f t="shared" si="5"/>
        <v/>
      </c>
      <c r="K333" s="69" t="str">
        <f t="shared" si="6"/>
        <v/>
      </c>
      <c r="L333" s="60">
        <f t="shared" si="7"/>
        <v>-74.76637</v>
      </c>
      <c r="M333" s="61">
        <f>IFERROR(__xludf.DUMMYFUNCTION("IFS(AND(COUNTA(C333:C1644)=0,COUNTA(Q333:Q1644)=0),"""",OR(AND(K333&gt;=1000000000,OR(Y333&gt;=1000000000,COUNTA(Q333:Q1644)=0)),OR(Y333&gt;=1000000000,AND(COUNTA(C333:C1644)=0,P$3=TRUE))),
ROUNDDOWN((AB$1-AC$1)*MAX(INDEX(T$4:T1644,MATCH(LARGE(FILTER(Y$4:Y1644,Y$4"&amp;":Y1644&lt;1000000000),1),Y$4:Y1644)),INDEX(F$4:F1644,MATCH(LARGE(FILTER(K$4:K1644,K$4:K1644&lt;1000000000),1),K$4:K1644)))),AND(K333&lt;1000000000,COUNTA(C333:C1644)&gt;0,P$3=FALSE),
ROUNDDOWN(INDEX(Y$4:Y1644,MATCH(LARGE(FILTER(W$4:W1644,W$4:W1644&lt;=I333),1),W$4:W1644"&amp;"))+(I333-LARGE(FILTER(W$4:W1644,W$4:W1644&lt;=I333),1))*INDEX(T$4:T1644,MATCH(LARGE(FILTER(W$4:W1644,W$4:W1644&lt;=I333),1),W$4:W1644))-K333),1,
ROUNDDOWN(Y333-INDEX(K$4:K1644,MATCH(LARGE(FILTER(I$4:I1644,I$4:I1644&lt;=W333),1),I$4:I1644))-(W333-LARGE(FILTER(I$4:I"&amp;"1644,I$4:I1644&lt;=W333),1))*INDEX(F$4:F1644,MATCH(LARGE(FILTER(I$4:I1644,I$4:I1644&lt;=W333),1),I$4:I1644))))"),3.1151864E7)</f>
        <v>31151864</v>
      </c>
      <c r="N333" s="60">
        <f t="shared" si="8"/>
        <v>-74.76637</v>
      </c>
      <c r="O333" s="61" t="str">
        <f t="shared" si="9"/>
        <v>31,2M</v>
      </c>
      <c r="P333" s="56">
        <f t="shared" si="10"/>
        <v>52</v>
      </c>
      <c r="Q333" s="105" t="s">
        <v>61</v>
      </c>
      <c r="R333" s="10"/>
      <c r="S333" s="59">
        <f t="array" ref="S333">IF(COUNTA(Q333:Q1644)=0,"",SUM((COUNTIF(Q$4:Q333,Upgrades!$B$3:$B$13)-COUNTIF(Q$4:Q333,"Sell_"&amp;Upgrades!$B$3:$B$13))*Upgrades!$D$3:$D$13))</f>
        <v>430052.4</v>
      </c>
      <c r="T333" s="66">
        <f>IFERROR(__xludf.DUMMYFUNCTION("IF(COUNTA(Q333:Q1644)=0,"""",IF(REGEXMATCH(INDEX(FILTER(Q$4:Q333,Q$4:Q333&lt;&gt;""""),ROWS(FILTER(Q$4:Q333,Q$4:Q333&lt;&gt;""""))),""^Sell_""),INDEX(FILTER(T$4:T332,Q$4:Q332&lt;&gt;""""),ROWS(FILTER(Q$4:Q332,Q$4:Q332&lt;&gt;""""))),$AD$5+S333))"),438428.4)</f>
        <v>438428.4</v>
      </c>
      <c r="U333" s="10">
        <f>IFERROR(__xludf.DUMMYFUNCTION("IF(COUNTA(Q333:Q1644)=0,"""",IF(Q333="""",0,IF(REGEXMATCH(Q333,""^Sell_""),-ROUNDDOWN(ROUNDUP(INDEX(Upgrades!$C$3:$C$13,MATCH(SUBSTITUTE(Q333,""Sell_"",""""),Upgrades!$B$3:$B$13,0))*1.15^(COUNTIF(Q$4:Q332,SUBSTITUTE(Q333,""Sell_"",""""))-COUNTIF(Q$4:Q332,"&amp;"""Sell_""&amp;SUBSTITUTE(Q333,""Sell_"",""""))))/2),ROUNDUP(INDEX(Upgrades!$C$3:$C$13,MATCH(Q333,Upgrades!$B$3:$B$13,0))*1.15^(COUNTIF(Q$4:Q332,Q333)-COUNTIF(Q$4:Q332,""Sell_""&amp;Q333))))))"),-23000.0)</f>
        <v>-23000</v>
      </c>
      <c r="V333" s="10">
        <f t="shared" si="11"/>
        <v>-15135501</v>
      </c>
      <c r="W333" s="68">
        <f t="shared" si="12"/>
        <v>7118.994574</v>
      </c>
      <c r="X333" s="59" t="str">
        <f t="shared" si="13"/>
        <v>1h 58m 38s</v>
      </c>
      <c r="Y333" s="69">
        <f t="shared" si="14"/>
        <v>666225716</v>
      </c>
      <c r="Z333" s="11"/>
      <c r="AG333" s="59"/>
    </row>
    <row r="334">
      <c r="A334" s="8"/>
      <c r="B334" s="56" t="str">
        <f t="shared" si="2"/>
        <v/>
      </c>
      <c r="C334" s="105"/>
      <c r="D334" s="10"/>
      <c r="E334" s="59" t="str">
        <f t="array" ref="E334">IF(COUNTA(C334:C1644)=0,"",SUM((COUNTIF(C$4:C334,Upgrades!$B$3:$B$13)-COUNTIF(C$4:C334,"Sell_"&amp;Upgrades!$B$3:$B$13))*Upgrades!$D$3:$D$13))</f>
        <v/>
      </c>
      <c r="F334" s="66" t="str">
        <f>IFERROR(__xludf.DUMMYFUNCTION("IF(COUNTA(C334:C1644)=0,"""",IF(REGEXMATCH(INDEX(FILTER(C$4:C334,C$4:C334&lt;&gt;""""),ROWS(FILTER(C$4:C334,C$4:C334&lt;&gt;""""))),""^Sell_""),INDEX(FILTER(F$4:F333,C$4:C333&lt;&gt;""""),ROWS(FILTER(C$4:C333,C$4:C333&lt;&gt;""""))),$AC$5+E334))"),"")</f>
        <v/>
      </c>
      <c r="G334" s="10" t="str">
        <f>IFERROR(__xludf.DUMMYFUNCTION("IF(COUNTA(C334:C1644)=0,"""",IF(C334="""",0,IF(REGEXMATCH(C334,""^Sell_""),-ROUNDDOWN(ROUNDUP(INDEX(Upgrades!$C$3:$C$13,MATCH(SUBSTITUTE(C334,""Sell_"",""""),Upgrades!$B$3:$B$13,0))*1.15^(COUNTIF(C$4:C333,SUBSTITUTE(C334,""Sell_"",""""))-COUNTIF(C$4:C333,"&amp;"""Sell_""&amp;SUBSTITUTE(C334,""Sell_"",""""))))/2),ROUNDUP(INDEX(Upgrades!$C$3:$C$13,MATCH(C334,Upgrades!$B$3:$B$13,0))*1.15^(COUNTIF(C$4:C333,C334)-COUNTIF(C$4:C333,""Sell_""&amp;C334))))))"),"")</f>
        <v/>
      </c>
      <c r="H334" s="10" t="str">
        <f t="shared" si="3"/>
        <v/>
      </c>
      <c r="I334" s="68" t="str">
        <f t="shared" si="4"/>
        <v/>
      </c>
      <c r="J334" s="59" t="str">
        <f t="shared" si="5"/>
        <v/>
      </c>
      <c r="K334" s="69" t="str">
        <f t="shared" si="6"/>
        <v/>
      </c>
      <c r="L334" s="60">
        <f t="shared" si="7"/>
        <v>-74.76637</v>
      </c>
      <c r="M334" s="61">
        <f>IFERROR(__xludf.DUMMYFUNCTION("IFS(AND(COUNTA(C334:C1644)=0,COUNTA(Q334:Q1644)=0),"""",OR(AND(K334&gt;=1000000000,OR(Y334&gt;=1000000000,COUNTA(Q334:Q1644)=0)),OR(Y334&gt;=1000000000,AND(COUNTA(C334:C1644)=0,P$3=TRUE))),
ROUNDDOWN((AB$1-AC$1)*MAX(INDEX(T$4:T1644,MATCH(LARGE(FILTER(Y$4:Y1644,Y$4"&amp;":Y1644&lt;1000000000),1),Y$4:Y1644)),INDEX(F$4:F1644,MATCH(LARGE(FILTER(K$4:K1644,K$4:K1644&lt;1000000000),1),K$4:K1644)))),AND(K334&lt;1000000000,COUNTA(C334:C1644)&gt;0,P$3=FALSE),
ROUNDDOWN(INDEX(Y$4:Y1644,MATCH(LARGE(FILTER(W$4:W1644,W$4:W1644&lt;=I334),1),W$4:W1644"&amp;"))+(I334-LARGE(FILTER(W$4:W1644,W$4:W1644&lt;=I334),1))*INDEX(T$4:T1644,MATCH(LARGE(FILTER(W$4:W1644,W$4:W1644&lt;=I334),1),W$4:W1644))-K334),1,
ROUNDDOWN(Y334-INDEX(K$4:K1644,MATCH(LARGE(FILTER(I$4:I1644,I$4:I1644&lt;=W334),1),I$4:I1644))-(W334-LARGE(FILTER(I$4:I"&amp;"1644,I$4:I1644&lt;=W334),1))*INDEX(F$4:F1644,MATCH(LARGE(FILTER(I$4:I1644,I$4:I1644&lt;=W334),1),I$4:I1644))))"),3.1151864E7)</f>
        <v>31151864</v>
      </c>
      <c r="N334" s="60">
        <f t="shared" si="8"/>
        <v>-74.76637</v>
      </c>
      <c r="O334" s="61" t="str">
        <f t="shared" si="9"/>
        <v>31,2M</v>
      </c>
      <c r="P334" s="56">
        <f t="shared" si="10"/>
        <v>28</v>
      </c>
      <c r="Q334" s="105" t="s">
        <v>60</v>
      </c>
      <c r="R334" s="10"/>
      <c r="S334" s="59">
        <f t="array" ref="S334">IF(COUNTA(Q334:Q1644)=0,"",SUM((COUNTIF(Q$4:Q334,Upgrades!$B$3:$B$13)-COUNTIF(Q$4:Q334,"Sell_"&amp;Upgrades!$B$3:$B$13))*Upgrades!$D$3:$D$13))</f>
        <v>429652.4</v>
      </c>
      <c r="T334" s="66">
        <f>IFERROR(__xludf.DUMMYFUNCTION("IF(COUNTA(Q334:Q1644)=0,"""",IF(REGEXMATCH(INDEX(FILTER(Q$4:Q334,Q$4:Q334&lt;&gt;""""),ROWS(FILTER(Q$4:Q334,Q$4:Q334&lt;&gt;""""))),""^Sell_""),INDEX(FILTER(T$4:T333,Q$4:Q333&lt;&gt;""""),ROWS(FILTER(Q$4:Q333,Q$4:Q333&lt;&gt;""""))),$AD$5+S334))"),438428.4)</f>
        <v>438428.4</v>
      </c>
      <c r="U334" s="10">
        <f>IFERROR(__xludf.DUMMYFUNCTION("IF(COUNTA(Q334:Q1644)=0,"""",IF(Q334="""",0,IF(REGEXMATCH(Q334,""^Sell_""),-ROUNDDOWN(ROUNDUP(INDEX(Upgrades!$C$3:$C$13,MATCH(SUBSTITUTE(Q334,""Sell_"",""""),Upgrades!$B$3:$B$13,0))*1.15^(COUNTIF(Q$4:Q333,SUBSTITUTE(Q334,""Sell_"",""""))-COUNTIF(Q$4:Q333,"&amp;"""Sell_""&amp;SUBSTITUTE(Q334,""Sell_"",""""))))/2),ROUNDUP(INDEX(Upgrades!$C$3:$C$13,MATCH(Q334,Upgrades!$B$3:$B$13,0))*1.15^(COUNTIF(Q$4:Q333,Q334)-COUNTIF(Q$4:Q333,""Sell_""&amp;Q334))))))"),-813706.0)</f>
        <v>-813706</v>
      </c>
      <c r="V334" s="10">
        <f t="shared" si="11"/>
        <v>-15949207</v>
      </c>
      <c r="W334" s="68">
        <f t="shared" si="12"/>
        <v>7118.994574</v>
      </c>
      <c r="X334" s="59" t="str">
        <f t="shared" si="13"/>
        <v>1h 58m 38s</v>
      </c>
      <c r="Y334" s="69">
        <f t="shared" si="14"/>
        <v>666225716</v>
      </c>
      <c r="Z334" s="11"/>
      <c r="AG334" s="59"/>
    </row>
    <row r="335">
      <c r="A335" s="8"/>
      <c r="B335" s="56" t="str">
        <f t="shared" si="2"/>
        <v/>
      </c>
      <c r="C335" s="105"/>
      <c r="D335" s="10"/>
      <c r="E335" s="59" t="str">
        <f t="array" ref="E335">IF(COUNTA(C335:C1644)=0,"",SUM((COUNTIF(C$4:C335,Upgrades!$B$3:$B$13)-COUNTIF(C$4:C335,"Sell_"&amp;Upgrades!$B$3:$B$13))*Upgrades!$D$3:$D$13))</f>
        <v/>
      </c>
      <c r="F335" s="66" t="str">
        <f>IFERROR(__xludf.DUMMYFUNCTION("IF(COUNTA(C335:C1644)=0,"""",IF(REGEXMATCH(INDEX(FILTER(C$4:C335,C$4:C335&lt;&gt;""""),ROWS(FILTER(C$4:C335,C$4:C335&lt;&gt;""""))),""^Sell_""),INDEX(FILTER(F$4:F334,C$4:C334&lt;&gt;""""),ROWS(FILTER(C$4:C334,C$4:C334&lt;&gt;""""))),$AC$5+E335))"),"")</f>
        <v/>
      </c>
      <c r="G335" s="10" t="str">
        <f>IFERROR(__xludf.DUMMYFUNCTION("IF(COUNTA(C335:C1644)=0,"""",IF(C335="""",0,IF(REGEXMATCH(C335,""^Sell_""),-ROUNDDOWN(ROUNDUP(INDEX(Upgrades!$C$3:$C$13,MATCH(SUBSTITUTE(C335,""Sell_"",""""),Upgrades!$B$3:$B$13,0))*1.15^(COUNTIF(C$4:C334,SUBSTITUTE(C335,""Sell_"",""""))-COUNTIF(C$4:C334,"&amp;"""Sell_""&amp;SUBSTITUTE(C335,""Sell_"",""""))))/2),ROUNDUP(INDEX(Upgrades!$C$3:$C$13,MATCH(C335,Upgrades!$B$3:$B$13,0))*1.15^(COUNTIF(C$4:C334,C335)-COUNTIF(C$4:C334,""Sell_""&amp;C335))))))"),"")</f>
        <v/>
      </c>
      <c r="H335" s="10" t="str">
        <f t="shared" si="3"/>
        <v/>
      </c>
      <c r="I335" s="68" t="str">
        <f t="shared" si="4"/>
        <v/>
      </c>
      <c r="J335" s="59" t="str">
        <f t="shared" si="5"/>
        <v/>
      </c>
      <c r="K335" s="69" t="str">
        <f t="shared" si="6"/>
        <v/>
      </c>
      <c r="L335" s="60">
        <f t="shared" si="7"/>
        <v>-74.76637</v>
      </c>
      <c r="M335" s="61">
        <f>IFERROR(__xludf.DUMMYFUNCTION("IFS(AND(COUNTA(C335:C1644)=0,COUNTA(Q335:Q1644)=0),"""",OR(AND(K335&gt;=1000000000,OR(Y335&gt;=1000000000,COUNTA(Q335:Q1644)=0)),OR(Y335&gt;=1000000000,AND(COUNTA(C335:C1644)=0,P$3=TRUE))),
ROUNDDOWN((AB$1-AC$1)*MAX(INDEX(T$4:T1644,MATCH(LARGE(FILTER(Y$4:Y1644,Y$4"&amp;":Y1644&lt;1000000000),1),Y$4:Y1644)),INDEX(F$4:F1644,MATCH(LARGE(FILTER(K$4:K1644,K$4:K1644&lt;1000000000),1),K$4:K1644)))),AND(K335&lt;1000000000,COUNTA(C335:C1644)&gt;0,P$3=FALSE),
ROUNDDOWN(INDEX(Y$4:Y1644,MATCH(LARGE(FILTER(W$4:W1644,W$4:W1644&lt;=I335),1),W$4:W1644"&amp;"))+(I335-LARGE(FILTER(W$4:W1644,W$4:W1644&lt;=I335),1))*INDEX(T$4:T1644,MATCH(LARGE(FILTER(W$4:W1644,W$4:W1644&lt;=I335),1),W$4:W1644))-K335),1,
ROUNDDOWN(Y335-INDEX(K$4:K1644,MATCH(LARGE(FILTER(I$4:I1644,I$4:I1644&lt;=W335),1),I$4:I1644))-(W335-LARGE(FILTER(I$4:I"&amp;"1644,I$4:I1644&lt;=W335),1))*INDEX(F$4:F1644,MATCH(LARGE(FILTER(I$4:I1644,I$4:I1644&lt;=W335),1),I$4:I1644))))"),3.1151864E7)</f>
        <v>31151864</v>
      </c>
      <c r="N335" s="60">
        <f t="shared" si="8"/>
        <v>-74.76637</v>
      </c>
      <c r="O335" s="61" t="str">
        <f t="shared" si="9"/>
        <v>31,2M</v>
      </c>
      <c r="P335" s="56">
        <f t="shared" si="10"/>
        <v>29</v>
      </c>
      <c r="Q335" s="105" t="s">
        <v>60</v>
      </c>
      <c r="R335" s="10"/>
      <c r="S335" s="59">
        <f t="array" ref="S335">IF(COUNTA(Q335:Q1644)=0,"",SUM((COUNTIF(Q$4:Q335,Upgrades!$B$3:$B$13)-COUNTIF(Q$4:Q335,"Sell_"&amp;Upgrades!$B$3:$B$13))*Upgrades!$D$3:$D$13))</f>
        <v>429252.4</v>
      </c>
      <c r="T335" s="66">
        <f>IFERROR(__xludf.DUMMYFUNCTION("IF(COUNTA(Q335:Q1644)=0,"""",IF(REGEXMATCH(INDEX(FILTER(Q$4:Q335,Q$4:Q335&lt;&gt;""""),ROWS(FILTER(Q$4:Q335,Q$4:Q335&lt;&gt;""""))),""^Sell_""),INDEX(FILTER(T$4:T334,Q$4:Q334&lt;&gt;""""),ROWS(FILTER(Q$4:Q334,Q$4:Q334&lt;&gt;""""))),$AD$5+S335))"),438428.4)</f>
        <v>438428.4</v>
      </c>
      <c r="U335" s="10">
        <f>IFERROR(__xludf.DUMMYFUNCTION("IF(COUNTA(Q335:Q1644)=0,"""",IF(Q335="""",0,IF(REGEXMATCH(Q335,""^Sell_""),-ROUNDDOWN(ROUNDUP(INDEX(Upgrades!$C$3:$C$13,MATCH(SUBSTITUTE(Q335,""Sell_"",""""),Upgrades!$B$3:$B$13,0))*1.15^(COUNTIF(Q$4:Q334,SUBSTITUTE(Q335,""Sell_"",""""))-COUNTIF(Q$4:Q334,"&amp;"""Sell_""&amp;SUBSTITUTE(Q335,""Sell_"",""""))))/2),ROUNDUP(INDEX(Upgrades!$C$3:$C$13,MATCH(Q335,Upgrades!$B$3:$B$13,0))*1.15^(COUNTIF(Q$4:Q334,Q335)-COUNTIF(Q$4:Q334,""Sell_""&amp;Q335))))))"),-707571.0)</f>
        <v>-707571</v>
      </c>
      <c r="V335" s="10">
        <f t="shared" si="11"/>
        <v>-16656778</v>
      </c>
      <c r="W335" s="68">
        <f t="shared" si="12"/>
        <v>7118.994574</v>
      </c>
      <c r="X335" s="59" t="str">
        <f t="shared" si="13"/>
        <v>1h 58m 38s</v>
      </c>
      <c r="Y335" s="69">
        <f t="shared" si="14"/>
        <v>666225716</v>
      </c>
      <c r="Z335" s="11"/>
      <c r="AG335" s="59"/>
    </row>
    <row r="336">
      <c r="A336" s="8"/>
      <c r="B336" s="56" t="str">
        <f t="shared" si="2"/>
        <v/>
      </c>
      <c r="C336" s="105"/>
      <c r="D336" s="10"/>
      <c r="E336" s="59" t="str">
        <f t="array" ref="E336">IF(COUNTA(C336:C1644)=0,"",SUM((COUNTIF(C$4:C336,Upgrades!$B$3:$B$13)-COUNTIF(C$4:C336,"Sell_"&amp;Upgrades!$B$3:$B$13))*Upgrades!$D$3:$D$13))</f>
        <v/>
      </c>
      <c r="F336" s="66" t="str">
        <f>IFERROR(__xludf.DUMMYFUNCTION("IF(COUNTA(C336:C1644)=0,"""",IF(REGEXMATCH(INDEX(FILTER(C$4:C336,C$4:C336&lt;&gt;""""),ROWS(FILTER(C$4:C336,C$4:C336&lt;&gt;""""))),""^Sell_""),INDEX(FILTER(F$4:F335,C$4:C335&lt;&gt;""""),ROWS(FILTER(C$4:C335,C$4:C335&lt;&gt;""""))),$AC$5+E336))"),"")</f>
        <v/>
      </c>
      <c r="G336" s="10" t="str">
        <f>IFERROR(__xludf.DUMMYFUNCTION("IF(COUNTA(C336:C1644)=0,"""",IF(C336="""",0,IF(REGEXMATCH(C336,""^Sell_""),-ROUNDDOWN(ROUNDUP(INDEX(Upgrades!$C$3:$C$13,MATCH(SUBSTITUTE(C336,""Sell_"",""""),Upgrades!$B$3:$B$13,0))*1.15^(COUNTIF(C$4:C335,SUBSTITUTE(C336,""Sell_"",""""))-COUNTIF(C$4:C335,"&amp;"""Sell_""&amp;SUBSTITUTE(C336,""Sell_"",""""))))/2),ROUNDUP(INDEX(Upgrades!$C$3:$C$13,MATCH(C336,Upgrades!$B$3:$B$13,0))*1.15^(COUNTIF(C$4:C335,C336)-COUNTIF(C$4:C335,""Sell_""&amp;C336))))))"),"")</f>
        <v/>
      </c>
      <c r="H336" s="10" t="str">
        <f t="shared" si="3"/>
        <v/>
      </c>
      <c r="I336" s="68" t="str">
        <f t="shared" si="4"/>
        <v/>
      </c>
      <c r="J336" s="59" t="str">
        <f t="shared" si="5"/>
        <v/>
      </c>
      <c r="K336" s="69" t="str">
        <f t="shared" si="6"/>
        <v/>
      </c>
      <c r="L336" s="60">
        <f t="shared" si="7"/>
        <v>-74.76637</v>
      </c>
      <c r="M336" s="61">
        <f>IFERROR(__xludf.DUMMYFUNCTION("IFS(AND(COUNTA(C336:C1644)=0,COUNTA(Q336:Q1644)=0),"""",OR(AND(K336&gt;=1000000000,OR(Y336&gt;=1000000000,COUNTA(Q336:Q1644)=0)),OR(Y336&gt;=1000000000,AND(COUNTA(C336:C1644)=0,P$3=TRUE))),
ROUNDDOWN((AB$1-AC$1)*MAX(INDEX(T$4:T1644,MATCH(LARGE(FILTER(Y$4:Y1644,Y$4"&amp;":Y1644&lt;1000000000),1),Y$4:Y1644)),INDEX(F$4:F1644,MATCH(LARGE(FILTER(K$4:K1644,K$4:K1644&lt;1000000000),1),K$4:K1644)))),AND(K336&lt;1000000000,COUNTA(C336:C1644)&gt;0,P$3=FALSE),
ROUNDDOWN(INDEX(Y$4:Y1644,MATCH(LARGE(FILTER(W$4:W1644,W$4:W1644&lt;=I336),1),W$4:W1644"&amp;"))+(I336-LARGE(FILTER(W$4:W1644,W$4:W1644&lt;=I336),1))*INDEX(T$4:T1644,MATCH(LARGE(FILTER(W$4:W1644,W$4:W1644&lt;=I336),1),W$4:W1644))-K336),1,
ROUNDDOWN(Y336-INDEX(K$4:K1644,MATCH(LARGE(FILTER(I$4:I1644,I$4:I1644&lt;=W336),1),I$4:I1644))-(W336-LARGE(FILTER(I$4:I"&amp;"1644,I$4:I1644&lt;=W336),1))*INDEX(F$4:F1644,MATCH(LARGE(FILTER(I$4:I1644,I$4:I1644&lt;=W336),1),I$4:I1644))))"),3.1151864E7)</f>
        <v>31151864</v>
      </c>
      <c r="N336" s="60">
        <f t="shared" si="8"/>
        <v>-74.76637</v>
      </c>
      <c r="O336" s="61" t="str">
        <f t="shared" si="9"/>
        <v>31,2M</v>
      </c>
      <c r="P336" s="56">
        <f t="shared" si="10"/>
        <v>30</v>
      </c>
      <c r="Q336" s="105" t="s">
        <v>60</v>
      </c>
      <c r="R336" s="10"/>
      <c r="S336" s="59">
        <f t="array" ref="S336">IF(COUNTA(Q336:Q1644)=0,"",SUM((COUNTIF(Q$4:Q336,Upgrades!$B$3:$B$13)-COUNTIF(Q$4:Q336,"Sell_"&amp;Upgrades!$B$3:$B$13))*Upgrades!$D$3:$D$13))</f>
        <v>428852.4</v>
      </c>
      <c r="T336" s="66">
        <f>IFERROR(__xludf.DUMMYFUNCTION("IF(COUNTA(Q336:Q1644)=0,"""",IF(REGEXMATCH(INDEX(FILTER(Q$4:Q336,Q$4:Q336&lt;&gt;""""),ROWS(FILTER(Q$4:Q336,Q$4:Q336&lt;&gt;""""))),""^Sell_""),INDEX(FILTER(T$4:T335,Q$4:Q335&lt;&gt;""""),ROWS(FILTER(Q$4:Q335,Q$4:Q335&lt;&gt;""""))),$AD$5+S336))"),438428.4)</f>
        <v>438428.4</v>
      </c>
      <c r="U336" s="10">
        <f>IFERROR(__xludf.DUMMYFUNCTION("IF(COUNTA(Q336:Q1644)=0,"""",IF(Q336="""",0,IF(REGEXMATCH(Q336,""^Sell_""),-ROUNDDOWN(ROUNDUP(INDEX(Upgrades!$C$3:$C$13,MATCH(SUBSTITUTE(Q336,""Sell_"",""""),Upgrades!$B$3:$B$13,0))*1.15^(COUNTIF(Q$4:Q335,SUBSTITUTE(Q336,""Sell_"",""""))-COUNTIF(Q$4:Q335,"&amp;"""Sell_""&amp;SUBSTITUTE(Q336,""Sell_"",""""))))/2),ROUNDUP(INDEX(Upgrades!$C$3:$C$13,MATCH(Q336,Upgrades!$B$3:$B$13,0))*1.15^(COUNTIF(Q$4:Q335,Q336)-COUNTIF(Q$4:Q335,""Sell_""&amp;Q336))))))"),-615279.0)</f>
        <v>-615279</v>
      </c>
      <c r="V336" s="10">
        <f t="shared" si="11"/>
        <v>-17272057</v>
      </c>
      <c r="W336" s="68">
        <f t="shared" si="12"/>
        <v>7118.994574</v>
      </c>
      <c r="X336" s="59" t="str">
        <f t="shared" si="13"/>
        <v>1h 58m 38s</v>
      </c>
      <c r="Y336" s="69">
        <f t="shared" si="14"/>
        <v>666225716</v>
      </c>
      <c r="Z336" s="11"/>
      <c r="AG336" s="59"/>
    </row>
    <row r="337">
      <c r="A337" s="8"/>
      <c r="B337" s="56" t="str">
        <f t="shared" si="2"/>
        <v/>
      </c>
      <c r="C337" s="105"/>
      <c r="D337" s="10"/>
      <c r="E337" s="59" t="str">
        <f t="array" ref="E337">IF(COUNTA(C337:C1644)=0,"",SUM((COUNTIF(C$4:C337,Upgrades!$B$3:$B$13)-COUNTIF(C$4:C337,"Sell_"&amp;Upgrades!$B$3:$B$13))*Upgrades!$D$3:$D$13))</f>
        <v/>
      </c>
      <c r="F337" s="66" t="str">
        <f>IFERROR(__xludf.DUMMYFUNCTION("IF(COUNTA(C337:C1644)=0,"""",IF(REGEXMATCH(INDEX(FILTER(C$4:C337,C$4:C337&lt;&gt;""""),ROWS(FILTER(C$4:C337,C$4:C337&lt;&gt;""""))),""^Sell_""),INDEX(FILTER(F$4:F336,C$4:C336&lt;&gt;""""),ROWS(FILTER(C$4:C336,C$4:C336&lt;&gt;""""))),$AC$5+E337))"),"")</f>
        <v/>
      </c>
      <c r="G337" s="10" t="str">
        <f>IFERROR(__xludf.DUMMYFUNCTION("IF(COUNTA(C337:C1644)=0,"""",IF(C337="""",0,IF(REGEXMATCH(C337,""^Sell_""),-ROUNDDOWN(ROUNDUP(INDEX(Upgrades!$C$3:$C$13,MATCH(SUBSTITUTE(C337,""Sell_"",""""),Upgrades!$B$3:$B$13,0))*1.15^(COUNTIF(C$4:C336,SUBSTITUTE(C337,""Sell_"",""""))-COUNTIF(C$4:C336,"&amp;"""Sell_""&amp;SUBSTITUTE(C337,""Sell_"",""""))))/2),ROUNDUP(INDEX(Upgrades!$C$3:$C$13,MATCH(C337,Upgrades!$B$3:$B$13,0))*1.15^(COUNTIF(C$4:C336,C337)-COUNTIF(C$4:C336,""Sell_""&amp;C337))))))"),"")</f>
        <v/>
      </c>
      <c r="H337" s="10" t="str">
        <f t="shared" si="3"/>
        <v/>
      </c>
      <c r="I337" s="68" t="str">
        <f t="shared" si="4"/>
        <v/>
      </c>
      <c r="J337" s="59" t="str">
        <f t="shared" si="5"/>
        <v/>
      </c>
      <c r="K337" s="69" t="str">
        <f t="shared" si="6"/>
        <v/>
      </c>
      <c r="L337" s="60">
        <f t="shared" si="7"/>
        <v>-74.76637</v>
      </c>
      <c r="M337" s="61">
        <f>IFERROR(__xludf.DUMMYFUNCTION("IFS(AND(COUNTA(C337:C1644)=0,COUNTA(Q337:Q1644)=0),"""",OR(AND(K337&gt;=1000000000,OR(Y337&gt;=1000000000,COUNTA(Q337:Q1644)=0)),OR(Y337&gt;=1000000000,AND(COUNTA(C337:C1644)=0,P$3=TRUE))),
ROUNDDOWN((AB$1-AC$1)*MAX(INDEX(T$4:T1644,MATCH(LARGE(FILTER(Y$4:Y1644,Y$4"&amp;":Y1644&lt;1000000000),1),Y$4:Y1644)),INDEX(F$4:F1644,MATCH(LARGE(FILTER(K$4:K1644,K$4:K1644&lt;1000000000),1),K$4:K1644)))),AND(K337&lt;1000000000,COUNTA(C337:C1644)&gt;0,P$3=FALSE),
ROUNDDOWN(INDEX(Y$4:Y1644,MATCH(LARGE(FILTER(W$4:W1644,W$4:W1644&lt;=I337),1),W$4:W1644"&amp;"))+(I337-LARGE(FILTER(W$4:W1644,W$4:W1644&lt;=I337),1))*INDEX(T$4:T1644,MATCH(LARGE(FILTER(W$4:W1644,W$4:W1644&lt;=I337),1),W$4:W1644))-K337),1,
ROUNDDOWN(Y337-INDEX(K$4:K1644,MATCH(LARGE(FILTER(I$4:I1644,I$4:I1644&lt;=W337),1),I$4:I1644))-(W337-LARGE(FILTER(I$4:I"&amp;"1644,I$4:I1644&lt;=W337),1))*INDEX(F$4:F1644,MATCH(LARGE(FILTER(I$4:I1644,I$4:I1644&lt;=W337),1),I$4:I1644))))"),3.1151864E7)</f>
        <v>31151864</v>
      </c>
      <c r="N337" s="60">
        <f t="shared" si="8"/>
        <v>-74.76637</v>
      </c>
      <c r="O337" s="61" t="str">
        <f t="shared" si="9"/>
        <v>31,2M</v>
      </c>
      <c r="P337" s="56">
        <f t="shared" si="10"/>
        <v>31</v>
      </c>
      <c r="Q337" s="105" t="s">
        <v>60</v>
      </c>
      <c r="R337" s="10"/>
      <c r="S337" s="59">
        <f t="array" ref="S337">IF(COUNTA(Q337:Q1644)=0,"",SUM((COUNTIF(Q$4:Q337,Upgrades!$B$3:$B$13)-COUNTIF(Q$4:Q337,"Sell_"&amp;Upgrades!$B$3:$B$13))*Upgrades!$D$3:$D$13))</f>
        <v>428452.4</v>
      </c>
      <c r="T337" s="66">
        <f>IFERROR(__xludf.DUMMYFUNCTION("IF(COUNTA(Q337:Q1644)=0,"""",IF(REGEXMATCH(INDEX(FILTER(Q$4:Q337,Q$4:Q337&lt;&gt;""""),ROWS(FILTER(Q$4:Q337,Q$4:Q337&lt;&gt;""""))),""^Sell_""),INDEX(FILTER(T$4:T336,Q$4:Q336&lt;&gt;""""),ROWS(FILTER(Q$4:Q336,Q$4:Q336&lt;&gt;""""))),$AD$5+S337))"),438428.4)</f>
        <v>438428.4</v>
      </c>
      <c r="U337" s="10">
        <f>IFERROR(__xludf.DUMMYFUNCTION("IF(COUNTA(Q337:Q1644)=0,"""",IF(Q337="""",0,IF(REGEXMATCH(Q337,""^Sell_""),-ROUNDDOWN(ROUNDUP(INDEX(Upgrades!$C$3:$C$13,MATCH(SUBSTITUTE(Q337,""Sell_"",""""),Upgrades!$B$3:$B$13,0))*1.15^(COUNTIF(Q$4:Q336,SUBSTITUTE(Q337,""Sell_"",""""))-COUNTIF(Q$4:Q336,"&amp;"""Sell_""&amp;SUBSTITUTE(Q337,""Sell_"",""""))))/2),ROUNDUP(INDEX(Upgrades!$C$3:$C$13,MATCH(Q337,Upgrades!$B$3:$B$13,0))*1.15^(COUNTIF(Q$4:Q336,Q337)-COUNTIF(Q$4:Q336,""Sell_""&amp;Q337))))))"),-535025.0)</f>
        <v>-535025</v>
      </c>
      <c r="V337" s="10">
        <f t="shared" si="11"/>
        <v>-17807082</v>
      </c>
      <c r="W337" s="68">
        <f t="shared" si="12"/>
        <v>7118.994574</v>
      </c>
      <c r="X337" s="59" t="str">
        <f t="shared" si="13"/>
        <v>1h 58m 38s</v>
      </c>
      <c r="Y337" s="69">
        <f t="shared" si="14"/>
        <v>666225716</v>
      </c>
      <c r="Z337" s="11"/>
      <c r="AG337" s="59"/>
    </row>
    <row r="338">
      <c r="A338" s="8"/>
      <c r="B338" s="56" t="str">
        <f t="shared" si="2"/>
        <v/>
      </c>
      <c r="C338" s="105"/>
      <c r="D338" s="10"/>
      <c r="E338" s="59" t="str">
        <f t="array" ref="E338">IF(COUNTA(C338:C1644)=0,"",SUM((COUNTIF(C$4:C338,Upgrades!$B$3:$B$13)-COUNTIF(C$4:C338,"Sell_"&amp;Upgrades!$B$3:$B$13))*Upgrades!$D$3:$D$13))</f>
        <v/>
      </c>
      <c r="F338" s="66" t="str">
        <f>IFERROR(__xludf.DUMMYFUNCTION("IF(COUNTA(C338:C1644)=0,"""",IF(REGEXMATCH(INDEX(FILTER(C$4:C338,C$4:C338&lt;&gt;""""),ROWS(FILTER(C$4:C338,C$4:C338&lt;&gt;""""))),""^Sell_""),INDEX(FILTER(F$4:F337,C$4:C337&lt;&gt;""""),ROWS(FILTER(C$4:C337,C$4:C337&lt;&gt;""""))),$AC$5+E338))"),"")</f>
        <v/>
      </c>
      <c r="G338" s="10" t="str">
        <f>IFERROR(__xludf.DUMMYFUNCTION("IF(COUNTA(C338:C1644)=0,"""",IF(C338="""",0,IF(REGEXMATCH(C338,""^Sell_""),-ROUNDDOWN(ROUNDUP(INDEX(Upgrades!$C$3:$C$13,MATCH(SUBSTITUTE(C338,""Sell_"",""""),Upgrades!$B$3:$B$13,0))*1.15^(COUNTIF(C$4:C337,SUBSTITUTE(C338,""Sell_"",""""))-COUNTIF(C$4:C337,"&amp;"""Sell_""&amp;SUBSTITUTE(C338,""Sell_"",""""))))/2),ROUNDUP(INDEX(Upgrades!$C$3:$C$13,MATCH(C338,Upgrades!$B$3:$B$13,0))*1.15^(COUNTIF(C$4:C337,C338)-COUNTIF(C$4:C337,""Sell_""&amp;C338))))))"),"")</f>
        <v/>
      </c>
      <c r="H338" s="10" t="str">
        <f t="shared" si="3"/>
        <v/>
      </c>
      <c r="I338" s="68" t="str">
        <f t="shared" si="4"/>
        <v/>
      </c>
      <c r="J338" s="59" t="str">
        <f t="shared" si="5"/>
        <v/>
      </c>
      <c r="K338" s="69" t="str">
        <f t="shared" si="6"/>
        <v/>
      </c>
      <c r="L338" s="60">
        <f t="shared" si="7"/>
        <v>-74.76637</v>
      </c>
      <c r="M338" s="61">
        <f>IFERROR(__xludf.DUMMYFUNCTION("IFS(AND(COUNTA(C338:C1644)=0,COUNTA(Q338:Q1644)=0),"""",OR(AND(K338&gt;=1000000000,OR(Y338&gt;=1000000000,COUNTA(Q338:Q1644)=0)),OR(Y338&gt;=1000000000,AND(COUNTA(C338:C1644)=0,P$3=TRUE))),
ROUNDDOWN((AB$1-AC$1)*MAX(INDEX(T$4:T1644,MATCH(LARGE(FILTER(Y$4:Y1644,Y$4"&amp;":Y1644&lt;1000000000),1),Y$4:Y1644)),INDEX(F$4:F1644,MATCH(LARGE(FILTER(K$4:K1644,K$4:K1644&lt;1000000000),1),K$4:K1644)))),AND(K338&lt;1000000000,COUNTA(C338:C1644)&gt;0,P$3=FALSE),
ROUNDDOWN(INDEX(Y$4:Y1644,MATCH(LARGE(FILTER(W$4:W1644,W$4:W1644&lt;=I338),1),W$4:W1644"&amp;"))+(I338-LARGE(FILTER(W$4:W1644,W$4:W1644&lt;=I338),1))*INDEX(T$4:T1644,MATCH(LARGE(FILTER(W$4:W1644,W$4:W1644&lt;=I338),1),W$4:W1644))-K338),1,
ROUNDDOWN(Y338-INDEX(K$4:K1644,MATCH(LARGE(FILTER(I$4:I1644,I$4:I1644&lt;=W338),1),I$4:I1644))-(W338-LARGE(FILTER(I$4:I"&amp;"1644,I$4:I1644&lt;=W338),1))*INDEX(F$4:F1644,MATCH(LARGE(FILTER(I$4:I1644,I$4:I1644&lt;=W338),1),I$4:I1644))))"),3.1151864E7)</f>
        <v>31151864</v>
      </c>
      <c r="N338" s="60">
        <f t="shared" si="8"/>
        <v>-74.76637</v>
      </c>
      <c r="O338" s="61" t="str">
        <f t="shared" si="9"/>
        <v>31,2M</v>
      </c>
      <c r="P338" s="56">
        <f t="shared" si="10"/>
        <v>32</v>
      </c>
      <c r="Q338" s="105" t="s">
        <v>60</v>
      </c>
      <c r="R338" s="10"/>
      <c r="S338" s="59">
        <f t="array" ref="S338">IF(COUNTA(Q338:Q1644)=0,"",SUM((COUNTIF(Q$4:Q338,Upgrades!$B$3:$B$13)-COUNTIF(Q$4:Q338,"Sell_"&amp;Upgrades!$B$3:$B$13))*Upgrades!$D$3:$D$13))</f>
        <v>428052.4</v>
      </c>
      <c r="T338" s="66">
        <f>IFERROR(__xludf.DUMMYFUNCTION("IF(COUNTA(Q338:Q1644)=0,"""",IF(REGEXMATCH(INDEX(FILTER(Q$4:Q338,Q$4:Q338&lt;&gt;""""),ROWS(FILTER(Q$4:Q338,Q$4:Q338&lt;&gt;""""))),""^Sell_""),INDEX(FILTER(T$4:T337,Q$4:Q337&lt;&gt;""""),ROWS(FILTER(Q$4:Q337,Q$4:Q337&lt;&gt;""""))),$AD$5+S338))"),438428.4)</f>
        <v>438428.4</v>
      </c>
      <c r="U338" s="10">
        <f>IFERROR(__xludf.DUMMYFUNCTION("IF(COUNTA(Q338:Q1644)=0,"""",IF(Q338="""",0,IF(REGEXMATCH(Q338,""^Sell_""),-ROUNDDOWN(ROUNDUP(INDEX(Upgrades!$C$3:$C$13,MATCH(SUBSTITUTE(Q338,""Sell_"",""""),Upgrades!$B$3:$B$13,0))*1.15^(COUNTIF(Q$4:Q337,SUBSTITUTE(Q338,""Sell_"",""""))-COUNTIF(Q$4:Q337,"&amp;"""Sell_""&amp;SUBSTITUTE(Q338,""Sell_"",""""))))/2),ROUNDUP(INDEX(Upgrades!$C$3:$C$13,MATCH(Q338,Upgrades!$B$3:$B$13,0))*1.15^(COUNTIF(Q$4:Q337,Q338)-COUNTIF(Q$4:Q337,""Sell_""&amp;Q338))))))"),-465239.0)</f>
        <v>-465239</v>
      </c>
      <c r="V338" s="10">
        <f t="shared" si="11"/>
        <v>-18272321</v>
      </c>
      <c r="W338" s="68">
        <f t="shared" si="12"/>
        <v>7118.994574</v>
      </c>
      <c r="X338" s="59" t="str">
        <f t="shared" si="13"/>
        <v>1h 58m 38s</v>
      </c>
      <c r="Y338" s="69">
        <f t="shared" si="14"/>
        <v>666225716</v>
      </c>
      <c r="Z338" s="11"/>
      <c r="AG338" s="59"/>
    </row>
    <row r="339">
      <c r="A339" s="8"/>
      <c r="B339" s="56" t="str">
        <f t="shared" si="2"/>
        <v/>
      </c>
      <c r="C339" s="105"/>
      <c r="D339" s="10"/>
      <c r="E339" s="59" t="str">
        <f t="array" ref="E339">IF(COUNTA(C339:C1644)=0,"",SUM((COUNTIF(C$4:C339,Upgrades!$B$3:$B$13)-COUNTIF(C$4:C339,"Sell_"&amp;Upgrades!$B$3:$B$13))*Upgrades!$D$3:$D$13))</f>
        <v/>
      </c>
      <c r="F339" s="66" t="str">
        <f>IFERROR(__xludf.DUMMYFUNCTION("IF(COUNTA(C339:C1644)=0,"""",IF(REGEXMATCH(INDEX(FILTER(C$4:C339,C$4:C339&lt;&gt;""""),ROWS(FILTER(C$4:C339,C$4:C339&lt;&gt;""""))),""^Sell_""),INDEX(FILTER(F$4:F338,C$4:C338&lt;&gt;""""),ROWS(FILTER(C$4:C338,C$4:C338&lt;&gt;""""))),$AC$5+E339))"),"")</f>
        <v/>
      </c>
      <c r="G339" s="10" t="str">
        <f>IFERROR(__xludf.DUMMYFUNCTION("IF(COUNTA(C339:C1644)=0,"""",IF(C339="""",0,IF(REGEXMATCH(C339,""^Sell_""),-ROUNDDOWN(ROUNDUP(INDEX(Upgrades!$C$3:$C$13,MATCH(SUBSTITUTE(C339,""Sell_"",""""),Upgrades!$B$3:$B$13,0))*1.15^(COUNTIF(C$4:C338,SUBSTITUTE(C339,""Sell_"",""""))-COUNTIF(C$4:C338,"&amp;"""Sell_""&amp;SUBSTITUTE(C339,""Sell_"",""""))))/2),ROUNDUP(INDEX(Upgrades!$C$3:$C$13,MATCH(C339,Upgrades!$B$3:$B$13,0))*1.15^(COUNTIF(C$4:C338,C339)-COUNTIF(C$4:C338,""Sell_""&amp;C339))))))"),"")</f>
        <v/>
      </c>
      <c r="H339" s="10" t="str">
        <f t="shared" si="3"/>
        <v/>
      </c>
      <c r="I339" s="68" t="str">
        <f t="shared" si="4"/>
        <v/>
      </c>
      <c r="J339" s="59" t="str">
        <f t="shared" si="5"/>
        <v/>
      </c>
      <c r="K339" s="69" t="str">
        <f t="shared" si="6"/>
        <v/>
      </c>
      <c r="L339" s="60">
        <f t="shared" si="7"/>
        <v>-74.76637</v>
      </c>
      <c r="M339" s="61">
        <f>IFERROR(__xludf.DUMMYFUNCTION("IFS(AND(COUNTA(C339:C1644)=0,COUNTA(Q339:Q1644)=0),"""",OR(AND(K339&gt;=1000000000,OR(Y339&gt;=1000000000,COUNTA(Q339:Q1644)=0)),OR(Y339&gt;=1000000000,AND(COUNTA(C339:C1644)=0,P$3=TRUE))),
ROUNDDOWN((AB$1-AC$1)*MAX(INDEX(T$4:T1644,MATCH(LARGE(FILTER(Y$4:Y1644,Y$4"&amp;":Y1644&lt;1000000000),1),Y$4:Y1644)),INDEX(F$4:F1644,MATCH(LARGE(FILTER(K$4:K1644,K$4:K1644&lt;1000000000),1),K$4:K1644)))),AND(K339&lt;1000000000,COUNTA(C339:C1644)&gt;0,P$3=FALSE),
ROUNDDOWN(INDEX(Y$4:Y1644,MATCH(LARGE(FILTER(W$4:W1644,W$4:W1644&lt;=I339),1),W$4:W1644"&amp;"))+(I339-LARGE(FILTER(W$4:W1644,W$4:W1644&lt;=I339),1))*INDEX(T$4:T1644,MATCH(LARGE(FILTER(W$4:W1644,W$4:W1644&lt;=I339),1),W$4:W1644))-K339),1,
ROUNDDOWN(Y339-INDEX(K$4:K1644,MATCH(LARGE(FILTER(I$4:I1644,I$4:I1644&lt;=W339),1),I$4:I1644))-(W339-LARGE(FILTER(I$4:I"&amp;"1644,I$4:I1644&lt;=W339),1))*INDEX(F$4:F1644,MATCH(LARGE(FILTER(I$4:I1644,I$4:I1644&lt;=W339),1),I$4:I1644))))"),3.1151864E7)</f>
        <v>31151864</v>
      </c>
      <c r="N339" s="60">
        <f t="shared" si="8"/>
        <v>-74.76637</v>
      </c>
      <c r="O339" s="61" t="str">
        <f t="shared" si="9"/>
        <v>31,2M</v>
      </c>
      <c r="P339" s="56">
        <f t="shared" si="10"/>
        <v>33</v>
      </c>
      <c r="Q339" s="105" t="s">
        <v>60</v>
      </c>
      <c r="R339" s="10"/>
      <c r="S339" s="59">
        <f t="array" ref="S339">IF(COUNTA(Q339:Q1644)=0,"",SUM((COUNTIF(Q$4:Q339,Upgrades!$B$3:$B$13)-COUNTIF(Q$4:Q339,"Sell_"&amp;Upgrades!$B$3:$B$13))*Upgrades!$D$3:$D$13))</f>
        <v>427652.4</v>
      </c>
      <c r="T339" s="66">
        <f>IFERROR(__xludf.DUMMYFUNCTION("IF(COUNTA(Q339:Q1644)=0,"""",IF(REGEXMATCH(INDEX(FILTER(Q$4:Q339,Q$4:Q339&lt;&gt;""""),ROWS(FILTER(Q$4:Q339,Q$4:Q339&lt;&gt;""""))),""^Sell_""),INDEX(FILTER(T$4:T338,Q$4:Q338&lt;&gt;""""),ROWS(FILTER(Q$4:Q338,Q$4:Q338&lt;&gt;""""))),$AD$5+S339))"),438428.4)</f>
        <v>438428.4</v>
      </c>
      <c r="U339" s="10">
        <f>IFERROR(__xludf.DUMMYFUNCTION("IF(COUNTA(Q339:Q1644)=0,"""",IF(Q339="""",0,IF(REGEXMATCH(Q339,""^Sell_""),-ROUNDDOWN(ROUNDUP(INDEX(Upgrades!$C$3:$C$13,MATCH(SUBSTITUTE(Q339,""Sell_"",""""),Upgrades!$B$3:$B$13,0))*1.15^(COUNTIF(Q$4:Q338,SUBSTITUTE(Q339,""Sell_"",""""))-COUNTIF(Q$4:Q338,"&amp;"""Sell_""&amp;SUBSTITUTE(Q339,""Sell_"",""""))))/2),ROUNDUP(INDEX(Upgrades!$C$3:$C$13,MATCH(Q339,Upgrades!$B$3:$B$13,0))*1.15^(COUNTIF(Q$4:Q338,Q339)-COUNTIF(Q$4:Q338,""Sell_""&amp;Q339))))))"),-404556.0)</f>
        <v>-404556</v>
      </c>
      <c r="V339" s="10">
        <f t="shared" si="11"/>
        <v>-18676877</v>
      </c>
      <c r="W339" s="68">
        <f t="shared" si="12"/>
        <v>7118.994574</v>
      </c>
      <c r="X339" s="59" t="str">
        <f t="shared" si="13"/>
        <v>1h 58m 38s</v>
      </c>
      <c r="Y339" s="69">
        <f t="shared" si="14"/>
        <v>666225716</v>
      </c>
      <c r="Z339" s="11"/>
      <c r="AG339" s="59"/>
    </row>
    <row r="340">
      <c r="A340" s="8"/>
      <c r="B340" s="56" t="str">
        <f t="shared" si="2"/>
        <v/>
      </c>
      <c r="C340" s="105"/>
      <c r="D340" s="10"/>
      <c r="E340" s="59" t="str">
        <f t="array" ref="E340">IF(COUNTA(C340:C1644)=0,"",SUM((COUNTIF(C$4:C340,Upgrades!$B$3:$B$13)-COUNTIF(C$4:C340,"Sell_"&amp;Upgrades!$B$3:$B$13))*Upgrades!$D$3:$D$13))</f>
        <v/>
      </c>
      <c r="F340" s="66" t="str">
        <f>IFERROR(__xludf.DUMMYFUNCTION("IF(COUNTA(C340:C1644)=0,"""",IF(REGEXMATCH(INDEX(FILTER(C$4:C340,C$4:C340&lt;&gt;""""),ROWS(FILTER(C$4:C340,C$4:C340&lt;&gt;""""))),""^Sell_""),INDEX(FILTER(F$4:F339,C$4:C339&lt;&gt;""""),ROWS(FILTER(C$4:C339,C$4:C339&lt;&gt;""""))),$AC$5+E340))"),"")</f>
        <v/>
      </c>
      <c r="G340" s="10" t="str">
        <f>IFERROR(__xludf.DUMMYFUNCTION("IF(COUNTA(C340:C1644)=0,"""",IF(C340="""",0,IF(REGEXMATCH(C340,""^Sell_""),-ROUNDDOWN(ROUNDUP(INDEX(Upgrades!$C$3:$C$13,MATCH(SUBSTITUTE(C340,""Sell_"",""""),Upgrades!$B$3:$B$13,0))*1.15^(COUNTIF(C$4:C339,SUBSTITUTE(C340,""Sell_"",""""))-COUNTIF(C$4:C339,"&amp;"""Sell_""&amp;SUBSTITUTE(C340,""Sell_"",""""))))/2),ROUNDUP(INDEX(Upgrades!$C$3:$C$13,MATCH(C340,Upgrades!$B$3:$B$13,0))*1.15^(COUNTIF(C$4:C339,C340)-COUNTIF(C$4:C339,""Sell_""&amp;C340))))))"),"")</f>
        <v/>
      </c>
      <c r="H340" s="10" t="str">
        <f t="shared" si="3"/>
        <v/>
      </c>
      <c r="I340" s="68" t="str">
        <f t="shared" si="4"/>
        <v/>
      </c>
      <c r="J340" s="59" t="str">
        <f t="shared" si="5"/>
        <v/>
      </c>
      <c r="K340" s="69" t="str">
        <f t="shared" si="6"/>
        <v/>
      </c>
      <c r="L340" s="60">
        <f t="shared" si="7"/>
        <v>-74.76637</v>
      </c>
      <c r="M340" s="61">
        <f>IFERROR(__xludf.DUMMYFUNCTION("IFS(AND(COUNTA(C340:C1644)=0,COUNTA(Q340:Q1644)=0),"""",OR(AND(K340&gt;=1000000000,OR(Y340&gt;=1000000000,COUNTA(Q340:Q1644)=0)),OR(Y340&gt;=1000000000,AND(COUNTA(C340:C1644)=0,P$3=TRUE))),
ROUNDDOWN((AB$1-AC$1)*MAX(INDEX(T$4:T1644,MATCH(LARGE(FILTER(Y$4:Y1644,Y$4"&amp;":Y1644&lt;1000000000),1),Y$4:Y1644)),INDEX(F$4:F1644,MATCH(LARGE(FILTER(K$4:K1644,K$4:K1644&lt;1000000000),1),K$4:K1644)))),AND(K340&lt;1000000000,COUNTA(C340:C1644)&gt;0,P$3=FALSE),
ROUNDDOWN(INDEX(Y$4:Y1644,MATCH(LARGE(FILTER(W$4:W1644,W$4:W1644&lt;=I340),1),W$4:W1644"&amp;"))+(I340-LARGE(FILTER(W$4:W1644,W$4:W1644&lt;=I340),1))*INDEX(T$4:T1644,MATCH(LARGE(FILTER(W$4:W1644,W$4:W1644&lt;=I340),1),W$4:W1644))-K340),1,
ROUNDDOWN(Y340-INDEX(K$4:K1644,MATCH(LARGE(FILTER(I$4:I1644,I$4:I1644&lt;=W340),1),I$4:I1644))-(W340-LARGE(FILTER(I$4:I"&amp;"1644,I$4:I1644&lt;=W340),1))*INDEX(F$4:F1644,MATCH(LARGE(FILTER(I$4:I1644,I$4:I1644&lt;=W340),1),I$4:I1644))))"),3.1151864E7)</f>
        <v>31151864</v>
      </c>
      <c r="N340" s="60">
        <f t="shared" si="8"/>
        <v>-74.76637</v>
      </c>
      <c r="O340" s="61" t="str">
        <f t="shared" si="9"/>
        <v>31,2M</v>
      </c>
      <c r="P340" s="56">
        <f t="shared" si="10"/>
        <v>34</v>
      </c>
      <c r="Q340" s="105" t="s">
        <v>60</v>
      </c>
      <c r="R340" s="10"/>
      <c r="S340" s="59">
        <f t="array" ref="S340">IF(COUNTA(Q340:Q1644)=0,"",SUM((COUNTIF(Q$4:Q340,Upgrades!$B$3:$B$13)-COUNTIF(Q$4:Q340,"Sell_"&amp;Upgrades!$B$3:$B$13))*Upgrades!$D$3:$D$13))</f>
        <v>427252.4</v>
      </c>
      <c r="T340" s="66">
        <f>IFERROR(__xludf.DUMMYFUNCTION("IF(COUNTA(Q340:Q1644)=0,"""",IF(REGEXMATCH(INDEX(FILTER(Q$4:Q340,Q$4:Q340&lt;&gt;""""),ROWS(FILTER(Q$4:Q340,Q$4:Q340&lt;&gt;""""))),""^Sell_""),INDEX(FILTER(T$4:T339,Q$4:Q339&lt;&gt;""""),ROWS(FILTER(Q$4:Q339,Q$4:Q339&lt;&gt;""""))),$AD$5+S340))"),438428.4)</f>
        <v>438428.4</v>
      </c>
      <c r="U340" s="10">
        <f>IFERROR(__xludf.DUMMYFUNCTION("IF(COUNTA(Q340:Q1644)=0,"""",IF(Q340="""",0,IF(REGEXMATCH(Q340,""^Sell_""),-ROUNDDOWN(ROUNDUP(INDEX(Upgrades!$C$3:$C$13,MATCH(SUBSTITUTE(Q340,""Sell_"",""""),Upgrades!$B$3:$B$13,0))*1.15^(COUNTIF(Q$4:Q339,SUBSTITUTE(Q340,""Sell_"",""""))-COUNTIF(Q$4:Q339,"&amp;"""Sell_""&amp;SUBSTITUTE(Q340,""Sell_"",""""))))/2),ROUNDUP(INDEX(Upgrades!$C$3:$C$13,MATCH(Q340,Upgrades!$B$3:$B$13,0))*1.15^(COUNTIF(Q$4:Q339,Q340)-COUNTIF(Q$4:Q339,""Sell_""&amp;Q340))))))"),-351788.0)</f>
        <v>-351788</v>
      </c>
      <c r="V340" s="10">
        <f t="shared" si="11"/>
        <v>-19028665</v>
      </c>
      <c r="W340" s="68">
        <f t="shared" si="12"/>
        <v>7118.994574</v>
      </c>
      <c r="X340" s="59" t="str">
        <f t="shared" si="13"/>
        <v>1h 58m 38s</v>
      </c>
      <c r="Y340" s="69">
        <f t="shared" si="14"/>
        <v>666225716</v>
      </c>
      <c r="Z340" s="11"/>
      <c r="AG340" s="59"/>
    </row>
    <row r="341">
      <c r="A341" s="8"/>
      <c r="B341" s="56" t="str">
        <f t="shared" si="2"/>
        <v/>
      </c>
      <c r="C341" s="105"/>
      <c r="D341" s="10"/>
      <c r="E341" s="59" t="str">
        <f t="array" ref="E341">IF(COUNTA(C341:C1644)=0,"",SUM((COUNTIF(C$4:C341,Upgrades!$B$3:$B$13)-COUNTIF(C$4:C341,"Sell_"&amp;Upgrades!$B$3:$B$13))*Upgrades!$D$3:$D$13))</f>
        <v/>
      </c>
      <c r="F341" s="66" t="str">
        <f>IFERROR(__xludf.DUMMYFUNCTION("IF(COUNTA(C341:C1644)=0,"""",IF(REGEXMATCH(INDEX(FILTER(C$4:C341,C$4:C341&lt;&gt;""""),ROWS(FILTER(C$4:C341,C$4:C341&lt;&gt;""""))),""^Sell_""),INDEX(FILTER(F$4:F340,C$4:C340&lt;&gt;""""),ROWS(FILTER(C$4:C340,C$4:C340&lt;&gt;""""))),$AC$5+E341))"),"")</f>
        <v/>
      </c>
      <c r="G341" s="10" t="str">
        <f>IFERROR(__xludf.DUMMYFUNCTION("IF(COUNTA(C341:C1644)=0,"""",IF(C341="""",0,IF(REGEXMATCH(C341,""^Sell_""),-ROUNDDOWN(ROUNDUP(INDEX(Upgrades!$C$3:$C$13,MATCH(SUBSTITUTE(C341,""Sell_"",""""),Upgrades!$B$3:$B$13,0))*1.15^(COUNTIF(C$4:C340,SUBSTITUTE(C341,""Sell_"",""""))-COUNTIF(C$4:C340,"&amp;"""Sell_""&amp;SUBSTITUTE(C341,""Sell_"",""""))))/2),ROUNDUP(INDEX(Upgrades!$C$3:$C$13,MATCH(C341,Upgrades!$B$3:$B$13,0))*1.15^(COUNTIF(C$4:C340,C341)-COUNTIF(C$4:C340,""Sell_""&amp;C341))))))"),"")</f>
        <v/>
      </c>
      <c r="H341" s="10" t="str">
        <f t="shared" si="3"/>
        <v/>
      </c>
      <c r="I341" s="68" t="str">
        <f t="shared" si="4"/>
        <v/>
      </c>
      <c r="J341" s="59" t="str">
        <f t="shared" si="5"/>
        <v/>
      </c>
      <c r="K341" s="69" t="str">
        <f t="shared" si="6"/>
        <v/>
      </c>
      <c r="L341" s="60">
        <f t="shared" si="7"/>
        <v>-74.76637</v>
      </c>
      <c r="M341" s="61">
        <f>IFERROR(__xludf.DUMMYFUNCTION("IFS(AND(COUNTA(C341:C1644)=0,COUNTA(Q341:Q1644)=0),"""",OR(AND(K341&gt;=1000000000,OR(Y341&gt;=1000000000,COUNTA(Q341:Q1644)=0)),OR(Y341&gt;=1000000000,AND(COUNTA(C341:C1644)=0,P$3=TRUE))),
ROUNDDOWN((AB$1-AC$1)*MAX(INDEX(T$4:T1644,MATCH(LARGE(FILTER(Y$4:Y1644,Y$4"&amp;":Y1644&lt;1000000000),1),Y$4:Y1644)),INDEX(F$4:F1644,MATCH(LARGE(FILTER(K$4:K1644,K$4:K1644&lt;1000000000),1),K$4:K1644)))),AND(K341&lt;1000000000,COUNTA(C341:C1644)&gt;0,P$3=FALSE),
ROUNDDOWN(INDEX(Y$4:Y1644,MATCH(LARGE(FILTER(W$4:W1644,W$4:W1644&lt;=I341),1),W$4:W1644"&amp;"))+(I341-LARGE(FILTER(W$4:W1644,W$4:W1644&lt;=I341),1))*INDEX(T$4:T1644,MATCH(LARGE(FILTER(W$4:W1644,W$4:W1644&lt;=I341),1),W$4:W1644))-K341),1,
ROUNDDOWN(Y341-INDEX(K$4:K1644,MATCH(LARGE(FILTER(I$4:I1644,I$4:I1644&lt;=W341),1),I$4:I1644))-(W341-LARGE(FILTER(I$4:I"&amp;"1644,I$4:I1644&lt;=W341),1))*INDEX(F$4:F1644,MATCH(LARGE(FILTER(I$4:I1644,I$4:I1644&lt;=W341),1),I$4:I1644))))"),3.1151864E7)</f>
        <v>31151864</v>
      </c>
      <c r="N341" s="60">
        <f t="shared" si="8"/>
        <v>-74.76637</v>
      </c>
      <c r="O341" s="61" t="str">
        <f t="shared" si="9"/>
        <v>31,2M</v>
      </c>
      <c r="P341" s="56">
        <f t="shared" si="10"/>
        <v>35</v>
      </c>
      <c r="Q341" s="105" t="s">
        <v>60</v>
      </c>
      <c r="R341" s="10"/>
      <c r="S341" s="59">
        <f t="array" ref="S341">IF(COUNTA(Q341:Q1644)=0,"",SUM((COUNTIF(Q$4:Q341,Upgrades!$B$3:$B$13)-COUNTIF(Q$4:Q341,"Sell_"&amp;Upgrades!$B$3:$B$13))*Upgrades!$D$3:$D$13))</f>
        <v>426852.4</v>
      </c>
      <c r="T341" s="66">
        <f>IFERROR(__xludf.DUMMYFUNCTION("IF(COUNTA(Q341:Q1644)=0,"""",IF(REGEXMATCH(INDEX(FILTER(Q$4:Q341,Q$4:Q341&lt;&gt;""""),ROWS(FILTER(Q$4:Q341,Q$4:Q341&lt;&gt;""""))),""^Sell_""),INDEX(FILTER(T$4:T340,Q$4:Q340&lt;&gt;""""),ROWS(FILTER(Q$4:Q340,Q$4:Q340&lt;&gt;""""))),$AD$5+S341))"),438428.4)</f>
        <v>438428.4</v>
      </c>
      <c r="U341" s="10">
        <f>IFERROR(__xludf.DUMMYFUNCTION("IF(COUNTA(Q341:Q1644)=0,"""",IF(Q341="""",0,IF(REGEXMATCH(Q341,""^Sell_""),-ROUNDDOWN(ROUNDUP(INDEX(Upgrades!$C$3:$C$13,MATCH(SUBSTITUTE(Q341,""Sell_"",""""),Upgrades!$B$3:$B$13,0))*1.15^(COUNTIF(Q$4:Q340,SUBSTITUTE(Q341,""Sell_"",""""))-COUNTIF(Q$4:Q340,"&amp;"""Sell_""&amp;SUBSTITUTE(Q341,""Sell_"",""""))))/2),ROUNDUP(INDEX(Upgrades!$C$3:$C$13,MATCH(Q341,Upgrades!$B$3:$B$13,0))*1.15^(COUNTIF(Q$4:Q340,Q341)-COUNTIF(Q$4:Q340,""Sell_""&amp;Q341))))))"),-305902.0)</f>
        <v>-305902</v>
      </c>
      <c r="V341" s="10">
        <f t="shared" si="11"/>
        <v>-19334567</v>
      </c>
      <c r="W341" s="68">
        <f t="shared" si="12"/>
        <v>7118.994574</v>
      </c>
      <c r="X341" s="59" t="str">
        <f t="shared" si="13"/>
        <v>1h 58m 38s</v>
      </c>
      <c r="Y341" s="69">
        <f t="shared" si="14"/>
        <v>666225716</v>
      </c>
      <c r="Z341" s="11"/>
      <c r="AG341" s="59"/>
    </row>
    <row r="342">
      <c r="A342" s="8"/>
      <c r="B342" s="56" t="str">
        <f t="shared" si="2"/>
        <v/>
      </c>
      <c r="C342" s="105"/>
      <c r="D342" s="10"/>
      <c r="E342" s="59" t="str">
        <f t="array" ref="E342">IF(COUNTA(C342:C1644)=0,"",SUM((COUNTIF(C$4:C342,Upgrades!$B$3:$B$13)-COUNTIF(C$4:C342,"Sell_"&amp;Upgrades!$B$3:$B$13))*Upgrades!$D$3:$D$13))</f>
        <v/>
      </c>
      <c r="F342" s="66" t="str">
        <f>IFERROR(__xludf.DUMMYFUNCTION("IF(COUNTA(C342:C1644)=0,"""",IF(REGEXMATCH(INDEX(FILTER(C$4:C342,C$4:C342&lt;&gt;""""),ROWS(FILTER(C$4:C342,C$4:C342&lt;&gt;""""))),""^Sell_""),INDEX(FILTER(F$4:F341,C$4:C341&lt;&gt;""""),ROWS(FILTER(C$4:C341,C$4:C341&lt;&gt;""""))),$AC$5+E342))"),"")</f>
        <v/>
      </c>
      <c r="G342" s="10" t="str">
        <f>IFERROR(__xludf.DUMMYFUNCTION("IF(COUNTA(C342:C1644)=0,"""",IF(C342="""",0,IF(REGEXMATCH(C342,""^Sell_""),-ROUNDDOWN(ROUNDUP(INDEX(Upgrades!$C$3:$C$13,MATCH(SUBSTITUTE(C342,""Sell_"",""""),Upgrades!$B$3:$B$13,0))*1.15^(COUNTIF(C$4:C341,SUBSTITUTE(C342,""Sell_"",""""))-COUNTIF(C$4:C341,"&amp;"""Sell_""&amp;SUBSTITUTE(C342,""Sell_"",""""))))/2),ROUNDUP(INDEX(Upgrades!$C$3:$C$13,MATCH(C342,Upgrades!$B$3:$B$13,0))*1.15^(COUNTIF(C$4:C341,C342)-COUNTIF(C$4:C341,""Sell_""&amp;C342))))))"),"")</f>
        <v/>
      </c>
      <c r="H342" s="10" t="str">
        <f t="shared" si="3"/>
        <v/>
      </c>
      <c r="I342" s="68" t="str">
        <f t="shared" si="4"/>
        <v/>
      </c>
      <c r="J342" s="59" t="str">
        <f t="shared" si="5"/>
        <v/>
      </c>
      <c r="K342" s="69" t="str">
        <f t="shared" si="6"/>
        <v/>
      </c>
      <c r="L342" s="60">
        <f t="shared" si="7"/>
        <v>-74.76637</v>
      </c>
      <c r="M342" s="61">
        <f>IFERROR(__xludf.DUMMYFUNCTION("IFS(AND(COUNTA(C342:C1644)=0,COUNTA(Q342:Q1644)=0),"""",OR(AND(K342&gt;=1000000000,OR(Y342&gt;=1000000000,COUNTA(Q342:Q1644)=0)),OR(Y342&gt;=1000000000,AND(COUNTA(C342:C1644)=0,P$3=TRUE))),
ROUNDDOWN((AB$1-AC$1)*MAX(INDEX(T$4:T1644,MATCH(LARGE(FILTER(Y$4:Y1644,Y$4"&amp;":Y1644&lt;1000000000),1),Y$4:Y1644)),INDEX(F$4:F1644,MATCH(LARGE(FILTER(K$4:K1644,K$4:K1644&lt;1000000000),1),K$4:K1644)))),AND(K342&lt;1000000000,COUNTA(C342:C1644)&gt;0,P$3=FALSE),
ROUNDDOWN(INDEX(Y$4:Y1644,MATCH(LARGE(FILTER(W$4:W1644,W$4:W1644&lt;=I342),1),W$4:W1644"&amp;"))+(I342-LARGE(FILTER(W$4:W1644,W$4:W1644&lt;=I342),1))*INDEX(T$4:T1644,MATCH(LARGE(FILTER(W$4:W1644,W$4:W1644&lt;=I342),1),W$4:W1644))-K342),1,
ROUNDDOWN(Y342-INDEX(K$4:K1644,MATCH(LARGE(FILTER(I$4:I1644,I$4:I1644&lt;=W342),1),I$4:I1644))-(W342-LARGE(FILTER(I$4:I"&amp;"1644,I$4:I1644&lt;=W342),1))*INDEX(F$4:F1644,MATCH(LARGE(FILTER(I$4:I1644,I$4:I1644&lt;=W342),1),I$4:I1644))))"),3.1151864E7)</f>
        <v>31151864</v>
      </c>
      <c r="N342" s="60">
        <f t="shared" si="8"/>
        <v>-74.76637</v>
      </c>
      <c r="O342" s="61" t="str">
        <f t="shared" si="9"/>
        <v>31,2M</v>
      </c>
      <c r="P342" s="56">
        <f t="shared" si="10"/>
        <v>36</v>
      </c>
      <c r="Q342" s="105" t="s">
        <v>60</v>
      </c>
      <c r="R342" s="10"/>
      <c r="S342" s="59">
        <f t="array" ref="S342">IF(COUNTA(Q342:Q1644)=0,"",SUM((COUNTIF(Q$4:Q342,Upgrades!$B$3:$B$13)-COUNTIF(Q$4:Q342,"Sell_"&amp;Upgrades!$B$3:$B$13))*Upgrades!$D$3:$D$13))</f>
        <v>426452.4</v>
      </c>
      <c r="T342" s="66">
        <f>IFERROR(__xludf.DUMMYFUNCTION("IF(COUNTA(Q342:Q1644)=0,"""",IF(REGEXMATCH(INDEX(FILTER(Q$4:Q342,Q$4:Q342&lt;&gt;""""),ROWS(FILTER(Q$4:Q342,Q$4:Q342&lt;&gt;""""))),""^Sell_""),INDEX(FILTER(T$4:T341,Q$4:Q341&lt;&gt;""""),ROWS(FILTER(Q$4:Q341,Q$4:Q341&lt;&gt;""""))),$AD$5+S342))"),438428.4)</f>
        <v>438428.4</v>
      </c>
      <c r="U342" s="10">
        <f>IFERROR(__xludf.DUMMYFUNCTION("IF(COUNTA(Q342:Q1644)=0,"""",IF(Q342="""",0,IF(REGEXMATCH(Q342,""^Sell_""),-ROUNDDOWN(ROUNDUP(INDEX(Upgrades!$C$3:$C$13,MATCH(SUBSTITUTE(Q342,""Sell_"",""""),Upgrades!$B$3:$B$13,0))*1.15^(COUNTIF(Q$4:Q341,SUBSTITUTE(Q342,""Sell_"",""""))-COUNTIF(Q$4:Q341,"&amp;"""Sell_""&amp;SUBSTITUTE(Q342,""Sell_"",""""))))/2),ROUNDUP(INDEX(Upgrades!$C$3:$C$13,MATCH(Q342,Upgrades!$B$3:$B$13,0))*1.15^(COUNTIF(Q$4:Q341,Q342)-COUNTIF(Q$4:Q341,""Sell_""&amp;Q342))))))"),-266002.0)</f>
        <v>-266002</v>
      </c>
      <c r="V342" s="10">
        <f t="shared" si="11"/>
        <v>-19600569</v>
      </c>
      <c r="W342" s="68">
        <f t="shared" si="12"/>
        <v>7118.994574</v>
      </c>
      <c r="X342" s="59" t="str">
        <f t="shared" si="13"/>
        <v>1h 58m 38s</v>
      </c>
      <c r="Y342" s="69">
        <f t="shared" si="14"/>
        <v>666225716</v>
      </c>
      <c r="Z342" s="11"/>
      <c r="AG342" s="59"/>
    </row>
    <row r="343">
      <c r="A343" s="8"/>
      <c r="B343" s="56" t="str">
        <f t="shared" si="2"/>
        <v/>
      </c>
      <c r="C343" s="105"/>
      <c r="D343" s="10"/>
      <c r="E343" s="59" t="str">
        <f t="array" ref="E343">IF(COUNTA(C343:C1644)=0,"",SUM((COUNTIF(C$4:C343,Upgrades!$B$3:$B$13)-COUNTIF(C$4:C343,"Sell_"&amp;Upgrades!$B$3:$B$13))*Upgrades!$D$3:$D$13))</f>
        <v/>
      </c>
      <c r="F343" s="66" t="str">
        <f>IFERROR(__xludf.DUMMYFUNCTION("IF(COUNTA(C343:C1644)=0,"""",IF(REGEXMATCH(INDEX(FILTER(C$4:C343,C$4:C343&lt;&gt;""""),ROWS(FILTER(C$4:C343,C$4:C343&lt;&gt;""""))),""^Sell_""),INDEX(FILTER(F$4:F342,C$4:C342&lt;&gt;""""),ROWS(FILTER(C$4:C342,C$4:C342&lt;&gt;""""))),$AC$5+E343))"),"")</f>
        <v/>
      </c>
      <c r="G343" s="10" t="str">
        <f>IFERROR(__xludf.DUMMYFUNCTION("IF(COUNTA(C343:C1644)=0,"""",IF(C343="""",0,IF(REGEXMATCH(C343,""^Sell_""),-ROUNDDOWN(ROUNDUP(INDEX(Upgrades!$C$3:$C$13,MATCH(SUBSTITUTE(C343,""Sell_"",""""),Upgrades!$B$3:$B$13,0))*1.15^(COUNTIF(C$4:C342,SUBSTITUTE(C343,""Sell_"",""""))-COUNTIF(C$4:C342,"&amp;"""Sell_""&amp;SUBSTITUTE(C343,""Sell_"",""""))))/2),ROUNDUP(INDEX(Upgrades!$C$3:$C$13,MATCH(C343,Upgrades!$B$3:$B$13,0))*1.15^(COUNTIF(C$4:C342,C343)-COUNTIF(C$4:C342,""Sell_""&amp;C343))))))"),"")</f>
        <v/>
      </c>
      <c r="H343" s="10" t="str">
        <f t="shared" si="3"/>
        <v/>
      </c>
      <c r="I343" s="68" t="str">
        <f t="shared" si="4"/>
        <v/>
      </c>
      <c r="J343" s="59" t="str">
        <f t="shared" si="5"/>
        <v/>
      </c>
      <c r="K343" s="69" t="str">
        <f t="shared" si="6"/>
        <v/>
      </c>
      <c r="L343" s="60">
        <f t="shared" si="7"/>
        <v>-74.76637</v>
      </c>
      <c r="M343" s="61">
        <f>IFERROR(__xludf.DUMMYFUNCTION("IFS(AND(COUNTA(C343:C1644)=0,COUNTA(Q343:Q1644)=0),"""",OR(AND(K343&gt;=1000000000,OR(Y343&gt;=1000000000,COUNTA(Q343:Q1644)=0)),OR(Y343&gt;=1000000000,AND(COUNTA(C343:C1644)=0,P$3=TRUE))),
ROUNDDOWN((AB$1-AC$1)*MAX(INDEX(T$4:T1644,MATCH(LARGE(FILTER(Y$4:Y1644,Y$4"&amp;":Y1644&lt;1000000000),1),Y$4:Y1644)),INDEX(F$4:F1644,MATCH(LARGE(FILTER(K$4:K1644,K$4:K1644&lt;1000000000),1),K$4:K1644)))),AND(K343&lt;1000000000,COUNTA(C343:C1644)&gt;0,P$3=FALSE),
ROUNDDOWN(INDEX(Y$4:Y1644,MATCH(LARGE(FILTER(W$4:W1644,W$4:W1644&lt;=I343),1),W$4:W1644"&amp;"))+(I343-LARGE(FILTER(W$4:W1644,W$4:W1644&lt;=I343),1))*INDEX(T$4:T1644,MATCH(LARGE(FILTER(W$4:W1644,W$4:W1644&lt;=I343),1),W$4:W1644))-K343),1,
ROUNDDOWN(Y343-INDEX(K$4:K1644,MATCH(LARGE(FILTER(I$4:I1644,I$4:I1644&lt;=W343),1),I$4:I1644))-(W343-LARGE(FILTER(I$4:I"&amp;"1644,I$4:I1644&lt;=W343),1))*INDEX(F$4:F1644,MATCH(LARGE(FILTER(I$4:I1644,I$4:I1644&lt;=W343),1),I$4:I1644))))"),3.1151864E7)</f>
        <v>31151864</v>
      </c>
      <c r="N343" s="60">
        <f t="shared" si="8"/>
        <v>-74.76637</v>
      </c>
      <c r="O343" s="61" t="str">
        <f t="shared" si="9"/>
        <v>31,2M</v>
      </c>
      <c r="P343" s="56">
        <f t="shared" si="10"/>
        <v>37</v>
      </c>
      <c r="Q343" s="105" t="s">
        <v>60</v>
      </c>
      <c r="R343" s="10"/>
      <c r="S343" s="59">
        <f t="array" ref="S343">IF(COUNTA(Q343:Q1644)=0,"",SUM((COUNTIF(Q$4:Q343,Upgrades!$B$3:$B$13)-COUNTIF(Q$4:Q343,"Sell_"&amp;Upgrades!$B$3:$B$13))*Upgrades!$D$3:$D$13))</f>
        <v>426052.4</v>
      </c>
      <c r="T343" s="66">
        <f>IFERROR(__xludf.DUMMYFUNCTION("IF(COUNTA(Q343:Q1644)=0,"""",IF(REGEXMATCH(INDEX(FILTER(Q$4:Q343,Q$4:Q343&lt;&gt;""""),ROWS(FILTER(Q$4:Q343,Q$4:Q343&lt;&gt;""""))),""^Sell_""),INDEX(FILTER(T$4:T342,Q$4:Q342&lt;&gt;""""),ROWS(FILTER(Q$4:Q342,Q$4:Q342&lt;&gt;""""))),$AD$5+S343))"),438428.4)</f>
        <v>438428.4</v>
      </c>
      <c r="U343" s="10">
        <f>IFERROR(__xludf.DUMMYFUNCTION("IF(COUNTA(Q343:Q1644)=0,"""",IF(Q343="""",0,IF(REGEXMATCH(Q343,""^Sell_""),-ROUNDDOWN(ROUNDUP(INDEX(Upgrades!$C$3:$C$13,MATCH(SUBSTITUTE(Q343,""Sell_"",""""),Upgrades!$B$3:$B$13,0))*1.15^(COUNTIF(Q$4:Q342,SUBSTITUTE(Q343,""Sell_"",""""))-COUNTIF(Q$4:Q342,"&amp;"""Sell_""&amp;SUBSTITUTE(Q343,""Sell_"",""""))))/2),ROUNDUP(INDEX(Upgrades!$C$3:$C$13,MATCH(Q343,Upgrades!$B$3:$B$13,0))*1.15^(COUNTIF(Q$4:Q342,Q343)-COUNTIF(Q$4:Q342,""Sell_""&amp;Q343))))))"),-231306.0)</f>
        <v>-231306</v>
      </c>
      <c r="V343" s="10">
        <f t="shared" si="11"/>
        <v>-19831875</v>
      </c>
      <c r="W343" s="68">
        <f t="shared" si="12"/>
        <v>7118.994574</v>
      </c>
      <c r="X343" s="59" t="str">
        <f t="shared" si="13"/>
        <v>1h 58m 38s</v>
      </c>
      <c r="Y343" s="69">
        <f t="shared" si="14"/>
        <v>666225716</v>
      </c>
      <c r="Z343" s="11"/>
      <c r="AG343" s="59"/>
    </row>
    <row r="344">
      <c r="A344" s="8"/>
      <c r="B344" s="56" t="str">
        <f t="shared" si="2"/>
        <v/>
      </c>
      <c r="C344" s="105"/>
      <c r="D344" s="10"/>
      <c r="E344" s="59" t="str">
        <f t="array" ref="E344">IF(COUNTA(C344:C1644)=0,"",SUM((COUNTIF(C$4:C344,Upgrades!$B$3:$B$13)-COUNTIF(C$4:C344,"Sell_"&amp;Upgrades!$B$3:$B$13))*Upgrades!$D$3:$D$13))</f>
        <v/>
      </c>
      <c r="F344" s="66" t="str">
        <f>IFERROR(__xludf.DUMMYFUNCTION("IF(COUNTA(C344:C1644)=0,"""",IF(REGEXMATCH(INDEX(FILTER(C$4:C344,C$4:C344&lt;&gt;""""),ROWS(FILTER(C$4:C344,C$4:C344&lt;&gt;""""))),""^Sell_""),INDEX(FILTER(F$4:F343,C$4:C343&lt;&gt;""""),ROWS(FILTER(C$4:C343,C$4:C343&lt;&gt;""""))),$AC$5+E344))"),"")</f>
        <v/>
      </c>
      <c r="G344" s="10" t="str">
        <f>IFERROR(__xludf.DUMMYFUNCTION("IF(COUNTA(C344:C1644)=0,"""",IF(C344="""",0,IF(REGEXMATCH(C344,""^Sell_""),-ROUNDDOWN(ROUNDUP(INDEX(Upgrades!$C$3:$C$13,MATCH(SUBSTITUTE(C344,""Sell_"",""""),Upgrades!$B$3:$B$13,0))*1.15^(COUNTIF(C$4:C343,SUBSTITUTE(C344,""Sell_"",""""))-COUNTIF(C$4:C343,"&amp;"""Sell_""&amp;SUBSTITUTE(C344,""Sell_"",""""))))/2),ROUNDUP(INDEX(Upgrades!$C$3:$C$13,MATCH(C344,Upgrades!$B$3:$B$13,0))*1.15^(COUNTIF(C$4:C343,C344)-COUNTIF(C$4:C343,""Sell_""&amp;C344))))))"),"")</f>
        <v/>
      </c>
      <c r="H344" s="10" t="str">
        <f t="shared" si="3"/>
        <v/>
      </c>
      <c r="I344" s="68" t="str">
        <f t="shared" si="4"/>
        <v/>
      </c>
      <c r="J344" s="59" t="str">
        <f t="shared" si="5"/>
        <v/>
      </c>
      <c r="K344" s="69" t="str">
        <f t="shared" si="6"/>
        <v/>
      </c>
      <c r="L344" s="60">
        <f t="shared" si="7"/>
        <v>-74.76637</v>
      </c>
      <c r="M344" s="61">
        <f>IFERROR(__xludf.DUMMYFUNCTION("IFS(AND(COUNTA(C344:C1644)=0,COUNTA(Q344:Q1644)=0),"""",OR(AND(K344&gt;=1000000000,OR(Y344&gt;=1000000000,COUNTA(Q344:Q1644)=0)),OR(Y344&gt;=1000000000,AND(COUNTA(C344:C1644)=0,P$3=TRUE))),
ROUNDDOWN((AB$1-AC$1)*MAX(INDEX(T$4:T1644,MATCH(LARGE(FILTER(Y$4:Y1644,Y$4"&amp;":Y1644&lt;1000000000),1),Y$4:Y1644)),INDEX(F$4:F1644,MATCH(LARGE(FILTER(K$4:K1644,K$4:K1644&lt;1000000000),1),K$4:K1644)))),AND(K344&lt;1000000000,COUNTA(C344:C1644)&gt;0,P$3=FALSE),
ROUNDDOWN(INDEX(Y$4:Y1644,MATCH(LARGE(FILTER(W$4:W1644,W$4:W1644&lt;=I344),1),W$4:W1644"&amp;"))+(I344-LARGE(FILTER(W$4:W1644,W$4:W1644&lt;=I344),1))*INDEX(T$4:T1644,MATCH(LARGE(FILTER(W$4:W1644,W$4:W1644&lt;=I344),1),W$4:W1644))-K344),1,
ROUNDDOWN(Y344-INDEX(K$4:K1644,MATCH(LARGE(FILTER(I$4:I1644,I$4:I1644&lt;=W344),1),I$4:I1644))-(W344-LARGE(FILTER(I$4:I"&amp;"1644,I$4:I1644&lt;=W344),1))*INDEX(F$4:F1644,MATCH(LARGE(FILTER(I$4:I1644,I$4:I1644&lt;=W344),1),I$4:I1644))))"),3.1151864E7)</f>
        <v>31151864</v>
      </c>
      <c r="N344" s="60">
        <f t="shared" si="8"/>
        <v>-74.76637</v>
      </c>
      <c r="O344" s="61" t="str">
        <f t="shared" si="9"/>
        <v>31,2M</v>
      </c>
      <c r="P344" s="56">
        <f t="shared" si="10"/>
        <v>38</v>
      </c>
      <c r="Q344" s="105" t="s">
        <v>60</v>
      </c>
      <c r="R344" s="10"/>
      <c r="S344" s="59">
        <f t="array" ref="S344">IF(COUNTA(Q344:Q1644)=0,"",SUM((COUNTIF(Q$4:Q344,Upgrades!$B$3:$B$13)-COUNTIF(Q$4:Q344,"Sell_"&amp;Upgrades!$B$3:$B$13))*Upgrades!$D$3:$D$13))</f>
        <v>425652.4</v>
      </c>
      <c r="T344" s="66">
        <f>IFERROR(__xludf.DUMMYFUNCTION("IF(COUNTA(Q344:Q1644)=0,"""",IF(REGEXMATCH(INDEX(FILTER(Q$4:Q344,Q$4:Q344&lt;&gt;""""),ROWS(FILTER(Q$4:Q344,Q$4:Q344&lt;&gt;""""))),""^Sell_""),INDEX(FILTER(T$4:T343,Q$4:Q343&lt;&gt;""""),ROWS(FILTER(Q$4:Q343,Q$4:Q343&lt;&gt;""""))),$AD$5+S344))"),438428.4)</f>
        <v>438428.4</v>
      </c>
      <c r="U344" s="10">
        <f>IFERROR(__xludf.DUMMYFUNCTION("IF(COUNTA(Q344:Q1644)=0,"""",IF(Q344="""",0,IF(REGEXMATCH(Q344,""^Sell_""),-ROUNDDOWN(ROUNDUP(INDEX(Upgrades!$C$3:$C$13,MATCH(SUBSTITUTE(Q344,""Sell_"",""""),Upgrades!$B$3:$B$13,0))*1.15^(COUNTIF(Q$4:Q343,SUBSTITUTE(Q344,""Sell_"",""""))-COUNTIF(Q$4:Q343,"&amp;"""Sell_""&amp;SUBSTITUTE(Q344,""Sell_"",""""))))/2),ROUNDUP(INDEX(Upgrades!$C$3:$C$13,MATCH(Q344,Upgrades!$B$3:$B$13,0))*1.15^(COUNTIF(Q$4:Q343,Q344)-COUNTIF(Q$4:Q343,""Sell_""&amp;Q344))))))"),-201136.0)</f>
        <v>-201136</v>
      </c>
      <c r="V344" s="10">
        <f t="shared" si="11"/>
        <v>-20033011</v>
      </c>
      <c r="W344" s="68">
        <f t="shared" si="12"/>
        <v>7118.994574</v>
      </c>
      <c r="X344" s="59" t="str">
        <f t="shared" si="13"/>
        <v>1h 58m 38s</v>
      </c>
      <c r="Y344" s="69">
        <f t="shared" si="14"/>
        <v>666225716</v>
      </c>
      <c r="Z344" s="11"/>
      <c r="AG344" s="59"/>
    </row>
    <row r="345">
      <c r="A345" s="8"/>
      <c r="B345" s="56" t="str">
        <f t="shared" si="2"/>
        <v/>
      </c>
      <c r="C345" s="105"/>
      <c r="D345" s="10"/>
      <c r="E345" s="59" t="str">
        <f t="array" ref="E345">IF(COUNTA(C345:C1644)=0,"",SUM((COUNTIF(C$4:C345,Upgrades!$B$3:$B$13)-COUNTIF(C$4:C345,"Sell_"&amp;Upgrades!$B$3:$B$13))*Upgrades!$D$3:$D$13))</f>
        <v/>
      </c>
      <c r="F345" s="66" t="str">
        <f>IFERROR(__xludf.DUMMYFUNCTION("IF(COUNTA(C345:C1644)=0,"""",IF(REGEXMATCH(INDEX(FILTER(C$4:C345,C$4:C345&lt;&gt;""""),ROWS(FILTER(C$4:C345,C$4:C345&lt;&gt;""""))),""^Sell_""),INDEX(FILTER(F$4:F344,C$4:C344&lt;&gt;""""),ROWS(FILTER(C$4:C344,C$4:C344&lt;&gt;""""))),$AC$5+E345))"),"")</f>
        <v/>
      </c>
      <c r="G345" s="10" t="str">
        <f>IFERROR(__xludf.DUMMYFUNCTION("IF(COUNTA(C345:C1644)=0,"""",IF(C345="""",0,IF(REGEXMATCH(C345,""^Sell_""),-ROUNDDOWN(ROUNDUP(INDEX(Upgrades!$C$3:$C$13,MATCH(SUBSTITUTE(C345,""Sell_"",""""),Upgrades!$B$3:$B$13,0))*1.15^(COUNTIF(C$4:C344,SUBSTITUTE(C345,""Sell_"",""""))-COUNTIF(C$4:C344,"&amp;"""Sell_""&amp;SUBSTITUTE(C345,""Sell_"",""""))))/2),ROUNDUP(INDEX(Upgrades!$C$3:$C$13,MATCH(C345,Upgrades!$B$3:$B$13,0))*1.15^(COUNTIF(C$4:C344,C345)-COUNTIF(C$4:C344,""Sell_""&amp;C345))))))"),"")</f>
        <v/>
      </c>
      <c r="H345" s="10" t="str">
        <f t="shared" si="3"/>
        <v/>
      </c>
      <c r="I345" s="68" t="str">
        <f t="shared" si="4"/>
        <v/>
      </c>
      <c r="J345" s="59" t="str">
        <f t="shared" si="5"/>
        <v/>
      </c>
      <c r="K345" s="69" t="str">
        <f t="shared" si="6"/>
        <v/>
      </c>
      <c r="L345" s="60">
        <f t="shared" si="7"/>
        <v>-74.76637</v>
      </c>
      <c r="M345" s="61">
        <f>IFERROR(__xludf.DUMMYFUNCTION("IFS(AND(COUNTA(C345:C1644)=0,COUNTA(Q345:Q1644)=0),"""",OR(AND(K345&gt;=1000000000,OR(Y345&gt;=1000000000,COUNTA(Q345:Q1644)=0)),OR(Y345&gt;=1000000000,AND(COUNTA(C345:C1644)=0,P$3=TRUE))),
ROUNDDOWN((AB$1-AC$1)*MAX(INDEX(T$4:T1644,MATCH(LARGE(FILTER(Y$4:Y1644,Y$4"&amp;":Y1644&lt;1000000000),1),Y$4:Y1644)),INDEX(F$4:F1644,MATCH(LARGE(FILTER(K$4:K1644,K$4:K1644&lt;1000000000),1),K$4:K1644)))),AND(K345&lt;1000000000,COUNTA(C345:C1644)&gt;0,P$3=FALSE),
ROUNDDOWN(INDEX(Y$4:Y1644,MATCH(LARGE(FILTER(W$4:W1644,W$4:W1644&lt;=I345),1),W$4:W1644"&amp;"))+(I345-LARGE(FILTER(W$4:W1644,W$4:W1644&lt;=I345),1))*INDEX(T$4:T1644,MATCH(LARGE(FILTER(W$4:W1644,W$4:W1644&lt;=I345),1),W$4:W1644))-K345),1,
ROUNDDOWN(Y345-INDEX(K$4:K1644,MATCH(LARGE(FILTER(I$4:I1644,I$4:I1644&lt;=W345),1),I$4:I1644))-(W345-LARGE(FILTER(I$4:I"&amp;"1644,I$4:I1644&lt;=W345),1))*INDEX(F$4:F1644,MATCH(LARGE(FILTER(I$4:I1644,I$4:I1644&lt;=W345),1),I$4:I1644))))"),3.1151864E7)</f>
        <v>31151864</v>
      </c>
      <c r="N345" s="60">
        <f t="shared" si="8"/>
        <v>-74.76637</v>
      </c>
      <c r="O345" s="61" t="str">
        <f t="shared" si="9"/>
        <v>31,2M</v>
      </c>
      <c r="P345" s="56">
        <f t="shared" si="10"/>
        <v>39</v>
      </c>
      <c r="Q345" s="105" t="s">
        <v>60</v>
      </c>
      <c r="R345" s="10"/>
      <c r="S345" s="59">
        <f t="array" ref="S345">IF(COUNTA(Q345:Q1644)=0,"",SUM((COUNTIF(Q$4:Q345,Upgrades!$B$3:$B$13)-COUNTIF(Q$4:Q345,"Sell_"&amp;Upgrades!$B$3:$B$13))*Upgrades!$D$3:$D$13))</f>
        <v>425252.4</v>
      </c>
      <c r="T345" s="66">
        <f>IFERROR(__xludf.DUMMYFUNCTION("IF(COUNTA(Q345:Q1644)=0,"""",IF(REGEXMATCH(INDEX(FILTER(Q$4:Q345,Q$4:Q345&lt;&gt;""""),ROWS(FILTER(Q$4:Q345,Q$4:Q345&lt;&gt;""""))),""^Sell_""),INDEX(FILTER(T$4:T344,Q$4:Q344&lt;&gt;""""),ROWS(FILTER(Q$4:Q344,Q$4:Q344&lt;&gt;""""))),$AD$5+S345))"),438428.4)</f>
        <v>438428.4</v>
      </c>
      <c r="U345" s="10">
        <f>IFERROR(__xludf.DUMMYFUNCTION("IF(COUNTA(Q345:Q1644)=0,"""",IF(Q345="""",0,IF(REGEXMATCH(Q345,""^Sell_""),-ROUNDDOWN(ROUNDUP(INDEX(Upgrades!$C$3:$C$13,MATCH(SUBSTITUTE(Q345,""Sell_"",""""),Upgrades!$B$3:$B$13,0))*1.15^(COUNTIF(Q$4:Q344,SUBSTITUTE(Q345,""Sell_"",""""))-COUNTIF(Q$4:Q344,"&amp;"""Sell_""&amp;SUBSTITUTE(Q345,""Sell_"",""""))))/2),ROUNDUP(INDEX(Upgrades!$C$3:$C$13,MATCH(Q345,Upgrades!$B$3:$B$13,0))*1.15^(COUNTIF(Q$4:Q344,Q345)-COUNTIF(Q$4:Q344,""Sell_""&amp;Q345))))))"),-174901.0)</f>
        <v>-174901</v>
      </c>
      <c r="V345" s="10">
        <f t="shared" si="11"/>
        <v>-20207912</v>
      </c>
      <c r="W345" s="68">
        <f t="shared" si="12"/>
        <v>7118.994574</v>
      </c>
      <c r="X345" s="59" t="str">
        <f t="shared" si="13"/>
        <v>1h 58m 38s</v>
      </c>
      <c r="Y345" s="69">
        <f t="shared" si="14"/>
        <v>666225716</v>
      </c>
      <c r="Z345" s="11"/>
      <c r="AG345" s="59"/>
    </row>
    <row r="346">
      <c r="A346" s="8"/>
      <c r="B346" s="56" t="str">
        <f t="shared" si="2"/>
        <v/>
      </c>
      <c r="C346" s="105"/>
      <c r="D346" s="10"/>
      <c r="E346" s="59" t="str">
        <f t="array" ref="E346">IF(COUNTA(C346:C1644)=0,"",SUM((COUNTIF(C$4:C346,Upgrades!$B$3:$B$13)-COUNTIF(C$4:C346,"Sell_"&amp;Upgrades!$B$3:$B$13))*Upgrades!$D$3:$D$13))</f>
        <v/>
      </c>
      <c r="F346" s="66" t="str">
        <f>IFERROR(__xludf.DUMMYFUNCTION("IF(COUNTA(C346:C1644)=0,"""",IF(REGEXMATCH(INDEX(FILTER(C$4:C346,C$4:C346&lt;&gt;""""),ROWS(FILTER(C$4:C346,C$4:C346&lt;&gt;""""))),""^Sell_""),INDEX(FILTER(F$4:F345,C$4:C345&lt;&gt;""""),ROWS(FILTER(C$4:C345,C$4:C345&lt;&gt;""""))),$AC$5+E346))"),"")</f>
        <v/>
      </c>
      <c r="G346" s="10" t="str">
        <f>IFERROR(__xludf.DUMMYFUNCTION("IF(COUNTA(C346:C1644)=0,"""",IF(C346="""",0,IF(REGEXMATCH(C346,""^Sell_""),-ROUNDDOWN(ROUNDUP(INDEX(Upgrades!$C$3:$C$13,MATCH(SUBSTITUTE(C346,""Sell_"",""""),Upgrades!$B$3:$B$13,0))*1.15^(COUNTIF(C$4:C345,SUBSTITUTE(C346,""Sell_"",""""))-COUNTIF(C$4:C345,"&amp;"""Sell_""&amp;SUBSTITUTE(C346,""Sell_"",""""))))/2),ROUNDUP(INDEX(Upgrades!$C$3:$C$13,MATCH(C346,Upgrades!$B$3:$B$13,0))*1.15^(COUNTIF(C$4:C345,C346)-COUNTIF(C$4:C345,""Sell_""&amp;C346))))))"),"")</f>
        <v/>
      </c>
      <c r="H346" s="10" t="str">
        <f t="shared" si="3"/>
        <v/>
      </c>
      <c r="I346" s="68" t="str">
        <f t="shared" si="4"/>
        <v/>
      </c>
      <c r="J346" s="59" t="str">
        <f t="shared" si="5"/>
        <v/>
      </c>
      <c r="K346" s="69" t="str">
        <f t="shared" si="6"/>
        <v/>
      </c>
      <c r="L346" s="60">
        <f t="shared" si="7"/>
        <v>-74.76637</v>
      </c>
      <c r="M346" s="61">
        <f>IFERROR(__xludf.DUMMYFUNCTION("IFS(AND(COUNTA(C346:C1644)=0,COUNTA(Q346:Q1644)=0),"""",OR(AND(K346&gt;=1000000000,OR(Y346&gt;=1000000000,COUNTA(Q346:Q1644)=0)),OR(Y346&gt;=1000000000,AND(COUNTA(C346:C1644)=0,P$3=TRUE))),
ROUNDDOWN((AB$1-AC$1)*MAX(INDEX(T$4:T1644,MATCH(LARGE(FILTER(Y$4:Y1644,Y$4"&amp;":Y1644&lt;1000000000),1),Y$4:Y1644)),INDEX(F$4:F1644,MATCH(LARGE(FILTER(K$4:K1644,K$4:K1644&lt;1000000000),1),K$4:K1644)))),AND(K346&lt;1000000000,COUNTA(C346:C1644)&gt;0,P$3=FALSE),
ROUNDDOWN(INDEX(Y$4:Y1644,MATCH(LARGE(FILTER(W$4:W1644,W$4:W1644&lt;=I346),1),W$4:W1644"&amp;"))+(I346-LARGE(FILTER(W$4:W1644,W$4:W1644&lt;=I346),1))*INDEX(T$4:T1644,MATCH(LARGE(FILTER(W$4:W1644,W$4:W1644&lt;=I346),1),W$4:W1644))-K346),1,
ROUNDDOWN(Y346-INDEX(K$4:K1644,MATCH(LARGE(FILTER(I$4:I1644,I$4:I1644&lt;=W346),1),I$4:I1644))-(W346-LARGE(FILTER(I$4:I"&amp;"1644,I$4:I1644&lt;=W346),1))*INDEX(F$4:F1644,MATCH(LARGE(FILTER(I$4:I1644,I$4:I1644&lt;=W346),1),I$4:I1644))))"),3.1151864E7)</f>
        <v>31151864</v>
      </c>
      <c r="N346" s="60">
        <f t="shared" si="8"/>
        <v>-74.76637</v>
      </c>
      <c r="O346" s="61" t="str">
        <f t="shared" si="9"/>
        <v>31,2M</v>
      </c>
      <c r="P346" s="56">
        <f t="shared" si="10"/>
        <v>40</v>
      </c>
      <c r="Q346" s="105" t="s">
        <v>60</v>
      </c>
      <c r="R346" s="10"/>
      <c r="S346" s="59">
        <f t="array" ref="S346">IF(COUNTA(Q346:Q1644)=0,"",SUM((COUNTIF(Q$4:Q346,Upgrades!$B$3:$B$13)-COUNTIF(Q$4:Q346,"Sell_"&amp;Upgrades!$B$3:$B$13))*Upgrades!$D$3:$D$13))</f>
        <v>424852.4</v>
      </c>
      <c r="T346" s="66">
        <f>IFERROR(__xludf.DUMMYFUNCTION("IF(COUNTA(Q346:Q1644)=0,"""",IF(REGEXMATCH(INDEX(FILTER(Q$4:Q346,Q$4:Q346&lt;&gt;""""),ROWS(FILTER(Q$4:Q346,Q$4:Q346&lt;&gt;""""))),""^Sell_""),INDEX(FILTER(T$4:T345,Q$4:Q345&lt;&gt;""""),ROWS(FILTER(Q$4:Q345,Q$4:Q345&lt;&gt;""""))),$AD$5+S346))"),438428.4)</f>
        <v>438428.4</v>
      </c>
      <c r="U346" s="10">
        <f>IFERROR(__xludf.DUMMYFUNCTION("IF(COUNTA(Q346:Q1644)=0,"""",IF(Q346="""",0,IF(REGEXMATCH(Q346,""^Sell_""),-ROUNDDOWN(ROUNDUP(INDEX(Upgrades!$C$3:$C$13,MATCH(SUBSTITUTE(Q346,""Sell_"",""""),Upgrades!$B$3:$B$13,0))*1.15^(COUNTIF(Q$4:Q345,SUBSTITUTE(Q346,""Sell_"",""""))-COUNTIF(Q$4:Q345,"&amp;"""Sell_""&amp;SUBSTITUTE(Q346,""Sell_"",""""))))/2),ROUNDUP(INDEX(Upgrades!$C$3:$C$13,MATCH(Q346,Upgrades!$B$3:$B$13,0))*1.15^(COUNTIF(Q$4:Q345,Q346)-COUNTIF(Q$4:Q345,""Sell_""&amp;Q346))))))"),-152087.0)</f>
        <v>-152087</v>
      </c>
      <c r="V346" s="10">
        <f t="shared" si="11"/>
        <v>-20359999</v>
      </c>
      <c r="W346" s="68">
        <f t="shared" si="12"/>
        <v>7118.994574</v>
      </c>
      <c r="X346" s="59" t="str">
        <f t="shared" si="13"/>
        <v>1h 58m 38s</v>
      </c>
      <c r="Y346" s="69">
        <f t="shared" si="14"/>
        <v>666225716</v>
      </c>
      <c r="Z346" s="11"/>
      <c r="AG346" s="59"/>
    </row>
    <row r="347">
      <c r="A347" s="8"/>
      <c r="B347" s="56" t="str">
        <f t="shared" si="2"/>
        <v/>
      </c>
      <c r="C347" s="105"/>
      <c r="D347" s="10"/>
      <c r="E347" s="59" t="str">
        <f t="array" ref="E347">IF(COUNTA(C347:C1644)=0,"",SUM((COUNTIF(C$4:C347,Upgrades!$B$3:$B$13)-COUNTIF(C$4:C347,"Sell_"&amp;Upgrades!$B$3:$B$13))*Upgrades!$D$3:$D$13))</f>
        <v/>
      </c>
      <c r="F347" s="66" t="str">
        <f>IFERROR(__xludf.DUMMYFUNCTION("IF(COUNTA(C347:C1644)=0,"""",IF(REGEXMATCH(INDEX(FILTER(C$4:C347,C$4:C347&lt;&gt;""""),ROWS(FILTER(C$4:C347,C$4:C347&lt;&gt;""""))),""^Sell_""),INDEX(FILTER(F$4:F346,C$4:C346&lt;&gt;""""),ROWS(FILTER(C$4:C346,C$4:C346&lt;&gt;""""))),$AC$5+E347))"),"")</f>
        <v/>
      </c>
      <c r="G347" s="10" t="str">
        <f>IFERROR(__xludf.DUMMYFUNCTION("IF(COUNTA(C347:C1644)=0,"""",IF(C347="""",0,IF(REGEXMATCH(C347,""^Sell_""),-ROUNDDOWN(ROUNDUP(INDEX(Upgrades!$C$3:$C$13,MATCH(SUBSTITUTE(C347,""Sell_"",""""),Upgrades!$B$3:$B$13,0))*1.15^(COUNTIF(C$4:C346,SUBSTITUTE(C347,""Sell_"",""""))-COUNTIF(C$4:C346,"&amp;"""Sell_""&amp;SUBSTITUTE(C347,""Sell_"",""""))))/2),ROUNDUP(INDEX(Upgrades!$C$3:$C$13,MATCH(C347,Upgrades!$B$3:$B$13,0))*1.15^(COUNTIF(C$4:C346,C347)-COUNTIF(C$4:C346,""Sell_""&amp;C347))))))"),"")</f>
        <v/>
      </c>
      <c r="H347" s="10" t="str">
        <f t="shared" si="3"/>
        <v/>
      </c>
      <c r="I347" s="68" t="str">
        <f t="shared" si="4"/>
        <v/>
      </c>
      <c r="J347" s="59" t="str">
        <f t="shared" si="5"/>
        <v/>
      </c>
      <c r="K347" s="69" t="str">
        <f t="shared" si="6"/>
        <v/>
      </c>
      <c r="L347" s="60">
        <f t="shared" si="7"/>
        <v>-74.76637</v>
      </c>
      <c r="M347" s="61">
        <f>IFERROR(__xludf.DUMMYFUNCTION("IFS(AND(COUNTA(C347:C1644)=0,COUNTA(Q347:Q1644)=0),"""",OR(AND(K347&gt;=1000000000,OR(Y347&gt;=1000000000,COUNTA(Q347:Q1644)=0)),OR(Y347&gt;=1000000000,AND(COUNTA(C347:C1644)=0,P$3=TRUE))),
ROUNDDOWN((AB$1-AC$1)*MAX(INDEX(T$4:T1644,MATCH(LARGE(FILTER(Y$4:Y1644,Y$4"&amp;":Y1644&lt;1000000000),1),Y$4:Y1644)),INDEX(F$4:F1644,MATCH(LARGE(FILTER(K$4:K1644,K$4:K1644&lt;1000000000),1),K$4:K1644)))),AND(K347&lt;1000000000,COUNTA(C347:C1644)&gt;0,P$3=FALSE),
ROUNDDOWN(INDEX(Y$4:Y1644,MATCH(LARGE(FILTER(W$4:W1644,W$4:W1644&lt;=I347),1),W$4:W1644"&amp;"))+(I347-LARGE(FILTER(W$4:W1644,W$4:W1644&lt;=I347),1))*INDEX(T$4:T1644,MATCH(LARGE(FILTER(W$4:W1644,W$4:W1644&lt;=I347),1),W$4:W1644))-K347),1,
ROUNDDOWN(Y347-INDEX(K$4:K1644,MATCH(LARGE(FILTER(I$4:I1644,I$4:I1644&lt;=W347),1),I$4:I1644))-(W347-LARGE(FILTER(I$4:I"&amp;"1644,I$4:I1644&lt;=W347),1))*INDEX(F$4:F1644,MATCH(LARGE(FILTER(I$4:I1644,I$4:I1644&lt;=W347),1),I$4:I1644))))"),3.1151864E7)</f>
        <v>31151864</v>
      </c>
      <c r="N347" s="60">
        <f t="shared" si="8"/>
        <v>-74.76637</v>
      </c>
      <c r="O347" s="61" t="str">
        <f t="shared" si="9"/>
        <v>31,2M</v>
      </c>
      <c r="P347" s="56">
        <f t="shared" si="10"/>
        <v>41</v>
      </c>
      <c r="Q347" s="105" t="s">
        <v>60</v>
      </c>
      <c r="R347" s="10"/>
      <c r="S347" s="59">
        <f t="array" ref="S347">IF(COUNTA(Q347:Q1644)=0,"",SUM((COUNTIF(Q$4:Q347,Upgrades!$B$3:$B$13)-COUNTIF(Q$4:Q347,"Sell_"&amp;Upgrades!$B$3:$B$13))*Upgrades!$D$3:$D$13))</f>
        <v>424452.4</v>
      </c>
      <c r="T347" s="66">
        <f>IFERROR(__xludf.DUMMYFUNCTION("IF(COUNTA(Q347:Q1644)=0,"""",IF(REGEXMATCH(INDEX(FILTER(Q$4:Q347,Q$4:Q347&lt;&gt;""""),ROWS(FILTER(Q$4:Q347,Q$4:Q347&lt;&gt;""""))),""^Sell_""),INDEX(FILTER(T$4:T346,Q$4:Q346&lt;&gt;""""),ROWS(FILTER(Q$4:Q346,Q$4:Q346&lt;&gt;""""))),$AD$5+S347))"),438428.4)</f>
        <v>438428.4</v>
      </c>
      <c r="U347" s="10">
        <f>IFERROR(__xludf.DUMMYFUNCTION("IF(COUNTA(Q347:Q1644)=0,"""",IF(Q347="""",0,IF(REGEXMATCH(Q347,""^Sell_""),-ROUNDDOWN(ROUNDUP(INDEX(Upgrades!$C$3:$C$13,MATCH(SUBSTITUTE(Q347,""Sell_"",""""),Upgrades!$B$3:$B$13,0))*1.15^(COUNTIF(Q$4:Q346,SUBSTITUTE(Q347,""Sell_"",""""))-COUNTIF(Q$4:Q346,"&amp;"""Sell_""&amp;SUBSTITUTE(Q347,""Sell_"",""""))))/2),ROUNDUP(INDEX(Upgrades!$C$3:$C$13,MATCH(Q347,Upgrades!$B$3:$B$13,0))*1.15^(COUNTIF(Q$4:Q346,Q347)-COUNTIF(Q$4:Q346,""Sell_""&amp;Q347))))))"),-132250.0)</f>
        <v>-132250</v>
      </c>
      <c r="V347" s="10">
        <f t="shared" si="11"/>
        <v>-20492249</v>
      </c>
      <c r="W347" s="68">
        <f t="shared" si="12"/>
        <v>7118.994574</v>
      </c>
      <c r="X347" s="59" t="str">
        <f t="shared" si="13"/>
        <v>1h 58m 38s</v>
      </c>
      <c r="Y347" s="69">
        <f t="shared" si="14"/>
        <v>666225716</v>
      </c>
      <c r="Z347" s="11"/>
      <c r="AG347" s="59"/>
    </row>
    <row r="348">
      <c r="A348" s="8"/>
      <c r="B348" s="56" t="str">
        <f t="shared" si="2"/>
        <v/>
      </c>
      <c r="C348" s="105"/>
      <c r="D348" s="10"/>
      <c r="E348" s="59" t="str">
        <f t="array" ref="E348">IF(COUNTA(C348:C1644)=0,"",SUM((COUNTIF(C$4:C348,Upgrades!$B$3:$B$13)-COUNTIF(C$4:C348,"Sell_"&amp;Upgrades!$B$3:$B$13))*Upgrades!$D$3:$D$13))</f>
        <v/>
      </c>
      <c r="F348" s="66" t="str">
        <f>IFERROR(__xludf.DUMMYFUNCTION("IF(COUNTA(C348:C1644)=0,"""",IF(REGEXMATCH(INDEX(FILTER(C$4:C348,C$4:C348&lt;&gt;""""),ROWS(FILTER(C$4:C348,C$4:C348&lt;&gt;""""))),""^Sell_""),INDEX(FILTER(F$4:F347,C$4:C347&lt;&gt;""""),ROWS(FILTER(C$4:C347,C$4:C347&lt;&gt;""""))),$AC$5+E348))"),"")</f>
        <v/>
      </c>
      <c r="G348" s="10" t="str">
        <f>IFERROR(__xludf.DUMMYFUNCTION("IF(COUNTA(C348:C1644)=0,"""",IF(C348="""",0,IF(REGEXMATCH(C348,""^Sell_""),-ROUNDDOWN(ROUNDUP(INDEX(Upgrades!$C$3:$C$13,MATCH(SUBSTITUTE(C348,""Sell_"",""""),Upgrades!$B$3:$B$13,0))*1.15^(COUNTIF(C$4:C347,SUBSTITUTE(C348,""Sell_"",""""))-COUNTIF(C$4:C347,"&amp;"""Sell_""&amp;SUBSTITUTE(C348,""Sell_"",""""))))/2),ROUNDUP(INDEX(Upgrades!$C$3:$C$13,MATCH(C348,Upgrades!$B$3:$B$13,0))*1.15^(COUNTIF(C$4:C347,C348)-COUNTIF(C$4:C347,""Sell_""&amp;C348))))))"),"")</f>
        <v/>
      </c>
      <c r="H348" s="10" t="str">
        <f t="shared" si="3"/>
        <v/>
      </c>
      <c r="I348" s="68" t="str">
        <f t="shared" si="4"/>
        <v/>
      </c>
      <c r="J348" s="59" t="str">
        <f t="shared" si="5"/>
        <v/>
      </c>
      <c r="K348" s="69" t="str">
        <f t="shared" si="6"/>
        <v/>
      </c>
      <c r="L348" s="60">
        <f t="shared" si="7"/>
        <v>-74.76637</v>
      </c>
      <c r="M348" s="61">
        <f>IFERROR(__xludf.DUMMYFUNCTION("IFS(AND(COUNTA(C348:C1644)=0,COUNTA(Q348:Q1644)=0),"""",OR(AND(K348&gt;=1000000000,OR(Y348&gt;=1000000000,COUNTA(Q348:Q1644)=0)),OR(Y348&gt;=1000000000,AND(COUNTA(C348:C1644)=0,P$3=TRUE))),
ROUNDDOWN((AB$1-AC$1)*MAX(INDEX(T$4:T1644,MATCH(LARGE(FILTER(Y$4:Y1644,Y$4"&amp;":Y1644&lt;1000000000),1),Y$4:Y1644)),INDEX(F$4:F1644,MATCH(LARGE(FILTER(K$4:K1644,K$4:K1644&lt;1000000000),1),K$4:K1644)))),AND(K348&lt;1000000000,COUNTA(C348:C1644)&gt;0,P$3=FALSE),
ROUNDDOWN(INDEX(Y$4:Y1644,MATCH(LARGE(FILTER(W$4:W1644,W$4:W1644&lt;=I348),1),W$4:W1644"&amp;"))+(I348-LARGE(FILTER(W$4:W1644,W$4:W1644&lt;=I348),1))*INDEX(T$4:T1644,MATCH(LARGE(FILTER(W$4:W1644,W$4:W1644&lt;=I348),1),W$4:W1644))-K348),1,
ROUNDDOWN(Y348-INDEX(K$4:K1644,MATCH(LARGE(FILTER(I$4:I1644,I$4:I1644&lt;=W348),1),I$4:I1644))-(W348-LARGE(FILTER(I$4:I"&amp;"1644,I$4:I1644&lt;=W348),1))*INDEX(F$4:F1644,MATCH(LARGE(FILTER(I$4:I1644,I$4:I1644&lt;=W348),1),I$4:I1644))))"),3.1151864E7)</f>
        <v>31151864</v>
      </c>
      <c r="N348" s="60">
        <f t="shared" si="8"/>
        <v>-74.76637</v>
      </c>
      <c r="O348" s="61" t="str">
        <f t="shared" si="9"/>
        <v>31,2M</v>
      </c>
      <c r="P348" s="56">
        <f t="shared" si="10"/>
        <v>42</v>
      </c>
      <c r="Q348" s="105" t="s">
        <v>60</v>
      </c>
      <c r="R348" s="10"/>
      <c r="S348" s="59">
        <f t="array" ref="S348">IF(COUNTA(Q348:Q1644)=0,"",SUM((COUNTIF(Q$4:Q348,Upgrades!$B$3:$B$13)-COUNTIF(Q$4:Q348,"Sell_"&amp;Upgrades!$B$3:$B$13))*Upgrades!$D$3:$D$13))</f>
        <v>424052.4</v>
      </c>
      <c r="T348" s="66">
        <f>IFERROR(__xludf.DUMMYFUNCTION("IF(COUNTA(Q348:Q1644)=0,"""",IF(REGEXMATCH(INDEX(FILTER(Q$4:Q348,Q$4:Q348&lt;&gt;""""),ROWS(FILTER(Q$4:Q348,Q$4:Q348&lt;&gt;""""))),""^Sell_""),INDEX(FILTER(T$4:T347,Q$4:Q347&lt;&gt;""""),ROWS(FILTER(Q$4:Q347,Q$4:Q347&lt;&gt;""""))),$AD$5+S348))"),438428.4)</f>
        <v>438428.4</v>
      </c>
      <c r="U348" s="10">
        <f>IFERROR(__xludf.DUMMYFUNCTION("IF(COUNTA(Q348:Q1644)=0,"""",IF(Q348="""",0,IF(REGEXMATCH(Q348,""^Sell_""),-ROUNDDOWN(ROUNDUP(INDEX(Upgrades!$C$3:$C$13,MATCH(SUBSTITUTE(Q348,""Sell_"",""""),Upgrades!$B$3:$B$13,0))*1.15^(COUNTIF(Q$4:Q347,SUBSTITUTE(Q348,""Sell_"",""""))-COUNTIF(Q$4:Q347,"&amp;"""Sell_""&amp;SUBSTITUTE(Q348,""Sell_"",""""))))/2),ROUNDUP(INDEX(Upgrades!$C$3:$C$13,MATCH(Q348,Upgrades!$B$3:$B$13,0))*1.15^(COUNTIF(Q$4:Q347,Q348)-COUNTIF(Q$4:Q347,""Sell_""&amp;Q348))))))"),-115000.0)</f>
        <v>-115000</v>
      </c>
      <c r="V348" s="10">
        <f t="shared" si="11"/>
        <v>-20607249</v>
      </c>
      <c r="W348" s="68">
        <f t="shared" si="12"/>
        <v>7118.994574</v>
      </c>
      <c r="X348" s="59" t="str">
        <f t="shared" si="13"/>
        <v>1h 58m 38s</v>
      </c>
      <c r="Y348" s="69">
        <f t="shared" si="14"/>
        <v>666225716</v>
      </c>
      <c r="Z348" s="11"/>
      <c r="AG348" s="59"/>
    </row>
    <row r="349">
      <c r="A349" s="8"/>
      <c r="B349" s="56" t="str">
        <f t="shared" si="2"/>
        <v/>
      </c>
      <c r="C349" s="105"/>
      <c r="D349" s="10"/>
      <c r="E349" s="59" t="str">
        <f t="array" ref="E349">IF(COUNTA(C349:C1644)=0,"",SUM((COUNTIF(C$4:C349,Upgrades!$B$3:$B$13)-COUNTIF(C$4:C349,"Sell_"&amp;Upgrades!$B$3:$B$13))*Upgrades!$D$3:$D$13))</f>
        <v/>
      </c>
      <c r="F349" s="66" t="str">
        <f>IFERROR(__xludf.DUMMYFUNCTION("IF(COUNTA(C349:C1644)=0,"""",IF(REGEXMATCH(INDEX(FILTER(C$4:C349,C$4:C349&lt;&gt;""""),ROWS(FILTER(C$4:C349,C$4:C349&lt;&gt;""""))),""^Sell_""),INDEX(FILTER(F$4:F348,C$4:C348&lt;&gt;""""),ROWS(FILTER(C$4:C348,C$4:C348&lt;&gt;""""))),$AC$5+E349))"),"")</f>
        <v/>
      </c>
      <c r="G349" s="10" t="str">
        <f>IFERROR(__xludf.DUMMYFUNCTION("IF(COUNTA(C349:C1644)=0,"""",IF(C349="""",0,IF(REGEXMATCH(C349,""^Sell_""),-ROUNDDOWN(ROUNDUP(INDEX(Upgrades!$C$3:$C$13,MATCH(SUBSTITUTE(C349,""Sell_"",""""),Upgrades!$B$3:$B$13,0))*1.15^(COUNTIF(C$4:C348,SUBSTITUTE(C349,""Sell_"",""""))-COUNTIF(C$4:C348,"&amp;"""Sell_""&amp;SUBSTITUTE(C349,""Sell_"",""""))))/2),ROUNDUP(INDEX(Upgrades!$C$3:$C$13,MATCH(C349,Upgrades!$B$3:$B$13,0))*1.15^(COUNTIF(C$4:C348,C349)-COUNTIF(C$4:C348,""Sell_""&amp;C349))))))"),"")</f>
        <v/>
      </c>
      <c r="H349" s="10" t="str">
        <f t="shared" si="3"/>
        <v/>
      </c>
      <c r="I349" s="68" t="str">
        <f t="shared" si="4"/>
        <v/>
      </c>
      <c r="J349" s="59" t="str">
        <f t="shared" si="5"/>
        <v/>
      </c>
      <c r="K349" s="69" t="str">
        <f t="shared" si="6"/>
        <v/>
      </c>
      <c r="L349" s="60">
        <f t="shared" si="7"/>
        <v>-74.76637</v>
      </c>
      <c r="M349" s="61">
        <f>IFERROR(__xludf.DUMMYFUNCTION("IFS(AND(COUNTA(C349:C1644)=0,COUNTA(Q349:Q1644)=0),"""",OR(AND(K349&gt;=1000000000,OR(Y349&gt;=1000000000,COUNTA(Q349:Q1644)=0)),OR(Y349&gt;=1000000000,AND(COUNTA(C349:C1644)=0,P$3=TRUE))),
ROUNDDOWN((AB$1-AC$1)*MAX(INDEX(T$4:T1644,MATCH(LARGE(FILTER(Y$4:Y1644,Y$4"&amp;":Y1644&lt;1000000000),1),Y$4:Y1644)),INDEX(F$4:F1644,MATCH(LARGE(FILTER(K$4:K1644,K$4:K1644&lt;1000000000),1),K$4:K1644)))),AND(K349&lt;1000000000,COUNTA(C349:C1644)&gt;0,P$3=FALSE),
ROUNDDOWN(INDEX(Y$4:Y1644,MATCH(LARGE(FILTER(W$4:W1644,W$4:W1644&lt;=I349),1),W$4:W1644"&amp;"))+(I349-LARGE(FILTER(W$4:W1644,W$4:W1644&lt;=I349),1))*INDEX(T$4:T1644,MATCH(LARGE(FILTER(W$4:W1644,W$4:W1644&lt;=I349),1),W$4:W1644))-K349),1,
ROUNDDOWN(Y349-INDEX(K$4:K1644,MATCH(LARGE(FILTER(I$4:I1644,I$4:I1644&lt;=W349),1),I$4:I1644))-(W349-LARGE(FILTER(I$4:I"&amp;"1644,I$4:I1644&lt;=W349),1))*INDEX(F$4:F1644,MATCH(LARGE(FILTER(I$4:I1644,I$4:I1644&lt;=W349),1),I$4:I1644))))"),3.1151864E7)</f>
        <v>31151864</v>
      </c>
      <c r="N349" s="60">
        <f t="shared" si="8"/>
        <v>-74.76637</v>
      </c>
      <c r="O349" s="61" t="str">
        <f t="shared" si="9"/>
        <v>31,2M</v>
      </c>
      <c r="P349" s="56">
        <f t="shared" si="10"/>
        <v>13</v>
      </c>
      <c r="Q349" s="105" t="s">
        <v>64</v>
      </c>
      <c r="R349" s="10"/>
      <c r="S349" s="59">
        <f t="array" ref="S349">IF(COUNTA(Q349:Q1644)=0,"",SUM((COUNTIF(Q$4:Q349,Upgrades!$B$3:$B$13)-COUNTIF(Q$4:Q349,"Sell_"&amp;Upgrades!$B$3:$B$13))*Upgrades!$D$3:$D$13))</f>
        <v>417386.4</v>
      </c>
      <c r="T349" s="66">
        <f>IFERROR(__xludf.DUMMYFUNCTION("IF(COUNTA(Q349:Q1644)=0,"""",IF(REGEXMATCH(INDEX(FILTER(Q$4:Q349,Q$4:Q349&lt;&gt;""""),ROWS(FILTER(Q$4:Q349,Q$4:Q349&lt;&gt;""""))),""^Sell_""),INDEX(FILTER(T$4:T348,Q$4:Q348&lt;&gt;""""),ROWS(FILTER(Q$4:Q348,Q$4:Q348&lt;&gt;""""))),$AD$5+S349))"),438428.4)</f>
        <v>438428.4</v>
      </c>
      <c r="U349" s="10">
        <f>IFERROR(__xludf.DUMMYFUNCTION("IF(COUNTA(Q349:Q1644)=0,"""",IF(Q349="""",0,IF(REGEXMATCH(Q349,""^Sell_""),-ROUNDDOWN(ROUNDUP(INDEX(Upgrades!$C$3:$C$13,MATCH(SUBSTITUTE(Q349,""Sell_"",""""),Upgrades!$B$3:$B$13,0))*1.15^(COUNTIF(Q$4:Q348,SUBSTITUTE(Q349,""Sell_"",""""))-COUNTIF(Q$4:Q348,"&amp;"""Sell_""&amp;SUBSTITUTE(Q349,""Sell_"",""""))))/2),ROUNDUP(INDEX(Upgrades!$C$3:$C$13,MATCH(Q349,Upgrades!$B$3:$B$13,0))*1.15^(COUNTIF(Q$4:Q348,Q349)-COUNTIF(Q$4:Q348,""Sell_""&amp;Q349))))))"),-1.1859805E7)</f>
        <v>-11859805</v>
      </c>
      <c r="V349" s="10">
        <f t="shared" si="11"/>
        <v>-32467054</v>
      </c>
      <c r="W349" s="68">
        <f t="shared" si="12"/>
        <v>7118.994574</v>
      </c>
      <c r="X349" s="59" t="str">
        <f t="shared" si="13"/>
        <v>1h 58m 38s</v>
      </c>
      <c r="Y349" s="69">
        <f t="shared" si="14"/>
        <v>666225716</v>
      </c>
      <c r="Z349" s="11"/>
      <c r="AG349" s="59"/>
    </row>
    <row r="350">
      <c r="A350" s="8"/>
      <c r="B350" s="56" t="str">
        <f t="shared" si="2"/>
        <v/>
      </c>
      <c r="C350" s="105"/>
      <c r="D350" s="10"/>
      <c r="E350" s="59" t="str">
        <f t="array" ref="E350">IF(COUNTA(C350:C1644)=0,"",SUM((COUNTIF(C$4:C350,Upgrades!$B$3:$B$13)-COUNTIF(C$4:C350,"Sell_"&amp;Upgrades!$B$3:$B$13))*Upgrades!$D$3:$D$13))</f>
        <v/>
      </c>
      <c r="F350" s="66" t="str">
        <f>IFERROR(__xludf.DUMMYFUNCTION("IF(COUNTA(C350:C1644)=0,"""",IF(REGEXMATCH(INDEX(FILTER(C$4:C350,C$4:C350&lt;&gt;""""),ROWS(FILTER(C$4:C350,C$4:C350&lt;&gt;""""))),""^Sell_""),INDEX(FILTER(F$4:F349,C$4:C349&lt;&gt;""""),ROWS(FILTER(C$4:C349,C$4:C349&lt;&gt;""""))),$AC$5+E350))"),"")</f>
        <v/>
      </c>
      <c r="G350" s="10" t="str">
        <f>IFERROR(__xludf.DUMMYFUNCTION("IF(COUNTA(C350:C1644)=0,"""",IF(C350="""",0,IF(REGEXMATCH(C350,""^Sell_""),-ROUNDDOWN(ROUNDUP(INDEX(Upgrades!$C$3:$C$13,MATCH(SUBSTITUTE(C350,""Sell_"",""""),Upgrades!$B$3:$B$13,0))*1.15^(COUNTIF(C$4:C349,SUBSTITUTE(C350,""Sell_"",""""))-COUNTIF(C$4:C349,"&amp;"""Sell_""&amp;SUBSTITUTE(C350,""Sell_"",""""))))/2),ROUNDUP(INDEX(Upgrades!$C$3:$C$13,MATCH(C350,Upgrades!$B$3:$B$13,0))*1.15^(COUNTIF(C$4:C349,C350)-COUNTIF(C$4:C349,""Sell_""&amp;C350))))))"),"")</f>
        <v/>
      </c>
      <c r="H350" s="10" t="str">
        <f t="shared" si="3"/>
        <v/>
      </c>
      <c r="I350" s="68" t="str">
        <f t="shared" si="4"/>
        <v/>
      </c>
      <c r="J350" s="59" t="str">
        <f t="shared" si="5"/>
        <v/>
      </c>
      <c r="K350" s="69" t="str">
        <f t="shared" si="6"/>
        <v/>
      </c>
      <c r="L350" s="60">
        <f t="shared" si="7"/>
        <v>-74.76637</v>
      </c>
      <c r="M350" s="61">
        <f>IFERROR(__xludf.DUMMYFUNCTION("IFS(AND(COUNTA(C350:C1644)=0,COUNTA(Q350:Q1644)=0),"""",OR(AND(K350&gt;=1000000000,OR(Y350&gt;=1000000000,COUNTA(Q350:Q1644)=0)),OR(Y350&gt;=1000000000,AND(COUNTA(C350:C1644)=0,P$3=TRUE))),
ROUNDDOWN((AB$1-AC$1)*MAX(INDEX(T$4:T1644,MATCH(LARGE(FILTER(Y$4:Y1644,Y$4"&amp;":Y1644&lt;1000000000),1),Y$4:Y1644)),INDEX(F$4:F1644,MATCH(LARGE(FILTER(K$4:K1644,K$4:K1644&lt;1000000000),1),K$4:K1644)))),AND(K350&lt;1000000000,COUNTA(C350:C1644)&gt;0,P$3=FALSE),
ROUNDDOWN(INDEX(Y$4:Y1644,MATCH(LARGE(FILTER(W$4:W1644,W$4:W1644&lt;=I350),1),W$4:W1644"&amp;"))+(I350-LARGE(FILTER(W$4:W1644,W$4:W1644&lt;=I350),1))*INDEX(T$4:T1644,MATCH(LARGE(FILTER(W$4:W1644,W$4:W1644&lt;=I350),1),W$4:W1644))-K350),1,
ROUNDDOWN(Y350-INDEX(K$4:K1644,MATCH(LARGE(FILTER(I$4:I1644,I$4:I1644&lt;=W350),1),I$4:I1644))-(W350-LARGE(FILTER(I$4:I"&amp;"1644,I$4:I1644&lt;=W350),1))*INDEX(F$4:F1644,MATCH(LARGE(FILTER(I$4:I1644,I$4:I1644&lt;=W350),1),I$4:I1644))))"),3.1151864E7)</f>
        <v>31151864</v>
      </c>
      <c r="N350" s="60">
        <f t="shared" si="8"/>
        <v>-74.76637</v>
      </c>
      <c r="O350" s="61" t="str">
        <f t="shared" si="9"/>
        <v>31,2M</v>
      </c>
      <c r="P350" s="56">
        <f t="shared" si="10"/>
        <v>14</v>
      </c>
      <c r="Q350" s="105" t="s">
        <v>64</v>
      </c>
      <c r="R350" s="10"/>
      <c r="S350" s="59">
        <f t="array" ref="S350">IF(COUNTA(Q350:Q1644)=0,"",SUM((COUNTIF(Q$4:Q350,Upgrades!$B$3:$B$13)-COUNTIF(Q$4:Q350,"Sell_"&amp;Upgrades!$B$3:$B$13))*Upgrades!$D$3:$D$13))</f>
        <v>410720.4</v>
      </c>
      <c r="T350" s="66">
        <f>IFERROR(__xludf.DUMMYFUNCTION("IF(COUNTA(Q350:Q1644)=0,"""",IF(REGEXMATCH(INDEX(FILTER(Q$4:Q350,Q$4:Q350&lt;&gt;""""),ROWS(FILTER(Q$4:Q350,Q$4:Q350&lt;&gt;""""))),""^Sell_""),INDEX(FILTER(T$4:T349,Q$4:Q349&lt;&gt;""""),ROWS(FILTER(Q$4:Q349,Q$4:Q349&lt;&gt;""""))),$AD$5+S350))"),438428.4)</f>
        <v>438428.4</v>
      </c>
      <c r="U350" s="10">
        <f>IFERROR(__xludf.DUMMYFUNCTION("IF(COUNTA(Q350:Q1644)=0,"""",IF(Q350="""",0,IF(REGEXMATCH(Q350,""^Sell_""),-ROUNDDOWN(ROUNDUP(INDEX(Upgrades!$C$3:$C$13,MATCH(SUBSTITUTE(Q350,""Sell_"",""""),Upgrades!$B$3:$B$13,0))*1.15^(COUNTIF(Q$4:Q349,SUBSTITUTE(Q350,""Sell_"",""""))-COUNTIF(Q$4:Q349,"&amp;"""Sell_""&amp;SUBSTITUTE(Q350,""Sell_"",""""))))/2),ROUNDUP(INDEX(Upgrades!$C$3:$C$13,MATCH(Q350,Upgrades!$B$3:$B$13,0))*1.15^(COUNTIF(Q$4:Q349,Q350)-COUNTIF(Q$4:Q349,""Sell_""&amp;Q350))))))"),-1.0312874E7)</f>
        <v>-10312874</v>
      </c>
      <c r="V350" s="10">
        <f t="shared" si="11"/>
        <v>-42779928</v>
      </c>
      <c r="W350" s="68">
        <f t="shared" si="12"/>
        <v>7118.994574</v>
      </c>
      <c r="X350" s="59" t="str">
        <f t="shared" si="13"/>
        <v>1h 58m 38s</v>
      </c>
      <c r="Y350" s="69">
        <f t="shared" si="14"/>
        <v>666225716</v>
      </c>
      <c r="Z350" s="11"/>
      <c r="AG350" s="59"/>
    </row>
    <row r="351">
      <c r="A351" s="8"/>
      <c r="B351" s="56" t="str">
        <f t="shared" si="2"/>
        <v/>
      </c>
      <c r="C351" s="105"/>
      <c r="D351" s="10"/>
      <c r="E351" s="59" t="str">
        <f t="array" ref="E351">IF(COUNTA(C351:C1644)=0,"",SUM((COUNTIF(C$4:C351,Upgrades!$B$3:$B$13)-COUNTIF(C$4:C351,"Sell_"&amp;Upgrades!$B$3:$B$13))*Upgrades!$D$3:$D$13))</f>
        <v/>
      </c>
      <c r="F351" s="66" t="str">
        <f>IFERROR(__xludf.DUMMYFUNCTION("IF(COUNTA(C351:C1644)=0,"""",IF(REGEXMATCH(INDEX(FILTER(C$4:C351,C$4:C351&lt;&gt;""""),ROWS(FILTER(C$4:C351,C$4:C351&lt;&gt;""""))),""^Sell_""),INDEX(FILTER(F$4:F350,C$4:C350&lt;&gt;""""),ROWS(FILTER(C$4:C350,C$4:C350&lt;&gt;""""))),$AC$5+E351))"),"")</f>
        <v/>
      </c>
      <c r="G351" s="10" t="str">
        <f>IFERROR(__xludf.DUMMYFUNCTION("IF(COUNTA(C351:C1644)=0,"""",IF(C351="""",0,IF(REGEXMATCH(C351,""^Sell_""),-ROUNDDOWN(ROUNDUP(INDEX(Upgrades!$C$3:$C$13,MATCH(SUBSTITUTE(C351,""Sell_"",""""),Upgrades!$B$3:$B$13,0))*1.15^(COUNTIF(C$4:C350,SUBSTITUTE(C351,""Sell_"",""""))-COUNTIF(C$4:C350,"&amp;"""Sell_""&amp;SUBSTITUTE(C351,""Sell_"",""""))))/2),ROUNDUP(INDEX(Upgrades!$C$3:$C$13,MATCH(C351,Upgrades!$B$3:$B$13,0))*1.15^(COUNTIF(C$4:C350,C351)-COUNTIF(C$4:C350,""Sell_""&amp;C351))))))"),"")</f>
        <v/>
      </c>
      <c r="H351" s="10" t="str">
        <f t="shared" si="3"/>
        <v/>
      </c>
      <c r="I351" s="68" t="str">
        <f t="shared" si="4"/>
        <v/>
      </c>
      <c r="J351" s="59" t="str">
        <f t="shared" si="5"/>
        <v/>
      </c>
      <c r="K351" s="69" t="str">
        <f t="shared" si="6"/>
        <v/>
      </c>
      <c r="L351" s="60">
        <f t="shared" si="7"/>
        <v>-59.38145</v>
      </c>
      <c r="M351" s="61">
        <f>IFERROR(__xludf.DUMMYFUNCTION("IFS(AND(COUNTA(C351:C1644)=0,COUNTA(Q351:Q1644)=0),"""",OR(AND(K351&gt;=1000000000,OR(Y351&gt;=1000000000,COUNTA(Q351:Q1644)=0)),OR(Y351&gt;=1000000000,AND(COUNTA(C351:C1644)=0,P$3=TRUE))),
ROUNDDOWN((AB$1-AC$1)*MAX(INDEX(T$4:T1644,MATCH(LARGE(FILTER(Y$4:Y1644,Y$4"&amp;":Y1644&lt;1000000000),1),Y$4:Y1644)),INDEX(F$4:F1644,MATCH(LARGE(FILTER(K$4:K1644,K$4:K1644&lt;1000000000),1),K$4:K1644)))),AND(K351&lt;1000000000,COUNTA(C351:C1644)&gt;0,P$3=FALSE),
ROUNDDOWN(INDEX(Y$4:Y1644,MATCH(LARGE(FILTER(W$4:W1644,W$4:W1644&lt;=I351),1),W$4:W1644"&amp;"))+(I351-LARGE(FILTER(W$4:W1644,W$4:W1644&lt;=I351),1))*INDEX(T$4:T1644,MATCH(LARGE(FILTER(W$4:W1644,W$4:W1644&lt;=I351),1),W$4:W1644))-K351),1,
ROUNDDOWN(Y351-INDEX(K$4:K1644,MATCH(LARGE(FILTER(I$4:I1644,I$4:I1644&lt;=W351),1),I$4:I1644))-(W351-LARGE(FILTER(I$4:I"&amp;"1644,I$4:I1644&lt;=W351),1))*INDEX(F$4:F1644,MATCH(LARGE(FILTER(I$4:I1644,I$4:I1644&lt;=W351),1),I$4:I1644))))"),3.141142E7)</f>
        <v>31411420</v>
      </c>
      <c r="N351" s="60">
        <f t="shared" si="8"/>
        <v>-59.38145</v>
      </c>
      <c r="O351" s="61" t="str">
        <f t="shared" si="9"/>
        <v>31,4M</v>
      </c>
      <c r="P351" s="56">
        <f t="shared" si="10"/>
        <v>4</v>
      </c>
      <c r="Q351" s="105" t="s">
        <v>11</v>
      </c>
      <c r="R351" s="10"/>
      <c r="S351" s="59">
        <f t="array" ref="S351">IF(COUNTA(Q351:Q1644)=0,"",SUM((COUNTIF(Q$4:Q351,Upgrades!$B$3:$B$13)-COUNTIF(Q$4:Q351,"Sell_"&amp;Upgrades!$B$3:$B$13))*Upgrades!$D$3:$D$13))</f>
        <v>509485.4</v>
      </c>
      <c r="T351" s="66">
        <f>IFERROR(__xludf.DUMMYFUNCTION("IF(COUNTA(Q351:Q1644)=0,"""",IF(REGEXMATCH(INDEX(FILTER(Q$4:Q351,Q$4:Q351&lt;&gt;""""),ROWS(FILTER(Q$4:Q351,Q$4:Q351&lt;&gt;""""))),""^Sell_""),INDEX(FILTER(T$4:T350,Q$4:Q350&lt;&gt;""""),ROWS(FILTER(Q$4:Q350,Q$4:Q350&lt;&gt;""""))),$AD$5+S351))"),509495.4)</f>
        <v>509495.4</v>
      </c>
      <c r="U351" s="10">
        <f>IFERROR(__xludf.DUMMYFUNCTION("IF(COUNTA(Q351:Q1644)=0,"""",IF(Q351="""",0,IF(REGEXMATCH(Q351,""^Sell_""),-ROUNDDOWN(ROUNDUP(INDEX(Upgrades!$C$3:$C$13,MATCH(SUBSTITUTE(Q351,""Sell_"",""""),Upgrades!$B$3:$B$13,0))*1.15^(COUNTIF(Q$4:Q350,SUBSTITUTE(Q351,""Sell_"",""""))-COUNTIF(Q$4:Q350,"&amp;"""Sell_""&amp;SUBSTITUTE(Q351,""Sell_"",""""))))/2),ROUNDUP(INDEX(Upgrades!$C$3:$C$13,MATCH(Q351,Upgrades!$B$3:$B$13,0))*1.15^(COUNTIF(Q$4:Q350,Q351)-COUNTIF(Q$4:Q350,""Sell_""&amp;Q351))))))"),1.87762344E8)</f>
        <v>187762344</v>
      </c>
      <c r="V351" s="10">
        <f t="shared" si="11"/>
        <v>144982416</v>
      </c>
      <c r="W351" s="68">
        <f t="shared" si="12"/>
        <v>7449.681218</v>
      </c>
      <c r="X351" s="59" t="str">
        <f t="shared" si="13"/>
        <v>2h 04m 09s</v>
      </c>
      <c r="Y351" s="69">
        <f t="shared" si="14"/>
        <v>811208132</v>
      </c>
      <c r="Z351" s="11"/>
      <c r="AG351" s="59"/>
    </row>
    <row r="352">
      <c r="A352" s="8"/>
      <c r="B352" s="56" t="str">
        <f t="shared" si="2"/>
        <v/>
      </c>
      <c r="C352" s="105"/>
      <c r="D352" s="10"/>
      <c r="E352" s="59" t="str">
        <f t="array" ref="E352">IF(COUNTA(C352:C1644)=0,"",SUM((COUNTIF(C$4:C352,Upgrades!$B$3:$B$13)-COUNTIF(C$4:C352,"Sell_"&amp;Upgrades!$B$3:$B$13))*Upgrades!$D$3:$D$13))</f>
        <v/>
      </c>
      <c r="F352" s="66" t="str">
        <f>IFERROR(__xludf.DUMMYFUNCTION("IF(COUNTA(C352:C1644)=0,"""",IF(REGEXMATCH(INDEX(FILTER(C$4:C352,C$4:C352&lt;&gt;""""),ROWS(FILTER(C$4:C352,C$4:C352&lt;&gt;""""))),""^Sell_""),INDEX(FILTER(F$4:F351,C$4:C351&lt;&gt;""""),ROWS(FILTER(C$4:C351,C$4:C351&lt;&gt;""""))),$AC$5+E352))"),"")</f>
        <v/>
      </c>
      <c r="G352" s="10" t="str">
        <f>IFERROR(__xludf.DUMMYFUNCTION("IF(COUNTA(C352:C1644)=0,"""",IF(C352="""",0,IF(REGEXMATCH(C352,""^Sell_""),-ROUNDDOWN(ROUNDUP(INDEX(Upgrades!$C$3:$C$13,MATCH(SUBSTITUTE(C352,""Sell_"",""""),Upgrades!$B$3:$B$13,0))*1.15^(COUNTIF(C$4:C351,SUBSTITUTE(C352,""Sell_"",""""))-COUNTIF(C$4:C351,"&amp;"""Sell_""&amp;SUBSTITUTE(C352,""Sell_"",""""))))/2),ROUNDUP(INDEX(Upgrades!$C$3:$C$13,MATCH(C352,Upgrades!$B$3:$B$13,0))*1.15^(COUNTIF(C$4:C351,C352)-COUNTIF(C$4:C351,""Sell_""&amp;C352))))))"),"")</f>
        <v/>
      </c>
      <c r="H352" s="10" t="str">
        <f t="shared" si="3"/>
        <v/>
      </c>
      <c r="I352" s="68" t="str">
        <f t="shared" si="4"/>
        <v/>
      </c>
      <c r="J352" s="59" t="str">
        <f t="shared" si="5"/>
        <v/>
      </c>
      <c r="K352" s="69" t="str">
        <f t="shared" si="6"/>
        <v/>
      </c>
      <c r="L352" s="60">
        <f t="shared" si="7"/>
        <v>-59.37748</v>
      </c>
      <c r="M352" s="61">
        <f>IFERROR(__xludf.DUMMYFUNCTION("IFS(AND(COUNTA(C352:C1644)=0,COUNTA(Q352:Q1644)=0),"""",OR(AND(K352&gt;=1000000000,OR(Y352&gt;=1000000000,COUNTA(Q352:Q1644)=0)),OR(Y352&gt;=1000000000,AND(COUNTA(C352:C1644)=0,P$3=TRUE))),
ROUNDDOWN((AB$1-AC$1)*MAX(INDEX(T$4:T1644,MATCH(LARGE(FILTER(Y$4:Y1644,Y$4"&amp;":Y1644&lt;1000000000),1),Y$4:Y1644)),INDEX(F$4:F1644,MATCH(LARGE(FILTER(K$4:K1644,K$4:K1644&lt;1000000000),1),K$4:K1644)))),AND(K352&lt;1000000000,COUNTA(C352:C1644)&gt;0,P$3=FALSE),
ROUNDDOWN(INDEX(Y$4:Y1644,MATCH(LARGE(FILTER(W$4:W1644,W$4:W1644&lt;=I352),1),W$4:W1644"&amp;"))+(I352-LARGE(FILTER(W$4:W1644,W$4:W1644&lt;=I352),1))*INDEX(T$4:T1644,MATCH(LARGE(FILTER(W$4:W1644,W$4:W1644&lt;=I352),1),W$4:W1644))-K352),1,
ROUNDDOWN(Y352-INDEX(K$4:K1644,MATCH(LARGE(FILTER(I$4:I1644,I$4:I1644&lt;=W352),1),I$4:I1644))-(W352-LARGE(FILTER(I$4:I"&amp;"1644,I$4:I1644&lt;=W352),1))*INDEX(F$4:F1644,MATCH(LARGE(FILTER(I$4:I1644,I$4:I1644&lt;=W352),1),I$4:I1644))))"),3.1410388E7)</f>
        <v>31410388</v>
      </c>
      <c r="N352" s="60">
        <f t="shared" si="8"/>
        <v>-59.37748</v>
      </c>
      <c r="O352" s="61" t="str">
        <f t="shared" si="9"/>
        <v>31,4M</v>
      </c>
      <c r="P352" s="56">
        <f t="shared" si="10"/>
        <v>1</v>
      </c>
      <c r="Q352" s="105" t="s">
        <v>8</v>
      </c>
      <c r="R352" s="10"/>
      <c r="S352" s="59">
        <f t="array" ref="S352">IF(COUNTA(Q352:Q1644)=0,"",SUM((COUNTIF(Q$4:Q352,Upgrades!$B$3:$B$13)-COUNTIF(Q$4:Q352,"Sell_"&amp;Upgrades!$B$3:$B$13))*Upgrades!$D$3:$D$13))</f>
        <v>509585.4</v>
      </c>
      <c r="T352" s="66">
        <f>IFERROR(__xludf.DUMMYFUNCTION("IF(COUNTA(Q352:Q1644)=0,"""",IF(REGEXMATCH(INDEX(FILTER(Q$4:Q352,Q$4:Q352&lt;&gt;""""),ROWS(FILTER(Q$4:Q352,Q$4:Q352&lt;&gt;""""))),""^Sell_""),INDEX(FILTER(T$4:T351,Q$4:Q351&lt;&gt;""""),ROWS(FILTER(Q$4:Q351,Q$4:Q351&lt;&gt;""""))),$AD$5+S352))"),509595.4)</f>
        <v>509595.4</v>
      </c>
      <c r="U352" s="10">
        <f>IFERROR(__xludf.DUMMYFUNCTION("IF(COUNTA(Q352:Q1644)=0,"""",IF(Q352="""",0,IF(REGEXMATCH(Q352,""^Sell_""),-ROUNDDOWN(ROUNDUP(INDEX(Upgrades!$C$3:$C$13,MATCH(SUBSTITUTE(Q352,""Sell_"",""""),Upgrades!$B$3:$B$13,0))*1.15^(COUNTIF(Q$4:Q351,SUBSTITUTE(Q352,""Sell_"",""""))-COUNTIF(Q$4:Q351,"&amp;"""Sell_""&amp;SUBSTITUTE(Q352,""Sell_"",""""))))/2),ROUNDUP(INDEX(Upgrades!$C$3:$C$13,MATCH(Q352,Upgrades!$B$3:$B$13,0))*1.15^(COUNTIF(Q$4:Q351,Q352)-COUNTIF(Q$4:Q351,""Sell_""&amp;Q352))))))"),40000.0)</f>
        <v>40000</v>
      </c>
      <c r="V352" s="10">
        <f t="shared" si="11"/>
        <v>40000</v>
      </c>
      <c r="W352" s="68">
        <f t="shared" si="12"/>
        <v>7449.759727</v>
      </c>
      <c r="X352" s="59" t="str">
        <f t="shared" si="13"/>
        <v>2h 04m 09s</v>
      </c>
      <c r="Y352" s="69">
        <f t="shared" si="14"/>
        <v>811248132</v>
      </c>
      <c r="Z352" s="11"/>
      <c r="AG352" s="59"/>
    </row>
    <row r="353">
      <c r="A353" s="8"/>
      <c r="B353" s="56" t="str">
        <f t="shared" si="2"/>
        <v/>
      </c>
      <c r="C353" s="105"/>
      <c r="D353" s="10"/>
      <c r="E353" s="59" t="str">
        <f t="array" ref="E353">IF(COUNTA(C353:C1644)=0,"",SUM((COUNTIF(C$4:C353,Upgrades!$B$3:$B$13)-COUNTIF(C$4:C353,"Sell_"&amp;Upgrades!$B$3:$B$13))*Upgrades!$D$3:$D$13))</f>
        <v/>
      </c>
      <c r="F353" s="66" t="str">
        <f>IFERROR(__xludf.DUMMYFUNCTION("IF(COUNTA(C353:C1644)=0,"""",IF(REGEXMATCH(INDEX(FILTER(C$4:C353,C$4:C353&lt;&gt;""""),ROWS(FILTER(C$4:C353,C$4:C353&lt;&gt;""""))),""^Sell_""),INDEX(FILTER(F$4:F352,C$4:C352&lt;&gt;""""),ROWS(FILTER(C$4:C352,C$4:C352&lt;&gt;""""))),$AC$5+E353))"),"")</f>
        <v/>
      </c>
      <c r="G353" s="10" t="str">
        <f>IFERROR(__xludf.DUMMYFUNCTION("IF(COUNTA(C353:C1644)=0,"""",IF(C353="""",0,IF(REGEXMATCH(C353,""^Sell_""),-ROUNDDOWN(ROUNDUP(INDEX(Upgrades!$C$3:$C$13,MATCH(SUBSTITUTE(C353,""Sell_"",""""),Upgrades!$B$3:$B$13,0))*1.15^(COUNTIF(C$4:C352,SUBSTITUTE(C353,""Sell_"",""""))-COUNTIF(C$4:C352,"&amp;"""Sell_""&amp;SUBSTITUTE(C353,""Sell_"",""""))))/2),ROUNDUP(INDEX(Upgrades!$C$3:$C$13,MATCH(C353,Upgrades!$B$3:$B$13,0))*1.15^(COUNTIF(C$4:C352,C353)-COUNTIF(C$4:C352,""Sell_""&amp;C353))))))"),"")</f>
        <v/>
      </c>
      <c r="H353" s="10" t="str">
        <f t="shared" si="3"/>
        <v/>
      </c>
      <c r="I353" s="68" t="str">
        <f t="shared" si="4"/>
        <v/>
      </c>
      <c r="J353" s="59" t="str">
        <f t="shared" si="5"/>
        <v/>
      </c>
      <c r="K353" s="69" t="str">
        <f t="shared" si="6"/>
        <v/>
      </c>
      <c r="L353" s="60">
        <f t="shared" si="7"/>
        <v>-59.37293</v>
      </c>
      <c r="M353" s="61">
        <f>IFERROR(__xludf.DUMMYFUNCTION("IFS(AND(COUNTA(C353:C1644)=0,COUNTA(Q353:Q1644)=0),"""",OR(AND(K353&gt;=1000000000,OR(Y353&gt;=1000000000,COUNTA(Q353:Q1644)=0)),OR(Y353&gt;=1000000000,AND(COUNTA(C353:C1644)=0,P$3=TRUE))),
ROUNDDOWN((AB$1-AC$1)*MAX(INDEX(T$4:T1644,MATCH(LARGE(FILTER(Y$4:Y1644,Y$4"&amp;":Y1644&lt;1000000000),1),Y$4:Y1644)),INDEX(F$4:F1644,MATCH(LARGE(FILTER(K$4:K1644,K$4:K1644&lt;1000000000),1),K$4:K1644)))),AND(K353&lt;1000000000,COUNTA(C353:C1644)&gt;0,P$3=FALSE),
ROUNDDOWN(INDEX(Y$4:Y1644,MATCH(LARGE(FILTER(W$4:W1644,W$4:W1644&lt;=I353),1),W$4:W1644"&amp;"))+(I353-LARGE(FILTER(W$4:W1644,W$4:W1644&lt;=I353),1))*INDEX(T$4:T1644,MATCH(LARGE(FILTER(W$4:W1644,W$4:W1644&lt;=I353),1),W$4:W1644))-K353),1,
ROUNDDOWN(Y353-INDEX(K$4:K1644,MATCH(LARGE(FILTER(I$4:I1644,I$4:I1644&lt;=W353),1),I$4:I1644))-(W353-LARGE(FILTER(I$4:I"&amp;"1644,I$4:I1644&lt;=W353),1))*INDEX(F$4:F1644,MATCH(LARGE(FILTER(I$4:I1644,I$4:I1644&lt;=W353),1),I$4:I1644))))"),3.140921E7)</f>
        <v>31409210</v>
      </c>
      <c r="N353" s="60">
        <f t="shared" si="8"/>
        <v>-59.37293</v>
      </c>
      <c r="O353" s="61" t="str">
        <f t="shared" si="9"/>
        <v>31,4M</v>
      </c>
      <c r="P353" s="56">
        <f t="shared" si="10"/>
        <v>2</v>
      </c>
      <c r="Q353" s="105" t="s">
        <v>8</v>
      </c>
      <c r="R353" s="10"/>
      <c r="S353" s="59">
        <f t="array" ref="S353">IF(COUNTA(Q353:Q1644)=0,"",SUM((COUNTIF(Q$4:Q353,Upgrades!$B$3:$B$13)-COUNTIF(Q$4:Q353,"Sell_"&amp;Upgrades!$B$3:$B$13))*Upgrades!$D$3:$D$13))</f>
        <v>509685.4</v>
      </c>
      <c r="T353" s="66">
        <f>IFERROR(__xludf.DUMMYFUNCTION("IF(COUNTA(Q353:Q1644)=0,"""",IF(REGEXMATCH(INDEX(FILTER(Q$4:Q353,Q$4:Q353&lt;&gt;""""),ROWS(FILTER(Q$4:Q353,Q$4:Q353&lt;&gt;""""))),""^Sell_""),INDEX(FILTER(T$4:T352,Q$4:Q352&lt;&gt;""""),ROWS(FILTER(Q$4:Q352,Q$4:Q352&lt;&gt;""""))),$AD$5+S353))"),509695.4)</f>
        <v>509695.4</v>
      </c>
      <c r="U353" s="10">
        <f>IFERROR(__xludf.DUMMYFUNCTION("IF(COUNTA(Q353:Q1644)=0,"""",IF(Q353="""",0,IF(REGEXMATCH(Q353,""^Sell_""),-ROUNDDOWN(ROUNDUP(INDEX(Upgrades!$C$3:$C$13,MATCH(SUBSTITUTE(Q353,""Sell_"",""""),Upgrades!$B$3:$B$13,0))*1.15^(COUNTIF(Q$4:Q352,SUBSTITUTE(Q353,""Sell_"",""""))-COUNTIF(Q$4:Q352,"&amp;"""Sell_""&amp;SUBSTITUTE(Q353,""Sell_"",""""))))/2),ROUNDUP(INDEX(Upgrades!$C$3:$C$13,MATCH(Q353,Upgrades!$B$3:$B$13,0))*1.15^(COUNTIF(Q$4:Q352,Q353)-COUNTIF(Q$4:Q352,""Sell_""&amp;Q353))))))"),46000.0)</f>
        <v>46000</v>
      </c>
      <c r="V353" s="10">
        <f t="shared" si="11"/>
        <v>46000</v>
      </c>
      <c r="W353" s="68">
        <f t="shared" si="12"/>
        <v>7449.849994</v>
      </c>
      <c r="X353" s="59" t="str">
        <f t="shared" si="13"/>
        <v>2h 04m 09s</v>
      </c>
      <c r="Y353" s="69">
        <f t="shared" si="14"/>
        <v>811294132</v>
      </c>
      <c r="Z353" s="11"/>
      <c r="AG353" s="59"/>
    </row>
    <row r="354">
      <c r="A354" s="8"/>
      <c r="B354" s="56" t="str">
        <f t="shared" si="2"/>
        <v/>
      </c>
      <c r="C354" s="105"/>
      <c r="D354" s="10"/>
      <c r="E354" s="59" t="str">
        <f t="array" ref="E354">IF(COUNTA(C354:C1644)=0,"",SUM((COUNTIF(C$4:C354,Upgrades!$B$3:$B$13)-COUNTIF(C$4:C354,"Sell_"&amp;Upgrades!$B$3:$B$13))*Upgrades!$D$3:$D$13))</f>
        <v/>
      </c>
      <c r="F354" s="66" t="str">
        <f>IFERROR(__xludf.DUMMYFUNCTION("IF(COUNTA(C354:C1644)=0,"""",IF(REGEXMATCH(INDEX(FILTER(C$4:C354,C$4:C354&lt;&gt;""""),ROWS(FILTER(C$4:C354,C$4:C354&lt;&gt;""""))),""^Sell_""),INDEX(FILTER(F$4:F353,C$4:C353&lt;&gt;""""),ROWS(FILTER(C$4:C353,C$4:C353&lt;&gt;""""))),$AC$5+E354))"),"")</f>
        <v/>
      </c>
      <c r="G354" s="10" t="str">
        <f>IFERROR(__xludf.DUMMYFUNCTION("IF(COUNTA(C354:C1644)=0,"""",IF(C354="""",0,IF(REGEXMATCH(C354,""^Sell_""),-ROUNDDOWN(ROUNDUP(INDEX(Upgrades!$C$3:$C$13,MATCH(SUBSTITUTE(C354,""Sell_"",""""),Upgrades!$B$3:$B$13,0))*1.15^(COUNTIF(C$4:C353,SUBSTITUTE(C354,""Sell_"",""""))-COUNTIF(C$4:C353,"&amp;"""Sell_""&amp;SUBSTITUTE(C354,""Sell_"",""""))))/2),ROUNDUP(INDEX(Upgrades!$C$3:$C$13,MATCH(C354,Upgrades!$B$3:$B$13,0))*1.15^(COUNTIF(C$4:C353,C354)-COUNTIF(C$4:C353,""Sell_""&amp;C354))))))"),"")</f>
        <v/>
      </c>
      <c r="H354" s="10" t="str">
        <f t="shared" si="3"/>
        <v/>
      </c>
      <c r="I354" s="68" t="str">
        <f t="shared" si="4"/>
        <v/>
      </c>
      <c r="J354" s="59" t="str">
        <f t="shared" si="5"/>
        <v/>
      </c>
      <c r="K354" s="69" t="str">
        <f t="shared" si="6"/>
        <v/>
      </c>
      <c r="L354" s="60">
        <f t="shared" si="7"/>
        <v>-59.35323</v>
      </c>
      <c r="M354" s="61">
        <f>IFERROR(__xludf.DUMMYFUNCTION("IFS(AND(COUNTA(C354:C1644)=0,COUNTA(Q354:Q1644)=0),"""",OR(AND(K354&gt;=1000000000,OR(Y354&gt;=1000000000,COUNTA(Q354:Q1644)=0)),OR(Y354&gt;=1000000000,AND(COUNTA(C354:C1644)=0,P$3=TRUE))),
ROUNDDOWN((AB$1-AC$1)*MAX(INDEX(T$4:T1644,MATCH(LARGE(FILTER(Y$4:Y1644,Y$4"&amp;":Y1644&lt;1000000000),1),Y$4:Y1644)),INDEX(F$4:F1644,MATCH(LARGE(FILTER(K$4:K1644,K$4:K1644&lt;1000000000),1),K$4:K1644)))),AND(K354&lt;1000000000,COUNTA(C354:C1644)&gt;0,P$3=FALSE),
ROUNDDOWN(INDEX(Y$4:Y1644,MATCH(LARGE(FILTER(W$4:W1644,W$4:W1644&lt;=I354),1),W$4:W1644"&amp;"))+(I354-LARGE(FILTER(W$4:W1644,W$4:W1644&lt;=I354),1))*INDEX(T$4:T1644,MATCH(LARGE(FILTER(W$4:W1644,W$4:W1644&lt;=I354),1),W$4:W1644))-K354),1,
ROUNDDOWN(Y354-INDEX(K$4:K1644,MATCH(LARGE(FILTER(I$4:I1644,I$4:I1644&lt;=W354),1),I$4:I1644))-(W354-LARGE(FILTER(I$4:I"&amp;"1644,I$4:I1644&lt;=W354),1))*INDEX(F$4:F1644,MATCH(LARGE(FILTER(I$4:I1644,I$4:I1644&lt;=W354),1),I$4:I1644))))"),3.140413E7)</f>
        <v>31404130</v>
      </c>
      <c r="N354" s="60">
        <f t="shared" si="8"/>
        <v>-59.35323</v>
      </c>
      <c r="O354" s="61" t="str">
        <f t="shared" si="9"/>
        <v>31,4M</v>
      </c>
      <c r="P354" s="56">
        <f t="shared" si="10"/>
        <v>1</v>
      </c>
      <c r="Q354" s="105" t="s">
        <v>9</v>
      </c>
      <c r="R354" s="10"/>
      <c r="S354" s="59">
        <f t="array" ref="S354">IF(COUNTA(Q354:Q1644)=0,"",SUM((COUNTIF(Q$4:Q354,Upgrades!$B$3:$B$13)-COUNTIF(Q$4:Q354,"Sell_"&amp;Upgrades!$B$3:$B$13))*Upgrades!$D$3:$D$13))</f>
        <v>510085.4</v>
      </c>
      <c r="T354" s="66">
        <f>IFERROR(__xludf.DUMMYFUNCTION("IF(COUNTA(Q354:Q1644)=0,"""",IF(REGEXMATCH(INDEX(FILTER(Q$4:Q354,Q$4:Q354&lt;&gt;""""),ROWS(FILTER(Q$4:Q354,Q$4:Q354&lt;&gt;""""))),""^Sell_""),INDEX(FILTER(T$4:T353,Q$4:Q353&lt;&gt;""""),ROWS(FILTER(Q$4:Q353,Q$4:Q353&lt;&gt;""""))),$AD$5+S354))"),510095.4)</f>
        <v>510095.4</v>
      </c>
      <c r="U354" s="10">
        <f>IFERROR(__xludf.DUMMYFUNCTION("IF(COUNTA(Q354:Q1644)=0,"""",IF(Q354="""",0,IF(REGEXMATCH(Q354,""^Sell_""),-ROUNDDOWN(ROUNDUP(INDEX(Upgrades!$C$3:$C$13,MATCH(SUBSTITUTE(Q354,""Sell_"",""""),Upgrades!$B$3:$B$13,0))*1.15^(COUNTIF(Q$4:Q353,SUBSTITUTE(Q354,""Sell_"",""""))-COUNTIF(Q$4:Q353,"&amp;"""Sell_""&amp;SUBSTITUTE(Q354,""Sell_"",""""))))/2),ROUNDUP(INDEX(Upgrades!$C$3:$C$13,MATCH(Q354,Upgrades!$B$3:$B$13,0))*1.15^(COUNTIF(Q$4:Q353,Q354)-COUNTIF(Q$4:Q353,""Sell_""&amp;Q354))))))"),200000.0)</f>
        <v>200000</v>
      </c>
      <c r="V354" s="10">
        <f t="shared" si="11"/>
        <v>200000</v>
      </c>
      <c r="W354" s="68">
        <f t="shared" si="12"/>
        <v>7450.242386</v>
      </c>
      <c r="X354" s="59" t="str">
        <f t="shared" si="13"/>
        <v>2h 04m 10s</v>
      </c>
      <c r="Y354" s="69">
        <f t="shared" si="14"/>
        <v>811494132</v>
      </c>
      <c r="Z354" s="11"/>
      <c r="AG354" s="59"/>
    </row>
    <row r="355">
      <c r="A355" s="8"/>
      <c r="B355" s="56" t="str">
        <f t="shared" si="2"/>
        <v/>
      </c>
      <c r="C355" s="105"/>
      <c r="D355" s="10"/>
      <c r="E355" s="59" t="str">
        <f t="array" ref="E355">IF(COUNTA(C355:C1644)=0,"",SUM((COUNTIF(C$4:C355,Upgrades!$B$3:$B$13)-COUNTIF(C$4:C355,"Sell_"&amp;Upgrades!$B$3:$B$13))*Upgrades!$D$3:$D$13))</f>
        <v/>
      </c>
      <c r="F355" s="66" t="str">
        <f>IFERROR(__xludf.DUMMYFUNCTION("IF(COUNTA(C355:C1644)=0,"""",IF(REGEXMATCH(INDEX(FILTER(C$4:C355,C$4:C355&lt;&gt;""""),ROWS(FILTER(C$4:C355,C$4:C355&lt;&gt;""""))),""^Sell_""),INDEX(FILTER(F$4:F354,C$4:C354&lt;&gt;""""),ROWS(FILTER(C$4:C354,C$4:C354&lt;&gt;""""))),$AC$5+E355))"),"")</f>
        <v/>
      </c>
      <c r="G355" s="10" t="str">
        <f>IFERROR(__xludf.DUMMYFUNCTION("IF(COUNTA(C355:C1644)=0,"""",IF(C355="""",0,IF(REGEXMATCH(C355,""^Sell_""),-ROUNDDOWN(ROUNDUP(INDEX(Upgrades!$C$3:$C$13,MATCH(SUBSTITUTE(C355,""Sell_"",""""),Upgrades!$B$3:$B$13,0))*1.15^(COUNTIF(C$4:C354,SUBSTITUTE(C355,""Sell_"",""""))-COUNTIF(C$4:C354,"&amp;"""Sell_""&amp;SUBSTITUTE(C355,""Sell_"",""""))))/2),ROUNDUP(INDEX(Upgrades!$C$3:$C$13,MATCH(C355,Upgrades!$B$3:$B$13,0))*1.15^(COUNTIF(C$4:C354,C355)-COUNTIF(C$4:C354,""Sell_""&amp;C355))))))"),"")</f>
        <v/>
      </c>
      <c r="H355" s="10" t="str">
        <f t="shared" si="3"/>
        <v/>
      </c>
      <c r="I355" s="68" t="str">
        <f t="shared" si="4"/>
        <v/>
      </c>
      <c r="J355" s="59" t="str">
        <f t="shared" si="5"/>
        <v/>
      </c>
      <c r="K355" s="69" t="str">
        <f t="shared" si="6"/>
        <v/>
      </c>
      <c r="L355" s="60">
        <f t="shared" si="7"/>
        <v>-59.3481</v>
      </c>
      <c r="M355" s="61">
        <f>IFERROR(__xludf.DUMMYFUNCTION("IFS(AND(COUNTA(C355:C1644)=0,COUNTA(Q355:Q1644)=0),"""",OR(AND(K355&gt;=1000000000,OR(Y355&gt;=1000000000,COUNTA(Q355:Q1644)=0)),OR(Y355&gt;=1000000000,AND(COUNTA(C355:C1644)=0,P$3=TRUE))),
ROUNDDOWN((AB$1-AC$1)*MAX(INDEX(T$4:T1644,MATCH(LARGE(FILTER(Y$4:Y1644,Y$4"&amp;":Y1644&lt;1000000000),1),Y$4:Y1644)),INDEX(F$4:F1644,MATCH(LARGE(FILTER(K$4:K1644,K$4:K1644&lt;1000000000),1),K$4:K1644)))),AND(K355&lt;1000000000,COUNTA(C355:C1644)&gt;0,P$3=FALSE),
ROUNDDOWN(INDEX(Y$4:Y1644,MATCH(LARGE(FILTER(W$4:W1644,W$4:W1644&lt;=I355),1),W$4:W1644"&amp;"))+(I355-LARGE(FILTER(W$4:W1644,W$4:W1644&lt;=I355),1))*INDEX(T$4:T1644,MATCH(LARGE(FILTER(W$4:W1644,W$4:W1644&lt;=I355),1),W$4:W1644))-K355),1,
ROUNDDOWN(Y355-INDEX(K$4:K1644,MATCH(LARGE(FILTER(I$4:I1644,I$4:I1644&lt;=W355),1),I$4:I1644))-(W355-LARGE(FILTER(I$4:I"&amp;"1644,I$4:I1644&lt;=W355),1))*INDEX(F$4:F1644,MATCH(LARGE(FILTER(I$4:I1644,I$4:I1644&lt;=W355),1),I$4:I1644))))"),3.1402829E7)</f>
        <v>31402829</v>
      </c>
      <c r="N355" s="60">
        <f t="shared" si="8"/>
        <v>-59.3481</v>
      </c>
      <c r="O355" s="61" t="str">
        <f t="shared" si="9"/>
        <v>31,4M</v>
      </c>
      <c r="P355" s="56">
        <f t="shared" si="10"/>
        <v>3</v>
      </c>
      <c r="Q355" s="105" t="s">
        <v>8</v>
      </c>
      <c r="R355" s="10"/>
      <c r="S355" s="59">
        <f t="array" ref="S355">IF(COUNTA(Q355:Q1644)=0,"",SUM((COUNTIF(Q$4:Q355,Upgrades!$B$3:$B$13)-COUNTIF(Q$4:Q355,"Sell_"&amp;Upgrades!$B$3:$B$13))*Upgrades!$D$3:$D$13))</f>
        <v>510185.4</v>
      </c>
      <c r="T355" s="66">
        <f>IFERROR(__xludf.DUMMYFUNCTION("IF(COUNTA(Q355:Q1644)=0,"""",IF(REGEXMATCH(INDEX(FILTER(Q$4:Q355,Q$4:Q355&lt;&gt;""""),ROWS(FILTER(Q$4:Q355,Q$4:Q355&lt;&gt;""""))),""^Sell_""),INDEX(FILTER(T$4:T354,Q$4:Q354&lt;&gt;""""),ROWS(FILTER(Q$4:Q354,Q$4:Q354&lt;&gt;""""))),$AD$5+S355))"),510195.4)</f>
        <v>510195.4</v>
      </c>
      <c r="U355" s="10">
        <f>IFERROR(__xludf.DUMMYFUNCTION("IF(COUNTA(Q355:Q1644)=0,"""",IF(Q355="""",0,IF(REGEXMATCH(Q355,""^Sell_""),-ROUNDDOWN(ROUNDUP(INDEX(Upgrades!$C$3:$C$13,MATCH(SUBSTITUTE(Q355,""Sell_"",""""),Upgrades!$B$3:$B$13,0))*1.15^(COUNTIF(Q$4:Q354,SUBSTITUTE(Q355,""Sell_"",""""))-COUNTIF(Q$4:Q354,"&amp;"""Sell_""&amp;SUBSTITUTE(Q355,""Sell_"",""""))))/2),ROUNDUP(INDEX(Upgrades!$C$3:$C$13,MATCH(Q355,Upgrades!$B$3:$B$13,0))*1.15^(COUNTIF(Q$4:Q354,Q355)-COUNTIF(Q$4:Q354,""Sell_""&amp;Q355))))))"),52900.0)</f>
        <v>52900</v>
      </c>
      <c r="V355" s="10">
        <f t="shared" si="11"/>
        <v>52900</v>
      </c>
      <c r="W355" s="68">
        <f t="shared" si="12"/>
        <v>7450.346092</v>
      </c>
      <c r="X355" s="59" t="str">
        <f t="shared" si="13"/>
        <v>2h 04m 10s</v>
      </c>
      <c r="Y355" s="69">
        <f t="shared" si="14"/>
        <v>811547032</v>
      </c>
      <c r="Z355" s="11"/>
      <c r="AG355" s="59"/>
    </row>
    <row r="356">
      <c r="A356" s="8"/>
      <c r="B356" s="56" t="str">
        <f t="shared" si="2"/>
        <v/>
      </c>
      <c r="C356" s="105"/>
      <c r="D356" s="10"/>
      <c r="E356" s="59" t="str">
        <f t="array" ref="E356">IF(COUNTA(C356:C1644)=0,"",SUM((COUNTIF(C$4:C356,Upgrades!$B$3:$B$13)-COUNTIF(C$4:C356,"Sell_"&amp;Upgrades!$B$3:$B$13))*Upgrades!$D$3:$D$13))</f>
        <v/>
      </c>
      <c r="F356" s="66" t="str">
        <f>IFERROR(__xludf.DUMMYFUNCTION("IF(COUNTA(C356:C1644)=0,"""",IF(REGEXMATCH(INDEX(FILTER(C$4:C356,C$4:C356&lt;&gt;""""),ROWS(FILTER(C$4:C356,C$4:C356&lt;&gt;""""))),""^Sell_""),INDEX(FILTER(F$4:F355,C$4:C355&lt;&gt;""""),ROWS(FILTER(C$4:C355,C$4:C355&lt;&gt;""""))),$AC$5+E356))"),"")</f>
        <v/>
      </c>
      <c r="G356" s="10" t="str">
        <f>IFERROR(__xludf.DUMMYFUNCTION("IF(COUNTA(C356:C1644)=0,"""",IF(C356="""",0,IF(REGEXMATCH(C356,""^Sell_""),-ROUNDDOWN(ROUNDUP(INDEX(Upgrades!$C$3:$C$13,MATCH(SUBSTITUTE(C356,""Sell_"",""""),Upgrades!$B$3:$B$13,0))*1.15^(COUNTIF(C$4:C355,SUBSTITUTE(C356,""Sell_"",""""))-COUNTIF(C$4:C355,"&amp;"""Sell_""&amp;SUBSTITUTE(C356,""Sell_"",""""))))/2),ROUNDUP(INDEX(Upgrades!$C$3:$C$13,MATCH(C356,Upgrades!$B$3:$B$13,0))*1.15^(COUNTIF(C$4:C355,C356)-COUNTIF(C$4:C355,""Sell_""&amp;C356))))))"),"")</f>
        <v/>
      </c>
      <c r="H356" s="10" t="str">
        <f t="shared" si="3"/>
        <v/>
      </c>
      <c r="I356" s="68" t="str">
        <f t="shared" si="4"/>
        <v/>
      </c>
      <c r="J356" s="59" t="str">
        <f t="shared" si="5"/>
        <v/>
      </c>
      <c r="K356" s="69" t="str">
        <f t="shared" si="6"/>
        <v/>
      </c>
      <c r="L356" s="60">
        <f t="shared" si="7"/>
        <v>-59.32588</v>
      </c>
      <c r="M356" s="61">
        <f>IFERROR(__xludf.DUMMYFUNCTION("IFS(AND(COUNTA(C356:C1644)=0,COUNTA(Q356:Q1644)=0),"""",OR(AND(K356&gt;=1000000000,OR(Y356&gt;=1000000000,COUNTA(Q356:Q1644)=0)),OR(Y356&gt;=1000000000,AND(COUNTA(C356:C1644)=0,P$3=TRUE))),
ROUNDDOWN((AB$1-AC$1)*MAX(INDEX(T$4:T1644,MATCH(LARGE(FILTER(Y$4:Y1644,Y$4"&amp;":Y1644&lt;1000000000),1),Y$4:Y1644)),INDEX(F$4:F1644,MATCH(LARGE(FILTER(K$4:K1644,K$4:K1644&lt;1000000000),1),K$4:K1644)))),AND(K356&lt;1000000000,COUNTA(C356:C1644)&gt;0,P$3=FALSE),
ROUNDDOWN(INDEX(Y$4:Y1644,MATCH(LARGE(FILTER(W$4:W1644,W$4:W1644&lt;=I356),1),W$4:W1644"&amp;"))+(I356-LARGE(FILTER(W$4:W1644,W$4:W1644&lt;=I356),1))*INDEX(T$4:T1644,MATCH(LARGE(FILTER(W$4:W1644,W$4:W1644&lt;=I356),1),W$4:W1644))-K356),1,
ROUNDDOWN(Y356-INDEX(K$4:K1644,MATCH(LARGE(FILTER(I$4:I1644,I$4:I1644&lt;=W356),1),I$4:I1644))-(W356-LARGE(FILTER(I$4:I"&amp;"1644,I$4:I1644&lt;=W356),1))*INDEX(F$4:F1644,MATCH(LARGE(FILTER(I$4:I1644,I$4:I1644&lt;=W356),1),I$4:I1644))))"),3.1397218E7)</f>
        <v>31397218</v>
      </c>
      <c r="N356" s="60">
        <f t="shared" si="8"/>
        <v>-59.32588</v>
      </c>
      <c r="O356" s="61" t="str">
        <f t="shared" si="9"/>
        <v>31,4M</v>
      </c>
      <c r="P356" s="56">
        <f t="shared" si="10"/>
        <v>2</v>
      </c>
      <c r="Q356" s="105" t="s">
        <v>9</v>
      </c>
      <c r="R356" s="10"/>
      <c r="S356" s="59">
        <f t="array" ref="S356">IF(COUNTA(Q356:Q1644)=0,"",SUM((COUNTIF(Q$4:Q356,Upgrades!$B$3:$B$13)-COUNTIF(Q$4:Q356,"Sell_"&amp;Upgrades!$B$3:$B$13))*Upgrades!$D$3:$D$13))</f>
        <v>510585.4</v>
      </c>
      <c r="T356" s="66">
        <f>IFERROR(__xludf.DUMMYFUNCTION("IF(COUNTA(Q356:Q1644)=0,"""",IF(REGEXMATCH(INDEX(FILTER(Q$4:Q356,Q$4:Q356&lt;&gt;""""),ROWS(FILTER(Q$4:Q356,Q$4:Q356&lt;&gt;""""))),""^Sell_""),INDEX(FILTER(T$4:T355,Q$4:Q355&lt;&gt;""""),ROWS(FILTER(Q$4:Q355,Q$4:Q355&lt;&gt;""""))),$AD$5+S356))"),510595.4)</f>
        <v>510595.4</v>
      </c>
      <c r="U356" s="10">
        <f>IFERROR(__xludf.DUMMYFUNCTION("IF(COUNTA(Q356:Q1644)=0,"""",IF(Q356="""",0,IF(REGEXMATCH(Q356,""^Sell_""),-ROUNDDOWN(ROUNDUP(INDEX(Upgrades!$C$3:$C$13,MATCH(SUBSTITUTE(Q356,""Sell_"",""""),Upgrades!$B$3:$B$13,0))*1.15^(COUNTIF(Q$4:Q355,SUBSTITUTE(Q356,""Sell_"",""""))-COUNTIF(Q$4:Q355,"&amp;"""Sell_""&amp;SUBSTITUTE(Q356,""Sell_"",""""))))/2),ROUNDUP(INDEX(Upgrades!$C$3:$C$13,MATCH(Q356,Upgrades!$B$3:$B$13,0))*1.15^(COUNTIF(Q$4:Q355,Q356)-COUNTIF(Q$4:Q355,""Sell_""&amp;Q356))))))"),230000.0)</f>
        <v>230000</v>
      </c>
      <c r="V356" s="10">
        <f t="shared" si="11"/>
        <v>230000</v>
      </c>
      <c r="W356" s="68">
        <f t="shared" si="12"/>
        <v>7450.796899</v>
      </c>
      <c r="X356" s="59" t="str">
        <f t="shared" si="13"/>
        <v>2h 04m 10s</v>
      </c>
      <c r="Y356" s="69">
        <f t="shared" si="14"/>
        <v>811777032</v>
      </c>
      <c r="Z356" s="11"/>
      <c r="AG356" s="59"/>
    </row>
    <row r="357">
      <c r="A357" s="8"/>
      <c r="B357" s="56" t="str">
        <f t="shared" si="2"/>
        <v/>
      </c>
      <c r="C357" s="105"/>
      <c r="D357" s="10"/>
      <c r="E357" s="59" t="str">
        <f t="array" ref="E357">IF(COUNTA(C357:C1644)=0,"",SUM((COUNTIF(C$4:C357,Upgrades!$B$3:$B$13)-COUNTIF(C$4:C357,"Sell_"&amp;Upgrades!$B$3:$B$13))*Upgrades!$D$3:$D$13))</f>
        <v/>
      </c>
      <c r="F357" s="66" t="str">
        <f>IFERROR(__xludf.DUMMYFUNCTION("IF(COUNTA(C357:C1644)=0,"""",IF(REGEXMATCH(INDEX(FILTER(C$4:C357,C$4:C357&lt;&gt;""""),ROWS(FILTER(C$4:C357,C$4:C357&lt;&gt;""""))),""^Sell_""),INDEX(FILTER(F$4:F356,C$4:C356&lt;&gt;""""),ROWS(FILTER(C$4:C356,C$4:C356&lt;&gt;""""))),$AC$5+E357))"),"")</f>
        <v/>
      </c>
      <c r="G357" s="10" t="str">
        <f>IFERROR(__xludf.DUMMYFUNCTION("IF(COUNTA(C357:C1644)=0,"""",IF(C357="""",0,IF(REGEXMATCH(C357,""^Sell_""),-ROUNDDOWN(ROUNDUP(INDEX(Upgrades!$C$3:$C$13,MATCH(SUBSTITUTE(C357,""Sell_"",""""),Upgrades!$B$3:$B$13,0))*1.15^(COUNTIF(C$4:C356,SUBSTITUTE(C357,""Sell_"",""""))-COUNTIF(C$4:C356,"&amp;"""Sell_""&amp;SUBSTITUTE(C357,""Sell_"",""""))))/2),ROUNDUP(INDEX(Upgrades!$C$3:$C$13,MATCH(C357,Upgrades!$B$3:$B$13,0))*1.15^(COUNTIF(C$4:C356,C357)-COUNTIF(C$4:C356,""Sell_""&amp;C357))))))"),"")</f>
        <v/>
      </c>
      <c r="H357" s="10" t="str">
        <f t="shared" si="3"/>
        <v/>
      </c>
      <c r="I357" s="68" t="str">
        <f t="shared" si="4"/>
        <v/>
      </c>
      <c r="J357" s="59" t="str">
        <f t="shared" si="5"/>
        <v/>
      </c>
      <c r="K357" s="69" t="str">
        <f t="shared" si="6"/>
        <v/>
      </c>
      <c r="L357" s="60">
        <f t="shared" si="7"/>
        <v>-59.32002</v>
      </c>
      <c r="M357" s="61">
        <f>IFERROR(__xludf.DUMMYFUNCTION("IFS(AND(COUNTA(C357:C1644)=0,COUNTA(Q357:Q1644)=0),"""",OR(AND(K357&gt;=1000000000,OR(Y357&gt;=1000000000,COUNTA(Q357:Q1644)=0)),OR(Y357&gt;=1000000000,AND(COUNTA(C357:C1644)=0,P$3=TRUE))),
ROUNDDOWN((AB$1-AC$1)*MAX(INDEX(T$4:T1644,MATCH(LARGE(FILTER(Y$4:Y1644,Y$4"&amp;":Y1644&lt;1000000000),1),Y$4:Y1644)),INDEX(F$4:F1644,MATCH(LARGE(FILTER(K$4:K1644,K$4:K1644&lt;1000000000),1),K$4:K1644)))),AND(K357&lt;1000000000,COUNTA(C357:C1644)&gt;0,P$3=FALSE),
ROUNDDOWN(INDEX(Y$4:Y1644,MATCH(LARGE(FILTER(W$4:W1644,W$4:W1644&lt;=I357),1),W$4:W1644"&amp;"))+(I357-LARGE(FILTER(W$4:W1644,W$4:W1644&lt;=I357),1))*INDEX(T$4:T1644,MATCH(LARGE(FILTER(W$4:W1644,W$4:W1644&lt;=I357),1),W$4:W1644))-K357),1,
ROUNDDOWN(Y357-INDEX(K$4:K1644,MATCH(LARGE(FILTER(I$4:I1644,I$4:I1644&lt;=W357),1),I$4:I1644))-(W357-LARGE(FILTER(I$4:I"&amp;"1644,I$4:I1644&lt;=W357),1))*INDEX(F$4:F1644,MATCH(LARGE(FILTER(I$4:I1644,I$4:I1644&lt;=W357),1),I$4:I1644))))"),3.1395783E7)</f>
        <v>31395783</v>
      </c>
      <c r="N357" s="60">
        <f t="shared" si="8"/>
        <v>-59.32002</v>
      </c>
      <c r="O357" s="61" t="str">
        <f t="shared" si="9"/>
        <v>31,4M</v>
      </c>
      <c r="P357" s="56">
        <f t="shared" si="10"/>
        <v>4</v>
      </c>
      <c r="Q357" s="105" t="s">
        <v>8</v>
      </c>
      <c r="R357" s="10"/>
      <c r="S357" s="59">
        <f t="array" ref="S357">IF(COUNTA(Q357:Q1644)=0,"",SUM((COUNTIF(Q$4:Q357,Upgrades!$B$3:$B$13)-COUNTIF(Q$4:Q357,"Sell_"&amp;Upgrades!$B$3:$B$13))*Upgrades!$D$3:$D$13))</f>
        <v>510685.4</v>
      </c>
      <c r="T357" s="66">
        <f>IFERROR(__xludf.DUMMYFUNCTION("IF(COUNTA(Q357:Q1644)=0,"""",IF(REGEXMATCH(INDEX(FILTER(Q$4:Q357,Q$4:Q357&lt;&gt;""""),ROWS(FILTER(Q$4:Q357,Q$4:Q357&lt;&gt;""""))),""^Sell_""),INDEX(FILTER(T$4:T356,Q$4:Q356&lt;&gt;""""),ROWS(FILTER(Q$4:Q356,Q$4:Q356&lt;&gt;""""))),$AD$5+S357))"),510695.4)</f>
        <v>510695.4</v>
      </c>
      <c r="U357" s="10">
        <f>IFERROR(__xludf.DUMMYFUNCTION("IF(COUNTA(Q357:Q1644)=0,"""",IF(Q357="""",0,IF(REGEXMATCH(Q357,""^Sell_""),-ROUNDDOWN(ROUNDUP(INDEX(Upgrades!$C$3:$C$13,MATCH(SUBSTITUTE(Q357,""Sell_"",""""),Upgrades!$B$3:$B$13,0))*1.15^(COUNTIF(Q$4:Q356,SUBSTITUTE(Q357,""Sell_"",""""))-COUNTIF(Q$4:Q356,"&amp;"""Sell_""&amp;SUBSTITUTE(Q357,""Sell_"",""""))))/2),ROUNDUP(INDEX(Upgrades!$C$3:$C$13,MATCH(Q357,Upgrades!$B$3:$B$13,0))*1.15^(COUNTIF(Q$4:Q356,Q357)-COUNTIF(Q$4:Q356,""Sell_""&amp;Q357))))))"),60835.0)</f>
        <v>60835</v>
      </c>
      <c r="V357" s="10">
        <f t="shared" si="11"/>
        <v>60835</v>
      </c>
      <c r="W357" s="68">
        <f t="shared" si="12"/>
        <v>7450.916045</v>
      </c>
      <c r="X357" s="59" t="str">
        <f t="shared" si="13"/>
        <v>2h 04m 10s</v>
      </c>
      <c r="Y357" s="69">
        <f t="shared" si="14"/>
        <v>811837867</v>
      </c>
      <c r="Z357" s="11"/>
      <c r="AG357" s="59"/>
    </row>
    <row r="358">
      <c r="A358" s="8"/>
      <c r="B358" s="56" t="str">
        <f t="shared" si="2"/>
        <v/>
      </c>
      <c r="C358" s="105"/>
      <c r="D358" s="10"/>
      <c r="E358" s="59" t="str">
        <f t="array" ref="E358">IF(COUNTA(C358:C1644)=0,"",SUM((COUNTIF(C$4:C358,Upgrades!$B$3:$B$13)-COUNTIF(C$4:C358,"Sell_"&amp;Upgrades!$B$3:$B$13))*Upgrades!$D$3:$D$13))</f>
        <v/>
      </c>
      <c r="F358" s="66" t="str">
        <f>IFERROR(__xludf.DUMMYFUNCTION("IF(COUNTA(C358:C1644)=0,"""",IF(REGEXMATCH(INDEX(FILTER(C$4:C358,C$4:C358&lt;&gt;""""),ROWS(FILTER(C$4:C358,C$4:C358&lt;&gt;""""))),""^Sell_""),INDEX(FILTER(F$4:F357,C$4:C357&lt;&gt;""""),ROWS(FILTER(C$4:C357,C$4:C357&lt;&gt;""""))),$AC$5+E358))"),"")</f>
        <v/>
      </c>
      <c r="G358" s="10" t="str">
        <f>IFERROR(__xludf.DUMMYFUNCTION("IF(COUNTA(C358:C1644)=0,"""",IF(C358="""",0,IF(REGEXMATCH(C358,""^Sell_""),-ROUNDDOWN(ROUNDUP(INDEX(Upgrades!$C$3:$C$13,MATCH(SUBSTITUTE(C358,""Sell_"",""""),Upgrades!$B$3:$B$13,0))*1.15^(COUNTIF(C$4:C357,SUBSTITUTE(C358,""Sell_"",""""))-COUNTIF(C$4:C357,"&amp;"""Sell_""&amp;SUBSTITUTE(C358,""Sell_"",""""))))/2),ROUNDUP(INDEX(Upgrades!$C$3:$C$13,MATCH(C358,Upgrades!$B$3:$B$13,0))*1.15^(COUNTIF(C$4:C357,C358)-COUNTIF(C$4:C357,""Sell_""&amp;C358))))))"),"")</f>
        <v/>
      </c>
      <c r="H358" s="10" t="str">
        <f t="shared" si="3"/>
        <v/>
      </c>
      <c r="I358" s="68" t="str">
        <f t="shared" si="4"/>
        <v/>
      </c>
      <c r="J358" s="59" t="str">
        <f t="shared" si="5"/>
        <v/>
      </c>
      <c r="K358" s="69" t="str">
        <f t="shared" si="6"/>
        <v/>
      </c>
      <c r="L358" s="60">
        <f t="shared" si="7"/>
        <v>-59.29458</v>
      </c>
      <c r="M358" s="61">
        <f>IFERROR(__xludf.DUMMYFUNCTION("IFS(AND(COUNTA(C358:C1644)=0,COUNTA(Q358:Q1644)=0),"""",OR(AND(K358&gt;=1000000000,OR(Y358&gt;=1000000000,COUNTA(Q358:Q1644)=0)),OR(Y358&gt;=1000000000,AND(COUNTA(C358:C1644)=0,P$3=TRUE))),
ROUNDDOWN((AB$1-AC$1)*MAX(INDEX(T$4:T1644,MATCH(LARGE(FILTER(Y$4:Y1644,Y$4"&amp;":Y1644&lt;1000000000),1),Y$4:Y1644)),INDEX(F$4:F1644,MATCH(LARGE(FILTER(K$4:K1644,K$4:K1644&lt;1000000000),1),K$4:K1644)))),AND(K358&lt;1000000000,COUNTA(C358:C1644)&gt;0,P$3=FALSE),
ROUNDDOWN(INDEX(Y$4:Y1644,MATCH(LARGE(FILTER(W$4:W1644,W$4:W1644&lt;=I358),1),W$4:W1644"&amp;"))+(I358-LARGE(FILTER(W$4:W1644,W$4:W1644&lt;=I358),1))*INDEX(T$4:T1644,MATCH(LARGE(FILTER(W$4:W1644,W$4:W1644&lt;=I358),1),W$4:W1644))-K358),1,
ROUNDDOWN(Y358-INDEX(K$4:K1644,MATCH(LARGE(FILTER(I$4:I1644,I$4:I1644&lt;=W358),1),I$4:I1644))-(W358-LARGE(FILTER(I$4:I"&amp;"1644,I$4:I1644&lt;=W358),1))*INDEX(F$4:F1644,MATCH(LARGE(FILTER(I$4:I1644,I$4:I1644&lt;=W358),1),I$4:I1644))))"),3.1389596E7)</f>
        <v>31389596</v>
      </c>
      <c r="N358" s="60">
        <f t="shared" si="8"/>
        <v>-59.29458</v>
      </c>
      <c r="O358" s="61" t="str">
        <f t="shared" si="9"/>
        <v>31,4M</v>
      </c>
      <c r="P358" s="56">
        <f t="shared" si="10"/>
        <v>3</v>
      </c>
      <c r="Q358" s="105" t="s">
        <v>9</v>
      </c>
      <c r="R358" s="10"/>
      <c r="S358" s="59">
        <f t="array" ref="S358">IF(COUNTA(Q358:Q1644)=0,"",SUM((COUNTIF(Q$4:Q358,Upgrades!$B$3:$B$13)-COUNTIF(Q$4:Q358,"Sell_"&amp;Upgrades!$B$3:$B$13))*Upgrades!$D$3:$D$13))</f>
        <v>511085.4</v>
      </c>
      <c r="T358" s="66">
        <f>IFERROR(__xludf.DUMMYFUNCTION("IF(COUNTA(Q358:Q1644)=0,"""",IF(REGEXMATCH(INDEX(FILTER(Q$4:Q358,Q$4:Q358&lt;&gt;""""),ROWS(FILTER(Q$4:Q358,Q$4:Q358&lt;&gt;""""))),""^Sell_""),INDEX(FILTER(T$4:T357,Q$4:Q357&lt;&gt;""""),ROWS(FILTER(Q$4:Q357,Q$4:Q357&lt;&gt;""""))),$AD$5+S358))"),511095.4)</f>
        <v>511095.4</v>
      </c>
      <c r="U358" s="10">
        <f>IFERROR(__xludf.DUMMYFUNCTION("IF(COUNTA(Q358:Q1644)=0,"""",IF(Q358="""",0,IF(REGEXMATCH(Q358,""^Sell_""),-ROUNDDOWN(ROUNDUP(INDEX(Upgrades!$C$3:$C$13,MATCH(SUBSTITUTE(Q358,""Sell_"",""""),Upgrades!$B$3:$B$13,0))*1.15^(COUNTIF(Q$4:Q357,SUBSTITUTE(Q358,""Sell_"",""""))-COUNTIF(Q$4:Q357,"&amp;"""Sell_""&amp;SUBSTITUTE(Q358,""Sell_"",""""))))/2),ROUNDUP(INDEX(Upgrades!$C$3:$C$13,MATCH(Q358,Upgrades!$B$3:$B$13,0))*1.15^(COUNTIF(Q$4:Q357,Q358)-COUNTIF(Q$4:Q357,""Sell_""&amp;Q358))))))"),264500.0)</f>
        <v>264500</v>
      </c>
      <c r="V358" s="10">
        <f t="shared" si="11"/>
        <v>264500</v>
      </c>
      <c r="W358" s="68">
        <f t="shared" si="12"/>
        <v>7451.433966</v>
      </c>
      <c r="X358" s="59" t="str">
        <f t="shared" si="13"/>
        <v>2h 04m 11s</v>
      </c>
      <c r="Y358" s="69">
        <f t="shared" si="14"/>
        <v>812102367</v>
      </c>
      <c r="Z358" s="11"/>
      <c r="AG358" s="59"/>
    </row>
    <row r="359">
      <c r="A359" s="8"/>
      <c r="B359" s="56" t="str">
        <f t="shared" si="2"/>
        <v/>
      </c>
      <c r="C359" s="105"/>
      <c r="D359" s="10"/>
      <c r="E359" s="59" t="str">
        <f t="array" ref="E359">IF(COUNTA(C359:C1644)=0,"",SUM((COUNTIF(C$4:C359,Upgrades!$B$3:$B$13)-COUNTIF(C$4:C359,"Sell_"&amp;Upgrades!$B$3:$B$13))*Upgrades!$D$3:$D$13))</f>
        <v/>
      </c>
      <c r="F359" s="66" t="str">
        <f>IFERROR(__xludf.DUMMYFUNCTION("IF(COUNTA(C359:C1644)=0,"""",IF(REGEXMATCH(INDEX(FILTER(C$4:C359,C$4:C359&lt;&gt;""""),ROWS(FILTER(C$4:C359,C$4:C359&lt;&gt;""""))),""^Sell_""),INDEX(FILTER(F$4:F358,C$4:C358&lt;&gt;""""),ROWS(FILTER(C$4:C358,C$4:C358&lt;&gt;""""))),$AC$5+E359))"),"")</f>
        <v/>
      </c>
      <c r="G359" s="10" t="str">
        <f>IFERROR(__xludf.DUMMYFUNCTION("IF(COUNTA(C359:C1644)=0,"""",IF(C359="""",0,IF(REGEXMATCH(C359,""^Sell_""),-ROUNDDOWN(ROUNDUP(INDEX(Upgrades!$C$3:$C$13,MATCH(SUBSTITUTE(C359,""Sell_"",""""),Upgrades!$B$3:$B$13,0))*1.15^(COUNTIF(C$4:C358,SUBSTITUTE(C359,""Sell_"",""""))-COUNTIF(C$4:C358,"&amp;"""Sell_""&amp;SUBSTITUTE(C359,""Sell_"",""""))))/2),ROUNDUP(INDEX(Upgrades!$C$3:$C$13,MATCH(C359,Upgrades!$B$3:$B$13,0))*1.15^(COUNTIF(C$4:C358,C359)-COUNTIF(C$4:C358,""Sell_""&amp;C359))))))"),"")</f>
        <v/>
      </c>
      <c r="H359" s="10" t="str">
        <f t="shared" si="3"/>
        <v/>
      </c>
      <c r="I359" s="68" t="str">
        <f t="shared" si="4"/>
        <v/>
      </c>
      <c r="J359" s="59" t="str">
        <f t="shared" si="5"/>
        <v/>
      </c>
      <c r="K359" s="69" t="str">
        <f t="shared" si="6"/>
        <v/>
      </c>
      <c r="L359" s="60">
        <f t="shared" si="7"/>
        <v>-59.28796</v>
      </c>
      <c r="M359" s="61">
        <f>IFERROR(__xludf.DUMMYFUNCTION("IFS(AND(COUNTA(C359:C1644)=0,COUNTA(Q359:Q1644)=0),"""",OR(AND(K359&gt;=1000000000,OR(Y359&gt;=1000000000,COUNTA(Q359:Q1644)=0)),OR(Y359&gt;=1000000000,AND(COUNTA(C359:C1644)=0,P$3=TRUE))),
ROUNDDOWN((AB$1-AC$1)*MAX(INDEX(T$4:T1644,MATCH(LARGE(FILTER(Y$4:Y1644,Y$4"&amp;":Y1644&lt;1000000000),1),Y$4:Y1644)),INDEX(F$4:F1644,MATCH(LARGE(FILTER(K$4:K1644,K$4:K1644&lt;1000000000),1),K$4:K1644)))),AND(K359&lt;1000000000,COUNTA(C359:C1644)&gt;0,P$3=FALSE),
ROUNDDOWN(INDEX(Y$4:Y1644,MATCH(LARGE(FILTER(W$4:W1644,W$4:W1644&lt;=I359),1),W$4:W1644"&amp;"))+(I359-LARGE(FILTER(W$4:W1644,W$4:W1644&lt;=I359),1))*INDEX(T$4:T1644,MATCH(LARGE(FILTER(W$4:W1644,W$4:W1644&lt;=I359),1),W$4:W1644))-K359),1,
ROUNDDOWN(Y359-INDEX(K$4:K1644,MATCH(LARGE(FILTER(I$4:I1644,I$4:I1644&lt;=W359),1),I$4:I1644))-(W359-LARGE(FILTER(I$4:I"&amp;"1644,I$4:I1644&lt;=W359),1))*INDEX(F$4:F1644,MATCH(LARGE(FILTER(I$4:I1644,I$4:I1644&lt;=W359),1),I$4:I1644))))"),3.1388015E7)</f>
        <v>31388015</v>
      </c>
      <c r="N359" s="60">
        <f t="shared" si="8"/>
        <v>-59.28796</v>
      </c>
      <c r="O359" s="61" t="str">
        <f t="shared" si="9"/>
        <v>31,4M</v>
      </c>
      <c r="P359" s="56">
        <f t="shared" si="10"/>
        <v>5</v>
      </c>
      <c r="Q359" s="105" t="s">
        <v>8</v>
      </c>
      <c r="R359" s="10"/>
      <c r="S359" s="59">
        <f t="array" ref="S359">IF(COUNTA(Q359:Q1644)=0,"",SUM((COUNTIF(Q$4:Q359,Upgrades!$B$3:$B$13)-COUNTIF(Q$4:Q359,"Sell_"&amp;Upgrades!$B$3:$B$13))*Upgrades!$D$3:$D$13))</f>
        <v>511185.4</v>
      </c>
      <c r="T359" s="66">
        <f>IFERROR(__xludf.DUMMYFUNCTION("IF(COUNTA(Q359:Q1644)=0,"""",IF(REGEXMATCH(INDEX(FILTER(Q$4:Q359,Q$4:Q359&lt;&gt;""""),ROWS(FILTER(Q$4:Q359,Q$4:Q359&lt;&gt;""""))),""^Sell_""),INDEX(FILTER(T$4:T358,Q$4:Q358&lt;&gt;""""),ROWS(FILTER(Q$4:Q358,Q$4:Q358&lt;&gt;""""))),$AD$5+S359))"),511195.4)</f>
        <v>511195.4</v>
      </c>
      <c r="U359" s="10">
        <f>IFERROR(__xludf.DUMMYFUNCTION("IF(COUNTA(Q359:Q1644)=0,"""",IF(Q359="""",0,IF(REGEXMATCH(Q359,""^Sell_""),-ROUNDDOWN(ROUNDUP(INDEX(Upgrades!$C$3:$C$13,MATCH(SUBSTITUTE(Q359,""Sell_"",""""),Upgrades!$B$3:$B$13,0))*1.15^(COUNTIF(Q$4:Q358,SUBSTITUTE(Q359,""Sell_"",""""))-COUNTIF(Q$4:Q358,"&amp;"""Sell_""&amp;SUBSTITUTE(Q359,""Sell_"",""""))))/2),ROUNDUP(INDEX(Upgrades!$C$3:$C$13,MATCH(Q359,Upgrades!$B$3:$B$13,0))*1.15^(COUNTIF(Q$4:Q358,Q359)-COUNTIF(Q$4:Q358,""Sell_""&amp;Q359))))))"),69961.0)</f>
        <v>69961</v>
      </c>
      <c r="V359" s="10">
        <f t="shared" si="11"/>
        <v>69961</v>
      </c>
      <c r="W359" s="68">
        <f t="shared" si="12"/>
        <v>7451.57085</v>
      </c>
      <c r="X359" s="59" t="str">
        <f t="shared" si="13"/>
        <v>2h 04m 11s</v>
      </c>
      <c r="Y359" s="69">
        <f t="shared" si="14"/>
        <v>812172328</v>
      </c>
      <c r="Z359" s="11"/>
      <c r="AG359" s="59"/>
    </row>
    <row r="360">
      <c r="A360" s="8"/>
      <c r="B360" s="56" t="str">
        <f t="shared" si="2"/>
        <v/>
      </c>
      <c r="C360" s="105"/>
      <c r="D360" s="10"/>
      <c r="E360" s="59" t="str">
        <f t="array" ref="E360">IF(COUNTA(C360:C1644)=0,"",SUM((COUNTIF(C$4:C360,Upgrades!$B$3:$B$13)-COUNTIF(C$4:C360,"Sell_"&amp;Upgrades!$B$3:$B$13))*Upgrades!$D$3:$D$13))</f>
        <v/>
      </c>
      <c r="F360" s="66" t="str">
        <f>IFERROR(__xludf.DUMMYFUNCTION("IF(COUNTA(C360:C1644)=0,"""",IF(REGEXMATCH(INDEX(FILTER(C$4:C360,C$4:C360&lt;&gt;""""),ROWS(FILTER(C$4:C360,C$4:C360&lt;&gt;""""))),""^Sell_""),INDEX(FILTER(F$4:F359,C$4:C359&lt;&gt;""""),ROWS(FILTER(C$4:C359,C$4:C359&lt;&gt;""""))),$AC$5+E360))"),"")</f>
        <v/>
      </c>
      <c r="G360" s="10" t="str">
        <f>IFERROR(__xludf.DUMMYFUNCTION("IF(COUNTA(C360:C1644)=0,"""",IF(C360="""",0,IF(REGEXMATCH(C360,""^Sell_""),-ROUNDDOWN(ROUNDUP(INDEX(Upgrades!$C$3:$C$13,MATCH(SUBSTITUTE(C360,""Sell_"",""""),Upgrades!$B$3:$B$13,0))*1.15^(COUNTIF(C$4:C359,SUBSTITUTE(C360,""Sell_"",""""))-COUNTIF(C$4:C359,"&amp;"""Sell_""&amp;SUBSTITUTE(C360,""Sell_"",""""))))/2),ROUNDUP(INDEX(Upgrades!$C$3:$C$13,MATCH(C360,Upgrades!$B$3:$B$13,0))*1.15^(COUNTIF(C$4:C359,C360)-COUNTIF(C$4:C359,""Sell_""&amp;C360))))))"),"")</f>
        <v/>
      </c>
      <c r="H360" s="10" t="str">
        <f t="shared" si="3"/>
        <v/>
      </c>
      <c r="I360" s="68" t="str">
        <f t="shared" si="4"/>
        <v/>
      </c>
      <c r="J360" s="59" t="str">
        <f t="shared" si="5"/>
        <v/>
      </c>
      <c r="K360" s="69" t="str">
        <f t="shared" si="6"/>
        <v/>
      </c>
      <c r="L360" s="60">
        <f t="shared" si="7"/>
        <v>-59.25928</v>
      </c>
      <c r="M360" s="61">
        <f>IFERROR(__xludf.DUMMYFUNCTION("IFS(AND(COUNTA(C360:C1644)=0,COUNTA(Q360:Q1644)=0),"""",OR(AND(K360&gt;=1000000000,OR(Y360&gt;=1000000000,COUNTA(Q360:Q1644)=0)),OR(Y360&gt;=1000000000,AND(COUNTA(C360:C1644)=0,P$3=TRUE))),
ROUNDDOWN((AB$1-AC$1)*MAX(INDEX(T$4:T1644,MATCH(LARGE(FILTER(Y$4:Y1644,Y$4"&amp;":Y1644&lt;1000000000),1),Y$4:Y1644)),INDEX(F$4:F1644,MATCH(LARGE(FILTER(K$4:K1644,K$4:K1644&lt;1000000000),1),K$4:K1644)))),AND(K360&lt;1000000000,COUNTA(C360:C1644)&gt;0,P$3=FALSE),
ROUNDDOWN(INDEX(Y$4:Y1644,MATCH(LARGE(FILTER(W$4:W1644,W$4:W1644&lt;=I360),1),W$4:W1644"&amp;"))+(I360-LARGE(FILTER(W$4:W1644,W$4:W1644&lt;=I360),1))*INDEX(T$4:T1644,MATCH(LARGE(FILTER(W$4:W1644,W$4:W1644&lt;=I360),1),W$4:W1644))-K360),1,
ROUNDDOWN(Y360-INDEX(K$4:K1644,MATCH(LARGE(FILTER(I$4:I1644,I$4:I1644&lt;=W360),1),I$4:I1644))-(W360-LARGE(FILTER(I$4:I"&amp;"1644,I$4:I1644&lt;=W360),1))*INDEX(F$4:F1644,MATCH(LARGE(FILTER(I$4:I1644,I$4:I1644&lt;=W360),1),I$4:I1644))))"),3.1381204E7)</f>
        <v>31381204</v>
      </c>
      <c r="N360" s="60">
        <f t="shared" si="8"/>
        <v>-59.25928</v>
      </c>
      <c r="O360" s="61" t="str">
        <f t="shared" si="9"/>
        <v>31,4M</v>
      </c>
      <c r="P360" s="56">
        <f t="shared" si="10"/>
        <v>4</v>
      </c>
      <c r="Q360" s="105" t="s">
        <v>9</v>
      </c>
      <c r="R360" s="10"/>
      <c r="S360" s="59">
        <f t="array" ref="S360">IF(COUNTA(Q360:Q1644)=0,"",SUM((COUNTIF(Q$4:Q360,Upgrades!$B$3:$B$13)-COUNTIF(Q$4:Q360,"Sell_"&amp;Upgrades!$B$3:$B$13))*Upgrades!$D$3:$D$13))</f>
        <v>511585.4</v>
      </c>
      <c r="T360" s="66">
        <f>IFERROR(__xludf.DUMMYFUNCTION("IF(COUNTA(Q360:Q1644)=0,"""",IF(REGEXMATCH(INDEX(FILTER(Q$4:Q360,Q$4:Q360&lt;&gt;""""),ROWS(FILTER(Q$4:Q360,Q$4:Q360&lt;&gt;""""))),""^Sell_""),INDEX(FILTER(T$4:T359,Q$4:Q359&lt;&gt;""""),ROWS(FILTER(Q$4:Q359,Q$4:Q359&lt;&gt;""""))),$AD$5+S360))"),511595.4)</f>
        <v>511595.4</v>
      </c>
      <c r="U360" s="10">
        <f>IFERROR(__xludf.DUMMYFUNCTION("IF(COUNTA(Q360:Q1644)=0,"""",IF(Q360="""",0,IF(REGEXMATCH(Q360,""^Sell_""),-ROUNDDOWN(ROUNDUP(INDEX(Upgrades!$C$3:$C$13,MATCH(SUBSTITUTE(Q360,""Sell_"",""""),Upgrades!$B$3:$B$13,0))*1.15^(COUNTIF(Q$4:Q359,SUBSTITUTE(Q360,""Sell_"",""""))-COUNTIF(Q$4:Q359,"&amp;"""Sell_""&amp;SUBSTITUTE(Q360,""Sell_"",""""))))/2),ROUNDUP(INDEX(Upgrades!$C$3:$C$13,MATCH(Q360,Upgrades!$B$3:$B$13,0))*1.15^(COUNTIF(Q$4:Q359,Q360)-COUNTIF(Q$4:Q359,""Sell_""&amp;Q360))))))"),304175.0)</f>
        <v>304175</v>
      </c>
      <c r="V360" s="10">
        <f t="shared" si="11"/>
        <v>304175</v>
      </c>
      <c r="W360" s="68">
        <f t="shared" si="12"/>
        <v>7452.165877</v>
      </c>
      <c r="X360" s="59" t="str">
        <f t="shared" si="13"/>
        <v>2h 04m 12s</v>
      </c>
      <c r="Y360" s="69">
        <f t="shared" si="14"/>
        <v>812476503</v>
      </c>
      <c r="Z360" s="11"/>
      <c r="AG360" s="59"/>
    </row>
    <row r="361">
      <c r="A361" s="8"/>
      <c r="B361" s="56" t="str">
        <f t="shared" si="2"/>
        <v/>
      </c>
      <c r="C361" s="105"/>
      <c r="D361" s="10"/>
      <c r="E361" s="59" t="str">
        <f t="array" ref="E361">IF(COUNTA(C361:C1644)=0,"",SUM((COUNTIF(C$4:C361,Upgrades!$B$3:$B$13)-COUNTIF(C$4:C361,"Sell_"&amp;Upgrades!$B$3:$B$13))*Upgrades!$D$3:$D$13))</f>
        <v/>
      </c>
      <c r="F361" s="66" t="str">
        <f>IFERROR(__xludf.DUMMYFUNCTION("IF(COUNTA(C361:C1644)=0,"""",IF(REGEXMATCH(INDEX(FILTER(C$4:C361,C$4:C361&lt;&gt;""""),ROWS(FILTER(C$4:C361,C$4:C361&lt;&gt;""""))),""^Sell_""),INDEX(FILTER(F$4:F360,C$4:C360&lt;&gt;""""),ROWS(FILTER(C$4:C360,C$4:C360&lt;&gt;""""))),$AC$5+E361))"),"")</f>
        <v/>
      </c>
      <c r="G361" s="10" t="str">
        <f>IFERROR(__xludf.DUMMYFUNCTION("IF(COUNTA(C361:C1644)=0,"""",IF(C361="""",0,IF(REGEXMATCH(C361,""^Sell_""),-ROUNDDOWN(ROUNDUP(INDEX(Upgrades!$C$3:$C$13,MATCH(SUBSTITUTE(C361,""Sell_"",""""),Upgrades!$B$3:$B$13,0))*1.15^(COUNTIF(C$4:C360,SUBSTITUTE(C361,""Sell_"",""""))-COUNTIF(C$4:C360,"&amp;"""Sell_""&amp;SUBSTITUTE(C361,""Sell_"",""""))))/2),ROUNDUP(INDEX(Upgrades!$C$3:$C$13,MATCH(C361,Upgrades!$B$3:$B$13,0))*1.15^(COUNTIF(C$4:C360,C361)-COUNTIF(C$4:C360,""Sell_""&amp;C361))))))"),"")</f>
        <v/>
      </c>
      <c r="H361" s="10" t="str">
        <f t="shared" si="3"/>
        <v/>
      </c>
      <c r="I361" s="68" t="str">
        <f t="shared" si="4"/>
        <v/>
      </c>
      <c r="J361" s="59" t="str">
        <f t="shared" si="5"/>
        <v/>
      </c>
      <c r="K361" s="69" t="str">
        <f t="shared" si="6"/>
        <v/>
      </c>
      <c r="L361" s="60">
        <f t="shared" si="7"/>
        <v>-59.25182</v>
      </c>
      <c r="M361" s="61">
        <f>IFERROR(__xludf.DUMMYFUNCTION("IFS(AND(COUNTA(C361:C1644)=0,COUNTA(Q361:Q1644)=0),"""",OR(AND(K361&gt;=1000000000,OR(Y361&gt;=1000000000,COUNTA(Q361:Q1644)=0)),OR(Y361&gt;=1000000000,AND(COUNTA(C361:C1644)=0,P$3=TRUE))),
ROUNDDOWN((AB$1-AC$1)*MAX(INDEX(T$4:T1644,MATCH(LARGE(FILTER(Y$4:Y1644,Y$4"&amp;":Y1644&lt;1000000000),1),Y$4:Y1644)),INDEX(F$4:F1644,MATCH(LARGE(FILTER(K$4:K1644,K$4:K1644&lt;1000000000),1),K$4:K1644)))),AND(K361&lt;1000000000,COUNTA(C361:C1644)&gt;0,P$3=FALSE),
ROUNDDOWN(INDEX(Y$4:Y1644,MATCH(LARGE(FILTER(W$4:W1644,W$4:W1644&lt;=I361),1),W$4:W1644"&amp;"))+(I361-LARGE(FILTER(W$4:W1644,W$4:W1644&lt;=I361),1))*INDEX(T$4:T1644,MATCH(LARGE(FILTER(W$4:W1644,W$4:W1644&lt;=I361),1),W$4:W1644))-K361),1,
ROUNDDOWN(Y361-INDEX(K$4:K1644,MATCH(LARGE(FILTER(I$4:I1644,I$4:I1644&lt;=W361),1),I$4:I1644))-(W361-LARGE(FILTER(I$4:I"&amp;"1644,I$4:I1644&lt;=W361),1))*INDEX(F$4:F1644,MATCH(LARGE(FILTER(I$4:I1644,I$4:I1644&lt;=W361),1),I$4:I1644))))"),3.1379467E7)</f>
        <v>31379467</v>
      </c>
      <c r="N361" s="60">
        <f t="shared" si="8"/>
        <v>-59.25182</v>
      </c>
      <c r="O361" s="61" t="str">
        <f t="shared" si="9"/>
        <v>31,4M</v>
      </c>
      <c r="P361" s="56">
        <f t="shared" si="10"/>
        <v>6</v>
      </c>
      <c r="Q361" s="105" t="s">
        <v>8</v>
      </c>
      <c r="R361" s="10"/>
      <c r="S361" s="59">
        <f t="array" ref="S361">IF(COUNTA(Q361:Q1644)=0,"",SUM((COUNTIF(Q$4:Q361,Upgrades!$B$3:$B$13)-COUNTIF(Q$4:Q361,"Sell_"&amp;Upgrades!$B$3:$B$13))*Upgrades!$D$3:$D$13))</f>
        <v>511685.4</v>
      </c>
      <c r="T361" s="66">
        <f>IFERROR(__xludf.DUMMYFUNCTION("IF(COUNTA(Q361:Q1644)=0,"""",IF(REGEXMATCH(INDEX(FILTER(Q$4:Q361,Q$4:Q361&lt;&gt;""""),ROWS(FILTER(Q$4:Q361,Q$4:Q361&lt;&gt;""""))),""^Sell_""),INDEX(FILTER(T$4:T360,Q$4:Q360&lt;&gt;""""),ROWS(FILTER(Q$4:Q360,Q$4:Q360&lt;&gt;""""))),$AD$5+S361))"),511695.4)</f>
        <v>511695.4</v>
      </c>
      <c r="U361" s="10">
        <f>IFERROR(__xludf.DUMMYFUNCTION("IF(COUNTA(Q361:Q1644)=0,"""",IF(Q361="""",0,IF(REGEXMATCH(Q361,""^Sell_""),-ROUNDDOWN(ROUNDUP(INDEX(Upgrades!$C$3:$C$13,MATCH(SUBSTITUTE(Q361,""Sell_"",""""),Upgrades!$B$3:$B$13,0))*1.15^(COUNTIF(Q$4:Q360,SUBSTITUTE(Q361,""Sell_"",""""))-COUNTIF(Q$4:Q360,"&amp;"""Sell_""&amp;SUBSTITUTE(Q361,""Sell_"",""""))))/2),ROUNDUP(INDEX(Upgrades!$C$3:$C$13,MATCH(Q361,Upgrades!$B$3:$B$13,0))*1.15^(COUNTIF(Q$4:Q360,Q361)-COUNTIF(Q$4:Q360,""Sell_""&amp;Q361))))))"),80455.0)</f>
        <v>80455</v>
      </c>
      <c r="V361" s="10">
        <f t="shared" si="11"/>
        <v>80455</v>
      </c>
      <c r="W361" s="68">
        <f t="shared" si="12"/>
        <v>7452.32314</v>
      </c>
      <c r="X361" s="59" t="str">
        <f t="shared" si="13"/>
        <v>2h 04m 12s</v>
      </c>
      <c r="Y361" s="69">
        <f t="shared" si="14"/>
        <v>812556958</v>
      </c>
      <c r="Z361" s="11"/>
      <c r="AG361" s="59"/>
    </row>
    <row r="362">
      <c r="A362" s="8"/>
      <c r="B362" s="56" t="str">
        <f t="shared" si="2"/>
        <v/>
      </c>
      <c r="C362" s="105"/>
      <c r="D362" s="10"/>
      <c r="E362" s="59" t="str">
        <f t="array" ref="E362">IF(COUNTA(C362:C1644)=0,"",SUM((COUNTIF(C$4:C362,Upgrades!$B$3:$B$13)-COUNTIF(C$4:C362,"Sell_"&amp;Upgrades!$B$3:$B$13))*Upgrades!$D$3:$D$13))</f>
        <v/>
      </c>
      <c r="F362" s="66" t="str">
        <f>IFERROR(__xludf.DUMMYFUNCTION("IF(COUNTA(C362:C1644)=0,"""",IF(REGEXMATCH(INDEX(FILTER(C$4:C362,C$4:C362&lt;&gt;""""),ROWS(FILTER(C$4:C362,C$4:C362&lt;&gt;""""))),""^Sell_""),INDEX(FILTER(F$4:F361,C$4:C361&lt;&gt;""""),ROWS(FILTER(C$4:C361,C$4:C361&lt;&gt;""""))),$AC$5+E362))"),"")</f>
        <v/>
      </c>
      <c r="G362" s="10" t="str">
        <f>IFERROR(__xludf.DUMMYFUNCTION("IF(COUNTA(C362:C1644)=0,"""",IF(C362="""",0,IF(REGEXMATCH(C362,""^Sell_""),-ROUNDDOWN(ROUNDUP(INDEX(Upgrades!$C$3:$C$13,MATCH(SUBSTITUTE(C362,""Sell_"",""""),Upgrades!$B$3:$B$13,0))*1.15^(COUNTIF(C$4:C361,SUBSTITUTE(C362,""Sell_"",""""))-COUNTIF(C$4:C361,"&amp;"""Sell_""&amp;SUBSTITUTE(C362,""Sell_"",""""))))/2),ROUNDUP(INDEX(Upgrades!$C$3:$C$13,MATCH(C362,Upgrades!$B$3:$B$13,0))*1.15^(COUNTIF(C$4:C361,C362)-COUNTIF(C$4:C361,""Sell_""&amp;C362))))))"),"")</f>
        <v/>
      </c>
      <c r="H362" s="10" t="str">
        <f t="shared" si="3"/>
        <v/>
      </c>
      <c r="I362" s="68" t="str">
        <f t="shared" si="4"/>
        <v/>
      </c>
      <c r="J362" s="59" t="str">
        <f t="shared" si="5"/>
        <v/>
      </c>
      <c r="K362" s="69" t="str">
        <f t="shared" si="6"/>
        <v/>
      </c>
      <c r="L362" s="60">
        <f t="shared" si="7"/>
        <v>-59.2195</v>
      </c>
      <c r="M362" s="61">
        <f>IFERROR(__xludf.DUMMYFUNCTION("IFS(AND(COUNTA(C362:C1644)=0,COUNTA(Q362:Q1644)=0),"""",OR(AND(K362&gt;=1000000000,OR(Y362&gt;=1000000000,COUNTA(Q362:Q1644)=0)),OR(Y362&gt;=1000000000,AND(COUNTA(C362:C1644)=0,P$3=TRUE))),
ROUNDDOWN((AB$1-AC$1)*MAX(INDEX(T$4:T1644,MATCH(LARGE(FILTER(Y$4:Y1644,Y$4"&amp;":Y1644&lt;1000000000),1),Y$4:Y1644)),INDEX(F$4:F1644,MATCH(LARGE(FILTER(K$4:K1644,K$4:K1644&lt;1000000000),1),K$4:K1644)))),AND(K362&lt;1000000000,COUNTA(C362:C1644)&gt;0,P$3=FALSE),
ROUNDDOWN(INDEX(Y$4:Y1644,MATCH(LARGE(FILTER(W$4:W1644,W$4:W1644&lt;=I362),1),W$4:W1644"&amp;"))+(I362-LARGE(FILTER(W$4:W1644,W$4:W1644&lt;=I362),1))*INDEX(T$4:T1644,MATCH(LARGE(FILTER(W$4:W1644,W$4:W1644&lt;=I362),1),W$4:W1644))-K362),1,
ROUNDDOWN(Y362-INDEX(K$4:K1644,MATCH(LARGE(FILTER(I$4:I1644,I$4:I1644&lt;=W362),1),I$4:I1644))-(W362-LARGE(FILTER(I$4:I"&amp;"1644,I$4:I1644&lt;=W362),1))*INDEX(F$4:F1644,MATCH(LARGE(FILTER(I$4:I1644,I$4:I1644&lt;=W362),1),I$4:I1644))))"),3.1371984E7)</f>
        <v>31371984</v>
      </c>
      <c r="N362" s="60">
        <f t="shared" si="8"/>
        <v>-59.2195</v>
      </c>
      <c r="O362" s="61" t="str">
        <f t="shared" si="9"/>
        <v>31,4M</v>
      </c>
      <c r="P362" s="56">
        <f t="shared" si="10"/>
        <v>5</v>
      </c>
      <c r="Q362" s="105" t="s">
        <v>9</v>
      </c>
      <c r="R362" s="10"/>
      <c r="S362" s="59">
        <f t="array" ref="S362">IF(COUNTA(Q362:Q1644)=0,"",SUM((COUNTIF(Q$4:Q362,Upgrades!$B$3:$B$13)-COUNTIF(Q$4:Q362,"Sell_"&amp;Upgrades!$B$3:$B$13))*Upgrades!$D$3:$D$13))</f>
        <v>512085.4</v>
      </c>
      <c r="T362" s="66">
        <f>IFERROR(__xludf.DUMMYFUNCTION("IF(COUNTA(Q362:Q1644)=0,"""",IF(REGEXMATCH(INDEX(FILTER(Q$4:Q362,Q$4:Q362&lt;&gt;""""),ROWS(FILTER(Q$4:Q362,Q$4:Q362&lt;&gt;""""))),""^Sell_""),INDEX(FILTER(T$4:T361,Q$4:Q361&lt;&gt;""""),ROWS(FILTER(Q$4:Q361,Q$4:Q361&lt;&gt;""""))),$AD$5+S362))"),512095.4)</f>
        <v>512095.4</v>
      </c>
      <c r="U362" s="10">
        <f>IFERROR(__xludf.DUMMYFUNCTION("IF(COUNTA(Q362:Q1644)=0,"""",IF(Q362="""",0,IF(REGEXMATCH(Q362,""^Sell_""),-ROUNDDOWN(ROUNDUP(INDEX(Upgrades!$C$3:$C$13,MATCH(SUBSTITUTE(Q362,""Sell_"",""""),Upgrades!$B$3:$B$13,0))*1.15^(COUNTIF(Q$4:Q361,SUBSTITUTE(Q362,""Sell_"",""""))-COUNTIF(Q$4:Q361,"&amp;"""Sell_""&amp;SUBSTITUTE(Q362,""Sell_"",""""))))/2),ROUNDUP(INDEX(Upgrades!$C$3:$C$13,MATCH(Q362,Upgrades!$B$3:$B$13,0))*1.15^(COUNTIF(Q$4:Q361,Q362)-COUNTIF(Q$4:Q361,""Sell_""&amp;Q362))))))"),349802.0)</f>
        <v>349802</v>
      </c>
      <c r="V362" s="10">
        <f t="shared" si="11"/>
        <v>349802</v>
      </c>
      <c r="W362" s="68">
        <f t="shared" si="12"/>
        <v>7453.006754</v>
      </c>
      <c r="X362" s="59" t="str">
        <f t="shared" si="13"/>
        <v>2h 04m 13s</v>
      </c>
      <c r="Y362" s="69">
        <f t="shared" si="14"/>
        <v>812906760</v>
      </c>
      <c r="Z362" s="11"/>
      <c r="AG362" s="59"/>
    </row>
    <row r="363">
      <c r="A363" s="8"/>
      <c r="B363" s="56" t="str">
        <f t="shared" si="2"/>
        <v/>
      </c>
      <c r="C363" s="105"/>
      <c r="D363" s="10"/>
      <c r="E363" s="59" t="str">
        <f t="array" ref="E363">IF(COUNTA(C363:C1644)=0,"",SUM((COUNTIF(C$4:C363,Upgrades!$B$3:$B$13)-COUNTIF(C$4:C363,"Sell_"&amp;Upgrades!$B$3:$B$13))*Upgrades!$D$3:$D$13))</f>
        <v/>
      </c>
      <c r="F363" s="66" t="str">
        <f>IFERROR(__xludf.DUMMYFUNCTION("IF(COUNTA(C363:C1644)=0,"""",IF(REGEXMATCH(INDEX(FILTER(C$4:C363,C$4:C363&lt;&gt;""""),ROWS(FILTER(C$4:C363,C$4:C363&lt;&gt;""""))),""^Sell_""),INDEX(FILTER(F$4:F362,C$4:C362&lt;&gt;""""),ROWS(FILTER(C$4:C362,C$4:C362&lt;&gt;""""))),$AC$5+E363))"),"")</f>
        <v/>
      </c>
      <c r="G363" s="10" t="str">
        <f>IFERROR(__xludf.DUMMYFUNCTION("IF(COUNTA(C363:C1644)=0,"""",IF(C363="""",0,IF(REGEXMATCH(C363,""^Sell_""),-ROUNDDOWN(ROUNDUP(INDEX(Upgrades!$C$3:$C$13,MATCH(SUBSTITUTE(C363,""Sell_"",""""),Upgrades!$B$3:$B$13,0))*1.15^(COUNTIF(C$4:C362,SUBSTITUTE(C363,""Sell_"",""""))-COUNTIF(C$4:C362,"&amp;"""Sell_""&amp;SUBSTITUTE(C363,""Sell_"",""""))))/2),ROUNDUP(INDEX(Upgrades!$C$3:$C$13,MATCH(C363,Upgrades!$B$3:$B$13,0))*1.15^(COUNTIF(C$4:C362,C363)-COUNTIF(C$4:C362,""Sell_""&amp;C363))))))"),"")</f>
        <v/>
      </c>
      <c r="H363" s="10" t="str">
        <f t="shared" si="3"/>
        <v/>
      </c>
      <c r="I363" s="68" t="str">
        <f t="shared" si="4"/>
        <v/>
      </c>
      <c r="J363" s="59" t="str">
        <f t="shared" si="5"/>
        <v/>
      </c>
      <c r="K363" s="69" t="str">
        <f t="shared" si="6"/>
        <v/>
      </c>
      <c r="L363" s="60">
        <f t="shared" si="7"/>
        <v>-59.2111</v>
      </c>
      <c r="M363" s="61">
        <f>IFERROR(__xludf.DUMMYFUNCTION("IFS(AND(COUNTA(C363:C1644)=0,COUNTA(Q363:Q1644)=0),"""",OR(AND(K363&gt;=1000000000,OR(Y363&gt;=1000000000,COUNTA(Q363:Q1644)=0)),OR(Y363&gt;=1000000000,AND(COUNTA(C363:C1644)=0,P$3=TRUE))),
ROUNDDOWN((AB$1-AC$1)*MAX(INDEX(T$4:T1644,MATCH(LARGE(FILTER(Y$4:Y1644,Y$4"&amp;":Y1644&lt;1000000000),1),Y$4:Y1644)),INDEX(F$4:F1644,MATCH(LARGE(FILTER(K$4:K1644,K$4:K1644&lt;1000000000),1),K$4:K1644)))),AND(K363&lt;1000000000,COUNTA(C363:C1644)&gt;0,P$3=FALSE),
ROUNDDOWN(INDEX(Y$4:Y1644,MATCH(LARGE(FILTER(W$4:W1644,W$4:W1644&lt;=I363),1),W$4:W1644"&amp;"))+(I363-LARGE(FILTER(W$4:W1644,W$4:W1644&lt;=I363),1))*INDEX(T$4:T1644,MATCH(LARGE(FILTER(W$4:W1644,W$4:W1644&lt;=I363),1),W$4:W1644))-K363),1,
ROUNDDOWN(Y363-INDEX(K$4:K1644,MATCH(LARGE(FILTER(I$4:I1644,I$4:I1644&lt;=W363),1),I$4:I1644))-(W363-LARGE(FILTER(I$4:I"&amp;"1644,I$4:I1644&lt;=W363),1))*INDEX(F$4:F1644,MATCH(LARGE(FILTER(I$4:I1644,I$4:I1644&lt;=W363),1),I$4:I1644))))"),3.1370079E7)</f>
        <v>31370079</v>
      </c>
      <c r="N363" s="60">
        <f t="shared" si="8"/>
        <v>-59.2111</v>
      </c>
      <c r="O363" s="61" t="str">
        <f t="shared" si="9"/>
        <v>31,4M</v>
      </c>
      <c r="P363" s="56">
        <f t="shared" si="10"/>
        <v>7</v>
      </c>
      <c r="Q363" s="105" t="s">
        <v>8</v>
      </c>
      <c r="R363" s="10"/>
      <c r="S363" s="59">
        <f t="array" ref="S363">IF(COUNTA(Q363:Q1644)=0,"",SUM((COUNTIF(Q$4:Q363,Upgrades!$B$3:$B$13)-COUNTIF(Q$4:Q363,"Sell_"&amp;Upgrades!$B$3:$B$13))*Upgrades!$D$3:$D$13))</f>
        <v>512185.4</v>
      </c>
      <c r="T363" s="66">
        <f>IFERROR(__xludf.DUMMYFUNCTION("IF(COUNTA(Q363:Q1644)=0,"""",IF(REGEXMATCH(INDEX(FILTER(Q$4:Q363,Q$4:Q363&lt;&gt;""""),ROWS(FILTER(Q$4:Q363,Q$4:Q363&lt;&gt;""""))),""^Sell_""),INDEX(FILTER(T$4:T362,Q$4:Q362&lt;&gt;""""),ROWS(FILTER(Q$4:Q362,Q$4:Q362&lt;&gt;""""))),$AD$5+S363))"),512195.4)</f>
        <v>512195.4</v>
      </c>
      <c r="U363" s="10">
        <f>IFERROR(__xludf.DUMMYFUNCTION("IF(COUNTA(Q363:Q1644)=0,"""",IF(Q363="""",0,IF(REGEXMATCH(Q363,""^Sell_""),-ROUNDDOWN(ROUNDUP(INDEX(Upgrades!$C$3:$C$13,MATCH(SUBSTITUTE(Q363,""Sell_"",""""),Upgrades!$B$3:$B$13,0))*1.15^(COUNTIF(Q$4:Q362,SUBSTITUTE(Q363,""Sell_"",""""))-COUNTIF(Q$4:Q362,"&amp;"""Sell_""&amp;SUBSTITUTE(Q363,""Sell_"",""""))))/2),ROUNDUP(INDEX(Upgrades!$C$3:$C$13,MATCH(Q363,Upgrades!$B$3:$B$13,0))*1.15^(COUNTIF(Q$4:Q362,Q363)-COUNTIF(Q$4:Q362,""Sell_""&amp;Q363))))))"),92523.0)</f>
        <v>92523</v>
      </c>
      <c r="V363" s="10">
        <f t="shared" si="11"/>
        <v>92523</v>
      </c>
      <c r="W363" s="68">
        <f t="shared" si="12"/>
        <v>7453.187429</v>
      </c>
      <c r="X363" s="59" t="str">
        <f t="shared" si="13"/>
        <v>2h 04m 13s</v>
      </c>
      <c r="Y363" s="69">
        <f t="shared" si="14"/>
        <v>812999283</v>
      </c>
      <c r="Z363" s="11"/>
      <c r="AG363" s="59"/>
    </row>
    <row r="364">
      <c r="A364" s="8"/>
      <c r="B364" s="56" t="str">
        <f t="shared" si="2"/>
        <v/>
      </c>
      <c r="C364" s="105"/>
      <c r="D364" s="10"/>
      <c r="E364" s="59" t="str">
        <f t="array" ref="E364">IF(COUNTA(C364:C1644)=0,"",SUM((COUNTIF(C$4:C364,Upgrades!$B$3:$B$13)-COUNTIF(C$4:C364,"Sell_"&amp;Upgrades!$B$3:$B$13))*Upgrades!$D$3:$D$13))</f>
        <v/>
      </c>
      <c r="F364" s="66" t="str">
        <f>IFERROR(__xludf.DUMMYFUNCTION("IF(COUNTA(C364:C1644)=0,"""",IF(REGEXMATCH(INDEX(FILTER(C$4:C364,C$4:C364&lt;&gt;""""),ROWS(FILTER(C$4:C364,C$4:C364&lt;&gt;""""))),""^Sell_""),INDEX(FILTER(F$4:F363,C$4:C363&lt;&gt;""""),ROWS(FILTER(C$4:C363,C$4:C363&lt;&gt;""""))),$AC$5+E364))"),"")</f>
        <v/>
      </c>
      <c r="G364" s="10" t="str">
        <f>IFERROR(__xludf.DUMMYFUNCTION("IF(COUNTA(C364:C1644)=0,"""",IF(C364="""",0,IF(REGEXMATCH(C364,""^Sell_""),-ROUNDDOWN(ROUNDUP(INDEX(Upgrades!$C$3:$C$13,MATCH(SUBSTITUTE(C364,""Sell_"",""""),Upgrades!$B$3:$B$13,0))*1.15^(COUNTIF(C$4:C363,SUBSTITUTE(C364,""Sell_"",""""))-COUNTIF(C$4:C363,"&amp;"""Sell_""&amp;SUBSTITUTE(C364,""Sell_"",""""))))/2),ROUNDUP(INDEX(Upgrades!$C$3:$C$13,MATCH(C364,Upgrades!$B$3:$B$13,0))*1.15^(COUNTIF(C$4:C363,C364)-COUNTIF(C$4:C363,""Sell_""&amp;C364))))))"),"")</f>
        <v/>
      </c>
      <c r="H364" s="10" t="str">
        <f t="shared" si="3"/>
        <v/>
      </c>
      <c r="I364" s="68" t="str">
        <f t="shared" si="4"/>
        <v/>
      </c>
      <c r="J364" s="59" t="str">
        <f t="shared" si="5"/>
        <v/>
      </c>
      <c r="K364" s="69" t="str">
        <f t="shared" si="6"/>
        <v/>
      </c>
      <c r="L364" s="60">
        <f t="shared" si="7"/>
        <v>-59.1747</v>
      </c>
      <c r="M364" s="61">
        <f>IFERROR(__xludf.DUMMYFUNCTION("IFS(AND(COUNTA(C364:C1644)=0,COUNTA(Q364:Q1644)=0),"""",OR(AND(K364&gt;=1000000000,OR(Y364&gt;=1000000000,COUNTA(Q364:Q1644)=0)),OR(Y364&gt;=1000000000,AND(COUNTA(C364:C1644)=0,P$3=TRUE))),
ROUNDDOWN((AB$1-AC$1)*MAX(INDEX(T$4:T1644,MATCH(LARGE(FILTER(Y$4:Y1644,Y$4"&amp;":Y1644&lt;1000000000),1),Y$4:Y1644)),INDEX(F$4:F1644,MATCH(LARGE(FILTER(K$4:K1644,K$4:K1644&lt;1000000000),1),K$4:K1644)))),AND(K364&lt;1000000000,COUNTA(C364:C1644)&gt;0,P$3=FALSE),
ROUNDDOWN(INDEX(Y$4:Y1644,MATCH(LARGE(FILTER(W$4:W1644,W$4:W1644&lt;=I364),1),W$4:W1644"&amp;"))+(I364-LARGE(FILTER(W$4:W1644,W$4:W1644&lt;=I364),1))*INDEX(T$4:T1644,MATCH(LARGE(FILTER(W$4:W1644,W$4:W1644&lt;=I364),1),W$4:W1644))-K364),1,
ROUNDDOWN(Y364-INDEX(K$4:K1644,MATCH(LARGE(FILTER(I$4:I1644,I$4:I1644&lt;=W364),1),I$4:I1644))-(W364-LARGE(FILTER(I$4:I"&amp;"1644,I$4:I1644&lt;=W364),1))*INDEX(F$4:F1644,MATCH(LARGE(FILTER(I$4:I1644,I$4:I1644&lt;=W364),1),I$4:I1644))))"),3.1361874E7)</f>
        <v>31361874</v>
      </c>
      <c r="N364" s="60">
        <f t="shared" si="8"/>
        <v>-59.1747</v>
      </c>
      <c r="O364" s="61" t="str">
        <f t="shared" si="9"/>
        <v>31,4M</v>
      </c>
      <c r="P364" s="56">
        <f t="shared" si="10"/>
        <v>6</v>
      </c>
      <c r="Q364" s="105" t="s">
        <v>9</v>
      </c>
      <c r="R364" s="10"/>
      <c r="S364" s="59">
        <f t="array" ref="S364">IF(COUNTA(Q364:Q1644)=0,"",SUM((COUNTIF(Q$4:Q364,Upgrades!$B$3:$B$13)-COUNTIF(Q$4:Q364,"Sell_"&amp;Upgrades!$B$3:$B$13))*Upgrades!$D$3:$D$13))</f>
        <v>512585.4</v>
      </c>
      <c r="T364" s="66">
        <f>IFERROR(__xludf.DUMMYFUNCTION("IF(COUNTA(Q364:Q1644)=0,"""",IF(REGEXMATCH(INDEX(FILTER(Q$4:Q364,Q$4:Q364&lt;&gt;""""),ROWS(FILTER(Q$4:Q364,Q$4:Q364&lt;&gt;""""))),""^Sell_""),INDEX(FILTER(T$4:T363,Q$4:Q363&lt;&gt;""""),ROWS(FILTER(Q$4:Q363,Q$4:Q363&lt;&gt;""""))),$AD$5+S364))"),512595.4)</f>
        <v>512595.4</v>
      </c>
      <c r="U364" s="10">
        <f>IFERROR(__xludf.DUMMYFUNCTION("IF(COUNTA(Q364:Q1644)=0,"""",IF(Q364="""",0,IF(REGEXMATCH(Q364,""^Sell_""),-ROUNDDOWN(ROUNDUP(INDEX(Upgrades!$C$3:$C$13,MATCH(SUBSTITUTE(Q364,""Sell_"",""""),Upgrades!$B$3:$B$13,0))*1.15^(COUNTIF(Q$4:Q363,SUBSTITUTE(Q364,""Sell_"",""""))-COUNTIF(Q$4:Q363,"&amp;"""Sell_""&amp;SUBSTITUTE(Q364,""Sell_"",""""))))/2),ROUNDUP(INDEX(Upgrades!$C$3:$C$13,MATCH(Q364,Upgrades!$B$3:$B$13,0))*1.15^(COUNTIF(Q$4:Q363,Q364)-COUNTIF(Q$4:Q363,""Sell_""&amp;Q364))))))"),402272.0)</f>
        <v>402272</v>
      </c>
      <c r="V364" s="10">
        <f t="shared" si="11"/>
        <v>402272</v>
      </c>
      <c r="W364" s="68">
        <f t="shared" si="12"/>
        <v>7453.972817</v>
      </c>
      <c r="X364" s="59" t="str">
        <f t="shared" si="13"/>
        <v>2h 04m 13s</v>
      </c>
      <c r="Y364" s="69">
        <f t="shared" si="14"/>
        <v>813401555</v>
      </c>
      <c r="Z364" s="11"/>
      <c r="AG364" s="59"/>
    </row>
    <row r="365">
      <c r="A365" s="8"/>
      <c r="B365" s="56" t="str">
        <f t="shared" si="2"/>
        <v/>
      </c>
      <c r="C365" s="105"/>
      <c r="D365" s="10"/>
      <c r="E365" s="59" t="str">
        <f t="array" ref="E365">IF(COUNTA(C365:C1644)=0,"",SUM((COUNTIF(C$4:C365,Upgrades!$B$3:$B$13)-COUNTIF(C$4:C365,"Sell_"&amp;Upgrades!$B$3:$B$13))*Upgrades!$D$3:$D$13))</f>
        <v/>
      </c>
      <c r="F365" s="66" t="str">
        <f>IFERROR(__xludf.DUMMYFUNCTION("IF(COUNTA(C365:C1644)=0,"""",IF(REGEXMATCH(INDEX(FILTER(C$4:C365,C$4:C365&lt;&gt;""""),ROWS(FILTER(C$4:C365,C$4:C365&lt;&gt;""""))),""^Sell_""),INDEX(FILTER(F$4:F364,C$4:C364&lt;&gt;""""),ROWS(FILTER(C$4:C364,C$4:C364&lt;&gt;""""))),$AC$5+E365))"),"")</f>
        <v/>
      </c>
      <c r="G365" s="10" t="str">
        <f>IFERROR(__xludf.DUMMYFUNCTION("IF(COUNTA(C365:C1644)=0,"""",IF(C365="""",0,IF(REGEXMATCH(C365,""^Sell_""),-ROUNDDOWN(ROUNDUP(INDEX(Upgrades!$C$3:$C$13,MATCH(SUBSTITUTE(C365,""Sell_"",""""),Upgrades!$B$3:$B$13,0))*1.15^(COUNTIF(C$4:C364,SUBSTITUTE(C365,""Sell_"",""""))-COUNTIF(C$4:C364,"&amp;"""Sell_""&amp;SUBSTITUTE(C365,""Sell_"",""""))))/2),ROUNDUP(INDEX(Upgrades!$C$3:$C$13,MATCH(C365,Upgrades!$B$3:$B$13,0))*1.15^(COUNTIF(C$4:C364,C365)-COUNTIF(C$4:C364,""Sell_""&amp;C365))))))"),"")</f>
        <v/>
      </c>
      <c r="H365" s="10" t="str">
        <f t="shared" si="3"/>
        <v/>
      </c>
      <c r="I365" s="68" t="str">
        <f t="shared" si="4"/>
        <v/>
      </c>
      <c r="J365" s="59" t="str">
        <f t="shared" si="5"/>
        <v/>
      </c>
      <c r="K365" s="69" t="str">
        <f t="shared" si="6"/>
        <v/>
      </c>
      <c r="L365" s="60">
        <f t="shared" si="7"/>
        <v>-59.16524</v>
      </c>
      <c r="M365" s="61">
        <f>IFERROR(__xludf.DUMMYFUNCTION("IFS(AND(COUNTA(C365:C1644)=0,COUNTA(Q365:Q1644)=0),"""",OR(AND(K365&gt;=1000000000,OR(Y365&gt;=1000000000,COUNTA(Q365:Q1644)=0)),OR(Y365&gt;=1000000000,AND(COUNTA(C365:C1644)=0,P$3=TRUE))),
ROUNDDOWN((AB$1-AC$1)*MAX(INDEX(T$4:T1644,MATCH(LARGE(FILTER(Y$4:Y1644,Y$4"&amp;":Y1644&lt;1000000000),1),Y$4:Y1644)),INDEX(F$4:F1644,MATCH(LARGE(FILTER(K$4:K1644,K$4:K1644&lt;1000000000),1),K$4:K1644)))),AND(K365&lt;1000000000,COUNTA(C365:C1644)&gt;0,P$3=FALSE),
ROUNDDOWN(INDEX(Y$4:Y1644,MATCH(LARGE(FILTER(W$4:W1644,W$4:W1644&lt;=I365),1),W$4:W1644"&amp;"))+(I365-LARGE(FILTER(W$4:W1644,W$4:W1644&lt;=I365),1))*INDEX(T$4:T1644,MATCH(LARGE(FILTER(W$4:W1644,W$4:W1644&lt;=I365),1),W$4:W1644))-K365),1,
ROUNDDOWN(Y365-INDEX(K$4:K1644,MATCH(LARGE(FILTER(I$4:I1644,I$4:I1644&lt;=W365),1),I$4:I1644))-(W365-LARGE(FILTER(I$4:I"&amp;"1644,I$4:I1644&lt;=W365),1))*INDEX(F$4:F1644,MATCH(LARGE(FILTER(I$4:I1644,I$4:I1644&lt;=W365),1),I$4:I1644))))"),3.1359789E7)</f>
        <v>31359789</v>
      </c>
      <c r="N365" s="60">
        <f t="shared" si="8"/>
        <v>-59.16524</v>
      </c>
      <c r="O365" s="61" t="str">
        <f t="shared" si="9"/>
        <v>31,4M</v>
      </c>
      <c r="P365" s="56">
        <f t="shared" si="10"/>
        <v>8</v>
      </c>
      <c r="Q365" s="105" t="s">
        <v>8</v>
      </c>
      <c r="R365" s="10"/>
      <c r="S365" s="59">
        <f t="array" ref="S365">IF(COUNTA(Q365:Q1644)=0,"",SUM((COUNTIF(Q$4:Q365,Upgrades!$B$3:$B$13)-COUNTIF(Q$4:Q365,"Sell_"&amp;Upgrades!$B$3:$B$13))*Upgrades!$D$3:$D$13))</f>
        <v>512685.4</v>
      </c>
      <c r="T365" s="66">
        <f>IFERROR(__xludf.DUMMYFUNCTION("IF(COUNTA(Q365:Q1644)=0,"""",IF(REGEXMATCH(INDEX(FILTER(Q$4:Q365,Q$4:Q365&lt;&gt;""""),ROWS(FILTER(Q$4:Q365,Q$4:Q365&lt;&gt;""""))),""^Sell_""),INDEX(FILTER(T$4:T364,Q$4:Q364&lt;&gt;""""),ROWS(FILTER(Q$4:Q364,Q$4:Q364&lt;&gt;""""))),$AD$5+S365))"),512695.4)</f>
        <v>512695.4</v>
      </c>
      <c r="U365" s="10">
        <f>IFERROR(__xludf.DUMMYFUNCTION("IF(COUNTA(Q365:Q1644)=0,"""",IF(Q365="""",0,IF(REGEXMATCH(Q365,""^Sell_""),-ROUNDDOWN(ROUNDUP(INDEX(Upgrades!$C$3:$C$13,MATCH(SUBSTITUTE(Q365,""Sell_"",""""),Upgrades!$B$3:$B$13,0))*1.15^(COUNTIF(Q$4:Q364,SUBSTITUTE(Q365,""Sell_"",""""))-COUNTIF(Q$4:Q364,"&amp;"""Sell_""&amp;SUBSTITUTE(Q365,""Sell_"",""""))))/2),ROUNDUP(INDEX(Upgrades!$C$3:$C$13,MATCH(Q365,Upgrades!$B$3:$B$13,0))*1.15^(COUNTIF(Q$4:Q364,Q365)-COUNTIF(Q$4:Q364,""Sell_""&amp;Q365))))))"),106401.0)</f>
        <v>106401</v>
      </c>
      <c r="V365" s="10">
        <f t="shared" si="11"/>
        <v>106401</v>
      </c>
      <c r="W365" s="68">
        <f t="shared" si="12"/>
        <v>7454.18039</v>
      </c>
      <c r="X365" s="59" t="str">
        <f t="shared" si="13"/>
        <v>2h 04m 14s</v>
      </c>
      <c r="Y365" s="69">
        <f t="shared" si="14"/>
        <v>813507956</v>
      </c>
      <c r="Z365" s="11"/>
      <c r="AG365" s="59"/>
    </row>
    <row r="366">
      <c r="A366" s="8"/>
      <c r="B366" s="56" t="str">
        <f t="shared" si="2"/>
        <v/>
      </c>
      <c r="C366" s="105"/>
      <c r="D366" s="10"/>
      <c r="E366" s="59" t="str">
        <f t="array" ref="E366">IF(COUNTA(C366:C1644)=0,"",SUM((COUNTIF(C$4:C366,Upgrades!$B$3:$B$13)-COUNTIF(C$4:C366,"Sell_"&amp;Upgrades!$B$3:$B$13))*Upgrades!$D$3:$D$13))</f>
        <v/>
      </c>
      <c r="F366" s="66" t="str">
        <f>IFERROR(__xludf.DUMMYFUNCTION("IF(COUNTA(C366:C1644)=0,"""",IF(REGEXMATCH(INDEX(FILTER(C$4:C366,C$4:C366&lt;&gt;""""),ROWS(FILTER(C$4:C366,C$4:C366&lt;&gt;""""))),""^Sell_""),INDEX(FILTER(F$4:F365,C$4:C365&lt;&gt;""""),ROWS(FILTER(C$4:C365,C$4:C365&lt;&gt;""""))),$AC$5+E366))"),"")</f>
        <v/>
      </c>
      <c r="G366" s="10" t="str">
        <f>IFERROR(__xludf.DUMMYFUNCTION("IF(COUNTA(C366:C1644)=0,"""",IF(C366="""",0,IF(REGEXMATCH(C366,""^Sell_""),-ROUNDDOWN(ROUNDUP(INDEX(Upgrades!$C$3:$C$13,MATCH(SUBSTITUTE(C366,""Sell_"",""""),Upgrades!$B$3:$B$13,0))*1.15^(COUNTIF(C$4:C365,SUBSTITUTE(C366,""Sell_"",""""))-COUNTIF(C$4:C365,"&amp;"""Sell_""&amp;SUBSTITUTE(C366,""Sell_"",""""))))/2),ROUNDUP(INDEX(Upgrades!$C$3:$C$13,MATCH(C366,Upgrades!$B$3:$B$13,0))*1.15^(COUNTIF(C$4:C365,C366)-COUNTIF(C$4:C365,""Sell_""&amp;C366))))))"),"")</f>
        <v/>
      </c>
      <c r="H366" s="10" t="str">
        <f t="shared" si="3"/>
        <v/>
      </c>
      <c r="I366" s="68" t="str">
        <f t="shared" si="4"/>
        <v/>
      </c>
      <c r="J366" s="59" t="str">
        <f t="shared" si="5"/>
        <v/>
      </c>
      <c r="K366" s="69" t="str">
        <f t="shared" si="6"/>
        <v/>
      </c>
      <c r="L366" s="60">
        <f t="shared" si="7"/>
        <v>-59.12427</v>
      </c>
      <c r="M366" s="61">
        <f>IFERROR(__xludf.DUMMYFUNCTION("IFS(AND(COUNTA(C366:C1644)=0,COUNTA(Q366:Q1644)=0),"""",OR(AND(K366&gt;=1000000000,OR(Y366&gt;=1000000000,COUNTA(Q366:Q1644)=0)),OR(Y366&gt;=1000000000,AND(COUNTA(C366:C1644)=0,P$3=TRUE))),
ROUNDDOWN((AB$1-AC$1)*MAX(INDEX(T$4:T1644,MATCH(LARGE(FILTER(Y$4:Y1644,Y$4"&amp;":Y1644&lt;1000000000),1),Y$4:Y1644)),INDEX(F$4:F1644,MATCH(LARGE(FILTER(K$4:K1644,K$4:K1644&lt;1000000000),1),K$4:K1644)))),AND(K366&lt;1000000000,COUNTA(C366:C1644)&gt;0,P$3=FALSE),
ROUNDDOWN(INDEX(Y$4:Y1644,MATCH(LARGE(FILTER(W$4:W1644,W$4:W1644&lt;=I366),1),W$4:W1644"&amp;"))+(I366-LARGE(FILTER(W$4:W1644,W$4:W1644&lt;=I366),1))*INDEX(T$4:T1644,MATCH(LARGE(FILTER(W$4:W1644,W$4:W1644&lt;=I366),1),W$4:W1644))-K366),1,
ROUNDDOWN(Y366-INDEX(K$4:K1644,MATCH(LARGE(FILTER(I$4:I1644,I$4:I1644&lt;=W366),1),I$4:I1644))-(W366-LARGE(FILTER(I$4:I"&amp;"1644,I$4:I1644&lt;=W366),1))*INDEX(F$4:F1644,MATCH(LARGE(FILTER(I$4:I1644,I$4:I1644&lt;=W366),1),I$4:I1644))))"),3.1350814E7)</f>
        <v>31350814</v>
      </c>
      <c r="N366" s="60">
        <f t="shared" si="8"/>
        <v>-59.12427</v>
      </c>
      <c r="O366" s="61" t="str">
        <f t="shared" si="9"/>
        <v>31,4M</v>
      </c>
      <c r="P366" s="56">
        <f t="shared" si="10"/>
        <v>7</v>
      </c>
      <c r="Q366" s="105" t="s">
        <v>9</v>
      </c>
      <c r="R366" s="10"/>
      <c r="S366" s="59">
        <f t="array" ref="S366">IF(COUNTA(Q366:Q1644)=0,"",SUM((COUNTIF(Q$4:Q366,Upgrades!$B$3:$B$13)-COUNTIF(Q$4:Q366,"Sell_"&amp;Upgrades!$B$3:$B$13))*Upgrades!$D$3:$D$13))</f>
        <v>513085.4</v>
      </c>
      <c r="T366" s="66">
        <f>IFERROR(__xludf.DUMMYFUNCTION("IF(COUNTA(Q366:Q1644)=0,"""",IF(REGEXMATCH(INDEX(FILTER(Q$4:Q366,Q$4:Q366&lt;&gt;""""),ROWS(FILTER(Q$4:Q366,Q$4:Q366&lt;&gt;""""))),""^Sell_""),INDEX(FILTER(T$4:T365,Q$4:Q365&lt;&gt;""""),ROWS(FILTER(Q$4:Q365,Q$4:Q365&lt;&gt;""""))),$AD$5+S366))"),513095.4)</f>
        <v>513095.4</v>
      </c>
      <c r="U366" s="10">
        <f>IFERROR(__xludf.DUMMYFUNCTION("IF(COUNTA(Q366:Q1644)=0,"""",IF(Q366="""",0,IF(REGEXMATCH(Q366,""^Sell_""),-ROUNDDOWN(ROUNDUP(INDEX(Upgrades!$C$3:$C$13,MATCH(SUBSTITUTE(Q366,""Sell_"",""""),Upgrades!$B$3:$B$13,0))*1.15^(COUNTIF(Q$4:Q365,SUBSTITUTE(Q366,""Sell_"",""""))-COUNTIF(Q$4:Q365,"&amp;"""Sell_""&amp;SUBSTITUTE(Q366,""Sell_"",""""))))/2),ROUNDUP(INDEX(Upgrades!$C$3:$C$13,MATCH(Q366,Upgrades!$B$3:$B$13,0))*1.15^(COUNTIF(Q$4:Q365,Q366)-COUNTIF(Q$4:Q365,""Sell_""&amp;Q366))))))"),462613.0)</f>
        <v>462613</v>
      </c>
      <c r="V366" s="10">
        <f t="shared" si="11"/>
        <v>462613</v>
      </c>
      <c r="W366" s="68">
        <f t="shared" si="12"/>
        <v>7455.082705</v>
      </c>
      <c r="X366" s="59" t="str">
        <f t="shared" si="13"/>
        <v>2h 04m 15s</v>
      </c>
      <c r="Y366" s="69">
        <f t="shared" si="14"/>
        <v>813970569</v>
      </c>
      <c r="Z366" s="11"/>
      <c r="AG366" s="59"/>
    </row>
    <row r="367">
      <c r="A367" s="8"/>
      <c r="B367" s="56" t="str">
        <f t="shared" si="2"/>
        <v/>
      </c>
      <c r="C367" s="105"/>
      <c r="D367" s="10"/>
      <c r="E367" s="59" t="str">
        <f t="array" ref="E367">IF(COUNTA(C367:C1644)=0,"",SUM((COUNTIF(C$4:C367,Upgrades!$B$3:$B$13)-COUNTIF(C$4:C367,"Sell_"&amp;Upgrades!$B$3:$B$13))*Upgrades!$D$3:$D$13))</f>
        <v/>
      </c>
      <c r="F367" s="66" t="str">
        <f>IFERROR(__xludf.DUMMYFUNCTION("IF(COUNTA(C367:C1644)=0,"""",IF(REGEXMATCH(INDEX(FILTER(C$4:C367,C$4:C367&lt;&gt;""""),ROWS(FILTER(C$4:C367,C$4:C367&lt;&gt;""""))),""^Sell_""),INDEX(FILTER(F$4:F366,C$4:C366&lt;&gt;""""),ROWS(FILTER(C$4:C366,C$4:C366&lt;&gt;""""))),$AC$5+E367))"),"")</f>
        <v/>
      </c>
      <c r="G367" s="10" t="str">
        <f>IFERROR(__xludf.DUMMYFUNCTION("IF(COUNTA(C367:C1644)=0,"""",IF(C367="""",0,IF(REGEXMATCH(C367,""^Sell_""),-ROUNDDOWN(ROUNDUP(INDEX(Upgrades!$C$3:$C$13,MATCH(SUBSTITUTE(C367,""Sell_"",""""),Upgrades!$B$3:$B$13,0))*1.15^(COUNTIF(C$4:C366,SUBSTITUTE(C367,""Sell_"",""""))-COUNTIF(C$4:C366,"&amp;"""Sell_""&amp;SUBSTITUTE(C367,""Sell_"",""""))))/2),ROUNDUP(INDEX(Upgrades!$C$3:$C$13,MATCH(C367,Upgrades!$B$3:$B$13,0))*1.15^(COUNTIF(C$4:C366,C367)-COUNTIF(C$4:C366,""Sell_""&amp;C367))))))"),"")</f>
        <v/>
      </c>
      <c r="H367" s="10" t="str">
        <f t="shared" si="3"/>
        <v/>
      </c>
      <c r="I367" s="68" t="str">
        <f t="shared" si="4"/>
        <v/>
      </c>
      <c r="J367" s="59" t="str">
        <f t="shared" si="5"/>
        <v/>
      </c>
      <c r="K367" s="69" t="str">
        <f t="shared" si="6"/>
        <v/>
      </c>
      <c r="L367" s="60">
        <f t="shared" si="7"/>
        <v>-59.11362</v>
      </c>
      <c r="M367" s="61">
        <f>IFERROR(__xludf.DUMMYFUNCTION("IFS(AND(COUNTA(C367:C1644)=0,COUNTA(Q367:Q1644)=0),"""",OR(AND(K367&gt;=1000000000,OR(Y367&gt;=1000000000,COUNTA(Q367:Q1644)=0)),OR(Y367&gt;=1000000000,AND(COUNTA(C367:C1644)=0,P$3=TRUE))),
ROUNDDOWN((AB$1-AC$1)*MAX(INDEX(T$4:T1644,MATCH(LARGE(FILTER(Y$4:Y1644,Y$4"&amp;":Y1644&lt;1000000000),1),Y$4:Y1644)),INDEX(F$4:F1644,MATCH(LARGE(FILTER(K$4:K1644,K$4:K1644&lt;1000000000),1),K$4:K1644)))),AND(K367&lt;1000000000,COUNTA(C367:C1644)&gt;0,P$3=FALSE),
ROUNDDOWN(INDEX(Y$4:Y1644,MATCH(LARGE(FILTER(W$4:W1644,W$4:W1644&lt;=I367),1),W$4:W1644"&amp;"))+(I367-LARGE(FILTER(W$4:W1644,W$4:W1644&lt;=I367),1))*INDEX(T$4:T1644,MATCH(LARGE(FILTER(W$4:W1644,W$4:W1644&lt;=I367),1),W$4:W1644))-K367),1,
ROUNDDOWN(Y367-INDEX(K$4:K1644,MATCH(LARGE(FILTER(I$4:I1644,I$4:I1644&lt;=W367),1),I$4:I1644))-(W367-LARGE(FILTER(I$4:I"&amp;"1644,I$4:I1644&lt;=W367),1))*INDEX(F$4:F1644,MATCH(LARGE(FILTER(I$4:I1644,I$4:I1644&lt;=W367),1),I$4:I1644))))"),3.1348538E7)</f>
        <v>31348538</v>
      </c>
      <c r="N367" s="60">
        <f t="shared" si="8"/>
        <v>-59.11362</v>
      </c>
      <c r="O367" s="61" t="str">
        <f t="shared" si="9"/>
        <v>31,3M</v>
      </c>
      <c r="P367" s="56">
        <f t="shared" si="10"/>
        <v>9</v>
      </c>
      <c r="Q367" s="105" t="s">
        <v>8</v>
      </c>
      <c r="R367" s="10"/>
      <c r="S367" s="59">
        <f t="array" ref="S367">IF(COUNTA(Q367:Q1644)=0,"",SUM((COUNTIF(Q$4:Q367,Upgrades!$B$3:$B$13)-COUNTIF(Q$4:Q367,"Sell_"&amp;Upgrades!$B$3:$B$13))*Upgrades!$D$3:$D$13))</f>
        <v>513185.4</v>
      </c>
      <c r="T367" s="66">
        <f>IFERROR(__xludf.DUMMYFUNCTION("IF(COUNTA(Q367:Q1644)=0,"""",IF(REGEXMATCH(INDEX(FILTER(Q$4:Q367,Q$4:Q367&lt;&gt;""""),ROWS(FILTER(Q$4:Q367,Q$4:Q367&lt;&gt;""""))),""^Sell_""),INDEX(FILTER(T$4:T366,Q$4:Q366&lt;&gt;""""),ROWS(FILTER(Q$4:Q366,Q$4:Q366&lt;&gt;""""))),$AD$5+S367))"),513195.4)</f>
        <v>513195.4</v>
      </c>
      <c r="U367" s="10">
        <f>IFERROR(__xludf.DUMMYFUNCTION("IF(COUNTA(Q367:Q1644)=0,"""",IF(Q367="""",0,IF(REGEXMATCH(Q367,""^Sell_""),-ROUNDDOWN(ROUNDUP(INDEX(Upgrades!$C$3:$C$13,MATCH(SUBSTITUTE(Q367,""Sell_"",""""),Upgrades!$B$3:$B$13,0))*1.15^(COUNTIF(Q$4:Q366,SUBSTITUTE(Q367,""Sell_"",""""))-COUNTIF(Q$4:Q366,"&amp;"""Sell_""&amp;SUBSTITUTE(Q367,""Sell_"",""""))))/2),ROUNDUP(INDEX(Upgrades!$C$3:$C$13,MATCH(Q367,Upgrades!$B$3:$B$13,0))*1.15^(COUNTIF(Q$4:Q366,Q367)-COUNTIF(Q$4:Q366,""Sell_""&amp;Q367))))))"),122361.0)</f>
        <v>122361</v>
      </c>
      <c r="V367" s="10">
        <f t="shared" si="11"/>
        <v>122361</v>
      </c>
      <c r="W367" s="68">
        <f t="shared" si="12"/>
        <v>7455.321182</v>
      </c>
      <c r="X367" s="59" t="str">
        <f t="shared" si="13"/>
        <v>2h 04m 15s</v>
      </c>
      <c r="Y367" s="69">
        <f t="shared" si="14"/>
        <v>814092930</v>
      </c>
      <c r="Z367" s="11"/>
      <c r="AG367" s="59"/>
    </row>
    <row r="368">
      <c r="A368" s="8"/>
      <c r="B368" s="56" t="str">
        <f t="shared" si="2"/>
        <v/>
      </c>
      <c r="C368" s="105"/>
      <c r="D368" s="10"/>
      <c r="E368" s="59" t="str">
        <f t="array" ref="E368">IF(COUNTA(C368:C1644)=0,"",SUM((COUNTIF(C$4:C368,Upgrades!$B$3:$B$13)-COUNTIF(C$4:C368,"Sell_"&amp;Upgrades!$B$3:$B$13))*Upgrades!$D$3:$D$13))</f>
        <v/>
      </c>
      <c r="F368" s="66" t="str">
        <f>IFERROR(__xludf.DUMMYFUNCTION("IF(COUNTA(C368:C1644)=0,"""",IF(REGEXMATCH(INDEX(FILTER(C$4:C368,C$4:C368&lt;&gt;""""),ROWS(FILTER(C$4:C368,C$4:C368&lt;&gt;""""))),""^Sell_""),INDEX(FILTER(F$4:F367,C$4:C367&lt;&gt;""""),ROWS(FILTER(C$4:C367,C$4:C367&lt;&gt;""""))),$AC$5+E368))"),"")</f>
        <v/>
      </c>
      <c r="G368" s="10" t="str">
        <f>IFERROR(__xludf.DUMMYFUNCTION("IF(COUNTA(C368:C1644)=0,"""",IF(C368="""",0,IF(REGEXMATCH(C368,""^Sell_""),-ROUNDDOWN(ROUNDUP(INDEX(Upgrades!$C$3:$C$13,MATCH(SUBSTITUTE(C368,""Sell_"",""""),Upgrades!$B$3:$B$13,0))*1.15^(COUNTIF(C$4:C367,SUBSTITUTE(C368,""Sell_"",""""))-COUNTIF(C$4:C367,"&amp;"""Sell_""&amp;SUBSTITUTE(C368,""Sell_"",""""))))/2),ROUNDUP(INDEX(Upgrades!$C$3:$C$13,MATCH(C368,Upgrades!$B$3:$B$13,0))*1.15^(COUNTIF(C$4:C367,C368)-COUNTIF(C$4:C367,""Sell_""&amp;C368))))))"),"")</f>
        <v/>
      </c>
      <c r="H368" s="10" t="str">
        <f t="shared" si="3"/>
        <v/>
      </c>
      <c r="I368" s="68" t="str">
        <f t="shared" si="4"/>
        <v/>
      </c>
      <c r="J368" s="59" t="str">
        <f t="shared" si="5"/>
        <v/>
      </c>
      <c r="K368" s="69" t="str">
        <f t="shared" si="6"/>
        <v/>
      </c>
      <c r="L368" s="60">
        <f t="shared" si="7"/>
        <v>-59.06751</v>
      </c>
      <c r="M368" s="61">
        <f>IFERROR(__xludf.DUMMYFUNCTION("IFS(AND(COUNTA(C368:C1644)=0,COUNTA(Q368:Q1644)=0),"""",OR(AND(K368&gt;=1000000000,OR(Y368&gt;=1000000000,COUNTA(Q368:Q1644)=0)),OR(Y368&gt;=1000000000,AND(COUNTA(C368:C1644)=0,P$3=TRUE))),
ROUNDDOWN((AB$1-AC$1)*MAX(INDEX(T$4:T1644,MATCH(LARGE(FILTER(Y$4:Y1644,Y$4"&amp;":Y1644&lt;1000000000),1),Y$4:Y1644)),INDEX(F$4:F1644,MATCH(LARGE(FILTER(K$4:K1644,K$4:K1644&lt;1000000000),1),K$4:K1644)))),AND(K368&lt;1000000000,COUNTA(C368:C1644)&gt;0,P$3=FALSE),
ROUNDDOWN(INDEX(Y$4:Y1644,MATCH(LARGE(FILTER(W$4:W1644,W$4:W1644&lt;=I368),1),W$4:W1644"&amp;"))+(I368-LARGE(FILTER(W$4:W1644,W$4:W1644&lt;=I368),1))*INDEX(T$4:T1644,MATCH(LARGE(FILTER(W$4:W1644,W$4:W1644&lt;=I368),1),W$4:W1644))-K368),1,
ROUNDDOWN(Y368-INDEX(K$4:K1644,MATCH(LARGE(FILTER(I$4:I1644,I$4:I1644&lt;=W368),1),I$4:I1644))-(W368-LARGE(FILTER(I$4:I"&amp;"1644,I$4:I1644&lt;=W368),1))*INDEX(F$4:F1644,MATCH(LARGE(FILTER(I$4:I1644,I$4:I1644&lt;=W368),1),I$4:I1644))))"),3.1338745E7)</f>
        <v>31338745</v>
      </c>
      <c r="N368" s="60">
        <f t="shared" si="8"/>
        <v>-59.06751</v>
      </c>
      <c r="O368" s="61" t="str">
        <f t="shared" si="9"/>
        <v>31,3M</v>
      </c>
      <c r="P368" s="56">
        <f t="shared" si="10"/>
        <v>8</v>
      </c>
      <c r="Q368" s="105" t="s">
        <v>9</v>
      </c>
      <c r="R368" s="10"/>
      <c r="S368" s="59">
        <f t="array" ref="S368">IF(COUNTA(Q368:Q1644)=0,"",SUM((COUNTIF(Q$4:Q368,Upgrades!$B$3:$B$13)-COUNTIF(Q$4:Q368,"Sell_"&amp;Upgrades!$B$3:$B$13))*Upgrades!$D$3:$D$13))</f>
        <v>513585.4</v>
      </c>
      <c r="T368" s="66">
        <f>IFERROR(__xludf.DUMMYFUNCTION("IF(COUNTA(Q368:Q1644)=0,"""",IF(REGEXMATCH(INDEX(FILTER(Q$4:Q368,Q$4:Q368&lt;&gt;""""),ROWS(FILTER(Q$4:Q368,Q$4:Q368&lt;&gt;""""))),""^Sell_""),INDEX(FILTER(T$4:T367,Q$4:Q367&lt;&gt;""""),ROWS(FILTER(Q$4:Q367,Q$4:Q367&lt;&gt;""""))),$AD$5+S368))"),513595.4)</f>
        <v>513595.4</v>
      </c>
      <c r="U368" s="10">
        <f>IFERROR(__xludf.DUMMYFUNCTION("IF(COUNTA(Q368:Q1644)=0,"""",IF(Q368="""",0,IF(REGEXMATCH(Q368,""^Sell_""),-ROUNDDOWN(ROUNDUP(INDEX(Upgrades!$C$3:$C$13,MATCH(SUBSTITUTE(Q368,""Sell_"",""""),Upgrades!$B$3:$B$13,0))*1.15^(COUNTIF(Q$4:Q367,SUBSTITUTE(Q368,""Sell_"",""""))-COUNTIF(Q$4:Q367,"&amp;"""Sell_""&amp;SUBSTITUTE(Q368,""Sell_"",""""))))/2),ROUNDUP(INDEX(Upgrades!$C$3:$C$13,MATCH(Q368,Upgrades!$B$3:$B$13,0))*1.15^(COUNTIF(Q$4:Q367,Q368)-COUNTIF(Q$4:Q367,""Sell_""&amp;Q368))))))"),532004.0)</f>
        <v>532004</v>
      </c>
      <c r="V368" s="10">
        <f t="shared" si="11"/>
        <v>532004</v>
      </c>
      <c r="W368" s="68">
        <f t="shared" si="12"/>
        <v>7456.357832</v>
      </c>
      <c r="X368" s="59" t="str">
        <f t="shared" si="13"/>
        <v>2h 04m 16s</v>
      </c>
      <c r="Y368" s="69">
        <f t="shared" si="14"/>
        <v>814624934</v>
      </c>
      <c r="Z368" s="11"/>
      <c r="AG368" s="59"/>
    </row>
    <row r="369">
      <c r="A369" s="8"/>
      <c r="B369" s="56" t="str">
        <f t="shared" si="2"/>
        <v/>
      </c>
      <c r="C369" s="105"/>
      <c r="D369" s="10"/>
      <c r="E369" s="59" t="str">
        <f t="array" ref="E369">IF(COUNTA(C369:C1644)=0,"",SUM((COUNTIF(C$4:C369,Upgrades!$B$3:$B$13)-COUNTIF(C$4:C369,"Sell_"&amp;Upgrades!$B$3:$B$13))*Upgrades!$D$3:$D$13))</f>
        <v/>
      </c>
      <c r="F369" s="66" t="str">
        <f>IFERROR(__xludf.DUMMYFUNCTION("IF(COUNTA(C369:C1644)=0,"""",IF(REGEXMATCH(INDEX(FILTER(C$4:C369,C$4:C369&lt;&gt;""""),ROWS(FILTER(C$4:C369,C$4:C369&lt;&gt;""""))),""^Sell_""),INDEX(FILTER(F$4:F368,C$4:C368&lt;&gt;""""),ROWS(FILTER(C$4:C368,C$4:C368&lt;&gt;""""))),$AC$5+E369))"),"")</f>
        <v/>
      </c>
      <c r="G369" s="10" t="str">
        <f>IFERROR(__xludf.DUMMYFUNCTION("IF(COUNTA(C369:C1644)=0,"""",IF(C369="""",0,IF(REGEXMATCH(C369,""^Sell_""),-ROUNDDOWN(ROUNDUP(INDEX(Upgrades!$C$3:$C$13,MATCH(SUBSTITUTE(C369,""Sell_"",""""),Upgrades!$B$3:$B$13,0))*1.15^(COUNTIF(C$4:C368,SUBSTITUTE(C369,""Sell_"",""""))-COUNTIF(C$4:C368,"&amp;"""Sell_""&amp;SUBSTITUTE(C369,""Sell_"",""""))))/2),ROUNDUP(INDEX(Upgrades!$C$3:$C$13,MATCH(C369,Upgrades!$B$3:$B$13,0))*1.15^(COUNTIF(C$4:C368,C369)-COUNTIF(C$4:C368,""Sell_""&amp;C369))))))"),"")</f>
        <v/>
      </c>
      <c r="H369" s="10" t="str">
        <f t="shared" si="3"/>
        <v/>
      </c>
      <c r="I369" s="68" t="str">
        <f t="shared" si="4"/>
        <v/>
      </c>
      <c r="J369" s="59" t="str">
        <f t="shared" si="5"/>
        <v/>
      </c>
      <c r="K369" s="69" t="str">
        <f t="shared" si="6"/>
        <v/>
      </c>
      <c r="L369" s="60">
        <f t="shared" si="7"/>
        <v>-59.05553</v>
      </c>
      <c r="M369" s="61">
        <f>IFERROR(__xludf.DUMMYFUNCTION("IFS(AND(COUNTA(C369:C1644)=0,COUNTA(Q369:Q1644)=0),"""",OR(AND(K369&gt;=1000000000,OR(Y369&gt;=1000000000,COUNTA(Q369:Q1644)=0)),OR(Y369&gt;=1000000000,AND(COUNTA(C369:C1644)=0,P$3=TRUE))),
ROUNDDOWN((AB$1-AC$1)*MAX(INDEX(T$4:T1644,MATCH(LARGE(FILTER(Y$4:Y1644,Y$4"&amp;":Y1644&lt;1000000000),1),Y$4:Y1644)),INDEX(F$4:F1644,MATCH(LARGE(FILTER(K$4:K1644,K$4:K1644&lt;1000000000),1),K$4:K1644)))),AND(K369&lt;1000000000,COUNTA(C369:C1644)&gt;0,P$3=FALSE),
ROUNDDOWN(INDEX(Y$4:Y1644,MATCH(LARGE(FILTER(W$4:W1644,W$4:W1644&lt;=I369),1),W$4:W1644"&amp;"))+(I369-LARGE(FILTER(W$4:W1644,W$4:W1644&lt;=I369),1))*INDEX(T$4:T1644,MATCH(LARGE(FILTER(W$4:W1644,W$4:W1644&lt;=I369),1),W$4:W1644))-K369),1,
ROUNDDOWN(Y369-INDEX(K$4:K1644,MATCH(LARGE(FILTER(I$4:I1644,I$4:I1644&lt;=W369),1),I$4:I1644))-(W369-LARGE(FILTER(I$4:I"&amp;"1644,I$4:I1644&lt;=W369),1))*INDEX(F$4:F1644,MATCH(LARGE(FILTER(I$4:I1644,I$4:I1644&lt;=W369),1),I$4:I1644))))"),3.1336267E7)</f>
        <v>31336267</v>
      </c>
      <c r="N369" s="60">
        <f t="shared" si="8"/>
        <v>-59.05553</v>
      </c>
      <c r="O369" s="61" t="str">
        <f t="shared" si="9"/>
        <v>31,3M</v>
      </c>
      <c r="P369" s="56">
        <f t="shared" si="10"/>
        <v>10</v>
      </c>
      <c r="Q369" s="105" t="s">
        <v>8</v>
      </c>
      <c r="R369" s="10"/>
      <c r="S369" s="59">
        <f t="array" ref="S369">IF(COUNTA(Q369:Q1644)=0,"",SUM((COUNTIF(Q$4:Q369,Upgrades!$B$3:$B$13)-COUNTIF(Q$4:Q369,"Sell_"&amp;Upgrades!$B$3:$B$13))*Upgrades!$D$3:$D$13))</f>
        <v>513685.4</v>
      </c>
      <c r="T369" s="66">
        <f>IFERROR(__xludf.DUMMYFUNCTION("IF(COUNTA(Q369:Q1644)=0,"""",IF(REGEXMATCH(INDEX(FILTER(Q$4:Q369,Q$4:Q369&lt;&gt;""""),ROWS(FILTER(Q$4:Q369,Q$4:Q369&lt;&gt;""""))),""^Sell_""),INDEX(FILTER(T$4:T368,Q$4:Q368&lt;&gt;""""),ROWS(FILTER(Q$4:Q368,Q$4:Q368&lt;&gt;""""))),$AD$5+S369))"),513695.4)</f>
        <v>513695.4</v>
      </c>
      <c r="U369" s="10">
        <f>IFERROR(__xludf.DUMMYFUNCTION("IF(COUNTA(Q369:Q1644)=0,"""",IF(Q369="""",0,IF(REGEXMATCH(Q369,""^Sell_""),-ROUNDDOWN(ROUNDUP(INDEX(Upgrades!$C$3:$C$13,MATCH(SUBSTITUTE(Q369,""Sell_"",""""),Upgrades!$B$3:$B$13,0))*1.15^(COUNTIF(Q$4:Q368,SUBSTITUTE(Q369,""Sell_"",""""))-COUNTIF(Q$4:Q368,"&amp;"""Sell_""&amp;SUBSTITUTE(Q369,""Sell_"",""""))))/2),ROUNDUP(INDEX(Upgrades!$C$3:$C$13,MATCH(Q369,Upgrades!$B$3:$B$13,0))*1.15^(COUNTIF(Q$4:Q368,Q369)-COUNTIF(Q$4:Q368,""Sell_""&amp;Q369))))))"),140716.0)</f>
        <v>140716</v>
      </c>
      <c r="V369" s="10">
        <f t="shared" si="11"/>
        <v>140716</v>
      </c>
      <c r="W369" s="68">
        <f t="shared" si="12"/>
        <v>7456.631814</v>
      </c>
      <c r="X369" s="59" t="str">
        <f t="shared" si="13"/>
        <v>2h 04m 16s</v>
      </c>
      <c r="Y369" s="69">
        <f t="shared" si="14"/>
        <v>814765650</v>
      </c>
      <c r="Z369" s="11"/>
      <c r="AG369" s="59"/>
    </row>
    <row r="370">
      <c r="A370" s="8"/>
      <c r="B370" s="56" t="str">
        <f t="shared" si="2"/>
        <v/>
      </c>
      <c r="C370" s="105"/>
      <c r="D370" s="10"/>
      <c r="E370" s="59" t="str">
        <f t="array" ref="E370">IF(COUNTA(C370:C1644)=0,"",SUM((COUNTIF(C$4:C370,Upgrades!$B$3:$B$13)-COUNTIF(C$4:C370,"Sell_"&amp;Upgrades!$B$3:$B$13))*Upgrades!$D$3:$D$13))</f>
        <v/>
      </c>
      <c r="F370" s="66" t="str">
        <f>IFERROR(__xludf.DUMMYFUNCTION("IF(COUNTA(C370:C1644)=0,"""",IF(REGEXMATCH(INDEX(FILTER(C$4:C370,C$4:C370&lt;&gt;""""),ROWS(FILTER(C$4:C370,C$4:C370&lt;&gt;""""))),""^Sell_""),INDEX(FILTER(F$4:F369,C$4:C369&lt;&gt;""""),ROWS(FILTER(C$4:C369,C$4:C369&lt;&gt;""""))),$AC$5+E370))"),"")</f>
        <v/>
      </c>
      <c r="G370" s="10" t="str">
        <f>IFERROR(__xludf.DUMMYFUNCTION("IF(COUNTA(C370:C1644)=0,"""",IF(C370="""",0,IF(REGEXMATCH(C370,""^Sell_""),-ROUNDDOWN(ROUNDUP(INDEX(Upgrades!$C$3:$C$13,MATCH(SUBSTITUTE(C370,""Sell_"",""""),Upgrades!$B$3:$B$13,0))*1.15^(COUNTIF(C$4:C369,SUBSTITUTE(C370,""Sell_"",""""))-COUNTIF(C$4:C369,"&amp;"""Sell_""&amp;SUBSTITUTE(C370,""Sell_"",""""))))/2),ROUNDUP(INDEX(Upgrades!$C$3:$C$13,MATCH(C370,Upgrades!$B$3:$B$13,0))*1.15^(COUNTIF(C$4:C369,C370)-COUNTIF(C$4:C369,""Sell_""&amp;C370))))))"),"")</f>
        <v/>
      </c>
      <c r="H370" s="10" t="str">
        <f t="shared" si="3"/>
        <v/>
      </c>
      <c r="I370" s="68" t="str">
        <f t="shared" si="4"/>
        <v/>
      </c>
      <c r="J370" s="59" t="str">
        <f t="shared" si="5"/>
        <v/>
      </c>
      <c r="K370" s="69" t="str">
        <f t="shared" si="6"/>
        <v/>
      </c>
      <c r="L370" s="60">
        <f t="shared" si="7"/>
        <v>-59.00367</v>
      </c>
      <c r="M370" s="61">
        <f>IFERROR(__xludf.DUMMYFUNCTION("IFS(AND(COUNTA(C370:C1644)=0,COUNTA(Q370:Q1644)=0),"""",OR(AND(K370&gt;=1000000000,OR(Y370&gt;=1000000000,COUNTA(Q370:Q1644)=0)),OR(Y370&gt;=1000000000,AND(COUNTA(C370:C1644)=0,P$3=TRUE))),
ROUNDDOWN((AB$1-AC$1)*MAX(INDEX(T$4:T1644,MATCH(LARGE(FILTER(Y$4:Y1644,Y$4"&amp;":Y1644&lt;1000000000),1),Y$4:Y1644)),INDEX(F$4:F1644,MATCH(LARGE(FILTER(K$4:K1644,K$4:K1644&lt;1000000000),1),K$4:K1644)))),AND(K370&lt;1000000000,COUNTA(C370:C1644)&gt;0,P$3=FALSE),
ROUNDDOWN(INDEX(Y$4:Y1644,MATCH(LARGE(FILTER(W$4:W1644,W$4:W1644&lt;=I370),1),W$4:W1644"&amp;"))+(I370-LARGE(FILTER(W$4:W1644,W$4:W1644&lt;=I370),1))*INDEX(T$4:T1644,MATCH(LARGE(FILTER(W$4:W1644,W$4:W1644&lt;=I370),1),W$4:W1644))-K370),1,
ROUNDDOWN(Y370-INDEX(K$4:K1644,MATCH(LARGE(FILTER(I$4:I1644,I$4:I1644&lt;=W370),1),I$4:I1644))-(W370-LARGE(FILTER(I$4:I"&amp;"1644,I$4:I1644&lt;=W370),1))*INDEX(F$4:F1644,MATCH(LARGE(FILTER(I$4:I1644,I$4:I1644&lt;=W370),1),I$4:I1644))))"),3.1325612E7)</f>
        <v>31325612</v>
      </c>
      <c r="N370" s="60">
        <f t="shared" si="8"/>
        <v>-59.00367</v>
      </c>
      <c r="O370" s="61" t="str">
        <f t="shared" si="9"/>
        <v>31,3M</v>
      </c>
      <c r="P370" s="56">
        <f t="shared" si="10"/>
        <v>9</v>
      </c>
      <c r="Q370" s="105" t="s">
        <v>9</v>
      </c>
      <c r="R370" s="10"/>
      <c r="S370" s="59">
        <f t="array" ref="S370">IF(COUNTA(Q370:Q1644)=0,"",SUM((COUNTIF(Q$4:Q370,Upgrades!$B$3:$B$13)-COUNTIF(Q$4:Q370,"Sell_"&amp;Upgrades!$B$3:$B$13))*Upgrades!$D$3:$D$13))</f>
        <v>514085.4</v>
      </c>
      <c r="T370" s="66">
        <f>IFERROR(__xludf.DUMMYFUNCTION("IF(COUNTA(Q370:Q1644)=0,"""",IF(REGEXMATCH(INDEX(FILTER(Q$4:Q370,Q$4:Q370&lt;&gt;""""),ROWS(FILTER(Q$4:Q370,Q$4:Q370&lt;&gt;""""))),""^Sell_""),INDEX(FILTER(T$4:T369,Q$4:Q369&lt;&gt;""""),ROWS(FILTER(Q$4:Q369,Q$4:Q369&lt;&gt;""""))),$AD$5+S370))"),514095.4)</f>
        <v>514095.4</v>
      </c>
      <c r="U370" s="10">
        <f>IFERROR(__xludf.DUMMYFUNCTION("IF(COUNTA(Q370:Q1644)=0,"""",IF(Q370="""",0,IF(REGEXMATCH(Q370,""^Sell_""),-ROUNDDOWN(ROUNDUP(INDEX(Upgrades!$C$3:$C$13,MATCH(SUBSTITUTE(Q370,""Sell_"",""""),Upgrades!$B$3:$B$13,0))*1.15^(COUNTIF(Q$4:Q369,SUBSTITUTE(Q370,""Sell_"",""""))-COUNTIF(Q$4:Q369,"&amp;"""Sell_""&amp;SUBSTITUTE(Q370,""Sell_"",""""))))/2),ROUNDUP(INDEX(Upgrades!$C$3:$C$13,MATCH(Q370,Upgrades!$B$3:$B$13,0))*1.15^(COUNTIF(Q$4:Q369,Q370)-COUNTIF(Q$4:Q369,""Sell_""&amp;Q370))))))"),611805.0)</f>
        <v>611805</v>
      </c>
      <c r="V370" s="10">
        <f t="shared" si="11"/>
        <v>611805</v>
      </c>
      <c r="W370" s="68">
        <f t="shared" si="12"/>
        <v>7457.822802</v>
      </c>
      <c r="X370" s="59" t="str">
        <f t="shared" si="13"/>
        <v>2h 04m 17s</v>
      </c>
      <c r="Y370" s="69">
        <f t="shared" si="14"/>
        <v>815377455</v>
      </c>
      <c r="Z370" s="11"/>
      <c r="AG370" s="59"/>
    </row>
    <row r="371">
      <c r="A371" s="8"/>
      <c r="B371" s="56" t="str">
        <f t="shared" si="2"/>
        <v/>
      </c>
      <c r="C371" s="105"/>
      <c r="D371" s="10"/>
      <c r="E371" s="59" t="str">
        <f t="array" ref="E371">IF(COUNTA(C371:C1644)=0,"",SUM((COUNTIF(C$4:C371,Upgrades!$B$3:$B$13)-COUNTIF(C$4:C371,"Sell_"&amp;Upgrades!$B$3:$B$13))*Upgrades!$D$3:$D$13))</f>
        <v/>
      </c>
      <c r="F371" s="66" t="str">
        <f>IFERROR(__xludf.DUMMYFUNCTION("IF(COUNTA(C371:C1644)=0,"""",IF(REGEXMATCH(INDEX(FILTER(C$4:C371,C$4:C371&lt;&gt;""""),ROWS(FILTER(C$4:C371,C$4:C371&lt;&gt;""""))),""^Sell_""),INDEX(FILTER(F$4:F370,C$4:C370&lt;&gt;""""),ROWS(FILTER(C$4:C370,C$4:C370&lt;&gt;""""))),$AC$5+E371))"),"")</f>
        <v/>
      </c>
      <c r="G371" s="10" t="str">
        <f>IFERROR(__xludf.DUMMYFUNCTION("IF(COUNTA(C371:C1644)=0,"""",IF(C371="""",0,IF(REGEXMATCH(C371,""^Sell_""),-ROUNDDOWN(ROUNDUP(INDEX(Upgrades!$C$3:$C$13,MATCH(SUBSTITUTE(C371,""Sell_"",""""),Upgrades!$B$3:$B$13,0))*1.15^(COUNTIF(C$4:C370,SUBSTITUTE(C371,""Sell_"",""""))-COUNTIF(C$4:C370,"&amp;"""Sell_""&amp;SUBSTITUTE(C371,""Sell_"",""""))))/2),ROUNDUP(INDEX(Upgrades!$C$3:$C$13,MATCH(C371,Upgrades!$B$3:$B$13,0))*1.15^(COUNTIF(C$4:C370,C371)-COUNTIF(C$4:C370,""Sell_""&amp;C371))))))"),"")</f>
        <v/>
      </c>
      <c r="H371" s="10" t="str">
        <f t="shared" si="3"/>
        <v/>
      </c>
      <c r="I371" s="68" t="str">
        <f t="shared" si="4"/>
        <v/>
      </c>
      <c r="J371" s="59" t="str">
        <f t="shared" si="5"/>
        <v/>
      </c>
      <c r="K371" s="69" t="str">
        <f t="shared" si="6"/>
        <v/>
      </c>
      <c r="L371" s="60">
        <f t="shared" si="7"/>
        <v>-58.99019</v>
      </c>
      <c r="M371" s="61">
        <f>IFERROR(__xludf.DUMMYFUNCTION("IFS(AND(COUNTA(C371:C1644)=0,COUNTA(Q371:Q1644)=0),"""",OR(AND(K371&gt;=1000000000,OR(Y371&gt;=1000000000,COUNTA(Q371:Q1644)=0)),OR(Y371&gt;=1000000000,AND(COUNTA(C371:C1644)=0,P$3=TRUE))),
ROUNDDOWN((AB$1-AC$1)*MAX(INDEX(T$4:T1644,MATCH(LARGE(FILTER(Y$4:Y1644,Y$4"&amp;":Y1644&lt;1000000000),1),Y$4:Y1644)),INDEX(F$4:F1644,MATCH(LARGE(FILTER(K$4:K1644,K$4:K1644&lt;1000000000),1),K$4:K1644)))),AND(K371&lt;1000000000,COUNTA(C371:C1644)&gt;0,P$3=FALSE),
ROUNDDOWN(INDEX(Y$4:Y1644,MATCH(LARGE(FILTER(W$4:W1644,W$4:W1644&lt;=I371),1),W$4:W1644"&amp;"))+(I371-LARGE(FILTER(W$4:W1644,W$4:W1644&lt;=I371),1))*INDEX(T$4:T1644,MATCH(LARGE(FILTER(W$4:W1644,W$4:W1644&lt;=I371),1),W$4:W1644))-K371),1,
ROUNDDOWN(Y371-INDEX(K$4:K1644,MATCH(LARGE(FILTER(I$4:I1644,I$4:I1644&lt;=W371),1),I$4:I1644))-(W371-LARGE(FILTER(I$4:I"&amp;"1644,I$4:I1644&lt;=W371),1))*INDEX(F$4:F1644,MATCH(LARGE(FILTER(I$4:I1644,I$4:I1644&lt;=W371),1),I$4:I1644))))"),3.1322922E7)</f>
        <v>31322922</v>
      </c>
      <c r="N371" s="60">
        <f t="shared" si="8"/>
        <v>-58.99019</v>
      </c>
      <c r="O371" s="61" t="str">
        <f t="shared" si="9"/>
        <v>31,3M</v>
      </c>
      <c r="P371" s="56">
        <f t="shared" si="10"/>
        <v>11</v>
      </c>
      <c r="Q371" s="105" t="s">
        <v>8</v>
      </c>
      <c r="R371" s="10"/>
      <c r="S371" s="59">
        <f t="array" ref="S371">IF(COUNTA(Q371:Q1644)=0,"",SUM((COUNTIF(Q$4:Q371,Upgrades!$B$3:$B$13)-COUNTIF(Q$4:Q371,"Sell_"&amp;Upgrades!$B$3:$B$13))*Upgrades!$D$3:$D$13))</f>
        <v>514185.4</v>
      </c>
      <c r="T371" s="66">
        <f>IFERROR(__xludf.DUMMYFUNCTION("IF(COUNTA(Q371:Q1644)=0,"""",IF(REGEXMATCH(INDEX(FILTER(Q$4:Q371,Q$4:Q371&lt;&gt;""""),ROWS(FILTER(Q$4:Q371,Q$4:Q371&lt;&gt;""""))),""^Sell_""),INDEX(FILTER(T$4:T370,Q$4:Q370&lt;&gt;""""),ROWS(FILTER(Q$4:Q370,Q$4:Q370&lt;&gt;""""))),$AD$5+S371))"),514195.4)</f>
        <v>514195.4</v>
      </c>
      <c r="U371" s="10">
        <f>IFERROR(__xludf.DUMMYFUNCTION("IF(COUNTA(Q371:Q1644)=0,"""",IF(Q371="""",0,IF(REGEXMATCH(Q371,""^Sell_""),-ROUNDDOWN(ROUNDUP(INDEX(Upgrades!$C$3:$C$13,MATCH(SUBSTITUTE(Q371,""Sell_"",""""),Upgrades!$B$3:$B$13,0))*1.15^(COUNTIF(Q$4:Q370,SUBSTITUTE(Q371,""Sell_"",""""))-COUNTIF(Q$4:Q370,"&amp;"""Sell_""&amp;SUBSTITUTE(Q371,""Sell_"",""""))))/2),ROUNDUP(INDEX(Upgrades!$C$3:$C$13,MATCH(Q371,Upgrades!$B$3:$B$13,0))*1.15^(COUNTIF(Q$4:Q370,Q371)-COUNTIF(Q$4:Q370,""Sell_""&amp;Q371))))))"),161823.0)</f>
        <v>161823</v>
      </c>
      <c r="V371" s="10">
        <f t="shared" si="11"/>
        <v>161823</v>
      </c>
      <c r="W371" s="68">
        <f t="shared" si="12"/>
        <v>7458.137574</v>
      </c>
      <c r="X371" s="59" t="str">
        <f t="shared" si="13"/>
        <v>2h 04m 18s</v>
      </c>
      <c r="Y371" s="69">
        <f t="shared" si="14"/>
        <v>815539278</v>
      </c>
      <c r="Z371" s="11"/>
      <c r="AG371" s="59"/>
    </row>
    <row r="372">
      <c r="A372" s="8"/>
      <c r="B372" s="56" t="str">
        <f t="shared" si="2"/>
        <v/>
      </c>
      <c r="C372" s="105"/>
      <c r="D372" s="10"/>
      <c r="E372" s="59" t="str">
        <f t="array" ref="E372">IF(COUNTA(C372:C1644)=0,"",SUM((COUNTIF(C$4:C372,Upgrades!$B$3:$B$13)-COUNTIF(C$4:C372,"Sell_"&amp;Upgrades!$B$3:$B$13))*Upgrades!$D$3:$D$13))</f>
        <v/>
      </c>
      <c r="F372" s="66" t="str">
        <f>IFERROR(__xludf.DUMMYFUNCTION("IF(COUNTA(C372:C1644)=0,"""",IF(REGEXMATCH(INDEX(FILTER(C$4:C372,C$4:C372&lt;&gt;""""),ROWS(FILTER(C$4:C372,C$4:C372&lt;&gt;""""))),""^Sell_""),INDEX(FILTER(F$4:F371,C$4:C371&lt;&gt;""""),ROWS(FILTER(C$4:C371,C$4:C371&lt;&gt;""""))),$AC$5+E372))"),"")</f>
        <v/>
      </c>
      <c r="G372" s="10" t="str">
        <f>IFERROR(__xludf.DUMMYFUNCTION("IF(COUNTA(C372:C1644)=0,"""",IF(C372="""",0,IF(REGEXMATCH(C372,""^Sell_""),-ROUNDDOWN(ROUNDUP(INDEX(Upgrades!$C$3:$C$13,MATCH(SUBSTITUTE(C372,""Sell_"",""""),Upgrades!$B$3:$B$13,0))*1.15^(COUNTIF(C$4:C371,SUBSTITUTE(C372,""Sell_"",""""))-COUNTIF(C$4:C371,"&amp;"""Sell_""&amp;SUBSTITUTE(C372,""Sell_"",""""))))/2),ROUNDUP(INDEX(Upgrades!$C$3:$C$13,MATCH(C372,Upgrades!$B$3:$B$13,0))*1.15^(COUNTIF(C$4:C371,C372)-COUNTIF(C$4:C371,""Sell_""&amp;C372))))))"),"")</f>
        <v/>
      </c>
      <c r="H372" s="10" t="str">
        <f t="shared" si="3"/>
        <v/>
      </c>
      <c r="I372" s="68" t="str">
        <f t="shared" si="4"/>
        <v/>
      </c>
      <c r="J372" s="59" t="str">
        <f t="shared" si="5"/>
        <v/>
      </c>
      <c r="K372" s="69" t="str">
        <f t="shared" si="6"/>
        <v/>
      </c>
      <c r="L372" s="60">
        <f t="shared" si="7"/>
        <v>-58.93188</v>
      </c>
      <c r="M372" s="61">
        <f>IFERROR(__xludf.DUMMYFUNCTION("IFS(AND(COUNTA(C372:C1644)=0,COUNTA(Q372:Q1644)=0),"""",OR(AND(K372&gt;=1000000000,OR(Y372&gt;=1000000000,COUNTA(Q372:Q1644)=0)),OR(Y372&gt;=1000000000,AND(COUNTA(C372:C1644)=0,P$3=TRUE))),
ROUNDDOWN((AB$1-AC$1)*MAX(INDEX(T$4:T1644,MATCH(LARGE(FILTER(Y$4:Y1644,Y$4"&amp;":Y1644&lt;1000000000),1),Y$4:Y1644)),INDEX(F$4:F1644,MATCH(LARGE(FILTER(K$4:K1644,K$4:K1644&lt;1000000000),1),K$4:K1644)))),AND(K372&lt;1000000000,COUNTA(C372:C1644)&gt;0,P$3=FALSE),
ROUNDDOWN(INDEX(Y$4:Y1644,MATCH(LARGE(FILTER(W$4:W1644,W$4:W1644&lt;=I372),1),W$4:W1644"&amp;"))+(I372-LARGE(FILTER(W$4:W1644,W$4:W1644&lt;=I372),1))*INDEX(T$4:T1644,MATCH(LARGE(FILTER(W$4:W1644,W$4:W1644&lt;=I372),1),W$4:W1644))-K372),1,
ROUNDDOWN(Y372-INDEX(K$4:K1644,MATCH(LARGE(FILTER(I$4:I1644,I$4:I1644&lt;=W372),1),I$4:I1644))-(W372-LARGE(FILTER(I$4:I"&amp;"1644,I$4:I1644&lt;=W372),1))*INDEX(F$4:F1644,MATCH(LARGE(FILTER(I$4:I1644,I$4:I1644&lt;=W372),1),I$4:I1644))))"),3.1307149E7)</f>
        <v>31307149</v>
      </c>
      <c r="N372" s="60">
        <f t="shared" si="8"/>
        <v>-58.93188</v>
      </c>
      <c r="O372" s="61" t="str">
        <f t="shared" si="9"/>
        <v>31,3M</v>
      </c>
      <c r="P372" s="56">
        <f t="shared" si="10"/>
        <v>10</v>
      </c>
      <c r="Q372" s="105" t="s">
        <v>9</v>
      </c>
      <c r="R372" s="10"/>
      <c r="S372" s="59">
        <f t="array" ref="S372">IF(COUNTA(Q372:Q1644)=0,"",SUM((COUNTIF(Q$4:Q372,Upgrades!$B$3:$B$13)-COUNTIF(Q$4:Q372,"Sell_"&amp;Upgrades!$B$3:$B$13))*Upgrades!$D$3:$D$13))</f>
        <v>514585.4</v>
      </c>
      <c r="T372" s="66">
        <f>IFERROR(__xludf.DUMMYFUNCTION("IF(COUNTA(Q372:Q1644)=0,"""",IF(REGEXMATCH(INDEX(FILTER(Q$4:Q372,Q$4:Q372&lt;&gt;""""),ROWS(FILTER(Q$4:Q372,Q$4:Q372&lt;&gt;""""))),""^Sell_""),INDEX(FILTER(T$4:T371,Q$4:Q371&lt;&gt;""""),ROWS(FILTER(Q$4:Q371,Q$4:Q371&lt;&gt;""""))),$AD$5+S372))"),514595.4)</f>
        <v>514595.4</v>
      </c>
      <c r="U372" s="10">
        <f>IFERROR(__xludf.DUMMYFUNCTION("IF(COUNTA(Q372:Q1644)=0,"""",IF(Q372="""",0,IF(REGEXMATCH(Q372,""^Sell_""),-ROUNDDOWN(ROUNDUP(INDEX(Upgrades!$C$3:$C$13,MATCH(SUBSTITUTE(Q372,""Sell_"",""""),Upgrades!$B$3:$B$13,0))*1.15^(COUNTIF(Q$4:Q371,SUBSTITUTE(Q372,""Sell_"",""""))-COUNTIF(Q$4:Q371,"&amp;"""Sell_""&amp;SUBSTITUTE(Q372,""Sell_"",""""))))/2),ROUNDUP(INDEX(Upgrades!$C$3:$C$13,MATCH(Q372,Upgrades!$B$3:$B$13,0))*1.15^(COUNTIF(Q$4:Q371,Q372)-COUNTIF(Q$4:Q371,""Sell_""&amp;Q372))))))"),703576.0)</f>
        <v>703576</v>
      </c>
      <c r="V372" s="10">
        <f t="shared" si="11"/>
        <v>703576</v>
      </c>
      <c r="W372" s="68">
        <f t="shared" si="12"/>
        <v>7459.505879</v>
      </c>
      <c r="X372" s="59" t="str">
        <f t="shared" si="13"/>
        <v>2h 04m 19s</v>
      </c>
      <c r="Y372" s="69">
        <f t="shared" si="14"/>
        <v>816242854</v>
      </c>
      <c r="Z372" s="11"/>
      <c r="AG372" s="59"/>
    </row>
    <row r="373">
      <c r="A373" s="8"/>
      <c r="B373" s="56" t="str">
        <f t="shared" si="2"/>
        <v/>
      </c>
      <c r="C373" s="105"/>
      <c r="D373" s="10"/>
      <c r="E373" s="59" t="str">
        <f t="array" ref="E373">IF(COUNTA(C373:C1644)=0,"",SUM((COUNTIF(C$4:C373,Upgrades!$B$3:$B$13)-COUNTIF(C$4:C373,"Sell_"&amp;Upgrades!$B$3:$B$13))*Upgrades!$D$3:$D$13))</f>
        <v/>
      </c>
      <c r="F373" s="66" t="str">
        <f>IFERROR(__xludf.DUMMYFUNCTION("IF(COUNTA(C373:C1644)=0,"""",IF(REGEXMATCH(INDEX(FILTER(C$4:C373,C$4:C373&lt;&gt;""""),ROWS(FILTER(C$4:C373,C$4:C373&lt;&gt;""""))),""^Sell_""),INDEX(FILTER(F$4:F372,C$4:C372&lt;&gt;""""),ROWS(FILTER(C$4:C372,C$4:C372&lt;&gt;""""))),$AC$5+E373))"),"")</f>
        <v/>
      </c>
      <c r="G373" s="10" t="str">
        <f>IFERROR(__xludf.DUMMYFUNCTION("IF(COUNTA(C373:C1644)=0,"""",IF(C373="""",0,IF(REGEXMATCH(C373,""^Sell_""),-ROUNDDOWN(ROUNDUP(INDEX(Upgrades!$C$3:$C$13,MATCH(SUBSTITUTE(C373,""Sell_"",""""),Upgrades!$B$3:$B$13,0))*1.15^(COUNTIF(C$4:C372,SUBSTITUTE(C373,""Sell_"",""""))-COUNTIF(C$4:C372,"&amp;"""Sell_""&amp;SUBSTITUTE(C373,""Sell_"",""""))))/2),ROUNDUP(INDEX(Upgrades!$C$3:$C$13,MATCH(C373,Upgrades!$B$3:$B$13,0))*1.15^(COUNTIF(C$4:C372,C373)-COUNTIF(C$4:C372,""Sell_""&amp;C373))))))"),"")</f>
        <v/>
      </c>
      <c r="H373" s="10" t="str">
        <f t="shared" si="3"/>
        <v/>
      </c>
      <c r="I373" s="68" t="str">
        <f t="shared" si="4"/>
        <v/>
      </c>
      <c r="J373" s="59" t="str">
        <f t="shared" si="5"/>
        <v/>
      </c>
      <c r="K373" s="69" t="str">
        <f t="shared" si="6"/>
        <v/>
      </c>
      <c r="L373" s="60">
        <f t="shared" si="7"/>
        <v>-58.91674</v>
      </c>
      <c r="M373" s="61">
        <f>IFERROR(__xludf.DUMMYFUNCTION("IFS(AND(COUNTA(C373:C1644)=0,COUNTA(Q373:Q1644)=0),"""",OR(AND(K373&gt;=1000000000,OR(Y373&gt;=1000000000,COUNTA(Q373:Q1644)=0)),OR(Y373&gt;=1000000000,AND(COUNTA(C373:C1644)=0,P$3=TRUE))),
ROUNDDOWN((AB$1-AC$1)*MAX(INDEX(T$4:T1644,MATCH(LARGE(FILTER(Y$4:Y1644,Y$4"&amp;":Y1644&lt;1000000000),1),Y$4:Y1644)),INDEX(F$4:F1644,MATCH(LARGE(FILTER(K$4:K1644,K$4:K1644&lt;1000000000),1),K$4:K1644)))),AND(K373&lt;1000000000,COUNTA(C373:C1644)&gt;0,P$3=FALSE),
ROUNDDOWN(INDEX(Y$4:Y1644,MATCH(LARGE(FILTER(W$4:W1644,W$4:W1644&lt;=I373),1),W$4:W1644"&amp;"))+(I373-LARGE(FILTER(W$4:W1644,W$4:W1644&lt;=I373),1))*INDEX(T$4:T1644,MATCH(LARGE(FILTER(W$4:W1644,W$4:W1644&lt;=I373),1),W$4:W1644))-K373),1,
ROUNDDOWN(Y373-INDEX(K$4:K1644,MATCH(LARGE(FILTER(I$4:I1644,I$4:I1644&lt;=W373),1),I$4:I1644))-(W373-LARGE(FILTER(I$4:I"&amp;"1644,I$4:I1644&lt;=W373),1))*INDEX(F$4:F1644,MATCH(LARGE(FILTER(I$4:I1644,I$4:I1644&lt;=W373),1),I$4:I1644))))"),3.1301789E7)</f>
        <v>31301789</v>
      </c>
      <c r="N373" s="60">
        <f t="shared" si="8"/>
        <v>-58.91674</v>
      </c>
      <c r="O373" s="61" t="str">
        <f t="shared" si="9"/>
        <v>31,3M</v>
      </c>
      <c r="P373" s="56">
        <f t="shared" si="10"/>
        <v>12</v>
      </c>
      <c r="Q373" s="105" t="s">
        <v>8</v>
      </c>
      <c r="R373" s="10"/>
      <c r="S373" s="59">
        <f t="array" ref="S373">IF(COUNTA(Q373:Q1644)=0,"",SUM((COUNTIF(Q$4:Q373,Upgrades!$B$3:$B$13)-COUNTIF(Q$4:Q373,"Sell_"&amp;Upgrades!$B$3:$B$13))*Upgrades!$D$3:$D$13))</f>
        <v>514685.4</v>
      </c>
      <c r="T373" s="66">
        <f>IFERROR(__xludf.DUMMYFUNCTION("IF(COUNTA(Q373:Q1644)=0,"""",IF(REGEXMATCH(INDEX(FILTER(Q$4:Q373,Q$4:Q373&lt;&gt;""""),ROWS(FILTER(Q$4:Q373,Q$4:Q373&lt;&gt;""""))),""^Sell_""),INDEX(FILTER(T$4:T372,Q$4:Q372&lt;&gt;""""),ROWS(FILTER(Q$4:Q372,Q$4:Q372&lt;&gt;""""))),$AD$5+S373))"),514695.4)</f>
        <v>514695.4</v>
      </c>
      <c r="U373" s="10">
        <f>IFERROR(__xludf.DUMMYFUNCTION("IF(COUNTA(Q373:Q1644)=0,"""",IF(Q373="""",0,IF(REGEXMATCH(Q373,""^Sell_""),-ROUNDDOWN(ROUNDUP(INDEX(Upgrades!$C$3:$C$13,MATCH(SUBSTITUTE(Q373,""Sell_"",""""),Upgrades!$B$3:$B$13,0))*1.15^(COUNTIF(Q$4:Q372,SUBSTITUTE(Q373,""Sell_"",""""))-COUNTIF(Q$4:Q372,"&amp;"""Sell_""&amp;SUBSTITUTE(Q373,""Sell_"",""""))))/2),ROUNDUP(INDEX(Upgrades!$C$3:$C$13,MATCH(Q373,Upgrades!$B$3:$B$13,0))*1.15^(COUNTIF(Q$4:Q372,Q373)-COUNTIF(Q$4:Q372,""Sell_""&amp;Q373))))))"),186096.0)</f>
        <v>186096</v>
      </c>
      <c r="V373" s="10">
        <f t="shared" si="11"/>
        <v>186096</v>
      </c>
      <c r="W373" s="68">
        <f t="shared" si="12"/>
        <v>7459.867514</v>
      </c>
      <c r="X373" s="59" t="str">
        <f t="shared" si="13"/>
        <v>2h 04m 19s</v>
      </c>
      <c r="Y373" s="69">
        <f t="shared" si="14"/>
        <v>816428950</v>
      </c>
      <c r="Z373" s="11"/>
      <c r="AG373" s="59"/>
    </row>
    <row r="374">
      <c r="A374" s="8"/>
      <c r="B374" s="56" t="str">
        <f t="shared" si="2"/>
        <v/>
      </c>
      <c r="C374" s="105"/>
      <c r="D374" s="10"/>
      <c r="E374" s="59" t="str">
        <f t="array" ref="E374">IF(COUNTA(C374:C1644)=0,"",SUM((COUNTIF(C$4:C374,Upgrades!$B$3:$B$13)-COUNTIF(C$4:C374,"Sell_"&amp;Upgrades!$B$3:$B$13))*Upgrades!$D$3:$D$13))</f>
        <v/>
      </c>
      <c r="F374" s="66" t="str">
        <f>IFERROR(__xludf.DUMMYFUNCTION("IF(COUNTA(C374:C1644)=0,"""",IF(REGEXMATCH(INDEX(FILTER(C$4:C374,C$4:C374&lt;&gt;""""),ROWS(FILTER(C$4:C374,C$4:C374&lt;&gt;""""))),""^Sell_""),INDEX(FILTER(F$4:F373,C$4:C373&lt;&gt;""""),ROWS(FILTER(C$4:C373,C$4:C373&lt;&gt;""""))),$AC$5+E374))"),"")</f>
        <v/>
      </c>
      <c r="G374" s="10" t="str">
        <f>IFERROR(__xludf.DUMMYFUNCTION("IF(COUNTA(C374:C1644)=0,"""",IF(C374="""",0,IF(REGEXMATCH(C374,""^Sell_""),-ROUNDDOWN(ROUNDUP(INDEX(Upgrades!$C$3:$C$13,MATCH(SUBSTITUTE(C374,""Sell_"",""""),Upgrades!$B$3:$B$13,0))*1.15^(COUNTIF(C$4:C373,SUBSTITUTE(C374,""Sell_"",""""))-COUNTIF(C$4:C373,"&amp;"""Sell_""&amp;SUBSTITUTE(C374,""Sell_"",""""))))/2),ROUNDUP(INDEX(Upgrades!$C$3:$C$13,MATCH(C374,Upgrades!$B$3:$B$13,0))*1.15^(COUNTIF(C$4:C373,C374)-COUNTIF(C$4:C373,""Sell_""&amp;C374))))))"),"")</f>
        <v/>
      </c>
      <c r="H374" s="10" t="str">
        <f t="shared" si="3"/>
        <v/>
      </c>
      <c r="I374" s="68" t="str">
        <f t="shared" si="4"/>
        <v/>
      </c>
      <c r="J374" s="59" t="str">
        <f t="shared" si="5"/>
        <v/>
      </c>
      <c r="K374" s="69" t="str">
        <f t="shared" si="6"/>
        <v/>
      </c>
      <c r="L374" s="60">
        <f t="shared" si="7"/>
        <v>-58.85121</v>
      </c>
      <c r="M374" s="61">
        <f>IFERROR(__xludf.DUMMYFUNCTION("IFS(AND(COUNTA(C374:C1644)=0,COUNTA(Q374:Q1644)=0),"""",OR(AND(K374&gt;=1000000000,OR(Y374&gt;=1000000000,COUNTA(Q374:Q1644)=0)),OR(Y374&gt;=1000000000,AND(COUNTA(C374:C1644)=0,P$3=TRUE))),
ROUNDDOWN((AB$1-AC$1)*MAX(INDEX(T$4:T1644,MATCH(LARGE(FILTER(Y$4:Y1644,Y$4"&amp;":Y1644&lt;1000000000),1),Y$4:Y1644)),INDEX(F$4:F1644,MATCH(LARGE(FILTER(K$4:K1644,K$4:K1644&lt;1000000000),1),K$4:K1644)))),AND(K374&lt;1000000000,COUNTA(C374:C1644)&gt;0,P$3=FALSE),
ROUNDDOWN(INDEX(Y$4:Y1644,MATCH(LARGE(FILTER(W$4:W1644,W$4:W1644&lt;=I374),1),W$4:W1644"&amp;"))+(I374-LARGE(FILTER(W$4:W1644,W$4:W1644&lt;=I374),1))*INDEX(T$4:T1644,MATCH(LARGE(FILTER(W$4:W1644,W$4:W1644&lt;=I374),1),W$4:W1644))-K374),1,
ROUNDDOWN(Y374-INDEX(K$4:K1644,MATCH(LARGE(FILTER(I$4:I1644,I$4:I1644&lt;=W374),1),I$4:I1644))-(W374-LARGE(FILTER(I$4:I"&amp;"1644,I$4:I1644&lt;=W374),1))*INDEX(F$4:F1644,MATCH(LARGE(FILTER(I$4:I1644,I$4:I1644&lt;=W374),1),I$4:I1644))))"),3.1278644E7)</f>
        <v>31278644</v>
      </c>
      <c r="N374" s="60">
        <f t="shared" si="8"/>
        <v>-58.85121</v>
      </c>
      <c r="O374" s="61" t="str">
        <f t="shared" si="9"/>
        <v>31,3M</v>
      </c>
      <c r="P374" s="56">
        <f t="shared" si="10"/>
        <v>11</v>
      </c>
      <c r="Q374" s="105" t="s">
        <v>9</v>
      </c>
      <c r="R374" s="10"/>
      <c r="S374" s="59">
        <f t="array" ref="S374">IF(COUNTA(Q374:Q1644)=0,"",SUM((COUNTIF(Q$4:Q374,Upgrades!$B$3:$B$13)-COUNTIF(Q$4:Q374,"Sell_"&amp;Upgrades!$B$3:$B$13))*Upgrades!$D$3:$D$13))</f>
        <v>515085.4</v>
      </c>
      <c r="T374" s="66">
        <f>IFERROR(__xludf.DUMMYFUNCTION("IF(COUNTA(Q374:Q1644)=0,"""",IF(REGEXMATCH(INDEX(FILTER(Q$4:Q374,Q$4:Q374&lt;&gt;""""),ROWS(FILTER(Q$4:Q374,Q$4:Q374&lt;&gt;""""))),""^Sell_""),INDEX(FILTER(T$4:T373,Q$4:Q373&lt;&gt;""""),ROWS(FILTER(Q$4:Q373,Q$4:Q373&lt;&gt;""""))),$AD$5+S374))"),515095.4)</f>
        <v>515095.4</v>
      </c>
      <c r="U374" s="10">
        <f>IFERROR(__xludf.DUMMYFUNCTION("IF(COUNTA(Q374:Q1644)=0,"""",IF(Q374="""",0,IF(REGEXMATCH(Q374,""^Sell_""),-ROUNDDOWN(ROUNDUP(INDEX(Upgrades!$C$3:$C$13,MATCH(SUBSTITUTE(Q374,""Sell_"",""""),Upgrades!$B$3:$B$13,0))*1.15^(COUNTIF(Q$4:Q373,SUBSTITUTE(Q374,""Sell_"",""""))-COUNTIF(Q$4:Q373,"&amp;"""Sell_""&amp;SUBSTITUTE(Q374,""Sell_"",""""))))/2),ROUNDUP(INDEX(Upgrades!$C$3:$C$13,MATCH(Q374,Upgrades!$B$3:$B$13,0))*1.15^(COUNTIF(Q$4:Q373,Q374)-COUNTIF(Q$4:Q373,""Sell_""&amp;Q374))))))"),809112.0)</f>
        <v>809112</v>
      </c>
      <c r="V374" s="10">
        <f t="shared" si="11"/>
        <v>809112</v>
      </c>
      <c r="W374" s="68">
        <f t="shared" si="12"/>
        <v>7461.439535</v>
      </c>
      <c r="X374" s="59" t="str">
        <f t="shared" si="13"/>
        <v>2h 04m 21s</v>
      </c>
      <c r="Y374" s="69">
        <f t="shared" si="14"/>
        <v>817238062</v>
      </c>
      <c r="Z374" s="11"/>
      <c r="AG374" s="59"/>
    </row>
    <row r="375">
      <c r="A375" s="8"/>
      <c r="B375" s="56" t="str">
        <f t="shared" si="2"/>
        <v/>
      </c>
      <c r="C375" s="105"/>
      <c r="D375" s="10"/>
      <c r="E375" s="59" t="str">
        <f t="array" ref="E375">IF(COUNTA(C375:C1644)=0,"",SUM((COUNTIF(C$4:C375,Upgrades!$B$3:$B$13)-COUNTIF(C$4:C375,"Sell_"&amp;Upgrades!$B$3:$B$13))*Upgrades!$D$3:$D$13))</f>
        <v/>
      </c>
      <c r="F375" s="66" t="str">
        <f>IFERROR(__xludf.DUMMYFUNCTION("IF(COUNTA(C375:C1644)=0,"""",IF(REGEXMATCH(INDEX(FILTER(C$4:C375,C$4:C375&lt;&gt;""""),ROWS(FILTER(C$4:C375,C$4:C375&lt;&gt;""""))),""^Sell_""),INDEX(FILTER(F$4:F374,C$4:C374&lt;&gt;""""),ROWS(FILTER(C$4:C374,C$4:C374&lt;&gt;""""))),$AC$5+E375))"),"")</f>
        <v/>
      </c>
      <c r="G375" s="10" t="str">
        <f>IFERROR(__xludf.DUMMYFUNCTION("IF(COUNTA(C375:C1644)=0,"""",IF(C375="""",0,IF(REGEXMATCH(C375,""^Sell_""),-ROUNDDOWN(ROUNDUP(INDEX(Upgrades!$C$3:$C$13,MATCH(SUBSTITUTE(C375,""Sell_"",""""),Upgrades!$B$3:$B$13,0))*1.15^(COUNTIF(C$4:C374,SUBSTITUTE(C375,""Sell_"",""""))-COUNTIF(C$4:C374,"&amp;"""Sell_""&amp;SUBSTITUTE(C375,""Sell_"",""""))))/2),ROUNDUP(INDEX(Upgrades!$C$3:$C$13,MATCH(C375,Upgrades!$B$3:$B$13,0))*1.15^(COUNTIF(C$4:C374,C375)-COUNTIF(C$4:C374,""Sell_""&amp;C375))))))"),"")</f>
        <v/>
      </c>
      <c r="H375" s="10" t="str">
        <f t="shared" si="3"/>
        <v/>
      </c>
      <c r="I375" s="68" t="str">
        <f t="shared" si="4"/>
        <v/>
      </c>
      <c r="J375" s="59" t="str">
        <f t="shared" si="5"/>
        <v/>
      </c>
      <c r="K375" s="69" t="str">
        <f t="shared" si="6"/>
        <v/>
      </c>
      <c r="L375" s="60">
        <f t="shared" si="7"/>
        <v>-58.83421</v>
      </c>
      <c r="M375" s="61">
        <f>IFERROR(__xludf.DUMMYFUNCTION("IFS(AND(COUNTA(C375:C1644)=0,COUNTA(Q375:Q1644)=0),"""",OR(AND(K375&gt;=1000000000,OR(Y375&gt;=1000000000,COUNTA(Q375:Q1644)=0)),OR(Y375&gt;=1000000000,AND(COUNTA(C375:C1644)=0,P$3=TRUE))),
ROUNDDOWN((AB$1-AC$1)*MAX(INDEX(T$4:T1644,MATCH(LARGE(FILTER(Y$4:Y1644,Y$4"&amp;":Y1644&lt;1000000000),1),Y$4:Y1644)),INDEX(F$4:F1644,MATCH(LARGE(FILTER(K$4:K1644,K$4:K1644&lt;1000000000),1),K$4:K1644)))),AND(K375&lt;1000000000,COUNTA(C375:C1644)&gt;0,P$3=FALSE),
ROUNDDOWN(INDEX(Y$4:Y1644,MATCH(LARGE(FILTER(W$4:W1644,W$4:W1644&lt;=I375),1),W$4:W1644"&amp;"))+(I375-LARGE(FILTER(W$4:W1644,W$4:W1644&lt;=I375),1))*INDEX(T$4:T1644,MATCH(LARGE(FILTER(W$4:W1644,W$4:W1644&lt;=I375),1),W$4:W1644))-K375),1,
ROUNDDOWN(Y375-INDEX(K$4:K1644,MATCH(LARGE(FILTER(I$4:I1644,I$4:I1644&lt;=W375),1),I$4:I1644))-(W375-LARGE(FILTER(I$4:I"&amp;"1644,I$4:I1644&lt;=W375),1))*INDEX(F$4:F1644,MATCH(LARGE(FILTER(I$4:I1644,I$4:I1644&lt;=W375),1),I$4:I1644))))"),3.1272667E7)</f>
        <v>31272667</v>
      </c>
      <c r="N375" s="60">
        <f t="shared" si="8"/>
        <v>-58.83421</v>
      </c>
      <c r="O375" s="61" t="str">
        <f t="shared" si="9"/>
        <v>31,3M</v>
      </c>
      <c r="P375" s="56">
        <f t="shared" si="10"/>
        <v>13</v>
      </c>
      <c r="Q375" s="105" t="s">
        <v>8</v>
      </c>
      <c r="R375" s="10"/>
      <c r="S375" s="59">
        <f t="array" ref="S375">IF(COUNTA(Q375:Q1644)=0,"",SUM((COUNTIF(Q$4:Q375,Upgrades!$B$3:$B$13)-COUNTIF(Q$4:Q375,"Sell_"&amp;Upgrades!$B$3:$B$13))*Upgrades!$D$3:$D$13))</f>
        <v>515185.4</v>
      </c>
      <c r="T375" s="66">
        <f>IFERROR(__xludf.DUMMYFUNCTION("IF(COUNTA(Q375:Q1644)=0,"""",IF(REGEXMATCH(INDEX(FILTER(Q$4:Q375,Q$4:Q375&lt;&gt;""""),ROWS(FILTER(Q$4:Q375,Q$4:Q375&lt;&gt;""""))),""^Sell_""),INDEX(FILTER(T$4:T374,Q$4:Q374&lt;&gt;""""),ROWS(FILTER(Q$4:Q374,Q$4:Q374&lt;&gt;""""))),$AD$5+S375))"),515195.4)</f>
        <v>515195.4</v>
      </c>
      <c r="U375" s="10">
        <f>IFERROR(__xludf.DUMMYFUNCTION("IF(COUNTA(Q375:Q1644)=0,"""",IF(Q375="""",0,IF(REGEXMATCH(Q375,""^Sell_""),-ROUNDDOWN(ROUNDUP(INDEX(Upgrades!$C$3:$C$13,MATCH(SUBSTITUTE(Q375,""Sell_"",""""),Upgrades!$B$3:$B$13,0))*1.15^(COUNTIF(Q$4:Q374,SUBSTITUTE(Q375,""Sell_"",""""))-COUNTIF(Q$4:Q374,"&amp;"""Sell_""&amp;SUBSTITUTE(Q375,""Sell_"",""""))))/2),ROUNDUP(INDEX(Upgrades!$C$3:$C$13,MATCH(Q375,Upgrades!$B$3:$B$13,0))*1.15^(COUNTIF(Q$4:Q374,Q375)-COUNTIF(Q$4:Q374,""Sell_""&amp;Q375))))))"),214011.0)</f>
        <v>214011</v>
      </c>
      <c r="V375" s="10">
        <f t="shared" si="11"/>
        <v>214011</v>
      </c>
      <c r="W375" s="68">
        <f t="shared" si="12"/>
        <v>7461.855014</v>
      </c>
      <c r="X375" s="59" t="str">
        <f t="shared" si="13"/>
        <v>2h 04m 21s</v>
      </c>
      <c r="Y375" s="69">
        <f t="shared" si="14"/>
        <v>817452073</v>
      </c>
      <c r="Z375" s="11"/>
      <c r="AG375" s="59"/>
    </row>
    <row r="376">
      <c r="A376" s="8"/>
      <c r="B376" s="56" t="str">
        <f t="shared" si="2"/>
        <v/>
      </c>
      <c r="C376" s="105"/>
      <c r="D376" s="10"/>
      <c r="E376" s="59" t="str">
        <f t="array" ref="E376">IF(COUNTA(C376:C1644)=0,"",SUM((COUNTIF(C$4:C376,Upgrades!$B$3:$B$13)-COUNTIF(C$4:C376,"Sell_"&amp;Upgrades!$B$3:$B$13))*Upgrades!$D$3:$D$13))</f>
        <v/>
      </c>
      <c r="F376" s="66" t="str">
        <f>IFERROR(__xludf.DUMMYFUNCTION("IF(COUNTA(C376:C1644)=0,"""",IF(REGEXMATCH(INDEX(FILTER(C$4:C376,C$4:C376&lt;&gt;""""),ROWS(FILTER(C$4:C376,C$4:C376&lt;&gt;""""))),""^Sell_""),INDEX(FILTER(F$4:F375,C$4:C375&lt;&gt;""""),ROWS(FILTER(C$4:C375,C$4:C375&lt;&gt;""""))),$AC$5+E376))"),"")</f>
        <v/>
      </c>
      <c r="G376" s="10" t="str">
        <f>IFERROR(__xludf.DUMMYFUNCTION("IF(COUNTA(C376:C1644)=0,"""",IF(C376="""",0,IF(REGEXMATCH(C376,""^Sell_""),-ROUNDDOWN(ROUNDUP(INDEX(Upgrades!$C$3:$C$13,MATCH(SUBSTITUTE(C376,""Sell_"",""""),Upgrades!$B$3:$B$13,0))*1.15^(COUNTIF(C$4:C375,SUBSTITUTE(C376,""Sell_"",""""))-COUNTIF(C$4:C375,"&amp;"""Sell_""&amp;SUBSTITUTE(C376,""Sell_"",""""))))/2),ROUNDUP(INDEX(Upgrades!$C$3:$C$13,MATCH(C376,Upgrades!$B$3:$B$13,0))*1.15^(COUNTIF(C$4:C375,C376)-COUNTIF(C$4:C375,""Sell_""&amp;C376))))))"),"")</f>
        <v/>
      </c>
      <c r="H376" s="10" t="str">
        <f t="shared" si="3"/>
        <v/>
      </c>
      <c r="I376" s="68" t="str">
        <f t="shared" si="4"/>
        <v/>
      </c>
      <c r="J376" s="59" t="str">
        <f t="shared" si="5"/>
        <v/>
      </c>
      <c r="K376" s="69" t="str">
        <f t="shared" si="6"/>
        <v/>
      </c>
      <c r="L376" s="60">
        <f t="shared" si="7"/>
        <v>-58.7606</v>
      </c>
      <c r="M376" s="61">
        <f>IFERROR(__xludf.DUMMYFUNCTION("IFS(AND(COUNTA(C376:C1644)=0,COUNTA(Q376:Q1644)=0),"""",OR(AND(K376&gt;=1000000000,OR(Y376&gt;=1000000000,COUNTA(Q376:Q1644)=0)),OR(Y376&gt;=1000000000,AND(COUNTA(C376:C1644)=0,P$3=TRUE))),
ROUNDDOWN((AB$1-AC$1)*MAX(INDEX(T$4:T1644,MATCH(LARGE(FILTER(Y$4:Y1644,Y$4"&amp;":Y1644&lt;1000000000),1),Y$4:Y1644)),INDEX(F$4:F1644,MATCH(LARGE(FILTER(K$4:K1644,K$4:K1644&lt;1000000000),1),K$4:K1644)))),AND(K376&lt;1000000000,COUNTA(C376:C1644)&gt;0,P$3=FALSE),
ROUNDDOWN(INDEX(Y$4:Y1644,MATCH(LARGE(FILTER(W$4:W1644,W$4:W1644&lt;=I376),1),W$4:W1644"&amp;"))+(I376-LARGE(FILTER(W$4:W1644,W$4:W1644&lt;=I376),1))*INDEX(T$4:T1644,MATCH(LARGE(FILTER(W$4:W1644,W$4:W1644&lt;=I376),1),W$4:W1644))-K376),1,
ROUNDDOWN(Y376-INDEX(K$4:K1644,MATCH(LARGE(FILTER(I$4:I1644,I$4:I1644&lt;=W376),1),I$4:I1644))-(W376-LARGE(FILTER(I$4:I"&amp;"1644,I$4:I1644&lt;=W376),1))*INDEX(F$4:F1644,MATCH(LARGE(FILTER(I$4:I1644,I$4:I1644&lt;=W376),1),I$4:I1644))))"),3.1246185E7)</f>
        <v>31246185</v>
      </c>
      <c r="N376" s="60">
        <f t="shared" si="8"/>
        <v>-58.7606</v>
      </c>
      <c r="O376" s="61" t="str">
        <f t="shared" si="9"/>
        <v>31,2M</v>
      </c>
      <c r="P376" s="56">
        <f t="shared" si="10"/>
        <v>12</v>
      </c>
      <c r="Q376" s="105" t="s">
        <v>9</v>
      </c>
      <c r="R376" s="10"/>
      <c r="S376" s="59">
        <f t="array" ref="S376">IF(COUNTA(Q376:Q1644)=0,"",SUM((COUNTIF(Q$4:Q376,Upgrades!$B$3:$B$13)-COUNTIF(Q$4:Q376,"Sell_"&amp;Upgrades!$B$3:$B$13))*Upgrades!$D$3:$D$13))</f>
        <v>515585.4</v>
      </c>
      <c r="T376" s="66">
        <f>IFERROR(__xludf.DUMMYFUNCTION("IF(COUNTA(Q376:Q1644)=0,"""",IF(REGEXMATCH(INDEX(FILTER(Q$4:Q376,Q$4:Q376&lt;&gt;""""),ROWS(FILTER(Q$4:Q376,Q$4:Q376&lt;&gt;""""))),""^Sell_""),INDEX(FILTER(T$4:T375,Q$4:Q375&lt;&gt;""""),ROWS(FILTER(Q$4:Q375,Q$4:Q375&lt;&gt;""""))),$AD$5+S376))"),515595.4)</f>
        <v>515595.4</v>
      </c>
      <c r="U376" s="10">
        <f>IFERROR(__xludf.DUMMYFUNCTION("IF(COUNTA(Q376:Q1644)=0,"""",IF(Q376="""",0,IF(REGEXMATCH(Q376,""^Sell_""),-ROUNDDOWN(ROUNDUP(INDEX(Upgrades!$C$3:$C$13,MATCH(SUBSTITUTE(Q376,""Sell_"",""""),Upgrades!$B$3:$B$13,0))*1.15^(COUNTIF(Q$4:Q375,SUBSTITUTE(Q376,""Sell_"",""""))-COUNTIF(Q$4:Q375,"&amp;"""Sell_""&amp;SUBSTITUTE(Q376,""Sell_"",""""))))/2),ROUNDUP(INDEX(Upgrades!$C$3:$C$13,MATCH(Q376,Upgrades!$B$3:$B$13,0))*1.15^(COUNTIF(Q$4:Q375,Q376)-COUNTIF(Q$4:Q375,""Sell_""&amp;Q376))))))"),930479.0)</f>
        <v>930479</v>
      </c>
      <c r="V376" s="10">
        <f t="shared" si="11"/>
        <v>930479</v>
      </c>
      <c r="W376" s="68">
        <f t="shared" si="12"/>
        <v>7463.661084</v>
      </c>
      <c r="X376" s="59" t="str">
        <f t="shared" si="13"/>
        <v>2h 04m 23s</v>
      </c>
      <c r="Y376" s="69">
        <f t="shared" si="14"/>
        <v>818382552</v>
      </c>
      <c r="Z376" s="11"/>
      <c r="AG376" s="59"/>
    </row>
    <row r="377">
      <c r="A377" s="8"/>
      <c r="B377" s="56" t="str">
        <f t="shared" si="2"/>
        <v/>
      </c>
      <c r="C377" s="105"/>
      <c r="D377" s="10"/>
      <c r="E377" s="59" t="str">
        <f t="array" ref="E377">IF(COUNTA(C377:C1644)=0,"",SUM((COUNTIF(C$4:C377,Upgrades!$B$3:$B$13)-COUNTIF(C$4:C377,"Sell_"&amp;Upgrades!$B$3:$B$13))*Upgrades!$D$3:$D$13))</f>
        <v/>
      </c>
      <c r="F377" s="66" t="str">
        <f>IFERROR(__xludf.DUMMYFUNCTION("IF(COUNTA(C377:C1644)=0,"""",IF(REGEXMATCH(INDEX(FILTER(C$4:C377,C$4:C377&lt;&gt;""""),ROWS(FILTER(C$4:C377,C$4:C377&lt;&gt;""""))),""^Sell_""),INDEX(FILTER(F$4:F376,C$4:C376&lt;&gt;""""),ROWS(FILTER(C$4:C376,C$4:C376&lt;&gt;""""))),$AC$5+E377))"),"")</f>
        <v/>
      </c>
      <c r="G377" s="10" t="str">
        <f>IFERROR(__xludf.DUMMYFUNCTION("IF(COUNTA(C377:C1644)=0,"""",IF(C377="""",0,IF(REGEXMATCH(C377,""^Sell_""),-ROUNDDOWN(ROUNDUP(INDEX(Upgrades!$C$3:$C$13,MATCH(SUBSTITUTE(C377,""Sell_"",""""),Upgrades!$B$3:$B$13,0))*1.15^(COUNTIF(C$4:C376,SUBSTITUTE(C377,""Sell_"",""""))-COUNTIF(C$4:C376,"&amp;"""Sell_""&amp;SUBSTITUTE(C377,""Sell_"",""""))))/2),ROUNDUP(INDEX(Upgrades!$C$3:$C$13,MATCH(C377,Upgrades!$B$3:$B$13,0))*1.15^(COUNTIF(C$4:C376,C377)-COUNTIF(C$4:C376,""Sell_""&amp;C377))))))"),"")</f>
        <v/>
      </c>
      <c r="H377" s="10" t="str">
        <f t="shared" si="3"/>
        <v/>
      </c>
      <c r="I377" s="68" t="str">
        <f t="shared" si="4"/>
        <v/>
      </c>
      <c r="J377" s="59" t="str">
        <f t="shared" si="5"/>
        <v/>
      </c>
      <c r="K377" s="69" t="str">
        <f t="shared" si="6"/>
        <v/>
      </c>
      <c r="L377" s="60">
        <f t="shared" si="7"/>
        <v>-58.74151</v>
      </c>
      <c r="M377" s="61">
        <f>IFERROR(__xludf.DUMMYFUNCTION("IFS(AND(COUNTA(C377:C1644)=0,COUNTA(Q377:Q1644)=0),"""",OR(AND(K377&gt;=1000000000,OR(Y377&gt;=1000000000,COUNTA(Q377:Q1644)=0)),OR(Y377&gt;=1000000000,AND(COUNTA(C377:C1644)=0,P$3=TRUE))),
ROUNDDOWN((AB$1-AC$1)*MAX(INDEX(T$4:T1644,MATCH(LARGE(FILTER(Y$4:Y1644,Y$4"&amp;":Y1644&lt;1000000000),1),Y$4:Y1644)),INDEX(F$4:F1644,MATCH(LARGE(FILTER(K$4:K1644,K$4:K1644&lt;1000000000),1),K$4:K1644)))),AND(K377&lt;1000000000,COUNTA(C377:C1644)&gt;0,P$3=FALSE),
ROUNDDOWN(INDEX(Y$4:Y1644,MATCH(LARGE(FILTER(W$4:W1644,W$4:W1644&lt;=I377),1),W$4:W1644"&amp;"))+(I377-LARGE(FILTER(W$4:W1644,W$4:W1644&lt;=I377),1))*INDEX(T$4:T1644,MATCH(LARGE(FILTER(W$4:W1644,W$4:W1644&lt;=I377),1),W$4:W1644))-K377),1,
ROUNDDOWN(Y377-INDEX(K$4:K1644,MATCH(LARGE(FILTER(I$4:I1644,I$4:I1644&lt;=W377),1),I$4:I1644))-(W377-LARGE(FILTER(I$4:I"&amp;"1644,I$4:I1644&lt;=W377),1))*INDEX(F$4:F1644,MATCH(LARGE(FILTER(I$4:I1644,I$4:I1644&lt;=W377),1),I$4:I1644))))"),3.1239375E7)</f>
        <v>31239375</v>
      </c>
      <c r="N377" s="60">
        <f t="shared" si="8"/>
        <v>-58.74151</v>
      </c>
      <c r="O377" s="61" t="str">
        <f t="shared" si="9"/>
        <v>31,2M</v>
      </c>
      <c r="P377" s="56">
        <f t="shared" si="10"/>
        <v>14</v>
      </c>
      <c r="Q377" s="105" t="s">
        <v>8</v>
      </c>
      <c r="R377" s="10"/>
      <c r="S377" s="59">
        <f t="array" ref="S377">IF(COUNTA(Q377:Q1644)=0,"",SUM((COUNTIF(Q$4:Q377,Upgrades!$B$3:$B$13)-COUNTIF(Q$4:Q377,"Sell_"&amp;Upgrades!$B$3:$B$13))*Upgrades!$D$3:$D$13))</f>
        <v>515685.4</v>
      </c>
      <c r="T377" s="66">
        <f>IFERROR(__xludf.DUMMYFUNCTION("IF(COUNTA(Q377:Q1644)=0,"""",IF(REGEXMATCH(INDEX(FILTER(Q$4:Q377,Q$4:Q377&lt;&gt;""""),ROWS(FILTER(Q$4:Q377,Q$4:Q377&lt;&gt;""""))),""^Sell_""),INDEX(FILTER(T$4:T376,Q$4:Q376&lt;&gt;""""),ROWS(FILTER(Q$4:Q376,Q$4:Q376&lt;&gt;""""))),$AD$5+S377))"),515695.4)</f>
        <v>515695.4</v>
      </c>
      <c r="U377" s="10">
        <f>IFERROR(__xludf.DUMMYFUNCTION("IF(COUNTA(Q377:Q1644)=0,"""",IF(Q377="""",0,IF(REGEXMATCH(Q377,""^Sell_""),-ROUNDDOWN(ROUNDUP(INDEX(Upgrades!$C$3:$C$13,MATCH(SUBSTITUTE(Q377,""Sell_"",""""),Upgrades!$B$3:$B$13,0))*1.15^(COUNTIF(Q$4:Q376,SUBSTITUTE(Q377,""Sell_"",""""))-COUNTIF(Q$4:Q376,"&amp;"""Sell_""&amp;SUBSTITUTE(Q377,""Sell_"",""""))))/2),ROUNDUP(INDEX(Upgrades!$C$3:$C$13,MATCH(Q377,Upgrades!$B$3:$B$13,0))*1.15^(COUNTIF(Q$4:Q376,Q377)-COUNTIF(Q$4:Q376,""Sell_""&amp;Q377))))))"),246112.0)</f>
        <v>246112</v>
      </c>
      <c r="V377" s="10">
        <f t="shared" si="11"/>
        <v>246112</v>
      </c>
      <c r="W377" s="68">
        <f t="shared" si="12"/>
        <v>7464.138419</v>
      </c>
      <c r="X377" s="59" t="str">
        <f t="shared" si="13"/>
        <v>2h 04m 24s</v>
      </c>
      <c r="Y377" s="69">
        <f t="shared" si="14"/>
        <v>818628664</v>
      </c>
      <c r="Z377" s="11"/>
      <c r="AG377" s="59"/>
    </row>
    <row r="378">
      <c r="A378" s="8"/>
      <c r="B378" s="56" t="str">
        <f t="shared" si="2"/>
        <v/>
      </c>
      <c r="C378" s="105"/>
      <c r="D378" s="10"/>
      <c r="E378" s="59" t="str">
        <f t="array" ref="E378">IF(COUNTA(C378:C1644)=0,"",SUM((COUNTIF(C$4:C378,Upgrades!$B$3:$B$13)-COUNTIF(C$4:C378,"Sell_"&amp;Upgrades!$B$3:$B$13))*Upgrades!$D$3:$D$13))</f>
        <v/>
      </c>
      <c r="F378" s="66" t="str">
        <f>IFERROR(__xludf.DUMMYFUNCTION("IF(COUNTA(C378:C1644)=0,"""",IF(REGEXMATCH(INDEX(FILTER(C$4:C378,C$4:C378&lt;&gt;""""),ROWS(FILTER(C$4:C378,C$4:C378&lt;&gt;""""))),""^Sell_""),INDEX(FILTER(F$4:F377,C$4:C377&lt;&gt;""""),ROWS(FILTER(C$4:C377,C$4:C377&lt;&gt;""""))),$AC$5+E378))"),"")</f>
        <v/>
      </c>
      <c r="G378" s="10" t="str">
        <f>IFERROR(__xludf.DUMMYFUNCTION("IF(COUNTA(C378:C1644)=0,"""",IF(C378="""",0,IF(REGEXMATCH(C378,""^Sell_""),-ROUNDDOWN(ROUNDUP(INDEX(Upgrades!$C$3:$C$13,MATCH(SUBSTITUTE(C378,""Sell_"",""""),Upgrades!$B$3:$B$13,0))*1.15^(COUNTIF(C$4:C377,SUBSTITUTE(C378,""Sell_"",""""))-COUNTIF(C$4:C377,"&amp;"""Sell_""&amp;SUBSTITUTE(C378,""Sell_"",""""))))/2),ROUNDUP(INDEX(Upgrades!$C$3:$C$13,MATCH(C378,Upgrades!$B$3:$B$13,0))*1.15^(COUNTIF(C$4:C377,C378)-COUNTIF(C$4:C377,""Sell_""&amp;C378))))))"),"")</f>
        <v/>
      </c>
      <c r="H378" s="10" t="str">
        <f t="shared" si="3"/>
        <v/>
      </c>
      <c r="I378" s="68" t="str">
        <f t="shared" si="4"/>
        <v/>
      </c>
      <c r="J378" s="59" t="str">
        <f t="shared" si="5"/>
        <v/>
      </c>
      <c r="K378" s="69" t="str">
        <f t="shared" si="6"/>
        <v/>
      </c>
      <c r="L378" s="60">
        <f t="shared" si="7"/>
        <v>-58.65888</v>
      </c>
      <c r="M378" s="61">
        <f>IFERROR(__xludf.DUMMYFUNCTION("IFS(AND(COUNTA(C378:C1644)=0,COUNTA(Q378:Q1644)=0),"""",OR(AND(K378&gt;=1000000000,OR(Y378&gt;=1000000000,COUNTA(Q378:Q1644)=0)),OR(Y378&gt;=1000000000,AND(COUNTA(C378:C1644)=0,P$3=TRUE))),
ROUNDDOWN((AB$1-AC$1)*MAX(INDEX(T$4:T1644,MATCH(LARGE(FILTER(Y$4:Y1644,Y$4"&amp;":Y1644&lt;1000000000),1),Y$4:Y1644)),INDEX(F$4:F1644,MATCH(LARGE(FILTER(K$4:K1644,K$4:K1644&lt;1000000000),1),K$4:K1644)))),AND(K378&lt;1000000000,COUNTA(C378:C1644)&gt;0,P$3=FALSE),
ROUNDDOWN(INDEX(Y$4:Y1644,MATCH(LARGE(FILTER(W$4:W1644,W$4:W1644&lt;=I378),1),W$4:W1644"&amp;"))+(I378-LARGE(FILTER(W$4:W1644,W$4:W1644&lt;=I378),1))*INDEX(T$4:T1644,MATCH(LARGE(FILTER(W$4:W1644,W$4:W1644&lt;=I378),1),W$4:W1644))-K378),1,
ROUNDDOWN(Y378-INDEX(K$4:K1644,MATCH(LARGE(FILTER(I$4:I1644,I$4:I1644&lt;=W378),1),I$4:I1644))-(W378-LARGE(FILTER(I$4:I"&amp;"1644,I$4:I1644&lt;=W378),1))*INDEX(F$4:F1644,MATCH(LARGE(FILTER(I$4:I1644,I$4:I1644&lt;=W378),1),I$4:I1644))))"),3.120998E7)</f>
        <v>31209980</v>
      </c>
      <c r="N378" s="60">
        <f t="shared" si="8"/>
        <v>-58.65888</v>
      </c>
      <c r="O378" s="61" t="str">
        <f t="shared" si="9"/>
        <v>31,2M</v>
      </c>
      <c r="P378" s="56">
        <f t="shared" si="10"/>
        <v>13</v>
      </c>
      <c r="Q378" s="105" t="s">
        <v>9</v>
      </c>
      <c r="R378" s="10"/>
      <c r="S378" s="59">
        <f t="array" ref="S378">IF(COUNTA(Q378:Q1644)=0,"",SUM((COUNTIF(Q$4:Q378,Upgrades!$B$3:$B$13)-COUNTIF(Q$4:Q378,"Sell_"&amp;Upgrades!$B$3:$B$13))*Upgrades!$D$3:$D$13))</f>
        <v>516085.4</v>
      </c>
      <c r="T378" s="66">
        <f>IFERROR(__xludf.DUMMYFUNCTION("IF(COUNTA(Q378:Q1644)=0,"""",IF(REGEXMATCH(INDEX(FILTER(Q$4:Q378,Q$4:Q378&lt;&gt;""""),ROWS(FILTER(Q$4:Q378,Q$4:Q378&lt;&gt;""""))),""^Sell_""),INDEX(FILTER(T$4:T377,Q$4:Q377&lt;&gt;""""),ROWS(FILTER(Q$4:Q377,Q$4:Q377&lt;&gt;""""))),$AD$5+S378))"),516095.4)</f>
        <v>516095.4</v>
      </c>
      <c r="U378" s="10">
        <f>IFERROR(__xludf.DUMMYFUNCTION("IF(COUNTA(Q378:Q1644)=0,"""",IF(Q378="""",0,IF(REGEXMATCH(Q378,""^Sell_""),-ROUNDDOWN(ROUNDUP(INDEX(Upgrades!$C$3:$C$13,MATCH(SUBSTITUTE(Q378,""Sell_"",""""),Upgrades!$B$3:$B$13,0))*1.15^(COUNTIF(Q$4:Q377,SUBSTITUTE(Q378,""Sell_"",""""))-COUNTIF(Q$4:Q377,"&amp;"""Sell_""&amp;SUBSTITUTE(Q378,""Sell_"",""""))))/2),ROUNDUP(INDEX(Upgrades!$C$3:$C$13,MATCH(Q378,Upgrades!$B$3:$B$13,0))*1.15^(COUNTIF(Q$4:Q377,Q378)-COUNTIF(Q$4:Q377,""Sell_""&amp;Q378))))))"),1070051.0)</f>
        <v>1070051</v>
      </c>
      <c r="V378" s="10">
        <f t="shared" si="11"/>
        <v>1070051</v>
      </c>
      <c r="W378" s="68">
        <f t="shared" si="12"/>
        <v>7466.213386</v>
      </c>
      <c r="X378" s="59" t="str">
        <f t="shared" si="13"/>
        <v>2h 04m 26s</v>
      </c>
      <c r="Y378" s="69">
        <f t="shared" si="14"/>
        <v>819698715</v>
      </c>
      <c r="Z378" s="11"/>
      <c r="AG378" s="59"/>
    </row>
    <row r="379">
      <c r="A379" s="8"/>
      <c r="B379" s="56" t="str">
        <f t="shared" si="2"/>
        <v/>
      </c>
      <c r="C379" s="105"/>
      <c r="D379" s="10"/>
      <c r="E379" s="59" t="str">
        <f t="array" ref="E379">IF(COUNTA(C379:C1644)=0,"",SUM((COUNTIF(C$4:C379,Upgrades!$B$3:$B$13)-COUNTIF(C$4:C379,"Sell_"&amp;Upgrades!$B$3:$B$13))*Upgrades!$D$3:$D$13))</f>
        <v/>
      </c>
      <c r="F379" s="66" t="str">
        <f>IFERROR(__xludf.DUMMYFUNCTION("IF(COUNTA(C379:C1644)=0,"""",IF(REGEXMATCH(INDEX(FILTER(C$4:C379,C$4:C379&lt;&gt;""""),ROWS(FILTER(C$4:C379,C$4:C379&lt;&gt;""""))),""^Sell_""),INDEX(FILTER(F$4:F378,C$4:C378&lt;&gt;""""),ROWS(FILTER(C$4:C378,C$4:C378&lt;&gt;""""))),$AC$5+E379))"),"")</f>
        <v/>
      </c>
      <c r="G379" s="10" t="str">
        <f>IFERROR(__xludf.DUMMYFUNCTION("IF(COUNTA(C379:C1644)=0,"""",IF(C379="""",0,IF(REGEXMATCH(C379,""^Sell_""),-ROUNDDOWN(ROUNDUP(INDEX(Upgrades!$C$3:$C$13,MATCH(SUBSTITUTE(C379,""Sell_"",""""),Upgrades!$B$3:$B$13,0))*1.15^(COUNTIF(C$4:C378,SUBSTITUTE(C379,""Sell_"",""""))-COUNTIF(C$4:C378,"&amp;"""Sell_""&amp;SUBSTITUTE(C379,""Sell_"",""""))))/2),ROUNDUP(INDEX(Upgrades!$C$3:$C$13,MATCH(C379,Upgrades!$B$3:$B$13,0))*1.15^(COUNTIF(C$4:C378,C379)-COUNTIF(C$4:C378,""Sell_""&amp;C379))))))"),"")</f>
        <v/>
      </c>
      <c r="H379" s="10" t="str">
        <f t="shared" si="3"/>
        <v/>
      </c>
      <c r="I379" s="68" t="str">
        <f t="shared" si="4"/>
        <v/>
      </c>
      <c r="J379" s="59" t="str">
        <f t="shared" si="5"/>
        <v/>
      </c>
      <c r="K379" s="69" t="str">
        <f t="shared" si="6"/>
        <v/>
      </c>
      <c r="L379" s="60">
        <f t="shared" si="7"/>
        <v>-57.30087</v>
      </c>
      <c r="M379" s="61">
        <f>IFERROR(__xludf.DUMMYFUNCTION("IFS(AND(COUNTA(C379:C1644)=0,COUNTA(Q379:Q1644)=0),"""",OR(AND(K379&gt;=1000000000,OR(Y379&gt;=1000000000,COUNTA(Q379:Q1644)=0)),OR(Y379&gt;=1000000000,AND(COUNTA(C379:C1644)=0,P$3=TRUE))),
ROUNDDOWN((AB$1-AC$1)*MAX(INDEX(T$4:T1644,MATCH(LARGE(FILTER(Y$4:Y1644,Y$4"&amp;":Y1644&lt;1000000000),1),Y$4:Y1644)),INDEX(F$4:F1644,MATCH(LARGE(FILTER(K$4:K1644,K$4:K1644&lt;1000000000),1),K$4:K1644)))),AND(K379&lt;1000000000,COUNTA(C379:C1644)&gt;0,P$3=FALSE),
ROUNDDOWN(INDEX(Y$4:Y1644,MATCH(LARGE(FILTER(W$4:W1644,W$4:W1644&lt;=I379),1),W$4:W1644"&amp;"))+(I379-LARGE(FILTER(W$4:W1644,W$4:W1644&lt;=I379),1))*INDEX(T$4:T1644,MATCH(LARGE(FILTER(W$4:W1644,W$4:W1644&lt;=I379),1),W$4:W1644))-K379),1,
ROUNDDOWN(Y379-INDEX(K$4:K1644,MATCH(LARGE(FILTER(I$4:I1644,I$4:I1644&lt;=W379),1),I$4:I1644))-(W379-LARGE(FILTER(I$4:I"&amp;"1644,I$4:I1644&lt;=W379),1))*INDEX(F$4:F1644,MATCH(LARGE(FILTER(I$4:I1644,I$4:I1644&lt;=W379),1),I$4:I1644))))"),3.073155E7)</f>
        <v>30731550</v>
      </c>
      <c r="N379" s="60">
        <f t="shared" si="8"/>
        <v>-57.30087</v>
      </c>
      <c r="O379" s="61" t="str">
        <f t="shared" si="9"/>
        <v>30,7M</v>
      </c>
      <c r="P379" s="56">
        <f t="shared" si="10"/>
        <v>18</v>
      </c>
      <c r="Q379" s="105" t="s">
        <v>10</v>
      </c>
      <c r="R379" s="10"/>
      <c r="S379" s="59">
        <f t="array" ref="S379">IF(COUNTA(Q379:Q1644)=0,"",SUM((COUNTIF(Q$4:Q379,Upgrades!$B$3:$B$13)-COUNTIF(Q$4:Q379,"Sell_"&amp;Upgrades!$B$3:$B$13))*Upgrades!$D$3:$D$13))</f>
        <v>522751.4</v>
      </c>
      <c r="T379" s="66">
        <f>IFERROR(__xludf.DUMMYFUNCTION("IF(COUNTA(Q379:Q1644)=0,"""",IF(REGEXMATCH(INDEX(FILTER(Q$4:Q379,Q$4:Q379&lt;&gt;""""),ROWS(FILTER(Q$4:Q379,Q$4:Q379&lt;&gt;""""))),""^Sell_""),INDEX(FILTER(T$4:T378,Q$4:Q378&lt;&gt;""""),ROWS(FILTER(Q$4:Q378,Q$4:Q378&lt;&gt;""""))),$AD$5+S379))"),522761.4)</f>
        <v>522761.4</v>
      </c>
      <c r="U379" s="10">
        <f>IFERROR(__xludf.DUMMYFUNCTION("IF(COUNTA(Q379:Q1644)=0,"""",IF(Q379="""",0,IF(REGEXMATCH(Q379,""^Sell_""),-ROUNDDOWN(ROUNDUP(INDEX(Upgrades!$C$3:$C$13,MATCH(SUBSTITUTE(Q379,""Sell_"",""""),Upgrades!$B$3:$B$13,0))*1.15^(COUNTIF(Q$4:Q378,SUBSTITUTE(Q379,""Sell_"",""""))-COUNTIF(Q$4:Q378,"&amp;"""Sell_""&amp;SUBSTITUTE(Q379,""Sell_"",""""))))/2),ROUNDUP(INDEX(Upgrades!$C$3:$C$13,MATCH(Q379,Upgrades!$B$3:$B$13,0))*1.15^(COUNTIF(Q$4:Q378,Q379)-COUNTIF(Q$4:Q378,""Sell_""&amp;Q379))))))"),1.7935433E7)</f>
        <v>17935433</v>
      </c>
      <c r="V379" s="10">
        <f t="shared" si="11"/>
        <v>17935433</v>
      </c>
      <c r="W379" s="68">
        <f t="shared" si="12"/>
        <v>7500.965552</v>
      </c>
      <c r="X379" s="59" t="str">
        <f t="shared" si="13"/>
        <v>2h 05m 00s</v>
      </c>
      <c r="Y379" s="69">
        <f t="shared" si="14"/>
        <v>837634148</v>
      </c>
      <c r="Z379" s="11"/>
      <c r="AG379" s="59"/>
    </row>
    <row r="380">
      <c r="A380" s="8"/>
      <c r="B380" s="56" t="str">
        <f t="shared" si="2"/>
        <v/>
      </c>
      <c r="C380" s="105"/>
      <c r="D380" s="10"/>
      <c r="E380" s="59" t="str">
        <f t="array" ref="E380">IF(COUNTA(C380:C1644)=0,"",SUM((COUNTIF(C$4:C380,Upgrades!$B$3:$B$13)-COUNTIF(C$4:C380,"Sell_"&amp;Upgrades!$B$3:$B$13))*Upgrades!$D$3:$D$13))</f>
        <v/>
      </c>
      <c r="F380" s="66" t="str">
        <f>IFERROR(__xludf.DUMMYFUNCTION("IF(COUNTA(C380:C1644)=0,"""",IF(REGEXMATCH(INDEX(FILTER(C$4:C380,C$4:C380&lt;&gt;""""),ROWS(FILTER(C$4:C380,C$4:C380&lt;&gt;""""))),""^Sell_""),INDEX(FILTER(F$4:F379,C$4:C379&lt;&gt;""""),ROWS(FILTER(C$4:C379,C$4:C379&lt;&gt;""""))),$AC$5+E380))"),"")</f>
        <v/>
      </c>
      <c r="G380" s="10" t="str">
        <f>IFERROR(__xludf.DUMMYFUNCTION("IF(COUNTA(C380:C1644)=0,"""",IF(C380="""",0,IF(REGEXMATCH(C380,""^Sell_""),-ROUNDDOWN(ROUNDUP(INDEX(Upgrades!$C$3:$C$13,MATCH(SUBSTITUTE(C380,""Sell_"",""""),Upgrades!$B$3:$B$13,0))*1.15^(COUNTIF(C$4:C379,SUBSTITUTE(C380,""Sell_"",""""))-COUNTIF(C$4:C379,"&amp;"""Sell_""&amp;SUBSTITUTE(C380,""Sell_"",""""))))/2),ROUNDUP(INDEX(Upgrades!$C$3:$C$13,MATCH(C380,Upgrades!$B$3:$B$13,0))*1.15^(COUNTIF(C$4:C379,C380)-COUNTIF(C$4:C379,""Sell_""&amp;C380))))))"),"")</f>
        <v/>
      </c>
      <c r="H380" s="10" t="str">
        <f t="shared" si="3"/>
        <v/>
      </c>
      <c r="I380" s="68" t="str">
        <f t="shared" si="4"/>
        <v/>
      </c>
      <c r="J380" s="59" t="str">
        <f t="shared" si="5"/>
        <v/>
      </c>
      <c r="K380" s="69" t="str">
        <f t="shared" si="6"/>
        <v/>
      </c>
      <c r="L380" s="60">
        <f t="shared" si="7"/>
        <v>-57.28644</v>
      </c>
      <c r="M380" s="61">
        <f>IFERROR(__xludf.DUMMYFUNCTION("IFS(AND(COUNTA(C380:C1644)=0,COUNTA(Q380:Q1644)=0),"""",OR(AND(K380&gt;=1000000000,OR(Y380&gt;=1000000000,COUNTA(Q380:Q1644)=0)),OR(Y380&gt;=1000000000,AND(COUNTA(C380:C1644)=0,P$3=TRUE))),
ROUNDDOWN((AB$1-AC$1)*MAX(INDEX(T$4:T1644,MATCH(LARGE(FILTER(Y$4:Y1644,Y$4"&amp;":Y1644&lt;1000000000),1),Y$4:Y1644)),INDEX(F$4:F1644,MATCH(LARGE(FILTER(K$4:K1644,K$4:K1644&lt;1000000000),1),K$4:K1644)))),AND(K380&lt;1000000000,COUNTA(C380:C1644)&gt;0,P$3=FALSE),
ROUNDDOWN(INDEX(Y$4:Y1644,MATCH(LARGE(FILTER(W$4:W1644,W$4:W1644&lt;=I380),1),W$4:W1644"&amp;"))+(I380-LARGE(FILTER(W$4:W1644,W$4:W1644&lt;=I380),1))*INDEX(T$4:T1644,MATCH(LARGE(FILTER(W$4:W1644,W$4:W1644&lt;=I380),1),W$4:W1644))-K380),1,
ROUNDDOWN(Y380-INDEX(K$4:K1644,MATCH(LARGE(FILTER(I$4:I1644,I$4:I1644&lt;=W380),1),I$4:I1644))-(W380-LARGE(FILTER(I$4:I"&amp;"1644,I$4:I1644&lt;=W380),1))*INDEX(F$4:F1644,MATCH(LARGE(FILTER(I$4:I1644,I$4:I1644&lt;=W380),1),I$4:I1644))))"),3.0727705E7)</f>
        <v>30727705</v>
      </c>
      <c r="N380" s="60">
        <f t="shared" si="8"/>
        <v>-57.28644</v>
      </c>
      <c r="O380" s="61" t="str">
        <f t="shared" si="9"/>
        <v>30,7M</v>
      </c>
      <c r="P380" s="56">
        <f t="shared" si="10"/>
        <v>15</v>
      </c>
      <c r="Q380" s="105" t="s">
        <v>8</v>
      </c>
      <c r="R380" s="10"/>
      <c r="S380" s="59">
        <f t="array" ref="S380">IF(COUNTA(Q380:Q1644)=0,"",SUM((COUNTIF(Q$4:Q380,Upgrades!$B$3:$B$13)-COUNTIF(Q$4:Q380,"Sell_"&amp;Upgrades!$B$3:$B$13))*Upgrades!$D$3:$D$13))</f>
        <v>522851.4</v>
      </c>
      <c r="T380" s="66">
        <f>IFERROR(__xludf.DUMMYFUNCTION("IF(COUNTA(Q380:Q1644)=0,"""",IF(REGEXMATCH(INDEX(FILTER(Q$4:Q380,Q$4:Q380&lt;&gt;""""),ROWS(FILTER(Q$4:Q380,Q$4:Q380&lt;&gt;""""))),""^Sell_""),INDEX(FILTER(T$4:T379,Q$4:Q379&lt;&gt;""""),ROWS(FILTER(Q$4:Q379,Q$4:Q379&lt;&gt;""""))),$AD$5+S380))"),522861.4)</f>
        <v>522861.4</v>
      </c>
      <c r="U380" s="10">
        <f>IFERROR(__xludf.DUMMYFUNCTION("IF(COUNTA(Q380:Q1644)=0,"""",IF(Q380="""",0,IF(REGEXMATCH(Q380,""^Sell_""),-ROUNDDOWN(ROUNDUP(INDEX(Upgrades!$C$3:$C$13,MATCH(SUBSTITUTE(Q380,""Sell_"",""""),Upgrades!$B$3:$B$13,0))*1.15^(COUNTIF(Q$4:Q379,SUBSTITUTE(Q380,""Sell_"",""""))-COUNTIF(Q$4:Q379,"&amp;"""Sell_""&amp;SUBSTITUTE(Q380,""Sell_"",""""))))/2),ROUNDUP(INDEX(Upgrades!$C$3:$C$13,MATCH(Q380,Upgrades!$B$3:$B$13,0))*1.15^(COUNTIF(Q$4:Q379,Q380)-COUNTIF(Q$4:Q379,""Sell_""&amp;Q380))))))"),283029.0)</f>
        <v>283029</v>
      </c>
      <c r="V380" s="10">
        <f t="shared" si="11"/>
        <v>283029</v>
      </c>
      <c r="W380" s="68">
        <f t="shared" si="12"/>
        <v>7501.506964</v>
      </c>
      <c r="X380" s="59" t="str">
        <f t="shared" si="13"/>
        <v>2h 05m 01s</v>
      </c>
      <c r="Y380" s="69">
        <f t="shared" si="14"/>
        <v>837917177</v>
      </c>
      <c r="Z380" s="11"/>
      <c r="AG380" s="59"/>
    </row>
    <row r="381">
      <c r="A381" s="8"/>
      <c r="B381" s="56" t="str">
        <f t="shared" si="2"/>
        <v/>
      </c>
      <c r="C381" s="105"/>
      <c r="D381" s="10"/>
      <c r="E381" s="59" t="str">
        <f t="array" ref="E381">IF(COUNTA(C381:C1644)=0,"",SUM((COUNTIF(C$4:C381,Upgrades!$B$3:$B$13)-COUNTIF(C$4:C381,"Sell_"&amp;Upgrades!$B$3:$B$13))*Upgrades!$D$3:$D$13))</f>
        <v/>
      </c>
      <c r="F381" s="66" t="str">
        <f>IFERROR(__xludf.DUMMYFUNCTION("IF(COUNTA(C381:C1644)=0,"""",IF(REGEXMATCH(INDEX(FILTER(C$4:C381,C$4:C381&lt;&gt;""""),ROWS(FILTER(C$4:C381,C$4:C381&lt;&gt;""""))),""^Sell_""),INDEX(FILTER(F$4:F380,C$4:C380&lt;&gt;""""),ROWS(FILTER(C$4:C380,C$4:C380&lt;&gt;""""))),$AC$5+E381))"),"")</f>
        <v/>
      </c>
      <c r="G381" s="10" t="str">
        <f>IFERROR(__xludf.DUMMYFUNCTION("IF(COUNTA(C381:C1644)=0,"""",IF(C381="""",0,IF(REGEXMATCH(C381,""^Sell_""),-ROUNDDOWN(ROUNDUP(INDEX(Upgrades!$C$3:$C$13,MATCH(SUBSTITUTE(C381,""Sell_"",""""),Upgrades!$B$3:$B$13,0))*1.15^(COUNTIF(C$4:C380,SUBSTITUTE(C381,""Sell_"",""""))-COUNTIF(C$4:C380,"&amp;"""Sell_""&amp;SUBSTITUTE(C381,""Sell_"",""""))))/2),ROUNDUP(INDEX(Upgrades!$C$3:$C$13,MATCH(C381,Upgrades!$B$3:$B$13,0))*1.15^(COUNTIF(C$4:C380,C381)-COUNTIF(C$4:C380,""Sell_""&amp;C381))))))"),"")</f>
        <v/>
      </c>
      <c r="H381" s="10" t="str">
        <f t="shared" si="3"/>
        <v/>
      </c>
      <c r="I381" s="68" t="str">
        <f t="shared" si="4"/>
        <v/>
      </c>
      <c r="J381" s="59" t="str">
        <f t="shared" si="5"/>
        <v/>
      </c>
      <c r="K381" s="69" t="str">
        <f t="shared" si="6"/>
        <v/>
      </c>
      <c r="L381" s="60">
        <f t="shared" si="7"/>
        <v>-57.22412</v>
      </c>
      <c r="M381" s="61">
        <f>IFERROR(__xludf.DUMMYFUNCTION("IFS(AND(COUNTA(C381:C1644)=0,COUNTA(Q381:Q1644)=0),"""",OR(AND(K381&gt;=1000000000,OR(Y381&gt;=1000000000,COUNTA(Q381:Q1644)=0)),OR(Y381&gt;=1000000000,AND(COUNTA(C381:C1644)=0,P$3=TRUE))),
ROUNDDOWN((AB$1-AC$1)*MAX(INDEX(T$4:T1644,MATCH(LARGE(FILTER(Y$4:Y1644,Y$4"&amp;":Y1644&lt;1000000000),1),Y$4:Y1644)),INDEX(F$4:F1644,MATCH(LARGE(FILTER(K$4:K1644,K$4:K1644&lt;1000000000),1),K$4:K1644)))),AND(K381&lt;1000000000,COUNTA(C381:C1644)&gt;0,P$3=FALSE),
ROUNDDOWN(INDEX(Y$4:Y1644,MATCH(LARGE(FILTER(W$4:W1644,W$4:W1644&lt;=I381),1),W$4:W1644"&amp;"))+(I381-LARGE(FILTER(W$4:W1644,W$4:W1644&lt;=I381),1))*INDEX(T$4:T1644,MATCH(LARGE(FILTER(W$4:W1644,W$4:W1644&lt;=I381),1),W$4:W1644))-K381),1,
ROUNDDOWN(Y381-INDEX(K$4:K1644,MATCH(LARGE(FILTER(I$4:I1644,I$4:I1644&lt;=W381),1),I$4:I1644))-(W381-LARGE(FILTER(I$4:I"&amp;"1644,I$4:I1644&lt;=W381),1))*INDEX(F$4:F1644,MATCH(LARGE(FILTER(I$4:I1644,I$4:I1644&lt;=W381),1),I$4:I1644))))"),3.0711229E7)</f>
        <v>30711229</v>
      </c>
      <c r="N381" s="60">
        <f t="shared" si="8"/>
        <v>-57.22412</v>
      </c>
      <c r="O381" s="61" t="str">
        <f t="shared" si="9"/>
        <v>30,7M</v>
      </c>
      <c r="P381" s="56">
        <f t="shared" si="10"/>
        <v>14</v>
      </c>
      <c r="Q381" s="105" t="s">
        <v>9</v>
      </c>
      <c r="R381" s="10"/>
      <c r="S381" s="59">
        <f t="array" ref="S381">IF(COUNTA(Q381:Q1644)=0,"",SUM((COUNTIF(Q$4:Q381,Upgrades!$B$3:$B$13)-COUNTIF(Q$4:Q381,"Sell_"&amp;Upgrades!$B$3:$B$13))*Upgrades!$D$3:$D$13))</f>
        <v>523251.4</v>
      </c>
      <c r="T381" s="66">
        <f>IFERROR(__xludf.DUMMYFUNCTION("IF(COUNTA(Q381:Q1644)=0,"""",IF(REGEXMATCH(INDEX(FILTER(Q$4:Q381,Q$4:Q381&lt;&gt;""""),ROWS(FILTER(Q$4:Q381,Q$4:Q381&lt;&gt;""""))),""^Sell_""),INDEX(FILTER(T$4:T380,Q$4:Q380&lt;&gt;""""),ROWS(FILTER(Q$4:Q380,Q$4:Q380&lt;&gt;""""))),$AD$5+S381))"),523261.4)</f>
        <v>523261.4</v>
      </c>
      <c r="U381" s="10">
        <f>IFERROR(__xludf.DUMMYFUNCTION("IF(COUNTA(Q381:Q1644)=0,"""",IF(Q381="""",0,IF(REGEXMATCH(Q381,""^Sell_""),-ROUNDDOWN(ROUNDUP(INDEX(Upgrades!$C$3:$C$13,MATCH(SUBSTITUTE(Q381,""Sell_"",""""),Upgrades!$B$3:$B$13,0))*1.15^(COUNTIF(Q$4:Q380,SUBSTITUTE(Q381,""Sell_"",""""))-COUNTIF(Q$4:Q380,"&amp;"""Sell_""&amp;SUBSTITUTE(Q381,""Sell_"",""""))))/2),ROUNDUP(INDEX(Upgrades!$C$3:$C$13,MATCH(Q381,Upgrades!$B$3:$B$13,0))*1.15^(COUNTIF(Q$4:Q380,Q381)-COUNTIF(Q$4:Q380,""Sell_""&amp;Q381))))))"),1230558.0)</f>
        <v>1230558</v>
      </c>
      <c r="V381" s="10">
        <f t="shared" si="11"/>
        <v>1230558</v>
      </c>
      <c r="W381" s="68">
        <f t="shared" si="12"/>
        <v>7503.860471</v>
      </c>
      <c r="X381" s="59" t="str">
        <f t="shared" si="13"/>
        <v>2h 05m 03s</v>
      </c>
      <c r="Y381" s="69">
        <f t="shared" si="14"/>
        <v>839147735</v>
      </c>
      <c r="Z381" s="11"/>
      <c r="AG381" s="59"/>
    </row>
    <row r="382">
      <c r="A382" s="8"/>
      <c r="B382" s="56" t="str">
        <f t="shared" si="2"/>
        <v/>
      </c>
      <c r="C382" s="105"/>
      <c r="D382" s="10"/>
      <c r="E382" s="59" t="str">
        <f t="array" ref="E382">IF(COUNTA(C382:C1644)=0,"",SUM((COUNTIF(C$4:C382,Upgrades!$B$3:$B$13)-COUNTIF(C$4:C382,"Sell_"&amp;Upgrades!$B$3:$B$13))*Upgrades!$D$3:$D$13))</f>
        <v/>
      </c>
      <c r="F382" s="66" t="str">
        <f>IFERROR(__xludf.DUMMYFUNCTION("IF(COUNTA(C382:C1644)=0,"""",IF(REGEXMATCH(INDEX(FILTER(C$4:C382,C$4:C382&lt;&gt;""""),ROWS(FILTER(C$4:C382,C$4:C382&lt;&gt;""""))),""^Sell_""),INDEX(FILTER(F$4:F381,C$4:C381&lt;&gt;""""),ROWS(FILTER(C$4:C381,C$4:C381&lt;&gt;""""))),$AC$5+E382))"),"")</f>
        <v/>
      </c>
      <c r="G382" s="10" t="str">
        <f>IFERROR(__xludf.DUMMYFUNCTION("IF(COUNTA(C382:C1644)=0,"""",IF(C382="""",0,IF(REGEXMATCH(C382,""^Sell_""),-ROUNDDOWN(ROUNDUP(INDEX(Upgrades!$C$3:$C$13,MATCH(SUBSTITUTE(C382,""Sell_"",""""),Upgrades!$B$3:$B$13,0))*1.15^(COUNTIF(C$4:C381,SUBSTITUTE(C382,""Sell_"",""""))-COUNTIF(C$4:C381,"&amp;"""Sell_""&amp;SUBSTITUTE(C382,""Sell_"",""""))))/2),ROUNDUP(INDEX(Upgrades!$C$3:$C$13,MATCH(C382,Upgrades!$B$3:$B$13,0))*1.15^(COUNTIF(C$4:C381,C382)-COUNTIF(C$4:C381,""Sell_""&amp;C382))))))"),"")</f>
        <v/>
      </c>
      <c r="H382" s="10" t="str">
        <f t="shared" si="3"/>
        <v/>
      </c>
      <c r="I382" s="68" t="str">
        <f t="shared" si="4"/>
        <v/>
      </c>
      <c r="J382" s="59" t="str">
        <f t="shared" si="5"/>
        <v/>
      </c>
      <c r="K382" s="69" t="str">
        <f t="shared" si="6"/>
        <v/>
      </c>
      <c r="L382" s="60">
        <f t="shared" si="7"/>
        <v>-55.70505</v>
      </c>
      <c r="M382" s="61">
        <f>IFERROR(__xludf.DUMMYFUNCTION("IFS(AND(COUNTA(C382:C1644)=0,COUNTA(Q382:Q1644)=0),"""",OR(AND(K382&gt;=1000000000,OR(Y382&gt;=1000000000,COUNTA(Q382:Q1644)=0)),OR(Y382&gt;=1000000000,AND(COUNTA(C382:C1644)=0,P$3=TRUE))),
ROUNDDOWN((AB$1-AC$1)*MAX(INDEX(T$4:T1644,MATCH(LARGE(FILTER(Y$4:Y1644,Y$4"&amp;":Y1644&lt;1000000000),1),Y$4:Y1644)),INDEX(F$4:F1644,MATCH(LARGE(FILTER(K$4:K1644,K$4:K1644&lt;1000000000),1),K$4:K1644)))),AND(K382&lt;1000000000,COUNTA(C382:C1644)&gt;0,P$3=FALSE),
ROUNDDOWN(INDEX(Y$4:Y1644,MATCH(LARGE(FILTER(W$4:W1644,W$4:W1644&lt;=I382),1),W$4:W1644"&amp;"))+(I382-LARGE(FILTER(W$4:W1644,W$4:W1644&lt;=I382),1))*INDEX(T$4:T1644,MATCH(LARGE(FILTER(W$4:W1644,W$4:W1644&lt;=I382),1),W$4:W1644))-K382),1,
ROUNDDOWN(Y382-INDEX(K$4:K1644,MATCH(LARGE(FILTER(I$4:I1644,I$4:I1644&lt;=W382),1),I$4:I1644))-(W382-LARGE(FILTER(I$4:I"&amp;"1644,I$4:I1644&lt;=W382),1))*INDEX(F$4:F1644,MATCH(LARGE(FILTER(I$4:I1644,I$4:I1644&lt;=W382),1),I$4:I1644))))"),3.0189285E7)</f>
        <v>30189285</v>
      </c>
      <c r="N382" s="60">
        <f t="shared" si="8"/>
        <v>-55.70505</v>
      </c>
      <c r="O382" s="61" t="str">
        <f t="shared" si="9"/>
        <v>30,2M</v>
      </c>
      <c r="P382" s="56">
        <f t="shared" si="10"/>
        <v>19</v>
      </c>
      <c r="Q382" s="105" t="s">
        <v>10</v>
      </c>
      <c r="R382" s="10"/>
      <c r="S382" s="59">
        <f t="array" ref="S382">IF(COUNTA(Q382:Q1644)=0,"",SUM((COUNTIF(Q$4:Q382,Upgrades!$B$3:$B$13)-COUNTIF(Q$4:Q382,"Sell_"&amp;Upgrades!$B$3:$B$13))*Upgrades!$D$3:$D$13))</f>
        <v>529917.4</v>
      </c>
      <c r="T382" s="66">
        <f>IFERROR(__xludf.DUMMYFUNCTION("IF(COUNTA(Q382:Q1644)=0,"""",IF(REGEXMATCH(INDEX(FILTER(Q$4:Q382,Q$4:Q382&lt;&gt;""""),ROWS(FILTER(Q$4:Q382,Q$4:Q382&lt;&gt;""""))),""^Sell_""),INDEX(FILTER(T$4:T381,Q$4:Q381&lt;&gt;""""),ROWS(FILTER(Q$4:Q381,Q$4:Q381&lt;&gt;""""))),$AD$5+S382))"),529927.4)</f>
        <v>529927.4</v>
      </c>
      <c r="U382" s="10">
        <f>IFERROR(__xludf.DUMMYFUNCTION("IF(COUNTA(Q382:Q1644)=0,"""",IF(Q382="""",0,IF(REGEXMATCH(Q382,""^Sell_""),-ROUNDDOWN(ROUNDUP(INDEX(Upgrades!$C$3:$C$13,MATCH(SUBSTITUTE(Q382,""Sell_"",""""),Upgrades!$B$3:$B$13,0))*1.15^(COUNTIF(Q$4:Q381,SUBSTITUTE(Q382,""Sell_"",""""))-COUNTIF(Q$4:Q381,"&amp;"""Sell_""&amp;SUBSTITUTE(Q382,""Sell_"",""""))))/2),ROUNDUP(INDEX(Upgrades!$C$3:$C$13,MATCH(Q382,Upgrades!$B$3:$B$13,0))*1.15^(COUNTIF(Q$4:Q381,Q382)-COUNTIF(Q$4:Q381,""Sell_""&amp;Q382))))))"),2.0625748E7)</f>
        <v>20625748</v>
      </c>
      <c r="V382" s="10">
        <f t="shared" si="11"/>
        <v>20625748</v>
      </c>
      <c r="W382" s="68">
        <f t="shared" si="12"/>
        <v>7543.278146</v>
      </c>
      <c r="X382" s="59" t="str">
        <f t="shared" si="13"/>
        <v>2h 05m 43s</v>
      </c>
      <c r="Y382" s="69">
        <f t="shared" si="14"/>
        <v>859773483</v>
      </c>
      <c r="Z382" s="11"/>
      <c r="AG382" s="59"/>
    </row>
    <row r="383">
      <c r="A383" s="8"/>
      <c r="B383" s="56" t="str">
        <f t="shared" si="2"/>
        <v/>
      </c>
      <c r="C383" s="105"/>
      <c r="D383" s="10"/>
      <c r="E383" s="59" t="str">
        <f t="array" ref="E383">IF(COUNTA(C383:C1644)=0,"",SUM((COUNTIF(C$4:C383,Upgrades!$B$3:$B$13)-COUNTIF(C$4:C383,"Sell_"&amp;Upgrades!$B$3:$B$13))*Upgrades!$D$3:$D$13))</f>
        <v/>
      </c>
      <c r="F383" s="66" t="str">
        <f>IFERROR(__xludf.DUMMYFUNCTION("IF(COUNTA(C383:C1644)=0,"""",IF(REGEXMATCH(INDEX(FILTER(C$4:C383,C$4:C383&lt;&gt;""""),ROWS(FILTER(C$4:C383,C$4:C383&lt;&gt;""""))),""^Sell_""),INDEX(FILTER(F$4:F382,C$4:C382&lt;&gt;""""),ROWS(FILTER(C$4:C382,C$4:C382&lt;&gt;""""))),$AC$5+E383))"),"")</f>
        <v/>
      </c>
      <c r="G383" s="10" t="str">
        <f>IFERROR(__xludf.DUMMYFUNCTION("IF(COUNTA(C383:C1644)=0,"""",IF(C383="""",0,IF(REGEXMATCH(C383,""^Sell_""),-ROUNDDOWN(ROUNDUP(INDEX(Upgrades!$C$3:$C$13,MATCH(SUBSTITUTE(C383,""Sell_"",""""),Upgrades!$B$3:$B$13,0))*1.15^(COUNTIF(C$4:C382,SUBSTITUTE(C383,""Sell_"",""""))-COUNTIF(C$4:C382,"&amp;"""Sell_""&amp;SUBSTITUTE(C383,""Sell_"",""""))))/2),ROUNDUP(INDEX(Upgrades!$C$3:$C$13,MATCH(C383,Upgrades!$B$3:$B$13,0))*1.15^(COUNTIF(C$4:C382,C383)-COUNTIF(C$4:C382,""Sell_""&amp;C383))))))"),"")</f>
        <v/>
      </c>
      <c r="H383" s="10" t="str">
        <f t="shared" si="3"/>
        <v/>
      </c>
      <c r="I383" s="68" t="str">
        <f t="shared" si="4"/>
        <v/>
      </c>
      <c r="J383" s="59" t="str">
        <f t="shared" si="5"/>
        <v/>
      </c>
      <c r="K383" s="69" t="str">
        <f t="shared" si="6"/>
        <v/>
      </c>
      <c r="L383" s="60">
        <f t="shared" si="7"/>
        <v>-55.68882</v>
      </c>
      <c r="M383" s="61">
        <f>IFERROR(__xludf.DUMMYFUNCTION("IFS(AND(COUNTA(C383:C1644)=0,COUNTA(Q383:Q1644)=0),"""",OR(AND(K383&gt;=1000000000,OR(Y383&gt;=1000000000,COUNTA(Q383:Q1644)=0)),OR(Y383&gt;=1000000000,AND(COUNTA(C383:C1644)=0,P$3=TRUE))),
ROUNDDOWN((AB$1-AC$1)*MAX(INDEX(T$4:T1644,MATCH(LARGE(FILTER(Y$4:Y1644,Y$4"&amp;":Y1644&lt;1000000000),1),Y$4:Y1644)),INDEX(F$4:F1644,MATCH(LARGE(FILTER(K$4:K1644,K$4:K1644&lt;1000000000),1),K$4:K1644)))),AND(K383&lt;1000000000,COUNTA(C383:C1644)&gt;0,P$3=FALSE),
ROUNDDOWN(INDEX(Y$4:Y1644,MATCH(LARGE(FILTER(W$4:W1644,W$4:W1644&lt;=I383),1),W$4:W1644"&amp;"))+(I383-LARGE(FILTER(W$4:W1644,W$4:W1644&lt;=I383),1))*INDEX(T$4:T1644,MATCH(LARGE(FILTER(W$4:W1644,W$4:W1644&lt;=I383),1),W$4:W1644))-K383),1,
ROUNDDOWN(Y383-INDEX(K$4:K1644,MATCH(LARGE(FILTER(I$4:I1644,I$4:I1644&lt;=W383),1),I$4:I1644))-(W383-LARGE(FILTER(I$4:I"&amp;"1644,I$4:I1644&lt;=W383),1))*INDEX(F$4:F1644,MATCH(LARGE(FILTER(I$4:I1644,I$4:I1644&lt;=W383),1),I$4:I1644))))"),3.0184891E7)</f>
        <v>30184891</v>
      </c>
      <c r="N383" s="60">
        <f t="shared" si="8"/>
        <v>-55.68882</v>
      </c>
      <c r="O383" s="61" t="str">
        <f t="shared" si="9"/>
        <v>30,2M</v>
      </c>
      <c r="P383" s="56">
        <f t="shared" si="10"/>
        <v>16</v>
      </c>
      <c r="Q383" s="105" t="s">
        <v>8</v>
      </c>
      <c r="R383" s="10"/>
      <c r="S383" s="59">
        <f t="array" ref="S383">IF(COUNTA(Q383:Q1644)=0,"",SUM((COUNTIF(Q$4:Q383,Upgrades!$B$3:$B$13)-COUNTIF(Q$4:Q383,"Sell_"&amp;Upgrades!$B$3:$B$13))*Upgrades!$D$3:$D$13))</f>
        <v>530017.4</v>
      </c>
      <c r="T383" s="66">
        <f>IFERROR(__xludf.DUMMYFUNCTION("IF(COUNTA(Q383:Q1644)=0,"""",IF(REGEXMATCH(INDEX(FILTER(Q$4:Q383,Q$4:Q383&lt;&gt;""""),ROWS(FILTER(Q$4:Q383,Q$4:Q383&lt;&gt;""""))),""^Sell_""),INDEX(FILTER(T$4:T382,Q$4:Q382&lt;&gt;""""),ROWS(FILTER(Q$4:Q382,Q$4:Q382&lt;&gt;""""))),$AD$5+S383))"),530027.4)</f>
        <v>530027.4</v>
      </c>
      <c r="U383" s="10">
        <f>IFERROR(__xludf.DUMMYFUNCTION("IF(COUNTA(Q383:Q1644)=0,"""",IF(Q383="""",0,IF(REGEXMATCH(Q383,""^Sell_""),-ROUNDDOWN(ROUNDUP(INDEX(Upgrades!$C$3:$C$13,MATCH(SUBSTITUTE(Q383,""Sell_"",""""),Upgrades!$B$3:$B$13,0))*1.15^(COUNTIF(Q$4:Q382,SUBSTITUTE(Q383,""Sell_"",""""))-COUNTIF(Q$4:Q382,"&amp;"""Sell_""&amp;SUBSTITUTE(Q383,""Sell_"",""""))))/2),ROUNDUP(INDEX(Upgrades!$C$3:$C$13,MATCH(Q383,Upgrades!$B$3:$B$13,0))*1.15^(COUNTIF(Q$4:Q382,Q383)-COUNTIF(Q$4:Q382,""Sell_""&amp;Q383))))))"),325483.0)</f>
        <v>325483</v>
      </c>
      <c r="V383" s="10">
        <f t="shared" si="11"/>
        <v>325483</v>
      </c>
      <c r="W383" s="68">
        <f t="shared" si="12"/>
        <v>7543.892349</v>
      </c>
      <c r="X383" s="59" t="str">
        <f t="shared" si="13"/>
        <v>2h 05m 43s</v>
      </c>
      <c r="Y383" s="69">
        <f t="shared" si="14"/>
        <v>860098966</v>
      </c>
      <c r="Z383" s="11"/>
      <c r="AG383" s="59"/>
    </row>
    <row r="384">
      <c r="A384" s="8"/>
      <c r="B384" s="56" t="str">
        <f t="shared" si="2"/>
        <v/>
      </c>
      <c r="C384" s="105"/>
      <c r="D384" s="10"/>
      <c r="E384" s="59" t="str">
        <f t="array" ref="E384">IF(COUNTA(C384:C1644)=0,"",SUM((COUNTIF(C$4:C384,Upgrades!$B$3:$B$13)-COUNTIF(C$4:C384,"Sell_"&amp;Upgrades!$B$3:$B$13))*Upgrades!$D$3:$D$13))</f>
        <v/>
      </c>
      <c r="F384" s="66" t="str">
        <f>IFERROR(__xludf.DUMMYFUNCTION("IF(COUNTA(C384:C1644)=0,"""",IF(REGEXMATCH(INDEX(FILTER(C$4:C384,C$4:C384&lt;&gt;""""),ROWS(FILTER(C$4:C384,C$4:C384&lt;&gt;""""))),""^Sell_""),INDEX(FILTER(F$4:F383,C$4:C383&lt;&gt;""""),ROWS(FILTER(C$4:C383,C$4:C383&lt;&gt;""""))),$AC$5+E384))"),"")</f>
        <v/>
      </c>
      <c r="G384" s="10" t="str">
        <f>IFERROR(__xludf.DUMMYFUNCTION("IF(COUNTA(C384:C1644)=0,"""",IF(C384="""",0,IF(REGEXMATCH(C384,""^Sell_""),-ROUNDDOWN(ROUNDUP(INDEX(Upgrades!$C$3:$C$13,MATCH(SUBSTITUTE(C384,""Sell_"",""""),Upgrades!$B$3:$B$13,0))*1.15^(COUNTIF(C$4:C383,SUBSTITUTE(C384,""Sell_"",""""))-COUNTIF(C$4:C383,"&amp;"""Sell_""&amp;SUBSTITUTE(C384,""Sell_"",""""))))/2),ROUNDUP(INDEX(Upgrades!$C$3:$C$13,MATCH(C384,Upgrades!$B$3:$B$13,0))*1.15^(COUNTIF(C$4:C383,C384)-COUNTIF(C$4:C383,""Sell_""&amp;C384))))))"),"")</f>
        <v/>
      </c>
      <c r="H384" s="10" t="str">
        <f t="shared" si="3"/>
        <v/>
      </c>
      <c r="I384" s="68" t="str">
        <f t="shared" si="4"/>
        <v/>
      </c>
      <c r="J384" s="59" t="str">
        <f t="shared" si="5"/>
        <v/>
      </c>
      <c r="K384" s="69" t="str">
        <f t="shared" si="6"/>
        <v/>
      </c>
      <c r="L384" s="60">
        <f t="shared" si="7"/>
        <v>-55.6188</v>
      </c>
      <c r="M384" s="61">
        <f>IFERROR(__xludf.DUMMYFUNCTION("IFS(AND(COUNTA(C384:C1644)=0,COUNTA(Q384:Q1644)=0),"""",OR(AND(K384&gt;=1000000000,OR(Y384&gt;=1000000000,COUNTA(Q384:Q1644)=0)),OR(Y384&gt;=1000000000,AND(COUNTA(C384:C1644)=0,P$3=TRUE))),
ROUNDDOWN((AB$1-AC$1)*MAX(INDEX(T$4:T1644,MATCH(LARGE(FILTER(Y$4:Y1644,Y$4"&amp;":Y1644&lt;1000000000),1),Y$4:Y1644)),INDEX(F$4:F1644,MATCH(LARGE(FILTER(K$4:K1644,K$4:K1644&lt;1000000000),1),K$4:K1644)))),AND(K384&lt;1000000000,COUNTA(C384:C1644)&gt;0,P$3=FALSE),
ROUNDDOWN(INDEX(Y$4:Y1644,MATCH(LARGE(FILTER(W$4:W1644,W$4:W1644&lt;=I384),1),W$4:W1644"&amp;"))+(I384-LARGE(FILTER(W$4:W1644,W$4:W1644&lt;=I384),1))*INDEX(T$4:T1644,MATCH(LARGE(FILTER(W$4:W1644,W$4:W1644&lt;=I384),1),W$4:W1644))-K384),1,
ROUNDDOWN(Y384-INDEX(K$4:K1644,MATCH(LARGE(FILTER(I$4:I1644,I$4:I1644&lt;=W384),1),I$4:I1644))-(W384-LARGE(FILTER(I$4:I"&amp;"1644,I$4:I1644&lt;=W384),1))*INDEX(F$4:F1644,MATCH(LARGE(FILTER(I$4:I1644,I$4:I1644&lt;=W384),1),I$4:I1644))))"),3.0166053E7)</f>
        <v>30166053</v>
      </c>
      <c r="N384" s="60">
        <f t="shared" si="8"/>
        <v>-55.6188</v>
      </c>
      <c r="O384" s="61" t="str">
        <f t="shared" si="9"/>
        <v>30,2M</v>
      </c>
      <c r="P384" s="56">
        <f t="shared" si="10"/>
        <v>15</v>
      </c>
      <c r="Q384" s="105" t="s">
        <v>9</v>
      </c>
      <c r="R384" s="10"/>
      <c r="S384" s="59">
        <f t="array" ref="S384">IF(COUNTA(Q384:Q1644)=0,"",SUM((COUNTIF(Q$4:Q384,Upgrades!$B$3:$B$13)-COUNTIF(Q$4:Q384,"Sell_"&amp;Upgrades!$B$3:$B$13))*Upgrades!$D$3:$D$13))</f>
        <v>530417.4</v>
      </c>
      <c r="T384" s="66">
        <f>IFERROR(__xludf.DUMMYFUNCTION("IF(COUNTA(Q384:Q1644)=0,"""",IF(REGEXMATCH(INDEX(FILTER(Q$4:Q384,Q$4:Q384&lt;&gt;""""),ROWS(FILTER(Q$4:Q384,Q$4:Q384&lt;&gt;""""))),""^Sell_""),INDEX(FILTER(T$4:T383,Q$4:Q383&lt;&gt;""""),ROWS(FILTER(Q$4:Q383,Q$4:Q383&lt;&gt;""""))),$AD$5+S384))"),530427.4)</f>
        <v>530427.4</v>
      </c>
      <c r="U384" s="10">
        <f>IFERROR(__xludf.DUMMYFUNCTION("IF(COUNTA(Q384:Q1644)=0,"""",IF(Q384="""",0,IF(REGEXMATCH(Q384,""^Sell_""),-ROUNDDOWN(ROUNDUP(INDEX(Upgrades!$C$3:$C$13,MATCH(SUBSTITUTE(Q384,""Sell_"",""""),Upgrades!$B$3:$B$13,0))*1.15^(COUNTIF(Q$4:Q383,SUBSTITUTE(Q384,""Sell_"",""""))-COUNTIF(Q$4:Q383,"&amp;"""Sell_""&amp;SUBSTITUTE(Q384,""Sell_"",""""))))/2),ROUNDUP(INDEX(Upgrades!$C$3:$C$13,MATCH(Q384,Upgrades!$B$3:$B$13,0))*1.15^(COUNTIF(Q$4:Q383,Q384)-COUNTIF(Q$4:Q383,""Sell_""&amp;Q384))))))"),1415142.0)</f>
        <v>1415142</v>
      </c>
      <c r="V384" s="10">
        <f t="shared" si="11"/>
        <v>1415142</v>
      </c>
      <c r="W384" s="68">
        <f t="shared" si="12"/>
        <v>7546.562291</v>
      </c>
      <c r="X384" s="59" t="str">
        <f t="shared" si="13"/>
        <v>2h 05m 46s</v>
      </c>
      <c r="Y384" s="69">
        <f t="shared" si="14"/>
        <v>861514108</v>
      </c>
      <c r="Z384" s="11"/>
      <c r="AG384" s="59"/>
    </row>
    <row r="385">
      <c r="A385" s="8"/>
      <c r="B385" s="56" t="str">
        <f t="shared" si="2"/>
        <v/>
      </c>
      <c r="C385" s="105"/>
      <c r="D385" s="10"/>
      <c r="E385" s="59" t="str">
        <f t="array" ref="E385">IF(COUNTA(C385:C1644)=0,"",SUM((COUNTIF(C$4:C385,Upgrades!$B$3:$B$13)-COUNTIF(C$4:C385,"Sell_"&amp;Upgrades!$B$3:$B$13))*Upgrades!$D$3:$D$13))</f>
        <v/>
      </c>
      <c r="F385" s="66" t="str">
        <f>IFERROR(__xludf.DUMMYFUNCTION("IF(COUNTA(C385:C1644)=0,"""",IF(REGEXMATCH(INDEX(FILTER(C$4:C385,C$4:C385&lt;&gt;""""),ROWS(FILTER(C$4:C385,C$4:C385&lt;&gt;""""))),""^Sell_""),INDEX(FILTER(F$4:F384,C$4:C384&lt;&gt;""""),ROWS(FILTER(C$4:C384,C$4:C384&lt;&gt;""""))),$AC$5+E385))"),"")</f>
        <v/>
      </c>
      <c r="G385" s="10" t="str">
        <f>IFERROR(__xludf.DUMMYFUNCTION("IF(COUNTA(C385:C1644)=0,"""",IF(C385="""",0,IF(REGEXMATCH(C385,""^Sell_""),-ROUNDDOWN(ROUNDUP(INDEX(Upgrades!$C$3:$C$13,MATCH(SUBSTITUTE(C385,""Sell_"",""""),Upgrades!$B$3:$B$13,0))*1.15^(COUNTIF(C$4:C384,SUBSTITUTE(C385,""Sell_"",""""))-COUNTIF(C$4:C384,"&amp;"""Sell_""&amp;SUBSTITUTE(C385,""Sell_"",""""))))/2),ROUNDUP(INDEX(Upgrades!$C$3:$C$13,MATCH(C385,Upgrades!$B$3:$B$13,0))*1.15^(COUNTIF(C$4:C384,C385)-COUNTIF(C$4:C384,""Sell_""&amp;C385))))))"),"")</f>
        <v/>
      </c>
      <c r="H385" s="10" t="str">
        <f t="shared" si="3"/>
        <v/>
      </c>
      <c r="I385" s="68" t="str">
        <f t="shared" si="4"/>
        <v/>
      </c>
      <c r="J385" s="59" t="str">
        <f t="shared" si="5"/>
        <v/>
      </c>
      <c r="K385" s="69" t="str">
        <f t="shared" si="6"/>
        <v/>
      </c>
      <c r="L385" s="60">
        <f t="shared" si="7"/>
        <v>-54.18335</v>
      </c>
      <c r="M385" s="61">
        <f>IFERROR(__xludf.DUMMYFUNCTION("IFS(AND(COUNTA(C385:C1644)=0,COUNTA(Q385:Q1644)=0),"""",OR(AND(K385&gt;=1000000000,OR(Y385&gt;=1000000000,COUNTA(Q385:Q1644)=0)),OR(Y385&gt;=1000000000,AND(COUNTA(C385:C1644)=0,P$3=TRUE))),
ROUNDDOWN((AB$1-AC$1)*MAX(INDEX(T$4:T1644,MATCH(LARGE(FILTER(Y$4:Y1644,Y$4"&amp;":Y1644&lt;1000000000),1),Y$4:Y1644)),INDEX(F$4:F1644,MATCH(LARGE(FILTER(K$4:K1644,K$4:K1644&lt;1000000000),1),K$4:K1644)))),AND(K385&lt;1000000000,COUNTA(C385:C1644)&gt;0,P$3=FALSE),
ROUNDDOWN(INDEX(Y$4:Y1644,MATCH(LARGE(FILTER(W$4:W1644,W$4:W1644&lt;=I385),1),W$4:W1644"&amp;"))+(I385-LARGE(FILTER(W$4:W1644,W$4:W1644&lt;=I385),1))*INDEX(T$4:T1644,MATCH(LARGE(FILTER(W$4:W1644,W$4:W1644&lt;=I385),1),W$4:W1644))-K385),1,
ROUNDDOWN(Y385-INDEX(K$4:K1644,MATCH(LARGE(FILTER(I$4:I1644,I$4:I1644&lt;=W385),1),I$4:I1644))-(W385-LARGE(FILTER(I$4:I"&amp;"1644,I$4:I1644&lt;=W385),1))*INDEX(F$4:F1644,MATCH(LARGE(FILTER(I$4:I1644,I$4:I1644&lt;=W385),1),I$4:I1644))))"),2.9652997E7)</f>
        <v>29652997</v>
      </c>
      <c r="N385" s="60">
        <f t="shared" si="8"/>
        <v>-54.18335</v>
      </c>
      <c r="O385" s="61" t="str">
        <f t="shared" si="9"/>
        <v>29,7M</v>
      </c>
      <c r="P385" s="56">
        <f t="shared" si="10"/>
        <v>20</v>
      </c>
      <c r="Q385" s="105" t="s">
        <v>10</v>
      </c>
      <c r="R385" s="10"/>
      <c r="S385" s="59">
        <f t="array" ref="S385">IF(COUNTA(Q385:Q1644)=0,"",SUM((COUNTIF(Q$4:Q385,Upgrades!$B$3:$B$13)-COUNTIF(Q$4:Q385,"Sell_"&amp;Upgrades!$B$3:$B$13))*Upgrades!$D$3:$D$13))</f>
        <v>537083.4</v>
      </c>
      <c r="T385" s="66">
        <f>IFERROR(__xludf.DUMMYFUNCTION("IF(COUNTA(Q385:Q1644)=0,"""",IF(REGEXMATCH(INDEX(FILTER(Q$4:Q385,Q$4:Q385&lt;&gt;""""),ROWS(FILTER(Q$4:Q385,Q$4:Q385&lt;&gt;""""))),""^Sell_""),INDEX(FILTER(T$4:T384,Q$4:Q384&lt;&gt;""""),ROWS(FILTER(Q$4:Q384,Q$4:Q384&lt;&gt;""""))),$AD$5+S385))"),537093.4)</f>
        <v>537093.4</v>
      </c>
      <c r="U385" s="10">
        <f>IFERROR(__xludf.DUMMYFUNCTION("IF(COUNTA(Q385:Q1644)=0,"""",IF(Q385="""",0,IF(REGEXMATCH(Q385,""^Sell_""),-ROUNDDOWN(ROUNDUP(INDEX(Upgrades!$C$3:$C$13,MATCH(SUBSTITUTE(Q385,""Sell_"",""""),Upgrades!$B$3:$B$13,0))*1.15^(COUNTIF(Q$4:Q384,SUBSTITUTE(Q385,""Sell_"",""""))-COUNTIF(Q$4:Q384,"&amp;"""Sell_""&amp;SUBSTITUTE(Q385,""Sell_"",""""))))/2),ROUNDUP(INDEX(Upgrades!$C$3:$C$13,MATCH(Q385,Upgrades!$B$3:$B$13,0))*1.15^(COUNTIF(Q$4:Q384,Q385)-COUNTIF(Q$4:Q384,""Sell_""&amp;Q385))))))"),2.371961E7)</f>
        <v>23719610</v>
      </c>
      <c r="V385" s="10">
        <f t="shared" si="11"/>
        <v>23719610</v>
      </c>
      <c r="W385" s="68">
        <f t="shared" si="12"/>
        <v>7591.28021</v>
      </c>
      <c r="X385" s="59" t="str">
        <f t="shared" si="13"/>
        <v>2h 06m 31s</v>
      </c>
      <c r="Y385" s="69">
        <f t="shared" si="14"/>
        <v>885233718</v>
      </c>
      <c r="Z385" s="11"/>
      <c r="AG385" s="59"/>
    </row>
    <row r="386">
      <c r="A386" s="8"/>
      <c r="B386" s="56" t="str">
        <f t="shared" si="2"/>
        <v/>
      </c>
      <c r="C386" s="105"/>
      <c r="D386" s="10"/>
      <c r="E386" s="59" t="str">
        <f t="array" ref="E386">IF(COUNTA(C386:C1644)=0,"",SUM((COUNTIF(C$4:C386,Upgrades!$B$3:$B$13)-COUNTIF(C$4:C386,"Sell_"&amp;Upgrades!$B$3:$B$13))*Upgrades!$D$3:$D$13))</f>
        <v/>
      </c>
      <c r="F386" s="66" t="str">
        <f>IFERROR(__xludf.DUMMYFUNCTION("IF(COUNTA(C386:C1644)=0,"""",IF(REGEXMATCH(INDEX(FILTER(C$4:C386,C$4:C386&lt;&gt;""""),ROWS(FILTER(C$4:C386,C$4:C386&lt;&gt;""""))),""^Sell_""),INDEX(FILTER(F$4:F385,C$4:C385&lt;&gt;""""),ROWS(FILTER(C$4:C385,C$4:C385&lt;&gt;""""))),$AC$5+E386))"),"")</f>
        <v/>
      </c>
      <c r="G386" s="10" t="str">
        <f>IFERROR(__xludf.DUMMYFUNCTION("IF(COUNTA(C386:C1644)=0,"""",IF(C386="""",0,IF(REGEXMATCH(C386,""^Sell_""),-ROUNDDOWN(ROUNDUP(INDEX(Upgrades!$C$3:$C$13,MATCH(SUBSTITUTE(C386,""Sell_"",""""),Upgrades!$B$3:$B$13,0))*1.15^(COUNTIF(C$4:C385,SUBSTITUTE(C386,""Sell_"",""""))-COUNTIF(C$4:C385,"&amp;"""Sell_""&amp;SUBSTITUTE(C386,""Sell_"",""""))))/2),ROUNDUP(INDEX(Upgrades!$C$3:$C$13,MATCH(C386,Upgrades!$B$3:$B$13,0))*1.15^(COUNTIF(C$4:C385,C386)-COUNTIF(C$4:C385,""Sell_""&amp;C386))))))"),"")</f>
        <v/>
      </c>
      <c r="H386" s="10" t="str">
        <f t="shared" si="3"/>
        <v/>
      </c>
      <c r="I386" s="68" t="str">
        <f t="shared" si="4"/>
        <v/>
      </c>
      <c r="J386" s="59" t="str">
        <f t="shared" si="5"/>
        <v/>
      </c>
      <c r="K386" s="69" t="str">
        <f t="shared" si="6"/>
        <v/>
      </c>
      <c r="L386" s="60">
        <f t="shared" si="7"/>
        <v>-54.16512</v>
      </c>
      <c r="M386" s="61">
        <f>IFERROR(__xludf.DUMMYFUNCTION("IFS(AND(COUNTA(C386:C1644)=0,COUNTA(Q386:Q1644)=0),"""",OR(AND(K386&gt;=1000000000,OR(Y386&gt;=1000000000,COUNTA(Q386:Q1644)=0)),OR(Y386&gt;=1000000000,AND(COUNTA(C386:C1644)=0,P$3=TRUE))),
ROUNDDOWN((AB$1-AC$1)*MAX(INDEX(T$4:T1644,MATCH(LARGE(FILTER(Y$4:Y1644,Y$4"&amp;":Y1644&lt;1000000000),1),Y$4:Y1644)),INDEX(F$4:F1644,MATCH(LARGE(FILTER(K$4:K1644,K$4:K1644&lt;1000000000),1),K$4:K1644)))),AND(K386&lt;1000000000,COUNTA(C386:C1644)&gt;0,P$3=FALSE),
ROUNDDOWN(INDEX(Y$4:Y1644,MATCH(LARGE(FILTER(W$4:W1644,W$4:W1644&lt;=I386),1),W$4:W1644"&amp;"))+(I386-LARGE(FILTER(W$4:W1644,W$4:W1644&lt;=I386),1))*INDEX(T$4:T1644,MATCH(LARGE(FILTER(W$4:W1644,W$4:W1644&lt;=I386),1),W$4:W1644))-K386),1,
ROUNDDOWN(Y386-INDEX(K$4:K1644,MATCH(LARGE(FILTER(I$4:I1644,I$4:I1644&lt;=W386),1),I$4:I1644))-(W386-LARGE(FILTER(I$4:I"&amp;"1644,I$4:I1644&lt;=W386),1))*INDEX(F$4:F1644,MATCH(LARGE(FILTER(I$4:I1644,I$4:I1644&lt;=W386),1),I$4:I1644))))"),2.9647973E7)</f>
        <v>29647973</v>
      </c>
      <c r="N386" s="60">
        <f t="shared" si="8"/>
        <v>-54.16512</v>
      </c>
      <c r="O386" s="61" t="str">
        <f t="shared" si="9"/>
        <v>29,6M</v>
      </c>
      <c r="P386" s="56">
        <f t="shared" si="10"/>
        <v>17</v>
      </c>
      <c r="Q386" s="105" t="s">
        <v>8</v>
      </c>
      <c r="R386" s="10"/>
      <c r="S386" s="59">
        <f t="array" ref="S386">IF(COUNTA(Q386:Q1644)=0,"",SUM((COUNTIF(Q$4:Q386,Upgrades!$B$3:$B$13)-COUNTIF(Q$4:Q386,"Sell_"&amp;Upgrades!$B$3:$B$13))*Upgrades!$D$3:$D$13))</f>
        <v>537183.4</v>
      </c>
      <c r="T386" s="66">
        <f>IFERROR(__xludf.DUMMYFUNCTION("IF(COUNTA(Q386:Q1644)=0,"""",IF(REGEXMATCH(INDEX(FILTER(Q$4:Q386,Q$4:Q386&lt;&gt;""""),ROWS(FILTER(Q$4:Q386,Q$4:Q386&lt;&gt;""""))),""^Sell_""),INDEX(FILTER(T$4:T385,Q$4:Q385&lt;&gt;""""),ROWS(FILTER(Q$4:Q385,Q$4:Q385&lt;&gt;""""))),$AD$5+S386))"),537193.4)</f>
        <v>537193.4</v>
      </c>
      <c r="U386" s="10">
        <f>IFERROR(__xludf.DUMMYFUNCTION("IF(COUNTA(Q386:Q1644)=0,"""",IF(Q386="""",0,IF(REGEXMATCH(Q386,""^Sell_""),-ROUNDDOWN(ROUNDUP(INDEX(Upgrades!$C$3:$C$13,MATCH(SUBSTITUTE(Q386,""Sell_"",""""),Upgrades!$B$3:$B$13,0))*1.15^(COUNTIF(Q$4:Q385,SUBSTITUTE(Q386,""Sell_"",""""))-COUNTIF(Q$4:Q385,"&amp;"""Sell_""&amp;SUBSTITUTE(Q386,""Sell_"",""""))))/2),ROUNDUP(INDEX(Upgrades!$C$3:$C$13,MATCH(Q386,Upgrades!$B$3:$B$13,0))*1.15^(COUNTIF(Q$4:Q385,Q386)-COUNTIF(Q$4:Q385,""Sell_""&amp;Q386))))))"),374305.0)</f>
        <v>374305</v>
      </c>
      <c r="V386" s="10">
        <f t="shared" si="11"/>
        <v>374305</v>
      </c>
      <c r="W386" s="68">
        <f t="shared" si="12"/>
        <v>7591.977119</v>
      </c>
      <c r="X386" s="59" t="str">
        <f t="shared" si="13"/>
        <v>2h 06m 31s</v>
      </c>
      <c r="Y386" s="69">
        <f t="shared" si="14"/>
        <v>885608023</v>
      </c>
      <c r="Z386" s="11"/>
      <c r="AG386" s="59"/>
    </row>
    <row r="387">
      <c r="A387" s="8"/>
      <c r="B387" s="56" t="str">
        <f t="shared" si="2"/>
        <v/>
      </c>
      <c r="C387" s="105"/>
      <c r="D387" s="10"/>
      <c r="E387" s="59" t="str">
        <f t="array" ref="E387">IF(COUNTA(C387:C1644)=0,"",SUM((COUNTIF(C$4:C387,Upgrades!$B$3:$B$13)-COUNTIF(C$4:C387,"Sell_"&amp;Upgrades!$B$3:$B$13))*Upgrades!$D$3:$D$13))</f>
        <v/>
      </c>
      <c r="F387" s="66" t="str">
        <f>IFERROR(__xludf.DUMMYFUNCTION("IF(COUNTA(C387:C1644)=0,"""",IF(REGEXMATCH(INDEX(FILTER(C$4:C387,C$4:C387&lt;&gt;""""),ROWS(FILTER(C$4:C387,C$4:C387&lt;&gt;""""))),""^Sell_""),INDEX(FILTER(F$4:F386,C$4:C386&lt;&gt;""""),ROWS(FILTER(C$4:C386,C$4:C386&lt;&gt;""""))),$AC$5+E387))"),"")</f>
        <v/>
      </c>
      <c r="G387" s="10" t="str">
        <f>IFERROR(__xludf.DUMMYFUNCTION("IF(COUNTA(C387:C1644)=0,"""",IF(C387="""",0,IF(REGEXMATCH(C387,""^Sell_""),-ROUNDDOWN(ROUNDUP(INDEX(Upgrades!$C$3:$C$13,MATCH(SUBSTITUTE(C387,""Sell_"",""""),Upgrades!$B$3:$B$13,0))*1.15^(COUNTIF(C$4:C386,SUBSTITUTE(C387,""Sell_"",""""))-COUNTIF(C$4:C386,"&amp;"""Sell_""&amp;SUBSTITUTE(C387,""Sell_"",""""))))/2),ROUNDUP(INDEX(Upgrades!$C$3:$C$13,MATCH(C387,Upgrades!$B$3:$B$13,0))*1.15^(COUNTIF(C$4:C386,C387)-COUNTIF(C$4:C386,""Sell_""&amp;C387))))))"),"")</f>
        <v/>
      </c>
      <c r="H387" s="10" t="str">
        <f t="shared" si="3"/>
        <v/>
      </c>
      <c r="I387" s="68" t="str">
        <f t="shared" si="4"/>
        <v/>
      </c>
      <c r="J387" s="59" t="str">
        <f t="shared" si="5"/>
        <v/>
      </c>
      <c r="K387" s="69" t="str">
        <f t="shared" si="6"/>
        <v/>
      </c>
      <c r="L387" s="60">
        <f t="shared" si="7"/>
        <v>-54.0864</v>
      </c>
      <c r="M387" s="61">
        <f>IFERROR(__xludf.DUMMYFUNCTION("IFS(AND(COUNTA(C387:C1644)=0,COUNTA(Q387:Q1644)=0),"""",OR(AND(K387&gt;=1000000000,OR(Y387&gt;=1000000000,COUNTA(Q387:Q1644)=0)),OR(Y387&gt;=1000000000,AND(COUNTA(C387:C1644)=0,P$3=TRUE))),
ROUNDDOWN((AB$1-AC$1)*MAX(INDEX(T$4:T1644,MATCH(LARGE(FILTER(Y$4:Y1644,Y$4"&amp;":Y1644&lt;1000000000),1),Y$4:Y1644)),INDEX(F$4:F1644,MATCH(LARGE(FILTER(K$4:K1644,K$4:K1644&lt;1000000000),1),K$4:K1644)))),AND(K387&lt;1000000000,COUNTA(C387:C1644)&gt;0,P$3=FALSE),
ROUNDDOWN(INDEX(Y$4:Y1644,MATCH(LARGE(FILTER(W$4:W1644,W$4:W1644&lt;=I387),1),W$4:W1644"&amp;"))+(I387-LARGE(FILTER(W$4:W1644,W$4:W1644&lt;=I387),1))*INDEX(T$4:T1644,MATCH(LARGE(FILTER(W$4:W1644,W$4:W1644&lt;=I387),1),W$4:W1644))-K387),1,
ROUNDDOWN(Y387-INDEX(K$4:K1644,MATCH(LARGE(FILTER(I$4:I1644,I$4:I1644&lt;=W387),1),I$4:I1644))-(W387-LARGE(FILTER(I$4:I"&amp;"1644,I$4:I1644&lt;=W387),1))*INDEX(F$4:F1644,MATCH(LARGE(FILTER(I$4:I1644,I$4:I1644&lt;=W387),1),I$4:I1644))))"),2.9626433E7)</f>
        <v>29626433</v>
      </c>
      <c r="N387" s="60">
        <f t="shared" si="8"/>
        <v>-54.0864</v>
      </c>
      <c r="O387" s="61" t="str">
        <f t="shared" si="9"/>
        <v>29,6M</v>
      </c>
      <c r="P387" s="56">
        <f t="shared" si="10"/>
        <v>16</v>
      </c>
      <c r="Q387" s="105" t="s">
        <v>9</v>
      </c>
      <c r="R387" s="10"/>
      <c r="S387" s="59">
        <f t="array" ref="S387">IF(COUNTA(Q387:Q1644)=0,"",SUM((COUNTIF(Q$4:Q387,Upgrades!$B$3:$B$13)-COUNTIF(Q$4:Q387,"Sell_"&amp;Upgrades!$B$3:$B$13))*Upgrades!$D$3:$D$13))</f>
        <v>537583.4</v>
      </c>
      <c r="T387" s="66">
        <f>IFERROR(__xludf.DUMMYFUNCTION("IF(COUNTA(Q387:Q1644)=0,"""",IF(REGEXMATCH(INDEX(FILTER(Q$4:Q387,Q$4:Q387&lt;&gt;""""),ROWS(FILTER(Q$4:Q387,Q$4:Q387&lt;&gt;""""))),""^Sell_""),INDEX(FILTER(T$4:T386,Q$4:Q386&lt;&gt;""""),ROWS(FILTER(Q$4:Q386,Q$4:Q386&lt;&gt;""""))),$AD$5+S387))"),537593.4)</f>
        <v>537593.4</v>
      </c>
      <c r="U387" s="10">
        <f>IFERROR(__xludf.DUMMYFUNCTION("IF(COUNTA(Q387:Q1644)=0,"""",IF(Q387="""",0,IF(REGEXMATCH(Q387,""^Sell_""),-ROUNDDOWN(ROUNDUP(INDEX(Upgrades!$C$3:$C$13,MATCH(SUBSTITUTE(Q387,""Sell_"",""""),Upgrades!$B$3:$B$13,0))*1.15^(COUNTIF(Q$4:Q386,SUBSTITUTE(Q387,""Sell_"",""""))-COUNTIF(Q$4:Q386,"&amp;"""Sell_""&amp;SUBSTITUTE(Q387,""Sell_"",""""))))/2),ROUNDUP(INDEX(Upgrades!$C$3:$C$13,MATCH(Q387,Upgrades!$B$3:$B$13,0))*1.15^(COUNTIF(Q$4:Q386,Q387)-COUNTIF(Q$4:Q386,""Sell_""&amp;Q387))))))"),1627413.0)</f>
        <v>1627413</v>
      </c>
      <c r="V387" s="10">
        <f t="shared" si="11"/>
        <v>1627413</v>
      </c>
      <c r="W387" s="68">
        <f t="shared" si="12"/>
        <v>7595.006592</v>
      </c>
      <c r="X387" s="59" t="str">
        <f t="shared" si="13"/>
        <v>2h 06m 35s</v>
      </c>
      <c r="Y387" s="69">
        <f t="shared" si="14"/>
        <v>887235436</v>
      </c>
      <c r="Z387" s="11"/>
      <c r="AG387" s="59"/>
    </row>
    <row r="388">
      <c r="A388" s="8"/>
      <c r="B388" s="56" t="str">
        <f t="shared" si="2"/>
        <v/>
      </c>
      <c r="C388" s="105"/>
      <c r="D388" s="10"/>
      <c r="E388" s="59" t="str">
        <f t="array" ref="E388">IF(COUNTA(C388:C1644)=0,"",SUM((COUNTIF(C$4:C388,Upgrades!$B$3:$B$13)-COUNTIF(C$4:C388,"Sell_"&amp;Upgrades!$B$3:$B$13))*Upgrades!$D$3:$D$13))</f>
        <v/>
      </c>
      <c r="F388" s="66" t="str">
        <f>IFERROR(__xludf.DUMMYFUNCTION("IF(COUNTA(C388:C1644)=0,"""",IF(REGEXMATCH(INDEX(FILTER(C$4:C388,C$4:C388&lt;&gt;""""),ROWS(FILTER(C$4:C388,C$4:C388&lt;&gt;""""))),""^Sell_""),INDEX(FILTER(F$4:F387,C$4:C387&lt;&gt;""""),ROWS(FILTER(C$4:C387,C$4:C387&lt;&gt;""""))),$AC$5+E388))"),"")</f>
        <v/>
      </c>
      <c r="G388" s="10" t="str">
        <f>IFERROR(__xludf.DUMMYFUNCTION("IF(COUNTA(C388:C1644)=0,"""",IF(C388="""",0,IF(REGEXMATCH(C388,""^Sell_""),-ROUNDDOWN(ROUNDUP(INDEX(Upgrades!$C$3:$C$13,MATCH(SUBSTITUTE(C388,""Sell_"",""""),Upgrades!$B$3:$B$13,0))*1.15^(COUNTIF(C$4:C387,SUBSTITUTE(C388,""Sell_"",""""))-COUNTIF(C$4:C387,"&amp;"""Sell_""&amp;SUBSTITUTE(C388,""Sell_"",""""))))/2),ROUNDUP(INDEX(Upgrades!$C$3:$C$13,MATCH(C388,Upgrades!$B$3:$B$13,0))*1.15^(COUNTIF(C$4:C387,C388)-COUNTIF(C$4:C387,""Sell_""&amp;C388))))))"),"")</f>
        <v/>
      </c>
      <c r="H388" s="10" t="str">
        <f t="shared" si="3"/>
        <v/>
      </c>
      <c r="I388" s="68" t="str">
        <f t="shared" si="4"/>
        <v/>
      </c>
      <c r="J388" s="59" t="str">
        <f t="shared" si="5"/>
        <v/>
      </c>
      <c r="K388" s="69" t="str">
        <f t="shared" si="6"/>
        <v/>
      </c>
      <c r="L388" s="60">
        <f t="shared" si="7"/>
        <v>-54.07871</v>
      </c>
      <c r="M388" s="61">
        <f>IFERROR(__xludf.DUMMYFUNCTION("IFS(AND(COUNTA(C388:C1644)=0,COUNTA(Q388:Q1644)=0),"""",OR(AND(K388&gt;=1000000000,OR(Y388&gt;=1000000000,COUNTA(Q388:Q1644)=0)),OR(Y388&gt;=1000000000,AND(COUNTA(C388:C1644)=0,P$3=TRUE))),
ROUNDDOWN((AB$1-AC$1)*MAX(INDEX(T$4:T1644,MATCH(LARGE(FILTER(Y$4:Y1644,Y$4"&amp;":Y1644&lt;1000000000),1),Y$4:Y1644)),INDEX(F$4:F1644,MATCH(LARGE(FILTER(K$4:K1644,K$4:K1644&lt;1000000000),1),K$4:K1644)))),AND(K388&lt;1000000000,COUNTA(C388:C1644)&gt;0,P$3=FALSE),
ROUNDDOWN(INDEX(Y$4:Y1644,MATCH(LARGE(FILTER(W$4:W1644,W$4:W1644&lt;=I388),1),W$4:W1644"&amp;"))+(I388-LARGE(FILTER(W$4:W1644,W$4:W1644&lt;=I388),1))*INDEX(T$4:T1644,MATCH(LARGE(FILTER(W$4:W1644,W$4:W1644&lt;=I388),1),W$4:W1644))-K388),1,
ROUNDDOWN(Y388-INDEX(K$4:K1644,MATCH(LARGE(FILTER(I$4:I1644,I$4:I1644&lt;=W388),1),I$4:I1644))-(W388-LARGE(FILTER(I$4:I"&amp;"1644,I$4:I1644&lt;=W388),1))*INDEX(F$4:F1644,MATCH(LARGE(FILTER(I$4:I1644,I$4:I1644&lt;=W388),1),I$4:I1644))))"),2.962439E7)</f>
        <v>29624390</v>
      </c>
      <c r="N388" s="60">
        <f t="shared" si="8"/>
        <v>-54.07871</v>
      </c>
      <c r="O388" s="61" t="str">
        <f t="shared" si="9"/>
        <v>29,6M</v>
      </c>
      <c r="P388" s="56">
        <f t="shared" si="10"/>
        <v>21</v>
      </c>
      <c r="Q388" s="105" t="s">
        <v>7</v>
      </c>
      <c r="R388" s="10"/>
      <c r="S388" s="59">
        <f t="array" ref="S388">IF(COUNTA(Q388:Q1644)=0,"",SUM((COUNTIF(Q$4:Q388,Upgrades!$B$3:$B$13)-COUNTIF(Q$4:Q388,"Sell_"&amp;Upgrades!$B$3:$B$13))*Upgrades!$D$3:$D$13))</f>
        <v>537623.4</v>
      </c>
      <c r="T388" s="66">
        <f>IFERROR(__xludf.DUMMYFUNCTION("IF(COUNTA(Q388:Q1644)=0,"""",IF(REGEXMATCH(INDEX(FILTER(Q$4:Q388,Q$4:Q388&lt;&gt;""""),ROWS(FILTER(Q$4:Q388,Q$4:Q388&lt;&gt;""""))),""^Sell_""),INDEX(FILTER(T$4:T387,Q$4:Q387&lt;&gt;""""),ROWS(FILTER(Q$4:Q387,Q$4:Q387&lt;&gt;""""))),$AD$5+S388))"),537633.4)</f>
        <v>537633.4</v>
      </c>
      <c r="U388" s="10">
        <f>IFERROR(__xludf.DUMMYFUNCTION("IF(COUNTA(Q388:Q1644)=0,"""",IF(Q388="""",0,IF(REGEXMATCH(Q388,""^Sell_""),-ROUNDDOWN(ROUNDUP(INDEX(Upgrades!$C$3:$C$13,MATCH(SUBSTITUTE(Q388,""Sell_"",""""),Upgrades!$B$3:$B$13,0))*1.15^(COUNTIF(Q$4:Q387,SUBSTITUTE(Q388,""Sell_"",""""))-COUNTIF(Q$4:Q387,"&amp;"""Sell_""&amp;SUBSTITUTE(Q388,""Sell_"",""""))))/2),ROUNDUP(INDEX(Upgrades!$C$3:$C$13,MATCH(Q388,Upgrades!$B$3:$B$13,0))*1.15^(COUNTIF(Q$4:Q387,Q388)-COUNTIF(Q$4:Q387,""Sell_""&amp;Q388))))))"),163666.0)</f>
        <v>163666</v>
      </c>
      <c r="V388" s="10">
        <f t="shared" si="11"/>
        <v>163666</v>
      </c>
      <c r="W388" s="68">
        <f t="shared" si="12"/>
        <v>7595.311034</v>
      </c>
      <c r="X388" s="59" t="str">
        <f t="shared" si="13"/>
        <v>2h 06m 35s</v>
      </c>
      <c r="Y388" s="69">
        <f t="shared" si="14"/>
        <v>887399102</v>
      </c>
      <c r="Z388" s="11"/>
      <c r="AG388" s="59"/>
    </row>
    <row r="389">
      <c r="A389" s="8"/>
      <c r="B389" s="56" t="str">
        <f t="shared" si="2"/>
        <v/>
      </c>
      <c r="C389" s="105"/>
      <c r="D389" s="10"/>
      <c r="E389" s="59" t="str">
        <f t="array" ref="E389">IF(COUNTA(C389:C1644)=0,"",SUM((COUNTIF(C$4:C389,Upgrades!$B$3:$B$13)-COUNTIF(C$4:C389,"Sell_"&amp;Upgrades!$B$3:$B$13))*Upgrades!$D$3:$D$13))</f>
        <v/>
      </c>
      <c r="F389" s="66" t="str">
        <f>IFERROR(__xludf.DUMMYFUNCTION("IF(COUNTA(C389:C1644)=0,"""",IF(REGEXMATCH(INDEX(FILTER(C$4:C389,C$4:C389&lt;&gt;""""),ROWS(FILTER(C$4:C389,C$4:C389&lt;&gt;""""))),""^Sell_""),INDEX(FILTER(F$4:F388,C$4:C388&lt;&gt;""""),ROWS(FILTER(C$4:C388,C$4:C388&lt;&gt;""""))),$AC$5+E389))"),"")</f>
        <v/>
      </c>
      <c r="G389" s="10" t="str">
        <f>IFERROR(__xludf.DUMMYFUNCTION("IF(COUNTA(C389:C1644)=0,"""",IF(C389="""",0,IF(REGEXMATCH(C389,""^Sell_""),-ROUNDDOWN(ROUNDUP(INDEX(Upgrades!$C$3:$C$13,MATCH(SUBSTITUTE(C389,""Sell_"",""""),Upgrades!$B$3:$B$13,0))*1.15^(COUNTIF(C$4:C388,SUBSTITUTE(C389,""Sell_"",""""))-COUNTIF(C$4:C388,"&amp;"""Sell_""&amp;SUBSTITUTE(C389,""Sell_"",""""))))/2),ROUNDUP(INDEX(Upgrades!$C$3:$C$13,MATCH(C389,Upgrades!$B$3:$B$13,0))*1.15^(COUNTIF(C$4:C388,C389)-COUNTIF(C$4:C388,""Sell_""&amp;C389))))))"),"")</f>
        <v/>
      </c>
      <c r="H389" s="10" t="str">
        <f t="shared" si="3"/>
        <v/>
      </c>
      <c r="I389" s="68" t="str">
        <f t="shared" si="4"/>
        <v/>
      </c>
      <c r="J389" s="59" t="str">
        <f t="shared" si="5"/>
        <v/>
      </c>
      <c r="K389" s="69" t="str">
        <f t="shared" si="6"/>
        <v/>
      </c>
      <c r="L389" s="60">
        <f t="shared" si="7"/>
        <v>-52.72882</v>
      </c>
      <c r="M389" s="61">
        <f>IFERROR(__xludf.DUMMYFUNCTION("IFS(AND(COUNTA(C389:C1644)=0,COUNTA(Q389:Q1644)=0),"""",OR(AND(K389&gt;=1000000000,OR(Y389&gt;=1000000000,COUNTA(Q389:Q1644)=0)),OR(Y389&gt;=1000000000,AND(COUNTA(C389:C1644)=0,P$3=TRUE))),
ROUNDDOWN((AB$1-AC$1)*MAX(INDEX(T$4:T1644,MATCH(LARGE(FILTER(Y$4:Y1644,Y$4"&amp;":Y1644&lt;1000000000),1),Y$4:Y1644)),INDEX(F$4:F1644,MATCH(LARGE(FILTER(K$4:K1644,K$4:K1644&lt;1000000000),1),K$4:K1644)))),AND(K389&lt;1000000000,COUNTA(C389:C1644)&gt;0,P$3=FALSE),
ROUNDDOWN(INDEX(Y$4:Y1644,MATCH(LARGE(FILTER(W$4:W1644,W$4:W1644&lt;=I389),1),W$4:W1644"&amp;"))+(I389-LARGE(FILTER(W$4:W1644,W$4:W1644&lt;=I389),1))*INDEX(T$4:T1644,MATCH(LARGE(FILTER(W$4:W1644,W$4:W1644&lt;=I389),1),W$4:W1644))-K389),1,
ROUNDDOWN(Y389-INDEX(K$4:K1644,MATCH(LARGE(FILTER(I$4:I1644,I$4:I1644&lt;=W389),1),I$4:I1644))-(W389-LARGE(FILTER(I$4:I"&amp;"1644,I$4:I1644&lt;=W389),1))*INDEX(F$4:F1644,MATCH(LARGE(FILTER(I$4:I1644,I$4:I1644&lt;=W389),1),I$4:I1644))))"),2.912095E7)</f>
        <v>29120950</v>
      </c>
      <c r="N389" s="60">
        <f t="shared" si="8"/>
        <v>-52.72882</v>
      </c>
      <c r="O389" s="61" t="str">
        <f t="shared" si="9"/>
        <v>29,1M</v>
      </c>
      <c r="P389" s="56">
        <f t="shared" si="10"/>
        <v>21</v>
      </c>
      <c r="Q389" s="105" t="s">
        <v>10</v>
      </c>
      <c r="R389" s="10"/>
      <c r="S389" s="59">
        <f t="array" ref="S389">IF(COUNTA(Q389:Q1644)=0,"",SUM((COUNTIF(Q$4:Q389,Upgrades!$B$3:$B$13)-COUNTIF(Q$4:Q389,"Sell_"&amp;Upgrades!$B$3:$B$13))*Upgrades!$D$3:$D$13))</f>
        <v>544289.4</v>
      </c>
      <c r="T389" s="66">
        <f>IFERROR(__xludf.DUMMYFUNCTION("IF(COUNTA(Q389:Q1644)=0,"""",IF(REGEXMATCH(INDEX(FILTER(Q$4:Q389,Q$4:Q389&lt;&gt;""""),ROWS(FILTER(Q$4:Q389,Q$4:Q389&lt;&gt;""""))),""^Sell_""),INDEX(FILTER(T$4:T388,Q$4:Q388&lt;&gt;""""),ROWS(FILTER(Q$4:Q388,Q$4:Q388&lt;&gt;""""))),$AD$5+S389))"),544299.4)</f>
        <v>544299.4</v>
      </c>
      <c r="U389" s="10">
        <f>IFERROR(__xludf.DUMMYFUNCTION("IF(COUNTA(Q389:Q1644)=0,"""",IF(Q389="""",0,IF(REGEXMATCH(Q389,""^Sell_""),-ROUNDDOWN(ROUNDUP(INDEX(Upgrades!$C$3:$C$13,MATCH(SUBSTITUTE(Q389,""Sell_"",""""),Upgrades!$B$3:$B$13,0))*1.15^(COUNTIF(Q$4:Q388,SUBSTITUTE(Q389,""Sell_"",""""))-COUNTIF(Q$4:Q388,"&amp;"""Sell_""&amp;SUBSTITUTE(Q389,""Sell_"",""""))))/2),ROUNDUP(INDEX(Upgrades!$C$3:$C$13,MATCH(Q389,Upgrades!$B$3:$B$13,0))*1.15^(COUNTIF(Q$4:Q388,Q389)-COUNTIF(Q$4:Q388,""Sell_""&amp;Q389))))))"),2.7277552E7)</f>
        <v>27277552</v>
      </c>
      <c r="V389" s="10">
        <f t="shared" si="11"/>
        <v>27277552</v>
      </c>
      <c r="W389" s="68">
        <f t="shared" si="12"/>
        <v>7646.047376</v>
      </c>
      <c r="X389" s="59" t="str">
        <f t="shared" si="13"/>
        <v>2h 07m 26s</v>
      </c>
      <c r="Y389" s="69">
        <f t="shared" si="14"/>
        <v>914676654</v>
      </c>
      <c r="Z389" s="11"/>
      <c r="AG389" s="59"/>
    </row>
    <row r="390">
      <c r="A390" s="8"/>
      <c r="B390" s="56" t="str">
        <f t="shared" si="2"/>
        <v/>
      </c>
      <c r="C390" s="105"/>
      <c r="D390" s="10"/>
      <c r="E390" s="59" t="str">
        <f t="array" ref="E390">IF(COUNTA(C390:C1644)=0,"",SUM((COUNTIF(C$4:C390,Upgrades!$B$3:$B$13)-COUNTIF(C$4:C390,"Sell_"&amp;Upgrades!$B$3:$B$13))*Upgrades!$D$3:$D$13))</f>
        <v/>
      </c>
      <c r="F390" s="66" t="str">
        <f>IFERROR(__xludf.DUMMYFUNCTION("IF(COUNTA(C390:C1644)=0,"""",IF(REGEXMATCH(INDEX(FILTER(C$4:C390,C$4:C390&lt;&gt;""""),ROWS(FILTER(C$4:C390,C$4:C390&lt;&gt;""""))),""^Sell_""),INDEX(FILTER(F$4:F389,C$4:C389&lt;&gt;""""),ROWS(FILTER(C$4:C389,C$4:C389&lt;&gt;""""))),$AC$5+E390))"),"")</f>
        <v/>
      </c>
      <c r="G390" s="10" t="str">
        <f>IFERROR(__xludf.DUMMYFUNCTION("IF(COUNTA(C390:C1644)=0,"""",IF(C390="""",0,IF(REGEXMATCH(C390,""^Sell_""),-ROUNDDOWN(ROUNDUP(INDEX(Upgrades!$C$3:$C$13,MATCH(SUBSTITUTE(C390,""Sell_"",""""),Upgrades!$B$3:$B$13,0))*1.15^(COUNTIF(C$4:C389,SUBSTITUTE(C390,""Sell_"",""""))-COUNTIF(C$4:C389,"&amp;"""Sell_""&amp;SUBSTITUTE(C390,""Sell_"",""""))))/2),ROUNDUP(INDEX(Upgrades!$C$3:$C$13,MATCH(C390,Upgrades!$B$3:$B$13,0))*1.15^(COUNTIF(C$4:C389,C390)-COUNTIF(C$4:C389,""Sell_""&amp;C390))))))"),"")</f>
        <v/>
      </c>
      <c r="H390" s="10" t="str">
        <f t="shared" si="3"/>
        <v/>
      </c>
      <c r="I390" s="68" t="str">
        <f t="shared" si="4"/>
        <v/>
      </c>
      <c r="J390" s="59" t="str">
        <f t="shared" si="5"/>
        <v/>
      </c>
      <c r="K390" s="69" t="str">
        <f t="shared" si="6"/>
        <v/>
      </c>
      <c r="L390" s="60">
        <f t="shared" si="7"/>
        <v>-52.72804</v>
      </c>
      <c r="M390" s="61">
        <f>IFERROR(__xludf.DUMMYFUNCTION("IFS(AND(COUNTA(C390:C1644)=0,COUNTA(Q390:Q1644)=0),"""",OR(AND(K390&gt;=1000000000,OR(Y390&gt;=1000000000,COUNTA(Q390:Q1644)=0)),OR(Y390&gt;=1000000000,AND(COUNTA(C390:C1644)=0,P$3=TRUE))),
ROUNDDOWN((AB$1-AC$1)*MAX(INDEX(T$4:T1644,MATCH(LARGE(FILTER(Y$4:Y1644,Y$4"&amp;":Y1644&lt;1000000000),1),Y$4:Y1644)),INDEX(F$4:F1644,MATCH(LARGE(FILTER(K$4:K1644,K$4:K1644&lt;1000000000),1),K$4:K1644)))),AND(K390&lt;1000000000,COUNTA(C390:C1644)&gt;0,P$3=FALSE),
ROUNDDOWN(INDEX(Y$4:Y1644,MATCH(LARGE(FILTER(W$4:W1644,W$4:W1644&lt;=I390),1),W$4:W1644"&amp;"))+(I390-LARGE(FILTER(W$4:W1644,W$4:W1644&lt;=I390),1))*INDEX(T$4:T1644,MATCH(LARGE(FILTER(W$4:W1644,W$4:W1644&lt;=I390),1),W$4:W1644))-K390),1,
ROUNDDOWN(Y390-INDEX(K$4:K1644,MATCH(LARGE(FILTER(I$4:I1644,I$4:I1644&lt;=W390),1),I$4:I1644))-(W390-LARGE(FILTER(I$4:I"&amp;"1644,I$4:I1644&lt;=W390),1))*INDEX(F$4:F1644,MATCH(LARGE(FILTER(I$4:I1644,I$4:I1644&lt;=W390),1),I$4:I1644))))"),2.9120732E7)</f>
        <v>29120732</v>
      </c>
      <c r="N390" s="60">
        <f t="shared" si="8"/>
        <v>-52.72804</v>
      </c>
      <c r="O390" s="61" t="str">
        <f t="shared" si="9"/>
        <v>29,1M</v>
      </c>
      <c r="P390" s="56">
        <f t="shared" si="10"/>
        <v>26</v>
      </c>
      <c r="Q390" s="105" t="s">
        <v>5</v>
      </c>
      <c r="R390" s="10"/>
      <c r="S390" s="59">
        <f t="array" ref="S390">IF(COUNTA(Q390:Q1644)=0,"",SUM((COUNTIF(Q$4:Q390,Upgrades!$B$3:$B$13)-COUNTIF(Q$4:Q390,"Sell_"&amp;Upgrades!$B$3:$B$13))*Upgrades!$D$3:$D$13))</f>
        <v>544293.4</v>
      </c>
      <c r="T390" s="66">
        <f>IFERROR(__xludf.DUMMYFUNCTION("IF(COUNTA(Q390:Q1644)=0,"""",IF(REGEXMATCH(INDEX(FILTER(Q$4:Q390,Q$4:Q390&lt;&gt;""""),ROWS(FILTER(Q$4:Q390,Q$4:Q390&lt;&gt;""""))),""^Sell_""),INDEX(FILTER(T$4:T389,Q$4:Q389&lt;&gt;""""),ROWS(FILTER(Q$4:Q389,Q$4:Q389&lt;&gt;""""))),$AD$5+S390))"),544303.4)</f>
        <v>544303.4</v>
      </c>
      <c r="U390" s="10">
        <f>IFERROR(__xludf.DUMMYFUNCTION("IF(COUNTA(Q390:Q1644)=0,"""",IF(Q390="""",0,IF(REGEXMATCH(Q390,""^Sell_""),-ROUNDDOWN(ROUNDUP(INDEX(Upgrades!$C$3:$C$13,MATCH(SUBSTITUTE(Q390,""Sell_"",""""),Upgrades!$B$3:$B$13,0))*1.15^(COUNTIF(Q$4:Q389,SUBSTITUTE(Q390,""Sell_"",""""))-COUNTIF(Q$4:Q389,"&amp;"""Sell_""&amp;SUBSTITUTE(Q390,""Sell_"",""""))))/2),ROUNDUP(INDEX(Upgrades!$C$3:$C$13,MATCH(Q390,Upgrades!$B$3:$B$13,0))*1.15^(COUNTIF(Q$4:Q389,Q390)-COUNTIF(Q$4:Q389,""Sell_""&amp;Q390))))))"),16460.0)</f>
        <v>16460</v>
      </c>
      <c r="V390" s="10">
        <f t="shared" si="11"/>
        <v>16460</v>
      </c>
      <c r="W390" s="68">
        <f t="shared" si="12"/>
        <v>7646.077617</v>
      </c>
      <c r="X390" s="59" t="str">
        <f t="shared" si="13"/>
        <v>2h 07m 26s</v>
      </c>
      <c r="Y390" s="69">
        <f t="shared" si="14"/>
        <v>914693114</v>
      </c>
      <c r="Z390" s="11"/>
      <c r="AG390" s="59"/>
    </row>
    <row r="391">
      <c r="A391" s="8"/>
      <c r="B391" s="56" t="str">
        <f t="shared" si="2"/>
        <v/>
      </c>
      <c r="C391" s="105"/>
      <c r="D391" s="10"/>
      <c r="E391" s="59" t="str">
        <f t="array" ref="E391">IF(COUNTA(C391:C1644)=0,"",SUM((COUNTIF(C$4:C391,Upgrades!$B$3:$B$13)-COUNTIF(C$4:C391,"Sell_"&amp;Upgrades!$B$3:$B$13))*Upgrades!$D$3:$D$13))</f>
        <v/>
      </c>
      <c r="F391" s="66" t="str">
        <f>IFERROR(__xludf.DUMMYFUNCTION("IF(COUNTA(C391:C1644)=0,"""",IF(REGEXMATCH(INDEX(FILTER(C$4:C391,C$4:C391&lt;&gt;""""),ROWS(FILTER(C$4:C391,C$4:C391&lt;&gt;""""))),""^Sell_""),INDEX(FILTER(F$4:F390,C$4:C390&lt;&gt;""""),ROWS(FILTER(C$4:C390,C$4:C390&lt;&gt;""""))),$AC$5+E391))"),"")</f>
        <v/>
      </c>
      <c r="G391" s="10" t="str">
        <f>IFERROR(__xludf.DUMMYFUNCTION("IF(COUNTA(C391:C1644)=0,"""",IF(C391="""",0,IF(REGEXMATCH(C391,""^Sell_""),-ROUNDDOWN(ROUNDUP(INDEX(Upgrades!$C$3:$C$13,MATCH(SUBSTITUTE(C391,""Sell_"",""""),Upgrades!$B$3:$B$13,0))*1.15^(COUNTIF(C$4:C390,SUBSTITUTE(C391,""Sell_"",""""))-COUNTIF(C$4:C390,"&amp;"""Sell_""&amp;SUBSTITUTE(C391,""Sell_"",""""))))/2),ROUNDUP(INDEX(Upgrades!$C$3:$C$13,MATCH(C391,Upgrades!$B$3:$B$13,0))*1.15^(COUNTIF(C$4:C390,C391)-COUNTIF(C$4:C390,""Sell_""&amp;C391))))))"),"")</f>
        <v/>
      </c>
      <c r="H391" s="10" t="str">
        <f t="shared" si="3"/>
        <v/>
      </c>
      <c r="I391" s="68" t="str">
        <f t="shared" si="4"/>
        <v/>
      </c>
      <c r="J391" s="59" t="str">
        <f t="shared" si="5"/>
        <v/>
      </c>
      <c r="K391" s="69" t="str">
        <f t="shared" si="6"/>
        <v/>
      </c>
      <c r="L391" s="60">
        <f t="shared" si="7"/>
        <v>-52.72601</v>
      </c>
      <c r="M391" s="61">
        <f>IFERROR(__xludf.DUMMYFUNCTION("IFS(AND(COUNTA(C391:C1644)=0,COUNTA(Q391:Q1644)=0),"""",OR(AND(K391&gt;=1000000000,OR(Y391&gt;=1000000000,COUNTA(Q391:Q1644)=0)),OR(Y391&gt;=1000000000,AND(COUNTA(C391:C1644)=0,P$3=TRUE))),
ROUNDDOWN((AB$1-AC$1)*MAX(INDEX(T$4:T1644,MATCH(LARGE(FILTER(Y$4:Y1644,Y$4"&amp;":Y1644&lt;1000000000),1),Y$4:Y1644)),INDEX(F$4:F1644,MATCH(LARGE(FILTER(K$4:K1644,K$4:K1644&lt;1000000000),1),K$4:K1644)))),AND(K391&lt;1000000000,COUNTA(C391:C1644)&gt;0,P$3=FALSE),
ROUNDDOWN(INDEX(Y$4:Y1644,MATCH(LARGE(FILTER(W$4:W1644,W$4:W1644&lt;=I391),1),W$4:W1644"&amp;"))+(I391-LARGE(FILTER(W$4:W1644,W$4:W1644&lt;=I391),1))*INDEX(T$4:T1644,MATCH(LARGE(FILTER(W$4:W1644,W$4:W1644&lt;=I391),1),W$4:W1644))-K391),1,
ROUNDDOWN(Y391-INDEX(K$4:K1644,MATCH(LARGE(FILTER(I$4:I1644,I$4:I1644&lt;=W391),1),I$4:I1644))-(W391-LARGE(FILTER(I$4:I"&amp;"1644,I$4:I1644&lt;=W391),1))*INDEX(F$4:F1644,MATCH(LARGE(FILTER(I$4:I1644,I$4:I1644&lt;=W391),1),I$4:I1644))))"),2.9120165E7)</f>
        <v>29120165</v>
      </c>
      <c r="N391" s="60">
        <f t="shared" si="8"/>
        <v>-52.72601</v>
      </c>
      <c r="O391" s="61" t="str">
        <f t="shared" si="9"/>
        <v>29,1M</v>
      </c>
      <c r="P391" s="56">
        <f t="shared" si="10"/>
        <v>20</v>
      </c>
      <c r="Q391" s="105" t="s">
        <v>6</v>
      </c>
      <c r="R391" s="10"/>
      <c r="S391" s="59">
        <f t="array" ref="S391">IF(COUNTA(Q391:Q1644)=0,"",SUM((COUNTIF(Q$4:Q391,Upgrades!$B$3:$B$13)-COUNTIF(Q$4:Q391,"Sell_"&amp;Upgrades!$B$3:$B$13))*Upgrades!$D$3:$D$13))</f>
        <v>544303.4</v>
      </c>
      <c r="T391" s="66">
        <f>IFERROR(__xludf.DUMMYFUNCTION("IF(COUNTA(Q391:Q1644)=0,"""",IF(REGEXMATCH(INDEX(FILTER(Q$4:Q391,Q$4:Q391&lt;&gt;""""),ROWS(FILTER(Q$4:Q391,Q$4:Q391&lt;&gt;""""))),""^Sell_""),INDEX(FILTER(T$4:T390,Q$4:Q390&lt;&gt;""""),ROWS(FILTER(Q$4:Q390,Q$4:Q390&lt;&gt;""""))),$AD$5+S391))"),544313.4)</f>
        <v>544313.4</v>
      </c>
      <c r="U391" s="10">
        <f>IFERROR(__xludf.DUMMYFUNCTION("IF(COUNTA(Q391:Q1644)=0,"""",IF(Q391="""",0,IF(REGEXMATCH(Q391,""^Sell_""),-ROUNDDOWN(ROUNDUP(INDEX(Upgrades!$C$3:$C$13,MATCH(SUBSTITUTE(Q391,""Sell_"",""""),Upgrades!$B$3:$B$13,0))*1.15^(COUNTIF(Q$4:Q390,SUBSTITUTE(Q391,""Sell_"",""""))-COUNTIF(Q$4:Q390,"&amp;"""Sell_""&amp;SUBSTITUTE(Q391,""Sell_"",""""))))/2),ROUNDUP(INDEX(Upgrades!$C$3:$C$13,MATCH(Q391,Upgrades!$B$3:$B$13,0))*1.15^(COUNTIF(Q$4:Q390,Q391)-COUNTIF(Q$4:Q390,""Sell_""&amp;Q391))))))"),42696.0)</f>
        <v>42696</v>
      </c>
      <c r="V391" s="10">
        <f t="shared" si="11"/>
        <v>42696</v>
      </c>
      <c r="W391" s="68">
        <f t="shared" si="12"/>
        <v>7646.156058</v>
      </c>
      <c r="X391" s="59" t="str">
        <f t="shared" si="13"/>
        <v>2h 07m 26s</v>
      </c>
      <c r="Y391" s="69">
        <f t="shared" si="14"/>
        <v>914735810</v>
      </c>
      <c r="Z391" s="11"/>
      <c r="AG391" s="59"/>
    </row>
    <row r="392">
      <c r="A392" s="8"/>
      <c r="B392" s="56" t="str">
        <f t="shared" si="2"/>
        <v/>
      </c>
      <c r="C392" s="105"/>
      <c r="D392" s="10"/>
      <c r="E392" s="59" t="str">
        <f t="array" ref="E392">IF(COUNTA(C392:C1644)=0,"",SUM((COUNTIF(C$4:C392,Upgrades!$B$3:$B$13)-COUNTIF(C$4:C392,"Sell_"&amp;Upgrades!$B$3:$B$13))*Upgrades!$D$3:$D$13))</f>
        <v/>
      </c>
      <c r="F392" s="66" t="str">
        <f>IFERROR(__xludf.DUMMYFUNCTION("IF(COUNTA(C392:C1644)=0,"""",IF(REGEXMATCH(INDEX(FILTER(C$4:C392,C$4:C392&lt;&gt;""""),ROWS(FILTER(C$4:C392,C$4:C392&lt;&gt;""""))),""^Sell_""),INDEX(FILTER(F$4:F391,C$4:C391&lt;&gt;""""),ROWS(FILTER(C$4:C391,C$4:C391&lt;&gt;""""))),$AC$5+E392))"),"")</f>
        <v/>
      </c>
      <c r="G392" s="10" t="str">
        <f>IFERROR(__xludf.DUMMYFUNCTION("IF(COUNTA(C392:C1644)=0,"""",IF(C392="""",0,IF(REGEXMATCH(C392,""^Sell_""),-ROUNDDOWN(ROUNDUP(INDEX(Upgrades!$C$3:$C$13,MATCH(SUBSTITUTE(C392,""Sell_"",""""),Upgrades!$B$3:$B$13,0))*1.15^(COUNTIF(C$4:C391,SUBSTITUTE(C392,""Sell_"",""""))-COUNTIF(C$4:C391,"&amp;"""Sell_""&amp;SUBSTITUTE(C392,""Sell_"",""""))))/2),ROUNDUP(INDEX(Upgrades!$C$3:$C$13,MATCH(C392,Upgrades!$B$3:$B$13,0))*1.15^(COUNTIF(C$4:C391,C392)-COUNTIF(C$4:C391,""Sell_""&amp;C392))))))"),"")</f>
        <v/>
      </c>
      <c r="H392" s="10" t="str">
        <f t="shared" si="3"/>
        <v/>
      </c>
      <c r="I392" s="68" t="str">
        <f t="shared" si="4"/>
        <v/>
      </c>
      <c r="J392" s="59" t="str">
        <f t="shared" si="5"/>
        <v/>
      </c>
      <c r="K392" s="69" t="str">
        <f t="shared" si="6"/>
        <v/>
      </c>
      <c r="L392" s="60">
        <f t="shared" si="7"/>
        <v>-52.72599</v>
      </c>
      <c r="M392" s="61">
        <f>IFERROR(__xludf.DUMMYFUNCTION("IFS(AND(COUNTA(C392:C1644)=0,COUNTA(Q392:Q1644)=0),"""",OR(AND(K392&gt;=1000000000,OR(Y392&gt;=1000000000,COUNTA(Q392:Q1644)=0)),OR(Y392&gt;=1000000000,AND(COUNTA(C392:C1644)=0,P$3=TRUE))),
ROUNDDOWN((AB$1-AC$1)*MAX(INDEX(T$4:T1644,MATCH(LARGE(FILTER(Y$4:Y1644,Y$4"&amp;":Y1644&lt;1000000000),1),Y$4:Y1644)),INDEX(F$4:F1644,MATCH(LARGE(FILTER(K$4:K1644,K$4:K1644&lt;1000000000),1),K$4:K1644)))),AND(K392&lt;1000000000,COUNTA(C392:C1644)&gt;0,P$3=FALSE),
ROUNDDOWN(INDEX(Y$4:Y1644,MATCH(LARGE(FILTER(W$4:W1644,W$4:W1644&lt;=I392),1),W$4:W1644"&amp;"))+(I392-LARGE(FILTER(W$4:W1644,W$4:W1644&lt;=I392),1))*INDEX(T$4:T1644,MATCH(LARGE(FILTER(W$4:W1644,W$4:W1644&lt;=I392),1),W$4:W1644))-K392),1,
ROUNDDOWN(Y392-INDEX(K$4:K1644,MATCH(LARGE(FILTER(I$4:I1644,I$4:I1644&lt;=W392),1),I$4:I1644))-(W392-LARGE(FILTER(I$4:I"&amp;"1644,I$4:I1644&lt;=W392),1))*INDEX(F$4:F1644,MATCH(LARGE(FILTER(I$4:I1644,I$4:I1644&lt;=W392),1),I$4:I1644))))"),2.9120159E7)</f>
        <v>29120159</v>
      </c>
      <c r="N392" s="60">
        <f t="shared" si="8"/>
        <v>-52.72599</v>
      </c>
      <c r="O392" s="61" t="str">
        <f t="shared" si="9"/>
        <v>29,1M</v>
      </c>
      <c r="P392" s="56">
        <f t="shared" si="10"/>
        <v>25</v>
      </c>
      <c r="Q392" s="105" t="s">
        <v>3</v>
      </c>
      <c r="R392" s="10"/>
      <c r="S392" s="59">
        <f t="array" ref="S392">IF(COUNTA(Q392:Q1644)=0,"",SUM((COUNTIF(Q$4:Q392,Upgrades!$B$3:$B$13)-COUNTIF(Q$4:Q392,"Sell_"&amp;Upgrades!$B$3:$B$13))*Upgrades!$D$3:$D$13))</f>
        <v>544303.5</v>
      </c>
      <c r="T392" s="66">
        <f>IFERROR(__xludf.DUMMYFUNCTION("IF(COUNTA(Q392:Q1644)=0,"""",IF(REGEXMATCH(INDEX(FILTER(Q$4:Q392,Q$4:Q392&lt;&gt;""""),ROWS(FILTER(Q$4:Q392,Q$4:Q392&lt;&gt;""""))),""^Sell_""),INDEX(FILTER(T$4:T391,Q$4:Q391&lt;&gt;""""),ROWS(FILTER(Q$4:Q391,Q$4:Q391&lt;&gt;""""))),$AD$5+S392))"),544313.5)</f>
        <v>544313.5</v>
      </c>
      <c r="U392" s="10">
        <f>IFERROR(__xludf.DUMMYFUNCTION("IF(COUNTA(Q392:Q1644)=0,"""",IF(Q392="""",0,IF(REGEXMATCH(Q392,""^Sell_""),-ROUNDDOWN(ROUNDUP(INDEX(Upgrades!$C$3:$C$13,MATCH(SUBSTITUTE(Q392,""Sell_"",""""),Upgrades!$B$3:$B$13,0))*1.15^(COUNTIF(Q$4:Q391,SUBSTITUTE(Q392,""Sell_"",""""))-COUNTIF(Q$4:Q391,"&amp;"""Sell_""&amp;SUBSTITUTE(Q392,""Sell_"",""""))))/2),ROUNDUP(INDEX(Upgrades!$C$3:$C$13,MATCH(Q392,Upgrades!$B$3:$B$13,0))*1.15^(COUNTIF(Q$4:Q391,Q392)-COUNTIF(Q$4:Q391,""Sell_""&amp;Q392))))))"),430.0)</f>
        <v>430</v>
      </c>
      <c r="V392" s="10">
        <f t="shared" si="11"/>
        <v>430</v>
      </c>
      <c r="W392" s="68">
        <f t="shared" si="12"/>
        <v>7646.156848</v>
      </c>
      <c r="X392" s="59" t="str">
        <f t="shared" si="13"/>
        <v>2h 07m 26s</v>
      </c>
      <c r="Y392" s="69">
        <f t="shared" si="14"/>
        <v>914736240</v>
      </c>
      <c r="Z392" s="11"/>
      <c r="AG392" s="59"/>
    </row>
    <row r="393">
      <c r="A393" s="8"/>
      <c r="B393" s="56" t="str">
        <f t="shared" si="2"/>
        <v/>
      </c>
      <c r="C393" s="105"/>
      <c r="D393" s="10"/>
      <c r="E393" s="59" t="str">
        <f t="array" ref="E393">IF(COUNTA(C393:C1644)=0,"",SUM((COUNTIF(C$4:C393,Upgrades!$B$3:$B$13)-COUNTIF(C$4:C393,"Sell_"&amp;Upgrades!$B$3:$B$13))*Upgrades!$D$3:$D$13))</f>
        <v/>
      </c>
      <c r="F393" s="66" t="str">
        <f>IFERROR(__xludf.DUMMYFUNCTION("IF(COUNTA(C393:C1644)=0,"""",IF(REGEXMATCH(INDEX(FILTER(C$4:C393,C$4:C393&lt;&gt;""""),ROWS(FILTER(C$4:C393,C$4:C393&lt;&gt;""""))),""^Sell_""),INDEX(FILTER(F$4:F392,C$4:C392&lt;&gt;""""),ROWS(FILTER(C$4:C392,C$4:C392&lt;&gt;""""))),$AC$5+E393))"),"")</f>
        <v/>
      </c>
      <c r="G393" s="10" t="str">
        <f>IFERROR(__xludf.DUMMYFUNCTION("IF(COUNTA(C393:C1644)=0,"""",IF(C393="""",0,IF(REGEXMATCH(C393,""^Sell_""),-ROUNDDOWN(ROUNDUP(INDEX(Upgrades!$C$3:$C$13,MATCH(SUBSTITUTE(C393,""Sell_"",""""),Upgrades!$B$3:$B$13,0))*1.15^(COUNTIF(C$4:C392,SUBSTITUTE(C393,""Sell_"",""""))-COUNTIF(C$4:C392,"&amp;"""Sell_""&amp;SUBSTITUTE(C393,""Sell_"",""""))))/2),ROUNDUP(INDEX(Upgrades!$C$3:$C$13,MATCH(C393,Upgrades!$B$3:$B$13,0))*1.15^(COUNTIF(C$4:C392,C393)-COUNTIF(C$4:C392,""Sell_""&amp;C393))))))"),"")</f>
        <v/>
      </c>
      <c r="H393" s="10" t="str">
        <f t="shared" si="3"/>
        <v/>
      </c>
      <c r="I393" s="68" t="str">
        <f t="shared" si="4"/>
        <v/>
      </c>
      <c r="J393" s="59" t="str">
        <f t="shared" si="5"/>
        <v/>
      </c>
      <c r="K393" s="69" t="str">
        <f t="shared" si="6"/>
        <v/>
      </c>
      <c r="L393" s="60">
        <f t="shared" si="7"/>
        <v>-52.7055</v>
      </c>
      <c r="M393" s="61">
        <f>IFERROR(__xludf.DUMMYFUNCTION("IFS(AND(COUNTA(C393:C1644)=0,COUNTA(Q393:Q1644)=0),"""",OR(AND(K393&gt;=1000000000,OR(Y393&gt;=1000000000,COUNTA(Q393:Q1644)=0)),OR(Y393&gt;=1000000000,AND(COUNTA(C393:C1644)=0,P$3=TRUE))),
ROUNDDOWN((AB$1-AC$1)*MAX(INDEX(T$4:T1644,MATCH(LARGE(FILTER(Y$4:Y1644,Y$4"&amp;":Y1644&lt;1000000000),1),Y$4:Y1644)),INDEX(F$4:F1644,MATCH(LARGE(FILTER(K$4:K1644,K$4:K1644&lt;1000000000),1),K$4:K1644)))),AND(K393&lt;1000000000,COUNTA(C393:C1644)&gt;0,P$3=FALSE),
ROUNDDOWN(INDEX(Y$4:Y1644,MATCH(LARGE(FILTER(W$4:W1644,W$4:W1644&lt;=I393),1),W$4:W1644"&amp;"))+(I393-LARGE(FILTER(W$4:W1644,W$4:W1644&lt;=I393),1))*INDEX(T$4:T1644,MATCH(LARGE(FILTER(W$4:W1644,W$4:W1644&lt;=I393),1),W$4:W1644))-K393),1,
ROUNDDOWN(Y393-INDEX(K$4:K1644,MATCH(LARGE(FILTER(I$4:I1644,I$4:I1644&lt;=W393),1),I$4:I1644))-(W393-LARGE(FILTER(I$4:I"&amp;"1644,I$4:I1644&lt;=W393),1))*INDEX(F$4:F1644,MATCH(LARGE(FILTER(I$4:I1644,I$4:I1644&lt;=W393),1),I$4:I1644))))"),2.9114457E7)</f>
        <v>29114457</v>
      </c>
      <c r="N393" s="60">
        <f t="shared" si="8"/>
        <v>-52.7055</v>
      </c>
      <c r="O393" s="61" t="str">
        <f t="shared" si="9"/>
        <v>29,1M</v>
      </c>
      <c r="P393" s="56">
        <f t="shared" si="10"/>
        <v>18</v>
      </c>
      <c r="Q393" s="105" t="s">
        <v>8</v>
      </c>
      <c r="R393" s="10"/>
      <c r="S393" s="59">
        <f t="array" ref="S393">IF(COUNTA(Q393:Q1644)=0,"",SUM((COUNTIF(Q$4:Q393,Upgrades!$B$3:$B$13)-COUNTIF(Q$4:Q393,"Sell_"&amp;Upgrades!$B$3:$B$13))*Upgrades!$D$3:$D$13))</f>
        <v>544403.5</v>
      </c>
      <c r="T393" s="66">
        <f>IFERROR(__xludf.DUMMYFUNCTION("IF(COUNTA(Q393:Q1644)=0,"""",IF(REGEXMATCH(INDEX(FILTER(Q$4:Q393,Q$4:Q393&lt;&gt;""""),ROWS(FILTER(Q$4:Q393,Q$4:Q393&lt;&gt;""""))),""^Sell_""),INDEX(FILTER(T$4:T392,Q$4:Q392&lt;&gt;""""),ROWS(FILTER(Q$4:Q392,Q$4:Q392&lt;&gt;""""))),$AD$5+S393))"),544413.5)</f>
        <v>544413.5</v>
      </c>
      <c r="U393" s="10">
        <f>IFERROR(__xludf.DUMMYFUNCTION("IF(COUNTA(Q393:Q1644)=0,"""",IF(Q393="""",0,IF(REGEXMATCH(Q393,""^Sell_""),-ROUNDDOWN(ROUNDUP(INDEX(Upgrades!$C$3:$C$13,MATCH(SUBSTITUTE(Q393,""Sell_"",""""),Upgrades!$B$3:$B$13,0))*1.15^(COUNTIF(Q$4:Q392,SUBSTITUTE(Q393,""Sell_"",""""))-COUNTIF(Q$4:Q392,"&amp;"""Sell_""&amp;SUBSTITUTE(Q393,""Sell_"",""""))))/2),ROUNDUP(INDEX(Upgrades!$C$3:$C$13,MATCH(Q393,Upgrades!$B$3:$B$13,0))*1.15^(COUNTIF(Q$4:Q392,Q393)-COUNTIF(Q$4:Q392,""Sell_""&amp;Q393))))))"),430451.0)</f>
        <v>430451</v>
      </c>
      <c r="V393" s="10">
        <f t="shared" si="11"/>
        <v>430451</v>
      </c>
      <c r="W393" s="68">
        <f t="shared" si="12"/>
        <v>7646.947663</v>
      </c>
      <c r="X393" s="59" t="str">
        <f t="shared" si="13"/>
        <v>2h 07m 26s</v>
      </c>
      <c r="Y393" s="69">
        <f t="shared" si="14"/>
        <v>915166691</v>
      </c>
      <c r="Z393" s="11"/>
      <c r="AG393" s="59"/>
    </row>
    <row r="394">
      <c r="A394" s="8"/>
      <c r="B394" s="56" t="str">
        <f t="shared" si="2"/>
        <v/>
      </c>
      <c r="C394" s="105"/>
      <c r="D394" s="10"/>
      <c r="E394" s="59" t="str">
        <f t="array" ref="E394">IF(COUNTA(C394:C1644)=0,"",SUM((COUNTIF(C$4:C394,Upgrades!$B$3:$B$13)-COUNTIF(C$4:C394,"Sell_"&amp;Upgrades!$B$3:$B$13))*Upgrades!$D$3:$D$13))</f>
        <v/>
      </c>
      <c r="F394" s="66" t="str">
        <f>IFERROR(__xludf.DUMMYFUNCTION("IF(COUNTA(C394:C1644)=0,"""",IF(REGEXMATCH(INDEX(FILTER(C$4:C394,C$4:C394&lt;&gt;""""),ROWS(FILTER(C$4:C394,C$4:C394&lt;&gt;""""))),""^Sell_""),INDEX(FILTER(F$4:F393,C$4:C393&lt;&gt;""""),ROWS(FILTER(C$4:C393,C$4:C393&lt;&gt;""""))),$AC$5+E394))"),"")</f>
        <v/>
      </c>
      <c r="G394" s="10" t="str">
        <f>IFERROR(__xludf.DUMMYFUNCTION("IF(COUNTA(C394:C1644)=0,"""",IF(C394="""",0,IF(REGEXMATCH(C394,""^Sell_""),-ROUNDDOWN(ROUNDUP(INDEX(Upgrades!$C$3:$C$13,MATCH(SUBSTITUTE(C394,""Sell_"",""""),Upgrades!$B$3:$B$13,0))*1.15^(COUNTIF(C$4:C393,SUBSTITUTE(C394,""Sell_"",""""))-COUNTIF(C$4:C393,"&amp;"""Sell_""&amp;SUBSTITUTE(C394,""Sell_"",""""))))/2),ROUNDUP(INDEX(Upgrades!$C$3:$C$13,MATCH(C394,Upgrades!$B$3:$B$13,0))*1.15^(COUNTIF(C$4:C393,C394)-COUNTIF(C$4:C393,""Sell_""&amp;C394))))))"),"")</f>
        <v/>
      </c>
      <c r="H394" s="10" t="str">
        <f t="shared" si="3"/>
        <v/>
      </c>
      <c r="I394" s="68" t="str">
        <f t="shared" si="4"/>
        <v/>
      </c>
      <c r="J394" s="59" t="str">
        <f t="shared" si="5"/>
        <v/>
      </c>
      <c r="K394" s="69" t="str">
        <f t="shared" si="6"/>
        <v/>
      </c>
      <c r="L394" s="60">
        <f t="shared" si="7"/>
        <v>-52.70539</v>
      </c>
      <c r="M394" s="61">
        <f>IFERROR(__xludf.DUMMYFUNCTION("IFS(AND(COUNTA(C394:C1644)=0,COUNTA(Q394:Q1644)=0),"""",OR(AND(K394&gt;=1000000000,OR(Y394&gt;=1000000000,COUNTA(Q394:Q1644)=0)),OR(Y394&gt;=1000000000,AND(COUNTA(C394:C1644)=0,P$3=TRUE))),
ROUNDDOWN((AB$1-AC$1)*MAX(INDEX(T$4:T1644,MATCH(LARGE(FILTER(Y$4:Y1644,Y$4"&amp;":Y1644&lt;1000000000),1),Y$4:Y1644)),INDEX(F$4:F1644,MATCH(LARGE(FILTER(K$4:K1644,K$4:K1644&lt;1000000000),1),K$4:K1644)))),AND(K394&lt;1000000000,COUNTA(C394:C1644)&gt;0,P$3=FALSE),
ROUNDDOWN(INDEX(Y$4:Y1644,MATCH(LARGE(FILTER(W$4:W1644,W$4:W1644&lt;=I394),1),W$4:W1644"&amp;"))+(I394-LARGE(FILTER(W$4:W1644,W$4:W1644&lt;=I394),1))*INDEX(T$4:T1644,MATCH(LARGE(FILTER(W$4:W1644,W$4:W1644&lt;=I394),1),W$4:W1644))-K394),1,
ROUNDDOWN(Y394-INDEX(K$4:K1644,MATCH(LARGE(FILTER(I$4:I1644,I$4:I1644&lt;=W394),1),I$4:I1644))-(W394-LARGE(FILTER(I$4:I"&amp;"1644,I$4:I1644&lt;=W394),1))*INDEX(F$4:F1644,MATCH(LARGE(FILTER(I$4:I1644,I$4:I1644&lt;=W394),1),I$4:I1644))))"),2.9114429E7)</f>
        <v>29114429</v>
      </c>
      <c r="N394" s="60">
        <f t="shared" si="8"/>
        <v>-52.70539</v>
      </c>
      <c r="O394" s="61" t="str">
        <f t="shared" si="9"/>
        <v>29,1M</v>
      </c>
      <c r="P394" s="56">
        <f t="shared" si="10"/>
        <v>23</v>
      </c>
      <c r="Q394" s="105" t="s">
        <v>4</v>
      </c>
      <c r="R394" s="10"/>
      <c r="S394" s="59">
        <f t="array" ref="S394">IF(COUNTA(Q394:Q1644)=0,"",SUM((COUNTIF(Q$4:Q394,Upgrades!$B$3:$B$13)-COUNTIF(Q$4:Q394,"Sell_"&amp;Upgrades!$B$3:$B$13))*Upgrades!$D$3:$D$13))</f>
        <v>544404</v>
      </c>
      <c r="T394" s="66">
        <f>IFERROR(__xludf.DUMMYFUNCTION("IF(COUNTA(Q394:Q1644)=0,"""",IF(REGEXMATCH(INDEX(FILTER(Q$4:Q394,Q$4:Q394&lt;&gt;""""),ROWS(FILTER(Q$4:Q394,Q$4:Q394&lt;&gt;""""))),""^Sell_""),INDEX(FILTER(T$4:T393,Q$4:Q393&lt;&gt;""""),ROWS(FILTER(Q$4:Q393,Q$4:Q393&lt;&gt;""""))),$AD$5+S394))"),544414.0)</f>
        <v>544414</v>
      </c>
      <c r="U394" s="10">
        <f>IFERROR(__xludf.DUMMYFUNCTION("IF(COUNTA(Q394:Q1644)=0,"""",IF(Q394="""",0,IF(REGEXMATCH(Q394,""^Sell_""),-ROUNDDOWN(ROUNDUP(INDEX(Upgrades!$C$3:$C$13,MATCH(SUBSTITUTE(Q394,""Sell_"",""""),Upgrades!$B$3:$B$13,0))*1.15^(COUNTIF(Q$4:Q393,SUBSTITUTE(Q394,""Sell_"",""""))-COUNTIF(Q$4:Q393,"&amp;"""Sell_""&amp;SUBSTITUTE(Q394,""Sell_"",""""))))/2),ROUNDUP(INDEX(Upgrades!$C$3:$C$13,MATCH(Q394,Upgrades!$B$3:$B$13,0))*1.15^(COUNTIF(Q$4:Q393,Q394)-COUNTIF(Q$4:Q393,""Sell_""&amp;Q394))))))"),2165.0)</f>
        <v>2165</v>
      </c>
      <c r="V394" s="10">
        <f t="shared" si="11"/>
        <v>2165</v>
      </c>
      <c r="W394" s="68">
        <f t="shared" si="12"/>
        <v>7646.95164</v>
      </c>
      <c r="X394" s="59" t="str">
        <f t="shared" si="13"/>
        <v>2h 07m 26s</v>
      </c>
      <c r="Y394" s="69">
        <f t="shared" si="14"/>
        <v>915168856</v>
      </c>
      <c r="Z394" s="11"/>
      <c r="AG394" s="59"/>
    </row>
    <row r="395">
      <c r="A395" s="8"/>
      <c r="B395" s="56" t="str">
        <f t="shared" si="2"/>
        <v/>
      </c>
      <c r="C395" s="105"/>
      <c r="D395" s="10"/>
      <c r="E395" s="59" t="str">
        <f t="array" ref="E395">IF(COUNTA(C395:C1644)=0,"",SUM((COUNTIF(C$4:C395,Upgrades!$B$3:$B$13)-COUNTIF(C$4:C395,"Sell_"&amp;Upgrades!$B$3:$B$13))*Upgrades!$D$3:$D$13))</f>
        <v/>
      </c>
      <c r="F395" s="66" t="str">
        <f>IFERROR(__xludf.DUMMYFUNCTION("IF(COUNTA(C395:C1644)=0,"""",IF(REGEXMATCH(INDEX(FILTER(C$4:C395,C$4:C395&lt;&gt;""""),ROWS(FILTER(C$4:C395,C$4:C395&lt;&gt;""""))),""^Sell_""),INDEX(FILTER(F$4:F394,C$4:C394&lt;&gt;""""),ROWS(FILTER(C$4:C394,C$4:C394&lt;&gt;""""))),$AC$5+E395))"),"")</f>
        <v/>
      </c>
      <c r="G395" s="10" t="str">
        <f>IFERROR(__xludf.DUMMYFUNCTION("IF(COUNTA(C395:C1644)=0,"""",IF(C395="""",0,IF(REGEXMATCH(C395,""^Sell_""),-ROUNDDOWN(ROUNDUP(INDEX(Upgrades!$C$3:$C$13,MATCH(SUBSTITUTE(C395,""Sell_"",""""),Upgrades!$B$3:$B$13,0))*1.15^(COUNTIF(C$4:C394,SUBSTITUTE(C395,""Sell_"",""""))-COUNTIF(C$4:C394,"&amp;"""Sell_""&amp;SUBSTITUTE(C395,""Sell_"",""""))))/2),ROUNDUP(INDEX(Upgrades!$C$3:$C$13,MATCH(C395,Upgrades!$B$3:$B$13,0))*1.15^(COUNTIF(C$4:C394,C395)-COUNTIF(C$4:C394,""Sell_""&amp;C395))))))"),"")</f>
        <v/>
      </c>
      <c r="H395" s="10" t="str">
        <f t="shared" si="3"/>
        <v/>
      </c>
      <c r="I395" s="68" t="str">
        <f t="shared" si="4"/>
        <v/>
      </c>
      <c r="J395" s="59" t="str">
        <f t="shared" si="5"/>
        <v/>
      </c>
      <c r="K395" s="69" t="str">
        <f t="shared" si="6"/>
        <v/>
      </c>
      <c r="L395" s="60">
        <f t="shared" si="7"/>
        <v>-52.61656</v>
      </c>
      <c r="M395" s="61">
        <f>IFERROR(__xludf.DUMMYFUNCTION("IFS(AND(COUNTA(C395:C1644)=0,COUNTA(Q395:Q1644)=0),"""",OR(AND(K395&gt;=1000000000,OR(Y395&gt;=1000000000,COUNTA(Q395:Q1644)=0)),OR(Y395&gt;=1000000000,AND(COUNTA(C395:C1644)=0,P$3=TRUE))),
ROUNDDOWN((AB$1-AC$1)*MAX(INDEX(T$4:T1644,MATCH(LARGE(FILTER(Y$4:Y1644,Y$4"&amp;":Y1644&lt;1000000000),1),Y$4:Y1644)),INDEX(F$4:F1644,MATCH(LARGE(FILTER(K$4:K1644,K$4:K1644&lt;1000000000),1),K$4:K1644)))),AND(K395&lt;1000000000,COUNTA(C395:C1644)&gt;0,P$3=FALSE),
ROUNDDOWN(INDEX(Y$4:Y1644,MATCH(LARGE(FILTER(W$4:W1644,W$4:W1644&lt;=I395),1),W$4:W1644"&amp;"))+(I395-LARGE(FILTER(W$4:W1644,W$4:W1644&lt;=I395),1))*INDEX(T$4:T1644,MATCH(LARGE(FILTER(W$4:W1644,W$4:W1644&lt;=I395),1),W$4:W1644))-K395),1,
ROUNDDOWN(Y395-INDEX(K$4:K1644,MATCH(LARGE(FILTER(I$4:I1644,I$4:I1644&lt;=W395),1),I$4:I1644))-(W395-LARGE(FILTER(I$4:I"&amp;"1644,I$4:I1644&lt;=W395),1))*INDEX(F$4:F1644,MATCH(LARGE(FILTER(I$4:I1644,I$4:I1644&lt;=W395),1),I$4:I1644))))"),2.9089987E7)</f>
        <v>29089987</v>
      </c>
      <c r="N395" s="60">
        <f t="shared" si="8"/>
        <v>-52.61656</v>
      </c>
      <c r="O395" s="61" t="str">
        <f t="shared" si="9"/>
        <v>29,1M</v>
      </c>
      <c r="P395" s="56">
        <f t="shared" si="10"/>
        <v>17</v>
      </c>
      <c r="Q395" s="105" t="s">
        <v>9</v>
      </c>
      <c r="R395" s="10"/>
      <c r="S395" s="59">
        <f t="array" ref="S395">IF(COUNTA(Q395:Q1644)=0,"",SUM((COUNTIF(Q$4:Q395,Upgrades!$B$3:$B$13)-COUNTIF(Q$4:Q395,"Sell_"&amp;Upgrades!$B$3:$B$13))*Upgrades!$D$3:$D$13))</f>
        <v>544804</v>
      </c>
      <c r="T395" s="66">
        <f>IFERROR(__xludf.DUMMYFUNCTION("IF(COUNTA(Q395:Q1644)=0,"""",IF(REGEXMATCH(INDEX(FILTER(Q$4:Q395,Q$4:Q395&lt;&gt;""""),ROWS(FILTER(Q$4:Q395,Q$4:Q395&lt;&gt;""""))),""^Sell_""),INDEX(FILTER(T$4:T394,Q$4:Q394&lt;&gt;""""),ROWS(FILTER(Q$4:Q394,Q$4:Q394&lt;&gt;""""))),$AD$5+S395))"),544814.0)</f>
        <v>544814</v>
      </c>
      <c r="U395" s="10">
        <f>IFERROR(__xludf.DUMMYFUNCTION("IF(COUNTA(Q395:Q1644)=0,"""",IF(Q395="""",0,IF(REGEXMATCH(Q395,""^Sell_""),-ROUNDDOWN(ROUNDUP(INDEX(Upgrades!$C$3:$C$13,MATCH(SUBSTITUTE(Q395,""Sell_"",""""),Upgrades!$B$3:$B$13,0))*1.15^(COUNTIF(Q$4:Q394,SUBSTITUTE(Q395,""Sell_"",""""))-COUNTIF(Q$4:Q394,"&amp;"""Sell_""&amp;SUBSTITUTE(Q395,""Sell_"",""""))))/2),ROUNDUP(INDEX(Upgrades!$C$3:$C$13,MATCH(Q395,Upgrades!$B$3:$B$13,0))*1.15^(COUNTIF(Q$4:Q394,Q395)-COUNTIF(Q$4:Q394,""Sell_""&amp;Q395))))))"),1871525.0)</f>
        <v>1871525</v>
      </c>
      <c r="V395" s="10">
        <f t="shared" si="11"/>
        <v>1871525</v>
      </c>
      <c r="W395" s="68">
        <f t="shared" si="12"/>
        <v>7650.389327</v>
      </c>
      <c r="X395" s="59" t="str">
        <f t="shared" si="13"/>
        <v>2h 07m 30s</v>
      </c>
      <c r="Y395" s="69">
        <f t="shared" si="14"/>
        <v>917040381</v>
      </c>
      <c r="Z395" s="11"/>
      <c r="AG395" s="59"/>
    </row>
    <row r="396">
      <c r="A396" s="8"/>
      <c r="B396" s="56" t="str">
        <f t="shared" si="2"/>
        <v/>
      </c>
      <c r="C396" s="105"/>
      <c r="D396" s="10"/>
      <c r="E396" s="59" t="str">
        <f t="array" ref="E396">IF(COUNTA(C396:C1644)=0,"",SUM((COUNTIF(C$4:C396,Upgrades!$B$3:$B$13)-COUNTIF(C$4:C396,"Sell_"&amp;Upgrades!$B$3:$B$13))*Upgrades!$D$3:$D$13))</f>
        <v/>
      </c>
      <c r="F396" s="66" t="str">
        <f>IFERROR(__xludf.DUMMYFUNCTION("IF(COUNTA(C396:C1644)=0,"""",IF(REGEXMATCH(INDEX(FILTER(C$4:C396,C$4:C396&lt;&gt;""""),ROWS(FILTER(C$4:C396,C$4:C396&lt;&gt;""""))),""^Sell_""),INDEX(FILTER(F$4:F395,C$4:C395&lt;&gt;""""),ROWS(FILTER(C$4:C395,C$4:C395&lt;&gt;""""))),$AC$5+E396))"),"")</f>
        <v/>
      </c>
      <c r="G396" s="10" t="str">
        <f>IFERROR(__xludf.DUMMYFUNCTION("IF(COUNTA(C396:C1644)=0,"""",IF(C396="""",0,IF(REGEXMATCH(C396,""^Sell_""),-ROUNDDOWN(ROUNDUP(INDEX(Upgrades!$C$3:$C$13,MATCH(SUBSTITUTE(C396,""Sell_"",""""),Upgrades!$B$3:$B$13,0))*1.15^(COUNTIF(C$4:C395,SUBSTITUTE(C396,""Sell_"",""""))-COUNTIF(C$4:C395,"&amp;"""Sell_""&amp;SUBSTITUTE(C396,""Sell_"",""""))))/2),ROUNDUP(INDEX(Upgrades!$C$3:$C$13,MATCH(C396,Upgrades!$B$3:$B$13,0))*1.15^(COUNTIF(C$4:C395,C396)-COUNTIF(C$4:C395,""Sell_""&amp;C396))))))"),"")</f>
        <v/>
      </c>
      <c r="H396" s="10" t="str">
        <f t="shared" si="3"/>
        <v/>
      </c>
      <c r="I396" s="68" t="str">
        <f t="shared" si="4"/>
        <v/>
      </c>
      <c r="J396" s="59" t="str">
        <f t="shared" si="5"/>
        <v/>
      </c>
      <c r="K396" s="69" t="str">
        <f t="shared" si="6"/>
        <v/>
      </c>
      <c r="L396" s="60">
        <f t="shared" si="7"/>
        <v>-52.60788</v>
      </c>
      <c r="M396" s="61">
        <f>IFERROR(__xludf.DUMMYFUNCTION("IFS(AND(COUNTA(C396:C1644)=0,COUNTA(Q396:Q1644)=0),"""",OR(AND(K396&gt;=1000000000,OR(Y396&gt;=1000000000,COUNTA(Q396:Q1644)=0)),OR(Y396&gt;=1000000000,AND(COUNTA(C396:C1644)=0,P$3=TRUE))),
ROUNDDOWN((AB$1-AC$1)*MAX(INDEX(T$4:T1644,MATCH(LARGE(FILTER(Y$4:Y1644,Y$4"&amp;":Y1644&lt;1000000000),1),Y$4:Y1644)),INDEX(F$4:F1644,MATCH(LARGE(FILTER(K$4:K1644,K$4:K1644&lt;1000000000),1),K$4:K1644)))),AND(K396&lt;1000000000,COUNTA(C396:C1644)&gt;0,P$3=FALSE),
ROUNDDOWN(INDEX(Y$4:Y1644,MATCH(LARGE(FILTER(W$4:W1644,W$4:W1644&lt;=I396),1),W$4:W1644"&amp;"))+(I396-LARGE(FILTER(W$4:W1644,W$4:W1644&lt;=I396),1))*INDEX(T$4:T1644,MATCH(LARGE(FILTER(W$4:W1644,W$4:W1644&lt;=I396),1),W$4:W1644))-K396),1,
ROUNDDOWN(Y396-INDEX(K$4:K1644,MATCH(LARGE(FILTER(I$4:I1644,I$4:I1644&lt;=W396),1),I$4:I1644))-(W396-LARGE(FILTER(I$4:I"&amp;"1644,I$4:I1644&lt;=W396),1))*INDEX(F$4:F1644,MATCH(LARGE(FILTER(I$4:I1644,I$4:I1644&lt;=W396),1),I$4:I1644))))"),2.9087668E7)</f>
        <v>29087668</v>
      </c>
      <c r="N396" s="60">
        <f t="shared" si="8"/>
        <v>-52.60788</v>
      </c>
      <c r="O396" s="61" t="str">
        <f t="shared" si="9"/>
        <v>29,1M</v>
      </c>
      <c r="P396" s="56">
        <f t="shared" si="10"/>
        <v>22</v>
      </c>
      <c r="Q396" s="105" t="s">
        <v>7</v>
      </c>
      <c r="R396" s="10"/>
      <c r="S396" s="59">
        <f t="array" ref="S396">IF(COUNTA(Q396:Q1644)=0,"",SUM((COUNTIF(Q$4:Q396,Upgrades!$B$3:$B$13)-COUNTIF(Q$4:Q396,"Sell_"&amp;Upgrades!$B$3:$B$13))*Upgrades!$D$3:$D$13))</f>
        <v>544844</v>
      </c>
      <c r="T396" s="66">
        <f>IFERROR(__xludf.DUMMYFUNCTION("IF(COUNTA(Q396:Q1644)=0,"""",IF(REGEXMATCH(INDEX(FILTER(Q$4:Q396,Q$4:Q396&lt;&gt;""""),ROWS(FILTER(Q$4:Q396,Q$4:Q396&lt;&gt;""""))),""^Sell_""),INDEX(FILTER(T$4:T395,Q$4:Q395&lt;&gt;""""),ROWS(FILTER(Q$4:Q395,Q$4:Q395&lt;&gt;""""))),$AD$5+S396))"),544854.0)</f>
        <v>544854</v>
      </c>
      <c r="U396" s="10">
        <f>IFERROR(__xludf.DUMMYFUNCTION("IF(COUNTA(Q396:Q1644)=0,"""",IF(Q396="""",0,IF(REGEXMATCH(Q396,""^Sell_""),-ROUNDDOWN(ROUNDUP(INDEX(Upgrades!$C$3:$C$13,MATCH(SUBSTITUTE(Q396,""Sell_"",""""),Upgrades!$B$3:$B$13,0))*1.15^(COUNTIF(Q$4:Q395,SUBSTITUTE(Q396,""Sell_"",""""))-COUNTIF(Q$4:Q395,"&amp;"""Sell_""&amp;SUBSTITUTE(Q396,""Sell_"",""""))))/2),ROUNDUP(INDEX(Upgrades!$C$3:$C$13,MATCH(Q396,Upgrades!$B$3:$B$13,0))*1.15^(COUNTIF(Q$4:Q395,Q396)-COUNTIF(Q$4:Q395,""Sell_""&amp;Q396))))))"),188216.0)</f>
        <v>188216</v>
      </c>
      <c r="V396" s="10">
        <f t="shared" si="11"/>
        <v>188216</v>
      </c>
      <c r="W396" s="68">
        <f t="shared" si="12"/>
        <v>7650.734795</v>
      </c>
      <c r="X396" s="59" t="str">
        <f t="shared" si="13"/>
        <v>2h 07m 30s</v>
      </c>
      <c r="Y396" s="69">
        <f t="shared" si="14"/>
        <v>917228597</v>
      </c>
      <c r="Z396" s="11"/>
      <c r="AG396" s="59"/>
    </row>
    <row r="397">
      <c r="A397" s="8"/>
      <c r="B397" s="56" t="str">
        <f t="shared" si="2"/>
        <v/>
      </c>
      <c r="C397" s="105"/>
      <c r="D397" s="10"/>
      <c r="E397" s="59" t="str">
        <f t="array" ref="E397">IF(COUNTA(C397:C1644)=0,"",SUM((COUNTIF(C$4:C397,Upgrades!$B$3:$B$13)-COUNTIF(C$4:C397,"Sell_"&amp;Upgrades!$B$3:$B$13))*Upgrades!$D$3:$D$13))</f>
        <v/>
      </c>
      <c r="F397" s="66" t="str">
        <f>IFERROR(__xludf.DUMMYFUNCTION("IF(COUNTA(C397:C1644)=0,"""",IF(REGEXMATCH(INDEX(FILTER(C$4:C397,C$4:C397&lt;&gt;""""),ROWS(FILTER(C$4:C397,C$4:C397&lt;&gt;""""))),""^Sell_""),INDEX(FILTER(F$4:F396,C$4:C396&lt;&gt;""""),ROWS(FILTER(C$4:C396,C$4:C396&lt;&gt;""""))),$AC$5+E397))"),"")</f>
        <v/>
      </c>
      <c r="G397" s="10" t="str">
        <f>IFERROR(__xludf.DUMMYFUNCTION("IF(COUNTA(C397:C1644)=0,"""",IF(C397="""",0,IF(REGEXMATCH(C397,""^Sell_""),-ROUNDDOWN(ROUNDUP(INDEX(Upgrades!$C$3:$C$13,MATCH(SUBSTITUTE(C397,""Sell_"",""""),Upgrades!$B$3:$B$13,0))*1.15^(COUNTIF(C$4:C396,SUBSTITUTE(C397,""Sell_"",""""))-COUNTIF(C$4:C396,"&amp;"""Sell_""&amp;SUBSTITUTE(C397,""Sell_"",""""))))/2),ROUNDUP(INDEX(Upgrades!$C$3:$C$13,MATCH(C397,Upgrades!$B$3:$B$13,0))*1.15^(COUNTIF(C$4:C396,C397)-COUNTIF(C$4:C396,""Sell_""&amp;C397))))))"),"")</f>
        <v/>
      </c>
      <c r="H397" s="10" t="str">
        <f t="shared" si="3"/>
        <v/>
      </c>
      <c r="I397" s="68" t="str">
        <f t="shared" si="4"/>
        <v/>
      </c>
      <c r="J397" s="59" t="str">
        <f t="shared" si="5"/>
        <v/>
      </c>
      <c r="K397" s="69" t="str">
        <f t="shared" si="6"/>
        <v/>
      </c>
      <c r="L397" s="60">
        <f t="shared" si="7"/>
        <v>-51.11061</v>
      </c>
      <c r="M397" s="61">
        <f>IFERROR(__xludf.DUMMYFUNCTION("IFS(AND(COUNTA(C397:C1644)=0,COUNTA(Q397:Q1644)=0),"""",OR(AND(K397&gt;=1000000000,OR(Y397&gt;=1000000000,COUNTA(Q397:Q1644)=0)),OR(Y397&gt;=1000000000,AND(COUNTA(C397:C1644)=0,P$3=TRUE))),
ROUNDDOWN((AB$1-AC$1)*MAX(INDEX(T$4:T1644,MATCH(LARGE(FILTER(Y$4:Y1644,Y$4"&amp;":Y1644&lt;1000000000),1),Y$4:Y1644)),INDEX(F$4:F1644,MATCH(LARGE(FILTER(K$4:K1644,K$4:K1644&lt;1000000000),1),K$4:K1644)))),AND(K397&lt;1000000000,COUNTA(C397:C1644)&gt;0,P$3=FALSE),
ROUNDDOWN(INDEX(Y$4:Y1644,MATCH(LARGE(FILTER(W$4:W1644,W$4:W1644&lt;=I397),1),W$4:W1644"&amp;"))+(I397-LARGE(FILTER(W$4:W1644,W$4:W1644&lt;=I397),1))*INDEX(T$4:T1644,MATCH(LARGE(FILTER(W$4:W1644,W$4:W1644&lt;=I397),1),W$4:W1644))-K397),1,
ROUNDDOWN(Y397-INDEX(K$4:K1644,MATCH(LARGE(FILTER(I$4:I1644,I$4:I1644&lt;=W397),1),I$4:I1644))-(W397-LARGE(FILTER(I$4:I"&amp;"1644,I$4:I1644&lt;=W397),1))*INDEX(F$4:F1644,MATCH(LARGE(FILTER(I$4:I1644,I$4:I1644&lt;=W397),1),I$4:I1644))))"),2.8591782E7)</f>
        <v>28591782</v>
      </c>
      <c r="N397" s="60">
        <f t="shared" si="8"/>
        <v>-51.11061</v>
      </c>
      <c r="O397" s="61" t="str">
        <f t="shared" si="9"/>
        <v>28,6M</v>
      </c>
      <c r="P397" s="56">
        <f t="shared" si="10"/>
        <v>22</v>
      </c>
      <c r="Q397" s="105" t="s">
        <v>10</v>
      </c>
      <c r="R397" s="10"/>
      <c r="S397" s="59">
        <f t="array" ref="S397">IF(COUNTA(Q397:Q1644)=0,"",SUM((COUNTIF(Q$4:Q397,Upgrades!$B$3:$B$13)-COUNTIF(Q$4:Q397,"Sell_"&amp;Upgrades!$B$3:$B$13))*Upgrades!$D$3:$D$13))</f>
        <v>551510</v>
      </c>
      <c r="T397" s="66">
        <f>IFERROR(__xludf.DUMMYFUNCTION("IF(COUNTA(Q397:Q1644)=0,"""",IF(REGEXMATCH(INDEX(FILTER(Q$4:Q397,Q$4:Q397&lt;&gt;""""),ROWS(FILTER(Q$4:Q397,Q$4:Q397&lt;&gt;""""))),""^Sell_""),INDEX(FILTER(T$4:T396,Q$4:Q396&lt;&gt;""""),ROWS(FILTER(Q$4:Q396,Q$4:Q396&lt;&gt;""""))),$AD$5+S397))"),551520.0)</f>
        <v>551520</v>
      </c>
      <c r="U397" s="10">
        <f>IFERROR(__xludf.DUMMYFUNCTION("IF(COUNTA(Q397:Q1644)=0,"""",IF(Q397="""",0,IF(REGEXMATCH(Q397,""^Sell_""),-ROUNDDOWN(ROUNDUP(INDEX(Upgrades!$C$3:$C$13,MATCH(SUBSTITUTE(Q397,""Sell_"",""""),Upgrades!$B$3:$B$13,0))*1.15^(COUNTIF(Q$4:Q396,SUBSTITUTE(Q397,""Sell_"",""""))-COUNTIF(Q$4:Q396,"&amp;"""Sell_""&amp;SUBSTITUTE(Q397,""Sell_"",""""))))/2),ROUNDUP(INDEX(Upgrades!$C$3:$C$13,MATCH(Q397,Upgrades!$B$3:$B$13,0))*1.15^(COUNTIF(Q$4:Q396,Q397)-COUNTIF(Q$4:Q396,""Sell_""&amp;Q397))))))"),3.1369185E7)</f>
        <v>31369185</v>
      </c>
      <c r="V397" s="10">
        <f t="shared" si="11"/>
        <v>31369185</v>
      </c>
      <c r="W397" s="68">
        <f t="shared" si="12"/>
        <v>7708.308356</v>
      </c>
      <c r="X397" s="59" t="str">
        <f t="shared" si="13"/>
        <v>2h 08m 28s</v>
      </c>
      <c r="Y397" s="69">
        <f t="shared" si="14"/>
        <v>948597782</v>
      </c>
      <c r="Z397" s="11"/>
      <c r="AG397" s="59"/>
    </row>
    <row r="398">
      <c r="A398" s="8"/>
      <c r="B398" s="56" t="str">
        <f t="shared" si="2"/>
        <v/>
      </c>
      <c r="C398" s="105"/>
      <c r="D398" s="10"/>
      <c r="E398" s="59" t="str">
        <f t="array" ref="E398">IF(COUNTA(C398:C1644)=0,"",SUM((COUNTIF(C$4:C398,Upgrades!$B$3:$B$13)-COUNTIF(C$4:C398,"Sell_"&amp;Upgrades!$B$3:$B$13))*Upgrades!$D$3:$D$13))</f>
        <v/>
      </c>
      <c r="F398" s="66" t="str">
        <f>IFERROR(__xludf.DUMMYFUNCTION("IF(COUNTA(C398:C1644)=0,"""",IF(REGEXMATCH(INDEX(FILTER(C$4:C398,C$4:C398&lt;&gt;""""),ROWS(FILTER(C$4:C398,C$4:C398&lt;&gt;""""))),""^Sell_""),INDEX(FILTER(F$4:F397,C$4:C397&lt;&gt;""""),ROWS(FILTER(C$4:C397,C$4:C397&lt;&gt;""""))),$AC$5+E398))"),"")</f>
        <v/>
      </c>
      <c r="G398" s="10" t="str">
        <f>IFERROR(__xludf.DUMMYFUNCTION("IF(COUNTA(C398:C1644)=0,"""",IF(C398="""",0,IF(REGEXMATCH(C398,""^Sell_""),-ROUNDDOWN(ROUNDUP(INDEX(Upgrades!$C$3:$C$13,MATCH(SUBSTITUTE(C398,""Sell_"",""""),Upgrades!$B$3:$B$13,0))*1.15^(COUNTIF(C$4:C397,SUBSTITUTE(C398,""Sell_"",""""))-COUNTIF(C$4:C397,"&amp;"""Sell_""&amp;SUBSTITUTE(C398,""Sell_"",""""))))/2),ROUNDUP(INDEX(Upgrades!$C$3:$C$13,MATCH(C398,Upgrades!$B$3:$B$13,0))*1.15^(COUNTIF(C$4:C397,C398)-COUNTIF(C$4:C397,""Sell_""&amp;C398))))))"),"")</f>
        <v/>
      </c>
      <c r="H398" s="10" t="str">
        <f t="shared" si="3"/>
        <v/>
      </c>
      <c r="I398" s="68" t="str">
        <f t="shared" si="4"/>
        <v/>
      </c>
      <c r="J398" s="59" t="str">
        <f t="shared" si="5"/>
        <v/>
      </c>
      <c r="K398" s="69" t="str">
        <f t="shared" si="6"/>
        <v/>
      </c>
      <c r="L398" s="60">
        <f t="shared" si="7"/>
        <v>-51.11012</v>
      </c>
      <c r="M398" s="61">
        <f>IFERROR(__xludf.DUMMYFUNCTION("IFS(AND(COUNTA(C398:C1644)=0,COUNTA(Q398:Q1644)=0),"""",OR(AND(K398&gt;=1000000000,OR(Y398&gt;=1000000000,COUNTA(Q398:Q1644)=0)),OR(Y398&gt;=1000000000,AND(COUNTA(C398:C1644)=0,P$3=TRUE))),
ROUNDDOWN((AB$1-AC$1)*MAX(INDEX(T$4:T1644,MATCH(LARGE(FILTER(Y$4:Y1644,Y$4"&amp;":Y1644&lt;1000000000),1),Y$4:Y1644)),INDEX(F$4:F1644,MATCH(LARGE(FILTER(K$4:K1644,K$4:K1644&lt;1000000000),1),K$4:K1644)))),AND(K398&lt;1000000000,COUNTA(C398:C1644)&gt;0,P$3=FALSE),
ROUNDDOWN(INDEX(Y$4:Y1644,MATCH(LARGE(FILTER(W$4:W1644,W$4:W1644&lt;=I398),1),W$4:W1644"&amp;"))+(I398-LARGE(FILTER(W$4:W1644,W$4:W1644&lt;=I398),1))*INDEX(T$4:T1644,MATCH(LARGE(FILTER(W$4:W1644,W$4:W1644&lt;=I398),1),W$4:W1644))-K398),1,
ROUNDDOWN(Y398-INDEX(K$4:K1644,MATCH(LARGE(FILTER(I$4:I1644,I$4:I1644&lt;=W398),1),I$4:I1644))-(W398-LARGE(FILTER(I$4:I"&amp;"1644,I$4:I1644&lt;=W398),1))*INDEX(F$4:F1644,MATCH(LARGE(FILTER(I$4:I1644,I$4:I1644&lt;=W398),1),I$4:I1644))))"),2.8591511E7)</f>
        <v>28591511</v>
      </c>
      <c r="N398" s="60">
        <f t="shared" si="8"/>
        <v>-51.11012</v>
      </c>
      <c r="O398" s="61" t="str">
        <f t="shared" si="9"/>
        <v>28,6M</v>
      </c>
      <c r="P398" s="56">
        <f t="shared" si="10"/>
        <v>27</v>
      </c>
      <c r="Q398" s="105" t="s">
        <v>5</v>
      </c>
      <c r="R398" s="10"/>
      <c r="S398" s="59">
        <f t="array" ref="S398">IF(COUNTA(Q398:Q1644)=0,"",SUM((COUNTIF(Q$4:Q398,Upgrades!$B$3:$B$13)-COUNTIF(Q$4:Q398,"Sell_"&amp;Upgrades!$B$3:$B$13))*Upgrades!$D$3:$D$13))</f>
        <v>551514</v>
      </c>
      <c r="T398" s="66">
        <f>IFERROR(__xludf.DUMMYFUNCTION("IF(COUNTA(Q398:Q1644)=0,"""",IF(REGEXMATCH(INDEX(FILTER(Q$4:Q398,Q$4:Q398&lt;&gt;""""),ROWS(FILTER(Q$4:Q398,Q$4:Q398&lt;&gt;""""))),""^Sell_""),INDEX(FILTER(T$4:T397,Q$4:Q397&lt;&gt;""""),ROWS(FILTER(Q$4:Q397,Q$4:Q397&lt;&gt;""""))),$AD$5+S398))"),551524.0)</f>
        <v>551524</v>
      </c>
      <c r="U398" s="10">
        <f>IFERROR(__xludf.DUMMYFUNCTION("IF(COUNTA(Q398:Q1644)=0,"""",IF(Q398="""",0,IF(REGEXMATCH(Q398,""^Sell_""),-ROUNDDOWN(ROUNDUP(INDEX(Upgrades!$C$3:$C$13,MATCH(SUBSTITUTE(Q398,""Sell_"",""""),Upgrades!$B$3:$B$13,0))*1.15^(COUNTIF(Q$4:Q397,SUBSTITUTE(Q398,""Sell_"",""""))-COUNTIF(Q$4:Q397,"&amp;"""Sell_""&amp;SUBSTITUTE(Q398,""Sell_"",""""))))/2),ROUNDUP(INDEX(Upgrades!$C$3:$C$13,MATCH(Q398,Upgrades!$B$3:$B$13,0))*1.15^(COUNTIF(Q$4:Q397,Q398)-COUNTIF(Q$4:Q397,""Sell_""&amp;Q398))))))"),18929.0)</f>
        <v>18929</v>
      </c>
      <c r="V398" s="10">
        <f t="shared" si="11"/>
        <v>18929</v>
      </c>
      <c r="W398" s="68">
        <f t="shared" si="12"/>
        <v>7708.342678</v>
      </c>
      <c r="X398" s="59" t="str">
        <f t="shared" si="13"/>
        <v>2h 08m 28s</v>
      </c>
      <c r="Y398" s="69">
        <f t="shared" si="14"/>
        <v>948616711</v>
      </c>
      <c r="Z398" s="11"/>
      <c r="AG398" s="59"/>
    </row>
    <row r="399">
      <c r="A399" s="8"/>
      <c r="B399" s="56" t="str">
        <f t="shared" si="2"/>
        <v/>
      </c>
      <c r="C399" s="105"/>
      <c r="D399" s="10"/>
      <c r="E399" s="59" t="str">
        <f t="array" ref="E399">IF(COUNTA(C399:C1644)=0,"",SUM((COUNTIF(C$4:C399,Upgrades!$B$3:$B$13)-COUNTIF(C$4:C399,"Sell_"&amp;Upgrades!$B$3:$B$13))*Upgrades!$D$3:$D$13))</f>
        <v/>
      </c>
      <c r="F399" s="66" t="str">
        <f>IFERROR(__xludf.DUMMYFUNCTION("IF(COUNTA(C399:C1644)=0,"""",IF(REGEXMATCH(INDEX(FILTER(C$4:C399,C$4:C399&lt;&gt;""""),ROWS(FILTER(C$4:C399,C$4:C399&lt;&gt;""""))),""^Sell_""),INDEX(FILTER(F$4:F398,C$4:C398&lt;&gt;""""),ROWS(FILTER(C$4:C398,C$4:C398&lt;&gt;""""))),$AC$5+E399))"),"")</f>
        <v/>
      </c>
      <c r="G399" s="10" t="str">
        <f>IFERROR(__xludf.DUMMYFUNCTION("IF(COUNTA(C399:C1644)=0,"""",IF(C399="""",0,IF(REGEXMATCH(C399,""^Sell_""),-ROUNDDOWN(ROUNDUP(INDEX(Upgrades!$C$3:$C$13,MATCH(SUBSTITUTE(C399,""Sell_"",""""),Upgrades!$B$3:$B$13,0))*1.15^(COUNTIF(C$4:C398,SUBSTITUTE(C399,""Sell_"",""""))-COUNTIF(C$4:C398,"&amp;"""Sell_""&amp;SUBSTITUTE(C399,""Sell_"",""""))))/2),ROUNDUP(INDEX(Upgrades!$C$3:$C$13,MATCH(C399,Upgrades!$B$3:$B$13,0))*1.15^(COUNTIF(C$4:C398,C399)-COUNTIF(C$4:C398,""Sell_""&amp;C399))))))"),"")</f>
        <v/>
      </c>
      <c r="H399" s="10" t="str">
        <f t="shared" si="3"/>
        <v/>
      </c>
      <c r="I399" s="68" t="str">
        <f t="shared" si="4"/>
        <v/>
      </c>
      <c r="J399" s="59" t="str">
        <f t="shared" si="5"/>
        <v/>
      </c>
      <c r="K399" s="69" t="str">
        <f t="shared" si="6"/>
        <v/>
      </c>
      <c r="L399" s="60">
        <f t="shared" si="7"/>
        <v>-51.10887</v>
      </c>
      <c r="M399" s="61">
        <f>IFERROR(__xludf.DUMMYFUNCTION("IFS(AND(COUNTA(C399:C1644)=0,COUNTA(Q399:Q1644)=0),"""",OR(AND(K399&gt;=1000000000,OR(Y399&gt;=1000000000,COUNTA(Q399:Q1644)=0)),OR(Y399&gt;=1000000000,AND(COUNTA(C399:C1644)=0,P$3=TRUE))),
ROUNDDOWN((AB$1-AC$1)*MAX(INDEX(T$4:T1644,MATCH(LARGE(FILTER(Y$4:Y1644,Y$4"&amp;":Y1644&lt;1000000000),1),Y$4:Y1644)),INDEX(F$4:F1644,MATCH(LARGE(FILTER(K$4:K1644,K$4:K1644&lt;1000000000),1),K$4:K1644)))),AND(K399&lt;1000000000,COUNTA(C399:C1644)&gt;0,P$3=FALSE),
ROUNDDOWN(INDEX(Y$4:Y1644,MATCH(LARGE(FILTER(W$4:W1644,W$4:W1644&lt;=I399),1),W$4:W1644"&amp;"))+(I399-LARGE(FILTER(W$4:W1644,W$4:W1644&lt;=I399),1))*INDEX(T$4:T1644,MATCH(LARGE(FILTER(W$4:W1644,W$4:W1644&lt;=I399),1),W$4:W1644))-K399),1,
ROUNDDOWN(Y399-INDEX(K$4:K1644,MATCH(LARGE(FILTER(I$4:I1644,I$4:I1644&lt;=W399),1),I$4:I1644))-(W399-LARGE(FILTER(I$4:I"&amp;"1644,I$4:I1644&lt;=W399),1))*INDEX(F$4:F1644,MATCH(LARGE(FILTER(I$4:I1644,I$4:I1644&lt;=W399),1),I$4:I1644))))"),2.8590809E7)</f>
        <v>28590809</v>
      </c>
      <c r="N399" s="60">
        <f t="shared" si="8"/>
        <v>-51.10887</v>
      </c>
      <c r="O399" s="61" t="str">
        <f t="shared" si="9"/>
        <v>28,6M</v>
      </c>
      <c r="P399" s="56">
        <f t="shared" si="10"/>
        <v>21</v>
      </c>
      <c r="Q399" s="105" t="s">
        <v>6</v>
      </c>
      <c r="R399" s="10"/>
      <c r="S399" s="59">
        <f t="array" ref="S399">IF(COUNTA(Q399:Q1644)=0,"",SUM((COUNTIF(Q$4:Q399,Upgrades!$B$3:$B$13)-COUNTIF(Q$4:Q399,"Sell_"&amp;Upgrades!$B$3:$B$13))*Upgrades!$D$3:$D$13))</f>
        <v>551524</v>
      </c>
      <c r="T399" s="66">
        <f>IFERROR(__xludf.DUMMYFUNCTION("IF(COUNTA(Q399:Q1644)=0,"""",IF(REGEXMATCH(INDEX(FILTER(Q$4:Q399,Q$4:Q399&lt;&gt;""""),ROWS(FILTER(Q$4:Q399,Q$4:Q399&lt;&gt;""""))),""^Sell_""),INDEX(FILTER(T$4:T398,Q$4:Q398&lt;&gt;""""),ROWS(FILTER(Q$4:Q398,Q$4:Q398&lt;&gt;""""))),$AD$5+S399))"),551534.0)</f>
        <v>551534</v>
      </c>
      <c r="U399" s="10">
        <f>IFERROR(__xludf.DUMMYFUNCTION("IF(COUNTA(Q399:Q1644)=0,"""",IF(Q399="""",0,IF(REGEXMATCH(Q399,""^Sell_""),-ROUNDDOWN(ROUNDUP(INDEX(Upgrades!$C$3:$C$13,MATCH(SUBSTITUTE(Q399,""Sell_"",""""),Upgrades!$B$3:$B$13,0))*1.15^(COUNTIF(Q$4:Q398,SUBSTITUTE(Q399,""Sell_"",""""))-COUNTIF(Q$4:Q398,"&amp;"""Sell_""&amp;SUBSTITUTE(Q399,""Sell_"",""""))))/2),ROUNDUP(INDEX(Upgrades!$C$3:$C$13,MATCH(Q399,Upgrades!$B$3:$B$13,0))*1.15^(COUNTIF(Q$4:Q398,Q399)-COUNTIF(Q$4:Q398,""Sell_""&amp;Q399))))))"),49100.0)</f>
        <v>49100</v>
      </c>
      <c r="V399" s="10">
        <f t="shared" si="11"/>
        <v>49100</v>
      </c>
      <c r="W399" s="68">
        <f t="shared" si="12"/>
        <v>7708.431704</v>
      </c>
      <c r="X399" s="59" t="str">
        <f t="shared" si="13"/>
        <v>2h 08m 28s</v>
      </c>
      <c r="Y399" s="69">
        <f t="shared" si="14"/>
        <v>948665811</v>
      </c>
      <c r="Z399" s="11"/>
      <c r="AG399" s="59"/>
    </row>
    <row r="400">
      <c r="A400" s="8"/>
      <c r="B400" s="56" t="str">
        <f t="shared" si="2"/>
        <v/>
      </c>
      <c r="C400" s="105"/>
      <c r="D400" s="10"/>
      <c r="E400" s="59" t="str">
        <f t="array" ref="E400">IF(COUNTA(C400:C1644)=0,"",SUM((COUNTIF(C$4:C400,Upgrades!$B$3:$B$13)-COUNTIF(C$4:C400,"Sell_"&amp;Upgrades!$B$3:$B$13))*Upgrades!$D$3:$D$13))</f>
        <v/>
      </c>
      <c r="F400" s="66" t="str">
        <f>IFERROR(__xludf.DUMMYFUNCTION("IF(COUNTA(C400:C1644)=0,"""",IF(REGEXMATCH(INDEX(FILTER(C$4:C400,C$4:C400&lt;&gt;""""),ROWS(FILTER(C$4:C400,C$4:C400&lt;&gt;""""))),""^Sell_""),INDEX(FILTER(F$4:F399,C$4:C399&lt;&gt;""""),ROWS(FILTER(C$4:C399,C$4:C399&lt;&gt;""""))),$AC$5+E400))"),"")</f>
        <v/>
      </c>
      <c r="G400" s="10" t="str">
        <f>IFERROR(__xludf.DUMMYFUNCTION("IF(COUNTA(C400:C1644)=0,"""",IF(C400="""",0,IF(REGEXMATCH(C400,""^Sell_""),-ROUNDDOWN(ROUNDUP(INDEX(Upgrades!$C$3:$C$13,MATCH(SUBSTITUTE(C400,""Sell_"",""""),Upgrades!$B$3:$B$13,0))*1.15^(COUNTIF(C$4:C399,SUBSTITUTE(C400,""Sell_"",""""))-COUNTIF(C$4:C399,"&amp;"""Sell_""&amp;SUBSTITUTE(C400,""Sell_"",""""))))/2),ROUNDUP(INDEX(Upgrades!$C$3:$C$13,MATCH(C400,Upgrades!$B$3:$B$13,0))*1.15^(COUNTIF(C$4:C399,C400)-COUNTIF(C$4:C399,""Sell_""&amp;C400))))))"),"")</f>
        <v/>
      </c>
      <c r="H400" s="10" t="str">
        <f t="shared" si="3"/>
        <v/>
      </c>
      <c r="I400" s="68" t="str">
        <f t="shared" si="4"/>
        <v/>
      </c>
      <c r="J400" s="59" t="str">
        <f t="shared" si="5"/>
        <v/>
      </c>
      <c r="K400" s="69" t="str">
        <f t="shared" si="6"/>
        <v/>
      </c>
      <c r="L400" s="60">
        <f t="shared" si="7"/>
        <v>-51.10886</v>
      </c>
      <c r="M400" s="61">
        <f>IFERROR(__xludf.DUMMYFUNCTION("IFS(AND(COUNTA(C400:C1644)=0,COUNTA(Q400:Q1644)=0),"""",OR(AND(K400&gt;=1000000000,OR(Y400&gt;=1000000000,COUNTA(Q400:Q1644)=0)),OR(Y400&gt;=1000000000,AND(COUNTA(C400:C1644)=0,P$3=TRUE))),
ROUNDDOWN((AB$1-AC$1)*MAX(INDEX(T$4:T1644,MATCH(LARGE(FILTER(Y$4:Y1644,Y$4"&amp;":Y1644&lt;1000000000),1),Y$4:Y1644)),INDEX(F$4:F1644,MATCH(LARGE(FILTER(K$4:K1644,K$4:K1644&lt;1000000000),1),K$4:K1644)))),AND(K400&lt;1000000000,COUNTA(C400:C1644)&gt;0,P$3=FALSE),
ROUNDDOWN(INDEX(Y$4:Y1644,MATCH(LARGE(FILTER(W$4:W1644,W$4:W1644&lt;=I400),1),W$4:W1644"&amp;"))+(I400-LARGE(FILTER(W$4:W1644,W$4:W1644&lt;=I400),1))*INDEX(T$4:T1644,MATCH(LARGE(FILTER(W$4:W1644,W$4:W1644&lt;=I400),1),W$4:W1644))-K400),1,
ROUNDDOWN(Y400-INDEX(K$4:K1644,MATCH(LARGE(FILTER(I$4:I1644,I$4:I1644&lt;=W400),1),I$4:I1644))-(W400-LARGE(FILTER(I$4:I"&amp;"1644,I$4:I1644&lt;=W400),1))*INDEX(F$4:F1644,MATCH(LARGE(FILTER(I$4:I1644,I$4:I1644&lt;=W400),1),I$4:I1644))))"),2.8590802E7)</f>
        <v>28590802</v>
      </c>
      <c r="N400" s="60">
        <f t="shared" si="8"/>
        <v>-51.10886</v>
      </c>
      <c r="O400" s="61" t="str">
        <f t="shared" si="9"/>
        <v>28,6M</v>
      </c>
      <c r="P400" s="56">
        <f t="shared" si="10"/>
        <v>26</v>
      </c>
      <c r="Q400" s="105" t="s">
        <v>3</v>
      </c>
      <c r="R400" s="10"/>
      <c r="S400" s="59">
        <f t="array" ref="S400">IF(COUNTA(Q400:Q1644)=0,"",SUM((COUNTIF(Q$4:Q400,Upgrades!$B$3:$B$13)-COUNTIF(Q$4:Q400,"Sell_"&amp;Upgrades!$B$3:$B$13))*Upgrades!$D$3:$D$13))</f>
        <v>551524.1</v>
      </c>
      <c r="T400" s="66">
        <f>IFERROR(__xludf.DUMMYFUNCTION("IF(COUNTA(Q400:Q1644)=0,"""",IF(REGEXMATCH(INDEX(FILTER(Q$4:Q400,Q$4:Q400&lt;&gt;""""),ROWS(FILTER(Q$4:Q400,Q$4:Q400&lt;&gt;""""))),""^Sell_""),INDEX(FILTER(T$4:T399,Q$4:Q399&lt;&gt;""""),ROWS(FILTER(Q$4:Q399,Q$4:Q399&lt;&gt;""""))),$AD$5+S400))"),551534.1)</f>
        <v>551534.1</v>
      </c>
      <c r="U400" s="10">
        <f>IFERROR(__xludf.DUMMYFUNCTION("IF(COUNTA(Q400:Q1644)=0,"""",IF(Q400="""",0,IF(REGEXMATCH(Q400,""^Sell_""),-ROUNDDOWN(ROUNDUP(INDEX(Upgrades!$C$3:$C$13,MATCH(SUBSTITUTE(Q400,""Sell_"",""""),Upgrades!$B$3:$B$13,0))*1.15^(COUNTIF(Q$4:Q399,SUBSTITUTE(Q400,""Sell_"",""""))-COUNTIF(Q$4:Q399,"&amp;"""Sell_""&amp;SUBSTITUTE(Q400,""Sell_"",""""))))/2),ROUNDUP(INDEX(Upgrades!$C$3:$C$13,MATCH(Q400,Upgrades!$B$3:$B$13,0))*1.15^(COUNTIF(Q$4:Q399,Q400)-COUNTIF(Q$4:Q399,""Sell_""&amp;Q400))))))"),494.0)</f>
        <v>494</v>
      </c>
      <c r="V400" s="10">
        <f t="shared" si="11"/>
        <v>494</v>
      </c>
      <c r="W400" s="68">
        <f t="shared" si="12"/>
        <v>7708.432599</v>
      </c>
      <c r="X400" s="59" t="str">
        <f t="shared" si="13"/>
        <v>2h 08m 28s</v>
      </c>
      <c r="Y400" s="69">
        <f t="shared" si="14"/>
        <v>948666305</v>
      </c>
      <c r="Z400" s="11"/>
      <c r="AG400" s="59"/>
    </row>
    <row r="401">
      <c r="A401" s="8"/>
      <c r="B401" s="56" t="str">
        <f t="shared" si="2"/>
        <v/>
      </c>
      <c r="C401" s="105"/>
      <c r="D401" s="10"/>
      <c r="E401" s="59" t="str">
        <f t="array" ref="E401">IF(COUNTA(C401:C1644)=0,"",SUM((COUNTIF(C$4:C401,Upgrades!$B$3:$B$13)-COUNTIF(C$4:C401,"Sell_"&amp;Upgrades!$B$3:$B$13))*Upgrades!$D$3:$D$13))</f>
        <v/>
      </c>
      <c r="F401" s="66" t="str">
        <f>IFERROR(__xludf.DUMMYFUNCTION("IF(COUNTA(C401:C1644)=0,"""",IF(REGEXMATCH(INDEX(FILTER(C$4:C401,C$4:C401&lt;&gt;""""),ROWS(FILTER(C$4:C401,C$4:C401&lt;&gt;""""))),""^Sell_""),INDEX(FILTER(F$4:F400,C$4:C400&lt;&gt;""""),ROWS(FILTER(C$4:C400,C$4:C400&lt;&gt;""""))),$AC$5+E401))"),"")</f>
        <v/>
      </c>
      <c r="G401" s="10" t="str">
        <f>IFERROR(__xludf.DUMMYFUNCTION("IF(COUNTA(C401:C1644)=0,"""",IF(C401="""",0,IF(REGEXMATCH(C401,""^Sell_""),-ROUNDDOWN(ROUNDUP(INDEX(Upgrades!$C$3:$C$13,MATCH(SUBSTITUTE(C401,""Sell_"",""""),Upgrades!$B$3:$B$13,0))*1.15^(COUNTIF(C$4:C400,SUBSTITUTE(C401,""Sell_"",""""))-COUNTIF(C$4:C400,"&amp;"""Sell_""&amp;SUBSTITUTE(C401,""Sell_"",""""))))/2),ROUNDUP(INDEX(Upgrades!$C$3:$C$13,MATCH(C401,Upgrades!$B$3:$B$13,0))*1.15^(COUNTIF(C$4:C400,C401)-COUNTIF(C$4:C400,""Sell_""&amp;C401))))))"),"")</f>
        <v/>
      </c>
      <c r="H401" s="10" t="str">
        <f t="shared" si="3"/>
        <v/>
      </c>
      <c r="I401" s="68" t="str">
        <f t="shared" si="4"/>
        <v/>
      </c>
      <c r="J401" s="59" t="str">
        <f t="shared" si="5"/>
        <v/>
      </c>
      <c r="K401" s="69" t="str">
        <f t="shared" si="6"/>
        <v/>
      </c>
      <c r="L401" s="60">
        <f t="shared" si="7"/>
        <v>-51.09622</v>
      </c>
      <c r="M401" s="61">
        <f>IFERROR(__xludf.DUMMYFUNCTION("IFS(AND(COUNTA(C401:C1644)=0,COUNTA(Q401:Q1644)=0),"""",OR(AND(K401&gt;=1000000000,OR(Y401&gt;=1000000000,COUNTA(Q401:Q1644)=0)),OR(Y401&gt;=1000000000,AND(COUNTA(C401:C1644)=0,P$3=TRUE))),
ROUNDDOWN((AB$1-AC$1)*MAX(INDEX(T$4:T1644,MATCH(LARGE(FILTER(Y$4:Y1644,Y$4"&amp;":Y1644&lt;1000000000),1),Y$4:Y1644)),INDEX(F$4:F1644,MATCH(LARGE(FILTER(K$4:K1644,K$4:K1644&lt;1000000000),1),K$4:K1644)))),AND(K401&lt;1000000000,COUNTA(C401:C1644)&gt;0,P$3=FALSE),
ROUNDDOWN(INDEX(Y$4:Y1644,MATCH(LARGE(FILTER(W$4:W1644,W$4:W1644&lt;=I401),1),W$4:W1644"&amp;"))+(I401-LARGE(FILTER(W$4:W1644,W$4:W1644&lt;=I401),1))*INDEX(T$4:T1644,MATCH(LARGE(FILTER(W$4:W1644,W$4:W1644&lt;=I401),1),W$4:W1644))-K401),1,
ROUNDDOWN(Y401-INDEX(K$4:K1644,MATCH(LARGE(FILTER(I$4:I1644,I$4:I1644&lt;=W401),1),I$4:I1644))-(W401-LARGE(FILTER(I$4:I"&amp;"1644,I$4:I1644&lt;=W401),1))*INDEX(F$4:F1644,MATCH(LARGE(FILTER(I$4:I1644,I$4:I1644&lt;=W401),1),I$4:I1644))))"),2.8583733E7)</f>
        <v>28583733</v>
      </c>
      <c r="N401" s="60">
        <f t="shared" si="8"/>
        <v>-51.09622</v>
      </c>
      <c r="O401" s="61" t="str">
        <f t="shared" si="9"/>
        <v>28,6M</v>
      </c>
      <c r="P401" s="56">
        <f t="shared" si="10"/>
        <v>19</v>
      </c>
      <c r="Q401" s="105" t="s">
        <v>8</v>
      </c>
      <c r="R401" s="10"/>
      <c r="S401" s="59">
        <f t="array" ref="S401">IF(COUNTA(Q401:Q1644)=0,"",SUM((COUNTIF(Q$4:Q401,Upgrades!$B$3:$B$13)-COUNTIF(Q$4:Q401,"Sell_"&amp;Upgrades!$B$3:$B$13))*Upgrades!$D$3:$D$13))</f>
        <v>551624.1</v>
      </c>
      <c r="T401" s="66">
        <f>IFERROR(__xludf.DUMMYFUNCTION("IF(COUNTA(Q401:Q1644)=0,"""",IF(REGEXMATCH(INDEX(FILTER(Q$4:Q401,Q$4:Q401&lt;&gt;""""),ROWS(FILTER(Q$4:Q401,Q$4:Q401&lt;&gt;""""))),""^Sell_""),INDEX(FILTER(T$4:T400,Q$4:Q400&lt;&gt;""""),ROWS(FILTER(Q$4:Q400,Q$4:Q400&lt;&gt;""""))),$AD$5+S401))"),551634.1)</f>
        <v>551634.1</v>
      </c>
      <c r="U401" s="10">
        <f>IFERROR(__xludf.DUMMYFUNCTION("IF(COUNTA(Q401:Q1644)=0,"""",IF(Q401="""",0,IF(REGEXMATCH(Q401,""^Sell_""),-ROUNDDOWN(ROUNDUP(INDEX(Upgrades!$C$3:$C$13,MATCH(SUBSTITUTE(Q401,""Sell_"",""""),Upgrades!$B$3:$B$13,0))*1.15^(COUNTIF(Q$4:Q400,SUBSTITUTE(Q401,""Sell_"",""""))-COUNTIF(Q$4:Q400,"&amp;"""Sell_""&amp;SUBSTITUTE(Q401,""Sell_"",""""))))/2),ROUNDUP(INDEX(Upgrades!$C$3:$C$13,MATCH(Q401,Upgrades!$B$3:$B$13,0))*1.15^(COUNTIF(Q$4:Q400,Q401)-COUNTIF(Q$4:Q400,""Sell_""&amp;Q401))))))"),495019.0)</f>
        <v>495019</v>
      </c>
      <c r="V401" s="10">
        <f t="shared" si="11"/>
        <v>495019</v>
      </c>
      <c r="W401" s="68">
        <f t="shared" si="12"/>
        <v>7709.33013</v>
      </c>
      <c r="X401" s="59" t="str">
        <f t="shared" si="13"/>
        <v>2h 08m 29s</v>
      </c>
      <c r="Y401" s="69">
        <f t="shared" si="14"/>
        <v>949161324</v>
      </c>
      <c r="Z401" s="11"/>
      <c r="AG401" s="59"/>
    </row>
    <row r="402">
      <c r="A402" s="8"/>
      <c r="B402" s="56" t="str">
        <f t="shared" si="2"/>
        <v/>
      </c>
      <c r="C402" s="105"/>
      <c r="D402" s="10"/>
      <c r="E402" s="59" t="str">
        <f t="array" ref="E402">IF(COUNTA(C402:C1644)=0,"",SUM((COUNTIF(C$4:C402,Upgrades!$B$3:$B$13)-COUNTIF(C$4:C402,"Sell_"&amp;Upgrades!$B$3:$B$13))*Upgrades!$D$3:$D$13))</f>
        <v/>
      </c>
      <c r="F402" s="66" t="str">
        <f>IFERROR(__xludf.DUMMYFUNCTION("IF(COUNTA(C402:C1644)=0,"""",IF(REGEXMATCH(INDEX(FILTER(C$4:C402,C$4:C402&lt;&gt;""""),ROWS(FILTER(C$4:C402,C$4:C402&lt;&gt;""""))),""^Sell_""),INDEX(FILTER(F$4:F401,C$4:C401&lt;&gt;""""),ROWS(FILTER(C$4:C401,C$4:C401&lt;&gt;""""))),$AC$5+E402))"),"")</f>
        <v/>
      </c>
      <c r="G402" s="10" t="str">
        <f>IFERROR(__xludf.DUMMYFUNCTION("IF(COUNTA(C402:C1644)=0,"""",IF(C402="""",0,IF(REGEXMATCH(C402,""^Sell_""),-ROUNDDOWN(ROUNDUP(INDEX(Upgrades!$C$3:$C$13,MATCH(SUBSTITUTE(C402,""Sell_"",""""),Upgrades!$B$3:$B$13,0))*1.15^(COUNTIF(C$4:C401,SUBSTITUTE(C402,""Sell_"",""""))-COUNTIF(C$4:C401,"&amp;"""Sell_""&amp;SUBSTITUTE(C402,""Sell_"",""""))))/2),ROUNDUP(INDEX(Upgrades!$C$3:$C$13,MATCH(C402,Upgrades!$B$3:$B$13,0))*1.15^(COUNTIF(C$4:C401,C402)-COUNTIF(C$4:C401,""Sell_""&amp;C402))))))"),"")</f>
        <v/>
      </c>
      <c r="H402" s="10" t="str">
        <f t="shared" si="3"/>
        <v/>
      </c>
      <c r="I402" s="68" t="str">
        <f t="shared" si="4"/>
        <v/>
      </c>
      <c r="J402" s="59" t="str">
        <f t="shared" si="5"/>
        <v/>
      </c>
      <c r="K402" s="69" t="str">
        <f t="shared" si="6"/>
        <v/>
      </c>
      <c r="L402" s="60">
        <f t="shared" si="7"/>
        <v>-51.09616</v>
      </c>
      <c r="M402" s="61">
        <f>IFERROR(__xludf.DUMMYFUNCTION("IFS(AND(COUNTA(C402:C1644)=0,COUNTA(Q402:Q1644)=0),"""",OR(AND(K402&gt;=1000000000,OR(Y402&gt;=1000000000,COUNTA(Q402:Q1644)=0)),OR(Y402&gt;=1000000000,AND(COUNTA(C402:C1644)=0,P$3=TRUE))),
ROUNDDOWN((AB$1-AC$1)*MAX(INDEX(T$4:T1644,MATCH(LARGE(FILTER(Y$4:Y1644,Y$4"&amp;":Y1644&lt;1000000000),1),Y$4:Y1644)),INDEX(F$4:F1644,MATCH(LARGE(FILTER(K$4:K1644,K$4:K1644&lt;1000000000),1),K$4:K1644)))),AND(K402&lt;1000000000,COUNTA(C402:C1644)&gt;0,P$3=FALSE),
ROUNDDOWN(INDEX(Y$4:Y1644,MATCH(LARGE(FILTER(W$4:W1644,W$4:W1644&lt;=I402),1),W$4:W1644"&amp;"))+(I402-LARGE(FILTER(W$4:W1644,W$4:W1644&lt;=I402),1))*INDEX(T$4:T1644,MATCH(LARGE(FILTER(W$4:W1644,W$4:W1644&lt;=I402),1),W$4:W1644))-K402),1,
ROUNDDOWN(Y402-INDEX(K$4:K1644,MATCH(LARGE(FILTER(I$4:I1644,I$4:I1644&lt;=W402),1),I$4:I1644))-(W402-LARGE(FILTER(I$4:I"&amp;"1644,I$4:I1644&lt;=W402),1))*INDEX(F$4:F1644,MATCH(LARGE(FILTER(I$4:I1644,I$4:I1644&lt;=W402),1),I$4:I1644))))"),2.8583698E7)</f>
        <v>28583698</v>
      </c>
      <c r="N402" s="60">
        <f t="shared" si="8"/>
        <v>-51.09616</v>
      </c>
      <c r="O402" s="61" t="str">
        <f t="shared" si="9"/>
        <v>28,6M</v>
      </c>
      <c r="P402" s="56">
        <f t="shared" si="10"/>
        <v>24</v>
      </c>
      <c r="Q402" s="105" t="s">
        <v>4</v>
      </c>
      <c r="R402" s="10"/>
      <c r="S402" s="59">
        <f t="array" ref="S402">IF(COUNTA(Q402:Q1644)=0,"",SUM((COUNTIF(Q$4:Q402,Upgrades!$B$3:$B$13)-COUNTIF(Q$4:Q402,"Sell_"&amp;Upgrades!$B$3:$B$13))*Upgrades!$D$3:$D$13))</f>
        <v>551624.6</v>
      </c>
      <c r="T402" s="66">
        <f>IFERROR(__xludf.DUMMYFUNCTION("IF(COUNTA(Q402:Q1644)=0,"""",IF(REGEXMATCH(INDEX(FILTER(Q$4:Q402,Q$4:Q402&lt;&gt;""""),ROWS(FILTER(Q$4:Q402,Q$4:Q402&lt;&gt;""""))),""^Sell_""),INDEX(FILTER(T$4:T401,Q$4:Q401&lt;&gt;""""),ROWS(FILTER(Q$4:Q401,Q$4:Q401&lt;&gt;""""))),$AD$5+S402))"),551634.6)</f>
        <v>551634.6</v>
      </c>
      <c r="U402" s="10">
        <f>IFERROR(__xludf.DUMMYFUNCTION("IF(COUNTA(Q402:Q1644)=0,"""",IF(Q402="""",0,IF(REGEXMATCH(Q402,""^Sell_""),-ROUNDDOWN(ROUNDUP(INDEX(Upgrades!$C$3:$C$13,MATCH(SUBSTITUTE(Q402,""Sell_"",""""),Upgrades!$B$3:$B$13,0))*1.15^(COUNTIF(Q$4:Q401,SUBSTITUTE(Q402,""Sell_"",""""))-COUNTIF(Q$4:Q401,"&amp;"""Sell_""&amp;SUBSTITUTE(Q402,""Sell_"",""""))))/2),ROUNDUP(INDEX(Upgrades!$C$3:$C$13,MATCH(Q402,Upgrades!$B$3:$B$13,0))*1.15^(COUNTIF(Q$4:Q401,Q402)-COUNTIF(Q$4:Q401,""Sell_""&amp;Q402))))))"),2490.0)</f>
        <v>2490</v>
      </c>
      <c r="V402" s="10">
        <f t="shared" si="11"/>
        <v>2490</v>
      </c>
      <c r="W402" s="68">
        <f t="shared" si="12"/>
        <v>7709.334644</v>
      </c>
      <c r="X402" s="59" t="str">
        <f t="shared" si="13"/>
        <v>2h 08m 29s</v>
      </c>
      <c r="Y402" s="69">
        <f t="shared" si="14"/>
        <v>949163814</v>
      </c>
      <c r="Z402" s="11"/>
      <c r="AG402" s="59"/>
    </row>
    <row r="403">
      <c r="A403" s="8"/>
      <c r="B403" s="56" t="str">
        <f t="shared" si="2"/>
        <v/>
      </c>
      <c r="C403" s="105"/>
      <c r="D403" s="10"/>
      <c r="E403" s="59" t="str">
        <f t="array" ref="E403">IF(COUNTA(C403:C1644)=0,"",SUM((COUNTIF(C$4:C403,Upgrades!$B$3:$B$13)-COUNTIF(C$4:C403,"Sell_"&amp;Upgrades!$B$3:$B$13))*Upgrades!$D$3:$D$13))</f>
        <v/>
      </c>
      <c r="F403" s="66" t="str">
        <f>IFERROR(__xludf.DUMMYFUNCTION("IF(COUNTA(C403:C1644)=0,"""",IF(REGEXMATCH(INDEX(FILTER(C$4:C403,C$4:C403&lt;&gt;""""),ROWS(FILTER(C$4:C403,C$4:C403&lt;&gt;""""))),""^Sell_""),INDEX(FILTER(F$4:F402,C$4:C402&lt;&gt;""""),ROWS(FILTER(C$4:C402,C$4:C402&lt;&gt;""""))),$AC$5+E403))"),"")</f>
        <v/>
      </c>
      <c r="G403" s="10" t="str">
        <f>IFERROR(__xludf.DUMMYFUNCTION("IF(COUNTA(C403:C1644)=0,"""",IF(C403="""",0,IF(REGEXMATCH(C403,""^Sell_""),-ROUNDDOWN(ROUNDUP(INDEX(Upgrades!$C$3:$C$13,MATCH(SUBSTITUTE(C403,""Sell_"",""""),Upgrades!$B$3:$B$13,0))*1.15^(COUNTIF(C$4:C402,SUBSTITUTE(C403,""Sell_"",""""))-COUNTIF(C$4:C402,"&amp;"""Sell_""&amp;SUBSTITUTE(C403,""Sell_"",""""))))/2),ROUNDUP(INDEX(Upgrades!$C$3:$C$13,MATCH(C403,Upgrades!$B$3:$B$13,0))*1.15^(COUNTIF(C$4:C402,C403)-COUNTIF(C$4:C402,""Sell_""&amp;C403))))))"),"")</f>
        <v/>
      </c>
      <c r="H403" s="10" t="str">
        <f t="shared" si="3"/>
        <v/>
      </c>
      <c r="I403" s="68" t="str">
        <f t="shared" si="4"/>
        <v/>
      </c>
      <c r="J403" s="59" t="str">
        <f t="shared" si="5"/>
        <v/>
      </c>
      <c r="K403" s="69" t="str">
        <f t="shared" si="6"/>
        <v/>
      </c>
      <c r="L403" s="60">
        <f t="shared" si="7"/>
        <v>-51.04193</v>
      </c>
      <c r="M403" s="61">
        <f>IFERROR(__xludf.DUMMYFUNCTION("IFS(AND(COUNTA(C403:C1644)=0,COUNTA(Q403:Q1644)=0),"""",OR(AND(K403&gt;=1000000000,OR(Y403&gt;=1000000000,COUNTA(Q403:Q1644)=0)),OR(Y403&gt;=1000000000,AND(COUNTA(C403:C1644)=0,P$3=TRUE))),
ROUNDDOWN((AB$1-AC$1)*MAX(INDEX(T$4:T1644,MATCH(LARGE(FILTER(Y$4:Y1644,Y$4"&amp;":Y1644&lt;1000000000),1),Y$4:Y1644)),INDEX(F$4:F1644,MATCH(LARGE(FILTER(K$4:K1644,K$4:K1644&lt;1000000000),1),K$4:K1644)))),AND(K403&lt;1000000000,COUNTA(C403:C1644)&gt;0,P$3=FALSE),
ROUNDDOWN(INDEX(Y$4:Y1644,MATCH(LARGE(FILTER(W$4:W1644,W$4:W1644&lt;=I403),1),W$4:W1644"&amp;"))+(I403-LARGE(FILTER(W$4:W1644,W$4:W1644&lt;=I403),1))*INDEX(T$4:T1644,MATCH(LARGE(FILTER(W$4:W1644,W$4:W1644&lt;=I403),1),W$4:W1644))-K403),1,
ROUNDDOWN(Y403-INDEX(K$4:K1644,MATCH(LARGE(FILTER(I$4:I1644,I$4:I1644&lt;=W403),1),I$4:I1644))-(W403-LARGE(FILTER(I$4:I"&amp;"1644,I$4:I1644&lt;=W403),1))*INDEX(F$4:F1644,MATCH(LARGE(FILTER(I$4:I1644,I$4:I1644&lt;=W403),1),I$4:I1644))))"),2.8553362E7)</f>
        <v>28553362</v>
      </c>
      <c r="N403" s="60">
        <f t="shared" si="8"/>
        <v>-51.04193</v>
      </c>
      <c r="O403" s="61" t="str">
        <f t="shared" si="9"/>
        <v>28,6M</v>
      </c>
      <c r="P403" s="56">
        <f t="shared" si="10"/>
        <v>18</v>
      </c>
      <c r="Q403" s="105" t="s">
        <v>9</v>
      </c>
      <c r="R403" s="10"/>
      <c r="S403" s="59">
        <f t="array" ref="S403">IF(COUNTA(Q403:Q1644)=0,"",SUM((COUNTIF(Q$4:Q403,Upgrades!$B$3:$B$13)-COUNTIF(Q$4:Q403,"Sell_"&amp;Upgrades!$B$3:$B$13))*Upgrades!$D$3:$D$13))</f>
        <v>552024.6</v>
      </c>
      <c r="T403" s="66">
        <f>IFERROR(__xludf.DUMMYFUNCTION("IF(COUNTA(Q403:Q1644)=0,"""",IF(REGEXMATCH(INDEX(FILTER(Q$4:Q403,Q$4:Q403&lt;&gt;""""),ROWS(FILTER(Q$4:Q403,Q$4:Q403&lt;&gt;""""))),""^Sell_""),INDEX(FILTER(T$4:T402,Q$4:Q402&lt;&gt;""""),ROWS(FILTER(Q$4:Q402,Q$4:Q402&lt;&gt;""""))),$AD$5+S403))"),552034.6)</f>
        <v>552034.6</v>
      </c>
      <c r="U403" s="10">
        <f>IFERROR(__xludf.DUMMYFUNCTION("IF(COUNTA(Q403:Q1644)=0,"""",IF(Q403="""",0,IF(REGEXMATCH(Q403,""^Sell_""),-ROUNDDOWN(ROUNDUP(INDEX(Upgrades!$C$3:$C$13,MATCH(SUBSTITUTE(Q403,""Sell_"",""""),Upgrades!$B$3:$B$13,0))*1.15^(COUNTIF(Q$4:Q402,SUBSTITUTE(Q403,""Sell_"",""""))-COUNTIF(Q$4:Q402,"&amp;"""Sell_""&amp;SUBSTITUTE(Q403,""Sell_"",""""))))/2),ROUNDUP(INDEX(Upgrades!$C$3:$C$13,MATCH(Q403,Upgrades!$B$3:$B$13,0))*1.15^(COUNTIF(Q$4:Q402,Q403)-COUNTIF(Q$4:Q402,""Sell_""&amp;Q403))))))"),2152253.0)</f>
        <v>2152253</v>
      </c>
      <c r="V403" s="10">
        <f t="shared" si="11"/>
        <v>2152253</v>
      </c>
      <c r="W403" s="68">
        <f t="shared" si="12"/>
        <v>7713.236236</v>
      </c>
      <c r="X403" s="59" t="str">
        <f t="shared" si="13"/>
        <v>2h 08m 33s</v>
      </c>
      <c r="Y403" s="69">
        <f t="shared" si="14"/>
        <v>951316067</v>
      </c>
      <c r="Z403" s="11"/>
      <c r="AG403" s="59"/>
    </row>
    <row r="404">
      <c r="A404" s="8"/>
      <c r="B404" s="56" t="str">
        <f t="shared" si="2"/>
        <v/>
      </c>
      <c r="C404" s="105"/>
      <c r="D404" s="10"/>
      <c r="E404" s="59" t="str">
        <f t="array" ref="E404">IF(COUNTA(C404:C1644)=0,"",SUM((COUNTIF(C$4:C404,Upgrades!$B$3:$B$13)-COUNTIF(C$4:C404,"Sell_"&amp;Upgrades!$B$3:$B$13))*Upgrades!$D$3:$D$13))</f>
        <v/>
      </c>
      <c r="F404" s="66" t="str">
        <f>IFERROR(__xludf.DUMMYFUNCTION("IF(COUNTA(C404:C1644)=0,"""",IF(REGEXMATCH(INDEX(FILTER(C$4:C404,C$4:C404&lt;&gt;""""),ROWS(FILTER(C$4:C404,C$4:C404&lt;&gt;""""))),""^Sell_""),INDEX(FILTER(F$4:F403,C$4:C403&lt;&gt;""""),ROWS(FILTER(C$4:C403,C$4:C403&lt;&gt;""""))),$AC$5+E404))"),"")</f>
        <v/>
      </c>
      <c r="G404" s="10" t="str">
        <f>IFERROR(__xludf.DUMMYFUNCTION("IF(COUNTA(C404:C1644)=0,"""",IF(C404="""",0,IF(REGEXMATCH(C404,""^Sell_""),-ROUNDDOWN(ROUNDUP(INDEX(Upgrades!$C$3:$C$13,MATCH(SUBSTITUTE(C404,""Sell_"",""""),Upgrades!$B$3:$B$13,0))*1.15^(COUNTIF(C$4:C403,SUBSTITUTE(C404,""Sell_"",""""))-COUNTIF(C$4:C403,"&amp;"""Sell_""&amp;SUBSTITUTE(C404,""Sell_"",""""))))/2),ROUNDUP(INDEX(Upgrades!$C$3:$C$13,MATCH(C404,Upgrades!$B$3:$B$13,0))*1.15^(COUNTIF(C$4:C403,C404)-COUNTIF(C$4:C403,""Sell_""&amp;C404))))))"),"")</f>
        <v/>
      </c>
      <c r="H404" s="10" t="str">
        <f t="shared" si="3"/>
        <v/>
      </c>
      <c r="I404" s="68" t="str">
        <f t="shared" si="4"/>
        <v/>
      </c>
      <c r="J404" s="59" t="str">
        <f t="shared" si="5"/>
        <v/>
      </c>
      <c r="K404" s="69" t="str">
        <f t="shared" si="6"/>
        <v/>
      </c>
      <c r="L404" s="60">
        <f t="shared" si="7"/>
        <v>-51.03676</v>
      </c>
      <c r="M404" s="61">
        <f>IFERROR(__xludf.DUMMYFUNCTION("IFS(AND(COUNTA(C404:C1644)=0,COUNTA(Q404:Q1644)=0),"""",OR(AND(K404&gt;=1000000000,OR(Y404&gt;=1000000000,COUNTA(Q404:Q1644)=0)),OR(Y404&gt;=1000000000,AND(COUNTA(C404:C1644)=0,P$3=TRUE))),
ROUNDDOWN((AB$1-AC$1)*MAX(INDEX(T$4:T1644,MATCH(LARGE(FILTER(Y$4:Y1644,Y$4"&amp;":Y1644&lt;1000000000),1),Y$4:Y1644)),INDEX(F$4:F1644,MATCH(LARGE(FILTER(K$4:K1644,K$4:K1644&lt;1000000000),1),K$4:K1644)))),AND(K404&lt;1000000000,COUNTA(C404:C1644)&gt;0,P$3=FALSE),
ROUNDDOWN(INDEX(Y$4:Y1644,MATCH(LARGE(FILTER(W$4:W1644,W$4:W1644&lt;=I404),1),W$4:W1644"&amp;"))+(I404-LARGE(FILTER(W$4:W1644,W$4:W1644&lt;=I404),1))*INDEX(T$4:T1644,MATCH(LARGE(FILTER(W$4:W1644,W$4:W1644&lt;=I404),1),W$4:W1644))-K404),1,
ROUNDDOWN(Y404-INDEX(K$4:K1644,MATCH(LARGE(FILTER(I$4:I1644,I$4:I1644&lt;=W404),1),I$4:I1644))-(W404-LARGE(FILTER(I$4:I"&amp;"1644,I$4:I1644&lt;=W404),1))*INDEX(F$4:F1644,MATCH(LARGE(FILTER(I$4:I1644,I$4:I1644&lt;=W404),1),I$4:I1644))))"),2.855047E7)</f>
        <v>28550470</v>
      </c>
      <c r="N404" s="60">
        <f t="shared" si="8"/>
        <v>-51.03676</v>
      </c>
      <c r="O404" s="61" t="str">
        <f t="shared" si="9"/>
        <v>28,6M</v>
      </c>
      <c r="P404" s="56">
        <f t="shared" si="10"/>
        <v>23</v>
      </c>
      <c r="Q404" s="105" t="s">
        <v>7</v>
      </c>
      <c r="R404" s="10"/>
      <c r="S404" s="59">
        <f t="array" ref="S404">IF(COUNTA(Q404:Q1644)=0,"",SUM((COUNTIF(Q$4:Q404,Upgrades!$B$3:$B$13)-COUNTIF(Q$4:Q404,"Sell_"&amp;Upgrades!$B$3:$B$13))*Upgrades!$D$3:$D$13))</f>
        <v>552064.6</v>
      </c>
      <c r="T404" s="66">
        <f>IFERROR(__xludf.DUMMYFUNCTION("IF(COUNTA(Q404:Q1644)=0,"""",IF(REGEXMATCH(INDEX(FILTER(Q$4:Q404,Q$4:Q404&lt;&gt;""""),ROWS(FILTER(Q$4:Q404,Q$4:Q404&lt;&gt;""""))),""^Sell_""),INDEX(FILTER(T$4:T403,Q$4:Q403&lt;&gt;""""),ROWS(FILTER(Q$4:Q403,Q$4:Q403&lt;&gt;""""))),$AD$5+S404))"),552074.6)</f>
        <v>552074.6</v>
      </c>
      <c r="U404" s="10">
        <f>IFERROR(__xludf.DUMMYFUNCTION("IF(COUNTA(Q404:Q1644)=0,"""",IF(Q404="""",0,IF(REGEXMATCH(Q404,""^Sell_""),-ROUNDDOWN(ROUNDUP(INDEX(Upgrades!$C$3:$C$13,MATCH(SUBSTITUTE(Q404,""Sell_"",""""),Upgrades!$B$3:$B$13,0))*1.15^(COUNTIF(Q$4:Q403,SUBSTITUTE(Q404,""Sell_"",""""))-COUNTIF(Q$4:Q403,"&amp;"""Sell_""&amp;SUBSTITUTE(Q404,""Sell_"",""""))))/2),ROUNDUP(INDEX(Upgrades!$C$3:$C$13,MATCH(Q404,Upgrades!$B$3:$B$13,0))*1.15^(COUNTIF(Q$4:Q403,Q404)-COUNTIF(Q$4:Q403,""Sell_""&amp;Q404))))))"),216448.0)</f>
        <v>216448</v>
      </c>
      <c r="V404" s="10">
        <f t="shared" si="11"/>
        <v>216448</v>
      </c>
      <c r="W404" s="68">
        <f t="shared" si="12"/>
        <v>7713.628327</v>
      </c>
      <c r="X404" s="59" t="str">
        <f t="shared" si="13"/>
        <v>2h 08m 33s</v>
      </c>
      <c r="Y404" s="69">
        <f t="shared" si="14"/>
        <v>951532515</v>
      </c>
      <c r="Z404" s="11"/>
      <c r="AG404" s="59"/>
    </row>
    <row r="405">
      <c r="A405" s="8"/>
      <c r="B405" s="56" t="str">
        <f t="shared" si="2"/>
        <v/>
      </c>
      <c r="C405" s="105"/>
      <c r="D405" s="10"/>
      <c r="E405" s="59" t="str">
        <f t="array" ref="E405">IF(COUNTA(C405:C1644)=0,"",SUM((COUNTIF(C$4:C405,Upgrades!$B$3:$B$13)-COUNTIF(C$4:C405,"Sell_"&amp;Upgrades!$B$3:$B$13))*Upgrades!$D$3:$D$13))</f>
        <v/>
      </c>
      <c r="F405" s="66" t="str">
        <f>IFERROR(__xludf.DUMMYFUNCTION("IF(COUNTA(C405:C1644)=0,"""",IF(REGEXMATCH(INDEX(FILTER(C$4:C405,C$4:C405&lt;&gt;""""),ROWS(FILTER(C$4:C405,C$4:C405&lt;&gt;""""))),""^Sell_""),INDEX(FILTER(F$4:F404,C$4:C404&lt;&gt;""""),ROWS(FILTER(C$4:C404,C$4:C404&lt;&gt;""""))),$AC$5+E405))"),"")</f>
        <v/>
      </c>
      <c r="G405" s="10" t="str">
        <f>IFERROR(__xludf.DUMMYFUNCTION("IF(COUNTA(C405:C1644)=0,"""",IF(C405="""",0,IF(REGEXMATCH(C405,""^Sell_""),-ROUNDDOWN(ROUNDUP(INDEX(Upgrades!$C$3:$C$13,MATCH(SUBSTITUTE(C405,""Sell_"",""""),Upgrades!$B$3:$B$13,0))*1.15^(COUNTIF(C$4:C404,SUBSTITUTE(C405,""Sell_"",""""))-COUNTIF(C$4:C404,"&amp;"""Sell_""&amp;SUBSTITUTE(C405,""Sell_"",""""))))/2),ROUNDUP(INDEX(Upgrades!$C$3:$C$13,MATCH(C405,Upgrades!$B$3:$B$13,0))*1.15^(COUNTIF(C$4:C404,C405)-COUNTIF(C$4:C404,""Sell_""&amp;C405))))))"),"")</f>
        <v/>
      </c>
      <c r="H405" s="10" t="str">
        <f t="shared" si="3"/>
        <v/>
      </c>
      <c r="I405" s="68" t="str">
        <f t="shared" si="4"/>
        <v/>
      </c>
      <c r="J405" s="59" t="str">
        <f t="shared" si="5"/>
        <v/>
      </c>
      <c r="K405" s="69" t="str">
        <f t="shared" si="6"/>
        <v/>
      </c>
      <c r="L405" s="60">
        <f t="shared" si="7"/>
        <v>-49.48741</v>
      </c>
      <c r="M405" s="61">
        <f>IFERROR(__xludf.DUMMYFUNCTION("IFS(AND(COUNTA(C405:C1644)=0,COUNTA(Q405:Q1644)=0),"""",OR(AND(K405&gt;=1000000000,OR(Y405&gt;=1000000000,COUNTA(Q405:Q1644)=0)),OR(Y405&gt;=1000000000,AND(COUNTA(C405:C1644)=0,P$3=TRUE))),
ROUNDDOWN((AB$1-AC$1)*MAX(INDEX(T$4:T1644,MATCH(LARGE(FILTER(Y$4:Y1644,Y$4"&amp;":Y1644&lt;1000000000),1),Y$4:Y1644)),INDEX(F$4:F1644,MATCH(LARGE(FILTER(K$4:K1644,K$4:K1644&lt;1000000000),1),K$4:K1644)))),AND(K405&lt;1000000000,COUNTA(C405:C1644)&gt;0,P$3=FALSE),
ROUNDDOWN(INDEX(Y$4:Y1644,MATCH(LARGE(FILTER(W$4:W1644,W$4:W1644&lt;=I405),1),W$4:W1644"&amp;"))+(I405-LARGE(FILTER(W$4:W1644,W$4:W1644&lt;=I405),1))*INDEX(T$4:T1644,MATCH(LARGE(FILTER(W$4:W1644,W$4:W1644&lt;=I405),1),W$4:W1644))-K405),1,
ROUNDDOWN(Y405-INDEX(K$4:K1644,MATCH(LARGE(FILTER(I$4:I1644,I$4:I1644&lt;=W405),1),I$4:I1644))-(W405-LARGE(FILTER(I$4:I"&amp;"1644,I$4:I1644&lt;=W405),1))*INDEX(F$4:F1644,MATCH(LARGE(FILTER(I$4:I1644,I$4:I1644&lt;=W405),1),I$4:I1644))))"),2.8071155E7)</f>
        <v>28071155</v>
      </c>
      <c r="N405" s="60">
        <f t="shared" si="8"/>
        <v>-49.48741</v>
      </c>
      <c r="O405" s="61" t="str">
        <f t="shared" si="9"/>
        <v>28,1M</v>
      </c>
      <c r="P405" s="56">
        <f t="shared" si="10"/>
        <v>23</v>
      </c>
      <c r="Q405" s="105" t="s">
        <v>10</v>
      </c>
      <c r="R405" s="10"/>
      <c r="S405" s="59">
        <f t="array" ref="S405">IF(COUNTA(Q405:Q1644)=0,"",SUM((COUNTIF(Q$4:Q405,Upgrades!$B$3:$B$13)-COUNTIF(Q$4:Q405,"Sell_"&amp;Upgrades!$B$3:$B$13))*Upgrades!$D$3:$D$13))</f>
        <v>558730.6</v>
      </c>
      <c r="T405" s="66">
        <f>IFERROR(__xludf.DUMMYFUNCTION("IF(COUNTA(Q405:Q1644)=0,"""",IF(REGEXMATCH(INDEX(FILTER(Q$4:Q405,Q$4:Q405&lt;&gt;""""),ROWS(FILTER(Q$4:Q405,Q$4:Q405&lt;&gt;""""))),""^Sell_""),INDEX(FILTER(T$4:T404,Q$4:Q404&lt;&gt;""""),ROWS(FILTER(Q$4:Q404,Q$4:Q404&lt;&gt;""""))),$AD$5+S405))"),558740.6)</f>
        <v>558740.6</v>
      </c>
      <c r="U405" s="10">
        <f>IFERROR(__xludf.DUMMYFUNCTION("IF(COUNTA(Q405:Q1644)=0,"""",IF(Q405="""",0,IF(REGEXMATCH(Q405,""^Sell_""),-ROUNDDOWN(ROUNDUP(INDEX(Upgrades!$C$3:$C$13,MATCH(SUBSTITUTE(Q405,""Sell_"",""""),Upgrades!$B$3:$B$13,0))*1.15^(COUNTIF(Q$4:Q404,SUBSTITUTE(Q405,""Sell_"",""""))-COUNTIF(Q$4:Q404,"&amp;"""Sell_""&amp;SUBSTITUTE(Q405,""Sell_"",""""))))/2),ROUNDUP(INDEX(Upgrades!$C$3:$C$13,MATCH(Q405,Upgrades!$B$3:$B$13,0))*1.15^(COUNTIF(Q$4:Q404,Q405)-COUNTIF(Q$4:Q404,""Sell_""&amp;Q405))))))"),3.6074562E7)</f>
        <v>36074562</v>
      </c>
      <c r="V405" s="10">
        <f t="shared" si="11"/>
        <v>36074562</v>
      </c>
      <c r="W405" s="68">
        <f t="shared" si="12"/>
        <v>7778.971964</v>
      </c>
      <c r="X405" s="59" t="str">
        <f t="shared" si="13"/>
        <v>2h 09m 38s</v>
      </c>
      <c r="Y405" s="69">
        <f t="shared" si="14"/>
        <v>987607077</v>
      </c>
      <c r="Z405" s="11"/>
      <c r="AG405" s="59"/>
    </row>
    <row r="406">
      <c r="A406" s="8"/>
      <c r="B406" s="56" t="str">
        <f t="shared" si="2"/>
        <v/>
      </c>
      <c r="C406" s="105"/>
      <c r="D406" s="10"/>
      <c r="E406" s="59" t="str">
        <f t="array" ref="E406">IF(COUNTA(C406:C1644)=0,"",SUM((COUNTIF(C$4:C406,Upgrades!$B$3:$B$13)-COUNTIF(C$4:C406,"Sell_"&amp;Upgrades!$B$3:$B$13))*Upgrades!$D$3:$D$13))</f>
        <v/>
      </c>
      <c r="F406" s="66" t="str">
        <f>IFERROR(__xludf.DUMMYFUNCTION("IF(COUNTA(C406:C1644)=0,"""",IF(REGEXMATCH(INDEX(FILTER(C$4:C406,C$4:C406&lt;&gt;""""),ROWS(FILTER(C$4:C406,C$4:C406&lt;&gt;""""))),""^Sell_""),INDEX(FILTER(F$4:F405,C$4:C405&lt;&gt;""""),ROWS(FILTER(C$4:C405,C$4:C405&lt;&gt;""""))),$AC$5+E406))"),"")</f>
        <v/>
      </c>
      <c r="G406" s="10" t="str">
        <f>IFERROR(__xludf.DUMMYFUNCTION("IF(COUNTA(C406:C1644)=0,"""",IF(C406="""",0,IF(REGEXMATCH(C406,""^Sell_""),-ROUNDDOWN(ROUNDUP(INDEX(Upgrades!$C$3:$C$13,MATCH(SUBSTITUTE(C406,""Sell_"",""""),Upgrades!$B$3:$B$13,0))*1.15^(COUNTIF(C$4:C405,SUBSTITUTE(C406,""Sell_"",""""))-COUNTIF(C$4:C405,"&amp;"""Sell_""&amp;SUBSTITUTE(C406,""Sell_"",""""))))/2),ROUNDUP(INDEX(Upgrades!$C$3:$C$13,MATCH(C406,Upgrades!$B$3:$B$13,0))*1.15^(COUNTIF(C$4:C405,C406)-COUNTIF(C$4:C405,""Sell_""&amp;C406))))))"),"")</f>
        <v/>
      </c>
      <c r="H406" s="10" t="str">
        <f t="shared" si="3"/>
        <v/>
      </c>
      <c r="I406" s="68" t="str">
        <f t="shared" si="4"/>
        <v/>
      </c>
      <c r="J406" s="59" t="str">
        <f t="shared" si="5"/>
        <v/>
      </c>
      <c r="K406" s="69" t="str">
        <f t="shared" si="6"/>
        <v/>
      </c>
      <c r="L406" s="60">
        <f t="shared" si="7"/>
        <v>-49.48674</v>
      </c>
      <c r="M406" s="61">
        <f>IFERROR(__xludf.DUMMYFUNCTION("IFS(AND(COUNTA(C406:C1644)=0,COUNTA(Q406:Q1644)=0),"""",OR(AND(K406&gt;=1000000000,OR(Y406&gt;=1000000000,COUNTA(Q406:Q1644)=0)),OR(Y406&gt;=1000000000,AND(COUNTA(C406:C1644)=0,P$3=TRUE))),
ROUNDDOWN((AB$1-AC$1)*MAX(INDEX(T$4:T1644,MATCH(LARGE(FILTER(Y$4:Y1644,Y$4"&amp;":Y1644&lt;1000000000),1),Y$4:Y1644)),INDEX(F$4:F1644,MATCH(LARGE(FILTER(K$4:K1644,K$4:K1644&lt;1000000000),1),K$4:K1644)))),AND(K406&lt;1000000000,COUNTA(C406:C1644)&gt;0,P$3=FALSE),
ROUNDDOWN(INDEX(Y$4:Y1644,MATCH(LARGE(FILTER(W$4:W1644,W$4:W1644&lt;=I406),1),W$4:W1644"&amp;"))+(I406-LARGE(FILTER(W$4:W1644,W$4:W1644&lt;=I406),1))*INDEX(T$4:T1644,MATCH(LARGE(FILTER(W$4:W1644,W$4:W1644&lt;=I406),1),W$4:W1644))-K406),1,
ROUNDDOWN(Y406-INDEX(K$4:K1644,MATCH(LARGE(FILTER(I$4:I1644,I$4:I1644&lt;=W406),1),I$4:I1644))-(W406-LARGE(FILTER(I$4:I"&amp;"1644,I$4:I1644&lt;=W406),1))*INDEX(F$4:F1644,MATCH(LARGE(FILTER(I$4:I1644,I$4:I1644&lt;=W406),1),I$4:I1644))))"),2.8071129E7)</f>
        <v>28071129</v>
      </c>
      <c r="N406" s="60">
        <f t="shared" si="8"/>
        <v>-49.48674</v>
      </c>
      <c r="O406" s="61" t="str">
        <f t="shared" si="9"/>
        <v>28,1M</v>
      </c>
      <c r="P406" s="56">
        <f t="shared" si="10"/>
        <v>28</v>
      </c>
      <c r="Q406" s="105" t="s">
        <v>5</v>
      </c>
      <c r="R406" s="10"/>
      <c r="S406" s="59">
        <f t="array" ref="S406">IF(COUNTA(Q406:Q1644)=0,"",SUM((COUNTIF(Q$4:Q406,Upgrades!$B$3:$B$13)-COUNTIF(Q$4:Q406,"Sell_"&amp;Upgrades!$B$3:$B$13))*Upgrades!$D$3:$D$13))</f>
        <v>558734.6</v>
      </c>
      <c r="T406" s="66">
        <f>IFERROR(__xludf.DUMMYFUNCTION("IF(COUNTA(Q406:Q1644)=0,"""",IF(REGEXMATCH(INDEX(FILTER(Q$4:Q406,Q$4:Q406&lt;&gt;""""),ROWS(FILTER(Q$4:Q406,Q$4:Q406&lt;&gt;""""))),""^Sell_""),INDEX(FILTER(T$4:T405,Q$4:Q405&lt;&gt;""""),ROWS(FILTER(Q$4:Q405,Q$4:Q405&lt;&gt;""""))),$AD$5+S406))"),558744.6)</f>
        <v>558744.6</v>
      </c>
      <c r="U406" s="10">
        <f>IFERROR(__xludf.DUMMYFUNCTION("IF(COUNTA(Q406:Q1644)=0,"""",IF(Q406="""",0,IF(REGEXMATCH(Q406,""^Sell_""),-ROUNDDOWN(ROUNDUP(INDEX(Upgrades!$C$3:$C$13,MATCH(SUBSTITUTE(Q406,""Sell_"",""""),Upgrades!$B$3:$B$13,0))*1.15^(COUNTIF(Q$4:Q405,SUBSTITUTE(Q406,""Sell_"",""""))-COUNTIF(Q$4:Q405,"&amp;"""Sell_""&amp;SUBSTITUTE(Q406,""Sell_"",""""))))/2),ROUNDUP(INDEX(Upgrades!$C$3:$C$13,MATCH(Q406,Upgrades!$B$3:$B$13,0))*1.15^(COUNTIF(Q$4:Q405,Q406)-COUNTIF(Q$4:Q405,""Sell_""&amp;Q406))))))"),21768.0)</f>
        <v>21768</v>
      </c>
      <c r="V406" s="10">
        <f t="shared" si="11"/>
        <v>21768</v>
      </c>
      <c r="W406" s="68">
        <f t="shared" si="12"/>
        <v>7779.010923</v>
      </c>
      <c r="X406" s="59" t="str">
        <f t="shared" si="13"/>
        <v>2h 09m 39s</v>
      </c>
      <c r="Y406" s="69">
        <f t="shared" si="14"/>
        <v>987628845</v>
      </c>
      <c r="Z406" s="11"/>
      <c r="AG406" s="59"/>
    </row>
    <row r="407">
      <c r="A407" s="8"/>
      <c r="B407" s="56" t="str">
        <f t="shared" si="2"/>
        <v/>
      </c>
      <c r="C407" s="105"/>
      <c r="D407" s="10"/>
      <c r="E407" s="59" t="str">
        <f t="array" ref="E407">IF(COUNTA(C407:C1644)=0,"",SUM((COUNTIF(C$4:C407,Upgrades!$B$3:$B$13)-COUNTIF(C$4:C407,"Sell_"&amp;Upgrades!$B$3:$B$13))*Upgrades!$D$3:$D$13))</f>
        <v/>
      </c>
      <c r="F407" s="66" t="str">
        <f>IFERROR(__xludf.DUMMYFUNCTION("IF(COUNTA(C407:C1644)=0,"""",IF(REGEXMATCH(INDEX(FILTER(C$4:C407,C$4:C407&lt;&gt;""""),ROWS(FILTER(C$4:C407,C$4:C407&lt;&gt;""""))),""^Sell_""),INDEX(FILTER(F$4:F406,C$4:C406&lt;&gt;""""),ROWS(FILTER(C$4:C406,C$4:C406&lt;&gt;""""))),$AC$5+E407))"),"")</f>
        <v/>
      </c>
      <c r="G407" s="10" t="str">
        <f>IFERROR(__xludf.DUMMYFUNCTION("IF(COUNTA(C407:C1644)=0,"""",IF(C407="""",0,IF(REGEXMATCH(C407,""^Sell_""),-ROUNDDOWN(ROUNDUP(INDEX(Upgrades!$C$3:$C$13,MATCH(SUBSTITUTE(C407,""Sell_"",""""),Upgrades!$B$3:$B$13,0))*1.15^(COUNTIF(C$4:C406,SUBSTITUTE(C407,""Sell_"",""""))-COUNTIF(C$4:C406,"&amp;"""Sell_""&amp;SUBSTITUTE(C407,""Sell_"",""""))))/2),ROUNDUP(INDEX(Upgrades!$C$3:$C$13,MATCH(C407,Upgrades!$B$3:$B$13,0))*1.15^(COUNTIF(C$4:C406,C407)-COUNTIF(C$4:C406,""Sell_""&amp;C407))))))"),"")</f>
        <v/>
      </c>
      <c r="H407" s="10" t="str">
        <f t="shared" si="3"/>
        <v/>
      </c>
      <c r="I407" s="68" t="str">
        <f t="shared" si="4"/>
        <v/>
      </c>
      <c r="J407" s="59" t="str">
        <f t="shared" si="5"/>
        <v/>
      </c>
      <c r="K407" s="69" t="str">
        <f t="shared" si="6"/>
        <v/>
      </c>
      <c r="L407" s="60">
        <f t="shared" si="7"/>
        <v>-49.48501</v>
      </c>
      <c r="M407" s="61">
        <f>IFERROR(__xludf.DUMMYFUNCTION("IFS(AND(COUNTA(C407:C1644)=0,COUNTA(Q407:Q1644)=0),"""",OR(AND(K407&gt;=1000000000,OR(Y407&gt;=1000000000,COUNTA(Q407:Q1644)=0)),OR(Y407&gt;=1000000000,AND(COUNTA(C407:C1644)=0,P$3=TRUE))),
ROUNDDOWN((AB$1-AC$1)*MAX(INDEX(T$4:T1644,MATCH(LARGE(FILTER(Y$4:Y1644,Y$4"&amp;":Y1644&lt;1000000000),1),Y$4:Y1644)),INDEX(F$4:F1644,MATCH(LARGE(FILTER(K$4:K1644,K$4:K1644&lt;1000000000),1),K$4:K1644)))),AND(K407&lt;1000000000,COUNTA(C407:C1644)&gt;0,P$3=FALSE),
ROUNDDOWN(INDEX(Y$4:Y1644,MATCH(LARGE(FILTER(W$4:W1644,W$4:W1644&lt;=I407),1),W$4:W1644"&amp;"))+(I407-LARGE(FILTER(W$4:W1644,W$4:W1644&lt;=I407),1))*INDEX(T$4:T1644,MATCH(LARGE(FILTER(W$4:W1644,W$4:W1644&lt;=I407),1),W$4:W1644))-K407),1,
ROUNDDOWN(Y407-INDEX(K$4:K1644,MATCH(LARGE(FILTER(I$4:I1644,I$4:I1644&lt;=W407),1),I$4:I1644))-(W407-LARGE(FILTER(I$4:I"&amp;"1644,I$4:I1644&lt;=W407),1))*INDEX(F$4:F1644,MATCH(LARGE(FILTER(I$4:I1644,I$4:I1644&lt;=W407),1),I$4:I1644))))"),2.8071062E7)</f>
        <v>28071062</v>
      </c>
      <c r="N407" s="60">
        <f t="shared" si="8"/>
        <v>-49.48501</v>
      </c>
      <c r="O407" s="61" t="str">
        <f t="shared" si="9"/>
        <v>28,1M</v>
      </c>
      <c r="P407" s="56">
        <f t="shared" si="10"/>
        <v>22</v>
      </c>
      <c r="Q407" s="105" t="s">
        <v>6</v>
      </c>
      <c r="R407" s="10"/>
      <c r="S407" s="59">
        <f t="array" ref="S407">IF(COUNTA(Q407:Q1644)=0,"",SUM((COUNTIF(Q$4:Q407,Upgrades!$B$3:$B$13)-COUNTIF(Q$4:Q407,"Sell_"&amp;Upgrades!$B$3:$B$13))*Upgrades!$D$3:$D$13))</f>
        <v>558744.6</v>
      </c>
      <c r="T407" s="66">
        <f>IFERROR(__xludf.DUMMYFUNCTION("IF(COUNTA(Q407:Q1644)=0,"""",IF(REGEXMATCH(INDEX(FILTER(Q$4:Q407,Q$4:Q407&lt;&gt;""""),ROWS(FILTER(Q$4:Q407,Q$4:Q407&lt;&gt;""""))),""^Sell_""),INDEX(FILTER(T$4:T406,Q$4:Q406&lt;&gt;""""),ROWS(FILTER(Q$4:Q406,Q$4:Q406&lt;&gt;""""))),$AD$5+S407))"),558754.6)</f>
        <v>558754.6</v>
      </c>
      <c r="U407" s="10">
        <f>IFERROR(__xludf.DUMMYFUNCTION("IF(COUNTA(Q407:Q1644)=0,"""",IF(Q407="""",0,IF(REGEXMATCH(Q407,""^Sell_""),-ROUNDDOWN(ROUNDUP(INDEX(Upgrades!$C$3:$C$13,MATCH(SUBSTITUTE(Q407,""Sell_"",""""),Upgrades!$B$3:$B$13,0))*1.15^(COUNTIF(Q$4:Q406,SUBSTITUTE(Q407,""Sell_"",""""))-COUNTIF(Q$4:Q406,"&amp;"""Sell_""&amp;SUBSTITUTE(Q407,""Sell_"",""""))))/2),ROUNDUP(INDEX(Upgrades!$C$3:$C$13,MATCH(Q407,Upgrades!$B$3:$B$13,0))*1.15^(COUNTIF(Q$4:Q406,Q407)-COUNTIF(Q$4:Q406,""Sell_""&amp;Q407))))))"),56465.0)</f>
        <v>56465</v>
      </c>
      <c r="V407" s="10">
        <f t="shared" si="11"/>
        <v>56465</v>
      </c>
      <c r="W407" s="68">
        <f t="shared" si="12"/>
        <v>7779.11198</v>
      </c>
      <c r="X407" s="59" t="str">
        <f t="shared" si="13"/>
        <v>2h 09m 39s</v>
      </c>
      <c r="Y407" s="69">
        <f t="shared" si="14"/>
        <v>987685310</v>
      </c>
      <c r="Z407" s="11"/>
      <c r="AG407" s="59"/>
    </row>
    <row r="408">
      <c r="A408" s="8"/>
      <c r="B408" s="56" t="str">
        <f t="shared" si="2"/>
        <v/>
      </c>
      <c r="C408" s="105"/>
      <c r="D408" s="10"/>
      <c r="E408" s="59" t="str">
        <f t="array" ref="E408">IF(COUNTA(C408:C1644)=0,"",SUM((COUNTIF(C$4:C408,Upgrades!$B$3:$B$13)-COUNTIF(C$4:C408,"Sell_"&amp;Upgrades!$B$3:$B$13))*Upgrades!$D$3:$D$13))</f>
        <v/>
      </c>
      <c r="F408" s="66" t="str">
        <f>IFERROR(__xludf.DUMMYFUNCTION("IF(COUNTA(C408:C1644)=0,"""",IF(REGEXMATCH(INDEX(FILTER(C$4:C408,C$4:C408&lt;&gt;""""),ROWS(FILTER(C$4:C408,C$4:C408&lt;&gt;""""))),""^Sell_""),INDEX(FILTER(F$4:F407,C$4:C407&lt;&gt;""""),ROWS(FILTER(C$4:C407,C$4:C407&lt;&gt;""""))),$AC$5+E408))"),"")</f>
        <v/>
      </c>
      <c r="G408" s="10" t="str">
        <f>IFERROR(__xludf.DUMMYFUNCTION("IF(COUNTA(C408:C1644)=0,"""",IF(C408="""",0,IF(REGEXMATCH(C408,""^Sell_""),-ROUNDDOWN(ROUNDUP(INDEX(Upgrades!$C$3:$C$13,MATCH(SUBSTITUTE(C408,""Sell_"",""""),Upgrades!$B$3:$B$13,0))*1.15^(COUNTIF(C$4:C407,SUBSTITUTE(C408,""Sell_"",""""))-COUNTIF(C$4:C407,"&amp;"""Sell_""&amp;SUBSTITUTE(C408,""Sell_"",""""))))/2),ROUNDUP(INDEX(Upgrades!$C$3:$C$13,MATCH(C408,Upgrades!$B$3:$B$13,0))*1.15^(COUNTIF(C$4:C407,C408)-COUNTIF(C$4:C407,""Sell_""&amp;C408))))))"),"")</f>
        <v/>
      </c>
      <c r="H408" s="10" t="str">
        <f t="shared" si="3"/>
        <v/>
      </c>
      <c r="I408" s="68" t="str">
        <f t="shared" si="4"/>
        <v/>
      </c>
      <c r="J408" s="59" t="str">
        <f t="shared" si="5"/>
        <v/>
      </c>
      <c r="K408" s="69" t="str">
        <f t="shared" si="6"/>
        <v/>
      </c>
      <c r="L408" s="60">
        <f t="shared" si="7"/>
        <v>-49.48499</v>
      </c>
      <c r="M408" s="61">
        <f>IFERROR(__xludf.DUMMYFUNCTION("IFS(AND(COUNTA(C408:C1644)=0,COUNTA(Q408:Q1644)=0),"""",OR(AND(K408&gt;=1000000000,OR(Y408&gt;=1000000000,COUNTA(Q408:Q1644)=0)),OR(Y408&gt;=1000000000,AND(COUNTA(C408:C1644)=0,P$3=TRUE))),
ROUNDDOWN((AB$1-AC$1)*MAX(INDEX(T$4:T1644,MATCH(LARGE(FILTER(Y$4:Y1644,Y$4"&amp;":Y1644&lt;1000000000),1),Y$4:Y1644)),INDEX(F$4:F1644,MATCH(LARGE(FILTER(K$4:K1644,K$4:K1644&lt;1000000000),1),K$4:K1644)))),AND(K408&lt;1000000000,COUNTA(C408:C1644)&gt;0,P$3=FALSE),
ROUNDDOWN(INDEX(Y$4:Y1644,MATCH(LARGE(FILTER(W$4:W1644,W$4:W1644&lt;=I408),1),W$4:W1644"&amp;"))+(I408-LARGE(FILTER(W$4:W1644,W$4:W1644&lt;=I408),1))*INDEX(T$4:T1644,MATCH(LARGE(FILTER(W$4:W1644,W$4:W1644&lt;=I408),1),W$4:W1644))-K408),1,
ROUNDDOWN(Y408-INDEX(K$4:K1644,MATCH(LARGE(FILTER(I$4:I1644,I$4:I1644&lt;=W408),1),I$4:I1644))-(W408-LARGE(FILTER(I$4:I"&amp;"1644,I$4:I1644&lt;=W408),1))*INDEX(F$4:F1644,MATCH(LARGE(FILTER(I$4:I1644,I$4:I1644&lt;=W408),1),I$4:I1644))))"),2.8071061E7)</f>
        <v>28071061</v>
      </c>
      <c r="N408" s="60">
        <f t="shared" si="8"/>
        <v>-49.48499</v>
      </c>
      <c r="O408" s="61" t="str">
        <f t="shared" si="9"/>
        <v>28,1M</v>
      </c>
      <c r="P408" s="56">
        <f t="shared" si="10"/>
        <v>27</v>
      </c>
      <c r="Q408" s="105" t="s">
        <v>3</v>
      </c>
      <c r="R408" s="10"/>
      <c r="S408" s="59">
        <f t="array" ref="S408">IF(COUNTA(Q408:Q1644)=0,"",SUM((COUNTIF(Q$4:Q408,Upgrades!$B$3:$B$13)-COUNTIF(Q$4:Q408,"Sell_"&amp;Upgrades!$B$3:$B$13))*Upgrades!$D$3:$D$13))</f>
        <v>558744.7</v>
      </c>
      <c r="T408" s="66">
        <f>IFERROR(__xludf.DUMMYFUNCTION("IF(COUNTA(Q408:Q1644)=0,"""",IF(REGEXMATCH(INDEX(FILTER(Q$4:Q408,Q$4:Q408&lt;&gt;""""),ROWS(FILTER(Q$4:Q408,Q$4:Q408&lt;&gt;""""))),""^Sell_""),INDEX(FILTER(T$4:T407,Q$4:Q407&lt;&gt;""""),ROWS(FILTER(Q$4:Q407,Q$4:Q407&lt;&gt;""""))),$AD$5+S408))"),558754.7)</f>
        <v>558754.7</v>
      </c>
      <c r="U408" s="10">
        <f>IFERROR(__xludf.DUMMYFUNCTION("IF(COUNTA(Q408:Q1644)=0,"""",IF(Q408="""",0,IF(REGEXMATCH(Q408,""^Sell_""),-ROUNDDOWN(ROUNDUP(INDEX(Upgrades!$C$3:$C$13,MATCH(SUBSTITUTE(Q408,""Sell_"",""""),Upgrades!$B$3:$B$13,0))*1.15^(COUNTIF(Q$4:Q407,SUBSTITUTE(Q408,""Sell_"",""""))-COUNTIF(Q$4:Q407,"&amp;"""Sell_""&amp;SUBSTITUTE(Q408,""Sell_"",""""))))/2),ROUNDUP(INDEX(Upgrades!$C$3:$C$13,MATCH(Q408,Upgrades!$B$3:$B$13,0))*1.15^(COUNTIF(Q$4:Q407,Q408)-COUNTIF(Q$4:Q407,""Sell_""&amp;Q408))))))"),568.0)</f>
        <v>568</v>
      </c>
      <c r="V408" s="10">
        <f t="shared" si="11"/>
        <v>568</v>
      </c>
      <c r="W408" s="68">
        <f t="shared" si="12"/>
        <v>7779.112996</v>
      </c>
      <c r="X408" s="59" t="str">
        <f t="shared" si="13"/>
        <v>2h 09m 39s</v>
      </c>
      <c r="Y408" s="69">
        <f t="shared" si="14"/>
        <v>987685878</v>
      </c>
      <c r="Z408" s="11"/>
      <c r="AG408" s="59"/>
    </row>
    <row r="409">
      <c r="A409" s="8"/>
      <c r="B409" s="56" t="str">
        <f t="shared" si="2"/>
        <v/>
      </c>
      <c r="C409" s="105"/>
      <c r="D409" s="10"/>
      <c r="E409" s="59" t="str">
        <f t="array" ref="E409">IF(COUNTA(C409:C1644)=0,"",SUM((COUNTIF(C$4:C409,Upgrades!$B$3:$B$13)-COUNTIF(C$4:C409,"Sell_"&amp;Upgrades!$B$3:$B$13))*Upgrades!$D$3:$D$13))</f>
        <v/>
      </c>
      <c r="F409" s="66" t="str">
        <f>IFERROR(__xludf.DUMMYFUNCTION("IF(COUNTA(C409:C1644)=0,"""",IF(REGEXMATCH(INDEX(FILTER(C$4:C409,C$4:C409&lt;&gt;""""),ROWS(FILTER(C$4:C409,C$4:C409&lt;&gt;""""))),""^Sell_""),INDEX(FILTER(F$4:F408,C$4:C408&lt;&gt;""""),ROWS(FILTER(C$4:C408,C$4:C408&lt;&gt;""""))),$AC$5+E409))"),"")</f>
        <v/>
      </c>
      <c r="G409" s="10" t="str">
        <f>IFERROR(__xludf.DUMMYFUNCTION("IF(COUNTA(C409:C1644)=0,"""",IF(C409="""",0,IF(REGEXMATCH(C409,""^Sell_""),-ROUNDDOWN(ROUNDUP(INDEX(Upgrades!$C$3:$C$13,MATCH(SUBSTITUTE(C409,""Sell_"",""""),Upgrades!$B$3:$B$13,0))*1.15^(COUNTIF(C$4:C408,SUBSTITUTE(C409,""Sell_"",""""))-COUNTIF(C$4:C408,"&amp;"""Sell_""&amp;SUBSTITUTE(C409,""Sell_"",""""))))/2),ROUNDUP(INDEX(Upgrades!$C$3:$C$13,MATCH(C409,Upgrades!$B$3:$B$13,0))*1.15^(COUNTIF(C$4:C408,C409)-COUNTIF(C$4:C408,""Sell_""&amp;C409))))))"),"")</f>
        <v/>
      </c>
      <c r="H409" s="10" t="str">
        <f t="shared" si="3"/>
        <v/>
      </c>
      <c r="I409" s="68" t="str">
        <f t="shared" si="4"/>
        <v/>
      </c>
      <c r="J409" s="59" t="str">
        <f t="shared" si="5"/>
        <v/>
      </c>
      <c r="K409" s="69" t="str">
        <f t="shared" si="6"/>
        <v/>
      </c>
      <c r="L409" s="60">
        <f t="shared" si="7"/>
        <v>-49.46757</v>
      </c>
      <c r="M409" s="61">
        <f>IFERROR(__xludf.DUMMYFUNCTION("IFS(AND(COUNTA(C409:C1644)=0,COUNTA(Q409:Q1644)=0),"""",OR(AND(K409&gt;=1000000000,OR(Y409&gt;=1000000000,COUNTA(Q409:Q1644)=0)),OR(Y409&gt;=1000000000,AND(COUNTA(C409:C1644)=0,P$3=TRUE))),
ROUNDDOWN((AB$1-AC$1)*MAX(INDEX(T$4:T1644,MATCH(LARGE(FILTER(Y$4:Y1644,Y$4"&amp;":Y1644&lt;1000000000),1),Y$4:Y1644)),INDEX(F$4:F1644,MATCH(LARGE(FILTER(K$4:K1644,K$4:K1644&lt;1000000000),1),K$4:K1644)))),AND(K409&lt;1000000000,COUNTA(C409:C1644)&gt;0,P$3=FALSE),
ROUNDDOWN(INDEX(Y$4:Y1644,MATCH(LARGE(FILTER(W$4:W1644,W$4:W1644&lt;=I409),1),W$4:W1644"&amp;"))+(I409-LARGE(FILTER(W$4:W1644,W$4:W1644&lt;=I409),1))*INDEX(T$4:T1644,MATCH(LARGE(FILTER(W$4:W1644,W$4:W1644&lt;=I409),1),W$4:W1644))-K409),1,
ROUNDDOWN(Y409-INDEX(K$4:K1644,MATCH(LARGE(FILTER(I$4:I1644,I$4:I1644&lt;=W409),1),I$4:I1644))-(W409-LARGE(FILTER(I$4:I"&amp;"1644,I$4:I1644&lt;=W409),1))*INDEX(F$4:F1644,MATCH(LARGE(FILTER(I$4:I1644,I$4:I1644&lt;=W409),1),I$4:I1644))))"),2.8067655E7)</f>
        <v>28067655</v>
      </c>
      <c r="N409" s="60">
        <f t="shared" si="8"/>
        <v>-49.46757</v>
      </c>
      <c r="O409" s="61" t="str">
        <f t="shared" si="9"/>
        <v>28,1M</v>
      </c>
      <c r="P409" s="56">
        <f t="shared" si="10"/>
        <v>20</v>
      </c>
      <c r="Q409" s="105" t="s">
        <v>8</v>
      </c>
      <c r="R409" s="10"/>
      <c r="S409" s="59">
        <f t="array" ref="S409">IF(COUNTA(Q409:Q1644)=0,"",SUM((COUNTIF(Q$4:Q409,Upgrades!$B$3:$B$13)-COUNTIF(Q$4:Q409,"Sell_"&amp;Upgrades!$B$3:$B$13))*Upgrades!$D$3:$D$13))</f>
        <v>558844.7</v>
      </c>
      <c r="T409" s="66">
        <f>IFERROR(__xludf.DUMMYFUNCTION("IF(COUNTA(Q409:Q1644)=0,"""",IF(REGEXMATCH(INDEX(FILTER(Q$4:Q409,Q$4:Q409&lt;&gt;""""),ROWS(FILTER(Q$4:Q409,Q$4:Q409&lt;&gt;""""))),""^Sell_""),INDEX(FILTER(T$4:T408,Q$4:Q408&lt;&gt;""""),ROWS(FILTER(Q$4:Q408,Q$4:Q408&lt;&gt;""""))),$AD$5+S409))"),558854.7)</f>
        <v>558854.7</v>
      </c>
      <c r="U409" s="10">
        <f>IFERROR(__xludf.DUMMYFUNCTION("IF(COUNTA(Q409:Q1644)=0,"""",IF(Q409="""",0,IF(REGEXMATCH(Q409,""^Sell_""),-ROUNDDOWN(ROUNDUP(INDEX(Upgrades!$C$3:$C$13,MATCH(SUBSTITUTE(Q409,""Sell_"",""""),Upgrades!$B$3:$B$13,0))*1.15^(COUNTIF(Q$4:Q408,SUBSTITUTE(Q409,""Sell_"",""""))-COUNTIF(Q$4:Q408,"&amp;"""Sell_""&amp;SUBSTITUTE(Q409,""Sell_"",""""))))/2),ROUNDUP(INDEX(Upgrades!$C$3:$C$13,MATCH(Q409,Upgrades!$B$3:$B$13,0))*1.15^(COUNTIF(Q$4:Q408,Q409)-COUNTIF(Q$4:Q408,""Sell_""&amp;Q409))))))"),569271.0)</f>
        <v>569271</v>
      </c>
      <c r="V409" s="10">
        <f t="shared" si="11"/>
        <v>569271</v>
      </c>
      <c r="W409" s="68">
        <f t="shared" si="12"/>
        <v>7780.131817</v>
      </c>
      <c r="X409" s="59" t="str">
        <f t="shared" si="13"/>
        <v>2h 09m 40s</v>
      </c>
      <c r="Y409" s="69">
        <f t="shared" si="14"/>
        <v>988255149</v>
      </c>
      <c r="Z409" s="11"/>
      <c r="AG409" s="59"/>
    </row>
    <row r="410">
      <c r="A410" s="8"/>
      <c r="B410" s="56" t="str">
        <f t="shared" si="2"/>
        <v/>
      </c>
      <c r="C410" s="105"/>
      <c r="D410" s="10"/>
      <c r="E410" s="59" t="str">
        <f t="array" ref="E410">IF(COUNTA(C410:C1644)=0,"",SUM((COUNTIF(C$4:C410,Upgrades!$B$3:$B$13)-COUNTIF(C$4:C410,"Sell_"&amp;Upgrades!$B$3:$B$13))*Upgrades!$D$3:$D$13))</f>
        <v/>
      </c>
      <c r="F410" s="66" t="str">
        <f>IFERROR(__xludf.DUMMYFUNCTION("IF(COUNTA(C410:C1644)=0,"""",IF(REGEXMATCH(INDEX(FILTER(C$4:C410,C$4:C410&lt;&gt;""""),ROWS(FILTER(C$4:C410,C$4:C410&lt;&gt;""""))),""^Sell_""),INDEX(FILTER(F$4:F409,C$4:C409&lt;&gt;""""),ROWS(FILTER(C$4:C409,C$4:C409&lt;&gt;""""))),$AC$5+E410))"),"")</f>
        <v/>
      </c>
      <c r="G410" s="10" t="str">
        <f>IFERROR(__xludf.DUMMYFUNCTION("IF(COUNTA(C410:C1644)=0,"""",IF(C410="""",0,IF(REGEXMATCH(C410,""^Sell_""),-ROUNDDOWN(ROUNDUP(INDEX(Upgrades!$C$3:$C$13,MATCH(SUBSTITUTE(C410,""Sell_"",""""),Upgrades!$B$3:$B$13,0))*1.15^(COUNTIF(C$4:C409,SUBSTITUTE(C410,""Sell_"",""""))-COUNTIF(C$4:C409,"&amp;"""Sell_""&amp;SUBSTITUTE(C410,""Sell_"",""""))))/2),ROUNDUP(INDEX(Upgrades!$C$3:$C$13,MATCH(C410,Upgrades!$B$3:$B$13,0))*1.15^(COUNTIF(C$4:C409,C410)-COUNTIF(C$4:C409,""Sell_""&amp;C410))))))"),"")</f>
        <v/>
      </c>
      <c r="H410" s="10" t="str">
        <f t="shared" si="3"/>
        <v/>
      </c>
      <c r="I410" s="68" t="str">
        <f t="shared" si="4"/>
        <v/>
      </c>
      <c r="J410" s="59" t="str">
        <f t="shared" si="5"/>
        <v/>
      </c>
      <c r="K410" s="69" t="str">
        <f t="shared" si="6"/>
        <v/>
      </c>
      <c r="L410" s="60">
        <f t="shared" si="7"/>
        <v>-49.46748</v>
      </c>
      <c r="M410" s="61">
        <f>IFERROR(__xludf.DUMMYFUNCTION("IFS(AND(COUNTA(C410:C1644)=0,COUNTA(Q410:Q1644)=0),"""",OR(AND(K410&gt;=1000000000,OR(Y410&gt;=1000000000,COUNTA(Q410:Q1644)=0)),OR(Y410&gt;=1000000000,AND(COUNTA(C410:C1644)=0,P$3=TRUE))),
ROUNDDOWN((AB$1-AC$1)*MAX(INDEX(T$4:T1644,MATCH(LARGE(FILTER(Y$4:Y1644,Y$4"&amp;":Y1644&lt;1000000000),1),Y$4:Y1644)),INDEX(F$4:F1644,MATCH(LARGE(FILTER(K$4:K1644,K$4:K1644&lt;1000000000),1),K$4:K1644)))),AND(K410&lt;1000000000,COUNTA(C410:C1644)&gt;0,P$3=FALSE),
ROUNDDOWN(INDEX(Y$4:Y1644,MATCH(LARGE(FILTER(W$4:W1644,W$4:W1644&lt;=I410),1),W$4:W1644"&amp;"))+(I410-LARGE(FILTER(W$4:W1644,W$4:W1644&lt;=I410),1))*INDEX(T$4:T1644,MATCH(LARGE(FILTER(W$4:W1644,W$4:W1644&lt;=I410),1),W$4:W1644))-K410),1,
ROUNDDOWN(Y410-INDEX(K$4:K1644,MATCH(LARGE(FILTER(I$4:I1644,I$4:I1644&lt;=W410),1),I$4:I1644))-(W410-LARGE(FILTER(I$4:I"&amp;"1644,I$4:I1644&lt;=W410),1))*INDEX(F$4:F1644,MATCH(LARGE(FILTER(I$4:I1644,I$4:I1644&lt;=W410),1),I$4:I1644))))"),2.8067618E7)</f>
        <v>28067618</v>
      </c>
      <c r="N410" s="60">
        <f t="shared" si="8"/>
        <v>-49.46748</v>
      </c>
      <c r="O410" s="61" t="str">
        <f t="shared" si="9"/>
        <v>28,1M</v>
      </c>
      <c r="P410" s="56">
        <f t="shared" si="10"/>
        <v>25</v>
      </c>
      <c r="Q410" s="105" t="s">
        <v>4</v>
      </c>
      <c r="R410" s="10"/>
      <c r="S410" s="59">
        <f t="array" ref="S410">IF(COUNTA(Q410:Q1644)=0,"",SUM((COUNTIF(Q$4:Q410,Upgrades!$B$3:$B$13)-COUNTIF(Q$4:Q410,"Sell_"&amp;Upgrades!$B$3:$B$13))*Upgrades!$D$3:$D$13))</f>
        <v>558845.2</v>
      </c>
      <c r="T410" s="66">
        <f>IFERROR(__xludf.DUMMYFUNCTION("IF(COUNTA(Q410:Q1644)=0,"""",IF(REGEXMATCH(INDEX(FILTER(Q$4:Q410,Q$4:Q410&lt;&gt;""""),ROWS(FILTER(Q$4:Q410,Q$4:Q410&lt;&gt;""""))),""^Sell_""),INDEX(FILTER(T$4:T409,Q$4:Q409&lt;&gt;""""),ROWS(FILTER(Q$4:Q409,Q$4:Q409&lt;&gt;""""))),$AD$5+S410))"),558855.2)</f>
        <v>558855.2</v>
      </c>
      <c r="U410" s="10">
        <f>IFERROR(__xludf.DUMMYFUNCTION("IF(COUNTA(Q410:Q1644)=0,"""",IF(Q410="""",0,IF(REGEXMATCH(Q410,""^Sell_""),-ROUNDDOWN(ROUNDUP(INDEX(Upgrades!$C$3:$C$13,MATCH(SUBSTITUTE(Q410,""Sell_"",""""),Upgrades!$B$3:$B$13,0))*1.15^(COUNTIF(Q$4:Q409,SUBSTITUTE(Q410,""Sell_"",""""))-COUNTIF(Q$4:Q409,"&amp;"""Sell_""&amp;SUBSTITUTE(Q410,""Sell_"",""""))))/2),ROUNDUP(INDEX(Upgrades!$C$3:$C$13,MATCH(Q410,Upgrades!$B$3:$B$13,0))*1.15^(COUNTIF(Q$4:Q409,Q410)-COUNTIF(Q$4:Q409,""Sell_""&amp;Q410))))))"),2863.0)</f>
        <v>2863</v>
      </c>
      <c r="V410" s="10">
        <f t="shared" si="11"/>
        <v>2863</v>
      </c>
      <c r="W410" s="68">
        <f t="shared" si="12"/>
        <v>7780.13694</v>
      </c>
      <c r="X410" s="59" t="str">
        <f t="shared" si="13"/>
        <v>2h 09m 40s</v>
      </c>
      <c r="Y410" s="69">
        <f t="shared" si="14"/>
        <v>988258012</v>
      </c>
      <c r="Z410" s="11"/>
      <c r="AG410" s="59"/>
    </row>
    <row r="411">
      <c r="A411" s="8"/>
      <c r="B411" s="56" t="str">
        <f t="shared" si="2"/>
        <v/>
      </c>
      <c r="C411" s="105"/>
      <c r="D411" s="10"/>
      <c r="E411" s="59" t="str">
        <f t="array" ref="E411">IF(COUNTA(C411:C1644)=0,"",SUM((COUNTIF(C$4:C411,Upgrades!$B$3:$B$13)-COUNTIF(C$4:C411,"Sell_"&amp;Upgrades!$B$3:$B$13))*Upgrades!$D$3:$D$13))</f>
        <v/>
      </c>
      <c r="F411" s="66" t="str">
        <f>IFERROR(__xludf.DUMMYFUNCTION("IF(COUNTA(C411:C1644)=0,"""",IF(REGEXMATCH(INDEX(FILTER(C$4:C411,C$4:C411&lt;&gt;""""),ROWS(FILTER(C$4:C411,C$4:C411&lt;&gt;""""))),""^Sell_""),INDEX(FILTER(F$4:F410,C$4:C410&lt;&gt;""""),ROWS(FILTER(C$4:C410,C$4:C410&lt;&gt;""""))),$AC$5+E411))"),"")</f>
        <v/>
      </c>
      <c r="G411" s="10" t="str">
        <f>IFERROR(__xludf.DUMMYFUNCTION("IF(COUNTA(C411:C1644)=0,"""",IF(C411="""",0,IF(REGEXMATCH(C411,""^Sell_""),-ROUNDDOWN(ROUNDUP(INDEX(Upgrades!$C$3:$C$13,MATCH(SUBSTITUTE(C411,""Sell_"",""""),Upgrades!$B$3:$B$13,0))*1.15^(COUNTIF(C$4:C410,SUBSTITUTE(C411,""Sell_"",""""))-COUNTIF(C$4:C410,"&amp;"""Sell_""&amp;SUBSTITUTE(C411,""Sell_"",""""))))/2),ROUNDUP(INDEX(Upgrades!$C$3:$C$13,MATCH(C411,Upgrades!$B$3:$B$13,0))*1.15^(COUNTIF(C$4:C410,C411)-COUNTIF(C$4:C410,""Sell_""&amp;C411))))))"),"")</f>
        <v/>
      </c>
      <c r="H411" s="10" t="str">
        <f t="shared" si="3"/>
        <v/>
      </c>
      <c r="I411" s="68" t="str">
        <f t="shared" si="4"/>
        <v/>
      </c>
      <c r="J411" s="59" t="str">
        <f t="shared" si="5"/>
        <v/>
      </c>
      <c r="K411" s="69" t="str">
        <f t="shared" si="6"/>
        <v/>
      </c>
      <c r="L411" s="60">
        <f t="shared" si="7"/>
        <v>-49.39253</v>
      </c>
      <c r="M411" s="61">
        <f>IFERROR(__xludf.DUMMYFUNCTION("IFS(AND(COUNTA(C411:C1644)=0,COUNTA(Q411:Q1644)=0),"""",OR(AND(K411&gt;=1000000000,OR(Y411&gt;=1000000000,COUNTA(Q411:Q1644)=0)),OR(Y411&gt;=1000000000,AND(COUNTA(C411:C1644)=0,P$3=TRUE))),
ROUNDDOWN((AB$1-AC$1)*MAX(INDEX(T$4:T1644,MATCH(LARGE(FILTER(Y$4:Y1644,Y$4"&amp;":Y1644&lt;1000000000),1),Y$4:Y1644)),INDEX(F$4:F1644,MATCH(LARGE(FILTER(K$4:K1644,K$4:K1644&lt;1000000000),1),K$4:K1644)))),AND(K411&lt;1000000000,COUNTA(C411:C1644)&gt;0,P$3=FALSE),
ROUNDDOWN(INDEX(Y$4:Y1644,MATCH(LARGE(FILTER(W$4:W1644,W$4:W1644&lt;=I411),1),W$4:W1644"&amp;"))+(I411-LARGE(FILTER(W$4:W1644,W$4:W1644&lt;=I411),1))*INDEX(T$4:T1644,MATCH(LARGE(FILTER(W$4:W1644,W$4:W1644&lt;=I411),1),W$4:W1644))-K411),1,
ROUNDDOWN(Y411-INDEX(K$4:K1644,MATCH(LARGE(FILTER(I$4:I1644,I$4:I1644&lt;=W411),1),I$4:I1644))-(W411-LARGE(FILTER(I$4:I"&amp;"1644,I$4:I1644&lt;=W411),1))*INDEX(F$4:F1644,MATCH(LARGE(FILTER(I$4:I1644,I$4:I1644&lt;=W411),1),I$4:I1644))))"),2.8035639E7)</f>
        <v>28035639</v>
      </c>
      <c r="N411" s="60">
        <f t="shared" si="8"/>
        <v>-49.39253</v>
      </c>
      <c r="O411" s="61" t="str">
        <f t="shared" si="9"/>
        <v>28,0M</v>
      </c>
      <c r="P411" s="56">
        <f t="shared" si="10"/>
        <v>19</v>
      </c>
      <c r="Q411" s="105" t="s">
        <v>9</v>
      </c>
      <c r="R411" s="10"/>
      <c r="S411" s="59">
        <f t="array" ref="S411">IF(COUNTA(Q411:Q1644)=0,"",SUM((COUNTIF(Q$4:Q411,Upgrades!$B$3:$B$13)-COUNTIF(Q$4:Q411,"Sell_"&amp;Upgrades!$B$3:$B$13))*Upgrades!$D$3:$D$13))</f>
        <v>559245.2</v>
      </c>
      <c r="T411" s="66">
        <f>IFERROR(__xludf.DUMMYFUNCTION("IF(COUNTA(Q411:Q1644)=0,"""",IF(REGEXMATCH(INDEX(FILTER(Q$4:Q411,Q$4:Q411&lt;&gt;""""),ROWS(FILTER(Q$4:Q411,Q$4:Q411&lt;&gt;""""))),""^Sell_""),INDEX(FILTER(T$4:T410,Q$4:Q410&lt;&gt;""""),ROWS(FILTER(Q$4:Q410,Q$4:Q410&lt;&gt;""""))),$AD$5+S411))"),559255.2)</f>
        <v>559255.2</v>
      </c>
      <c r="U411" s="10">
        <f>IFERROR(__xludf.DUMMYFUNCTION("IF(COUNTA(Q411:Q1644)=0,"""",IF(Q411="""",0,IF(REGEXMATCH(Q411,""^Sell_""),-ROUNDDOWN(ROUNDUP(INDEX(Upgrades!$C$3:$C$13,MATCH(SUBSTITUTE(Q411,""Sell_"",""""),Upgrades!$B$3:$B$13,0))*1.15^(COUNTIF(Q$4:Q410,SUBSTITUTE(Q411,""Sell_"",""""))-COUNTIF(Q$4:Q410,"&amp;"""Sell_""&amp;SUBSTITUTE(Q411,""Sell_"",""""))))/2),ROUNDUP(INDEX(Upgrades!$C$3:$C$13,MATCH(Q411,Upgrades!$B$3:$B$13,0))*1.15^(COUNTIF(Q$4:Q410,Q411)-COUNTIF(Q$4:Q410,""Sell_""&amp;Q411))))))"),2475091.0)</f>
        <v>2475091</v>
      </c>
      <c r="V411" s="10">
        <f t="shared" si="11"/>
        <v>2475091</v>
      </c>
      <c r="W411" s="68">
        <f t="shared" si="12"/>
        <v>7784.5658</v>
      </c>
      <c r="X411" s="59" t="str">
        <f t="shared" si="13"/>
        <v>2h 09m 44s</v>
      </c>
      <c r="Y411" s="69">
        <f t="shared" si="14"/>
        <v>990733103</v>
      </c>
      <c r="Z411" s="11"/>
      <c r="AG411" s="59"/>
    </row>
    <row r="412">
      <c r="A412" s="8"/>
      <c r="B412" s="56" t="str">
        <f t="shared" si="2"/>
        <v/>
      </c>
      <c r="C412" s="105"/>
      <c r="D412" s="10"/>
      <c r="E412" s="59" t="str">
        <f t="array" ref="E412">IF(COUNTA(C412:C1644)=0,"",SUM((COUNTIF(C$4:C412,Upgrades!$B$3:$B$13)-COUNTIF(C$4:C412,"Sell_"&amp;Upgrades!$B$3:$B$13))*Upgrades!$D$3:$D$13))</f>
        <v/>
      </c>
      <c r="F412" s="66" t="str">
        <f>IFERROR(__xludf.DUMMYFUNCTION("IF(COUNTA(C412:C1644)=0,"""",IF(REGEXMATCH(INDEX(FILTER(C$4:C412,C$4:C412&lt;&gt;""""),ROWS(FILTER(C$4:C412,C$4:C412&lt;&gt;""""))),""^Sell_""),INDEX(FILTER(F$4:F411,C$4:C411&lt;&gt;""""),ROWS(FILTER(C$4:C411,C$4:C411&lt;&gt;""""))),$AC$5+E412))"),"")</f>
        <v/>
      </c>
      <c r="G412" s="10" t="str">
        <f>IFERROR(__xludf.DUMMYFUNCTION("IF(COUNTA(C412:C1644)=0,"""",IF(C412="""",0,IF(REGEXMATCH(C412,""^Sell_""),-ROUNDDOWN(ROUNDUP(INDEX(Upgrades!$C$3:$C$13,MATCH(SUBSTITUTE(C412,""Sell_"",""""),Upgrades!$B$3:$B$13,0))*1.15^(COUNTIF(C$4:C411,SUBSTITUTE(C412,""Sell_"",""""))-COUNTIF(C$4:C411,"&amp;"""Sell_""&amp;SUBSTITUTE(C412,""Sell_"",""""))))/2),ROUNDUP(INDEX(Upgrades!$C$3:$C$13,MATCH(C412,Upgrades!$B$3:$B$13,0))*1.15^(COUNTIF(C$4:C411,C412)-COUNTIF(C$4:C411,""Sell_""&amp;C412))))))"),"")</f>
        <v/>
      </c>
      <c r="H412" s="10" t="str">
        <f t="shared" si="3"/>
        <v/>
      </c>
      <c r="I412" s="68" t="str">
        <f t="shared" si="4"/>
        <v/>
      </c>
      <c r="J412" s="59" t="str">
        <f t="shared" si="5"/>
        <v/>
      </c>
      <c r="K412" s="69" t="str">
        <f t="shared" si="6"/>
        <v/>
      </c>
      <c r="L412" s="60">
        <f t="shared" si="7"/>
        <v>-49.38531</v>
      </c>
      <c r="M412" s="61">
        <f>IFERROR(__xludf.DUMMYFUNCTION("IFS(AND(COUNTA(C412:C1644)=0,COUNTA(Q412:Q1644)=0),"""",OR(AND(K412&gt;=1000000000,OR(Y412&gt;=1000000000,COUNTA(Q412:Q1644)=0)),OR(Y412&gt;=1000000000,AND(COUNTA(C412:C1644)=0,P$3=TRUE))),
ROUNDDOWN((AB$1-AC$1)*MAX(INDEX(T$4:T1644,MATCH(LARGE(FILTER(Y$4:Y1644,Y$4"&amp;":Y1644&lt;1000000000),1),Y$4:Y1644)),INDEX(F$4:F1644,MATCH(LARGE(FILTER(K$4:K1644,K$4:K1644&lt;1000000000),1),K$4:K1644)))),AND(K412&lt;1000000000,COUNTA(C412:C1644)&gt;0,P$3=FALSE),
ROUNDDOWN(INDEX(Y$4:Y1644,MATCH(LARGE(FILTER(W$4:W1644,W$4:W1644&lt;=I412),1),W$4:W1644"&amp;"))+(I412-LARGE(FILTER(W$4:W1644,W$4:W1644&lt;=I412),1))*INDEX(T$4:T1644,MATCH(LARGE(FILTER(W$4:W1644,W$4:W1644&lt;=I412),1),W$4:W1644))-K412),1,
ROUNDDOWN(Y412-INDEX(K$4:K1644,MATCH(LARGE(FILTER(I$4:I1644,I$4:I1644&lt;=W412),1),I$4:I1644))-(W412-LARGE(FILTER(I$4:I"&amp;"1644,I$4:I1644&lt;=W412),1))*INDEX(F$4:F1644,MATCH(LARGE(FILTER(I$4:I1644,I$4:I1644&lt;=W412),1),I$4:I1644))))"),2.8032498E7)</f>
        <v>28032498</v>
      </c>
      <c r="N412" s="60">
        <f t="shared" si="8"/>
        <v>-49.38531</v>
      </c>
      <c r="O412" s="61" t="str">
        <f t="shared" si="9"/>
        <v>28,0M</v>
      </c>
      <c r="P412" s="56">
        <f t="shared" si="10"/>
        <v>24</v>
      </c>
      <c r="Q412" s="105" t="s">
        <v>7</v>
      </c>
      <c r="R412" s="10"/>
      <c r="S412" s="59">
        <f t="array" ref="S412">IF(COUNTA(Q412:Q1644)=0,"",SUM((COUNTIF(Q$4:Q412,Upgrades!$B$3:$B$13)-COUNTIF(Q$4:Q412,"Sell_"&amp;Upgrades!$B$3:$B$13))*Upgrades!$D$3:$D$13))</f>
        <v>559285.2</v>
      </c>
      <c r="T412" s="66">
        <f>IFERROR(__xludf.DUMMYFUNCTION("IF(COUNTA(Q412:Q1644)=0,"""",IF(REGEXMATCH(INDEX(FILTER(Q$4:Q412,Q$4:Q412&lt;&gt;""""),ROWS(FILTER(Q$4:Q412,Q$4:Q412&lt;&gt;""""))),""^Sell_""),INDEX(FILTER(T$4:T411,Q$4:Q411&lt;&gt;""""),ROWS(FILTER(Q$4:Q411,Q$4:Q411&lt;&gt;""""))),$AD$5+S412))"),559295.2)</f>
        <v>559295.2</v>
      </c>
      <c r="U412" s="10">
        <f>IFERROR(__xludf.DUMMYFUNCTION("IF(COUNTA(Q412:Q1644)=0,"""",IF(Q412="""",0,IF(REGEXMATCH(Q412,""^Sell_""),-ROUNDDOWN(ROUNDUP(INDEX(Upgrades!$C$3:$C$13,MATCH(SUBSTITUTE(Q412,""Sell_"",""""),Upgrades!$B$3:$B$13,0))*1.15^(COUNTIF(Q$4:Q411,SUBSTITUTE(Q412,""Sell_"",""""))-COUNTIF(Q$4:Q411,"&amp;"""Sell_""&amp;SUBSTITUTE(Q412,""Sell_"",""""))))/2),ROUNDUP(INDEX(Upgrades!$C$3:$C$13,MATCH(Q412,Upgrades!$B$3:$B$13,0))*1.15^(COUNTIF(Q$4:Q411,Q412)-COUNTIF(Q$4:Q411,""Sell_""&amp;Q412))))))"),248915.0)</f>
        <v>248915</v>
      </c>
      <c r="V412" s="10">
        <f t="shared" si="11"/>
        <v>248915</v>
      </c>
      <c r="W412" s="68">
        <f t="shared" si="12"/>
        <v>7785.010883</v>
      </c>
      <c r="X412" s="59" t="str">
        <f t="shared" si="13"/>
        <v>2h 09m 45s</v>
      </c>
      <c r="Y412" s="69">
        <f t="shared" si="14"/>
        <v>990982018</v>
      </c>
      <c r="Z412" s="11"/>
      <c r="AG412" s="59"/>
    </row>
    <row r="413">
      <c r="A413" s="8"/>
      <c r="B413" s="56" t="str">
        <f t="shared" si="2"/>
        <v/>
      </c>
      <c r="C413" s="105"/>
      <c r="D413" s="10"/>
      <c r="E413" s="59" t="str">
        <f t="array" ref="E413">IF(COUNTA(C413:C1644)=0,"",SUM((COUNTIF(C$4:C413,Upgrades!$B$3:$B$13)-COUNTIF(C$4:C413,"Sell_"&amp;Upgrades!$B$3:$B$13))*Upgrades!$D$3:$D$13))</f>
        <v/>
      </c>
      <c r="F413" s="66" t="str">
        <f>IFERROR(__xludf.DUMMYFUNCTION("IF(COUNTA(C413:C1644)=0,"""",IF(REGEXMATCH(INDEX(FILTER(C$4:C413,C$4:C413&lt;&gt;""""),ROWS(FILTER(C$4:C413,C$4:C413&lt;&gt;""""))),""^Sell_""),INDEX(FILTER(F$4:F412,C$4:C412&lt;&gt;""""),ROWS(FILTER(C$4:C412,C$4:C412&lt;&gt;""""))),$AC$5+E413))"),"")</f>
        <v/>
      </c>
      <c r="G413" s="10" t="str">
        <f>IFERROR(__xludf.DUMMYFUNCTION("IF(COUNTA(C413:C1644)=0,"""",IF(C413="""",0,IF(REGEXMATCH(C413,""^Sell_""),-ROUNDDOWN(ROUNDUP(INDEX(Upgrades!$C$3:$C$13,MATCH(SUBSTITUTE(C413,""Sell_"",""""),Upgrades!$B$3:$B$13,0))*1.15^(COUNTIF(C$4:C412,SUBSTITUTE(C413,""Sell_"",""""))-COUNTIF(C$4:C412,"&amp;"""Sell_""&amp;SUBSTITUTE(C413,""Sell_"",""""))))/2),ROUNDUP(INDEX(Upgrades!$C$3:$C$13,MATCH(C413,Upgrades!$B$3:$B$13,0))*1.15^(COUNTIF(C$4:C412,C413)-COUNTIF(C$4:C412,""Sell_""&amp;C413))))))"),"")</f>
        <v/>
      </c>
      <c r="H413" s="10" t="str">
        <f t="shared" si="3"/>
        <v/>
      </c>
      <c r="I413" s="68" t="str">
        <f t="shared" si="4"/>
        <v/>
      </c>
      <c r="J413" s="59" t="str">
        <f t="shared" si="5"/>
        <v/>
      </c>
      <c r="K413" s="69" t="str">
        <f t="shared" si="6"/>
        <v/>
      </c>
      <c r="L413" s="60">
        <f t="shared" si="7"/>
        <v>-49.38459</v>
      </c>
      <c r="M413" s="61">
        <f>IFERROR(__xludf.DUMMYFUNCTION("IFS(AND(COUNTA(C413:C1644)=0,COUNTA(Q413:Q1644)=0),"""",OR(AND(K413&gt;=1000000000,OR(Y413&gt;=1000000000,COUNTA(Q413:Q1644)=0)),OR(Y413&gt;=1000000000,AND(COUNTA(C413:C1644)=0,P$3=TRUE))),
ROUNDDOWN((AB$1-AC$1)*MAX(INDEX(T$4:T1644,MATCH(LARGE(FILTER(Y$4:Y1644,Y$4"&amp;":Y1644&lt;1000000000),1),Y$4:Y1644)),INDEX(F$4:F1644,MATCH(LARGE(FILTER(K$4:K1644,K$4:K1644&lt;1000000000),1),K$4:K1644)))),AND(K413&lt;1000000000,COUNTA(C413:C1644)&gt;0,P$3=FALSE),
ROUNDDOWN(INDEX(Y$4:Y1644,MATCH(LARGE(FILTER(W$4:W1644,W$4:W1644&lt;=I413),1),W$4:W1644"&amp;"))+(I413-LARGE(FILTER(W$4:W1644,W$4:W1644&lt;=I413),1))*INDEX(T$4:T1644,MATCH(LARGE(FILTER(W$4:W1644,W$4:W1644&lt;=I413),1),W$4:W1644))-K413),1,
ROUNDDOWN(Y413-INDEX(K$4:K1644,MATCH(LARGE(FILTER(I$4:I1644,I$4:I1644&lt;=W413),1),I$4:I1644))-(W413-LARGE(FILTER(I$4:I"&amp;"1644,I$4:I1644&lt;=W413),1))*INDEX(F$4:F1644,MATCH(LARGE(FILTER(I$4:I1644,I$4:I1644&lt;=W413),1),I$4:I1644))))"),2.8032177E7)</f>
        <v>28032177</v>
      </c>
      <c r="N413" s="60">
        <f t="shared" si="8"/>
        <v>-49.38459</v>
      </c>
      <c r="O413" s="61" t="str">
        <f t="shared" si="9"/>
        <v>28,0M</v>
      </c>
      <c r="P413" s="56">
        <f t="shared" si="10"/>
        <v>29</v>
      </c>
      <c r="Q413" s="105" t="s">
        <v>5</v>
      </c>
      <c r="R413" s="10"/>
      <c r="S413" s="59">
        <f t="array" ref="S413">IF(COUNTA(Q413:Q1644)=0,"",SUM((COUNTIF(Q$4:Q413,Upgrades!$B$3:$B$13)-COUNTIF(Q$4:Q413,"Sell_"&amp;Upgrades!$B$3:$B$13))*Upgrades!$D$3:$D$13))</f>
        <v>559289.2</v>
      </c>
      <c r="T413" s="66">
        <f>IFERROR(__xludf.DUMMYFUNCTION("IF(COUNTA(Q413:Q1644)=0,"""",IF(REGEXMATCH(INDEX(FILTER(Q$4:Q413,Q$4:Q413&lt;&gt;""""),ROWS(FILTER(Q$4:Q413,Q$4:Q413&lt;&gt;""""))),""^Sell_""),INDEX(FILTER(T$4:T412,Q$4:Q412&lt;&gt;""""),ROWS(FILTER(Q$4:Q412,Q$4:Q412&lt;&gt;""""))),$AD$5+S413))"),559299.2)</f>
        <v>559299.2</v>
      </c>
      <c r="U413" s="10">
        <f>IFERROR(__xludf.DUMMYFUNCTION("IF(COUNTA(Q413:Q1644)=0,"""",IF(Q413="""",0,IF(REGEXMATCH(Q413,""^Sell_""),-ROUNDDOWN(ROUNDUP(INDEX(Upgrades!$C$3:$C$13,MATCH(SUBSTITUTE(Q413,""Sell_"",""""),Upgrades!$B$3:$B$13,0))*1.15^(COUNTIF(Q$4:Q412,SUBSTITUTE(Q413,""Sell_"",""""))-COUNTIF(Q$4:Q412,"&amp;"""Sell_""&amp;SUBSTITUTE(Q413,""Sell_"",""""))))/2),ROUNDUP(INDEX(Upgrades!$C$3:$C$13,MATCH(Q413,Upgrades!$B$3:$B$13,0))*1.15^(COUNTIF(Q$4:Q412,Q413)-COUNTIF(Q$4:Q412,""Sell_""&amp;Q413))))))"),25033.0)</f>
        <v>25033</v>
      </c>
      <c r="V413" s="10">
        <f t="shared" si="11"/>
        <v>25033</v>
      </c>
      <c r="W413" s="68">
        <f t="shared" si="12"/>
        <v>7785.055641</v>
      </c>
      <c r="X413" s="59" t="str">
        <f t="shared" si="13"/>
        <v>2h 09m 45s</v>
      </c>
      <c r="Y413" s="69">
        <f t="shared" si="14"/>
        <v>991007051</v>
      </c>
      <c r="Z413" s="11"/>
      <c r="AG413" s="59"/>
    </row>
    <row r="414">
      <c r="A414" s="8"/>
      <c r="B414" s="56" t="str">
        <f t="shared" si="2"/>
        <v/>
      </c>
      <c r="C414" s="105"/>
      <c r="D414" s="10"/>
      <c r="E414" s="59" t="str">
        <f t="array" ref="E414">IF(COUNTA(C414:C1644)=0,"",SUM((COUNTIF(C$4:C414,Upgrades!$B$3:$B$13)-COUNTIF(C$4:C414,"Sell_"&amp;Upgrades!$B$3:$B$13))*Upgrades!$D$3:$D$13))</f>
        <v/>
      </c>
      <c r="F414" s="66" t="str">
        <f>IFERROR(__xludf.DUMMYFUNCTION("IF(COUNTA(C414:C1644)=0,"""",IF(REGEXMATCH(INDEX(FILTER(C$4:C414,C$4:C414&lt;&gt;""""),ROWS(FILTER(C$4:C414,C$4:C414&lt;&gt;""""))),""^Sell_""),INDEX(FILTER(F$4:F413,C$4:C413&lt;&gt;""""),ROWS(FILTER(C$4:C413,C$4:C413&lt;&gt;""""))),$AC$5+E414))"),"")</f>
        <v/>
      </c>
      <c r="G414" s="10" t="str">
        <f>IFERROR(__xludf.DUMMYFUNCTION("IF(COUNTA(C414:C1644)=0,"""",IF(C414="""",0,IF(REGEXMATCH(C414,""^Sell_""),-ROUNDDOWN(ROUNDUP(INDEX(Upgrades!$C$3:$C$13,MATCH(SUBSTITUTE(C414,""Sell_"",""""),Upgrades!$B$3:$B$13,0))*1.15^(COUNTIF(C$4:C413,SUBSTITUTE(C414,""Sell_"",""""))-COUNTIF(C$4:C413,"&amp;"""Sell_""&amp;SUBSTITUTE(C414,""Sell_"",""""))))/2),ROUNDUP(INDEX(Upgrades!$C$3:$C$13,MATCH(C414,Upgrades!$B$3:$B$13,0))*1.15^(COUNTIF(C$4:C413,C414)-COUNTIF(C$4:C413,""Sell_""&amp;C414))))))"),"")</f>
        <v/>
      </c>
      <c r="H414" s="10" t="str">
        <f t="shared" si="3"/>
        <v/>
      </c>
      <c r="I414" s="68" t="str">
        <f t="shared" si="4"/>
        <v/>
      </c>
      <c r="J414" s="59" t="str">
        <f t="shared" si="5"/>
        <v/>
      </c>
      <c r="K414" s="69" t="str">
        <f t="shared" si="6"/>
        <v/>
      </c>
      <c r="L414" s="60">
        <f t="shared" si="7"/>
        <v>-49.38271</v>
      </c>
      <c r="M414" s="61">
        <f>IFERROR(__xludf.DUMMYFUNCTION("IFS(AND(COUNTA(C414:C1644)=0,COUNTA(Q414:Q1644)=0),"""",OR(AND(K414&gt;=1000000000,OR(Y414&gt;=1000000000,COUNTA(Q414:Q1644)=0)),OR(Y414&gt;=1000000000,AND(COUNTA(C414:C1644)=0,P$3=TRUE))),
ROUNDDOWN((AB$1-AC$1)*MAX(INDEX(T$4:T1644,MATCH(LARGE(FILTER(Y$4:Y1644,Y$4"&amp;":Y1644&lt;1000000000),1),Y$4:Y1644)),INDEX(F$4:F1644,MATCH(LARGE(FILTER(K$4:K1644,K$4:K1644&lt;1000000000),1),K$4:K1644)))),AND(K414&lt;1000000000,COUNTA(C414:C1644)&gt;0,P$3=FALSE),
ROUNDDOWN(INDEX(Y$4:Y1644,MATCH(LARGE(FILTER(W$4:W1644,W$4:W1644&lt;=I414),1),W$4:W1644"&amp;"))+(I414-LARGE(FILTER(W$4:W1644,W$4:W1644&lt;=I414),1))*INDEX(T$4:T1644,MATCH(LARGE(FILTER(W$4:W1644,W$4:W1644&lt;=I414),1),W$4:W1644))-K414),1,
ROUNDDOWN(Y414-INDEX(K$4:K1644,MATCH(LARGE(FILTER(I$4:I1644,I$4:I1644&lt;=W414),1),I$4:I1644))-(W414-LARGE(FILTER(I$4:I"&amp;"1644,I$4:I1644&lt;=W414),1))*INDEX(F$4:F1644,MATCH(LARGE(FILTER(I$4:I1644,I$4:I1644&lt;=W414),1),I$4:I1644))))"),2.8031344E7)</f>
        <v>28031344</v>
      </c>
      <c r="N414" s="60">
        <f t="shared" si="8"/>
        <v>-49.38271</v>
      </c>
      <c r="O414" s="61" t="str">
        <f t="shared" si="9"/>
        <v>28,0M</v>
      </c>
      <c r="P414" s="56">
        <f t="shared" si="10"/>
        <v>23</v>
      </c>
      <c r="Q414" s="105" t="s">
        <v>6</v>
      </c>
      <c r="R414" s="10"/>
      <c r="S414" s="59">
        <f t="array" ref="S414">IF(COUNTA(Q414:Q1644)=0,"",SUM((COUNTIF(Q$4:Q414,Upgrades!$B$3:$B$13)-COUNTIF(Q$4:Q414,"Sell_"&amp;Upgrades!$B$3:$B$13))*Upgrades!$D$3:$D$13))</f>
        <v>559299.2</v>
      </c>
      <c r="T414" s="66">
        <f>IFERROR(__xludf.DUMMYFUNCTION("IF(COUNTA(Q414:Q1644)=0,"""",IF(REGEXMATCH(INDEX(FILTER(Q$4:Q414,Q$4:Q414&lt;&gt;""""),ROWS(FILTER(Q$4:Q414,Q$4:Q414&lt;&gt;""""))),""^Sell_""),INDEX(FILTER(T$4:T413,Q$4:Q413&lt;&gt;""""),ROWS(FILTER(Q$4:Q413,Q$4:Q413&lt;&gt;""""))),$AD$5+S414))"),559309.2)</f>
        <v>559309.2</v>
      </c>
      <c r="U414" s="10">
        <f>IFERROR(__xludf.DUMMYFUNCTION("IF(COUNTA(Q414:Q1644)=0,"""",IF(Q414="""",0,IF(REGEXMATCH(Q414,""^Sell_""),-ROUNDDOWN(ROUNDUP(INDEX(Upgrades!$C$3:$C$13,MATCH(SUBSTITUTE(Q414,""Sell_"",""""),Upgrades!$B$3:$B$13,0))*1.15^(COUNTIF(Q$4:Q413,SUBSTITUTE(Q414,""Sell_"",""""))-COUNTIF(Q$4:Q413,"&amp;"""Sell_""&amp;SUBSTITUTE(Q414,""Sell_"",""""))))/2),ROUNDUP(INDEX(Upgrades!$C$3:$C$13,MATCH(Q414,Upgrades!$B$3:$B$13,0))*1.15^(COUNTIF(Q$4:Q413,Q414)-COUNTIF(Q$4:Q413,""Sell_""&amp;Q414))))))"),64935.0)</f>
        <v>64935</v>
      </c>
      <c r="V414" s="10">
        <f t="shared" si="11"/>
        <v>64935</v>
      </c>
      <c r="W414" s="68">
        <f t="shared" si="12"/>
        <v>7785.171741</v>
      </c>
      <c r="X414" s="59" t="str">
        <f t="shared" si="13"/>
        <v>2h 09m 45s</v>
      </c>
      <c r="Y414" s="69">
        <f t="shared" si="14"/>
        <v>991071986</v>
      </c>
      <c r="Z414" s="11"/>
      <c r="AG414" s="59"/>
    </row>
    <row r="415">
      <c r="A415" s="8"/>
      <c r="B415" s="56" t="str">
        <f t="shared" si="2"/>
        <v/>
      </c>
      <c r="C415" s="105"/>
      <c r="D415" s="10"/>
      <c r="E415" s="59" t="str">
        <f t="array" ref="E415">IF(COUNTA(C415:C1644)=0,"",SUM((COUNTIF(C$4:C415,Upgrades!$B$3:$B$13)-COUNTIF(C$4:C415,"Sell_"&amp;Upgrades!$B$3:$B$13))*Upgrades!$D$3:$D$13))</f>
        <v/>
      </c>
      <c r="F415" s="66" t="str">
        <f>IFERROR(__xludf.DUMMYFUNCTION("IF(COUNTA(C415:C1644)=0,"""",IF(REGEXMATCH(INDEX(FILTER(C$4:C415,C$4:C415&lt;&gt;""""),ROWS(FILTER(C$4:C415,C$4:C415&lt;&gt;""""))),""^Sell_""),INDEX(FILTER(F$4:F414,C$4:C414&lt;&gt;""""),ROWS(FILTER(C$4:C414,C$4:C414&lt;&gt;""""))),$AC$5+E415))"),"")</f>
        <v/>
      </c>
      <c r="G415" s="10" t="str">
        <f>IFERROR(__xludf.DUMMYFUNCTION("IF(COUNTA(C415:C1644)=0,"""",IF(C415="""",0,IF(REGEXMATCH(C415,""^Sell_""),-ROUNDDOWN(ROUNDUP(INDEX(Upgrades!$C$3:$C$13,MATCH(SUBSTITUTE(C415,""Sell_"",""""),Upgrades!$B$3:$B$13,0))*1.15^(COUNTIF(C$4:C414,SUBSTITUTE(C415,""Sell_"",""""))-COUNTIF(C$4:C414,"&amp;"""Sell_""&amp;SUBSTITUTE(C415,""Sell_"",""""))))/2),ROUNDUP(INDEX(Upgrades!$C$3:$C$13,MATCH(C415,Upgrades!$B$3:$B$13,0))*1.15^(COUNTIF(C$4:C414,C415)-COUNTIF(C$4:C414,""Sell_""&amp;C415))))))"),"")</f>
        <v/>
      </c>
      <c r="H415" s="10" t="str">
        <f t="shared" si="3"/>
        <v/>
      </c>
      <c r="I415" s="68" t="str">
        <f t="shared" si="4"/>
        <v/>
      </c>
      <c r="J415" s="59" t="str">
        <f t="shared" si="5"/>
        <v/>
      </c>
      <c r="K415" s="69" t="str">
        <f t="shared" si="6"/>
        <v/>
      </c>
      <c r="L415" s="60">
        <f t="shared" si="7"/>
        <v>-49.38269</v>
      </c>
      <c r="M415" s="61">
        <f>IFERROR(__xludf.DUMMYFUNCTION("IFS(AND(COUNTA(C415:C1644)=0,COUNTA(Q415:Q1644)=0),"""",OR(AND(K415&gt;=1000000000,OR(Y415&gt;=1000000000,COUNTA(Q415:Q1644)=0)),OR(Y415&gt;=1000000000,AND(COUNTA(C415:C1644)=0,P$3=TRUE))),
ROUNDDOWN((AB$1-AC$1)*MAX(INDEX(T$4:T1644,MATCH(LARGE(FILTER(Y$4:Y1644,Y$4"&amp;":Y1644&lt;1000000000),1),Y$4:Y1644)),INDEX(F$4:F1644,MATCH(LARGE(FILTER(K$4:K1644,K$4:K1644&lt;1000000000),1),K$4:K1644)))),AND(K415&lt;1000000000,COUNTA(C415:C1644)&gt;0,P$3=FALSE),
ROUNDDOWN(INDEX(Y$4:Y1644,MATCH(LARGE(FILTER(W$4:W1644,W$4:W1644&lt;=I415),1),W$4:W1644"&amp;"))+(I415-LARGE(FILTER(W$4:W1644,W$4:W1644&lt;=I415),1))*INDEX(T$4:T1644,MATCH(LARGE(FILTER(W$4:W1644,W$4:W1644&lt;=I415),1),W$4:W1644))-K415),1,
ROUNDDOWN(Y415-INDEX(K$4:K1644,MATCH(LARGE(FILTER(I$4:I1644,I$4:I1644&lt;=W415),1),I$4:I1644))-(W415-LARGE(FILTER(I$4:I"&amp;"1644,I$4:I1644&lt;=W415),1))*INDEX(F$4:F1644,MATCH(LARGE(FILTER(I$4:I1644,I$4:I1644&lt;=W415),1),I$4:I1644))))"),2.8031335E7)</f>
        <v>28031335</v>
      </c>
      <c r="N415" s="60">
        <f t="shared" si="8"/>
        <v>-49.38269</v>
      </c>
      <c r="O415" s="61" t="str">
        <f t="shared" si="9"/>
        <v>28,0M</v>
      </c>
      <c r="P415" s="56">
        <f t="shared" si="10"/>
        <v>28</v>
      </c>
      <c r="Q415" s="105" t="s">
        <v>3</v>
      </c>
      <c r="R415" s="10"/>
      <c r="S415" s="59">
        <f t="array" ref="S415">IF(COUNTA(Q415:Q1644)=0,"",SUM((COUNTIF(Q$4:Q415,Upgrades!$B$3:$B$13)-COUNTIF(Q$4:Q415,"Sell_"&amp;Upgrades!$B$3:$B$13))*Upgrades!$D$3:$D$13))</f>
        <v>559299.3</v>
      </c>
      <c r="T415" s="66">
        <f>IFERROR(__xludf.DUMMYFUNCTION("IF(COUNTA(Q415:Q1644)=0,"""",IF(REGEXMATCH(INDEX(FILTER(Q$4:Q415,Q$4:Q415&lt;&gt;""""),ROWS(FILTER(Q$4:Q415,Q$4:Q415&lt;&gt;""""))),""^Sell_""),INDEX(FILTER(T$4:T414,Q$4:Q414&lt;&gt;""""),ROWS(FILTER(Q$4:Q414,Q$4:Q414&lt;&gt;""""))),$AD$5+S415))"),559309.3)</f>
        <v>559309.3</v>
      </c>
      <c r="U415" s="10">
        <f>IFERROR(__xludf.DUMMYFUNCTION("IF(COUNTA(Q415:Q1644)=0,"""",IF(Q415="""",0,IF(REGEXMATCH(Q415,""^Sell_""),-ROUNDDOWN(ROUNDUP(INDEX(Upgrades!$C$3:$C$13,MATCH(SUBSTITUTE(Q415,""Sell_"",""""),Upgrades!$B$3:$B$13,0))*1.15^(COUNTIF(Q$4:Q414,SUBSTITUTE(Q415,""Sell_"",""""))-COUNTIF(Q$4:Q414,"&amp;"""Sell_""&amp;SUBSTITUTE(Q415,""Sell_"",""""))))/2),ROUNDUP(INDEX(Upgrades!$C$3:$C$13,MATCH(Q415,Upgrades!$B$3:$B$13,0))*1.15^(COUNTIF(Q$4:Q414,Q415)-COUNTIF(Q$4:Q414,""Sell_""&amp;Q415))))))"),654.0)</f>
        <v>654</v>
      </c>
      <c r="V415" s="10">
        <f t="shared" si="11"/>
        <v>654</v>
      </c>
      <c r="W415" s="68">
        <f t="shared" si="12"/>
        <v>7785.172911</v>
      </c>
      <c r="X415" s="59" t="str">
        <f t="shared" si="13"/>
        <v>2h 09m 45s</v>
      </c>
      <c r="Y415" s="69">
        <f t="shared" si="14"/>
        <v>991072640</v>
      </c>
      <c r="Z415" s="11"/>
      <c r="AG415" s="59"/>
    </row>
    <row r="416">
      <c r="A416" s="8"/>
      <c r="B416" s="56" t="str">
        <f t="shared" si="2"/>
        <v/>
      </c>
      <c r="C416" s="105"/>
      <c r="D416" s="10"/>
      <c r="E416" s="59" t="str">
        <f t="array" ref="E416">IF(COUNTA(C416:C1644)=0,"",SUM((COUNTIF(C$4:C416,Upgrades!$B$3:$B$13)-COUNTIF(C$4:C416,"Sell_"&amp;Upgrades!$B$3:$B$13))*Upgrades!$D$3:$D$13))</f>
        <v/>
      </c>
      <c r="F416" s="66" t="str">
        <f>IFERROR(__xludf.DUMMYFUNCTION("IF(COUNTA(C416:C1644)=0,"""",IF(REGEXMATCH(INDEX(FILTER(C$4:C416,C$4:C416&lt;&gt;""""),ROWS(FILTER(C$4:C416,C$4:C416&lt;&gt;""""))),""^Sell_""),INDEX(FILTER(F$4:F415,C$4:C415&lt;&gt;""""),ROWS(FILTER(C$4:C415,C$4:C415&lt;&gt;""""))),$AC$5+E416))"),"")</f>
        <v/>
      </c>
      <c r="G416" s="10" t="str">
        <f>IFERROR(__xludf.DUMMYFUNCTION("IF(COUNTA(C416:C1644)=0,"""",IF(C416="""",0,IF(REGEXMATCH(C416,""^Sell_""),-ROUNDDOWN(ROUNDUP(INDEX(Upgrades!$C$3:$C$13,MATCH(SUBSTITUTE(C416,""Sell_"",""""),Upgrades!$B$3:$B$13,0))*1.15^(COUNTIF(C$4:C415,SUBSTITUTE(C416,""Sell_"",""""))-COUNTIF(C$4:C415,"&amp;"""Sell_""&amp;SUBSTITUTE(C416,""Sell_"",""""))))/2),ROUNDUP(INDEX(Upgrades!$C$3:$C$13,MATCH(C416,Upgrades!$B$3:$B$13,0))*1.15^(COUNTIF(C$4:C415,C416)-COUNTIF(C$4:C415,""Sell_""&amp;C416))))))"),"")</f>
        <v/>
      </c>
      <c r="H416" s="10" t="str">
        <f t="shared" si="3"/>
        <v/>
      </c>
      <c r="I416" s="68" t="str">
        <f t="shared" si="4"/>
        <v/>
      </c>
      <c r="J416" s="59" t="str">
        <f t="shared" si="5"/>
        <v/>
      </c>
      <c r="K416" s="69" t="str">
        <f t="shared" si="6"/>
        <v/>
      </c>
      <c r="L416" s="60">
        <f t="shared" si="7"/>
        <v>-49.36348</v>
      </c>
      <c r="M416" s="61">
        <f>IFERROR(__xludf.DUMMYFUNCTION("IFS(AND(COUNTA(C416:C1644)=0,COUNTA(Q416:Q1644)=0),"""",OR(AND(K416&gt;=1000000000,OR(Y416&gt;=1000000000,COUNTA(Q416:Q1644)=0)),OR(Y416&gt;=1000000000,AND(COUNTA(C416:C1644)=0,P$3=TRUE))),
ROUNDDOWN((AB$1-AC$1)*MAX(INDEX(T$4:T1644,MATCH(LARGE(FILTER(Y$4:Y1644,Y$4"&amp;":Y1644&lt;1000000000),1),Y$4:Y1644)),INDEX(F$4:F1644,MATCH(LARGE(FILTER(K$4:K1644,K$4:K1644&lt;1000000000),1),K$4:K1644)))),AND(K416&lt;1000000000,COUNTA(C416:C1644)&gt;0,P$3=FALSE),
ROUNDDOWN(INDEX(Y$4:Y1644,MATCH(LARGE(FILTER(W$4:W1644,W$4:W1644&lt;=I416),1),W$4:W1644"&amp;"))+(I416-LARGE(FILTER(W$4:W1644,W$4:W1644&lt;=I416),1))*INDEX(T$4:T1644,MATCH(LARGE(FILTER(W$4:W1644,W$4:W1644&lt;=I416),1),W$4:W1644))-K416),1,
ROUNDDOWN(Y416-INDEX(K$4:K1644,MATCH(LARGE(FILTER(I$4:I1644,I$4:I1644&lt;=W416),1),I$4:I1644))-(W416-LARGE(FILTER(I$4:I"&amp;"1644,I$4:I1644&lt;=W416),1))*INDEX(F$4:F1644,MATCH(LARGE(FILTER(I$4:I1644,I$4:I1644&lt;=W416),1),I$4:I1644))))"),2.8022947E7)</f>
        <v>28022947</v>
      </c>
      <c r="N416" s="60">
        <f t="shared" si="8"/>
        <v>-49.36348</v>
      </c>
      <c r="O416" s="61" t="str">
        <f t="shared" si="9"/>
        <v>28,0M</v>
      </c>
      <c r="P416" s="56">
        <f t="shared" si="10"/>
        <v>21</v>
      </c>
      <c r="Q416" s="105" t="s">
        <v>8</v>
      </c>
      <c r="R416" s="10"/>
      <c r="S416" s="59">
        <f t="array" ref="S416">IF(COUNTA(Q416:Q1644)=0,"",SUM((COUNTIF(Q$4:Q416,Upgrades!$B$3:$B$13)-COUNTIF(Q$4:Q416,"Sell_"&amp;Upgrades!$B$3:$B$13))*Upgrades!$D$3:$D$13))</f>
        <v>559399.3</v>
      </c>
      <c r="T416" s="66">
        <f>IFERROR(__xludf.DUMMYFUNCTION("IF(COUNTA(Q416:Q1644)=0,"""",IF(REGEXMATCH(INDEX(FILTER(Q$4:Q416,Q$4:Q416&lt;&gt;""""),ROWS(FILTER(Q$4:Q416,Q$4:Q416&lt;&gt;""""))),""^Sell_""),INDEX(FILTER(T$4:T415,Q$4:Q415&lt;&gt;""""),ROWS(FILTER(Q$4:Q415,Q$4:Q415&lt;&gt;""""))),$AD$5+S416))"),559409.3)</f>
        <v>559409.3</v>
      </c>
      <c r="U416" s="10">
        <f>IFERROR(__xludf.DUMMYFUNCTION("IF(COUNTA(Q416:Q1644)=0,"""",IF(Q416="""",0,IF(REGEXMATCH(Q416,""^Sell_""),-ROUNDDOWN(ROUNDUP(INDEX(Upgrades!$C$3:$C$13,MATCH(SUBSTITUTE(Q416,""Sell_"",""""),Upgrades!$B$3:$B$13,0))*1.15^(COUNTIF(Q$4:Q415,SUBSTITUTE(Q416,""Sell_"",""""))-COUNTIF(Q$4:Q415,"&amp;"""Sell_""&amp;SUBSTITUTE(Q416,""Sell_"",""""))))/2),ROUNDUP(INDEX(Upgrades!$C$3:$C$13,MATCH(Q416,Upgrades!$B$3:$B$13,0))*1.15^(COUNTIF(Q$4:Q415,Q416)-COUNTIF(Q$4:Q415,""Sell_""&amp;Q416))))))"),654662.0)</f>
        <v>654662</v>
      </c>
      <c r="V416" s="10">
        <f t="shared" si="11"/>
        <v>654662</v>
      </c>
      <c r="W416" s="68">
        <f t="shared" si="12"/>
        <v>7786.343394</v>
      </c>
      <c r="X416" s="59" t="str">
        <f t="shared" si="13"/>
        <v>2h 09m 46s</v>
      </c>
      <c r="Y416" s="69">
        <f t="shared" si="14"/>
        <v>991727302</v>
      </c>
      <c r="Z416" s="11"/>
      <c r="AG416" s="59"/>
    </row>
    <row r="417">
      <c r="A417" s="8"/>
      <c r="B417" s="56" t="str">
        <f t="shared" si="2"/>
        <v/>
      </c>
      <c r="C417" s="105"/>
      <c r="D417" s="10"/>
      <c r="E417" s="59" t="str">
        <f t="array" ref="E417">IF(COUNTA(C417:C1644)=0,"",SUM((COUNTIF(C$4:C417,Upgrades!$B$3:$B$13)-COUNTIF(C$4:C417,"Sell_"&amp;Upgrades!$B$3:$B$13))*Upgrades!$D$3:$D$13))</f>
        <v/>
      </c>
      <c r="F417" s="66" t="str">
        <f>IFERROR(__xludf.DUMMYFUNCTION("IF(COUNTA(C417:C1644)=0,"""",IF(REGEXMATCH(INDEX(FILTER(C$4:C417,C$4:C417&lt;&gt;""""),ROWS(FILTER(C$4:C417,C$4:C417&lt;&gt;""""))),""^Sell_""),INDEX(FILTER(F$4:F416,C$4:C416&lt;&gt;""""),ROWS(FILTER(C$4:C416,C$4:C416&lt;&gt;""""))),$AC$5+E417))"),"")</f>
        <v/>
      </c>
      <c r="G417" s="10" t="str">
        <f>IFERROR(__xludf.DUMMYFUNCTION("IF(COUNTA(C417:C1644)=0,"""",IF(C417="""",0,IF(REGEXMATCH(C417,""^Sell_""),-ROUNDDOWN(ROUNDUP(INDEX(Upgrades!$C$3:$C$13,MATCH(SUBSTITUTE(C417,""Sell_"",""""),Upgrades!$B$3:$B$13,0))*1.15^(COUNTIF(C$4:C416,SUBSTITUTE(C417,""Sell_"",""""))-COUNTIF(C$4:C416,"&amp;"""Sell_""&amp;SUBSTITUTE(C417,""Sell_"",""""))))/2),ROUNDUP(INDEX(Upgrades!$C$3:$C$13,MATCH(C417,Upgrades!$B$3:$B$13,0))*1.15^(COUNTIF(C$4:C416,C417)-COUNTIF(C$4:C416,""Sell_""&amp;C417))))))"),"")</f>
        <v/>
      </c>
      <c r="H417" s="10" t="str">
        <f t="shared" si="3"/>
        <v/>
      </c>
      <c r="I417" s="68" t="str">
        <f t="shared" si="4"/>
        <v/>
      </c>
      <c r="J417" s="59" t="str">
        <f t="shared" si="5"/>
        <v/>
      </c>
      <c r="K417" s="69" t="str">
        <f t="shared" si="6"/>
        <v/>
      </c>
      <c r="L417" s="60">
        <f t="shared" si="7"/>
        <v>-49.36339</v>
      </c>
      <c r="M417" s="61">
        <f>IFERROR(__xludf.DUMMYFUNCTION("IFS(AND(COUNTA(C417:C1644)=0,COUNTA(Q417:Q1644)=0),"""",OR(AND(K417&gt;=1000000000,OR(Y417&gt;=1000000000,COUNTA(Q417:Q1644)=0)),OR(Y417&gt;=1000000000,AND(COUNTA(C417:C1644)=0,P$3=TRUE))),
ROUNDDOWN((AB$1-AC$1)*MAX(INDEX(T$4:T1644,MATCH(LARGE(FILTER(Y$4:Y1644,Y$4"&amp;":Y1644&lt;1000000000),1),Y$4:Y1644)),INDEX(F$4:F1644,MATCH(LARGE(FILTER(K$4:K1644,K$4:K1644&lt;1000000000),1),K$4:K1644)))),AND(K417&lt;1000000000,COUNTA(C417:C1644)&gt;0,P$3=FALSE),
ROUNDDOWN(INDEX(Y$4:Y1644,MATCH(LARGE(FILTER(W$4:W1644,W$4:W1644&lt;=I417),1),W$4:W1644"&amp;"))+(I417-LARGE(FILTER(W$4:W1644,W$4:W1644&lt;=I417),1))*INDEX(T$4:T1644,MATCH(LARGE(FILTER(W$4:W1644,W$4:W1644&lt;=I417),1),W$4:W1644))-K417),1,
ROUNDDOWN(Y417-INDEX(K$4:K1644,MATCH(LARGE(FILTER(I$4:I1644,I$4:I1644&lt;=W417),1),I$4:I1644))-(W417-LARGE(FILTER(I$4:I"&amp;"1644,I$4:I1644&lt;=W417),1))*INDEX(F$4:F1644,MATCH(LARGE(FILTER(I$4:I1644,I$4:I1644&lt;=W417),1),I$4:I1644))))"),2.8022905E7)</f>
        <v>28022905</v>
      </c>
      <c r="N417" s="60">
        <f t="shared" si="8"/>
        <v>-49.36339</v>
      </c>
      <c r="O417" s="61" t="str">
        <f t="shared" si="9"/>
        <v>28,0M</v>
      </c>
      <c r="P417" s="56">
        <f t="shared" si="10"/>
        <v>26</v>
      </c>
      <c r="Q417" s="105" t="s">
        <v>4</v>
      </c>
      <c r="R417" s="10"/>
      <c r="S417" s="59">
        <f t="array" ref="S417">IF(COUNTA(Q417:Q1644)=0,"",SUM((COUNTIF(Q$4:Q417,Upgrades!$B$3:$B$13)-COUNTIF(Q$4:Q417,"Sell_"&amp;Upgrades!$B$3:$B$13))*Upgrades!$D$3:$D$13))</f>
        <v>559399.8</v>
      </c>
      <c r="T417" s="66">
        <f>IFERROR(__xludf.DUMMYFUNCTION("IF(COUNTA(Q417:Q1644)=0,"""",IF(REGEXMATCH(INDEX(FILTER(Q$4:Q417,Q$4:Q417&lt;&gt;""""),ROWS(FILTER(Q$4:Q417,Q$4:Q417&lt;&gt;""""))),""^Sell_""),INDEX(FILTER(T$4:T416,Q$4:Q416&lt;&gt;""""),ROWS(FILTER(Q$4:Q416,Q$4:Q416&lt;&gt;""""))),$AD$5+S417))"),559409.8)</f>
        <v>559409.8</v>
      </c>
      <c r="U417" s="10">
        <f>IFERROR(__xludf.DUMMYFUNCTION("IF(COUNTA(Q417:Q1644)=0,"""",IF(Q417="""",0,IF(REGEXMATCH(Q417,""^Sell_""),-ROUNDDOWN(ROUNDUP(INDEX(Upgrades!$C$3:$C$13,MATCH(SUBSTITUTE(Q417,""Sell_"",""""),Upgrades!$B$3:$B$13,0))*1.15^(COUNTIF(Q$4:Q416,SUBSTITUTE(Q417,""Sell_"",""""))-COUNTIF(Q$4:Q416,"&amp;"""Sell_""&amp;SUBSTITUTE(Q417,""Sell_"",""""))))/2),ROUNDUP(INDEX(Upgrades!$C$3:$C$13,MATCH(Q417,Upgrades!$B$3:$B$13,0))*1.15^(COUNTIF(Q$4:Q416,Q417)-COUNTIF(Q$4:Q416,""Sell_""&amp;Q417))))))"),3292.0)</f>
        <v>3292</v>
      </c>
      <c r="V417" s="10">
        <f t="shared" si="11"/>
        <v>3292</v>
      </c>
      <c r="W417" s="68">
        <f t="shared" si="12"/>
        <v>7786.349278</v>
      </c>
      <c r="X417" s="59" t="str">
        <f t="shared" si="13"/>
        <v>2h 09m 46s</v>
      </c>
      <c r="Y417" s="69">
        <f t="shared" si="14"/>
        <v>991730594</v>
      </c>
      <c r="Z417" s="11"/>
      <c r="AG417" s="59"/>
    </row>
    <row r="418">
      <c r="A418" s="8"/>
      <c r="B418" s="56" t="str">
        <f t="shared" si="2"/>
        <v/>
      </c>
      <c r="C418" s="105"/>
      <c r="D418" s="10"/>
      <c r="E418" s="59" t="str">
        <f t="array" ref="E418">IF(COUNTA(C418:C1644)=0,"",SUM((COUNTIF(C$4:C418,Upgrades!$B$3:$B$13)-COUNTIF(C$4:C418,"Sell_"&amp;Upgrades!$B$3:$B$13))*Upgrades!$D$3:$D$13))</f>
        <v/>
      </c>
      <c r="F418" s="66" t="str">
        <f>IFERROR(__xludf.DUMMYFUNCTION("IF(COUNTA(C418:C1644)=0,"""",IF(REGEXMATCH(INDEX(FILTER(C$4:C418,C$4:C418&lt;&gt;""""),ROWS(FILTER(C$4:C418,C$4:C418&lt;&gt;""""))),""^Sell_""),INDEX(FILTER(F$4:F417,C$4:C417&lt;&gt;""""),ROWS(FILTER(C$4:C417,C$4:C417&lt;&gt;""""))),$AC$5+E418))"),"")</f>
        <v/>
      </c>
      <c r="G418" s="10" t="str">
        <f>IFERROR(__xludf.DUMMYFUNCTION("IF(COUNTA(C418:C1644)=0,"""",IF(C418="""",0,IF(REGEXMATCH(C418,""^Sell_""),-ROUNDDOWN(ROUNDUP(INDEX(Upgrades!$C$3:$C$13,MATCH(SUBSTITUTE(C418,""Sell_"",""""),Upgrades!$B$3:$B$13,0))*1.15^(COUNTIF(C$4:C417,SUBSTITUTE(C418,""Sell_"",""""))-COUNTIF(C$4:C417,"&amp;"""Sell_""&amp;SUBSTITUTE(C418,""Sell_"",""""))))/2),ROUNDUP(INDEX(Upgrades!$C$3:$C$13,MATCH(C418,Upgrades!$B$3:$B$13,0))*1.15^(COUNTIF(C$4:C417,C418)-COUNTIF(C$4:C417,""Sell_""&amp;C418))))))"),"")</f>
        <v/>
      </c>
      <c r="H418" s="10" t="str">
        <f t="shared" si="3"/>
        <v/>
      </c>
      <c r="I418" s="68" t="str">
        <f t="shared" si="4"/>
        <v/>
      </c>
      <c r="J418" s="59" t="str">
        <f t="shared" si="5"/>
        <v/>
      </c>
      <c r="K418" s="69" t="str">
        <f t="shared" si="6"/>
        <v/>
      </c>
      <c r="L418" s="60">
        <f t="shared" si="7"/>
        <v>-49.27872</v>
      </c>
      <c r="M418" s="61">
        <f>IFERROR(__xludf.DUMMYFUNCTION("IFS(AND(COUNTA(C418:C1644)=0,COUNTA(Q418:Q1644)=0),"""",OR(AND(K418&gt;=1000000000,OR(Y418&gt;=1000000000,COUNTA(Q418:Q1644)=0)),OR(Y418&gt;=1000000000,AND(COUNTA(C418:C1644)=0,P$3=TRUE))),
ROUNDDOWN((AB$1-AC$1)*MAX(INDEX(T$4:T1644,MATCH(LARGE(FILTER(Y$4:Y1644,Y$4"&amp;":Y1644&lt;1000000000),1),Y$4:Y1644)),INDEX(F$4:F1644,MATCH(LARGE(FILTER(K$4:K1644,K$4:K1644&lt;1000000000),1),K$4:K1644)))),AND(K418&lt;1000000000,COUNTA(C418:C1644)&gt;0,P$3=FALSE),
ROUNDDOWN(INDEX(Y$4:Y1644,MATCH(LARGE(FILTER(W$4:W1644,W$4:W1644&lt;=I418),1),W$4:W1644"&amp;"))+(I418-LARGE(FILTER(W$4:W1644,W$4:W1644&lt;=I418),1))*INDEX(T$4:T1644,MATCH(LARGE(FILTER(W$4:W1644,W$4:W1644&lt;=I418),1),W$4:W1644))-K418),1,
ROUNDDOWN(Y418-INDEX(K$4:K1644,MATCH(LARGE(FILTER(I$4:I1644,I$4:I1644&lt;=W418),1),I$4:I1644))-(W418-LARGE(FILTER(I$4:I"&amp;"1644,I$4:I1644&lt;=W418),1))*INDEX(F$4:F1644,MATCH(LARGE(FILTER(I$4:I1644,I$4:I1644&lt;=W418),1),I$4:I1644))))"),2.7986588E7)</f>
        <v>27986588</v>
      </c>
      <c r="N418" s="60">
        <f t="shared" si="8"/>
        <v>-49.27872</v>
      </c>
      <c r="O418" s="61" t="str">
        <f t="shared" si="9"/>
        <v>28,0M</v>
      </c>
      <c r="P418" s="56">
        <f t="shared" si="10"/>
        <v>20</v>
      </c>
      <c r="Q418" s="105" t="s">
        <v>9</v>
      </c>
      <c r="R418" s="10"/>
      <c r="S418" s="59">
        <f t="array" ref="S418">IF(COUNTA(Q418:Q1644)=0,"",SUM((COUNTIF(Q$4:Q418,Upgrades!$B$3:$B$13)-COUNTIF(Q$4:Q418,"Sell_"&amp;Upgrades!$B$3:$B$13))*Upgrades!$D$3:$D$13))</f>
        <v>559799.8</v>
      </c>
      <c r="T418" s="66">
        <f>IFERROR(__xludf.DUMMYFUNCTION("IF(COUNTA(Q418:Q1644)=0,"""",IF(REGEXMATCH(INDEX(FILTER(Q$4:Q418,Q$4:Q418&lt;&gt;""""),ROWS(FILTER(Q$4:Q418,Q$4:Q418&lt;&gt;""""))),""^Sell_""),INDEX(FILTER(T$4:T417,Q$4:Q417&lt;&gt;""""),ROWS(FILTER(Q$4:Q417,Q$4:Q417&lt;&gt;""""))),$AD$5+S418))"),559809.8)</f>
        <v>559809.8</v>
      </c>
      <c r="U418" s="10">
        <f>IFERROR(__xludf.DUMMYFUNCTION("IF(COUNTA(Q418:Q1644)=0,"""",IF(Q418="""",0,IF(REGEXMATCH(Q418,""^Sell_""),-ROUNDDOWN(ROUNDUP(INDEX(Upgrades!$C$3:$C$13,MATCH(SUBSTITUTE(Q418,""Sell_"",""""),Upgrades!$B$3:$B$13,0))*1.15^(COUNTIF(Q$4:Q417,SUBSTITUTE(Q418,""Sell_"",""""))-COUNTIF(Q$4:Q417,"&amp;"""Sell_""&amp;SUBSTITUTE(Q418,""Sell_"",""""))))/2),ROUNDUP(INDEX(Upgrades!$C$3:$C$13,MATCH(Q418,Upgrades!$B$3:$B$13,0))*1.15^(COUNTIF(Q$4:Q417,Q418)-COUNTIF(Q$4:Q417,""Sell_""&amp;Q418))))))"),2846355.0)</f>
        <v>2846355</v>
      </c>
      <c r="V418" s="10">
        <f t="shared" si="11"/>
        <v>2846355</v>
      </c>
      <c r="W418" s="68">
        <f t="shared" si="12"/>
        <v>7791.437418</v>
      </c>
      <c r="X418" s="59" t="str">
        <f t="shared" si="13"/>
        <v>2h 09m 51s</v>
      </c>
      <c r="Y418" s="69">
        <f t="shared" si="14"/>
        <v>994576949</v>
      </c>
      <c r="Z418" s="11"/>
      <c r="AG418" s="59"/>
    </row>
    <row r="419">
      <c r="A419" s="8"/>
      <c r="B419" s="56" t="str">
        <f t="shared" si="2"/>
        <v/>
      </c>
      <c r="C419" s="105"/>
      <c r="D419" s="10"/>
      <c r="E419" s="59" t="str">
        <f t="array" ref="E419">IF(COUNTA(C419:C1644)=0,"",SUM((COUNTIF(C$4:C419,Upgrades!$B$3:$B$13)-COUNTIF(C$4:C419,"Sell_"&amp;Upgrades!$B$3:$B$13))*Upgrades!$D$3:$D$13))</f>
        <v/>
      </c>
      <c r="F419" s="66" t="str">
        <f>IFERROR(__xludf.DUMMYFUNCTION("IF(COUNTA(C419:C1644)=0,"""",IF(REGEXMATCH(INDEX(FILTER(C$4:C419,C$4:C419&lt;&gt;""""),ROWS(FILTER(C$4:C419,C$4:C419&lt;&gt;""""))),""^Sell_""),INDEX(FILTER(F$4:F418,C$4:C418&lt;&gt;""""),ROWS(FILTER(C$4:C418,C$4:C418&lt;&gt;""""))),$AC$5+E419))"),"")</f>
        <v/>
      </c>
      <c r="G419" s="10" t="str">
        <f>IFERROR(__xludf.DUMMYFUNCTION("IF(COUNTA(C419:C1644)=0,"""",IF(C419="""",0,IF(REGEXMATCH(C419,""^Sell_""),-ROUNDDOWN(ROUNDUP(INDEX(Upgrades!$C$3:$C$13,MATCH(SUBSTITUTE(C419,""Sell_"",""""),Upgrades!$B$3:$B$13,0))*1.15^(COUNTIF(C$4:C418,SUBSTITUTE(C419,""Sell_"",""""))-COUNTIF(C$4:C418,"&amp;"""Sell_""&amp;SUBSTITUTE(C419,""Sell_"",""""))))/2),ROUNDUP(INDEX(Upgrades!$C$3:$C$13,MATCH(C419,Upgrades!$B$3:$B$13,0))*1.15^(COUNTIF(C$4:C418,C419)-COUNTIF(C$4:C418,""Sell_""&amp;C419))))))"),"")</f>
        <v/>
      </c>
      <c r="H419" s="10" t="str">
        <f t="shared" si="3"/>
        <v/>
      </c>
      <c r="I419" s="68" t="str">
        <f t="shared" si="4"/>
        <v/>
      </c>
      <c r="J419" s="59" t="str">
        <f t="shared" si="5"/>
        <v/>
      </c>
      <c r="K419" s="69" t="str">
        <f t="shared" si="6"/>
        <v/>
      </c>
      <c r="L419" s="60">
        <f t="shared" si="7"/>
        <v>-49.27057</v>
      </c>
      <c r="M419" s="61">
        <f>IFERROR(__xludf.DUMMYFUNCTION("IFS(AND(COUNTA(C419:C1644)=0,COUNTA(Q419:Q1644)=0),"""",OR(AND(K419&gt;=1000000000,OR(Y419&gt;=1000000000,COUNTA(Q419:Q1644)=0)),OR(Y419&gt;=1000000000,AND(COUNTA(C419:C1644)=0,P$3=TRUE))),
ROUNDDOWN((AB$1-AC$1)*MAX(INDEX(T$4:T1644,MATCH(LARGE(FILTER(Y$4:Y1644,Y$4"&amp;":Y1644&lt;1000000000),1),Y$4:Y1644)),INDEX(F$4:F1644,MATCH(LARGE(FILTER(K$4:K1644,K$4:K1644&lt;1000000000),1),K$4:K1644)))),AND(K419&lt;1000000000,COUNTA(C419:C1644)&gt;0,P$3=FALSE),
ROUNDDOWN(INDEX(Y$4:Y1644,MATCH(LARGE(FILTER(W$4:W1644,W$4:W1644&lt;=I419),1),W$4:W1644"&amp;"))+(I419-LARGE(FILTER(W$4:W1644,W$4:W1644&lt;=I419),1))*INDEX(T$4:T1644,MATCH(LARGE(FILTER(W$4:W1644,W$4:W1644&lt;=I419),1),W$4:W1644))-K419),1,
ROUNDDOWN(Y419-INDEX(K$4:K1644,MATCH(LARGE(FILTER(I$4:I1644,I$4:I1644&lt;=W419),1),I$4:I1644))-(W419-LARGE(FILTER(I$4:I"&amp;"1644,I$4:I1644&lt;=W419),1))*INDEX(F$4:F1644,MATCH(LARGE(FILTER(I$4:I1644,I$4:I1644&lt;=W419),1),I$4:I1644))))"),2.7982975E7)</f>
        <v>27982975</v>
      </c>
      <c r="N419" s="60">
        <f t="shared" si="8"/>
        <v>-49.27057</v>
      </c>
      <c r="O419" s="61" t="str">
        <f t="shared" si="9"/>
        <v>28,0M</v>
      </c>
      <c r="P419" s="56">
        <f t="shared" si="10"/>
        <v>25</v>
      </c>
      <c r="Q419" s="105" t="s">
        <v>7</v>
      </c>
      <c r="R419" s="10"/>
      <c r="S419" s="59">
        <f t="array" ref="S419">IF(COUNTA(Q419:Q1644)=0,"",SUM((COUNTIF(Q$4:Q419,Upgrades!$B$3:$B$13)-COUNTIF(Q$4:Q419,"Sell_"&amp;Upgrades!$B$3:$B$13))*Upgrades!$D$3:$D$13))</f>
        <v>559839.8</v>
      </c>
      <c r="T419" s="66">
        <f>IFERROR(__xludf.DUMMYFUNCTION("IF(COUNTA(Q419:Q1644)=0,"""",IF(REGEXMATCH(INDEX(FILTER(Q$4:Q419,Q$4:Q419&lt;&gt;""""),ROWS(FILTER(Q$4:Q419,Q$4:Q419&lt;&gt;""""))),""^Sell_""),INDEX(FILTER(T$4:T418,Q$4:Q418&lt;&gt;""""),ROWS(FILTER(Q$4:Q418,Q$4:Q418&lt;&gt;""""))),$AD$5+S419))"),559849.8)</f>
        <v>559849.8</v>
      </c>
      <c r="U419" s="10">
        <f>IFERROR(__xludf.DUMMYFUNCTION("IF(COUNTA(Q419:Q1644)=0,"""",IF(Q419="""",0,IF(REGEXMATCH(Q419,""^Sell_""),-ROUNDDOWN(ROUNDUP(INDEX(Upgrades!$C$3:$C$13,MATCH(SUBSTITUTE(Q419,""Sell_"",""""),Upgrades!$B$3:$B$13,0))*1.15^(COUNTIF(Q$4:Q418,SUBSTITUTE(Q419,""Sell_"",""""))-COUNTIF(Q$4:Q418,"&amp;"""Sell_""&amp;SUBSTITUTE(Q419,""Sell_"",""""))))/2),ROUNDUP(INDEX(Upgrades!$C$3:$C$13,MATCH(Q419,Upgrades!$B$3:$B$13,0))*1.15^(COUNTIF(Q$4:Q418,Q419)-COUNTIF(Q$4:Q418,""Sell_""&amp;Q419))))))"),286252.0)</f>
        <v>286252</v>
      </c>
      <c r="V419" s="10">
        <f t="shared" si="11"/>
        <v>286252</v>
      </c>
      <c r="W419" s="68">
        <f t="shared" si="12"/>
        <v>7791.948756</v>
      </c>
      <c r="X419" s="59" t="str">
        <f t="shared" si="13"/>
        <v>2h 09m 51s</v>
      </c>
      <c r="Y419" s="69">
        <f t="shared" si="14"/>
        <v>994863201</v>
      </c>
      <c r="Z419" s="11"/>
      <c r="AG419" s="59"/>
    </row>
    <row r="420">
      <c r="A420" s="8"/>
      <c r="B420" s="56" t="str">
        <f t="shared" si="2"/>
        <v/>
      </c>
      <c r="C420" s="105"/>
      <c r="D420" s="10"/>
      <c r="E420" s="59" t="str">
        <f t="array" ref="E420">IF(COUNTA(C420:C1644)=0,"",SUM((COUNTIF(C$4:C420,Upgrades!$B$3:$B$13)-COUNTIF(C$4:C420,"Sell_"&amp;Upgrades!$B$3:$B$13))*Upgrades!$D$3:$D$13))</f>
        <v/>
      </c>
      <c r="F420" s="66" t="str">
        <f>IFERROR(__xludf.DUMMYFUNCTION("IF(COUNTA(C420:C1644)=0,"""",IF(REGEXMATCH(INDEX(FILTER(C$4:C420,C$4:C420&lt;&gt;""""),ROWS(FILTER(C$4:C420,C$4:C420&lt;&gt;""""))),""^Sell_""),INDEX(FILTER(F$4:F419,C$4:C419&lt;&gt;""""),ROWS(FILTER(C$4:C419,C$4:C419&lt;&gt;""""))),$AC$5+E420))"),"")</f>
        <v/>
      </c>
      <c r="G420" s="10" t="str">
        <f>IFERROR(__xludf.DUMMYFUNCTION("IF(COUNTA(C420:C1644)=0,"""",IF(C420="""",0,IF(REGEXMATCH(C420,""^Sell_""),-ROUNDDOWN(ROUNDUP(INDEX(Upgrades!$C$3:$C$13,MATCH(SUBSTITUTE(C420,""Sell_"",""""),Upgrades!$B$3:$B$13,0))*1.15^(COUNTIF(C$4:C419,SUBSTITUTE(C420,""Sell_"",""""))-COUNTIF(C$4:C419,"&amp;"""Sell_""&amp;SUBSTITUTE(C420,""Sell_"",""""))))/2),ROUNDUP(INDEX(Upgrades!$C$3:$C$13,MATCH(C420,Upgrades!$B$3:$B$13,0))*1.15^(COUNTIF(C$4:C419,C420)-COUNTIF(C$4:C419,""Sell_""&amp;C420))))))"),"")</f>
        <v/>
      </c>
      <c r="H420" s="10" t="str">
        <f t="shared" si="3"/>
        <v/>
      </c>
      <c r="I420" s="68" t="str">
        <f t="shared" si="4"/>
        <v/>
      </c>
      <c r="J420" s="59" t="str">
        <f t="shared" si="5"/>
        <v/>
      </c>
      <c r="K420" s="69" t="str">
        <f t="shared" si="6"/>
        <v/>
      </c>
      <c r="L420" s="60">
        <f t="shared" si="7"/>
        <v>-49.26975</v>
      </c>
      <c r="M420" s="61">
        <f>IFERROR(__xludf.DUMMYFUNCTION("IFS(AND(COUNTA(C420:C1644)=0,COUNTA(Q420:Q1644)=0),"""",OR(AND(K420&gt;=1000000000,OR(Y420&gt;=1000000000,COUNTA(Q420:Q1644)=0)),OR(Y420&gt;=1000000000,AND(COUNTA(C420:C1644)=0,P$3=TRUE))),
ROUNDDOWN((AB$1-AC$1)*MAX(INDEX(T$4:T1644,MATCH(LARGE(FILTER(Y$4:Y1644,Y$4"&amp;":Y1644&lt;1000000000),1),Y$4:Y1644)),INDEX(F$4:F1644,MATCH(LARGE(FILTER(K$4:K1644,K$4:K1644&lt;1000000000),1),K$4:K1644)))),AND(K420&lt;1000000000,COUNTA(C420:C1644)&gt;0,P$3=FALSE),
ROUNDDOWN(INDEX(Y$4:Y1644,MATCH(LARGE(FILTER(W$4:W1644,W$4:W1644&lt;=I420),1),W$4:W1644"&amp;"))+(I420-LARGE(FILTER(W$4:W1644,W$4:W1644&lt;=I420),1))*INDEX(T$4:T1644,MATCH(LARGE(FILTER(W$4:W1644,W$4:W1644&lt;=I420),1),W$4:W1644))-K420),1,
ROUNDDOWN(Y420-INDEX(K$4:K1644,MATCH(LARGE(FILTER(I$4:I1644,I$4:I1644&lt;=W420),1),I$4:I1644))-(W420-LARGE(FILTER(I$4:I"&amp;"1644,I$4:I1644&lt;=W420),1))*INDEX(F$4:F1644,MATCH(LARGE(FILTER(I$4:I1644,I$4:I1644&lt;=W420),1),I$4:I1644))))"),2.7982614E7)</f>
        <v>27982614</v>
      </c>
      <c r="N420" s="60">
        <f t="shared" si="8"/>
        <v>-49.26975</v>
      </c>
      <c r="O420" s="61" t="str">
        <f t="shared" si="9"/>
        <v>28,0M</v>
      </c>
      <c r="P420" s="56">
        <f t="shared" si="10"/>
        <v>30</v>
      </c>
      <c r="Q420" s="105" t="s">
        <v>5</v>
      </c>
      <c r="R420" s="10"/>
      <c r="S420" s="59">
        <f t="array" ref="S420">IF(COUNTA(Q420:Q1644)=0,"",SUM((COUNTIF(Q$4:Q420,Upgrades!$B$3:$B$13)-COUNTIF(Q$4:Q420,"Sell_"&amp;Upgrades!$B$3:$B$13))*Upgrades!$D$3:$D$13))</f>
        <v>559843.8</v>
      </c>
      <c r="T420" s="66">
        <f>IFERROR(__xludf.DUMMYFUNCTION("IF(COUNTA(Q420:Q1644)=0,"""",IF(REGEXMATCH(INDEX(FILTER(Q$4:Q420,Q$4:Q420&lt;&gt;""""),ROWS(FILTER(Q$4:Q420,Q$4:Q420&lt;&gt;""""))),""^Sell_""),INDEX(FILTER(T$4:T419,Q$4:Q419&lt;&gt;""""),ROWS(FILTER(Q$4:Q419,Q$4:Q419&lt;&gt;""""))),$AD$5+S420))"),559853.8)</f>
        <v>559853.8</v>
      </c>
      <c r="U420" s="10">
        <f>IFERROR(__xludf.DUMMYFUNCTION("IF(COUNTA(Q420:Q1644)=0,"""",IF(Q420="""",0,IF(REGEXMATCH(Q420,""^Sell_""),-ROUNDDOWN(ROUNDUP(INDEX(Upgrades!$C$3:$C$13,MATCH(SUBSTITUTE(Q420,""Sell_"",""""),Upgrades!$B$3:$B$13,0))*1.15^(COUNTIF(Q$4:Q419,SUBSTITUTE(Q420,""Sell_"",""""))-COUNTIF(Q$4:Q419,"&amp;"""Sell_""&amp;SUBSTITUTE(Q420,""Sell_"",""""))))/2),ROUNDUP(INDEX(Upgrades!$C$3:$C$13,MATCH(Q420,Upgrades!$B$3:$B$13,0))*1.15^(COUNTIF(Q$4:Q419,Q420)-COUNTIF(Q$4:Q419,""Sell_""&amp;Q420))))))"),28788.0)</f>
        <v>28788</v>
      </c>
      <c r="V420" s="10">
        <f t="shared" si="11"/>
        <v>28788</v>
      </c>
      <c r="W420" s="68">
        <f t="shared" si="12"/>
        <v>7792.000177</v>
      </c>
      <c r="X420" s="59" t="str">
        <f t="shared" si="13"/>
        <v>2h 09m 52s</v>
      </c>
      <c r="Y420" s="69">
        <f t="shared" si="14"/>
        <v>994891989</v>
      </c>
      <c r="Z420" s="11"/>
      <c r="AG420" s="59"/>
    </row>
    <row r="421">
      <c r="A421" s="8"/>
      <c r="B421" s="56" t="str">
        <f t="shared" si="2"/>
        <v/>
      </c>
      <c r="C421" s="105"/>
      <c r="D421" s="10"/>
      <c r="E421" s="59" t="str">
        <f t="array" ref="E421">IF(COUNTA(C421:C1644)=0,"",SUM((COUNTIF(C$4:C421,Upgrades!$B$3:$B$13)-COUNTIF(C$4:C421,"Sell_"&amp;Upgrades!$B$3:$B$13))*Upgrades!$D$3:$D$13))</f>
        <v/>
      </c>
      <c r="F421" s="66" t="str">
        <f>IFERROR(__xludf.DUMMYFUNCTION("IF(COUNTA(C421:C1644)=0,"""",IF(REGEXMATCH(INDEX(FILTER(C$4:C421,C$4:C421&lt;&gt;""""),ROWS(FILTER(C$4:C421,C$4:C421&lt;&gt;""""))),""^Sell_""),INDEX(FILTER(F$4:F420,C$4:C420&lt;&gt;""""),ROWS(FILTER(C$4:C420,C$4:C420&lt;&gt;""""))),$AC$5+E421))"),"")</f>
        <v/>
      </c>
      <c r="G421" s="10" t="str">
        <f>IFERROR(__xludf.DUMMYFUNCTION("IF(COUNTA(C421:C1644)=0,"""",IF(C421="""",0,IF(REGEXMATCH(C421,""^Sell_""),-ROUNDDOWN(ROUNDUP(INDEX(Upgrades!$C$3:$C$13,MATCH(SUBSTITUTE(C421,""Sell_"",""""),Upgrades!$B$3:$B$13,0))*1.15^(COUNTIF(C$4:C420,SUBSTITUTE(C421,""Sell_"",""""))-COUNTIF(C$4:C420,"&amp;"""Sell_""&amp;SUBSTITUTE(C421,""Sell_"",""""))))/2),ROUNDUP(INDEX(Upgrades!$C$3:$C$13,MATCH(C421,Upgrades!$B$3:$B$13,0))*1.15^(COUNTIF(C$4:C420,C421)-COUNTIF(C$4:C420,""Sell_""&amp;C421))))))"),"")</f>
        <v/>
      </c>
      <c r="H421" s="10" t="str">
        <f t="shared" si="3"/>
        <v/>
      </c>
      <c r="I421" s="68" t="str">
        <f t="shared" si="4"/>
        <v/>
      </c>
      <c r="J421" s="59" t="str">
        <f t="shared" si="5"/>
        <v/>
      </c>
      <c r="K421" s="69" t="str">
        <f t="shared" si="6"/>
        <v/>
      </c>
      <c r="L421" s="60">
        <f t="shared" si="7"/>
        <v>-49.26764</v>
      </c>
      <c r="M421" s="61">
        <f>IFERROR(__xludf.DUMMYFUNCTION("IFS(AND(COUNTA(C421:C1644)=0,COUNTA(Q421:Q1644)=0),"""",OR(AND(K421&gt;=1000000000,OR(Y421&gt;=1000000000,COUNTA(Q421:Q1644)=0)),OR(Y421&gt;=1000000000,AND(COUNTA(C421:C1644)=0,P$3=TRUE))),
ROUNDDOWN((AB$1-AC$1)*MAX(INDEX(T$4:T1644,MATCH(LARGE(FILTER(Y$4:Y1644,Y$4"&amp;":Y1644&lt;1000000000),1),Y$4:Y1644)),INDEX(F$4:F1644,MATCH(LARGE(FILTER(K$4:K1644,K$4:K1644&lt;1000000000),1),K$4:K1644)))),AND(K421&lt;1000000000,COUNTA(C421:C1644)&gt;0,P$3=FALSE),
ROUNDDOWN(INDEX(Y$4:Y1644,MATCH(LARGE(FILTER(W$4:W1644,W$4:W1644&lt;=I421),1),W$4:W1644"&amp;"))+(I421-LARGE(FILTER(W$4:W1644,W$4:W1644&lt;=I421),1))*INDEX(T$4:T1644,MATCH(LARGE(FILTER(W$4:W1644,W$4:W1644&lt;=I421),1),W$4:W1644))-K421),1,
ROUNDDOWN(Y421-INDEX(K$4:K1644,MATCH(LARGE(FILTER(I$4:I1644,I$4:I1644&lt;=W421),1),I$4:I1644))-(W421-LARGE(FILTER(I$4:I"&amp;"1644,I$4:I1644&lt;=W421),1))*INDEX(F$4:F1644,MATCH(LARGE(FILTER(I$4:I1644,I$4:I1644&lt;=W421),1),I$4:I1644))))"),2.7981677E7)</f>
        <v>27981677</v>
      </c>
      <c r="N421" s="60">
        <f t="shared" si="8"/>
        <v>-49.26764</v>
      </c>
      <c r="O421" s="61" t="str">
        <f t="shared" si="9"/>
        <v>28,0M</v>
      </c>
      <c r="P421" s="56">
        <f t="shared" si="10"/>
        <v>24</v>
      </c>
      <c r="Q421" s="105" t="s">
        <v>6</v>
      </c>
      <c r="R421" s="10"/>
      <c r="S421" s="59">
        <f t="array" ref="S421">IF(COUNTA(Q421:Q1644)=0,"",SUM((COUNTIF(Q$4:Q421,Upgrades!$B$3:$B$13)-COUNTIF(Q$4:Q421,"Sell_"&amp;Upgrades!$B$3:$B$13))*Upgrades!$D$3:$D$13))</f>
        <v>559853.8</v>
      </c>
      <c r="T421" s="66">
        <f>IFERROR(__xludf.DUMMYFUNCTION("IF(COUNTA(Q421:Q1644)=0,"""",IF(REGEXMATCH(INDEX(FILTER(Q$4:Q421,Q$4:Q421&lt;&gt;""""),ROWS(FILTER(Q$4:Q421,Q$4:Q421&lt;&gt;""""))),""^Sell_""),INDEX(FILTER(T$4:T420,Q$4:Q420&lt;&gt;""""),ROWS(FILTER(Q$4:Q420,Q$4:Q420&lt;&gt;""""))),$AD$5+S421))"),559863.8)</f>
        <v>559863.8</v>
      </c>
      <c r="U421" s="10">
        <f>IFERROR(__xludf.DUMMYFUNCTION("IF(COUNTA(Q421:Q1644)=0,"""",IF(Q421="""",0,IF(REGEXMATCH(Q421,""^Sell_""),-ROUNDDOWN(ROUNDUP(INDEX(Upgrades!$C$3:$C$13,MATCH(SUBSTITUTE(Q421,""Sell_"",""""),Upgrades!$B$3:$B$13,0))*1.15^(COUNTIF(Q$4:Q420,SUBSTITUTE(Q421,""Sell_"",""""))-COUNTIF(Q$4:Q420,"&amp;"""Sell_""&amp;SUBSTITUTE(Q421,""Sell_"",""""))))/2),ROUNDUP(INDEX(Upgrades!$C$3:$C$13,MATCH(Q421,Upgrades!$B$3:$B$13,0))*1.15^(COUNTIF(Q$4:Q420,Q421)-COUNTIF(Q$4:Q420,""Sell_""&amp;Q421))))))"),74675.0)</f>
        <v>74675</v>
      </c>
      <c r="V421" s="10">
        <f t="shared" si="11"/>
        <v>74675</v>
      </c>
      <c r="W421" s="68">
        <f t="shared" si="12"/>
        <v>7792.13356</v>
      </c>
      <c r="X421" s="59" t="str">
        <f t="shared" si="13"/>
        <v>2h 09m 52s</v>
      </c>
      <c r="Y421" s="69">
        <f t="shared" si="14"/>
        <v>994966664</v>
      </c>
      <c r="Z421" s="11"/>
      <c r="AG421" s="59"/>
    </row>
    <row r="422">
      <c r="A422" s="8"/>
      <c r="B422" s="56" t="str">
        <f t="shared" si="2"/>
        <v/>
      </c>
      <c r="C422" s="105"/>
      <c r="D422" s="10"/>
      <c r="E422" s="59" t="str">
        <f t="array" ref="E422">IF(COUNTA(C422:C1644)=0,"",SUM((COUNTIF(C$4:C422,Upgrades!$B$3:$B$13)-COUNTIF(C$4:C422,"Sell_"&amp;Upgrades!$B$3:$B$13))*Upgrades!$D$3:$D$13))</f>
        <v/>
      </c>
      <c r="F422" s="66" t="str">
        <f>IFERROR(__xludf.DUMMYFUNCTION("IF(COUNTA(C422:C1644)=0,"""",IF(REGEXMATCH(INDEX(FILTER(C$4:C422,C$4:C422&lt;&gt;""""),ROWS(FILTER(C$4:C422,C$4:C422&lt;&gt;""""))),""^Sell_""),INDEX(FILTER(F$4:F421,C$4:C421&lt;&gt;""""),ROWS(FILTER(C$4:C421,C$4:C421&lt;&gt;""""))),$AC$5+E422))"),"")</f>
        <v/>
      </c>
      <c r="G422" s="10" t="str">
        <f>IFERROR(__xludf.DUMMYFUNCTION("IF(COUNTA(C422:C1644)=0,"""",IF(C422="""",0,IF(REGEXMATCH(C422,""^Sell_""),-ROUNDDOWN(ROUNDUP(INDEX(Upgrades!$C$3:$C$13,MATCH(SUBSTITUTE(C422,""Sell_"",""""),Upgrades!$B$3:$B$13,0))*1.15^(COUNTIF(C$4:C421,SUBSTITUTE(C422,""Sell_"",""""))-COUNTIF(C$4:C421,"&amp;"""Sell_""&amp;SUBSTITUTE(C422,""Sell_"",""""))))/2),ROUNDUP(INDEX(Upgrades!$C$3:$C$13,MATCH(C422,Upgrades!$B$3:$B$13,0))*1.15^(COUNTIF(C$4:C421,C422)-COUNTIF(C$4:C421,""Sell_""&amp;C422))))))"),"")</f>
        <v/>
      </c>
      <c r="H422" s="10" t="str">
        <f t="shared" si="3"/>
        <v/>
      </c>
      <c r="I422" s="68" t="str">
        <f t="shared" si="4"/>
        <v/>
      </c>
      <c r="J422" s="59" t="str">
        <f t="shared" si="5"/>
        <v/>
      </c>
      <c r="K422" s="69" t="str">
        <f t="shared" si="6"/>
        <v/>
      </c>
      <c r="L422" s="60">
        <f t="shared" si="7"/>
        <v>-49.26762</v>
      </c>
      <c r="M422" s="61">
        <f>IFERROR(__xludf.DUMMYFUNCTION("IFS(AND(COUNTA(C422:C1644)=0,COUNTA(Q422:Q1644)=0),"""",OR(AND(K422&gt;=1000000000,OR(Y422&gt;=1000000000,COUNTA(Q422:Q1644)=0)),OR(Y422&gt;=1000000000,AND(COUNTA(C422:C1644)=0,P$3=TRUE))),
ROUNDDOWN((AB$1-AC$1)*MAX(INDEX(T$4:T1644,MATCH(LARGE(FILTER(Y$4:Y1644,Y$4"&amp;":Y1644&lt;1000000000),1),Y$4:Y1644)),INDEX(F$4:F1644,MATCH(LARGE(FILTER(K$4:K1644,K$4:K1644&lt;1000000000),1),K$4:K1644)))),AND(K422&lt;1000000000,COUNTA(C422:C1644)&gt;0,P$3=FALSE),
ROUNDDOWN(INDEX(Y$4:Y1644,MATCH(LARGE(FILTER(W$4:W1644,W$4:W1644&lt;=I422),1),W$4:W1644"&amp;"))+(I422-LARGE(FILTER(W$4:W1644,W$4:W1644&lt;=I422),1))*INDEX(T$4:T1644,MATCH(LARGE(FILTER(W$4:W1644,W$4:W1644&lt;=I422),1),W$4:W1644))-K422),1,
ROUNDDOWN(Y422-INDEX(K$4:K1644,MATCH(LARGE(FILTER(I$4:I1644,I$4:I1644&lt;=W422),1),I$4:I1644))-(W422-LARGE(FILTER(I$4:I"&amp;"1644,I$4:I1644&lt;=W422),1))*INDEX(F$4:F1644,MATCH(LARGE(FILTER(I$4:I1644,I$4:I1644&lt;=W422),1),I$4:I1644))))"),2.7981668E7)</f>
        <v>27981668</v>
      </c>
      <c r="N422" s="60">
        <f t="shared" si="8"/>
        <v>-49.26762</v>
      </c>
      <c r="O422" s="61" t="str">
        <f t="shared" si="9"/>
        <v>28,0M</v>
      </c>
      <c r="P422" s="56">
        <f t="shared" si="10"/>
        <v>29</v>
      </c>
      <c r="Q422" s="105" t="s">
        <v>3</v>
      </c>
      <c r="R422" s="10"/>
      <c r="S422" s="59">
        <f t="array" ref="S422">IF(COUNTA(Q422:Q1644)=0,"",SUM((COUNTIF(Q$4:Q422,Upgrades!$B$3:$B$13)-COUNTIF(Q$4:Q422,"Sell_"&amp;Upgrades!$B$3:$B$13))*Upgrades!$D$3:$D$13))</f>
        <v>559853.9</v>
      </c>
      <c r="T422" s="66">
        <f>IFERROR(__xludf.DUMMYFUNCTION("IF(COUNTA(Q422:Q1644)=0,"""",IF(REGEXMATCH(INDEX(FILTER(Q$4:Q422,Q$4:Q422&lt;&gt;""""),ROWS(FILTER(Q$4:Q422,Q$4:Q422&lt;&gt;""""))),""^Sell_""),INDEX(FILTER(T$4:T421,Q$4:Q421&lt;&gt;""""),ROWS(FILTER(Q$4:Q421,Q$4:Q421&lt;&gt;""""))),$AD$5+S422))"),559863.9)</f>
        <v>559863.9</v>
      </c>
      <c r="U422" s="10">
        <f>IFERROR(__xludf.DUMMYFUNCTION("IF(COUNTA(Q422:Q1644)=0,"""",IF(Q422="""",0,IF(REGEXMATCH(Q422,""^Sell_""),-ROUNDDOWN(ROUNDUP(INDEX(Upgrades!$C$3:$C$13,MATCH(SUBSTITUTE(Q422,""Sell_"",""""),Upgrades!$B$3:$B$13,0))*1.15^(COUNTIF(Q$4:Q421,SUBSTITUTE(Q422,""Sell_"",""""))-COUNTIF(Q$4:Q421,"&amp;"""Sell_""&amp;SUBSTITUTE(Q422,""Sell_"",""""))))/2),ROUNDUP(INDEX(Upgrades!$C$3:$C$13,MATCH(Q422,Upgrades!$B$3:$B$13,0))*1.15^(COUNTIF(Q$4:Q421,Q422)-COUNTIF(Q$4:Q421,""Sell_""&amp;Q422))))))"),751.0)</f>
        <v>751</v>
      </c>
      <c r="V422" s="10">
        <f t="shared" si="11"/>
        <v>751</v>
      </c>
      <c r="W422" s="68">
        <f t="shared" si="12"/>
        <v>7792.134901</v>
      </c>
      <c r="X422" s="59" t="str">
        <f t="shared" si="13"/>
        <v>2h 09m 52s</v>
      </c>
      <c r="Y422" s="69">
        <f t="shared" si="14"/>
        <v>994967415</v>
      </c>
      <c r="Z422" s="11"/>
      <c r="AG422" s="59"/>
    </row>
    <row r="423">
      <c r="A423" s="8"/>
      <c r="B423" s="56" t="str">
        <f t="shared" si="2"/>
        <v/>
      </c>
      <c r="C423" s="105"/>
      <c r="D423" s="10"/>
      <c r="E423" s="59" t="str">
        <f t="array" ref="E423">IF(COUNTA(C423:C1644)=0,"",SUM((COUNTIF(C$4:C423,Upgrades!$B$3:$B$13)-COUNTIF(C$4:C423,"Sell_"&amp;Upgrades!$B$3:$B$13))*Upgrades!$D$3:$D$13))</f>
        <v/>
      </c>
      <c r="F423" s="66" t="str">
        <f>IFERROR(__xludf.DUMMYFUNCTION("IF(COUNTA(C423:C1644)=0,"""",IF(REGEXMATCH(INDEX(FILTER(C$4:C423,C$4:C423&lt;&gt;""""),ROWS(FILTER(C$4:C423,C$4:C423&lt;&gt;""""))),""^Sell_""),INDEX(FILTER(F$4:F422,C$4:C422&lt;&gt;""""),ROWS(FILTER(C$4:C422,C$4:C422&lt;&gt;""""))),$AC$5+E423))"),"")</f>
        <v/>
      </c>
      <c r="G423" s="10" t="str">
        <f>IFERROR(__xludf.DUMMYFUNCTION("IF(COUNTA(C423:C1644)=0,"""",IF(C423="""",0,IF(REGEXMATCH(C423,""^Sell_""),-ROUNDDOWN(ROUNDUP(INDEX(Upgrades!$C$3:$C$13,MATCH(SUBSTITUTE(C423,""Sell_"",""""),Upgrades!$B$3:$B$13,0))*1.15^(COUNTIF(C$4:C422,SUBSTITUTE(C423,""Sell_"",""""))-COUNTIF(C$4:C422,"&amp;"""Sell_""&amp;SUBSTITUTE(C423,""Sell_"",""""))))/2),ROUNDUP(INDEX(Upgrades!$C$3:$C$13,MATCH(C423,Upgrades!$B$3:$B$13,0))*1.15^(COUNTIF(C$4:C422,C423)-COUNTIF(C$4:C422,""Sell_""&amp;C423))))))"),"")</f>
        <v/>
      </c>
      <c r="H423" s="10" t="str">
        <f t="shared" si="3"/>
        <v/>
      </c>
      <c r="I423" s="68" t="str">
        <f t="shared" si="4"/>
        <v/>
      </c>
      <c r="J423" s="59" t="str">
        <f t="shared" si="5"/>
        <v/>
      </c>
      <c r="K423" s="69" t="str">
        <f t="shared" si="6"/>
        <v/>
      </c>
      <c r="L423" s="60">
        <f t="shared" si="7"/>
        <v>-49.24631</v>
      </c>
      <c r="M423" s="61">
        <f>IFERROR(__xludf.DUMMYFUNCTION("IFS(AND(COUNTA(C423:C1644)=0,COUNTA(Q423:Q1644)=0),"""",OR(AND(K423&gt;=1000000000,OR(Y423&gt;=1000000000,COUNTA(Q423:Q1644)=0)),OR(Y423&gt;=1000000000,AND(COUNTA(C423:C1644)=0,P$3=TRUE))),
ROUNDDOWN((AB$1-AC$1)*MAX(INDEX(T$4:T1644,MATCH(LARGE(FILTER(Y$4:Y1644,Y$4"&amp;":Y1644&lt;1000000000),1),Y$4:Y1644)),INDEX(F$4:F1644,MATCH(LARGE(FILTER(K$4:K1644,K$4:K1644&lt;1000000000),1),K$4:K1644)))),AND(K423&lt;1000000000,COUNTA(C423:C1644)&gt;0,P$3=FALSE),
ROUNDDOWN(INDEX(Y$4:Y1644,MATCH(LARGE(FILTER(W$4:W1644,W$4:W1644&lt;=I423),1),W$4:W1644"&amp;"))+(I423-LARGE(FILTER(W$4:W1644,W$4:W1644&lt;=I423),1))*INDEX(T$4:T1644,MATCH(LARGE(FILTER(W$4:W1644,W$4:W1644&lt;=I423),1),W$4:W1644))-K423),1,
ROUNDDOWN(Y423-INDEX(K$4:K1644,MATCH(LARGE(FILTER(I$4:I1644,I$4:I1644&lt;=W423),1),I$4:I1644))-(W423-LARGE(FILTER(I$4:I"&amp;"1644,I$4:I1644&lt;=W423),1))*INDEX(F$4:F1644,MATCH(LARGE(FILTER(I$4:I1644,I$4:I1644&lt;=W423),1),I$4:I1644))))"),2.7972239E7)</f>
        <v>27972239</v>
      </c>
      <c r="N423" s="60">
        <f t="shared" si="8"/>
        <v>-49.24631</v>
      </c>
      <c r="O423" s="61" t="str">
        <f t="shared" si="9"/>
        <v>28,0M</v>
      </c>
      <c r="P423" s="56">
        <f t="shared" si="10"/>
        <v>22</v>
      </c>
      <c r="Q423" s="105" t="s">
        <v>8</v>
      </c>
      <c r="R423" s="10"/>
      <c r="S423" s="59">
        <f t="array" ref="S423">IF(COUNTA(Q423:Q1644)=0,"",SUM((COUNTIF(Q$4:Q423,Upgrades!$B$3:$B$13)-COUNTIF(Q$4:Q423,"Sell_"&amp;Upgrades!$B$3:$B$13))*Upgrades!$D$3:$D$13))</f>
        <v>559953.9</v>
      </c>
      <c r="T423" s="66">
        <f>IFERROR(__xludf.DUMMYFUNCTION("IF(COUNTA(Q423:Q1644)=0,"""",IF(REGEXMATCH(INDEX(FILTER(Q$4:Q423,Q$4:Q423&lt;&gt;""""),ROWS(FILTER(Q$4:Q423,Q$4:Q423&lt;&gt;""""))),""^Sell_""),INDEX(FILTER(T$4:T422,Q$4:Q422&lt;&gt;""""),ROWS(FILTER(Q$4:Q422,Q$4:Q422&lt;&gt;""""))),$AD$5+S423))"),559963.9)</f>
        <v>559963.9</v>
      </c>
      <c r="U423" s="10">
        <f>IFERROR(__xludf.DUMMYFUNCTION("IF(COUNTA(Q423:Q1644)=0,"""",IF(Q423="""",0,IF(REGEXMATCH(Q423,""^Sell_""),-ROUNDDOWN(ROUNDUP(INDEX(Upgrades!$C$3:$C$13,MATCH(SUBSTITUTE(Q423,""Sell_"",""""),Upgrades!$B$3:$B$13,0))*1.15^(COUNTIF(Q$4:Q422,SUBSTITUTE(Q423,""Sell_"",""""))-COUNTIF(Q$4:Q422,"&amp;"""Sell_""&amp;SUBSTITUTE(Q423,""Sell_"",""""))))/2),ROUNDUP(INDEX(Upgrades!$C$3:$C$13,MATCH(Q423,Upgrades!$B$3:$B$13,0))*1.15^(COUNTIF(Q$4:Q422,Q423)-COUNTIF(Q$4:Q422,""Sell_""&amp;Q423))))))"),752861.0)</f>
        <v>752861</v>
      </c>
      <c r="V423" s="10">
        <f t="shared" si="11"/>
        <v>752861</v>
      </c>
      <c r="W423" s="68">
        <f t="shared" si="12"/>
        <v>7793.479622</v>
      </c>
      <c r="X423" s="59" t="str">
        <f t="shared" si="13"/>
        <v>2h 09m 53s</v>
      </c>
      <c r="Y423" s="69">
        <f t="shared" si="14"/>
        <v>995720276</v>
      </c>
      <c r="Z423" s="11"/>
      <c r="AG423" s="59"/>
    </row>
    <row r="424">
      <c r="A424" s="8"/>
      <c r="B424" s="56" t="str">
        <f t="shared" si="2"/>
        <v/>
      </c>
      <c r="C424" s="105"/>
      <c r="D424" s="10"/>
      <c r="E424" s="59" t="str">
        <f t="array" ref="E424">IF(COUNTA(C424:C1644)=0,"",SUM((COUNTIF(C$4:C424,Upgrades!$B$3:$B$13)-COUNTIF(C$4:C424,"Sell_"&amp;Upgrades!$B$3:$B$13))*Upgrades!$D$3:$D$13))</f>
        <v/>
      </c>
      <c r="F424" s="66" t="str">
        <f>IFERROR(__xludf.DUMMYFUNCTION("IF(COUNTA(C424:C1644)=0,"""",IF(REGEXMATCH(INDEX(FILTER(C$4:C424,C$4:C424&lt;&gt;""""),ROWS(FILTER(C$4:C424,C$4:C424&lt;&gt;""""))),""^Sell_""),INDEX(FILTER(F$4:F423,C$4:C423&lt;&gt;""""),ROWS(FILTER(C$4:C423,C$4:C423&lt;&gt;""""))),$AC$5+E424))"),"")</f>
        <v/>
      </c>
      <c r="G424" s="10" t="str">
        <f>IFERROR(__xludf.DUMMYFUNCTION("IF(COUNTA(C424:C1644)=0,"""",IF(C424="""",0,IF(REGEXMATCH(C424,""^Sell_""),-ROUNDDOWN(ROUNDUP(INDEX(Upgrades!$C$3:$C$13,MATCH(SUBSTITUTE(C424,""Sell_"",""""),Upgrades!$B$3:$B$13,0))*1.15^(COUNTIF(C$4:C423,SUBSTITUTE(C424,""Sell_"",""""))-COUNTIF(C$4:C423,"&amp;"""Sell_""&amp;SUBSTITUTE(C424,""Sell_"",""""))))/2),ROUNDUP(INDEX(Upgrades!$C$3:$C$13,MATCH(C424,Upgrades!$B$3:$B$13,0))*1.15^(COUNTIF(C$4:C423,C424)-COUNTIF(C$4:C423,""Sell_""&amp;C424))))))"),"")</f>
        <v/>
      </c>
      <c r="H424" s="10" t="str">
        <f t="shared" si="3"/>
        <v/>
      </c>
      <c r="I424" s="68" t="str">
        <f t="shared" si="4"/>
        <v/>
      </c>
      <c r="J424" s="59" t="str">
        <f t="shared" si="5"/>
        <v/>
      </c>
      <c r="K424" s="69" t="str">
        <f t="shared" si="6"/>
        <v/>
      </c>
      <c r="L424" s="60">
        <f t="shared" si="7"/>
        <v>-49.24621</v>
      </c>
      <c r="M424" s="61">
        <f>IFERROR(__xludf.DUMMYFUNCTION("IFS(AND(COUNTA(C424:C1644)=0,COUNTA(Q424:Q1644)=0),"""",OR(AND(K424&gt;=1000000000,OR(Y424&gt;=1000000000,COUNTA(Q424:Q1644)=0)),OR(Y424&gt;=1000000000,AND(COUNTA(C424:C1644)=0,P$3=TRUE))),
ROUNDDOWN((AB$1-AC$1)*MAX(INDEX(T$4:T1644,MATCH(LARGE(FILTER(Y$4:Y1644,Y$4"&amp;":Y1644&lt;1000000000),1),Y$4:Y1644)),INDEX(F$4:F1644,MATCH(LARGE(FILTER(K$4:K1644,K$4:K1644&lt;1000000000),1),K$4:K1644)))),AND(K424&lt;1000000000,COUNTA(C424:C1644)&gt;0,P$3=FALSE),
ROUNDDOWN(INDEX(Y$4:Y1644,MATCH(LARGE(FILTER(W$4:W1644,W$4:W1644&lt;=I424),1),W$4:W1644"&amp;"))+(I424-LARGE(FILTER(W$4:W1644,W$4:W1644&lt;=I424),1))*INDEX(T$4:T1644,MATCH(LARGE(FILTER(W$4:W1644,W$4:W1644&lt;=I424),1),W$4:W1644))-K424),1,
ROUNDDOWN(Y424-INDEX(K$4:K1644,MATCH(LARGE(FILTER(I$4:I1644,I$4:I1644&lt;=W424),1),I$4:I1644))-(W424-LARGE(FILTER(I$4:I"&amp;"1644,I$4:I1644&lt;=W424),1))*INDEX(F$4:F1644,MATCH(LARGE(FILTER(I$4:I1644,I$4:I1644&lt;=W424),1),I$4:I1644))))"),2.7972192E7)</f>
        <v>27972192</v>
      </c>
      <c r="N424" s="60">
        <f t="shared" si="8"/>
        <v>-49.24621</v>
      </c>
      <c r="O424" s="61" t="str">
        <f t="shared" si="9"/>
        <v>28,0M</v>
      </c>
      <c r="P424" s="56">
        <f t="shared" si="10"/>
        <v>27</v>
      </c>
      <c r="Q424" s="105" t="s">
        <v>4</v>
      </c>
      <c r="R424" s="10"/>
      <c r="S424" s="59">
        <f t="array" ref="S424">IF(COUNTA(Q424:Q1644)=0,"",SUM((COUNTIF(Q$4:Q424,Upgrades!$B$3:$B$13)-COUNTIF(Q$4:Q424,"Sell_"&amp;Upgrades!$B$3:$B$13))*Upgrades!$D$3:$D$13))</f>
        <v>559954.4</v>
      </c>
      <c r="T424" s="66">
        <f>IFERROR(__xludf.DUMMYFUNCTION("IF(COUNTA(Q424:Q1644)=0,"""",IF(REGEXMATCH(INDEX(FILTER(Q$4:Q424,Q$4:Q424&lt;&gt;""""),ROWS(FILTER(Q$4:Q424,Q$4:Q424&lt;&gt;""""))),""^Sell_""),INDEX(FILTER(T$4:T423,Q$4:Q423&lt;&gt;""""),ROWS(FILTER(Q$4:Q423,Q$4:Q423&lt;&gt;""""))),$AD$5+S424))"),559964.4)</f>
        <v>559964.4</v>
      </c>
      <c r="U424" s="10">
        <f>IFERROR(__xludf.DUMMYFUNCTION("IF(COUNTA(Q424:Q1644)=0,"""",IF(Q424="""",0,IF(REGEXMATCH(Q424,""^Sell_""),-ROUNDDOWN(ROUNDUP(INDEX(Upgrades!$C$3:$C$13,MATCH(SUBSTITUTE(Q424,""Sell_"",""""),Upgrades!$B$3:$B$13,0))*1.15^(COUNTIF(Q$4:Q423,SUBSTITUTE(Q424,""Sell_"",""""))-COUNTIF(Q$4:Q423,"&amp;"""Sell_""&amp;SUBSTITUTE(Q424,""Sell_"",""""))))/2),ROUNDUP(INDEX(Upgrades!$C$3:$C$13,MATCH(Q424,Upgrades!$B$3:$B$13,0))*1.15^(COUNTIF(Q$4:Q423,Q424)-COUNTIF(Q$4:Q423,""Sell_""&amp;Q424))))))"),3786.0)</f>
        <v>3786</v>
      </c>
      <c r="V424" s="10">
        <f t="shared" si="11"/>
        <v>3786</v>
      </c>
      <c r="W424" s="68">
        <f t="shared" si="12"/>
        <v>7793.486384</v>
      </c>
      <c r="X424" s="59" t="str">
        <f t="shared" si="13"/>
        <v>2h 09m 53s</v>
      </c>
      <c r="Y424" s="69">
        <f t="shared" si="14"/>
        <v>995724062</v>
      </c>
      <c r="Z424" s="11"/>
      <c r="AG424" s="59"/>
    </row>
    <row r="425">
      <c r="A425" s="8"/>
      <c r="B425" s="56" t="str">
        <f t="shared" si="2"/>
        <v/>
      </c>
      <c r="C425" s="105"/>
      <c r="D425" s="10"/>
      <c r="E425" s="59" t="str">
        <f t="array" ref="E425">IF(COUNTA(C425:C1644)=0,"",SUM((COUNTIF(C$4:C425,Upgrades!$B$3:$B$13)-COUNTIF(C$4:C425,"Sell_"&amp;Upgrades!$B$3:$B$13))*Upgrades!$D$3:$D$13))</f>
        <v/>
      </c>
      <c r="F425" s="66" t="str">
        <f>IFERROR(__xludf.DUMMYFUNCTION("IF(COUNTA(C425:C1644)=0,"""",IF(REGEXMATCH(INDEX(FILTER(C$4:C425,C$4:C425&lt;&gt;""""),ROWS(FILTER(C$4:C425,C$4:C425&lt;&gt;""""))),""^Sell_""),INDEX(FILTER(F$4:F424,C$4:C424&lt;&gt;""""),ROWS(FILTER(C$4:C424,C$4:C424&lt;&gt;""""))),$AC$5+E425))"),"")</f>
        <v/>
      </c>
      <c r="G425" s="10" t="str">
        <f>IFERROR(__xludf.DUMMYFUNCTION("IF(COUNTA(C425:C1644)=0,"""",IF(C425="""",0,IF(REGEXMATCH(C425,""^Sell_""),-ROUNDDOWN(ROUNDUP(INDEX(Upgrades!$C$3:$C$13,MATCH(SUBSTITUTE(C425,""Sell_"",""""),Upgrades!$B$3:$B$13,0))*1.15^(COUNTIF(C$4:C424,SUBSTITUTE(C425,""Sell_"",""""))-COUNTIF(C$4:C424,"&amp;"""Sell_""&amp;SUBSTITUTE(C425,""Sell_"",""""))))/2),ROUNDUP(INDEX(Upgrades!$C$3:$C$13,MATCH(C425,Upgrades!$B$3:$B$13,0))*1.15^(COUNTIF(C$4:C424,C425)-COUNTIF(C$4:C424,""Sell_""&amp;C425))))))"),"")</f>
        <v/>
      </c>
      <c r="H425" s="10" t="str">
        <f t="shared" si="3"/>
        <v/>
      </c>
      <c r="I425" s="68" t="str">
        <f t="shared" si="4"/>
        <v/>
      </c>
      <c r="J425" s="59" t="str">
        <f t="shared" si="5"/>
        <v/>
      </c>
      <c r="K425" s="69" t="str">
        <f t="shared" si="6"/>
        <v/>
      </c>
      <c r="L425" s="60">
        <f t="shared" si="7"/>
        <v>-49.15464</v>
      </c>
      <c r="M425" s="61">
        <f>IFERROR(__xludf.DUMMYFUNCTION("IFS(AND(COUNTA(C425:C1644)=0,COUNTA(Q425:Q1644)=0),"""",OR(AND(K425&gt;=1000000000,OR(Y425&gt;=1000000000,COUNTA(Q425:Q1644)=0)),OR(Y425&gt;=1000000000,AND(COUNTA(C425:C1644)=0,P$3=TRUE))),
ROUNDDOWN((AB$1-AC$1)*MAX(INDEX(T$4:T1644,MATCH(LARGE(FILTER(Y$4:Y1644,Y$4"&amp;":Y1644&lt;1000000000),1),Y$4:Y1644)),INDEX(F$4:F1644,MATCH(LARGE(FILTER(K$4:K1644,K$4:K1644&lt;1000000000),1),K$4:K1644)))),AND(K425&lt;1000000000,COUNTA(C425:C1644)&gt;0,P$3=FALSE),
ROUNDDOWN(INDEX(Y$4:Y1644,MATCH(LARGE(FILTER(W$4:W1644,W$4:W1644&lt;=I425),1),W$4:W1644"&amp;"))+(I425-LARGE(FILTER(W$4:W1644,W$4:W1644&lt;=I425),1))*INDEX(T$4:T1644,MATCH(LARGE(FILTER(W$4:W1644,W$4:W1644&lt;=I425),1),W$4:W1644))-K425),1,
ROUNDDOWN(Y425-INDEX(K$4:K1644,MATCH(LARGE(FILTER(I$4:I1644,I$4:I1644&lt;=W425),1),I$4:I1644))-(W425-LARGE(FILTER(I$4:I"&amp;"1644,I$4:I1644&lt;=W425),1))*INDEX(F$4:F1644,MATCH(LARGE(FILTER(I$4:I1644,I$4:I1644&lt;=W425),1),I$4:I1644))))"),2.7930925E7)</f>
        <v>27930925</v>
      </c>
      <c r="N425" s="60">
        <f t="shared" si="8"/>
        <v>-49.15464</v>
      </c>
      <c r="O425" s="61" t="str">
        <f t="shared" si="9"/>
        <v>27,9M</v>
      </c>
      <c r="P425" s="56">
        <f t="shared" si="10"/>
        <v>21</v>
      </c>
      <c r="Q425" s="105" t="s">
        <v>9</v>
      </c>
      <c r="R425" s="10"/>
      <c r="S425" s="59">
        <f t="array" ref="S425">IF(COUNTA(Q425:Q1644)=0,"",SUM((COUNTIF(Q$4:Q425,Upgrades!$B$3:$B$13)-COUNTIF(Q$4:Q425,"Sell_"&amp;Upgrades!$B$3:$B$13))*Upgrades!$D$3:$D$13))</f>
        <v>560354.4</v>
      </c>
      <c r="T425" s="66">
        <f>IFERROR(__xludf.DUMMYFUNCTION("IF(COUNTA(Q425:Q1644)=0,"""",IF(REGEXMATCH(INDEX(FILTER(Q$4:Q425,Q$4:Q425&lt;&gt;""""),ROWS(FILTER(Q$4:Q425,Q$4:Q425&lt;&gt;""""))),""^Sell_""),INDEX(FILTER(T$4:T424,Q$4:Q424&lt;&gt;""""),ROWS(FILTER(Q$4:Q424,Q$4:Q424&lt;&gt;""""))),$AD$5+S425))"),560364.4)</f>
        <v>560364.4</v>
      </c>
      <c r="U425" s="10">
        <f>IFERROR(__xludf.DUMMYFUNCTION("IF(COUNTA(Q425:Q1644)=0,"""",IF(Q425="""",0,IF(REGEXMATCH(Q425,""^Sell_""),-ROUNDDOWN(ROUNDUP(INDEX(Upgrades!$C$3:$C$13,MATCH(SUBSTITUTE(Q425,""Sell_"",""""),Upgrades!$B$3:$B$13,0))*1.15^(COUNTIF(Q$4:Q424,SUBSTITUTE(Q425,""Sell_"",""""))-COUNTIF(Q$4:Q424,"&amp;"""Sell_""&amp;SUBSTITUTE(Q425,""Sell_"",""""))))/2),ROUNDUP(INDEX(Upgrades!$C$3:$C$13,MATCH(Q425,Upgrades!$B$3:$B$13,0))*1.15^(COUNTIF(Q$4:Q424,Q425)-COUNTIF(Q$4:Q424,""Sell_""&amp;Q425))))))"),3273308.0)</f>
        <v>3273308</v>
      </c>
      <c r="V425" s="10">
        <f t="shared" si="11"/>
        <v>3273308</v>
      </c>
      <c r="W425" s="68">
        <f t="shared" si="12"/>
        <v>7799.331948</v>
      </c>
      <c r="X425" s="59" t="str">
        <f t="shared" si="13"/>
        <v>2h 09m 59s</v>
      </c>
      <c r="Y425" s="69">
        <f t="shared" si="14"/>
        <v>998997370</v>
      </c>
      <c r="Z425" s="11"/>
      <c r="AG425" s="59"/>
    </row>
    <row r="426">
      <c r="A426" s="8"/>
      <c r="B426" s="56" t="str">
        <f t="shared" si="2"/>
        <v/>
      </c>
      <c r="C426" s="105"/>
      <c r="D426" s="10"/>
      <c r="E426" s="59" t="str">
        <f t="array" ref="E426">IF(COUNTA(C426:C1644)=0,"",SUM((COUNTIF(C$4:C426,Upgrades!$B$3:$B$13)-COUNTIF(C$4:C426,"Sell_"&amp;Upgrades!$B$3:$B$13))*Upgrades!$D$3:$D$13))</f>
        <v/>
      </c>
      <c r="F426" s="66" t="str">
        <f>IFERROR(__xludf.DUMMYFUNCTION("IF(COUNTA(C426:C1644)=0,"""",IF(REGEXMATCH(INDEX(FILTER(C$4:C426,C$4:C426&lt;&gt;""""),ROWS(FILTER(C$4:C426,C$4:C426&lt;&gt;""""))),""^Sell_""),INDEX(FILTER(F$4:F425,C$4:C425&lt;&gt;""""),ROWS(FILTER(C$4:C425,C$4:C425&lt;&gt;""""))),$AC$5+E426))"),"")</f>
        <v/>
      </c>
      <c r="G426" s="10" t="str">
        <f>IFERROR(__xludf.DUMMYFUNCTION("IF(COUNTA(C426:C1644)=0,"""",IF(C426="""",0,IF(REGEXMATCH(C426,""^Sell_""),-ROUNDDOWN(ROUNDUP(INDEX(Upgrades!$C$3:$C$13,MATCH(SUBSTITUTE(C426,""Sell_"",""""),Upgrades!$B$3:$B$13,0))*1.15^(COUNTIF(C$4:C425,SUBSTITUTE(C426,""Sell_"",""""))-COUNTIF(C$4:C425,"&amp;"""Sell_""&amp;SUBSTITUTE(C426,""Sell_"",""""))))/2),ROUNDUP(INDEX(Upgrades!$C$3:$C$13,MATCH(C426,Upgrades!$B$3:$B$13,0))*1.15^(COUNTIF(C$4:C425,C426)-COUNTIF(C$4:C425,""Sell_""&amp;C426))))))"),"")</f>
        <v/>
      </c>
      <c r="H426" s="10" t="str">
        <f t="shared" si="3"/>
        <v/>
      </c>
      <c r="I426" s="68" t="str">
        <f t="shared" si="4"/>
        <v/>
      </c>
      <c r="J426" s="59" t="str">
        <f t="shared" si="5"/>
        <v/>
      </c>
      <c r="K426" s="69" t="str">
        <f t="shared" si="6"/>
        <v/>
      </c>
      <c r="L426" s="60">
        <f t="shared" si="7"/>
        <v>-49.14548</v>
      </c>
      <c r="M426" s="61">
        <f>IFERROR(__xludf.DUMMYFUNCTION("IFS(AND(COUNTA(C426:C1644)=0,COUNTA(Q426:Q1644)=0),"""",OR(AND(K426&gt;=1000000000,OR(Y426&gt;=1000000000,COUNTA(Q426:Q1644)=0)),OR(Y426&gt;=1000000000,AND(COUNTA(C426:C1644)=0,P$3=TRUE))),
ROUNDDOWN((AB$1-AC$1)*MAX(INDEX(T$4:T1644,MATCH(LARGE(FILTER(Y$4:Y1644,Y$4"&amp;":Y1644&lt;1000000000),1),Y$4:Y1644)),INDEX(F$4:F1644,MATCH(LARGE(FILTER(K$4:K1644,K$4:K1644&lt;1000000000),1),K$4:K1644)))),AND(K426&lt;1000000000,COUNTA(C426:C1644)&gt;0,P$3=FALSE),
ROUNDDOWN(INDEX(Y$4:Y1644,MATCH(LARGE(FILTER(W$4:W1644,W$4:W1644&lt;=I426),1),W$4:W1644"&amp;"))+(I426-LARGE(FILTER(W$4:W1644,W$4:W1644&lt;=I426),1))*INDEX(T$4:T1644,MATCH(LARGE(FILTER(W$4:W1644,W$4:W1644&lt;=I426),1),W$4:W1644))-K426),1,
ROUNDDOWN(Y426-INDEX(K$4:K1644,MATCH(LARGE(FILTER(I$4:I1644,I$4:I1644&lt;=W426),1),I$4:I1644))-(W426-LARGE(FILTER(I$4:I"&amp;"1644,I$4:I1644&lt;=W426),1))*INDEX(F$4:F1644,MATCH(LARGE(FILTER(I$4:I1644,I$4:I1644&lt;=W426),1),I$4:I1644))))"),2.7926864E7)</f>
        <v>27926864</v>
      </c>
      <c r="N426" s="60">
        <f t="shared" si="8"/>
        <v>-49.14548</v>
      </c>
      <c r="O426" s="61" t="str">
        <f t="shared" si="9"/>
        <v>27,9M</v>
      </c>
      <c r="P426" s="56">
        <f t="shared" si="10"/>
        <v>26</v>
      </c>
      <c r="Q426" s="105" t="s">
        <v>7</v>
      </c>
      <c r="R426" s="10"/>
      <c r="S426" s="59">
        <f t="array" ref="S426">IF(COUNTA(Q426:Q1644)=0,"",SUM((COUNTIF(Q$4:Q426,Upgrades!$B$3:$B$13)-COUNTIF(Q$4:Q426,"Sell_"&amp;Upgrades!$B$3:$B$13))*Upgrades!$D$3:$D$13))</f>
        <v>560394.4</v>
      </c>
      <c r="T426" s="66">
        <f>IFERROR(__xludf.DUMMYFUNCTION("IF(COUNTA(Q426:Q1644)=0,"""",IF(REGEXMATCH(INDEX(FILTER(Q$4:Q426,Q$4:Q426&lt;&gt;""""),ROWS(FILTER(Q$4:Q426,Q$4:Q426&lt;&gt;""""))),""^Sell_""),INDEX(FILTER(T$4:T425,Q$4:Q425&lt;&gt;""""),ROWS(FILTER(Q$4:Q425,Q$4:Q425&lt;&gt;""""))),$AD$5+S426))"),560404.4)</f>
        <v>560404.4</v>
      </c>
      <c r="U426" s="10">
        <f>IFERROR(__xludf.DUMMYFUNCTION("IF(COUNTA(Q426:Q1644)=0,"""",IF(Q426="""",0,IF(REGEXMATCH(Q426,""^Sell_""),-ROUNDDOWN(ROUNDUP(INDEX(Upgrades!$C$3:$C$13,MATCH(SUBSTITUTE(Q426,""Sell_"",""""),Upgrades!$B$3:$B$13,0))*1.15^(COUNTIF(Q$4:Q425,SUBSTITUTE(Q426,""Sell_"",""""))-COUNTIF(Q$4:Q425,"&amp;"""Sell_""&amp;SUBSTITUTE(Q426,""Sell_"",""""))))/2),ROUNDUP(INDEX(Upgrades!$C$3:$C$13,MATCH(Q426,Upgrades!$B$3:$B$13,0))*1.15^(COUNTIF(Q$4:Q425,Q426)-COUNTIF(Q$4:Q425,""Sell_""&amp;Q426))))))"),329190.0)</f>
        <v>329190</v>
      </c>
      <c r="V426" s="10">
        <f t="shared" si="11"/>
        <v>329190</v>
      </c>
      <c r="W426" s="68">
        <f t="shared" si="12"/>
        <v>7799.919405</v>
      </c>
      <c r="X426" s="59" t="str">
        <f t="shared" si="13"/>
        <v>2h 09m 59s</v>
      </c>
      <c r="Y426" s="69">
        <f t="shared" si="14"/>
        <v>999326560</v>
      </c>
      <c r="Z426" s="11"/>
      <c r="AG426" s="59"/>
    </row>
    <row r="427">
      <c r="A427" s="8"/>
      <c r="B427" s="56" t="str">
        <f t="shared" si="2"/>
        <v/>
      </c>
      <c r="C427" s="105"/>
      <c r="D427" s="10"/>
      <c r="E427" s="59" t="str">
        <f t="array" ref="E427">IF(COUNTA(C427:C1644)=0,"",SUM((COUNTIF(C$4:C427,Upgrades!$B$3:$B$13)-COUNTIF(C$4:C427,"Sell_"&amp;Upgrades!$B$3:$B$13))*Upgrades!$D$3:$D$13))</f>
        <v/>
      </c>
      <c r="F427" s="66" t="str">
        <f>IFERROR(__xludf.DUMMYFUNCTION("IF(COUNTA(C427:C1644)=0,"""",IF(REGEXMATCH(INDEX(FILTER(C$4:C427,C$4:C427&lt;&gt;""""),ROWS(FILTER(C$4:C427,C$4:C427&lt;&gt;""""))),""^Sell_""),INDEX(FILTER(F$4:F426,C$4:C426&lt;&gt;""""),ROWS(FILTER(C$4:C426,C$4:C426&lt;&gt;""""))),$AC$5+E427))"),"")</f>
        <v/>
      </c>
      <c r="G427" s="10" t="str">
        <f>IFERROR(__xludf.DUMMYFUNCTION("IF(COUNTA(C427:C1644)=0,"""",IF(C427="""",0,IF(REGEXMATCH(C427,""^Sell_""),-ROUNDDOWN(ROUNDUP(INDEX(Upgrades!$C$3:$C$13,MATCH(SUBSTITUTE(C427,""Sell_"",""""),Upgrades!$B$3:$B$13,0))*1.15^(COUNTIF(C$4:C426,SUBSTITUTE(C427,""Sell_"",""""))-COUNTIF(C$4:C426,"&amp;"""Sell_""&amp;SUBSTITUTE(C427,""Sell_"",""""))))/2),ROUNDUP(INDEX(Upgrades!$C$3:$C$13,MATCH(C427,Upgrades!$B$3:$B$13,0))*1.15^(COUNTIF(C$4:C426,C427)-COUNTIF(C$4:C426,""Sell_""&amp;C427))))))"),"")</f>
        <v/>
      </c>
      <c r="H427" s="10" t="str">
        <f t="shared" si="3"/>
        <v/>
      </c>
      <c r="I427" s="68" t="str">
        <f t="shared" si="4"/>
        <v/>
      </c>
      <c r="J427" s="59" t="str">
        <f t="shared" si="5"/>
        <v/>
      </c>
      <c r="K427" s="69" t="str">
        <f t="shared" si="6"/>
        <v/>
      </c>
      <c r="L427" s="60">
        <f t="shared" si="7"/>
        <v>-49.14456</v>
      </c>
      <c r="M427" s="61">
        <f>IFERROR(__xludf.DUMMYFUNCTION("IFS(AND(COUNTA(C427:C1644)=0,COUNTA(Q427:Q1644)=0),"""",OR(AND(K427&gt;=1000000000,OR(Y427&gt;=1000000000,COUNTA(Q427:Q1644)=0)),OR(Y427&gt;=1000000000,AND(COUNTA(C427:C1644)=0,P$3=TRUE))),
ROUNDDOWN((AB$1-AC$1)*MAX(INDEX(T$4:T1644,MATCH(LARGE(FILTER(Y$4:Y1644,Y$4"&amp;":Y1644&lt;1000000000),1),Y$4:Y1644)),INDEX(F$4:F1644,MATCH(LARGE(FILTER(K$4:K1644,K$4:K1644&lt;1000000000),1),K$4:K1644)))),AND(K427&lt;1000000000,COUNTA(C427:C1644)&gt;0,P$3=FALSE),
ROUNDDOWN(INDEX(Y$4:Y1644,MATCH(LARGE(FILTER(W$4:W1644,W$4:W1644&lt;=I427),1),W$4:W1644"&amp;"))+(I427-LARGE(FILTER(W$4:W1644,W$4:W1644&lt;=I427),1))*INDEX(T$4:T1644,MATCH(LARGE(FILTER(W$4:W1644,W$4:W1644&lt;=I427),1),W$4:W1644))-K427),1,
ROUNDDOWN(Y427-INDEX(K$4:K1644,MATCH(LARGE(FILTER(I$4:I1644,I$4:I1644&lt;=W427),1),I$4:I1644))-(W427-LARGE(FILTER(I$4:I"&amp;"1644,I$4:I1644&lt;=W427),1))*INDEX(F$4:F1644,MATCH(LARGE(FILTER(I$4:I1644,I$4:I1644&lt;=W427),1),I$4:I1644))))"),2.7926458E7)</f>
        <v>27926458</v>
      </c>
      <c r="N427" s="60">
        <f t="shared" si="8"/>
        <v>-49.14456</v>
      </c>
      <c r="O427" s="61" t="str">
        <f t="shared" si="9"/>
        <v>27,9M</v>
      </c>
      <c r="P427" s="56">
        <f t="shared" si="10"/>
        <v>31</v>
      </c>
      <c r="Q427" s="105" t="s">
        <v>5</v>
      </c>
      <c r="R427" s="10"/>
      <c r="S427" s="59">
        <f t="array" ref="S427">IF(COUNTA(Q427:Q1644)=0,"",SUM((COUNTIF(Q$4:Q427,Upgrades!$B$3:$B$13)-COUNTIF(Q$4:Q427,"Sell_"&amp;Upgrades!$B$3:$B$13))*Upgrades!$D$3:$D$13))</f>
        <v>560398.4</v>
      </c>
      <c r="T427" s="66">
        <f>IFERROR(__xludf.DUMMYFUNCTION("IF(COUNTA(Q427:Q1644)=0,"""",IF(REGEXMATCH(INDEX(FILTER(Q$4:Q427,Q$4:Q427&lt;&gt;""""),ROWS(FILTER(Q$4:Q427,Q$4:Q427&lt;&gt;""""))),""^Sell_""),INDEX(FILTER(T$4:T426,Q$4:Q426&lt;&gt;""""),ROWS(FILTER(Q$4:Q426,Q$4:Q426&lt;&gt;""""))),$AD$5+S427))"),560408.4)</f>
        <v>560408.4</v>
      </c>
      <c r="U427" s="10">
        <f>IFERROR(__xludf.DUMMYFUNCTION("IF(COUNTA(Q427:Q1644)=0,"""",IF(Q427="""",0,IF(REGEXMATCH(Q427,""^Sell_""),-ROUNDDOWN(ROUNDUP(INDEX(Upgrades!$C$3:$C$13,MATCH(SUBSTITUTE(Q427,""Sell_"",""""),Upgrades!$B$3:$B$13,0))*1.15^(COUNTIF(Q$4:Q426,SUBSTITUTE(Q427,""Sell_"",""""))-COUNTIF(Q$4:Q426,"&amp;"""Sell_""&amp;SUBSTITUTE(Q427,""Sell_"",""""))))/2),ROUNDUP(INDEX(Upgrades!$C$3:$C$13,MATCH(Q427,Upgrades!$B$3:$B$13,0))*1.15^(COUNTIF(Q$4:Q426,Q427)-COUNTIF(Q$4:Q426,""Sell_""&amp;Q427))))))"),33106.0)</f>
        <v>33106</v>
      </c>
      <c r="V427" s="10">
        <f t="shared" si="11"/>
        <v>33106</v>
      </c>
      <c r="W427" s="68">
        <f t="shared" si="12"/>
        <v>7799.97848</v>
      </c>
      <c r="X427" s="59" t="str">
        <f t="shared" si="13"/>
        <v>2h 09m 59s</v>
      </c>
      <c r="Y427" s="69">
        <f t="shared" si="14"/>
        <v>999359666</v>
      </c>
      <c r="Z427" s="11"/>
      <c r="AG427" s="59"/>
    </row>
    <row r="428">
      <c r="A428" s="8"/>
      <c r="B428" s="56" t="str">
        <f t="shared" si="2"/>
        <v/>
      </c>
      <c r="C428" s="105"/>
      <c r="D428" s="10"/>
      <c r="E428" s="59" t="str">
        <f t="array" ref="E428">IF(COUNTA(C428:C1644)=0,"",SUM((COUNTIF(C$4:C428,Upgrades!$B$3:$B$13)-COUNTIF(C$4:C428,"Sell_"&amp;Upgrades!$B$3:$B$13))*Upgrades!$D$3:$D$13))</f>
        <v/>
      </c>
      <c r="F428" s="66" t="str">
        <f>IFERROR(__xludf.DUMMYFUNCTION("IF(COUNTA(C428:C1644)=0,"""",IF(REGEXMATCH(INDEX(FILTER(C$4:C428,C$4:C428&lt;&gt;""""),ROWS(FILTER(C$4:C428,C$4:C428&lt;&gt;""""))),""^Sell_""),INDEX(FILTER(F$4:F427,C$4:C427&lt;&gt;""""),ROWS(FILTER(C$4:C427,C$4:C427&lt;&gt;""""))),$AC$5+E428))"),"")</f>
        <v/>
      </c>
      <c r="G428" s="10" t="str">
        <f>IFERROR(__xludf.DUMMYFUNCTION("IF(COUNTA(C428:C1644)=0,"""",IF(C428="""",0,IF(REGEXMATCH(C428,""^Sell_""),-ROUNDDOWN(ROUNDUP(INDEX(Upgrades!$C$3:$C$13,MATCH(SUBSTITUTE(C428,""Sell_"",""""),Upgrades!$B$3:$B$13,0))*1.15^(COUNTIF(C$4:C427,SUBSTITUTE(C428,""Sell_"",""""))-COUNTIF(C$4:C427,"&amp;"""Sell_""&amp;SUBSTITUTE(C428,""Sell_"",""""))))/2),ROUNDUP(INDEX(Upgrades!$C$3:$C$13,MATCH(C428,Upgrades!$B$3:$B$13,0))*1.15^(COUNTIF(C$4:C427,C428)-COUNTIF(C$4:C427,""Sell_""&amp;C428))))))"),"")</f>
        <v/>
      </c>
      <c r="H428" s="10" t="str">
        <f t="shared" si="3"/>
        <v/>
      </c>
      <c r="I428" s="68" t="str">
        <f t="shared" si="4"/>
        <v/>
      </c>
      <c r="J428" s="59" t="str">
        <f t="shared" si="5"/>
        <v/>
      </c>
      <c r="K428" s="69" t="str">
        <f t="shared" si="6"/>
        <v/>
      </c>
      <c r="L428" s="60">
        <f t="shared" si="7"/>
        <v>-49.14217</v>
      </c>
      <c r="M428" s="61">
        <f>IFERROR(__xludf.DUMMYFUNCTION("IFS(AND(COUNTA(C428:C1644)=0,COUNTA(Q428:Q1644)=0),"""",OR(AND(K428&gt;=1000000000,OR(Y428&gt;=1000000000,COUNTA(Q428:Q1644)=0)),OR(Y428&gt;=1000000000,AND(COUNTA(C428:C1644)=0,P$3=TRUE))),
ROUNDDOWN((AB$1-AC$1)*MAX(INDEX(T$4:T1644,MATCH(LARGE(FILTER(Y$4:Y1644,Y$4"&amp;":Y1644&lt;1000000000),1),Y$4:Y1644)),INDEX(F$4:F1644,MATCH(LARGE(FILTER(K$4:K1644,K$4:K1644&lt;1000000000),1),K$4:K1644)))),AND(K428&lt;1000000000,COUNTA(C428:C1644)&gt;0,P$3=FALSE),
ROUNDDOWN(INDEX(Y$4:Y1644,MATCH(LARGE(FILTER(W$4:W1644,W$4:W1644&lt;=I428),1),W$4:W1644"&amp;"))+(I428-LARGE(FILTER(W$4:W1644,W$4:W1644&lt;=I428),1))*INDEX(T$4:T1644,MATCH(LARGE(FILTER(W$4:W1644,W$4:W1644&lt;=I428),1),W$4:W1644))-K428),1,
ROUNDDOWN(Y428-INDEX(K$4:K1644,MATCH(LARGE(FILTER(I$4:I1644,I$4:I1644&lt;=W428),1),I$4:I1644))-(W428-LARGE(FILTER(I$4:I"&amp;"1644,I$4:I1644&lt;=W428),1))*INDEX(F$4:F1644,MATCH(LARGE(FILTER(I$4:I1644,I$4:I1644&lt;=W428),1),I$4:I1644))))"),2.7925406E7)</f>
        <v>27925406</v>
      </c>
      <c r="N428" s="60">
        <f t="shared" si="8"/>
        <v>-49.14217</v>
      </c>
      <c r="O428" s="61" t="str">
        <f t="shared" si="9"/>
        <v>27,9M</v>
      </c>
      <c r="P428" s="56">
        <f t="shared" si="10"/>
        <v>25</v>
      </c>
      <c r="Q428" s="105" t="s">
        <v>6</v>
      </c>
      <c r="R428" s="10"/>
      <c r="S428" s="59">
        <f t="array" ref="S428">IF(COUNTA(Q428:Q1644)=0,"",SUM((COUNTIF(Q$4:Q428,Upgrades!$B$3:$B$13)-COUNTIF(Q$4:Q428,"Sell_"&amp;Upgrades!$B$3:$B$13))*Upgrades!$D$3:$D$13))</f>
        <v>560408.4</v>
      </c>
      <c r="T428" s="66">
        <f>IFERROR(__xludf.DUMMYFUNCTION("IF(COUNTA(Q428:Q1644)=0,"""",IF(REGEXMATCH(INDEX(FILTER(Q$4:Q428,Q$4:Q428&lt;&gt;""""),ROWS(FILTER(Q$4:Q428,Q$4:Q428&lt;&gt;""""))),""^Sell_""),INDEX(FILTER(T$4:T427,Q$4:Q427&lt;&gt;""""),ROWS(FILTER(Q$4:Q427,Q$4:Q427&lt;&gt;""""))),$AD$5+S428))"),560418.4)</f>
        <v>560418.4</v>
      </c>
      <c r="U428" s="10">
        <f>IFERROR(__xludf.DUMMYFUNCTION("IF(COUNTA(Q428:Q1644)=0,"""",IF(Q428="""",0,IF(REGEXMATCH(Q428,""^Sell_""),-ROUNDDOWN(ROUNDUP(INDEX(Upgrades!$C$3:$C$13,MATCH(SUBSTITUTE(Q428,""Sell_"",""""),Upgrades!$B$3:$B$13,0))*1.15^(COUNTIF(Q$4:Q427,SUBSTITUTE(Q428,""Sell_"",""""))-COUNTIF(Q$4:Q427,"&amp;"""Sell_""&amp;SUBSTITUTE(Q428,""Sell_"",""""))))/2),ROUNDUP(INDEX(Upgrades!$C$3:$C$13,MATCH(Q428,Upgrades!$B$3:$B$13,0))*1.15^(COUNTIF(Q$4:Q427,Q428)-COUNTIF(Q$4:Q427,""Sell_""&amp;Q428))))))"),85876.0)</f>
        <v>85876</v>
      </c>
      <c r="V428" s="10">
        <f t="shared" si="11"/>
        <v>85876</v>
      </c>
      <c r="W428" s="68">
        <f t="shared" si="12"/>
        <v>7800.131719</v>
      </c>
      <c r="X428" s="59" t="str">
        <f t="shared" si="13"/>
        <v>2h 10m 00s</v>
      </c>
      <c r="Y428" s="69">
        <f t="shared" si="14"/>
        <v>999445542</v>
      </c>
      <c r="Z428" s="11"/>
      <c r="AG428" s="59"/>
    </row>
    <row r="429">
      <c r="A429" s="8"/>
      <c r="B429" s="56" t="str">
        <f t="shared" si="2"/>
        <v/>
      </c>
      <c r="C429" s="105"/>
      <c r="D429" s="10"/>
      <c r="E429" s="59" t="str">
        <f t="array" ref="E429">IF(COUNTA(C429:C1644)=0,"",SUM((COUNTIF(C$4:C429,Upgrades!$B$3:$B$13)-COUNTIF(C$4:C429,"Sell_"&amp;Upgrades!$B$3:$B$13))*Upgrades!$D$3:$D$13))</f>
        <v/>
      </c>
      <c r="F429" s="66" t="str">
        <f>IFERROR(__xludf.DUMMYFUNCTION("IF(COUNTA(C429:C1644)=0,"""",IF(REGEXMATCH(INDEX(FILTER(C$4:C429,C$4:C429&lt;&gt;""""),ROWS(FILTER(C$4:C429,C$4:C429&lt;&gt;""""))),""^Sell_""),INDEX(FILTER(F$4:F428,C$4:C428&lt;&gt;""""),ROWS(FILTER(C$4:C428,C$4:C428&lt;&gt;""""))),$AC$5+E429))"),"")</f>
        <v/>
      </c>
      <c r="G429" s="10" t="str">
        <f>IFERROR(__xludf.DUMMYFUNCTION("IF(COUNTA(C429:C1644)=0,"""",IF(C429="""",0,IF(REGEXMATCH(C429,""^Sell_""),-ROUNDDOWN(ROUNDUP(INDEX(Upgrades!$C$3:$C$13,MATCH(SUBSTITUTE(C429,""Sell_"",""""),Upgrades!$B$3:$B$13,0))*1.15^(COUNTIF(C$4:C428,SUBSTITUTE(C429,""Sell_"",""""))-COUNTIF(C$4:C428,"&amp;"""Sell_""&amp;SUBSTITUTE(C429,""Sell_"",""""))))/2),ROUNDUP(INDEX(Upgrades!$C$3:$C$13,MATCH(C429,Upgrades!$B$3:$B$13,0))*1.15^(COUNTIF(C$4:C428,C429)-COUNTIF(C$4:C428,""Sell_""&amp;C429))))))"),"")</f>
        <v/>
      </c>
      <c r="H429" s="10" t="str">
        <f t="shared" si="3"/>
        <v/>
      </c>
      <c r="I429" s="68" t="str">
        <f t="shared" si="4"/>
        <v/>
      </c>
      <c r="J429" s="59" t="str">
        <f t="shared" si="5"/>
        <v/>
      </c>
      <c r="K429" s="69" t="str">
        <f t="shared" si="6"/>
        <v/>
      </c>
      <c r="L429" s="60">
        <f t="shared" si="7"/>
        <v>-49.14215</v>
      </c>
      <c r="M429" s="61">
        <f>IFERROR(__xludf.DUMMYFUNCTION("IFS(AND(COUNTA(C429:C1644)=0,COUNTA(Q429:Q1644)=0),"""",OR(AND(K429&gt;=1000000000,OR(Y429&gt;=1000000000,COUNTA(Q429:Q1644)=0)),OR(Y429&gt;=1000000000,AND(COUNTA(C429:C1644)=0,P$3=TRUE))),
ROUNDDOWN((AB$1-AC$1)*MAX(INDEX(T$4:T1644,MATCH(LARGE(FILTER(Y$4:Y1644,Y$4"&amp;":Y1644&lt;1000000000),1),Y$4:Y1644)),INDEX(F$4:F1644,MATCH(LARGE(FILTER(K$4:K1644,K$4:K1644&lt;1000000000),1),K$4:K1644)))),AND(K429&lt;1000000000,COUNTA(C429:C1644)&gt;0,P$3=FALSE),
ROUNDDOWN(INDEX(Y$4:Y1644,MATCH(LARGE(FILTER(W$4:W1644,W$4:W1644&lt;=I429),1),W$4:W1644"&amp;"))+(I429-LARGE(FILTER(W$4:W1644,W$4:W1644&lt;=I429),1))*INDEX(T$4:T1644,MATCH(LARGE(FILTER(W$4:W1644,W$4:W1644&lt;=I429),1),W$4:W1644))-K429),1,
ROUNDDOWN(Y429-INDEX(K$4:K1644,MATCH(LARGE(FILTER(I$4:I1644,I$4:I1644&lt;=W429),1),I$4:I1644))-(W429-LARGE(FILTER(I$4:I"&amp;"1644,I$4:I1644&lt;=W429),1))*INDEX(F$4:F1644,MATCH(LARGE(FILTER(I$4:I1644,I$4:I1644&lt;=W429),1),I$4:I1644))))"),2.7925396E7)</f>
        <v>27925396</v>
      </c>
      <c r="N429" s="60">
        <f t="shared" si="8"/>
        <v>-49.14215</v>
      </c>
      <c r="O429" s="61" t="str">
        <f t="shared" si="9"/>
        <v>27,9M</v>
      </c>
      <c r="P429" s="56">
        <f t="shared" si="10"/>
        <v>30</v>
      </c>
      <c r="Q429" s="105" t="s">
        <v>3</v>
      </c>
      <c r="R429" s="10"/>
      <c r="S429" s="59">
        <f t="array" ref="S429">IF(COUNTA(Q429:Q1644)=0,"",SUM((COUNTIF(Q$4:Q429,Upgrades!$B$3:$B$13)-COUNTIF(Q$4:Q429,"Sell_"&amp;Upgrades!$B$3:$B$13))*Upgrades!$D$3:$D$13))</f>
        <v>560408.5</v>
      </c>
      <c r="T429" s="66">
        <f>IFERROR(__xludf.DUMMYFUNCTION("IF(COUNTA(Q429:Q1644)=0,"""",IF(REGEXMATCH(INDEX(FILTER(Q$4:Q429,Q$4:Q429&lt;&gt;""""),ROWS(FILTER(Q$4:Q429,Q$4:Q429&lt;&gt;""""))),""^Sell_""),INDEX(FILTER(T$4:T428,Q$4:Q428&lt;&gt;""""),ROWS(FILTER(Q$4:Q428,Q$4:Q428&lt;&gt;""""))),$AD$5+S429))"),560418.5)</f>
        <v>560418.5</v>
      </c>
      <c r="U429" s="10">
        <f>IFERROR(__xludf.DUMMYFUNCTION("IF(COUNTA(Q429:Q1644)=0,"""",IF(Q429="""",0,IF(REGEXMATCH(Q429,""^Sell_""),-ROUNDDOWN(ROUNDUP(INDEX(Upgrades!$C$3:$C$13,MATCH(SUBSTITUTE(Q429,""Sell_"",""""),Upgrades!$B$3:$B$13,0))*1.15^(COUNTIF(Q$4:Q428,SUBSTITUTE(Q429,""Sell_"",""""))-COUNTIF(Q$4:Q428,"&amp;"""Sell_""&amp;SUBSTITUTE(Q429,""Sell_"",""""))))/2),ROUNDUP(INDEX(Upgrades!$C$3:$C$13,MATCH(Q429,Upgrades!$B$3:$B$13,0))*1.15^(COUNTIF(Q$4:Q428,Q429)-COUNTIF(Q$4:Q428,""Sell_""&amp;Q429))))))"),864.0)</f>
        <v>864</v>
      </c>
      <c r="V429" s="10">
        <f t="shared" si="11"/>
        <v>864</v>
      </c>
      <c r="W429" s="68">
        <f t="shared" si="12"/>
        <v>7800.13326</v>
      </c>
      <c r="X429" s="59" t="str">
        <f t="shared" si="13"/>
        <v>2h 10m 00s</v>
      </c>
      <c r="Y429" s="69">
        <f t="shared" si="14"/>
        <v>999446406</v>
      </c>
      <c r="Z429" s="11"/>
      <c r="AG429" s="59"/>
    </row>
    <row r="430">
      <c r="A430" s="8"/>
      <c r="B430" s="56" t="str">
        <f t="shared" si="2"/>
        <v/>
      </c>
      <c r="C430" s="105"/>
      <c r="D430" s="10"/>
      <c r="E430" s="59" t="str">
        <f t="array" ref="E430">IF(COUNTA(C430:C1644)=0,"",SUM((COUNTIF(C$4:C430,Upgrades!$B$3:$B$13)-COUNTIF(C$4:C430,"Sell_"&amp;Upgrades!$B$3:$B$13))*Upgrades!$D$3:$D$13))</f>
        <v/>
      </c>
      <c r="F430" s="66" t="str">
        <f>IFERROR(__xludf.DUMMYFUNCTION("IF(COUNTA(C430:C1644)=0,"""",IF(REGEXMATCH(INDEX(FILTER(C$4:C430,C$4:C430&lt;&gt;""""),ROWS(FILTER(C$4:C430,C$4:C430&lt;&gt;""""))),""^Sell_""),INDEX(FILTER(F$4:F429,C$4:C429&lt;&gt;""""),ROWS(FILTER(C$4:C429,C$4:C429&lt;&gt;""""))),$AC$5+E430))"),"")</f>
        <v/>
      </c>
      <c r="G430" s="10" t="str">
        <f>IFERROR(__xludf.DUMMYFUNCTION("IF(COUNTA(C430:C1644)=0,"""",IF(C430="""",0,IF(REGEXMATCH(C430,""^Sell_""),-ROUNDDOWN(ROUNDUP(INDEX(Upgrades!$C$3:$C$13,MATCH(SUBSTITUTE(C430,""Sell_"",""""),Upgrades!$B$3:$B$13,0))*1.15^(COUNTIF(C$4:C429,SUBSTITUTE(C430,""Sell_"",""""))-COUNTIF(C$4:C429,"&amp;"""Sell_""&amp;SUBSTITUTE(C430,""Sell_"",""""))))/2),ROUNDUP(INDEX(Upgrades!$C$3:$C$13,MATCH(C430,Upgrades!$B$3:$B$13,0))*1.15^(COUNTIF(C$4:C429,C430)-COUNTIF(C$4:C429,""Sell_""&amp;C430))))))"),"")</f>
        <v/>
      </c>
      <c r="H430" s="10" t="str">
        <f t="shared" si="3"/>
        <v/>
      </c>
      <c r="I430" s="68" t="str">
        <f t="shared" si="4"/>
        <v/>
      </c>
      <c r="J430" s="59" t="str">
        <f t="shared" si="5"/>
        <v/>
      </c>
      <c r="K430" s="69" t="str">
        <f t="shared" si="6"/>
        <v/>
      </c>
      <c r="L430" s="60">
        <f t="shared" si="7"/>
        <v>-49.14202</v>
      </c>
      <c r="M430" s="61">
        <f>IFERROR(__xludf.DUMMYFUNCTION("IFS(AND(COUNTA(C430:C1644)=0,COUNTA(Q430:Q1644)=0),"""",OR(AND(K430&gt;=1000000000,OR(Y430&gt;=1000000000,COUNTA(Q430:Q1644)=0)),OR(Y430&gt;=1000000000,AND(COUNTA(C430:C1644)=0,P$3=TRUE))),
ROUNDDOWN((AB$1-AC$1)*MAX(INDEX(T$4:T1644,MATCH(LARGE(FILTER(Y$4:Y1644,Y$4"&amp;":Y1644&lt;1000000000),1),Y$4:Y1644)),INDEX(F$4:F1644,MATCH(LARGE(FILTER(K$4:K1644,K$4:K1644&lt;1000000000),1),K$4:K1644)))),AND(K430&lt;1000000000,COUNTA(C430:C1644)&gt;0,P$3=FALSE),
ROUNDDOWN(INDEX(Y$4:Y1644,MATCH(LARGE(FILTER(W$4:W1644,W$4:W1644&lt;=I430),1),W$4:W1644"&amp;"))+(I430-LARGE(FILTER(W$4:W1644,W$4:W1644&lt;=I430),1))*INDEX(T$4:T1644,MATCH(LARGE(FILTER(W$4:W1644,W$4:W1644&lt;=I430),1),W$4:W1644))-K430),1,
ROUNDDOWN(Y430-INDEX(K$4:K1644,MATCH(LARGE(FILTER(I$4:I1644,I$4:I1644&lt;=W430),1),I$4:I1644))-(W430-LARGE(FILTER(I$4:I"&amp;"1644,I$4:I1644&lt;=W430),1))*INDEX(F$4:F1644,MATCH(LARGE(FILTER(I$4:I1644,I$4:I1644&lt;=W430),1),I$4:I1644))))"),2.7925342E7)</f>
        <v>27925342</v>
      </c>
      <c r="N430" s="60">
        <f t="shared" si="8"/>
        <v>-49.14202</v>
      </c>
      <c r="O430" s="61" t="str">
        <f t="shared" si="9"/>
        <v>27,9M</v>
      </c>
      <c r="P430" s="56">
        <f t="shared" si="10"/>
        <v>28</v>
      </c>
      <c r="Q430" s="105" t="s">
        <v>4</v>
      </c>
      <c r="R430" s="10"/>
      <c r="S430" s="59">
        <f t="array" ref="S430">IF(COUNTA(Q430:Q1644)=0,"",SUM((COUNTIF(Q$4:Q430,Upgrades!$B$3:$B$13)-COUNTIF(Q$4:Q430,"Sell_"&amp;Upgrades!$B$3:$B$13))*Upgrades!$D$3:$D$13))</f>
        <v>560409</v>
      </c>
      <c r="T430" s="66">
        <f>IFERROR(__xludf.DUMMYFUNCTION("IF(COUNTA(Q430:Q1644)=0,"""",IF(REGEXMATCH(INDEX(FILTER(Q$4:Q430,Q$4:Q430&lt;&gt;""""),ROWS(FILTER(Q$4:Q430,Q$4:Q430&lt;&gt;""""))),""^Sell_""),INDEX(FILTER(T$4:T429,Q$4:Q429&lt;&gt;""""),ROWS(FILTER(Q$4:Q429,Q$4:Q429&lt;&gt;""""))),$AD$5+S430))"),560419.0)</f>
        <v>560419</v>
      </c>
      <c r="U430" s="10">
        <f>IFERROR(__xludf.DUMMYFUNCTION("IF(COUNTA(Q430:Q1644)=0,"""",IF(Q430="""",0,IF(REGEXMATCH(Q430,""^Sell_""),-ROUNDDOWN(ROUNDUP(INDEX(Upgrades!$C$3:$C$13,MATCH(SUBSTITUTE(Q430,""Sell_"",""""),Upgrades!$B$3:$B$13,0))*1.15^(COUNTIF(Q$4:Q429,SUBSTITUTE(Q430,""Sell_"",""""))-COUNTIF(Q$4:Q429,"&amp;"""Sell_""&amp;SUBSTITUTE(Q430,""Sell_"",""""))))/2),ROUNDUP(INDEX(Upgrades!$C$3:$C$13,MATCH(Q430,Upgrades!$B$3:$B$13,0))*1.15^(COUNTIF(Q$4:Q429,Q430)-COUNTIF(Q$4:Q429,""Sell_""&amp;Q430))))))"),4354.0)</f>
        <v>4354</v>
      </c>
      <c r="V430" s="10">
        <f t="shared" si="11"/>
        <v>4354</v>
      </c>
      <c r="W430" s="68">
        <f t="shared" si="12"/>
        <v>7800.141029</v>
      </c>
      <c r="X430" s="59" t="str">
        <f t="shared" si="13"/>
        <v>2h 10m 00s</v>
      </c>
      <c r="Y430" s="69">
        <f t="shared" si="14"/>
        <v>999450760</v>
      </c>
      <c r="Z430" s="11"/>
      <c r="AG430" s="59"/>
    </row>
    <row r="431">
      <c r="A431" s="8"/>
      <c r="B431" s="56" t="str">
        <f t="shared" si="2"/>
        <v/>
      </c>
      <c r="C431" s="105"/>
      <c r="D431" s="10"/>
      <c r="E431" s="59" t="str">
        <f t="array" ref="E431">IF(COUNTA(C431:C1644)=0,"",SUM((COUNTIF(C$4:C431,Upgrades!$B$3:$B$13)-COUNTIF(C$4:C431,"Sell_"&amp;Upgrades!$B$3:$B$13))*Upgrades!$D$3:$D$13))</f>
        <v/>
      </c>
      <c r="F431" s="66" t="str">
        <f>IFERROR(__xludf.DUMMYFUNCTION("IF(COUNTA(C431:C1644)=0,"""",IF(REGEXMATCH(INDEX(FILTER(C$4:C431,C$4:C431&lt;&gt;""""),ROWS(FILTER(C$4:C431,C$4:C431&lt;&gt;""""))),""^Sell_""),INDEX(FILTER(F$4:F430,C$4:C430&lt;&gt;""""),ROWS(FILTER(C$4:C430,C$4:C430&lt;&gt;""""))),$AC$5+E431))"),"")</f>
        <v/>
      </c>
      <c r="G431" s="10" t="str">
        <f>IFERROR(__xludf.DUMMYFUNCTION("IF(COUNTA(C431:C1644)=0,"""",IF(C431="""",0,IF(REGEXMATCH(C431,""^Sell_""),-ROUNDDOWN(ROUNDUP(INDEX(Upgrades!$C$3:$C$13,MATCH(SUBSTITUTE(C431,""Sell_"",""""),Upgrades!$B$3:$B$13,0))*1.15^(COUNTIF(C$4:C430,SUBSTITUTE(C431,""Sell_"",""""))-COUNTIF(C$4:C430,"&amp;"""Sell_""&amp;SUBSTITUTE(C431,""Sell_"",""""))))/2),ROUNDUP(INDEX(Upgrades!$C$3:$C$13,MATCH(C431,Upgrades!$B$3:$B$13,0))*1.15^(COUNTIF(C$4:C430,C431)-COUNTIF(C$4:C430,""Sell_""&amp;C431))))))"),"")</f>
        <v/>
      </c>
      <c r="H431" s="10" t="str">
        <f t="shared" si="3"/>
        <v/>
      </c>
      <c r="I431" s="68" t="str">
        <f t="shared" si="4"/>
        <v/>
      </c>
      <c r="J431" s="59" t="str">
        <f t="shared" si="5"/>
        <v/>
      </c>
      <c r="K431" s="69" t="str">
        <f t="shared" si="6"/>
        <v/>
      </c>
      <c r="L431" s="60">
        <f t="shared" si="7"/>
        <v>-49.13151</v>
      </c>
      <c r="M431" s="61">
        <f>IFERROR(__xludf.DUMMYFUNCTION("IFS(AND(COUNTA(C431:C1644)=0,COUNTA(Q431:Q1644)=0),"""",OR(AND(K431&gt;=1000000000,OR(Y431&gt;=1000000000,COUNTA(Q431:Q1644)=0)),OR(Y431&gt;=1000000000,AND(COUNTA(C431:C1644)=0,P$3=TRUE))),
ROUNDDOWN((AB$1-AC$1)*MAX(INDEX(T$4:T1644,MATCH(LARGE(FILTER(Y$4:Y1644,Y$4"&amp;":Y1644&lt;1000000000),1),Y$4:Y1644)),INDEX(F$4:F1644,MATCH(LARGE(FILTER(K$4:K1644,K$4:K1644&lt;1000000000),1),K$4:K1644)))),AND(K431&lt;1000000000,COUNTA(C431:C1644)&gt;0,P$3=FALSE),
ROUNDDOWN(INDEX(Y$4:Y1644,MATCH(LARGE(FILTER(W$4:W1644,W$4:W1644&lt;=I431),1),W$4:W1644"&amp;"))+(I431-LARGE(FILTER(W$4:W1644,W$4:W1644&lt;=I431),1))*INDEX(T$4:T1644,MATCH(LARGE(FILTER(W$4:W1644,W$4:W1644&lt;=I431),1),W$4:W1644))-K431),1,
ROUNDDOWN(Y431-INDEX(K$4:K1644,MATCH(LARGE(FILTER(I$4:I1644,I$4:I1644&lt;=W431),1),I$4:I1644))-(W431-LARGE(FILTER(I$4:I"&amp;"1644,I$4:I1644&lt;=W431),1))*INDEX(F$4:F1644,MATCH(LARGE(FILTER(I$4:I1644,I$4:I1644&lt;=W431),1),I$4:I1644))))"),2.792071E7)</f>
        <v>27920710</v>
      </c>
      <c r="N431" s="60">
        <f t="shared" si="8"/>
        <v>-49.13151</v>
      </c>
      <c r="O431" s="61" t="str">
        <f t="shared" si="9"/>
        <v>27,9M</v>
      </c>
      <c r="P431" s="56">
        <f t="shared" si="10"/>
        <v>27</v>
      </c>
      <c r="Q431" s="105" t="s">
        <v>7</v>
      </c>
      <c r="R431" s="10"/>
      <c r="S431" s="59">
        <f t="array" ref="S431">IF(COUNTA(Q431:Q1644)=0,"",SUM((COUNTIF(Q$4:Q431,Upgrades!$B$3:$B$13)-COUNTIF(Q$4:Q431,"Sell_"&amp;Upgrades!$B$3:$B$13))*Upgrades!$D$3:$D$13))</f>
        <v>560449</v>
      </c>
      <c r="T431" s="66">
        <f>IFERROR(__xludf.DUMMYFUNCTION("IF(COUNTA(Q431:Q1644)=0,"""",IF(REGEXMATCH(INDEX(FILTER(Q$4:Q431,Q$4:Q431&lt;&gt;""""),ROWS(FILTER(Q$4:Q431,Q$4:Q431&lt;&gt;""""))),""^Sell_""),INDEX(FILTER(T$4:T430,Q$4:Q430&lt;&gt;""""),ROWS(FILTER(Q$4:Q430,Q$4:Q430&lt;&gt;""""))),$AD$5+S431))"),560459.0)</f>
        <v>560459</v>
      </c>
      <c r="U431" s="10">
        <f>IFERROR(__xludf.DUMMYFUNCTION("IF(COUNTA(Q431:Q1644)=0,"""",IF(Q431="""",0,IF(REGEXMATCH(Q431,""^Sell_""),-ROUNDDOWN(ROUNDUP(INDEX(Upgrades!$C$3:$C$13,MATCH(SUBSTITUTE(Q431,""Sell_"",""""),Upgrades!$B$3:$B$13,0))*1.15^(COUNTIF(Q$4:Q430,SUBSTITUTE(Q431,""Sell_"",""""))-COUNTIF(Q$4:Q430,"&amp;"""Sell_""&amp;SUBSTITUTE(Q431,""Sell_"",""""))))/2),ROUNDUP(INDEX(Upgrades!$C$3:$C$13,MATCH(Q431,Upgrades!$B$3:$B$13,0))*1.15^(COUNTIF(Q$4:Q430,Q431)-COUNTIF(Q$4:Q430,""Sell_""&amp;Q431))))))"),378568.0)</f>
        <v>378568</v>
      </c>
      <c r="V431" s="10">
        <f t="shared" si="11"/>
        <v>378568</v>
      </c>
      <c r="W431" s="68">
        <f t="shared" si="12"/>
        <v>7800.816538</v>
      </c>
      <c r="X431" s="59" t="str">
        <f t="shared" si="13"/>
        <v>2h 10m 00s</v>
      </c>
      <c r="Y431" s="69">
        <f t="shared" si="14"/>
        <v>999829328</v>
      </c>
      <c r="Z431" s="11"/>
      <c r="AG431" s="59"/>
    </row>
    <row r="432">
      <c r="A432" s="8"/>
      <c r="B432" s="56" t="str">
        <f t="shared" si="2"/>
        <v/>
      </c>
      <c r="C432" s="105"/>
      <c r="D432" s="10"/>
      <c r="E432" s="59" t="str">
        <f t="array" ref="E432">IF(COUNTA(C432:C1644)=0,"",SUM((COUNTIF(C$4:C432,Upgrades!$B$3:$B$13)-COUNTIF(C$4:C432,"Sell_"&amp;Upgrades!$B$3:$B$13))*Upgrades!$D$3:$D$13))</f>
        <v/>
      </c>
      <c r="F432" s="66" t="str">
        <f>IFERROR(__xludf.DUMMYFUNCTION("IF(COUNTA(C432:C1644)=0,"""",IF(REGEXMATCH(INDEX(FILTER(C$4:C432,C$4:C432&lt;&gt;""""),ROWS(FILTER(C$4:C432,C$4:C432&lt;&gt;""""))),""^Sell_""),INDEX(FILTER(F$4:F431,C$4:C431&lt;&gt;""""),ROWS(FILTER(C$4:C431,C$4:C431&lt;&gt;""""))),$AC$5+E432))"),"")</f>
        <v/>
      </c>
      <c r="G432" s="10" t="str">
        <f>IFERROR(__xludf.DUMMYFUNCTION("IF(COUNTA(C432:C1644)=0,"""",IF(C432="""",0,IF(REGEXMATCH(C432,""^Sell_""),-ROUNDDOWN(ROUNDUP(INDEX(Upgrades!$C$3:$C$13,MATCH(SUBSTITUTE(C432,""Sell_"",""""),Upgrades!$B$3:$B$13,0))*1.15^(COUNTIF(C$4:C431,SUBSTITUTE(C432,""Sell_"",""""))-COUNTIF(C$4:C431,"&amp;"""Sell_""&amp;SUBSTITUTE(C432,""Sell_"",""""))))/2),ROUNDUP(INDEX(Upgrades!$C$3:$C$13,MATCH(C432,Upgrades!$B$3:$B$13,0))*1.15^(COUNTIF(C$4:C431,C432)-COUNTIF(C$4:C431,""Sell_""&amp;C432))))))"),"")</f>
        <v/>
      </c>
      <c r="H432" s="10" t="str">
        <f t="shared" si="3"/>
        <v/>
      </c>
      <c r="I432" s="68" t="str">
        <f t="shared" si="4"/>
        <v/>
      </c>
      <c r="J432" s="59" t="str">
        <f t="shared" si="5"/>
        <v/>
      </c>
      <c r="K432" s="69" t="str">
        <f t="shared" si="6"/>
        <v/>
      </c>
      <c r="L432" s="60">
        <f t="shared" si="7"/>
        <v>-49.13046</v>
      </c>
      <c r="M432" s="61">
        <f>IFERROR(__xludf.DUMMYFUNCTION("IFS(AND(COUNTA(C432:C1644)=0,COUNTA(Q432:Q1644)=0),"""",OR(AND(K432&gt;=1000000000,OR(Y432&gt;=1000000000,COUNTA(Q432:Q1644)=0)),OR(Y432&gt;=1000000000,AND(COUNTA(C432:C1644)=0,P$3=TRUE))),
ROUNDDOWN((AB$1-AC$1)*MAX(INDEX(T$4:T1644,MATCH(LARGE(FILTER(Y$4:Y1644,Y$4"&amp;":Y1644&lt;1000000000),1),Y$4:Y1644)),INDEX(F$4:F1644,MATCH(LARGE(FILTER(K$4:K1644,K$4:K1644&lt;1000000000),1),K$4:K1644)))),AND(K432&lt;1000000000,COUNTA(C432:C1644)&gt;0,P$3=FALSE),
ROUNDDOWN(INDEX(Y$4:Y1644,MATCH(LARGE(FILTER(W$4:W1644,W$4:W1644&lt;=I432),1),W$4:W1644"&amp;"))+(I432-LARGE(FILTER(W$4:W1644,W$4:W1644&lt;=I432),1))*INDEX(T$4:T1644,MATCH(LARGE(FILTER(W$4:W1644,W$4:W1644&lt;=I432),1),W$4:W1644))-K432),1,
ROUNDDOWN(Y432-INDEX(K$4:K1644,MATCH(LARGE(FILTER(I$4:I1644,I$4:I1644&lt;=W432),1),I$4:I1644))-(W432-LARGE(FILTER(I$4:I"&amp;"1644,I$4:I1644&lt;=W432),1))*INDEX(F$4:F1644,MATCH(LARGE(FILTER(I$4:I1644,I$4:I1644&lt;=W432),1),I$4:I1644))))"),2.7920247E7)</f>
        <v>27920247</v>
      </c>
      <c r="N432" s="60">
        <f t="shared" si="8"/>
        <v>-49.13046</v>
      </c>
      <c r="O432" s="61" t="str">
        <f t="shared" si="9"/>
        <v>27,9M</v>
      </c>
      <c r="P432" s="56">
        <f t="shared" si="10"/>
        <v>32</v>
      </c>
      <c r="Q432" s="105" t="s">
        <v>5</v>
      </c>
      <c r="R432" s="10"/>
      <c r="S432" s="59">
        <f t="array" ref="S432">IF(COUNTA(Q432:Q1644)=0,"",SUM((COUNTIF(Q$4:Q432,Upgrades!$B$3:$B$13)-COUNTIF(Q$4:Q432,"Sell_"&amp;Upgrades!$B$3:$B$13))*Upgrades!$D$3:$D$13))</f>
        <v>560453</v>
      </c>
      <c r="T432" s="66">
        <f>IFERROR(__xludf.DUMMYFUNCTION("IF(COUNTA(Q432:Q1644)=0,"""",IF(REGEXMATCH(INDEX(FILTER(Q$4:Q432,Q$4:Q432&lt;&gt;""""),ROWS(FILTER(Q$4:Q432,Q$4:Q432&lt;&gt;""""))),""^Sell_""),INDEX(FILTER(T$4:T431,Q$4:Q431&lt;&gt;""""),ROWS(FILTER(Q$4:Q431,Q$4:Q431&lt;&gt;""""))),$AD$5+S432))"),560463.0)</f>
        <v>560463</v>
      </c>
      <c r="U432" s="10">
        <f>IFERROR(__xludf.DUMMYFUNCTION("IF(COUNTA(Q432:Q1644)=0,"""",IF(Q432="""",0,IF(REGEXMATCH(Q432,""^Sell_""),-ROUNDDOWN(ROUNDUP(INDEX(Upgrades!$C$3:$C$13,MATCH(SUBSTITUTE(Q432,""Sell_"",""""),Upgrades!$B$3:$B$13,0))*1.15^(COUNTIF(Q$4:Q431,SUBSTITUTE(Q432,""Sell_"",""""))-COUNTIF(Q$4:Q431,"&amp;"""Sell_""&amp;SUBSTITUTE(Q432,""Sell_"",""""))))/2),ROUNDUP(INDEX(Upgrades!$C$3:$C$13,MATCH(Q432,Upgrades!$B$3:$B$13,0))*1.15^(COUNTIF(Q$4:Q431,Q432)-COUNTIF(Q$4:Q431,""Sell_""&amp;Q432))))))"),38072.0)</f>
        <v>38072</v>
      </c>
      <c r="V432" s="10">
        <f t="shared" si="11"/>
        <v>38072</v>
      </c>
      <c r="W432" s="68">
        <f t="shared" si="12"/>
        <v>7800.884468</v>
      </c>
      <c r="X432" s="59" t="str">
        <f t="shared" si="13"/>
        <v>2h 10m 00s</v>
      </c>
      <c r="Y432" s="69">
        <f t="shared" si="14"/>
        <v>999867400</v>
      </c>
      <c r="Z432" s="11"/>
      <c r="AG432" s="59"/>
    </row>
    <row r="433">
      <c r="A433" s="8"/>
      <c r="B433" s="56" t="str">
        <f t="shared" si="2"/>
        <v/>
      </c>
      <c r="C433" s="105"/>
      <c r="D433" s="10"/>
      <c r="E433" s="59" t="str">
        <f t="array" ref="E433">IF(COUNTA(C433:C1644)=0,"",SUM((COUNTIF(C$4:C433,Upgrades!$B$3:$B$13)-COUNTIF(C$4:C433,"Sell_"&amp;Upgrades!$B$3:$B$13))*Upgrades!$D$3:$D$13))</f>
        <v/>
      </c>
      <c r="F433" s="66" t="str">
        <f>IFERROR(__xludf.DUMMYFUNCTION("IF(COUNTA(C433:C1644)=0,"""",IF(REGEXMATCH(INDEX(FILTER(C$4:C433,C$4:C433&lt;&gt;""""),ROWS(FILTER(C$4:C433,C$4:C433&lt;&gt;""""))),""^Sell_""),INDEX(FILTER(F$4:F432,C$4:C432&lt;&gt;""""),ROWS(FILTER(C$4:C432,C$4:C432&lt;&gt;""""))),$AC$5+E433))"),"")</f>
        <v/>
      </c>
      <c r="G433" s="10" t="str">
        <f>IFERROR(__xludf.DUMMYFUNCTION("IF(COUNTA(C433:C1644)=0,"""",IF(C433="""",0,IF(REGEXMATCH(C433,""^Sell_""),-ROUNDDOWN(ROUNDUP(INDEX(Upgrades!$C$3:$C$13,MATCH(SUBSTITUTE(C433,""Sell_"",""""),Upgrades!$B$3:$B$13,0))*1.15^(COUNTIF(C$4:C432,SUBSTITUTE(C433,""Sell_"",""""))-COUNTIF(C$4:C432,"&amp;"""Sell_""&amp;SUBSTITUTE(C433,""Sell_"",""""))))/2),ROUNDUP(INDEX(Upgrades!$C$3:$C$13,MATCH(C433,Upgrades!$B$3:$B$13,0))*1.15^(COUNTIF(C$4:C432,C433)-COUNTIF(C$4:C432,""Sell_""&amp;C433))))))"),"")</f>
        <v/>
      </c>
      <c r="H433" s="10" t="str">
        <f t="shared" si="3"/>
        <v/>
      </c>
      <c r="I433" s="68" t="str">
        <f t="shared" si="4"/>
        <v/>
      </c>
      <c r="J433" s="59" t="str">
        <f t="shared" si="5"/>
        <v/>
      </c>
      <c r="K433" s="69" t="str">
        <f t="shared" si="6"/>
        <v/>
      </c>
      <c r="L433" s="60">
        <f t="shared" si="7"/>
        <v>-49.12773</v>
      </c>
      <c r="M433" s="61">
        <f>IFERROR(__xludf.DUMMYFUNCTION("IFS(AND(COUNTA(C433:C1644)=0,COUNTA(Q433:Q1644)=0),"""",OR(AND(K433&gt;=1000000000,OR(Y433&gt;=1000000000,COUNTA(Q433:Q1644)=0)),OR(Y433&gt;=1000000000,AND(COUNTA(C433:C1644)=0,P$3=TRUE))),
ROUNDDOWN((AB$1-AC$1)*MAX(INDEX(T$4:T1644,MATCH(LARGE(FILTER(Y$4:Y1644,Y$4"&amp;":Y1644&lt;1000000000),1),Y$4:Y1644)),INDEX(F$4:F1644,MATCH(LARGE(FILTER(K$4:K1644,K$4:K1644&lt;1000000000),1),K$4:K1644)))),AND(K433&lt;1000000000,COUNTA(C433:C1644)&gt;0,P$3=FALSE),
ROUNDDOWN(INDEX(Y$4:Y1644,MATCH(LARGE(FILTER(W$4:W1644,W$4:W1644&lt;=I433),1),W$4:W1644"&amp;"))+(I433-LARGE(FILTER(W$4:W1644,W$4:W1644&lt;=I433),1))*INDEX(T$4:T1644,MATCH(LARGE(FILTER(W$4:W1644,W$4:W1644&lt;=I433),1),W$4:W1644))-K433),1,
ROUNDDOWN(Y433-INDEX(K$4:K1644,MATCH(LARGE(FILTER(I$4:I1644,I$4:I1644&lt;=W433),1),I$4:I1644))-(W433-LARGE(FILTER(I$4:I"&amp;"1644,I$4:I1644&lt;=W433),1))*INDEX(F$4:F1644,MATCH(LARGE(FILTER(I$4:I1644,I$4:I1644&lt;=W433),1),I$4:I1644))))"),2.7919047E7)</f>
        <v>27919047</v>
      </c>
      <c r="N433" s="60">
        <f t="shared" si="8"/>
        <v>-49.12773</v>
      </c>
      <c r="O433" s="61" t="str">
        <f t="shared" si="9"/>
        <v>27,9M</v>
      </c>
      <c r="P433" s="56">
        <f t="shared" si="10"/>
        <v>26</v>
      </c>
      <c r="Q433" s="105" t="s">
        <v>6</v>
      </c>
      <c r="R433" s="10"/>
      <c r="S433" s="59">
        <f t="array" ref="S433">IF(COUNTA(Q433:Q1644)=0,"",SUM((COUNTIF(Q$4:Q433,Upgrades!$B$3:$B$13)-COUNTIF(Q$4:Q433,"Sell_"&amp;Upgrades!$B$3:$B$13))*Upgrades!$D$3:$D$13))</f>
        <v>560463</v>
      </c>
      <c r="T433" s="66">
        <f>IFERROR(__xludf.DUMMYFUNCTION("IF(COUNTA(Q433:Q1644)=0,"""",IF(REGEXMATCH(INDEX(FILTER(Q$4:Q433,Q$4:Q433&lt;&gt;""""),ROWS(FILTER(Q$4:Q433,Q$4:Q433&lt;&gt;""""))),""^Sell_""),INDEX(FILTER(T$4:T432,Q$4:Q432&lt;&gt;""""),ROWS(FILTER(Q$4:Q432,Q$4:Q432&lt;&gt;""""))),$AD$5+S433))"),560473.0)</f>
        <v>560473</v>
      </c>
      <c r="U433" s="10">
        <f>IFERROR(__xludf.DUMMYFUNCTION("IF(COUNTA(Q433:Q1644)=0,"""",IF(Q433="""",0,IF(REGEXMATCH(Q433,""^Sell_""),-ROUNDDOWN(ROUNDUP(INDEX(Upgrades!$C$3:$C$13,MATCH(SUBSTITUTE(Q433,""Sell_"",""""),Upgrades!$B$3:$B$13,0))*1.15^(COUNTIF(Q$4:Q432,SUBSTITUTE(Q433,""Sell_"",""""))-COUNTIF(Q$4:Q432,"&amp;"""Sell_""&amp;SUBSTITUTE(Q433,""Sell_"",""""))))/2),ROUNDUP(INDEX(Upgrades!$C$3:$C$13,MATCH(Q433,Upgrades!$B$3:$B$13,0))*1.15^(COUNTIF(Q$4:Q432,Q433)-COUNTIF(Q$4:Q432,""Sell_""&amp;Q433))))))"),98757.0)</f>
        <v>98757</v>
      </c>
      <c r="V433" s="10">
        <f t="shared" si="11"/>
        <v>98757</v>
      </c>
      <c r="W433" s="68">
        <f t="shared" si="12"/>
        <v>7801.060674</v>
      </c>
      <c r="X433" s="59" t="str">
        <f t="shared" si="13"/>
        <v>2h 10m 01s</v>
      </c>
      <c r="Y433" s="69">
        <f t="shared" si="14"/>
        <v>999966157</v>
      </c>
      <c r="Z433" s="11"/>
      <c r="AG433" s="59"/>
    </row>
    <row r="434">
      <c r="A434" s="8"/>
      <c r="B434" s="56" t="str">
        <f t="shared" si="2"/>
        <v/>
      </c>
      <c r="C434" s="105"/>
      <c r="D434" s="10"/>
      <c r="E434" s="59" t="str">
        <f t="array" ref="E434">IF(COUNTA(C434:C1644)=0,"",SUM((COUNTIF(C$4:C434,Upgrades!$B$3:$B$13)-COUNTIF(C$4:C434,"Sell_"&amp;Upgrades!$B$3:$B$13))*Upgrades!$D$3:$D$13))</f>
        <v/>
      </c>
      <c r="F434" s="66" t="str">
        <f>IFERROR(__xludf.DUMMYFUNCTION("IF(COUNTA(C434:C1644)=0,"""",IF(REGEXMATCH(INDEX(FILTER(C$4:C434,C$4:C434&lt;&gt;""""),ROWS(FILTER(C$4:C434,C$4:C434&lt;&gt;""""))),""^Sell_""),INDEX(FILTER(F$4:F433,C$4:C433&lt;&gt;""""),ROWS(FILTER(C$4:C433,C$4:C433&lt;&gt;""""))),$AC$5+E434))"),"")</f>
        <v/>
      </c>
      <c r="G434" s="10" t="str">
        <f>IFERROR(__xludf.DUMMYFUNCTION("IF(COUNTA(C434:C1644)=0,"""",IF(C434="""",0,IF(REGEXMATCH(C434,""^Sell_""),-ROUNDDOWN(ROUNDUP(INDEX(Upgrades!$C$3:$C$13,MATCH(SUBSTITUTE(C434,""Sell_"",""""),Upgrades!$B$3:$B$13,0))*1.15^(COUNTIF(C$4:C433,SUBSTITUTE(C434,""Sell_"",""""))-COUNTIF(C$4:C433,"&amp;"""Sell_""&amp;SUBSTITUTE(C434,""Sell_"",""""))))/2),ROUNDUP(INDEX(Upgrades!$C$3:$C$13,MATCH(C434,Upgrades!$B$3:$B$13,0))*1.15^(COUNTIF(C$4:C433,C434)-COUNTIF(C$4:C433,""Sell_""&amp;C434))))))"),"")</f>
        <v/>
      </c>
      <c r="H434" s="10" t="str">
        <f t="shared" si="3"/>
        <v/>
      </c>
      <c r="I434" s="68" t="str">
        <f t="shared" si="4"/>
        <v/>
      </c>
      <c r="J434" s="59" t="str">
        <f t="shared" si="5"/>
        <v/>
      </c>
      <c r="K434" s="69" t="str">
        <f t="shared" si="6"/>
        <v/>
      </c>
      <c r="L434" s="60">
        <f t="shared" si="7"/>
        <v>-49.12771</v>
      </c>
      <c r="M434" s="61">
        <f>IFERROR(__xludf.DUMMYFUNCTION("IFS(AND(COUNTA(C434:C1644)=0,COUNTA(Q434:Q1644)=0),"""",OR(AND(K434&gt;=1000000000,OR(Y434&gt;=1000000000,COUNTA(Q434:Q1644)=0)),OR(Y434&gt;=1000000000,AND(COUNTA(C434:C1644)=0,P$3=TRUE))),
ROUNDDOWN((AB$1-AC$1)*MAX(INDEX(T$4:T1644,MATCH(LARGE(FILTER(Y$4:Y1644,Y$4"&amp;":Y1644&lt;1000000000),1),Y$4:Y1644)),INDEX(F$4:F1644,MATCH(LARGE(FILTER(K$4:K1644,K$4:K1644&lt;1000000000),1),K$4:K1644)))),AND(K434&lt;1000000000,COUNTA(C434:C1644)&gt;0,P$3=FALSE),
ROUNDDOWN(INDEX(Y$4:Y1644,MATCH(LARGE(FILTER(W$4:W1644,W$4:W1644&lt;=I434),1),W$4:W1644"&amp;"))+(I434-LARGE(FILTER(W$4:W1644,W$4:W1644&lt;=I434),1))*INDEX(T$4:T1644,MATCH(LARGE(FILTER(W$4:W1644,W$4:W1644&lt;=I434),1),W$4:W1644))-K434),1,
ROUNDDOWN(Y434-INDEX(K$4:K1644,MATCH(LARGE(FILTER(I$4:I1644,I$4:I1644&lt;=W434),1),I$4:I1644))-(W434-LARGE(FILTER(I$4:I"&amp;"1644,I$4:I1644&lt;=W434),1))*INDEX(F$4:F1644,MATCH(LARGE(FILTER(I$4:I1644,I$4:I1644&lt;=W434),1),I$4:I1644))))"),2.7919035E7)</f>
        <v>27919035</v>
      </c>
      <c r="N434" s="60">
        <f t="shared" si="8"/>
        <v>-49.12771</v>
      </c>
      <c r="O434" s="61" t="str">
        <f t="shared" si="9"/>
        <v>27,9M</v>
      </c>
      <c r="P434" s="56">
        <f t="shared" si="10"/>
        <v>31</v>
      </c>
      <c r="Q434" s="105" t="s">
        <v>3</v>
      </c>
      <c r="R434" s="10"/>
      <c r="S434" s="59">
        <f t="array" ref="S434">IF(COUNTA(Q434:Q1644)=0,"",SUM((COUNTIF(Q$4:Q434,Upgrades!$B$3:$B$13)-COUNTIF(Q$4:Q434,"Sell_"&amp;Upgrades!$B$3:$B$13))*Upgrades!$D$3:$D$13))</f>
        <v>560463.1</v>
      </c>
      <c r="T434" s="66">
        <f>IFERROR(__xludf.DUMMYFUNCTION("IF(COUNTA(Q434:Q1644)=0,"""",IF(REGEXMATCH(INDEX(FILTER(Q$4:Q434,Q$4:Q434&lt;&gt;""""),ROWS(FILTER(Q$4:Q434,Q$4:Q434&lt;&gt;""""))),""^Sell_""),INDEX(FILTER(T$4:T433,Q$4:Q433&lt;&gt;""""),ROWS(FILTER(Q$4:Q433,Q$4:Q433&lt;&gt;""""))),$AD$5+S434))"),560473.1)</f>
        <v>560473.1</v>
      </c>
      <c r="U434" s="10">
        <f>IFERROR(__xludf.DUMMYFUNCTION("IF(COUNTA(Q434:Q1644)=0,"""",IF(Q434="""",0,IF(REGEXMATCH(Q434,""^Sell_""),-ROUNDDOWN(ROUNDUP(INDEX(Upgrades!$C$3:$C$13,MATCH(SUBSTITUTE(Q434,""Sell_"",""""),Upgrades!$B$3:$B$13,0))*1.15^(COUNTIF(Q$4:Q433,SUBSTITUTE(Q434,""Sell_"",""""))-COUNTIF(Q$4:Q433,"&amp;"""Sell_""&amp;SUBSTITUTE(Q434,""Sell_"",""""))))/2),ROUNDUP(INDEX(Upgrades!$C$3:$C$13,MATCH(Q434,Upgrades!$B$3:$B$13,0))*1.15^(COUNTIF(Q$4:Q433,Q434)-COUNTIF(Q$4:Q433,""Sell_""&amp;Q434))))))"),994.0)</f>
        <v>994</v>
      </c>
      <c r="V434" s="10">
        <f t="shared" si="11"/>
        <v>994</v>
      </c>
      <c r="W434" s="68">
        <f t="shared" si="12"/>
        <v>7801.062448</v>
      </c>
      <c r="X434" s="59" t="str">
        <f t="shared" si="13"/>
        <v>2h 10m 01s</v>
      </c>
      <c r="Y434" s="69">
        <f t="shared" si="14"/>
        <v>999967151</v>
      </c>
      <c r="Z434" s="11"/>
      <c r="AG434" s="59"/>
    </row>
    <row r="435">
      <c r="A435" s="8"/>
      <c r="B435" s="56" t="str">
        <f t="shared" si="2"/>
        <v/>
      </c>
      <c r="C435" s="105"/>
      <c r="D435" s="10"/>
      <c r="E435" s="59" t="str">
        <f t="array" ref="E435">IF(COUNTA(C435:C1644)=0,"",SUM((COUNTIF(C$4:C435,Upgrades!$B$3:$B$13)-COUNTIF(C$4:C435,"Sell_"&amp;Upgrades!$B$3:$B$13))*Upgrades!$D$3:$D$13))</f>
        <v/>
      </c>
      <c r="F435" s="66" t="str">
        <f>IFERROR(__xludf.DUMMYFUNCTION("IF(COUNTA(C435:C1644)=0,"""",IF(REGEXMATCH(INDEX(FILTER(C$4:C435,C$4:C435&lt;&gt;""""),ROWS(FILTER(C$4:C435,C$4:C435&lt;&gt;""""))),""^Sell_""),INDEX(FILTER(F$4:F434,C$4:C434&lt;&gt;""""),ROWS(FILTER(C$4:C434,C$4:C434&lt;&gt;""""))),$AC$5+E435))"),"")</f>
        <v/>
      </c>
      <c r="G435" s="10" t="str">
        <f>IFERROR(__xludf.DUMMYFUNCTION("IF(COUNTA(C435:C1644)=0,"""",IF(C435="""",0,IF(REGEXMATCH(C435,""^Sell_""),-ROUNDDOWN(ROUNDUP(INDEX(Upgrades!$C$3:$C$13,MATCH(SUBSTITUTE(C435,""Sell_"",""""),Upgrades!$B$3:$B$13,0))*1.15^(COUNTIF(C$4:C434,SUBSTITUTE(C435,""Sell_"",""""))-COUNTIF(C$4:C434,"&amp;"""Sell_""&amp;SUBSTITUTE(C435,""Sell_"",""""))))/2),ROUNDUP(INDEX(Upgrades!$C$3:$C$13,MATCH(C435,Upgrades!$B$3:$B$13,0))*1.15^(COUNTIF(C$4:C434,C435)-COUNTIF(C$4:C434,""Sell_""&amp;C435))))))"),"")</f>
        <v/>
      </c>
      <c r="H435" s="10" t="str">
        <f t="shared" si="3"/>
        <v/>
      </c>
      <c r="I435" s="68" t="str">
        <f t="shared" si="4"/>
        <v/>
      </c>
      <c r="J435" s="59" t="str">
        <f t="shared" si="5"/>
        <v/>
      </c>
      <c r="K435" s="69" t="str">
        <f t="shared" si="6"/>
        <v/>
      </c>
      <c r="L435" s="60">
        <f t="shared" si="7"/>
        <v>-49.12757</v>
      </c>
      <c r="M435" s="61">
        <f>IFERROR(__xludf.DUMMYFUNCTION("IFS(AND(COUNTA(C435:C1644)=0,COUNTA(Q435:Q1644)=0),"""",OR(AND(K435&gt;=1000000000,OR(Y435&gt;=1000000000,COUNTA(Q435:Q1644)=0)),OR(Y435&gt;=1000000000,AND(COUNTA(C435:C1644)=0,P$3=TRUE))),
ROUNDDOWN((AB$1-AC$1)*MAX(INDEX(T$4:T1644,MATCH(LARGE(FILTER(Y$4:Y1644,Y$4"&amp;":Y1644&lt;1000000000),1),Y$4:Y1644)),INDEX(F$4:F1644,MATCH(LARGE(FILTER(K$4:K1644,K$4:K1644&lt;1000000000),1),K$4:K1644)))),AND(K435&lt;1000000000,COUNTA(C435:C1644)&gt;0,P$3=FALSE),
ROUNDDOWN(INDEX(Y$4:Y1644,MATCH(LARGE(FILTER(W$4:W1644,W$4:W1644&lt;=I435),1),W$4:W1644"&amp;"))+(I435-LARGE(FILTER(W$4:W1644,W$4:W1644&lt;=I435),1))*INDEX(T$4:T1644,MATCH(LARGE(FILTER(W$4:W1644,W$4:W1644&lt;=I435),1),W$4:W1644))-K435),1,
ROUNDDOWN(Y435-INDEX(K$4:K1644,MATCH(LARGE(FILTER(I$4:I1644,I$4:I1644&lt;=W435),1),I$4:I1644))-(W435-LARGE(FILTER(I$4:I"&amp;"1644,I$4:I1644&lt;=W435),1))*INDEX(F$4:F1644,MATCH(LARGE(FILTER(I$4:I1644,I$4:I1644&lt;=W435),1),I$4:I1644))))"),2.7918974E7)</f>
        <v>27918974</v>
      </c>
      <c r="N435" s="60">
        <f t="shared" si="8"/>
        <v>-49.12757</v>
      </c>
      <c r="O435" s="61" t="str">
        <f t="shared" si="9"/>
        <v>27,9M</v>
      </c>
      <c r="P435" s="56">
        <f t="shared" si="10"/>
        <v>29</v>
      </c>
      <c r="Q435" s="105" t="s">
        <v>4</v>
      </c>
      <c r="R435" s="10"/>
      <c r="S435" s="59">
        <f t="array" ref="S435">IF(COUNTA(Q435:Q1644)=0,"",SUM((COUNTIF(Q$4:Q435,Upgrades!$B$3:$B$13)-COUNTIF(Q$4:Q435,"Sell_"&amp;Upgrades!$B$3:$B$13))*Upgrades!$D$3:$D$13))</f>
        <v>560463.6</v>
      </c>
      <c r="T435" s="66">
        <f>IFERROR(__xludf.DUMMYFUNCTION("IF(COUNTA(Q435:Q1644)=0,"""",IF(REGEXMATCH(INDEX(FILTER(Q$4:Q435,Q$4:Q435&lt;&gt;""""),ROWS(FILTER(Q$4:Q435,Q$4:Q435&lt;&gt;""""))),""^Sell_""),INDEX(FILTER(T$4:T434,Q$4:Q434&lt;&gt;""""),ROWS(FILTER(Q$4:Q434,Q$4:Q434&lt;&gt;""""))),$AD$5+S435))"),560473.6)</f>
        <v>560473.6</v>
      </c>
      <c r="U435" s="10">
        <f>IFERROR(__xludf.DUMMYFUNCTION("IF(COUNTA(Q435:Q1644)=0,"""",IF(Q435="""",0,IF(REGEXMATCH(Q435,""^Sell_""),-ROUNDDOWN(ROUNDUP(INDEX(Upgrades!$C$3:$C$13,MATCH(SUBSTITUTE(Q435,""Sell_"",""""),Upgrades!$B$3:$B$13,0))*1.15^(COUNTIF(Q$4:Q434,SUBSTITUTE(Q435,""Sell_"",""""))-COUNTIF(Q$4:Q434,"&amp;"""Sell_""&amp;SUBSTITUTE(Q435,""Sell_"",""""))))/2),ROUNDUP(INDEX(Upgrades!$C$3:$C$13,MATCH(Q435,Upgrades!$B$3:$B$13,0))*1.15^(COUNTIF(Q$4:Q434,Q435)-COUNTIF(Q$4:Q434,""Sell_""&amp;Q435))))))"),5007.0)</f>
        <v>5007</v>
      </c>
      <c r="V435" s="10">
        <f t="shared" si="11"/>
        <v>5007</v>
      </c>
      <c r="W435" s="68">
        <f t="shared" si="12"/>
        <v>7801.071381</v>
      </c>
      <c r="X435" s="59" t="str">
        <f t="shared" si="13"/>
        <v>2h 10m 01s</v>
      </c>
      <c r="Y435" s="69">
        <f t="shared" si="14"/>
        <v>999972158</v>
      </c>
      <c r="Z435" s="11"/>
      <c r="AG435" s="59"/>
    </row>
    <row r="436">
      <c r="A436" s="8"/>
      <c r="B436" s="56" t="str">
        <f t="shared" si="2"/>
        <v/>
      </c>
      <c r="C436" s="105"/>
      <c r="D436" s="10"/>
      <c r="E436" s="59" t="str">
        <f t="array" ref="E436">IF(COUNTA(C436:C1644)=0,"",SUM((COUNTIF(C$4:C436,Upgrades!$B$3:$B$13)-COUNTIF(C$4:C436,"Sell_"&amp;Upgrades!$B$3:$B$13))*Upgrades!$D$3:$D$13))</f>
        <v/>
      </c>
      <c r="F436" s="66" t="str">
        <f>IFERROR(__xludf.DUMMYFUNCTION("IF(COUNTA(C436:C1644)=0,"""",IF(REGEXMATCH(INDEX(FILTER(C$4:C436,C$4:C436&lt;&gt;""""),ROWS(FILTER(C$4:C436,C$4:C436&lt;&gt;""""))),""^Sell_""),INDEX(FILTER(F$4:F435,C$4:C435&lt;&gt;""""),ROWS(FILTER(C$4:C435,C$4:C435&lt;&gt;""""))),$AC$5+E436))"),"")</f>
        <v/>
      </c>
      <c r="G436" s="10" t="str">
        <f>IFERROR(__xludf.DUMMYFUNCTION("IF(COUNTA(C436:C1644)=0,"""",IF(C436="""",0,IF(REGEXMATCH(C436,""^Sell_""),-ROUNDDOWN(ROUNDUP(INDEX(Upgrades!$C$3:$C$13,MATCH(SUBSTITUTE(C436,""Sell_"",""""),Upgrades!$B$3:$B$13,0))*1.15^(COUNTIF(C$4:C435,SUBSTITUTE(C436,""Sell_"",""""))-COUNTIF(C$4:C435,"&amp;"""Sell_""&amp;SUBSTITUTE(C436,""Sell_"",""""))))/2),ROUNDUP(INDEX(Upgrades!$C$3:$C$13,MATCH(C436,Upgrades!$B$3:$B$13,0))*1.15^(COUNTIF(C$4:C435,C436)-COUNTIF(C$4:C435,""Sell_""&amp;C436))))))"),"")</f>
        <v/>
      </c>
      <c r="H436" s="10" t="str">
        <f t="shared" si="3"/>
        <v/>
      </c>
      <c r="I436" s="68" t="str">
        <f t="shared" si="4"/>
        <v/>
      </c>
      <c r="J436" s="59" t="str">
        <f t="shared" si="5"/>
        <v/>
      </c>
      <c r="K436" s="69" t="str">
        <f t="shared" si="6"/>
        <v/>
      </c>
      <c r="L436" s="60">
        <f t="shared" si="7"/>
        <v>-49.12754</v>
      </c>
      <c r="M436" s="61">
        <f>IFERROR(__xludf.DUMMYFUNCTION("IFS(AND(COUNTA(C436:C1644)=0,COUNTA(Q436:Q1644)=0),"""",OR(AND(K436&gt;=1000000000,OR(Y436&gt;=1000000000,COUNTA(Q436:Q1644)=0)),OR(Y436&gt;=1000000000,AND(COUNTA(C436:C1644)=0,P$3=TRUE))),
ROUNDDOWN((AB$1-AC$1)*MAX(INDEX(T$4:T1644,MATCH(LARGE(FILTER(Y$4:Y1644,Y$4"&amp;":Y1644&lt;1000000000),1),Y$4:Y1644)),INDEX(F$4:F1644,MATCH(LARGE(FILTER(K$4:K1644,K$4:K1644&lt;1000000000),1),K$4:K1644)))),AND(K436&lt;1000000000,COUNTA(C436:C1644)&gt;0,P$3=FALSE),
ROUNDDOWN(INDEX(Y$4:Y1644,MATCH(LARGE(FILTER(W$4:W1644,W$4:W1644&lt;=I436),1),W$4:W1644"&amp;"))+(I436-LARGE(FILTER(W$4:W1644,W$4:W1644&lt;=I436),1))*INDEX(T$4:T1644,MATCH(LARGE(FILTER(W$4:W1644,W$4:W1644&lt;=I436),1),W$4:W1644))-K436),1,
ROUNDDOWN(Y436-INDEX(K$4:K1644,MATCH(LARGE(FILTER(I$4:I1644,I$4:I1644&lt;=W436),1),I$4:I1644))-(W436-LARGE(FILTER(I$4:I"&amp;"1644,I$4:I1644&lt;=W436),1))*INDEX(F$4:F1644,MATCH(LARGE(FILTER(I$4:I1644,I$4:I1644&lt;=W436),1),I$4:I1644))))"),2.791896E7)</f>
        <v>27918960</v>
      </c>
      <c r="N436" s="60">
        <f t="shared" si="8"/>
        <v>-49.12754</v>
      </c>
      <c r="O436" s="61" t="str">
        <f t="shared" si="9"/>
        <v>27,9M</v>
      </c>
      <c r="P436" s="56">
        <f t="shared" si="10"/>
        <v>32</v>
      </c>
      <c r="Q436" s="105" t="s">
        <v>3</v>
      </c>
      <c r="R436" s="10"/>
      <c r="S436" s="59">
        <f t="array" ref="S436">IF(COUNTA(Q436:Q1644)=0,"",SUM((COUNTIF(Q$4:Q436,Upgrades!$B$3:$B$13)-COUNTIF(Q$4:Q436,"Sell_"&amp;Upgrades!$B$3:$B$13))*Upgrades!$D$3:$D$13))</f>
        <v>560463.7</v>
      </c>
      <c r="T436" s="66">
        <f>IFERROR(__xludf.DUMMYFUNCTION("IF(COUNTA(Q436:Q1644)=0,"""",IF(REGEXMATCH(INDEX(FILTER(Q$4:Q436,Q$4:Q436&lt;&gt;""""),ROWS(FILTER(Q$4:Q436,Q$4:Q436&lt;&gt;""""))),""^Sell_""),INDEX(FILTER(T$4:T435,Q$4:Q435&lt;&gt;""""),ROWS(FILTER(Q$4:Q435,Q$4:Q435&lt;&gt;""""))),$AD$5+S436))"),560473.7)</f>
        <v>560473.7</v>
      </c>
      <c r="U436" s="10">
        <f>IFERROR(__xludf.DUMMYFUNCTION("IF(COUNTA(Q436:Q1644)=0,"""",IF(Q436="""",0,IF(REGEXMATCH(Q436,""^Sell_""),-ROUNDDOWN(ROUNDUP(INDEX(Upgrades!$C$3:$C$13,MATCH(SUBSTITUTE(Q436,""Sell_"",""""),Upgrades!$B$3:$B$13,0))*1.15^(COUNTIF(Q$4:Q435,SUBSTITUTE(Q436,""Sell_"",""""))-COUNTIF(Q$4:Q435,"&amp;"""Sell_""&amp;SUBSTITUTE(Q436,""Sell_"",""""))))/2),ROUNDUP(INDEX(Upgrades!$C$3:$C$13,MATCH(Q436,Upgrades!$B$3:$B$13,0))*1.15^(COUNTIF(Q$4:Q435,Q436)-COUNTIF(Q$4:Q435,""Sell_""&amp;Q436))))))"),1143.0)</f>
        <v>1143</v>
      </c>
      <c r="V436" s="10">
        <f t="shared" si="11"/>
        <v>1143</v>
      </c>
      <c r="W436" s="68">
        <f t="shared" si="12"/>
        <v>7801.073421</v>
      </c>
      <c r="X436" s="59" t="str">
        <f t="shared" si="13"/>
        <v>2h 10m 01s</v>
      </c>
      <c r="Y436" s="69">
        <f t="shared" si="14"/>
        <v>999973301</v>
      </c>
      <c r="Z436" s="11"/>
      <c r="AG436" s="59"/>
    </row>
    <row r="437">
      <c r="A437" s="8"/>
      <c r="B437" s="56" t="str">
        <f t="shared" si="2"/>
        <v/>
      </c>
      <c r="C437" s="105"/>
      <c r="D437" s="10"/>
      <c r="E437" s="59" t="str">
        <f t="array" ref="E437">IF(COUNTA(C437:C1644)=0,"",SUM((COUNTIF(C$4:C437,Upgrades!$B$3:$B$13)-COUNTIF(C$4:C437,"Sell_"&amp;Upgrades!$B$3:$B$13))*Upgrades!$D$3:$D$13))</f>
        <v/>
      </c>
      <c r="F437" s="66" t="str">
        <f>IFERROR(__xludf.DUMMYFUNCTION("IF(COUNTA(C437:C1644)=0,"""",IF(REGEXMATCH(INDEX(FILTER(C$4:C437,C$4:C437&lt;&gt;""""),ROWS(FILTER(C$4:C437,C$4:C437&lt;&gt;""""))),""^Sell_""),INDEX(FILTER(F$4:F436,C$4:C436&lt;&gt;""""),ROWS(FILTER(C$4:C436,C$4:C436&lt;&gt;""""))),$AC$5+E437))"),"")</f>
        <v/>
      </c>
      <c r="G437" s="10" t="str">
        <f>IFERROR(__xludf.DUMMYFUNCTION("IF(COUNTA(C437:C1644)=0,"""",IF(C437="""",0,IF(REGEXMATCH(C437,""^Sell_""),-ROUNDDOWN(ROUNDUP(INDEX(Upgrades!$C$3:$C$13,MATCH(SUBSTITUTE(C437,""Sell_"",""""),Upgrades!$B$3:$B$13,0))*1.15^(COUNTIF(C$4:C436,SUBSTITUTE(C437,""Sell_"",""""))-COUNTIF(C$4:C436,"&amp;"""Sell_""&amp;SUBSTITUTE(C437,""Sell_"",""""))))/2),ROUNDUP(INDEX(Upgrades!$C$3:$C$13,MATCH(C437,Upgrades!$B$3:$B$13,0))*1.15^(COUNTIF(C$4:C436,C437)-COUNTIF(C$4:C436,""Sell_""&amp;C437))))))"),"")</f>
        <v/>
      </c>
      <c r="H437" s="10" t="str">
        <f t="shared" si="3"/>
        <v/>
      </c>
      <c r="I437" s="68" t="str">
        <f t="shared" si="4"/>
        <v/>
      </c>
      <c r="J437" s="59" t="str">
        <f t="shared" si="5"/>
        <v/>
      </c>
      <c r="K437" s="69" t="str">
        <f t="shared" si="6"/>
        <v/>
      </c>
      <c r="L437" s="60">
        <f t="shared" si="7"/>
        <v>-49.12738</v>
      </c>
      <c r="M437" s="61">
        <f>IFERROR(__xludf.DUMMYFUNCTION("IFS(AND(COUNTA(C437:C1644)=0,COUNTA(Q437:Q1644)=0),"""",OR(AND(K437&gt;=1000000000,OR(Y437&gt;=1000000000,COUNTA(Q437:Q1644)=0)),OR(Y437&gt;=1000000000,AND(COUNTA(C437:C1644)=0,P$3=TRUE))),
ROUNDDOWN((AB$1-AC$1)*MAX(INDEX(T$4:T1644,MATCH(LARGE(FILTER(Y$4:Y1644,Y$4"&amp;":Y1644&lt;1000000000),1),Y$4:Y1644)),INDEX(F$4:F1644,MATCH(LARGE(FILTER(K$4:K1644,K$4:K1644&lt;1000000000),1),K$4:K1644)))),AND(K437&lt;1000000000,COUNTA(C437:C1644)&gt;0,P$3=FALSE),
ROUNDDOWN(INDEX(Y$4:Y1644,MATCH(LARGE(FILTER(W$4:W1644,W$4:W1644&lt;=I437),1),W$4:W1644"&amp;"))+(I437-LARGE(FILTER(W$4:W1644,W$4:W1644&lt;=I437),1))*INDEX(T$4:T1644,MATCH(LARGE(FILTER(W$4:W1644,W$4:W1644&lt;=I437),1),W$4:W1644))-K437),1,
ROUNDDOWN(Y437-INDEX(K$4:K1644,MATCH(LARGE(FILTER(I$4:I1644,I$4:I1644&lt;=W437),1),I$4:I1644))-(W437-LARGE(FILTER(I$4:I"&amp;"1644,I$4:I1644&lt;=W437),1))*INDEX(F$4:F1644,MATCH(LARGE(FILTER(I$4:I1644,I$4:I1644&lt;=W437),1),I$4:I1644))))"),2.791889E7)</f>
        <v>27918890</v>
      </c>
      <c r="N437" s="60">
        <f t="shared" si="8"/>
        <v>-49.12738</v>
      </c>
      <c r="O437" s="61" t="str">
        <f t="shared" si="9"/>
        <v>27,9M</v>
      </c>
      <c r="P437" s="56">
        <f t="shared" si="10"/>
        <v>30</v>
      </c>
      <c r="Q437" s="105" t="s">
        <v>4</v>
      </c>
      <c r="R437" s="10"/>
      <c r="S437" s="59">
        <f t="array" ref="S437">IF(COUNTA(Q437:Q1644)=0,"",SUM((COUNTIF(Q$4:Q437,Upgrades!$B$3:$B$13)-COUNTIF(Q$4:Q437,"Sell_"&amp;Upgrades!$B$3:$B$13))*Upgrades!$D$3:$D$13))</f>
        <v>560464.2</v>
      </c>
      <c r="T437" s="66">
        <f>IFERROR(__xludf.DUMMYFUNCTION("IF(COUNTA(Q437:Q1644)=0,"""",IF(REGEXMATCH(INDEX(FILTER(Q$4:Q437,Q$4:Q437&lt;&gt;""""),ROWS(FILTER(Q$4:Q437,Q$4:Q437&lt;&gt;""""))),""^Sell_""),INDEX(FILTER(T$4:T436,Q$4:Q436&lt;&gt;""""),ROWS(FILTER(Q$4:Q436,Q$4:Q436&lt;&gt;""""))),$AD$5+S437))"),560474.2)</f>
        <v>560474.2</v>
      </c>
      <c r="U437" s="10">
        <f>IFERROR(__xludf.DUMMYFUNCTION("IF(COUNTA(Q437:Q1644)=0,"""",IF(Q437="""",0,IF(REGEXMATCH(Q437,""^Sell_""),-ROUNDDOWN(ROUNDUP(INDEX(Upgrades!$C$3:$C$13,MATCH(SUBSTITUTE(Q437,""Sell_"",""""),Upgrades!$B$3:$B$13,0))*1.15^(COUNTIF(Q$4:Q436,SUBSTITUTE(Q437,""Sell_"",""""))-COUNTIF(Q$4:Q436,"&amp;"""Sell_""&amp;SUBSTITUTE(Q437,""Sell_"",""""))))/2),ROUNDUP(INDEX(Upgrades!$C$3:$C$13,MATCH(Q437,Upgrades!$B$3:$B$13,0))*1.15^(COUNTIF(Q$4:Q436,Q437)-COUNTIF(Q$4:Q436,""Sell_""&amp;Q437))))))"),5758.0)</f>
        <v>5758</v>
      </c>
      <c r="V437" s="10">
        <f t="shared" si="11"/>
        <v>5758</v>
      </c>
      <c r="W437" s="68">
        <f t="shared" si="12"/>
        <v>7801.083694</v>
      </c>
      <c r="X437" s="59" t="str">
        <f t="shared" si="13"/>
        <v>2h 10m 01s</v>
      </c>
      <c r="Y437" s="69">
        <f t="shared" si="14"/>
        <v>999979059</v>
      </c>
      <c r="Z437" s="11"/>
      <c r="AG437" s="59"/>
    </row>
    <row r="438">
      <c r="A438" s="8"/>
      <c r="B438" s="56" t="str">
        <f t="shared" si="2"/>
        <v/>
      </c>
      <c r="C438" s="105"/>
      <c r="D438" s="10"/>
      <c r="E438" s="59" t="str">
        <f t="array" ref="E438">IF(COUNTA(C438:C1644)=0,"",SUM((COUNTIF(C$4:C438,Upgrades!$B$3:$B$13)-COUNTIF(C$4:C438,"Sell_"&amp;Upgrades!$B$3:$B$13))*Upgrades!$D$3:$D$13))</f>
        <v/>
      </c>
      <c r="F438" s="66" t="str">
        <f>IFERROR(__xludf.DUMMYFUNCTION("IF(COUNTA(C438:C1644)=0,"""",IF(REGEXMATCH(INDEX(FILTER(C$4:C438,C$4:C438&lt;&gt;""""),ROWS(FILTER(C$4:C438,C$4:C438&lt;&gt;""""))),""^Sell_""),INDEX(FILTER(F$4:F437,C$4:C437&lt;&gt;""""),ROWS(FILTER(C$4:C437,C$4:C437&lt;&gt;""""))),$AC$5+E438))"),"")</f>
        <v/>
      </c>
      <c r="G438" s="10" t="str">
        <f>IFERROR(__xludf.DUMMYFUNCTION("IF(COUNTA(C438:C1644)=0,"""",IF(C438="""",0,IF(REGEXMATCH(C438,""^Sell_""),-ROUNDDOWN(ROUNDUP(INDEX(Upgrades!$C$3:$C$13,MATCH(SUBSTITUTE(C438,""Sell_"",""""),Upgrades!$B$3:$B$13,0))*1.15^(COUNTIF(C$4:C437,SUBSTITUTE(C438,""Sell_"",""""))-COUNTIF(C$4:C437,"&amp;"""Sell_""&amp;SUBSTITUTE(C438,""Sell_"",""""))))/2),ROUNDUP(INDEX(Upgrades!$C$3:$C$13,MATCH(C438,Upgrades!$B$3:$B$13,0))*1.15^(COUNTIF(C$4:C437,C438)-COUNTIF(C$4:C437,""Sell_""&amp;C438))))))"),"")</f>
        <v/>
      </c>
      <c r="H438" s="10" t="str">
        <f t="shared" si="3"/>
        <v/>
      </c>
      <c r="I438" s="68" t="str">
        <f t="shared" si="4"/>
        <v/>
      </c>
      <c r="J438" s="59" t="str">
        <f t="shared" si="5"/>
        <v/>
      </c>
      <c r="K438" s="69" t="str">
        <f t="shared" si="6"/>
        <v/>
      </c>
      <c r="L438" s="60">
        <f t="shared" si="7"/>
        <v>-49.12734</v>
      </c>
      <c r="M438" s="61">
        <f>IFERROR(__xludf.DUMMYFUNCTION("IFS(AND(COUNTA(C438:C1644)=0,COUNTA(Q438:Q1644)=0),"""",OR(AND(K438&gt;=1000000000,OR(Y438&gt;=1000000000,COUNTA(Q438:Q1644)=0)),OR(Y438&gt;=1000000000,AND(COUNTA(C438:C1644)=0,P$3=TRUE))),
ROUNDDOWN((AB$1-AC$1)*MAX(INDEX(T$4:T1644,MATCH(LARGE(FILTER(Y$4:Y1644,Y$4"&amp;":Y1644&lt;1000000000),1),Y$4:Y1644)),INDEX(F$4:F1644,MATCH(LARGE(FILTER(K$4:K1644,K$4:K1644&lt;1000000000),1),K$4:K1644)))),AND(K438&lt;1000000000,COUNTA(C438:C1644)&gt;0,P$3=FALSE),
ROUNDDOWN(INDEX(Y$4:Y1644,MATCH(LARGE(FILTER(W$4:W1644,W$4:W1644&lt;=I438),1),W$4:W1644"&amp;"))+(I438-LARGE(FILTER(W$4:W1644,W$4:W1644&lt;=I438),1))*INDEX(T$4:T1644,MATCH(LARGE(FILTER(W$4:W1644,W$4:W1644&lt;=I438),1),W$4:W1644))-K438),1,
ROUNDDOWN(Y438-INDEX(K$4:K1644,MATCH(LARGE(FILTER(I$4:I1644,I$4:I1644&lt;=W438),1),I$4:I1644))-(W438-LARGE(FILTER(I$4:I"&amp;"1644,I$4:I1644&lt;=W438),1))*INDEX(F$4:F1644,MATCH(LARGE(FILTER(I$4:I1644,I$4:I1644&lt;=W438),1),I$4:I1644))))"),2.7918874E7)</f>
        <v>27918874</v>
      </c>
      <c r="N438" s="60">
        <f t="shared" si="8"/>
        <v>-49.12734</v>
      </c>
      <c r="O438" s="61" t="str">
        <f t="shared" si="9"/>
        <v>27,9M</v>
      </c>
      <c r="P438" s="56">
        <f t="shared" si="10"/>
        <v>33</v>
      </c>
      <c r="Q438" s="105" t="s">
        <v>3</v>
      </c>
      <c r="R438" s="10"/>
      <c r="S438" s="59">
        <f t="array" ref="S438">IF(COUNTA(Q438:Q1644)=0,"",SUM((COUNTIF(Q$4:Q438,Upgrades!$B$3:$B$13)-COUNTIF(Q$4:Q438,"Sell_"&amp;Upgrades!$B$3:$B$13))*Upgrades!$D$3:$D$13))</f>
        <v>560464.3</v>
      </c>
      <c r="T438" s="66">
        <f>IFERROR(__xludf.DUMMYFUNCTION("IF(COUNTA(Q438:Q1644)=0,"""",IF(REGEXMATCH(INDEX(FILTER(Q$4:Q438,Q$4:Q438&lt;&gt;""""),ROWS(FILTER(Q$4:Q438,Q$4:Q438&lt;&gt;""""))),""^Sell_""),INDEX(FILTER(T$4:T437,Q$4:Q437&lt;&gt;""""),ROWS(FILTER(Q$4:Q437,Q$4:Q437&lt;&gt;""""))),$AD$5+S438))"),560474.3)</f>
        <v>560474.3</v>
      </c>
      <c r="U438" s="10">
        <f>IFERROR(__xludf.DUMMYFUNCTION("IF(COUNTA(Q438:Q1644)=0,"""",IF(Q438="""",0,IF(REGEXMATCH(Q438,""^Sell_""),-ROUNDDOWN(ROUNDUP(INDEX(Upgrades!$C$3:$C$13,MATCH(SUBSTITUTE(Q438,""Sell_"",""""),Upgrades!$B$3:$B$13,0))*1.15^(COUNTIF(Q$4:Q437,SUBSTITUTE(Q438,""Sell_"",""""))-COUNTIF(Q$4:Q437,"&amp;"""Sell_""&amp;SUBSTITUTE(Q438,""Sell_"",""""))))/2),ROUNDUP(INDEX(Upgrades!$C$3:$C$13,MATCH(Q438,Upgrades!$B$3:$B$13,0))*1.15^(COUNTIF(Q$4:Q437,Q438)-COUNTIF(Q$4:Q437,""Sell_""&amp;Q438))))))"),1314.0)</f>
        <v>1314</v>
      </c>
      <c r="V438" s="10">
        <f t="shared" si="11"/>
        <v>1314</v>
      </c>
      <c r="W438" s="68">
        <f t="shared" si="12"/>
        <v>7801.086039</v>
      </c>
      <c r="X438" s="59" t="str">
        <f t="shared" si="13"/>
        <v>2h 10m 01s</v>
      </c>
      <c r="Y438" s="69">
        <f t="shared" si="14"/>
        <v>999980373</v>
      </c>
      <c r="Z438" s="11"/>
      <c r="AG438" s="59"/>
    </row>
    <row r="439">
      <c r="A439" s="8"/>
      <c r="B439" s="56" t="str">
        <f t="shared" si="2"/>
        <v/>
      </c>
      <c r="C439" s="105"/>
      <c r="D439" s="10"/>
      <c r="E439" s="59" t="str">
        <f t="array" ref="E439">IF(COUNTA(C439:C1644)=0,"",SUM((COUNTIF(C$4:C439,Upgrades!$B$3:$B$13)-COUNTIF(C$4:C439,"Sell_"&amp;Upgrades!$B$3:$B$13))*Upgrades!$D$3:$D$13))</f>
        <v/>
      </c>
      <c r="F439" s="66" t="str">
        <f>IFERROR(__xludf.DUMMYFUNCTION("IF(COUNTA(C439:C1644)=0,"""",IF(REGEXMATCH(INDEX(FILTER(C$4:C439,C$4:C439&lt;&gt;""""),ROWS(FILTER(C$4:C439,C$4:C439&lt;&gt;""""))),""^Sell_""),INDEX(FILTER(F$4:F438,C$4:C438&lt;&gt;""""),ROWS(FILTER(C$4:C438,C$4:C438&lt;&gt;""""))),$AC$5+E439))"),"")</f>
        <v/>
      </c>
      <c r="G439" s="10" t="str">
        <f>IFERROR(__xludf.DUMMYFUNCTION("IF(COUNTA(C439:C1644)=0,"""",IF(C439="""",0,IF(REGEXMATCH(C439,""^Sell_""),-ROUNDDOWN(ROUNDUP(INDEX(Upgrades!$C$3:$C$13,MATCH(SUBSTITUTE(C439,""Sell_"",""""),Upgrades!$B$3:$B$13,0))*1.15^(COUNTIF(C$4:C438,SUBSTITUTE(C439,""Sell_"",""""))-COUNTIF(C$4:C438,"&amp;"""Sell_""&amp;SUBSTITUTE(C439,""Sell_"",""""))))/2),ROUNDUP(INDEX(Upgrades!$C$3:$C$13,MATCH(C439,Upgrades!$B$3:$B$13,0))*1.15^(COUNTIF(C$4:C438,C439)-COUNTIF(C$4:C438,""Sell_""&amp;C439))))))"),"")</f>
        <v/>
      </c>
      <c r="H439" s="10" t="str">
        <f t="shared" si="3"/>
        <v/>
      </c>
      <c r="I439" s="68" t="str">
        <f t="shared" si="4"/>
        <v/>
      </c>
      <c r="J439" s="59" t="str">
        <f t="shared" si="5"/>
        <v/>
      </c>
      <c r="K439" s="69" t="str">
        <f t="shared" si="6"/>
        <v/>
      </c>
      <c r="L439" s="60">
        <f t="shared" si="7"/>
        <v>-49.12716</v>
      </c>
      <c r="M439" s="61">
        <f>IFERROR(__xludf.DUMMYFUNCTION("IFS(AND(COUNTA(C439:C1644)=0,COUNTA(Q439:Q1644)=0),"""",OR(AND(K439&gt;=1000000000,OR(Y439&gt;=1000000000,COUNTA(Q439:Q1644)=0)),OR(Y439&gt;=1000000000,AND(COUNTA(C439:C1644)=0,P$3=TRUE))),
ROUNDDOWN((AB$1-AC$1)*MAX(INDEX(T$4:T1644,MATCH(LARGE(FILTER(Y$4:Y1644,Y$4"&amp;":Y1644&lt;1000000000),1),Y$4:Y1644)),INDEX(F$4:F1644,MATCH(LARGE(FILTER(K$4:K1644,K$4:K1644&lt;1000000000),1),K$4:K1644)))),AND(K439&lt;1000000000,COUNTA(C439:C1644)&gt;0,P$3=FALSE),
ROUNDDOWN(INDEX(Y$4:Y1644,MATCH(LARGE(FILTER(W$4:W1644,W$4:W1644&lt;=I439),1),W$4:W1644"&amp;"))+(I439-LARGE(FILTER(W$4:W1644,W$4:W1644&lt;=I439),1))*INDEX(T$4:T1644,MATCH(LARGE(FILTER(W$4:W1644,W$4:W1644&lt;=I439),1),W$4:W1644))-K439),1,
ROUNDDOWN(Y439-INDEX(K$4:K1644,MATCH(LARGE(FILTER(I$4:I1644,I$4:I1644&lt;=W439),1),I$4:I1644))-(W439-LARGE(FILTER(I$4:I"&amp;"1644,I$4:I1644&lt;=W439),1))*INDEX(F$4:F1644,MATCH(LARGE(FILTER(I$4:I1644,I$4:I1644&lt;=W439),1),I$4:I1644))))"),2.7918794E7)</f>
        <v>27918794</v>
      </c>
      <c r="N439" s="60">
        <f t="shared" si="8"/>
        <v>-49.12716</v>
      </c>
      <c r="O439" s="61" t="str">
        <f t="shared" si="9"/>
        <v>27,9M</v>
      </c>
      <c r="P439" s="56">
        <f t="shared" si="10"/>
        <v>31</v>
      </c>
      <c r="Q439" s="105" t="s">
        <v>4</v>
      </c>
      <c r="R439" s="10"/>
      <c r="S439" s="59">
        <f t="array" ref="S439">IF(COUNTA(Q439:Q1644)=0,"",SUM((COUNTIF(Q$4:Q439,Upgrades!$B$3:$B$13)-COUNTIF(Q$4:Q439,"Sell_"&amp;Upgrades!$B$3:$B$13))*Upgrades!$D$3:$D$13))</f>
        <v>560464.8</v>
      </c>
      <c r="T439" s="66">
        <f>IFERROR(__xludf.DUMMYFUNCTION("IF(COUNTA(Q439:Q1644)=0,"""",IF(REGEXMATCH(INDEX(FILTER(Q$4:Q439,Q$4:Q439&lt;&gt;""""),ROWS(FILTER(Q$4:Q439,Q$4:Q439&lt;&gt;""""))),""^Sell_""),INDEX(FILTER(T$4:T438,Q$4:Q438&lt;&gt;""""),ROWS(FILTER(Q$4:Q438,Q$4:Q438&lt;&gt;""""))),$AD$5+S439))"),560474.8)</f>
        <v>560474.8</v>
      </c>
      <c r="U439" s="10">
        <f>IFERROR(__xludf.DUMMYFUNCTION("IF(COUNTA(Q439:Q1644)=0,"""",IF(Q439="""",0,IF(REGEXMATCH(Q439,""^Sell_""),-ROUNDDOWN(ROUNDUP(INDEX(Upgrades!$C$3:$C$13,MATCH(SUBSTITUTE(Q439,""Sell_"",""""),Upgrades!$B$3:$B$13,0))*1.15^(COUNTIF(Q$4:Q438,SUBSTITUTE(Q439,""Sell_"",""""))-COUNTIF(Q$4:Q438,"&amp;"""Sell_""&amp;SUBSTITUTE(Q439,""Sell_"",""""))))/2),ROUNDUP(INDEX(Upgrades!$C$3:$C$13,MATCH(Q439,Upgrades!$B$3:$B$13,0))*1.15^(COUNTIF(Q$4:Q438,Q439)-COUNTIF(Q$4:Q438,""Sell_""&amp;Q439))))))"),6622.0)</f>
        <v>6622</v>
      </c>
      <c r="V439" s="10">
        <f t="shared" si="11"/>
        <v>6622</v>
      </c>
      <c r="W439" s="68">
        <f t="shared" si="12"/>
        <v>7801.097854</v>
      </c>
      <c r="X439" s="59" t="str">
        <f t="shared" si="13"/>
        <v>2h 10m 01s</v>
      </c>
      <c r="Y439" s="69">
        <f t="shared" si="14"/>
        <v>999986995</v>
      </c>
      <c r="Z439" s="11"/>
      <c r="AG439" s="59"/>
    </row>
    <row r="440">
      <c r="A440" s="8"/>
      <c r="B440" s="56" t="str">
        <f t="shared" si="2"/>
        <v/>
      </c>
      <c r="C440" s="105"/>
      <c r="D440" s="10"/>
      <c r="E440" s="59" t="str">
        <f t="array" ref="E440">IF(COUNTA(C440:C1644)=0,"",SUM((COUNTIF(C$4:C440,Upgrades!$B$3:$B$13)-COUNTIF(C$4:C440,"Sell_"&amp;Upgrades!$B$3:$B$13))*Upgrades!$D$3:$D$13))</f>
        <v/>
      </c>
      <c r="F440" s="66" t="str">
        <f>IFERROR(__xludf.DUMMYFUNCTION("IF(COUNTA(C440:C1644)=0,"""",IF(REGEXMATCH(INDEX(FILTER(C$4:C440,C$4:C440&lt;&gt;""""),ROWS(FILTER(C$4:C440,C$4:C440&lt;&gt;""""))),""^Sell_""),INDEX(FILTER(F$4:F439,C$4:C439&lt;&gt;""""),ROWS(FILTER(C$4:C439,C$4:C439&lt;&gt;""""))),$AC$5+E440))"),"")</f>
        <v/>
      </c>
      <c r="G440" s="10" t="str">
        <f>IFERROR(__xludf.DUMMYFUNCTION("IF(COUNTA(C440:C1644)=0,"""",IF(C440="""",0,IF(REGEXMATCH(C440,""^Sell_""),-ROUNDDOWN(ROUNDUP(INDEX(Upgrades!$C$3:$C$13,MATCH(SUBSTITUTE(C440,""Sell_"",""""),Upgrades!$B$3:$B$13,0))*1.15^(COUNTIF(C$4:C439,SUBSTITUTE(C440,""Sell_"",""""))-COUNTIF(C$4:C439,"&amp;"""Sell_""&amp;SUBSTITUTE(C440,""Sell_"",""""))))/2),ROUNDUP(INDEX(Upgrades!$C$3:$C$13,MATCH(C440,Upgrades!$B$3:$B$13,0))*1.15^(COUNTIF(C$4:C439,C440)-COUNTIF(C$4:C439,""Sell_""&amp;C440))))))"),"")</f>
        <v/>
      </c>
      <c r="H440" s="10" t="str">
        <f t="shared" si="3"/>
        <v/>
      </c>
      <c r="I440" s="68" t="str">
        <f t="shared" si="4"/>
        <v/>
      </c>
      <c r="J440" s="59" t="str">
        <f t="shared" si="5"/>
        <v/>
      </c>
      <c r="K440" s="69" t="str">
        <f t="shared" si="6"/>
        <v/>
      </c>
      <c r="L440" s="60">
        <f t="shared" si="7"/>
        <v>-49.12712</v>
      </c>
      <c r="M440" s="61">
        <f>IFERROR(__xludf.DUMMYFUNCTION("IFS(AND(COUNTA(C440:C1644)=0,COUNTA(Q440:Q1644)=0),"""",OR(AND(K440&gt;=1000000000,OR(Y440&gt;=1000000000,COUNTA(Q440:Q1644)=0)),OR(Y440&gt;=1000000000,AND(COUNTA(C440:C1644)=0,P$3=TRUE))),
ROUNDDOWN((AB$1-AC$1)*MAX(INDEX(T$4:T1644,MATCH(LARGE(FILTER(Y$4:Y1644,Y$4"&amp;":Y1644&lt;1000000000),1),Y$4:Y1644)),INDEX(F$4:F1644,MATCH(LARGE(FILTER(K$4:K1644,K$4:K1644&lt;1000000000),1),K$4:K1644)))),AND(K440&lt;1000000000,COUNTA(C440:C1644)&gt;0,P$3=FALSE),
ROUNDDOWN(INDEX(Y$4:Y1644,MATCH(LARGE(FILTER(W$4:W1644,W$4:W1644&lt;=I440),1),W$4:W1644"&amp;"))+(I440-LARGE(FILTER(W$4:W1644,W$4:W1644&lt;=I440),1))*INDEX(T$4:T1644,MATCH(LARGE(FILTER(W$4:W1644,W$4:W1644&lt;=I440),1),W$4:W1644))-K440),1,
ROUNDDOWN(Y440-INDEX(K$4:K1644,MATCH(LARGE(FILTER(I$4:I1644,I$4:I1644&lt;=W440),1),I$4:I1644))-(W440-LARGE(FILTER(I$4:I"&amp;"1644,I$4:I1644&lt;=W440),1))*INDEX(F$4:F1644,MATCH(LARGE(FILTER(I$4:I1644,I$4:I1644&lt;=W440),1),I$4:I1644))))"),2.7918776E7)</f>
        <v>27918776</v>
      </c>
      <c r="N440" s="60">
        <f t="shared" si="8"/>
        <v>-49.12712</v>
      </c>
      <c r="O440" s="61" t="str">
        <f t="shared" si="9"/>
        <v>27,9M</v>
      </c>
      <c r="P440" s="56">
        <f t="shared" si="10"/>
        <v>34</v>
      </c>
      <c r="Q440" s="105" t="s">
        <v>3</v>
      </c>
      <c r="R440" s="10"/>
      <c r="S440" s="59">
        <f t="array" ref="S440">IF(COUNTA(Q440:Q1644)=0,"",SUM((COUNTIF(Q$4:Q440,Upgrades!$B$3:$B$13)-COUNTIF(Q$4:Q440,"Sell_"&amp;Upgrades!$B$3:$B$13))*Upgrades!$D$3:$D$13))</f>
        <v>560464.9</v>
      </c>
      <c r="T440" s="66">
        <f>IFERROR(__xludf.DUMMYFUNCTION("IF(COUNTA(Q440:Q1644)=0,"""",IF(REGEXMATCH(INDEX(FILTER(Q$4:Q440,Q$4:Q440&lt;&gt;""""),ROWS(FILTER(Q$4:Q440,Q$4:Q440&lt;&gt;""""))),""^Sell_""),INDEX(FILTER(T$4:T439,Q$4:Q439&lt;&gt;""""),ROWS(FILTER(Q$4:Q439,Q$4:Q439&lt;&gt;""""))),$AD$5+S440))"),560474.9)</f>
        <v>560474.9</v>
      </c>
      <c r="U440" s="10">
        <f>IFERROR(__xludf.DUMMYFUNCTION("IF(COUNTA(Q440:Q1644)=0,"""",IF(Q440="""",0,IF(REGEXMATCH(Q440,""^Sell_""),-ROUNDDOWN(ROUNDUP(INDEX(Upgrades!$C$3:$C$13,MATCH(SUBSTITUTE(Q440,""Sell_"",""""),Upgrades!$B$3:$B$13,0))*1.15^(COUNTIF(Q$4:Q439,SUBSTITUTE(Q440,""Sell_"",""""))-COUNTIF(Q$4:Q439,"&amp;"""Sell_""&amp;SUBSTITUTE(Q440,""Sell_"",""""))))/2),ROUNDUP(INDEX(Upgrades!$C$3:$C$13,MATCH(Q440,Upgrades!$B$3:$B$13,0))*1.15^(COUNTIF(Q$4:Q439,Q440)-COUNTIF(Q$4:Q439,""Sell_""&amp;Q440))))))"),1511.0)</f>
        <v>1511</v>
      </c>
      <c r="V440" s="10">
        <f t="shared" si="11"/>
        <v>1511</v>
      </c>
      <c r="W440" s="68">
        <f t="shared" si="12"/>
        <v>7801.10055</v>
      </c>
      <c r="X440" s="59" t="str">
        <f t="shared" si="13"/>
        <v>2h 10m 01s</v>
      </c>
      <c r="Y440" s="69">
        <f t="shared" si="14"/>
        <v>999988506</v>
      </c>
      <c r="Z440" s="11"/>
      <c r="AG440" s="59"/>
    </row>
    <row r="441">
      <c r="A441" s="8"/>
      <c r="B441" s="56" t="str">
        <f t="shared" si="2"/>
        <v/>
      </c>
      <c r="C441" s="105"/>
      <c r="D441" s="10"/>
      <c r="E441" s="59" t="str">
        <f t="array" ref="E441">IF(COUNTA(C441:C1644)=0,"",SUM((COUNTIF(C$4:C441,Upgrades!$B$3:$B$13)-COUNTIF(C$4:C441,"Sell_"&amp;Upgrades!$B$3:$B$13))*Upgrades!$D$3:$D$13))</f>
        <v/>
      </c>
      <c r="F441" s="66" t="str">
        <f>IFERROR(__xludf.DUMMYFUNCTION("IF(COUNTA(C441:C1644)=0,"""",IF(REGEXMATCH(INDEX(FILTER(C$4:C441,C$4:C441&lt;&gt;""""),ROWS(FILTER(C$4:C441,C$4:C441&lt;&gt;""""))),""^Sell_""),INDEX(FILTER(F$4:F440,C$4:C440&lt;&gt;""""),ROWS(FILTER(C$4:C440,C$4:C440&lt;&gt;""""))),$AC$5+E441))"),"")</f>
        <v/>
      </c>
      <c r="G441" s="10" t="str">
        <f>IFERROR(__xludf.DUMMYFUNCTION("IF(COUNTA(C441:C1644)=0,"""",IF(C441="""",0,IF(REGEXMATCH(C441,""^Sell_""),-ROUNDDOWN(ROUNDUP(INDEX(Upgrades!$C$3:$C$13,MATCH(SUBSTITUTE(C441,""Sell_"",""""),Upgrades!$B$3:$B$13,0))*1.15^(COUNTIF(C$4:C440,SUBSTITUTE(C441,""Sell_"",""""))-COUNTIF(C$4:C440,"&amp;"""Sell_""&amp;SUBSTITUTE(C441,""Sell_"",""""))))/2),ROUNDUP(INDEX(Upgrades!$C$3:$C$13,MATCH(C441,Upgrades!$B$3:$B$13,0))*1.15^(COUNTIF(C$4:C440,C441)-COUNTIF(C$4:C440,""Sell_""&amp;C441))))))"),"")</f>
        <v/>
      </c>
      <c r="H441" s="10" t="str">
        <f t="shared" si="3"/>
        <v/>
      </c>
      <c r="I441" s="68" t="str">
        <f t="shared" si="4"/>
        <v/>
      </c>
      <c r="J441" s="59" t="str">
        <f t="shared" si="5"/>
        <v/>
      </c>
      <c r="K441" s="69" t="str">
        <f t="shared" si="6"/>
        <v/>
      </c>
      <c r="L441" s="60">
        <f t="shared" si="7"/>
        <v>-49.12691</v>
      </c>
      <c r="M441" s="61">
        <f>IFERROR(__xludf.DUMMYFUNCTION("IFS(AND(COUNTA(C441:C1644)=0,COUNTA(Q441:Q1644)=0),"""",OR(AND(K441&gt;=1000000000,OR(Y441&gt;=1000000000,COUNTA(Q441:Q1644)=0)),OR(Y441&gt;=1000000000,AND(COUNTA(C441:C1644)=0,P$3=TRUE))),
ROUNDDOWN((AB$1-AC$1)*MAX(INDEX(T$4:T1644,MATCH(LARGE(FILTER(Y$4:Y1644,Y$4"&amp;":Y1644&lt;1000000000),1),Y$4:Y1644)),INDEX(F$4:F1644,MATCH(LARGE(FILTER(K$4:K1644,K$4:K1644&lt;1000000000),1),K$4:K1644)))),AND(K441&lt;1000000000,COUNTA(C441:C1644)&gt;0,P$3=FALSE),
ROUNDDOWN(INDEX(Y$4:Y1644,MATCH(LARGE(FILTER(W$4:W1644,W$4:W1644&lt;=I441),1),W$4:W1644"&amp;"))+(I441-LARGE(FILTER(W$4:W1644,W$4:W1644&lt;=I441),1))*INDEX(T$4:T1644,MATCH(LARGE(FILTER(W$4:W1644,W$4:W1644&lt;=I441),1),W$4:W1644))-K441),1,
ROUNDDOWN(Y441-INDEX(K$4:K1644,MATCH(LARGE(FILTER(I$4:I1644,I$4:I1644&lt;=W441),1),I$4:I1644))-(W441-LARGE(FILTER(I$4:I"&amp;"1644,I$4:I1644&lt;=W441),1))*INDEX(F$4:F1644,MATCH(LARGE(FILTER(I$4:I1644,I$4:I1644&lt;=W441),1),I$4:I1644))))"),2.7918683E7)</f>
        <v>27918683</v>
      </c>
      <c r="N441" s="60">
        <f t="shared" si="8"/>
        <v>-49.12691</v>
      </c>
      <c r="O441" s="61" t="str">
        <f t="shared" si="9"/>
        <v>27,9M</v>
      </c>
      <c r="P441" s="56">
        <f t="shared" si="10"/>
        <v>32</v>
      </c>
      <c r="Q441" s="105" t="s">
        <v>4</v>
      </c>
      <c r="R441" s="10"/>
      <c r="S441" s="59">
        <f t="array" ref="S441">IF(COUNTA(Q441:Q1644)=0,"",SUM((COUNTIF(Q$4:Q441,Upgrades!$B$3:$B$13)-COUNTIF(Q$4:Q441,"Sell_"&amp;Upgrades!$B$3:$B$13))*Upgrades!$D$3:$D$13))</f>
        <v>560465.4</v>
      </c>
      <c r="T441" s="66">
        <f>IFERROR(__xludf.DUMMYFUNCTION("IF(COUNTA(Q441:Q1644)=0,"""",IF(REGEXMATCH(INDEX(FILTER(Q$4:Q441,Q$4:Q441&lt;&gt;""""),ROWS(FILTER(Q$4:Q441,Q$4:Q441&lt;&gt;""""))),""^Sell_""),INDEX(FILTER(T$4:T440,Q$4:Q440&lt;&gt;""""),ROWS(FILTER(Q$4:Q440,Q$4:Q440&lt;&gt;""""))),$AD$5+S441))"),560475.4)</f>
        <v>560475.4</v>
      </c>
      <c r="U441" s="10">
        <f>IFERROR(__xludf.DUMMYFUNCTION("IF(COUNTA(Q441:Q1644)=0,"""",IF(Q441="""",0,IF(REGEXMATCH(Q441,""^Sell_""),-ROUNDDOWN(ROUNDUP(INDEX(Upgrades!$C$3:$C$13,MATCH(SUBSTITUTE(Q441,""Sell_"",""""),Upgrades!$B$3:$B$13,0))*1.15^(COUNTIF(Q$4:Q440,SUBSTITUTE(Q441,""Sell_"",""""))-COUNTIF(Q$4:Q440,"&amp;"""Sell_""&amp;SUBSTITUTE(Q441,""Sell_"",""""))))/2),ROUNDUP(INDEX(Upgrades!$C$3:$C$13,MATCH(Q441,Upgrades!$B$3:$B$13,0))*1.15^(COUNTIF(Q$4:Q440,Q441)-COUNTIF(Q$4:Q440,""Sell_""&amp;Q441))))))"),7615.0)</f>
        <v>7615</v>
      </c>
      <c r="V441" s="10">
        <f t="shared" si="11"/>
        <v>7615</v>
      </c>
      <c r="W441" s="68">
        <f t="shared" si="12"/>
        <v>7801.114136</v>
      </c>
      <c r="X441" s="59" t="str">
        <f t="shared" si="13"/>
        <v>2h 10m 01s</v>
      </c>
      <c r="Y441" s="69">
        <f t="shared" si="14"/>
        <v>999996121</v>
      </c>
      <c r="Z441" s="11"/>
      <c r="AG441" s="59"/>
    </row>
    <row r="442">
      <c r="A442" s="8"/>
      <c r="B442" s="56" t="str">
        <f t="shared" si="2"/>
        <v/>
      </c>
      <c r="C442" s="105"/>
      <c r="D442" s="10"/>
      <c r="E442" s="59" t="str">
        <f t="array" ref="E442">IF(COUNTA(C442:C1644)=0,"",SUM((COUNTIF(C$4:C442,Upgrades!$B$3:$B$13)-COUNTIF(C$4:C442,"Sell_"&amp;Upgrades!$B$3:$B$13))*Upgrades!$D$3:$D$13))</f>
        <v/>
      </c>
      <c r="F442" s="66" t="str">
        <f>IFERROR(__xludf.DUMMYFUNCTION("IF(COUNTA(C442:C1644)=0,"""",IF(REGEXMATCH(INDEX(FILTER(C$4:C442,C$4:C442&lt;&gt;""""),ROWS(FILTER(C$4:C442,C$4:C442&lt;&gt;""""))),""^Sell_""),INDEX(FILTER(F$4:F441,C$4:C441&lt;&gt;""""),ROWS(FILTER(C$4:C441,C$4:C441&lt;&gt;""""))),$AC$5+E442))"),"")</f>
        <v/>
      </c>
      <c r="G442" s="10" t="str">
        <f>IFERROR(__xludf.DUMMYFUNCTION("IF(COUNTA(C442:C1644)=0,"""",IF(C442="""",0,IF(REGEXMATCH(C442,""^Sell_""),-ROUNDDOWN(ROUNDUP(INDEX(Upgrades!$C$3:$C$13,MATCH(SUBSTITUTE(C442,""Sell_"",""""),Upgrades!$B$3:$B$13,0))*1.15^(COUNTIF(C$4:C441,SUBSTITUTE(C442,""Sell_"",""""))-COUNTIF(C$4:C441,"&amp;"""Sell_""&amp;SUBSTITUTE(C442,""Sell_"",""""))))/2),ROUNDUP(INDEX(Upgrades!$C$3:$C$13,MATCH(C442,Upgrades!$B$3:$B$13,0))*1.15^(COUNTIF(C$4:C441,C442)-COUNTIF(C$4:C441,""Sell_""&amp;C442))))))"),"")</f>
        <v/>
      </c>
      <c r="H442" s="10" t="str">
        <f t="shared" si="3"/>
        <v/>
      </c>
      <c r="I442" s="68" t="str">
        <f t="shared" si="4"/>
        <v/>
      </c>
      <c r="J442" s="59" t="str">
        <f t="shared" si="5"/>
        <v/>
      </c>
      <c r="K442" s="69" t="str">
        <f t="shared" si="6"/>
        <v/>
      </c>
      <c r="L442" s="60">
        <f t="shared" si="7"/>
        <v>-49.12686</v>
      </c>
      <c r="M442" s="61">
        <f>IFERROR(__xludf.DUMMYFUNCTION("IFS(AND(COUNTA(C442:C1644)=0,COUNTA(Q442:Q1644)=0),"""",OR(AND(K442&gt;=1000000000,OR(Y442&gt;=1000000000,COUNTA(Q442:Q1644)=0)),OR(Y442&gt;=1000000000,AND(COUNTA(C442:C1644)=0,P$3=TRUE))),
ROUNDDOWN((AB$1-AC$1)*MAX(INDEX(T$4:T1644,MATCH(LARGE(FILTER(Y$4:Y1644,Y$4"&amp;":Y1644&lt;1000000000),1),Y$4:Y1644)),INDEX(F$4:F1644,MATCH(LARGE(FILTER(K$4:K1644,K$4:K1644&lt;1000000000),1),K$4:K1644)))),AND(K442&lt;1000000000,COUNTA(C442:C1644)&gt;0,P$3=FALSE),
ROUNDDOWN(INDEX(Y$4:Y1644,MATCH(LARGE(FILTER(W$4:W1644,W$4:W1644&lt;=I442),1),W$4:W1644"&amp;"))+(I442-LARGE(FILTER(W$4:W1644,W$4:W1644&lt;=I442),1))*INDEX(T$4:T1644,MATCH(LARGE(FILTER(W$4:W1644,W$4:W1644&lt;=I442),1),W$4:W1644))-K442),1,
ROUNDDOWN(Y442-INDEX(K$4:K1644,MATCH(LARGE(FILTER(I$4:I1644,I$4:I1644&lt;=W442),1),I$4:I1644))-(W442-LARGE(FILTER(I$4:I"&amp;"1644,I$4:I1644&lt;=W442),1))*INDEX(F$4:F1644,MATCH(LARGE(FILTER(I$4:I1644,I$4:I1644&lt;=W442),1),I$4:I1644))))"),2.7918662E7)</f>
        <v>27918662</v>
      </c>
      <c r="N442" s="60">
        <f t="shared" si="8"/>
        <v>-49.12686</v>
      </c>
      <c r="O442" s="61" t="str">
        <f t="shared" si="9"/>
        <v>27,9M</v>
      </c>
      <c r="P442" s="56">
        <f t="shared" si="10"/>
        <v>35</v>
      </c>
      <c r="Q442" s="105" t="s">
        <v>3</v>
      </c>
      <c r="R442" s="10"/>
      <c r="S442" s="59">
        <f t="array" ref="S442">IF(COUNTA(Q442:Q1644)=0,"",SUM((COUNTIF(Q$4:Q442,Upgrades!$B$3:$B$13)-COUNTIF(Q$4:Q442,"Sell_"&amp;Upgrades!$B$3:$B$13))*Upgrades!$D$3:$D$13))</f>
        <v>560465.5</v>
      </c>
      <c r="T442" s="66">
        <f>IFERROR(__xludf.DUMMYFUNCTION("IF(COUNTA(Q442:Q1644)=0,"""",IF(REGEXMATCH(INDEX(FILTER(Q$4:Q442,Q$4:Q442&lt;&gt;""""),ROWS(FILTER(Q$4:Q442,Q$4:Q442&lt;&gt;""""))),""^Sell_""),INDEX(FILTER(T$4:T441,Q$4:Q441&lt;&gt;""""),ROWS(FILTER(Q$4:Q441,Q$4:Q441&lt;&gt;""""))),$AD$5+S442))"),560475.5)</f>
        <v>560475.5</v>
      </c>
      <c r="U442" s="10">
        <f>IFERROR(__xludf.DUMMYFUNCTION("IF(COUNTA(Q442:Q1644)=0,"""",IF(Q442="""",0,IF(REGEXMATCH(Q442,""^Sell_""),-ROUNDDOWN(ROUNDUP(INDEX(Upgrades!$C$3:$C$13,MATCH(SUBSTITUTE(Q442,""Sell_"",""""),Upgrades!$B$3:$B$13,0))*1.15^(COUNTIF(Q$4:Q441,SUBSTITUTE(Q442,""Sell_"",""""))-COUNTIF(Q$4:Q441,"&amp;"""Sell_""&amp;SUBSTITUTE(Q442,""Sell_"",""""))))/2),ROUNDUP(INDEX(Upgrades!$C$3:$C$13,MATCH(Q442,Upgrades!$B$3:$B$13,0))*1.15^(COUNTIF(Q$4:Q441,Q442)-COUNTIF(Q$4:Q441,""Sell_""&amp;Q442))))))"),1738.0)</f>
        <v>1738</v>
      </c>
      <c r="V442" s="10">
        <f t="shared" si="11"/>
        <v>1738</v>
      </c>
      <c r="W442" s="68">
        <f t="shared" si="12"/>
        <v>7801.117237</v>
      </c>
      <c r="X442" s="59" t="str">
        <f t="shared" si="13"/>
        <v>2h 10m 01s</v>
      </c>
      <c r="Y442" s="69">
        <f t="shared" si="14"/>
        <v>999997859</v>
      </c>
      <c r="Z442" s="11"/>
      <c r="AG442" s="59"/>
    </row>
    <row r="443">
      <c r="A443" s="8"/>
      <c r="B443" s="56" t="str">
        <f t="shared" si="2"/>
        <v/>
      </c>
      <c r="C443" s="105"/>
      <c r="D443" s="10"/>
      <c r="E443" s="59" t="str">
        <f t="array" ref="E443">IF(COUNTA(C443:C1644)=0,"",SUM((COUNTIF(C$4:C443,Upgrades!$B$3:$B$13)-COUNTIF(C$4:C443,"Sell_"&amp;Upgrades!$B$3:$B$13))*Upgrades!$D$3:$D$13))</f>
        <v/>
      </c>
      <c r="F443" s="66" t="str">
        <f>IFERROR(__xludf.DUMMYFUNCTION("IF(COUNTA(C443:C1644)=0,"""",IF(REGEXMATCH(INDEX(FILTER(C$4:C443,C$4:C443&lt;&gt;""""),ROWS(FILTER(C$4:C443,C$4:C443&lt;&gt;""""))),""^Sell_""),INDEX(FILTER(F$4:F442,C$4:C442&lt;&gt;""""),ROWS(FILTER(C$4:C442,C$4:C442&lt;&gt;""""))),$AC$5+E443))"),"")</f>
        <v/>
      </c>
      <c r="G443" s="10" t="str">
        <f>IFERROR(__xludf.DUMMYFUNCTION("IF(COUNTA(C443:C1644)=0,"""",IF(C443="""",0,IF(REGEXMATCH(C443,""^Sell_""),-ROUNDDOWN(ROUNDUP(INDEX(Upgrades!$C$3:$C$13,MATCH(SUBSTITUTE(C443,""Sell_"",""""),Upgrades!$B$3:$B$13,0))*1.15^(COUNTIF(C$4:C442,SUBSTITUTE(C443,""Sell_"",""""))-COUNTIF(C$4:C442,"&amp;"""Sell_""&amp;SUBSTITUTE(C443,""Sell_"",""""))))/2),ROUNDUP(INDEX(Upgrades!$C$3:$C$13,MATCH(C443,Upgrades!$B$3:$B$13,0))*1.15^(COUNTIF(C$4:C442,C443)-COUNTIF(C$4:C442,""Sell_""&amp;C443))))))"),"")</f>
        <v/>
      </c>
      <c r="H443" s="10" t="str">
        <f t="shared" si="3"/>
        <v/>
      </c>
      <c r="I443" s="68" t="str">
        <f t="shared" si="4"/>
        <v/>
      </c>
      <c r="J443" s="59" t="str">
        <f t="shared" si="5"/>
        <v/>
      </c>
      <c r="K443" s="69" t="str">
        <f t="shared" si="6"/>
        <v/>
      </c>
      <c r="L443" s="60">
        <f t="shared" si="7"/>
        <v>-49.1268</v>
      </c>
      <c r="M443" s="61">
        <f>IFERROR(__xludf.DUMMYFUNCTION("IFS(AND(COUNTA(C443:C1644)=0,COUNTA(Q443:Q1644)=0),"""",OR(AND(K443&gt;=1000000000,OR(Y443&gt;=1000000000,COUNTA(Q443:Q1644)=0)),OR(Y443&gt;=1000000000,AND(COUNTA(C443:C1644)=0,P$3=TRUE))),
ROUNDDOWN((AB$1-AC$1)*MAX(INDEX(T$4:T1644,MATCH(LARGE(FILTER(Y$4:Y1644,Y$4"&amp;":Y1644&lt;1000000000),1),Y$4:Y1644)),INDEX(F$4:F1644,MATCH(LARGE(FILTER(K$4:K1644,K$4:K1644&lt;1000000000),1),K$4:K1644)))),AND(K443&lt;1000000000,COUNTA(C443:C1644)&gt;0,P$3=FALSE),
ROUNDDOWN(INDEX(Y$4:Y1644,MATCH(LARGE(FILTER(W$4:W1644,W$4:W1644&lt;=I443),1),W$4:W1644"&amp;"))+(I443-LARGE(FILTER(W$4:W1644,W$4:W1644&lt;=I443),1))*INDEX(T$4:T1644,MATCH(LARGE(FILTER(W$4:W1644,W$4:W1644&lt;=I443),1),W$4:W1644))-K443),1,
ROUNDDOWN(Y443-INDEX(K$4:K1644,MATCH(LARGE(FILTER(I$4:I1644,I$4:I1644&lt;=W443),1),I$4:I1644))-(W443-LARGE(FILTER(I$4:I"&amp;"1644,I$4:I1644&lt;=W443),1))*INDEX(F$4:F1644,MATCH(LARGE(FILTER(I$4:I1644,I$4:I1644&lt;=W443),1),I$4:I1644))))"),2.7918638E7)</f>
        <v>27918638</v>
      </c>
      <c r="N443" s="60">
        <f t="shared" si="8"/>
        <v>-49.1268</v>
      </c>
      <c r="O443" s="61" t="str">
        <f t="shared" si="9"/>
        <v>27,9M</v>
      </c>
      <c r="P443" s="56">
        <f t="shared" si="10"/>
        <v>36</v>
      </c>
      <c r="Q443" s="105" t="s">
        <v>3</v>
      </c>
      <c r="R443" s="10"/>
      <c r="S443" s="59">
        <f t="array" ref="S443">IF(COUNTA(Q443:Q1644)=0,"",SUM((COUNTIF(Q$4:Q443,Upgrades!$B$3:$B$13)-COUNTIF(Q$4:Q443,"Sell_"&amp;Upgrades!$B$3:$B$13))*Upgrades!$D$3:$D$13))</f>
        <v>560465.6</v>
      </c>
      <c r="T443" s="66">
        <f>IFERROR(__xludf.DUMMYFUNCTION("IF(COUNTA(Q443:Q1644)=0,"""",IF(REGEXMATCH(INDEX(FILTER(Q$4:Q443,Q$4:Q443&lt;&gt;""""),ROWS(FILTER(Q$4:Q443,Q$4:Q443&lt;&gt;""""))),""^Sell_""),INDEX(FILTER(T$4:T442,Q$4:Q442&lt;&gt;""""),ROWS(FILTER(Q$4:Q442,Q$4:Q442&lt;&gt;""""))),$AD$5+S443))"),560475.6)</f>
        <v>560475.6</v>
      </c>
      <c r="U443" s="10">
        <f>IFERROR(__xludf.DUMMYFUNCTION("IF(COUNTA(Q443:Q1644)=0,"""",IF(Q443="""",0,IF(REGEXMATCH(Q443,""^Sell_""),-ROUNDDOWN(ROUNDUP(INDEX(Upgrades!$C$3:$C$13,MATCH(SUBSTITUTE(Q443,""Sell_"",""""),Upgrades!$B$3:$B$13,0))*1.15^(COUNTIF(Q$4:Q442,SUBSTITUTE(Q443,""Sell_"",""""))-COUNTIF(Q$4:Q442,"&amp;"""Sell_""&amp;SUBSTITUTE(Q443,""Sell_"",""""))))/2),ROUNDUP(INDEX(Upgrades!$C$3:$C$13,MATCH(Q443,Upgrades!$B$3:$B$13,0))*1.15^(COUNTIF(Q$4:Q442,Q443)-COUNTIF(Q$4:Q442,""Sell_""&amp;Q443))))))"),1998.0)</f>
        <v>1998</v>
      </c>
      <c r="V443" s="10">
        <f t="shared" si="11"/>
        <v>1998</v>
      </c>
      <c r="W443" s="68">
        <f t="shared" si="12"/>
        <v>7801.120802</v>
      </c>
      <c r="X443" s="59" t="str">
        <f t="shared" si="13"/>
        <v>2h 10m 01s</v>
      </c>
      <c r="Y443" s="69">
        <f t="shared" si="14"/>
        <v>999999857</v>
      </c>
      <c r="Z443" s="11"/>
      <c r="AG443" s="59"/>
    </row>
    <row r="444">
      <c r="A444" s="8"/>
      <c r="B444" s="56" t="str">
        <f t="shared" si="2"/>
        <v/>
      </c>
      <c r="C444" s="105"/>
      <c r="D444" s="10"/>
      <c r="E444" s="59" t="str">
        <f t="array" ref="E444">IF(COUNTA(C444:C1644)=0,"",SUM((COUNTIF(C$4:C444,Upgrades!$B$3:$B$13)-COUNTIF(C$4:C444,"Sell_"&amp;Upgrades!$B$3:$B$13))*Upgrades!$D$3:$D$13))</f>
        <v/>
      </c>
      <c r="F444" s="66" t="str">
        <f>IFERROR(__xludf.DUMMYFUNCTION("IF(COUNTA(C444:C1644)=0,"""",IF(REGEXMATCH(INDEX(FILTER(C$4:C444,C$4:C444&lt;&gt;""""),ROWS(FILTER(C$4:C444,C$4:C444&lt;&gt;""""))),""^Sell_""),INDEX(FILTER(F$4:F443,C$4:C443&lt;&gt;""""),ROWS(FILTER(C$4:C443,C$4:C443&lt;&gt;""""))),$AC$5+E444))"),"")</f>
        <v/>
      </c>
      <c r="G444" s="10" t="str">
        <f>IFERROR(__xludf.DUMMYFUNCTION("IF(COUNTA(C444:C1644)=0,"""",IF(C444="""",0,IF(REGEXMATCH(C444,""^Sell_""),-ROUNDDOWN(ROUNDUP(INDEX(Upgrades!$C$3:$C$13,MATCH(SUBSTITUTE(C444,""Sell_"",""""),Upgrades!$B$3:$B$13,0))*1.15^(COUNTIF(C$4:C443,SUBSTITUTE(C444,""Sell_"",""""))-COUNTIF(C$4:C443,"&amp;"""Sell_""&amp;SUBSTITUTE(C444,""Sell_"",""""))))/2),ROUNDUP(INDEX(Upgrades!$C$3:$C$13,MATCH(C444,Upgrades!$B$3:$B$13,0))*1.15^(COUNTIF(C$4:C443,C444)-COUNTIF(C$4:C443,""Sell_""&amp;C444))))))"),"")</f>
        <v/>
      </c>
      <c r="H444" s="10" t="str">
        <f t="shared" si="3"/>
        <v/>
      </c>
      <c r="I444" s="68" t="str">
        <f t="shared" si="4"/>
        <v/>
      </c>
      <c r="J444" s="59" t="str">
        <f t="shared" si="5"/>
        <v/>
      </c>
      <c r="K444" s="69" t="str">
        <f t="shared" si="6"/>
        <v/>
      </c>
      <c r="L444" s="60" t="str">
        <f t="shared" si="7"/>
        <v/>
      </c>
      <c r="M444" s="61" t="str">
        <f>IFERROR(__xludf.DUMMYFUNCTION("IFS(AND(COUNTA(C444:C1644)=0,COUNTA(Q444:Q1644)=0),"""",OR(AND(K444&gt;=1000000000,OR(Y444&gt;=1000000000,COUNTA(Q444:Q1644)=0)),OR(Y444&gt;=1000000000,AND(COUNTA(C444:C1644)=0,P$3=TRUE))),
ROUNDDOWN((AB$1-AC$1)*MAX(INDEX(T$4:T1644,MATCH(LARGE(FILTER(Y$4:Y1644,Y$4"&amp;":Y1644&lt;1000000000),1),Y$4:Y1644)),INDEX(F$4:F1644,MATCH(LARGE(FILTER(K$4:K1644,K$4:K1644&lt;1000000000),1),K$4:K1644)))),AND(K444&lt;1000000000,COUNTA(C444:C1644)&gt;0,P$3=FALSE),
ROUNDDOWN(INDEX(Y$4:Y1644,MATCH(LARGE(FILTER(W$4:W1644,W$4:W1644&lt;=I444),1),W$4:W1644"&amp;"))+(I444-LARGE(FILTER(W$4:W1644,W$4:W1644&lt;=I444),1))*INDEX(T$4:T1644,MATCH(LARGE(FILTER(W$4:W1644,W$4:W1644&lt;=I444),1),W$4:W1644))-K444),1,
ROUNDDOWN(Y444-INDEX(K$4:K1644,MATCH(LARGE(FILTER(I$4:I1644,I$4:I1644&lt;=W444),1),I$4:I1644))-(W444-LARGE(FILTER(I$4:I"&amp;"1644,I$4:I1644&lt;=W444),1))*INDEX(F$4:F1644,MATCH(LARGE(FILTER(I$4:I1644,I$4:I1644&lt;=W444),1),I$4:I1644))))"),"")</f>
        <v/>
      </c>
      <c r="N444" s="60" t="str">
        <f t="shared" si="8"/>
        <v/>
      </c>
      <c r="O444" s="61" t="str">
        <f t="shared" si="9"/>
        <v/>
      </c>
      <c r="P444" s="56" t="str">
        <f t="shared" si="10"/>
        <v/>
      </c>
      <c r="Q444" s="105"/>
      <c r="R444" s="10"/>
      <c r="S444" s="59" t="str">
        <f t="array" ref="S444">IF(COUNTA(Q444:Q1644)=0,"",SUM((COUNTIF(Q$4:Q444,Upgrades!$B$3:$B$13)-COUNTIF(Q$4:Q444,"Sell_"&amp;Upgrades!$B$3:$B$13))*Upgrades!$D$3:$D$13))</f>
        <v/>
      </c>
      <c r="T444" s="66" t="str">
        <f>IFERROR(__xludf.DUMMYFUNCTION("IF(COUNTA(Q444:Q1644)=0,"""",IF(REGEXMATCH(INDEX(FILTER(Q$4:Q444,Q$4:Q444&lt;&gt;""""),ROWS(FILTER(Q$4:Q444,Q$4:Q444&lt;&gt;""""))),""^Sell_""),INDEX(FILTER(T$4:T443,Q$4:Q443&lt;&gt;""""),ROWS(FILTER(Q$4:Q443,Q$4:Q443&lt;&gt;""""))),$AD$5+S444))"),"")</f>
        <v/>
      </c>
      <c r="U444" s="10" t="str">
        <f>IFERROR(__xludf.DUMMYFUNCTION("IF(COUNTA(Q444:Q1644)=0,"""",IF(Q444="""",0,IF(REGEXMATCH(Q444,""^Sell_""),-ROUNDDOWN(ROUNDUP(INDEX(Upgrades!$C$3:$C$13,MATCH(SUBSTITUTE(Q444,""Sell_"",""""),Upgrades!$B$3:$B$13,0))*1.15^(COUNTIF(Q$4:Q443,SUBSTITUTE(Q444,""Sell_"",""""))-COUNTIF(Q$4:Q443,"&amp;"""Sell_""&amp;SUBSTITUTE(Q444,""Sell_"",""""))))/2),ROUNDUP(INDEX(Upgrades!$C$3:$C$13,MATCH(Q444,Upgrades!$B$3:$B$13,0))*1.15^(COUNTIF(Q$4:Q443,Q444)-COUNTIF(Q$4:Q443,""Sell_""&amp;Q444))))))"),"")</f>
        <v/>
      </c>
      <c r="V444" s="10" t="str">
        <f t="shared" si="11"/>
        <v/>
      </c>
      <c r="W444" s="68" t="str">
        <f t="shared" si="12"/>
        <v/>
      </c>
      <c r="X444" s="59" t="str">
        <f t="shared" si="13"/>
        <v/>
      </c>
      <c r="Y444" s="69" t="str">
        <f t="shared" si="14"/>
        <v/>
      </c>
      <c r="Z444" s="11"/>
      <c r="AG444" s="59"/>
    </row>
    <row r="445">
      <c r="A445" s="8"/>
      <c r="B445" s="56" t="str">
        <f t="shared" si="2"/>
        <v/>
      </c>
      <c r="C445" s="105"/>
      <c r="D445" s="10"/>
      <c r="E445" s="59" t="str">
        <f t="array" ref="E445">IF(COUNTA(C445:C1644)=0,"",SUM((COUNTIF(C$4:C445,Upgrades!$B$3:$B$13)-COUNTIF(C$4:C445,"Sell_"&amp;Upgrades!$B$3:$B$13))*Upgrades!$D$3:$D$13))</f>
        <v/>
      </c>
      <c r="F445" s="66" t="str">
        <f>IFERROR(__xludf.DUMMYFUNCTION("IF(COUNTA(C445:C1644)=0,"""",IF(REGEXMATCH(INDEX(FILTER(C$4:C445,C$4:C445&lt;&gt;""""),ROWS(FILTER(C$4:C445,C$4:C445&lt;&gt;""""))),""^Sell_""),INDEX(FILTER(F$4:F444,C$4:C444&lt;&gt;""""),ROWS(FILTER(C$4:C444,C$4:C444&lt;&gt;""""))),$AC$5+E445))"),"")</f>
        <v/>
      </c>
      <c r="G445" s="10" t="str">
        <f>IFERROR(__xludf.DUMMYFUNCTION("IF(COUNTA(C445:C1644)=0,"""",IF(C445="""",0,IF(REGEXMATCH(C445,""^Sell_""),-ROUNDDOWN(ROUNDUP(INDEX(Upgrades!$C$3:$C$13,MATCH(SUBSTITUTE(C445,""Sell_"",""""),Upgrades!$B$3:$B$13,0))*1.15^(COUNTIF(C$4:C444,SUBSTITUTE(C445,""Sell_"",""""))-COUNTIF(C$4:C444,"&amp;"""Sell_""&amp;SUBSTITUTE(C445,""Sell_"",""""))))/2),ROUNDUP(INDEX(Upgrades!$C$3:$C$13,MATCH(C445,Upgrades!$B$3:$B$13,0))*1.15^(COUNTIF(C$4:C444,C445)-COUNTIF(C$4:C444,""Sell_""&amp;C445))))))"),"")</f>
        <v/>
      </c>
      <c r="H445" s="10" t="str">
        <f t="shared" si="3"/>
        <v/>
      </c>
      <c r="I445" s="68" t="str">
        <f t="shared" si="4"/>
        <v/>
      </c>
      <c r="J445" s="59" t="str">
        <f t="shared" si="5"/>
        <v/>
      </c>
      <c r="K445" s="69" t="str">
        <f t="shared" si="6"/>
        <v/>
      </c>
      <c r="L445" s="60" t="str">
        <f t="shared" si="7"/>
        <v/>
      </c>
      <c r="M445" s="61" t="str">
        <f>IFERROR(__xludf.DUMMYFUNCTION("IFS(AND(COUNTA(C445:C1644)=0,COUNTA(Q445:Q1644)=0),"""",OR(AND(K445&gt;=1000000000,OR(Y445&gt;=1000000000,COUNTA(Q445:Q1644)=0)),OR(Y445&gt;=1000000000,AND(COUNTA(C445:C1644)=0,P$3=TRUE))),
ROUNDDOWN((AB$1-AC$1)*MAX(INDEX(T$4:T1644,MATCH(LARGE(FILTER(Y$4:Y1644,Y$4"&amp;":Y1644&lt;1000000000),1),Y$4:Y1644)),INDEX(F$4:F1644,MATCH(LARGE(FILTER(K$4:K1644,K$4:K1644&lt;1000000000),1),K$4:K1644)))),AND(K445&lt;1000000000,COUNTA(C445:C1644)&gt;0,P$3=FALSE),
ROUNDDOWN(INDEX(Y$4:Y1644,MATCH(LARGE(FILTER(W$4:W1644,W$4:W1644&lt;=I445),1),W$4:W1644"&amp;"))+(I445-LARGE(FILTER(W$4:W1644,W$4:W1644&lt;=I445),1))*INDEX(T$4:T1644,MATCH(LARGE(FILTER(W$4:W1644,W$4:W1644&lt;=I445),1),W$4:W1644))-K445),1,
ROUNDDOWN(Y445-INDEX(K$4:K1644,MATCH(LARGE(FILTER(I$4:I1644,I$4:I1644&lt;=W445),1),I$4:I1644))-(W445-LARGE(FILTER(I$4:I"&amp;"1644,I$4:I1644&lt;=W445),1))*INDEX(F$4:F1644,MATCH(LARGE(FILTER(I$4:I1644,I$4:I1644&lt;=W445),1),I$4:I1644))))"),"")</f>
        <v/>
      </c>
      <c r="N445" s="60" t="str">
        <f t="shared" si="8"/>
        <v/>
      </c>
      <c r="O445" s="61" t="str">
        <f t="shared" si="9"/>
        <v/>
      </c>
      <c r="P445" s="56" t="str">
        <f t="shared" si="10"/>
        <v/>
      </c>
      <c r="Q445" s="105"/>
      <c r="R445" s="10"/>
      <c r="S445" s="59" t="str">
        <f t="array" ref="S445">IF(COUNTA(Q445:Q1644)=0,"",SUM((COUNTIF(Q$4:Q445,Upgrades!$B$3:$B$13)-COUNTIF(Q$4:Q445,"Sell_"&amp;Upgrades!$B$3:$B$13))*Upgrades!$D$3:$D$13))</f>
        <v/>
      </c>
      <c r="T445" s="66" t="str">
        <f>IFERROR(__xludf.DUMMYFUNCTION("IF(COUNTA(Q445:Q1644)=0,"""",IF(REGEXMATCH(INDEX(FILTER(Q$4:Q445,Q$4:Q445&lt;&gt;""""),ROWS(FILTER(Q$4:Q445,Q$4:Q445&lt;&gt;""""))),""^Sell_""),INDEX(FILTER(T$4:T444,Q$4:Q444&lt;&gt;""""),ROWS(FILTER(Q$4:Q444,Q$4:Q444&lt;&gt;""""))),$AD$5+S445))"),"")</f>
        <v/>
      </c>
      <c r="U445" s="10" t="str">
        <f>IFERROR(__xludf.DUMMYFUNCTION("IF(COUNTA(Q445:Q1644)=0,"""",IF(Q445="""",0,IF(REGEXMATCH(Q445,""^Sell_""),-ROUNDDOWN(ROUNDUP(INDEX(Upgrades!$C$3:$C$13,MATCH(SUBSTITUTE(Q445,""Sell_"",""""),Upgrades!$B$3:$B$13,0))*1.15^(COUNTIF(Q$4:Q444,SUBSTITUTE(Q445,""Sell_"",""""))-COUNTIF(Q$4:Q444,"&amp;"""Sell_""&amp;SUBSTITUTE(Q445,""Sell_"",""""))))/2),ROUNDUP(INDEX(Upgrades!$C$3:$C$13,MATCH(Q445,Upgrades!$B$3:$B$13,0))*1.15^(COUNTIF(Q$4:Q444,Q445)-COUNTIF(Q$4:Q444,""Sell_""&amp;Q445))))))"),"")</f>
        <v/>
      </c>
      <c r="V445" s="10" t="str">
        <f t="shared" si="11"/>
        <v/>
      </c>
      <c r="W445" s="68" t="str">
        <f t="shared" si="12"/>
        <v/>
      </c>
      <c r="X445" s="59" t="str">
        <f t="shared" si="13"/>
        <v/>
      </c>
      <c r="Y445" s="69" t="str">
        <f t="shared" si="14"/>
        <v/>
      </c>
      <c r="Z445" s="11"/>
      <c r="AG445" s="59"/>
    </row>
    <row r="446">
      <c r="A446" s="8"/>
      <c r="B446" s="56" t="str">
        <f t="shared" si="2"/>
        <v/>
      </c>
      <c r="C446" s="105"/>
      <c r="D446" s="10"/>
      <c r="E446" s="59" t="str">
        <f t="array" ref="E446">IF(COUNTA(C446:C1644)=0,"",SUM((COUNTIF(C$4:C446,Upgrades!$B$3:$B$13)-COUNTIF(C$4:C446,"Sell_"&amp;Upgrades!$B$3:$B$13))*Upgrades!$D$3:$D$13))</f>
        <v/>
      </c>
      <c r="F446" s="66" t="str">
        <f>IFERROR(__xludf.DUMMYFUNCTION("IF(COUNTA(C446:C1644)=0,"""",IF(REGEXMATCH(INDEX(FILTER(C$4:C446,C$4:C446&lt;&gt;""""),ROWS(FILTER(C$4:C446,C$4:C446&lt;&gt;""""))),""^Sell_""),INDEX(FILTER(F$4:F445,C$4:C445&lt;&gt;""""),ROWS(FILTER(C$4:C445,C$4:C445&lt;&gt;""""))),$AC$5+E446))"),"")</f>
        <v/>
      </c>
      <c r="G446" s="10" t="str">
        <f>IFERROR(__xludf.DUMMYFUNCTION("IF(COUNTA(C446:C1644)=0,"""",IF(C446="""",0,IF(REGEXMATCH(C446,""^Sell_""),-ROUNDDOWN(ROUNDUP(INDEX(Upgrades!$C$3:$C$13,MATCH(SUBSTITUTE(C446,""Sell_"",""""),Upgrades!$B$3:$B$13,0))*1.15^(COUNTIF(C$4:C445,SUBSTITUTE(C446,""Sell_"",""""))-COUNTIF(C$4:C445,"&amp;"""Sell_""&amp;SUBSTITUTE(C446,""Sell_"",""""))))/2),ROUNDUP(INDEX(Upgrades!$C$3:$C$13,MATCH(C446,Upgrades!$B$3:$B$13,0))*1.15^(COUNTIF(C$4:C445,C446)-COUNTIF(C$4:C445,""Sell_""&amp;C446))))))"),"")</f>
        <v/>
      </c>
      <c r="H446" s="10" t="str">
        <f t="shared" si="3"/>
        <v/>
      </c>
      <c r="I446" s="68" t="str">
        <f t="shared" si="4"/>
        <v/>
      </c>
      <c r="J446" s="59" t="str">
        <f t="shared" si="5"/>
        <v/>
      </c>
      <c r="K446" s="69" t="str">
        <f t="shared" si="6"/>
        <v/>
      </c>
      <c r="L446" s="60" t="str">
        <f t="shared" si="7"/>
        <v/>
      </c>
      <c r="M446" s="61" t="str">
        <f>IFERROR(__xludf.DUMMYFUNCTION("IFS(AND(COUNTA(C446:C1644)=0,COUNTA(Q446:Q1644)=0),"""",OR(AND(K446&gt;=1000000000,OR(Y446&gt;=1000000000,COUNTA(Q446:Q1644)=0)),OR(Y446&gt;=1000000000,AND(COUNTA(C446:C1644)=0,P$3=TRUE))),
ROUNDDOWN((AB$1-AC$1)*MAX(INDEX(T$4:T1644,MATCH(LARGE(FILTER(Y$4:Y1644,Y$4"&amp;":Y1644&lt;1000000000),1),Y$4:Y1644)),INDEX(F$4:F1644,MATCH(LARGE(FILTER(K$4:K1644,K$4:K1644&lt;1000000000),1),K$4:K1644)))),AND(K446&lt;1000000000,COUNTA(C446:C1644)&gt;0,P$3=FALSE),
ROUNDDOWN(INDEX(Y$4:Y1644,MATCH(LARGE(FILTER(W$4:W1644,W$4:W1644&lt;=I446),1),W$4:W1644"&amp;"))+(I446-LARGE(FILTER(W$4:W1644,W$4:W1644&lt;=I446),1))*INDEX(T$4:T1644,MATCH(LARGE(FILTER(W$4:W1644,W$4:W1644&lt;=I446),1),W$4:W1644))-K446),1,
ROUNDDOWN(Y446-INDEX(K$4:K1644,MATCH(LARGE(FILTER(I$4:I1644,I$4:I1644&lt;=W446),1),I$4:I1644))-(W446-LARGE(FILTER(I$4:I"&amp;"1644,I$4:I1644&lt;=W446),1))*INDEX(F$4:F1644,MATCH(LARGE(FILTER(I$4:I1644,I$4:I1644&lt;=W446),1),I$4:I1644))))"),"")</f>
        <v/>
      </c>
      <c r="N446" s="60" t="str">
        <f t="shared" si="8"/>
        <v/>
      </c>
      <c r="O446" s="61" t="str">
        <f t="shared" si="9"/>
        <v/>
      </c>
      <c r="P446" s="56" t="str">
        <f t="shared" si="10"/>
        <v/>
      </c>
      <c r="Q446" s="105"/>
      <c r="R446" s="10"/>
      <c r="S446" s="59" t="str">
        <f t="array" ref="S446">IF(COUNTA(Q446:Q1644)=0,"",SUM((COUNTIF(Q$4:Q446,Upgrades!$B$3:$B$13)-COUNTIF(Q$4:Q446,"Sell_"&amp;Upgrades!$B$3:$B$13))*Upgrades!$D$3:$D$13))</f>
        <v/>
      </c>
      <c r="T446" s="66" t="str">
        <f>IFERROR(__xludf.DUMMYFUNCTION("IF(COUNTA(Q446:Q1644)=0,"""",IF(REGEXMATCH(INDEX(FILTER(Q$4:Q446,Q$4:Q446&lt;&gt;""""),ROWS(FILTER(Q$4:Q446,Q$4:Q446&lt;&gt;""""))),""^Sell_""),INDEX(FILTER(T$4:T445,Q$4:Q445&lt;&gt;""""),ROWS(FILTER(Q$4:Q445,Q$4:Q445&lt;&gt;""""))),$AD$5+S446))"),"")</f>
        <v/>
      </c>
      <c r="U446" s="10" t="str">
        <f>IFERROR(__xludf.DUMMYFUNCTION("IF(COUNTA(Q446:Q1644)=0,"""",IF(Q446="""",0,IF(REGEXMATCH(Q446,""^Sell_""),-ROUNDDOWN(ROUNDUP(INDEX(Upgrades!$C$3:$C$13,MATCH(SUBSTITUTE(Q446,""Sell_"",""""),Upgrades!$B$3:$B$13,0))*1.15^(COUNTIF(Q$4:Q445,SUBSTITUTE(Q446,""Sell_"",""""))-COUNTIF(Q$4:Q445,"&amp;"""Sell_""&amp;SUBSTITUTE(Q446,""Sell_"",""""))))/2),ROUNDUP(INDEX(Upgrades!$C$3:$C$13,MATCH(Q446,Upgrades!$B$3:$B$13,0))*1.15^(COUNTIF(Q$4:Q445,Q446)-COUNTIF(Q$4:Q445,""Sell_""&amp;Q446))))))"),"")</f>
        <v/>
      </c>
      <c r="V446" s="10" t="str">
        <f t="shared" si="11"/>
        <v/>
      </c>
      <c r="W446" s="68" t="str">
        <f t="shared" si="12"/>
        <v/>
      </c>
      <c r="X446" s="59" t="str">
        <f t="shared" si="13"/>
        <v/>
      </c>
      <c r="Y446" s="69" t="str">
        <f t="shared" si="14"/>
        <v/>
      </c>
      <c r="Z446" s="11"/>
      <c r="AG446" s="59"/>
    </row>
    <row r="447">
      <c r="A447" s="8"/>
      <c r="B447" s="56" t="str">
        <f t="shared" si="2"/>
        <v/>
      </c>
      <c r="C447" s="105"/>
      <c r="D447" s="10"/>
      <c r="E447" s="59" t="str">
        <f t="array" ref="E447">IF(COUNTA(C447:C1644)=0,"",SUM((COUNTIF(C$4:C447,Upgrades!$B$3:$B$13)-COUNTIF(C$4:C447,"Sell_"&amp;Upgrades!$B$3:$B$13))*Upgrades!$D$3:$D$13))</f>
        <v/>
      </c>
      <c r="F447" s="66" t="str">
        <f>IFERROR(__xludf.DUMMYFUNCTION("IF(COUNTA(C447:C1644)=0,"""",IF(REGEXMATCH(INDEX(FILTER(C$4:C447,C$4:C447&lt;&gt;""""),ROWS(FILTER(C$4:C447,C$4:C447&lt;&gt;""""))),""^Sell_""),INDEX(FILTER(F$4:F446,C$4:C446&lt;&gt;""""),ROWS(FILTER(C$4:C446,C$4:C446&lt;&gt;""""))),$AC$5+E447))"),"")</f>
        <v/>
      </c>
      <c r="G447" s="10" t="str">
        <f>IFERROR(__xludf.DUMMYFUNCTION("IF(COUNTA(C447:C1644)=0,"""",IF(C447="""",0,IF(REGEXMATCH(C447,""^Sell_""),-ROUNDDOWN(ROUNDUP(INDEX(Upgrades!$C$3:$C$13,MATCH(SUBSTITUTE(C447,""Sell_"",""""),Upgrades!$B$3:$B$13,0))*1.15^(COUNTIF(C$4:C446,SUBSTITUTE(C447,""Sell_"",""""))-COUNTIF(C$4:C446,"&amp;"""Sell_""&amp;SUBSTITUTE(C447,""Sell_"",""""))))/2),ROUNDUP(INDEX(Upgrades!$C$3:$C$13,MATCH(C447,Upgrades!$B$3:$B$13,0))*1.15^(COUNTIF(C$4:C446,C447)-COUNTIF(C$4:C446,""Sell_""&amp;C447))))))"),"")</f>
        <v/>
      </c>
      <c r="H447" s="10" t="str">
        <f t="shared" si="3"/>
        <v/>
      </c>
      <c r="I447" s="68" t="str">
        <f t="shared" si="4"/>
        <v/>
      </c>
      <c r="J447" s="59" t="str">
        <f t="shared" si="5"/>
        <v/>
      </c>
      <c r="K447" s="69" t="str">
        <f t="shared" si="6"/>
        <v/>
      </c>
      <c r="L447" s="60" t="str">
        <f t="shared" si="7"/>
        <v/>
      </c>
      <c r="M447" s="61" t="str">
        <f>IFERROR(__xludf.DUMMYFUNCTION("IFS(AND(COUNTA(C447:C1644)=0,COUNTA(Q447:Q1644)=0),"""",OR(AND(K447&gt;=1000000000,OR(Y447&gt;=1000000000,COUNTA(Q447:Q1644)=0)),OR(Y447&gt;=1000000000,AND(COUNTA(C447:C1644)=0,P$3=TRUE))),
ROUNDDOWN((AB$1-AC$1)*MAX(INDEX(T$4:T1644,MATCH(LARGE(FILTER(Y$4:Y1644,Y$4"&amp;":Y1644&lt;1000000000),1),Y$4:Y1644)),INDEX(F$4:F1644,MATCH(LARGE(FILTER(K$4:K1644,K$4:K1644&lt;1000000000),1),K$4:K1644)))),AND(K447&lt;1000000000,COUNTA(C447:C1644)&gt;0,P$3=FALSE),
ROUNDDOWN(INDEX(Y$4:Y1644,MATCH(LARGE(FILTER(W$4:W1644,W$4:W1644&lt;=I447),1),W$4:W1644"&amp;"))+(I447-LARGE(FILTER(W$4:W1644,W$4:W1644&lt;=I447),1))*INDEX(T$4:T1644,MATCH(LARGE(FILTER(W$4:W1644,W$4:W1644&lt;=I447),1),W$4:W1644))-K447),1,
ROUNDDOWN(Y447-INDEX(K$4:K1644,MATCH(LARGE(FILTER(I$4:I1644,I$4:I1644&lt;=W447),1),I$4:I1644))-(W447-LARGE(FILTER(I$4:I"&amp;"1644,I$4:I1644&lt;=W447),1))*INDEX(F$4:F1644,MATCH(LARGE(FILTER(I$4:I1644,I$4:I1644&lt;=W447),1),I$4:I1644))))"),"")</f>
        <v/>
      </c>
      <c r="N447" s="60" t="str">
        <f t="shared" si="8"/>
        <v/>
      </c>
      <c r="O447" s="61" t="str">
        <f t="shared" si="9"/>
        <v/>
      </c>
      <c r="P447" s="56" t="str">
        <f t="shared" si="10"/>
        <v/>
      </c>
      <c r="Q447" s="105"/>
      <c r="R447" s="10"/>
      <c r="S447" s="59" t="str">
        <f t="array" ref="S447">IF(COUNTA(Q447:Q1644)=0,"",SUM((COUNTIF(Q$4:Q447,Upgrades!$B$3:$B$13)-COUNTIF(Q$4:Q447,"Sell_"&amp;Upgrades!$B$3:$B$13))*Upgrades!$D$3:$D$13))</f>
        <v/>
      </c>
      <c r="T447" s="66" t="str">
        <f>IFERROR(__xludf.DUMMYFUNCTION("IF(COUNTA(Q447:Q1644)=0,"""",IF(REGEXMATCH(INDEX(FILTER(Q$4:Q447,Q$4:Q447&lt;&gt;""""),ROWS(FILTER(Q$4:Q447,Q$4:Q447&lt;&gt;""""))),""^Sell_""),INDEX(FILTER(T$4:T446,Q$4:Q446&lt;&gt;""""),ROWS(FILTER(Q$4:Q446,Q$4:Q446&lt;&gt;""""))),$AD$5+S447))"),"")</f>
        <v/>
      </c>
      <c r="U447" s="10" t="str">
        <f>IFERROR(__xludf.DUMMYFUNCTION("IF(COUNTA(Q447:Q1644)=0,"""",IF(Q447="""",0,IF(REGEXMATCH(Q447,""^Sell_""),-ROUNDDOWN(ROUNDUP(INDEX(Upgrades!$C$3:$C$13,MATCH(SUBSTITUTE(Q447,""Sell_"",""""),Upgrades!$B$3:$B$13,0))*1.15^(COUNTIF(Q$4:Q446,SUBSTITUTE(Q447,""Sell_"",""""))-COUNTIF(Q$4:Q446,"&amp;"""Sell_""&amp;SUBSTITUTE(Q447,""Sell_"",""""))))/2),ROUNDUP(INDEX(Upgrades!$C$3:$C$13,MATCH(Q447,Upgrades!$B$3:$B$13,0))*1.15^(COUNTIF(Q$4:Q446,Q447)-COUNTIF(Q$4:Q446,""Sell_""&amp;Q447))))))"),"")</f>
        <v/>
      </c>
      <c r="V447" s="10" t="str">
        <f t="shared" si="11"/>
        <v/>
      </c>
      <c r="W447" s="68" t="str">
        <f t="shared" si="12"/>
        <v/>
      </c>
      <c r="X447" s="59" t="str">
        <f t="shared" si="13"/>
        <v/>
      </c>
      <c r="Y447" s="69" t="str">
        <f t="shared" si="14"/>
        <v/>
      </c>
      <c r="Z447" s="11"/>
      <c r="AG447" s="59"/>
    </row>
    <row r="448">
      <c r="A448" s="8"/>
      <c r="B448" s="56" t="str">
        <f t="shared" si="2"/>
        <v/>
      </c>
      <c r="C448" s="105"/>
      <c r="D448" s="10"/>
      <c r="E448" s="59" t="str">
        <f t="array" ref="E448">IF(COUNTA(C448:C1644)=0,"",SUM((COUNTIF(C$4:C448,Upgrades!$B$3:$B$13)-COUNTIF(C$4:C448,"Sell_"&amp;Upgrades!$B$3:$B$13))*Upgrades!$D$3:$D$13))</f>
        <v/>
      </c>
      <c r="F448" s="66" t="str">
        <f>IFERROR(__xludf.DUMMYFUNCTION("IF(COUNTA(C448:C1644)=0,"""",IF(REGEXMATCH(INDEX(FILTER(C$4:C448,C$4:C448&lt;&gt;""""),ROWS(FILTER(C$4:C448,C$4:C448&lt;&gt;""""))),""^Sell_""),INDEX(FILTER(F$4:F447,C$4:C447&lt;&gt;""""),ROWS(FILTER(C$4:C447,C$4:C447&lt;&gt;""""))),$AC$5+E448))"),"")</f>
        <v/>
      </c>
      <c r="G448" s="10" t="str">
        <f>IFERROR(__xludf.DUMMYFUNCTION("IF(COUNTA(C448:C1644)=0,"""",IF(C448="""",0,IF(REGEXMATCH(C448,""^Sell_""),-ROUNDDOWN(ROUNDUP(INDEX(Upgrades!$C$3:$C$13,MATCH(SUBSTITUTE(C448,""Sell_"",""""),Upgrades!$B$3:$B$13,0))*1.15^(COUNTIF(C$4:C447,SUBSTITUTE(C448,""Sell_"",""""))-COUNTIF(C$4:C447,"&amp;"""Sell_""&amp;SUBSTITUTE(C448,""Sell_"",""""))))/2),ROUNDUP(INDEX(Upgrades!$C$3:$C$13,MATCH(C448,Upgrades!$B$3:$B$13,0))*1.15^(COUNTIF(C$4:C447,C448)-COUNTIF(C$4:C447,""Sell_""&amp;C448))))))"),"")</f>
        <v/>
      </c>
      <c r="H448" s="10" t="str">
        <f t="shared" si="3"/>
        <v/>
      </c>
      <c r="I448" s="68" t="str">
        <f t="shared" si="4"/>
        <v/>
      </c>
      <c r="J448" s="59" t="str">
        <f t="shared" si="5"/>
        <v/>
      </c>
      <c r="K448" s="69" t="str">
        <f t="shared" si="6"/>
        <v/>
      </c>
      <c r="L448" s="60" t="str">
        <f t="shared" si="7"/>
        <v/>
      </c>
      <c r="M448" s="61" t="str">
        <f>IFERROR(__xludf.DUMMYFUNCTION("IFS(AND(COUNTA(C448:C1644)=0,COUNTA(Q448:Q1644)=0),"""",OR(AND(K448&gt;=1000000000,OR(Y448&gt;=1000000000,COUNTA(Q448:Q1644)=0)),OR(Y448&gt;=1000000000,AND(COUNTA(C448:C1644)=0,P$3=TRUE))),
ROUNDDOWN((AB$1-AC$1)*MAX(INDEX(T$4:T1644,MATCH(LARGE(FILTER(Y$4:Y1644,Y$4"&amp;":Y1644&lt;1000000000),1),Y$4:Y1644)),INDEX(F$4:F1644,MATCH(LARGE(FILTER(K$4:K1644,K$4:K1644&lt;1000000000),1),K$4:K1644)))),AND(K448&lt;1000000000,COUNTA(C448:C1644)&gt;0,P$3=FALSE),
ROUNDDOWN(INDEX(Y$4:Y1644,MATCH(LARGE(FILTER(W$4:W1644,W$4:W1644&lt;=I448),1),W$4:W1644"&amp;"))+(I448-LARGE(FILTER(W$4:W1644,W$4:W1644&lt;=I448),1))*INDEX(T$4:T1644,MATCH(LARGE(FILTER(W$4:W1644,W$4:W1644&lt;=I448),1),W$4:W1644))-K448),1,
ROUNDDOWN(Y448-INDEX(K$4:K1644,MATCH(LARGE(FILTER(I$4:I1644,I$4:I1644&lt;=W448),1),I$4:I1644))-(W448-LARGE(FILTER(I$4:I"&amp;"1644,I$4:I1644&lt;=W448),1))*INDEX(F$4:F1644,MATCH(LARGE(FILTER(I$4:I1644,I$4:I1644&lt;=W448),1),I$4:I1644))))"),"")</f>
        <v/>
      </c>
      <c r="N448" s="60" t="str">
        <f t="shared" si="8"/>
        <v/>
      </c>
      <c r="O448" s="61" t="str">
        <f t="shared" si="9"/>
        <v/>
      </c>
      <c r="P448" s="56" t="str">
        <f t="shared" si="10"/>
        <v/>
      </c>
      <c r="Q448" s="105"/>
      <c r="R448" s="10"/>
      <c r="S448" s="59" t="str">
        <f t="array" ref="S448">IF(COUNTA(Q448:Q1644)=0,"",SUM((COUNTIF(Q$4:Q448,Upgrades!$B$3:$B$13)-COUNTIF(Q$4:Q448,"Sell_"&amp;Upgrades!$B$3:$B$13))*Upgrades!$D$3:$D$13))</f>
        <v/>
      </c>
      <c r="T448" s="66" t="str">
        <f>IFERROR(__xludf.DUMMYFUNCTION("IF(COUNTA(Q448:Q1644)=0,"""",IF(REGEXMATCH(INDEX(FILTER(Q$4:Q448,Q$4:Q448&lt;&gt;""""),ROWS(FILTER(Q$4:Q448,Q$4:Q448&lt;&gt;""""))),""^Sell_""),INDEX(FILTER(T$4:T447,Q$4:Q447&lt;&gt;""""),ROWS(FILTER(Q$4:Q447,Q$4:Q447&lt;&gt;""""))),$AD$5+S448))"),"")</f>
        <v/>
      </c>
      <c r="U448" s="10" t="str">
        <f>IFERROR(__xludf.DUMMYFUNCTION("IF(COUNTA(Q448:Q1644)=0,"""",IF(Q448="""",0,IF(REGEXMATCH(Q448,""^Sell_""),-ROUNDDOWN(ROUNDUP(INDEX(Upgrades!$C$3:$C$13,MATCH(SUBSTITUTE(Q448,""Sell_"",""""),Upgrades!$B$3:$B$13,0))*1.15^(COUNTIF(Q$4:Q447,SUBSTITUTE(Q448,""Sell_"",""""))-COUNTIF(Q$4:Q447,"&amp;"""Sell_""&amp;SUBSTITUTE(Q448,""Sell_"",""""))))/2),ROUNDUP(INDEX(Upgrades!$C$3:$C$13,MATCH(Q448,Upgrades!$B$3:$B$13,0))*1.15^(COUNTIF(Q$4:Q447,Q448)-COUNTIF(Q$4:Q447,""Sell_""&amp;Q448))))))"),"")</f>
        <v/>
      </c>
      <c r="V448" s="10" t="str">
        <f t="shared" si="11"/>
        <v/>
      </c>
      <c r="W448" s="68" t="str">
        <f t="shared" si="12"/>
        <v/>
      </c>
      <c r="X448" s="59" t="str">
        <f t="shared" si="13"/>
        <v/>
      </c>
      <c r="Y448" s="69" t="str">
        <f t="shared" si="14"/>
        <v/>
      </c>
      <c r="Z448" s="11"/>
      <c r="AG448" s="59"/>
    </row>
    <row r="449">
      <c r="A449" s="8"/>
      <c r="B449" s="56" t="str">
        <f t="shared" si="2"/>
        <v/>
      </c>
      <c r="C449" s="105"/>
      <c r="D449" s="10"/>
      <c r="E449" s="59" t="str">
        <f t="array" ref="E449">IF(COUNTA(C449:C1644)=0,"",SUM((COUNTIF(C$4:C449,Upgrades!$B$3:$B$13)-COUNTIF(C$4:C449,"Sell_"&amp;Upgrades!$B$3:$B$13))*Upgrades!$D$3:$D$13))</f>
        <v/>
      </c>
      <c r="F449" s="66" t="str">
        <f>IFERROR(__xludf.DUMMYFUNCTION("IF(COUNTA(C449:C1644)=0,"""",IF(REGEXMATCH(INDEX(FILTER(C$4:C449,C$4:C449&lt;&gt;""""),ROWS(FILTER(C$4:C449,C$4:C449&lt;&gt;""""))),""^Sell_""),INDEX(FILTER(F$4:F448,C$4:C448&lt;&gt;""""),ROWS(FILTER(C$4:C448,C$4:C448&lt;&gt;""""))),$AC$5+E449))"),"")</f>
        <v/>
      </c>
      <c r="G449" s="10" t="str">
        <f>IFERROR(__xludf.DUMMYFUNCTION("IF(COUNTA(C449:C1644)=0,"""",IF(C449="""",0,IF(REGEXMATCH(C449,""^Sell_""),-ROUNDDOWN(ROUNDUP(INDEX(Upgrades!$C$3:$C$13,MATCH(SUBSTITUTE(C449,""Sell_"",""""),Upgrades!$B$3:$B$13,0))*1.15^(COUNTIF(C$4:C448,SUBSTITUTE(C449,""Sell_"",""""))-COUNTIF(C$4:C448,"&amp;"""Sell_""&amp;SUBSTITUTE(C449,""Sell_"",""""))))/2),ROUNDUP(INDEX(Upgrades!$C$3:$C$13,MATCH(C449,Upgrades!$B$3:$B$13,0))*1.15^(COUNTIF(C$4:C448,C449)-COUNTIF(C$4:C448,""Sell_""&amp;C449))))))"),"")</f>
        <v/>
      </c>
      <c r="H449" s="10" t="str">
        <f t="shared" si="3"/>
        <v/>
      </c>
      <c r="I449" s="68" t="str">
        <f t="shared" si="4"/>
        <v/>
      </c>
      <c r="J449" s="59" t="str">
        <f t="shared" si="5"/>
        <v/>
      </c>
      <c r="K449" s="69" t="str">
        <f t="shared" si="6"/>
        <v/>
      </c>
      <c r="L449" s="60" t="str">
        <f t="shared" si="7"/>
        <v/>
      </c>
      <c r="M449" s="61" t="str">
        <f>IFERROR(__xludf.DUMMYFUNCTION("IFS(AND(COUNTA(C449:C1644)=0,COUNTA(Q449:Q1644)=0),"""",OR(AND(K449&gt;=1000000000,OR(Y449&gt;=1000000000,COUNTA(Q449:Q1644)=0)),OR(Y449&gt;=1000000000,AND(COUNTA(C449:C1644)=0,P$3=TRUE))),
ROUNDDOWN((AB$1-AC$1)*MAX(INDEX(T$4:T1644,MATCH(LARGE(FILTER(Y$4:Y1644,Y$4"&amp;":Y1644&lt;1000000000),1),Y$4:Y1644)),INDEX(F$4:F1644,MATCH(LARGE(FILTER(K$4:K1644,K$4:K1644&lt;1000000000),1),K$4:K1644)))),AND(K449&lt;1000000000,COUNTA(C449:C1644)&gt;0,P$3=FALSE),
ROUNDDOWN(INDEX(Y$4:Y1644,MATCH(LARGE(FILTER(W$4:W1644,W$4:W1644&lt;=I449),1),W$4:W1644"&amp;"))+(I449-LARGE(FILTER(W$4:W1644,W$4:W1644&lt;=I449),1))*INDEX(T$4:T1644,MATCH(LARGE(FILTER(W$4:W1644,W$4:W1644&lt;=I449),1),W$4:W1644))-K449),1,
ROUNDDOWN(Y449-INDEX(K$4:K1644,MATCH(LARGE(FILTER(I$4:I1644,I$4:I1644&lt;=W449),1),I$4:I1644))-(W449-LARGE(FILTER(I$4:I"&amp;"1644,I$4:I1644&lt;=W449),1))*INDEX(F$4:F1644,MATCH(LARGE(FILTER(I$4:I1644,I$4:I1644&lt;=W449),1),I$4:I1644))))"),"")</f>
        <v/>
      </c>
      <c r="N449" s="60" t="str">
        <f t="shared" si="8"/>
        <v/>
      </c>
      <c r="O449" s="61" t="str">
        <f t="shared" si="9"/>
        <v/>
      </c>
      <c r="P449" s="56" t="str">
        <f t="shared" si="10"/>
        <v/>
      </c>
      <c r="Q449" s="105"/>
      <c r="R449" s="10"/>
      <c r="S449" s="59" t="str">
        <f t="array" ref="S449">IF(COUNTA(Q449:Q1644)=0,"",SUM((COUNTIF(Q$4:Q449,Upgrades!$B$3:$B$13)-COUNTIF(Q$4:Q449,"Sell_"&amp;Upgrades!$B$3:$B$13))*Upgrades!$D$3:$D$13))</f>
        <v/>
      </c>
      <c r="T449" s="66" t="str">
        <f>IFERROR(__xludf.DUMMYFUNCTION("IF(COUNTA(Q449:Q1644)=0,"""",IF(REGEXMATCH(INDEX(FILTER(Q$4:Q449,Q$4:Q449&lt;&gt;""""),ROWS(FILTER(Q$4:Q449,Q$4:Q449&lt;&gt;""""))),""^Sell_""),INDEX(FILTER(T$4:T448,Q$4:Q448&lt;&gt;""""),ROWS(FILTER(Q$4:Q448,Q$4:Q448&lt;&gt;""""))),$AD$5+S449))"),"")</f>
        <v/>
      </c>
      <c r="U449" s="10" t="str">
        <f>IFERROR(__xludf.DUMMYFUNCTION("IF(COUNTA(Q449:Q1644)=0,"""",IF(Q449="""",0,IF(REGEXMATCH(Q449,""^Sell_""),-ROUNDDOWN(ROUNDUP(INDEX(Upgrades!$C$3:$C$13,MATCH(SUBSTITUTE(Q449,""Sell_"",""""),Upgrades!$B$3:$B$13,0))*1.15^(COUNTIF(Q$4:Q448,SUBSTITUTE(Q449,""Sell_"",""""))-COUNTIF(Q$4:Q448,"&amp;"""Sell_""&amp;SUBSTITUTE(Q449,""Sell_"",""""))))/2),ROUNDUP(INDEX(Upgrades!$C$3:$C$13,MATCH(Q449,Upgrades!$B$3:$B$13,0))*1.15^(COUNTIF(Q$4:Q448,Q449)-COUNTIF(Q$4:Q448,""Sell_""&amp;Q449))))))"),"")</f>
        <v/>
      </c>
      <c r="V449" s="10" t="str">
        <f t="shared" si="11"/>
        <v/>
      </c>
      <c r="W449" s="68" t="str">
        <f t="shared" si="12"/>
        <v/>
      </c>
      <c r="X449" s="59" t="str">
        <f t="shared" si="13"/>
        <v/>
      </c>
      <c r="Y449" s="69" t="str">
        <f t="shared" si="14"/>
        <v/>
      </c>
      <c r="Z449" s="11"/>
      <c r="AG449" s="59"/>
    </row>
    <row r="450">
      <c r="A450" s="8"/>
      <c r="B450" s="56" t="str">
        <f t="shared" si="2"/>
        <v/>
      </c>
      <c r="C450" s="105"/>
      <c r="D450" s="10"/>
      <c r="E450" s="59" t="str">
        <f t="array" ref="E450">IF(COUNTA(C450:C1644)=0,"",SUM((COUNTIF(C$4:C450,Upgrades!$B$3:$B$13)-COUNTIF(C$4:C450,"Sell_"&amp;Upgrades!$B$3:$B$13))*Upgrades!$D$3:$D$13))</f>
        <v/>
      </c>
      <c r="F450" s="66" t="str">
        <f>IFERROR(__xludf.DUMMYFUNCTION("IF(COUNTA(C450:C1644)=0,"""",IF(REGEXMATCH(INDEX(FILTER(C$4:C450,C$4:C450&lt;&gt;""""),ROWS(FILTER(C$4:C450,C$4:C450&lt;&gt;""""))),""^Sell_""),INDEX(FILTER(F$4:F449,C$4:C449&lt;&gt;""""),ROWS(FILTER(C$4:C449,C$4:C449&lt;&gt;""""))),$AC$5+E450))"),"")</f>
        <v/>
      </c>
      <c r="G450" s="10" t="str">
        <f>IFERROR(__xludf.DUMMYFUNCTION("IF(COUNTA(C450:C1644)=0,"""",IF(C450="""",0,IF(REGEXMATCH(C450,""^Sell_""),-ROUNDDOWN(ROUNDUP(INDEX(Upgrades!$C$3:$C$13,MATCH(SUBSTITUTE(C450,""Sell_"",""""),Upgrades!$B$3:$B$13,0))*1.15^(COUNTIF(C$4:C449,SUBSTITUTE(C450,""Sell_"",""""))-COUNTIF(C$4:C449,"&amp;"""Sell_""&amp;SUBSTITUTE(C450,""Sell_"",""""))))/2),ROUNDUP(INDEX(Upgrades!$C$3:$C$13,MATCH(C450,Upgrades!$B$3:$B$13,0))*1.15^(COUNTIF(C$4:C449,C450)-COUNTIF(C$4:C449,""Sell_""&amp;C450))))))"),"")</f>
        <v/>
      </c>
      <c r="H450" s="10" t="str">
        <f t="shared" si="3"/>
        <v/>
      </c>
      <c r="I450" s="68" t="str">
        <f t="shared" si="4"/>
        <v/>
      </c>
      <c r="J450" s="59" t="str">
        <f t="shared" si="5"/>
        <v/>
      </c>
      <c r="K450" s="69" t="str">
        <f t="shared" si="6"/>
        <v/>
      </c>
      <c r="L450" s="60" t="str">
        <f t="shared" si="7"/>
        <v/>
      </c>
      <c r="M450" s="61" t="str">
        <f>IFERROR(__xludf.DUMMYFUNCTION("IFS(AND(COUNTA(C450:C1644)=0,COUNTA(Q450:Q1644)=0),"""",OR(AND(K450&gt;=1000000000,OR(Y450&gt;=1000000000,COUNTA(Q450:Q1644)=0)),OR(Y450&gt;=1000000000,AND(COUNTA(C450:C1644)=0,P$3=TRUE))),
ROUNDDOWN((AB$1-AC$1)*MAX(INDEX(T$4:T1644,MATCH(LARGE(FILTER(Y$4:Y1644,Y$4"&amp;":Y1644&lt;1000000000),1),Y$4:Y1644)),INDEX(F$4:F1644,MATCH(LARGE(FILTER(K$4:K1644,K$4:K1644&lt;1000000000),1),K$4:K1644)))),AND(K450&lt;1000000000,COUNTA(C450:C1644)&gt;0,P$3=FALSE),
ROUNDDOWN(INDEX(Y$4:Y1644,MATCH(LARGE(FILTER(W$4:W1644,W$4:W1644&lt;=I450),1),W$4:W1644"&amp;"))+(I450-LARGE(FILTER(W$4:W1644,W$4:W1644&lt;=I450),1))*INDEX(T$4:T1644,MATCH(LARGE(FILTER(W$4:W1644,W$4:W1644&lt;=I450),1),W$4:W1644))-K450),1,
ROUNDDOWN(Y450-INDEX(K$4:K1644,MATCH(LARGE(FILTER(I$4:I1644,I$4:I1644&lt;=W450),1),I$4:I1644))-(W450-LARGE(FILTER(I$4:I"&amp;"1644,I$4:I1644&lt;=W450),1))*INDEX(F$4:F1644,MATCH(LARGE(FILTER(I$4:I1644,I$4:I1644&lt;=W450),1),I$4:I1644))))"),"")</f>
        <v/>
      </c>
      <c r="N450" s="60" t="str">
        <f t="shared" si="8"/>
        <v/>
      </c>
      <c r="O450" s="61" t="str">
        <f t="shared" si="9"/>
        <v/>
      </c>
      <c r="P450" s="56" t="str">
        <f t="shared" si="10"/>
        <v/>
      </c>
      <c r="Q450" s="105"/>
      <c r="R450" s="10"/>
      <c r="S450" s="59" t="str">
        <f t="array" ref="S450">IF(COUNTA(Q450:Q1644)=0,"",SUM((COUNTIF(Q$4:Q450,Upgrades!$B$3:$B$13)-COUNTIF(Q$4:Q450,"Sell_"&amp;Upgrades!$B$3:$B$13))*Upgrades!$D$3:$D$13))</f>
        <v/>
      </c>
      <c r="T450" s="66" t="str">
        <f>IFERROR(__xludf.DUMMYFUNCTION("IF(COUNTA(Q450:Q1644)=0,"""",IF(REGEXMATCH(INDEX(FILTER(Q$4:Q450,Q$4:Q450&lt;&gt;""""),ROWS(FILTER(Q$4:Q450,Q$4:Q450&lt;&gt;""""))),""^Sell_""),INDEX(FILTER(T$4:T449,Q$4:Q449&lt;&gt;""""),ROWS(FILTER(Q$4:Q449,Q$4:Q449&lt;&gt;""""))),$AD$5+S450))"),"")</f>
        <v/>
      </c>
      <c r="U450" s="10" t="str">
        <f>IFERROR(__xludf.DUMMYFUNCTION("IF(COUNTA(Q450:Q1644)=0,"""",IF(Q450="""",0,IF(REGEXMATCH(Q450,""^Sell_""),-ROUNDDOWN(ROUNDUP(INDEX(Upgrades!$C$3:$C$13,MATCH(SUBSTITUTE(Q450,""Sell_"",""""),Upgrades!$B$3:$B$13,0))*1.15^(COUNTIF(Q$4:Q449,SUBSTITUTE(Q450,""Sell_"",""""))-COUNTIF(Q$4:Q449,"&amp;"""Sell_""&amp;SUBSTITUTE(Q450,""Sell_"",""""))))/2),ROUNDUP(INDEX(Upgrades!$C$3:$C$13,MATCH(Q450,Upgrades!$B$3:$B$13,0))*1.15^(COUNTIF(Q$4:Q449,Q450)-COUNTIF(Q$4:Q449,""Sell_""&amp;Q450))))))"),"")</f>
        <v/>
      </c>
      <c r="V450" s="10" t="str">
        <f t="shared" si="11"/>
        <v/>
      </c>
      <c r="W450" s="68" t="str">
        <f t="shared" si="12"/>
        <v/>
      </c>
      <c r="X450" s="59" t="str">
        <f t="shared" si="13"/>
        <v/>
      </c>
      <c r="Y450" s="69" t="str">
        <f t="shared" si="14"/>
        <v/>
      </c>
      <c r="Z450" s="11"/>
      <c r="AG450" s="59"/>
    </row>
    <row r="451">
      <c r="A451" s="8"/>
      <c r="B451" s="56" t="str">
        <f t="shared" si="2"/>
        <v/>
      </c>
      <c r="C451" s="105"/>
      <c r="D451" s="10"/>
      <c r="E451" s="59" t="str">
        <f t="array" ref="E451">IF(COUNTA(C451:C1644)=0,"",SUM((COUNTIF(C$4:C451,Upgrades!$B$3:$B$13)-COUNTIF(C$4:C451,"Sell_"&amp;Upgrades!$B$3:$B$13))*Upgrades!$D$3:$D$13))</f>
        <v/>
      </c>
      <c r="F451" s="66" t="str">
        <f>IFERROR(__xludf.DUMMYFUNCTION("IF(COUNTA(C451:C1644)=0,"""",IF(REGEXMATCH(INDEX(FILTER(C$4:C451,C$4:C451&lt;&gt;""""),ROWS(FILTER(C$4:C451,C$4:C451&lt;&gt;""""))),""^Sell_""),INDEX(FILTER(F$4:F450,C$4:C450&lt;&gt;""""),ROWS(FILTER(C$4:C450,C$4:C450&lt;&gt;""""))),$AC$5+E451))"),"")</f>
        <v/>
      </c>
      <c r="G451" s="10" t="str">
        <f>IFERROR(__xludf.DUMMYFUNCTION("IF(COUNTA(C451:C1644)=0,"""",IF(C451="""",0,IF(REGEXMATCH(C451,""^Sell_""),-ROUNDDOWN(ROUNDUP(INDEX(Upgrades!$C$3:$C$13,MATCH(SUBSTITUTE(C451,""Sell_"",""""),Upgrades!$B$3:$B$13,0))*1.15^(COUNTIF(C$4:C450,SUBSTITUTE(C451,""Sell_"",""""))-COUNTIF(C$4:C450,"&amp;"""Sell_""&amp;SUBSTITUTE(C451,""Sell_"",""""))))/2),ROUNDUP(INDEX(Upgrades!$C$3:$C$13,MATCH(C451,Upgrades!$B$3:$B$13,0))*1.15^(COUNTIF(C$4:C450,C451)-COUNTIF(C$4:C450,""Sell_""&amp;C451))))))"),"")</f>
        <v/>
      </c>
      <c r="H451" s="10" t="str">
        <f t="shared" si="3"/>
        <v/>
      </c>
      <c r="I451" s="68" t="str">
        <f t="shared" si="4"/>
        <v/>
      </c>
      <c r="J451" s="59" t="str">
        <f t="shared" si="5"/>
        <v/>
      </c>
      <c r="K451" s="69" t="str">
        <f t="shared" si="6"/>
        <v/>
      </c>
      <c r="L451" s="60" t="str">
        <f t="shared" si="7"/>
        <v/>
      </c>
      <c r="M451" s="61" t="str">
        <f>IFERROR(__xludf.DUMMYFUNCTION("IFS(AND(COUNTA(C451:C1644)=0,COUNTA(Q451:Q1644)=0),"""",OR(AND(K451&gt;=1000000000,OR(Y451&gt;=1000000000,COUNTA(Q451:Q1644)=0)),OR(Y451&gt;=1000000000,AND(COUNTA(C451:C1644)=0,P$3=TRUE))),
ROUNDDOWN((AB$1-AC$1)*MAX(INDEX(T$4:T1644,MATCH(LARGE(FILTER(Y$4:Y1644,Y$4"&amp;":Y1644&lt;1000000000),1),Y$4:Y1644)),INDEX(F$4:F1644,MATCH(LARGE(FILTER(K$4:K1644,K$4:K1644&lt;1000000000),1),K$4:K1644)))),AND(K451&lt;1000000000,COUNTA(C451:C1644)&gt;0,P$3=FALSE),
ROUNDDOWN(INDEX(Y$4:Y1644,MATCH(LARGE(FILTER(W$4:W1644,W$4:W1644&lt;=I451),1),W$4:W1644"&amp;"))+(I451-LARGE(FILTER(W$4:W1644,W$4:W1644&lt;=I451),1))*INDEX(T$4:T1644,MATCH(LARGE(FILTER(W$4:W1644,W$4:W1644&lt;=I451),1),W$4:W1644))-K451),1,
ROUNDDOWN(Y451-INDEX(K$4:K1644,MATCH(LARGE(FILTER(I$4:I1644,I$4:I1644&lt;=W451),1),I$4:I1644))-(W451-LARGE(FILTER(I$4:I"&amp;"1644,I$4:I1644&lt;=W451),1))*INDEX(F$4:F1644,MATCH(LARGE(FILTER(I$4:I1644,I$4:I1644&lt;=W451),1),I$4:I1644))))"),"")</f>
        <v/>
      </c>
      <c r="N451" s="60" t="str">
        <f t="shared" si="8"/>
        <v/>
      </c>
      <c r="O451" s="61" t="str">
        <f t="shared" si="9"/>
        <v/>
      </c>
      <c r="P451" s="56" t="str">
        <f t="shared" si="10"/>
        <v/>
      </c>
      <c r="Q451" s="105"/>
      <c r="R451" s="10"/>
      <c r="S451" s="59" t="str">
        <f t="array" ref="S451">IF(COUNTA(Q451:Q1644)=0,"",SUM((COUNTIF(Q$4:Q451,Upgrades!$B$3:$B$13)-COUNTIF(Q$4:Q451,"Sell_"&amp;Upgrades!$B$3:$B$13))*Upgrades!$D$3:$D$13))</f>
        <v/>
      </c>
      <c r="T451" s="66" t="str">
        <f>IFERROR(__xludf.DUMMYFUNCTION("IF(COUNTA(Q451:Q1644)=0,"""",IF(REGEXMATCH(INDEX(FILTER(Q$4:Q451,Q$4:Q451&lt;&gt;""""),ROWS(FILTER(Q$4:Q451,Q$4:Q451&lt;&gt;""""))),""^Sell_""),INDEX(FILTER(T$4:T450,Q$4:Q450&lt;&gt;""""),ROWS(FILTER(Q$4:Q450,Q$4:Q450&lt;&gt;""""))),$AD$5+S451))"),"")</f>
        <v/>
      </c>
      <c r="U451" s="10" t="str">
        <f>IFERROR(__xludf.DUMMYFUNCTION("IF(COUNTA(Q451:Q1644)=0,"""",IF(Q451="""",0,IF(REGEXMATCH(Q451,""^Sell_""),-ROUNDDOWN(ROUNDUP(INDEX(Upgrades!$C$3:$C$13,MATCH(SUBSTITUTE(Q451,""Sell_"",""""),Upgrades!$B$3:$B$13,0))*1.15^(COUNTIF(Q$4:Q450,SUBSTITUTE(Q451,""Sell_"",""""))-COUNTIF(Q$4:Q450,"&amp;"""Sell_""&amp;SUBSTITUTE(Q451,""Sell_"",""""))))/2),ROUNDUP(INDEX(Upgrades!$C$3:$C$13,MATCH(Q451,Upgrades!$B$3:$B$13,0))*1.15^(COUNTIF(Q$4:Q450,Q451)-COUNTIF(Q$4:Q450,""Sell_""&amp;Q451))))))"),"")</f>
        <v/>
      </c>
      <c r="V451" s="10" t="str">
        <f t="shared" si="11"/>
        <v/>
      </c>
      <c r="W451" s="68" t="str">
        <f t="shared" si="12"/>
        <v/>
      </c>
      <c r="X451" s="59" t="str">
        <f t="shared" si="13"/>
        <v/>
      </c>
      <c r="Y451" s="69" t="str">
        <f t="shared" si="14"/>
        <v/>
      </c>
      <c r="Z451" s="11"/>
      <c r="AG451" s="59"/>
    </row>
    <row r="452">
      <c r="A452" s="8"/>
      <c r="B452" s="56" t="str">
        <f t="shared" si="2"/>
        <v/>
      </c>
      <c r="C452" s="105"/>
      <c r="D452" s="10"/>
      <c r="E452" s="59" t="str">
        <f t="array" ref="E452">IF(COUNTA(C452:C1644)=0,"",SUM((COUNTIF(C$4:C452,Upgrades!$B$3:$B$13)-COUNTIF(C$4:C452,"Sell_"&amp;Upgrades!$B$3:$B$13))*Upgrades!$D$3:$D$13))</f>
        <v/>
      </c>
      <c r="F452" s="66" t="str">
        <f>IFERROR(__xludf.DUMMYFUNCTION("IF(COUNTA(C452:C1644)=0,"""",IF(REGEXMATCH(INDEX(FILTER(C$4:C452,C$4:C452&lt;&gt;""""),ROWS(FILTER(C$4:C452,C$4:C452&lt;&gt;""""))),""^Sell_""),INDEX(FILTER(F$4:F451,C$4:C451&lt;&gt;""""),ROWS(FILTER(C$4:C451,C$4:C451&lt;&gt;""""))),$AC$5+E452))"),"")</f>
        <v/>
      </c>
      <c r="G452" s="10" t="str">
        <f>IFERROR(__xludf.DUMMYFUNCTION("IF(COUNTA(C452:C1644)=0,"""",IF(C452="""",0,IF(REGEXMATCH(C452,""^Sell_""),-ROUNDDOWN(ROUNDUP(INDEX(Upgrades!$C$3:$C$13,MATCH(SUBSTITUTE(C452,""Sell_"",""""),Upgrades!$B$3:$B$13,0))*1.15^(COUNTIF(C$4:C451,SUBSTITUTE(C452,""Sell_"",""""))-COUNTIF(C$4:C451,"&amp;"""Sell_""&amp;SUBSTITUTE(C452,""Sell_"",""""))))/2),ROUNDUP(INDEX(Upgrades!$C$3:$C$13,MATCH(C452,Upgrades!$B$3:$B$13,0))*1.15^(COUNTIF(C$4:C451,C452)-COUNTIF(C$4:C451,""Sell_""&amp;C452))))))"),"")</f>
        <v/>
      </c>
      <c r="H452" s="10" t="str">
        <f t="shared" si="3"/>
        <v/>
      </c>
      <c r="I452" s="68" t="str">
        <f t="shared" si="4"/>
        <v/>
      </c>
      <c r="J452" s="59" t="str">
        <f t="shared" si="5"/>
        <v/>
      </c>
      <c r="K452" s="69" t="str">
        <f t="shared" si="6"/>
        <v/>
      </c>
      <c r="L452" s="60" t="str">
        <f t="shared" si="7"/>
        <v/>
      </c>
      <c r="M452" s="61" t="str">
        <f>IFERROR(__xludf.DUMMYFUNCTION("IFS(AND(COUNTA(C452:C1644)=0,COUNTA(Q452:Q1644)=0),"""",OR(AND(K452&gt;=1000000000,OR(Y452&gt;=1000000000,COUNTA(Q452:Q1644)=0)),OR(Y452&gt;=1000000000,AND(COUNTA(C452:C1644)=0,P$3=TRUE))),
ROUNDDOWN((AB$1-AC$1)*MAX(INDEX(T$4:T1644,MATCH(LARGE(FILTER(Y$4:Y1644,Y$4"&amp;":Y1644&lt;1000000000),1),Y$4:Y1644)),INDEX(F$4:F1644,MATCH(LARGE(FILTER(K$4:K1644,K$4:K1644&lt;1000000000),1),K$4:K1644)))),AND(K452&lt;1000000000,COUNTA(C452:C1644)&gt;0,P$3=FALSE),
ROUNDDOWN(INDEX(Y$4:Y1644,MATCH(LARGE(FILTER(W$4:W1644,W$4:W1644&lt;=I452),1),W$4:W1644"&amp;"))+(I452-LARGE(FILTER(W$4:W1644,W$4:W1644&lt;=I452),1))*INDEX(T$4:T1644,MATCH(LARGE(FILTER(W$4:W1644,W$4:W1644&lt;=I452),1),W$4:W1644))-K452),1,
ROUNDDOWN(Y452-INDEX(K$4:K1644,MATCH(LARGE(FILTER(I$4:I1644,I$4:I1644&lt;=W452),1),I$4:I1644))-(W452-LARGE(FILTER(I$4:I"&amp;"1644,I$4:I1644&lt;=W452),1))*INDEX(F$4:F1644,MATCH(LARGE(FILTER(I$4:I1644,I$4:I1644&lt;=W452),1),I$4:I1644))))"),"")</f>
        <v/>
      </c>
      <c r="N452" s="60" t="str">
        <f t="shared" si="8"/>
        <v/>
      </c>
      <c r="O452" s="61" t="str">
        <f t="shared" si="9"/>
        <v/>
      </c>
      <c r="P452" s="56" t="str">
        <f t="shared" si="10"/>
        <v/>
      </c>
      <c r="Q452" s="105"/>
      <c r="R452" s="10"/>
      <c r="S452" s="59" t="str">
        <f t="array" ref="S452">IF(COUNTA(Q452:Q1644)=0,"",SUM((COUNTIF(Q$4:Q452,Upgrades!$B$3:$B$13)-COUNTIF(Q$4:Q452,"Sell_"&amp;Upgrades!$B$3:$B$13))*Upgrades!$D$3:$D$13))</f>
        <v/>
      </c>
      <c r="T452" s="66" t="str">
        <f>IFERROR(__xludf.DUMMYFUNCTION("IF(COUNTA(Q452:Q1644)=0,"""",IF(REGEXMATCH(INDEX(FILTER(Q$4:Q452,Q$4:Q452&lt;&gt;""""),ROWS(FILTER(Q$4:Q452,Q$4:Q452&lt;&gt;""""))),""^Sell_""),INDEX(FILTER(T$4:T451,Q$4:Q451&lt;&gt;""""),ROWS(FILTER(Q$4:Q451,Q$4:Q451&lt;&gt;""""))),$AD$5+S452))"),"")</f>
        <v/>
      </c>
      <c r="U452" s="10" t="str">
        <f>IFERROR(__xludf.DUMMYFUNCTION("IF(COUNTA(Q452:Q1644)=0,"""",IF(Q452="""",0,IF(REGEXMATCH(Q452,""^Sell_""),-ROUNDDOWN(ROUNDUP(INDEX(Upgrades!$C$3:$C$13,MATCH(SUBSTITUTE(Q452,""Sell_"",""""),Upgrades!$B$3:$B$13,0))*1.15^(COUNTIF(Q$4:Q451,SUBSTITUTE(Q452,""Sell_"",""""))-COUNTIF(Q$4:Q451,"&amp;"""Sell_""&amp;SUBSTITUTE(Q452,""Sell_"",""""))))/2),ROUNDUP(INDEX(Upgrades!$C$3:$C$13,MATCH(Q452,Upgrades!$B$3:$B$13,0))*1.15^(COUNTIF(Q$4:Q451,Q452)-COUNTIF(Q$4:Q451,""Sell_""&amp;Q452))))))"),"")</f>
        <v/>
      </c>
      <c r="V452" s="10" t="str">
        <f t="shared" si="11"/>
        <v/>
      </c>
      <c r="W452" s="68" t="str">
        <f t="shared" si="12"/>
        <v/>
      </c>
      <c r="X452" s="59" t="str">
        <f t="shared" si="13"/>
        <v/>
      </c>
      <c r="Y452" s="69" t="str">
        <f t="shared" si="14"/>
        <v/>
      </c>
      <c r="Z452" s="11"/>
      <c r="AG452" s="59"/>
    </row>
    <row r="453">
      <c r="A453" s="8"/>
      <c r="B453" s="56" t="str">
        <f t="shared" si="2"/>
        <v/>
      </c>
      <c r="C453" s="105"/>
      <c r="D453" s="10"/>
      <c r="E453" s="59" t="str">
        <f t="array" ref="E453">IF(COUNTA(C453:C1644)=0,"",SUM((COUNTIF(C$4:C453,Upgrades!$B$3:$B$13)-COUNTIF(C$4:C453,"Sell_"&amp;Upgrades!$B$3:$B$13))*Upgrades!$D$3:$D$13))</f>
        <v/>
      </c>
      <c r="F453" s="66" t="str">
        <f>IFERROR(__xludf.DUMMYFUNCTION("IF(COUNTA(C453:C1644)=0,"""",IF(REGEXMATCH(INDEX(FILTER(C$4:C453,C$4:C453&lt;&gt;""""),ROWS(FILTER(C$4:C453,C$4:C453&lt;&gt;""""))),""^Sell_""),INDEX(FILTER(F$4:F452,C$4:C452&lt;&gt;""""),ROWS(FILTER(C$4:C452,C$4:C452&lt;&gt;""""))),$AC$5+E453))"),"")</f>
        <v/>
      </c>
      <c r="G453" s="10" t="str">
        <f>IFERROR(__xludf.DUMMYFUNCTION("IF(COUNTA(C453:C1644)=0,"""",IF(C453="""",0,IF(REGEXMATCH(C453,""^Sell_""),-ROUNDDOWN(ROUNDUP(INDEX(Upgrades!$C$3:$C$13,MATCH(SUBSTITUTE(C453,""Sell_"",""""),Upgrades!$B$3:$B$13,0))*1.15^(COUNTIF(C$4:C452,SUBSTITUTE(C453,""Sell_"",""""))-COUNTIF(C$4:C452,"&amp;"""Sell_""&amp;SUBSTITUTE(C453,""Sell_"",""""))))/2),ROUNDUP(INDEX(Upgrades!$C$3:$C$13,MATCH(C453,Upgrades!$B$3:$B$13,0))*1.15^(COUNTIF(C$4:C452,C453)-COUNTIF(C$4:C452,""Sell_""&amp;C453))))))"),"")</f>
        <v/>
      </c>
      <c r="H453" s="10" t="str">
        <f t="shared" si="3"/>
        <v/>
      </c>
      <c r="I453" s="68" t="str">
        <f t="shared" si="4"/>
        <v/>
      </c>
      <c r="J453" s="59" t="str">
        <f t="shared" si="5"/>
        <v/>
      </c>
      <c r="K453" s="69" t="str">
        <f t="shared" si="6"/>
        <v/>
      </c>
      <c r="L453" s="60" t="str">
        <f t="shared" si="7"/>
        <v/>
      </c>
      <c r="M453" s="61" t="str">
        <f>IFERROR(__xludf.DUMMYFUNCTION("IFS(AND(COUNTA(C453:C1644)=0,COUNTA(Q453:Q1644)=0),"""",OR(AND(K453&gt;=1000000000,OR(Y453&gt;=1000000000,COUNTA(Q453:Q1644)=0)),OR(Y453&gt;=1000000000,AND(COUNTA(C453:C1644)=0,P$3=TRUE))),
ROUNDDOWN((AB$1-AC$1)*MAX(INDEX(T$4:T1644,MATCH(LARGE(FILTER(Y$4:Y1644,Y$4"&amp;":Y1644&lt;1000000000),1),Y$4:Y1644)),INDEX(F$4:F1644,MATCH(LARGE(FILTER(K$4:K1644,K$4:K1644&lt;1000000000),1),K$4:K1644)))),AND(K453&lt;1000000000,COUNTA(C453:C1644)&gt;0,P$3=FALSE),
ROUNDDOWN(INDEX(Y$4:Y1644,MATCH(LARGE(FILTER(W$4:W1644,W$4:W1644&lt;=I453),1),W$4:W1644"&amp;"))+(I453-LARGE(FILTER(W$4:W1644,W$4:W1644&lt;=I453),1))*INDEX(T$4:T1644,MATCH(LARGE(FILTER(W$4:W1644,W$4:W1644&lt;=I453),1),W$4:W1644))-K453),1,
ROUNDDOWN(Y453-INDEX(K$4:K1644,MATCH(LARGE(FILTER(I$4:I1644,I$4:I1644&lt;=W453),1),I$4:I1644))-(W453-LARGE(FILTER(I$4:I"&amp;"1644,I$4:I1644&lt;=W453),1))*INDEX(F$4:F1644,MATCH(LARGE(FILTER(I$4:I1644,I$4:I1644&lt;=W453),1),I$4:I1644))))"),"")</f>
        <v/>
      </c>
      <c r="N453" s="60" t="str">
        <f t="shared" si="8"/>
        <v/>
      </c>
      <c r="O453" s="61" t="str">
        <f t="shared" si="9"/>
        <v/>
      </c>
      <c r="P453" s="56" t="str">
        <f t="shared" si="10"/>
        <v/>
      </c>
      <c r="Q453" s="105"/>
      <c r="R453" s="10"/>
      <c r="S453" s="59" t="str">
        <f t="array" ref="S453">IF(COUNTA(Q453:Q1644)=0,"",SUM((COUNTIF(Q$4:Q453,Upgrades!$B$3:$B$13)-COUNTIF(Q$4:Q453,"Sell_"&amp;Upgrades!$B$3:$B$13))*Upgrades!$D$3:$D$13))</f>
        <v/>
      </c>
      <c r="T453" s="66" t="str">
        <f>IFERROR(__xludf.DUMMYFUNCTION("IF(COUNTA(Q453:Q1644)=0,"""",IF(REGEXMATCH(INDEX(FILTER(Q$4:Q453,Q$4:Q453&lt;&gt;""""),ROWS(FILTER(Q$4:Q453,Q$4:Q453&lt;&gt;""""))),""^Sell_""),INDEX(FILTER(T$4:T452,Q$4:Q452&lt;&gt;""""),ROWS(FILTER(Q$4:Q452,Q$4:Q452&lt;&gt;""""))),$AD$5+S453))"),"")</f>
        <v/>
      </c>
      <c r="U453" s="10" t="str">
        <f>IFERROR(__xludf.DUMMYFUNCTION("IF(COUNTA(Q453:Q1644)=0,"""",IF(Q453="""",0,IF(REGEXMATCH(Q453,""^Sell_""),-ROUNDDOWN(ROUNDUP(INDEX(Upgrades!$C$3:$C$13,MATCH(SUBSTITUTE(Q453,""Sell_"",""""),Upgrades!$B$3:$B$13,0))*1.15^(COUNTIF(Q$4:Q452,SUBSTITUTE(Q453,""Sell_"",""""))-COUNTIF(Q$4:Q452,"&amp;"""Sell_""&amp;SUBSTITUTE(Q453,""Sell_"",""""))))/2),ROUNDUP(INDEX(Upgrades!$C$3:$C$13,MATCH(Q453,Upgrades!$B$3:$B$13,0))*1.15^(COUNTIF(Q$4:Q452,Q453)-COUNTIF(Q$4:Q452,""Sell_""&amp;Q453))))))"),"")</f>
        <v/>
      </c>
      <c r="V453" s="10" t="str">
        <f t="shared" si="11"/>
        <v/>
      </c>
      <c r="W453" s="68" t="str">
        <f t="shared" si="12"/>
        <v/>
      </c>
      <c r="X453" s="59" t="str">
        <f t="shared" si="13"/>
        <v/>
      </c>
      <c r="Y453" s="69" t="str">
        <f t="shared" si="14"/>
        <v/>
      </c>
      <c r="Z453" s="11"/>
      <c r="AG453" s="59"/>
    </row>
    <row r="454">
      <c r="A454" s="8"/>
      <c r="B454" s="56" t="str">
        <f t="shared" si="2"/>
        <v/>
      </c>
      <c r="C454" s="105"/>
      <c r="D454" s="10"/>
      <c r="E454" s="59" t="str">
        <f t="array" ref="E454">IF(COUNTA(C454:C1644)=0,"",SUM((COUNTIF(C$4:C454,Upgrades!$B$3:$B$13)-COUNTIF(C$4:C454,"Sell_"&amp;Upgrades!$B$3:$B$13))*Upgrades!$D$3:$D$13))</f>
        <v/>
      </c>
      <c r="F454" s="66" t="str">
        <f>IFERROR(__xludf.DUMMYFUNCTION("IF(COUNTA(C454:C1644)=0,"""",IF(REGEXMATCH(INDEX(FILTER(C$4:C454,C$4:C454&lt;&gt;""""),ROWS(FILTER(C$4:C454,C$4:C454&lt;&gt;""""))),""^Sell_""),INDEX(FILTER(F$4:F453,C$4:C453&lt;&gt;""""),ROWS(FILTER(C$4:C453,C$4:C453&lt;&gt;""""))),$AC$5+E454))"),"")</f>
        <v/>
      </c>
      <c r="G454" s="10" t="str">
        <f>IFERROR(__xludf.DUMMYFUNCTION("IF(COUNTA(C454:C1644)=0,"""",IF(C454="""",0,IF(REGEXMATCH(C454,""^Sell_""),-ROUNDDOWN(ROUNDUP(INDEX(Upgrades!$C$3:$C$13,MATCH(SUBSTITUTE(C454,""Sell_"",""""),Upgrades!$B$3:$B$13,0))*1.15^(COUNTIF(C$4:C453,SUBSTITUTE(C454,""Sell_"",""""))-COUNTIF(C$4:C453,"&amp;"""Sell_""&amp;SUBSTITUTE(C454,""Sell_"",""""))))/2),ROUNDUP(INDEX(Upgrades!$C$3:$C$13,MATCH(C454,Upgrades!$B$3:$B$13,0))*1.15^(COUNTIF(C$4:C453,C454)-COUNTIF(C$4:C453,""Sell_""&amp;C454))))))"),"")</f>
        <v/>
      </c>
      <c r="H454" s="10" t="str">
        <f t="shared" si="3"/>
        <v/>
      </c>
      <c r="I454" s="68" t="str">
        <f t="shared" si="4"/>
        <v/>
      </c>
      <c r="J454" s="59" t="str">
        <f t="shared" si="5"/>
        <v/>
      </c>
      <c r="K454" s="69" t="str">
        <f t="shared" si="6"/>
        <v/>
      </c>
      <c r="L454" s="60" t="str">
        <f t="shared" si="7"/>
        <v/>
      </c>
      <c r="M454" s="61" t="str">
        <f>IFERROR(__xludf.DUMMYFUNCTION("IFS(AND(COUNTA(C454:C1644)=0,COUNTA(Q454:Q1644)=0),"""",OR(AND(K454&gt;=1000000000,OR(Y454&gt;=1000000000,COUNTA(Q454:Q1644)=0)),OR(Y454&gt;=1000000000,AND(COUNTA(C454:C1644)=0,P$3=TRUE))),
ROUNDDOWN((AB$1-AC$1)*MAX(INDEX(T$4:T1644,MATCH(LARGE(FILTER(Y$4:Y1644,Y$4"&amp;":Y1644&lt;1000000000),1),Y$4:Y1644)),INDEX(F$4:F1644,MATCH(LARGE(FILTER(K$4:K1644,K$4:K1644&lt;1000000000),1),K$4:K1644)))),AND(K454&lt;1000000000,COUNTA(C454:C1644)&gt;0,P$3=FALSE),
ROUNDDOWN(INDEX(Y$4:Y1644,MATCH(LARGE(FILTER(W$4:W1644,W$4:W1644&lt;=I454),1),W$4:W1644"&amp;"))+(I454-LARGE(FILTER(W$4:W1644,W$4:W1644&lt;=I454),1))*INDEX(T$4:T1644,MATCH(LARGE(FILTER(W$4:W1644,W$4:W1644&lt;=I454),1),W$4:W1644))-K454),1,
ROUNDDOWN(Y454-INDEX(K$4:K1644,MATCH(LARGE(FILTER(I$4:I1644,I$4:I1644&lt;=W454),1),I$4:I1644))-(W454-LARGE(FILTER(I$4:I"&amp;"1644,I$4:I1644&lt;=W454),1))*INDEX(F$4:F1644,MATCH(LARGE(FILTER(I$4:I1644,I$4:I1644&lt;=W454),1),I$4:I1644))))"),"")</f>
        <v/>
      </c>
      <c r="N454" s="60" t="str">
        <f t="shared" si="8"/>
        <v/>
      </c>
      <c r="O454" s="61" t="str">
        <f t="shared" si="9"/>
        <v/>
      </c>
      <c r="P454" s="56" t="str">
        <f t="shared" si="10"/>
        <v/>
      </c>
      <c r="Q454" s="105"/>
      <c r="R454" s="10"/>
      <c r="S454" s="59" t="str">
        <f t="array" ref="S454">IF(COUNTA(Q454:Q1644)=0,"",SUM((COUNTIF(Q$4:Q454,Upgrades!$B$3:$B$13)-COUNTIF(Q$4:Q454,"Sell_"&amp;Upgrades!$B$3:$B$13))*Upgrades!$D$3:$D$13))</f>
        <v/>
      </c>
      <c r="T454" s="66" t="str">
        <f>IFERROR(__xludf.DUMMYFUNCTION("IF(COUNTA(Q454:Q1644)=0,"""",IF(REGEXMATCH(INDEX(FILTER(Q$4:Q454,Q$4:Q454&lt;&gt;""""),ROWS(FILTER(Q$4:Q454,Q$4:Q454&lt;&gt;""""))),""^Sell_""),INDEX(FILTER(T$4:T453,Q$4:Q453&lt;&gt;""""),ROWS(FILTER(Q$4:Q453,Q$4:Q453&lt;&gt;""""))),$AD$5+S454))"),"")</f>
        <v/>
      </c>
      <c r="U454" s="10" t="str">
        <f>IFERROR(__xludf.DUMMYFUNCTION("IF(COUNTA(Q454:Q1644)=0,"""",IF(Q454="""",0,IF(REGEXMATCH(Q454,""^Sell_""),-ROUNDDOWN(ROUNDUP(INDEX(Upgrades!$C$3:$C$13,MATCH(SUBSTITUTE(Q454,""Sell_"",""""),Upgrades!$B$3:$B$13,0))*1.15^(COUNTIF(Q$4:Q453,SUBSTITUTE(Q454,""Sell_"",""""))-COUNTIF(Q$4:Q453,"&amp;"""Sell_""&amp;SUBSTITUTE(Q454,""Sell_"",""""))))/2),ROUNDUP(INDEX(Upgrades!$C$3:$C$13,MATCH(Q454,Upgrades!$B$3:$B$13,0))*1.15^(COUNTIF(Q$4:Q453,Q454)-COUNTIF(Q$4:Q453,""Sell_""&amp;Q454))))))"),"")</f>
        <v/>
      </c>
      <c r="V454" s="10" t="str">
        <f t="shared" si="11"/>
        <v/>
      </c>
      <c r="W454" s="68" t="str">
        <f t="shared" si="12"/>
        <v/>
      </c>
      <c r="X454" s="59" t="str">
        <f t="shared" si="13"/>
        <v/>
      </c>
      <c r="Y454" s="69" t="str">
        <f t="shared" si="14"/>
        <v/>
      </c>
      <c r="Z454" s="11"/>
      <c r="AG454" s="59"/>
    </row>
    <row r="455">
      <c r="A455" s="8"/>
      <c r="B455" s="56" t="str">
        <f t="shared" si="2"/>
        <v/>
      </c>
      <c r="C455" s="105"/>
      <c r="D455" s="10"/>
      <c r="E455" s="59" t="str">
        <f t="array" ref="E455">IF(COUNTA(C455:C1644)=0,"",SUM((COUNTIF(C$4:C455,Upgrades!$B$3:$B$13)-COUNTIF(C$4:C455,"Sell_"&amp;Upgrades!$B$3:$B$13))*Upgrades!$D$3:$D$13))</f>
        <v/>
      </c>
      <c r="F455" s="66" t="str">
        <f>IFERROR(__xludf.DUMMYFUNCTION("IF(COUNTA(C455:C1644)=0,"""",IF(REGEXMATCH(INDEX(FILTER(C$4:C455,C$4:C455&lt;&gt;""""),ROWS(FILTER(C$4:C455,C$4:C455&lt;&gt;""""))),""^Sell_""),INDEX(FILTER(F$4:F454,C$4:C454&lt;&gt;""""),ROWS(FILTER(C$4:C454,C$4:C454&lt;&gt;""""))),$AC$5+E455))"),"")</f>
        <v/>
      </c>
      <c r="G455" s="10" t="str">
        <f>IFERROR(__xludf.DUMMYFUNCTION("IF(COUNTA(C455:C1644)=0,"""",IF(C455="""",0,IF(REGEXMATCH(C455,""^Sell_""),-ROUNDDOWN(ROUNDUP(INDEX(Upgrades!$C$3:$C$13,MATCH(SUBSTITUTE(C455,""Sell_"",""""),Upgrades!$B$3:$B$13,0))*1.15^(COUNTIF(C$4:C454,SUBSTITUTE(C455,""Sell_"",""""))-COUNTIF(C$4:C454,"&amp;"""Sell_""&amp;SUBSTITUTE(C455,""Sell_"",""""))))/2),ROUNDUP(INDEX(Upgrades!$C$3:$C$13,MATCH(C455,Upgrades!$B$3:$B$13,0))*1.15^(COUNTIF(C$4:C454,C455)-COUNTIF(C$4:C454,""Sell_""&amp;C455))))))"),"")</f>
        <v/>
      </c>
      <c r="H455" s="10" t="str">
        <f t="shared" si="3"/>
        <v/>
      </c>
      <c r="I455" s="68" t="str">
        <f t="shared" si="4"/>
        <v/>
      </c>
      <c r="J455" s="59" t="str">
        <f t="shared" si="5"/>
        <v/>
      </c>
      <c r="K455" s="69" t="str">
        <f t="shared" si="6"/>
        <v/>
      </c>
      <c r="L455" s="60" t="str">
        <f t="shared" si="7"/>
        <v/>
      </c>
      <c r="M455" s="61" t="str">
        <f>IFERROR(__xludf.DUMMYFUNCTION("IFS(AND(COUNTA(C455:C1644)=0,COUNTA(Q455:Q1644)=0),"""",OR(AND(K455&gt;=1000000000,OR(Y455&gt;=1000000000,COUNTA(Q455:Q1644)=0)),OR(Y455&gt;=1000000000,AND(COUNTA(C455:C1644)=0,P$3=TRUE))),
ROUNDDOWN((AB$1-AC$1)*MAX(INDEX(T$4:T1644,MATCH(LARGE(FILTER(Y$4:Y1644,Y$4"&amp;":Y1644&lt;1000000000),1),Y$4:Y1644)),INDEX(F$4:F1644,MATCH(LARGE(FILTER(K$4:K1644,K$4:K1644&lt;1000000000),1),K$4:K1644)))),AND(K455&lt;1000000000,COUNTA(C455:C1644)&gt;0,P$3=FALSE),
ROUNDDOWN(INDEX(Y$4:Y1644,MATCH(LARGE(FILTER(W$4:W1644,W$4:W1644&lt;=I455),1),W$4:W1644"&amp;"))+(I455-LARGE(FILTER(W$4:W1644,W$4:W1644&lt;=I455),1))*INDEX(T$4:T1644,MATCH(LARGE(FILTER(W$4:W1644,W$4:W1644&lt;=I455),1),W$4:W1644))-K455),1,
ROUNDDOWN(Y455-INDEX(K$4:K1644,MATCH(LARGE(FILTER(I$4:I1644,I$4:I1644&lt;=W455),1),I$4:I1644))-(W455-LARGE(FILTER(I$4:I"&amp;"1644,I$4:I1644&lt;=W455),1))*INDEX(F$4:F1644,MATCH(LARGE(FILTER(I$4:I1644,I$4:I1644&lt;=W455),1),I$4:I1644))))"),"")</f>
        <v/>
      </c>
      <c r="N455" s="60" t="str">
        <f t="shared" si="8"/>
        <v/>
      </c>
      <c r="O455" s="61" t="str">
        <f t="shared" si="9"/>
        <v/>
      </c>
      <c r="P455" s="56" t="str">
        <f t="shared" si="10"/>
        <v/>
      </c>
      <c r="Q455" s="105"/>
      <c r="R455" s="10"/>
      <c r="S455" s="59" t="str">
        <f t="array" ref="S455">IF(COUNTA(Q455:Q1644)=0,"",SUM((COUNTIF(Q$4:Q455,Upgrades!$B$3:$B$13)-COUNTIF(Q$4:Q455,"Sell_"&amp;Upgrades!$B$3:$B$13))*Upgrades!$D$3:$D$13))</f>
        <v/>
      </c>
      <c r="T455" s="66" t="str">
        <f>IFERROR(__xludf.DUMMYFUNCTION("IF(COUNTA(Q455:Q1644)=0,"""",IF(REGEXMATCH(INDEX(FILTER(Q$4:Q455,Q$4:Q455&lt;&gt;""""),ROWS(FILTER(Q$4:Q455,Q$4:Q455&lt;&gt;""""))),""^Sell_""),INDEX(FILTER(T$4:T454,Q$4:Q454&lt;&gt;""""),ROWS(FILTER(Q$4:Q454,Q$4:Q454&lt;&gt;""""))),$AD$5+S455))"),"")</f>
        <v/>
      </c>
      <c r="U455" s="10" t="str">
        <f>IFERROR(__xludf.DUMMYFUNCTION("IF(COUNTA(Q455:Q1644)=0,"""",IF(Q455="""",0,IF(REGEXMATCH(Q455,""^Sell_""),-ROUNDDOWN(ROUNDUP(INDEX(Upgrades!$C$3:$C$13,MATCH(SUBSTITUTE(Q455,""Sell_"",""""),Upgrades!$B$3:$B$13,0))*1.15^(COUNTIF(Q$4:Q454,SUBSTITUTE(Q455,""Sell_"",""""))-COUNTIF(Q$4:Q454,"&amp;"""Sell_""&amp;SUBSTITUTE(Q455,""Sell_"",""""))))/2),ROUNDUP(INDEX(Upgrades!$C$3:$C$13,MATCH(Q455,Upgrades!$B$3:$B$13,0))*1.15^(COUNTIF(Q$4:Q454,Q455)-COUNTIF(Q$4:Q454,""Sell_""&amp;Q455))))))"),"")</f>
        <v/>
      </c>
      <c r="V455" s="10" t="str">
        <f t="shared" si="11"/>
        <v/>
      </c>
      <c r="W455" s="68" t="str">
        <f t="shared" si="12"/>
        <v/>
      </c>
      <c r="X455" s="59" t="str">
        <f t="shared" si="13"/>
        <v/>
      </c>
      <c r="Y455" s="69" t="str">
        <f t="shared" si="14"/>
        <v/>
      </c>
      <c r="Z455" s="11"/>
      <c r="AG455" s="59"/>
    </row>
    <row r="456">
      <c r="A456" s="8"/>
      <c r="B456" s="56" t="str">
        <f t="shared" si="2"/>
        <v/>
      </c>
      <c r="C456" s="105"/>
      <c r="D456" s="10"/>
      <c r="E456" s="59" t="str">
        <f t="array" ref="E456">IF(COUNTA(C456:C1644)=0,"",SUM((COUNTIF(C$4:C456,Upgrades!$B$3:$B$13)-COUNTIF(C$4:C456,"Sell_"&amp;Upgrades!$B$3:$B$13))*Upgrades!$D$3:$D$13))</f>
        <v/>
      </c>
      <c r="F456" s="66" t="str">
        <f>IFERROR(__xludf.DUMMYFUNCTION("IF(COUNTA(C456:C1644)=0,"""",IF(REGEXMATCH(INDEX(FILTER(C$4:C456,C$4:C456&lt;&gt;""""),ROWS(FILTER(C$4:C456,C$4:C456&lt;&gt;""""))),""^Sell_""),INDEX(FILTER(F$4:F455,C$4:C455&lt;&gt;""""),ROWS(FILTER(C$4:C455,C$4:C455&lt;&gt;""""))),$AC$5+E456))"),"")</f>
        <v/>
      </c>
      <c r="G456" s="10" t="str">
        <f>IFERROR(__xludf.DUMMYFUNCTION("IF(COUNTA(C456:C1644)=0,"""",IF(C456="""",0,IF(REGEXMATCH(C456,""^Sell_""),-ROUNDDOWN(ROUNDUP(INDEX(Upgrades!$C$3:$C$13,MATCH(SUBSTITUTE(C456,""Sell_"",""""),Upgrades!$B$3:$B$13,0))*1.15^(COUNTIF(C$4:C455,SUBSTITUTE(C456,""Sell_"",""""))-COUNTIF(C$4:C455,"&amp;"""Sell_""&amp;SUBSTITUTE(C456,""Sell_"",""""))))/2),ROUNDUP(INDEX(Upgrades!$C$3:$C$13,MATCH(C456,Upgrades!$B$3:$B$13,0))*1.15^(COUNTIF(C$4:C455,C456)-COUNTIF(C$4:C455,""Sell_""&amp;C456))))))"),"")</f>
        <v/>
      </c>
      <c r="H456" s="10" t="str">
        <f t="shared" si="3"/>
        <v/>
      </c>
      <c r="I456" s="68" t="str">
        <f t="shared" si="4"/>
        <v/>
      </c>
      <c r="J456" s="59" t="str">
        <f t="shared" si="5"/>
        <v/>
      </c>
      <c r="K456" s="69" t="str">
        <f t="shared" si="6"/>
        <v/>
      </c>
      <c r="L456" s="60" t="str">
        <f t="shared" si="7"/>
        <v/>
      </c>
      <c r="M456" s="61" t="str">
        <f>IFERROR(__xludf.DUMMYFUNCTION("IFS(AND(COUNTA(C456:C1644)=0,COUNTA(Q456:Q1644)=0),"""",OR(AND(K456&gt;=1000000000,OR(Y456&gt;=1000000000,COUNTA(Q456:Q1644)=0)),OR(Y456&gt;=1000000000,AND(COUNTA(C456:C1644)=0,P$3=TRUE))),
ROUNDDOWN((AB$1-AC$1)*MAX(INDEX(T$4:T1644,MATCH(LARGE(FILTER(Y$4:Y1644,Y$4"&amp;":Y1644&lt;1000000000),1),Y$4:Y1644)),INDEX(F$4:F1644,MATCH(LARGE(FILTER(K$4:K1644,K$4:K1644&lt;1000000000),1),K$4:K1644)))),AND(K456&lt;1000000000,COUNTA(C456:C1644)&gt;0,P$3=FALSE),
ROUNDDOWN(INDEX(Y$4:Y1644,MATCH(LARGE(FILTER(W$4:W1644,W$4:W1644&lt;=I456),1),W$4:W1644"&amp;"))+(I456-LARGE(FILTER(W$4:W1644,W$4:W1644&lt;=I456),1))*INDEX(T$4:T1644,MATCH(LARGE(FILTER(W$4:W1644,W$4:W1644&lt;=I456),1),W$4:W1644))-K456),1,
ROUNDDOWN(Y456-INDEX(K$4:K1644,MATCH(LARGE(FILTER(I$4:I1644,I$4:I1644&lt;=W456),1),I$4:I1644))-(W456-LARGE(FILTER(I$4:I"&amp;"1644,I$4:I1644&lt;=W456),1))*INDEX(F$4:F1644,MATCH(LARGE(FILTER(I$4:I1644,I$4:I1644&lt;=W456),1),I$4:I1644))))"),"")</f>
        <v/>
      </c>
      <c r="N456" s="60" t="str">
        <f t="shared" si="8"/>
        <v/>
      </c>
      <c r="O456" s="61" t="str">
        <f t="shared" si="9"/>
        <v/>
      </c>
      <c r="P456" s="56" t="str">
        <f t="shared" si="10"/>
        <v/>
      </c>
      <c r="Q456" s="105"/>
      <c r="R456" s="10"/>
      <c r="S456" s="59" t="str">
        <f t="array" ref="S456">IF(COUNTA(Q456:Q1644)=0,"",SUM((COUNTIF(Q$4:Q456,Upgrades!$B$3:$B$13)-COUNTIF(Q$4:Q456,"Sell_"&amp;Upgrades!$B$3:$B$13))*Upgrades!$D$3:$D$13))</f>
        <v/>
      </c>
      <c r="T456" s="66" t="str">
        <f>IFERROR(__xludf.DUMMYFUNCTION("IF(COUNTA(Q456:Q1644)=0,"""",IF(REGEXMATCH(INDEX(FILTER(Q$4:Q456,Q$4:Q456&lt;&gt;""""),ROWS(FILTER(Q$4:Q456,Q$4:Q456&lt;&gt;""""))),""^Sell_""),INDEX(FILTER(T$4:T455,Q$4:Q455&lt;&gt;""""),ROWS(FILTER(Q$4:Q455,Q$4:Q455&lt;&gt;""""))),$AD$5+S456))"),"")</f>
        <v/>
      </c>
      <c r="U456" s="10" t="str">
        <f>IFERROR(__xludf.DUMMYFUNCTION("IF(COUNTA(Q456:Q1644)=0,"""",IF(Q456="""",0,IF(REGEXMATCH(Q456,""^Sell_""),-ROUNDDOWN(ROUNDUP(INDEX(Upgrades!$C$3:$C$13,MATCH(SUBSTITUTE(Q456,""Sell_"",""""),Upgrades!$B$3:$B$13,0))*1.15^(COUNTIF(Q$4:Q455,SUBSTITUTE(Q456,""Sell_"",""""))-COUNTIF(Q$4:Q455,"&amp;"""Sell_""&amp;SUBSTITUTE(Q456,""Sell_"",""""))))/2),ROUNDUP(INDEX(Upgrades!$C$3:$C$13,MATCH(Q456,Upgrades!$B$3:$B$13,0))*1.15^(COUNTIF(Q$4:Q455,Q456)-COUNTIF(Q$4:Q455,""Sell_""&amp;Q456))))))"),"")</f>
        <v/>
      </c>
      <c r="V456" s="10" t="str">
        <f t="shared" si="11"/>
        <v/>
      </c>
      <c r="W456" s="68" t="str">
        <f t="shared" si="12"/>
        <v/>
      </c>
      <c r="X456" s="59" t="str">
        <f t="shared" si="13"/>
        <v/>
      </c>
      <c r="Y456" s="69" t="str">
        <f t="shared" si="14"/>
        <v/>
      </c>
      <c r="Z456" s="11"/>
      <c r="AG456" s="59"/>
    </row>
    <row r="457">
      <c r="A457" s="8"/>
      <c r="B457" s="56" t="str">
        <f t="shared" si="2"/>
        <v/>
      </c>
      <c r="C457" s="105"/>
      <c r="D457" s="10"/>
      <c r="E457" s="59" t="str">
        <f t="array" ref="E457">IF(COUNTA(C457:C1644)=0,"",SUM((COUNTIF(C$4:C457,Upgrades!$B$3:$B$13)-COUNTIF(C$4:C457,"Sell_"&amp;Upgrades!$B$3:$B$13))*Upgrades!$D$3:$D$13))</f>
        <v/>
      </c>
      <c r="F457" s="66" t="str">
        <f>IFERROR(__xludf.DUMMYFUNCTION("IF(COUNTA(C457:C1644)=0,"""",IF(REGEXMATCH(INDEX(FILTER(C$4:C457,C$4:C457&lt;&gt;""""),ROWS(FILTER(C$4:C457,C$4:C457&lt;&gt;""""))),""^Sell_""),INDEX(FILTER(F$4:F456,C$4:C456&lt;&gt;""""),ROWS(FILTER(C$4:C456,C$4:C456&lt;&gt;""""))),$AC$5+E457))"),"")</f>
        <v/>
      </c>
      <c r="G457" s="10" t="str">
        <f>IFERROR(__xludf.DUMMYFUNCTION("IF(COUNTA(C457:C1644)=0,"""",IF(C457="""",0,IF(REGEXMATCH(C457,""^Sell_""),-ROUNDDOWN(ROUNDUP(INDEX(Upgrades!$C$3:$C$13,MATCH(SUBSTITUTE(C457,""Sell_"",""""),Upgrades!$B$3:$B$13,0))*1.15^(COUNTIF(C$4:C456,SUBSTITUTE(C457,""Sell_"",""""))-COUNTIF(C$4:C456,"&amp;"""Sell_""&amp;SUBSTITUTE(C457,""Sell_"",""""))))/2),ROUNDUP(INDEX(Upgrades!$C$3:$C$13,MATCH(C457,Upgrades!$B$3:$B$13,0))*1.15^(COUNTIF(C$4:C456,C457)-COUNTIF(C$4:C456,""Sell_""&amp;C457))))))"),"")</f>
        <v/>
      </c>
      <c r="H457" s="10" t="str">
        <f t="shared" si="3"/>
        <v/>
      </c>
      <c r="I457" s="68" t="str">
        <f t="shared" si="4"/>
        <v/>
      </c>
      <c r="J457" s="59" t="str">
        <f t="shared" si="5"/>
        <v/>
      </c>
      <c r="K457" s="69" t="str">
        <f t="shared" si="6"/>
        <v/>
      </c>
      <c r="L457" s="60" t="str">
        <f t="shared" si="7"/>
        <v/>
      </c>
      <c r="M457" s="61" t="str">
        <f>IFERROR(__xludf.DUMMYFUNCTION("IFS(AND(COUNTA(C457:C1644)=0,COUNTA(Q457:Q1644)=0),"""",OR(AND(K457&gt;=1000000000,OR(Y457&gt;=1000000000,COUNTA(Q457:Q1644)=0)),OR(Y457&gt;=1000000000,AND(COUNTA(C457:C1644)=0,P$3=TRUE))),
ROUNDDOWN((AB$1-AC$1)*MAX(INDEX(T$4:T1644,MATCH(LARGE(FILTER(Y$4:Y1644,Y$4"&amp;":Y1644&lt;1000000000),1),Y$4:Y1644)),INDEX(F$4:F1644,MATCH(LARGE(FILTER(K$4:K1644,K$4:K1644&lt;1000000000),1),K$4:K1644)))),AND(K457&lt;1000000000,COUNTA(C457:C1644)&gt;0,P$3=FALSE),
ROUNDDOWN(INDEX(Y$4:Y1644,MATCH(LARGE(FILTER(W$4:W1644,W$4:W1644&lt;=I457),1),W$4:W1644"&amp;"))+(I457-LARGE(FILTER(W$4:W1644,W$4:W1644&lt;=I457),1))*INDEX(T$4:T1644,MATCH(LARGE(FILTER(W$4:W1644,W$4:W1644&lt;=I457),1),W$4:W1644))-K457),1,
ROUNDDOWN(Y457-INDEX(K$4:K1644,MATCH(LARGE(FILTER(I$4:I1644,I$4:I1644&lt;=W457),1),I$4:I1644))-(W457-LARGE(FILTER(I$4:I"&amp;"1644,I$4:I1644&lt;=W457),1))*INDEX(F$4:F1644,MATCH(LARGE(FILTER(I$4:I1644,I$4:I1644&lt;=W457),1),I$4:I1644))))"),"")</f>
        <v/>
      </c>
      <c r="N457" s="60" t="str">
        <f t="shared" si="8"/>
        <v/>
      </c>
      <c r="O457" s="61" t="str">
        <f t="shared" si="9"/>
        <v/>
      </c>
      <c r="P457" s="56" t="str">
        <f t="shared" si="10"/>
        <v/>
      </c>
      <c r="Q457" s="105"/>
      <c r="R457" s="10"/>
      <c r="S457" s="59" t="str">
        <f t="array" ref="S457">IF(COUNTA(Q457:Q1644)=0,"",SUM((COUNTIF(Q$4:Q457,Upgrades!$B$3:$B$13)-COUNTIF(Q$4:Q457,"Sell_"&amp;Upgrades!$B$3:$B$13))*Upgrades!$D$3:$D$13))</f>
        <v/>
      </c>
      <c r="T457" s="66" t="str">
        <f>IFERROR(__xludf.DUMMYFUNCTION("IF(COUNTA(Q457:Q1644)=0,"""",IF(REGEXMATCH(INDEX(FILTER(Q$4:Q457,Q$4:Q457&lt;&gt;""""),ROWS(FILTER(Q$4:Q457,Q$4:Q457&lt;&gt;""""))),""^Sell_""),INDEX(FILTER(T$4:T456,Q$4:Q456&lt;&gt;""""),ROWS(FILTER(Q$4:Q456,Q$4:Q456&lt;&gt;""""))),$AD$5+S457))"),"")</f>
        <v/>
      </c>
      <c r="U457" s="10" t="str">
        <f>IFERROR(__xludf.DUMMYFUNCTION("IF(COUNTA(Q457:Q1644)=0,"""",IF(Q457="""",0,IF(REGEXMATCH(Q457,""^Sell_""),-ROUNDDOWN(ROUNDUP(INDEX(Upgrades!$C$3:$C$13,MATCH(SUBSTITUTE(Q457,""Sell_"",""""),Upgrades!$B$3:$B$13,0))*1.15^(COUNTIF(Q$4:Q456,SUBSTITUTE(Q457,""Sell_"",""""))-COUNTIF(Q$4:Q456,"&amp;"""Sell_""&amp;SUBSTITUTE(Q457,""Sell_"",""""))))/2),ROUNDUP(INDEX(Upgrades!$C$3:$C$13,MATCH(Q457,Upgrades!$B$3:$B$13,0))*1.15^(COUNTIF(Q$4:Q456,Q457)-COUNTIF(Q$4:Q456,""Sell_""&amp;Q457))))))"),"")</f>
        <v/>
      </c>
      <c r="V457" s="10" t="str">
        <f t="shared" si="11"/>
        <v/>
      </c>
      <c r="W457" s="68" t="str">
        <f t="shared" si="12"/>
        <v/>
      </c>
      <c r="X457" s="59" t="str">
        <f t="shared" si="13"/>
        <v/>
      </c>
      <c r="Y457" s="69" t="str">
        <f t="shared" si="14"/>
        <v/>
      </c>
      <c r="Z457" s="11"/>
      <c r="AG457" s="59"/>
    </row>
    <row r="458">
      <c r="A458" s="8"/>
      <c r="B458" s="56" t="str">
        <f t="shared" si="2"/>
        <v/>
      </c>
      <c r="C458" s="105"/>
      <c r="D458" s="10"/>
      <c r="E458" s="59" t="str">
        <f t="array" ref="E458">IF(COUNTA(C458:C1644)=0,"",SUM((COUNTIF(C$4:C458,Upgrades!$B$3:$B$13)-COUNTIF(C$4:C458,"Sell_"&amp;Upgrades!$B$3:$B$13))*Upgrades!$D$3:$D$13))</f>
        <v/>
      </c>
      <c r="F458" s="66" t="str">
        <f>IFERROR(__xludf.DUMMYFUNCTION("IF(COUNTA(C458:C1644)=0,"""",IF(REGEXMATCH(INDEX(FILTER(C$4:C458,C$4:C458&lt;&gt;""""),ROWS(FILTER(C$4:C458,C$4:C458&lt;&gt;""""))),""^Sell_""),INDEX(FILTER(F$4:F457,C$4:C457&lt;&gt;""""),ROWS(FILTER(C$4:C457,C$4:C457&lt;&gt;""""))),$AC$5+E458))"),"")</f>
        <v/>
      </c>
      <c r="G458" s="10" t="str">
        <f>IFERROR(__xludf.DUMMYFUNCTION("IF(COUNTA(C458:C1644)=0,"""",IF(C458="""",0,IF(REGEXMATCH(C458,""^Sell_""),-ROUNDDOWN(ROUNDUP(INDEX(Upgrades!$C$3:$C$13,MATCH(SUBSTITUTE(C458,""Sell_"",""""),Upgrades!$B$3:$B$13,0))*1.15^(COUNTIF(C$4:C457,SUBSTITUTE(C458,""Sell_"",""""))-COUNTIF(C$4:C457,"&amp;"""Sell_""&amp;SUBSTITUTE(C458,""Sell_"",""""))))/2),ROUNDUP(INDEX(Upgrades!$C$3:$C$13,MATCH(C458,Upgrades!$B$3:$B$13,0))*1.15^(COUNTIF(C$4:C457,C458)-COUNTIF(C$4:C457,""Sell_""&amp;C458))))))"),"")</f>
        <v/>
      </c>
      <c r="H458" s="10" t="str">
        <f t="shared" si="3"/>
        <v/>
      </c>
      <c r="I458" s="68" t="str">
        <f t="shared" si="4"/>
        <v/>
      </c>
      <c r="J458" s="59" t="str">
        <f t="shared" si="5"/>
        <v/>
      </c>
      <c r="K458" s="69" t="str">
        <f t="shared" si="6"/>
        <v/>
      </c>
      <c r="L458" s="60" t="str">
        <f t="shared" si="7"/>
        <v/>
      </c>
      <c r="M458" s="61" t="str">
        <f>IFERROR(__xludf.DUMMYFUNCTION("IFS(AND(COUNTA(C458:C1644)=0,COUNTA(Q458:Q1644)=0),"""",OR(AND(K458&gt;=1000000000,OR(Y458&gt;=1000000000,COUNTA(Q458:Q1644)=0)),OR(Y458&gt;=1000000000,AND(COUNTA(C458:C1644)=0,P$3=TRUE))),
ROUNDDOWN((AB$1-AC$1)*MAX(INDEX(T$4:T1644,MATCH(LARGE(FILTER(Y$4:Y1644,Y$4"&amp;":Y1644&lt;1000000000),1),Y$4:Y1644)),INDEX(F$4:F1644,MATCH(LARGE(FILTER(K$4:K1644,K$4:K1644&lt;1000000000),1),K$4:K1644)))),AND(K458&lt;1000000000,COUNTA(C458:C1644)&gt;0,P$3=FALSE),
ROUNDDOWN(INDEX(Y$4:Y1644,MATCH(LARGE(FILTER(W$4:W1644,W$4:W1644&lt;=I458),1),W$4:W1644"&amp;"))+(I458-LARGE(FILTER(W$4:W1644,W$4:W1644&lt;=I458),1))*INDEX(T$4:T1644,MATCH(LARGE(FILTER(W$4:W1644,W$4:W1644&lt;=I458),1),W$4:W1644))-K458),1,
ROUNDDOWN(Y458-INDEX(K$4:K1644,MATCH(LARGE(FILTER(I$4:I1644,I$4:I1644&lt;=W458),1),I$4:I1644))-(W458-LARGE(FILTER(I$4:I"&amp;"1644,I$4:I1644&lt;=W458),1))*INDEX(F$4:F1644,MATCH(LARGE(FILTER(I$4:I1644,I$4:I1644&lt;=W458),1),I$4:I1644))))"),"")</f>
        <v/>
      </c>
      <c r="N458" s="60" t="str">
        <f t="shared" si="8"/>
        <v/>
      </c>
      <c r="O458" s="61" t="str">
        <f t="shared" si="9"/>
        <v/>
      </c>
      <c r="P458" s="56" t="str">
        <f t="shared" si="10"/>
        <v/>
      </c>
      <c r="Q458" s="105"/>
      <c r="R458" s="10"/>
      <c r="S458" s="59" t="str">
        <f t="array" ref="S458">IF(COUNTA(Q458:Q1644)=0,"",SUM((COUNTIF(Q$4:Q458,Upgrades!$B$3:$B$13)-COUNTIF(Q$4:Q458,"Sell_"&amp;Upgrades!$B$3:$B$13))*Upgrades!$D$3:$D$13))</f>
        <v/>
      </c>
      <c r="T458" s="66" t="str">
        <f>IFERROR(__xludf.DUMMYFUNCTION("IF(COUNTA(Q458:Q1644)=0,"""",IF(REGEXMATCH(INDEX(FILTER(Q$4:Q458,Q$4:Q458&lt;&gt;""""),ROWS(FILTER(Q$4:Q458,Q$4:Q458&lt;&gt;""""))),""^Sell_""),INDEX(FILTER(T$4:T457,Q$4:Q457&lt;&gt;""""),ROWS(FILTER(Q$4:Q457,Q$4:Q457&lt;&gt;""""))),$AD$5+S458))"),"")</f>
        <v/>
      </c>
      <c r="U458" s="10" t="str">
        <f>IFERROR(__xludf.DUMMYFUNCTION("IF(COUNTA(Q458:Q1644)=0,"""",IF(Q458="""",0,IF(REGEXMATCH(Q458,""^Sell_""),-ROUNDDOWN(ROUNDUP(INDEX(Upgrades!$C$3:$C$13,MATCH(SUBSTITUTE(Q458,""Sell_"",""""),Upgrades!$B$3:$B$13,0))*1.15^(COUNTIF(Q$4:Q457,SUBSTITUTE(Q458,""Sell_"",""""))-COUNTIF(Q$4:Q457,"&amp;"""Sell_""&amp;SUBSTITUTE(Q458,""Sell_"",""""))))/2),ROUNDUP(INDEX(Upgrades!$C$3:$C$13,MATCH(Q458,Upgrades!$B$3:$B$13,0))*1.15^(COUNTIF(Q$4:Q457,Q458)-COUNTIF(Q$4:Q457,""Sell_""&amp;Q458))))))"),"")</f>
        <v/>
      </c>
      <c r="V458" s="10" t="str">
        <f t="shared" si="11"/>
        <v/>
      </c>
      <c r="W458" s="68" t="str">
        <f t="shared" si="12"/>
        <v/>
      </c>
      <c r="X458" s="59" t="str">
        <f t="shared" si="13"/>
        <v/>
      </c>
      <c r="Y458" s="69" t="str">
        <f t="shared" si="14"/>
        <v/>
      </c>
      <c r="Z458" s="11"/>
      <c r="AG458" s="59"/>
    </row>
    <row r="459">
      <c r="A459" s="8"/>
      <c r="B459" s="56" t="str">
        <f t="shared" si="2"/>
        <v/>
      </c>
      <c r="C459" s="105"/>
      <c r="D459" s="10"/>
      <c r="E459" s="59" t="str">
        <f t="array" ref="E459">IF(COUNTA(C459:C1644)=0,"",SUM((COUNTIF(C$4:C459,Upgrades!$B$3:$B$13)-COUNTIF(C$4:C459,"Sell_"&amp;Upgrades!$B$3:$B$13))*Upgrades!$D$3:$D$13))</f>
        <v/>
      </c>
      <c r="F459" s="66" t="str">
        <f>IFERROR(__xludf.DUMMYFUNCTION("IF(COUNTA(C459:C1644)=0,"""",IF(REGEXMATCH(INDEX(FILTER(C$4:C459,C$4:C459&lt;&gt;""""),ROWS(FILTER(C$4:C459,C$4:C459&lt;&gt;""""))),""^Sell_""),INDEX(FILTER(F$4:F458,C$4:C458&lt;&gt;""""),ROWS(FILTER(C$4:C458,C$4:C458&lt;&gt;""""))),$AC$5+E459))"),"")</f>
        <v/>
      </c>
      <c r="G459" s="10" t="str">
        <f>IFERROR(__xludf.DUMMYFUNCTION("IF(COUNTA(C459:C1644)=0,"""",IF(C459="""",0,IF(REGEXMATCH(C459,""^Sell_""),-ROUNDDOWN(ROUNDUP(INDEX(Upgrades!$C$3:$C$13,MATCH(SUBSTITUTE(C459,""Sell_"",""""),Upgrades!$B$3:$B$13,0))*1.15^(COUNTIF(C$4:C458,SUBSTITUTE(C459,""Sell_"",""""))-COUNTIF(C$4:C458,"&amp;"""Sell_""&amp;SUBSTITUTE(C459,""Sell_"",""""))))/2),ROUNDUP(INDEX(Upgrades!$C$3:$C$13,MATCH(C459,Upgrades!$B$3:$B$13,0))*1.15^(COUNTIF(C$4:C458,C459)-COUNTIF(C$4:C458,""Sell_""&amp;C459))))))"),"")</f>
        <v/>
      </c>
      <c r="H459" s="10" t="str">
        <f t="shared" si="3"/>
        <v/>
      </c>
      <c r="I459" s="68" t="str">
        <f t="shared" si="4"/>
        <v/>
      </c>
      <c r="J459" s="59" t="str">
        <f t="shared" si="5"/>
        <v/>
      </c>
      <c r="K459" s="69" t="str">
        <f t="shared" si="6"/>
        <v/>
      </c>
      <c r="L459" s="60" t="str">
        <f t="shared" si="7"/>
        <v/>
      </c>
      <c r="M459" s="61" t="str">
        <f>IFERROR(__xludf.DUMMYFUNCTION("IFS(AND(COUNTA(C459:C1644)=0,COUNTA(Q459:Q1644)=0),"""",OR(AND(K459&gt;=1000000000,OR(Y459&gt;=1000000000,COUNTA(Q459:Q1644)=0)),OR(Y459&gt;=1000000000,AND(COUNTA(C459:C1644)=0,P$3=TRUE))),
ROUNDDOWN((AB$1-AC$1)*MAX(INDEX(T$4:T1644,MATCH(LARGE(FILTER(Y$4:Y1644,Y$4"&amp;":Y1644&lt;1000000000),1),Y$4:Y1644)),INDEX(F$4:F1644,MATCH(LARGE(FILTER(K$4:K1644,K$4:K1644&lt;1000000000),1),K$4:K1644)))),AND(K459&lt;1000000000,COUNTA(C459:C1644)&gt;0,P$3=FALSE),
ROUNDDOWN(INDEX(Y$4:Y1644,MATCH(LARGE(FILTER(W$4:W1644,W$4:W1644&lt;=I459),1),W$4:W1644"&amp;"))+(I459-LARGE(FILTER(W$4:W1644,W$4:W1644&lt;=I459),1))*INDEX(T$4:T1644,MATCH(LARGE(FILTER(W$4:W1644,W$4:W1644&lt;=I459),1),W$4:W1644))-K459),1,
ROUNDDOWN(Y459-INDEX(K$4:K1644,MATCH(LARGE(FILTER(I$4:I1644,I$4:I1644&lt;=W459),1),I$4:I1644))-(W459-LARGE(FILTER(I$4:I"&amp;"1644,I$4:I1644&lt;=W459),1))*INDEX(F$4:F1644,MATCH(LARGE(FILTER(I$4:I1644,I$4:I1644&lt;=W459),1),I$4:I1644))))"),"")</f>
        <v/>
      </c>
      <c r="N459" s="60" t="str">
        <f t="shared" si="8"/>
        <v/>
      </c>
      <c r="O459" s="61" t="str">
        <f t="shared" si="9"/>
        <v/>
      </c>
      <c r="P459" s="56" t="str">
        <f t="shared" si="10"/>
        <v/>
      </c>
      <c r="Q459" s="105"/>
      <c r="R459" s="10"/>
      <c r="S459" s="59" t="str">
        <f t="array" ref="S459">IF(COUNTA(Q459:Q1644)=0,"",SUM((COUNTIF(Q$4:Q459,Upgrades!$B$3:$B$13)-COUNTIF(Q$4:Q459,"Sell_"&amp;Upgrades!$B$3:$B$13))*Upgrades!$D$3:$D$13))</f>
        <v/>
      </c>
      <c r="T459" s="66" t="str">
        <f>IFERROR(__xludf.DUMMYFUNCTION("IF(COUNTA(Q459:Q1644)=0,"""",IF(REGEXMATCH(INDEX(FILTER(Q$4:Q459,Q$4:Q459&lt;&gt;""""),ROWS(FILTER(Q$4:Q459,Q$4:Q459&lt;&gt;""""))),""^Sell_""),INDEX(FILTER(T$4:T458,Q$4:Q458&lt;&gt;""""),ROWS(FILTER(Q$4:Q458,Q$4:Q458&lt;&gt;""""))),$AD$5+S459))"),"")</f>
        <v/>
      </c>
      <c r="U459" s="10" t="str">
        <f>IFERROR(__xludf.DUMMYFUNCTION("IF(COUNTA(Q459:Q1644)=0,"""",IF(Q459="""",0,IF(REGEXMATCH(Q459,""^Sell_""),-ROUNDDOWN(ROUNDUP(INDEX(Upgrades!$C$3:$C$13,MATCH(SUBSTITUTE(Q459,""Sell_"",""""),Upgrades!$B$3:$B$13,0))*1.15^(COUNTIF(Q$4:Q458,SUBSTITUTE(Q459,""Sell_"",""""))-COUNTIF(Q$4:Q458,"&amp;"""Sell_""&amp;SUBSTITUTE(Q459,""Sell_"",""""))))/2),ROUNDUP(INDEX(Upgrades!$C$3:$C$13,MATCH(Q459,Upgrades!$B$3:$B$13,0))*1.15^(COUNTIF(Q$4:Q458,Q459)-COUNTIF(Q$4:Q458,""Sell_""&amp;Q459))))))"),"")</f>
        <v/>
      </c>
      <c r="V459" s="10" t="str">
        <f t="shared" si="11"/>
        <v/>
      </c>
      <c r="W459" s="68" t="str">
        <f t="shared" si="12"/>
        <v/>
      </c>
      <c r="X459" s="59" t="str">
        <f t="shared" si="13"/>
        <v/>
      </c>
      <c r="Y459" s="69" t="str">
        <f t="shared" si="14"/>
        <v/>
      </c>
      <c r="Z459" s="11"/>
      <c r="AG459" s="59"/>
    </row>
    <row r="460">
      <c r="A460" s="8"/>
      <c r="B460" s="56" t="str">
        <f t="shared" si="2"/>
        <v/>
      </c>
      <c r="C460" s="105"/>
      <c r="D460" s="10"/>
      <c r="E460" s="59" t="str">
        <f t="array" ref="E460">IF(COUNTA(C460:C1644)=0,"",SUM((COUNTIF(C$4:C460,Upgrades!$B$3:$B$13)-COUNTIF(C$4:C460,"Sell_"&amp;Upgrades!$B$3:$B$13))*Upgrades!$D$3:$D$13))</f>
        <v/>
      </c>
      <c r="F460" s="66" t="str">
        <f>IFERROR(__xludf.DUMMYFUNCTION("IF(COUNTA(C460:C1644)=0,"""",IF(REGEXMATCH(INDEX(FILTER(C$4:C460,C$4:C460&lt;&gt;""""),ROWS(FILTER(C$4:C460,C$4:C460&lt;&gt;""""))),""^Sell_""),INDEX(FILTER(F$4:F459,C$4:C459&lt;&gt;""""),ROWS(FILTER(C$4:C459,C$4:C459&lt;&gt;""""))),$AC$5+E460))"),"")</f>
        <v/>
      </c>
      <c r="G460" s="10" t="str">
        <f>IFERROR(__xludf.DUMMYFUNCTION("IF(COUNTA(C460:C1644)=0,"""",IF(C460="""",0,IF(REGEXMATCH(C460,""^Sell_""),-ROUNDDOWN(ROUNDUP(INDEX(Upgrades!$C$3:$C$13,MATCH(SUBSTITUTE(C460,""Sell_"",""""),Upgrades!$B$3:$B$13,0))*1.15^(COUNTIF(C$4:C459,SUBSTITUTE(C460,""Sell_"",""""))-COUNTIF(C$4:C459,"&amp;"""Sell_""&amp;SUBSTITUTE(C460,""Sell_"",""""))))/2),ROUNDUP(INDEX(Upgrades!$C$3:$C$13,MATCH(C460,Upgrades!$B$3:$B$13,0))*1.15^(COUNTIF(C$4:C459,C460)-COUNTIF(C$4:C459,""Sell_""&amp;C460))))))"),"")</f>
        <v/>
      </c>
      <c r="H460" s="10" t="str">
        <f t="shared" si="3"/>
        <v/>
      </c>
      <c r="I460" s="68" t="str">
        <f t="shared" si="4"/>
        <v/>
      </c>
      <c r="J460" s="59" t="str">
        <f t="shared" si="5"/>
        <v/>
      </c>
      <c r="K460" s="69" t="str">
        <f t="shared" si="6"/>
        <v/>
      </c>
      <c r="L460" s="60" t="str">
        <f t="shared" si="7"/>
        <v/>
      </c>
      <c r="M460" s="61" t="str">
        <f>IFERROR(__xludf.DUMMYFUNCTION("IFS(AND(COUNTA(C460:C1644)=0,COUNTA(Q460:Q1644)=0),"""",OR(AND(K460&gt;=1000000000,OR(Y460&gt;=1000000000,COUNTA(Q460:Q1644)=0)),OR(Y460&gt;=1000000000,AND(COUNTA(C460:C1644)=0,P$3=TRUE))),
ROUNDDOWN((AB$1-AC$1)*MAX(INDEX(T$4:T1644,MATCH(LARGE(FILTER(Y$4:Y1644,Y$4"&amp;":Y1644&lt;1000000000),1),Y$4:Y1644)),INDEX(F$4:F1644,MATCH(LARGE(FILTER(K$4:K1644,K$4:K1644&lt;1000000000),1),K$4:K1644)))),AND(K460&lt;1000000000,COUNTA(C460:C1644)&gt;0,P$3=FALSE),
ROUNDDOWN(INDEX(Y$4:Y1644,MATCH(LARGE(FILTER(W$4:W1644,W$4:W1644&lt;=I460),1),W$4:W1644"&amp;"))+(I460-LARGE(FILTER(W$4:W1644,W$4:W1644&lt;=I460),1))*INDEX(T$4:T1644,MATCH(LARGE(FILTER(W$4:W1644,W$4:W1644&lt;=I460),1),W$4:W1644))-K460),1,
ROUNDDOWN(Y460-INDEX(K$4:K1644,MATCH(LARGE(FILTER(I$4:I1644,I$4:I1644&lt;=W460),1),I$4:I1644))-(W460-LARGE(FILTER(I$4:I"&amp;"1644,I$4:I1644&lt;=W460),1))*INDEX(F$4:F1644,MATCH(LARGE(FILTER(I$4:I1644,I$4:I1644&lt;=W460),1),I$4:I1644))))"),"")</f>
        <v/>
      </c>
      <c r="N460" s="60" t="str">
        <f t="shared" si="8"/>
        <v/>
      </c>
      <c r="O460" s="61" t="str">
        <f t="shared" si="9"/>
        <v/>
      </c>
      <c r="P460" s="56" t="str">
        <f t="shared" si="10"/>
        <v/>
      </c>
      <c r="Q460" s="105"/>
      <c r="R460" s="10"/>
      <c r="S460" s="59" t="str">
        <f t="array" ref="S460">IF(COUNTA(Q460:Q1644)=0,"",SUM((COUNTIF(Q$4:Q460,Upgrades!$B$3:$B$13)-COUNTIF(Q$4:Q460,"Sell_"&amp;Upgrades!$B$3:$B$13))*Upgrades!$D$3:$D$13))</f>
        <v/>
      </c>
      <c r="T460" s="66" t="str">
        <f>IFERROR(__xludf.DUMMYFUNCTION("IF(COUNTA(Q460:Q1644)=0,"""",IF(REGEXMATCH(INDEX(FILTER(Q$4:Q460,Q$4:Q460&lt;&gt;""""),ROWS(FILTER(Q$4:Q460,Q$4:Q460&lt;&gt;""""))),""^Sell_""),INDEX(FILTER(T$4:T459,Q$4:Q459&lt;&gt;""""),ROWS(FILTER(Q$4:Q459,Q$4:Q459&lt;&gt;""""))),$AD$5+S460))"),"")</f>
        <v/>
      </c>
      <c r="U460" s="10" t="str">
        <f>IFERROR(__xludf.DUMMYFUNCTION("IF(COUNTA(Q460:Q1644)=0,"""",IF(Q460="""",0,IF(REGEXMATCH(Q460,""^Sell_""),-ROUNDDOWN(ROUNDUP(INDEX(Upgrades!$C$3:$C$13,MATCH(SUBSTITUTE(Q460,""Sell_"",""""),Upgrades!$B$3:$B$13,0))*1.15^(COUNTIF(Q$4:Q459,SUBSTITUTE(Q460,""Sell_"",""""))-COUNTIF(Q$4:Q459,"&amp;"""Sell_""&amp;SUBSTITUTE(Q460,""Sell_"",""""))))/2),ROUNDUP(INDEX(Upgrades!$C$3:$C$13,MATCH(Q460,Upgrades!$B$3:$B$13,0))*1.15^(COUNTIF(Q$4:Q459,Q460)-COUNTIF(Q$4:Q459,""Sell_""&amp;Q460))))))"),"")</f>
        <v/>
      </c>
      <c r="V460" s="10" t="str">
        <f t="shared" si="11"/>
        <v/>
      </c>
      <c r="W460" s="68" t="str">
        <f t="shared" si="12"/>
        <v/>
      </c>
      <c r="X460" s="59" t="str">
        <f t="shared" si="13"/>
        <v/>
      </c>
      <c r="Y460" s="69" t="str">
        <f t="shared" si="14"/>
        <v/>
      </c>
      <c r="Z460" s="11"/>
      <c r="AG460" s="59"/>
    </row>
    <row r="461">
      <c r="A461" s="8"/>
      <c r="B461" s="56" t="str">
        <f t="shared" si="2"/>
        <v/>
      </c>
      <c r="C461" s="105"/>
      <c r="D461" s="10"/>
      <c r="E461" s="59" t="str">
        <f t="array" ref="E461">IF(COUNTA(C461:C1644)=0,"",SUM((COUNTIF(C$4:C461,Upgrades!$B$3:$B$13)-COUNTIF(C$4:C461,"Sell_"&amp;Upgrades!$B$3:$B$13))*Upgrades!$D$3:$D$13))</f>
        <v/>
      </c>
      <c r="F461" s="66" t="str">
        <f>IFERROR(__xludf.DUMMYFUNCTION("IF(COUNTA(C461:C1644)=0,"""",IF(REGEXMATCH(INDEX(FILTER(C$4:C461,C$4:C461&lt;&gt;""""),ROWS(FILTER(C$4:C461,C$4:C461&lt;&gt;""""))),""^Sell_""),INDEX(FILTER(F$4:F460,C$4:C460&lt;&gt;""""),ROWS(FILTER(C$4:C460,C$4:C460&lt;&gt;""""))),$AC$5+E461))"),"")</f>
        <v/>
      </c>
      <c r="G461" s="10" t="str">
        <f>IFERROR(__xludf.DUMMYFUNCTION("IF(COUNTA(C461:C1644)=0,"""",IF(C461="""",0,IF(REGEXMATCH(C461,""^Sell_""),-ROUNDDOWN(ROUNDUP(INDEX(Upgrades!$C$3:$C$13,MATCH(SUBSTITUTE(C461,""Sell_"",""""),Upgrades!$B$3:$B$13,0))*1.15^(COUNTIF(C$4:C460,SUBSTITUTE(C461,""Sell_"",""""))-COUNTIF(C$4:C460,"&amp;"""Sell_""&amp;SUBSTITUTE(C461,""Sell_"",""""))))/2),ROUNDUP(INDEX(Upgrades!$C$3:$C$13,MATCH(C461,Upgrades!$B$3:$B$13,0))*1.15^(COUNTIF(C$4:C460,C461)-COUNTIF(C$4:C460,""Sell_""&amp;C461))))))"),"")</f>
        <v/>
      </c>
      <c r="H461" s="10" t="str">
        <f t="shared" si="3"/>
        <v/>
      </c>
      <c r="I461" s="68" t="str">
        <f t="shared" si="4"/>
        <v/>
      </c>
      <c r="J461" s="59" t="str">
        <f t="shared" si="5"/>
        <v/>
      </c>
      <c r="K461" s="69" t="str">
        <f t="shared" si="6"/>
        <v/>
      </c>
      <c r="L461" s="60" t="str">
        <f t="shared" si="7"/>
        <v/>
      </c>
      <c r="M461" s="61" t="str">
        <f>IFERROR(__xludf.DUMMYFUNCTION("IFS(AND(COUNTA(C461:C1644)=0,COUNTA(Q461:Q1644)=0),"""",OR(AND(K461&gt;=1000000000,OR(Y461&gt;=1000000000,COUNTA(Q461:Q1644)=0)),OR(Y461&gt;=1000000000,AND(COUNTA(C461:C1644)=0,P$3=TRUE))),
ROUNDDOWN((AB$1-AC$1)*MAX(INDEX(T$4:T1644,MATCH(LARGE(FILTER(Y$4:Y1644,Y$4"&amp;":Y1644&lt;1000000000),1),Y$4:Y1644)),INDEX(F$4:F1644,MATCH(LARGE(FILTER(K$4:K1644,K$4:K1644&lt;1000000000),1),K$4:K1644)))),AND(K461&lt;1000000000,COUNTA(C461:C1644)&gt;0,P$3=FALSE),
ROUNDDOWN(INDEX(Y$4:Y1644,MATCH(LARGE(FILTER(W$4:W1644,W$4:W1644&lt;=I461),1),W$4:W1644"&amp;"))+(I461-LARGE(FILTER(W$4:W1644,W$4:W1644&lt;=I461),1))*INDEX(T$4:T1644,MATCH(LARGE(FILTER(W$4:W1644,W$4:W1644&lt;=I461),1),W$4:W1644))-K461),1,
ROUNDDOWN(Y461-INDEX(K$4:K1644,MATCH(LARGE(FILTER(I$4:I1644,I$4:I1644&lt;=W461),1),I$4:I1644))-(W461-LARGE(FILTER(I$4:I"&amp;"1644,I$4:I1644&lt;=W461),1))*INDEX(F$4:F1644,MATCH(LARGE(FILTER(I$4:I1644,I$4:I1644&lt;=W461),1),I$4:I1644))))"),"")</f>
        <v/>
      </c>
      <c r="N461" s="60" t="str">
        <f t="shared" si="8"/>
        <v/>
      </c>
      <c r="O461" s="61" t="str">
        <f t="shared" si="9"/>
        <v/>
      </c>
      <c r="P461" s="56" t="str">
        <f t="shared" si="10"/>
        <v/>
      </c>
      <c r="Q461" s="105"/>
      <c r="R461" s="10"/>
      <c r="S461" s="59" t="str">
        <f t="array" ref="S461">IF(COUNTA(Q461:Q1644)=0,"",SUM((COUNTIF(Q$4:Q461,Upgrades!$B$3:$B$13)-COUNTIF(Q$4:Q461,"Sell_"&amp;Upgrades!$B$3:$B$13))*Upgrades!$D$3:$D$13))</f>
        <v/>
      </c>
      <c r="T461" s="66" t="str">
        <f>IFERROR(__xludf.DUMMYFUNCTION("IF(COUNTA(Q461:Q1644)=0,"""",IF(REGEXMATCH(INDEX(FILTER(Q$4:Q461,Q$4:Q461&lt;&gt;""""),ROWS(FILTER(Q$4:Q461,Q$4:Q461&lt;&gt;""""))),""^Sell_""),INDEX(FILTER(T$4:T460,Q$4:Q460&lt;&gt;""""),ROWS(FILTER(Q$4:Q460,Q$4:Q460&lt;&gt;""""))),$AD$5+S461))"),"")</f>
        <v/>
      </c>
      <c r="U461" s="10" t="str">
        <f>IFERROR(__xludf.DUMMYFUNCTION("IF(COUNTA(Q461:Q1644)=0,"""",IF(Q461="""",0,IF(REGEXMATCH(Q461,""^Sell_""),-ROUNDDOWN(ROUNDUP(INDEX(Upgrades!$C$3:$C$13,MATCH(SUBSTITUTE(Q461,""Sell_"",""""),Upgrades!$B$3:$B$13,0))*1.15^(COUNTIF(Q$4:Q460,SUBSTITUTE(Q461,""Sell_"",""""))-COUNTIF(Q$4:Q460,"&amp;"""Sell_""&amp;SUBSTITUTE(Q461,""Sell_"",""""))))/2),ROUNDUP(INDEX(Upgrades!$C$3:$C$13,MATCH(Q461,Upgrades!$B$3:$B$13,0))*1.15^(COUNTIF(Q$4:Q460,Q461)-COUNTIF(Q$4:Q460,""Sell_""&amp;Q461))))))"),"")</f>
        <v/>
      </c>
      <c r="V461" s="10" t="str">
        <f t="shared" si="11"/>
        <v/>
      </c>
      <c r="W461" s="68" t="str">
        <f t="shared" si="12"/>
        <v/>
      </c>
      <c r="X461" s="59" t="str">
        <f t="shared" si="13"/>
        <v/>
      </c>
      <c r="Y461" s="69" t="str">
        <f t="shared" si="14"/>
        <v/>
      </c>
      <c r="Z461" s="11"/>
      <c r="AG461" s="59"/>
    </row>
    <row r="462">
      <c r="A462" s="8"/>
      <c r="B462" s="56" t="str">
        <f t="shared" si="2"/>
        <v/>
      </c>
      <c r="C462" s="105"/>
      <c r="D462" s="10"/>
      <c r="E462" s="59" t="str">
        <f t="array" ref="E462">IF(COUNTA(C462:C1644)=0,"",SUM((COUNTIF(C$4:C462,Upgrades!$B$3:$B$13)-COUNTIF(C$4:C462,"Sell_"&amp;Upgrades!$B$3:$B$13))*Upgrades!$D$3:$D$13))</f>
        <v/>
      </c>
      <c r="F462" s="66" t="str">
        <f>IFERROR(__xludf.DUMMYFUNCTION("IF(COUNTA(C462:C1644)=0,"""",IF(REGEXMATCH(INDEX(FILTER(C$4:C462,C$4:C462&lt;&gt;""""),ROWS(FILTER(C$4:C462,C$4:C462&lt;&gt;""""))),""^Sell_""),INDEX(FILTER(F$4:F461,C$4:C461&lt;&gt;""""),ROWS(FILTER(C$4:C461,C$4:C461&lt;&gt;""""))),$AC$5+E462))"),"")</f>
        <v/>
      </c>
      <c r="G462" s="10" t="str">
        <f>IFERROR(__xludf.DUMMYFUNCTION("IF(COUNTA(C462:C1644)=0,"""",IF(C462="""",0,IF(REGEXMATCH(C462,""^Sell_""),-ROUNDDOWN(ROUNDUP(INDEX(Upgrades!$C$3:$C$13,MATCH(SUBSTITUTE(C462,""Sell_"",""""),Upgrades!$B$3:$B$13,0))*1.15^(COUNTIF(C$4:C461,SUBSTITUTE(C462,""Sell_"",""""))-COUNTIF(C$4:C461,"&amp;"""Sell_""&amp;SUBSTITUTE(C462,""Sell_"",""""))))/2),ROUNDUP(INDEX(Upgrades!$C$3:$C$13,MATCH(C462,Upgrades!$B$3:$B$13,0))*1.15^(COUNTIF(C$4:C461,C462)-COUNTIF(C$4:C461,""Sell_""&amp;C462))))))"),"")</f>
        <v/>
      </c>
      <c r="H462" s="10" t="str">
        <f t="shared" si="3"/>
        <v/>
      </c>
      <c r="I462" s="68" t="str">
        <f t="shared" si="4"/>
        <v/>
      </c>
      <c r="J462" s="59" t="str">
        <f t="shared" si="5"/>
        <v/>
      </c>
      <c r="K462" s="69" t="str">
        <f t="shared" si="6"/>
        <v/>
      </c>
      <c r="L462" s="60" t="str">
        <f t="shared" si="7"/>
        <v/>
      </c>
      <c r="M462" s="61" t="str">
        <f>IFERROR(__xludf.DUMMYFUNCTION("IFS(AND(COUNTA(C462:C1644)=0,COUNTA(Q462:Q1644)=0),"""",OR(AND(K462&gt;=1000000000,OR(Y462&gt;=1000000000,COUNTA(Q462:Q1644)=0)),OR(Y462&gt;=1000000000,AND(COUNTA(C462:C1644)=0,P$3=TRUE))),
ROUNDDOWN((AB$1-AC$1)*MAX(INDEX(T$4:T1644,MATCH(LARGE(FILTER(Y$4:Y1644,Y$4"&amp;":Y1644&lt;1000000000),1),Y$4:Y1644)),INDEX(F$4:F1644,MATCH(LARGE(FILTER(K$4:K1644,K$4:K1644&lt;1000000000),1),K$4:K1644)))),AND(K462&lt;1000000000,COUNTA(C462:C1644)&gt;0,P$3=FALSE),
ROUNDDOWN(INDEX(Y$4:Y1644,MATCH(LARGE(FILTER(W$4:W1644,W$4:W1644&lt;=I462),1),W$4:W1644"&amp;"))+(I462-LARGE(FILTER(W$4:W1644,W$4:W1644&lt;=I462),1))*INDEX(T$4:T1644,MATCH(LARGE(FILTER(W$4:W1644,W$4:W1644&lt;=I462),1),W$4:W1644))-K462),1,
ROUNDDOWN(Y462-INDEX(K$4:K1644,MATCH(LARGE(FILTER(I$4:I1644,I$4:I1644&lt;=W462),1),I$4:I1644))-(W462-LARGE(FILTER(I$4:I"&amp;"1644,I$4:I1644&lt;=W462),1))*INDEX(F$4:F1644,MATCH(LARGE(FILTER(I$4:I1644,I$4:I1644&lt;=W462),1),I$4:I1644))))"),"")</f>
        <v/>
      </c>
      <c r="N462" s="60" t="str">
        <f t="shared" si="8"/>
        <v/>
      </c>
      <c r="O462" s="61" t="str">
        <f t="shared" si="9"/>
        <v/>
      </c>
      <c r="P462" s="56" t="str">
        <f t="shared" si="10"/>
        <v/>
      </c>
      <c r="Q462" s="105"/>
      <c r="R462" s="10"/>
      <c r="S462" s="59" t="str">
        <f t="array" ref="S462">IF(COUNTA(Q462:Q1644)=0,"",SUM((COUNTIF(Q$4:Q462,Upgrades!$B$3:$B$13)-COUNTIF(Q$4:Q462,"Sell_"&amp;Upgrades!$B$3:$B$13))*Upgrades!$D$3:$D$13))</f>
        <v/>
      </c>
      <c r="T462" s="66" t="str">
        <f>IFERROR(__xludf.DUMMYFUNCTION("IF(COUNTA(Q462:Q1644)=0,"""",IF(REGEXMATCH(INDEX(FILTER(Q$4:Q462,Q$4:Q462&lt;&gt;""""),ROWS(FILTER(Q$4:Q462,Q$4:Q462&lt;&gt;""""))),""^Sell_""),INDEX(FILTER(T$4:T461,Q$4:Q461&lt;&gt;""""),ROWS(FILTER(Q$4:Q461,Q$4:Q461&lt;&gt;""""))),$AD$5+S462))"),"")</f>
        <v/>
      </c>
      <c r="U462" s="10" t="str">
        <f>IFERROR(__xludf.DUMMYFUNCTION("IF(COUNTA(Q462:Q1644)=0,"""",IF(Q462="""",0,IF(REGEXMATCH(Q462,""^Sell_""),-ROUNDDOWN(ROUNDUP(INDEX(Upgrades!$C$3:$C$13,MATCH(SUBSTITUTE(Q462,""Sell_"",""""),Upgrades!$B$3:$B$13,0))*1.15^(COUNTIF(Q$4:Q461,SUBSTITUTE(Q462,""Sell_"",""""))-COUNTIF(Q$4:Q461,"&amp;"""Sell_""&amp;SUBSTITUTE(Q462,""Sell_"",""""))))/2),ROUNDUP(INDEX(Upgrades!$C$3:$C$13,MATCH(Q462,Upgrades!$B$3:$B$13,0))*1.15^(COUNTIF(Q$4:Q461,Q462)-COUNTIF(Q$4:Q461,""Sell_""&amp;Q462))))))"),"")</f>
        <v/>
      </c>
      <c r="V462" s="10" t="str">
        <f t="shared" si="11"/>
        <v/>
      </c>
      <c r="W462" s="68" t="str">
        <f t="shared" si="12"/>
        <v/>
      </c>
      <c r="X462" s="59" t="str">
        <f t="shared" si="13"/>
        <v/>
      </c>
      <c r="Y462" s="69" t="str">
        <f t="shared" si="14"/>
        <v/>
      </c>
      <c r="Z462" s="11"/>
      <c r="AG462" s="59"/>
    </row>
    <row r="463">
      <c r="A463" s="8"/>
      <c r="B463" s="56" t="str">
        <f t="shared" si="2"/>
        <v/>
      </c>
      <c r="C463" s="105"/>
      <c r="D463" s="10"/>
      <c r="E463" s="59" t="str">
        <f t="array" ref="E463">IF(COUNTA(C463:C1644)=0,"",SUM((COUNTIF(C$4:C463,Upgrades!$B$3:$B$13)-COUNTIF(C$4:C463,"Sell_"&amp;Upgrades!$B$3:$B$13))*Upgrades!$D$3:$D$13))</f>
        <v/>
      </c>
      <c r="F463" s="66" t="str">
        <f>IFERROR(__xludf.DUMMYFUNCTION("IF(COUNTA(C463:C1644)=0,"""",IF(REGEXMATCH(INDEX(FILTER(C$4:C463,C$4:C463&lt;&gt;""""),ROWS(FILTER(C$4:C463,C$4:C463&lt;&gt;""""))),""^Sell_""),INDEX(FILTER(F$4:F462,C$4:C462&lt;&gt;""""),ROWS(FILTER(C$4:C462,C$4:C462&lt;&gt;""""))),$AC$5+E463))"),"")</f>
        <v/>
      </c>
      <c r="G463" s="10" t="str">
        <f>IFERROR(__xludf.DUMMYFUNCTION("IF(COUNTA(C463:C1644)=0,"""",IF(C463="""",0,IF(REGEXMATCH(C463,""^Sell_""),-ROUNDDOWN(ROUNDUP(INDEX(Upgrades!$C$3:$C$13,MATCH(SUBSTITUTE(C463,""Sell_"",""""),Upgrades!$B$3:$B$13,0))*1.15^(COUNTIF(C$4:C462,SUBSTITUTE(C463,""Sell_"",""""))-COUNTIF(C$4:C462,"&amp;"""Sell_""&amp;SUBSTITUTE(C463,""Sell_"",""""))))/2),ROUNDUP(INDEX(Upgrades!$C$3:$C$13,MATCH(C463,Upgrades!$B$3:$B$13,0))*1.15^(COUNTIF(C$4:C462,C463)-COUNTIF(C$4:C462,""Sell_""&amp;C463))))))"),"")</f>
        <v/>
      </c>
      <c r="H463" s="10" t="str">
        <f t="shared" si="3"/>
        <v/>
      </c>
      <c r="I463" s="68" t="str">
        <f t="shared" si="4"/>
        <v/>
      </c>
      <c r="J463" s="59" t="str">
        <f t="shared" si="5"/>
        <v/>
      </c>
      <c r="K463" s="69" t="str">
        <f t="shared" si="6"/>
        <v/>
      </c>
      <c r="L463" s="60" t="str">
        <f t="shared" si="7"/>
        <v/>
      </c>
      <c r="M463" s="61" t="str">
        <f>IFERROR(__xludf.DUMMYFUNCTION("IFS(AND(COUNTA(C463:C1644)=0,COUNTA(Q463:Q1644)=0),"""",OR(AND(K463&gt;=1000000000,OR(Y463&gt;=1000000000,COUNTA(Q463:Q1644)=0)),OR(Y463&gt;=1000000000,AND(COUNTA(C463:C1644)=0,P$3=TRUE))),
ROUNDDOWN((AB$1-AC$1)*MAX(INDEX(T$4:T1644,MATCH(LARGE(FILTER(Y$4:Y1644,Y$4"&amp;":Y1644&lt;1000000000),1),Y$4:Y1644)),INDEX(F$4:F1644,MATCH(LARGE(FILTER(K$4:K1644,K$4:K1644&lt;1000000000),1),K$4:K1644)))),AND(K463&lt;1000000000,COUNTA(C463:C1644)&gt;0,P$3=FALSE),
ROUNDDOWN(INDEX(Y$4:Y1644,MATCH(LARGE(FILTER(W$4:W1644,W$4:W1644&lt;=I463),1),W$4:W1644"&amp;"))+(I463-LARGE(FILTER(W$4:W1644,W$4:W1644&lt;=I463),1))*INDEX(T$4:T1644,MATCH(LARGE(FILTER(W$4:W1644,W$4:W1644&lt;=I463),1),W$4:W1644))-K463),1,
ROUNDDOWN(Y463-INDEX(K$4:K1644,MATCH(LARGE(FILTER(I$4:I1644,I$4:I1644&lt;=W463),1),I$4:I1644))-(W463-LARGE(FILTER(I$4:I"&amp;"1644,I$4:I1644&lt;=W463),1))*INDEX(F$4:F1644,MATCH(LARGE(FILTER(I$4:I1644,I$4:I1644&lt;=W463),1),I$4:I1644))))"),"")</f>
        <v/>
      </c>
      <c r="N463" s="60" t="str">
        <f t="shared" si="8"/>
        <v/>
      </c>
      <c r="O463" s="61" t="str">
        <f t="shared" si="9"/>
        <v/>
      </c>
      <c r="P463" s="56" t="str">
        <f t="shared" si="10"/>
        <v/>
      </c>
      <c r="Q463" s="105"/>
      <c r="R463" s="10"/>
      <c r="S463" s="59" t="str">
        <f t="array" ref="S463">IF(COUNTA(Q463:Q1644)=0,"",SUM((COUNTIF(Q$4:Q463,Upgrades!$B$3:$B$13)-COUNTIF(Q$4:Q463,"Sell_"&amp;Upgrades!$B$3:$B$13))*Upgrades!$D$3:$D$13))</f>
        <v/>
      </c>
      <c r="T463" s="66" t="str">
        <f>IFERROR(__xludf.DUMMYFUNCTION("IF(COUNTA(Q463:Q1644)=0,"""",IF(REGEXMATCH(INDEX(FILTER(Q$4:Q463,Q$4:Q463&lt;&gt;""""),ROWS(FILTER(Q$4:Q463,Q$4:Q463&lt;&gt;""""))),""^Sell_""),INDEX(FILTER(T$4:T462,Q$4:Q462&lt;&gt;""""),ROWS(FILTER(Q$4:Q462,Q$4:Q462&lt;&gt;""""))),$AD$5+S463))"),"")</f>
        <v/>
      </c>
      <c r="U463" s="10" t="str">
        <f>IFERROR(__xludf.DUMMYFUNCTION("IF(COUNTA(Q463:Q1644)=0,"""",IF(Q463="""",0,IF(REGEXMATCH(Q463,""^Sell_""),-ROUNDDOWN(ROUNDUP(INDEX(Upgrades!$C$3:$C$13,MATCH(SUBSTITUTE(Q463,""Sell_"",""""),Upgrades!$B$3:$B$13,0))*1.15^(COUNTIF(Q$4:Q462,SUBSTITUTE(Q463,""Sell_"",""""))-COUNTIF(Q$4:Q462,"&amp;"""Sell_""&amp;SUBSTITUTE(Q463,""Sell_"",""""))))/2),ROUNDUP(INDEX(Upgrades!$C$3:$C$13,MATCH(Q463,Upgrades!$B$3:$B$13,0))*1.15^(COUNTIF(Q$4:Q462,Q463)-COUNTIF(Q$4:Q462,""Sell_""&amp;Q463))))))"),"")</f>
        <v/>
      </c>
      <c r="V463" s="10" t="str">
        <f t="shared" si="11"/>
        <v/>
      </c>
      <c r="W463" s="68" t="str">
        <f t="shared" si="12"/>
        <v/>
      </c>
      <c r="X463" s="59" t="str">
        <f t="shared" si="13"/>
        <v/>
      </c>
      <c r="Y463" s="69" t="str">
        <f t="shared" si="14"/>
        <v/>
      </c>
      <c r="Z463" s="11"/>
      <c r="AG463" s="59"/>
    </row>
    <row r="464">
      <c r="A464" s="8"/>
      <c r="B464" s="56" t="str">
        <f t="shared" si="2"/>
        <v/>
      </c>
      <c r="C464" s="105"/>
      <c r="D464" s="10"/>
      <c r="E464" s="59" t="str">
        <f t="array" ref="E464">IF(COUNTA(C464:C1644)=0,"",SUM((COUNTIF(C$4:C464,Upgrades!$B$3:$B$13)-COUNTIF(C$4:C464,"Sell_"&amp;Upgrades!$B$3:$B$13))*Upgrades!$D$3:$D$13))</f>
        <v/>
      </c>
      <c r="F464" s="66" t="str">
        <f>IFERROR(__xludf.DUMMYFUNCTION("IF(COUNTA(C464:C1644)=0,"""",IF(REGEXMATCH(INDEX(FILTER(C$4:C464,C$4:C464&lt;&gt;""""),ROWS(FILTER(C$4:C464,C$4:C464&lt;&gt;""""))),""^Sell_""),INDEX(FILTER(F$4:F463,C$4:C463&lt;&gt;""""),ROWS(FILTER(C$4:C463,C$4:C463&lt;&gt;""""))),$AC$5+E464))"),"")</f>
        <v/>
      </c>
      <c r="G464" s="10" t="str">
        <f>IFERROR(__xludf.DUMMYFUNCTION("IF(COUNTA(C464:C1644)=0,"""",IF(C464="""",0,IF(REGEXMATCH(C464,""^Sell_""),-ROUNDDOWN(ROUNDUP(INDEX(Upgrades!$C$3:$C$13,MATCH(SUBSTITUTE(C464,""Sell_"",""""),Upgrades!$B$3:$B$13,0))*1.15^(COUNTIF(C$4:C463,SUBSTITUTE(C464,""Sell_"",""""))-COUNTIF(C$4:C463,"&amp;"""Sell_""&amp;SUBSTITUTE(C464,""Sell_"",""""))))/2),ROUNDUP(INDEX(Upgrades!$C$3:$C$13,MATCH(C464,Upgrades!$B$3:$B$13,0))*1.15^(COUNTIF(C$4:C463,C464)-COUNTIF(C$4:C463,""Sell_""&amp;C464))))))"),"")</f>
        <v/>
      </c>
      <c r="H464" s="10" t="str">
        <f t="shared" si="3"/>
        <v/>
      </c>
      <c r="I464" s="68" t="str">
        <f t="shared" si="4"/>
        <v/>
      </c>
      <c r="J464" s="59" t="str">
        <f t="shared" si="5"/>
        <v/>
      </c>
      <c r="K464" s="69" t="str">
        <f t="shared" si="6"/>
        <v/>
      </c>
      <c r="L464" s="60" t="str">
        <f t="shared" si="7"/>
        <v/>
      </c>
      <c r="M464" s="61" t="str">
        <f>IFERROR(__xludf.DUMMYFUNCTION("IFS(AND(COUNTA(C464:C1644)=0,COUNTA(Q464:Q1644)=0),"""",OR(AND(K464&gt;=1000000000,OR(Y464&gt;=1000000000,COUNTA(Q464:Q1644)=0)),OR(Y464&gt;=1000000000,AND(COUNTA(C464:C1644)=0,P$3=TRUE))),
ROUNDDOWN((AB$1-AC$1)*MAX(INDEX(T$4:T1644,MATCH(LARGE(FILTER(Y$4:Y1644,Y$4"&amp;":Y1644&lt;1000000000),1),Y$4:Y1644)),INDEX(F$4:F1644,MATCH(LARGE(FILTER(K$4:K1644,K$4:K1644&lt;1000000000),1),K$4:K1644)))),AND(K464&lt;1000000000,COUNTA(C464:C1644)&gt;0,P$3=FALSE),
ROUNDDOWN(INDEX(Y$4:Y1644,MATCH(LARGE(FILTER(W$4:W1644,W$4:W1644&lt;=I464),1),W$4:W1644"&amp;"))+(I464-LARGE(FILTER(W$4:W1644,W$4:W1644&lt;=I464),1))*INDEX(T$4:T1644,MATCH(LARGE(FILTER(W$4:W1644,W$4:W1644&lt;=I464),1),W$4:W1644))-K464),1,
ROUNDDOWN(Y464-INDEX(K$4:K1644,MATCH(LARGE(FILTER(I$4:I1644,I$4:I1644&lt;=W464),1),I$4:I1644))-(W464-LARGE(FILTER(I$4:I"&amp;"1644,I$4:I1644&lt;=W464),1))*INDEX(F$4:F1644,MATCH(LARGE(FILTER(I$4:I1644,I$4:I1644&lt;=W464),1),I$4:I1644))))"),"")</f>
        <v/>
      </c>
      <c r="N464" s="60" t="str">
        <f t="shared" si="8"/>
        <v/>
      </c>
      <c r="O464" s="61" t="str">
        <f t="shared" si="9"/>
        <v/>
      </c>
      <c r="P464" s="56" t="str">
        <f t="shared" si="10"/>
        <v/>
      </c>
      <c r="Q464" s="105"/>
      <c r="R464" s="10"/>
      <c r="S464" s="59" t="str">
        <f t="array" ref="S464">IF(COUNTA(Q464:Q1644)=0,"",SUM((COUNTIF(Q$4:Q464,Upgrades!$B$3:$B$13)-COUNTIF(Q$4:Q464,"Sell_"&amp;Upgrades!$B$3:$B$13))*Upgrades!$D$3:$D$13))</f>
        <v/>
      </c>
      <c r="T464" s="66" t="str">
        <f>IFERROR(__xludf.DUMMYFUNCTION("IF(COUNTA(Q464:Q1644)=0,"""",IF(REGEXMATCH(INDEX(FILTER(Q$4:Q464,Q$4:Q464&lt;&gt;""""),ROWS(FILTER(Q$4:Q464,Q$4:Q464&lt;&gt;""""))),""^Sell_""),INDEX(FILTER(T$4:T463,Q$4:Q463&lt;&gt;""""),ROWS(FILTER(Q$4:Q463,Q$4:Q463&lt;&gt;""""))),$AD$5+S464))"),"")</f>
        <v/>
      </c>
      <c r="U464" s="10" t="str">
        <f>IFERROR(__xludf.DUMMYFUNCTION("IF(COUNTA(Q464:Q1644)=0,"""",IF(Q464="""",0,IF(REGEXMATCH(Q464,""^Sell_""),-ROUNDDOWN(ROUNDUP(INDEX(Upgrades!$C$3:$C$13,MATCH(SUBSTITUTE(Q464,""Sell_"",""""),Upgrades!$B$3:$B$13,0))*1.15^(COUNTIF(Q$4:Q463,SUBSTITUTE(Q464,""Sell_"",""""))-COUNTIF(Q$4:Q463,"&amp;"""Sell_""&amp;SUBSTITUTE(Q464,""Sell_"",""""))))/2),ROUNDUP(INDEX(Upgrades!$C$3:$C$13,MATCH(Q464,Upgrades!$B$3:$B$13,0))*1.15^(COUNTIF(Q$4:Q463,Q464)-COUNTIF(Q$4:Q463,""Sell_""&amp;Q464))))))"),"")</f>
        <v/>
      </c>
      <c r="V464" s="10" t="str">
        <f t="shared" si="11"/>
        <v/>
      </c>
      <c r="W464" s="68" t="str">
        <f t="shared" si="12"/>
        <v/>
      </c>
      <c r="X464" s="59" t="str">
        <f t="shared" si="13"/>
        <v/>
      </c>
      <c r="Y464" s="69" t="str">
        <f t="shared" si="14"/>
        <v/>
      </c>
      <c r="Z464" s="11"/>
      <c r="AG464" s="59"/>
    </row>
    <row r="465">
      <c r="A465" s="8"/>
      <c r="B465" s="56" t="str">
        <f t="shared" si="2"/>
        <v/>
      </c>
      <c r="C465" s="105"/>
      <c r="D465" s="10"/>
      <c r="E465" s="59" t="str">
        <f t="array" ref="E465">IF(COUNTA(C465:C1644)=0,"",SUM((COUNTIF(C$4:C465,Upgrades!$B$3:$B$13)-COUNTIF(C$4:C465,"Sell_"&amp;Upgrades!$B$3:$B$13))*Upgrades!$D$3:$D$13))</f>
        <v/>
      </c>
      <c r="F465" s="66" t="str">
        <f>IFERROR(__xludf.DUMMYFUNCTION("IF(COUNTA(C465:C1644)=0,"""",IF(REGEXMATCH(INDEX(FILTER(C$4:C465,C$4:C465&lt;&gt;""""),ROWS(FILTER(C$4:C465,C$4:C465&lt;&gt;""""))),""^Sell_""),INDEX(FILTER(F$4:F464,C$4:C464&lt;&gt;""""),ROWS(FILTER(C$4:C464,C$4:C464&lt;&gt;""""))),$AC$5+E465))"),"")</f>
        <v/>
      </c>
      <c r="G465" s="10" t="str">
        <f>IFERROR(__xludf.DUMMYFUNCTION("IF(COUNTA(C465:C1644)=0,"""",IF(C465="""",0,IF(REGEXMATCH(C465,""^Sell_""),-ROUNDDOWN(ROUNDUP(INDEX(Upgrades!$C$3:$C$13,MATCH(SUBSTITUTE(C465,""Sell_"",""""),Upgrades!$B$3:$B$13,0))*1.15^(COUNTIF(C$4:C464,SUBSTITUTE(C465,""Sell_"",""""))-COUNTIF(C$4:C464,"&amp;"""Sell_""&amp;SUBSTITUTE(C465,""Sell_"",""""))))/2),ROUNDUP(INDEX(Upgrades!$C$3:$C$13,MATCH(C465,Upgrades!$B$3:$B$13,0))*1.15^(COUNTIF(C$4:C464,C465)-COUNTIF(C$4:C464,""Sell_""&amp;C465))))))"),"")</f>
        <v/>
      </c>
      <c r="H465" s="10" t="str">
        <f t="shared" si="3"/>
        <v/>
      </c>
      <c r="I465" s="68" t="str">
        <f t="shared" si="4"/>
        <v/>
      </c>
      <c r="J465" s="59" t="str">
        <f t="shared" si="5"/>
        <v/>
      </c>
      <c r="K465" s="69" t="str">
        <f t="shared" si="6"/>
        <v/>
      </c>
      <c r="L465" s="60" t="str">
        <f t="shared" si="7"/>
        <v/>
      </c>
      <c r="M465" s="61" t="str">
        <f>IFERROR(__xludf.DUMMYFUNCTION("IFS(AND(COUNTA(C465:C1644)=0,COUNTA(Q465:Q1644)=0),"""",OR(AND(K465&gt;=1000000000,OR(Y465&gt;=1000000000,COUNTA(Q465:Q1644)=0)),OR(Y465&gt;=1000000000,AND(COUNTA(C465:C1644)=0,P$3=TRUE))),
ROUNDDOWN((AB$1-AC$1)*MAX(INDEX(T$4:T1644,MATCH(LARGE(FILTER(Y$4:Y1644,Y$4"&amp;":Y1644&lt;1000000000),1),Y$4:Y1644)),INDEX(F$4:F1644,MATCH(LARGE(FILTER(K$4:K1644,K$4:K1644&lt;1000000000),1),K$4:K1644)))),AND(K465&lt;1000000000,COUNTA(C465:C1644)&gt;0,P$3=FALSE),
ROUNDDOWN(INDEX(Y$4:Y1644,MATCH(LARGE(FILTER(W$4:W1644,W$4:W1644&lt;=I465),1),W$4:W1644"&amp;"))+(I465-LARGE(FILTER(W$4:W1644,W$4:W1644&lt;=I465),1))*INDEX(T$4:T1644,MATCH(LARGE(FILTER(W$4:W1644,W$4:W1644&lt;=I465),1),W$4:W1644))-K465),1,
ROUNDDOWN(Y465-INDEX(K$4:K1644,MATCH(LARGE(FILTER(I$4:I1644,I$4:I1644&lt;=W465),1),I$4:I1644))-(W465-LARGE(FILTER(I$4:I"&amp;"1644,I$4:I1644&lt;=W465),1))*INDEX(F$4:F1644,MATCH(LARGE(FILTER(I$4:I1644,I$4:I1644&lt;=W465),1),I$4:I1644))))"),"")</f>
        <v/>
      </c>
      <c r="N465" s="60" t="str">
        <f t="shared" si="8"/>
        <v/>
      </c>
      <c r="O465" s="61" t="str">
        <f t="shared" si="9"/>
        <v/>
      </c>
      <c r="P465" s="56" t="str">
        <f t="shared" si="10"/>
        <v/>
      </c>
      <c r="Q465" s="105"/>
      <c r="R465" s="10"/>
      <c r="S465" s="59" t="str">
        <f t="array" ref="S465">IF(COUNTA(Q465:Q1644)=0,"",SUM((COUNTIF(Q$4:Q465,Upgrades!$B$3:$B$13)-COUNTIF(Q$4:Q465,"Sell_"&amp;Upgrades!$B$3:$B$13))*Upgrades!$D$3:$D$13))</f>
        <v/>
      </c>
      <c r="T465" s="66" t="str">
        <f>IFERROR(__xludf.DUMMYFUNCTION("IF(COUNTA(Q465:Q1644)=0,"""",IF(REGEXMATCH(INDEX(FILTER(Q$4:Q465,Q$4:Q465&lt;&gt;""""),ROWS(FILTER(Q$4:Q465,Q$4:Q465&lt;&gt;""""))),""^Sell_""),INDEX(FILTER(T$4:T464,Q$4:Q464&lt;&gt;""""),ROWS(FILTER(Q$4:Q464,Q$4:Q464&lt;&gt;""""))),$AD$5+S465))"),"")</f>
        <v/>
      </c>
      <c r="U465" s="10" t="str">
        <f>IFERROR(__xludf.DUMMYFUNCTION("IF(COUNTA(Q465:Q1644)=0,"""",IF(Q465="""",0,IF(REGEXMATCH(Q465,""^Sell_""),-ROUNDDOWN(ROUNDUP(INDEX(Upgrades!$C$3:$C$13,MATCH(SUBSTITUTE(Q465,""Sell_"",""""),Upgrades!$B$3:$B$13,0))*1.15^(COUNTIF(Q$4:Q464,SUBSTITUTE(Q465,""Sell_"",""""))-COUNTIF(Q$4:Q464,"&amp;"""Sell_""&amp;SUBSTITUTE(Q465,""Sell_"",""""))))/2),ROUNDUP(INDEX(Upgrades!$C$3:$C$13,MATCH(Q465,Upgrades!$B$3:$B$13,0))*1.15^(COUNTIF(Q$4:Q464,Q465)-COUNTIF(Q$4:Q464,""Sell_""&amp;Q465))))))"),"")</f>
        <v/>
      </c>
      <c r="V465" s="10" t="str">
        <f t="shared" si="11"/>
        <v/>
      </c>
      <c r="W465" s="68" t="str">
        <f t="shared" si="12"/>
        <v/>
      </c>
      <c r="X465" s="59" t="str">
        <f t="shared" si="13"/>
        <v/>
      </c>
      <c r="Y465" s="69" t="str">
        <f t="shared" si="14"/>
        <v/>
      </c>
      <c r="Z465" s="11"/>
      <c r="AG465" s="59"/>
    </row>
    <row r="466">
      <c r="A466" s="8"/>
      <c r="B466" s="56" t="str">
        <f t="shared" si="2"/>
        <v/>
      </c>
      <c r="C466" s="105"/>
      <c r="D466" s="10"/>
      <c r="E466" s="59" t="str">
        <f t="array" ref="E466">IF(COUNTA(C466:C1644)=0,"",SUM((COUNTIF(C$4:C466,Upgrades!$B$3:$B$13)-COUNTIF(C$4:C466,"Sell_"&amp;Upgrades!$B$3:$B$13))*Upgrades!$D$3:$D$13))</f>
        <v/>
      </c>
      <c r="F466" s="66" t="str">
        <f>IFERROR(__xludf.DUMMYFUNCTION("IF(COUNTA(C466:C1644)=0,"""",IF(REGEXMATCH(INDEX(FILTER(C$4:C466,C$4:C466&lt;&gt;""""),ROWS(FILTER(C$4:C466,C$4:C466&lt;&gt;""""))),""^Sell_""),INDEX(FILTER(F$4:F465,C$4:C465&lt;&gt;""""),ROWS(FILTER(C$4:C465,C$4:C465&lt;&gt;""""))),$AC$5+E466))"),"")</f>
        <v/>
      </c>
      <c r="G466" s="10" t="str">
        <f>IFERROR(__xludf.DUMMYFUNCTION("IF(COUNTA(C466:C1644)=0,"""",IF(C466="""",0,IF(REGEXMATCH(C466,""^Sell_""),-ROUNDDOWN(ROUNDUP(INDEX(Upgrades!$C$3:$C$13,MATCH(SUBSTITUTE(C466,""Sell_"",""""),Upgrades!$B$3:$B$13,0))*1.15^(COUNTIF(C$4:C465,SUBSTITUTE(C466,""Sell_"",""""))-COUNTIF(C$4:C465,"&amp;"""Sell_""&amp;SUBSTITUTE(C466,""Sell_"",""""))))/2),ROUNDUP(INDEX(Upgrades!$C$3:$C$13,MATCH(C466,Upgrades!$B$3:$B$13,0))*1.15^(COUNTIF(C$4:C465,C466)-COUNTIF(C$4:C465,""Sell_""&amp;C466))))))"),"")</f>
        <v/>
      </c>
      <c r="H466" s="10" t="str">
        <f t="shared" si="3"/>
        <v/>
      </c>
      <c r="I466" s="68" t="str">
        <f t="shared" si="4"/>
        <v/>
      </c>
      <c r="J466" s="59" t="str">
        <f t="shared" si="5"/>
        <v/>
      </c>
      <c r="K466" s="69" t="str">
        <f t="shared" si="6"/>
        <v/>
      </c>
      <c r="L466" s="60" t="str">
        <f t="shared" si="7"/>
        <v/>
      </c>
      <c r="M466" s="61" t="str">
        <f>IFERROR(__xludf.DUMMYFUNCTION("IFS(AND(COUNTA(C466:C1644)=0,COUNTA(Q466:Q1644)=0),"""",OR(AND(K466&gt;=1000000000,OR(Y466&gt;=1000000000,COUNTA(Q466:Q1644)=0)),OR(Y466&gt;=1000000000,AND(COUNTA(C466:C1644)=0,P$3=TRUE))),
ROUNDDOWN((AB$1-AC$1)*MAX(INDEX(T$4:T1644,MATCH(LARGE(FILTER(Y$4:Y1644,Y$4"&amp;":Y1644&lt;1000000000),1),Y$4:Y1644)),INDEX(F$4:F1644,MATCH(LARGE(FILTER(K$4:K1644,K$4:K1644&lt;1000000000),1),K$4:K1644)))),AND(K466&lt;1000000000,COUNTA(C466:C1644)&gt;0,P$3=FALSE),
ROUNDDOWN(INDEX(Y$4:Y1644,MATCH(LARGE(FILTER(W$4:W1644,W$4:W1644&lt;=I466),1),W$4:W1644"&amp;"))+(I466-LARGE(FILTER(W$4:W1644,W$4:W1644&lt;=I466),1))*INDEX(T$4:T1644,MATCH(LARGE(FILTER(W$4:W1644,W$4:W1644&lt;=I466),1),W$4:W1644))-K466),1,
ROUNDDOWN(Y466-INDEX(K$4:K1644,MATCH(LARGE(FILTER(I$4:I1644,I$4:I1644&lt;=W466),1),I$4:I1644))-(W466-LARGE(FILTER(I$4:I"&amp;"1644,I$4:I1644&lt;=W466),1))*INDEX(F$4:F1644,MATCH(LARGE(FILTER(I$4:I1644,I$4:I1644&lt;=W466),1),I$4:I1644))))"),"")</f>
        <v/>
      </c>
      <c r="N466" s="60" t="str">
        <f t="shared" si="8"/>
        <v/>
      </c>
      <c r="O466" s="61" t="str">
        <f t="shared" si="9"/>
        <v/>
      </c>
      <c r="P466" s="56" t="str">
        <f t="shared" si="10"/>
        <v/>
      </c>
      <c r="Q466" s="105"/>
      <c r="R466" s="10"/>
      <c r="S466" s="59" t="str">
        <f t="array" ref="S466">IF(COUNTA(Q466:Q1644)=0,"",SUM((COUNTIF(Q$4:Q466,Upgrades!$B$3:$B$13)-COUNTIF(Q$4:Q466,"Sell_"&amp;Upgrades!$B$3:$B$13))*Upgrades!$D$3:$D$13))</f>
        <v/>
      </c>
      <c r="T466" s="66" t="str">
        <f>IFERROR(__xludf.DUMMYFUNCTION("IF(COUNTA(Q466:Q1644)=0,"""",IF(REGEXMATCH(INDEX(FILTER(Q$4:Q466,Q$4:Q466&lt;&gt;""""),ROWS(FILTER(Q$4:Q466,Q$4:Q466&lt;&gt;""""))),""^Sell_""),INDEX(FILTER(T$4:T465,Q$4:Q465&lt;&gt;""""),ROWS(FILTER(Q$4:Q465,Q$4:Q465&lt;&gt;""""))),$AD$5+S466))"),"")</f>
        <v/>
      </c>
      <c r="U466" s="10" t="str">
        <f>IFERROR(__xludf.DUMMYFUNCTION("IF(COUNTA(Q466:Q1644)=0,"""",IF(Q466="""",0,IF(REGEXMATCH(Q466,""^Sell_""),-ROUNDDOWN(ROUNDUP(INDEX(Upgrades!$C$3:$C$13,MATCH(SUBSTITUTE(Q466,""Sell_"",""""),Upgrades!$B$3:$B$13,0))*1.15^(COUNTIF(Q$4:Q465,SUBSTITUTE(Q466,""Sell_"",""""))-COUNTIF(Q$4:Q465,"&amp;"""Sell_""&amp;SUBSTITUTE(Q466,""Sell_"",""""))))/2),ROUNDUP(INDEX(Upgrades!$C$3:$C$13,MATCH(Q466,Upgrades!$B$3:$B$13,0))*1.15^(COUNTIF(Q$4:Q465,Q466)-COUNTIF(Q$4:Q465,""Sell_""&amp;Q466))))))"),"")</f>
        <v/>
      </c>
      <c r="V466" s="10" t="str">
        <f t="shared" si="11"/>
        <v/>
      </c>
      <c r="W466" s="68" t="str">
        <f t="shared" si="12"/>
        <v/>
      </c>
      <c r="X466" s="59" t="str">
        <f t="shared" si="13"/>
        <v/>
      </c>
      <c r="Y466" s="69" t="str">
        <f t="shared" si="14"/>
        <v/>
      </c>
      <c r="Z466" s="11"/>
      <c r="AG466" s="59"/>
    </row>
    <row r="467">
      <c r="A467" s="8"/>
      <c r="B467" s="56" t="str">
        <f t="shared" si="2"/>
        <v/>
      </c>
      <c r="C467" s="105"/>
      <c r="D467" s="10"/>
      <c r="E467" s="59" t="str">
        <f t="array" ref="E467">IF(COUNTA(C467:C1644)=0,"",SUM((COUNTIF(C$4:C467,Upgrades!$B$3:$B$13)-COUNTIF(C$4:C467,"Sell_"&amp;Upgrades!$B$3:$B$13))*Upgrades!$D$3:$D$13))</f>
        <v/>
      </c>
      <c r="F467" s="66" t="str">
        <f>IFERROR(__xludf.DUMMYFUNCTION("IF(COUNTA(C467:C1644)=0,"""",IF(REGEXMATCH(INDEX(FILTER(C$4:C467,C$4:C467&lt;&gt;""""),ROWS(FILTER(C$4:C467,C$4:C467&lt;&gt;""""))),""^Sell_""),INDEX(FILTER(F$4:F466,C$4:C466&lt;&gt;""""),ROWS(FILTER(C$4:C466,C$4:C466&lt;&gt;""""))),$AC$5+E467))"),"")</f>
        <v/>
      </c>
      <c r="G467" s="10" t="str">
        <f>IFERROR(__xludf.DUMMYFUNCTION("IF(COUNTA(C467:C1644)=0,"""",IF(C467="""",0,IF(REGEXMATCH(C467,""^Sell_""),-ROUNDDOWN(ROUNDUP(INDEX(Upgrades!$C$3:$C$13,MATCH(SUBSTITUTE(C467,""Sell_"",""""),Upgrades!$B$3:$B$13,0))*1.15^(COUNTIF(C$4:C466,SUBSTITUTE(C467,""Sell_"",""""))-COUNTIF(C$4:C466,"&amp;"""Sell_""&amp;SUBSTITUTE(C467,""Sell_"",""""))))/2),ROUNDUP(INDEX(Upgrades!$C$3:$C$13,MATCH(C467,Upgrades!$B$3:$B$13,0))*1.15^(COUNTIF(C$4:C466,C467)-COUNTIF(C$4:C466,""Sell_""&amp;C467))))))"),"")</f>
        <v/>
      </c>
      <c r="H467" s="10" t="str">
        <f t="shared" si="3"/>
        <v/>
      </c>
      <c r="I467" s="68" t="str">
        <f t="shared" si="4"/>
        <v/>
      </c>
      <c r="J467" s="59" t="str">
        <f t="shared" si="5"/>
        <v/>
      </c>
      <c r="K467" s="69" t="str">
        <f t="shared" si="6"/>
        <v/>
      </c>
      <c r="L467" s="60" t="str">
        <f t="shared" si="7"/>
        <v/>
      </c>
      <c r="M467" s="61" t="str">
        <f>IFERROR(__xludf.DUMMYFUNCTION("IFS(AND(COUNTA(C467:C1644)=0,COUNTA(Q467:Q1644)=0),"""",OR(AND(K467&gt;=1000000000,OR(Y467&gt;=1000000000,COUNTA(Q467:Q1644)=0)),OR(Y467&gt;=1000000000,AND(COUNTA(C467:C1644)=0,P$3=TRUE))),
ROUNDDOWN((AB$1-AC$1)*MAX(INDEX(T$4:T1644,MATCH(LARGE(FILTER(Y$4:Y1644,Y$4"&amp;":Y1644&lt;1000000000),1),Y$4:Y1644)),INDEX(F$4:F1644,MATCH(LARGE(FILTER(K$4:K1644,K$4:K1644&lt;1000000000),1),K$4:K1644)))),AND(K467&lt;1000000000,COUNTA(C467:C1644)&gt;0,P$3=FALSE),
ROUNDDOWN(INDEX(Y$4:Y1644,MATCH(LARGE(FILTER(W$4:W1644,W$4:W1644&lt;=I467),1),W$4:W1644"&amp;"))+(I467-LARGE(FILTER(W$4:W1644,W$4:W1644&lt;=I467),1))*INDEX(T$4:T1644,MATCH(LARGE(FILTER(W$4:W1644,W$4:W1644&lt;=I467),1),W$4:W1644))-K467),1,
ROUNDDOWN(Y467-INDEX(K$4:K1644,MATCH(LARGE(FILTER(I$4:I1644,I$4:I1644&lt;=W467),1),I$4:I1644))-(W467-LARGE(FILTER(I$4:I"&amp;"1644,I$4:I1644&lt;=W467),1))*INDEX(F$4:F1644,MATCH(LARGE(FILTER(I$4:I1644,I$4:I1644&lt;=W467),1),I$4:I1644))))"),"")</f>
        <v/>
      </c>
      <c r="N467" s="60" t="str">
        <f t="shared" si="8"/>
        <v/>
      </c>
      <c r="O467" s="61" t="str">
        <f t="shared" si="9"/>
        <v/>
      </c>
      <c r="P467" s="56" t="str">
        <f t="shared" si="10"/>
        <v/>
      </c>
      <c r="Q467" s="105"/>
      <c r="R467" s="10"/>
      <c r="S467" s="59" t="str">
        <f t="array" ref="S467">IF(COUNTA(Q467:Q1644)=0,"",SUM((COUNTIF(Q$4:Q467,Upgrades!$B$3:$B$13)-COUNTIF(Q$4:Q467,"Sell_"&amp;Upgrades!$B$3:$B$13))*Upgrades!$D$3:$D$13))</f>
        <v/>
      </c>
      <c r="T467" s="66" t="str">
        <f>IFERROR(__xludf.DUMMYFUNCTION("IF(COUNTA(Q467:Q1644)=0,"""",IF(REGEXMATCH(INDEX(FILTER(Q$4:Q467,Q$4:Q467&lt;&gt;""""),ROWS(FILTER(Q$4:Q467,Q$4:Q467&lt;&gt;""""))),""^Sell_""),INDEX(FILTER(T$4:T466,Q$4:Q466&lt;&gt;""""),ROWS(FILTER(Q$4:Q466,Q$4:Q466&lt;&gt;""""))),$AD$5+S467))"),"")</f>
        <v/>
      </c>
      <c r="U467" s="10" t="str">
        <f>IFERROR(__xludf.DUMMYFUNCTION("IF(COUNTA(Q467:Q1644)=0,"""",IF(Q467="""",0,IF(REGEXMATCH(Q467,""^Sell_""),-ROUNDDOWN(ROUNDUP(INDEX(Upgrades!$C$3:$C$13,MATCH(SUBSTITUTE(Q467,""Sell_"",""""),Upgrades!$B$3:$B$13,0))*1.15^(COUNTIF(Q$4:Q466,SUBSTITUTE(Q467,""Sell_"",""""))-COUNTIF(Q$4:Q466,"&amp;"""Sell_""&amp;SUBSTITUTE(Q467,""Sell_"",""""))))/2),ROUNDUP(INDEX(Upgrades!$C$3:$C$13,MATCH(Q467,Upgrades!$B$3:$B$13,0))*1.15^(COUNTIF(Q$4:Q466,Q467)-COUNTIF(Q$4:Q466,""Sell_""&amp;Q467))))))"),"")</f>
        <v/>
      </c>
      <c r="V467" s="10" t="str">
        <f t="shared" si="11"/>
        <v/>
      </c>
      <c r="W467" s="68" t="str">
        <f t="shared" si="12"/>
        <v/>
      </c>
      <c r="X467" s="59" t="str">
        <f t="shared" si="13"/>
        <v/>
      </c>
      <c r="Y467" s="69" t="str">
        <f t="shared" si="14"/>
        <v/>
      </c>
      <c r="Z467" s="11"/>
      <c r="AG467" s="59"/>
    </row>
    <row r="468">
      <c r="A468" s="8"/>
      <c r="B468" s="56" t="str">
        <f t="shared" si="2"/>
        <v/>
      </c>
      <c r="C468" s="105"/>
      <c r="D468" s="10"/>
      <c r="E468" s="59" t="str">
        <f t="array" ref="E468">IF(COUNTA(C468:C1644)=0,"",SUM((COUNTIF(C$4:C468,Upgrades!$B$3:$B$13)-COUNTIF(C$4:C468,"Sell_"&amp;Upgrades!$B$3:$B$13))*Upgrades!$D$3:$D$13))</f>
        <v/>
      </c>
      <c r="F468" s="66" t="str">
        <f>IFERROR(__xludf.DUMMYFUNCTION("IF(COUNTA(C468:C1644)=0,"""",IF(REGEXMATCH(INDEX(FILTER(C$4:C468,C$4:C468&lt;&gt;""""),ROWS(FILTER(C$4:C468,C$4:C468&lt;&gt;""""))),""^Sell_""),INDEX(FILTER(F$4:F467,C$4:C467&lt;&gt;""""),ROWS(FILTER(C$4:C467,C$4:C467&lt;&gt;""""))),$AC$5+E468))"),"")</f>
        <v/>
      </c>
      <c r="G468" s="10" t="str">
        <f>IFERROR(__xludf.DUMMYFUNCTION("IF(COUNTA(C468:C1644)=0,"""",IF(C468="""",0,IF(REGEXMATCH(C468,""^Sell_""),-ROUNDDOWN(ROUNDUP(INDEX(Upgrades!$C$3:$C$13,MATCH(SUBSTITUTE(C468,""Sell_"",""""),Upgrades!$B$3:$B$13,0))*1.15^(COUNTIF(C$4:C467,SUBSTITUTE(C468,""Sell_"",""""))-COUNTIF(C$4:C467,"&amp;"""Sell_""&amp;SUBSTITUTE(C468,""Sell_"",""""))))/2),ROUNDUP(INDEX(Upgrades!$C$3:$C$13,MATCH(C468,Upgrades!$B$3:$B$13,0))*1.15^(COUNTIF(C$4:C467,C468)-COUNTIF(C$4:C467,""Sell_""&amp;C468))))))"),"")</f>
        <v/>
      </c>
      <c r="H468" s="10" t="str">
        <f t="shared" si="3"/>
        <v/>
      </c>
      <c r="I468" s="68" t="str">
        <f t="shared" si="4"/>
        <v/>
      </c>
      <c r="J468" s="59" t="str">
        <f t="shared" si="5"/>
        <v/>
      </c>
      <c r="K468" s="69" t="str">
        <f t="shared" si="6"/>
        <v/>
      </c>
      <c r="L468" s="60" t="str">
        <f t="shared" si="7"/>
        <v/>
      </c>
      <c r="M468" s="61" t="str">
        <f>IFERROR(__xludf.DUMMYFUNCTION("IFS(AND(COUNTA(C468:C1644)=0,COUNTA(Q468:Q1644)=0),"""",OR(AND(K468&gt;=1000000000,OR(Y468&gt;=1000000000,COUNTA(Q468:Q1644)=0)),OR(Y468&gt;=1000000000,AND(COUNTA(C468:C1644)=0,P$3=TRUE))),
ROUNDDOWN((AB$1-AC$1)*MAX(INDEX(T$4:T1644,MATCH(LARGE(FILTER(Y$4:Y1644,Y$4"&amp;":Y1644&lt;1000000000),1),Y$4:Y1644)),INDEX(F$4:F1644,MATCH(LARGE(FILTER(K$4:K1644,K$4:K1644&lt;1000000000),1),K$4:K1644)))),AND(K468&lt;1000000000,COUNTA(C468:C1644)&gt;0,P$3=FALSE),
ROUNDDOWN(INDEX(Y$4:Y1644,MATCH(LARGE(FILTER(W$4:W1644,W$4:W1644&lt;=I468),1),W$4:W1644"&amp;"))+(I468-LARGE(FILTER(W$4:W1644,W$4:W1644&lt;=I468),1))*INDEX(T$4:T1644,MATCH(LARGE(FILTER(W$4:W1644,W$4:W1644&lt;=I468),1),W$4:W1644))-K468),1,
ROUNDDOWN(Y468-INDEX(K$4:K1644,MATCH(LARGE(FILTER(I$4:I1644,I$4:I1644&lt;=W468),1),I$4:I1644))-(W468-LARGE(FILTER(I$4:I"&amp;"1644,I$4:I1644&lt;=W468),1))*INDEX(F$4:F1644,MATCH(LARGE(FILTER(I$4:I1644,I$4:I1644&lt;=W468),1),I$4:I1644))))"),"")</f>
        <v/>
      </c>
      <c r="N468" s="60" t="str">
        <f t="shared" si="8"/>
        <v/>
      </c>
      <c r="O468" s="61" t="str">
        <f t="shared" si="9"/>
        <v/>
      </c>
      <c r="P468" s="56" t="str">
        <f t="shared" si="10"/>
        <v/>
      </c>
      <c r="Q468" s="105"/>
      <c r="R468" s="10"/>
      <c r="S468" s="59" t="str">
        <f t="array" ref="S468">IF(COUNTA(Q468:Q1644)=0,"",SUM((COUNTIF(Q$4:Q468,Upgrades!$B$3:$B$13)-COUNTIF(Q$4:Q468,"Sell_"&amp;Upgrades!$B$3:$B$13))*Upgrades!$D$3:$D$13))</f>
        <v/>
      </c>
      <c r="T468" s="66" t="str">
        <f>IFERROR(__xludf.DUMMYFUNCTION("IF(COUNTA(Q468:Q1644)=0,"""",IF(REGEXMATCH(INDEX(FILTER(Q$4:Q468,Q$4:Q468&lt;&gt;""""),ROWS(FILTER(Q$4:Q468,Q$4:Q468&lt;&gt;""""))),""^Sell_""),INDEX(FILTER(T$4:T467,Q$4:Q467&lt;&gt;""""),ROWS(FILTER(Q$4:Q467,Q$4:Q467&lt;&gt;""""))),$AD$5+S468))"),"")</f>
        <v/>
      </c>
      <c r="U468" s="10" t="str">
        <f>IFERROR(__xludf.DUMMYFUNCTION("IF(COUNTA(Q468:Q1644)=0,"""",IF(Q468="""",0,IF(REGEXMATCH(Q468,""^Sell_""),-ROUNDDOWN(ROUNDUP(INDEX(Upgrades!$C$3:$C$13,MATCH(SUBSTITUTE(Q468,""Sell_"",""""),Upgrades!$B$3:$B$13,0))*1.15^(COUNTIF(Q$4:Q467,SUBSTITUTE(Q468,""Sell_"",""""))-COUNTIF(Q$4:Q467,"&amp;"""Sell_""&amp;SUBSTITUTE(Q468,""Sell_"",""""))))/2),ROUNDUP(INDEX(Upgrades!$C$3:$C$13,MATCH(Q468,Upgrades!$B$3:$B$13,0))*1.15^(COUNTIF(Q$4:Q467,Q468)-COUNTIF(Q$4:Q467,""Sell_""&amp;Q468))))))"),"")</f>
        <v/>
      </c>
      <c r="V468" s="10" t="str">
        <f t="shared" si="11"/>
        <v/>
      </c>
      <c r="W468" s="68" t="str">
        <f t="shared" si="12"/>
        <v/>
      </c>
      <c r="X468" s="59" t="str">
        <f t="shared" si="13"/>
        <v/>
      </c>
      <c r="Y468" s="69" t="str">
        <f t="shared" si="14"/>
        <v/>
      </c>
      <c r="Z468" s="11"/>
      <c r="AG468" s="59"/>
    </row>
    <row r="469">
      <c r="A469" s="8"/>
      <c r="B469" s="56" t="str">
        <f t="shared" si="2"/>
        <v/>
      </c>
      <c r="C469" s="105"/>
      <c r="D469" s="10"/>
      <c r="E469" s="59" t="str">
        <f t="array" ref="E469">IF(COUNTA(C469:C1644)=0,"",SUM((COUNTIF(C$4:C469,Upgrades!$B$3:$B$13)-COUNTIF(C$4:C469,"Sell_"&amp;Upgrades!$B$3:$B$13))*Upgrades!$D$3:$D$13))</f>
        <v/>
      </c>
      <c r="F469" s="66" t="str">
        <f>IFERROR(__xludf.DUMMYFUNCTION("IF(COUNTA(C469:C1644)=0,"""",IF(REGEXMATCH(INDEX(FILTER(C$4:C469,C$4:C469&lt;&gt;""""),ROWS(FILTER(C$4:C469,C$4:C469&lt;&gt;""""))),""^Sell_""),INDEX(FILTER(F$4:F468,C$4:C468&lt;&gt;""""),ROWS(FILTER(C$4:C468,C$4:C468&lt;&gt;""""))),$AC$5+E469))"),"")</f>
        <v/>
      </c>
      <c r="G469" s="10" t="str">
        <f>IFERROR(__xludf.DUMMYFUNCTION("IF(COUNTA(C469:C1644)=0,"""",IF(C469="""",0,IF(REGEXMATCH(C469,""^Sell_""),-ROUNDDOWN(ROUNDUP(INDEX(Upgrades!$C$3:$C$13,MATCH(SUBSTITUTE(C469,""Sell_"",""""),Upgrades!$B$3:$B$13,0))*1.15^(COUNTIF(C$4:C468,SUBSTITUTE(C469,""Sell_"",""""))-COUNTIF(C$4:C468,"&amp;"""Sell_""&amp;SUBSTITUTE(C469,""Sell_"",""""))))/2),ROUNDUP(INDEX(Upgrades!$C$3:$C$13,MATCH(C469,Upgrades!$B$3:$B$13,0))*1.15^(COUNTIF(C$4:C468,C469)-COUNTIF(C$4:C468,""Sell_""&amp;C469))))))"),"")</f>
        <v/>
      </c>
      <c r="H469" s="10" t="str">
        <f t="shared" si="3"/>
        <v/>
      </c>
      <c r="I469" s="68" t="str">
        <f t="shared" si="4"/>
        <v/>
      </c>
      <c r="J469" s="59" t="str">
        <f t="shared" si="5"/>
        <v/>
      </c>
      <c r="K469" s="69" t="str">
        <f t="shared" si="6"/>
        <v/>
      </c>
      <c r="L469" s="60" t="str">
        <f t="shared" si="7"/>
        <v/>
      </c>
      <c r="M469" s="61" t="str">
        <f>IFERROR(__xludf.DUMMYFUNCTION("IFS(AND(COUNTA(C469:C1644)=0,COUNTA(Q469:Q1644)=0),"""",OR(AND(K469&gt;=1000000000,OR(Y469&gt;=1000000000,COUNTA(Q469:Q1644)=0)),OR(Y469&gt;=1000000000,AND(COUNTA(C469:C1644)=0,P$3=TRUE))),
ROUNDDOWN((AB$1-AC$1)*MAX(INDEX(T$4:T1644,MATCH(LARGE(FILTER(Y$4:Y1644,Y$4"&amp;":Y1644&lt;1000000000),1),Y$4:Y1644)),INDEX(F$4:F1644,MATCH(LARGE(FILTER(K$4:K1644,K$4:K1644&lt;1000000000),1),K$4:K1644)))),AND(K469&lt;1000000000,COUNTA(C469:C1644)&gt;0,P$3=FALSE),
ROUNDDOWN(INDEX(Y$4:Y1644,MATCH(LARGE(FILTER(W$4:W1644,W$4:W1644&lt;=I469),1),W$4:W1644"&amp;"))+(I469-LARGE(FILTER(W$4:W1644,W$4:W1644&lt;=I469),1))*INDEX(T$4:T1644,MATCH(LARGE(FILTER(W$4:W1644,W$4:W1644&lt;=I469),1),W$4:W1644))-K469),1,
ROUNDDOWN(Y469-INDEX(K$4:K1644,MATCH(LARGE(FILTER(I$4:I1644,I$4:I1644&lt;=W469),1),I$4:I1644))-(W469-LARGE(FILTER(I$4:I"&amp;"1644,I$4:I1644&lt;=W469),1))*INDEX(F$4:F1644,MATCH(LARGE(FILTER(I$4:I1644,I$4:I1644&lt;=W469),1),I$4:I1644))))"),"")</f>
        <v/>
      </c>
      <c r="N469" s="60" t="str">
        <f t="shared" si="8"/>
        <v/>
      </c>
      <c r="O469" s="61" t="str">
        <f t="shared" si="9"/>
        <v/>
      </c>
      <c r="P469" s="56" t="str">
        <f t="shared" si="10"/>
        <v/>
      </c>
      <c r="Q469" s="105"/>
      <c r="R469" s="10"/>
      <c r="S469" s="59" t="str">
        <f t="array" ref="S469">IF(COUNTA(Q469:Q1644)=0,"",SUM((COUNTIF(Q$4:Q469,Upgrades!$B$3:$B$13)-COUNTIF(Q$4:Q469,"Sell_"&amp;Upgrades!$B$3:$B$13))*Upgrades!$D$3:$D$13))</f>
        <v/>
      </c>
      <c r="T469" s="66" t="str">
        <f>IFERROR(__xludf.DUMMYFUNCTION("IF(COUNTA(Q469:Q1644)=0,"""",IF(REGEXMATCH(INDEX(FILTER(Q$4:Q469,Q$4:Q469&lt;&gt;""""),ROWS(FILTER(Q$4:Q469,Q$4:Q469&lt;&gt;""""))),""^Sell_""),INDEX(FILTER(T$4:T468,Q$4:Q468&lt;&gt;""""),ROWS(FILTER(Q$4:Q468,Q$4:Q468&lt;&gt;""""))),$AD$5+S469))"),"")</f>
        <v/>
      </c>
      <c r="U469" s="10" t="str">
        <f>IFERROR(__xludf.DUMMYFUNCTION("IF(COUNTA(Q469:Q1644)=0,"""",IF(Q469="""",0,IF(REGEXMATCH(Q469,""^Sell_""),-ROUNDDOWN(ROUNDUP(INDEX(Upgrades!$C$3:$C$13,MATCH(SUBSTITUTE(Q469,""Sell_"",""""),Upgrades!$B$3:$B$13,0))*1.15^(COUNTIF(Q$4:Q468,SUBSTITUTE(Q469,""Sell_"",""""))-COUNTIF(Q$4:Q468,"&amp;"""Sell_""&amp;SUBSTITUTE(Q469,""Sell_"",""""))))/2),ROUNDUP(INDEX(Upgrades!$C$3:$C$13,MATCH(Q469,Upgrades!$B$3:$B$13,0))*1.15^(COUNTIF(Q$4:Q468,Q469)-COUNTIF(Q$4:Q468,""Sell_""&amp;Q469))))))"),"")</f>
        <v/>
      </c>
      <c r="V469" s="10" t="str">
        <f t="shared" si="11"/>
        <v/>
      </c>
      <c r="W469" s="68" t="str">
        <f t="shared" si="12"/>
        <v/>
      </c>
      <c r="X469" s="59" t="str">
        <f t="shared" si="13"/>
        <v/>
      </c>
      <c r="Y469" s="69" t="str">
        <f t="shared" si="14"/>
        <v/>
      </c>
      <c r="Z469" s="11"/>
      <c r="AG469" s="59"/>
    </row>
    <row r="470">
      <c r="A470" s="8"/>
      <c r="B470" s="56" t="str">
        <f t="shared" si="2"/>
        <v/>
      </c>
      <c r="C470" s="105"/>
      <c r="D470" s="10"/>
      <c r="E470" s="59" t="str">
        <f t="array" ref="E470">IF(COUNTA(C470:C1644)=0,"",SUM((COUNTIF(C$4:C470,Upgrades!$B$3:$B$13)-COUNTIF(C$4:C470,"Sell_"&amp;Upgrades!$B$3:$B$13))*Upgrades!$D$3:$D$13))</f>
        <v/>
      </c>
      <c r="F470" s="66" t="str">
        <f>IFERROR(__xludf.DUMMYFUNCTION("IF(COUNTA(C470:C1644)=0,"""",IF(REGEXMATCH(INDEX(FILTER(C$4:C470,C$4:C470&lt;&gt;""""),ROWS(FILTER(C$4:C470,C$4:C470&lt;&gt;""""))),""^Sell_""),INDEX(FILTER(F$4:F469,C$4:C469&lt;&gt;""""),ROWS(FILTER(C$4:C469,C$4:C469&lt;&gt;""""))),$AC$5+E470))"),"")</f>
        <v/>
      </c>
      <c r="G470" s="10" t="str">
        <f>IFERROR(__xludf.DUMMYFUNCTION("IF(COUNTA(C470:C1644)=0,"""",IF(C470="""",0,IF(REGEXMATCH(C470,""^Sell_""),-ROUNDDOWN(ROUNDUP(INDEX(Upgrades!$C$3:$C$13,MATCH(SUBSTITUTE(C470,""Sell_"",""""),Upgrades!$B$3:$B$13,0))*1.15^(COUNTIF(C$4:C469,SUBSTITUTE(C470,""Sell_"",""""))-COUNTIF(C$4:C469,"&amp;"""Sell_""&amp;SUBSTITUTE(C470,""Sell_"",""""))))/2),ROUNDUP(INDEX(Upgrades!$C$3:$C$13,MATCH(C470,Upgrades!$B$3:$B$13,0))*1.15^(COUNTIF(C$4:C469,C470)-COUNTIF(C$4:C469,""Sell_""&amp;C470))))))"),"")</f>
        <v/>
      </c>
      <c r="H470" s="10" t="str">
        <f t="shared" si="3"/>
        <v/>
      </c>
      <c r="I470" s="68" t="str">
        <f t="shared" si="4"/>
        <v/>
      </c>
      <c r="J470" s="59" t="str">
        <f t="shared" si="5"/>
        <v/>
      </c>
      <c r="K470" s="69" t="str">
        <f t="shared" si="6"/>
        <v/>
      </c>
      <c r="L470" s="60" t="str">
        <f t="shared" si="7"/>
        <v/>
      </c>
      <c r="M470" s="61" t="str">
        <f>IFERROR(__xludf.DUMMYFUNCTION("IFS(AND(COUNTA(C470:C1644)=0,COUNTA(Q470:Q1644)=0),"""",OR(AND(K470&gt;=1000000000,OR(Y470&gt;=1000000000,COUNTA(Q470:Q1644)=0)),OR(Y470&gt;=1000000000,AND(COUNTA(C470:C1644)=0,P$3=TRUE))),
ROUNDDOWN((AB$1-AC$1)*MAX(INDEX(T$4:T1644,MATCH(LARGE(FILTER(Y$4:Y1644,Y$4"&amp;":Y1644&lt;1000000000),1),Y$4:Y1644)),INDEX(F$4:F1644,MATCH(LARGE(FILTER(K$4:K1644,K$4:K1644&lt;1000000000),1),K$4:K1644)))),AND(K470&lt;1000000000,COUNTA(C470:C1644)&gt;0,P$3=FALSE),
ROUNDDOWN(INDEX(Y$4:Y1644,MATCH(LARGE(FILTER(W$4:W1644,W$4:W1644&lt;=I470),1),W$4:W1644"&amp;"))+(I470-LARGE(FILTER(W$4:W1644,W$4:W1644&lt;=I470),1))*INDEX(T$4:T1644,MATCH(LARGE(FILTER(W$4:W1644,W$4:W1644&lt;=I470),1),W$4:W1644))-K470),1,
ROUNDDOWN(Y470-INDEX(K$4:K1644,MATCH(LARGE(FILTER(I$4:I1644,I$4:I1644&lt;=W470),1),I$4:I1644))-(W470-LARGE(FILTER(I$4:I"&amp;"1644,I$4:I1644&lt;=W470),1))*INDEX(F$4:F1644,MATCH(LARGE(FILTER(I$4:I1644,I$4:I1644&lt;=W470),1),I$4:I1644))))"),"")</f>
        <v/>
      </c>
      <c r="N470" s="60" t="str">
        <f t="shared" si="8"/>
        <v/>
      </c>
      <c r="O470" s="61" t="str">
        <f t="shared" si="9"/>
        <v/>
      </c>
      <c r="P470" s="56" t="str">
        <f t="shared" si="10"/>
        <v/>
      </c>
      <c r="Q470" s="105"/>
      <c r="R470" s="10"/>
      <c r="S470" s="59" t="str">
        <f t="array" ref="S470">IF(COUNTA(Q470:Q1644)=0,"",SUM((COUNTIF(Q$4:Q470,Upgrades!$B$3:$B$13)-COUNTIF(Q$4:Q470,"Sell_"&amp;Upgrades!$B$3:$B$13))*Upgrades!$D$3:$D$13))</f>
        <v/>
      </c>
      <c r="T470" s="66" t="str">
        <f>IFERROR(__xludf.DUMMYFUNCTION("IF(COUNTA(Q470:Q1644)=0,"""",IF(REGEXMATCH(INDEX(FILTER(Q$4:Q470,Q$4:Q470&lt;&gt;""""),ROWS(FILTER(Q$4:Q470,Q$4:Q470&lt;&gt;""""))),""^Sell_""),INDEX(FILTER(T$4:T469,Q$4:Q469&lt;&gt;""""),ROWS(FILTER(Q$4:Q469,Q$4:Q469&lt;&gt;""""))),$AD$5+S470))"),"")</f>
        <v/>
      </c>
      <c r="U470" s="10" t="str">
        <f>IFERROR(__xludf.DUMMYFUNCTION("IF(COUNTA(Q470:Q1644)=0,"""",IF(Q470="""",0,IF(REGEXMATCH(Q470,""^Sell_""),-ROUNDDOWN(ROUNDUP(INDEX(Upgrades!$C$3:$C$13,MATCH(SUBSTITUTE(Q470,""Sell_"",""""),Upgrades!$B$3:$B$13,0))*1.15^(COUNTIF(Q$4:Q469,SUBSTITUTE(Q470,""Sell_"",""""))-COUNTIF(Q$4:Q469,"&amp;"""Sell_""&amp;SUBSTITUTE(Q470,""Sell_"",""""))))/2),ROUNDUP(INDEX(Upgrades!$C$3:$C$13,MATCH(Q470,Upgrades!$B$3:$B$13,0))*1.15^(COUNTIF(Q$4:Q469,Q470)-COUNTIF(Q$4:Q469,""Sell_""&amp;Q470))))))"),"")</f>
        <v/>
      </c>
      <c r="V470" s="10" t="str">
        <f t="shared" si="11"/>
        <v/>
      </c>
      <c r="W470" s="68" t="str">
        <f t="shared" si="12"/>
        <v/>
      </c>
      <c r="X470" s="59" t="str">
        <f t="shared" si="13"/>
        <v/>
      </c>
      <c r="Y470" s="69" t="str">
        <f t="shared" si="14"/>
        <v/>
      </c>
      <c r="Z470" s="11"/>
      <c r="AG470" s="59"/>
    </row>
    <row r="471">
      <c r="A471" s="8"/>
      <c r="B471" s="56" t="str">
        <f t="shared" si="2"/>
        <v/>
      </c>
      <c r="C471" s="105"/>
      <c r="D471" s="10"/>
      <c r="E471" s="59" t="str">
        <f t="array" ref="E471">IF(COUNTA(C471:C1644)=0,"",SUM((COUNTIF(C$4:C471,Upgrades!$B$3:$B$13)-COUNTIF(C$4:C471,"Sell_"&amp;Upgrades!$B$3:$B$13))*Upgrades!$D$3:$D$13))</f>
        <v/>
      </c>
      <c r="F471" s="66" t="str">
        <f>IFERROR(__xludf.DUMMYFUNCTION("IF(COUNTA(C471:C1644)=0,"""",IF(REGEXMATCH(INDEX(FILTER(C$4:C471,C$4:C471&lt;&gt;""""),ROWS(FILTER(C$4:C471,C$4:C471&lt;&gt;""""))),""^Sell_""),INDEX(FILTER(F$4:F470,C$4:C470&lt;&gt;""""),ROWS(FILTER(C$4:C470,C$4:C470&lt;&gt;""""))),$AC$5+E471))"),"")</f>
        <v/>
      </c>
      <c r="G471" s="10" t="str">
        <f>IFERROR(__xludf.DUMMYFUNCTION("IF(COUNTA(C471:C1644)=0,"""",IF(C471="""",0,IF(REGEXMATCH(C471,""^Sell_""),-ROUNDDOWN(ROUNDUP(INDEX(Upgrades!$C$3:$C$13,MATCH(SUBSTITUTE(C471,""Sell_"",""""),Upgrades!$B$3:$B$13,0))*1.15^(COUNTIF(C$4:C470,SUBSTITUTE(C471,""Sell_"",""""))-COUNTIF(C$4:C470,"&amp;"""Sell_""&amp;SUBSTITUTE(C471,""Sell_"",""""))))/2),ROUNDUP(INDEX(Upgrades!$C$3:$C$13,MATCH(C471,Upgrades!$B$3:$B$13,0))*1.15^(COUNTIF(C$4:C470,C471)-COUNTIF(C$4:C470,""Sell_""&amp;C471))))))"),"")</f>
        <v/>
      </c>
      <c r="H471" s="10" t="str">
        <f t="shared" si="3"/>
        <v/>
      </c>
      <c r="I471" s="68" t="str">
        <f t="shared" si="4"/>
        <v/>
      </c>
      <c r="J471" s="59" t="str">
        <f t="shared" si="5"/>
        <v/>
      </c>
      <c r="K471" s="69" t="str">
        <f t="shared" si="6"/>
        <v/>
      </c>
      <c r="L471" s="60" t="str">
        <f t="shared" si="7"/>
        <v/>
      </c>
      <c r="M471" s="61" t="str">
        <f>IFERROR(__xludf.DUMMYFUNCTION("IFS(AND(COUNTA(C471:C1644)=0,COUNTA(Q471:Q1644)=0),"""",OR(AND(K471&gt;=1000000000,OR(Y471&gt;=1000000000,COUNTA(Q471:Q1644)=0)),OR(Y471&gt;=1000000000,AND(COUNTA(C471:C1644)=0,P$3=TRUE))),
ROUNDDOWN((AB$1-AC$1)*MAX(INDEX(T$4:T1644,MATCH(LARGE(FILTER(Y$4:Y1644,Y$4"&amp;":Y1644&lt;1000000000),1),Y$4:Y1644)),INDEX(F$4:F1644,MATCH(LARGE(FILTER(K$4:K1644,K$4:K1644&lt;1000000000),1),K$4:K1644)))),AND(K471&lt;1000000000,COUNTA(C471:C1644)&gt;0,P$3=FALSE),
ROUNDDOWN(INDEX(Y$4:Y1644,MATCH(LARGE(FILTER(W$4:W1644,W$4:W1644&lt;=I471),1),W$4:W1644"&amp;"))+(I471-LARGE(FILTER(W$4:W1644,W$4:W1644&lt;=I471),1))*INDEX(T$4:T1644,MATCH(LARGE(FILTER(W$4:W1644,W$4:W1644&lt;=I471),1),W$4:W1644))-K471),1,
ROUNDDOWN(Y471-INDEX(K$4:K1644,MATCH(LARGE(FILTER(I$4:I1644,I$4:I1644&lt;=W471),1),I$4:I1644))-(W471-LARGE(FILTER(I$4:I"&amp;"1644,I$4:I1644&lt;=W471),1))*INDEX(F$4:F1644,MATCH(LARGE(FILTER(I$4:I1644,I$4:I1644&lt;=W471),1),I$4:I1644))))"),"")</f>
        <v/>
      </c>
      <c r="N471" s="60" t="str">
        <f t="shared" si="8"/>
        <v/>
      </c>
      <c r="O471" s="61" t="str">
        <f t="shared" si="9"/>
        <v/>
      </c>
      <c r="P471" s="56" t="str">
        <f t="shared" si="10"/>
        <v/>
      </c>
      <c r="Q471" s="105"/>
      <c r="R471" s="10"/>
      <c r="S471" s="59" t="str">
        <f t="array" ref="S471">IF(COUNTA(Q471:Q1644)=0,"",SUM((COUNTIF(Q$4:Q471,Upgrades!$B$3:$B$13)-COUNTIF(Q$4:Q471,"Sell_"&amp;Upgrades!$B$3:$B$13))*Upgrades!$D$3:$D$13))</f>
        <v/>
      </c>
      <c r="T471" s="66" t="str">
        <f>IFERROR(__xludf.DUMMYFUNCTION("IF(COUNTA(Q471:Q1644)=0,"""",IF(REGEXMATCH(INDEX(FILTER(Q$4:Q471,Q$4:Q471&lt;&gt;""""),ROWS(FILTER(Q$4:Q471,Q$4:Q471&lt;&gt;""""))),""^Sell_""),INDEX(FILTER(T$4:T470,Q$4:Q470&lt;&gt;""""),ROWS(FILTER(Q$4:Q470,Q$4:Q470&lt;&gt;""""))),$AD$5+S471))"),"")</f>
        <v/>
      </c>
      <c r="U471" s="10" t="str">
        <f>IFERROR(__xludf.DUMMYFUNCTION("IF(COUNTA(Q471:Q1644)=0,"""",IF(Q471="""",0,IF(REGEXMATCH(Q471,""^Sell_""),-ROUNDDOWN(ROUNDUP(INDEX(Upgrades!$C$3:$C$13,MATCH(SUBSTITUTE(Q471,""Sell_"",""""),Upgrades!$B$3:$B$13,0))*1.15^(COUNTIF(Q$4:Q470,SUBSTITUTE(Q471,""Sell_"",""""))-COUNTIF(Q$4:Q470,"&amp;"""Sell_""&amp;SUBSTITUTE(Q471,""Sell_"",""""))))/2),ROUNDUP(INDEX(Upgrades!$C$3:$C$13,MATCH(Q471,Upgrades!$B$3:$B$13,0))*1.15^(COUNTIF(Q$4:Q470,Q471)-COUNTIF(Q$4:Q470,""Sell_""&amp;Q471))))))"),"")</f>
        <v/>
      </c>
      <c r="V471" s="10" t="str">
        <f t="shared" si="11"/>
        <v/>
      </c>
      <c r="W471" s="68" t="str">
        <f t="shared" si="12"/>
        <v/>
      </c>
      <c r="X471" s="59" t="str">
        <f t="shared" si="13"/>
        <v/>
      </c>
      <c r="Y471" s="69" t="str">
        <f t="shared" si="14"/>
        <v/>
      </c>
      <c r="Z471" s="11"/>
      <c r="AG471" s="59"/>
    </row>
    <row r="472">
      <c r="A472" s="8"/>
      <c r="B472" s="56" t="str">
        <f t="shared" si="2"/>
        <v/>
      </c>
      <c r="C472" s="105"/>
      <c r="D472" s="10"/>
      <c r="E472" s="59" t="str">
        <f t="array" ref="E472">IF(COUNTA(C472:C1644)=0,"",SUM((COUNTIF(C$4:C472,Upgrades!$B$3:$B$13)-COUNTIF(C$4:C472,"Sell_"&amp;Upgrades!$B$3:$B$13))*Upgrades!$D$3:$D$13))</f>
        <v/>
      </c>
      <c r="F472" s="66" t="str">
        <f>IFERROR(__xludf.DUMMYFUNCTION("IF(COUNTA(C472:C1644)=0,"""",IF(REGEXMATCH(INDEX(FILTER(C$4:C472,C$4:C472&lt;&gt;""""),ROWS(FILTER(C$4:C472,C$4:C472&lt;&gt;""""))),""^Sell_""),INDEX(FILTER(F$4:F471,C$4:C471&lt;&gt;""""),ROWS(FILTER(C$4:C471,C$4:C471&lt;&gt;""""))),$AC$5+E472))"),"")</f>
        <v/>
      </c>
      <c r="G472" s="10" t="str">
        <f>IFERROR(__xludf.DUMMYFUNCTION("IF(COUNTA(C472:C1644)=0,"""",IF(C472="""",0,IF(REGEXMATCH(C472,""^Sell_""),-ROUNDDOWN(ROUNDUP(INDEX(Upgrades!$C$3:$C$13,MATCH(SUBSTITUTE(C472,""Sell_"",""""),Upgrades!$B$3:$B$13,0))*1.15^(COUNTIF(C$4:C471,SUBSTITUTE(C472,""Sell_"",""""))-COUNTIF(C$4:C471,"&amp;"""Sell_""&amp;SUBSTITUTE(C472,""Sell_"",""""))))/2),ROUNDUP(INDEX(Upgrades!$C$3:$C$13,MATCH(C472,Upgrades!$B$3:$B$13,0))*1.15^(COUNTIF(C$4:C471,C472)-COUNTIF(C$4:C471,""Sell_""&amp;C472))))))"),"")</f>
        <v/>
      </c>
      <c r="H472" s="10" t="str">
        <f t="shared" si="3"/>
        <v/>
      </c>
      <c r="I472" s="68" t="str">
        <f t="shared" si="4"/>
        <v/>
      </c>
      <c r="J472" s="59" t="str">
        <f t="shared" si="5"/>
        <v/>
      </c>
      <c r="K472" s="69" t="str">
        <f t="shared" si="6"/>
        <v/>
      </c>
      <c r="L472" s="60" t="str">
        <f t="shared" si="7"/>
        <v/>
      </c>
      <c r="M472" s="61" t="str">
        <f>IFERROR(__xludf.DUMMYFUNCTION("IFS(AND(COUNTA(C472:C1644)=0,COUNTA(Q472:Q1644)=0),"""",OR(AND(K472&gt;=1000000000,OR(Y472&gt;=1000000000,COUNTA(Q472:Q1644)=0)),OR(Y472&gt;=1000000000,AND(COUNTA(C472:C1644)=0,P$3=TRUE))),
ROUNDDOWN((AB$1-AC$1)*MAX(INDEX(T$4:T1644,MATCH(LARGE(FILTER(Y$4:Y1644,Y$4"&amp;":Y1644&lt;1000000000),1),Y$4:Y1644)),INDEX(F$4:F1644,MATCH(LARGE(FILTER(K$4:K1644,K$4:K1644&lt;1000000000),1),K$4:K1644)))),AND(K472&lt;1000000000,COUNTA(C472:C1644)&gt;0,P$3=FALSE),
ROUNDDOWN(INDEX(Y$4:Y1644,MATCH(LARGE(FILTER(W$4:W1644,W$4:W1644&lt;=I472),1),W$4:W1644"&amp;"))+(I472-LARGE(FILTER(W$4:W1644,W$4:W1644&lt;=I472),1))*INDEX(T$4:T1644,MATCH(LARGE(FILTER(W$4:W1644,W$4:W1644&lt;=I472),1),W$4:W1644))-K472),1,
ROUNDDOWN(Y472-INDEX(K$4:K1644,MATCH(LARGE(FILTER(I$4:I1644,I$4:I1644&lt;=W472),1),I$4:I1644))-(W472-LARGE(FILTER(I$4:I"&amp;"1644,I$4:I1644&lt;=W472),1))*INDEX(F$4:F1644,MATCH(LARGE(FILTER(I$4:I1644,I$4:I1644&lt;=W472),1),I$4:I1644))))"),"")</f>
        <v/>
      </c>
      <c r="N472" s="60" t="str">
        <f t="shared" si="8"/>
        <v/>
      </c>
      <c r="O472" s="61" t="str">
        <f t="shared" si="9"/>
        <v/>
      </c>
      <c r="P472" s="56" t="str">
        <f t="shared" si="10"/>
        <v/>
      </c>
      <c r="Q472" s="105"/>
      <c r="R472" s="10"/>
      <c r="S472" s="59" t="str">
        <f t="array" ref="S472">IF(COUNTA(Q472:Q1644)=0,"",SUM((COUNTIF(Q$4:Q472,Upgrades!$B$3:$B$13)-COUNTIF(Q$4:Q472,"Sell_"&amp;Upgrades!$B$3:$B$13))*Upgrades!$D$3:$D$13))</f>
        <v/>
      </c>
      <c r="T472" s="66" t="str">
        <f>IFERROR(__xludf.DUMMYFUNCTION("IF(COUNTA(Q472:Q1644)=0,"""",IF(REGEXMATCH(INDEX(FILTER(Q$4:Q472,Q$4:Q472&lt;&gt;""""),ROWS(FILTER(Q$4:Q472,Q$4:Q472&lt;&gt;""""))),""^Sell_""),INDEX(FILTER(T$4:T471,Q$4:Q471&lt;&gt;""""),ROWS(FILTER(Q$4:Q471,Q$4:Q471&lt;&gt;""""))),$AD$5+S472))"),"")</f>
        <v/>
      </c>
      <c r="U472" s="10" t="str">
        <f>IFERROR(__xludf.DUMMYFUNCTION("IF(COUNTA(Q472:Q1644)=0,"""",IF(Q472="""",0,IF(REGEXMATCH(Q472,""^Sell_""),-ROUNDDOWN(ROUNDUP(INDEX(Upgrades!$C$3:$C$13,MATCH(SUBSTITUTE(Q472,""Sell_"",""""),Upgrades!$B$3:$B$13,0))*1.15^(COUNTIF(Q$4:Q471,SUBSTITUTE(Q472,""Sell_"",""""))-COUNTIF(Q$4:Q471,"&amp;"""Sell_""&amp;SUBSTITUTE(Q472,""Sell_"",""""))))/2),ROUNDUP(INDEX(Upgrades!$C$3:$C$13,MATCH(Q472,Upgrades!$B$3:$B$13,0))*1.15^(COUNTIF(Q$4:Q471,Q472)-COUNTIF(Q$4:Q471,""Sell_""&amp;Q472))))))"),"")</f>
        <v/>
      </c>
      <c r="V472" s="10" t="str">
        <f t="shared" si="11"/>
        <v/>
      </c>
      <c r="W472" s="68" t="str">
        <f t="shared" si="12"/>
        <v/>
      </c>
      <c r="X472" s="59" t="str">
        <f t="shared" si="13"/>
        <v/>
      </c>
      <c r="Y472" s="69" t="str">
        <f t="shared" si="14"/>
        <v/>
      </c>
      <c r="Z472" s="11"/>
      <c r="AG472" s="59"/>
    </row>
    <row r="473">
      <c r="A473" s="8"/>
      <c r="B473" s="56" t="str">
        <f t="shared" si="2"/>
        <v/>
      </c>
      <c r="C473" s="105"/>
      <c r="D473" s="10"/>
      <c r="E473" s="59" t="str">
        <f t="array" ref="E473">IF(COUNTA(C473:C1644)=0,"",SUM((COUNTIF(C$4:C473,Upgrades!$B$3:$B$13)-COUNTIF(C$4:C473,"Sell_"&amp;Upgrades!$B$3:$B$13))*Upgrades!$D$3:$D$13))</f>
        <v/>
      </c>
      <c r="F473" s="66" t="str">
        <f>IFERROR(__xludf.DUMMYFUNCTION("IF(COUNTA(C473:C1644)=0,"""",IF(REGEXMATCH(INDEX(FILTER(C$4:C473,C$4:C473&lt;&gt;""""),ROWS(FILTER(C$4:C473,C$4:C473&lt;&gt;""""))),""^Sell_""),INDEX(FILTER(F$4:F472,C$4:C472&lt;&gt;""""),ROWS(FILTER(C$4:C472,C$4:C472&lt;&gt;""""))),$AC$5+E473))"),"")</f>
        <v/>
      </c>
      <c r="G473" s="10" t="str">
        <f>IFERROR(__xludf.DUMMYFUNCTION("IF(COUNTA(C473:C1644)=0,"""",IF(C473="""",0,IF(REGEXMATCH(C473,""^Sell_""),-ROUNDDOWN(ROUNDUP(INDEX(Upgrades!$C$3:$C$13,MATCH(SUBSTITUTE(C473,""Sell_"",""""),Upgrades!$B$3:$B$13,0))*1.15^(COUNTIF(C$4:C472,SUBSTITUTE(C473,""Sell_"",""""))-COUNTIF(C$4:C472,"&amp;"""Sell_""&amp;SUBSTITUTE(C473,""Sell_"",""""))))/2),ROUNDUP(INDEX(Upgrades!$C$3:$C$13,MATCH(C473,Upgrades!$B$3:$B$13,0))*1.15^(COUNTIF(C$4:C472,C473)-COUNTIF(C$4:C472,""Sell_""&amp;C473))))))"),"")</f>
        <v/>
      </c>
      <c r="H473" s="10" t="str">
        <f t="shared" si="3"/>
        <v/>
      </c>
      <c r="I473" s="68" t="str">
        <f t="shared" si="4"/>
        <v/>
      </c>
      <c r="J473" s="59" t="str">
        <f t="shared" si="5"/>
        <v/>
      </c>
      <c r="K473" s="69" t="str">
        <f t="shared" si="6"/>
        <v/>
      </c>
      <c r="L473" s="60" t="str">
        <f t="shared" si="7"/>
        <v/>
      </c>
      <c r="M473" s="61" t="str">
        <f>IFERROR(__xludf.DUMMYFUNCTION("IFS(AND(COUNTA(C473:C1644)=0,COUNTA(Q473:Q1644)=0),"""",OR(AND(K473&gt;=1000000000,OR(Y473&gt;=1000000000,COUNTA(Q473:Q1644)=0)),OR(Y473&gt;=1000000000,AND(COUNTA(C473:C1644)=0,P$3=TRUE))),
ROUNDDOWN((AB$1-AC$1)*MAX(INDEX(T$4:T1644,MATCH(LARGE(FILTER(Y$4:Y1644,Y$4"&amp;":Y1644&lt;1000000000),1),Y$4:Y1644)),INDEX(F$4:F1644,MATCH(LARGE(FILTER(K$4:K1644,K$4:K1644&lt;1000000000),1),K$4:K1644)))),AND(K473&lt;1000000000,COUNTA(C473:C1644)&gt;0,P$3=FALSE),
ROUNDDOWN(INDEX(Y$4:Y1644,MATCH(LARGE(FILTER(W$4:W1644,W$4:W1644&lt;=I473),1),W$4:W1644"&amp;"))+(I473-LARGE(FILTER(W$4:W1644,W$4:W1644&lt;=I473),1))*INDEX(T$4:T1644,MATCH(LARGE(FILTER(W$4:W1644,W$4:W1644&lt;=I473),1),W$4:W1644))-K473),1,
ROUNDDOWN(Y473-INDEX(K$4:K1644,MATCH(LARGE(FILTER(I$4:I1644,I$4:I1644&lt;=W473),1),I$4:I1644))-(W473-LARGE(FILTER(I$4:I"&amp;"1644,I$4:I1644&lt;=W473),1))*INDEX(F$4:F1644,MATCH(LARGE(FILTER(I$4:I1644,I$4:I1644&lt;=W473),1),I$4:I1644))))"),"")</f>
        <v/>
      </c>
      <c r="N473" s="60" t="str">
        <f t="shared" si="8"/>
        <v/>
      </c>
      <c r="O473" s="61" t="str">
        <f t="shared" si="9"/>
        <v/>
      </c>
      <c r="P473" s="56" t="str">
        <f t="shared" si="10"/>
        <v/>
      </c>
      <c r="Q473" s="105"/>
      <c r="R473" s="10"/>
      <c r="S473" s="59" t="str">
        <f t="array" ref="S473">IF(COUNTA(Q473:Q1644)=0,"",SUM((COUNTIF(Q$4:Q473,Upgrades!$B$3:$B$13)-COUNTIF(Q$4:Q473,"Sell_"&amp;Upgrades!$B$3:$B$13))*Upgrades!$D$3:$D$13))</f>
        <v/>
      </c>
      <c r="T473" s="66" t="str">
        <f>IFERROR(__xludf.DUMMYFUNCTION("IF(COUNTA(Q473:Q1644)=0,"""",IF(REGEXMATCH(INDEX(FILTER(Q$4:Q473,Q$4:Q473&lt;&gt;""""),ROWS(FILTER(Q$4:Q473,Q$4:Q473&lt;&gt;""""))),""^Sell_""),INDEX(FILTER(T$4:T472,Q$4:Q472&lt;&gt;""""),ROWS(FILTER(Q$4:Q472,Q$4:Q472&lt;&gt;""""))),$AD$5+S473))"),"")</f>
        <v/>
      </c>
      <c r="U473" s="10" t="str">
        <f>IFERROR(__xludf.DUMMYFUNCTION("IF(COUNTA(Q473:Q1644)=0,"""",IF(Q473="""",0,IF(REGEXMATCH(Q473,""^Sell_""),-ROUNDDOWN(ROUNDUP(INDEX(Upgrades!$C$3:$C$13,MATCH(SUBSTITUTE(Q473,""Sell_"",""""),Upgrades!$B$3:$B$13,0))*1.15^(COUNTIF(Q$4:Q472,SUBSTITUTE(Q473,""Sell_"",""""))-COUNTIF(Q$4:Q472,"&amp;"""Sell_""&amp;SUBSTITUTE(Q473,""Sell_"",""""))))/2),ROUNDUP(INDEX(Upgrades!$C$3:$C$13,MATCH(Q473,Upgrades!$B$3:$B$13,0))*1.15^(COUNTIF(Q$4:Q472,Q473)-COUNTIF(Q$4:Q472,""Sell_""&amp;Q473))))))"),"")</f>
        <v/>
      </c>
      <c r="V473" s="10" t="str">
        <f t="shared" si="11"/>
        <v/>
      </c>
      <c r="W473" s="68" t="str">
        <f t="shared" si="12"/>
        <v/>
      </c>
      <c r="X473" s="59" t="str">
        <f t="shared" si="13"/>
        <v/>
      </c>
      <c r="Y473" s="69" t="str">
        <f t="shared" si="14"/>
        <v/>
      </c>
      <c r="Z473" s="11"/>
      <c r="AG473" s="59"/>
    </row>
    <row r="474">
      <c r="A474" s="8"/>
      <c r="B474" s="56" t="str">
        <f t="shared" si="2"/>
        <v/>
      </c>
      <c r="C474" s="105"/>
      <c r="D474" s="10"/>
      <c r="E474" s="59" t="str">
        <f t="array" ref="E474">IF(COUNTA(C474:C1644)=0,"",SUM((COUNTIF(C$4:C474,Upgrades!$B$3:$B$13)-COUNTIF(C$4:C474,"Sell_"&amp;Upgrades!$B$3:$B$13))*Upgrades!$D$3:$D$13))</f>
        <v/>
      </c>
      <c r="F474" s="66" t="str">
        <f>IFERROR(__xludf.DUMMYFUNCTION("IF(COUNTA(C474:C1644)=0,"""",IF(REGEXMATCH(INDEX(FILTER(C$4:C474,C$4:C474&lt;&gt;""""),ROWS(FILTER(C$4:C474,C$4:C474&lt;&gt;""""))),""^Sell_""),INDEX(FILTER(F$4:F473,C$4:C473&lt;&gt;""""),ROWS(FILTER(C$4:C473,C$4:C473&lt;&gt;""""))),$AC$5+E474))"),"")</f>
        <v/>
      </c>
      <c r="G474" s="10" t="str">
        <f>IFERROR(__xludf.DUMMYFUNCTION("IF(COUNTA(C474:C1644)=0,"""",IF(C474="""",0,IF(REGEXMATCH(C474,""^Sell_""),-ROUNDDOWN(ROUNDUP(INDEX(Upgrades!$C$3:$C$13,MATCH(SUBSTITUTE(C474,""Sell_"",""""),Upgrades!$B$3:$B$13,0))*1.15^(COUNTIF(C$4:C473,SUBSTITUTE(C474,""Sell_"",""""))-COUNTIF(C$4:C473,"&amp;"""Sell_""&amp;SUBSTITUTE(C474,""Sell_"",""""))))/2),ROUNDUP(INDEX(Upgrades!$C$3:$C$13,MATCH(C474,Upgrades!$B$3:$B$13,0))*1.15^(COUNTIF(C$4:C473,C474)-COUNTIF(C$4:C473,""Sell_""&amp;C474))))))"),"")</f>
        <v/>
      </c>
      <c r="H474" s="10" t="str">
        <f t="shared" si="3"/>
        <v/>
      </c>
      <c r="I474" s="68" t="str">
        <f t="shared" si="4"/>
        <v/>
      </c>
      <c r="J474" s="59" t="str">
        <f t="shared" si="5"/>
        <v/>
      </c>
      <c r="K474" s="69" t="str">
        <f t="shared" si="6"/>
        <v/>
      </c>
      <c r="L474" s="60" t="str">
        <f t="shared" si="7"/>
        <v/>
      </c>
      <c r="M474" s="61" t="str">
        <f>IFERROR(__xludf.DUMMYFUNCTION("IFS(AND(COUNTA(C474:C1644)=0,COUNTA(Q474:Q1644)=0),"""",OR(AND(K474&gt;=1000000000,OR(Y474&gt;=1000000000,COUNTA(Q474:Q1644)=0)),OR(Y474&gt;=1000000000,AND(COUNTA(C474:C1644)=0,P$3=TRUE))),
ROUNDDOWN((AB$1-AC$1)*MAX(INDEX(T$4:T1644,MATCH(LARGE(FILTER(Y$4:Y1644,Y$4"&amp;":Y1644&lt;1000000000),1),Y$4:Y1644)),INDEX(F$4:F1644,MATCH(LARGE(FILTER(K$4:K1644,K$4:K1644&lt;1000000000),1),K$4:K1644)))),AND(K474&lt;1000000000,COUNTA(C474:C1644)&gt;0,P$3=FALSE),
ROUNDDOWN(INDEX(Y$4:Y1644,MATCH(LARGE(FILTER(W$4:W1644,W$4:W1644&lt;=I474),1),W$4:W1644"&amp;"))+(I474-LARGE(FILTER(W$4:W1644,W$4:W1644&lt;=I474),1))*INDEX(T$4:T1644,MATCH(LARGE(FILTER(W$4:W1644,W$4:W1644&lt;=I474),1),W$4:W1644))-K474),1,
ROUNDDOWN(Y474-INDEX(K$4:K1644,MATCH(LARGE(FILTER(I$4:I1644,I$4:I1644&lt;=W474),1),I$4:I1644))-(W474-LARGE(FILTER(I$4:I"&amp;"1644,I$4:I1644&lt;=W474),1))*INDEX(F$4:F1644,MATCH(LARGE(FILTER(I$4:I1644,I$4:I1644&lt;=W474),1),I$4:I1644))))"),"")</f>
        <v/>
      </c>
      <c r="N474" s="60" t="str">
        <f t="shared" si="8"/>
        <v/>
      </c>
      <c r="O474" s="61" t="str">
        <f t="shared" si="9"/>
        <v/>
      </c>
      <c r="P474" s="56" t="str">
        <f t="shared" si="10"/>
        <v/>
      </c>
      <c r="Q474" s="105"/>
      <c r="R474" s="10"/>
      <c r="S474" s="59" t="str">
        <f t="array" ref="S474">IF(COUNTA(Q474:Q1644)=0,"",SUM((COUNTIF(Q$4:Q474,Upgrades!$B$3:$B$13)-COUNTIF(Q$4:Q474,"Sell_"&amp;Upgrades!$B$3:$B$13))*Upgrades!$D$3:$D$13))</f>
        <v/>
      </c>
      <c r="T474" s="66" t="str">
        <f>IFERROR(__xludf.DUMMYFUNCTION("IF(COUNTA(Q474:Q1644)=0,"""",IF(REGEXMATCH(INDEX(FILTER(Q$4:Q474,Q$4:Q474&lt;&gt;""""),ROWS(FILTER(Q$4:Q474,Q$4:Q474&lt;&gt;""""))),""^Sell_""),INDEX(FILTER(T$4:T473,Q$4:Q473&lt;&gt;""""),ROWS(FILTER(Q$4:Q473,Q$4:Q473&lt;&gt;""""))),$AD$5+S474))"),"")</f>
        <v/>
      </c>
      <c r="U474" s="10" t="str">
        <f>IFERROR(__xludf.DUMMYFUNCTION("IF(COUNTA(Q474:Q1644)=0,"""",IF(Q474="""",0,IF(REGEXMATCH(Q474,""^Sell_""),-ROUNDDOWN(ROUNDUP(INDEX(Upgrades!$C$3:$C$13,MATCH(SUBSTITUTE(Q474,""Sell_"",""""),Upgrades!$B$3:$B$13,0))*1.15^(COUNTIF(Q$4:Q473,SUBSTITUTE(Q474,""Sell_"",""""))-COUNTIF(Q$4:Q473,"&amp;"""Sell_""&amp;SUBSTITUTE(Q474,""Sell_"",""""))))/2),ROUNDUP(INDEX(Upgrades!$C$3:$C$13,MATCH(Q474,Upgrades!$B$3:$B$13,0))*1.15^(COUNTIF(Q$4:Q473,Q474)-COUNTIF(Q$4:Q473,""Sell_""&amp;Q474))))))"),"")</f>
        <v/>
      </c>
      <c r="V474" s="10" t="str">
        <f t="shared" si="11"/>
        <v/>
      </c>
      <c r="W474" s="68" t="str">
        <f t="shared" si="12"/>
        <v/>
      </c>
      <c r="X474" s="59" t="str">
        <f t="shared" si="13"/>
        <v/>
      </c>
      <c r="Y474" s="69" t="str">
        <f t="shared" si="14"/>
        <v/>
      </c>
      <c r="Z474" s="11"/>
      <c r="AG474" s="59"/>
    </row>
    <row r="475">
      <c r="A475" s="8"/>
      <c r="B475" s="56" t="str">
        <f t="shared" si="2"/>
        <v/>
      </c>
      <c r="C475" s="105"/>
      <c r="D475" s="10"/>
      <c r="E475" s="59" t="str">
        <f t="array" ref="E475">IF(COUNTA(C475:C1644)=0,"",SUM((COUNTIF(C$4:C475,Upgrades!$B$3:$B$13)-COUNTIF(C$4:C475,"Sell_"&amp;Upgrades!$B$3:$B$13))*Upgrades!$D$3:$D$13))</f>
        <v/>
      </c>
      <c r="F475" s="66" t="str">
        <f>IFERROR(__xludf.DUMMYFUNCTION("IF(COUNTA(C475:C1644)=0,"""",IF(REGEXMATCH(INDEX(FILTER(C$4:C475,C$4:C475&lt;&gt;""""),ROWS(FILTER(C$4:C475,C$4:C475&lt;&gt;""""))),""^Sell_""),INDEX(FILTER(F$4:F474,C$4:C474&lt;&gt;""""),ROWS(FILTER(C$4:C474,C$4:C474&lt;&gt;""""))),$AC$5+E475))"),"")</f>
        <v/>
      </c>
      <c r="G475" s="10" t="str">
        <f>IFERROR(__xludf.DUMMYFUNCTION("IF(COUNTA(C475:C1644)=0,"""",IF(C475="""",0,IF(REGEXMATCH(C475,""^Sell_""),-ROUNDDOWN(ROUNDUP(INDEX(Upgrades!$C$3:$C$13,MATCH(SUBSTITUTE(C475,""Sell_"",""""),Upgrades!$B$3:$B$13,0))*1.15^(COUNTIF(C$4:C474,SUBSTITUTE(C475,""Sell_"",""""))-COUNTIF(C$4:C474,"&amp;"""Sell_""&amp;SUBSTITUTE(C475,""Sell_"",""""))))/2),ROUNDUP(INDEX(Upgrades!$C$3:$C$13,MATCH(C475,Upgrades!$B$3:$B$13,0))*1.15^(COUNTIF(C$4:C474,C475)-COUNTIF(C$4:C474,""Sell_""&amp;C475))))))"),"")</f>
        <v/>
      </c>
      <c r="H475" s="10" t="str">
        <f t="shared" si="3"/>
        <v/>
      </c>
      <c r="I475" s="68" t="str">
        <f t="shared" si="4"/>
        <v/>
      </c>
      <c r="J475" s="59" t="str">
        <f t="shared" si="5"/>
        <v/>
      </c>
      <c r="K475" s="69" t="str">
        <f t="shared" si="6"/>
        <v/>
      </c>
      <c r="L475" s="60" t="str">
        <f t="shared" si="7"/>
        <v/>
      </c>
      <c r="M475" s="61" t="str">
        <f>IFERROR(__xludf.DUMMYFUNCTION("IFS(AND(COUNTA(C475:C1644)=0,COUNTA(Q475:Q1644)=0),"""",OR(AND(K475&gt;=1000000000,OR(Y475&gt;=1000000000,COUNTA(Q475:Q1644)=0)),OR(Y475&gt;=1000000000,AND(COUNTA(C475:C1644)=0,P$3=TRUE))),
ROUNDDOWN((AB$1-AC$1)*MAX(INDEX(T$4:T1644,MATCH(LARGE(FILTER(Y$4:Y1644,Y$4"&amp;":Y1644&lt;1000000000),1),Y$4:Y1644)),INDEX(F$4:F1644,MATCH(LARGE(FILTER(K$4:K1644,K$4:K1644&lt;1000000000),1),K$4:K1644)))),AND(K475&lt;1000000000,COUNTA(C475:C1644)&gt;0,P$3=FALSE),
ROUNDDOWN(INDEX(Y$4:Y1644,MATCH(LARGE(FILTER(W$4:W1644,W$4:W1644&lt;=I475),1),W$4:W1644"&amp;"))+(I475-LARGE(FILTER(W$4:W1644,W$4:W1644&lt;=I475),1))*INDEX(T$4:T1644,MATCH(LARGE(FILTER(W$4:W1644,W$4:W1644&lt;=I475),1),W$4:W1644))-K475),1,
ROUNDDOWN(Y475-INDEX(K$4:K1644,MATCH(LARGE(FILTER(I$4:I1644,I$4:I1644&lt;=W475),1),I$4:I1644))-(W475-LARGE(FILTER(I$4:I"&amp;"1644,I$4:I1644&lt;=W475),1))*INDEX(F$4:F1644,MATCH(LARGE(FILTER(I$4:I1644,I$4:I1644&lt;=W475),1),I$4:I1644))))"),"")</f>
        <v/>
      </c>
      <c r="N475" s="60" t="str">
        <f t="shared" si="8"/>
        <v/>
      </c>
      <c r="O475" s="61" t="str">
        <f t="shared" si="9"/>
        <v/>
      </c>
      <c r="P475" s="56" t="str">
        <f t="shared" si="10"/>
        <v/>
      </c>
      <c r="Q475" s="105"/>
      <c r="R475" s="10"/>
      <c r="S475" s="59" t="str">
        <f t="array" ref="S475">IF(COUNTA(Q475:Q1644)=0,"",SUM((COUNTIF(Q$4:Q475,Upgrades!$B$3:$B$13)-COUNTIF(Q$4:Q475,"Sell_"&amp;Upgrades!$B$3:$B$13))*Upgrades!$D$3:$D$13))</f>
        <v/>
      </c>
      <c r="T475" s="66" t="str">
        <f>IFERROR(__xludf.DUMMYFUNCTION("IF(COUNTA(Q475:Q1644)=0,"""",IF(REGEXMATCH(INDEX(FILTER(Q$4:Q475,Q$4:Q475&lt;&gt;""""),ROWS(FILTER(Q$4:Q475,Q$4:Q475&lt;&gt;""""))),""^Sell_""),INDEX(FILTER(T$4:T474,Q$4:Q474&lt;&gt;""""),ROWS(FILTER(Q$4:Q474,Q$4:Q474&lt;&gt;""""))),$AD$5+S475))"),"")</f>
        <v/>
      </c>
      <c r="U475" s="10" t="str">
        <f>IFERROR(__xludf.DUMMYFUNCTION("IF(COUNTA(Q475:Q1644)=0,"""",IF(Q475="""",0,IF(REGEXMATCH(Q475,""^Sell_""),-ROUNDDOWN(ROUNDUP(INDEX(Upgrades!$C$3:$C$13,MATCH(SUBSTITUTE(Q475,""Sell_"",""""),Upgrades!$B$3:$B$13,0))*1.15^(COUNTIF(Q$4:Q474,SUBSTITUTE(Q475,""Sell_"",""""))-COUNTIF(Q$4:Q474,"&amp;"""Sell_""&amp;SUBSTITUTE(Q475,""Sell_"",""""))))/2),ROUNDUP(INDEX(Upgrades!$C$3:$C$13,MATCH(Q475,Upgrades!$B$3:$B$13,0))*1.15^(COUNTIF(Q$4:Q474,Q475)-COUNTIF(Q$4:Q474,""Sell_""&amp;Q475))))))"),"")</f>
        <v/>
      </c>
      <c r="V475" s="10" t="str">
        <f t="shared" si="11"/>
        <v/>
      </c>
      <c r="W475" s="68" t="str">
        <f t="shared" si="12"/>
        <v/>
      </c>
      <c r="X475" s="59" t="str">
        <f t="shared" si="13"/>
        <v/>
      </c>
      <c r="Y475" s="69" t="str">
        <f t="shared" si="14"/>
        <v/>
      </c>
      <c r="Z475" s="11"/>
      <c r="AG475" s="59"/>
    </row>
    <row r="476">
      <c r="A476" s="8"/>
      <c r="B476" s="56" t="str">
        <f t="shared" si="2"/>
        <v/>
      </c>
      <c r="C476" s="105"/>
      <c r="D476" s="10"/>
      <c r="E476" s="59" t="str">
        <f t="array" ref="E476">IF(COUNTA(C476:C1644)=0,"",SUM((COUNTIF(C$4:C476,Upgrades!$B$3:$B$13)-COUNTIF(C$4:C476,"Sell_"&amp;Upgrades!$B$3:$B$13))*Upgrades!$D$3:$D$13))</f>
        <v/>
      </c>
      <c r="F476" s="66" t="str">
        <f>IFERROR(__xludf.DUMMYFUNCTION("IF(COUNTA(C476:C1644)=0,"""",IF(REGEXMATCH(INDEX(FILTER(C$4:C476,C$4:C476&lt;&gt;""""),ROWS(FILTER(C$4:C476,C$4:C476&lt;&gt;""""))),""^Sell_""),INDEX(FILTER(F$4:F475,C$4:C475&lt;&gt;""""),ROWS(FILTER(C$4:C475,C$4:C475&lt;&gt;""""))),$AC$5+E476))"),"")</f>
        <v/>
      </c>
      <c r="G476" s="10" t="str">
        <f>IFERROR(__xludf.DUMMYFUNCTION("IF(COUNTA(C476:C1644)=0,"""",IF(C476="""",0,IF(REGEXMATCH(C476,""^Sell_""),-ROUNDDOWN(ROUNDUP(INDEX(Upgrades!$C$3:$C$13,MATCH(SUBSTITUTE(C476,""Sell_"",""""),Upgrades!$B$3:$B$13,0))*1.15^(COUNTIF(C$4:C475,SUBSTITUTE(C476,""Sell_"",""""))-COUNTIF(C$4:C475,"&amp;"""Sell_""&amp;SUBSTITUTE(C476,""Sell_"",""""))))/2),ROUNDUP(INDEX(Upgrades!$C$3:$C$13,MATCH(C476,Upgrades!$B$3:$B$13,0))*1.15^(COUNTIF(C$4:C475,C476)-COUNTIF(C$4:C475,""Sell_""&amp;C476))))))"),"")</f>
        <v/>
      </c>
      <c r="H476" s="10" t="str">
        <f t="shared" si="3"/>
        <v/>
      </c>
      <c r="I476" s="68" t="str">
        <f t="shared" si="4"/>
        <v/>
      </c>
      <c r="J476" s="59" t="str">
        <f t="shared" si="5"/>
        <v/>
      </c>
      <c r="K476" s="69" t="str">
        <f t="shared" si="6"/>
        <v/>
      </c>
      <c r="L476" s="60" t="str">
        <f t="shared" si="7"/>
        <v/>
      </c>
      <c r="M476" s="61" t="str">
        <f>IFERROR(__xludf.DUMMYFUNCTION("IFS(AND(COUNTA(C476:C1644)=0,COUNTA(Q476:Q1644)=0),"""",OR(AND(K476&gt;=1000000000,OR(Y476&gt;=1000000000,COUNTA(Q476:Q1644)=0)),OR(Y476&gt;=1000000000,AND(COUNTA(C476:C1644)=0,P$3=TRUE))),
ROUNDDOWN((AB$1-AC$1)*MAX(INDEX(T$4:T1644,MATCH(LARGE(FILTER(Y$4:Y1644,Y$4"&amp;":Y1644&lt;1000000000),1),Y$4:Y1644)),INDEX(F$4:F1644,MATCH(LARGE(FILTER(K$4:K1644,K$4:K1644&lt;1000000000),1),K$4:K1644)))),AND(K476&lt;1000000000,COUNTA(C476:C1644)&gt;0,P$3=FALSE),
ROUNDDOWN(INDEX(Y$4:Y1644,MATCH(LARGE(FILTER(W$4:W1644,W$4:W1644&lt;=I476),1),W$4:W1644"&amp;"))+(I476-LARGE(FILTER(W$4:W1644,W$4:W1644&lt;=I476),1))*INDEX(T$4:T1644,MATCH(LARGE(FILTER(W$4:W1644,W$4:W1644&lt;=I476),1),W$4:W1644))-K476),1,
ROUNDDOWN(Y476-INDEX(K$4:K1644,MATCH(LARGE(FILTER(I$4:I1644,I$4:I1644&lt;=W476),1),I$4:I1644))-(W476-LARGE(FILTER(I$4:I"&amp;"1644,I$4:I1644&lt;=W476),1))*INDEX(F$4:F1644,MATCH(LARGE(FILTER(I$4:I1644,I$4:I1644&lt;=W476),1),I$4:I1644))))"),"")</f>
        <v/>
      </c>
      <c r="N476" s="60" t="str">
        <f t="shared" si="8"/>
        <v/>
      </c>
      <c r="O476" s="61" t="str">
        <f t="shared" si="9"/>
        <v/>
      </c>
      <c r="P476" s="56" t="str">
        <f t="shared" si="10"/>
        <v/>
      </c>
      <c r="Q476" s="105"/>
      <c r="R476" s="10"/>
      <c r="S476" s="59" t="str">
        <f t="array" ref="S476">IF(COUNTA(Q476:Q1644)=0,"",SUM((COUNTIF(Q$4:Q476,Upgrades!$B$3:$B$13)-COUNTIF(Q$4:Q476,"Sell_"&amp;Upgrades!$B$3:$B$13))*Upgrades!$D$3:$D$13))</f>
        <v/>
      </c>
      <c r="T476" s="66" t="str">
        <f>IFERROR(__xludf.DUMMYFUNCTION("IF(COUNTA(Q476:Q1644)=0,"""",IF(REGEXMATCH(INDEX(FILTER(Q$4:Q476,Q$4:Q476&lt;&gt;""""),ROWS(FILTER(Q$4:Q476,Q$4:Q476&lt;&gt;""""))),""^Sell_""),INDEX(FILTER(T$4:T475,Q$4:Q475&lt;&gt;""""),ROWS(FILTER(Q$4:Q475,Q$4:Q475&lt;&gt;""""))),$AD$5+S476))"),"")</f>
        <v/>
      </c>
      <c r="U476" s="10" t="str">
        <f>IFERROR(__xludf.DUMMYFUNCTION("IF(COUNTA(Q476:Q1644)=0,"""",IF(Q476="""",0,IF(REGEXMATCH(Q476,""^Sell_""),-ROUNDDOWN(ROUNDUP(INDEX(Upgrades!$C$3:$C$13,MATCH(SUBSTITUTE(Q476,""Sell_"",""""),Upgrades!$B$3:$B$13,0))*1.15^(COUNTIF(Q$4:Q475,SUBSTITUTE(Q476,""Sell_"",""""))-COUNTIF(Q$4:Q475,"&amp;"""Sell_""&amp;SUBSTITUTE(Q476,""Sell_"",""""))))/2),ROUNDUP(INDEX(Upgrades!$C$3:$C$13,MATCH(Q476,Upgrades!$B$3:$B$13,0))*1.15^(COUNTIF(Q$4:Q475,Q476)-COUNTIF(Q$4:Q475,""Sell_""&amp;Q476))))))"),"")</f>
        <v/>
      </c>
      <c r="V476" s="10" t="str">
        <f t="shared" si="11"/>
        <v/>
      </c>
      <c r="W476" s="68" t="str">
        <f t="shared" si="12"/>
        <v/>
      </c>
      <c r="X476" s="59" t="str">
        <f t="shared" si="13"/>
        <v/>
      </c>
      <c r="Y476" s="69" t="str">
        <f t="shared" si="14"/>
        <v/>
      </c>
      <c r="Z476" s="11"/>
      <c r="AG476" s="59"/>
    </row>
    <row r="477">
      <c r="A477" s="8"/>
      <c r="B477" s="56" t="str">
        <f t="shared" si="2"/>
        <v/>
      </c>
      <c r="C477" s="105"/>
      <c r="D477" s="10"/>
      <c r="E477" s="59" t="str">
        <f t="array" ref="E477">IF(COUNTA(C477:C1644)=0,"",SUM((COUNTIF(C$4:C477,Upgrades!$B$3:$B$13)-COUNTIF(C$4:C477,"Sell_"&amp;Upgrades!$B$3:$B$13))*Upgrades!$D$3:$D$13))</f>
        <v/>
      </c>
      <c r="F477" s="66" t="str">
        <f>IFERROR(__xludf.DUMMYFUNCTION("IF(COUNTA(C477:C1644)=0,"""",IF(REGEXMATCH(INDEX(FILTER(C$4:C477,C$4:C477&lt;&gt;""""),ROWS(FILTER(C$4:C477,C$4:C477&lt;&gt;""""))),""^Sell_""),INDEX(FILTER(F$4:F476,C$4:C476&lt;&gt;""""),ROWS(FILTER(C$4:C476,C$4:C476&lt;&gt;""""))),$AC$5+E477))"),"")</f>
        <v/>
      </c>
      <c r="G477" s="10" t="str">
        <f>IFERROR(__xludf.DUMMYFUNCTION("IF(COUNTA(C477:C1644)=0,"""",IF(C477="""",0,IF(REGEXMATCH(C477,""^Sell_""),-ROUNDDOWN(ROUNDUP(INDEX(Upgrades!$C$3:$C$13,MATCH(SUBSTITUTE(C477,""Sell_"",""""),Upgrades!$B$3:$B$13,0))*1.15^(COUNTIF(C$4:C476,SUBSTITUTE(C477,""Sell_"",""""))-COUNTIF(C$4:C476,"&amp;"""Sell_""&amp;SUBSTITUTE(C477,""Sell_"",""""))))/2),ROUNDUP(INDEX(Upgrades!$C$3:$C$13,MATCH(C477,Upgrades!$B$3:$B$13,0))*1.15^(COUNTIF(C$4:C476,C477)-COUNTIF(C$4:C476,""Sell_""&amp;C477))))))"),"")</f>
        <v/>
      </c>
      <c r="H477" s="10" t="str">
        <f t="shared" si="3"/>
        <v/>
      </c>
      <c r="I477" s="68" t="str">
        <f t="shared" si="4"/>
        <v/>
      </c>
      <c r="J477" s="59" t="str">
        <f t="shared" si="5"/>
        <v/>
      </c>
      <c r="K477" s="69" t="str">
        <f t="shared" si="6"/>
        <v/>
      </c>
      <c r="L477" s="60" t="str">
        <f t="shared" si="7"/>
        <v/>
      </c>
      <c r="M477" s="61" t="str">
        <f>IFERROR(__xludf.DUMMYFUNCTION("IFS(AND(COUNTA(C477:C1644)=0,COUNTA(Q477:Q1644)=0),"""",OR(AND(K477&gt;=1000000000,OR(Y477&gt;=1000000000,COUNTA(Q477:Q1644)=0)),OR(Y477&gt;=1000000000,AND(COUNTA(C477:C1644)=0,P$3=TRUE))),
ROUNDDOWN((AB$1-AC$1)*MAX(INDEX(T$4:T1644,MATCH(LARGE(FILTER(Y$4:Y1644,Y$4"&amp;":Y1644&lt;1000000000),1),Y$4:Y1644)),INDEX(F$4:F1644,MATCH(LARGE(FILTER(K$4:K1644,K$4:K1644&lt;1000000000),1),K$4:K1644)))),AND(K477&lt;1000000000,COUNTA(C477:C1644)&gt;0,P$3=FALSE),
ROUNDDOWN(INDEX(Y$4:Y1644,MATCH(LARGE(FILTER(W$4:W1644,W$4:W1644&lt;=I477),1),W$4:W1644"&amp;"))+(I477-LARGE(FILTER(W$4:W1644,W$4:W1644&lt;=I477),1))*INDEX(T$4:T1644,MATCH(LARGE(FILTER(W$4:W1644,W$4:W1644&lt;=I477),1),W$4:W1644))-K477),1,
ROUNDDOWN(Y477-INDEX(K$4:K1644,MATCH(LARGE(FILTER(I$4:I1644,I$4:I1644&lt;=W477),1),I$4:I1644))-(W477-LARGE(FILTER(I$4:I"&amp;"1644,I$4:I1644&lt;=W477),1))*INDEX(F$4:F1644,MATCH(LARGE(FILTER(I$4:I1644,I$4:I1644&lt;=W477),1),I$4:I1644))))"),"")</f>
        <v/>
      </c>
      <c r="N477" s="60" t="str">
        <f t="shared" si="8"/>
        <v/>
      </c>
      <c r="O477" s="61" t="str">
        <f t="shared" si="9"/>
        <v/>
      </c>
      <c r="P477" s="56" t="str">
        <f t="shared" si="10"/>
        <v/>
      </c>
      <c r="Q477" s="105"/>
      <c r="R477" s="10"/>
      <c r="S477" s="59" t="str">
        <f t="array" ref="S477">IF(COUNTA(Q477:Q1644)=0,"",SUM((COUNTIF(Q$4:Q477,Upgrades!$B$3:$B$13)-COUNTIF(Q$4:Q477,"Sell_"&amp;Upgrades!$B$3:$B$13))*Upgrades!$D$3:$D$13))</f>
        <v/>
      </c>
      <c r="T477" s="66" t="str">
        <f>IFERROR(__xludf.DUMMYFUNCTION("IF(COUNTA(Q477:Q1644)=0,"""",IF(REGEXMATCH(INDEX(FILTER(Q$4:Q477,Q$4:Q477&lt;&gt;""""),ROWS(FILTER(Q$4:Q477,Q$4:Q477&lt;&gt;""""))),""^Sell_""),INDEX(FILTER(T$4:T476,Q$4:Q476&lt;&gt;""""),ROWS(FILTER(Q$4:Q476,Q$4:Q476&lt;&gt;""""))),$AD$5+S477))"),"")</f>
        <v/>
      </c>
      <c r="U477" s="10" t="str">
        <f>IFERROR(__xludf.DUMMYFUNCTION("IF(COUNTA(Q477:Q1644)=0,"""",IF(Q477="""",0,IF(REGEXMATCH(Q477,""^Sell_""),-ROUNDDOWN(ROUNDUP(INDEX(Upgrades!$C$3:$C$13,MATCH(SUBSTITUTE(Q477,""Sell_"",""""),Upgrades!$B$3:$B$13,0))*1.15^(COUNTIF(Q$4:Q476,SUBSTITUTE(Q477,""Sell_"",""""))-COUNTIF(Q$4:Q476,"&amp;"""Sell_""&amp;SUBSTITUTE(Q477,""Sell_"",""""))))/2),ROUNDUP(INDEX(Upgrades!$C$3:$C$13,MATCH(Q477,Upgrades!$B$3:$B$13,0))*1.15^(COUNTIF(Q$4:Q476,Q477)-COUNTIF(Q$4:Q476,""Sell_""&amp;Q477))))))"),"")</f>
        <v/>
      </c>
      <c r="V477" s="10" t="str">
        <f t="shared" si="11"/>
        <v/>
      </c>
      <c r="W477" s="68" t="str">
        <f t="shared" si="12"/>
        <v/>
      </c>
      <c r="X477" s="59" t="str">
        <f t="shared" si="13"/>
        <v/>
      </c>
      <c r="Y477" s="69" t="str">
        <f t="shared" si="14"/>
        <v/>
      </c>
      <c r="Z477" s="11"/>
      <c r="AG477" s="59"/>
    </row>
    <row r="478">
      <c r="A478" s="8"/>
      <c r="B478" s="56" t="str">
        <f t="shared" si="2"/>
        <v/>
      </c>
      <c r="C478" s="105"/>
      <c r="D478" s="10"/>
      <c r="E478" s="59" t="str">
        <f t="array" ref="E478">IF(COUNTA(C478:C1644)=0,"",SUM((COUNTIF(C$4:C478,Upgrades!$B$3:$B$13)-COUNTIF(C$4:C478,"Sell_"&amp;Upgrades!$B$3:$B$13))*Upgrades!$D$3:$D$13))</f>
        <v/>
      </c>
      <c r="F478" s="66" t="str">
        <f>IFERROR(__xludf.DUMMYFUNCTION("IF(COUNTA(C478:C1644)=0,"""",IF(REGEXMATCH(INDEX(FILTER(C$4:C478,C$4:C478&lt;&gt;""""),ROWS(FILTER(C$4:C478,C$4:C478&lt;&gt;""""))),""^Sell_""),INDEX(FILTER(F$4:F477,C$4:C477&lt;&gt;""""),ROWS(FILTER(C$4:C477,C$4:C477&lt;&gt;""""))),$AC$5+E478))"),"")</f>
        <v/>
      </c>
      <c r="G478" s="10" t="str">
        <f>IFERROR(__xludf.DUMMYFUNCTION("IF(COUNTA(C478:C1644)=0,"""",IF(C478="""",0,IF(REGEXMATCH(C478,""^Sell_""),-ROUNDDOWN(ROUNDUP(INDEX(Upgrades!$C$3:$C$13,MATCH(SUBSTITUTE(C478,""Sell_"",""""),Upgrades!$B$3:$B$13,0))*1.15^(COUNTIF(C$4:C477,SUBSTITUTE(C478,""Sell_"",""""))-COUNTIF(C$4:C477,"&amp;"""Sell_""&amp;SUBSTITUTE(C478,""Sell_"",""""))))/2),ROUNDUP(INDEX(Upgrades!$C$3:$C$13,MATCH(C478,Upgrades!$B$3:$B$13,0))*1.15^(COUNTIF(C$4:C477,C478)-COUNTIF(C$4:C477,""Sell_""&amp;C478))))))"),"")</f>
        <v/>
      </c>
      <c r="H478" s="10" t="str">
        <f t="shared" si="3"/>
        <v/>
      </c>
      <c r="I478" s="68" t="str">
        <f t="shared" si="4"/>
        <v/>
      </c>
      <c r="J478" s="59" t="str">
        <f t="shared" si="5"/>
        <v/>
      </c>
      <c r="K478" s="69" t="str">
        <f t="shared" si="6"/>
        <v/>
      </c>
      <c r="L478" s="60" t="str">
        <f t="shared" si="7"/>
        <v/>
      </c>
      <c r="M478" s="61" t="str">
        <f>IFERROR(__xludf.DUMMYFUNCTION("IFS(AND(COUNTA(C478:C1644)=0,COUNTA(Q478:Q1644)=0),"""",OR(AND(K478&gt;=1000000000,OR(Y478&gt;=1000000000,COUNTA(Q478:Q1644)=0)),OR(Y478&gt;=1000000000,AND(COUNTA(C478:C1644)=0,P$3=TRUE))),
ROUNDDOWN((AB$1-AC$1)*MAX(INDEX(T$4:T1644,MATCH(LARGE(FILTER(Y$4:Y1644,Y$4"&amp;":Y1644&lt;1000000000),1),Y$4:Y1644)),INDEX(F$4:F1644,MATCH(LARGE(FILTER(K$4:K1644,K$4:K1644&lt;1000000000),1),K$4:K1644)))),AND(K478&lt;1000000000,COUNTA(C478:C1644)&gt;0,P$3=FALSE),
ROUNDDOWN(INDEX(Y$4:Y1644,MATCH(LARGE(FILTER(W$4:W1644,W$4:W1644&lt;=I478),1),W$4:W1644"&amp;"))+(I478-LARGE(FILTER(W$4:W1644,W$4:W1644&lt;=I478),1))*INDEX(T$4:T1644,MATCH(LARGE(FILTER(W$4:W1644,W$4:W1644&lt;=I478),1),W$4:W1644))-K478),1,
ROUNDDOWN(Y478-INDEX(K$4:K1644,MATCH(LARGE(FILTER(I$4:I1644,I$4:I1644&lt;=W478),1),I$4:I1644))-(W478-LARGE(FILTER(I$4:I"&amp;"1644,I$4:I1644&lt;=W478),1))*INDEX(F$4:F1644,MATCH(LARGE(FILTER(I$4:I1644,I$4:I1644&lt;=W478),1),I$4:I1644))))"),"")</f>
        <v/>
      </c>
      <c r="N478" s="60" t="str">
        <f t="shared" si="8"/>
        <v/>
      </c>
      <c r="O478" s="61" t="str">
        <f t="shared" si="9"/>
        <v/>
      </c>
      <c r="P478" s="56" t="str">
        <f t="shared" si="10"/>
        <v/>
      </c>
      <c r="Q478" s="105"/>
      <c r="R478" s="10"/>
      <c r="S478" s="59" t="str">
        <f t="array" ref="S478">IF(COUNTA(Q478:Q1644)=0,"",SUM((COUNTIF(Q$4:Q478,Upgrades!$B$3:$B$13)-COUNTIF(Q$4:Q478,"Sell_"&amp;Upgrades!$B$3:$B$13))*Upgrades!$D$3:$D$13))</f>
        <v/>
      </c>
      <c r="T478" s="66" t="str">
        <f>IFERROR(__xludf.DUMMYFUNCTION("IF(COUNTA(Q478:Q1644)=0,"""",IF(REGEXMATCH(INDEX(FILTER(Q$4:Q478,Q$4:Q478&lt;&gt;""""),ROWS(FILTER(Q$4:Q478,Q$4:Q478&lt;&gt;""""))),""^Sell_""),INDEX(FILTER(T$4:T477,Q$4:Q477&lt;&gt;""""),ROWS(FILTER(Q$4:Q477,Q$4:Q477&lt;&gt;""""))),$AD$5+S478))"),"")</f>
        <v/>
      </c>
      <c r="U478" s="10" t="str">
        <f>IFERROR(__xludf.DUMMYFUNCTION("IF(COUNTA(Q478:Q1644)=0,"""",IF(Q478="""",0,IF(REGEXMATCH(Q478,""^Sell_""),-ROUNDDOWN(ROUNDUP(INDEX(Upgrades!$C$3:$C$13,MATCH(SUBSTITUTE(Q478,""Sell_"",""""),Upgrades!$B$3:$B$13,0))*1.15^(COUNTIF(Q$4:Q477,SUBSTITUTE(Q478,""Sell_"",""""))-COUNTIF(Q$4:Q477,"&amp;"""Sell_""&amp;SUBSTITUTE(Q478,""Sell_"",""""))))/2),ROUNDUP(INDEX(Upgrades!$C$3:$C$13,MATCH(Q478,Upgrades!$B$3:$B$13,0))*1.15^(COUNTIF(Q$4:Q477,Q478)-COUNTIF(Q$4:Q477,""Sell_""&amp;Q478))))))"),"")</f>
        <v/>
      </c>
      <c r="V478" s="10" t="str">
        <f t="shared" si="11"/>
        <v/>
      </c>
      <c r="W478" s="68" t="str">
        <f t="shared" si="12"/>
        <v/>
      </c>
      <c r="X478" s="59" t="str">
        <f t="shared" si="13"/>
        <v/>
      </c>
      <c r="Y478" s="69" t="str">
        <f t="shared" si="14"/>
        <v/>
      </c>
      <c r="Z478" s="11"/>
      <c r="AG478" s="59"/>
    </row>
    <row r="479">
      <c r="A479" s="8"/>
      <c r="B479" s="56" t="str">
        <f t="shared" si="2"/>
        <v/>
      </c>
      <c r="C479" s="105"/>
      <c r="D479" s="10"/>
      <c r="E479" s="59" t="str">
        <f t="array" ref="E479">IF(COUNTA(C479:C1644)=0,"",SUM((COUNTIF(C$4:C479,Upgrades!$B$3:$B$13)-COUNTIF(C$4:C479,"Sell_"&amp;Upgrades!$B$3:$B$13))*Upgrades!$D$3:$D$13))</f>
        <v/>
      </c>
      <c r="F479" s="66" t="str">
        <f>IFERROR(__xludf.DUMMYFUNCTION("IF(COUNTA(C479:C1644)=0,"""",IF(REGEXMATCH(INDEX(FILTER(C$4:C479,C$4:C479&lt;&gt;""""),ROWS(FILTER(C$4:C479,C$4:C479&lt;&gt;""""))),""^Sell_""),INDEX(FILTER(F$4:F478,C$4:C478&lt;&gt;""""),ROWS(FILTER(C$4:C478,C$4:C478&lt;&gt;""""))),$AC$5+E479))"),"")</f>
        <v/>
      </c>
      <c r="G479" s="10" t="str">
        <f>IFERROR(__xludf.DUMMYFUNCTION("IF(COUNTA(C479:C1644)=0,"""",IF(C479="""",0,IF(REGEXMATCH(C479,""^Sell_""),-ROUNDDOWN(ROUNDUP(INDEX(Upgrades!$C$3:$C$13,MATCH(SUBSTITUTE(C479,""Sell_"",""""),Upgrades!$B$3:$B$13,0))*1.15^(COUNTIF(C$4:C478,SUBSTITUTE(C479,""Sell_"",""""))-COUNTIF(C$4:C478,"&amp;"""Sell_""&amp;SUBSTITUTE(C479,""Sell_"",""""))))/2),ROUNDUP(INDEX(Upgrades!$C$3:$C$13,MATCH(C479,Upgrades!$B$3:$B$13,0))*1.15^(COUNTIF(C$4:C478,C479)-COUNTIF(C$4:C478,""Sell_""&amp;C479))))))"),"")</f>
        <v/>
      </c>
      <c r="H479" s="10" t="str">
        <f t="shared" si="3"/>
        <v/>
      </c>
      <c r="I479" s="68" t="str">
        <f t="shared" si="4"/>
        <v/>
      </c>
      <c r="J479" s="59" t="str">
        <f t="shared" si="5"/>
        <v/>
      </c>
      <c r="K479" s="69" t="str">
        <f t="shared" si="6"/>
        <v/>
      </c>
      <c r="L479" s="60" t="str">
        <f t="shared" si="7"/>
        <v/>
      </c>
      <c r="M479" s="61" t="str">
        <f>IFERROR(__xludf.DUMMYFUNCTION("IFS(AND(COUNTA(C479:C1644)=0,COUNTA(Q479:Q1644)=0),"""",OR(AND(K479&gt;=1000000000,OR(Y479&gt;=1000000000,COUNTA(Q479:Q1644)=0)),OR(Y479&gt;=1000000000,AND(COUNTA(C479:C1644)=0,P$3=TRUE))),
ROUNDDOWN((AB$1-AC$1)*MAX(INDEX(T$4:T1644,MATCH(LARGE(FILTER(Y$4:Y1644,Y$4"&amp;":Y1644&lt;1000000000),1),Y$4:Y1644)),INDEX(F$4:F1644,MATCH(LARGE(FILTER(K$4:K1644,K$4:K1644&lt;1000000000),1),K$4:K1644)))),AND(K479&lt;1000000000,COUNTA(C479:C1644)&gt;0,P$3=FALSE),
ROUNDDOWN(INDEX(Y$4:Y1644,MATCH(LARGE(FILTER(W$4:W1644,W$4:W1644&lt;=I479),1),W$4:W1644"&amp;"))+(I479-LARGE(FILTER(W$4:W1644,W$4:W1644&lt;=I479),1))*INDEX(T$4:T1644,MATCH(LARGE(FILTER(W$4:W1644,W$4:W1644&lt;=I479),1),W$4:W1644))-K479),1,
ROUNDDOWN(Y479-INDEX(K$4:K1644,MATCH(LARGE(FILTER(I$4:I1644,I$4:I1644&lt;=W479),1),I$4:I1644))-(W479-LARGE(FILTER(I$4:I"&amp;"1644,I$4:I1644&lt;=W479),1))*INDEX(F$4:F1644,MATCH(LARGE(FILTER(I$4:I1644,I$4:I1644&lt;=W479),1),I$4:I1644))))"),"")</f>
        <v/>
      </c>
      <c r="N479" s="60" t="str">
        <f t="shared" si="8"/>
        <v/>
      </c>
      <c r="O479" s="61" t="str">
        <f t="shared" si="9"/>
        <v/>
      </c>
      <c r="P479" s="56" t="str">
        <f t="shared" si="10"/>
        <v/>
      </c>
      <c r="Q479" s="105"/>
      <c r="R479" s="10"/>
      <c r="S479" s="59" t="str">
        <f t="array" ref="S479">IF(COUNTA(Q479:Q1644)=0,"",SUM((COUNTIF(Q$4:Q479,Upgrades!$B$3:$B$13)-COUNTIF(Q$4:Q479,"Sell_"&amp;Upgrades!$B$3:$B$13))*Upgrades!$D$3:$D$13))</f>
        <v/>
      </c>
      <c r="T479" s="66" t="str">
        <f>IFERROR(__xludf.DUMMYFUNCTION("IF(COUNTA(Q479:Q1644)=0,"""",IF(REGEXMATCH(INDEX(FILTER(Q$4:Q479,Q$4:Q479&lt;&gt;""""),ROWS(FILTER(Q$4:Q479,Q$4:Q479&lt;&gt;""""))),""^Sell_""),INDEX(FILTER(T$4:T478,Q$4:Q478&lt;&gt;""""),ROWS(FILTER(Q$4:Q478,Q$4:Q478&lt;&gt;""""))),$AD$5+S479))"),"")</f>
        <v/>
      </c>
      <c r="U479" s="10" t="str">
        <f>IFERROR(__xludf.DUMMYFUNCTION("IF(COUNTA(Q479:Q1644)=0,"""",IF(Q479="""",0,IF(REGEXMATCH(Q479,""^Sell_""),-ROUNDDOWN(ROUNDUP(INDEX(Upgrades!$C$3:$C$13,MATCH(SUBSTITUTE(Q479,""Sell_"",""""),Upgrades!$B$3:$B$13,0))*1.15^(COUNTIF(Q$4:Q478,SUBSTITUTE(Q479,""Sell_"",""""))-COUNTIF(Q$4:Q478,"&amp;"""Sell_""&amp;SUBSTITUTE(Q479,""Sell_"",""""))))/2),ROUNDUP(INDEX(Upgrades!$C$3:$C$13,MATCH(Q479,Upgrades!$B$3:$B$13,0))*1.15^(COUNTIF(Q$4:Q478,Q479)-COUNTIF(Q$4:Q478,""Sell_""&amp;Q479))))))"),"")</f>
        <v/>
      </c>
      <c r="V479" s="10" t="str">
        <f t="shared" si="11"/>
        <v/>
      </c>
      <c r="W479" s="68" t="str">
        <f t="shared" si="12"/>
        <v/>
      </c>
      <c r="X479" s="59" t="str">
        <f t="shared" si="13"/>
        <v/>
      </c>
      <c r="Y479" s="69" t="str">
        <f t="shared" si="14"/>
        <v/>
      </c>
      <c r="Z479" s="11"/>
      <c r="AG479" s="59"/>
    </row>
    <row r="480">
      <c r="A480" s="8"/>
      <c r="B480" s="56" t="str">
        <f t="shared" si="2"/>
        <v/>
      </c>
      <c r="C480" s="105"/>
      <c r="D480" s="10"/>
      <c r="E480" s="59" t="str">
        <f t="array" ref="E480">IF(COUNTA(C480:C1644)=0,"",SUM((COUNTIF(C$4:C480,Upgrades!$B$3:$B$13)-COUNTIF(C$4:C480,"Sell_"&amp;Upgrades!$B$3:$B$13))*Upgrades!$D$3:$D$13))</f>
        <v/>
      </c>
      <c r="F480" s="66" t="str">
        <f>IFERROR(__xludf.DUMMYFUNCTION("IF(COUNTA(C480:C1644)=0,"""",IF(REGEXMATCH(INDEX(FILTER(C$4:C480,C$4:C480&lt;&gt;""""),ROWS(FILTER(C$4:C480,C$4:C480&lt;&gt;""""))),""^Sell_""),INDEX(FILTER(F$4:F479,C$4:C479&lt;&gt;""""),ROWS(FILTER(C$4:C479,C$4:C479&lt;&gt;""""))),$AC$5+E480))"),"")</f>
        <v/>
      </c>
      <c r="G480" s="10" t="str">
        <f>IFERROR(__xludf.DUMMYFUNCTION("IF(COUNTA(C480:C1644)=0,"""",IF(C480="""",0,IF(REGEXMATCH(C480,""^Sell_""),-ROUNDDOWN(ROUNDUP(INDEX(Upgrades!$C$3:$C$13,MATCH(SUBSTITUTE(C480,""Sell_"",""""),Upgrades!$B$3:$B$13,0))*1.15^(COUNTIF(C$4:C479,SUBSTITUTE(C480,""Sell_"",""""))-COUNTIF(C$4:C479,"&amp;"""Sell_""&amp;SUBSTITUTE(C480,""Sell_"",""""))))/2),ROUNDUP(INDEX(Upgrades!$C$3:$C$13,MATCH(C480,Upgrades!$B$3:$B$13,0))*1.15^(COUNTIF(C$4:C479,C480)-COUNTIF(C$4:C479,""Sell_""&amp;C480))))))"),"")</f>
        <v/>
      </c>
      <c r="H480" s="10" t="str">
        <f t="shared" si="3"/>
        <v/>
      </c>
      <c r="I480" s="68" t="str">
        <f t="shared" si="4"/>
        <v/>
      </c>
      <c r="J480" s="59" t="str">
        <f t="shared" si="5"/>
        <v/>
      </c>
      <c r="K480" s="69" t="str">
        <f t="shared" si="6"/>
        <v/>
      </c>
      <c r="L480" s="60" t="str">
        <f t="shared" si="7"/>
        <v/>
      </c>
      <c r="M480" s="61" t="str">
        <f>IFERROR(__xludf.DUMMYFUNCTION("IFS(AND(COUNTA(C480:C1644)=0,COUNTA(Q480:Q1644)=0),"""",OR(AND(K480&gt;=1000000000,OR(Y480&gt;=1000000000,COUNTA(Q480:Q1644)=0)),OR(Y480&gt;=1000000000,AND(COUNTA(C480:C1644)=0,P$3=TRUE))),
ROUNDDOWN((AB$1-AC$1)*MAX(INDEX(T$4:T1644,MATCH(LARGE(FILTER(Y$4:Y1644,Y$4"&amp;":Y1644&lt;1000000000),1),Y$4:Y1644)),INDEX(F$4:F1644,MATCH(LARGE(FILTER(K$4:K1644,K$4:K1644&lt;1000000000),1),K$4:K1644)))),AND(K480&lt;1000000000,COUNTA(C480:C1644)&gt;0,P$3=FALSE),
ROUNDDOWN(INDEX(Y$4:Y1644,MATCH(LARGE(FILTER(W$4:W1644,W$4:W1644&lt;=I480),1),W$4:W1644"&amp;"))+(I480-LARGE(FILTER(W$4:W1644,W$4:W1644&lt;=I480),1))*INDEX(T$4:T1644,MATCH(LARGE(FILTER(W$4:W1644,W$4:W1644&lt;=I480),1),W$4:W1644))-K480),1,
ROUNDDOWN(Y480-INDEX(K$4:K1644,MATCH(LARGE(FILTER(I$4:I1644,I$4:I1644&lt;=W480),1),I$4:I1644))-(W480-LARGE(FILTER(I$4:I"&amp;"1644,I$4:I1644&lt;=W480),1))*INDEX(F$4:F1644,MATCH(LARGE(FILTER(I$4:I1644,I$4:I1644&lt;=W480),1),I$4:I1644))))"),"")</f>
        <v/>
      </c>
      <c r="N480" s="60" t="str">
        <f t="shared" si="8"/>
        <v/>
      </c>
      <c r="O480" s="61" t="str">
        <f t="shared" si="9"/>
        <v/>
      </c>
      <c r="P480" s="56" t="str">
        <f t="shared" si="10"/>
        <v/>
      </c>
      <c r="Q480" s="105"/>
      <c r="R480" s="10"/>
      <c r="S480" s="59" t="str">
        <f t="array" ref="S480">IF(COUNTA(Q480:Q1644)=0,"",SUM((COUNTIF(Q$4:Q480,Upgrades!$B$3:$B$13)-COUNTIF(Q$4:Q480,"Sell_"&amp;Upgrades!$B$3:$B$13))*Upgrades!$D$3:$D$13))</f>
        <v/>
      </c>
      <c r="T480" s="66" t="str">
        <f>IFERROR(__xludf.DUMMYFUNCTION("IF(COUNTA(Q480:Q1644)=0,"""",IF(REGEXMATCH(INDEX(FILTER(Q$4:Q480,Q$4:Q480&lt;&gt;""""),ROWS(FILTER(Q$4:Q480,Q$4:Q480&lt;&gt;""""))),""^Sell_""),INDEX(FILTER(T$4:T479,Q$4:Q479&lt;&gt;""""),ROWS(FILTER(Q$4:Q479,Q$4:Q479&lt;&gt;""""))),$AD$5+S480))"),"")</f>
        <v/>
      </c>
      <c r="U480" s="10" t="str">
        <f>IFERROR(__xludf.DUMMYFUNCTION("IF(COUNTA(Q480:Q1644)=0,"""",IF(Q480="""",0,IF(REGEXMATCH(Q480,""^Sell_""),-ROUNDDOWN(ROUNDUP(INDEX(Upgrades!$C$3:$C$13,MATCH(SUBSTITUTE(Q480,""Sell_"",""""),Upgrades!$B$3:$B$13,0))*1.15^(COUNTIF(Q$4:Q479,SUBSTITUTE(Q480,""Sell_"",""""))-COUNTIF(Q$4:Q479,"&amp;"""Sell_""&amp;SUBSTITUTE(Q480,""Sell_"",""""))))/2),ROUNDUP(INDEX(Upgrades!$C$3:$C$13,MATCH(Q480,Upgrades!$B$3:$B$13,0))*1.15^(COUNTIF(Q$4:Q479,Q480)-COUNTIF(Q$4:Q479,""Sell_""&amp;Q480))))))"),"")</f>
        <v/>
      </c>
      <c r="V480" s="10" t="str">
        <f t="shared" si="11"/>
        <v/>
      </c>
      <c r="W480" s="68" t="str">
        <f t="shared" si="12"/>
        <v/>
      </c>
      <c r="X480" s="59" t="str">
        <f t="shared" si="13"/>
        <v/>
      </c>
      <c r="Y480" s="69" t="str">
        <f t="shared" si="14"/>
        <v/>
      </c>
      <c r="Z480" s="11"/>
      <c r="AG480" s="59"/>
    </row>
    <row r="481">
      <c r="A481" s="8"/>
      <c r="B481" s="56" t="str">
        <f t="shared" si="2"/>
        <v/>
      </c>
      <c r="C481" s="105"/>
      <c r="D481" s="10"/>
      <c r="E481" s="59" t="str">
        <f t="array" ref="E481">IF(COUNTA(C481:C1644)=0,"",SUM((COUNTIF(C$4:C481,Upgrades!$B$3:$B$13)-COUNTIF(C$4:C481,"Sell_"&amp;Upgrades!$B$3:$B$13))*Upgrades!$D$3:$D$13))</f>
        <v/>
      </c>
      <c r="F481" s="66" t="str">
        <f>IFERROR(__xludf.DUMMYFUNCTION("IF(COUNTA(C481:C1644)=0,"""",IF(REGEXMATCH(INDEX(FILTER(C$4:C481,C$4:C481&lt;&gt;""""),ROWS(FILTER(C$4:C481,C$4:C481&lt;&gt;""""))),""^Sell_""),INDEX(FILTER(F$4:F480,C$4:C480&lt;&gt;""""),ROWS(FILTER(C$4:C480,C$4:C480&lt;&gt;""""))),$AC$5+E481))"),"")</f>
        <v/>
      </c>
      <c r="G481" s="10" t="str">
        <f>IFERROR(__xludf.DUMMYFUNCTION("IF(COUNTA(C481:C1644)=0,"""",IF(C481="""",0,IF(REGEXMATCH(C481,""^Sell_""),-ROUNDDOWN(ROUNDUP(INDEX(Upgrades!$C$3:$C$13,MATCH(SUBSTITUTE(C481,""Sell_"",""""),Upgrades!$B$3:$B$13,0))*1.15^(COUNTIF(C$4:C480,SUBSTITUTE(C481,""Sell_"",""""))-COUNTIF(C$4:C480,"&amp;"""Sell_""&amp;SUBSTITUTE(C481,""Sell_"",""""))))/2),ROUNDUP(INDEX(Upgrades!$C$3:$C$13,MATCH(C481,Upgrades!$B$3:$B$13,0))*1.15^(COUNTIF(C$4:C480,C481)-COUNTIF(C$4:C480,""Sell_""&amp;C481))))))"),"")</f>
        <v/>
      </c>
      <c r="H481" s="10" t="str">
        <f t="shared" si="3"/>
        <v/>
      </c>
      <c r="I481" s="68" t="str">
        <f t="shared" si="4"/>
        <v/>
      </c>
      <c r="J481" s="59" t="str">
        <f t="shared" si="5"/>
        <v/>
      </c>
      <c r="K481" s="69" t="str">
        <f t="shared" si="6"/>
        <v/>
      </c>
      <c r="L481" s="60" t="str">
        <f t="shared" si="7"/>
        <v/>
      </c>
      <c r="M481" s="61" t="str">
        <f>IFERROR(__xludf.DUMMYFUNCTION("IFS(AND(COUNTA(C481:C1644)=0,COUNTA(Q481:Q1644)=0),"""",OR(AND(K481&gt;=1000000000,OR(Y481&gt;=1000000000,COUNTA(Q481:Q1644)=0)),OR(Y481&gt;=1000000000,AND(COUNTA(C481:C1644)=0,P$3=TRUE))),
ROUNDDOWN((AB$1-AC$1)*MAX(INDEX(T$4:T1644,MATCH(LARGE(FILTER(Y$4:Y1644,Y$4"&amp;":Y1644&lt;1000000000),1),Y$4:Y1644)),INDEX(F$4:F1644,MATCH(LARGE(FILTER(K$4:K1644,K$4:K1644&lt;1000000000),1),K$4:K1644)))),AND(K481&lt;1000000000,COUNTA(C481:C1644)&gt;0,P$3=FALSE),
ROUNDDOWN(INDEX(Y$4:Y1644,MATCH(LARGE(FILTER(W$4:W1644,W$4:W1644&lt;=I481),1),W$4:W1644"&amp;"))+(I481-LARGE(FILTER(W$4:W1644,W$4:W1644&lt;=I481),1))*INDEX(T$4:T1644,MATCH(LARGE(FILTER(W$4:W1644,W$4:W1644&lt;=I481),1),W$4:W1644))-K481),1,
ROUNDDOWN(Y481-INDEX(K$4:K1644,MATCH(LARGE(FILTER(I$4:I1644,I$4:I1644&lt;=W481),1),I$4:I1644))-(W481-LARGE(FILTER(I$4:I"&amp;"1644,I$4:I1644&lt;=W481),1))*INDEX(F$4:F1644,MATCH(LARGE(FILTER(I$4:I1644,I$4:I1644&lt;=W481),1),I$4:I1644))))"),"")</f>
        <v/>
      </c>
      <c r="N481" s="60" t="str">
        <f t="shared" si="8"/>
        <v/>
      </c>
      <c r="O481" s="61" t="str">
        <f t="shared" si="9"/>
        <v/>
      </c>
      <c r="P481" s="56" t="str">
        <f t="shared" si="10"/>
        <v/>
      </c>
      <c r="Q481" s="105"/>
      <c r="R481" s="10"/>
      <c r="S481" s="59" t="str">
        <f t="array" ref="S481">IF(COUNTA(Q481:Q1644)=0,"",SUM((COUNTIF(Q$4:Q481,Upgrades!$B$3:$B$13)-COUNTIF(Q$4:Q481,"Sell_"&amp;Upgrades!$B$3:$B$13))*Upgrades!$D$3:$D$13))</f>
        <v/>
      </c>
      <c r="T481" s="66" t="str">
        <f>IFERROR(__xludf.DUMMYFUNCTION("IF(COUNTA(Q481:Q1644)=0,"""",IF(REGEXMATCH(INDEX(FILTER(Q$4:Q481,Q$4:Q481&lt;&gt;""""),ROWS(FILTER(Q$4:Q481,Q$4:Q481&lt;&gt;""""))),""^Sell_""),INDEX(FILTER(T$4:T480,Q$4:Q480&lt;&gt;""""),ROWS(FILTER(Q$4:Q480,Q$4:Q480&lt;&gt;""""))),$AD$5+S481))"),"")</f>
        <v/>
      </c>
      <c r="U481" s="10" t="str">
        <f>IFERROR(__xludf.DUMMYFUNCTION("IF(COUNTA(Q481:Q1644)=0,"""",IF(Q481="""",0,IF(REGEXMATCH(Q481,""^Sell_""),-ROUNDDOWN(ROUNDUP(INDEX(Upgrades!$C$3:$C$13,MATCH(SUBSTITUTE(Q481,""Sell_"",""""),Upgrades!$B$3:$B$13,0))*1.15^(COUNTIF(Q$4:Q480,SUBSTITUTE(Q481,""Sell_"",""""))-COUNTIF(Q$4:Q480,"&amp;"""Sell_""&amp;SUBSTITUTE(Q481,""Sell_"",""""))))/2),ROUNDUP(INDEX(Upgrades!$C$3:$C$13,MATCH(Q481,Upgrades!$B$3:$B$13,0))*1.15^(COUNTIF(Q$4:Q480,Q481)-COUNTIF(Q$4:Q480,""Sell_""&amp;Q481))))))"),"")</f>
        <v/>
      </c>
      <c r="V481" s="10" t="str">
        <f t="shared" si="11"/>
        <v/>
      </c>
      <c r="W481" s="68" t="str">
        <f t="shared" si="12"/>
        <v/>
      </c>
      <c r="X481" s="59" t="str">
        <f t="shared" si="13"/>
        <v/>
      </c>
      <c r="Y481" s="69" t="str">
        <f t="shared" si="14"/>
        <v/>
      </c>
      <c r="Z481" s="11"/>
      <c r="AG481" s="59"/>
    </row>
    <row r="482">
      <c r="A482" s="8"/>
      <c r="B482" s="56" t="str">
        <f t="shared" si="2"/>
        <v/>
      </c>
      <c r="C482" s="105"/>
      <c r="D482" s="10"/>
      <c r="E482" s="59" t="str">
        <f t="array" ref="E482">IF(COUNTA(C482:C1644)=0,"",SUM((COUNTIF(C$4:C482,Upgrades!$B$3:$B$13)-COUNTIF(C$4:C482,"Sell_"&amp;Upgrades!$B$3:$B$13))*Upgrades!$D$3:$D$13))</f>
        <v/>
      </c>
      <c r="F482" s="66" t="str">
        <f>IFERROR(__xludf.DUMMYFUNCTION("IF(COUNTA(C482:C1644)=0,"""",IF(REGEXMATCH(INDEX(FILTER(C$4:C482,C$4:C482&lt;&gt;""""),ROWS(FILTER(C$4:C482,C$4:C482&lt;&gt;""""))),""^Sell_""),INDEX(FILTER(F$4:F481,C$4:C481&lt;&gt;""""),ROWS(FILTER(C$4:C481,C$4:C481&lt;&gt;""""))),$AC$5+E482))"),"")</f>
        <v/>
      </c>
      <c r="G482" s="10" t="str">
        <f>IFERROR(__xludf.DUMMYFUNCTION("IF(COUNTA(C482:C1644)=0,"""",IF(C482="""",0,IF(REGEXMATCH(C482,""^Sell_""),-ROUNDDOWN(ROUNDUP(INDEX(Upgrades!$C$3:$C$13,MATCH(SUBSTITUTE(C482,""Sell_"",""""),Upgrades!$B$3:$B$13,0))*1.15^(COUNTIF(C$4:C481,SUBSTITUTE(C482,""Sell_"",""""))-COUNTIF(C$4:C481,"&amp;"""Sell_""&amp;SUBSTITUTE(C482,""Sell_"",""""))))/2),ROUNDUP(INDEX(Upgrades!$C$3:$C$13,MATCH(C482,Upgrades!$B$3:$B$13,0))*1.15^(COUNTIF(C$4:C481,C482)-COUNTIF(C$4:C481,""Sell_""&amp;C482))))))"),"")</f>
        <v/>
      </c>
      <c r="H482" s="10" t="str">
        <f t="shared" si="3"/>
        <v/>
      </c>
      <c r="I482" s="68" t="str">
        <f t="shared" si="4"/>
        <v/>
      </c>
      <c r="J482" s="59" t="str">
        <f t="shared" si="5"/>
        <v/>
      </c>
      <c r="K482" s="69" t="str">
        <f t="shared" si="6"/>
        <v/>
      </c>
      <c r="L482" s="60" t="str">
        <f t="shared" si="7"/>
        <v/>
      </c>
      <c r="M482" s="61" t="str">
        <f>IFERROR(__xludf.DUMMYFUNCTION("IFS(AND(COUNTA(C482:C1644)=0,COUNTA(Q482:Q1644)=0),"""",OR(AND(K482&gt;=1000000000,OR(Y482&gt;=1000000000,COUNTA(Q482:Q1644)=0)),OR(Y482&gt;=1000000000,AND(COUNTA(C482:C1644)=0,P$3=TRUE))),
ROUNDDOWN((AB$1-AC$1)*MAX(INDEX(T$4:T1644,MATCH(LARGE(FILTER(Y$4:Y1644,Y$4"&amp;":Y1644&lt;1000000000),1),Y$4:Y1644)),INDEX(F$4:F1644,MATCH(LARGE(FILTER(K$4:K1644,K$4:K1644&lt;1000000000),1),K$4:K1644)))),AND(K482&lt;1000000000,COUNTA(C482:C1644)&gt;0,P$3=FALSE),
ROUNDDOWN(INDEX(Y$4:Y1644,MATCH(LARGE(FILTER(W$4:W1644,W$4:W1644&lt;=I482),1),W$4:W1644"&amp;"))+(I482-LARGE(FILTER(W$4:W1644,W$4:W1644&lt;=I482),1))*INDEX(T$4:T1644,MATCH(LARGE(FILTER(W$4:W1644,W$4:W1644&lt;=I482),1),W$4:W1644))-K482),1,
ROUNDDOWN(Y482-INDEX(K$4:K1644,MATCH(LARGE(FILTER(I$4:I1644,I$4:I1644&lt;=W482),1),I$4:I1644))-(W482-LARGE(FILTER(I$4:I"&amp;"1644,I$4:I1644&lt;=W482),1))*INDEX(F$4:F1644,MATCH(LARGE(FILTER(I$4:I1644,I$4:I1644&lt;=W482),1),I$4:I1644))))"),"")</f>
        <v/>
      </c>
      <c r="N482" s="60" t="str">
        <f t="shared" si="8"/>
        <v/>
      </c>
      <c r="O482" s="61" t="str">
        <f t="shared" si="9"/>
        <v/>
      </c>
      <c r="P482" s="56" t="str">
        <f t="shared" si="10"/>
        <v/>
      </c>
      <c r="Q482" s="105"/>
      <c r="R482" s="10"/>
      <c r="S482" s="59" t="str">
        <f t="array" ref="S482">IF(COUNTA(Q482:Q1644)=0,"",SUM((COUNTIF(Q$4:Q482,Upgrades!$B$3:$B$13)-COUNTIF(Q$4:Q482,"Sell_"&amp;Upgrades!$B$3:$B$13))*Upgrades!$D$3:$D$13))</f>
        <v/>
      </c>
      <c r="T482" s="66" t="str">
        <f>IFERROR(__xludf.DUMMYFUNCTION("IF(COUNTA(Q482:Q1644)=0,"""",IF(REGEXMATCH(INDEX(FILTER(Q$4:Q482,Q$4:Q482&lt;&gt;""""),ROWS(FILTER(Q$4:Q482,Q$4:Q482&lt;&gt;""""))),""^Sell_""),INDEX(FILTER(T$4:T481,Q$4:Q481&lt;&gt;""""),ROWS(FILTER(Q$4:Q481,Q$4:Q481&lt;&gt;""""))),$AD$5+S482))"),"")</f>
        <v/>
      </c>
      <c r="U482" s="10" t="str">
        <f>IFERROR(__xludf.DUMMYFUNCTION("IF(COUNTA(Q482:Q1644)=0,"""",IF(Q482="""",0,IF(REGEXMATCH(Q482,""^Sell_""),-ROUNDDOWN(ROUNDUP(INDEX(Upgrades!$C$3:$C$13,MATCH(SUBSTITUTE(Q482,""Sell_"",""""),Upgrades!$B$3:$B$13,0))*1.15^(COUNTIF(Q$4:Q481,SUBSTITUTE(Q482,""Sell_"",""""))-COUNTIF(Q$4:Q481,"&amp;"""Sell_""&amp;SUBSTITUTE(Q482,""Sell_"",""""))))/2),ROUNDUP(INDEX(Upgrades!$C$3:$C$13,MATCH(Q482,Upgrades!$B$3:$B$13,0))*1.15^(COUNTIF(Q$4:Q481,Q482)-COUNTIF(Q$4:Q481,""Sell_""&amp;Q482))))))"),"")</f>
        <v/>
      </c>
      <c r="V482" s="10" t="str">
        <f t="shared" si="11"/>
        <v/>
      </c>
      <c r="W482" s="68" t="str">
        <f t="shared" si="12"/>
        <v/>
      </c>
      <c r="X482" s="59" t="str">
        <f t="shared" si="13"/>
        <v/>
      </c>
      <c r="Y482" s="69" t="str">
        <f t="shared" si="14"/>
        <v/>
      </c>
      <c r="Z482" s="11"/>
      <c r="AG482" s="59"/>
    </row>
    <row r="483">
      <c r="A483" s="8"/>
      <c r="B483" s="56" t="str">
        <f t="shared" si="2"/>
        <v/>
      </c>
      <c r="C483" s="105"/>
      <c r="D483" s="10"/>
      <c r="E483" s="59" t="str">
        <f t="array" ref="E483">IF(COUNTA(C483:C1644)=0,"",SUM((COUNTIF(C$4:C483,Upgrades!$B$3:$B$13)-COUNTIF(C$4:C483,"Sell_"&amp;Upgrades!$B$3:$B$13))*Upgrades!$D$3:$D$13))</f>
        <v/>
      </c>
      <c r="F483" s="66" t="str">
        <f>IFERROR(__xludf.DUMMYFUNCTION("IF(COUNTA(C483:C1644)=0,"""",IF(REGEXMATCH(INDEX(FILTER(C$4:C483,C$4:C483&lt;&gt;""""),ROWS(FILTER(C$4:C483,C$4:C483&lt;&gt;""""))),""^Sell_""),INDEX(FILTER(F$4:F482,C$4:C482&lt;&gt;""""),ROWS(FILTER(C$4:C482,C$4:C482&lt;&gt;""""))),$AC$5+E483))"),"")</f>
        <v/>
      </c>
      <c r="G483" s="10" t="str">
        <f>IFERROR(__xludf.DUMMYFUNCTION("IF(COUNTA(C483:C1644)=0,"""",IF(C483="""",0,IF(REGEXMATCH(C483,""^Sell_""),-ROUNDDOWN(ROUNDUP(INDEX(Upgrades!$C$3:$C$13,MATCH(SUBSTITUTE(C483,""Sell_"",""""),Upgrades!$B$3:$B$13,0))*1.15^(COUNTIF(C$4:C482,SUBSTITUTE(C483,""Sell_"",""""))-COUNTIF(C$4:C482,"&amp;"""Sell_""&amp;SUBSTITUTE(C483,""Sell_"",""""))))/2),ROUNDUP(INDEX(Upgrades!$C$3:$C$13,MATCH(C483,Upgrades!$B$3:$B$13,0))*1.15^(COUNTIF(C$4:C482,C483)-COUNTIF(C$4:C482,""Sell_""&amp;C483))))))"),"")</f>
        <v/>
      </c>
      <c r="H483" s="10" t="str">
        <f t="shared" si="3"/>
        <v/>
      </c>
      <c r="I483" s="68" t="str">
        <f t="shared" si="4"/>
        <v/>
      </c>
      <c r="J483" s="59" t="str">
        <f t="shared" si="5"/>
        <v/>
      </c>
      <c r="K483" s="69" t="str">
        <f t="shared" si="6"/>
        <v/>
      </c>
      <c r="L483" s="60" t="str">
        <f t="shared" si="7"/>
        <v/>
      </c>
      <c r="M483" s="61" t="str">
        <f>IFERROR(__xludf.DUMMYFUNCTION("IFS(AND(COUNTA(C483:C1644)=0,COUNTA(Q483:Q1644)=0),"""",OR(AND(K483&gt;=1000000000,OR(Y483&gt;=1000000000,COUNTA(Q483:Q1644)=0)),OR(Y483&gt;=1000000000,AND(COUNTA(C483:C1644)=0,P$3=TRUE))),
ROUNDDOWN((AB$1-AC$1)*MAX(INDEX(T$4:T1644,MATCH(LARGE(FILTER(Y$4:Y1644,Y$4"&amp;":Y1644&lt;1000000000),1),Y$4:Y1644)),INDEX(F$4:F1644,MATCH(LARGE(FILTER(K$4:K1644,K$4:K1644&lt;1000000000),1),K$4:K1644)))),AND(K483&lt;1000000000,COUNTA(C483:C1644)&gt;0,P$3=FALSE),
ROUNDDOWN(INDEX(Y$4:Y1644,MATCH(LARGE(FILTER(W$4:W1644,W$4:W1644&lt;=I483),1),W$4:W1644"&amp;"))+(I483-LARGE(FILTER(W$4:W1644,W$4:W1644&lt;=I483),1))*INDEX(T$4:T1644,MATCH(LARGE(FILTER(W$4:W1644,W$4:W1644&lt;=I483),1),W$4:W1644))-K483),1,
ROUNDDOWN(Y483-INDEX(K$4:K1644,MATCH(LARGE(FILTER(I$4:I1644,I$4:I1644&lt;=W483),1),I$4:I1644))-(W483-LARGE(FILTER(I$4:I"&amp;"1644,I$4:I1644&lt;=W483),1))*INDEX(F$4:F1644,MATCH(LARGE(FILTER(I$4:I1644,I$4:I1644&lt;=W483),1),I$4:I1644))))"),"")</f>
        <v/>
      </c>
      <c r="N483" s="60" t="str">
        <f t="shared" si="8"/>
        <v/>
      </c>
      <c r="O483" s="61" t="str">
        <f t="shared" si="9"/>
        <v/>
      </c>
      <c r="P483" s="56" t="str">
        <f t="shared" si="10"/>
        <v/>
      </c>
      <c r="Q483" s="105"/>
      <c r="R483" s="10"/>
      <c r="S483" s="59" t="str">
        <f t="array" ref="S483">IF(COUNTA(Q483:Q1644)=0,"",SUM((COUNTIF(Q$4:Q483,Upgrades!$B$3:$B$13)-COUNTIF(Q$4:Q483,"Sell_"&amp;Upgrades!$B$3:$B$13))*Upgrades!$D$3:$D$13))</f>
        <v/>
      </c>
      <c r="T483" s="66" t="str">
        <f>IFERROR(__xludf.DUMMYFUNCTION("IF(COUNTA(Q483:Q1644)=0,"""",IF(REGEXMATCH(INDEX(FILTER(Q$4:Q483,Q$4:Q483&lt;&gt;""""),ROWS(FILTER(Q$4:Q483,Q$4:Q483&lt;&gt;""""))),""^Sell_""),INDEX(FILTER(T$4:T482,Q$4:Q482&lt;&gt;""""),ROWS(FILTER(Q$4:Q482,Q$4:Q482&lt;&gt;""""))),$AD$5+S483))"),"")</f>
        <v/>
      </c>
      <c r="U483" s="10" t="str">
        <f>IFERROR(__xludf.DUMMYFUNCTION("IF(COUNTA(Q483:Q1644)=0,"""",IF(Q483="""",0,IF(REGEXMATCH(Q483,""^Sell_""),-ROUNDDOWN(ROUNDUP(INDEX(Upgrades!$C$3:$C$13,MATCH(SUBSTITUTE(Q483,""Sell_"",""""),Upgrades!$B$3:$B$13,0))*1.15^(COUNTIF(Q$4:Q482,SUBSTITUTE(Q483,""Sell_"",""""))-COUNTIF(Q$4:Q482,"&amp;"""Sell_""&amp;SUBSTITUTE(Q483,""Sell_"",""""))))/2),ROUNDUP(INDEX(Upgrades!$C$3:$C$13,MATCH(Q483,Upgrades!$B$3:$B$13,0))*1.15^(COUNTIF(Q$4:Q482,Q483)-COUNTIF(Q$4:Q482,""Sell_""&amp;Q483))))))"),"")</f>
        <v/>
      </c>
      <c r="V483" s="10" t="str">
        <f t="shared" si="11"/>
        <v/>
      </c>
      <c r="W483" s="68" t="str">
        <f t="shared" si="12"/>
        <v/>
      </c>
      <c r="X483" s="59" t="str">
        <f t="shared" si="13"/>
        <v/>
      </c>
      <c r="Y483" s="69" t="str">
        <f t="shared" si="14"/>
        <v/>
      </c>
      <c r="Z483" s="11"/>
      <c r="AG483" s="59"/>
    </row>
    <row r="484">
      <c r="A484" s="8"/>
      <c r="B484" s="56" t="str">
        <f t="shared" si="2"/>
        <v/>
      </c>
      <c r="C484" s="105"/>
      <c r="D484" s="10"/>
      <c r="E484" s="59" t="str">
        <f t="array" ref="E484">IF(COUNTA(C484:C1644)=0,"",SUM((COUNTIF(C$4:C484,Upgrades!$B$3:$B$13)-COUNTIF(C$4:C484,"Sell_"&amp;Upgrades!$B$3:$B$13))*Upgrades!$D$3:$D$13))</f>
        <v/>
      </c>
      <c r="F484" s="66" t="str">
        <f>IFERROR(__xludf.DUMMYFUNCTION("IF(COUNTA(C484:C1644)=0,"""",IF(REGEXMATCH(INDEX(FILTER(C$4:C484,C$4:C484&lt;&gt;""""),ROWS(FILTER(C$4:C484,C$4:C484&lt;&gt;""""))),""^Sell_""),INDEX(FILTER(F$4:F483,C$4:C483&lt;&gt;""""),ROWS(FILTER(C$4:C483,C$4:C483&lt;&gt;""""))),$AC$5+E484))"),"")</f>
        <v/>
      </c>
      <c r="G484" s="10" t="str">
        <f>IFERROR(__xludf.DUMMYFUNCTION("IF(COUNTA(C484:C1644)=0,"""",IF(C484="""",0,IF(REGEXMATCH(C484,""^Sell_""),-ROUNDDOWN(ROUNDUP(INDEX(Upgrades!$C$3:$C$13,MATCH(SUBSTITUTE(C484,""Sell_"",""""),Upgrades!$B$3:$B$13,0))*1.15^(COUNTIF(C$4:C483,SUBSTITUTE(C484,""Sell_"",""""))-COUNTIF(C$4:C483,"&amp;"""Sell_""&amp;SUBSTITUTE(C484,""Sell_"",""""))))/2),ROUNDUP(INDEX(Upgrades!$C$3:$C$13,MATCH(C484,Upgrades!$B$3:$B$13,0))*1.15^(COUNTIF(C$4:C483,C484)-COUNTIF(C$4:C483,""Sell_""&amp;C484))))))"),"")</f>
        <v/>
      </c>
      <c r="H484" s="10" t="str">
        <f t="shared" si="3"/>
        <v/>
      </c>
      <c r="I484" s="68" t="str">
        <f t="shared" si="4"/>
        <v/>
      </c>
      <c r="J484" s="59" t="str">
        <f t="shared" si="5"/>
        <v/>
      </c>
      <c r="K484" s="69" t="str">
        <f t="shared" si="6"/>
        <v/>
      </c>
      <c r="L484" s="60" t="str">
        <f t="shared" si="7"/>
        <v/>
      </c>
      <c r="M484" s="61" t="str">
        <f>IFERROR(__xludf.DUMMYFUNCTION("IFS(AND(COUNTA(C484:C1644)=0,COUNTA(Q484:Q1644)=0),"""",OR(AND(K484&gt;=1000000000,OR(Y484&gt;=1000000000,COUNTA(Q484:Q1644)=0)),OR(Y484&gt;=1000000000,AND(COUNTA(C484:C1644)=0,P$3=TRUE))),
ROUNDDOWN((AB$1-AC$1)*MAX(INDEX(T$4:T1644,MATCH(LARGE(FILTER(Y$4:Y1644,Y$4"&amp;":Y1644&lt;1000000000),1),Y$4:Y1644)),INDEX(F$4:F1644,MATCH(LARGE(FILTER(K$4:K1644,K$4:K1644&lt;1000000000),1),K$4:K1644)))),AND(K484&lt;1000000000,COUNTA(C484:C1644)&gt;0,P$3=FALSE),
ROUNDDOWN(INDEX(Y$4:Y1644,MATCH(LARGE(FILTER(W$4:W1644,W$4:W1644&lt;=I484),1),W$4:W1644"&amp;"))+(I484-LARGE(FILTER(W$4:W1644,W$4:W1644&lt;=I484),1))*INDEX(T$4:T1644,MATCH(LARGE(FILTER(W$4:W1644,W$4:W1644&lt;=I484),1),W$4:W1644))-K484),1,
ROUNDDOWN(Y484-INDEX(K$4:K1644,MATCH(LARGE(FILTER(I$4:I1644,I$4:I1644&lt;=W484),1),I$4:I1644))-(W484-LARGE(FILTER(I$4:I"&amp;"1644,I$4:I1644&lt;=W484),1))*INDEX(F$4:F1644,MATCH(LARGE(FILTER(I$4:I1644,I$4:I1644&lt;=W484),1),I$4:I1644))))"),"")</f>
        <v/>
      </c>
      <c r="N484" s="60" t="str">
        <f t="shared" si="8"/>
        <v/>
      </c>
      <c r="O484" s="61" t="str">
        <f t="shared" si="9"/>
        <v/>
      </c>
      <c r="P484" s="56" t="str">
        <f t="shared" si="10"/>
        <v/>
      </c>
      <c r="Q484" s="105"/>
      <c r="R484" s="10"/>
      <c r="S484" s="59" t="str">
        <f t="array" ref="S484">IF(COUNTA(Q484:Q1644)=0,"",SUM((COUNTIF(Q$4:Q484,Upgrades!$B$3:$B$13)-COUNTIF(Q$4:Q484,"Sell_"&amp;Upgrades!$B$3:$B$13))*Upgrades!$D$3:$D$13))</f>
        <v/>
      </c>
      <c r="T484" s="66" t="str">
        <f>IFERROR(__xludf.DUMMYFUNCTION("IF(COUNTA(Q484:Q1644)=0,"""",IF(REGEXMATCH(INDEX(FILTER(Q$4:Q484,Q$4:Q484&lt;&gt;""""),ROWS(FILTER(Q$4:Q484,Q$4:Q484&lt;&gt;""""))),""^Sell_""),INDEX(FILTER(T$4:T483,Q$4:Q483&lt;&gt;""""),ROWS(FILTER(Q$4:Q483,Q$4:Q483&lt;&gt;""""))),$AD$5+S484))"),"")</f>
        <v/>
      </c>
      <c r="U484" s="10" t="str">
        <f>IFERROR(__xludf.DUMMYFUNCTION("IF(COUNTA(Q484:Q1644)=0,"""",IF(Q484="""",0,IF(REGEXMATCH(Q484,""^Sell_""),-ROUNDDOWN(ROUNDUP(INDEX(Upgrades!$C$3:$C$13,MATCH(SUBSTITUTE(Q484,""Sell_"",""""),Upgrades!$B$3:$B$13,0))*1.15^(COUNTIF(Q$4:Q483,SUBSTITUTE(Q484,""Sell_"",""""))-COUNTIF(Q$4:Q483,"&amp;"""Sell_""&amp;SUBSTITUTE(Q484,""Sell_"",""""))))/2),ROUNDUP(INDEX(Upgrades!$C$3:$C$13,MATCH(Q484,Upgrades!$B$3:$B$13,0))*1.15^(COUNTIF(Q$4:Q483,Q484)-COUNTIF(Q$4:Q483,""Sell_""&amp;Q484))))))"),"")</f>
        <v/>
      </c>
      <c r="V484" s="10" t="str">
        <f t="shared" si="11"/>
        <v/>
      </c>
      <c r="W484" s="68" t="str">
        <f t="shared" si="12"/>
        <v/>
      </c>
      <c r="X484" s="59" t="str">
        <f t="shared" si="13"/>
        <v/>
      </c>
      <c r="Y484" s="69" t="str">
        <f t="shared" si="14"/>
        <v/>
      </c>
      <c r="Z484" s="11"/>
      <c r="AG484" s="59"/>
    </row>
    <row r="485">
      <c r="A485" s="8"/>
      <c r="B485" s="56" t="str">
        <f t="shared" si="2"/>
        <v/>
      </c>
      <c r="C485" s="105"/>
      <c r="D485" s="10"/>
      <c r="E485" s="59" t="str">
        <f t="array" ref="E485">IF(COUNTA(C485:C1644)=0,"",SUM((COUNTIF(C$4:C485,Upgrades!$B$3:$B$13)-COUNTIF(C$4:C485,"Sell_"&amp;Upgrades!$B$3:$B$13))*Upgrades!$D$3:$D$13))</f>
        <v/>
      </c>
      <c r="F485" s="66" t="str">
        <f>IFERROR(__xludf.DUMMYFUNCTION("IF(COUNTA(C485:C1644)=0,"""",IF(REGEXMATCH(INDEX(FILTER(C$4:C485,C$4:C485&lt;&gt;""""),ROWS(FILTER(C$4:C485,C$4:C485&lt;&gt;""""))),""^Sell_""),INDEX(FILTER(F$4:F484,C$4:C484&lt;&gt;""""),ROWS(FILTER(C$4:C484,C$4:C484&lt;&gt;""""))),$AC$5+E485))"),"")</f>
        <v/>
      </c>
      <c r="G485" s="10" t="str">
        <f>IFERROR(__xludf.DUMMYFUNCTION("IF(COUNTA(C485:C1644)=0,"""",IF(C485="""",0,IF(REGEXMATCH(C485,""^Sell_""),-ROUNDDOWN(ROUNDUP(INDEX(Upgrades!$C$3:$C$13,MATCH(SUBSTITUTE(C485,""Sell_"",""""),Upgrades!$B$3:$B$13,0))*1.15^(COUNTIF(C$4:C484,SUBSTITUTE(C485,""Sell_"",""""))-COUNTIF(C$4:C484,"&amp;"""Sell_""&amp;SUBSTITUTE(C485,""Sell_"",""""))))/2),ROUNDUP(INDEX(Upgrades!$C$3:$C$13,MATCH(C485,Upgrades!$B$3:$B$13,0))*1.15^(COUNTIF(C$4:C484,C485)-COUNTIF(C$4:C484,""Sell_""&amp;C485))))))"),"")</f>
        <v/>
      </c>
      <c r="H485" s="10" t="str">
        <f t="shared" si="3"/>
        <v/>
      </c>
      <c r="I485" s="68" t="str">
        <f t="shared" si="4"/>
        <v/>
      </c>
      <c r="J485" s="59" t="str">
        <f t="shared" si="5"/>
        <v/>
      </c>
      <c r="K485" s="69" t="str">
        <f t="shared" si="6"/>
        <v/>
      </c>
      <c r="L485" s="60" t="str">
        <f t="shared" si="7"/>
        <v/>
      </c>
      <c r="M485" s="61" t="str">
        <f>IFERROR(__xludf.DUMMYFUNCTION("IFS(AND(COUNTA(C485:C1644)=0,COUNTA(Q485:Q1644)=0),"""",OR(AND(K485&gt;=1000000000,OR(Y485&gt;=1000000000,COUNTA(Q485:Q1644)=0)),OR(Y485&gt;=1000000000,AND(COUNTA(C485:C1644)=0,P$3=TRUE))),
ROUNDDOWN((AB$1-AC$1)*MAX(INDEX(T$4:T1644,MATCH(LARGE(FILTER(Y$4:Y1644,Y$4"&amp;":Y1644&lt;1000000000),1),Y$4:Y1644)),INDEX(F$4:F1644,MATCH(LARGE(FILTER(K$4:K1644,K$4:K1644&lt;1000000000),1),K$4:K1644)))),AND(K485&lt;1000000000,COUNTA(C485:C1644)&gt;0,P$3=FALSE),
ROUNDDOWN(INDEX(Y$4:Y1644,MATCH(LARGE(FILTER(W$4:W1644,W$4:W1644&lt;=I485),1),W$4:W1644"&amp;"))+(I485-LARGE(FILTER(W$4:W1644,W$4:W1644&lt;=I485),1))*INDEX(T$4:T1644,MATCH(LARGE(FILTER(W$4:W1644,W$4:W1644&lt;=I485),1),W$4:W1644))-K485),1,
ROUNDDOWN(Y485-INDEX(K$4:K1644,MATCH(LARGE(FILTER(I$4:I1644,I$4:I1644&lt;=W485),1),I$4:I1644))-(W485-LARGE(FILTER(I$4:I"&amp;"1644,I$4:I1644&lt;=W485),1))*INDEX(F$4:F1644,MATCH(LARGE(FILTER(I$4:I1644,I$4:I1644&lt;=W485),1),I$4:I1644))))"),"")</f>
        <v/>
      </c>
      <c r="N485" s="60" t="str">
        <f t="shared" si="8"/>
        <v/>
      </c>
      <c r="O485" s="61" t="str">
        <f t="shared" si="9"/>
        <v/>
      </c>
      <c r="P485" s="56" t="str">
        <f t="shared" si="10"/>
        <v/>
      </c>
      <c r="Q485" s="105"/>
      <c r="R485" s="10"/>
      <c r="S485" s="59" t="str">
        <f t="array" ref="S485">IF(COUNTA(Q485:Q1644)=0,"",SUM((COUNTIF(Q$4:Q485,Upgrades!$B$3:$B$13)-COUNTIF(Q$4:Q485,"Sell_"&amp;Upgrades!$B$3:$B$13))*Upgrades!$D$3:$D$13))</f>
        <v/>
      </c>
      <c r="T485" s="66" t="str">
        <f>IFERROR(__xludf.DUMMYFUNCTION("IF(COUNTA(Q485:Q1644)=0,"""",IF(REGEXMATCH(INDEX(FILTER(Q$4:Q485,Q$4:Q485&lt;&gt;""""),ROWS(FILTER(Q$4:Q485,Q$4:Q485&lt;&gt;""""))),""^Sell_""),INDEX(FILTER(T$4:T484,Q$4:Q484&lt;&gt;""""),ROWS(FILTER(Q$4:Q484,Q$4:Q484&lt;&gt;""""))),$AD$5+S485))"),"")</f>
        <v/>
      </c>
      <c r="U485" s="10" t="str">
        <f>IFERROR(__xludf.DUMMYFUNCTION("IF(COUNTA(Q485:Q1644)=0,"""",IF(Q485="""",0,IF(REGEXMATCH(Q485,""^Sell_""),-ROUNDDOWN(ROUNDUP(INDEX(Upgrades!$C$3:$C$13,MATCH(SUBSTITUTE(Q485,""Sell_"",""""),Upgrades!$B$3:$B$13,0))*1.15^(COUNTIF(Q$4:Q484,SUBSTITUTE(Q485,""Sell_"",""""))-COUNTIF(Q$4:Q484,"&amp;"""Sell_""&amp;SUBSTITUTE(Q485,""Sell_"",""""))))/2),ROUNDUP(INDEX(Upgrades!$C$3:$C$13,MATCH(Q485,Upgrades!$B$3:$B$13,0))*1.15^(COUNTIF(Q$4:Q484,Q485)-COUNTIF(Q$4:Q484,""Sell_""&amp;Q485))))))"),"")</f>
        <v/>
      </c>
      <c r="V485" s="10" t="str">
        <f t="shared" si="11"/>
        <v/>
      </c>
      <c r="W485" s="68" t="str">
        <f t="shared" si="12"/>
        <v/>
      </c>
      <c r="X485" s="59" t="str">
        <f t="shared" si="13"/>
        <v/>
      </c>
      <c r="Y485" s="69" t="str">
        <f t="shared" si="14"/>
        <v/>
      </c>
      <c r="Z485" s="11"/>
      <c r="AG485" s="59"/>
    </row>
    <row r="486">
      <c r="A486" s="8"/>
      <c r="B486" s="56" t="str">
        <f t="shared" si="2"/>
        <v/>
      </c>
      <c r="C486" s="105"/>
      <c r="D486" s="10"/>
      <c r="E486" s="59" t="str">
        <f t="array" ref="E486">IF(COUNTA(C486:C1644)=0,"",SUM((COUNTIF(C$4:C486,Upgrades!$B$3:$B$13)-COUNTIF(C$4:C486,"Sell_"&amp;Upgrades!$B$3:$B$13))*Upgrades!$D$3:$D$13))</f>
        <v/>
      </c>
      <c r="F486" s="66" t="str">
        <f>IFERROR(__xludf.DUMMYFUNCTION("IF(COUNTA(C486:C1644)=0,"""",IF(REGEXMATCH(INDEX(FILTER(C$4:C486,C$4:C486&lt;&gt;""""),ROWS(FILTER(C$4:C486,C$4:C486&lt;&gt;""""))),""^Sell_""),INDEX(FILTER(F$4:F485,C$4:C485&lt;&gt;""""),ROWS(FILTER(C$4:C485,C$4:C485&lt;&gt;""""))),$AC$5+E486))"),"")</f>
        <v/>
      </c>
      <c r="G486" s="10" t="str">
        <f>IFERROR(__xludf.DUMMYFUNCTION("IF(COUNTA(C486:C1644)=0,"""",IF(C486="""",0,IF(REGEXMATCH(C486,""^Sell_""),-ROUNDDOWN(ROUNDUP(INDEX(Upgrades!$C$3:$C$13,MATCH(SUBSTITUTE(C486,""Sell_"",""""),Upgrades!$B$3:$B$13,0))*1.15^(COUNTIF(C$4:C485,SUBSTITUTE(C486,""Sell_"",""""))-COUNTIF(C$4:C485,"&amp;"""Sell_""&amp;SUBSTITUTE(C486,""Sell_"",""""))))/2),ROUNDUP(INDEX(Upgrades!$C$3:$C$13,MATCH(C486,Upgrades!$B$3:$B$13,0))*1.15^(COUNTIF(C$4:C485,C486)-COUNTIF(C$4:C485,""Sell_""&amp;C486))))))"),"")</f>
        <v/>
      </c>
      <c r="H486" s="10" t="str">
        <f t="shared" si="3"/>
        <v/>
      </c>
      <c r="I486" s="68" t="str">
        <f t="shared" si="4"/>
        <v/>
      </c>
      <c r="J486" s="59" t="str">
        <f t="shared" si="5"/>
        <v/>
      </c>
      <c r="K486" s="69" t="str">
        <f t="shared" si="6"/>
        <v/>
      </c>
      <c r="L486" s="60" t="str">
        <f t="shared" si="7"/>
        <v/>
      </c>
      <c r="M486" s="61" t="str">
        <f>IFERROR(__xludf.DUMMYFUNCTION("IFS(AND(COUNTA(C486:C1644)=0,COUNTA(Q486:Q1644)=0),"""",OR(AND(K486&gt;=1000000000,OR(Y486&gt;=1000000000,COUNTA(Q486:Q1644)=0)),OR(Y486&gt;=1000000000,AND(COUNTA(C486:C1644)=0,P$3=TRUE))),
ROUNDDOWN((AB$1-AC$1)*MAX(INDEX(T$4:T1644,MATCH(LARGE(FILTER(Y$4:Y1644,Y$4"&amp;":Y1644&lt;1000000000),1),Y$4:Y1644)),INDEX(F$4:F1644,MATCH(LARGE(FILTER(K$4:K1644,K$4:K1644&lt;1000000000),1),K$4:K1644)))),AND(K486&lt;1000000000,COUNTA(C486:C1644)&gt;0,P$3=FALSE),
ROUNDDOWN(INDEX(Y$4:Y1644,MATCH(LARGE(FILTER(W$4:W1644,W$4:W1644&lt;=I486),1),W$4:W1644"&amp;"))+(I486-LARGE(FILTER(W$4:W1644,W$4:W1644&lt;=I486),1))*INDEX(T$4:T1644,MATCH(LARGE(FILTER(W$4:W1644,W$4:W1644&lt;=I486),1),W$4:W1644))-K486),1,
ROUNDDOWN(Y486-INDEX(K$4:K1644,MATCH(LARGE(FILTER(I$4:I1644,I$4:I1644&lt;=W486),1),I$4:I1644))-(W486-LARGE(FILTER(I$4:I"&amp;"1644,I$4:I1644&lt;=W486),1))*INDEX(F$4:F1644,MATCH(LARGE(FILTER(I$4:I1644,I$4:I1644&lt;=W486),1),I$4:I1644))))"),"")</f>
        <v/>
      </c>
      <c r="N486" s="60" t="str">
        <f t="shared" si="8"/>
        <v/>
      </c>
      <c r="O486" s="61" t="str">
        <f t="shared" si="9"/>
        <v/>
      </c>
      <c r="P486" s="56" t="str">
        <f t="shared" si="10"/>
        <v/>
      </c>
      <c r="Q486" s="105"/>
      <c r="R486" s="10"/>
      <c r="S486" s="59" t="str">
        <f t="array" ref="S486">IF(COUNTA(Q486:Q1644)=0,"",SUM((COUNTIF(Q$4:Q486,Upgrades!$B$3:$B$13)-COUNTIF(Q$4:Q486,"Sell_"&amp;Upgrades!$B$3:$B$13))*Upgrades!$D$3:$D$13))</f>
        <v/>
      </c>
      <c r="T486" s="66" t="str">
        <f>IFERROR(__xludf.DUMMYFUNCTION("IF(COUNTA(Q486:Q1644)=0,"""",IF(REGEXMATCH(INDEX(FILTER(Q$4:Q486,Q$4:Q486&lt;&gt;""""),ROWS(FILTER(Q$4:Q486,Q$4:Q486&lt;&gt;""""))),""^Sell_""),INDEX(FILTER(T$4:T485,Q$4:Q485&lt;&gt;""""),ROWS(FILTER(Q$4:Q485,Q$4:Q485&lt;&gt;""""))),$AD$5+S486))"),"")</f>
        <v/>
      </c>
      <c r="U486" s="10" t="str">
        <f>IFERROR(__xludf.DUMMYFUNCTION("IF(COUNTA(Q486:Q1644)=0,"""",IF(Q486="""",0,IF(REGEXMATCH(Q486,""^Sell_""),-ROUNDDOWN(ROUNDUP(INDEX(Upgrades!$C$3:$C$13,MATCH(SUBSTITUTE(Q486,""Sell_"",""""),Upgrades!$B$3:$B$13,0))*1.15^(COUNTIF(Q$4:Q485,SUBSTITUTE(Q486,""Sell_"",""""))-COUNTIF(Q$4:Q485,"&amp;"""Sell_""&amp;SUBSTITUTE(Q486,""Sell_"",""""))))/2),ROUNDUP(INDEX(Upgrades!$C$3:$C$13,MATCH(Q486,Upgrades!$B$3:$B$13,0))*1.15^(COUNTIF(Q$4:Q485,Q486)-COUNTIF(Q$4:Q485,""Sell_""&amp;Q486))))))"),"")</f>
        <v/>
      </c>
      <c r="V486" s="10" t="str">
        <f t="shared" si="11"/>
        <v/>
      </c>
      <c r="W486" s="68" t="str">
        <f t="shared" si="12"/>
        <v/>
      </c>
      <c r="X486" s="59" t="str">
        <f t="shared" si="13"/>
        <v/>
      </c>
      <c r="Y486" s="69" t="str">
        <f t="shared" si="14"/>
        <v/>
      </c>
      <c r="Z486" s="11"/>
      <c r="AG486" s="59"/>
    </row>
    <row r="487">
      <c r="A487" s="8"/>
      <c r="B487" s="56" t="str">
        <f t="shared" si="2"/>
        <v/>
      </c>
      <c r="C487" s="105"/>
      <c r="D487" s="10"/>
      <c r="E487" s="59" t="str">
        <f t="array" ref="E487">IF(COUNTA(C487:C1644)=0,"",SUM((COUNTIF(C$4:C487,Upgrades!$B$3:$B$13)-COUNTIF(C$4:C487,"Sell_"&amp;Upgrades!$B$3:$B$13))*Upgrades!$D$3:$D$13))</f>
        <v/>
      </c>
      <c r="F487" s="66" t="str">
        <f>IFERROR(__xludf.DUMMYFUNCTION("IF(COUNTA(C487:C1644)=0,"""",IF(REGEXMATCH(INDEX(FILTER(C$4:C487,C$4:C487&lt;&gt;""""),ROWS(FILTER(C$4:C487,C$4:C487&lt;&gt;""""))),""^Sell_""),INDEX(FILTER(F$4:F486,C$4:C486&lt;&gt;""""),ROWS(FILTER(C$4:C486,C$4:C486&lt;&gt;""""))),$AC$5+E487))"),"")</f>
        <v/>
      </c>
      <c r="G487" s="10" t="str">
        <f>IFERROR(__xludf.DUMMYFUNCTION("IF(COUNTA(C487:C1644)=0,"""",IF(C487="""",0,IF(REGEXMATCH(C487,""^Sell_""),-ROUNDDOWN(ROUNDUP(INDEX(Upgrades!$C$3:$C$13,MATCH(SUBSTITUTE(C487,""Sell_"",""""),Upgrades!$B$3:$B$13,0))*1.15^(COUNTIF(C$4:C486,SUBSTITUTE(C487,""Sell_"",""""))-COUNTIF(C$4:C486,"&amp;"""Sell_""&amp;SUBSTITUTE(C487,""Sell_"",""""))))/2),ROUNDUP(INDEX(Upgrades!$C$3:$C$13,MATCH(C487,Upgrades!$B$3:$B$13,0))*1.15^(COUNTIF(C$4:C486,C487)-COUNTIF(C$4:C486,""Sell_""&amp;C487))))))"),"")</f>
        <v/>
      </c>
      <c r="H487" s="10" t="str">
        <f t="shared" si="3"/>
        <v/>
      </c>
      <c r="I487" s="68" t="str">
        <f t="shared" si="4"/>
        <v/>
      </c>
      <c r="J487" s="59" t="str">
        <f t="shared" si="5"/>
        <v/>
      </c>
      <c r="K487" s="69" t="str">
        <f t="shared" si="6"/>
        <v/>
      </c>
      <c r="L487" s="60" t="str">
        <f t="shared" si="7"/>
        <v/>
      </c>
      <c r="M487" s="61" t="str">
        <f>IFERROR(__xludf.DUMMYFUNCTION("IFS(AND(COUNTA(C487:C1644)=0,COUNTA(Q487:Q1644)=0),"""",OR(AND(K487&gt;=1000000000,OR(Y487&gt;=1000000000,COUNTA(Q487:Q1644)=0)),OR(Y487&gt;=1000000000,AND(COUNTA(C487:C1644)=0,P$3=TRUE))),
ROUNDDOWN((AB$1-AC$1)*MAX(INDEX(T$4:T1644,MATCH(LARGE(FILTER(Y$4:Y1644,Y$4"&amp;":Y1644&lt;1000000000),1),Y$4:Y1644)),INDEX(F$4:F1644,MATCH(LARGE(FILTER(K$4:K1644,K$4:K1644&lt;1000000000),1),K$4:K1644)))),AND(K487&lt;1000000000,COUNTA(C487:C1644)&gt;0,P$3=FALSE),
ROUNDDOWN(INDEX(Y$4:Y1644,MATCH(LARGE(FILTER(W$4:W1644,W$4:W1644&lt;=I487),1),W$4:W1644"&amp;"))+(I487-LARGE(FILTER(W$4:W1644,W$4:W1644&lt;=I487),1))*INDEX(T$4:T1644,MATCH(LARGE(FILTER(W$4:W1644,W$4:W1644&lt;=I487),1),W$4:W1644))-K487),1,
ROUNDDOWN(Y487-INDEX(K$4:K1644,MATCH(LARGE(FILTER(I$4:I1644,I$4:I1644&lt;=W487),1),I$4:I1644))-(W487-LARGE(FILTER(I$4:I"&amp;"1644,I$4:I1644&lt;=W487),1))*INDEX(F$4:F1644,MATCH(LARGE(FILTER(I$4:I1644,I$4:I1644&lt;=W487),1),I$4:I1644))))"),"")</f>
        <v/>
      </c>
      <c r="N487" s="60" t="str">
        <f t="shared" si="8"/>
        <v/>
      </c>
      <c r="O487" s="61" t="str">
        <f t="shared" si="9"/>
        <v/>
      </c>
      <c r="P487" s="56" t="str">
        <f t="shared" si="10"/>
        <v/>
      </c>
      <c r="Q487" s="105"/>
      <c r="R487" s="10"/>
      <c r="S487" s="59" t="str">
        <f t="array" ref="S487">IF(COUNTA(Q487:Q1644)=0,"",SUM((COUNTIF(Q$4:Q487,Upgrades!$B$3:$B$13)-COUNTIF(Q$4:Q487,"Sell_"&amp;Upgrades!$B$3:$B$13))*Upgrades!$D$3:$D$13))</f>
        <v/>
      </c>
      <c r="T487" s="66" t="str">
        <f>IFERROR(__xludf.DUMMYFUNCTION("IF(COUNTA(Q487:Q1644)=0,"""",IF(REGEXMATCH(INDEX(FILTER(Q$4:Q487,Q$4:Q487&lt;&gt;""""),ROWS(FILTER(Q$4:Q487,Q$4:Q487&lt;&gt;""""))),""^Sell_""),INDEX(FILTER(T$4:T486,Q$4:Q486&lt;&gt;""""),ROWS(FILTER(Q$4:Q486,Q$4:Q486&lt;&gt;""""))),$AD$5+S487))"),"")</f>
        <v/>
      </c>
      <c r="U487" s="10" t="str">
        <f>IFERROR(__xludf.DUMMYFUNCTION("IF(COUNTA(Q487:Q1644)=0,"""",IF(Q487="""",0,IF(REGEXMATCH(Q487,""^Sell_""),-ROUNDDOWN(ROUNDUP(INDEX(Upgrades!$C$3:$C$13,MATCH(SUBSTITUTE(Q487,""Sell_"",""""),Upgrades!$B$3:$B$13,0))*1.15^(COUNTIF(Q$4:Q486,SUBSTITUTE(Q487,""Sell_"",""""))-COUNTIF(Q$4:Q486,"&amp;"""Sell_""&amp;SUBSTITUTE(Q487,""Sell_"",""""))))/2),ROUNDUP(INDEX(Upgrades!$C$3:$C$13,MATCH(Q487,Upgrades!$B$3:$B$13,0))*1.15^(COUNTIF(Q$4:Q486,Q487)-COUNTIF(Q$4:Q486,""Sell_""&amp;Q487))))))"),"")</f>
        <v/>
      </c>
      <c r="V487" s="10" t="str">
        <f t="shared" si="11"/>
        <v/>
      </c>
      <c r="W487" s="68" t="str">
        <f t="shared" si="12"/>
        <v/>
      </c>
      <c r="X487" s="59" t="str">
        <f t="shared" si="13"/>
        <v/>
      </c>
      <c r="Y487" s="69" t="str">
        <f t="shared" si="14"/>
        <v/>
      </c>
      <c r="Z487" s="11"/>
      <c r="AG487" s="59"/>
    </row>
    <row r="488">
      <c r="A488" s="8"/>
      <c r="B488" s="56" t="str">
        <f t="shared" si="2"/>
        <v/>
      </c>
      <c r="C488" s="105"/>
      <c r="D488" s="10"/>
      <c r="E488" s="59" t="str">
        <f t="array" ref="E488">IF(COUNTA(C488:C1644)=0,"",SUM((COUNTIF(C$4:C488,Upgrades!$B$3:$B$13)-COUNTIF(C$4:C488,"Sell_"&amp;Upgrades!$B$3:$B$13))*Upgrades!$D$3:$D$13))</f>
        <v/>
      </c>
      <c r="F488" s="66" t="str">
        <f>IFERROR(__xludf.DUMMYFUNCTION("IF(COUNTA(C488:C1644)=0,"""",IF(REGEXMATCH(INDEX(FILTER(C$4:C488,C$4:C488&lt;&gt;""""),ROWS(FILTER(C$4:C488,C$4:C488&lt;&gt;""""))),""^Sell_""),INDEX(FILTER(F$4:F487,C$4:C487&lt;&gt;""""),ROWS(FILTER(C$4:C487,C$4:C487&lt;&gt;""""))),$AC$5+E488))"),"")</f>
        <v/>
      </c>
      <c r="G488" s="10" t="str">
        <f>IFERROR(__xludf.DUMMYFUNCTION("IF(COUNTA(C488:C1644)=0,"""",IF(C488="""",0,IF(REGEXMATCH(C488,""^Sell_""),-ROUNDDOWN(ROUNDUP(INDEX(Upgrades!$C$3:$C$13,MATCH(SUBSTITUTE(C488,""Sell_"",""""),Upgrades!$B$3:$B$13,0))*1.15^(COUNTIF(C$4:C487,SUBSTITUTE(C488,""Sell_"",""""))-COUNTIF(C$4:C487,"&amp;"""Sell_""&amp;SUBSTITUTE(C488,""Sell_"",""""))))/2),ROUNDUP(INDEX(Upgrades!$C$3:$C$13,MATCH(C488,Upgrades!$B$3:$B$13,0))*1.15^(COUNTIF(C$4:C487,C488)-COUNTIF(C$4:C487,""Sell_""&amp;C488))))))"),"")</f>
        <v/>
      </c>
      <c r="H488" s="10" t="str">
        <f t="shared" si="3"/>
        <v/>
      </c>
      <c r="I488" s="68" t="str">
        <f t="shared" si="4"/>
        <v/>
      </c>
      <c r="J488" s="59" t="str">
        <f t="shared" si="5"/>
        <v/>
      </c>
      <c r="K488" s="69" t="str">
        <f t="shared" si="6"/>
        <v/>
      </c>
      <c r="L488" s="60" t="str">
        <f t="shared" si="7"/>
        <v/>
      </c>
      <c r="M488" s="61" t="str">
        <f>IFERROR(__xludf.DUMMYFUNCTION("IFS(AND(COUNTA(C488:C1644)=0,COUNTA(Q488:Q1644)=0),"""",OR(AND(K488&gt;=1000000000,OR(Y488&gt;=1000000000,COUNTA(Q488:Q1644)=0)),OR(Y488&gt;=1000000000,AND(COUNTA(C488:C1644)=0,P$3=TRUE))),
ROUNDDOWN((AB$1-AC$1)*MAX(INDEX(T$4:T1644,MATCH(LARGE(FILTER(Y$4:Y1644,Y$4"&amp;":Y1644&lt;1000000000),1),Y$4:Y1644)),INDEX(F$4:F1644,MATCH(LARGE(FILTER(K$4:K1644,K$4:K1644&lt;1000000000),1),K$4:K1644)))),AND(K488&lt;1000000000,COUNTA(C488:C1644)&gt;0,P$3=FALSE),
ROUNDDOWN(INDEX(Y$4:Y1644,MATCH(LARGE(FILTER(W$4:W1644,W$4:W1644&lt;=I488),1),W$4:W1644"&amp;"))+(I488-LARGE(FILTER(W$4:W1644,W$4:W1644&lt;=I488),1))*INDEX(T$4:T1644,MATCH(LARGE(FILTER(W$4:W1644,W$4:W1644&lt;=I488),1),W$4:W1644))-K488),1,
ROUNDDOWN(Y488-INDEX(K$4:K1644,MATCH(LARGE(FILTER(I$4:I1644,I$4:I1644&lt;=W488),1),I$4:I1644))-(W488-LARGE(FILTER(I$4:I"&amp;"1644,I$4:I1644&lt;=W488),1))*INDEX(F$4:F1644,MATCH(LARGE(FILTER(I$4:I1644,I$4:I1644&lt;=W488),1),I$4:I1644))))"),"")</f>
        <v/>
      </c>
      <c r="N488" s="60" t="str">
        <f t="shared" si="8"/>
        <v/>
      </c>
      <c r="O488" s="61" t="str">
        <f t="shared" si="9"/>
        <v/>
      </c>
      <c r="P488" s="56" t="str">
        <f t="shared" si="10"/>
        <v/>
      </c>
      <c r="Q488" s="105"/>
      <c r="R488" s="10"/>
      <c r="S488" s="59" t="str">
        <f t="array" ref="S488">IF(COUNTA(Q488:Q1644)=0,"",SUM((COUNTIF(Q$4:Q488,Upgrades!$B$3:$B$13)-COUNTIF(Q$4:Q488,"Sell_"&amp;Upgrades!$B$3:$B$13))*Upgrades!$D$3:$D$13))</f>
        <v/>
      </c>
      <c r="T488" s="66" t="str">
        <f>IFERROR(__xludf.DUMMYFUNCTION("IF(COUNTA(Q488:Q1644)=0,"""",IF(REGEXMATCH(INDEX(FILTER(Q$4:Q488,Q$4:Q488&lt;&gt;""""),ROWS(FILTER(Q$4:Q488,Q$4:Q488&lt;&gt;""""))),""^Sell_""),INDEX(FILTER(T$4:T487,Q$4:Q487&lt;&gt;""""),ROWS(FILTER(Q$4:Q487,Q$4:Q487&lt;&gt;""""))),$AD$5+S488))"),"")</f>
        <v/>
      </c>
      <c r="U488" s="10" t="str">
        <f>IFERROR(__xludf.DUMMYFUNCTION("IF(COUNTA(Q488:Q1644)=0,"""",IF(Q488="""",0,IF(REGEXMATCH(Q488,""^Sell_""),-ROUNDDOWN(ROUNDUP(INDEX(Upgrades!$C$3:$C$13,MATCH(SUBSTITUTE(Q488,""Sell_"",""""),Upgrades!$B$3:$B$13,0))*1.15^(COUNTIF(Q$4:Q487,SUBSTITUTE(Q488,""Sell_"",""""))-COUNTIF(Q$4:Q487,"&amp;"""Sell_""&amp;SUBSTITUTE(Q488,""Sell_"",""""))))/2),ROUNDUP(INDEX(Upgrades!$C$3:$C$13,MATCH(Q488,Upgrades!$B$3:$B$13,0))*1.15^(COUNTIF(Q$4:Q487,Q488)-COUNTIF(Q$4:Q487,""Sell_""&amp;Q488))))))"),"")</f>
        <v/>
      </c>
      <c r="V488" s="10" t="str">
        <f t="shared" si="11"/>
        <v/>
      </c>
      <c r="W488" s="68" t="str">
        <f t="shared" si="12"/>
        <v/>
      </c>
      <c r="X488" s="59" t="str">
        <f t="shared" si="13"/>
        <v/>
      </c>
      <c r="Y488" s="69" t="str">
        <f t="shared" si="14"/>
        <v/>
      </c>
      <c r="Z488" s="11"/>
      <c r="AG488" s="59"/>
    </row>
    <row r="489">
      <c r="A489" s="8"/>
      <c r="B489" s="56" t="str">
        <f t="shared" si="2"/>
        <v/>
      </c>
      <c r="C489" s="105"/>
      <c r="D489" s="10"/>
      <c r="E489" s="59" t="str">
        <f t="array" ref="E489">IF(COUNTA(C489:C1644)=0,"",SUM((COUNTIF(C$4:C489,Upgrades!$B$3:$B$13)-COUNTIF(C$4:C489,"Sell_"&amp;Upgrades!$B$3:$B$13))*Upgrades!$D$3:$D$13))</f>
        <v/>
      </c>
      <c r="F489" s="66" t="str">
        <f>IFERROR(__xludf.DUMMYFUNCTION("IF(COUNTA(C489:C1644)=0,"""",IF(REGEXMATCH(INDEX(FILTER(C$4:C489,C$4:C489&lt;&gt;""""),ROWS(FILTER(C$4:C489,C$4:C489&lt;&gt;""""))),""^Sell_""),INDEX(FILTER(F$4:F488,C$4:C488&lt;&gt;""""),ROWS(FILTER(C$4:C488,C$4:C488&lt;&gt;""""))),$AC$5+E489))"),"")</f>
        <v/>
      </c>
      <c r="G489" s="10" t="str">
        <f>IFERROR(__xludf.DUMMYFUNCTION("IF(COUNTA(C489:C1644)=0,"""",IF(C489="""",0,IF(REGEXMATCH(C489,""^Sell_""),-ROUNDDOWN(ROUNDUP(INDEX(Upgrades!$C$3:$C$13,MATCH(SUBSTITUTE(C489,""Sell_"",""""),Upgrades!$B$3:$B$13,0))*1.15^(COUNTIF(C$4:C488,SUBSTITUTE(C489,""Sell_"",""""))-COUNTIF(C$4:C488,"&amp;"""Sell_""&amp;SUBSTITUTE(C489,""Sell_"",""""))))/2),ROUNDUP(INDEX(Upgrades!$C$3:$C$13,MATCH(C489,Upgrades!$B$3:$B$13,0))*1.15^(COUNTIF(C$4:C488,C489)-COUNTIF(C$4:C488,""Sell_""&amp;C489))))))"),"")</f>
        <v/>
      </c>
      <c r="H489" s="10" t="str">
        <f t="shared" si="3"/>
        <v/>
      </c>
      <c r="I489" s="68" t="str">
        <f t="shared" si="4"/>
        <v/>
      </c>
      <c r="J489" s="59" t="str">
        <f t="shared" si="5"/>
        <v/>
      </c>
      <c r="K489" s="69" t="str">
        <f t="shared" si="6"/>
        <v/>
      </c>
      <c r="L489" s="60" t="str">
        <f t="shared" si="7"/>
        <v/>
      </c>
      <c r="M489" s="61" t="str">
        <f>IFERROR(__xludf.DUMMYFUNCTION("IFS(AND(COUNTA(C489:C1644)=0,COUNTA(Q489:Q1644)=0),"""",OR(AND(K489&gt;=1000000000,OR(Y489&gt;=1000000000,COUNTA(Q489:Q1644)=0)),OR(Y489&gt;=1000000000,AND(COUNTA(C489:C1644)=0,P$3=TRUE))),
ROUNDDOWN((AB$1-AC$1)*MAX(INDEX(T$4:T1644,MATCH(LARGE(FILTER(Y$4:Y1644,Y$4"&amp;":Y1644&lt;1000000000),1),Y$4:Y1644)),INDEX(F$4:F1644,MATCH(LARGE(FILTER(K$4:K1644,K$4:K1644&lt;1000000000),1),K$4:K1644)))),AND(K489&lt;1000000000,COUNTA(C489:C1644)&gt;0,P$3=FALSE),
ROUNDDOWN(INDEX(Y$4:Y1644,MATCH(LARGE(FILTER(W$4:W1644,W$4:W1644&lt;=I489),1),W$4:W1644"&amp;"))+(I489-LARGE(FILTER(W$4:W1644,W$4:W1644&lt;=I489),1))*INDEX(T$4:T1644,MATCH(LARGE(FILTER(W$4:W1644,W$4:W1644&lt;=I489),1),W$4:W1644))-K489),1,
ROUNDDOWN(Y489-INDEX(K$4:K1644,MATCH(LARGE(FILTER(I$4:I1644,I$4:I1644&lt;=W489),1),I$4:I1644))-(W489-LARGE(FILTER(I$4:I"&amp;"1644,I$4:I1644&lt;=W489),1))*INDEX(F$4:F1644,MATCH(LARGE(FILTER(I$4:I1644,I$4:I1644&lt;=W489),1),I$4:I1644))))"),"")</f>
        <v/>
      </c>
      <c r="N489" s="60" t="str">
        <f t="shared" si="8"/>
        <v/>
      </c>
      <c r="O489" s="61" t="str">
        <f t="shared" si="9"/>
        <v/>
      </c>
      <c r="P489" s="56" t="str">
        <f t="shared" si="10"/>
        <v/>
      </c>
      <c r="Q489" s="105"/>
      <c r="R489" s="10"/>
      <c r="S489" s="59" t="str">
        <f t="array" ref="S489">IF(COUNTA(Q489:Q1644)=0,"",SUM((COUNTIF(Q$4:Q489,Upgrades!$B$3:$B$13)-COUNTIF(Q$4:Q489,"Sell_"&amp;Upgrades!$B$3:$B$13))*Upgrades!$D$3:$D$13))</f>
        <v/>
      </c>
      <c r="T489" s="66" t="str">
        <f>IFERROR(__xludf.DUMMYFUNCTION("IF(COUNTA(Q489:Q1644)=0,"""",IF(REGEXMATCH(INDEX(FILTER(Q$4:Q489,Q$4:Q489&lt;&gt;""""),ROWS(FILTER(Q$4:Q489,Q$4:Q489&lt;&gt;""""))),""^Sell_""),INDEX(FILTER(T$4:T488,Q$4:Q488&lt;&gt;""""),ROWS(FILTER(Q$4:Q488,Q$4:Q488&lt;&gt;""""))),$AD$5+S489))"),"")</f>
        <v/>
      </c>
      <c r="U489" s="10" t="str">
        <f>IFERROR(__xludf.DUMMYFUNCTION("IF(COUNTA(Q489:Q1644)=0,"""",IF(Q489="""",0,IF(REGEXMATCH(Q489,""^Sell_""),-ROUNDDOWN(ROUNDUP(INDEX(Upgrades!$C$3:$C$13,MATCH(SUBSTITUTE(Q489,""Sell_"",""""),Upgrades!$B$3:$B$13,0))*1.15^(COUNTIF(Q$4:Q488,SUBSTITUTE(Q489,""Sell_"",""""))-COUNTIF(Q$4:Q488,"&amp;"""Sell_""&amp;SUBSTITUTE(Q489,""Sell_"",""""))))/2),ROUNDUP(INDEX(Upgrades!$C$3:$C$13,MATCH(Q489,Upgrades!$B$3:$B$13,0))*1.15^(COUNTIF(Q$4:Q488,Q489)-COUNTIF(Q$4:Q488,""Sell_""&amp;Q489))))))"),"")</f>
        <v/>
      </c>
      <c r="V489" s="10" t="str">
        <f t="shared" si="11"/>
        <v/>
      </c>
      <c r="W489" s="68" t="str">
        <f t="shared" si="12"/>
        <v/>
      </c>
      <c r="X489" s="59" t="str">
        <f t="shared" si="13"/>
        <v/>
      </c>
      <c r="Y489" s="69" t="str">
        <f t="shared" si="14"/>
        <v/>
      </c>
      <c r="Z489" s="11"/>
      <c r="AG489" s="59"/>
    </row>
    <row r="490">
      <c r="A490" s="8"/>
      <c r="B490" s="56" t="str">
        <f t="shared" si="2"/>
        <v/>
      </c>
      <c r="C490" s="105"/>
      <c r="D490" s="10"/>
      <c r="E490" s="59" t="str">
        <f t="array" ref="E490">IF(COUNTA(C490:C1644)=0,"",SUM((COUNTIF(C$4:C490,Upgrades!$B$3:$B$13)-COUNTIF(C$4:C490,"Sell_"&amp;Upgrades!$B$3:$B$13))*Upgrades!$D$3:$D$13))</f>
        <v/>
      </c>
      <c r="F490" s="66" t="str">
        <f>IFERROR(__xludf.DUMMYFUNCTION("IF(COUNTA(C490:C1644)=0,"""",IF(REGEXMATCH(INDEX(FILTER(C$4:C490,C$4:C490&lt;&gt;""""),ROWS(FILTER(C$4:C490,C$4:C490&lt;&gt;""""))),""^Sell_""),INDEX(FILTER(F$4:F489,C$4:C489&lt;&gt;""""),ROWS(FILTER(C$4:C489,C$4:C489&lt;&gt;""""))),$AC$5+E490))"),"")</f>
        <v/>
      </c>
      <c r="G490" s="10" t="str">
        <f>IFERROR(__xludf.DUMMYFUNCTION("IF(COUNTA(C490:C1644)=0,"""",IF(C490="""",0,IF(REGEXMATCH(C490,""^Sell_""),-ROUNDDOWN(ROUNDUP(INDEX(Upgrades!$C$3:$C$13,MATCH(SUBSTITUTE(C490,""Sell_"",""""),Upgrades!$B$3:$B$13,0))*1.15^(COUNTIF(C$4:C489,SUBSTITUTE(C490,""Sell_"",""""))-COUNTIF(C$4:C489,"&amp;"""Sell_""&amp;SUBSTITUTE(C490,""Sell_"",""""))))/2),ROUNDUP(INDEX(Upgrades!$C$3:$C$13,MATCH(C490,Upgrades!$B$3:$B$13,0))*1.15^(COUNTIF(C$4:C489,C490)-COUNTIF(C$4:C489,""Sell_""&amp;C490))))))"),"")</f>
        <v/>
      </c>
      <c r="H490" s="10" t="str">
        <f t="shared" si="3"/>
        <v/>
      </c>
      <c r="I490" s="68" t="str">
        <f t="shared" si="4"/>
        <v/>
      </c>
      <c r="J490" s="59" t="str">
        <f t="shared" si="5"/>
        <v/>
      </c>
      <c r="K490" s="69" t="str">
        <f t="shared" si="6"/>
        <v/>
      </c>
      <c r="L490" s="60" t="str">
        <f t="shared" si="7"/>
        <v/>
      </c>
      <c r="M490" s="61" t="str">
        <f>IFERROR(__xludf.DUMMYFUNCTION("IFS(AND(COUNTA(C490:C1644)=0,COUNTA(Q490:Q1644)=0),"""",OR(AND(K490&gt;=1000000000,OR(Y490&gt;=1000000000,COUNTA(Q490:Q1644)=0)),OR(Y490&gt;=1000000000,AND(COUNTA(C490:C1644)=0,P$3=TRUE))),
ROUNDDOWN((AB$1-AC$1)*MAX(INDEX(T$4:T1644,MATCH(LARGE(FILTER(Y$4:Y1644,Y$4"&amp;":Y1644&lt;1000000000),1),Y$4:Y1644)),INDEX(F$4:F1644,MATCH(LARGE(FILTER(K$4:K1644,K$4:K1644&lt;1000000000),1),K$4:K1644)))),AND(K490&lt;1000000000,COUNTA(C490:C1644)&gt;0,P$3=FALSE),
ROUNDDOWN(INDEX(Y$4:Y1644,MATCH(LARGE(FILTER(W$4:W1644,W$4:W1644&lt;=I490),1),W$4:W1644"&amp;"))+(I490-LARGE(FILTER(W$4:W1644,W$4:W1644&lt;=I490),1))*INDEX(T$4:T1644,MATCH(LARGE(FILTER(W$4:W1644,W$4:W1644&lt;=I490),1),W$4:W1644))-K490),1,
ROUNDDOWN(Y490-INDEX(K$4:K1644,MATCH(LARGE(FILTER(I$4:I1644,I$4:I1644&lt;=W490),1),I$4:I1644))-(W490-LARGE(FILTER(I$4:I"&amp;"1644,I$4:I1644&lt;=W490),1))*INDEX(F$4:F1644,MATCH(LARGE(FILTER(I$4:I1644,I$4:I1644&lt;=W490),1),I$4:I1644))))"),"")</f>
        <v/>
      </c>
      <c r="N490" s="60" t="str">
        <f t="shared" si="8"/>
        <v/>
      </c>
      <c r="O490" s="61" t="str">
        <f t="shared" si="9"/>
        <v/>
      </c>
      <c r="P490" s="56" t="str">
        <f t="shared" si="10"/>
        <v/>
      </c>
      <c r="Q490" s="105"/>
      <c r="R490" s="10"/>
      <c r="S490" s="59" t="str">
        <f t="array" ref="S490">IF(COUNTA(Q490:Q1644)=0,"",SUM((COUNTIF(Q$4:Q490,Upgrades!$B$3:$B$13)-COUNTIF(Q$4:Q490,"Sell_"&amp;Upgrades!$B$3:$B$13))*Upgrades!$D$3:$D$13))</f>
        <v/>
      </c>
      <c r="T490" s="66" t="str">
        <f>IFERROR(__xludf.DUMMYFUNCTION("IF(COUNTA(Q490:Q1644)=0,"""",IF(REGEXMATCH(INDEX(FILTER(Q$4:Q490,Q$4:Q490&lt;&gt;""""),ROWS(FILTER(Q$4:Q490,Q$4:Q490&lt;&gt;""""))),""^Sell_""),INDEX(FILTER(T$4:T489,Q$4:Q489&lt;&gt;""""),ROWS(FILTER(Q$4:Q489,Q$4:Q489&lt;&gt;""""))),$AD$5+S490))"),"")</f>
        <v/>
      </c>
      <c r="U490" s="10" t="str">
        <f>IFERROR(__xludf.DUMMYFUNCTION("IF(COUNTA(Q490:Q1644)=0,"""",IF(Q490="""",0,IF(REGEXMATCH(Q490,""^Sell_""),-ROUNDDOWN(ROUNDUP(INDEX(Upgrades!$C$3:$C$13,MATCH(SUBSTITUTE(Q490,""Sell_"",""""),Upgrades!$B$3:$B$13,0))*1.15^(COUNTIF(Q$4:Q489,SUBSTITUTE(Q490,""Sell_"",""""))-COUNTIF(Q$4:Q489,"&amp;"""Sell_""&amp;SUBSTITUTE(Q490,""Sell_"",""""))))/2),ROUNDUP(INDEX(Upgrades!$C$3:$C$13,MATCH(Q490,Upgrades!$B$3:$B$13,0))*1.15^(COUNTIF(Q$4:Q489,Q490)-COUNTIF(Q$4:Q489,""Sell_""&amp;Q490))))))"),"")</f>
        <v/>
      </c>
      <c r="V490" s="10" t="str">
        <f t="shared" si="11"/>
        <v/>
      </c>
      <c r="W490" s="68" t="str">
        <f t="shared" si="12"/>
        <v/>
      </c>
      <c r="X490" s="59" t="str">
        <f t="shared" si="13"/>
        <v/>
      </c>
      <c r="Y490" s="69" t="str">
        <f t="shared" si="14"/>
        <v/>
      </c>
      <c r="Z490" s="11"/>
      <c r="AG490" s="59"/>
    </row>
    <row r="491">
      <c r="A491" s="8"/>
      <c r="B491" s="56" t="str">
        <f t="shared" si="2"/>
        <v/>
      </c>
      <c r="C491" s="105"/>
      <c r="D491" s="10"/>
      <c r="E491" s="59" t="str">
        <f t="array" ref="E491">IF(COUNTA(C491:C1644)=0,"",SUM((COUNTIF(C$4:C491,Upgrades!$B$3:$B$13)-COUNTIF(C$4:C491,"Sell_"&amp;Upgrades!$B$3:$B$13))*Upgrades!$D$3:$D$13))</f>
        <v/>
      </c>
      <c r="F491" s="66" t="str">
        <f>IFERROR(__xludf.DUMMYFUNCTION("IF(COUNTA(C491:C1644)=0,"""",IF(REGEXMATCH(INDEX(FILTER(C$4:C491,C$4:C491&lt;&gt;""""),ROWS(FILTER(C$4:C491,C$4:C491&lt;&gt;""""))),""^Sell_""),INDEX(FILTER(F$4:F490,C$4:C490&lt;&gt;""""),ROWS(FILTER(C$4:C490,C$4:C490&lt;&gt;""""))),$AC$5+E491))"),"")</f>
        <v/>
      </c>
      <c r="G491" s="10" t="str">
        <f>IFERROR(__xludf.DUMMYFUNCTION("IF(COUNTA(C491:C1644)=0,"""",IF(C491="""",0,IF(REGEXMATCH(C491,""^Sell_""),-ROUNDDOWN(ROUNDUP(INDEX(Upgrades!$C$3:$C$13,MATCH(SUBSTITUTE(C491,""Sell_"",""""),Upgrades!$B$3:$B$13,0))*1.15^(COUNTIF(C$4:C490,SUBSTITUTE(C491,""Sell_"",""""))-COUNTIF(C$4:C490,"&amp;"""Sell_""&amp;SUBSTITUTE(C491,""Sell_"",""""))))/2),ROUNDUP(INDEX(Upgrades!$C$3:$C$13,MATCH(C491,Upgrades!$B$3:$B$13,0))*1.15^(COUNTIF(C$4:C490,C491)-COUNTIF(C$4:C490,""Sell_""&amp;C491))))))"),"")</f>
        <v/>
      </c>
      <c r="H491" s="10" t="str">
        <f t="shared" si="3"/>
        <v/>
      </c>
      <c r="I491" s="68" t="str">
        <f t="shared" si="4"/>
        <v/>
      </c>
      <c r="J491" s="59" t="str">
        <f t="shared" si="5"/>
        <v/>
      </c>
      <c r="K491" s="69" t="str">
        <f t="shared" si="6"/>
        <v/>
      </c>
      <c r="L491" s="60" t="str">
        <f t="shared" si="7"/>
        <v/>
      </c>
      <c r="M491" s="61" t="str">
        <f>IFERROR(__xludf.DUMMYFUNCTION("IFS(AND(COUNTA(C491:C1644)=0,COUNTA(Q491:Q1644)=0),"""",OR(AND(K491&gt;=1000000000,OR(Y491&gt;=1000000000,COUNTA(Q491:Q1644)=0)),OR(Y491&gt;=1000000000,AND(COUNTA(C491:C1644)=0,P$3=TRUE))),
ROUNDDOWN((AB$1-AC$1)*MAX(INDEX(T$4:T1644,MATCH(LARGE(FILTER(Y$4:Y1644,Y$4"&amp;":Y1644&lt;1000000000),1),Y$4:Y1644)),INDEX(F$4:F1644,MATCH(LARGE(FILTER(K$4:K1644,K$4:K1644&lt;1000000000),1),K$4:K1644)))),AND(K491&lt;1000000000,COUNTA(C491:C1644)&gt;0,P$3=FALSE),
ROUNDDOWN(INDEX(Y$4:Y1644,MATCH(LARGE(FILTER(W$4:W1644,W$4:W1644&lt;=I491),1),W$4:W1644"&amp;"))+(I491-LARGE(FILTER(W$4:W1644,W$4:W1644&lt;=I491),1))*INDEX(T$4:T1644,MATCH(LARGE(FILTER(W$4:W1644,W$4:W1644&lt;=I491),1),W$4:W1644))-K491),1,
ROUNDDOWN(Y491-INDEX(K$4:K1644,MATCH(LARGE(FILTER(I$4:I1644,I$4:I1644&lt;=W491),1),I$4:I1644))-(W491-LARGE(FILTER(I$4:I"&amp;"1644,I$4:I1644&lt;=W491),1))*INDEX(F$4:F1644,MATCH(LARGE(FILTER(I$4:I1644,I$4:I1644&lt;=W491),1),I$4:I1644))))"),"")</f>
        <v/>
      </c>
      <c r="N491" s="60" t="str">
        <f t="shared" si="8"/>
        <v/>
      </c>
      <c r="O491" s="61" t="str">
        <f t="shared" si="9"/>
        <v/>
      </c>
      <c r="P491" s="56" t="str">
        <f t="shared" si="10"/>
        <v/>
      </c>
      <c r="Q491" s="105"/>
      <c r="R491" s="10"/>
      <c r="S491" s="59" t="str">
        <f t="array" ref="S491">IF(COUNTA(Q491:Q1644)=0,"",SUM((COUNTIF(Q$4:Q491,Upgrades!$B$3:$B$13)-COUNTIF(Q$4:Q491,"Sell_"&amp;Upgrades!$B$3:$B$13))*Upgrades!$D$3:$D$13))</f>
        <v/>
      </c>
      <c r="T491" s="66" t="str">
        <f>IFERROR(__xludf.DUMMYFUNCTION("IF(COUNTA(Q491:Q1644)=0,"""",IF(REGEXMATCH(INDEX(FILTER(Q$4:Q491,Q$4:Q491&lt;&gt;""""),ROWS(FILTER(Q$4:Q491,Q$4:Q491&lt;&gt;""""))),""^Sell_""),INDEX(FILTER(T$4:T490,Q$4:Q490&lt;&gt;""""),ROWS(FILTER(Q$4:Q490,Q$4:Q490&lt;&gt;""""))),$AD$5+S491))"),"")</f>
        <v/>
      </c>
      <c r="U491" s="10" t="str">
        <f>IFERROR(__xludf.DUMMYFUNCTION("IF(COUNTA(Q491:Q1644)=0,"""",IF(Q491="""",0,IF(REGEXMATCH(Q491,""^Sell_""),-ROUNDDOWN(ROUNDUP(INDEX(Upgrades!$C$3:$C$13,MATCH(SUBSTITUTE(Q491,""Sell_"",""""),Upgrades!$B$3:$B$13,0))*1.15^(COUNTIF(Q$4:Q490,SUBSTITUTE(Q491,""Sell_"",""""))-COUNTIF(Q$4:Q490,"&amp;"""Sell_""&amp;SUBSTITUTE(Q491,""Sell_"",""""))))/2),ROUNDUP(INDEX(Upgrades!$C$3:$C$13,MATCH(Q491,Upgrades!$B$3:$B$13,0))*1.15^(COUNTIF(Q$4:Q490,Q491)-COUNTIF(Q$4:Q490,""Sell_""&amp;Q491))))))"),"")</f>
        <v/>
      </c>
      <c r="V491" s="10" t="str">
        <f t="shared" si="11"/>
        <v/>
      </c>
      <c r="W491" s="68" t="str">
        <f t="shared" si="12"/>
        <v/>
      </c>
      <c r="X491" s="59" t="str">
        <f t="shared" si="13"/>
        <v/>
      </c>
      <c r="Y491" s="69" t="str">
        <f t="shared" si="14"/>
        <v/>
      </c>
      <c r="Z491" s="11"/>
      <c r="AG491" s="59"/>
    </row>
    <row r="492">
      <c r="A492" s="8"/>
      <c r="B492" s="56" t="str">
        <f t="shared" si="2"/>
        <v/>
      </c>
      <c r="C492" s="105"/>
      <c r="D492" s="10"/>
      <c r="E492" s="59" t="str">
        <f t="array" ref="E492">IF(COUNTA(C492:C1644)=0,"",SUM((COUNTIF(C$4:C492,Upgrades!$B$3:$B$13)-COUNTIF(C$4:C492,"Sell_"&amp;Upgrades!$B$3:$B$13))*Upgrades!$D$3:$D$13))</f>
        <v/>
      </c>
      <c r="F492" s="66" t="str">
        <f>IFERROR(__xludf.DUMMYFUNCTION("IF(COUNTA(C492:C1644)=0,"""",IF(REGEXMATCH(INDEX(FILTER(C$4:C492,C$4:C492&lt;&gt;""""),ROWS(FILTER(C$4:C492,C$4:C492&lt;&gt;""""))),""^Sell_""),INDEX(FILTER(F$4:F491,C$4:C491&lt;&gt;""""),ROWS(FILTER(C$4:C491,C$4:C491&lt;&gt;""""))),$AC$5+E492))"),"")</f>
        <v/>
      </c>
      <c r="G492" s="10" t="str">
        <f>IFERROR(__xludf.DUMMYFUNCTION("IF(COUNTA(C492:C1644)=0,"""",IF(C492="""",0,IF(REGEXMATCH(C492,""^Sell_""),-ROUNDDOWN(ROUNDUP(INDEX(Upgrades!$C$3:$C$13,MATCH(SUBSTITUTE(C492,""Sell_"",""""),Upgrades!$B$3:$B$13,0))*1.15^(COUNTIF(C$4:C491,SUBSTITUTE(C492,""Sell_"",""""))-COUNTIF(C$4:C491,"&amp;"""Sell_""&amp;SUBSTITUTE(C492,""Sell_"",""""))))/2),ROUNDUP(INDEX(Upgrades!$C$3:$C$13,MATCH(C492,Upgrades!$B$3:$B$13,0))*1.15^(COUNTIF(C$4:C491,C492)-COUNTIF(C$4:C491,""Sell_""&amp;C492))))))"),"")</f>
        <v/>
      </c>
      <c r="H492" s="10" t="str">
        <f t="shared" si="3"/>
        <v/>
      </c>
      <c r="I492" s="68" t="str">
        <f t="shared" si="4"/>
        <v/>
      </c>
      <c r="J492" s="59" t="str">
        <f t="shared" si="5"/>
        <v/>
      </c>
      <c r="K492" s="69" t="str">
        <f t="shared" si="6"/>
        <v/>
      </c>
      <c r="L492" s="60" t="str">
        <f t="shared" si="7"/>
        <v/>
      </c>
      <c r="M492" s="61" t="str">
        <f>IFERROR(__xludf.DUMMYFUNCTION("IFS(AND(COUNTA(C492:C1644)=0,COUNTA(Q492:Q1644)=0),"""",OR(AND(K492&gt;=1000000000,OR(Y492&gt;=1000000000,COUNTA(Q492:Q1644)=0)),OR(Y492&gt;=1000000000,AND(COUNTA(C492:C1644)=0,P$3=TRUE))),
ROUNDDOWN((AB$1-AC$1)*MAX(INDEX(T$4:T1644,MATCH(LARGE(FILTER(Y$4:Y1644,Y$4"&amp;":Y1644&lt;1000000000),1),Y$4:Y1644)),INDEX(F$4:F1644,MATCH(LARGE(FILTER(K$4:K1644,K$4:K1644&lt;1000000000),1),K$4:K1644)))),AND(K492&lt;1000000000,COUNTA(C492:C1644)&gt;0,P$3=FALSE),
ROUNDDOWN(INDEX(Y$4:Y1644,MATCH(LARGE(FILTER(W$4:W1644,W$4:W1644&lt;=I492),1),W$4:W1644"&amp;"))+(I492-LARGE(FILTER(W$4:W1644,W$4:W1644&lt;=I492),1))*INDEX(T$4:T1644,MATCH(LARGE(FILTER(W$4:W1644,W$4:W1644&lt;=I492),1),W$4:W1644))-K492),1,
ROUNDDOWN(Y492-INDEX(K$4:K1644,MATCH(LARGE(FILTER(I$4:I1644,I$4:I1644&lt;=W492),1),I$4:I1644))-(W492-LARGE(FILTER(I$4:I"&amp;"1644,I$4:I1644&lt;=W492),1))*INDEX(F$4:F1644,MATCH(LARGE(FILTER(I$4:I1644,I$4:I1644&lt;=W492),1),I$4:I1644))))"),"")</f>
        <v/>
      </c>
      <c r="N492" s="60" t="str">
        <f t="shared" si="8"/>
        <v/>
      </c>
      <c r="O492" s="61" t="str">
        <f t="shared" si="9"/>
        <v/>
      </c>
      <c r="P492" s="56" t="str">
        <f t="shared" si="10"/>
        <v/>
      </c>
      <c r="Q492" s="105"/>
      <c r="R492" s="10"/>
      <c r="S492" s="59" t="str">
        <f t="array" ref="S492">IF(COUNTA(Q492:Q1644)=0,"",SUM((COUNTIF(Q$4:Q492,Upgrades!$B$3:$B$13)-COUNTIF(Q$4:Q492,"Sell_"&amp;Upgrades!$B$3:$B$13))*Upgrades!$D$3:$D$13))</f>
        <v/>
      </c>
      <c r="T492" s="66" t="str">
        <f>IFERROR(__xludf.DUMMYFUNCTION("IF(COUNTA(Q492:Q1644)=0,"""",IF(REGEXMATCH(INDEX(FILTER(Q$4:Q492,Q$4:Q492&lt;&gt;""""),ROWS(FILTER(Q$4:Q492,Q$4:Q492&lt;&gt;""""))),""^Sell_""),INDEX(FILTER(T$4:T491,Q$4:Q491&lt;&gt;""""),ROWS(FILTER(Q$4:Q491,Q$4:Q491&lt;&gt;""""))),$AD$5+S492))"),"")</f>
        <v/>
      </c>
      <c r="U492" s="10" t="str">
        <f>IFERROR(__xludf.DUMMYFUNCTION("IF(COUNTA(Q492:Q1644)=0,"""",IF(Q492="""",0,IF(REGEXMATCH(Q492,""^Sell_""),-ROUNDDOWN(ROUNDUP(INDEX(Upgrades!$C$3:$C$13,MATCH(SUBSTITUTE(Q492,""Sell_"",""""),Upgrades!$B$3:$B$13,0))*1.15^(COUNTIF(Q$4:Q491,SUBSTITUTE(Q492,""Sell_"",""""))-COUNTIF(Q$4:Q491,"&amp;"""Sell_""&amp;SUBSTITUTE(Q492,""Sell_"",""""))))/2),ROUNDUP(INDEX(Upgrades!$C$3:$C$13,MATCH(Q492,Upgrades!$B$3:$B$13,0))*1.15^(COUNTIF(Q$4:Q491,Q492)-COUNTIF(Q$4:Q491,""Sell_""&amp;Q492))))))"),"")</f>
        <v/>
      </c>
      <c r="V492" s="10" t="str">
        <f t="shared" si="11"/>
        <v/>
      </c>
      <c r="W492" s="68" t="str">
        <f t="shared" si="12"/>
        <v/>
      </c>
      <c r="X492" s="59" t="str">
        <f t="shared" si="13"/>
        <v/>
      </c>
      <c r="Y492" s="69" t="str">
        <f t="shared" si="14"/>
        <v/>
      </c>
      <c r="Z492" s="11"/>
      <c r="AG492" s="59"/>
    </row>
    <row r="493">
      <c r="A493" s="8"/>
      <c r="B493" s="56" t="str">
        <f t="shared" si="2"/>
        <v/>
      </c>
      <c r="C493" s="105"/>
      <c r="D493" s="10"/>
      <c r="E493" s="59" t="str">
        <f t="array" ref="E493">IF(COUNTA(C493:C1644)=0,"",SUM((COUNTIF(C$4:C493,Upgrades!$B$3:$B$13)-COUNTIF(C$4:C493,"Sell_"&amp;Upgrades!$B$3:$B$13))*Upgrades!$D$3:$D$13))</f>
        <v/>
      </c>
      <c r="F493" s="66" t="str">
        <f>IFERROR(__xludf.DUMMYFUNCTION("IF(COUNTA(C493:C1644)=0,"""",IF(REGEXMATCH(INDEX(FILTER(C$4:C493,C$4:C493&lt;&gt;""""),ROWS(FILTER(C$4:C493,C$4:C493&lt;&gt;""""))),""^Sell_""),INDEX(FILTER(F$4:F492,C$4:C492&lt;&gt;""""),ROWS(FILTER(C$4:C492,C$4:C492&lt;&gt;""""))),$AC$5+E493))"),"")</f>
        <v/>
      </c>
      <c r="G493" s="10" t="str">
        <f>IFERROR(__xludf.DUMMYFUNCTION("IF(COUNTA(C493:C1644)=0,"""",IF(C493="""",0,IF(REGEXMATCH(C493,""^Sell_""),-ROUNDDOWN(ROUNDUP(INDEX(Upgrades!$C$3:$C$13,MATCH(SUBSTITUTE(C493,""Sell_"",""""),Upgrades!$B$3:$B$13,0))*1.15^(COUNTIF(C$4:C492,SUBSTITUTE(C493,""Sell_"",""""))-COUNTIF(C$4:C492,"&amp;"""Sell_""&amp;SUBSTITUTE(C493,""Sell_"",""""))))/2),ROUNDUP(INDEX(Upgrades!$C$3:$C$13,MATCH(C493,Upgrades!$B$3:$B$13,0))*1.15^(COUNTIF(C$4:C492,C493)-COUNTIF(C$4:C492,""Sell_""&amp;C493))))))"),"")</f>
        <v/>
      </c>
      <c r="H493" s="10" t="str">
        <f t="shared" si="3"/>
        <v/>
      </c>
      <c r="I493" s="68" t="str">
        <f t="shared" si="4"/>
        <v/>
      </c>
      <c r="J493" s="59" t="str">
        <f t="shared" si="5"/>
        <v/>
      </c>
      <c r="K493" s="69" t="str">
        <f t="shared" si="6"/>
        <v/>
      </c>
      <c r="L493" s="60" t="str">
        <f t="shared" si="7"/>
        <v/>
      </c>
      <c r="M493" s="61" t="str">
        <f>IFERROR(__xludf.DUMMYFUNCTION("IFS(AND(COUNTA(C493:C1644)=0,COUNTA(Q493:Q1644)=0),"""",OR(AND(K493&gt;=1000000000,OR(Y493&gt;=1000000000,COUNTA(Q493:Q1644)=0)),OR(Y493&gt;=1000000000,AND(COUNTA(C493:C1644)=0,P$3=TRUE))),
ROUNDDOWN((AB$1-AC$1)*MAX(INDEX(T$4:T1644,MATCH(LARGE(FILTER(Y$4:Y1644,Y$4"&amp;":Y1644&lt;1000000000),1),Y$4:Y1644)),INDEX(F$4:F1644,MATCH(LARGE(FILTER(K$4:K1644,K$4:K1644&lt;1000000000),1),K$4:K1644)))),AND(K493&lt;1000000000,COUNTA(C493:C1644)&gt;0,P$3=FALSE),
ROUNDDOWN(INDEX(Y$4:Y1644,MATCH(LARGE(FILTER(W$4:W1644,W$4:W1644&lt;=I493),1),W$4:W1644"&amp;"))+(I493-LARGE(FILTER(W$4:W1644,W$4:W1644&lt;=I493),1))*INDEX(T$4:T1644,MATCH(LARGE(FILTER(W$4:W1644,W$4:W1644&lt;=I493),1),W$4:W1644))-K493),1,
ROUNDDOWN(Y493-INDEX(K$4:K1644,MATCH(LARGE(FILTER(I$4:I1644,I$4:I1644&lt;=W493),1),I$4:I1644))-(W493-LARGE(FILTER(I$4:I"&amp;"1644,I$4:I1644&lt;=W493),1))*INDEX(F$4:F1644,MATCH(LARGE(FILTER(I$4:I1644,I$4:I1644&lt;=W493),1),I$4:I1644))))"),"")</f>
        <v/>
      </c>
      <c r="N493" s="60" t="str">
        <f t="shared" si="8"/>
        <v/>
      </c>
      <c r="O493" s="61" t="str">
        <f t="shared" si="9"/>
        <v/>
      </c>
      <c r="P493" s="56" t="str">
        <f t="shared" si="10"/>
        <v/>
      </c>
      <c r="Q493" s="105"/>
      <c r="R493" s="10"/>
      <c r="S493" s="59" t="str">
        <f t="array" ref="S493">IF(COUNTA(Q493:Q1644)=0,"",SUM((COUNTIF(Q$4:Q493,Upgrades!$B$3:$B$13)-COUNTIF(Q$4:Q493,"Sell_"&amp;Upgrades!$B$3:$B$13))*Upgrades!$D$3:$D$13))</f>
        <v/>
      </c>
      <c r="T493" s="66" t="str">
        <f>IFERROR(__xludf.DUMMYFUNCTION("IF(COUNTA(Q493:Q1644)=0,"""",IF(REGEXMATCH(INDEX(FILTER(Q$4:Q493,Q$4:Q493&lt;&gt;""""),ROWS(FILTER(Q$4:Q493,Q$4:Q493&lt;&gt;""""))),""^Sell_""),INDEX(FILTER(T$4:T492,Q$4:Q492&lt;&gt;""""),ROWS(FILTER(Q$4:Q492,Q$4:Q492&lt;&gt;""""))),$AD$5+S493))"),"")</f>
        <v/>
      </c>
      <c r="U493" s="10" t="str">
        <f>IFERROR(__xludf.DUMMYFUNCTION("IF(COUNTA(Q493:Q1644)=0,"""",IF(Q493="""",0,IF(REGEXMATCH(Q493,""^Sell_""),-ROUNDDOWN(ROUNDUP(INDEX(Upgrades!$C$3:$C$13,MATCH(SUBSTITUTE(Q493,""Sell_"",""""),Upgrades!$B$3:$B$13,0))*1.15^(COUNTIF(Q$4:Q492,SUBSTITUTE(Q493,""Sell_"",""""))-COUNTIF(Q$4:Q492,"&amp;"""Sell_""&amp;SUBSTITUTE(Q493,""Sell_"",""""))))/2),ROUNDUP(INDEX(Upgrades!$C$3:$C$13,MATCH(Q493,Upgrades!$B$3:$B$13,0))*1.15^(COUNTIF(Q$4:Q492,Q493)-COUNTIF(Q$4:Q492,""Sell_""&amp;Q493))))))"),"")</f>
        <v/>
      </c>
      <c r="V493" s="10" t="str">
        <f t="shared" si="11"/>
        <v/>
      </c>
      <c r="W493" s="68" t="str">
        <f t="shared" si="12"/>
        <v/>
      </c>
      <c r="X493" s="59" t="str">
        <f t="shared" si="13"/>
        <v/>
      </c>
      <c r="Y493" s="69" t="str">
        <f t="shared" si="14"/>
        <v/>
      </c>
      <c r="Z493" s="11"/>
      <c r="AG493" s="59"/>
    </row>
    <row r="494">
      <c r="A494" s="8"/>
      <c r="B494" s="56" t="str">
        <f t="shared" si="2"/>
        <v/>
      </c>
      <c r="C494" s="105"/>
      <c r="D494" s="10"/>
      <c r="E494" s="59" t="str">
        <f t="array" ref="E494">IF(COUNTA(C494:C1644)=0,"",SUM((COUNTIF(C$4:C494,Upgrades!$B$3:$B$13)-COUNTIF(C$4:C494,"Sell_"&amp;Upgrades!$B$3:$B$13))*Upgrades!$D$3:$D$13))</f>
        <v/>
      </c>
      <c r="F494" s="66" t="str">
        <f>IFERROR(__xludf.DUMMYFUNCTION("IF(COUNTA(C494:C1644)=0,"""",IF(REGEXMATCH(INDEX(FILTER(C$4:C494,C$4:C494&lt;&gt;""""),ROWS(FILTER(C$4:C494,C$4:C494&lt;&gt;""""))),""^Sell_""),INDEX(FILTER(F$4:F493,C$4:C493&lt;&gt;""""),ROWS(FILTER(C$4:C493,C$4:C493&lt;&gt;""""))),$AC$5+E494))"),"")</f>
        <v/>
      </c>
      <c r="G494" s="10" t="str">
        <f>IFERROR(__xludf.DUMMYFUNCTION("IF(COUNTA(C494:C1644)=0,"""",IF(C494="""",0,IF(REGEXMATCH(C494,""^Sell_""),-ROUNDDOWN(ROUNDUP(INDEX(Upgrades!$C$3:$C$13,MATCH(SUBSTITUTE(C494,""Sell_"",""""),Upgrades!$B$3:$B$13,0))*1.15^(COUNTIF(C$4:C493,SUBSTITUTE(C494,""Sell_"",""""))-COUNTIF(C$4:C493,"&amp;"""Sell_""&amp;SUBSTITUTE(C494,""Sell_"",""""))))/2),ROUNDUP(INDEX(Upgrades!$C$3:$C$13,MATCH(C494,Upgrades!$B$3:$B$13,0))*1.15^(COUNTIF(C$4:C493,C494)-COUNTIF(C$4:C493,""Sell_""&amp;C494))))))"),"")</f>
        <v/>
      </c>
      <c r="H494" s="10" t="str">
        <f t="shared" si="3"/>
        <v/>
      </c>
      <c r="I494" s="68" t="str">
        <f t="shared" si="4"/>
        <v/>
      </c>
      <c r="J494" s="59" t="str">
        <f t="shared" si="5"/>
        <v/>
      </c>
      <c r="K494" s="69" t="str">
        <f t="shared" si="6"/>
        <v/>
      </c>
      <c r="L494" s="60" t="str">
        <f t="shared" si="7"/>
        <v/>
      </c>
      <c r="M494" s="61" t="str">
        <f>IFERROR(__xludf.DUMMYFUNCTION("IFS(AND(COUNTA(C494:C1644)=0,COUNTA(Q494:Q1644)=0),"""",OR(AND(K494&gt;=1000000000,OR(Y494&gt;=1000000000,COUNTA(Q494:Q1644)=0)),OR(Y494&gt;=1000000000,AND(COUNTA(C494:C1644)=0,P$3=TRUE))),
ROUNDDOWN((AB$1-AC$1)*MAX(INDEX(T$4:T1644,MATCH(LARGE(FILTER(Y$4:Y1644,Y$4"&amp;":Y1644&lt;1000000000),1),Y$4:Y1644)),INDEX(F$4:F1644,MATCH(LARGE(FILTER(K$4:K1644,K$4:K1644&lt;1000000000),1),K$4:K1644)))),AND(K494&lt;1000000000,COUNTA(C494:C1644)&gt;0,P$3=FALSE),
ROUNDDOWN(INDEX(Y$4:Y1644,MATCH(LARGE(FILTER(W$4:W1644,W$4:W1644&lt;=I494),1),W$4:W1644"&amp;"))+(I494-LARGE(FILTER(W$4:W1644,W$4:W1644&lt;=I494),1))*INDEX(T$4:T1644,MATCH(LARGE(FILTER(W$4:W1644,W$4:W1644&lt;=I494),1),W$4:W1644))-K494),1,
ROUNDDOWN(Y494-INDEX(K$4:K1644,MATCH(LARGE(FILTER(I$4:I1644,I$4:I1644&lt;=W494),1),I$4:I1644))-(W494-LARGE(FILTER(I$4:I"&amp;"1644,I$4:I1644&lt;=W494),1))*INDEX(F$4:F1644,MATCH(LARGE(FILTER(I$4:I1644,I$4:I1644&lt;=W494),1),I$4:I1644))))"),"")</f>
        <v/>
      </c>
      <c r="N494" s="60" t="str">
        <f t="shared" si="8"/>
        <v/>
      </c>
      <c r="O494" s="61" t="str">
        <f t="shared" si="9"/>
        <v/>
      </c>
      <c r="P494" s="56" t="str">
        <f t="shared" si="10"/>
        <v/>
      </c>
      <c r="Q494" s="105"/>
      <c r="R494" s="10"/>
      <c r="S494" s="59" t="str">
        <f t="array" ref="S494">IF(COUNTA(Q494:Q1644)=0,"",SUM((COUNTIF(Q$4:Q494,Upgrades!$B$3:$B$13)-COUNTIF(Q$4:Q494,"Sell_"&amp;Upgrades!$B$3:$B$13))*Upgrades!$D$3:$D$13))</f>
        <v/>
      </c>
      <c r="T494" s="66" t="str">
        <f>IFERROR(__xludf.DUMMYFUNCTION("IF(COUNTA(Q494:Q1644)=0,"""",IF(REGEXMATCH(INDEX(FILTER(Q$4:Q494,Q$4:Q494&lt;&gt;""""),ROWS(FILTER(Q$4:Q494,Q$4:Q494&lt;&gt;""""))),""^Sell_""),INDEX(FILTER(T$4:T493,Q$4:Q493&lt;&gt;""""),ROWS(FILTER(Q$4:Q493,Q$4:Q493&lt;&gt;""""))),$AD$5+S494))"),"")</f>
        <v/>
      </c>
      <c r="U494" s="10" t="str">
        <f>IFERROR(__xludf.DUMMYFUNCTION("IF(COUNTA(Q494:Q1644)=0,"""",IF(Q494="""",0,IF(REGEXMATCH(Q494,""^Sell_""),-ROUNDDOWN(ROUNDUP(INDEX(Upgrades!$C$3:$C$13,MATCH(SUBSTITUTE(Q494,""Sell_"",""""),Upgrades!$B$3:$B$13,0))*1.15^(COUNTIF(Q$4:Q493,SUBSTITUTE(Q494,""Sell_"",""""))-COUNTIF(Q$4:Q493,"&amp;"""Sell_""&amp;SUBSTITUTE(Q494,""Sell_"",""""))))/2),ROUNDUP(INDEX(Upgrades!$C$3:$C$13,MATCH(Q494,Upgrades!$B$3:$B$13,0))*1.15^(COUNTIF(Q$4:Q493,Q494)-COUNTIF(Q$4:Q493,""Sell_""&amp;Q494))))))"),"")</f>
        <v/>
      </c>
      <c r="V494" s="10" t="str">
        <f t="shared" si="11"/>
        <v/>
      </c>
      <c r="W494" s="68" t="str">
        <f t="shared" si="12"/>
        <v/>
      </c>
      <c r="X494" s="59" t="str">
        <f t="shared" si="13"/>
        <v/>
      </c>
      <c r="Y494" s="69" t="str">
        <f t="shared" si="14"/>
        <v/>
      </c>
      <c r="Z494" s="11"/>
      <c r="AG494" s="59"/>
    </row>
    <row r="495">
      <c r="A495" s="8"/>
      <c r="B495" s="56" t="str">
        <f t="shared" si="2"/>
        <v/>
      </c>
      <c r="C495" s="105"/>
      <c r="D495" s="10"/>
      <c r="E495" s="59" t="str">
        <f t="array" ref="E495">IF(COUNTA(C495:C1644)=0,"",SUM((COUNTIF(C$4:C495,Upgrades!$B$3:$B$13)-COUNTIF(C$4:C495,"Sell_"&amp;Upgrades!$B$3:$B$13))*Upgrades!$D$3:$D$13))</f>
        <v/>
      </c>
      <c r="F495" s="66" t="str">
        <f>IFERROR(__xludf.DUMMYFUNCTION("IF(COUNTA(C495:C1644)=0,"""",IF(REGEXMATCH(INDEX(FILTER(C$4:C495,C$4:C495&lt;&gt;""""),ROWS(FILTER(C$4:C495,C$4:C495&lt;&gt;""""))),""^Sell_""),INDEX(FILTER(F$4:F494,C$4:C494&lt;&gt;""""),ROWS(FILTER(C$4:C494,C$4:C494&lt;&gt;""""))),$AC$5+E495))"),"")</f>
        <v/>
      </c>
      <c r="G495" s="10" t="str">
        <f>IFERROR(__xludf.DUMMYFUNCTION("IF(COUNTA(C495:C1644)=0,"""",IF(C495="""",0,IF(REGEXMATCH(C495,""^Sell_""),-ROUNDDOWN(ROUNDUP(INDEX(Upgrades!$C$3:$C$13,MATCH(SUBSTITUTE(C495,""Sell_"",""""),Upgrades!$B$3:$B$13,0))*1.15^(COUNTIF(C$4:C494,SUBSTITUTE(C495,""Sell_"",""""))-COUNTIF(C$4:C494,"&amp;"""Sell_""&amp;SUBSTITUTE(C495,""Sell_"",""""))))/2),ROUNDUP(INDEX(Upgrades!$C$3:$C$13,MATCH(C495,Upgrades!$B$3:$B$13,0))*1.15^(COUNTIF(C$4:C494,C495)-COUNTIF(C$4:C494,""Sell_""&amp;C495))))))"),"")</f>
        <v/>
      </c>
      <c r="H495" s="10" t="str">
        <f t="shared" si="3"/>
        <v/>
      </c>
      <c r="I495" s="68" t="str">
        <f t="shared" si="4"/>
        <v/>
      </c>
      <c r="J495" s="59" t="str">
        <f t="shared" si="5"/>
        <v/>
      </c>
      <c r="K495" s="69" t="str">
        <f t="shared" si="6"/>
        <v/>
      </c>
      <c r="L495" s="60" t="str">
        <f t="shared" si="7"/>
        <v/>
      </c>
      <c r="M495" s="61" t="str">
        <f>IFERROR(__xludf.DUMMYFUNCTION("IFS(AND(COUNTA(C495:C1644)=0,COUNTA(Q495:Q1644)=0),"""",OR(AND(K495&gt;=1000000000,OR(Y495&gt;=1000000000,COUNTA(Q495:Q1644)=0)),OR(Y495&gt;=1000000000,AND(COUNTA(C495:C1644)=0,P$3=TRUE))),
ROUNDDOWN((AB$1-AC$1)*MAX(INDEX(T$4:T1644,MATCH(LARGE(FILTER(Y$4:Y1644,Y$4"&amp;":Y1644&lt;1000000000),1),Y$4:Y1644)),INDEX(F$4:F1644,MATCH(LARGE(FILTER(K$4:K1644,K$4:K1644&lt;1000000000),1),K$4:K1644)))),AND(K495&lt;1000000000,COUNTA(C495:C1644)&gt;0,P$3=FALSE),
ROUNDDOWN(INDEX(Y$4:Y1644,MATCH(LARGE(FILTER(W$4:W1644,W$4:W1644&lt;=I495),1),W$4:W1644"&amp;"))+(I495-LARGE(FILTER(W$4:W1644,W$4:W1644&lt;=I495),1))*INDEX(T$4:T1644,MATCH(LARGE(FILTER(W$4:W1644,W$4:W1644&lt;=I495),1),W$4:W1644))-K495),1,
ROUNDDOWN(Y495-INDEX(K$4:K1644,MATCH(LARGE(FILTER(I$4:I1644,I$4:I1644&lt;=W495),1),I$4:I1644))-(W495-LARGE(FILTER(I$4:I"&amp;"1644,I$4:I1644&lt;=W495),1))*INDEX(F$4:F1644,MATCH(LARGE(FILTER(I$4:I1644,I$4:I1644&lt;=W495),1),I$4:I1644))))"),"")</f>
        <v/>
      </c>
      <c r="N495" s="60" t="str">
        <f t="shared" si="8"/>
        <v/>
      </c>
      <c r="O495" s="61" t="str">
        <f t="shared" si="9"/>
        <v/>
      </c>
      <c r="P495" s="56" t="str">
        <f t="shared" si="10"/>
        <v/>
      </c>
      <c r="Q495" s="105"/>
      <c r="R495" s="10"/>
      <c r="S495" s="59" t="str">
        <f t="array" ref="S495">IF(COUNTA(Q495:Q1644)=0,"",SUM((COUNTIF(Q$4:Q495,Upgrades!$B$3:$B$13)-COUNTIF(Q$4:Q495,"Sell_"&amp;Upgrades!$B$3:$B$13))*Upgrades!$D$3:$D$13))</f>
        <v/>
      </c>
      <c r="T495" s="66" t="str">
        <f>IFERROR(__xludf.DUMMYFUNCTION("IF(COUNTA(Q495:Q1644)=0,"""",IF(REGEXMATCH(INDEX(FILTER(Q$4:Q495,Q$4:Q495&lt;&gt;""""),ROWS(FILTER(Q$4:Q495,Q$4:Q495&lt;&gt;""""))),""^Sell_""),INDEX(FILTER(T$4:T494,Q$4:Q494&lt;&gt;""""),ROWS(FILTER(Q$4:Q494,Q$4:Q494&lt;&gt;""""))),$AD$5+S495))"),"")</f>
        <v/>
      </c>
      <c r="U495" s="10" t="str">
        <f>IFERROR(__xludf.DUMMYFUNCTION("IF(COUNTA(Q495:Q1644)=0,"""",IF(Q495="""",0,IF(REGEXMATCH(Q495,""^Sell_""),-ROUNDDOWN(ROUNDUP(INDEX(Upgrades!$C$3:$C$13,MATCH(SUBSTITUTE(Q495,""Sell_"",""""),Upgrades!$B$3:$B$13,0))*1.15^(COUNTIF(Q$4:Q494,SUBSTITUTE(Q495,""Sell_"",""""))-COUNTIF(Q$4:Q494,"&amp;"""Sell_""&amp;SUBSTITUTE(Q495,""Sell_"",""""))))/2),ROUNDUP(INDEX(Upgrades!$C$3:$C$13,MATCH(Q495,Upgrades!$B$3:$B$13,0))*1.15^(COUNTIF(Q$4:Q494,Q495)-COUNTIF(Q$4:Q494,""Sell_""&amp;Q495))))))"),"")</f>
        <v/>
      </c>
      <c r="V495" s="10" t="str">
        <f t="shared" si="11"/>
        <v/>
      </c>
      <c r="W495" s="68" t="str">
        <f t="shared" si="12"/>
        <v/>
      </c>
      <c r="X495" s="59" t="str">
        <f t="shared" si="13"/>
        <v/>
      </c>
      <c r="Y495" s="69" t="str">
        <f t="shared" si="14"/>
        <v/>
      </c>
      <c r="Z495" s="11"/>
      <c r="AG495" s="59"/>
    </row>
    <row r="496">
      <c r="A496" s="8"/>
      <c r="B496" s="56" t="str">
        <f t="shared" si="2"/>
        <v/>
      </c>
      <c r="C496" s="105"/>
      <c r="D496" s="10"/>
      <c r="E496" s="59" t="str">
        <f t="array" ref="E496">IF(COUNTA(C496:C1644)=0,"",SUM((COUNTIF(C$4:C496,Upgrades!$B$3:$B$13)-COUNTIF(C$4:C496,"Sell_"&amp;Upgrades!$B$3:$B$13))*Upgrades!$D$3:$D$13))</f>
        <v/>
      </c>
      <c r="F496" s="66" t="str">
        <f>IFERROR(__xludf.DUMMYFUNCTION("IF(COUNTA(C496:C1644)=0,"""",IF(REGEXMATCH(INDEX(FILTER(C$4:C496,C$4:C496&lt;&gt;""""),ROWS(FILTER(C$4:C496,C$4:C496&lt;&gt;""""))),""^Sell_""),INDEX(FILTER(F$4:F495,C$4:C495&lt;&gt;""""),ROWS(FILTER(C$4:C495,C$4:C495&lt;&gt;""""))),$AC$5+E496))"),"")</f>
        <v/>
      </c>
      <c r="G496" s="10" t="str">
        <f>IFERROR(__xludf.DUMMYFUNCTION("IF(COUNTA(C496:C1644)=0,"""",IF(C496="""",0,IF(REGEXMATCH(C496,""^Sell_""),-ROUNDDOWN(ROUNDUP(INDEX(Upgrades!$C$3:$C$13,MATCH(SUBSTITUTE(C496,""Sell_"",""""),Upgrades!$B$3:$B$13,0))*1.15^(COUNTIF(C$4:C495,SUBSTITUTE(C496,""Sell_"",""""))-COUNTIF(C$4:C495,"&amp;"""Sell_""&amp;SUBSTITUTE(C496,""Sell_"",""""))))/2),ROUNDUP(INDEX(Upgrades!$C$3:$C$13,MATCH(C496,Upgrades!$B$3:$B$13,0))*1.15^(COUNTIF(C$4:C495,C496)-COUNTIF(C$4:C495,""Sell_""&amp;C496))))))"),"")</f>
        <v/>
      </c>
      <c r="H496" s="10" t="str">
        <f t="shared" si="3"/>
        <v/>
      </c>
      <c r="I496" s="68" t="str">
        <f t="shared" si="4"/>
        <v/>
      </c>
      <c r="J496" s="59" t="str">
        <f t="shared" si="5"/>
        <v/>
      </c>
      <c r="K496" s="69" t="str">
        <f t="shared" si="6"/>
        <v/>
      </c>
      <c r="L496" s="60" t="str">
        <f t="shared" si="7"/>
        <v/>
      </c>
      <c r="M496" s="61" t="str">
        <f>IFERROR(__xludf.DUMMYFUNCTION("IFS(AND(COUNTA(C496:C1644)=0,COUNTA(Q496:Q1644)=0),"""",OR(AND(K496&gt;=1000000000,OR(Y496&gt;=1000000000,COUNTA(Q496:Q1644)=0)),OR(Y496&gt;=1000000000,AND(COUNTA(C496:C1644)=0,P$3=TRUE))),
ROUNDDOWN((AB$1-AC$1)*MAX(INDEX(T$4:T1644,MATCH(LARGE(FILTER(Y$4:Y1644,Y$4"&amp;":Y1644&lt;1000000000),1),Y$4:Y1644)),INDEX(F$4:F1644,MATCH(LARGE(FILTER(K$4:K1644,K$4:K1644&lt;1000000000),1),K$4:K1644)))),AND(K496&lt;1000000000,COUNTA(C496:C1644)&gt;0,P$3=FALSE),
ROUNDDOWN(INDEX(Y$4:Y1644,MATCH(LARGE(FILTER(W$4:W1644,W$4:W1644&lt;=I496),1),W$4:W1644"&amp;"))+(I496-LARGE(FILTER(W$4:W1644,W$4:W1644&lt;=I496),1))*INDEX(T$4:T1644,MATCH(LARGE(FILTER(W$4:W1644,W$4:W1644&lt;=I496),1),W$4:W1644))-K496),1,
ROUNDDOWN(Y496-INDEX(K$4:K1644,MATCH(LARGE(FILTER(I$4:I1644,I$4:I1644&lt;=W496),1),I$4:I1644))-(W496-LARGE(FILTER(I$4:I"&amp;"1644,I$4:I1644&lt;=W496),1))*INDEX(F$4:F1644,MATCH(LARGE(FILTER(I$4:I1644,I$4:I1644&lt;=W496),1),I$4:I1644))))"),"")</f>
        <v/>
      </c>
      <c r="N496" s="60" t="str">
        <f t="shared" si="8"/>
        <v/>
      </c>
      <c r="O496" s="61" t="str">
        <f t="shared" si="9"/>
        <v/>
      </c>
      <c r="P496" s="56" t="str">
        <f t="shared" si="10"/>
        <v/>
      </c>
      <c r="Q496" s="105"/>
      <c r="R496" s="10"/>
      <c r="S496" s="59" t="str">
        <f t="array" ref="S496">IF(COUNTA(Q496:Q1644)=0,"",SUM((COUNTIF(Q$4:Q496,Upgrades!$B$3:$B$13)-COUNTIF(Q$4:Q496,"Sell_"&amp;Upgrades!$B$3:$B$13))*Upgrades!$D$3:$D$13))</f>
        <v/>
      </c>
      <c r="T496" s="66" t="str">
        <f>IFERROR(__xludf.DUMMYFUNCTION("IF(COUNTA(Q496:Q1644)=0,"""",IF(REGEXMATCH(INDEX(FILTER(Q$4:Q496,Q$4:Q496&lt;&gt;""""),ROWS(FILTER(Q$4:Q496,Q$4:Q496&lt;&gt;""""))),""^Sell_""),INDEX(FILTER(T$4:T495,Q$4:Q495&lt;&gt;""""),ROWS(FILTER(Q$4:Q495,Q$4:Q495&lt;&gt;""""))),$AD$5+S496))"),"")</f>
        <v/>
      </c>
      <c r="U496" s="10" t="str">
        <f>IFERROR(__xludf.DUMMYFUNCTION("IF(COUNTA(Q496:Q1644)=0,"""",IF(Q496="""",0,IF(REGEXMATCH(Q496,""^Sell_""),-ROUNDDOWN(ROUNDUP(INDEX(Upgrades!$C$3:$C$13,MATCH(SUBSTITUTE(Q496,""Sell_"",""""),Upgrades!$B$3:$B$13,0))*1.15^(COUNTIF(Q$4:Q495,SUBSTITUTE(Q496,""Sell_"",""""))-COUNTIF(Q$4:Q495,"&amp;"""Sell_""&amp;SUBSTITUTE(Q496,""Sell_"",""""))))/2),ROUNDUP(INDEX(Upgrades!$C$3:$C$13,MATCH(Q496,Upgrades!$B$3:$B$13,0))*1.15^(COUNTIF(Q$4:Q495,Q496)-COUNTIF(Q$4:Q495,""Sell_""&amp;Q496))))))"),"")</f>
        <v/>
      </c>
      <c r="V496" s="10" t="str">
        <f t="shared" si="11"/>
        <v/>
      </c>
      <c r="W496" s="68" t="str">
        <f t="shared" si="12"/>
        <v/>
      </c>
      <c r="X496" s="59" t="str">
        <f t="shared" si="13"/>
        <v/>
      </c>
      <c r="Y496" s="69" t="str">
        <f t="shared" si="14"/>
        <v/>
      </c>
      <c r="Z496" s="11"/>
      <c r="AG496" s="59"/>
    </row>
    <row r="497">
      <c r="A497" s="8"/>
      <c r="B497" s="56" t="str">
        <f t="shared" si="2"/>
        <v/>
      </c>
      <c r="C497" s="105"/>
      <c r="D497" s="10"/>
      <c r="E497" s="59" t="str">
        <f t="array" ref="E497">IF(COUNTA(C497:C1644)=0,"",SUM((COUNTIF(C$4:C497,Upgrades!$B$3:$B$13)-COUNTIF(C$4:C497,"Sell_"&amp;Upgrades!$B$3:$B$13))*Upgrades!$D$3:$D$13))</f>
        <v/>
      </c>
      <c r="F497" s="66" t="str">
        <f>IFERROR(__xludf.DUMMYFUNCTION("IF(COUNTA(C497:C1644)=0,"""",IF(REGEXMATCH(INDEX(FILTER(C$4:C497,C$4:C497&lt;&gt;""""),ROWS(FILTER(C$4:C497,C$4:C497&lt;&gt;""""))),""^Sell_""),INDEX(FILTER(F$4:F496,C$4:C496&lt;&gt;""""),ROWS(FILTER(C$4:C496,C$4:C496&lt;&gt;""""))),$AC$5+E497))"),"")</f>
        <v/>
      </c>
      <c r="G497" s="10" t="str">
        <f>IFERROR(__xludf.DUMMYFUNCTION("IF(COUNTA(C497:C1644)=0,"""",IF(C497="""",0,IF(REGEXMATCH(C497,""^Sell_""),-ROUNDDOWN(ROUNDUP(INDEX(Upgrades!$C$3:$C$13,MATCH(SUBSTITUTE(C497,""Sell_"",""""),Upgrades!$B$3:$B$13,0))*1.15^(COUNTIF(C$4:C496,SUBSTITUTE(C497,""Sell_"",""""))-COUNTIF(C$4:C496,"&amp;"""Sell_""&amp;SUBSTITUTE(C497,""Sell_"",""""))))/2),ROUNDUP(INDEX(Upgrades!$C$3:$C$13,MATCH(C497,Upgrades!$B$3:$B$13,0))*1.15^(COUNTIF(C$4:C496,C497)-COUNTIF(C$4:C496,""Sell_""&amp;C497))))))"),"")</f>
        <v/>
      </c>
      <c r="H497" s="10" t="str">
        <f t="shared" si="3"/>
        <v/>
      </c>
      <c r="I497" s="68" t="str">
        <f t="shared" si="4"/>
        <v/>
      </c>
      <c r="J497" s="59" t="str">
        <f t="shared" si="5"/>
        <v/>
      </c>
      <c r="K497" s="69" t="str">
        <f t="shared" si="6"/>
        <v/>
      </c>
      <c r="L497" s="60" t="str">
        <f t="shared" si="7"/>
        <v/>
      </c>
      <c r="M497" s="61" t="str">
        <f>IFERROR(__xludf.DUMMYFUNCTION("IFS(AND(COUNTA(C497:C1644)=0,COUNTA(Q497:Q1644)=0),"""",OR(AND(K497&gt;=1000000000,OR(Y497&gt;=1000000000,COUNTA(Q497:Q1644)=0)),OR(Y497&gt;=1000000000,AND(COUNTA(C497:C1644)=0,P$3=TRUE))),
ROUNDDOWN((AB$1-AC$1)*MAX(INDEX(T$4:T1644,MATCH(LARGE(FILTER(Y$4:Y1644,Y$4"&amp;":Y1644&lt;1000000000),1),Y$4:Y1644)),INDEX(F$4:F1644,MATCH(LARGE(FILTER(K$4:K1644,K$4:K1644&lt;1000000000),1),K$4:K1644)))),AND(K497&lt;1000000000,COUNTA(C497:C1644)&gt;0,P$3=FALSE),
ROUNDDOWN(INDEX(Y$4:Y1644,MATCH(LARGE(FILTER(W$4:W1644,W$4:W1644&lt;=I497),1),W$4:W1644"&amp;"))+(I497-LARGE(FILTER(W$4:W1644,W$4:W1644&lt;=I497),1))*INDEX(T$4:T1644,MATCH(LARGE(FILTER(W$4:W1644,W$4:W1644&lt;=I497),1),W$4:W1644))-K497),1,
ROUNDDOWN(Y497-INDEX(K$4:K1644,MATCH(LARGE(FILTER(I$4:I1644,I$4:I1644&lt;=W497),1),I$4:I1644))-(W497-LARGE(FILTER(I$4:I"&amp;"1644,I$4:I1644&lt;=W497),1))*INDEX(F$4:F1644,MATCH(LARGE(FILTER(I$4:I1644,I$4:I1644&lt;=W497),1),I$4:I1644))))"),"")</f>
        <v/>
      </c>
      <c r="N497" s="60" t="str">
        <f t="shared" si="8"/>
        <v/>
      </c>
      <c r="O497" s="61" t="str">
        <f t="shared" si="9"/>
        <v/>
      </c>
      <c r="P497" s="56" t="str">
        <f t="shared" si="10"/>
        <v/>
      </c>
      <c r="Q497" s="105"/>
      <c r="R497" s="10"/>
      <c r="S497" s="59" t="str">
        <f t="array" ref="S497">IF(COUNTA(Q497:Q1644)=0,"",SUM((COUNTIF(Q$4:Q497,Upgrades!$B$3:$B$13)-COUNTIF(Q$4:Q497,"Sell_"&amp;Upgrades!$B$3:$B$13))*Upgrades!$D$3:$D$13))</f>
        <v/>
      </c>
      <c r="T497" s="66" t="str">
        <f>IFERROR(__xludf.DUMMYFUNCTION("IF(COUNTA(Q497:Q1644)=0,"""",IF(REGEXMATCH(INDEX(FILTER(Q$4:Q497,Q$4:Q497&lt;&gt;""""),ROWS(FILTER(Q$4:Q497,Q$4:Q497&lt;&gt;""""))),""^Sell_""),INDEX(FILTER(T$4:T496,Q$4:Q496&lt;&gt;""""),ROWS(FILTER(Q$4:Q496,Q$4:Q496&lt;&gt;""""))),$AD$5+S497))"),"")</f>
        <v/>
      </c>
      <c r="U497" s="10" t="str">
        <f>IFERROR(__xludf.DUMMYFUNCTION("IF(COUNTA(Q497:Q1644)=0,"""",IF(Q497="""",0,IF(REGEXMATCH(Q497,""^Sell_""),-ROUNDDOWN(ROUNDUP(INDEX(Upgrades!$C$3:$C$13,MATCH(SUBSTITUTE(Q497,""Sell_"",""""),Upgrades!$B$3:$B$13,0))*1.15^(COUNTIF(Q$4:Q496,SUBSTITUTE(Q497,""Sell_"",""""))-COUNTIF(Q$4:Q496,"&amp;"""Sell_""&amp;SUBSTITUTE(Q497,""Sell_"",""""))))/2),ROUNDUP(INDEX(Upgrades!$C$3:$C$13,MATCH(Q497,Upgrades!$B$3:$B$13,0))*1.15^(COUNTIF(Q$4:Q496,Q497)-COUNTIF(Q$4:Q496,""Sell_""&amp;Q497))))))"),"")</f>
        <v/>
      </c>
      <c r="V497" s="10" t="str">
        <f t="shared" si="11"/>
        <v/>
      </c>
      <c r="W497" s="68" t="str">
        <f t="shared" si="12"/>
        <v/>
      </c>
      <c r="X497" s="59" t="str">
        <f t="shared" si="13"/>
        <v/>
      </c>
      <c r="Y497" s="69" t="str">
        <f t="shared" si="14"/>
        <v/>
      </c>
      <c r="Z497" s="11"/>
      <c r="AG497" s="59"/>
    </row>
    <row r="498">
      <c r="A498" s="8"/>
      <c r="B498" s="56" t="str">
        <f t="shared" si="2"/>
        <v/>
      </c>
      <c r="C498" s="105"/>
      <c r="D498" s="10"/>
      <c r="E498" s="59" t="str">
        <f t="array" ref="E498">IF(COUNTA(C498:C1644)=0,"",SUM((COUNTIF(C$4:C498,Upgrades!$B$3:$B$13)-COUNTIF(C$4:C498,"Sell_"&amp;Upgrades!$B$3:$B$13))*Upgrades!$D$3:$D$13))</f>
        <v/>
      </c>
      <c r="F498" s="66" t="str">
        <f>IFERROR(__xludf.DUMMYFUNCTION("IF(COUNTA(C498:C1644)=0,"""",IF(REGEXMATCH(INDEX(FILTER(C$4:C498,C$4:C498&lt;&gt;""""),ROWS(FILTER(C$4:C498,C$4:C498&lt;&gt;""""))),""^Sell_""),INDEX(FILTER(F$4:F497,C$4:C497&lt;&gt;""""),ROWS(FILTER(C$4:C497,C$4:C497&lt;&gt;""""))),$AC$5+E498))"),"")</f>
        <v/>
      </c>
      <c r="G498" s="10" t="str">
        <f>IFERROR(__xludf.DUMMYFUNCTION("IF(COUNTA(C498:C1644)=0,"""",IF(C498="""",0,IF(REGEXMATCH(C498,""^Sell_""),-ROUNDDOWN(ROUNDUP(INDEX(Upgrades!$C$3:$C$13,MATCH(SUBSTITUTE(C498,""Sell_"",""""),Upgrades!$B$3:$B$13,0))*1.15^(COUNTIF(C$4:C497,SUBSTITUTE(C498,""Sell_"",""""))-COUNTIF(C$4:C497,"&amp;"""Sell_""&amp;SUBSTITUTE(C498,""Sell_"",""""))))/2),ROUNDUP(INDEX(Upgrades!$C$3:$C$13,MATCH(C498,Upgrades!$B$3:$B$13,0))*1.15^(COUNTIF(C$4:C497,C498)-COUNTIF(C$4:C497,""Sell_""&amp;C498))))))"),"")</f>
        <v/>
      </c>
      <c r="H498" s="10" t="str">
        <f t="shared" si="3"/>
        <v/>
      </c>
      <c r="I498" s="68" t="str">
        <f t="shared" si="4"/>
        <v/>
      </c>
      <c r="J498" s="59" t="str">
        <f t="shared" si="5"/>
        <v/>
      </c>
      <c r="K498" s="69" t="str">
        <f t="shared" si="6"/>
        <v/>
      </c>
      <c r="L498" s="60" t="str">
        <f t="shared" si="7"/>
        <v/>
      </c>
      <c r="M498" s="61" t="str">
        <f>IFERROR(__xludf.DUMMYFUNCTION("IFS(AND(COUNTA(C498:C1644)=0,COUNTA(Q498:Q1644)=0),"""",OR(AND(K498&gt;=1000000000,OR(Y498&gt;=1000000000,COUNTA(Q498:Q1644)=0)),OR(Y498&gt;=1000000000,AND(COUNTA(C498:C1644)=0,P$3=TRUE))),
ROUNDDOWN((AB$1-AC$1)*MAX(INDEX(T$4:T1644,MATCH(LARGE(FILTER(Y$4:Y1644,Y$4"&amp;":Y1644&lt;1000000000),1),Y$4:Y1644)),INDEX(F$4:F1644,MATCH(LARGE(FILTER(K$4:K1644,K$4:K1644&lt;1000000000),1),K$4:K1644)))),AND(K498&lt;1000000000,COUNTA(C498:C1644)&gt;0,P$3=FALSE),
ROUNDDOWN(INDEX(Y$4:Y1644,MATCH(LARGE(FILTER(W$4:W1644,W$4:W1644&lt;=I498),1),W$4:W1644"&amp;"))+(I498-LARGE(FILTER(W$4:W1644,W$4:W1644&lt;=I498),1))*INDEX(T$4:T1644,MATCH(LARGE(FILTER(W$4:W1644,W$4:W1644&lt;=I498),1),W$4:W1644))-K498),1,
ROUNDDOWN(Y498-INDEX(K$4:K1644,MATCH(LARGE(FILTER(I$4:I1644,I$4:I1644&lt;=W498),1),I$4:I1644))-(W498-LARGE(FILTER(I$4:I"&amp;"1644,I$4:I1644&lt;=W498),1))*INDEX(F$4:F1644,MATCH(LARGE(FILTER(I$4:I1644,I$4:I1644&lt;=W498),1),I$4:I1644))))"),"")</f>
        <v/>
      </c>
      <c r="N498" s="60" t="str">
        <f t="shared" si="8"/>
        <v/>
      </c>
      <c r="O498" s="61" t="str">
        <f t="shared" si="9"/>
        <v/>
      </c>
      <c r="P498" s="56" t="str">
        <f t="shared" si="10"/>
        <v/>
      </c>
      <c r="Q498" s="105"/>
      <c r="R498" s="10"/>
      <c r="S498" s="59" t="str">
        <f t="array" ref="S498">IF(COUNTA(Q498:Q1644)=0,"",SUM((COUNTIF(Q$4:Q498,Upgrades!$B$3:$B$13)-COUNTIF(Q$4:Q498,"Sell_"&amp;Upgrades!$B$3:$B$13))*Upgrades!$D$3:$D$13))</f>
        <v/>
      </c>
      <c r="T498" s="66" t="str">
        <f>IFERROR(__xludf.DUMMYFUNCTION("IF(COUNTA(Q498:Q1644)=0,"""",IF(REGEXMATCH(INDEX(FILTER(Q$4:Q498,Q$4:Q498&lt;&gt;""""),ROWS(FILTER(Q$4:Q498,Q$4:Q498&lt;&gt;""""))),""^Sell_""),INDEX(FILTER(T$4:T497,Q$4:Q497&lt;&gt;""""),ROWS(FILTER(Q$4:Q497,Q$4:Q497&lt;&gt;""""))),$AD$5+S498))"),"")</f>
        <v/>
      </c>
      <c r="U498" s="10" t="str">
        <f>IFERROR(__xludf.DUMMYFUNCTION("IF(COUNTA(Q498:Q1644)=0,"""",IF(Q498="""",0,IF(REGEXMATCH(Q498,""^Sell_""),-ROUNDDOWN(ROUNDUP(INDEX(Upgrades!$C$3:$C$13,MATCH(SUBSTITUTE(Q498,""Sell_"",""""),Upgrades!$B$3:$B$13,0))*1.15^(COUNTIF(Q$4:Q497,SUBSTITUTE(Q498,""Sell_"",""""))-COUNTIF(Q$4:Q497,"&amp;"""Sell_""&amp;SUBSTITUTE(Q498,""Sell_"",""""))))/2),ROUNDUP(INDEX(Upgrades!$C$3:$C$13,MATCH(Q498,Upgrades!$B$3:$B$13,0))*1.15^(COUNTIF(Q$4:Q497,Q498)-COUNTIF(Q$4:Q497,""Sell_""&amp;Q498))))))"),"")</f>
        <v/>
      </c>
      <c r="V498" s="10" t="str">
        <f t="shared" si="11"/>
        <v/>
      </c>
      <c r="W498" s="68" t="str">
        <f t="shared" si="12"/>
        <v/>
      </c>
      <c r="X498" s="59" t="str">
        <f t="shared" si="13"/>
        <v/>
      </c>
      <c r="Y498" s="69" t="str">
        <f t="shared" si="14"/>
        <v/>
      </c>
      <c r="Z498" s="11"/>
      <c r="AG498" s="59"/>
    </row>
    <row r="499">
      <c r="A499" s="8"/>
      <c r="B499" s="56" t="str">
        <f t="shared" si="2"/>
        <v/>
      </c>
      <c r="C499" s="105"/>
      <c r="D499" s="10"/>
      <c r="E499" s="59" t="str">
        <f t="array" ref="E499">IF(COUNTA(C499:C1644)=0,"",SUM((COUNTIF(C$4:C499,Upgrades!$B$3:$B$13)-COUNTIF(C$4:C499,"Sell_"&amp;Upgrades!$B$3:$B$13))*Upgrades!$D$3:$D$13))</f>
        <v/>
      </c>
      <c r="F499" s="66" t="str">
        <f>IFERROR(__xludf.DUMMYFUNCTION("IF(COUNTA(C499:C1644)=0,"""",IF(REGEXMATCH(INDEX(FILTER(C$4:C499,C$4:C499&lt;&gt;""""),ROWS(FILTER(C$4:C499,C$4:C499&lt;&gt;""""))),""^Sell_""),INDEX(FILTER(F$4:F498,C$4:C498&lt;&gt;""""),ROWS(FILTER(C$4:C498,C$4:C498&lt;&gt;""""))),$AC$5+E499))"),"")</f>
        <v/>
      </c>
      <c r="G499" s="10" t="str">
        <f>IFERROR(__xludf.DUMMYFUNCTION("IF(COUNTA(C499:C1644)=0,"""",IF(C499="""",0,IF(REGEXMATCH(C499,""^Sell_""),-ROUNDDOWN(ROUNDUP(INDEX(Upgrades!$C$3:$C$13,MATCH(SUBSTITUTE(C499,""Sell_"",""""),Upgrades!$B$3:$B$13,0))*1.15^(COUNTIF(C$4:C498,SUBSTITUTE(C499,""Sell_"",""""))-COUNTIF(C$4:C498,"&amp;"""Sell_""&amp;SUBSTITUTE(C499,""Sell_"",""""))))/2),ROUNDUP(INDEX(Upgrades!$C$3:$C$13,MATCH(C499,Upgrades!$B$3:$B$13,0))*1.15^(COUNTIF(C$4:C498,C499)-COUNTIF(C$4:C498,""Sell_""&amp;C499))))))"),"")</f>
        <v/>
      </c>
      <c r="H499" s="10" t="str">
        <f t="shared" si="3"/>
        <v/>
      </c>
      <c r="I499" s="68" t="str">
        <f t="shared" si="4"/>
        <v/>
      </c>
      <c r="J499" s="59" t="str">
        <f t="shared" si="5"/>
        <v/>
      </c>
      <c r="K499" s="69" t="str">
        <f t="shared" si="6"/>
        <v/>
      </c>
      <c r="L499" s="60" t="str">
        <f t="shared" si="7"/>
        <v/>
      </c>
      <c r="M499" s="61" t="str">
        <f>IFERROR(__xludf.DUMMYFUNCTION("IFS(AND(COUNTA(C499:C1644)=0,COUNTA(Q499:Q1644)=0),"""",OR(AND(K499&gt;=1000000000,OR(Y499&gt;=1000000000,COUNTA(Q499:Q1644)=0)),OR(Y499&gt;=1000000000,AND(COUNTA(C499:C1644)=0,P$3=TRUE))),
ROUNDDOWN((AB$1-AC$1)*MAX(INDEX(T$4:T1644,MATCH(LARGE(FILTER(Y$4:Y1644,Y$4"&amp;":Y1644&lt;1000000000),1),Y$4:Y1644)),INDEX(F$4:F1644,MATCH(LARGE(FILTER(K$4:K1644,K$4:K1644&lt;1000000000),1),K$4:K1644)))),AND(K499&lt;1000000000,COUNTA(C499:C1644)&gt;0,P$3=FALSE),
ROUNDDOWN(INDEX(Y$4:Y1644,MATCH(LARGE(FILTER(W$4:W1644,W$4:W1644&lt;=I499),1),W$4:W1644"&amp;"))+(I499-LARGE(FILTER(W$4:W1644,W$4:W1644&lt;=I499),1))*INDEX(T$4:T1644,MATCH(LARGE(FILTER(W$4:W1644,W$4:W1644&lt;=I499),1),W$4:W1644))-K499),1,
ROUNDDOWN(Y499-INDEX(K$4:K1644,MATCH(LARGE(FILTER(I$4:I1644,I$4:I1644&lt;=W499),1),I$4:I1644))-(W499-LARGE(FILTER(I$4:I"&amp;"1644,I$4:I1644&lt;=W499),1))*INDEX(F$4:F1644,MATCH(LARGE(FILTER(I$4:I1644,I$4:I1644&lt;=W499),1),I$4:I1644))))"),"")</f>
        <v/>
      </c>
      <c r="N499" s="60" t="str">
        <f t="shared" si="8"/>
        <v/>
      </c>
      <c r="O499" s="61" t="str">
        <f t="shared" si="9"/>
        <v/>
      </c>
      <c r="P499" s="56" t="str">
        <f t="shared" si="10"/>
        <v/>
      </c>
      <c r="Q499" s="105"/>
      <c r="R499" s="10"/>
      <c r="S499" s="59" t="str">
        <f t="array" ref="S499">IF(COUNTA(Q499:Q1644)=0,"",SUM((COUNTIF(Q$4:Q499,Upgrades!$B$3:$B$13)-COUNTIF(Q$4:Q499,"Sell_"&amp;Upgrades!$B$3:$B$13))*Upgrades!$D$3:$D$13))</f>
        <v/>
      </c>
      <c r="T499" s="66" t="str">
        <f>IFERROR(__xludf.DUMMYFUNCTION("IF(COUNTA(Q499:Q1644)=0,"""",IF(REGEXMATCH(INDEX(FILTER(Q$4:Q499,Q$4:Q499&lt;&gt;""""),ROWS(FILTER(Q$4:Q499,Q$4:Q499&lt;&gt;""""))),""^Sell_""),INDEX(FILTER(T$4:T498,Q$4:Q498&lt;&gt;""""),ROWS(FILTER(Q$4:Q498,Q$4:Q498&lt;&gt;""""))),$AD$5+S499))"),"")</f>
        <v/>
      </c>
      <c r="U499" s="10" t="str">
        <f>IFERROR(__xludf.DUMMYFUNCTION("IF(COUNTA(Q499:Q1644)=0,"""",IF(Q499="""",0,IF(REGEXMATCH(Q499,""^Sell_""),-ROUNDDOWN(ROUNDUP(INDEX(Upgrades!$C$3:$C$13,MATCH(SUBSTITUTE(Q499,""Sell_"",""""),Upgrades!$B$3:$B$13,0))*1.15^(COUNTIF(Q$4:Q498,SUBSTITUTE(Q499,""Sell_"",""""))-COUNTIF(Q$4:Q498,"&amp;"""Sell_""&amp;SUBSTITUTE(Q499,""Sell_"",""""))))/2),ROUNDUP(INDEX(Upgrades!$C$3:$C$13,MATCH(Q499,Upgrades!$B$3:$B$13,0))*1.15^(COUNTIF(Q$4:Q498,Q499)-COUNTIF(Q$4:Q498,""Sell_""&amp;Q499))))))"),"")</f>
        <v/>
      </c>
      <c r="V499" s="10" t="str">
        <f t="shared" si="11"/>
        <v/>
      </c>
      <c r="W499" s="68" t="str">
        <f t="shared" si="12"/>
        <v/>
      </c>
      <c r="X499" s="59" t="str">
        <f t="shared" si="13"/>
        <v/>
      </c>
      <c r="Y499" s="69" t="str">
        <f t="shared" si="14"/>
        <v/>
      </c>
      <c r="Z499" s="11"/>
      <c r="AG499" s="59"/>
    </row>
    <row r="500">
      <c r="A500" s="8"/>
      <c r="B500" s="56" t="str">
        <f t="shared" si="2"/>
        <v/>
      </c>
      <c r="C500" s="105"/>
      <c r="D500" s="10"/>
      <c r="E500" s="59" t="str">
        <f t="array" ref="E500">IF(COUNTA(C500:C1644)=0,"",SUM((COUNTIF(C$4:C500,Upgrades!$B$3:$B$13)-COUNTIF(C$4:C500,"Sell_"&amp;Upgrades!$B$3:$B$13))*Upgrades!$D$3:$D$13))</f>
        <v/>
      </c>
      <c r="F500" s="66" t="str">
        <f>IFERROR(__xludf.DUMMYFUNCTION("IF(COUNTA(C500:C1644)=0,"""",IF(REGEXMATCH(INDEX(FILTER(C$4:C500,C$4:C500&lt;&gt;""""),ROWS(FILTER(C$4:C500,C$4:C500&lt;&gt;""""))),""^Sell_""),INDEX(FILTER(F$4:F499,C$4:C499&lt;&gt;""""),ROWS(FILTER(C$4:C499,C$4:C499&lt;&gt;""""))),$AC$5+E500))"),"")</f>
        <v/>
      </c>
      <c r="G500" s="10" t="str">
        <f>IFERROR(__xludf.DUMMYFUNCTION("IF(COUNTA(C500:C1644)=0,"""",IF(C500="""",0,IF(REGEXMATCH(C500,""^Sell_""),-ROUNDDOWN(ROUNDUP(INDEX(Upgrades!$C$3:$C$13,MATCH(SUBSTITUTE(C500,""Sell_"",""""),Upgrades!$B$3:$B$13,0))*1.15^(COUNTIF(C$4:C499,SUBSTITUTE(C500,""Sell_"",""""))-COUNTIF(C$4:C499,"&amp;"""Sell_""&amp;SUBSTITUTE(C500,""Sell_"",""""))))/2),ROUNDUP(INDEX(Upgrades!$C$3:$C$13,MATCH(C500,Upgrades!$B$3:$B$13,0))*1.15^(COUNTIF(C$4:C499,C500)-COUNTIF(C$4:C499,""Sell_""&amp;C500))))))"),"")</f>
        <v/>
      </c>
      <c r="H500" s="10" t="str">
        <f t="shared" si="3"/>
        <v/>
      </c>
      <c r="I500" s="68" t="str">
        <f t="shared" si="4"/>
        <v/>
      </c>
      <c r="J500" s="59" t="str">
        <f t="shared" si="5"/>
        <v/>
      </c>
      <c r="K500" s="69" t="str">
        <f t="shared" si="6"/>
        <v/>
      </c>
      <c r="L500" s="60" t="str">
        <f t="shared" si="7"/>
        <v/>
      </c>
      <c r="M500" s="61" t="str">
        <f>IFERROR(__xludf.DUMMYFUNCTION("IFS(AND(COUNTA(C500:C1644)=0,COUNTA(Q500:Q1644)=0),"""",OR(AND(K500&gt;=1000000000,OR(Y500&gt;=1000000000,COUNTA(Q500:Q1644)=0)),OR(Y500&gt;=1000000000,AND(COUNTA(C500:C1644)=0,P$3=TRUE))),
ROUNDDOWN((AB$1-AC$1)*MAX(INDEX(T$4:T1644,MATCH(LARGE(FILTER(Y$4:Y1644,Y$4"&amp;":Y1644&lt;1000000000),1),Y$4:Y1644)),INDEX(F$4:F1644,MATCH(LARGE(FILTER(K$4:K1644,K$4:K1644&lt;1000000000),1),K$4:K1644)))),AND(K500&lt;1000000000,COUNTA(C500:C1644)&gt;0,P$3=FALSE),
ROUNDDOWN(INDEX(Y$4:Y1644,MATCH(LARGE(FILTER(W$4:W1644,W$4:W1644&lt;=I500),1),W$4:W1644"&amp;"))+(I500-LARGE(FILTER(W$4:W1644,W$4:W1644&lt;=I500),1))*INDEX(T$4:T1644,MATCH(LARGE(FILTER(W$4:W1644,W$4:W1644&lt;=I500),1),W$4:W1644))-K500),1,
ROUNDDOWN(Y500-INDEX(K$4:K1644,MATCH(LARGE(FILTER(I$4:I1644,I$4:I1644&lt;=W500),1),I$4:I1644))-(W500-LARGE(FILTER(I$4:I"&amp;"1644,I$4:I1644&lt;=W500),1))*INDEX(F$4:F1644,MATCH(LARGE(FILTER(I$4:I1644,I$4:I1644&lt;=W500),1),I$4:I1644))))"),"")</f>
        <v/>
      </c>
      <c r="N500" s="60" t="str">
        <f t="shared" si="8"/>
        <v/>
      </c>
      <c r="O500" s="61" t="str">
        <f t="shared" si="9"/>
        <v/>
      </c>
      <c r="P500" s="56" t="str">
        <f t="shared" si="10"/>
        <v/>
      </c>
      <c r="Q500" s="105"/>
      <c r="R500" s="10"/>
      <c r="S500" s="59" t="str">
        <f t="array" ref="S500">IF(COUNTA(Q500:Q1644)=0,"",SUM((COUNTIF(Q$4:Q500,Upgrades!$B$3:$B$13)-COUNTIF(Q$4:Q500,"Sell_"&amp;Upgrades!$B$3:$B$13))*Upgrades!$D$3:$D$13))</f>
        <v/>
      </c>
      <c r="T500" s="66" t="str">
        <f>IFERROR(__xludf.DUMMYFUNCTION("IF(COUNTA(Q500:Q1644)=0,"""",IF(REGEXMATCH(INDEX(FILTER(Q$4:Q500,Q$4:Q500&lt;&gt;""""),ROWS(FILTER(Q$4:Q500,Q$4:Q500&lt;&gt;""""))),""^Sell_""),INDEX(FILTER(T$4:T499,Q$4:Q499&lt;&gt;""""),ROWS(FILTER(Q$4:Q499,Q$4:Q499&lt;&gt;""""))),$AD$5+S500))"),"")</f>
        <v/>
      </c>
      <c r="U500" s="10" t="str">
        <f>IFERROR(__xludf.DUMMYFUNCTION("IF(COUNTA(Q500:Q1644)=0,"""",IF(Q500="""",0,IF(REGEXMATCH(Q500,""^Sell_""),-ROUNDDOWN(ROUNDUP(INDEX(Upgrades!$C$3:$C$13,MATCH(SUBSTITUTE(Q500,""Sell_"",""""),Upgrades!$B$3:$B$13,0))*1.15^(COUNTIF(Q$4:Q499,SUBSTITUTE(Q500,""Sell_"",""""))-COUNTIF(Q$4:Q499,"&amp;"""Sell_""&amp;SUBSTITUTE(Q500,""Sell_"",""""))))/2),ROUNDUP(INDEX(Upgrades!$C$3:$C$13,MATCH(Q500,Upgrades!$B$3:$B$13,0))*1.15^(COUNTIF(Q$4:Q499,Q500)-COUNTIF(Q$4:Q499,""Sell_""&amp;Q500))))))"),"")</f>
        <v/>
      </c>
      <c r="V500" s="10" t="str">
        <f t="shared" si="11"/>
        <v/>
      </c>
      <c r="W500" s="68" t="str">
        <f t="shared" si="12"/>
        <v/>
      </c>
      <c r="X500" s="59" t="str">
        <f t="shared" si="13"/>
        <v/>
      </c>
      <c r="Y500" s="69" t="str">
        <f t="shared" si="14"/>
        <v/>
      </c>
      <c r="Z500" s="11"/>
      <c r="AG500" s="59"/>
    </row>
    <row r="501">
      <c r="A501" s="8"/>
      <c r="B501" s="56" t="str">
        <f t="shared" si="2"/>
        <v/>
      </c>
      <c r="C501" s="105"/>
      <c r="D501" s="10"/>
      <c r="E501" s="59" t="str">
        <f t="array" ref="E501">IF(COUNTA(C501:C1644)=0,"",SUM((COUNTIF(C$4:C501,Upgrades!$B$3:$B$13)-COUNTIF(C$4:C501,"Sell_"&amp;Upgrades!$B$3:$B$13))*Upgrades!$D$3:$D$13))</f>
        <v/>
      </c>
      <c r="F501" s="66" t="str">
        <f>IFERROR(__xludf.DUMMYFUNCTION("IF(COUNTA(C501:C1644)=0,"""",IF(REGEXMATCH(INDEX(FILTER(C$4:C501,C$4:C501&lt;&gt;""""),ROWS(FILTER(C$4:C501,C$4:C501&lt;&gt;""""))),""^Sell_""),INDEX(FILTER(F$4:F500,C$4:C500&lt;&gt;""""),ROWS(FILTER(C$4:C500,C$4:C500&lt;&gt;""""))),$AC$5+E501))"),"")</f>
        <v/>
      </c>
      <c r="G501" s="10" t="str">
        <f>IFERROR(__xludf.DUMMYFUNCTION("IF(COUNTA(C501:C1644)=0,"""",IF(C501="""",0,IF(REGEXMATCH(C501,""^Sell_""),-ROUNDDOWN(ROUNDUP(INDEX(Upgrades!$C$3:$C$13,MATCH(SUBSTITUTE(C501,""Sell_"",""""),Upgrades!$B$3:$B$13,0))*1.15^(COUNTIF(C$4:C500,SUBSTITUTE(C501,""Sell_"",""""))-COUNTIF(C$4:C500,"&amp;"""Sell_""&amp;SUBSTITUTE(C501,""Sell_"",""""))))/2),ROUNDUP(INDEX(Upgrades!$C$3:$C$13,MATCH(C501,Upgrades!$B$3:$B$13,0))*1.15^(COUNTIF(C$4:C500,C501)-COUNTIF(C$4:C500,""Sell_""&amp;C501))))))"),"")</f>
        <v/>
      </c>
      <c r="H501" s="10" t="str">
        <f t="shared" si="3"/>
        <v/>
      </c>
      <c r="I501" s="68" t="str">
        <f t="shared" si="4"/>
        <v/>
      </c>
      <c r="J501" s="59" t="str">
        <f t="shared" si="5"/>
        <v/>
      </c>
      <c r="K501" s="69" t="str">
        <f t="shared" si="6"/>
        <v/>
      </c>
      <c r="L501" s="60" t="str">
        <f t="shared" si="7"/>
        <v/>
      </c>
      <c r="M501" s="61" t="str">
        <f>IFERROR(__xludf.DUMMYFUNCTION("IFS(AND(COUNTA(C501:C1644)=0,COUNTA(Q501:Q1644)=0),"""",OR(AND(K501&gt;=1000000000,OR(Y501&gt;=1000000000,COUNTA(Q501:Q1644)=0)),OR(Y501&gt;=1000000000,AND(COUNTA(C501:C1644)=0,P$3=TRUE))),
ROUNDDOWN((AB$1-AC$1)*MAX(INDEX(T$4:T1644,MATCH(LARGE(FILTER(Y$4:Y1644,Y$4"&amp;":Y1644&lt;1000000000),1),Y$4:Y1644)),INDEX(F$4:F1644,MATCH(LARGE(FILTER(K$4:K1644,K$4:K1644&lt;1000000000),1),K$4:K1644)))),AND(K501&lt;1000000000,COUNTA(C501:C1644)&gt;0,P$3=FALSE),
ROUNDDOWN(INDEX(Y$4:Y1644,MATCH(LARGE(FILTER(W$4:W1644,W$4:W1644&lt;=I501),1),W$4:W1644"&amp;"))+(I501-LARGE(FILTER(W$4:W1644,W$4:W1644&lt;=I501),1))*INDEX(T$4:T1644,MATCH(LARGE(FILTER(W$4:W1644,W$4:W1644&lt;=I501),1),W$4:W1644))-K501),1,
ROUNDDOWN(Y501-INDEX(K$4:K1644,MATCH(LARGE(FILTER(I$4:I1644,I$4:I1644&lt;=W501),1),I$4:I1644))-(W501-LARGE(FILTER(I$4:I"&amp;"1644,I$4:I1644&lt;=W501),1))*INDEX(F$4:F1644,MATCH(LARGE(FILTER(I$4:I1644,I$4:I1644&lt;=W501),1),I$4:I1644))))"),"")</f>
        <v/>
      </c>
      <c r="N501" s="60" t="str">
        <f t="shared" si="8"/>
        <v/>
      </c>
      <c r="O501" s="61" t="str">
        <f t="shared" si="9"/>
        <v/>
      </c>
      <c r="P501" s="56" t="str">
        <f t="shared" si="10"/>
        <v/>
      </c>
      <c r="Q501" s="105"/>
      <c r="R501" s="10"/>
      <c r="S501" s="59" t="str">
        <f t="array" ref="S501">IF(COUNTA(Q501:Q1644)=0,"",SUM((COUNTIF(Q$4:Q501,Upgrades!$B$3:$B$13)-COUNTIF(Q$4:Q501,"Sell_"&amp;Upgrades!$B$3:$B$13))*Upgrades!$D$3:$D$13))</f>
        <v/>
      </c>
      <c r="T501" s="66" t="str">
        <f>IFERROR(__xludf.DUMMYFUNCTION("IF(COUNTA(Q501:Q1644)=0,"""",IF(REGEXMATCH(INDEX(FILTER(Q$4:Q501,Q$4:Q501&lt;&gt;""""),ROWS(FILTER(Q$4:Q501,Q$4:Q501&lt;&gt;""""))),""^Sell_""),INDEX(FILTER(T$4:T500,Q$4:Q500&lt;&gt;""""),ROWS(FILTER(Q$4:Q500,Q$4:Q500&lt;&gt;""""))),$AD$5+S501))"),"")</f>
        <v/>
      </c>
      <c r="U501" s="10" t="str">
        <f>IFERROR(__xludf.DUMMYFUNCTION("IF(COUNTA(Q501:Q1644)=0,"""",IF(Q501="""",0,IF(REGEXMATCH(Q501,""^Sell_""),-ROUNDDOWN(ROUNDUP(INDEX(Upgrades!$C$3:$C$13,MATCH(SUBSTITUTE(Q501,""Sell_"",""""),Upgrades!$B$3:$B$13,0))*1.15^(COUNTIF(Q$4:Q500,SUBSTITUTE(Q501,""Sell_"",""""))-COUNTIF(Q$4:Q500,"&amp;"""Sell_""&amp;SUBSTITUTE(Q501,""Sell_"",""""))))/2),ROUNDUP(INDEX(Upgrades!$C$3:$C$13,MATCH(Q501,Upgrades!$B$3:$B$13,0))*1.15^(COUNTIF(Q$4:Q500,Q501)-COUNTIF(Q$4:Q500,""Sell_""&amp;Q501))))))"),"")</f>
        <v/>
      </c>
      <c r="V501" s="10" t="str">
        <f t="shared" si="11"/>
        <v/>
      </c>
      <c r="W501" s="68" t="str">
        <f t="shared" si="12"/>
        <v/>
      </c>
      <c r="X501" s="59" t="str">
        <f t="shared" si="13"/>
        <v/>
      </c>
      <c r="Y501" s="69" t="str">
        <f t="shared" si="14"/>
        <v/>
      </c>
      <c r="Z501" s="11"/>
      <c r="AG501" s="59"/>
    </row>
    <row r="502">
      <c r="A502" s="8"/>
      <c r="B502" s="56" t="str">
        <f t="shared" si="2"/>
        <v/>
      </c>
      <c r="C502" s="105"/>
      <c r="D502" s="10"/>
      <c r="E502" s="59" t="str">
        <f t="array" ref="E502">IF(COUNTA(C502:C1644)=0,"",SUM((COUNTIF(C$4:C502,Upgrades!$B$3:$B$13)-COUNTIF(C$4:C502,"Sell_"&amp;Upgrades!$B$3:$B$13))*Upgrades!$D$3:$D$13))</f>
        <v/>
      </c>
      <c r="F502" s="66" t="str">
        <f>IFERROR(__xludf.DUMMYFUNCTION("IF(COUNTA(C502:C1644)=0,"""",IF(REGEXMATCH(INDEX(FILTER(C$4:C502,C$4:C502&lt;&gt;""""),ROWS(FILTER(C$4:C502,C$4:C502&lt;&gt;""""))),""^Sell_""),INDEX(FILTER(F$4:F501,C$4:C501&lt;&gt;""""),ROWS(FILTER(C$4:C501,C$4:C501&lt;&gt;""""))),$AC$5+E502))"),"")</f>
        <v/>
      </c>
      <c r="G502" s="10" t="str">
        <f>IFERROR(__xludf.DUMMYFUNCTION("IF(COUNTA(C502:C1644)=0,"""",IF(C502="""",0,IF(REGEXMATCH(C502,""^Sell_""),-ROUNDDOWN(ROUNDUP(INDEX(Upgrades!$C$3:$C$13,MATCH(SUBSTITUTE(C502,""Sell_"",""""),Upgrades!$B$3:$B$13,0))*1.15^(COUNTIF(C$4:C501,SUBSTITUTE(C502,""Sell_"",""""))-COUNTIF(C$4:C501,"&amp;"""Sell_""&amp;SUBSTITUTE(C502,""Sell_"",""""))))/2),ROUNDUP(INDEX(Upgrades!$C$3:$C$13,MATCH(C502,Upgrades!$B$3:$B$13,0))*1.15^(COUNTIF(C$4:C501,C502)-COUNTIF(C$4:C501,""Sell_""&amp;C502))))))"),"")</f>
        <v/>
      </c>
      <c r="H502" s="10" t="str">
        <f t="shared" si="3"/>
        <v/>
      </c>
      <c r="I502" s="68" t="str">
        <f t="shared" si="4"/>
        <v/>
      </c>
      <c r="J502" s="59" t="str">
        <f t="shared" si="5"/>
        <v/>
      </c>
      <c r="K502" s="69" t="str">
        <f t="shared" si="6"/>
        <v/>
      </c>
      <c r="L502" s="60" t="str">
        <f t="shared" si="7"/>
        <v/>
      </c>
      <c r="M502" s="61" t="str">
        <f>IFERROR(__xludf.DUMMYFUNCTION("IFS(AND(COUNTA(C502:C1644)=0,COUNTA(Q502:Q1644)=0),"""",OR(AND(K502&gt;=1000000000,OR(Y502&gt;=1000000000,COUNTA(Q502:Q1644)=0)),OR(Y502&gt;=1000000000,AND(COUNTA(C502:C1644)=0,P$3=TRUE))),
ROUNDDOWN((AB$1-AC$1)*MAX(INDEX(T$4:T1644,MATCH(LARGE(FILTER(Y$4:Y1644,Y$4"&amp;":Y1644&lt;1000000000),1),Y$4:Y1644)),INDEX(F$4:F1644,MATCH(LARGE(FILTER(K$4:K1644,K$4:K1644&lt;1000000000),1),K$4:K1644)))),AND(K502&lt;1000000000,COUNTA(C502:C1644)&gt;0,P$3=FALSE),
ROUNDDOWN(INDEX(Y$4:Y1644,MATCH(LARGE(FILTER(W$4:W1644,W$4:W1644&lt;=I502),1),W$4:W1644"&amp;"))+(I502-LARGE(FILTER(W$4:W1644,W$4:W1644&lt;=I502),1))*INDEX(T$4:T1644,MATCH(LARGE(FILTER(W$4:W1644,W$4:W1644&lt;=I502),1),W$4:W1644))-K502),1,
ROUNDDOWN(Y502-INDEX(K$4:K1644,MATCH(LARGE(FILTER(I$4:I1644,I$4:I1644&lt;=W502),1),I$4:I1644))-(W502-LARGE(FILTER(I$4:I"&amp;"1644,I$4:I1644&lt;=W502),1))*INDEX(F$4:F1644,MATCH(LARGE(FILTER(I$4:I1644,I$4:I1644&lt;=W502),1),I$4:I1644))))"),"")</f>
        <v/>
      </c>
      <c r="N502" s="60" t="str">
        <f t="shared" si="8"/>
        <v/>
      </c>
      <c r="O502" s="61" t="str">
        <f t="shared" si="9"/>
        <v/>
      </c>
      <c r="P502" s="56" t="str">
        <f t="shared" si="10"/>
        <v/>
      </c>
      <c r="Q502" s="105"/>
      <c r="R502" s="10"/>
      <c r="S502" s="59" t="str">
        <f t="array" ref="S502">IF(COUNTA(Q502:Q1644)=0,"",SUM((COUNTIF(Q$4:Q502,Upgrades!$B$3:$B$13)-COUNTIF(Q$4:Q502,"Sell_"&amp;Upgrades!$B$3:$B$13))*Upgrades!$D$3:$D$13))</f>
        <v/>
      </c>
      <c r="T502" s="66" t="str">
        <f>IFERROR(__xludf.DUMMYFUNCTION("IF(COUNTA(Q502:Q1644)=0,"""",IF(REGEXMATCH(INDEX(FILTER(Q$4:Q502,Q$4:Q502&lt;&gt;""""),ROWS(FILTER(Q$4:Q502,Q$4:Q502&lt;&gt;""""))),""^Sell_""),INDEX(FILTER(T$4:T501,Q$4:Q501&lt;&gt;""""),ROWS(FILTER(Q$4:Q501,Q$4:Q501&lt;&gt;""""))),$AD$5+S502))"),"")</f>
        <v/>
      </c>
      <c r="U502" s="10" t="str">
        <f>IFERROR(__xludf.DUMMYFUNCTION("IF(COUNTA(Q502:Q1644)=0,"""",IF(Q502="""",0,IF(REGEXMATCH(Q502,""^Sell_""),-ROUNDDOWN(ROUNDUP(INDEX(Upgrades!$C$3:$C$13,MATCH(SUBSTITUTE(Q502,""Sell_"",""""),Upgrades!$B$3:$B$13,0))*1.15^(COUNTIF(Q$4:Q501,SUBSTITUTE(Q502,""Sell_"",""""))-COUNTIF(Q$4:Q501,"&amp;"""Sell_""&amp;SUBSTITUTE(Q502,""Sell_"",""""))))/2),ROUNDUP(INDEX(Upgrades!$C$3:$C$13,MATCH(Q502,Upgrades!$B$3:$B$13,0))*1.15^(COUNTIF(Q$4:Q501,Q502)-COUNTIF(Q$4:Q501,""Sell_""&amp;Q502))))))"),"")</f>
        <v/>
      </c>
      <c r="V502" s="10" t="str">
        <f t="shared" si="11"/>
        <v/>
      </c>
      <c r="W502" s="68" t="str">
        <f t="shared" si="12"/>
        <v/>
      </c>
      <c r="X502" s="59" t="str">
        <f t="shared" si="13"/>
        <v/>
      </c>
      <c r="Y502" s="69" t="str">
        <f t="shared" si="14"/>
        <v/>
      </c>
      <c r="Z502" s="11"/>
      <c r="AG502" s="59"/>
    </row>
    <row r="503">
      <c r="A503" s="8"/>
      <c r="B503" s="56" t="str">
        <f t="shared" si="2"/>
        <v/>
      </c>
      <c r="C503" s="105"/>
      <c r="D503" s="10"/>
      <c r="E503" s="59" t="str">
        <f t="array" ref="E503">IF(COUNTA(C503:C1644)=0,"",SUM((COUNTIF(C$4:C503,Upgrades!$B$3:$B$13)-COUNTIF(C$4:C503,"Sell_"&amp;Upgrades!$B$3:$B$13))*Upgrades!$D$3:$D$13))</f>
        <v/>
      </c>
      <c r="F503" s="66" t="str">
        <f>IFERROR(__xludf.DUMMYFUNCTION("IF(COUNTA(C503:C1644)=0,"""",IF(REGEXMATCH(INDEX(FILTER(C$4:C503,C$4:C503&lt;&gt;""""),ROWS(FILTER(C$4:C503,C$4:C503&lt;&gt;""""))),""^Sell_""),INDEX(FILTER(F$4:F502,C$4:C502&lt;&gt;""""),ROWS(FILTER(C$4:C502,C$4:C502&lt;&gt;""""))),$AC$5+E503))"),"")</f>
        <v/>
      </c>
      <c r="G503" s="10" t="str">
        <f>IFERROR(__xludf.DUMMYFUNCTION("IF(COUNTA(C503:C1644)=0,"""",IF(C503="""",0,IF(REGEXMATCH(C503,""^Sell_""),-ROUNDDOWN(ROUNDUP(INDEX(Upgrades!$C$3:$C$13,MATCH(SUBSTITUTE(C503,""Sell_"",""""),Upgrades!$B$3:$B$13,0))*1.15^(COUNTIF(C$4:C502,SUBSTITUTE(C503,""Sell_"",""""))-COUNTIF(C$4:C502,"&amp;"""Sell_""&amp;SUBSTITUTE(C503,""Sell_"",""""))))/2),ROUNDUP(INDEX(Upgrades!$C$3:$C$13,MATCH(C503,Upgrades!$B$3:$B$13,0))*1.15^(COUNTIF(C$4:C502,C503)-COUNTIF(C$4:C502,""Sell_""&amp;C503))))))"),"")</f>
        <v/>
      </c>
      <c r="H503" s="10" t="str">
        <f t="shared" si="3"/>
        <v/>
      </c>
      <c r="I503" s="68" t="str">
        <f t="shared" si="4"/>
        <v/>
      </c>
      <c r="J503" s="59" t="str">
        <f t="shared" si="5"/>
        <v/>
      </c>
      <c r="K503" s="69" t="str">
        <f t="shared" si="6"/>
        <v/>
      </c>
      <c r="L503" s="60" t="str">
        <f t="shared" si="7"/>
        <v/>
      </c>
      <c r="M503" s="61" t="str">
        <f>IFERROR(__xludf.DUMMYFUNCTION("IFS(AND(COUNTA(C503:C1644)=0,COUNTA(Q503:Q1644)=0),"""",OR(AND(K503&gt;=1000000000,OR(Y503&gt;=1000000000,COUNTA(Q503:Q1644)=0)),OR(Y503&gt;=1000000000,AND(COUNTA(C503:C1644)=0,P$3=TRUE))),
ROUNDDOWN((AB$1-AC$1)*MAX(INDEX(T$4:T1644,MATCH(LARGE(FILTER(Y$4:Y1644,Y$4"&amp;":Y1644&lt;1000000000),1),Y$4:Y1644)),INDEX(F$4:F1644,MATCH(LARGE(FILTER(K$4:K1644,K$4:K1644&lt;1000000000),1),K$4:K1644)))),AND(K503&lt;1000000000,COUNTA(C503:C1644)&gt;0,P$3=FALSE),
ROUNDDOWN(INDEX(Y$4:Y1644,MATCH(LARGE(FILTER(W$4:W1644,W$4:W1644&lt;=I503),1),W$4:W1644"&amp;"))+(I503-LARGE(FILTER(W$4:W1644,W$4:W1644&lt;=I503),1))*INDEX(T$4:T1644,MATCH(LARGE(FILTER(W$4:W1644,W$4:W1644&lt;=I503),1),W$4:W1644))-K503),1,
ROUNDDOWN(Y503-INDEX(K$4:K1644,MATCH(LARGE(FILTER(I$4:I1644,I$4:I1644&lt;=W503),1),I$4:I1644))-(W503-LARGE(FILTER(I$4:I"&amp;"1644,I$4:I1644&lt;=W503),1))*INDEX(F$4:F1644,MATCH(LARGE(FILTER(I$4:I1644,I$4:I1644&lt;=W503),1),I$4:I1644))))"),"")</f>
        <v/>
      </c>
      <c r="N503" s="60" t="str">
        <f t="shared" si="8"/>
        <v/>
      </c>
      <c r="O503" s="61" t="str">
        <f t="shared" si="9"/>
        <v/>
      </c>
      <c r="P503" s="56" t="str">
        <f t="shared" si="10"/>
        <v/>
      </c>
      <c r="Q503" s="105"/>
      <c r="R503" s="10"/>
      <c r="S503" s="59" t="str">
        <f t="array" ref="S503">IF(COUNTA(Q503:Q1644)=0,"",SUM((COUNTIF(Q$4:Q503,Upgrades!$B$3:$B$13)-COUNTIF(Q$4:Q503,"Sell_"&amp;Upgrades!$B$3:$B$13))*Upgrades!$D$3:$D$13))</f>
        <v/>
      </c>
      <c r="T503" s="66" t="str">
        <f>IFERROR(__xludf.DUMMYFUNCTION("IF(COUNTA(Q503:Q1644)=0,"""",IF(REGEXMATCH(INDEX(FILTER(Q$4:Q503,Q$4:Q503&lt;&gt;""""),ROWS(FILTER(Q$4:Q503,Q$4:Q503&lt;&gt;""""))),""^Sell_""),INDEX(FILTER(T$4:T502,Q$4:Q502&lt;&gt;""""),ROWS(FILTER(Q$4:Q502,Q$4:Q502&lt;&gt;""""))),$AD$5+S503))"),"")</f>
        <v/>
      </c>
      <c r="U503" s="10" t="str">
        <f>IFERROR(__xludf.DUMMYFUNCTION("IF(COUNTA(Q503:Q1644)=0,"""",IF(Q503="""",0,IF(REGEXMATCH(Q503,""^Sell_""),-ROUNDDOWN(ROUNDUP(INDEX(Upgrades!$C$3:$C$13,MATCH(SUBSTITUTE(Q503,""Sell_"",""""),Upgrades!$B$3:$B$13,0))*1.15^(COUNTIF(Q$4:Q502,SUBSTITUTE(Q503,""Sell_"",""""))-COUNTIF(Q$4:Q502,"&amp;"""Sell_""&amp;SUBSTITUTE(Q503,""Sell_"",""""))))/2),ROUNDUP(INDEX(Upgrades!$C$3:$C$13,MATCH(Q503,Upgrades!$B$3:$B$13,0))*1.15^(COUNTIF(Q$4:Q502,Q503)-COUNTIF(Q$4:Q502,""Sell_""&amp;Q503))))))"),"")</f>
        <v/>
      </c>
      <c r="V503" s="10" t="str">
        <f t="shared" si="11"/>
        <v/>
      </c>
      <c r="W503" s="68" t="str">
        <f t="shared" si="12"/>
        <v/>
      </c>
      <c r="X503" s="59" t="str">
        <f t="shared" si="13"/>
        <v/>
      </c>
      <c r="Y503" s="69" t="str">
        <f t="shared" si="14"/>
        <v/>
      </c>
      <c r="Z503" s="11"/>
      <c r="AG503" s="59"/>
    </row>
    <row r="504">
      <c r="A504" s="8"/>
      <c r="B504" s="56" t="str">
        <f t="shared" si="2"/>
        <v/>
      </c>
      <c r="C504" s="105"/>
      <c r="D504" s="10"/>
      <c r="E504" s="59" t="str">
        <f t="array" ref="E504">IF(COUNTA(C504:C1644)=0,"",SUM((COUNTIF(C$4:C504,Upgrades!$B$3:$B$13)-COUNTIF(C$4:C504,"Sell_"&amp;Upgrades!$B$3:$B$13))*Upgrades!$D$3:$D$13))</f>
        <v/>
      </c>
      <c r="F504" s="66" t="str">
        <f>IFERROR(__xludf.DUMMYFUNCTION("IF(COUNTA(C504:C1644)=0,"""",IF(REGEXMATCH(INDEX(FILTER(C$4:C504,C$4:C504&lt;&gt;""""),ROWS(FILTER(C$4:C504,C$4:C504&lt;&gt;""""))),""^Sell_""),INDEX(FILTER(F$4:F503,C$4:C503&lt;&gt;""""),ROWS(FILTER(C$4:C503,C$4:C503&lt;&gt;""""))),$AC$5+E504))"),"")</f>
        <v/>
      </c>
      <c r="G504" s="10" t="str">
        <f>IFERROR(__xludf.DUMMYFUNCTION("IF(COUNTA(C504:C1644)=0,"""",IF(C504="""",0,IF(REGEXMATCH(C504,""^Sell_""),-ROUNDDOWN(ROUNDUP(INDEX(Upgrades!$C$3:$C$13,MATCH(SUBSTITUTE(C504,""Sell_"",""""),Upgrades!$B$3:$B$13,0))*1.15^(COUNTIF(C$4:C503,SUBSTITUTE(C504,""Sell_"",""""))-COUNTIF(C$4:C503,"&amp;"""Sell_""&amp;SUBSTITUTE(C504,""Sell_"",""""))))/2),ROUNDUP(INDEX(Upgrades!$C$3:$C$13,MATCH(C504,Upgrades!$B$3:$B$13,0))*1.15^(COUNTIF(C$4:C503,C504)-COUNTIF(C$4:C503,""Sell_""&amp;C504))))))"),"")</f>
        <v/>
      </c>
      <c r="H504" s="10" t="str">
        <f t="shared" si="3"/>
        <v/>
      </c>
      <c r="I504" s="68" t="str">
        <f t="shared" si="4"/>
        <v/>
      </c>
      <c r="J504" s="59" t="str">
        <f t="shared" si="5"/>
        <v/>
      </c>
      <c r="K504" s="69" t="str">
        <f t="shared" si="6"/>
        <v/>
      </c>
      <c r="L504" s="60" t="str">
        <f t="shared" si="7"/>
        <v/>
      </c>
      <c r="M504" s="61" t="str">
        <f>IFERROR(__xludf.DUMMYFUNCTION("IFS(AND(COUNTA(C504:C1644)=0,COUNTA(Q504:Q1644)=0),"""",OR(AND(K504&gt;=1000000000,OR(Y504&gt;=1000000000,COUNTA(Q504:Q1644)=0)),OR(Y504&gt;=1000000000,AND(COUNTA(C504:C1644)=0,P$3=TRUE))),
ROUNDDOWN((AB$1-AC$1)*MAX(INDEX(T$4:T1644,MATCH(LARGE(FILTER(Y$4:Y1644,Y$4"&amp;":Y1644&lt;1000000000),1),Y$4:Y1644)),INDEX(F$4:F1644,MATCH(LARGE(FILTER(K$4:K1644,K$4:K1644&lt;1000000000),1),K$4:K1644)))),AND(K504&lt;1000000000,COUNTA(C504:C1644)&gt;0,P$3=FALSE),
ROUNDDOWN(INDEX(Y$4:Y1644,MATCH(LARGE(FILTER(W$4:W1644,W$4:W1644&lt;=I504),1),W$4:W1644"&amp;"))+(I504-LARGE(FILTER(W$4:W1644,W$4:W1644&lt;=I504),1))*INDEX(T$4:T1644,MATCH(LARGE(FILTER(W$4:W1644,W$4:W1644&lt;=I504),1),W$4:W1644))-K504),1,
ROUNDDOWN(Y504-INDEX(K$4:K1644,MATCH(LARGE(FILTER(I$4:I1644,I$4:I1644&lt;=W504),1),I$4:I1644))-(W504-LARGE(FILTER(I$4:I"&amp;"1644,I$4:I1644&lt;=W504),1))*INDEX(F$4:F1644,MATCH(LARGE(FILTER(I$4:I1644,I$4:I1644&lt;=W504),1),I$4:I1644))))"),"")</f>
        <v/>
      </c>
      <c r="N504" s="60" t="str">
        <f t="shared" si="8"/>
        <v/>
      </c>
      <c r="O504" s="61" t="str">
        <f t="shared" si="9"/>
        <v/>
      </c>
      <c r="P504" s="56" t="str">
        <f t="shared" si="10"/>
        <v/>
      </c>
      <c r="Q504" s="105"/>
      <c r="R504" s="10"/>
      <c r="S504" s="59" t="str">
        <f t="array" ref="S504">IF(COUNTA(Q504:Q1644)=0,"",SUM((COUNTIF(Q$4:Q504,Upgrades!$B$3:$B$13)-COUNTIF(Q$4:Q504,"Sell_"&amp;Upgrades!$B$3:$B$13))*Upgrades!$D$3:$D$13))</f>
        <v/>
      </c>
      <c r="T504" s="66" t="str">
        <f>IFERROR(__xludf.DUMMYFUNCTION("IF(COUNTA(Q504:Q1644)=0,"""",IF(REGEXMATCH(INDEX(FILTER(Q$4:Q504,Q$4:Q504&lt;&gt;""""),ROWS(FILTER(Q$4:Q504,Q$4:Q504&lt;&gt;""""))),""^Sell_""),INDEX(FILTER(T$4:T503,Q$4:Q503&lt;&gt;""""),ROWS(FILTER(Q$4:Q503,Q$4:Q503&lt;&gt;""""))),$AD$5+S504))"),"")</f>
        <v/>
      </c>
      <c r="U504" s="10" t="str">
        <f>IFERROR(__xludf.DUMMYFUNCTION("IF(COUNTA(Q504:Q1644)=0,"""",IF(Q504="""",0,IF(REGEXMATCH(Q504,""^Sell_""),-ROUNDDOWN(ROUNDUP(INDEX(Upgrades!$C$3:$C$13,MATCH(SUBSTITUTE(Q504,""Sell_"",""""),Upgrades!$B$3:$B$13,0))*1.15^(COUNTIF(Q$4:Q503,SUBSTITUTE(Q504,""Sell_"",""""))-COUNTIF(Q$4:Q503,"&amp;"""Sell_""&amp;SUBSTITUTE(Q504,""Sell_"",""""))))/2),ROUNDUP(INDEX(Upgrades!$C$3:$C$13,MATCH(Q504,Upgrades!$B$3:$B$13,0))*1.15^(COUNTIF(Q$4:Q503,Q504)-COUNTIF(Q$4:Q503,""Sell_""&amp;Q504))))))"),"")</f>
        <v/>
      </c>
      <c r="V504" s="10" t="str">
        <f t="shared" si="11"/>
        <v/>
      </c>
      <c r="W504" s="68" t="str">
        <f t="shared" si="12"/>
        <v/>
      </c>
      <c r="X504" s="59" t="str">
        <f t="shared" si="13"/>
        <v/>
      </c>
      <c r="Y504" s="69" t="str">
        <f t="shared" si="14"/>
        <v/>
      </c>
      <c r="Z504" s="11"/>
      <c r="AG504" s="59"/>
    </row>
    <row r="505">
      <c r="A505" s="8"/>
      <c r="B505" s="56" t="str">
        <f t="shared" si="2"/>
        <v/>
      </c>
      <c r="C505" s="105"/>
      <c r="D505" s="10"/>
      <c r="E505" s="59" t="str">
        <f t="array" ref="E505">IF(COUNTA(C505:C1644)=0,"",SUM((COUNTIF(C$4:C505,Upgrades!$B$3:$B$13)-COUNTIF(C$4:C505,"Sell_"&amp;Upgrades!$B$3:$B$13))*Upgrades!$D$3:$D$13))</f>
        <v/>
      </c>
      <c r="F505" s="66" t="str">
        <f>IFERROR(__xludf.DUMMYFUNCTION("IF(COUNTA(C505:C1644)=0,"""",IF(REGEXMATCH(INDEX(FILTER(C$4:C505,C$4:C505&lt;&gt;""""),ROWS(FILTER(C$4:C505,C$4:C505&lt;&gt;""""))),""^Sell_""),INDEX(FILTER(F$4:F504,C$4:C504&lt;&gt;""""),ROWS(FILTER(C$4:C504,C$4:C504&lt;&gt;""""))),$AC$5+E505))"),"")</f>
        <v/>
      </c>
      <c r="G505" s="10" t="str">
        <f>IFERROR(__xludf.DUMMYFUNCTION("IF(COUNTA(C505:C1644)=0,"""",IF(C505="""",0,IF(REGEXMATCH(C505,""^Sell_""),-ROUNDDOWN(ROUNDUP(INDEX(Upgrades!$C$3:$C$13,MATCH(SUBSTITUTE(C505,""Sell_"",""""),Upgrades!$B$3:$B$13,0))*1.15^(COUNTIF(C$4:C504,SUBSTITUTE(C505,""Sell_"",""""))-COUNTIF(C$4:C504,"&amp;"""Sell_""&amp;SUBSTITUTE(C505,""Sell_"",""""))))/2),ROUNDUP(INDEX(Upgrades!$C$3:$C$13,MATCH(C505,Upgrades!$B$3:$B$13,0))*1.15^(COUNTIF(C$4:C504,C505)-COUNTIF(C$4:C504,""Sell_""&amp;C505))))))"),"")</f>
        <v/>
      </c>
      <c r="H505" s="10" t="str">
        <f t="shared" si="3"/>
        <v/>
      </c>
      <c r="I505" s="68" t="str">
        <f t="shared" si="4"/>
        <v/>
      </c>
      <c r="J505" s="59" t="str">
        <f t="shared" si="5"/>
        <v/>
      </c>
      <c r="K505" s="69" t="str">
        <f t="shared" si="6"/>
        <v/>
      </c>
      <c r="L505" s="60" t="str">
        <f t="shared" si="7"/>
        <v/>
      </c>
      <c r="M505" s="61" t="str">
        <f>IFERROR(__xludf.DUMMYFUNCTION("IFS(AND(COUNTA(C505:C1644)=0,COUNTA(Q505:Q1644)=0),"""",OR(AND(K505&gt;=1000000000,OR(Y505&gt;=1000000000,COUNTA(Q505:Q1644)=0)),OR(Y505&gt;=1000000000,AND(COUNTA(C505:C1644)=0,P$3=TRUE))),
ROUNDDOWN((AB$1-AC$1)*MAX(INDEX(T$4:T1644,MATCH(LARGE(FILTER(Y$4:Y1644,Y$4"&amp;":Y1644&lt;1000000000),1),Y$4:Y1644)),INDEX(F$4:F1644,MATCH(LARGE(FILTER(K$4:K1644,K$4:K1644&lt;1000000000),1),K$4:K1644)))),AND(K505&lt;1000000000,COUNTA(C505:C1644)&gt;0,P$3=FALSE),
ROUNDDOWN(INDEX(Y$4:Y1644,MATCH(LARGE(FILTER(W$4:W1644,W$4:W1644&lt;=I505),1),W$4:W1644"&amp;"))+(I505-LARGE(FILTER(W$4:W1644,W$4:W1644&lt;=I505),1))*INDEX(T$4:T1644,MATCH(LARGE(FILTER(W$4:W1644,W$4:W1644&lt;=I505),1),W$4:W1644))-K505),1,
ROUNDDOWN(Y505-INDEX(K$4:K1644,MATCH(LARGE(FILTER(I$4:I1644,I$4:I1644&lt;=W505),1),I$4:I1644))-(W505-LARGE(FILTER(I$4:I"&amp;"1644,I$4:I1644&lt;=W505),1))*INDEX(F$4:F1644,MATCH(LARGE(FILTER(I$4:I1644,I$4:I1644&lt;=W505),1),I$4:I1644))))"),"")</f>
        <v/>
      </c>
      <c r="N505" s="60" t="str">
        <f t="shared" si="8"/>
        <v/>
      </c>
      <c r="O505" s="61" t="str">
        <f t="shared" si="9"/>
        <v/>
      </c>
      <c r="P505" s="56" t="str">
        <f t="shared" si="10"/>
        <v/>
      </c>
      <c r="Q505" s="105"/>
      <c r="R505" s="10"/>
      <c r="S505" s="59" t="str">
        <f t="array" ref="S505">IF(COUNTA(Q505:Q1644)=0,"",SUM((COUNTIF(Q$4:Q505,Upgrades!$B$3:$B$13)-COUNTIF(Q$4:Q505,"Sell_"&amp;Upgrades!$B$3:$B$13))*Upgrades!$D$3:$D$13))</f>
        <v/>
      </c>
      <c r="T505" s="66" t="str">
        <f>IFERROR(__xludf.DUMMYFUNCTION("IF(COUNTA(Q505:Q1644)=0,"""",IF(REGEXMATCH(INDEX(FILTER(Q$4:Q505,Q$4:Q505&lt;&gt;""""),ROWS(FILTER(Q$4:Q505,Q$4:Q505&lt;&gt;""""))),""^Sell_""),INDEX(FILTER(T$4:T504,Q$4:Q504&lt;&gt;""""),ROWS(FILTER(Q$4:Q504,Q$4:Q504&lt;&gt;""""))),$AD$5+S505))"),"")</f>
        <v/>
      </c>
      <c r="U505" s="10" t="str">
        <f>IFERROR(__xludf.DUMMYFUNCTION("IF(COUNTA(Q505:Q1644)=0,"""",IF(Q505="""",0,IF(REGEXMATCH(Q505,""^Sell_""),-ROUNDDOWN(ROUNDUP(INDEX(Upgrades!$C$3:$C$13,MATCH(SUBSTITUTE(Q505,""Sell_"",""""),Upgrades!$B$3:$B$13,0))*1.15^(COUNTIF(Q$4:Q504,SUBSTITUTE(Q505,""Sell_"",""""))-COUNTIF(Q$4:Q504,"&amp;"""Sell_""&amp;SUBSTITUTE(Q505,""Sell_"",""""))))/2),ROUNDUP(INDEX(Upgrades!$C$3:$C$13,MATCH(Q505,Upgrades!$B$3:$B$13,0))*1.15^(COUNTIF(Q$4:Q504,Q505)-COUNTIF(Q$4:Q504,""Sell_""&amp;Q505))))))"),"")</f>
        <v/>
      </c>
      <c r="V505" s="10" t="str">
        <f t="shared" si="11"/>
        <v/>
      </c>
      <c r="W505" s="68" t="str">
        <f t="shared" si="12"/>
        <v/>
      </c>
      <c r="X505" s="59" t="str">
        <f t="shared" si="13"/>
        <v/>
      </c>
      <c r="Y505" s="69" t="str">
        <f t="shared" si="14"/>
        <v/>
      </c>
      <c r="Z505" s="11"/>
      <c r="AG505" s="59"/>
    </row>
    <row r="506">
      <c r="A506" s="8"/>
      <c r="B506" s="56" t="str">
        <f t="shared" si="2"/>
        <v/>
      </c>
      <c r="C506" s="105"/>
      <c r="D506" s="10"/>
      <c r="E506" s="59" t="str">
        <f t="array" ref="E506">IF(COUNTA(C506:C1644)=0,"",SUM((COUNTIF(C$4:C506,Upgrades!$B$3:$B$13)-COUNTIF(C$4:C506,"Sell_"&amp;Upgrades!$B$3:$B$13))*Upgrades!$D$3:$D$13))</f>
        <v/>
      </c>
      <c r="F506" s="66" t="str">
        <f>IFERROR(__xludf.DUMMYFUNCTION("IF(COUNTA(C506:C1644)=0,"""",IF(REGEXMATCH(INDEX(FILTER(C$4:C506,C$4:C506&lt;&gt;""""),ROWS(FILTER(C$4:C506,C$4:C506&lt;&gt;""""))),""^Sell_""),INDEX(FILTER(F$4:F505,C$4:C505&lt;&gt;""""),ROWS(FILTER(C$4:C505,C$4:C505&lt;&gt;""""))),$AC$5+E506))"),"")</f>
        <v/>
      </c>
      <c r="G506" s="10" t="str">
        <f>IFERROR(__xludf.DUMMYFUNCTION("IF(COUNTA(C506:C1644)=0,"""",IF(C506="""",0,IF(REGEXMATCH(C506,""^Sell_""),-ROUNDDOWN(ROUNDUP(INDEX(Upgrades!$C$3:$C$13,MATCH(SUBSTITUTE(C506,""Sell_"",""""),Upgrades!$B$3:$B$13,0))*1.15^(COUNTIF(C$4:C505,SUBSTITUTE(C506,""Sell_"",""""))-COUNTIF(C$4:C505,"&amp;"""Sell_""&amp;SUBSTITUTE(C506,""Sell_"",""""))))/2),ROUNDUP(INDEX(Upgrades!$C$3:$C$13,MATCH(C506,Upgrades!$B$3:$B$13,0))*1.15^(COUNTIF(C$4:C505,C506)-COUNTIF(C$4:C505,""Sell_""&amp;C506))))))"),"")</f>
        <v/>
      </c>
      <c r="H506" s="10" t="str">
        <f t="shared" si="3"/>
        <v/>
      </c>
      <c r="I506" s="68" t="str">
        <f t="shared" si="4"/>
        <v/>
      </c>
      <c r="J506" s="59" t="str">
        <f t="shared" si="5"/>
        <v/>
      </c>
      <c r="K506" s="69" t="str">
        <f t="shared" si="6"/>
        <v/>
      </c>
      <c r="L506" s="60" t="str">
        <f t="shared" si="7"/>
        <v/>
      </c>
      <c r="M506" s="61" t="str">
        <f>IFERROR(__xludf.DUMMYFUNCTION("IFS(AND(COUNTA(C506:C1644)=0,COUNTA(Q506:Q1644)=0),"""",OR(AND(K506&gt;=1000000000,OR(Y506&gt;=1000000000,COUNTA(Q506:Q1644)=0)),OR(Y506&gt;=1000000000,AND(COUNTA(C506:C1644)=0,P$3=TRUE))),
ROUNDDOWN((AB$1-AC$1)*MAX(INDEX(T$4:T1644,MATCH(LARGE(FILTER(Y$4:Y1644,Y$4"&amp;":Y1644&lt;1000000000),1),Y$4:Y1644)),INDEX(F$4:F1644,MATCH(LARGE(FILTER(K$4:K1644,K$4:K1644&lt;1000000000),1),K$4:K1644)))),AND(K506&lt;1000000000,COUNTA(C506:C1644)&gt;0,P$3=FALSE),
ROUNDDOWN(INDEX(Y$4:Y1644,MATCH(LARGE(FILTER(W$4:W1644,W$4:W1644&lt;=I506),1),W$4:W1644"&amp;"))+(I506-LARGE(FILTER(W$4:W1644,W$4:W1644&lt;=I506),1))*INDEX(T$4:T1644,MATCH(LARGE(FILTER(W$4:W1644,W$4:W1644&lt;=I506),1),W$4:W1644))-K506),1,
ROUNDDOWN(Y506-INDEX(K$4:K1644,MATCH(LARGE(FILTER(I$4:I1644,I$4:I1644&lt;=W506),1),I$4:I1644))-(W506-LARGE(FILTER(I$4:I"&amp;"1644,I$4:I1644&lt;=W506),1))*INDEX(F$4:F1644,MATCH(LARGE(FILTER(I$4:I1644,I$4:I1644&lt;=W506),1),I$4:I1644))))"),"")</f>
        <v/>
      </c>
      <c r="N506" s="60" t="str">
        <f t="shared" si="8"/>
        <v/>
      </c>
      <c r="O506" s="61" t="str">
        <f t="shared" si="9"/>
        <v/>
      </c>
      <c r="P506" s="56" t="str">
        <f t="shared" si="10"/>
        <v/>
      </c>
      <c r="Q506" s="105"/>
      <c r="R506" s="10"/>
      <c r="S506" s="59" t="str">
        <f t="array" ref="S506">IF(COUNTA(Q506:Q1644)=0,"",SUM((COUNTIF(Q$4:Q506,Upgrades!$B$3:$B$13)-COUNTIF(Q$4:Q506,"Sell_"&amp;Upgrades!$B$3:$B$13))*Upgrades!$D$3:$D$13))</f>
        <v/>
      </c>
      <c r="T506" s="66" t="str">
        <f>IFERROR(__xludf.DUMMYFUNCTION("IF(COUNTA(Q506:Q1644)=0,"""",IF(REGEXMATCH(INDEX(FILTER(Q$4:Q506,Q$4:Q506&lt;&gt;""""),ROWS(FILTER(Q$4:Q506,Q$4:Q506&lt;&gt;""""))),""^Sell_""),INDEX(FILTER(T$4:T505,Q$4:Q505&lt;&gt;""""),ROWS(FILTER(Q$4:Q505,Q$4:Q505&lt;&gt;""""))),$AD$5+S506))"),"")</f>
        <v/>
      </c>
      <c r="U506" s="10" t="str">
        <f>IFERROR(__xludf.DUMMYFUNCTION("IF(COUNTA(Q506:Q1644)=0,"""",IF(Q506="""",0,IF(REGEXMATCH(Q506,""^Sell_""),-ROUNDDOWN(ROUNDUP(INDEX(Upgrades!$C$3:$C$13,MATCH(SUBSTITUTE(Q506,""Sell_"",""""),Upgrades!$B$3:$B$13,0))*1.15^(COUNTIF(Q$4:Q505,SUBSTITUTE(Q506,""Sell_"",""""))-COUNTIF(Q$4:Q505,"&amp;"""Sell_""&amp;SUBSTITUTE(Q506,""Sell_"",""""))))/2),ROUNDUP(INDEX(Upgrades!$C$3:$C$13,MATCH(Q506,Upgrades!$B$3:$B$13,0))*1.15^(COUNTIF(Q$4:Q505,Q506)-COUNTIF(Q$4:Q505,""Sell_""&amp;Q506))))))"),"")</f>
        <v/>
      </c>
      <c r="V506" s="10" t="str">
        <f t="shared" si="11"/>
        <v/>
      </c>
      <c r="W506" s="68" t="str">
        <f t="shared" si="12"/>
        <v/>
      </c>
      <c r="X506" s="59" t="str">
        <f t="shared" si="13"/>
        <v/>
      </c>
      <c r="Y506" s="69" t="str">
        <f t="shared" si="14"/>
        <v/>
      </c>
      <c r="Z506" s="11"/>
      <c r="AG506" s="59"/>
    </row>
    <row r="507">
      <c r="A507" s="8"/>
      <c r="B507" s="56" t="str">
        <f t="shared" si="2"/>
        <v/>
      </c>
      <c r="C507" s="105"/>
      <c r="D507" s="10"/>
      <c r="E507" s="59" t="str">
        <f t="array" ref="E507">IF(COUNTA(C507:C1644)=0,"",SUM((COUNTIF(C$4:C507,Upgrades!$B$3:$B$13)-COUNTIF(C$4:C507,"Sell_"&amp;Upgrades!$B$3:$B$13))*Upgrades!$D$3:$D$13))</f>
        <v/>
      </c>
      <c r="F507" s="66" t="str">
        <f>IFERROR(__xludf.DUMMYFUNCTION("IF(COUNTA(C507:C1644)=0,"""",IF(REGEXMATCH(INDEX(FILTER(C$4:C507,C$4:C507&lt;&gt;""""),ROWS(FILTER(C$4:C507,C$4:C507&lt;&gt;""""))),""^Sell_""),INDEX(FILTER(F$4:F506,C$4:C506&lt;&gt;""""),ROWS(FILTER(C$4:C506,C$4:C506&lt;&gt;""""))),$AC$5+E507))"),"")</f>
        <v/>
      </c>
      <c r="G507" s="10" t="str">
        <f>IFERROR(__xludf.DUMMYFUNCTION("IF(COUNTA(C507:C1644)=0,"""",IF(C507="""",0,IF(REGEXMATCH(C507,""^Sell_""),-ROUNDDOWN(ROUNDUP(INDEX(Upgrades!$C$3:$C$13,MATCH(SUBSTITUTE(C507,""Sell_"",""""),Upgrades!$B$3:$B$13,0))*1.15^(COUNTIF(C$4:C506,SUBSTITUTE(C507,""Sell_"",""""))-COUNTIF(C$4:C506,"&amp;"""Sell_""&amp;SUBSTITUTE(C507,""Sell_"",""""))))/2),ROUNDUP(INDEX(Upgrades!$C$3:$C$13,MATCH(C507,Upgrades!$B$3:$B$13,0))*1.15^(COUNTIF(C$4:C506,C507)-COUNTIF(C$4:C506,""Sell_""&amp;C507))))))"),"")</f>
        <v/>
      </c>
      <c r="H507" s="10" t="str">
        <f t="shared" si="3"/>
        <v/>
      </c>
      <c r="I507" s="68" t="str">
        <f t="shared" si="4"/>
        <v/>
      </c>
      <c r="J507" s="59" t="str">
        <f t="shared" si="5"/>
        <v/>
      </c>
      <c r="K507" s="69" t="str">
        <f t="shared" si="6"/>
        <v/>
      </c>
      <c r="L507" s="60" t="str">
        <f t="shared" si="7"/>
        <v/>
      </c>
      <c r="M507" s="61" t="str">
        <f>IFERROR(__xludf.DUMMYFUNCTION("IFS(AND(COUNTA(C507:C1644)=0,COUNTA(Q507:Q1644)=0),"""",OR(AND(K507&gt;=1000000000,OR(Y507&gt;=1000000000,COUNTA(Q507:Q1644)=0)),OR(Y507&gt;=1000000000,AND(COUNTA(C507:C1644)=0,P$3=TRUE))),
ROUNDDOWN((AB$1-AC$1)*MAX(INDEX(T$4:T1644,MATCH(LARGE(FILTER(Y$4:Y1644,Y$4"&amp;":Y1644&lt;1000000000),1),Y$4:Y1644)),INDEX(F$4:F1644,MATCH(LARGE(FILTER(K$4:K1644,K$4:K1644&lt;1000000000),1),K$4:K1644)))),AND(K507&lt;1000000000,COUNTA(C507:C1644)&gt;0,P$3=FALSE),
ROUNDDOWN(INDEX(Y$4:Y1644,MATCH(LARGE(FILTER(W$4:W1644,W$4:W1644&lt;=I507),1),W$4:W1644"&amp;"))+(I507-LARGE(FILTER(W$4:W1644,W$4:W1644&lt;=I507),1))*INDEX(T$4:T1644,MATCH(LARGE(FILTER(W$4:W1644,W$4:W1644&lt;=I507),1),W$4:W1644))-K507),1,
ROUNDDOWN(Y507-INDEX(K$4:K1644,MATCH(LARGE(FILTER(I$4:I1644,I$4:I1644&lt;=W507),1),I$4:I1644))-(W507-LARGE(FILTER(I$4:I"&amp;"1644,I$4:I1644&lt;=W507),1))*INDEX(F$4:F1644,MATCH(LARGE(FILTER(I$4:I1644,I$4:I1644&lt;=W507),1),I$4:I1644))))"),"")</f>
        <v/>
      </c>
      <c r="N507" s="60" t="str">
        <f t="shared" si="8"/>
        <v/>
      </c>
      <c r="O507" s="61" t="str">
        <f t="shared" si="9"/>
        <v/>
      </c>
      <c r="P507" s="56" t="str">
        <f t="shared" si="10"/>
        <v/>
      </c>
      <c r="Q507" s="105"/>
      <c r="R507" s="10"/>
      <c r="S507" s="59" t="str">
        <f t="array" ref="S507">IF(COUNTA(Q507:Q1644)=0,"",SUM((COUNTIF(Q$4:Q507,Upgrades!$B$3:$B$13)-COUNTIF(Q$4:Q507,"Sell_"&amp;Upgrades!$B$3:$B$13))*Upgrades!$D$3:$D$13))</f>
        <v/>
      </c>
      <c r="T507" s="66" t="str">
        <f>IFERROR(__xludf.DUMMYFUNCTION("IF(COUNTA(Q507:Q1644)=0,"""",IF(REGEXMATCH(INDEX(FILTER(Q$4:Q507,Q$4:Q507&lt;&gt;""""),ROWS(FILTER(Q$4:Q507,Q$4:Q507&lt;&gt;""""))),""^Sell_""),INDEX(FILTER(T$4:T506,Q$4:Q506&lt;&gt;""""),ROWS(FILTER(Q$4:Q506,Q$4:Q506&lt;&gt;""""))),$AD$5+S507))"),"")</f>
        <v/>
      </c>
      <c r="U507" s="10" t="str">
        <f>IFERROR(__xludf.DUMMYFUNCTION("IF(COUNTA(Q507:Q1644)=0,"""",IF(Q507="""",0,IF(REGEXMATCH(Q507,""^Sell_""),-ROUNDDOWN(ROUNDUP(INDEX(Upgrades!$C$3:$C$13,MATCH(SUBSTITUTE(Q507,""Sell_"",""""),Upgrades!$B$3:$B$13,0))*1.15^(COUNTIF(Q$4:Q506,SUBSTITUTE(Q507,""Sell_"",""""))-COUNTIF(Q$4:Q506,"&amp;"""Sell_""&amp;SUBSTITUTE(Q507,""Sell_"",""""))))/2),ROUNDUP(INDEX(Upgrades!$C$3:$C$13,MATCH(Q507,Upgrades!$B$3:$B$13,0))*1.15^(COUNTIF(Q$4:Q506,Q507)-COUNTIF(Q$4:Q506,""Sell_""&amp;Q507))))))"),"")</f>
        <v/>
      </c>
      <c r="V507" s="10" t="str">
        <f t="shared" si="11"/>
        <v/>
      </c>
      <c r="W507" s="68" t="str">
        <f t="shared" si="12"/>
        <v/>
      </c>
      <c r="X507" s="59" t="str">
        <f t="shared" si="13"/>
        <v/>
      </c>
      <c r="Y507" s="69" t="str">
        <f t="shared" si="14"/>
        <v/>
      </c>
      <c r="Z507" s="11"/>
      <c r="AG507" s="59"/>
    </row>
    <row r="508">
      <c r="A508" s="8"/>
      <c r="B508" s="56" t="str">
        <f t="shared" si="2"/>
        <v/>
      </c>
      <c r="C508" s="105"/>
      <c r="D508" s="10"/>
      <c r="E508" s="59" t="str">
        <f t="array" ref="E508">IF(COUNTA(C508:C1644)=0,"",SUM((COUNTIF(C$4:C508,Upgrades!$B$3:$B$13)-COUNTIF(C$4:C508,"Sell_"&amp;Upgrades!$B$3:$B$13))*Upgrades!$D$3:$D$13))</f>
        <v/>
      </c>
      <c r="F508" s="66" t="str">
        <f>IFERROR(__xludf.DUMMYFUNCTION("IF(COUNTA(C508:C1644)=0,"""",IF(REGEXMATCH(INDEX(FILTER(C$4:C508,C$4:C508&lt;&gt;""""),ROWS(FILTER(C$4:C508,C$4:C508&lt;&gt;""""))),""^Sell_""),INDEX(FILTER(F$4:F507,C$4:C507&lt;&gt;""""),ROWS(FILTER(C$4:C507,C$4:C507&lt;&gt;""""))),$AC$5+E508))"),"")</f>
        <v/>
      </c>
      <c r="G508" s="10" t="str">
        <f>IFERROR(__xludf.DUMMYFUNCTION("IF(COUNTA(C508:C1644)=0,"""",IF(C508="""",0,IF(REGEXMATCH(C508,""^Sell_""),-ROUNDDOWN(ROUNDUP(INDEX(Upgrades!$C$3:$C$13,MATCH(SUBSTITUTE(C508,""Sell_"",""""),Upgrades!$B$3:$B$13,0))*1.15^(COUNTIF(C$4:C507,SUBSTITUTE(C508,""Sell_"",""""))-COUNTIF(C$4:C507,"&amp;"""Sell_""&amp;SUBSTITUTE(C508,""Sell_"",""""))))/2),ROUNDUP(INDEX(Upgrades!$C$3:$C$13,MATCH(C508,Upgrades!$B$3:$B$13,0))*1.15^(COUNTIF(C$4:C507,C508)-COUNTIF(C$4:C507,""Sell_""&amp;C508))))))"),"")</f>
        <v/>
      </c>
      <c r="H508" s="10" t="str">
        <f t="shared" si="3"/>
        <v/>
      </c>
      <c r="I508" s="68" t="str">
        <f t="shared" si="4"/>
        <v/>
      </c>
      <c r="J508" s="59" t="str">
        <f t="shared" si="5"/>
        <v/>
      </c>
      <c r="K508" s="69" t="str">
        <f t="shared" si="6"/>
        <v/>
      </c>
      <c r="L508" s="60" t="str">
        <f t="shared" si="7"/>
        <v/>
      </c>
      <c r="M508" s="61" t="str">
        <f>IFERROR(__xludf.DUMMYFUNCTION("IFS(AND(COUNTA(C508:C1644)=0,COUNTA(Q508:Q1644)=0),"""",OR(AND(K508&gt;=1000000000,OR(Y508&gt;=1000000000,COUNTA(Q508:Q1644)=0)),OR(Y508&gt;=1000000000,AND(COUNTA(C508:C1644)=0,P$3=TRUE))),
ROUNDDOWN((AB$1-AC$1)*MAX(INDEX(T$4:T1644,MATCH(LARGE(FILTER(Y$4:Y1644,Y$4"&amp;":Y1644&lt;1000000000),1),Y$4:Y1644)),INDEX(F$4:F1644,MATCH(LARGE(FILTER(K$4:K1644,K$4:K1644&lt;1000000000),1),K$4:K1644)))),AND(K508&lt;1000000000,COUNTA(C508:C1644)&gt;0,P$3=FALSE),
ROUNDDOWN(INDEX(Y$4:Y1644,MATCH(LARGE(FILTER(W$4:W1644,W$4:W1644&lt;=I508),1),W$4:W1644"&amp;"))+(I508-LARGE(FILTER(W$4:W1644,W$4:W1644&lt;=I508),1))*INDEX(T$4:T1644,MATCH(LARGE(FILTER(W$4:W1644,W$4:W1644&lt;=I508),1),W$4:W1644))-K508),1,
ROUNDDOWN(Y508-INDEX(K$4:K1644,MATCH(LARGE(FILTER(I$4:I1644,I$4:I1644&lt;=W508),1),I$4:I1644))-(W508-LARGE(FILTER(I$4:I"&amp;"1644,I$4:I1644&lt;=W508),1))*INDEX(F$4:F1644,MATCH(LARGE(FILTER(I$4:I1644,I$4:I1644&lt;=W508),1),I$4:I1644))))"),"")</f>
        <v/>
      </c>
      <c r="N508" s="60" t="str">
        <f t="shared" si="8"/>
        <v/>
      </c>
      <c r="O508" s="61" t="str">
        <f t="shared" si="9"/>
        <v/>
      </c>
      <c r="P508" s="56" t="str">
        <f t="shared" si="10"/>
        <v/>
      </c>
      <c r="Q508" s="105"/>
      <c r="R508" s="10"/>
      <c r="S508" s="59" t="str">
        <f t="array" ref="S508">IF(COUNTA(Q508:Q1644)=0,"",SUM((COUNTIF(Q$4:Q508,Upgrades!$B$3:$B$13)-COUNTIF(Q$4:Q508,"Sell_"&amp;Upgrades!$B$3:$B$13))*Upgrades!$D$3:$D$13))</f>
        <v/>
      </c>
      <c r="T508" s="66" t="str">
        <f>IFERROR(__xludf.DUMMYFUNCTION("IF(COUNTA(Q508:Q1644)=0,"""",IF(REGEXMATCH(INDEX(FILTER(Q$4:Q508,Q$4:Q508&lt;&gt;""""),ROWS(FILTER(Q$4:Q508,Q$4:Q508&lt;&gt;""""))),""^Sell_""),INDEX(FILTER(T$4:T507,Q$4:Q507&lt;&gt;""""),ROWS(FILTER(Q$4:Q507,Q$4:Q507&lt;&gt;""""))),$AD$5+S508))"),"")</f>
        <v/>
      </c>
      <c r="U508" s="10" t="str">
        <f>IFERROR(__xludf.DUMMYFUNCTION("IF(COUNTA(Q508:Q1644)=0,"""",IF(Q508="""",0,IF(REGEXMATCH(Q508,""^Sell_""),-ROUNDDOWN(ROUNDUP(INDEX(Upgrades!$C$3:$C$13,MATCH(SUBSTITUTE(Q508,""Sell_"",""""),Upgrades!$B$3:$B$13,0))*1.15^(COUNTIF(Q$4:Q507,SUBSTITUTE(Q508,""Sell_"",""""))-COUNTIF(Q$4:Q507,"&amp;"""Sell_""&amp;SUBSTITUTE(Q508,""Sell_"",""""))))/2),ROUNDUP(INDEX(Upgrades!$C$3:$C$13,MATCH(Q508,Upgrades!$B$3:$B$13,0))*1.15^(COUNTIF(Q$4:Q507,Q508)-COUNTIF(Q$4:Q507,""Sell_""&amp;Q508))))))"),"")</f>
        <v/>
      </c>
      <c r="V508" s="10" t="str">
        <f t="shared" si="11"/>
        <v/>
      </c>
      <c r="W508" s="68" t="str">
        <f t="shared" si="12"/>
        <v/>
      </c>
      <c r="X508" s="59" t="str">
        <f t="shared" si="13"/>
        <v/>
      </c>
      <c r="Y508" s="69" t="str">
        <f t="shared" si="14"/>
        <v/>
      </c>
      <c r="Z508" s="11"/>
      <c r="AG508" s="59"/>
    </row>
    <row r="509">
      <c r="A509" s="8"/>
      <c r="B509" s="56" t="str">
        <f t="shared" si="2"/>
        <v/>
      </c>
      <c r="C509" s="105"/>
      <c r="D509" s="10"/>
      <c r="E509" s="59" t="str">
        <f t="array" ref="E509">IF(COUNTA(C509:C1644)=0,"",SUM((COUNTIF(C$4:C509,Upgrades!$B$3:$B$13)-COUNTIF(C$4:C509,"Sell_"&amp;Upgrades!$B$3:$B$13))*Upgrades!$D$3:$D$13))</f>
        <v/>
      </c>
      <c r="F509" s="66" t="str">
        <f>IFERROR(__xludf.DUMMYFUNCTION("IF(COUNTA(C509:C1644)=0,"""",IF(REGEXMATCH(INDEX(FILTER(C$4:C509,C$4:C509&lt;&gt;""""),ROWS(FILTER(C$4:C509,C$4:C509&lt;&gt;""""))),""^Sell_""),INDEX(FILTER(F$4:F508,C$4:C508&lt;&gt;""""),ROWS(FILTER(C$4:C508,C$4:C508&lt;&gt;""""))),$AC$5+E509))"),"")</f>
        <v/>
      </c>
      <c r="G509" s="10" t="str">
        <f>IFERROR(__xludf.DUMMYFUNCTION("IF(COUNTA(C509:C1644)=0,"""",IF(C509="""",0,IF(REGEXMATCH(C509,""^Sell_""),-ROUNDDOWN(ROUNDUP(INDEX(Upgrades!$C$3:$C$13,MATCH(SUBSTITUTE(C509,""Sell_"",""""),Upgrades!$B$3:$B$13,0))*1.15^(COUNTIF(C$4:C508,SUBSTITUTE(C509,""Sell_"",""""))-COUNTIF(C$4:C508,"&amp;"""Sell_""&amp;SUBSTITUTE(C509,""Sell_"",""""))))/2),ROUNDUP(INDEX(Upgrades!$C$3:$C$13,MATCH(C509,Upgrades!$B$3:$B$13,0))*1.15^(COUNTIF(C$4:C508,C509)-COUNTIF(C$4:C508,""Sell_""&amp;C509))))))"),"")</f>
        <v/>
      </c>
      <c r="H509" s="10" t="str">
        <f t="shared" si="3"/>
        <v/>
      </c>
      <c r="I509" s="68" t="str">
        <f t="shared" si="4"/>
        <v/>
      </c>
      <c r="J509" s="59" t="str">
        <f t="shared" si="5"/>
        <v/>
      </c>
      <c r="K509" s="69" t="str">
        <f t="shared" si="6"/>
        <v/>
      </c>
      <c r="L509" s="60" t="str">
        <f t="shared" si="7"/>
        <v/>
      </c>
      <c r="M509" s="61" t="str">
        <f>IFERROR(__xludf.DUMMYFUNCTION("IFS(AND(COUNTA(C509:C1644)=0,COUNTA(Q509:Q1644)=0),"""",OR(AND(K509&gt;=1000000000,OR(Y509&gt;=1000000000,COUNTA(Q509:Q1644)=0)),OR(Y509&gt;=1000000000,AND(COUNTA(C509:C1644)=0,P$3=TRUE))),
ROUNDDOWN((AB$1-AC$1)*MAX(INDEX(T$4:T1644,MATCH(LARGE(FILTER(Y$4:Y1644,Y$4"&amp;":Y1644&lt;1000000000),1),Y$4:Y1644)),INDEX(F$4:F1644,MATCH(LARGE(FILTER(K$4:K1644,K$4:K1644&lt;1000000000),1),K$4:K1644)))),AND(K509&lt;1000000000,COUNTA(C509:C1644)&gt;0,P$3=FALSE),
ROUNDDOWN(INDEX(Y$4:Y1644,MATCH(LARGE(FILTER(W$4:W1644,W$4:W1644&lt;=I509),1),W$4:W1644"&amp;"))+(I509-LARGE(FILTER(W$4:W1644,W$4:W1644&lt;=I509),1))*INDEX(T$4:T1644,MATCH(LARGE(FILTER(W$4:W1644,W$4:W1644&lt;=I509),1),W$4:W1644))-K509),1,
ROUNDDOWN(Y509-INDEX(K$4:K1644,MATCH(LARGE(FILTER(I$4:I1644,I$4:I1644&lt;=W509),1),I$4:I1644))-(W509-LARGE(FILTER(I$4:I"&amp;"1644,I$4:I1644&lt;=W509),1))*INDEX(F$4:F1644,MATCH(LARGE(FILTER(I$4:I1644,I$4:I1644&lt;=W509),1),I$4:I1644))))"),"")</f>
        <v/>
      </c>
      <c r="N509" s="60" t="str">
        <f t="shared" si="8"/>
        <v/>
      </c>
      <c r="O509" s="61" t="str">
        <f t="shared" si="9"/>
        <v/>
      </c>
      <c r="P509" s="56" t="str">
        <f t="shared" si="10"/>
        <v/>
      </c>
      <c r="Q509" s="105"/>
      <c r="R509" s="10"/>
      <c r="S509" s="59" t="str">
        <f t="array" ref="S509">IF(COUNTA(Q509:Q1644)=0,"",SUM((COUNTIF(Q$4:Q509,Upgrades!$B$3:$B$13)-COUNTIF(Q$4:Q509,"Sell_"&amp;Upgrades!$B$3:$B$13))*Upgrades!$D$3:$D$13))</f>
        <v/>
      </c>
      <c r="T509" s="66" t="str">
        <f>IFERROR(__xludf.DUMMYFUNCTION("IF(COUNTA(Q509:Q1644)=0,"""",IF(REGEXMATCH(INDEX(FILTER(Q$4:Q509,Q$4:Q509&lt;&gt;""""),ROWS(FILTER(Q$4:Q509,Q$4:Q509&lt;&gt;""""))),""^Sell_""),INDEX(FILTER(T$4:T508,Q$4:Q508&lt;&gt;""""),ROWS(FILTER(Q$4:Q508,Q$4:Q508&lt;&gt;""""))),$AD$5+S509))"),"")</f>
        <v/>
      </c>
      <c r="U509" s="10" t="str">
        <f>IFERROR(__xludf.DUMMYFUNCTION("IF(COUNTA(Q509:Q1644)=0,"""",IF(Q509="""",0,IF(REGEXMATCH(Q509,""^Sell_""),-ROUNDDOWN(ROUNDUP(INDEX(Upgrades!$C$3:$C$13,MATCH(SUBSTITUTE(Q509,""Sell_"",""""),Upgrades!$B$3:$B$13,0))*1.15^(COUNTIF(Q$4:Q508,SUBSTITUTE(Q509,""Sell_"",""""))-COUNTIF(Q$4:Q508,"&amp;"""Sell_""&amp;SUBSTITUTE(Q509,""Sell_"",""""))))/2),ROUNDUP(INDEX(Upgrades!$C$3:$C$13,MATCH(Q509,Upgrades!$B$3:$B$13,0))*1.15^(COUNTIF(Q$4:Q508,Q509)-COUNTIF(Q$4:Q508,""Sell_""&amp;Q509))))))"),"")</f>
        <v/>
      </c>
      <c r="V509" s="10" t="str">
        <f t="shared" si="11"/>
        <v/>
      </c>
      <c r="W509" s="68" t="str">
        <f t="shared" si="12"/>
        <v/>
      </c>
      <c r="X509" s="59" t="str">
        <f t="shared" si="13"/>
        <v/>
      </c>
      <c r="Y509" s="69" t="str">
        <f t="shared" si="14"/>
        <v/>
      </c>
      <c r="Z509" s="11"/>
      <c r="AG509" s="59"/>
    </row>
    <row r="510">
      <c r="A510" s="8"/>
      <c r="B510" s="56" t="str">
        <f t="shared" si="2"/>
        <v/>
      </c>
      <c r="C510" s="105"/>
      <c r="D510" s="10"/>
      <c r="E510" s="59" t="str">
        <f t="array" ref="E510">IF(COUNTA(C510:C1644)=0,"",SUM((COUNTIF(C$4:C510,Upgrades!$B$3:$B$13)-COUNTIF(C$4:C510,"Sell_"&amp;Upgrades!$B$3:$B$13))*Upgrades!$D$3:$D$13))</f>
        <v/>
      </c>
      <c r="F510" s="66" t="str">
        <f>IFERROR(__xludf.DUMMYFUNCTION("IF(COUNTA(C510:C1644)=0,"""",IF(REGEXMATCH(INDEX(FILTER(C$4:C510,C$4:C510&lt;&gt;""""),ROWS(FILTER(C$4:C510,C$4:C510&lt;&gt;""""))),""^Sell_""),INDEX(FILTER(F$4:F509,C$4:C509&lt;&gt;""""),ROWS(FILTER(C$4:C509,C$4:C509&lt;&gt;""""))),$AC$5+E510))"),"")</f>
        <v/>
      </c>
      <c r="G510" s="10" t="str">
        <f>IFERROR(__xludf.DUMMYFUNCTION("IF(COUNTA(C510:C1644)=0,"""",IF(C510="""",0,IF(REGEXMATCH(C510,""^Sell_""),-ROUNDDOWN(ROUNDUP(INDEX(Upgrades!$C$3:$C$13,MATCH(SUBSTITUTE(C510,""Sell_"",""""),Upgrades!$B$3:$B$13,0))*1.15^(COUNTIF(C$4:C509,SUBSTITUTE(C510,""Sell_"",""""))-COUNTIF(C$4:C509,"&amp;"""Sell_""&amp;SUBSTITUTE(C510,""Sell_"",""""))))/2),ROUNDUP(INDEX(Upgrades!$C$3:$C$13,MATCH(C510,Upgrades!$B$3:$B$13,0))*1.15^(COUNTIF(C$4:C509,C510)-COUNTIF(C$4:C509,""Sell_""&amp;C510))))))"),"")</f>
        <v/>
      </c>
      <c r="H510" s="10" t="str">
        <f t="shared" si="3"/>
        <v/>
      </c>
      <c r="I510" s="68" t="str">
        <f t="shared" si="4"/>
        <v/>
      </c>
      <c r="J510" s="59" t="str">
        <f t="shared" si="5"/>
        <v/>
      </c>
      <c r="K510" s="69" t="str">
        <f t="shared" si="6"/>
        <v/>
      </c>
      <c r="L510" s="60" t="str">
        <f t="shared" si="7"/>
        <v/>
      </c>
      <c r="M510" s="61" t="str">
        <f>IFERROR(__xludf.DUMMYFUNCTION("IFS(AND(COUNTA(C510:C1644)=0,COUNTA(Q510:Q1644)=0),"""",OR(AND(K510&gt;=1000000000,OR(Y510&gt;=1000000000,COUNTA(Q510:Q1644)=0)),OR(Y510&gt;=1000000000,AND(COUNTA(C510:C1644)=0,P$3=TRUE))),
ROUNDDOWN((AB$1-AC$1)*MAX(INDEX(T$4:T1644,MATCH(LARGE(FILTER(Y$4:Y1644,Y$4"&amp;":Y1644&lt;1000000000),1),Y$4:Y1644)),INDEX(F$4:F1644,MATCH(LARGE(FILTER(K$4:K1644,K$4:K1644&lt;1000000000),1),K$4:K1644)))),AND(K510&lt;1000000000,COUNTA(C510:C1644)&gt;0,P$3=FALSE),
ROUNDDOWN(INDEX(Y$4:Y1644,MATCH(LARGE(FILTER(W$4:W1644,W$4:W1644&lt;=I510),1),W$4:W1644"&amp;"))+(I510-LARGE(FILTER(W$4:W1644,W$4:W1644&lt;=I510),1))*INDEX(T$4:T1644,MATCH(LARGE(FILTER(W$4:W1644,W$4:W1644&lt;=I510),1),W$4:W1644))-K510),1,
ROUNDDOWN(Y510-INDEX(K$4:K1644,MATCH(LARGE(FILTER(I$4:I1644,I$4:I1644&lt;=W510),1),I$4:I1644))-(W510-LARGE(FILTER(I$4:I"&amp;"1644,I$4:I1644&lt;=W510),1))*INDEX(F$4:F1644,MATCH(LARGE(FILTER(I$4:I1644,I$4:I1644&lt;=W510),1),I$4:I1644))))"),"")</f>
        <v/>
      </c>
      <c r="N510" s="60" t="str">
        <f t="shared" si="8"/>
        <v/>
      </c>
      <c r="O510" s="61" t="str">
        <f t="shared" si="9"/>
        <v/>
      </c>
      <c r="P510" s="56" t="str">
        <f t="shared" si="10"/>
        <v/>
      </c>
      <c r="Q510" s="105"/>
      <c r="R510" s="10"/>
      <c r="S510" s="59" t="str">
        <f t="array" ref="S510">IF(COUNTA(Q510:Q1644)=0,"",SUM((COUNTIF(Q$4:Q510,Upgrades!$B$3:$B$13)-COUNTIF(Q$4:Q510,"Sell_"&amp;Upgrades!$B$3:$B$13))*Upgrades!$D$3:$D$13))</f>
        <v/>
      </c>
      <c r="T510" s="66" t="str">
        <f>IFERROR(__xludf.DUMMYFUNCTION("IF(COUNTA(Q510:Q1644)=0,"""",IF(REGEXMATCH(INDEX(FILTER(Q$4:Q510,Q$4:Q510&lt;&gt;""""),ROWS(FILTER(Q$4:Q510,Q$4:Q510&lt;&gt;""""))),""^Sell_""),INDEX(FILTER(T$4:T509,Q$4:Q509&lt;&gt;""""),ROWS(FILTER(Q$4:Q509,Q$4:Q509&lt;&gt;""""))),$AD$5+S510))"),"")</f>
        <v/>
      </c>
      <c r="U510" s="10" t="str">
        <f>IFERROR(__xludf.DUMMYFUNCTION("IF(COUNTA(Q510:Q1644)=0,"""",IF(Q510="""",0,IF(REGEXMATCH(Q510,""^Sell_""),-ROUNDDOWN(ROUNDUP(INDEX(Upgrades!$C$3:$C$13,MATCH(SUBSTITUTE(Q510,""Sell_"",""""),Upgrades!$B$3:$B$13,0))*1.15^(COUNTIF(Q$4:Q509,SUBSTITUTE(Q510,""Sell_"",""""))-COUNTIF(Q$4:Q509,"&amp;"""Sell_""&amp;SUBSTITUTE(Q510,""Sell_"",""""))))/2),ROUNDUP(INDEX(Upgrades!$C$3:$C$13,MATCH(Q510,Upgrades!$B$3:$B$13,0))*1.15^(COUNTIF(Q$4:Q509,Q510)-COUNTIF(Q$4:Q509,""Sell_""&amp;Q510))))))"),"")</f>
        <v/>
      </c>
      <c r="V510" s="10" t="str">
        <f t="shared" si="11"/>
        <v/>
      </c>
      <c r="W510" s="68" t="str">
        <f t="shared" si="12"/>
        <v/>
      </c>
      <c r="X510" s="59" t="str">
        <f t="shared" si="13"/>
        <v/>
      </c>
      <c r="Y510" s="69" t="str">
        <f t="shared" si="14"/>
        <v/>
      </c>
      <c r="Z510" s="11"/>
      <c r="AG510" s="59"/>
    </row>
    <row r="511">
      <c r="A511" s="8"/>
      <c r="B511" s="56" t="str">
        <f t="shared" si="2"/>
        <v/>
      </c>
      <c r="C511" s="105"/>
      <c r="D511" s="10"/>
      <c r="E511" s="59" t="str">
        <f t="array" ref="E511">IF(COUNTA(C511:C1644)=0,"",SUM((COUNTIF(C$4:C511,Upgrades!$B$3:$B$13)-COUNTIF(C$4:C511,"Sell_"&amp;Upgrades!$B$3:$B$13))*Upgrades!$D$3:$D$13))</f>
        <v/>
      </c>
      <c r="F511" s="66" t="str">
        <f>IFERROR(__xludf.DUMMYFUNCTION("IF(COUNTA(C511:C1644)=0,"""",IF(REGEXMATCH(INDEX(FILTER(C$4:C511,C$4:C511&lt;&gt;""""),ROWS(FILTER(C$4:C511,C$4:C511&lt;&gt;""""))),""^Sell_""),INDEX(FILTER(F$4:F510,C$4:C510&lt;&gt;""""),ROWS(FILTER(C$4:C510,C$4:C510&lt;&gt;""""))),$AC$5+E511))"),"")</f>
        <v/>
      </c>
      <c r="G511" s="10" t="str">
        <f>IFERROR(__xludf.DUMMYFUNCTION("IF(COUNTA(C511:C1644)=0,"""",IF(C511="""",0,IF(REGEXMATCH(C511,""^Sell_""),-ROUNDDOWN(ROUNDUP(INDEX(Upgrades!$C$3:$C$13,MATCH(SUBSTITUTE(C511,""Sell_"",""""),Upgrades!$B$3:$B$13,0))*1.15^(COUNTIF(C$4:C510,SUBSTITUTE(C511,""Sell_"",""""))-COUNTIF(C$4:C510,"&amp;"""Sell_""&amp;SUBSTITUTE(C511,""Sell_"",""""))))/2),ROUNDUP(INDEX(Upgrades!$C$3:$C$13,MATCH(C511,Upgrades!$B$3:$B$13,0))*1.15^(COUNTIF(C$4:C510,C511)-COUNTIF(C$4:C510,""Sell_""&amp;C511))))))"),"")</f>
        <v/>
      </c>
      <c r="H511" s="10" t="str">
        <f t="shared" si="3"/>
        <v/>
      </c>
      <c r="I511" s="68" t="str">
        <f t="shared" si="4"/>
        <v/>
      </c>
      <c r="J511" s="59" t="str">
        <f t="shared" si="5"/>
        <v/>
      </c>
      <c r="K511" s="69" t="str">
        <f t="shared" si="6"/>
        <v/>
      </c>
      <c r="L511" s="60" t="str">
        <f t="shared" si="7"/>
        <v/>
      </c>
      <c r="M511" s="61" t="str">
        <f>IFERROR(__xludf.DUMMYFUNCTION("IFS(AND(COUNTA(C511:C1644)=0,COUNTA(Q511:Q1644)=0),"""",OR(AND(K511&gt;=1000000000,OR(Y511&gt;=1000000000,COUNTA(Q511:Q1644)=0)),OR(Y511&gt;=1000000000,AND(COUNTA(C511:C1644)=0,P$3=TRUE))),
ROUNDDOWN((AB$1-AC$1)*MAX(INDEX(T$4:T1644,MATCH(LARGE(FILTER(Y$4:Y1644,Y$4"&amp;":Y1644&lt;1000000000),1),Y$4:Y1644)),INDEX(F$4:F1644,MATCH(LARGE(FILTER(K$4:K1644,K$4:K1644&lt;1000000000),1),K$4:K1644)))),AND(K511&lt;1000000000,COUNTA(C511:C1644)&gt;0,P$3=FALSE),
ROUNDDOWN(INDEX(Y$4:Y1644,MATCH(LARGE(FILTER(W$4:W1644,W$4:W1644&lt;=I511),1),W$4:W1644"&amp;"))+(I511-LARGE(FILTER(W$4:W1644,W$4:W1644&lt;=I511),1))*INDEX(T$4:T1644,MATCH(LARGE(FILTER(W$4:W1644,W$4:W1644&lt;=I511),1),W$4:W1644))-K511),1,
ROUNDDOWN(Y511-INDEX(K$4:K1644,MATCH(LARGE(FILTER(I$4:I1644,I$4:I1644&lt;=W511),1),I$4:I1644))-(W511-LARGE(FILTER(I$4:I"&amp;"1644,I$4:I1644&lt;=W511),1))*INDEX(F$4:F1644,MATCH(LARGE(FILTER(I$4:I1644,I$4:I1644&lt;=W511),1),I$4:I1644))))"),"")</f>
        <v/>
      </c>
      <c r="N511" s="60" t="str">
        <f t="shared" si="8"/>
        <v/>
      </c>
      <c r="O511" s="61" t="str">
        <f t="shared" si="9"/>
        <v/>
      </c>
      <c r="P511" s="56" t="str">
        <f t="shared" si="10"/>
        <v/>
      </c>
      <c r="Q511" s="105"/>
      <c r="R511" s="10"/>
      <c r="S511" s="59" t="str">
        <f t="array" ref="S511">IF(COUNTA(Q511:Q1644)=0,"",SUM((COUNTIF(Q$4:Q511,Upgrades!$B$3:$B$13)-COUNTIF(Q$4:Q511,"Sell_"&amp;Upgrades!$B$3:$B$13))*Upgrades!$D$3:$D$13))</f>
        <v/>
      </c>
      <c r="T511" s="66" t="str">
        <f>IFERROR(__xludf.DUMMYFUNCTION("IF(COUNTA(Q511:Q1644)=0,"""",IF(REGEXMATCH(INDEX(FILTER(Q$4:Q511,Q$4:Q511&lt;&gt;""""),ROWS(FILTER(Q$4:Q511,Q$4:Q511&lt;&gt;""""))),""^Sell_""),INDEX(FILTER(T$4:T510,Q$4:Q510&lt;&gt;""""),ROWS(FILTER(Q$4:Q510,Q$4:Q510&lt;&gt;""""))),$AD$5+S511))"),"")</f>
        <v/>
      </c>
      <c r="U511" s="10" t="str">
        <f>IFERROR(__xludf.DUMMYFUNCTION("IF(COUNTA(Q511:Q1644)=0,"""",IF(Q511="""",0,IF(REGEXMATCH(Q511,""^Sell_""),-ROUNDDOWN(ROUNDUP(INDEX(Upgrades!$C$3:$C$13,MATCH(SUBSTITUTE(Q511,""Sell_"",""""),Upgrades!$B$3:$B$13,0))*1.15^(COUNTIF(Q$4:Q510,SUBSTITUTE(Q511,""Sell_"",""""))-COUNTIF(Q$4:Q510,"&amp;"""Sell_""&amp;SUBSTITUTE(Q511,""Sell_"",""""))))/2),ROUNDUP(INDEX(Upgrades!$C$3:$C$13,MATCH(Q511,Upgrades!$B$3:$B$13,0))*1.15^(COUNTIF(Q$4:Q510,Q511)-COUNTIF(Q$4:Q510,""Sell_""&amp;Q511))))))"),"")</f>
        <v/>
      </c>
      <c r="V511" s="10" t="str">
        <f t="shared" si="11"/>
        <v/>
      </c>
      <c r="W511" s="68" t="str">
        <f t="shared" si="12"/>
        <v/>
      </c>
      <c r="X511" s="59" t="str">
        <f t="shared" si="13"/>
        <v/>
      </c>
      <c r="Y511" s="69" t="str">
        <f t="shared" si="14"/>
        <v/>
      </c>
      <c r="Z511" s="11"/>
      <c r="AG511" s="59"/>
    </row>
    <row r="512">
      <c r="A512" s="8"/>
      <c r="B512" s="56" t="str">
        <f t="shared" si="2"/>
        <v/>
      </c>
      <c r="C512" s="105"/>
      <c r="D512" s="10"/>
      <c r="E512" s="59" t="str">
        <f t="array" ref="E512">IF(COUNTA(C512:C1644)=0,"",SUM((COUNTIF(C$4:C512,Upgrades!$B$3:$B$13)-COUNTIF(C$4:C512,"Sell_"&amp;Upgrades!$B$3:$B$13))*Upgrades!$D$3:$D$13))</f>
        <v/>
      </c>
      <c r="F512" s="66" t="str">
        <f>IFERROR(__xludf.DUMMYFUNCTION("IF(COUNTA(C512:C1644)=0,"""",IF(REGEXMATCH(INDEX(FILTER(C$4:C512,C$4:C512&lt;&gt;""""),ROWS(FILTER(C$4:C512,C$4:C512&lt;&gt;""""))),""^Sell_""),INDEX(FILTER(F$4:F511,C$4:C511&lt;&gt;""""),ROWS(FILTER(C$4:C511,C$4:C511&lt;&gt;""""))),$AC$5+E512))"),"")</f>
        <v/>
      </c>
      <c r="G512" s="10" t="str">
        <f>IFERROR(__xludf.DUMMYFUNCTION("IF(COUNTA(C512:C1644)=0,"""",IF(C512="""",0,IF(REGEXMATCH(C512,""^Sell_""),-ROUNDDOWN(ROUNDUP(INDEX(Upgrades!$C$3:$C$13,MATCH(SUBSTITUTE(C512,""Sell_"",""""),Upgrades!$B$3:$B$13,0))*1.15^(COUNTIF(C$4:C511,SUBSTITUTE(C512,""Sell_"",""""))-COUNTIF(C$4:C511,"&amp;"""Sell_""&amp;SUBSTITUTE(C512,""Sell_"",""""))))/2),ROUNDUP(INDEX(Upgrades!$C$3:$C$13,MATCH(C512,Upgrades!$B$3:$B$13,0))*1.15^(COUNTIF(C$4:C511,C512)-COUNTIF(C$4:C511,""Sell_""&amp;C512))))))"),"")</f>
        <v/>
      </c>
      <c r="H512" s="10" t="str">
        <f t="shared" si="3"/>
        <v/>
      </c>
      <c r="I512" s="68" t="str">
        <f t="shared" si="4"/>
        <v/>
      </c>
      <c r="J512" s="59" t="str">
        <f t="shared" si="5"/>
        <v/>
      </c>
      <c r="K512" s="69" t="str">
        <f t="shared" si="6"/>
        <v/>
      </c>
      <c r="L512" s="60" t="str">
        <f t="shared" si="7"/>
        <v/>
      </c>
      <c r="M512" s="61" t="str">
        <f>IFERROR(__xludf.DUMMYFUNCTION("IFS(AND(COUNTA(C512:C1644)=0,COUNTA(Q512:Q1644)=0),"""",OR(AND(K512&gt;=1000000000,OR(Y512&gt;=1000000000,COUNTA(Q512:Q1644)=0)),OR(Y512&gt;=1000000000,AND(COUNTA(C512:C1644)=0,P$3=TRUE))),
ROUNDDOWN((AB$1-AC$1)*MAX(INDEX(T$4:T1644,MATCH(LARGE(FILTER(Y$4:Y1644,Y$4"&amp;":Y1644&lt;1000000000),1),Y$4:Y1644)),INDEX(F$4:F1644,MATCH(LARGE(FILTER(K$4:K1644,K$4:K1644&lt;1000000000),1),K$4:K1644)))),AND(K512&lt;1000000000,COUNTA(C512:C1644)&gt;0,P$3=FALSE),
ROUNDDOWN(INDEX(Y$4:Y1644,MATCH(LARGE(FILTER(W$4:W1644,W$4:W1644&lt;=I512),1),W$4:W1644"&amp;"))+(I512-LARGE(FILTER(W$4:W1644,W$4:W1644&lt;=I512),1))*INDEX(T$4:T1644,MATCH(LARGE(FILTER(W$4:W1644,W$4:W1644&lt;=I512),1),W$4:W1644))-K512),1,
ROUNDDOWN(Y512-INDEX(K$4:K1644,MATCH(LARGE(FILTER(I$4:I1644,I$4:I1644&lt;=W512),1),I$4:I1644))-(W512-LARGE(FILTER(I$4:I"&amp;"1644,I$4:I1644&lt;=W512),1))*INDEX(F$4:F1644,MATCH(LARGE(FILTER(I$4:I1644,I$4:I1644&lt;=W512),1),I$4:I1644))))"),"")</f>
        <v/>
      </c>
      <c r="N512" s="60" t="str">
        <f t="shared" si="8"/>
        <v/>
      </c>
      <c r="O512" s="61" t="str">
        <f t="shared" si="9"/>
        <v/>
      </c>
      <c r="P512" s="56" t="str">
        <f t="shared" si="10"/>
        <v/>
      </c>
      <c r="Q512" s="105"/>
      <c r="R512" s="10"/>
      <c r="S512" s="59" t="str">
        <f t="array" ref="S512">IF(COUNTA(Q512:Q1644)=0,"",SUM((COUNTIF(Q$4:Q512,Upgrades!$B$3:$B$13)-COUNTIF(Q$4:Q512,"Sell_"&amp;Upgrades!$B$3:$B$13))*Upgrades!$D$3:$D$13))</f>
        <v/>
      </c>
      <c r="T512" s="66" t="str">
        <f>IFERROR(__xludf.DUMMYFUNCTION("IF(COUNTA(Q512:Q1644)=0,"""",IF(REGEXMATCH(INDEX(FILTER(Q$4:Q512,Q$4:Q512&lt;&gt;""""),ROWS(FILTER(Q$4:Q512,Q$4:Q512&lt;&gt;""""))),""^Sell_""),INDEX(FILTER(T$4:T511,Q$4:Q511&lt;&gt;""""),ROWS(FILTER(Q$4:Q511,Q$4:Q511&lt;&gt;""""))),$AD$5+S512))"),"")</f>
        <v/>
      </c>
      <c r="U512" s="10" t="str">
        <f>IFERROR(__xludf.DUMMYFUNCTION("IF(COUNTA(Q512:Q1644)=0,"""",IF(Q512="""",0,IF(REGEXMATCH(Q512,""^Sell_""),-ROUNDDOWN(ROUNDUP(INDEX(Upgrades!$C$3:$C$13,MATCH(SUBSTITUTE(Q512,""Sell_"",""""),Upgrades!$B$3:$B$13,0))*1.15^(COUNTIF(Q$4:Q511,SUBSTITUTE(Q512,""Sell_"",""""))-COUNTIF(Q$4:Q511,"&amp;"""Sell_""&amp;SUBSTITUTE(Q512,""Sell_"",""""))))/2),ROUNDUP(INDEX(Upgrades!$C$3:$C$13,MATCH(Q512,Upgrades!$B$3:$B$13,0))*1.15^(COUNTIF(Q$4:Q511,Q512)-COUNTIF(Q$4:Q511,""Sell_""&amp;Q512))))))"),"")</f>
        <v/>
      </c>
      <c r="V512" s="10" t="str">
        <f t="shared" si="11"/>
        <v/>
      </c>
      <c r="W512" s="68" t="str">
        <f t="shared" si="12"/>
        <v/>
      </c>
      <c r="X512" s="59" t="str">
        <f t="shared" si="13"/>
        <v/>
      </c>
      <c r="Y512" s="69" t="str">
        <f t="shared" si="14"/>
        <v/>
      </c>
      <c r="Z512" s="11"/>
      <c r="AG512" s="59"/>
    </row>
    <row r="513">
      <c r="A513" s="8"/>
      <c r="B513" s="56" t="str">
        <f t="shared" si="2"/>
        <v/>
      </c>
      <c r="C513" s="105"/>
      <c r="D513" s="10"/>
      <c r="E513" s="59" t="str">
        <f t="array" ref="E513">IF(COUNTA(C513:C1644)=0,"",SUM((COUNTIF(C$4:C513,Upgrades!$B$3:$B$13)-COUNTIF(C$4:C513,"Sell_"&amp;Upgrades!$B$3:$B$13))*Upgrades!$D$3:$D$13))</f>
        <v/>
      </c>
      <c r="F513" s="66" t="str">
        <f>IFERROR(__xludf.DUMMYFUNCTION("IF(COUNTA(C513:C1644)=0,"""",IF(REGEXMATCH(INDEX(FILTER(C$4:C513,C$4:C513&lt;&gt;""""),ROWS(FILTER(C$4:C513,C$4:C513&lt;&gt;""""))),""^Sell_""),INDEX(FILTER(F$4:F512,C$4:C512&lt;&gt;""""),ROWS(FILTER(C$4:C512,C$4:C512&lt;&gt;""""))),$AC$5+E513))"),"")</f>
        <v/>
      </c>
      <c r="G513" s="10" t="str">
        <f>IFERROR(__xludf.DUMMYFUNCTION("IF(COUNTA(C513:C1644)=0,"""",IF(C513="""",0,IF(REGEXMATCH(C513,""^Sell_""),-ROUNDDOWN(ROUNDUP(INDEX(Upgrades!$C$3:$C$13,MATCH(SUBSTITUTE(C513,""Sell_"",""""),Upgrades!$B$3:$B$13,0))*1.15^(COUNTIF(C$4:C512,SUBSTITUTE(C513,""Sell_"",""""))-COUNTIF(C$4:C512,"&amp;"""Sell_""&amp;SUBSTITUTE(C513,""Sell_"",""""))))/2),ROUNDUP(INDEX(Upgrades!$C$3:$C$13,MATCH(C513,Upgrades!$B$3:$B$13,0))*1.15^(COUNTIF(C$4:C512,C513)-COUNTIF(C$4:C512,""Sell_""&amp;C513))))))"),"")</f>
        <v/>
      </c>
      <c r="H513" s="10" t="str">
        <f t="shared" si="3"/>
        <v/>
      </c>
      <c r="I513" s="68" t="str">
        <f t="shared" si="4"/>
        <v/>
      </c>
      <c r="J513" s="59" t="str">
        <f t="shared" si="5"/>
        <v/>
      </c>
      <c r="K513" s="69" t="str">
        <f t="shared" si="6"/>
        <v/>
      </c>
      <c r="L513" s="60" t="str">
        <f t="shared" si="7"/>
        <v/>
      </c>
      <c r="M513" s="61" t="str">
        <f>IFERROR(__xludf.DUMMYFUNCTION("IFS(AND(COUNTA(C513:C1644)=0,COUNTA(Q513:Q1644)=0),"""",OR(AND(K513&gt;=1000000000,OR(Y513&gt;=1000000000,COUNTA(Q513:Q1644)=0)),OR(Y513&gt;=1000000000,AND(COUNTA(C513:C1644)=0,P$3=TRUE))),
ROUNDDOWN((AB$1-AC$1)*MAX(INDEX(T$4:T1644,MATCH(LARGE(FILTER(Y$4:Y1644,Y$4"&amp;":Y1644&lt;1000000000),1),Y$4:Y1644)),INDEX(F$4:F1644,MATCH(LARGE(FILTER(K$4:K1644,K$4:K1644&lt;1000000000),1),K$4:K1644)))),AND(K513&lt;1000000000,COUNTA(C513:C1644)&gt;0,P$3=FALSE),
ROUNDDOWN(INDEX(Y$4:Y1644,MATCH(LARGE(FILTER(W$4:W1644,W$4:W1644&lt;=I513),1),W$4:W1644"&amp;"))+(I513-LARGE(FILTER(W$4:W1644,W$4:W1644&lt;=I513),1))*INDEX(T$4:T1644,MATCH(LARGE(FILTER(W$4:W1644,W$4:W1644&lt;=I513),1),W$4:W1644))-K513),1,
ROUNDDOWN(Y513-INDEX(K$4:K1644,MATCH(LARGE(FILTER(I$4:I1644,I$4:I1644&lt;=W513),1),I$4:I1644))-(W513-LARGE(FILTER(I$4:I"&amp;"1644,I$4:I1644&lt;=W513),1))*INDEX(F$4:F1644,MATCH(LARGE(FILTER(I$4:I1644,I$4:I1644&lt;=W513),1),I$4:I1644))))"),"")</f>
        <v/>
      </c>
      <c r="N513" s="60" t="str">
        <f t="shared" si="8"/>
        <v/>
      </c>
      <c r="O513" s="61" t="str">
        <f t="shared" si="9"/>
        <v/>
      </c>
      <c r="P513" s="56" t="str">
        <f t="shared" si="10"/>
        <v/>
      </c>
      <c r="Q513" s="105"/>
      <c r="R513" s="10"/>
      <c r="S513" s="59" t="str">
        <f t="array" ref="S513">IF(COUNTA(Q513:Q1644)=0,"",SUM((COUNTIF(Q$4:Q513,Upgrades!$B$3:$B$13)-COUNTIF(Q$4:Q513,"Sell_"&amp;Upgrades!$B$3:$B$13))*Upgrades!$D$3:$D$13))</f>
        <v/>
      </c>
      <c r="T513" s="66" t="str">
        <f>IFERROR(__xludf.DUMMYFUNCTION("IF(COUNTA(Q513:Q1644)=0,"""",IF(REGEXMATCH(INDEX(FILTER(Q$4:Q513,Q$4:Q513&lt;&gt;""""),ROWS(FILTER(Q$4:Q513,Q$4:Q513&lt;&gt;""""))),""^Sell_""),INDEX(FILTER(T$4:T512,Q$4:Q512&lt;&gt;""""),ROWS(FILTER(Q$4:Q512,Q$4:Q512&lt;&gt;""""))),$AD$5+S513))"),"")</f>
        <v/>
      </c>
      <c r="U513" s="10" t="str">
        <f>IFERROR(__xludf.DUMMYFUNCTION("IF(COUNTA(Q513:Q1644)=0,"""",IF(Q513="""",0,IF(REGEXMATCH(Q513,""^Sell_""),-ROUNDDOWN(ROUNDUP(INDEX(Upgrades!$C$3:$C$13,MATCH(SUBSTITUTE(Q513,""Sell_"",""""),Upgrades!$B$3:$B$13,0))*1.15^(COUNTIF(Q$4:Q512,SUBSTITUTE(Q513,""Sell_"",""""))-COUNTIF(Q$4:Q512,"&amp;"""Sell_""&amp;SUBSTITUTE(Q513,""Sell_"",""""))))/2),ROUNDUP(INDEX(Upgrades!$C$3:$C$13,MATCH(Q513,Upgrades!$B$3:$B$13,0))*1.15^(COUNTIF(Q$4:Q512,Q513)-COUNTIF(Q$4:Q512,""Sell_""&amp;Q513))))))"),"")</f>
        <v/>
      </c>
      <c r="V513" s="10" t="str">
        <f t="shared" si="11"/>
        <v/>
      </c>
      <c r="W513" s="68" t="str">
        <f t="shared" si="12"/>
        <v/>
      </c>
      <c r="X513" s="59" t="str">
        <f t="shared" si="13"/>
        <v/>
      </c>
      <c r="Y513" s="69" t="str">
        <f t="shared" si="14"/>
        <v/>
      </c>
      <c r="Z513" s="11"/>
      <c r="AG513" s="59"/>
    </row>
    <row r="514">
      <c r="A514" s="8"/>
      <c r="B514" s="56" t="str">
        <f t="shared" si="2"/>
        <v/>
      </c>
      <c r="C514" s="105"/>
      <c r="D514" s="10"/>
      <c r="E514" s="59" t="str">
        <f t="array" ref="E514">IF(COUNTA(C514:C1644)=0,"",SUM((COUNTIF(C$4:C514,Upgrades!$B$3:$B$13)-COUNTIF(C$4:C514,"Sell_"&amp;Upgrades!$B$3:$B$13))*Upgrades!$D$3:$D$13))</f>
        <v/>
      </c>
      <c r="F514" s="66" t="str">
        <f>IFERROR(__xludf.DUMMYFUNCTION("IF(COUNTA(C514:C1644)=0,"""",IF(REGEXMATCH(INDEX(FILTER(C$4:C514,C$4:C514&lt;&gt;""""),ROWS(FILTER(C$4:C514,C$4:C514&lt;&gt;""""))),""^Sell_""),INDEX(FILTER(F$4:F513,C$4:C513&lt;&gt;""""),ROWS(FILTER(C$4:C513,C$4:C513&lt;&gt;""""))),$AC$5+E514))"),"")</f>
        <v/>
      </c>
      <c r="G514" s="10" t="str">
        <f>IFERROR(__xludf.DUMMYFUNCTION("IF(COUNTA(C514:C1644)=0,"""",IF(C514="""",0,IF(REGEXMATCH(C514,""^Sell_""),-ROUNDDOWN(ROUNDUP(INDEX(Upgrades!$C$3:$C$13,MATCH(SUBSTITUTE(C514,""Sell_"",""""),Upgrades!$B$3:$B$13,0))*1.15^(COUNTIF(C$4:C513,SUBSTITUTE(C514,""Sell_"",""""))-COUNTIF(C$4:C513,"&amp;"""Sell_""&amp;SUBSTITUTE(C514,""Sell_"",""""))))/2),ROUNDUP(INDEX(Upgrades!$C$3:$C$13,MATCH(C514,Upgrades!$B$3:$B$13,0))*1.15^(COUNTIF(C$4:C513,C514)-COUNTIF(C$4:C513,""Sell_""&amp;C514))))))"),"")</f>
        <v/>
      </c>
      <c r="H514" s="10" t="str">
        <f t="shared" si="3"/>
        <v/>
      </c>
      <c r="I514" s="68" t="str">
        <f t="shared" si="4"/>
        <v/>
      </c>
      <c r="J514" s="59" t="str">
        <f t="shared" si="5"/>
        <v/>
      </c>
      <c r="K514" s="69" t="str">
        <f t="shared" si="6"/>
        <v/>
      </c>
      <c r="L514" s="60" t="str">
        <f t="shared" si="7"/>
        <v/>
      </c>
      <c r="M514" s="61" t="str">
        <f>IFERROR(__xludf.DUMMYFUNCTION("IFS(AND(COUNTA(C514:C1644)=0,COUNTA(Q514:Q1644)=0),"""",OR(AND(K514&gt;=1000000000,OR(Y514&gt;=1000000000,COUNTA(Q514:Q1644)=0)),OR(Y514&gt;=1000000000,AND(COUNTA(C514:C1644)=0,P$3=TRUE))),
ROUNDDOWN((AB$1-AC$1)*MAX(INDEX(T$4:T1644,MATCH(LARGE(FILTER(Y$4:Y1644,Y$4"&amp;":Y1644&lt;1000000000),1),Y$4:Y1644)),INDEX(F$4:F1644,MATCH(LARGE(FILTER(K$4:K1644,K$4:K1644&lt;1000000000),1),K$4:K1644)))),AND(K514&lt;1000000000,COUNTA(C514:C1644)&gt;0,P$3=FALSE),
ROUNDDOWN(INDEX(Y$4:Y1644,MATCH(LARGE(FILTER(W$4:W1644,W$4:W1644&lt;=I514),1),W$4:W1644"&amp;"))+(I514-LARGE(FILTER(W$4:W1644,W$4:W1644&lt;=I514),1))*INDEX(T$4:T1644,MATCH(LARGE(FILTER(W$4:W1644,W$4:W1644&lt;=I514),1),W$4:W1644))-K514),1,
ROUNDDOWN(Y514-INDEX(K$4:K1644,MATCH(LARGE(FILTER(I$4:I1644,I$4:I1644&lt;=W514),1),I$4:I1644))-(W514-LARGE(FILTER(I$4:I"&amp;"1644,I$4:I1644&lt;=W514),1))*INDEX(F$4:F1644,MATCH(LARGE(FILTER(I$4:I1644,I$4:I1644&lt;=W514),1),I$4:I1644))))"),"")</f>
        <v/>
      </c>
      <c r="N514" s="60" t="str">
        <f t="shared" si="8"/>
        <v/>
      </c>
      <c r="O514" s="61" t="str">
        <f t="shared" si="9"/>
        <v/>
      </c>
      <c r="P514" s="56" t="str">
        <f t="shared" si="10"/>
        <v/>
      </c>
      <c r="Q514" s="105"/>
      <c r="R514" s="10"/>
      <c r="S514" s="59" t="str">
        <f t="array" ref="S514">IF(COUNTA(Q514:Q1644)=0,"",SUM((COUNTIF(Q$4:Q514,Upgrades!$B$3:$B$13)-COUNTIF(Q$4:Q514,"Sell_"&amp;Upgrades!$B$3:$B$13))*Upgrades!$D$3:$D$13))</f>
        <v/>
      </c>
      <c r="T514" s="66" t="str">
        <f>IFERROR(__xludf.DUMMYFUNCTION("IF(COUNTA(Q514:Q1644)=0,"""",IF(REGEXMATCH(INDEX(FILTER(Q$4:Q514,Q$4:Q514&lt;&gt;""""),ROWS(FILTER(Q$4:Q514,Q$4:Q514&lt;&gt;""""))),""^Sell_""),INDEX(FILTER(T$4:T513,Q$4:Q513&lt;&gt;""""),ROWS(FILTER(Q$4:Q513,Q$4:Q513&lt;&gt;""""))),$AD$5+S514))"),"")</f>
        <v/>
      </c>
      <c r="U514" s="10" t="str">
        <f>IFERROR(__xludf.DUMMYFUNCTION("IF(COUNTA(Q514:Q1644)=0,"""",IF(Q514="""",0,IF(REGEXMATCH(Q514,""^Sell_""),-ROUNDDOWN(ROUNDUP(INDEX(Upgrades!$C$3:$C$13,MATCH(SUBSTITUTE(Q514,""Sell_"",""""),Upgrades!$B$3:$B$13,0))*1.15^(COUNTIF(Q$4:Q513,SUBSTITUTE(Q514,""Sell_"",""""))-COUNTIF(Q$4:Q513,"&amp;"""Sell_""&amp;SUBSTITUTE(Q514,""Sell_"",""""))))/2),ROUNDUP(INDEX(Upgrades!$C$3:$C$13,MATCH(Q514,Upgrades!$B$3:$B$13,0))*1.15^(COUNTIF(Q$4:Q513,Q514)-COUNTIF(Q$4:Q513,""Sell_""&amp;Q514))))))"),"")</f>
        <v/>
      </c>
      <c r="V514" s="10" t="str">
        <f t="shared" si="11"/>
        <v/>
      </c>
      <c r="W514" s="68" t="str">
        <f t="shared" si="12"/>
        <v/>
      </c>
      <c r="X514" s="59" t="str">
        <f t="shared" si="13"/>
        <v/>
      </c>
      <c r="Y514" s="69" t="str">
        <f t="shared" si="14"/>
        <v/>
      </c>
      <c r="Z514" s="11"/>
      <c r="AG514" s="59"/>
    </row>
    <row r="515">
      <c r="A515" s="8"/>
      <c r="B515" s="56" t="str">
        <f t="shared" si="2"/>
        <v/>
      </c>
      <c r="C515" s="105"/>
      <c r="D515" s="10"/>
      <c r="E515" s="59" t="str">
        <f t="array" ref="E515">IF(COUNTA(C515:C1644)=0,"",SUM((COUNTIF(C$4:C515,Upgrades!$B$3:$B$13)-COUNTIF(C$4:C515,"Sell_"&amp;Upgrades!$B$3:$B$13))*Upgrades!$D$3:$D$13))</f>
        <v/>
      </c>
      <c r="F515" s="66" t="str">
        <f>IFERROR(__xludf.DUMMYFUNCTION("IF(COUNTA(C515:C1644)=0,"""",IF(REGEXMATCH(INDEX(FILTER(C$4:C515,C$4:C515&lt;&gt;""""),ROWS(FILTER(C$4:C515,C$4:C515&lt;&gt;""""))),""^Sell_""),INDEX(FILTER(F$4:F514,C$4:C514&lt;&gt;""""),ROWS(FILTER(C$4:C514,C$4:C514&lt;&gt;""""))),$AC$5+E515))"),"")</f>
        <v/>
      </c>
      <c r="G515" s="10" t="str">
        <f>IFERROR(__xludf.DUMMYFUNCTION("IF(COUNTA(C515:C1644)=0,"""",IF(C515="""",0,IF(REGEXMATCH(C515,""^Sell_""),-ROUNDDOWN(ROUNDUP(INDEX(Upgrades!$C$3:$C$13,MATCH(SUBSTITUTE(C515,""Sell_"",""""),Upgrades!$B$3:$B$13,0))*1.15^(COUNTIF(C$4:C514,SUBSTITUTE(C515,""Sell_"",""""))-COUNTIF(C$4:C514,"&amp;"""Sell_""&amp;SUBSTITUTE(C515,""Sell_"",""""))))/2),ROUNDUP(INDEX(Upgrades!$C$3:$C$13,MATCH(C515,Upgrades!$B$3:$B$13,0))*1.15^(COUNTIF(C$4:C514,C515)-COUNTIF(C$4:C514,""Sell_""&amp;C515))))))"),"")</f>
        <v/>
      </c>
      <c r="H515" s="10" t="str">
        <f t="shared" si="3"/>
        <v/>
      </c>
      <c r="I515" s="68" t="str">
        <f t="shared" si="4"/>
        <v/>
      </c>
      <c r="J515" s="59" t="str">
        <f t="shared" si="5"/>
        <v/>
      </c>
      <c r="K515" s="69" t="str">
        <f t="shared" si="6"/>
        <v/>
      </c>
      <c r="L515" s="60" t="str">
        <f t="shared" si="7"/>
        <v/>
      </c>
      <c r="M515" s="61" t="str">
        <f>IFERROR(__xludf.DUMMYFUNCTION("IFS(AND(COUNTA(C515:C1644)=0,COUNTA(Q515:Q1644)=0),"""",OR(AND(K515&gt;=1000000000,OR(Y515&gt;=1000000000,COUNTA(Q515:Q1644)=0)),OR(Y515&gt;=1000000000,AND(COUNTA(C515:C1644)=0,P$3=TRUE))),
ROUNDDOWN((AB$1-AC$1)*MAX(INDEX(T$4:T1644,MATCH(LARGE(FILTER(Y$4:Y1644,Y$4"&amp;":Y1644&lt;1000000000),1),Y$4:Y1644)),INDEX(F$4:F1644,MATCH(LARGE(FILTER(K$4:K1644,K$4:K1644&lt;1000000000),1),K$4:K1644)))),AND(K515&lt;1000000000,COUNTA(C515:C1644)&gt;0,P$3=FALSE),
ROUNDDOWN(INDEX(Y$4:Y1644,MATCH(LARGE(FILTER(W$4:W1644,W$4:W1644&lt;=I515),1),W$4:W1644"&amp;"))+(I515-LARGE(FILTER(W$4:W1644,W$4:W1644&lt;=I515),1))*INDEX(T$4:T1644,MATCH(LARGE(FILTER(W$4:W1644,W$4:W1644&lt;=I515),1),W$4:W1644))-K515),1,
ROUNDDOWN(Y515-INDEX(K$4:K1644,MATCH(LARGE(FILTER(I$4:I1644,I$4:I1644&lt;=W515),1),I$4:I1644))-(W515-LARGE(FILTER(I$4:I"&amp;"1644,I$4:I1644&lt;=W515),1))*INDEX(F$4:F1644,MATCH(LARGE(FILTER(I$4:I1644,I$4:I1644&lt;=W515),1),I$4:I1644))))"),"")</f>
        <v/>
      </c>
      <c r="N515" s="60" t="str">
        <f t="shared" si="8"/>
        <v/>
      </c>
      <c r="O515" s="61" t="str">
        <f t="shared" si="9"/>
        <v/>
      </c>
      <c r="P515" s="56" t="str">
        <f t="shared" si="10"/>
        <v/>
      </c>
      <c r="Q515" s="105"/>
      <c r="R515" s="10"/>
      <c r="S515" s="59" t="str">
        <f t="array" ref="S515">IF(COUNTA(Q515:Q1644)=0,"",SUM((COUNTIF(Q$4:Q515,Upgrades!$B$3:$B$13)-COUNTIF(Q$4:Q515,"Sell_"&amp;Upgrades!$B$3:$B$13))*Upgrades!$D$3:$D$13))</f>
        <v/>
      </c>
      <c r="T515" s="66" t="str">
        <f>IFERROR(__xludf.DUMMYFUNCTION("IF(COUNTA(Q515:Q1644)=0,"""",IF(REGEXMATCH(INDEX(FILTER(Q$4:Q515,Q$4:Q515&lt;&gt;""""),ROWS(FILTER(Q$4:Q515,Q$4:Q515&lt;&gt;""""))),""^Sell_""),INDEX(FILTER(T$4:T514,Q$4:Q514&lt;&gt;""""),ROWS(FILTER(Q$4:Q514,Q$4:Q514&lt;&gt;""""))),$AD$5+S515))"),"")</f>
        <v/>
      </c>
      <c r="U515" s="10" t="str">
        <f>IFERROR(__xludf.DUMMYFUNCTION("IF(COUNTA(Q515:Q1644)=0,"""",IF(Q515="""",0,IF(REGEXMATCH(Q515,""^Sell_""),-ROUNDDOWN(ROUNDUP(INDEX(Upgrades!$C$3:$C$13,MATCH(SUBSTITUTE(Q515,""Sell_"",""""),Upgrades!$B$3:$B$13,0))*1.15^(COUNTIF(Q$4:Q514,SUBSTITUTE(Q515,""Sell_"",""""))-COUNTIF(Q$4:Q514,"&amp;"""Sell_""&amp;SUBSTITUTE(Q515,""Sell_"",""""))))/2),ROUNDUP(INDEX(Upgrades!$C$3:$C$13,MATCH(Q515,Upgrades!$B$3:$B$13,0))*1.15^(COUNTIF(Q$4:Q514,Q515)-COUNTIF(Q$4:Q514,""Sell_""&amp;Q515))))))"),"")</f>
        <v/>
      </c>
      <c r="V515" s="10" t="str">
        <f t="shared" si="11"/>
        <v/>
      </c>
      <c r="W515" s="68" t="str">
        <f t="shared" si="12"/>
        <v/>
      </c>
      <c r="X515" s="59" t="str">
        <f t="shared" si="13"/>
        <v/>
      </c>
      <c r="Y515" s="69" t="str">
        <f t="shared" si="14"/>
        <v/>
      </c>
      <c r="Z515" s="11"/>
      <c r="AG515" s="59"/>
    </row>
    <row r="516">
      <c r="A516" s="8"/>
      <c r="B516" s="56" t="str">
        <f t="shared" si="2"/>
        <v/>
      </c>
      <c r="C516" s="105"/>
      <c r="D516" s="10"/>
      <c r="E516" s="59" t="str">
        <f t="array" ref="E516">IF(COUNTA(C516:C1644)=0,"",SUM((COUNTIF(C$4:C516,Upgrades!$B$3:$B$13)-COUNTIF(C$4:C516,"Sell_"&amp;Upgrades!$B$3:$B$13))*Upgrades!$D$3:$D$13))</f>
        <v/>
      </c>
      <c r="F516" s="66" t="str">
        <f>IFERROR(__xludf.DUMMYFUNCTION("IF(COUNTA(C516:C1644)=0,"""",IF(REGEXMATCH(INDEX(FILTER(C$4:C516,C$4:C516&lt;&gt;""""),ROWS(FILTER(C$4:C516,C$4:C516&lt;&gt;""""))),""^Sell_""),INDEX(FILTER(F$4:F515,C$4:C515&lt;&gt;""""),ROWS(FILTER(C$4:C515,C$4:C515&lt;&gt;""""))),$AC$5+E516))"),"")</f>
        <v/>
      </c>
      <c r="G516" s="10" t="str">
        <f>IFERROR(__xludf.DUMMYFUNCTION("IF(COUNTA(C516:C1644)=0,"""",IF(C516="""",0,IF(REGEXMATCH(C516,""^Sell_""),-ROUNDDOWN(ROUNDUP(INDEX(Upgrades!$C$3:$C$13,MATCH(SUBSTITUTE(C516,""Sell_"",""""),Upgrades!$B$3:$B$13,0))*1.15^(COUNTIF(C$4:C515,SUBSTITUTE(C516,""Sell_"",""""))-COUNTIF(C$4:C515,"&amp;"""Sell_""&amp;SUBSTITUTE(C516,""Sell_"",""""))))/2),ROUNDUP(INDEX(Upgrades!$C$3:$C$13,MATCH(C516,Upgrades!$B$3:$B$13,0))*1.15^(COUNTIF(C$4:C515,C516)-COUNTIF(C$4:C515,""Sell_""&amp;C516))))))"),"")</f>
        <v/>
      </c>
      <c r="H516" s="10" t="str">
        <f t="shared" si="3"/>
        <v/>
      </c>
      <c r="I516" s="68" t="str">
        <f t="shared" si="4"/>
        <v/>
      </c>
      <c r="J516" s="59" t="str">
        <f t="shared" si="5"/>
        <v/>
      </c>
      <c r="K516" s="69" t="str">
        <f t="shared" si="6"/>
        <v/>
      </c>
      <c r="L516" s="60" t="str">
        <f t="shared" si="7"/>
        <v/>
      </c>
      <c r="M516" s="61" t="str">
        <f>IFERROR(__xludf.DUMMYFUNCTION("IFS(AND(COUNTA(C516:C1644)=0,COUNTA(Q516:Q1644)=0),"""",OR(AND(K516&gt;=1000000000,OR(Y516&gt;=1000000000,COUNTA(Q516:Q1644)=0)),OR(Y516&gt;=1000000000,AND(COUNTA(C516:C1644)=0,P$3=TRUE))),
ROUNDDOWN((AB$1-AC$1)*MAX(INDEX(T$4:T1644,MATCH(LARGE(FILTER(Y$4:Y1644,Y$4"&amp;":Y1644&lt;1000000000),1),Y$4:Y1644)),INDEX(F$4:F1644,MATCH(LARGE(FILTER(K$4:K1644,K$4:K1644&lt;1000000000),1),K$4:K1644)))),AND(K516&lt;1000000000,COUNTA(C516:C1644)&gt;0,P$3=FALSE),
ROUNDDOWN(INDEX(Y$4:Y1644,MATCH(LARGE(FILTER(W$4:W1644,W$4:W1644&lt;=I516),1),W$4:W1644"&amp;"))+(I516-LARGE(FILTER(W$4:W1644,W$4:W1644&lt;=I516),1))*INDEX(T$4:T1644,MATCH(LARGE(FILTER(W$4:W1644,W$4:W1644&lt;=I516),1),W$4:W1644))-K516),1,
ROUNDDOWN(Y516-INDEX(K$4:K1644,MATCH(LARGE(FILTER(I$4:I1644,I$4:I1644&lt;=W516),1),I$4:I1644))-(W516-LARGE(FILTER(I$4:I"&amp;"1644,I$4:I1644&lt;=W516),1))*INDEX(F$4:F1644,MATCH(LARGE(FILTER(I$4:I1644,I$4:I1644&lt;=W516),1),I$4:I1644))))"),"")</f>
        <v/>
      </c>
      <c r="N516" s="60" t="str">
        <f t="shared" si="8"/>
        <v/>
      </c>
      <c r="O516" s="61" t="str">
        <f t="shared" si="9"/>
        <v/>
      </c>
      <c r="P516" s="56" t="str">
        <f t="shared" si="10"/>
        <v/>
      </c>
      <c r="Q516" s="105"/>
      <c r="R516" s="10"/>
      <c r="S516" s="59" t="str">
        <f t="array" ref="S516">IF(COUNTA(Q516:Q1644)=0,"",SUM((COUNTIF(Q$4:Q516,Upgrades!$B$3:$B$13)-COUNTIF(Q$4:Q516,"Sell_"&amp;Upgrades!$B$3:$B$13))*Upgrades!$D$3:$D$13))</f>
        <v/>
      </c>
      <c r="T516" s="66" t="str">
        <f>IFERROR(__xludf.DUMMYFUNCTION("IF(COUNTA(Q516:Q1644)=0,"""",IF(REGEXMATCH(INDEX(FILTER(Q$4:Q516,Q$4:Q516&lt;&gt;""""),ROWS(FILTER(Q$4:Q516,Q$4:Q516&lt;&gt;""""))),""^Sell_""),INDEX(FILTER(T$4:T515,Q$4:Q515&lt;&gt;""""),ROWS(FILTER(Q$4:Q515,Q$4:Q515&lt;&gt;""""))),$AD$5+S516))"),"")</f>
        <v/>
      </c>
      <c r="U516" s="10" t="str">
        <f>IFERROR(__xludf.DUMMYFUNCTION("IF(COUNTA(Q516:Q1644)=0,"""",IF(Q516="""",0,IF(REGEXMATCH(Q516,""^Sell_""),-ROUNDDOWN(ROUNDUP(INDEX(Upgrades!$C$3:$C$13,MATCH(SUBSTITUTE(Q516,""Sell_"",""""),Upgrades!$B$3:$B$13,0))*1.15^(COUNTIF(Q$4:Q515,SUBSTITUTE(Q516,""Sell_"",""""))-COUNTIF(Q$4:Q515,"&amp;"""Sell_""&amp;SUBSTITUTE(Q516,""Sell_"",""""))))/2),ROUNDUP(INDEX(Upgrades!$C$3:$C$13,MATCH(Q516,Upgrades!$B$3:$B$13,0))*1.15^(COUNTIF(Q$4:Q515,Q516)-COUNTIF(Q$4:Q515,""Sell_""&amp;Q516))))))"),"")</f>
        <v/>
      </c>
      <c r="V516" s="10" t="str">
        <f t="shared" si="11"/>
        <v/>
      </c>
      <c r="W516" s="68" t="str">
        <f t="shared" si="12"/>
        <v/>
      </c>
      <c r="X516" s="59" t="str">
        <f t="shared" si="13"/>
        <v/>
      </c>
      <c r="Y516" s="69" t="str">
        <f t="shared" si="14"/>
        <v/>
      </c>
      <c r="Z516" s="11"/>
      <c r="AG516" s="59"/>
    </row>
    <row r="517">
      <c r="A517" s="8"/>
      <c r="B517" s="56" t="str">
        <f t="shared" si="2"/>
        <v/>
      </c>
      <c r="C517" s="105"/>
      <c r="D517" s="10"/>
      <c r="E517" s="59" t="str">
        <f t="array" ref="E517">IF(COUNTA(C517:C1644)=0,"",SUM((COUNTIF(C$4:C517,Upgrades!$B$3:$B$13)-COUNTIF(C$4:C517,"Sell_"&amp;Upgrades!$B$3:$B$13))*Upgrades!$D$3:$D$13))</f>
        <v/>
      </c>
      <c r="F517" s="66" t="str">
        <f>IFERROR(__xludf.DUMMYFUNCTION("IF(COUNTA(C517:C1644)=0,"""",IF(REGEXMATCH(INDEX(FILTER(C$4:C517,C$4:C517&lt;&gt;""""),ROWS(FILTER(C$4:C517,C$4:C517&lt;&gt;""""))),""^Sell_""),INDEX(FILTER(F$4:F516,C$4:C516&lt;&gt;""""),ROWS(FILTER(C$4:C516,C$4:C516&lt;&gt;""""))),$AC$5+E517))"),"")</f>
        <v/>
      </c>
      <c r="G517" s="10" t="str">
        <f>IFERROR(__xludf.DUMMYFUNCTION("IF(COUNTA(C517:C1644)=0,"""",IF(C517="""",0,IF(REGEXMATCH(C517,""^Sell_""),-ROUNDDOWN(ROUNDUP(INDEX(Upgrades!$C$3:$C$13,MATCH(SUBSTITUTE(C517,""Sell_"",""""),Upgrades!$B$3:$B$13,0))*1.15^(COUNTIF(C$4:C516,SUBSTITUTE(C517,""Sell_"",""""))-COUNTIF(C$4:C516,"&amp;"""Sell_""&amp;SUBSTITUTE(C517,""Sell_"",""""))))/2),ROUNDUP(INDEX(Upgrades!$C$3:$C$13,MATCH(C517,Upgrades!$B$3:$B$13,0))*1.15^(COUNTIF(C$4:C516,C517)-COUNTIF(C$4:C516,""Sell_""&amp;C517))))))"),"")</f>
        <v/>
      </c>
      <c r="H517" s="10" t="str">
        <f t="shared" si="3"/>
        <v/>
      </c>
      <c r="I517" s="68" t="str">
        <f t="shared" si="4"/>
        <v/>
      </c>
      <c r="J517" s="59" t="str">
        <f t="shared" si="5"/>
        <v/>
      </c>
      <c r="K517" s="69" t="str">
        <f t="shared" si="6"/>
        <v/>
      </c>
      <c r="L517" s="60" t="str">
        <f t="shared" si="7"/>
        <v/>
      </c>
      <c r="M517" s="61" t="str">
        <f>IFERROR(__xludf.DUMMYFUNCTION("IFS(AND(COUNTA(C517:C1644)=0,COUNTA(Q517:Q1644)=0),"""",OR(AND(K517&gt;=1000000000,OR(Y517&gt;=1000000000,COUNTA(Q517:Q1644)=0)),OR(Y517&gt;=1000000000,AND(COUNTA(C517:C1644)=0,P$3=TRUE))),
ROUNDDOWN((AB$1-AC$1)*MAX(INDEX(T$4:T1644,MATCH(LARGE(FILTER(Y$4:Y1644,Y$4"&amp;":Y1644&lt;1000000000),1),Y$4:Y1644)),INDEX(F$4:F1644,MATCH(LARGE(FILTER(K$4:K1644,K$4:K1644&lt;1000000000),1),K$4:K1644)))),AND(K517&lt;1000000000,COUNTA(C517:C1644)&gt;0,P$3=FALSE),
ROUNDDOWN(INDEX(Y$4:Y1644,MATCH(LARGE(FILTER(W$4:W1644,W$4:W1644&lt;=I517),1),W$4:W1644"&amp;"))+(I517-LARGE(FILTER(W$4:W1644,W$4:W1644&lt;=I517),1))*INDEX(T$4:T1644,MATCH(LARGE(FILTER(W$4:W1644,W$4:W1644&lt;=I517),1),W$4:W1644))-K517),1,
ROUNDDOWN(Y517-INDEX(K$4:K1644,MATCH(LARGE(FILTER(I$4:I1644,I$4:I1644&lt;=W517),1),I$4:I1644))-(W517-LARGE(FILTER(I$4:I"&amp;"1644,I$4:I1644&lt;=W517),1))*INDEX(F$4:F1644,MATCH(LARGE(FILTER(I$4:I1644,I$4:I1644&lt;=W517),1),I$4:I1644))))"),"")</f>
        <v/>
      </c>
      <c r="N517" s="60" t="str">
        <f t="shared" si="8"/>
        <v/>
      </c>
      <c r="O517" s="61" t="str">
        <f t="shared" si="9"/>
        <v/>
      </c>
      <c r="P517" s="56" t="str">
        <f t="shared" si="10"/>
        <v/>
      </c>
      <c r="Q517" s="105"/>
      <c r="R517" s="10"/>
      <c r="S517" s="59" t="str">
        <f t="array" ref="S517">IF(COUNTA(Q517:Q1644)=0,"",SUM((COUNTIF(Q$4:Q517,Upgrades!$B$3:$B$13)-COUNTIF(Q$4:Q517,"Sell_"&amp;Upgrades!$B$3:$B$13))*Upgrades!$D$3:$D$13))</f>
        <v/>
      </c>
      <c r="T517" s="66" t="str">
        <f>IFERROR(__xludf.DUMMYFUNCTION("IF(COUNTA(Q517:Q1644)=0,"""",IF(REGEXMATCH(INDEX(FILTER(Q$4:Q517,Q$4:Q517&lt;&gt;""""),ROWS(FILTER(Q$4:Q517,Q$4:Q517&lt;&gt;""""))),""^Sell_""),INDEX(FILTER(T$4:T516,Q$4:Q516&lt;&gt;""""),ROWS(FILTER(Q$4:Q516,Q$4:Q516&lt;&gt;""""))),$AD$5+S517))"),"")</f>
        <v/>
      </c>
      <c r="U517" s="10" t="str">
        <f>IFERROR(__xludf.DUMMYFUNCTION("IF(COUNTA(Q517:Q1644)=0,"""",IF(Q517="""",0,IF(REGEXMATCH(Q517,""^Sell_""),-ROUNDDOWN(ROUNDUP(INDEX(Upgrades!$C$3:$C$13,MATCH(SUBSTITUTE(Q517,""Sell_"",""""),Upgrades!$B$3:$B$13,0))*1.15^(COUNTIF(Q$4:Q516,SUBSTITUTE(Q517,""Sell_"",""""))-COUNTIF(Q$4:Q516,"&amp;"""Sell_""&amp;SUBSTITUTE(Q517,""Sell_"",""""))))/2),ROUNDUP(INDEX(Upgrades!$C$3:$C$13,MATCH(Q517,Upgrades!$B$3:$B$13,0))*1.15^(COUNTIF(Q$4:Q516,Q517)-COUNTIF(Q$4:Q516,""Sell_""&amp;Q517))))))"),"")</f>
        <v/>
      </c>
      <c r="V517" s="10" t="str">
        <f t="shared" si="11"/>
        <v/>
      </c>
      <c r="W517" s="68" t="str">
        <f t="shared" si="12"/>
        <v/>
      </c>
      <c r="X517" s="59" t="str">
        <f t="shared" si="13"/>
        <v/>
      </c>
      <c r="Y517" s="69" t="str">
        <f t="shared" si="14"/>
        <v/>
      </c>
      <c r="Z517" s="11"/>
      <c r="AG517" s="59"/>
    </row>
    <row r="518">
      <c r="A518" s="8"/>
      <c r="B518" s="56" t="str">
        <f t="shared" si="2"/>
        <v/>
      </c>
      <c r="C518" s="105"/>
      <c r="D518" s="10"/>
      <c r="E518" s="59" t="str">
        <f t="array" ref="E518">IF(COUNTA(C518:C1644)=0,"",SUM((COUNTIF(C$4:C518,Upgrades!$B$3:$B$13)-COUNTIF(C$4:C518,"Sell_"&amp;Upgrades!$B$3:$B$13))*Upgrades!$D$3:$D$13))</f>
        <v/>
      </c>
      <c r="F518" s="66" t="str">
        <f>IFERROR(__xludf.DUMMYFUNCTION("IF(COUNTA(C518:C1644)=0,"""",IF(REGEXMATCH(INDEX(FILTER(C$4:C518,C$4:C518&lt;&gt;""""),ROWS(FILTER(C$4:C518,C$4:C518&lt;&gt;""""))),""^Sell_""),INDEX(FILTER(F$4:F517,C$4:C517&lt;&gt;""""),ROWS(FILTER(C$4:C517,C$4:C517&lt;&gt;""""))),$AC$5+E518))"),"")</f>
        <v/>
      </c>
      <c r="G518" s="10" t="str">
        <f>IFERROR(__xludf.DUMMYFUNCTION("IF(COUNTA(C518:C1644)=0,"""",IF(C518="""",0,IF(REGEXMATCH(C518,""^Sell_""),-ROUNDDOWN(ROUNDUP(INDEX(Upgrades!$C$3:$C$13,MATCH(SUBSTITUTE(C518,""Sell_"",""""),Upgrades!$B$3:$B$13,0))*1.15^(COUNTIF(C$4:C517,SUBSTITUTE(C518,""Sell_"",""""))-COUNTIF(C$4:C517,"&amp;"""Sell_""&amp;SUBSTITUTE(C518,""Sell_"",""""))))/2),ROUNDUP(INDEX(Upgrades!$C$3:$C$13,MATCH(C518,Upgrades!$B$3:$B$13,0))*1.15^(COUNTIF(C$4:C517,C518)-COUNTIF(C$4:C517,""Sell_""&amp;C518))))))"),"")</f>
        <v/>
      </c>
      <c r="H518" s="10" t="str">
        <f t="shared" si="3"/>
        <v/>
      </c>
      <c r="I518" s="68" t="str">
        <f t="shared" si="4"/>
        <v/>
      </c>
      <c r="J518" s="59" t="str">
        <f t="shared" si="5"/>
        <v/>
      </c>
      <c r="K518" s="69" t="str">
        <f t="shared" si="6"/>
        <v/>
      </c>
      <c r="L518" s="60" t="str">
        <f t="shared" si="7"/>
        <v/>
      </c>
      <c r="M518" s="61" t="str">
        <f>IFERROR(__xludf.DUMMYFUNCTION("IFS(AND(COUNTA(C518:C1644)=0,COUNTA(Q518:Q1644)=0),"""",OR(AND(K518&gt;=1000000000,OR(Y518&gt;=1000000000,COUNTA(Q518:Q1644)=0)),OR(Y518&gt;=1000000000,AND(COUNTA(C518:C1644)=0,P$3=TRUE))),
ROUNDDOWN((AB$1-AC$1)*MAX(INDEX(T$4:T1644,MATCH(LARGE(FILTER(Y$4:Y1644,Y$4"&amp;":Y1644&lt;1000000000),1),Y$4:Y1644)),INDEX(F$4:F1644,MATCH(LARGE(FILTER(K$4:K1644,K$4:K1644&lt;1000000000),1),K$4:K1644)))),AND(K518&lt;1000000000,COUNTA(C518:C1644)&gt;0,P$3=FALSE),
ROUNDDOWN(INDEX(Y$4:Y1644,MATCH(LARGE(FILTER(W$4:W1644,W$4:W1644&lt;=I518),1),W$4:W1644"&amp;"))+(I518-LARGE(FILTER(W$4:W1644,W$4:W1644&lt;=I518),1))*INDEX(T$4:T1644,MATCH(LARGE(FILTER(W$4:W1644,W$4:W1644&lt;=I518),1),W$4:W1644))-K518),1,
ROUNDDOWN(Y518-INDEX(K$4:K1644,MATCH(LARGE(FILTER(I$4:I1644,I$4:I1644&lt;=W518),1),I$4:I1644))-(W518-LARGE(FILTER(I$4:I"&amp;"1644,I$4:I1644&lt;=W518),1))*INDEX(F$4:F1644,MATCH(LARGE(FILTER(I$4:I1644,I$4:I1644&lt;=W518),1),I$4:I1644))))"),"")</f>
        <v/>
      </c>
      <c r="N518" s="60" t="str">
        <f t="shared" si="8"/>
        <v/>
      </c>
      <c r="O518" s="61" t="str">
        <f t="shared" si="9"/>
        <v/>
      </c>
      <c r="P518" s="56" t="str">
        <f t="shared" si="10"/>
        <v/>
      </c>
      <c r="Q518" s="105"/>
      <c r="R518" s="10"/>
      <c r="S518" s="59" t="str">
        <f t="array" ref="S518">IF(COUNTA(Q518:Q1644)=0,"",SUM((COUNTIF(Q$4:Q518,Upgrades!$B$3:$B$13)-COUNTIF(Q$4:Q518,"Sell_"&amp;Upgrades!$B$3:$B$13))*Upgrades!$D$3:$D$13))</f>
        <v/>
      </c>
      <c r="T518" s="66" t="str">
        <f>IFERROR(__xludf.DUMMYFUNCTION("IF(COUNTA(Q518:Q1644)=0,"""",IF(REGEXMATCH(INDEX(FILTER(Q$4:Q518,Q$4:Q518&lt;&gt;""""),ROWS(FILTER(Q$4:Q518,Q$4:Q518&lt;&gt;""""))),""^Sell_""),INDEX(FILTER(T$4:T517,Q$4:Q517&lt;&gt;""""),ROWS(FILTER(Q$4:Q517,Q$4:Q517&lt;&gt;""""))),$AD$5+S518))"),"")</f>
        <v/>
      </c>
      <c r="U518" s="10" t="str">
        <f>IFERROR(__xludf.DUMMYFUNCTION("IF(COUNTA(Q518:Q1644)=0,"""",IF(Q518="""",0,IF(REGEXMATCH(Q518,""^Sell_""),-ROUNDDOWN(ROUNDUP(INDEX(Upgrades!$C$3:$C$13,MATCH(SUBSTITUTE(Q518,""Sell_"",""""),Upgrades!$B$3:$B$13,0))*1.15^(COUNTIF(Q$4:Q517,SUBSTITUTE(Q518,""Sell_"",""""))-COUNTIF(Q$4:Q517,"&amp;"""Sell_""&amp;SUBSTITUTE(Q518,""Sell_"",""""))))/2),ROUNDUP(INDEX(Upgrades!$C$3:$C$13,MATCH(Q518,Upgrades!$B$3:$B$13,0))*1.15^(COUNTIF(Q$4:Q517,Q518)-COUNTIF(Q$4:Q517,""Sell_""&amp;Q518))))))"),"")</f>
        <v/>
      </c>
      <c r="V518" s="10" t="str">
        <f t="shared" si="11"/>
        <v/>
      </c>
      <c r="W518" s="68" t="str">
        <f t="shared" si="12"/>
        <v/>
      </c>
      <c r="X518" s="59" t="str">
        <f t="shared" si="13"/>
        <v/>
      </c>
      <c r="Y518" s="69" t="str">
        <f t="shared" si="14"/>
        <v/>
      </c>
      <c r="Z518" s="11"/>
      <c r="AG518" s="59"/>
    </row>
    <row r="519">
      <c r="A519" s="8"/>
      <c r="B519" s="56" t="str">
        <f t="shared" si="2"/>
        <v/>
      </c>
      <c r="C519" s="105"/>
      <c r="D519" s="10"/>
      <c r="E519" s="59" t="str">
        <f t="array" ref="E519">IF(COUNTA(C519:C1644)=0,"",SUM((COUNTIF(C$4:C519,Upgrades!$B$3:$B$13)-COUNTIF(C$4:C519,"Sell_"&amp;Upgrades!$B$3:$B$13))*Upgrades!$D$3:$D$13))</f>
        <v/>
      </c>
      <c r="F519" s="66" t="str">
        <f>IFERROR(__xludf.DUMMYFUNCTION("IF(COUNTA(C519:C1644)=0,"""",IF(REGEXMATCH(INDEX(FILTER(C$4:C519,C$4:C519&lt;&gt;""""),ROWS(FILTER(C$4:C519,C$4:C519&lt;&gt;""""))),""^Sell_""),INDEX(FILTER(F$4:F518,C$4:C518&lt;&gt;""""),ROWS(FILTER(C$4:C518,C$4:C518&lt;&gt;""""))),$AC$5+E519))"),"")</f>
        <v/>
      </c>
      <c r="G519" s="10" t="str">
        <f>IFERROR(__xludf.DUMMYFUNCTION("IF(COUNTA(C519:C1644)=0,"""",IF(C519="""",0,IF(REGEXMATCH(C519,""^Sell_""),-ROUNDDOWN(ROUNDUP(INDEX(Upgrades!$C$3:$C$13,MATCH(SUBSTITUTE(C519,""Sell_"",""""),Upgrades!$B$3:$B$13,0))*1.15^(COUNTIF(C$4:C518,SUBSTITUTE(C519,""Sell_"",""""))-COUNTIF(C$4:C518,"&amp;"""Sell_""&amp;SUBSTITUTE(C519,""Sell_"",""""))))/2),ROUNDUP(INDEX(Upgrades!$C$3:$C$13,MATCH(C519,Upgrades!$B$3:$B$13,0))*1.15^(COUNTIF(C$4:C518,C519)-COUNTIF(C$4:C518,""Sell_""&amp;C519))))))"),"")</f>
        <v/>
      </c>
      <c r="H519" s="10" t="str">
        <f t="shared" si="3"/>
        <v/>
      </c>
      <c r="I519" s="68" t="str">
        <f t="shared" si="4"/>
        <v/>
      </c>
      <c r="J519" s="59" t="str">
        <f t="shared" si="5"/>
        <v/>
      </c>
      <c r="K519" s="69" t="str">
        <f t="shared" si="6"/>
        <v/>
      </c>
      <c r="L519" s="60" t="str">
        <f t="shared" si="7"/>
        <v/>
      </c>
      <c r="M519" s="61" t="str">
        <f>IFERROR(__xludf.DUMMYFUNCTION("IFS(AND(COUNTA(C519:C1644)=0,COUNTA(Q519:Q1644)=0),"""",OR(AND(K519&gt;=1000000000,OR(Y519&gt;=1000000000,COUNTA(Q519:Q1644)=0)),OR(Y519&gt;=1000000000,AND(COUNTA(C519:C1644)=0,P$3=TRUE))),
ROUNDDOWN((AB$1-AC$1)*MAX(INDEX(T$4:T1644,MATCH(LARGE(FILTER(Y$4:Y1644,Y$4"&amp;":Y1644&lt;1000000000),1),Y$4:Y1644)),INDEX(F$4:F1644,MATCH(LARGE(FILTER(K$4:K1644,K$4:K1644&lt;1000000000),1),K$4:K1644)))),AND(K519&lt;1000000000,COUNTA(C519:C1644)&gt;0,P$3=FALSE),
ROUNDDOWN(INDEX(Y$4:Y1644,MATCH(LARGE(FILTER(W$4:W1644,W$4:W1644&lt;=I519),1),W$4:W1644"&amp;"))+(I519-LARGE(FILTER(W$4:W1644,W$4:W1644&lt;=I519),1))*INDEX(T$4:T1644,MATCH(LARGE(FILTER(W$4:W1644,W$4:W1644&lt;=I519),1),W$4:W1644))-K519),1,
ROUNDDOWN(Y519-INDEX(K$4:K1644,MATCH(LARGE(FILTER(I$4:I1644,I$4:I1644&lt;=W519),1),I$4:I1644))-(W519-LARGE(FILTER(I$4:I"&amp;"1644,I$4:I1644&lt;=W519),1))*INDEX(F$4:F1644,MATCH(LARGE(FILTER(I$4:I1644,I$4:I1644&lt;=W519),1),I$4:I1644))))"),"")</f>
        <v/>
      </c>
      <c r="N519" s="60" t="str">
        <f t="shared" si="8"/>
        <v/>
      </c>
      <c r="O519" s="61" t="str">
        <f t="shared" si="9"/>
        <v/>
      </c>
      <c r="P519" s="56" t="str">
        <f t="shared" si="10"/>
        <v/>
      </c>
      <c r="Q519" s="105"/>
      <c r="R519" s="10"/>
      <c r="S519" s="59" t="str">
        <f t="array" ref="S519">IF(COUNTA(Q519:Q1644)=0,"",SUM((COUNTIF(Q$4:Q519,Upgrades!$B$3:$B$13)-COUNTIF(Q$4:Q519,"Sell_"&amp;Upgrades!$B$3:$B$13))*Upgrades!$D$3:$D$13))</f>
        <v/>
      </c>
      <c r="T519" s="66" t="str">
        <f>IFERROR(__xludf.DUMMYFUNCTION("IF(COUNTA(Q519:Q1644)=0,"""",IF(REGEXMATCH(INDEX(FILTER(Q$4:Q519,Q$4:Q519&lt;&gt;""""),ROWS(FILTER(Q$4:Q519,Q$4:Q519&lt;&gt;""""))),""^Sell_""),INDEX(FILTER(T$4:T518,Q$4:Q518&lt;&gt;""""),ROWS(FILTER(Q$4:Q518,Q$4:Q518&lt;&gt;""""))),$AD$5+S519))"),"")</f>
        <v/>
      </c>
      <c r="U519" s="10" t="str">
        <f>IFERROR(__xludf.DUMMYFUNCTION("IF(COUNTA(Q519:Q1644)=0,"""",IF(Q519="""",0,IF(REGEXMATCH(Q519,""^Sell_""),-ROUNDDOWN(ROUNDUP(INDEX(Upgrades!$C$3:$C$13,MATCH(SUBSTITUTE(Q519,""Sell_"",""""),Upgrades!$B$3:$B$13,0))*1.15^(COUNTIF(Q$4:Q518,SUBSTITUTE(Q519,""Sell_"",""""))-COUNTIF(Q$4:Q518,"&amp;"""Sell_""&amp;SUBSTITUTE(Q519,""Sell_"",""""))))/2),ROUNDUP(INDEX(Upgrades!$C$3:$C$13,MATCH(Q519,Upgrades!$B$3:$B$13,0))*1.15^(COUNTIF(Q$4:Q518,Q519)-COUNTIF(Q$4:Q518,""Sell_""&amp;Q519))))))"),"")</f>
        <v/>
      </c>
      <c r="V519" s="10" t="str">
        <f t="shared" si="11"/>
        <v/>
      </c>
      <c r="W519" s="68" t="str">
        <f t="shared" si="12"/>
        <v/>
      </c>
      <c r="X519" s="59" t="str">
        <f t="shared" si="13"/>
        <v/>
      </c>
      <c r="Y519" s="69" t="str">
        <f t="shared" si="14"/>
        <v/>
      </c>
      <c r="Z519" s="11"/>
      <c r="AG519" s="59"/>
    </row>
    <row r="520">
      <c r="A520" s="8"/>
      <c r="B520" s="56" t="str">
        <f t="shared" si="2"/>
        <v/>
      </c>
      <c r="C520" s="105"/>
      <c r="D520" s="10"/>
      <c r="E520" s="59" t="str">
        <f t="array" ref="E520">IF(COUNTA(C520:C1644)=0,"",SUM((COUNTIF(C$4:C520,Upgrades!$B$3:$B$13)-COUNTIF(C$4:C520,"Sell_"&amp;Upgrades!$B$3:$B$13))*Upgrades!$D$3:$D$13))</f>
        <v/>
      </c>
      <c r="F520" s="66" t="str">
        <f>IFERROR(__xludf.DUMMYFUNCTION("IF(COUNTA(C520:C1644)=0,"""",IF(REGEXMATCH(INDEX(FILTER(C$4:C520,C$4:C520&lt;&gt;""""),ROWS(FILTER(C$4:C520,C$4:C520&lt;&gt;""""))),""^Sell_""),INDEX(FILTER(F$4:F519,C$4:C519&lt;&gt;""""),ROWS(FILTER(C$4:C519,C$4:C519&lt;&gt;""""))),$AC$5+E520))"),"")</f>
        <v/>
      </c>
      <c r="G520" s="10" t="str">
        <f>IFERROR(__xludf.DUMMYFUNCTION("IF(COUNTA(C520:C1644)=0,"""",IF(C520="""",0,IF(REGEXMATCH(C520,""^Sell_""),-ROUNDDOWN(ROUNDUP(INDEX(Upgrades!$C$3:$C$13,MATCH(SUBSTITUTE(C520,""Sell_"",""""),Upgrades!$B$3:$B$13,0))*1.15^(COUNTIF(C$4:C519,SUBSTITUTE(C520,""Sell_"",""""))-COUNTIF(C$4:C519,"&amp;"""Sell_""&amp;SUBSTITUTE(C520,""Sell_"",""""))))/2),ROUNDUP(INDEX(Upgrades!$C$3:$C$13,MATCH(C520,Upgrades!$B$3:$B$13,0))*1.15^(COUNTIF(C$4:C519,C520)-COUNTIF(C$4:C519,""Sell_""&amp;C520))))))"),"")</f>
        <v/>
      </c>
      <c r="H520" s="10" t="str">
        <f t="shared" si="3"/>
        <v/>
      </c>
      <c r="I520" s="68" t="str">
        <f t="shared" si="4"/>
        <v/>
      </c>
      <c r="J520" s="59" t="str">
        <f t="shared" si="5"/>
        <v/>
      </c>
      <c r="K520" s="69" t="str">
        <f t="shared" si="6"/>
        <v/>
      </c>
      <c r="L520" s="60" t="str">
        <f t="shared" si="7"/>
        <v/>
      </c>
      <c r="M520" s="61" t="str">
        <f>IFERROR(__xludf.DUMMYFUNCTION("IFS(AND(COUNTA(C520:C1644)=0,COUNTA(Q520:Q1644)=0),"""",OR(AND(K520&gt;=1000000000,OR(Y520&gt;=1000000000,COUNTA(Q520:Q1644)=0)),OR(Y520&gt;=1000000000,AND(COUNTA(C520:C1644)=0,P$3=TRUE))),
ROUNDDOWN((AB$1-AC$1)*MAX(INDEX(T$4:T1644,MATCH(LARGE(FILTER(Y$4:Y1644,Y$4"&amp;":Y1644&lt;1000000000),1),Y$4:Y1644)),INDEX(F$4:F1644,MATCH(LARGE(FILTER(K$4:K1644,K$4:K1644&lt;1000000000),1),K$4:K1644)))),AND(K520&lt;1000000000,COUNTA(C520:C1644)&gt;0,P$3=FALSE),
ROUNDDOWN(INDEX(Y$4:Y1644,MATCH(LARGE(FILTER(W$4:W1644,W$4:W1644&lt;=I520),1),W$4:W1644"&amp;"))+(I520-LARGE(FILTER(W$4:W1644,W$4:W1644&lt;=I520),1))*INDEX(T$4:T1644,MATCH(LARGE(FILTER(W$4:W1644,W$4:W1644&lt;=I520),1),W$4:W1644))-K520),1,
ROUNDDOWN(Y520-INDEX(K$4:K1644,MATCH(LARGE(FILTER(I$4:I1644,I$4:I1644&lt;=W520),1),I$4:I1644))-(W520-LARGE(FILTER(I$4:I"&amp;"1644,I$4:I1644&lt;=W520),1))*INDEX(F$4:F1644,MATCH(LARGE(FILTER(I$4:I1644,I$4:I1644&lt;=W520),1),I$4:I1644))))"),"")</f>
        <v/>
      </c>
      <c r="N520" s="60" t="str">
        <f t="shared" si="8"/>
        <v/>
      </c>
      <c r="O520" s="61" t="str">
        <f t="shared" si="9"/>
        <v/>
      </c>
      <c r="P520" s="56" t="str">
        <f t="shared" si="10"/>
        <v/>
      </c>
      <c r="Q520" s="105"/>
      <c r="R520" s="10"/>
      <c r="S520" s="59" t="str">
        <f t="array" ref="S520">IF(COUNTA(Q520:Q1644)=0,"",SUM((COUNTIF(Q$4:Q520,Upgrades!$B$3:$B$13)-COUNTIF(Q$4:Q520,"Sell_"&amp;Upgrades!$B$3:$B$13))*Upgrades!$D$3:$D$13))</f>
        <v/>
      </c>
      <c r="T520" s="66" t="str">
        <f>IFERROR(__xludf.DUMMYFUNCTION("IF(COUNTA(Q520:Q1644)=0,"""",IF(REGEXMATCH(INDEX(FILTER(Q$4:Q520,Q$4:Q520&lt;&gt;""""),ROWS(FILTER(Q$4:Q520,Q$4:Q520&lt;&gt;""""))),""^Sell_""),INDEX(FILTER(T$4:T519,Q$4:Q519&lt;&gt;""""),ROWS(FILTER(Q$4:Q519,Q$4:Q519&lt;&gt;""""))),$AD$5+S520))"),"")</f>
        <v/>
      </c>
      <c r="U520" s="10" t="str">
        <f>IFERROR(__xludf.DUMMYFUNCTION("IF(COUNTA(Q520:Q1644)=0,"""",IF(Q520="""",0,IF(REGEXMATCH(Q520,""^Sell_""),-ROUNDDOWN(ROUNDUP(INDEX(Upgrades!$C$3:$C$13,MATCH(SUBSTITUTE(Q520,""Sell_"",""""),Upgrades!$B$3:$B$13,0))*1.15^(COUNTIF(Q$4:Q519,SUBSTITUTE(Q520,""Sell_"",""""))-COUNTIF(Q$4:Q519,"&amp;"""Sell_""&amp;SUBSTITUTE(Q520,""Sell_"",""""))))/2),ROUNDUP(INDEX(Upgrades!$C$3:$C$13,MATCH(Q520,Upgrades!$B$3:$B$13,0))*1.15^(COUNTIF(Q$4:Q519,Q520)-COUNTIF(Q$4:Q519,""Sell_""&amp;Q520))))))"),"")</f>
        <v/>
      </c>
      <c r="V520" s="10" t="str">
        <f t="shared" si="11"/>
        <v/>
      </c>
      <c r="W520" s="68" t="str">
        <f t="shared" si="12"/>
        <v/>
      </c>
      <c r="X520" s="59" t="str">
        <f t="shared" si="13"/>
        <v/>
      </c>
      <c r="Y520" s="69" t="str">
        <f t="shared" si="14"/>
        <v/>
      </c>
      <c r="Z520" s="11"/>
      <c r="AG520" s="59"/>
    </row>
    <row r="521">
      <c r="A521" s="8"/>
      <c r="B521" s="56" t="str">
        <f t="shared" si="2"/>
        <v/>
      </c>
      <c r="C521" s="105"/>
      <c r="D521" s="10"/>
      <c r="E521" s="59" t="str">
        <f t="array" ref="E521">IF(COUNTA(C521:C1644)=0,"",SUM((COUNTIF(C$4:C521,Upgrades!$B$3:$B$13)-COUNTIF(C$4:C521,"Sell_"&amp;Upgrades!$B$3:$B$13))*Upgrades!$D$3:$D$13))</f>
        <v/>
      </c>
      <c r="F521" s="66" t="str">
        <f>IFERROR(__xludf.DUMMYFUNCTION("IF(COUNTA(C521:C1644)=0,"""",IF(REGEXMATCH(INDEX(FILTER(C$4:C521,C$4:C521&lt;&gt;""""),ROWS(FILTER(C$4:C521,C$4:C521&lt;&gt;""""))),""^Sell_""),INDEX(FILTER(F$4:F520,C$4:C520&lt;&gt;""""),ROWS(FILTER(C$4:C520,C$4:C520&lt;&gt;""""))),$AC$5+E521))"),"")</f>
        <v/>
      </c>
      <c r="G521" s="10" t="str">
        <f>IFERROR(__xludf.DUMMYFUNCTION("IF(COUNTA(C521:C1644)=0,"""",IF(C521="""",0,IF(REGEXMATCH(C521,""^Sell_""),-ROUNDDOWN(ROUNDUP(INDEX(Upgrades!$C$3:$C$13,MATCH(SUBSTITUTE(C521,""Sell_"",""""),Upgrades!$B$3:$B$13,0))*1.15^(COUNTIF(C$4:C520,SUBSTITUTE(C521,""Sell_"",""""))-COUNTIF(C$4:C520,"&amp;"""Sell_""&amp;SUBSTITUTE(C521,""Sell_"",""""))))/2),ROUNDUP(INDEX(Upgrades!$C$3:$C$13,MATCH(C521,Upgrades!$B$3:$B$13,0))*1.15^(COUNTIF(C$4:C520,C521)-COUNTIF(C$4:C520,""Sell_""&amp;C521))))))"),"")</f>
        <v/>
      </c>
      <c r="H521" s="10" t="str">
        <f t="shared" si="3"/>
        <v/>
      </c>
      <c r="I521" s="68" t="str">
        <f t="shared" si="4"/>
        <v/>
      </c>
      <c r="J521" s="59" t="str">
        <f t="shared" si="5"/>
        <v/>
      </c>
      <c r="K521" s="69" t="str">
        <f t="shared" si="6"/>
        <v/>
      </c>
      <c r="L521" s="60" t="str">
        <f t="shared" si="7"/>
        <v/>
      </c>
      <c r="M521" s="61" t="str">
        <f>IFERROR(__xludf.DUMMYFUNCTION("IFS(AND(COUNTA(C521:C1644)=0,COUNTA(Q521:Q1644)=0),"""",OR(AND(K521&gt;=1000000000,OR(Y521&gt;=1000000000,COUNTA(Q521:Q1644)=0)),OR(Y521&gt;=1000000000,AND(COUNTA(C521:C1644)=0,P$3=TRUE))),
ROUNDDOWN((AB$1-AC$1)*MAX(INDEX(T$4:T1644,MATCH(LARGE(FILTER(Y$4:Y1644,Y$4"&amp;":Y1644&lt;1000000000),1),Y$4:Y1644)),INDEX(F$4:F1644,MATCH(LARGE(FILTER(K$4:K1644,K$4:K1644&lt;1000000000),1),K$4:K1644)))),AND(K521&lt;1000000000,COUNTA(C521:C1644)&gt;0,P$3=FALSE),
ROUNDDOWN(INDEX(Y$4:Y1644,MATCH(LARGE(FILTER(W$4:W1644,W$4:W1644&lt;=I521),1),W$4:W1644"&amp;"))+(I521-LARGE(FILTER(W$4:W1644,W$4:W1644&lt;=I521),1))*INDEX(T$4:T1644,MATCH(LARGE(FILTER(W$4:W1644,W$4:W1644&lt;=I521),1),W$4:W1644))-K521),1,
ROUNDDOWN(Y521-INDEX(K$4:K1644,MATCH(LARGE(FILTER(I$4:I1644,I$4:I1644&lt;=W521),1),I$4:I1644))-(W521-LARGE(FILTER(I$4:I"&amp;"1644,I$4:I1644&lt;=W521),1))*INDEX(F$4:F1644,MATCH(LARGE(FILTER(I$4:I1644,I$4:I1644&lt;=W521),1),I$4:I1644))))"),"")</f>
        <v/>
      </c>
      <c r="N521" s="60" t="str">
        <f t="shared" si="8"/>
        <v/>
      </c>
      <c r="O521" s="61" t="str">
        <f t="shared" si="9"/>
        <v/>
      </c>
      <c r="P521" s="56" t="str">
        <f t="shared" si="10"/>
        <v/>
      </c>
      <c r="Q521" s="105"/>
      <c r="R521" s="10"/>
      <c r="S521" s="59" t="str">
        <f t="array" ref="S521">IF(COUNTA(Q521:Q1644)=0,"",SUM((COUNTIF(Q$4:Q521,Upgrades!$B$3:$B$13)-COUNTIF(Q$4:Q521,"Sell_"&amp;Upgrades!$B$3:$B$13))*Upgrades!$D$3:$D$13))</f>
        <v/>
      </c>
      <c r="T521" s="66" t="str">
        <f>IFERROR(__xludf.DUMMYFUNCTION("IF(COUNTA(Q521:Q1644)=0,"""",IF(REGEXMATCH(INDEX(FILTER(Q$4:Q521,Q$4:Q521&lt;&gt;""""),ROWS(FILTER(Q$4:Q521,Q$4:Q521&lt;&gt;""""))),""^Sell_""),INDEX(FILTER(T$4:T520,Q$4:Q520&lt;&gt;""""),ROWS(FILTER(Q$4:Q520,Q$4:Q520&lt;&gt;""""))),$AD$5+S521))"),"")</f>
        <v/>
      </c>
      <c r="U521" s="10" t="str">
        <f>IFERROR(__xludf.DUMMYFUNCTION("IF(COUNTA(Q521:Q1644)=0,"""",IF(Q521="""",0,IF(REGEXMATCH(Q521,""^Sell_""),-ROUNDDOWN(ROUNDUP(INDEX(Upgrades!$C$3:$C$13,MATCH(SUBSTITUTE(Q521,""Sell_"",""""),Upgrades!$B$3:$B$13,0))*1.15^(COUNTIF(Q$4:Q520,SUBSTITUTE(Q521,""Sell_"",""""))-COUNTIF(Q$4:Q520,"&amp;"""Sell_""&amp;SUBSTITUTE(Q521,""Sell_"",""""))))/2),ROUNDUP(INDEX(Upgrades!$C$3:$C$13,MATCH(Q521,Upgrades!$B$3:$B$13,0))*1.15^(COUNTIF(Q$4:Q520,Q521)-COUNTIF(Q$4:Q520,""Sell_""&amp;Q521))))))"),"")</f>
        <v/>
      </c>
      <c r="V521" s="10" t="str">
        <f t="shared" si="11"/>
        <v/>
      </c>
      <c r="W521" s="68" t="str">
        <f t="shared" si="12"/>
        <v/>
      </c>
      <c r="X521" s="59" t="str">
        <f t="shared" si="13"/>
        <v/>
      </c>
      <c r="Y521" s="69" t="str">
        <f t="shared" si="14"/>
        <v/>
      </c>
      <c r="Z521" s="11"/>
      <c r="AG521" s="59"/>
    </row>
    <row r="522">
      <c r="A522" s="8"/>
      <c r="B522" s="56" t="str">
        <f t="shared" si="2"/>
        <v/>
      </c>
      <c r="C522" s="105"/>
      <c r="D522" s="10"/>
      <c r="E522" s="59" t="str">
        <f t="array" ref="E522">IF(COUNTA(C522:C1644)=0,"",SUM((COUNTIF(C$4:C522,Upgrades!$B$3:$B$13)-COUNTIF(C$4:C522,"Sell_"&amp;Upgrades!$B$3:$B$13))*Upgrades!$D$3:$D$13))</f>
        <v/>
      </c>
      <c r="F522" s="66" t="str">
        <f>IFERROR(__xludf.DUMMYFUNCTION("IF(COUNTA(C522:C1644)=0,"""",IF(REGEXMATCH(INDEX(FILTER(C$4:C522,C$4:C522&lt;&gt;""""),ROWS(FILTER(C$4:C522,C$4:C522&lt;&gt;""""))),""^Sell_""),INDEX(FILTER(F$4:F521,C$4:C521&lt;&gt;""""),ROWS(FILTER(C$4:C521,C$4:C521&lt;&gt;""""))),$AC$5+E522))"),"")</f>
        <v/>
      </c>
      <c r="G522" s="10" t="str">
        <f>IFERROR(__xludf.DUMMYFUNCTION("IF(COUNTA(C522:C1644)=0,"""",IF(C522="""",0,IF(REGEXMATCH(C522,""^Sell_""),-ROUNDDOWN(ROUNDUP(INDEX(Upgrades!$C$3:$C$13,MATCH(SUBSTITUTE(C522,""Sell_"",""""),Upgrades!$B$3:$B$13,0))*1.15^(COUNTIF(C$4:C521,SUBSTITUTE(C522,""Sell_"",""""))-COUNTIF(C$4:C521,"&amp;"""Sell_""&amp;SUBSTITUTE(C522,""Sell_"",""""))))/2),ROUNDUP(INDEX(Upgrades!$C$3:$C$13,MATCH(C522,Upgrades!$B$3:$B$13,0))*1.15^(COUNTIF(C$4:C521,C522)-COUNTIF(C$4:C521,""Sell_""&amp;C522))))))"),"")</f>
        <v/>
      </c>
      <c r="H522" s="10" t="str">
        <f t="shared" si="3"/>
        <v/>
      </c>
      <c r="I522" s="68" t="str">
        <f t="shared" si="4"/>
        <v/>
      </c>
      <c r="J522" s="59" t="str">
        <f t="shared" si="5"/>
        <v/>
      </c>
      <c r="K522" s="69" t="str">
        <f t="shared" si="6"/>
        <v/>
      </c>
      <c r="L522" s="60" t="str">
        <f t="shared" si="7"/>
        <v/>
      </c>
      <c r="M522" s="61" t="str">
        <f>IFERROR(__xludf.DUMMYFUNCTION("IFS(AND(COUNTA(C522:C1644)=0,COUNTA(Q522:Q1644)=0),"""",OR(AND(K522&gt;=1000000000,OR(Y522&gt;=1000000000,COUNTA(Q522:Q1644)=0)),OR(Y522&gt;=1000000000,AND(COUNTA(C522:C1644)=0,P$3=TRUE))),
ROUNDDOWN((AB$1-AC$1)*MAX(INDEX(T$4:T1644,MATCH(LARGE(FILTER(Y$4:Y1644,Y$4"&amp;":Y1644&lt;1000000000),1),Y$4:Y1644)),INDEX(F$4:F1644,MATCH(LARGE(FILTER(K$4:K1644,K$4:K1644&lt;1000000000),1),K$4:K1644)))),AND(K522&lt;1000000000,COUNTA(C522:C1644)&gt;0,P$3=FALSE),
ROUNDDOWN(INDEX(Y$4:Y1644,MATCH(LARGE(FILTER(W$4:W1644,W$4:W1644&lt;=I522),1),W$4:W1644"&amp;"))+(I522-LARGE(FILTER(W$4:W1644,W$4:W1644&lt;=I522),1))*INDEX(T$4:T1644,MATCH(LARGE(FILTER(W$4:W1644,W$4:W1644&lt;=I522),1),W$4:W1644))-K522),1,
ROUNDDOWN(Y522-INDEX(K$4:K1644,MATCH(LARGE(FILTER(I$4:I1644,I$4:I1644&lt;=W522),1),I$4:I1644))-(W522-LARGE(FILTER(I$4:I"&amp;"1644,I$4:I1644&lt;=W522),1))*INDEX(F$4:F1644,MATCH(LARGE(FILTER(I$4:I1644,I$4:I1644&lt;=W522),1),I$4:I1644))))"),"")</f>
        <v/>
      </c>
      <c r="N522" s="60" t="str">
        <f t="shared" si="8"/>
        <v/>
      </c>
      <c r="O522" s="61" t="str">
        <f t="shared" si="9"/>
        <v/>
      </c>
      <c r="P522" s="56" t="str">
        <f t="shared" si="10"/>
        <v/>
      </c>
      <c r="Q522" s="105"/>
      <c r="R522" s="10"/>
      <c r="S522" s="59" t="str">
        <f t="array" ref="S522">IF(COUNTA(Q522:Q1644)=0,"",SUM((COUNTIF(Q$4:Q522,Upgrades!$B$3:$B$13)-COUNTIF(Q$4:Q522,"Sell_"&amp;Upgrades!$B$3:$B$13))*Upgrades!$D$3:$D$13))</f>
        <v/>
      </c>
      <c r="T522" s="66" t="str">
        <f>IFERROR(__xludf.DUMMYFUNCTION("IF(COUNTA(Q522:Q1644)=0,"""",IF(REGEXMATCH(INDEX(FILTER(Q$4:Q522,Q$4:Q522&lt;&gt;""""),ROWS(FILTER(Q$4:Q522,Q$4:Q522&lt;&gt;""""))),""^Sell_""),INDEX(FILTER(T$4:T521,Q$4:Q521&lt;&gt;""""),ROWS(FILTER(Q$4:Q521,Q$4:Q521&lt;&gt;""""))),$AD$5+S522))"),"")</f>
        <v/>
      </c>
      <c r="U522" s="10" t="str">
        <f>IFERROR(__xludf.DUMMYFUNCTION("IF(COUNTA(Q522:Q1644)=0,"""",IF(Q522="""",0,IF(REGEXMATCH(Q522,""^Sell_""),-ROUNDDOWN(ROUNDUP(INDEX(Upgrades!$C$3:$C$13,MATCH(SUBSTITUTE(Q522,""Sell_"",""""),Upgrades!$B$3:$B$13,0))*1.15^(COUNTIF(Q$4:Q521,SUBSTITUTE(Q522,""Sell_"",""""))-COUNTIF(Q$4:Q521,"&amp;"""Sell_""&amp;SUBSTITUTE(Q522,""Sell_"",""""))))/2),ROUNDUP(INDEX(Upgrades!$C$3:$C$13,MATCH(Q522,Upgrades!$B$3:$B$13,0))*1.15^(COUNTIF(Q$4:Q521,Q522)-COUNTIF(Q$4:Q521,""Sell_""&amp;Q522))))))"),"")</f>
        <v/>
      </c>
      <c r="V522" s="10" t="str">
        <f t="shared" si="11"/>
        <v/>
      </c>
      <c r="W522" s="68" t="str">
        <f t="shared" si="12"/>
        <v/>
      </c>
      <c r="X522" s="59" t="str">
        <f t="shared" si="13"/>
        <v/>
      </c>
      <c r="Y522" s="69" t="str">
        <f t="shared" si="14"/>
        <v/>
      </c>
      <c r="Z522" s="11"/>
      <c r="AG522" s="59"/>
    </row>
    <row r="523">
      <c r="A523" s="8"/>
      <c r="B523" s="56" t="str">
        <f t="shared" si="2"/>
        <v/>
      </c>
      <c r="C523" s="105"/>
      <c r="D523" s="10"/>
      <c r="E523" s="59" t="str">
        <f t="array" ref="E523">IF(COUNTA(C523:C1644)=0,"",SUM((COUNTIF(C$4:C523,Upgrades!$B$3:$B$13)-COUNTIF(C$4:C523,"Sell_"&amp;Upgrades!$B$3:$B$13))*Upgrades!$D$3:$D$13))</f>
        <v/>
      </c>
      <c r="F523" s="66" t="str">
        <f>IFERROR(__xludf.DUMMYFUNCTION("IF(COUNTA(C523:C1644)=0,"""",IF(REGEXMATCH(INDEX(FILTER(C$4:C523,C$4:C523&lt;&gt;""""),ROWS(FILTER(C$4:C523,C$4:C523&lt;&gt;""""))),""^Sell_""),INDEX(FILTER(F$4:F522,C$4:C522&lt;&gt;""""),ROWS(FILTER(C$4:C522,C$4:C522&lt;&gt;""""))),$AC$5+E523))"),"")</f>
        <v/>
      </c>
      <c r="G523" s="10" t="str">
        <f>IFERROR(__xludf.DUMMYFUNCTION("IF(COUNTA(C523:C1644)=0,"""",IF(C523="""",0,IF(REGEXMATCH(C523,""^Sell_""),-ROUNDDOWN(ROUNDUP(INDEX(Upgrades!$C$3:$C$13,MATCH(SUBSTITUTE(C523,""Sell_"",""""),Upgrades!$B$3:$B$13,0))*1.15^(COUNTIF(C$4:C522,SUBSTITUTE(C523,""Sell_"",""""))-COUNTIF(C$4:C522,"&amp;"""Sell_""&amp;SUBSTITUTE(C523,""Sell_"",""""))))/2),ROUNDUP(INDEX(Upgrades!$C$3:$C$13,MATCH(C523,Upgrades!$B$3:$B$13,0))*1.15^(COUNTIF(C$4:C522,C523)-COUNTIF(C$4:C522,""Sell_""&amp;C523))))))"),"")</f>
        <v/>
      </c>
      <c r="H523" s="10" t="str">
        <f t="shared" si="3"/>
        <v/>
      </c>
      <c r="I523" s="68" t="str">
        <f t="shared" si="4"/>
        <v/>
      </c>
      <c r="J523" s="59" t="str">
        <f t="shared" si="5"/>
        <v/>
      </c>
      <c r="K523" s="69" t="str">
        <f t="shared" si="6"/>
        <v/>
      </c>
      <c r="L523" s="60" t="str">
        <f t="shared" si="7"/>
        <v/>
      </c>
      <c r="M523" s="61" t="str">
        <f>IFERROR(__xludf.DUMMYFUNCTION("IFS(AND(COUNTA(C523:C1644)=0,COUNTA(Q523:Q1644)=0),"""",OR(AND(K523&gt;=1000000000,OR(Y523&gt;=1000000000,COUNTA(Q523:Q1644)=0)),OR(Y523&gt;=1000000000,AND(COUNTA(C523:C1644)=0,P$3=TRUE))),
ROUNDDOWN((AB$1-AC$1)*MAX(INDEX(T$4:T1644,MATCH(LARGE(FILTER(Y$4:Y1644,Y$4"&amp;":Y1644&lt;1000000000),1),Y$4:Y1644)),INDEX(F$4:F1644,MATCH(LARGE(FILTER(K$4:K1644,K$4:K1644&lt;1000000000),1),K$4:K1644)))),AND(K523&lt;1000000000,COUNTA(C523:C1644)&gt;0,P$3=FALSE),
ROUNDDOWN(INDEX(Y$4:Y1644,MATCH(LARGE(FILTER(W$4:W1644,W$4:W1644&lt;=I523),1),W$4:W1644"&amp;"))+(I523-LARGE(FILTER(W$4:W1644,W$4:W1644&lt;=I523),1))*INDEX(T$4:T1644,MATCH(LARGE(FILTER(W$4:W1644,W$4:W1644&lt;=I523),1),W$4:W1644))-K523),1,
ROUNDDOWN(Y523-INDEX(K$4:K1644,MATCH(LARGE(FILTER(I$4:I1644,I$4:I1644&lt;=W523),1),I$4:I1644))-(W523-LARGE(FILTER(I$4:I"&amp;"1644,I$4:I1644&lt;=W523),1))*INDEX(F$4:F1644,MATCH(LARGE(FILTER(I$4:I1644,I$4:I1644&lt;=W523),1),I$4:I1644))))"),"")</f>
        <v/>
      </c>
      <c r="N523" s="60" t="str">
        <f t="shared" si="8"/>
        <v/>
      </c>
      <c r="O523" s="61" t="str">
        <f t="shared" si="9"/>
        <v/>
      </c>
      <c r="P523" s="56" t="str">
        <f t="shared" si="10"/>
        <v/>
      </c>
      <c r="Q523" s="105"/>
      <c r="R523" s="10"/>
      <c r="S523" s="59" t="str">
        <f t="array" ref="S523">IF(COUNTA(Q523:Q1644)=0,"",SUM((COUNTIF(Q$4:Q523,Upgrades!$B$3:$B$13)-COUNTIF(Q$4:Q523,"Sell_"&amp;Upgrades!$B$3:$B$13))*Upgrades!$D$3:$D$13))</f>
        <v/>
      </c>
      <c r="T523" s="66" t="str">
        <f>IFERROR(__xludf.DUMMYFUNCTION("IF(COUNTA(Q523:Q1644)=0,"""",IF(REGEXMATCH(INDEX(FILTER(Q$4:Q523,Q$4:Q523&lt;&gt;""""),ROWS(FILTER(Q$4:Q523,Q$4:Q523&lt;&gt;""""))),""^Sell_""),INDEX(FILTER(T$4:T522,Q$4:Q522&lt;&gt;""""),ROWS(FILTER(Q$4:Q522,Q$4:Q522&lt;&gt;""""))),$AD$5+S523))"),"")</f>
        <v/>
      </c>
      <c r="U523" s="10" t="str">
        <f>IFERROR(__xludf.DUMMYFUNCTION("IF(COUNTA(Q523:Q1644)=0,"""",IF(Q523="""",0,IF(REGEXMATCH(Q523,""^Sell_""),-ROUNDDOWN(ROUNDUP(INDEX(Upgrades!$C$3:$C$13,MATCH(SUBSTITUTE(Q523,""Sell_"",""""),Upgrades!$B$3:$B$13,0))*1.15^(COUNTIF(Q$4:Q522,SUBSTITUTE(Q523,""Sell_"",""""))-COUNTIF(Q$4:Q522,"&amp;"""Sell_""&amp;SUBSTITUTE(Q523,""Sell_"",""""))))/2),ROUNDUP(INDEX(Upgrades!$C$3:$C$13,MATCH(Q523,Upgrades!$B$3:$B$13,0))*1.15^(COUNTIF(Q$4:Q522,Q523)-COUNTIF(Q$4:Q522,""Sell_""&amp;Q523))))))"),"")</f>
        <v/>
      </c>
      <c r="V523" s="10" t="str">
        <f t="shared" si="11"/>
        <v/>
      </c>
      <c r="W523" s="68" t="str">
        <f t="shared" si="12"/>
        <v/>
      </c>
      <c r="X523" s="59" t="str">
        <f t="shared" si="13"/>
        <v/>
      </c>
      <c r="Y523" s="69" t="str">
        <f t="shared" si="14"/>
        <v/>
      </c>
      <c r="Z523" s="11"/>
      <c r="AG523" s="59"/>
    </row>
    <row r="524">
      <c r="A524" s="8"/>
      <c r="B524" s="56" t="str">
        <f t="shared" si="2"/>
        <v/>
      </c>
      <c r="C524" s="105"/>
      <c r="D524" s="10"/>
      <c r="E524" s="59" t="str">
        <f t="array" ref="E524">IF(COUNTA(C524:C1644)=0,"",SUM((COUNTIF(C$4:C524,Upgrades!$B$3:$B$13)-COUNTIF(C$4:C524,"Sell_"&amp;Upgrades!$B$3:$B$13))*Upgrades!$D$3:$D$13))</f>
        <v/>
      </c>
      <c r="F524" s="66" t="str">
        <f>IFERROR(__xludf.DUMMYFUNCTION("IF(COUNTA(C524:C1644)=0,"""",IF(REGEXMATCH(INDEX(FILTER(C$4:C524,C$4:C524&lt;&gt;""""),ROWS(FILTER(C$4:C524,C$4:C524&lt;&gt;""""))),""^Sell_""),INDEX(FILTER(F$4:F523,C$4:C523&lt;&gt;""""),ROWS(FILTER(C$4:C523,C$4:C523&lt;&gt;""""))),$AC$5+E524))"),"")</f>
        <v/>
      </c>
      <c r="G524" s="10" t="str">
        <f>IFERROR(__xludf.DUMMYFUNCTION("IF(COUNTA(C524:C1644)=0,"""",IF(C524="""",0,IF(REGEXMATCH(C524,""^Sell_""),-ROUNDDOWN(ROUNDUP(INDEX(Upgrades!$C$3:$C$13,MATCH(SUBSTITUTE(C524,""Sell_"",""""),Upgrades!$B$3:$B$13,0))*1.15^(COUNTIF(C$4:C523,SUBSTITUTE(C524,""Sell_"",""""))-COUNTIF(C$4:C523,"&amp;"""Sell_""&amp;SUBSTITUTE(C524,""Sell_"",""""))))/2),ROUNDUP(INDEX(Upgrades!$C$3:$C$13,MATCH(C524,Upgrades!$B$3:$B$13,0))*1.15^(COUNTIF(C$4:C523,C524)-COUNTIF(C$4:C523,""Sell_""&amp;C524))))))"),"")</f>
        <v/>
      </c>
      <c r="H524" s="10" t="str">
        <f t="shared" si="3"/>
        <v/>
      </c>
      <c r="I524" s="68" t="str">
        <f t="shared" si="4"/>
        <v/>
      </c>
      <c r="J524" s="59" t="str">
        <f t="shared" si="5"/>
        <v/>
      </c>
      <c r="K524" s="69" t="str">
        <f t="shared" si="6"/>
        <v/>
      </c>
      <c r="L524" s="60" t="str">
        <f t="shared" si="7"/>
        <v/>
      </c>
      <c r="M524" s="61" t="str">
        <f>IFERROR(__xludf.DUMMYFUNCTION("IFS(AND(COUNTA(C524:C1644)=0,COUNTA(Q524:Q1644)=0),"""",OR(AND(K524&gt;=1000000000,OR(Y524&gt;=1000000000,COUNTA(Q524:Q1644)=0)),OR(Y524&gt;=1000000000,AND(COUNTA(C524:C1644)=0,P$3=TRUE))),
ROUNDDOWN((AB$1-AC$1)*MAX(INDEX(T$4:T1644,MATCH(LARGE(FILTER(Y$4:Y1644,Y$4"&amp;":Y1644&lt;1000000000),1),Y$4:Y1644)),INDEX(F$4:F1644,MATCH(LARGE(FILTER(K$4:K1644,K$4:K1644&lt;1000000000),1),K$4:K1644)))),AND(K524&lt;1000000000,COUNTA(C524:C1644)&gt;0,P$3=FALSE),
ROUNDDOWN(INDEX(Y$4:Y1644,MATCH(LARGE(FILTER(W$4:W1644,W$4:W1644&lt;=I524),1),W$4:W1644"&amp;"))+(I524-LARGE(FILTER(W$4:W1644,W$4:W1644&lt;=I524),1))*INDEX(T$4:T1644,MATCH(LARGE(FILTER(W$4:W1644,W$4:W1644&lt;=I524),1),W$4:W1644))-K524),1,
ROUNDDOWN(Y524-INDEX(K$4:K1644,MATCH(LARGE(FILTER(I$4:I1644,I$4:I1644&lt;=W524),1),I$4:I1644))-(W524-LARGE(FILTER(I$4:I"&amp;"1644,I$4:I1644&lt;=W524),1))*INDEX(F$4:F1644,MATCH(LARGE(FILTER(I$4:I1644,I$4:I1644&lt;=W524),1),I$4:I1644))))"),"")</f>
        <v/>
      </c>
      <c r="N524" s="60" t="str">
        <f t="shared" si="8"/>
        <v/>
      </c>
      <c r="O524" s="61" t="str">
        <f t="shared" si="9"/>
        <v/>
      </c>
      <c r="P524" s="56" t="str">
        <f t="shared" si="10"/>
        <v/>
      </c>
      <c r="Q524" s="105"/>
      <c r="R524" s="10"/>
      <c r="S524" s="59" t="str">
        <f t="array" ref="S524">IF(COUNTA(Q524:Q1644)=0,"",SUM((COUNTIF(Q$4:Q524,Upgrades!$B$3:$B$13)-COUNTIF(Q$4:Q524,"Sell_"&amp;Upgrades!$B$3:$B$13))*Upgrades!$D$3:$D$13))</f>
        <v/>
      </c>
      <c r="T524" s="66" t="str">
        <f>IFERROR(__xludf.DUMMYFUNCTION("IF(COUNTA(Q524:Q1644)=0,"""",IF(REGEXMATCH(INDEX(FILTER(Q$4:Q524,Q$4:Q524&lt;&gt;""""),ROWS(FILTER(Q$4:Q524,Q$4:Q524&lt;&gt;""""))),""^Sell_""),INDEX(FILTER(T$4:T523,Q$4:Q523&lt;&gt;""""),ROWS(FILTER(Q$4:Q523,Q$4:Q523&lt;&gt;""""))),$AD$5+S524))"),"")</f>
        <v/>
      </c>
      <c r="U524" s="10" t="str">
        <f>IFERROR(__xludf.DUMMYFUNCTION("IF(COUNTA(Q524:Q1644)=0,"""",IF(Q524="""",0,IF(REGEXMATCH(Q524,""^Sell_""),-ROUNDDOWN(ROUNDUP(INDEX(Upgrades!$C$3:$C$13,MATCH(SUBSTITUTE(Q524,""Sell_"",""""),Upgrades!$B$3:$B$13,0))*1.15^(COUNTIF(Q$4:Q523,SUBSTITUTE(Q524,""Sell_"",""""))-COUNTIF(Q$4:Q523,"&amp;"""Sell_""&amp;SUBSTITUTE(Q524,""Sell_"",""""))))/2),ROUNDUP(INDEX(Upgrades!$C$3:$C$13,MATCH(Q524,Upgrades!$B$3:$B$13,0))*1.15^(COUNTIF(Q$4:Q523,Q524)-COUNTIF(Q$4:Q523,""Sell_""&amp;Q524))))))"),"")</f>
        <v/>
      </c>
      <c r="V524" s="10" t="str">
        <f t="shared" si="11"/>
        <v/>
      </c>
      <c r="W524" s="68" t="str">
        <f t="shared" si="12"/>
        <v/>
      </c>
      <c r="X524" s="59" t="str">
        <f t="shared" si="13"/>
        <v/>
      </c>
      <c r="Y524" s="69" t="str">
        <f t="shared" si="14"/>
        <v/>
      </c>
      <c r="Z524" s="11"/>
      <c r="AG524" s="59"/>
    </row>
    <row r="525">
      <c r="A525" s="8"/>
      <c r="B525" s="56" t="str">
        <f t="shared" si="2"/>
        <v/>
      </c>
      <c r="C525" s="105"/>
      <c r="D525" s="10"/>
      <c r="E525" s="59" t="str">
        <f t="array" ref="E525">IF(COUNTA(C525:C1644)=0,"",SUM((COUNTIF(C$4:C525,Upgrades!$B$3:$B$13)-COUNTIF(C$4:C525,"Sell_"&amp;Upgrades!$B$3:$B$13))*Upgrades!$D$3:$D$13))</f>
        <v/>
      </c>
      <c r="F525" s="66" t="str">
        <f>IFERROR(__xludf.DUMMYFUNCTION("IF(COUNTA(C525:C1644)=0,"""",IF(REGEXMATCH(INDEX(FILTER(C$4:C525,C$4:C525&lt;&gt;""""),ROWS(FILTER(C$4:C525,C$4:C525&lt;&gt;""""))),""^Sell_""),INDEX(FILTER(F$4:F524,C$4:C524&lt;&gt;""""),ROWS(FILTER(C$4:C524,C$4:C524&lt;&gt;""""))),$AC$5+E525))"),"")</f>
        <v/>
      </c>
      <c r="G525" s="10" t="str">
        <f>IFERROR(__xludf.DUMMYFUNCTION("IF(COUNTA(C525:C1644)=0,"""",IF(C525="""",0,IF(REGEXMATCH(C525,""^Sell_""),-ROUNDDOWN(ROUNDUP(INDEX(Upgrades!$C$3:$C$13,MATCH(SUBSTITUTE(C525,""Sell_"",""""),Upgrades!$B$3:$B$13,0))*1.15^(COUNTIF(C$4:C524,SUBSTITUTE(C525,""Sell_"",""""))-COUNTIF(C$4:C524,"&amp;"""Sell_""&amp;SUBSTITUTE(C525,""Sell_"",""""))))/2),ROUNDUP(INDEX(Upgrades!$C$3:$C$13,MATCH(C525,Upgrades!$B$3:$B$13,0))*1.15^(COUNTIF(C$4:C524,C525)-COUNTIF(C$4:C524,""Sell_""&amp;C525))))))"),"")</f>
        <v/>
      </c>
      <c r="H525" s="10" t="str">
        <f t="shared" si="3"/>
        <v/>
      </c>
      <c r="I525" s="68" t="str">
        <f t="shared" si="4"/>
        <v/>
      </c>
      <c r="J525" s="59" t="str">
        <f t="shared" si="5"/>
        <v/>
      </c>
      <c r="K525" s="69" t="str">
        <f t="shared" si="6"/>
        <v/>
      </c>
      <c r="L525" s="60" t="str">
        <f t="shared" si="7"/>
        <v/>
      </c>
      <c r="M525" s="61" t="str">
        <f>IFERROR(__xludf.DUMMYFUNCTION("IFS(AND(COUNTA(C525:C1644)=0,COUNTA(Q525:Q1644)=0),"""",OR(AND(K525&gt;=1000000000,OR(Y525&gt;=1000000000,COUNTA(Q525:Q1644)=0)),OR(Y525&gt;=1000000000,AND(COUNTA(C525:C1644)=0,P$3=TRUE))),
ROUNDDOWN((AB$1-AC$1)*MAX(INDEX(T$4:T1644,MATCH(LARGE(FILTER(Y$4:Y1644,Y$4"&amp;":Y1644&lt;1000000000),1),Y$4:Y1644)),INDEX(F$4:F1644,MATCH(LARGE(FILTER(K$4:K1644,K$4:K1644&lt;1000000000),1),K$4:K1644)))),AND(K525&lt;1000000000,COUNTA(C525:C1644)&gt;0,P$3=FALSE),
ROUNDDOWN(INDEX(Y$4:Y1644,MATCH(LARGE(FILTER(W$4:W1644,W$4:W1644&lt;=I525),1),W$4:W1644"&amp;"))+(I525-LARGE(FILTER(W$4:W1644,W$4:W1644&lt;=I525),1))*INDEX(T$4:T1644,MATCH(LARGE(FILTER(W$4:W1644,W$4:W1644&lt;=I525),1),W$4:W1644))-K525),1,
ROUNDDOWN(Y525-INDEX(K$4:K1644,MATCH(LARGE(FILTER(I$4:I1644,I$4:I1644&lt;=W525),1),I$4:I1644))-(W525-LARGE(FILTER(I$4:I"&amp;"1644,I$4:I1644&lt;=W525),1))*INDEX(F$4:F1644,MATCH(LARGE(FILTER(I$4:I1644,I$4:I1644&lt;=W525),1),I$4:I1644))))"),"")</f>
        <v/>
      </c>
      <c r="N525" s="60" t="str">
        <f t="shared" si="8"/>
        <v/>
      </c>
      <c r="O525" s="61" t="str">
        <f t="shared" si="9"/>
        <v/>
      </c>
      <c r="P525" s="56" t="str">
        <f t="shared" si="10"/>
        <v/>
      </c>
      <c r="Q525" s="105"/>
      <c r="R525" s="10"/>
      <c r="S525" s="59" t="str">
        <f t="array" ref="S525">IF(COUNTA(Q525:Q1644)=0,"",SUM((COUNTIF(Q$4:Q525,Upgrades!$B$3:$B$13)-COUNTIF(Q$4:Q525,"Sell_"&amp;Upgrades!$B$3:$B$13))*Upgrades!$D$3:$D$13))</f>
        <v/>
      </c>
      <c r="T525" s="66" t="str">
        <f>IFERROR(__xludf.DUMMYFUNCTION("IF(COUNTA(Q525:Q1644)=0,"""",IF(REGEXMATCH(INDEX(FILTER(Q$4:Q525,Q$4:Q525&lt;&gt;""""),ROWS(FILTER(Q$4:Q525,Q$4:Q525&lt;&gt;""""))),""^Sell_""),INDEX(FILTER(T$4:T524,Q$4:Q524&lt;&gt;""""),ROWS(FILTER(Q$4:Q524,Q$4:Q524&lt;&gt;""""))),$AD$5+S525))"),"")</f>
        <v/>
      </c>
      <c r="U525" s="10" t="str">
        <f>IFERROR(__xludf.DUMMYFUNCTION("IF(COUNTA(Q525:Q1644)=0,"""",IF(Q525="""",0,IF(REGEXMATCH(Q525,""^Sell_""),-ROUNDDOWN(ROUNDUP(INDEX(Upgrades!$C$3:$C$13,MATCH(SUBSTITUTE(Q525,""Sell_"",""""),Upgrades!$B$3:$B$13,0))*1.15^(COUNTIF(Q$4:Q524,SUBSTITUTE(Q525,""Sell_"",""""))-COUNTIF(Q$4:Q524,"&amp;"""Sell_""&amp;SUBSTITUTE(Q525,""Sell_"",""""))))/2),ROUNDUP(INDEX(Upgrades!$C$3:$C$13,MATCH(Q525,Upgrades!$B$3:$B$13,0))*1.15^(COUNTIF(Q$4:Q524,Q525)-COUNTIF(Q$4:Q524,""Sell_""&amp;Q525))))))"),"")</f>
        <v/>
      </c>
      <c r="V525" s="10" t="str">
        <f t="shared" si="11"/>
        <v/>
      </c>
      <c r="W525" s="68" t="str">
        <f t="shared" si="12"/>
        <v/>
      </c>
      <c r="X525" s="59" t="str">
        <f t="shared" si="13"/>
        <v/>
      </c>
      <c r="Y525" s="69" t="str">
        <f t="shared" si="14"/>
        <v/>
      </c>
      <c r="Z525" s="11"/>
      <c r="AG525" s="59"/>
    </row>
    <row r="526">
      <c r="A526" s="8"/>
      <c r="B526" s="56" t="str">
        <f t="shared" si="2"/>
        <v/>
      </c>
      <c r="C526" s="105"/>
      <c r="D526" s="10"/>
      <c r="E526" s="59" t="str">
        <f t="array" ref="E526">IF(COUNTA(C526:C1644)=0,"",SUM((COUNTIF(C$4:C526,Upgrades!$B$3:$B$13)-COUNTIF(C$4:C526,"Sell_"&amp;Upgrades!$B$3:$B$13))*Upgrades!$D$3:$D$13))</f>
        <v/>
      </c>
      <c r="F526" s="66" t="str">
        <f>IFERROR(__xludf.DUMMYFUNCTION("IF(COUNTA(C526:C1644)=0,"""",IF(REGEXMATCH(INDEX(FILTER(C$4:C526,C$4:C526&lt;&gt;""""),ROWS(FILTER(C$4:C526,C$4:C526&lt;&gt;""""))),""^Sell_""),INDEX(FILTER(F$4:F525,C$4:C525&lt;&gt;""""),ROWS(FILTER(C$4:C525,C$4:C525&lt;&gt;""""))),$AC$5+E526))"),"")</f>
        <v/>
      </c>
      <c r="G526" s="10" t="str">
        <f>IFERROR(__xludf.DUMMYFUNCTION("IF(COUNTA(C526:C1644)=0,"""",IF(C526="""",0,IF(REGEXMATCH(C526,""^Sell_""),-ROUNDDOWN(ROUNDUP(INDEX(Upgrades!$C$3:$C$13,MATCH(SUBSTITUTE(C526,""Sell_"",""""),Upgrades!$B$3:$B$13,0))*1.15^(COUNTIF(C$4:C525,SUBSTITUTE(C526,""Sell_"",""""))-COUNTIF(C$4:C525,"&amp;"""Sell_""&amp;SUBSTITUTE(C526,""Sell_"",""""))))/2),ROUNDUP(INDEX(Upgrades!$C$3:$C$13,MATCH(C526,Upgrades!$B$3:$B$13,0))*1.15^(COUNTIF(C$4:C525,C526)-COUNTIF(C$4:C525,""Sell_""&amp;C526))))))"),"")</f>
        <v/>
      </c>
      <c r="H526" s="10" t="str">
        <f t="shared" si="3"/>
        <v/>
      </c>
      <c r="I526" s="68" t="str">
        <f t="shared" si="4"/>
        <v/>
      </c>
      <c r="J526" s="59" t="str">
        <f t="shared" si="5"/>
        <v/>
      </c>
      <c r="K526" s="69" t="str">
        <f t="shared" si="6"/>
        <v/>
      </c>
      <c r="L526" s="60" t="str">
        <f t="shared" si="7"/>
        <v/>
      </c>
      <c r="M526" s="61" t="str">
        <f>IFERROR(__xludf.DUMMYFUNCTION("IFS(AND(COUNTA(C526:C1644)=0,COUNTA(Q526:Q1644)=0),"""",OR(AND(K526&gt;=1000000000,OR(Y526&gt;=1000000000,COUNTA(Q526:Q1644)=0)),OR(Y526&gt;=1000000000,AND(COUNTA(C526:C1644)=0,P$3=TRUE))),
ROUNDDOWN((AB$1-AC$1)*MAX(INDEX(T$4:T1644,MATCH(LARGE(FILTER(Y$4:Y1644,Y$4"&amp;":Y1644&lt;1000000000),1),Y$4:Y1644)),INDEX(F$4:F1644,MATCH(LARGE(FILTER(K$4:K1644,K$4:K1644&lt;1000000000),1),K$4:K1644)))),AND(K526&lt;1000000000,COUNTA(C526:C1644)&gt;0,P$3=FALSE),
ROUNDDOWN(INDEX(Y$4:Y1644,MATCH(LARGE(FILTER(W$4:W1644,W$4:W1644&lt;=I526),1),W$4:W1644"&amp;"))+(I526-LARGE(FILTER(W$4:W1644,W$4:W1644&lt;=I526),1))*INDEX(T$4:T1644,MATCH(LARGE(FILTER(W$4:W1644,W$4:W1644&lt;=I526),1),W$4:W1644))-K526),1,
ROUNDDOWN(Y526-INDEX(K$4:K1644,MATCH(LARGE(FILTER(I$4:I1644,I$4:I1644&lt;=W526),1),I$4:I1644))-(W526-LARGE(FILTER(I$4:I"&amp;"1644,I$4:I1644&lt;=W526),1))*INDEX(F$4:F1644,MATCH(LARGE(FILTER(I$4:I1644,I$4:I1644&lt;=W526),1),I$4:I1644))))"),"")</f>
        <v/>
      </c>
      <c r="N526" s="60" t="str">
        <f t="shared" si="8"/>
        <v/>
      </c>
      <c r="O526" s="61" t="str">
        <f t="shared" si="9"/>
        <v/>
      </c>
      <c r="P526" s="56" t="str">
        <f t="shared" si="10"/>
        <v/>
      </c>
      <c r="Q526" s="105"/>
      <c r="R526" s="10"/>
      <c r="S526" s="59" t="str">
        <f t="array" ref="S526">IF(COUNTA(Q526:Q1644)=0,"",SUM((COUNTIF(Q$4:Q526,Upgrades!$B$3:$B$13)-COUNTIF(Q$4:Q526,"Sell_"&amp;Upgrades!$B$3:$B$13))*Upgrades!$D$3:$D$13))</f>
        <v/>
      </c>
      <c r="T526" s="66" t="str">
        <f>IFERROR(__xludf.DUMMYFUNCTION("IF(COUNTA(Q526:Q1644)=0,"""",IF(REGEXMATCH(INDEX(FILTER(Q$4:Q526,Q$4:Q526&lt;&gt;""""),ROWS(FILTER(Q$4:Q526,Q$4:Q526&lt;&gt;""""))),""^Sell_""),INDEX(FILTER(T$4:T525,Q$4:Q525&lt;&gt;""""),ROWS(FILTER(Q$4:Q525,Q$4:Q525&lt;&gt;""""))),$AD$5+S526))"),"")</f>
        <v/>
      </c>
      <c r="U526" s="10" t="str">
        <f>IFERROR(__xludf.DUMMYFUNCTION("IF(COUNTA(Q526:Q1644)=0,"""",IF(Q526="""",0,IF(REGEXMATCH(Q526,""^Sell_""),-ROUNDDOWN(ROUNDUP(INDEX(Upgrades!$C$3:$C$13,MATCH(SUBSTITUTE(Q526,""Sell_"",""""),Upgrades!$B$3:$B$13,0))*1.15^(COUNTIF(Q$4:Q525,SUBSTITUTE(Q526,""Sell_"",""""))-COUNTIF(Q$4:Q525,"&amp;"""Sell_""&amp;SUBSTITUTE(Q526,""Sell_"",""""))))/2),ROUNDUP(INDEX(Upgrades!$C$3:$C$13,MATCH(Q526,Upgrades!$B$3:$B$13,0))*1.15^(COUNTIF(Q$4:Q525,Q526)-COUNTIF(Q$4:Q525,""Sell_""&amp;Q526))))))"),"")</f>
        <v/>
      </c>
      <c r="V526" s="10" t="str">
        <f t="shared" si="11"/>
        <v/>
      </c>
      <c r="W526" s="68" t="str">
        <f t="shared" si="12"/>
        <v/>
      </c>
      <c r="X526" s="59" t="str">
        <f t="shared" si="13"/>
        <v/>
      </c>
      <c r="Y526" s="69" t="str">
        <f t="shared" si="14"/>
        <v/>
      </c>
      <c r="Z526" s="11"/>
      <c r="AG526" s="59"/>
    </row>
    <row r="527">
      <c r="A527" s="8"/>
      <c r="B527" s="56" t="str">
        <f t="shared" si="2"/>
        <v/>
      </c>
      <c r="C527" s="105"/>
      <c r="D527" s="10"/>
      <c r="E527" s="59" t="str">
        <f t="array" ref="E527">IF(COUNTA(C527:C1644)=0,"",SUM((COUNTIF(C$4:C527,Upgrades!$B$3:$B$13)-COUNTIF(C$4:C527,"Sell_"&amp;Upgrades!$B$3:$B$13))*Upgrades!$D$3:$D$13))</f>
        <v/>
      </c>
      <c r="F527" s="66" t="str">
        <f>IFERROR(__xludf.DUMMYFUNCTION("IF(COUNTA(C527:C1644)=0,"""",IF(REGEXMATCH(INDEX(FILTER(C$4:C527,C$4:C527&lt;&gt;""""),ROWS(FILTER(C$4:C527,C$4:C527&lt;&gt;""""))),""^Sell_""),INDEX(FILTER(F$4:F526,C$4:C526&lt;&gt;""""),ROWS(FILTER(C$4:C526,C$4:C526&lt;&gt;""""))),$AC$5+E527))"),"")</f>
        <v/>
      </c>
      <c r="G527" s="10" t="str">
        <f>IFERROR(__xludf.DUMMYFUNCTION("IF(COUNTA(C527:C1644)=0,"""",IF(C527="""",0,IF(REGEXMATCH(C527,""^Sell_""),-ROUNDDOWN(ROUNDUP(INDEX(Upgrades!$C$3:$C$13,MATCH(SUBSTITUTE(C527,""Sell_"",""""),Upgrades!$B$3:$B$13,0))*1.15^(COUNTIF(C$4:C526,SUBSTITUTE(C527,""Sell_"",""""))-COUNTIF(C$4:C526,"&amp;"""Sell_""&amp;SUBSTITUTE(C527,""Sell_"",""""))))/2),ROUNDUP(INDEX(Upgrades!$C$3:$C$13,MATCH(C527,Upgrades!$B$3:$B$13,0))*1.15^(COUNTIF(C$4:C526,C527)-COUNTIF(C$4:C526,""Sell_""&amp;C527))))))"),"")</f>
        <v/>
      </c>
      <c r="H527" s="10" t="str">
        <f t="shared" si="3"/>
        <v/>
      </c>
      <c r="I527" s="68" t="str">
        <f t="shared" si="4"/>
        <v/>
      </c>
      <c r="J527" s="59" t="str">
        <f t="shared" si="5"/>
        <v/>
      </c>
      <c r="K527" s="69" t="str">
        <f t="shared" si="6"/>
        <v/>
      </c>
      <c r="L527" s="60" t="str">
        <f t="shared" si="7"/>
        <v/>
      </c>
      <c r="M527" s="61" t="str">
        <f>IFERROR(__xludf.DUMMYFUNCTION("IFS(AND(COUNTA(C527:C1644)=0,COUNTA(Q527:Q1644)=0),"""",OR(AND(K527&gt;=1000000000,OR(Y527&gt;=1000000000,COUNTA(Q527:Q1644)=0)),OR(Y527&gt;=1000000000,AND(COUNTA(C527:C1644)=0,P$3=TRUE))),
ROUNDDOWN((AB$1-AC$1)*MAX(INDEX(T$4:T1644,MATCH(LARGE(FILTER(Y$4:Y1644,Y$4"&amp;":Y1644&lt;1000000000),1),Y$4:Y1644)),INDEX(F$4:F1644,MATCH(LARGE(FILTER(K$4:K1644,K$4:K1644&lt;1000000000),1),K$4:K1644)))),AND(K527&lt;1000000000,COUNTA(C527:C1644)&gt;0,P$3=FALSE),
ROUNDDOWN(INDEX(Y$4:Y1644,MATCH(LARGE(FILTER(W$4:W1644,W$4:W1644&lt;=I527),1),W$4:W1644"&amp;"))+(I527-LARGE(FILTER(W$4:W1644,W$4:W1644&lt;=I527),1))*INDEX(T$4:T1644,MATCH(LARGE(FILTER(W$4:W1644,W$4:W1644&lt;=I527),1),W$4:W1644))-K527),1,
ROUNDDOWN(Y527-INDEX(K$4:K1644,MATCH(LARGE(FILTER(I$4:I1644,I$4:I1644&lt;=W527),1),I$4:I1644))-(W527-LARGE(FILTER(I$4:I"&amp;"1644,I$4:I1644&lt;=W527),1))*INDEX(F$4:F1644,MATCH(LARGE(FILTER(I$4:I1644,I$4:I1644&lt;=W527),1),I$4:I1644))))"),"")</f>
        <v/>
      </c>
      <c r="N527" s="60" t="str">
        <f t="shared" si="8"/>
        <v/>
      </c>
      <c r="O527" s="61" t="str">
        <f t="shared" si="9"/>
        <v/>
      </c>
      <c r="P527" s="56" t="str">
        <f t="shared" si="10"/>
        <v/>
      </c>
      <c r="Q527" s="105"/>
      <c r="R527" s="10"/>
      <c r="S527" s="59" t="str">
        <f t="array" ref="S527">IF(COUNTA(Q527:Q1644)=0,"",SUM((COUNTIF(Q$4:Q527,Upgrades!$B$3:$B$13)-COUNTIF(Q$4:Q527,"Sell_"&amp;Upgrades!$B$3:$B$13))*Upgrades!$D$3:$D$13))</f>
        <v/>
      </c>
      <c r="T527" s="66" t="str">
        <f>IFERROR(__xludf.DUMMYFUNCTION("IF(COUNTA(Q527:Q1644)=0,"""",IF(REGEXMATCH(INDEX(FILTER(Q$4:Q527,Q$4:Q527&lt;&gt;""""),ROWS(FILTER(Q$4:Q527,Q$4:Q527&lt;&gt;""""))),""^Sell_""),INDEX(FILTER(T$4:T526,Q$4:Q526&lt;&gt;""""),ROWS(FILTER(Q$4:Q526,Q$4:Q526&lt;&gt;""""))),$AD$5+S527))"),"")</f>
        <v/>
      </c>
      <c r="U527" s="10" t="str">
        <f>IFERROR(__xludf.DUMMYFUNCTION("IF(COUNTA(Q527:Q1644)=0,"""",IF(Q527="""",0,IF(REGEXMATCH(Q527,""^Sell_""),-ROUNDDOWN(ROUNDUP(INDEX(Upgrades!$C$3:$C$13,MATCH(SUBSTITUTE(Q527,""Sell_"",""""),Upgrades!$B$3:$B$13,0))*1.15^(COUNTIF(Q$4:Q526,SUBSTITUTE(Q527,""Sell_"",""""))-COUNTIF(Q$4:Q526,"&amp;"""Sell_""&amp;SUBSTITUTE(Q527,""Sell_"",""""))))/2),ROUNDUP(INDEX(Upgrades!$C$3:$C$13,MATCH(Q527,Upgrades!$B$3:$B$13,0))*1.15^(COUNTIF(Q$4:Q526,Q527)-COUNTIF(Q$4:Q526,""Sell_""&amp;Q527))))))"),"")</f>
        <v/>
      </c>
      <c r="V527" s="10" t="str">
        <f t="shared" si="11"/>
        <v/>
      </c>
      <c r="W527" s="68" t="str">
        <f t="shared" si="12"/>
        <v/>
      </c>
      <c r="X527" s="59" t="str">
        <f t="shared" si="13"/>
        <v/>
      </c>
      <c r="Y527" s="69" t="str">
        <f t="shared" si="14"/>
        <v/>
      </c>
      <c r="Z527" s="11"/>
      <c r="AG527" s="59"/>
    </row>
    <row r="528">
      <c r="A528" s="8"/>
      <c r="B528" s="56" t="str">
        <f t="shared" si="2"/>
        <v/>
      </c>
      <c r="C528" s="105"/>
      <c r="D528" s="10"/>
      <c r="E528" s="59" t="str">
        <f t="array" ref="E528">IF(COUNTA(C528:C1644)=0,"",SUM((COUNTIF(C$4:C528,Upgrades!$B$3:$B$13)-COUNTIF(C$4:C528,"Sell_"&amp;Upgrades!$B$3:$B$13))*Upgrades!$D$3:$D$13))</f>
        <v/>
      </c>
      <c r="F528" s="66" t="str">
        <f>IFERROR(__xludf.DUMMYFUNCTION("IF(COUNTA(C528:C1644)=0,"""",IF(REGEXMATCH(INDEX(FILTER(C$4:C528,C$4:C528&lt;&gt;""""),ROWS(FILTER(C$4:C528,C$4:C528&lt;&gt;""""))),""^Sell_""),INDEX(FILTER(F$4:F527,C$4:C527&lt;&gt;""""),ROWS(FILTER(C$4:C527,C$4:C527&lt;&gt;""""))),$AC$5+E528))"),"")</f>
        <v/>
      </c>
      <c r="G528" s="10" t="str">
        <f>IFERROR(__xludf.DUMMYFUNCTION("IF(COUNTA(C528:C1644)=0,"""",IF(C528="""",0,IF(REGEXMATCH(C528,""^Sell_""),-ROUNDDOWN(ROUNDUP(INDEX(Upgrades!$C$3:$C$13,MATCH(SUBSTITUTE(C528,""Sell_"",""""),Upgrades!$B$3:$B$13,0))*1.15^(COUNTIF(C$4:C527,SUBSTITUTE(C528,""Sell_"",""""))-COUNTIF(C$4:C527,"&amp;"""Sell_""&amp;SUBSTITUTE(C528,""Sell_"",""""))))/2),ROUNDUP(INDEX(Upgrades!$C$3:$C$13,MATCH(C528,Upgrades!$B$3:$B$13,0))*1.15^(COUNTIF(C$4:C527,C528)-COUNTIF(C$4:C527,""Sell_""&amp;C528))))))"),"")</f>
        <v/>
      </c>
      <c r="H528" s="10" t="str">
        <f t="shared" si="3"/>
        <v/>
      </c>
      <c r="I528" s="68" t="str">
        <f t="shared" si="4"/>
        <v/>
      </c>
      <c r="J528" s="59" t="str">
        <f t="shared" si="5"/>
        <v/>
      </c>
      <c r="K528" s="69" t="str">
        <f t="shared" si="6"/>
        <v/>
      </c>
      <c r="L528" s="60" t="str">
        <f t="shared" si="7"/>
        <v/>
      </c>
      <c r="M528" s="61" t="str">
        <f>IFERROR(__xludf.DUMMYFUNCTION("IFS(AND(COUNTA(C528:C1644)=0,COUNTA(Q528:Q1644)=0),"""",OR(AND(K528&gt;=1000000000,OR(Y528&gt;=1000000000,COUNTA(Q528:Q1644)=0)),OR(Y528&gt;=1000000000,AND(COUNTA(C528:C1644)=0,P$3=TRUE))),
ROUNDDOWN((AB$1-AC$1)*MAX(INDEX(T$4:T1644,MATCH(LARGE(FILTER(Y$4:Y1644,Y$4"&amp;":Y1644&lt;1000000000),1),Y$4:Y1644)),INDEX(F$4:F1644,MATCH(LARGE(FILTER(K$4:K1644,K$4:K1644&lt;1000000000),1),K$4:K1644)))),AND(K528&lt;1000000000,COUNTA(C528:C1644)&gt;0,P$3=FALSE),
ROUNDDOWN(INDEX(Y$4:Y1644,MATCH(LARGE(FILTER(W$4:W1644,W$4:W1644&lt;=I528),1),W$4:W1644"&amp;"))+(I528-LARGE(FILTER(W$4:W1644,W$4:W1644&lt;=I528),1))*INDEX(T$4:T1644,MATCH(LARGE(FILTER(W$4:W1644,W$4:W1644&lt;=I528),1),W$4:W1644))-K528),1,
ROUNDDOWN(Y528-INDEX(K$4:K1644,MATCH(LARGE(FILTER(I$4:I1644,I$4:I1644&lt;=W528),1),I$4:I1644))-(W528-LARGE(FILTER(I$4:I"&amp;"1644,I$4:I1644&lt;=W528),1))*INDEX(F$4:F1644,MATCH(LARGE(FILTER(I$4:I1644,I$4:I1644&lt;=W528),1),I$4:I1644))))"),"")</f>
        <v/>
      </c>
      <c r="N528" s="60" t="str">
        <f t="shared" si="8"/>
        <v/>
      </c>
      <c r="O528" s="61" t="str">
        <f t="shared" si="9"/>
        <v/>
      </c>
      <c r="P528" s="56" t="str">
        <f t="shared" si="10"/>
        <v/>
      </c>
      <c r="Q528" s="105"/>
      <c r="R528" s="10"/>
      <c r="S528" s="59" t="str">
        <f t="array" ref="S528">IF(COUNTA(Q528:Q1644)=0,"",SUM((COUNTIF(Q$4:Q528,Upgrades!$B$3:$B$13)-COUNTIF(Q$4:Q528,"Sell_"&amp;Upgrades!$B$3:$B$13))*Upgrades!$D$3:$D$13))</f>
        <v/>
      </c>
      <c r="T528" s="66" t="str">
        <f>IFERROR(__xludf.DUMMYFUNCTION("IF(COUNTA(Q528:Q1644)=0,"""",IF(REGEXMATCH(INDEX(FILTER(Q$4:Q528,Q$4:Q528&lt;&gt;""""),ROWS(FILTER(Q$4:Q528,Q$4:Q528&lt;&gt;""""))),""^Sell_""),INDEX(FILTER(T$4:T527,Q$4:Q527&lt;&gt;""""),ROWS(FILTER(Q$4:Q527,Q$4:Q527&lt;&gt;""""))),$AD$5+S528))"),"")</f>
        <v/>
      </c>
      <c r="U528" s="10" t="str">
        <f>IFERROR(__xludf.DUMMYFUNCTION("IF(COUNTA(Q528:Q1644)=0,"""",IF(Q528="""",0,IF(REGEXMATCH(Q528,""^Sell_""),-ROUNDDOWN(ROUNDUP(INDEX(Upgrades!$C$3:$C$13,MATCH(SUBSTITUTE(Q528,""Sell_"",""""),Upgrades!$B$3:$B$13,0))*1.15^(COUNTIF(Q$4:Q527,SUBSTITUTE(Q528,""Sell_"",""""))-COUNTIF(Q$4:Q527,"&amp;"""Sell_""&amp;SUBSTITUTE(Q528,""Sell_"",""""))))/2),ROUNDUP(INDEX(Upgrades!$C$3:$C$13,MATCH(Q528,Upgrades!$B$3:$B$13,0))*1.15^(COUNTIF(Q$4:Q527,Q528)-COUNTIF(Q$4:Q527,""Sell_""&amp;Q528))))))"),"")</f>
        <v/>
      </c>
      <c r="V528" s="10" t="str">
        <f t="shared" si="11"/>
        <v/>
      </c>
      <c r="W528" s="68" t="str">
        <f t="shared" si="12"/>
        <v/>
      </c>
      <c r="X528" s="59" t="str">
        <f t="shared" si="13"/>
        <v/>
      </c>
      <c r="Y528" s="69" t="str">
        <f t="shared" si="14"/>
        <v/>
      </c>
      <c r="Z528" s="11"/>
      <c r="AG528" s="59"/>
    </row>
    <row r="529">
      <c r="A529" s="8"/>
      <c r="B529" s="56" t="str">
        <f t="shared" si="2"/>
        <v/>
      </c>
      <c r="C529" s="105"/>
      <c r="D529" s="10"/>
      <c r="E529" s="59" t="str">
        <f t="array" ref="E529">IF(COUNTA(C529:C1644)=0,"",SUM((COUNTIF(C$4:C529,Upgrades!$B$3:$B$13)-COUNTIF(C$4:C529,"Sell_"&amp;Upgrades!$B$3:$B$13))*Upgrades!$D$3:$D$13))</f>
        <v/>
      </c>
      <c r="F529" s="66" t="str">
        <f>IFERROR(__xludf.DUMMYFUNCTION("IF(COUNTA(C529:C1644)=0,"""",IF(REGEXMATCH(INDEX(FILTER(C$4:C529,C$4:C529&lt;&gt;""""),ROWS(FILTER(C$4:C529,C$4:C529&lt;&gt;""""))),""^Sell_""),INDEX(FILTER(F$4:F528,C$4:C528&lt;&gt;""""),ROWS(FILTER(C$4:C528,C$4:C528&lt;&gt;""""))),$AC$5+E529))"),"")</f>
        <v/>
      </c>
      <c r="G529" s="10" t="str">
        <f>IFERROR(__xludf.DUMMYFUNCTION("IF(COUNTA(C529:C1644)=0,"""",IF(C529="""",0,IF(REGEXMATCH(C529,""^Sell_""),-ROUNDDOWN(ROUNDUP(INDEX(Upgrades!$C$3:$C$13,MATCH(SUBSTITUTE(C529,""Sell_"",""""),Upgrades!$B$3:$B$13,0))*1.15^(COUNTIF(C$4:C528,SUBSTITUTE(C529,""Sell_"",""""))-COUNTIF(C$4:C528,"&amp;"""Sell_""&amp;SUBSTITUTE(C529,""Sell_"",""""))))/2),ROUNDUP(INDEX(Upgrades!$C$3:$C$13,MATCH(C529,Upgrades!$B$3:$B$13,0))*1.15^(COUNTIF(C$4:C528,C529)-COUNTIF(C$4:C528,""Sell_""&amp;C529))))))"),"")</f>
        <v/>
      </c>
      <c r="H529" s="10" t="str">
        <f t="shared" si="3"/>
        <v/>
      </c>
      <c r="I529" s="68" t="str">
        <f t="shared" si="4"/>
        <v/>
      </c>
      <c r="J529" s="59" t="str">
        <f t="shared" si="5"/>
        <v/>
      </c>
      <c r="K529" s="69" t="str">
        <f t="shared" si="6"/>
        <v/>
      </c>
      <c r="L529" s="60" t="str">
        <f t="shared" si="7"/>
        <v/>
      </c>
      <c r="M529" s="61" t="str">
        <f>IFERROR(__xludf.DUMMYFUNCTION("IFS(AND(COUNTA(C529:C1644)=0,COUNTA(Q529:Q1644)=0),"""",OR(AND(K529&gt;=1000000000,OR(Y529&gt;=1000000000,COUNTA(Q529:Q1644)=0)),OR(Y529&gt;=1000000000,AND(COUNTA(C529:C1644)=0,P$3=TRUE))),
ROUNDDOWN((AB$1-AC$1)*MAX(INDEX(T$4:T1644,MATCH(LARGE(FILTER(Y$4:Y1644,Y$4"&amp;":Y1644&lt;1000000000),1),Y$4:Y1644)),INDEX(F$4:F1644,MATCH(LARGE(FILTER(K$4:K1644,K$4:K1644&lt;1000000000),1),K$4:K1644)))),AND(K529&lt;1000000000,COUNTA(C529:C1644)&gt;0,P$3=FALSE),
ROUNDDOWN(INDEX(Y$4:Y1644,MATCH(LARGE(FILTER(W$4:W1644,W$4:W1644&lt;=I529),1),W$4:W1644"&amp;"))+(I529-LARGE(FILTER(W$4:W1644,W$4:W1644&lt;=I529),1))*INDEX(T$4:T1644,MATCH(LARGE(FILTER(W$4:W1644,W$4:W1644&lt;=I529),1),W$4:W1644))-K529),1,
ROUNDDOWN(Y529-INDEX(K$4:K1644,MATCH(LARGE(FILTER(I$4:I1644,I$4:I1644&lt;=W529),1),I$4:I1644))-(W529-LARGE(FILTER(I$4:I"&amp;"1644,I$4:I1644&lt;=W529),1))*INDEX(F$4:F1644,MATCH(LARGE(FILTER(I$4:I1644,I$4:I1644&lt;=W529),1),I$4:I1644))))"),"")</f>
        <v/>
      </c>
      <c r="N529" s="60" t="str">
        <f t="shared" si="8"/>
        <v/>
      </c>
      <c r="O529" s="61" t="str">
        <f t="shared" si="9"/>
        <v/>
      </c>
      <c r="P529" s="56" t="str">
        <f t="shared" si="10"/>
        <v/>
      </c>
      <c r="Q529" s="105"/>
      <c r="R529" s="10"/>
      <c r="S529" s="59" t="str">
        <f t="array" ref="S529">IF(COUNTA(Q529:Q1644)=0,"",SUM((COUNTIF(Q$4:Q529,Upgrades!$B$3:$B$13)-COUNTIF(Q$4:Q529,"Sell_"&amp;Upgrades!$B$3:$B$13))*Upgrades!$D$3:$D$13))</f>
        <v/>
      </c>
      <c r="T529" s="66" t="str">
        <f>IFERROR(__xludf.DUMMYFUNCTION("IF(COUNTA(Q529:Q1644)=0,"""",IF(REGEXMATCH(INDEX(FILTER(Q$4:Q529,Q$4:Q529&lt;&gt;""""),ROWS(FILTER(Q$4:Q529,Q$4:Q529&lt;&gt;""""))),""^Sell_""),INDEX(FILTER(T$4:T528,Q$4:Q528&lt;&gt;""""),ROWS(FILTER(Q$4:Q528,Q$4:Q528&lt;&gt;""""))),$AD$5+S529))"),"")</f>
        <v/>
      </c>
      <c r="U529" s="10" t="str">
        <f>IFERROR(__xludf.DUMMYFUNCTION("IF(COUNTA(Q529:Q1644)=0,"""",IF(Q529="""",0,IF(REGEXMATCH(Q529,""^Sell_""),-ROUNDDOWN(ROUNDUP(INDEX(Upgrades!$C$3:$C$13,MATCH(SUBSTITUTE(Q529,""Sell_"",""""),Upgrades!$B$3:$B$13,0))*1.15^(COUNTIF(Q$4:Q528,SUBSTITUTE(Q529,""Sell_"",""""))-COUNTIF(Q$4:Q528,"&amp;"""Sell_""&amp;SUBSTITUTE(Q529,""Sell_"",""""))))/2),ROUNDUP(INDEX(Upgrades!$C$3:$C$13,MATCH(Q529,Upgrades!$B$3:$B$13,0))*1.15^(COUNTIF(Q$4:Q528,Q529)-COUNTIF(Q$4:Q528,""Sell_""&amp;Q529))))))"),"")</f>
        <v/>
      </c>
      <c r="V529" s="10" t="str">
        <f t="shared" si="11"/>
        <v/>
      </c>
      <c r="W529" s="68" t="str">
        <f t="shared" si="12"/>
        <v/>
      </c>
      <c r="X529" s="59" t="str">
        <f t="shared" si="13"/>
        <v/>
      </c>
      <c r="Y529" s="69" t="str">
        <f t="shared" si="14"/>
        <v/>
      </c>
      <c r="Z529" s="11"/>
      <c r="AG529" s="59"/>
    </row>
    <row r="530">
      <c r="A530" s="8"/>
      <c r="B530" s="56" t="str">
        <f t="shared" si="2"/>
        <v/>
      </c>
      <c r="C530" s="105"/>
      <c r="D530" s="10"/>
      <c r="E530" s="59" t="str">
        <f t="array" ref="E530">IF(COUNTA(C530:C1644)=0,"",SUM((COUNTIF(C$4:C530,Upgrades!$B$3:$B$13)-COUNTIF(C$4:C530,"Sell_"&amp;Upgrades!$B$3:$B$13))*Upgrades!$D$3:$D$13))</f>
        <v/>
      </c>
      <c r="F530" s="66" t="str">
        <f>IFERROR(__xludf.DUMMYFUNCTION("IF(COUNTA(C530:C1644)=0,"""",IF(REGEXMATCH(INDEX(FILTER(C$4:C530,C$4:C530&lt;&gt;""""),ROWS(FILTER(C$4:C530,C$4:C530&lt;&gt;""""))),""^Sell_""),INDEX(FILTER(F$4:F529,C$4:C529&lt;&gt;""""),ROWS(FILTER(C$4:C529,C$4:C529&lt;&gt;""""))),$AC$5+E530))"),"")</f>
        <v/>
      </c>
      <c r="G530" s="10" t="str">
        <f>IFERROR(__xludf.DUMMYFUNCTION("IF(COUNTA(C530:C1644)=0,"""",IF(C530="""",0,IF(REGEXMATCH(C530,""^Sell_""),-ROUNDDOWN(ROUNDUP(INDEX(Upgrades!$C$3:$C$13,MATCH(SUBSTITUTE(C530,""Sell_"",""""),Upgrades!$B$3:$B$13,0))*1.15^(COUNTIF(C$4:C529,SUBSTITUTE(C530,""Sell_"",""""))-COUNTIF(C$4:C529,"&amp;"""Sell_""&amp;SUBSTITUTE(C530,""Sell_"",""""))))/2),ROUNDUP(INDEX(Upgrades!$C$3:$C$13,MATCH(C530,Upgrades!$B$3:$B$13,0))*1.15^(COUNTIF(C$4:C529,C530)-COUNTIF(C$4:C529,""Sell_""&amp;C530))))))"),"")</f>
        <v/>
      </c>
      <c r="H530" s="10" t="str">
        <f t="shared" si="3"/>
        <v/>
      </c>
      <c r="I530" s="68" t="str">
        <f t="shared" si="4"/>
        <v/>
      </c>
      <c r="J530" s="59" t="str">
        <f t="shared" si="5"/>
        <v/>
      </c>
      <c r="K530" s="69" t="str">
        <f t="shared" si="6"/>
        <v/>
      </c>
      <c r="L530" s="60" t="str">
        <f t="shared" si="7"/>
        <v/>
      </c>
      <c r="M530" s="61" t="str">
        <f>IFERROR(__xludf.DUMMYFUNCTION("IFS(AND(COUNTA(C530:C1644)=0,COUNTA(Q530:Q1644)=0),"""",OR(AND(K530&gt;=1000000000,OR(Y530&gt;=1000000000,COUNTA(Q530:Q1644)=0)),OR(Y530&gt;=1000000000,AND(COUNTA(C530:C1644)=0,P$3=TRUE))),
ROUNDDOWN((AB$1-AC$1)*MAX(INDEX(T$4:T1644,MATCH(LARGE(FILTER(Y$4:Y1644,Y$4"&amp;":Y1644&lt;1000000000),1),Y$4:Y1644)),INDEX(F$4:F1644,MATCH(LARGE(FILTER(K$4:K1644,K$4:K1644&lt;1000000000),1),K$4:K1644)))),AND(K530&lt;1000000000,COUNTA(C530:C1644)&gt;0,P$3=FALSE),
ROUNDDOWN(INDEX(Y$4:Y1644,MATCH(LARGE(FILTER(W$4:W1644,W$4:W1644&lt;=I530),1),W$4:W1644"&amp;"))+(I530-LARGE(FILTER(W$4:W1644,W$4:W1644&lt;=I530),1))*INDEX(T$4:T1644,MATCH(LARGE(FILTER(W$4:W1644,W$4:W1644&lt;=I530),1),W$4:W1644))-K530),1,
ROUNDDOWN(Y530-INDEX(K$4:K1644,MATCH(LARGE(FILTER(I$4:I1644,I$4:I1644&lt;=W530),1),I$4:I1644))-(W530-LARGE(FILTER(I$4:I"&amp;"1644,I$4:I1644&lt;=W530),1))*INDEX(F$4:F1644,MATCH(LARGE(FILTER(I$4:I1644,I$4:I1644&lt;=W530),1),I$4:I1644))))"),"")</f>
        <v/>
      </c>
      <c r="N530" s="60" t="str">
        <f t="shared" si="8"/>
        <v/>
      </c>
      <c r="O530" s="61" t="str">
        <f t="shared" si="9"/>
        <v/>
      </c>
      <c r="P530" s="56" t="str">
        <f t="shared" si="10"/>
        <v/>
      </c>
      <c r="Q530" s="105"/>
      <c r="R530" s="10"/>
      <c r="S530" s="59" t="str">
        <f t="array" ref="S530">IF(COUNTA(Q530:Q1644)=0,"",SUM((COUNTIF(Q$4:Q530,Upgrades!$B$3:$B$13)-COUNTIF(Q$4:Q530,"Sell_"&amp;Upgrades!$B$3:$B$13))*Upgrades!$D$3:$D$13))</f>
        <v/>
      </c>
      <c r="T530" s="66" t="str">
        <f>IFERROR(__xludf.DUMMYFUNCTION("IF(COUNTA(Q530:Q1644)=0,"""",IF(REGEXMATCH(INDEX(FILTER(Q$4:Q530,Q$4:Q530&lt;&gt;""""),ROWS(FILTER(Q$4:Q530,Q$4:Q530&lt;&gt;""""))),""^Sell_""),INDEX(FILTER(T$4:T529,Q$4:Q529&lt;&gt;""""),ROWS(FILTER(Q$4:Q529,Q$4:Q529&lt;&gt;""""))),$AD$5+S530))"),"")</f>
        <v/>
      </c>
      <c r="U530" s="10" t="str">
        <f>IFERROR(__xludf.DUMMYFUNCTION("IF(COUNTA(Q530:Q1644)=0,"""",IF(Q530="""",0,IF(REGEXMATCH(Q530,""^Sell_""),-ROUNDDOWN(ROUNDUP(INDEX(Upgrades!$C$3:$C$13,MATCH(SUBSTITUTE(Q530,""Sell_"",""""),Upgrades!$B$3:$B$13,0))*1.15^(COUNTIF(Q$4:Q529,SUBSTITUTE(Q530,""Sell_"",""""))-COUNTIF(Q$4:Q529,"&amp;"""Sell_""&amp;SUBSTITUTE(Q530,""Sell_"",""""))))/2),ROUNDUP(INDEX(Upgrades!$C$3:$C$13,MATCH(Q530,Upgrades!$B$3:$B$13,0))*1.15^(COUNTIF(Q$4:Q529,Q530)-COUNTIF(Q$4:Q529,""Sell_""&amp;Q530))))))"),"")</f>
        <v/>
      </c>
      <c r="V530" s="10" t="str">
        <f t="shared" si="11"/>
        <v/>
      </c>
      <c r="W530" s="68" t="str">
        <f t="shared" si="12"/>
        <v/>
      </c>
      <c r="X530" s="59" t="str">
        <f t="shared" si="13"/>
        <v/>
      </c>
      <c r="Y530" s="69" t="str">
        <f t="shared" si="14"/>
        <v/>
      </c>
      <c r="Z530" s="11"/>
      <c r="AG530" s="59"/>
    </row>
    <row r="531">
      <c r="A531" s="8"/>
      <c r="B531" s="56" t="str">
        <f t="shared" si="2"/>
        <v/>
      </c>
      <c r="C531" s="105"/>
      <c r="D531" s="10"/>
      <c r="E531" s="59" t="str">
        <f t="array" ref="E531">IF(COUNTA(C531:C1644)=0,"",SUM((COUNTIF(C$4:C531,Upgrades!$B$3:$B$13)-COUNTIF(C$4:C531,"Sell_"&amp;Upgrades!$B$3:$B$13))*Upgrades!$D$3:$D$13))</f>
        <v/>
      </c>
      <c r="F531" s="66" t="str">
        <f>IFERROR(__xludf.DUMMYFUNCTION("IF(COUNTA(C531:C1644)=0,"""",IF(REGEXMATCH(INDEX(FILTER(C$4:C531,C$4:C531&lt;&gt;""""),ROWS(FILTER(C$4:C531,C$4:C531&lt;&gt;""""))),""^Sell_""),INDEX(FILTER(F$4:F530,C$4:C530&lt;&gt;""""),ROWS(FILTER(C$4:C530,C$4:C530&lt;&gt;""""))),$AC$5+E531))"),"")</f>
        <v/>
      </c>
      <c r="G531" s="10" t="str">
        <f>IFERROR(__xludf.DUMMYFUNCTION("IF(COUNTA(C531:C1644)=0,"""",IF(C531="""",0,IF(REGEXMATCH(C531,""^Sell_""),-ROUNDDOWN(ROUNDUP(INDEX(Upgrades!$C$3:$C$13,MATCH(SUBSTITUTE(C531,""Sell_"",""""),Upgrades!$B$3:$B$13,0))*1.15^(COUNTIF(C$4:C530,SUBSTITUTE(C531,""Sell_"",""""))-COUNTIF(C$4:C530,"&amp;"""Sell_""&amp;SUBSTITUTE(C531,""Sell_"",""""))))/2),ROUNDUP(INDEX(Upgrades!$C$3:$C$13,MATCH(C531,Upgrades!$B$3:$B$13,0))*1.15^(COUNTIF(C$4:C530,C531)-COUNTIF(C$4:C530,""Sell_""&amp;C531))))))"),"")</f>
        <v/>
      </c>
      <c r="H531" s="10" t="str">
        <f t="shared" si="3"/>
        <v/>
      </c>
      <c r="I531" s="68" t="str">
        <f t="shared" si="4"/>
        <v/>
      </c>
      <c r="J531" s="59" t="str">
        <f t="shared" si="5"/>
        <v/>
      </c>
      <c r="K531" s="69" t="str">
        <f t="shared" si="6"/>
        <v/>
      </c>
      <c r="L531" s="60" t="str">
        <f t="shared" si="7"/>
        <v/>
      </c>
      <c r="M531" s="61" t="str">
        <f>IFERROR(__xludf.DUMMYFUNCTION("IFS(AND(COUNTA(C531:C1644)=0,COUNTA(Q531:Q1644)=0),"""",OR(AND(K531&gt;=1000000000,OR(Y531&gt;=1000000000,COUNTA(Q531:Q1644)=0)),OR(Y531&gt;=1000000000,AND(COUNTA(C531:C1644)=0,P$3=TRUE))),
ROUNDDOWN((AB$1-AC$1)*MAX(INDEX(T$4:T1644,MATCH(LARGE(FILTER(Y$4:Y1644,Y$4"&amp;":Y1644&lt;1000000000),1),Y$4:Y1644)),INDEX(F$4:F1644,MATCH(LARGE(FILTER(K$4:K1644,K$4:K1644&lt;1000000000),1),K$4:K1644)))),AND(K531&lt;1000000000,COUNTA(C531:C1644)&gt;0,P$3=FALSE),
ROUNDDOWN(INDEX(Y$4:Y1644,MATCH(LARGE(FILTER(W$4:W1644,W$4:W1644&lt;=I531),1),W$4:W1644"&amp;"))+(I531-LARGE(FILTER(W$4:W1644,W$4:W1644&lt;=I531),1))*INDEX(T$4:T1644,MATCH(LARGE(FILTER(W$4:W1644,W$4:W1644&lt;=I531),1),W$4:W1644))-K531),1,
ROUNDDOWN(Y531-INDEX(K$4:K1644,MATCH(LARGE(FILTER(I$4:I1644,I$4:I1644&lt;=W531),1),I$4:I1644))-(W531-LARGE(FILTER(I$4:I"&amp;"1644,I$4:I1644&lt;=W531),1))*INDEX(F$4:F1644,MATCH(LARGE(FILTER(I$4:I1644,I$4:I1644&lt;=W531),1),I$4:I1644))))"),"")</f>
        <v/>
      </c>
      <c r="N531" s="60" t="str">
        <f t="shared" si="8"/>
        <v/>
      </c>
      <c r="O531" s="61" t="str">
        <f t="shared" si="9"/>
        <v/>
      </c>
      <c r="P531" s="56" t="str">
        <f t="shared" si="10"/>
        <v/>
      </c>
      <c r="Q531" s="105"/>
      <c r="R531" s="10"/>
      <c r="S531" s="59" t="str">
        <f t="array" ref="S531">IF(COUNTA(Q531:Q1644)=0,"",SUM((COUNTIF(Q$4:Q531,Upgrades!$B$3:$B$13)-COUNTIF(Q$4:Q531,"Sell_"&amp;Upgrades!$B$3:$B$13))*Upgrades!$D$3:$D$13))</f>
        <v/>
      </c>
      <c r="T531" s="66" t="str">
        <f>IFERROR(__xludf.DUMMYFUNCTION("IF(COUNTA(Q531:Q1644)=0,"""",IF(REGEXMATCH(INDEX(FILTER(Q$4:Q531,Q$4:Q531&lt;&gt;""""),ROWS(FILTER(Q$4:Q531,Q$4:Q531&lt;&gt;""""))),""^Sell_""),INDEX(FILTER(T$4:T530,Q$4:Q530&lt;&gt;""""),ROWS(FILTER(Q$4:Q530,Q$4:Q530&lt;&gt;""""))),$AD$5+S531))"),"")</f>
        <v/>
      </c>
      <c r="U531" s="10" t="str">
        <f>IFERROR(__xludf.DUMMYFUNCTION("IF(COUNTA(Q531:Q1644)=0,"""",IF(Q531="""",0,IF(REGEXMATCH(Q531,""^Sell_""),-ROUNDDOWN(ROUNDUP(INDEX(Upgrades!$C$3:$C$13,MATCH(SUBSTITUTE(Q531,""Sell_"",""""),Upgrades!$B$3:$B$13,0))*1.15^(COUNTIF(Q$4:Q530,SUBSTITUTE(Q531,""Sell_"",""""))-COUNTIF(Q$4:Q530,"&amp;"""Sell_""&amp;SUBSTITUTE(Q531,""Sell_"",""""))))/2),ROUNDUP(INDEX(Upgrades!$C$3:$C$13,MATCH(Q531,Upgrades!$B$3:$B$13,0))*1.15^(COUNTIF(Q$4:Q530,Q531)-COUNTIF(Q$4:Q530,""Sell_""&amp;Q531))))))"),"")</f>
        <v/>
      </c>
      <c r="V531" s="10" t="str">
        <f t="shared" si="11"/>
        <v/>
      </c>
      <c r="W531" s="68" t="str">
        <f t="shared" si="12"/>
        <v/>
      </c>
      <c r="X531" s="59" t="str">
        <f t="shared" si="13"/>
        <v/>
      </c>
      <c r="Y531" s="69" t="str">
        <f t="shared" si="14"/>
        <v/>
      </c>
      <c r="Z531" s="11"/>
      <c r="AG531" s="59"/>
    </row>
    <row r="532">
      <c r="A532" s="8"/>
      <c r="B532" s="56" t="str">
        <f t="shared" si="2"/>
        <v/>
      </c>
      <c r="C532" s="105"/>
      <c r="D532" s="10"/>
      <c r="E532" s="59" t="str">
        <f t="array" ref="E532">IF(COUNTA(C532:C1644)=0,"",SUM((COUNTIF(C$4:C532,Upgrades!$B$3:$B$13)-COUNTIF(C$4:C532,"Sell_"&amp;Upgrades!$B$3:$B$13))*Upgrades!$D$3:$D$13))</f>
        <v/>
      </c>
      <c r="F532" s="66" t="str">
        <f>IFERROR(__xludf.DUMMYFUNCTION("IF(COUNTA(C532:C1644)=0,"""",IF(REGEXMATCH(INDEX(FILTER(C$4:C532,C$4:C532&lt;&gt;""""),ROWS(FILTER(C$4:C532,C$4:C532&lt;&gt;""""))),""^Sell_""),INDEX(FILTER(F$4:F531,C$4:C531&lt;&gt;""""),ROWS(FILTER(C$4:C531,C$4:C531&lt;&gt;""""))),$AC$5+E532))"),"")</f>
        <v/>
      </c>
      <c r="G532" s="10" t="str">
        <f>IFERROR(__xludf.DUMMYFUNCTION("IF(COUNTA(C532:C1644)=0,"""",IF(C532="""",0,IF(REGEXMATCH(C532,""^Sell_""),-ROUNDDOWN(ROUNDUP(INDEX(Upgrades!$C$3:$C$13,MATCH(SUBSTITUTE(C532,""Sell_"",""""),Upgrades!$B$3:$B$13,0))*1.15^(COUNTIF(C$4:C531,SUBSTITUTE(C532,""Sell_"",""""))-COUNTIF(C$4:C531,"&amp;"""Sell_""&amp;SUBSTITUTE(C532,""Sell_"",""""))))/2),ROUNDUP(INDEX(Upgrades!$C$3:$C$13,MATCH(C532,Upgrades!$B$3:$B$13,0))*1.15^(COUNTIF(C$4:C531,C532)-COUNTIF(C$4:C531,""Sell_""&amp;C532))))))"),"")</f>
        <v/>
      </c>
      <c r="H532" s="10" t="str">
        <f t="shared" si="3"/>
        <v/>
      </c>
      <c r="I532" s="68" t="str">
        <f t="shared" si="4"/>
        <v/>
      </c>
      <c r="J532" s="59" t="str">
        <f t="shared" si="5"/>
        <v/>
      </c>
      <c r="K532" s="69" t="str">
        <f t="shared" si="6"/>
        <v/>
      </c>
      <c r="L532" s="60" t="str">
        <f t="shared" si="7"/>
        <v/>
      </c>
      <c r="M532" s="61" t="str">
        <f>IFERROR(__xludf.DUMMYFUNCTION("IFS(AND(COUNTA(C532:C1644)=0,COUNTA(Q532:Q1644)=0),"""",OR(AND(K532&gt;=1000000000,OR(Y532&gt;=1000000000,COUNTA(Q532:Q1644)=0)),OR(Y532&gt;=1000000000,AND(COUNTA(C532:C1644)=0,P$3=TRUE))),
ROUNDDOWN((AB$1-AC$1)*MAX(INDEX(T$4:T1644,MATCH(LARGE(FILTER(Y$4:Y1644,Y$4"&amp;":Y1644&lt;1000000000),1),Y$4:Y1644)),INDEX(F$4:F1644,MATCH(LARGE(FILTER(K$4:K1644,K$4:K1644&lt;1000000000),1),K$4:K1644)))),AND(K532&lt;1000000000,COUNTA(C532:C1644)&gt;0,P$3=FALSE),
ROUNDDOWN(INDEX(Y$4:Y1644,MATCH(LARGE(FILTER(W$4:W1644,W$4:W1644&lt;=I532),1),W$4:W1644"&amp;"))+(I532-LARGE(FILTER(W$4:W1644,W$4:W1644&lt;=I532),1))*INDEX(T$4:T1644,MATCH(LARGE(FILTER(W$4:W1644,W$4:W1644&lt;=I532),1),W$4:W1644))-K532),1,
ROUNDDOWN(Y532-INDEX(K$4:K1644,MATCH(LARGE(FILTER(I$4:I1644,I$4:I1644&lt;=W532),1),I$4:I1644))-(W532-LARGE(FILTER(I$4:I"&amp;"1644,I$4:I1644&lt;=W532),1))*INDEX(F$4:F1644,MATCH(LARGE(FILTER(I$4:I1644,I$4:I1644&lt;=W532),1),I$4:I1644))))"),"")</f>
        <v/>
      </c>
      <c r="N532" s="60" t="str">
        <f t="shared" si="8"/>
        <v/>
      </c>
      <c r="O532" s="61" t="str">
        <f t="shared" si="9"/>
        <v/>
      </c>
      <c r="P532" s="56" t="str">
        <f t="shared" si="10"/>
        <v/>
      </c>
      <c r="Q532" s="105"/>
      <c r="R532" s="10"/>
      <c r="S532" s="59" t="str">
        <f t="array" ref="S532">IF(COUNTA(Q532:Q1644)=0,"",SUM((COUNTIF(Q$4:Q532,Upgrades!$B$3:$B$13)-COUNTIF(Q$4:Q532,"Sell_"&amp;Upgrades!$B$3:$B$13))*Upgrades!$D$3:$D$13))</f>
        <v/>
      </c>
      <c r="T532" s="66" t="str">
        <f>IFERROR(__xludf.DUMMYFUNCTION("IF(COUNTA(Q532:Q1644)=0,"""",IF(REGEXMATCH(INDEX(FILTER(Q$4:Q532,Q$4:Q532&lt;&gt;""""),ROWS(FILTER(Q$4:Q532,Q$4:Q532&lt;&gt;""""))),""^Sell_""),INDEX(FILTER(T$4:T531,Q$4:Q531&lt;&gt;""""),ROWS(FILTER(Q$4:Q531,Q$4:Q531&lt;&gt;""""))),$AD$5+S532))"),"")</f>
        <v/>
      </c>
      <c r="U532" s="10" t="str">
        <f>IFERROR(__xludf.DUMMYFUNCTION("IF(COUNTA(Q532:Q1644)=0,"""",IF(Q532="""",0,IF(REGEXMATCH(Q532,""^Sell_""),-ROUNDDOWN(ROUNDUP(INDEX(Upgrades!$C$3:$C$13,MATCH(SUBSTITUTE(Q532,""Sell_"",""""),Upgrades!$B$3:$B$13,0))*1.15^(COUNTIF(Q$4:Q531,SUBSTITUTE(Q532,""Sell_"",""""))-COUNTIF(Q$4:Q531,"&amp;"""Sell_""&amp;SUBSTITUTE(Q532,""Sell_"",""""))))/2),ROUNDUP(INDEX(Upgrades!$C$3:$C$13,MATCH(Q532,Upgrades!$B$3:$B$13,0))*1.15^(COUNTIF(Q$4:Q531,Q532)-COUNTIF(Q$4:Q531,""Sell_""&amp;Q532))))))"),"")</f>
        <v/>
      </c>
      <c r="V532" s="10" t="str">
        <f t="shared" si="11"/>
        <v/>
      </c>
      <c r="W532" s="68" t="str">
        <f t="shared" si="12"/>
        <v/>
      </c>
      <c r="X532" s="59" t="str">
        <f t="shared" si="13"/>
        <v/>
      </c>
      <c r="Y532" s="69" t="str">
        <f t="shared" si="14"/>
        <v/>
      </c>
      <c r="Z532" s="11"/>
      <c r="AG532" s="59"/>
    </row>
    <row r="533">
      <c r="A533" s="8"/>
      <c r="B533" s="56" t="str">
        <f t="shared" si="2"/>
        <v/>
      </c>
      <c r="C533" s="105"/>
      <c r="D533" s="10"/>
      <c r="E533" s="59" t="str">
        <f t="array" ref="E533">IF(COUNTA(C533:C1644)=0,"",SUM((COUNTIF(C$4:C533,Upgrades!$B$3:$B$13)-COUNTIF(C$4:C533,"Sell_"&amp;Upgrades!$B$3:$B$13))*Upgrades!$D$3:$D$13))</f>
        <v/>
      </c>
      <c r="F533" s="66" t="str">
        <f>IFERROR(__xludf.DUMMYFUNCTION("IF(COUNTA(C533:C1644)=0,"""",IF(REGEXMATCH(INDEX(FILTER(C$4:C533,C$4:C533&lt;&gt;""""),ROWS(FILTER(C$4:C533,C$4:C533&lt;&gt;""""))),""^Sell_""),INDEX(FILTER(F$4:F532,C$4:C532&lt;&gt;""""),ROWS(FILTER(C$4:C532,C$4:C532&lt;&gt;""""))),$AC$5+E533))"),"")</f>
        <v/>
      </c>
      <c r="G533" s="10" t="str">
        <f>IFERROR(__xludf.DUMMYFUNCTION("IF(COUNTA(C533:C1644)=0,"""",IF(C533="""",0,IF(REGEXMATCH(C533,""^Sell_""),-ROUNDDOWN(ROUNDUP(INDEX(Upgrades!$C$3:$C$13,MATCH(SUBSTITUTE(C533,""Sell_"",""""),Upgrades!$B$3:$B$13,0))*1.15^(COUNTIF(C$4:C532,SUBSTITUTE(C533,""Sell_"",""""))-COUNTIF(C$4:C532,"&amp;"""Sell_""&amp;SUBSTITUTE(C533,""Sell_"",""""))))/2),ROUNDUP(INDEX(Upgrades!$C$3:$C$13,MATCH(C533,Upgrades!$B$3:$B$13,0))*1.15^(COUNTIF(C$4:C532,C533)-COUNTIF(C$4:C532,""Sell_""&amp;C533))))))"),"")</f>
        <v/>
      </c>
      <c r="H533" s="10" t="str">
        <f t="shared" si="3"/>
        <v/>
      </c>
      <c r="I533" s="68" t="str">
        <f t="shared" si="4"/>
        <v/>
      </c>
      <c r="J533" s="59" t="str">
        <f t="shared" si="5"/>
        <v/>
      </c>
      <c r="K533" s="69" t="str">
        <f t="shared" si="6"/>
        <v/>
      </c>
      <c r="L533" s="60" t="str">
        <f t="shared" si="7"/>
        <v/>
      </c>
      <c r="M533" s="61" t="str">
        <f>IFERROR(__xludf.DUMMYFUNCTION("IFS(AND(COUNTA(C533:C1644)=0,COUNTA(Q533:Q1644)=0),"""",OR(AND(K533&gt;=1000000000,OR(Y533&gt;=1000000000,COUNTA(Q533:Q1644)=0)),OR(Y533&gt;=1000000000,AND(COUNTA(C533:C1644)=0,P$3=TRUE))),
ROUNDDOWN((AB$1-AC$1)*MAX(INDEX(T$4:T1644,MATCH(LARGE(FILTER(Y$4:Y1644,Y$4"&amp;":Y1644&lt;1000000000),1),Y$4:Y1644)),INDEX(F$4:F1644,MATCH(LARGE(FILTER(K$4:K1644,K$4:K1644&lt;1000000000),1),K$4:K1644)))),AND(K533&lt;1000000000,COUNTA(C533:C1644)&gt;0,P$3=FALSE),
ROUNDDOWN(INDEX(Y$4:Y1644,MATCH(LARGE(FILTER(W$4:W1644,W$4:W1644&lt;=I533),1),W$4:W1644"&amp;"))+(I533-LARGE(FILTER(W$4:W1644,W$4:W1644&lt;=I533),1))*INDEX(T$4:T1644,MATCH(LARGE(FILTER(W$4:W1644,W$4:W1644&lt;=I533),1),W$4:W1644))-K533),1,
ROUNDDOWN(Y533-INDEX(K$4:K1644,MATCH(LARGE(FILTER(I$4:I1644,I$4:I1644&lt;=W533),1),I$4:I1644))-(W533-LARGE(FILTER(I$4:I"&amp;"1644,I$4:I1644&lt;=W533),1))*INDEX(F$4:F1644,MATCH(LARGE(FILTER(I$4:I1644,I$4:I1644&lt;=W533),1),I$4:I1644))))"),"")</f>
        <v/>
      </c>
      <c r="N533" s="60" t="str">
        <f t="shared" si="8"/>
        <v/>
      </c>
      <c r="O533" s="61" t="str">
        <f t="shared" si="9"/>
        <v/>
      </c>
      <c r="P533" s="56" t="str">
        <f t="shared" si="10"/>
        <v/>
      </c>
      <c r="Q533" s="105"/>
      <c r="R533" s="10"/>
      <c r="S533" s="59" t="str">
        <f t="array" ref="S533">IF(COUNTA(Q533:Q1644)=0,"",SUM((COUNTIF(Q$4:Q533,Upgrades!$B$3:$B$13)-COUNTIF(Q$4:Q533,"Sell_"&amp;Upgrades!$B$3:$B$13))*Upgrades!$D$3:$D$13))</f>
        <v/>
      </c>
      <c r="T533" s="66" t="str">
        <f>IFERROR(__xludf.DUMMYFUNCTION("IF(COUNTA(Q533:Q1644)=0,"""",IF(REGEXMATCH(INDEX(FILTER(Q$4:Q533,Q$4:Q533&lt;&gt;""""),ROWS(FILTER(Q$4:Q533,Q$4:Q533&lt;&gt;""""))),""^Sell_""),INDEX(FILTER(T$4:T532,Q$4:Q532&lt;&gt;""""),ROWS(FILTER(Q$4:Q532,Q$4:Q532&lt;&gt;""""))),$AD$5+S533))"),"")</f>
        <v/>
      </c>
      <c r="U533" s="10" t="str">
        <f>IFERROR(__xludf.DUMMYFUNCTION("IF(COUNTA(Q533:Q1644)=0,"""",IF(Q533="""",0,IF(REGEXMATCH(Q533,""^Sell_""),-ROUNDDOWN(ROUNDUP(INDEX(Upgrades!$C$3:$C$13,MATCH(SUBSTITUTE(Q533,""Sell_"",""""),Upgrades!$B$3:$B$13,0))*1.15^(COUNTIF(Q$4:Q532,SUBSTITUTE(Q533,""Sell_"",""""))-COUNTIF(Q$4:Q532,"&amp;"""Sell_""&amp;SUBSTITUTE(Q533,""Sell_"",""""))))/2),ROUNDUP(INDEX(Upgrades!$C$3:$C$13,MATCH(Q533,Upgrades!$B$3:$B$13,0))*1.15^(COUNTIF(Q$4:Q532,Q533)-COUNTIF(Q$4:Q532,""Sell_""&amp;Q533))))))"),"")</f>
        <v/>
      </c>
      <c r="V533" s="10" t="str">
        <f t="shared" si="11"/>
        <v/>
      </c>
      <c r="W533" s="68" t="str">
        <f t="shared" si="12"/>
        <v/>
      </c>
      <c r="X533" s="59" t="str">
        <f t="shared" si="13"/>
        <v/>
      </c>
      <c r="Y533" s="69" t="str">
        <f t="shared" si="14"/>
        <v/>
      </c>
      <c r="Z533" s="11"/>
      <c r="AG533" s="59"/>
    </row>
    <row r="534">
      <c r="A534" s="8"/>
      <c r="B534" s="56" t="str">
        <f t="shared" si="2"/>
        <v/>
      </c>
      <c r="C534" s="105"/>
      <c r="D534" s="10"/>
      <c r="E534" s="59" t="str">
        <f t="array" ref="E534">IF(COUNTA(C534:C1644)=0,"",SUM((COUNTIF(C$4:C534,Upgrades!$B$3:$B$13)-COUNTIF(C$4:C534,"Sell_"&amp;Upgrades!$B$3:$B$13))*Upgrades!$D$3:$D$13))</f>
        <v/>
      </c>
      <c r="F534" s="66" t="str">
        <f>IFERROR(__xludf.DUMMYFUNCTION("IF(COUNTA(C534:C1644)=0,"""",IF(REGEXMATCH(INDEX(FILTER(C$4:C534,C$4:C534&lt;&gt;""""),ROWS(FILTER(C$4:C534,C$4:C534&lt;&gt;""""))),""^Sell_""),INDEX(FILTER(F$4:F533,C$4:C533&lt;&gt;""""),ROWS(FILTER(C$4:C533,C$4:C533&lt;&gt;""""))),$AC$5+E534))"),"")</f>
        <v/>
      </c>
      <c r="G534" s="10" t="str">
        <f>IFERROR(__xludf.DUMMYFUNCTION("IF(COUNTA(C534:C1644)=0,"""",IF(C534="""",0,IF(REGEXMATCH(C534,""^Sell_""),-ROUNDDOWN(ROUNDUP(INDEX(Upgrades!$C$3:$C$13,MATCH(SUBSTITUTE(C534,""Sell_"",""""),Upgrades!$B$3:$B$13,0))*1.15^(COUNTIF(C$4:C533,SUBSTITUTE(C534,""Sell_"",""""))-COUNTIF(C$4:C533,"&amp;"""Sell_""&amp;SUBSTITUTE(C534,""Sell_"",""""))))/2),ROUNDUP(INDEX(Upgrades!$C$3:$C$13,MATCH(C534,Upgrades!$B$3:$B$13,0))*1.15^(COUNTIF(C$4:C533,C534)-COUNTIF(C$4:C533,""Sell_""&amp;C534))))))"),"")</f>
        <v/>
      </c>
      <c r="H534" s="10" t="str">
        <f t="shared" si="3"/>
        <v/>
      </c>
      <c r="I534" s="68" t="str">
        <f t="shared" si="4"/>
        <v/>
      </c>
      <c r="J534" s="59" t="str">
        <f t="shared" si="5"/>
        <v/>
      </c>
      <c r="K534" s="69" t="str">
        <f t="shared" si="6"/>
        <v/>
      </c>
      <c r="L534" s="60" t="str">
        <f t="shared" si="7"/>
        <v/>
      </c>
      <c r="M534" s="61" t="str">
        <f>IFERROR(__xludf.DUMMYFUNCTION("IFS(AND(COUNTA(C534:C1644)=0,COUNTA(Q534:Q1644)=0),"""",OR(AND(K534&gt;=1000000000,OR(Y534&gt;=1000000000,COUNTA(Q534:Q1644)=0)),OR(Y534&gt;=1000000000,AND(COUNTA(C534:C1644)=0,P$3=TRUE))),
ROUNDDOWN((AB$1-AC$1)*MAX(INDEX(T$4:T1644,MATCH(LARGE(FILTER(Y$4:Y1644,Y$4"&amp;":Y1644&lt;1000000000),1),Y$4:Y1644)),INDEX(F$4:F1644,MATCH(LARGE(FILTER(K$4:K1644,K$4:K1644&lt;1000000000),1),K$4:K1644)))),AND(K534&lt;1000000000,COUNTA(C534:C1644)&gt;0,P$3=FALSE),
ROUNDDOWN(INDEX(Y$4:Y1644,MATCH(LARGE(FILTER(W$4:W1644,W$4:W1644&lt;=I534),1),W$4:W1644"&amp;"))+(I534-LARGE(FILTER(W$4:W1644,W$4:W1644&lt;=I534),1))*INDEX(T$4:T1644,MATCH(LARGE(FILTER(W$4:W1644,W$4:W1644&lt;=I534),1),W$4:W1644))-K534),1,
ROUNDDOWN(Y534-INDEX(K$4:K1644,MATCH(LARGE(FILTER(I$4:I1644,I$4:I1644&lt;=W534),1),I$4:I1644))-(W534-LARGE(FILTER(I$4:I"&amp;"1644,I$4:I1644&lt;=W534),1))*INDEX(F$4:F1644,MATCH(LARGE(FILTER(I$4:I1644,I$4:I1644&lt;=W534),1),I$4:I1644))))"),"")</f>
        <v/>
      </c>
      <c r="N534" s="60" t="str">
        <f t="shared" si="8"/>
        <v/>
      </c>
      <c r="O534" s="61" t="str">
        <f t="shared" si="9"/>
        <v/>
      </c>
      <c r="P534" s="56" t="str">
        <f t="shared" si="10"/>
        <v/>
      </c>
      <c r="Q534" s="105"/>
      <c r="R534" s="10"/>
      <c r="S534" s="59" t="str">
        <f t="array" ref="S534">IF(COUNTA(Q534:Q1644)=0,"",SUM((COUNTIF(Q$4:Q534,Upgrades!$B$3:$B$13)-COUNTIF(Q$4:Q534,"Sell_"&amp;Upgrades!$B$3:$B$13))*Upgrades!$D$3:$D$13))</f>
        <v/>
      </c>
      <c r="T534" s="66" t="str">
        <f>IFERROR(__xludf.DUMMYFUNCTION("IF(COUNTA(Q534:Q1644)=0,"""",IF(REGEXMATCH(INDEX(FILTER(Q$4:Q534,Q$4:Q534&lt;&gt;""""),ROWS(FILTER(Q$4:Q534,Q$4:Q534&lt;&gt;""""))),""^Sell_""),INDEX(FILTER(T$4:T533,Q$4:Q533&lt;&gt;""""),ROWS(FILTER(Q$4:Q533,Q$4:Q533&lt;&gt;""""))),$AD$5+S534))"),"")</f>
        <v/>
      </c>
      <c r="U534" s="10" t="str">
        <f>IFERROR(__xludf.DUMMYFUNCTION("IF(COUNTA(Q534:Q1644)=0,"""",IF(Q534="""",0,IF(REGEXMATCH(Q534,""^Sell_""),-ROUNDDOWN(ROUNDUP(INDEX(Upgrades!$C$3:$C$13,MATCH(SUBSTITUTE(Q534,""Sell_"",""""),Upgrades!$B$3:$B$13,0))*1.15^(COUNTIF(Q$4:Q533,SUBSTITUTE(Q534,""Sell_"",""""))-COUNTIF(Q$4:Q533,"&amp;"""Sell_""&amp;SUBSTITUTE(Q534,""Sell_"",""""))))/2),ROUNDUP(INDEX(Upgrades!$C$3:$C$13,MATCH(Q534,Upgrades!$B$3:$B$13,0))*1.15^(COUNTIF(Q$4:Q533,Q534)-COUNTIF(Q$4:Q533,""Sell_""&amp;Q534))))))"),"")</f>
        <v/>
      </c>
      <c r="V534" s="10" t="str">
        <f t="shared" si="11"/>
        <v/>
      </c>
      <c r="W534" s="68" t="str">
        <f t="shared" si="12"/>
        <v/>
      </c>
      <c r="X534" s="59" t="str">
        <f t="shared" si="13"/>
        <v/>
      </c>
      <c r="Y534" s="69" t="str">
        <f t="shared" si="14"/>
        <v/>
      </c>
      <c r="Z534" s="11"/>
      <c r="AG534" s="59"/>
    </row>
    <row r="535">
      <c r="A535" s="8"/>
      <c r="B535" s="56" t="str">
        <f t="shared" si="2"/>
        <v/>
      </c>
      <c r="C535" s="105"/>
      <c r="D535" s="10"/>
      <c r="E535" s="59" t="str">
        <f t="array" ref="E535">IF(COUNTA(C535:C1644)=0,"",SUM((COUNTIF(C$4:C535,Upgrades!$B$3:$B$13)-COUNTIF(C$4:C535,"Sell_"&amp;Upgrades!$B$3:$B$13))*Upgrades!$D$3:$D$13))</f>
        <v/>
      </c>
      <c r="F535" s="66" t="str">
        <f>IFERROR(__xludf.DUMMYFUNCTION("IF(COUNTA(C535:C1644)=0,"""",IF(REGEXMATCH(INDEX(FILTER(C$4:C535,C$4:C535&lt;&gt;""""),ROWS(FILTER(C$4:C535,C$4:C535&lt;&gt;""""))),""^Sell_""),INDEX(FILTER(F$4:F534,C$4:C534&lt;&gt;""""),ROWS(FILTER(C$4:C534,C$4:C534&lt;&gt;""""))),$AC$5+E535))"),"")</f>
        <v/>
      </c>
      <c r="G535" s="10" t="str">
        <f>IFERROR(__xludf.DUMMYFUNCTION("IF(COUNTA(C535:C1644)=0,"""",IF(C535="""",0,IF(REGEXMATCH(C535,""^Sell_""),-ROUNDDOWN(ROUNDUP(INDEX(Upgrades!$C$3:$C$13,MATCH(SUBSTITUTE(C535,""Sell_"",""""),Upgrades!$B$3:$B$13,0))*1.15^(COUNTIF(C$4:C534,SUBSTITUTE(C535,""Sell_"",""""))-COUNTIF(C$4:C534,"&amp;"""Sell_""&amp;SUBSTITUTE(C535,""Sell_"",""""))))/2),ROUNDUP(INDEX(Upgrades!$C$3:$C$13,MATCH(C535,Upgrades!$B$3:$B$13,0))*1.15^(COUNTIF(C$4:C534,C535)-COUNTIF(C$4:C534,""Sell_""&amp;C535))))))"),"")</f>
        <v/>
      </c>
      <c r="H535" s="10" t="str">
        <f t="shared" si="3"/>
        <v/>
      </c>
      <c r="I535" s="68" t="str">
        <f t="shared" si="4"/>
        <v/>
      </c>
      <c r="J535" s="59" t="str">
        <f t="shared" si="5"/>
        <v/>
      </c>
      <c r="K535" s="69" t="str">
        <f t="shared" si="6"/>
        <v/>
      </c>
      <c r="L535" s="60" t="str">
        <f t="shared" si="7"/>
        <v/>
      </c>
      <c r="M535" s="61" t="str">
        <f>IFERROR(__xludf.DUMMYFUNCTION("IFS(AND(COUNTA(C535:C1644)=0,COUNTA(Q535:Q1644)=0),"""",OR(AND(K535&gt;=1000000000,OR(Y535&gt;=1000000000,COUNTA(Q535:Q1644)=0)),OR(Y535&gt;=1000000000,AND(COUNTA(C535:C1644)=0,P$3=TRUE))),
ROUNDDOWN((AB$1-AC$1)*MAX(INDEX(T$4:T1644,MATCH(LARGE(FILTER(Y$4:Y1644,Y$4"&amp;":Y1644&lt;1000000000),1),Y$4:Y1644)),INDEX(F$4:F1644,MATCH(LARGE(FILTER(K$4:K1644,K$4:K1644&lt;1000000000),1),K$4:K1644)))),AND(K535&lt;1000000000,COUNTA(C535:C1644)&gt;0,P$3=FALSE),
ROUNDDOWN(INDEX(Y$4:Y1644,MATCH(LARGE(FILTER(W$4:W1644,W$4:W1644&lt;=I535),1),W$4:W1644"&amp;"))+(I535-LARGE(FILTER(W$4:W1644,W$4:W1644&lt;=I535),1))*INDEX(T$4:T1644,MATCH(LARGE(FILTER(W$4:W1644,W$4:W1644&lt;=I535),1),W$4:W1644))-K535),1,
ROUNDDOWN(Y535-INDEX(K$4:K1644,MATCH(LARGE(FILTER(I$4:I1644,I$4:I1644&lt;=W535),1),I$4:I1644))-(W535-LARGE(FILTER(I$4:I"&amp;"1644,I$4:I1644&lt;=W535),1))*INDEX(F$4:F1644,MATCH(LARGE(FILTER(I$4:I1644,I$4:I1644&lt;=W535),1),I$4:I1644))))"),"")</f>
        <v/>
      </c>
      <c r="N535" s="60" t="str">
        <f t="shared" si="8"/>
        <v/>
      </c>
      <c r="O535" s="61" t="str">
        <f t="shared" si="9"/>
        <v/>
      </c>
      <c r="P535" s="56" t="str">
        <f t="shared" si="10"/>
        <v/>
      </c>
      <c r="Q535" s="105"/>
      <c r="R535" s="10"/>
      <c r="S535" s="59" t="str">
        <f t="array" ref="S535">IF(COUNTA(Q535:Q1644)=0,"",SUM((COUNTIF(Q$4:Q535,Upgrades!$B$3:$B$13)-COUNTIF(Q$4:Q535,"Sell_"&amp;Upgrades!$B$3:$B$13))*Upgrades!$D$3:$D$13))</f>
        <v/>
      </c>
      <c r="T535" s="66" t="str">
        <f>IFERROR(__xludf.DUMMYFUNCTION("IF(COUNTA(Q535:Q1644)=0,"""",IF(REGEXMATCH(INDEX(FILTER(Q$4:Q535,Q$4:Q535&lt;&gt;""""),ROWS(FILTER(Q$4:Q535,Q$4:Q535&lt;&gt;""""))),""^Sell_""),INDEX(FILTER(T$4:T534,Q$4:Q534&lt;&gt;""""),ROWS(FILTER(Q$4:Q534,Q$4:Q534&lt;&gt;""""))),$AD$5+S535))"),"")</f>
        <v/>
      </c>
      <c r="U535" s="10" t="str">
        <f>IFERROR(__xludf.DUMMYFUNCTION("IF(COUNTA(Q535:Q1644)=0,"""",IF(Q535="""",0,IF(REGEXMATCH(Q535,""^Sell_""),-ROUNDDOWN(ROUNDUP(INDEX(Upgrades!$C$3:$C$13,MATCH(SUBSTITUTE(Q535,""Sell_"",""""),Upgrades!$B$3:$B$13,0))*1.15^(COUNTIF(Q$4:Q534,SUBSTITUTE(Q535,""Sell_"",""""))-COUNTIF(Q$4:Q534,"&amp;"""Sell_""&amp;SUBSTITUTE(Q535,""Sell_"",""""))))/2),ROUNDUP(INDEX(Upgrades!$C$3:$C$13,MATCH(Q535,Upgrades!$B$3:$B$13,0))*1.15^(COUNTIF(Q$4:Q534,Q535)-COUNTIF(Q$4:Q534,""Sell_""&amp;Q535))))))"),"")</f>
        <v/>
      </c>
      <c r="V535" s="10" t="str">
        <f t="shared" si="11"/>
        <v/>
      </c>
      <c r="W535" s="68" t="str">
        <f t="shared" si="12"/>
        <v/>
      </c>
      <c r="X535" s="59" t="str">
        <f t="shared" si="13"/>
        <v/>
      </c>
      <c r="Y535" s="69" t="str">
        <f t="shared" si="14"/>
        <v/>
      </c>
      <c r="Z535" s="11"/>
      <c r="AG535" s="59"/>
    </row>
    <row r="536">
      <c r="A536" s="8"/>
      <c r="B536" s="56" t="str">
        <f t="shared" si="2"/>
        <v/>
      </c>
      <c r="C536" s="105"/>
      <c r="D536" s="10"/>
      <c r="E536" s="59" t="str">
        <f t="array" ref="E536">IF(COUNTA(C536:C1644)=0,"",SUM((COUNTIF(C$4:C536,Upgrades!$B$3:$B$13)-COUNTIF(C$4:C536,"Sell_"&amp;Upgrades!$B$3:$B$13))*Upgrades!$D$3:$D$13))</f>
        <v/>
      </c>
      <c r="F536" s="66" t="str">
        <f>IFERROR(__xludf.DUMMYFUNCTION("IF(COUNTA(C536:C1644)=0,"""",IF(REGEXMATCH(INDEX(FILTER(C$4:C536,C$4:C536&lt;&gt;""""),ROWS(FILTER(C$4:C536,C$4:C536&lt;&gt;""""))),""^Sell_""),INDEX(FILTER(F$4:F535,C$4:C535&lt;&gt;""""),ROWS(FILTER(C$4:C535,C$4:C535&lt;&gt;""""))),$AC$5+E536))"),"")</f>
        <v/>
      </c>
      <c r="G536" s="10" t="str">
        <f>IFERROR(__xludf.DUMMYFUNCTION("IF(COUNTA(C536:C1644)=0,"""",IF(C536="""",0,IF(REGEXMATCH(C536,""^Sell_""),-ROUNDDOWN(ROUNDUP(INDEX(Upgrades!$C$3:$C$13,MATCH(SUBSTITUTE(C536,""Sell_"",""""),Upgrades!$B$3:$B$13,0))*1.15^(COUNTIF(C$4:C535,SUBSTITUTE(C536,""Sell_"",""""))-COUNTIF(C$4:C535,"&amp;"""Sell_""&amp;SUBSTITUTE(C536,""Sell_"",""""))))/2),ROUNDUP(INDEX(Upgrades!$C$3:$C$13,MATCH(C536,Upgrades!$B$3:$B$13,0))*1.15^(COUNTIF(C$4:C535,C536)-COUNTIF(C$4:C535,""Sell_""&amp;C536))))))"),"")</f>
        <v/>
      </c>
      <c r="H536" s="10" t="str">
        <f t="shared" si="3"/>
        <v/>
      </c>
      <c r="I536" s="68" t="str">
        <f t="shared" si="4"/>
        <v/>
      </c>
      <c r="J536" s="59" t="str">
        <f t="shared" si="5"/>
        <v/>
      </c>
      <c r="K536" s="69" t="str">
        <f t="shared" si="6"/>
        <v/>
      </c>
      <c r="L536" s="60" t="str">
        <f t="shared" si="7"/>
        <v/>
      </c>
      <c r="M536" s="61" t="str">
        <f>IFERROR(__xludf.DUMMYFUNCTION("IFS(AND(COUNTA(C536:C1644)=0,COUNTA(Q536:Q1644)=0),"""",OR(AND(K536&gt;=1000000000,OR(Y536&gt;=1000000000,COUNTA(Q536:Q1644)=0)),OR(Y536&gt;=1000000000,AND(COUNTA(C536:C1644)=0,P$3=TRUE))),
ROUNDDOWN((AB$1-AC$1)*MAX(INDEX(T$4:T1644,MATCH(LARGE(FILTER(Y$4:Y1644,Y$4"&amp;":Y1644&lt;1000000000),1),Y$4:Y1644)),INDEX(F$4:F1644,MATCH(LARGE(FILTER(K$4:K1644,K$4:K1644&lt;1000000000),1),K$4:K1644)))),AND(K536&lt;1000000000,COUNTA(C536:C1644)&gt;0,P$3=FALSE),
ROUNDDOWN(INDEX(Y$4:Y1644,MATCH(LARGE(FILTER(W$4:W1644,W$4:W1644&lt;=I536),1),W$4:W1644"&amp;"))+(I536-LARGE(FILTER(W$4:W1644,W$4:W1644&lt;=I536),1))*INDEX(T$4:T1644,MATCH(LARGE(FILTER(W$4:W1644,W$4:W1644&lt;=I536),1),W$4:W1644))-K536),1,
ROUNDDOWN(Y536-INDEX(K$4:K1644,MATCH(LARGE(FILTER(I$4:I1644,I$4:I1644&lt;=W536),1),I$4:I1644))-(W536-LARGE(FILTER(I$4:I"&amp;"1644,I$4:I1644&lt;=W536),1))*INDEX(F$4:F1644,MATCH(LARGE(FILTER(I$4:I1644,I$4:I1644&lt;=W536),1),I$4:I1644))))"),"")</f>
        <v/>
      </c>
      <c r="N536" s="60" t="str">
        <f t="shared" si="8"/>
        <v/>
      </c>
      <c r="O536" s="61" t="str">
        <f t="shared" si="9"/>
        <v/>
      </c>
      <c r="P536" s="56" t="str">
        <f t="shared" si="10"/>
        <v/>
      </c>
      <c r="Q536" s="105"/>
      <c r="R536" s="10"/>
      <c r="S536" s="59" t="str">
        <f t="array" ref="S536">IF(COUNTA(Q536:Q1644)=0,"",SUM((COUNTIF(Q$4:Q536,Upgrades!$B$3:$B$13)-COUNTIF(Q$4:Q536,"Sell_"&amp;Upgrades!$B$3:$B$13))*Upgrades!$D$3:$D$13))</f>
        <v/>
      </c>
      <c r="T536" s="66" t="str">
        <f>IFERROR(__xludf.DUMMYFUNCTION("IF(COUNTA(Q536:Q1644)=0,"""",IF(REGEXMATCH(INDEX(FILTER(Q$4:Q536,Q$4:Q536&lt;&gt;""""),ROWS(FILTER(Q$4:Q536,Q$4:Q536&lt;&gt;""""))),""^Sell_""),INDEX(FILTER(T$4:T535,Q$4:Q535&lt;&gt;""""),ROWS(FILTER(Q$4:Q535,Q$4:Q535&lt;&gt;""""))),$AD$5+S536))"),"")</f>
        <v/>
      </c>
      <c r="U536" s="10" t="str">
        <f>IFERROR(__xludf.DUMMYFUNCTION("IF(COUNTA(Q536:Q1644)=0,"""",IF(Q536="""",0,IF(REGEXMATCH(Q536,""^Sell_""),-ROUNDDOWN(ROUNDUP(INDEX(Upgrades!$C$3:$C$13,MATCH(SUBSTITUTE(Q536,""Sell_"",""""),Upgrades!$B$3:$B$13,0))*1.15^(COUNTIF(Q$4:Q535,SUBSTITUTE(Q536,""Sell_"",""""))-COUNTIF(Q$4:Q535,"&amp;"""Sell_""&amp;SUBSTITUTE(Q536,""Sell_"",""""))))/2),ROUNDUP(INDEX(Upgrades!$C$3:$C$13,MATCH(Q536,Upgrades!$B$3:$B$13,0))*1.15^(COUNTIF(Q$4:Q535,Q536)-COUNTIF(Q$4:Q535,""Sell_""&amp;Q536))))))"),"")</f>
        <v/>
      </c>
      <c r="V536" s="10" t="str">
        <f t="shared" si="11"/>
        <v/>
      </c>
      <c r="W536" s="68" t="str">
        <f t="shared" si="12"/>
        <v/>
      </c>
      <c r="X536" s="59" t="str">
        <f t="shared" si="13"/>
        <v/>
      </c>
      <c r="Y536" s="69" t="str">
        <f t="shared" si="14"/>
        <v/>
      </c>
      <c r="Z536" s="11"/>
      <c r="AG536" s="59"/>
    </row>
    <row r="537">
      <c r="A537" s="8"/>
      <c r="B537" s="56" t="str">
        <f t="shared" si="2"/>
        <v/>
      </c>
      <c r="C537" s="105"/>
      <c r="D537" s="10"/>
      <c r="E537" s="59" t="str">
        <f t="array" ref="E537">IF(COUNTA(C537:C1644)=0,"",SUM((COUNTIF(C$4:C537,Upgrades!$B$3:$B$13)-COUNTIF(C$4:C537,"Sell_"&amp;Upgrades!$B$3:$B$13))*Upgrades!$D$3:$D$13))</f>
        <v/>
      </c>
      <c r="F537" s="66" t="str">
        <f>IFERROR(__xludf.DUMMYFUNCTION("IF(COUNTA(C537:C1644)=0,"""",IF(REGEXMATCH(INDEX(FILTER(C$4:C537,C$4:C537&lt;&gt;""""),ROWS(FILTER(C$4:C537,C$4:C537&lt;&gt;""""))),""^Sell_""),INDEX(FILTER(F$4:F536,C$4:C536&lt;&gt;""""),ROWS(FILTER(C$4:C536,C$4:C536&lt;&gt;""""))),$AC$5+E537))"),"")</f>
        <v/>
      </c>
      <c r="G537" s="10" t="str">
        <f>IFERROR(__xludf.DUMMYFUNCTION("IF(COUNTA(C537:C1644)=0,"""",IF(C537="""",0,IF(REGEXMATCH(C537,""^Sell_""),-ROUNDDOWN(ROUNDUP(INDEX(Upgrades!$C$3:$C$13,MATCH(SUBSTITUTE(C537,""Sell_"",""""),Upgrades!$B$3:$B$13,0))*1.15^(COUNTIF(C$4:C536,SUBSTITUTE(C537,""Sell_"",""""))-COUNTIF(C$4:C536,"&amp;"""Sell_""&amp;SUBSTITUTE(C537,""Sell_"",""""))))/2),ROUNDUP(INDEX(Upgrades!$C$3:$C$13,MATCH(C537,Upgrades!$B$3:$B$13,0))*1.15^(COUNTIF(C$4:C536,C537)-COUNTIF(C$4:C536,""Sell_""&amp;C537))))))"),"")</f>
        <v/>
      </c>
      <c r="H537" s="10" t="str">
        <f t="shared" si="3"/>
        <v/>
      </c>
      <c r="I537" s="68" t="str">
        <f t="shared" si="4"/>
        <v/>
      </c>
      <c r="J537" s="59" t="str">
        <f t="shared" si="5"/>
        <v/>
      </c>
      <c r="K537" s="69" t="str">
        <f t="shared" si="6"/>
        <v/>
      </c>
      <c r="L537" s="60" t="str">
        <f t="shared" si="7"/>
        <v/>
      </c>
      <c r="M537" s="61" t="str">
        <f>IFERROR(__xludf.DUMMYFUNCTION("IFS(AND(COUNTA(C537:C1644)=0,COUNTA(Q537:Q1644)=0),"""",OR(AND(K537&gt;=1000000000,OR(Y537&gt;=1000000000,COUNTA(Q537:Q1644)=0)),OR(Y537&gt;=1000000000,AND(COUNTA(C537:C1644)=0,P$3=TRUE))),
ROUNDDOWN((AB$1-AC$1)*MAX(INDEX(T$4:T1644,MATCH(LARGE(FILTER(Y$4:Y1644,Y$4"&amp;":Y1644&lt;1000000000),1),Y$4:Y1644)),INDEX(F$4:F1644,MATCH(LARGE(FILTER(K$4:K1644,K$4:K1644&lt;1000000000),1),K$4:K1644)))),AND(K537&lt;1000000000,COUNTA(C537:C1644)&gt;0,P$3=FALSE),
ROUNDDOWN(INDEX(Y$4:Y1644,MATCH(LARGE(FILTER(W$4:W1644,W$4:W1644&lt;=I537),1),W$4:W1644"&amp;"))+(I537-LARGE(FILTER(W$4:W1644,W$4:W1644&lt;=I537),1))*INDEX(T$4:T1644,MATCH(LARGE(FILTER(W$4:W1644,W$4:W1644&lt;=I537),1),W$4:W1644))-K537),1,
ROUNDDOWN(Y537-INDEX(K$4:K1644,MATCH(LARGE(FILTER(I$4:I1644,I$4:I1644&lt;=W537),1),I$4:I1644))-(W537-LARGE(FILTER(I$4:I"&amp;"1644,I$4:I1644&lt;=W537),1))*INDEX(F$4:F1644,MATCH(LARGE(FILTER(I$4:I1644,I$4:I1644&lt;=W537),1),I$4:I1644))))"),"")</f>
        <v/>
      </c>
      <c r="N537" s="60" t="str">
        <f t="shared" si="8"/>
        <v/>
      </c>
      <c r="O537" s="61" t="str">
        <f t="shared" si="9"/>
        <v/>
      </c>
      <c r="P537" s="56" t="str">
        <f t="shared" si="10"/>
        <v/>
      </c>
      <c r="Q537" s="105"/>
      <c r="R537" s="10"/>
      <c r="S537" s="59" t="str">
        <f t="array" ref="S537">IF(COUNTA(Q537:Q1644)=0,"",SUM((COUNTIF(Q$4:Q537,Upgrades!$B$3:$B$13)-COUNTIF(Q$4:Q537,"Sell_"&amp;Upgrades!$B$3:$B$13))*Upgrades!$D$3:$D$13))</f>
        <v/>
      </c>
      <c r="T537" s="66" t="str">
        <f>IFERROR(__xludf.DUMMYFUNCTION("IF(COUNTA(Q537:Q1644)=0,"""",IF(REGEXMATCH(INDEX(FILTER(Q$4:Q537,Q$4:Q537&lt;&gt;""""),ROWS(FILTER(Q$4:Q537,Q$4:Q537&lt;&gt;""""))),""^Sell_""),INDEX(FILTER(T$4:T536,Q$4:Q536&lt;&gt;""""),ROWS(FILTER(Q$4:Q536,Q$4:Q536&lt;&gt;""""))),$AD$5+S537))"),"")</f>
        <v/>
      </c>
      <c r="U537" s="10" t="str">
        <f>IFERROR(__xludf.DUMMYFUNCTION("IF(COUNTA(Q537:Q1644)=0,"""",IF(Q537="""",0,IF(REGEXMATCH(Q537,""^Sell_""),-ROUNDDOWN(ROUNDUP(INDEX(Upgrades!$C$3:$C$13,MATCH(SUBSTITUTE(Q537,""Sell_"",""""),Upgrades!$B$3:$B$13,0))*1.15^(COUNTIF(Q$4:Q536,SUBSTITUTE(Q537,""Sell_"",""""))-COUNTIF(Q$4:Q536,"&amp;"""Sell_""&amp;SUBSTITUTE(Q537,""Sell_"",""""))))/2),ROUNDUP(INDEX(Upgrades!$C$3:$C$13,MATCH(Q537,Upgrades!$B$3:$B$13,0))*1.15^(COUNTIF(Q$4:Q536,Q537)-COUNTIF(Q$4:Q536,""Sell_""&amp;Q537))))))"),"")</f>
        <v/>
      </c>
      <c r="V537" s="10" t="str">
        <f t="shared" si="11"/>
        <v/>
      </c>
      <c r="W537" s="68" t="str">
        <f t="shared" si="12"/>
        <v/>
      </c>
      <c r="X537" s="59" t="str">
        <f t="shared" si="13"/>
        <v/>
      </c>
      <c r="Y537" s="69" t="str">
        <f t="shared" si="14"/>
        <v/>
      </c>
      <c r="Z537" s="11"/>
      <c r="AG537" s="59"/>
    </row>
    <row r="538">
      <c r="A538" s="8"/>
      <c r="B538" s="56" t="str">
        <f t="shared" si="2"/>
        <v/>
      </c>
      <c r="C538" s="105"/>
      <c r="D538" s="10"/>
      <c r="E538" s="59" t="str">
        <f t="array" ref="E538">IF(COUNTA(C538:C1644)=0,"",SUM((COUNTIF(C$4:C538,Upgrades!$B$3:$B$13)-COUNTIF(C$4:C538,"Sell_"&amp;Upgrades!$B$3:$B$13))*Upgrades!$D$3:$D$13))</f>
        <v/>
      </c>
      <c r="F538" s="66" t="str">
        <f>IFERROR(__xludf.DUMMYFUNCTION("IF(COUNTA(C538:C1644)=0,"""",IF(REGEXMATCH(INDEX(FILTER(C$4:C538,C$4:C538&lt;&gt;""""),ROWS(FILTER(C$4:C538,C$4:C538&lt;&gt;""""))),""^Sell_""),INDEX(FILTER(F$4:F537,C$4:C537&lt;&gt;""""),ROWS(FILTER(C$4:C537,C$4:C537&lt;&gt;""""))),$AC$5+E538))"),"")</f>
        <v/>
      </c>
      <c r="G538" s="10" t="str">
        <f>IFERROR(__xludf.DUMMYFUNCTION("IF(COUNTA(C538:C1644)=0,"""",IF(C538="""",0,IF(REGEXMATCH(C538,""^Sell_""),-ROUNDDOWN(ROUNDUP(INDEX(Upgrades!$C$3:$C$13,MATCH(SUBSTITUTE(C538,""Sell_"",""""),Upgrades!$B$3:$B$13,0))*1.15^(COUNTIF(C$4:C537,SUBSTITUTE(C538,""Sell_"",""""))-COUNTIF(C$4:C537,"&amp;"""Sell_""&amp;SUBSTITUTE(C538,""Sell_"",""""))))/2),ROUNDUP(INDEX(Upgrades!$C$3:$C$13,MATCH(C538,Upgrades!$B$3:$B$13,0))*1.15^(COUNTIF(C$4:C537,C538)-COUNTIF(C$4:C537,""Sell_""&amp;C538))))))"),"")</f>
        <v/>
      </c>
      <c r="H538" s="10" t="str">
        <f t="shared" si="3"/>
        <v/>
      </c>
      <c r="I538" s="68" t="str">
        <f t="shared" si="4"/>
        <v/>
      </c>
      <c r="J538" s="59" t="str">
        <f t="shared" si="5"/>
        <v/>
      </c>
      <c r="K538" s="69" t="str">
        <f t="shared" si="6"/>
        <v/>
      </c>
      <c r="L538" s="60" t="str">
        <f t="shared" si="7"/>
        <v/>
      </c>
      <c r="M538" s="61" t="str">
        <f>IFERROR(__xludf.DUMMYFUNCTION("IFS(AND(COUNTA(C538:C1644)=0,COUNTA(Q538:Q1644)=0),"""",OR(AND(K538&gt;=1000000000,OR(Y538&gt;=1000000000,COUNTA(Q538:Q1644)=0)),OR(Y538&gt;=1000000000,AND(COUNTA(C538:C1644)=0,P$3=TRUE))),
ROUNDDOWN((AB$1-AC$1)*MAX(INDEX(T$4:T1644,MATCH(LARGE(FILTER(Y$4:Y1644,Y$4"&amp;":Y1644&lt;1000000000),1),Y$4:Y1644)),INDEX(F$4:F1644,MATCH(LARGE(FILTER(K$4:K1644,K$4:K1644&lt;1000000000),1),K$4:K1644)))),AND(K538&lt;1000000000,COUNTA(C538:C1644)&gt;0,P$3=FALSE),
ROUNDDOWN(INDEX(Y$4:Y1644,MATCH(LARGE(FILTER(W$4:W1644,W$4:W1644&lt;=I538),1),W$4:W1644"&amp;"))+(I538-LARGE(FILTER(W$4:W1644,W$4:W1644&lt;=I538),1))*INDEX(T$4:T1644,MATCH(LARGE(FILTER(W$4:W1644,W$4:W1644&lt;=I538),1),W$4:W1644))-K538),1,
ROUNDDOWN(Y538-INDEX(K$4:K1644,MATCH(LARGE(FILTER(I$4:I1644,I$4:I1644&lt;=W538),1),I$4:I1644))-(W538-LARGE(FILTER(I$4:I"&amp;"1644,I$4:I1644&lt;=W538),1))*INDEX(F$4:F1644,MATCH(LARGE(FILTER(I$4:I1644,I$4:I1644&lt;=W538),1),I$4:I1644))))"),"")</f>
        <v/>
      </c>
      <c r="N538" s="60" t="str">
        <f t="shared" si="8"/>
        <v/>
      </c>
      <c r="O538" s="61" t="str">
        <f t="shared" si="9"/>
        <v/>
      </c>
      <c r="P538" s="56" t="str">
        <f t="shared" si="10"/>
        <v/>
      </c>
      <c r="Q538" s="105"/>
      <c r="R538" s="10"/>
      <c r="S538" s="59" t="str">
        <f t="array" ref="S538">IF(COUNTA(Q538:Q1644)=0,"",SUM((COUNTIF(Q$4:Q538,Upgrades!$B$3:$B$13)-COUNTIF(Q$4:Q538,"Sell_"&amp;Upgrades!$B$3:$B$13))*Upgrades!$D$3:$D$13))</f>
        <v/>
      </c>
      <c r="T538" s="66" t="str">
        <f>IFERROR(__xludf.DUMMYFUNCTION("IF(COUNTA(Q538:Q1644)=0,"""",IF(REGEXMATCH(INDEX(FILTER(Q$4:Q538,Q$4:Q538&lt;&gt;""""),ROWS(FILTER(Q$4:Q538,Q$4:Q538&lt;&gt;""""))),""^Sell_""),INDEX(FILTER(T$4:T537,Q$4:Q537&lt;&gt;""""),ROWS(FILTER(Q$4:Q537,Q$4:Q537&lt;&gt;""""))),$AD$5+S538))"),"")</f>
        <v/>
      </c>
      <c r="U538" s="10" t="str">
        <f>IFERROR(__xludf.DUMMYFUNCTION("IF(COUNTA(Q538:Q1644)=0,"""",IF(Q538="""",0,IF(REGEXMATCH(Q538,""^Sell_""),-ROUNDDOWN(ROUNDUP(INDEX(Upgrades!$C$3:$C$13,MATCH(SUBSTITUTE(Q538,""Sell_"",""""),Upgrades!$B$3:$B$13,0))*1.15^(COUNTIF(Q$4:Q537,SUBSTITUTE(Q538,""Sell_"",""""))-COUNTIF(Q$4:Q537,"&amp;"""Sell_""&amp;SUBSTITUTE(Q538,""Sell_"",""""))))/2),ROUNDUP(INDEX(Upgrades!$C$3:$C$13,MATCH(Q538,Upgrades!$B$3:$B$13,0))*1.15^(COUNTIF(Q$4:Q537,Q538)-COUNTIF(Q$4:Q537,""Sell_""&amp;Q538))))))"),"")</f>
        <v/>
      </c>
      <c r="V538" s="10" t="str">
        <f t="shared" si="11"/>
        <v/>
      </c>
      <c r="W538" s="68" t="str">
        <f t="shared" si="12"/>
        <v/>
      </c>
      <c r="X538" s="59" t="str">
        <f t="shared" si="13"/>
        <v/>
      </c>
      <c r="Y538" s="69" t="str">
        <f t="shared" si="14"/>
        <v/>
      </c>
      <c r="Z538" s="11"/>
      <c r="AG538" s="59"/>
    </row>
    <row r="539">
      <c r="A539" s="8"/>
      <c r="B539" s="56" t="str">
        <f t="shared" si="2"/>
        <v/>
      </c>
      <c r="C539" s="105"/>
      <c r="D539" s="10"/>
      <c r="E539" s="59" t="str">
        <f t="array" ref="E539">IF(COUNTA(C539:C1644)=0,"",SUM((COUNTIF(C$4:C539,Upgrades!$B$3:$B$13)-COUNTIF(C$4:C539,"Sell_"&amp;Upgrades!$B$3:$B$13))*Upgrades!$D$3:$D$13))</f>
        <v/>
      </c>
      <c r="F539" s="66" t="str">
        <f>IFERROR(__xludf.DUMMYFUNCTION("IF(COUNTA(C539:C1644)=0,"""",IF(REGEXMATCH(INDEX(FILTER(C$4:C539,C$4:C539&lt;&gt;""""),ROWS(FILTER(C$4:C539,C$4:C539&lt;&gt;""""))),""^Sell_""),INDEX(FILTER(F$4:F538,C$4:C538&lt;&gt;""""),ROWS(FILTER(C$4:C538,C$4:C538&lt;&gt;""""))),$AC$5+E539))"),"")</f>
        <v/>
      </c>
      <c r="G539" s="10" t="str">
        <f>IFERROR(__xludf.DUMMYFUNCTION("IF(COUNTA(C539:C1644)=0,"""",IF(C539="""",0,IF(REGEXMATCH(C539,""^Sell_""),-ROUNDDOWN(ROUNDUP(INDEX(Upgrades!$C$3:$C$13,MATCH(SUBSTITUTE(C539,""Sell_"",""""),Upgrades!$B$3:$B$13,0))*1.15^(COUNTIF(C$4:C538,SUBSTITUTE(C539,""Sell_"",""""))-COUNTIF(C$4:C538,"&amp;"""Sell_""&amp;SUBSTITUTE(C539,""Sell_"",""""))))/2),ROUNDUP(INDEX(Upgrades!$C$3:$C$13,MATCH(C539,Upgrades!$B$3:$B$13,0))*1.15^(COUNTIF(C$4:C538,C539)-COUNTIF(C$4:C538,""Sell_""&amp;C539))))))"),"")</f>
        <v/>
      </c>
      <c r="H539" s="10" t="str">
        <f t="shared" si="3"/>
        <v/>
      </c>
      <c r="I539" s="68" t="str">
        <f t="shared" si="4"/>
        <v/>
      </c>
      <c r="J539" s="59" t="str">
        <f t="shared" si="5"/>
        <v/>
      </c>
      <c r="K539" s="69" t="str">
        <f t="shared" si="6"/>
        <v/>
      </c>
      <c r="L539" s="60" t="str">
        <f t="shared" si="7"/>
        <v/>
      </c>
      <c r="M539" s="61" t="str">
        <f>IFERROR(__xludf.DUMMYFUNCTION("IFS(AND(COUNTA(C539:C1644)=0,COUNTA(Q539:Q1644)=0),"""",OR(AND(K539&gt;=1000000000,OR(Y539&gt;=1000000000,COUNTA(Q539:Q1644)=0)),OR(Y539&gt;=1000000000,AND(COUNTA(C539:C1644)=0,P$3=TRUE))),
ROUNDDOWN((AB$1-AC$1)*MAX(INDEX(T$4:T1644,MATCH(LARGE(FILTER(Y$4:Y1644,Y$4"&amp;":Y1644&lt;1000000000),1),Y$4:Y1644)),INDEX(F$4:F1644,MATCH(LARGE(FILTER(K$4:K1644,K$4:K1644&lt;1000000000),1),K$4:K1644)))),AND(K539&lt;1000000000,COUNTA(C539:C1644)&gt;0,P$3=FALSE),
ROUNDDOWN(INDEX(Y$4:Y1644,MATCH(LARGE(FILTER(W$4:W1644,W$4:W1644&lt;=I539),1),W$4:W1644"&amp;"))+(I539-LARGE(FILTER(W$4:W1644,W$4:W1644&lt;=I539),1))*INDEX(T$4:T1644,MATCH(LARGE(FILTER(W$4:W1644,W$4:W1644&lt;=I539),1),W$4:W1644))-K539),1,
ROUNDDOWN(Y539-INDEX(K$4:K1644,MATCH(LARGE(FILTER(I$4:I1644,I$4:I1644&lt;=W539),1),I$4:I1644))-(W539-LARGE(FILTER(I$4:I"&amp;"1644,I$4:I1644&lt;=W539),1))*INDEX(F$4:F1644,MATCH(LARGE(FILTER(I$4:I1644,I$4:I1644&lt;=W539),1),I$4:I1644))))"),"")</f>
        <v/>
      </c>
      <c r="N539" s="60" t="str">
        <f t="shared" si="8"/>
        <v/>
      </c>
      <c r="O539" s="61" t="str">
        <f t="shared" si="9"/>
        <v/>
      </c>
      <c r="P539" s="56" t="str">
        <f t="shared" si="10"/>
        <v/>
      </c>
      <c r="Q539" s="105"/>
      <c r="R539" s="10"/>
      <c r="S539" s="59" t="str">
        <f t="array" ref="S539">IF(COUNTA(Q539:Q1644)=0,"",SUM((COUNTIF(Q$4:Q539,Upgrades!$B$3:$B$13)-COUNTIF(Q$4:Q539,"Sell_"&amp;Upgrades!$B$3:$B$13))*Upgrades!$D$3:$D$13))</f>
        <v/>
      </c>
      <c r="T539" s="66" t="str">
        <f>IFERROR(__xludf.DUMMYFUNCTION("IF(COUNTA(Q539:Q1644)=0,"""",IF(REGEXMATCH(INDEX(FILTER(Q$4:Q539,Q$4:Q539&lt;&gt;""""),ROWS(FILTER(Q$4:Q539,Q$4:Q539&lt;&gt;""""))),""^Sell_""),INDEX(FILTER(T$4:T538,Q$4:Q538&lt;&gt;""""),ROWS(FILTER(Q$4:Q538,Q$4:Q538&lt;&gt;""""))),$AD$5+S539))"),"")</f>
        <v/>
      </c>
      <c r="U539" s="10" t="str">
        <f>IFERROR(__xludf.DUMMYFUNCTION("IF(COUNTA(Q539:Q1644)=0,"""",IF(Q539="""",0,IF(REGEXMATCH(Q539,""^Sell_""),-ROUNDDOWN(ROUNDUP(INDEX(Upgrades!$C$3:$C$13,MATCH(SUBSTITUTE(Q539,""Sell_"",""""),Upgrades!$B$3:$B$13,0))*1.15^(COUNTIF(Q$4:Q538,SUBSTITUTE(Q539,""Sell_"",""""))-COUNTIF(Q$4:Q538,"&amp;"""Sell_""&amp;SUBSTITUTE(Q539,""Sell_"",""""))))/2),ROUNDUP(INDEX(Upgrades!$C$3:$C$13,MATCH(Q539,Upgrades!$B$3:$B$13,0))*1.15^(COUNTIF(Q$4:Q538,Q539)-COUNTIF(Q$4:Q538,""Sell_""&amp;Q539))))))"),"")</f>
        <v/>
      </c>
      <c r="V539" s="10" t="str">
        <f t="shared" si="11"/>
        <v/>
      </c>
      <c r="W539" s="68" t="str">
        <f t="shared" si="12"/>
        <v/>
      </c>
      <c r="X539" s="59" t="str">
        <f t="shared" si="13"/>
        <v/>
      </c>
      <c r="Y539" s="69" t="str">
        <f t="shared" si="14"/>
        <v/>
      </c>
      <c r="Z539" s="11"/>
      <c r="AG539" s="59"/>
    </row>
    <row r="540">
      <c r="A540" s="8"/>
      <c r="B540" s="56" t="str">
        <f t="shared" si="2"/>
        <v/>
      </c>
      <c r="C540" s="105"/>
      <c r="D540" s="10"/>
      <c r="E540" s="59" t="str">
        <f t="array" ref="E540">IF(COUNTA(C540:C1644)=0,"",SUM((COUNTIF(C$4:C540,Upgrades!$B$3:$B$13)-COUNTIF(C$4:C540,"Sell_"&amp;Upgrades!$B$3:$B$13))*Upgrades!$D$3:$D$13))</f>
        <v/>
      </c>
      <c r="F540" s="66" t="str">
        <f>IFERROR(__xludf.DUMMYFUNCTION("IF(COUNTA(C540:C1644)=0,"""",IF(REGEXMATCH(INDEX(FILTER(C$4:C540,C$4:C540&lt;&gt;""""),ROWS(FILTER(C$4:C540,C$4:C540&lt;&gt;""""))),""^Sell_""),INDEX(FILTER(F$4:F539,C$4:C539&lt;&gt;""""),ROWS(FILTER(C$4:C539,C$4:C539&lt;&gt;""""))),$AC$5+E540))"),"")</f>
        <v/>
      </c>
      <c r="G540" s="10" t="str">
        <f>IFERROR(__xludf.DUMMYFUNCTION("IF(COUNTA(C540:C1644)=0,"""",IF(C540="""",0,IF(REGEXMATCH(C540,""^Sell_""),-ROUNDDOWN(ROUNDUP(INDEX(Upgrades!$C$3:$C$13,MATCH(SUBSTITUTE(C540,""Sell_"",""""),Upgrades!$B$3:$B$13,0))*1.15^(COUNTIF(C$4:C539,SUBSTITUTE(C540,""Sell_"",""""))-COUNTIF(C$4:C539,"&amp;"""Sell_""&amp;SUBSTITUTE(C540,""Sell_"",""""))))/2),ROUNDUP(INDEX(Upgrades!$C$3:$C$13,MATCH(C540,Upgrades!$B$3:$B$13,0))*1.15^(COUNTIF(C$4:C539,C540)-COUNTIF(C$4:C539,""Sell_""&amp;C540))))))"),"")</f>
        <v/>
      </c>
      <c r="H540" s="10" t="str">
        <f t="shared" si="3"/>
        <v/>
      </c>
      <c r="I540" s="68" t="str">
        <f t="shared" si="4"/>
        <v/>
      </c>
      <c r="J540" s="59" t="str">
        <f t="shared" si="5"/>
        <v/>
      </c>
      <c r="K540" s="69" t="str">
        <f t="shared" si="6"/>
        <v/>
      </c>
      <c r="L540" s="60" t="str">
        <f t="shared" si="7"/>
        <v/>
      </c>
      <c r="M540" s="61" t="str">
        <f>IFERROR(__xludf.DUMMYFUNCTION("IFS(AND(COUNTA(C540:C1644)=0,COUNTA(Q540:Q1644)=0),"""",OR(AND(K540&gt;=1000000000,OR(Y540&gt;=1000000000,COUNTA(Q540:Q1644)=0)),OR(Y540&gt;=1000000000,AND(COUNTA(C540:C1644)=0,P$3=TRUE))),
ROUNDDOWN((AB$1-AC$1)*MAX(INDEX(T$4:T1644,MATCH(LARGE(FILTER(Y$4:Y1644,Y$4"&amp;":Y1644&lt;1000000000),1),Y$4:Y1644)),INDEX(F$4:F1644,MATCH(LARGE(FILTER(K$4:K1644,K$4:K1644&lt;1000000000),1),K$4:K1644)))),AND(K540&lt;1000000000,COUNTA(C540:C1644)&gt;0,P$3=FALSE),
ROUNDDOWN(INDEX(Y$4:Y1644,MATCH(LARGE(FILTER(W$4:W1644,W$4:W1644&lt;=I540),1),W$4:W1644"&amp;"))+(I540-LARGE(FILTER(W$4:W1644,W$4:W1644&lt;=I540),1))*INDEX(T$4:T1644,MATCH(LARGE(FILTER(W$4:W1644,W$4:W1644&lt;=I540),1),W$4:W1644))-K540),1,
ROUNDDOWN(Y540-INDEX(K$4:K1644,MATCH(LARGE(FILTER(I$4:I1644,I$4:I1644&lt;=W540),1),I$4:I1644))-(W540-LARGE(FILTER(I$4:I"&amp;"1644,I$4:I1644&lt;=W540),1))*INDEX(F$4:F1644,MATCH(LARGE(FILTER(I$4:I1644,I$4:I1644&lt;=W540),1),I$4:I1644))))"),"")</f>
        <v/>
      </c>
      <c r="N540" s="60" t="str">
        <f t="shared" si="8"/>
        <v/>
      </c>
      <c r="O540" s="61" t="str">
        <f t="shared" si="9"/>
        <v/>
      </c>
      <c r="P540" s="56" t="str">
        <f t="shared" si="10"/>
        <v/>
      </c>
      <c r="Q540" s="105"/>
      <c r="R540" s="10"/>
      <c r="S540" s="59" t="str">
        <f t="array" ref="S540">IF(COUNTA(Q540:Q1644)=0,"",SUM((COUNTIF(Q$4:Q540,Upgrades!$B$3:$B$13)-COUNTIF(Q$4:Q540,"Sell_"&amp;Upgrades!$B$3:$B$13))*Upgrades!$D$3:$D$13))</f>
        <v/>
      </c>
      <c r="T540" s="66" t="str">
        <f>IFERROR(__xludf.DUMMYFUNCTION("IF(COUNTA(Q540:Q1644)=0,"""",IF(REGEXMATCH(INDEX(FILTER(Q$4:Q540,Q$4:Q540&lt;&gt;""""),ROWS(FILTER(Q$4:Q540,Q$4:Q540&lt;&gt;""""))),""^Sell_""),INDEX(FILTER(T$4:T539,Q$4:Q539&lt;&gt;""""),ROWS(FILTER(Q$4:Q539,Q$4:Q539&lt;&gt;""""))),$AD$5+S540))"),"")</f>
        <v/>
      </c>
      <c r="U540" s="10" t="str">
        <f>IFERROR(__xludf.DUMMYFUNCTION("IF(COUNTA(Q540:Q1644)=0,"""",IF(Q540="""",0,IF(REGEXMATCH(Q540,""^Sell_""),-ROUNDDOWN(ROUNDUP(INDEX(Upgrades!$C$3:$C$13,MATCH(SUBSTITUTE(Q540,""Sell_"",""""),Upgrades!$B$3:$B$13,0))*1.15^(COUNTIF(Q$4:Q539,SUBSTITUTE(Q540,""Sell_"",""""))-COUNTIF(Q$4:Q539,"&amp;"""Sell_""&amp;SUBSTITUTE(Q540,""Sell_"",""""))))/2),ROUNDUP(INDEX(Upgrades!$C$3:$C$13,MATCH(Q540,Upgrades!$B$3:$B$13,0))*1.15^(COUNTIF(Q$4:Q539,Q540)-COUNTIF(Q$4:Q539,""Sell_""&amp;Q540))))))"),"")</f>
        <v/>
      </c>
      <c r="V540" s="10" t="str">
        <f t="shared" si="11"/>
        <v/>
      </c>
      <c r="W540" s="68" t="str">
        <f t="shared" si="12"/>
        <v/>
      </c>
      <c r="X540" s="59" t="str">
        <f t="shared" si="13"/>
        <v/>
      </c>
      <c r="Y540" s="69" t="str">
        <f t="shared" si="14"/>
        <v/>
      </c>
      <c r="Z540" s="11"/>
      <c r="AG540" s="59"/>
    </row>
    <row r="541">
      <c r="A541" s="8"/>
      <c r="B541" s="56" t="str">
        <f t="shared" si="2"/>
        <v/>
      </c>
      <c r="C541" s="105"/>
      <c r="D541" s="10"/>
      <c r="E541" s="59" t="str">
        <f t="array" ref="E541">IF(COUNTA(C541:C1644)=0,"",SUM((COUNTIF(C$4:C541,Upgrades!$B$3:$B$13)-COUNTIF(C$4:C541,"Sell_"&amp;Upgrades!$B$3:$B$13))*Upgrades!$D$3:$D$13))</f>
        <v/>
      </c>
      <c r="F541" s="66" t="str">
        <f>IFERROR(__xludf.DUMMYFUNCTION("IF(COUNTA(C541:C1644)=0,"""",IF(REGEXMATCH(INDEX(FILTER(C$4:C541,C$4:C541&lt;&gt;""""),ROWS(FILTER(C$4:C541,C$4:C541&lt;&gt;""""))),""^Sell_""),INDEX(FILTER(F$4:F540,C$4:C540&lt;&gt;""""),ROWS(FILTER(C$4:C540,C$4:C540&lt;&gt;""""))),$AC$5+E541))"),"")</f>
        <v/>
      </c>
      <c r="G541" s="10" t="str">
        <f>IFERROR(__xludf.DUMMYFUNCTION("IF(COUNTA(C541:C1644)=0,"""",IF(C541="""",0,IF(REGEXMATCH(C541,""^Sell_""),-ROUNDDOWN(ROUNDUP(INDEX(Upgrades!$C$3:$C$13,MATCH(SUBSTITUTE(C541,""Sell_"",""""),Upgrades!$B$3:$B$13,0))*1.15^(COUNTIF(C$4:C540,SUBSTITUTE(C541,""Sell_"",""""))-COUNTIF(C$4:C540,"&amp;"""Sell_""&amp;SUBSTITUTE(C541,""Sell_"",""""))))/2),ROUNDUP(INDEX(Upgrades!$C$3:$C$13,MATCH(C541,Upgrades!$B$3:$B$13,0))*1.15^(COUNTIF(C$4:C540,C541)-COUNTIF(C$4:C540,""Sell_""&amp;C541))))))"),"")</f>
        <v/>
      </c>
      <c r="H541" s="10" t="str">
        <f t="shared" si="3"/>
        <v/>
      </c>
      <c r="I541" s="68" t="str">
        <f t="shared" si="4"/>
        <v/>
      </c>
      <c r="J541" s="59" t="str">
        <f t="shared" si="5"/>
        <v/>
      </c>
      <c r="K541" s="69" t="str">
        <f t="shared" si="6"/>
        <v/>
      </c>
      <c r="L541" s="60" t="str">
        <f t="shared" si="7"/>
        <v/>
      </c>
      <c r="M541" s="61" t="str">
        <f>IFERROR(__xludf.DUMMYFUNCTION("IFS(AND(COUNTA(C541:C1644)=0,COUNTA(Q541:Q1644)=0),"""",OR(AND(K541&gt;=1000000000,OR(Y541&gt;=1000000000,COUNTA(Q541:Q1644)=0)),OR(Y541&gt;=1000000000,AND(COUNTA(C541:C1644)=0,P$3=TRUE))),
ROUNDDOWN((AB$1-AC$1)*MAX(INDEX(T$4:T1644,MATCH(LARGE(FILTER(Y$4:Y1644,Y$4"&amp;":Y1644&lt;1000000000),1),Y$4:Y1644)),INDEX(F$4:F1644,MATCH(LARGE(FILTER(K$4:K1644,K$4:K1644&lt;1000000000),1),K$4:K1644)))),AND(K541&lt;1000000000,COUNTA(C541:C1644)&gt;0,P$3=FALSE),
ROUNDDOWN(INDEX(Y$4:Y1644,MATCH(LARGE(FILTER(W$4:W1644,W$4:W1644&lt;=I541),1),W$4:W1644"&amp;"))+(I541-LARGE(FILTER(W$4:W1644,W$4:W1644&lt;=I541),1))*INDEX(T$4:T1644,MATCH(LARGE(FILTER(W$4:W1644,W$4:W1644&lt;=I541),1),W$4:W1644))-K541),1,
ROUNDDOWN(Y541-INDEX(K$4:K1644,MATCH(LARGE(FILTER(I$4:I1644,I$4:I1644&lt;=W541),1),I$4:I1644))-(W541-LARGE(FILTER(I$4:I"&amp;"1644,I$4:I1644&lt;=W541),1))*INDEX(F$4:F1644,MATCH(LARGE(FILTER(I$4:I1644,I$4:I1644&lt;=W541),1),I$4:I1644))))"),"")</f>
        <v/>
      </c>
      <c r="N541" s="60" t="str">
        <f t="shared" si="8"/>
        <v/>
      </c>
      <c r="O541" s="61" t="str">
        <f t="shared" si="9"/>
        <v/>
      </c>
      <c r="P541" s="56" t="str">
        <f t="shared" si="10"/>
        <v/>
      </c>
      <c r="Q541" s="105"/>
      <c r="R541" s="10"/>
      <c r="S541" s="59" t="str">
        <f t="array" ref="S541">IF(COUNTA(Q541:Q1644)=0,"",SUM((COUNTIF(Q$4:Q541,Upgrades!$B$3:$B$13)-COUNTIF(Q$4:Q541,"Sell_"&amp;Upgrades!$B$3:$B$13))*Upgrades!$D$3:$D$13))</f>
        <v/>
      </c>
      <c r="T541" s="66" t="str">
        <f>IFERROR(__xludf.DUMMYFUNCTION("IF(COUNTA(Q541:Q1644)=0,"""",IF(REGEXMATCH(INDEX(FILTER(Q$4:Q541,Q$4:Q541&lt;&gt;""""),ROWS(FILTER(Q$4:Q541,Q$4:Q541&lt;&gt;""""))),""^Sell_""),INDEX(FILTER(T$4:T540,Q$4:Q540&lt;&gt;""""),ROWS(FILTER(Q$4:Q540,Q$4:Q540&lt;&gt;""""))),$AD$5+S541))"),"")</f>
        <v/>
      </c>
      <c r="U541" s="10" t="str">
        <f>IFERROR(__xludf.DUMMYFUNCTION("IF(COUNTA(Q541:Q1644)=0,"""",IF(Q541="""",0,IF(REGEXMATCH(Q541,""^Sell_""),-ROUNDDOWN(ROUNDUP(INDEX(Upgrades!$C$3:$C$13,MATCH(SUBSTITUTE(Q541,""Sell_"",""""),Upgrades!$B$3:$B$13,0))*1.15^(COUNTIF(Q$4:Q540,SUBSTITUTE(Q541,""Sell_"",""""))-COUNTIF(Q$4:Q540,"&amp;"""Sell_""&amp;SUBSTITUTE(Q541,""Sell_"",""""))))/2),ROUNDUP(INDEX(Upgrades!$C$3:$C$13,MATCH(Q541,Upgrades!$B$3:$B$13,0))*1.15^(COUNTIF(Q$4:Q540,Q541)-COUNTIF(Q$4:Q540,""Sell_""&amp;Q541))))))"),"")</f>
        <v/>
      </c>
      <c r="V541" s="10" t="str">
        <f t="shared" si="11"/>
        <v/>
      </c>
      <c r="W541" s="68" t="str">
        <f t="shared" si="12"/>
        <v/>
      </c>
      <c r="X541" s="59" t="str">
        <f t="shared" si="13"/>
        <v/>
      </c>
      <c r="Y541" s="69" t="str">
        <f t="shared" si="14"/>
        <v/>
      </c>
      <c r="Z541" s="11"/>
      <c r="AG541" s="59"/>
    </row>
    <row r="542">
      <c r="A542" s="8"/>
      <c r="B542" s="56" t="str">
        <f t="shared" si="2"/>
        <v/>
      </c>
      <c r="C542" s="105"/>
      <c r="D542" s="10"/>
      <c r="E542" s="59" t="str">
        <f t="array" ref="E542">IF(COUNTA(C542:C1644)=0,"",SUM((COUNTIF(C$4:C542,Upgrades!$B$3:$B$13)-COUNTIF(C$4:C542,"Sell_"&amp;Upgrades!$B$3:$B$13))*Upgrades!$D$3:$D$13))</f>
        <v/>
      </c>
      <c r="F542" s="66" t="str">
        <f>IFERROR(__xludf.DUMMYFUNCTION("IF(COUNTA(C542:C1644)=0,"""",IF(REGEXMATCH(INDEX(FILTER(C$4:C542,C$4:C542&lt;&gt;""""),ROWS(FILTER(C$4:C542,C$4:C542&lt;&gt;""""))),""^Sell_""),INDEX(FILTER(F$4:F541,C$4:C541&lt;&gt;""""),ROWS(FILTER(C$4:C541,C$4:C541&lt;&gt;""""))),$AC$5+E542))"),"")</f>
        <v/>
      </c>
      <c r="G542" s="10" t="str">
        <f>IFERROR(__xludf.DUMMYFUNCTION("IF(COUNTA(C542:C1644)=0,"""",IF(C542="""",0,IF(REGEXMATCH(C542,""^Sell_""),-ROUNDDOWN(ROUNDUP(INDEX(Upgrades!$C$3:$C$13,MATCH(SUBSTITUTE(C542,""Sell_"",""""),Upgrades!$B$3:$B$13,0))*1.15^(COUNTIF(C$4:C541,SUBSTITUTE(C542,""Sell_"",""""))-COUNTIF(C$4:C541,"&amp;"""Sell_""&amp;SUBSTITUTE(C542,""Sell_"",""""))))/2),ROUNDUP(INDEX(Upgrades!$C$3:$C$13,MATCH(C542,Upgrades!$B$3:$B$13,0))*1.15^(COUNTIF(C$4:C541,C542)-COUNTIF(C$4:C541,""Sell_""&amp;C542))))))"),"")</f>
        <v/>
      </c>
      <c r="H542" s="10" t="str">
        <f t="shared" si="3"/>
        <v/>
      </c>
      <c r="I542" s="68" t="str">
        <f t="shared" si="4"/>
        <v/>
      </c>
      <c r="J542" s="59" t="str">
        <f t="shared" si="5"/>
        <v/>
      </c>
      <c r="K542" s="69" t="str">
        <f t="shared" si="6"/>
        <v/>
      </c>
      <c r="L542" s="60" t="str">
        <f t="shared" si="7"/>
        <v/>
      </c>
      <c r="M542" s="61" t="str">
        <f>IFERROR(__xludf.DUMMYFUNCTION("IFS(AND(COUNTA(C542:C1644)=0,COUNTA(Q542:Q1644)=0),"""",OR(AND(K542&gt;=1000000000,OR(Y542&gt;=1000000000,COUNTA(Q542:Q1644)=0)),OR(Y542&gt;=1000000000,AND(COUNTA(C542:C1644)=0,P$3=TRUE))),
ROUNDDOWN((AB$1-AC$1)*MAX(INDEX(T$4:T1644,MATCH(LARGE(FILTER(Y$4:Y1644,Y$4"&amp;":Y1644&lt;1000000000),1),Y$4:Y1644)),INDEX(F$4:F1644,MATCH(LARGE(FILTER(K$4:K1644,K$4:K1644&lt;1000000000),1),K$4:K1644)))),AND(K542&lt;1000000000,COUNTA(C542:C1644)&gt;0,P$3=FALSE),
ROUNDDOWN(INDEX(Y$4:Y1644,MATCH(LARGE(FILTER(W$4:W1644,W$4:W1644&lt;=I542),1),W$4:W1644"&amp;"))+(I542-LARGE(FILTER(W$4:W1644,W$4:W1644&lt;=I542),1))*INDEX(T$4:T1644,MATCH(LARGE(FILTER(W$4:W1644,W$4:W1644&lt;=I542),1),W$4:W1644))-K542),1,
ROUNDDOWN(Y542-INDEX(K$4:K1644,MATCH(LARGE(FILTER(I$4:I1644,I$4:I1644&lt;=W542),1),I$4:I1644))-(W542-LARGE(FILTER(I$4:I"&amp;"1644,I$4:I1644&lt;=W542),1))*INDEX(F$4:F1644,MATCH(LARGE(FILTER(I$4:I1644,I$4:I1644&lt;=W542),1),I$4:I1644))))"),"")</f>
        <v/>
      </c>
      <c r="N542" s="60" t="str">
        <f t="shared" si="8"/>
        <v/>
      </c>
      <c r="O542" s="61" t="str">
        <f t="shared" si="9"/>
        <v/>
      </c>
      <c r="P542" s="56" t="str">
        <f t="shared" si="10"/>
        <v/>
      </c>
      <c r="Q542" s="105"/>
      <c r="R542" s="10"/>
      <c r="S542" s="59" t="str">
        <f t="array" ref="S542">IF(COUNTA(Q542:Q1644)=0,"",SUM((COUNTIF(Q$4:Q542,Upgrades!$B$3:$B$13)-COUNTIF(Q$4:Q542,"Sell_"&amp;Upgrades!$B$3:$B$13))*Upgrades!$D$3:$D$13))</f>
        <v/>
      </c>
      <c r="T542" s="66" t="str">
        <f>IFERROR(__xludf.DUMMYFUNCTION("IF(COUNTA(Q542:Q1644)=0,"""",IF(REGEXMATCH(INDEX(FILTER(Q$4:Q542,Q$4:Q542&lt;&gt;""""),ROWS(FILTER(Q$4:Q542,Q$4:Q542&lt;&gt;""""))),""^Sell_""),INDEX(FILTER(T$4:T541,Q$4:Q541&lt;&gt;""""),ROWS(FILTER(Q$4:Q541,Q$4:Q541&lt;&gt;""""))),$AD$5+S542))"),"")</f>
        <v/>
      </c>
      <c r="U542" s="10" t="str">
        <f>IFERROR(__xludf.DUMMYFUNCTION("IF(COUNTA(Q542:Q1644)=0,"""",IF(Q542="""",0,IF(REGEXMATCH(Q542,""^Sell_""),-ROUNDDOWN(ROUNDUP(INDEX(Upgrades!$C$3:$C$13,MATCH(SUBSTITUTE(Q542,""Sell_"",""""),Upgrades!$B$3:$B$13,0))*1.15^(COUNTIF(Q$4:Q541,SUBSTITUTE(Q542,""Sell_"",""""))-COUNTIF(Q$4:Q541,"&amp;"""Sell_""&amp;SUBSTITUTE(Q542,""Sell_"",""""))))/2),ROUNDUP(INDEX(Upgrades!$C$3:$C$13,MATCH(Q542,Upgrades!$B$3:$B$13,0))*1.15^(COUNTIF(Q$4:Q541,Q542)-COUNTIF(Q$4:Q541,""Sell_""&amp;Q542))))))"),"")</f>
        <v/>
      </c>
      <c r="V542" s="10" t="str">
        <f t="shared" si="11"/>
        <v/>
      </c>
      <c r="W542" s="68" t="str">
        <f t="shared" si="12"/>
        <v/>
      </c>
      <c r="X542" s="59" t="str">
        <f t="shared" si="13"/>
        <v/>
      </c>
      <c r="Y542" s="69" t="str">
        <f t="shared" si="14"/>
        <v/>
      </c>
      <c r="Z542" s="11"/>
      <c r="AG542" s="59"/>
    </row>
    <row r="543">
      <c r="A543" s="8"/>
      <c r="B543" s="56" t="str">
        <f t="shared" si="2"/>
        <v/>
      </c>
      <c r="C543" s="105"/>
      <c r="D543" s="10"/>
      <c r="E543" s="59" t="str">
        <f t="array" ref="E543">IF(COUNTA(C543:C1644)=0,"",SUM((COUNTIF(C$4:C543,Upgrades!$B$3:$B$13)-COUNTIF(C$4:C543,"Sell_"&amp;Upgrades!$B$3:$B$13))*Upgrades!$D$3:$D$13))</f>
        <v/>
      </c>
      <c r="F543" s="66" t="str">
        <f>IFERROR(__xludf.DUMMYFUNCTION("IF(COUNTA(C543:C1644)=0,"""",IF(REGEXMATCH(INDEX(FILTER(C$4:C543,C$4:C543&lt;&gt;""""),ROWS(FILTER(C$4:C543,C$4:C543&lt;&gt;""""))),""^Sell_""),INDEX(FILTER(F$4:F542,C$4:C542&lt;&gt;""""),ROWS(FILTER(C$4:C542,C$4:C542&lt;&gt;""""))),$AC$5+E543))"),"")</f>
        <v/>
      </c>
      <c r="G543" s="10" t="str">
        <f>IFERROR(__xludf.DUMMYFUNCTION("IF(COUNTA(C543:C1644)=0,"""",IF(C543="""",0,IF(REGEXMATCH(C543,""^Sell_""),-ROUNDDOWN(ROUNDUP(INDEX(Upgrades!$C$3:$C$13,MATCH(SUBSTITUTE(C543,""Sell_"",""""),Upgrades!$B$3:$B$13,0))*1.15^(COUNTIF(C$4:C542,SUBSTITUTE(C543,""Sell_"",""""))-COUNTIF(C$4:C542,"&amp;"""Sell_""&amp;SUBSTITUTE(C543,""Sell_"",""""))))/2),ROUNDUP(INDEX(Upgrades!$C$3:$C$13,MATCH(C543,Upgrades!$B$3:$B$13,0))*1.15^(COUNTIF(C$4:C542,C543)-COUNTIF(C$4:C542,""Sell_""&amp;C543))))))"),"")</f>
        <v/>
      </c>
      <c r="H543" s="10" t="str">
        <f t="shared" si="3"/>
        <v/>
      </c>
      <c r="I543" s="68" t="str">
        <f t="shared" si="4"/>
        <v/>
      </c>
      <c r="J543" s="59" t="str">
        <f t="shared" si="5"/>
        <v/>
      </c>
      <c r="K543" s="69" t="str">
        <f t="shared" si="6"/>
        <v/>
      </c>
      <c r="L543" s="60" t="str">
        <f t="shared" si="7"/>
        <v/>
      </c>
      <c r="M543" s="61" t="str">
        <f>IFERROR(__xludf.DUMMYFUNCTION("IFS(AND(COUNTA(C543:C1644)=0,COUNTA(Q543:Q1644)=0),"""",OR(AND(K543&gt;=1000000000,OR(Y543&gt;=1000000000,COUNTA(Q543:Q1644)=0)),OR(Y543&gt;=1000000000,AND(COUNTA(C543:C1644)=0,P$3=TRUE))),
ROUNDDOWN((AB$1-AC$1)*MAX(INDEX(T$4:T1644,MATCH(LARGE(FILTER(Y$4:Y1644,Y$4"&amp;":Y1644&lt;1000000000),1),Y$4:Y1644)),INDEX(F$4:F1644,MATCH(LARGE(FILTER(K$4:K1644,K$4:K1644&lt;1000000000),1),K$4:K1644)))),AND(K543&lt;1000000000,COUNTA(C543:C1644)&gt;0,P$3=FALSE),
ROUNDDOWN(INDEX(Y$4:Y1644,MATCH(LARGE(FILTER(W$4:W1644,W$4:W1644&lt;=I543),1),W$4:W1644"&amp;"))+(I543-LARGE(FILTER(W$4:W1644,W$4:W1644&lt;=I543),1))*INDEX(T$4:T1644,MATCH(LARGE(FILTER(W$4:W1644,W$4:W1644&lt;=I543),1),W$4:W1644))-K543),1,
ROUNDDOWN(Y543-INDEX(K$4:K1644,MATCH(LARGE(FILTER(I$4:I1644,I$4:I1644&lt;=W543),1),I$4:I1644))-(W543-LARGE(FILTER(I$4:I"&amp;"1644,I$4:I1644&lt;=W543),1))*INDEX(F$4:F1644,MATCH(LARGE(FILTER(I$4:I1644,I$4:I1644&lt;=W543),1),I$4:I1644))))"),"")</f>
        <v/>
      </c>
      <c r="N543" s="60" t="str">
        <f t="shared" si="8"/>
        <v/>
      </c>
      <c r="O543" s="61" t="str">
        <f t="shared" si="9"/>
        <v/>
      </c>
      <c r="P543" s="56" t="str">
        <f t="shared" si="10"/>
        <v/>
      </c>
      <c r="Q543" s="105"/>
      <c r="R543" s="10"/>
      <c r="S543" s="59" t="str">
        <f t="array" ref="S543">IF(COUNTA(Q543:Q1644)=0,"",SUM((COUNTIF(Q$4:Q543,Upgrades!$B$3:$B$13)-COUNTIF(Q$4:Q543,"Sell_"&amp;Upgrades!$B$3:$B$13))*Upgrades!$D$3:$D$13))</f>
        <v/>
      </c>
      <c r="T543" s="66" t="str">
        <f>IFERROR(__xludf.DUMMYFUNCTION("IF(COUNTA(Q543:Q1644)=0,"""",IF(REGEXMATCH(INDEX(FILTER(Q$4:Q543,Q$4:Q543&lt;&gt;""""),ROWS(FILTER(Q$4:Q543,Q$4:Q543&lt;&gt;""""))),""^Sell_""),INDEX(FILTER(T$4:T542,Q$4:Q542&lt;&gt;""""),ROWS(FILTER(Q$4:Q542,Q$4:Q542&lt;&gt;""""))),$AD$5+S543))"),"")</f>
        <v/>
      </c>
      <c r="U543" s="10" t="str">
        <f>IFERROR(__xludf.DUMMYFUNCTION("IF(COUNTA(Q543:Q1644)=0,"""",IF(Q543="""",0,IF(REGEXMATCH(Q543,""^Sell_""),-ROUNDDOWN(ROUNDUP(INDEX(Upgrades!$C$3:$C$13,MATCH(SUBSTITUTE(Q543,""Sell_"",""""),Upgrades!$B$3:$B$13,0))*1.15^(COUNTIF(Q$4:Q542,SUBSTITUTE(Q543,""Sell_"",""""))-COUNTIF(Q$4:Q542,"&amp;"""Sell_""&amp;SUBSTITUTE(Q543,""Sell_"",""""))))/2),ROUNDUP(INDEX(Upgrades!$C$3:$C$13,MATCH(Q543,Upgrades!$B$3:$B$13,0))*1.15^(COUNTIF(Q$4:Q542,Q543)-COUNTIF(Q$4:Q542,""Sell_""&amp;Q543))))))"),"")</f>
        <v/>
      </c>
      <c r="V543" s="10" t="str">
        <f t="shared" si="11"/>
        <v/>
      </c>
      <c r="W543" s="68" t="str">
        <f t="shared" si="12"/>
        <v/>
      </c>
      <c r="X543" s="59" t="str">
        <f t="shared" si="13"/>
        <v/>
      </c>
      <c r="Y543" s="69" t="str">
        <f t="shared" si="14"/>
        <v/>
      </c>
      <c r="Z543" s="11"/>
      <c r="AG543" s="59"/>
    </row>
    <row r="544">
      <c r="A544" s="8"/>
      <c r="B544" s="56" t="str">
        <f t="shared" si="2"/>
        <v/>
      </c>
      <c r="C544" s="105"/>
      <c r="D544" s="10"/>
      <c r="E544" s="59" t="str">
        <f t="array" ref="E544">IF(COUNTA(C544:C1644)=0,"",SUM((COUNTIF(C$4:C544,Upgrades!$B$3:$B$13)-COUNTIF(C$4:C544,"Sell_"&amp;Upgrades!$B$3:$B$13))*Upgrades!$D$3:$D$13))</f>
        <v/>
      </c>
      <c r="F544" s="66" t="str">
        <f>IFERROR(__xludf.DUMMYFUNCTION("IF(COUNTA(C544:C1644)=0,"""",IF(REGEXMATCH(INDEX(FILTER(C$4:C544,C$4:C544&lt;&gt;""""),ROWS(FILTER(C$4:C544,C$4:C544&lt;&gt;""""))),""^Sell_""),INDEX(FILTER(F$4:F543,C$4:C543&lt;&gt;""""),ROWS(FILTER(C$4:C543,C$4:C543&lt;&gt;""""))),$AC$5+E544))"),"")</f>
        <v/>
      </c>
      <c r="G544" s="10" t="str">
        <f>IFERROR(__xludf.DUMMYFUNCTION("IF(COUNTA(C544:C1644)=0,"""",IF(C544="""",0,IF(REGEXMATCH(C544,""^Sell_""),-ROUNDDOWN(ROUNDUP(INDEX(Upgrades!$C$3:$C$13,MATCH(SUBSTITUTE(C544,""Sell_"",""""),Upgrades!$B$3:$B$13,0))*1.15^(COUNTIF(C$4:C543,SUBSTITUTE(C544,""Sell_"",""""))-COUNTIF(C$4:C543,"&amp;"""Sell_""&amp;SUBSTITUTE(C544,""Sell_"",""""))))/2),ROUNDUP(INDEX(Upgrades!$C$3:$C$13,MATCH(C544,Upgrades!$B$3:$B$13,0))*1.15^(COUNTIF(C$4:C543,C544)-COUNTIF(C$4:C543,""Sell_""&amp;C544))))))"),"")</f>
        <v/>
      </c>
      <c r="H544" s="10" t="str">
        <f t="shared" si="3"/>
        <v/>
      </c>
      <c r="I544" s="68" t="str">
        <f t="shared" si="4"/>
        <v/>
      </c>
      <c r="J544" s="59" t="str">
        <f t="shared" si="5"/>
        <v/>
      </c>
      <c r="K544" s="69" t="str">
        <f t="shared" si="6"/>
        <v/>
      </c>
      <c r="L544" s="60" t="str">
        <f t="shared" si="7"/>
        <v/>
      </c>
      <c r="M544" s="61" t="str">
        <f>IFERROR(__xludf.DUMMYFUNCTION("IFS(AND(COUNTA(C544:C1644)=0,COUNTA(Q544:Q1644)=0),"""",OR(AND(K544&gt;=1000000000,OR(Y544&gt;=1000000000,COUNTA(Q544:Q1644)=0)),OR(Y544&gt;=1000000000,AND(COUNTA(C544:C1644)=0,P$3=TRUE))),
ROUNDDOWN((AB$1-AC$1)*MAX(INDEX(T$4:T1644,MATCH(LARGE(FILTER(Y$4:Y1644,Y$4"&amp;":Y1644&lt;1000000000),1),Y$4:Y1644)),INDEX(F$4:F1644,MATCH(LARGE(FILTER(K$4:K1644,K$4:K1644&lt;1000000000),1),K$4:K1644)))),AND(K544&lt;1000000000,COUNTA(C544:C1644)&gt;0,P$3=FALSE),
ROUNDDOWN(INDEX(Y$4:Y1644,MATCH(LARGE(FILTER(W$4:W1644,W$4:W1644&lt;=I544),1),W$4:W1644"&amp;"))+(I544-LARGE(FILTER(W$4:W1644,W$4:W1644&lt;=I544),1))*INDEX(T$4:T1644,MATCH(LARGE(FILTER(W$4:W1644,W$4:W1644&lt;=I544),1),W$4:W1644))-K544),1,
ROUNDDOWN(Y544-INDEX(K$4:K1644,MATCH(LARGE(FILTER(I$4:I1644,I$4:I1644&lt;=W544),1),I$4:I1644))-(W544-LARGE(FILTER(I$4:I"&amp;"1644,I$4:I1644&lt;=W544),1))*INDEX(F$4:F1644,MATCH(LARGE(FILTER(I$4:I1644,I$4:I1644&lt;=W544),1),I$4:I1644))))"),"")</f>
        <v/>
      </c>
      <c r="N544" s="60" t="str">
        <f t="shared" si="8"/>
        <v/>
      </c>
      <c r="O544" s="61" t="str">
        <f t="shared" si="9"/>
        <v/>
      </c>
      <c r="P544" s="56" t="str">
        <f t="shared" si="10"/>
        <v/>
      </c>
      <c r="Q544" s="105"/>
      <c r="R544" s="10"/>
      <c r="S544" s="59" t="str">
        <f t="array" ref="S544">IF(COUNTA(Q544:Q1644)=0,"",SUM((COUNTIF(Q$4:Q544,Upgrades!$B$3:$B$13)-COUNTIF(Q$4:Q544,"Sell_"&amp;Upgrades!$B$3:$B$13))*Upgrades!$D$3:$D$13))</f>
        <v/>
      </c>
      <c r="T544" s="66" t="str">
        <f>IFERROR(__xludf.DUMMYFUNCTION("IF(COUNTA(Q544:Q1644)=0,"""",IF(REGEXMATCH(INDEX(FILTER(Q$4:Q544,Q$4:Q544&lt;&gt;""""),ROWS(FILTER(Q$4:Q544,Q$4:Q544&lt;&gt;""""))),""^Sell_""),INDEX(FILTER(T$4:T543,Q$4:Q543&lt;&gt;""""),ROWS(FILTER(Q$4:Q543,Q$4:Q543&lt;&gt;""""))),$AD$5+S544))"),"")</f>
        <v/>
      </c>
      <c r="U544" s="10" t="str">
        <f>IFERROR(__xludf.DUMMYFUNCTION("IF(COUNTA(Q544:Q1644)=0,"""",IF(Q544="""",0,IF(REGEXMATCH(Q544,""^Sell_""),-ROUNDDOWN(ROUNDUP(INDEX(Upgrades!$C$3:$C$13,MATCH(SUBSTITUTE(Q544,""Sell_"",""""),Upgrades!$B$3:$B$13,0))*1.15^(COUNTIF(Q$4:Q543,SUBSTITUTE(Q544,""Sell_"",""""))-COUNTIF(Q$4:Q543,"&amp;"""Sell_""&amp;SUBSTITUTE(Q544,""Sell_"",""""))))/2),ROUNDUP(INDEX(Upgrades!$C$3:$C$13,MATCH(Q544,Upgrades!$B$3:$B$13,0))*1.15^(COUNTIF(Q$4:Q543,Q544)-COUNTIF(Q$4:Q543,""Sell_""&amp;Q544))))))"),"")</f>
        <v/>
      </c>
      <c r="V544" s="10" t="str">
        <f t="shared" si="11"/>
        <v/>
      </c>
      <c r="W544" s="68" t="str">
        <f t="shared" si="12"/>
        <v/>
      </c>
      <c r="X544" s="59" t="str">
        <f t="shared" si="13"/>
        <v/>
      </c>
      <c r="Y544" s="69" t="str">
        <f t="shared" si="14"/>
        <v/>
      </c>
      <c r="Z544" s="11"/>
      <c r="AG544" s="59"/>
    </row>
    <row r="545">
      <c r="A545" s="8"/>
      <c r="B545" s="56" t="str">
        <f t="shared" si="2"/>
        <v/>
      </c>
      <c r="C545" s="105"/>
      <c r="D545" s="10"/>
      <c r="E545" s="59" t="str">
        <f t="array" ref="E545">IF(COUNTA(C545:C1644)=0,"",SUM((COUNTIF(C$4:C545,Upgrades!$B$3:$B$13)-COUNTIF(C$4:C545,"Sell_"&amp;Upgrades!$B$3:$B$13))*Upgrades!$D$3:$D$13))</f>
        <v/>
      </c>
      <c r="F545" s="66" t="str">
        <f>IFERROR(__xludf.DUMMYFUNCTION("IF(COUNTA(C545:C1644)=0,"""",IF(REGEXMATCH(INDEX(FILTER(C$4:C545,C$4:C545&lt;&gt;""""),ROWS(FILTER(C$4:C545,C$4:C545&lt;&gt;""""))),""^Sell_""),INDEX(FILTER(F$4:F544,C$4:C544&lt;&gt;""""),ROWS(FILTER(C$4:C544,C$4:C544&lt;&gt;""""))),$AC$5+E545))"),"")</f>
        <v/>
      </c>
      <c r="G545" s="10" t="str">
        <f>IFERROR(__xludf.DUMMYFUNCTION("IF(COUNTA(C545:C1644)=0,"""",IF(C545="""",0,IF(REGEXMATCH(C545,""^Sell_""),-ROUNDDOWN(ROUNDUP(INDEX(Upgrades!$C$3:$C$13,MATCH(SUBSTITUTE(C545,""Sell_"",""""),Upgrades!$B$3:$B$13,0))*1.15^(COUNTIF(C$4:C544,SUBSTITUTE(C545,""Sell_"",""""))-COUNTIF(C$4:C544,"&amp;"""Sell_""&amp;SUBSTITUTE(C545,""Sell_"",""""))))/2),ROUNDUP(INDEX(Upgrades!$C$3:$C$13,MATCH(C545,Upgrades!$B$3:$B$13,0))*1.15^(COUNTIF(C$4:C544,C545)-COUNTIF(C$4:C544,""Sell_""&amp;C545))))))"),"")</f>
        <v/>
      </c>
      <c r="H545" s="10" t="str">
        <f t="shared" si="3"/>
        <v/>
      </c>
      <c r="I545" s="68" t="str">
        <f t="shared" si="4"/>
        <v/>
      </c>
      <c r="J545" s="59" t="str">
        <f t="shared" si="5"/>
        <v/>
      </c>
      <c r="K545" s="69" t="str">
        <f t="shared" si="6"/>
        <v/>
      </c>
      <c r="L545" s="60" t="str">
        <f t="shared" si="7"/>
        <v/>
      </c>
      <c r="M545" s="61" t="str">
        <f>IFERROR(__xludf.DUMMYFUNCTION("IFS(AND(COUNTA(C545:C1644)=0,COUNTA(Q545:Q1644)=0),"""",OR(AND(K545&gt;=1000000000,OR(Y545&gt;=1000000000,COUNTA(Q545:Q1644)=0)),OR(Y545&gt;=1000000000,AND(COUNTA(C545:C1644)=0,P$3=TRUE))),
ROUNDDOWN((AB$1-AC$1)*MAX(INDEX(T$4:T1644,MATCH(LARGE(FILTER(Y$4:Y1644,Y$4"&amp;":Y1644&lt;1000000000),1),Y$4:Y1644)),INDEX(F$4:F1644,MATCH(LARGE(FILTER(K$4:K1644,K$4:K1644&lt;1000000000),1),K$4:K1644)))),AND(K545&lt;1000000000,COUNTA(C545:C1644)&gt;0,P$3=FALSE),
ROUNDDOWN(INDEX(Y$4:Y1644,MATCH(LARGE(FILTER(W$4:W1644,W$4:W1644&lt;=I545),1),W$4:W1644"&amp;"))+(I545-LARGE(FILTER(W$4:W1644,W$4:W1644&lt;=I545),1))*INDEX(T$4:T1644,MATCH(LARGE(FILTER(W$4:W1644,W$4:W1644&lt;=I545),1),W$4:W1644))-K545),1,
ROUNDDOWN(Y545-INDEX(K$4:K1644,MATCH(LARGE(FILTER(I$4:I1644,I$4:I1644&lt;=W545),1),I$4:I1644))-(W545-LARGE(FILTER(I$4:I"&amp;"1644,I$4:I1644&lt;=W545),1))*INDEX(F$4:F1644,MATCH(LARGE(FILTER(I$4:I1644,I$4:I1644&lt;=W545),1),I$4:I1644))))"),"")</f>
        <v/>
      </c>
      <c r="N545" s="60" t="str">
        <f t="shared" si="8"/>
        <v/>
      </c>
      <c r="O545" s="61" t="str">
        <f t="shared" si="9"/>
        <v/>
      </c>
      <c r="P545" s="56" t="str">
        <f t="shared" si="10"/>
        <v/>
      </c>
      <c r="Q545" s="105"/>
      <c r="R545" s="10"/>
      <c r="S545" s="59" t="str">
        <f t="array" ref="S545">IF(COUNTA(Q545:Q1644)=0,"",SUM((COUNTIF(Q$4:Q545,Upgrades!$B$3:$B$13)-COUNTIF(Q$4:Q545,"Sell_"&amp;Upgrades!$B$3:$B$13))*Upgrades!$D$3:$D$13))</f>
        <v/>
      </c>
      <c r="T545" s="66" t="str">
        <f>IFERROR(__xludf.DUMMYFUNCTION("IF(COUNTA(Q545:Q1644)=0,"""",IF(REGEXMATCH(INDEX(FILTER(Q$4:Q545,Q$4:Q545&lt;&gt;""""),ROWS(FILTER(Q$4:Q545,Q$4:Q545&lt;&gt;""""))),""^Sell_""),INDEX(FILTER(T$4:T544,Q$4:Q544&lt;&gt;""""),ROWS(FILTER(Q$4:Q544,Q$4:Q544&lt;&gt;""""))),$AD$5+S545))"),"")</f>
        <v/>
      </c>
      <c r="U545" s="10" t="str">
        <f>IFERROR(__xludf.DUMMYFUNCTION("IF(COUNTA(Q545:Q1644)=0,"""",IF(Q545="""",0,IF(REGEXMATCH(Q545,""^Sell_""),-ROUNDDOWN(ROUNDUP(INDEX(Upgrades!$C$3:$C$13,MATCH(SUBSTITUTE(Q545,""Sell_"",""""),Upgrades!$B$3:$B$13,0))*1.15^(COUNTIF(Q$4:Q544,SUBSTITUTE(Q545,""Sell_"",""""))-COUNTIF(Q$4:Q544,"&amp;"""Sell_""&amp;SUBSTITUTE(Q545,""Sell_"",""""))))/2),ROUNDUP(INDEX(Upgrades!$C$3:$C$13,MATCH(Q545,Upgrades!$B$3:$B$13,0))*1.15^(COUNTIF(Q$4:Q544,Q545)-COUNTIF(Q$4:Q544,""Sell_""&amp;Q545))))))"),"")</f>
        <v/>
      </c>
      <c r="V545" s="10" t="str">
        <f t="shared" si="11"/>
        <v/>
      </c>
      <c r="W545" s="68" t="str">
        <f t="shared" si="12"/>
        <v/>
      </c>
      <c r="X545" s="59" t="str">
        <f t="shared" si="13"/>
        <v/>
      </c>
      <c r="Y545" s="69" t="str">
        <f t="shared" si="14"/>
        <v/>
      </c>
      <c r="Z545" s="11"/>
      <c r="AG545" s="59"/>
    </row>
    <row r="546">
      <c r="A546" s="8"/>
      <c r="B546" s="56" t="str">
        <f t="shared" si="2"/>
        <v/>
      </c>
      <c r="C546" s="105"/>
      <c r="D546" s="10"/>
      <c r="E546" s="59" t="str">
        <f t="array" ref="E546">IF(COUNTA(C546:C1644)=0,"",SUM((COUNTIF(C$4:C546,Upgrades!$B$3:$B$13)-COUNTIF(C$4:C546,"Sell_"&amp;Upgrades!$B$3:$B$13))*Upgrades!$D$3:$D$13))</f>
        <v/>
      </c>
      <c r="F546" s="66" t="str">
        <f>IFERROR(__xludf.DUMMYFUNCTION("IF(COUNTA(C546:C1644)=0,"""",IF(REGEXMATCH(INDEX(FILTER(C$4:C546,C$4:C546&lt;&gt;""""),ROWS(FILTER(C$4:C546,C$4:C546&lt;&gt;""""))),""^Sell_""),INDEX(FILTER(F$4:F545,C$4:C545&lt;&gt;""""),ROWS(FILTER(C$4:C545,C$4:C545&lt;&gt;""""))),$AC$5+E546))"),"")</f>
        <v/>
      </c>
      <c r="G546" s="10" t="str">
        <f>IFERROR(__xludf.DUMMYFUNCTION("IF(COUNTA(C546:C1644)=0,"""",IF(C546="""",0,IF(REGEXMATCH(C546,""^Sell_""),-ROUNDDOWN(ROUNDUP(INDEX(Upgrades!$C$3:$C$13,MATCH(SUBSTITUTE(C546,""Sell_"",""""),Upgrades!$B$3:$B$13,0))*1.15^(COUNTIF(C$4:C545,SUBSTITUTE(C546,""Sell_"",""""))-COUNTIF(C$4:C545,"&amp;"""Sell_""&amp;SUBSTITUTE(C546,""Sell_"",""""))))/2),ROUNDUP(INDEX(Upgrades!$C$3:$C$13,MATCH(C546,Upgrades!$B$3:$B$13,0))*1.15^(COUNTIF(C$4:C545,C546)-COUNTIF(C$4:C545,""Sell_""&amp;C546))))))"),"")</f>
        <v/>
      </c>
      <c r="H546" s="10" t="str">
        <f t="shared" si="3"/>
        <v/>
      </c>
      <c r="I546" s="68" t="str">
        <f t="shared" si="4"/>
        <v/>
      </c>
      <c r="J546" s="59" t="str">
        <f t="shared" si="5"/>
        <v/>
      </c>
      <c r="K546" s="69" t="str">
        <f t="shared" si="6"/>
        <v/>
      </c>
      <c r="L546" s="60" t="str">
        <f t="shared" si="7"/>
        <v/>
      </c>
      <c r="M546" s="61" t="str">
        <f>IFERROR(__xludf.DUMMYFUNCTION("IFS(AND(COUNTA(C546:C1644)=0,COUNTA(Q546:Q1644)=0),"""",OR(AND(K546&gt;=1000000000,OR(Y546&gt;=1000000000,COUNTA(Q546:Q1644)=0)),OR(Y546&gt;=1000000000,AND(COUNTA(C546:C1644)=0,P$3=TRUE))),
ROUNDDOWN((AB$1-AC$1)*MAX(INDEX(T$4:T1644,MATCH(LARGE(FILTER(Y$4:Y1644,Y$4"&amp;":Y1644&lt;1000000000),1),Y$4:Y1644)),INDEX(F$4:F1644,MATCH(LARGE(FILTER(K$4:K1644,K$4:K1644&lt;1000000000),1),K$4:K1644)))),AND(K546&lt;1000000000,COUNTA(C546:C1644)&gt;0,P$3=FALSE),
ROUNDDOWN(INDEX(Y$4:Y1644,MATCH(LARGE(FILTER(W$4:W1644,W$4:W1644&lt;=I546),1),W$4:W1644"&amp;"))+(I546-LARGE(FILTER(W$4:W1644,W$4:W1644&lt;=I546),1))*INDEX(T$4:T1644,MATCH(LARGE(FILTER(W$4:W1644,W$4:W1644&lt;=I546),1),W$4:W1644))-K546),1,
ROUNDDOWN(Y546-INDEX(K$4:K1644,MATCH(LARGE(FILTER(I$4:I1644,I$4:I1644&lt;=W546),1),I$4:I1644))-(W546-LARGE(FILTER(I$4:I"&amp;"1644,I$4:I1644&lt;=W546),1))*INDEX(F$4:F1644,MATCH(LARGE(FILTER(I$4:I1644,I$4:I1644&lt;=W546),1),I$4:I1644))))"),"")</f>
        <v/>
      </c>
      <c r="N546" s="60" t="str">
        <f t="shared" si="8"/>
        <v/>
      </c>
      <c r="O546" s="61" t="str">
        <f t="shared" si="9"/>
        <v/>
      </c>
      <c r="P546" s="56" t="str">
        <f t="shared" si="10"/>
        <v/>
      </c>
      <c r="Q546" s="105"/>
      <c r="R546" s="10"/>
      <c r="S546" s="59" t="str">
        <f t="array" ref="S546">IF(COUNTA(Q546:Q1644)=0,"",SUM((COUNTIF(Q$4:Q546,Upgrades!$B$3:$B$13)-COUNTIF(Q$4:Q546,"Sell_"&amp;Upgrades!$B$3:$B$13))*Upgrades!$D$3:$D$13))</f>
        <v/>
      </c>
      <c r="T546" s="66" t="str">
        <f>IFERROR(__xludf.DUMMYFUNCTION("IF(COUNTA(Q546:Q1644)=0,"""",IF(REGEXMATCH(INDEX(FILTER(Q$4:Q546,Q$4:Q546&lt;&gt;""""),ROWS(FILTER(Q$4:Q546,Q$4:Q546&lt;&gt;""""))),""^Sell_""),INDEX(FILTER(T$4:T545,Q$4:Q545&lt;&gt;""""),ROWS(FILTER(Q$4:Q545,Q$4:Q545&lt;&gt;""""))),$AD$5+S546))"),"")</f>
        <v/>
      </c>
      <c r="U546" s="10" t="str">
        <f>IFERROR(__xludf.DUMMYFUNCTION("IF(COUNTA(Q546:Q1644)=0,"""",IF(Q546="""",0,IF(REGEXMATCH(Q546,""^Sell_""),-ROUNDDOWN(ROUNDUP(INDEX(Upgrades!$C$3:$C$13,MATCH(SUBSTITUTE(Q546,""Sell_"",""""),Upgrades!$B$3:$B$13,0))*1.15^(COUNTIF(Q$4:Q545,SUBSTITUTE(Q546,""Sell_"",""""))-COUNTIF(Q$4:Q545,"&amp;"""Sell_""&amp;SUBSTITUTE(Q546,""Sell_"",""""))))/2),ROUNDUP(INDEX(Upgrades!$C$3:$C$13,MATCH(Q546,Upgrades!$B$3:$B$13,0))*1.15^(COUNTIF(Q$4:Q545,Q546)-COUNTIF(Q$4:Q545,""Sell_""&amp;Q546))))))"),"")</f>
        <v/>
      </c>
      <c r="V546" s="10" t="str">
        <f t="shared" si="11"/>
        <v/>
      </c>
      <c r="W546" s="68" t="str">
        <f t="shared" si="12"/>
        <v/>
      </c>
      <c r="X546" s="59" t="str">
        <f t="shared" si="13"/>
        <v/>
      </c>
      <c r="Y546" s="69" t="str">
        <f t="shared" si="14"/>
        <v/>
      </c>
      <c r="Z546" s="11"/>
      <c r="AG546" s="59"/>
    </row>
    <row r="547">
      <c r="A547" s="8"/>
      <c r="B547" s="56" t="str">
        <f t="shared" si="2"/>
        <v/>
      </c>
      <c r="C547" s="105"/>
      <c r="D547" s="10"/>
      <c r="E547" s="59" t="str">
        <f t="array" ref="E547">IF(COUNTA(C547:C1644)=0,"",SUM((COUNTIF(C$4:C547,Upgrades!$B$3:$B$13)-COUNTIF(C$4:C547,"Sell_"&amp;Upgrades!$B$3:$B$13))*Upgrades!$D$3:$D$13))</f>
        <v/>
      </c>
      <c r="F547" s="66" t="str">
        <f>IFERROR(__xludf.DUMMYFUNCTION("IF(COUNTA(C547:C1644)=0,"""",IF(REGEXMATCH(INDEX(FILTER(C$4:C547,C$4:C547&lt;&gt;""""),ROWS(FILTER(C$4:C547,C$4:C547&lt;&gt;""""))),""^Sell_""),INDEX(FILTER(F$4:F546,C$4:C546&lt;&gt;""""),ROWS(FILTER(C$4:C546,C$4:C546&lt;&gt;""""))),$AC$5+E547))"),"")</f>
        <v/>
      </c>
      <c r="G547" s="10" t="str">
        <f>IFERROR(__xludf.DUMMYFUNCTION("IF(COUNTA(C547:C1644)=0,"""",IF(C547="""",0,IF(REGEXMATCH(C547,""^Sell_""),-ROUNDDOWN(ROUNDUP(INDEX(Upgrades!$C$3:$C$13,MATCH(SUBSTITUTE(C547,""Sell_"",""""),Upgrades!$B$3:$B$13,0))*1.15^(COUNTIF(C$4:C546,SUBSTITUTE(C547,""Sell_"",""""))-COUNTIF(C$4:C546,"&amp;"""Sell_""&amp;SUBSTITUTE(C547,""Sell_"",""""))))/2),ROUNDUP(INDEX(Upgrades!$C$3:$C$13,MATCH(C547,Upgrades!$B$3:$B$13,0))*1.15^(COUNTIF(C$4:C546,C547)-COUNTIF(C$4:C546,""Sell_""&amp;C547))))))"),"")</f>
        <v/>
      </c>
      <c r="H547" s="10" t="str">
        <f t="shared" si="3"/>
        <v/>
      </c>
      <c r="I547" s="68" t="str">
        <f t="shared" si="4"/>
        <v/>
      </c>
      <c r="J547" s="59" t="str">
        <f t="shared" si="5"/>
        <v/>
      </c>
      <c r="K547" s="69" t="str">
        <f t="shared" si="6"/>
        <v/>
      </c>
      <c r="L547" s="60" t="str">
        <f t="shared" si="7"/>
        <v/>
      </c>
      <c r="M547" s="61" t="str">
        <f>IFERROR(__xludf.DUMMYFUNCTION("IFS(AND(COUNTA(C547:C1644)=0,COUNTA(Q547:Q1644)=0),"""",OR(AND(K547&gt;=1000000000,OR(Y547&gt;=1000000000,COUNTA(Q547:Q1644)=0)),OR(Y547&gt;=1000000000,AND(COUNTA(C547:C1644)=0,P$3=TRUE))),
ROUNDDOWN((AB$1-AC$1)*MAX(INDEX(T$4:T1644,MATCH(LARGE(FILTER(Y$4:Y1644,Y$4"&amp;":Y1644&lt;1000000000),1),Y$4:Y1644)),INDEX(F$4:F1644,MATCH(LARGE(FILTER(K$4:K1644,K$4:K1644&lt;1000000000),1),K$4:K1644)))),AND(K547&lt;1000000000,COUNTA(C547:C1644)&gt;0,P$3=FALSE),
ROUNDDOWN(INDEX(Y$4:Y1644,MATCH(LARGE(FILTER(W$4:W1644,W$4:W1644&lt;=I547),1),W$4:W1644"&amp;"))+(I547-LARGE(FILTER(W$4:W1644,W$4:W1644&lt;=I547),1))*INDEX(T$4:T1644,MATCH(LARGE(FILTER(W$4:W1644,W$4:W1644&lt;=I547),1),W$4:W1644))-K547),1,
ROUNDDOWN(Y547-INDEX(K$4:K1644,MATCH(LARGE(FILTER(I$4:I1644,I$4:I1644&lt;=W547),1),I$4:I1644))-(W547-LARGE(FILTER(I$4:I"&amp;"1644,I$4:I1644&lt;=W547),1))*INDEX(F$4:F1644,MATCH(LARGE(FILTER(I$4:I1644,I$4:I1644&lt;=W547),1),I$4:I1644))))"),"")</f>
        <v/>
      </c>
      <c r="N547" s="60" t="str">
        <f t="shared" si="8"/>
        <v/>
      </c>
      <c r="O547" s="61" t="str">
        <f t="shared" si="9"/>
        <v/>
      </c>
      <c r="P547" s="56" t="str">
        <f t="shared" si="10"/>
        <v/>
      </c>
      <c r="Q547" s="105"/>
      <c r="R547" s="10"/>
      <c r="S547" s="59" t="str">
        <f t="array" ref="S547">IF(COUNTA(Q547:Q1644)=0,"",SUM((COUNTIF(Q$4:Q547,Upgrades!$B$3:$B$13)-COUNTIF(Q$4:Q547,"Sell_"&amp;Upgrades!$B$3:$B$13))*Upgrades!$D$3:$D$13))</f>
        <v/>
      </c>
      <c r="T547" s="66" t="str">
        <f>IFERROR(__xludf.DUMMYFUNCTION("IF(COUNTA(Q547:Q1644)=0,"""",IF(REGEXMATCH(INDEX(FILTER(Q$4:Q547,Q$4:Q547&lt;&gt;""""),ROWS(FILTER(Q$4:Q547,Q$4:Q547&lt;&gt;""""))),""^Sell_""),INDEX(FILTER(T$4:T546,Q$4:Q546&lt;&gt;""""),ROWS(FILTER(Q$4:Q546,Q$4:Q546&lt;&gt;""""))),$AD$5+S547))"),"")</f>
        <v/>
      </c>
      <c r="U547" s="10" t="str">
        <f>IFERROR(__xludf.DUMMYFUNCTION("IF(COUNTA(Q547:Q1644)=0,"""",IF(Q547="""",0,IF(REGEXMATCH(Q547,""^Sell_""),-ROUNDDOWN(ROUNDUP(INDEX(Upgrades!$C$3:$C$13,MATCH(SUBSTITUTE(Q547,""Sell_"",""""),Upgrades!$B$3:$B$13,0))*1.15^(COUNTIF(Q$4:Q546,SUBSTITUTE(Q547,""Sell_"",""""))-COUNTIF(Q$4:Q546,"&amp;"""Sell_""&amp;SUBSTITUTE(Q547,""Sell_"",""""))))/2),ROUNDUP(INDEX(Upgrades!$C$3:$C$13,MATCH(Q547,Upgrades!$B$3:$B$13,0))*1.15^(COUNTIF(Q$4:Q546,Q547)-COUNTIF(Q$4:Q546,""Sell_""&amp;Q547))))))"),"")</f>
        <v/>
      </c>
      <c r="V547" s="10" t="str">
        <f t="shared" si="11"/>
        <v/>
      </c>
      <c r="W547" s="68" t="str">
        <f t="shared" si="12"/>
        <v/>
      </c>
      <c r="X547" s="59" t="str">
        <f t="shared" si="13"/>
        <v/>
      </c>
      <c r="Y547" s="69" t="str">
        <f t="shared" si="14"/>
        <v/>
      </c>
      <c r="Z547" s="11"/>
      <c r="AG547" s="59"/>
    </row>
    <row r="548">
      <c r="A548" s="8"/>
      <c r="B548" s="56" t="str">
        <f t="shared" si="2"/>
        <v/>
      </c>
      <c r="C548" s="105"/>
      <c r="D548" s="10"/>
      <c r="E548" s="59" t="str">
        <f t="array" ref="E548">IF(COUNTA(C548:C1644)=0,"",SUM((COUNTIF(C$4:C548,Upgrades!$B$3:$B$13)-COUNTIF(C$4:C548,"Sell_"&amp;Upgrades!$B$3:$B$13))*Upgrades!$D$3:$D$13))</f>
        <v/>
      </c>
      <c r="F548" s="66" t="str">
        <f>IFERROR(__xludf.DUMMYFUNCTION("IF(COUNTA(C548:C1644)=0,"""",IF(REGEXMATCH(INDEX(FILTER(C$4:C548,C$4:C548&lt;&gt;""""),ROWS(FILTER(C$4:C548,C$4:C548&lt;&gt;""""))),""^Sell_""),INDEX(FILTER(F$4:F547,C$4:C547&lt;&gt;""""),ROWS(FILTER(C$4:C547,C$4:C547&lt;&gt;""""))),$AC$5+E548))"),"")</f>
        <v/>
      </c>
      <c r="G548" s="10" t="str">
        <f>IFERROR(__xludf.DUMMYFUNCTION("IF(COUNTA(C548:C1644)=0,"""",IF(C548="""",0,IF(REGEXMATCH(C548,""^Sell_""),-ROUNDDOWN(ROUNDUP(INDEX(Upgrades!$C$3:$C$13,MATCH(SUBSTITUTE(C548,""Sell_"",""""),Upgrades!$B$3:$B$13,0))*1.15^(COUNTIF(C$4:C547,SUBSTITUTE(C548,""Sell_"",""""))-COUNTIF(C$4:C547,"&amp;"""Sell_""&amp;SUBSTITUTE(C548,""Sell_"",""""))))/2),ROUNDUP(INDEX(Upgrades!$C$3:$C$13,MATCH(C548,Upgrades!$B$3:$B$13,0))*1.15^(COUNTIF(C$4:C547,C548)-COUNTIF(C$4:C547,""Sell_""&amp;C548))))))"),"")</f>
        <v/>
      </c>
      <c r="H548" s="10" t="str">
        <f t="shared" si="3"/>
        <v/>
      </c>
      <c r="I548" s="68" t="str">
        <f t="shared" si="4"/>
        <v/>
      </c>
      <c r="J548" s="59" t="str">
        <f t="shared" si="5"/>
        <v/>
      </c>
      <c r="K548" s="69" t="str">
        <f t="shared" si="6"/>
        <v/>
      </c>
      <c r="L548" s="60" t="str">
        <f t="shared" si="7"/>
        <v/>
      </c>
      <c r="M548" s="61" t="str">
        <f>IFERROR(__xludf.DUMMYFUNCTION("IFS(AND(COUNTA(C548:C1644)=0,COUNTA(Q548:Q1644)=0),"""",OR(AND(K548&gt;=1000000000,OR(Y548&gt;=1000000000,COUNTA(Q548:Q1644)=0)),OR(Y548&gt;=1000000000,AND(COUNTA(C548:C1644)=0,P$3=TRUE))),
ROUNDDOWN((AB$1-AC$1)*MAX(INDEX(T$4:T1644,MATCH(LARGE(FILTER(Y$4:Y1644,Y$4"&amp;":Y1644&lt;1000000000),1),Y$4:Y1644)),INDEX(F$4:F1644,MATCH(LARGE(FILTER(K$4:K1644,K$4:K1644&lt;1000000000),1),K$4:K1644)))),AND(K548&lt;1000000000,COUNTA(C548:C1644)&gt;0,P$3=FALSE),
ROUNDDOWN(INDEX(Y$4:Y1644,MATCH(LARGE(FILTER(W$4:W1644,W$4:W1644&lt;=I548),1),W$4:W1644"&amp;"))+(I548-LARGE(FILTER(W$4:W1644,W$4:W1644&lt;=I548),1))*INDEX(T$4:T1644,MATCH(LARGE(FILTER(W$4:W1644,W$4:W1644&lt;=I548),1),W$4:W1644))-K548),1,
ROUNDDOWN(Y548-INDEX(K$4:K1644,MATCH(LARGE(FILTER(I$4:I1644,I$4:I1644&lt;=W548),1),I$4:I1644))-(W548-LARGE(FILTER(I$4:I"&amp;"1644,I$4:I1644&lt;=W548),1))*INDEX(F$4:F1644,MATCH(LARGE(FILTER(I$4:I1644,I$4:I1644&lt;=W548),1),I$4:I1644))))"),"")</f>
        <v/>
      </c>
      <c r="N548" s="60" t="str">
        <f t="shared" si="8"/>
        <v/>
      </c>
      <c r="O548" s="61" t="str">
        <f t="shared" si="9"/>
        <v/>
      </c>
      <c r="P548" s="56" t="str">
        <f t="shared" si="10"/>
        <v/>
      </c>
      <c r="Q548" s="105"/>
      <c r="R548" s="10"/>
      <c r="S548" s="59" t="str">
        <f t="array" ref="S548">IF(COUNTA(Q548:Q1644)=0,"",SUM((COUNTIF(Q$4:Q548,Upgrades!$B$3:$B$13)-COUNTIF(Q$4:Q548,"Sell_"&amp;Upgrades!$B$3:$B$13))*Upgrades!$D$3:$D$13))</f>
        <v/>
      </c>
      <c r="T548" s="66" t="str">
        <f>IFERROR(__xludf.DUMMYFUNCTION("IF(COUNTA(Q548:Q1644)=0,"""",IF(REGEXMATCH(INDEX(FILTER(Q$4:Q548,Q$4:Q548&lt;&gt;""""),ROWS(FILTER(Q$4:Q548,Q$4:Q548&lt;&gt;""""))),""^Sell_""),INDEX(FILTER(T$4:T547,Q$4:Q547&lt;&gt;""""),ROWS(FILTER(Q$4:Q547,Q$4:Q547&lt;&gt;""""))),$AD$5+S548))"),"")</f>
        <v/>
      </c>
      <c r="U548" s="10" t="str">
        <f>IFERROR(__xludf.DUMMYFUNCTION("IF(COUNTA(Q548:Q1644)=0,"""",IF(Q548="""",0,IF(REGEXMATCH(Q548,""^Sell_""),-ROUNDDOWN(ROUNDUP(INDEX(Upgrades!$C$3:$C$13,MATCH(SUBSTITUTE(Q548,""Sell_"",""""),Upgrades!$B$3:$B$13,0))*1.15^(COUNTIF(Q$4:Q547,SUBSTITUTE(Q548,""Sell_"",""""))-COUNTIF(Q$4:Q547,"&amp;"""Sell_""&amp;SUBSTITUTE(Q548,""Sell_"",""""))))/2),ROUNDUP(INDEX(Upgrades!$C$3:$C$13,MATCH(Q548,Upgrades!$B$3:$B$13,0))*1.15^(COUNTIF(Q$4:Q547,Q548)-COUNTIF(Q$4:Q547,""Sell_""&amp;Q548))))))"),"")</f>
        <v/>
      </c>
      <c r="V548" s="10" t="str">
        <f t="shared" si="11"/>
        <v/>
      </c>
      <c r="W548" s="68" t="str">
        <f t="shared" si="12"/>
        <v/>
      </c>
      <c r="X548" s="59" t="str">
        <f t="shared" si="13"/>
        <v/>
      </c>
      <c r="Y548" s="69" t="str">
        <f t="shared" si="14"/>
        <v/>
      </c>
      <c r="Z548" s="11"/>
      <c r="AG548" s="59"/>
    </row>
    <row r="549">
      <c r="A549" s="8"/>
      <c r="B549" s="56" t="str">
        <f t="shared" si="2"/>
        <v/>
      </c>
      <c r="C549" s="105"/>
      <c r="D549" s="10"/>
      <c r="E549" s="59" t="str">
        <f t="array" ref="E549">IF(COUNTA(C549:C1644)=0,"",SUM((COUNTIF(C$4:C549,Upgrades!$B$3:$B$13)-COUNTIF(C$4:C549,"Sell_"&amp;Upgrades!$B$3:$B$13))*Upgrades!$D$3:$D$13))</f>
        <v/>
      </c>
      <c r="F549" s="66" t="str">
        <f>IFERROR(__xludf.DUMMYFUNCTION("IF(COUNTA(C549:C1644)=0,"""",IF(REGEXMATCH(INDEX(FILTER(C$4:C549,C$4:C549&lt;&gt;""""),ROWS(FILTER(C$4:C549,C$4:C549&lt;&gt;""""))),""^Sell_""),INDEX(FILTER(F$4:F548,C$4:C548&lt;&gt;""""),ROWS(FILTER(C$4:C548,C$4:C548&lt;&gt;""""))),$AC$5+E549))"),"")</f>
        <v/>
      </c>
      <c r="G549" s="10" t="str">
        <f>IFERROR(__xludf.DUMMYFUNCTION("IF(COUNTA(C549:C1644)=0,"""",IF(C549="""",0,IF(REGEXMATCH(C549,""^Sell_""),-ROUNDDOWN(ROUNDUP(INDEX(Upgrades!$C$3:$C$13,MATCH(SUBSTITUTE(C549,""Sell_"",""""),Upgrades!$B$3:$B$13,0))*1.15^(COUNTIF(C$4:C548,SUBSTITUTE(C549,""Sell_"",""""))-COUNTIF(C$4:C548,"&amp;"""Sell_""&amp;SUBSTITUTE(C549,""Sell_"",""""))))/2),ROUNDUP(INDEX(Upgrades!$C$3:$C$13,MATCH(C549,Upgrades!$B$3:$B$13,0))*1.15^(COUNTIF(C$4:C548,C549)-COUNTIF(C$4:C548,""Sell_""&amp;C549))))))"),"")</f>
        <v/>
      </c>
      <c r="H549" s="10" t="str">
        <f t="shared" si="3"/>
        <v/>
      </c>
      <c r="I549" s="68" t="str">
        <f t="shared" si="4"/>
        <v/>
      </c>
      <c r="J549" s="59" t="str">
        <f t="shared" si="5"/>
        <v/>
      </c>
      <c r="K549" s="69" t="str">
        <f t="shared" si="6"/>
        <v/>
      </c>
      <c r="L549" s="60" t="str">
        <f t="shared" si="7"/>
        <v/>
      </c>
      <c r="M549" s="61" t="str">
        <f>IFERROR(__xludf.DUMMYFUNCTION("IFS(AND(COUNTA(C549:C1644)=0,COUNTA(Q549:Q1644)=0),"""",OR(AND(K549&gt;=1000000000,OR(Y549&gt;=1000000000,COUNTA(Q549:Q1644)=0)),OR(Y549&gt;=1000000000,AND(COUNTA(C549:C1644)=0,P$3=TRUE))),
ROUNDDOWN((AB$1-AC$1)*MAX(INDEX(T$4:T1644,MATCH(LARGE(FILTER(Y$4:Y1644,Y$4"&amp;":Y1644&lt;1000000000),1),Y$4:Y1644)),INDEX(F$4:F1644,MATCH(LARGE(FILTER(K$4:K1644,K$4:K1644&lt;1000000000),1),K$4:K1644)))),AND(K549&lt;1000000000,COUNTA(C549:C1644)&gt;0,P$3=FALSE),
ROUNDDOWN(INDEX(Y$4:Y1644,MATCH(LARGE(FILTER(W$4:W1644,W$4:W1644&lt;=I549),1),W$4:W1644"&amp;"))+(I549-LARGE(FILTER(W$4:W1644,W$4:W1644&lt;=I549),1))*INDEX(T$4:T1644,MATCH(LARGE(FILTER(W$4:W1644,W$4:W1644&lt;=I549),1),W$4:W1644))-K549),1,
ROUNDDOWN(Y549-INDEX(K$4:K1644,MATCH(LARGE(FILTER(I$4:I1644,I$4:I1644&lt;=W549),1),I$4:I1644))-(W549-LARGE(FILTER(I$4:I"&amp;"1644,I$4:I1644&lt;=W549),1))*INDEX(F$4:F1644,MATCH(LARGE(FILTER(I$4:I1644,I$4:I1644&lt;=W549),1),I$4:I1644))))"),"")</f>
        <v/>
      </c>
      <c r="N549" s="60" t="str">
        <f t="shared" si="8"/>
        <v/>
      </c>
      <c r="O549" s="61" t="str">
        <f t="shared" si="9"/>
        <v/>
      </c>
      <c r="P549" s="56" t="str">
        <f t="shared" si="10"/>
        <v/>
      </c>
      <c r="Q549" s="105"/>
      <c r="R549" s="10"/>
      <c r="S549" s="59" t="str">
        <f t="array" ref="S549">IF(COUNTA(Q549:Q1644)=0,"",SUM((COUNTIF(Q$4:Q549,Upgrades!$B$3:$B$13)-COUNTIF(Q$4:Q549,"Sell_"&amp;Upgrades!$B$3:$B$13))*Upgrades!$D$3:$D$13))</f>
        <v/>
      </c>
      <c r="T549" s="66" t="str">
        <f>IFERROR(__xludf.DUMMYFUNCTION("IF(COUNTA(Q549:Q1644)=0,"""",IF(REGEXMATCH(INDEX(FILTER(Q$4:Q549,Q$4:Q549&lt;&gt;""""),ROWS(FILTER(Q$4:Q549,Q$4:Q549&lt;&gt;""""))),""^Sell_""),INDEX(FILTER(T$4:T548,Q$4:Q548&lt;&gt;""""),ROWS(FILTER(Q$4:Q548,Q$4:Q548&lt;&gt;""""))),$AD$5+S549))"),"")</f>
        <v/>
      </c>
      <c r="U549" s="10" t="str">
        <f>IFERROR(__xludf.DUMMYFUNCTION("IF(COUNTA(Q549:Q1644)=0,"""",IF(Q549="""",0,IF(REGEXMATCH(Q549,""^Sell_""),-ROUNDDOWN(ROUNDUP(INDEX(Upgrades!$C$3:$C$13,MATCH(SUBSTITUTE(Q549,""Sell_"",""""),Upgrades!$B$3:$B$13,0))*1.15^(COUNTIF(Q$4:Q548,SUBSTITUTE(Q549,""Sell_"",""""))-COUNTIF(Q$4:Q548,"&amp;"""Sell_""&amp;SUBSTITUTE(Q549,""Sell_"",""""))))/2),ROUNDUP(INDEX(Upgrades!$C$3:$C$13,MATCH(Q549,Upgrades!$B$3:$B$13,0))*1.15^(COUNTIF(Q$4:Q548,Q549)-COUNTIF(Q$4:Q548,""Sell_""&amp;Q549))))))"),"")</f>
        <v/>
      </c>
      <c r="V549" s="10" t="str">
        <f t="shared" si="11"/>
        <v/>
      </c>
      <c r="W549" s="68" t="str">
        <f t="shared" si="12"/>
        <v/>
      </c>
      <c r="X549" s="59" t="str">
        <f t="shared" si="13"/>
        <v/>
      </c>
      <c r="Y549" s="69" t="str">
        <f t="shared" si="14"/>
        <v/>
      </c>
      <c r="Z549" s="11"/>
      <c r="AG549" s="59"/>
    </row>
    <row r="550">
      <c r="A550" s="8"/>
      <c r="B550" s="56" t="str">
        <f t="shared" si="2"/>
        <v/>
      </c>
      <c r="C550" s="105"/>
      <c r="D550" s="10"/>
      <c r="E550" s="59" t="str">
        <f t="array" ref="E550">IF(COUNTA(C550:C1644)=0,"",SUM((COUNTIF(C$4:C550,Upgrades!$B$3:$B$13)-COUNTIF(C$4:C550,"Sell_"&amp;Upgrades!$B$3:$B$13))*Upgrades!$D$3:$D$13))</f>
        <v/>
      </c>
      <c r="F550" s="66" t="str">
        <f>IFERROR(__xludf.DUMMYFUNCTION("IF(COUNTA(C550:C1644)=0,"""",IF(REGEXMATCH(INDEX(FILTER(C$4:C550,C$4:C550&lt;&gt;""""),ROWS(FILTER(C$4:C550,C$4:C550&lt;&gt;""""))),""^Sell_""),INDEX(FILTER(F$4:F549,C$4:C549&lt;&gt;""""),ROWS(FILTER(C$4:C549,C$4:C549&lt;&gt;""""))),$AC$5+E550))"),"")</f>
        <v/>
      </c>
      <c r="G550" s="10" t="str">
        <f>IFERROR(__xludf.DUMMYFUNCTION("IF(COUNTA(C550:C1644)=0,"""",IF(C550="""",0,IF(REGEXMATCH(C550,""^Sell_""),-ROUNDDOWN(ROUNDUP(INDEX(Upgrades!$C$3:$C$13,MATCH(SUBSTITUTE(C550,""Sell_"",""""),Upgrades!$B$3:$B$13,0))*1.15^(COUNTIF(C$4:C549,SUBSTITUTE(C550,""Sell_"",""""))-COUNTIF(C$4:C549,"&amp;"""Sell_""&amp;SUBSTITUTE(C550,""Sell_"",""""))))/2),ROUNDUP(INDEX(Upgrades!$C$3:$C$13,MATCH(C550,Upgrades!$B$3:$B$13,0))*1.15^(COUNTIF(C$4:C549,C550)-COUNTIF(C$4:C549,""Sell_""&amp;C550))))))"),"")</f>
        <v/>
      </c>
      <c r="H550" s="10" t="str">
        <f t="shared" si="3"/>
        <v/>
      </c>
      <c r="I550" s="68" t="str">
        <f t="shared" si="4"/>
        <v/>
      </c>
      <c r="J550" s="59" t="str">
        <f t="shared" si="5"/>
        <v/>
      </c>
      <c r="K550" s="69" t="str">
        <f t="shared" si="6"/>
        <v/>
      </c>
      <c r="L550" s="60" t="str">
        <f t="shared" si="7"/>
        <v/>
      </c>
      <c r="M550" s="61" t="str">
        <f>IFERROR(__xludf.DUMMYFUNCTION("IFS(AND(COUNTA(C550:C1644)=0,COUNTA(Q550:Q1644)=0),"""",OR(AND(K550&gt;=1000000000,OR(Y550&gt;=1000000000,COUNTA(Q550:Q1644)=0)),OR(Y550&gt;=1000000000,AND(COUNTA(C550:C1644)=0,P$3=TRUE))),
ROUNDDOWN((AB$1-AC$1)*MAX(INDEX(T$4:T1644,MATCH(LARGE(FILTER(Y$4:Y1644,Y$4"&amp;":Y1644&lt;1000000000),1),Y$4:Y1644)),INDEX(F$4:F1644,MATCH(LARGE(FILTER(K$4:K1644,K$4:K1644&lt;1000000000),1),K$4:K1644)))),AND(K550&lt;1000000000,COUNTA(C550:C1644)&gt;0,P$3=FALSE),
ROUNDDOWN(INDEX(Y$4:Y1644,MATCH(LARGE(FILTER(W$4:W1644,W$4:W1644&lt;=I550),1),W$4:W1644"&amp;"))+(I550-LARGE(FILTER(W$4:W1644,W$4:W1644&lt;=I550),1))*INDEX(T$4:T1644,MATCH(LARGE(FILTER(W$4:W1644,W$4:W1644&lt;=I550),1),W$4:W1644))-K550),1,
ROUNDDOWN(Y550-INDEX(K$4:K1644,MATCH(LARGE(FILTER(I$4:I1644,I$4:I1644&lt;=W550),1),I$4:I1644))-(W550-LARGE(FILTER(I$4:I"&amp;"1644,I$4:I1644&lt;=W550),1))*INDEX(F$4:F1644,MATCH(LARGE(FILTER(I$4:I1644,I$4:I1644&lt;=W550),1),I$4:I1644))))"),"")</f>
        <v/>
      </c>
      <c r="N550" s="60" t="str">
        <f t="shared" si="8"/>
        <v/>
      </c>
      <c r="O550" s="61" t="str">
        <f t="shared" si="9"/>
        <v/>
      </c>
      <c r="P550" s="56" t="str">
        <f t="shared" si="10"/>
        <v/>
      </c>
      <c r="Q550" s="105"/>
      <c r="R550" s="10"/>
      <c r="S550" s="59" t="str">
        <f t="array" ref="S550">IF(COUNTA(Q550:Q1644)=0,"",SUM((COUNTIF(Q$4:Q550,Upgrades!$B$3:$B$13)-COUNTIF(Q$4:Q550,"Sell_"&amp;Upgrades!$B$3:$B$13))*Upgrades!$D$3:$D$13))</f>
        <v/>
      </c>
      <c r="T550" s="66" t="str">
        <f>IFERROR(__xludf.DUMMYFUNCTION("IF(COUNTA(Q550:Q1644)=0,"""",IF(REGEXMATCH(INDEX(FILTER(Q$4:Q550,Q$4:Q550&lt;&gt;""""),ROWS(FILTER(Q$4:Q550,Q$4:Q550&lt;&gt;""""))),""^Sell_""),INDEX(FILTER(T$4:T549,Q$4:Q549&lt;&gt;""""),ROWS(FILTER(Q$4:Q549,Q$4:Q549&lt;&gt;""""))),$AD$5+S550))"),"")</f>
        <v/>
      </c>
      <c r="U550" s="10" t="str">
        <f>IFERROR(__xludf.DUMMYFUNCTION("IF(COUNTA(Q550:Q1644)=0,"""",IF(Q550="""",0,IF(REGEXMATCH(Q550,""^Sell_""),-ROUNDDOWN(ROUNDUP(INDEX(Upgrades!$C$3:$C$13,MATCH(SUBSTITUTE(Q550,""Sell_"",""""),Upgrades!$B$3:$B$13,0))*1.15^(COUNTIF(Q$4:Q549,SUBSTITUTE(Q550,""Sell_"",""""))-COUNTIF(Q$4:Q549,"&amp;"""Sell_""&amp;SUBSTITUTE(Q550,""Sell_"",""""))))/2),ROUNDUP(INDEX(Upgrades!$C$3:$C$13,MATCH(Q550,Upgrades!$B$3:$B$13,0))*1.15^(COUNTIF(Q$4:Q549,Q550)-COUNTIF(Q$4:Q549,""Sell_""&amp;Q550))))))"),"")</f>
        <v/>
      </c>
      <c r="V550" s="10" t="str">
        <f t="shared" si="11"/>
        <v/>
      </c>
      <c r="W550" s="68" t="str">
        <f t="shared" si="12"/>
        <v/>
      </c>
      <c r="X550" s="59" t="str">
        <f t="shared" si="13"/>
        <v/>
      </c>
      <c r="Y550" s="69" t="str">
        <f t="shared" si="14"/>
        <v/>
      </c>
      <c r="Z550" s="11"/>
      <c r="AG550" s="59"/>
    </row>
    <row r="551">
      <c r="A551" s="8"/>
      <c r="B551" s="56" t="str">
        <f t="shared" si="2"/>
        <v/>
      </c>
      <c r="C551" s="105"/>
      <c r="D551" s="10"/>
      <c r="E551" s="59" t="str">
        <f t="array" ref="E551">IF(COUNTA(C551:C1644)=0,"",SUM((COUNTIF(C$4:C551,Upgrades!$B$3:$B$13)-COUNTIF(C$4:C551,"Sell_"&amp;Upgrades!$B$3:$B$13))*Upgrades!$D$3:$D$13))</f>
        <v/>
      </c>
      <c r="F551" s="66" t="str">
        <f>IFERROR(__xludf.DUMMYFUNCTION("IF(COUNTA(C551:C1644)=0,"""",IF(REGEXMATCH(INDEX(FILTER(C$4:C551,C$4:C551&lt;&gt;""""),ROWS(FILTER(C$4:C551,C$4:C551&lt;&gt;""""))),""^Sell_""),INDEX(FILTER(F$4:F550,C$4:C550&lt;&gt;""""),ROWS(FILTER(C$4:C550,C$4:C550&lt;&gt;""""))),$AC$5+E551))"),"")</f>
        <v/>
      </c>
      <c r="G551" s="10" t="str">
        <f>IFERROR(__xludf.DUMMYFUNCTION("IF(COUNTA(C551:C1644)=0,"""",IF(C551="""",0,IF(REGEXMATCH(C551,""^Sell_""),-ROUNDDOWN(ROUNDUP(INDEX(Upgrades!$C$3:$C$13,MATCH(SUBSTITUTE(C551,""Sell_"",""""),Upgrades!$B$3:$B$13,0))*1.15^(COUNTIF(C$4:C550,SUBSTITUTE(C551,""Sell_"",""""))-COUNTIF(C$4:C550,"&amp;"""Sell_""&amp;SUBSTITUTE(C551,""Sell_"",""""))))/2),ROUNDUP(INDEX(Upgrades!$C$3:$C$13,MATCH(C551,Upgrades!$B$3:$B$13,0))*1.15^(COUNTIF(C$4:C550,C551)-COUNTIF(C$4:C550,""Sell_""&amp;C551))))))"),"")</f>
        <v/>
      </c>
      <c r="H551" s="10" t="str">
        <f t="shared" si="3"/>
        <v/>
      </c>
      <c r="I551" s="68" t="str">
        <f t="shared" si="4"/>
        <v/>
      </c>
      <c r="J551" s="59" t="str">
        <f t="shared" si="5"/>
        <v/>
      </c>
      <c r="K551" s="69" t="str">
        <f t="shared" si="6"/>
        <v/>
      </c>
      <c r="L551" s="60" t="str">
        <f t="shared" si="7"/>
        <v/>
      </c>
      <c r="M551" s="61" t="str">
        <f>IFERROR(__xludf.DUMMYFUNCTION("IFS(AND(COUNTA(C551:C1644)=0,COUNTA(Q551:Q1644)=0),"""",OR(AND(K551&gt;=1000000000,OR(Y551&gt;=1000000000,COUNTA(Q551:Q1644)=0)),OR(Y551&gt;=1000000000,AND(COUNTA(C551:C1644)=0,P$3=TRUE))),
ROUNDDOWN((AB$1-AC$1)*MAX(INDEX(T$4:T1644,MATCH(LARGE(FILTER(Y$4:Y1644,Y$4"&amp;":Y1644&lt;1000000000),1),Y$4:Y1644)),INDEX(F$4:F1644,MATCH(LARGE(FILTER(K$4:K1644,K$4:K1644&lt;1000000000),1),K$4:K1644)))),AND(K551&lt;1000000000,COUNTA(C551:C1644)&gt;0,P$3=FALSE),
ROUNDDOWN(INDEX(Y$4:Y1644,MATCH(LARGE(FILTER(W$4:W1644,W$4:W1644&lt;=I551),1),W$4:W1644"&amp;"))+(I551-LARGE(FILTER(W$4:W1644,W$4:W1644&lt;=I551),1))*INDEX(T$4:T1644,MATCH(LARGE(FILTER(W$4:W1644,W$4:W1644&lt;=I551),1),W$4:W1644))-K551),1,
ROUNDDOWN(Y551-INDEX(K$4:K1644,MATCH(LARGE(FILTER(I$4:I1644,I$4:I1644&lt;=W551),1),I$4:I1644))-(W551-LARGE(FILTER(I$4:I"&amp;"1644,I$4:I1644&lt;=W551),1))*INDEX(F$4:F1644,MATCH(LARGE(FILTER(I$4:I1644,I$4:I1644&lt;=W551),1),I$4:I1644))))"),"")</f>
        <v/>
      </c>
      <c r="N551" s="60" t="str">
        <f t="shared" si="8"/>
        <v/>
      </c>
      <c r="O551" s="61" t="str">
        <f t="shared" si="9"/>
        <v/>
      </c>
      <c r="P551" s="56" t="str">
        <f t="shared" si="10"/>
        <v/>
      </c>
      <c r="Q551" s="105"/>
      <c r="R551" s="10"/>
      <c r="S551" s="59" t="str">
        <f t="array" ref="S551">IF(COUNTA(Q551:Q1644)=0,"",SUM((COUNTIF(Q$4:Q551,Upgrades!$B$3:$B$13)-COUNTIF(Q$4:Q551,"Sell_"&amp;Upgrades!$B$3:$B$13))*Upgrades!$D$3:$D$13))</f>
        <v/>
      </c>
      <c r="T551" s="66" t="str">
        <f>IFERROR(__xludf.DUMMYFUNCTION("IF(COUNTA(Q551:Q1644)=0,"""",IF(REGEXMATCH(INDEX(FILTER(Q$4:Q551,Q$4:Q551&lt;&gt;""""),ROWS(FILTER(Q$4:Q551,Q$4:Q551&lt;&gt;""""))),""^Sell_""),INDEX(FILTER(T$4:T550,Q$4:Q550&lt;&gt;""""),ROWS(FILTER(Q$4:Q550,Q$4:Q550&lt;&gt;""""))),$AD$5+S551))"),"")</f>
        <v/>
      </c>
      <c r="U551" s="10" t="str">
        <f>IFERROR(__xludf.DUMMYFUNCTION("IF(COUNTA(Q551:Q1644)=0,"""",IF(Q551="""",0,IF(REGEXMATCH(Q551,""^Sell_""),-ROUNDDOWN(ROUNDUP(INDEX(Upgrades!$C$3:$C$13,MATCH(SUBSTITUTE(Q551,""Sell_"",""""),Upgrades!$B$3:$B$13,0))*1.15^(COUNTIF(Q$4:Q550,SUBSTITUTE(Q551,""Sell_"",""""))-COUNTIF(Q$4:Q550,"&amp;"""Sell_""&amp;SUBSTITUTE(Q551,""Sell_"",""""))))/2),ROUNDUP(INDEX(Upgrades!$C$3:$C$13,MATCH(Q551,Upgrades!$B$3:$B$13,0))*1.15^(COUNTIF(Q$4:Q550,Q551)-COUNTIF(Q$4:Q550,""Sell_""&amp;Q551))))))"),"")</f>
        <v/>
      </c>
      <c r="V551" s="10" t="str">
        <f t="shared" si="11"/>
        <v/>
      </c>
      <c r="W551" s="68" t="str">
        <f t="shared" si="12"/>
        <v/>
      </c>
      <c r="X551" s="59" t="str">
        <f t="shared" si="13"/>
        <v/>
      </c>
      <c r="Y551" s="69" t="str">
        <f t="shared" si="14"/>
        <v/>
      </c>
      <c r="Z551" s="11"/>
      <c r="AG551" s="59"/>
    </row>
    <row r="552">
      <c r="A552" s="8"/>
      <c r="B552" s="56" t="str">
        <f t="shared" si="2"/>
        <v/>
      </c>
      <c r="C552" s="105"/>
      <c r="D552" s="10"/>
      <c r="E552" s="59" t="str">
        <f t="array" ref="E552">IF(COUNTA(C552:C1644)=0,"",SUM((COUNTIF(C$4:C552,Upgrades!$B$3:$B$13)-COUNTIF(C$4:C552,"Sell_"&amp;Upgrades!$B$3:$B$13))*Upgrades!$D$3:$D$13))</f>
        <v/>
      </c>
      <c r="F552" s="66" t="str">
        <f>IFERROR(__xludf.DUMMYFUNCTION("IF(COUNTA(C552:C1644)=0,"""",IF(REGEXMATCH(INDEX(FILTER(C$4:C552,C$4:C552&lt;&gt;""""),ROWS(FILTER(C$4:C552,C$4:C552&lt;&gt;""""))),""^Sell_""),INDEX(FILTER(F$4:F551,C$4:C551&lt;&gt;""""),ROWS(FILTER(C$4:C551,C$4:C551&lt;&gt;""""))),$AC$5+E552))"),"")</f>
        <v/>
      </c>
      <c r="G552" s="10" t="str">
        <f>IFERROR(__xludf.DUMMYFUNCTION("IF(COUNTA(C552:C1644)=0,"""",IF(C552="""",0,IF(REGEXMATCH(C552,""^Sell_""),-ROUNDDOWN(ROUNDUP(INDEX(Upgrades!$C$3:$C$13,MATCH(SUBSTITUTE(C552,""Sell_"",""""),Upgrades!$B$3:$B$13,0))*1.15^(COUNTIF(C$4:C551,SUBSTITUTE(C552,""Sell_"",""""))-COUNTIF(C$4:C551,"&amp;"""Sell_""&amp;SUBSTITUTE(C552,""Sell_"",""""))))/2),ROUNDUP(INDEX(Upgrades!$C$3:$C$13,MATCH(C552,Upgrades!$B$3:$B$13,0))*1.15^(COUNTIF(C$4:C551,C552)-COUNTIF(C$4:C551,""Sell_""&amp;C552))))))"),"")</f>
        <v/>
      </c>
      <c r="H552" s="10" t="str">
        <f t="shared" si="3"/>
        <v/>
      </c>
      <c r="I552" s="68" t="str">
        <f t="shared" si="4"/>
        <v/>
      </c>
      <c r="J552" s="59" t="str">
        <f t="shared" si="5"/>
        <v/>
      </c>
      <c r="K552" s="69" t="str">
        <f t="shared" si="6"/>
        <v/>
      </c>
      <c r="L552" s="60" t="str">
        <f t="shared" si="7"/>
        <v/>
      </c>
      <c r="M552" s="61" t="str">
        <f>IFERROR(__xludf.DUMMYFUNCTION("IFS(AND(COUNTA(C552:C1644)=0,COUNTA(Q552:Q1644)=0),"""",OR(AND(K552&gt;=1000000000,OR(Y552&gt;=1000000000,COUNTA(Q552:Q1644)=0)),OR(Y552&gt;=1000000000,AND(COUNTA(C552:C1644)=0,P$3=TRUE))),
ROUNDDOWN((AB$1-AC$1)*MAX(INDEX(T$4:T1644,MATCH(LARGE(FILTER(Y$4:Y1644,Y$4"&amp;":Y1644&lt;1000000000),1),Y$4:Y1644)),INDEX(F$4:F1644,MATCH(LARGE(FILTER(K$4:K1644,K$4:K1644&lt;1000000000),1),K$4:K1644)))),AND(K552&lt;1000000000,COUNTA(C552:C1644)&gt;0,P$3=FALSE),
ROUNDDOWN(INDEX(Y$4:Y1644,MATCH(LARGE(FILTER(W$4:W1644,W$4:W1644&lt;=I552),1),W$4:W1644"&amp;"))+(I552-LARGE(FILTER(W$4:W1644,W$4:W1644&lt;=I552),1))*INDEX(T$4:T1644,MATCH(LARGE(FILTER(W$4:W1644,W$4:W1644&lt;=I552),1),W$4:W1644))-K552),1,
ROUNDDOWN(Y552-INDEX(K$4:K1644,MATCH(LARGE(FILTER(I$4:I1644,I$4:I1644&lt;=W552),1),I$4:I1644))-(W552-LARGE(FILTER(I$4:I"&amp;"1644,I$4:I1644&lt;=W552),1))*INDEX(F$4:F1644,MATCH(LARGE(FILTER(I$4:I1644,I$4:I1644&lt;=W552),1),I$4:I1644))))"),"")</f>
        <v/>
      </c>
      <c r="N552" s="60" t="str">
        <f t="shared" si="8"/>
        <v/>
      </c>
      <c r="O552" s="61" t="str">
        <f t="shared" si="9"/>
        <v/>
      </c>
      <c r="P552" s="56" t="str">
        <f t="shared" si="10"/>
        <v/>
      </c>
      <c r="Q552" s="105"/>
      <c r="R552" s="10"/>
      <c r="S552" s="59" t="str">
        <f t="array" ref="S552">IF(COUNTA(Q552:Q1644)=0,"",SUM((COUNTIF(Q$4:Q552,Upgrades!$B$3:$B$13)-COUNTIF(Q$4:Q552,"Sell_"&amp;Upgrades!$B$3:$B$13))*Upgrades!$D$3:$D$13))</f>
        <v/>
      </c>
      <c r="T552" s="66" t="str">
        <f>IFERROR(__xludf.DUMMYFUNCTION("IF(COUNTA(Q552:Q1644)=0,"""",IF(REGEXMATCH(INDEX(FILTER(Q$4:Q552,Q$4:Q552&lt;&gt;""""),ROWS(FILTER(Q$4:Q552,Q$4:Q552&lt;&gt;""""))),""^Sell_""),INDEX(FILTER(T$4:T551,Q$4:Q551&lt;&gt;""""),ROWS(FILTER(Q$4:Q551,Q$4:Q551&lt;&gt;""""))),$AD$5+S552))"),"")</f>
        <v/>
      </c>
      <c r="U552" s="10" t="str">
        <f>IFERROR(__xludf.DUMMYFUNCTION("IF(COUNTA(Q552:Q1644)=0,"""",IF(Q552="""",0,IF(REGEXMATCH(Q552,""^Sell_""),-ROUNDDOWN(ROUNDUP(INDEX(Upgrades!$C$3:$C$13,MATCH(SUBSTITUTE(Q552,""Sell_"",""""),Upgrades!$B$3:$B$13,0))*1.15^(COUNTIF(Q$4:Q551,SUBSTITUTE(Q552,""Sell_"",""""))-COUNTIF(Q$4:Q551,"&amp;"""Sell_""&amp;SUBSTITUTE(Q552,""Sell_"",""""))))/2),ROUNDUP(INDEX(Upgrades!$C$3:$C$13,MATCH(Q552,Upgrades!$B$3:$B$13,0))*1.15^(COUNTIF(Q$4:Q551,Q552)-COUNTIF(Q$4:Q551,""Sell_""&amp;Q552))))))"),"")</f>
        <v/>
      </c>
      <c r="V552" s="10" t="str">
        <f t="shared" si="11"/>
        <v/>
      </c>
      <c r="W552" s="68" t="str">
        <f t="shared" si="12"/>
        <v/>
      </c>
      <c r="X552" s="59" t="str">
        <f t="shared" si="13"/>
        <v/>
      </c>
      <c r="Y552" s="69" t="str">
        <f t="shared" si="14"/>
        <v/>
      </c>
      <c r="Z552" s="11"/>
      <c r="AG552" s="59"/>
    </row>
    <row r="553">
      <c r="A553" s="8"/>
      <c r="B553" s="56" t="str">
        <f t="shared" si="2"/>
        <v/>
      </c>
      <c r="C553" s="105"/>
      <c r="D553" s="10"/>
      <c r="E553" s="59" t="str">
        <f t="array" ref="E553">IF(COUNTA(C553:C1644)=0,"",SUM((COUNTIF(C$4:C553,Upgrades!$B$3:$B$13)-COUNTIF(C$4:C553,"Sell_"&amp;Upgrades!$B$3:$B$13))*Upgrades!$D$3:$D$13))</f>
        <v/>
      </c>
      <c r="F553" s="66" t="str">
        <f>IFERROR(__xludf.DUMMYFUNCTION("IF(COUNTA(C553:C1644)=0,"""",IF(REGEXMATCH(INDEX(FILTER(C$4:C553,C$4:C553&lt;&gt;""""),ROWS(FILTER(C$4:C553,C$4:C553&lt;&gt;""""))),""^Sell_""),INDEX(FILTER(F$4:F552,C$4:C552&lt;&gt;""""),ROWS(FILTER(C$4:C552,C$4:C552&lt;&gt;""""))),$AC$5+E553))"),"")</f>
        <v/>
      </c>
      <c r="G553" s="10" t="str">
        <f>IFERROR(__xludf.DUMMYFUNCTION("IF(COUNTA(C553:C1644)=0,"""",IF(C553="""",0,IF(REGEXMATCH(C553,""^Sell_""),-ROUNDDOWN(ROUNDUP(INDEX(Upgrades!$C$3:$C$13,MATCH(SUBSTITUTE(C553,""Sell_"",""""),Upgrades!$B$3:$B$13,0))*1.15^(COUNTIF(C$4:C552,SUBSTITUTE(C553,""Sell_"",""""))-COUNTIF(C$4:C552,"&amp;"""Sell_""&amp;SUBSTITUTE(C553,""Sell_"",""""))))/2),ROUNDUP(INDEX(Upgrades!$C$3:$C$13,MATCH(C553,Upgrades!$B$3:$B$13,0))*1.15^(COUNTIF(C$4:C552,C553)-COUNTIF(C$4:C552,""Sell_""&amp;C553))))))"),"")</f>
        <v/>
      </c>
      <c r="H553" s="10" t="str">
        <f t="shared" si="3"/>
        <v/>
      </c>
      <c r="I553" s="68" t="str">
        <f t="shared" si="4"/>
        <v/>
      </c>
      <c r="J553" s="59" t="str">
        <f t="shared" si="5"/>
        <v/>
      </c>
      <c r="K553" s="69" t="str">
        <f t="shared" si="6"/>
        <v/>
      </c>
      <c r="L553" s="60" t="str">
        <f t="shared" si="7"/>
        <v/>
      </c>
      <c r="M553" s="61" t="str">
        <f>IFERROR(__xludf.DUMMYFUNCTION("IFS(AND(COUNTA(C553:C1644)=0,COUNTA(Q553:Q1644)=0),"""",OR(AND(K553&gt;=1000000000,OR(Y553&gt;=1000000000,COUNTA(Q553:Q1644)=0)),OR(Y553&gt;=1000000000,AND(COUNTA(C553:C1644)=0,P$3=TRUE))),
ROUNDDOWN((AB$1-AC$1)*MAX(INDEX(T$4:T1644,MATCH(LARGE(FILTER(Y$4:Y1644,Y$4"&amp;":Y1644&lt;1000000000),1),Y$4:Y1644)),INDEX(F$4:F1644,MATCH(LARGE(FILTER(K$4:K1644,K$4:K1644&lt;1000000000),1),K$4:K1644)))),AND(K553&lt;1000000000,COUNTA(C553:C1644)&gt;0,P$3=FALSE),
ROUNDDOWN(INDEX(Y$4:Y1644,MATCH(LARGE(FILTER(W$4:W1644,W$4:W1644&lt;=I553),1),W$4:W1644"&amp;"))+(I553-LARGE(FILTER(W$4:W1644,W$4:W1644&lt;=I553),1))*INDEX(T$4:T1644,MATCH(LARGE(FILTER(W$4:W1644,W$4:W1644&lt;=I553),1),W$4:W1644))-K553),1,
ROUNDDOWN(Y553-INDEX(K$4:K1644,MATCH(LARGE(FILTER(I$4:I1644,I$4:I1644&lt;=W553),1),I$4:I1644))-(W553-LARGE(FILTER(I$4:I"&amp;"1644,I$4:I1644&lt;=W553),1))*INDEX(F$4:F1644,MATCH(LARGE(FILTER(I$4:I1644,I$4:I1644&lt;=W553),1),I$4:I1644))))"),"")</f>
        <v/>
      </c>
      <c r="N553" s="60" t="str">
        <f t="shared" si="8"/>
        <v/>
      </c>
      <c r="O553" s="61" t="str">
        <f t="shared" si="9"/>
        <v/>
      </c>
      <c r="P553" s="56" t="str">
        <f t="shared" si="10"/>
        <v/>
      </c>
      <c r="Q553" s="105"/>
      <c r="R553" s="10"/>
      <c r="S553" s="59" t="str">
        <f t="array" ref="S553">IF(COUNTA(Q553:Q1644)=0,"",SUM((COUNTIF(Q$4:Q553,Upgrades!$B$3:$B$13)-COUNTIF(Q$4:Q553,"Sell_"&amp;Upgrades!$B$3:$B$13))*Upgrades!$D$3:$D$13))</f>
        <v/>
      </c>
      <c r="T553" s="66" t="str">
        <f>IFERROR(__xludf.DUMMYFUNCTION("IF(COUNTA(Q553:Q1644)=0,"""",IF(REGEXMATCH(INDEX(FILTER(Q$4:Q553,Q$4:Q553&lt;&gt;""""),ROWS(FILTER(Q$4:Q553,Q$4:Q553&lt;&gt;""""))),""^Sell_""),INDEX(FILTER(T$4:T552,Q$4:Q552&lt;&gt;""""),ROWS(FILTER(Q$4:Q552,Q$4:Q552&lt;&gt;""""))),$AD$5+S553))"),"")</f>
        <v/>
      </c>
      <c r="U553" s="10" t="str">
        <f>IFERROR(__xludf.DUMMYFUNCTION("IF(COUNTA(Q553:Q1644)=0,"""",IF(Q553="""",0,IF(REGEXMATCH(Q553,""^Sell_""),-ROUNDDOWN(ROUNDUP(INDEX(Upgrades!$C$3:$C$13,MATCH(SUBSTITUTE(Q553,""Sell_"",""""),Upgrades!$B$3:$B$13,0))*1.15^(COUNTIF(Q$4:Q552,SUBSTITUTE(Q553,""Sell_"",""""))-COUNTIF(Q$4:Q552,"&amp;"""Sell_""&amp;SUBSTITUTE(Q553,""Sell_"",""""))))/2),ROUNDUP(INDEX(Upgrades!$C$3:$C$13,MATCH(Q553,Upgrades!$B$3:$B$13,0))*1.15^(COUNTIF(Q$4:Q552,Q553)-COUNTIF(Q$4:Q552,""Sell_""&amp;Q553))))))"),"")</f>
        <v/>
      </c>
      <c r="V553" s="10" t="str">
        <f t="shared" si="11"/>
        <v/>
      </c>
      <c r="W553" s="68" t="str">
        <f t="shared" si="12"/>
        <v/>
      </c>
      <c r="X553" s="59" t="str">
        <f t="shared" si="13"/>
        <v/>
      </c>
      <c r="Y553" s="69" t="str">
        <f t="shared" si="14"/>
        <v/>
      </c>
      <c r="Z553" s="11"/>
      <c r="AG553" s="59"/>
    </row>
    <row r="554">
      <c r="A554" s="8"/>
      <c r="B554" s="56" t="str">
        <f t="shared" si="2"/>
        <v/>
      </c>
      <c r="C554" s="105"/>
      <c r="D554" s="10"/>
      <c r="E554" s="59" t="str">
        <f t="array" ref="E554">IF(COUNTA(C554:C1644)=0,"",SUM((COUNTIF(C$4:C554,Upgrades!$B$3:$B$13)-COUNTIF(C$4:C554,"Sell_"&amp;Upgrades!$B$3:$B$13))*Upgrades!$D$3:$D$13))</f>
        <v/>
      </c>
      <c r="F554" s="66" t="str">
        <f>IFERROR(__xludf.DUMMYFUNCTION("IF(COUNTA(C554:C1644)=0,"""",IF(REGEXMATCH(INDEX(FILTER(C$4:C554,C$4:C554&lt;&gt;""""),ROWS(FILTER(C$4:C554,C$4:C554&lt;&gt;""""))),""^Sell_""),INDEX(FILTER(F$4:F553,C$4:C553&lt;&gt;""""),ROWS(FILTER(C$4:C553,C$4:C553&lt;&gt;""""))),$AC$5+E554))"),"")</f>
        <v/>
      </c>
      <c r="G554" s="10" t="str">
        <f>IFERROR(__xludf.DUMMYFUNCTION("IF(COUNTA(C554:C1644)=0,"""",IF(C554="""",0,IF(REGEXMATCH(C554,""^Sell_""),-ROUNDDOWN(ROUNDUP(INDEX(Upgrades!$C$3:$C$13,MATCH(SUBSTITUTE(C554,""Sell_"",""""),Upgrades!$B$3:$B$13,0))*1.15^(COUNTIF(C$4:C553,SUBSTITUTE(C554,""Sell_"",""""))-COUNTIF(C$4:C553,"&amp;"""Sell_""&amp;SUBSTITUTE(C554,""Sell_"",""""))))/2),ROUNDUP(INDEX(Upgrades!$C$3:$C$13,MATCH(C554,Upgrades!$B$3:$B$13,0))*1.15^(COUNTIF(C$4:C553,C554)-COUNTIF(C$4:C553,""Sell_""&amp;C554))))))"),"")</f>
        <v/>
      </c>
      <c r="H554" s="10" t="str">
        <f t="shared" si="3"/>
        <v/>
      </c>
      <c r="I554" s="68" t="str">
        <f t="shared" si="4"/>
        <v/>
      </c>
      <c r="J554" s="59" t="str">
        <f t="shared" si="5"/>
        <v/>
      </c>
      <c r="K554" s="69" t="str">
        <f t="shared" si="6"/>
        <v/>
      </c>
      <c r="L554" s="60" t="str">
        <f t="shared" si="7"/>
        <v/>
      </c>
      <c r="M554" s="61" t="str">
        <f>IFERROR(__xludf.DUMMYFUNCTION("IFS(AND(COUNTA(C554:C1644)=0,COUNTA(Q554:Q1644)=0),"""",OR(AND(K554&gt;=1000000000,OR(Y554&gt;=1000000000,COUNTA(Q554:Q1644)=0)),OR(Y554&gt;=1000000000,AND(COUNTA(C554:C1644)=0,P$3=TRUE))),
ROUNDDOWN((AB$1-AC$1)*MAX(INDEX(T$4:T1644,MATCH(LARGE(FILTER(Y$4:Y1644,Y$4"&amp;":Y1644&lt;1000000000),1),Y$4:Y1644)),INDEX(F$4:F1644,MATCH(LARGE(FILTER(K$4:K1644,K$4:K1644&lt;1000000000),1),K$4:K1644)))),AND(K554&lt;1000000000,COUNTA(C554:C1644)&gt;0,P$3=FALSE),
ROUNDDOWN(INDEX(Y$4:Y1644,MATCH(LARGE(FILTER(W$4:W1644,W$4:W1644&lt;=I554),1),W$4:W1644"&amp;"))+(I554-LARGE(FILTER(W$4:W1644,W$4:W1644&lt;=I554),1))*INDEX(T$4:T1644,MATCH(LARGE(FILTER(W$4:W1644,W$4:W1644&lt;=I554),1),W$4:W1644))-K554),1,
ROUNDDOWN(Y554-INDEX(K$4:K1644,MATCH(LARGE(FILTER(I$4:I1644,I$4:I1644&lt;=W554),1),I$4:I1644))-(W554-LARGE(FILTER(I$4:I"&amp;"1644,I$4:I1644&lt;=W554),1))*INDEX(F$4:F1644,MATCH(LARGE(FILTER(I$4:I1644,I$4:I1644&lt;=W554),1),I$4:I1644))))"),"")</f>
        <v/>
      </c>
      <c r="N554" s="60" t="str">
        <f t="shared" si="8"/>
        <v/>
      </c>
      <c r="O554" s="61" t="str">
        <f t="shared" si="9"/>
        <v/>
      </c>
      <c r="P554" s="56" t="str">
        <f t="shared" si="10"/>
        <v/>
      </c>
      <c r="Q554" s="105"/>
      <c r="R554" s="10"/>
      <c r="S554" s="59" t="str">
        <f t="array" ref="S554">IF(COUNTA(Q554:Q1644)=0,"",SUM((COUNTIF(Q$4:Q554,Upgrades!$B$3:$B$13)-COUNTIF(Q$4:Q554,"Sell_"&amp;Upgrades!$B$3:$B$13))*Upgrades!$D$3:$D$13))</f>
        <v/>
      </c>
      <c r="T554" s="66" t="str">
        <f>IFERROR(__xludf.DUMMYFUNCTION("IF(COUNTA(Q554:Q1644)=0,"""",IF(REGEXMATCH(INDEX(FILTER(Q$4:Q554,Q$4:Q554&lt;&gt;""""),ROWS(FILTER(Q$4:Q554,Q$4:Q554&lt;&gt;""""))),""^Sell_""),INDEX(FILTER(T$4:T553,Q$4:Q553&lt;&gt;""""),ROWS(FILTER(Q$4:Q553,Q$4:Q553&lt;&gt;""""))),$AD$5+S554))"),"")</f>
        <v/>
      </c>
      <c r="U554" s="10" t="str">
        <f>IFERROR(__xludf.DUMMYFUNCTION("IF(COUNTA(Q554:Q1644)=0,"""",IF(Q554="""",0,IF(REGEXMATCH(Q554,""^Sell_""),-ROUNDDOWN(ROUNDUP(INDEX(Upgrades!$C$3:$C$13,MATCH(SUBSTITUTE(Q554,""Sell_"",""""),Upgrades!$B$3:$B$13,0))*1.15^(COUNTIF(Q$4:Q553,SUBSTITUTE(Q554,""Sell_"",""""))-COUNTIF(Q$4:Q553,"&amp;"""Sell_""&amp;SUBSTITUTE(Q554,""Sell_"",""""))))/2),ROUNDUP(INDEX(Upgrades!$C$3:$C$13,MATCH(Q554,Upgrades!$B$3:$B$13,0))*1.15^(COUNTIF(Q$4:Q553,Q554)-COUNTIF(Q$4:Q553,""Sell_""&amp;Q554))))))"),"")</f>
        <v/>
      </c>
      <c r="V554" s="10" t="str">
        <f t="shared" si="11"/>
        <v/>
      </c>
      <c r="W554" s="68" t="str">
        <f t="shared" si="12"/>
        <v/>
      </c>
      <c r="X554" s="59" t="str">
        <f t="shared" si="13"/>
        <v/>
      </c>
      <c r="Y554" s="69" t="str">
        <f t="shared" si="14"/>
        <v/>
      </c>
      <c r="Z554" s="11"/>
      <c r="AG554" s="59"/>
    </row>
    <row r="555">
      <c r="A555" s="8"/>
      <c r="B555" s="56" t="str">
        <f t="shared" si="2"/>
        <v/>
      </c>
      <c r="C555" s="105"/>
      <c r="D555" s="10"/>
      <c r="E555" s="59" t="str">
        <f t="array" ref="E555">IF(COUNTA(C555:C1644)=0,"",SUM((COUNTIF(C$4:C555,Upgrades!$B$3:$B$13)-COUNTIF(C$4:C555,"Sell_"&amp;Upgrades!$B$3:$B$13))*Upgrades!$D$3:$D$13))</f>
        <v/>
      </c>
      <c r="F555" s="66" t="str">
        <f>IFERROR(__xludf.DUMMYFUNCTION("IF(COUNTA(C555:C1644)=0,"""",IF(REGEXMATCH(INDEX(FILTER(C$4:C555,C$4:C555&lt;&gt;""""),ROWS(FILTER(C$4:C555,C$4:C555&lt;&gt;""""))),""^Sell_""),INDEX(FILTER(F$4:F554,C$4:C554&lt;&gt;""""),ROWS(FILTER(C$4:C554,C$4:C554&lt;&gt;""""))),$AC$5+E555))"),"")</f>
        <v/>
      </c>
      <c r="G555" s="10" t="str">
        <f>IFERROR(__xludf.DUMMYFUNCTION("IF(COUNTA(C555:C1644)=0,"""",IF(C555="""",0,IF(REGEXMATCH(C555,""^Sell_""),-ROUNDDOWN(ROUNDUP(INDEX(Upgrades!$C$3:$C$13,MATCH(SUBSTITUTE(C555,""Sell_"",""""),Upgrades!$B$3:$B$13,0))*1.15^(COUNTIF(C$4:C554,SUBSTITUTE(C555,""Sell_"",""""))-COUNTIF(C$4:C554,"&amp;"""Sell_""&amp;SUBSTITUTE(C555,""Sell_"",""""))))/2),ROUNDUP(INDEX(Upgrades!$C$3:$C$13,MATCH(C555,Upgrades!$B$3:$B$13,0))*1.15^(COUNTIF(C$4:C554,C555)-COUNTIF(C$4:C554,""Sell_""&amp;C555))))))"),"")</f>
        <v/>
      </c>
      <c r="H555" s="10" t="str">
        <f t="shared" si="3"/>
        <v/>
      </c>
      <c r="I555" s="68" t="str">
        <f t="shared" si="4"/>
        <v/>
      </c>
      <c r="J555" s="59" t="str">
        <f t="shared" si="5"/>
        <v/>
      </c>
      <c r="K555" s="69" t="str">
        <f t="shared" si="6"/>
        <v/>
      </c>
      <c r="L555" s="60" t="str">
        <f t="shared" si="7"/>
        <v/>
      </c>
      <c r="M555" s="61" t="str">
        <f>IFERROR(__xludf.DUMMYFUNCTION("IFS(AND(COUNTA(C555:C1644)=0,COUNTA(Q555:Q1644)=0),"""",OR(AND(K555&gt;=1000000000,OR(Y555&gt;=1000000000,COUNTA(Q555:Q1644)=0)),OR(Y555&gt;=1000000000,AND(COUNTA(C555:C1644)=0,P$3=TRUE))),
ROUNDDOWN((AB$1-AC$1)*MAX(INDEX(T$4:T1644,MATCH(LARGE(FILTER(Y$4:Y1644,Y$4"&amp;":Y1644&lt;1000000000),1),Y$4:Y1644)),INDEX(F$4:F1644,MATCH(LARGE(FILTER(K$4:K1644,K$4:K1644&lt;1000000000),1),K$4:K1644)))),AND(K555&lt;1000000000,COUNTA(C555:C1644)&gt;0,P$3=FALSE),
ROUNDDOWN(INDEX(Y$4:Y1644,MATCH(LARGE(FILTER(W$4:W1644,W$4:W1644&lt;=I555),1),W$4:W1644"&amp;"))+(I555-LARGE(FILTER(W$4:W1644,W$4:W1644&lt;=I555),1))*INDEX(T$4:T1644,MATCH(LARGE(FILTER(W$4:W1644,W$4:W1644&lt;=I555),1),W$4:W1644))-K555),1,
ROUNDDOWN(Y555-INDEX(K$4:K1644,MATCH(LARGE(FILTER(I$4:I1644,I$4:I1644&lt;=W555),1),I$4:I1644))-(W555-LARGE(FILTER(I$4:I"&amp;"1644,I$4:I1644&lt;=W555),1))*INDEX(F$4:F1644,MATCH(LARGE(FILTER(I$4:I1644,I$4:I1644&lt;=W555),1),I$4:I1644))))"),"")</f>
        <v/>
      </c>
      <c r="N555" s="60" t="str">
        <f t="shared" si="8"/>
        <v/>
      </c>
      <c r="O555" s="61" t="str">
        <f t="shared" si="9"/>
        <v/>
      </c>
      <c r="P555" s="56" t="str">
        <f t="shared" si="10"/>
        <v/>
      </c>
      <c r="Q555" s="105"/>
      <c r="R555" s="10"/>
      <c r="S555" s="59" t="str">
        <f t="array" ref="S555">IF(COUNTA(Q555:Q1644)=0,"",SUM((COUNTIF(Q$4:Q555,Upgrades!$B$3:$B$13)-COUNTIF(Q$4:Q555,"Sell_"&amp;Upgrades!$B$3:$B$13))*Upgrades!$D$3:$D$13))</f>
        <v/>
      </c>
      <c r="T555" s="66" t="str">
        <f>IFERROR(__xludf.DUMMYFUNCTION("IF(COUNTA(Q555:Q1644)=0,"""",IF(REGEXMATCH(INDEX(FILTER(Q$4:Q555,Q$4:Q555&lt;&gt;""""),ROWS(FILTER(Q$4:Q555,Q$4:Q555&lt;&gt;""""))),""^Sell_""),INDEX(FILTER(T$4:T554,Q$4:Q554&lt;&gt;""""),ROWS(FILTER(Q$4:Q554,Q$4:Q554&lt;&gt;""""))),$AD$5+S555))"),"")</f>
        <v/>
      </c>
      <c r="U555" s="10" t="str">
        <f>IFERROR(__xludf.DUMMYFUNCTION("IF(COUNTA(Q555:Q1644)=0,"""",IF(Q555="""",0,IF(REGEXMATCH(Q555,""^Sell_""),-ROUNDDOWN(ROUNDUP(INDEX(Upgrades!$C$3:$C$13,MATCH(SUBSTITUTE(Q555,""Sell_"",""""),Upgrades!$B$3:$B$13,0))*1.15^(COUNTIF(Q$4:Q554,SUBSTITUTE(Q555,""Sell_"",""""))-COUNTIF(Q$4:Q554,"&amp;"""Sell_""&amp;SUBSTITUTE(Q555,""Sell_"",""""))))/2),ROUNDUP(INDEX(Upgrades!$C$3:$C$13,MATCH(Q555,Upgrades!$B$3:$B$13,0))*1.15^(COUNTIF(Q$4:Q554,Q555)-COUNTIF(Q$4:Q554,""Sell_""&amp;Q555))))))"),"")</f>
        <v/>
      </c>
      <c r="V555" s="10" t="str">
        <f t="shared" si="11"/>
        <v/>
      </c>
      <c r="W555" s="68" t="str">
        <f t="shared" si="12"/>
        <v/>
      </c>
      <c r="X555" s="59" t="str">
        <f t="shared" si="13"/>
        <v/>
      </c>
      <c r="Y555" s="69" t="str">
        <f t="shared" si="14"/>
        <v/>
      </c>
      <c r="Z555" s="11"/>
      <c r="AG555" s="59"/>
    </row>
    <row r="556">
      <c r="A556" s="8"/>
      <c r="B556" s="56" t="str">
        <f t="shared" si="2"/>
        <v/>
      </c>
      <c r="C556" s="105"/>
      <c r="D556" s="10"/>
      <c r="E556" s="59" t="str">
        <f t="array" ref="E556">IF(COUNTA(C556:C1644)=0,"",SUM((COUNTIF(C$4:C556,Upgrades!$B$3:$B$13)-COUNTIF(C$4:C556,"Sell_"&amp;Upgrades!$B$3:$B$13))*Upgrades!$D$3:$D$13))</f>
        <v/>
      </c>
      <c r="F556" s="66" t="str">
        <f>IFERROR(__xludf.DUMMYFUNCTION("IF(COUNTA(C556:C1644)=0,"""",IF(REGEXMATCH(INDEX(FILTER(C$4:C556,C$4:C556&lt;&gt;""""),ROWS(FILTER(C$4:C556,C$4:C556&lt;&gt;""""))),""^Sell_""),INDEX(FILTER(F$4:F555,C$4:C555&lt;&gt;""""),ROWS(FILTER(C$4:C555,C$4:C555&lt;&gt;""""))),$AC$5+E556))"),"")</f>
        <v/>
      </c>
      <c r="G556" s="10" t="str">
        <f>IFERROR(__xludf.DUMMYFUNCTION("IF(COUNTA(C556:C1644)=0,"""",IF(C556="""",0,IF(REGEXMATCH(C556,""^Sell_""),-ROUNDDOWN(ROUNDUP(INDEX(Upgrades!$C$3:$C$13,MATCH(SUBSTITUTE(C556,""Sell_"",""""),Upgrades!$B$3:$B$13,0))*1.15^(COUNTIF(C$4:C555,SUBSTITUTE(C556,""Sell_"",""""))-COUNTIF(C$4:C555,"&amp;"""Sell_""&amp;SUBSTITUTE(C556,""Sell_"",""""))))/2),ROUNDUP(INDEX(Upgrades!$C$3:$C$13,MATCH(C556,Upgrades!$B$3:$B$13,0))*1.15^(COUNTIF(C$4:C555,C556)-COUNTIF(C$4:C555,""Sell_""&amp;C556))))))"),"")</f>
        <v/>
      </c>
      <c r="H556" s="10" t="str">
        <f t="shared" si="3"/>
        <v/>
      </c>
      <c r="I556" s="68" t="str">
        <f t="shared" si="4"/>
        <v/>
      </c>
      <c r="J556" s="59" t="str">
        <f t="shared" si="5"/>
        <v/>
      </c>
      <c r="K556" s="69" t="str">
        <f t="shared" si="6"/>
        <v/>
      </c>
      <c r="L556" s="60" t="str">
        <f t="shared" si="7"/>
        <v/>
      </c>
      <c r="M556" s="61" t="str">
        <f>IFERROR(__xludf.DUMMYFUNCTION("IFS(AND(COUNTA(C556:C1644)=0,COUNTA(Q556:Q1644)=0),"""",OR(AND(K556&gt;=1000000000,OR(Y556&gt;=1000000000,COUNTA(Q556:Q1644)=0)),OR(Y556&gt;=1000000000,AND(COUNTA(C556:C1644)=0,P$3=TRUE))),
ROUNDDOWN((AB$1-AC$1)*MAX(INDEX(T$4:T1644,MATCH(LARGE(FILTER(Y$4:Y1644,Y$4"&amp;":Y1644&lt;1000000000),1),Y$4:Y1644)),INDEX(F$4:F1644,MATCH(LARGE(FILTER(K$4:K1644,K$4:K1644&lt;1000000000),1),K$4:K1644)))),AND(K556&lt;1000000000,COUNTA(C556:C1644)&gt;0,P$3=FALSE),
ROUNDDOWN(INDEX(Y$4:Y1644,MATCH(LARGE(FILTER(W$4:W1644,W$4:W1644&lt;=I556),1),W$4:W1644"&amp;"))+(I556-LARGE(FILTER(W$4:W1644,W$4:W1644&lt;=I556),1))*INDEX(T$4:T1644,MATCH(LARGE(FILTER(W$4:W1644,W$4:W1644&lt;=I556),1),W$4:W1644))-K556),1,
ROUNDDOWN(Y556-INDEX(K$4:K1644,MATCH(LARGE(FILTER(I$4:I1644,I$4:I1644&lt;=W556),1),I$4:I1644))-(W556-LARGE(FILTER(I$4:I"&amp;"1644,I$4:I1644&lt;=W556),1))*INDEX(F$4:F1644,MATCH(LARGE(FILTER(I$4:I1644,I$4:I1644&lt;=W556),1),I$4:I1644))))"),"")</f>
        <v/>
      </c>
      <c r="N556" s="60" t="str">
        <f t="shared" si="8"/>
        <v/>
      </c>
      <c r="O556" s="61" t="str">
        <f t="shared" si="9"/>
        <v/>
      </c>
      <c r="P556" s="56" t="str">
        <f t="shared" si="10"/>
        <v/>
      </c>
      <c r="Q556" s="105"/>
      <c r="R556" s="10"/>
      <c r="S556" s="59" t="str">
        <f t="array" ref="S556">IF(COUNTA(Q556:Q1644)=0,"",SUM((COUNTIF(Q$4:Q556,Upgrades!$B$3:$B$13)-COUNTIF(Q$4:Q556,"Sell_"&amp;Upgrades!$B$3:$B$13))*Upgrades!$D$3:$D$13))</f>
        <v/>
      </c>
      <c r="T556" s="66" t="str">
        <f>IFERROR(__xludf.DUMMYFUNCTION("IF(COUNTA(Q556:Q1644)=0,"""",IF(REGEXMATCH(INDEX(FILTER(Q$4:Q556,Q$4:Q556&lt;&gt;""""),ROWS(FILTER(Q$4:Q556,Q$4:Q556&lt;&gt;""""))),""^Sell_""),INDEX(FILTER(T$4:T555,Q$4:Q555&lt;&gt;""""),ROWS(FILTER(Q$4:Q555,Q$4:Q555&lt;&gt;""""))),$AD$5+S556))"),"")</f>
        <v/>
      </c>
      <c r="U556" s="10" t="str">
        <f>IFERROR(__xludf.DUMMYFUNCTION("IF(COUNTA(Q556:Q1644)=0,"""",IF(Q556="""",0,IF(REGEXMATCH(Q556,""^Sell_""),-ROUNDDOWN(ROUNDUP(INDEX(Upgrades!$C$3:$C$13,MATCH(SUBSTITUTE(Q556,""Sell_"",""""),Upgrades!$B$3:$B$13,0))*1.15^(COUNTIF(Q$4:Q555,SUBSTITUTE(Q556,""Sell_"",""""))-COUNTIF(Q$4:Q555,"&amp;"""Sell_""&amp;SUBSTITUTE(Q556,""Sell_"",""""))))/2),ROUNDUP(INDEX(Upgrades!$C$3:$C$13,MATCH(Q556,Upgrades!$B$3:$B$13,0))*1.15^(COUNTIF(Q$4:Q555,Q556)-COUNTIF(Q$4:Q555,""Sell_""&amp;Q556))))))"),"")</f>
        <v/>
      </c>
      <c r="V556" s="10" t="str">
        <f t="shared" si="11"/>
        <v/>
      </c>
      <c r="W556" s="68" t="str">
        <f t="shared" si="12"/>
        <v/>
      </c>
      <c r="X556" s="59" t="str">
        <f t="shared" si="13"/>
        <v/>
      </c>
      <c r="Y556" s="69" t="str">
        <f t="shared" si="14"/>
        <v/>
      </c>
      <c r="Z556" s="11"/>
      <c r="AG556" s="59"/>
    </row>
    <row r="557">
      <c r="A557" s="8"/>
      <c r="B557" s="56" t="str">
        <f t="shared" si="2"/>
        <v/>
      </c>
      <c r="C557" s="105"/>
      <c r="D557" s="10"/>
      <c r="E557" s="59" t="str">
        <f t="array" ref="E557">IF(COUNTA(C557:C1644)=0,"",SUM((COUNTIF(C$4:C557,Upgrades!$B$3:$B$13)-COUNTIF(C$4:C557,"Sell_"&amp;Upgrades!$B$3:$B$13))*Upgrades!$D$3:$D$13))</f>
        <v/>
      </c>
      <c r="F557" s="66" t="str">
        <f>IFERROR(__xludf.DUMMYFUNCTION("IF(COUNTA(C557:C1644)=0,"""",IF(REGEXMATCH(INDEX(FILTER(C$4:C557,C$4:C557&lt;&gt;""""),ROWS(FILTER(C$4:C557,C$4:C557&lt;&gt;""""))),""^Sell_""),INDEX(FILTER(F$4:F556,C$4:C556&lt;&gt;""""),ROWS(FILTER(C$4:C556,C$4:C556&lt;&gt;""""))),$AC$5+E557))"),"")</f>
        <v/>
      </c>
      <c r="G557" s="10" t="str">
        <f>IFERROR(__xludf.DUMMYFUNCTION("IF(COUNTA(C557:C1644)=0,"""",IF(C557="""",0,IF(REGEXMATCH(C557,""^Sell_""),-ROUNDDOWN(ROUNDUP(INDEX(Upgrades!$C$3:$C$13,MATCH(SUBSTITUTE(C557,""Sell_"",""""),Upgrades!$B$3:$B$13,0))*1.15^(COUNTIF(C$4:C556,SUBSTITUTE(C557,""Sell_"",""""))-COUNTIF(C$4:C556,"&amp;"""Sell_""&amp;SUBSTITUTE(C557,""Sell_"",""""))))/2),ROUNDUP(INDEX(Upgrades!$C$3:$C$13,MATCH(C557,Upgrades!$B$3:$B$13,0))*1.15^(COUNTIF(C$4:C556,C557)-COUNTIF(C$4:C556,""Sell_""&amp;C557))))))"),"")</f>
        <v/>
      </c>
      <c r="H557" s="10" t="str">
        <f t="shared" si="3"/>
        <v/>
      </c>
      <c r="I557" s="68" t="str">
        <f t="shared" si="4"/>
        <v/>
      </c>
      <c r="J557" s="59" t="str">
        <f t="shared" si="5"/>
        <v/>
      </c>
      <c r="K557" s="69" t="str">
        <f t="shared" si="6"/>
        <v/>
      </c>
      <c r="L557" s="60" t="str">
        <f t="shared" si="7"/>
        <v/>
      </c>
      <c r="M557" s="61" t="str">
        <f>IFERROR(__xludf.DUMMYFUNCTION("IFS(AND(COUNTA(C557:C1644)=0,COUNTA(Q557:Q1644)=0),"""",OR(AND(K557&gt;=1000000000,OR(Y557&gt;=1000000000,COUNTA(Q557:Q1644)=0)),OR(Y557&gt;=1000000000,AND(COUNTA(C557:C1644)=0,P$3=TRUE))),
ROUNDDOWN((AB$1-AC$1)*MAX(INDEX(T$4:T1644,MATCH(LARGE(FILTER(Y$4:Y1644,Y$4"&amp;":Y1644&lt;1000000000),1),Y$4:Y1644)),INDEX(F$4:F1644,MATCH(LARGE(FILTER(K$4:K1644,K$4:K1644&lt;1000000000),1),K$4:K1644)))),AND(K557&lt;1000000000,COUNTA(C557:C1644)&gt;0,P$3=FALSE),
ROUNDDOWN(INDEX(Y$4:Y1644,MATCH(LARGE(FILTER(W$4:W1644,W$4:W1644&lt;=I557),1),W$4:W1644"&amp;"))+(I557-LARGE(FILTER(W$4:W1644,W$4:W1644&lt;=I557),1))*INDEX(T$4:T1644,MATCH(LARGE(FILTER(W$4:W1644,W$4:W1644&lt;=I557),1),W$4:W1644))-K557),1,
ROUNDDOWN(Y557-INDEX(K$4:K1644,MATCH(LARGE(FILTER(I$4:I1644,I$4:I1644&lt;=W557),1),I$4:I1644))-(W557-LARGE(FILTER(I$4:I"&amp;"1644,I$4:I1644&lt;=W557),1))*INDEX(F$4:F1644,MATCH(LARGE(FILTER(I$4:I1644,I$4:I1644&lt;=W557),1),I$4:I1644))))"),"")</f>
        <v/>
      </c>
      <c r="N557" s="60" t="str">
        <f t="shared" si="8"/>
        <v/>
      </c>
      <c r="O557" s="61" t="str">
        <f t="shared" si="9"/>
        <v/>
      </c>
      <c r="P557" s="56" t="str">
        <f t="shared" si="10"/>
        <v/>
      </c>
      <c r="Q557" s="105"/>
      <c r="R557" s="10"/>
      <c r="S557" s="59" t="str">
        <f t="array" ref="S557">IF(COUNTA(Q557:Q1644)=0,"",SUM((COUNTIF(Q$4:Q557,Upgrades!$B$3:$B$13)-COUNTIF(Q$4:Q557,"Sell_"&amp;Upgrades!$B$3:$B$13))*Upgrades!$D$3:$D$13))</f>
        <v/>
      </c>
      <c r="T557" s="66" t="str">
        <f>IFERROR(__xludf.DUMMYFUNCTION("IF(COUNTA(Q557:Q1644)=0,"""",IF(REGEXMATCH(INDEX(FILTER(Q$4:Q557,Q$4:Q557&lt;&gt;""""),ROWS(FILTER(Q$4:Q557,Q$4:Q557&lt;&gt;""""))),""^Sell_""),INDEX(FILTER(T$4:T556,Q$4:Q556&lt;&gt;""""),ROWS(FILTER(Q$4:Q556,Q$4:Q556&lt;&gt;""""))),$AD$5+S557))"),"")</f>
        <v/>
      </c>
      <c r="U557" s="10" t="str">
        <f>IFERROR(__xludf.DUMMYFUNCTION("IF(COUNTA(Q557:Q1644)=0,"""",IF(Q557="""",0,IF(REGEXMATCH(Q557,""^Sell_""),-ROUNDDOWN(ROUNDUP(INDEX(Upgrades!$C$3:$C$13,MATCH(SUBSTITUTE(Q557,""Sell_"",""""),Upgrades!$B$3:$B$13,0))*1.15^(COUNTIF(Q$4:Q556,SUBSTITUTE(Q557,""Sell_"",""""))-COUNTIF(Q$4:Q556,"&amp;"""Sell_""&amp;SUBSTITUTE(Q557,""Sell_"",""""))))/2),ROUNDUP(INDEX(Upgrades!$C$3:$C$13,MATCH(Q557,Upgrades!$B$3:$B$13,0))*1.15^(COUNTIF(Q$4:Q556,Q557)-COUNTIF(Q$4:Q556,""Sell_""&amp;Q557))))))"),"")</f>
        <v/>
      </c>
      <c r="V557" s="10" t="str">
        <f t="shared" si="11"/>
        <v/>
      </c>
      <c r="W557" s="68" t="str">
        <f t="shared" si="12"/>
        <v/>
      </c>
      <c r="X557" s="59" t="str">
        <f t="shared" si="13"/>
        <v/>
      </c>
      <c r="Y557" s="69" t="str">
        <f t="shared" si="14"/>
        <v/>
      </c>
      <c r="Z557" s="11"/>
      <c r="AG557" s="59"/>
    </row>
    <row r="558">
      <c r="A558" s="8"/>
      <c r="B558" s="56" t="str">
        <f t="shared" si="2"/>
        <v/>
      </c>
      <c r="C558" s="105"/>
      <c r="D558" s="10"/>
      <c r="E558" s="59" t="str">
        <f t="array" ref="E558">IF(COUNTA(C558:C1644)=0,"",SUM((COUNTIF(C$4:C558,Upgrades!$B$3:$B$13)-COUNTIF(C$4:C558,"Sell_"&amp;Upgrades!$B$3:$B$13))*Upgrades!$D$3:$D$13))</f>
        <v/>
      </c>
      <c r="F558" s="66" t="str">
        <f>IFERROR(__xludf.DUMMYFUNCTION("IF(COUNTA(C558:C1644)=0,"""",IF(REGEXMATCH(INDEX(FILTER(C$4:C558,C$4:C558&lt;&gt;""""),ROWS(FILTER(C$4:C558,C$4:C558&lt;&gt;""""))),""^Sell_""),INDEX(FILTER(F$4:F557,C$4:C557&lt;&gt;""""),ROWS(FILTER(C$4:C557,C$4:C557&lt;&gt;""""))),$AC$5+E558))"),"")</f>
        <v/>
      </c>
      <c r="G558" s="10" t="str">
        <f>IFERROR(__xludf.DUMMYFUNCTION("IF(COUNTA(C558:C1644)=0,"""",IF(C558="""",0,IF(REGEXMATCH(C558,""^Sell_""),-ROUNDDOWN(ROUNDUP(INDEX(Upgrades!$C$3:$C$13,MATCH(SUBSTITUTE(C558,""Sell_"",""""),Upgrades!$B$3:$B$13,0))*1.15^(COUNTIF(C$4:C557,SUBSTITUTE(C558,""Sell_"",""""))-COUNTIF(C$4:C557,"&amp;"""Sell_""&amp;SUBSTITUTE(C558,""Sell_"",""""))))/2),ROUNDUP(INDEX(Upgrades!$C$3:$C$13,MATCH(C558,Upgrades!$B$3:$B$13,0))*1.15^(COUNTIF(C$4:C557,C558)-COUNTIF(C$4:C557,""Sell_""&amp;C558))))))"),"")</f>
        <v/>
      </c>
      <c r="H558" s="10" t="str">
        <f t="shared" si="3"/>
        <v/>
      </c>
      <c r="I558" s="68" t="str">
        <f t="shared" si="4"/>
        <v/>
      </c>
      <c r="J558" s="59" t="str">
        <f t="shared" si="5"/>
        <v/>
      </c>
      <c r="K558" s="69" t="str">
        <f t="shared" si="6"/>
        <v/>
      </c>
      <c r="L558" s="60" t="str">
        <f t="shared" si="7"/>
        <v/>
      </c>
      <c r="M558" s="61" t="str">
        <f>IFERROR(__xludf.DUMMYFUNCTION("IFS(AND(COUNTA(C558:C1644)=0,COUNTA(Q558:Q1644)=0),"""",OR(AND(K558&gt;=1000000000,OR(Y558&gt;=1000000000,COUNTA(Q558:Q1644)=0)),OR(Y558&gt;=1000000000,AND(COUNTA(C558:C1644)=0,P$3=TRUE))),
ROUNDDOWN((AB$1-AC$1)*MAX(INDEX(T$4:T1644,MATCH(LARGE(FILTER(Y$4:Y1644,Y$4"&amp;":Y1644&lt;1000000000),1),Y$4:Y1644)),INDEX(F$4:F1644,MATCH(LARGE(FILTER(K$4:K1644,K$4:K1644&lt;1000000000),1),K$4:K1644)))),AND(K558&lt;1000000000,COUNTA(C558:C1644)&gt;0,P$3=FALSE),
ROUNDDOWN(INDEX(Y$4:Y1644,MATCH(LARGE(FILTER(W$4:W1644,W$4:W1644&lt;=I558),1),W$4:W1644"&amp;"))+(I558-LARGE(FILTER(W$4:W1644,W$4:W1644&lt;=I558),1))*INDEX(T$4:T1644,MATCH(LARGE(FILTER(W$4:W1644,W$4:W1644&lt;=I558),1),W$4:W1644))-K558),1,
ROUNDDOWN(Y558-INDEX(K$4:K1644,MATCH(LARGE(FILTER(I$4:I1644,I$4:I1644&lt;=W558),1),I$4:I1644))-(W558-LARGE(FILTER(I$4:I"&amp;"1644,I$4:I1644&lt;=W558),1))*INDEX(F$4:F1644,MATCH(LARGE(FILTER(I$4:I1644,I$4:I1644&lt;=W558),1),I$4:I1644))))"),"")</f>
        <v/>
      </c>
      <c r="N558" s="60" t="str">
        <f t="shared" si="8"/>
        <v/>
      </c>
      <c r="O558" s="61" t="str">
        <f t="shared" si="9"/>
        <v/>
      </c>
      <c r="P558" s="56" t="str">
        <f t="shared" si="10"/>
        <v/>
      </c>
      <c r="Q558" s="105"/>
      <c r="R558" s="10"/>
      <c r="S558" s="59" t="str">
        <f t="array" ref="S558">IF(COUNTA(Q558:Q1644)=0,"",SUM((COUNTIF(Q$4:Q558,Upgrades!$B$3:$B$13)-COUNTIF(Q$4:Q558,"Sell_"&amp;Upgrades!$B$3:$B$13))*Upgrades!$D$3:$D$13))</f>
        <v/>
      </c>
      <c r="T558" s="66" t="str">
        <f>IFERROR(__xludf.DUMMYFUNCTION("IF(COUNTA(Q558:Q1644)=0,"""",IF(REGEXMATCH(INDEX(FILTER(Q$4:Q558,Q$4:Q558&lt;&gt;""""),ROWS(FILTER(Q$4:Q558,Q$4:Q558&lt;&gt;""""))),""^Sell_""),INDEX(FILTER(T$4:T557,Q$4:Q557&lt;&gt;""""),ROWS(FILTER(Q$4:Q557,Q$4:Q557&lt;&gt;""""))),$AD$5+S558))"),"")</f>
        <v/>
      </c>
      <c r="U558" s="10" t="str">
        <f>IFERROR(__xludf.DUMMYFUNCTION("IF(COUNTA(Q558:Q1644)=0,"""",IF(Q558="""",0,IF(REGEXMATCH(Q558,""^Sell_""),-ROUNDDOWN(ROUNDUP(INDEX(Upgrades!$C$3:$C$13,MATCH(SUBSTITUTE(Q558,""Sell_"",""""),Upgrades!$B$3:$B$13,0))*1.15^(COUNTIF(Q$4:Q557,SUBSTITUTE(Q558,""Sell_"",""""))-COUNTIF(Q$4:Q557,"&amp;"""Sell_""&amp;SUBSTITUTE(Q558,""Sell_"",""""))))/2),ROUNDUP(INDEX(Upgrades!$C$3:$C$13,MATCH(Q558,Upgrades!$B$3:$B$13,0))*1.15^(COUNTIF(Q$4:Q557,Q558)-COUNTIF(Q$4:Q557,""Sell_""&amp;Q558))))))"),"")</f>
        <v/>
      </c>
      <c r="V558" s="10" t="str">
        <f t="shared" si="11"/>
        <v/>
      </c>
      <c r="W558" s="68" t="str">
        <f t="shared" si="12"/>
        <v/>
      </c>
      <c r="X558" s="59" t="str">
        <f t="shared" si="13"/>
        <v/>
      </c>
      <c r="Y558" s="69" t="str">
        <f t="shared" si="14"/>
        <v/>
      </c>
      <c r="Z558" s="11"/>
      <c r="AG558" s="59"/>
    </row>
    <row r="559">
      <c r="A559" s="8"/>
      <c r="B559" s="56" t="str">
        <f t="shared" si="2"/>
        <v/>
      </c>
      <c r="C559" s="105"/>
      <c r="D559" s="10"/>
      <c r="E559" s="59" t="str">
        <f t="array" ref="E559">IF(COUNTA(C559:C1644)=0,"",SUM((COUNTIF(C$4:C559,Upgrades!$B$3:$B$13)-COUNTIF(C$4:C559,"Sell_"&amp;Upgrades!$B$3:$B$13))*Upgrades!$D$3:$D$13))</f>
        <v/>
      </c>
      <c r="F559" s="66" t="str">
        <f>IFERROR(__xludf.DUMMYFUNCTION("IF(COUNTA(C559:C1644)=0,"""",IF(REGEXMATCH(INDEX(FILTER(C$4:C559,C$4:C559&lt;&gt;""""),ROWS(FILTER(C$4:C559,C$4:C559&lt;&gt;""""))),""^Sell_""),INDEX(FILTER(F$4:F558,C$4:C558&lt;&gt;""""),ROWS(FILTER(C$4:C558,C$4:C558&lt;&gt;""""))),$AC$5+E559))"),"")</f>
        <v/>
      </c>
      <c r="G559" s="10" t="str">
        <f>IFERROR(__xludf.DUMMYFUNCTION("IF(COUNTA(C559:C1644)=0,"""",IF(C559="""",0,IF(REGEXMATCH(C559,""^Sell_""),-ROUNDDOWN(ROUNDUP(INDEX(Upgrades!$C$3:$C$13,MATCH(SUBSTITUTE(C559,""Sell_"",""""),Upgrades!$B$3:$B$13,0))*1.15^(COUNTIF(C$4:C558,SUBSTITUTE(C559,""Sell_"",""""))-COUNTIF(C$4:C558,"&amp;"""Sell_""&amp;SUBSTITUTE(C559,""Sell_"",""""))))/2),ROUNDUP(INDEX(Upgrades!$C$3:$C$13,MATCH(C559,Upgrades!$B$3:$B$13,0))*1.15^(COUNTIF(C$4:C558,C559)-COUNTIF(C$4:C558,""Sell_""&amp;C559))))))"),"")</f>
        <v/>
      </c>
      <c r="H559" s="10" t="str">
        <f t="shared" si="3"/>
        <v/>
      </c>
      <c r="I559" s="68" t="str">
        <f t="shared" si="4"/>
        <v/>
      </c>
      <c r="J559" s="59" t="str">
        <f t="shared" si="5"/>
        <v/>
      </c>
      <c r="K559" s="69" t="str">
        <f t="shared" si="6"/>
        <v/>
      </c>
      <c r="L559" s="60" t="str">
        <f t="shared" si="7"/>
        <v/>
      </c>
      <c r="M559" s="61" t="str">
        <f>IFERROR(__xludf.DUMMYFUNCTION("IFS(AND(COUNTA(C559:C1644)=0,COUNTA(Q559:Q1644)=0),"""",OR(AND(K559&gt;=1000000000,OR(Y559&gt;=1000000000,COUNTA(Q559:Q1644)=0)),OR(Y559&gt;=1000000000,AND(COUNTA(C559:C1644)=0,P$3=TRUE))),
ROUNDDOWN((AB$1-AC$1)*MAX(INDEX(T$4:T1644,MATCH(LARGE(FILTER(Y$4:Y1644,Y$4"&amp;":Y1644&lt;1000000000),1),Y$4:Y1644)),INDEX(F$4:F1644,MATCH(LARGE(FILTER(K$4:K1644,K$4:K1644&lt;1000000000),1),K$4:K1644)))),AND(K559&lt;1000000000,COUNTA(C559:C1644)&gt;0,P$3=FALSE),
ROUNDDOWN(INDEX(Y$4:Y1644,MATCH(LARGE(FILTER(W$4:W1644,W$4:W1644&lt;=I559),1),W$4:W1644"&amp;"))+(I559-LARGE(FILTER(W$4:W1644,W$4:W1644&lt;=I559),1))*INDEX(T$4:T1644,MATCH(LARGE(FILTER(W$4:W1644,W$4:W1644&lt;=I559),1),W$4:W1644))-K559),1,
ROUNDDOWN(Y559-INDEX(K$4:K1644,MATCH(LARGE(FILTER(I$4:I1644,I$4:I1644&lt;=W559),1),I$4:I1644))-(W559-LARGE(FILTER(I$4:I"&amp;"1644,I$4:I1644&lt;=W559),1))*INDEX(F$4:F1644,MATCH(LARGE(FILTER(I$4:I1644,I$4:I1644&lt;=W559),1),I$4:I1644))))"),"")</f>
        <v/>
      </c>
      <c r="N559" s="60" t="str">
        <f t="shared" si="8"/>
        <v/>
      </c>
      <c r="O559" s="61" t="str">
        <f t="shared" si="9"/>
        <v/>
      </c>
      <c r="P559" s="56" t="str">
        <f t="shared" si="10"/>
        <v/>
      </c>
      <c r="Q559" s="105"/>
      <c r="R559" s="10"/>
      <c r="S559" s="59" t="str">
        <f t="array" ref="S559">IF(COUNTA(Q559:Q1644)=0,"",SUM((COUNTIF(Q$4:Q559,Upgrades!$B$3:$B$13)-COUNTIF(Q$4:Q559,"Sell_"&amp;Upgrades!$B$3:$B$13))*Upgrades!$D$3:$D$13))</f>
        <v/>
      </c>
      <c r="T559" s="66" t="str">
        <f>IFERROR(__xludf.DUMMYFUNCTION("IF(COUNTA(Q559:Q1644)=0,"""",IF(REGEXMATCH(INDEX(FILTER(Q$4:Q559,Q$4:Q559&lt;&gt;""""),ROWS(FILTER(Q$4:Q559,Q$4:Q559&lt;&gt;""""))),""^Sell_""),INDEX(FILTER(T$4:T558,Q$4:Q558&lt;&gt;""""),ROWS(FILTER(Q$4:Q558,Q$4:Q558&lt;&gt;""""))),$AD$5+S559))"),"")</f>
        <v/>
      </c>
      <c r="U559" s="10" t="str">
        <f>IFERROR(__xludf.DUMMYFUNCTION("IF(COUNTA(Q559:Q1644)=0,"""",IF(Q559="""",0,IF(REGEXMATCH(Q559,""^Sell_""),-ROUNDDOWN(ROUNDUP(INDEX(Upgrades!$C$3:$C$13,MATCH(SUBSTITUTE(Q559,""Sell_"",""""),Upgrades!$B$3:$B$13,0))*1.15^(COUNTIF(Q$4:Q558,SUBSTITUTE(Q559,""Sell_"",""""))-COUNTIF(Q$4:Q558,"&amp;"""Sell_""&amp;SUBSTITUTE(Q559,""Sell_"",""""))))/2),ROUNDUP(INDEX(Upgrades!$C$3:$C$13,MATCH(Q559,Upgrades!$B$3:$B$13,0))*1.15^(COUNTIF(Q$4:Q558,Q559)-COUNTIF(Q$4:Q558,""Sell_""&amp;Q559))))))"),"")</f>
        <v/>
      </c>
      <c r="V559" s="10" t="str">
        <f t="shared" si="11"/>
        <v/>
      </c>
      <c r="W559" s="68" t="str">
        <f t="shared" si="12"/>
        <v/>
      </c>
      <c r="X559" s="59" t="str">
        <f t="shared" si="13"/>
        <v/>
      </c>
      <c r="Y559" s="69" t="str">
        <f t="shared" si="14"/>
        <v/>
      </c>
      <c r="Z559" s="11"/>
      <c r="AG559" s="59"/>
    </row>
    <row r="560">
      <c r="A560" s="8"/>
      <c r="B560" s="56" t="str">
        <f t="shared" si="2"/>
        <v/>
      </c>
      <c r="C560" s="105"/>
      <c r="D560" s="10"/>
      <c r="E560" s="59" t="str">
        <f t="array" ref="E560">IF(COUNTA(C560:C1644)=0,"",SUM((COUNTIF(C$4:C560,Upgrades!$B$3:$B$13)-COUNTIF(C$4:C560,"Sell_"&amp;Upgrades!$B$3:$B$13))*Upgrades!$D$3:$D$13))</f>
        <v/>
      </c>
      <c r="F560" s="66" t="str">
        <f>IFERROR(__xludf.DUMMYFUNCTION("IF(COUNTA(C560:C1644)=0,"""",IF(REGEXMATCH(INDEX(FILTER(C$4:C560,C$4:C560&lt;&gt;""""),ROWS(FILTER(C$4:C560,C$4:C560&lt;&gt;""""))),""^Sell_""),INDEX(FILTER(F$4:F559,C$4:C559&lt;&gt;""""),ROWS(FILTER(C$4:C559,C$4:C559&lt;&gt;""""))),$AC$5+E560))"),"")</f>
        <v/>
      </c>
      <c r="G560" s="10" t="str">
        <f>IFERROR(__xludf.DUMMYFUNCTION("IF(COUNTA(C560:C1644)=0,"""",IF(C560="""",0,IF(REGEXMATCH(C560,""^Sell_""),-ROUNDDOWN(ROUNDUP(INDEX(Upgrades!$C$3:$C$13,MATCH(SUBSTITUTE(C560,""Sell_"",""""),Upgrades!$B$3:$B$13,0))*1.15^(COUNTIF(C$4:C559,SUBSTITUTE(C560,""Sell_"",""""))-COUNTIF(C$4:C559,"&amp;"""Sell_""&amp;SUBSTITUTE(C560,""Sell_"",""""))))/2),ROUNDUP(INDEX(Upgrades!$C$3:$C$13,MATCH(C560,Upgrades!$B$3:$B$13,0))*1.15^(COUNTIF(C$4:C559,C560)-COUNTIF(C$4:C559,""Sell_""&amp;C560))))))"),"")</f>
        <v/>
      </c>
      <c r="H560" s="10" t="str">
        <f t="shared" si="3"/>
        <v/>
      </c>
      <c r="I560" s="68" t="str">
        <f t="shared" si="4"/>
        <v/>
      </c>
      <c r="J560" s="59" t="str">
        <f t="shared" si="5"/>
        <v/>
      </c>
      <c r="K560" s="69" t="str">
        <f t="shared" si="6"/>
        <v/>
      </c>
      <c r="L560" s="60" t="str">
        <f t="shared" si="7"/>
        <v/>
      </c>
      <c r="M560" s="61" t="str">
        <f>IFERROR(__xludf.DUMMYFUNCTION("IFS(AND(COUNTA(C560:C1644)=0,COUNTA(Q560:Q1644)=0),"""",OR(AND(K560&gt;=1000000000,OR(Y560&gt;=1000000000,COUNTA(Q560:Q1644)=0)),OR(Y560&gt;=1000000000,AND(COUNTA(C560:C1644)=0,P$3=TRUE))),
ROUNDDOWN((AB$1-AC$1)*MAX(INDEX(T$4:T1644,MATCH(LARGE(FILTER(Y$4:Y1644,Y$4"&amp;":Y1644&lt;1000000000),1),Y$4:Y1644)),INDEX(F$4:F1644,MATCH(LARGE(FILTER(K$4:K1644,K$4:K1644&lt;1000000000),1),K$4:K1644)))),AND(K560&lt;1000000000,COUNTA(C560:C1644)&gt;0,P$3=FALSE),
ROUNDDOWN(INDEX(Y$4:Y1644,MATCH(LARGE(FILTER(W$4:W1644,W$4:W1644&lt;=I560),1),W$4:W1644"&amp;"))+(I560-LARGE(FILTER(W$4:W1644,W$4:W1644&lt;=I560),1))*INDEX(T$4:T1644,MATCH(LARGE(FILTER(W$4:W1644,W$4:W1644&lt;=I560),1),W$4:W1644))-K560),1,
ROUNDDOWN(Y560-INDEX(K$4:K1644,MATCH(LARGE(FILTER(I$4:I1644,I$4:I1644&lt;=W560),1),I$4:I1644))-(W560-LARGE(FILTER(I$4:I"&amp;"1644,I$4:I1644&lt;=W560),1))*INDEX(F$4:F1644,MATCH(LARGE(FILTER(I$4:I1644,I$4:I1644&lt;=W560),1),I$4:I1644))))"),"")</f>
        <v/>
      </c>
      <c r="N560" s="60" t="str">
        <f t="shared" si="8"/>
        <v/>
      </c>
      <c r="O560" s="61" t="str">
        <f t="shared" si="9"/>
        <v/>
      </c>
      <c r="P560" s="56" t="str">
        <f t="shared" si="10"/>
        <v/>
      </c>
      <c r="Q560" s="105"/>
      <c r="R560" s="10"/>
      <c r="S560" s="59" t="str">
        <f t="array" ref="S560">IF(COUNTA(Q560:Q1644)=0,"",SUM((COUNTIF(Q$4:Q560,Upgrades!$B$3:$B$13)-COUNTIF(Q$4:Q560,"Sell_"&amp;Upgrades!$B$3:$B$13))*Upgrades!$D$3:$D$13))</f>
        <v/>
      </c>
      <c r="T560" s="66" t="str">
        <f>IFERROR(__xludf.DUMMYFUNCTION("IF(COUNTA(Q560:Q1644)=0,"""",IF(REGEXMATCH(INDEX(FILTER(Q$4:Q560,Q$4:Q560&lt;&gt;""""),ROWS(FILTER(Q$4:Q560,Q$4:Q560&lt;&gt;""""))),""^Sell_""),INDEX(FILTER(T$4:T559,Q$4:Q559&lt;&gt;""""),ROWS(FILTER(Q$4:Q559,Q$4:Q559&lt;&gt;""""))),$AD$5+S560))"),"")</f>
        <v/>
      </c>
      <c r="U560" s="10" t="str">
        <f>IFERROR(__xludf.DUMMYFUNCTION("IF(COUNTA(Q560:Q1644)=0,"""",IF(Q560="""",0,IF(REGEXMATCH(Q560,""^Sell_""),-ROUNDDOWN(ROUNDUP(INDEX(Upgrades!$C$3:$C$13,MATCH(SUBSTITUTE(Q560,""Sell_"",""""),Upgrades!$B$3:$B$13,0))*1.15^(COUNTIF(Q$4:Q559,SUBSTITUTE(Q560,""Sell_"",""""))-COUNTIF(Q$4:Q559,"&amp;"""Sell_""&amp;SUBSTITUTE(Q560,""Sell_"",""""))))/2),ROUNDUP(INDEX(Upgrades!$C$3:$C$13,MATCH(Q560,Upgrades!$B$3:$B$13,0))*1.15^(COUNTIF(Q$4:Q559,Q560)-COUNTIF(Q$4:Q559,""Sell_""&amp;Q560))))))"),"")</f>
        <v/>
      </c>
      <c r="V560" s="10" t="str">
        <f t="shared" si="11"/>
        <v/>
      </c>
      <c r="W560" s="68" t="str">
        <f t="shared" si="12"/>
        <v/>
      </c>
      <c r="X560" s="59" t="str">
        <f t="shared" si="13"/>
        <v/>
      </c>
      <c r="Y560" s="69" t="str">
        <f t="shared" si="14"/>
        <v/>
      </c>
      <c r="Z560" s="11"/>
      <c r="AG560" s="59"/>
    </row>
    <row r="561">
      <c r="A561" s="8"/>
      <c r="B561" s="56" t="str">
        <f t="shared" si="2"/>
        <v/>
      </c>
      <c r="C561" s="105"/>
      <c r="D561" s="10"/>
      <c r="E561" s="59" t="str">
        <f t="array" ref="E561">IF(COUNTA(C561:C1644)=0,"",SUM((COUNTIF(C$4:C561,Upgrades!$B$3:$B$13)-COUNTIF(C$4:C561,"Sell_"&amp;Upgrades!$B$3:$B$13))*Upgrades!$D$3:$D$13))</f>
        <v/>
      </c>
      <c r="F561" s="66" t="str">
        <f>IFERROR(__xludf.DUMMYFUNCTION("IF(COUNTA(C561:C1644)=0,"""",IF(REGEXMATCH(INDEX(FILTER(C$4:C561,C$4:C561&lt;&gt;""""),ROWS(FILTER(C$4:C561,C$4:C561&lt;&gt;""""))),""^Sell_""),INDEX(FILTER(F$4:F560,C$4:C560&lt;&gt;""""),ROWS(FILTER(C$4:C560,C$4:C560&lt;&gt;""""))),$AC$5+E561))"),"")</f>
        <v/>
      </c>
      <c r="G561" s="10" t="str">
        <f>IFERROR(__xludf.DUMMYFUNCTION("IF(COUNTA(C561:C1644)=0,"""",IF(C561="""",0,IF(REGEXMATCH(C561,""^Sell_""),-ROUNDDOWN(ROUNDUP(INDEX(Upgrades!$C$3:$C$13,MATCH(SUBSTITUTE(C561,""Sell_"",""""),Upgrades!$B$3:$B$13,0))*1.15^(COUNTIF(C$4:C560,SUBSTITUTE(C561,""Sell_"",""""))-COUNTIF(C$4:C560,"&amp;"""Sell_""&amp;SUBSTITUTE(C561,""Sell_"",""""))))/2),ROUNDUP(INDEX(Upgrades!$C$3:$C$13,MATCH(C561,Upgrades!$B$3:$B$13,0))*1.15^(COUNTIF(C$4:C560,C561)-COUNTIF(C$4:C560,""Sell_""&amp;C561))))))"),"")</f>
        <v/>
      </c>
      <c r="H561" s="10" t="str">
        <f t="shared" si="3"/>
        <v/>
      </c>
      <c r="I561" s="68" t="str">
        <f t="shared" si="4"/>
        <v/>
      </c>
      <c r="J561" s="59" t="str">
        <f t="shared" si="5"/>
        <v/>
      </c>
      <c r="K561" s="69" t="str">
        <f t="shared" si="6"/>
        <v/>
      </c>
      <c r="L561" s="60" t="str">
        <f t="shared" si="7"/>
        <v/>
      </c>
      <c r="M561" s="61" t="str">
        <f>IFERROR(__xludf.DUMMYFUNCTION("IFS(AND(COUNTA(C561:C1644)=0,COUNTA(Q561:Q1644)=0),"""",OR(AND(K561&gt;=1000000000,OR(Y561&gt;=1000000000,COUNTA(Q561:Q1644)=0)),OR(Y561&gt;=1000000000,AND(COUNTA(C561:C1644)=0,P$3=TRUE))),
ROUNDDOWN((AB$1-AC$1)*MAX(INDEX(T$4:T1644,MATCH(LARGE(FILTER(Y$4:Y1644,Y$4"&amp;":Y1644&lt;1000000000),1),Y$4:Y1644)),INDEX(F$4:F1644,MATCH(LARGE(FILTER(K$4:K1644,K$4:K1644&lt;1000000000),1),K$4:K1644)))),AND(K561&lt;1000000000,COUNTA(C561:C1644)&gt;0,P$3=FALSE),
ROUNDDOWN(INDEX(Y$4:Y1644,MATCH(LARGE(FILTER(W$4:W1644,W$4:W1644&lt;=I561),1),W$4:W1644"&amp;"))+(I561-LARGE(FILTER(W$4:W1644,W$4:W1644&lt;=I561),1))*INDEX(T$4:T1644,MATCH(LARGE(FILTER(W$4:W1644,W$4:W1644&lt;=I561),1),W$4:W1644))-K561),1,
ROUNDDOWN(Y561-INDEX(K$4:K1644,MATCH(LARGE(FILTER(I$4:I1644,I$4:I1644&lt;=W561),1),I$4:I1644))-(W561-LARGE(FILTER(I$4:I"&amp;"1644,I$4:I1644&lt;=W561),1))*INDEX(F$4:F1644,MATCH(LARGE(FILTER(I$4:I1644,I$4:I1644&lt;=W561),1),I$4:I1644))))"),"")</f>
        <v/>
      </c>
      <c r="N561" s="60" t="str">
        <f t="shared" si="8"/>
        <v/>
      </c>
      <c r="O561" s="61" t="str">
        <f t="shared" si="9"/>
        <v/>
      </c>
      <c r="P561" s="56" t="str">
        <f t="shared" si="10"/>
        <v/>
      </c>
      <c r="Q561" s="105"/>
      <c r="R561" s="10"/>
      <c r="S561" s="59" t="str">
        <f t="array" ref="S561">IF(COUNTA(Q561:Q1644)=0,"",SUM((COUNTIF(Q$4:Q561,Upgrades!$B$3:$B$13)-COUNTIF(Q$4:Q561,"Sell_"&amp;Upgrades!$B$3:$B$13))*Upgrades!$D$3:$D$13))</f>
        <v/>
      </c>
      <c r="T561" s="66" t="str">
        <f>IFERROR(__xludf.DUMMYFUNCTION("IF(COUNTA(Q561:Q1644)=0,"""",IF(REGEXMATCH(INDEX(FILTER(Q$4:Q561,Q$4:Q561&lt;&gt;""""),ROWS(FILTER(Q$4:Q561,Q$4:Q561&lt;&gt;""""))),""^Sell_""),INDEX(FILTER(T$4:T560,Q$4:Q560&lt;&gt;""""),ROWS(FILTER(Q$4:Q560,Q$4:Q560&lt;&gt;""""))),$AD$5+S561))"),"")</f>
        <v/>
      </c>
      <c r="U561" s="10" t="str">
        <f>IFERROR(__xludf.DUMMYFUNCTION("IF(COUNTA(Q561:Q1644)=0,"""",IF(Q561="""",0,IF(REGEXMATCH(Q561,""^Sell_""),-ROUNDDOWN(ROUNDUP(INDEX(Upgrades!$C$3:$C$13,MATCH(SUBSTITUTE(Q561,""Sell_"",""""),Upgrades!$B$3:$B$13,0))*1.15^(COUNTIF(Q$4:Q560,SUBSTITUTE(Q561,""Sell_"",""""))-COUNTIF(Q$4:Q560,"&amp;"""Sell_""&amp;SUBSTITUTE(Q561,""Sell_"",""""))))/2),ROUNDUP(INDEX(Upgrades!$C$3:$C$13,MATCH(Q561,Upgrades!$B$3:$B$13,0))*1.15^(COUNTIF(Q$4:Q560,Q561)-COUNTIF(Q$4:Q560,""Sell_""&amp;Q561))))))"),"")</f>
        <v/>
      </c>
      <c r="V561" s="10" t="str">
        <f t="shared" si="11"/>
        <v/>
      </c>
      <c r="W561" s="68" t="str">
        <f t="shared" si="12"/>
        <v/>
      </c>
      <c r="X561" s="59" t="str">
        <f t="shared" si="13"/>
        <v/>
      </c>
      <c r="Y561" s="69" t="str">
        <f t="shared" si="14"/>
        <v/>
      </c>
      <c r="Z561" s="11"/>
      <c r="AG561" s="59"/>
    </row>
    <row r="562">
      <c r="A562" s="8"/>
      <c r="B562" s="56" t="str">
        <f t="shared" si="2"/>
        <v/>
      </c>
      <c r="C562" s="105"/>
      <c r="D562" s="10"/>
      <c r="E562" s="59" t="str">
        <f t="array" ref="E562">IF(COUNTA(C562:C1644)=0,"",SUM((COUNTIF(C$4:C562,Upgrades!$B$3:$B$13)-COUNTIF(C$4:C562,"Sell_"&amp;Upgrades!$B$3:$B$13))*Upgrades!$D$3:$D$13))</f>
        <v/>
      </c>
      <c r="F562" s="66" t="str">
        <f>IFERROR(__xludf.DUMMYFUNCTION("IF(COUNTA(C562:C1644)=0,"""",IF(REGEXMATCH(INDEX(FILTER(C$4:C562,C$4:C562&lt;&gt;""""),ROWS(FILTER(C$4:C562,C$4:C562&lt;&gt;""""))),""^Sell_""),INDEX(FILTER(F$4:F561,C$4:C561&lt;&gt;""""),ROWS(FILTER(C$4:C561,C$4:C561&lt;&gt;""""))),$AC$5+E562))"),"")</f>
        <v/>
      </c>
      <c r="G562" s="10" t="str">
        <f>IFERROR(__xludf.DUMMYFUNCTION("IF(COUNTA(C562:C1644)=0,"""",IF(C562="""",0,IF(REGEXMATCH(C562,""^Sell_""),-ROUNDDOWN(ROUNDUP(INDEX(Upgrades!$C$3:$C$13,MATCH(SUBSTITUTE(C562,""Sell_"",""""),Upgrades!$B$3:$B$13,0))*1.15^(COUNTIF(C$4:C561,SUBSTITUTE(C562,""Sell_"",""""))-COUNTIF(C$4:C561,"&amp;"""Sell_""&amp;SUBSTITUTE(C562,""Sell_"",""""))))/2),ROUNDUP(INDEX(Upgrades!$C$3:$C$13,MATCH(C562,Upgrades!$B$3:$B$13,0))*1.15^(COUNTIF(C$4:C561,C562)-COUNTIF(C$4:C561,""Sell_""&amp;C562))))))"),"")</f>
        <v/>
      </c>
      <c r="H562" s="10" t="str">
        <f t="shared" si="3"/>
        <v/>
      </c>
      <c r="I562" s="68" t="str">
        <f t="shared" si="4"/>
        <v/>
      </c>
      <c r="J562" s="59" t="str">
        <f t="shared" si="5"/>
        <v/>
      </c>
      <c r="K562" s="69" t="str">
        <f t="shared" si="6"/>
        <v/>
      </c>
      <c r="L562" s="60" t="str">
        <f t="shared" si="7"/>
        <v/>
      </c>
      <c r="M562" s="61" t="str">
        <f>IFERROR(__xludf.DUMMYFUNCTION("IFS(AND(COUNTA(C562:C1644)=0,COUNTA(Q562:Q1644)=0),"""",OR(AND(K562&gt;=1000000000,OR(Y562&gt;=1000000000,COUNTA(Q562:Q1644)=0)),OR(Y562&gt;=1000000000,AND(COUNTA(C562:C1644)=0,P$3=TRUE))),
ROUNDDOWN((AB$1-AC$1)*MAX(INDEX(T$4:T1644,MATCH(LARGE(FILTER(Y$4:Y1644,Y$4"&amp;":Y1644&lt;1000000000),1),Y$4:Y1644)),INDEX(F$4:F1644,MATCH(LARGE(FILTER(K$4:K1644,K$4:K1644&lt;1000000000),1),K$4:K1644)))),AND(K562&lt;1000000000,COUNTA(C562:C1644)&gt;0,P$3=FALSE),
ROUNDDOWN(INDEX(Y$4:Y1644,MATCH(LARGE(FILTER(W$4:W1644,W$4:W1644&lt;=I562),1),W$4:W1644"&amp;"))+(I562-LARGE(FILTER(W$4:W1644,W$4:W1644&lt;=I562),1))*INDEX(T$4:T1644,MATCH(LARGE(FILTER(W$4:W1644,W$4:W1644&lt;=I562),1),W$4:W1644))-K562),1,
ROUNDDOWN(Y562-INDEX(K$4:K1644,MATCH(LARGE(FILTER(I$4:I1644,I$4:I1644&lt;=W562),1),I$4:I1644))-(W562-LARGE(FILTER(I$4:I"&amp;"1644,I$4:I1644&lt;=W562),1))*INDEX(F$4:F1644,MATCH(LARGE(FILTER(I$4:I1644,I$4:I1644&lt;=W562),1),I$4:I1644))))"),"")</f>
        <v/>
      </c>
      <c r="N562" s="60" t="str">
        <f t="shared" si="8"/>
        <v/>
      </c>
      <c r="O562" s="61" t="str">
        <f t="shared" si="9"/>
        <v/>
      </c>
      <c r="P562" s="56" t="str">
        <f t="shared" si="10"/>
        <v/>
      </c>
      <c r="Q562" s="105"/>
      <c r="R562" s="10"/>
      <c r="S562" s="59" t="str">
        <f t="array" ref="S562">IF(COUNTA(Q562:Q1644)=0,"",SUM((COUNTIF(Q$4:Q562,Upgrades!$B$3:$B$13)-COUNTIF(Q$4:Q562,"Sell_"&amp;Upgrades!$B$3:$B$13))*Upgrades!$D$3:$D$13))</f>
        <v/>
      </c>
      <c r="T562" s="66" t="str">
        <f>IFERROR(__xludf.DUMMYFUNCTION("IF(COUNTA(Q562:Q1644)=0,"""",IF(REGEXMATCH(INDEX(FILTER(Q$4:Q562,Q$4:Q562&lt;&gt;""""),ROWS(FILTER(Q$4:Q562,Q$4:Q562&lt;&gt;""""))),""^Sell_""),INDEX(FILTER(T$4:T561,Q$4:Q561&lt;&gt;""""),ROWS(FILTER(Q$4:Q561,Q$4:Q561&lt;&gt;""""))),$AD$5+S562))"),"")</f>
        <v/>
      </c>
      <c r="U562" s="10" t="str">
        <f>IFERROR(__xludf.DUMMYFUNCTION("IF(COUNTA(Q562:Q1644)=0,"""",IF(Q562="""",0,IF(REGEXMATCH(Q562,""^Sell_""),-ROUNDDOWN(ROUNDUP(INDEX(Upgrades!$C$3:$C$13,MATCH(SUBSTITUTE(Q562,""Sell_"",""""),Upgrades!$B$3:$B$13,0))*1.15^(COUNTIF(Q$4:Q561,SUBSTITUTE(Q562,""Sell_"",""""))-COUNTIF(Q$4:Q561,"&amp;"""Sell_""&amp;SUBSTITUTE(Q562,""Sell_"",""""))))/2),ROUNDUP(INDEX(Upgrades!$C$3:$C$13,MATCH(Q562,Upgrades!$B$3:$B$13,0))*1.15^(COUNTIF(Q$4:Q561,Q562)-COUNTIF(Q$4:Q561,""Sell_""&amp;Q562))))))"),"")</f>
        <v/>
      </c>
      <c r="V562" s="10" t="str">
        <f t="shared" si="11"/>
        <v/>
      </c>
      <c r="W562" s="68" t="str">
        <f t="shared" si="12"/>
        <v/>
      </c>
      <c r="X562" s="59" t="str">
        <f t="shared" si="13"/>
        <v/>
      </c>
      <c r="Y562" s="69" t="str">
        <f t="shared" si="14"/>
        <v/>
      </c>
      <c r="Z562" s="11"/>
      <c r="AG562" s="59"/>
    </row>
    <row r="563">
      <c r="A563" s="8"/>
      <c r="B563" s="56" t="str">
        <f t="shared" si="2"/>
        <v/>
      </c>
      <c r="C563" s="105"/>
      <c r="D563" s="10"/>
      <c r="E563" s="59" t="str">
        <f t="array" ref="E563">IF(COUNTA(C563:C1644)=0,"",SUM((COUNTIF(C$4:C563,Upgrades!$B$3:$B$13)-COUNTIF(C$4:C563,"Sell_"&amp;Upgrades!$B$3:$B$13))*Upgrades!$D$3:$D$13))</f>
        <v/>
      </c>
      <c r="F563" s="66" t="str">
        <f>IFERROR(__xludf.DUMMYFUNCTION("IF(COUNTA(C563:C1644)=0,"""",IF(REGEXMATCH(INDEX(FILTER(C$4:C563,C$4:C563&lt;&gt;""""),ROWS(FILTER(C$4:C563,C$4:C563&lt;&gt;""""))),""^Sell_""),INDEX(FILTER(F$4:F562,C$4:C562&lt;&gt;""""),ROWS(FILTER(C$4:C562,C$4:C562&lt;&gt;""""))),$AC$5+E563))"),"")</f>
        <v/>
      </c>
      <c r="G563" s="10" t="str">
        <f>IFERROR(__xludf.DUMMYFUNCTION("IF(COUNTA(C563:C1644)=0,"""",IF(C563="""",0,IF(REGEXMATCH(C563,""^Sell_""),-ROUNDDOWN(ROUNDUP(INDEX(Upgrades!$C$3:$C$13,MATCH(SUBSTITUTE(C563,""Sell_"",""""),Upgrades!$B$3:$B$13,0))*1.15^(COUNTIF(C$4:C562,SUBSTITUTE(C563,""Sell_"",""""))-COUNTIF(C$4:C562,"&amp;"""Sell_""&amp;SUBSTITUTE(C563,""Sell_"",""""))))/2),ROUNDUP(INDEX(Upgrades!$C$3:$C$13,MATCH(C563,Upgrades!$B$3:$B$13,0))*1.15^(COUNTIF(C$4:C562,C563)-COUNTIF(C$4:C562,""Sell_""&amp;C563))))))"),"")</f>
        <v/>
      </c>
      <c r="H563" s="10" t="str">
        <f t="shared" si="3"/>
        <v/>
      </c>
      <c r="I563" s="68" t="str">
        <f t="shared" si="4"/>
        <v/>
      </c>
      <c r="J563" s="59" t="str">
        <f t="shared" si="5"/>
        <v/>
      </c>
      <c r="K563" s="69" t="str">
        <f t="shared" si="6"/>
        <v/>
      </c>
      <c r="L563" s="60" t="str">
        <f t="shared" si="7"/>
        <v/>
      </c>
      <c r="M563" s="61" t="str">
        <f>IFERROR(__xludf.DUMMYFUNCTION("IFS(AND(COUNTA(C563:C1644)=0,COUNTA(Q563:Q1644)=0),"""",OR(AND(K563&gt;=1000000000,OR(Y563&gt;=1000000000,COUNTA(Q563:Q1644)=0)),OR(Y563&gt;=1000000000,AND(COUNTA(C563:C1644)=0,P$3=TRUE))),
ROUNDDOWN((AB$1-AC$1)*MAX(INDEX(T$4:T1644,MATCH(LARGE(FILTER(Y$4:Y1644,Y$4"&amp;":Y1644&lt;1000000000),1),Y$4:Y1644)),INDEX(F$4:F1644,MATCH(LARGE(FILTER(K$4:K1644,K$4:K1644&lt;1000000000),1),K$4:K1644)))),AND(K563&lt;1000000000,COUNTA(C563:C1644)&gt;0,P$3=FALSE),
ROUNDDOWN(INDEX(Y$4:Y1644,MATCH(LARGE(FILTER(W$4:W1644,W$4:W1644&lt;=I563),1),W$4:W1644"&amp;"))+(I563-LARGE(FILTER(W$4:W1644,W$4:W1644&lt;=I563),1))*INDEX(T$4:T1644,MATCH(LARGE(FILTER(W$4:W1644,W$4:W1644&lt;=I563),1),W$4:W1644))-K563),1,
ROUNDDOWN(Y563-INDEX(K$4:K1644,MATCH(LARGE(FILTER(I$4:I1644,I$4:I1644&lt;=W563),1),I$4:I1644))-(W563-LARGE(FILTER(I$4:I"&amp;"1644,I$4:I1644&lt;=W563),1))*INDEX(F$4:F1644,MATCH(LARGE(FILTER(I$4:I1644,I$4:I1644&lt;=W563),1),I$4:I1644))))"),"")</f>
        <v/>
      </c>
      <c r="N563" s="60" t="str">
        <f t="shared" si="8"/>
        <v/>
      </c>
      <c r="O563" s="61" t="str">
        <f t="shared" si="9"/>
        <v/>
      </c>
      <c r="P563" s="56" t="str">
        <f t="shared" si="10"/>
        <v/>
      </c>
      <c r="Q563" s="105"/>
      <c r="R563" s="10"/>
      <c r="S563" s="59" t="str">
        <f t="array" ref="S563">IF(COUNTA(Q563:Q1644)=0,"",SUM((COUNTIF(Q$4:Q563,Upgrades!$B$3:$B$13)-COUNTIF(Q$4:Q563,"Sell_"&amp;Upgrades!$B$3:$B$13))*Upgrades!$D$3:$D$13))</f>
        <v/>
      </c>
      <c r="T563" s="66" t="str">
        <f>IFERROR(__xludf.DUMMYFUNCTION("IF(COUNTA(Q563:Q1644)=0,"""",IF(REGEXMATCH(INDEX(FILTER(Q$4:Q563,Q$4:Q563&lt;&gt;""""),ROWS(FILTER(Q$4:Q563,Q$4:Q563&lt;&gt;""""))),""^Sell_""),INDEX(FILTER(T$4:T562,Q$4:Q562&lt;&gt;""""),ROWS(FILTER(Q$4:Q562,Q$4:Q562&lt;&gt;""""))),$AD$5+S563))"),"")</f>
        <v/>
      </c>
      <c r="U563" s="10" t="str">
        <f>IFERROR(__xludf.DUMMYFUNCTION("IF(COUNTA(Q563:Q1644)=0,"""",IF(Q563="""",0,IF(REGEXMATCH(Q563,""^Sell_""),-ROUNDDOWN(ROUNDUP(INDEX(Upgrades!$C$3:$C$13,MATCH(SUBSTITUTE(Q563,""Sell_"",""""),Upgrades!$B$3:$B$13,0))*1.15^(COUNTIF(Q$4:Q562,SUBSTITUTE(Q563,""Sell_"",""""))-COUNTIF(Q$4:Q562,"&amp;"""Sell_""&amp;SUBSTITUTE(Q563,""Sell_"",""""))))/2),ROUNDUP(INDEX(Upgrades!$C$3:$C$13,MATCH(Q563,Upgrades!$B$3:$B$13,0))*1.15^(COUNTIF(Q$4:Q562,Q563)-COUNTIF(Q$4:Q562,""Sell_""&amp;Q563))))))"),"")</f>
        <v/>
      </c>
      <c r="V563" s="10" t="str">
        <f t="shared" si="11"/>
        <v/>
      </c>
      <c r="W563" s="68" t="str">
        <f t="shared" si="12"/>
        <v/>
      </c>
      <c r="X563" s="59" t="str">
        <f t="shared" si="13"/>
        <v/>
      </c>
      <c r="Y563" s="69" t="str">
        <f t="shared" si="14"/>
        <v/>
      </c>
      <c r="Z563" s="11"/>
      <c r="AG563" s="59"/>
    </row>
    <row r="564">
      <c r="A564" s="8"/>
      <c r="B564" s="56" t="str">
        <f t="shared" si="2"/>
        <v/>
      </c>
      <c r="C564" s="105"/>
      <c r="D564" s="10"/>
      <c r="E564" s="59" t="str">
        <f t="array" ref="E564">IF(COUNTA(C564:C1644)=0,"",SUM((COUNTIF(C$4:C564,Upgrades!$B$3:$B$13)-COUNTIF(C$4:C564,"Sell_"&amp;Upgrades!$B$3:$B$13))*Upgrades!$D$3:$D$13))</f>
        <v/>
      </c>
      <c r="F564" s="66" t="str">
        <f>IFERROR(__xludf.DUMMYFUNCTION("IF(COUNTA(C564:C1644)=0,"""",IF(REGEXMATCH(INDEX(FILTER(C$4:C564,C$4:C564&lt;&gt;""""),ROWS(FILTER(C$4:C564,C$4:C564&lt;&gt;""""))),""^Sell_""),INDEX(FILTER(F$4:F563,C$4:C563&lt;&gt;""""),ROWS(FILTER(C$4:C563,C$4:C563&lt;&gt;""""))),$AC$5+E564))"),"")</f>
        <v/>
      </c>
      <c r="G564" s="10" t="str">
        <f>IFERROR(__xludf.DUMMYFUNCTION("IF(COUNTA(C564:C1644)=0,"""",IF(C564="""",0,IF(REGEXMATCH(C564,""^Sell_""),-ROUNDDOWN(ROUNDUP(INDEX(Upgrades!$C$3:$C$13,MATCH(SUBSTITUTE(C564,""Sell_"",""""),Upgrades!$B$3:$B$13,0))*1.15^(COUNTIF(C$4:C563,SUBSTITUTE(C564,""Sell_"",""""))-COUNTIF(C$4:C563,"&amp;"""Sell_""&amp;SUBSTITUTE(C564,""Sell_"",""""))))/2),ROUNDUP(INDEX(Upgrades!$C$3:$C$13,MATCH(C564,Upgrades!$B$3:$B$13,0))*1.15^(COUNTIF(C$4:C563,C564)-COUNTIF(C$4:C563,""Sell_""&amp;C564))))))"),"")</f>
        <v/>
      </c>
      <c r="H564" s="10" t="str">
        <f t="shared" si="3"/>
        <v/>
      </c>
      <c r="I564" s="68" t="str">
        <f t="shared" si="4"/>
        <v/>
      </c>
      <c r="J564" s="59" t="str">
        <f t="shared" si="5"/>
        <v/>
      </c>
      <c r="K564" s="69" t="str">
        <f t="shared" si="6"/>
        <v/>
      </c>
      <c r="L564" s="60" t="str">
        <f t="shared" si="7"/>
        <v/>
      </c>
      <c r="M564" s="61" t="str">
        <f>IFERROR(__xludf.DUMMYFUNCTION("IFS(AND(COUNTA(C564:C1644)=0,COUNTA(Q564:Q1644)=0),"""",OR(AND(K564&gt;=1000000000,OR(Y564&gt;=1000000000,COUNTA(Q564:Q1644)=0)),OR(Y564&gt;=1000000000,AND(COUNTA(C564:C1644)=0,P$3=TRUE))),
ROUNDDOWN((AB$1-AC$1)*MAX(INDEX(T$4:T1644,MATCH(LARGE(FILTER(Y$4:Y1644,Y$4"&amp;":Y1644&lt;1000000000),1),Y$4:Y1644)),INDEX(F$4:F1644,MATCH(LARGE(FILTER(K$4:K1644,K$4:K1644&lt;1000000000),1),K$4:K1644)))),AND(K564&lt;1000000000,COUNTA(C564:C1644)&gt;0,P$3=FALSE),
ROUNDDOWN(INDEX(Y$4:Y1644,MATCH(LARGE(FILTER(W$4:W1644,W$4:W1644&lt;=I564),1),W$4:W1644"&amp;"))+(I564-LARGE(FILTER(W$4:W1644,W$4:W1644&lt;=I564),1))*INDEX(T$4:T1644,MATCH(LARGE(FILTER(W$4:W1644,W$4:W1644&lt;=I564),1),W$4:W1644))-K564),1,
ROUNDDOWN(Y564-INDEX(K$4:K1644,MATCH(LARGE(FILTER(I$4:I1644,I$4:I1644&lt;=W564),1),I$4:I1644))-(W564-LARGE(FILTER(I$4:I"&amp;"1644,I$4:I1644&lt;=W564),1))*INDEX(F$4:F1644,MATCH(LARGE(FILTER(I$4:I1644,I$4:I1644&lt;=W564),1),I$4:I1644))))"),"")</f>
        <v/>
      </c>
      <c r="N564" s="60" t="str">
        <f t="shared" si="8"/>
        <v/>
      </c>
      <c r="O564" s="61" t="str">
        <f t="shared" si="9"/>
        <v/>
      </c>
      <c r="P564" s="56" t="str">
        <f t="shared" si="10"/>
        <v/>
      </c>
      <c r="Q564" s="105"/>
      <c r="R564" s="10"/>
      <c r="S564" s="59" t="str">
        <f t="array" ref="S564">IF(COUNTA(Q564:Q1644)=0,"",SUM((COUNTIF(Q$4:Q564,Upgrades!$B$3:$B$13)-COUNTIF(Q$4:Q564,"Sell_"&amp;Upgrades!$B$3:$B$13))*Upgrades!$D$3:$D$13))</f>
        <v/>
      </c>
      <c r="T564" s="66" t="str">
        <f>IFERROR(__xludf.DUMMYFUNCTION("IF(COUNTA(Q564:Q1644)=0,"""",IF(REGEXMATCH(INDEX(FILTER(Q$4:Q564,Q$4:Q564&lt;&gt;""""),ROWS(FILTER(Q$4:Q564,Q$4:Q564&lt;&gt;""""))),""^Sell_""),INDEX(FILTER(T$4:T563,Q$4:Q563&lt;&gt;""""),ROWS(FILTER(Q$4:Q563,Q$4:Q563&lt;&gt;""""))),$AD$5+S564))"),"")</f>
        <v/>
      </c>
      <c r="U564" s="10" t="str">
        <f>IFERROR(__xludf.DUMMYFUNCTION("IF(COUNTA(Q564:Q1644)=0,"""",IF(Q564="""",0,IF(REGEXMATCH(Q564,""^Sell_""),-ROUNDDOWN(ROUNDUP(INDEX(Upgrades!$C$3:$C$13,MATCH(SUBSTITUTE(Q564,""Sell_"",""""),Upgrades!$B$3:$B$13,0))*1.15^(COUNTIF(Q$4:Q563,SUBSTITUTE(Q564,""Sell_"",""""))-COUNTIF(Q$4:Q563,"&amp;"""Sell_""&amp;SUBSTITUTE(Q564,""Sell_"",""""))))/2),ROUNDUP(INDEX(Upgrades!$C$3:$C$13,MATCH(Q564,Upgrades!$B$3:$B$13,0))*1.15^(COUNTIF(Q$4:Q563,Q564)-COUNTIF(Q$4:Q563,""Sell_""&amp;Q564))))))"),"")</f>
        <v/>
      </c>
      <c r="V564" s="10" t="str">
        <f t="shared" si="11"/>
        <v/>
      </c>
      <c r="W564" s="68" t="str">
        <f t="shared" si="12"/>
        <v/>
      </c>
      <c r="X564" s="59" t="str">
        <f t="shared" si="13"/>
        <v/>
      </c>
      <c r="Y564" s="69" t="str">
        <f t="shared" si="14"/>
        <v/>
      </c>
      <c r="Z564" s="11"/>
      <c r="AG564" s="59"/>
    </row>
    <row r="565">
      <c r="A565" s="8"/>
      <c r="B565" s="56" t="str">
        <f t="shared" si="2"/>
        <v/>
      </c>
      <c r="C565" s="105"/>
      <c r="D565" s="10"/>
      <c r="E565" s="59" t="str">
        <f t="array" ref="E565">IF(COUNTA(C565:C1644)=0,"",SUM((COUNTIF(C$4:C565,Upgrades!$B$3:$B$13)-COUNTIF(C$4:C565,"Sell_"&amp;Upgrades!$B$3:$B$13))*Upgrades!$D$3:$D$13))</f>
        <v/>
      </c>
      <c r="F565" s="66" t="str">
        <f>IFERROR(__xludf.DUMMYFUNCTION("IF(COUNTA(C565:C1644)=0,"""",IF(REGEXMATCH(INDEX(FILTER(C$4:C565,C$4:C565&lt;&gt;""""),ROWS(FILTER(C$4:C565,C$4:C565&lt;&gt;""""))),""^Sell_""),INDEX(FILTER(F$4:F564,C$4:C564&lt;&gt;""""),ROWS(FILTER(C$4:C564,C$4:C564&lt;&gt;""""))),$AC$5+E565))"),"")</f>
        <v/>
      </c>
      <c r="G565" s="10" t="str">
        <f>IFERROR(__xludf.DUMMYFUNCTION("IF(COUNTA(C565:C1644)=0,"""",IF(C565="""",0,IF(REGEXMATCH(C565,""^Sell_""),-ROUNDDOWN(ROUNDUP(INDEX(Upgrades!$C$3:$C$13,MATCH(SUBSTITUTE(C565,""Sell_"",""""),Upgrades!$B$3:$B$13,0))*1.15^(COUNTIF(C$4:C564,SUBSTITUTE(C565,""Sell_"",""""))-COUNTIF(C$4:C564,"&amp;"""Sell_""&amp;SUBSTITUTE(C565,""Sell_"",""""))))/2),ROUNDUP(INDEX(Upgrades!$C$3:$C$13,MATCH(C565,Upgrades!$B$3:$B$13,0))*1.15^(COUNTIF(C$4:C564,C565)-COUNTIF(C$4:C564,""Sell_""&amp;C565))))))"),"")</f>
        <v/>
      </c>
      <c r="H565" s="10" t="str">
        <f t="shared" si="3"/>
        <v/>
      </c>
      <c r="I565" s="68" t="str">
        <f t="shared" si="4"/>
        <v/>
      </c>
      <c r="J565" s="59" t="str">
        <f t="shared" si="5"/>
        <v/>
      </c>
      <c r="K565" s="69" t="str">
        <f t="shared" si="6"/>
        <v/>
      </c>
      <c r="L565" s="60" t="str">
        <f t="shared" si="7"/>
        <v/>
      </c>
      <c r="M565" s="61" t="str">
        <f>IFERROR(__xludf.DUMMYFUNCTION("IFS(AND(COUNTA(C565:C1644)=0,COUNTA(Q565:Q1644)=0),"""",OR(AND(K565&gt;=1000000000,OR(Y565&gt;=1000000000,COUNTA(Q565:Q1644)=0)),OR(Y565&gt;=1000000000,AND(COUNTA(C565:C1644)=0,P$3=TRUE))),
ROUNDDOWN((AB$1-AC$1)*MAX(INDEX(T$4:T1644,MATCH(LARGE(FILTER(Y$4:Y1644,Y$4"&amp;":Y1644&lt;1000000000),1),Y$4:Y1644)),INDEX(F$4:F1644,MATCH(LARGE(FILTER(K$4:K1644,K$4:K1644&lt;1000000000),1),K$4:K1644)))),AND(K565&lt;1000000000,COUNTA(C565:C1644)&gt;0,P$3=FALSE),
ROUNDDOWN(INDEX(Y$4:Y1644,MATCH(LARGE(FILTER(W$4:W1644,W$4:W1644&lt;=I565),1),W$4:W1644"&amp;"))+(I565-LARGE(FILTER(W$4:W1644,W$4:W1644&lt;=I565),1))*INDEX(T$4:T1644,MATCH(LARGE(FILTER(W$4:W1644,W$4:W1644&lt;=I565),1),W$4:W1644))-K565),1,
ROUNDDOWN(Y565-INDEX(K$4:K1644,MATCH(LARGE(FILTER(I$4:I1644,I$4:I1644&lt;=W565),1),I$4:I1644))-(W565-LARGE(FILTER(I$4:I"&amp;"1644,I$4:I1644&lt;=W565),1))*INDEX(F$4:F1644,MATCH(LARGE(FILTER(I$4:I1644,I$4:I1644&lt;=W565),1),I$4:I1644))))"),"")</f>
        <v/>
      </c>
      <c r="N565" s="60" t="str">
        <f t="shared" si="8"/>
        <v/>
      </c>
      <c r="O565" s="61" t="str">
        <f t="shared" si="9"/>
        <v/>
      </c>
      <c r="P565" s="56" t="str">
        <f t="shared" si="10"/>
        <v/>
      </c>
      <c r="Q565" s="105"/>
      <c r="R565" s="10"/>
      <c r="S565" s="59" t="str">
        <f t="array" ref="S565">IF(COUNTA(Q565:Q1644)=0,"",SUM((COUNTIF(Q$4:Q565,Upgrades!$B$3:$B$13)-COUNTIF(Q$4:Q565,"Sell_"&amp;Upgrades!$B$3:$B$13))*Upgrades!$D$3:$D$13))</f>
        <v/>
      </c>
      <c r="T565" s="66" t="str">
        <f>IFERROR(__xludf.DUMMYFUNCTION("IF(COUNTA(Q565:Q1644)=0,"""",IF(REGEXMATCH(INDEX(FILTER(Q$4:Q565,Q$4:Q565&lt;&gt;""""),ROWS(FILTER(Q$4:Q565,Q$4:Q565&lt;&gt;""""))),""^Sell_""),INDEX(FILTER(T$4:T564,Q$4:Q564&lt;&gt;""""),ROWS(FILTER(Q$4:Q564,Q$4:Q564&lt;&gt;""""))),$AD$5+S565))"),"")</f>
        <v/>
      </c>
      <c r="U565" s="10" t="str">
        <f>IFERROR(__xludf.DUMMYFUNCTION("IF(COUNTA(Q565:Q1644)=0,"""",IF(Q565="""",0,IF(REGEXMATCH(Q565,""^Sell_""),-ROUNDDOWN(ROUNDUP(INDEX(Upgrades!$C$3:$C$13,MATCH(SUBSTITUTE(Q565,""Sell_"",""""),Upgrades!$B$3:$B$13,0))*1.15^(COUNTIF(Q$4:Q564,SUBSTITUTE(Q565,""Sell_"",""""))-COUNTIF(Q$4:Q564,"&amp;"""Sell_""&amp;SUBSTITUTE(Q565,""Sell_"",""""))))/2),ROUNDUP(INDEX(Upgrades!$C$3:$C$13,MATCH(Q565,Upgrades!$B$3:$B$13,0))*1.15^(COUNTIF(Q$4:Q564,Q565)-COUNTIF(Q$4:Q564,""Sell_""&amp;Q565))))))"),"")</f>
        <v/>
      </c>
      <c r="V565" s="10" t="str">
        <f t="shared" si="11"/>
        <v/>
      </c>
      <c r="W565" s="68" t="str">
        <f t="shared" si="12"/>
        <v/>
      </c>
      <c r="X565" s="59" t="str">
        <f t="shared" si="13"/>
        <v/>
      </c>
      <c r="Y565" s="69" t="str">
        <f t="shared" si="14"/>
        <v/>
      </c>
      <c r="Z565" s="11"/>
      <c r="AG565" s="59"/>
    </row>
    <row r="566">
      <c r="A566" s="8"/>
      <c r="B566" s="56" t="str">
        <f t="shared" si="2"/>
        <v/>
      </c>
      <c r="C566" s="105"/>
      <c r="D566" s="10"/>
      <c r="E566" s="59" t="str">
        <f t="array" ref="E566">IF(COUNTA(C566:C1644)=0,"",SUM((COUNTIF(C$4:C566,Upgrades!$B$3:$B$13)-COUNTIF(C$4:C566,"Sell_"&amp;Upgrades!$B$3:$B$13))*Upgrades!$D$3:$D$13))</f>
        <v/>
      </c>
      <c r="F566" s="66" t="str">
        <f>IFERROR(__xludf.DUMMYFUNCTION("IF(COUNTA(C566:C1644)=0,"""",IF(REGEXMATCH(INDEX(FILTER(C$4:C566,C$4:C566&lt;&gt;""""),ROWS(FILTER(C$4:C566,C$4:C566&lt;&gt;""""))),""^Sell_""),INDEX(FILTER(F$4:F565,C$4:C565&lt;&gt;""""),ROWS(FILTER(C$4:C565,C$4:C565&lt;&gt;""""))),$AC$5+E566))"),"")</f>
        <v/>
      </c>
      <c r="G566" s="10" t="str">
        <f>IFERROR(__xludf.DUMMYFUNCTION("IF(COUNTA(C566:C1644)=0,"""",IF(C566="""",0,IF(REGEXMATCH(C566,""^Sell_""),-ROUNDDOWN(ROUNDUP(INDEX(Upgrades!$C$3:$C$13,MATCH(SUBSTITUTE(C566,""Sell_"",""""),Upgrades!$B$3:$B$13,0))*1.15^(COUNTIF(C$4:C565,SUBSTITUTE(C566,""Sell_"",""""))-COUNTIF(C$4:C565,"&amp;"""Sell_""&amp;SUBSTITUTE(C566,""Sell_"",""""))))/2),ROUNDUP(INDEX(Upgrades!$C$3:$C$13,MATCH(C566,Upgrades!$B$3:$B$13,0))*1.15^(COUNTIF(C$4:C565,C566)-COUNTIF(C$4:C565,""Sell_""&amp;C566))))))"),"")</f>
        <v/>
      </c>
      <c r="H566" s="10" t="str">
        <f t="shared" si="3"/>
        <v/>
      </c>
      <c r="I566" s="68" t="str">
        <f t="shared" si="4"/>
        <v/>
      </c>
      <c r="J566" s="59" t="str">
        <f t="shared" si="5"/>
        <v/>
      </c>
      <c r="K566" s="69" t="str">
        <f t="shared" si="6"/>
        <v/>
      </c>
      <c r="L566" s="60" t="str">
        <f t="shared" si="7"/>
        <v/>
      </c>
      <c r="M566" s="61" t="str">
        <f>IFERROR(__xludf.DUMMYFUNCTION("IFS(AND(COUNTA(C566:C1644)=0,COUNTA(Q566:Q1644)=0),"""",OR(AND(K566&gt;=1000000000,OR(Y566&gt;=1000000000,COUNTA(Q566:Q1644)=0)),OR(Y566&gt;=1000000000,AND(COUNTA(C566:C1644)=0,P$3=TRUE))),
ROUNDDOWN((AB$1-AC$1)*MAX(INDEX(T$4:T1644,MATCH(LARGE(FILTER(Y$4:Y1644,Y$4"&amp;":Y1644&lt;1000000000),1),Y$4:Y1644)),INDEX(F$4:F1644,MATCH(LARGE(FILTER(K$4:K1644,K$4:K1644&lt;1000000000),1),K$4:K1644)))),AND(K566&lt;1000000000,COUNTA(C566:C1644)&gt;0,P$3=FALSE),
ROUNDDOWN(INDEX(Y$4:Y1644,MATCH(LARGE(FILTER(W$4:W1644,W$4:W1644&lt;=I566),1),W$4:W1644"&amp;"))+(I566-LARGE(FILTER(W$4:W1644,W$4:W1644&lt;=I566),1))*INDEX(T$4:T1644,MATCH(LARGE(FILTER(W$4:W1644,W$4:W1644&lt;=I566),1),W$4:W1644))-K566),1,
ROUNDDOWN(Y566-INDEX(K$4:K1644,MATCH(LARGE(FILTER(I$4:I1644,I$4:I1644&lt;=W566),1),I$4:I1644))-(W566-LARGE(FILTER(I$4:I"&amp;"1644,I$4:I1644&lt;=W566),1))*INDEX(F$4:F1644,MATCH(LARGE(FILTER(I$4:I1644,I$4:I1644&lt;=W566),1),I$4:I1644))))"),"")</f>
        <v/>
      </c>
      <c r="N566" s="60" t="str">
        <f t="shared" si="8"/>
        <v/>
      </c>
      <c r="O566" s="61" t="str">
        <f t="shared" si="9"/>
        <v/>
      </c>
      <c r="P566" s="56" t="str">
        <f t="shared" si="10"/>
        <v/>
      </c>
      <c r="Q566" s="105"/>
      <c r="R566" s="10"/>
      <c r="S566" s="59" t="str">
        <f t="array" ref="S566">IF(COUNTA(Q566:Q1644)=0,"",SUM((COUNTIF(Q$4:Q566,Upgrades!$B$3:$B$13)-COUNTIF(Q$4:Q566,"Sell_"&amp;Upgrades!$B$3:$B$13))*Upgrades!$D$3:$D$13))</f>
        <v/>
      </c>
      <c r="T566" s="66" t="str">
        <f>IFERROR(__xludf.DUMMYFUNCTION("IF(COUNTA(Q566:Q1644)=0,"""",IF(REGEXMATCH(INDEX(FILTER(Q$4:Q566,Q$4:Q566&lt;&gt;""""),ROWS(FILTER(Q$4:Q566,Q$4:Q566&lt;&gt;""""))),""^Sell_""),INDEX(FILTER(T$4:T565,Q$4:Q565&lt;&gt;""""),ROWS(FILTER(Q$4:Q565,Q$4:Q565&lt;&gt;""""))),$AD$5+S566))"),"")</f>
        <v/>
      </c>
      <c r="U566" s="10" t="str">
        <f>IFERROR(__xludf.DUMMYFUNCTION("IF(COUNTA(Q566:Q1644)=0,"""",IF(Q566="""",0,IF(REGEXMATCH(Q566,""^Sell_""),-ROUNDDOWN(ROUNDUP(INDEX(Upgrades!$C$3:$C$13,MATCH(SUBSTITUTE(Q566,""Sell_"",""""),Upgrades!$B$3:$B$13,0))*1.15^(COUNTIF(Q$4:Q565,SUBSTITUTE(Q566,""Sell_"",""""))-COUNTIF(Q$4:Q565,"&amp;"""Sell_""&amp;SUBSTITUTE(Q566,""Sell_"",""""))))/2),ROUNDUP(INDEX(Upgrades!$C$3:$C$13,MATCH(Q566,Upgrades!$B$3:$B$13,0))*1.15^(COUNTIF(Q$4:Q565,Q566)-COUNTIF(Q$4:Q565,""Sell_""&amp;Q566))))))"),"")</f>
        <v/>
      </c>
      <c r="V566" s="10" t="str">
        <f t="shared" si="11"/>
        <v/>
      </c>
      <c r="W566" s="68" t="str">
        <f t="shared" si="12"/>
        <v/>
      </c>
      <c r="X566" s="59" t="str">
        <f t="shared" si="13"/>
        <v/>
      </c>
      <c r="Y566" s="69" t="str">
        <f t="shared" si="14"/>
        <v/>
      </c>
      <c r="Z566" s="11"/>
      <c r="AG566" s="59"/>
    </row>
    <row r="567">
      <c r="A567" s="8"/>
      <c r="B567" s="56" t="str">
        <f t="shared" si="2"/>
        <v/>
      </c>
      <c r="C567" s="105"/>
      <c r="D567" s="10"/>
      <c r="E567" s="59" t="str">
        <f t="array" ref="E567">IF(COUNTA(C567:C1644)=0,"",SUM((COUNTIF(C$4:C567,Upgrades!$B$3:$B$13)-COUNTIF(C$4:C567,"Sell_"&amp;Upgrades!$B$3:$B$13))*Upgrades!$D$3:$D$13))</f>
        <v/>
      </c>
      <c r="F567" s="66" t="str">
        <f>IFERROR(__xludf.DUMMYFUNCTION("IF(COUNTA(C567:C1644)=0,"""",IF(REGEXMATCH(INDEX(FILTER(C$4:C567,C$4:C567&lt;&gt;""""),ROWS(FILTER(C$4:C567,C$4:C567&lt;&gt;""""))),""^Sell_""),INDEX(FILTER(F$4:F566,C$4:C566&lt;&gt;""""),ROWS(FILTER(C$4:C566,C$4:C566&lt;&gt;""""))),$AC$5+E567))"),"")</f>
        <v/>
      </c>
      <c r="G567" s="10" t="str">
        <f>IFERROR(__xludf.DUMMYFUNCTION("IF(COUNTA(C567:C1644)=0,"""",IF(C567="""",0,IF(REGEXMATCH(C567,""^Sell_""),-ROUNDDOWN(ROUNDUP(INDEX(Upgrades!$C$3:$C$13,MATCH(SUBSTITUTE(C567,""Sell_"",""""),Upgrades!$B$3:$B$13,0))*1.15^(COUNTIF(C$4:C566,SUBSTITUTE(C567,""Sell_"",""""))-COUNTIF(C$4:C566,"&amp;"""Sell_""&amp;SUBSTITUTE(C567,""Sell_"",""""))))/2),ROUNDUP(INDEX(Upgrades!$C$3:$C$13,MATCH(C567,Upgrades!$B$3:$B$13,0))*1.15^(COUNTIF(C$4:C566,C567)-COUNTIF(C$4:C566,""Sell_""&amp;C567))))))"),"")</f>
        <v/>
      </c>
      <c r="H567" s="10" t="str">
        <f t="shared" si="3"/>
        <v/>
      </c>
      <c r="I567" s="68" t="str">
        <f t="shared" si="4"/>
        <v/>
      </c>
      <c r="J567" s="59" t="str">
        <f t="shared" si="5"/>
        <v/>
      </c>
      <c r="K567" s="69" t="str">
        <f t="shared" si="6"/>
        <v/>
      </c>
      <c r="L567" s="60" t="str">
        <f t="shared" si="7"/>
        <v/>
      </c>
      <c r="M567" s="61" t="str">
        <f>IFERROR(__xludf.DUMMYFUNCTION("IFS(AND(COUNTA(C567:C1644)=0,COUNTA(Q567:Q1644)=0),"""",OR(AND(K567&gt;=1000000000,OR(Y567&gt;=1000000000,COUNTA(Q567:Q1644)=0)),OR(Y567&gt;=1000000000,AND(COUNTA(C567:C1644)=0,P$3=TRUE))),
ROUNDDOWN((AB$1-AC$1)*MAX(INDEX(T$4:T1644,MATCH(LARGE(FILTER(Y$4:Y1644,Y$4"&amp;":Y1644&lt;1000000000),1),Y$4:Y1644)),INDEX(F$4:F1644,MATCH(LARGE(FILTER(K$4:K1644,K$4:K1644&lt;1000000000),1),K$4:K1644)))),AND(K567&lt;1000000000,COUNTA(C567:C1644)&gt;0,P$3=FALSE),
ROUNDDOWN(INDEX(Y$4:Y1644,MATCH(LARGE(FILTER(W$4:W1644,W$4:W1644&lt;=I567),1),W$4:W1644"&amp;"))+(I567-LARGE(FILTER(W$4:W1644,W$4:W1644&lt;=I567),1))*INDEX(T$4:T1644,MATCH(LARGE(FILTER(W$4:W1644,W$4:W1644&lt;=I567),1),W$4:W1644))-K567),1,
ROUNDDOWN(Y567-INDEX(K$4:K1644,MATCH(LARGE(FILTER(I$4:I1644,I$4:I1644&lt;=W567),1),I$4:I1644))-(W567-LARGE(FILTER(I$4:I"&amp;"1644,I$4:I1644&lt;=W567),1))*INDEX(F$4:F1644,MATCH(LARGE(FILTER(I$4:I1644,I$4:I1644&lt;=W567),1),I$4:I1644))))"),"")</f>
        <v/>
      </c>
      <c r="N567" s="60" t="str">
        <f t="shared" si="8"/>
        <v/>
      </c>
      <c r="O567" s="61" t="str">
        <f t="shared" si="9"/>
        <v/>
      </c>
      <c r="P567" s="56" t="str">
        <f t="shared" si="10"/>
        <v/>
      </c>
      <c r="Q567" s="105"/>
      <c r="R567" s="10"/>
      <c r="S567" s="59" t="str">
        <f t="array" ref="S567">IF(COUNTA(Q567:Q1644)=0,"",SUM((COUNTIF(Q$4:Q567,Upgrades!$B$3:$B$13)-COUNTIF(Q$4:Q567,"Sell_"&amp;Upgrades!$B$3:$B$13))*Upgrades!$D$3:$D$13))</f>
        <v/>
      </c>
      <c r="T567" s="66" t="str">
        <f>IFERROR(__xludf.DUMMYFUNCTION("IF(COUNTA(Q567:Q1644)=0,"""",IF(REGEXMATCH(INDEX(FILTER(Q$4:Q567,Q$4:Q567&lt;&gt;""""),ROWS(FILTER(Q$4:Q567,Q$4:Q567&lt;&gt;""""))),""^Sell_""),INDEX(FILTER(T$4:T566,Q$4:Q566&lt;&gt;""""),ROWS(FILTER(Q$4:Q566,Q$4:Q566&lt;&gt;""""))),$AD$5+S567))"),"")</f>
        <v/>
      </c>
      <c r="U567" s="10" t="str">
        <f>IFERROR(__xludf.DUMMYFUNCTION("IF(COUNTA(Q567:Q1644)=0,"""",IF(Q567="""",0,IF(REGEXMATCH(Q567,""^Sell_""),-ROUNDDOWN(ROUNDUP(INDEX(Upgrades!$C$3:$C$13,MATCH(SUBSTITUTE(Q567,""Sell_"",""""),Upgrades!$B$3:$B$13,0))*1.15^(COUNTIF(Q$4:Q566,SUBSTITUTE(Q567,""Sell_"",""""))-COUNTIF(Q$4:Q566,"&amp;"""Sell_""&amp;SUBSTITUTE(Q567,""Sell_"",""""))))/2),ROUNDUP(INDEX(Upgrades!$C$3:$C$13,MATCH(Q567,Upgrades!$B$3:$B$13,0))*1.15^(COUNTIF(Q$4:Q566,Q567)-COUNTIF(Q$4:Q566,""Sell_""&amp;Q567))))))"),"")</f>
        <v/>
      </c>
      <c r="V567" s="10" t="str">
        <f t="shared" si="11"/>
        <v/>
      </c>
      <c r="W567" s="68" t="str">
        <f t="shared" si="12"/>
        <v/>
      </c>
      <c r="X567" s="59" t="str">
        <f t="shared" si="13"/>
        <v/>
      </c>
      <c r="Y567" s="69" t="str">
        <f t="shared" si="14"/>
        <v/>
      </c>
      <c r="Z567" s="11"/>
      <c r="AG567" s="59"/>
    </row>
    <row r="568">
      <c r="A568" s="8"/>
      <c r="B568" s="56" t="str">
        <f t="shared" si="2"/>
        <v/>
      </c>
      <c r="C568" s="105"/>
      <c r="D568" s="10"/>
      <c r="E568" s="59" t="str">
        <f t="array" ref="E568">IF(COUNTA(C568:C1644)=0,"",SUM((COUNTIF(C$4:C568,Upgrades!$B$3:$B$13)-COUNTIF(C$4:C568,"Sell_"&amp;Upgrades!$B$3:$B$13))*Upgrades!$D$3:$D$13))</f>
        <v/>
      </c>
      <c r="F568" s="66" t="str">
        <f>IFERROR(__xludf.DUMMYFUNCTION("IF(COUNTA(C568:C1644)=0,"""",IF(REGEXMATCH(INDEX(FILTER(C$4:C568,C$4:C568&lt;&gt;""""),ROWS(FILTER(C$4:C568,C$4:C568&lt;&gt;""""))),""^Sell_""),INDEX(FILTER(F$4:F567,C$4:C567&lt;&gt;""""),ROWS(FILTER(C$4:C567,C$4:C567&lt;&gt;""""))),$AC$5+E568))"),"")</f>
        <v/>
      </c>
      <c r="G568" s="10" t="str">
        <f>IFERROR(__xludf.DUMMYFUNCTION("IF(COUNTA(C568:C1644)=0,"""",IF(C568="""",0,IF(REGEXMATCH(C568,""^Sell_""),-ROUNDDOWN(ROUNDUP(INDEX(Upgrades!$C$3:$C$13,MATCH(SUBSTITUTE(C568,""Sell_"",""""),Upgrades!$B$3:$B$13,0))*1.15^(COUNTIF(C$4:C567,SUBSTITUTE(C568,""Sell_"",""""))-COUNTIF(C$4:C567,"&amp;"""Sell_""&amp;SUBSTITUTE(C568,""Sell_"",""""))))/2),ROUNDUP(INDEX(Upgrades!$C$3:$C$13,MATCH(C568,Upgrades!$B$3:$B$13,0))*1.15^(COUNTIF(C$4:C567,C568)-COUNTIF(C$4:C567,""Sell_""&amp;C568))))))"),"")</f>
        <v/>
      </c>
      <c r="H568" s="10" t="str">
        <f t="shared" si="3"/>
        <v/>
      </c>
      <c r="I568" s="68" t="str">
        <f t="shared" si="4"/>
        <v/>
      </c>
      <c r="J568" s="59" t="str">
        <f t="shared" si="5"/>
        <v/>
      </c>
      <c r="K568" s="69" t="str">
        <f t="shared" si="6"/>
        <v/>
      </c>
      <c r="L568" s="60" t="str">
        <f t="shared" si="7"/>
        <v/>
      </c>
      <c r="M568" s="61" t="str">
        <f>IFERROR(__xludf.DUMMYFUNCTION("IFS(AND(COUNTA(C568:C1644)=0,COUNTA(Q568:Q1644)=0),"""",OR(AND(K568&gt;=1000000000,OR(Y568&gt;=1000000000,COUNTA(Q568:Q1644)=0)),OR(Y568&gt;=1000000000,AND(COUNTA(C568:C1644)=0,P$3=TRUE))),
ROUNDDOWN((AB$1-AC$1)*MAX(INDEX(T$4:T1644,MATCH(LARGE(FILTER(Y$4:Y1644,Y$4"&amp;":Y1644&lt;1000000000),1),Y$4:Y1644)),INDEX(F$4:F1644,MATCH(LARGE(FILTER(K$4:K1644,K$4:K1644&lt;1000000000),1),K$4:K1644)))),AND(K568&lt;1000000000,COUNTA(C568:C1644)&gt;0,P$3=FALSE),
ROUNDDOWN(INDEX(Y$4:Y1644,MATCH(LARGE(FILTER(W$4:W1644,W$4:W1644&lt;=I568),1),W$4:W1644"&amp;"))+(I568-LARGE(FILTER(W$4:W1644,W$4:W1644&lt;=I568),1))*INDEX(T$4:T1644,MATCH(LARGE(FILTER(W$4:W1644,W$4:W1644&lt;=I568),1),W$4:W1644))-K568),1,
ROUNDDOWN(Y568-INDEX(K$4:K1644,MATCH(LARGE(FILTER(I$4:I1644,I$4:I1644&lt;=W568),1),I$4:I1644))-(W568-LARGE(FILTER(I$4:I"&amp;"1644,I$4:I1644&lt;=W568),1))*INDEX(F$4:F1644,MATCH(LARGE(FILTER(I$4:I1644,I$4:I1644&lt;=W568),1),I$4:I1644))))"),"")</f>
        <v/>
      </c>
      <c r="N568" s="60" t="str">
        <f t="shared" si="8"/>
        <v/>
      </c>
      <c r="O568" s="61" t="str">
        <f t="shared" si="9"/>
        <v/>
      </c>
      <c r="P568" s="56" t="str">
        <f t="shared" si="10"/>
        <v/>
      </c>
      <c r="Q568" s="105"/>
      <c r="R568" s="10"/>
      <c r="S568" s="59" t="str">
        <f t="array" ref="S568">IF(COUNTA(Q568:Q1644)=0,"",SUM((COUNTIF(Q$4:Q568,Upgrades!$B$3:$B$13)-COUNTIF(Q$4:Q568,"Sell_"&amp;Upgrades!$B$3:$B$13))*Upgrades!$D$3:$D$13))</f>
        <v/>
      </c>
      <c r="T568" s="66" t="str">
        <f>IFERROR(__xludf.DUMMYFUNCTION("IF(COUNTA(Q568:Q1644)=0,"""",IF(REGEXMATCH(INDEX(FILTER(Q$4:Q568,Q$4:Q568&lt;&gt;""""),ROWS(FILTER(Q$4:Q568,Q$4:Q568&lt;&gt;""""))),""^Sell_""),INDEX(FILTER(T$4:T567,Q$4:Q567&lt;&gt;""""),ROWS(FILTER(Q$4:Q567,Q$4:Q567&lt;&gt;""""))),$AD$5+S568))"),"")</f>
        <v/>
      </c>
      <c r="U568" s="10" t="str">
        <f>IFERROR(__xludf.DUMMYFUNCTION("IF(COUNTA(Q568:Q1644)=0,"""",IF(Q568="""",0,IF(REGEXMATCH(Q568,""^Sell_""),-ROUNDDOWN(ROUNDUP(INDEX(Upgrades!$C$3:$C$13,MATCH(SUBSTITUTE(Q568,""Sell_"",""""),Upgrades!$B$3:$B$13,0))*1.15^(COUNTIF(Q$4:Q567,SUBSTITUTE(Q568,""Sell_"",""""))-COUNTIF(Q$4:Q567,"&amp;"""Sell_""&amp;SUBSTITUTE(Q568,""Sell_"",""""))))/2),ROUNDUP(INDEX(Upgrades!$C$3:$C$13,MATCH(Q568,Upgrades!$B$3:$B$13,0))*1.15^(COUNTIF(Q$4:Q567,Q568)-COUNTIF(Q$4:Q567,""Sell_""&amp;Q568))))))"),"")</f>
        <v/>
      </c>
      <c r="V568" s="10" t="str">
        <f t="shared" si="11"/>
        <v/>
      </c>
      <c r="W568" s="68" t="str">
        <f t="shared" si="12"/>
        <v/>
      </c>
      <c r="X568" s="59" t="str">
        <f t="shared" si="13"/>
        <v/>
      </c>
      <c r="Y568" s="69" t="str">
        <f t="shared" si="14"/>
        <v/>
      </c>
      <c r="Z568" s="11"/>
      <c r="AG568" s="59"/>
    </row>
    <row r="569">
      <c r="A569" s="8"/>
      <c r="B569" s="56" t="str">
        <f t="shared" si="2"/>
        <v/>
      </c>
      <c r="C569" s="105"/>
      <c r="D569" s="10"/>
      <c r="E569" s="59" t="str">
        <f t="array" ref="E569">IF(COUNTA(C569:C1644)=0,"",SUM((COUNTIF(C$4:C569,Upgrades!$B$3:$B$13)-COUNTIF(C$4:C569,"Sell_"&amp;Upgrades!$B$3:$B$13))*Upgrades!$D$3:$D$13))</f>
        <v/>
      </c>
      <c r="F569" s="66" t="str">
        <f>IFERROR(__xludf.DUMMYFUNCTION("IF(COUNTA(C569:C1644)=0,"""",IF(REGEXMATCH(INDEX(FILTER(C$4:C569,C$4:C569&lt;&gt;""""),ROWS(FILTER(C$4:C569,C$4:C569&lt;&gt;""""))),""^Sell_""),INDEX(FILTER(F$4:F568,C$4:C568&lt;&gt;""""),ROWS(FILTER(C$4:C568,C$4:C568&lt;&gt;""""))),$AC$5+E569))"),"")</f>
        <v/>
      </c>
      <c r="G569" s="10" t="str">
        <f>IFERROR(__xludf.DUMMYFUNCTION("IF(COUNTA(C569:C1644)=0,"""",IF(C569="""",0,IF(REGEXMATCH(C569,""^Sell_""),-ROUNDDOWN(ROUNDUP(INDEX(Upgrades!$C$3:$C$13,MATCH(SUBSTITUTE(C569,""Sell_"",""""),Upgrades!$B$3:$B$13,0))*1.15^(COUNTIF(C$4:C568,SUBSTITUTE(C569,""Sell_"",""""))-COUNTIF(C$4:C568,"&amp;"""Sell_""&amp;SUBSTITUTE(C569,""Sell_"",""""))))/2),ROUNDUP(INDEX(Upgrades!$C$3:$C$13,MATCH(C569,Upgrades!$B$3:$B$13,0))*1.15^(COUNTIF(C$4:C568,C569)-COUNTIF(C$4:C568,""Sell_""&amp;C569))))))"),"")</f>
        <v/>
      </c>
      <c r="H569" s="10" t="str">
        <f t="shared" si="3"/>
        <v/>
      </c>
      <c r="I569" s="68" t="str">
        <f t="shared" si="4"/>
        <v/>
      </c>
      <c r="J569" s="59" t="str">
        <f t="shared" si="5"/>
        <v/>
      </c>
      <c r="K569" s="69" t="str">
        <f t="shared" si="6"/>
        <v/>
      </c>
      <c r="L569" s="60" t="str">
        <f t="shared" si="7"/>
        <v/>
      </c>
      <c r="M569" s="61" t="str">
        <f>IFERROR(__xludf.DUMMYFUNCTION("IFS(AND(COUNTA(C569:C1644)=0,COUNTA(Q569:Q1644)=0),"""",OR(AND(K569&gt;=1000000000,OR(Y569&gt;=1000000000,COUNTA(Q569:Q1644)=0)),OR(Y569&gt;=1000000000,AND(COUNTA(C569:C1644)=0,P$3=TRUE))),
ROUNDDOWN((AB$1-AC$1)*MAX(INDEX(T$4:T1644,MATCH(LARGE(FILTER(Y$4:Y1644,Y$4"&amp;":Y1644&lt;1000000000),1),Y$4:Y1644)),INDEX(F$4:F1644,MATCH(LARGE(FILTER(K$4:K1644,K$4:K1644&lt;1000000000),1),K$4:K1644)))),AND(K569&lt;1000000000,COUNTA(C569:C1644)&gt;0,P$3=FALSE),
ROUNDDOWN(INDEX(Y$4:Y1644,MATCH(LARGE(FILTER(W$4:W1644,W$4:W1644&lt;=I569),1),W$4:W1644"&amp;"))+(I569-LARGE(FILTER(W$4:W1644,W$4:W1644&lt;=I569),1))*INDEX(T$4:T1644,MATCH(LARGE(FILTER(W$4:W1644,W$4:W1644&lt;=I569),1),W$4:W1644))-K569),1,
ROUNDDOWN(Y569-INDEX(K$4:K1644,MATCH(LARGE(FILTER(I$4:I1644,I$4:I1644&lt;=W569),1),I$4:I1644))-(W569-LARGE(FILTER(I$4:I"&amp;"1644,I$4:I1644&lt;=W569),1))*INDEX(F$4:F1644,MATCH(LARGE(FILTER(I$4:I1644,I$4:I1644&lt;=W569),1),I$4:I1644))))"),"")</f>
        <v/>
      </c>
      <c r="N569" s="60" t="str">
        <f t="shared" si="8"/>
        <v/>
      </c>
      <c r="O569" s="61" t="str">
        <f t="shared" si="9"/>
        <v/>
      </c>
      <c r="P569" s="56" t="str">
        <f t="shared" si="10"/>
        <v/>
      </c>
      <c r="Q569" s="105"/>
      <c r="R569" s="10"/>
      <c r="S569" s="59" t="str">
        <f t="array" ref="S569">IF(COUNTA(Q569:Q1644)=0,"",SUM((COUNTIF(Q$4:Q569,Upgrades!$B$3:$B$13)-COUNTIF(Q$4:Q569,"Sell_"&amp;Upgrades!$B$3:$B$13))*Upgrades!$D$3:$D$13))</f>
        <v/>
      </c>
      <c r="T569" s="66" t="str">
        <f>IFERROR(__xludf.DUMMYFUNCTION("IF(COUNTA(Q569:Q1644)=0,"""",IF(REGEXMATCH(INDEX(FILTER(Q$4:Q569,Q$4:Q569&lt;&gt;""""),ROWS(FILTER(Q$4:Q569,Q$4:Q569&lt;&gt;""""))),""^Sell_""),INDEX(FILTER(T$4:T568,Q$4:Q568&lt;&gt;""""),ROWS(FILTER(Q$4:Q568,Q$4:Q568&lt;&gt;""""))),$AD$5+S569))"),"")</f>
        <v/>
      </c>
      <c r="U569" s="10" t="str">
        <f>IFERROR(__xludf.DUMMYFUNCTION("IF(COUNTA(Q569:Q1644)=0,"""",IF(Q569="""",0,IF(REGEXMATCH(Q569,""^Sell_""),-ROUNDDOWN(ROUNDUP(INDEX(Upgrades!$C$3:$C$13,MATCH(SUBSTITUTE(Q569,""Sell_"",""""),Upgrades!$B$3:$B$13,0))*1.15^(COUNTIF(Q$4:Q568,SUBSTITUTE(Q569,""Sell_"",""""))-COUNTIF(Q$4:Q568,"&amp;"""Sell_""&amp;SUBSTITUTE(Q569,""Sell_"",""""))))/2),ROUNDUP(INDEX(Upgrades!$C$3:$C$13,MATCH(Q569,Upgrades!$B$3:$B$13,0))*1.15^(COUNTIF(Q$4:Q568,Q569)-COUNTIF(Q$4:Q568,""Sell_""&amp;Q569))))))"),"")</f>
        <v/>
      </c>
      <c r="V569" s="10" t="str">
        <f t="shared" si="11"/>
        <v/>
      </c>
      <c r="W569" s="68" t="str">
        <f t="shared" si="12"/>
        <v/>
      </c>
      <c r="X569" s="59" t="str">
        <f t="shared" si="13"/>
        <v/>
      </c>
      <c r="Y569" s="69" t="str">
        <f t="shared" si="14"/>
        <v/>
      </c>
      <c r="Z569" s="11"/>
      <c r="AG569" s="59"/>
    </row>
    <row r="570">
      <c r="A570" s="8"/>
      <c r="B570" s="56" t="str">
        <f t="shared" si="2"/>
        <v/>
      </c>
      <c r="C570" s="105"/>
      <c r="D570" s="10"/>
      <c r="E570" s="59" t="str">
        <f t="array" ref="E570">IF(COUNTA(C570:C1644)=0,"",SUM((COUNTIF(C$4:C570,Upgrades!$B$3:$B$13)-COUNTIF(C$4:C570,"Sell_"&amp;Upgrades!$B$3:$B$13))*Upgrades!$D$3:$D$13))</f>
        <v/>
      </c>
      <c r="F570" s="66" t="str">
        <f>IFERROR(__xludf.DUMMYFUNCTION("IF(COUNTA(C570:C1644)=0,"""",IF(REGEXMATCH(INDEX(FILTER(C$4:C570,C$4:C570&lt;&gt;""""),ROWS(FILTER(C$4:C570,C$4:C570&lt;&gt;""""))),""^Sell_""),INDEX(FILTER(F$4:F569,C$4:C569&lt;&gt;""""),ROWS(FILTER(C$4:C569,C$4:C569&lt;&gt;""""))),$AC$5+E570))"),"")</f>
        <v/>
      </c>
      <c r="G570" s="10" t="str">
        <f>IFERROR(__xludf.DUMMYFUNCTION("IF(COUNTA(C570:C1644)=0,"""",IF(C570="""",0,IF(REGEXMATCH(C570,""^Sell_""),-ROUNDDOWN(ROUNDUP(INDEX(Upgrades!$C$3:$C$13,MATCH(SUBSTITUTE(C570,""Sell_"",""""),Upgrades!$B$3:$B$13,0))*1.15^(COUNTIF(C$4:C569,SUBSTITUTE(C570,""Sell_"",""""))-COUNTIF(C$4:C569,"&amp;"""Sell_""&amp;SUBSTITUTE(C570,""Sell_"",""""))))/2),ROUNDUP(INDEX(Upgrades!$C$3:$C$13,MATCH(C570,Upgrades!$B$3:$B$13,0))*1.15^(COUNTIF(C$4:C569,C570)-COUNTIF(C$4:C569,""Sell_""&amp;C570))))))"),"")</f>
        <v/>
      </c>
      <c r="H570" s="10" t="str">
        <f t="shared" si="3"/>
        <v/>
      </c>
      <c r="I570" s="68" t="str">
        <f t="shared" si="4"/>
        <v/>
      </c>
      <c r="J570" s="59" t="str">
        <f t="shared" si="5"/>
        <v/>
      </c>
      <c r="K570" s="69" t="str">
        <f t="shared" si="6"/>
        <v/>
      </c>
      <c r="L570" s="60" t="str">
        <f t="shared" si="7"/>
        <v/>
      </c>
      <c r="M570" s="61" t="str">
        <f>IFERROR(__xludf.DUMMYFUNCTION("IFS(AND(COUNTA(C570:C1644)=0,COUNTA(Q570:Q1644)=0),"""",OR(AND(K570&gt;=1000000000,OR(Y570&gt;=1000000000,COUNTA(Q570:Q1644)=0)),OR(Y570&gt;=1000000000,AND(COUNTA(C570:C1644)=0,P$3=TRUE))),
ROUNDDOWN((AB$1-AC$1)*MAX(INDEX(T$4:T1644,MATCH(LARGE(FILTER(Y$4:Y1644,Y$4"&amp;":Y1644&lt;1000000000),1),Y$4:Y1644)),INDEX(F$4:F1644,MATCH(LARGE(FILTER(K$4:K1644,K$4:K1644&lt;1000000000),1),K$4:K1644)))),AND(K570&lt;1000000000,COUNTA(C570:C1644)&gt;0,P$3=FALSE),
ROUNDDOWN(INDEX(Y$4:Y1644,MATCH(LARGE(FILTER(W$4:W1644,W$4:W1644&lt;=I570),1),W$4:W1644"&amp;"))+(I570-LARGE(FILTER(W$4:W1644,W$4:W1644&lt;=I570),1))*INDEX(T$4:T1644,MATCH(LARGE(FILTER(W$4:W1644,W$4:W1644&lt;=I570),1),W$4:W1644))-K570),1,
ROUNDDOWN(Y570-INDEX(K$4:K1644,MATCH(LARGE(FILTER(I$4:I1644,I$4:I1644&lt;=W570),1),I$4:I1644))-(W570-LARGE(FILTER(I$4:I"&amp;"1644,I$4:I1644&lt;=W570),1))*INDEX(F$4:F1644,MATCH(LARGE(FILTER(I$4:I1644,I$4:I1644&lt;=W570),1),I$4:I1644))))"),"")</f>
        <v/>
      </c>
      <c r="N570" s="60" t="str">
        <f t="shared" si="8"/>
        <v/>
      </c>
      <c r="O570" s="61" t="str">
        <f t="shared" si="9"/>
        <v/>
      </c>
      <c r="P570" s="56" t="str">
        <f t="shared" si="10"/>
        <v/>
      </c>
      <c r="Q570" s="105"/>
      <c r="R570" s="10"/>
      <c r="S570" s="59" t="str">
        <f t="array" ref="S570">IF(COUNTA(Q570:Q1644)=0,"",SUM((COUNTIF(Q$4:Q570,Upgrades!$B$3:$B$13)-COUNTIF(Q$4:Q570,"Sell_"&amp;Upgrades!$B$3:$B$13))*Upgrades!$D$3:$D$13))</f>
        <v/>
      </c>
      <c r="T570" s="66" t="str">
        <f>IFERROR(__xludf.DUMMYFUNCTION("IF(COUNTA(Q570:Q1644)=0,"""",IF(REGEXMATCH(INDEX(FILTER(Q$4:Q570,Q$4:Q570&lt;&gt;""""),ROWS(FILTER(Q$4:Q570,Q$4:Q570&lt;&gt;""""))),""^Sell_""),INDEX(FILTER(T$4:T569,Q$4:Q569&lt;&gt;""""),ROWS(FILTER(Q$4:Q569,Q$4:Q569&lt;&gt;""""))),$AD$5+S570))"),"")</f>
        <v/>
      </c>
      <c r="U570" s="10" t="str">
        <f>IFERROR(__xludf.DUMMYFUNCTION("IF(COUNTA(Q570:Q1644)=0,"""",IF(Q570="""",0,IF(REGEXMATCH(Q570,""^Sell_""),-ROUNDDOWN(ROUNDUP(INDEX(Upgrades!$C$3:$C$13,MATCH(SUBSTITUTE(Q570,""Sell_"",""""),Upgrades!$B$3:$B$13,0))*1.15^(COUNTIF(Q$4:Q569,SUBSTITUTE(Q570,""Sell_"",""""))-COUNTIF(Q$4:Q569,"&amp;"""Sell_""&amp;SUBSTITUTE(Q570,""Sell_"",""""))))/2),ROUNDUP(INDEX(Upgrades!$C$3:$C$13,MATCH(Q570,Upgrades!$B$3:$B$13,0))*1.15^(COUNTIF(Q$4:Q569,Q570)-COUNTIF(Q$4:Q569,""Sell_""&amp;Q570))))))"),"")</f>
        <v/>
      </c>
      <c r="V570" s="10" t="str">
        <f t="shared" si="11"/>
        <v/>
      </c>
      <c r="W570" s="68" t="str">
        <f t="shared" si="12"/>
        <v/>
      </c>
      <c r="X570" s="59" t="str">
        <f t="shared" si="13"/>
        <v/>
      </c>
      <c r="Y570" s="69" t="str">
        <f t="shared" si="14"/>
        <v/>
      </c>
      <c r="Z570" s="11"/>
      <c r="AG570" s="59"/>
    </row>
    <row r="571">
      <c r="A571" s="8"/>
      <c r="B571" s="56" t="str">
        <f t="shared" si="2"/>
        <v/>
      </c>
      <c r="C571" s="105"/>
      <c r="D571" s="10"/>
      <c r="E571" s="59" t="str">
        <f t="array" ref="E571">IF(COUNTA(C571:C1644)=0,"",SUM((COUNTIF(C$4:C571,Upgrades!$B$3:$B$13)-COUNTIF(C$4:C571,"Sell_"&amp;Upgrades!$B$3:$B$13))*Upgrades!$D$3:$D$13))</f>
        <v/>
      </c>
      <c r="F571" s="66" t="str">
        <f>IFERROR(__xludf.DUMMYFUNCTION("IF(COUNTA(C571:C1644)=0,"""",IF(REGEXMATCH(INDEX(FILTER(C$4:C571,C$4:C571&lt;&gt;""""),ROWS(FILTER(C$4:C571,C$4:C571&lt;&gt;""""))),""^Sell_""),INDEX(FILTER(F$4:F570,C$4:C570&lt;&gt;""""),ROWS(FILTER(C$4:C570,C$4:C570&lt;&gt;""""))),$AC$5+E571))"),"")</f>
        <v/>
      </c>
      <c r="G571" s="10" t="str">
        <f>IFERROR(__xludf.DUMMYFUNCTION("IF(COUNTA(C571:C1644)=0,"""",IF(C571="""",0,IF(REGEXMATCH(C571,""^Sell_""),-ROUNDDOWN(ROUNDUP(INDEX(Upgrades!$C$3:$C$13,MATCH(SUBSTITUTE(C571,""Sell_"",""""),Upgrades!$B$3:$B$13,0))*1.15^(COUNTIF(C$4:C570,SUBSTITUTE(C571,""Sell_"",""""))-COUNTIF(C$4:C570,"&amp;"""Sell_""&amp;SUBSTITUTE(C571,""Sell_"",""""))))/2),ROUNDUP(INDEX(Upgrades!$C$3:$C$13,MATCH(C571,Upgrades!$B$3:$B$13,0))*1.15^(COUNTIF(C$4:C570,C571)-COUNTIF(C$4:C570,""Sell_""&amp;C571))))))"),"")</f>
        <v/>
      </c>
      <c r="H571" s="10" t="str">
        <f t="shared" si="3"/>
        <v/>
      </c>
      <c r="I571" s="68" t="str">
        <f t="shared" si="4"/>
        <v/>
      </c>
      <c r="J571" s="59" t="str">
        <f t="shared" si="5"/>
        <v/>
      </c>
      <c r="K571" s="69" t="str">
        <f t="shared" si="6"/>
        <v/>
      </c>
      <c r="L571" s="60" t="str">
        <f t="shared" si="7"/>
        <v/>
      </c>
      <c r="M571" s="61" t="str">
        <f>IFERROR(__xludf.DUMMYFUNCTION("IFS(AND(COUNTA(C571:C1644)=0,COUNTA(Q571:Q1644)=0),"""",OR(AND(K571&gt;=1000000000,OR(Y571&gt;=1000000000,COUNTA(Q571:Q1644)=0)),OR(Y571&gt;=1000000000,AND(COUNTA(C571:C1644)=0,P$3=TRUE))),
ROUNDDOWN((AB$1-AC$1)*MAX(INDEX(T$4:T1644,MATCH(LARGE(FILTER(Y$4:Y1644,Y$4"&amp;":Y1644&lt;1000000000),1),Y$4:Y1644)),INDEX(F$4:F1644,MATCH(LARGE(FILTER(K$4:K1644,K$4:K1644&lt;1000000000),1),K$4:K1644)))),AND(K571&lt;1000000000,COUNTA(C571:C1644)&gt;0,P$3=FALSE),
ROUNDDOWN(INDEX(Y$4:Y1644,MATCH(LARGE(FILTER(W$4:W1644,W$4:W1644&lt;=I571),1),W$4:W1644"&amp;"))+(I571-LARGE(FILTER(W$4:W1644,W$4:W1644&lt;=I571),1))*INDEX(T$4:T1644,MATCH(LARGE(FILTER(W$4:W1644,W$4:W1644&lt;=I571),1),W$4:W1644))-K571),1,
ROUNDDOWN(Y571-INDEX(K$4:K1644,MATCH(LARGE(FILTER(I$4:I1644,I$4:I1644&lt;=W571),1),I$4:I1644))-(W571-LARGE(FILTER(I$4:I"&amp;"1644,I$4:I1644&lt;=W571),1))*INDEX(F$4:F1644,MATCH(LARGE(FILTER(I$4:I1644,I$4:I1644&lt;=W571),1),I$4:I1644))))"),"")</f>
        <v/>
      </c>
      <c r="N571" s="60" t="str">
        <f t="shared" si="8"/>
        <v/>
      </c>
      <c r="O571" s="61" t="str">
        <f t="shared" si="9"/>
        <v/>
      </c>
      <c r="P571" s="56" t="str">
        <f t="shared" si="10"/>
        <v/>
      </c>
      <c r="Q571" s="105"/>
      <c r="R571" s="10"/>
      <c r="S571" s="59" t="str">
        <f t="array" ref="S571">IF(COUNTA(Q571:Q1644)=0,"",SUM((COUNTIF(Q$4:Q571,Upgrades!$B$3:$B$13)-COUNTIF(Q$4:Q571,"Sell_"&amp;Upgrades!$B$3:$B$13))*Upgrades!$D$3:$D$13))</f>
        <v/>
      </c>
      <c r="T571" s="66" t="str">
        <f>IFERROR(__xludf.DUMMYFUNCTION("IF(COUNTA(Q571:Q1644)=0,"""",IF(REGEXMATCH(INDEX(FILTER(Q$4:Q571,Q$4:Q571&lt;&gt;""""),ROWS(FILTER(Q$4:Q571,Q$4:Q571&lt;&gt;""""))),""^Sell_""),INDEX(FILTER(T$4:T570,Q$4:Q570&lt;&gt;""""),ROWS(FILTER(Q$4:Q570,Q$4:Q570&lt;&gt;""""))),$AD$5+S571))"),"")</f>
        <v/>
      </c>
      <c r="U571" s="10" t="str">
        <f>IFERROR(__xludf.DUMMYFUNCTION("IF(COUNTA(Q571:Q1644)=0,"""",IF(Q571="""",0,IF(REGEXMATCH(Q571,""^Sell_""),-ROUNDDOWN(ROUNDUP(INDEX(Upgrades!$C$3:$C$13,MATCH(SUBSTITUTE(Q571,""Sell_"",""""),Upgrades!$B$3:$B$13,0))*1.15^(COUNTIF(Q$4:Q570,SUBSTITUTE(Q571,""Sell_"",""""))-COUNTIF(Q$4:Q570,"&amp;"""Sell_""&amp;SUBSTITUTE(Q571,""Sell_"",""""))))/2),ROUNDUP(INDEX(Upgrades!$C$3:$C$13,MATCH(Q571,Upgrades!$B$3:$B$13,0))*1.15^(COUNTIF(Q$4:Q570,Q571)-COUNTIF(Q$4:Q570,""Sell_""&amp;Q571))))))"),"")</f>
        <v/>
      </c>
      <c r="V571" s="10" t="str">
        <f t="shared" si="11"/>
        <v/>
      </c>
      <c r="W571" s="68" t="str">
        <f t="shared" si="12"/>
        <v/>
      </c>
      <c r="X571" s="59" t="str">
        <f t="shared" si="13"/>
        <v/>
      </c>
      <c r="Y571" s="69" t="str">
        <f t="shared" si="14"/>
        <v/>
      </c>
      <c r="Z571" s="11"/>
      <c r="AG571" s="59"/>
    </row>
    <row r="572">
      <c r="A572" s="8"/>
      <c r="B572" s="56" t="str">
        <f t="shared" si="2"/>
        <v/>
      </c>
      <c r="C572" s="105"/>
      <c r="D572" s="10"/>
      <c r="E572" s="59" t="str">
        <f t="array" ref="E572">IF(COUNTA(C572:C1644)=0,"",SUM((COUNTIF(C$4:C572,Upgrades!$B$3:$B$13)-COUNTIF(C$4:C572,"Sell_"&amp;Upgrades!$B$3:$B$13))*Upgrades!$D$3:$D$13))</f>
        <v/>
      </c>
      <c r="F572" s="66" t="str">
        <f>IFERROR(__xludf.DUMMYFUNCTION("IF(COUNTA(C572:C1644)=0,"""",IF(REGEXMATCH(INDEX(FILTER(C$4:C572,C$4:C572&lt;&gt;""""),ROWS(FILTER(C$4:C572,C$4:C572&lt;&gt;""""))),""^Sell_""),INDEX(FILTER(F$4:F571,C$4:C571&lt;&gt;""""),ROWS(FILTER(C$4:C571,C$4:C571&lt;&gt;""""))),$AC$5+E572))"),"")</f>
        <v/>
      </c>
      <c r="G572" s="10" t="str">
        <f>IFERROR(__xludf.DUMMYFUNCTION("IF(COUNTA(C572:C1644)=0,"""",IF(C572="""",0,IF(REGEXMATCH(C572,""^Sell_""),-ROUNDDOWN(ROUNDUP(INDEX(Upgrades!$C$3:$C$13,MATCH(SUBSTITUTE(C572,""Sell_"",""""),Upgrades!$B$3:$B$13,0))*1.15^(COUNTIF(C$4:C571,SUBSTITUTE(C572,""Sell_"",""""))-COUNTIF(C$4:C571,"&amp;"""Sell_""&amp;SUBSTITUTE(C572,""Sell_"",""""))))/2),ROUNDUP(INDEX(Upgrades!$C$3:$C$13,MATCH(C572,Upgrades!$B$3:$B$13,0))*1.15^(COUNTIF(C$4:C571,C572)-COUNTIF(C$4:C571,""Sell_""&amp;C572))))))"),"")</f>
        <v/>
      </c>
      <c r="H572" s="10" t="str">
        <f t="shared" si="3"/>
        <v/>
      </c>
      <c r="I572" s="68" t="str">
        <f t="shared" si="4"/>
        <v/>
      </c>
      <c r="J572" s="59" t="str">
        <f t="shared" si="5"/>
        <v/>
      </c>
      <c r="K572" s="69" t="str">
        <f t="shared" si="6"/>
        <v/>
      </c>
      <c r="L572" s="60" t="str">
        <f t="shared" si="7"/>
        <v/>
      </c>
      <c r="M572" s="61" t="str">
        <f>IFERROR(__xludf.DUMMYFUNCTION("IFS(AND(COUNTA(C572:C1644)=0,COUNTA(Q572:Q1644)=0),"""",OR(AND(K572&gt;=1000000000,OR(Y572&gt;=1000000000,COUNTA(Q572:Q1644)=0)),OR(Y572&gt;=1000000000,AND(COUNTA(C572:C1644)=0,P$3=TRUE))),
ROUNDDOWN((AB$1-AC$1)*MAX(INDEX(T$4:T1644,MATCH(LARGE(FILTER(Y$4:Y1644,Y$4"&amp;":Y1644&lt;1000000000),1),Y$4:Y1644)),INDEX(F$4:F1644,MATCH(LARGE(FILTER(K$4:K1644,K$4:K1644&lt;1000000000),1),K$4:K1644)))),AND(K572&lt;1000000000,COUNTA(C572:C1644)&gt;0,P$3=FALSE),
ROUNDDOWN(INDEX(Y$4:Y1644,MATCH(LARGE(FILTER(W$4:W1644,W$4:W1644&lt;=I572),1),W$4:W1644"&amp;"))+(I572-LARGE(FILTER(W$4:W1644,W$4:W1644&lt;=I572),1))*INDEX(T$4:T1644,MATCH(LARGE(FILTER(W$4:W1644,W$4:W1644&lt;=I572),1),W$4:W1644))-K572),1,
ROUNDDOWN(Y572-INDEX(K$4:K1644,MATCH(LARGE(FILTER(I$4:I1644,I$4:I1644&lt;=W572),1),I$4:I1644))-(W572-LARGE(FILTER(I$4:I"&amp;"1644,I$4:I1644&lt;=W572),1))*INDEX(F$4:F1644,MATCH(LARGE(FILTER(I$4:I1644,I$4:I1644&lt;=W572),1),I$4:I1644))))"),"")</f>
        <v/>
      </c>
      <c r="N572" s="60" t="str">
        <f t="shared" si="8"/>
        <v/>
      </c>
      <c r="O572" s="61" t="str">
        <f t="shared" si="9"/>
        <v/>
      </c>
      <c r="P572" s="56" t="str">
        <f t="shared" si="10"/>
        <v/>
      </c>
      <c r="Q572" s="105"/>
      <c r="R572" s="10"/>
      <c r="S572" s="59" t="str">
        <f t="array" ref="S572">IF(COUNTA(Q572:Q1644)=0,"",SUM((COUNTIF(Q$4:Q572,Upgrades!$B$3:$B$13)-COUNTIF(Q$4:Q572,"Sell_"&amp;Upgrades!$B$3:$B$13))*Upgrades!$D$3:$D$13))</f>
        <v/>
      </c>
      <c r="T572" s="66" t="str">
        <f>IFERROR(__xludf.DUMMYFUNCTION("IF(COUNTA(Q572:Q1644)=0,"""",IF(REGEXMATCH(INDEX(FILTER(Q$4:Q572,Q$4:Q572&lt;&gt;""""),ROWS(FILTER(Q$4:Q572,Q$4:Q572&lt;&gt;""""))),""^Sell_""),INDEX(FILTER(T$4:T571,Q$4:Q571&lt;&gt;""""),ROWS(FILTER(Q$4:Q571,Q$4:Q571&lt;&gt;""""))),$AD$5+S572))"),"")</f>
        <v/>
      </c>
      <c r="U572" s="10" t="str">
        <f>IFERROR(__xludf.DUMMYFUNCTION("IF(COUNTA(Q572:Q1644)=0,"""",IF(Q572="""",0,IF(REGEXMATCH(Q572,""^Sell_""),-ROUNDDOWN(ROUNDUP(INDEX(Upgrades!$C$3:$C$13,MATCH(SUBSTITUTE(Q572,""Sell_"",""""),Upgrades!$B$3:$B$13,0))*1.15^(COUNTIF(Q$4:Q571,SUBSTITUTE(Q572,""Sell_"",""""))-COUNTIF(Q$4:Q571,"&amp;"""Sell_""&amp;SUBSTITUTE(Q572,""Sell_"",""""))))/2),ROUNDUP(INDEX(Upgrades!$C$3:$C$13,MATCH(Q572,Upgrades!$B$3:$B$13,0))*1.15^(COUNTIF(Q$4:Q571,Q572)-COUNTIF(Q$4:Q571,""Sell_""&amp;Q572))))))"),"")</f>
        <v/>
      </c>
      <c r="V572" s="10" t="str">
        <f t="shared" si="11"/>
        <v/>
      </c>
      <c r="W572" s="68" t="str">
        <f t="shared" si="12"/>
        <v/>
      </c>
      <c r="X572" s="59" t="str">
        <f t="shared" si="13"/>
        <v/>
      </c>
      <c r="Y572" s="69" t="str">
        <f t="shared" si="14"/>
        <v/>
      </c>
      <c r="Z572" s="11"/>
      <c r="AG572" s="59"/>
    </row>
    <row r="573">
      <c r="A573" s="8"/>
      <c r="B573" s="56" t="str">
        <f t="shared" si="2"/>
        <v/>
      </c>
      <c r="C573" s="105"/>
      <c r="D573" s="10"/>
      <c r="E573" s="59" t="str">
        <f t="array" ref="E573">IF(COUNTA(C573:C1644)=0,"",SUM((COUNTIF(C$4:C573,Upgrades!$B$3:$B$13)-COUNTIF(C$4:C573,"Sell_"&amp;Upgrades!$B$3:$B$13))*Upgrades!$D$3:$D$13))</f>
        <v/>
      </c>
      <c r="F573" s="66" t="str">
        <f>IFERROR(__xludf.DUMMYFUNCTION("IF(COUNTA(C573:C1644)=0,"""",IF(REGEXMATCH(INDEX(FILTER(C$4:C573,C$4:C573&lt;&gt;""""),ROWS(FILTER(C$4:C573,C$4:C573&lt;&gt;""""))),""^Sell_""),INDEX(FILTER(F$4:F572,C$4:C572&lt;&gt;""""),ROWS(FILTER(C$4:C572,C$4:C572&lt;&gt;""""))),$AC$5+E573))"),"")</f>
        <v/>
      </c>
      <c r="G573" s="10" t="str">
        <f>IFERROR(__xludf.DUMMYFUNCTION("IF(COUNTA(C573:C1644)=0,"""",IF(C573="""",0,IF(REGEXMATCH(C573,""^Sell_""),-ROUNDDOWN(ROUNDUP(INDEX(Upgrades!$C$3:$C$13,MATCH(SUBSTITUTE(C573,""Sell_"",""""),Upgrades!$B$3:$B$13,0))*1.15^(COUNTIF(C$4:C572,SUBSTITUTE(C573,""Sell_"",""""))-COUNTIF(C$4:C572,"&amp;"""Sell_""&amp;SUBSTITUTE(C573,""Sell_"",""""))))/2),ROUNDUP(INDEX(Upgrades!$C$3:$C$13,MATCH(C573,Upgrades!$B$3:$B$13,0))*1.15^(COUNTIF(C$4:C572,C573)-COUNTIF(C$4:C572,""Sell_""&amp;C573))))))"),"")</f>
        <v/>
      </c>
      <c r="H573" s="10" t="str">
        <f t="shared" si="3"/>
        <v/>
      </c>
      <c r="I573" s="68" t="str">
        <f t="shared" si="4"/>
        <v/>
      </c>
      <c r="J573" s="59" t="str">
        <f t="shared" si="5"/>
        <v/>
      </c>
      <c r="K573" s="69" t="str">
        <f t="shared" si="6"/>
        <v/>
      </c>
      <c r="L573" s="60" t="str">
        <f t="shared" si="7"/>
        <v/>
      </c>
      <c r="M573" s="61" t="str">
        <f>IFERROR(__xludf.DUMMYFUNCTION("IFS(AND(COUNTA(C573:C1644)=0,COUNTA(Q573:Q1644)=0),"""",OR(AND(K573&gt;=1000000000,OR(Y573&gt;=1000000000,COUNTA(Q573:Q1644)=0)),OR(Y573&gt;=1000000000,AND(COUNTA(C573:C1644)=0,P$3=TRUE))),
ROUNDDOWN((AB$1-AC$1)*MAX(INDEX(T$4:T1644,MATCH(LARGE(FILTER(Y$4:Y1644,Y$4"&amp;":Y1644&lt;1000000000),1),Y$4:Y1644)),INDEX(F$4:F1644,MATCH(LARGE(FILTER(K$4:K1644,K$4:K1644&lt;1000000000),1),K$4:K1644)))),AND(K573&lt;1000000000,COUNTA(C573:C1644)&gt;0,P$3=FALSE),
ROUNDDOWN(INDEX(Y$4:Y1644,MATCH(LARGE(FILTER(W$4:W1644,W$4:W1644&lt;=I573),1),W$4:W1644"&amp;"))+(I573-LARGE(FILTER(W$4:W1644,W$4:W1644&lt;=I573),1))*INDEX(T$4:T1644,MATCH(LARGE(FILTER(W$4:W1644,W$4:W1644&lt;=I573),1),W$4:W1644))-K573),1,
ROUNDDOWN(Y573-INDEX(K$4:K1644,MATCH(LARGE(FILTER(I$4:I1644,I$4:I1644&lt;=W573),1),I$4:I1644))-(W573-LARGE(FILTER(I$4:I"&amp;"1644,I$4:I1644&lt;=W573),1))*INDEX(F$4:F1644,MATCH(LARGE(FILTER(I$4:I1644,I$4:I1644&lt;=W573),1),I$4:I1644))))"),"")</f>
        <v/>
      </c>
      <c r="N573" s="60" t="str">
        <f t="shared" si="8"/>
        <v/>
      </c>
      <c r="O573" s="61" t="str">
        <f t="shared" si="9"/>
        <v/>
      </c>
      <c r="P573" s="56" t="str">
        <f t="shared" si="10"/>
        <v/>
      </c>
      <c r="Q573" s="105"/>
      <c r="R573" s="10"/>
      <c r="S573" s="59" t="str">
        <f t="array" ref="S573">IF(COUNTA(Q573:Q1644)=0,"",SUM((COUNTIF(Q$4:Q573,Upgrades!$B$3:$B$13)-COUNTIF(Q$4:Q573,"Sell_"&amp;Upgrades!$B$3:$B$13))*Upgrades!$D$3:$D$13))</f>
        <v/>
      </c>
      <c r="T573" s="66" t="str">
        <f>IFERROR(__xludf.DUMMYFUNCTION("IF(COUNTA(Q573:Q1644)=0,"""",IF(REGEXMATCH(INDEX(FILTER(Q$4:Q573,Q$4:Q573&lt;&gt;""""),ROWS(FILTER(Q$4:Q573,Q$4:Q573&lt;&gt;""""))),""^Sell_""),INDEX(FILTER(T$4:T572,Q$4:Q572&lt;&gt;""""),ROWS(FILTER(Q$4:Q572,Q$4:Q572&lt;&gt;""""))),$AD$5+S573))"),"")</f>
        <v/>
      </c>
      <c r="U573" s="10" t="str">
        <f>IFERROR(__xludf.DUMMYFUNCTION("IF(COUNTA(Q573:Q1644)=0,"""",IF(Q573="""",0,IF(REGEXMATCH(Q573,""^Sell_""),-ROUNDDOWN(ROUNDUP(INDEX(Upgrades!$C$3:$C$13,MATCH(SUBSTITUTE(Q573,""Sell_"",""""),Upgrades!$B$3:$B$13,0))*1.15^(COUNTIF(Q$4:Q572,SUBSTITUTE(Q573,""Sell_"",""""))-COUNTIF(Q$4:Q572,"&amp;"""Sell_""&amp;SUBSTITUTE(Q573,""Sell_"",""""))))/2),ROUNDUP(INDEX(Upgrades!$C$3:$C$13,MATCH(Q573,Upgrades!$B$3:$B$13,0))*1.15^(COUNTIF(Q$4:Q572,Q573)-COUNTIF(Q$4:Q572,""Sell_""&amp;Q573))))))"),"")</f>
        <v/>
      </c>
      <c r="V573" s="10" t="str">
        <f t="shared" si="11"/>
        <v/>
      </c>
      <c r="W573" s="68" t="str">
        <f t="shared" si="12"/>
        <v/>
      </c>
      <c r="X573" s="59" t="str">
        <f t="shared" si="13"/>
        <v/>
      </c>
      <c r="Y573" s="69" t="str">
        <f t="shared" si="14"/>
        <v/>
      </c>
      <c r="Z573" s="11"/>
      <c r="AG573" s="59"/>
    </row>
    <row r="574">
      <c r="A574" s="8"/>
      <c r="B574" s="56" t="str">
        <f t="shared" si="2"/>
        <v/>
      </c>
      <c r="C574" s="105"/>
      <c r="D574" s="10"/>
      <c r="E574" s="59" t="str">
        <f t="array" ref="E574">IF(COUNTA(C574:C1644)=0,"",SUM((COUNTIF(C$4:C574,Upgrades!$B$3:$B$13)-COUNTIF(C$4:C574,"Sell_"&amp;Upgrades!$B$3:$B$13))*Upgrades!$D$3:$D$13))</f>
        <v/>
      </c>
      <c r="F574" s="66" t="str">
        <f>IFERROR(__xludf.DUMMYFUNCTION("IF(COUNTA(C574:C1644)=0,"""",IF(REGEXMATCH(INDEX(FILTER(C$4:C574,C$4:C574&lt;&gt;""""),ROWS(FILTER(C$4:C574,C$4:C574&lt;&gt;""""))),""^Sell_""),INDEX(FILTER(F$4:F573,C$4:C573&lt;&gt;""""),ROWS(FILTER(C$4:C573,C$4:C573&lt;&gt;""""))),$AC$5+E574))"),"")</f>
        <v/>
      </c>
      <c r="G574" s="10" t="str">
        <f>IFERROR(__xludf.DUMMYFUNCTION("IF(COUNTA(C574:C1644)=0,"""",IF(C574="""",0,IF(REGEXMATCH(C574,""^Sell_""),-ROUNDDOWN(ROUNDUP(INDEX(Upgrades!$C$3:$C$13,MATCH(SUBSTITUTE(C574,""Sell_"",""""),Upgrades!$B$3:$B$13,0))*1.15^(COUNTIF(C$4:C573,SUBSTITUTE(C574,""Sell_"",""""))-COUNTIF(C$4:C573,"&amp;"""Sell_""&amp;SUBSTITUTE(C574,""Sell_"",""""))))/2),ROUNDUP(INDEX(Upgrades!$C$3:$C$13,MATCH(C574,Upgrades!$B$3:$B$13,0))*1.15^(COUNTIF(C$4:C573,C574)-COUNTIF(C$4:C573,""Sell_""&amp;C574))))))"),"")</f>
        <v/>
      </c>
      <c r="H574" s="10" t="str">
        <f t="shared" si="3"/>
        <v/>
      </c>
      <c r="I574" s="68" t="str">
        <f t="shared" si="4"/>
        <v/>
      </c>
      <c r="J574" s="59" t="str">
        <f t="shared" si="5"/>
        <v/>
      </c>
      <c r="K574" s="69" t="str">
        <f t="shared" si="6"/>
        <v/>
      </c>
      <c r="L574" s="60" t="str">
        <f t="shared" si="7"/>
        <v/>
      </c>
      <c r="M574" s="61" t="str">
        <f>IFERROR(__xludf.DUMMYFUNCTION("IFS(AND(COUNTA(C574:C1644)=0,COUNTA(Q574:Q1644)=0),"""",OR(AND(K574&gt;=1000000000,OR(Y574&gt;=1000000000,COUNTA(Q574:Q1644)=0)),OR(Y574&gt;=1000000000,AND(COUNTA(C574:C1644)=0,P$3=TRUE))),
ROUNDDOWN((AB$1-AC$1)*MAX(INDEX(T$4:T1644,MATCH(LARGE(FILTER(Y$4:Y1644,Y$4"&amp;":Y1644&lt;1000000000),1),Y$4:Y1644)),INDEX(F$4:F1644,MATCH(LARGE(FILTER(K$4:K1644,K$4:K1644&lt;1000000000),1),K$4:K1644)))),AND(K574&lt;1000000000,COUNTA(C574:C1644)&gt;0,P$3=FALSE),
ROUNDDOWN(INDEX(Y$4:Y1644,MATCH(LARGE(FILTER(W$4:W1644,W$4:W1644&lt;=I574),1),W$4:W1644"&amp;"))+(I574-LARGE(FILTER(W$4:W1644,W$4:W1644&lt;=I574),1))*INDEX(T$4:T1644,MATCH(LARGE(FILTER(W$4:W1644,W$4:W1644&lt;=I574),1),W$4:W1644))-K574),1,
ROUNDDOWN(Y574-INDEX(K$4:K1644,MATCH(LARGE(FILTER(I$4:I1644,I$4:I1644&lt;=W574),1),I$4:I1644))-(W574-LARGE(FILTER(I$4:I"&amp;"1644,I$4:I1644&lt;=W574),1))*INDEX(F$4:F1644,MATCH(LARGE(FILTER(I$4:I1644,I$4:I1644&lt;=W574),1),I$4:I1644))))"),"")</f>
        <v/>
      </c>
      <c r="N574" s="60" t="str">
        <f t="shared" si="8"/>
        <v/>
      </c>
      <c r="O574" s="61" t="str">
        <f t="shared" si="9"/>
        <v/>
      </c>
      <c r="P574" s="56" t="str">
        <f t="shared" si="10"/>
        <v/>
      </c>
      <c r="Q574" s="105"/>
      <c r="R574" s="10"/>
      <c r="S574" s="59" t="str">
        <f t="array" ref="S574">IF(COUNTA(Q574:Q1644)=0,"",SUM((COUNTIF(Q$4:Q574,Upgrades!$B$3:$B$13)-COUNTIF(Q$4:Q574,"Sell_"&amp;Upgrades!$B$3:$B$13))*Upgrades!$D$3:$D$13))</f>
        <v/>
      </c>
      <c r="T574" s="66" t="str">
        <f>IFERROR(__xludf.DUMMYFUNCTION("IF(COUNTA(Q574:Q1644)=0,"""",IF(REGEXMATCH(INDEX(FILTER(Q$4:Q574,Q$4:Q574&lt;&gt;""""),ROWS(FILTER(Q$4:Q574,Q$4:Q574&lt;&gt;""""))),""^Sell_""),INDEX(FILTER(T$4:T573,Q$4:Q573&lt;&gt;""""),ROWS(FILTER(Q$4:Q573,Q$4:Q573&lt;&gt;""""))),$AD$5+S574))"),"")</f>
        <v/>
      </c>
      <c r="U574" s="10" t="str">
        <f>IFERROR(__xludf.DUMMYFUNCTION("IF(COUNTA(Q574:Q1644)=0,"""",IF(Q574="""",0,IF(REGEXMATCH(Q574,""^Sell_""),-ROUNDDOWN(ROUNDUP(INDEX(Upgrades!$C$3:$C$13,MATCH(SUBSTITUTE(Q574,""Sell_"",""""),Upgrades!$B$3:$B$13,0))*1.15^(COUNTIF(Q$4:Q573,SUBSTITUTE(Q574,""Sell_"",""""))-COUNTIF(Q$4:Q573,"&amp;"""Sell_""&amp;SUBSTITUTE(Q574,""Sell_"",""""))))/2),ROUNDUP(INDEX(Upgrades!$C$3:$C$13,MATCH(Q574,Upgrades!$B$3:$B$13,0))*1.15^(COUNTIF(Q$4:Q573,Q574)-COUNTIF(Q$4:Q573,""Sell_""&amp;Q574))))))"),"")</f>
        <v/>
      </c>
      <c r="V574" s="10" t="str">
        <f t="shared" si="11"/>
        <v/>
      </c>
      <c r="W574" s="68" t="str">
        <f t="shared" si="12"/>
        <v/>
      </c>
      <c r="X574" s="59" t="str">
        <f t="shared" si="13"/>
        <v/>
      </c>
      <c r="Y574" s="69" t="str">
        <f t="shared" si="14"/>
        <v/>
      </c>
      <c r="Z574" s="11"/>
      <c r="AG574" s="59"/>
    </row>
    <row r="575">
      <c r="A575" s="8"/>
      <c r="B575" s="56" t="str">
        <f t="shared" si="2"/>
        <v/>
      </c>
      <c r="C575" s="105"/>
      <c r="D575" s="10"/>
      <c r="E575" s="59" t="str">
        <f t="array" ref="E575">IF(COUNTA(C575:C1644)=0,"",SUM((COUNTIF(C$4:C575,Upgrades!$B$3:$B$13)-COUNTIF(C$4:C575,"Sell_"&amp;Upgrades!$B$3:$B$13))*Upgrades!$D$3:$D$13))</f>
        <v/>
      </c>
      <c r="F575" s="66" t="str">
        <f>IFERROR(__xludf.DUMMYFUNCTION("IF(COUNTA(C575:C1644)=0,"""",IF(REGEXMATCH(INDEX(FILTER(C$4:C575,C$4:C575&lt;&gt;""""),ROWS(FILTER(C$4:C575,C$4:C575&lt;&gt;""""))),""^Sell_""),INDEX(FILTER(F$4:F574,C$4:C574&lt;&gt;""""),ROWS(FILTER(C$4:C574,C$4:C574&lt;&gt;""""))),$AC$5+E575))"),"")</f>
        <v/>
      </c>
      <c r="G575" s="10" t="str">
        <f>IFERROR(__xludf.DUMMYFUNCTION("IF(COUNTA(C575:C1644)=0,"""",IF(C575="""",0,IF(REGEXMATCH(C575,""^Sell_""),-ROUNDDOWN(ROUNDUP(INDEX(Upgrades!$C$3:$C$13,MATCH(SUBSTITUTE(C575,""Sell_"",""""),Upgrades!$B$3:$B$13,0))*1.15^(COUNTIF(C$4:C574,SUBSTITUTE(C575,""Sell_"",""""))-COUNTIF(C$4:C574,"&amp;"""Sell_""&amp;SUBSTITUTE(C575,""Sell_"",""""))))/2),ROUNDUP(INDEX(Upgrades!$C$3:$C$13,MATCH(C575,Upgrades!$B$3:$B$13,0))*1.15^(COUNTIF(C$4:C574,C575)-COUNTIF(C$4:C574,""Sell_""&amp;C575))))))"),"")</f>
        <v/>
      </c>
      <c r="H575" s="10" t="str">
        <f t="shared" si="3"/>
        <v/>
      </c>
      <c r="I575" s="68" t="str">
        <f t="shared" si="4"/>
        <v/>
      </c>
      <c r="J575" s="59" t="str">
        <f t="shared" si="5"/>
        <v/>
      </c>
      <c r="K575" s="69" t="str">
        <f t="shared" si="6"/>
        <v/>
      </c>
      <c r="L575" s="60" t="str">
        <f t="shared" si="7"/>
        <v/>
      </c>
      <c r="M575" s="61" t="str">
        <f>IFERROR(__xludf.DUMMYFUNCTION("IFS(AND(COUNTA(C575:C1644)=0,COUNTA(Q575:Q1644)=0),"""",OR(AND(K575&gt;=1000000000,OR(Y575&gt;=1000000000,COUNTA(Q575:Q1644)=0)),OR(Y575&gt;=1000000000,AND(COUNTA(C575:C1644)=0,P$3=TRUE))),
ROUNDDOWN((AB$1-AC$1)*MAX(INDEX(T$4:T1644,MATCH(LARGE(FILTER(Y$4:Y1644,Y$4"&amp;":Y1644&lt;1000000000),1),Y$4:Y1644)),INDEX(F$4:F1644,MATCH(LARGE(FILTER(K$4:K1644,K$4:K1644&lt;1000000000),1),K$4:K1644)))),AND(K575&lt;1000000000,COUNTA(C575:C1644)&gt;0,P$3=FALSE),
ROUNDDOWN(INDEX(Y$4:Y1644,MATCH(LARGE(FILTER(W$4:W1644,W$4:W1644&lt;=I575),1),W$4:W1644"&amp;"))+(I575-LARGE(FILTER(W$4:W1644,W$4:W1644&lt;=I575),1))*INDEX(T$4:T1644,MATCH(LARGE(FILTER(W$4:W1644,W$4:W1644&lt;=I575),1),W$4:W1644))-K575),1,
ROUNDDOWN(Y575-INDEX(K$4:K1644,MATCH(LARGE(FILTER(I$4:I1644,I$4:I1644&lt;=W575),1),I$4:I1644))-(W575-LARGE(FILTER(I$4:I"&amp;"1644,I$4:I1644&lt;=W575),1))*INDEX(F$4:F1644,MATCH(LARGE(FILTER(I$4:I1644,I$4:I1644&lt;=W575),1),I$4:I1644))))"),"")</f>
        <v/>
      </c>
      <c r="N575" s="60" t="str">
        <f t="shared" si="8"/>
        <v/>
      </c>
      <c r="O575" s="61" t="str">
        <f t="shared" si="9"/>
        <v/>
      </c>
      <c r="P575" s="56" t="str">
        <f t="shared" si="10"/>
        <v/>
      </c>
      <c r="Q575" s="105"/>
      <c r="R575" s="10"/>
      <c r="S575" s="59" t="str">
        <f t="array" ref="S575">IF(COUNTA(Q575:Q1644)=0,"",SUM((COUNTIF(Q$4:Q575,Upgrades!$B$3:$B$13)-COUNTIF(Q$4:Q575,"Sell_"&amp;Upgrades!$B$3:$B$13))*Upgrades!$D$3:$D$13))</f>
        <v/>
      </c>
      <c r="T575" s="66" t="str">
        <f>IFERROR(__xludf.DUMMYFUNCTION("IF(COUNTA(Q575:Q1644)=0,"""",IF(REGEXMATCH(INDEX(FILTER(Q$4:Q575,Q$4:Q575&lt;&gt;""""),ROWS(FILTER(Q$4:Q575,Q$4:Q575&lt;&gt;""""))),""^Sell_""),INDEX(FILTER(T$4:T574,Q$4:Q574&lt;&gt;""""),ROWS(FILTER(Q$4:Q574,Q$4:Q574&lt;&gt;""""))),$AD$5+S575))"),"")</f>
        <v/>
      </c>
      <c r="U575" s="10" t="str">
        <f>IFERROR(__xludf.DUMMYFUNCTION("IF(COUNTA(Q575:Q1644)=0,"""",IF(Q575="""",0,IF(REGEXMATCH(Q575,""^Sell_""),-ROUNDDOWN(ROUNDUP(INDEX(Upgrades!$C$3:$C$13,MATCH(SUBSTITUTE(Q575,""Sell_"",""""),Upgrades!$B$3:$B$13,0))*1.15^(COUNTIF(Q$4:Q574,SUBSTITUTE(Q575,""Sell_"",""""))-COUNTIF(Q$4:Q574,"&amp;"""Sell_""&amp;SUBSTITUTE(Q575,""Sell_"",""""))))/2),ROUNDUP(INDEX(Upgrades!$C$3:$C$13,MATCH(Q575,Upgrades!$B$3:$B$13,0))*1.15^(COUNTIF(Q$4:Q574,Q575)-COUNTIF(Q$4:Q574,""Sell_""&amp;Q575))))))"),"")</f>
        <v/>
      </c>
      <c r="V575" s="10" t="str">
        <f t="shared" si="11"/>
        <v/>
      </c>
      <c r="W575" s="68" t="str">
        <f t="shared" si="12"/>
        <v/>
      </c>
      <c r="X575" s="59" t="str">
        <f t="shared" si="13"/>
        <v/>
      </c>
      <c r="Y575" s="69" t="str">
        <f t="shared" si="14"/>
        <v/>
      </c>
      <c r="Z575" s="11"/>
      <c r="AG575" s="59"/>
    </row>
    <row r="576">
      <c r="A576" s="8"/>
      <c r="B576" s="56" t="str">
        <f t="shared" si="2"/>
        <v/>
      </c>
      <c r="C576" s="105"/>
      <c r="D576" s="10"/>
      <c r="E576" s="59" t="str">
        <f t="array" ref="E576">IF(COUNTA(C576:C1644)=0,"",SUM((COUNTIF(C$4:C576,Upgrades!$B$3:$B$13)-COUNTIF(C$4:C576,"Sell_"&amp;Upgrades!$B$3:$B$13))*Upgrades!$D$3:$D$13))</f>
        <v/>
      </c>
      <c r="F576" s="66" t="str">
        <f>IFERROR(__xludf.DUMMYFUNCTION("IF(COUNTA(C576:C1644)=0,"""",IF(REGEXMATCH(INDEX(FILTER(C$4:C576,C$4:C576&lt;&gt;""""),ROWS(FILTER(C$4:C576,C$4:C576&lt;&gt;""""))),""^Sell_""),INDEX(FILTER(F$4:F575,C$4:C575&lt;&gt;""""),ROWS(FILTER(C$4:C575,C$4:C575&lt;&gt;""""))),$AC$5+E576))"),"")</f>
        <v/>
      </c>
      <c r="G576" s="10" t="str">
        <f>IFERROR(__xludf.DUMMYFUNCTION("IF(COUNTA(C576:C1644)=0,"""",IF(C576="""",0,IF(REGEXMATCH(C576,""^Sell_""),-ROUNDDOWN(ROUNDUP(INDEX(Upgrades!$C$3:$C$13,MATCH(SUBSTITUTE(C576,""Sell_"",""""),Upgrades!$B$3:$B$13,0))*1.15^(COUNTIF(C$4:C575,SUBSTITUTE(C576,""Sell_"",""""))-COUNTIF(C$4:C575,"&amp;"""Sell_""&amp;SUBSTITUTE(C576,""Sell_"",""""))))/2),ROUNDUP(INDEX(Upgrades!$C$3:$C$13,MATCH(C576,Upgrades!$B$3:$B$13,0))*1.15^(COUNTIF(C$4:C575,C576)-COUNTIF(C$4:C575,""Sell_""&amp;C576))))))"),"")</f>
        <v/>
      </c>
      <c r="H576" s="10" t="str">
        <f t="shared" si="3"/>
        <v/>
      </c>
      <c r="I576" s="68" t="str">
        <f t="shared" si="4"/>
        <v/>
      </c>
      <c r="J576" s="59" t="str">
        <f t="shared" si="5"/>
        <v/>
      </c>
      <c r="K576" s="69" t="str">
        <f t="shared" si="6"/>
        <v/>
      </c>
      <c r="L576" s="60" t="str">
        <f t="shared" si="7"/>
        <v/>
      </c>
      <c r="M576" s="61" t="str">
        <f>IFERROR(__xludf.DUMMYFUNCTION("IFS(AND(COUNTA(C576:C1644)=0,COUNTA(Q576:Q1644)=0),"""",OR(AND(K576&gt;=1000000000,OR(Y576&gt;=1000000000,COUNTA(Q576:Q1644)=0)),OR(Y576&gt;=1000000000,AND(COUNTA(C576:C1644)=0,P$3=TRUE))),
ROUNDDOWN((AB$1-AC$1)*MAX(INDEX(T$4:T1644,MATCH(LARGE(FILTER(Y$4:Y1644,Y$4"&amp;":Y1644&lt;1000000000),1),Y$4:Y1644)),INDEX(F$4:F1644,MATCH(LARGE(FILTER(K$4:K1644,K$4:K1644&lt;1000000000),1),K$4:K1644)))),AND(K576&lt;1000000000,COUNTA(C576:C1644)&gt;0,P$3=FALSE),
ROUNDDOWN(INDEX(Y$4:Y1644,MATCH(LARGE(FILTER(W$4:W1644,W$4:W1644&lt;=I576),1),W$4:W1644"&amp;"))+(I576-LARGE(FILTER(W$4:W1644,W$4:W1644&lt;=I576),1))*INDEX(T$4:T1644,MATCH(LARGE(FILTER(W$4:W1644,W$4:W1644&lt;=I576),1),W$4:W1644))-K576),1,
ROUNDDOWN(Y576-INDEX(K$4:K1644,MATCH(LARGE(FILTER(I$4:I1644,I$4:I1644&lt;=W576),1),I$4:I1644))-(W576-LARGE(FILTER(I$4:I"&amp;"1644,I$4:I1644&lt;=W576),1))*INDEX(F$4:F1644,MATCH(LARGE(FILTER(I$4:I1644,I$4:I1644&lt;=W576),1),I$4:I1644))))"),"")</f>
        <v/>
      </c>
      <c r="N576" s="60" t="str">
        <f t="shared" si="8"/>
        <v/>
      </c>
      <c r="O576" s="61" t="str">
        <f t="shared" si="9"/>
        <v/>
      </c>
      <c r="P576" s="56" t="str">
        <f t="shared" si="10"/>
        <v/>
      </c>
      <c r="Q576" s="105"/>
      <c r="R576" s="10"/>
      <c r="S576" s="59" t="str">
        <f t="array" ref="S576">IF(COUNTA(Q576:Q1644)=0,"",SUM((COUNTIF(Q$4:Q576,Upgrades!$B$3:$B$13)-COUNTIF(Q$4:Q576,"Sell_"&amp;Upgrades!$B$3:$B$13))*Upgrades!$D$3:$D$13))</f>
        <v/>
      </c>
      <c r="T576" s="66" t="str">
        <f>IFERROR(__xludf.DUMMYFUNCTION("IF(COUNTA(Q576:Q1644)=0,"""",IF(REGEXMATCH(INDEX(FILTER(Q$4:Q576,Q$4:Q576&lt;&gt;""""),ROWS(FILTER(Q$4:Q576,Q$4:Q576&lt;&gt;""""))),""^Sell_""),INDEX(FILTER(T$4:T575,Q$4:Q575&lt;&gt;""""),ROWS(FILTER(Q$4:Q575,Q$4:Q575&lt;&gt;""""))),$AD$5+S576))"),"")</f>
        <v/>
      </c>
      <c r="U576" s="10" t="str">
        <f>IFERROR(__xludf.DUMMYFUNCTION("IF(COUNTA(Q576:Q1644)=0,"""",IF(Q576="""",0,IF(REGEXMATCH(Q576,""^Sell_""),-ROUNDDOWN(ROUNDUP(INDEX(Upgrades!$C$3:$C$13,MATCH(SUBSTITUTE(Q576,""Sell_"",""""),Upgrades!$B$3:$B$13,0))*1.15^(COUNTIF(Q$4:Q575,SUBSTITUTE(Q576,""Sell_"",""""))-COUNTIF(Q$4:Q575,"&amp;"""Sell_""&amp;SUBSTITUTE(Q576,""Sell_"",""""))))/2),ROUNDUP(INDEX(Upgrades!$C$3:$C$13,MATCH(Q576,Upgrades!$B$3:$B$13,0))*1.15^(COUNTIF(Q$4:Q575,Q576)-COUNTIF(Q$4:Q575,""Sell_""&amp;Q576))))))"),"")</f>
        <v/>
      </c>
      <c r="V576" s="10" t="str">
        <f t="shared" si="11"/>
        <v/>
      </c>
      <c r="W576" s="68" t="str">
        <f t="shared" si="12"/>
        <v/>
      </c>
      <c r="X576" s="59" t="str">
        <f t="shared" si="13"/>
        <v/>
      </c>
      <c r="Y576" s="69" t="str">
        <f t="shared" si="14"/>
        <v/>
      </c>
      <c r="Z576" s="11"/>
      <c r="AG576" s="59"/>
    </row>
    <row r="577">
      <c r="A577" s="8"/>
      <c r="B577" s="56" t="str">
        <f t="shared" si="2"/>
        <v/>
      </c>
      <c r="C577" s="105"/>
      <c r="D577" s="10"/>
      <c r="E577" s="59" t="str">
        <f t="array" ref="E577">IF(COUNTA(C577:C1644)=0,"",SUM((COUNTIF(C$4:C577,Upgrades!$B$3:$B$13)-COUNTIF(C$4:C577,"Sell_"&amp;Upgrades!$B$3:$B$13))*Upgrades!$D$3:$D$13))</f>
        <v/>
      </c>
      <c r="F577" s="66" t="str">
        <f>IFERROR(__xludf.DUMMYFUNCTION("IF(COUNTA(C577:C1644)=0,"""",IF(REGEXMATCH(INDEX(FILTER(C$4:C577,C$4:C577&lt;&gt;""""),ROWS(FILTER(C$4:C577,C$4:C577&lt;&gt;""""))),""^Sell_""),INDEX(FILTER(F$4:F576,C$4:C576&lt;&gt;""""),ROWS(FILTER(C$4:C576,C$4:C576&lt;&gt;""""))),$AC$5+E577))"),"")</f>
        <v/>
      </c>
      <c r="G577" s="10" t="str">
        <f>IFERROR(__xludf.DUMMYFUNCTION("IF(COUNTA(C577:C1644)=0,"""",IF(C577="""",0,IF(REGEXMATCH(C577,""^Sell_""),-ROUNDDOWN(ROUNDUP(INDEX(Upgrades!$C$3:$C$13,MATCH(SUBSTITUTE(C577,""Sell_"",""""),Upgrades!$B$3:$B$13,0))*1.15^(COUNTIF(C$4:C576,SUBSTITUTE(C577,""Sell_"",""""))-COUNTIF(C$4:C576,"&amp;"""Sell_""&amp;SUBSTITUTE(C577,""Sell_"",""""))))/2),ROUNDUP(INDEX(Upgrades!$C$3:$C$13,MATCH(C577,Upgrades!$B$3:$B$13,0))*1.15^(COUNTIF(C$4:C576,C577)-COUNTIF(C$4:C576,""Sell_""&amp;C577))))))"),"")</f>
        <v/>
      </c>
      <c r="H577" s="10" t="str">
        <f t="shared" si="3"/>
        <v/>
      </c>
      <c r="I577" s="68" t="str">
        <f t="shared" si="4"/>
        <v/>
      </c>
      <c r="J577" s="59" t="str">
        <f t="shared" si="5"/>
        <v/>
      </c>
      <c r="K577" s="69" t="str">
        <f t="shared" si="6"/>
        <v/>
      </c>
      <c r="L577" s="60" t="str">
        <f t="shared" si="7"/>
        <v/>
      </c>
      <c r="M577" s="61" t="str">
        <f>IFERROR(__xludf.DUMMYFUNCTION("IFS(AND(COUNTA(C577:C1644)=0,COUNTA(Q577:Q1644)=0),"""",OR(AND(K577&gt;=1000000000,OR(Y577&gt;=1000000000,COUNTA(Q577:Q1644)=0)),OR(Y577&gt;=1000000000,AND(COUNTA(C577:C1644)=0,P$3=TRUE))),
ROUNDDOWN((AB$1-AC$1)*MAX(INDEX(T$4:T1644,MATCH(LARGE(FILTER(Y$4:Y1644,Y$4"&amp;":Y1644&lt;1000000000),1),Y$4:Y1644)),INDEX(F$4:F1644,MATCH(LARGE(FILTER(K$4:K1644,K$4:K1644&lt;1000000000),1),K$4:K1644)))),AND(K577&lt;1000000000,COUNTA(C577:C1644)&gt;0,P$3=FALSE),
ROUNDDOWN(INDEX(Y$4:Y1644,MATCH(LARGE(FILTER(W$4:W1644,W$4:W1644&lt;=I577),1),W$4:W1644"&amp;"))+(I577-LARGE(FILTER(W$4:W1644,W$4:W1644&lt;=I577),1))*INDEX(T$4:T1644,MATCH(LARGE(FILTER(W$4:W1644,W$4:W1644&lt;=I577),1),W$4:W1644))-K577),1,
ROUNDDOWN(Y577-INDEX(K$4:K1644,MATCH(LARGE(FILTER(I$4:I1644,I$4:I1644&lt;=W577),1),I$4:I1644))-(W577-LARGE(FILTER(I$4:I"&amp;"1644,I$4:I1644&lt;=W577),1))*INDEX(F$4:F1644,MATCH(LARGE(FILTER(I$4:I1644,I$4:I1644&lt;=W577),1),I$4:I1644))))"),"")</f>
        <v/>
      </c>
      <c r="N577" s="60" t="str">
        <f t="shared" si="8"/>
        <v/>
      </c>
      <c r="O577" s="61" t="str">
        <f t="shared" si="9"/>
        <v/>
      </c>
      <c r="P577" s="56" t="str">
        <f t="shared" si="10"/>
        <v/>
      </c>
      <c r="Q577" s="105"/>
      <c r="R577" s="10"/>
      <c r="S577" s="59" t="str">
        <f t="array" ref="S577">IF(COUNTA(Q577:Q1644)=0,"",SUM((COUNTIF(Q$4:Q577,Upgrades!$B$3:$B$13)-COUNTIF(Q$4:Q577,"Sell_"&amp;Upgrades!$B$3:$B$13))*Upgrades!$D$3:$D$13))</f>
        <v/>
      </c>
      <c r="T577" s="66" t="str">
        <f>IFERROR(__xludf.DUMMYFUNCTION("IF(COUNTA(Q577:Q1644)=0,"""",IF(REGEXMATCH(INDEX(FILTER(Q$4:Q577,Q$4:Q577&lt;&gt;""""),ROWS(FILTER(Q$4:Q577,Q$4:Q577&lt;&gt;""""))),""^Sell_""),INDEX(FILTER(T$4:T576,Q$4:Q576&lt;&gt;""""),ROWS(FILTER(Q$4:Q576,Q$4:Q576&lt;&gt;""""))),$AD$5+S577))"),"")</f>
        <v/>
      </c>
      <c r="U577" s="10" t="str">
        <f>IFERROR(__xludf.DUMMYFUNCTION("IF(COUNTA(Q577:Q1644)=0,"""",IF(Q577="""",0,IF(REGEXMATCH(Q577,""^Sell_""),-ROUNDDOWN(ROUNDUP(INDEX(Upgrades!$C$3:$C$13,MATCH(SUBSTITUTE(Q577,""Sell_"",""""),Upgrades!$B$3:$B$13,0))*1.15^(COUNTIF(Q$4:Q576,SUBSTITUTE(Q577,""Sell_"",""""))-COUNTIF(Q$4:Q576,"&amp;"""Sell_""&amp;SUBSTITUTE(Q577,""Sell_"",""""))))/2),ROUNDUP(INDEX(Upgrades!$C$3:$C$13,MATCH(Q577,Upgrades!$B$3:$B$13,0))*1.15^(COUNTIF(Q$4:Q576,Q577)-COUNTIF(Q$4:Q576,""Sell_""&amp;Q577))))))"),"")</f>
        <v/>
      </c>
      <c r="V577" s="10" t="str">
        <f t="shared" si="11"/>
        <v/>
      </c>
      <c r="W577" s="68" t="str">
        <f t="shared" si="12"/>
        <v/>
      </c>
      <c r="X577" s="59" t="str">
        <f t="shared" si="13"/>
        <v/>
      </c>
      <c r="Y577" s="69" t="str">
        <f t="shared" si="14"/>
        <v/>
      </c>
      <c r="Z577" s="11"/>
      <c r="AG577" s="59"/>
    </row>
    <row r="578">
      <c r="A578" s="8"/>
      <c r="B578" s="56" t="str">
        <f t="shared" si="2"/>
        <v/>
      </c>
      <c r="C578" s="105"/>
      <c r="D578" s="10"/>
      <c r="E578" s="59" t="str">
        <f t="array" ref="E578">IF(COUNTA(C578:C1644)=0,"",SUM((COUNTIF(C$4:C578,Upgrades!$B$3:$B$13)-COUNTIF(C$4:C578,"Sell_"&amp;Upgrades!$B$3:$B$13))*Upgrades!$D$3:$D$13))</f>
        <v/>
      </c>
      <c r="F578" s="66" t="str">
        <f>IFERROR(__xludf.DUMMYFUNCTION("IF(COUNTA(C578:C1644)=0,"""",IF(REGEXMATCH(INDEX(FILTER(C$4:C578,C$4:C578&lt;&gt;""""),ROWS(FILTER(C$4:C578,C$4:C578&lt;&gt;""""))),""^Sell_""),INDEX(FILTER(F$4:F577,C$4:C577&lt;&gt;""""),ROWS(FILTER(C$4:C577,C$4:C577&lt;&gt;""""))),$AC$5+E578))"),"")</f>
        <v/>
      </c>
      <c r="G578" s="10" t="str">
        <f>IFERROR(__xludf.DUMMYFUNCTION("IF(COUNTA(C578:C1644)=0,"""",IF(C578="""",0,IF(REGEXMATCH(C578,""^Sell_""),-ROUNDDOWN(ROUNDUP(INDEX(Upgrades!$C$3:$C$13,MATCH(SUBSTITUTE(C578,""Sell_"",""""),Upgrades!$B$3:$B$13,0))*1.15^(COUNTIF(C$4:C577,SUBSTITUTE(C578,""Sell_"",""""))-COUNTIF(C$4:C577,"&amp;"""Sell_""&amp;SUBSTITUTE(C578,""Sell_"",""""))))/2),ROUNDUP(INDEX(Upgrades!$C$3:$C$13,MATCH(C578,Upgrades!$B$3:$B$13,0))*1.15^(COUNTIF(C$4:C577,C578)-COUNTIF(C$4:C577,""Sell_""&amp;C578))))))"),"")</f>
        <v/>
      </c>
      <c r="H578" s="10" t="str">
        <f t="shared" si="3"/>
        <v/>
      </c>
      <c r="I578" s="68" t="str">
        <f t="shared" si="4"/>
        <v/>
      </c>
      <c r="J578" s="59" t="str">
        <f t="shared" si="5"/>
        <v/>
      </c>
      <c r="K578" s="69" t="str">
        <f t="shared" si="6"/>
        <v/>
      </c>
      <c r="L578" s="60" t="str">
        <f t="shared" si="7"/>
        <v/>
      </c>
      <c r="M578" s="61" t="str">
        <f>IFERROR(__xludf.DUMMYFUNCTION("IFS(AND(COUNTA(C578:C1644)=0,COUNTA(Q578:Q1644)=0),"""",OR(AND(K578&gt;=1000000000,OR(Y578&gt;=1000000000,COUNTA(Q578:Q1644)=0)),OR(Y578&gt;=1000000000,AND(COUNTA(C578:C1644)=0,P$3=TRUE))),
ROUNDDOWN((AB$1-AC$1)*MAX(INDEX(T$4:T1644,MATCH(LARGE(FILTER(Y$4:Y1644,Y$4"&amp;":Y1644&lt;1000000000),1),Y$4:Y1644)),INDEX(F$4:F1644,MATCH(LARGE(FILTER(K$4:K1644,K$4:K1644&lt;1000000000),1),K$4:K1644)))),AND(K578&lt;1000000000,COUNTA(C578:C1644)&gt;0,P$3=FALSE),
ROUNDDOWN(INDEX(Y$4:Y1644,MATCH(LARGE(FILTER(W$4:W1644,W$4:W1644&lt;=I578),1),W$4:W1644"&amp;"))+(I578-LARGE(FILTER(W$4:W1644,W$4:W1644&lt;=I578),1))*INDEX(T$4:T1644,MATCH(LARGE(FILTER(W$4:W1644,W$4:W1644&lt;=I578),1),W$4:W1644))-K578),1,
ROUNDDOWN(Y578-INDEX(K$4:K1644,MATCH(LARGE(FILTER(I$4:I1644,I$4:I1644&lt;=W578),1),I$4:I1644))-(W578-LARGE(FILTER(I$4:I"&amp;"1644,I$4:I1644&lt;=W578),1))*INDEX(F$4:F1644,MATCH(LARGE(FILTER(I$4:I1644,I$4:I1644&lt;=W578),1),I$4:I1644))))"),"")</f>
        <v/>
      </c>
      <c r="N578" s="60" t="str">
        <f t="shared" si="8"/>
        <v/>
      </c>
      <c r="O578" s="61" t="str">
        <f t="shared" si="9"/>
        <v/>
      </c>
      <c r="P578" s="56" t="str">
        <f t="shared" si="10"/>
        <v/>
      </c>
      <c r="Q578" s="105"/>
      <c r="R578" s="10"/>
      <c r="S578" s="59" t="str">
        <f t="array" ref="S578">IF(COUNTA(Q578:Q1644)=0,"",SUM((COUNTIF(Q$4:Q578,Upgrades!$B$3:$B$13)-COUNTIF(Q$4:Q578,"Sell_"&amp;Upgrades!$B$3:$B$13))*Upgrades!$D$3:$D$13))</f>
        <v/>
      </c>
      <c r="T578" s="66" t="str">
        <f>IFERROR(__xludf.DUMMYFUNCTION("IF(COUNTA(Q578:Q1644)=0,"""",IF(REGEXMATCH(INDEX(FILTER(Q$4:Q578,Q$4:Q578&lt;&gt;""""),ROWS(FILTER(Q$4:Q578,Q$4:Q578&lt;&gt;""""))),""^Sell_""),INDEX(FILTER(T$4:T577,Q$4:Q577&lt;&gt;""""),ROWS(FILTER(Q$4:Q577,Q$4:Q577&lt;&gt;""""))),$AD$5+S578))"),"")</f>
        <v/>
      </c>
      <c r="U578" s="10" t="str">
        <f>IFERROR(__xludf.DUMMYFUNCTION("IF(COUNTA(Q578:Q1644)=0,"""",IF(Q578="""",0,IF(REGEXMATCH(Q578,""^Sell_""),-ROUNDDOWN(ROUNDUP(INDEX(Upgrades!$C$3:$C$13,MATCH(SUBSTITUTE(Q578,""Sell_"",""""),Upgrades!$B$3:$B$13,0))*1.15^(COUNTIF(Q$4:Q577,SUBSTITUTE(Q578,""Sell_"",""""))-COUNTIF(Q$4:Q577,"&amp;"""Sell_""&amp;SUBSTITUTE(Q578,""Sell_"",""""))))/2),ROUNDUP(INDEX(Upgrades!$C$3:$C$13,MATCH(Q578,Upgrades!$B$3:$B$13,0))*1.15^(COUNTIF(Q$4:Q577,Q578)-COUNTIF(Q$4:Q577,""Sell_""&amp;Q578))))))"),"")</f>
        <v/>
      </c>
      <c r="V578" s="10" t="str">
        <f t="shared" si="11"/>
        <v/>
      </c>
      <c r="W578" s="68" t="str">
        <f t="shared" si="12"/>
        <v/>
      </c>
      <c r="X578" s="59" t="str">
        <f t="shared" si="13"/>
        <v/>
      </c>
      <c r="Y578" s="69" t="str">
        <f t="shared" si="14"/>
        <v/>
      </c>
      <c r="Z578" s="11"/>
      <c r="AG578" s="59"/>
    </row>
    <row r="579">
      <c r="A579" s="8"/>
      <c r="B579" s="56" t="str">
        <f t="shared" si="2"/>
        <v/>
      </c>
      <c r="C579" s="105"/>
      <c r="D579" s="10"/>
      <c r="E579" s="59" t="str">
        <f t="array" ref="E579">IF(COUNTA(C579:C1644)=0,"",SUM((COUNTIF(C$4:C579,Upgrades!$B$3:$B$13)-COUNTIF(C$4:C579,"Sell_"&amp;Upgrades!$B$3:$B$13))*Upgrades!$D$3:$D$13))</f>
        <v/>
      </c>
      <c r="F579" s="66" t="str">
        <f>IFERROR(__xludf.DUMMYFUNCTION("IF(COUNTA(C579:C1644)=0,"""",IF(REGEXMATCH(INDEX(FILTER(C$4:C579,C$4:C579&lt;&gt;""""),ROWS(FILTER(C$4:C579,C$4:C579&lt;&gt;""""))),""^Sell_""),INDEX(FILTER(F$4:F578,C$4:C578&lt;&gt;""""),ROWS(FILTER(C$4:C578,C$4:C578&lt;&gt;""""))),$AC$5+E579))"),"")</f>
        <v/>
      </c>
      <c r="G579" s="10" t="str">
        <f>IFERROR(__xludf.DUMMYFUNCTION("IF(COUNTA(C579:C1644)=0,"""",IF(C579="""",0,IF(REGEXMATCH(C579,""^Sell_""),-ROUNDDOWN(ROUNDUP(INDEX(Upgrades!$C$3:$C$13,MATCH(SUBSTITUTE(C579,""Sell_"",""""),Upgrades!$B$3:$B$13,0))*1.15^(COUNTIF(C$4:C578,SUBSTITUTE(C579,""Sell_"",""""))-COUNTIF(C$4:C578,"&amp;"""Sell_""&amp;SUBSTITUTE(C579,""Sell_"",""""))))/2),ROUNDUP(INDEX(Upgrades!$C$3:$C$13,MATCH(C579,Upgrades!$B$3:$B$13,0))*1.15^(COUNTIF(C$4:C578,C579)-COUNTIF(C$4:C578,""Sell_""&amp;C579))))))"),"")</f>
        <v/>
      </c>
      <c r="H579" s="10" t="str">
        <f t="shared" si="3"/>
        <v/>
      </c>
      <c r="I579" s="68" t="str">
        <f t="shared" si="4"/>
        <v/>
      </c>
      <c r="J579" s="59" t="str">
        <f t="shared" si="5"/>
        <v/>
      </c>
      <c r="K579" s="69" t="str">
        <f t="shared" si="6"/>
        <v/>
      </c>
      <c r="L579" s="60" t="str">
        <f t="shared" si="7"/>
        <v/>
      </c>
      <c r="M579" s="61" t="str">
        <f>IFERROR(__xludf.DUMMYFUNCTION("IFS(AND(COUNTA(C579:C1644)=0,COUNTA(Q579:Q1644)=0),"""",OR(AND(K579&gt;=1000000000,OR(Y579&gt;=1000000000,COUNTA(Q579:Q1644)=0)),OR(Y579&gt;=1000000000,AND(COUNTA(C579:C1644)=0,P$3=TRUE))),
ROUNDDOWN((AB$1-AC$1)*MAX(INDEX(T$4:T1644,MATCH(LARGE(FILTER(Y$4:Y1644,Y$4"&amp;":Y1644&lt;1000000000),1),Y$4:Y1644)),INDEX(F$4:F1644,MATCH(LARGE(FILTER(K$4:K1644,K$4:K1644&lt;1000000000),1),K$4:K1644)))),AND(K579&lt;1000000000,COUNTA(C579:C1644)&gt;0,P$3=FALSE),
ROUNDDOWN(INDEX(Y$4:Y1644,MATCH(LARGE(FILTER(W$4:W1644,W$4:W1644&lt;=I579),1),W$4:W1644"&amp;"))+(I579-LARGE(FILTER(W$4:W1644,W$4:W1644&lt;=I579),1))*INDEX(T$4:T1644,MATCH(LARGE(FILTER(W$4:W1644,W$4:W1644&lt;=I579),1),W$4:W1644))-K579),1,
ROUNDDOWN(Y579-INDEX(K$4:K1644,MATCH(LARGE(FILTER(I$4:I1644,I$4:I1644&lt;=W579),1),I$4:I1644))-(W579-LARGE(FILTER(I$4:I"&amp;"1644,I$4:I1644&lt;=W579),1))*INDEX(F$4:F1644,MATCH(LARGE(FILTER(I$4:I1644,I$4:I1644&lt;=W579),1),I$4:I1644))))"),"")</f>
        <v/>
      </c>
      <c r="N579" s="60" t="str">
        <f t="shared" si="8"/>
        <v/>
      </c>
      <c r="O579" s="61" t="str">
        <f t="shared" si="9"/>
        <v/>
      </c>
      <c r="P579" s="56" t="str">
        <f t="shared" si="10"/>
        <v/>
      </c>
      <c r="Q579" s="105"/>
      <c r="R579" s="10"/>
      <c r="S579" s="59" t="str">
        <f t="array" ref="S579">IF(COUNTA(Q579:Q1644)=0,"",SUM((COUNTIF(Q$4:Q579,Upgrades!$B$3:$B$13)-COUNTIF(Q$4:Q579,"Sell_"&amp;Upgrades!$B$3:$B$13))*Upgrades!$D$3:$D$13))</f>
        <v/>
      </c>
      <c r="T579" s="66" t="str">
        <f>IFERROR(__xludf.DUMMYFUNCTION("IF(COUNTA(Q579:Q1644)=0,"""",IF(REGEXMATCH(INDEX(FILTER(Q$4:Q579,Q$4:Q579&lt;&gt;""""),ROWS(FILTER(Q$4:Q579,Q$4:Q579&lt;&gt;""""))),""^Sell_""),INDEX(FILTER(T$4:T578,Q$4:Q578&lt;&gt;""""),ROWS(FILTER(Q$4:Q578,Q$4:Q578&lt;&gt;""""))),$AD$5+S579))"),"")</f>
        <v/>
      </c>
      <c r="U579" s="10" t="str">
        <f>IFERROR(__xludf.DUMMYFUNCTION("IF(COUNTA(Q579:Q1644)=0,"""",IF(Q579="""",0,IF(REGEXMATCH(Q579,""^Sell_""),-ROUNDDOWN(ROUNDUP(INDEX(Upgrades!$C$3:$C$13,MATCH(SUBSTITUTE(Q579,""Sell_"",""""),Upgrades!$B$3:$B$13,0))*1.15^(COUNTIF(Q$4:Q578,SUBSTITUTE(Q579,""Sell_"",""""))-COUNTIF(Q$4:Q578,"&amp;"""Sell_""&amp;SUBSTITUTE(Q579,""Sell_"",""""))))/2),ROUNDUP(INDEX(Upgrades!$C$3:$C$13,MATCH(Q579,Upgrades!$B$3:$B$13,0))*1.15^(COUNTIF(Q$4:Q578,Q579)-COUNTIF(Q$4:Q578,""Sell_""&amp;Q579))))))"),"")</f>
        <v/>
      </c>
      <c r="V579" s="10" t="str">
        <f t="shared" si="11"/>
        <v/>
      </c>
      <c r="W579" s="68" t="str">
        <f t="shared" si="12"/>
        <v/>
      </c>
      <c r="X579" s="59" t="str">
        <f t="shared" si="13"/>
        <v/>
      </c>
      <c r="Y579" s="69" t="str">
        <f t="shared" si="14"/>
        <v/>
      </c>
      <c r="Z579" s="11"/>
      <c r="AG579" s="59"/>
    </row>
    <row r="580">
      <c r="A580" s="8"/>
      <c r="B580" s="56" t="str">
        <f t="shared" si="2"/>
        <v/>
      </c>
      <c r="C580" s="105"/>
      <c r="D580" s="10"/>
      <c r="E580" s="59" t="str">
        <f t="array" ref="E580">IF(COUNTA(C580:C1644)=0,"",SUM((COUNTIF(C$4:C580,Upgrades!$B$3:$B$13)-COUNTIF(C$4:C580,"Sell_"&amp;Upgrades!$B$3:$B$13))*Upgrades!$D$3:$D$13))</f>
        <v/>
      </c>
      <c r="F580" s="66" t="str">
        <f>IFERROR(__xludf.DUMMYFUNCTION("IF(COUNTA(C580:C1644)=0,"""",IF(REGEXMATCH(INDEX(FILTER(C$4:C580,C$4:C580&lt;&gt;""""),ROWS(FILTER(C$4:C580,C$4:C580&lt;&gt;""""))),""^Sell_""),INDEX(FILTER(F$4:F579,C$4:C579&lt;&gt;""""),ROWS(FILTER(C$4:C579,C$4:C579&lt;&gt;""""))),$AC$5+E580))"),"")</f>
        <v/>
      </c>
      <c r="G580" s="10" t="str">
        <f>IFERROR(__xludf.DUMMYFUNCTION("IF(COUNTA(C580:C1644)=0,"""",IF(C580="""",0,IF(REGEXMATCH(C580,""^Sell_""),-ROUNDDOWN(ROUNDUP(INDEX(Upgrades!$C$3:$C$13,MATCH(SUBSTITUTE(C580,""Sell_"",""""),Upgrades!$B$3:$B$13,0))*1.15^(COUNTIF(C$4:C579,SUBSTITUTE(C580,""Sell_"",""""))-COUNTIF(C$4:C579,"&amp;"""Sell_""&amp;SUBSTITUTE(C580,""Sell_"",""""))))/2),ROUNDUP(INDEX(Upgrades!$C$3:$C$13,MATCH(C580,Upgrades!$B$3:$B$13,0))*1.15^(COUNTIF(C$4:C579,C580)-COUNTIF(C$4:C579,""Sell_""&amp;C580))))))"),"")</f>
        <v/>
      </c>
      <c r="H580" s="10" t="str">
        <f t="shared" si="3"/>
        <v/>
      </c>
      <c r="I580" s="68" t="str">
        <f t="shared" si="4"/>
        <v/>
      </c>
      <c r="J580" s="59" t="str">
        <f t="shared" si="5"/>
        <v/>
      </c>
      <c r="K580" s="69" t="str">
        <f t="shared" si="6"/>
        <v/>
      </c>
      <c r="L580" s="60" t="str">
        <f t="shared" si="7"/>
        <v/>
      </c>
      <c r="M580" s="61" t="str">
        <f>IFERROR(__xludf.DUMMYFUNCTION("IFS(AND(COUNTA(C580:C1644)=0,COUNTA(Q580:Q1644)=0),"""",OR(AND(K580&gt;=1000000000,OR(Y580&gt;=1000000000,COUNTA(Q580:Q1644)=0)),OR(Y580&gt;=1000000000,AND(COUNTA(C580:C1644)=0,P$3=TRUE))),
ROUNDDOWN((AB$1-AC$1)*MAX(INDEX(T$4:T1644,MATCH(LARGE(FILTER(Y$4:Y1644,Y$4"&amp;":Y1644&lt;1000000000),1),Y$4:Y1644)),INDEX(F$4:F1644,MATCH(LARGE(FILTER(K$4:K1644,K$4:K1644&lt;1000000000),1),K$4:K1644)))),AND(K580&lt;1000000000,COUNTA(C580:C1644)&gt;0,P$3=FALSE),
ROUNDDOWN(INDEX(Y$4:Y1644,MATCH(LARGE(FILTER(W$4:W1644,W$4:W1644&lt;=I580),1),W$4:W1644"&amp;"))+(I580-LARGE(FILTER(W$4:W1644,W$4:W1644&lt;=I580),1))*INDEX(T$4:T1644,MATCH(LARGE(FILTER(W$4:W1644,W$4:W1644&lt;=I580),1),W$4:W1644))-K580),1,
ROUNDDOWN(Y580-INDEX(K$4:K1644,MATCH(LARGE(FILTER(I$4:I1644,I$4:I1644&lt;=W580),1),I$4:I1644))-(W580-LARGE(FILTER(I$4:I"&amp;"1644,I$4:I1644&lt;=W580),1))*INDEX(F$4:F1644,MATCH(LARGE(FILTER(I$4:I1644,I$4:I1644&lt;=W580),1),I$4:I1644))))"),"")</f>
        <v/>
      </c>
      <c r="N580" s="60" t="str">
        <f t="shared" si="8"/>
        <v/>
      </c>
      <c r="O580" s="61" t="str">
        <f t="shared" si="9"/>
        <v/>
      </c>
      <c r="P580" s="56" t="str">
        <f t="shared" si="10"/>
        <v/>
      </c>
      <c r="Q580" s="105"/>
      <c r="R580" s="10"/>
      <c r="S580" s="59" t="str">
        <f t="array" ref="S580">IF(COUNTA(Q580:Q1644)=0,"",SUM((COUNTIF(Q$4:Q580,Upgrades!$B$3:$B$13)-COUNTIF(Q$4:Q580,"Sell_"&amp;Upgrades!$B$3:$B$13))*Upgrades!$D$3:$D$13))</f>
        <v/>
      </c>
      <c r="T580" s="66" t="str">
        <f>IFERROR(__xludf.DUMMYFUNCTION("IF(COUNTA(Q580:Q1644)=0,"""",IF(REGEXMATCH(INDEX(FILTER(Q$4:Q580,Q$4:Q580&lt;&gt;""""),ROWS(FILTER(Q$4:Q580,Q$4:Q580&lt;&gt;""""))),""^Sell_""),INDEX(FILTER(T$4:T579,Q$4:Q579&lt;&gt;""""),ROWS(FILTER(Q$4:Q579,Q$4:Q579&lt;&gt;""""))),$AD$5+S580))"),"")</f>
        <v/>
      </c>
      <c r="U580" s="10" t="str">
        <f>IFERROR(__xludf.DUMMYFUNCTION("IF(COUNTA(Q580:Q1644)=0,"""",IF(Q580="""",0,IF(REGEXMATCH(Q580,""^Sell_""),-ROUNDDOWN(ROUNDUP(INDEX(Upgrades!$C$3:$C$13,MATCH(SUBSTITUTE(Q580,""Sell_"",""""),Upgrades!$B$3:$B$13,0))*1.15^(COUNTIF(Q$4:Q579,SUBSTITUTE(Q580,""Sell_"",""""))-COUNTIF(Q$4:Q579,"&amp;"""Sell_""&amp;SUBSTITUTE(Q580,""Sell_"",""""))))/2),ROUNDUP(INDEX(Upgrades!$C$3:$C$13,MATCH(Q580,Upgrades!$B$3:$B$13,0))*1.15^(COUNTIF(Q$4:Q579,Q580)-COUNTIF(Q$4:Q579,""Sell_""&amp;Q580))))))"),"")</f>
        <v/>
      </c>
      <c r="V580" s="10" t="str">
        <f t="shared" si="11"/>
        <v/>
      </c>
      <c r="W580" s="68" t="str">
        <f t="shared" si="12"/>
        <v/>
      </c>
      <c r="X580" s="59" t="str">
        <f t="shared" si="13"/>
        <v/>
      </c>
      <c r="Y580" s="69" t="str">
        <f t="shared" si="14"/>
        <v/>
      </c>
      <c r="Z580" s="11"/>
      <c r="AG580" s="59"/>
    </row>
    <row r="581">
      <c r="A581" s="8"/>
      <c r="B581" s="56" t="str">
        <f t="shared" si="2"/>
        <v/>
      </c>
      <c r="C581" s="105"/>
      <c r="D581" s="10"/>
      <c r="E581" s="59" t="str">
        <f t="array" ref="E581">IF(COUNTA(C581:C1644)=0,"",SUM((COUNTIF(C$4:C581,Upgrades!$B$3:$B$13)-COUNTIF(C$4:C581,"Sell_"&amp;Upgrades!$B$3:$B$13))*Upgrades!$D$3:$D$13))</f>
        <v/>
      </c>
      <c r="F581" s="66" t="str">
        <f>IFERROR(__xludf.DUMMYFUNCTION("IF(COUNTA(C581:C1644)=0,"""",IF(REGEXMATCH(INDEX(FILTER(C$4:C581,C$4:C581&lt;&gt;""""),ROWS(FILTER(C$4:C581,C$4:C581&lt;&gt;""""))),""^Sell_""),INDEX(FILTER(F$4:F580,C$4:C580&lt;&gt;""""),ROWS(FILTER(C$4:C580,C$4:C580&lt;&gt;""""))),$AC$5+E581))"),"")</f>
        <v/>
      </c>
      <c r="G581" s="10" t="str">
        <f>IFERROR(__xludf.DUMMYFUNCTION("IF(COUNTA(C581:C1644)=0,"""",IF(C581="""",0,IF(REGEXMATCH(C581,""^Sell_""),-ROUNDDOWN(ROUNDUP(INDEX(Upgrades!$C$3:$C$13,MATCH(SUBSTITUTE(C581,""Sell_"",""""),Upgrades!$B$3:$B$13,0))*1.15^(COUNTIF(C$4:C580,SUBSTITUTE(C581,""Sell_"",""""))-COUNTIF(C$4:C580,"&amp;"""Sell_""&amp;SUBSTITUTE(C581,""Sell_"",""""))))/2),ROUNDUP(INDEX(Upgrades!$C$3:$C$13,MATCH(C581,Upgrades!$B$3:$B$13,0))*1.15^(COUNTIF(C$4:C580,C581)-COUNTIF(C$4:C580,""Sell_""&amp;C581))))))"),"")</f>
        <v/>
      </c>
      <c r="H581" s="10" t="str">
        <f t="shared" si="3"/>
        <v/>
      </c>
      <c r="I581" s="68" t="str">
        <f t="shared" si="4"/>
        <v/>
      </c>
      <c r="J581" s="59" t="str">
        <f t="shared" si="5"/>
        <v/>
      </c>
      <c r="K581" s="69" t="str">
        <f t="shared" si="6"/>
        <v/>
      </c>
      <c r="L581" s="60" t="str">
        <f t="shared" si="7"/>
        <v/>
      </c>
      <c r="M581" s="61" t="str">
        <f>IFERROR(__xludf.DUMMYFUNCTION("IFS(AND(COUNTA(C581:C1644)=0,COUNTA(Q581:Q1644)=0),"""",OR(AND(K581&gt;=1000000000,OR(Y581&gt;=1000000000,COUNTA(Q581:Q1644)=0)),OR(Y581&gt;=1000000000,AND(COUNTA(C581:C1644)=0,P$3=TRUE))),
ROUNDDOWN((AB$1-AC$1)*MAX(INDEX(T$4:T1644,MATCH(LARGE(FILTER(Y$4:Y1644,Y$4"&amp;":Y1644&lt;1000000000),1),Y$4:Y1644)),INDEX(F$4:F1644,MATCH(LARGE(FILTER(K$4:K1644,K$4:K1644&lt;1000000000),1),K$4:K1644)))),AND(K581&lt;1000000000,COUNTA(C581:C1644)&gt;0,P$3=FALSE),
ROUNDDOWN(INDEX(Y$4:Y1644,MATCH(LARGE(FILTER(W$4:W1644,W$4:W1644&lt;=I581),1),W$4:W1644"&amp;"))+(I581-LARGE(FILTER(W$4:W1644,W$4:W1644&lt;=I581),1))*INDEX(T$4:T1644,MATCH(LARGE(FILTER(W$4:W1644,W$4:W1644&lt;=I581),1),W$4:W1644))-K581),1,
ROUNDDOWN(Y581-INDEX(K$4:K1644,MATCH(LARGE(FILTER(I$4:I1644,I$4:I1644&lt;=W581),1),I$4:I1644))-(W581-LARGE(FILTER(I$4:I"&amp;"1644,I$4:I1644&lt;=W581),1))*INDEX(F$4:F1644,MATCH(LARGE(FILTER(I$4:I1644,I$4:I1644&lt;=W581),1),I$4:I1644))))"),"")</f>
        <v/>
      </c>
      <c r="N581" s="60" t="str">
        <f t="shared" si="8"/>
        <v/>
      </c>
      <c r="O581" s="61" t="str">
        <f t="shared" si="9"/>
        <v/>
      </c>
      <c r="P581" s="56" t="str">
        <f t="shared" si="10"/>
        <v/>
      </c>
      <c r="Q581" s="105"/>
      <c r="R581" s="10"/>
      <c r="S581" s="59" t="str">
        <f t="array" ref="S581">IF(COUNTA(Q581:Q1644)=0,"",SUM((COUNTIF(Q$4:Q581,Upgrades!$B$3:$B$13)-COUNTIF(Q$4:Q581,"Sell_"&amp;Upgrades!$B$3:$B$13))*Upgrades!$D$3:$D$13))</f>
        <v/>
      </c>
      <c r="T581" s="66" t="str">
        <f>IFERROR(__xludf.DUMMYFUNCTION("IF(COUNTA(Q581:Q1644)=0,"""",IF(REGEXMATCH(INDEX(FILTER(Q$4:Q581,Q$4:Q581&lt;&gt;""""),ROWS(FILTER(Q$4:Q581,Q$4:Q581&lt;&gt;""""))),""^Sell_""),INDEX(FILTER(T$4:T580,Q$4:Q580&lt;&gt;""""),ROWS(FILTER(Q$4:Q580,Q$4:Q580&lt;&gt;""""))),$AD$5+S581))"),"")</f>
        <v/>
      </c>
      <c r="U581" s="10" t="str">
        <f>IFERROR(__xludf.DUMMYFUNCTION("IF(COUNTA(Q581:Q1644)=0,"""",IF(Q581="""",0,IF(REGEXMATCH(Q581,""^Sell_""),-ROUNDDOWN(ROUNDUP(INDEX(Upgrades!$C$3:$C$13,MATCH(SUBSTITUTE(Q581,""Sell_"",""""),Upgrades!$B$3:$B$13,0))*1.15^(COUNTIF(Q$4:Q580,SUBSTITUTE(Q581,""Sell_"",""""))-COUNTIF(Q$4:Q580,"&amp;"""Sell_""&amp;SUBSTITUTE(Q581,""Sell_"",""""))))/2),ROUNDUP(INDEX(Upgrades!$C$3:$C$13,MATCH(Q581,Upgrades!$B$3:$B$13,0))*1.15^(COUNTIF(Q$4:Q580,Q581)-COUNTIF(Q$4:Q580,""Sell_""&amp;Q581))))))"),"")</f>
        <v/>
      </c>
      <c r="V581" s="10" t="str">
        <f t="shared" si="11"/>
        <v/>
      </c>
      <c r="W581" s="68" t="str">
        <f t="shared" si="12"/>
        <v/>
      </c>
      <c r="X581" s="59" t="str">
        <f t="shared" si="13"/>
        <v/>
      </c>
      <c r="Y581" s="69" t="str">
        <f t="shared" si="14"/>
        <v/>
      </c>
      <c r="Z581" s="11"/>
      <c r="AG581" s="59"/>
    </row>
    <row r="582">
      <c r="A582" s="8"/>
      <c r="B582" s="56" t="str">
        <f t="shared" si="2"/>
        <v/>
      </c>
      <c r="C582" s="105"/>
      <c r="D582" s="10"/>
      <c r="E582" s="59" t="str">
        <f t="array" ref="E582">IF(COUNTA(C582:C1644)=0,"",SUM((COUNTIF(C$4:C582,Upgrades!$B$3:$B$13)-COUNTIF(C$4:C582,"Sell_"&amp;Upgrades!$B$3:$B$13))*Upgrades!$D$3:$D$13))</f>
        <v/>
      </c>
      <c r="F582" s="66" t="str">
        <f>IFERROR(__xludf.DUMMYFUNCTION("IF(COUNTA(C582:C1644)=0,"""",IF(REGEXMATCH(INDEX(FILTER(C$4:C582,C$4:C582&lt;&gt;""""),ROWS(FILTER(C$4:C582,C$4:C582&lt;&gt;""""))),""^Sell_""),INDEX(FILTER(F$4:F581,C$4:C581&lt;&gt;""""),ROWS(FILTER(C$4:C581,C$4:C581&lt;&gt;""""))),$AC$5+E582))"),"")</f>
        <v/>
      </c>
      <c r="G582" s="10" t="str">
        <f>IFERROR(__xludf.DUMMYFUNCTION("IF(COUNTA(C582:C1644)=0,"""",IF(C582="""",0,IF(REGEXMATCH(C582,""^Sell_""),-ROUNDDOWN(ROUNDUP(INDEX(Upgrades!$C$3:$C$13,MATCH(SUBSTITUTE(C582,""Sell_"",""""),Upgrades!$B$3:$B$13,0))*1.15^(COUNTIF(C$4:C581,SUBSTITUTE(C582,""Sell_"",""""))-COUNTIF(C$4:C581,"&amp;"""Sell_""&amp;SUBSTITUTE(C582,""Sell_"",""""))))/2),ROUNDUP(INDEX(Upgrades!$C$3:$C$13,MATCH(C582,Upgrades!$B$3:$B$13,0))*1.15^(COUNTIF(C$4:C581,C582)-COUNTIF(C$4:C581,""Sell_""&amp;C582))))))"),"")</f>
        <v/>
      </c>
      <c r="H582" s="10" t="str">
        <f t="shared" si="3"/>
        <v/>
      </c>
      <c r="I582" s="68" t="str">
        <f t="shared" si="4"/>
        <v/>
      </c>
      <c r="J582" s="59" t="str">
        <f t="shared" si="5"/>
        <v/>
      </c>
      <c r="K582" s="69" t="str">
        <f t="shared" si="6"/>
        <v/>
      </c>
      <c r="L582" s="60" t="str">
        <f t="shared" si="7"/>
        <v/>
      </c>
      <c r="M582" s="61" t="str">
        <f>IFERROR(__xludf.DUMMYFUNCTION("IFS(AND(COUNTA(C582:C1644)=0,COUNTA(Q582:Q1644)=0),"""",OR(AND(K582&gt;=1000000000,OR(Y582&gt;=1000000000,COUNTA(Q582:Q1644)=0)),OR(Y582&gt;=1000000000,AND(COUNTA(C582:C1644)=0,P$3=TRUE))),
ROUNDDOWN((AB$1-AC$1)*MAX(INDEX(T$4:T1644,MATCH(LARGE(FILTER(Y$4:Y1644,Y$4"&amp;":Y1644&lt;1000000000),1),Y$4:Y1644)),INDEX(F$4:F1644,MATCH(LARGE(FILTER(K$4:K1644,K$4:K1644&lt;1000000000),1),K$4:K1644)))),AND(K582&lt;1000000000,COUNTA(C582:C1644)&gt;0,P$3=FALSE),
ROUNDDOWN(INDEX(Y$4:Y1644,MATCH(LARGE(FILTER(W$4:W1644,W$4:W1644&lt;=I582),1),W$4:W1644"&amp;"))+(I582-LARGE(FILTER(W$4:W1644,W$4:W1644&lt;=I582),1))*INDEX(T$4:T1644,MATCH(LARGE(FILTER(W$4:W1644,W$4:W1644&lt;=I582),1),W$4:W1644))-K582),1,
ROUNDDOWN(Y582-INDEX(K$4:K1644,MATCH(LARGE(FILTER(I$4:I1644,I$4:I1644&lt;=W582),1),I$4:I1644))-(W582-LARGE(FILTER(I$4:I"&amp;"1644,I$4:I1644&lt;=W582),1))*INDEX(F$4:F1644,MATCH(LARGE(FILTER(I$4:I1644,I$4:I1644&lt;=W582),1),I$4:I1644))))"),"")</f>
        <v/>
      </c>
      <c r="N582" s="60" t="str">
        <f t="shared" si="8"/>
        <v/>
      </c>
      <c r="O582" s="61" t="str">
        <f t="shared" si="9"/>
        <v/>
      </c>
      <c r="P582" s="56" t="str">
        <f t="shared" si="10"/>
        <v/>
      </c>
      <c r="Q582" s="105"/>
      <c r="R582" s="10"/>
      <c r="S582" s="59" t="str">
        <f t="array" ref="S582">IF(COUNTA(Q582:Q1644)=0,"",SUM((COUNTIF(Q$4:Q582,Upgrades!$B$3:$B$13)-COUNTIF(Q$4:Q582,"Sell_"&amp;Upgrades!$B$3:$B$13))*Upgrades!$D$3:$D$13))</f>
        <v/>
      </c>
      <c r="T582" s="66" t="str">
        <f>IFERROR(__xludf.DUMMYFUNCTION("IF(COUNTA(Q582:Q1644)=0,"""",IF(REGEXMATCH(INDEX(FILTER(Q$4:Q582,Q$4:Q582&lt;&gt;""""),ROWS(FILTER(Q$4:Q582,Q$4:Q582&lt;&gt;""""))),""^Sell_""),INDEX(FILTER(T$4:T581,Q$4:Q581&lt;&gt;""""),ROWS(FILTER(Q$4:Q581,Q$4:Q581&lt;&gt;""""))),$AD$5+S582))"),"")</f>
        <v/>
      </c>
      <c r="U582" s="10" t="str">
        <f>IFERROR(__xludf.DUMMYFUNCTION("IF(COUNTA(Q582:Q1644)=0,"""",IF(Q582="""",0,IF(REGEXMATCH(Q582,""^Sell_""),-ROUNDDOWN(ROUNDUP(INDEX(Upgrades!$C$3:$C$13,MATCH(SUBSTITUTE(Q582,""Sell_"",""""),Upgrades!$B$3:$B$13,0))*1.15^(COUNTIF(Q$4:Q581,SUBSTITUTE(Q582,""Sell_"",""""))-COUNTIF(Q$4:Q581,"&amp;"""Sell_""&amp;SUBSTITUTE(Q582,""Sell_"",""""))))/2),ROUNDUP(INDEX(Upgrades!$C$3:$C$13,MATCH(Q582,Upgrades!$B$3:$B$13,0))*1.15^(COUNTIF(Q$4:Q581,Q582)-COUNTIF(Q$4:Q581,""Sell_""&amp;Q582))))))"),"")</f>
        <v/>
      </c>
      <c r="V582" s="10" t="str">
        <f t="shared" si="11"/>
        <v/>
      </c>
      <c r="W582" s="68" t="str">
        <f t="shared" si="12"/>
        <v/>
      </c>
      <c r="X582" s="59" t="str">
        <f t="shared" si="13"/>
        <v/>
      </c>
      <c r="Y582" s="69" t="str">
        <f t="shared" si="14"/>
        <v/>
      </c>
      <c r="Z582" s="11"/>
      <c r="AG582" s="59"/>
    </row>
    <row r="583">
      <c r="A583" s="8"/>
      <c r="B583" s="56" t="str">
        <f t="shared" si="2"/>
        <v/>
      </c>
      <c r="C583" s="105"/>
      <c r="D583" s="10"/>
      <c r="E583" s="59" t="str">
        <f t="array" ref="E583">IF(COUNTA(C583:C1644)=0,"",SUM((COUNTIF(C$4:C583,Upgrades!$B$3:$B$13)-COUNTIF(C$4:C583,"Sell_"&amp;Upgrades!$B$3:$B$13))*Upgrades!$D$3:$D$13))</f>
        <v/>
      </c>
      <c r="F583" s="66" t="str">
        <f>IFERROR(__xludf.DUMMYFUNCTION("IF(COUNTA(C583:C1644)=0,"""",IF(REGEXMATCH(INDEX(FILTER(C$4:C583,C$4:C583&lt;&gt;""""),ROWS(FILTER(C$4:C583,C$4:C583&lt;&gt;""""))),""^Sell_""),INDEX(FILTER(F$4:F582,C$4:C582&lt;&gt;""""),ROWS(FILTER(C$4:C582,C$4:C582&lt;&gt;""""))),$AC$5+E583))"),"")</f>
        <v/>
      </c>
      <c r="G583" s="10" t="str">
        <f>IFERROR(__xludf.DUMMYFUNCTION("IF(COUNTA(C583:C1644)=0,"""",IF(C583="""",0,IF(REGEXMATCH(C583,""^Sell_""),-ROUNDDOWN(ROUNDUP(INDEX(Upgrades!$C$3:$C$13,MATCH(SUBSTITUTE(C583,""Sell_"",""""),Upgrades!$B$3:$B$13,0))*1.15^(COUNTIF(C$4:C582,SUBSTITUTE(C583,""Sell_"",""""))-COUNTIF(C$4:C582,"&amp;"""Sell_""&amp;SUBSTITUTE(C583,""Sell_"",""""))))/2),ROUNDUP(INDEX(Upgrades!$C$3:$C$13,MATCH(C583,Upgrades!$B$3:$B$13,0))*1.15^(COUNTIF(C$4:C582,C583)-COUNTIF(C$4:C582,""Sell_""&amp;C583))))))"),"")</f>
        <v/>
      </c>
      <c r="H583" s="10" t="str">
        <f t="shared" si="3"/>
        <v/>
      </c>
      <c r="I583" s="68" t="str">
        <f t="shared" si="4"/>
        <v/>
      </c>
      <c r="J583" s="59" t="str">
        <f t="shared" si="5"/>
        <v/>
      </c>
      <c r="K583" s="69" t="str">
        <f t="shared" si="6"/>
        <v/>
      </c>
      <c r="L583" s="60" t="str">
        <f t="shared" si="7"/>
        <v/>
      </c>
      <c r="M583" s="61" t="str">
        <f>IFERROR(__xludf.DUMMYFUNCTION("IFS(AND(COUNTA(C583:C1644)=0,COUNTA(Q583:Q1644)=0),"""",OR(AND(K583&gt;=1000000000,OR(Y583&gt;=1000000000,COUNTA(Q583:Q1644)=0)),OR(Y583&gt;=1000000000,AND(COUNTA(C583:C1644)=0,P$3=TRUE))),
ROUNDDOWN((AB$1-AC$1)*MAX(INDEX(T$4:T1644,MATCH(LARGE(FILTER(Y$4:Y1644,Y$4"&amp;":Y1644&lt;1000000000),1),Y$4:Y1644)),INDEX(F$4:F1644,MATCH(LARGE(FILTER(K$4:K1644,K$4:K1644&lt;1000000000),1),K$4:K1644)))),AND(K583&lt;1000000000,COUNTA(C583:C1644)&gt;0,P$3=FALSE),
ROUNDDOWN(INDEX(Y$4:Y1644,MATCH(LARGE(FILTER(W$4:W1644,W$4:W1644&lt;=I583),1),W$4:W1644"&amp;"))+(I583-LARGE(FILTER(W$4:W1644,W$4:W1644&lt;=I583),1))*INDEX(T$4:T1644,MATCH(LARGE(FILTER(W$4:W1644,W$4:W1644&lt;=I583),1),W$4:W1644))-K583),1,
ROUNDDOWN(Y583-INDEX(K$4:K1644,MATCH(LARGE(FILTER(I$4:I1644,I$4:I1644&lt;=W583),1),I$4:I1644))-(W583-LARGE(FILTER(I$4:I"&amp;"1644,I$4:I1644&lt;=W583),1))*INDEX(F$4:F1644,MATCH(LARGE(FILTER(I$4:I1644,I$4:I1644&lt;=W583),1),I$4:I1644))))"),"")</f>
        <v/>
      </c>
      <c r="N583" s="60" t="str">
        <f t="shared" si="8"/>
        <v/>
      </c>
      <c r="O583" s="61" t="str">
        <f t="shared" si="9"/>
        <v/>
      </c>
      <c r="P583" s="56" t="str">
        <f t="shared" si="10"/>
        <v/>
      </c>
      <c r="Q583" s="105"/>
      <c r="R583" s="10"/>
      <c r="S583" s="59" t="str">
        <f t="array" ref="S583">IF(COUNTA(Q583:Q1644)=0,"",SUM((COUNTIF(Q$4:Q583,Upgrades!$B$3:$B$13)-COUNTIF(Q$4:Q583,"Sell_"&amp;Upgrades!$B$3:$B$13))*Upgrades!$D$3:$D$13))</f>
        <v/>
      </c>
      <c r="T583" s="66" t="str">
        <f>IFERROR(__xludf.DUMMYFUNCTION("IF(COUNTA(Q583:Q1644)=0,"""",IF(REGEXMATCH(INDEX(FILTER(Q$4:Q583,Q$4:Q583&lt;&gt;""""),ROWS(FILTER(Q$4:Q583,Q$4:Q583&lt;&gt;""""))),""^Sell_""),INDEX(FILTER(T$4:T582,Q$4:Q582&lt;&gt;""""),ROWS(FILTER(Q$4:Q582,Q$4:Q582&lt;&gt;""""))),$AD$5+S583))"),"")</f>
        <v/>
      </c>
      <c r="U583" s="10" t="str">
        <f>IFERROR(__xludf.DUMMYFUNCTION("IF(COUNTA(Q583:Q1644)=0,"""",IF(Q583="""",0,IF(REGEXMATCH(Q583,""^Sell_""),-ROUNDDOWN(ROUNDUP(INDEX(Upgrades!$C$3:$C$13,MATCH(SUBSTITUTE(Q583,""Sell_"",""""),Upgrades!$B$3:$B$13,0))*1.15^(COUNTIF(Q$4:Q582,SUBSTITUTE(Q583,""Sell_"",""""))-COUNTIF(Q$4:Q582,"&amp;"""Sell_""&amp;SUBSTITUTE(Q583,""Sell_"",""""))))/2),ROUNDUP(INDEX(Upgrades!$C$3:$C$13,MATCH(Q583,Upgrades!$B$3:$B$13,0))*1.15^(COUNTIF(Q$4:Q582,Q583)-COUNTIF(Q$4:Q582,""Sell_""&amp;Q583))))))"),"")</f>
        <v/>
      </c>
      <c r="V583" s="10" t="str">
        <f t="shared" si="11"/>
        <v/>
      </c>
      <c r="W583" s="68" t="str">
        <f t="shared" si="12"/>
        <v/>
      </c>
      <c r="X583" s="59" t="str">
        <f t="shared" si="13"/>
        <v/>
      </c>
      <c r="Y583" s="69" t="str">
        <f t="shared" si="14"/>
        <v/>
      </c>
      <c r="Z583" s="11"/>
      <c r="AG583" s="59"/>
    </row>
    <row r="584">
      <c r="A584" s="8"/>
      <c r="B584" s="56" t="str">
        <f t="shared" si="2"/>
        <v/>
      </c>
      <c r="C584" s="105"/>
      <c r="D584" s="10"/>
      <c r="E584" s="59" t="str">
        <f t="array" ref="E584">IF(COUNTA(C584:C1644)=0,"",SUM((COUNTIF(C$4:C584,Upgrades!$B$3:$B$13)-COUNTIF(C$4:C584,"Sell_"&amp;Upgrades!$B$3:$B$13))*Upgrades!$D$3:$D$13))</f>
        <v/>
      </c>
      <c r="F584" s="66" t="str">
        <f>IFERROR(__xludf.DUMMYFUNCTION("IF(COUNTA(C584:C1644)=0,"""",IF(REGEXMATCH(INDEX(FILTER(C$4:C584,C$4:C584&lt;&gt;""""),ROWS(FILTER(C$4:C584,C$4:C584&lt;&gt;""""))),""^Sell_""),INDEX(FILTER(F$4:F583,C$4:C583&lt;&gt;""""),ROWS(FILTER(C$4:C583,C$4:C583&lt;&gt;""""))),$AC$5+E584))"),"")</f>
        <v/>
      </c>
      <c r="G584" s="10" t="str">
        <f>IFERROR(__xludf.DUMMYFUNCTION("IF(COUNTA(C584:C1644)=0,"""",IF(C584="""",0,IF(REGEXMATCH(C584,""^Sell_""),-ROUNDDOWN(ROUNDUP(INDEX(Upgrades!$C$3:$C$13,MATCH(SUBSTITUTE(C584,""Sell_"",""""),Upgrades!$B$3:$B$13,0))*1.15^(COUNTIF(C$4:C583,SUBSTITUTE(C584,""Sell_"",""""))-COUNTIF(C$4:C583,"&amp;"""Sell_""&amp;SUBSTITUTE(C584,""Sell_"",""""))))/2),ROUNDUP(INDEX(Upgrades!$C$3:$C$13,MATCH(C584,Upgrades!$B$3:$B$13,0))*1.15^(COUNTIF(C$4:C583,C584)-COUNTIF(C$4:C583,""Sell_""&amp;C584))))))"),"")</f>
        <v/>
      </c>
      <c r="H584" s="10" t="str">
        <f t="shared" si="3"/>
        <v/>
      </c>
      <c r="I584" s="68" t="str">
        <f t="shared" si="4"/>
        <v/>
      </c>
      <c r="J584" s="59" t="str">
        <f t="shared" si="5"/>
        <v/>
      </c>
      <c r="K584" s="69" t="str">
        <f t="shared" si="6"/>
        <v/>
      </c>
      <c r="L584" s="60" t="str">
        <f t="shared" si="7"/>
        <v/>
      </c>
      <c r="M584" s="61" t="str">
        <f>IFERROR(__xludf.DUMMYFUNCTION("IFS(AND(COUNTA(C584:C1644)=0,COUNTA(Q584:Q1644)=0),"""",OR(AND(K584&gt;=1000000000,OR(Y584&gt;=1000000000,COUNTA(Q584:Q1644)=0)),OR(Y584&gt;=1000000000,AND(COUNTA(C584:C1644)=0,P$3=TRUE))),
ROUNDDOWN((AB$1-AC$1)*MAX(INDEX(T$4:T1644,MATCH(LARGE(FILTER(Y$4:Y1644,Y$4"&amp;":Y1644&lt;1000000000),1),Y$4:Y1644)),INDEX(F$4:F1644,MATCH(LARGE(FILTER(K$4:K1644,K$4:K1644&lt;1000000000),1),K$4:K1644)))),AND(K584&lt;1000000000,COUNTA(C584:C1644)&gt;0,P$3=FALSE),
ROUNDDOWN(INDEX(Y$4:Y1644,MATCH(LARGE(FILTER(W$4:W1644,W$4:W1644&lt;=I584),1),W$4:W1644"&amp;"))+(I584-LARGE(FILTER(W$4:W1644,W$4:W1644&lt;=I584),1))*INDEX(T$4:T1644,MATCH(LARGE(FILTER(W$4:W1644,W$4:W1644&lt;=I584),1),W$4:W1644))-K584),1,
ROUNDDOWN(Y584-INDEX(K$4:K1644,MATCH(LARGE(FILTER(I$4:I1644,I$4:I1644&lt;=W584),1),I$4:I1644))-(W584-LARGE(FILTER(I$4:I"&amp;"1644,I$4:I1644&lt;=W584),1))*INDEX(F$4:F1644,MATCH(LARGE(FILTER(I$4:I1644,I$4:I1644&lt;=W584),1),I$4:I1644))))"),"")</f>
        <v/>
      </c>
      <c r="N584" s="60" t="str">
        <f t="shared" si="8"/>
        <v/>
      </c>
      <c r="O584" s="61" t="str">
        <f t="shared" si="9"/>
        <v/>
      </c>
      <c r="P584" s="56" t="str">
        <f t="shared" si="10"/>
        <v/>
      </c>
      <c r="Q584" s="105"/>
      <c r="R584" s="10"/>
      <c r="S584" s="59" t="str">
        <f t="array" ref="S584">IF(COUNTA(Q584:Q1644)=0,"",SUM((COUNTIF(Q$4:Q584,Upgrades!$B$3:$B$13)-COUNTIF(Q$4:Q584,"Sell_"&amp;Upgrades!$B$3:$B$13))*Upgrades!$D$3:$D$13))</f>
        <v/>
      </c>
      <c r="T584" s="66" t="str">
        <f>IFERROR(__xludf.DUMMYFUNCTION("IF(COUNTA(Q584:Q1644)=0,"""",IF(REGEXMATCH(INDEX(FILTER(Q$4:Q584,Q$4:Q584&lt;&gt;""""),ROWS(FILTER(Q$4:Q584,Q$4:Q584&lt;&gt;""""))),""^Sell_""),INDEX(FILTER(T$4:T583,Q$4:Q583&lt;&gt;""""),ROWS(FILTER(Q$4:Q583,Q$4:Q583&lt;&gt;""""))),$AD$5+S584))"),"")</f>
        <v/>
      </c>
      <c r="U584" s="10" t="str">
        <f>IFERROR(__xludf.DUMMYFUNCTION("IF(COUNTA(Q584:Q1644)=0,"""",IF(Q584="""",0,IF(REGEXMATCH(Q584,""^Sell_""),-ROUNDDOWN(ROUNDUP(INDEX(Upgrades!$C$3:$C$13,MATCH(SUBSTITUTE(Q584,""Sell_"",""""),Upgrades!$B$3:$B$13,0))*1.15^(COUNTIF(Q$4:Q583,SUBSTITUTE(Q584,""Sell_"",""""))-COUNTIF(Q$4:Q583,"&amp;"""Sell_""&amp;SUBSTITUTE(Q584,""Sell_"",""""))))/2),ROUNDUP(INDEX(Upgrades!$C$3:$C$13,MATCH(Q584,Upgrades!$B$3:$B$13,0))*1.15^(COUNTIF(Q$4:Q583,Q584)-COUNTIF(Q$4:Q583,""Sell_""&amp;Q584))))))"),"")</f>
        <v/>
      </c>
      <c r="V584" s="10" t="str">
        <f t="shared" si="11"/>
        <v/>
      </c>
      <c r="W584" s="68" t="str">
        <f t="shared" si="12"/>
        <v/>
      </c>
      <c r="X584" s="59" t="str">
        <f t="shared" si="13"/>
        <v/>
      </c>
      <c r="Y584" s="69" t="str">
        <f t="shared" si="14"/>
        <v/>
      </c>
      <c r="Z584" s="11"/>
      <c r="AG584" s="59"/>
    </row>
    <row r="585">
      <c r="A585" s="8"/>
      <c r="B585" s="56" t="str">
        <f t="shared" si="2"/>
        <v/>
      </c>
      <c r="C585" s="105"/>
      <c r="D585" s="10"/>
      <c r="E585" s="59" t="str">
        <f t="array" ref="E585">IF(COUNTA(C585:C1644)=0,"",SUM((COUNTIF(C$4:C585,Upgrades!$B$3:$B$13)-COUNTIF(C$4:C585,"Sell_"&amp;Upgrades!$B$3:$B$13))*Upgrades!$D$3:$D$13))</f>
        <v/>
      </c>
      <c r="F585" s="66" t="str">
        <f>IFERROR(__xludf.DUMMYFUNCTION("IF(COUNTA(C585:C1644)=0,"""",IF(REGEXMATCH(INDEX(FILTER(C$4:C585,C$4:C585&lt;&gt;""""),ROWS(FILTER(C$4:C585,C$4:C585&lt;&gt;""""))),""^Sell_""),INDEX(FILTER(F$4:F584,C$4:C584&lt;&gt;""""),ROWS(FILTER(C$4:C584,C$4:C584&lt;&gt;""""))),$AC$5+E585))"),"")</f>
        <v/>
      </c>
      <c r="G585" s="10" t="str">
        <f>IFERROR(__xludf.DUMMYFUNCTION("IF(COUNTA(C585:C1644)=0,"""",IF(C585="""",0,IF(REGEXMATCH(C585,""^Sell_""),-ROUNDDOWN(ROUNDUP(INDEX(Upgrades!$C$3:$C$13,MATCH(SUBSTITUTE(C585,""Sell_"",""""),Upgrades!$B$3:$B$13,0))*1.15^(COUNTIF(C$4:C584,SUBSTITUTE(C585,""Sell_"",""""))-COUNTIF(C$4:C584,"&amp;"""Sell_""&amp;SUBSTITUTE(C585,""Sell_"",""""))))/2),ROUNDUP(INDEX(Upgrades!$C$3:$C$13,MATCH(C585,Upgrades!$B$3:$B$13,0))*1.15^(COUNTIF(C$4:C584,C585)-COUNTIF(C$4:C584,""Sell_""&amp;C585))))))"),"")</f>
        <v/>
      </c>
      <c r="H585" s="10" t="str">
        <f t="shared" si="3"/>
        <v/>
      </c>
      <c r="I585" s="68" t="str">
        <f t="shared" si="4"/>
        <v/>
      </c>
      <c r="J585" s="59" t="str">
        <f t="shared" si="5"/>
        <v/>
      </c>
      <c r="K585" s="69" t="str">
        <f t="shared" si="6"/>
        <v/>
      </c>
      <c r="L585" s="60" t="str">
        <f t="shared" si="7"/>
        <v/>
      </c>
      <c r="M585" s="61" t="str">
        <f>IFERROR(__xludf.DUMMYFUNCTION("IFS(AND(COUNTA(C585:C1644)=0,COUNTA(Q585:Q1644)=0),"""",OR(AND(K585&gt;=1000000000,OR(Y585&gt;=1000000000,COUNTA(Q585:Q1644)=0)),OR(Y585&gt;=1000000000,AND(COUNTA(C585:C1644)=0,P$3=TRUE))),
ROUNDDOWN((AB$1-AC$1)*MAX(INDEX(T$4:T1644,MATCH(LARGE(FILTER(Y$4:Y1644,Y$4"&amp;":Y1644&lt;1000000000),1),Y$4:Y1644)),INDEX(F$4:F1644,MATCH(LARGE(FILTER(K$4:K1644,K$4:K1644&lt;1000000000),1),K$4:K1644)))),AND(K585&lt;1000000000,COUNTA(C585:C1644)&gt;0,P$3=FALSE),
ROUNDDOWN(INDEX(Y$4:Y1644,MATCH(LARGE(FILTER(W$4:W1644,W$4:W1644&lt;=I585),1),W$4:W1644"&amp;"))+(I585-LARGE(FILTER(W$4:W1644,W$4:W1644&lt;=I585),1))*INDEX(T$4:T1644,MATCH(LARGE(FILTER(W$4:W1644,W$4:W1644&lt;=I585),1),W$4:W1644))-K585),1,
ROUNDDOWN(Y585-INDEX(K$4:K1644,MATCH(LARGE(FILTER(I$4:I1644,I$4:I1644&lt;=W585),1),I$4:I1644))-(W585-LARGE(FILTER(I$4:I"&amp;"1644,I$4:I1644&lt;=W585),1))*INDEX(F$4:F1644,MATCH(LARGE(FILTER(I$4:I1644,I$4:I1644&lt;=W585),1),I$4:I1644))))"),"")</f>
        <v/>
      </c>
      <c r="N585" s="60" t="str">
        <f t="shared" si="8"/>
        <v/>
      </c>
      <c r="O585" s="61" t="str">
        <f t="shared" si="9"/>
        <v/>
      </c>
      <c r="P585" s="56" t="str">
        <f t="shared" si="10"/>
        <v/>
      </c>
      <c r="Q585" s="105"/>
      <c r="R585" s="10"/>
      <c r="S585" s="59" t="str">
        <f t="array" ref="S585">IF(COUNTA(Q585:Q1644)=0,"",SUM((COUNTIF(Q$4:Q585,Upgrades!$B$3:$B$13)-COUNTIF(Q$4:Q585,"Sell_"&amp;Upgrades!$B$3:$B$13))*Upgrades!$D$3:$D$13))</f>
        <v/>
      </c>
      <c r="T585" s="66" t="str">
        <f>IFERROR(__xludf.DUMMYFUNCTION("IF(COUNTA(Q585:Q1644)=0,"""",IF(REGEXMATCH(INDEX(FILTER(Q$4:Q585,Q$4:Q585&lt;&gt;""""),ROWS(FILTER(Q$4:Q585,Q$4:Q585&lt;&gt;""""))),""^Sell_""),INDEX(FILTER(T$4:T584,Q$4:Q584&lt;&gt;""""),ROWS(FILTER(Q$4:Q584,Q$4:Q584&lt;&gt;""""))),$AD$5+S585))"),"")</f>
        <v/>
      </c>
      <c r="U585" s="10" t="str">
        <f>IFERROR(__xludf.DUMMYFUNCTION("IF(COUNTA(Q585:Q1644)=0,"""",IF(Q585="""",0,IF(REGEXMATCH(Q585,""^Sell_""),-ROUNDDOWN(ROUNDUP(INDEX(Upgrades!$C$3:$C$13,MATCH(SUBSTITUTE(Q585,""Sell_"",""""),Upgrades!$B$3:$B$13,0))*1.15^(COUNTIF(Q$4:Q584,SUBSTITUTE(Q585,""Sell_"",""""))-COUNTIF(Q$4:Q584,"&amp;"""Sell_""&amp;SUBSTITUTE(Q585,""Sell_"",""""))))/2),ROUNDUP(INDEX(Upgrades!$C$3:$C$13,MATCH(Q585,Upgrades!$B$3:$B$13,0))*1.15^(COUNTIF(Q$4:Q584,Q585)-COUNTIF(Q$4:Q584,""Sell_""&amp;Q585))))))"),"")</f>
        <v/>
      </c>
      <c r="V585" s="10" t="str">
        <f t="shared" si="11"/>
        <v/>
      </c>
      <c r="W585" s="68" t="str">
        <f t="shared" si="12"/>
        <v/>
      </c>
      <c r="X585" s="59" t="str">
        <f t="shared" si="13"/>
        <v/>
      </c>
      <c r="Y585" s="69" t="str">
        <f t="shared" si="14"/>
        <v/>
      </c>
      <c r="Z585" s="11"/>
      <c r="AG585" s="59"/>
    </row>
    <row r="586">
      <c r="A586" s="8"/>
      <c r="B586" s="56" t="str">
        <f t="shared" si="2"/>
        <v/>
      </c>
      <c r="C586" s="105"/>
      <c r="D586" s="10"/>
      <c r="E586" s="59" t="str">
        <f t="array" ref="E586">IF(COUNTA(C586:C1644)=0,"",SUM((COUNTIF(C$4:C586,Upgrades!$B$3:$B$13)-COUNTIF(C$4:C586,"Sell_"&amp;Upgrades!$B$3:$B$13))*Upgrades!$D$3:$D$13))</f>
        <v/>
      </c>
      <c r="F586" s="66" t="str">
        <f>IFERROR(__xludf.DUMMYFUNCTION("IF(COUNTA(C586:C1644)=0,"""",IF(REGEXMATCH(INDEX(FILTER(C$4:C586,C$4:C586&lt;&gt;""""),ROWS(FILTER(C$4:C586,C$4:C586&lt;&gt;""""))),""^Sell_""),INDEX(FILTER(F$4:F585,C$4:C585&lt;&gt;""""),ROWS(FILTER(C$4:C585,C$4:C585&lt;&gt;""""))),$AC$5+E586))"),"")</f>
        <v/>
      </c>
      <c r="G586" s="10" t="str">
        <f>IFERROR(__xludf.DUMMYFUNCTION("IF(COUNTA(C586:C1644)=0,"""",IF(C586="""",0,IF(REGEXMATCH(C586,""^Sell_""),-ROUNDDOWN(ROUNDUP(INDEX(Upgrades!$C$3:$C$13,MATCH(SUBSTITUTE(C586,""Sell_"",""""),Upgrades!$B$3:$B$13,0))*1.15^(COUNTIF(C$4:C585,SUBSTITUTE(C586,""Sell_"",""""))-COUNTIF(C$4:C585,"&amp;"""Sell_""&amp;SUBSTITUTE(C586,""Sell_"",""""))))/2),ROUNDUP(INDEX(Upgrades!$C$3:$C$13,MATCH(C586,Upgrades!$B$3:$B$13,0))*1.15^(COUNTIF(C$4:C585,C586)-COUNTIF(C$4:C585,""Sell_""&amp;C586))))))"),"")</f>
        <v/>
      </c>
      <c r="H586" s="10" t="str">
        <f t="shared" si="3"/>
        <v/>
      </c>
      <c r="I586" s="68" t="str">
        <f t="shared" si="4"/>
        <v/>
      </c>
      <c r="J586" s="59" t="str">
        <f t="shared" si="5"/>
        <v/>
      </c>
      <c r="K586" s="69" t="str">
        <f t="shared" si="6"/>
        <v/>
      </c>
      <c r="L586" s="60" t="str">
        <f t="shared" si="7"/>
        <v/>
      </c>
      <c r="M586" s="61" t="str">
        <f>IFERROR(__xludf.DUMMYFUNCTION("IFS(AND(COUNTA(C586:C1644)=0,COUNTA(Q586:Q1644)=0),"""",OR(AND(K586&gt;=1000000000,OR(Y586&gt;=1000000000,COUNTA(Q586:Q1644)=0)),OR(Y586&gt;=1000000000,AND(COUNTA(C586:C1644)=0,P$3=TRUE))),
ROUNDDOWN((AB$1-AC$1)*MAX(INDEX(T$4:T1644,MATCH(LARGE(FILTER(Y$4:Y1644,Y$4"&amp;":Y1644&lt;1000000000),1),Y$4:Y1644)),INDEX(F$4:F1644,MATCH(LARGE(FILTER(K$4:K1644,K$4:K1644&lt;1000000000),1),K$4:K1644)))),AND(K586&lt;1000000000,COUNTA(C586:C1644)&gt;0,P$3=FALSE),
ROUNDDOWN(INDEX(Y$4:Y1644,MATCH(LARGE(FILTER(W$4:W1644,W$4:W1644&lt;=I586),1),W$4:W1644"&amp;"))+(I586-LARGE(FILTER(W$4:W1644,W$4:W1644&lt;=I586),1))*INDEX(T$4:T1644,MATCH(LARGE(FILTER(W$4:W1644,W$4:W1644&lt;=I586),1),W$4:W1644))-K586),1,
ROUNDDOWN(Y586-INDEX(K$4:K1644,MATCH(LARGE(FILTER(I$4:I1644,I$4:I1644&lt;=W586),1),I$4:I1644))-(W586-LARGE(FILTER(I$4:I"&amp;"1644,I$4:I1644&lt;=W586),1))*INDEX(F$4:F1644,MATCH(LARGE(FILTER(I$4:I1644,I$4:I1644&lt;=W586),1),I$4:I1644))))"),"")</f>
        <v/>
      </c>
      <c r="N586" s="60" t="str">
        <f t="shared" si="8"/>
        <v/>
      </c>
      <c r="O586" s="61" t="str">
        <f t="shared" si="9"/>
        <v/>
      </c>
      <c r="P586" s="56" t="str">
        <f t="shared" si="10"/>
        <v/>
      </c>
      <c r="Q586" s="105"/>
      <c r="R586" s="10"/>
      <c r="S586" s="59" t="str">
        <f t="array" ref="S586">IF(COUNTA(Q586:Q1644)=0,"",SUM((COUNTIF(Q$4:Q586,Upgrades!$B$3:$B$13)-COUNTIF(Q$4:Q586,"Sell_"&amp;Upgrades!$B$3:$B$13))*Upgrades!$D$3:$D$13))</f>
        <v/>
      </c>
      <c r="T586" s="66" t="str">
        <f>IFERROR(__xludf.DUMMYFUNCTION("IF(COUNTA(Q586:Q1644)=0,"""",IF(REGEXMATCH(INDEX(FILTER(Q$4:Q586,Q$4:Q586&lt;&gt;""""),ROWS(FILTER(Q$4:Q586,Q$4:Q586&lt;&gt;""""))),""^Sell_""),INDEX(FILTER(T$4:T585,Q$4:Q585&lt;&gt;""""),ROWS(FILTER(Q$4:Q585,Q$4:Q585&lt;&gt;""""))),$AD$5+S586))"),"")</f>
        <v/>
      </c>
      <c r="U586" s="10" t="str">
        <f>IFERROR(__xludf.DUMMYFUNCTION("IF(COUNTA(Q586:Q1644)=0,"""",IF(Q586="""",0,IF(REGEXMATCH(Q586,""^Sell_""),-ROUNDDOWN(ROUNDUP(INDEX(Upgrades!$C$3:$C$13,MATCH(SUBSTITUTE(Q586,""Sell_"",""""),Upgrades!$B$3:$B$13,0))*1.15^(COUNTIF(Q$4:Q585,SUBSTITUTE(Q586,""Sell_"",""""))-COUNTIF(Q$4:Q585,"&amp;"""Sell_""&amp;SUBSTITUTE(Q586,""Sell_"",""""))))/2),ROUNDUP(INDEX(Upgrades!$C$3:$C$13,MATCH(Q586,Upgrades!$B$3:$B$13,0))*1.15^(COUNTIF(Q$4:Q585,Q586)-COUNTIF(Q$4:Q585,""Sell_""&amp;Q586))))))"),"")</f>
        <v/>
      </c>
      <c r="V586" s="10" t="str">
        <f t="shared" si="11"/>
        <v/>
      </c>
      <c r="W586" s="68" t="str">
        <f t="shared" si="12"/>
        <v/>
      </c>
      <c r="X586" s="59" t="str">
        <f t="shared" si="13"/>
        <v/>
      </c>
      <c r="Y586" s="69" t="str">
        <f t="shared" si="14"/>
        <v/>
      </c>
      <c r="Z586" s="11"/>
      <c r="AG586" s="59"/>
    </row>
    <row r="587">
      <c r="A587" s="8"/>
      <c r="B587" s="56" t="str">
        <f t="shared" si="2"/>
        <v/>
      </c>
      <c r="C587" s="105"/>
      <c r="D587" s="10"/>
      <c r="E587" s="59" t="str">
        <f t="array" ref="E587">IF(COUNTA(C587:C1644)=0,"",SUM((COUNTIF(C$4:C587,Upgrades!$B$3:$B$13)-COUNTIF(C$4:C587,"Sell_"&amp;Upgrades!$B$3:$B$13))*Upgrades!$D$3:$D$13))</f>
        <v/>
      </c>
      <c r="F587" s="66" t="str">
        <f>IFERROR(__xludf.DUMMYFUNCTION("IF(COUNTA(C587:C1644)=0,"""",IF(REGEXMATCH(INDEX(FILTER(C$4:C587,C$4:C587&lt;&gt;""""),ROWS(FILTER(C$4:C587,C$4:C587&lt;&gt;""""))),""^Sell_""),INDEX(FILTER(F$4:F586,C$4:C586&lt;&gt;""""),ROWS(FILTER(C$4:C586,C$4:C586&lt;&gt;""""))),$AC$5+E587))"),"")</f>
        <v/>
      </c>
      <c r="G587" s="10" t="str">
        <f>IFERROR(__xludf.DUMMYFUNCTION("IF(COUNTA(C587:C1644)=0,"""",IF(C587="""",0,IF(REGEXMATCH(C587,""^Sell_""),-ROUNDDOWN(ROUNDUP(INDEX(Upgrades!$C$3:$C$13,MATCH(SUBSTITUTE(C587,""Sell_"",""""),Upgrades!$B$3:$B$13,0))*1.15^(COUNTIF(C$4:C586,SUBSTITUTE(C587,""Sell_"",""""))-COUNTIF(C$4:C586,"&amp;"""Sell_""&amp;SUBSTITUTE(C587,""Sell_"",""""))))/2),ROUNDUP(INDEX(Upgrades!$C$3:$C$13,MATCH(C587,Upgrades!$B$3:$B$13,0))*1.15^(COUNTIF(C$4:C586,C587)-COUNTIF(C$4:C586,""Sell_""&amp;C587))))))"),"")</f>
        <v/>
      </c>
      <c r="H587" s="10" t="str">
        <f t="shared" si="3"/>
        <v/>
      </c>
      <c r="I587" s="68" t="str">
        <f t="shared" si="4"/>
        <v/>
      </c>
      <c r="J587" s="59" t="str">
        <f t="shared" si="5"/>
        <v/>
      </c>
      <c r="K587" s="69" t="str">
        <f t="shared" si="6"/>
        <v/>
      </c>
      <c r="L587" s="60" t="str">
        <f t="shared" si="7"/>
        <v/>
      </c>
      <c r="M587" s="61" t="str">
        <f>IFERROR(__xludf.DUMMYFUNCTION("IFS(AND(COUNTA(C587:C1644)=0,COUNTA(Q587:Q1644)=0),"""",OR(AND(K587&gt;=1000000000,OR(Y587&gt;=1000000000,COUNTA(Q587:Q1644)=0)),OR(Y587&gt;=1000000000,AND(COUNTA(C587:C1644)=0,P$3=TRUE))),
ROUNDDOWN((AB$1-AC$1)*MAX(INDEX(T$4:T1644,MATCH(LARGE(FILTER(Y$4:Y1644,Y$4"&amp;":Y1644&lt;1000000000),1),Y$4:Y1644)),INDEX(F$4:F1644,MATCH(LARGE(FILTER(K$4:K1644,K$4:K1644&lt;1000000000),1),K$4:K1644)))),AND(K587&lt;1000000000,COUNTA(C587:C1644)&gt;0,P$3=FALSE),
ROUNDDOWN(INDEX(Y$4:Y1644,MATCH(LARGE(FILTER(W$4:W1644,W$4:W1644&lt;=I587),1),W$4:W1644"&amp;"))+(I587-LARGE(FILTER(W$4:W1644,W$4:W1644&lt;=I587),1))*INDEX(T$4:T1644,MATCH(LARGE(FILTER(W$4:W1644,W$4:W1644&lt;=I587),1),W$4:W1644))-K587),1,
ROUNDDOWN(Y587-INDEX(K$4:K1644,MATCH(LARGE(FILTER(I$4:I1644,I$4:I1644&lt;=W587),1),I$4:I1644))-(W587-LARGE(FILTER(I$4:I"&amp;"1644,I$4:I1644&lt;=W587),1))*INDEX(F$4:F1644,MATCH(LARGE(FILTER(I$4:I1644,I$4:I1644&lt;=W587),1),I$4:I1644))))"),"")</f>
        <v/>
      </c>
      <c r="N587" s="60" t="str">
        <f t="shared" si="8"/>
        <v/>
      </c>
      <c r="O587" s="61" t="str">
        <f t="shared" si="9"/>
        <v/>
      </c>
      <c r="P587" s="56" t="str">
        <f t="shared" si="10"/>
        <v/>
      </c>
      <c r="Q587" s="105"/>
      <c r="R587" s="10"/>
      <c r="S587" s="59" t="str">
        <f t="array" ref="S587">IF(COUNTA(Q587:Q1644)=0,"",SUM((COUNTIF(Q$4:Q587,Upgrades!$B$3:$B$13)-COUNTIF(Q$4:Q587,"Sell_"&amp;Upgrades!$B$3:$B$13))*Upgrades!$D$3:$D$13))</f>
        <v/>
      </c>
      <c r="T587" s="66" t="str">
        <f>IFERROR(__xludf.DUMMYFUNCTION("IF(COUNTA(Q587:Q1644)=0,"""",IF(REGEXMATCH(INDEX(FILTER(Q$4:Q587,Q$4:Q587&lt;&gt;""""),ROWS(FILTER(Q$4:Q587,Q$4:Q587&lt;&gt;""""))),""^Sell_""),INDEX(FILTER(T$4:T586,Q$4:Q586&lt;&gt;""""),ROWS(FILTER(Q$4:Q586,Q$4:Q586&lt;&gt;""""))),$AD$5+S587))"),"")</f>
        <v/>
      </c>
      <c r="U587" s="10" t="str">
        <f>IFERROR(__xludf.DUMMYFUNCTION("IF(COUNTA(Q587:Q1644)=0,"""",IF(Q587="""",0,IF(REGEXMATCH(Q587,""^Sell_""),-ROUNDDOWN(ROUNDUP(INDEX(Upgrades!$C$3:$C$13,MATCH(SUBSTITUTE(Q587,""Sell_"",""""),Upgrades!$B$3:$B$13,0))*1.15^(COUNTIF(Q$4:Q586,SUBSTITUTE(Q587,""Sell_"",""""))-COUNTIF(Q$4:Q586,"&amp;"""Sell_""&amp;SUBSTITUTE(Q587,""Sell_"",""""))))/2),ROUNDUP(INDEX(Upgrades!$C$3:$C$13,MATCH(Q587,Upgrades!$B$3:$B$13,0))*1.15^(COUNTIF(Q$4:Q586,Q587)-COUNTIF(Q$4:Q586,""Sell_""&amp;Q587))))))"),"")</f>
        <v/>
      </c>
      <c r="V587" s="10" t="str">
        <f t="shared" si="11"/>
        <v/>
      </c>
      <c r="W587" s="68" t="str">
        <f t="shared" si="12"/>
        <v/>
      </c>
      <c r="X587" s="59" t="str">
        <f t="shared" si="13"/>
        <v/>
      </c>
      <c r="Y587" s="69" t="str">
        <f t="shared" si="14"/>
        <v/>
      </c>
      <c r="Z587" s="11"/>
      <c r="AG587" s="59"/>
    </row>
    <row r="588">
      <c r="A588" s="8"/>
      <c r="B588" s="56" t="str">
        <f t="shared" si="2"/>
        <v/>
      </c>
      <c r="C588" s="105"/>
      <c r="D588" s="10"/>
      <c r="E588" s="59" t="str">
        <f t="array" ref="E588">IF(COUNTA(C588:C1644)=0,"",SUM((COUNTIF(C$4:C588,Upgrades!$B$3:$B$13)-COUNTIF(C$4:C588,"Sell_"&amp;Upgrades!$B$3:$B$13))*Upgrades!$D$3:$D$13))</f>
        <v/>
      </c>
      <c r="F588" s="66" t="str">
        <f>IFERROR(__xludf.DUMMYFUNCTION("IF(COUNTA(C588:C1644)=0,"""",IF(REGEXMATCH(INDEX(FILTER(C$4:C588,C$4:C588&lt;&gt;""""),ROWS(FILTER(C$4:C588,C$4:C588&lt;&gt;""""))),""^Sell_""),INDEX(FILTER(F$4:F587,C$4:C587&lt;&gt;""""),ROWS(FILTER(C$4:C587,C$4:C587&lt;&gt;""""))),$AC$5+E588))"),"")</f>
        <v/>
      </c>
      <c r="G588" s="10" t="str">
        <f>IFERROR(__xludf.DUMMYFUNCTION("IF(COUNTA(C588:C1644)=0,"""",IF(C588="""",0,IF(REGEXMATCH(C588,""^Sell_""),-ROUNDDOWN(ROUNDUP(INDEX(Upgrades!$C$3:$C$13,MATCH(SUBSTITUTE(C588,""Sell_"",""""),Upgrades!$B$3:$B$13,0))*1.15^(COUNTIF(C$4:C587,SUBSTITUTE(C588,""Sell_"",""""))-COUNTIF(C$4:C587,"&amp;"""Sell_""&amp;SUBSTITUTE(C588,""Sell_"",""""))))/2),ROUNDUP(INDEX(Upgrades!$C$3:$C$13,MATCH(C588,Upgrades!$B$3:$B$13,0))*1.15^(COUNTIF(C$4:C587,C588)-COUNTIF(C$4:C587,""Sell_""&amp;C588))))))"),"")</f>
        <v/>
      </c>
      <c r="H588" s="10" t="str">
        <f t="shared" si="3"/>
        <v/>
      </c>
      <c r="I588" s="68" t="str">
        <f t="shared" si="4"/>
        <v/>
      </c>
      <c r="J588" s="59" t="str">
        <f t="shared" si="5"/>
        <v/>
      </c>
      <c r="K588" s="69" t="str">
        <f t="shared" si="6"/>
        <v/>
      </c>
      <c r="L588" s="60" t="str">
        <f t="shared" si="7"/>
        <v/>
      </c>
      <c r="M588" s="61" t="str">
        <f>IFERROR(__xludf.DUMMYFUNCTION("IFS(AND(COUNTA(C588:C1644)=0,COUNTA(Q588:Q1644)=0),"""",OR(AND(K588&gt;=1000000000,OR(Y588&gt;=1000000000,COUNTA(Q588:Q1644)=0)),OR(Y588&gt;=1000000000,AND(COUNTA(C588:C1644)=0,P$3=TRUE))),
ROUNDDOWN((AB$1-AC$1)*MAX(INDEX(T$4:T1644,MATCH(LARGE(FILTER(Y$4:Y1644,Y$4"&amp;":Y1644&lt;1000000000),1),Y$4:Y1644)),INDEX(F$4:F1644,MATCH(LARGE(FILTER(K$4:K1644,K$4:K1644&lt;1000000000),1),K$4:K1644)))),AND(K588&lt;1000000000,COUNTA(C588:C1644)&gt;0,P$3=FALSE),
ROUNDDOWN(INDEX(Y$4:Y1644,MATCH(LARGE(FILTER(W$4:W1644,W$4:W1644&lt;=I588),1),W$4:W1644"&amp;"))+(I588-LARGE(FILTER(W$4:W1644,W$4:W1644&lt;=I588),1))*INDEX(T$4:T1644,MATCH(LARGE(FILTER(W$4:W1644,W$4:W1644&lt;=I588),1),W$4:W1644))-K588),1,
ROUNDDOWN(Y588-INDEX(K$4:K1644,MATCH(LARGE(FILTER(I$4:I1644,I$4:I1644&lt;=W588),1),I$4:I1644))-(W588-LARGE(FILTER(I$4:I"&amp;"1644,I$4:I1644&lt;=W588),1))*INDEX(F$4:F1644,MATCH(LARGE(FILTER(I$4:I1644,I$4:I1644&lt;=W588),1),I$4:I1644))))"),"")</f>
        <v/>
      </c>
      <c r="N588" s="60" t="str">
        <f t="shared" si="8"/>
        <v/>
      </c>
      <c r="O588" s="61" t="str">
        <f t="shared" si="9"/>
        <v/>
      </c>
      <c r="P588" s="56" t="str">
        <f t="shared" si="10"/>
        <v/>
      </c>
      <c r="Q588" s="105"/>
      <c r="R588" s="10"/>
      <c r="S588" s="59" t="str">
        <f t="array" ref="S588">IF(COUNTA(Q588:Q1644)=0,"",SUM((COUNTIF(Q$4:Q588,Upgrades!$B$3:$B$13)-COUNTIF(Q$4:Q588,"Sell_"&amp;Upgrades!$B$3:$B$13))*Upgrades!$D$3:$D$13))</f>
        <v/>
      </c>
      <c r="T588" s="66" t="str">
        <f>IFERROR(__xludf.DUMMYFUNCTION("IF(COUNTA(Q588:Q1644)=0,"""",IF(REGEXMATCH(INDEX(FILTER(Q$4:Q588,Q$4:Q588&lt;&gt;""""),ROWS(FILTER(Q$4:Q588,Q$4:Q588&lt;&gt;""""))),""^Sell_""),INDEX(FILTER(T$4:T587,Q$4:Q587&lt;&gt;""""),ROWS(FILTER(Q$4:Q587,Q$4:Q587&lt;&gt;""""))),$AD$5+S588))"),"")</f>
        <v/>
      </c>
      <c r="U588" s="10" t="str">
        <f>IFERROR(__xludf.DUMMYFUNCTION("IF(COUNTA(Q588:Q1644)=0,"""",IF(Q588="""",0,IF(REGEXMATCH(Q588,""^Sell_""),-ROUNDDOWN(ROUNDUP(INDEX(Upgrades!$C$3:$C$13,MATCH(SUBSTITUTE(Q588,""Sell_"",""""),Upgrades!$B$3:$B$13,0))*1.15^(COUNTIF(Q$4:Q587,SUBSTITUTE(Q588,""Sell_"",""""))-COUNTIF(Q$4:Q587,"&amp;"""Sell_""&amp;SUBSTITUTE(Q588,""Sell_"",""""))))/2),ROUNDUP(INDEX(Upgrades!$C$3:$C$13,MATCH(Q588,Upgrades!$B$3:$B$13,0))*1.15^(COUNTIF(Q$4:Q587,Q588)-COUNTIF(Q$4:Q587,""Sell_""&amp;Q588))))))"),"")</f>
        <v/>
      </c>
      <c r="V588" s="10" t="str">
        <f t="shared" si="11"/>
        <v/>
      </c>
      <c r="W588" s="68" t="str">
        <f t="shared" si="12"/>
        <v/>
      </c>
      <c r="X588" s="59" t="str">
        <f t="shared" si="13"/>
        <v/>
      </c>
      <c r="Y588" s="69" t="str">
        <f t="shared" si="14"/>
        <v/>
      </c>
      <c r="Z588" s="11"/>
      <c r="AG588" s="59"/>
    </row>
    <row r="589">
      <c r="A589" s="8"/>
      <c r="B589" s="56" t="str">
        <f t="shared" si="2"/>
        <v/>
      </c>
      <c r="C589" s="105"/>
      <c r="D589" s="10"/>
      <c r="E589" s="59" t="str">
        <f t="array" ref="E589">IF(COUNTA(C589:C1644)=0,"",SUM((COUNTIF(C$4:C589,Upgrades!$B$3:$B$13)-COUNTIF(C$4:C589,"Sell_"&amp;Upgrades!$B$3:$B$13))*Upgrades!$D$3:$D$13))</f>
        <v/>
      </c>
      <c r="F589" s="66" t="str">
        <f>IFERROR(__xludf.DUMMYFUNCTION("IF(COUNTA(C589:C1644)=0,"""",IF(REGEXMATCH(INDEX(FILTER(C$4:C589,C$4:C589&lt;&gt;""""),ROWS(FILTER(C$4:C589,C$4:C589&lt;&gt;""""))),""^Sell_""),INDEX(FILTER(F$4:F588,C$4:C588&lt;&gt;""""),ROWS(FILTER(C$4:C588,C$4:C588&lt;&gt;""""))),$AC$5+E589))"),"")</f>
        <v/>
      </c>
      <c r="G589" s="10" t="str">
        <f>IFERROR(__xludf.DUMMYFUNCTION("IF(COUNTA(C589:C1644)=0,"""",IF(C589="""",0,IF(REGEXMATCH(C589,""^Sell_""),-ROUNDDOWN(ROUNDUP(INDEX(Upgrades!$C$3:$C$13,MATCH(SUBSTITUTE(C589,""Sell_"",""""),Upgrades!$B$3:$B$13,0))*1.15^(COUNTIF(C$4:C588,SUBSTITUTE(C589,""Sell_"",""""))-COUNTIF(C$4:C588,"&amp;"""Sell_""&amp;SUBSTITUTE(C589,""Sell_"",""""))))/2),ROUNDUP(INDEX(Upgrades!$C$3:$C$13,MATCH(C589,Upgrades!$B$3:$B$13,0))*1.15^(COUNTIF(C$4:C588,C589)-COUNTIF(C$4:C588,""Sell_""&amp;C589))))))"),"")</f>
        <v/>
      </c>
      <c r="H589" s="10" t="str">
        <f t="shared" si="3"/>
        <v/>
      </c>
      <c r="I589" s="68" t="str">
        <f t="shared" si="4"/>
        <v/>
      </c>
      <c r="J589" s="59" t="str">
        <f t="shared" si="5"/>
        <v/>
      </c>
      <c r="K589" s="69" t="str">
        <f t="shared" si="6"/>
        <v/>
      </c>
      <c r="L589" s="60" t="str">
        <f t="shared" si="7"/>
        <v/>
      </c>
      <c r="M589" s="61" t="str">
        <f>IFERROR(__xludf.DUMMYFUNCTION("IFS(AND(COUNTA(C589:C1644)=0,COUNTA(Q589:Q1644)=0),"""",OR(AND(K589&gt;=1000000000,OR(Y589&gt;=1000000000,COUNTA(Q589:Q1644)=0)),OR(Y589&gt;=1000000000,AND(COUNTA(C589:C1644)=0,P$3=TRUE))),
ROUNDDOWN((AB$1-AC$1)*MAX(INDEX(T$4:T1644,MATCH(LARGE(FILTER(Y$4:Y1644,Y$4"&amp;":Y1644&lt;1000000000),1),Y$4:Y1644)),INDEX(F$4:F1644,MATCH(LARGE(FILTER(K$4:K1644,K$4:K1644&lt;1000000000),1),K$4:K1644)))),AND(K589&lt;1000000000,COUNTA(C589:C1644)&gt;0,P$3=FALSE),
ROUNDDOWN(INDEX(Y$4:Y1644,MATCH(LARGE(FILTER(W$4:W1644,W$4:W1644&lt;=I589),1),W$4:W1644"&amp;"))+(I589-LARGE(FILTER(W$4:W1644,W$4:W1644&lt;=I589),1))*INDEX(T$4:T1644,MATCH(LARGE(FILTER(W$4:W1644,W$4:W1644&lt;=I589),1),W$4:W1644))-K589),1,
ROUNDDOWN(Y589-INDEX(K$4:K1644,MATCH(LARGE(FILTER(I$4:I1644,I$4:I1644&lt;=W589),1),I$4:I1644))-(W589-LARGE(FILTER(I$4:I"&amp;"1644,I$4:I1644&lt;=W589),1))*INDEX(F$4:F1644,MATCH(LARGE(FILTER(I$4:I1644,I$4:I1644&lt;=W589),1),I$4:I1644))))"),"")</f>
        <v/>
      </c>
      <c r="N589" s="60" t="str">
        <f t="shared" si="8"/>
        <v/>
      </c>
      <c r="O589" s="61" t="str">
        <f t="shared" si="9"/>
        <v/>
      </c>
      <c r="P589" s="56" t="str">
        <f t="shared" si="10"/>
        <v/>
      </c>
      <c r="Q589" s="105"/>
      <c r="R589" s="10"/>
      <c r="S589" s="59" t="str">
        <f t="array" ref="S589">IF(COUNTA(Q589:Q1644)=0,"",SUM((COUNTIF(Q$4:Q589,Upgrades!$B$3:$B$13)-COUNTIF(Q$4:Q589,"Sell_"&amp;Upgrades!$B$3:$B$13))*Upgrades!$D$3:$D$13))</f>
        <v/>
      </c>
      <c r="T589" s="66" t="str">
        <f>IFERROR(__xludf.DUMMYFUNCTION("IF(COUNTA(Q589:Q1644)=0,"""",IF(REGEXMATCH(INDEX(FILTER(Q$4:Q589,Q$4:Q589&lt;&gt;""""),ROWS(FILTER(Q$4:Q589,Q$4:Q589&lt;&gt;""""))),""^Sell_""),INDEX(FILTER(T$4:T588,Q$4:Q588&lt;&gt;""""),ROWS(FILTER(Q$4:Q588,Q$4:Q588&lt;&gt;""""))),$AD$5+S589))"),"")</f>
        <v/>
      </c>
      <c r="U589" s="10" t="str">
        <f>IFERROR(__xludf.DUMMYFUNCTION("IF(COUNTA(Q589:Q1644)=0,"""",IF(Q589="""",0,IF(REGEXMATCH(Q589,""^Sell_""),-ROUNDDOWN(ROUNDUP(INDEX(Upgrades!$C$3:$C$13,MATCH(SUBSTITUTE(Q589,""Sell_"",""""),Upgrades!$B$3:$B$13,0))*1.15^(COUNTIF(Q$4:Q588,SUBSTITUTE(Q589,""Sell_"",""""))-COUNTIF(Q$4:Q588,"&amp;"""Sell_""&amp;SUBSTITUTE(Q589,""Sell_"",""""))))/2),ROUNDUP(INDEX(Upgrades!$C$3:$C$13,MATCH(Q589,Upgrades!$B$3:$B$13,0))*1.15^(COUNTIF(Q$4:Q588,Q589)-COUNTIF(Q$4:Q588,""Sell_""&amp;Q589))))))"),"")</f>
        <v/>
      </c>
      <c r="V589" s="10" t="str">
        <f t="shared" si="11"/>
        <v/>
      </c>
      <c r="W589" s="68" t="str">
        <f t="shared" si="12"/>
        <v/>
      </c>
      <c r="X589" s="59" t="str">
        <f t="shared" si="13"/>
        <v/>
      </c>
      <c r="Y589" s="69" t="str">
        <f t="shared" si="14"/>
        <v/>
      </c>
      <c r="Z589" s="11"/>
      <c r="AG589" s="59"/>
    </row>
    <row r="590">
      <c r="A590" s="8"/>
      <c r="B590" s="56" t="str">
        <f t="shared" si="2"/>
        <v/>
      </c>
      <c r="C590" s="105"/>
      <c r="D590" s="10"/>
      <c r="E590" s="59" t="str">
        <f t="array" ref="E590">IF(COUNTA(C590:C1644)=0,"",SUM((COUNTIF(C$4:C590,Upgrades!$B$3:$B$13)-COUNTIF(C$4:C590,"Sell_"&amp;Upgrades!$B$3:$B$13))*Upgrades!$D$3:$D$13))</f>
        <v/>
      </c>
      <c r="F590" s="66" t="str">
        <f>IFERROR(__xludf.DUMMYFUNCTION("IF(COUNTA(C590:C1644)=0,"""",IF(REGEXMATCH(INDEX(FILTER(C$4:C590,C$4:C590&lt;&gt;""""),ROWS(FILTER(C$4:C590,C$4:C590&lt;&gt;""""))),""^Sell_""),INDEX(FILTER(F$4:F589,C$4:C589&lt;&gt;""""),ROWS(FILTER(C$4:C589,C$4:C589&lt;&gt;""""))),$AC$5+E590))"),"")</f>
        <v/>
      </c>
      <c r="G590" s="10" t="str">
        <f>IFERROR(__xludf.DUMMYFUNCTION("IF(COUNTA(C590:C1644)=0,"""",IF(C590="""",0,IF(REGEXMATCH(C590,""^Sell_""),-ROUNDDOWN(ROUNDUP(INDEX(Upgrades!$C$3:$C$13,MATCH(SUBSTITUTE(C590,""Sell_"",""""),Upgrades!$B$3:$B$13,0))*1.15^(COUNTIF(C$4:C589,SUBSTITUTE(C590,""Sell_"",""""))-COUNTIF(C$4:C589,"&amp;"""Sell_""&amp;SUBSTITUTE(C590,""Sell_"",""""))))/2),ROUNDUP(INDEX(Upgrades!$C$3:$C$13,MATCH(C590,Upgrades!$B$3:$B$13,0))*1.15^(COUNTIF(C$4:C589,C590)-COUNTIF(C$4:C589,""Sell_""&amp;C590))))))"),"")</f>
        <v/>
      </c>
      <c r="H590" s="10" t="str">
        <f t="shared" si="3"/>
        <v/>
      </c>
      <c r="I590" s="68" t="str">
        <f t="shared" si="4"/>
        <v/>
      </c>
      <c r="J590" s="59" t="str">
        <f t="shared" si="5"/>
        <v/>
      </c>
      <c r="K590" s="69" t="str">
        <f t="shared" si="6"/>
        <v/>
      </c>
      <c r="L590" s="60" t="str">
        <f t="shared" si="7"/>
        <v/>
      </c>
      <c r="M590" s="61" t="str">
        <f>IFERROR(__xludf.DUMMYFUNCTION("IFS(AND(COUNTA(C590:C1644)=0,COUNTA(Q590:Q1644)=0),"""",OR(AND(K590&gt;=1000000000,OR(Y590&gt;=1000000000,COUNTA(Q590:Q1644)=0)),OR(Y590&gt;=1000000000,AND(COUNTA(C590:C1644)=0,P$3=TRUE))),
ROUNDDOWN((AB$1-AC$1)*MAX(INDEX(T$4:T1644,MATCH(LARGE(FILTER(Y$4:Y1644,Y$4"&amp;":Y1644&lt;1000000000),1),Y$4:Y1644)),INDEX(F$4:F1644,MATCH(LARGE(FILTER(K$4:K1644,K$4:K1644&lt;1000000000),1),K$4:K1644)))),AND(K590&lt;1000000000,COUNTA(C590:C1644)&gt;0,P$3=FALSE),
ROUNDDOWN(INDEX(Y$4:Y1644,MATCH(LARGE(FILTER(W$4:W1644,W$4:W1644&lt;=I590),1),W$4:W1644"&amp;"))+(I590-LARGE(FILTER(W$4:W1644,W$4:W1644&lt;=I590),1))*INDEX(T$4:T1644,MATCH(LARGE(FILTER(W$4:W1644,W$4:W1644&lt;=I590),1),W$4:W1644))-K590),1,
ROUNDDOWN(Y590-INDEX(K$4:K1644,MATCH(LARGE(FILTER(I$4:I1644,I$4:I1644&lt;=W590),1),I$4:I1644))-(W590-LARGE(FILTER(I$4:I"&amp;"1644,I$4:I1644&lt;=W590),1))*INDEX(F$4:F1644,MATCH(LARGE(FILTER(I$4:I1644,I$4:I1644&lt;=W590),1),I$4:I1644))))"),"")</f>
        <v/>
      </c>
      <c r="N590" s="60" t="str">
        <f t="shared" si="8"/>
        <v/>
      </c>
      <c r="O590" s="61" t="str">
        <f t="shared" si="9"/>
        <v/>
      </c>
      <c r="P590" s="56" t="str">
        <f t="shared" si="10"/>
        <v/>
      </c>
      <c r="Q590" s="105"/>
      <c r="R590" s="10"/>
      <c r="S590" s="59" t="str">
        <f t="array" ref="S590">IF(COUNTA(Q590:Q1644)=0,"",SUM((COUNTIF(Q$4:Q590,Upgrades!$B$3:$B$13)-COUNTIF(Q$4:Q590,"Sell_"&amp;Upgrades!$B$3:$B$13))*Upgrades!$D$3:$D$13))</f>
        <v/>
      </c>
      <c r="T590" s="66" t="str">
        <f>IFERROR(__xludf.DUMMYFUNCTION("IF(COUNTA(Q590:Q1644)=0,"""",IF(REGEXMATCH(INDEX(FILTER(Q$4:Q590,Q$4:Q590&lt;&gt;""""),ROWS(FILTER(Q$4:Q590,Q$4:Q590&lt;&gt;""""))),""^Sell_""),INDEX(FILTER(T$4:T589,Q$4:Q589&lt;&gt;""""),ROWS(FILTER(Q$4:Q589,Q$4:Q589&lt;&gt;""""))),$AD$5+S590))"),"")</f>
        <v/>
      </c>
      <c r="U590" s="10" t="str">
        <f>IFERROR(__xludf.DUMMYFUNCTION("IF(COUNTA(Q590:Q1644)=0,"""",IF(Q590="""",0,IF(REGEXMATCH(Q590,""^Sell_""),-ROUNDDOWN(ROUNDUP(INDEX(Upgrades!$C$3:$C$13,MATCH(SUBSTITUTE(Q590,""Sell_"",""""),Upgrades!$B$3:$B$13,0))*1.15^(COUNTIF(Q$4:Q589,SUBSTITUTE(Q590,""Sell_"",""""))-COUNTIF(Q$4:Q589,"&amp;"""Sell_""&amp;SUBSTITUTE(Q590,""Sell_"",""""))))/2),ROUNDUP(INDEX(Upgrades!$C$3:$C$13,MATCH(Q590,Upgrades!$B$3:$B$13,0))*1.15^(COUNTIF(Q$4:Q589,Q590)-COUNTIF(Q$4:Q589,""Sell_""&amp;Q590))))))"),"")</f>
        <v/>
      </c>
      <c r="V590" s="10" t="str">
        <f t="shared" si="11"/>
        <v/>
      </c>
      <c r="W590" s="68" t="str">
        <f t="shared" si="12"/>
        <v/>
      </c>
      <c r="X590" s="59" t="str">
        <f t="shared" si="13"/>
        <v/>
      </c>
      <c r="Y590" s="69" t="str">
        <f t="shared" si="14"/>
        <v/>
      </c>
      <c r="Z590" s="11"/>
      <c r="AG590" s="59"/>
    </row>
    <row r="591">
      <c r="A591" s="8"/>
      <c r="B591" s="56" t="str">
        <f t="shared" si="2"/>
        <v/>
      </c>
      <c r="C591" s="105"/>
      <c r="D591" s="10"/>
      <c r="E591" s="59" t="str">
        <f t="array" ref="E591">IF(COUNTA(C591:C1644)=0,"",SUM((COUNTIF(C$4:C591,Upgrades!$B$3:$B$13)-COUNTIF(C$4:C591,"Sell_"&amp;Upgrades!$B$3:$B$13))*Upgrades!$D$3:$D$13))</f>
        <v/>
      </c>
      <c r="F591" s="66" t="str">
        <f>IFERROR(__xludf.DUMMYFUNCTION("IF(COUNTA(C591:C1644)=0,"""",IF(REGEXMATCH(INDEX(FILTER(C$4:C591,C$4:C591&lt;&gt;""""),ROWS(FILTER(C$4:C591,C$4:C591&lt;&gt;""""))),""^Sell_""),INDEX(FILTER(F$4:F590,C$4:C590&lt;&gt;""""),ROWS(FILTER(C$4:C590,C$4:C590&lt;&gt;""""))),$AC$5+E591))"),"")</f>
        <v/>
      </c>
      <c r="G591" s="10" t="str">
        <f>IFERROR(__xludf.DUMMYFUNCTION("IF(COUNTA(C591:C1644)=0,"""",IF(C591="""",0,IF(REGEXMATCH(C591,""^Sell_""),-ROUNDDOWN(ROUNDUP(INDEX(Upgrades!$C$3:$C$13,MATCH(SUBSTITUTE(C591,""Sell_"",""""),Upgrades!$B$3:$B$13,0))*1.15^(COUNTIF(C$4:C590,SUBSTITUTE(C591,""Sell_"",""""))-COUNTIF(C$4:C590,"&amp;"""Sell_""&amp;SUBSTITUTE(C591,""Sell_"",""""))))/2),ROUNDUP(INDEX(Upgrades!$C$3:$C$13,MATCH(C591,Upgrades!$B$3:$B$13,0))*1.15^(COUNTIF(C$4:C590,C591)-COUNTIF(C$4:C590,""Sell_""&amp;C591))))))"),"")</f>
        <v/>
      </c>
      <c r="H591" s="10" t="str">
        <f t="shared" si="3"/>
        <v/>
      </c>
      <c r="I591" s="68" t="str">
        <f t="shared" si="4"/>
        <v/>
      </c>
      <c r="J591" s="59" t="str">
        <f t="shared" si="5"/>
        <v/>
      </c>
      <c r="K591" s="69" t="str">
        <f t="shared" si="6"/>
        <v/>
      </c>
      <c r="L591" s="60" t="str">
        <f t="shared" si="7"/>
        <v/>
      </c>
      <c r="M591" s="61" t="str">
        <f>IFERROR(__xludf.DUMMYFUNCTION("IFS(AND(COUNTA(C591:C1644)=0,COUNTA(Q591:Q1644)=0),"""",OR(AND(K591&gt;=1000000000,OR(Y591&gt;=1000000000,COUNTA(Q591:Q1644)=0)),OR(Y591&gt;=1000000000,AND(COUNTA(C591:C1644)=0,P$3=TRUE))),
ROUNDDOWN((AB$1-AC$1)*MAX(INDEX(T$4:T1644,MATCH(LARGE(FILTER(Y$4:Y1644,Y$4"&amp;":Y1644&lt;1000000000),1),Y$4:Y1644)),INDEX(F$4:F1644,MATCH(LARGE(FILTER(K$4:K1644,K$4:K1644&lt;1000000000),1),K$4:K1644)))),AND(K591&lt;1000000000,COUNTA(C591:C1644)&gt;0,P$3=FALSE),
ROUNDDOWN(INDEX(Y$4:Y1644,MATCH(LARGE(FILTER(W$4:W1644,W$4:W1644&lt;=I591),1),W$4:W1644"&amp;"))+(I591-LARGE(FILTER(W$4:W1644,W$4:W1644&lt;=I591),1))*INDEX(T$4:T1644,MATCH(LARGE(FILTER(W$4:W1644,W$4:W1644&lt;=I591),1),W$4:W1644))-K591),1,
ROUNDDOWN(Y591-INDEX(K$4:K1644,MATCH(LARGE(FILTER(I$4:I1644,I$4:I1644&lt;=W591),1),I$4:I1644))-(W591-LARGE(FILTER(I$4:I"&amp;"1644,I$4:I1644&lt;=W591),1))*INDEX(F$4:F1644,MATCH(LARGE(FILTER(I$4:I1644,I$4:I1644&lt;=W591),1),I$4:I1644))))"),"")</f>
        <v/>
      </c>
      <c r="N591" s="60" t="str">
        <f t="shared" si="8"/>
        <v/>
      </c>
      <c r="O591" s="61" t="str">
        <f t="shared" si="9"/>
        <v/>
      </c>
      <c r="P591" s="56" t="str">
        <f t="shared" si="10"/>
        <v/>
      </c>
      <c r="Q591" s="105"/>
      <c r="R591" s="10"/>
      <c r="S591" s="59" t="str">
        <f t="array" ref="S591">IF(COUNTA(Q591:Q1644)=0,"",SUM((COUNTIF(Q$4:Q591,Upgrades!$B$3:$B$13)-COUNTIF(Q$4:Q591,"Sell_"&amp;Upgrades!$B$3:$B$13))*Upgrades!$D$3:$D$13))</f>
        <v/>
      </c>
      <c r="T591" s="66" t="str">
        <f>IFERROR(__xludf.DUMMYFUNCTION("IF(COUNTA(Q591:Q1644)=0,"""",IF(REGEXMATCH(INDEX(FILTER(Q$4:Q591,Q$4:Q591&lt;&gt;""""),ROWS(FILTER(Q$4:Q591,Q$4:Q591&lt;&gt;""""))),""^Sell_""),INDEX(FILTER(T$4:T590,Q$4:Q590&lt;&gt;""""),ROWS(FILTER(Q$4:Q590,Q$4:Q590&lt;&gt;""""))),$AD$5+S591))"),"")</f>
        <v/>
      </c>
      <c r="U591" s="10" t="str">
        <f>IFERROR(__xludf.DUMMYFUNCTION("IF(COUNTA(Q591:Q1644)=0,"""",IF(Q591="""",0,IF(REGEXMATCH(Q591,""^Sell_""),-ROUNDDOWN(ROUNDUP(INDEX(Upgrades!$C$3:$C$13,MATCH(SUBSTITUTE(Q591,""Sell_"",""""),Upgrades!$B$3:$B$13,0))*1.15^(COUNTIF(Q$4:Q590,SUBSTITUTE(Q591,""Sell_"",""""))-COUNTIF(Q$4:Q590,"&amp;"""Sell_""&amp;SUBSTITUTE(Q591,""Sell_"",""""))))/2),ROUNDUP(INDEX(Upgrades!$C$3:$C$13,MATCH(Q591,Upgrades!$B$3:$B$13,0))*1.15^(COUNTIF(Q$4:Q590,Q591)-COUNTIF(Q$4:Q590,""Sell_""&amp;Q591))))))"),"")</f>
        <v/>
      </c>
      <c r="V591" s="10" t="str">
        <f t="shared" si="11"/>
        <v/>
      </c>
      <c r="W591" s="68" t="str">
        <f t="shared" si="12"/>
        <v/>
      </c>
      <c r="X591" s="59" t="str">
        <f t="shared" si="13"/>
        <v/>
      </c>
      <c r="Y591" s="69" t="str">
        <f t="shared" si="14"/>
        <v/>
      </c>
      <c r="Z591" s="11"/>
      <c r="AG591" s="59"/>
    </row>
    <row r="592">
      <c r="A592" s="8"/>
      <c r="B592" s="56" t="str">
        <f t="shared" si="2"/>
        <v/>
      </c>
      <c r="C592" s="105"/>
      <c r="D592" s="10"/>
      <c r="E592" s="59" t="str">
        <f t="array" ref="E592">IF(COUNTA(C592:C1644)=0,"",SUM((COUNTIF(C$4:C592,Upgrades!$B$3:$B$13)-COUNTIF(C$4:C592,"Sell_"&amp;Upgrades!$B$3:$B$13))*Upgrades!$D$3:$D$13))</f>
        <v/>
      </c>
      <c r="F592" s="66" t="str">
        <f>IFERROR(__xludf.DUMMYFUNCTION("IF(COUNTA(C592:C1644)=0,"""",IF(REGEXMATCH(INDEX(FILTER(C$4:C592,C$4:C592&lt;&gt;""""),ROWS(FILTER(C$4:C592,C$4:C592&lt;&gt;""""))),""^Sell_""),INDEX(FILTER(F$4:F591,C$4:C591&lt;&gt;""""),ROWS(FILTER(C$4:C591,C$4:C591&lt;&gt;""""))),$AC$5+E592))"),"")</f>
        <v/>
      </c>
      <c r="G592" s="10" t="str">
        <f>IFERROR(__xludf.DUMMYFUNCTION("IF(COUNTA(C592:C1644)=0,"""",IF(C592="""",0,IF(REGEXMATCH(C592,""^Sell_""),-ROUNDDOWN(ROUNDUP(INDEX(Upgrades!$C$3:$C$13,MATCH(SUBSTITUTE(C592,""Sell_"",""""),Upgrades!$B$3:$B$13,0))*1.15^(COUNTIF(C$4:C591,SUBSTITUTE(C592,""Sell_"",""""))-COUNTIF(C$4:C591,"&amp;"""Sell_""&amp;SUBSTITUTE(C592,""Sell_"",""""))))/2),ROUNDUP(INDEX(Upgrades!$C$3:$C$13,MATCH(C592,Upgrades!$B$3:$B$13,0))*1.15^(COUNTIF(C$4:C591,C592)-COUNTIF(C$4:C591,""Sell_""&amp;C592))))))"),"")</f>
        <v/>
      </c>
      <c r="H592" s="10" t="str">
        <f t="shared" si="3"/>
        <v/>
      </c>
      <c r="I592" s="68" t="str">
        <f t="shared" si="4"/>
        <v/>
      </c>
      <c r="J592" s="59" t="str">
        <f t="shared" si="5"/>
        <v/>
      </c>
      <c r="K592" s="69" t="str">
        <f t="shared" si="6"/>
        <v/>
      </c>
      <c r="L592" s="60" t="str">
        <f t="shared" si="7"/>
        <v/>
      </c>
      <c r="M592" s="61" t="str">
        <f>IFERROR(__xludf.DUMMYFUNCTION("IFS(AND(COUNTA(C592:C1644)=0,COUNTA(Q592:Q1644)=0),"""",OR(AND(K592&gt;=1000000000,OR(Y592&gt;=1000000000,COUNTA(Q592:Q1644)=0)),OR(Y592&gt;=1000000000,AND(COUNTA(C592:C1644)=0,P$3=TRUE))),
ROUNDDOWN((AB$1-AC$1)*MAX(INDEX(T$4:T1644,MATCH(LARGE(FILTER(Y$4:Y1644,Y$4"&amp;":Y1644&lt;1000000000),1),Y$4:Y1644)),INDEX(F$4:F1644,MATCH(LARGE(FILTER(K$4:K1644,K$4:K1644&lt;1000000000),1),K$4:K1644)))),AND(K592&lt;1000000000,COUNTA(C592:C1644)&gt;0,P$3=FALSE),
ROUNDDOWN(INDEX(Y$4:Y1644,MATCH(LARGE(FILTER(W$4:W1644,W$4:W1644&lt;=I592),1),W$4:W1644"&amp;"))+(I592-LARGE(FILTER(W$4:W1644,W$4:W1644&lt;=I592),1))*INDEX(T$4:T1644,MATCH(LARGE(FILTER(W$4:W1644,W$4:W1644&lt;=I592),1),W$4:W1644))-K592),1,
ROUNDDOWN(Y592-INDEX(K$4:K1644,MATCH(LARGE(FILTER(I$4:I1644,I$4:I1644&lt;=W592),1),I$4:I1644))-(W592-LARGE(FILTER(I$4:I"&amp;"1644,I$4:I1644&lt;=W592),1))*INDEX(F$4:F1644,MATCH(LARGE(FILTER(I$4:I1644,I$4:I1644&lt;=W592),1),I$4:I1644))))"),"")</f>
        <v/>
      </c>
      <c r="N592" s="60" t="str">
        <f t="shared" si="8"/>
        <v/>
      </c>
      <c r="O592" s="61" t="str">
        <f t="shared" si="9"/>
        <v/>
      </c>
      <c r="P592" s="56" t="str">
        <f t="shared" si="10"/>
        <v/>
      </c>
      <c r="Q592" s="105"/>
      <c r="R592" s="10"/>
      <c r="S592" s="59" t="str">
        <f t="array" ref="S592">IF(COUNTA(Q592:Q1644)=0,"",SUM((COUNTIF(Q$4:Q592,Upgrades!$B$3:$B$13)-COUNTIF(Q$4:Q592,"Sell_"&amp;Upgrades!$B$3:$B$13))*Upgrades!$D$3:$D$13))</f>
        <v/>
      </c>
      <c r="T592" s="66" t="str">
        <f>IFERROR(__xludf.DUMMYFUNCTION("IF(COUNTA(Q592:Q1644)=0,"""",IF(REGEXMATCH(INDEX(FILTER(Q$4:Q592,Q$4:Q592&lt;&gt;""""),ROWS(FILTER(Q$4:Q592,Q$4:Q592&lt;&gt;""""))),""^Sell_""),INDEX(FILTER(T$4:T591,Q$4:Q591&lt;&gt;""""),ROWS(FILTER(Q$4:Q591,Q$4:Q591&lt;&gt;""""))),$AD$5+S592))"),"")</f>
        <v/>
      </c>
      <c r="U592" s="10" t="str">
        <f>IFERROR(__xludf.DUMMYFUNCTION("IF(COUNTA(Q592:Q1644)=0,"""",IF(Q592="""",0,IF(REGEXMATCH(Q592,""^Sell_""),-ROUNDDOWN(ROUNDUP(INDEX(Upgrades!$C$3:$C$13,MATCH(SUBSTITUTE(Q592,""Sell_"",""""),Upgrades!$B$3:$B$13,0))*1.15^(COUNTIF(Q$4:Q591,SUBSTITUTE(Q592,""Sell_"",""""))-COUNTIF(Q$4:Q591,"&amp;"""Sell_""&amp;SUBSTITUTE(Q592,""Sell_"",""""))))/2),ROUNDUP(INDEX(Upgrades!$C$3:$C$13,MATCH(Q592,Upgrades!$B$3:$B$13,0))*1.15^(COUNTIF(Q$4:Q591,Q592)-COUNTIF(Q$4:Q591,""Sell_""&amp;Q592))))))"),"")</f>
        <v/>
      </c>
      <c r="V592" s="10" t="str">
        <f t="shared" si="11"/>
        <v/>
      </c>
      <c r="W592" s="68" t="str">
        <f t="shared" si="12"/>
        <v/>
      </c>
      <c r="X592" s="59" t="str">
        <f t="shared" si="13"/>
        <v/>
      </c>
      <c r="Y592" s="69" t="str">
        <f t="shared" si="14"/>
        <v/>
      </c>
      <c r="Z592" s="11"/>
      <c r="AG592" s="59"/>
    </row>
    <row r="593">
      <c r="A593" s="8"/>
      <c r="B593" s="56" t="str">
        <f t="shared" si="2"/>
        <v/>
      </c>
      <c r="C593" s="105"/>
      <c r="D593" s="10"/>
      <c r="E593" s="59" t="str">
        <f t="array" ref="E593">IF(COUNTA(C593:C1644)=0,"",SUM((COUNTIF(C$4:C593,Upgrades!$B$3:$B$13)-COUNTIF(C$4:C593,"Sell_"&amp;Upgrades!$B$3:$B$13))*Upgrades!$D$3:$D$13))</f>
        <v/>
      </c>
      <c r="F593" s="66" t="str">
        <f>IFERROR(__xludf.DUMMYFUNCTION("IF(COUNTA(C593:C1644)=0,"""",IF(REGEXMATCH(INDEX(FILTER(C$4:C593,C$4:C593&lt;&gt;""""),ROWS(FILTER(C$4:C593,C$4:C593&lt;&gt;""""))),""^Sell_""),INDEX(FILTER(F$4:F592,C$4:C592&lt;&gt;""""),ROWS(FILTER(C$4:C592,C$4:C592&lt;&gt;""""))),$AC$5+E593))"),"")</f>
        <v/>
      </c>
      <c r="G593" s="10" t="str">
        <f>IFERROR(__xludf.DUMMYFUNCTION("IF(COUNTA(C593:C1644)=0,"""",IF(C593="""",0,IF(REGEXMATCH(C593,""^Sell_""),-ROUNDDOWN(ROUNDUP(INDEX(Upgrades!$C$3:$C$13,MATCH(SUBSTITUTE(C593,""Sell_"",""""),Upgrades!$B$3:$B$13,0))*1.15^(COUNTIF(C$4:C592,SUBSTITUTE(C593,""Sell_"",""""))-COUNTIF(C$4:C592,"&amp;"""Sell_""&amp;SUBSTITUTE(C593,""Sell_"",""""))))/2),ROUNDUP(INDEX(Upgrades!$C$3:$C$13,MATCH(C593,Upgrades!$B$3:$B$13,0))*1.15^(COUNTIF(C$4:C592,C593)-COUNTIF(C$4:C592,""Sell_""&amp;C593))))))"),"")</f>
        <v/>
      </c>
      <c r="H593" s="10" t="str">
        <f t="shared" si="3"/>
        <v/>
      </c>
      <c r="I593" s="68" t="str">
        <f t="shared" si="4"/>
        <v/>
      </c>
      <c r="J593" s="59" t="str">
        <f t="shared" si="5"/>
        <v/>
      </c>
      <c r="K593" s="69" t="str">
        <f t="shared" si="6"/>
        <v/>
      </c>
      <c r="L593" s="60" t="str">
        <f t="shared" si="7"/>
        <v/>
      </c>
      <c r="M593" s="61" t="str">
        <f>IFERROR(__xludf.DUMMYFUNCTION("IFS(AND(COUNTA(C593:C1644)=0,COUNTA(Q593:Q1644)=0),"""",OR(AND(K593&gt;=1000000000,OR(Y593&gt;=1000000000,COUNTA(Q593:Q1644)=0)),OR(Y593&gt;=1000000000,AND(COUNTA(C593:C1644)=0,P$3=TRUE))),
ROUNDDOWN((AB$1-AC$1)*MAX(INDEX(T$4:T1644,MATCH(LARGE(FILTER(Y$4:Y1644,Y$4"&amp;":Y1644&lt;1000000000),1),Y$4:Y1644)),INDEX(F$4:F1644,MATCH(LARGE(FILTER(K$4:K1644,K$4:K1644&lt;1000000000),1),K$4:K1644)))),AND(K593&lt;1000000000,COUNTA(C593:C1644)&gt;0,P$3=FALSE),
ROUNDDOWN(INDEX(Y$4:Y1644,MATCH(LARGE(FILTER(W$4:W1644,W$4:W1644&lt;=I593),1),W$4:W1644"&amp;"))+(I593-LARGE(FILTER(W$4:W1644,W$4:W1644&lt;=I593),1))*INDEX(T$4:T1644,MATCH(LARGE(FILTER(W$4:W1644,W$4:W1644&lt;=I593),1),W$4:W1644))-K593),1,
ROUNDDOWN(Y593-INDEX(K$4:K1644,MATCH(LARGE(FILTER(I$4:I1644,I$4:I1644&lt;=W593),1),I$4:I1644))-(W593-LARGE(FILTER(I$4:I"&amp;"1644,I$4:I1644&lt;=W593),1))*INDEX(F$4:F1644,MATCH(LARGE(FILTER(I$4:I1644,I$4:I1644&lt;=W593),1),I$4:I1644))))"),"")</f>
        <v/>
      </c>
      <c r="N593" s="60" t="str">
        <f t="shared" si="8"/>
        <v/>
      </c>
      <c r="O593" s="61" t="str">
        <f t="shared" si="9"/>
        <v/>
      </c>
      <c r="P593" s="56" t="str">
        <f t="shared" si="10"/>
        <v/>
      </c>
      <c r="Q593" s="105"/>
      <c r="R593" s="10"/>
      <c r="S593" s="59" t="str">
        <f t="array" ref="S593">IF(COUNTA(Q593:Q1644)=0,"",SUM((COUNTIF(Q$4:Q593,Upgrades!$B$3:$B$13)-COUNTIF(Q$4:Q593,"Sell_"&amp;Upgrades!$B$3:$B$13))*Upgrades!$D$3:$D$13))</f>
        <v/>
      </c>
      <c r="T593" s="66" t="str">
        <f>IFERROR(__xludf.DUMMYFUNCTION("IF(COUNTA(Q593:Q1644)=0,"""",IF(REGEXMATCH(INDEX(FILTER(Q$4:Q593,Q$4:Q593&lt;&gt;""""),ROWS(FILTER(Q$4:Q593,Q$4:Q593&lt;&gt;""""))),""^Sell_""),INDEX(FILTER(T$4:T592,Q$4:Q592&lt;&gt;""""),ROWS(FILTER(Q$4:Q592,Q$4:Q592&lt;&gt;""""))),$AD$5+S593))"),"")</f>
        <v/>
      </c>
      <c r="U593" s="10" t="str">
        <f>IFERROR(__xludf.DUMMYFUNCTION("IF(COUNTA(Q593:Q1644)=0,"""",IF(Q593="""",0,IF(REGEXMATCH(Q593,""^Sell_""),-ROUNDDOWN(ROUNDUP(INDEX(Upgrades!$C$3:$C$13,MATCH(SUBSTITUTE(Q593,""Sell_"",""""),Upgrades!$B$3:$B$13,0))*1.15^(COUNTIF(Q$4:Q592,SUBSTITUTE(Q593,""Sell_"",""""))-COUNTIF(Q$4:Q592,"&amp;"""Sell_""&amp;SUBSTITUTE(Q593,""Sell_"",""""))))/2),ROUNDUP(INDEX(Upgrades!$C$3:$C$13,MATCH(Q593,Upgrades!$B$3:$B$13,0))*1.15^(COUNTIF(Q$4:Q592,Q593)-COUNTIF(Q$4:Q592,""Sell_""&amp;Q593))))))"),"")</f>
        <v/>
      </c>
      <c r="V593" s="10" t="str">
        <f t="shared" si="11"/>
        <v/>
      </c>
      <c r="W593" s="68" t="str">
        <f t="shared" si="12"/>
        <v/>
      </c>
      <c r="X593" s="59" t="str">
        <f t="shared" si="13"/>
        <v/>
      </c>
      <c r="Y593" s="69" t="str">
        <f t="shared" si="14"/>
        <v/>
      </c>
      <c r="Z593" s="11"/>
      <c r="AG593" s="59"/>
    </row>
    <row r="594">
      <c r="A594" s="8"/>
      <c r="B594" s="56" t="str">
        <f t="shared" si="2"/>
        <v/>
      </c>
      <c r="C594" s="105"/>
      <c r="D594" s="10"/>
      <c r="E594" s="59" t="str">
        <f t="array" ref="E594">IF(COUNTA(C594:C1644)=0,"",SUM((COUNTIF(C$4:C594,Upgrades!$B$3:$B$13)-COUNTIF(C$4:C594,"Sell_"&amp;Upgrades!$B$3:$B$13))*Upgrades!$D$3:$D$13))</f>
        <v/>
      </c>
      <c r="F594" s="66" t="str">
        <f>IFERROR(__xludf.DUMMYFUNCTION("IF(COUNTA(C594:C1644)=0,"""",IF(REGEXMATCH(INDEX(FILTER(C$4:C594,C$4:C594&lt;&gt;""""),ROWS(FILTER(C$4:C594,C$4:C594&lt;&gt;""""))),""^Sell_""),INDEX(FILTER(F$4:F593,C$4:C593&lt;&gt;""""),ROWS(FILTER(C$4:C593,C$4:C593&lt;&gt;""""))),$AC$5+E594))"),"")</f>
        <v/>
      </c>
      <c r="G594" s="10" t="str">
        <f>IFERROR(__xludf.DUMMYFUNCTION("IF(COUNTA(C594:C1644)=0,"""",IF(C594="""",0,IF(REGEXMATCH(C594,""^Sell_""),-ROUNDDOWN(ROUNDUP(INDEX(Upgrades!$C$3:$C$13,MATCH(SUBSTITUTE(C594,""Sell_"",""""),Upgrades!$B$3:$B$13,0))*1.15^(COUNTIF(C$4:C593,SUBSTITUTE(C594,""Sell_"",""""))-COUNTIF(C$4:C593,"&amp;"""Sell_""&amp;SUBSTITUTE(C594,""Sell_"",""""))))/2),ROUNDUP(INDEX(Upgrades!$C$3:$C$13,MATCH(C594,Upgrades!$B$3:$B$13,0))*1.15^(COUNTIF(C$4:C593,C594)-COUNTIF(C$4:C593,""Sell_""&amp;C594))))))"),"")</f>
        <v/>
      </c>
      <c r="H594" s="10" t="str">
        <f t="shared" si="3"/>
        <v/>
      </c>
      <c r="I594" s="68" t="str">
        <f t="shared" si="4"/>
        <v/>
      </c>
      <c r="J594" s="59" t="str">
        <f t="shared" si="5"/>
        <v/>
      </c>
      <c r="K594" s="69" t="str">
        <f t="shared" si="6"/>
        <v/>
      </c>
      <c r="L594" s="60" t="str">
        <f t="shared" si="7"/>
        <v/>
      </c>
      <c r="M594" s="61" t="str">
        <f>IFERROR(__xludf.DUMMYFUNCTION("IFS(AND(COUNTA(C594:C1644)=0,COUNTA(Q594:Q1644)=0),"""",OR(AND(K594&gt;=1000000000,OR(Y594&gt;=1000000000,COUNTA(Q594:Q1644)=0)),OR(Y594&gt;=1000000000,AND(COUNTA(C594:C1644)=0,P$3=TRUE))),
ROUNDDOWN((AB$1-AC$1)*MAX(INDEX(T$4:T1644,MATCH(LARGE(FILTER(Y$4:Y1644,Y$4"&amp;":Y1644&lt;1000000000),1),Y$4:Y1644)),INDEX(F$4:F1644,MATCH(LARGE(FILTER(K$4:K1644,K$4:K1644&lt;1000000000),1),K$4:K1644)))),AND(K594&lt;1000000000,COUNTA(C594:C1644)&gt;0,P$3=FALSE),
ROUNDDOWN(INDEX(Y$4:Y1644,MATCH(LARGE(FILTER(W$4:W1644,W$4:W1644&lt;=I594),1),W$4:W1644"&amp;"))+(I594-LARGE(FILTER(W$4:W1644,W$4:W1644&lt;=I594),1))*INDEX(T$4:T1644,MATCH(LARGE(FILTER(W$4:W1644,W$4:W1644&lt;=I594),1),W$4:W1644))-K594),1,
ROUNDDOWN(Y594-INDEX(K$4:K1644,MATCH(LARGE(FILTER(I$4:I1644,I$4:I1644&lt;=W594),1),I$4:I1644))-(W594-LARGE(FILTER(I$4:I"&amp;"1644,I$4:I1644&lt;=W594),1))*INDEX(F$4:F1644,MATCH(LARGE(FILTER(I$4:I1644,I$4:I1644&lt;=W594),1),I$4:I1644))))"),"")</f>
        <v/>
      </c>
      <c r="N594" s="60" t="str">
        <f t="shared" si="8"/>
        <v/>
      </c>
      <c r="O594" s="61" t="str">
        <f t="shared" si="9"/>
        <v/>
      </c>
      <c r="P594" s="56" t="str">
        <f t="shared" si="10"/>
        <v/>
      </c>
      <c r="Q594" s="105"/>
      <c r="R594" s="10"/>
      <c r="S594" s="59" t="str">
        <f t="array" ref="S594">IF(COUNTA(Q594:Q1644)=0,"",SUM((COUNTIF(Q$4:Q594,Upgrades!$B$3:$B$13)-COUNTIF(Q$4:Q594,"Sell_"&amp;Upgrades!$B$3:$B$13))*Upgrades!$D$3:$D$13))</f>
        <v/>
      </c>
      <c r="T594" s="66" t="str">
        <f>IFERROR(__xludf.DUMMYFUNCTION("IF(COUNTA(Q594:Q1644)=0,"""",IF(REGEXMATCH(INDEX(FILTER(Q$4:Q594,Q$4:Q594&lt;&gt;""""),ROWS(FILTER(Q$4:Q594,Q$4:Q594&lt;&gt;""""))),""^Sell_""),INDEX(FILTER(T$4:T593,Q$4:Q593&lt;&gt;""""),ROWS(FILTER(Q$4:Q593,Q$4:Q593&lt;&gt;""""))),$AD$5+S594))"),"")</f>
        <v/>
      </c>
      <c r="U594" s="10" t="str">
        <f>IFERROR(__xludf.DUMMYFUNCTION("IF(COUNTA(Q594:Q1644)=0,"""",IF(Q594="""",0,IF(REGEXMATCH(Q594,""^Sell_""),-ROUNDDOWN(ROUNDUP(INDEX(Upgrades!$C$3:$C$13,MATCH(SUBSTITUTE(Q594,""Sell_"",""""),Upgrades!$B$3:$B$13,0))*1.15^(COUNTIF(Q$4:Q593,SUBSTITUTE(Q594,""Sell_"",""""))-COUNTIF(Q$4:Q593,"&amp;"""Sell_""&amp;SUBSTITUTE(Q594,""Sell_"",""""))))/2),ROUNDUP(INDEX(Upgrades!$C$3:$C$13,MATCH(Q594,Upgrades!$B$3:$B$13,0))*1.15^(COUNTIF(Q$4:Q593,Q594)-COUNTIF(Q$4:Q593,""Sell_""&amp;Q594))))))"),"")</f>
        <v/>
      </c>
      <c r="V594" s="10" t="str">
        <f t="shared" si="11"/>
        <v/>
      </c>
      <c r="W594" s="68" t="str">
        <f t="shared" si="12"/>
        <v/>
      </c>
      <c r="X594" s="59" t="str">
        <f t="shared" si="13"/>
        <v/>
      </c>
      <c r="Y594" s="69" t="str">
        <f t="shared" si="14"/>
        <v/>
      </c>
      <c r="Z594" s="11"/>
      <c r="AG594" s="59"/>
    </row>
    <row r="595">
      <c r="A595" s="8"/>
      <c r="B595" s="56" t="str">
        <f t="shared" si="2"/>
        <v/>
      </c>
      <c r="C595" s="105"/>
      <c r="D595" s="10"/>
      <c r="E595" s="59" t="str">
        <f t="array" ref="E595">IF(COUNTA(C595:C1644)=0,"",SUM((COUNTIF(C$4:C595,Upgrades!$B$3:$B$13)-COUNTIF(C$4:C595,"Sell_"&amp;Upgrades!$B$3:$B$13))*Upgrades!$D$3:$D$13))</f>
        <v/>
      </c>
      <c r="F595" s="66" t="str">
        <f>IFERROR(__xludf.DUMMYFUNCTION("IF(COUNTA(C595:C1644)=0,"""",IF(REGEXMATCH(INDEX(FILTER(C$4:C595,C$4:C595&lt;&gt;""""),ROWS(FILTER(C$4:C595,C$4:C595&lt;&gt;""""))),""^Sell_""),INDEX(FILTER(F$4:F594,C$4:C594&lt;&gt;""""),ROWS(FILTER(C$4:C594,C$4:C594&lt;&gt;""""))),$AC$5+E595))"),"")</f>
        <v/>
      </c>
      <c r="G595" s="10" t="str">
        <f>IFERROR(__xludf.DUMMYFUNCTION("IF(COUNTA(C595:C1644)=0,"""",IF(C595="""",0,IF(REGEXMATCH(C595,""^Sell_""),-ROUNDDOWN(ROUNDUP(INDEX(Upgrades!$C$3:$C$13,MATCH(SUBSTITUTE(C595,""Sell_"",""""),Upgrades!$B$3:$B$13,0))*1.15^(COUNTIF(C$4:C594,SUBSTITUTE(C595,""Sell_"",""""))-COUNTIF(C$4:C594,"&amp;"""Sell_""&amp;SUBSTITUTE(C595,""Sell_"",""""))))/2),ROUNDUP(INDEX(Upgrades!$C$3:$C$13,MATCH(C595,Upgrades!$B$3:$B$13,0))*1.15^(COUNTIF(C$4:C594,C595)-COUNTIF(C$4:C594,""Sell_""&amp;C595))))))"),"")</f>
        <v/>
      </c>
      <c r="H595" s="10" t="str">
        <f t="shared" si="3"/>
        <v/>
      </c>
      <c r="I595" s="68" t="str">
        <f t="shared" si="4"/>
        <v/>
      </c>
      <c r="J595" s="59" t="str">
        <f t="shared" si="5"/>
        <v/>
      </c>
      <c r="K595" s="69" t="str">
        <f t="shared" si="6"/>
        <v/>
      </c>
      <c r="L595" s="60" t="str">
        <f t="shared" si="7"/>
        <v/>
      </c>
      <c r="M595" s="61" t="str">
        <f>IFERROR(__xludf.DUMMYFUNCTION("IFS(AND(COUNTA(C595:C1644)=0,COUNTA(Q595:Q1644)=0),"""",OR(AND(K595&gt;=1000000000,OR(Y595&gt;=1000000000,COUNTA(Q595:Q1644)=0)),OR(Y595&gt;=1000000000,AND(COUNTA(C595:C1644)=0,P$3=TRUE))),
ROUNDDOWN((AB$1-AC$1)*MAX(INDEX(T$4:T1644,MATCH(LARGE(FILTER(Y$4:Y1644,Y$4"&amp;":Y1644&lt;1000000000),1),Y$4:Y1644)),INDEX(F$4:F1644,MATCH(LARGE(FILTER(K$4:K1644,K$4:K1644&lt;1000000000),1),K$4:K1644)))),AND(K595&lt;1000000000,COUNTA(C595:C1644)&gt;0,P$3=FALSE),
ROUNDDOWN(INDEX(Y$4:Y1644,MATCH(LARGE(FILTER(W$4:W1644,W$4:W1644&lt;=I595),1),W$4:W1644"&amp;"))+(I595-LARGE(FILTER(W$4:W1644,W$4:W1644&lt;=I595),1))*INDEX(T$4:T1644,MATCH(LARGE(FILTER(W$4:W1644,W$4:W1644&lt;=I595),1),W$4:W1644))-K595),1,
ROUNDDOWN(Y595-INDEX(K$4:K1644,MATCH(LARGE(FILTER(I$4:I1644,I$4:I1644&lt;=W595),1),I$4:I1644))-(W595-LARGE(FILTER(I$4:I"&amp;"1644,I$4:I1644&lt;=W595),1))*INDEX(F$4:F1644,MATCH(LARGE(FILTER(I$4:I1644,I$4:I1644&lt;=W595),1),I$4:I1644))))"),"")</f>
        <v/>
      </c>
      <c r="N595" s="60" t="str">
        <f t="shared" si="8"/>
        <v/>
      </c>
      <c r="O595" s="61" t="str">
        <f t="shared" si="9"/>
        <v/>
      </c>
      <c r="P595" s="56" t="str">
        <f t="shared" si="10"/>
        <v/>
      </c>
      <c r="Q595" s="105"/>
      <c r="R595" s="10"/>
      <c r="S595" s="59" t="str">
        <f t="array" ref="S595">IF(COUNTA(Q595:Q1644)=0,"",SUM((COUNTIF(Q$4:Q595,Upgrades!$B$3:$B$13)-COUNTIF(Q$4:Q595,"Sell_"&amp;Upgrades!$B$3:$B$13))*Upgrades!$D$3:$D$13))</f>
        <v/>
      </c>
      <c r="T595" s="66" t="str">
        <f>IFERROR(__xludf.DUMMYFUNCTION("IF(COUNTA(Q595:Q1644)=0,"""",IF(REGEXMATCH(INDEX(FILTER(Q$4:Q595,Q$4:Q595&lt;&gt;""""),ROWS(FILTER(Q$4:Q595,Q$4:Q595&lt;&gt;""""))),""^Sell_""),INDEX(FILTER(T$4:T594,Q$4:Q594&lt;&gt;""""),ROWS(FILTER(Q$4:Q594,Q$4:Q594&lt;&gt;""""))),$AD$5+S595))"),"")</f>
        <v/>
      </c>
      <c r="U595" s="10" t="str">
        <f>IFERROR(__xludf.DUMMYFUNCTION("IF(COUNTA(Q595:Q1644)=0,"""",IF(Q595="""",0,IF(REGEXMATCH(Q595,""^Sell_""),-ROUNDDOWN(ROUNDUP(INDEX(Upgrades!$C$3:$C$13,MATCH(SUBSTITUTE(Q595,""Sell_"",""""),Upgrades!$B$3:$B$13,0))*1.15^(COUNTIF(Q$4:Q594,SUBSTITUTE(Q595,""Sell_"",""""))-COUNTIF(Q$4:Q594,"&amp;"""Sell_""&amp;SUBSTITUTE(Q595,""Sell_"",""""))))/2),ROUNDUP(INDEX(Upgrades!$C$3:$C$13,MATCH(Q595,Upgrades!$B$3:$B$13,0))*1.15^(COUNTIF(Q$4:Q594,Q595)-COUNTIF(Q$4:Q594,""Sell_""&amp;Q595))))))"),"")</f>
        <v/>
      </c>
      <c r="V595" s="10" t="str">
        <f t="shared" si="11"/>
        <v/>
      </c>
      <c r="W595" s="68" t="str">
        <f t="shared" si="12"/>
        <v/>
      </c>
      <c r="X595" s="59" t="str">
        <f t="shared" si="13"/>
        <v/>
      </c>
      <c r="Y595" s="69" t="str">
        <f t="shared" si="14"/>
        <v/>
      </c>
      <c r="Z595" s="11"/>
      <c r="AG595" s="59"/>
    </row>
    <row r="596">
      <c r="A596" s="8"/>
      <c r="B596" s="56" t="str">
        <f t="shared" si="2"/>
        <v/>
      </c>
      <c r="C596" s="105"/>
      <c r="D596" s="10"/>
      <c r="E596" s="59" t="str">
        <f t="array" ref="E596">IF(COUNTA(C596:C1644)=0,"",SUM((COUNTIF(C$4:C596,Upgrades!$B$3:$B$13)-COUNTIF(C$4:C596,"Sell_"&amp;Upgrades!$B$3:$B$13))*Upgrades!$D$3:$D$13))</f>
        <v/>
      </c>
      <c r="F596" s="66" t="str">
        <f>IFERROR(__xludf.DUMMYFUNCTION("IF(COUNTA(C596:C1644)=0,"""",IF(REGEXMATCH(INDEX(FILTER(C$4:C596,C$4:C596&lt;&gt;""""),ROWS(FILTER(C$4:C596,C$4:C596&lt;&gt;""""))),""^Sell_""),INDEX(FILTER(F$4:F595,C$4:C595&lt;&gt;""""),ROWS(FILTER(C$4:C595,C$4:C595&lt;&gt;""""))),$AC$5+E596))"),"")</f>
        <v/>
      </c>
      <c r="G596" s="10" t="str">
        <f>IFERROR(__xludf.DUMMYFUNCTION("IF(COUNTA(C596:C1644)=0,"""",IF(C596="""",0,IF(REGEXMATCH(C596,""^Sell_""),-ROUNDDOWN(ROUNDUP(INDEX(Upgrades!$C$3:$C$13,MATCH(SUBSTITUTE(C596,""Sell_"",""""),Upgrades!$B$3:$B$13,0))*1.15^(COUNTIF(C$4:C595,SUBSTITUTE(C596,""Sell_"",""""))-COUNTIF(C$4:C595,"&amp;"""Sell_""&amp;SUBSTITUTE(C596,""Sell_"",""""))))/2),ROUNDUP(INDEX(Upgrades!$C$3:$C$13,MATCH(C596,Upgrades!$B$3:$B$13,0))*1.15^(COUNTIF(C$4:C595,C596)-COUNTIF(C$4:C595,""Sell_""&amp;C596))))))"),"")</f>
        <v/>
      </c>
      <c r="H596" s="10" t="str">
        <f t="shared" si="3"/>
        <v/>
      </c>
      <c r="I596" s="68" t="str">
        <f t="shared" si="4"/>
        <v/>
      </c>
      <c r="J596" s="59" t="str">
        <f t="shared" si="5"/>
        <v/>
      </c>
      <c r="K596" s="69" t="str">
        <f t="shared" si="6"/>
        <v/>
      </c>
      <c r="L596" s="60" t="str">
        <f t="shared" si="7"/>
        <v/>
      </c>
      <c r="M596" s="61" t="str">
        <f>IFERROR(__xludf.DUMMYFUNCTION("IFS(AND(COUNTA(C596:C1644)=0,COUNTA(Q596:Q1644)=0),"""",OR(AND(K596&gt;=1000000000,OR(Y596&gt;=1000000000,COUNTA(Q596:Q1644)=0)),OR(Y596&gt;=1000000000,AND(COUNTA(C596:C1644)=0,P$3=TRUE))),
ROUNDDOWN((AB$1-AC$1)*MAX(INDEX(T$4:T1644,MATCH(LARGE(FILTER(Y$4:Y1644,Y$4"&amp;":Y1644&lt;1000000000),1),Y$4:Y1644)),INDEX(F$4:F1644,MATCH(LARGE(FILTER(K$4:K1644,K$4:K1644&lt;1000000000),1),K$4:K1644)))),AND(K596&lt;1000000000,COUNTA(C596:C1644)&gt;0,P$3=FALSE),
ROUNDDOWN(INDEX(Y$4:Y1644,MATCH(LARGE(FILTER(W$4:W1644,W$4:W1644&lt;=I596),1),W$4:W1644"&amp;"))+(I596-LARGE(FILTER(W$4:W1644,W$4:W1644&lt;=I596),1))*INDEX(T$4:T1644,MATCH(LARGE(FILTER(W$4:W1644,W$4:W1644&lt;=I596),1),W$4:W1644))-K596),1,
ROUNDDOWN(Y596-INDEX(K$4:K1644,MATCH(LARGE(FILTER(I$4:I1644,I$4:I1644&lt;=W596),1),I$4:I1644))-(W596-LARGE(FILTER(I$4:I"&amp;"1644,I$4:I1644&lt;=W596),1))*INDEX(F$4:F1644,MATCH(LARGE(FILTER(I$4:I1644,I$4:I1644&lt;=W596),1),I$4:I1644))))"),"")</f>
        <v/>
      </c>
      <c r="N596" s="60" t="str">
        <f t="shared" si="8"/>
        <v/>
      </c>
      <c r="O596" s="61" t="str">
        <f t="shared" si="9"/>
        <v/>
      </c>
      <c r="P596" s="56" t="str">
        <f t="shared" si="10"/>
        <v/>
      </c>
      <c r="Q596" s="105"/>
      <c r="R596" s="10"/>
      <c r="S596" s="59" t="str">
        <f t="array" ref="S596">IF(COUNTA(Q596:Q1644)=0,"",SUM((COUNTIF(Q$4:Q596,Upgrades!$B$3:$B$13)-COUNTIF(Q$4:Q596,"Sell_"&amp;Upgrades!$B$3:$B$13))*Upgrades!$D$3:$D$13))</f>
        <v/>
      </c>
      <c r="T596" s="66" t="str">
        <f>IFERROR(__xludf.DUMMYFUNCTION("IF(COUNTA(Q596:Q1644)=0,"""",IF(REGEXMATCH(INDEX(FILTER(Q$4:Q596,Q$4:Q596&lt;&gt;""""),ROWS(FILTER(Q$4:Q596,Q$4:Q596&lt;&gt;""""))),""^Sell_""),INDEX(FILTER(T$4:T595,Q$4:Q595&lt;&gt;""""),ROWS(FILTER(Q$4:Q595,Q$4:Q595&lt;&gt;""""))),$AD$5+S596))"),"")</f>
        <v/>
      </c>
      <c r="U596" s="10" t="str">
        <f>IFERROR(__xludf.DUMMYFUNCTION("IF(COUNTA(Q596:Q1644)=0,"""",IF(Q596="""",0,IF(REGEXMATCH(Q596,""^Sell_""),-ROUNDDOWN(ROUNDUP(INDEX(Upgrades!$C$3:$C$13,MATCH(SUBSTITUTE(Q596,""Sell_"",""""),Upgrades!$B$3:$B$13,0))*1.15^(COUNTIF(Q$4:Q595,SUBSTITUTE(Q596,""Sell_"",""""))-COUNTIF(Q$4:Q595,"&amp;"""Sell_""&amp;SUBSTITUTE(Q596,""Sell_"",""""))))/2),ROUNDUP(INDEX(Upgrades!$C$3:$C$13,MATCH(Q596,Upgrades!$B$3:$B$13,0))*1.15^(COUNTIF(Q$4:Q595,Q596)-COUNTIF(Q$4:Q595,""Sell_""&amp;Q596))))))"),"")</f>
        <v/>
      </c>
      <c r="V596" s="10" t="str">
        <f t="shared" si="11"/>
        <v/>
      </c>
      <c r="W596" s="68" t="str">
        <f t="shared" si="12"/>
        <v/>
      </c>
      <c r="X596" s="59" t="str">
        <f t="shared" si="13"/>
        <v/>
      </c>
      <c r="Y596" s="69" t="str">
        <f t="shared" si="14"/>
        <v/>
      </c>
      <c r="Z596" s="11"/>
      <c r="AG596" s="59"/>
    </row>
    <row r="597">
      <c r="A597" s="8"/>
      <c r="B597" s="56" t="str">
        <f t="shared" si="2"/>
        <v/>
      </c>
      <c r="C597" s="105"/>
      <c r="D597" s="10"/>
      <c r="E597" s="59" t="str">
        <f t="array" ref="E597">IF(COUNTA(C597:C1644)=0,"",SUM((COUNTIF(C$4:C597,Upgrades!$B$3:$B$13)-COUNTIF(C$4:C597,"Sell_"&amp;Upgrades!$B$3:$B$13))*Upgrades!$D$3:$D$13))</f>
        <v/>
      </c>
      <c r="F597" s="66" t="str">
        <f>IFERROR(__xludf.DUMMYFUNCTION("IF(COUNTA(C597:C1644)=0,"""",IF(REGEXMATCH(INDEX(FILTER(C$4:C597,C$4:C597&lt;&gt;""""),ROWS(FILTER(C$4:C597,C$4:C597&lt;&gt;""""))),""^Sell_""),INDEX(FILTER(F$4:F596,C$4:C596&lt;&gt;""""),ROWS(FILTER(C$4:C596,C$4:C596&lt;&gt;""""))),$AC$5+E597))"),"")</f>
        <v/>
      </c>
      <c r="G597" s="10" t="str">
        <f>IFERROR(__xludf.DUMMYFUNCTION("IF(COUNTA(C597:C1644)=0,"""",IF(C597="""",0,IF(REGEXMATCH(C597,""^Sell_""),-ROUNDDOWN(ROUNDUP(INDEX(Upgrades!$C$3:$C$13,MATCH(SUBSTITUTE(C597,""Sell_"",""""),Upgrades!$B$3:$B$13,0))*1.15^(COUNTIF(C$4:C596,SUBSTITUTE(C597,""Sell_"",""""))-COUNTIF(C$4:C596,"&amp;"""Sell_""&amp;SUBSTITUTE(C597,""Sell_"",""""))))/2),ROUNDUP(INDEX(Upgrades!$C$3:$C$13,MATCH(C597,Upgrades!$B$3:$B$13,0))*1.15^(COUNTIF(C$4:C596,C597)-COUNTIF(C$4:C596,""Sell_""&amp;C597))))))"),"")</f>
        <v/>
      </c>
      <c r="H597" s="10" t="str">
        <f t="shared" si="3"/>
        <v/>
      </c>
      <c r="I597" s="68" t="str">
        <f t="shared" si="4"/>
        <v/>
      </c>
      <c r="J597" s="59" t="str">
        <f t="shared" si="5"/>
        <v/>
      </c>
      <c r="K597" s="69" t="str">
        <f t="shared" si="6"/>
        <v/>
      </c>
      <c r="L597" s="60" t="str">
        <f t="shared" si="7"/>
        <v/>
      </c>
      <c r="M597" s="61" t="str">
        <f>IFERROR(__xludf.DUMMYFUNCTION("IFS(AND(COUNTA(C597:C1644)=0,COUNTA(Q597:Q1644)=0),"""",OR(AND(K597&gt;=1000000000,OR(Y597&gt;=1000000000,COUNTA(Q597:Q1644)=0)),OR(Y597&gt;=1000000000,AND(COUNTA(C597:C1644)=0,P$3=TRUE))),
ROUNDDOWN((AB$1-AC$1)*MAX(INDEX(T$4:T1644,MATCH(LARGE(FILTER(Y$4:Y1644,Y$4"&amp;":Y1644&lt;1000000000),1),Y$4:Y1644)),INDEX(F$4:F1644,MATCH(LARGE(FILTER(K$4:K1644,K$4:K1644&lt;1000000000),1),K$4:K1644)))),AND(K597&lt;1000000000,COUNTA(C597:C1644)&gt;0,P$3=FALSE),
ROUNDDOWN(INDEX(Y$4:Y1644,MATCH(LARGE(FILTER(W$4:W1644,W$4:W1644&lt;=I597),1),W$4:W1644"&amp;"))+(I597-LARGE(FILTER(W$4:W1644,W$4:W1644&lt;=I597),1))*INDEX(T$4:T1644,MATCH(LARGE(FILTER(W$4:W1644,W$4:W1644&lt;=I597),1),W$4:W1644))-K597),1,
ROUNDDOWN(Y597-INDEX(K$4:K1644,MATCH(LARGE(FILTER(I$4:I1644,I$4:I1644&lt;=W597),1),I$4:I1644))-(W597-LARGE(FILTER(I$4:I"&amp;"1644,I$4:I1644&lt;=W597),1))*INDEX(F$4:F1644,MATCH(LARGE(FILTER(I$4:I1644,I$4:I1644&lt;=W597),1),I$4:I1644))))"),"")</f>
        <v/>
      </c>
      <c r="N597" s="60" t="str">
        <f t="shared" si="8"/>
        <v/>
      </c>
      <c r="O597" s="61" t="str">
        <f t="shared" si="9"/>
        <v/>
      </c>
      <c r="P597" s="56" t="str">
        <f t="shared" si="10"/>
        <v/>
      </c>
      <c r="Q597" s="105"/>
      <c r="R597" s="10"/>
      <c r="S597" s="59" t="str">
        <f t="array" ref="S597">IF(COUNTA(Q597:Q1644)=0,"",SUM((COUNTIF(Q$4:Q597,Upgrades!$B$3:$B$13)-COUNTIF(Q$4:Q597,"Sell_"&amp;Upgrades!$B$3:$B$13))*Upgrades!$D$3:$D$13))</f>
        <v/>
      </c>
      <c r="T597" s="66" t="str">
        <f>IFERROR(__xludf.DUMMYFUNCTION("IF(COUNTA(Q597:Q1644)=0,"""",IF(REGEXMATCH(INDEX(FILTER(Q$4:Q597,Q$4:Q597&lt;&gt;""""),ROWS(FILTER(Q$4:Q597,Q$4:Q597&lt;&gt;""""))),""^Sell_""),INDEX(FILTER(T$4:T596,Q$4:Q596&lt;&gt;""""),ROWS(FILTER(Q$4:Q596,Q$4:Q596&lt;&gt;""""))),$AD$5+S597))"),"")</f>
        <v/>
      </c>
      <c r="U597" s="10" t="str">
        <f>IFERROR(__xludf.DUMMYFUNCTION("IF(COUNTA(Q597:Q1644)=0,"""",IF(Q597="""",0,IF(REGEXMATCH(Q597,""^Sell_""),-ROUNDDOWN(ROUNDUP(INDEX(Upgrades!$C$3:$C$13,MATCH(SUBSTITUTE(Q597,""Sell_"",""""),Upgrades!$B$3:$B$13,0))*1.15^(COUNTIF(Q$4:Q596,SUBSTITUTE(Q597,""Sell_"",""""))-COUNTIF(Q$4:Q596,"&amp;"""Sell_""&amp;SUBSTITUTE(Q597,""Sell_"",""""))))/2),ROUNDUP(INDEX(Upgrades!$C$3:$C$13,MATCH(Q597,Upgrades!$B$3:$B$13,0))*1.15^(COUNTIF(Q$4:Q596,Q597)-COUNTIF(Q$4:Q596,""Sell_""&amp;Q597))))))"),"")</f>
        <v/>
      </c>
      <c r="V597" s="10" t="str">
        <f t="shared" si="11"/>
        <v/>
      </c>
      <c r="W597" s="68" t="str">
        <f t="shared" si="12"/>
        <v/>
      </c>
      <c r="X597" s="59" t="str">
        <f t="shared" si="13"/>
        <v/>
      </c>
      <c r="Y597" s="69" t="str">
        <f t="shared" si="14"/>
        <v/>
      </c>
      <c r="Z597" s="11"/>
      <c r="AG597" s="59"/>
    </row>
    <row r="598">
      <c r="A598" s="8"/>
      <c r="B598" s="56" t="str">
        <f t="shared" si="2"/>
        <v/>
      </c>
      <c r="C598" s="105"/>
      <c r="D598" s="10"/>
      <c r="E598" s="59" t="str">
        <f t="array" ref="E598">IF(COUNTA(C598:C1644)=0,"",SUM((COUNTIF(C$4:C598,Upgrades!$B$3:$B$13)-COUNTIF(C$4:C598,"Sell_"&amp;Upgrades!$B$3:$B$13))*Upgrades!$D$3:$D$13))</f>
        <v/>
      </c>
      <c r="F598" s="66" t="str">
        <f>IFERROR(__xludf.DUMMYFUNCTION("IF(COUNTA(C598:C1644)=0,"""",IF(REGEXMATCH(INDEX(FILTER(C$4:C598,C$4:C598&lt;&gt;""""),ROWS(FILTER(C$4:C598,C$4:C598&lt;&gt;""""))),""^Sell_""),INDEX(FILTER(F$4:F597,C$4:C597&lt;&gt;""""),ROWS(FILTER(C$4:C597,C$4:C597&lt;&gt;""""))),$AC$5+E598))"),"")</f>
        <v/>
      </c>
      <c r="G598" s="10" t="str">
        <f>IFERROR(__xludf.DUMMYFUNCTION("IF(COUNTA(C598:C1644)=0,"""",IF(C598="""",0,IF(REGEXMATCH(C598,""^Sell_""),-ROUNDDOWN(ROUNDUP(INDEX(Upgrades!$C$3:$C$13,MATCH(SUBSTITUTE(C598,""Sell_"",""""),Upgrades!$B$3:$B$13,0))*1.15^(COUNTIF(C$4:C597,SUBSTITUTE(C598,""Sell_"",""""))-COUNTIF(C$4:C597,"&amp;"""Sell_""&amp;SUBSTITUTE(C598,""Sell_"",""""))))/2),ROUNDUP(INDEX(Upgrades!$C$3:$C$13,MATCH(C598,Upgrades!$B$3:$B$13,0))*1.15^(COUNTIF(C$4:C597,C598)-COUNTIF(C$4:C597,""Sell_""&amp;C598))))))"),"")</f>
        <v/>
      </c>
      <c r="H598" s="10" t="str">
        <f t="shared" si="3"/>
        <v/>
      </c>
      <c r="I598" s="68" t="str">
        <f t="shared" si="4"/>
        <v/>
      </c>
      <c r="J598" s="59" t="str">
        <f t="shared" si="5"/>
        <v/>
      </c>
      <c r="K598" s="69" t="str">
        <f t="shared" si="6"/>
        <v/>
      </c>
      <c r="L598" s="60" t="str">
        <f t="shared" si="7"/>
        <v/>
      </c>
      <c r="M598" s="61" t="str">
        <f>IFERROR(__xludf.DUMMYFUNCTION("IFS(AND(COUNTA(C598:C1644)=0,COUNTA(Q598:Q1644)=0),"""",OR(AND(K598&gt;=1000000000,OR(Y598&gt;=1000000000,COUNTA(Q598:Q1644)=0)),OR(Y598&gt;=1000000000,AND(COUNTA(C598:C1644)=0,P$3=TRUE))),
ROUNDDOWN((AB$1-AC$1)*MAX(INDEX(T$4:T1644,MATCH(LARGE(FILTER(Y$4:Y1644,Y$4"&amp;":Y1644&lt;1000000000),1),Y$4:Y1644)),INDEX(F$4:F1644,MATCH(LARGE(FILTER(K$4:K1644,K$4:K1644&lt;1000000000),1),K$4:K1644)))),AND(K598&lt;1000000000,COUNTA(C598:C1644)&gt;0,P$3=FALSE),
ROUNDDOWN(INDEX(Y$4:Y1644,MATCH(LARGE(FILTER(W$4:W1644,W$4:W1644&lt;=I598),1),W$4:W1644"&amp;"))+(I598-LARGE(FILTER(W$4:W1644,W$4:W1644&lt;=I598),1))*INDEX(T$4:T1644,MATCH(LARGE(FILTER(W$4:W1644,W$4:W1644&lt;=I598),1),W$4:W1644))-K598),1,
ROUNDDOWN(Y598-INDEX(K$4:K1644,MATCH(LARGE(FILTER(I$4:I1644,I$4:I1644&lt;=W598),1),I$4:I1644))-(W598-LARGE(FILTER(I$4:I"&amp;"1644,I$4:I1644&lt;=W598),1))*INDEX(F$4:F1644,MATCH(LARGE(FILTER(I$4:I1644,I$4:I1644&lt;=W598),1),I$4:I1644))))"),"")</f>
        <v/>
      </c>
      <c r="N598" s="60" t="str">
        <f t="shared" si="8"/>
        <v/>
      </c>
      <c r="O598" s="61" t="str">
        <f t="shared" si="9"/>
        <v/>
      </c>
      <c r="P598" s="56" t="str">
        <f t="shared" si="10"/>
        <v/>
      </c>
      <c r="Q598" s="105"/>
      <c r="R598" s="10"/>
      <c r="S598" s="59" t="str">
        <f t="array" ref="S598">IF(COUNTA(Q598:Q1644)=0,"",SUM((COUNTIF(Q$4:Q598,Upgrades!$B$3:$B$13)-COUNTIF(Q$4:Q598,"Sell_"&amp;Upgrades!$B$3:$B$13))*Upgrades!$D$3:$D$13))</f>
        <v/>
      </c>
      <c r="T598" s="66" t="str">
        <f>IFERROR(__xludf.DUMMYFUNCTION("IF(COUNTA(Q598:Q1644)=0,"""",IF(REGEXMATCH(INDEX(FILTER(Q$4:Q598,Q$4:Q598&lt;&gt;""""),ROWS(FILTER(Q$4:Q598,Q$4:Q598&lt;&gt;""""))),""^Sell_""),INDEX(FILTER(T$4:T597,Q$4:Q597&lt;&gt;""""),ROWS(FILTER(Q$4:Q597,Q$4:Q597&lt;&gt;""""))),$AD$5+S598))"),"")</f>
        <v/>
      </c>
      <c r="U598" s="10" t="str">
        <f>IFERROR(__xludf.DUMMYFUNCTION("IF(COUNTA(Q598:Q1644)=0,"""",IF(Q598="""",0,IF(REGEXMATCH(Q598,""^Sell_""),-ROUNDDOWN(ROUNDUP(INDEX(Upgrades!$C$3:$C$13,MATCH(SUBSTITUTE(Q598,""Sell_"",""""),Upgrades!$B$3:$B$13,0))*1.15^(COUNTIF(Q$4:Q597,SUBSTITUTE(Q598,""Sell_"",""""))-COUNTIF(Q$4:Q597,"&amp;"""Sell_""&amp;SUBSTITUTE(Q598,""Sell_"",""""))))/2),ROUNDUP(INDEX(Upgrades!$C$3:$C$13,MATCH(Q598,Upgrades!$B$3:$B$13,0))*1.15^(COUNTIF(Q$4:Q597,Q598)-COUNTIF(Q$4:Q597,""Sell_""&amp;Q598))))))"),"")</f>
        <v/>
      </c>
      <c r="V598" s="10" t="str">
        <f t="shared" si="11"/>
        <v/>
      </c>
      <c r="W598" s="68" t="str">
        <f t="shared" si="12"/>
        <v/>
      </c>
      <c r="X598" s="59" t="str">
        <f t="shared" si="13"/>
        <v/>
      </c>
      <c r="Y598" s="69" t="str">
        <f t="shared" si="14"/>
        <v/>
      </c>
      <c r="Z598" s="11"/>
      <c r="AG598" s="59"/>
    </row>
    <row r="599">
      <c r="A599" s="8"/>
      <c r="B599" s="56" t="str">
        <f t="shared" si="2"/>
        <v/>
      </c>
      <c r="C599" s="105"/>
      <c r="D599" s="10"/>
      <c r="E599" s="59" t="str">
        <f t="array" ref="E599">IF(COUNTA(C599:C1644)=0,"",SUM((COUNTIF(C$4:C599,Upgrades!$B$3:$B$13)-COUNTIF(C$4:C599,"Sell_"&amp;Upgrades!$B$3:$B$13))*Upgrades!$D$3:$D$13))</f>
        <v/>
      </c>
      <c r="F599" s="66" t="str">
        <f>IFERROR(__xludf.DUMMYFUNCTION("IF(COUNTA(C599:C1644)=0,"""",IF(REGEXMATCH(INDEX(FILTER(C$4:C599,C$4:C599&lt;&gt;""""),ROWS(FILTER(C$4:C599,C$4:C599&lt;&gt;""""))),""^Sell_""),INDEX(FILTER(F$4:F598,C$4:C598&lt;&gt;""""),ROWS(FILTER(C$4:C598,C$4:C598&lt;&gt;""""))),$AC$5+E599))"),"")</f>
        <v/>
      </c>
      <c r="G599" s="10" t="str">
        <f>IFERROR(__xludf.DUMMYFUNCTION("IF(COUNTA(C599:C1644)=0,"""",IF(C599="""",0,IF(REGEXMATCH(C599,""^Sell_""),-ROUNDDOWN(ROUNDUP(INDEX(Upgrades!$C$3:$C$13,MATCH(SUBSTITUTE(C599,""Sell_"",""""),Upgrades!$B$3:$B$13,0))*1.15^(COUNTIF(C$4:C598,SUBSTITUTE(C599,""Sell_"",""""))-COUNTIF(C$4:C598,"&amp;"""Sell_""&amp;SUBSTITUTE(C599,""Sell_"",""""))))/2),ROUNDUP(INDEX(Upgrades!$C$3:$C$13,MATCH(C599,Upgrades!$B$3:$B$13,0))*1.15^(COUNTIF(C$4:C598,C599)-COUNTIF(C$4:C598,""Sell_""&amp;C599))))))"),"")</f>
        <v/>
      </c>
      <c r="H599" s="10" t="str">
        <f t="shared" si="3"/>
        <v/>
      </c>
      <c r="I599" s="68" t="str">
        <f t="shared" si="4"/>
        <v/>
      </c>
      <c r="J599" s="59" t="str">
        <f t="shared" si="5"/>
        <v/>
      </c>
      <c r="K599" s="69" t="str">
        <f t="shared" si="6"/>
        <v/>
      </c>
      <c r="L599" s="60" t="str">
        <f t="shared" si="7"/>
        <v/>
      </c>
      <c r="M599" s="61" t="str">
        <f>IFERROR(__xludf.DUMMYFUNCTION("IFS(AND(COUNTA(C599:C1644)=0,COUNTA(Q599:Q1644)=0),"""",OR(AND(K599&gt;=1000000000,OR(Y599&gt;=1000000000,COUNTA(Q599:Q1644)=0)),OR(Y599&gt;=1000000000,AND(COUNTA(C599:C1644)=0,P$3=TRUE))),
ROUNDDOWN((AB$1-AC$1)*MAX(INDEX(T$4:T1644,MATCH(LARGE(FILTER(Y$4:Y1644,Y$4"&amp;":Y1644&lt;1000000000),1),Y$4:Y1644)),INDEX(F$4:F1644,MATCH(LARGE(FILTER(K$4:K1644,K$4:K1644&lt;1000000000),1),K$4:K1644)))),AND(K599&lt;1000000000,COUNTA(C599:C1644)&gt;0,P$3=FALSE),
ROUNDDOWN(INDEX(Y$4:Y1644,MATCH(LARGE(FILTER(W$4:W1644,W$4:W1644&lt;=I599),1),W$4:W1644"&amp;"))+(I599-LARGE(FILTER(W$4:W1644,W$4:W1644&lt;=I599),1))*INDEX(T$4:T1644,MATCH(LARGE(FILTER(W$4:W1644,W$4:W1644&lt;=I599),1),W$4:W1644))-K599),1,
ROUNDDOWN(Y599-INDEX(K$4:K1644,MATCH(LARGE(FILTER(I$4:I1644,I$4:I1644&lt;=W599),1),I$4:I1644))-(W599-LARGE(FILTER(I$4:I"&amp;"1644,I$4:I1644&lt;=W599),1))*INDEX(F$4:F1644,MATCH(LARGE(FILTER(I$4:I1644,I$4:I1644&lt;=W599),1),I$4:I1644))))"),"")</f>
        <v/>
      </c>
      <c r="N599" s="60" t="str">
        <f t="shared" si="8"/>
        <v/>
      </c>
      <c r="O599" s="61" t="str">
        <f t="shared" si="9"/>
        <v/>
      </c>
      <c r="P599" s="56" t="str">
        <f t="shared" si="10"/>
        <v/>
      </c>
      <c r="Q599" s="105"/>
      <c r="R599" s="10"/>
      <c r="S599" s="59" t="str">
        <f t="array" ref="S599">IF(COUNTA(Q599:Q1644)=0,"",SUM((COUNTIF(Q$4:Q599,Upgrades!$B$3:$B$13)-COUNTIF(Q$4:Q599,"Sell_"&amp;Upgrades!$B$3:$B$13))*Upgrades!$D$3:$D$13))</f>
        <v/>
      </c>
      <c r="T599" s="66" t="str">
        <f>IFERROR(__xludf.DUMMYFUNCTION("IF(COUNTA(Q599:Q1644)=0,"""",IF(REGEXMATCH(INDEX(FILTER(Q$4:Q599,Q$4:Q599&lt;&gt;""""),ROWS(FILTER(Q$4:Q599,Q$4:Q599&lt;&gt;""""))),""^Sell_""),INDEX(FILTER(T$4:T598,Q$4:Q598&lt;&gt;""""),ROWS(FILTER(Q$4:Q598,Q$4:Q598&lt;&gt;""""))),$AD$5+S599))"),"")</f>
        <v/>
      </c>
      <c r="U599" s="10" t="str">
        <f>IFERROR(__xludf.DUMMYFUNCTION("IF(COUNTA(Q599:Q1644)=0,"""",IF(Q599="""",0,IF(REGEXMATCH(Q599,""^Sell_""),-ROUNDDOWN(ROUNDUP(INDEX(Upgrades!$C$3:$C$13,MATCH(SUBSTITUTE(Q599,""Sell_"",""""),Upgrades!$B$3:$B$13,0))*1.15^(COUNTIF(Q$4:Q598,SUBSTITUTE(Q599,""Sell_"",""""))-COUNTIF(Q$4:Q598,"&amp;"""Sell_""&amp;SUBSTITUTE(Q599,""Sell_"",""""))))/2),ROUNDUP(INDEX(Upgrades!$C$3:$C$13,MATCH(Q599,Upgrades!$B$3:$B$13,0))*1.15^(COUNTIF(Q$4:Q598,Q599)-COUNTIF(Q$4:Q598,""Sell_""&amp;Q599))))))"),"")</f>
        <v/>
      </c>
      <c r="V599" s="10" t="str">
        <f t="shared" si="11"/>
        <v/>
      </c>
      <c r="W599" s="68" t="str">
        <f t="shared" si="12"/>
        <v/>
      </c>
      <c r="X599" s="59" t="str">
        <f t="shared" si="13"/>
        <v/>
      </c>
      <c r="Y599" s="69" t="str">
        <f t="shared" si="14"/>
        <v/>
      </c>
      <c r="Z599" s="11"/>
      <c r="AG599" s="59"/>
    </row>
    <row r="600">
      <c r="A600" s="8"/>
      <c r="B600" s="56" t="str">
        <f t="shared" si="2"/>
        <v/>
      </c>
      <c r="C600" s="105"/>
      <c r="D600" s="10"/>
      <c r="E600" s="59" t="str">
        <f t="array" ref="E600">IF(COUNTA(C600:C1644)=0,"",SUM((COUNTIF(C$4:C600,Upgrades!$B$3:$B$13)-COUNTIF(C$4:C600,"Sell_"&amp;Upgrades!$B$3:$B$13))*Upgrades!$D$3:$D$13))</f>
        <v/>
      </c>
      <c r="F600" s="66" t="str">
        <f>IFERROR(__xludf.DUMMYFUNCTION("IF(COUNTA(C600:C1644)=0,"""",IF(REGEXMATCH(INDEX(FILTER(C$4:C600,C$4:C600&lt;&gt;""""),ROWS(FILTER(C$4:C600,C$4:C600&lt;&gt;""""))),""^Sell_""),INDEX(FILTER(F$4:F599,C$4:C599&lt;&gt;""""),ROWS(FILTER(C$4:C599,C$4:C599&lt;&gt;""""))),$AC$5+E600))"),"")</f>
        <v/>
      </c>
      <c r="G600" s="10" t="str">
        <f>IFERROR(__xludf.DUMMYFUNCTION("IF(COUNTA(C600:C1644)=0,"""",IF(C600="""",0,IF(REGEXMATCH(C600,""^Sell_""),-ROUNDDOWN(ROUNDUP(INDEX(Upgrades!$C$3:$C$13,MATCH(SUBSTITUTE(C600,""Sell_"",""""),Upgrades!$B$3:$B$13,0))*1.15^(COUNTIF(C$4:C599,SUBSTITUTE(C600,""Sell_"",""""))-COUNTIF(C$4:C599,"&amp;"""Sell_""&amp;SUBSTITUTE(C600,""Sell_"",""""))))/2),ROUNDUP(INDEX(Upgrades!$C$3:$C$13,MATCH(C600,Upgrades!$B$3:$B$13,0))*1.15^(COUNTIF(C$4:C599,C600)-COUNTIF(C$4:C599,""Sell_""&amp;C600))))))"),"")</f>
        <v/>
      </c>
      <c r="H600" s="10" t="str">
        <f t="shared" si="3"/>
        <v/>
      </c>
      <c r="I600" s="68" t="str">
        <f t="shared" si="4"/>
        <v/>
      </c>
      <c r="J600" s="59" t="str">
        <f t="shared" si="5"/>
        <v/>
      </c>
      <c r="K600" s="69" t="str">
        <f t="shared" si="6"/>
        <v/>
      </c>
      <c r="L600" s="60" t="str">
        <f t="shared" si="7"/>
        <v/>
      </c>
      <c r="M600" s="61" t="str">
        <f>IFERROR(__xludf.DUMMYFUNCTION("IFS(AND(COUNTA(C600:C1644)=0,COUNTA(Q600:Q1644)=0),"""",OR(AND(K600&gt;=1000000000,OR(Y600&gt;=1000000000,COUNTA(Q600:Q1644)=0)),OR(Y600&gt;=1000000000,AND(COUNTA(C600:C1644)=0,P$3=TRUE))),
ROUNDDOWN((AB$1-AC$1)*MAX(INDEX(T$4:T1644,MATCH(LARGE(FILTER(Y$4:Y1644,Y$4"&amp;":Y1644&lt;1000000000),1),Y$4:Y1644)),INDEX(F$4:F1644,MATCH(LARGE(FILTER(K$4:K1644,K$4:K1644&lt;1000000000),1),K$4:K1644)))),AND(K600&lt;1000000000,COUNTA(C600:C1644)&gt;0,P$3=FALSE),
ROUNDDOWN(INDEX(Y$4:Y1644,MATCH(LARGE(FILTER(W$4:W1644,W$4:W1644&lt;=I600),1),W$4:W1644"&amp;"))+(I600-LARGE(FILTER(W$4:W1644,W$4:W1644&lt;=I600),1))*INDEX(T$4:T1644,MATCH(LARGE(FILTER(W$4:W1644,W$4:W1644&lt;=I600),1),W$4:W1644))-K600),1,
ROUNDDOWN(Y600-INDEX(K$4:K1644,MATCH(LARGE(FILTER(I$4:I1644,I$4:I1644&lt;=W600),1),I$4:I1644))-(W600-LARGE(FILTER(I$4:I"&amp;"1644,I$4:I1644&lt;=W600),1))*INDEX(F$4:F1644,MATCH(LARGE(FILTER(I$4:I1644,I$4:I1644&lt;=W600),1),I$4:I1644))))"),"")</f>
        <v/>
      </c>
      <c r="N600" s="60" t="str">
        <f t="shared" si="8"/>
        <v/>
      </c>
      <c r="O600" s="61" t="str">
        <f t="shared" si="9"/>
        <v/>
      </c>
      <c r="P600" s="56" t="str">
        <f t="shared" si="10"/>
        <v/>
      </c>
      <c r="Q600" s="105"/>
      <c r="R600" s="10"/>
      <c r="S600" s="59" t="str">
        <f t="array" ref="S600">IF(COUNTA(Q600:Q1644)=0,"",SUM((COUNTIF(Q$4:Q600,Upgrades!$B$3:$B$13)-COUNTIF(Q$4:Q600,"Sell_"&amp;Upgrades!$B$3:$B$13))*Upgrades!$D$3:$D$13))</f>
        <v/>
      </c>
      <c r="T600" s="66" t="str">
        <f>IFERROR(__xludf.DUMMYFUNCTION("IF(COUNTA(Q600:Q1644)=0,"""",IF(REGEXMATCH(INDEX(FILTER(Q$4:Q600,Q$4:Q600&lt;&gt;""""),ROWS(FILTER(Q$4:Q600,Q$4:Q600&lt;&gt;""""))),""^Sell_""),INDEX(FILTER(T$4:T599,Q$4:Q599&lt;&gt;""""),ROWS(FILTER(Q$4:Q599,Q$4:Q599&lt;&gt;""""))),$AD$5+S600))"),"")</f>
        <v/>
      </c>
      <c r="U600" s="10" t="str">
        <f>IFERROR(__xludf.DUMMYFUNCTION("IF(COUNTA(Q600:Q1644)=0,"""",IF(Q600="""",0,IF(REGEXMATCH(Q600,""^Sell_""),-ROUNDDOWN(ROUNDUP(INDEX(Upgrades!$C$3:$C$13,MATCH(SUBSTITUTE(Q600,""Sell_"",""""),Upgrades!$B$3:$B$13,0))*1.15^(COUNTIF(Q$4:Q599,SUBSTITUTE(Q600,""Sell_"",""""))-COUNTIF(Q$4:Q599,"&amp;"""Sell_""&amp;SUBSTITUTE(Q600,""Sell_"",""""))))/2),ROUNDUP(INDEX(Upgrades!$C$3:$C$13,MATCH(Q600,Upgrades!$B$3:$B$13,0))*1.15^(COUNTIF(Q$4:Q599,Q600)-COUNTIF(Q$4:Q599,""Sell_""&amp;Q600))))))"),"")</f>
        <v/>
      </c>
      <c r="V600" s="10" t="str">
        <f t="shared" si="11"/>
        <v/>
      </c>
      <c r="W600" s="68" t="str">
        <f t="shared" si="12"/>
        <v/>
      </c>
      <c r="X600" s="59" t="str">
        <f t="shared" si="13"/>
        <v/>
      </c>
      <c r="Y600" s="69" t="str">
        <f t="shared" si="14"/>
        <v/>
      </c>
      <c r="Z600" s="11"/>
      <c r="AG600" s="59"/>
    </row>
    <row r="601">
      <c r="A601" s="8"/>
      <c r="B601" s="56" t="str">
        <f t="shared" si="2"/>
        <v/>
      </c>
      <c r="C601" s="105"/>
      <c r="D601" s="10"/>
      <c r="E601" s="59" t="str">
        <f t="array" ref="E601">IF(COUNTA(C601:C1644)=0,"",SUM((COUNTIF(C$4:C601,Upgrades!$B$3:$B$13)-COUNTIF(C$4:C601,"Sell_"&amp;Upgrades!$B$3:$B$13))*Upgrades!$D$3:$D$13))</f>
        <v/>
      </c>
      <c r="F601" s="66" t="str">
        <f>IFERROR(__xludf.DUMMYFUNCTION("IF(COUNTA(C601:C1644)=0,"""",IF(REGEXMATCH(INDEX(FILTER(C$4:C601,C$4:C601&lt;&gt;""""),ROWS(FILTER(C$4:C601,C$4:C601&lt;&gt;""""))),""^Sell_""),INDEX(FILTER(F$4:F600,C$4:C600&lt;&gt;""""),ROWS(FILTER(C$4:C600,C$4:C600&lt;&gt;""""))),$AC$5+E601))"),"")</f>
        <v/>
      </c>
      <c r="G601" s="10" t="str">
        <f>IFERROR(__xludf.DUMMYFUNCTION("IF(COUNTA(C601:C1644)=0,"""",IF(C601="""",0,IF(REGEXMATCH(C601,""^Sell_""),-ROUNDDOWN(ROUNDUP(INDEX(Upgrades!$C$3:$C$13,MATCH(SUBSTITUTE(C601,""Sell_"",""""),Upgrades!$B$3:$B$13,0))*1.15^(COUNTIF(C$4:C600,SUBSTITUTE(C601,""Sell_"",""""))-COUNTIF(C$4:C600,"&amp;"""Sell_""&amp;SUBSTITUTE(C601,""Sell_"",""""))))/2),ROUNDUP(INDEX(Upgrades!$C$3:$C$13,MATCH(C601,Upgrades!$B$3:$B$13,0))*1.15^(COUNTIF(C$4:C600,C601)-COUNTIF(C$4:C600,""Sell_""&amp;C601))))))"),"")</f>
        <v/>
      </c>
      <c r="H601" s="10" t="str">
        <f t="shared" si="3"/>
        <v/>
      </c>
      <c r="I601" s="68" t="str">
        <f t="shared" si="4"/>
        <v/>
      </c>
      <c r="J601" s="59" t="str">
        <f t="shared" si="5"/>
        <v/>
      </c>
      <c r="K601" s="69" t="str">
        <f t="shared" si="6"/>
        <v/>
      </c>
      <c r="L601" s="60" t="str">
        <f t="shared" si="7"/>
        <v/>
      </c>
      <c r="M601" s="61" t="str">
        <f>IFERROR(__xludf.DUMMYFUNCTION("IFS(AND(COUNTA(C601:C1644)=0,COUNTA(Q601:Q1644)=0),"""",OR(AND(K601&gt;=1000000000,OR(Y601&gt;=1000000000,COUNTA(Q601:Q1644)=0)),OR(Y601&gt;=1000000000,AND(COUNTA(C601:C1644)=0,P$3=TRUE))),
ROUNDDOWN((AB$1-AC$1)*MAX(INDEX(T$4:T1644,MATCH(LARGE(FILTER(Y$4:Y1644,Y$4"&amp;":Y1644&lt;1000000000),1),Y$4:Y1644)),INDEX(F$4:F1644,MATCH(LARGE(FILTER(K$4:K1644,K$4:K1644&lt;1000000000),1),K$4:K1644)))),AND(K601&lt;1000000000,COUNTA(C601:C1644)&gt;0,P$3=FALSE),
ROUNDDOWN(INDEX(Y$4:Y1644,MATCH(LARGE(FILTER(W$4:W1644,W$4:W1644&lt;=I601),1),W$4:W1644"&amp;"))+(I601-LARGE(FILTER(W$4:W1644,W$4:W1644&lt;=I601),1))*INDEX(T$4:T1644,MATCH(LARGE(FILTER(W$4:W1644,W$4:W1644&lt;=I601),1),W$4:W1644))-K601),1,
ROUNDDOWN(Y601-INDEX(K$4:K1644,MATCH(LARGE(FILTER(I$4:I1644,I$4:I1644&lt;=W601),1),I$4:I1644))-(W601-LARGE(FILTER(I$4:I"&amp;"1644,I$4:I1644&lt;=W601),1))*INDEX(F$4:F1644,MATCH(LARGE(FILTER(I$4:I1644,I$4:I1644&lt;=W601),1),I$4:I1644))))"),"")</f>
        <v/>
      </c>
      <c r="N601" s="60" t="str">
        <f t="shared" si="8"/>
        <v/>
      </c>
      <c r="O601" s="61" t="str">
        <f t="shared" si="9"/>
        <v/>
      </c>
      <c r="P601" s="56" t="str">
        <f t="shared" si="10"/>
        <v/>
      </c>
      <c r="Q601" s="105"/>
      <c r="R601" s="10"/>
      <c r="S601" s="59" t="str">
        <f t="array" ref="S601">IF(COUNTA(Q601:Q1644)=0,"",SUM((COUNTIF(Q$4:Q601,Upgrades!$B$3:$B$13)-COUNTIF(Q$4:Q601,"Sell_"&amp;Upgrades!$B$3:$B$13))*Upgrades!$D$3:$D$13))</f>
        <v/>
      </c>
      <c r="T601" s="66" t="str">
        <f>IFERROR(__xludf.DUMMYFUNCTION("IF(COUNTA(Q601:Q1644)=0,"""",IF(REGEXMATCH(INDEX(FILTER(Q$4:Q601,Q$4:Q601&lt;&gt;""""),ROWS(FILTER(Q$4:Q601,Q$4:Q601&lt;&gt;""""))),""^Sell_""),INDEX(FILTER(T$4:T600,Q$4:Q600&lt;&gt;""""),ROWS(FILTER(Q$4:Q600,Q$4:Q600&lt;&gt;""""))),$AD$5+S601))"),"")</f>
        <v/>
      </c>
      <c r="U601" s="10" t="str">
        <f>IFERROR(__xludf.DUMMYFUNCTION("IF(COUNTA(Q601:Q1644)=0,"""",IF(Q601="""",0,IF(REGEXMATCH(Q601,""^Sell_""),-ROUNDDOWN(ROUNDUP(INDEX(Upgrades!$C$3:$C$13,MATCH(SUBSTITUTE(Q601,""Sell_"",""""),Upgrades!$B$3:$B$13,0))*1.15^(COUNTIF(Q$4:Q600,SUBSTITUTE(Q601,""Sell_"",""""))-COUNTIF(Q$4:Q600,"&amp;"""Sell_""&amp;SUBSTITUTE(Q601,""Sell_"",""""))))/2),ROUNDUP(INDEX(Upgrades!$C$3:$C$13,MATCH(Q601,Upgrades!$B$3:$B$13,0))*1.15^(COUNTIF(Q$4:Q600,Q601)-COUNTIF(Q$4:Q600,""Sell_""&amp;Q601))))))"),"")</f>
        <v/>
      </c>
      <c r="V601" s="10" t="str">
        <f t="shared" si="11"/>
        <v/>
      </c>
      <c r="W601" s="68" t="str">
        <f t="shared" si="12"/>
        <v/>
      </c>
      <c r="X601" s="59" t="str">
        <f t="shared" si="13"/>
        <v/>
      </c>
      <c r="Y601" s="69" t="str">
        <f t="shared" si="14"/>
        <v/>
      </c>
      <c r="Z601" s="11"/>
      <c r="AG601" s="59"/>
    </row>
    <row r="602">
      <c r="A602" s="8"/>
      <c r="B602" s="56" t="str">
        <f t="shared" si="2"/>
        <v/>
      </c>
      <c r="C602" s="105"/>
      <c r="D602" s="10"/>
      <c r="E602" s="59" t="str">
        <f t="array" ref="E602">IF(COUNTA(C602:C1644)=0,"",SUM((COUNTIF(C$4:C602,Upgrades!$B$3:$B$13)-COUNTIF(C$4:C602,"Sell_"&amp;Upgrades!$B$3:$B$13))*Upgrades!$D$3:$D$13))</f>
        <v/>
      </c>
      <c r="F602" s="66" t="str">
        <f>IFERROR(__xludf.DUMMYFUNCTION("IF(COUNTA(C602:C1644)=0,"""",IF(REGEXMATCH(INDEX(FILTER(C$4:C602,C$4:C602&lt;&gt;""""),ROWS(FILTER(C$4:C602,C$4:C602&lt;&gt;""""))),""^Sell_""),INDEX(FILTER(F$4:F601,C$4:C601&lt;&gt;""""),ROWS(FILTER(C$4:C601,C$4:C601&lt;&gt;""""))),$AC$5+E602))"),"")</f>
        <v/>
      </c>
      <c r="G602" s="10" t="str">
        <f>IFERROR(__xludf.DUMMYFUNCTION("IF(COUNTA(C602:C1644)=0,"""",IF(C602="""",0,IF(REGEXMATCH(C602,""^Sell_""),-ROUNDDOWN(ROUNDUP(INDEX(Upgrades!$C$3:$C$13,MATCH(SUBSTITUTE(C602,""Sell_"",""""),Upgrades!$B$3:$B$13,0))*1.15^(COUNTIF(C$4:C601,SUBSTITUTE(C602,""Sell_"",""""))-COUNTIF(C$4:C601,"&amp;"""Sell_""&amp;SUBSTITUTE(C602,""Sell_"",""""))))/2),ROUNDUP(INDEX(Upgrades!$C$3:$C$13,MATCH(C602,Upgrades!$B$3:$B$13,0))*1.15^(COUNTIF(C$4:C601,C602)-COUNTIF(C$4:C601,""Sell_""&amp;C602))))))"),"")</f>
        <v/>
      </c>
      <c r="H602" s="10" t="str">
        <f t="shared" si="3"/>
        <v/>
      </c>
      <c r="I602" s="68" t="str">
        <f t="shared" si="4"/>
        <v/>
      </c>
      <c r="J602" s="59" t="str">
        <f t="shared" si="5"/>
        <v/>
      </c>
      <c r="K602" s="69" t="str">
        <f t="shared" si="6"/>
        <v/>
      </c>
      <c r="L602" s="60" t="str">
        <f t="shared" si="7"/>
        <v/>
      </c>
      <c r="M602" s="61" t="str">
        <f>IFERROR(__xludf.DUMMYFUNCTION("IFS(AND(COUNTA(C602:C1644)=0,COUNTA(Q602:Q1644)=0),"""",OR(AND(K602&gt;=1000000000,OR(Y602&gt;=1000000000,COUNTA(Q602:Q1644)=0)),OR(Y602&gt;=1000000000,AND(COUNTA(C602:C1644)=0,P$3=TRUE))),
ROUNDDOWN((AB$1-AC$1)*MAX(INDEX(T$4:T1644,MATCH(LARGE(FILTER(Y$4:Y1644,Y$4"&amp;":Y1644&lt;1000000000),1),Y$4:Y1644)),INDEX(F$4:F1644,MATCH(LARGE(FILTER(K$4:K1644,K$4:K1644&lt;1000000000),1),K$4:K1644)))),AND(K602&lt;1000000000,COUNTA(C602:C1644)&gt;0,P$3=FALSE),
ROUNDDOWN(INDEX(Y$4:Y1644,MATCH(LARGE(FILTER(W$4:W1644,W$4:W1644&lt;=I602),1),W$4:W1644"&amp;"))+(I602-LARGE(FILTER(W$4:W1644,W$4:W1644&lt;=I602),1))*INDEX(T$4:T1644,MATCH(LARGE(FILTER(W$4:W1644,W$4:W1644&lt;=I602),1),W$4:W1644))-K602),1,
ROUNDDOWN(Y602-INDEX(K$4:K1644,MATCH(LARGE(FILTER(I$4:I1644,I$4:I1644&lt;=W602),1),I$4:I1644))-(W602-LARGE(FILTER(I$4:I"&amp;"1644,I$4:I1644&lt;=W602),1))*INDEX(F$4:F1644,MATCH(LARGE(FILTER(I$4:I1644,I$4:I1644&lt;=W602),1),I$4:I1644))))"),"")</f>
        <v/>
      </c>
      <c r="N602" s="60" t="str">
        <f t="shared" si="8"/>
        <v/>
      </c>
      <c r="O602" s="61" t="str">
        <f t="shared" si="9"/>
        <v/>
      </c>
      <c r="P602" s="56" t="str">
        <f t="shared" si="10"/>
        <v/>
      </c>
      <c r="Q602" s="105"/>
      <c r="R602" s="10"/>
      <c r="S602" s="59" t="str">
        <f t="array" ref="S602">IF(COUNTA(Q602:Q1644)=0,"",SUM((COUNTIF(Q$4:Q602,Upgrades!$B$3:$B$13)-COUNTIF(Q$4:Q602,"Sell_"&amp;Upgrades!$B$3:$B$13))*Upgrades!$D$3:$D$13))</f>
        <v/>
      </c>
      <c r="T602" s="66" t="str">
        <f>IFERROR(__xludf.DUMMYFUNCTION("IF(COUNTA(Q602:Q1644)=0,"""",IF(REGEXMATCH(INDEX(FILTER(Q$4:Q602,Q$4:Q602&lt;&gt;""""),ROWS(FILTER(Q$4:Q602,Q$4:Q602&lt;&gt;""""))),""^Sell_""),INDEX(FILTER(T$4:T601,Q$4:Q601&lt;&gt;""""),ROWS(FILTER(Q$4:Q601,Q$4:Q601&lt;&gt;""""))),$AD$5+S602))"),"")</f>
        <v/>
      </c>
      <c r="U602" s="10" t="str">
        <f>IFERROR(__xludf.DUMMYFUNCTION("IF(COUNTA(Q602:Q1644)=0,"""",IF(Q602="""",0,IF(REGEXMATCH(Q602,""^Sell_""),-ROUNDDOWN(ROUNDUP(INDEX(Upgrades!$C$3:$C$13,MATCH(SUBSTITUTE(Q602,""Sell_"",""""),Upgrades!$B$3:$B$13,0))*1.15^(COUNTIF(Q$4:Q601,SUBSTITUTE(Q602,""Sell_"",""""))-COUNTIF(Q$4:Q601,"&amp;"""Sell_""&amp;SUBSTITUTE(Q602,""Sell_"",""""))))/2),ROUNDUP(INDEX(Upgrades!$C$3:$C$13,MATCH(Q602,Upgrades!$B$3:$B$13,0))*1.15^(COUNTIF(Q$4:Q601,Q602)-COUNTIF(Q$4:Q601,""Sell_""&amp;Q602))))))"),"")</f>
        <v/>
      </c>
      <c r="V602" s="10" t="str">
        <f t="shared" si="11"/>
        <v/>
      </c>
      <c r="W602" s="68" t="str">
        <f t="shared" si="12"/>
        <v/>
      </c>
      <c r="X602" s="59" t="str">
        <f t="shared" si="13"/>
        <v/>
      </c>
      <c r="Y602" s="69" t="str">
        <f t="shared" si="14"/>
        <v/>
      </c>
      <c r="Z602" s="11"/>
      <c r="AG602" s="59"/>
    </row>
    <row r="603">
      <c r="A603" s="8"/>
      <c r="B603" s="56" t="str">
        <f t="shared" si="2"/>
        <v/>
      </c>
      <c r="C603" s="105"/>
      <c r="D603" s="10"/>
      <c r="E603" s="59" t="str">
        <f t="array" ref="E603">IF(COUNTA(C603:C1644)=0,"",SUM((COUNTIF(C$4:C603,Upgrades!$B$3:$B$13)-COUNTIF(C$4:C603,"Sell_"&amp;Upgrades!$B$3:$B$13))*Upgrades!$D$3:$D$13))</f>
        <v/>
      </c>
      <c r="F603" s="66" t="str">
        <f>IFERROR(__xludf.DUMMYFUNCTION("IF(COUNTA(C603:C1644)=0,"""",IF(REGEXMATCH(INDEX(FILTER(C$4:C603,C$4:C603&lt;&gt;""""),ROWS(FILTER(C$4:C603,C$4:C603&lt;&gt;""""))),""^Sell_""),INDEX(FILTER(F$4:F602,C$4:C602&lt;&gt;""""),ROWS(FILTER(C$4:C602,C$4:C602&lt;&gt;""""))),$AC$5+E603))"),"")</f>
        <v/>
      </c>
      <c r="G603" s="10" t="str">
        <f>IFERROR(__xludf.DUMMYFUNCTION("IF(COUNTA(C603:C1644)=0,"""",IF(C603="""",0,IF(REGEXMATCH(C603,""^Sell_""),-ROUNDDOWN(ROUNDUP(INDEX(Upgrades!$C$3:$C$13,MATCH(SUBSTITUTE(C603,""Sell_"",""""),Upgrades!$B$3:$B$13,0))*1.15^(COUNTIF(C$4:C602,SUBSTITUTE(C603,""Sell_"",""""))-COUNTIF(C$4:C602,"&amp;"""Sell_""&amp;SUBSTITUTE(C603,""Sell_"",""""))))/2),ROUNDUP(INDEX(Upgrades!$C$3:$C$13,MATCH(C603,Upgrades!$B$3:$B$13,0))*1.15^(COUNTIF(C$4:C602,C603)-COUNTIF(C$4:C602,""Sell_""&amp;C603))))))"),"")</f>
        <v/>
      </c>
      <c r="H603" s="10" t="str">
        <f t="shared" si="3"/>
        <v/>
      </c>
      <c r="I603" s="68" t="str">
        <f t="shared" si="4"/>
        <v/>
      </c>
      <c r="J603" s="59" t="str">
        <f t="shared" si="5"/>
        <v/>
      </c>
      <c r="K603" s="69" t="str">
        <f t="shared" si="6"/>
        <v/>
      </c>
      <c r="L603" s="60" t="str">
        <f t="shared" si="7"/>
        <v/>
      </c>
      <c r="M603" s="61" t="str">
        <f>IFERROR(__xludf.DUMMYFUNCTION("IFS(AND(COUNTA(C603:C1644)=0,COUNTA(Q603:Q1644)=0),"""",OR(AND(K603&gt;=1000000000,OR(Y603&gt;=1000000000,COUNTA(Q603:Q1644)=0)),OR(Y603&gt;=1000000000,AND(COUNTA(C603:C1644)=0,P$3=TRUE))),
ROUNDDOWN((AB$1-AC$1)*MAX(INDEX(T$4:T1644,MATCH(LARGE(FILTER(Y$4:Y1644,Y$4"&amp;":Y1644&lt;1000000000),1),Y$4:Y1644)),INDEX(F$4:F1644,MATCH(LARGE(FILTER(K$4:K1644,K$4:K1644&lt;1000000000),1),K$4:K1644)))),AND(K603&lt;1000000000,COUNTA(C603:C1644)&gt;0,P$3=FALSE),
ROUNDDOWN(INDEX(Y$4:Y1644,MATCH(LARGE(FILTER(W$4:W1644,W$4:W1644&lt;=I603),1),W$4:W1644"&amp;"))+(I603-LARGE(FILTER(W$4:W1644,W$4:W1644&lt;=I603),1))*INDEX(T$4:T1644,MATCH(LARGE(FILTER(W$4:W1644,W$4:W1644&lt;=I603),1),W$4:W1644))-K603),1,
ROUNDDOWN(Y603-INDEX(K$4:K1644,MATCH(LARGE(FILTER(I$4:I1644,I$4:I1644&lt;=W603),1),I$4:I1644))-(W603-LARGE(FILTER(I$4:I"&amp;"1644,I$4:I1644&lt;=W603),1))*INDEX(F$4:F1644,MATCH(LARGE(FILTER(I$4:I1644,I$4:I1644&lt;=W603),1),I$4:I1644))))"),"")</f>
        <v/>
      </c>
      <c r="N603" s="60" t="str">
        <f t="shared" si="8"/>
        <v/>
      </c>
      <c r="O603" s="61" t="str">
        <f t="shared" si="9"/>
        <v/>
      </c>
      <c r="P603" s="56" t="str">
        <f t="shared" si="10"/>
        <v/>
      </c>
      <c r="Q603" s="105"/>
      <c r="R603" s="10"/>
      <c r="S603" s="59" t="str">
        <f t="array" ref="S603">IF(COUNTA(Q603:Q1644)=0,"",SUM((COUNTIF(Q$4:Q603,Upgrades!$B$3:$B$13)-COUNTIF(Q$4:Q603,"Sell_"&amp;Upgrades!$B$3:$B$13))*Upgrades!$D$3:$D$13))</f>
        <v/>
      </c>
      <c r="T603" s="66" t="str">
        <f>IFERROR(__xludf.DUMMYFUNCTION("IF(COUNTA(Q603:Q1644)=0,"""",IF(REGEXMATCH(INDEX(FILTER(Q$4:Q603,Q$4:Q603&lt;&gt;""""),ROWS(FILTER(Q$4:Q603,Q$4:Q603&lt;&gt;""""))),""^Sell_""),INDEX(FILTER(T$4:T602,Q$4:Q602&lt;&gt;""""),ROWS(FILTER(Q$4:Q602,Q$4:Q602&lt;&gt;""""))),$AD$5+S603))"),"")</f>
        <v/>
      </c>
      <c r="U603" s="10" t="str">
        <f>IFERROR(__xludf.DUMMYFUNCTION("IF(COUNTA(Q603:Q1644)=0,"""",IF(Q603="""",0,IF(REGEXMATCH(Q603,""^Sell_""),-ROUNDDOWN(ROUNDUP(INDEX(Upgrades!$C$3:$C$13,MATCH(SUBSTITUTE(Q603,""Sell_"",""""),Upgrades!$B$3:$B$13,0))*1.15^(COUNTIF(Q$4:Q602,SUBSTITUTE(Q603,""Sell_"",""""))-COUNTIF(Q$4:Q602,"&amp;"""Sell_""&amp;SUBSTITUTE(Q603,""Sell_"",""""))))/2),ROUNDUP(INDEX(Upgrades!$C$3:$C$13,MATCH(Q603,Upgrades!$B$3:$B$13,0))*1.15^(COUNTIF(Q$4:Q602,Q603)-COUNTIF(Q$4:Q602,""Sell_""&amp;Q603))))))"),"")</f>
        <v/>
      </c>
      <c r="V603" s="10" t="str">
        <f t="shared" si="11"/>
        <v/>
      </c>
      <c r="W603" s="68" t="str">
        <f t="shared" si="12"/>
        <v/>
      </c>
      <c r="X603" s="59" t="str">
        <f t="shared" si="13"/>
        <v/>
      </c>
      <c r="Y603" s="69" t="str">
        <f t="shared" si="14"/>
        <v/>
      </c>
      <c r="Z603" s="11"/>
      <c r="AG603" s="59"/>
    </row>
    <row r="604">
      <c r="A604" s="8"/>
      <c r="B604" s="56" t="str">
        <f t="shared" si="2"/>
        <v/>
      </c>
      <c r="C604" s="105"/>
      <c r="D604" s="10"/>
      <c r="E604" s="59" t="str">
        <f t="array" ref="E604">IF(COUNTA(C604:C1644)=0,"",SUM((COUNTIF(C$4:C604,Upgrades!$B$3:$B$13)-COUNTIF(C$4:C604,"Sell_"&amp;Upgrades!$B$3:$B$13))*Upgrades!$D$3:$D$13))</f>
        <v/>
      </c>
      <c r="F604" s="66" t="str">
        <f>IFERROR(__xludf.DUMMYFUNCTION("IF(COUNTA(C604:C1644)=0,"""",IF(REGEXMATCH(INDEX(FILTER(C$4:C604,C$4:C604&lt;&gt;""""),ROWS(FILTER(C$4:C604,C$4:C604&lt;&gt;""""))),""^Sell_""),INDEX(FILTER(F$4:F603,C$4:C603&lt;&gt;""""),ROWS(FILTER(C$4:C603,C$4:C603&lt;&gt;""""))),$AC$5+E604))"),"")</f>
        <v/>
      </c>
      <c r="G604" s="10" t="str">
        <f>IFERROR(__xludf.DUMMYFUNCTION("IF(COUNTA(C604:C1644)=0,"""",IF(C604="""",0,IF(REGEXMATCH(C604,""^Sell_""),-ROUNDDOWN(ROUNDUP(INDEX(Upgrades!$C$3:$C$13,MATCH(SUBSTITUTE(C604,""Sell_"",""""),Upgrades!$B$3:$B$13,0))*1.15^(COUNTIF(C$4:C603,SUBSTITUTE(C604,""Sell_"",""""))-COUNTIF(C$4:C603,"&amp;"""Sell_""&amp;SUBSTITUTE(C604,""Sell_"",""""))))/2),ROUNDUP(INDEX(Upgrades!$C$3:$C$13,MATCH(C604,Upgrades!$B$3:$B$13,0))*1.15^(COUNTIF(C$4:C603,C604)-COUNTIF(C$4:C603,""Sell_""&amp;C604))))))"),"")</f>
        <v/>
      </c>
      <c r="H604" s="10" t="str">
        <f t="shared" si="3"/>
        <v/>
      </c>
      <c r="I604" s="68" t="str">
        <f t="shared" si="4"/>
        <v/>
      </c>
      <c r="J604" s="59" t="str">
        <f t="shared" si="5"/>
        <v/>
      </c>
      <c r="K604" s="69" t="str">
        <f t="shared" si="6"/>
        <v/>
      </c>
      <c r="L604" s="60" t="str">
        <f t="shared" si="7"/>
        <v/>
      </c>
      <c r="M604" s="61" t="str">
        <f>IFERROR(__xludf.DUMMYFUNCTION("IFS(AND(COUNTA(C604:C1644)=0,COUNTA(Q604:Q1644)=0),"""",OR(AND(K604&gt;=1000000000,OR(Y604&gt;=1000000000,COUNTA(Q604:Q1644)=0)),OR(Y604&gt;=1000000000,AND(COUNTA(C604:C1644)=0,P$3=TRUE))),
ROUNDDOWN((AB$1-AC$1)*MAX(INDEX(T$4:T1644,MATCH(LARGE(FILTER(Y$4:Y1644,Y$4"&amp;":Y1644&lt;1000000000),1),Y$4:Y1644)),INDEX(F$4:F1644,MATCH(LARGE(FILTER(K$4:K1644,K$4:K1644&lt;1000000000),1),K$4:K1644)))),AND(K604&lt;1000000000,COUNTA(C604:C1644)&gt;0,P$3=FALSE),
ROUNDDOWN(INDEX(Y$4:Y1644,MATCH(LARGE(FILTER(W$4:W1644,W$4:W1644&lt;=I604),1),W$4:W1644"&amp;"))+(I604-LARGE(FILTER(W$4:W1644,W$4:W1644&lt;=I604),1))*INDEX(T$4:T1644,MATCH(LARGE(FILTER(W$4:W1644,W$4:W1644&lt;=I604),1),W$4:W1644))-K604),1,
ROUNDDOWN(Y604-INDEX(K$4:K1644,MATCH(LARGE(FILTER(I$4:I1644,I$4:I1644&lt;=W604),1),I$4:I1644))-(W604-LARGE(FILTER(I$4:I"&amp;"1644,I$4:I1644&lt;=W604),1))*INDEX(F$4:F1644,MATCH(LARGE(FILTER(I$4:I1644,I$4:I1644&lt;=W604),1),I$4:I1644))))"),"")</f>
        <v/>
      </c>
      <c r="N604" s="60" t="str">
        <f t="shared" si="8"/>
        <v/>
      </c>
      <c r="O604" s="61" t="str">
        <f t="shared" si="9"/>
        <v/>
      </c>
      <c r="P604" s="56" t="str">
        <f t="shared" si="10"/>
        <v/>
      </c>
      <c r="Q604" s="105"/>
      <c r="R604" s="10"/>
      <c r="S604" s="59" t="str">
        <f t="array" ref="S604">IF(COUNTA(Q604:Q1644)=0,"",SUM((COUNTIF(Q$4:Q604,Upgrades!$B$3:$B$13)-COUNTIF(Q$4:Q604,"Sell_"&amp;Upgrades!$B$3:$B$13))*Upgrades!$D$3:$D$13))</f>
        <v/>
      </c>
      <c r="T604" s="66" t="str">
        <f>IFERROR(__xludf.DUMMYFUNCTION("IF(COUNTA(Q604:Q1644)=0,"""",IF(REGEXMATCH(INDEX(FILTER(Q$4:Q604,Q$4:Q604&lt;&gt;""""),ROWS(FILTER(Q$4:Q604,Q$4:Q604&lt;&gt;""""))),""^Sell_""),INDEX(FILTER(T$4:T603,Q$4:Q603&lt;&gt;""""),ROWS(FILTER(Q$4:Q603,Q$4:Q603&lt;&gt;""""))),$AD$5+S604))"),"")</f>
        <v/>
      </c>
      <c r="U604" s="10" t="str">
        <f>IFERROR(__xludf.DUMMYFUNCTION("IF(COUNTA(Q604:Q1644)=0,"""",IF(Q604="""",0,IF(REGEXMATCH(Q604,""^Sell_""),-ROUNDDOWN(ROUNDUP(INDEX(Upgrades!$C$3:$C$13,MATCH(SUBSTITUTE(Q604,""Sell_"",""""),Upgrades!$B$3:$B$13,0))*1.15^(COUNTIF(Q$4:Q603,SUBSTITUTE(Q604,""Sell_"",""""))-COUNTIF(Q$4:Q603,"&amp;"""Sell_""&amp;SUBSTITUTE(Q604,""Sell_"",""""))))/2),ROUNDUP(INDEX(Upgrades!$C$3:$C$13,MATCH(Q604,Upgrades!$B$3:$B$13,0))*1.15^(COUNTIF(Q$4:Q603,Q604)-COUNTIF(Q$4:Q603,""Sell_""&amp;Q604))))))"),"")</f>
        <v/>
      </c>
      <c r="V604" s="10" t="str">
        <f t="shared" si="11"/>
        <v/>
      </c>
      <c r="W604" s="68" t="str">
        <f t="shared" si="12"/>
        <v/>
      </c>
      <c r="X604" s="59" t="str">
        <f t="shared" si="13"/>
        <v/>
      </c>
      <c r="Y604" s="69" t="str">
        <f t="shared" si="14"/>
        <v/>
      </c>
      <c r="Z604" s="11"/>
      <c r="AG604" s="59"/>
    </row>
    <row r="605">
      <c r="A605" s="8"/>
      <c r="B605" s="56" t="str">
        <f t="shared" si="2"/>
        <v/>
      </c>
      <c r="C605" s="105"/>
      <c r="D605" s="10"/>
      <c r="E605" s="59" t="str">
        <f t="array" ref="E605">IF(COUNTA(C605:C1644)=0,"",SUM((COUNTIF(C$4:C605,Upgrades!$B$3:$B$13)-COUNTIF(C$4:C605,"Sell_"&amp;Upgrades!$B$3:$B$13))*Upgrades!$D$3:$D$13))</f>
        <v/>
      </c>
      <c r="F605" s="66" t="str">
        <f>IFERROR(__xludf.DUMMYFUNCTION("IF(COUNTA(C605:C1644)=0,"""",IF(REGEXMATCH(INDEX(FILTER(C$4:C605,C$4:C605&lt;&gt;""""),ROWS(FILTER(C$4:C605,C$4:C605&lt;&gt;""""))),""^Sell_""),INDEX(FILTER(F$4:F604,C$4:C604&lt;&gt;""""),ROWS(FILTER(C$4:C604,C$4:C604&lt;&gt;""""))),$AC$5+E605))"),"")</f>
        <v/>
      </c>
      <c r="G605" s="10" t="str">
        <f>IFERROR(__xludf.DUMMYFUNCTION("IF(COUNTA(C605:C1644)=0,"""",IF(C605="""",0,IF(REGEXMATCH(C605,""^Sell_""),-ROUNDDOWN(ROUNDUP(INDEX(Upgrades!$C$3:$C$13,MATCH(SUBSTITUTE(C605,""Sell_"",""""),Upgrades!$B$3:$B$13,0))*1.15^(COUNTIF(C$4:C604,SUBSTITUTE(C605,""Sell_"",""""))-COUNTIF(C$4:C604,"&amp;"""Sell_""&amp;SUBSTITUTE(C605,""Sell_"",""""))))/2),ROUNDUP(INDEX(Upgrades!$C$3:$C$13,MATCH(C605,Upgrades!$B$3:$B$13,0))*1.15^(COUNTIF(C$4:C604,C605)-COUNTIF(C$4:C604,""Sell_""&amp;C605))))))"),"")</f>
        <v/>
      </c>
      <c r="H605" s="10" t="str">
        <f t="shared" si="3"/>
        <v/>
      </c>
      <c r="I605" s="68" t="str">
        <f t="shared" si="4"/>
        <v/>
      </c>
      <c r="J605" s="59" t="str">
        <f t="shared" si="5"/>
        <v/>
      </c>
      <c r="K605" s="69" t="str">
        <f t="shared" si="6"/>
        <v/>
      </c>
      <c r="L605" s="60" t="str">
        <f t="shared" si="7"/>
        <v/>
      </c>
      <c r="M605" s="61" t="str">
        <f>IFERROR(__xludf.DUMMYFUNCTION("IFS(AND(COUNTA(C605:C1644)=0,COUNTA(Q605:Q1644)=0),"""",OR(AND(K605&gt;=1000000000,OR(Y605&gt;=1000000000,COUNTA(Q605:Q1644)=0)),OR(Y605&gt;=1000000000,AND(COUNTA(C605:C1644)=0,P$3=TRUE))),
ROUNDDOWN((AB$1-AC$1)*MAX(INDEX(T$4:T1644,MATCH(LARGE(FILTER(Y$4:Y1644,Y$4"&amp;":Y1644&lt;1000000000),1),Y$4:Y1644)),INDEX(F$4:F1644,MATCH(LARGE(FILTER(K$4:K1644,K$4:K1644&lt;1000000000),1),K$4:K1644)))),AND(K605&lt;1000000000,COUNTA(C605:C1644)&gt;0,P$3=FALSE),
ROUNDDOWN(INDEX(Y$4:Y1644,MATCH(LARGE(FILTER(W$4:W1644,W$4:W1644&lt;=I605),1),W$4:W1644"&amp;"))+(I605-LARGE(FILTER(W$4:W1644,W$4:W1644&lt;=I605),1))*INDEX(T$4:T1644,MATCH(LARGE(FILTER(W$4:W1644,W$4:W1644&lt;=I605),1),W$4:W1644))-K605),1,
ROUNDDOWN(Y605-INDEX(K$4:K1644,MATCH(LARGE(FILTER(I$4:I1644,I$4:I1644&lt;=W605),1),I$4:I1644))-(W605-LARGE(FILTER(I$4:I"&amp;"1644,I$4:I1644&lt;=W605),1))*INDEX(F$4:F1644,MATCH(LARGE(FILTER(I$4:I1644,I$4:I1644&lt;=W605),1),I$4:I1644))))"),"")</f>
        <v/>
      </c>
      <c r="N605" s="60" t="str">
        <f t="shared" si="8"/>
        <v/>
      </c>
      <c r="O605" s="61" t="str">
        <f t="shared" si="9"/>
        <v/>
      </c>
      <c r="P605" s="56" t="str">
        <f t="shared" si="10"/>
        <v/>
      </c>
      <c r="Q605" s="105"/>
      <c r="R605" s="10"/>
      <c r="S605" s="59" t="str">
        <f t="array" ref="S605">IF(COUNTA(Q605:Q1644)=0,"",SUM((COUNTIF(Q$4:Q605,Upgrades!$B$3:$B$13)-COUNTIF(Q$4:Q605,"Sell_"&amp;Upgrades!$B$3:$B$13))*Upgrades!$D$3:$D$13))</f>
        <v/>
      </c>
      <c r="T605" s="66" t="str">
        <f>IFERROR(__xludf.DUMMYFUNCTION("IF(COUNTA(Q605:Q1644)=0,"""",IF(REGEXMATCH(INDEX(FILTER(Q$4:Q605,Q$4:Q605&lt;&gt;""""),ROWS(FILTER(Q$4:Q605,Q$4:Q605&lt;&gt;""""))),""^Sell_""),INDEX(FILTER(T$4:T604,Q$4:Q604&lt;&gt;""""),ROWS(FILTER(Q$4:Q604,Q$4:Q604&lt;&gt;""""))),$AD$5+S605))"),"")</f>
        <v/>
      </c>
      <c r="U605" s="10" t="str">
        <f>IFERROR(__xludf.DUMMYFUNCTION("IF(COUNTA(Q605:Q1644)=0,"""",IF(Q605="""",0,IF(REGEXMATCH(Q605,""^Sell_""),-ROUNDDOWN(ROUNDUP(INDEX(Upgrades!$C$3:$C$13,MATCH(SUBSTITUTE(Q605,""Sell_"",""""),Upgrades!$B$3:$B$13,0))*1.15^(COUNTIF(Q$4:Q604,SUBSTITUTE(Q605,""Sell_"",""""))-COUNTIF(Q$4:Q604,"&amp;"""Sell_""&amp;SUBSTITUTE(Q605,""Sell_"",""""))))/2),ROUNDUP(INDEX(Upgrades!$C$3:$C$13,MATCH(Q605,Upgrades!$B$3:$B$13,0))*1.15^(COUNTIF(Q$4:Q604,Q605)-COUNTIF(Q$4:Q604,""Sell_""&amp;Q605))))))"),"")</f>
        <v/>
      </c>
      <c r="V605" s="10" t="str">
        <f t="shared" si="11"/>
        <v/>
      </c>
      <c r="W605" s="68" t="str">
        <f t="shared" si="12"/>
        <v/>
      </c>
      <c r="X605" s="59" t="str">
        <f t="shared" si="13"/>
        <v/>
      </c>
      <c r="Y605" s="69" t="str">
        <f t="shared" si="14"/>
        <v/>
      </c>
      <c r="Z605" s="11"/>
      <c r="AG605" s="59"/>
    </row>
    <row r="606">
      <c r="A606" s="8"/>
      <c r="B606" s="56" t="str">
        <f t="shared" si="2"/>
        <v/>
      </c>
      <c r="C606" s="105"/>
      <c r="D606" s="10"/>
      <c r="E606" s="59" t="str">
        <f t="array" ref="E606">IF(COUNTA(C606:C1644)=0,"",SUM((COUNTIF(C$4:C606,Upgrades!$B$3:$B$13)-COUNTIF(C$4:C606,"Sell_"&amp;Upgrades!$B$3:$B$13))*Upgrades!$D$3:$D$13))</f>
        <v/>
      </c>
      <c r="F606" s="66" t="str">
        <f>IFERROR(__xludf.DUMMYFUNCTION("IF(COUNTA(C606:C1644)=0,"""",IF(REGEXMATCH(INDEX(FILTER(C$4:C606,C$4:C606&lt;&gt;""""),ROWS(FILTER(C$4:C606,C$4:C606&lt;&gt;""""))),""^Sell_""),INDEX(FILTER(F$4:F605,C$4:C605&lt;&gt;""""),ROWS(FILTER(C$4:C605,C$4:C605&lt;&gt;""""))),$AC$5+E606))"),"")</f>
        <v/>
      </c>
      <c r="G606" s="10" t="str">
        <f>IFERROR(__xludf.DUMMYFUNCTION("IF(COUNTA(C606:C1644)=0,"""",IF(C606="""",0,IF(REGEXMATCH(C606,""^Sell_""),-ROUNDDOWN(ROUNDUP(INDEX(Upgrades!$C$3:$C$13,MATCH(SUBSTITUTE(C606,""Sell_"",""""),Upgrades!$B$3:$B$13,0))*1.15^(COUNTIF(C$4:C605,SUBSTITUTE(C606,""Sell_"",""""))-COUNTIF(C$4:C605,"&amp;"""Sell_""&amp;SUBSTITUTE(C606,""Sell_"",""""))))/2),ROUNDUP(INDEX(Upgrades!$C$3:$C$13,MATCH(C606,Upgrades!$B$3:$B$13,0))*1.15^(COUNTIF(C$4:C605,C606)-COUNTIF(C$4:C605,""Sell_""&amp;C606))))))"),"")</f>
        <v/>
      </c>
      <c r="H606" s="10" t="str">
        <f t="shared" si="3"/>
        <v/>
      </c>
      <c r="I606" s="68" t="str">
        <f t="shared" si="4"/>
        <v/>
      </c>
      <c r="J606" s="59" t="str">
        <f t="shared" si="5"/>
        <v/>
      </c>
      <c r="K606" s="69" t="str">
        <f t="shared" si="6"/>
        <v/>
      </c>
      <c r="L606" s="60" t="str">
        <f t="shared" si="7"/>
        <v/>
      </c>
      <c r="M606" s="61" t="str">
        <f>IFERROR(__xludf.DUMMYFUNCTION("IFS(AND(COUNTA(C606:C1644)=0,COUNTA(Q606:Q1644)=0),"""",OR(AND(K606&gt;=1000000000,OR(Y606&gt;=1000000000,COUNTA(Q606:Q1644)=0)),OR(Y606&gt;=1000000000,AND(COUNTA(C606:C1644)=0,P$3=TRUE))),
ROUNDDOWN((AB$1-AC$1)*MAX(INDEX(T$4:T1644,MATCH(LARGE(FILTER(Y$4:Y1644,Y$4"&amp;":Y1644&lt;1000000000),1),Y$4:Y1644)),INDEX(F$4:F1644,MATCH(LARGE(FILTER(K$4:K1644,K$4:K1644&lt;1000000000),1),K$4:K1644)))),AND(K606&lt;1000000000,COUNTA(C606:C1644)&gt;0,P$3=FALSE),
ROUNDDOWN(INDEX(Y$4:Y1644,MATCH(LARGE(FILTER(W$4:W1644,W$4:W1644&lt;=I606),1),W$4:W1644"&amp;"))+(I606-LARGE(FILTER(W$4:W1644,W$4:W1644&lt;=I606),1))*INDEX(T$4:T1644,MATCH(LARGE(FILTER(W$4:W1644,W$4:W1644&lt;=I606),1),W$4:W1644))-K606),1,
ROUNDDOWN(Y606-INDEX(K$4:K1644,MATCH(LARGE(FILTER(I$4:I1644,I$4:I1644&lt;=W606),1),I$4:I1644))-(W606-LARGE(FILTER(I$4:I"&amp;"1644,I$4:I1644&lt;=W606),1))*INDEX(F$4:F1644,MATCH(LARGE(FILTER(I$4:I1644,I$4:I1644&lt;=W606),1),I$4:I1644))))"),"")</f>
        <v/>
      </c>
      <c r="N606" s="60" t="str">
        <f t="shared" si="8"/>
        <v/>
      </c>
      <c r="O606" s="61" t="str">
        <f t="shared" si="9"/>
        <v/>
      </c>
      <c r="P606" s="56" t="str">
        <f t="shared" si="10"/>
        <v/>
      </c>
      <c r="Q606" s="105"/>
      <c r="R606" s="10"/>
      <c r="S606" s="59" t="str">
        <f t="array" ref="S606">IF(COUNTA(Q606:Q1644)=0,"",SUM((COUNTIF(Q$4:Q606,Upgrades!$B$3:$B$13)-COUNTIF(Q$4:Q606,"Sell_"&amp;Upgrades!$B$3:$B$13))*Upgrades!$D$3:$D$13))</f>
        <v/>
      </c>
      <c r="T606" s="66" t="str">
        <f>IFERROR(__xludf.DUMMYFUNCTION("IF(COUNTA(Q606:Q1644)=0,"""",IF(REGEXMATCH(INDEX(FILTER(Q$4:Q606,Q$4:Q606&lt;&gt;""""),ROWS(FILTER(Q$4:Q606,Q$4:Q606&lt;&gt;""""))),""^Sell_""),INDEX(FILTER(T$4:T605,Q$4:Q605&lt;&gt;""""),ROWS(FILTER(Q$4:Q605,Q$4:Q605&lt;&gt;""""))),$AD$5+S606))"),"")</f>
        <v/>
      </c>
      <c r="U606" s="10" t="str">
        <f>IFERROR(__xludf.DUMMYFUNCTION("IF(COUNTA(Q606:Q1644)=0,"""",IF(Q606="""",0,IF(REGEXMATCH(Q606,""^Sell_""),-ROUNDDOWN(ROUNDUP(INDEX(Upgrades!$C$3:$C$13,MATCH(SUBSTITUTE(Q606,""Sell_"",""""),Upgrades!$B$3:$B$13,0))*1.15^(COUNTIF(Q$4:Q605,SUBSTITUTE(Q606,""Sell_"",""""))-COUNTIF(Q$4:Q605,"&amp;"""Sell_""&amp;SUBSTITUTE(Q606,""Sell_"",""""))))/2),ROUNDUP(INDEX(Upgrades!$C$3:$C$13,MATCH(Q606,Upgrades!$B$3:$B$13,0))*1.15^(COUNTIF(Q$4:Q605,Q606)-COUNTIF(Q$4:Q605,""Sell_""&amp;Q606))))))"),"")</f>
        <v/>
      </c>
      <c r="V606" s="10" t="str">
        <f t="shared" si="11"/>
        <v/>
      </c>
      <c r="W606" s="68" t="str">
        <f t="shared" si="12"/>
        <v/>
      </c>
      <c r="X606" s="59" t="str">
        <f t="shared" si="13"/>
        <v/>
      </c>
      <c r="Y606" s="69" t="str">
        <f t="shared" si="14"/>
        <v/>
      </c>
      <c r="Z606" s="11"/>
      <c r="AG606" s="59"/>
    </row>
    <row r="607">
      <c r="A607" s="8"/>
      <c r="B607" s="56" t="str">
        <f t="shared" si="2"/>
        <v/>
      </c>
      <c r="C607" s="105"/>
      <c r="D607" s="10"/>
      <c r="E607" s="59" t="str">
        <f t="array" ref="E607">IF(COUNTA(C607:C1644)=0,"",SUM((COUNTIF(C$4:C607,Upgrades!$B$3:$B$13)-COUNTIF(C$4:C607,"Sell_"&amp;Upgrades!$B$3:$B$13))*Upgrades!$D$3:$D$13))</f>
        <v/>
      </c>
      <c r="F607" s="66" t="str">
        <f>IFERROR(__xludf.DUMMYFUNCTION("IF(COUNTA(C607:C1644)=0,"""",IF(REGEXMATCH(INDEX(FILTER(C$4:C607,C$4:C607&lt;&gt;""""),ROWS(FILTER(C$4:C607,C$4:C607&lt;&gt;""""))),""^Sell_""),INDEX(FILTER(F$4:F606,C$4:C606&lt;&gt;""""),ROWS(FILTER(C$4:C606,C$4:C606&lt;&gt;""""))),$AC$5+E607))"),"")</f>
        <v/>
      </c>
      <c r="G607" s="10" t="str">
        <f>IFERROR(__xludf.DUMMYFUNCTION("IF(COUNTA(C607:C1644)=0,"""",IF(C607="""",0,IF(REGEXMATCH(C607,""^Sell_""),-ROUNDDOWN(ROUNDUP(INDEX(Upgrades!$C$3:$C$13,MATCH(SUBSTITUTE(C607,""Sell_"",""""),Upgrades!$B$3:$B$13,0))*1.15^(COUNTIF(C$4:C606,SUBSTITUTE(C607,""Sell_"",""""))-COUNTIF(C$4:C606,"&amp;"""Sell_""&amp;SUBSTITUTE(C607,""Sell_"",""""))))/2),ROUNDUP(INDEX(Upgrades!$C$3:$C$13,MATCH(C607,Upgrades!$B$3:$B$13,0))*1.15^(COUNTIF(C$4:C606,C607)-COUNTIF(C$4:C606,""Sell_""&amp;C607))))))"),"")</f>
        <v/>
      </c>
      <c r="H607" s="10" t="str">
        <f t="shared" si="3"/>
        <v/>
      </c>
      <c r="I607" s="68" t="str">
        <f t="shared" si="4"/>
        <v/>
      </c>
      <c r="J607" s="59" t="str">
        <f t="shared" si="5"/>
        <v/>
      </c>
      <c r="K607" s="69" t="str">
        <f t="shared" si="6"/>
        <v/>
      </c>
      <c r="L607" s="60" t="str">
        <f t="shared" si="7"/>
        <v/>
      </c>
      <c r="M607" s="61" t="str">
        <f>IFERROR(__xludf.DUMMYFUNCTION("IFS(AND(COUNTA(C607:C1644)=0,COUNTA(Q607:Q1644)=0),"""",OR(AND(K607&gt;=1000000000,OR(Y607&gt;=1000000000,COUNTA(Q607:Q1644)=0)),OR(Y607&gt;=1000000000,AND(COUNTA(C607:C1644)=0,P$3=TRUE))),
ROUNDDOWN((AB$1-AC$1)*MAX(INDEX(T$4:T1644,MATCH(LARGE(FILTER(Y$4:Y1644,Y$4"&amp;":Y1644&lt;1000000000),1),Y$4:Y1644)),INDEX(F$4:F1644,MATCH(LARGE(FILTER(K$4:K1644,K$4:K1644&lt;1000000000),1),K$4:K1644)))),AND(K607&lt;1000000000,COUNTA(C607:C1644)&gt;0,P$3=FALSE),
ROUNDDOWN(INDEX(Y$4:Y1644,MATCH(LARGE(FILTER(W$4:W1644,W$4:W1644&lt;=I607),1),W$4:W1644"&amp;"))+(I607-LARGE(FILTER(W$4:W1644,W$4:W1644&lt;=I607),1))*INDEX(T$4:T1644,MATCH(LARGE(FILTER(W$4:W1644,W$4:W1644&lt;=I607),1),W$4:W1644))-K607),1,
ROUNDDOWN(Y607-INDEX(K$4:K1644,MATCH(LARGE(FILTER(I$4:I1644,I$4:I1644&lt;=W607),1),I$4:I1644))-(W607-LARGE(FILTER(I$4:I"&amp;"1644,I$4:I1644&lt;=W607),1))*INDEX(F$4:F1644,MATCH(LARGE(FILTER(I$4:I1644,I$4:I1644&lt;=W607),1),I$4:I1644))))"),"")</f>
        <v/>
      </c>
      <c r="N607" s="60" t="str">
        <f t="shared" si="8"/>
        <v/>
      </c>
      <c r="O607" s="61" t="str">
        <f t="shared" si="9"/>
        <v/>
      </c>
      <c r="P607" s="56" t="str">
        <f t="shared" si="10"/>
        <v/>
      </c>
      <c r="Q607" s="105"/>
      <c r="R607" s="10"/>
      <c r="S607" s="59" t="str">
        <f t="array" ref="S607">IF(COUNTA(Q607:Q1644)=0,"",SUM((COUNTIF(Q$4:Q607,Upgrades!$B$3:$B$13)-COUNTIF(Q$4:Q607,"Sell_"&amp;Upgrades!$B$3:$B$13))*Upgrades!$D$3:$D$13))</f>
        <v/>
      </c>
      <c r="T607" s="66" t="str">
        <f>IFERROR(__xludf.DUMMYFUNCTION("IF(COUNTA(Q607:Q1644)=0,"""",IF(REGEXMATCH(INDEX(FILTER(Q$4:Q607,Q$4:Q607&lt;&gt;""""),ROWS(FILTER(Q$4:Q607,Q$4:Q607&lt;&gt;""""))),""^Sell_""),INDEX(FILTER(T$4:T606,Q$4:Q606&lt;&gt;""""),ROWS(FILTER(Q$4:Q606,Q$4:Q606&lt;&gt;""""))),$AD$5+S607))"),"")</f>
        <v/>
      </c>
      <c r="U607" s="10" t="str">
        <f>IFERROR(__xludf.DUMMYFUNCTION("IF(COUNTA(Q607:Q1644)=0,"""",IF(Q607="""",0,IF(REGEXMATCH(Q607,""^Sell_""),-ROUNDDOWN(ROUNDUP(INDEX(Upgrades!$C$3:$C$13,MATCH(SUBSTITUTE(Q607,""Sell_"",""""),Upgrades!$B$3:$B$13,0))*1.15^(COUNTIF(Q$4:Q606,SUBSTITUTE(Q607,""Sell_"",""""))-COUNTIF(Q$4:Q606,"&amp;"""Sell_""&amp;SUBSTITUTE(Q607,""Sell_"",""""))))/2),ROUNDUP(INDEX(Upgrades!$C$3:$C$13,MATCH(Q607,Upgrades!$B$3:$B$13,0))*1.15^(COUNTIF(Q$4:Q606,Q607)-COUNTIF(Q$4:Q606,""Sell_""&amp;Q607))))))"),"")</f>
        <v/>
      </c>
      <c r="V607" s="10" t="str">
        <f t="shared" si="11"/>
        <v/>
      </c>
      <c r="W607" s="68" t="str">
        <f t="shared" si="12"/>
        <v/>
      </c>
      <c r="X607" s="59" t="str">
        <f t="shared" si="13"/>
        <v/>
      </c>
      <c r="Y607" s="69" t="str">
        <f t="shared" si="14"/>
        <v/>
      </c>
      <c r="Z607" s="11"/>
      <c r="AG607" s="59"/>
    </row>
    <row r="608">
      <c r="A608" s="8"/>
      <c r="B608" s="56" t="str">
        <f t="shared" si="2"/>
        <v/>
      </c>
      <c r="C608" s="105"/>
      <c r="D608" s="10"/>
      <c r="E608" s="59" t="str">
        <f t="array" ref="E608">IF(COUNTA(C608:C1644)=0,"",SUM((COUNTIF(C$4:C608,Upgrades!$B$3:$B$13)-COUNTIF(C$4:C608,"Sell_"&amp;Upgrades!$B$3:$B$13))*Upgrades!$D$3:$D$13))</f>
        <v/>
      </c>
      <c r="F608" s="66" t="str">
        <f>IFERROR(__xludf.DUMMYFUNCTION("IF(COUNTA(C608:C1644)=0,"""",IF(REGEXMATCH(INDEX(FILTER(C$4:C608,C$4:C608&lt;&gt;""""),ROWS(FILTER(C$4:C608,C$4:C608&lt;&gt;""""))),""^Sell_""),INDEX(FILTER(F$4:F607,C$4:C607&lt;&gt;""""),ROWS(FILTER(C$4:C607,C$4:C607&lt;&gt;""""))),$AC$5+E608))"),"")</f>
        <v/>
      </c>
      <c r="G608" s="10" t="str">
        <f>IFERROR(__xludf.DUMMYFUNCTION("IF(COUNTA(C608:C1644)=0,"""",IF(C608="""",0,IF(REGEXMATCH(C608,""^Sell_""),-ROUNDDOWN(ROUNDUP(INDEX(Upgrades!$C$3:$C$13,MATCH(SUBSTITUTE(C608,""Sell_"",""""),Upgrades!$B$3:$B$13,0))*1.15^(COUNTIF(C$4:C607,SUBSTITUTE(C608,""Sell_"",""""))-COUNTIF(C$4:C607,"&amp;"""Sell_""&amp;SUBSTITUTE(C608,""Sell_"",""""))))/2),ROUNDUP(INDEX(Upgrades!$C$3:$C$13,MATCH(C608,Upgrades!$B$3:$B$13,0))*1.15^(COUNTIF(C$4:C607,C608)-COUNTIF(C$4:C607,""Sell_""&amp;C608))))))"),"")</f>
        <v/>
      </c>
      <c r="H608" s="10" t="str">
        <f t="shared" si="3"/>
        <v/>
      </c>
      <c r="I608" s="68" t="str">
        <f t="shared" si="4"/>
        <v/>
      </c>
      <c r="J608" s="59" t="str">
        <f t="shared" si="5"/>
        <v/>
      </c>
      <c r="K608" s="69" t="str">
        <f t="shared" si="6"/>
        <v/>
      </c>
      <c r="L608" s="60" t="str">
        <f t="shared" si="7"/>
        <v/>
      </c>
      <c r="M608" s="61" t="str">
        <f>IFERROR(__xludf.DUMMYFUNCTION("IFS(AND(COUNTA(C608:C1644)=0,COUNTA(Q608:Q1644)=0),"""",OR(AND(K608&gt;=1000000000,OR(Y608&gt;=1000000000,COUNTA(Q608:Q1644)=0)),OR(Y608&gt;=1000000000,AND(COUNTA(C608:C1644)=0,P$3=TRUE))),
ROUNDDOWN((AB$1-AC$1)*MAX(INDEX(T$4:T1644,MATCH(LARGE(FILTER(Y$4:Y1644,Y$4"&amp;":Y1644&lt;1000000000),1),Y$4:Y1644)),INDEX(F$4:F1644,MATCH(LARGE(FILTER(K$4:K1644,K$4:K1644&lt;1000000000),1),K$4:K1644)))),AND(K608&lt;1000000000,COUNTA(C608:C1644)&gt;0,P$3=FALSE),
ROUNDDOWN(INDEX(Y$4:Y1644,MATCH(LARGE(FILTER(W$4:W1644,W$4:W1644&lt;=I608),1),W$4:W1644"&amp;"))+(I608-LARGE(FILTER(W$4:W1644,W$4:W1644&lt;=I608),1))*INDEX(T$4:T1644,MATCH(LARGE(FILTER(W$4:W1644,W$4:W1644&lt;=I608),1),W$4:W1644))-K608),1,
ROUNDDOWN(Y608-INDEX(K$4:K1644,MATCH(LARGE(FILTER(I$4:I1644,I$4:I1644&lt;=W608),1),I$4:I1644))-(W608-LARGE(FILTER(I$4:I"&amp;"1644,I$4:I1644&lt;=W608),1))*INDEX(F$4:F1644,MATCH(LARGE(FILTER(I$4:I1644,I$4:I1644&lt;=W608),1),I$4:I1644))))"),"")</f>
        <v/>
      </c>
      <c r="N608" s="60" t="str">
        <f t="shared" si="8"/>
        <v/>
      </c>
      <c r="O608" s="61" t="str">
        <f t="shared" si="9"/>
        <v/>
      </c>
      <c r="P608" s="56" t="str">
        <f t="shared" si="10"/>
        <v/>
      </c>
      <c r="Q608" s="105"/>
      <c r="R608" s="10"/>
      <c r="S608" s="59" t="str">
        <f t="array" ref="S608">IF(COUNTA(Q608:Q1644)=0,"",SUM((COUNTIF(Q$4:Q608,Upgrades!$B$3:$B$13)-COUNTIF(Q$4:Q608,"Sell_"&amp;Upgrades!$B$3:$B$13))*Upgrades!$D$3:$D$13))</f>
        <v/>
      </c>
      <c r="T608" s="66" t="str">
        <f>IFERROR(__xludf.DUMMYFUNCTION("IF(COUNTA(Q608:Q1644)=0,"""",IF(REGEXMATCH(INDEX(FILTER(Q$4:Q608,Q$4:Q608&lt;&gt;""""),ROWS(FILTER(Q$4:Q608,Q$4:Q608&lt;&gt;""""))),""^Sell_""),INDEX(FILTER(T$4:T607,Q$4:Q607&lt;&gt;""""),ROWS(FILTER(Q$4:Q607,Q$4:Q607&lt;&gt;""""))),$AD$5+S608))"),"")</f>
        <v/>
      </c>
      <c r="U608" s="10" t="str">
        <f>IFERROR(__xludf.DUMMYFUNCTION("IF(COUNTA(Q608:Q1644)=0,"""",IF(Q608="""",0,IF(REGEXMATCH(Q608,""^Sell_""),-ROUNDDOWN(ROUNDUP(INDEX(Upgrades!$C$3:$C$13,MATCH(SUBSTITUTE(Q608,""Sell_"",""""),Upgrades!$B$3:$B$13,0))*1.15^(COUNTIF(Q$4:Q607,SUBSTITUTE(Q608,""Sell_"",""""))-COUNTIF(Q$4:Q607,"&amp;"""Sell_""&amp;SUBSTITUTE(Q608,""Sell_"",""""))))/2),ROUNDUP(INDEX(Upgrades!$C$3:$C$13,MATCH(Q608,Upgrades!$B$3:$B$13,0))*1.15^(COUNTIF(Q$4:Q607,Q608)-COUNTIF(Q$4:Q607,""Sell_""&amp;Q608))))))"),"")</f>
        <v/>
      </c>
      <c r="V608" s="10" t="str">
        <f t="shared" si="11"/>
        <v/>
      </c>
      <c r="W608" s="68" t="str">
        <f t="shared" si="12"/>
        <v/>
      </c>
      <c r="X608" s="59" t="str">
        <f t="shared" si="13"/>
        <v/>
      </c>
      <c r="Y608" s="69" t="str">
        <f t="shared" si="14"/>
        <v/>
      </c>
      <c r="Z608" s="11"/>
      <c r="AG608" s="59"/>
    </row>
    <row r="609">
      <c r="A609" s="8"/>
      <c r="B609" s="56" t="str">
        <f t="shared" si="2"/>
        <v/>
      </c>
      <c r="C609" s="105"/>
      <c r="D609" s="10"/>
      <c r="E609" s="59" t="str">
        <f t="array" ref="E609">IF(COUNTA(C609:C1644)=0,"",SUM((COUNTIF(C$4:C609,Upgrades!$B$3:$B$13)-COUNTIF(C$4:C609,"Sell_"&amp;Upgrades!$B$3:$B$13))*Upgrades!$D$3:$D$13))</f>
        <v/>
      </c>
      <c r="F609" s="66" t="str">
        <f>IFERROR(__xludf.DUMMYFUNCTION("IF(COUNTA(C609:C1644)=0,"""",IF(REGEXMATCH(INDEX(FILTER(C$4:C609,C$4:C609&lt;&gt;""""),ROWS(FILTER(C$4:C609,C$4:C609&lt;&gt;""""))),""^Sell_""),INDEX(FILTER(F$4:F608,C$4:C608&lt;&gt;""""),ROWS(FILTER(C$4:C608,C$4:C608&lt;&gt;""""))),$AC$5+E609))"),"")</f>
        <v/>
      </c>
      <c r="G609" s="10" t="str">
        <f>IFERROR(__xludf.DUMMYFUNCTION("IF(COUNTA(C609:C1644)=0,"""",IF(C609="""",0,IF(REGEXMATCH(C609,""^Sell_""),-ROUNDDOWN(ROUNDUP(INDEX(Upgrades!$C$3:$C$13,MATCH(SUBSTITUTE(C609,""Sell_"",""""),Upgrades!$B$3:$B$13,0))*1.15^(COUNTIF(C$4:C608,SUBSTITUTE(C609,""Sell_"",""""))-COUNTIF(C$4:C608,"&amp;"""Sell_""&amp;SUBSTITUTE(C609,""Sell_"",""""))))/2),ROUNDUP(INDEX(Upgrades!$C$3:$C$13,MATCH(C609,Upgrades!$B$3:$B$13,0))*1.15^(COUNTIF(C$4:C608,C609)-COUNTIF(C$4:C608,""Sell_""&amp;C609))))))"),"")</f>
        <v/>
      </c>
      <c r="H609" s="10" t="str">
        <f t="shared" si="3"/>
        <v/>
      </c>
      <c r="I609" s="68" t="str">
        <f t="shared" si="4"/>
        <v/>
      </c>
      <c r="J609" s="59" t="str">
        <f t="shared" si="5"/>
        <v/>
      </c>
      <c r="K609" s="69" t="str">
        <f t="shared" si="6"/>
        <v/>
      </c>
      <c r="L609" s="60" t="str">
        <f t="shared" si="7"/>
        <v/>
      </c>
      <c r="M609" s="61" t="str">
        <f>IFERROR(__xludf.DUMMYFUNCTION("IFS(AND(COUNTA(C609:C1644)=0,COUNTA(Q609:Q1644)=0),"""",OR(AND(K609&gt;=1000000000,OR(Y609&gt;=1000000000,COUNTA(Q609:Q1644)=0)),OR(Y609&gt;=1000000000,AND(COUNTA(C609:C1644)=0,P$3=TRUE))),
ROUNDDOWN((AB$1-AC$1)*MAX(INDEX(T$4:T1644,MATCH(LARGE(FILTER(Y$4:Y1644,Y$4"&amp;":Y1644&lt;1000000000),1),Y$4:Y1644)),INDEX(F$4:F1644,MATCH(LARGE(FILTER(K$4:K1644,K$4:K1644&lt;1000000000),1),K$4:K1644)))),AND(K609&lt;1000000000,COUNTA(C609:C1644)&gt;0,P$3=FALSE),
ROUNDDOWN(INDEX(Y$4:Y1644,MATCH(LARGE(FILTER(W$4:W1644,W$4:W1644&lt;=I609),1),W$4:W1644"&amp;"))+(I609-LARGE(FILTER(W$4:W1644,W$4:W1644&lt;=I609),1))*INDEX(T$4:T1644,MATCH(LARGE(FILTER(W$4:W1644,W$4:W1644&lt;=I609),1),W$4:W1644))-K609),1,
ROUNDDOWN(Y609-INDEX(K$4:K1644,MATCH(LARGE(FILTER(I$4:I1644,I$4:I1644&lt;=W609),1),I$4:I1644))-(W609-LARGE(FILTER(I$4:I"&amp;"1644,I$4:I1644&lt;=W609),1))*INDEX(F$4:F1644,MATCH(LARGE(FILTER(I$4:I1644,I$4:I1644&lt;=W609),1),I$4:I1644))))"),"")</f>
        <v/>
      </c>
      <c r="N609" s="60" t="str">
        <f t="shared" si="8"/>
        <v/>
      </c>
      <c r="O609" s="61" t="str">
        <f t="shared" si="9"/>
        <v/>
      </c>
      <c r="P609" s="56" t="str">
        <f t="shared" si="10"/>
        <v/>
      </c>
      <c r="Q609" s="105"/>
      <c r="R609" s="10"/>
      <c r="S609" s="59" t="str">
        <f t="array" ref="S609">IF(COUNTA(Q609:Q1644)=0,"",SUM((COUNTIF(Q$4:Q609,Upgrades!$B$3:$B$13)-COUNTIF(Q$4:Q609,"Sell_"&amp;Upgrades!$B$3:$B$13))*Upgrades!$D$3:$D$13))</f>
        <v/>
      </c>
      <c r="T609" s="66" t="str">
        <f>IFERROR(__xludf.DUMMYFUNCTION("IF(COUNTA(Q609:Q1644)=0,"""",IF(REGEXMATCH(INDEX(FILTER(Q$4:Q609,Q$4:Q609&lt;&gt;""""),ROWS(FILTER(Q$4:Q609,Q$4:Q609&lt;&gt;""""))),""^Sell_""),INDEX(FILTER(T$4:T608,Q$4:Q608&lt;&gt;""""),ROWS(FILTER(Q$4:Q608,Q$4:Q608&lt;&gt;""""))),$AD$5+S609))"),"")</f>
        <v/>
      </c>
      <c r="U609" s="10" t="str">
        <f>IFERROR(__xludf.DUMMYFUNCTION("IF(COUNTA(Q609:Q1644)=0,"""",IF(Q609="""",0,IF(REGEXMATCH(Q609,""^Sell_""),-ROUNDDOWN(ROUNDUP(INDEX(Upgrades!$C$3:$C$13,MATCH(SUBSTITUTE(Q609,""Sell_"",""""),Upgrades!$B$3:$B$13,0))*1.15^(COUNTIF(Q$4:Q608,SUBSTITUTE(Q609,""Sell_"",""""))-COUNTIF(Q$4:Q608,"&amp;"""Sell_""&amp;SUBSTITUTE(Q609,""Sell_"",""""))))/2),ROUNDUP(INDEX(Upgrades!$C$3:$C$13,MATCH(Q609,Upgrades!$B$3:$B$13,0))*1.15^(COUNTIF(Q$4:Q608,Q609)-COUNTIF(Q$4:Q608,""Sell_""&amp;Q609))))))"),"")</f>
        <v/>
      </c>
      <c r="V609" s="10" t="str">
        <f t="shared" si="11"/>
        <v/>
      </c>
      <c r="W609" s="68" t="str">
        <f t="shared" si="12"/>
        <v/>
      </c>
      <c r="X609" s="59" t="str">
        <f t="shared" si="13"/>
        <v/>
      </c>
      <c r="Y609" s="69" t="str">
        <f t="shared" si="14"/>
        <v/>
      </c>
      <c r="Z609" s="11"/>
      <c r="AG609" s="59"/>
    </row>
    <row r="610">
      <c r="A610" s="8"/>
      <c r="B610" s="56" t="str">
        <f t="shared" si="2"/>
        <v/>
      </c>
      <c r="C610" s="105"/>
      <c r="D610" s="10"/>
      <c r="E610" s="59" t="str">
        <f t="array" ref="E610">IF(COUNTA(C610:C1644)=0,"",SUM((COUNTIF(C$4:C610,Upgrades!$B$3:$B$13)-COUNTIF(C$4:C610,"Sell_"&amp;Upgrades!$B$3:$B$13))*Upgrades!$D$3:$D$13))</f>
        <v/>
      </c>
      <c r="F610" s="66" t="str">
        <f>IFERROR(__xludf.DUMMYFUNCTION("IF(COUNTA(C610:C1644)=0,"""",IF(REGEXMATCH(INDEX(FILTER(C$4:C610,C$4:C610&lt;&gt;""""),ROWS(FILTER(C$4:C610,C$4:C610&lt;&gt;""""))),""^Sell_""),INDEX(FILTER(F$4:F609,C$4:C609&lt;&gt;""""),ROWS(FILTER(C$4:C609,C$4:C609&lt;&gt;""""))),$AC$5+E610))"),"")</f>
        <v/>
      </c>
      <c r="G610" s="10" t="str">
        <f>IFERROR(__xludf.DUMMYFUNCTION("IF(COUNTA(C610:C1644)=0,"""",IF(C610="""",0,IF(REGEXMATCH(C610,""^Sell_""),-ROUNDDOWN(ROUNDUP(INDEX(Upgrades!$C$3:$C$13,MATCH(SUBSTITUTE(C610,""Sell_"",""""),Upgrades!$B$3:$B$13,0))*1.15^(COUNTIF(C$4:C609,SUBSTITUTE(C610,""Sell_"",""""))-COUNTIF(C$4:C609,"&amp;"""Sell_""&amp;SUBSTITUTE(C610,""Sell_"",""""))))/2),ROUNDUP(INDEX(Upgrades!$C$3:$C$13,MATCH(C610,Upgrades!$B$3:$B$13,0))*1.15^(COUNTIF(C$4:C609,C610)-COUNTIF(C$4:C609,""Sell_""&amp;C610))))))"),"")</f>
        <v/>
      </c>
      <c r="H610" s="10" t="str">
        <f t="shared" si="3"/>
        <v/>
      </c>
      <c r="I610" s="68" t="str">
        <f t="shared" si="4"/>
        <v/>
      </c>
      <c r="J610" s="59" t="str">
        <f t="shared" si="5"/>
        <v/>
      </c>
      <c r="K610" s="69" t="str">
        <f t="shared" si="6"/>
        <v/>
      </c>
      <c r="L610" s="60" t="str">
        <f t="shared" si="7"/>
        <v/>
      </c>
      <c r="M610" s="61" t="str">
        <f>IFERROR(__xludf.DUMMYFUNCTION("IFS(AND(COUNTA(C610:C1644)=0,COUNTA(Q610:Q1644)=0),"""",OR(AND(K610&gt;=1000000000,OR(Y610&gt;=1000000000,COUNTA(Q610:Q1644)=0)),OR(Y610&gt;=1000000000,AND(COUNTA(C610:C1644)=0,P$3=TRUE))),
ROUNDDOWN((AB$1-AC$1)*MAX(INDEX(T$4:T1644,MATCH(LARGE(FILTER(Y$4:Y1644,Y$4"&amp;":Y1644&lt;1000000000),1),Y$4:Y1644)),INDEX(F$4:F1644,MATCH(LARGE(FILTER(K$4:K1644,K$4:K1644&lt;1000000000),1),K$4:K1644)))),AND(K610&lt;1000000000,COUNTA(C610:C1644)&gt;0,P$3=FALSE),
ROUNDDOWN(INDEX(Y$4:Y1644,MATCH(LARGE(FILTER(W$4:W1644,W$4:W1644&lt;=I610),1),W$4:W1644"&amp;"))+(I610-LARGE(FILTER(W$4:W1644,W$4:W1644&lt;=I610),1))*INDEX(T$4:T1644,MATCH(LARGE(FILTER(W$4:W1644,W$4:W1644&lt;=I610),1),W$4:W1644))-K610),1,
ROUNDDOWN(Y610-INDEX(K$4:K1644,MATCH(LARGE(FILTER(I$4:I1644,I$4:I1644&lt;=W610),1),I$4:I1644))-(W610-LARGE(FILTER(I$4:I"&amp;"1644,I$4:I1644&lt;=W610),1))*INDEX(F$4:F1644,MATCH(LARGE(FILTER(I$4:I1644,I$4:I1644&lt;=W610),1),I$4:I1644))))"),"")</f>
        <v/>
      </c>
      <c r="N610" s="60" t="str">
        <f t="shared" si="8"/>
        <v/>
      </c>
      <c r="O610" s="61" t="str">
        <f t="shared" si="9"/>
        <v/>
      </c>
      <c r="P610" s="56" t="str">
        <f t="shared" si="10"/>
        <v/>
      </c>
      <c r="Q610" s="105"/>
      <c r="R610" s="10"/>
      <c r="S610" s="59" t="str">
        <f t="array" ref="S610">IF(COUNTA(Q610:Q1644)=0,"",SUM((COUNTIF(Q$4:Q610,Upgrades!$B$3:$B$13)-COUNTIF(Q$4:Q610,"Sell_"&amp;Upgrades!$B$3:$B$13))*Upgrades!$D$3:$D$13))</f>
        <v/>
      </c>
      <c r="T610" s="66" t="str">
        <f>IFERROR(__xludf.DUMMYFUNCTION("IF(COUNTA(Q610:Q1644)=0,"""",IF(REGEXMATCH(INDEX(FILTER(Q$4:Q610,Q$4:Q610&lt;&gt;""""),ROWS(FILTER(Q$4:Q610,Q$4:Q610&lt;&gt;""""))),""^Sell_""),INDEX(FILTER(T$4:T609,Q$4:Q609&lt;&gt;""""),ROWS(FILTER(Q$4:Q609,Q$4:Q609&lt;&gt;""""))),$AD$5+S610))"),"")</f>
        <v/>
      </c>
      <c r="U610" s="10" t="str">
        <f>IFERROR(__xludf.DUMMYFUNCTION("IF(COUNTA(Q610:Q1644)=0,"""",IF(Q610="""",0,IF(REGEXMATCH(Q610,""^Sell_""),-ROUNDDOWN(ROUNDUP(INDEX(Upgrades!$C$3:$C$13,MATCH(SUBSTITUTE(Q610,""Sell_"",""""),Upgrades!$B$3:$B$13,0))*1.15^(COUNTIF(Q$4:Q609,SUBSTITUTE(Q610,""Sell_"",""""))-COUNTIF(Q$4:Q609,"&amp;"""Sell_""&amp;SUBSTITUTE(Q610,""Sell_"",""""))))/2),ROUNDUP(INDEX(Upgrades!$C$3:$C$13,MATCH(Q610,Upgrades!$B$3:$B$13,0))*1.15^(COUNTIF(Q$4:Q609,Q610)-COUNTIF(Q$4:Q609,""Sell_""&amp;Q610))))))"),"")</f>
        <v/>
      </c>
      <c r="V610" s="10" t="str">
        <f t="shared" si="11"/>
        <v/>
      </c>
      <c r="W610" s="68" t="str">
        <f t="shared" si="12"/>
        <v/>
      </c>
      <c r="X610" s="59" t="str">
        <f t="shared" si="13"/>
        <v/>
      </c>
      <c r="Y610" s="69" t="str">
        <f t="shared" si="14"/>
        <v/>
      </c>
      <c r="Z610" s="11"/>
      <c r="AG610" s="59"/>
    </row>
    <row r="611">
      <c r="A611" s="8"/>
      <c r="B611" s="56" t="str">
        <f t="shared" si="2"/>
        <v/>
      </c>
      <c r="C611" s="105"/>
      <c r="D611" s="10"/>
      <c r="E611" s="59" t="str">
        <f t="array" ref="E611">IF(COUNTA(C611:C1644)=0,"",SUM((COUNTIF(C$4:C611,Upgrades!$B$3:$B$13)-COUNTIF(C$4:C611,"Sell_"&amp;Upgrades!$B$3:$B$13))*Upgrades!$D$3:$D$13))</f>
        <v/>
      </c>
      <c r="F611" s="66" t="str">
        <f>IFERROR(__xludf.DUMMYFUNCTION("IF(COUNTA(C611:C1644)=0,"""",IF(REGEXMATCH(INDEX(FILTER(C$4:C611,C$4:C611&lt;&gt;""""),ROWS(FILTER(C$4:C611,C$4:C611&lt;&gt;""""))),""^Sell_""),INDEX(FILTER(F$4:F610,C$4:C610&lt;&gt;""""),ROWS(FILTER(C$4:C610,C$4:C610&lt;&gt;""""))),$AC$5+E611))"),"")</f>
        <v/>
      </c>
      <c r="G611" s="10" t="str">
        <f>IFERROR(__xludf.DUMMYFUNCTION("IF(COUNTA(C611:C1644)=0,"""",IF(C611="""",0,IF(REGEXMATCH(C611,""^Sell_""),-ROUNDDOWN(ROUNDUP(INDEX(Upgrades!$C$3:$C$13,MATCH(SUBSTITUTE(C611,""Sell_"",""""),Upgrades!$B$3:$B$13,0))*1.15^(COUNTIF(C$4:C610,SUBSTITUTE(C611,""Sell_"",""""))-COUNTIF(C$4:C610,"&amp;"""Sell_""&amp;SUBSTITUTE(C611,""Sell_"",""""))))/2),ROUNDUP(INDEX(Upgrades!$C$3:$C$13,MATCH(C611,Upgrades!$B$3:$B$13,0))*1.15^(COUNTIF(C$4:C610,C611)-COUNTIF(C$4:C610,""Sell_""&amp;C611))))))"),"")</f>
        <v/>
      </c>
      <c r="H611" s="10" t="str">
        <f t="shared" si="3"/>
        <v/>
      </c>
      <c r="I611" s="68" t="str">
        <f t="shared" si="4"/>
        <v/>
      </c>
      <c r="J611" s="59" t="str">
        <f t="shared" si="5"/>
        <v/>
      </c>
      <c r="K611" s="69" t="str">
        <f t="shared" si="6"/>
        <v/>
      </c>
      <c r="L611" s="60" t="str">
        <f t="shared" si="7"/>
        <v/>
      </c>
      <c r="M611" s="61" t="str">
        <f>IFERROR(__xludf.DUMMYFUNCTION("IFS(AND(COUNTA(C611:C1644)=0,COUNTA(Q611:Q1644)=0),"""",OR(AND(K611&gt;=1000000000,OR(Y611&gt;=1000000000,COUNTA(Q611:Q1644)=0)),OR(Y611&gt;=1000000000,AND(COUNTA(C611:C1644)=0,P$3=TRUE))),
ROUNDDOWN((AB$1-AC$1)*MAX(INDEX(T$4:T1644,MATCH(LARGE(FILTER(Y$4:Y1644,Y$4"&amp;":Y1644&lt;1000000000),1),Y$4:Y1644)),INDEX(F$4:F1644,MATCH(LARGE(FILTER(K$4:K1644,K$4:K1644&lt;1000000000),1),K$4:K1644)))),AND(K611&lt;1000000000,COUNTA(C611:C1644)&gt;0,P$3=FALSE),
ROUNDDOWN(INDEX(Y$4:Y1644,MATCH(LARGE(FILTER(W$4:W1644,W$4:W1644&lt;=I611),1),W$4:W1644"&amp;"))+(I611-LARGE(FILTER(W$4:W1644,W$4:W1644&lt;=I611),1))*INDEX(T$4:T1644,MATCH(LARGE(FILTER(W$4:W1644,W$4:W1644&lt;=I611),1),W$4:W1644))-K611),1,
ROUNDDOWN(Y611-INDEX(K$4:K1644,MATCH(LARGE(FILTER(I$4:I1644,I$4:I1644&lt;=W611),1),I$4:I1644))-(W611-LARGE(FILTER(I$4:I"&amp;"1644,I$4:I1644&lt;=W611),1))*INDEX(F$4:F1644,MATCH(LARGE(FILTER(I$4:I1644,I$4:I1644&lt;=W611),1),I$4:I1644))))"),"")</f>
        <v/>
      </c>
      <c r="N611" s="60" t="str">
        <f t="shared" si="8"/>
        <v/>
      </c>
      <c r="O611" s="61" t="str">
        <f t="shared" si="9"/>
        <v/>
      </c>
      <c r="P611" s="56" t="str">
        <f t="shared" si="10"/>
        <v/>
      </c>
      <c r="Q611" s="105"/>
      <c r="R611" s="10"/>
      <c r="S611" s="59" t="str">
        <f t="array" ref="S611">IF(COUNTA(Q611:Q1644)=0,"",SUM((COUNTIF(Q$4:Q611,Upgrades!$B$3:$B$13)-COUNTIF(Q$4:Q611,"Sell_"&amp;Upgrades!$B$3:$B$13))*Upgrades!$D$3:$D$13))</f>
        <v/>
      </c>
      <c r="T611" s="66" t="str">
        <f>IFERROR(__xludf.DUMMYFUNCTION("IF(COUNTA(Q611:Q1644)=0,"""",IF(REGEXMATCH(INDEX(FILTER(Q$4:Q611,Q$4:Q611&lt;&gt;""""),ROWS(FILTER(Q$4:Q611,Q$4:Q611&lt;&gt;""""))),""^Sell_""),INDEX(FILTER(T$4:T610,Q$4:Q610&lt;&gt;""""),ROWS(FILTER(Q$4:Q610,Q$4:Q610&lt;&gt;""""))),$AD$5+S611))"),"")</f>
        <v/>
      </c>
      <c r="U611" s="10" t="str">
        <f>IFERROR(__xludf.DUMMYFUNCTION("IF(COUNTA(Q611:Q1644)=0,"""",IF(Q611="""",0,IF(REGEXMATCH(Q611,""^Sell_""),-ROUNDDOWN(ROUNDUP(INDEX(Upgrades!$C$3:$C$13,MATCH(SUBSTITUTE(Q611,""Sell_"",""""),Upgrades!$B$3:$B$13,0))*1.15^(COUNTIF(Q$4:Q610,SUBSTITUTE(Q611,""Sell_"",""""))-COUNTIF(Q$4:Q610,"&amp;"""Sell_""&amp;SUBSTITUTE(Q611,""Sell_"",""""))))/2),ROUNDUP(INDEX(Upgrades!$C$3:$C$13,MATCH(Q611,Upgrades!$B$3:$B$13,0))*1.15^(COUNTIF(Q$4:Q610,Q611)-COUNTIF(Q$4:Q610,""Sell_""&amp;Q611))))))"),"")</f>
        <v/>
      </c>
      <c r="V611" s="10" t="str">
        <f t="shared" si="11"/>
        <v/>
      </c>
      <c r="W611" s="68" t="str">
        <f t="shared" si="12"/>
        <v/>
      </c>
      <c r="X611" s="59" t="str">
        <f t="shared" si="13"/>
        <v/>
      </c>
      <c r="Y611" s="69" t="str">
        <f t="shared" si="14"/>
        <v/>
      </c>
      <c r="Z611" s="11"/>
      <c r="AG611" s="59"/>
    </row>
    <row r="612">
      <c r="A612" s="8"/>
      <c r="B612" s="56" t="str">
        <f t="shared" si="2"/>
        <v/>
      </c>
      <c r="C612" s="105"/>
      <c r="D612" s="10"/>
      <c r="E612" s="59" t="str">
        <f t="array" ref="E612">IF(COUNTA(C612:C1644)=0,"",SUM((COUNTIF(C$4:C612,Upgrades!$B$3:$B$13)-COUNTIF(C$4:C612,"Sell_"&amp;Upgrades!$B$3:$B$13))*Upgrades!$D$3:$D$13))</f>
        <v/>
      </c>
      <c r="F612" s="66" t="str">
        <f>IFERROR(__xludf.DUMMYFUNCTION("IF(COUNTA(C612:C1644)=0,"""",IF(REGEXMATCH(INDEX(FILTER(C$4:C612,C$4:C612&lt;&gt;""""),ROWS(FILTER(C$4:C612,C$4:C612&lt;&gt;""""))),""^Sell_""),INDEX(FILTER(F$4:F611,C$4:C611&lt;&gt;""""),ROWS(FILTER(C$4:C611,C$4:C611&lt;&gt;""""))),$AC$5+E612))"),"")</f>
        <v/>
      </c>
      <c r="G612" s="10" t="str">
        <f>IFERROR(__xludf.DUMMYFUNCTION("IF(COUNTA(C612:C1644)=0,"""",IF(C612="""",0,IF(REGEXMATCH(C612,""^Sell_""),-ROUNDDOWN(ROUNDUP(INDEX(Upgrades!$C$3:$C$13,MATCH(SUBSTITUTE(C612,""Sell_"",""""),Upgrades!$B$3:$B$13,0))*1.15^(COUNTIF(C$4:C611,SUBSTITUTE(C612,""Sell_"",""""))-COUNTIF(C$4:C611,"&amp;"""Sell_""&amp;SUBSTITUTE(C612,""Sell_"",""""))))/2),ROUNDUP(INDEX(Upgrades!$C$3:$C$13,MATCH(C612,Upgrades!$B$3:$B$13,0))*1.15^(COUNTIF(C$4:C611,C612)-COUNTIF(C$4:C611,""Sell_""&amp;C612))))))"),"")</f>
        <v/>
      </c>
      <c r="H612" s="10" t="str">
        <f t="shared" si="3"/>
        <v/>
      </c>
      <c r="I612" s="68" t="str">
        <f t="shared" si="4"/>
        <v/>
      </c>
      <c r="J612" s="59" t="str">
        <f t="shared" si="5"/>
        <v/>
      </c>
      <c r="K612" s="69" t="str">
        <f t="shared" si="6"/>
        <v/>
      </c>
      <c r="L612" s="60" t="str">
        <f t="shared" si="7"/>
        <v/>
      </c>
      <c r="M612" s="61" t="str">
        <f>IFERROR(__xludf.DUMMYFUNCTION("IFS(AND(COUNTA(C612:C1644)=0,COUNTA(Q612:Q1644)=0),"""",OR(AND(K612&gt;=1000000000,OR(Y612&gt;=1000000000,COUNTA(Q612:Q1644)=0)),OR(Y612&gt;=1000000000,AND(COUNTA(C612:C1644)=0,P$3=TRUE))),
ROUNDDOWN((AB$1-AC$1)*MAX(INDEX(T$4:T1644,MATCH(LARGE(FILTER(Y$4:Y1644,Y$4"&amp;":Y1644&lt;1000000000),1),Y$4:Y1644)),INDEX(F$4:F1644,MATCH(LARGE(FILTER(K$4:K1644,K$4:K1644&lt;1000000000),1),K$4:K1644)))),AND(K612&lt;1000000000,COUNTA(C612:C1644)&gt;0,P$3=FALSE),
ROUNDDOWN(INDEX(Y$4:Y1644,MATCH(LARGE(FILTER(W$4:W1644,W$4:W1644&lt;=I612),1),W$4:W1644"&amp;"))+(I612-LARGE(FILTER(W$4:W1644,W$4:W1644&lt;=I612),1))*INDEX(T$4:T1644,MATCH(LARGE(FILTER(W$4:W1644,W$4:W1644&lt;=I612),1),W$4:W1644))-K612),1,
ROUNDDOWN(Y612-INDEX(K$4:K1644,MATCH(LARGE(FILTER(I$4:I1644,I$4:I1644&lt;=W612),1),I$4:I1644))-(W612-LARGE(FILTER(I$4:I"&amp;"1644,I$4:I1644&lt;=W612),1))*INDEX(F$4:F1644,MATCH(LARGE(FILTER(I$4:I1644,I$4:I1644&lt;=W612),1),I$4:I1644))))"),"")</f>
        <v/>
      </c>
      <c r="N612" s="60" t="str">
        <f t="shared" si="8"/>
        <v/>
      </c>
      <c r="O612" s="61" t="str">
        <f t="shared" si="9"/>
        <v/>
      </c>
      <c r="P612" s="56" t="str">
        <f t="shared" si="10"/>
        <v/>
      </c>
      <c r="Q612" s="105"/>
      <c r="R612" s="10"/>
      <c r="S612" s="59" t="str">
        <f t="array" ref="S612">IF(COUNTA(Q612:Q1644)=0,"",SUM((COUNTIF(Q$4:Q612,Upgrades!$B$3:$B$13)-COUNTIF(Q$4:Q612,"Sell_"&amp;Upgrades!$B$3:$B$13))*Upgrades!$D$3:$D$13))</f>
        <v/>
      </c>
      <c r="T612" s="66" t="str">
        <f>IFERROR(__xludf.DUMMYFUNCTION("IF(COUNTA(Q612:Q1644)=0,"""",IF(REGEXMATCH(INDEX(FILTER(Q$4:Q612,Q$4:Q612&lt;&gt;""""),ROWS(FILTER(Q$4:Q612,Q$4:Q612&lt;&gt;""""))),""^Sell_""),INDEX(FILTER(T$4:T611,Q$4:Q611&lt;&gt;""""),ROWS(FILTER(Q$4:Q611,Q$4:Q611&lt;&gt;""""))),$AD$5+S612))"),"")</f>
        <v/>
      </c>
      <c r="U612" s="10" t="str">
        <f>IFERROR(__xludf.DUMMYFUNCTION("IF(COUNTA(Q612:Q1644)=0,"""",IF(Q612="""",0,IF(REGEXMATCH(Q612,""^Sell_""),-ROUNDDOWN(ROUNDUP(INDEX(Upgrades!$C$3:$C$13,MATCH(SUBSTITUTE(Q612,""Sell_"",""""),Upgrades!$B$3:$B$13,0))*1.15^(COUNTIF(Q$4:Q611,SUBSTITUTE(Q612,""Sell_"",""""))-COUNTIF(Q$4:Q611,"&amp;"""Sell_""&amp;SUBSTITUTE(Q612,""Sell_"",""""))))/2),ROUNDUP(INDEX(Upgrades!$C$3:$C$13,MATCH(Q612,Upgrades!$B$3:$B$13,0))*1.15^(COUNTIF(Q$4:Q611,Q612)-COUNTIF(Q$4:Q611,""Sell_""&amp;Q612))))))"),"")</f>
        <v/>
      </c>
      <c r="V612" s="10" t="str">
        <f t="shared" si="11"/>
        <v/>
      </c>
      <c r="W612" s="68" t="str">
        <f t="shared" si="12"/>
        <v/>
      </c>
      <c r="X612" s="59" t="str">
        <f t="shared" si="13"/>
        <v/>
      </c>
      <c r="Y612" s="69" t="str">
        <f t="shared" si="14"/>
        <v/>
      </c>
      <c r="Z612" s="11"/>
      <c r="AG612" s="59"/>
    </row>
    <row r="613">
      <c r="A613" s="8"/>
      <c r="B613" s="56" t="str">
        <f t="shared" si="2"/>
        <v/>
      </c>
      <c r="C613" s="105"/>
      <c r="D613" s="10"/>
      <c r="E613" s="59" t="str">
        <f t="array" ref="E613">IF(COUNTA(C613:C1644)=0,"",SUM((COUNTIF(C$4:C613,Upgrades!$B$3:$B$13)-COUNTIF(C$4:C613,"Sell_"&amp;Upgrades!$B$3:$B$13))*Upgrades!$D$3:$D$13))</f>
        <v/>
      </c>
      <c r="F613" s="66" t="str">
        <f>IFERROR(__xludf.DUMMYFUNCTION("IF(COUNTA(C613:C1644)=0,"""",IF(REGEXMATCH(INDEX(FILTER(C$4:C613,C$4:C613&lt;&gt;""""),ROWS(FILTER(C$4:C613,C$4:C613&lt;&gt;""""))),""^Sell_""),INDEX(FILTER(F$4:F612,C$4:C612&lt;&gt;""""),ROWS(FILTER(C$4:C612,C$4:C612&lt;&gt;""""))),$AC$5+E613))"),"")</f>
        <v/>
      </c>
      <c r="G613" s="10" t="str">
        <f>IFERROR(__xludf.DUMMYFUNCTION("IF(COUNTA(C613:C1644)=0,"""",IF(C613="""",0,IF(REGEXMATCH(C613,""^Sell_""),-ROUNDDOWN(ROUNDUP(INDEX(Upgrades!$C$3:$C$13,MATCH(SUBSTITUTE(C613,""Sell_"",""""),Upgrades!$B$3:$B$13,0))*1.15^(COUNTIF(C$4:C612,SUBSTITUTE(C613,""Sell_"",""""))-COUNTIF(C$4:C612,"&amp;"""Sell_""&amp;SUBSTITUTE(C613,""Sell_"",""""))))/2),ROUNDUP(INDEX(Upgrades!$C$3:$C$13,MATCH(C613,Upgrades!$B$3:$B$13,0))*1.15^(COUNTIF(C$4:C612,C613)-COUNTIF(C$4:C612,""Sell_""&amp;C613))))))"),"")</f>
        <v/>
      </c>
      <c r="H613" s="10" t="str">
        <f t="shared" si="3"/>
        <v/>
      </c>
      <c r="I613" s="68" t="str">
        <f t="shared" si="4"/>
        <v/>
      </c>
      <c r="J613" s="59" t="str">
        <f t="shared" si="5"/>
        <v/>
      </c>
      <c r="K613" s="69" t="str">
        <f t="shared" si="6"/>
        <v/>
      </c>
      <c r="L613" s="60" t="str">
        <f t="shared" si="7"/>
        <v/>
      </c>
      <c r="M613" s="61" t="str">
        <f>IFERROR(__xludf.DUMMYFUNCTION("IFS(AND(COUNTA(C613:C1644)=0,COUNTA(Q613:Q1644)=0),"""",OR(AND(K613&gt;=1000000000,OR(Y613&gt;=1000000000,COUNTA(Q613:Q1644)=0)),OR(Y613&gt;=1000000000,AND(COUNTA(C613:C1644)=0,P$3=TRUE))),
ROUNDDOWN((AB$1-AC$1)*MAX(INDEX(T$4:T1644,MATCH(LARGE(FILTER(Y$4:Y1644,Y$4"&amp;":Y1644&lt;1000000000),1),Y$4:Y1644)),INDEX(F$4:F1644,MATCH(LARGE(FILTER(K$4:K1644,K$4:K1644&lt;1000000000),1),K$4:K1644)))),AND(K613&lt;1000000000,COUNTA(C613:C1644)&gt;0,P$3=FALSE),
ROUNDDOWN(INDEX(Y$4:Y1644,MATCH(LARGE(FILTER(W$4:W1644,W$4:W1644&lt;=I613),1),W$4:W1644"&amp;"))+(I613-LARGE(FILTER(W$4:W1644,W$4:W1644&lt;=I613),1))*INDEX(T$4:T1644,MATCH(LARGE(FILTER(W$4:W1644,W$4:W1644&lt;=I613),1),W$4:W1644))-K613),1,
ROUNDDOWN(Y613-INDEX(K$4:K1644,MATCH(LARGE(FILTER(I$4:I1644,I$4:I1644&lt;=W613),1),I$4:I1644))-(W613-LARGE(FILTER(I$4:I"&amp;"1644,I$4:I1644&lt;=W613),1))*INDEX(F$4:F1644,MATCH(LARGE(FILTER(I$4:I1644,I$4:I1644&lt;=W613),1),I$4:I1644))))"),"")</f>
        <v/>
      </c>
      <c r="N613" s="60" t="str">
        <f t="shared" si="8"/>
        <v/>
      </c>
      <c r="O613" s="61" t="str">
        <f t="shared" si="9"/>
        <v/>
      </c>
      <c r="P613" s="56" t="str">
        <f t="shared" si="10"/>
        <v/>
      </c>
      <c r="Q613" s="105"/>
      <c r="R613" s="10"/>
      <c r="S613" s="59" t="str">
        <f t="array" ref="S613">IF(COUNTA(Q613:Q1644)=0,"",SUM((COUNTIF(Q$4:Q613,Upgrades!$B$3:$B$13)-COUNTIF(Q$4:Q613,"Sell_"&amp;Upgrades!$B$3:$B$13))*Upgrades!$D$3:$D$13))</f>
        <v/>
      </c>
      <c r="T613" s="66" t="str">
        <f>IFERROR(__xludf.DUMMYFUNCTION("IF(COUNTA(Q613:Q1644)=0,"""",IF(REGEXMATCH(INDEX(FILTER(Q$4:Q613,Q$4:Q613&lt;&gt;""""),ROWS(FILTER(Q$4:Q613,Q$4:Q613&lt;&gt;""""))),""^Sell_""),INDEX(FILTER(T$4:T612,Q$4:Q612&lt;&gt;""""),ROWS(FILTER(Q$4:Q612,Q$4:Q612&lt;&gt;""""))),$AD$5+S613))"),"")</f>
        <v/>
      </c>
      <c r="U613" s="10" t="str">
        <f>IFERROR(__xludf.DUMMYFUNCTION("IF(COUNTA(Q613:Q1644)=0,"""",IF(Q613="""",0,IF(REGEXMATCH(Q613,""^Sell_""),-ROUNDDOWN(ROUNDUP(INDEX(Upgrades!$C$3:$C$13,MATCH(SUBSTITUTE(Q613,""Sell_"",""""),Upgrades!$B$3:$B$13,0))*1.15^(COUNTIF(Q$4:Q612,SUBSTITUTE(Q613,""Sell_"",""""))-COUNTIF(Q$4:Q612,"&amp;"""Sell_""&amp;SUBSTITUTE(Q613,""Sell_"",""""))))/2),ROUNDUP(INDEX(Upgrades!$C$3:$C$13,MATCH(Q613,Upgrades!$B$3:$B$13,0))*1.15^(COUNTIF(Q$4:Q612,Q613)-COUNTIF(Q$4:Q612,""Sell_""&amp;Q613))))))"),"")</f>
        <v/>
      </c>
      <c r="V613" s="10" t="str">
        <f t="shared" si="11"/>
        <v/>
      </c>
      <c r="W613" s="68" t="str">
        <f t="shared" si="12"/>
        <v/>
      </c>
      <c r="X613" s="59" t="str">
        <f t="shared" si="13"/>
        <v/>
      </c>
      <c r="Y613" s="69" t="str">
        <f t="shared" si="14"/>
        <v/>
      </c>
      <c r="Z613" s="11"/>
      <c r="AG613" s="59"/>
    </row>
    <row r="614">
      <c r="A614" s="8"/>
      <c r="B614" s="56" t="str">
        <f t="shared" si="2"/>
        <v/>
      </c>
      <c r="C614" s="105"/>
      <c r="D614" s="10"/>
      <c r="E614" s="59" t="str">
        <f t="array" ref="E614">IF(COUNTA(C614:C1644)=0,"",SUM((COUNTIF(C$4:C614,Upgrades!$B$3:$B$13)-COUNTIF(C$4:C614,"Sell_"&amp;Upgrades!$B$3:$B$13))*Upgrades!$D$3:$D$13))</f>
        <v/>
      </c>
      <c r="F614" s="66" t="str">
        <f>IFERROR(__xludf.DUMMYFUNCTION("IF(COUNTA(C614:C1644)=0,"""",IF(REGEXMATCH(INDEX(FILTER(C$4:C614,C$4:C614&lt;&gt;""""),ROWS(FILTER(C$4:C614,C$4:C614&lt;&gt;""""))),""^Sell_""),INDEX(FILTER(F$4:F613,C$4:C613&lt;&gt;""""),ROWS(FILTER(C$4:C613,C$4:C613&lt;&gt;""""))),$AC$5+E614))"),"")</f>
        <v/>
      </c>
      <c r="G614" s="10" t="str">
        <f>IFERROR(__xludf.DUMMYFUNCTION("IF(COUNTA(C614:C1644)=0,"""",IF(C614="""",0,IF(REGEXMATCH(C614,""^Sell_""),-ROUNDDOWN(ROUNDUP(INDEX(Upgrades!$C$3:$C$13,MATCH(SUBSTITUTE(C614,""Sell_"",""""),Upgrades!$B$3:$B$13,0))*1.15^(COUNTIF(C$4:C613,SUBSTITUTE(C614,""Sell_"",""""))-COUNTIF(C$4:C613,"&amp;"""Sell_""&amp;SUBSTITUTE(C614,""Sell_"",""""))))/2),ROUNDUP(INDEX(Upgrades!$C$3:$C$13,MATCH(C614,Upgrades!$B$3:$B$13,0))*1.15^(COUNTIF(C$4:C613,C614)-COUNTIF(C$4:C613,""Sell_""&amp;C614))))))"),"")</f>
        <v/>
      </c>
      <c r="H614" s="10" t="str">
        <f t="shared" si="3"/>
        <v/>
      </c>
      <c r="I614" s="68" t="str">
        <f t="shared" si="4"/>
        <v/>
      </c>
      <c r="J614" s="59" t="str">
        <f t="shared" si="5"/>
        <v/>
      </c>
      <c r="K614" s="69" t="str">
        <f t="shared" si="6"/>
        <v/>
      </c>
      <c r="L614" s="60" t="str">
        <f t="shared" si="7"/>
        <v/>
      </c>
      <c r="M614" s="61" t="str">
        <f>IFERROR(__xludf.DUMMYFUNCTION("IFS(AND(COUNTA(C614:C1644)=0,COUNTA(Q614:Q1644)=0),"""",OR(AND(K614&gt;=1000000000,OR(Y614&gt;=1000000000,COUNTA(Q614:Q1644)=0)),OR(Y614&gt;=1000000000,AND(COUNTA(C614:C1644)=0,P$3=TRUE))),
ROUNDDOWN((AB$1-AC$1)*MAX(INDEX(T$4:T1644,MATCH(LARGE(FILTER(Y$4:Y1644,Y$4"&amp;":Y1644&lt;1000000000),1),Y$4:Y1644)),INDEX(F$4:F1644,MATCH(LARGE(FILTER(K$4:K1644,K$4:K1644&lt;1000000000),1),K$4:K1644)))),AND(K614&lt;1000000000,COUNTA(C614:C1644)&gt;0,P$3=FALSE),
ROUNDDOWN(INDEX(Y$4:Y1644,MATCH(LARGE(FILTER(W$4:W1644,W$4:W1644&lt;=I614),1),W$4:W1644"&amp;"))+(I614-LARGE(FILTER(W$4:W1644,W$4:W1644&lt;=I614),1))*INDEX(T$4:T1644,MATCH(LARGE(FILTER(W$4:W1644,W$4:W1644&lt;=I614),1),W$4:W1644))-K614),1,
ROUNDDOWN(Y614-INDEX(K$4:K1644,MATCH(LARGE(FILTER(I$4:I1644,I$4:I1644&lt;=W614),1),I$4:I1644))-(W614-LARGE(FILTER(I$4:I"&amp;"1644,I$4:I1644&lt;=W614),1))*INDEX(F$4:F1644,MATCH(LARGE(FILTER(I$4:I1644,I$4:I1644&lt;=W614),1),I$4:I1644))))"),"")</f>
        <v/>
      </c>
      <c r="N614" s="60" t="str">
        <f t="shared" si="8"/>
        <v/>
      </c>
      <c r="O614" s="61" t="str">
        <f t="shared" si="9"/>
        <v/>
      </c>
      <c r="P614" s="56" t="str">
        <f t="shared" si="10"/>
        <v/>
      </c>
      <c r="Q614" s="105"/>
      <c r="R614" s="10"/>
      <c r="S614" s="59" t="str">
        <f t="array" ref="S614">IF(COUNTA(Q614:Q1644)=0,"",SUM((COUNTIF(Q$4:Q614,Upgrades!$B$3:$B$13)-COUNTIF(Q$4:Q614,"Sell_"&amp;Upgrades!$B$3:$B$13))*Upgrades!$D$3:$D$13))</f>
        <v/>
      </c>
      <c r="T614" s="66" t="str">
        <f>IFERROR(__xludf.DUMMYFUNCTION("IF(COUNTA(Q614:Q1644)=0,"""",IF(REGEXMATCH(INDEX(FILTER(Q$4:Q614,Q$4:Q614&lt;&gt;""""),ROWS(FILTER(Q$4:Q614,Q$4:Q614&lt;&gt;""""))),""^Sell_""),INDEX(FILTER(T$4:T613,Q$4:Q613&lt;&gt;""""),ROWS(FILTER(Q$4:Q613,Q$4:Q613&lt;&gt;""""))),$AD$5+S614))"),"")</f>
        <v/>
      </c>
      <c r="U614" s="10" t="str">
        <f>IFERROR(__xludf.DUMMYFUNCTION("IF(COUNTA(Q614:Q1644)=0,"""",IF(Q614="""",0,IF(REGEXMATCH(Q614,""^Sell_""),-ROUNDDOWN(ROUNDUP(INDEX(Upgrades!$C$3:$C$13,MATCH(SUBSTITUTE(Q614,""Sell_"",""""),Upgrades!$B$3:$B$13,0))*1.15^(COUNTIF(Q$4:Q613,SUBSTITUTE(Q614,""Sell_"",""""))-COUNTIF(Q$4:Q613,"&amp;"""Sell_""&amp;SUBSTITUTE(Q614,""Sell_"",""""))))/2),ROUNDUP(INDEX(Upgrades!$C$3:$C$13,MATCH(Q614,Upgrades!$B$3:$B$13,0))*1.15^(COUNTIF(Q$4:Q613,Q614)-COUNTIF(Q$4:Q613,""Sell_""&amp;Q614))))))"),"")</f>
        <v/>
      </c>
      <c r="V614" s="10" t="str">
        <f t="shared" si="11"/>
        <v/>
      </c>
      <c r="W614" s="68" t="str">
        <f t="shared" si="12"/>
        <v/>
      </c>
      <c r="X614" s="59" t="str">
        <f t="shared" si="13"/>
        <v/>
      </c>
      <c r="Y614" s="69" t="str">
        <f t="shared" si="14"/>
        <v/>
      </c>
      <c r="Z614" s="11"/>
      <c r="AG614" s="59"/>
    </row>
    <row r="615">
      <c r="A615" s="8"/>
      <c r="B615" s="56" t="str">
        <f t="shared" si="2"/>
        <v/>
      </c>
      <c r="C615" s="105"/>
      <c r="D615" s="10"/>
      <c r="E615" s="59" t="str">
        <f t="array" ref="E615">IF(COUNTA(C615:C1644)=0,"",SUM((COUNTIF(C$4:C615,Upgrades!$B$3:$B$13)-COUNTIF(C$4:C615,"Sell_"&amp;Upgrades!$B$3:$B$13))*Upgrades!$D$3:$D$13))</f>
        <v/>
      </c>
      <c r="F615" s="66" t="str">
        <f>IFERROR(__xludf.DUMMYFUNCTION("IF(COUNTA(C615:C1644)=0,"""",IF(REGEXMATCH(INDEX(FILTER(C$4:C615,C$4:C615&lt;&gt;""""),ROWS(FILTER(C$4:C615,C$4:C615&lt;&gt;""""))),""^Sell_""),INDEX(FILTER(F$4:F614,C$4:C614&lt;&gt;""""),ROWS(FILTER(C$4:C614,C$4:C614&lt;&gt;""""))),$AC$5+E615))"),"")</f>
        <v/>
      </c>
      <c r="G615" s="10" t="str">
        <f>IFERROR(__xludf.DUMMYFUNCTION("IF(COUNTA(C615:C1644)=0,"""",IF(C615="""",0,IF(REGEXMATCH(C615,""^Sell_""),-ROUNDDOWN(ROUNDUP(INDEX(Upgrades!$C$3:$C$13,MATCH(SUBSTITUTE(C615,""Sell_"",""""),Upgrades!$B$3:$B$13,0))*1.15^(COUNTIF(C$4:C614,SUBSTITUTE(C615,""Sell_"",""""))-COUNTIF(C$4:C614,"&amp;"""Sell_""&amp;SUBSTITUTE(C615,""Sell_"",""""))))/2),ROUNDUP(INDEX(Upgrades!$C$3:$C$13,MATCH(C615,Upgrades!$B$3:$B$13,0))*1.15^(COUNTIF(C$4:C614,C615)-COUNTIF(C$4:C614,""Sell_""&amp;C615))))))"),"")</f>
        <v/>
      </c>
      <c r="H615" s="10" t="str">
        <f t="shared" si="3"/>
        <v/>
      </c>
      <c r="I615" s="68" t="str">
        <f t="shared" si="4"/>
        <v/>
      </c>
      <c r="J615" s="59" t="str">
        <f t="shared" si="5"/>
        <v/>
      </c>
      <c r="K615" s="69" t="str">
        <f t="shared" si="6"/>
        <v/>
      </c>
      <c r="L615" s="60" t="str">
        <f t="shared" si="7"/>
        <v/>
      </c>
      <c r="M615" s="61" t="str">
        <f>IFERROR(__xludf.DUMMYFUNCTION("IFS(AND(COUNTA(C615:C1644)=0,COUNTA(Q615:Q1644)=0),"""",OR(AND(K615&gt;=1000000000,OR(Y615&gt;=1000000000,COUNTA(Q615:Q1644)=0)),OR(Y615&gt;=1000000000,AND(COUNTA(C615:C1644)=0,P$3=TRUE))),
ROUNDDOWN((AB$1-AC$1)*MAX(INDEX(T$4:T1644,MATCH(LARGE(FILTER(Y$4:Y1644,Y$4"&amp;":Y1644&lt;1000000000),1),Y$4:Y1644)),INDEX(F$4:F1644,MATCH(LARGE(FILTER(K$4:K1644,K$4:K1644&lt;1000000000),1),K$4:K1644)))),AND(K615&lt;1000000000,COUNTA(C615:C1644)&gt;0,P$3=FALSE),
ROUNDDOWN(INDEX(Y$4:Y1644,MATCH(LARGE(FILTER(W$4:W1644,W$4:W1644&lt;=I615),1),W$4:W1644"&amp;"))+(I615-LARGE(FILTER(W$4:W1644,W$4:W1644&lt;=I615),1))*INDEX(T$4:T1644,MATCH(LARGE(FILTER(W$4:W1644,W$4:W1644&lt;=I615),1),W$4:W1644))-K615),1,
ROUNDDOWN(Y615-INDEX(K$4:K1644,MATCH(LARGE(FILTER(I$4:I1644,I$4:I1644&lt;=W615),1),I$4:I1644))-(W615-LARGE(FILTER(I$4:I"&amp;"1644,I$4:I1644&lt;=W615),1))*INDEX(F$4:F1644,MATCH(LARGE(FILTER(I$4:I1644,I$4:I1644&lt;=W615),1),I$4:I1644))))"),"")</f>
        <v/>
      </c>
      <c r="N615" s="60" t="str">
        <f t="shared" si="8"/>
        <v/>
      </c>
      <c r="O615" s="61" t="str">
        <f t="shared" si="9"/>
        <v/>
      </c>
      <c r="P615" s="56" t="str">
        <f t="shared" si="10"/>
        <v/>
      </c>
      <c r="Q615" s="105"/>
      <c r="R615" s="10"/>
      <c r="S615" s="59" t="str">
        <f t="array" ref="S615">IF(COUNTA(Q615:Q1644)=0,"",SUM((COUNTIF(Q$4:Q615,Upgrades!$B$3:$B$13)-COUNTIF(Q$4:Q615,"Sell_"&amp;Upgrades!$B$3:$B$13))*Upgrades!$D$3:$D$13))</f>
        <v/>
      </c>
      <c r="T615" s="66" t="str">
        <f>IFERROR(__xludf.DUMMYFUNCTION("IF(COUNTA(Q615:Q1644)=0,"""",IF(REGEXMATCH(INDEX(FILTER(Q$4:Q615,Q$4:Q615&lt;&gt;""""),ROWS(FILTER(Q$4:Q615,Q$4:Q615&lt;&gt;""""))),""^Sell_""),INDEX(FILTER(T$4:T614,Q$4:Q614&lt;&gt;""""),ROWS(FILTER(Q$4:Q614,Q$4:Q614&lt;&gt;""""))),$AD$5+S615))"),"")</f>
        <v/>
      </c>
      <c r="U615" s="10" t="str">
        <f>IFERROR(__xludf.DUMMYFUNCTION("IF(COUNTA(Q615:Q1644)=0,"""",IF(Q615="""",0,IF(REGEXMATCH(Q615,""^Sell_""),-ROUNDDOWN(ROUNDUP(INDEX(Upgrades!$C$3:$C$13,MATCH(SUBSTITUTE(Q615,""Sell_"",""""),Upgrades!$B$3:$B$13,0))*1.15^(COUNTIF(Q$4:Q614,SUBSTITUTE(Q615,""Sell_"",""""))-COUNTIF(Q$4:Q614,"&amp;"""Sell_""&amp;SUBSTITUTE(Q615,""Sell_"",""""))))/2),ROUNDUP(INDEX(Upgrades!$C$3:$C$13,MATCH(Q615,Upgrades!$B$3:$B$13,0))*1.15^(COUNTIF(Q$4:Q614,Q615)-COUNTIF(Q$4:Q614,""Sell_""&amp;Q615))))))"),"")</f>
        <v/>
      </c>
      <c r="V615" s="10" t="str">
        <f t="shared" si="11"/>
        <v/>
      </c>
      <c r="W615" s="68" t="str">
        <f t="shared" si="12"/>
        <v/>
      </c>
      <c r="X615" s="59" t="str">
        <f t="shared" si="13"/>
        <v/>
      </c>
      <c r="Y615" s="69" t="str">
        <f t="shared" si="14"/>
        <v/>
      </c>
      <c r="Z615" s="11"/>
      <c r="AG615" s="59"/>
    </row>
    <row r="616">
      <c r="A616" s="8"/>
      <c r="B616" s="56" t="str">
        <f t="shared" si="2"/>
        <v/>
      </c>
      <c r="C616" s="105"/>
      <c r="D616" s="10"/>
      <c r="E616" s="59" t="str">
        <f t="array" ref="E616">IF(COUNTA(C616:C1644)=0,"",SUM((COUNTIF(C$4:C616,Upgrades!$B$3:$B$13)-COUNTIF(C$4:C616,"Sell_"&amp;Upgrades!$B$3:$B$13))*Upgrades!$D$3:$D$13))</f>
        <v/>
      </c>
      <c r="F616" s="66" t="str">
        <f>IFERROR(__xludf.DUMMYFUNCTION("IF(COUNTA(C616:C1644)=0,"""",IF(REGEXMATCH(INDEX(FILTER(C$4:C616,C$4:C616&lt;&gt;""""),ROWS(FILTER(C$4:C616,C$4:C616&lt;&gt;""""))),""^Sell_""),INDEX(FILTER(F$4:F615,C$4:C615&lt;&gt;""""),ROWS(FILTER(C$4:C615,C$4:C615&lt;&gt;""""))),$AC$5+E616))"),"")</f>
        <v/>
      </c>
      <c r="G616" s="10" t="str">
        <f>IFERROR(__xludf.DUMMYFUNCTION("IF(COUNTA(C616:C1644)=0,"""",IF(C616="""",0,IF(REGEXMATCH(C616,""^Sell_""),-ROUNDDOWN(ROUNDUP(INDEX(Upgrades!$C$3:$C$13,MATCH(SUBSTITUTE(C616,""Sell_"",""""),Upgrades!$B$3:$B$13,0))*1.15^(COUNTIF(C$4:C615,SUBSTITUTE(C616,""Sell_"",""""))-COUNTIF(C$4:C615,"&amp;"""Sell_""&amp;SUBSTITUTE(C616,""Sell_"",""""))))/2),ROUNDUP(INDEX(Upgrades!$C$3:$C$13,MATCH(C616,Upgrades!$B$3:$B$13,0))*1.15^(COUNTIF(C$4:C615,C616)-COUNTIF(C$4:C615,""Sell_""&amp;C616))))))"),"")</f>
        <v/>
      </c>
      <c r="H616" s="10" t="str">
        <f t="shared" si="3"/>
        <v/>
      </c>
      <c r="I616" s="68" t="str">
        <f t="shared" si="4"/>
        <v/>
      </c>
      <c r="J616" s="59" t="str">
        <f t="shared" si="5"/>
        <v/>
      </c>
      <c r="K616" s="69" t="str">
        <f t="shared" si="6"/>
        <v/>
      </c>
      <c r="L616" s="60" t="str">
        <f t="shared" si="7"/>
        <v/>
      </c>
      <c r="M616" s="61" t="str">
        <f>IFERROR(__xludf.DUMMYFUNCTION("IFS(AND(COUNTA(C616:C1644)=0,COUNTA(Q616:Q1644)=0),"""",OR(AND(K616&gt;=1000000000,OR(Y616&gt;=1000000000,COUNTA(Q616:Q1644)=0)),OR(Y616&gt;=1000000000,AND(COUNTA(C616:C1644)=0,P$3=TRUE))),
ROUNDDOWN((AB$1-AC$1)*MAX(INDEX(T$4:T1644,MATCH(LARGE(FILTER(Y$4:Y1644,Y$4"&amp;":Y1644&lt;1000000000),1),Y$4:Y1644)),INDEX(F$4:F1644,MATCH(LARGE(FILTER(K$4:K1644,K$4:K1644&lt;1000000000),1),K$4:K1644)))),AND(K616&lt;1000000000,COUNTA(C616:C1644)&gt;0,P$3=FALSE),
ROUNDDOWN(INDEX(Y$4:Y1644,MATCH(LARGE(FILTER(W$4:W1644,W$4:W1644&lt;=I616),1),W$4:W1644"&amp;"))+(I616-LARGE(FILTER(W$4:W1644,W$4:W1644&lt;=I616),1))*INDEX(T$4:T1644,MATCH(LARGE(FILTER(W$4:W1644,W$4:W1644&lt;=I616),1),W$4:W1644))-K616),1,
ROUNDDOWN(Y616-INDEX(K$4:K1644,MATCH(LARGE(FILTER(I$4:I1644,I$4:I1644&lt;=W616),1),I$4:I1644))-(W616-LARGE(FILTER(I$4:I"&amp;"1644,I$4:I1644&lt;=W616),1))*INDEX(F$4:F1644,MATCH(LARGE(FILTER(I$4:I1644,I$4:I1644&lt;=W616),1),I$4:I1644))))"),"")</f>
        <v/>
      </c>
      <c r="N616" s="60" t="str">
        <f t="shared" si="8"/>
        <v/>
      </c>
      <c r="O616" s="61" t="str">
        <f t="shared" si="9"/>
        <v/>
      </c>
      <c r="P616" s="56" t="str">
        <f t="shared" si="10"/>
        <v/>
      </c>
      <c r="Q616" s="105"/>
      <c r="R616" s="10"/>
      <c r="S616" s="59" t="str">
        <f t="array" ref="S616">IF(COUNTA(Q616:Q1644)=0,"",SUM((COUNTIF(Q$4:Q616,Upgrades!$B$3:$B$13)-COUNTIF(Q$4:Q616,"Sell_"&amp;Upgrades!$B$3:$B$13))*Upgrades!$D$3:$D$13))</f>
        <v/>
      </c>
      <c r="T616" s="66" t="str">
        <f>IFERROR(__xludf.DUMMYFUNCTION("IF(COUNTA(Q616:Q1644)=0,"""",IF(REGEXMATCH(INDEX(FILTER(Q$4:Q616,Q$4:Q616&lt;&gt;""""),ROWS(FILTER(Q$4:Q616,Q$4:Q616&lt;&gt;""""))),""^Sell_""),INDEX(FILTER(T$4:T615,Q$4:Q615&lt;&gt;""""),ROWS(FILTER(Q$4:Q615,Q$4:Q615&lt;&gt;""""))),$AD$5+S616))"),"")</f>
        <v/>
      </c>
      <c r="U616" s="10" t="str">
        <f>IFERROR(__xludf.DUMMYFUNCTION("IF(COUNTA(Q616:Q1644)=0,"""",IF(Q616="""",0,IF(REGEXMATCH(Q616,""^Sell_""),-ROUNDDOWN(ROUNDUP(INDEX(Upgrades!$C$3:$C$13,MATCH(SUBSTITUTE(Q616,""Sell_"",""""),Upgrades!$B$3:$B$13,0))*1.15^(COUNTIF(Q$4:Q615,SUBSTITUTE(Q616,""Sell_"",""""))-COUNTIF(Q$4:Q615,"&amp;"""Sell_""&amp;SUBSTITUTE(Q616,""Sell_"",""""))))/2),ROUNDUP(INDEX(Upgrades!$C$3:$C$13,MATCH(Q616,Upgrades!$B$3:$B$13,0))*1.15^(COUNTIF(Q$4:Q615,Q616)-COUNTIF(Q$4:Q615,""Sell_""&amp;Q616))))))"),"")</f>
        <v/>
      </c>
      <c r="V616" s="10" t="str">
        <f t="shared" si="11"/>
        <v/>
      </c>
      <c r="W616" s="68" t="str">
        <f t="shared" si="12"/>
        <v/>
      </c>
      <c r="X616" s="59" t="str">
        <f t="shared" si="13"/>
        <v/>
      </c>
      <c r="Y616" s="69" t="str">
        <f t="shared" si="14"/>
        <v/>
      </c>
      <c r="Z616" s="11"/>
      <c r="AG616" s="59"/>
    </row>
    <row r="617">
      <c r="A617" s="8"/>
      <c r="B617" s="56" t="str">
        <f t="shared" si="2"/>
        <v/>
      </c>
      <c r="C617" s="105"/>
      <c r="D617" s="10"/>
      <c r="E617" s="59" t="str">
        <f t="array" ref="E617">IF(COUNTA(C617:C1644)=0,"",SUM((COUNTIF(C$4:C617,Upgrades!$B$3:$B$13)-COUNTIF(C$4:C617,"Sell_"&amp;Upgrades!$B$3:$B$13))*Upgrades!$D$3:$D$13))</f>
        <v/>
      </c>
      <c r="F617" s="66" t="str">
        <f>IFERROR(__xludf.DUMMYFUNCTION("IF(COUNTA(C617:C1644)=0,"""",IF(REGEXMATCH(INDEX(FILTER(C$4:C617,C$4:C617&lt;&gt;""""),ROWS(FILTER(C$4:C617,C$4:C617&lt;&gt;""""))),""^Sell_""),INDEX(FILTER(F$4:F616,C$4:C616&lt;&gt;""""),ROWS(FILTER(C$4:C616,C$4:C616&lt;&gt;""""))),$AC$5+E617))"),"")</f>
        <v/>
      </c>
      <c r="G617" s="10" t="str">
        <f>IFERROR(__xludf.DUMMYFUNCTION("IF(COUNTA(C617:C1644)=0,"""",IF(C617="""",0,IF(REGEXMATCH(C617,""^Sell_""),-ROUNDDOWN(ROUNDUP(INDEX(Upgrades!$C$3:$C$13,MATCH(SUBSTITUTE(C617,""Sell_"",""""),Upgrades!$B$3:$B$13,0))*1.15^(COUNTIF(C$4:C616,SUBSTITUTE(C617,""Sell_"",""""))-COUNTIF(C$4:C616,"&amp;"""Sell_""&amp;SUBSTITUTE(C617,""Sell_"",""""))))/2),ROUNDUP(INDEX(Upgrades!$C$3:$C$13,MATCH(C617,Upgrades!$B$3:$B$13,0))*1.15^(COUNTIF(C$4:C616,C617)-COUNTIF(C$4:C616,""Sell_""&amp;C617))))))"),"")</f>
        <v/>
      </c>
      <c r="H617" s="10" t="str">
        <f t="shared" si="3"/>
        <v/>
      </c>
      <c r="I617" s="68" t="str">
        <f t="shared" si="4"/>
        <v/>
      </c>
      <c r="J617" s="59" t="str">
        <f t="shared" si="5"/>
        <v/>
      </c>
      <c r="K617" s="69" t="str">
        <f t="shared" si="6"/>
        <v/>
      </c>
      <c r="L617" s="60" t="str">
        <f t="shared" si="7"/>
        <v/>
      </c>
      <c r="M617" s="61" t="str">
        <f>IFERROR(__xludf.DUMMYFUNCTION("IFS(AND(COUNTA(C617:C1644)=0,COUNTA(Q617:Q1644)=0),"""",OR(AND(K617&gt;=1000000000,OR(Y617&gt;=1000000000,COUNTA(Q617:Q1644)=0)),OR(Y617&gt;=1000000000,AND(COUNTA(C617:C1644)=0,P$3=TRUE))),
ROUNDDOWN((AB$1-AC$1)*MAX(INDEX(T$4:T1644,MATCH(LARGE(FILTER(Y$4:Y1644,Y$4"&amp;":Y1644&lt;1000000000),1),Y$4:Y1644)),INDEX(F$4:F1644,MATCH(LARGE(FILTER(K$4:K1644,K$4:K1644&lt;1000000000),1),K$4:K1644)))),AND(K617&lt;1000000000,COUNTA(C617:C1644)&gt;0,P$3=FALSE),
ROUNDDOWN(INDEX(Y$4:Y1644,MATCH(LARGE(FILTER(W$4:W1644,W$4:W1644&lt;=I617),1),W$4:W1644"&amp;"))+(I617-LARGE(FILTER(W$4:W1644,W$4:W1644&lt;=I617),1))*INDEX(T$4:T1644,MATCH(LARGE(FILTER(W$4:W1644,W$4:W1644&lt;=I617),1),W$4:W1644))-K617),1,
ROUNDDOWN(Y617-INDEX(K$4:K1644,MATCH(LARGE(FILTER(I$4:I1644,I$4:I1644&lt;=W617),1),I$4:I1644))-(W617-LARGE(FILTER(I$4:I"&amp;"1644,I$4:I1644&lt;=W617),1))*INDEX(F$4:F1644,MATCH(LARGE(FILTER(I$4:I1644,I$4:I1644&lt;=W617),1),I$4:I1644))))"),"")</f>
        <v/>
      </c>
      <c r="N617" s="60" t="str">
        <f t="shared" si="8"/>
        <v/>
      </c>
      <c r="O617" s="61" t="str">
        <f t="shared" si="9"/>
        <v/>
      </c>
      <c r="P617" s="56" t="str">
        <f t="shared" si="10"/>
        <v/>
      </c>
      <c r="Q617" s="105"/>
      <c r="R617" s="10"/>
      <c r="S617" s="59" t="str">
        <f t="array" ref="S617">IF(COUNTA(Q617:Q1644)=0,"",SUM((COUNTIF(Q$4:Q617,Upgrades!$B$3:$B$13)-COUNTIF(Q$4:Q617,"Sell_"&amp;Upgrades!$B$3:$B$13))*Upgrades!$D$3:$D$13))</f>
        <v/>
      </c>
      <c r="T617" s="66" t="str">
        <f>IFERROR(__xludf.DUMMYFUNCTION("IF(COUNTA(Q617:Q1644)=0,"""",IF(REGEXMATCH(INDEX(FILTER(Q$4:Q617,Q$4:Q617&lt;&gt;""""),ROWS(FILTER(Q$4:Q617,Q$4:Q617&lt;&gt;""""))),""^Sell_""),INDEX(FILTER(T$4:T616,Q$4:Q616&lt;&gt;""""),ROWS(FILTER(Q$4:Q616,Q$4:Q616&lt;&gt;""""))),$AD$5+S617))"),"")</f>
        <v/>
      </c>
      <c r="U617" s="10" t="str">
        <f>IFERROR(__xludf.DUMMYFUNCTION("IF(COUNTA(Q617:Q1644)=0,"""",IF(Q617="""",0,IF(REGEXMATCH(Q617,""^Sell_""),-ROUNDDOWN(ROUNDUP(INDEX(Upgrades!$C$3:$C$13,MATCH(SUBSTITUTE(Q617,""Sell_"",""""),Upgrades!$B$3:$B$13,0))*1.15^(COUNTIF(Q$4:Q616,SUBSTITUTE(Q617,""Sell_"",""""))-COUNTIF(Q$4:Q616,"&amp;"""Sell_""&amp;SUBSTITUTE(Q617,""Sell_"",""""))))/2),ROUNDUP(INDEX(Upgrades!$C$3:$C$13,MATCH(Q617,Upgrades!$B$3:$B$13,0))*1.15^(COUNTIF(Q$4:Q616,Q617)-COUNTIF(Q$4:Q616,""Sell_""&amp;Q617))))))"),"")</f>
        <v/>
      </c>
      <c r="V617" s="10" t="str">
        <f t="shared" si="11"/>
        <v/>
      </c>
      <c r="W617" s="68" t="str">
        <f t="shared" si="12"/>
        <v/>
      </c>
      <c r="X617" s="59" t="str">
        <f t="shared" si="13"/>
        <v/>
      </c>
      <c r="Y617" s="69" t="str">
        <f t="shared" si="14"/>
        <v/>
      </c>
      <c r="Z617" s="11"/>
      <c r="AG617" s="59"/>
    </row>
    <row r="618">
      <c r="A618" s="8"/>
      <c r="B618" s="56" t="str">
        <f t="shared" si="2"/>
        <v/>
      </c>
      <c r="C618" s="105"/>
      <c r="D618" s="10"/>
      <c r="E618" s="59" t="str">
        <f t="array" ref="E618">IF(COUNTA(C618:C1644)=0,"",SUM((COUNTIF(C$4:C618,Upgrades!$B$3:$B$13)-COUNTIF(C$4:C618,"Sell_"&amp;Upgrades!$B$3:$B$13))*Upgrades!$D$3:$D$13))</f>
        <v/>
      </c>
      <c r="F618" s="66" t="str">
        <f>IFERROR(__xludf.DUMMYFUNCTION("IF(COUNTA(C618:C1644)=0,"""",IF(REGEXMATCH(INDEX(FILTER(C$4:C618,C$4:C618&lt;&gt;""""),ROWS(FILTER(C$4:C618,C$4:C618&lt;&gt;""""))),""^Sell_""),INDEX(FILTER(F$4:F617,C$4:C617&lt;&gt;""""),ROWS(FILTER(C$4:C617,C$4:C617&lt;&gt;""""))),$AC$5+E618))"),"")</f>
        <v/>
      </c>
      <c r="G618" s="10" t="str">
        <f>IFERROR(__xludf.DUMMYFUNCTION("IF(COUNTA(C618:C1644)=0,"""",IF(C618="""",0,IF(REGEXMATCH(C618,""^Sell_""),-ROUNDDOWN(ROUNDUP(INDEX(Upgrades!$C$3:$C$13,MATCH(SUBSTITUTE(C618,""Sell_"",""""),Upgrades!$B$3:$B$13,0))*1.15^(COUNTIF(C$4:C617,SUBSTITUTE(C618,""Sell_"",""""))-COUNTIF(C$4:C617,"&amp;"""Sell_""&amp;SUBSTITUTE(C618,""Sell_"",""""))))/2),ROUNDUP(INDEX(Upgrades!$C$3:$C$13,MATCH(C618,Upgrades!$B$3:$B$13,0))*1.15^(COUNTIF(C$4:C617,C618)-COUNTIF(C$4:C617,""Sell_""&amp;C618))))))"),"")</f>
        <v/>
      </c>
      <c r="H618" s="10" t="str">
        <f t="shared" si="3"/>
        <v/>
      </c>
      <c r="I618" s="68" t="str">
        <f t="shared" si="4"/>
        <v/>
      </c>
      <c r="J618" s="59" t="str">
        <f t="shared" si="5"/>
        <v/>
      </c>
      <c r="K618" s="69" t="str">
        <f t="shared" si="6"/>
        <v/>
      </c>
      <c r="L618" s="60" t="str">
        <f t="shared" si="7"/>
        <v/>
      </c>
      <c r="M618" s="61" t="str">
        <f>IFERROR(__xludf.DUMMYFUNCTION("IFS(AND(COUNTA(C618:C1644)=0,COUNTA(Q618:Q1644)=0),"""",OR(AND(K618&gt;=1000000000,OR(Y618&gt;=1000000000,COUNTA(Q618:Q1644)=0)),OR(Y618&gt;=1000000000,AND(COUNTA(C618:C1644)=0,P$3=TRUE))),
ROUNDDOWN((AB$1-AC$1)*MAX(INDEX(T$4:T1644,MATCH(LARGE(FILTER(Y$4:Y1644,Y$4"&amp;":Y1644&lt;1000000000),1),Y$4:Y1644)),INDEX(F$4:F1644,MATCH(LARGE(FILTER(K$4:K1644,K$4:K1644&lt;1000000000),1),K$4:K1644)))),AND(K618&lt;1000000000,COUNTA(C618:C1644)&gt;0,P$3=FALSE),
ROUNDDOWN(INDEX(Y$4:Y1644,MATCH(LARGE(FILTER(W$4:W1644,W$4:W1644&lt;=I618),1),W$4:W1644"&amp;"))+(I618-LARGE(FILTER(W$4:W1644,W$4:W1644&lt;=I618),1))*INDEX(T$4:T1644,MATCH(LARGE(FILTER(W$4:W1644,W$4:W1644&lt;=I618),1),W$4:W1644))-K618),1,
ROUNDDOWN(Y618-INDEX(K$4:K1644,MATCH(LARGE(FILTER(I$4:I1644,I$4:I1644&lt;=W618),1),I$4:I1644))-(W618-LARGE(FILTER(I$4:I"&amp;"1644,I$4:I1644&lt;=W618),1))*INDEX(F$4:F1644,MATCH(LARGE(FILTER(I$4:I1644,I$4:I1644&lt;=W618),1),I$4:I1644))))"),"")</f>
        <v/>
      </c>
      <c r="N618" s="60" t="str">
        <f t="shared" si="8"/>
        <v/>
      </c>
      <c r="O618" s="61" t="str">
        <f t="shared" si="9"/>
        <v/>
      </c>
      <c r="P618" s="56" t="str">
        <f t="shared" si="10"/>
        <v/>
      </c>
      <c r="Q618" s="105"/>
      <c r="R618" s="10"/>
      <c r="S618" s="59" t="str">
        <f t="array" ref="S618">IF(COUNTA(Q618:Q1644)=0,"",SUM((COUNTIF(Q$4:Q618,Upgrades!$B$3:$B$13)-COUNTIF(Q$4:Q618,"Sell_"&amp;Upgrades!$B$3:$B$13))*Upgrades!$D$3:$D$13))</f>
        <v/>
      </c>
      <c r="T618" s="66" t="str">
        <f>IFERROR(__xludf.DUMMYFUNCTION("IF(COUNTA(Q618:Q1644)=0,"""",IF(REGEXMATCH(INDEX(FILTER(Q$4:Q618,Q$4:Q618&lt;&gt;""""),ROWS(FILTER(Q$4:Q618,Q$4:Q618&lt;&gt;""""))),""^Sell_""),INDEX(FILTER(T$4:T617,Q$4:Q617&lt;&gt;""""),ROWS(FILTER(Q$4:Q617,Q$4:Q617&lt;&gt;""""))),$AD$5+S618))"),"")</f>
        <v/>
      </c>
      <c r="U618" s="10" t="str">
        <f>IFERROR(__xludf.DUMMYFUNCTION("IF(COUNTA(Q618:Q1644)=0,"""",IF(Q618="""",0,IF(REGEXMATCH(Q618,""^Sell_""),-ROUNDDOWN(ROUNDUP(INDEX(Upgrades!$C$3:$C$13,MATCH(SUBSTITUTE(Q618,""Sell_"",""""),Upgrades!$B$3:$B$13,0))*1.15^(COUNTIF(Q$4:Q617,SUBSTITUTE(Q618,""Sell_"",""""))-COUNTIF(Q$4:Q617,"&amp;"""Sell_""&amp;SUBSTITUTE(Q618,""Sell_"",""""))))/2),ROUNDUP(INDEX(Upgrades!$C$3:$C$13,MATCH(Q618,Upgrades!$B$3:$B$13,0))*1.15^(COUNTIF(Q$4:Q617,Q618)-COUNTIF(Q$4:Q617,""Sell_""&amp;Q618))))))"),"")</f>
        <v/>
      </c>
      <c r="V618" s="10" t="str">
        <f t="shared" si="11"/>
        <v/>
      </c>
      <c r="W618" s="68" t="str">
        <f t="shared" si="12"/>
        <v/>
      </c>
      <c r="X618" s="59" t="str">
        <f t="shared" si="13"/>
        <v/>
      </c>
      <c r="Y618" s="69" t="str">
        <f t="shared" si="14"/>
        <v/>
      </c>
      <c r="Z618" s="11"/>
      <c r="AG618" s="59"/>
    </row>
    <row r="619">
      <c r="A619" s="8"/>
      <c r="B619" s="56" t="str">
        <f t="shared" si="2"/>
        <v/>
      </c>
      <c r="C619" s="105"/>
      <c r="D619" s="10"/>
      <c r="E619" s="59" t="str">
        <f t="array" ref="E619">IF(COUNTA(C619:C1644)=0,"",SUM((COUNTIF(C$4:C619,Upgrades!$B$3:$B$13)-COUNTIF(C$4:C619,"Sell_"&amp;Upgrades!$B$3:$B$13))*Upgrades!$D$3:$D$13))</f>
        <v/>
      </c>
      <c r="F619" s="66" t="str">
        <f>IFERROR(__xludf.DUMMYFUNCTION("IF(COUNTA(C619:C1644)=0,"""",IF(REGEXMATCH(INDEX(FILTER(C$4:C619,C$4:C619&lt;&gt;""""),ROWS(FILTER(C$4:C619,C$4:C619&lt;&gt;""""))),""^Sell_""),INDEX(FILTER(F$4:F618,C$4:C618&lt;&gt;""""),ROWS(FILTER(C$4:C618,C$4:C618&lt;&gt;""""))),$AC$5+E619))"),"")</f>
        <v/>
      </c>
      <c r="G619" s="10" t="str">
        <f>IFERROR(__xludf.DUMMYFUNCTION("IF(COUNTA(C619:C1644)=0,"""",IF(C619="""",0,IF(REGEXMATCH(C619,""^Sell_""),-ROUNDDOWN(ROUNDUP(INDEX(Upgrades!$C$3:$C$13,MATCH(SUBSTITUTE(C619,""Sell_"",""""),Upgrades!$B$3:$B$13,0))*1.15^(COUNTIF(C$4:C618,SUBSTITUTE(C619,""Sell_"",""""))-COUNTIF(C$4:C618,"&amp;"""Sell_""&amp;SUBSTITUTE(C619,""Sell_"",""""))))/2),ROUNDUP(INDEX(Upgrades!$C$3:$C$13,MATCH(C619,Upgrades!$B$3:$B$13,0))*1.15^(COUNTIF(C$4:C618,C619)-COUNTIF(C$4:C618,""Sell_""&amp;C619))))))"),"")</f>
        <v/>
      </c>
      <c r="H619" s="10" t="str">
        <f t="shared" si="3"/>
        <v/>
      </c>
      <c r="I619" s="68" t="str">
        <f t="shared" si="4"/>
        <v/>
      </c>
      <c r="J619" s="59" t="str">
        <f t="shared" si="5"/>
        <v/>
      </c>
      <c r="K619" s="69" t="str">
        <f t="shared" si="6"/>
        <v/>
      </c>
      <c r="L619" s="60" t="str">
        <f t="shared" si="7"/>
        <v/>
      </c>
      <c r="M619" s="61" t="str">
        <f>IFERROR(__xludf.DUMMYFUNCTION("IFS(AND(COUNTA(C619:C1644)=0,COUNTA(Q619:Q1644)=0),"""",OR(AND(K619&gt;=1000000000,OR(Y619&gt;=1000000000,COUNTA(Q619:Q1644)=0)),OR(Y619&gt;=1000000000,AND(COUNTA(C619:C1644)=0,P$3=TRUE))),
ROUNDDOWN((AB$1-AC$1)*MAX(INDEX(T$4:T1644,MATCH(LARGE(FILTER(Y$4:Y1644,Y$4"&amp;":Y1644&lt;1000000000),1),Y$4:Y1644)),INDEX(F$4:F1644,MATCH(LARGE(FILTER(K$4:K1644,K$4:K1644&lt;1000000000),1),K$4:K1644)))),AND(K619&lt;1000000000,COUNTA(C619:C1644)&gt;0,P$3=FALSE),
ROUNDDOWN(INDEX(Y$4:Y1644,MATCH(LARGE(FILTER(W$4:W1644,W$4:W1644&lt;=I619),1),W$4:W1644"&amp;"))+(I619-LARGE(FILTER(W$4:W1644,W$4:W1644&lt;=I619),1))*INDEX(T$4:T1644,MATCH(LARGE(FILTER(W$4:W1644,W$4:W1644&lt;=I619),1),W$4:W1644))-K619),1,
ROUNDDOWN(Y619-INDEX(K$4:K1644,MATCH(LARGE(FILTER(I$4:I1644,I$4:I1644&lt;=W619),1),I$4:I1644))-(W619-LARGE(FILTER(I$4:I"&amp;"1644,I$4:I1644&lt;=W619),1))*INDEX(F$4:F1644,MATCH(LARGE(FILTER(I$4:I1644,I$4:I1644&lt;=W619),1),I$4:I1644))))"),"")</f>
        <v/>
      </c>
      <c r="N619" s="60" t="str">
        <f t="shared" si="8"/>
        <v/>
      </c>
      <c r="O619" s="61" t="str">
        <f t="shared" si="9"/>
        <v/>
      </c>
      <c r="P619" s="56" t="str">
        <f t="shared" si="10"/>
        <v/>
      </c>
      <c r="Q619" s="105"/>
      <c r="R619" s="10"/>
      <c r="S619" s="59" t="str">
        <f t="array" ref="S619">IF(COUNTA(Q619:Q1644)=0,"",SUM((COUNTIF(Q$4:Q619,Upgrades!$B$3:$B$13)-COUNTIF(Q$4:Q619,"Sell_"&amp;Upgrades!$B$3:$B$13))*Upgrades!$D$3:$D$13))</f>
        <v/>
      </c>
      <c r="T619" s="66" t="str">
        <f>IFERROR(__xludf.DUMMYFUNCTION("IF(COUNTA(Q619:Q1644)=0,"""",IF(REGEXMATCH(INDEX(FILTER(Q$4:Q619,Q$4:Q619&lt;&gt;""""),ROWS(FILTER(Q$4:Q619,Q$4:Q619&lt;&gt;""""))),""^Sell_""),INDEX(FILTER(T$4:T618,Q$4:Q618&lt;&gt;""""),ROWS(FILTER(Q$4:Q618,Q$4:Q618&lt;&gt;""""))),$AD$5+S619))"),"")</f>
        <v/>
      </c>
      <c r="U619" s="10" t="str">
        <f>IFERROR(__xludf.DUMMYFUNCTION("IF(COUNTA(Q619:Q1644)=0,"""",IF(Q619="""",0,IF(REGEXMATCH(Q619,""^Sell_""),-ROUNDDOWN(ROUNDUP(INDEX(Upgrades!$C$3:$C$13,MATCH(SUBSTITUTE(Q619,""Sell_"",""""),Upgrades!$B$3:$B$13,0))*1.15^(COUNTIF(Q$4:Q618,SUBSTITUTE(Q619,""Sell_"",""""))-COUNTIF(Q$4:Q618,"&amp;"""Sell_""&amp;SUBSTITUTE(Q619,""Sell_"",""""))))/2),ROUNDUP(INDEX(Upgrades!$C$3:$C$13,MATCH(Q619,Upgrades!$B$3:$B$13,0))*1.15^(COUNTIF(Q$4:Q618,Q619)-COUNTIF(Q$4:Q618,""Sell_""&amp;Q619))))))"),"")</f>
        <v/>
      </c>
      <c r="V619" s="10" t="str">
        <f t="shared" si="11"/>
        <v/>
      </c>
      <c r="W619" s="68" t="str">
        <f t="shared" si="12"/>
        <v/>
      </c>
      <c r="X619" s="59" t="str">
        <f t="shared" si="13"/>
        <v/>
      </c>
      <c r="Y619" s="69" t="str">
        <f t="shared" si="14"/>
        <v/>
      </c>
      <c r="Z619" s="11"/>
      <c r="AG619" s="59"/>
    </row>
    <row r="620">
      <c r="A620" s="8"/>
      <c r="B620" s="56" t="str">
        <f t="shared" si="2"/>
        <v/>
      </c>
      <c r="C620" s="105"/>
      <c r="D620" s="10"/>
      <c r="E620" s="59" t="str">
        <f t="array" ref="E620">IF(COUNTA(C620:C1644)=0,"",SUM((COUNTIF(C$4:C620,Upgrades!$B$3:$B$13)-COUNTIF(C$4:C620,"Sell_"&amp;Upgrades!$B$3:$B$13))*Upgrades!$D$3:$D$13))</f>
        <v/>
      </c>
      <c r="F620" s="66" t="str">
        <f>IFERROR(__xludf.DUMMYFUNCTION("IF(COUNTA(C620:C1644)=0,"""",IF(REGEXMATCH(INDEX(FILTER(C$4:C620,C$4:C620&lt;&gt;""""),ROWS(FILTER(C$4:C620,C$4:C620&lt;&gt;""""))),""^Sell_""),INDEX(FILTER(F$4:F619,C$4:C619&lt;&gt;""""),ROWS(FILTER(C$4:C619,C$4:C619&lt;&gt;""""))),$AC$5+E620))"),"")</f>
        <v/>
      </c>
      <c r="G620" s="10" t="str">
        <f>IFERROR(__xludf.DUMMYFUNCTION("IF(COUNTA(C620:C1644)=0,"""",IF(C620="""",0,IF(REGEXMATCH(C620,""^Sell_""),-ROUNDDOWN(ROUNDUP(INDEX(Upgrades!$C$3:$C$13,MATCH(SUBSTITUTE(C620,""Sell_"",""""),Upgrades!$B$3:$B$13,0))*1.15^(COUNTIF(C$4:C619,SUBSTITUTE(C620,""Sell_"",""""))-COUNTIF(C$4:C619,"&amp;"""Sell_""&amp;SUBSTITUTE(C620,""Sell_"",""""))))/2),ROUNDUP(INDEX(Upgrades!$C$3:$C$13,MATCH(C620,Upgrades!$B$3:$B$13,0))*1.15^(COUNTIF(C$4:C619,C620)-COUNTIF(C$4:C619,""Sell_""&amp;C620))))))"),"")</f>
        <v/>
      </c>
      <c r="H620" s="10" t="str">
        <f t="shared" si="3"/>
        <v/>
      </c>
      <c r="I620" s="68" t="str">
        <f t="shared" si="4"/>
        <v/>
      </c>
      <c r="J620" s="59" t="str">
        <f t="shared" si="5"/>
        <v/>
      </c>
      <c r="K620" s="69" t="str">
        <f t="shared" si="6"/>
        <v/>
      </c>
      <c r="L620" s="60" t="str">
        <f t="shared" si="7"/>
        <v/>
      </c>
      <c r="M620" s="61" t="str">
        <f>IFERROR(__xludf.DUMMYFUNCTION("IFS(AND(COUNTA(C620:C1644)=0,COUNTA(Q620:Q1644)=0),"""",OR(AND(K620&gt;=1000000000,OR(Y620&gt;=1000000000,COUNTA(Q620:Q1644)=0)),OR(Y620&gt;=1000000000,AND(COUNTA(C620:C1644)=0,P$3=TRUE))),
ROUNDDOWN((AB$1-AC$1)*MAX(INDEX(T$4:T1644,MATCH(LARGE(FILTER(Y$4:Y1644,Y$4"&amp;":Y1644&lt;1000000000),1),Y$4:Y1644)),INDEX(F$4:F1644,MATCH(LARGE(FILTER(K$4:K1644,K$4:K1644&lt;1000000000),1),K$4:K1644)))),AND(K620&lt;1000000000,COUNTA(C620:C1644)&gt;0,P$3=FALSE),
ROUNDDOWN(INDEX(Y$4:Y1644,MATCH(LARGE(FILTER(W$4:W1644,W$4:W1644&lt;=I620),1),W$4:W1644"&amp;"))+(I620-LARGE(FILTER(W$4:W1644,W$4:W1644&lt;=I620),1))*INDEX(T$4:T1644,MATCH(LARGE(FILTER(W$4:W1644,W$4:W1644&lt;=I620),1),W$4:W1644))-K620),1,
ROUNDDOWN(Y620-INDEX(K$4:K1644,MATCH(LARGE(FILTER(I$4:I1644,I$4:I1644&lt;=W620),1),I$4:I1644))-(W620-LARGE(FILTER(I$4:I"&amp;"1644,I$4:I1644&lt;=W620),1))*INDEX(F$4:F1644,MATCH(LARGE(FILTER(I$4:I1644,I$4:I1644&lt;=W620),1),I$4:I1644))))"),"")</f>
        <v/>
      </c>
      <c r="N620" s="60" t="str">
        <f t="shared" si="8"/>
        <v/>
      </c>
      <c r="O620" s="61" t="str">
        <f t="shared" si="9"/>
        <v/>
      </c>
      <c r="P620" s="56" t="str">
        <f t="shared" si="10"/>
        <v/>
      </c>
      <c r="Q620" s="105"/>
      <c r="R620" s="10"/>
      <c r="S620" s="59" t="str">
        <f t="array" ref="S620">IF(COUNTA(Q620:Q1644)=0,"",SUM((COUNTIF(Q$4:Q620,Upgrades!$B$3:$B$13)-COUNTIF(Q$4:Q620,"Sell_"&amp;Upgrades!$B$3:$B$13))*Upgrades!$D$3:$D$13))</f>
        <v/>
      </c>
      <c r="T620" s="66" t="str">
        <f>IFERROR(__xludf.DUMMYFUNCTION("IF(COUNTA(Q620:Q1644)=0,"""",IF(REGEXMATCH(INDEX(FILTER(Q$4:Q620,Q$4:Q620&lt;&gt;""""),ROWS(FILTER(Q$4:Q620,Q$4:Q620&lt;&gt;""""))),""^Sell_""),INDEX(FILTER(T$4:T619,Q$4:Q619&lt;&gt;""""),ROWS(FILTER(Q$4:Q619,Q$4:Q619&lt;&gt;""""))),$AD$5+S620))"),"")</f>
        <v/>
      </c>
      <c r="U620" s="10" t="str">
        <f>IFERROR(__xludf.DUMMYFUNCTION("IF(COUNTA(Q620:Q1644)=0,"""",IF(Q620="""",0,IF(REGEXMATCH(Q620,""^Sell_""),-ROUNDDOWN(ROUNDUP(INDEX(Upgrades!$C$3:$C$13,MATCH(SUBSTITUTE(Q620,""Sell_"",""""),Upgrades!$B$3:$B$13,0))*1.15^(COUNTIF(Q$4:Q619,SUBSTITUTE(Q620,""Sell_"",""""))-COUNTIF(Q$4:Q619,"&amp;"""Sell_""&amp;SUBSTITUTE(Q620,""Sell_"",""""))))/2),ROUNDUP(INDEX(Upgrades!$C$3:$C$13,MATCH(Q620,Upgrades!$B$3:$B$13,0))*1.15^(COUNTIF(Q$4:Q619,Q620)-COUNTIF(Q$4:Q619,""Sell_""&amp;Q620))))))"),"")</f>
        <v/>
      </c>
      <c r="V620" s="10" t="str">
        <f t="shared" si="11"/>
        <v/>
      </c>
      <c r="W620" s="68" t="str">
        <f t="shared" si="12"/>
        <v/>
      </c>
      <c r="X620" s="59" t="str">
        <f t="shared" si="13"/>
        <v/>
      </c>
      <c r="Y620" s="69" t="str">
        <f t="shared" si="14"/>
        <v/>
      </c>
      <c r="Z620" s="11"/>
      <c r="AG620" s="59"/>
    </row>
    <row r="621">
      <c r="A621" s="8"/>
      <c r="B621" s="56" t="str">
        <f t="shared" si="2"/>
        <v/>
      </c>
      <c r="C621" s="105"/>
      <c r="D621" s="10"/>
      <c r="E621" s="59" t="str">
        <f t="array" ref="E621">IF(COUNTA(C621:C1644)=0,"",SUM((COUNTIF(C$4:C621,Upgrades!$B$3:$B$13)-COUNTIF(C$4:C621,"Sell_"&amp;Upgrades!$B$3:$B$13))*Upgrades!$D$3:$D$13))</f>
        <v/>
      </c>
      <c r="F621" s="66" t="str">
        <f>IFERROR(__xludf.DUMMYFUNCTION("IF(COUNTA(C621:C1644)=0,"""",IF(REGEXMATCH(INDEX(FILTER(C$4:C621,C$4:C621&lt;&gt;""""),ROWS(FILTER(C$4:C621,C$4:C621&lt;&gt;""""))),""^Sell_""),INDEX(FILTER(F$4:F620,C$4:C620&lt;&gt;""""),ROWS(FILTER(C$4:C620,C$4:C620&lt;&gt;""""))),$AC$5+E621))"),"")</f>
        <v/>
      </c>
      <c r="G621" s="10" t="str">
        <f>IFERROR(__xludf.DUMMYFUNCTION("IF(COUNTA(C621:C1644)=0,"""",IF(C621="""",0,IF(REGEXMATCH(C621,""^Sell_""),-ROUNDDOWN(ROUNDUP(INDEX(Upgrades!$C$3:$C$13,MATCH(SUBSTITUTE(C621,""Sell_"",""""),Upgrades!$B$3:$B$13,0))*1.15^(COUNTIF(C$4:C620,SUBSTITUTE(C621,""Sell_"",""""))-COUNTIF(C$4:C620,"&amp;"""Sell_""&amp;SUBSTITUTE(C621,""Sell_"",""""))))/2),ROUNDUP(INDEX(Upgrades!$C$3:$C$13,MATCH(C621,Upgrades!$B$3:$B$13,0))*1.15^(COUNTIF(C$4:C620,C621)-COUNTIF(C$4:C620,""Sell_""&amp;C621))))))"),"")</f>
        <v/>
      </c>
      <c r="H621" s="10" t="str">
        <f t="shared" si="3"/>
        <v/>
      </c>
      <c r="I621" s="68" t="str">
        <f t="shared" si="4"/>
        <v/>
      </c>
      <c r="J621" s="59" t="str">
        <f t="shared" si="5"/>
        <v/>
      </c>
      <c r="K621" s="69" t="str">
        <f t="shared" si="6"/>
        <v/>
      </c>
      <c r="L621" s="60" t="str">
        <f t="shared" si="7"/>
        <v/>
      </c>
      <c r="M621" s="61" t="str">
        <f>IFERROR(__xludf.DUMMYFUNCTION("IFS(AND(COUNTA(C621:C1644)=0,COUNTA(Q621:Q1644)=0),"""",OR(AND(K621&gt;=1000000000,OR(Y621&gt;=1000000000,COUNTA(Q621:Q1644)=0)),OR(Y621&gt;=1000000000,AND(COUNTA(C621:C1644)=0,P$3=TRUE))),
ROUNDDOWN((AB$1-AC$1)*MAX(INDEX(T$4:T1644,MATCH(LARGE(FILTER(Y$4:Y1644,Y$4"&amp;":Y1644&lt;1000000000),1),Y$4:Y1644)),INDEX(F$4:F1644,MATCH(LARGE(FILTER(K$4:K1644,K$4:K1644&lt;1000000000),1),K$4:K1644)))),AND(K621&lt;1000000000,COUNTA(C621:C1644)&gt;0,P$3=FALSE),
ROUNDDOWN(INDEX(Y$4:Y1644,MATCH(LARGE(FILTER(W$4:W1644,W$4:W1644&lt;=I621),1),W$4:W1644"&amp;"))+(I621-LARGE(FILTER(W$4:W1644,W$4:W1644&lt;=I621),1))*INDEX(T$4:T1644,MATCH(LARGE(FILTER(W$4:W1644,W$4:W1644&lt;=I621),1),W$4:W1644))-K621),1,
ROUNDDOWN(Y621-INDEX(K$4:K1644,MATCH(LARGE(FILTER(I$4:I1644,I$4:I1644&lt;=W621),1),I$4:I1644))-(W621-LARGE(FILTER(I$4:I"&amp;"1644,I$4:I1644&lt;=W621),1))*INDEX(F$4:F1644,MATCH(LARGE(FILTER(I$4:I1644,I$4:I1644&lt;=W621),1),I$4:I1644))))"),"")</f>
        <v/>
      </c>
      <c r="N621" s="60" t="str">
        <f t="shared" si="8"/>
        <v/>
      </c>
      <c r="O621" s="61" t="str">
        <f t="shared" si="9"/>
        <v/>
      </c>
      <c r="P621" s="56" t="str">
        <f t="shared" si="10"/>
        <v/>
      </c>
      <c r="Q621" s="105"/>
      <c r="R621" s="10"/>
      <c r="S621" s="59" t="str">
        <f t="array" ref="S621">IF(COUNTA(Q621:Q1644)=0,"",SUM((COUNTIF(Q$4:Q621,Upgrades!$B$3:$B$13)-COUNTIF(Q$4:Q621,"Sell_"&amp;Upgrades!$B$3:$B$13))*Upgrades!$D$3:$D$13))</f>
        <v/>
      </c>
      <c r="T621" s="66" t="str">
        <f>IFERROR(__xludf.DUMMYFUNCTION("IF(COUNTA(Q621:Q1644)=0,"""",IF(REGEXMATCH(INDEX(FILTER(Q$4:Q621,Q$4:Q621&lt;&gt;""""),ROWS(FILTER(Q$4:Q621,Q$4:Q621&lt;&gt;""""))),""^Sell_""),INDEX(FILTER(T$4:T620,Q$4:Q620&lt;&gt;""""),ROWS(FILTER(Q$4:Q620,Q$4:Q620&lt;&gt;""""))),$AD$5+S621))"),"")</f>
        <v/>
      </c>
      <c r="U621" s="10" t="str">
        <f>IFERROR(__xludf.DUMMYFUNCTION("IF(COUNTA(Q621:Q1644)=0,"""",IF(Q621="""",0,IF(REGEXMATCH(Q621,""^Sell_""),-ROUNDDOWN(ROUNDUP(INDEX(Upgrades!$C$3:$C$13,MATCH(SUBSTITUTE(Q621,""Sell_"",""""),Upgrades!$B$3:$B$13,0))*1.15^(COUNTIF(Q$4:Q620,SUBSTITUTE(Q621,""Sell_"",""""))-COUNTIF(Q$4:Q620,"&amp;"""Sell_""&amp;SUBSTITUTE(Q621,""Sell_"",""""))))/2),ROUNDUP(INDEX(Upgrades!$C$3:$C$13,MATCH(Q621,Upgrades!$B$3:$B$13,0))*1.15^(COUNTIF(Q$4:Q620,Q621)-COUNTIF(Q$4:Q620,""Sell_""&amp;Q621))))))"),"")</f>
        <v/>
      </c>
      <c r="V621" s="10" t="str">
        <f t="shared" si="11"/>
        <v/>
      </c>
      <c r="W621" s="68" t="str">
        <f t="shared" si="12"/>
        <v/>
      </c>
      <c r="X621" s="59" t="str">
        <f t="shared" si="13"/>
        <v/>
      </c>
      <c r="Y621" s="69" t="str">
        <f t="shared" si="14"/>
        <v/>
      </c>
      <c r="Z621" s="11"/>
      <c r="AG621" s="59"/>
    </row>
    <row r="622">
      <c r="A622" s="8"/>
      <c r="B622" s="56" t="str">
        <f t="shared" si="2"/>
        <v/>
      </c>
      <c r="C622" s="105"/>
      <c r="D622" s="10"/>
      <c r="E622" s="59" t="str">
        <f t="array" ref="E622">IF(COUNTA(C622:C1644)=0,"",SUM((COUNTIF(C$4:C622,Upgrades!$B$3:$B$13)-COUNTIF(C$4:C622,"Sell_"&amp;Upgrades!$B$3:$B$13))*Upgrades!$D$3:$D$13))</f>
        <v/>
      </c>
      <c r="F622" s="66" t="str">
        <f>IFERROR(__xludf.DUMMYFUNCTION("IF(COUNTA(C622:C1644)=0,"""",IF(REGEXMATCH(INDEX(FILTER(C$4:C622,C$4:C622&lt;&gt;""""),ROWS(FILTER(C$4:C622,C$4:C622&lt;&gt;""""))),""^Sell_""),INDEX(FILTER(F$4:F621,C$4:C621&lt;&gt;""""),ROWS(FILTER(C$4:C621,C$4:C621&lt;&gt;""""))),$AC$5+E622))"),"")</f>
        <v/>
      </c>
      <c r="G622" s="10" t="str">
        <f>IFERROR(__xludf.DUMMYFUNCTION("IF(COUNTA(C622:C1644)=0,"""",IF(C622="""",0,IF(REGEXMATCH(C622,""^Sell_""),-ROUNDDOWN(ROUNDUP(INDEX(Upgrades!$C$3:$C$13,MATCH(SUBSTITUTE(C622,""Sell_"",""""),Upgrades!$B$3:$B$13,0))*1.15^(COUNTIF(C$4:C621,SUBSTITUTE(C622,""Sell_"",""""))-COUNTIF(C$4:C621,"&amp;"""Sell_""&amp;SUBSTITUTE(C622,""Sell_"",""""))))/2),ROUNDUP(INDEX(Upgrades!$C$3:$C$13,MATCH(C622,Upgrades!$B$3:$B$13,0))*1.15^(COUNTIF(C$4:C621,C622)-COUNTIF(C$4:C621,""Sell_""&amp;C622))))))"),"")</f>
        <v/>
      </c>
      <c r="H622" s="10" t="str">
        <f t="shared" si="3"/>
        <v/>
      </c>
      <c r="I622" s="68" t="str">
        <f t="shared" si="4"/>
        <v/>
      </c>
      <c r="J622" s="59" t="str">
        <f t="shared" si="5"/>
        <v/>
      </c>
      <c r="K622" s="69" t="str">
        <f t="shared" si="6"/>
        <v/>
      </c>
      <c r="L622" s="60" t="str">
        <f t="shared" si="7"/>
        <v/>
      </c>
      <c r="M622" s="61" t="str">
        <f>IFERROR(__xludf.DUMMYFUNCTION("IFS(AND(COUNTA(C622:C1644)=0,COUNTA(Q622:Q1644)=0),"""",OR(AND(K622&gt;=1000000000,OR(Y622&gt;=1000000000,COUNTA(Q622:Q1644)=0)),OR(Y622&gt;=1000000000,AND(COUNTA(C622:C1644)=0,P$3=TRUE))),
ROUNDDOWN((AB$1-AC$1)*MAX(INDEX(T$4:T1644,MATCH(LARGE(FILTER(Y$4:Y1644,Y$4"&amp;":Y1644&lt;1000000000),1),Y$4:Y1644)),INDEX(F$4:F1644,MATCH(LARGE(FILTER(K$4:K1644,K$4:K1644&lt;1000000000),1),K$4:K1644)))),AND(K622&lt;1000000000,COUNTA(C622:C1644)&gt;0,P$3=FALSE),
ROUNDDOWN(INDEX(Y$4:Y1644,MATCH(LARGE(FILTER(W$4:W1644,W$4:W1644&lt;=I622),1),W$4:W1644"&amp;"))+(I622-LARGE(FILTER(W$4:W1644,W$4:W1644&lt;=I622),1))*INDEX(T$4:T1644,MATCH(LARGE(FILTER(W$4:W1644,W$4:W1644&lt;=I622),1),W$4:W1644))-K622),1,
ROUNDDOWN(Y622-INDEX(K$4:K1644,MATCH(LARGE(FILTER(I$4:I1644,I$4:I1644&lt;=W622),1),I$4:I1644))-(W622-LARGE(FILTER(I$4:I"&amp;"1644,I$4:I1644&lt;=W622),1))*INDEX(F$4:F1644,MATCH(LARGE(FILTER(I$4:I1644,I$4:I1644&lt;=W622),1),I$4:I1644))))"),"")</f>
        <v/>
      </c>
      <c r="N622" s="60" t="str">
        <f t="shared" si="8"/>
        <v/>
      </c>
      <c r="O622" s="61" t="str">
        <f t="shared" si="9"/>
        <v/>
      </c>
      <c r="P622" s="56" t="str">
        <f t="shared" si="10"/>
        <v/>
      </c>
      <c r="Q622" s="105"/>
      <c r="R622" s="10"/>
      <c r="S622" s="59" t="str">
        <f t="array" ref="S622">IF(COUNTA(Q622:Q1644)=0,"",SUM((COUNTIF(Q$4:Q622,Upgrades!$B$3:$B$13)-COUNTIF(Q$4:Q622,"Sell_"&amp;Upgrades!$B$3:$B$13))*Upgrades!$D$3:$D$13))</f>
        <v/>
      </c>
      <c r="T622" s="66" t="str">
        <f>IFERROR(__xludf.DUMMYFUNCTION("IF(COUNTA(Q622:Q1644)=0,"""",IF(REGEXMATCH(INDEX(FILTER(Q$4:Q622,Q$4:Q622&lt;&gt;""""),ROWS(FILTER(Q$4:Q622,Q$4:Q622&lt;&gt;""""))),""^Sell_""),INDEX(FILTER(T$4:T621,Q$4:Q621&lt;&gt;""""),ROWS(FILTER(Q$4:Q621,Q$4:Q621&lt;&gt;""""))),$AD$5+S622))"),"")</f>
        <v/>
      </c>
      <c r="U622" s="10" t="str">
        <f>IFERROR(__xludf.DUMMYFUNCTION("IF(COUNTA(Q622:Q1644)=0,"""",IF(Q622="""",0,IF(REGEXMATCH(Q622,""^Sell_""),-ROUNDDOWN(ROUNDUP(INDEX(Upgrades!$C$3:$C$13,MATCH(SUBSTITUTE(Q622,""Sell_"",""""),Upgrades!$B$3:$B$13,0))*1.15^(COUNTIF(Q$4:Q621,SUBSTITUTE(Q622,""Sell_"",""""))-COUNTIF(Q$4:Q621,"&amp;"""Sell_""&amp;SUBSTITUTE(Q622,""Sell_"",""""))))/2),ROUNDUP(INDEX(Upgrades!$C$3:$C$13,MATCH(Q622,Upgrades!$B$3:$B$13,0))*1.15^(COUNTIF(Q$4:Q621,Q622)-COUNTIF(Q$4:Q621,""Sell_""&amp;Q622))))))"),"")</f>
        <v/>
      </c>
      <c r="V622" s="10" t="str">
        <f t="shared" si="11"/>
        <v/>
      </c>
      <c r="W622" s="68" t="str">
        <f t="shared" si="12"/>
        <v/>
      </c>
      <c r="X622" s="59" t="str">
        <f t="shared" si="13"/>
        <v/>
      </c>
      <c r="Y622" s="69" t="str">
        <f t="shared" si="14"/>
        <v/>
      </c>
      <c r="Z622" s="11"/>
      <c r="AG622" s="59"/>
    </row>
    <row r="623">
      <c r="A623" s="8"/>
      <c r="B623" s="56" t="str">
        <f t="shared" si="2"/>
        <v/>
      </c>
      <c r="C623" s="105"/>
      <c r="D623" s="10"/>
      <c r="E623" s="59" t="str">
        <f t="array" ref="E623">IF(COUNTA(C623:C1644)=0,"",SUM((COUNTIF(C$4:C623,Upgrades!$B$3:$B$13)-COUNTIF(C$4:C623,"Sell_"&amp;Upgrades!$B$3:$B$13))*Upgrades!$D$3:$D$13))</f>
        <v/>
      </c>
      <c r="F623" s="66" t="str">
        <f>IFERROR(__xludf.DUMMYFUNCTION("IF(COUNTA(C623:C1644)=0,"""",IF(REGEXMATCH(INDEX(FILTER(C$4:C623,C$4:C623&lt;&gt;""""),ROWS(FILTER(C$4:C623,C$4:C623&lt;&gt;""""))),""^Sell_""),INDEX(FILTER(F$4:F622,C$4:C622&lt;&gt;""""),ROWS(FILTER(C$4:C622,C$4:C622&lt;&gt;""""))),$AC$5+E623))"),"")</f>
        <v/>
      </c>
      <c r="G623" s="10" t="str">
        <f>IFERROR(__xludf.DUMMYFUNCTION("IF(COUNTA(C623:C1644)=0,"""",IF(C623="""",0,IF(REGEXMATCH(C623,""^Sell_""),-ROUNDDOWN(ROUNDUP(INDEX(Upgrades!$C$3:$C$13,MATCH(SUBSTITUTE(C623,""Sell_"",""""),Upgrades!$B$3:$B$13,0))*1.15^(COUNTIF(C$4:C622,SUBSTITUTE(C623,""Sell_"",""""))-COUNTIF(C$4:C622,"&amp;"""Sell_""&amp;SUBSTITUTE(C623,""Sell_"",""""))))/2),ROUNDUP(INDEX(Upgrades!$C$3:$C$13,MATCH(C623,Upgrades!$B$3:$B$13,0))*1.15^(COUNTIF(C$4:C622,C623)-COUNTIF(C$4:C622,""Sell_""&amp;C623))))))"),"")</f>
        <v/>
      </c>
      <c r="H623" s="10" t="str">
        <f t="shared" si="3"/>
        <v/>
      </c>
      <c r="I623" s="68" t="str">
        <f t="shared" si="4"/>
        <v/>
      </c>
      <c r="J623" s="59" t="str">
        <f t="shared" si="5"/>
        <v/>
      </c>
      <c r="K623" s="69" t="str">
        <f t="shared" si="6"/>
        <v/>
      </c>
      <c r="L623" s="60" t="str">
        <f t="shared" si="7"/>
        <v/>
      </c>
      <c r="M623" s="61" t="str">
        <f>IFERROR(__xludf.DUMMYFUNCTION("IFS(AND(COUNTA(C623:C1644)=0,COUNTA(Q623:Q1644)=0),"""",OR(AND(K623&gt;=1000000000,OR(Y623&gt;=1000000000,COUNTA(Q623:Q1644)=0)),OR(Y623&gt;=1000000000,AND(COUNTA(C623:C1644)=0,P$3=TRUE))),
ROUNDDOWN((AB$1-AC$1)*MAX(INDEX(T$4:T1644,MATCH(LARGE(FILTER(Y$4:Y1644,Y$4"&amp;":Y1644&lt;1000000000),1),Y$4:Y1644)),INDEX(F$4:F1644,MATCH(LARGE(FILTER(K$4:K1644,K$4:K1644&lt;1000000000),1),K$4:K1644)))),AND(K623&lt;1000000000,COUNTA(C623:C1644)&gt;0,P$3=FALSE),
ROUNDDOWN(INDEX(Y$4:Y1644,MATCH(LARGE(FILTER(W$4:W1644,W$4:W1644&lt;=I623),1),W$4:W1644"&amp;"))+(I623-LARGE(FILTER(W$4:W1644,W$4:W1644&lt;=I623),1))*INDEX(T$4:T1644,MATCH(LARGE(FILTER(W$4:W1644,W$4:W1644&lt;=I623),1),W$4:W1644))-K623),1,
ROUNDDOWN(Y623-INDEX(K$4:K1644,MATCH(LARGE(FILTER(I$4:I1644,I$4:I1644&lt;=W623),1),I$4:I1644))-(W623-LARGE(FILTER(I$4:I"&amp;"1644,I$4:I1644&lt;=W623),1))*INDEX(F$4:F1644,MATCH(LARGE(FILTER(I$4:I1644,I$4:I1644&lt;=W623),1),I$4:I1644))))"),"")</f>
        <v/>
      </c>
      <c r="N623" s="60" t="str">
        <f t="shared" si="8"/>
        <v/>
      </c>
      <c r="O623" s="61" t="str">
        <f t="shared" si="9"/>
        <v/>
      </c>
      <c r="P623" s="56" t="str">
        <f t="shared" si="10"/>
        <v/>
      </c>
      <c r="Q623" s="105"/>
      <c r="R623" s="10"/>
      <c r="S623" s="59" t="str">
        <f t="array" ref="S623">IF(COUNTA(Q623:Q1644)=0,"",SUM((COUNTIF(Q$4:Q623,Upgrades!$B$3:$B$13)-COUNTIF(Q$4:Q623,"Sell_"&amp;Upgrades!$B$3:$B$13))*Upgrades!$D$3:$D$13))</f>
        <v/>
      </c>
      <c r="T623" s="66" t="str">
        <f>IFERROR(__xludf.DUMMYFUNCTION("IF(COUNTA(Q623:Q1644)=0,"""",IF(REGEXMATCH(INDEX(FILTER(Q$4:Q623,Q$4:Q623&lt;&gt;""""),ROWS(FILTER(Q$4:Q623,Q$4:Q623&lt;&gt;""""))),""^Sell_""),INDEX(FILTER(T$4:T622,Q$4:Q622&lt;&gt;""""),ROWS(FILTER(Q$4:Q622,Q$4:Q622&lt;&gt;""""))),$AD$5+S623))"),"")</f>
        <v/>
      </c>
      <c r="U623" s="10" t="str">
        <f>IFERROR(__xludf.DUMMYFUNCTION("IF(COUNTA(Q623:Q1644)=0,"""",IF(Q623="""",0,IF(REGEXMATCH(Q623,""^Sell_""),-ROUNDDOWN(ROUNDUP(INDEX(Upgrades!$C$3:$C$13,MATCH(SUBSTITUTE(Q623,""Sell_"",""""),Upgrades!$B$3:$B$13,0))*1.15^(COUNTIF(Q$4:Q622,SUBSTITUTE(Q623,""Sell_"",""""))-COUNTIF(Q$4:Q622,"&amp;"""Sell_""&amp;SUBSTITUTE(Q623,""Sell_"",""""))))/2),ROUNDUP(INDEX(Upgrades!$C$3:$C$13,MATCH(Q623,Upgrades!$B$3:$B$13,0))*1.15^(COUNTIF(Q$4:Q622,Q623)-COUNTIF(Q$4:Q622,""Sell_""&amp;Q623))))))"),"")</f>
        <v/>
      </c>
      <c r="V623" s="10" t="str">
        <f t="shared" si="11"/>
        <v/>
      </c>
      <c r="W623" s="68" t="str">
        <f t="shared" si="12"/>
        <v/>
      </c>
      <c r="X623" s="59" t="str">
        <f t="shared" si="13"/>
        <v/>
      </c>
      <c r="Y623" s="69" t="str">
        <f t="shared" si="14"/>
        <v/>
      </c>
      <c r="Z623" s="11"/>
      <c r="AG623" s="59"/>
    </row>
    <row r="624">
      <c r="A624" s="8"/>
      <c r="B624" s="56" t="str">
        <f t="shared" si="2"/>
        <v/>
      </c>
      <c r="C624" s="105"/>
      <c r="D624" s="10"/>
      <c r="E624" s="59" t="str">
        <f t="array" ref="E624">IF(COUNTA(C624:C1644)=0,"",SUM((COUNTIF(C$4:C624,Upgrades!$B$3:$B$13)-COUNTIF(C$4:C624,"Sell_"&amp;Upgrades!$B$3:$B$13))*Upgrades!$D$3:$D$13))</f>
        <v/>
      </c>
      <c r="F624" s="66" t="str">
        <f>IFERROR(__xludf.DUMMYFUNCTION("IF(COUNTA(C624:C1644)=0,"""",IF(REGEXMATCH(INDEX(FILTER(C$4:C624,C$4:C624&lt;&gt;""""),ROWS(FILTER(C$4:C624,C$4:C624&lt;&gt;""""))),""^Sell_""),INDEX(FILTER(F$4:F623,C$4:C623&lt;&gt;""""),ROWS(FILTER(C$4:C623,C$4:C623&lt;&gt;""""))),$AC$5+E624))"),"")</f>
        <v/>
      </c>
      <c r="G624" s="10" t="str">
        <f>IFERROR(__xludf.DUMMYFUNCTION("IF(COUNTA(C624:C1644)=0,"""",IF(C624="""",0,IF(REGEXMATCH(C624,""^Sell_""),-ROUNDDOWN(ROUNDUP(INDEX(Upgrades!$C$3:$C$13,MATCH(SUBSTITUTE(C624,""Sell_"",""""),Upgrades!$B$3:$B$13,0))*1.15^(COUNTIF(C$4:C623,SUBSTITUTE(C624,""Sell_"",""""))-COUNTIF(C$4:C623,"&amp;"""Sell_""&amp;SUBSTITUTE(C624,""Sell_"",""""))))/2),ROUNDUP(INDEX(Upgrades!$C$3:$C$13,MATCH(C624,Upgrades!$B$3:$B$13,0))*1.15^(COUNTIF(C$4:C623,C624)-COUNTIF(C$4:C623,""Sell_""&amp;C624))))))"),"")</f>
        <v/>
      </c>
      <c r="H624" s="10" t="str">
        <f t="shared" si="3"/>
        <v/>
      </c>
      <c r="I624" s="68" t="str">
        <f t="shared" si="4"/>
        <v/>
      </c>
      <c r="J624" s="59" t="str">
        <f t="shared" si="5"/>
        <v/>
      </c>
      <c r="K624" s="69" t="str">
        <f t="shared" si="6"/>
        <v/>
      </c>
      <c r="L624" s="60" t="str">
        <f t="shared" si="7"/>
        <v/>
      </c>
      <c r="M624" s="61" t="str">
        <f>IFERROR(__xludf.DUMMYFUNCTION("IFS(AND(COUNTA(C624:C1644)=0,COUNTA(Q624:Q1644)=0),"""",OR(AND(K624&gt;=1000000000,OR(Y624&gt;=1000000000,COUNTA(Q624:Q1644)=0)),OR(Y624&gt;=1000000000,AND(COUNTA(C624:C1644)=0,P$3=TRUE))),
ROUNDDOWN((AB$1-AC$1)*MAX(INDEX(T$4:T1644,MATCH(LARGE(FILTER(Y$4:Y1644,Y$4"&amp;":Y1644&lt;1000000000),1),Y$4:Y1644)),INDEX(F$4:F1644,MATCH(LARGE(FILTER(K$4:K1644,K$4:K1644&lt;1000000000),1),K$4:K1644)))),AND(K624&lt;1000000000,COUNTA(C624:C1644)&gt;0,P$3=FALSE),
ROUNDDOWN(INDEX(Y$4:Y1644,MATCH(LARGE(FILTER(W$4:W1644,W$4:W1644&lt;=I624),1),W$4:W1644"&amp;"))+(I624-LARGE(FILTER(W$4:W1644,W$4:W1644&lt;=I624),1))*INDEX(T$4:T1644,MATCH(LARGE(FILTER(W$4:W1644,W$4:W1644&lt;=I624),1),W$4:W1644))-K624),1,
ROUNDDOWN(Y624-INDEX(K$4:K1644,MATCH(LARGE(FILTER(I$4:I1644,I$4:I1644&lt;=W624),1),I$4:I1644))-(W624-LARGE(FILTER(I$4:I"&amp;"1644,I$4:I1644&lt;=W624),1))*INDEX(F$4:F1644,MATCH(LARGE(FILTER(I$4:I1644,I$4:I1644&lt;=W624),1),I$4:I1644))))"),"")</f>
        <v/>
      </c>
      <c r="N624" s="60" t="str">
        <f t="shared" si="8"/>
        <v/>
      </c>
      <c r="O624" s="61" t="str">
        <f t="shared" si="9"/>
        <v/>
      </c>
      <c r="P624" s="56" t="str">
        <f t="shared" si="10"/>
        <v/>
      </c>
      <c r="Q624" s="105"/>
      <c r="R624" s="10"/>
      <c r="S624" s="59" t="str">
        <f t="array" ref="S624">IF(COUNTA(Q624:Q1644)=0,"",SUM((COUNTIF(Q$4:Q624,Upgrades!$B$3:$B$13)-COUNTIF(Q$4:Q624,"Sell_"&amp;Upgrades!$B$3:$B$13))*Upgrades!$D$3:$D$13))</f>
        <v/>
      </c>
      <c r="T624" s="66" t="str">
        <f>IFERROR(__xludf.DUMMYFUNCTION("IF(COUNTA(Q624:Q1644)=0,"""",IF(REGEXMATCH(INDEX(FILTER(Q$4:Q624,Q$4:Q624&lt;&gt;""""),ROWS(FILTER(Q$4:Q624,Q$4:Q624&lt;&gt;""""))),""^Sell_""),INDEX(FILTER(T$4:T623,Q$4:Q623&lt;&gt;""""),ROWS(FILTER(Q$4:Q623,Q$4:Q623&lt;&gt;""""))),$AD$5+S624))"),"")</f>
        <v/>
      </c>
      <c r="U624" s="10" t="str">
        <f>IFERROR(__xludf.DUMMYFUNCTION("IF(COUNTA(Q624:Q1644)=0,"""",IF(Q624="""",0,IF(REGEXMATCH(Q624,""^Sell_""),-ROUNDDOWN(ROUNDUP(INDEX(Upgrades!$C$3:$C$13,MATCH(SUBSTITUTE(Q624,""Sell_"",""""),Upgrades!$B$3:$B$13,0))*1.15^(COUNTIF(Q$4:Q623,SUBSTITUTE(Q624,""Sell_"",""""))-COUNTIF(Q$4:Q623,"&amp;"""Sell_""&amp;SUBSTITUTE(Q624,""Sell_"",""""))))/2),ROUNDUP(INDEX(Upgrades!$C$3:$C$13,MATCH(Q624,Upgrades!$B$3:$B$13,0))*1.15^(COUNTIF(Q$4:Q623,Q624)-COUNTIF(Q$4:Q623,""Sell_""&amp;Q624))))))"),"")</f>
        <v/>
      </c>
      <c r="V624" s="10" t="str">
        <f t="shared" si="11"/>
        <v/>
      </c>
      <c r="W624" s="68" t="str">
        <f t="shared" si="12"/>
        <v/>
      </c>
      <c r="X624" s="59" t="str">
        <f t="shared" si="13"/>
        <v/>
      </c>
      <c r="Y624" s="69" t="str">
        <f t="shared" si="14"/>
        <v/>
      </c>
      <c r="Z624" s="11"/>
      <c r="AG624" s="59"/>
    </row>
    <row r="625">
      <c r="A625" s="8"/>
      <c r="B625" s="56" t="str">
        <f t="shared" si="2"/>
        <v/>
      </c>
      <c r="C625" s="105"/>
      <c r="D625" s="10"/>
      <c r="E625" s="59" t="str">
        <f t="array" ref="E625">IF(COUNTA(C625:C1644)=0,"",SUM((COUNTIF(C$4:C625,Upgrades!$B$3:$B$13)-COUNTIF(C$4:C625,"Sell_"&amp;Upgrades!$B$3:$B$13))*Upgrades!$D$3:$D$13))</f>
        <v/>
      </c>
      <c r="F625" s="66" t="str">
        <f>IFERROR(__xludf.DUMMYFUNCTION("IF(COUNTA(C625:C1644)=0,"""",IF(REGEXMATCH(INDEX(FILTER(C$4:C625,C$4:C625&lt;&gt;""""),ROWS(FILTER(C$4:C625,C$4:C625&lt;&gt;""""))),""^Sell_""),INDEX(FILTER(F$4:F624,C$4:C624&lt;&gt;""""),ROWS(FILTER(C$4:C624,C$4:C624&lt;&gt;""""))),$AC$5+E625))"),"")</f>
        <v/>
      </c>
      <c r="G625" s="10" t="str">
        <f>IFERROR(__xludf.DUMMYFUNCTION("IF(COUNTA(C625:C1644)=0,"""",IF(C625="""",0,IF(REGEXMATCH(C625,""^Sell_""),-ROUNDDOWN(ROUNDUP(INDEX(Upgrades!$C$3:$C$13,MATCH(SUBSTITUTE(C625,""Sell_"",""""),Upgrades!$B$3:$B$13,0))*1.15^(COUNTIF(C$4:C624,SUBSTITUTE(C625,""Sell_"",""""))-COUNTIF(C$4:C624,"&amp;"""Sell_""&amp;SUBSTITUTE(C625,""Sell_"",""""))))/2),ROUNDUP(INDEX(Upgrades!$C$3:$C$13,MATCH(C625,Upgrades!$B$3:$B$13,0))*1.15^(COUNTIF(C$4:C624,C625)-COUNTIF(C$4:C624,""Sell_""&amp;C625))))))"),"")</f>
        <v/>
      </c>
      <c r="H625" s="10" t="str">
        <f t="shared" si="3"/>
        <v/>
      </c>
      <c r="I625" s="68" t="str">
        <f t="shared" si="4"/>
        <v/>
      </c>
      <c r="J625" s="59" t="str">
        <f t="shared" si="5"/>
        <v/>
      </c>
      <c r="K625" s="69" t="str">
        <f t="shared" si="6"/>
        <v/>
      </c>
      <c r="L625" s="60" t="str">
        <f t="shared" si="7"/>
        <v/>
      </c>
      <c r="M625" s="61" t="str">
        <f>IFERROR(__xludf.DUMMYFUNCTION("IFS(AND(COUNTA(C625:C1644)=0,COUNTA(Q625:Q1644)=0),"""",OR(AND(K625&gt;=1000000000,OR(Y625&gt;=1000000000,COUNTA(Q625:Q1644)=0)),OR(Y625&gt;=1000000000,AND(COUNTA(C625:C1644)=0,P$3=TRUE))),
ROUNDDOWN((AB$1-AC$1)*MAX(INDEX(T$4:T1644,MATCH(LARGE(FILTER(Y$4:Y1644,Y$4"&amp;":Y1644&lt;1000000000),1),Y$4:Y1644)),INDEX(F$4:F1644,MATCH(LARGE(FILTER(K$4:K1644,K$4:K1644&lt;1000000000),1),K$4:K1644)))),AND(K625&lt;1000000000,COUNTA(C625:C1644)&gt;0,P$3=FALSE),
ROUNDDOWN(INDEX(Y$4:Y1644,MATCH(LARGE(FILTER(W$4:W1644,W$4:W1644&lt;=I625),1),W$4:W1644"&amp;"))+(I625-LARGE(FILTER(W$4:W1644,W$4:W1644&lt;=I625),1))*INDEX(T$4:T1644,MATCH(LARGE(FILTER(W$4:W1644,W$4:W1644&lt;=I625),1),W$4:W1644))-K625),1,
ROUNDDOWN(Y625-INDEX(K$4:K1644,MATCH(LARGE(FILTER(I$4:I1644,I$4:I1644&lt;=W625),1),I$4:I1644))-(W625-LARGE(FILTER(I$4:I"&amp;"1644,I$4:I1644&lt;=W625),1))*INDEX(F$4:F1644,MATCH(LARGE(FILTER(I$4:I1644,I$4:I1644&lt;=W625),1),I$4:I1644))))"),"")</f>
        <v/>
      </c>
      <c r="N625" s="60" t="str">
        <f t="shared" si="8"/>
        <v/>
      </c>
      <c r="O625" s="61" t="str">
        <f t="shared" si="9"/>
        <v/>
      </c>
      <c r="P625" s="56" t="str">
        <f t="shared" si="10"/>
        <v/>
      </c>
      <c r="Q625" s="105"/>
      <c r="R625" s="10"/>
      <c r="S625" s="59" t="str">
        <f t="array" ref="S625">IF(COUNTA(Q625:Q1644)=0,"",SUM((COUNTIF(Q$4:Q625,Upgrades!$B$3:$B$13)-COUNTIF(Q$4:Q625,"Sell_"&amp;Upgrades!$B$3:$B$13))*Upgrades!$D$3:$D$13))</f>
        <v/>
      </c>
      <c r="T625" s="66" t="str">
        <f>IFERROR(__xludf.DUMMYFUNCTION("IF(COUNTA(Q625:Q1644)=0,"""",IF(REGEXMATCH(INDEX(FILTER(Q$4:Q625,Q$4:Q625&lt;&gt;""""),ROWS(FILTER(Q$4:Q625,Q$4:Q625&lt;&gt;""""))),""^Sell_""),INDEX(FILTER(T$4:T624,Q$4:Q624&lt;&gt;""""),ROWS(FILTER(Q$4:Q624,Q$4:Q624&lt;&gt;""""))),$AD$5+S625))"),"")</f>
        <v/>
      </c>
      <c r="U625" s="10" t="str">
        <f>IFERROR(__xludf.DUMMYFUNCTION("IF(COUNTA(Q625:Q1644)=0,"""",IF(Q625="""",0,IF(REGEXMATCH(Q625,""^Sell_""),-ROUNDDOWN(ROUNDUP(INDEX(Upgrades!$C$3:$C$13,MATCH(SUBSTITUTE(Q625,""Sell_"",""""),Upgrades!$B$3:$B$13,0))*1.15^(COUNTIF(Q$4:Q624,SUBSTITUTE(Q625,""Sell_"",""""))-COUNTIF(Q$4:Q624,"&amp;"""Sell_""&amp;SUBSTITUTE(Q625,""Sell_"",""""))))/2),ROUNDUP(INDEX(Upgrades!$C$3:$C$13,MATCH(Q625,Upgrades!$B$3:$B$13,0))*1.15^(COUNTIF(Q$4:Q624,Q625)-COUNTIF(Q$4:Q624,""Sell_""&amp;Q625))))))"),"")</f>
        <v/>
      </c>
      <c r="V625" s="10" t="str">
        <f t="shared" si="11"/>
        <v/>
      </c>
      <c r="W625" s="68" t="str">
        <f t="shared" si="12"/>
        <v/>
      </c>
      <c r="X625" s="59" t="str">
        <f t="shared" si="13"/>
        <v/>
      </c>
      <c r="Y625" s="69" t="str">
        <f t="shared" si="14"/>
        <v/>
      </c>
      <c r="Z625" s="11"/>
      <c r="AG625" s="59"/>
    </row>
    <row r="626">
      <c r="A626" s="8"/>
      <c r="B626" s="56" t="str">
        <f t="shared" si="2"/>
        <v/>
      </c>
      <c r="C626" s="105"/>
      <c r="D626" s="10"/>
      <c r="E626" s="59" t="str">
        <f t="array" ref="E626">IF(COUNTA(C626:C1644)=0,"",SUM((COUNTIF(C$4:C626,Upgrades!$B$3:$B$13)-COUNTIF(C$4:C626,"Sell_"&amp;Upgrades!$B$3:$B$13))*Upgrades!$D$3:$D$13))</f>
        <v/>
      </c>
      <c r="F626" s="66" t="str">
        <f>IFERROR(__xludf.DUMMYFUNCTION("IF(COUNTA(C626:C1644)=0,"""",IF(REGEXMATCH(INDEX(FILTER(C$4:C626,C$4:C626&lt;&gt;""""),ROWS(FILTER(C$4:C626,C$4:C626&lt;&gt;""""))),""^Sell_""),INDEX(FILTER(F$4:F625,C$4:C625&lt;&gt;""""),ROWS(FILTER(C$4:C625,C$4:C625&lt;&gt;""""))),$AC$5+E626))"),"")</f>
        <v/>
      </c>
      <c r="G626" s="10" t="str">
        <f>IFERROR(__xludf.DUMMYFUNCTION("IF(COUNTA(C626:C1644)=0,"""",IF(C626="""",0,IF(REGEXMATCH(C626,""^Sell_""),-ROUNDDOWN(ROUNDUP(INDEX(Upgrades!$C$3:$C$13,MATCH(SUBSTITUTE(C626,""Sell_"",""""),Upgrades!$B$3:$B$13,0))*1.15^(COUNTIF(C$4:C625,SUBSTITUTE(C626,""Sell_"",""""))-COUNTIF(C$4:C625,"&amp;"""Sell_""&amp;SUBSTITUTE(C626,""Sell_"",""""))))/2),ROUNDUP(INDEX(Upgrades!$C$3:$C$13,MATCH(C626,Upgrades!$B$3:$B$13,0))*1.15^(COUNTIF(C$4:C625,C626)-COUNTIF(C$4:C625,""Sell_""&amp;C626))))))"),"")</f>
        <v/>
      </c>
      <c r="H626" s="10" t="str">
        <f t="shared" si="3"/>
        <v/>
      </c>
      <c r="I626" s="68" t="str">
        <f t="shared" si="4"/>
        <v/>
      </c>
      <c r="J626" s="59" t="str">
        <f t="shared" si="5"/>
        <v/>
      </c>
      <c r="K626" s="69" t="str">
        <f t="shared" si="6"/>
        <v/>
      </c>
      <c r="L626" s="60" t="str">
        <f t="shared" si="7"/>
        <v/>
      </c>
      <c r="M626" s="61" t="str">
        <f>IFERROR(__xludf.DUMMYFUNCTION("IFS(AND(COUNTA(C626:C1644)=0,COUNTA(Q626:Q1644)=0),"""",OR(AND(K626&gt;=1000000000,OR(Y626&gt;=1000000000,COUNTA(Q626:Q1644)=0)),OR(Y626&gt;=1000000000,AND(COUNTA(C626:C1644)=0,P$3=TRUE))),
ROUNDDOWN((AB$1-AC$1)*MAX(INDEX(T$4:T1644,MATCH(LARGE(FILTER(Y$4:Y1644,Y$4"&amp;":Y1644&lt;1000000000),1),Y$4:Y1644)),INDEX(F$4:F1644,MATCH(LARGE(FILTER(K$4:K1644,K$4:K1644&lt;1000000000),1),K$4:K1644)))),AND(K626&lt;1000000000,COUNTA(C626:C1644)&gt;0,P$3=FALSE),
ROUNDDOWN(INDEX(Y$4:Y1644,MATCH(LARGE(FILTER(W$4:W1644,W$4:W1644&lt;=I626),1),W$4:W1644"&amp;"))+(I626-LARGE(FILTER(W$4:W1644,W$4:W1644&lt;=I626),1))*INDEX(T$4:T1644,MATCH(LARGE(FILTER(W$4:W1644,W$4:W1644&lt;=I626),1),W$4:W1644))-K626),1,
ROUNDDOWN(Y626-INDEX(K$4:K1644,MATCH(LARGE(FILTER(I$4:I1644,I$4:I1644&lt;=W626),1),I$4:I1644))-(W626-LARGE(FILTER(I$4:I"&amp;"1644,I$4:I1644&lt;=W626),1))*INDEX(F$4:F1644,MATCH(LARGE(FILTER(I$4:I1644,I$4:I1644&lt;=W626),1),I$4:I1644))))"),"")</f>
        <v/>
      </c>
      <c r="N626" s="60" t="str">
        <f t="shared" si="8"/>
        <v/>
      </c>
      <c r="O626" s="61" t="str">
        <f t="shared" si="9"/>
        <v/>
      </c>
      <c r="P626" s="56" t="str">
        <f t="shared" si="10"/>
        <v/>
      </c>
      <c r="Q626" s="105"/>
      <c r="R626" s="10"/>
      <c r="S626" s="59" t="str">
        <f t="array" ref="S626">IF(COUNTA(Q626:Q1644)=0,"",SUM((COUNTIF(Q$4:Q626,Upgrades!$B$3:$B$13)-COUNTIF(Q$4:Q626,"Sell_"&amp;Upgrades!$B$3:$B$13))*Upgrades!$D$3:$D$13))</f>
        <v/>
      </c>
      <c r="T626" s="66" t="str">
        <f>IFERROR(__xludf.DUMMYFUNCTION("IF(COUNTA(Q626:Q1644)=0,"""",IF(REGEXMATCH(INDEX(FILTER(Q$4:Q626,Q$4:Q626&lt;&gt;""""),ROWS(FILTER(Q$4:Q626,Q$4:Q626&lt;&gt;""""))),""^Sell_""),INDEX(FILTER(T$4:T625,Q$4:Q625&lt;&gt;""""),ROWS(FILTER(Q$4:Q625,Q$4:Q625&lt;&gt;""""))),$AD$5+S626))"),"")</f>
        <v/>
      </c>
      <c r="U626" s="10" t="str">
        <f>IFERROR(__xludf.DUMMYFUNCTION("IF(COUNTA(Q626:Q1644)=0,"""",IF(Q626="""",0,IF(REGEXMATCH(Q626,""^Sell_""),-ROUNDDOWN(ROUNDUP(INDEX(Upgrades!$C$3:$C$13,MATCH(SUBSTITUTE(Q626,""Sell_"",""""),Upgrades!$B$3:$B$13,0))*1.15^(COUNTIF(Q$4:Q625,SUBSTITUTE(Q626,""Sell_"",""""))-COUNTIF(Q$4:Q625,"&amp;"""Sell_""&amp;SUBSTITUTE(Q626,""Sell_"",""""))))/2),ROUNDUP(INDEX(Upgrades!$C$3:$C$13,MATCH(Q626,Upgrades!$B$3:$B$13,0))*1.15^(COUNTIF(Q$4:Q625,Q626)-COUNTIF(Q$4:Q625,""Sell_""&amp;Q626))))))"),"")</f>
        <v/>
      </c>
      <c r="V626" s="10" t="str">
        <f t="shared" si="11"/>
        <v/>
      </c>
      <c r="W626" s="68" t="str">
        <f t="shared" si="12"/>
        <v/>
      </c>
      <c r="X626" s="59" t="str">
        <f t="shared" si="13"/>
        <v/>
      </c>
      <c r="Y626" s="69" t="str">
        <f t="shared" si="14"/>
        <v/>
      </c>
      <c r="Z626" s="11"/>
      <c r="AG626" s="59"/>
    </row>
    <row r="627">
      <c r="A627" s="8"/>
      <c r="B627" s="56" t="str">
        <f t="shared" si="2"/>
        <v/>
      </c>
      <c r="C627" s="105"/>
      <c r="D627" s="10"/>
      <c r="E627" s="59" t="str">
        <f t="array" ref="E627">IF(COUNTA(C627:C1644)=0,"",SUM((COUNTIF(C$4:C627,Upgrades!$B$3:$B$13)-COUNTIF(C$4:C627,"Sell_"&amp;Upgrades!$B$3:$B$13))*Upgrades!$D$3:$D$13))</f>
        <v/>
      </c>
      <c r="F627" s="66" t="str">
        <f>IFERROR(__xludf.DUMMYFUNCTION("IF(COUNTA(C627:C1644)=0,"""",IF(REGEXMATCH(INDEX(FILTER(C$4:C627,C$4:C627&lt;&gt;""""),ROWS(FILTER(C$4:C627,C$4:C627&lt;&gt;""""))),""^Sell_""),INDEX(FILTER(F$4:F626,C$4:C626&lt;&gt;""""),ROWS(FILTER(C$4:C626,C$4:C626&lt;&gt;""""))),$AC$5+E627))"),"")</f>
        <v/>
      </c>
      <c r="G627" s="10" t="str">
        <f>IFERROR(__xludf.DUMMYFUNCTION("IF(COUNTA(C627:C1644)=0,"""",IF(C627="""",0,IF(REGEXMATCH(C627,""^Sell_""),-ROUNDDOWN(ROUNDUP(INDEX(Upgrades!$C$3:$C$13,MATCH(SUBSTITUTE(C627,""Sell_"",""""),Upgrades!$B$3:$B$13,0))*1.15^(COUNTIF(C$4:C626,SUBSTITUTE(C627,""Sell_"",""""))-COUNTIF(C$4:C626,"&amp;"""Sell_""&amp;SUBSTITUTE(C627,""Sell_"",""""))))/2),ROUNDUP(INDEX(Upgrades!$C$3:$C$13,MATCH(C627,Upgrades!$B$3:$B$13,0))*1.15^(COUNTIF(C$4:C626,C627)-COUNTIF(C$4:C626,""Sell_""&amp;C627))))))"),"")</f>
        <v/>
      </c>
      <c r="H627" s="10" t="str">
        <f t="shared" si="3"/>
        <v/>
      </c>
      <c r="I627" s="68" t="str">
        <f t="shared" si="4"/>
        <v/>
      </c>
      <c r="J627" s="59" t="str">
        <f t="shared" si="5"/>
        <v/>
      </c>
      <c r="K627" s="69" t="str">
        <f t="shared" si="6"/>
        <v/>
      </c>
      <c r="L627" s="60" t="str">
        <f t="shared" si="7"/>
        <v/>
      </c>
      <c r="M627" s="61" t="str">
        <f>IFERROR(__xludf.DUMMYFUNCTION("IFS(AND(COUNTA(C627:C1644)=0,COUNTA(Q627:Q1644)=0),"""",OR(AND(K627&gt;=1000000000,OR(Y627&gt;=1000000000,COUNTA(Q627:Q1644)=0)),OR(Y627&gt;=1000000000,AND(COUNTA(C627:C1644)=0,P$3=TRUE))),
ROUNDDOWN((AB$1-AC$1)*MAX(INDEX(T$4:T1644,MATCH(LARGE(FILTER(Y$4:Y1644,Y$4"&amp;":Y1644&lt;1000000000),1),Y$4:Y1644)),INDEX(F$4:F1644,MATCH(LARGE(FILTER(K$4:K1644,K$4:K1644&lt;1000000000),1),K$4:K1644)))),AND(K627&lt;1000000000,COUNTA(C627:C1644)&gt;0,P$3=FALSE),
ROUNDDOWN(INDEX(Y$4:Y1644,MATCH(LARGE(FILTER(W$4:W1644,W$4:W1644&lt;=I627),1),W$4:W1644"&amp;"))+(I627-LARGE(FILTER(W$4:W1644,W$4:W1644&lt;=I627),1))*INDEX(T$4:T1644,MATCH(LARGE(FILTER(W$4:W1644,W$4:W1644&lt;=I627),1),W$4:W1644))-K627),1,
ROUNDDOWN(Y627-INDEX(K$4:K1644,MATCH(LARGE(FILTER(I$4:I1644,I$4:I1644&lt;=W627),1),I$4:I1644))-(W627-LARGE(FILTER(I$4:I"&amp;"1644,I$4:I1644&lt;=W627),1))*INDEX(F$4:F1644,MATCH(LARGE(FILTER(I$4:I1644,I$4:I1644&lt;=W627),1),I$4:I1644))))"),"")</f>
        <v/>
      </c>
      <c r="N627" s="60" t="str">
        <f t="shared" si="8"/>
        <v/>
      </c>
      <c r="O627" s="61" t="str">
        <f t="shared" si="9"/>
        <v/>
      </c>
      <c r="P627" s="56" t="str">
        <f t="shared" si="10"/>
        <v/>
      </c>
      <c r="Q627" s="105"/>
      <c r="R627" s="10"/>
      <c r="S627" s="59" t="str">
        <f t="array" ref="S627">IF(COUNTA(Q627:Q1644)=0,"",SUM((COUNTIF(Q$4:Q627,Upgrades!$B$3:$B$13)-COUNTIF(Q$4:Q627,"Sell_"&amp;Upgrades!$B$3:$B$13))*Upgrades!$D$3:$D$13))</f>
        <v/>
      </c>
      <c r="T627" s="66" t="str">
        <f>IFERROR(__xludf.DUMMYFUNCTION("IF(COUNTA(Q627:Q1644)=0,"""",IF(REGEXMATCH(INDEX(FILTER(Q$4:Q627,Q$4:Q627&lt;&gt;""""),ROWS(FILTER(Q$4:Q627,Q$4:Q627&lt;&gt;""""))),""^Sell_""),INDEX(FILTER(T$4:T626,Q$4:Q626&lt;&gt;""""),ROWS(FILTER(Q$4:Q626,Q$4:Q626&lt;&gt;""""))),$AD$5+S627))"),"")</f>
        <v/>
      </c>
      <c r="U627" s="10" t="str">
        <f>IFERROR(__xludf.DUMMYFUNCTION("IF(COUNTA(Q627:Q1644)=0,"""",IF(Q627="""",0,IF(REGEXMATCH(Q627,""^Sell_""),-ROUNDDOWN(ROUNDUP(INDEX(Upgrades!$C$3:$C$13,MATCH(SUBSTITUTE(Q627,""Sell_"",""""),Upgrades!$B$3:$B$13,0))*1.15^(COUNTIF(Q$4:Q626,SUBSTITUTE(Q627,""Sell_"",""""))-COUNTIF(Q$4:Q626,"&amp;"""Sell_""&amp;SUBSTITUTE(Q627,""Sell_"",""""))))/2),ROUNDUP(INDEX(Upgrades!$C$3:$C$13,MATCH(Q627,Upgrades!$B$3:$B$13,0))*1.15^(COUNTIF(Q$4:Q626,Q627)-COUNTIF(Q$4:Q626,""Sell_""&amp;Q627))))))"),"")</f>
        <v/>
      </c>
      <c r="V627" s="10" t="str">
        <f t="shared" si="11"/>
        <v/>
      </c>
      <c r="W627" s="68" t="str">
        <f t="shared" si="12"/>
        <v/>
      </c>
      <c r="X627" s="59" t="str">
        <f t="shared" si="13"/>
        <v/>
      </c>
      <c r="Y627" s="69" t="str">
        <f t="shared" si="14"/>
        <v/>
      </c>
      <c r="Z627" s="11"/>
      <c r="AG627" s="59"/>
    </row>
    <row r="628">
      <c r="A628" s="8"/>
      <c r="B628" s="56" t="str">
        <f t="shared" si="2"/>
        <v/>
      </c>
      <c r="C628" s="105"/>
      <c r="D628" s="10"/>
      <c r="E628" s="59" t="str">
        <f t="array" ref="E628">IF(COUNTA(C628:C1644)=0,"",SUM((COUNTIF(C$4:C628,Upgrades!$B$3:$B$13)-COUNTIF(C$4:C628,"Sell_"&amp;Upgrades!$B$3:$B$13))*Upgrades!$D$3:$D$13))</f>
        <v/>
      </c>
      <c r="F628" s="66" t="str">
        <f>IFERROR(__xludf.DUMMYFUNCTION("IF(COUNTA(C628:C1644)=0,"""",IF(REGEXMATCH(INDEX(FILTER(C$4:C628,C$4:C628&lt;&gt;""""),ROWS(FILTER(C$4:C628,C$4:C628&lt;&gt;""""))),""^Sell_""),INDEX(FILTER(F$4:F627,C$4:C627&lt;&gt;""""),ROWS(FILTER(C$4:C627,C$4:C627&lt;&gt;""""))),$AC$5+E628))"),"")</f>
        <v/>
      </c>
      <c r="G628" s="10" t="str">
        <f>IFERROR(__xludf.DUMMYFUNCTION("IF(COUNTA(C628:C1644)=0,"""",IF(C628="""",0,IF(REGEXMATCH(C628,""^Sell_""),-ROUNDDOWN(ROUNDUP(INDEX(Upgrades!$C$3:$C$13,MATCH(SUBSTITUTE(C628,""Sell_"",""""),Upgrades!$B$3:$B$13,0))*1.15^(COUNTIF(C$4:C627,SUBSTITUTE(C628,""Sell_"",""""))-COUNTIF(C$4:C627,"&amp;"""Sell_""&amp;SUBSTITUTE(C628,""Sell_"",""""))))/2),ROUNDUP(INDEX(Upgrades!$C$3:$C$13,MATCH(C628,Upgrades!$B$3:$B$13,0))*1.15^(COUNTIF(C$4:C627,C628)-COUNTIF(C$4:C627,""Sell_""&amp;C628))))))"),"")</f>
        <v/>
      </c>
      <c r="H628" s="10" t="str">
        <f t="shared" si="3"/>
        <v/>
      </c>
      <c r="I628" s="68" t="str">
        <f t="shared" si="4"/>
        <v/>
      </c>
      <c r="J628" s="59" t="str">
        <f t="shared" si="5"/>
        <v/>
      </c>
      <c r="K628" s="69" t="str">
        <f t="shared" si="6"/>
        <v/>
      </c>
      <c r="L628" s="60" t="str">
        <f t="shared" si="7"/>
        <v/>
      </c>
      <c r="M628" s="61" t="str">
        <f>IFERROR(__xludf.DUMMYFUNCTION("IFS(AND(COUNTA(C628:C1644)=0,COUNTA(Q628:Q1644)=0),"""",OR(AND(K628&gt;=1000000000,OR(Y628&gt;=1000000000,COUNTA(Q628:Q1644)=0)),OR(Y628&gt;=1000000000,AND(COUNTA(C628:C1644)=0,P$3=TRUE))),
ROUNDDOWN((AB$1-AC$1)*MAX(INDEX(T$4:T1644,MATCH(LARGE(FILTER(Y$4:Y1644,Y$4"&amp;":Y1644&lt;1000000000),1),Y$4:Y1644)),INDEX(F$4:F1644,MATCH(LARGE(FILTER(K$4:K1644,K$4:K1644&lt;1000000000),1),K$4:K1644)))),AND(K628&lt;1000000000,COUNTA(C628:C1644)&gt;0,P$3=FALSE),
ROUNDDOWN(INDEX(Y$4:Y1644,MATCH(LARGE(FILTER(W$4:W1644,W$4:W1644&lt;=I628),1),W$4:W1644"&amp;"))+(I628-LARGE(FILTER(W$4:W1644,W$4:W1644&lt;=I628),1))*INDEX(T$4:T1644,MATCH(LARGE(FILTER(W$4:W1644,W$4:W1644&lt;=I628),1),W$4:W1644))-K628),1,
ROUNDDOWN(Y628-INDEX(K$4:K1644,MATCH(LARGE(FILTER(I$4:I1644,I$4:I1644&lt;=W628),1),I$4:I1644))-(W628-LARGE(FILTER(I$4:I"&amp;"1644,I$4:I1644&lt;=W628),1))*INDEX(F$4:F1644,MATCH(LARGE(FILTER(I$4:I1644,I$4:I1644&lt;=W628),1),I$4:I1644))))"),"")</f>
        <v/>
      </c>
      <c r="N628" s="60" t="str">
        <f t="shared" si="8"/>
        <v/>
      </c>
      <c r="O628" s="61" t="str">
        <f t="shared" si="9"/>
        <v/>
      </c>
      <c r="P628" s="56" t="str">
        <f t="shared" si="10"/>
        <v/>
      </c>
      <c r="Q628" s="105"/>
      <c r="R628" s="10"/>
      <c r="S628" s="59" t="str">
        <f t="array" ref="S628">IF(COUNTA(Q628:Q1644)=0,"",SUM((COUNTIF(Q$4:Q628,Upgrades!$B$3:$B$13)-COUNTIF(Q$4:Q628,"Sell_"&amp;Upgrades!$B$3:$B$13))*Upgrades!$D$3:$D$13))</f>
        <v/>
      </c>
      <c r="T628" s="66" t="str">
        <f>IFERROR(__xludf.DUMMYFUNCTION("IF(COUNTA(Q628:Q1644)=0,"""",IF(REGEXMATCH(INDEX(FILTER(Q$4:Q628,Q$4:Q628&lt;&gt;""""),ROWS(FILTER(Q$4:Q628,Q$4:Q628&lt;&gt;""""))),""^Sell_""),INDEX(FILTER(T$4:T627,Q$4:Q627&lt;&gt;""""),ROWS(FILTER(Q$4:Q627,Q$4:Q627&lt;&gt;""""))),$AD$5+S628))"),"")</f>
        <v/>
      </c>
      <c r="U628" s="10" t="str">
        <f>IFERROR(__xludf.DUMMYFUNCTION("IF(COUNTA(Q628:Q1644)=0,"""",IF(Q628="""",0,IF(REGEXMATCH(Q628,""^Sell_""),-ROUNDDOWN(ROUNDUP(INDEX(Upgrades!$C$3:$C$13,MATCH(SUBSTITUTE(Q628,""Sell_"",""""),Upgrades!$B$3:$B$13,0))*1.15^(COUNTIF(Q$4:Q627,SUBSTITUTE(Q628,""Sell_"",""""))-COUNTIF(Q$4:Q627,"&amp;"""Sell_""&amp;SUBSTITUTE(Q628,""Sell_"",""""))))/2),ROUNDUP(INDEX(Upgrades!$C$3:$C$13,MATCH(Q628,Upgrades!$B$3:$B$13,0))*1.15^(COUNTIF(Q$4:Q627,Q628)-COUNTIF(Q$4:Q627,""Sell_""&amp;Q628))))))"),"")</f>
        <v/>
      </c>
      <c r="V628" s="10" t="str">
        <f t="shared" si="11"/>
        <v/>
      </c>
      <c r="W628" s="68" t="str">
        <f t="shared" si="12"/>
        <v/>
      </c>
      <c r="X628" s="59" t="str">
        <f t="shared" si="13"/>
        <v/>
      </c>
      <c r="Y628" s="69" t="str">
        <f t="shared" si="14"/>
        <v/>
      </c>
      <c r="Z628" s="11"/>
      <c r="AG628" s="59"/>
    </row>
    <row r="629">
      <c r="A629" s="8"/>
      <c r="B629" s="56" t="str">
        <f t="shared" si="2"/>
        <v/>
      </c>
      <c r="C629" s="105"/>
      <c r="D629" s="10"/>
      <c r="E629" s="59" t="str">
        <f t="array" ref="E629">IF(COUNTA(C629:C1644)=0,"",SUM((COUNTIF(C$4:C629,Upgrades!$B$3:$B$13)-COUNTIF(C$4:C629,"Sell_"&amp;Upgrades!$B$3:$B$13))*Upgrades!$D$3:$D$13))</f>
        <v/>
      </c>
      <c r="F629" s="66" t="str">
        <f>IFERROR(__xludf.DUMMYFUNCTION("IF(COUNTA(C629:C1644)=0,"""",IF(REGEXMATCH(INDEX(FILTER(C$4:C629,C$4:C629&lt;&gt;""""),ROWS(FILTER(C$4:C629,C$4:C629&lt;&gt;""""))),""^Sell_""),INDEX(FILTER(F$4:F628,C$4:C628&lt;&gt;""""),ROWS(FILTER(C$4:C628,C$4:C628&lt;&gt;""""))),$AC$5+E629))"),"")</f>
        <v/>
      </c>
      <c r="G629" s="10" t="str">
        <f>IFERROR(__xludf.DUMMYFUNCTION("IF(COUNTA(C629:C1644)=0,"""",IF(C629="""",0,IF(REGEXMATCH(C629,""^Sell_""),-ROUNDDOWN(ROUNDUP(INDEX(Upgrades!$C$3:$C$13,MATCH(SUBSTITUTE(C629,""Sell_"",""""),Upgrades!$B$3:$B$13,0))*1.15^(COUNTIF(C$4:C628,SUBSTITUTE(C629,""Sell_"",""""))-COUNTIF(C$4:C628,"&amp;"""Sell_""&amp;SUBSTITUTE(C629,""Sell_"",""""))))/2),ROUNDUP(INDEX(Upgrades!$C$3:$C$13,MATCH(C629,Upgrades!$B$3:$B$13,0))*1.15^(COUNTIF(C$4:C628,C629)-COUNTIF(C$4:C628,""Sell_""&amp;C629))))))"),"")</f>
        <v/>
      </c>
      <c r="H629" s="10" t="str">
        <f t="shared" si="3"/>
        <v/>
      </c>
      <c r="I629" s="68" t="str">
        <f t="shared" si="4"/>
        <v/>
      </c>
      <c r="J629" s="59" t="str">
        <f t="shared" si="5"/>
        <v/>
      </c>
      <c r="K629" s="69" t="str">
        <f t="shared" si="6"/>
        <v/>
      </c>
      <c r="L629" s="60" t="str">
        <f t="shared" si="7"/>
        <v/>
      </c>
      <c r="M629" s="61" t="str">
        <f>IFERROR(__xludf.DUMMYFUNCTION("IFS(AND(COUNTA(C629:C1644)=0,COUNTA(Q629:Q1644)=0),"""",OR(AND(K629&gt;=1000000000,OR(Y629&gt;=1000000000,COUNTA(Q629:Q1644)=0)),OR(Y629&gt;=1000000000,AND(COUNTA(C629:C1644)=0,P$3=TRUE))),
ROUNDDOWN((AB$1-AC$1)*MAX(INDEX(T$4:T1644,MATCH(LARGE(FILTER(Y$4:Y1644,Y$4"&amp;":Y1644&lt;1000000000),1),Y$4:Y1644)),INDEX(F$4:F1644,MATCH(LARGE(FILTER(K$4:K1644,K$4:K1644&lt;1000000000),1),K$4:K1644)))),AND(K629&lt;1000000000,COUNTA(C629:C1644)&gt;0,P$3=FALSE),
ROUNDDOWN(INDEX(Y$4:Y1644,MATCH(LARGE(FILTER(W$4:W1644,W$4:W1644&lt;=I629),1),W$4:W1644"&amp;"))+(I629-LARGE(FILTER(W$4:W1644,W$4:W1644&lt;=I629),1))*INDEX(T$4:T1644,MATCH(LARGE(FILTER(W$4:W1644,W$4:W1644&lt;=I629),1),W$4:W1644))-K629),1,
ROUNDDOWN(Y629-INDEX(K$4:K1644,MATCH(LARGE(FILTER(I$4:I1644,I$4:I1644&lt;=W629),1),I$4:I1644))-(W629-LARGE(FILTER(I$4:I"&amp;"1644,I$4:I1644&lt;=W629),1))*INDEX(F$4:F1644,MATCH(LARGE(FILTER(I$4:I1644,I$4:I1644&lt;=W629),1),I$4:I1644))))"),"")</f>
        <v/>
      </c>
      <c r="N629" s="60" t="str">
        <f t="shared" si="8"/>
        <v/>
      </c>
      <c r="O629" s="61" t="str">
        <f t="shared" si="9"/>
        <v/>
      </c>
      <c r="P629" s="56" t="str">
        <f t="shared" si="10"/>
        <v/>
      </c>
      <c r="Q629" s="105"/>
      <c r="R629" s="10"/>
      <c r="S629" s="59" t="str">
        <f t="array" ref="S629">IF(COUNTA(Q629:Q1644)=0,"",SUM((COUNTIF(Q$4:Q629,Upgrades!$B$3:$B$13)-COUNTIF(Q$4:Q629,"Sell_"&amp;Upgrades!$B$3:$B$13))*Upgrades!$D$3:$D$13))</f>
        <v/>
      </c>
      <c r="T629" s="66" t="str">
        <f>IFERROR(__xludf.DUMMYFUNCTION("IF(COUNTA(Q629:Q1644)=0,"""",IF(REGEXMATCH(INDEX(FILTER(Q$4:Q629,Q$4:Q629&lt;&gt;""""),ROWS(FILTER(Q$4:Q629,Q$4:Q629&lt;&gt;""""))),""^Sell_""),INDEX(FILTER(T$4:T628,Q$4:Q628&lt;&gt;""""),ROWS(FILTER(Q$4:Q628,Q$4:Q628&lt;&gt;""""))),$AD$5+S629))"),"")</f>
        <v/>
      </c>
      <c r="U629" s="10" t="str">
        <f>IFERROR(__xludf.DUMMYFUNCTION("IF(COUNTA(Q629:Q1644)=0,"""",IF(Q629="""",0,IF(REGEXMATCH(Q629,""^Sell_""),-ROUNDDOWN(ROUNDUP(INDEX(Upgrades!$C$3:$C$13,MATCH(SUBSTITUTE(Q629,""Sell_"",""""),Upgrades!$B$3:$B$13,0))*1.15^(COUNTIF(Q$4:Q628,SUBSTITUTE(Q629,""Sell_"",""""))-COUNTIF(Q$4:Q628,"&amp;"""Sell_""&amp;SUBSTITUTE(Q629,""Sell_"",""""))))/2),ROUNDUP(INDEX(Upgrades!$C$3:$C$13,MATCH(Q629,Upgrades!$B$3:$B$13,0))*1.15^(COUNTIF(Q$4:Q628,Q629)-COUNTIF(Q$4:Q628,""Sell_""&amp;Q629))))))"),"")</f>
        <v/>
      </c>
      <c r="V629" s="10" t="str">
        <f t="shared" si="11"/>
        <v/>
      </c>
      <c r="W629" s="68" t="str">
        <f t="shared" si="12"/>
        <v/>
      </c>
      <c r="X629" s="59" t="str">
        <f t="shared" si="13"/>
        <v/>
      </c>
      <c r="Y629" s="69" t="str">
        <f t="shared" si="14"/>
        <v/>
      </c>
      <c r="Z629" s="11"/>
      <c r="AG629" s="59"/>
    </row>
    <row r="630">
      <c r="A630" s="8"/>
      <c r="B630" s="56" t="str">
        <f t="shared" si="2"/>
        <v/>
      </c>
      <c r="C630" s="105"/>
      <c r="D630" s="10"/>
      <c r="E630" s="59" t="str">
        <f t="array" ref="E630">IF(COUNTA(C630:C1644)=0,"",SUM((COUNTIF(C$4:C630,Upgrades!$B$3:$B$13)-COUNTIF(C$4:C630,"Sell_"&amp;Upgrades!$B$3:$B$13))*Upgrades!$D$3:$D$13))</f>
        <v/>
      </c>
      <c r="F630" s="66" t="str">
        <f>IFERROR(__xludf.DUMMYFUNCTION("IF(COUNTA(C630:C1644)=0,"""",IF(REGEXMATCH(INDEX(FILTER(C$4:C630,C$4:C630&lt;&gt;""""),ROWS(FILTER(C$4:C630,C$4:C630&lt;&gt;""""))),""^Sell_""),INDEX(FILTER(F$4:F629,C$4:C629&lt;&gt;""""),ROWS(FILTER(C$4:C629,C$4:C629&lt;&gt;""""))),$AC$5+E630))"),"")</f>
        <v/>
      </c>
      <c r="G630" s="10" t="str">
        <f>IFERROR(__xludf.DUMMYFUNCTION("IF(COUNTA(C630:C1644)=0,"""",IF(C630="""",0,IF(REGEXMATCH(C630,""^Sell_""),-ROUNDDOWN(ROUNDUP(INDEX(Upgrades!$C$3:$C$13,MATCH(SUBSTITUTE(C630,""Sell_"",""""),Upgrades!$B$3:$B$13,0))*1.15^(COUNTIF(C$4:C629,SUBSTITUTE(C630,""Sell_"",""""))-COUNTIF(C$4:C629,"&amp;"""Sell_""&amp;SUBSTITUTE(C630,""Sell_"",""""))))/2),ROUNDUP(INDEX(Upgrades!$C$3:$C$13,MATCH(C630,Upgrades!$B$3:$B$13,0))*1.15^(COUNTIF(C$4:C629,C630)-COUNTIF(C$4:C629,""Sell_""&amp;C630))))))"),"")</f>
        <v/>
      </c>
      <c r="H630" s="10" t="str">
        <f t="shared" si="3"/>
        <v/>
      </c>
      <c r="I630" s="68" t="str">
        <f t="shared" si="4"/>
        <v/>
      </c>
      <c r="J630" s="59" t="str">
        <f t="shared" si="5"/>
        <v/>
      </c>
      <c r="K630" s="69" t="str">
        <f t="shared" si="6"/>
        <v/>
      </c>
      <c r="L630" s="60" t="str">
        <f t="shared" si="7"/>
        <v/>
      </c>
      <c r="M630" s="61" t="str">
        <f>IFERROR(__xludf.DUMMYFUNCTION("IFS(AND(COUNTA(C630:C1644)=0,COUNTA(Q630:Q1644)=0),"""",OR(AND(K630&gt;=1000000000,OR(Y630&gt;=1000000000,COUNTA(Q630:Q1644)=0)),OR(Y630&gt;=1000000000,AND(COUNTA(C630:C1644)=0,P$3=TRUE))),
ROUNDDOWN((AB$1-AC$1)*MAX(INDEX(T$4:T1644,MATCH(LARGE(FILTER(Y$4:Y1644,Y$4"&amp;":Y1644&lt;1000000000),1),Y$4:Y1644)),INDEX(F$4:F1644,MATCH(LARGE(FILTER(K$4:K1644,K$4:K1644&lt;1000000000),1),K$4:K1644)))),AND(K630&lt;1000000000,COUNTA(C630:C1644)&gt;0,P$3=FALSE),
ROUNDDOWN(INDEX(Y$4:Y1644,MATCH(LARGE(FILTER(W$4:W1644,W$4:W1644&lt;=I630),1),W$4:W1644"&amp;"))+(I630-LARGE(FILTER(W$4:W1644,W$4:W1644&lt;=I630),1))*INDEX(T$4:T1644,MATCH(LARGE(FILTER(W$4:W1644,W$4:W1644&lt;=I630),1),W$4:W1644))-K630),1,
ROUNDDOWN(Y630-INDEX(K$4:K1644,MATCH(LARGE(FILTER(I$4:I1644,I$4:I1644&lt;=W630),1),I$4:I1644))-(W630-LARGE(FILTER(I$4:I"&amp;"1644,I$4:I1644&lt;=W630),1))*INDEX(F$4:F1644,MATCH(LARGE(FILTER(I$4:I1644,I$4:I1644&lt;=W630),1),I$4:I1644))))"),"")</f>
        <v/>
      </c>
      <c r="N630" s="60" t="str">
        <f t="shared" si="8"/>
        <v/>
      </c>
      <c r="O630" s="61" t="str">
        <f t="shared" si="9"/>
        <v/>
      </c>
      <c r="P630" s="56" t="str">
        <f t="shared" si="10"/>
        <v/>
      </c>
      <c r="Q630" s="105"/>
      <c r="R630" s="10"/>
      <c r="S630" s="59" t="str">
        <f t="array" ref="S630">IF(COUNTA(Q630:Q1644)=0,"",SUM((COUNTIF(Q$4:Q630,Upgrades!$B$3:$B$13)-COUNTIF(Q$4:Q630,"Sell_"&amp;Upgrades!$B$3:$B$13))*Upgrades!$D$3:$D$13))</f>
        <v/>
      </c>
      <c r="T630" s="66" t="str">
        <f>IFERROR(__xludf.DUMMYFUNCTION("IF(COUNTA(Q630:Q1644)=0,"""",IF(REGEXMATCH(INDEX(FILTER(Q$4:Q630,Q$4:Q630&lt;&gt;""""),ROWS(FILTER(Q$4:Q630,Q$4:Q630&lt;&gt;""""))),""^Sell_""),INDEX(FILTER(T$4:T629,Q$4:Q629&lt;&gt;""""),ROWS(FILTER(Q$4:Q629,Q$4:Q629&lt;&gt;""""))),$AD$5+S630))"),"")</f>
        <v/>
      </c>
      <c r="U630" s="10" t="str">
        <f>IFERROR(__xludf.DUMMYFUNCTION("IF(COUNTA(Q630:Q1644)=0,"""",IF(Q630="""",0,IF(REGEXMATCH(Q630,""^Sell_""),-ROUNDDOWN(ROUNDUP(INDEX(Upgrades!$C$3:$C$13,MATCH(SUBSTITUTE(Q630,""Sell_"",""""),Upgrades!$B$3:$B$13,0))*1.15^(COUNTIF(Q$4:Q629,SUBSTITUTE(Q630,""Sell_"",""""))-COUNTIF(Q$4:Q629,"&amp;"""Sell_""&amp;SUBSTITUTE(Q630,""Sell_"",""""))))/2),ROUNDUP(INDEX(Upgrades!$C$3:$C$13,MATCH(Q630,Upgrades!$B$3:$B$13,0))*1.15^(COUNTIF(Q$4:Q629,Q630)-COUNTIF(Q$4:Q629,""Sell_""&amp;Q630))))))"),"")</f>
        <v/>
      </c>
      <c r="V630" s="10" t="str">
        <f t="shared" si="11"/>
        <v/>
      </c>
      <c r="W630" s="68" t="str">
        <f t="shared" si="12"/>
        <v/>
      </c>
      <c r="X630" s="59" t="str">
        <f t="shared" si="13"/>
        <v/>
      </c>
      <c r="Y630" s="69" t="str">
        <f t="shared" si="14"/>
        <v/>
      </c>
      <c r="Z630" s="11"/>
      <c r="AG630" s="59"/>
    </row>
    <row r="631">
      <c r="A631" s="8"/>
      <c r="B631" s="56" t="str">
        <f t="shared" si="2"/>
        <v/>
      </c>
      <c r="C631" s="105"/>
      <c r="D631" s="10"/>
      <c r="E631" s="59" t="str">
        <f t="array" ref="E631">IF(COUNTA(C631:C1644)=0,"",SUM((COUNTIF(C$4:C631,Upgrades!$B$3:$B$13)-COUNTIF(C$4:C631,"Sell_"&amp;Upgrades!$B$3:$B$13))*Upgrades!$D$3:$D$13))</f>
        <v/>
      </c>
      <c r="F631" s="66" t="str">
        <f>IFERROR(__xludf.DUMMYFUNCTION("IF(COUNTA(C631:C1644)=0,"""",IF(REGEXMATCH(INDEX(FILTER(C$4:C631,C$4:C631&lt;&gt;""""),ROWS(FILTER(C$4:C631,C$4:C631&lt;&gt;""""))),""^Sell_""),INDEX(FILTER(F$4:F630,C$4:C630&lt;&gt;""""),ROWS(FILTER(C$4:C630,C$4:C630&lt;&gt;""""))),$AC$5+E631))"),"")</f>
        <v/>
      </c>
      <c r="G631" s="10" t="str">
        <f>IFERROR(__xludf.DUMMYFUNCTION("IF(COUNTA(C631:C1644)=0,"""",IF(C631="""",0,IF(REGEXMATCH(C631,""^Sell_""),-ROUNDDOWN(ROUNDUP(INDEX(Upgrades!$C$3:$C$13,MATCH(SUBSTITUTE(C631,""Sell_"",""""),Upgrades!$B$3:$B$13,0))*1.15^(COUNTIF(C$4:C630,SUBSTITUTE(C631,""Sell_"",""""))-COUNTIF(C$4:C630,"&amp;"""Sell_""&amp;SUBSTITUTE(C631,""Sell_"",""""))))/2),ROUNDUP(INDEX(Upgrades!$C$3:$C$13,MATCH(C631,Upgrades!$B$3:$B$13,0))*1.15^(COUNTIF(C$4:C630,C631)-COUNTIF(C$4:C630,""Sell_""&amp;C631))))))"),"")</f>
        <v/>
      </c>
      <c r="H631" s="10" t="str">
        <f t="shared" si="3"/>
        <v/>
      </c>
      <c r="I631" s="68" t="str">
        <f t="shared" si="4"/>
        <v/>
      </c>
      <c r="J631" s="59" t="str">
        <f t="shared" si="5"/>
        <v/>
      </c>
      <c r="K631" s="69" t="str">
        <f t="shared" si="6"/>
        <v/>
      </c>
      <c r="L631" s="60" t="str">
        <f t="shared" si="7"/>
        <v/>
      </c>
      <c r="M631" s="61" t="str">
        <f>IFERROR(__xludf.DUMMYFUNCTION("IFS(AND(COUNTA(C631:C1644)=0,COUNTA(Q631:Q1644)=0),"""",OR(AND(K631&gt;=1000000000,OR(Y631&gt;=1000000000,COUNTA(Q631:Q1644)=0)),OR(Y631&gt;=1000000000,AND(COUNTA(C631:C1644)=0,P$3=TRUE))),
ROUNDDOWN((AB$1-AC$1)*MAX(INDEX(T$4:T1644,MATCH(LARGE(FILTER(Y$4:Y1644,Y$4"&amp;":Y1644&lt;1000000000),1),Y$4:Y1644)),INDEX(F$4:F1644,MATCH(LARGE(FILTER(K$4:K1644,K$4:K1644&lt;1000000000),1),K$4:K1644)))),AND(K631&lt;1000000000,COUNTA(C631:C1644)&gt;0,P$3=FALSE),
ROUNDDOWN(INDEX(Y$4:Y1644,MATCH(LARGE(FILTER(W$4:W1644,W$4:W1644&lt;=I631),1),W$4:W1644"&amp;"))+(I631-LARGE(FILTER(W$4:W1644,W$4:W1644&lt;=I631),1))*INDEX(T$4:T1644,MATCH(LARGE(FILTER(W$4:W1644,W$4:W1644&lt;=I631),1),W$4:W1644))-K631),1,
ROUNDDOWN(Y631-INDEX(K$4:K1644,MATCH(LARGE(FILTER(I$4:I1644,I$4:I1644&lt;=W631),1),I$4:I1644))-(W631-LARGE(FILTER(I$4:I"&amp;"1644,I$4:I1644&lt;=W631),1))*INDEX(F$4:F1644,MATCH(LARGE(FILTER(I$4:I1644,I$4:I1644&lt;=W631),1),I$4:I1644))))"),"")</f>
        <v/>
      </c>
      <c r="N631" s="60" t="str">
        <f t="shared" si="8"/>
        <v/>
      </c>
      <c r="O631" s="61" t="str">
        <f t="shared" si="9"/>
        <v/>
      </c>
      <c r="P631" s="56" t="str">
        <f t="shared" si="10"/>
        <v/>
      </c>
      <c r="Q631" s="105"/>
      <c r="R631" s="10"/>
      <c r="S631" s="59" t="str">
        <f t="array" ref="S631">IF(COUNTA(Q631:Q1644)=0,"",SUM((COUNTIF(Q$4:Q631,Upgrades!$B$3:$B$13)-COUNTIF(Q$4:Q631,"Sell_"&amp;Upgrades!$B$3:$B$13))*Upgrades!$D$3:$D$13))</f>
        <v/>
      </c>
      <c r="T631" s="66" t="str">
        <f>IFERROR(__xludf.DUMMYFUNCTION("IF(COUNTA(Q631:Q1644)=0,"""",IF(REGEXMATCH(INDEX(FILTER(Q$4:Q631,Q$4:Q631&lt;&gt;""""),ROWS(FILTER(Q$4:Q631,Q$4:Q631&lt;&gt;""""))),""^Sell_""),INDEX(FILTER(T$4:T630,Q$4:Q630&lt;&gt;""""),ROWS(FILTER(Q$4:Q630,Q$4:Q630&lt;&gt;""""))),$AD$5+S631))"),"")</f>
        <v/>
      </c>
      <c r="U631" s="10" t="str">
        <f>IFERROR(__xludf.DUMMYFUNCTION("IF(COUNTA(Q631:Q1644)=0,"""",IF(Q631="""",0,IF(REGEXMATCH(Q631,""^Sell_""),-ROUNDDOWN(ROUNDUP(INDEX(Upgrades!$C$3:$C$13,MATCH(SUBSTITUTE(Q631,""Sell_"",""""),Upgrades!$B$3:$B$13,0))*1.15^(COUNTIF(Q$4:Q630,SUBSTITUTE(Q631,""Sell_"",""""))-COUNTIF(Q$4:Q630,"&amp;"""Sell_""&amp;SUBSTITUTE(Q631,""Sell_"",""""))))/2),ROUNDUP(INDEX(Upgrades!$C$3:$C$13,MATCH(Q631,Upgrades!$B$3:$B$13,0))*1.15^(COUNTIF(Q$4:Q630,Q631)-COUNTIF(Q$4:Q630,""Sell_""&amp;Q631))))))"),"")</f>
        <v/>
      </c>
      <c r="V631" s="10" t="str">
        <f t="shared" si="11"/>
        <v/>
      </c>
      <c r="W631" s="68" t="str">
        <f t="shared" si="12"/>
        <v/>
      </c>
      <c r="X631" s="59" t="str">
        <f t="shared" si="13"/>
        <v/>
      </c>
      <c r="Y631" s="69" t="str">
        <f t="shared" si="14"/>
        <v/>
      </c>
      <c r="Z631" s="11"/>
      <c r="AG631" s="59"/>
    </row>
    <row r="632">
      <c r="A632" s="8"/>
      <c r="B632" s="56" t="str">
        <f t="shared" si="2"/>
        <v/>
      </c>
      <c r="C632" s="105"/>
      <c r="D632" s="10"/>
      <c r="E632" s="59" t="str">
        <f t="array" ref="E632">IF(COUNTA(C632:C1644)=0,"",SUM((COUNTIF(C$4:C632,Upgrades!$B$3:$B$13)-COUNTIF(C$4:C632,"Sell_"&amp;Upgrades!$B$3:$B$13))*Upgrades!$D$3:$D$13))</f>
        <v/>
      </c>
      <c r="F632" s="66" t="str">
        <f>IFERROR(__xludf.DUMMYFUNCTION("IF(COUNTA(C632:C1644)=0,"""",IF(REGEXMATCH(INDEX(FILTER(C$4:C632,C$4:C632&lt;&gt;""""),ROWS(FILTER(C$4:C632,C$4:C632&lt;&gt;""""))),""^Sell_""),INDEX(FILTER(F$4:F631,C$4:C631&lt;&gt;""""),ROWS(FILTER(C$4:C631,C$4:C631&lt;&gt;""""))),$AC$5+E632))"),"")</f>
        <v/>
      </c>
      <c r="G632" s="10" t="str">
        <f>IFERROR(__xludf.DUMMYFUNCTION("IF(COUNTA(C632:C1644)=0,"""",IF(C632="""",0,IF(REGEXMATCH(C632,""^Sell_""),-ROUNDDOWN(ROUNDUP(INDEX(Upgrades!$C$3:$C$13,MATCH(SUBSTITUTE(C632,""Sell_"",""""),Upgrades!$B$3:$B$13,0))*1.15^(COUNTIF(C$4:C631,SUBSTITUTE(C632,""Sell_"",""""))-COUNTIF(C$4:C631,"&amp;"""Sell_""&amp;SUBSTITUTE(C632,""Sell_"",""""))))/2),ROUNDUP(INDEX(Upgrades!$C$3:$C$13,MATCH(C632,Upgrades!$B$3:$B$13,0))*1.15^(COUNTIF(C$4:C631,C632)-COUNTIF(C$4:C631,""Sell_""&amp;C632))))))"),"")</f>
        <v/>
      </c>
      <c r="H632" s="10" t="str">
        <f t="shared" si="3"/>
        <v/>
      </c>
      <c r="I632" s="68" t="str">
        <f t="shared" si="4"/>
        <v/>
      </c>
      <c r="J632" s="59" t="str">
        <f t="shared" si="5"/>
        <v/>
      </c>
      <c r="K632" s="69" t="str">
        <f t="shared" si="6"/>
        <v/>
      </c>
      <c r="L632" s="60" t="str">
        <f t="shared" si="7"/>
        <v/>
      </c>
      <c r="M632" s="61" t="str">
        <f>IFERROR(__xludf.DUMMYFUNCTION("IFS(AND(COUNTA(C632:C1644)=0,COUNTA(Q632:Q1644)=0),"""",OR(AND(K632&gt;=1000000000,OR(Y632&gt;=1000000000,COUNTA(Q632:Q1644)=0)),OR(Y632&gt;=1000000000,AND(COUNTA(C632:C1644)=0,P$3=TRUE))),
ROUNDDOWN((AB$1-AC$1)*MAX(INDEX(T$4:T1644,MATCH(LARGE(FILTER(Y$4:Y1644,Y$4"&amp;":Y1644&lt;1000000000),1),Y$4:Y1644)),INDEX(F$4:F1644,MATCH(LARGE(FILTER(K$4:K1644,K$4:K1644&lt;1000000000),1),K$4:K1644)))),AND(K632&lt;1000000000,COUNTA(C632:C1644)&gt;0,P$3=FALSE),
ROUNDDOWN(INDEX(Y$4:Y1644,MATCH(LARGE(FILTER(W$4:W1644,W$4:W1644&lt;=I632),1),W$4:W1644"&amp;"))+(I632-LARGE(FILTER(W$4:W1644,W$4:W1644&lt;=I632),1))*INDEX(T$4:T1644,MATCH(LARGE(FILTER(W$4:W1644,W$4:W1644&lt;=I632),1),W$4:W1644))-K632),1,
ROUNDDOWN(Y632-INDEX(K$4:K1644,MATCH(LARGE(FILTER(I$4:I1644,I$4:I1644&lt;=W632),1),I$4:I1644))-(W632-LARGE(FILTER(I$4:I"&amp;"1644,I$4:I1644&lt;=W632),1))*INDEX(F$4:F1644,MATCH(LARGE(FILTER(I$4:I1644,I$4:I1644&lt;=W632),1),I$4:I1644))))"),"")</f>
        <v/>
      </c>
      <c r="N632" s="60" t="str">
        <f t="shared" si="8"/>
        <v/>
      </c>
      <c r="O632" s="61" t="str">
        <f t="shared" si="9"/>
        <v/>
      </c>
      <c r="P632" s="56" t="str">
        <f t="shared" si="10"/>
        <v/>
      </c>
      <c r="Q632" s="105"/>
      <c r="R632" s="10"/>
      <c r="S632" s="59" t="str">
        <f t="array" ref="S632">IF(COUNTA(Q632:Q1644)=0,"",SUM((COUNTIF(Q$4:Q632,Upgrades!$B$3:$B$13)-COUNTIF(Q$4:Q632,"Sell_"&amp;Upgrades!$B$3:$B$13))*Upgrades!$D$3:$D$13))</f>
        <v/>
      </c>
      <c r="T632" s="66" t="str">
        <f>IFERROR(__xludf.DUMMYFUNCTION("IF(COUNTA(Q632:Q1644)=0,"""",IF(REGEXMATCH(INDEX(FILTER(Q$4:Q632,Q$4:Q632&lt;&gt;""""),ROWS(FILTER(Q$4:Q632,Q$4:Q632&lt;&gt;""""))),""^Sell_""),INDEX(FILTER(T$4:T631,Q$4:Q631&lt;&gt;""""),ROWS(FILTER(Q$4:Q631,Q$4:Q631&lt;&gt;""""))),$AD$5+S632))"),"")</f>
        <v/>
      </c>
      <c r="U632" s="10" t="str">
        <f>IFERROR(__xludf.DUMMYFUNCTION("IF(COUNTA(Q632:Q1644)=0,"""",IF(Q632="""",0,IF(REGEXMATCH(Q632,""^Sell_""),-ROUNDDOWN(ROUNDUP(INDEX(Upgrades!$C$3:$C$13,MATCH(SUBSTITUTE(Q632,""Sell_"",""""),Upgrades!$B$3:$B$13,0))*1.15^(COUNTIF(Q$4:Q631,SUBSTITUTE(Q632,""Sell_"",""""))-COUNTIF(Q$4:Q631,"&amp;"""Sell_""&amp;SUBSTITUTE(Q632,""Sell_"",""""))))/2),ROUNDUP(INDEX(Upgrades!$C$3:$C$13,MATCH(Q632,Upgrades!$B$3:$B$13,0))*1.15^(COUNTIF(Q$4:Q631,Q632)-COUNTIF(Q$4:Q631,""Sell_""&amp;Q632))))))"),"")</f>
        <v/>
      </c>
      <c r="V632" s="10" t="str">
        <f t="shared" si="11"/>
        <v/>
      </c>
      <c r="W632" s="68" t="str">
        <f t="shared" si="12"/>
        <v/>
      </c>
      <c r="X632" s="59" t="str">
        <f t="shared" si="13"/>
        <v/>
      </c>
      <c r="Y632" s="69" t="str">
        <f t="shared" si="14"/>
        <v/>
      </c>
      <c r="Z632" s="11"/>
      <c r="AG632" s="59"/>
    </row>
    <row r="633">
      <c r="A633" s="8"/>
      <c r="B633" s="56" t="str">
        <f t="shared" si="2"/>
        <v/>
      </c>
      <c r="C633" s="105"/>
      <c r="D633" s="10"/>
      <c r="E633" s="59" t="str">
        <f t="array" ref="E633">IF(COUNTA(C633:C1644)=0,"",SUM((COUNTIF(C$4:C633,Upgrades!$B$3:$B$13)-COUNTIF(C$4:C633,"Sell_"&amp;Upgrades!$B$3:$B$13))*Upgrades!$D$3:$D$13))</f>
        <v/>
      </c>
      <c r="F633" s="66" t="str">
        <f>IFERROR(__xludf.DUMMYFUNCTION("IF(COUNTA(C633:C1644)=0,"""",IF(REGEXMATCH(INDEX(FILTER(C$4:C633,C$4:C633&lt;&gt;""""),ROWS(FILTER(C$4:C633,C$4:C633&lt;&gt;""""))),""^Sell_""),INDEX(FILTER(F$4:F632,C$4:C632&lt;&gt;""""),ROWS(FILTER(C$4:C632,C$4:C632&lt;&gt;""""))),$AC$5+E633))"),"")</f>
        <v/>
      </c>
      <c r="G633" s="10" t="str">
        <f>IFERROR(__xludf.DUMMYFUNCTION("IF(COUNTA(C633:C1644)=0,"""",IF(C633="""",0,IF(REGEXMATCH(C633,""^Sell_""),-ROUNDDOWN(ROUNDUP(INDEX(Upgrades!$C$3:$C$13,MATCH(SUBSTITUTE(C633,""Sell_"",""""),Upgrades!$B$3:$B$13,0))*1.15^(COUNTIF(C$4:C632,SUBSTITUTE(C633,""Sell_"",""""))-COUNTIF(C$4:C632,"&amp;"""Sell_""&amp;SUBSTITUTE(C633,""Sell_"",""""))))/2),ROUNDUP(INDEX(Upgrades!$C$3:$C$13,MATCH(C633,Upgrades!$B$3:$B$13,0))*1.15^(COUNTIF(C$4:C632,C633)-COUNTIF(C$4:C632,""Sell_""&amp;C633))))))"),"")</f>
        <v/>
      </c>
      <c r="H633" s="10" t="str">
        <f t="shared" si="3"/>
        <v/>
      </c>
      <c r="I633" s="68" t="str">
        <f t="shared" si="4"/>
        <v/>
      </c>
      <c r="J633" s="59" t="str">
        <f t="shared" si="5"/>
        <v/>
      </c>
      <c r="K633" s="69" t="str">
        <f t="shared" si="6"/>
        <v/>
      </c>
      <c r="L633" s="60" t="str">
        <f t="shared" si="7"/>
        <v/>
      </c>
      <c r="M633" s="61" t="str">
        <f>IFERROR(__xludf.DUMMYFUNCTION("IFS(AND(COUNTA(C633:C1644)=0,COUNTA(Q633:Q1644)=0),"""",OR(AND(K633&gt;=1000000000,OR(Y633&gt;=1000000000,COUNTA(Q633:Q1644)=0)),OR(Y633&gt;=1000000000,AND(COUNTA(C633:C1644)=0,P$3=TRUE))),
ROUNDDOWN((AB$1-AC$1)*MAX(INDEX(T$4:T1644,MATCH(LARGE(FILTER(Y$4:Y1644,Y$4"&amp;":Y1644&lt;1000000000),1),Y$4:Y1644)),INDEX(F$4:F1644,MATCH(LARGE(FILTER(K$4:K1644,K$4:K1644&lt;1000000000),1),K$4:K1644)))),AND(K633&lt;1000000000,COUNTA(C633:C1644)&gt;0,P$3=FALSE),
ROUNDDOWN(INDEX(Y$4:Y1644,MATCH(LARGE(FILTER(W$4:W1644,W$4:W1644&lt;=I633),1),W$4:W1644"&amp;"))+(I633-LARGE(FILTER(W$4:W1644,W$4:W1644&lt;=I633),1))*INDEX(T$4:T1644,MATCH(LARGE(FILTER(W$4:W1644,W$4:W1644&lt;=I633),1),W$4:W1644))-K633),1,
ROUNDDOWN(Y633-INDEX(K$4:K1644,MATCH(LARGE(FILTER(I$4:I1644,I$4:I1644&lt;=W633),1),I$4:I1644))-(W633-LARGE(FILTER(I$4:I"&amp;"1644,I$4:I1644&lt;=W633),1))*INDEX(F$4:F1644,MATCH(LARGE(FILTER(I$4:I1644,I$4:I1644&lt;=W633),1),I$4:I1644))))"),"")</f>
        <v/>
      </c>
      <c r="N633" s="60" t="str">
        <f t="shared" si="8"/>
        <v/>
      </c>
      <c r="O633" s="61" t="str">
        <f t="shared" si="9"/>
        <v/>
      </c>
      <c r="P633" s="56" t="str">
        <f t="shared" si="10"/>
        <v/>
      </c>
      <c r="Q633" s="105"/>
      <c r="R633" s="10"/>
      <c r="S633" s="59" t="str">
        <f t="array" ref="S633">IF(COUNTA(Q633:Q1644)=0,"",SUM((COUNTIF(Q$4:Q633,Upgrades!$B$3:$B$13)-COUNTIF(Q$4:Q633,"Sell_"&amp;Upgrades!$B$3:$B$13))*Upgrades!$D$3:$D$13))</f>
        <v/>
      </c>
      <c r="T633" s="66" t="str">
        <f>IFERROR(__xludf.DUMMYFUNCTION("IF(COUNTA(Q633:Q1644)=0,"""",IF(REGEXMATCH(INDEX(FILTER(Q$4:Q633,Q$4:Q633&lt;&gt;""""),ROWS(FILTER(Q$4:Q633,Q$4:Q633&lt;&gt;""""))),""^Sell_""),INDEX(FILTER(T$4:T632,Q$4:Q632&lt;&gt;""""),ROWS(FILTER(Q$4:Q632,Q$4:Q632&lt;&gt;""""))),$AD$5+S633))"),"")</f>
        <v/>
      </c>
      <c r="U633" s="10" t="str">
        <f>IFERROR(__xludf.DUMMYFUNCTION("IF(COUNTA(Q633:Q1644)=0,"""",IF(Q633="""",0,IF(REGEXMATCH(Q633,""^Sell_""),-ROUNDDOWN(ROUNDUP(INDEX(Upgrades!$C$3:$C$13,MATCH(SUBSTITUTE(Q633,""Sell_"",""""),Upgrades!$B$3:$B$13,0))*1.15^(COUNTIF(Q$4:Q632,SUBSTITUTE(Q633,""Sell_"",""""))-COUNTIF(Q$4:Q632,"&amp;"""Sell_""&amp;SUBSTITUTE(Q633,""Sell_"",""""))))/2),ROUNDUP(INDEX(Upgrades!$C$3:$C$13,MATCH(Q633,Upgrades!$B$3:$B$13,0))*1.15^(COUNTIF(Q$4:Q632,Q633)-COUNTIF(Q$4:Q632,""Sell_""&amp;Q633))))))"),"")</f>
        <v/>
      </c>
      <c r="V633" s="10" t="str">
        <f t="shared" si="11"/>
        <v/>
      </c>
      <c r="W633" s="68" t="str">
        <f t="shared" si="12"/>
        <v/>
      </c>
      <c r="X633" s="59" t="str">
        <f t="shared" si="13"/>
        <v/>
      </c>
      <c r="Y633" s="69" t="str">
        <f t="shared" si="14"/>
        <v/>
      </c>
      <c r="Z633" s="11"/>
      <c r="AG633" s="59"/>
    </row>
    <row r="634">
      <c r="A634" s="8"/>
      <c r="B634" s="56" t="str">
        <f t="shared" si="2"/>
        <v/>
      </c>
      <c r="C634" s="105"/>
      <c r="D634" s="10"/>
      <c r="E634" s="59" t="str">
        <f t="array" ref="E634">IF(COUNTA(C634:C1644)=0,"",SUM((COUNTIF(C$4:C634,Upgrades!$B$3:$B$13)-COUNTIF(C$4:C634,"Sell_"&amp;Upgrades!$B$3:$B$13))*Upgrades!$D$3:$D$13))</f>
        <v/>
      </c>
      <c r="F634" s="66" t="str">
        <f>IFERROR(__xludf.DUMMYFUNCTION("IF(COUNTA(C634:C1644)=0,"""",IF(REGEXMATCH(INDEX(FILTER(C$4:C634,C$4:C634&lt;&gt;""""),ROWS(FILTER(C$4:C634,C$4:C634&lt;&gt;""""))),""^Sell_""),INDEX(FILTER(F$4:F633,C$4:C633&lt;&gt;""""),ROWS(FILTER(C$4:C633,C$4:C633&lt;&gt;""""))),$AC$5+E634))"),"")</f>
        <v/>
      </c>
      <c r="G634" s="10" t="str">
        <f>IFERROR(__xludf.DUMMYFUNCTION("IF(COUNTA(C634:C1644)=0,"""",IF(C634="""",0,IF(REGEXMATCH(C634,""^Sell_""),-ROUNDDOWN(ROUNDUP(INDEX(Upgrades!$C$3:$C$13,MATCH(SUBSTITUTE(C634,""Sell_"",""""),Upgrades!$B$3:$B$13,0))*1.15^(COUNTIF(C$4:C633,SUBSTITUTE(C634,""Sell_"",""""))-COUNTIF(C$4:C633,"&amp;"""Sell_""&amp;SUBSTITUTE(C634,""Sell_"",""""))))/2),ROUNDUP(INDEX(Upgrades!$C$3:$C$13,MATCH(C634,Upgrades!$B$3:$B$13,0))*1.15^(COUNTIF(C$4:C633,C634)-COUNTIF(C$4:C633,""Sell_""&amp;C634))))))"),"")</f>
        <v/>
      </c>
      <c r="H634" s="10" t="str">
        <f t="shared" si="3"/>
        <v/>
      </c>
      <c r="I634" s="68" t="str">
        <f t="shared" si="4"/>
        <v/>
      </c>
      <c r="J634" s="59" t="str">
        <f t="shared" si="5"/>
        <v/>
      </c>
      <c r="K634" s="69" t="str">
        <f t="shared" si="6"/>
        <v/>
      </c>
      <c r="L634" s="60" t="str">
        <f t="shared" si="7"/>
        <v/>
      </c>
      <c r="M634" s="61" t="str">
        <f>IFERROR(__xludf.DUMMYFUNCTION("IFS(AND(COUNTA(C634:C1644)=0,COUNTA(Q634:Q1644)=0),"""",OR(AND(K634&gt;=1000000000,OR(Y634&gt;=1000000000,COUNTA(Q634:Q1644)=0)),OR(Y634&gt;=1000000000,AND(COUNTA(C634:C1644)=0,P$3=TRUE))),
ROUNDDOWN((AB$1-AC$1)*MAX(INDEX(T$4:T1644,MATCH(LARGE(FILTER(Y$4:Y1644,Y$4"&amp;":Y1644&lt;1000000000),1),Y$4:Y1644)),INDEX(F$4:F1644,MATCH(LARGE(FILTER(K$4:K1644,K$4:K1644&lt;1000000000),1),K$4:K1644)))),AND(K634&lt;1000000000,COUNTA(C634:C1644)&gt;0,P$3=FALSE),
ROUNDDOWN(INDEX(Y$4:Y1644,MATCH(LARGE(FILTER(W$4:W1644,W$4:W1644&lt;=I634),1),W$4:W1644"&amp;"))+(I634-LARGE(FILTER(W$4:W1644,W$4:W1644&lt;=I634),1))*INDEX(T$4:T1644,MATCH(LARGE(FILTER(W$4:W1644,W$4:W1644&lt;=I634),1),W$4:W1644))-K634),1,
ROUNDDOWN(Y634-INDEX(K$4:K1644,MATCH(LARGE(FILTER(I$4:I1644,I$4:I1644&lt;=W634),1),I$4:I1644))-(W634-LARGE(FILTER(I$4:I"&amp;"1644,I$4:I1644&lt;=W634),1))*INDEX(F$4:F1644,MATCH(LARGE(FILTER(I$4:I1644,I$4:I1644&lt;=W634),1),I$4:I1644))))"),"")</f>
        <v/>
      </c>
      <c r="N634" s="60" t="str">
        <f t="shared" si="8"/>
        <v/>
      </c>
      <c r="O634" s="61" t="str">
        <f t="shared" si="9"/>
        <v/>
      </c>
      <c r="P634" s="56" t="str">
        <f t="shared" si="10"/>
        <v/>
      </c>
      <c r="Q634" s="105"/>
      <c r="R634" s="10"/>
      <c r="S634" s="59" t="str">
        <f t="array" ref="S634">IF(COUNTA(Q634:Q1644)=0,"",SUM((COUNTIF(Q$4:Q634,Upgrades!$B$3:$B$13)-COUNTIF(Q$4:Q634,"Sell_"&amp;Upgrades!$B$3:$B$13))*Upgrades!$D$3:$D$13))</f>
        <v/>
      </c>
      <c r="T634" s="66" t="str">
        <f>IFERROR(__xludf.DUMMYFUNCTION("IF(COUNTA(Q634:Q1644)=0,"""",IF(REGEXMATCH(INDEX(FILTER(Q$4:Q634,Q$4:Q634&lt;&gt;""""),ROWS(FILTER(Q$4:Q634,Q$4:Q634&lt;&gt;""""))),""^Sell_""),INDEX(FILTER(T$4:T633,Q$4:Q633&lt;&gt;""""),ROWS(FILTER(Q$4:Q633,Q$4:Q633&lt;&gt;""""))),$AD$5+S634))"),"")</f>
        <v/>
      </c>
      <c r="U634" s="10" t="str">
        <f>IFERROR(__xludf.DUMMYFUNCTION("IF(COUNTA(Q634:Q1644)=0,"""",IF(Q634="""",0,IF(REGEXMATCH(Q634,""^Sell_""),-ROUNDDOWN(ROUNDUP(INDEX(Upgrades!$C$3:$C$13,MATCH(SUBSTITUTE(Q634,""Sell_"",""""),Upgrades!$B$3:$B$13,0))*1.15^(COUNTIF(Q$4:Q633,SUBSTITUTE(Q634,""Sell_"",""""))-COUNTIF(Q$4:Q633,"&amp;"""Sell_""&amp;SUBSTITUTE(Q634,""Sell_"",""""))))/2),ROUNDUP(INDEX(Upgrades!$C$3:$C$13,MATCH(Q634,Upgrades!$B$3:$B$13,0))*1.15^(COUNTIF(Q$4:Q633,Q634)-COUNTIF(Q$4:Q633,""Sell_""&amp;Q634))))))"),"")</f>
        <v/>
      </c>
      <c r="V634" s="10" t="str">
        <f t="shared" si="11"/>
        <v/>
      </c>
      <c r="W634" s="68" t="str">
        <f t="shared" si="12"/>
        <v/>
      </c>
      <c r="X634" s="59" t="str">
        <f t="shared" si="13"/>
        <v/>
      </c>
      <c r="Y634" s="69" t="str">
        <f t="shared" si="14"/>
        <v/>
      </c>
      <c r="Z634" s="11"/>
      <c r="AG634" s="59"/>
    </row>
    <row r="635">
      <c r="A635" s="8"/>
      <c r="B635" s="56" t="str">
        <f t="shared" si="2"/>
        <v/>
      </c>
      <c r="C635" s="105"/>
      <c r="D635" s="10"/>
      <c r="E635" s="59" t="str">
        <f t="array" ref="E635">IF(COUNTA(C635:C1644)=0,"",SUM((COUNTIF(C$4:C635,Upgrades!$B$3:$B$13)-COUNTIF(C$4:C635,"Sell_"&amp;Upgrades!$B$3:$B$13))*Upgrades!$D$3:$D$13))</f>
        <v/>
      </c>
      <c r="F635" s="66" t="str">
        <f>IFERROR(__xludf.DUMMYFUNCTION("IF(COUNTA(C635:C1644)=0,"""",IF(REGEXMATCH(INDEX(FILTER(C$4:C635,C$4:C635&lt;&gt;""""),ROWS(FILTER(C$4:C635,C$4:C635&lt;&gt;""""))),""^Sell_""),INDEX(FILTER(F$4:F634,C$4:C634&lt;&gt;""""),ROWS(FILTER(C$4:C634,C$4:C634&lt;&gt;""""))),$AC$5+E635))"),"")</f>
        <v/>
      </c>
      <c r="G635" s="10" t="str">
        <f>IFERROR(__xludf.DUMMYFUNCTION("IF(COUNTA(C635:C1644)=0,"""",IF(C635="""",0,IF(REGEXMATCH(C635,""^Sell_""),-ROUNDDOWN(ROUNDUP(INDEX(Upgrades!$C$3:$C$13,MATCH(SUBSTITUTE(C635,""Sell_"",""""),Upgrades!$B$3:$B$13,0))*1.15^(COUNTIF(C$4:C634,SUBSTITUTE(C635,""Sell_"",""""))-COUNTIF(C$4:C634,"&amp;"""Sell_""&amp;SUBSTITUTE(C635,""Sell_"",""""))))/2),ROUNDUP(INDEX(Upgrades!$C$3:$C$13,MATCH(C635,Upgrades!$B$3:$B$13,0))*1.15^(COUNTIF(C$4:C634,C635)-COUNTIF(C$4:C634,""Sell_""&amp;C635))))))"),"")</f>
        <v/>
      </c>
      <c r="H635" s="10" t="str">
        <f t="shared" si="3"/>
        <v/>
      </c>
      <c r="I635" s="68" t="str">
        <f t="shared" si="4"/>
        <v/>
      </c>
      <c r="J635" s="59" t="str">
        <f t="shared" si="5"/>
        <v/>
      </c>
      <c r="K635" s="69" t="str">
        <f t="shared" si="6"/>
        <v/>
      </c>
      <c r="L635" s="60" t="str">
        <f t="shared" si="7"/>
        <v/>
      </c>
      <c r="M635" s="61" t="str">
        <f>IFERROR(__xludf.DUMMYFUNCTION("IFS(AND(COUNTA(C635:C1644)=0,COUNTA(Q635:Q1644)=0),"""",OR(AND(K635&gt;=1000000000,OR(Y635&gt;=1000000000,COUNTA(Q635:Q1644)=0)),OR(Y635&gt;=1000000000,AND(COUNTA(C635:C1644)=0,P$3=TRUE))),
ROUNDDOWN((AB$1-AC$1)*MAX(INDEX(T$4:T1644,MATCH(LARGE(FILTER(Y$4:Y1644,Y$4"&amp;":Y1644&lt;1000000000),1),Y$4:Y1644)),INDEX(F$4:F1644,MATCH(LARGE(FILTER(K$4:K1644,K$4:K1644&lt;1000000000),1),K$4:K1644)))),AND(K635&lt;1000000000,COUNTA(C635:C1644)&gt;0,P$3=FALSE),
ROUNDDOWN(INDEX(Y$4:Y1644,MATCH(LARGE(FILTER(W$4:W1644,W$4:W1644&lt;=I635),1),W$4:W1644"&amp;"))+(I635-LARGE(FILTER(W$4:W1644,W$4:W1644&lt;=I635),1))*INDEX(T$4:T1644,MATCH(LARGE(FILTER(W$4:W1644,W$4:W1644&lt;=I635),1),W$4:W1644))-K635),1,
ROUNDDOWN(Y635-INDEX(K$4:K1644,MATCH(LARGE(FILTER(I$4:I1644,I$4:I1644&lt;=W635),1),I$4:I1644))-(W635-LARGE(FILTER(I$4:I"&amp;"1644,I$4:I1644&lt;=W635),1))*INDEX(F$4:F1644,MATCH(LARGE(FILTER(I$4:I1644,I$4:I1644&lt;=W635),1),I$4:I1644))))"),"")</f>
        <v/>
      </c>
      <c r="N635" s="60" t="str">
        <f t="shared" si="8"/>
        <v/>
      </c>
      <c r="O635" s="61" t="str">
        <f t="shared" si="9"/>
        <v/>
      </c>
      <c r="P635" s="56" t="str">
        <f t="shared" si="10"/>
        <v/>
      </c>
      <c r="Q635" s="105"/>
      <c r="R635" s="10"/>
      <c r="S635" s="59" t="str">
        <f t="array" ref="S635">IF(COUNTA(Q635:Q1644)=0,"",SUM((COUNTIF(Q$4:Q635,Upgrades!$B$3:$B$13)-COUNTIF(Q$4:Q635,"Sell_"&amp;Upgrades!$B$3:$B$13))*Upgrades!$D$3:$D$13))</f>
        <v/>
      </c>
      <c r="T635" s="66" t="str">
        <f>IFERROR(__xludf.DUMMYFUNCTION("IF(COUNTA(Q635:Q1644)=0,"""",IF(REGEXMATCH(INDEX(FILTER(Q$4:Q635,Q$4:Q635&lt;&gt;""""),ROWS(FILTER(Q$4:Q635,Q$4:Q635&lt;&gt;""""))),""^Sell_""),INDEX(FILTER(T$4:T634,Q$4:Q634&lt;&gt;""""),ROWS(FILTER(Q$4:Q634,Q$4:Q634&lt;&gt;""""))),$AD$5+S635))"),"")</f>
        <v/>
      </c>
      <c r="U635" s="10" t="str">
        <f>IFERROR(__xludf.DUMMYFUNCTION("IF(COUNTA(Q635:Q1644)=0,"""",IF(Q635="""",0,IF(REGEXMATCH(Q635,""^Sell_""),-ROUNDDOWN(ROUNDUP(INDEX(Upgrades!$C$3:$C$13,MATCH(SUBSTITUTE(Q635,""Sell_"",""""),Upgrades!$B$3:$B$13,0))*1.15^(COUNTIF(Q$4:Q634,SUBSTITUTE(Q635,""Sell_"",""""))-COUNTIF(Q$4:Q634,"&amp;"""Sell_""&amp;SUBSTITUTE(Q635,""Sell_"",""""))))/2),ROUNDUP(INDEX(Upgrades!$C$3:$C$13,MATCH(Q635,Upgrades!$B$3:$B$13,0))*1.15^(COUNTIF(Q$4:Q634,Q635)-COUNTIF(Q$4:Q634,""Sell_""&amp;Q635))))))"),"")</f>
        <v/>
      </c>
      <c r="V635" s="10" t="str">
        <f t="shared" si="11"/>
        <v/>
      </c>
      <c r="W635" s="68" t="str">
        <f t="shared" si="12"/>
        <v/>
      </c>
      <c r="X635" s="59" t="str">
        <f t="shared" si="13"/>
        <v/>
      </c>
      <c r="Y635" s="69" t="str">
        <f t="shared" si="14"/>
        <v/>
      </c>
      <c r="Z635" s="11"/>
      <c r="AG635" s="59"/>
    </row>
    <row r="636">
      <c r="A636" s="8"/>
      <c r="B636" s="56" t="str">
        <f t="shared" si="2"/>
        <v/>
      </c>
      <c r="C636" s="105"/>
      <c r="D636" s="10"/>
      <c r="E636" s="59" t="str">
        <f t="array" ref="E636">IF(COUNTA(C636:C1644)=0,"",SUM((COUNTIF(C$4:C636,Upgrades!$B$3:$B$13)-COUNTIF(C$4:C636,"Sell_"&amp;Upgrades!$B$3:$B$13))*Upgrades!$D$3:$D$13))</f>
        <v/>
      </c>
      <c r="F636" s="66" t="str">
        <f>IFERROR(__xludf.DUMMYFUNCTION("IF(COUNTA(C636:C1644)=0,"""",IF(REGEXMATCH(INDEX(FILTER(C$4:C636,C$4:C636&lt;&gt;""""),ROWS(FILTER(C$4:C636,C$4:C636&lt;&gt;""""))),""^Sell_""),INDEX(FILTER(F$4:F635,C$4:C635&lt;&gt;""""),ROWS(FILTER(C$4:C635,C$4:C635&lt;&gt;""""))),$AC$5+E636))"),"")</f>
        <v/>
      </c>
      <c r="G636" s="10" t="str">
        <f>IFERROR(__xludf.DUMMYFUNCTION("IF(COUNTA(C636:C1644)=0,"""",IF(C636="""",0,IF(REGEXMATCH(C636,""^Sell_""),-ROUNDDOWN(ROUNDUP(INDEX(Upgrades!$C$3:$C$13,MATCH(SUBSTITUTE(C636,""Sell_"",""""),Upgrades!$B$3:$B$13,0))*1.15^(COUNTIF(C$4:C635,SUBSTITUTE(C636,""Sell_"",""""))-COUNTIF(C$4:C635,"&amp;"""Sell_""&amp;SUBSTITUTE(C636,""Sell_"",""""))))/2),ROUNDUP(INDEX(Upgrades!$C$3:$C$13,MATCH(C636,Upgrades!$B$3:$B$13,0))*1.15^(COUNTIF(C$4:C635,C636)-COUNTIF(C$4:C635,""Sell_""&amp;C636))))))"),"")</f>
        <v/>
      </c>
      <c r="H636" s="10" t="str">
        <f t="shared" si="3"/>
        <v/>
      </c>
      <c r="I636" s="68" t="str">
        <f t="shared" si="4"/>
        <v/>
      </c>
      <c r="J636" s="59" t="str">
        <f t="shared" si="5"/>
        <v/>
      </c>
      <c r="K636" s="69" t="str">
        <f t="shared" si="6"/>
        <v/>
      </c>
      <c r="L636" s="60" t="str">
        <f t="shared" si="7"/>
        <v/>
      </c>
      <c r="M636" s="61" t="str">
        <f>IFERROR(__xludf.DUMMYFUNCTION("IFS(AND(COUNTA(C636:C1644)=0,COUNTA(Q636:Q1644)=0),"""",OR(AND(K636&gt;=1000000000,OR(Y636&gt;=1000000000,COUNTA(Q636:Q1644)=0)),OR(Y636&gt;=1000000000,AND(COUNTA(C636:C1644)=0,P$3=TRUE))),
ROUNDDOWN((AB$1-AC$1)*MAX(INDEX(T$4:T1644,MATCH(LARGE(FILTER(Y$4:Y1644,Y$4"&amp;":Y1644&lt;1000000000),1),Y$4:Y1644)),INDEX(F$4:F1644,MATCH(LARGE(FILTER(K$4:K1644,K$4:K1644&lt;1000000000),1),K$4:K1644)))),AND(K636&lt;1000000000,COUNTA(C636:C1644)&gt;0,P$3=FALSE),
ROUNDDOWN(INDEX(Y$4:Y1644,MATCH(LARGE(FILTER(W$4:W1644,W$4:W1644&lt;=I636),1),W$4:W1644"&amp;"))+(I636-LARGE(FILTER(W$4:W1644,W$4:W1644&lt;=I636),1))*INDEX(T$4:T1644,MATCH(LARGE(FILTER(W$4:W1644,W$4:W1644&lt;=I636),1),W$4:W1644))-K636),1,
ROUNDDOWN(Y636-INDEX(K$4:K1644,MATCH(LARGE(FILTER(I$4:I1644,I$4:I1644&lt;=W636),1),I$4:I1644))-(W636-LARGE(FILTER(I$4:I"&amp;"1644,I$4:I1644&lt;=W636),1))*INDEX(F$4:F1644,MATCH(LARGE(FILTER(I$4:I1644,I$4:I1644&lt;=W636),1),I$4:I1644))))"),"")</f>
        <v/>
      </c>
      <c r="N636" s="60" t="str">
        <f t="shared" si="8"/>
        <v/>
      </c>
      <c r="O636" s="61" t="str">
        <f t="shared" si="9"/>
        <v/>
      </c>
      <c r="P636" s="56" t="str">
        <f t="shared" si="10"/>
        <v/>
      </c>
      <c r="Q636" s="105"/>
      <c r="R636" s="10"/>
      <c r="S636" s="59" t="str">
        <f t="array" ref="S636">IF(COUNTA(Q636:Q1644)=0,"",SUM((COUNTIF(Q$4:Q636,Upgrades!$B$3:$B$13)-COUNTIF(Q$4:Q636,"Sell_"&amp;Upgrades!$B$3:$B$13))*Upgrades!$D$3:$D$13))</f>
        <v/>
      </c>
      <c r="T636" s="66" t="str">
        <f>IFERROR(__xludf.DUMMYFUNCTION("IF(COUNTA(Q636:Q1644)=0,"""",IF(REGEXMATCH(INDEX(FILTER(Q$4:Q636,Q$4:Q636&lt;&gt;""""),ROWS(FILTER(Q$4:Q636,Q$4:Q636&lt;&gt;""""))),""^Sell_""),INDEX(FILTER(T$4:T635,Q$4:Q635&lt;&gt;""""),ROWS(FILTER(Q$4:Q635,Q$4:Q635&lt;&gt;""""))),$AD$5+S636))"),"")</f>
        <v/>
      </c>
      <c r="U636" s="10" t="str">
        <f>IFERROR(__xludf.DUMMYFUNCTION("IF(COUNTA(Q636:Q1644)=0,"""",IF(Q636="""",0,IF(REGEXMATCH(Q636,""^Sell_""),-ROUNDDOWN(ROUNDUP(INDEX(Upgrades!$C$3:$C$13,MATCH(SUBSTITUTE(Q636,""Sell_"",""""),Upgrades!$B$3:$B$13,0))*1.15^(COUNTIF(Q$4:Q635,SUBSTITUTE(Q636,""Sell_"",""""))-COUNTIF(Q$4:Q635,"&amp;"""Sell_""&amp;SUBSTITUTE(Q636,""Sell_"",""""))))/2),ROUNDUP(INDEX(Upgrades!$C$3:$C$13,MATCH(Q636,Upgrades!$B$3:$B$13,0))*1.15^(COUNTIF(Q$4:Q635,Q636)-COUNTIF(Q$4:Q635,""Sell_""&amp;Q636))))))"),"")</f>
        <v/>
      </c>
      <c r="V636" s="10" t="str">
        <f t="shared" si="11"/>
        <v/>
      </c>
      <c r="W636" s="68" t="str">
        <f t="shared" si="12"/>
        <v/>
      </c>
      <c r="X636" s="59" t="str">
        <f t="shared" si="13"/>
        <v/>
      </c>
      <c r="Y636" s="69" t="str">
        <f t="shared" si="14"/>
        <v/>
      </c>
      <c r="Z636" s="11"/>
      <c r="AG636" s="59"/>
    </row>
    <row r="637">
      <c r="A637" s="8"/>
      <c r="B637" s="56" t="str">
        <f t="shared" si="2"/>
        <v/>
      </c>
      <c r="C637" s="105"/>
      <c r="D637" s="10"/>
      <c r="E637" s="59" t="str">
        <f t="array" ref="E637">IF(COUNTA(C637:C1644)=0,"",SUM((COUNTIF(C$4:C637,Upgrades!$B$3:$B$13)-COUNTIF(C$4:C637,"Sell_"&amp;Upgrades!$B$3:$B$13))*Upgrades!$D$3:$D$13))</f>
        <v/>
      </c>
      <c r="F637" s="66" t="str">
        <f>IFERROR(__xludf.DUMMYFUNCTION("IF(COUNTA(C637:C1644)=0,"""",IF(REGEXMATCH(INDEX(FILTER(C$4:C637,C$4:C637&lt;&gt;""""),ROWS(FILTER(C$4:C637,C$4:C637&lt;&gt;""""))),""^Sell_""),INDEX(FILTER(F$4:F636,C$4:C636&lt;&gt;""""),ROWS(FILTER(C$4:C636,C$4:C636&lt;&gt;""""))),$AC$5+E637))"),"")</f>
        <v/>
      </c>
      <c r="G637" s="10" t="str">
        <f>IFERROR(__xludf.DUMMYFUNCTION("IF(COUNTA(C637:C1644)=0,"""",IF(C637="""",0,IF(REGEXMATCH(C637,""^Sell_""),-ROUNDDOWN(ROUNDUP(INDEX(Upgrades!$C$3:$C$13,MATCH(SUBSTITUTE(C637,""Sell_"",""""),Upgrades!$B$3:$B$13,0))*1.15^(COUNTIF(C$4:C636,SUBSTITUTE(C637,""Sell_"",""""))-COUNTIF(C$4:C636,"&amp;"""Sell_""&amp;SUBSTITUTE(C637,""Sell_"",""""))))/2),ROUNDUP(INDEX(Upgrades!$C$3:$C$13,MATCH(C637,Upgrades!$B$3:$B$13,0))*1.15^(COUNTIF(C$4:C636,C637)-COUNTIF(C$4:C636,""Sell_""&amp;C637))))))"),"")</f>
        <v/>
      </c>
      <c r="H637" s="10" t="str">
        <f t="shared" si="3"/>
        <v/>
      </c>
      <c r="I637" s="68" t="str">
        <f t="shared" si="4"/>
        <v/>
      </c>
      <c r="J637" s="59" t="str">
        <f t="shared" si="5"/>
        <v/>
      </c>
      <c r="K637" s="69" t="str">
        <f t="shared" si="6"/>
        <v/>
      </c>
      <c r="L637" s="60" t="str">
        <f t="shared" si="7"/>
        <v/>
      </c>
      <c r="M637" s="61" t="str">
        <f>IFERROR(__xludf.DUMMYFUNCTION("IFS(AND(COUNTA(C637:C1644)=0,COUNTA(Q637:Q1644)=0),"""",OR(AND(K637&gt;=1000000000,OR(Y637&gt;=1000000000,COUNTA(Q637:Q1644)=0)),OR(Y637&gt;=1000000000,AND(COUNTA(C637:C1644)=0,P$3=TRUE))),
ROUNDDOWN((AB$1-AC$1)*MAX(INDEX(T$4:T1644,MATCH(LARGE(FILTER(Y$4:Y1644,Y$4"&amp;":Y1644&lt;1000000000),1),Y$4:Y1644)),INDEX(F$4:F1644,MATCH(LARGE(FILTER(K$4:K1644,K$4:K1644&lt;1000000000),1),K$4:K1644)))),AND(K637&lt;1000000000,COUNTA(C637:C1644)&gt;0,P$3=FALSE),
ROUNDDOWN(INDEX(Y$4:Y1644,MATCH(LARGE(FILTER(W$4:W1644,W$4:W1644&lt;=I637),1),W$4:W1644"&amp;"))+(I637-LARGE(FILTER(W$4:W1644,W$4:W1644&lt;=I637),1))*INDEX(T$4:T1644,MATCH(LARGE(FILTER(W$4:W1644,W$4:W1644&lt;=I637),1),W$4:W1644))-K637),1,
ROUNDDOWN(Y637-INDEX(K$4:K1644,MATCH(LARGE(FILTER(I$4:I1644,I$4:I1644&lt;=W637),1),I$4:I1644))-(W637-LARGE(FILTER(I$4:I"&amp;"1644,I$4:I1644&lt;=W637),1))*INDEX(F$4:F1644,MATCH(LARGE(FILTER(I$4:I1644,I$4:I1644&lt;=W637),1),I$4:I1644))))"),"")</f>
        <v/>
      </c>
      <c r="N637" s="60" t="str">
        <f t="shared" si="8"/>
        <v/>
      </c>
      <c r="O637" s="61" t="str">
        <f t="shared" si="9"/>
        <v/>
      </c>
      <c r="P637" s="56" t="str">
        <f t="shared" si="10"/>
        <v/>
      </c>
      <c r="Q637" s="105"/>
      <c r="R637" s="10"/>
      <c r="S637" s="59" t="str">
        <f t="array" ref="S637">IF(COUNTA(Q637:Q1644)=0,"",SUM((COUNTIF(Q$4:Q637,Upgrades!$B$3:$B$13)-COUNTIF(Q$4:Q637,"Sell_"&amp;Upgrades!$B$3:$B$13))*Upgrades!$D$3:$D$13))</f>
        <v/>
      </c>
      <c r="T637" s="66" t="str">
        <f>IFERROR(__xludf.DUMMYFUNCTION("IF(COUNTA(Q637:Q1644)=0,"""",IF(REGEXMATCH(INDEX(FILTER(Q$4:Q637,Q$4:Q637&lt;&gt;""""),ROWS(FILTER(Q$4:Q637,Q$4:Q637&lt;&gt;""""))),""^Sell_""),INDEX(FILTER(T$4:T636,Q$4:Q636&lt;&gt;""""),ROWS(FILTER(Q$4:Q636,Q$4:Q636&lt;&gt;""""))),$AD$5+S637))"),"")</f>
        <v/>
      </c>
      <c r="U637" s="10" t="str">
        <f>IFERROR(__xludf.DUMMYFUNCTION("IF(COUNTA(Q637:Q1644)=0,"""",IF(Q637="""",0,IF(REGEXMATCH(Q637,""^Sell_""),-ROUNDDOWN(ROUNDUP(INDEX(Upgrades!$C$3:$C$13,MATCH(SUBSTITUTE(Q637,""Sell_"",""""),Upgrades!$B$3:$B$13,0))*1.15^(COUNTIF(Q$4:Q636,SUBSTITUTE(Q637,""Sell_"",""""))-COUNTIF(Q$4:Q636,"&amp;"""Sell_""&amp;SUBSTITUTE(Q637,""Sell_"",""""))))/2),ROUNDUP(INDEX(Upgrades!$C$3:$C$13,MATCH(Q637,Upgrades!$B$3:$B$13,0))*1.15^(COUNTIF(Q$4:Q636,Q637)-COUNTIF(Q$4:Q636,""Sell_""&amp;Q637))))))"),"")</f>
        <v/>
      </c>
      <c r="V637" s="10" t="str">
        <f t="shared" si="11"/>
        <v/>
      </c>
      <c r="W637" s="68" t="str">
        <f t="shared" si="12"/>
        <v/>
      </c>
      <c r="X637" s="59" t="str">
        <f t="shared" si="13"/>
        <v/>
      </c>
      <c r="Y637" s="69" t="str">
        <f t="shared" si="14"/>
        <v/>
      </c>
      <c r="Z637" s="11"/>
      <c r="AG637" s="59"/>
    </row>
    <row r="638">
      <c r="A638" s="8"/>
      <c r="B638" s="56" t="str">
        <f t="shared" si="2"/>
        <v/>
      </c>
      <c r="C638" s="105"/>
      <c r="D638" s="10"/>
      <c r="E638" s="59" t="str">
        <f t="array" ref="E638">IF(COUNTA(C638:C1644)=0,"",SUM((COUNTIF(C$4:C638,Upgrades!$B$3:$B$13)-COUNTIF(C$4:C638,"Sell_"&amp;Upgrades!$B$3:$B$13))*Upgrades!$D$3:$D$13))</f>
        <v/>
      </c>
      <c r="F638" s="66" t="str">
        <f>IFERROR(__xludf.DUMMYFUNCTION("IF(COUNTA(C638:C1644)=0,"""",IF(REGEXMATCH(INDEX(FILTER(C$4:C638,C$4:C638&lt;&gt;""""),ROWS(FILTER(C$4:C638,C$4:C638&lt;&gt;""""))),""^Sell_""),INDEX(FILTER(F$4:F637,C$4:C637&lt;&gt;""""),ROWS(FILTER(C$4:C637,C$4:C637&lt;&gt;""""))),$AC$5+E638))"),"")</f>
        <v/>
      </c>
      <c r="G638" s="10" t="str">
        <f>IFERROR(__xludf.DUMMYFUNCTION("IF(COUNTA(C638:C1644)=0,"""",IF(C638="""",0,IF(REGEXMATCH(C638,""^Sell_""),-ROUNDDOWN(ROUNDUP(INDEX(Upgrades!$C$3:$C$13,MATCH(SUBSTITUTE(C638,""Sell_"",""""),Upgrades!$B$3:$B$13,0))*1.15^(COUNTIF(C$4:C637,SUBSTITUTE(C638,""Sell_"",""""))-COUNTIF(C$4:C637,"&amp;"""Sell_""&amp;SUBSTITUTE(C638,""Sell_"",""""))))/2),ROUNDUP(INDEX(Upgrades!$C$3:$C$13,MATCH(C638,Upgrades!$B$3:$B$13,0))*1.15^(COUNTIF(C$4:C637,C638)-COUNTIF(C$4:C637,""Sell_""&amp;C638))))))"),"")</f>
        <v/>
      </c>
      <c r="H638" s="10" t="str">
        <f t="shared" si="3"/>
        <v/>
      </c>
      <c r="I638" s="68" t="str">
        <f t="shared" si="4"/>
        <v/>
      </c>
      <c r="J638" s="59" t="str">
        <f t="shared" si="5"/>
        <v/>
      </c>
      <c r="K638" s="69" t="str">
        <f t="shared" si="6"/>
        <v/>
      </c>
      <c r="L638" s="60" t="str">
        <f t="shared" si="7"/>
        <v/>
      </c>
      <c r="M638" s="61" t="str">
        <f>IFERROR(__xludf.DUMMYFUNCTION("IFS(AND(COUNTA(C638:C1644)=0,COUNTA(Q638:Q1644)=0),"""",OR(AND(K638&gt;=1000000000,OR(Y638&gt;=1000000000,COUNTA(Q638:Q1644)=0)),OR(Y638&gt;=1000000000,AND(COUNTA(C638:C1644)=0,P$3=TRUE))),
ROUNDDOWN((AB$1-AC$1)*MAX(INDEX(T$4:T1644,MATCH(LARGE(FILTER(Y$4:Y1644,Y$4"&amp;":Y1644&lt;1000000000),1),Y$4:Y1644)),INDEX(F$4:F1644,MATCH(LARGE(FILTER(K$4:K1644,K$4:K1644&lt;1000000000),1),K$4:K1644)))),AND(K638&lt;1000000000,COUNTA(C638:C1644)&gt;0,P$3=FALSE),
ROUNDDOWN(INDEX(Y$4:Y1644,MATCH(LARGE(FILTER(W$4:W1644,W$4:W1644&lt;=I638),1),W$4:W1644"&amp;"))+(I638-LARGE(FILTER(W$4:W1644,W$4:W1644&lt;=I638),1))*INDEX(T$4:T1644,MATCH(LARGE(FILTER(W$4:W1644,W$4:W1644&lt;=I638),1),W$4:W1644))-K638),1,
ROUNDDOWN(Y638-INDEX(K$4:K1644,MATCH(LARGE(FILTER(I$4:I1644,I$4:I1644&lt;=W638),1),I$4:I1644))-(W638-LARGE(FILTER(I$4:I"&amp;"1644,I$4:I1644&lt;=W638),1))*INDEX(F$4:F1644,MATCH(LARGE(FILTER(I$4:I1644,I$4:I1644&lt;=W638),1),I$4:I1644))))"),"")</f>
        <v/>
      </c>
      <c r="N638" s="60" t="str">
        <f t="shared" si="8"/>
        <v/>
      </c>
      <c r="O638" s="61" t="str">
        <f t="shared" si="9"/>
        <v/>
      </c>
      <c r="P638" s="56" t="str">
        <f t="shared" si="10"/>
        <v/>
      </c>
      <c r="Q638" s="105"/>
      <c r="R638" s="10"/>
      <c r="S638" s="59" t="str">
        <f t="array" ref="S638">IF(COUNTA(Q638:Q1644)=0,"",SUM((COUNTIF(Q$4:Q638,Upgrades!$B$3:$B$13)-COUNTIF(Q$4:Q638,"Sell_"&amp;Upgrades!$B$3:$B$13))*Upgrades!$D$3:$D$13))</f>
        <v/>
      </c>
      <c r="T638" s="66" t="str">
        <f>IFERROR(__xludf.DUMMYFUNCTION("IF(COUNTA(Q638:Q1644)=0,"""",IF(REGEXMATCH(INDEX(FILTER(Q$4:Q638,Q$4:Q638&lt;&gt;""""),ROWS(FILTER(Q$4:Q638,Q$4:Q638&lt;&gt;""""))),""^Sell_""),INDEX(FILTER(T$4:T637,Q$4:Q637&lt;&gt;""""),ROWS(FILTER(Q$4:Q637,Q$4:Q637&lt;&gt;""""))),$AD$5+S638))"),"")</f>
        <v/>
      </c>
      <c r="U638" s="10" t="str">
        <f>IFERROR(__xludf.DUMMYFUNCTION("IF(COUNTA(Q638:Q1644)=0,"""",IF(Q638="""",0,IF(REGEXMATCH(Q638,""^Sell_""),-ROUNDDOWN(ROUNDUP(INDEX(Upgrades!$C$3:$C$13,MATCH(SUBSTITUTE(Q638,""Sell_"",""""),Upgrades!$B$3:$B$13,0))*1.15^(COUNTIF(Q$4:Q637,SUBSTITUTE(Q638,""Sell_"",""""))-COUNTIF(Q$4:Q637,"&amp;"""Sell_""&amp;SUBSTITUTE(Q638,""Sell_"",""""))))/2),ROUNDUP(INDEX(Upgrades!$C$3:$C$13,MATCH(Q638,Upgrades!$B$3:$B$13,0))*1.15^(COUNTIF(Q$4:Q637,Q638)-COUNTIF(Q$4:Q637,""Sell_""&amp;Q638))))))"),"")</f>
        <v/>
      </c>
      <c r="V638" s="10" t="str">
        <f t="shared" si="11"/>
        <v/>
      </c>
      <c r="W638" s="68" t="str">
        <f t="shared" si="12"/>
        <v/>
      </c>
      <c r="X638" s="59" t="str">
        <f t="shared" si="13"/>
        <v/>
      </c>
      <c r="Y638" s="69" t="str">
        <f t="shared" si="14"/>
        <v/>
      </c>
      <c r="Z638" s="11"/>
      <c r="AG638" s="59"/>
    </row>
    <row r="639">
      <c r="A639" s="8"/>
      <c r="B639" s="56" t="str">
        <f t="shared" si="2"/>
        <v/>
      </c>
      <c r="C639" s="105"/>
      <c r="D639" s="10"/>
      <c r="E639" s="59" t="str">
        <f t="array" ref="E639">IF(COUNTA(C639:C1644)=0,"",SUM((COUNTIF(C$4:C639,Upgrades!$B$3:$B$13)-COUNTIF(C$4:C639,"Sell_"&amp;Upgrades!$B$3:$B$13))*Upgrades!$D$3:$D$13))</f>
        <v/>
      </c>
      <c r="F639" s="66" t="str">
        <f>IFERROR(__xludf.DUMMYFUNCTION("IF(COUNTA(C639:C1644)=0,"""",IF(REGEXMATCH(INDEX(FILTER(C$4:C639,C$4:C639&lt;&gt;""""),ROWS(FILTER(C$4:C639,C$4:C639&lt;&gt;""""))),""^Sell_""),INDEX(FILTER(F$4:F638,C$4:C638&lt;&gt;""""),ROWS(FILTER(C$4:C638,C$4:C638&lt;&gt;""""))),$AC$5+E639))"),"")</f>
        <v/>
      </c>
      <c r="G639" s="10" t="str">
        <f>IFERROR(__xludf.DUMMYFUNCTION("IF(COUNTA(C639:C1644)=0,"""",IF(C639="""",0,IF(REGEXMATCH(C639,""^Sell_""),-ROUNDDOWN(ROUNDUP(INDEX(Upgrades!$C$3:$C$13,MATCH(SUBSTITUTE(C639,""Sell_"",""""),Upgrades!$B$3:$B$13,0))*1.15^(COUNTIF(C$4:C638,SUBSTITUTE(C639,""Sell_"",""""))-COUNTIF(C$4:C638,"&amp;"""Sell_""&amp;SUBSTITUTE(C639,""Sell_"",""""))))/2),ROUNDUP(INDEX(Upgrades!$C$3:$C$13,MATCH(C639,Upgrades!$B$3:$B$13,0))*1.15^(COUNTIF(C$4:C638,C639)-COUNTIF(C$4:C638,""Sell_""&amp;C639))))))"),"")</f>
        <v/>
      </c>
      <c r="H639" s="10" t="str">
        <f t="shared" si="3"/>
        <v/>
      </c>
      <c r="I639" s="68" t="str">
        <f t="shared" si="4"/>
        <v/>
      </c>
      <c r="J639" s="59" t="str">
        <f t="shared" si="5"/>
        <v/>
      </c>
      <c r="K639" s="69" t="str">
        <f t="shared" si="6"/>
        <v/>
      </c>
      <c r="L639" s="60" t="str">
        <f t="shared" si="7"/>
        <v/>
      </c>
      <c r="M639" s="61" t="str">
        <f>IFERROR(__xludf.DUMMYFUNCTION("IFS(AND(COUNTA(C639:C1644)=0,COUNTA(Q639:Q1644)=0),"""",OR(AND(K639&gt;=1000000000,OR(Y639&gt;=1000000000,COUNTA(Q639:Q1644)=0)),OR(Y639&gt;=1000000000,AND(COUNTA(C639:C1644)=0,P$3=TRUE))),
ROUNDDOWN((AB$1-AC$1)*MAX(INDEX(T$4:T1644,MATCH(LARGE(FILTER(Y$4:Y1644,Y$4"&amp;":Y1644&lt;1000000000),1),Y$4:Y1644)),INDEX(F$4:F1644,MATCH(LARGE(FILTER(K$4:K1644,K$4:K1644&lt;1000000000),1),K$4:K1644)))),AND(K639&lt;1000000000,COUNTA(C639:C1644)&gt;0,P$3=FALSE),
ROUNDDOWN(INDEX(Y$4:Y1644,MATCH(LARGE(FILTER(W$4:W1644,W$4:W1644&lt;=I639),1),W$4:W1644"&amp;"))+(I639-LARGE(FILTER(W$4:W1644,W$4:W1644&lt;=I639),1))*INDEX(T$4:T1644,MATCH(LARGE(FILTER(W$4:W1644,W$4:W1644&lt;=I639),1),W$4:W1644))-K639),1,
ROUNDDOWN(Y639-INDEX(K$4:K1644,MATCH(LARGE(FILTER(I$4:I1644,I$4:I1644&lt;=W639),1),I$4:I1644))-(W639-LARGE(FILTER(I$4:I"&amp;"1644,I$4:I1644&lt;=W639),1))*INDEX(F$4:F1644,MATCH(LARGE(FILTER(I$4:I1644,I$4:I1644&lt;=W639),1),I$4:I1644))))"),"")</f>
        <v/>
      </c>
      <c r="N639" s="60" t="str">
        <f t="shared" si="8"/>
        <v/>
      </c>
      <c r="O639" s="61" t="str">
        <f t="shared" si="9"/>
        <v/>
      </c>
      <c r="P639" s="56" t="str">
        <f t="shared" si="10"/>
        <v/>
      </c>
      <c r="Q639" s="105"/>
      <c r="R639" s="10"/>
      <c r="S639" s="59" t="str">
        <f t="array" ref="S639">IF(COUNTA(Q639:Q1644)=0,"",SUM((COUNTIF(Q$4:Q639,Upgrades!$B$3:$B$13)-COUNTIF(Q$4:Q639,"Sell_"&amp;Upgrades!$B$3:$B$13))*Upgrades!$D$3:$D$13))</f>
        <v/>
      </c>
      <c r="T639" s="66" t="str">
        <f>IFERROR(__xludf.DUMMYFUNCTION("IF(COUNTA(Q639:Q1644)=0,"""",IF(REGEXMATCH(INDEX(FILTER(Q$4:Q639,Q$4:Q639&lt;&gt;""""),ROWS(FILTER(Q$4:Q639,Q$4:Q639&lt;&gt;""""))),""^Sell_""),INDEX(FILTER(T$4:T638,Q$4:Q638&lt;&gt;""""),ROWS(FILTER(Q$4:Q638,Q$4:Q638&lt;&gt;""""))),$AD$5+S639))"),"")</f>
        <v/>
      </c>
      <c r="U639" s="10" t="str">
        <f>IFERROR(__xludf.DUMMYFUNCTION("IF(COUNTA(Q639:Q1644)=0,"""",IF(Q639="""",0,IF(REGEXMATCH(Q639,""^Sell_""),-ROUNDDOWN(ROUNDUP(INDEX(Upgrades!$C$3:$C$13,MATCH(SUBSTITUTE(Q639,""Sell_"",""""),Upgrades!$B$3:$B$13,0))*1.15^(COUNTIF(Q$4:Q638,SUBSTITUTE(Q639,""Sell_"",""""))-COUNTIF(Q$4:Q638,"&amp;"""Sell_""&amp;SUBSTITUTE(Q639,""Sell_"",""""))))/2),ROUNDUP(INDEX(Upgrades!$C$3:$C$13,MATCH(Q639,Upgrades!$B$3:$B$13,0))*1.15^(COUNTIF(Q$4:Q638,Q639)-COUNTIF(Q$4:Q638,""Sell_""&amp;Q639))))))"),"")</f>
        <v/>
      </c>
      <c r="V639" s="10" t="str">
        <f t="shared" si="11"/>
        <v/>
      </c>
      <c r="W639" s="68" t="str">
        <f t="shared" si="12"/>
        <v/>
      </c>
      <c r="X639" s="59" t="str">
        <f t="shared" si="13"/>
        <v/>
      </c>
      <c r="Y639" s="69" t="str">
        <f t="shared" si="14"/>
        <v/>
      </c>
      <c r="Z639" s="11"/>
      <c r="AG639" s="59"/>
    </row>
    <row r="640">
      <c r="A640" s="8"/>
      <c r="B640" s="56" t="str">
        <f t="shared" si="2"/>
        <v/>
      </c>
      <c r="C640" s="105"/>
      <c r="D640" s="10"/>
      <c r="E640" s="59" t="str">
        <f t="array" ref="E640">IF(COUNTA(C640:C1644)=0,"",SUM((COUNTIF(C$4:C640,Upgrades!$B$3:$B$13)-COUNTIF(C$4:C640,"Sell_"&amp;Upgrades!$B$3:$B$13))*Upgrades!$D$3:$D$13))</f>
        <v/>
      </c>
      <c r="F640" s="66" t="str">
        <f>IFERROR(__xludf.DUMMYFUNCTION("IF(COUNTA(C640:C1644)=0,"""",IF(REGEXMATCH(INDEX(FILTER(C$4:C640,C$4:C640&lt;&gt;""""),ROWS(FILTER(C$4:C640,C$4:C640&lt;&gt;""""))),""^Sell_""),INDEX(FILTER(F$4:F639,C$4:C639&lt;&gt;""""),ROWS(FILTER(C$4:C639,C$4:C639&lt;&gt;""""))),$AC$5+E640))"),"")</f>
        <v/>
      </c>
      <c r="G640" s="10" t="str">
        <f>IFERROR(__xludf.DUMMYFUNCTION("IF(COUNTA(C640:C1644)=0,"""",IF(C640="""",0,IF(REGEXMATCH(C640,""^Sell_""),-ROUNDDOWN(ROUNDUP(INDEX(Upgrades!$C$3:$C$13,MATCH(SUBSTITUTE(C640,""Sell_"",""""),Upgrades!$B$3:$B$13,0))*1.15^(COUNTIF(C$4:C639,SUBSTITUTE(C640,""Sell_"",""""))-COUNTIF(C$4:C639,"&amp;"""Sell_""&amp;SUBSTITUTE(C640,""Sell_"",""""))))/2),ROUNDUP(INDEX(Upgrades!$C$3:$C$13,MATCH(C640,Upgrades!$B$3:$B$13,0))*1.15^(COUNTIF(C$4:C639,C640)-COUNTIF(C$4:C639,""Sell_""&amp;C640))))))"),"")</f>
        <v/>
      </c>
      <c r="H640" s="10" t="str">
        <f t="shared" si="3"/>
        <v/>
      </c>
      <c r="I640" s="68" t="str">
        <f t="shared" si="4"/>
        <v/>
      </c>
      <c r="J640" s="59" t="str">
        <f t="shared" si="5"/>
        <v/>
      </c>
      <c r="K640" s="69" t="str">
        <f t="shared" si="6"/>
        <v/>
      </c>
      <c r="L640" s="60" t="str">
        <f t="shared" si="7"/>
        <v/>
      </c>
      <c r="M640" s="61" t="str">
        <f>IFERROR(__xludf.DUMMYFUNCTION("IFS(AND(COUNTA(C640:C1644)=0,COUNTA(Q640:Q1644)=0),"""",OR(AND(K640&gt;=1000000000,OR(Y640&gt;=1000000000,COUNTA(Q640:Q1644)=0)),OR(Y640&gt;=1000000000,AND(COUNTA(C640:C1644)=0,P$3=TRUE))),
ROUNDDOWN((AB$1-AC$1)*MAX(INDEX(T$4:T1644,MATCH(LARGE(FILTER(Y$4:Y1644,Y$4"&amp;":Y1644&lt;1000000000),1),Y$4:Y1644)),INDEX(F$4:F1644,MATCH(LARGE(FILTER(K$4:K1644,K$4:K1644&lt;1000000000),1),K$4:K1644)))),AND(K640&lt;1000000000,COUNTA(C640:C1644)&gt;0,P$3=FALSE),
ROUNDDOWN(INDEX(Y$4:Y1644,MATCH(LARGE(FILTER(W$4:W1644,W$4:W1644&lt;=I640),1),W$4:W1644"&amp;"))+(I640-LARGE(FILTER(W$4:W1644,W$4:W1644&lt;=I640),1))*INDEX(T$4:T1644,MATCH(LARGE(FILTER(W$4:W1644,W$4:W1644&lt;=I640),1),W$4:W1644))-K640),1,
ROUNDDOWN(Y640-INDEX(K$4:K1644,MATCH(LARGE(FILTER(I$4:I1644,I$4:I1644&lt;=W640),1),I$4:I1644))-(W640-LARGE(FILTER(I$4:I"&amp;"1644,I$4:I1644&lt;=W640),1))*INDEX(F$4:F1644,MATCH(LARGE(FILTER(I$4:I1644,I$4:I1644&lt;=W640),1),I$4:I1644))))"),"")</f>
        <v/>
      </c>
      <c r="N640" s="60" t="str">
        <f t="shared" si="8"/>
        <v/>
      </c>
      <c r="O640" s="61" t="str">
        <f t="shared" si="9"/>
        <v/>
      </c>
      <c r="P640" s="56" t="str">
        <f t="shared" si="10"/>
        <v/>
      </c>
      <c r="Q640" s="105"/>
      <c r="R640" s="10"/>
      <c r="S640" s="59" t="str">
        <f t="array" ref="S640">IF(COUNTA(Q640:Q1644)=0,"",SUM((COUNTIF(Q$4:Q640,Upgrades!$B$3:$B$13)-COUNTIF(Q$4:Q640,"Sell_"&amp;Upgrades!$B$3:$B$13))*Upgrades!$D$3:$D$13))</f>
        <v/>
      </c>
      <c r="T640" s="66" t="str">
        <f>IFERROR(__xludf.DUMMYFUNCTION("IF(COUNTA(Q640:Q1644)=0,"""",IF(REGEXMATCH(INDEX(FILTER(Q$4:Q640,Q$4:Q640&lt;&gt;""""),ROWS(FILTER(Q$4:Q640,Q$4:Q640&lt;&gt;""""))),""^Sell_""),INDEX(FILTER(T$4:T639,Q$4:Q639&lt;&gt;""""),ROWS(FILTER(Q$4:Q639,Q$4:Q639&lt;&gt;""""))),$AD$5+S640))"),"")</f>
        <v/>
      </c>
      <c r="U640" s="10" t="str">
        <f>IFERROR(__xludf.DUMMYFUNCTION("IF(COUNTA(Q640:Q1644)=0,"""",IF(Q640="""",0,IF(REGEXMATCH(Q640,""^Sell_""),-ROUNDDOWN(ROUNDUP(INDEX(Upgrades!$C$3:$C$13,MATCH(SUBSTITUTE(Q640,""Sell_"",""""),Upgrades!$B$3:$B$13,0))*1.15^(COUNTIF(Q$4:Q639,SUBSTITUTE(Q640,""Sell_"",""""))-COUNTIF(Q$4:Q639,"&amp;"""Sell_""&amp;SUBSTITUTE(Q640,""Sell_"",""""))))/2),ROUNDUP(INDEX(Upgrades!$C$3:$C$13,MATCH(Q640,Upgrades!$B$3:$B$13,0))*1.15^(COUNTIF(Q$4:Q639,Q640)-COUNTIF(Q$4:Q639,""Sell_""&amp;Q640))))))"),"")</f>
        <v/>
      </c>
      <c r="V640" s="10" t="str">
        <f t="shared" si="11"/>
        <v/>
      </c>
      <c r="W640" s="68" t="str">
        <f t="shared" si="12"/>
        <v/>
      </c>
      <c r="X640" s="59" t="str">
        <f t="shared" si="13"/>
        <v/>
      </c>
      <c r="Y640" s="69" t="str">
        <f t="shared" si="14"/>
        <v/>
      </c>
      <c r="Z640" s="11"/>
      <c r="AG640" s="59"/>
    </row>
    <row r="641">
      <c r="A641" s="8"/>
      <c r="B641" s="56" t="str">
        <f t="shared" si="2"/>
        <v/>
      </c>
      <c r="C641" s="105"/>
      <c r="D641" s="10"/>
      <c r="E641" s="59" t="str">
        <f t="array" ref="E641">IF(COUNTA(C641:C1644)=0,"",SUM((COUNTIF(C$4:C641,Upgrades!$B$3:$B$13)-COUNTIF(C$4:C641,"Sell_"&amp;Upgrades!$B$3:$B$13))*Upgrades!$D$3:$D$13))</f>
        <v/>
      </c>
      <c r="F641" s="66" t="str">
        <f>IFERROR(__xludf.DUMMYFUNCTION("IF(COUNTA(C641:C1644)=0,"""",IF(REGEXMATCH(INDEX(FILTER(C$4:C641,C$4:C641&lt;&gt;""""),ROWS(FILTER(C$4:C641,C$4:C641&lt;&gt;""""))),""^Sell_""),INDEX(FILTER(F$4:F640,C$4:C640&lt;&gt;""""),ROWS(FILTER(C$4:C640,C$4:C640&lt;&gt;""""))),$AC$5+E641))"),"")</f>
        <v/>
      </c>
      <c r="G641" s="10" t="str">
        <f>IFERROR(__xludf.DUMMYFUNCTION("IF(COUNTA(C641:C1644)=0,"""",IF(C641="""",0,IF(REGEXMATCH(C641,""^Sell_""),-ROUNDDOWN(ROUNDUP(INDEX(Upgrades!$C$3:$C$13,MATCH(SUBSTITUTE(C641,""Sell_"",""""),Upgrades!$B$3:$B$13,0))*1.15^(COUNTIF(C$4:C640,SUBSTITUTE(C641,""Sell_"",""""))-COUNTIF(C$4:C640,"&amp;"""Sell_""&amp;SUBSTITUTE(C641,""Sell_"",""""))))/2),ROUNDUP(INDEX(Upgrades!$C$3:$C$13,MATCH(C641,Upgrades!$B$3:$B$13,0))*1.15^(COUNTIF(C$4:C640,C641)-COUNTIF(C$4:C640,""Sell_""&amp;C641))))))"),"")</f>
        <v/>
      </c>
      <c r="H641" s="10" t="str">
        <f t="shared" si="3"/>
        <v/>
      </c>
      <c r="I641" s="68" t="str">
        <f t="shared" si="4"/>
        <v/>
      </c>
      <c r="J641" s="59" t="str">
        <f t="shared" si="5"/>
        <v/>
      </c>
      <c r="K641" s="69" t="str">
        <f t="shared" si="6"/>
        <v/>
      </c>
      <c r="L641" s="60" t="str">
        <f t="shared" si="7"/>
        <v/>
      </c>
      <c r="M641" s="61" t="str">
        <f>IFERROR(__xludf.DUMMYFUNCTION("IFS(AND(COUNTA(C641:C1644)=0,COUNTA(Q641:Q1644)=0),"""",OR(AND(K641&gt;=1000000000,OR(Y641&gt;=1000000000,COUNTA(Q641:Q1644)=0)),OR(Y641&gt;=1000000000,AND(COUNTA(C641:C1644)=0,P$3=TRUE))),
ROUNDDOWN((AB$1-AC$1)*MAX(INDEX(T$4:T1644,MATCH(LARGE(FILTER(Y$4:Y1644,Y$4"&amp;":Y1644&lt;1000000000),1),Y$4:Y1644)),INDEX(F$4:F1644,MATCH(LARGE(FILTER(K$4:K1644,K$4:K1644&lt;1000000000),1),K$4:K1644)))),AND(K641&lt;1000000000,COUNTA(C641:C1644)&gt;0,P$3=FALSE),
ROUNDDOWN(INDEX(Y$4:Y1644,MATCH(LARGE(FILTER(W$4:W1644,W$4:W1644&lt;=I641),1),W$4:W1644"&amp;"))+(I641-LARGE(FILTER(W$4:W1644,W$4:W1644&lt;=I641),1))*INDEX(T$4:T1644,MATCH(LARGE(FILTER(W$4:W1644,W$4:W1644&lt;=I641),1),W$4:W1644))-K641),1,
ROUNDDOWN(Y641-INDEX(K$4:K1644,MATCH(LARGE(FILTER(I$4:I1644,I$4:I1644&lt;=W641),1),I$4:I1644))-(W641-LARGE(FILTER(I$4:I"&amp;"1644,I$4:I1644&lt;=W641),1))*INDEX(F$4:F1644,MATCH(LARGE(FILTER(I$4:I1644,I$4:I1644&lt;=W641),1),I$4:I1644))))"),"")</f>
        <v/>
      </c>
      <c r="N641" s="60" t="str">
        <f t="shared" si="8"/>
        <v/>
      </c>
      <c r="O641" s="61" t="str">
        <f t="shared" si="9"/>
        <v/>
      </c>
      <c r="P641" s="56" t="str">
        <f t="shared" si="10"/>
        <v/>
      </c>
      <c r="Q641" s="105"/>
      <c r="R641" s="10"/>
      <c r="S641" s="59" t="str">
        <f t="array" ref="S641">IF(COUNTA(Q641:Q1644)=0,"",SUM((COUNTIF(Q$4:Q641,Upgrades!$B$3:$B$13)-COUNTIF(Q$4:Q641,"Sell_"&amp;Upgrades!$B$3:$B$13))*Upgrades!$D$3:$D$13))</f>
        <v/>
      </c>
      <c r="T641" s="66" t="str">
        <f>IFERROR(__xludf.DUMMYFUNCTION("IF(COUNTA(Q641:Q1644)=0,"""",IF(REGEXMATCH(INDEX(FILTER(Q$4:Q641,Q$4:Q641&lt;&gt;""""),ROWS(FILTER(Q$4:Q641,Q$4:Q641&lt;&gt;""""))),""^Sell_""),INDEX(FILTER(T$4:T640,Q$4:Q640&lt;&gt;""""),ROWS(FILTER(Q$4:Q640,Q$4:Q640&lt;&gt;""""))),$AD$5+S641))"),"")</f>
        <v/>
      </c>
      <c r="U641" s="10" t="str">
        <f>IFERROR(__xludf.DUMMYFUNCTION("IF(COUNTA(Q641:Q1644)=0,"""",IF(Q641="""",0,IF(REGEXMATCH(Q641,""^Sell_""),-ROUNDDOWN(ROUNDUP(INDEX(Upgrades!$C$3:$C$13,MATCH(SUBSTITUTE(Q641,""Sell_"",""""),Upgrades!$B$3:$B$13,0))*1.15^(COUNTIF(Q$4:Q640,SUBSTITUTE(Q641,""Sell_"",""""))-COUNTIF(Q$4:Q640,"&amp;"""Sell_""&amp;SUBSTITUTE(Q641,""Sell_"",""""))))/2),ROUNDUP(INDEX(Upgrades!$C$3:$C$13,MATCH(Q641,Upgrades!$B$3:$B$13,0))*1.15^(COUNTIF(Q$4:Q640,Q641)-COUNTIF(Q$4:Q640,""Sell_""&amp;Q641))))))"),"")</f>
        <v/>
      </c>
      <c r="V641" s="10" t="str">
        <f t="shared" si="11"/>
        <v/>
      </c>
      <c r="W641" s="68" t="str">
        <f t="shared" si="12"/>
        <v/>
      </c>
      <c r="X641" s="59" t="str">
        <f t="shared" si="13"/>
        <v/>
      </c>
      <c r="Y641" s="69" t="str">
        <f t="shared" si="14"/>
        <v/>
      </c>
      <c r="Z641" s="11"/>
      <c r="AG641" s="59"/>
    </row>
    <row r="642">
      <c r="A642" s="8"/>
      <c r="B642" s="56" t="str">
        <f t="shared" si="2"/>
        <v/>
      </c>
      <c r="C642" s="105"/>
      <c r="D642" s="10"/>
      <c r="E642" s="59" t="str">
        <f t="array" ref="E642">IF(COUNTA(C642:C1644)=0,"",SUM((COUNTIF(C$4:C642,Upgrades!$B$3:$B$13)-COUNTIF(C$4:C642,"Sell_"&amp;Upgrades!$B$3:$B$13))*Upgrades!$D$3:$D$13))</f>
        <v/>
      </c>
      <c r="F642" s="66" t="str">
        <f>IFERROR(__xludf.DUMMYFUNCTION("IF(COUNTA(C642:C1644)=0,"""",IF(REGEXMATCH(INDEX(FILTER(C$4:C642,C$4:C642&lt;&gt;""""),ROWS(FILTER(C$4:C642,C$4:C642&lt;&gt;""""))),""^Sell_""),INDEX(FILTER(F$4:F641,C$4:C641&lt;&gt;""""),ROWS(FILTER(C$4:C641,C$4:C641&lt;&gt;""""))),$AC$5+E642))"),"")</f>
        <v/>
      </c>
      <c r="G642" s="10" t="str">
        <f>IFERROR(__xludf.DUMMYFUNCTION("IF(COUNTA(C642:C1644)=0,"""",IF(C642="""",0,IF(REGEXMATCH(C642,""^Sell_""),-ROUNDDOWN(ROUNDUP(INDEX(Upgrades!$C$3:$C$13,MATCH(SUBSTITUTE(C642,""Sell_"",""""),Upgrades!$B$3:$B$13,0))*1.15^(COUNTIF(C$4:C641,SUBSTITUTE(C642,""Sell_"",""""))-COUNTIF(C$4:C641,"&amp;"""Sell_""&amp;SUBSTITUTE(C642,""Sell_"",""""))))/2),ROUNDUP(INDEX(Upgrades!$C$3:$C$13,MATCH(C642,Upgrades!$B$3:$B$13,0))*1.15^(COUNTIF(C$4:C641,C642)-COUNTIF(C$4:C641,""Sell_""&amp;C642))))))"),"")</f>
        <v/>
      </c>
      <c r="H642" s="10" t="str">
        <f t="shared" si="3"/>
        <v/>
      </c>
      <c r="I642" s="68" t="str">
        <f t="shared" si="4"/>
        <v/>
      </c>
      <c r="J642" s="59" t="str">
        <f t="shared" si="5"/>
        <v/>
      </c>
      <c r="K642" s="69" t="str">
        <f t="shared" si="6"/>
        <v/>
      </c>
      <c r="L642" s="60" t="str">
        <f t="shared" si="7"/>
        <v/>
      </c>
      <c r="M642" s="61" t="str">
        <f>IFERROR(__xludf.DUMMYFUNCTION("IFS(AND(COUNTA(C642:C1644)=0,COUNTA(Q642:Q1644)=0),"""",OR(AND(K642&gt;=1000000000,OR(Y642&gt;=1000000000,COUNTA(Q642:Q1644)=0)),OR(Y642&gt;=1000000000,AND(COUNTA(C642:C1644)=0,P$3=TRUE))),
ROUNDDOWN((AB$1-AC$1)*MAX(INDEX(T$4:T1644,MATCH(LARGE(FILTER(Y$4:Y1644,Y$4"&amp;":Y1644&lt;1000000000),1),Y$4:Y1644)),INDEX(F$4:F1644,MATCH(LARGE(FILTER(K$4:K1644,K$4:K1644&lt;1000000000),1),K$4:K1644)))),AND(K642&lt;1000000000,COUNTA(C642:C1644)&gt;0,P$3=FALSE),
ROUNDDOWN(INDEX(Y$4:Y1644,MATCH(LARGE(FILTER(W$4:W1644,W$4:W1644&lt;=I642),1),W$4:W1644"&amp;"))+(I642-LARGE(FILTER(W$4:W1644,W$4:W1644&lt;=I642),1))*INDEX(T$4:T1644,MATCH(LARGE(FILTER(W$4:W1644,W$4:W1644&lt;=I642),1),W$4:W1644))-K642),1,
ROUNDDOWN(Y642-INDEX(K$4:K1644,MATCH(LARGE(FILTER(I$4:I1644,I$4:I1644&lt;=W642),1),I$4:I1644))-(W642-LARGE(FILTER(I$4:I"&amp;"1644,I$4:I1644&lt;=W642),1))*INDEX(F$4:F1644,MATCH(LARGE(FILTER(I$4:I1644,I$4:I1644&lt;=W642),1),I$4:I1644))))"),"")</f>
        <v/>
      </c>
      <c r="N642" s="60" t="str">
        <f t="shared" si="8"/>
        <v/>
      </c>
      <c r="O642" s="61" t="str">
        <f t="shared" si="9"/>
        <v/>
      </c>
      <c r="P642" s="56" t="str">
        <f t="shared" si="10"/>
        <v/>
      </c>
      <c r="Q642" s="105"/>
      <c r="R642" s="10"/>
      <c r="S642" s="59" t="str">
        <f t="array" ref="S642">IF(COUNTA(Q642:Q1644)=0,"",SUM((COUNTIF(Q$4:Q642,Upgrades!$B$3:$B$13)-COUNTIF(Q$4:Q642,"Sell_"&amp;Upgrades!$B$3:$B$13))*Upgrades!$D$3:$D$13))</f>
        <v/>
      </c>
      <c r="T642" s="66" t="str">
        <f>IFERROR(__xludf.DUMMYFUNCTION("IF(COUNTA(Q642:Q1644)=0,"""",IF(REGEXMATCH(INDEX(FILTER(Q$4:Q642,Q$4:Q642&lt;&gt;""""),ROWS(FILTER(Q$4:Q642,Q$4:Q642&lt;&gt;""""))),""^Sell_""),INDEX(FILTER(T$4:T641,Q$4:Q641&lt;&gt;""""),ROWS(FILTER(Q$4:Q641,Q$4:Q641&lt;&gt;""""))),$AD$5+S642))"),"")</f>
        <v/>
      </c>
      <c r="U642" s="10" t="str">
        <f>IFERROR(__xludf.DUMMYFUNCTION("IF(COUNTA(Q642:Q1644)=0,"""",IF(Q642="""",0,IF(REGEXMATCH(Q642,""^Sell_""),-ROUNDDOWN(ROUNDUP(INDEX(Upgrades!$C$3:$C$13,MATCH(SUBSTITUTE(Q642,""Sell_"",""""),Upgrades!$B$3:$B$13,0))*1.15^(COUNTIF(Q$4:Q641,SUBSTITUTE(Q642,""Sell_"",""""))-COUNTIF(Q$4:Q641,"&amp;"""Sell_""&amp;SUBSTITUTE(Q642,""Sell_"",""""))))/2),ROUNDUP(INDEX(Upgrades!$C$3:$C$13,MATCH(Q642,Upgrades!$B$3:$B$13,0))*1.15^(COUNTIF(Q$4:Q641,Q642)-COUNTIF(Q$4:Q641,""Sell_""&amp;Q642))))))"),"")</f>
        <v/>
      </c>
      <c r="V642" s="10" t="str">
        <f t="shared" si="11"/>
        <v/>
      </c>
      <c r="W642" s="68" t="str">
        <f t="shared" si="12"/>
        <v/>
      </c>
      <c r="X642" s="59" t="str">
        <f t="shared" si="13"/>
        <v/>
      </c>
      <c r="Y642" s="69" t="str">
        <f t="shared" si="14"/>
        <v/>
      </c>
      <c r="Z642" s="11"/>
      <c r="AG642" s="59"/>
    </row>
    <row r="643">
      <c r="A643" s="8"/>
      <c r="B643" s="56" t="str">
        <f t="shared" si="2"/>
        <v/>
      </c>
      <c r="C643" s="105"/>
      <c r="D643" s="10"/>
      <c r="E643" s="59" t="str">
        <f t="array" ref="E643">IF(COUNTA(C643:C1644)=0,"",SUM((COUNTIF(C$4:C643,Upgrades!$B$3:$B$13)-COUNTIF(C$4:C643,"Sell_"&amp;Upgrades!$B$3:$B$13))*Upgrades!$D$3:$D$13))</f>
        <v/>
      </c>
      <c r="F643" s="66" t="str">
        <f>IFERROR(__xludf.DUMMYFUNCTION("IF(COUNTA(C643:C1644)=0,"""",IF(REGEXMATCH(INDEX(FILTER(C$4:C643,C$4:C643&lt;&gt;""""),ROWS(FILTER(C$4:C643,C$4:C643&lt;&gt;""""))),""^Sell_""),INDEX(FILTER(F$4:F642,C$4:C642&lt;&gt;""""),ROWS(FILTER(C$4:C642,C$4:C642&lt;&gt;""""))),$AC$5+E643))"),"")</f>
        <v/>
      </c>
      <c r="G643" s="10" t="str">
        <f>IFERROR(__xludf.DUMMYFUNCTION("IF(COUNTA(C643:C1644)=0,"""",IF(C643="""",0,IF(REGEXMATCH(C643,""^Sell_""),-ROUNDDOWN(ROUNDUP(INDEX(Upgrades!$C$3:$C$13,MATCH(SUBSTITUTE(C643,""Sell_"",""""),Upgrades!$B$3:$B$13,0))*1.15^(COUNTIF(C$4:C642,SUBSTITUTE(C643,""Sell_"",""""))-COUNTIF(C$4:C642,"&amp;"""Sell_""&amp;SUBSTITUTE(C643,""Sell_"",""""))))/2),ROUNDUP(INDEX(Upgrades!$C$3:$C$13,MATCH(C643,Upgrades!$B$3:$B$13,0))*1.15^(COUNTIF(C$4:C642,C643)-COUNTIF(C$4:C642,""Sell_""&amp;C643))))))"),"")</f>
        <v/>
      </c>
      <c r="H643" s="10" t="str">
        <f t="shared" si="3"/>
        <v/>
      </c>
      <c r="I643" s="68" t="str">
        <f t="shared" si="4"/>
        <v/>
      </c>
      <c r="J643" s="59" t="str">
        <f t="shared" si="5"/>
        <v/>
      </c>
      <c r="K643" s="69" t="str">
        <f t="shared" si="6"/>
        <v/>
      </c>
      <c r="L643" s="60" t="str">
        <f t="shared" si="7"/>
        <v/>
      </c>
      <c r="M643" s="61" t="str">
        <f>IFERROR(__xludf.DUMMYFUNCTION("IFS(AND(COUNTA(C643:C1644)=0,COUNTA(Q643:Q1644)=0),"""",OR(AND(K643&gt;=1000000000,OR(Y643&gt;=1000000000,COUNTA(Q643:Q1644)=0)),OR(Y643&gt;=1000000000,AND(COUNTA(C643:C1644)=0,P$3=TRUE))),
ROUNDDOWN((AB$1-AC$1)*MAX(INDEX(T$4:T1644,MATCH(LARGE(FILTER(Y$4:Y1644,Y$4"&amp;":Y1644&lt;1000000000),1),Y$4:Y1644)),INDEX(F$4:F1644,MATCH(LARGE(FILTER(K$4:K1644,K$4:K1644&lt;1000000000),1),K$4:K1644)))),AND(K643&lt;1000000000,COUNTA(C643:C1644)&gt;0,P$3=FALSE),
ROUNDDOWN(INDEX(Y$4:Y1644,MATCH(LARGE(FILTER(W$4:W1644,W$4:W1644&lt;=I643),1),W$4:W1644"&amp;"))+(I643-LARGE(FILTER(W$4:W1644,W$4:W1644&lt;=I643),1))*INDEX(T$4:T1644,MATCH(LARGE(FILTER(W$4:W1644,W$4:W1644&lt;=I643),1),W$4:W1644))-K643),1,
ROUNDDOWN(Y643-INDEX(K$4:K1644,MATCH(LARGE(FILTER(I$4:I1644,I$4:I1644&lt;=W643),1),I$4:I1644))-(W643-LARGE(FILTER(I$4:I"&amp;"1644,I$4:I1644&lt;=W643),1))*INDEX(F$4:F1644,MATCH(LARGE(FILTER(I$4:I1644,I$4:I1644&lt;=W643),1),I$4:I1644))))"),"")</f>
        <v/>
      </c>
      <c r="N643" s="60" t="str">
        <f t="shared" si="8"/>
        <v/>
      </c>
      <c r="O643" s="61" t="str">
        <f t="shared" si="9"/>
        <v/>
      </c>
      <c r="P643" s="56" t="str">
        <f t="shared" si="10"/>
        <v/>
      </c>
      <c r="Q643" s="105"/>
      <c r="R643" s="10"/>
      <c r="S643" s="59" t="str">
        <f t="array" ref="S643">IF(COUNTA(Q643:Q1644)=0,"",SUM((COUNTIF(Q$4:Q643,Upgrades!$B$3:$B$13)-COUNTIF(Q$4:Q643,"Sell_"&amp;Upgrades!$B$3:$B$13))*Upgrades!$D$3:$D$13))</f>
        <v/>
      </c>
      <c r="T643" s="66" t="str">
        <f>IFERROR(__xludf.DUMMYFUNCTION("IF(COUNTA(Q643:Q1644)=0,"""",IF(REGEXMATCH(INDEX(FILTER(Q$4:Q643,Q$4:Q643&lt;&gt;""""),ROWS(FILTER(Q$4:Q643,Q$4:Q643&lt;&gt;""""))),""^Sell_""),INDEX(FILTER(T$4:T642,Q$4:Q642&lt;&gt;""""),ROWS(FILTER(Q$4:Q642,Q$4:Q642&lt;&gt;""""))),$AD$5+S643))"),"")</f>
        <v/>
      </c>
      <c r="U643" s="10" t="str">
        <f>IFERROR(__xludf.DUMMYFUNCTION("IF(COUNTA(Q643:Q1644)=0,"""",IF(Q643="""",0,IF(REGEXMATCH(Q643,""^Sell_""),-ROUNDDOWN(ROUNDUP(INDEX(Upgrades!$C$3:$C$13,MATCH(SUBSTITUTE(Q643,""Sell_"",""""),Upgrades!$B$3:$B$13,0))*1.15^(COUNTIF(Q$4:Q642,SUBSTITUTE(Q643,""Sell_"",""""))-COUNTIF(Q$4:Q642,"&amp;"""Sell_""&amp;SUBSTITUTE(Q643,""Sell_"",""""))))/2),ROUNDUP(INDEX(Upgrades!$C$3:$C$13,MATCH(Q643,Upgrades!$B$3:$B$13,0))*1.15^(COUNTIF(Q$4:Q642,Q643)-COUNTIF(Q$4:Q642,""Sell_""&amp;Q643))))))"),"")</f>
        <v/>
      </c>
      <c r="V643" s="10" t="str">
        <f t="shared" si="11"/>
        <v/>
      </c>
      <c r="W643" s="68" t="str">
        <f t="shared" si="12"/>
        <v/>
      </c>
      <c r="X643" s="59" t="str">
        <f t="shared" si="13"/>
        <v/>
      </c>
      <c r="Y643" s="69" t="str">
        <f t="shared" si="14"/>
        <v/>
      </c>
      <c r="Z643" s="11"/>
      <c r="AG643" s="59"/>
    </row>
    <row r="644">
      <c r="A644" s="8"/>
      <c r="B644" s="56" t="str">
        <f t="shared" si="2"/>
        <v/>
      </c>
      <c r="C644" s="105"/>
      <c r="D644" s="10"/>
      <c r="E644" s="59" t="str">
        <f t="array" ref="E644">IF(COUNTA(C644:C1644)=0,"",SUM((COUNTIF(C$4:C644,Upgrades!$B$3:$B$13)-COUNTIF(C$4:C644,"Sell_"&amp;Upgrades!$B$3:$B$13))*Upgrades!$D$3:$D$13))</f>
        <v/>
      </c>
      <c r="F644" s="66" t="str">
        <f>IFERROR(__xludf.DUMMYFUNCTION("IF(COUNTA(C644:C1644)=0,"""",IF(REGEXMATCH(INDEX(FILTER(C$4:C644,C$4:C644&lt;&gt;""""),ROWS(FILTER(C$4:C644,C$4:C644&lt;&gt;""""))),""^Sell_""),INDEX(FILTER(F$4:F643,C$4:C643&lt;&gt;""""),ROWS(FILTER(C$4:C643,C$4:C643&lt;&gt;""""))),$AC$5+E644))"),"")</f>
        <v/>
      </c>
      <c r="G644" s="10" t="str">
        <f>IFERROR(__xludf.DUMMYFUNCTION("IF(COUNTA(C644:C1644)=0,"""",IF(C644="""",0,IF(REGEXMATCH(C644,""^Sell_""),-ROUNDDOWN(ROUNDUP(INDEX(Upgrades!$C$3:$C$13,MATCH(SUBSTITUTE(C644,""Sell_"",""""),Upgrades!$B$3:$B$13,0))*1.15^(COUNTIF(C$4:C643,SUBSTITUTE(C644,""Sell_"",""""))-COUNTIF(C$4:C643,"&amp;"""Sell_""&amp;SUBSTITUTE(C644,""Sell_"",""""))))/2),ROUNDUP(INDEX(Upgrades!$C$3:$C$13,MATCH(C644,Upgrades!$B$3:$B$13,0))*1.15^(COUNTIF(C$4:C643,C644)-COUNTIF(C$4:C643,""Sell_""&amp;C644))))))"),"")</f>
        <v/>
      </c>
      <c r="H644" s="10" t="str">
        <f t="shared" si="3"/>
        <v/>
      </c>
      <c r="I644" s="68" t="str">
        <f t="shared" si="4"/>
        <v/>
      </c>
      <c r="J644" s="59" t="str">
        <f t="shared" si="5"/>
        <v/>
      </c>
      <c r="K644" s="69" t="str">
        <f t="shared" si="6"/>
        <v/>
      </c>
      <c r="L644" s="60" t="str">
        <f t="shared" si="7"/>
        <v/>
      </c>
      <c r="M644" s="61" t="str">
        <f>IFERROR(__xludf.DUMMYFUNCTION("IFS(AND(COUNTA(C644:C1644)=0,COUNTA(Q644:Q1644)=0),"""",OR(AND(K644&gt;=1000000000,OR(Y644&gt;=1000000000,COUNTA(Q644:Q1644)=0)),OR(Y644&gt;=1000000000,AND(COUNTA(C644:C1644)=0,P$3=TRUE))),
ROUNDDOWN((AB$1-AC$1)*MAX(INDEX(T$4:T1644,MATCH(LARGE(FILTER(Y$4:Y1644,Y$4"&amp;":Y1644&lt;1000000000),1),Y$4:Y1644)),INDEX(F$4:F1644,MATCH(LARGE(FILTER(K$4:K1644,K$4:K1644&lt;1000000000),1),K$4:K1644)))),AND(K644&lt;1000000000,COUNTA(C644:C1644)&gt;0,P$3=FALSE),
ROUNDDOWN(INDEX(Y$4:Y1644,MATCH(LARGE(FILTER(W$4:W1644,W$4:W1644&lt;=I644),1),W$4:W1644"&amp;"))+(I644-LARGE(FILTER(W$4:W1644,W$4:W1644&lt;=I644),1))*INDEX(T$4:T1644,MATCH(LARGE(FILTER(W$4:W1644,W$4:W1644&lt;=I644),1),W$4:W1644))-K644),1,
ROUNDDOWN(Y644-INDEX(K$4:K1644,MATCH(LARGE(FILTER(I$4:I1644,I$4:I1644&lt;=W644),1),I$4:I1644))-(W644-LARGE(FILTER(I$4:I"&amp;"1644,I$4:I1644&lt;=W644),1))*INDEX(F$4:F1644,MATCH(LARGE(FILTER(I$4:I1644,I$4:I1644&lt;=W644),1),I$4:I1644))))"),"")</f>
        <v/>
      </c>
      <c r="N644" s="60" t="str">
        <f t="shared" si="8"/>
        <v/>
      </c>
      <c r="O644" s="61" t="str">
        <f t="shared" si="9"/>
        <v/>
      </c>
      <c r="P644" s="56" t="str">
        <f t="shared" si="10"/>
        <v/>
      </c>
      <c r="Q644" s="105"/>
      <c r="R644" s="10"/>
      <c r="S644" s="59" t="str">
        <f t="array" ref="S644">IF(COUNTA(Q644:Q1644)=0,"",SUM((COUNTIF(Q$4:Q644,Upgrades!$B$3:$B$13)-COUNTIF(Q$4:Q644,"Sell_"&amp;Upgrades!$B$3:$B$13))*Upgrades!$D$3:$D$13))</f>
        <v/>
      </c>
      <c r="T644" s="66" t="str">
        <f>IFERROR(__xludf.DUMMYFUNCTION("IF(COUNTA(Q644:Q1644)=0,"""",IF(REGEXMATCH(INDEX(FILTER(Q$4:Q644,Q$4:Q644&lt;&gt;""""),ROWS(FILTER(Q$4:Q644,Q$4:Q644&lt;&gt;""""))),""^Sell_""),INDEX(FILTER(T$4:T643,Q$4:Q643&lt;&gt;""""),ROWS(FILTER(Q$4:Q643,Q$4:Q643&lt;&gt;""""))),$AD$5+S644))"),"")</f>
        <v/>
      </c>
      <c r="U644" s="10" t="str">
        <f>IFERROR(__xludf.DUMMYFUNCTION("IF(COUNTA(Q644:Q1644)=0,"""",IF(Q644="""",0,IF(REGEXMATCH(Q644,""^Sell_""),-ROUNDDOWN(ROUNDUP(INDEX(Upgrades!$C$3:$C$13,MATCH(SUBSTITUTE(Q644,""Sell_"",""""),Upgrades!$B$3:$B$13,0))*1.15^(COUNTIF(Q$4:Q643,SUBSTITUTE(Q644,""Sell_"",""""))-COUNTIF(Q$4:Q643,"&amp;"""Sell_""&amp;SUBSTITUTE(Q644,""Sell_"",""""))))/2),ROUNDUP(INDEX(Upgrades!$C$3:$C$13,MATCH(Q644,Upgrades!$B$3:$B$13,0))*1.15^(COUNTIF(Q$4:Q643,Q644)-COUNTIF(Q$4:Q643,""Sell_""&amp;Q644))))))"),"")</f>
        <v/>
      </c>
      <c r="V644" s="10" t="str">
        <f t="shared" si="11"/>
        <v/>
      </c>
      <c r="W644" s="68" t="str">
        <f t="shared" si="12"/>
        <v/>
      </c>
      <c r="X644" s="59" t="str">
        <f t="shared" si="13"/>
        <v/>
      </c>
      <c r="Y644" s="69" t="str">
        <f t="shared" si="14"/>
        <v/>
      </c>
      <c r="Z644" s="11"/>
      <c r="AG644" s="59"/>
    </row>
    <row r="645">
      <c r="A645" s="8"/>
      <c r="B645" s="56" t="str">
        <f t="shared" si="2"/>
        <v/>
      </c>
      <c r="C645" s="105"/>
      <c r="D645" s="10"/>
      <c r="E645" s="59" t="str">
        <f t="array" ref="E645">IF(COUNTA(C645:C1644)=0,"",SUM((COUNTIF(C$4:C645,Upgrades!$B$3:$B$13)-COUNTIF(C$4:C645,"Sell_"&amp;Upgrades!$B$3:$B$13))*Upgrades!$D$3:$D$13))</f>
        <v/>
      </c>
      <c r="F645" s="66" t="str">
        <f>IFERROR(__xludf.DUMMYFUNCTION("IF(COUNTA(C645:C1644)=0,"""",IF(REGEXMATCH(INDEX(FILTER(C$4:C645,C$4:C645&lt;&gt;""""),ROWS(FILTER(C$4:C645,C$4:C645&lt;&gt;""""))),""^Sell_""),INDEX(FILTER(F$4:F644,C$4:C644&lt;&gt;""""),ROWS(FILTER(C$4:C644,C$4:C644&lt;&gt;""""))),$AC$5+E645))"),"")</f>
        <v/>
      </c>
      <c r="G645" s="10" t="str">
        <f>IFERROR(__xludf.DUMMYFUNCTION("IF(COUNTA(C645:C1644)=0,"""",IF(C645="""",0,IF(REGEXMATCH(C645,""^Sell_""),-ROUNDDOWN(ROUNDUP(INDEX(Upgrades!$C$3:$C$13,MATCH(SUBSTITUTE(C645,""Sell_"",""""),Upgrades!$B$3:$B$13,0))*1.15^(COUNTIF(C$4:C644,SUBSTITUTE(C645,""Sell_"",""""))-COUNTIF(C$4:C644,"&amp;"""Sell_""&amp;SUBSTITUTE(C645,""Sell_"",""""))))/2),ROUNDUP(INDEX(Upgrades!$C$3:$C$13,MATCH(C645,Upgrades!$B$3:$B$13,0))*1.15^(COUNTIF(C$4:C644,C645)-COUNTIF(C$4:C644,""Sell_""&amp;C645))))))"),"")</f>
        <v/>
      </c>
      <c r="H645" s="10" t="str">
        <f t="shared" si="3"/>
        <v/>
      </c>
      <c r="I645" s="68" t="str">
        <f t="shared" si="4"/>
        <v/>
      </c>
      <c r="J645" s="59" t="str">
        <f t="shared" si="5"/>
        <v/>
      </c>
      <c r="K645" s="69" t="str">
        <f t="shared" si="6"/>
        <v/>
      </c>
      <c r="L645" s="60" t="str">
        <f t="shared" si="7"/>
        <v/>
      </c>
      <c r="M645" s="61" t="str">
        <f>IFERROR(__xludf.DUMMYFUNCTION("IFS(AND(COUNTA(C645:C1644)=0,COUNTA(Q645:Q1644)=0),"""",OR(AND(K645&gt;=1000000000,OR(Y645&gt;=1000000000,COUNTA(Q645:Q1644)=0)),OR(Y645&gt;=1000000000,AND(COUNTA(C645:C1644)=0,P$3=TRUE))),
ROUNDDOWN((AB$1-AC$1)*MAX(INDEX(T$4:T1644,MATCH(LARGE(FILTER(Y$4:Y1644,Y$4"&amp;":Y1644&lt;1000000000),1),Y$4:Y1644)),INDEX(F$4:F1644,MATCH(LARGE(FILTER(K$4:K1644,K$4:K1644&lt;1000000000),1),K$4:K1644)))),AND(K645&lt;1000000000,COUNTA(C645:C1644)&gt;0,P$3=FALSE),
ROUNDDOWN(INDEX(Y$4:Y1644,MATCH(LARGE(FILTER(W$4:W1644,W$4:W1644&lt;=I645),1),W$4:W1644"&amp;"))+(I645-LARGE(FILTER(W$4:W1644,W$4:W1644&lt;=I645),1))*INDEX(T$4:T1644,MATCH(LARGE(FILTER(W$4:W1644,W$4:W1644&lt;=I645),1),W$4:W1644))-K645),1,
ROUNDDOWN(Y645-INDEX(K$4:K1644,MATCH(LARGE(FILTER(I$4:I1644,I$4:I1644&lt;=W645),1),I$4:I1644))-(W645-LARGE(FILTER(I$4:I"&amp;"1644,I$4:I1644&lt;=W645),1))*INDEX(F$4:F1644,MATCH(LARGE(FILTER(I$4:I1644,I$4:I1644&lt;=W645),1),I$4:I1644))))"),"")</f>
        <v/>
      </c>
      <c r="N645" s="60" t="str">
        <f t="shared" si="8"/>
        <v/>
      </c>
      <c r="O645" s="61" t="str">
        <f t="shared" si="9"/>
        <v/>
      </c>
      <c r="P645" s="56" t="str">
        <f t="shared" si="10"/>
        <v/>
      </c>
      <c r="Q645" s="105"/>
      <c r="R645" s="10"/>
      <c r="S645" s="59" t="str">
        <f t="array" ref="S645">IF(COUNTA(Q645:Q1644)=0,"",SUM((COUNTIF(Q$4:Q645,Upgrades!$B$3:$B$13)-COUNTIF(Q$4:Q645,"Sell_"&amp;Upgrades!$B$3:$B$13))*Upgrades!$D$3:$D$13))</f>
        <v/>
      </c>
      <c r="T645" s="66" t="str">
        <f>IFERROR(__xludf.DUMMYFUNCTION("IF(COUNTA(Q645:Q1644)=0,"""",IF(REGEXMATCH(INDEX(FILTER(Q$4:Q645,Q$4:Q645&lt;&gt;""""),ROWS(FILTER(Q$4:Q645,Q$4:Q645&lt;&gt;""""))),""^Sell_""),INDEX(FILTER(T$4:T644,Q$4:Q644&lt;&gt;""""),ROWS(FILTER(Q$4:Q644,Q$4:Q644&lt;&gt;""""))),$AD$5+S645))"),"")</f>
        <v/>
      </c>
      <c r="U645" s="10" t="str">
        <f>IFERROR(__xludf.DUMMYFUNCTION("IF(COUNTA(Q645:Q1644)=0,"""",IF(Q645="""",0,IF(REGEXMATCH(Q645,""^Sell_""),-ROUNDDOWN(ROUNDUP(INDEX(Upgrades!$C$3:$C$13,MATCH(SUBSTITUTE(Q645,""Sell_"",""""),Upgrades!$B$3:$B$13,0))*1.15^(COUNTIF(Q$4:Q644,SUBSTITUTE(Q645,""Sell_"",""""))-COUNTIF(Q$4:Q644,"&amp;"""Sell_""&amp;SUBSTITUTE(Q645,""Sell_"",""""))))/2),ROUNDUP(INDEX(Upgrades!$C$3:$C$13,MATCH(Q645,Upgrades!$B$3:$B$13,0))*1.15^(COUNTIF(Q$4:Q644,Q645)-COUNTIF(Q$4:Q644,""Sell_""&amp;Q645))))))"),"")</f>
        <v/>
      </c>
      <c r="V645" s="10" t="str">
        <f t="shared" si="11"/>
        <v/>
      </c>
      <c r="W645" s="68" t="str">
        <f t="shared" si="12"/>
        <v/>
      </c>
      <c r="X645" s="59" t="str">
        <f t="shared" si="13"/>
        <v/>
      </c>
      <c r="Y645" s="69" t="str">
        <f t="shared" si="14"/>
        <v/>
      </c>
      <c r="Z645" s="11"/>
      <c r="AG645" s="59"/>
    </row>
    <row r="646">
      <c r="A646" s="8"/>
      <c r="B646" s="56" t="str">
        <f t="shared" si="2"/>
        <v/>
      </c>
      <c r="C646" s="105"/>
      <c r="D646" s="10"/>
      <c r="E646" s="59" t="str">
        <f t="array" ref="E646">IF(COUNTA(C646:C1644)=0,"",SUM((COUNTIF(C$4:C646,Upgrades!$B$3:$B$13)-COUNTIF(C$4:C646,"Sell_"&amp;Upgrades!$B$3:$B$13))*Upgrades!$D$3:$D$13))</f>
        <v/>
      </c>
      <c r="F646" s="66" t="str">
        <f>IFERROR(__xludf.DUMMYFUNCTION("IF(COUNTA(C646:C1644)=0,"""",IF(REGEXMATCH(INDEX(FILTER(C$4:C646,C$4:C646&lt;&gt;""""),ROWS(FILTER(C$4:C646,C$4:C646&lt;&gt;""""))),""^Sell_""),INDEX(FILTER(F$4:F645,C$4:C645&lt;&gt;""""),ROWS(FILTER(C$4:C645,C$4:C645&lt;&gt;""""))),$AC$5+E646))"),"")</f>
        <v/>
      </c>
      <c r="G646" s="10" t="str">
        <f>IFERROR(__xludf.DUMMYFUNCTION("IF(COUNTA(C646:C1644)=0,"""",IF(C646="""",0,IF(REGEXMATCH(C646,""^Sell_""),-ROUNDDOWN(ROUNDUP(INDEX(Upgrades!$C$3:$C$13,MATCH(SUBSTITUTE(C646,""Sell_"",""""),Upgrades!$B$3:$B$13,0))*1.15^(COUNTIF(C$4:C645,SUBSTITUTE(C646,""Sell_"",""""))-COUNTIF(C$4:C645,"&amp;"""Sell_""&amp;SUBSTITUTE(C646,""Sell_"",""""))))/2),ROUNDUP(INDEX(Upgrades!$C$3:$C$13,MATCH(C646,Upgrades!$B$3:$B$13,0))*1.15^(COUNTIF(C$4:C645,C646)-COUNTIF(C$4:C645,""Sell_""&amp;C646))))))"),"")</f>
        <v/>
      </c>
      <c r="H646" s="10" t="str">
        <f t="shared" si="3"/>
        <v/>
      </c>
      <c r="I646" s="68" t="str">
        <f t="shared" si="4"/>
        <v/>
      </c>
      <c r="J646" s="59" t="str">
        <f t="shared" si="5"/>
        <v/>
      </c>
      <c r="K646" s="69" t="str">
        <f t="shared" si="6"/>
        <v/>
      </c>
      <c r="L646" s="60" t="str">
        <f t="shared" si="7"/>
        <v/>
      </c>
      <c r="M646" s="61" t="str">
        <f>IFERROR(__xludf.DUMMYFUNCTION("IFS(AND(COUNTA(C646:C1644)=0,COUNTA(Q646:Q1644)=0),"""",OR(AND(K646&gt;=1000000000,OR(Y646&gt;=1000000000,COUNTA(Q646:Q1644)=0)),OR(Y646&gt;=1000000000,AND(COUNTA(C646:C1644)=0,P$3=TRUE))),
ROUNDDOWN((AB$1-AC$1)*MAX(INDEX(T$4:T1644,MATCH(LARGE(FILTER(Y$4:Y1644,Y$4"&amp;":Y1644&lt;1000000000),1),Y$4:Y1644)),INDEX(F$4:F1644,MATCH(LARGE(FILTER(K$4:K1644,K$4:K1644&lt;1000000000),1),K$4:K1644)))),AND(K646&lt;1000000000,COUNTA(C646:C1644)&gt;0,P$3=FALSE),
ROUNDDOWN(INDEX(Y$4:Y1644,MATCH(LARGE(FILTER(W$4:W1644,W$4:W1644&lt;=I646),1),W$4:W1644"&amp;"))+(I646-LARGE(FILTER(W$4:W1644,W$4:W1644&lt;=I646),1))*INDEX(T$4:T1644,MATCH(LARGE(FILTER(W$4:W1644,W$4:W1644&lt;=I646),1),W$4:W1644))-K646),1,
ROUNDDOWN(Y646-INDEX(K$4:K1644,MATCH(LARGE(FILTER(I$4:I1644,I$4:I1644&lt;=W646),1),I$4:I1644))-(W646-LARGE(FILTER(I$4:I"&amp;"1644,I$4:I1644&lt;=W646),1))*INDEX(F$4:F1644,MATCH(LARGE(FILTER(I$4:I1644,I$4:I1644&lt;=W646),1),I$4:I1644))))"),"")</f>
        <v/>
      </c>
      <c r="N646" s="60" t="str">
        <f t="shared" si="8"/>
        <v/>
      </c>
      <c r="O646" s="61" t="str">
        <f t="shared" si="9"/>
        <v/>
      </c>
      <c r="P646" s="56" t="str">
        <f t="shared" si="10"/>
        <v/>
      </c>
      <c r="Q646" s="105"/>
      <c r="R646" s="10"/>
      <c r="S646" s="59" t="str">
        <f t="array" ref="S646">IF(COUNTA(Q646:Q1644)=0,"",SUM((COUNTIF(Q$4:Q646,Upgrades!$B$3:$B$13)-COUNTIF(Q$4:Q646,"Sell_"&amp;Upgrades!$B$3:$B$13))*Upgrades!$D$3:$D$13))</f>
        <v/>
      </c>
      <c r="T646" s="66" t="str">
        <f>IFERROR(__xludf.DUMMYFUNCTION("IF(COUNTA(Q646:Q1644)=0,"""",IF(REGEXMATCH(INDEX(FILTER(Q$4:Q646,Q$4:Q646&lt;&gt;""""),ROWS(FILTER(Q$4:Q646,Q$4:Q646&lt;&gt;""""))),""^Sell_""),INDEX(FILTER(T$4:T645,Q$4:Q645&lt;&gt;""""),ROWS(FILTER(Q$4:Q645,Q$4:Q645&lt;&gt;""""))),$AD$5+S646))"),"")</f>
        <v/>
      </c>
      <c r="U646" s="10" t="str">
        <f>IFERROR(__xludf.DUMMYFUNCTION("IF(COUNTA(Q646:Q1644)=0,"""",IF(Q646="""",0,IF(REGEXMATCH(Q646,""^Sell_""),-ROUNDDOWN(ROUNDUP(INDEX(Upgrades!$C$3:$C$13,MATCH(SUBSTITUTE(Q646,""Sell_"",""""),Upgrades!$B$3:$B$13,0))*1.15^(COUNTIF(Q$4:Q645,SUBSTITUTE(Q646,""Sell_"",""""))-COUNTIF(Q$4:Q645,"&amp;"""Sell_""&amp;SUBSTITUTE(Q646,""Sell_"",""""))))/2),ROUNDUP(INDEX(Upgrades!$C$3:$C$13,MATCH(Q646,Upgrades!$B$3:$B$13,0))*1.15^(COUNTIF(Q$4:Q645,Q646)-COUNTIF(Q$4:Q645,""Sell_""&amp;Q646))))))"),"")</f>
        <v/>
      </c>
      <c r="V646" s="10" t="str">
        <f t="shared" si="11"/>
        <v/>
      </c>
      <c r="W646" s="68" t="str">
        <f t="shared" si="12"/>
        <v/>
      </c>
      <c r="X646" s="59" t="str">
        <f t="shared" si="13"/>
        <v/>
      </c>
      <c r="Y646" s="69" t="str">
        <f t="shared" si="14"/>
        <v/>
      </c>
      <c r="Z646" s="11"/>
      <c r="AG646" s="59"/>
    </row>
    <row r="647">
      <c r="A647" s="8"/>
      <c r="B647" s="56" t="str">
        <f t="shared" si="2"/>
        <v/>
      </c>
      <c r="C647" s="105"/>
      <c r="D647" s="10"/>
      <c r="E647" s="59" t="str">
        <f t="array" ref="E647">IF(COUNTA(C647:C1644)=0,"",SUM((COUNTIF(C$4:C647,Upgrades!$B$3:$B$13)-COUNTIF(C$4:C647,"Sell_"&amp;Upgrades!$B$3:$B$13))*Upgrades!$D$3:$D$13))</f>
        <v/>
      </c>
      <c r="F647" s="66" t="str">
        <f>IFERROR(__xludf.DUMMYFUNCTION("IF(COUNTA(C647:C1644)=0,"""",IF(REGEXMATCH(INDEX(FILTER(C$4:C647,C$4:C647&lt;&gt;""""),ROWS(FILTER(C$4:C647,C$4:C647&lt;&gt;""""))),""^Sell_""),INDEX(FILTER(F$4:F646,C$4:C646&lt;&gt;""""),ROWS(FILTER(C$4:C646,C$4:C646&lt;&gt;""""))),$AC$5+E647))"),"")</f>
        <v/>
      </c>
      <c r="G647" s="10" t="str">
        <f>IFERROR(__xludf.DUMMYFUNCTION("IF(COUNTA(C647:C1644)=0,"""",IF(C647="""",0,IF(REGEXMATCH(C647,""^Sell_""),-ROUNDDOWN(ROUNDUP(INDEX(Upgrades!$C$3:$C$13,MATCH(SUBSTITUTE(C647,""Sell_"",""""),Upgrades!$B$3:$B$13,0))*1.15^(COUNTIF(C$4:C646,SUBSTITUTE(C647,""Sell_"",""""))-COUNTIF(C$4:C646,"&amp;"""Sell_""&amp;SUBSTITUTE(C647,""Sell_"",""""))))/2),ROUNDUP(INDEX(Upgrades!$C$3:$C$13,MATCH(C647,Upgrades!$B$3:$B$13,0))*1.15^(COUNTIF(C$4:C646,C647)-COUNTIF(C$4:C646,""Sell_""&amp;C647))))))"),"")</f>
        <v/>
      </c>
      <c r="H647" s="10" t="str">
        <f t="shared" si="3"/>
        <v/>
      </c>
      <c r="I647" s="68" t="str">
        <f t="shared" si="4"/>
        <v/>
      </c>
      <c r="J647" s="59" t="str">
        <f t="shared" si="5"/>
        <v/>
      </c>
      <c r="K647" s="69" t="str">
        <f t="shared" si="6"/>
        <v/>
      </c>
      <c r="L647" s="60" t="str">
        <f t="shared" si="7"/>
        <v/>
      </c>
      <c r="M647" s="61" t="str">
        <f>IFERROR(__xludf.DUMMYFUNCTION("IFS(AND(COUNTA(C647:C1644)=0,COUNTA(Q647:Q1644)=0),"""",OR(AND(K647&gt;=1000000000,OR(Y647&gt;=1000000000,COUNTA(Q647:Q1644)=0)),OR(Y647&gt;=1000000000,AND(COUNTA(C647:C1644)=0,P$3=TRUE))),
ROUNDDOWN((AB$1-AC$1)*MAX(INDEX(T$4:T1644,MATCH(LARGE(FILTER(Y$4:Y1644,Y$4"&amp;":Y1644&lt;1000000000),1),Y$4:Y1644)),INDEX(F$4:F1644,MATCH(LARGE(FILTER(K$4:K1644,K$4:K1644&lt;1000000000),1),K$4:K1644)))),AND(K647&lt;1000000000,COUNTA(C647:C1644)&gt;0,P$3=FALSE),
ROUNDDOWN(INDEX(Y$4:Y1644,MATCH(LARGE(FILTER(W$4:W1644,W$4:W1644&lt;=I647),1),W$4:W1644"&amp;"))+(I647-LARGE(FILTER(W$4:W1644,W$4:W1644&lt;=I647),1))*INDEX(T$4:T1644,MATCH(LARGE(FILTER(W$4:W1644,W$4:W1644&lt;=I647),1),W$4:W1644))-K647),1,
ROUNDDOWN(Y647-INDEX(K$4:K1644,MATCH(LARGE(FILTER(I$4:I1644,I$4:I1644&lt;=W647),1),I$4:I1644))-(W647-LARGE(FILTER(I$4:I"&amp;"1644,I$4:I1644&lt;=W647),1))*INDEX(F$4:F1644,MATCH(LARGE(FILTER(I$4:I1644,I$4:I1644&lt;=W647),1),I$4:I1644))))"),"")</f>
        <v/>
      </c>
      <c r="N647" s="60" t="str">
        <f t="shared" si="8"/>
        <v/>
      </c>
      <c r="O647" s="61" t="str">
        <f t="shared" si="9"/>
        <v/>
      </c>
      <c r="P647" s="56" t="str">
        <f t="shared" si="10"/>
        <v/>
      </c>
      <c r="Q647" s="105"/>
      <c r="R647" s="10"/>
      <c r="S647" s="59" t="str">
        <f t="array" ref="S647">IF(COUNTA(Q647:Q1644)=0,"",SUM((COUNTIF(Q$4:Q647,Upgrades!$B$3:$B$13)-COUNTIF(Q$4:Q647,"Sell_"&amp;Upgrades!$B$3:$B$13))*Upgrades!$D$3:$D$13))</f>
        <v/>
      </c>
      <c r="T647" s="66" t="str">
        <f>IFERROR(__xludf.DUMMYFUNCTION("IF(COUNTA(Q647:Q1644)=0,"""",IF(REGEXMATCH(INDEX(FILTER(Q$4:Q647,Q$4:Q647&lt;&gt;""""),ROWS(FILTER(Q$4:Q647,Q$4:Q647&lt;&gt;""""))),""^Sell_""),INDEX(FILTER(T$4:T646,Q$4:Q646&lt;&gt;""""),ROWS(FILTER(Q$4:Q646,Q$4:Q646&lt;&gt;""""))),$AD$5+S647))"),"")</f>
        <v/>
      </c>
      <c r="U647" s="10" t="str">
        <f>IFERROR(__xludf.DUMMYFUNCTION("IF(COUNTA(Q647:Q1644)=0,"""",IF(Q647="""",0,IF(REGEXMATCH(Q647,""^Sell_""),-ROUNDDOWN(ROUNDUP(INDEX(Upgrades!$C$3:$C$13,MATCH(SUBSTITUTE(Q647,""Sell_"",""""),Upgrades!$B$3:$B$13,0))*1.15^(COUNTIF(Q$4:Q646,SUBSTITUTE(Q647,""Sell_"",""""))-COUNTIF(Q$4:Q646,"&amp;"""Sell_""&amp;SUBSTITUTE(Q647,""Sell_"",""""))))/2),ROUNDUP(INDEX(Upgrades!$C$3:$C$13,MATCH(Q647,Upgrades!$B$3:$B$13,0))*1.15^(COUNTIF(Q$4:Q646,Q647)-COUNTIF(Q$4:Q646,""Sell_""&amp;Q647))))))"),"")</f>
        <v/>
      </c>
      <c r="V647" s="10" t="str">
        <f t="shared" si="11"/>
        <v/>
      </c>
      <c r="W647" s="68" t="str">
        <f t="shared" si="12"/>
        <v/>
      </c>
      <c r="X647" s="59" t="str">
        <f t="shared" si="13"/>
        <v/>
      </c>
      <c r="Y647" s="69" t="str">
        <f t="shared" si="14"/>
        <v/>
      </c>
      <c r="Z647" s="11"/>
      <c r="AG647" s="59"/>
    </row>
    <row r="648">
      <c r="A648" s="8"/>
      <c r="B648" s="56" t="str">
        <f t="shared" si="2"/>
        <v/>
      </c>
      <c r="C648" s="105"/>
      <c r="D648" s="10"/>
      <c r="E648" s="59" t="str">
        <f t="array" ref="E648">IF(COUNTA(C648:C1644)=0,"",SUM((COUNTIF(C$4:C648,Upgrades!$B$3:$B$13)-COUNTIF(C$4:C648,"Sell_"&amp;Upgrades!$B$3:$B$13))*Upgrades!$D$3:$D$13))</f>
        <v/>
      </c>
      <c r="F648" s="66" t="str">
        <f>IFERROR(__xludf.DUMMYFUNCTION("IF(COUNTA(C648:C1644)=0,"""",IF(REGEXMATCH(INDEX(FILTER(C$4:C648,C$4:C648&lt;&gt;""""),ROWS(FILTER(C$4:C648,C$4:C648&lt;&gt;""""))),""^Sell_""),INDEX(FILTER(F$4:F647,C$4:C647&lt;&gt;""""),ROWS(FILTER(C$4:C647,C$4:C647&lt;&gt;""""))),$AC$5+E648))"),"")</f>
        <v/>
      </c>
      <c r="G648" s="10" t="str">
        <f>IFERROR(__xludf.DUMMYFUNCTION("IF(COUNTA(C648:C1644)=0,"""",IF(C648="""",0,IF(REGEXMATCH(C648,""^Sell_""),-ROUNDDOWN(ROUNDUP(INDEX(Upgrades!$C$3:$C$13,MATCH(SUBSTITUTE(C648,""Sell_"",""""),Upgrades!$B$3:$B$13,0))*1.15^(COUNTIF(C$4:C647,SUBSTITUTE(C648,""Sell_"",""""))-COUNTIF(C$4:C647,"&amp;"""Sell_""&amp;SUBSTITUTE(C648,""Sell_"",""""))))/2),ROUNDUP(INDEX(Upgrades!$C$3:$C$13,MATCH(C648,Upgrades!$B$3:$B$13,0))*1.15^(COUNTIF(C$4:C647,C648)-COUNTIF(C$4:C647,""Sell_""&amp;C648))))))"),"")</f>
        <v/>
      </c>
      <c r="H648" s="10" t="str">
        <f t="shared" si="3"/>
        <v/>
      </c>
      <c r="I648" s="68" t="str">
        <f t="shared" si="4"/>
        <v/>
      </c>
      <c r="J648" s="59" t="str">
        <f t="shared" si="5"/>
        <v/>
      </c>
      <c r="K648" s="69" t="str">
        <f t="shared" si="6"/>
        <v/>
      </c>
      <c r="L648" s="60" t="str">
        <f t="shared" si="7"/>
        <v/>
      </c>
      <c r="M648" s="61" t="str">
        <f>IFERROR(__xludf.DUMMYFUNCTION("IFS(AND(COUNTA(C648:C1644)=0,COUNTA(Q648:Q1644)=0),"""",OR(AND(K648&gt;=1000000000,OR(Y648&gt;=1000000000,COUNTA(Q648:Q1644)=0)),OR(Y648&gt;=1000000000,AND(COUNTA(C648:C1644)=0,P$3=TRUE))),
ROUNDDOWN((AB$1-AC$1)*MAX(INDEX(T$4:T1644,MATCH(LARGE(FILTER(Y$4:Y1644,Y$4"&amp;":Y1644&lt;1000000000),1),Y$4:Y1644)),INDEX(F$4:F1644,MATCH(LARGE(FILTER(K$4:K1644,K$4:K1644&lt;1000000000),1),K$4:K1644)))),AND(K648&lt;1000000000,COUNTA(C648:C1644)&gt;0,P$3=FALSE),
ROUNDDOWN(INDEX(Y$4:Y1644,MATCH(LARGE(FILTER(W$4:W1644,W$4:W1644&lt;=I648),1),W$4:W1644"&amp;"))+(I648-LARGE(FILTER(W$4:W1644,W$4:W1644&lt;=I648),1))*INDEX(T$4:T1644,MATCH(LARGE(FILTER(W$4:W1644,W$4:W1644&lt;=I648),1),W$4:W1644))-K648),1,
ROUNDDOWN(Y648-INDEX(K$4:K1644,MATCH(LARGE(FILTER(I$4:I1644,I$4:I1644&lt;=W648),1),I$4:I1644))-(W648-LARGE(FILTER(I$4:I"&amp;"1644,I$4:I1644&lt;=W648),1))*INDEX(F$4:F1644,MATCH(LARGE(FILTER(I$4:I1644,I$4:I1644&lt;=W648),1),I$4:I1644))))"),"")</f>
        <v/>
      </c>
      <c r="N648" s="60" t="str">
        <f t="shared" si="8"/>
        <v/>
      </c>
      <c r="O648" s="61" t="str">
        <f t="shared" si="9"/>
        <v/>
      </c>
      <c r="P648" s="56" t="str">
        <f t="shared" si="10"/>
        <v/>
      </c>
      <c r="Q648" s="105"/>
      <c r="R648" s="10"/>
      <c r="S648" s="59" t="str">
        <f t="array" ref="S648">IF(COUNTA(Q648:Q1644)=0,"",SUM((COUNTIF(Q$4:Q648,Upgrades!$B$3:$B$13)-COUNTIF(Q$4:Q648,"Sell_"&amp;Upgrades!$B$3:$B$13))*Upgrades!$D$3:$D$13))</f>
        <v/>
      </c>
      <c r="T648" s="66" t="str">
        <f>IFERROR(__xludf.DUMMYFUNCTION("IF(COUNTA(Q648:Q1644)=0,"""",IF(REGEXMATCH(INDEX(FILTER(Q$4:Q648,Q$4:Q648&lt;&gt;""""),ROWS(FILTER(Q$4:Q648,Q$4:Q648&lt;&gt;""""))),""^Sell_""),INDEX(FILTER(T$4:T647,Q$4:Q647&lt;&gt;""""),ROWS(FILTER(Q$4:Q647,Q$4:Q647&lt;&gt;""""))),$AD$5+S648))"),"")</f>
        <v/>
      </c>
      <c r="U648" s="10" t="str">
        <f>IFERROR(__xludf.DUMMYFUNCTION("IF(COUNTA(Q648:Q1644)=0,"""",IF(Q648="""",0,IF(REGEXMATCH(Q648,""^Sell_""),-ROUNDDOWN(ROUNDUP(INDEX(Upgrades!$C$3:$C$13,MATCH(SUBSTITUTE(Q648,""Sell_"",""""),Upgrades!$B$3:$B$13,0))*1.15^(COUNTIF(Q$4:Q647,SUBSTITUTE(Q648,""Sell_"",""""))-COUNTIF(Q$4:Q647,"&amp;"""Sell_""&amp;SUBSTITUTE(Q648,""Sell_"",""""))))/2),ROUNDUP(INDEX(Upgrades!$C$3:$C$13,MATCH(Q648,Upgrades!$B$3:$B$13,0))*1.15^(COUNTIF(Q$4:Q647,Q648)-COUNTIF(Q$4:Q647,""Sell_""&amp;Q648))))))"),"")</f>
        <v/>
      </c>
      <c r="V648" s="10" t="str">
        <f t="shared" si="11"/>
        <v/>
      </c>
      <c r="W648" s="68" t="str">
        <f t="shared" si="12"/>
        <v/>
      </c>
      <c r="X648" s="59" t="str">
        <f t="shared" si="13"/>
        <v/>
      </c>
      <c r="Y648" s="69" t="str">
        <f t="shared" si="14"/>
        <v/>
      </c>
      <c r="Z648" s="11"/>
      <c r="AG648" s="59"/>
    </row>
    <row r="649">
      <c r="A649" s="8"/>
      <c r="B649" s="56" t="str">
        <f t="shared" si="2"/>
        <v/>
      </c>
      <c r="C649" s="105"/>
      <c r="D649" s="10"/>
      <c r="E649" s="59" t="str">
        <f t="array" ref="E649">IF(COUNTA(C649:C1644)=0,"",SUM((COUNTIF(C$4:C649,Upgrades!$B$3:$B$13)-COUNTIF(C$4:C649,"Sell_"&amp;Upgrades!$B$3:$B$13))*Upgrades!$D$3:$D$13))</f>
        <v/>
      </c>
      <c r="F649" s="66" t="str">
        <f>IFERROR(__xludf.DUMMYFUNCTION("IF(COUNTA(C649:C1644)=0,"""",IF(REGEXMATCH(INDEX(FILTER(C$4:C649,C$4:C649&lt;&gt;""""),ROWS(FILTER(C$4:C649,C$4:C649&lt;&gt;""""))),""^Sell_""),INDEX(FILTER(F$4:F648,C$4:C648&lt;&gt;""""),ROWS(FILTER(C$4:C648,C$4:C648&lt;&gt;""""))),$AC$5+E649))"),"")</f>
        <v/>
      </c>
      <c r="G649" s="10" t="str">
        <f>IFERROR(__xludf.DUMMYFUNCTION("IF(COUNTA(C649:C1644)=0,"""",IF(C649="""",0,IF(REGEXMATCH(C649,""^Sell_""),-ROUNDDOWN(ROUNDUP(INDEX(Upgrades!$C$3:$C$13,MATCH(SUBSTITUTE(C649,""Sell_"",""""),Upgrades!$B$3:$B$13,0))*1.15^(COUNTIF(C$4:C648,SUBSTITUTE(C649,""Sell_"",""""))-COUNTIF(C$4:C648,"&amp;"""Sell_""&amp;SUBSTITUTE(C649,""Sell_"",""""))))/2),ROUNDUP(INDEX(Upgrades!$C$3:$C$13,MATCH(C649,Upgrades!$B$3:$B$13,0))*1.15^(COUNTIF(C$4:C648,C649)-COUNTIF(C$4:C648,""Sell_""&amp;C649))))))"),"")</f>
        <v/>
      </c>
      <c r="H649" s="10" t="str">
        <f t="shared" si="3"/>
        <v/>
      </c>
      <c r="I649" s="68" t="str">
        <f t="shared" si="4"/>
        <v/>
      </c>
      <c r="J649" s="59" t="str">
        <f t="shared" si="5"/>
        <v/>
      </c>
      <c r="K649" s="69" t="str">
        <f t="shared" si="6"/>
        <v/>
      </c>
      <c r="L649" s="60" t="str">
        <f t="shared" si="7"/>
        <v/>
      </c>
      <c r="M649" s="61" t="str">
        <f>IFERROR(__xludf.DUMMYFUNCTION("IFS(AND(COUNTA(C649:C1644)=0,COUNTA(Q649:Q1644)=0),"""",OR(AND(K649&gt;=1000000000,OR(Y649&gt;=1000000000,COUNTA(Q649:Q1644)=0)),OR(Y649&gt;=1000000000,AND(COUNTA(C649:C1644)=0,P$3=TRUE))),
ROUNDDOWN((AB$1-AC$1)*MAX(INDEX(T$4:T1644,MATCH(LARGE(FILTER(Y$4:Y1644,Y$4"&amp;":Y1644&lt;1000000000),1),Y$4:Y1644)),INDEX(F$4:F1644,MATCH(LARGE(FILTER(K$4:K1644,K$4:K1644&lt;1000000000),1),K$4:K1644)))),AND(K649&lt;1000000000,COUNTA(C649:C1644)&gt;0,P$3=FALSE),
ROUNDDOWN(INDEX(Y$4:Y1644,MATCH(LARGE(FILTER(W$4:W1644,W$4:W1644&lt;=I649),1),W$4:W1644"&amp;"))+(I649-LARGE(FILTER(W$4:W1644,W$4:W1644&lt;=I649),1))*INDEX(T$4:T1644,MATCH(LARGE(FILTER(W$4:W1644,W$4:W1644&lt;=I649),1),W$4:W1644))-K649),1,
ROUNDDOWN(Y649-INDEX(K$4:K1644,MATCH(LARGE(FILTER(I$4:I1644,I$4:I1644&lt;=W649),1),I$4:I1644))-(W649-LARGE(FILTER(I$4:I"&amp;"1644,I$4:I1644&lt;=W649),1))*INDEX(F$4:F1644,MATCH(LARGE(FILTER(I$4:I1644,I$4:I1644&lt;=W649),1),I$4:I1644))))"),"")</f>
        <v/>
      </c>
      <c r="N649" s="60" t="str">
        <f t="shared" si="8"/>
        <v/>
      </c>
      <c r="O649" s="61" t="str">
        <f t="shared" si="9"/>
        <v/>
      </c>
      <c r="P649" s="56" t="str">
        <f t="shared" si="10"/>
        <v/>
      </c>
      <c r="Q649" s="105"/>
      <c r="R649" s="10"/>
      <c r="S649" s="59" t="str">
        <f t="array" ref="S649">IF(COUNTA(Q649:Q1644)=0,"",SUM((COUNTIF(Q$4:Q649,Upgrades!$B$3:$B$13)-COUNTIF(Q$4:Q649,"Sell_"&amp;Upgrades!$B$3:$B$13))*Upgrades!$D$3:$D$13))</f>
        <v/>
      </c>
      <c r="T649" s="66" t="str">
        <f>IFERROR(__xludf.DUMMYFUNCTION("IF(COUNTA(Q649:Q1644)=0,"""",IF(REGEXMATCH(INDEX(FILTER(Q$4:Q649,Q$4:Q649&lt;&gt;""""),ROWS(FILTER(Q$4:Q649,Q$4:Q649&lt;&gt;""""))),""^Sell_""),INDEX(FILTER(T$4:T648,Q$4:Q648&lt;&gt;""""),ROWS(FILTER(Q$4:Q648,Q$4:Q648&lt;&gt;""""))),$AD$5+S649))"),"")</f>
        <v/>
      </c>
      <c r="U649" s="10" t="str">
        <f>IFERROR(__xludf.DUMMYFUNCTION("IF(COUNTA(Q649:Q1644)=0,"""",IF(Q649="""",0,IF(REGEXMATCH(Q649,""^Sell_""),-ROUNDDOWN(ROUNDUP(INDEX(Upgrades!$C$3:$C$13,MATCH(SUBSTITUTE(Q649,""Sell_"",""""),Upgrades!$B$3:$B$13,0))*1.15^(COUNTIF(Q$4:Q648,SUBSTITUTE(Q649,""Sell_"",""""))-COUNTIF(Q$4:Q648,"&amp;"""Sell_""&amp;SUBSTITUTE(Q649,""Sell_"",""""))))/2),ROUNDUP(INDEX(Upgrades!$C$3:$C$13,MATCH(Q649,Upgrades!$B$3:$B$13,0))*1.15^(COUNTIF(Q$4:Q648,Q649)-COUNTIF(Q$4:Q648,""Sell_""&amp;Q649))))))"),"")</f>
        <v/>
      </c>
      <c r="V649" s="10" t="str">
        <f t="shared" si="11"/>
        <v/>
      </c>
      <c r="W649" s="68" t="str">
        <f t="shared" si="12"/>
        <v/>
      </c>
      <c r="X649" s="59" t="str">
        <f t="shared" si="13"/>
        <v/>
      </c>
      <c r="Y649" s="69" t="str">
        <f t="shared" si="14"/>
        <v/>
      </c>
      <c r="Z649" s="11"/>
      <c r="AG649" s="59"/>
    </row>
    <row r="650">
      <c r="A650" s="8"/>
      <c r="B650" s="56" t="str">
        <f t="shared" si="2"/>
        <v/>
      </c>
      <c r="C650" s="105"/>
      <c r="D650" s="10"/>
      <c r="E650" s="59" t="str">
        <f t="array" ref="E650">IF(COUNTA(C650:C1644)=0,"",SUM((COUNTIF(C$4:C650,Upgrades!$B$3:$B$13)-COUNTIF(C$4:C650,"Sell_"&amp;Upgrades!$B$3:$B$13))*Upgrades!$D$3:$D$13))</f>
        <v/>
      </c>
      <c r="F650" s="66" t="str">
        <f>IFERROR(__xludf.DUMMYFUNCTION("IF(COUNTA(C650:C1644)=0,"""",IF(REGEXMATCH(INDEX(FILTER(C$4:C650,C$4:C650&lt;&gt;""""),ROWS(FILTER(C$4:C650,C$4:C650&lt;&gt;""""))),""^Sell_""),INDEX(FILTER(F$4:F649,C$4:C649&lt;&gt;""""),ROWS(FILTER(C$4:C649,C$4:C649&lt;&gt;""""))),$AC$5+E650))"),"")</f>
        <v/>
      </c>
      <c r="G650" s="10" t="str">
        <f>IFERROR(__xludf.DUMMYFUNCTION("IF(COUNTA(C650:C1644)=0,"""",IF(C650="""",0,IF(REGEXMATCH(C650,""^Sell_""),-ROUNDDOWN(ROUNDUP(INDEX(Upgrades!$C$3:$C$13,MATCH(SUBSTITUTE(C650,""Sell_"",""""),Upgrades!$B$3:$B$13,0))*1.15^(COUNTIF(C$4:C649,SUBSTITUTE(C650,""Sell_"",""""))-COUNTIF(C$4:C649,"&amp;"""Sell_""&amp;SUBSTITUTE(C650,""Sell_"",""""))))/2),ROUNDUP(INDEX(Upgrades!$C$3:$C$13,MATCH(C650,Upgrades!$B$3:$B$13,0))*1.15^(COUNTIF(C$4:C649,C650)-COUNTIF(C$4:C649,""Sell_""&amp;C650))))))"),"")</f>
        <v/>
      </c>
      <c r="H650" s="10" t="str">
        <f t="shared" si="3"/>
        <v/>
      </c>
      <c r="I650" s="68" t="str">
        <f t="shared" si="4"/>
        <v/>
      </c>
      <c r="J650" s="59" t="str">
        <f t="shared" si="5"/>
        <v/>
      </c>
      <c r="K650" s="69" t="str">
        <f t="shared" si="6"/>
        <v/>
      </c>
      <c r="L650" s="60" t="str">
        <f t="shared" si="7"/>
        <v/>
      </c>
      <c r="M650" s="61" t="str">
        <f>IFERROR(__xludf.DUMMYFUNCTION("IFS(AND(COUNTA(C650:C1644)=0,COUNTA(Q650:Q1644)=0),"""",OR(AND(K650&gt;=1000000000,OR(Y650&gt;=1000000000,COUNTA(Q650:Q1644)=0)),OR(Y650&gt;=1000000000,AND(COUNTA(C650:C1644)=0,P$3=TRUE))),
ROUNDDOWN((AB$1-AC$1)*MAX(INDEX(T$4:T1644,MATCH(LARGE(FILTER(Y$4:Y1644,Y$4"&amp;":Y1644&lt;1000000000),1),Y$4:Y1644)),INDEX(F$4:F1644,MATCH(LARGE(FILTER(K$4:K1644,K$4:K1644&lt;1000000000),1),K$4:K1644)))),AND(K650&lt;1000000000,COUNTA(C650:C1644)&gt;0,P$3=FALSE),
ROUNDDOWN(INDEX(Y$4:Y1644,MATCH(LARGE(FILTER(W$4:W1644,W$4:W1644&lt;=I650),1),W$4:W1644"&amp;"))+(I650-LARGE(FILTER(W$4:W1644,W$4:W1644&lt;=I650),1))*INDEX(T$4:T1644,MATCH(LARGE(FILTER(W$4:W1644,W$4:W1644&lt;=I650),1),W$4:W1644))-K650),1,
ROUNDDOWN(Y650-INDEX(K$4:K1644,MATCH(LARGE(FILTER(I$4:I1644,I$4:I1644&lt;=W650),1),I$4:I1644))-(W650-LARGE(FILTER(I$4:I"&amp;"1644,I$4:I1644&lt;=W650),1))*INDEX(F$4:F1644,MATCH(LARGE(FILTER(I$4:I1644,I$4:I1644&lt;=W650),1),I$4:I1644))))"),"")</f>
        <v/>
      </c>
      <c r="N650" s="60" t="str">
        <f t="shared" si="8"/>
        <v/>
      </c>
      <c r="O650" s="61" t="str">
        <f t="shared" si="9"/>
        <v/>
      </c>
      <c r="P650" s="56" t="str">
        <f t="shared" si="10"/>
        <v/>
      </c>
      <c r="Q650" s="105"/>
      <c r="R650" s="10"/>
      <c r="S650" s="59" t="str">
        <f t="array" ref="S650">IF(COUNTA(Q650:Q1644)=0,"",SUM((COUNTIF(Q$4:Q650,Upgrades!$B$3:$B$13)-COUNTIF(Q$4:Q650,"Sell_"&amp;Upgrades!$B$3:$B$13))*Upgrades!$D$3:$D$13))</f>
        <v/>
      </c>
      <c r="T650" s="66" t="str">
        <f>IFERROR(__xludf.DUMMYFUNCTION("IF(COUNTA(Q650:Q1644)=0,"""",IF(REGEXMATCH(INDEX(FILTER(Q$4:Q650,Q$4:Q650&lt;&gt;""""),ROWS(FILTER(Q$4:Q650,Q$4:Q650&lt;&gt;""""))),""^Sell_""),INDEX(FILTER(T$4:T649,Q$4:Q649&lt;&gt;""""),ROWS(FILTER(Q$4:Q649,Q$4:Q649&lt;&gt;""""))),$AD$5+S650))"),"")</f>
        <v/>
      </c>
      <c r="U650" s="10" t="str">
        <f>IFERROR(__xludf.DUMMYFUNCTION("IF(COUNTA(Q650:Q1644)=0,"""",IF(Q650="""",0,IF(REGEXMATCH(Q650,""^Sell_""),-ROUNDDOWN(ROUNDUP(INDEX(Upgrades!$C$3:$C$13,MATCH(SUBSTITUTE(Q650,""Sell_"",""""),Upgrades!$B$3:$B$13,0))*1.15^(COUNTIF(Q$4:Q649,SUBSTITUTE(Q650,""Sell_"",""""))-COUNTIF(Q$4:Q649,"&amp;"""Sell_""&amp;SUBSTITUTE(Q650,""Sell_"",""""))))/2),ROUNDUP(INDEX(Upgrades!$C$3:$C$13,MATCH(Q650,Upgrades!$B$3:$B$13,0))*1.15^(COUNTIF(Q$4:Q649,Q650)-COUNTIF(Q$4:Q649,""Sell_""&amp;Q650))))))"),"")</f>
        <v/>
      </c>
      <c r="V650" s="10" t="str">
        <f t="shared" si="11"/>
        <v/>
      </c>
      <c r="W650" s="68" t="str">
        <f t="shared" si="12"/>
        <v/>
      </c>
      <c r="X650" s="59" t="str">
        <f t="shared" si="13"/>
        <v/>
      </c>
      <c r="Y650" s="69" t="str">
        <f t="shared" si="14"/>
        <v/>
      </c>
      <c r="Z650" s="11"/>
      <c r="AG650" s="59"/>
    </row>
    <row r="651">
      <c r="A651" s="8"/>
      <c r="B651" s="56" t="str">
        <f t="shared" si="2"/>
        <v/>
      </c>
      <c r="C651" s="105"/>
      <c r="D651" s="10"/>
      <c r="E651" s="59" t="str">
        <f t="array" ref="E651">IF(COUNTA(C651:C1644)=0,"",SUM((COUNTIF(C$4:C651,Upgrades!$B$3:$B$13)-COUNTIF(C$4:C651,"Sell_"&amp;Upgrades!$B$3:$B$13))*Upgrades!$D$3:$D$13))</f>
        <v/>
      </c>
      <c r="F651" s="66" t="str">
        <f>IFERROR(__xludf.DUMMYFUNCTION("IF(COUNTA(C651:C1644)=0,"""",IF(REGEXMATCH(INDEX(FILTER(C$4:C651,C$4:C651&lt;&gt;""""),ROWS(FILTER(C$4:C651,C$4:C651&lt;&gt;""""))),""^Sell_""),INDEX(FILTER(F$4:F650,C$4:C650&lt;&gt;""""),ROWS(FILTER(C$4:C650,C$4:C650&lt;&gt;""""))),$AC$5+E651))"),"")</f>
        <v/>
      </c>
      <c r="G651" s="10" t="str">
        <f>IFERROR(__xludf.DUMMYFUNCTION("IF(COUNTA(C651:C1644)=0,"""",IF(C651="""",0,IF(REGEXMATCH(C651,""^Sell_""),-ROUNDDOWN(ROUNDUP(INDEX(Upgrades!$C$3:$C$13,MATCH(SUBSTITUTE(C651,""Sell_"",""""),Upgrades!$B$3:$B$13,0))*1.15^(COUNTIF(C$4:C650,SUBSTITUTE(C651,""Sell_"",""""))-COUNTIF(C$4:C650,"&amp;"""Sell_""&amp;SUBSTITUTE(C651,""Sell_"",""""))))/2),ROUNDUP(INDEX(Upgrades!$C$3:$C$13,MATCH(C651,Upgrades!$B$3:$B$13,0))*1.15^(COUNTIF(C$4:C650,C651)-COUNTIF(C$4:C650,""Sell_""&amp;C651))))))"),"")</f>
        <v/>
      </c>
      <c r="H651" s="10" t="str">
        <f t="shared" si="3"/>
        <v/>
      </c>
      <c r="I651" s="68" t="str">
        <f t="shared" si="4"/>
        <v/>
      </c>
      <c r="J651" s="59" t="str">
        <f t="shared" si="5"/>
        <v/>
      </c>
      <c r="K651" s="69" t="str">
        <f t="shared" si="6"/>
        <v/>
      </c>
      <c r="L651" s="60" t="str">
        <f t="shared" si="7"/>
        <v/>
      </c>
      <c r="M651" s="61" t="str">
        <f>IFERROR(__xludf.DUMMYFUNCTION("IFS(AND(COUNTA(C651:C1644)=0,COUNTA(Q651:Q1644)=0),"""",OR(AND(K651&gt;=1000000000,OR(Y651&gt;=1000000000,COUNTA(Q651:Q1644)=0)),OR(Y651&gt;=1000000000,AND(COUNTA(C651:C1644)=0,P$3=TRUE))),
ROUNDDOWN((AB$1-AC$1)*MAX(INDEX(T$4:T1644,MATCH(LARGE(FILTER(Y$4:Y1644,Y$4"&amp;":Y1644&lt;1000000000),1),Y$4:Y1644)),INDEX(F$4:F1644,MATCH(LARGE(FILTER(K$4:K1644,K$4:K1644&lt;1000000000),1),K$4:K1644)))),AND(K651&lt;1000000000,COUNTA(C651:C1644)&gt;0,P$3=FALSE),
ROUNDDOWN(INDEX(Y$4:Y1644,MATCH(LARGE(FILTER(W$4:W1644,W$4:W1644&lt;=I651),1),W$4:W1644"&amp;"))+(I651-LARGE(FILTER(W$4:W1644,W$4:W1644&lt;=I651),1))*INDEX(T$4:T1644,MATCH(LARGE(FILTER(W$4:W1644,W$4:W1644&lt;=I651),1),W$4:W1644))-K651),1,
ROUNDDOWN(Y651-INDEX(K$4:K1644,MATCH(LARGE(FILTER(I$4:I1644,I$4:I1644&lt;=W651),1),I$4:I1644))-(W651-LARGE(FILTER(I$4:I"&amp;"1644,I$4:I1644&lt;=W651),1))*INDEX(F$4:F1644,MATCH(LARGE(FILTER(I$4:I1644,I$4:I1644&lt;=W651),1),I$4:I1644))))"),"")</f>
        <v/>
      </c>
      <c r="N651" s="60" t="str">
        <f t="shared" si="8"/>
        <v/>
      </c>
      <c r="O651" s="61" t="str">
        <f t="shared" si="9"/>
        <v/>
      </c>
      <c r="P651" s="56" t="str">
        <f t="shared" si="10"/>
        <v/>
      </c>
      <c r="Q651" s="105"/>
      <c r="R651" s="10"/>
      <c r="S651" s="59" t="str">
        <f t="array" ref="S651">IF(COUNTA(Q651:Q1644)=0,"",SUM((COUNTIF(Q$4:Q651,Upgrades!$B$3:$B$13)-COUNTIF(Q$4:Q651,"Sell_"&amp;Upgrades!$B$3:$B$13))*Upgrades!$D$3:$D$13))</f>
        <v/>
      </c>
      <c r="T651" s="66" t="str">
        <f>IFERROR(__xludf.DUMMYFUNCTION("IF(COUNTA(Q651:Q1644)=0,"""",IF(REGEXMATCH(INDEX(FILTER(Q$4:Q651,Q$4:Q651&lt;&gt;""""),ROWS(FILTER(Q$4:Q651,Q$4:Q651&lt;&gt;""""))),""^Sell_""),INDEX(FILTER(T$4:T650,Q$4:Q650&lt;&gt;""""),ROWS(FILTER(Q$4:Q650,Q$4:Q650&lt;&gt;""""))),$AD$5+S651))"),"")</f>
        <v/>
      </c>
      <c r="U651" s="10" t="str">
        <f>IFERROR(__xludf.DUMMYFUNCTION("IF(COUNTA(Q651:Q1644)=0,"""",IF(Q651="""",0,IF(REGEXMATCH(Q651,""^Sell_""),-ROUNDDOWN(ROUNDUP(INDEX(Upgrades!$C$3:$C$13,MATCH(SUBSTITUTE(Q651,""Sell_"",""""),Upgrades!$B$3:$B$13,0))*1.15^(COUNTIF(Q$4:Q650,SUBSTITUTE(Q651,""Sell_"",""""))-COUNTIF(Q$4:Q650,"&amp;"""Sell_""&amp;SUBSTITUTE(Q651,""Sell_"",""""))))/2),ROUNDUP(INDEX(Upgrades!$C$3:$C$13,MATCH(Q651,Upgrades!$B$3:$B$13,0))*1.15^(COUNTIF(Q$4:Q650,Q651)-COUNTIF(Q$4:Q650,""Sell_""&amp;Q651))))))"),"")</f>
        <v/>
      </c>
      <c r="V651" s="10" t="str">
        <f t="shared" si="11"/>
        <v/>
      </c>
      <c r="W651" s="68" t="str">
        <f t="shared" si="12"/>
        <v/>
      </c>
      <c r="X651" s="59" t="str">
        <f t="shared" si="13"/>
        <v/>
      </c>
      <c r="Y651" s="69" t="str">
        <f t="shared" si="14"/>
        <v/>
      </c>
      <c r="Z651" s="11"/>
      <c r="AG651" s="59"/>
    </row>
    <row r="652">
      <c r="A652" s="8"/>
      <c r="B652" s="56" t="str">
        <f t="shared" si="2"/>
        <v/>
      </c>
      <c r="C652" s="105"/>
      <c r="D652" s="10"/>
      <c r="E652" s="59" t="str">
        <f t="array" ref="E652">IF(COUNTA(C652:C1644)=0,"",SUM((COUNTIF(C$4:C652,Upgrades!$B$3:$B$13)-COUNTIF(C$4:C652,"Sell_"&amp;Upgrades!$B$3:$B$13))*Upgrades!$D$3:$D$13))</f>
        <v/>
      </c>
      <c r="F652" s="66" t="str">
        <f>IFERROR(__xludf.DUMMYFUNCTION("IF(COUNTA(C652:C1644)=0,"""",IF(REGEXMATCH(INDEX(FILTER(C$4:C652,C$4:C652&lt;&gt;""""),ROWS(FILTER(C$4:C652,C$4:C652&lt;&gt;""""))),""^Sell_""),INDEX(FILTER(F$4:F651,C$4:C651&lt;&gt;""""),ROWS(FILTER(C$4:C651,C$4:C651&lt;&gt;""""))),$AC$5+E652))"),"")</f>
        <v/>
      </c>
      <c r="G652" s="10" t="str">
        <f>IFERROR(__xludf.DUMMYFUNCTION("IF(COUNTA(C652:C1644)=0,"""",IF(C652="""",0,IF(REGEXMATCH(C652,""^Sell_""),-ROUNDDOWN(ROUNDUP(INDEX(Upgrades!$C$3:$C$13,MATCH(SUBSTITUTE(C652,""Sell_"",""""),Upgrades!$B$3:$B$13,0))*1.15^(COUNTIF(C$4:C651,SUBSTITUTE(C652,""Sell_"",""""))-COUNTIF(C$4:C651,"&amp;"""Sell_""&amp;SUBSTITUTE(C652,""Sell_"",""""))))/2),ROUNDUP(INDEX(Upgrades!$C$3:$C$13,MATCH(C652,Upgrades!$B$3:$B$13,0))*1.15^(COUNTIF(C$4:C651,C652)-COUNTIF(C$4:C651,""Sell_""&amp;C652))))))"),"")</f>
        <v/>
      </c>
      <c r="H652" s="10" t="str">
        <f t="shared" si="3"/>
        <v/>
      </c>
      <c r="I652" s="68" t="str">
        <f t="shared" si="4"/>
        <v/>
      </c>
      <c r="J652" s="59" t="str">
        <f t="shared" si="5"/>
        <v/>
      </c>
      <c r="K652" s="69" t="str">
        <f t="shared" si="6"/>
        <v/>
      </c>
      <c r="L652" s="60" t="str">
        <f t="shared" si="7"/>
        <v/>
      </c>
      <c r="M652" s="61" t="str">
        <f>IFERROR(__xludf.DUMMYFUNCTION("IFS(AND(COUNTA(C652:C1644)=0,COUNTA(Q652:Q1644)=0),"""",OR(AND(K652&gt;=1000000000,OR(Y652&gt;=1000000000,COUNTA(Q652:Q1644)=0)),OR(Y652&gt;=1000000000,AND(COUNTA(C652:C1644)=0,P$3=TRUE))),
ROUNDDOWN((AB$1-AC$1)*MAX(INDEX(T$4:T1644,MATCH(LARGE(FILTER(Y$4:Y1644,Y$4"&amp;":Y1644&lt;1000000000),1),Y$4:Y1644)),INDEX(F$4:F1644,MATCH(LARGE(FILTER(K$4:K1644,K$4:K1644&lt;1000000000),1),K$4:K1644)))),AND(K652&lt;1000000000,COUNTA(C652:C1644)&gt;0,P$3=FALSE),
ROUNDDOWN(INDEX(Y$4:Y1644,MATCH(LARGE(FILTER(W$4:W1644,W$4:W1644&lt;=I652),1),W$4:W1644"&amp;"))+(I652-LARGE(FILTER(W$4:W1644,W$4:W1644&lt;=I652),1))*INDEX(T$4:T1644,MATCH(LARGE(FILTER(W$4:W1644,W$4:W1644&lt;=I652),1),W$4:W1644))-K652),1,
ROUNDDOWN(Y652-INDEX(K$4:K1644,MATCH(LARGE(FILTER(I$4:I1644,I$4:I1644&lt;=W652),1),I$4:I1644))-(W652-LARGE(FILTER(I$4:I"&amp;"1644,I$4:I1644&lt;=W652),1))*INDEX(F$4:F1644,MATCH(LARGE(FILTER(I$4:I1644,I$4:I1644&lt;=W652),1),I$4:I1644))))"),"")</f>
        <v/>
      </c>
      <c r="N652" s="60" t="str">
        <f t="shared" si="8"/>
        <v/>
      </c>
      <c r="O652" s="61" t="str">
        <f t="shared" si="9"/>
        <v/>
      </c>
      <c r="P652" s="56" t="str">
        <f t="shared" si="10"/>
        <v/>
      </c>
      <c r="Q652" s="105"/>
      <c r="R652" s="10"/>
      <c r="S652" s="59" t="str">
        <f t="array" ref="S652">IF(COUNTA(Q652:Q1644)=0,"",SUM((COUNTIF(Q$4:Q652,Upgrades!$B$3:$B$13)-COUNTIF(Q$4:Q652,"Sell_"&amp;Upgrades!$B$3:$B$13))*Upgrades!$D$3:$D$13))</f>
        <v/>
      </c>
      <c r="T652" s="66" t="str">
        <f>IFERROR(__xludf.DUMMYFUNCTION("IF(COUNTA(Q652:Q1644)=0,"""",IF(REGEXMATCH(INDEX(FILTER(Q$4:Q652,Q$4:Q652&lt;&gt;""""),ROWS(FILTER(Q$4:Q652,Q$4:Q652&lt;&gt;""""))),""^Sell_""),INDEX(FILTER(T$4:T651,Q$4:Q651&lt;&gt;""""),ROWS(FILTER(Q$4:Q651,Q$4:Q651&lt;&gt;""""))),$AD$5+S652))"),"")</f>
        <v/>
      </c>
      <c r="U652" s="10" t="str">
        <f>IFERROR(__xludf.DUMMYFUNCTION("IF(COUNTA(Q652:Q1644)=0,"""",IF(Q652="""",0,IF(REGEXMATCH(Q652,""^Sell_""),-ROUNDDOWN(ROUNDUP(INDEX(Upgrades!$C$3:$C$13,MATCH(SUBSTITUTE(Q652,""Sell_"",""""),Upgrades!$B$3:$B$13,0))*1.15^(COUNTIF(Q$4:Q651,SUBSTITUTE(Q652,""Sell_"",""""))-COUNTIF(Q$4:Q651,"&amp;"""Sell_""&amp;SUBSTITUTE(Q652,""Sell_"",""""))))/2),ROUNDUP(INDEX(Upgrades!$C$3:$C$13,MATCH(Q652,Upgrades!$B$3:$B$13,0))*1.15^(COUNTIF(Q$4:Q651,Q652)-COUNTIF(Q$4:Q651,""Sell_""&amp;Q652))))))"),"")</f>
        <v/>
      </c>
      <c r="V652" s="10" t="str">
        <f t="shared" si="11"/>
        <v/>
      </c>
      <c r="W652" s="68" t="str">
        <f t="shared" si="12"/>
        <v/>
      </c>
      <c r="X652" s="59" t="str">
        <f t="shared" si="13"/>
        <v/>
      </c>
      <c r="Y652" s="69" t="str">
        <f t="shared" si="14"/>
        <v/>
      </c>
      <c r="Z652" s="11"/>
      <c r="AG652" s="59"/>
    </row>
    <row r="653">
      <c r="A653" s="8"/>
      <c r="B653" s="56" t="str">
        <f t="shared" si="2"/>
        <v/>
      </c>
      <c r="C653" s="105"/>
      <c r="D653" s="10"/>
      <c r="E653" s="59" t="str">
        <f t="array" ref="E653">IF(COUNTA(C653:C1644)=0,"",SUM((COUNTIF(C$4:C653,Upgrades!$B$3:$B$13)-COUNTIF(C$4:C653,"Sell_"&amp;Upgrades!$B$3:$B$13))*Upgrades!$D$3:$D$13))</f>
        <v/>
      </c>
      <c r="F653" s="66" t="str">
        <f>IFERROR(__xludf.DUMMYFUNCTION("IF(COUNTA(C653:C1644)=0,"""",IF(REGEXMATCH(INDEX(FILTER(C$4:C653,C$4:C653&lt;&gt;""""),ROWS(FILTER(C$4:C653,C$4:C653&lt;&gt;""""))),""^Sell_""),INDEX(FILTER(F$4:F652,C$4:C652&lt;&gt;""""),ROWS(FILTER(C$4:C652,C$4:C652&lt;&gt;""""))),$AC$5+E653))"),"")</f>
        <v/>
      </c>
      <c r="G653" s="10" t="str">
        <f>IFERROR(__xludf.DUMMYFUNCTION("IF(COUNTA(C653:C1644)=0,"""",IF(C653="""",0,IF(REGEXMATCH(C653,""^Sell_""),-ROUNDDOWN(ROUNDUP(INDEX(Upgrades!$C$3:$C$13,MATCH(SUBSTITUTE(C653,""Sell_"",""""),Upgrades!$B$3:$B$13,0))*1.15^(COUNTIF(C$4:C652,SUBSTITUTE(C653,""Sell_"",""""))-COUNTIF(C$4:C652,"&amp;"""Sell_""&amp;SUBSTITUTE(C653,""Sell_"",""""))))/2),ROUNDUP(INDEX(Upgrades!$C$3:$C$13,MATCH(C653,Upgrades!$B$3:$B$13,0))*1.15^(COUNTIF(C$4:C652,C653)-COUNTIF(C$4:C652,""Sell_""&amp;C653))))))"),"")</f>
        <v/>
      </c>
      <c r="H653" s="10" t="str">
        <f t="shared" si="3"/>
        <v/>
      </c>
      <c r="I653" s="68" t="str">
        <f t="shared" si="4"/>
        <v/>
      </c>
      <c r="J653" s="59" t="str">
        <f t="shared" si="5"/>
        <v/>
      </c>
      <c r="K653" s="69" t="str">
        <f t="shared" si="6"/>
        <v/>
      </c>
      <c r="L653" s="60" t="str">
        <f t="shared" si="7"/>
        <v/>
      </c>
      <c r="M653" s="61" t="str">
        <f>IFERROR(__xludf.DUMMYFUNCTION("IFS(AND(COUNTA(C653:C1644)=0,COUNTA(Q653:Q1644)=0),"""",OR(AND(K653&gt;=1000000000,OR(Y653&gt;=1000000000,COUNTA(Q653:Q1644)=0)),OR(Y653&gt;=1000000000,AND(COUNTA(C653:C1644)=0,P$3=TRUE))),
ROUNDDOWN((AB$1-AC$1)*MAX(INDEX(T$4:T1644,MATCH(LARGE(FILTER(Y$4:Y1644,Y$4"&amp;":Y1644&lt;1000000000),1),Y$4:Y1644)),INDEX(F$4:F1644,MATCH(LARGE(FILTER(K$4:K1644,K$4:K1644&lt;1000000000),1),K$4:K1644)))),AND(K653&lt;1000000000,COUNTA(C653:C1644)&gt;0,P$3=FALSE),
ROUNDDOWN(INDEX(Y$4:Y1644,MATCH(LARGE(FILTER(W$4:W1644,W$4:W1644&lt;=I653),1),W$4:W1644"&amp;"))+(I653-LARGE(FILTER(W$4:W1644,W$4:W1644&lt;=I653),1))*INDEX(T$4:T1644,MATCH(LARGE(FILTER(W$4:W1644,W$4:W1644&lt;=I653),1),W$4:W1644))-K653),1,
ROUNDDOWN(Y653-INDEX(K$4:K1644,MATCH(LARGE(FILTER(I$4:I1644,I$4:I1644&lt;=W653),1),I$4:I1644))-(W653-LARGE(FILTER(I$4:I"&amp;"1644,I$4:I1644&lt;=W653),1))*INDEX(F$4:F1644,MATCH(LARGE(FILTER(I$4:I1644,I$4:I1644&lt;=W653),1),I$4:I1644))))"),"")</f>
        <v/>
      </c>
      <c r="N653" s="60" t="str">
        <f t="shared" si="8"/>
        <v/>
      </c>
      <c r="O653" s="61" t="str">
        <f t="shared" si="9"/>
        <v/>
      </c>
      <c r="P653" s="56" t="str">
        <f t="shared" si="10"/>
        <v/>
      </c>
      <c r="Q653" s="105"/>
      <c r="R653" s="10"/>
      <c r="S653" s="59" t="str">
        <f t="array" ref="S653">IF(COUNTA(Q653:Q1644)=0,"",SUM((COUNTIF(Q$4:Q653,Upgrades!$B$3:$B$13)-COUNTIF(Q$4:Q653,"Sell_"&amp;Upgrades!$B$3:$B$13))*Upgrades!$D$3:$D$13))</f>
        <v/>
      </c>
      <c r="T653" s="66" t="str">
        <f>IFERROR(__xludf.DUMMYFUNCTION("IF(COUNTA(Q653:Q1644)=0,"""",IF(REGEXMATCH(INDEX(FILTER(Q$4:Q653,Q$4:Q653&lt;&gt;""""),ROWS(FILTER(Q$4:Q653,Q$4:Q653&lt;&gt;""""))),""^Sell_""),INDEX(FILTER(T$4:T652,Q$4:Q652&lt;&gt;""""),ROWS(FILTER(Q$4:Q652,Q$4:Q652&lt;&gt;""""))),$AD$5+S653))"),"")</f>
        <v/>
      </c>
      <c r="U653" s="10" t="str">
        <f>IFERROR(__xludf.DUMMYFUNCTION("IF(COUNTA(Q653:Q1644)=0,"""",IF(Q653="""",0,IF(REGEXMATCH(Q653,""^Sell_""),-ROUNDDOWN(ROUNDUP(INDEX(Upgrades!$C$3:$C$13,MATCH(SUBSTITUTE(Q653,""Sell_"",""""),Upgrades!$B$3:$B$13,0))*1.15^(COUNTIF(Q$4:Q652,SUBSTITUTE(Q653,""Sell_"",""""))-COUNTIF(Q$4:Q652,"&amp;"""Sell_""&amp;SUBSTITUTE(Q653,""Sell_"",""""))))/2),ROUNDUP(INDEX(Upgrades!$C$3:$C$13,MATCH(Q653,Upgrades!$B$3:$B$13,0))*1.15^(COUNTIF(Q$4:Q652,Q653)-COUNTIF(Q$4:Q652,""Sell_""&amp;Q653))))))"),"")</f>
        <v/>
      </c>
      <c r="V653" s="10" t="str">
        <f t="shared" si="11"/>
        <v/>
      </c>
      <c r="W653" s="68" t="str">
        <f t="shared" si="12"/>
        <v/>
      </c>
      <c r="X653" s="59" t="str">
        <f t="shared" si="13"/>
        <v/>
      </c>
      <c r="Y653" s="69" t="str">
        <f t="shared" si="14"/>
        <v/>
      </c>
      <c r="Z653" s="11"/>
      <c r="AG653" s="59"/>
    </row>
    <row r="654">
      <c r="A654" s="8"/>
      <c r="B654" s="56" t="str">
        <f t="shared" si="2"/>
        <v/>
      </c>
      <c r="C654" s="105"/>
      <c r="D654" s="10"/>
      <c r="E654" s="59" t="str">
        <f t="array" ref="E654">IF(COUNTA(C654:C1644)=0,"",SUM((COUNTIF(C$4:C654,Upgrades!$B$3:$B$13)-COUNTIF(C$4:C654,"Sell_"&amp;Upgrades!$B$3:$B$13))*Upgrades!$D$3:$D$13))</f>
        <v/>
      </c>
      <c r="F654" s="66" t="str">
        <f>IFERROR(__xludf.DUMMYFUNCTION("IF(COUNTA(C654:C1644)=0,"""",IF(REGEXMATCH(INDEX(FILTER(C$4:C654,C$4:C654&lt;&gt;""""),ROWS(FILTER(C$4:C654,C$4:C654&lt;&gt;""""))),""^Sell_""),INDEX(FILTER(F$4:F653,C$4:C653&lt;&gt;""""),ROWS(FILTER(C$4:C653,C$4:C653&lt;&gt;""""))),$AC$5+E654))"),"")</f>
        <v/>
      </c>
      <c r="G654" s="10" t="str">
        <f>IFERROR(__xludf.DUMMYFUNCTION("IF(COUNTA(C654:C1644)=0,"""",IF(C654="""",0,IF(REGEXMATCH(C654,""^Sell_""),-ROUNDDOWN(ROUNDUP(INDEX(Upgrades!$C$3:$C$13,MATCH(SUBSTITUTE(C654,""Sell_"",""""),Upgrades!$B$3:$B$13,0))*1.15^(COUNTIF(C$4:C653,SUBSTITUTE(C654,""Sell_"",""""))-COUNTIF(C$4:C653,"&amp;"""Sell_""&amp;SUBSTITUTE(C654,""Sell_"",""""))))/2),ROUNDUP(INDEX(Upgrades!$C$3:$C$13,MATCH(C654,Upgrades!$B$3:$B$13,0))*1.15^(COUNTIF(C$4:C653,C654)-COUNTIF(C$4:C653,""Sell_""&amp;C654))))))"),"")</f>
        <v/>
      </c>
      <c r="H654" s="10" t="str">
        <f t="shared" si="3"/>
        <v/>
      </c>
      <c r="I654" s="68" t="str">
        <f t="shared" si="4"/>
        <v/>
      </c>
      <c r="J654" s="59" t="str">
        <f t="shared" si="5"/>
        <v/>
      </c>
      <c r="K654" s="69" t="str">
        <f t="shared" si="6"/>
        <v/>
      </c>
      <c r="L654" s="60" t="str">
        <f t="shared" si="7"/>
        <v/>
      </c>
      <c r="M654" s="61" t="str">
        <f>IFERROR(__xludf.DUMMYFUNCTION("IFS(AND(COUNTA(C654:C1644)=0,COUNTA(Q654:Q1644)=0),"""",OR(AND(K654&gt;=1000000000,OR(Y654&gt;=1000000000,COUNTA(Q654:Q1644)=0)),OR(Y654&gt;=1000000000,AND(COUNTA(C654:C1644)=0,P$3=TRUE))),
ROUNDDOWN((AB$1-AC$1)*MAX(INDEX(T$4:T1644,MATCH(LARGE(FILTER(Y$4:Y1644,Y$4"&amp;":Y1644&lt;1000000000),1),Y$4:Y1644)),INDEX(F$4:F1644,MATCH(LARGE(FILTER(K$4:K1644,K$4:K1644&lt;1000000000),1),K$4:K1644)))),AND(K654&lt;1000000000,COUNTA(C654:C1644)&gt;0,P$3=FALSE),
ROUNDDOWN(INDEX(Y$4:Y1644,MATCH(LARGE(FILTER(W$4:W1644,W$4:W1644&lt;=I654),1),W$4:W1644"&amp;"))+(I654-LARGE(FILTER(W$4:W1644,W$4:W1644&lt;=I654),1))*INDEX(T$4:T1644,MATCH(LARGE(FILTER(W$4:W1644,W$4:W1644&lt;=I654),1),W$4:W1644))-K654),1,
ROUNDDOWN(Y654-INDEX(K$4:K1644,MATCH(LARGE(FILTER(I$4:I1644,I$4:I1644&lt;=W654),1),I$4:I1644))-(W654-LARGE(FILTER(I$4:I"&amp;"1644,I$4:I1644&lt;=W654),1))*INDEX(F$4:F1644,MATCH(LARGE(FILTER(I$4:I1644,I$4:I1644&lt;=W654),1),I$4:I1644))))"),"")</f>
        <v/>
      </c>
      <c r="N654" s="60" t="str">
        <f t="shared" si="8"/>
        <v/>
      </c>
      <c r="O654" s="61" t="str">
        <f t="shared" si="9"/>
        <v/>
      </c>
      <c r="P654" s="56" t="str">
        <f t="shared" si="10"/>
        <v/>
      </c>
      <c r="Q654" s="105"/>
      <c r="R654" s="10"/>
      <c r="S654" s="59" t="str">
        <f t="array" ref="S654">IF(COUNTA(Q654:Q1644)=0,"",SUM((COUNTIF(Q$4:Q654,Upgrades!$B$3:$B$13)-COUNTIF(Q$4:Q654,"Sell_"&amp;Upgrades!$B$3:$B$13))*Upgrades!$D$3:$D$13))</f>
        <v/>
      </c>
      <c r="T654" s="66" t="str">
        <f>IFERROR(__xludf.DUMMYFUNCTION("IF(COUNTA(Q654:Q1644)=0,"""",IF(REGEXMATCH(INDEX(FILTER(Q$4:Q654,Q$4:Q654&lt;&gt;""""),ROWS(FILTER(Q$4:Q654,Q$4:Q654&lt;&gt;""""))),""^Sell_""),INDEX(FILTER(T$4:T653,Q$4:Q653&lt;&gt;""""),ROWS(FILTER(Q$4:Q653,Q$4:Q653&lt;&gt;""""))),$AD$5+S654))"),"")</f>
        <v/>
      </c>
      <c r="U654" s="10" t="str">
        <f>IFERROR(__xludf.DUMMYFUNCTION("IF(COUNTA(Q654:Q1644)=0,"""",IF(Q654="""",0,IF(REGEXMATCH(Q654,""^Sell_""),-ROUNDDOWN(ROUNDUP(INDEX(Upgrades!$C$3:$C$13,MATCH(SUBSTITUTE(Q654,""Sell_"",""""),Upgrades!$B$3:$B$13,0))*1.15^(COUNTIF(Q$4:Q653,SUBSTITUTE(Q654,""Sell_"",""""))-COUNTIF(Q$4:Q653,"&amp;"""Sell_""&amp;SUBSTITUTE(Q654,""Sell_"",""""))))/2),ROUNDUP(INDEX(Upgrades!$C$3:$C$13,MATCH(Q654,Upgrades!$B$3:$B$13,0))*1.15^(COUNTIF(Q$4:Q653,Q654)-COUNTIF(Q$4:Q653,""Sell_""&amp;Q654))))))"),"")</f>
        <v/>
      </c>
      <c r="V654" s="10" t="str">
        <f t="shared" si="11"/>
        <v/>
      </c>
      <c r="W654" s="68" t="str">
        <f t="shared" si="12"/>
        <v/>
      </c>
      <c r="X654" s="59" t="str">
        <f t="shared" si="13"/>
        <v/>
      </c>
      <c r="Y654" s="69" t="str">
        <f t="shared" si="14"/>
        <v/>
      </c>
      <c r="Z654" s="11"/>
      <c r="AG654" s="59"/>
    </row>
    <row r="655">
      <c r="A655" s="8"/>
      <c r="B655" s="56" t="str">
        <f t="shared" si="2"/>
        <v/>
      </c>
      <c r="C655" s="105"/>
      <c r="D655" s="10"/>
      <c r="E655" s="59" t="str">
        <f t="array" ref="E655">IF(COUNTA(C655:C1644)=0,"",SUM((COUNTIF(C$4:C655,Upgrades!$B$3:$B$13)-COUNTIF(C$4:C655,"Sell_"&amp;Upgrades!$B$3:$B$13))*Upgrades!$D$3:$D$13))</f>
        <v/>
      </c>
      <c r="F655" s="66" t="str">
        <f>IFERROR(__xludf.DUMMYFUNCTION("IF(COUNTA(C655:C1644)=0,"""",IF(REGEXMATCH(INDEX(FILTER(C$4:C655,C$4:C655&lt;&gt;""""),ROWS(FILTER(C$4:C655,C$4:C655&lt;&gt;""""))),""^Sell_""),INDEX(FILTER(F$4:F654,C$4:C654&lt;&gt;""""),ROWS(FILTER(C$4:C654,C$4:C654&lt;&gt;""""))),$AC$5+E655))"),"")</f>
        <v/>
      </c>
      <c r="G655" s="10" t="str">
        <f>IFERROR(__xludf.DUMMYFUNCTION("IF(COUNTA(C655:C1644)=0,"""",IF(C655="""",0,IF(REGEXMATCH(C655,""^Sell_""),-ROUNDDOWN(ROUNDUP(INDEX(Upgrades!$C$3:$C$13,MATCH(SUBSTITUTE(C655,""Sell_"",""""),Upgrades!$B$3:$B$13,0))*1.15^(COUNTIF(C$4:C654,SUBSTITUTE(C655,""Sell_"",""""))-COUNTIF(C$4:C654,"&amp;"""Sell_""&amp;SUBSTITUTE(C655,""Sell_"",""""))))/2),ROUNDUP(INDEX(Upgrades!$C$3:$C$13,MATCH(C655,Upgrades!$B$3:$B$13,0))*1.15^(COUNTIF(C$4:C654,C655)-COUNTIF(C$4:C654,""Sell_""&amp;C655))))))"),"")</f>
        <v/>
      </c>
      <c r="H655" s="10" t="str">
        <f t="shared" si="3"/>
        <v/>
      </c>
      <c r="I655" s="68" t="str">
        <f t="shared" si="4"/>
        <v/>
      </c>
      <c r="J655" s="59" t="str">
        <f t="shared" si="5"/>
        <v/>
      </c>
      <c r="K655" s="69" t="str">
        <f t="shared" si="6"/>
        <v/>
      </c>
      <c r="L655" s="60" t="str">
        <f t="shared" si="7"/>
        <v/>
      </c>
      <c r="M655" s="61" t="str">
        <f>IFERROR(__xludf.DUMMYFUNCTION("IFS(AND(COUNTA(C655:C1644)=0,COUNTA(Q655:Q1644)=0),"""",OR(AND(K655&gt;=1000000000,OR(Y655&gt;=1000000000,COUNTA(Q655:Q1644)=0)),OR(Y655&gt;=1000000000,AND(COUNTA(C655:C1644)=0,P$3=TRUE))),
ROUNDDOWN((AB$1-AC$1)*MAX(INDEX(T$4:T1644,MATCH(LARGE(FILTER(Y$4:Y1644,Y$4"&amp;":Y1644&lt;1000000000),1),Y$4:Y1644)),INDEX(F$4:F1644,MATCH(LARGE(FILTER(K$4:K1644,K$4:K1644&lt;1000000000),1),K$4:K1644)))),AND(K655&lt;1000000000,COUNTA(C655:C1644)&gt;0,P$3=FALSE),
ROUNDDOWN(INDEX(Y$4:Y1644,MATCH(LARGE(FILTER(W$4:W1644,W$4:W1644&lt;=I655),1),W$4:W1644"&amp;"))+(I655-LARGE(FILTER(W$4:W1644,W$4:W1644&lt;=I655),1))*INDEX(T$4:T1644,MATCH(LARGE(FILTER(W$4:W1644,W$4:W1644&lt;=I655),1),W$4:W1644))-K655),1,
ROUNDDOWN(Y655-INDEX(K$4:K1644,MATCH(LARGE(FILTER(I$4:I1644,I$4:I1644&lt;=W655),1),I$4:I1644))-(W655-LARGE(FILTER(I$4:I"&amp;"1644,I$4:I1644&lt;=W655),1))*INDEX(F$4:F1644,MATCH(LARGE(FILTER(I$4:I1644,I$4:I1644&lt;=W655),1),I$4:I1644))))"),"")</f>
        <v/>
      </c>
      <c r="N655" s="60" t="str">
        <f t="shared" si="8"/>
        <v/>
      </c>
      <c r="O655" s="61" t="str">
        <f t="shared" si="9"/>
        <v/>
      </c>
      <c r="P655" s="56" t="str">
        <f t="shared" si="10"/>
        <v/>
      </c>
      <c r="Q655" s="105"/>
      <c r="R655" s="10"/>
      <c r="S655" s="59" t="str">
        <f t="array" ref="S655">IF(COUNTA(Q655:Q1644)=0,"",SUM((COUNTIF(Q$4:Q655,Upgrades!$B$3:$B$13)-COUNTIF(Q$4:Q655,"Sell_"&amp;Upgrades!$B$3:$B$13))*Upgrades!$D$3:$D$13))</f>
        <v/>
      </c>
      <c r="T655" s="66" t="str">
        <f>IFERROR(__xludf.DUMMYFUNCTION("IF(COUNTA(Q655:Q1644)=0,"""",IF(REGEXMATCH(INDEX(FILTER(Q$4:Q655,Q$4:Q655&lt;&gt;""""),ROWS(FILTER(Q$4:Q655,Q$4:Q655&lt;&gt;""""))),""^Sell_""),INDEX(FILTER(T$4:T654,Q$4:Q654&lt;&gt;""""),ROWS(FILTER(Q$4:Q654,Q$4:Q654&lt;&gt;""""))),$AD$5+S655))"),"")</f>
        <v/>
      </c>
      <c r="U655" s="10" t="str">
        <f>IFERROR(__xludf.DUMMYFUNCTION("IF(COUNTA(Q655:Q1644)=0,"""",IF(Q655="""",0,IF(REGEXMATCH(Q655,""^Sell_""),-ROUNDDOWN(ROUNDUP(INDEX(Upgrades!$C$3:$C$13,MATCH(SUBSTITUTE(Q655,""Sell_"",""""),Upgrades!$B$3:$B$13,0))*1.15^(COUNTIF(Q$4:Q654,SUBSTITUTE(Q655,""Sell_"",""""))-COUNTIF(Q$4:Q654,"&amp;"""Sell_""&amp;SUBSTITUTE(Q655,""Sell_"",""""))))/2),ROUNDUP(INDEX(Upgrades!$C$3:$C$13,MATCH(Q655,Upgrades!$B$3:$B$13,0))*1.15^(COUNTIF(Q$4:Q654,Q655)-COUNTIF(Q$4:Q654,""Sell_""&amp;Q655))))))"),"")</f>
        <v/>
      </c>
      <c r="V655" s="10" t="str">
        <f t="shared" si="11"/>
        <v/>
      </c>
      <c r="W655" s="68" t="str">
        <f t="shared" si="12"/>
        <v/>
      </c>
      <c r="X655" s="59" t="str">
        <f t="shared" si="13"/>
        <v/>
      </c>
      <c r="Y655" s="69" t="str">
        <f t="shared" si="14"/>
        <v/>
      </c>
      <c r="Z655" s="11"/>
      <c r="AG655" s="59"/>
    </row>
    <row r="656">
      <c r="A656" s="8"/>
      <c r="B656" s="56" t="str">
        <f t="shared" si="2"/>
        <v/>
      </c>
      <c r="C656" s="105"/>
      <c r="D656" s="10"/>
      <c r="E656" s="59" t="str">
        <f t="array" ref="E656">IF(COUNTA(C656:C1644)=0,"",SUM((COUNTIF(C$4:C656,Upgrades!$B$3:$B$13)-COUNTIF(C$4:C656,"Sell_"&amp;Upgrades!$B$3:$B$13))*Upgrades!$D$3:$D$13))</f>
        <v/>
      </c>
      <c r="F656" s="66" t="str">
        <f>IFERROR(__xludf.DUMMYFUNCTION("IF(COUNTA(C656:C1644)=0,"""",IF(REGEXMATCH(INDEX(FILTER(C$4:C656,C$4:C656&lt;&gt;""""),ROWS(FILTER(C$4:C656,C$4:C656&lt;&gt;""""))),""^Sell_""),INDEX(FILTER(F$4:F655,C$4:C655&lt;&gt;""""),ROWS(FILTER(C$4:C655,C$4:C655&lt;&gt;""""))),$AC$5+E656))"),"")</f>
        <v/>
      </c>
      <c r="G656" s="10" t="str">
        <f>IFERROR(__xludf.DUMMYFUNCTION("IF(COUNTA(C656:C1644)=0,"""",IF(C656="""",0,IF(REGEXMATCH(C656,""^Sell_""),-ROUNDDOWN(ROUNDUP(INDEX(Upgrades!$C$3:$C$13,MATCH(SUBSTITUTE(C656,""Sell_"",""""),Upgrades!$B$3:$B$13,0))*1.15^(COUNTIF(C$4:C655,SUBSTITUTE(C656,""Sell_"",""""))-COUNTIF(C$4:C655,"&amp;"""Sell_""&amp;SUBSTITUTE(C656,""Sell_"",""""))))/2),ROUNDUP(INDEX(Upgrades!$C$3:$C$13,MATCH(C656,Upgrades!$B$3:$B$13,0))*1.15^(COUNTIF(C$4:C655,C656)-COUNTIF(C$4:C655,""Sell_""&amp;C656))))))"),"")</f>
        <v/>
      </c>
      <c r="H656" s="10" t="str">
        <f t="shared" si="3"/>
        <v/>
      </c>
      <c r="I656" s="68" t="str">
        <f t="shared" si="4"/>
        <v/>
      </c>
      <c r="J656" s="59" t="str">
        <f t="shared" si="5"/>
        <v/>
      </c>
      <c r="K656" s="69" t="str">
        <f t="shared" si="6"/>
        <v/>
      </c>
      <c r="L656" s="60" t="str">
        <f t="shared" si="7"/>
        <v/>
      </c>
      <c r="M656" s="61" t="str">
        <f>IFERROR(__xludf.DUMMYFUNCTION("IFS(AND(COUNTA(C656:C1644)=0,COUNTA(Q656:Q1644)=0),"""",OR(AND(K656&gt;=1000000000,OR(Y656&gt;=1000000000,COUNTA(Q656:Q1644)=0)),OR(Y656&gt;=1000000000,AND(COUNTA(C656:C1644)=0,P$3=TRUE))),
ROUNDDOWN((AB$1-AC$1)*MAX(INDEX(T$4:T1644,MATCH(LARGE(FILTER(Y$4:Y1644,Y$4"&amp;":Y1644&lt;1000000000),1),Y$4:Y1644)),INDEX(F$4:F1644,MATCH(LARGE(FILTER(K$4:K1644,K$4:K1644&lt;1000000000),1),K$4:K1644)))),AND(K656&lt;1000000000,COUNTA(C656:C1644)&gt;0,P$3=FALSE),
ROUNDDOWN(INDEX(Y$4:Y1644,MATCH(LARGE(FILTER(W$4:W1644,W$4:W1644&lt;=I656),1),W$4:W1644"&amp;"))+(I656-LARGE(FILTER(W$4:W1644,W$4:W1644&lt;=I656),1))*INDEX(T$4:T1644,MATCH(LARGE(FILTER(W$4:W1644,W$4:W1644&lt;=I656),1),W$4:W1644))-K656),1,
ROUNDDOWN(Y656-INDEX(K$4:K1644,MATCH(LARGE(FILTER(I$4:I1644,I$4:I1644&lt;=W656),1),I$4:I1644))-(W656-LARGE(FILTER(I$4:I"&amp;"1644,I$4:I1644&lt;=W656),1))*INDEX(F$4:F1644,MATCH(LARGE(FILTER(I$4:I1644,I$4:I1644&lt;=W656),1),I$4:I1644))))"),"")</f>
        <v/>
      </c>
      <c r="N656" s="60" t="str">
        <f t="shared" si="8"/>
        <v/>
      </c>
      <c r="O656" s="61" t="str">
        <f t="shared" si="9"/>
        <v/>
      </c>
      <c r="P656" s="56" t="str">
        <f t="shared" si="10"/>
        <v/>
      </c>
      <c r="Q656" s="105"/>
      <c r="R656" s="10"/>
      <c r="S656" s="59" t="str">
        <f t="array" ref="S656">IF(COUNTA(Q656:Q1644)=0,"",SUM((COUNTIF(Q$4:Q656,Upgrades!$B$3:$B$13)-COUNTIF(Q$4:Q656,"Sell_"&amp;Upgrades!$B$3:$B$13))*Upgrades!$D$3:$D$13))</f>
        <v/>
      </c>
      <c r="T656" s="66" t="str">
        <f>IFERROR(__xludf.DUMMYFUNCTION("IF(COUNTA(Q656:Q1644)=0,"""",IF(REGEXMATCH(INDEX(FILTER(Q$4:Q656,Q$4:Q656&lt;&gt;""""),ROWS(FILTER(Q$4:Q656,Q$4:Q656&lt;&gt;""""))),""^Sell_""),INDEX(FILTER(T$4:T655,Q$4:Q655&lt;&gt;""""),ROWS(FILTER(Q$4:Q655,Q$4:Q655&lt;&gt;""""))),$AD$5+S656))"),"")</f>
        <v/>
      </c>
      <c r="U656" s="10" t="str">
        <f>IFERROR(__xludf.DUMMYFUNCTION("IF(COUNTA(Q656:Q1644)=0,"""",IF(Q656="""",0,IF(REGEXMATCH(Q656,""^Sell_""),-ROUNDDOWN(ROUNDUP(INDEX(Upgrades!$C$3:$C$13,MATCH(SUBSTITUTE(Q656,""Sell_"",""""),Upgrades!$B$3:$B$13,0))*1.15^(COUNTIF(Q$4:Q655,SUBSTITUTE(Q656,""Sell_"",""""))-COUNTIF(Q$4:Q655,"&amp;"""Sell_""&amp;SUBSTITUTE(Q656,""Sell_"",""""))))/2),ROUNDUP(INDEX(Upgrades!$C$3:$C$13,MATCH(Q656,Upgrades!$B$3:$B$13,0))*1.15^(COUNTIF(Q$4:Q655,Q656)-COUNTIF(Q$4:Q655,""Sell_""&amp;Q656))))))"),"")</f>
        <v/>
      </c>
      <c r="V656" s="10" t="str">
        <f t="shared" si="11"/>
        <v/>
      </c>
      <c r="W656" s="68" t="str">
        <f t="shared" si="12"/>
        <v/>
      </c>
      <c r="X656" s="59" t="str">
        <f t="shared" si="13"/>
        <v/>
      </c>
      <c r="Y656" s="69" t="str">
        <f t="shared" si="14"/>
        <v/>
      </c>
      <c r="Z656" s="11"/>
      <c r="AG656" s="59"/>
    </row>
    <row r="657">
      <c r="A657" s="8"/>
      <c r="B657" s="56" t="str">
        <f t="shared" si="2"/>
        <v/>
      </c>
      <c r="C657" s="105"/>
      <c r="D657" s="10"/>
      <c r="E657" s="59" t="str">
        <f t="array" ref="E657">IF(COUNTA(C657:C1644)=0,"",SUM((COUNTIF(C$4:C657,Upgrades!$B$3:$B$13)-COUNTIF(C$4:C657,"Sell_"&amp;Upgrades!$B$3:$B$13))*Upgrades!$D$3:$D$13))</f>
        <v/>
      </c>
      <c r="F657" s="66" t="str">
        <f>IFERROR(__xludf.DUMMYFUNCTION("IF(COUNTA(C657:C1644)=0,"""",IF(REGEXMATCH(INDEX(FILTER(C$4:C657,C$4:C657&lt;&gt;""""),ROWS(FILTER(C$4:C657,C$4:C657&lt;&gt;""""))),""^Sell_""),INDEX(FILTER(F$4:F656,C$4:C656&lt;&gt;""""),ROWS(FILTER(C$4:C656,C$4:C656&lt;&gt;""""))),$AC$5+E657))"),"")</f>
        <v/>
      </c>
      <c r="G657" s="10" t="str">
        <f>IFERROR(__xludf.DUMMYFUNCTION("IF(COUNTA(C657:C1644)=0,"""",IF(C657="""",0,IF(REGEXMATCH(C657,""^Sell_""),-ROUNDDOWN(ROUNDUP(INDEX(Upgrades!$C$3:$C$13,MATCH(SUBSTITUTE(C657,""Sell_"",""""),Upgrades!$B$3:$B$13,0))*1.15^(COUNTIF(C$4:C656,SUBSTITUTE(C657,""Sell_"",""""))-COUNTIF(C$4:C656,"&amp;"""Sell_""&amp;SUBSTITUTE(C657,""Sell_"",""""))))/2),ROUNDUP(INDEX(Upgrades!$C$3:$C$13,MATCH(C657,Upgrades!$B$3:$B$13,0))*1.15^(COUNTIF(C$4:C656,C657)-COUNTIF(C$4:C656,""Sell_""&amp;C657))))))"),"")</f>
        <v/>
      </c>
      <c r="H657" s="10" t="str">
        <f t="shared" si="3"/>
        <v/>
      </c>
      <c r="I657" s="68" t="str">
        <f t="shared" si="4"/>
        <v/>
      </c>
      <c r="J657" s="59" t="str">
        <f t="shared" si="5"/>
        <v/>
      </c>
      <c r="K657" s="69" t="str">
        <f t="shared" si="6"/>
        <v/>
      </c>
      <c r="L657" s="60" t="str">
        <f t="shared" si="7"/>
        <v/>
      </c>
      <c r="M657" s="61" t="str">
        <f>IFERROR(__xludf.DUMMYFUNCTION("IFS(AND(COUNTA(C657:C1644)=0,COUNTA(Q657:Q1644)=0),"""",OR(AND(K657&gt;=1000000000,OR(Y657&gt;=1000000000,COUNTA(Q657:Q1644)=0)),OR(Y657&gt;=1000000000,AND(COUNTA(C657:C1644)=0,P$3=TRUE))),
ROUNDDOWN((AB$1-AC$1)*MAX(INDEX(T$4:T1644,MATCH(LARGE(FILTER(Y$4:Y1644,Y$4"&amp;":Y1644&lt;1000000000),1),Y$4:Y1644)),INDEX(F$4:F1644,MATCH(LARGE(FILTER(K$4:K1644,K$4:K1644&lt;1000000000),1),K$4:K1644)))),AND(K657&lt;1000000000,COUNTA(C657:C1644)&gt;0,P$3=FALSE),
ROUNDDOWN(INDEX(Y$4:Y1644,MATCH(LARGE(FILTER(W$4:W1644,W$4:W1644&lt;=I657),1),W$4:W1644"&amp;"))+(I657-LARGE(FILTER(W$4:W1644,W$4:W1644&lt;=I657),1))*INDEX(T$4:T1644,MATCH(LARGE(FILTER(W$4:W1644,W$4:W1644&lt;=I657),1),W$4:W1644))-K657),1,
ROUNDDOWN(Y657-INDEX(K$4:K1644,MATCH(LARGE(FILTER(I$4:I1644,I$4:I1644&lt;=W657),1),I$4:I1644))-(W657-LARGE(FILTER(I$4:I"&amp;"1644,I$4:I1644&lt;=W657),1))*INDEX(F$4:F1644,MATCH(LARGE(FILTER(I$4:I1644,I$4:I1644&lt;=W657),1),I$4:I1644))))"),"")</f>
        <v/>
      </c>
      <c r="N657" s="60" t="str">
        <f t="shared" si="8"/>
        <v/>
      </c>
      <c r="O657" s="61" t="str">
        <f t="shared" si="9"/>
        <v/>
      </c>
      <c r="P657" s="56" t="str">
        <f t="shared" si="10"/>
        <v/>
      </c>
      <c r="Q657" s="105"/>
      <c r="R657" s="10"/>
      <c r="S657" s="59" t="str">
        <f t="array" ref="S657">IF(COUNTA(Q657:Q1644)=0,"",SUM((COUNTIF(Q$4:Q657,Upgrades!$B$3:$B$13)-COUNTIF(Q$4:Q657,"Sell_"&amp;Upgrades!$B$3:$B$13))*Upgrades!$D$3:$D$13))</f>
        <v/>
      </c>
      <c r="T657" s="66" t="str">
        <f>IFERROR(__xludf.DUMMYFUNCTION("IF(COUNTA(Q657:Q1644)=0,"""",IF(REGEXMATCH(INDEX(FILTER(Q$4:Q657,Q$4:Q657&lt;&gt;""""),ROWS(FILTER(Q$4:Q657,Q$4:Q657&lt;&gt;""""))),""^Sell_""),INDEX(FILTER(T$4:T656,Q$4:Q656&lt;&gt;""""),ROWS(FILTER(Q$4:Q656,Q$4:Q656&lt;&gt;""""))),$AD$5+S657))"),"")</f>
        <v/>
      </c>
      <c r="U657" s="10" t="str">
        <f>IFERROR(__xludf.DUMMYFUNCTION("IF(COUNTA(Q657:Q1644)=0,"""",IF(Q657="""",0,IF(REGEXMATCH(Q657,""^Sell_""),-ROUNDDOWN(ROUNDUP(INDEX(Upgrades!$C$3:$C$13,MATCH(SUBSTITUTE(Q657,""Sell_"",""""),Upgrades!$B$3:$B$13,0))*1.15^(COUNTIF(Q$4:Q656,SUBSTITUTE(Q657,""Sell_"",""""))-COUNTIF(Q$4:Q656,"&amp;"""Sell_""&amp;SUBSTITUTE(Q657,""Sell_"",""""))))/2),ROUNDUP(INDEX(Upgrades!$C$3:$C$13,MATCH(Q657,Upgrades!$B$3:$B$13,0))*1.15^(COUNTIF(Q$4:Q656,Q657)-COUNTIF(Q$4:Q656,""Sell_""&amp;Q657))))))"),"")</f>
        <v/>
      </c>
      <c r="V657" s="10" t="str">
        <f t="shared" si="11"/>
        <v/>
      </c>
      <c r="W657" s="68" t="str">
        <f t="shared" si="12"/>
        <v/>
      </c>
      <c r="X657" s="59" t="str">
        <f t="shared" si="13"/>
        <v/>
      </c>
      <c r="Y657" s="69" t="str">
        <f t="shared" si="14"/>
        <v/>
      </c>
      <c r="Z657" s="11"/>
      <c r="AG657" s="59"/>
    </row>
    <row r="658">
      <c r="A658" s="8"/>
      <c r="B658" s="56" t="str">
        <f t="shared" si="2"/>
        <v/>
      </c>
      <c r="C658" s="105"/>
      <c r="D658" s="10"/>
      <c r="E658" s="59" t="str">
        <f t="array" ref="E658">IF(COUNTA(C658:C1644)=0,"",SUM((COUNTIF(C$4:C658,Upgrades!$B$3:$B$13)-COUNTIF(C$4:C658,"Sell_"&amp;Upgrades!$B$3:$B$13))*Upgrades!$D$3:$D$13))</f>
        <v/>
      </c>
      <c r="F658" s="66" t="str">
        <f>IFERROR(__xludf.DUMMYFUNCTION("IF(COUNTA(C658:C1644)=0,"""",IF(REGEXMATCH(INDEX(FILTER(C$4:C658,C$4:C658&lt;&gt;""""),ROWS(FILTER(C$4:C658,C$4:C658&lt;&gt;""""))),""^Sell_""),INDEX(FILTER(F$4:F657,C$4:C657&lt;&gt;""""),ROWS(FILTER(C$4:C657,C$4:C657&lt;&gt;""""))),$AC$5+E658))"),"")</f>
        <v/>
      </c>
      <c r="G658" s="10" t="str">
        <f>IFERROR(__xludf.DUMMYFUNCTION("IF(COUNTA(C658:C1644)=0,"""",IF(C658="""",0,IF(REGEXMATCH(C658,""^Sell_""),-ROUNDDOWN(ROUNDUP(INDEX(Upgrades!$C$3:$C$13,MATCH(SUBSTITUTE(C658,""Sell_"",""""),Upgrades!$B$3:$B$13,0))*1.15^(COUNTIF(C$4:C657,SUBSTITUTE(C658,""Sell_"",""""))-COUNTIF(C$4:C657,"&amp;"""Sell_""&amp;SUBSTITUTE(C658,""Sell_"",""""))))/2),ROUNDUP(INDEX(Upgrades!$C$3:$C$13,MATCH(C658,Upgrades!$B$3:$B$13,0))*1.15^(COUNTIF(C$4:C657,C658)-COUNTIF(C$4:C657,""Sell_""&amp;C658))))))"),"")</f>
        <v/>
      </c>
      <c r="H658" s="10" t="str">
        <f t="shared" si="3"/>
        <v/>
      </c>
      <c r="I658" s="68" t="str">
        <f t="shared" si="4"/>
        <v/>
      </c>
      <c r="J658" s="59" t="str">
        <f t="shared" si="5"/>
        <v/>
      </c>
      <c r="K658" s="69" t="str">
        <f t="shared" si="6"/>
        <v/>
      </c>
      <c r="L658" s="60" t="str">
        <f t="shared" si="7"/>
        <v/>
      </c>
      <c r="M658" s="61" t="str">
        <f>IFERROR(__xludf.DUMMYFUNCTION("IFS(AND(COUNTA(C658:C1644)=0,COUNTA(Q658:Q1644)=0),"""",OR(AND(K658&gt;=1000000000,OR(Y658&gt;=1000000000,COUNTA(Q658:Q1644)=0)),OR(Y658&gt;=1000000000,AND(COUNTA(C658:C1644)=0,P$3=TRUE))),
ROUNDDOWN((AB$1-AC$1)*MAX(INDEX(T$4:T1644,MATCH(LARGE(FILTER(Y$4:Y1644,Y$4"&amp;":Y1644&lt;1000000000),1),Y$4:Y1644)),INDEX(F$4:F1644,MATCH(LARGE(FILTER(K$4:K1644,K$4:K1644&lt;1000000000),1),K$4:K1644)))),AND(K658&lt;1000000000,COUNTA(C658:C1644)&gt;0,P$3=FALSE),
ROUNDDOWN(INDEX(Y$4:Y1644,MATCH(LARGE(FILTER(W$4:W1644,W$4:W1644&lt;=I658),1),W$4:W1644"&amp;"))+(I658-LARGE(FILTER(W$4:W1644,W$4:W1644&lt;=I658),1))*INDEX(T$4:T1644,MATCH(LARGE(FILTER(W$4:W1644,W$4:W1644&lt;=I658),1),W$4:W1644))-K658),1,
ROUNDDOWN(Y658-INDEX(K$4:K1644,MATCH(LARGE(FILTER(I$4:I1644,I$4:I1644&lt;=W658),1),I$4:I1644))-(W658-LARGE(FILTER(I$4:I"&amp;"1644,I$4:I1644&lt;=W658),1))*INDEX(F$4:F1644,MATCH(LARGE(FILTER(I$4:I1644,I$4:I1644&lt;=W658),1),I$4:I1644))))"),"")</f>
        <v/>
      </c>
      <c r="N658" s="60" t="str">
        <f t="shared" si="8"/>
        <v/>
      </c>
      <c r="O658" s="61" t="str">
        <f t="shared" si="9"/>
        <v/>
      </c>
      <c r="P658" s="56" t="str">
        <f t="shared" si="10"/>
        <v/>
      </c>
      <c r="Q658" s="105"/>
      <c r="R658" s="10"/>
      <c r="S658" s="59" t="str">
        <f t="array" ref="S658">IF(COUNTA(Q658:Q1644)=0,"",SUM((COUNTIF(Q$4:Q658,Upgrades!$B$3:$B$13)-COUNTIF(Q$4:Q658,"Sell_"&amp;Upgrades!$B$3:$B$13))*Upgrades!$D$3:$D$13))</f>
        <v/>
      </c>
      <c r="T658" s="66" t="str">
        <f>IFERROR(__xludf.DUMMYFUNCTION("IF(COUNTA(Q658:Q1644)=0,"""",IF(REGEXMATCH(INDEX(FILTER(Q$4:Q658,Q$4:Q658&lt;&gt;""""),ROWS(FILTER(Q$4:Q658,Q$4:Q658&lt;&gt;""""))),""^Sell_""),INDEX(FILTER(T$4:T657,Q$4:Q657&lt;&gt;""""),ROWS(FILTER(Q$4:Q657,Q$4:Q657&lt;&gt;""""))),$AD$5+S658))"),"")</f>
        <v/>
      </c>
      <c r="U658" s="10" t="str">
        <f>IFERROR(__xludf.DUMMYFUNCTION("IF(COUNTA(Q658:Q1644)=0,"""",IF(Q658="""",0,IF(REGEXMATCH(Q658,""^Sell_""),-ROUNDDOWN(ROUNDUP(INDEX(Upgrades!$C$3:$C$13,MATCH(SUBSTITUTE(Q658,""Sell_"",""""),Upgrades!$B$3:$B$13,0))*1.15^(COUNTIF(Q$4:Q657,SUBSTITUTE(Q658,""Sell_"",""""))-COUNTIF(Q$4:Q657,"&amp;"""Sell_""&amp;SUBSTITUTE(Q658,""Sell_"",""""))))/2),ROUNDUP(INDEX(Upgrades!$C$3:$C$13,MATCH(Q658,Upgrades!$B$3:$B$13,0))*1.15^(COUNTIF(Q$4:Q657,Q658)-COUNTIF(Q$4:Q657,""Sell_""&amp;Q658))))))"),"")</f>
        <v/>
      </c>
      <c r="V658" s="10" t="str">
        <f t="shared" si="11"/>
        <v/>
      </c>
      <c r="W658" s="68" t="str">
        <f t="shared" si="12"/>
        <v/>
      </c>
      <c r="X658" s="59" t="str">
        <f t="shared" si="13"/>
        <v/>
      </c>
      <c r="Y658" s="69" t="str">
        <f t="shared" si="14"/>
        <v/>
      </c>
      <c r="Z658" s="11"/>
      <c r="AG658" s="59"/>
    </row>
    <row r="659">
      <c r="A659" s="8"/>
      <c r="B659" s="56" t="str">
        <f t="shared" si="2"/>
        <v/>
      </c>
      <c r="C659" s="105"/>
      <c r="D659" s="10"/>
      <c r="E659" s="59" t="str">
        <f t="array" ref="E659">IF(COUNTA(C659:C1644)=0,"",SUM((COUNTIF(C$4:C659,Upgrades!$B$3:$B$13)-COUNTIF(C$4:C659,"Sell_"&amp;Upgrades!$B$3:$B$13))*Upgrades!$D$3:$D$13))</f>
        <v/>
      </c>
      <c r="F659" s="66" t="str">
        <f>IFERROR(__xludf.DUMMYFUNCTION("IF(COUNTA(C659:C1644)=0,"""",IF(REGEXMATCH(INDEX(FILTER(C$4:C659,C$4:C659&lt;&gt;""""),ROWS(FILTER(C$4:C659,C$4:C659&lt;&gt;""""))),""^Sell_""),INDEX(FILTER(F$4:F658,C$4:C658&lt;&gt;""""),ROWS(FILTER(C$4:C658,C$4:C658&lt;&gt;""""))),$AC$5+E659))"),"")</f>
        <v/>
      </c>
      <c r="G659" s="10" t="str">
        <f>IFERROR(__xludf.DUMMYFUNCTION("IF(COUNTA(C659:C1644)=0,"""",IF(C659="""",0,IF(REGEXMATCH(C659,""^Sell_""),-ROUNDDOWN(ROUNDUP(INDEX(Upgrades!$C$3:$C$13,MATCH(SUBSTITUTE(C659,""Sell_"",""""),Upgrades!$B$3:$B$13,0))*1.15^(COUNTIF(C$4:C658,SUBSTITUTE(C659,""Sell_"",""""))-COUNTIF(C$4:C658,"&amp;"""Sell_""&amp;SUBSTITUTE(C659,""Sell_"",""""))))/2),ROUNDUP(INDEX(Upgrades!$C$3:$C$13,MATCH(C659,Upgrades!$B$3:$B$13,0))*1.15^(COUNTIF(C$4:C658,C659)-COUNTIF(C$4:C658,""Sell_""&amp;C659))))))"),"")</f>
        <v/>
      </c>
      <c r="H659" s="10" t="str">
        <f t="shared" si="3"/>
        <v/>
      </c>
      <c r="I659" s="68" t="str">
        <f t="shared" si="4"/>
        <v/>
      </c>
      <c r="J659" s="59" t="str">
        <f t="shared" si="5"/>
        <v/>
      </c>
      <c r="K659" s="69" t="str">
        <f t="shared" si="6"/>
        <v/>
      </c>
      <c r="L659" s="60" t="str">
        <f t="shared" si="7"/>
        <v/>
      </c>
      <c r="M659" s="61" t="str">
        <f>IFERROR(__xludf.DUMMYFUNCTION("IFS(AND(COUNTA(C659:C1644)=0,COUNTA(Q659:Q1644)=0),"""",OR(AND(K659&gt;=1000000000,OR(Y659&gt;=1000000000,COUNTA(Q659:Q1644)=0)),OR(Y659&gt;=1000000000,AND(COUNTA(C659:C1644)=0,P$3=TRUE))),
ROUNDDOWN((AB$1-AC$1)*MAX(INDEX(T$4:T1644,MATCH(LARGE(FILTER(Y$4:Y1644,Y$4"&amp;":Y1644&lt;1000000000),1),Y$4:Y1644)),INDEX(F$4:F1644,MATCH(LARGE(FILTER(K$4:K1644,K$4:K1644&lt;1000000000),1),K$4:K1644)))),AND(K659&lt;1000000000,COUNTA(C659:C1644)&gt;0,P$3=FALSE),
ROUNDDOWN(INDEX(Y$4:Y1644,MATCH(LARGE(FILTER(W$4:W1644,W$4:W1644&lt;=I659),1),W$4:W1644"&amp;"))+(I659-LARGE(FILTER(W$4:W1644,W$4:W1644&lt;=I659),1))*INDEX(T$4:T1644,MATCH(LARGE(FILTER(W$4:W1644,W$4:W1644&lt;=I659),1),W$4:W1644))-K659),1,
ROUNDDOWN(Y659-INDEX(K$4:K1644,MATCH(LARGE(FILTER(I$4:I1644,I$4:I1644&lt;=W659),1),I$4:I1644))-(W659-LARGE(FILTER(I$4:I"&amp;"1644,I$4:I1644&lt;=W659),1))*INDEX(F$4:F1644,MATCH(LARGE(FILTER(I$4:I1644,I$4:I1644&lt;=W659),1),I$4:I1644))))"),"")</f>
        <v/>
      </c>
      <c r="N659" s="60" t="str">
        <f t="shared" si="8"/>
        <v/>
      </c>
      <c r="O659" s="61" t="str">
        <f t="shared" si="9"/>
        <v/>
      </c>
      <c r="P659" s="56" t="str">
        <f t="shared" si="10"/>
        <v/>
      </c>
      <c r="Q659" s="105"/>
      <c r="R659" s="10"/>
      <c r="S659" s="59" t="str">
        <f t="array" ref="S659">IF(COUNTA(Q659:Q1644)=0,"",SUM((COUNTIF(Q$4:Q659,Upgrades!$B$3:$B$13)-COUNTIF(Q$4:Q659,"Sell_"&amp;Upgrades!$B$3:$B$13))*Upgrades!$D$3:$D$13))</f>
        <v/>
      </c>
      <c r="T659" s="66" t="str">
        <f>IFERROR(__xludf.DUMMYFUNCTION("IF(COUNTA(Q659:Q1644)=0,"""",IF(REGEXMATCH(INDEX(FILTER(Q$4:Q659,Q$4:Q659&lt;&gt;""""),ROWS(FILTER(Q$4:Q659,Q$4:Q659&lt;&gt;""""))),""^Sell_""),INDEX(FILTER(T$4:T658,Q$4:Q658&lt;&gt;""""),ROWS(FILTER(Q$4:Q658,Q$4:Q658&lt;&gt;""""))),$AD$5+S659))"),"")</f>
        <v/>
      </c>
      <c r="U659" s="10" t="str">
        <f>IFERROR(__xludf.DUMMYFUNCTION("IF(COUNTA(Q659:Q1644)=0,"""",IF(Q659="""",0,IF(REGEXMATCH(Q659,""^Sell_""),-ROUNDDOWN(ROUNDUP(INDEX(Upgrades!$C$3:$C$13,MATCH(SUBSTITUTE(Q659,""Sell_"",""""),Upgrades!$B$3:$B$13,0))*1.15^(COUNTIF(Q$4:Q658,SUBSTITUTE(Q659,""Sell_"",""""))-COUNTIF(Q$4:Q658,"&amp;"""Sell_""&amp;SUBSTITUTE(Q659,""Sell_"",""""))))/2),ROUNDUP(INDEX(Upgrades!$C$3:$C$13,MATCH(Q659,Upgrades!$B$3:$B$13,0))*1.15^(COUNTIF(Q$4:Q658,Q659)-COUNTIF(Q$4:Q658,""Sell_""&amp;Q659))))))"),"")</f>
        <v/>
      </c>
      <c r="V659" s="10" t="str">
        <f t="shared" si="11"/>
        <v/>
      </c>
      <c r="W659" s="68" t="str">
        <f t="shared" si="12"/>
        <v/>
      </c>
      <c r="X659" s="59" t="str">
        <f t="shared" si="13"/>
        <v/>
      </c>
      <c r="Y659" s="69" t="str">
        <f t="shared" si="14"/>
        <v/>
      </c>
      <c r="Z659" s="11"/>
      <c r="AG659" s="59"/>
    </row>
    <row r="660">
      <c r="A660" s="8"/>
      <c r="B660" s="56" t="str">
        <f t="shared" si="2"/>
        <v/>
      </c>
      <c r="C660" s="105"/>
      <c r="D660" s="10"/>
      <c r="E660" s="59" t="str">
        <f t="array" ref="E660">IF(COUNTA(C660:C1644)=0,"",SUM((COUNTIF(C$4:C660,Upgrades!$B$3:$B$13)-COUNTIF(C$4:C660,"Sell_"&amp;Upgrades!$B$3:$B$13))*Upgrades!$D$3:$D$13))</f>
        <v/>
      </c>
      <c r="F660" s="66" t="str">
        <f>IFERROR(__xludf.DUMMYFUNCTION("IF(COUNTA(C660:C1644)=0,"""",IF(REGEXMATCH(INDEX(FILTER(C$4:C660,C$4:C660&lt;&gt;""""),ROWS(FILTER(C$4:C660,C$4:C660&lt;&gt;""""))),""^Sell_""),INDEX(FILTER(F$4:F659,C$4:C659&lt;&gt;""""),ROWS(FILTER(C$4:C659,C$4:C659&lt;&gt;""""))),$AC$5+E660))"),"")</f>
        <v/>
      </c>
      <c r="G660" s="10" t="str">
        <f>IFERROR(__xludf.DUMMYFUNCTION("IF(COUNTA(C660:C1644)=0,"""",IF(C660="""",0,IF(REGEXMATCH(C660,""^Sell_""),-ROUNDDOWN(ROUNDUP(INDEX(Upgrades!$C$3:$C$13,MATCH(SUBSTITUTE(C660,""Sell_"",""""),Upgrades!$B$3:$B$13,0))*1.15^(COUNTIF(C$4:C659,SUBSTITUTE(C660,""Sell_"",""""))-COUNTIF(C$4:C659,"&amp;"""Sell_""&amp;SUBSTITUTE(C660,""Sell_"",""""))))/2),ROUNDUP(INDEX(Upgrades!$C$3:$C$13,MATCH(C660,Upgrades!$B$3:$B$13,0))*1.15^(COUNTIF(C$4:C659,C660)-COUNTIF(C$4:C659,""Sell_""&amp;C660))))))"),"")</f>
        <v/>
      </c>
      <c r="H660" s="10" t="str">
        <f t="shared" si="3"/>
        <v/>
      </c>
      <c r="I660" s="68" t="str">
        <f t="shared" si="4"/>
        <v/>
      </c>
      <c r="J660" s="59" t="str">
        <f t="shared" si="5"/>
        <v/>
      </c>
      <c r="K660" s="69" t="str">
        <f t="shared" si="6"/>
        <v/>
      </c>
      <c r="L660" s="60" t="str">
        <f t="shared" si="7"/>
        <v/>
      </c>
      <c r="M660" s="61" t="str">
        <f>IFERROR(__xludf.DUMMYFUNCTION("IFS(AND(COUNTA(C660:C1644)=0,COUNTA(Q660:Q1644)=0),"""",OR(AND(K660&gt;=1000000000,OR(Y660&gt;=1000000000,COUNTA(Q660:Q1644)=0)),OR(Y660&gt;=1000000000,AND(COUNTA(C660:C1644)=0,P$3=TRUE))),
ROUNDDOWN((AB$1-AC$1)*MAX(INDEX(T$4:T1644,MATCH(LARGE(FILTER(Y$4:Y1644,Y$4"&amp;":Y1644&lt;1000000000),1),Y$4:Y1644)),INDEX(F$4:F1644,MATCH(LARGE(FILTER(K$4:K1644,K$4:K1644&lt;1000000000),1),K$4:K1644)))),AND(K660&lt;1000000000,COUNTA(C660:C1644)&gt;0,P$3=FALSE),
ROUNDDOWN(INDEX(Y$4:Y1644,MATCH(LARGE(FILTER(W$4:W1644,W$4:W1644&lt;=I660),1),W$4:W1644"&amp;"))+(I660-LARGE(FILTER(W$4:W1644,W$4:W1644&lt;=I660),1))*INDEX(T$4:T1644,MATCH(LARGE(FILTER(W$4:W1644,W$4:W1644&lt;=I660),1),W$4:W1644))-K660),1,
ROUNDDOWN(Y660-INDEX(K$4:K1644,MATCH(LARGE(FILTER(I$4:I1644,I$4:I1644&lt;=W660),1),I$4:I1644))-(W660-LARGE(FILTER(I$4:I"&amp;"1644,I$4:I1644&lt;=W660),1))*INDEX(F$4:F1644,MATCH(LARGE(FILTER(I$4:I1644,I$4:I1644&lt;=W660),1),I$4:I1644))))"),"")</f>
        <v/>
      </c>
      <c r="N660" s="60" t="str">
        <f t="shared" si="8"/>
        <v/>
      </c>
      <c r="O660" s="61" t="str">
        <f t="shared" si="9"/>
        <v/>
      </c>
      <c r="P660" s="56" t="str">
        <f t="shared" si="10"/>
        <v/>
      </c>
      <c r="Q660" s="105"/>
      <c r="R660" s="10"/>
      <c r="S660" s="59" t="str">
        <f t="array" ref="S660">IF(COUNTA(Q660:Q1644)=0,"",SUM((COUNTIF(Q$4:Q660,Upgrades!$B$3:$B$13)-COUNTIF(Q$4:Q660,"Sell_"&amp;Upgrades!$B$3:$B$13))*Upgrades!$D$3:$D$13))</f>
        <v/>
      </c>
      <c r="T660" s="66" t="str">
        <f>IFERROR(__xludf.DUMMYFUNCTION("IF(COUNTA(Q660:Q1644)=0,"""",IF(REGEXMATCH(INDEX(FILTER(Q$4:Q660,Q$4:Q660&lt;&gt;""""),ROWS(FILTER(Q$4:Q660,Q$4:Q660&lt;&gt;""""))),""^Sell_""),INDEX(FILTER(T$4:T659,Q$4:Q659&lt;&gt;""""),ROWS(FILTER(Q$4:Q659,Q$4:Q659&lt;&gt;""""))),$AD$5+S660))"),"")</f>
        <v/>
      </c>
      <c r="U660" s="10" t="str">
        <f>IFERROR(__xludf.DUMMYFUNCTION("IF(COUNTA(Q660:Q1644)=0,"""",IF(Q660="""",0,IF(REGEXMATCH(Q660,""^Sell_""),-ROUNDDOWN(ROUNDUP(INDEX(Upgrades!$C$3:$C$13,MATCH(SUBSTITUTE(Q660,""Sell_"",""""),Upgrades!$B$3:$B$13,0))*1.15^(COUNTIF(Q$4:Q659,SUBSTITUTE(Q660,""Sell_"",""""))-COUNTIF(Q$4:Q659,"&amp;"""Sell_""&amp;SUBSTITUTE(Q660,""Sell_"",""""))))/2),ROUNDUP(INDEX(Upgrades!$C$3:$C$13,MATCH(Q660,Upgrades!$B$3:$B$13,0))*1.15^(COUNTIF(Q$4:Q659,Q660)-COUNTIF(Q$4:Q659,""Sell_""&amp;Q660))))))"),"")</f>
        <v/>
      </c>
      <c r="V660" s="10" t="str">
        <f t="shared" si="11"/>
        <v/>
      </c>
      <c r="W660" s="68" t="str">
        <f t="shared" si="12"/>
        <v/>
      </c>
      <c r="X660" s="59" t="str">
        <f t="shared" si="13"/>
        <v/>
      </c>
      <c r="Y660" s="69" t="str">
        <f t="shared" si="14"/>
        <v/>
      </c>
      <c r="Z660" s="11"/>
      <c r="AG660" s="59"/>
    </row>
    <row r="661">
      <c r="A661" s="8"/>
      <c r="B661" s="56" t="str">
        <f t="shared" si="2"/>
        <v/>
      </c>
      <c r="C661" s="105"/>
      <c r="D661" s="10"/>
      <c r="E661" s="59" t="str">
        <f t="array" ref="E661">IF(COUNTA(C661:C1644)=0,"",SUM((COUNTIF(C$4:C661,Upgrades!$B$3:$B$13)-COUNTIF(C$4:C661,"Sell_"&amp;Upgrades!$B$3:$B$13))*Upgrades!$D$3:$D$13))</f>
        <v/>
      </c>
      <c r="F661" s="66" t="str">
        <f>IFERROR(__xludf.DUMMYFUNCTION("IF(COUNTA(C661:C1644)=0,"""",IF(REGEXMATCH(INDEX(FILTER(C$4:C661,C$4:C661&lt;&gt;""""),ROWS(FILTER(C$4:C661,C$4:C661&lt;&gt;""""))),""^Sell_""),INDEX(FILTER(F$4:F660,C$4:C660&lt;&gt;""""),ROWS(FILTER(C$4:C660,C$4:C660&lt;&gt;""""))),$AC$5+E661))"),"")</f>
        <v/>
      </c>
      <c r="G661" s="10" t="str">
        <f>IFERROR(__xludf.DUMMYFUNCTION("IF(COUNTA(C661:C1644)=0,"""",IF(C661="""",0,IF(REGEXMATCH(C661,""^Sell_""),-ROUNDDOWN(ROUNDUP(INDEX(Upgrades!$C$3:$C$13,MATCH(SUBSTITUTE(C661,""Sell_"",""""),Upgrades!$B$3:$B$13,0))*1.15^(COUNTIF(C$4:C660,SUBSTITUTE(C661,""Sell_"",""""))-COUNTIF(C$4:C660,"&amp;"""Sell_""&amp;SUBSTITUTE(C661,""Sell_"",""""))))/2),ROUNDUP(INDEX(Upgrades!$C$3:$C$13,MATCH(C661,Upgrades!$B$3:$B$13,0))*1.15^(COUNTIF(C$4:C660,C661)-COUNTIF(C$4:C660,""Sell_""&amp;C661))))))"),"")</f>
        <v/>
      </c>
      <c r="H661" s="10" t="str">
        <f t="shared" si="3"/>
        <v/>
      </c>
      <c r="I661" s="68" t="str">
        <f t="shared" si="4"/>
        <v/>
      </c>
      <c r="J661" s="59" t="str">
        <f t="shared" si="5"/>
        <v/>
      </c>
      <c r="K661" s="69" t="str">
        <f t="shared" si="6"/>
        <v/>
      </c>
      <c r="L661" s="60" t="str">
        <f t="shared" si="7"/>
        <v/>
      </c>
      <c r="M661" s="61" t="str">
        <f>IFERROR(__xludf.DUMMYFUNCTION("IFS(AND(COUNTA(C661:C1644)=0,COUNTA(Q661:Q1644)=0),"""",OR(AND(K661&gt;=1000000000,OR(Y661&gt;=1000000000,COUNTA(Q661:Q1644)=0)),OR(Y661&gt;=1000000000,AND(COUNTA(C661:C1644)=0,P$3=TRUE))),
ROUNDDOWN((AB$1-AC$1)*MAX(INDEX(T$4:T1644,MATCH(LARGE(FILTER(Y$4:Y1644,Y$4"&amp;":Y1644&lt;1000000000),1),Y$4:Y1644)),INDEX(F$4:F1644,MATCH(LARGE(FILTER(K$4:K1644,K$4:K1644&lt;1000000000),1),K$4:K1644)))),AND(K661&lt;1000000000,COUNTA(C661:C1644)&gt;0,P$3=FALSE),
ROUNDDOWN(INDEX(Y$4:Y1644,MATCH(LARGE(FILTER(W$4:W1644,W$4:W1644&lt;=I661),1),W$4:W1644"&amp;"))+(I661-LARGE(FILTER(W$4:W1644,W$4:W1644&lt;=I661),1))*INDEX(T$4:T1644,MATCH(LARGE(FILTER(W$4:W1644,W$4:W1644&lt;=I661),1),W$4:W1644))-K661),1,
ROUNDDOWN(Y661-INDEX(K$4:K1644,MATCH(LARGE(FILTER(I$4:I1644,I$4:I1644&lt;=W661),1),I$4:I1644))-(W661-LARGE(FILTER(I$4:I"&amp;"1644,I$4:I1644&lt;=W661),1))*INDEX(F$4:F1644,MATCH(LARGE(FILTER(I$4:I1644,I$4:I1644&lt;=W661),1),I$4:I1644))))"),"")</f>
        <v/>
      </c>
      <c r="N661" s="60" t="str">
        <f t="shared" si="8"/>
        <v/>
      </c>
      <c r="O661" s="61" t="str">
        <f t="shared" si="9"/>
        <v/>
      </c>
      <c r="P661" s="56" t="str">
        <f t="shared" si="10"/>
        <v/>
      </c>
      <c r="Q661" s="105"/>
      <c r="R661" s="10"/>
      <c r="S661" s="59" t="str">
        <f t="array" ref="S661">IF(COUNTA(Q661:Q1644)=0,"",SUM((COUNTIF(Q$4:Q661,Upgrades!$B$3:$B$13)-COUNTIF(Q$4:Q661,"Sell_"&amp;Upgrades!$B$3:$B$13))*Upgrades!$D$3:$D$13))</f>
        <v/>
      </c>
      <c r="T661" s="66" t="str">
        <f>IFERROR(__xludf.DUMMYFUNCTION("IF(COUNTA(Q661:Q1644)=0,"""",IF(REGEXMATCH(INDEX(FILTER(Q$4:Q661,Q$4:Q661&lt;&gt;""""),ROWS(FILTER(Q$4:Q661,Q$4:Q661&lt;&gt;""""))),""^Sell_""),INDEX(FILTER(T$4:T660,Q$4:Q660&lt;&gt;""""),ROWS(FILTER(Q$4:Q660,Q$4:Q660&lt;&gt;""""))),$AD$5+S661))"),"")</f>
        <v/>
      </c>
      <c r="U661" s="10" t="str">
        <f>IFERROR(__xludf.DUMMYFUNCTION("IF(COUNTA(Q661:Q1644)=0,"""",IF(Q661="""",0,IF(REGEXMATCH(Q661,""^Sell_""),-ROUNDDOWN(ROUNDUP(INDEX(Upgrades!$C$3:$C$13,MATCH(SUBSTITUTE(Q661,""Sell_"",""""),Upgrades!$B$3:$B$13,0))*1.15^(COUNTIF(Q$4:Q660,SUBSTITUTE(Q661,""Sell_"",""""))-COUNTIF(Q$4:Q660,"&amp;"""Sell_""&amp;SUBSTITUTE(Q661,""Sell_"",""""))))/2),ROUNDUP(INDEX(Upgrades!$C$3:$C$13,MATCH(Q661,Upgrades!$B$3:$B$13,0))*1.15^(COUNTIF(Q$4:Q660,Q661)-COUNTIF(Q$4:Q660,""Sell_""&amp;Q661))))))"),"")</f>
        <v/>
      </c>
      <c r="V661" s="10" t="str">
        <f t="shared" si="11"/>
        <v/>
      </c>
      <c r="W661" s="68" t="str">
        <f t="shared" si="12"/>
        <v/>
      </c>
      <c r="X661" s="59" t="str">
        <f t="shared" si="13"/>
        <v/>
      </c>
      <c r="Y661" s="69" t="str">
        <f t="shared" si="14"/>
        <v/>
      </c>
      <c r="Z661" s="11"/>
      <c r="AG661" s="59"/>
    </row>
    <row r="662">
      <c r="A662" s="8"/>
      <c r="B662" s="56" t="str">
        <f t="shared" si="2"/>
        <v/>
      </c>
      <c r="C662" s="105"/>
      <c r="D662" s="10"/>
      <c r="E662" s="59" t="str">
        <f t="array" ref="E662">IF(COUNTA(C662:C1644)=0,"",SUM((COUNTIF(C$4:C662,Upgrades!$B$3:$B$13)-COUNTIF(C$4:C662,"Sell_"&amp;Upgrades!$B$3:$B$13))*Upgrades!$D$3:$D$13))</f>
        <v/>
      </c>
      <c r="F662" s="66" t="str">
        <f>IFERROR(__xludf.DUMMYFUNCTION("IF(COUNTA(C662:C1644)=0,"""",IF(REGEXMATCH(INDEX(FILTER(C$4:C662,C$4:C662&lt;&gt;""""),ROWS(FILTER(C$4:C662,C$4:C662&lt;&gt;""""))),""^Sell_""),INDEX(FILTER(F$4:F661,C$4:C661&lt;&gt;""""),ROWS(FILTER(C$4:C661,C$4:C661&lt;&gt;""""))),$AC$5+E662))"),"")</f>
        <v/>
      </c>
      <c r="G662" s="10" t="str">
        <f>IFERROR(__xludf.DUMMYFUNCTION("IF(COUNTA(C662:C1644)=0,"""",IF(C662="""",0,IF(REGEXMATCH(C662,""^Sell_""),-ROUNDDOWN(ROUNDUP(INDEX(Upgrades!$C$3:$C$13,MATCH(SUBSTITUTE(C662,""Sell_"",""""),Upgrades!$B$3:$B$13,0))*1.15^(COUNTIF(C$4:C661,SUBSTITUTE(C662,""Sell_"",""""))-COUNTIF(C$4:C661,"&amp;"""Sell_""&amp;SUBSTITUTE(C662,""Sell_"",""""))))/2),ROUNDUP(INDEX(Upgrades!$C$3:$C$13,MATCH(C662,Upgrades!$B$3:$B$13,0))*1.15^(COUNTIF(C$4:C661,C662)-COUNTIF(C$4:C661,""Sell_""&amp;C662))))))"),"")</f>
        <v/>
      </c>
      <c r="H662" s="10" t="str">
        <f t="shared" si="3"/>
        <v/>
      </c>
      <c r="I662" s="68" t="str">
        <f t="shared" si="4"/>
        <v/>
      </c>
      <c r="J662" s="59" t="str">
        <f t="shared" si="5"/>
        <v/>
      </c>
      <c r="K662" s="69" t="str">
        <f t="shared" si="6"/>
        <v/>
      </c>
      <c r="L662" s="60" t="str">
        <f t="shared" si="7"/>
        <v/>
      </c>
      <c r="M662" s="61" t="str">
        <f>IFERROR(__xludf.DUMMYFUNCTION("IFS(AND(COUNTA(C662:C1644)=0,COUNTA(Q662:Q1644)=0),"""",OR(AND(K662&gt;=1000000000,OR(Y662&gt;=1000000000,COUNTA(Q662:Q1644)=0)),OR(Y662&gt;=1000000000,AND(COUNTA(C662:C1644)=0,P$3=TRUE))),
ROUNDDOWN((AB$1-AC$1)*MAX(INDEX(T$4:T1644,MATCH(LARGE(FILTER(Y$4:Y1644,Y$4"&amp;":Y1644&lt;1000000000),1),Y$4:Y1644)),INDEX(F$4:F1644,MATCH(LARGE(FILTER(K$4:K1644,K$4:K1644&lt;1000000000),1),K$4:K1644)))),AND(K662&lt;1000000000,COUNTA(C662:C1644)&gt;0,P$3=FALSE),
ROUNDDOWN(INDEX(Y$4:Y1644,MATCH(LARGE(FILTER(W$4:W1644,W$4:W1644&lt;=I662),1),W$4:W1644"&amp;"))+(I662-LARGE(FILTER(W$4:W1644,W$4:W1644&lt;=I662),1))*INDEX(T$4:T1644,MATCH(LARGE(FILTER(W$4:W1644,W$4:W1644&lt;=I662),1),W$4:W1644))-K662),1,
ROUNDDOWN(Y662-INDEX(K$4:K1644,MATCH(LARGE(FILTER(I$4:I1644,I$4:I1644&lt;=W662),1),I$4:I1644))-(W662-LARGE(FILTER(I$4:I"&amp;"1644,I$4:I1644&lt;=W662),1))*INDEX(F$4:F1644,MATCH(LARGE(FILTER(I$4:I1644,I$4:I1644&lt;=W662),1),I$4:I1644))))"),"")</f>
        <v/>
      </c>
      <c r="N662" s="60" t="str">
        <f t="shared" si="8"/>
        <v/>
      </c>
      <c r="O662" s="61" t="str">
        <f t="shared" si="9"/>
        <v/>
      </c>
      <c r="P662" s="56" t="str">
        <f t="shared" si="10"/>
        <v/>
      </c>
      <c r="Q662" s="105"/>
      <c r="R662" s="10"/>
      <c r="S662" s="59" t="str">
        <f t="array" ref="S662">IF(COUNTA(Q662:Q1644)=0,"",SUM((COUNTIF(Q$4:Q662,Upgrades!$B$3:$B$13)-COUNTIF(Q$4:Q662,"Sell_"&amp;Upgrades!$B$3:$B$13))*Upgrades!$D$3:$D$13))</f>
        <v/>
      </c>
      <c r="T662" s="66" t="str">
        <f>IFERROR(__xludf.DUMMYFUNCTION("IF(COUNTA(Q662:Q1644)=0,"""",IF(REGEXMATCH(INDEX(FILTER(Q$4:Q662,Q$4:Q662&lt;&gt;""""),ROWS(FILTER(Q$4:Q662,Q$4:Q662&lt;&gt;""""))),""^Sell_""),INDEX(FILTER(T$4:T661,Q$4:Q661&lt;&gt;""""),ROWS(FILTER(Q$4:Q661,Q$4:Q661&lt;&gt;""""))),$AD$5+S662))"),"")</f>
        <v/>
      </c>
      <c r="U662" s="10" t="str">
        <f>IFERROR(__xludf.DUMMYFUNCTION("IF(COUNTA(Q662:Q1644)=0,"""",IF(Q662="""",0,IF(REGEXMATCH(Q662,""^Sell_""),-ROUNDDOWN(ROUNDUP(INDEX(Upgrades!$C$3:$C$13,MATCH(SUBSTITUTE(Q662,""Sell_"",""""),Upgrades!$B$3:$B$13,0))*1.15^(COUNTIF(Q$4:Q661,SUBSTITUTE(Q662,""Sell_"",""""))-COUNTIF(Q$4:Q661,"&amp;"""Sell_""&amp;SUBSTITUTE(Q662,""Sell_"",""""))))/2),ROUNDUP(INDEX(Upgrades!$C$3:$C$13,MATCH(Q662,Upgrades!$B$3:$B$13,0))*1.15^(COUNTIF(Q$4:Q661,Q662)-COUNTIF(Q$4:Q661,""Sell_""&amp;Q662))))))"),"")</f>
        <v/>
      </c>
      <c r="V662" s="10" t="str">
        <f t="shared" si="11"/>
        <v/>
      </c>
      <c r="W662" s="68" t="str">
        <f t="shared" si="12"/>
        <v/>
      </c>
      <c r="X662" s="59" t="str">
        <f t="shared" si="13"/>
        <v/>
      </c>
      <c r="Y662" s="69" t="str">
        <f t="shared" si="14"/>
        <v/>
      </c>
      <c r="Z662" s="11"/>
      <c r="AG662" s="59"/>
    </row>
    <row r="663">
      <c r="A663" s="8"/>
      <c r="B663" s="56" t="str">
        <f t="shared" si="2"/>
        <v/>
      </c>
      <c r="C663" s="105"/>
      <c r="D663" s="10"/>
      <c r="E663" s="59" t="str">
        <f t="array" ref="E663">IF(COUNTA(C663:C1644)=0,"",SUM((COUNTIF(C$4:C663,Upgrades!$B$3:$B$13)-COUNTIF(C$4:C663,"Sell_"&amp;Upgrades!$B$3:$B$13))*Upgrades!$D$3:$D$13))</f>
        <v/>
      </c>
      <c r="F663" s="66" t="str">
        <f>IFERROR(__xludf.DUMMYFUNCTION("IF(COUNTA(C663:C1644)=0,"""",IF(REGEXMATCH(INDEX(FILTER(C$4:C663,C$4:C663&lt;&gt;""""),ROWS(FILTER(C$4:C663,C$4:C663&lt;&gt;""""))),""^Sell_""),INDEX(FILTER(F$4:F662,C$4:C662&lt;&gt;""""),ROWS(FILTER(C$4:C662,C$4:C662&lt;&gt;""""))),$AC$5+E663))"),"")</f>
        <v/>
      </c>
      <c r="G663" s="10" t="str">
        <f>IFERROR(__xludf.DUMMYFUNCTION("IF(COUNTA(C663:C1644)=0,"""",IF(C663="""",0,IF(REGEXMATCH(C663,""^Sell_""),-ROUNDDOWN(ROUNDUP(INDEX(Upgrades!$C$3:$C$13,MATCH(SUBSTITUTE(C663,""Sell_"",""""),Upgrades!$B$3:$B$13,0))*1.15^(COUNTIF(C$4:C662,SUBSTITUTE(C663,""Sell_"",""""))-COUNTIF(C$4:C662,"&amp;"""Sell_""&amp;SUBSTITUTE(C663,""Sell_"",""""))))/2),ROUNDUP(INDEX(Upgrades!$C$3:$C$13,MATCH(C663,Upgrades!$B$3:$B$13,0))*1.15^(COUNTIF(C$4:C662,C663)-COUNTIF(C$4:C662,""Sell_""&amp;C663))))))"),"")</f>
        <v/>
      </c>
      <c r="H663" s="10" t="str">
        <f t="shared" si="3"/>
        <v/>
      </c>
      <c r="I663" s="68" t="str">
        <f t="shared" si="4"/>
        <v/>
      </c>
      <c r="J663" s="59" t="str">
        <f t="shared" si="5"/>
        <v/>
      </c>
      <c r="K663" s="69" t="str">
        <f t="shared" si="6"/>
        <v/>
      </c>
      <c r="L663" s="60" t="str">
        <f t="shared" si="7"/>
        <v/>
      </c>
      <c r="M663" s="61" t="str">
        <f>IFERROR(__xludf.DUMMYFUNCTION("IFS(AND(COUNTA(C663:C1644)=0,COUNTA(Q663:Q1644)=0),"""",OR(AND(K663&gt;=1000000000,OR(Y663&gt;=1000000000,COUNTA(Q663:Q1644)=0)),OR(Y663&gt;=1000000000,AND(COUNTA(C663:C1644)=0,P$3=TRUE))),
ROUNDDOWN((AB$1-AC$1)*MAX(INDEX(T$4:T1644,MATCH(LARGE(FILTER(Y$4:Y1644,Y$4"&amp;":Y1644&lt;1000000000),1),Y$4:Y1644)),INDEX(F$4:F1644,MATCH(LARGE(FILTER(K$4:K1644,K$4:K1644&lt;1000000000),1),K$4:K1644)))),AND(K663&lt;1000000000,COUNTA(C663:C1644)&gt;0,P$3=FALSE),
ROUNDDOWN(INDEX(Y$4:Y1644,MATCH(LARGE(FILTER(W$4:W1644,W$4:W1644&lt;=I663),1),W$4:W1644"&amp;"))+(I663-LARGE(FILTER(W$4:W1644,W$4:W1644&lt;=I663),1))*INDEX(T$4:T1644,MATCH(LARGE(FILTER(W$4:W1644,W$4:W1644&lt;=I663),1),W$4:W1644))-K663),1,
ROUNDDOWN(Y663-INDEX(K$4:K1644,MATCH(LARGE(FILTER(I$4:I1644,I$4:I1644&lt;=W663),1),I$4:I1644))-(W663-LARGE(FILTER(I$4:I"&amp;"1644,I$4:I1644&lt;=W663),1))*INDEX(F$4:F1644,MATCH(LARGE(FILTER(I$4:I1644,I$4:I1644&lt;=W663),1),I$4:I1644))))"),"")</f>
        <v/>
      </c>
      <c r="N663" s="60" t="str">
        <f t="shared" si="8"/>
        <v/>
      </c>
      <c r="O663" s="61" t="str">
        <f t="shared" si="9"/>
        <v/>
      </c>
      <c r="P663" s="56" t="str">
        <f t="shared" si="10"/>
        <v/>
      </c>
      <c r="Q663" s="105"/>
      <c r="R663" s="10"/>
      <c r="S663" s="59" t="str">
        <f t="array" ref="S663">IF(COUNTA(Q663:Q1644)=0,"",SUM((COUNTIF(Q$4:Q663,Upgrades!$B$3:$B$13)-COUNTIF(Q$4:Q663,"Sell_"&amp;Upgrades!$B$3:$B$13))*Upgrades!$D$3:$D$13))</f>
        <v/>
      </c>
      <c r="T663" s="66" t="str">
        <f>IFERROR(__xludf.DUMMYFUNCTION("IF(COUNTA(Q663:Q1644)=0,"""",IF(REGEXMATCH(INDEX(FILTER(Q$4:Q663,Q$4:Q663&lt;&gt;""""),ROWS(FILTER(Q$4:Q663,Q$4:Q663&lt;&gt;""""))),""^Sell_""),INDEX(FILTER(T$4:T662,Q$4:Q662&lt;&gt;""""),ROWS(FILTER(Q$4:Q662,Q$4:Q662&lt;&gt;""""))),$AD$5+S663))"),"")</f>
        <v/>
      </c>
      <c r="U663" s="10" t="str">
        <f>IFERROR(__xludf.DUMMYFUNCTION("IF(COUNTA(Q663:Q1644)=0,"""",IF(Q663="""",0,IF(REGEXMATCH(Q663,""^Sell_""),-ROUNDDOWN(ROUNDUP(INDEX(Upgrades!$C$3:$C$13,MATCH(SUBSTITUTE(Q663,""Sell_"",""""),Upgrades!$B$3:$B$13,0))*1.15^(COUNTIF(Q$4:Q662,SUBSTITUTE(Q663,""Sell_"",""""))-COUNTIF(Q$4:Q662,"&amp;"""Sell_""&amp;SUBSTITUTE(Q663,""Sell_"",""""))))/2),ROUNDUP(INDEX(Upgrades!$C$3:$C$13,MATCH(Q663,Upgrades!$B$3:$B$13,0))*1.15^(COUNTIF(Q$4:Q662,Q663)-COUNTIF(Q$4:Q662,""Sell_""&amp;Q663))))))"),"")</f>
        <v/>
      </c>
      <c r="V663" s="10" t="str">
        <f t="shared" si="11"/>
        <v/>
      </c>
      <c r="W663" s="68" t="str">
        <f t="shared" si="12"/>
        <v/>
      </c>
      <c r="X663" s="59" t="str">
        <f t="shared" si="13"/>
        <v/>
      </c>
      <c r="Y663" s="69" t="str">
        <f t="shared" si="14"/>
        <v/>
      </c>
      <c r="Z663" s="11"/>
      <c r="AG663" s="59"/>
    </row>
    <row r="664">
      <c r="A664" s="8"/>
      <c r="B664" s="56" t="str">
        <f t="shared" si="2"/>
        <v/>
      </c>
      <c r="C664" s="105"/>
      <c r="D664" s="10"/>
      <c r="E664" s="59" t="str">
        <f t="array" ref="E664">IF(COUNTA(C664:C1644)=0,"",SUM((COUNTIF(C$4:C664,Upgrades!$B$3:$B$13)-COUNTIF(C$4:C664,"Sell_"&amp;Upgrades!$B$3:$B$13))*Upgrades!$D$3:$D$13))</f>
        <v/>
      </c>
      <c r="F664" s="66" t="str">
        <f>IFERROR(__xludf.DUMMYFUNCTION("IF(COUNTA(C664:C1644)=0,"""",IF(REGEXMATCH(INDEX(FILTER(C$4:C664,C$4:C664&lt;&gt;""""),ROWS(FILTER(C$4:C664,C$4:C664&lt;&gt;""""))),""^Sell_""),INDEX(FILTER(F$4:F663,C$4:C663&lt;&gt;""""),ROWS(FILTER(C$4:C663,C$4:C663&lt;&gt;""""))),$AC$5+E664))"),"")</f>
        <v/>
      </c>
      <c r="G664" s="10" t="str">
        <f>IFERROR(__xludf.DUMMYFUNCTION("IF(COUNTA(C664:C1644)=0,"""",IF(C664="""",0,IF(REGEXMATCH(C664,""^Sell_""),-ROUNDDOWN(ROUNDUP(INDEX(Upgrades!$C$3:$C$13,MATCH(SUBSTITUTE(C664,""Sell_"",""""),Upgrades!$B$3:$B$13,0))*1.15^(COUNTIF(C$4:C663,SUBSTITUTE(C664,""Sell_"",""""))-COUNTIF(C$4:C663,"&amp;"""Sell_""&amp;SUBSTITUTE(C664,""Sell_"",""""))))/2),ROUNDUP(INDEX(Upgrades!$C$3:$C$13,MATCH(C664,Upgrades!$B$3:$B$13,0))*1.15^(COUNTIF(C$4:C663,C664)-COUNTIF(C$4:C663,""Sell_""&amp;C664))))))"),"")</f>
        <v/>
      </c>
      <c r="H664" s="10" t="str">
        <f t="shared" si="3"/>
        <v/>
      </c>
      <c r="I664" s="68" t="str">
        <f t="shared" si="4"/>
        <v/>
      </c>
      <c r="J664" s="59" t="str">
        <f t="shared" si="5"/>
        <v/>
      </c>
      <c r="K664" s="69" t="str">
        <f t="shared" si="6"/>
        <v/>
      </c>
      <c r="L664" s="60" t="str">
        <f t="shared" si="7"/>
        <v/>
      </c>
      <c r="M664" s="61" t="str">
        <f>IFERROR(__xludf.DUMMYFUNCTION("IFS(AND(COUNTA(C664:C1644)=0,COUNTA(Q664:Q1644)=0),"""",OR(AND(K664&gt;=1000000000,OR(Y664&gt;=1000000000,COUNTA(Q664:Q1644)=0)),OR(Y664&gt;=1000000000,AND(COUNTA(C664:C1644)=0,P$3=TRUE))),
ROUNDDOWN((AB$1-AC$1)*MAX(INDEX(T$4:T1644,MATCH(LARGE(FILTER(Y$4:Y1644,Y$4"&amp;":Y1644&lt;1000000000),1),Y$4:Y1644)),INDEX(F$4:F1644,MATCH(LARGE(FILTER(K$4:K1644,K$4:K1644&lt;1000000000),1),K$4:K1644)))),AND(K664&lt;1000000000,COUNTA(C664:C1644)&gt;0,P$3=FALSE),
ROUNDDOWN(INDEX(Y$4:Y1644,MATCH(LARGE(FILTER(W$4:W1644,W$4:W1644&lt;=I664),1),W$4:W1644"&amp;"))+(I664-LARGE(FILTER(W$4:W1644,W$4:W1644&lt;=I664),1))*INDEX(T$4:T1644,MATCH(LARGE(FILTER(W$4:W1644,W$4:W1644&lt;=I664),1),W$4:W1644))-K664),1,
ROUNDDOWN(Y664-INDEX(K$4:K1644,MATCH(LARGE(FILTER(I$4:I1644,I$4:I1644&lt;=W664),1),I$4:I1644))-(W664-LARGE(FILTER(I$4:I"&amp;"1644,I$4:I1644&lt;=W664),1))*INDEX(F$4:F1644,MATCH(LARGE(FILTER(I$4:I1644,I$4:I1644&lt;=W664),1),I$4:I1644))))"),"")</f>
        <v/>
      </c>
      <c r="N664" s="60" t="str">
        <f t="shared" si="8"/>
        <v/>
      </c>
      <c r="O664" s="61" t="str">
        <f t="shared" si="9"/>
        <v/>
      </c>
      <c r="P664" s="56" t="str">
        <f t="shared" si="10"/>
        <v/>
      </c>
      <c r="Q664" s="105"/>
      <c r="R664" s="10"/>
      <c r="S664" s="59" t="str">
        <f t="array" ref="S664">IF(COUNTA(Q664:Q1644)=0,"",SUM((COUNTIF(Q$4:Q664,Upgrades!$B$3:$B$13)-COUNTIF(Q$4:Q664,"Sell_"&amp;Upgrades!$B$3:$B$13))*Upgrades!$D$3:$D$13))</f>
        <v/>
      </c>
      <c r="T664" s="66" t="str">
        <f>IFERROR(__xludf.DUMMYFUNCTION("IF(COUNTA(Q664:Q1644)=0,"""",IF(REGEXMATCH(INDEX(FILTER(Q$4:Q664,Q$4:Q664&lt;&gt;""""),ROWS(FILTER(Q$4:Q664,Q$4:Q664&lt;&gt;""""))),""^Sell_""),INDEX(FILTER(T$4:T663,Q$4:Q663&lt;&gt;""""),ROWS(FILTER(Q$4:Q663,Q$4:Q663&lt;&gt;""""))),$AD$5+S664))"),"")</f>
        <v/>
      </c>
      <c r="U664" s="10" t="str">
        <f>IFERROR(__xludf.DUMMYFUNCTION("IF(COUNTA(Q664:Q1644)=0,"""",IF(Q664="""",0,IF(REGEXMATCH(Q664,""^Sell_""),-ROUNDDOWN(ROUNDUP(INDEX(Upgrades!$C$3:$C$13,MATCH(SUBSTITUTE(Q664,""Sell_"",""""),Upgrades!$B$3:$B$13,0))*1.15^(COUNTIF(Q$4:Q663,SUBSTITUTE(Q664,""Sell_"",""""))-COUNTIF(Q$4:Q663,"&amp;"""Sell_""&amp;SUBSTITUTE(Q664,""Sell_"",""""))))/2),ROUNDUP(INDEX(Upgrades!$C$3:$C$13,MATCH(Q664,Upgrades!$B$3:$B$13,0))*1.15^(COUNTIF(Q$4:Q663,Q664)-COUNTIF(Q$4:Q663,""Sell_""&amp;Q664))))))"),"")</f>
        <v/>
      </c>
      <c r="V664" s="10" t="str">
        <f t="shared" si="11"/>
        <v/>
      </c>
      <c r="W664" s="68" t="str">
        <f t="shared" si="12"/>
        <v/>
      </c>
      <c r="X664" s="59" t="str">
        <f t="shared" si="13"/>
        <v/>
      </c>
      <c r="Y664" s="69" t="str">
        <f t="shared" si="14"/>
        <v/>
      </c>
      <c r="Z664" s="11"/>
      <c r="AG664" s="59"/>
    </row>
    <row r="665">
      <c r="A665" s="8"/>
      <c r="B665" s="56" t="str">
        <f t="shared" si="2"/>
        <v/>
      </c>
      <c r="C665" s="105"/>
      <c r="D665" s="10"/>
      <c r="E665" s="59" t="str">
        <f t="array" ref="E665">IF(COUNTA(C665:C1644)=0,"",SUM((COUNTIF(C$4:C665,Upgrades!$B$3:$B$13)-COUNTIF(C$4:C665,"Sell_"&amp;Upgrades!$B$3:$B$13))*Upgrades!$D$3:$D$13))</f>
        <v/>
      </c>
      <c r="F665" s="66" t="str">
        <f>IFERROR(__xludf.DUMMYFUNCTION("IF(COUNTA(C665:C1644)=0,"""",IF(REGEXMATCH(INDEX(FILTER(C$4:C665,C$4:C665&lt;&gt;""""),ROWS(FILTER(C$4:C665,C$4:C665&lt;&gt;""""))),""^Sell_""),INDEX(FILTER(F$4:F664,C$4:C664&lt;&gt;""""),ROWS(FILTER(C$4:C664,C$4:C664&lt;&gt;""""))),$AC$5+E665))"),"")</f>
        <v/>
      </c>
      <c r="G665" s="10" t="str">
        <f>IFERROR(__xludf.DUMMYFUNCTION("IF(COUNTA(C665:C1644)=0,"""",IF(C665="""",0,IF(REGEXMATCH(C665,""^Sell_""),-ROUNDDOWN(ROUNDUP(INDEX(Upgrades!$C$3:$C$13,MATCH(SUBSTITUTE(C665,""Sell_"",""""),Upgrades!$B$3:$B$13,0))*1.15^(COUNTIF(C$4:C664,SUBSTITUTE(C665,""Sell_"",""""))-COUNTIF(C$4:C664,"&amp;"""Sell_""&amp;SUBSTITUTE(C665,""Sell_"",""""))))/2),ROUNDUP(INDEX(Upgrades!$C$3:$C$13,MATCH(C665,Upgrades!$B$3:$B$13,0))*1.15^(COUNTIF(C$4:C664,C665)-COUNTIF(C$4:C664,""Sell_""&amp;C665))))))"),"")</f>
        <v/>
      </c>
      <c r="H665" s="10" t="str">
        <f t="shared" si="3"/>
        <v/>
      </c>
      <c r="I665" s="68" t="str">
        <f t="shared" si="4"/>
        <v/>
      </c>
      <c r="J665" s="59" t="str">
        <f t="shared" si="5"/>
        <v/>
      </c>
      <c r="K665" s="69" t="str">
        <f t="shared" si="6"/>
        <v/>
      </c>
      <c r="L665" s="60" t="str">
        <f t="shared" si="7"/>
        <v/>
      </c>
      <c r="M665" s="61" t="str">
        <f>IFERROR(__xludf.DUMMYFUNCTION("IFS(AND(COUNTA(C665:C1644)=0,COUNTA(Q665:Q1644)=0),"""",OR(AND(K665&gt;=1000000000,OR(Y665&gt;=1000000000,COUNTA(Q665:Q1644)=0)),OR(Y665&gt;=1000000000,AND(COUNTA(C665:C1644)=0,P$3=TRUE))),
ROUNDDOWN((AB$1-AC$1)*MAX(INDEX(T$4:T1644,MATCH(LARGE(FILTER(Y$4:Y1644,Y$4"&amp;":Y1644&lt;1000000000),1),Y$4:Y1644)),INDEX(F$4:F1644,MATCH(LARGE(FILTER(K$4:K1644,K$4:K1644&lt;1000000000),1),K$4:K1644)))),AND(K665&lt;1000000000,COUNTA(C665:C1644)&gt;0,P$3=FALSE),
ROUNDDOWN(INDEX(Y$4:Y1644,MATCH(LARGE(FILTER(W$4:W1644,W$4:W1644&lt;=I665),1),W$4:W1644"&amp;"))+(I665-LARGE(FILTER(W$4:W1644,W$4:W1644&lt;=I665),1))*INDEX(T$4:T1644,MATCH(LARGE(FILTER(W$4:W1644,W$4:W1644&lt;=I665),1),W$4:W1644))-K665),1,
ROUNDDOWN(Y665-INDEX(K$4:K1644,MATCH(LARGE(FILTER(I$4:I1644,I$4:I1644&lt;=W665),1),I$4:I1644))-(W665-LARGE(FILTER(I$4:I"&amp;"1644,I$4:I1644&lt;=W665),1))*INDEX(F$4:F1644,MATCH(LARGE(FILTER(I$4:I1644,I$4:I1644&lt;=W665),1),I$4:I1644))))"),"")</f>
        <v/>
      </c>
      <c r="N665" s="60" t="str">
        <f t="shared" si="8"/>
        <v/>
      </c>
      <c r="O665" s="61" t="str">
        <f t="shared" si="9"/>
        <v/>
      </c>
      <c r="P665" s="56" t="str">
        <f t="shared" si="10"/>
        <v/>
      </c>
      <c r="Q665" s="105"/>
      <c r="R665" s="10"/>
      <c r="S665" s="59" t="str">
        <f t="array" ref="S665">IF(COUNTA(Q665:Q1644)=0,"",SUM((COUNTIF(Q$4:Q665,Upgrades!$B$3:$B$13)-COUNTIF(Q$4:Q665,"Sell_"&amp;Upgrades!$B$3:$B$13))*Upgrades!$D$3:$D$13))</f>
        <v/>
      </c>
      <c r="T665" s="66" t="str">
        <f>IFERROR(__xludf.DUMMYFUNCTION("IF(COUNTA(Q665:Q1644)=0,"""",IF(REGEXMATCH(INDEX(FILTER(Q$4:Q665,Q$4:Q665&lt;&gt;""""),ROWS(FILTER(Q$4:Q665,Q$4:Q665&lt;&gt;""""))),""^Sell_""),INDEX(FILTER(T$4:T664,Q$4:Q664&lt;&gt;""""),ROWS(FILTER(Q$4:Q664,Q$4:Q664&lt;&gt;""""))),$AD$5+S665))"),"")</f>
        <v/>
      </c>
      <c r="U665" s="10" t="str">
        <f>IFERROR(__xludf.DUMMYFUNCTION("IF(COUNTA(Q665:Q1644)=0,"""",IF(Q665="""",0,IF(REGEXMATCH(Q665,""^Sell_""),-ROUNDDOWN(ROUNDUP(INDEX(Upgrades!$C$3:$C$13,MATCH(SUBSTITUTE(Q665,""Sell_"",""""),Upgrades!$B$3:$B$13,0))*1.15^(COUNTIF(Q$4:Q664,SUBSTITUTE(Q665,""Sell_"",""""))-COUNTIF(Q$4:Q664,"&amp;"""Sell_""&amp;SUBSTITUTE(Q665,""Sell_"",""""))))/2),ROUNDUP(INDEX(Upgrades!$C$3:$C$13,MATCH(Q665,Upgrades!$B$3:$B$13,0))*1.15^(COUNTIF(Q$4:Q664,Q665)-COUNTIF(Q$4:Q664,""Sell_""&amp;Q665))))))"),"")</f>
        <v/>
      </c>
      <c r="V665" s="10" t="str">
        <f t="shared" si="11"/>
        <v/>
      </c>
      <c r="W665" s="68" t="str">
        <f t="shared" si="12"/>
        <v/>
      </c>
      <c r="X665" s="59" t="str">
        <f t="shared" si="13"/>
        <v/>
      </c>
      <c r="Y665" s="69" t="str">
        <f t="shared" si="14"/>
        <v/>
      </c>
      <c r="Z665" s="11"/>
      <c r="AG665" s="59"/>
    </row>
    <row r="666">
      <c r="A666" s="8"/>
      <c r="B666" s="56" t="str">
        <f t="shared" si="2"/>
        <v/>
      </c>
      <c r="C666" s="105"/>
      <c r="D666" s="10"/>
      <c r="E666" s="59" t="str">
        <f t="array" ref="E666">IF(COUNTA(C666:C1644)=0,"",SUM((COUNTIF(C$4:C666,Upgrades!$B$3:$B$13)-COUNTIF(C$4:C666,"Sell_"&amp;Upgrades!$B$3:$B$13))*Upgrades!$D$3:$D$13))</f>
        <v/>
      </c>
      <c r="F666" s="66" t="str">
        <f>IFERROR(__xludf.DUMMYFUNCTION("IF(COUNTA(C666:C1644)=0,"""",IF(REGEXMATCH(INDEX(FILTER(C$4:C666,C$4:C666&lt;&gt;""""),ROWS(FILTER(C$4:C666,C$4:C666&lt;&gt;""""))),""^Sell_""),INDEX(FILTER(F$4:F665,C$4:C665&lt;&gt;""""),ROWS(FILTER(C$4:C665,C$4:C665&lt;&gt;""""))),$AC$5+E666))"),"")</f>
        <v/>
      </c>
      <c r="G666" s="10" t="str">
        <f>IFERROR(__xludf.DUMMYFUNCTION("IF(COUNTA(C666:C1644)=0,"""",IF(C666="""",0,IF(REGEXMATCH(C666,""^Sell_""),-ROUNDDOWN(ROUNDUP(INDEX(Upgrades!$C$3:$C$13,MATCH(SUBSTITUTE(C666,""Sell_"",""""),Upgrades!$B$3:$B$13,0))*1.15^(COUNTIF(C$4:C665,SUBSTITUTE(C666,""Sell_"",""""))-COUNTIF(C$4:C665,"&amp;"""Sell_""&amp;SUBSTITUTE(C666,""Sell_"",""""))))/2),ROUNDUP(INDEX(Upgrades!$C$3:$C$13,MATCH(C666,Upgrades!$B$3:$B$13,0))*1.15^(COUNTIF(C$4:C665,C666)-COUNTIF(C$4:C665,""Sell_""&amp;C666))))))"),"")</f>
        <v/>
      </c>
      <c r="H666" s="10" t="str">
        <f t="shared" si="3"/>
        <v/>
      </c>
      <c r="I666" s="68" t="str">
        <f t="shared" si="4"/>
        <v/>
      </c>
      <c r="J666" s="59" t="str">
        <f t="shared" si="5"/>
        <v/>
      </c>
      <c r="K666" s="69" t="str">
        <f t="shared" si="6"/>
        <v/>
      </c>
      <c r="L666" s="60" t="str">
        <f t="shared" si="7"/>
        <v/>
      </c>
      <c r="M666" s="61" t="str">
        <f>IFERROR(__xludf.DUMMYFUNCTION("IFS(AND(COUNTA(C666:C1644)=0,COUNTA(Q666:Q1644)=0),"""",OR(AND(K666&gt;=1000000000,OR(Y666&gt;=1000000000,COUNTA(Q666:Q1644)=0)),OR(Y666&gt;=1000000000,AND(COUNTA(C666:C1644)=0,P$3=TRUE))),
ROUNDDOWN((AB$1-AC$1)*MAX(INDEX(T$4:T1644,MATCH(LARGE(FILTER(Y$4:Y1644,Y$4"&amp;":Y1644&lt;1000000000),1),Y$4:Y1644)),INDEX(F$4:F1644,MATCH(LARGE(FILTER(K$4:K1644,K$4:K1644&lt;1000000000),1),K$4:K1644)))),AND(K666&lt;1000000000,COUNTA(C666:C1644)&gt;0,P$3=FALSE),
ROUNDDOWN(INDEX(Y$4:Y1644,MATCH(LARGE(FILTER(W$4:W1644,W$4:W1644&lt;=I666),1),W$4:W1644"&amp;"))+(I666-LARGE(FILTER(W$4:W1644,W$4:W1644&lt;=I666),1))*INDEX(T$4:T1644,MATCH(LARGE(FILTER(W$4:W1644,W$4:W1644&lt;=I666),1),W$4:W1644))-K666),1,
ROUNDDOWN(Y666-INDEX(K$4:K1644,MATCH(LARGE(FILTER(I$4:I1644,I$4:I1644&lt;=W666),1),I$4:I1644))-(W666-LARGE(FILTER(I$4:I"&amp;"1644,I$4:I1644&lt;=W666),1))*INDEX(F$4:F1644,MATCH(LARGE(FILTER(I$4:I1644,I$4:I1644&lt;=W666),1),I$4:I1644))))"),"")</f>
        <v/>
      </c>
      <c r="N666" s="60" t="str">
        <f t="shared" si="8"/>
        <v/>
      </c>
      <c r="O666" s="61" t="str">
        <f t="shared" si="9"/>
        <v/>
      </c>
      <c r="P666" s="56" t="str">
        <f t="shared" si="10"/>
        <v/>
      </c>
      <c r="Q666" s="105"/>
      <c r="R666" s="10"/>
      <c r="S666" s="59" t="str">
        <f t="array" ref="S666">IF(COUNTA(Q666:Q1644)=0,"",SUM((COUNTIF(Q$4:Q666,Upgrades!$B$3:$B$13)-COUNTIF(Q$4:Q666,"Sell_"&amp;Upgrades!$B$3:$B$13))*Upgrades!$D$3:$D$13))</f>
        <v/>
      </c>
      <c r="T666" s="66" t="str">
        <f>IFERROR(__xludf.DUMMYFUNCTION("IF(COUNTA(Q666:Q1644)=0,"""",IF(REGEXMATCH(INDEX(FILTER(Q$4:Q666,Q$4:Q666&lt;&gt;""""),ROWS(FILTER(Q$4:Q666,Q$4:Q666&lt;&gt;""""))),""^Sell_""),INDEX(FILTER(T$4:T665,Q$4:Q665&lt;&gt;""""),ROWS(FILTER(Q$4:Q665,Q$4:Q665&lt;&gt;""""))),$AD$5+S666))"),"")</f>
        <v/>
      </c>
      <c r="U666" s="10" t="str">
        <f>IFERROR(__xludf.DUMMYFUNCTION("IF(COUNTA(Q666:Q1644)=0,"""",IF(Q666="""",0,IF(REGEXMATCH(Q666,""^Sell_""),-ROUNDDOWN(ROUNDUP(INDEX(Upgrades!$C$3:$C$13,MATCH(SUBSTITUTE(Q666,""Sell_"",""""),Upgrades!$B$3:$B$13,0))*1.15^(COUNTIF(Q$4:Q665,SUBSTITUTE(Q666,""Sell_"",""""))-COUNTIF(Q$4:Q665,"&amp;"""Sell_""&amp;SUBSTITUTE(Q666,""Sell_"",""""))))/2),ROUNDUP(INDEX(Upgrades!$C$3:$C$13,MATCH(Q666,Upgrades!$B$3:$B$13,0))*1.15^(COUNTIF(Q$4:Q665,Q666)-COUNTIF(Q$4:Q665,""Sell_""&amp;Q666))))))"),"")</f>
        <v/>
      </c>
      <c r="V666" s="10" t="str">
        <f t="shared" si="11"/>
        <v/>
      </c>
      <c r="W666" s="68" t="str">
        <f t="shared" si="12"/>
        <v/>
      </c>
      <c r="X666" s="59" t="str">
        <f t="shared" si="13"/>
        <v/>
      </c>
      <c r="Y666" s="69" t="str">
        <f t="shared" si="14"/>
        <v/>
      </c>
      <c r="Z666" s="11"/>
      <c r="AG666" s="59"/>
    </row>
    <row r="667">
      <c r="A667" s="8"/>
      <c r="B667" s="56" t="str">
        <f t="shared" si="2"/>
        <v/>
      </c>
      <c r="C667" s="105"/>
      <c r="D667" s="10"/>
      <c r="E667" s="59" t="str">
        <f t="array" ref="E667">IF(COUNTA(C667:C1644)=0,"",SUM((COUNTIF(C$4:C667,Upgrades!$B$3:$B$13)-COUNTIF(C$4:C667,"Sell_"&amp;Upgrades!$B$3:$B$13))*Upgrades!$D$3:$D$13))</f>
        <v/>
      </c>
      <c r="F667" s="66" t="str">
        <f>IFERROR(__xludf.DUMMYFUNCTION("IF(COUNTA(C667:C1644)=0,"""",IF(REGEXMATCH(INDEX(FILTER(C$4:C667,C$4:C667&lt;&gt;""""),ROWS(FILTER(C$4:C667,C$4:C667&lt;&gt;""""))),""^Sell_""),INDEX(FILTER(F$4:F666,C$4:C666&lt;&gt;""""),ROWS(FILTER(C$4:C666,C$4:C666&lt;&gt;""""))),$AC$5+E667))"),"")</f>
        <v/>
      </c>
      <c r="G667" s="10" t="str">
        <f>IFERROR(__xludf.DUMMYFUNCTION("IF(COUNTA(C667:C1644)=0,"""",IF(C667="""",0,IF(REGEXMATCH(C667,""^Sell_""),-ROUNDDOWN(ROUNDUP(INDEX(Upgrades!$C$3:$C$13,MATCH(SUBSTITUTE(C667,""Sell_"",""""),Upgrades!$B$3:$B$13,0))*1.15^(COUNTIF(C$4:C666,SUBSTITUTE(C667,""Sell_"",""""))-COUNTIF(C$4:C666,"&amp;"""Sell_""&amp;SUBSTITUTE(C667,""Sell_"",""""))))/2),ROUNDUP(INDEX(Upgrades!$C$3:$C$13,MATCH(C667,Upgrades!$B$3:$B$13,0))*1.15^(COUNTIF(C$4:C666,C667)-COUNTIF(C$4:C666,""Sell_""&amp;C667))))))"),"")</f>
        <v/>
      </c>
      <c r="H667" s="10" t="str">
        <f t="shared" si="3"/>
        <v/>
      </c>
      <c r="I667" s="68" t="str">
        <f t="shared" si="4"/>
        <v/>
      </c>
      <c r="J667" s="59" t="str">
        <f t="shared" si="5"/>
        <v/>
      </c>
      <c r="K667" s="69" t="str">
        <f t="shared" si="6"/>
        <v/>
      </c>
      <c r="L667" s="60" t="str">
        <f t="shared" si="7"/>
        <v/>
      </c>
      <c r="M667" s="61" t="str">
        <f>IFERROR(__xludf.DUMMYFUNCTION("IFS(AND(COUNTA(C667:C1644)=0,COUNTA(Q667:Q1644)=0),"""",OR(AND(K667&gt;=1000000000,OR(Y667&gt;=1000000000,COUNTA(Q667:Q1644)=0)),OR(Y667&gt;=1000000000,AND(COUNTA(C667:C1644)=0,P$3=TRUE))),
ROUNDDOWN((AB$1-AC$1)*MAX(INDEX(T$4:T1644,MATCH(LARGE(FILTER(Y$4:Y1644,Y$4"&amp;":Y1644&lt;1000000000),1),Y$4:Y1644)),INDEX(F$4:F1644,MATCH(LARGE(FILTER(K$4:K1644,K$4:K1644&lt;1000000000),1),K$4:K1644)))),AND(K667&lt;1000000000,COUNTA(C667:C1644)&gt;0,P$3=FALSE),
ROUNDDOWN(INDEX(Y$4:Y1644,MATCH(LARGE(FILTER(W$4:W1644,W$4:W1644&lt;=I667),1),W$4:W1644"&amp;"))+(I667-LARGE(FILTER(W$4:W1644,W$4:W1644&lt;=I667),1))*INDEX(T$4:T1644,MATCH(LARGE(FILTER(W$4:W1644,W$4:W1644&lt;=I667),1),W$4:W1644))-K667),1,
ROUNDDOWN(Y667-INDEX(K$4:K1644,MATCH(LARGE(FILTER(I$4:I1644,I$4:I1644&lt;=W667),1),I$4:I1644))-(W667-LARGE(FILTER(I$4:I"&amp;"1644,I$4:I1644&lt;=W667),1))*INDEX(F$4:F1644,MATCH(LARGE(FILTER(I$4:I1644,I$4:I1644&lt;=W667),1),I$4:I1644))))"),"")</f>
        <v/>
      </c>
      <c r="N667" s="60" t="str">
        <f t="shared" si="8"/>
        <v/>
      </c>
      <c r="O667" s="61" t="str">
        <f t="shared" si="9"/>
        <v/>
      </c>
      <c r="P667" s="56" t="str">
        <f t="shared" si="10"/>
        <v/>
      </c>
      <c r="Q667" s="105"/>
      <c r="R667" s="10"/>
      <c r="S667" s="59" t="str">
        <f t="array" ref="S667">IF(COUNTA(Q667:Q1644)=0,"",SUM((COUNTIF(Q$4:Q667,Upgrades!$B$3:$B$13)-COUNTIF(Q$4:Q667,"Sell_"&amp;Upgrades!$B$3:$B$13))*Upgrades!$D$3:$D$13))</f>
        <v/>
      </c>
      <c r="T667" s="66" t="str">
        <f>IFERROR(__xludf.DUMMYFUNCTION("IF(COUNTA(Q667:Q1644)=0,"""",IF(REGEXMATCH(INDEX(FILTER(Q$4:Q667,Q$4:Q667&lt;&gt;""""),ROWS(FILTER(Q$4:Q667,Q$4:Q667&lt;&gt;""""))),""^Sell_""),INDEX(FILTER(T$4:T666,Q$4:Q666&lt;&gt;""""),ROWS(FILTER(Q$4:Q666,Q$4:Q666&lt;&gt;""""))),$AD$5+S667))"),"")</f>
        <v/>
      </c>
      <c r="U667" s="10" t="str">
        <f>IFERROR(__xludf.DUMMYFUNCTION("IF(COUNTA(Q667:Q1644)=0,"""",IF(Q667="""",0,IF(REGEXMATCH(Q667,""^Sell_""),-ROUNDDOWN(ROUNDUP(INDEX(Upgrades!$C$3:$C$13,MATCH(SUBSTITUTE(Q667,""Sell_"",""""),Upgrades!$B$3:$B$13,0))*1.15^(COUNTIF(Q$4:Q666,SUBSTITUTE(Q667,""Sell_"",""""))-COUNTIF(Q$4:Q666,"&amp;"""Sell_""&amp;SUBSTITUTE(Q667,""Sell_"",""""))))/2),ROUNDUP(INDEX(Upgrades!$C$3:$C$13,MATCH(Q667,Upgrades!$B$3:$B$13,0))*1.15^(COUNTIF(Q$4:Q666,Q667)-COUNTIF(Q$4:Q666,""Sell_""&amp;Q667))))))"),"")</f>
        <v/>
      </c>
      <c r="V667" s="10" t="str">
        <f t="shared" si="11"/>
        <v/>
      </c>
      <c r="W667" s="68" t="str">
        <f t="shared" si="12"/>
        <v/>
      </c>
      <c r="X667" s="59" t="str">
        <f t="shared" si="13"/>
        <v/>
      </c>
      <c r="Y667" s="69" t="str">
        <f t="shared" si="14"/>
        <v/>
      </c>
      <c r="Z667" s="11"/>
      <c r="AG667" s="59"/>
    </row>
    <row r="668">
      <c r="A668" s="8"/>
      <c r="B668" s="56" t="str">
        <f t="shared" si="2"/>
        <v/>
      </c>
      <c r="C668" s="105"/>
      <c r="D668" s="10"/>
      <c r="E668" s="59" t="str">
        <f t="array" ref="E668">IF(COUNTA(C668:C1644)=0,"",SUM((COUNTIF(C$4:C668,Upgrades!$B$3:$B$13)-COUNTIF(C$4:C668,"Sell_"&amp;Upgrades!$B$3:$B$13))*Upgrades!$D$3:$D$13))</f>
        <v/>
      </c>
      <c r="F668" s="66" t="str">
        <f>IFERROR(__xludf.DUMMYFUNCTION("IF(COUNTA(C668:C1644)=0,"""",IF(REGEXMATCH(INDEX(FILTER(C$4:C668,C$4:C668&lt;&gt;""""),ROWS(FILTER(C$4:C668,C$4:C668&lt;&gt;""""))),""^Sell_""),INDEX(FILTER(F$4:F667,C$4:C667&lt;&gt;""""),ROWS(FILTER(C$4:C667,C$4:C667&lt;&gt;""""))),$AC$5+E668))"),"")</f>
        <v/>
      </c>
      <c r="G668" s="10" t="str">
        <f>IFERROR(__xludf.DUMMYFUNCTION("IF(COUNTA(C668:C1644)=0,"""",IF(C668="""",0,IF(REGEXMATCH(C668,""^Sell_""),-ROUNDDOWN(ROUNDUP(INDEX(Upgrades!$C$3:$C$13,MATCH(SUBSTITUTE(C668,""Sell_"",""""),Upgrades!$B$3:$B$13,0))*1.15^(COUNTIF(C$4:C667,SUBSTITUTE(C668,""Sell_"",""""))-COUNTIF(C$4:C667,"&amp;"""Sell_""&amp;SUBSTITUTE(C668,""Sell_"",""""))))/2),ROUNDUP(INDEX(Upgrades!$C$3:$C$13,MATCH(C668,Upgrades!$B$3:$B$13,0))*1.15^(COUNTIF(C$4:C667,C668)-COUNTIF(C$4:C667,""Sell_""&amp;C668))))))"),"")</f>
        <v/>
      </c>
      <c r="H668" s="10" t="str">
        <f t="shared" si="3"/>
        <v/>
      </c>
      <c r="I668" s="68" t="str">
        <f t="shared" si="4"/>
        <v/>
      </c>
      <c r="J668" s="59" t="str">
        <f t="shared" si="5"/>
        <v/>
      </c>
      <c r="K668" s="69" t="str">
        <f t="shared" si="6"/>
        <v/>
      </c>
      <c r="L668" s="60" t="str">
        <f t="shared" si="7"/>
        <v/>
      </c>
      <c r="M668" s="61" t="str">
        <f>IFERROR(__xludf.DUMMYFUNCTION("IFS(AND(COUNTA(C668:C1644)=0,COUNTA(Q668:Q1644)=0),"""",OR(AND(K668&gt;=1000000000,OR(Y668&gt;=1000000000,COUNTA(Q668:Q1644)=0)),OR(Y668&gt;=1000000000,AND(COUNTA(C668:C1644)=0,P$3=TRUE))),
ROUNDDOWN((AB$1-AC$1)*MAX(INDEX(T$4:T1644,MATCH(LARGE(FILTER(Y$4:Y1644,Y$4"&amp;":Y1644&lt;1000000000),1),Y$4:Y1644)),INDEX(F$4:F1644,MATCH(LARGE(FILTER(K$4:K1644,K$4:K1644&lt;1000000000),1),K$4:K1644)))),AND(K668&lt;1000000000,COUNTA(C668:C1644)&gt;0,P$3=FALSE),
ROUNDDOWN(INDEX(Y$4:Y1644,MATCH(LARGE(FILTER(W$4:W1644,W$4:W1644&lt;=I668),1),W$4:W1644"&amp;"))+(I668-LARGE(FILTER(W$4:W1644,W$4:W1644&lt;=I668),1))*INDEX(T$4:T1644,MATCH(LARGE(FILTER(W$4:W1644,W$4:W1644&lt;=I668),1),W$4:W1644))-K668),1,
ROUNDDOWN(Y668-INDEX(K$4:K1644,MATCH(LARGE(FILTER(I$4:I1644,I$4:I1644&lt;=W668),1),I$4:I1644))-(W668-LARGE(FILTER(I$4:I"&amp;"1644,I$4:I1644&lt;=W668),1))*INDEX(F$4:F1644,MATCH(LARGE(FILTER(I$4:I1644,I$4:I1644&lt;=W668),1),I$4:I1644))))"),"")</f>
        <v/>
      </c>
      <c r="N668" s="60" t="str">
        <f t="shared" si="8"/>
        <v/>
      </c>
      <c r="O668" s="61" t="str">
        <f t="shared" si="9"/>
        <v/>
      </c>
      <c r="P668" s="56" t="str">
        <f t="shared" si="10"/>
        <v/>
      </c>
      <c r="Q668" s="105"/>
      <c r="R668" s="10"/>
      <c r="S668" s="59" t="str">
        <f t="array" ref="S668">IF(COUNTA(Q668:Q1644)=0,"",SUM((COUNTIF(Q$4:Q668,Upgrades!$B$3:$B$13)-COUNTIF(Q$4:Q668,"Sell_"&amp;Upgrades!$B$3:$B$13))*Upgrades!$D$3:$D$13))</f>
        <v/>
      </c>
      <c r="T668" s="66" t="str">
        <f>IFERROR(__xludf.DUMMYFUNCTION("IF(COUNTA(Q668:Q1644)=0,"""",IF(REGEXMATCH(INDEX(FILTER(Q$4:Q668,Q$4:Q668&lt;&gt;""""),ROWS(FILTER(Q$4:Q668,Q$4:Q668&lt;&gt;""""))),""^Sell_""),INDEX(FILTER(T$4:T667,Q$4:Q667&lt;&gt;""""),ROWS(FILTER(Q$4:Q667,Q$4:Q667&lt;&gt;""""))),$AD$5+S668))"),"")</f>
        <v/>
      </c>
      <c r="U668" s="10" t="str">
        <f>IFERROR(__xludf.DUMMYFUNCTION("IF(COUNTA(Q668:Q1644)=0,"""",IF(Q668="""",0,IF(REGEXMATCH(Q668,""^Sell_""),-ROUNDDOWN(ROUNDUP(INDEX(Upgrades!$C$3:$C$13,MATCH(SUBSTITUTE(Q668,""Sell_"",""""),Upgrades!$B$3:$B$13,0))*1.15^(COUNTIF(Q$4:Q667,SUBSTITUTE(Q668,""Sell_"",""""))-COUNTIF(Q$4:Q667,"&amp;"""Sell_""&amp;SUBSTITUTE(Q668,""Sell_"",""""))))/2),ROUNDUP(INDEX(Upgrades!$C$3:$C$13,MATCH(Q668,Upgrades!$B$3:$B$13,0))*1.15^(COUNTIF(Q$4:Q667,Q668)-COUNTIF(Q$4:Q667,""Sell_""&amp;Q668))))))"),"")</f>
        <v/>
      </c>
      <c r="V668" s="10" t="str">
        <f t="shared" si="11"/>
        <v/>
      </c>
      <c r="W668" s="68" t="str">
        <f t="shared" si="12"/>
        <v/>
      </c>
      <c r="X668" s="59" t="str">
        <f t="shared" si="13"/>
        <v/>
      </c>
      <c r="Y668" s="69" t="str">
        <f t="shared" si="14"/>
        <v/>
      </c>
      <c r="Z668" s="11"/>
      <c r="AG668" s="59"/>
    </row>
    <row r="669">
      <c r="A669" s="8"/>
      <c r="B669" s="56" t="str">
        <f t="shared" si="2"/>
        <v/>
      </c>
      <c r="C669" s="105"/>
      <c r="D669" s="10"/>
      <c r="E669" s="59" t="str">
        <f t="array" ref="E669">IF(COUNTA(C669:C1644)=0,"",SUM((COUNTIF(C$4:C669,Upgrades!$B$3:$B$13)-COUNTIF(C$4:C669,"Sell_"&amp;Upgrades!$B$3:$B$13))*Upgrades!$D$3:$D$13))</f>
        <v/>
      </c>
      <c r="F669" s="66" t="str">
        <f>IFERROR(__xludf.DUMMYFUNCTION("IF(COUNTA(C669:C1644)=0,"""",IF(REGEXMATCH(INDEX(FILTER(C$4:C669,C$4:C669&lt;&gt;""""),ROWS(FILTER(C$4:C669,C$4:C669&lt;&gt;""""))),""^Sell_""),INDEX(FILTER(F$4:F668,C$4:C668&lt;&gt;""""),ROWS(FILTER(C$4:C668,C$4:C668&lt;&gt;""""))),$AC$5+E669))"),"")</f>
        <v/>
      </c>
      <c r="G669" s="10" t="str">
        <f>IFERROR(__xludf.DUMMYFUNCTION("IF(COUNTA(C669:C1644)=0,"""",IF(C669="""",0,IF(REGEXMATCH(C669,""^Sell_""),-ROUNDDOWN(ROUNDUP(INDEX(Upgrades!$C$3:$C$13,MATCH(SUBSTITUTE(C669,""Sell_"",""""),Upgrades!$B$3:$B$13,0))*1.15^(COUNTIF(C$4:C668,SUBSTITUTE(C669,""Sell_"",""""))-COUNTIF(C$4:C668,"&amp;"""Sell_""&amp;SUBSTITUTE(C669,""Sell_"",""""))))/2),ROUNDUP(INDEX(Upgrades!$C$3:$C$13,MATCH(C669,Upgrades!$B$3:$B$13,0))*1.15^(COUNTIF(C$4:C668,C669)-COUNTIF(C$4:C668,""Sell_""&amp;C669))))))"),"")</f>
        <v/>
      </c>
      <c r="H669" s="10" t="str">
        <f t="shared" si="3"/>
        <v/>
      </c>
      <c r="I669" s="68" t="str">
        <f t="shared" si="4"/>
        <v/>
      </c>
      <c r="J669" s="59" t="str">
        <f t="shared" si="5"/>
        <v/>
      </c>
      <c r="K669" s="69" t="str">
        <f t="shared" si="6"/>
        <v/>
      </c>
      <c r="L669" s="60" t="str">
        <f t="shared" si="7"/>
        <v/>
      </c>
      <c r="M669" s="61" t="str">
        <f>IFERROR(__xludf.DUMMYFUNCTION("IFS(AND(COUNTA(C669:C1644)=0,COUNTA(Q669:Q1644)=0),"""",OR(AND(K669&gt;=1000000000,OR(Y669&gt;=1000000000,COUNTA(Q669:Q1644)=0)),OR(Y669&gt;=1000000000,AND(COUNTA(C669:C1644)=0,P$3=TRUE))),
ROUNDDOWN((AB$1-AC$1)*MAX(INDEX(T$4:T1644,MATCH(LARGE(FILTER(Y$4:Y1644,Y$4"&amp;":Y1644&lt;1000000000),1),Y$4:Y1644)),INDEX(F$4:F1644,MATCH(LARGE(FILTER(K$4:K1644,K$4:K1644&lt;1000000000),1),K$4:K1644)))),AND(K669&lt;1000000000,COUNTA(C669:C1644)&gt;0,P$3=FALSE),
ROUNDDOWN(INDEX(Y$4:Y1644,MATCH(LARGE(FILTER(W$4:W1644,W$4:W1644&lt;=I669),1),W$4:W1644"&amp;"))+(I669-LARGE(FILTER(W$4:W1644,W$4:W1644&lt;=I669),1))*INDEX(T$4:T1644,MATCH(LARGE(FILTER(W$4:W1644,W$4:W1644&lt;=I669),1),W$4:W1644))-K669),1,
ROUNDDOWN(Y669-INDEX(K$4:K1644,MATCH(LARGE(FILTER(I$4:I1644,I$4:I1644&lt;=W669),1),I$4:I1644))-(W669-LARGE(FILTER(I$4:I"&amp;"1644,I$4:I1644&lt;=W669),1))*INDEX(F$4:F1644,MATCH(LARGE(FILTER(I$4:I1644,I$4:I1644&lt;=W669),1),I$4:I1644))))"),"")</f>
        <v/>
      </c>
      <c r="N669" s="60" t="str">
        <f t="shared" si="8"/>
        <v/>
      </c>
      <c r="O669" s="61" t="str">
        <f t="shared" si="9"/>
        <v/>
      </c>
      <c r="P669" s="56" t="str">
        <f t="shared" si="10"/>
        <v/>
      </c>
      <c r="Q669" s="105"/>
      <c r="R669" s="10"/>
      <c r="S669" s="59" t="str">
        <f t="array" ref="S669">IF(COUNTA(Q669:Q1644)=0,"",SUM((COUNTIF(Q$4:Q669,Upgrades!$B$3:$B$13)-COUNTIF(Q$4:Q669,"Sell_"&amp;Upgrades!$B$3:$B$13))*Upgrades!$D$3:$D$13))</f>
        <v/>
      </c>
      <c r="T669" s="66" t="str">
        <f>IFERROR(__xludf.DUMMYFUNCTION("IF(COUNTA(Q669:Q1644)=0,"""",IF(REGEXMATCH(INDEX(FILTER(Q$4:Q669,Q$4:Q669&lt;&gt;""""),ROWS(FILTER(Q$4:Q669,Q$4:Q669&lt;&gt;""""))),""^Sell_""),INDEX(FILTER(T$4:T668,Q$4:Q668&lt;&gt;""""),ROWS(FILTER(Q$4:Q668,Q$4:Q668&lt;&gt;""""))),$AD$5+S669))"),"")</f>
        <v/>
      </c>
      <c r="U669" s="10" t="str">
        <f>IFERROR(__xludf.DUMMYFUNCTION("IF(COUNTA(Q669:Q1644)=0,"""",IF(Q669="""",0,IF(REGEXMATCH(Q669,""^Sell_""),-ROUNDDOWN(ROUNDUP(INDEX(Upgrades!$C$3:$C$13,MATCH(SUBSTITUTE(Q669,""Sell_"",""""),Upgrades!$B$3:$B$13,0))*1.15^(COUNTIF(Q$4:Q668,SUBSTITUTE(Q669,""Sell_"",""""))-COUNTIF(Q$4:Q668,"&amp;"""Sell_""&amp;SUBSTITUTE(Q669,""Sell_"",""""))))/2),ROUNDUP(INDEX(Upgrades!$C$3:$C$13,MATCH(Q669,Upgrades!$B$3:$B$13,0))*1.15^(COUNTIF(Q$4:Q668,Q669)-COUNTIF(Q$4:Q668,""Sell_""&amp;Q669))))))"),"")</f>
        <v/>
      </c>
      <c r="V669" s="10" t="str">
        <f t="shared" si="11"/>
        <v/>
      </c>
      <c r="W669" s="68" t="str">
        <f t="shared" si="12"/>
        <v/>
      </c>
      <c r="X669" s="59" t="str">
        <f t="shared" si="13"/>
        <v/>
      </c>
      <c r="Y669" s="69" t="str">
        <f t="shared" si="14"/>
        <v/>
      </c>
      <c r="Z669" s="11"/>
      <c r="AG669" s="59"/>
    </row>
    <row r="670">
      <c r="A670" s="8"/>
      <c r="B670" s="56" t="str">
        <f t="shared" si="2"/>
        <v/>
      </c>
      <c r="C670" s="105"/>
      <c r="D670" s="10"/>
      <c r="E670" s="59" t="str">
        <f t="array" ref="E670">IF(COUNTA(C670:C1644)=0,"",SUM((COUNTIF(C$4:C670,Upgrades!$B$3:$B$13)-COUNTIF(C$4:C670,"Sell_"&amp;Upgrades!$B$3:$B$13))*Upgrades!$D$3:$D$13))</f>
        <v/>
      </c>
      <c r="F670" s="66" t="str">
        <f>IFERROR(__xludf.DUMMYFUNCTION("IF(COUNTA(C670:C1644)=0,"""",IF(REGEXMATCH(INDEX(FILTER(C$4:C670,C$4:C670&lt;&gt;""""),ROWS(FILTER(C$4:C670,C$4:C670&lt;&gt;""""))),""^Sell_""),INDEX(FILTER(F$4:F669,C$4:C669&lt;&gt;""""),ROWS(FILTER(C$4:C669,C$4:C669&lt;&gt;""""))),$AC$5+E670))"),"")</f>
        <v/>
      </c>
      <c r="G670" s="10" t="str">
        <f>IFERROR(__xludf.DUMMYFUNCTION("IF(COUNTA(C670:C1644)=0,"""",IF(C670="""",0,IF(REGEXMATCH(C670,""^Sell_""),-ROUNDDOWN(ROUNDUP(INDEX(Upgrades!$C$3:$C$13,MATCH(SUBSTITUTE(C670,""Sell_"",""""),Upgrades!$B$3:$B$13,0))*1.15^(COUNTIF(C$4:C669,SUBSTITUTE(C670,""Sell_"",""""))-COUNTIF(C$4:C669,"&amp;"""Sell_""&amp;SUBSTITUTE(C670,""Sell_"",""""))))/2),ROUNDUP(INDEX(Upgrades!$C$3:$C$13,MATCH(C670,Upgrades!$B$3:$B$13,0))*1.15^(COUNTIF(C$4:C669,C670)-COUNTIF(C$4:C669,""Sell_""&amp;C670))))))"),"")</f>
        <v/>
      </c>
      <c r="H670" s="10" t="str">
        <f t="shared" si="3"/>
        <v/>
      </c>
      <c r="I670" s="68" t="str">
        <f t="shared" si="4"/>
        <v/>
      </c>
      <c r="J670" s="59" t="str">
        <f t="shared" si="5"/>
        <v/>
      </c>
      <c r="K670" s="69" t="str">
        <f t="shared" si="6"/>
        <v/>
      </c>
      <c r="L670" s="60" t="str">
        <f t="shared" si="7"/>
        <v/>
      </c>
      <c r="M670" s="61" t="str">
        <f>IFERROR(__xludf.DUMMYFUNCTION("IFS(AND(COUNTA(C670:C1644)=0,COUNTA(Q670:Q1644)=0),"""",OR(AND(K670&gt;=1000000000,OR(Y670&gt;=1000000000,COUNTA(Q670:Q1644)=0)),OR(Y670&gt;=1000000000,AND(COUNTA(C670:C1644)=0,P$3=TRUE))),
ROUNDDOWN((AB$1-AC$1)*MAX(INDEX(T$4:T1644,MATCH(LARGE(FILTER(Y$4:Y1644,Y$4"&amp;":Y1644&lt;1000000000),1),Y$4:Y1644)),INDEX(F$4:F1644,MATCH(LARGE(FILTER(K$4:K1644,K$4:K1644&lt;1000000000),1),K$4:K1644)))),AND(K670&lt;1000000000,COUNTA(C670:C1644)&gt;0,P$3=FALSE),
ROUNDDOWN(INDEX(Y$4:Y1644,MATCH(LARGE(FILTER(W$4:W1644,W$4:W1644&lt;=I670),1),W$4:W1644"&amp;"))+(I670-LARGE(FILTER(W$4:W1644,W$4:W1644&lt;=I670),1))*INDEX(T$4:T1644,MATCH(LARGE(FILTER(W$4:W1644,W$4:W1644&lt;=I670),1),W$4:W1644))-K670),1,
ROUNDDOWN(Y670-INDEX(K$4:K1644,MATCH(LARGE(FILTER(I$4:I1644,I$4:I1644&lt;=W670),1),I$4:I1644))-(W670-LARGE(FILTER(I$4:I"&amp;"1644,I$4:I1644&lt;=W670),1))*INDEX(F$4:F1644,MATCH(LARGE(FILTER(I$4:I1644,I$4:I1644&lt;=W670),1),I$4:I1644))))"),"")</f>
        <v/>
      </c>
      <c r="N670" s="60" t="str">
        <f t="shared" si="8"/>
        <v/>
      </c>
      <c r="O670" s="61" t="str">
        <f t="shared" si="9"/>
        <v/>
      </c>
      <c r="P670" s="56" t="str">
        <f t="shared" si="10"/>
        <v/>
      </c>
      <c r="Q670" s="105"/>
      <c r="R670" s="10"/>
      <c r="S670" s="59" t="str">
        <f t="array" ref="S670">IF(COUNTA(Q670:Q1644)=0,"",SUM((COUNTIF(Q$4:Q670,Upgrades!$B$3:$B$13)-COUNTIF(Q$4:Q670,"Sell_"&amp;Upgrades!$B$3:$B$13))*Upgrades!$D$3:$D$13))</f>
        <v/>
      </c>
      <c r="T670" s="66" t="str">
        <f>IFERROR(__xludf.DUMMYFUNCTION("IF(COUNTA(Q670:Q1644)=0,"""",IF(REGEXMATCH(INDEX(FILTER(Q$4:Q670,Q$4:Q670&lt;&gt;""""),ROWS(FILTER(Q$4:Q670,Q$4:Q670&lt;&gt;""""))),""^Sell_""),INDEX(FILTER(T$4:T669,Q$4:Q669&lt;&gt;""""),ROWS(FILTER(Q$4:Q669,Q$4:Q669&lt;&gt;""""))),$AD$5+S670))"),"")</f>
        <v/>
      </c>
      <c r="U670" s="10" t="str">
        <f>IFERROR(__xludf.DUMMYFUNCTION("IF(COUNTA(Q670:Q1644)=0,"""",IF(Q670="""",0,IF(REGEXMATCH(Q670,""^Sell_""),-ROUNDDOWN(ROUNDUP(INDEX(Upgrades!$C$3:$C$13,MATCH(SUBSTITUTE(Q670,""Sell_"",""""),Upgrades!$B$3:$B$13,0))*1.15^(COUNTIF(Q$4:Q669,SUBSTITUTE(Q670,""Sell_"",""""))-COUNTIF(Q$4:Q669,"&amp;"""Sell_""&amp;SUBSTITUTE(Q670,""Sell_"",""""))))/2),ROUNDUP(INDEX(Upgrades!$C$3:$C$13,MATCH(Q670,Upgrades!$B$3:$B$13,0))*1.15^(COUNTIF(Q$4:Q669,Q670)-COUNTIF(Q$4:Q669,""Sell_""&amp;Q670))))))"),"")</f>
        <v/>
      </c>
      <c r="V670" s="10" t="str">
        <f t="shared" si="11"/>
        <v/>
      </c>
      <c r="W670" s="68" t="str">
        <f t="shared" si="12"/>
        <v/>
      </c>
      <c r="X670" s="59" t="str">
        <f t="shared" si="13"/>
        <v/>
      </c>
      <c r="Y670" s="69" t="str">
        <f t="shared" si="14"/>
        <v/>
      </c>
      <c r="Z670" s="11"/>
      <c r="AG670" s="59"/>
    </row>
    <row r="671">
      <c r="A671" s="8"/>
      <c r="B671" s="56" t="str">
        <f t="shared" si="2"/>
        <v/>
      </c>
      <c r="C671" s="105"/>
      <c r="D671" s="10"/>
      <c r="E671" s="59" t="str">
        <f t="array" ref="E671">IF(COUNTA(C671:C1644)=0,"",SUM((COUNTIF(C$4:C671,Upgrades!$B$3:$B$13)-COUNTIF(C$4:C671,"Sell_"&amp;Upgrades!$B$3:$B$13))*Upgrades!$D$3:$D$13))</f>
        <v/>
      </c>
      <c r="F671" s="66" t="str">
        <f>IFERROR(__xludf.DUMMYFUNCTION("IF(COUNTA(C671:C1644)=0,"""",IF(REGEXMATCH(INDEX(FILTER(C$4:C671,C$4:C671&lt;&gt;""""),ROWS(FILTER(C$4:C671,C$4:C671&lt;&gt;""""))),""^Sell_""),INDEX(FILTER(F$4:F670,C$4:C670&lt;&gt;""""),ROWS(FILTER(C$4:C670,C$4:C670&lt;&gt;""""))),$AC$5+E671))"),"")</f>
        <v/>
      </c>
      <c r="G671" s="10" t="str">
        <f>IFERROR(__xludf.DUMMYFUNCTION("IF(COUNTA(C671:C1644)=0,"""",IF(C671="""",0,IF(REGEXMATCH(C671,""^Sell_""),-ROUNDDOWN(ROUNDUP(INDEX(Upgrades!$C$3:$C$13,MATCH(SUBSTITUTE(C671,""Sell_"",""""),Upgrades!$B$3:$B$13,0))*1.15^(COUNTIF(C$4:C670,SUBSTITUTE(C671,""Sell_"",""""))-COUNTIF(C$4:C670,"&amp;"""Sell_""&amp;SUBSTITUTE(C671,""Sell_"",""""))))/2),ROUNDUP(INDEX(Upgrades!$C$3:$C$13,MATCH(C671,Upgrades!$B$3:$B$13,0))*1.15^(COUNTIF(C$4:C670,C671)-COUNTIF(C$4:C670,""Sell_""&amp;C671))))))"),"")</f>
        <v/>
      </c>
      <c r="H671" s="10" t="str">
        <f t="shared" si="3"/>
        <v/>
      </c>
      <c r="I671" s="68" t="str">
        <f t="shared" si="4"/>
        <v/>
      </c>
      <c r="J671" s="59" t="str">
        <f t="shared" si="5"/>
        <v/>
      </c>
      <c r="K671" s="69" t="str">
        <f t="shared" si="6"/>
        <v/>
      </c>
      <c r="L671" s="60" t="str">
        <f t="shared" si="7"/>
        <v/>
      </c>
      <c r="M671" s="61" t="str">
        <f>IFERROR(__xludf.DUMMYFUNCTION("IFS(AND(COUNTA(C671:C1644)=0,COUNTA(Q671:Q1644)=0),"""",OR(AND(K671&gt;=1000000000,OR(Y671&gt;=1000000000,COUNTA(Q671:Q1644)=0)),OR(Y671&gt;=1000000000,AND(COUNTA(C671:C1644)=0,P$3=TRUE))),
ROUNDDOWN((AB$1-AC$1)*MAX(INDEX(T$4:T1644,MATCH(LARGE(FILTER(Y$4:Y1644,Y$4"&amp;":Y1644&lt;1000000000),1),Y$4:Y1644)),INDEX(F$4:F1644,MATCH(LARGE(FILTER(K$4:K1644,K$4:K1644&lt;1000000000),1),K$4:K1644)))),AND(K671&lt;1000000000,COUNTA(C671:C1644)&gt;0,P$3=FALSE),
ROUNDDOWN(INDEX(Y$4:Y1644,MATCH(LARGE(FILTER(W$4:W1644,W$4:W1644&lt;=I671),1),W$4:W1644"&amp;"))+(I671-LARGE(FILTER(W$4:W1644,W$4:W1644&lt;=I671),1))*INDEX(T$4:T1644,MATCH(LARGE(FILTER(W$4:W1644,W$4:W1644&lt;=I671),1),W$4:W1644))-K671),1,
ROUNDDOWN(Y671-INDEX(K$4:K1644,MATCH(LARGE(FILTER(I$4:I1644,I$4:I1644&lt;=W671),1),I$4:I1644))-(W671-LARGE(FILTER(I$4:I"&amp;"1644,I$4:I1644&lt;=W671),1))*INDEX(F$4:F1644,MATCH(LARGE(FILTER(I$4:I1644,I$4:I1644&lt;=W671),1),I$4:I1644))))"),"")</f>
        <v/>
      </c>
      <c r="N671" s="60" t="str">
        <f t="shared" si="8"/>
        <v/>
      </c>
      <c r="O671" s="61" t="str">
        <f t="shared" si="9"/>
        <v/>
      </c>
      <c r="P671" s="56" t="str">
        <f t="shared" si="10"/>
        <v/>
      </c>
      <c r="Q671" s="105"/>
      <c r="R671" s="10"/>
      <c r="S671" s="59" t="str">
        <f t="array" ref="S671">IF(COUNTA(Q671:Q1644)=0,"",SUM((COUNTIF(Q$4:Q671,Upgrades!$B$3:$B$13)-COUNTIF(Q$4:Q671,"Sell_"&amp;Upgrades!$B$3:$B$13))*Upgrades!$D$3:$D$13))</f>
        <v/>
      </c>
      <c r="T671" s="66" t="str">
        <f>IFERROR(__xludf.DUMMYFUNCTION("IF(COUNTA(Q671:Q1644)=0,"""",IF(REGEXMATCH(INDEX(FILTER(Q$4:Q671,Q$4:Q671&lt;&gt;""""),ROWS(FILTER(Q$4:Q671,Q$4:Q671&lt;&gt;""""))),""^Sell_""),INDEX(FILTER(T$4:T670,Q$4:Q670&lt;&gt;""""),ROWS(FILTER(Q$4:Q670,Q$4:Q670&lt;&gt;""""))),$AD$5+S671))"),"")</f>
        <v/>
      </c>
      <c r="U671" s="10" t="str">
        <f>IFERROR(__xludf.DUMMYFUNCTION("IF(COUNTA(Q671:Q1644)=0,"""",IF(Q671="""",0,IF(REGEXMATCH(Q671,""^Sell_""),-ROUNDDOWN(ROUNDUP(INDEX(Upgrades!$C$3:$C$13,MATCH(SUBSTITUTE(Q671,""Sell_"",""""),Upgrades!$B$3:$B$13,0))*1.15^(COUNTIF(Q$4:Q670,SUBSTITUTE(Q671,""Sell_"",""""))-COUNTIF(Q$4:Q670,"&amp;"""Sell_""&amp;SUBSTITUTE(Q671,""Sell_"",""""))))/2),ROUNDUP(INDEX(Upgrades!$C$3:$C$13,MATCH(Q671,Upgrades!$B$3:$B$13,0))*1.15^(COUNTIF(Q$4:Q670,Q671)-COUNTIF(Q$4:Q670,""Sell_""&amp;Q671))))))"),"")</f>
        <v/>
      </c>
      <c r="V671" s="10" t="str">
        <f t="shared" si="11"/>
        <v/>
      </c>
      <c r="W671" s="68" t="str">
        <f t="shared" si="12"/>
        <v/>
      </c>
      <c r="X671" s="59" t="str">
        <f t="shared" si="13"/>
        <v/>
      </c>
      <c r="Y671" s="69" t="str">
        <f t="shared" si="14"/>
        <v/>
      </c>
      <c r="Z671" s="11"/>
      <c r="AG671" s="59"/>
    </row>
    <row r="672">
      <c r="A672" s="8"/>
      <c r="B672" s="56" t="str">
        <f t="shared" si="2"/>
        <v/>
      </c>
      <c r="C672" s="105"/>
      <c r="D672" s="10"/>
      <c r="E672" s="59" t="str">
        <f t="array" ref="E672">IF(COUNTA(C672:C1644)=0,"",SUM((COUNTIF(C$4:C672,Upgrades!$B$3:$B$13)-COUNTIF(C$4:C672,"Sell_"&amp;Upgrades!$B$3:$B$13))*Upgrades!$D$3:$D$13))</f>
        <v/>
      </c>
      <c r="F672" s="66" t="str">
        <f>IFERROR(__xludf.DUMMYFUNCTION("IF(COUNTA(C672:C1644)=0,"""",IF(REGEXMATCH(INDEX(FILTER(C$4:C672,C$4:C672&lt;&gt;""""),ROWS(FILTER(C$4:C672,C$4:C672&lt;&gt;""""))),""^Sell_""),INDEX(FILTER(F$4:F671,C$4:C671&lt;&gt;""""),ROWS(FILTER(C$4:C671,C$4:C671&lt;&gt;""""))),$AC$5+E672))"),"")</f>
        <v/>
      </c>
      <c r="G672" s="10" t="str">
        <f>IFERROR(__xludf.DUMMYFUNCTION("IF(COUNTA(C672:C1644)=0,"""",IF(C672="""",0,IF(REGEXMATCH(C672,""^Sell_""),-ROUNDDOWN(ROUNDUP(INDEX(Upgrades!$C$3:$C$13,MATCH(SUBSTITUTE(C672,""Sell_"",""""),Upgrades!$B$3:$B$13,0))*1.15^(COUNTIF(C$4:C671,SUBSTITUTE(C672,""Sell_"",""""))-COUNTIF(C$4:C671,"&amp;"""Sell_""&amp;SUBSTITUTE(C672,""Sell_"",""""))))/2),ROUNDUP(INDEX(Upgrades!$C$3:$C$13,MATCH(C672,Upgrades!$B$3:$B$13,0))*1.15^(COUNTIF(C$4:C671,C672)-COUNTIF(C$4:C671,""Sell_""&amp;C672))))))"),"")</f>
        <v/>
      </c>
      <c r="H672" s="10" t="str">
        <f t="shared" si="3"/>
        <v/>
      </c>
      <c r="I672" s="68" t="str">
        <f t="shared" si="4"/>
        <v/>
      </c>
      <c r="J672" s="59" t="str">
        <f t="shared" si="5"/>
        <v/>
      </c>
      <c r="K672" s="69" t="str">
        <f t="shared" si="6"/>
        <v/>
      </c>
      <c r="L672" s="60" t="str">
        <f t="shared" si="7"/>
        <v/>
      </c>
      <c r="M672" s="61" t="str">
        <f>IFERROR(__xludf.DUMMYFUNCTION("IFS(AND(COUNTA(C672:C1644)=0,COUNTA(Q672:Q1644)=0),"""",OR(AND(K672&gt;=1000000000,OR(Y672&gt;=1000000000,COUNTA(Q672:Q1644)=0)),OR(Y672&gt;=1000000000,AND(COUNTA(C672:C1644)=0,P$3=TRUE))),
ROUNDDOWN((AB$1-AC$1)*MAX(INDEX(T$4:T1644,MATCH(LARGE(FILTER(Y$4:Y1644,Y$4"&amp;":Y1644&lt;1000000000),1),Y$4:Y1644)),INDEX(F$4:F1644,MATCH(LARGE(FILTER(K$4:K1644,K$4:K1644&lt;1000000000),1),K$4:K1644)))),AND(K672&lt;1000000000,COUNTA(C672:C1644)&gt;0,P$3=FALSE),
ROUNDDOWN(INDEX(Y$4:Y1644,MATCH(LARGE(FILTER(W$4:W1644,W$4:W1644&lt;=I672),1),W$4:W1644"&amp;"))+(I672-LARGE(FILTER(W$4:W1644,W$4:W1644&lt;=I672),1))*INDEX(T$4:T1644,MATCH(LARGE(FILTER(W$4:W1644,W$4:W1644&lt;=I672),1),W$4:W1644))-K672),1,
ROUNDDOWN(Y672-INDEX(K$4:K1644,MATCH(LARGE(FILTER(I$4:I1644,I$4:I1644&lt;=W672),1),I$4:I1644))-(W672-LARGE(FILTER(I$4:I"&amp;"1644,I$4:I1644&lt;=W672),1))*INDEX(F$4:F1644,MATCH(LARGE(FILTER(I$4:I1644,I$4:I1644&lt;=W672),1),I$4:I1644))))"),"")</f>
        <v/>
      </c>
      <c r="N672" s="60" t="str">
        <f t="shared" si="8"/>
        <v/>
      </c>
      <c r="O672" s="61" t="str">
        <f t="shared" si="9"/>
        <v/>
      </c>
      <c r="P672" s="56" t="str">
        <f t="shared" si="10"/>
        <v/>
      </c>
      <c r="Q672" s="105"/>
      <c r="R672" s="10"/>
      <c r="S672" s="59" t="str">
        <f t="array" ref="S672">IF(COUNTA(Q672:Q1644)=0,"",SUM((COUNTIF(Q$4:Q672,Upgrades!$B$3:$B$13)-COUNTIF(Q$4:Q672,"Sell_"&amp;Upgrades!$B$3:$B$13))*Upgrades!$D$3:$D$13))</f>
        <v/>
      </c>
      <c r="T672" s="66" t="str">
        <f>IFERROR(__xludf.DUMMYFUNCTION("IF(COUNTA(Q672:Q1644)=0,"""",IF(REGEXMATCH(INDEX(FILTER(Q$4:Q672,Q$4:Q672&lt;&gt;""""),ROWS(FILTER(Q$4:Q672,Q$4:Q672&lt;&gt;""""))),""^Sell_""),INDEX(FILTER(T$4:T671,Q$4:Q671&lt;&gt;""""),ROWS(FILTER(Q$4:Q671,Q$4:Q671&lt;&gt;""""))),$AD$5+S672))"),"")</f>
        <v/>
      </c>
      <c r="U672" s="10" t="str">
        <f>IFERROR(__xludf.DUMMYFUNCTION("IF(COUNTA(Q672:Q1644)=0,"""",IF(Q672="""",0,IF(REGEXMATCH(Q672,""^Sell_""),-ROUNDDOWN(ROUNDUP(INDEX(Upgrades!$C$3:$C$13,MATCH(SUBSTITUTE(Q672,""Sell_"",""""),Upgrades!$B$3:$B$13,0))*1.15^(COUNTIF(Q$4:Q671,SUBSTITUTE(Q672,""Sell_"",""""))-COUNTIF(Q$4:Q671,"&amp;"""Sell_""&amp;SUBSTITUTE(Q672,""Sell_"",""""))))/2),ROUNDUP(INDEX(Upgrades!$C$3:$C$13,MATCH(Q672,Upgrades!$B$3:$B$13,0))*1.15^(COUNTIF(Q$4:Q671,Q672)-COUNTIF(Q$4:Q671,""Sell_""&amp;Q672))))))"),"")</f>
        <v/>
      </c>
      <c r="V672" s="10" t="str">
        <f t="shared" si="11"/>
        <v/>
      </c>
      <c r="W672" s="68" t="str">
        <f t="shared" si="12"/>
        <v/>
      </c>
      <c r="X672" s="59" t="str">
        <f t="shared" si="13"/>
        <v/>
      </c>
      <c r="Y672" s="69" t="str">
        <f t="shared" si="14"/>
        <v/>
      </c>
      <c r="Z672" s="11"/>
      <c r="AG672" s="59"/>
    </row>
    <row r="673">
      <c r="A673" s="8"/>
      <c r="B673" s="56" t="str">
        <f t="shared" si="2"/>
        <v/>
      </c>
      <c r="C673" s="105"/>
      <c r="D673" s="10"/>
      <c r="E673" s="59" t="str">
        <f t="array" ref="E673">IF(COUNTA(C673:C1644)=0,"",SUM((COUNTIF(C$4:C673,Upgrades!$B$3:$B$13)-COUNTIF(C$4:C673,"Sell_"&amp;Upgrades!$B$3:$B$13))*Upgrades!$D$3:$D$13))</f>
        <v/>
      </c>
      <c r="F673" s="66" t="str">
        <f>IFERROR(__xludf.DUMMYFUNCTION("IF(COUNTA(C673:C1644)=0,"""",IF(REGEXMATCH(INDEX(FILTER(C$4:C673,C$4:C673&lt;&gt;""""),ROWS(FILTER(C$4:C673,C$4:C673&lt;&gt;""""))),""^Sell_""),INDEX(FILTER(F$4:F672,C$4:C672&lt;&gt;""""),ROWS(FILTER(C$4:C672,C$4:C672&lt;&gt;""""))),$AC$5+E673))"),"")</f>
        <v/>
      </c>
      <c r="G673" s="10" t="str">
        <f>IFERROR(__xludf.DUMMYFUNCTION("IF(COUNTA(C673:C1644)=0,"""",IF(C673="""",0,IF(REGEXMATCH(C673,""^Sell_""),-ROUNDDOWN(ROUNDUP(INDEX(Upgrades!$C$3:$C$13,MATCH(SUBSTITUTE(C673,""Sell_"",""""),Upgrades!$B$3:$B$13,0))*1.15^(COUNTIF(C$4:C672,SUBSTITUTE(C673,""Sell_"",""""))-COUNTIF(C$4:C672,"&amp;"""Sell_""&amp;SUBSTITUTE(C673,""Sell_"",""""))))/2),ROUNDUP(INDEX(Upgrades!$C$3:$C$13,MATCH(C673,Upgrades!$B$3:$B$13,0))*1.15^(COUNTIF(C$4:C672,C673)-COUNTIF(C$4:C672,""Sell_""&amp;C673))))))"),"")</f>
        <v/>
      </c>
      <c r="H673" s="10" t="str">
        <f t="shared" si="3"/>
        <v/>
      </c>
      <c r="I673" s="68" t="str">
        <f t="shared" si="4"/>
        <v/>
      </c>
      <c r="J673" s="59" t="str">
        <f t="shared" si="5"/>
        <v/>
      </c>
      <c r="K673" s="69" t="str">
        <f t="shared" si="6"/>
        <v/>
      </c>
      <c r="L673" s="60" t="str">
        <f t="shared" si="7"/>
        <v/>
      </c>
      <c r="M673" s="61" t="str">
        <f>IFERROR(__xludf.DUMMYFUNCTION("IFS(AND(COUNTA(C673:C1644)=0,COUNTA(Q673:Q1644)=0),"""",OR(AND(K673&gt;=1000000000,OR(Y673&gt;=1000000000,COUNTA(Q673:Q1644)=0)),OR(Y673&gt;=1000000000,AND(COUNTA(C673:C1644)=0,P$3=TRUE))),
ROUNDDOWN((AB$1-AC$1)*MAX(INDEX(T$4:T1644,MATCH(LARGE(FILTER(Y$4:Y1644,Y$4"&amp;":Y1644&lt;1000000000),1),Y$4:Y1644)),INDEX(F$4:F1644,MATCH(LARGE(FILTER(K$4:K1644,K$4:K1644&lt;1000000000),1),K$4:K1644)))),AND(K673&lt;1000000000,COUNTA(C673:C1644)&gt;0,P$3=FALSE),
ROUNDDOWN(INDEX(Y$4:Y1644,MATCH(LARGE(FILTER(W$4:W1644,W$4:W1644&lt;=I673),1),W$4:W1644"&amp;"))+(I673-LARGE(FILTER(W$4:W1644,W$4:W1644&lt;=I673),1))*INDEX(T$4:T1644,MATCH(LARGE(FILTER(W$4:W1644,W$4:W1644&lt;=I673),1),W$4:W1644))-K673),1,
ROUNDDOWN(Y673-INDEX(K$4:K1644,MATCH(LARGE(FILTER(I$4:I1644,I$4:I1644&lt;=W673),1),I$4:I1644))-(W673-LARGE(FILTER(I$4:I"&amp;"1644,I$4:I1644&lt;=W673),1))*INDEX(F$4:F1644,MATCH(LARGE(FILTER(I$4:I1644,I$4:I1644&lt;=W673),1),I$4:I1644))))"),"")</f>
        <v/>
      </c>
      <c r="N673" s="60" t="str">
        <f t="shared" si="8"/>
        <v/>
      </c>
      <c r="O673" s="61" t="str">
        <f t="shared" si="9"/>
        <v/>
      </c>
      <c r="P673" s="56" t="str">
        <f t="shared" si="10"/>
        <v/>
      </c>
      <c r="Q673" s="105"/>
      <c r="R673" s="10"/>
      <c r="S673" s="59" t="str">
        <f t="array" ref="S673">IF(COUNTA(Q673:Q1644)=0,"",SUM((COUNTIF(Q$4:Q673,Upgrades!$B$3:$B$13)-COUNTIF(Q$4:Q673,"Sell_"&amp;Upgrades!$B$3:$B$13))*Upgrades!$D$3:$D$13))</f>
        <v/>
      </c>
      <c r="T673" s="66" t="str">
        <f>IFERROR(__xludf.DUMMYFUNCTION("IF(COUNTA(Q673:Q1644)=0,"""",IF(REGEXMATCH(INDEX(FILTER(Q$4:Q673,Q$4:Q673&lt;&gt;""""),ROWS(FILTER(Q$4:Q673,Q$4:Q673&lt;&gt;""""))),""^Sell_""),INDEX(FILTER(T$4:T672,Q$4:Q672&lt;&gt;""""),ROWS(FILTER(Q$4:Q672,Q$4:Q672&lt;&gt;""""))),$AD$5+S673))"),"")</f>
        <v/>
      </c>
      <c r="U673" s="10" t="str">
        <f>IFERROR(__xludf.DUMMYFUNCTION("IF(COUNTA(Q673:Q1644)=0,"""",IF(Q673="""",0,IF(REGEXMATCH(Q673,""^Sell_""),-ROUNDDOWN(ROUNDUP(INDEX(Upgrades!$C$3:$C$13,MATCH(SUBSTITUTE(Q673,""Sell_"",""""),Upgrades!$B$3:$B$13,0))*1.15^(COUNTIF(Q$4:Q672,SUBSTITUTE(Q673,""Sell_"",""""))-COUNTIF(Q$4:Q672,"&amp;"""Sell_""&amp;SUBSTITUTE(Q673,""Sell_"",""""))))/2),ROUNDUP(INDEX(Upgrades!$C$3:$C$13,MATCH(Q673,Upgrades!$B$3:$B$13,0))*1.15^(COUNTIF(Q$4:Q672,Q673)-COUNTIF(Q$4:Q672,""Sell_""&amp;Q673))))))"),"")</f>
        <v/>
      </c>
      <c r="V673" s="10" t="str">
        <f t="shared" si="11"/>
        <v/>
      </c>
      <c r="W673" s="68" t="str">
        <f t="shared" si="12"/>
        <v/>
      </c>
      <c r="X673" s="59" t="str">
        <f t="shared" si="13"/>
        <v/>
      </c>
      <c r="Y673" s="69" t="str">
        <f t="shared" si="14"/>
        <v/>
      </c>
      <c r="Z673" s="11"/>
      <c r="AG673" s="59"/>
    </row>
    <row r="674">
      <c r="A674" s="8"/>
      <c r="B674" s="56" t="str">
        <f t="shared" si="2"/>
        <v/>
      </c>
      <c r="C674" s="105"/>
      <c r="D674" s="10"/>
      <c r="E674" s="59" t="str">
        <f t="array" ref="E674">IF(COUNTA(C674:C1644)=0,"",SUM((COUNTIF(C$4:C674,Upgrades!$B$3:$B$13)-COUNTIF(C$4:C674,"Sell_"&amp;Upgrades!$B$3:$B$13))*Upgrades!$D$3:$D$13))</f>
        <v/>
      </c>
      <c r="F674" s="66" t="str">
        <f>IFERROR(__xludf.DUMMYFUNCTION("IF(COUNTA(C674:C1644)=0,"""",IF(REGEXMATCH(INDEX(FILTER(C$4:C674,C$4:C674&lt;&gt;""""),ROWS(FILTER(C$4:C674,C$4:C674&lt;&gt;""""))),""^Sell_""),INDEX(FILTER(F$4:F673,C$4:C673&lt;&gt;""""),ROWS(FILTER(C$4:C673,C$4:C673&lt;&gt;""""))),$AC$5+E674))"),"")</f>
        <v/>
      </c>
      <c r="G674" s="10" t="str">
        <f>IFERROR(__xludf.DUMMYFUNCTION("IF(COUNTA(C674:C1644)=0,"""",IF(C674="""",0,IF(REGEXMATCH(C674,""^Sell_""),-ROUNDDOWN(ROUNDUP(INDEX(Upgrades!$C$3:$C$13,MATCH(SUBSTITUTE(C674,""Sell_"",""""),Upgrades!$B$3:$B$13,0))*1.15^(COUNTIF(C$4:C673,SUBSTITUTE(C674,""Sell_"",""""))-COUNTIF(C$4:C673,"&amp;"""Sell_""&amp;SUBSTITUTE(C674,""Sell_"",""""))))/2),ROUNDUP(INDEX(Upgrades!$C$3:$C$13,MATCH(C674,Upgrades!$B$3:$B$13,0))*1.15^(COUNTIF(C$4:C673,C674)-COUNTIF(C$4:C673,""Sell_""&amp;C674))))))"),"")</f>
        <v/>
      </c>
      <c r="H674" s="10" t="str">
        <f t="shared" si="3"/>
        <v/>
      </c>
      <c r="I674" s="68" t="str">
        <f t="shared" si="4"/>
        <v/>
      </c>
      <c r="J674" s="59" t="str">
        <f t="shared" si="5"/>
        <v/>
      </c>
      <c r="K674" s="69" t="str">
        <f t="shared" si="6"/>
        <v/>
      </c>
      <c r="L674" s="60" t="str">
        <f t="shared" si="7"/>
        <v/>
      </c>
      <c r="M674" s="61" t="str">
        <f>IFERROR(__xludf.DUMMYFUNCTION("IFS(AND(COUNTA(C674:C1644)=0,COUNTA(Q674:Q1644)=0),"""",OR(AND(K674&gt;=1000000000,OR(Y674&gt;=1000000000,COUNTA(Q674:Q1644)=0)),OR(Y674&gt;=1000000000,AND(COUNTA(C674:C1644)=0,P$3=TRUE))),
ROUNDDOWN((AB$1-AC$1)*MAX(INDEX(T$4:T1644,MATCH(LARGE(FILTER(Y$4:Y1644,Y$4"&amp;":Y1644&lt;1000000000),1),Y$4:Y1644)),INDEX(F$4:F1644,MATCH(LARGE(FILTER(K$4:K1644,K$4:K1644&lt;1000000000),1),K$4:K1644)))),AND(K674&lt;1000000000,COUNTA(C674:C1644)&gt;0,P$3=FALSE),
ROUNDDOWN(INDEX(Y$4:Y1644,MATCH(LARGE(FILTER(W$4:W1644,W$4:W1644&lt;=I674),1),W$4:W1644"&amp;"))+(I674-LARGE(FILTER(W$4:W1644,W$4:W1644&lt;=I674),1))*INDEX(T$4:T1644,MATCH(LARGE(FILTER(W$4:W1644,W$4:W1644&lt;=I674),1),W$4:W1644))-K674),1,
ROUNDDOWN(Y674-INDEX(K$4:K1644,MATCH(LARGE(FILTER(I$4:I1644,I$4:I1644&lt;=W674),1),I$4:I1644))-(W674-LARGE(FILTER(I$4:I"&amp;"1644,I$4:I1644&lt;=W674),1))*INDEX(F$4:F1644,MATCH(LARGE(FILTER(I$4:I1644,I$4:I1644&lt;=W674),1),I$4:I1644))))"),"")</f>
        <v/>
      </c>
      <c r="N674" s="60" t="str">
        <f t="shared" si="8"/>
        <v/>
      </c>
      <c r="O674" s="61" t="str">
        <f t="shared" si="9"/>
        <v/>
      </c>
      <c r="P674" s="56" t="str">
        <f t="shared" si="10"/>
        <v/>
      </c>
      <c r="Q674" s="105"/>
      <c r="R674" s="10"/>
      <c r="S674" s="59" t="str">
        <f t="array" ref="S674">IF(COUNTA(Q674:Q1644)=0,"",SUM((COUNTIF(Q$4:Q674,Upgrades!$B$3:$B$13)-COUNTIF(Q$4:Q674,"Sell_"&amp;Upgrades!$B$3:$B$13))*Upgrades!$D$3:$D$13))</f>
        <v/>
      </c>
      <c r="T674" s="66" t="str">
        <f>IFERROR(__xludf.DUMMYFUNCTION("IF(COUNTA(Q674:Q1644)=0,"""",IF(REGEXMATCH(INDEX(FILTER(Q$4:Q674,Q$4:Q674&lt;&gt;""""),ROWS(FILTER(Q$4:Q674,Q$4:Q674&lt;&gt;""""))),""^Sell_""),INDEX(FILTER(T$4:T673,Q$4:Q673&lt;&gt;""""),ROWS(FILTER(Q$4:Q673,Q$4:Q673&lt;&gt;""""))),$AD$5+S674))"),"")</f>
        <v/>
      </c>
      <c r="U674" s="10" t="str">
        <f>IFERROR(__xludf.DUMMYFUNCTION("IF(COUNTA(Q674:Q1644)=0,"""",IF(Q674="""",0,IF(REGEXMATCH(Q674,""^Sell_""),-ROUNDDOWN(ROUNDUP(INDEX(Upgrades!$C$3:$C$13,MATCH(SUBSTITUTE(Q674,""Sell_"",""""),Upgrades!$B$3:$B$13,0))*1.15^(COUNTIF(Q$4:Q673,SUBSTITUTE(Q674,""Sell_"",""""))-COUNTIF(Q$4:Q673,"&amp;"""Sell_""&amp;SUBSTITUTE(Q674,""Sell_"",""""))))/2),ROUNDUP(INDEX(Upgrades!$C$3:$C$13,MATCH(Q674,Upgrades!$B$3:$B$13,0))*1.15^(COUNTIF(Q$4:Q673,Q674)-COUNTIF(Q$4:Q673,""Sell_""&amp;Q674))))))"),"")</f>
        <v/>
      </c>
      <c r="V674" s="10" t="str">
        <f t="shared" si="11"/>
        <v/>
      </c>
      <c r="W674" s="68" t="str">
        <f t="shared" si="12"/>
        <v/>
      </c>
      <c r="X674" s="59" t="str">
        <f t="shared" si="13"/>
        <v/>
      </c>
      <c r="Y674" s="69" t="str">
        <f t="shared" si="14"/>
        <v/>
      </c>
      <c r="Z674" s="11"/>
      <c r="AG674" s="59"/>
    </row>
    <row r="675">
      <c r="A675" s="8"/>
      <c r="B675" s="56" t="str">
        <f t="shared" si="2"/>
        <v/>
      </c>
      <c r="C675" s="105"/>
      <c r="D675" s="10"/>
      <c r="E675" s="59" t="str">
        <f t="array" ref="E675">IF(COUNTA(C675:C1644)=0,"",SUM((COUNTIF(C$4:C675,Upgrades!$B$3:$B$13)-COUNTIF(C$4:C675,"Sell_"&amp;Upgrades!$B$3:$B$13))*Upgrades!$D$3:$D$13))</f>
        <v/>
      </c>
      <c r="F675" s="66" t="str">
        <f>IFERROR(__xludf.DUMMYFUNCTION("IF(COUNTA(C675:C1644)=0,"""",IF(REGEXMATCH(INDEX(FILTER(C$4:C675,C$4:C675&lt;&gt;""""),ROWS(FILTER(C$4:C675,C$4:C675&lt;&gt;""""))),""^Sell_""),INDEX(FILTER(F$4:F674,C$4:C674&lt;&gt;""""),ROWS(FILTER(C$4:C674,C$4:C674&lt;&gt;""""))),$AC$5+E675))"),"")</f>
        <v/>
      </c>
      <c r="G675" s="10" t="str">
        <f>IFERROR(__xludf.DUMMYFUNCTION("IF(COUNTA(C675:C1644)=0,"""",IF(C675="""",0,IF(REGEXMATCH(C675,""^Sell_""),-ROUNDDOWN(ROUNDUP(INDEX(Upgrades!$C$3:$C$13,MATCH(SUBSTITUTE(C675,""Sell_"",""""),Upgrades!$B$3:$B$13,0))*1.15^(COUNTIF(C$4:C674,SUBSTITUTE(C675,""Sell_"",""""))-COUNTIF(C$4:C674,"&amp;"""Sell_""&amp;SUBSTITUTE(C675,""Sell_"",""""))))/2),ROUNDUP(INDEX(Upgrades!$C$3:$C$13,MATCH(C675,Upgrades!$B$3:$B$13,0))*1.15^(COUNTIF(C$4:C674,C675)-COUNTIF(C$4:C674,""Sell_""&amp;C675))))))"),"")</f>
        <v/>
      </c>
      <c r="H675" s="10" t="str">
        <f t="shared" si="3"/>
        <v/>
      </c>
      <c r="I675" s="68" t="str">
        <f t="shared" si="4"/>
        <v/>
      </c>
      <c r="J675" s="59" t="str">
        <f t="shared" si="5"/>
        <v/>
      </c>
      <c r="K675" s="69" t="str">
        <f t="shared" si="6"/>
        <v/>
      </c>
      <c r="L675" s="60" t="str">
        <f t="shared" si="7"/>
        <v/>
      </c>
      <c r="M675" s="61" t="str">
        <f>IFERROR(__xludf.DUMMYFUNCTION("IFS(AND(COUNTA(C675:C1644)=0,COUNTA(Q675:Q1644)=0),"""",OR(AND(K675&gt;=1000000000,OR(Y675&gt;=1000000000,COUNTA(Q675:Q1644)=0)),OR(Y675&gt;=1000000000,AND(COUNTA(C675:C1644)=0,P$3=TRUE))),
ROUNDDOWN((AB$1-AC$1)*MAX(INDEX(T$4:T1644,MATCH(LARGE(FILTER(Y$4:Y1644,Y$4"&amp;":Y1644&lt;1000000000),1),Y$4:Y1644)),INDEX(F$4:F1644,MATCH(LARGE(FILTER(K$4:K1644,K$4:K1644&lt;1000000000),1),K$4:K1644)))),AND(K675&lt;1000000000,COUNTA(C675:C1644)&gt;0,P$3=FALSE),
ROUNDDOWN(INDEX(Y$4:Y1644,MATCH(LARGE(FILTER(W$4:W1644,W$4:W1644&lt;=I675),1),W$4:W1644"&amp;"))+(I675-LARGE(FILTER(W$4:W1644,W$4:W1644&lt;=I675),1))*INDEX(T$4:T1644,MATCH(LARGE(FILTER(W$4:W1644,W$4:W1644&lt;=I675),1),W$4:W1644))-K675),1,
ROUNDDOWN(Y675-INDEX(K$4:K1644,MATCH(LARGE(FILTER(I$4:I1644,I$4:I1644&lt;=W675),1),I$4:I1644))-(W675-LARGE(FILTER(I$4:I"&amp;"1644,I$4:I1644&lt;=W675),1))*INDEX(F$4:F1644,MATCH(LARGE(FILTER(I$4:I1644,I$4:I1644&lt;=W675),1),I$4:I1644))))"),"")</f>
        <v/>
      </c>
      <c r="N675" s="60" t="str">
        <f t="shared" si="8"/>
        <v/>
      </c>
      <c r="O675" s="61" t="str">
        <f t="shared" si="9"/>
        <v/>
      </c>
      <c r="P675" s="56" t="str">
        <f t="shared" si="10"/>
        <v/>
      </c>
      <c r="Q675" s="105"/>
      <c r="R675" s="10"/>
      <c r="S675" s="59" t="str">
        <f t="array" ref="S675">IF(COUNTA(Q675:Q1644)=0,"",SUM((COUNTIF(Q$4:Q675,Upgrades!$B$3:$B$13)-COUNTIF(Q$4:Q675,"Sell_"&amp;Upgrades!$B$3:$B$13))*Upgrades!$D$3:$D$13))</f>
        <v/>
      </c>
      <c r="T675" s="66" t="str">
        <f>IFERROR(__xludf.DUMMYFUNCTION("IF(COUNTA(Q675:Q1644)=0,"""",IF(REGEXMATCH(INDEX(FILTER(Q$4:Q675,Q$4:Q675&lt;&gt;""""),ROWS(FILTER(Q$4:Q675,Q$4:Q675&lt;&gt;""""))),""^Sell_""),INDEX(FILTER(T$4:T674,Q$4:Q674&lt;&gt;""""),ROWS(FILTER(Q$4:Q674,Q$4:Q674&lt;&gt;""""))),$AD$5+S675))"),"")</f>
        <v/>
      </c>
      <c r="U675" s="10" t="str">
        <f>IFERROR(__xludf.DUMMYFUNCTION("IF(COUNTA(Q675:Q1644)=0,"""",IF(Q675="""",0,IF(REGEXMATCH(Q675,""^Sell_""),-ROUNDDOWN(ROUNDUP(INDEX(Upgrades!$C$3:$C$13,MATCH(SUBSTITUTE(Q675,""Sell_"",""""),Upgrades!$B$3:$B$13,0))*1.15^(COUNTIF(Q$4:Q674,SUBSTITUTE(Q675,""Sell_"",""""))-COUNTIF(Q$4:Q674,"&amp;"""Sell_""&amp;SUBSTITUTE(Q675,""Sell_"",""""))))/2),ROUNDUP(INDEX(Upgrades!$C$3:$C$13,MATCH(Q675,Upgrades!$B$3:$B$13,0))*1.15^(COUNTIF(Q$4:Q674,Q675)-COUNTIF(Q$4:Q674,""Sell_""&amp;Q675))))))"),"")</f>
        <v/>
      </c>
      <c r="V675" s="10" t="str">
        <f t="shared" si="11"/>
        <v/>
      </c>
      <c r="W675" s="68" t="str">
        <f t="shared" si="12"/>
        <v/>
      </c>
      <c r="X675" s="59" t="str">
        <f t="shared" si="13"/>
        <v/>
      </c>
      <c r="Y675" s="69" t="str">
        <f t="shared" si="14"/>
        <v/>
      </c>
      <c r="Z675" s="11"/>
      <c r="AG675" s="59"/>
    </row>
    <row r="676">
      <c r="A676" s="8"/>
      <c r="B676" s="56" t="str">
        <f t="shared" si="2"/>
        <v/>
      </c>
      <c r="C676" s="105"/>
      <c r="D676" s="10"/>
      <c r="E676" s="59" t="str">
        <f t="array" ref="E676">IF(COUNTA(C676:C1644)=0,"",SUM((COUNTIF(C$4:C676,Upgrades!$B$3:$B$13)-COUNTIF(C$4:C676,"Sell_"&amp;Upgrades!$B$3:$B$13))*Upgrades!$D$3:$D$13))</f>
        <v/>
      </c>
      <c r="F676" s="66" t="str">
        <f>IFERROR(__xludf.DUMMYFUNCTION("IF(COUNTA(C676:C1644)=0,"""",IF(REGEXMATCH(INDEX(FILTER(C$4:C676,C$4:C676&lt;&gt;""""),ROWS(FILTER(C$4:C676,C$4:C676&lt;&gt;""""))),""^Sell_""),INDEX(FILTER(F$4:F675,C$4:C675&lt;&gt;""""),ROWS(FILTER(C$4:C675,C$4:C675&lt;&gt;""""))),$AC$5+E676))"),"")</f>
        <v/>
      </c>
      <c r="G676" s="10" t="str">
        <f>IFERROR(__xludf.DUMMYFUNCTION("IF(COUNTA(C676:C1644)=0,"""",IF(C676="""",0,IF(REGEXMATCH(C676,""^Sell_""),-ROUNDDOWN(ROUNDUP(INDEX(Upgrades!$C$3:$C$13,MATCH(SUBSTITUTE(C676,""Sell_"",""""),Upgrades!$B$3:$B$13,0))*1.15^(COUNTIF(C$4:C675,SUBSTITUTE(C676,""Sell_"",""""))-COUNTIF(C$4:C675,"&amp;"""Sell_""&amp;SUBSTITUTE(C676,""Sell_"",""""))))/2),ROUNDUP(INDEX(Upgrades!$C$3:$C$13,MATCH(C676,Upgrades!$B$3:$B$13,0))*1.15^(COUNTIF(C$4:C675,C676)-COUNTIF(C$4:C675,""Sell_""&amp;C676))))))"),"")</f>
        <v/>
      </c>
      <c r="H676" s="10" t="str">
        <f t="shared" si="3"/>
        <v/>
      </c>
      <c r="I676" s="68" t="str">
        <f t="shared" si="4"/>
        <v/>
      </c>
      <c r="J676" s="59" t="str">
        <f t="shared" si="5"/>
        <v/>
      </c>
      <c r="K676" s="69" t="str">
        <f t="shared" si="6"/>
        <v/>
      </c>
      <c r="L676" s="60" t="str">
        <f t="shared" si="7"/>
        <v/>
      </c>
      <c r="M676" s="61" t="str">
        <f>IFERROR(__xludf.DUMMYFUNCTION("IFS(AND(COUNTA(C676:C1644)=0,COUNTA(Q676:Q1644)=0),"""",OR(AND(K676&gt;=1000000000,OR(Y676&gt;=1000000000,COUNTA(Q676:Q1644)=0)),OR(Y676&gt;=1000000000,AND(COUNTA(C676:C1644)=0,P$3=TRUE))),
ROUNDDOWN((AB$1-AC$1)*MAX(INDEX(T$4:T1644,MATCH(LARGE(FILTER(Y$4:Y1644,Y$4"&amp;":Y1644&lt;1000000000),1),Y$4:Y1644)),INDEX(F$4:F1644,MATCH(LARGE(FILTER(K$4:K1644,K$4:K1644&lt;1000000000),1),K$4:K1644)))),AND(K676&lt;1000000000,COUNTA(C676:C1644)&gt;0,P$3=FALSE),
ROUNDDOWN(INDEX(Y$4:Y1644,MATCH(LARGE(FILTER(W$4:W1644,W$4:W1644&lt;=I676),1),W$4:W1644"&amp;"))+(I676-LARGE(FILTER(W$4:W1644,W$4:W1644&lt;=I676),1))*INDEX(T$4:T1644,MATCH(LARGE(FILTER(W$4:W1644,W$4:W1644&lt;=I676),1),W$4:W1644))-K676),1,
ROUNDDOWN(Y676-INDEX(K$4:K1644,MATCH(LARGE(FILTER(I$4:I1644,I$4:I1644&lt;=W676),1),I$4:I1644))-(W676-LARGE(FILTER(I$4:I"&amp;"1644,I$4:I1644&lt;=W676),1))*INDEX(F$4:F1644,MATCH(LARGE(FILTER(I$4:I1644,I$4:I1644&lt;=W676),1),I$4:I1644))))"),"")</f>
        <v/>
      </c>
      <c r="N676" s="60" t="str">
        <f t="shared" si="8"/>
        <v/>
      </c>
      <c r="O676" s="61" t="str">
        <f t="shared" si="9"/>
        <v/>
      </c>
      <c r="P676" s="56" t="str">
        <f t="shared" si="10"/>
        <v/>
      </c>
      <c r="Q676" s="105"/>
      <c r="R676" s="10"/>
      <c r="S676" s="59" t="str">
        <f t="array" ref="S676">IF(COUNTA(Q676:Q1644)=0,"",SUM((COUNTIF(Q$4:Q676,Upgrades!$B$3:$B$13)-COUNTIF(Q$4:Q676,"Sell_"&amp;Upgrades!$B$3:$B$13))*Upgrades!$D$3:$D$13))</f>
        <v/>
      </c>
      <c r="T676" s="66" t="str">
        <f>IFERROR(__xludf.DUMMYFUNCTION("IF(COUNTA(Q676:Q1644)=0,"""",IF(REGEXMATCH(INDEX(FILTER(Q$4:Q676,Q$4:Q676&lt;&gt;""""),ROWS(FILTER(Q$4:Q676,Q$4:Q676&lt;&gt;""""))),""^Sell_""),INDEX(FILTER(T$4:T675,Q$4:Q675&lt;&gt;""""),ROWS(FILTER(Q$4:Q675,Q$4:Q675&lt;&gt;""""))),$AD$5+S676))"),"")</f>
        <v/>
      </c>
      <c r="U676" s="10" t="str">
        <f>IFERROR(__xludf.DUMMYFUNCTION("IF(COUNTA(Q676:Q1644)=0,"""",IF(Q676="""",0,IF(REGEXMATCH(Q676,""^Sell_""),-ROUNDDOWN(ROUNDUP(INDEX(Upgrades!$C$3:$C$13,MATCH(SUBSTITUTE(Q676,""Sell_"",""""),Upgrades!$B$3:$B$13,0))*1.15^(COUNTIF(Q$4:Q675,SUBSTITUTE(Q676,""Sell_"",""""))-COUNTIF(Q$4:Q675,"&amp;"""Sell_""&amp;SUBSTITUTE(Q676,""Sell_"",""""))))/2),ROUNDUP(INDEX(Upgrades!$C$3:$C$13,MATCH(Q676,Upgrades!$B$3:$B$13,0))*1.15^(COUNTIF(Q$4:Q675,Q676)-COUNTIF(Q$4:Q675,""Sell_""&amp;Q676))))))"),"")</f>
        <v/>
      </c>
      <c r="V676" s="10" t="str">
        <f t="shared" si="11"/>
        <v/>
      </c>
      <c r="W676" s="68" t="str">
        <f t="shared" si="12"/>
        <v/>
      </c>
      <c r="X676" s="59" t="str">
        <f t="shared" si="13"/>
        <v/>
      </c>
      <c r="Y676" s="69" t="str">
        <f t="shared" si="14"/>
        <v/>
      </c>
      <c r="Z676" s="11"/>
      <c r="AG676" s="59"/>
    </row>
    <row r="677">
      <c r="A677" s="8"/>
      <c r="B677" s="56" t="str">
        <f t="shared" si="2"/>
        <v/>
      </c>
      <c r="C677" s="105"/>
      <c r="D677" s="10"/>
      <c r="E677" s="59" t="str">
        <f t="array" ref="E677">IF(COUNTA(C677:C1644)=0,"",SUM((COUNTIF(C$4:C677,Upgrades!$B$3:$B$13)-COUNTIF(C$4:C677,"Sell_"&amp;Upgrades!$B$3:$B$13))*Upgrades!$D$3:$D$13))</f>
        <v/>
      </c>
      <c r="F677" s="66" t="str">
        <f>IFERROR(__xludf.DUMMYFUNCTION("IF(COUNTA(C677:C1644)=0,"""",IF(REGEXMATCH(INDEX(FILTER(C$4:C677,C$4:C677&lt;&gt;""""),ROWS(FILTER(C$4:C677,C$4:C677&lt;&gt;""""))),""^Sell_""),INDEX(FILTER(F$4:F676,C$4:C676&lt;&gt;""""),ROWS(FILTER(C$4:C676,C$4:C676&lt;&gt;""""))),$AC$5+E677))"),"")</f>
        <v/>
      </c>
      <c r="G677" s="10" t="str">
        <f>IFERROR(__xludf.DUMMYFUNCTION("IF(COUNTA(C677:C1644)=0,"""",IF(C677="""",0,IF(REGEXMATCH(C677,""^Sell_""),-ROUNDDOWN(ROUNDUP(INDEX(Upgrades!$C$3:$C$13,MATCH(SUBSTITUTE(C677,""Sell_"",""""),Upgrades!$B$3:$B$13,0))*1.15^(COUNTIF(C$4:C676,SUBSTITUTE(C677,""Sell_"",""""))-COUNTIF(C$4:C676,"&amp;"""Sell_""&amp;SUBSTITUTE(C677,""Sell_"",""""))))/2),ROUNDUP(INDEX(Upgrades!$C$3:$C$13,MATCH(C677,Upgrades!$B$3:$B$13,0))*1.15^(COUNTIF(C$4:C676,C677)-COUNTIF(C$4:C676,""Sell_""&amp;C677))))))"),"")</f>
        <v/>
      </c>
      <c r="H677" s="10" t="str">
        <f t="shared" si="3"/>
        <v/>
      </c>
      <c r="I677" s="68" t="str">
        <f t="shared" si="4"/>
        <v/>
      </c>
      <c r="J677" s="59" t="str">
        <f t="shared" si="5"/>
        <v/>
      </c>
      <c r="K677" s="69" t="str">
        <f t="shared" si="6"/>
        <v/>
      </c>
      <c r="L677" s="60" t="str">
        <f t="shared" si="7"/>
        <v/>
      </c>
      <c r="M677" s="61" t="str">
        <f>IFERROR(__xludf.DUMMYFUNCTION("IFS(AND(COUNTA(C677:C1644)=0,COUNTA(Q677:Q1644)=0),"""",OR(AND(K677&gt;=1000000000,OR(Y677&gt;=1000000000,COUNTA(Q677:Q1644)=0)),OR(Y677&gt;=1000000000,AND(COUNTA(C677:C1644)=0,P$3=TRUE))),
ROUNDDOWN((AB$1-AC$1)*MAX(INDEX(T$4:T1644,MATCH(LARGE(FILTER(Y$4:Y1644,Y$4"&amp;":Y1644&lt;1000000000),1),Y$4:Y1644)),INDEX(F$4:F1644,MATCH(LARGE(FILTER(K$4:K1644,K$4:K1644&lt;1000000000),1),K$4:K1644)))),AND(K677&lt;1000000000,COUNTA(C677:C1644)&gt;0,P$3=FALSE),
ROUNDDOWN(INDEX(Y$4:Y1644,MATCH(LARGE(FILTER(W$4:W1644,W$4:W1644&lt;=I677),1),W$4:W1644"&amp;"))+(I677-LARGE(FILTER(W$4:W1644,W$4:W1644&lt;=I677),1))*INDEX(T$4:T1644,MATCH(LARGE(FILTER(W$4:W1644,W$4:W1644&lt;=I677),1),W$4:W1644))-K677),1,
ROUNDDOWN(Y677-INDEX(K$4:K1644,MATCH(LARGE(FILTER(I$4:I1644,I$4:I1644&lt;=W677),1),I$4:I1644))-(W677-LARGE(FILTER(I$4:I"&amp;"1644,I$4:I1644&lt;=W677),1))*INDEX(F$4:F1644,MATCH(LARGE(FILTER(I$4:I1644,I$4:I1644&lt;=W677),1),I$4:I1644))))"),"")</f>
        <v/>
      </c>
      <c r="N677" s="60" t="str">
        <f t="shared" si="8"/>
        <v/>
      </c>
      <c r="O677" s="61" t="str">
        <f t="shared" si="9"/>
        <v/>
      </c>
      <c r="P677" s="56" t="str">
        <f t="shared" si="10"/>
        <v/>
      </c>
      <c r="Q677" s="105"/>
      <c r="R677" s="10"/>
      <c r="S677" s="59" t="str">
        <f t="array" ref="S677">IF(COUNTA(Q677:Q1644)=0,"",SUM((COUNTIF(Q$4:Q677,Upgrades!$B$3:$B$13)-COUNTIF(Q$4:Q677,"Sell_"&amp;Upgrades!$B$3:$B$13))*Upgrades!$D$3:$D$13))</f>
        <v/>
      </c>
      <c r="T677" s="66" t="str">
        <f>IFERROR(__xludf.DUMMYFUNCTION("IF(COUNTA(Q677:Q1644)=0,"""",IF(REGEXMATCH(INDEX(FILTER(Q$4:Q677,Q$4:Q677&lt;&gt;""""),ROWS(FILTER(Q$4:Q677,Q$4:Q677&lt;&gt;""""))),""^Sell_""),INDEX(FILTER(T$4:T676,Q$4:Q676&lt;&gt;""""),ROWS(FILTER(Q$4:Q676,Q$4:Q676&lt;&gt;""""))),$AD$5+S677))"),"")</f>
        <v/>
      </c>
      <c r="U677" s="10" t="str">
        <f>IFERROR(__xludf.DUMMYFUNCTION("IF(COUNTA(Q677:Q1644)=0,"""",IF(Q677="""",0,IF(REGEXMATCH(Q677,""^Sell_""),-ROUNDDOWN(ROUNDUP(INDEX(Upgrades!$C$3:$C$13,MATCH(SUBSTITUTE(Q677,""Sell_"",""""),Upgrades!$B$3:$B$13,0))*1.15^(COUNTIF(Q$4:Q676,SUBSTITUTE(Q677,""Sell_"",""""))-COUNTIF(Q$4:Q676,"&amp;"""Sell_""&amp;SUBSTITUTE(Q677,""Sell_"",""""))))/2),ROUNDUP(INDEX(Upgrades!$C$3:$C$13,MATCH(Q677,Upgrades!$B$3:$B$13,0))*1.15^(COUNTIF(Q$4:Q676,Q677)-COUNTIF(Q$4:Q676,""Sell_""&amp;Q677))))))"),"")</f>
        <v/>
      </c>
      <c r="V677" s="10" t="str">
        <f t="shared" si="11"/>
        <v/>
      </c>
      <c r="W677" s="68" t="str">
        <f t="shared" si="12"/>
        <v/>
      </c>
      <c r="X677" s="59" t="str">
        <f t="shared" si="13"/>
        <v/>
      </c>
      <c r="Y677" s="69" t="str">
        <f t="shared" si="14"/>
        <v/>
      </c>
      <c r="Z677" s="11"/>
      <c r="AG677" s="59"/>
    </row>
    <row r="678">
      <c r="A678" s="8"/>
      <c r="B678" s="56" t="str">
        <f t="shared" si="2"/>
        <v/>
      </c>
      <c r="C678" s="105"/>
      <c r="D678" s="10"/>
      <c r="E678" s="59" t="str">
        <f t="array" ref="E678">IF(COUNTA(C678:C1644)=0,"",SUM((COUNTIF(C$4:C678,Upgrades!$B$3:$B$13)-COUNTIF(C$4:C678,"Sell_"&amp;Upgrades!$B$3:$B$13))*Upgrades!$D$3:$D$13))</f>
        <v/>
      </c>
      <c r="F678" s="66" t="str">
        <f>IFERROR(__xludf.DUMMYFUNCTION("IF(COUNTA(C678:C1644)=0,"""",IF(REGEXMATCH(INDEX(FILTER(C$4:C678,C$4:C678&lt;&gt;""""),ROWS(FILTER(C$4:C678,C$4:C678&lt;&gt;""""))),""^Sell_""),INDEX(FILTER(F$4:F677,C$4:C677&lt;&gt;""""),ROWS(FILTER(C$4:C677,C$4:C677&lt;&gt;""""))),$AC$5+E678))"),"")</f>
        <v/>
      </c>
      <c r="G678" s="10" t="str">
        <f>IFERROR(__xludf.DUMMYFUNCTION("IF(COUNTA(C678:C1644)=0,"""",IF(C678="""",0,IF(REGEXMATCH(C678,""^Sell_""),-ROUNDDOWN(ROUNDUP(INDEX(Upgrades!$C$3:$C$13,MATCH(SUBSTITUTE(C678,""Sell_"",""""),Upgrades!$B$3:$B$13,0))*1.15^(COUNTIF(C$4:C677,SUBSTITUTE(C678,""Sell_"",""""))-COUNTIF(C$4:C677,"&amp;"""Sell_""&amp;SUBSTITUTE(C678,""Sell_"",""""))))/2),ROUNDUP(INDEX(Upgrades!$C$3:$C$13,MATCH(C678,Upgrades!$B$3:$B$13,0))*1.15^(COUNTIF(C$4:C677,C678)-COUNTIF(C$4:C677,""Sell_""&amp;C678))))))"),"")</f>
        <v/>
      </c>
      <c r="H678" s="10" t="str">
        <f t="shared" si="3"/>
        <v/>
      </c>
      <c r="I678" s="68" t="str">
        <f t="shared" si="4"/>
        <v/>
      </c>
      <c r="J678" s="59" t="str">
        <f t="shared" si="5"/>
        <v/>
      </c>
      <c r="K678" s="69" t="str">
        <f t="shared" si="6"/>
        <v/>
      </c>
      <c r="L678" s="60" t="str">
        <f t="shared" si="7"/>
        <v/>
      </c>
      <c r="M678" s="61" t="str">
        <f>IFERROR(__xludf.DUMMYFUNCTION("IFS(AND(COUNTA(C678:C1644)=0,COUNTA(Q678:Q1644)=0),"""",OR(AND(K678&gt;=1000000000,OR(Y678&gt;=1000000000,COUNTA(Q678:Q1644)=0)),OR(Y678&gt;=1000000000,AND(COUNTA(C678:C1644)=0,P$3=TRUE))),
ROUNDDOWN((AB$1-AC$1)*MAX(INDEX(T$4:T1644,MATCH(LARGE(FILTER(Y$4:Y1644,Y$4"&amp;":Y1644&lt;1000000000),1),Y$4:Y1644)),INDEX(F$4:F1644,MATCH(LARGE(FILTER(K$4:K1644,K$4:K1644&lt;1000000000),1),K$4:K1644)))),AND(K678&lt;1000000000,COUNTA(C678:C1644)&gt;0,P$3=FALSE),
ROUNDDOWN(INDEX(Y$4:Y1644,MATCH(LARGE(FILTER(W$4:W1644,W$4:W1644&lt;=I678),1),W$4:W1644"&amp;"))+(I678-LARGE(FILTER(W$4:W1644,W$4:W1644&lt;=I678),1))*INDEX(T$4:T1644,MATCH(LARGE(FILTER(W$4:W1644,W$4:W1644&lt;=I678),1),W$4:W1644))-K678),1,
ROUNDDOWN(Y678-INDEX(K$4:K1644,MATCH(LARGE(FILTER(I$4:I1644,I$4:I1644&lt;=W678),1),I$4:I1644))-(W678-LARGE(FILTER(I$4:I"&amp;"1644,I$4:I1644&lt;=W678),1))*INDEX(F$4:F1644,MATCH(LARGE(FILTER(I$4:I1644,I$4:I1644&lt;=W678),1),I$4:I1644))))"),"")</f>
        <v/>
      </c>
      <c r="N678" s="60" t="str">
        <f t="shared" si="8"/>
        <v/>
      </c>
      <c r="O678" s="61" t="str">
        <f t="shared" si="9"/>
        <v/>
      </c>
      <c r="P678" s="56" t="str">
        <f t="shared" si="10"/>
        <v/>
      </c>
      <c r="Q678" s="105"/>
      <c r="R678" s="10"/>
      <c r="S678" s="59" t="str">
        <f t="array" ref="S678">IF(COUNTA(Q678:Q1644)=0,"",SUM((COUNTIF(Q$4:Q678,Upgrades!$B$3:$B$13)-COUNTIF(Q$4:Q678,"Sell_"&amp;Upgrades!$B$3:$B$13))*Upgrades!$D$3:$D$13))</f>
        <v/>
      </c>
      <c r="T678" s="66" t="str">
        <f>IFERROR(__xludf.DUMMYFUNCTION("IF(COUNTA(Q678:Q1644)=0,"""",IF(REGEXMATCH(INDEX(FILTER(Q$4:Q678,Q$4:Q678&lt;&gt;""""),ROWS(FILTER(Q$4:Q678,Q$4:Q678&lt;&gt;""""))),""^Sell_""),INDEX(FILTER(T$4:T677,Q$4:Q677&lt;&gt;""""),ROWS(FILTER(Q$4:Q677,Q$4:Q677&lt;&gt;""""))),$AD$5+S678))"),"")</f>
        <v/>
      </c>
      <c r="U678" s="10" t="str">
        <f>IFERROR(__xludf.DUMMYFUNCTION("IF(COUNTA(Q678:Q1644)=0,"""",IF(Q678="""",0,IF(REGEXMATCH(Q678,""^Sell_""),-ROUNDDOWN(ROUNDUP(INDEX(Upgrades!$C$3:$C$13,MATCH(SUBSTITUTE(Q678,""Sell_"",""""),Upgrades!$B$3:$B$13,0))*1.15^(COUNTIF(Q$4:Q677,SUBSTITUTE(Q678,""Sell_"",""""))-COUNTIF(Q$4:Q677,"&amp;"""Sell_""&amp;SUBSTITUTE(Q678,""Sell_"",""""))))/2),ROUNDUP(INDEX(Upgrades!$C$3:$C$13,MATCH(Q678,Upgrades!$B$3:$B$13,0))*1.15^(COUNTIF(Q$4:Q677,Q678)-COUNTIF(Q$4:Q677,""Sell_""&amp;Q678))))))"),"")</f>
        <v/>
      </c>
      <c r="V678" s="10" t="str">
        <f t="shared" si="11"/>
        <v/>
      </c>
      <c r="W678" s="68" t="str">
        <f t="shared" si="12"/>
        <v/>
      </c>
      <c r="X678" s="59" t="str">
        <f t="shared" si="13"/>
        <v/>
      </c>
      <c r="Y678" s="69" t="str">
        <f t="shared" si="14"/>
        <v/>
      </c>
      <c r="Z678" s="11"/>
      <c r="AG678" s="59"/>
    </row>
    <row r="679">
      <c r="A679" s="8"/>
      <c r="B679" s="56" t="str">
        <f t="shared" si="2"/>
        <v/>
      </c>
      <c r="C679" s="105"/>
      <c r="D679" s="10"/>
      <c r="E679" s="59" t="str">
        <f t="array" ref="E679">IF(COUNTA(C679:C1644)=0,"",SUM((COUNTIF(C$4:C679,Upgrades!$B$3:$B$13)-COUNTIF(C$4:C679,"Sell_"&amp;Upgrades!$B$3:$B$13))*Upgrades!$D$3:$D$13))</f>
        <v/>
      </c>
      <c r="F679" s="66" t="str">
        <f>IFERROR(__xludf.DUMMYFUNCTION("IF(COUNTA(C679:C1644)=0,"""",IF(REGEXMATCH(INDEX(FILTER(C$4:C679,C$4:C679&lt;&gt;""""),ROWS(FILTER(C$4:C679,C$4:C679&lt;&gt;""""))),""^Sell_""),INDEX(FILTER(F$4:F678,C$4:C678&lt;&gt;""""),ROWS(FILTER(C$4:C678,C$4:C678&lt;&gt;""""))),$AC$5+E679))"),"")</f>
        <v/>
      </c>
      <c r="G679" s="10" t="str">
        <f>IFERROR(__xludf.DUMMYFUNCTION("IF(COUNTA(C679:C1644)=0,"""",IF(C679="""",0,IF(REGEXMATCH(C679,""^Sell_""),-ROUNDDOWN(ROUNDUP(INDEX(Upgrades!$C$3:$C$13,MATCH(SUBSTITUTE(C679,""Sell_"",""""),Upgrades!$B$3:$B$13,0))*1.15^(COUNTIF(C$4:C678,SUBSTITUTE(C679,""Sell_"",""""))-COUNTIF(C$4:C678,"&amp;"""Sell_""&amp;SUBSTITUTE(C679,""Sell_"",""""))))/2),ROUNDUP(INDEX(Upgrades!$C$3:$C$13,MATCH(C679,Upgrades!$B$3:$B$13,0))*1.15^(COUNTIF(C$4:C678,C679)-COUNTIF(C$4:C678,""Sell_""&amp;C679))))))"),"")</f>
        <v/>
      </c>
      <c r="H679" s="10" t="str">
        <f t="shared" si="3"/>
        <v/>
      </c>
      <c r="I679" s="68" t="str">
        <f t="shared" si="4"/>
        <v/>
      </c>
      <c r="J679" s="59" t="str">
        <f t="shared" si="5"/>
        <v/>
      </c>
      <c r="K679" s="69" t="str">
        <f t="shared" si="6"/>
        <v/>
      </c>
      <c r="L679" s="60" t="str">
        <f t="shared" si="7"/>
        <v/>
      </c>
      <c r="M679" s="61" t="str">
        <f>IFERROR(__xludf.DUMMYFUNCTION("IFS(AND(COUNTA(C679:C1644)=0,COUNTA(Q679:Q1644)=0),"""",OR(AND(K679&gt;=1000000000,OR(Y679&gt;=1000000000,COUNTA(Q679:Q1644)=0)),OR(Y679&gt;=1000000000,AND(COUNTA(C679:C1644)=0,P$3=TRUE))),
ROUNDDOWN((AB$1-AC$1)*MAX(INDEX(T$4:T1644,MATCH(LARGE(FILTER(Y$4:Y1644,Y$4"&amp;":Y1644&lt;1000000000),1),Y$4:Y1644)),INDEX(F$4:F1644,MATCH(LARGE(FILTER(K$4:K1644,K$4:K1644&lt;1000000000),1),K$4:K1644)))),AND(K679&lt;1000000000,COUNTA(C679:C1644)&gt;0,P$3=FALSE),
ROUNDDOWN(INDEX(Y$4:Y1644,MATCH(LARGE(FILTER(W$4:W1644,W$4:W1644&lt;=I679),1),W$4:W1644"&amp;"))+(I679-LARGE(FILTER(W$4:W1644,W$4:W1644&lt;=I679),1))*INDEX(T$4:T1644,MATCH(LARGE(FILTER(W$4:W1644,W$4:W1644&lt;=I679),1),W$4:W1644))-K679),1,
ROUNDDOWN(Y679-INDEX(K$4:K1644,MATCH(LARGE(FILTER(I$4:I1644,I$4:I1644&lt;=W679),1),I$4:I1644))-(W679-LARGE(FILTER(I$4:I"&amp;"1644,I$4:I1644&lt;=W679),1))*INDEX(F$4:F1644,MATCH(LARGE(FILTER(I$4:I1644,I$4:I1644&lt;=W679),1),I$4:I1644))))"),"")</f>
        <v/>
      </c>
      <c r="N679" s="60" t="str">
        <f t="shared" si="8"/>
        <v/>
      </c>
      <c r="O679" s="61" t="str">
        <f t="shared" si="9"/>
        <v/>
      </c>
      <c r="P679" s="56" t="str">
        <f t="shared" si="10"/>
        <v/>
      </c>
      <c r="Q679" s="105"/>
      <c r="R679" s="10"/>
      <c r="S679" s="59" t="str">
        <f t="array" ref="S679">IF(COUNTA(Q679:Q1644)=0,"",SUM((COUNTIF(Q$4:Q679,Upgrades!$B$3:$B$13)-COUNTIF(Q$4:Q679,"Sell_"&amp;Upgrades!$B$3:$B$13))*Upgrades!$D$3:$D$13))</f>
        <v/>
      </c>
      <c r="T679" s="66" t="str">
        <f>IFERROR(__xludf.DUMMYFUNCTION("IF(COUNTA(Q679:Q1644)=0,"""",IF(REGEXMATCH(INDEX(FILTER(Q$4:Q679,Q$4:Q679&lt;&gt;""""),ROWS(FILTER(Q$4:Q679,Q$4:Q679&lt;&gt;""""))),""^Sell_""),INDEX(FILTER(T$4:T678,Q$4:Q678&lt;&gt;""""),ROWS(FILTER(Q$4:Q678,Q$4:Q678&lt;&gt;""""))),$AD$5+S679))"),"")</f>
        <v/>
      </c>
      <c r="U679" s="10" t="str">
        <f>IFERROR(__xludf.DUMMYFUNCTION("IF(COUNTA(Q679:Q1644)=0,"""",IF(Q679="""",0,IF(REGEXMATCH(Q679,""^Sell_""),-ROUNDDOWN(ROUNDUP(INDEX(Upgrades!$C$3:$C$13,MATCH(SUBSTITUTE(Q679,""Sell_"",""""),Upgrades!$B$3:$B$13,0))*1.15^(COUNTIF(Q$4:Q678,SUBSTITUTE(Q679,""Sell_"",""""))-COUNTIF(Q$4:Q678,"&amp;"""Sell_""&amp;SUBSTITUTE(Q679,""Sell_"",""""))))/2),ROUNDUP(INDEX(Upgrades!$C$3:$C$13,MATCH(Q679,Upgrades!$B$3:$B$13,0))*1.15^(COUNTIF(Q$4:Q678,Q679)-COUNTIF(Q$4:Q678,""Sell_""&amp;Q679))))))"),"")</f>
        <v/>
      </c>
      <c r="V679" s="10" t="str">
        <f t="shared" si="11"/>
        <v/>
      </c>
      <c r="W679" s="68" t="str">
        <f t="shared" si="12"/>
        <v/>
      </c>
      <c r="X679" s="59" t="str">
        <f t="shared" si="13"/>
        <v/>
      </c>
      <c r="Y679" s="69" t="str">
        <f t="shared" si="14"/>
        <v/>
      </c>
      <c r="Z679" s="11"/>
      <c r="AG679" s="59"/>
    </row>
    <row r="680">
      <c r="A680" s="8"/>
      <c r="B680" s="56" t="str">
        <f t="shared" si="2"/>
        <v/>
      </c>
      <c r="C680" s="105"/>
      <c r="D680" s="10"/>
      <c r="E680" s="59" t="str">
        <f t="array" ref="E680">IF(COUNTA(C680:C1644)=0,"",SUM((COUNTIF(C$4:C680,Upgrades!$B$3:$B$13)-COUNTIF(C$4:C680,"Sell_"&amp;Upgrades!$B$3:$B$13))*Upgrades!$D$3:$D$13))</f>
        <v/>
      </c>
      <c r="F680" s="66" t="str">
        <f>IFERROR(__xludf.DUMMYFUNCTION("IF(COUNTA(C680:C1644)=0,"""",IF(REGEXMATCH(INDEX(FILTER(C$4:C680,C$4:C680&lt;&gt;""""),ROWS(FILTER(C$4:C680,C$4:C680&lt;&gt;""""))),""^Sell_""),INDEX(FILTER(F$4:F679,C$4:C679&lt;&gt;""""),ROWS(FILTER(C$4:C679,C$4:C679&lt;&gt;""""))),$AC$5+E680))"),"")</f>
        <v/>
      </c>
      <c r="G680" s="10" t="str">
        <f>IFERROR(__xludf.DUMMYFUNCTION("IF(COUNTA(C680:C1644)=0,"""",IF(C680="""",0,IF(REGEXMATCH(C680,""^Sell_""),-ROUNDDOWN(ROUNDUP(INDEX(Upgrades!$C$3:$C$13,MATCH(SUBSTITUTE(C680,""Sell_"",""""),Upgrades!$B$3:$B$13,0))*1.15^(COUNTIF(C$4:C679,SUBSTITUTE(C680,""Sell_"",""""))-COUNTIF(C$4:C679,"&amp;"""Sell_""&amp;SUBSTITUTE(C680,""Sell_"",""""))))/2),ROUNDUP(INDEX(Upgrades!$C$3:$C$13,MATCH(C680,Upgrades!$B$3:$B$13,0))*1.15^(COUNTIF(C$4:C679,C680)-COUNTIF(C$4:C679,""Sell_""&amp;C680))))))"),"")</f>
        <v/>
      </c>
      <c r="H680" s="10" t="str">
        <f t="shared" si="3"/>
        <v/>
      </c>
      <c r="I680" s="68" t="str">
        <f t="shared" si="4"/>
        <v/>
      </c>
      <c r="J680" s="59" t="str">
        <f t="shared" si="5"/>
        <v/>
      </c>
      <c r="K680" s="69" t="str">
        <f t="shared" si="6"/>
        <v/>
      </c>
      <c r="L680" s="60" t="str">
        <f t="shared" si="7"/>
        <v/>
      </c>
      <c r="M680" s="61" t="str">
        <f>IFERROR(__xludf.DUMMYFUNCTION("IFS(AND(COUNTA(C680:C1644)=0,COUNTA(Q680:Q1644)=0),"""",OR(AND(K680&gt;=1000000000,OR(Y680&gt;=1000000000,COUNTA(Q680:Q1644)=0)),OR(Y680&gt;=1000000000,AND(COUNTA(C680:C1644)=0,P$3=TRUE))),
ROUNDDOWN((AB$1-AC$1)*MAX(INDEX(T$4:T1644,MATCH(LARGE(FILTER(Y$4:Y1644,Y$4"&amp;":Y1644&lt;1000000000),1),Y$4:Y1644)),INDEX(F$4:F1644,MATCH(LARGE(FILTER(K$4:K1644,K$4:K1644&lt;1000000000),1),K$4:K1644)))),AND(K680&lt;1000000000,COUNTA(C680:C1644)&gt;0,P$3=FALSE),
ROUNDDOWN(INDEX(Y$4:Y1644,MATCH(LARGE(FILTER(W$4:W1644,W$4:W1644&lt;=I680),1),W$4:W1644"&amp;"))+(I680-LARGE(FILTER(W$4:W1644,W$4:W1644&lt;=I680),1))*INDEX(T$4:T1644,MATCH(LARGE(FILTER(W$4:W1644,W$4:W1644&lt;=I680),1),W$4:W1644))-K680),1,
ROUNDDOWN(Y680-INDEX(K$4:K1644,MATCH(LARGE(FILTER(I$4:I1644,I$4:I1644&lt;=W680),1),I$4:I1644))-(W680-LARGE(FILTER(I$4:I"&amp;"1644,I$4:I1644&lt;=W680),1))*INDEX(F$4:F1644,MATCH(LARGE(FILTER(I$4:I1644,I$4:I1644&lt;=W680),1),I$4:I1644))))"),"")</f>
        <v/>
      </c>
      <c r="N680" s="60" t="str">
        <f t="shared" si="8"/>
        <v/>
      </c>
      <c r="O680" s="61" t="str">
        <f t="shared" si="9"/>
        <v/>
      </c>
      <c r="P680" s="56" t="str">
        <f t="shared" si="10"/>
        <v/>
      </c>
      <c r="Q680" s="105"/>
      <c r="R680" s="10"/>
      <c r="S680" s="59" t="str">
        <f t="array" ref="S680">IF(COUNTA(Q680:Q1644)=0,"",SUM((COUNTIF(Q$4:Q680,Upgrades!$B$3:$B$13)-COUNTIF(Q$4:Q680,"Sell_"&amp;Upgrades!$B$3:$B$13))*Upgrades!$D$3:$D$13))</f>
        <v/>
      </c>
      <c r="T680" s="66" t="str">
        <f>IFERROR(__xludf.DUMMYFUNCTION("IF(COUNTA(Q680:Q1644)=0,"""",IF(REGEXMATCH(INDEX(FILTER(Q$4:Q680,Q$4:Q680&lt;&gt;""""),ROWS(FILTER(Q$4:Q680,Q$4:Q680&lt;&gt;""""))),""^Sell_""),INDEX(FILTER(T$4:T679,Q$4:Q679&lt;&gt;""""),ROWS(FILTER(Q$4:Q679,Q$4:Q679&lt;&gt;""""))),$AD$5+S680))"),"")</f>
        <v/>
      </c>
      <c r="U680" s="10" t="str">
        <f>IFERROR(__xludf.DUMMYFUNCTION("IF(COUNTA(Q680:Q1644)=0,"""",IF(Q680="""",0,IF(REGEXMATCH(Q680,""^Sell_""),-ROUNDDOWN(ROUNDUP(INDEX(Upgrades!$C$3:$C$13,MATCH(SUBSTITUTE(Q680,""Sell_"",""""),Upgrades!$B$3:$B$13,0))*1.15^(COUNTIF(Q$4:Q679,SUBSTITUTE(Q680,""Sell_"",""""))-COUNTIF(Q$4:Q679,"&amp;"""Sell_""&amp;SUBSTITUTE(Q680,""Sell_"",""""))))/2),ROUNDUP(INDEX(Upgrades!$C$3:$C$13,MATCH(Q680,Upgrades!$B$3:$B$13,0))*1.15^(COUNTIF(Q$4:Q679,Q680)-COUNTIF(Q$4:Q679,""Sell_""&amp;Q680))))))"),"")</f>
        <v/>
      </c>
      <c r="V680" s="10" t="str">
        <f t="shared" si="11"/>
        <v/>
      </c>
      <c r="W680" s="68" t="str">
        <f t="shared" si="12"/>
        <v/>
      </c>
      <c r="X680" s="59" t="str">
        <f t="shared" si="13"/>
        <v/>
      </c>
      <c r="Y680" s="69" t="str">
        <f t="shared" si="14"/>
        <v/>
      </c>
      <c r="Z680" s="11"/>
      <c r="AG680" s="59"/>
    </row>
    <row r="681">
      <c r="A681" s="8"/>
      <c r="B681" s="56" t="str">
        <f t="shared" si="2"/>
        <v/>
      </c>
      <c r="C681" s="105"/>
      <c r="D681" s="10"/>
      <c r="E681" s="59" t="str">
        <f t="array" ref="E681">IF(COUNTA(C681:C1644)=0,"",SUM((COUNTIF(C$4:C681,Upgrades!$B$3:$B$13)-COUNTIF(C$4:C681,"Sell_"&amp;Upgrades!$B$3:$B$13))*Upgrades!$D$3:$D$13))</f>
        <v/>
      </c>
      <c r="F681" s="66" t="str">
        <f>IFERROR(__xludf.DUMMYFUNCTION("IF(COUNTA(C681:C1644)=0,"""",IF(REGEXMATCH(INDEX(FILTER(C$4:C681,C$4:C681&lt;&gt;""""),ROWS(FILTER(C$4:C681,C$4:C681&lt;&gt;""""))),""^Sell_""),INDEX(FILTER(F$4:F680,C$4:C680&lt;&gt;""""),ROWS(FILTER(C$4:C680,C$4:C680&lt;&gt;""""))),$AC$5+E681))"),"")</f>
        <v/>
      </c>
      <c r="G681" s="10" t="str">
        <f>IFERROR(__xludf.DUMMYFUNCTION("IF(COUNTA(C681:C1644)=0,"""",IF(C681="""",0,IF(REGEXMATCH(C681,""^Sell_""),-ROUNDDOWN(ROUNDUP(INDEX(Upgrades!$C$3:$C$13,MATCH(SUBSTITUTE(C681,""Sell_"",""""),Upgrades!$B$3:$B$13,0))*1.15^(COUNTIF(C$4:C680,SUBSTITUTE(C681,""Sell_"",""""))-COUNTIF(C$4:C680,"&amp;"""Sell_""&amp;SUBSTITUTE(C681,""Sell_"",""""))))/2),ROUNDUP(INDEX(Upgrades!$C$3:$C$13,MATCH(C681,Upgrades!$B$3:$B$13,0))*1.15^(COUNTIF(C$4:C680,C681)-COUNTIF(C$4:C680,""Sell_""&amp;C681))))))"),"")</f>
        <v/>
      </c>
      <c r="H681" s="10" t="str">
        <f t="shared" si="3"/>
        <v/>
      </c>
      <c r="I681" s="68" t="str">
        <f t="shared" si="4"/>
        <v/>
      </c>
      <c r="J681" s="59" t="str">
        <f t="shared" si="5"/>
        <v/>
      </c>
      <c r="K681" s="69" t="str">
        <f t="shared" si="6"/>
        <v/>
      </c>
      <c r="L681" s="60" t="str">
        <f t="shared" si="7"/>
        <v/>
      </c>
      <c r="M681" s="61" t="str">
        <f>IFERROR(__xludf.DUMMYFUNCTION("IFS(AND(COUNTA(C681:C1644)=0,COUNTA(Q681:Q1644)=0),"""",OR(AND(K681&gt;=1000000000,OR(Y681&gt;=1000000000,COUNTA(Q681:Q1644)=0)),OR(Y681&gt;=1000000000,AND(COUNTA(C681:C1644)=0,P$3=TRUE))),
ROUNDDOWN((AB$1-AC$1)*MAX(INDEX(T$4:T1644,MATCH(LARGE(FILTER(Y$4:Y1644,Y$4"&amp;":Y1644&lt;1000000000),1),Y$4:Y1644)),INDEX(F$4:F1644,MATCH(LARGE(FILTER(K$4:K1644,K$4:K1644&lt;1000000000),1),K$4:K1644)))),AND(K681&lt;1000000000,COUNTA(C681:C1644)&gt;0,P$3=FALSE),
ROUNDDOWN(INDEX(Y$4:Y1644,MATCH(LARGE(FILTER(W$4:W1644,W$4:W1644&lt;=I681),1),W$4:W1644"&amp;"))+(I681-LARGE(FILTER(W$4:W1644,W$4:W1644&lt;=I681),1))*INDEX(T$4:T1644,MATCH(LARGE(FILTER(W$4:W1644,W$4:W1644&lt;=I681),1),W$4:W1644))-K681),1,
ROUNDDOWN(Y681-INDEX(K$4:K1644,MATCH(LARGE(FILTER(I$4:I1644,I$4:I1644&lt;=W681),1),I$4:I1644))-(W681-LARGE(FILTER(I$4:I"&amp;"1644,I$4:I1644&lt;=W681),1))*INDEX(F$4:F1644,MATCH(LARGE(FILTER(I$4:I1644,I$4:I1644&lt;=W681),1),I$4:I1644))))"),"")</f>
        <v/>
      </c>
      <c r="N681" s="60" t="str">
        <f t="shared" si="8"/>
        <v/>
      </c>
      <c r="O681" s="61" t="str">
        <f t="shared" si="9"/>
        <v/>
      </c>
      <c r="P681" s="56" t="str">
        <f t="shared" si="10"/>
        <v/>
      </c>
      <c r="Q681" s="105"/>
      <c r="R681" s="10"/>
      <c r="S681" s="59" t="str">
        <f t="array" ref="S681">IF(COUNTA(Q681:Q1644)=0,"",SUM((COUNTIF(Q$4:Q681,Upgrades!$B$3:$B$13)-COUNTIF(Q$4:Q681,"Sell_"&amp;Upgrades!$B$3:$B$13))*Upgrades!$D$3:$D$13))</f>
        <v/>
      </c>
      <c r="T681" s="66" t="str">
        <f>IFERROR(__xludf.DUMMYFUNCTION("IF(COUNTA(Q681:Q1644)=0,"""",IF(REGEXMATCH(INDEX(FILTER(Q$4:Q681,Q$4:Q681&lt;&gt;""""),ROWS(FILTER(Q$4:Q681,Q$4:Q681&lt;&gt;""""))),""^Sell_""),INDEX(FILTER(T$4:T680,Q$4:Q680&lt;&gt;""""),ROWS(FILTER(Q$4:Q680,Q$4:Q680&lt;&gt;""""))),$AD$5+S681))"),"")</f>
        <v/>
      </c>
      <c r="U681" s="10" t="str">
        <f>IFERROR(__xludf.DUMMYFUNCTION("IF(COUNTA(Q681:Q1644)=0,"""",IF(Q681="""",0,IF(REGEXMATCH(Q681,""^Sell_""),-ROUNDDOWN(ROUNDUP(INDEX(Upgrades!$C$3:$C$13,MATCH(SUBSTITUTE(Q681,""Sell_"",""""),Upgrades!$B$3:$B$13,0))*1.15^(COUNTIF(Q$4:Q680,SUBSTITUTE(Q681,""Sell_"",""""))-COUNTIF(Q$4:Q680,"&amp;"""Sell_""&amp;SUBSTITUTE(Q681,""Sell_"",""""))))/2),ROUNDUP(INDEX(Upgrades!$C$3:$C$13,MATCH(Q681,Upgrades!$B$3:$B$13,0))*1.15^(COUNTIF(Q$4:Q680,Q681)-COUNTIF(Q$4:Q680,""Sell_""&amp;Q681))))))"),"")</f>
        <v/>
      </c>
      <c r="V681" s="10" t="str">
        <f t="shared" si="11"/>
        <v/>
      </c>
      <c r="W681" s="68" t="str">
        <f t="shared" si="12"/>
        <v/>
      </c>
      <c r="X681" s="59" t="str">
        <f t="shared" si="13"/>
        <v/>
      </c>
      <c r="Y681" s="69" t="str">
        <f t="shared" si="14"/>
        <v/>
      </c>
      <c r="Z681" s="11"/>
      <c r="AG681" s="59"/>
    </row>
    <row r="682">
      <c r="A682" s="8"/>
      <c r="B682" s="56" t="str">
        <f t="shared" si="2"/>
        <v/>
      </c>
      <c r="C682" s="105"/>
      <c r="D682" s="10"/>
      <c r="E682" s="59" t="str">
        <f t="array" ref="E682">IF(COUNTA(C682:C1644)=0,"",SUM((COUNTIF(C$4:C682,Upgrades!$B$3:$B$13)-COUNTIF(C$4:C682,"Sell_"&amp;Upgrades!$B$3:$B$13))*Upgrades!$D$3:$D$13))</f>
        <v/>
      </c>
      <c r="F682" s="66" t="str">
        <f>IFERROR(__xludf.DUMMYFUNCTION("IF(COUNTA(C682:C1644)=0,"""",IF(REGEXMATCH(INDEX(FILTER(C$4:C682,C$4:C682&lt;&gt;""""),ROWS(FILTER(C$4:C682,C$4:C682&lt;&gt;""""))),""^Sell_""),INDEX(FILTER(F$4:F681,C$4:C681&lt;&gt;""""),ROWS(FILTER(C$4:C681,C$4:C681&lt;&gt;""""))),$AC$5+E682))"),"")</f>
        <v/>
      </c>
      <c r="G682" s="10" t="str">
        <f>IFERROR(__xludf.DUMMYFUNCTION("IF(COUNTA(C682:C1644)=0,"""",IF(C682="""",0,IF(REGEXMATCH(C682,""^Sell_""),-ROUNDDOWN(ROUNDUP(INDEX(Upgrades!$C$3:$C$13,MATCH(SUBSTITUTE(C682,""Sell_"",""""),Upgrades!$B$3:$B$13,0))*1.15^(COUNTIF(C$4:C681,SUBSTITUTE(C682,""Sell_"",""""))-COUNTIF(C$4:C681,"&amp;"""Sell_""&amp;SUBSTITUTE(C682,""Sell_"",""""))))/2),ROUNDUP(INDEX(Upgrades!$C$3:$C$13,MATCH(C682,Upgrades!$B$3:$B$13,0))*1.15^(COUNTIF(C$4:C681,C682)-COUNTIF(C$4:C681,""Sell_""&amp;C682))))))"),"")</f>
        <v/>
      </c>
      <c r="H682" s="10" t="str">
        <f t="shared" si="3"/>
        <v/>
      </c>
      <c r="I682" s="68" t="str">
        <f t="shared" si="4"/>
        <v/>
      </c>
      <c r="J682" s="59" t="str">
        <f t="shared" si="5"/>
        <v/>
      </c>
      <c r="K682" s="69" t="str">
        <f t="shared" si="6"/>
        <v/>
      </c>
      <c r="L682" s="60" t="str">
        <f t="shared" si="7"/>
        <v/>
      </c>
      <c r="M682" s="61" t="str">
        <f>IFERROR(__xludf.DUMMYFUNCTION("IFS(AND(COUNTA(C682:C1644)=0,COUNTA(Q682:Q1644)=0),"""",OR(AND(K682&gt;=1000000000,OR(Y682&gt;=1000000000,COUNTA(Q682:Q1644)=0)),OR(Y682&gt;=1000000000,AND(COUNTA(C682:C1644)=0,P$3=TRUE))),
ROUNDDOWN((AB$1-AC$1)*MAX(INDEX(T$4:T1644,MATCH(LARGE(FILTER(Y$4:Y1644,Y$4"&amp;":Y1644&lt;1000000000),1),Y$4:Y1644)),INDEX(F$4:F1644,MATCH(LARGE(FILTER(K$4:K1644,K$4:K1644&lt;1000000000),1),K$4:K1644)))),AND(K682&lt;1000000000,COUNTA(C682:C1644)&gt;0,P$3=FALSE),
ROUNDDOWN(INDEX(Y$4:Y1644,MATCH(LARGE(FILTER(W$4:W1644,W$4:W1644&lt;=I682),1),W$4:W1644"&amp;"))+(I682-LARGE(FILTER(W$4:W1644,W$4:W1644&lt;=I682),1))*INDEX(T$4:T1644,MATCH(LARGE(FILTER(W$4:W1644,W$4:W1644&lt;=I682),1),W$4:W1644))-K682),1,
ROUNDDOWN(Y682-INDEX(K$4:K1644,MATCH(LARGE(FILTER(I$4:I1644,I$4:I1644&lt;=W682),1),I$4:I1644))-(W682-LARGE(FILTER(I$4:I"&amp;"1644,I$4:I1644&lt;=W682),1))*INDEX(F$4:F1644,MATCH(LARGE(FILTER(I$4:I1644,I$4:I1644&lt;=W682),1),I$4:I1644))))"),"")</f>
        <v/>
      </c>
      <c r="N682" s="60" t="str">
        <f t="shared" si="8"/>
        <v/>
      </c>
      <c r="O682" s="61" t="str">
        <f t="shared" si="9"/>
        <v/>
      </c>
      <c r="P682" s="56" t="str">
        <f t="shared" si="10"/>
        <v/>
      </c>
      <c r="Q682" s="105"/>
      <c r="R682" s="10"/>
      <c r="S682" s="59" t="str">
        <f t="array" ref="S682">IF(COUNTA(Q682:Q1644)=0,"",SUM((COUNTIF(Q$4:Q682,Upgrades!$B$3:$B$13)-COUNTIF(Q$4:Q682,"Sell_"&amp;Upgrades!$B$3:$B$13))*Upgrades!$D$3:$D$13))</f>
        <v/>
      </c>
      <c r="T682" s="66" t="str">
        <f>IFERROR(__xludf.DUMMYFUNCTION("IF(COUNTA(Q682:Q1644)=0,"""",IF(REGEXMATCH(INDEX(FILTER(Q$4:Q682,Q$4:Q682&lt;&gt;""""),ROWS(FILTER(Q$4:Q682,Q$4:Q682&lt;&gt;""""))),""^Sell_""),INDEX(FILTER(T$4:T681,Q$4:Q681&lt;&gt;""""),ROWS(FILTER(Q$4:Q681,Q$4:Q681&lt;&gt;""""))),$AD$5+S682))"),"")</f>
        <v/>
      </c>
      <c r="U682" s="10" t="str">
        <f>IFERROR(__xludf.DUMMYFUNCTION("IF(COUNTA(Q682:Q1644)=0,"""",IF(Q682="""",0,IF(REGEXMATCH(Q682,""^Sell_""),-ROUNDDOWN(ROUNDUP(INDEX(Upgrades!$C$3:$C$13,MATCH(SUBSTITUTE(Q682,""Sell_"",""""),Upgrades!$B$3:$B$13,0))*1.15^(COUNTIF(Q$4:Q681,SUBSTITUTE(Q682,""Sell_"",""""))-COUNTIF(Q$4:Q681,"&amp;"""Sell_""&amp;SUBSTITUTE(Q682,""Sell_"",""""))))/2),ROUNDUP(INDEX(Upgrades!$C$3:$C$13,MATCH(Q682,Upgrades!$B$3:$B$13,0))*1.15^(COUNTIF(Q$4:Q681,Q682)-COUNTIF(Q$4:Q681,""Sell_""&amp;Q682))))))"),"")</f>
        <v/>
      </c>
      <c r="V682" s="10" t="str">
        <f t="shared" si="11"/>
        <v/>
      </c>
      <c r="W682" s="68" t="str">
        <f t="shared" si="12"/>
        <v/>
      </c>
      <c r="X682" s="59" t="str">
        <f t="shared" si="13"/>
        <v/>
      </c>
      <c r="Y682" s="69" t="str">
        <f t="shared" si="14"/>
        <v/>
      </c>
      <c r="Z682" s="11"/>
      <c r="AG682" s="59"/>
    </row>
    <row r="683">
      <c r="A683" s="8"/>
      <c r="B683" s="56" t="str">
        <f t="shared" si="2"/>
        <v/>
      </c>
      <c r="C683" s="105"/>
      <c r="D683" s="10"/>
      <c r="E683" s="59" t="str">
        <f t="array" ref="E683">IF(COUNTA(C683:C1644)=0,"",SUM((COUNTIF(C$4:C683,Upgrades!$B$3:$B$13)-COUNTIF(C$4:C683,"Sell_"&amp;Upgrades!$B$3:$B$13))*Upgrades!$D$3:$D$13))</f>
        <v/>
      </c>
      <c r="F683" s="66" t="str">
        <f>IFERROR(__xludf.DUMMYFUNCTION("IF(COUNTA(C683:C1644)=0,"""",IF(REGEXMATCH(INDEX(FILTER(C$4:C683,C$4:C683&lt;&gt;""""),ROWS(FILTER(C$4:C683,C$4:C683&lt;&gt;""""))),""^Sell_""),INDEX(FILTER(F$4:F682,C$4:C682&lt;&gt;""""),ROWS(FILTER(C$4:C682,C$4:C682&lt;&gt;""""))),$AC$5+E683))"),"")</f>
        <v/>
      </c>
      <c r="G683" s="10" t="str">
        <f>IFERROR(__xludf.DUMMYFUNCTION("IF(COUNTA(C683:C1644)=0,"""",IF(C683="""",0,IF(REGEXMATCH(C683,""^Sell_""),-ROUNDDOWN(ROUNDUP(INDEX(Upgrades!$C$3:$C$13,MATCH(SUBSTITUTE(C683,""Sell_"",""""),Upgrades!$B$3:$B$13,0))*1.15^(COUNTIF(C$4:C682,SUBSTITUTE(C683,""Sell_"",""""))-COUNTIF(C$4:C682,"&amp;"""Sell_""&amp;SUBSTITUTE(C683,""Sell_"",""""))))/2),ROUNDUP(INDEX(Upgrades!$C$3:$C$13,MATCH(C683,Upgrades!$B$3:$B$13,0))*1.15^(COUNTIF(C$4:C682,C683)-COUNTIF(C$4:C682,""Sell_""&amp;C683))))))"),"")</f>
        <v/>
      </c>
      <c r="H683" s="10" t="str">
        <f t="shared" si="3"/>
        <v/>
      </c>
      <c r="I683" s="68" t="str">
        <f t="shared" si="4"/>
        <v/>
      </c>
      <c r="J683" s="59" t="str">
        <f t="shared" si="5"/>
        <v/>
      </c>
      <c r="K683" s="69" t="str">
        <f t="shared" si="6"/>
        <v/>
      </c>
      <c r="L683" s="60" t="str">
        <f t="shared" si="7"/>
        <v/>
      </c>
      <c r="M683" s="61" t="str">
        <f>IFERROR(__xludf.DUMMYFUNCTION("IFS(AND(COUNTA(C683:C1644)=0,COUNTA(Q683:Q1644)=0),"""",OR(AND(K683&gt;=1000000000,OR(Y683&gt;=1000000000,COUNTA(Q683:Q1644)=0)),OR(Y683&gt;=1000000000,AND(COUNTA(C683:C1644)=0,P$3=TRUE))),
ROUNDDOWN((AB$1-AC$1)*MAX(INDEX(T$4:T1644,MATCH(LARGE(FILTER(Y$4:Y1644,Y$4"&amp;":Y1644&lt;1000000000),1),Y$4:Y1644)),INDEX(F$4:F1644,MATCH(LARGE(FILTER(K$4:K1644,K$4:K1644&lt;1000000000),1),K$4:K1644)))),AND(K683&lt;1000000000,COUNTA(C683:C1644)&gt;0,P$3=FALSE),
ROUNDDOWN(INDEX(Y$4:Y1644,MATCH(LARGE(FILTER(W$4:W1644,W$4:W1644&lt;=I683),1),W$4:W1644"&amp;"))+(I683-LARGE(FILTER(W$4:W1644,W$4:W1644&lt;=I683),1))*INDEX(T$4:T1644,MATCH(LARGE(FILTER(W$4:W1644,W$4:W1644&lt;=I683),1),W$4:W1644))-K683),1,
ROUNDDOWN(Y683-INDEX(K$4:K1644,MATCH(LARGE(FILTER(I$4:I1644,I$4:I1644&lt;=W683),1),I$4:I1644))-(W683-LARGE(FILTER(I$4:I"&amp;"1644,I$4:I1644&lt;=W683),1))*INDEX(F$4:F1644,MATCH(LARGE(FILTER(I$4:I1644,I$4:I1644&lt;=W683),1),I$4:I1644))))"),"")</f>
        <v/>
      </c>
      <c r="N683" s="60" t="str">
        <f t="shared" si="8"/>
        <v/>
      </c>
      <c r="O683" s="61" t="str">
        <f t="shared" si="9"/>
        <v/>
      </c>
      <c r="P683" s="56" t="str">
        <f t="shared" si="10"/>
        <v/>
      </c>
      <c r="Q683" s="105"/>
      <c r="R683" s="10"/>
      <c r="S683" s="59" t="str">
        <f t="array" ref="S683">IF(COUNTA(Q683:Q1644)=0,"",SUM((COUNTIF(Q$4:Q683,Upgrades!$B$3:$B$13)-COUNTIF(Q$4:Q683,"Sell_"&amp;Upgrades!$B$3:$B$13))*Upgrades!$D$3:$D$13))</f>
        <v/>
      </c>
      <c r="T683" s="66" t="str">
        <f>IFERROR(__xludf.DUMMYFUNCTION("IF(COUNTA(Q683:Q1644)=0,"""",IF(REGEXMATCH(INDEX(FILTER(Q$4:Q683,Q$4:Q683&lt;&gt;""""),ROWS(FILTER(Q$4:Q683,Q$4:Q683&lt;&gt;""""))),""^Sell_""),INDEX(FILTER(T$4:T682,Q$4:Q682&lt;&gt;""""),ROWS(FILTER(Q$4:Q682,Q$4:Q682&lt;&gt;""""))),$AD$5+S683))"),"")</f>
        <v/>
      </c>
      <c r="U683" s="10" t="str">
        <f>IFERROR(__xludf.DUMMYFUNCTION("IF(COUNTA(Q683:Q1644)=0,"""",IF(Q683="""",0,IF(REGEXMATCH(Q683,""^Sell_""),-ROUNDDOWN(ROUNDUP(INDEX(Upgrades!$C$3:$C$13,MATCH(SUBSTITUTE(Q683,""Sell_"",""""),Upgrades!$B$3:$B$13,0))*1.15^(COUNTIF(Q$4:Q682,SUBSTITUTE(Q683,""Sell_"",""""))-COUNTIF(Q$4:Q682,"&amp;"""Sell_""&amp;SUBSTITUTE(Q683,""Sell_"",""""))))/2),ROUNDUP(INDEX(Upgrades!$C$3:$C$13,MATCH(Q683,Upgrades!$B$3:$B$13,0))*1.15^(COUNTIF(Q$4:Q682,Q683)-COUNTIF(Q$4:Q682,""Sell_""&amp;Q683))))))"),"")</f>
        <v/>
      </c>
      <c r="V683" s="10" t="str">
        <f t="shared" si="11"/>
        <v/>
      </c>
      <c r="W683" s="68" t="str">
        <f t="shared" si="12"/>
        <v/>
      </c>
      <c r="X683" s="59" t="str">
        <f t="shared" si="13"/>
        <v/>
      </c>
      <c r="Y683" s="69" t="str">
        <f t="shared" si="14"/>
        <v/>
      </c>
      <c r="Z683" s="11"/>
      <c r="AG683" s="59"/>
    </row>
    <row r="684">
      <c r="A684" s="8"/>
      <c r="B684" s="56" t="str">
        <f t="shared" si="2"/>
        <v/>
      </c>
      <c r="C684" s="105"/>
      <c r="D684" s="10"/>
      <c r="E684" s="59" t="str">
        <f t="array" ref="E684">IF(COUNTA(C684:C1644)=0,"",SUM((COUNTIF(C$4:C684,Upgrades!$B$3:$B$13)-COUNTIF(C$4:C684,"Sell_"&amp;Upgrades!$B$3:$B$13))*Upgrades!$D$3:$D$13))</f>
        <v/>
      </c>
      <c r="F684" s="66" t="str">
        <f>IFERROR(__xludf.DUMMYFUNCTION("IF(COUNTA(C684:C1644)=0,"""",IF(REGEXMATCH(INDEX(FILTER(C$4:C684,C$4:C684&lt;&gt;""""),ROWS(FILTER(C$4:C684,C$4:C684&lt;&gt;""""))),""^Sell_""),INDEX(FILTER(F$4:F683,C$4:C683&lt;&gt;""""),ROWS(FILTER(C$4:C683,C$4:C683&lt;&gt;""""))),$AC$5+E684))"),"")</f>
        <v/>
      </c>
      <c r="G684" s="10" t="str">
        <f>IFERROR(__xludf.DUMMYFUNCTION("IF(COUNTA(C684:C1644)=0,"""",IF(C684="""",0,IF(REGEXMATCH(C684,""^Sell_""),-ROUNDDOWN(ROUNDUP(INDEX(Upgrades!$C$3:$C$13,MATCH(SUBSTITUTE(C684,""Sell_"",""""),Upgrades!$B$3:$B$13,0))*1.15^(COUNTIF(C$4:C683,SUBSTITUTE(C684,""Sell_"",""""))-COUNTIF(C$4:C683,"&amp;"""Sell_""&amp;SUBSTITUTE(C684,""Sell_"",""""))))/2),ROUNDUP(INDEX(Upgrades!$C$3:$C$13,MATCH(C684,Upgrades!$B$3:$B$13,0))*1.15^(COUNTIF(C$4:C683,C684)-COUNTIF(C$4:C683,""Sell_""&amp;C684))))))"),"")</f>
        <v/>
      </c>
      <c r="H684" s="10" t="str">
        <f t="shared" si="3"/>
        <v/>
      </c>
      <c r="I684" s="68" t="str">
        <f t="shared" si="4"/>
        <v/>
      </c>
      <c r="J684" s="59" t="str">
        <f t="shared" si="5"/>
        <v/>
      </c>
      <c r="K684" s="69" t="str">
        <f t="shared" si="6"/>
        <v/>
      </c>
      <c r="L684" s="60" t="str">
        <f t="shared" si="7"/>
        <v/>
      </c>
      <c r="M684" s="61" t="str">
        <f>IFERROR(__xludf.DUMMYFUNCTION("IFS(AND(COUNTA(C684:C1644)=0,COUNTA(Q684:Q1644)=0),"""",OR(AND(K684&gt;=1000000000,OR(Y684&gt;=1000000000,COUNTA(Q684:Q1644)=0)),OR(Y684&gt;=1000000000,AND(COUNTA(C684:C1644)=0,P$3=TRUE))),
ROUNDDOWN((AB$1-AC$1)*MAX(INDEX(T$4:T1644,MATCH(LARGE(FILTER(Y$4:Y1644,Y$4"&amp;":Y1644&lt;1000000000),1),Y$4:Y1644)),INDEX(F$4:F1644,MATCH(LARGE(FILTER(K$4:K1644,K$4:K1644&lt;1000000000),1),K$4:K1644)))),AND(K684&lt;1000000000,COUNTA(C684:C1644)&gt;0,P$3=FALSE),
ROUNDDOWN(INDEX(Y$4:Y1644,MATCH(LARGE(FILTER(W$4:W1644,W$4:W1644&lt;=I684),1),W$4:W1644"&amp;"))+(I684-LARGE(FILTER(W$4:W1644,W$4:W1644&lt;=I684),1))*INDEX(T$4:T1644,MATCH(LARGE(FILTER(W$4:W1644,W$4:W1644&lt;=I684),1),W$4:W1644))-K684),1,
ROUNDDOWN(Y684-INDEX(K$4:K1644,MATCH(LARGE(FILTER(I$4:I1644,I$4:I1644&lt;=W684),1),I$4:I1644))-(W684-LARGE(FILTER(I$4:I"&amp;"1644,I$4:I1644&lt;=W684),1))*INDEX(F$4:F1644,MATCH(LARGE(FILTER(I$4:I1644,I$4:I1644&lt;=W684),1),I$4:I1644))))"),"")</f>
        <v/>
      </c>
      <c r="N684" s="60" t="str">
        <f t="shared" si="8"/>
        <v/>
      </c>
      <c r="O684" s="61" t="str">
        <f t="shared" si="9"/>
        <v/>
      </c>
      <c r="P684" s="56" t="str">
        <f t="shared" si="10"/>
        <v/>
      </c>
      <c r="Q684" s="105"/>
      <c r="R684" s="10"/>
      <c r="S684" s="59" t="str">
        <f t="array" ref="S684">IF(COUNTA(Q684:Q1644)=0,"",SUM((COUNTIF(Q$4:Q684,Upgrades!$B$3:$B$13)-COUNTIF(Q$4:Q684,"Sell_"&amp;Upgrades!$B$3:$B$13))*Upgrades!$D$3:$D$13))</f>
        <v/>
      </c>
      <c r="T684" s="66" t="str">
        <f>IFERROR(__xludf.DUMMYFUNCTION("IF(COUNTA(Q684:Q1644)=0,"""",IF(REGEXMATCH(INDEX(FILTER(Q$4:Q684,Q$4:Q684&lt;&gt;""""),ROWS(FILTER(Q$4:Q684,Q$4:Q684&lt;&gt;""""))),""^Sell_""),INDEX(FILTER(T$4:T683,Q$4:Q683&lt;&gt;""""),ROWS(FILTER(Q$4:Q683,Q$4:Q683&lt;&gt;""""))),$AD$5+S684))"),"")</f>
        <v/>
      </c>
      <c r="U684" s="10" t="str">
        <f>IFERROR(__xludf.DUMMYFUNCTION("IF(COUNTA(Q684:Q1644)=0,"""",IF(Q684="""",0,IF(REGEXMATCH(Q684,""^Sell_""),-ROUNDDOWN(ROUNDUP(INDEX(Upgrades!$C$3:$C$13,MATCH(SUBSTITUTE(Q684,""Sell_"",""""),Upgrades!$B$3:$B$13,0))*1.15^(COUNTIF(Q$4:Q683,SUBSTITUTE(Q684,""Sell_"",""""))-COUNTIF(Q$4:Q683,"&amp;"""Sell_""&amp;SUBSTITUTE(Q684,""Sell_"",""""))))/2),ROUNDUP(INDEX(Upgrades!$C$3:$C$13,MATCH(Q684,Upgrades!$B$3:$B$13,0))*1.15^(COUNTIF(Q$4:Q683,Q684)-COUNTIF(Q$4:Q683,""Sell_""&amp;Q684))))))"),"")</f>
        <v/>
      </c>
      <c r="V684" s="10" t="str">
        <f t="shared" si="11"/>
        <v/>
      </c>
      <c r="W684" s="68" t="str">
        <f t="shared" si="12"/>
        <v/>
      </c>
      <c r="X684" s="59" t="str">
        <f t="shared" si="13"/>
        <v/>
      </c>
      <c r="Y684" s="69" t="str">
        <f t="shared" si="14"/>
        <v/>
      </c>
      <c r="Z684" s="11"/>
      <c r="AG684" s="59"/>
    </row>
    <row r="685">
      <c r="A685" s="8"/>
      <c r="B685" s="56" t="str">
        <f t="shared" si="2"/>
        <v/>
      </c>
      <c r="C685" s="105"/>
      <c r="D685" s="10"/>
      <c r="E685" s="59" t="str">
        <f t="array" ref="E685">IF(COUNTA(C685:C1644)=0,"",SUM((COUNTIF(C$4:C685,Upgrades!$B$3:$B$13)-COUNTIF(C$4:C685,"Sell_"&amp;Upgrades!$B$3:$B$13))*Upgrades!$D$3:$D$13))</f>
        <v/>
      </c>
      <c r="F685" s="66" t="str">
        <f>IFERROR(__xludf.DUMMYFUNCTION("IF(COUNTA(C685:C1644)=0,"""",IF(REGEXMATCH(INDEX(FILTER(C$4:C685,C$4:C685&lt;&gt;""""),ROWS(FILTER(C$4:C685,C$4:C685&lt;&gt;""""))),""^Sell_""),INDEX(FILTER(F$4:F684,C$4:C684&lt;&gt;""""),ROWS(FILTER(C$4:C684,C$4:C684&lt;&gt;""""))),$AC$5+E685))"),"")</f>
        <v/>
      </c>
      <c r="G685" s="10" t="str">
        <f>IFERROR(__xludf.DUMMYFUNCTION("IF(COUNTA(C685:C1644)=0,"""",IF(C685="""",0,IF(REGEXMATCH(C685,""^Sell_""),-ROUNDDOWN(ROUNDUP(INDEX(Upgrades!$C$3:$C$13,MATCH(SUBSTITUTE(C685,""Sell_"",""""),Upgrades!$B$3:$B$13,0))*1.15^(COUNTIF(C$4:C684,SUBSTITUTE(C685,""Sell_"",""""))-COUNTIF(C$4:C684,"&amp;"""Sell_""&amp;SUBSTITUTE(C685,""Sell_"",""""))))/2),ROUNDUP(INDEX(Upgrades!$C$3:$C$13,MATCH(C685,Upgrades!$B$3:$B$13,0))*1.15^(COUNTIF(C$4:C684,C685)-COUNTIF(C$4:C684,""Sell_""&amp;C685))))))"),"")</f>
        <v/>
      </c>
      <c r="H685" s="10" t="str">
        <f t="shared" si="3"/>
        <v/>
      </c>
      <c r="I685" s="68" t="str">
        <f t="shared" si="4"/>
        <v/>
      </c>
      <c r="J685" s="59" t="str">
        <f t="shared" si="5"/>
        <v/>
      </c>
      <c r="K685" s="69" t="str">
        <f t="shared" si="6"/>
        <v/>
      </c>
      <c r="L685" s="60" t="str">
        <f t="shared" si="7"/>
        <v/>
      </c>
      <c r="M685" s="61" t="str">
        <f>IFERROR(__xludf.DUMMYFUNCTION("IFS(AND(COUNTA(C685:C1644)=0,COUNTA(Q685:Q1644)=0),"""",OR(AND(K685&gt;=1000000000,OR(Y685&gt;=1000000000,COUNTA(Q685:Q1644)=0)),OR(Y685&gt;=1000000000,AND(COUNTA(C685:C1644)=0,P$3=TRUE))),
ROUNDDOWN((AB$1-AC$1)*MAX(INDEX(T$4:T1644,MATCH(LARGE(FILTER(Y$4:Y1644,Y$4"&amp;":Y1644&lt;1000000000),1),Y$4:Y1644)),INDEX(F$4:F1644,MATCH(LARGE(FILTER(K$4:K1644,K$4:K1644&lt;1000000000),1),K$4:K1644)))),AND(K685&lt;1000000000,COUNTA(C685:C1644)&gt;0,P$3=FALSE),
ROUNDDOWN(INDEX(Y$4:Y1644,MATCH(LARGE(FILTER(W$4:W1644,W$4:W1644&lt;=I685),1),W$4:W1644"&amp;"))+(I685-LARGE(FILTER(W$4:W1644,W$4:W1644&lt;=I685),1))*INDEX(T$4:T1644,MATCH(LARGE(FILTER(W$4:W1644,W$4:W1644&lt;=I685),1),W$4:W1644))-K685),1,
ROUNDDOWN(Y685-INDEX(K$4:K1644,MATCH(LARGE(FILTER(I$4:I1644,I$4:I1644&lt;=W685),1),I$4:I1644))-(W685-LARGE(FILTER(I$4:I"&amp;"1644,I$4:I1644&lt;=W685),1))*INDEX(F$4:F1644,MATCH(LARGE(FILTER(I$4:I1644,I$4:I1644&lt;=W685),1),I$4:I1644))))"),"")</f>
        <v/>
      </c>
      <c r="N685" s="60" t="str">
        <f t="shared" si="8"/>
        <v/>
      </c>
      <c r="O685" s="61" t="str">
        <f t="shared" si="9"/>
        <v/>
      </c>
      <c r="P685" s="56" t="str">
        <f t="shared" si="10"/>
        <v/>
      </c>
      <c r="Q685" s="105"/>
      <c r="R685" s="10"/>
      <c r="S685" s="59" t="str">
        <f t="array" ref="S685">IF(COUNTA(Q685:Q1644)=0,"",SUM((COUNTIF(Q$4:Q685,Upgrades!$B$3:$B$13)-COUNTIF(Q$4:Q685,"Sell_"&amp;Upgrades!$B$3:$B$13))*Upgrades!$D$3:$D$13))</f>
        <v/>
      </c>
      <c r="T685" s="66" t="str">
        <f>IFERROR(__xludf.DUMMYFUNCTION("IF(COUNTA(Q685:Q1644)=0,"""",IF(REGEXMATCH(INDEX(FILTER(Q$4:Q685,Q$4:Q685&lt;&gt;""""),ROWS(FILTER(Q$4:Q685,Q$4:Q685&lt;&gt;""""))),""^Sell_""),INDEX(FILTER(T$4:T684,Q$4:Q684&lt;&gt;""""),ROWS(FILTER(Q$4:Q684,Q$4:Q684&lt;&gt;""""))),$AD$5+S685))"),"")</f>
        <v/>
      </c>
      <c r="U685" s="10" t="str">
        <f>IFERROR(__xludf.DUMMYFUNCTION("IF(COUNTA(Q685:Q1644)=0,"""",IF(Q685="""",0,IF(REGEXMATCH(Q685,""^Sell_""),-ROUNDDOWN(ROUNDUP(INDEX(Upgrades!$C$3:$C$13,MATCH(SUBSTITUTE(Q685,""Sell_"",""""),Upgrades!$B$3:$B$13,0))*1.15^(COUNTIF(Q$4:Q684,SUBSTITUTE(Q685,""Sell_"",""""))-COUNTIF(Q$4:Q684,"&amp;"""Sell_""&amp;SUBSTITUTE(Q685,""Sell_"",""""))))/2),ROUNDUP(INDEX(Upgrades!$C$3:$C$13,MATCH(Q685,Upgrades!$B$3:$B$13,0))*1.15^(COUNTIF(Q$4:Q684,Q685)-COUNTIF(Q$4:Q684,""Sell_""&amp;Q685))))))"),"")</f>
        <v/>
      </c>
      <c r="V685" s="10" t="str">
        <f t="shared" si="11"/>
        <v/>
      </c>
      <c r="W685" s="68" t="str">
        <f t="shared" si="12"/>
        <v/>
      </c>
      <c r="X685" s="59" t="str">
        <f t="shared" si="13"/>
        <v/>
      </c>
      <c r="Y685" s="69" t="str">
        <f t="shared" si="14"/>
        <v/>
      </c>
      <c r="Z685" s="11"/>
      <c r="AG685" s="59"/>
    </row>
    <row r="686">
      <c r="A686" s="8"/>
      <c r="B686" s="56" t="str">
        <f t="shared" si="2"/>
        <v/>
      </c>
      <c r="C686" s="105"/>
      <c r="D686" s="10"/>
      <c r="E686" s="59" t="str">
        <f t="array" ref="E686">IF(COUNTA(C686:C1644)=0,"",SUM((COUNTIF(C$4:C686,Upgrades!$B$3:$B$13)-COUNTIF(C$4:C686,"Sell_"&amp;Upgrades!$B$3:$B$13))*Upgrades!$D$3:$D$13))</f>
        <v/>
      </c>
      <c r="F686" s="66" t="str">
        <f>IFERROR(__xludf.DUMMYFUNCTION("IF(COUNTA(C686:C1644)=0,"""",IF(REGEXMATCH(INDEX(FILTER(C$4:C686,C$4:C686&lt;&gt;""""),ROWS(FILTER(C$4:C686,C$4:C686&lt;&gt;""""))),""^Sell_""),INDEX(FILTER(F$4:F685,C$4:C685&lt;&gt;""""),ROWS(FILTER(C$4:C685,C$4:C685&lt;&gt;""""))),$AC$5+E686))"),"")</f>
        <v/>
      </c>
      <c r="G686" s="10" t="str">
        <f>IFERROR(__xludf.DUMMYFUNCTION("IF(COUNTA(C686:C1644)=0,"""",IF(C686="""",0,IF(REGEXMATCH(C686,""^Sell_""),-ROUNDDOWN(ROUNDUP(INDEX(Upgrades!$C$3:$C$13,MATCH(SUBSTITUTE(C686,""Sell_"",""""),Upgrades!$B$3:$B$13,0))*1.15^(COUNTIF(C$4:C685,SUBSTITUTE(C686,""Sell_"",""""))-COUNTIF(C$4:C685,"&amp;"""Sell_""&amp;SUBSTITUTE(C686,""Sell_"",""""))))/2),ROUNDUP(INDEX(Upgrades!$C$3:$C$13,MATCH(C686,Upgrades!$B$3:$B$13,0))*1.15^(COUNTIF(C$4:C685,C686)-COUNTIF(C$4:C685,""Sell_""&amp;C686))))))"),"")</f>
        <v/>
      </c>
      <c r="H686" s="10" t="str">
        <f t="shared" si="3"/>
        <v/>
      </c>
      <c r="I686" s="68" t="str">
        <f t="shared" si="4"/>
        <v/>
      </c>
      <c r="J686" s="59" t="str">
        <f t="shared" si="5"/>
        <v/>
      </c>
      <c r="K686" s="69" t="str">
        <f t="shared" si="6"/>
        <v/>
      </c>
      <c r="L686" s="60" t="str">
        <f t="shared" si="7"/>
        <v/>
      </c>
      <c r="M686" s="61" t="str">
        <f>IFERROR(__xludf.DUMMYFUNCTION("IFS(AND(COUNTA(C686:C1644)=0,COUNTA(Q686:Q1644)=0),"""",OR(AND(K686&gt;=1000000000,OR(Y686&gt;=1000000000,COUNTA(Q686:Q1644)=0)),OR(Y686&gt;=1000000000,AND(COUNTA(C686:C1644)=0,P$3=TRUE))),
ROUNDDOWN((AB$1-AC$1)*MAX(INDEX(T$4:T1644,MATCH(LARGE(FILTER(Y$4:Y1644,Y$4"&amp;":Y1644&lt;1000000000),1),Y$4:Y1644)),INDEX(F$4:F1644,MATCH(LARGE(FILTER(K$4:K1644,K$4:K1644&lt;1000000000),1),K$4:K1644)))),AND(K686&lt;1000000000,COUNTA(C686:C1644)&gt;0,P$3=FALSE),
ROUNDDOWN(INDEX(Y$4:Y1644,MATCH(LARGE(FILTER(W$4:W1644,W$4:W1644&lt;=I686),1),W$4:W1644"&amp;"))+(I686-LARGE(FILTER(W$4:W1644,W$4:W1644&lt;=I686),1))*INDEX(T$4:T1644,MATCH(LARGE(FILTER(W$4:W1644,W$4:W1644&lt;=I686),1),W$4:W1644))-K686),1,
ROUNDDOWN(Y686-INDEX(K$4:K1644,MATCH(LARGE(FILTER(I$4:I1644,I$4:I1644&lt;=W686),1),I$4:I1644))-(W686-LARGE(FILTER(I$4:I"&amp;"1644,I$4:I1644&lt;=W686),1))*INDEX(F$4:F1644,MATCH(LARGE(FILTER(I$4:I1644,I$4:I1644&lt;=W686),1),I$4:I1644))))"),"")</f>
        <v/>
      </c>
      <c r="N686" s="60" t="str">
        <f t="shared" si="8"/>
        <v/>
      </c>
      <c r="O686" s="61" t="str">
        <f t="shared" si="9"/>
        <v/>
      </c>
      <c r="P686" s="56" t="str">
        <f t="shared" si="10"/>
        <v/>
      </c>
      <c r="Q686" s="105"/>
      <c r="R686" s="10"/>
      <c r="S686" s="59" t="str">
        <f t="array" ref="S686">IF(COUNTA(Q686:Q1644)=0,"",SUM((COUNTIF(Q$4:Q686,Upgrades!$B$3:$B$13)-COUNTIF(Q$4:Q686,"Sell_"&amp;Upgrades!$B$3:$B$13))*Upgrades!$D$3:$D$13))</f>
        <v/>
      </c>
      <c r="T686" s="66" t="str">
        <f>IFERROR(__xludf.DUMMYFUNCTION("IF(COUNTA(Q686:Q1644)=0,"""",IF(REGEXMATCH(INDEX(FILTER(Q$4:Q686,Q$4:Q686&lt;&gt;""""),ROWS(FILTER(Q$4:Q686,Q$4:Q686&lt;&gt;""""))),""^Sell_""),INDEX(FILTER(T$4:T685,Q$4:Q685&lt;&gt;""""),ROWS(FILTER(Q$4:Q685,Q$4:Q685&lt;&gt;""""))),$AD$5+S686))"),"")</f>
        <v/>
      </c>
      <c r="U686" s="10" t="str">
        <f>IFERROR(__xludf.DUMMYFUNCTION("IF(COUNTA(Q686:Q1644)=0,"""",IF(Q686="""",0,IF(REGEXMATCH(Q686,""^Sell_""),-ROUNDDOWN(ROUNDUP(INDEX(Upgrades!$C$3:$C$13,MATCH(SUBSTITUTE(Q686,""Sell_"",""""),Upgrades!$B$3:$B$13,0))*1.15^(COUNTIF(Q$4:Q685,SUBSTITUTE(Q686,""Sell_"",""""))-COUNTIF(Q$4:Q685,"&amp;"""Sell_""&amp;SUBSTITUTE(Q686,""Sell_"",""""))))/2),ROUNDUP(INDEX(Upgrades!$C$3:$C$13,MATCH(Q686,Upgrades!$B$3:$B$13,0))*1.15^(COUNTIF(Q$4:Q685,Q686)-COUNTIF(Q$4:Q685,""Sell_""&amp;Q686))))))"),"")</f>
        <v/>
      </c>
      <c r="V686" s="10" t="str">
        <f t="shared" si="11"/>
        <v/>
      </c>
      <c r="W686" s="68" t="str">
        <f t="shared" si="12"/>
        <v/>
      </c>
      <c r="X686" s="59" t="str">
        <f t="shared" si="13"/>
        <v/>
      </c>
      <c r="Y686" s="69" t="str">
        <f t="shared" si="14"/>
        <v/>
      </c>
      <c r="Z686" s="11"/>
      <c r="AG686" s="59"/>
    </row>
    <row r="687">
      <c r="A687" s="8"/>
      <c r="B687" s="56" t="str">
        <f t="shared" si="2"/>
        <v/>
      </c>
      <c r="C687" s="105"/>
      <c r="D687" s="10"/>
      <c r="E687" s="59" t="str">
        <f t="array" ref="E687">IF(COUNTA(C687:C1644)=0,"",SUM((COUNTIF(C$4:C687,Upgrades!$B$3:$B$13)-COUNTIF(C$4:C687,"Sell_"&amp;Upgrades!$B$3:$B$13))*Upgrades!$D$3:$D$13))</f>
        <v/>
      </c>
      <c r="F687" s="66" t="str">
        <f>IFERROR(__xludf.DUMMYFUNCTION("IF(COUNTA(C687:C1644)=0,"""",IF(REGEXMATCH(INDEX(FILTER(C$4:C687,C$4:C687&lt;&gt;""""),ROWS(FILTER(C$4:C687,C$4:C687&lt;&gt;""""))),""^Sell_""),INDEX(FILTER(F$4:F686,C$4:C686&lt;&gt;""""),ROWS(FILTER(C$4:C686,C$4:C686&lt;&gt;""""))),$AC$5+E687))"),"")</f>
        <v/>
      </c>
      <c r="G687" s="10" t="str">
        <f>IFERROR(__xludf.DUMMYFUNCTION("IF(COUNTA(C687:C1644)=0,"""",IF(C687="""",0,IF(REGEXMATCH(C687,""^Sell_""),-ROUNDDOWN(ROUNDUP(INDEX(Upgrades!$C$3:$C$13,MATCH(SUBSTITUTE(C687,""Sell_"",""""),Upgrades!$B$3:$B$13,0))*1.15^(COUNTIF(C$4:C686,SUBSTITUTE(C687,""Sell_"",""""))-COUNTIF(C$4:C686,"&amp;"""Sell_""&amp;SUBSTITUTE(C687,""Sell_"",""""))))/2),ROUNDUP(INDEX(Upgrades!$C$3:$C$13,MATCH(C687,Upgrades!$B$3:$B$13,0))*1.15^(COUNTIF(C$4:C686,C687)-COUNTIF(C$4:C686,""Sell_""&amp;C687))))))"),"")</f>
        <v/>
      </c>
      <c r="H687" s="10" t="str">
        <f t="shared" si="3"/>
        <v/>
      </c>
      <c r="I687" s="68" t="str">
        <f t="shared" si="4"/>
        <v/>
      </c>
      <c r="J687" s="59" t="str">
        <f t="shared" si="5"/>
        <v/>
      </c>
      <c r="K687" s="69" t="str">
        <f t="shared" si="6"/>
        <v/>
      </c>
      <c r="L687" s="60" t="str">
        <f t="shared" si="7"/>
        <v/>
      </c>
      <c r="M687" s="61" t="str">
        <f>IFERROR(__xludf.DUMMYFUNCTION("IFS(AND(COUNTA(C687:C1644)=0,COUNTA(Q687:Q1644)=0),"""",OR(AND(K687&gt;=1000000000,OR(Y687&gt;=1000000000,COUNTA(Q687:Q1644)=0)),OR(Y687&gt;=1000000000,AND(COUNTA(C687:C1644)=0,P$3=TRUE))),
ROUNDDOWN((AB$1-AC$1)*MAX(INDEX(T$4:T1644,MATCH(LARGE(FILTER(Y$4:Y1644,Y$4"&amp;":Y1644&lt;1000000000),1),Y$4:Y1644)),INDEX(F$4:F1644,MATCH(LARGE(FILTER(K$4:K1644,K$4:K1644&lt;1000000000),1),K$4:K1644)))),AND(K687&lt;1000000000,COUNTA(C687:C1644)&gt;0,P$3=FALSE),
ROUNDDOWN(INDEX(Y$4:Y1644,MATCH(LARGE(FILTER(W$4:W1644,W$4:W1644&lt;=I687),1),W$4:W1644"&amp;"))+(I687-LARGE(FILTER(W$4:W1644,W$4:W1644&lt;=I687),1))*INDEX(T$4:T1644,MATCH(LARGE(FILTER(W$4:W1644,W$4:W1644&lt;=I687),1),W$4:W1644))-K687),1,
ROUNDDOWN(Y687-INDEX(K$4:K1644,MATCH(LARGE(FILTER(I$4:I1644,I$4:I1644&lt;=W687),1),I$4:I1644))-(W687-LARGE(FILTER(I$4:I"&amp;"1644,I$4:I1644&lt;=W687),1))*INDEX(F$4:F1644,MATCH(LARGE(FILTER(I$4:I1644,I$4:I1644&lt;=W687),1),I$4:I1644))))"),"")</f>
        <v/>
      </c>
      <c r="N687" s="60" t="str">
        <f t="shared" si="8"/>
        <v/>
      </c>
      <c r="O687" s="61" t="str">
        <f t="shared" si="9"/>
        <v/>
      </c>
      <c r="P687" s="56" t="str">
        <f t="shared" si="10"/>
        <v/>
      </c>
      <c r="Q687" s="105"/>
      <c r="R687" s="10"/>
      <c r="S687" s="59" t="str">
        <f t="array" ref="S687">IF(COUNTA(Q687:Q1644)=0,"",SUM((COUNTIF(Q$4:Q687,Upgrades!$B$3:$B$13)-COUNTIF(Q$4:Q687,"Sell_"&amp;Upgrades!$B$3:$B$13))*Upgrades!$D$3:$D$13))</f>
        <v/>
      </c>
      <c r="T687" s="66" t="str">
        <f>IFERROR(__xludf.DUMMYFUNCTION("IF(COUNTA(Q687:Q1644)=0,"""",IF(REGEXMATCH(INDEX(FILTER(Q$4:Q687,Q$4:Q687&lt;&gt;""""),ROWS(FILTER(Q$4:Q687,Q$4:Q687&lt;&gt;""""))),""^Sell_""),INDEX(FILTER(T$4:T686,Q$4:Q686&lt;&gt;""""),ROWS(FILTER(Q$4:Q686,Q$4:Q686&lt;&gt;""""))),$AD$5+S687))"),"")</f>
        <v/>
      </c>
      <c r="U687" s="10" t="str">
        <f>IFERROR(__xludf.DUMMYFUNCTION("IF(COUNTA(Q687:Q1644)=0,"""",IF(Q687="""",0,IF(REGEXMATCH(Q687,""^Sell_""),-ROUNDDOWN(ROUNDUP(INDEX(Upgrades!$C$3:$C$13,MATCH(SUBSTITUTE(Q687,""Sell_"",""""),Upgrades!$B$3:$B$13,0))*1.15^(COUNTIF(Q$4:Q686,SUBSTITUTE(Q687,""Sell_"",""""))-COUNTIF(Q$4:Q686,"&amp;"""Sell_""&amp;SUBSTITUTE(Q687,""Sell_"",""""))))/2),ROUNDUP(INDEX(Upgrades!$C$3:$C$13,MATCH(Q687,Upgrades!$B$3:$B$13,0))*1.15^(COUNTIF(Q$4:Q686,Q687)-COUNTIF(Q$4:Q686,""Sell_""&amp;Q687))))))"),"")</f>
        <v/>
      </c>
      <c r="V687" s="10" t="str">
        <f t="shared" si="11"/>
        <v/>
      </c>
      <c r="W687" s="68" t="str">
        <f t="shared" si="12"/>
        <v/>
      </c>
      <c r="X687" s="59" t="str">
        <f t="shared" si="13"/>
        <v/>
      </c>
      <c r="Y687" s="69" t="str">
        <f t="shared" si="14"/>
        <v/>
      </c>
      <c r="Z687" s="11"/>
      <c r="AG687" s="59"/>
    </row>
    <row r="688">
      <c r="A688" s="8"/>
      <c r="B688" s="56" t="str">
        <f t="shared" si="2"/>
        <v/>
      </c>
      <c r="C688" s="105"/>
      <c r="D688" s="10"/>
      <c r="E688" s="59" t="str">
        <f t="array" ref="E688">IF(COUNTA(C688:C1644)=0,"",SUM((COUNTIF(C$4:C688,Upgrades!$B$3:$B$13)-COUNTIF(C$4:C688,"Sell_"&amp;Upgrades!$B$3:$B$13))*Upgrades!$D$3:$D$13))</f>
        <v/>
      </c>
      <c r="F688" s="66" t="str">
        <f>IFERROR(__xludf.DUMMYFUNCTION("IF(COUNTA(C688:C1644)=0,"""",IF(REGEXMATCH(INDEX(FILTER(C$4:C688,C$4:C688&lt;&gt;""""),ROWS(FILTER(C$4:C688,C$4:C688&lt;&gt;""""))),""^Sell_""),INDEX(FILTER(F$4:F687,C$4:C687&lt;&gt;""""),ROWS(FILTER(C$4:C687,C$4:C687&lt;&gt;""""))),$AC$5+E688))"),"")</f>
        <v/>
      </c>
      <c r="G688" s="10" t="str">
        <f>IFERROR(__xludf.DUMMYFUNCTION("IF(COUNTA(C688:C1644)=0,"""",IF(C688="""",0,IF(REGEXMATCH(C688,""^Sell_""),-ROUNDDOWN(ROUNDUP(INDEX(Upgrades!$C$3:$C$13,MATCH(SUBSTITUTE(C688,""Sell_"",""""),Upgrades!$B$3:$B$13,0))*1.15^(COUNTIF(C$4:C687,SUBSTITUTE(C688,""Sell_"",""""))-COUNTIF(C$4:C687,"&amp;"""Sell_""&amp;SUBSTITUTE(C688,""Sell_"",""""))))/2),ROUNDUP(INDEX(Upgrades!$C$3:$C$13,MATCH(C688,Upgrades!$B$3:$B$13,0))*1.15^(COUNTIF(C$4:C687,C688)-COUNTIF(C$4:C687,""Sell_""&amp;C688))))))"),"")</f>
        <v/>
      </c>
      <c r="H688" s="10" t="str">
        <f t="shared" si="3"/>
        <v/>
      </c>
      <c r="I688" s="68" t="str">
        <f t="shared" si="4"/>
        <v/>
      </c>
      <c r="J688" s="59" t="str">
        <f t="shared" si="5"/>
        <v/>
      </c>
      <c r="K688" s="69" t="str">
        <f t="shared" si="6"/>
        <v/>
      </c>
      <c r="L688" s="60" t="str">
        <f t="shared" si="7"/>
        <v/>
      </c>
      <c r="M688" s="61" t="str">
        <f>IFERROR(__xludf.DUMMYFUNCTION("IFS(AND(COUNTA(C688:C1644)=0,COUNTA(Q688:Q1644)=0),"""",OR(AND(K688&gt;=1000000000,OR(Y688&gt;=1000000000,COUNTA(Q688:Q1644)=0)),OR(Y688&gt;=1000000000,AND(COUNTA(C688:C1644)=0,P$3=TRUE))),
ROUNDDOWN((AB$1-AC$1)*MAX(INDEX(T$4:T1644,MATCH(LARGE(FILTER(Y$4:Y1644,Y$4"&amp;":Y1644&lt;1000000000),1),Y$4:Y1644)),INDEX(F$4:F1644,MATCH(LARGE(FILTER(K$4:K1644,K$4:K1644&lt;1000000000),1),K$4:K1644)))),AND(K688&lt;1000000000,COUNTA(C688:C1644)&gt;0,P$3=FALSE),
ROUNDDOWN(INDEX(Y$4:Y1644,MATCH(LARGE(FILTER(W$4:W1644,W$4:W1644&lt;=I688),1),W$4:W1644"&amp;"))+(I688-LARGE(FILTER(W$4:W1644,W$4:W1644&lt;=I688),1))*INDEX(T$4:T1644,MATCH(LARGE(FILTER(W$4:W1644,W$4:W1644&lt;=I688),1),W$4:W1644))-K688),1,
ROUNDDOWN(Y688-INDEX(K$4:K1644,MATCH(LARGE(FILTER(I$4:I1644,I$4:I1644&lt;=W688),1),I$4:I1644))-(W688-LARGE(FILTER(I$4:I"&amp;"1644,I$4:I1644&lt;=W688),1))*INDEX(F$4:F1644,MATCH(LARGE(FILTER(I$4:I1644,I$4:I1644&lt;=W688),1),I$4:I1644))))"),"")</f>
        <v/>
      </c>
      <c r="N688" s="60" t="str">
        <f t="shared" si="8"/>
        <v/>
      </c>
      <c r="O688" s="61" t="str">
        <f t="shared" si="9"/>
        <v/>
      </c>
      <c r="P688" s="56" t="str">
        <f t="shared" si="10"/>
        <v/>
      </c>
      <c r="Q688" s="105"/>
      <c r="R688" s="10"/>
      <c r="S688" s="59" t="str">
        <f t="array" ref="S688">IF(COUNTA(Q688:Q1644)=0,"",SUM((COUNTIF(Q$4:Q688,Upgrades!$B$3:$B$13)-COUNTIF(Q$4:Q688,"Sell_"&amp;Upgrades!$B$3:$B$13))*Upgrades!$D$3:$D$13))</f>
        <v/>
      </c>
      <c r="T688" s="66" t="str">
        <f>IFERROR(__xludf.DUMMYFUNCTION("IF(COUNTA(Q688:Q1644)=0,"""",IF(REGEXMATCH(INDEX(FILTER(Q$4:Q688,Q$4:Q688&lt;&gt;""""),ROWS(FILTER(Q$4:Q688,Q$4:Q688&lt;&gt;""""))),""^Sell_""),INDEX(FILTER(T$4:T687,Q$4:Q687&lt;&gt;""""),ROWS(FILTER(Q$4:Q687,Q$4:Q687&lt;&gt;""""))),$AD$5+S688))"),"")</f>
        <v/>
      </c>
      <c r="U688" s="10" t="str">
        <f>IFERROR(__xludf.DUMMYFUNCTION("IF(COUNTA(Q688:Q1644)=0,"""",IF(Q688="""",0,IF(REGEXMATCH(Q688,""^Sell_""),-ROUNDDOWN(ROUNDUP(INDEX(Upgrades!$C$3:$C$13,MATCH(SUBSTITUTE(Q688,""Sell_"",""""),Upgrades!$B$3:$B$13,0))*1.15^(COUNTIF(Q$4:Q687,SUBSTITUTE(Q688,""Sell_"",""""))-COUNTIF(Q$4:Q687,"&amp;"""Sell_""&amp;SUBSTITUTE(Q688,""Sell_"",""""))))/2),ROUNDUP(INDEX(Upgrades!$C$3:$C$13,MATCH(Q688,Upgrades!$B$3:$B$13,0))*1.15^(COUNTIF(Q$4:Q687,Q688)-COUNTIF(Q$4:Q687,""Sell_""&amp;Q688))))))"),"")</f>
        <v/>
      </c>
      <c r="V688" s="10" t="str">
        <f t="shared" si="11"/>
        <v/>
      </c>
      <c r="W688" s="68" t="str">
        <f t="shared" si="12"/>
        <v/>
      </c>
      <c r="X688" s="59" t="str">
        <f t="shared" si="13"/>
        <v/>
      </c>
      <c r="Y688" s="69" t="str">
        <f t="shared" si="14"/>
        <v/>
      </c>
      <c r="Z688" s="11"/>
      <c r="AG688" s="59"/>
    </row>
    <row r="689">
      <c r="A689" s="8"/>
      <c r="B689" s="56" t="str">
        <f t="shared" si="2"/>
        <v/>
      </c>
      <c r="C689" s="105"/>
      <c r="D689" s="10"/>
      <c r="E689" s="59" t="str">
        <f t="array" ref="E689">IF(COUNTA(C689:C1644)=0,"",SUM((COUNTIF(C$4:C689,Upgrades!$B$3:$B$13)-COUNTIF(C$4:C689,"Sell_"&amp;Upgrades!$B$3:$B$13))*Upgrades!$D$3:$D$13))</f>
        <v/>
      </c>
      <c r="F689" s="66" t="str">
        <f>IFERROR(__xludf.DUMMYFUNCTION("IF(COUNTA(C689:C1644)=0,"""",IF(REGEXMATCH(INDEX(FILTER(C$4:C689,C$4:C689&lt;&gt;""""),ROWS(FILTER(C$4:C689,C$4:C689&lt;&gt;""""))),""^Sell_""),INDEX(FILTER(F$4:F688,C$4:C688&lt;&gt;""""),ROWS(FILTER(C$4:C688,C$4:C688&lt;&gt;""""))),$AC$5+E689))"),"")</f>
        <v/>
      </c>
      <c r="G689" s="10" t="str">
        <f>IFERROR(__xludf.DUMMYFUNCTION("IF(COUNTA(C689:C1644)=0,"""",IF(C689="""",0,IF(REGEXMATCH(C689,""^Sell_""),-ROUNDDOWN(ROUNDUP(INDEX(Upgrades!$C$3:$C$13,MATCH(SUBSTITUTE(C689,""Sell_"",""""),Upgrades!$B$3:$B$13,0))*1.15^(COUNTIF(C$4:C688,SUBSTITUTE(C689,""Sell_"",""""))-COUNTIF(C$4:C688,"&amp;"""Sell_""&amp;SUBSTITUTE(C689,""Sell_"",""""))))/2),ROUNDUP(INDEX(Upgrades!$C$3:$C$13,MATCH(C689,Upgrades!$B$3:$B$13,0))*1.15^(COUNTIF(C$4:C688,C689)-COUNTIF(C$4:C688,""Sell_""&amp;C689))))))"),"")</f>
        <v/>
      </c>
      <c r="H689" s="10" t="str">
        <f t="shared" si="3"/>
        <v/>
      </c>
      <c r="I689" s="68" t="str">
        <f t="shared" si="4"/>
        <v/>
      </c>
      <c r="J689" s="59" t="str">
        <f t="shared" si="5"/>
        <v/>
      </c>
      <c r="K689" s="69" t="str">
        <f t="shared" si="6"/>
        <v/>
      </c>
      <c r="L689" s="60" t="str">
        <f t="shared" si="7"/>
        <v/>
      </c>
      <c r="M689" s="61" t="str">
        <f>IFERROR(__xludf.DUMMYFUNCTION("IFS(AND(COUNTA(C689:C1644)=0,COUNTA(Q689:Q1644)=0),"""",OR(AND(K689&gt;=1000000000,OR(Y689&gt;=1000000000,COUNTA(Q689:Q1644)=0)),OR(Y689&gt;=1000000000,AND(COUNTA(C689:C1644)=0,P$3=TRUE))),
ROUNDDOWN((AB$1-AC$1)*MAX(INDEX(T$4:T1644,MATCH(LARGE(FILTER(Y$4:Y1644,Y$4"&amp;":Y1644&lt;1000000000),1),Y$4:Y1644)),INDEX(F$4:F1644,MATCH(LARGE(FILTER(K$4:K1644,K$4:K1644&lt;1000000000),1),K$4:K1644)))),AND(K689&lt;1000000000,COUNTA(C689:C1644)&gt;0,P$3=FALSE),
ROUNDDOWN(INDEX(Y$4:Y1644,MATCH(LARGE(FILTER(W$4:W1644,W$4:W1644&lt;=I689),1),W$4:W1644"&amp;"))+(I689-LARGE(FILTER(W$4:W1644,W$4:W1644&lt;=I689),1))*INDEX(T$4:T1644,MATCH(LARGE(FILTER(W$4:W1644,W$4:W1644&lt;=I689),1),W$4:W1644))-K689),1,
ROUNDDOWN(Y689-INDEX(K$4:K1644,MATCH(LARGE(FILTER(I$4:I1644,I$4:I1644&lt;=W689),1),I$4:I1644))-(W689-LARGE(FILTER(I$4:I"&amp;"1644,I$4:I1644&lt;=W689),1))*INDEX(F$4:F1644,MATCH(LARGE(FILTER(I$4:I1644,I$4:I1644&lt;=W689),1),I$4:I1644))))"),"")</f>
        <v/>
      </c>
      <c r="N689" s="60" t="str">
        <f t="shared" si="8"/>
        <v/>
      </c>
      <c r="O689" s="61" t="str">
        <f t="shared" si="9"/>
        <v/>
      </c>
      <c r="P689" s="56" t="str">
        <f t="shared" si="10"/>
        <v/>
      </c>
      <c r="Q689" s="105"/>
      <c r="R689" s="10"/>
      <c r="S689" s="59" t="str">
        <f t="array" ref="S689">IF(COUNTA(Q689:Q1644)=0,"",SUM((COUNTIF(Q$4:Q689,Upgrades!$B$3:$B$13)-COUNTIF(Q$4:Q689,"Sell_"&amp;Upgrades!$B$3:$B$13))*Upgrades!$D$3:$D$13))</f>
        <v/>
      </c>
      <c r="T689" s="66" t="str">
        <f>IFERROR(__xludf.DUMMYFUNCTION("IF(COUNTA(Q689:Q1644)=0,"""",IF(REGEXMATCH(INDEX(FILTER(Q$4:Q689,Q$4:Q689&lt;&gt;""""),ROWS(FILTER(Q$4:Q689,Q$4:Q689&lt;&gt;""""))),""^Sell_""),INDEX(FILTER(T$4:T688,Q$4:Q688&lt;&gt;""""),ROWS(FILTER(Q$4:Q688,Q$4:Q688&lt;&gt;""""))),$AD$5+S689))"),"")</f>
        <v/>
      </c>
      <c r="U689" s="10" t="str">
        <f>IFERROR(__xludf.DUMMYFUNCTION("IF(COUNTA(Q689:Q1644)=0,"""",IF(Q689="""",0,IF(REGEXMATCH(Q689,""^Sell_""),-ROUNDDOWN(ROUNDUP(INDEX(Upgrades!$C$3:$C$13,MATCH(SUBSTITUTE(Q689,""Sell_"",""""),Upgrades!$B$3:$B$13,0))*1.15^(COUNTIF(Q$4:Q688,SUBSTITUTE(Q689,""Sell_"",""""))-COUNTIF(Q$4:Q688,"&amp;"""Sell_""&amp;SUBSTITUTE(Q689,""Sell_"",""""))))/2),ROUNDUP(INDEX(Upgrades!$C$3:$C$13,MATCH(Q689,Upgrades!$B$3:$B$13,0))*1.15^(COUNTIF(Q$4:Q688,Q689)-COUNTIF(Q$4:Q688,""Sell_""&amp;Q689))))))"),"")</f>
        <v/>
      </c>
      <c r="V689" s="10" t="str">
        <f t="shared" si="11"/>
        <v/>
      </c>
      <c r="W689" s="68" t="str">
        <f t="shared" si="12"/>
        <v/>
      </c>
      <c r="X689" s="59" t="str">
        <f t="shared" si="13"/>
        <v/>
      </c>
      <c r="Y689" s="69" t="str">
        <f t="shared" si="14"/>
        <v/>
      </c>
      <c r="Z689" s="11"/>
      <c r="AG689" s="59"/>
    </row>
    <row r="690">
      <c r="A690" s="8"/>
      <c r="B690" s="56" t="str">
        <f t="shared" si="2"/>
        <v/>
      </c>
      <c r="C690" s="105"/>
      <c r="D690" s="10"/>
      <c r="E690" s="59" t="str">
        <f t="array" ref="E690">IF(COUNTA(C690:C1644)=0,"",SUM((COUNTIF(C$4:C690,Upgrades!$B$3:$B$13)-COUNTIF(C$4:C690,"Sell_"&amp;Upgrades!$B$3:$B$13))*Upgrades!$D$3:$D$13))</f>
        <v/>
      </c>
      <c r="F690" s="66" t="str">
        <f>IFERROR(__xludf.DUMMYFUNCTION("IF(COUNTA(C690:C1644)=0,"""",IF(REGEXMATCH(INDEX(FILTER(C$4:C690,C$4:C690&lt;&gt;""""),ROWS(FILTER(C$4:C690,C$4:C690&lt;&gt;""""))),""^Sell_""),INDEX(FILTER(F$4:F689,C$4:C689&lt;&gt;""""),ROWS(FILTER(C$4:C689,C$4:C689&lt;&gt;""""))),$AC$5+E690))"),"")</f>
        <v/>
      </c>
      <c r="G690" s="10" t="str">
        <f>IFERROR(__xludf.DUMMYFUNCTION("IF(COUNTA(C690:C1644)=0,"""",IF(C690="""",0,IF(REGEXMATCH(C690,""^Sell_""),-ROUNDDOWN(ROUNDUP(INDEX(Upgrades!$C$3:$C$13,MATCH(SUBSTITUTE(C690,""Sell_"",""""),Upgrades!$B$3:$B$13,0))*1.15^(COUNTIF(C$4:C689,SUBSTITUTE(C690,""Sell_"",""""))-COUNTIF(C$4:C689,"&amp;"""Sell_""&amp;SUBSTITUTE(C690,""Sell_"",""""))))/2),ROUNDUP(INDEX(Upgrades!$C$3:$C$13,MATCH(C690,Upgrades!$B$3:$B$13,0))*1.15^(COUNTIF(C$4:C689,C690)-COUNTIF(C$4:C689,""Sell_""&amp;C690))))))"),"")</f>
        <v/>
      </c>
      <c r="H690" s="10" t="str">
        <f t="shared" si="3"/>
        <v/>
      </c>
      <c r="I690" s="68" t="str">
        <f t="shared" si="4"/>
        <v/>
      </c>
      <c r="J690" s="59" t="str">
        <f t="shared" si="5"/>
        <v/>
      </c>
      <c r="K690" s="69" t="str">
        <f t="shared" si="6"/>
        <v/>
      </c>
      <c r="L690" s="60" t="str">
        <f t="shared" si="7"/>
        <v/>
      </c>
      <c r="M690" s="61" t="str">
        <f>IFERROR(__xludf.DUMMYFUNCTION("IFS(AND(COUNTA(C690:C1644)=0,COUNTA(Q690:Q1644)=0),"""",OR(AND(K690&gt;=1000000000,OR(Y690&gt;=1000000000,COUNTA(Q690:Q1644)=0)),OR(Y690&gt;=1000000000,AND(COUNTA(C690:C1644)=0,P$3=TRUE))),
ROUNDDOWN((AB$1-AC$1)*MAX(INDEX(T$4:T1644,MATCH(LARGE(FILTER(Y$4:Y1644,Y$4"&amp;":Y1644&lt;1000000000),1),Y$4:Y1644)),INDEX(F$4:F1644,MATCH(LARGE(FILTER(K$4:K1644,K$4:K1644&lt;1000000000),1),K$4:K1644)))),AND(K690&lt;1000000000,COUNTA(C690:C1644)&gt;0,P$3=FALSE),
ROUNDDOWN(INDEX(Y$4:Y1644,MATCH(LARGE(FILTER(W$4:W1644,W$4:W1644&lt;=I690),1),W$4:W1644"&amp;"))+(I690-LARGE(FILTER(W$4:W1644,W$4:W1644&lt;=I690),1))*INDEX(T$4:T1644,MATCH(LARGE(FILTER(W$4:W1644,W$4:W1644&lt;=I690),1),W$4:W1644))-K690),1,
ROUNDDOWN(Y690-INDEX(K$4:K1644,MATCH(LARGE(FILTER(I$4:I1644,I$4:I1644&lt;=W690),1),I$4:I1644))-(W690-LARGE(FILTER(I$4:I"&amp;"1644,I$4:I1644&lt;=W690),1))*INDEX(F$4:F1644,MATCH(LARGE(FILTER(I$4:I1644,I$4:I1644&lt;=W690),1),I$4:I1644))))"),"")</f>
        <v/>
      </c>
      <c r="N690" s="60" t="str">
        <f t="shared" si="8"/>
        <v/>
      </c>
      <c r="O690" s="61" t="str">
        <f t="shared" si="9"/>
        <v/>
      </c>
      <c r="P690" s="56" t="str">
        <f t="shared" si="10"/>
        <v/>
      </c>
      <c r="Q690" s="105"/>
      <c r="R690" s="10"/>
      <c r="S690" s="59" t="str">
        <f t="array" ref="S690">IF(COUNTA(Q690:Q1644)=0,"",SUM((COUNTIF(Q$4:Q690,Upgrades!$B$3:$B$13)-COUNTIF(Q$4:Q690,"Sell_"&amp;Upgrades!$B$3:$B$13))*Upgrades!$D$3:$D$13))</f>
        <v/>
      </c>
      <c r="T690" s="66" t="str">
        <f>IFERROR(__xludf.DUMMYFUNCTION("IF(COUNTA(Q690:Q1644)=0,"""",IF(REGEXMATCH(INDEX(FILTER(Q$4:Q690,Q$4:Q690&lt;&gt;""""),ROWS(FILTER(Q$4:Q690,Q$4:Q690&lt;&gt;""""))),""^Sell_""),INDEX(FILTER(T$4:T689,Q$4:Q689&lt;&gt;""""),ROWS(FILTER(Q$4:Q689,Q$4:Q689&lt;&gt;""""))),$AD$5+S690))"),"")</f>
        <v/>
      </c>
      <c r="U690" s="10" t="str">
        <f>IFERROR(__xludf.DUMMYFUNCTION("IF(COUNTA(Q690:Q1644)=0,"""",IF(Q690="""",0,IF(REGEXMATCH(Q690,""^Sell_""),-ROUNDDOWN(ROUNDUP(INDEX(Upgrades!$C$3:$C$13,MATCH(SUBSTITUTE(Q690,""Sell_"",""""),Upgrades!$B$3:$B$13,0))*1.15^(COUNTIF(Q$4:Q689,SUBSTITUTE(Q690,""Sell_"",""""))-COUNTIF(Q$4:Q689,"&amp;"""Sell_""&amp;SUBSTITUTE(Q690,""Sell_"",""""))))/2),ROUNDUP(INDEX(Upgrades!$C$3:$C$13,MATCH(Q690,Upgrades!$B$3:$B$13,0))*1.15^(COUNTIF(Q$4:Q689,Q690)-COUNTIF(Q$4:Q689,""Sell_""&amp;Q690))))))"),"")</f>
        <v/>
      </c>
      <c r="V690" s="10" t="str">
        <f t="shared" si="11"/>
        <v/>
      </c>
      <c r="W690" s="68" t="str">
        <f t="shared" si="12"/>
        <v/>
      </c>
      <c r="X690" s="59" t="str">
        <f t="shared" si="13"/>
        <v/>
      </c>
      <c r="Y690" s="69" t="str">
        <f t="shared" si="14"/>
        <v/>
      </c>
      <c r="Z690" s="11"/>
      <c r="AG690" s="59"/>
    </row>
    <row r="691">
      <c r="A691" s="8"/>
      <c r="B691" s="56" t="str">
        <f t="shared" si="2"/>
        <v/>
      </c>
      <c r="C691" s="105"/>
      <c r="D691" s="10"/>
      <c r="E691" s="59" t="str">
        <f t="array" ref="E691">IF(COUNTA(C691:C1644)=0,"",SUM((COUNTIF(C$4:C691,Upgrades!$B$3:$B$13)-COUNTIF(C$4:C691,"Sell_"&amp;Upgrades!$B$3:$B$13))*Upgrades!$D$3:$D$13))</f>
        <v/>
      </c>
      <c r="F691" s="66" t="str">
        <f>IFERROR(__xludf.DUMMYFUNCTION("IF(COUNTA(C691:C1644)=0,"""",IF(REGEXMATCH(INDEX(FILTER(C$4:C691,C$4:C691&lt;&gt;""""),ROWS(FILTER(C$4:C691,C$4:C691&lt;&gt;""""))),""^Sell_""),INDEX(FILTER(F$4:F690,C$4:C690&lt;&gt;""""),ROWS(FILTER(C$4:C690,C$4:C690&lt;&gt;""""))),$AC$5+E691))"),"")</f>
        <v/>
      </c>
      <c r="G691" s="10" t="str">
        <f>IFERROR(__xludf.DUMMYFUNCTION("IF(COUNTA(C691:C1644)=0,"""",IF(C691="""",0,IF(REGEXMATCH(C691,""^Sell_""),-ROUNDDOWN(ROUNDUP(INDEX(Upgrades!$C$3:$C$13,MATCH(SUBSTITUTE(C691,""Sell_"",""""),Upgrades!$B$3:$B$13,0))*1.15^(COUNTIF(C$4:C690,SUBSTITUTE(C691,""Sell_"",""""))-COUNTIF(C$4:C690,"&amp;"""Sell_""&amp;SUBSTITUTE(C691,""Sell_"",""""))))/2),ROUNDUP(INDEX(Upgrades!$C$3:$C$13,MATCH(C691,Upgrades!$B$3:$B$13,0))*1.15^(COUNTIF(C$4:C690,C691)-COUNTIF(C$4:C690,""Sell_""&amp;C691))))))"),"")</f>
        <v/>
      </c>
      <c r="H691" s="10" t="str">
        <f t="shared" si="3"/>
        <v/>
      </c>
      <c r="I691" s="68" t="str">
        <f t="shared" si="4"/>
        <v/>
      </c>
      <c r="J691" s="59" t="str">
        <f t="shared" si="5"/>
        <v/>
      </c>
      <c r="K691" s="69" t="str">
        <f t="shared" si="6"/>
        <v/>
      </c>
      <c r="L691" s="60" t="str">
        <f t="shared" si="7"/>
        <v/>
      </c>
      <c r="M691" s="61" t="str">
        <f>IFERROR(__xludf.DUMMYFUNCTION("IFS(AND(COUNTA(C691:C1644)=0,COUNTA(Q691:Q1644)=0),"""",OR(AND(K691&gt;=1000000000,OR(Y691&gt;=1000000000,COUNTA(Q691:Q1644)=0)),OR(Y691&gt;=1000000000,AND(COUNTA(C691:C1644)=0,P$3=TRUE))),
ROUNDDOWN((AB$1-AC$1)*MAX(INDEX(T$4:T1644,MATCH(LARGE(FILTER(Y$4:Y1644,Y$4"&amp;":Y1644&lt;1000000000),1),Y$4:Y1644)),INDEX(F$4:F1644,MATCH(LARGE(FILTER(K$4:K1644,K$4:K1644&lt;1000000000),1),K$4:K1644)))),AND(K691&lt;1000000000,COUNTA(C691:C1644)&gt;0,P$3=FALSE),
ROUNDDOWN(INDEX(Y$4:Y1644,MATCH(LARGE(FILTER(W$4:W1644,W$4:W1644&lt;=I691),1),W$4:W1644"&amp;"))+(I691-LARGE(FILTER(W$4:W1644,W$4:W1644&lt;=I691),1))*INDEX(T$4:T1644,MATCH(LARGE(FILTER(W$4:W1644,W$4:W1644&lt;=I691),1),W$4:W1644))-K691),1,
ROUNDDOWN(Y691-INDEX(K$4:K1644,MATCH(LARGE(FILTER(I$4:I1644,I$4:I1644&lt;=W691),1),I$4:I1644))-(W691-LARGE(FILTER(I$4:I"&amp;"1644,I$4:I1644&lt;=W691),1))*INDEX(F$4:F1644,MATCH(LARGE(FILTER(I$4:I1644,I$4:I1644&lt;=W691),1),I$4:I1644))))"),"")</f>
        <v/>
      </c>
      <c r="N691" s="60" t="str">
        <f t="shared" si="8"/>
        <v/>
      </c>
      <c r="O691" s="61" t="str">
        <f t="shared" si="9"/>
        <v/>
      </c>
      <c r="P691" s="56" t="str">
        <f t="shared" si="10"/>
        <v/>
      </c>
      <c r="Q691" s="105"/>
      <c r="R691" s="10"/>
      <c r="S691" s="59" t="str">
        <f t="array" ref="S691">IF(COUNTA(Q691:Q1644)=0,"",SUM((COUNTIF(Q$4:Q691,Upgrades!$B$3:$B$13)-COUNTIF(Q$4:Q691,"Sell_"&amp;Upgrades!$B$3:$B$13))*Upgrades!$D$3:$D$13))</f>
        <v/>
      </c>
      <c r="T691" s="66" t="str">
        <f>IFERROR(__xludf.DUMMYFUNCTION("IF(COUNTA(Q691:Q1644)=0,"""",IF(REGEXMATCH(INDEX(FILTER(Q$4:Q691,Q$4:Q691&lt;&gt;""""),ROWS(FILTER(Q$4:Q691,Q$4:Q691&lt;&gt;""""))),""^Sell_""),INDEX(FILTER(T$4:T690,Q$4:Q690&lt;&gt;""""),ROWS(FILTER(Q$4:Q690,Q$4:Q690&lt;&gt;""""))),$AD$5+S691))"),"")</f>
        <v/>
      </c>
      <c r="U691" s="10" t="str">
        <f>IFERROR(__xludf.DUMMYFUNCTION("IF(COUNTA(Q691:Q1644)=0,"""",IF(Q691="""",0,IF(REGEXMATCH(Q691,""^Sell_""),-ROUNDDOWN(ROUNDUP(INDEX(Upgrades!$C$3:$C$13,MATCH(SUBSTITUTE(Q691,""Sell_"",""""),Upgrades!$B$3:$B$13,0))*1.15^(COUNTIF(Q$4:Q690,SUBSTITUTE(Q691,""Sell_"",""""))-COUNTIF(Q$4:Q690,"&amp;"""Sell_""&amp;SUBSTITUTE(Q691,""Sell_"",""""))))/2),ROUNDUP(INDEX(Upgrades!$C$3:$C$13,MATCH(Q691,Upgrades!$B$3:$B$13,0))*1.15^(COUNTIF(Q$4:Q690,Q691)-COUNTIF(Q$4:Q690,""Sell_""&amp;Q691))))))"),"")</f>
        <v/>
      </c>
      <c r="V691" s="10" t="str">
        <f t="shared" si="11"/>
        <v/>
      </c>
      <c r="W691" s="68" t="str">
        <f t="shared" si="12"/>
        <v/>
      </c>
      <c r="X691" s="59" t="str">
        <f t="shared" si="13"/>
        <v/>
      </c>
      <c r="Y691" s="69" t="str">
        <f t="shared" si="14"/>
        <v/>
      </c>
      <c r="Z691" s="11"/>
      <c r="AG691" s="59"/>
    </row>
    <row r="692">
      <c r="A692" s="8"/>
      <c r="B692" s="56" t="str">
        <f t="shared" si="2"/>
        <v/>
      </c>
      <c r="C692" s="105"/>
      <c r="D692" s="10"/>
      <c r="E692" s="59" t="str">
        <f t="array" ref="E692">IF(COUNTA(C692:C1644)=0,"",SUM((COUNTIF(C$4:C692,Upgrades!$B$3:$B$13)-COUNTIF(C$4:C692,"Sell_"&amp;Upgrades!$B$3:$B$13))*Upgrades!$D$3:$D$13))</f>
        <v/>
      </c>
      <c r="F692" s="66" t="str">
        <f>IFERROR(__xludf.DUMMYFUNCTION("IF(COUNTA(C692:C1644)=0,"""",IF(REGEXMATCH(INDEX(FILTER(C$4:C692,C$4:C692&lt;&gt;""""),ROWS(FILTER(C$4:C692,C$4:C692&lt;&gt;""""))),""^Sell_""),INDEX(FILTER(F$4:F691,C$4:C691&lt;&gt;""""),ROWS(FILTER(C$4:C691,C$4:C691&lt;&gt;""""))),$AC$5+E692))"),"")</f>
        <v/>
      </c>
      <c r="G692" s="10" t="str">
        <f>IFERROR(__xludf.DUMMYFUNCTION("IF(COUNTA(C692:C1644)=0,"""",IF(C692="""",0,IF(REGEXMATCH(C692,""^Sell_""),-ROUNDDOWN(ROUNDUP(INDEX(Upgrades!$C$3:$C$13,MATCH(SUBSTITUTE(C692,""Sell_"",""""),Upgrades!$B$3:$B$13,0))*1.15^(COUNTIF(C$4:C691,SUBSTITUTE(C692,""Sell_"",""""))-COUNTIF(C$4:C691,"&amp;"""Sell_""&amp;SUBSTITUTE(C692,""Sell_"",""""))))/2),ROUNDUP(INDEX(Upgrades!$C$3:$C$13,MATCH(C692,Upgrades!$B$3:$B$13,0))*1.15^(COUNTIF(C$4:C691,C692)-COUNTIF(C$4:C691,""Sell_""&amp;C692))))))"),"")</f>
        <v/>
      </c>
      <c r="H692" s="10" t="str">
        <f t="shared" si="3"/>
        <v/>
      </c>
      <c r="I692" s="68" t="str">
        <f t="shared" si="4"/>
        <v/>
      </c>
      <c r="J692" s="59" t="str">
        <f t="shared" si="5"/>
        <v/>
      </c>
      <c r="K692" s="69" t="str">
        <f t="shared" si="6"/>
        <v/>
      </c>
      <c r="L692" s="60" t="str">
        <f t="shared" si="7"/>
        <v/>
      </c>
      <c r="M692" s="61" t="str">
        <f>IFERROR(__xludf.DUMMYFUNCTION("IFS(AND(COUNTA(C692:C1644)=0,COUNTA(Q692:Q1644)=0),"""",OR(AND(K692&gt;=1000000000,OR(Y692&gt;=1000000000,COUNTA(Q692:Q1644)=0)),OR(Y692&gt;=1000000000,AND(COUNTA(C692:C1644)=0,P$3=TRUE))),
ROUNDDOWN((AB$1-AC$1)*MAX(INDEX(T$4:T1644,MATCH(LARGE(FILTER(Y$4:Y1644,Y$4"&amp;":Y1644&lt;1000000000),1),Y$4:Y1644)),INDEX(F$4:F1644,MATCH(LARGE(FILTER(K$4:K1644,K$4:K1644&lt;1000000000),1),K$4:K1644)))),AND(K692&lt;1000000000,COUNTA(C692:C1644)&gt;0,P$3=FALSE),
ROUNDDOWN(INDEX(Y$4:Y1644,MATCH(LARGE(FILTER(W$4:W1644,W$4:W1644&lt;=I692),1),W$4:W1644"&amp;"))+(I692-LARGE(FILTER(W$4:W1644,W$4:W1644&lt;=I692),1))*INDEX(T$4:T1644,MATCH(LARGE(FILTER(W$4:W1644,W$4:W1644&lt;=I692),1),W$4:W1644))-K692),1,
ROUNDDOWN(Y692-INDEX(K$4:K1644,MATCH(LARGE(FILTER(I$4:I1644,I$4:I1644&lt;=W692),1),I$4:I1644))-(W692-LARGE(FILTER(I$4:I"&amp;"1644,I$4:I1644&lt;=W692),1))*INDEX(F$4:F1644,MATCH(LARGE(FILTER(I$4:I1644,I$4:I1644&lt;=W692),1),I$4:I1644))))"),"")</f>
        <v/>
      </c>
      <c r="N692" s="60" t="str">
        <f t="shared" si="8"/>
        <v/>
      </c>
      <c r="O692" s="61" t="str">
        <f t="shared" si="9"/>
        <v/>
      </c>
      <c r="P692" s="56" t="str">
        <f t="shared" si="10"/>
        <v/>
      </c>
      <c r="Q692" s="105"/>
      <c r="R692" s="10"/>
      <c r="S692" s="59" t="str">
        <f t="array" ref="S692">IF(COUNTA(Q692:Q1644)=0,"",SUM((COUNTIF(Q$4:Q692,Upgrades!$B$3:$B$13)-COUNTIF(Q$4:Q692,"Sell_"&amp;Upgrades!$B$3:$B$13))*Upgrades!$D$3:$D$13))</f>
        <v/>
      </c>
      <c r="T692" s="66" t="str">
        <f>IFERROR(__xludf.DUMMYFUNCTION("IF(COUNTA(Q692:Q1644)=0,"""",IF(REGEXMATCH(INDEX(FILTER(Q$4:Q692,Q$4:Q692&lt;&gt;""""),ROWS(FILTER(Q$4:Q692,Q$4:Q692&lt;&gt;""""))),""^Sell_""),INDEX(FILTER(T$4:T691,Q$4:Q691&lt;&gt;""""),ROWS(FILTER(Q$4:Q691,Q$4:Q691&lt;&gt;""""))),$AD$5+S692))"),"")</f>
        <v/>
      </c>
      <c r="U692" s="10" t="str">
        <f>IFERROR(__xludf.DUMMYFUNCTION("IF(COUNTA(Q692:Q1644)=0,"""",IF(Q692="""",0,IF(REGEXMATCH(Q692,""^Sell_""),-ROUNDDOWN(ROUNDUP(INDEX(Upgrades!$C$3:$C$13,MATCH(SUBSTITUTE(Q692,""Sell_"",""""),Upgrades!$B$3:$B$13,0))*1.15^(COUNTIF(Q$4:Q691,SUBSTITUTE(Q692,""Sell_"",""""))-COUNTIF(Q$4:Q691,"&amp;"""Sell_""&amp;SUBSTITUTE(Q692,""Sell_"",""""))))/2),ROUNDUP(INDEX(Upgrades!$C$3:$C$13,MATCH(Q692,Upgrades!$B$3:$B$13,0))*1.15^(COUNTIF(Q$4:Q691,Q692)-COUNTIF(Q$4:Q691,""Sell_""&amp;Q692))))))"),"")</f>
        <v/>
      </c>
      <c r="V692" s="10" t="str">
        <f t="shared" si="11"/>
        <v/>
      </c>
      <c r="W692" s="68" t="str">
        <f t="shared" si="12"/>
        <v/>
      </c>
      <c r="X692" s="59" t="str">
        <f t="shared" si="13"/>
        <v/>
      </c>
      <c r="Y692" s="69" t="str">
        <f t="shared" si="14"/>
        <v/>
      </c>
      <c r="Z692" s="11"/>
      <c r="AG692" s="59"/>
    </row>
    <row r="693">
      <c r="A693" s="8"/>
      <c r="B693" s="56" t="str">
        <f t="shared" si="2"/>
        <v/>
      </c>
      <c r="C693" s="105"/>
      <c r="D693" s="10"/>
      <c r="E693" s="59" t="str">
        <f t="array" ref="E693">IF(COUNTA(C693:C1644)=0,"",SUM((COUNTIF(C$4:C693,Upgrades!$B$3:$B$13)-COUNTIF(C$4:C693,"Sell_"&amp;Upgrades!$B$3:$B$13))*Upgrades!$D$3:$D$13))</f>
        <v/>
      </c>
      <c r="F693" s="66" t="str">
        <f>IFERROR(__xludf.DUMMYFUNCTION("IF(COUNTA(C693:C1644)=0,"""",IF(REGEXMATCH(INDEX(FILTER(C$4:C693,C$4:C693&lt;&gt;""""),ROWS(FILTER(C$4:C693,C$4:C693&lt;&gt;""""))),""^Sell_""),INDEX(FILTER(F$4:F692,C$4:C692&lt;&gt;""""),ROWS(FILTER(C$4:C692,C$4:C692&lt;&gt;""""))),$AC$5+E693))"),"")</f>
        <v/>
      </c>
      <c r="G693" s="10" t="str">
        <f>IFERROR(__xludf.DUMMYFUNCTION("IF(COUNTA(C693:C1644)=0,"""",IF(C693="""",0,IF(REGEXMATCH(C693,""^Sell_""),-ROUNDDOWN(ROUNDUP(INDEX(Upgrades!$C$3:$C$13,MATCH(SUBSTITUTE(C693,""Sell_"",""""),Upgrades!$B$3:$B$13,0))*1.15^(COUNTIF(C$4:C692,SUBSTITUTE(C693,""Sell_"",""""))-COUNTIF(C$4:C692,"&amp;"""Sell_""&amp;SUBSTITUTE(C693,""Sell_"",""""))))/2),ROUNDUP(INDEX(Upgrades!$C$3:$C$13,MATCH(C693,Upgrades!$B$3:$B$13,0))*1.15^(COUNTIF(C$4:C692,C693)-COUNTIF(C$4:C692,""Sell_""&amp;C693))))))"),"")</f>
        <v/>
      </c>
      <c r="H693" s="10" t="str">
        <f t="shared" si="3"/>
        <v/>
      </c>
      <c r="I693" s="68" t="str">
        <f t="shared" si="4"/>
        <v/>
      </c>
      <c r="J693" s="59" t="str">
        <f t="shared" si="5"/>
        <v/>
      </c>
      <c r="K693" s="69" t="str">
        <f t="shared" si="6"/>
        <v/>
      </c>
      <c r="L693" s="60" t="str">
        <f t="shared" si="7"/>
        <v/>
      </c>
      <c r="M693" s="61" t="str">
        <f>IFERROR(__xludf.DUMMYFUNCTION("IFS(AND(COUNTA(C693:C1644)=0,COUNTA(Q693:Q1644)=0),"""",OR(AND(K693&gt;=1000000000,OR(Y693&gt;=1000000000,COUNTA(Q693:Q1644)=0)),OR(Y693&gt;=1000000000,AND(COUNTA(C693:C1644)=0,P$3=TRUE))),
ROUNDDOWN((AB$1-AC$1)*MAX(INDEX(T$4:T1644,MATCH(LARGE(FILTER(Y$4:Y1644,Y$4"&amp;":Y1644&lt;1000000000),1),Y$4:Y1644)),INDEX(F$4:F1644,MATCH(LARGE(FILTER(K$4:K1644,K$4:K1644&lt;1000000000),1),K$4:K1644)))),AND(K693&lt;1000000000,COUNTA(C693:C1644)&gt;0,P$3=FALSE),
ROUNDDOWN(INDEX(Y$4:Y1644,MATCH(LARGE(FILTER(W$4:W1644,W$4:W1644&lt;=I693),1),W$4:W1644"&amp;"))+(I693-LARGE(FILTER(W$4:W1644,W$4:W1644&lt;=I693),1))*INDEX(T$4:T1644,MATCH(LARGE(FILTER(W$4:W1644,W$4:W1644&lt;=I693),1),W$4:W1644))-K693),1,
ROUNDDOWN(Y693-INDEX(K$4:K1644,MATCH(LARGE(FILTER(I$4:I1644,I$4:I1644&lt;=W693),1),I$4:I1644))-(W693-LARGE(FILTER(I$4:I"&amp;"1644,I$4:I1644&lt;=W693),1))*INDEX(F$4:F1644,MATCH(LARGE(FILTER(I$4:I1644,I$4:I1644&lt;=W693),1),I$4:I1644))))"),"")</f>
        <v/>
      </c>
      <c r="N693" s="60" t="str">
        <f t="shared" si="8"/>
        <v/>
      </c>
      <c r="O693" s="61" t="str">
        <f t="shared" si="9"/>
        <v/>
      </c>
      <c r="P693" s="56" t="str">
        <f t="shared" si="10"/>
        <v/>
      </c>
      <c r="Q693" s="105"/>
      <c r="R693" s="10"/>
      <c r="S693" s="59" t="str">
        <f t="array" ref="S693">IF(COUNTA(Q693:Q1644)=0,"",SUM((COUNTIF(Q$4:Q693,Upgrades!$B$3:$B$13)-COUNTIF(Q$4:Q693,"Sell_"&amp;Upgrades!$B$3:$B$13))*Upgrades!$D$3:$D$13))</f>
        <v/>
      </c>
      <c r="T693" s="66" t="str">
        <f>IFERROR(__xludf.DUMMYFUNCTION("IF(COUNTA(Q693:Q1644)=0,"""",IF(REGEXMATCH(INDEX(FILTER(Q$4:Q693,Q$4:Q693&lt;&gt;""""),ROWS(FILTER(Q$4:Q693,Q$4:Q693&lt;&gt;""""))),""^Sell_""),INDEX(FILTER(T$4:T692,Q$4:Q692&lt;&gt;""""),ROWS(FILTER(Q$4:Q692,Q$4:Q692&lt;&gt;""""))),$AD$5+S693))"),"")</f>
        <v/>
      </c>
      <c r="U693" s="10" t="str">
        <f>IFERROR(__xludf.DUMMYFUNCTION("IF(COUNTA(Q693:Q1644)=0,"""",IF(Q693="""",0,IF(REGEXMATCH(Q693,""^Sell_""),-ROUNDDOWN(ROUNDUP(INDEX(Upgrades!$C$3:$C$13,MATCH(SUBSTITUTE(Q693,""Sell_"",""""),Upgrades!$B$3:$B$13,0))*1.15^(COUNTIF(Q$4:Q692,SUBSTITUTE(Q693,""Sell_"",""""))-COUNTIF(Q$4:Q692,"&amp;"""Sell_""&amp;SUBSTITUTE(Q693,""Sell_"",""""))))/2),ROUNDUP(INDEX(Upgrades!$C$3:$C$13,MATCH(Q693,Upgrades!$B$3:$B$13,0))*1.15^(COUNTIF(Q$4:Q692,Q693)-COUNTIF(Q$4:Q692,""Sell_""&amp;Q693))))))"),"")</f>
        <v/>
      </c>
      <c r="V693" s="10" t="str">
        <f t="shared" si="11"/>
        <v/>
      </c>
      <c r="W693" s="68" t="str">
        <f t="shared" si="12"/>
        <v/>
      </c>
      <c r="X693" s="59" t="str">
        <f t="shared" si="13"/>
        <v/>
      </c>
      <c r="Y693" s="69" t="str">
        <f t="shared" si="14"/>
        <v/>
      </c>
      <c r="Z693" s="11"/>
      <c r="AG693" s="59"/>
    </row>
    <row r="694">
      <c r="A694" s="8"/>
      <c r="B694" s="56" t="str">
        <f t="shared" si="2"/>
        <v/>
      </c>
      <c r="C694" s="105"/>
      <c r="D694" s="10"/>
      <c r="E694" s="59" t="str">
        <f t="array" ref="E694">IF(COUNTA(C694:C1644)=0,"",SUM((COUNTIF(C$4:C694,Upgrades!$B$3:$B$13)-COUNTIF(C$4:C694,"Sell_"&amp;Upgrades!$B$3:$B$13))*Upgrades!$D$3:$D$13))</f>
        <v/>
      </c>
      <c r="F694" s="66" t="str">
        <f>IFERROR(__xludf.DUMMYFUNCTION("IF(COUNTA(C694:C1644)=0,"""",IF(REGEXMATCH(INDEX(FILTER(C$4:C694,C$4:C694&lt;&gt;""""),ROWS(FILTER(C$4:C694,C$4:C694&lt;&gt;""""))),""^Sell_""),INDEX(FILTER(F$4:F693,C$4:C693&lt;&gt;""""),ROWS(FILTER(C$4:C693,C$4:C693&lt;&gt;""""))),$AC$5+E694))"),"")</f>
        <v/>
      </c>
      <c r="G694" s="10" t="str">
        <f>IFERROR(__xludf.DUMMYFUNCTION("IF(COUNTA(C694:C1644)=0,"""",IF(C694="""",0,IF(REGEXMATCH(C694,""^Sell_""),-ROUNDDOWN(ROUNDUP(INDEX(Upgrades!$C$3:$C$13,MATCH(SUBSTITUTE(C694,""Sell_"",""""),Upgrades!$B$3:$B$13,0))*1.15^(COUNTIF(C$4:C693,SUBSTITUTE(C694,""Sell_"",""""))-COUNTIF(C$4:C693,"&amp;"""Sell_""&amp;SUBSTITUTE(C694,""Sell_"",""""))))/2),ROUNDUP(INDEX(Upgrades!$C$3:$C$13,MATCH(C694,Upgrades!$B$3:$B$13,0))*1.15^(COUNTIF(C$4:C693,C694)-COUNTIF(C$4:C693,""Sell_""&amp;C694))))))"),"")</f>
        <v/>
      </c>
      <c r="H694" s="10" t="str">
        <f t="shared" si="3"/>
        <v/>
      </c>
      <c r="I694" s="68" t="str">
        <f t="shared" si="4"/>
        <v/>
      </c>
      <c r="J694" s="59" t="str">
        <f t="shared" si="5"/>
        <v/>
      </c>
      <c r="K694" s="69" t="str">
        <f t="shared" si="6"/>
        <v/>
      </c>
      <c r="L694" s="60" t="str">
        <f t="shared" si="7"/>
        <v/>
      </c>
      <c r="M694" s="61" t="str">
        <f>IFERROR(__xludf.DUMMYFUNCTION("IFS(AND(COUNTA(C694:C1644)=0,COUNTA(Q694:Q1644)=0),"""",OR(AND(K694&gt;=1000000000,OR(Y694&gt;=1000000000,COUNTA(Q694:Q1644)=0)),OR(Y694&gt;=1000000000,AND(COUNTA(C694:C1644)=0,P$3=TRUE))),
ROUNDDOWN((AB$1-AC$1)*MAX(INDEX(T$4:T1644,MATCH(LARGE(FILTER(Y$4:Y1644,Y$4"&amp;":Y1644&lt;1000000000),1),Y$4:Y1644)),INDEX(F$4:F1644,MATCH(LARGE(FILTER(K$4:K1644,K$4:K1644&lt;1000000000),1),K$4:K1644)))),AND(K694&lt;1000000000,COUNTA(C694:C1644)&gt;0,P$3=FALSE),
ROUNDDOWN(INDEX(Y$4:Y1644,MATCH(LARGE(FILTER(W$4:W1644,W$4:W1644&lt;=I694),1),W$4:W1644"&amp;"))+(I694-LARGE(FILTER(W$4:W1644,W$4:W1644&lt;=I694),1))*INDEX(T$4:T1644,MATCH(LARGE(FILTER(W$4:W1644,W$4:W1644&lt;=I694),1),W$4:W1644))-K694),1,
ROUNDDOWN(Y694-INDEX(K$4:K1644,MATCH(LARGE(FILTER(I$4:I1644,I$4:I1644&lt;=W694),1),I$4:I1644))-(W694-LARGE(FILTER(I$4:I"&amp;"1644,I$4:I1644&lt;=W694),1))*INDEX(F$4:F1644,MATCH(LARGE(FILTER(I$4:I1644,I$4:I1644&lt;=W694),1),I$4:I1644))))"),"")</f>
        <v/>
      </c>
      <c r="N694" s="60" t="str">
        <f t="shared" si="8"/>
        <v/>
      </c>
      <c r="O694" s="61" t="str">
        <f t="shared" si="9"/>
        <v/>
      </c>
      <c r="P694" s="56" t="str">
        <f t="shared" si="10"/>
        <v/>
      </c>
      <c r="Q694" s="105"/>
      <c r="R694" s="10"/>
      <c r="S694" s="59" t="str">
        <f t="array" ref="S694">IF(COUNTA(Q694:Q1644)=0,"",SUM((COUNTIF(Q$4:Q694,Upgrades!$B$3:$B$13)-COUNTIF(Q$4:Q694,"Sell_"&amp;Upgrades!$B$3:$B$13))*Upgrades!$D$3:$D$13))</f>
        <v/>
      </c>
      <c r="T694" s="66" t="str">
        <f>IFERROR(__xludf.DUMMYFUNCTION("IF(COUNTA(Q694:Q1644)=0,"""",IF(REGEXMATCH(INDEX(FILTER(Q$4:Q694,Q$4:Q694&lt;&gt;""""),ROWS(FILTER(Q$4:Q694,Q$4:Q694&lt;&gt;""""))),""^Sell_""),INDEX(FILTER(T$4:T693,Q$4:Q693&lt;&gt;""""),ROWS(FILTER(Q$4:Q693,Q$4:Q693&lt;&gt;""""))),$AD$5+S694))"),"")</f>
        <v/>
      </c>
      <c r="U694" s="10" t="str">
        <f>IFERROR(__xludf.DUMMYFUNCTION("IF(COUNTA(Q694:Q1644)=0,"""",IF(Q694="""",0,IF(REGEXMATCH(Q694,""^Sell_""),-ROUNDDOWN(ROUNDUP(INDEX(Upgrades!$C$3:$C$13,MATCH(SUBSTITUTE(Q694,""Sell_"",""""),Upgrades!$B$3:$B$13,0))*1.15^(COUNTIF(Q$4:Q693,SUBSTITUTE(Q694,""Sell_"",""""))-COUNTIF(Q$4:Q693,"&amp;"""Sell_""&amp;SUBSTITUTE(Q694,""Sell_"",""""))))/2),ROUNDUP(INDEX(Upgrades!$C$3:$C$13,MATCH(Q694,Upgrades!$B$3:$B$13,0))*1.15^(COUNTIF(Q$4:Q693,Q694)-COUNTIF(Q$4:Q693,""Sell_""&amp;Q694))))))"),"")</f>
        <v/>
      </c>
      <c r="V694" s="10" t="str">
        <f t="shared" si="11"/>
        <v/>
      </c>
      <c r="W694" s="68" t="str">
        <f t="shared" si="12"/>
        <v/>
      </c>
      <c r="X694" s="59" t="str">
        <f t="shared" si="13"/>
        <v/>
      </c>
      <c r="Y694" s="69" t="str">
        <f t="shared" si="14"/>
        <v/>
      </c>
      <c r="Z694" s="11"/>
      <c r="AG694" s="59"/>
    </row>
    <row r="695">
      <c r="A695" s="8"/>
      <c r="B695" s="56" t="str">
        <f t="shared" si="2"/>
        <v/>
      </c>
      <c r="C695" s="105"/>
      <c r="D695" s="10"/>
      <c r="E695" s="59" t="str">
        <f t="array" ref="E695">IF(COUNTA(C695:C1644)=0,"",SUM((COUNTIF(C$4:C695,Upgrades!$B$3:$B$13)-COUNTIF(C$4:C695,"Sell_"&amp;Upgrades!$B$3:$B$13))*Upgrades!$D$3:$D$13))</f>
        <v/>
      </c>
      <c r="F695" s="66" t="str">
        <f>IFERROR(__xludf.DUMMYFUNCTION("IF(COUNTA(C695:C1644)=0,"""",IF(REGEXMATCH(INDEX(FILTER(C$4:C695,C$4:C695&lt;&gt;""""),ROWS(FILTER(C$4:C695,C$4:C695&lt;&gt;""""))),""^Sell_""),INDEX(FILTER(F$4:F694,C$4:C694&lt;&gt;""""),ROWS(FILTER(C$4:C694,C$4:C694&lt;&gt;""""))),$AC$5+E695))"),"")</f>
        <v/>
      </c>
      <c r="G695" s="10" t="str">
        <f>IFERROR(__xludf.DUMMYFUNCTION("IF(COUNTA(C695:C1644)=0,"""",IF(C695="""",0,IF(REGEXMATCH(C695,""^Sell_""),-ROUNDDOWN(ROUNDUP(INDEX(Upgrades!$C$3:$C$13,MATCH(SUBSTITUTE(C695,""Sell_"",""""),Upgrades!$B$3:$B$13,0))*1.15^(COUNTIF(C$4:C694,SUBSTITUTE(C695,""Sell_"",""""))-COUNTIF(C$4:C694,"&amp;"""Sell_""&amp;SUBSTITUTE(C695,""Sell_"",""""))))/2),ROUNDUP(INDEX(Upgrades!$C$3:$C$13,MATCH(C695,Upgrades!$B$3:$B$13,0))*1.15^(COUNTIF(C$4:C694,C695)-COUNTIF(C$4:C694,""Sell_""&amp;C695))))))"),"")</f>
        <v/>
      </c>
      <c r="H695" s="10" t="str">
        <f t="shared" si="3"/>
        <v/>
      </c>
      <c r="I695" s="68" t="str">
        <f t="shared" si="4"/>
        <v/>
      </c>
      <c r="J695" s="59" t="str">
        <f t="shared" si="5"/>
        <v/>
      </c>
      <c r="K695" s="69" t="str">
        <f t="shared" si="6"/>
        <v/>
      </c>
      <c r="L695" s="60" t="str">
        <f t="shared" si="7"/>
        <v/>
      </c>
      <c r="M695" s="61" t="str">
        <f>IFERROR(__xludf.DUMMYFUNCTION("IFS(AND(COUNTA(C695:C1644)=0,COUNTA(Q695:Q1644)=0),"""",OR(AND(K695&gt;=1000000000,OR(Y695&gt;=1000000000,COUNTA(Q695:Q1644)=0)),OR(Y695&gt;=1000000000,AND(COUNTA(C695:C1644)=0,P$3=TRUE))),
ROUNDDOWN((AB$1-AC$1)*MAX(INDEX(T$4:T1644,MATCH(LARGE(FILTER(Y$4:Y1644,Y$4"&amp;":Y1644&lt;1000000000),1),Y$4:Y1644)),INDEX(F$4:F1644,MATCH(LARGE(FILTER(K$4:K1644,K$4:K1644&lt;1000000000),1),K$4:K1644)))),AND(K695&lt;1000000000,COUNTA(C695:C1644)&gt;0,P$3=FALSE),
ROUNDDOWN(INDEX(Y$4:Y1644,MATCH(LARGE(FILTER(W$4:W1644,W$4:W1644&lt;=I695),1),W$4:W1644"&amp;"))+(I695-LARGE(FILTER(W$4:W1644,W$4:W1644&lt;=I695),1))*INDEX(T$4:T1644,MATCH(LARGE(FILTER(W$4:W1644,W$4:W1644&lt;=I695),1),W$4:W1644))-K695),1,
ROUNDDOWN(Y695-INDEX(K$4:K1644,MATCH(LARGE(FILTER(I$4:I1644,I$4:I1644&lt;=W695),1),I$4:I1644))-(W695-LARGE(FILTER(I$4:I"&amp;"1644,I$4:I1644&lt;=W695),1))*INDEX(F$4:F1644,MATCH(LARGE(FILTER(I$4:I1644,I$4:I1644&lt;=W695),1),I$4:I1644))))"),"")</f>
        <v/>
      </c>
      <c r="N695" s="60" t="str">
        <f t="shared" si="8"/>
        <v/>
      </c>
      <c r="O695" s="61" t="str">
        <f t="shared" si="9"/>
        <v/>
      </c>
      <c r="P695" s="56" t="str">
        <f t="shared" si="10"/>
        <v/>
      </c>
      <c r="Q695" s="105"/>
      <c r="R695" s="10"/>
      <c r="S695" s="59" t="str">
        <f t="array" ref="S695">IF(COUNTA(Q695:Q1644)=0,"",SUM((COUNTIF(Q$4:Q695,Upgrades!$B$3:$B$13)-COUNTIF(Q$4:Q695,"Sell_"&amp;Upgrades!$B$3:$B$13))*Upgrades!$D$3:$D$13))</f>
        <v/>
      </c>
      <c r="T695" s="66" t="str">
        <f>IFERROR(__xludf.DUMMYFUNCTION("IF(COUNTA(Q695:Q1644)=0,"""",IF(REGEXMATCH(INDEX(FILTER(Q$4:Q695,Q$4:Q695&lt;&gt;""""),ROWS(FILTER(Q$4:Q695,Q$4:Q695&lt;&gt;""""))),""^Sell_""),INDEX(FILTER(T$4:T694,Q$4:Q694&lt;&gt;""""),ROWS(FILTER(Q$4:Q694,Q$4:Q694&lt;&gt;""""))),$AD$5+S695))"),"")</f>
        <v/>
      </c>
      <c r="U695" s="10" t="str">
        <f>IFERROR(__xludf.DUMMYFUNCTION("IF(COUNTA(Q695:Q1644)=0,"""",IF(Q695="""",0,IF(REGEXMATCH(Q695,""^Sell_""),-ROUNDDOWN(ROUNDUP(INDEX(Upgrades!$C$3:$C$13,MATCH(SUBSTITUTE(Q695,""Sell_"",""""),Upgrades!$B$3:$B$13,0))*1.15^(COUNTIF(Q$4:Q694,SUBSTITUTE(Q695,""Sell_"",""""))-COUNTIF(Q$4:Q694,"&amp;"""Sell_""&amp;SUBSTITUTE(Q695,""Sell_"",""""))))/2),ROUNDUP(INDEX(Upgrades!$C$3:$C$13,MATCH(Q695,Upgrades!$B$3:$B$13,0))*1.15^(COUNTIF(Q$4:Q694,Q695)-COUNTIF(Q$4:Q694,""Sell_""&amp;Q695))))))"),"")</f>
        <v/>
      </c>
      <c r="V695" s="10" t="str">
        <f t="shared" si="11"/>
        <v/>
      </c>
      <c r="W695" s="68" t="str">
        <f t="shared" si="12"/>
        <v/>
      </c>
      <c r="X695" s="59" t="str">
        <f t="shared" si="13"/>
        <v/>
      </c>
      <c r="Y695" s="69" t="str">
        <f t="shared" si="14"/>
        <v/>
      </c>
      <c r="Z695" s="11"/>
      <c r="AG695" s="59"/>
    </row>
    <row r="696">
      <c r="A696" s="8"/>
      <c r="B696" s="56" t="str">
        <f t="shared" si="2"/>
        <v/>
      </c>
      <c r="C696" s="105"/>
      <c r="D696" s="10"/>
      <c r="E696" s="59" t="str">
        <f t="array" ref="E696">IF(COUNTA(C696:C1644)=0,"",SUM((COUNTIF(C$4:C696,Upgrades!$B$3:$B$13)-COUNTIF(C$4:C696,"Sell_"&amp;Upgrades!$B$3:$B$13))*Upgrades!$D$3:$D$13))</f>
        <v/>
      </c>
      <c r="F696" s="66" t="str">
        <f>IFERROR(__xludf.DUMMYFUNCTION("IF(COUNTA(C696:C1644)=0,"""",IF(REGEXMATCH(INDEX(FILTER(C$4:C696,C$4:C696&lt;&gt;""""),ROWS(FILTER(C$4:C696,C$4:C696&lt;&gt;""""))),""^Sell_""),INDEX(FILTER(F$4:F695,C$4:C695&lt;&gt;""""),ROWS(FILTER(C$4:C695,C$4:C695&lt;&gt;""""))),$AC$5+E696))"),"")</f>
        <v/>
      </c>
      <c r="G696" s="10" t="str">
        <f>IFERROR(__xludf.DUMMYFUNCTION("IF(COUNTA(C696:C1644)=0,"""",IF(C696="""",0,IF(REGEXMATCH(C696,""^Sell_""),-ROUNDDOWN(ROUNDUP(INDEX(Upgrades!$C$3:$C$13,MATCH(SUBSTITUTE(C696,""Sell_"",""""),Upgrades!$B$3:$B$13,0))*1.15^(COUNTIF(C$4:C695,SUBSTITUTE(C696,""Sell_"",""""))-COUNTIF(C$4:C695,"&amp;"""Sell_""&amp;SUBSTITUTE(C696,""Sell_"",""""))))/2),ROUNDUP(INDEX(Upgrades!$C$3:$C$13,MATCH(C696,Upgrades!$B$3:$B$13,0))*1.15^(COUNTIF(C$4:C695,C696)-COUNTIF(C$4:C695,""Sell_""&amp;C696))))))"),"")</f>
        <v/>
      </c>
      <c r="H696" s="10" t="str">
        <f t="shared" si="3"/>
        <v/>
      </c>
      <c r="I696" s="68" t="str">
        <f t="shared" si="4"/>
        <v/>
      </c>
      <c r="J696" s="59" t="str">
        <f t="shared" si="5"/>
        <v/>
      </c>
      <c r="K696" s="69" t="str">
        <f t="shared" si="6"/>
        <v/>
      </c>
      <c r="L696" s="60" t="str">
        <f t="shared" si="7"/>
        <v/>
      </c>
      <c r="M696" s="61" t="str">
        <f>IFERROR(__xludf.DUMMYFUNCTION("IFS(AND(COUNTA(C696:C1644)=0,COUNTA(Q696:Q1644)=0),"""",OR(AND(K696&gt;=1000000000,OR(Y696&gt;=1000000000,COUNTA(Q696:Q1644)=0)),OR(Y696&gt;=1000000000,AND(COUNTA(C696:C1644)=0,P$3=TRUE))),
ROUNDDOWN((AB$1-AC$1)*MAX(INDEX(T$4:T1644,MATCH(LARGE(FILTER(Y$4:Y1644,Y$4"&amp;":Y1644&lt;1000000000),1),Y$4:Y1644)),INDEX(F$4:F1644,MATCH(LARGE(FILTER(K$4:K1644,K$4:K1644&lt;1000000000),1),K$4:K1644)))),AND(K696&lt;1000000000,COUNTA(C696:C1644)&gt;0,P$3=FALSE),
ROUNDDOWN(INDEX(Y$4:Y1644,MATCH(LARGE(FILTER(W$4:W1644,W$4:W1644&lt;=I696),1),W$4:W1644"&amp;"))+(I696-LARGE(FILTER(W$4:W1644,W$4:W1644&lt;=I696),1))*INDEX(T$4:T1644,MATCH(LARGE(FILTER(W$4:W1644,W$4:W1644&lt;=I696),1),W$4:W1644))-K696),1,
ROUNDDOWN(Y696-INDEX(K$4:K1644,MATCH(LARGE(FILTER(I$4:I1644,I$4:I1644&lt;=W696),1),I$4:I1644))-(W696-LARGE(FILTER(I$4:I"&amp;"1644,I$4:I1644&lt;=W696),1))*INDEX(F$4:F1644,MATCH(LARGE(FILTER(I$4:I1644,I$4:I1644&lt;=W696),1),I$4:I1644))))"),"")</f>
        <v/>
      </c>
      <c r="N696" s="60" t="str">
        <f t="shared" si="8"/>
        <v/>
      </c>
      <c r="O696" s="61" t="str">
        <f t="shared" si="9"/>
        <v/>
      </c>
      <c r="P696" s="56" t="str">
        <f t="shared" si="10"/>
        <v/>
      </c>
      <c r="Q696" s="105"/>
      <c r="R696" s="10"/>
      <c r="S696" s="59" t="str">
        <f t="array" ref="S696">IF(COUNTA(Q696:Q1644)=0,"",SUM((COUNTIF(Q$4:Q696,Upgrades!$B$3:$B$13)-COUNTIF(Q$4:Q696,"Sell_"&amp;Upgrades!$B$3:$B$13))*Upgrades!$D$3:$D$13))</f>
        <v/>
      </c>
      <c r="T696" s="66" t="str">
        <f>IFERROR(__xludf.DUMMYFUNCTION("IF(COUNTA(Q696:Q1644)=0,"""",IF(REGEXMATCH(INDEX(FILTER(Q$4:Q696,Q$4:Q696&lt;&gt;""""),ROWS(FILTER(Q$4:Q696,Q$4:Q696&lt;&gt;""""))),""^Sell_""),INDEX(FILTER(T$4:T695,Q$4:Q695&lt;&gt;""""),ROWS(FILTER(Q$4:Q695,Q$4:Q695&lt;&gt;""""))),$AD$5+S696))"),"")</f>
        <v/>
      </c>
      <c r="U696" s="10" t="str">
        <f>IFERROR(__xludf.DUMMYFUNCTION("IF(COUNTA(Q696:Q1644)=0,"""",IF(Q696="""",0,IF(REGEXMATCH(Q696,""^Sell_""),-ROUNDDOWN(ROUNDUP(INDEX(Upgrades!$C$3:$C$13,MATCH(SUBSTITUTE(Q696,""Sell_"",""""),Upgrades!$B$3:$B$13,0))*1.15^(COUNTIF(Q$4:Q695,SUBSTITUTE(Q696,""Sell_"",""""))-COUNTIF(Q$4:Q695,"&amp;"""Sell_""&amp;SUBSTITUTE(Q696,""Sell_"",""""))))/2),ROUNDUP(INDEX(Upgrades!$C$3:$C$13,MATCH(Q696,Upgrades!$B$3:$B$13,0))*1.15^(COUNTIF(Q$4:Q695,Q696)-COUNTIF(Q$4:Q695,""Sell_""&amp;Q696))))))"),"")</f>
        <v/>
      </c>
      <c r="V696" s="10" t="str">
        <f t="shared" si="11"/>
        <v/>
      </c>
      <c r="W696" s="68" t="str">
        <f t="shared" si="12"/>
        <v/>
      </c>
      <c r="X696" s="59" t="str">
        <f t="shared" si="13"/>
        <v/>
      </c>
      <c r="Y696" s="69" t="str">
        <f t="shared" si="14"/>
        <v/>
      </c>
      <c r="Z696" s="11"/>
      <c r="AG696" s="59"/>
    </row>
    <row r="697">
      <c r="A697" s="8"/>
      <c r="B697" s="56" t="str">
        <f t="shared" si="2"/>
        <v/>
      </c>
      <c r="C697" s="105"/>
      <c r="D697" s="10"/>
      <c r="E697" s="59" t="str">
        <f t="array" ref="E697">IF(COUNTA(C697:C1644)=0,"",SUM((COUNTIF(C$4:C697,Upgrades!$B$3:$B$13)-COUNTIF(C$4:C697,"Sell_"&amp;Upgrades!$B$3:$B$13))*Upgrades!$D$3:$D$13))</f>
        <v/>
      </c>
      <c r="F697" s="66" t="str">
        <f>IFERROR(__xludf.DUMMYFUNCTION("IF(COUNTA(C697:C1644)=0,"""",IF(REGEXMATCH(INDEX(FILTER(C$4:C697,C$4:C697&lt;&gt;""""),ROWS(FILTER(C$4:C697,C$4:C697&lt;&gt;""""))),""^Sell_""),INDEX(FILTER(F$4:F696,C$4:C696&lt;&gt;""""),ROWS(FILTER(C$4:C696,C$4:C696&lt;&gt;""""))),$AC$5+E697))"),"")</f>
        <v/>
      </c>
      <c r="G697" s="10" t="str">
        <f>IFERROR(__xludf.DUMMYFUNCTION("IF(COUNTA(C697:C1644)=0,"""",IF(C697="""",0,IF(REGEXMATCH(C697,""^Sell_""),-ROUNDDOWN(ROUNDUP(INDEX(Upgrades!$C$3:$C$13,MATCH(SUBSTITUTE(C697,""Sell_"",""""),Upgrades!$B$3:$B$13,0))*1.15^(COUNTIF(C$4:C696,SUBSTITUTE(C697,""Sell_"",""""))-COUNTIF(C$4:C696,"&amp;"""Sell_""&amp;SUBSTITUTE(C697,""Sell_"",""""))))/2),ROUNDUP(INDEX(Upgrades!$C$3:$C$13,MATCH(C697,Upgrades!$B$3:$B$13,0))*1.15^(COUNTIF(C$4:C696,C697)-COUNTIF(C$4:C696,""Sell_""&amp;C697))))))"),"")</f>
        <v/>
      </c>
      <c r="H697" s="10" t="str">
        <f t="shared" si="3"/>
        <v/>
      </c>
      <c r="I697" s="68" t="str">
        <f t="shared" si="4"/>
        <v/>
      </c>
      <c r="J697" s="59" t="str">
        <f t="shared" si="5"/>
        <v/>
      </c>
      <c r="K697" s="69" t="str">
        <f t="shared" si="6"/>
        <v/>
      </c>
      <c r="L697" s="60" t="str">
        <f t="shared" si="7"/>
        <v/>
      </c>
      <c r="M697" s="61" t="str">
        <f>IFERROR(__xludf.DUMMYFUNCTION("IFS(AND(COUNTA(C697:C1644)=0,COUNTA(Q697:Q1644)=0),"""",OR(AND(K697&gt;=1000000000,OR(Y697&gt;=1000000000,COUNTA(Q697:Q1644)=0)),OR(Y697&gt;=1000000000,AND(COUNTA(C697:C1644)=0,P$3=TRUE))),
ROUNDDOWN((AB$1-AC$1)*MAX(INDEX(T$4:T1644,MATCH(LARGE(FILTER(Y$4:Y1644,Y$4"&amp;":Y1644&lt;1000000000),1),Y$4:Y1644)),INDEX(F$4:F1644,MATCH(LARGE(FILTER(K$4:K1644,K$4:K1644&lt;1000000000),1),K$4:K1644)))),AND(K697&lt;1000000000,COUNTA(C697:C1644)&gt;0,P$3=FALSE),
ROUNDDOWN(INDEX(Y$4:Y1644,MATCH(LARGE(FILTER(W$4:W1644,W$4:W1644&lt;=I697),1),W$4:W1644"&amp;"))+(I697-LARGE(FILTER(W$4:W1644,W$4:W1644&lt;=I697),1))*INDEX(T$4:T1644,MATCH(LARGE(FILTER(W$4:W1644,W$4:W1644&lt;=I697),1),W$4:W1644))-K697),1,
ROUNDDOWN(Y697-INDEX(K$4:K1644,MATCH(LARGE(FILTER(I$4:I1644,I$4:I1644&lt;=W697),1),I$4:I1644))-(W697-LARGE(FILTER(I$4:I"&amp;"1644,I$4:I1644&lt;=W697),1))*INDEX(F$4:F1644,MATCH(LARGE(FILTER(I$4:I1644,I$4:I1644&lt;=W697),1),I$4:I1644))))"),"")</f>
        <v/>
      </c>
      <c r="N697" s="60" t="str">
        <f t="shared" si="8"/>
        <v/>
      </c>
      <c r="O697" s="61" t="str">
        <f t="shared" si="9"/>
        <v/>
      </c>
      <c r="P697" s="56" t="str">
        <f t="shared" si="10"/>
        <v/>
      </c>
      <c r="Q697" s="105"/>
      <c r="R697" s="10"/>
      <c r="S697" s="59" t="str">
        <f t="array" ref="S697">IF(COUNTA(Q697:Q1644)=0,"",SUM((COUNTIF(Q$4:Q697,Upgrades!$B$3:$B$13)-COUNTIF(Q$4:Q697,"Sell_"&amp;Upgrades!$B$3:$B$13))*Upgrades!$D$3:$D$13))</f>
        <v/>
      </c>
      <c r="T697" s="66" t="str">
        <f>IFERROR(__xludf.DUMMYFUNCTION("IF(COUNTA(Q697:Q1644)=0,"""",IF(REGEXMATCH(INDEX(FILTER(Q$4:Q697,Q$4:Q697&lt;&gt;""""),ROWS(FILTER(Q$4:Q697,Q$4:Q697&lt;&gt;""""))),""^Sell_""),INDEX(FILTER(T$4:T696,Q$4:Q696&lt;&gt;""""),ROWS(FILTER(Q$4:Q696,Q$4:Q696&lt;&gt;""""))),$AD$5+S697))"),"")</f>
        <v/>
      </c>
      <c r="U697" s="10" t="str">
        <f>IFERROR(__xludf.DUMMYFUNCTION("IF(COUNTA(Q697:Q1644)=0,"""",IF(Q697="""",0,IF(REGEXMATCH(Q697,""^Sell_""),-ROUNDDOWN(ROUNDUP(INDEX(Upgrades!$C$3:$C$13,MATCH(SUBSTITUTE(Q697,""Sell_"",""""),Upgrades!$B$3:$B$13,0))*1.15^(COUNTIF(Q$4:Q696,SUBSTITUTE(Q697,""Sell_"",""""))-COUNTIF(Q$4:Q696,"&amp;"""Sell_""&amp;SUBSTITUTE(Q697,""Sell_"",""""))))/2),ROUNDUP(INDEX(Upgrades!$C$3:$C$13,MATCH(Q697,Upgrades!$B$3:$B$13,0))*1.15^(COUNTIF(Q$4:Q696,Q697)-COUNTIF(Q$4:Q696,""Sell_""&amp;Q697))))))"),"")</f>
        <v/>
      </c>
      <c r="V697" s="10" t="str">
        <f t="shared" si="11"/>
        <v/>
      </c>
      <c r="W697" s="68" t="str">
        <f t="shared" si="12"/>
        <v/>
      </c>
      <c r="X697" s="59" t="str">
        <f t="shared" si="13"/>
        <v/>
      </c>
      <c r="Y697" s="69" t="str">
        <f t="shared" si="14"/>
        <v/>
      </c>
      <c r="Z697" s="11"/>
      <c r="AG697" s="59"/>
    </row>
    <row r="698">
      <c r="A698" s="8"/>
      <c r="B698" s="56" t="str">
        <f t="shared" si="2"/>
        <v/>
      </c>
      <c r="C698" s="105"/>
      <c r="D698" s="10"/>
      <c r="E698" s="59" t="str">
        <f t="array" ref="E698">IF(COUNTA(C698:C1644)=0,"",SUM((COUNTIF(C$4:C698,Upgrades!$B$3:$B$13)-COUNTIF(C$4:C698,"Sell_"&amp;Upgrades!$B$3:$B$13))*Upgrades!$D$3:$D$13))</f>
        <v/>
      </c>
      <c r="F698" s="66" t="str">
        <f>IFERROR(__xludf.DUMMYFUNCTION("IF(COUNTA(C698:C1644)=0,"""",IF(REGEXMATCH(INDEX(FILTER(C$4:C698,C$4:C698&lt;&gt;""""),ROWS(FILTER(C$4:C698,C$4:C698&lt;&gt;""""))),""^Sell_""),INDEX(FILTER(F$4:F697,C$4:C697&lt;&gt;""""),ROWS(FILTER(C$4:C697,C$4:C697&lt;&gt;""""))),$AC$5+E698))"),"")</f>
        <v/>
      </c>
      <c r="G698" s="10" t="str">
        <f>IFERROR(__xludf.DUMMYFUNCTION("IF(COUNTA(C698:C1644)=0,"""",IF(C698="""",0,IF(REGEXMATCH(C698,""^Sell_""),-ROUNDDOWN(ROUNDUP(INDEX(Upgrades!$C$3:$C$13,MATCH(SUBSTITUTE(C698,""Sell_"",""""),Upgrades!$B$3:$B$13,0))*1.15^(COUNTIF(C$4:C697,SUBSTITUTE(C698,""Sell_"",""""))-COUNTIF(C$4:C697,"&amp;"""Sell_""&amp;SUBSTITUTE(C698,""Sell_"",""""))))/2),ROUNDUP(INDEX(Upgrades!$C$3:$C$13,MATCH(C698,Upgrades!$B$3:$B$13,0))*1.15^(COUNTIF(C$4:C697,C698)-COUNTIF(C$4:C697,""Sell_""&amp;C698))))))"),"")</f>
        <v/>
      </c>
      <c r="H698" s="10" t="str">
        <f t="shared" si="3"/>
        <v/>
      </c>
      <c r="I698" s="68" t="str">
        <f t="shared" si="4"/>
        <v/>
      </c>
      <c r="J698" s="59" t="str">
        <f t="shared" si="5"/>
        <v/>
      </c>
      <c r="K698" s="69" t="str">
        <f t="shared" si="6"/>
        <v/>
      </c>
      <c r="L698" s="60" t="str">
        <f t="shared" si="7"/>
        <v/>
      </c>
      <c r="M698" s="61" t="str">
        <f>IFERROR(__xludf.DUMMYFUNCTION("IFS(AND(COUNTA(C698:C1644)=0,COUNTA(Q698:Q1644)=0),"""",OR(AND(K698&gt;=1000000000,OR(Y698&gt;=1000000000,COUNTA(Q698:Q1644)=0)),OR(Y698&gt;=1000000000,AND(COUNTA(C698:C1644)=0,P$3=TRUE))),
ROUNDDOWN((AB$1-AC$1)*MAX(INDEX(T$4:T1644,MATCH(LARGE(FILTER(Y$4:Y1644,Y$4"&amp;":Y1644&lt;1000000000),1),Y$4:Y1644)),INDEX(F$4:F1644,MATCH(LARGE(FILTER(K$4:K1644,K$4:K1644&lt;1000000000),1),K$4:K1644)))),AND(K698&lt;1000000000,COUNTA(C698:C1644)&gt;0,P$3=FALSE),
ROUNDDOWN(INDEX(Y$4:Y1644,MATCH(LARGE(FILTER(W$4:W1644,W$4:W1644&lt;=I698),1),W$4:W1644"&amp;"))+(I698-LARGE(FILTER(W$4:W1644,W$4:W1644&lt;=I698),1))*INDEX(T$4:T1644,MATCH(LARGE(FILTER(W$4:W1644,W$4:W1644&lt;=I698),1),W$4:W1644))-K698),1,
ROUNDDOWN(Y698-INDEX(K$4:K1644,MATCH(LARGE(FILTER(I$4:I1644,I$4:I1644&lt;=W698),1),I$4:I1644))-(W698-LARGE(FILTER(I$4:I"&amp;"1644,I$4:I1644&lt;=W698),1))*INDEX(F$4:F1644,MATCH(LARGE(FILTER(I$4:I1644,I$4:I1644&lt;=W698),1),I$4:I1644))))"),"")</f>
        <v/>
      </c>
      <c r="N698" s="60" t="str">
        <f t="shared" si="8"/>
        <v/>
      </c>
      <c r="O698" s="61" t="str">
        <f t="shared" si="9"/>
        <v/>
      </c>
      <c r="P698" s="56" t="str">
        <f t="shared" si="10"/>
        <v/>
      </c>
      <c r="Q698" s="105"/>
      <c r="R698" s="10"/>
      <c r="S698" s="59" t="str">
        <f t="array" ref="S698">IF(COUNTA(Q698:Q1644)=0,"",SUM((COUNTIF(Q$4:Q698,Upgrades!$B$3:$B$13)-COUNTIF(Q$4:Q698,"Sell_"&amp;Upgrades!$B$3:$B$13))*Upgrades!$D$3:$D$13))</f>
        <v/>
      </c>
      <c r="T698" s="66" t="str">
        <f>IFERROR(__xludf.DUMMYFUNCTION("IF(COUNTA(Q698:Q1644)=0,"""",IF(REGEXMATCH(INDEX(FILTER(Q$4:Q698,Q$4:Q698&lt;&gt;""""),ROWS(FILTER(Q$4:Q698,Q$4:Q698&lt;&gt;""""))),""^Sell_""),INDEX(FILTER(T$4:T697,Q$4:Q697&lt;&gt;""""),ROWS(FILTER(Q$4:Q697,Q$4:Q697&lt;&gt;""""))),$AD$5+S698))"),"")</f>
        <v/>
      </c>
      <c r="U698" s="10" t="str">
        <f>IFERROR(__xludf.DUMMYFUNCTION("IF(COUNTA(Q698:Q1644)=0,"""",IF(Q698="""",0,IF(REGEXMATCH(Q698,""^Sell_""),-ROUNDDOWN(ROUNDUP(INDEX(Upgrades!$C$3:$C$13,MATCH(SUBSTITUTE(Q698,""Sell_"",""""),Upgrades!$B$3:$B$13,0))*1.15^(COUNTIF(Q$4:Q697,SUBSTITUTE(Q698,""Sell_"",""""))-COUNTIF(Q$4:Q697,"&amp;"""Sell_""&amp;SUBSTITUTE(Q698,""Sell_"",""""))))/2),ROUNDUP(INDEX(Upgrades!$C$3:$C$13,MATCH(Q698,Upgrades!$B$3:$B$13,0))*1.15^(COUNTIF(Q$4:Q697,Q698)-COUNTIF(Q$4:Q697,""Sell_""&amp;Q698))))))"),"")</f>
        <v/>
      </c>
      <c r="V698" s="10" t="str">
        <f t="shared" si="11"/>
        <v/>
      </c>
      <c r="W698" s="68" t="str">
        <f t="shared" si="12"/>
        <v/>
      </c>
      <c r="X698" s="59" t="str">
        <f t="shared" si="13"/>
        <v/>
      </c>
      <c r="Y698" s="69" t="str">
        <f t="shared" si="14"/>
        <v/>
      </c>
      <c r="Z698" s="11"/>
      <c r="AG698" s="59"/>
    </row>
    <row r="699">
      <c r="A699" s="8"/>
      <c r="B699" s="56" t="str">
        <f t="shared" si="2"/>
        <v/>
      </c>
      <c r="C699" s="105"/>
      <c r="D699" s="10"/>
      <c r="E699" s="59" t="str">
        <f t="array" ref="E699">IF(COUNTA(C699:C1644)=0,"",SUM((COUNTIF(C$4:C699,Upgrades!$B$3:$B$13)-COUNTIF(C$4:C699,"Sell_"&amp;Upgrades!$B$3:$B$13))*Upgrades!$D$3:$D$13))</f>
        <v/>
      </c>
      <c r="F699" s="66" t="str">
        <f>IFERROR(__xludf.DUMMYFUNCTION("IF(COUNTA(C699:C1644)=0,"""",IF(REGEXMATCH(INDEX(FILTER(C$4:C699,C$4:C699&lt;&gt;""""),ROWS(FILTER(C$4:C699,C$4:C699&lt;&gt;""""))),""^Sell_""),INDEX(FILTER(F$4:F698,C$4:C698&lt;&gt;""""),ROWS(FILTER(C$4:C698,C$4:C698&lt;&gt;""""))),$AC$5+E699))"),"")</f>
        <v/>
      </c>
      <c r="G699" s="10" t="str">
        <f>IFERROR(__xludf.DUMMYFUNCTION("IF(COUNTA(C699:C1644)=0,"""",IF(C699="""",0,IF(REGEXMATCH(C699,""^Sell_""),-ROUNDDOWN(ROUNDUP(INDEX(Upgrades!$C$3:$C$13,MATCH(SUBSTITUTE(C699,""Sell_"",""""),Upgrades!$B$3:$B$13,0))*1.15^(COUNTIF(C$4:C698,SUBSTITUTE(C699,""Sell_"",""""))-COUNTIF(C$4:C698,"&amp;"""Sell_""&amp;SUBSTITUTE(C699,""Sell_"",""""))))/2),ROUNDUP(INDEX(Upgrades!$C$3:$C$13,MATCH(C699,Upgrades!$B$3:$B$13,0))*1.15^(COUNTIF(C$4:C698,C699)-COUNTIF(C$4:C698,""Sell_""&amp;C699))))))"),"")</f>
        <v/>
      </c>
      <c r="H699" s="10" t="str">
        <f t="shared" si="3"/>
        <v/>
      </c>
      <c r="I699" s="68" t="str">
        <f t="shared" si="4"/>
        <v/>
      </c>
      <c r="J699" s="59" t="str">
        <f t="shared" si="5"/>
        <v/>
      </c>
      <c r="K699" s="69" t="str">
        <f t="shared" si="6"/>
        <v/>
      </c>
      <c r="L699" s="60" t="str">
        <f t="shared" si="7"/>
        <v/>
      </c>
      <c r="M699" s="61" t="str">
        <f>IFERROR(__xludf.DUMMYFUNCTION("IFS(AND(COUNTA(C699:C1644)=0,COUNTA(Q699:Q1644)=0),"""",OR(AND(K699&gt;=1000000000,OR(Y699&gt;=1000000000,COUNTA(Q699:Q1644)=0)),OR(Y699&gt;=1000000000,AND(COUNTA(C699:C1644)=0,P$3=TRUE))),
ROUNDDOWN((AB$1-AC$1)*MAX(INDEX(T$4:T1644,MATCH(LARGE(FILTER(Y$4:Y1644,Y$4"&amp;":Y1644&lt;1000000000),1),Y$4:Y1644)),INDEX(F$4:F1644,MATCH(LARGE(FILTER(K$4:K1644,K$4:K1644&lt;1000000000),1),K$4:K1644)))),AND(K699&lt;1000000000,COUNTA(C699:C1644)&gt;0,P$3=FALSE),
ROUNDDOWN(INDEX(Y$4:Y1644,MATCH(LARGE(FILTER(W$4:W1644,W$4:W1644&lt;=I699),1),W$4:W1644"&amp;"))+(I699-LARGE(FILTER(W$4:W1644,W$4:W1644&lt;=I699),1))*INDEX(T$4:T1644,MATCH(LARGE(FILTER(W$4:W1644,W$4:W1644&lt;=I699),1),W$4:W1644))-K699),1,
ROUNDDOWN(Y699-INDEX(K$4:K1644,MATCH(LARGE(FILTER(I$4:I1644,I$4:I1644&lt;=W699),1),I$4:I1644))-(W699-LARGE(FILTER(I$4:I"&amp;"1644,I$4:I1644&lt;=W699),1))*INDEX(F$4:F1644,MATCH(LARGE(FILTER(I$4:I1644,I$4:I1644&lt;=W699),1),I$4:I1644))))"),"")</f>
        <v/>
      </c>
      <c r="N699" s="60" t="str">
        <f t="shared" si="8"/>
        <v/>
      </c>
      <c r="O699" s="61" t="str">
        <f t="shared" si="9"/>
        <v/>
      </c>
      <c r="P699" s="56" t="str">
        <f t="shared" si="10"/>
        <v/>
      </c>
      <c r="Q699" s="105"/>
      <c r="R699" s="10"/>
      <c r="S699" s="59" t="str">
        <f t="array" ref="S699">IF(COUNTA(Q699:Q1644)=0,"",SUM((COUNTIF(Q$4:Q699,Upgrades!$B$3:$B$13)-COUNTIF(Q$4:Q699,"Sell_"&amp;Upgrades!$B$3:$B$13))*Upgrades!$D$3:$D$13))</f>
        <v/>
      </c>
      <c r="T699" s="66" t="str">
        <f>IFERROR(__xludf.DUMMYFUNCTION("IF(COUNTA(Q699:Q1644)=0,"""",IF(REGEXMATCH(INDEX(FILTER(Q$4:Q699,Q$4:Q699&lt;&gt;""""),ROWS(FILTER(Q$4:Q699,Q$4:Q699&lt;&gt;""""))),""^Sell_""),INDEX(FILTER(T$4:T698,Q$4:Q698&lt;&gt;""""),ROWS(FILTER(Q$4:Q698,Q$4:Q698&lt;&gt;""""))),$AD$5+S699))"),"")</f>
        <v/>
      </c>
      <c r="U699" s="10" t="str">
        <f>IFERROR(__xludf.DUMMYFUNCTION("IF(COUNTA(Q699:Q1644)=0,"""",IF(Q699="""",0,IF(REGEXMATCH(Q699,""^Sell_""),-ROUNDDOWN(ROUNDUP(INDEX(Upgrades!$C$3:$C$13,MATCH(SUBSTITUTE(Q699,""Sell_"",""""),Upgrades!$B$3:$B$13,0))*1.15^(COUNTIF(Q$4:Q698,SUBSTITUTE(Q699,""Sell_"",""""))-COUNTIF(Q$4:Q698,"&amp;"""Sell_""&amp;SUBSTITUTE(Q699,""Sell_"",""""))))/2),ROUNDUP(INDEX(Upgrades!$C$3:$C$13,MATCH(Q699,Upgrades!$B$3:$B$13,0))*1.15^(COUNTIF(Q$4:Q698,Q699)-COUNTIF(Q$4:Q698,""Sell_""&amp;Q699))))))"),"")</f>
        <v/>
      </c>
      <c r="V699" s="10" t="str">
        <f t="shared" si="11"/>
        <v/>
      </c>
      <c r="W699" s="68" t="str">
        <f t="shared" si="12"/>
        <v/>
      </c>
      <c r="X699" s="59" t="str">
        <f t="shared" si="13"/>
        <v/>
      </c>
      <c r="Y699" s="69" t="str">
        <f t="shared" si="14"/>
        <v/>
      </c>
      <c r="Z699" s="11"/>
      <c r="AG699" s="59"/>
    </row>
    <row r="700">
      <c r="A700" s="8"/>
      <c r="B700" s="56" t="str">
        <f t="shared" si="2"/>
        <v/>
      </c>
      <c r="C700" s="105"/>
      <c r="D700" s="10"/>
      <c r="E700" s="59" t="str">
        <f t="array" ref="E700">IF(COUNTA(C700:C1644)=0,"",SUM((COUNTIF(C$4:C700,Upgrades!$B$3:$B$13)-COUNTIF(C$4:C700,"Sell_"&amp;Upgrades!$B$3:$B$13))*Upgrades!$D$3:$D$13))</f>
        <v/>
      </c>
      <c r="F700" s="66" t="str">
        <f>IFERROR(__xludf.DUMMYFUNCTION("IF(COUNTA(C700:C1644)=0,"""",IF(REGEXMATCH(INDEX(FILTER(C$4:C700,C$4:C700&lt;&gt;""""),ROWS(FILTER(C$4:C700,C$4:C700&lt;&gt;""""))),""^Sell_""),INDEX(FILTER(F$4:F699,C$4:C699&lt;&gt;""""),ROWS(FILTER(C$4:C699,C$4:C699&lt;&gt;""""))),$AC$5+E700))"),"")</f>
        <v/>
      </c>
      <c r="G700" s="10" t="str">
        <f>IFERROR(__xludf.DUMMYFUNCTION("IF(COUNTA(C700:C1644)=0,"""",IF(C700="""",0,IF(REGEXMATCH(C700,""^Sell_""),-ROUNDDOWN(ROUNDUP(INDEX(Upgrades!$C$3:$C$13,MATCH(SUBSTITUTE(C700,""Sell_"",""""),Upgrades!$B$3:$B$13,0))*1.15^(COUNTIF(C$4:C699,SUBSTITUTE(C700,""Sell_"",""""))-COUNTIF(C$4:C699,"&amp;"""Sell_""&amp;SUBSTITUTE(C700,""Sell_"",""""))))/2),ROUNDUP(INDEX(Upgrades!$C$3:$C$13,MATCH(C700,Upgrades!$B$3:$B$13,0))*1.15^(COUNTIF(C$4:C699,C700)-COUNTIF(C$4:C699,""Sell_""&amp;C700))))))"),"")</f>
        <v/>
      </c>
      <c r="H700" s="10" t="str">
        <f t="shared" si="3"/>
        <v/>
      </c>
      <c r="I700" s="68" t="str">
        <f t="shared" si="4"/>
        <v/>
      </c>
      <c r="J700" s="59" t="str">
        <f t="shared" si="5"/>
        <v/>
      </c>
      <c r="K700" s="69" t="str">
        <f t="shared" si="6"/>
        <v/>
      </c>
      <c r="L700" s="60" t="str">
        <f t="shared" si="7"/>
        <v/>
      </c>
      <c r="M700" s="61" t="str">
        <f>IFERROR(__xludf.DUMMYFUNCTION("IFS(AND(COUNTA(C700:C1644)=0,COUNTA(Q700:Q1644)=0),"""",OR(AND(K700&gt;=1000000000,OR(Y700&gt;=1000000000,COUNTA(Q700:Q1644)=0)),OR(Y700&gt;=1000000000,AND(COUNTA(C700:C1644)=0,P$3=TRUE))),
ROUNDDOWN((AB$1-AC$1)*MAX(INDEX(T$4:T1644,MATCH(LARGE(FILTER(Y$4:Y1644,Y$4"&amp;":Y1644&lt;1000000000),1),Y$4:Y1644)),INDEX(F$4:F1644,MATCH(LARGE(FILTER(K$4:K1644,K$4:K1644&lt;1000000000),1),K$4:K1644)))),AND(K700&lt;1000000000,COUNTA(C700:C1644)&gt;0,P$3=FALSE),
ROUNDDOWN(INDEX(Y$4:Y1644,MATCH(LARGE(FILTER(W$4:W1644,W$4:W1644&lt;=I700),1),W$4:W1644"&amp;"))+(I700-LARGE(FILTER(W$4:W1644,W$4:W1644&lt;=I700),1))*INDEX(T$4:T1644,MATCH(LARGE(FILTER(W$4:W1644,W$4:W1644&lt;=I700),1),W$4:W1644))-K700),1,
ROUNDDOWN(Y700-INDEX(K$4:K1644,MATCH(LARGE(FILTER(I$4:I1644,I$4:I1644&lt;=W700),1),I$4:I1644))-(W700-LARGE(FILTER(I$4:I"&amp;"1644,I$4:I1644&lt;=W700),1))*INDEX(F$4:F1644,MATCH(LARGE(FILTER(I$4:I1644,I$4:I1644&lt;=W700),1),I$4:I1644))))"),"")</f>
        <v/>
      </c>
      <c r="N700" s="60" t="str">
        <f t="shared" si="8"/>
        <v/>
      </c>
      <c r="O700" s="61" t="str">
        <f t="shared" si="9"/>
        <v/>
      </c>
      <c r="P700" s="56" t="str">
        <f t="shared" si="10"/>
        <v/>
      </c>
      <c r="Q700" s="105"/>
      <c r="R700" s="10"/>
      <c r="S700" s="59" t="str">
        <f t="array" ref="S700">IF(COUNTA(Q700:Q1644)=0,"",SUM((COUNTIF(Q$4:Q700,Upgrades!$B$3:$B$13)-COUNTIF(Q$4:Q700,"Sell_"&amp;Upgrades!$B$3:$B$13))*Upgrades!$D$3:$D$13))</f>
        <v/>
      </c>
      <c r="T700" s="66" t="str">
        <f>IFERROR(__xludf.DUMMYFUNCTION("IF(COUNTA(Q700:Q1644)=0,"""",IF(REGEXMATCH(INDEX(FILTER(Q$4:Q700,Q$4:Q700&lt;&gt;""""),ROWS(FILTER(Q$4:Q700,Q$4:Q700&lt;&gt;""""))),""^Sell_""),INDEX(FILTER(T$4:T699,Q$4:Q699&lt;&gt;""""),ROWS(FILTER(Q$4:Q699,Q$4:Q699&lt;&gt;""""))),$AD$5+S700))"),"")</f>
        <v/>
      </c>
      <c r="U700" s="10" t="str">
        <f>IFERROR(__xludf.DUMMYFUNCTION("IF(COUNTA(Q700:Q1644)=0,"""",IF(Q700="""",0,IF(REGEXMATCH(Q700,""^Sell_""),-ROUNDDOWN(ROUNDUP(INDEX(Upgrades!$C$3:$C$13,MATCH(SUBSTITUTE(Q700,""Sell_"",""""),Upgrades!$B$3:$B$13,0))*1.15^(COUNTIF(Q$4:Q699,SUBSTITUTE(Q700,""Sell_"",""""))-COUNTIF(Q$4:Q699,"&amp;"""Sell_""&amp;SUBSTITUTE(Q700,""Sell_"",""""))))/2),ROUNDUP(INDEX(Upgrades!$C$3:$C$13,MATCH(Q700,Upgrades!$B$3:$B$13,0))*1.15^(COUNTIF(Q$4:Q699,Q700)-COUNTIF(Q$4:Q699,""Sell_""&amp;Q700))))))"),"")</f>
        <v/>
      </c>
      <c r="V700" s="10" t="str">
        <f t="shared" si="11"/>
        <v/>
      </c>
      <c r="W700" s="68" t="str">
        <f t="shared" si="12"/>
        <v/>
      </c>
      <c r="X700" s="59" t="str">
        <f t="shared" si="13"/>
        <v/>
      </c>
      <c r="Y700" s="69" t="str">
        <f t="shared" si="14"/>
        <v/>
      </c>
      <c r="Z700" s="11"/>
      <c r="AG700" s="59"/>
    </row>
    <row r="701">
      <c r="A701" s="8"/>
      <c r="B701" s="56" t="str">
        <f t="shared" si="2"/>
        <v/>
      </c>
      <c r="C701" s="105"/>
      <c r="D701" s="10"/>
      <c r="E701" s="59" t="str">
        <f t="array" ref="E701">IF(COUNTA(C701:C1644)=0,"",SUM((COUNTIF(C$4:C701,Upgrades!$B$3:$B$13)-COUNTIF(C$4:C701,"Sell_"&amp;Upgrades!$B$3:$B$13))*Upgrades!$D$3:$D$13))</f>
        <v/>
      </c>
      <c r="F701" s="66" t="str">
        <f>IFERROR(__xludf.DUMMYFUNCTION("IF(COUNTA(C701:C1644)=0,"""",IF(REGEXMATCH(INDEX(FILTER(C$4:C701,C$4:C701&lt;&gt;""""),ROWS(FILTER(C$4:C701,C$4:C701&lt;&gt;""""))),""^Sell_""),INDEX(FILTER(F$4:F700,C$4:C700&lt;&gt;""""),ROWS(FILTER(C$4:C700,C$4:C700&lt;&gt;""""))),$AC$5+E701))"),"")</f>
        <v/>
      </c>
      <c r="G701" s="10" t="str">
        <f>IFERROR(__xludf.DUMMYFUNCTION("IF(COUNTA(C701:C1644)=0,"""",IF(C701="""",0,IF(REGEXMATCH(C701,""^Sell_""),-ROUNDDOWN(ROUNDUP(INDEX(Upgrades!$C$3:$C$13,MATCH(SUBSTITUTE(C701,""Sell_"",""""),Upgrades!$B$3:$B$13,0))*1.15^(COUNTIF(C$4:C700,SUBSTITUTE(C701,""Sell_"",""""))-COUNTIF(C$4:C700,"&amp;"""Sell_""&amp;SUBSTITUTE(C701,""Sell_"",""""))))/2),ROUNDUP(INDEX(Upgrades!$C$3:$C$13,MATCH(C701,Upgrades!$B$3:$B$13,0))*1.15^(COUNTIF(C$4:C700,C701)-COUNTIF(C$4:C700,""Sell_""&amp;C701))))))"),"")</f>
        <v/>
      </c>
      <c r="H701" s="10" t="str">
        <f t="shared" si="3"/>
        <v/>
      </c>
      <c r="I701" s="68" t="str">
        <f t="shared" si="4"/>
        <v/>
      </c>
      <c r="J701" s="59" t="str">
        <f t="shared" si="5"/>
        <v/>
      </c>
      <c r="K701" s="69" t="str">
        <f t="shared" si="6"/>
        <v/>
      </c>
      <c r="L701" s="60" t="str">
        <f t="shared" si="7"/>
        <v/>
      </c>
      <c r="M701" s="61" t="str">
        <f>IFERROR(__xludf.DUMMYFUNCTION("IFS(AND(COUNTA(C701:C1644)=0,COUNTA(Q701:Q1644)=0),"""",OR(AND(K701&gt;=1000000000,OR(Y701&gt;=1000000000,COUNTA(Q701:Q1644)=0)),OR(Y701&gt;=1000000000,AND(COUNTA(C701:C1644)=0,P$3=TRUE))),
ROUNDDOWN((AB$1-AC$1)*MAX(INDEX(T$4:T1644,MATCH(LARGE(FILTER(Y$4:Y1644,Y$4"&amp;":Y1644&lt;1000000000),1),Y$4:Y1644)),INDEX(F$4:F1644,MATCH(LARGE(FILTER(K$4:K1644,K$4:K1644&lt;1000000000),1),K$4:K1644)))),AND(K701&lt;1000000000,COUNTA(C701:C1644)&gt;0,P$3=FALSE),
ROUNDDOWN(INDEX(Y$4:Y1644,MATCH(LARGE(FILTER(W$4:W1644,W$4:W1644&lt;=I701),1),W$4:W1644"&amp;"))+(I701-LARGE(FILTER(W$4:W1644,W$4:W1644&lt;=I701),1))*INDEX(T$4:T1644,MATCH(LARGE(FILTER(W$4:W1644,W$4:W1644&lt;=I701),1),W$4:W1644))-K701),1,
ROUNDDOWN(Y701-INDEX(K$4:K1644,MATCH(LARGE(FILTER(I$4:I1644,I$4:I1644&lt;=W701),1),I$4:I1644))-(W701-LARGE(FILTER(I$4:I"&amp;"1644,I$4:I1644&lt;=W701),1))*INDEX(F$4:F1644,MATCH(LARGE(FILTER(I$4:I1644,I$4:I1644&lt;=W701),1),I$4:I1644))))"),"")</f>
        <v/>
      </c>
      <c r="N701" s="60" t="str">
        <f t="shared" si="8"/>
        <v/>
      </c>
      <c r="O701" s="61" t="str">
        <f t="shared" si="9"/>
        <v/>
      </c>
      <c r="P701" s="56" t="str">
        <f t="shared" si="10"/>
        <v/>
      </c>
      <c r="Q701" s="105"/>
      <c r="R701" s="10"/>
      <c r="S701" s="59" t="str">
        <f t="array" ref="S701">IF(COUNTA(Q701:Q1644)=0,"",SUM((COUNTIF(Q$4:Q701,Upgrades!$B$3:$B$13)-COUNTIF(Q$4:Q701,"Sell_"&amp;Upgrades!$B$3:$B$13))*Upgrades!$D$3:$D$13))</f>
        <v/>
      </c>
      <c r="T701" s="66" t="str">
        <f>IFERROR(__xludf.DUMMYFUNCTION("IF(COUNTA(Q701:Q1644)=0,"""",IF(REGEXMATCH(INDEX(FILTER(Q$4:Q701,Q$4:Q701&lt;&gt;""""),ROWS(FILTER(Q$4:Q701,Q$4:Q701&lt;&gt;""""))),""^Sell_""),INDEX(FILTER(T$4:T700,Q$4:Q700&lt;&gt;""""),ROWS(FILTER(Q$4:Q700,Q$4:Q700&lt;&gt;""""))),$AD$5+S701))"),"")</f>
        <v/>
      </c>
      <c r="U701" s="10" t="str">
        <f>IFERROR(__xludf.DUMMYFUNCTION("IF(COUNTA(Q701:Q1644)=0,"""",IF(Q701="""",0,IF(REGEXMATCH(Q701,""^Sell_""),-ROUNDDOWN(ROUNDUP(INDEX(Upgrades!$C$3:$C$13,MATCH(SUBSTITUTE(Q701,""Sell_"",""""),Upgrades!$B$3:$B$13,0))*1.15^(COUNTIF(Q$4:Q700,SUBSTITUTE(Q701,""Sell_"",""""))-COUNTIF(Q$4:Q700,"&amp;"""Sell_""&amp;SUBSTITUTE(Q701,""Sell_"",""""))))/2),ROUNDUP(INDEX(Upgrades!$C$3:$C$13,MATCH(Q701,Upgrades!$B$3:$B$13,0))*1.15^(COUNTIF(Q$4:Q700,Q701)-COUNTIF(Q$4:Q700,""Sell_""&amp;Q701))))))"),"")</f>
        <v/>
      </c>
      <c r="V701" s="10" t="str">
        <f t="shared" si="11"/>
        <v/>
      </c>
      <c r="W701" s="68" t="str">
        <f t="shared" si="12"/>
        <v/>
      </c>
      <c r="X701" s="59" t="str">
        <f t="shared" si="13"/>
        <v/>
      </c>
      <c r="Y701" s="69" t="str">
        <f t="shared" si="14"/>
        <v/>
      </c>
      <c r="Z701" s="11"/>
      <c r="AG701" s="59"/>
    </row>
    <row r="702">
      <c r="A702" s="8"/>
      <c r="B702" s="56" t="str">
        <f t="shared" si="2"/>
        <v/>
      </c>
      <c r="C702" s="105"/>
      <c r="D702" s="10"/>
      <c r="E702" s="59" t="str">
        <f t="array" ref="E702">IF(COUNTA(C702:C1644)=0,"",SUM((COUNTIF(C$4:C702,Upgrades!$B$3:$B$13)-COUNTIF(C$4:C702,"Sell_"&amp;Upgrades!$B$3:$B$13))*Upgrades!$D$3:$D$13))</f>
        <v/>
      </c>
      <c r="F702" s="66" t="str">
        <f>IFERROR(__xludf.DUMMYFUNCTION("IF(COUNTA(C702:C1644)=0,"""",IF(REGEXMATCH(INDEX(FILTER(C$4:C702,C$4:C702&lt;&gt;""""),ROWS(FILTER(C$4:C702,C$4:C702&lt;&gt;""""))),""^Sell_""),INDEX(FILTER(F$4:F701,C$4:C701&lt;&gt;""""),ROWS(FILTER(C$4:C701,C$4:C701&lt;&gt;""""))),$AC$5+E702))"),"")</f>
        <v/>
      </c>
      <c r="G702" s="10" t="str">
        <f>IFERROR(__xludf.DUMMYFUNCTION("IF(COUNTA(C702:C1644)=0,"""",IF(C702="""",0,IF(REGEXMATCH(C702,""^Sell_""),-ROUNDDOWN(ROUNDUP(INDEX(Upgrades!$C$3:$C$13,MATCH(SUBSTITUTE(C702,""Sell_"",""""),Upgrades!$B$3:$B$13,0))*1.15^(COUNTIF(C$4:C701,SUBSTITUTE(C702,""Sell_"",""""))-COUNTIF(C$4:C701,"&amp;"""Sell_""&amp;SUBSTITUTE(C702,""Sell_"",""""))))/2),ROUNDUP(INDEX(Upgrades!$C$3:$C$13,MATCH(C702,Upgrades!$B$3:$B$13,0))*1.15^(COUNTIF(C$4:C701,C702)-COUNTIF(C$4:C701,""Sell_""&amp;C702))))))"),"")</f>
        <v/>
      </c>
      <c r="H702" s="10" t="str">
        <f t="shared" si="3"/>
        <v/>
      </c>
      <c r="I702" s="68" t="str">
        <f t="shared" si="4"/>
        <v/>
      </c>
      <c r="J702" s="59" t="str">
        <f t="shared" si="5"/>
        <v/>
      </c>
      <c r="K702" s="69" t="str">
        <f t="shared" si="6"/>
        <v/>
      </c>
      <c r="L702" s="60" t="str">
        <f t="shared" si="7"/>
        <v/>
      </c>
      <c r="M702" s="61" t="str">
        <f>IFERROR(__xludf.DUMMYFUNCTION("IFS(AND(COUNTA(C702:C1644)=0,COUNTA(Q702:Q1644)=0),"""",OR(AND(K702&gt;=1000000000,OR(Y702&gt;=1000000000,COUNTA(Q702:Q1644)=0)),OR(Y702&gt;=1000000000,AND(COUNTA(C702:C1644)=0,P$3=TRUE))),
ROUNDDOWN((AB$1-AC$1)*MAX(INDEX(T$4:T1644,MATCH(LARGE(FILTER(Y$4:Y1644,Y$4"&amp;":Y1644&lt;1000000000),1),Y$4:Y1644)),INDEX(F$4:F1644,MATCH(LARGE(FILTER(K$4:K1644,K$4:K1644&lt;1000000000),1),K$4:K1644)))),AND(K702&lt;1000000000,COUNTA(C702:C1644)&gt;0,P$3=FALSE),
ROUNDDOWN(INDEX(Y$4:Y1644,MATCH(LARGE(FILTER(W$4:W1644,W$4:W1644&lt;=I702),1),W$4:W1644"&amp;"))+(I702-LARGE(FILTER(W$4:W1644,W$4:W1644&lt;=I702),1))*INDEX(T$4:T1644,MATCH(LARGE(FILTER(W$4:W1644,W$4:W1644&lt;=I702),1),W$4:W1644))-K702),1,
ROUNDDOWN(Y702-INDEX(K$4:K1644,MATCH(LARGE(FILTER(I$4:I1644,I$4:I1644&lt;=W702),1),I$4:I1644))-(W702-LARGE(FILTER(I$4:I"&amp;"1644,I$4:I1644&lt;=W702),1))*INDEX(F$4:F1644,MATCH(LARGE(FILTER(I$4:I1644,I$4:I1644&lt;=W702),1),I$4:I1644))))"),"")</f>
        <v/>
      </c>
      <c r="N702" s="60" t="str">
        <f t="shared" si="8"/>
        <v/>
      </c>
      <c r="O702" s="61" t="str">
        <f t="shared" si="9"/>
        <v/>
      </c>
      <c r="P702" s="56" t="str">
        <f t="shared" si="10"/>
        <v/>
      </c>
      <c r="Q702" s="105"/>
      <c r="R702" s="10"/>
      <c r="S702" s="59" t="str">
        <f t="array" ref="S702">IF(COUNTA(Q702:Q1644)=0,"",SUM((COUNTIF(Q$4:Q702,Upgrades!$B$3:$B$13)-COUNTIF(Q$4:Q702,"Sell_"&amp;Upgrades!$B$3:$B$13))*Upgrades!$D$3:$D$13))</f>
        <v/>
      </c>
      <c r="T702" s="66" t="str">
        <f>IFERROR(__xludf.DUMMYFUNCTION("IF(COUNTA(Q702:Q1644)=0,"""",IF(REGEXMATCH(INDEX(FILTER(Q$4:Q702,Q$4:Q702&lt;&gt;""""),ROWS(FILTER(Q$4:Q702,Q$4:Q702&lt;&gt;""""))),""^Sell_""),INDEX(FILTER(T$4:T701,Q$4:Q701&lt;&gt;""""),ROWS(FILTER(Q$4:Q701,Q$4:Q701&lt;&gt;""""))),$AD$5+S702))"),"")</f>
        <v/>
      </c>
      <c r="U702" s="10" t="str">
        <f>IFERROR(__xludf.DUMMYFUNCTION("IF(COUNTA(Q702:Q1644)=0,"""",IF(Q702="""",0,IF(REGEXMATCH(Q702,""^Sell_""),-ROUNDDOWN(ROUNDUP(INDEX(Upgrades!$C$3:$C$13,MATCH(SUBSTITUTE(Q702,""Sell_"",""""),Upgrades!$B$3:$B$13,0))*1.15^(COUNTIF(Q$4:Q701,SUBSTITUTE(Q702,""Sell_"",""""))-COUNTIF(Q$4:Q701,"&amp;"""Sell_""&amp;SUBSTITUTE(Q702,""Sell_"",""""))))/2),ROUNDUP(INDEX(Upgrades!$C$3:$C$13,MATCH(Q702,Upgrades!$B$3:$B$13,0))*1.15^(COUNTIF(Q$4:Q701,Q702)-COUNTIF(Q$4:Q701,""Sell_""&amp;Q702))))))"),"")</f>
        <v/>
      </c>
      <c r="V702" s="10" t="str">
        <f t="shared" si="11"/>
        <v/>
      </c>
      <c r="W702" s="68" t="str">
        <f t="shared" si="12"/>
        <v/>
      </c>
      <c r="X702" s="59" t="str">
        <f t="shared" si="13"/>
        <v/>
      </c>
      <c r="Y702" s="69" t="str">
        <f t="shared" si="14"/>
        <v/>
      </c>
      <c r="Z702" s="11"/>
      <c r="AG702" s="59"/>
    </row>
    <row r="703">
      <c r="A703" s="8"/>
      <c r="B703" s="56" t="str">
        <f t="shared" si="2"/>
        <v/>
      </c>
      <c r="C703" s="105"/>
      <c r="D703" s="10"/>
      <c r="E703" s="59" t="str">
        <f t="array" ref="E703">IF(COUNTA(C703:C1644)=0,"",SUM((COUNTIF(C$4:C703,Upgrades!$B$3:$B$13)-COUNTIF(C$4:C703,"Sell_"&amp;Upgrades!$B$3:$B$13))*Upgrades!$D$3:$D$13))</f>
        <v/>
      </c>
      <c r="F703" s="66" t="str">
        <f>IFERROR(__xludf.DUMMYFUNCTION("IF(COUNTA(C703:C1644)=0,"""",IF(REGEXMATCH(INDEX(FILTER(C$4:C703,C$4:C703&lt;&gt;""""),ROWS(FILTER(C$4:C703,C$4:C703&lt;&gt;""""))),""^Sell_""),INDEX(FILTER(F$4:F702,C$4:C702&lt;&gt;""""),ROWS(FILTER(C$4:C702,C$4:C702&lt;&gt;""""))),$AC$5+E703))"),"")</f>
        <v/>
      </c>
      <c r="G703" s="10" t="str">
        <f>IFERROR(__xludf.DUMMYFUNCTION("IF(COUNTA(C703:C1644)=0,"""",IF(C703="""",0,IF(REGEXMATCH(C703,""^Sell_""),-ROUNDDOWN(ROUNDUP(INDEX(Upgrades!$C$3:$C$13,MATCH(SUBSTITUTE(C703,""Sell_"",""""),Upgrades!$B$3:$B$13,0))*1.15^(COUNTIF(C$4:C702,SUBSTITUTE(C703,""Sell_"",""""))-COUNTIF(C$4:C702,"&amp;"""Sell_""&amp;SUBSTITUTE(C703,""Sell_"",""""))))/2),ROUNDUP(INDEX(Upgrades!$C$3:$C$13,MATCH(C703,Upgrades!$B$3:$B$13,0))*1.15^(COUNTIF(C$4:C702,C703)-COUNTIF(C$4:C702,""Sell_""&amp;C703))))))"),"")</f>
        <v/>
      </c>
      <c r="H703" s="10" t="str">
        <f t="shared" si="3"/>
        <v/>
      </c>
      <c r="I703" s="68" t="str">
        <f t="shared" si="4"/>
        <v/>
      </c>
      <c r="J703" s="59" t="str">
        <f t="shared" si="5"/>
        <v/>
      </c>
      <c r="K703" s="69" t="str">
        <f t="shared" si="6"/>
        <v/>
      </c>
      <c r="L703" s="60" t="str">
        <f t="shared" si="7"/>
        <v/>
      </c>
      <c r="M703" s="61" t="str">
        <f>IFERROR(__xludf.DUMMYFUNCTION("IFS(AND(COUNTA(C703:C1644)=0,COUNTA(Q703:Q1644)=0),"""",OR(AND(K703&gt;=1000000000,OR(Y703&gt;=1000000000,COUNTA(Q703:Q1644)=0)),OR(Y703&gt;=1000000000,AND(COUNTA(C703:C1644)=0,P$3=TRUE))),
ROUNDDOWN((AB$1-AC$1)*MAX(INDEX(T$4:T1644,MATCH(LARGE(FILTER(Y$4:Y1644,Y$4"&amp;":Y1644&lt;1000000000),1),Y$4:Y1644)),INDEX(F$4:F1644,MATCH(LARGE(FILTER(K$4:K1644,K$4:K1644&lt;1000000000),1),K$4:K1644)))),AND(K703&lt;1000000000,COUNTA(C703:C1644)&gt;0,P$3=FALSE),
ROUNDDOWN(INDEX(Y$4:Y1644,MATCH(LARGE(FILTER(W$4:W1644,W$4:W1644&lt;=I703),1),W$4:W1644"&amp;"))+(I703-LARGE(FILTER(W$4:W1644,W$4:W1644&lt;=I703),1))*INDEX(T$4:T1644,MATCH(LARGE(FILTER(W$4:W1644,W$4:W1644&lt;=I703),1),W$4:W1644))-K703),1,
ROUNDDOWN(Y703-INDEX(K$4:K1644,MATCH(LARGE(FILTER(I$4:I1644,I$4:I1644&lt;=W703),1),I$4:I1644))-(W703-LARGE(FILTER(I$4:I"&amp;"1644,I$4:I1644&lt;=W703),1))*INDEX(F$4:F1644,MATCH(LARGE(FILTER(I$4:I1644,I$4:I1644&lt;=W703),1),I$4:I1644))))"),"")</f>
        <v/>
      </c>
      <c r="N703" s="60" t="str">
        <f t="shared" si="8"/>
        <v/>
      </c>
      <c r="O703" s="61" t="str">
        <f t="shared" si="9"/>
        <v/>
      </c>
      <c r="P703" s="56" t="str">
        <f t="shared" si="10"/>
        <v/>
      </c>
      <c r="Q703" s="105"/>
      <c r="R703" s="10"/>
      <c r="S703" s="59" t="str">
        <f t="array" ref="S703">IF(COUNTA(Q703:Q1644)=0,"",SUM((COUNTIF(Q$4:Q703,Upgrades!$B$3:$B$13)-COUNTIF(Q$4:Q703,"Sell_"&amp;Upgrades!$B$3:$B$13))*Upgrades!$D$3:$D$13))</f>
        <v/>
      </c>
      <c r="T703" s="66" t="str">
        <f>IFERROR(__xludf.DUMMYFUNCTION("IF(COUNTA(Q703:Q1644)=0,"""",IF(REGEXMATCH(INDEX(FILTER(Q$4:Q703,Q$4:Q703&lt;&gt;""""),ROWS(FILTER(Q$4:Q703,Q$4:Q703&lt;&gt;""""))),""^Sell_""),INDEX(FILTER(T$4:T702,Q$4:Q702&lt;&gt;""""),ROWS(FILTER(Q$4:Q702,Q$4:Q702&lt;&gt;""""))),$AD$5+S703))"),"")</f>
        <v/>
      </c>
      <c r="U703" s="10" t="str">
        <f>IFERROR(__xludf.DUMMYFUNCTION("IF(COUNTA(Q703:Q1644)=0,"""",IF(Q703="""",0,IF(REGEXMATCH(Q703,""^Sell_""),-ROUNDDOWN(ROUNDUP(INDEX(Upgrades!$C$3:$C$13,MATCH(SUBSTITUTE(Q703,""Sell_"",""""),Upgrades!$B$3:$B$13,0))*1.15^(COUNTIF(Q$4:Q702,SUBSTITUTE(Q703,""Sell_"",""""))-COUNTIF(Q$4:Q702,"&amp;"""Sell_""&amp;SUBSTITUTE(Q703,""Sell_"",""""))))/2),ROUNDUP(INDEX(Upgrades!$C$3:$C$13,MATCH(Q703,Upgrades!$B$3:$B$13,0))*1.15^(COUNTIF(Q$4:Q702,Q703)-COUNTIF(Q$4:Q702,""Sell_""&amp;Q703))))))"),"")</f>
        <v/>
      </c>
      <c r="V703" s="10" t="str">
        <f t="shared" si="11"/>
        <v/>
      </c>
      <c r="W703" s="68" t="str">
        <f t="shared" si="12"/>
        <v/>
      </c>
      <c r="X703" s="59" t="str">
        <f t="shared" si="13"/>
        <v/>
      </c>
      <c r="Y703" s="69" t="str">
        <f t="shared" si="14"/>
        <v/>
      </c>
      <c r="Z703" s="11"/>
      <c r="AG703" s="59"/>
    </row>
    <row r="704">
      <c r="A704" s="8"/>
      <c r="B704" s="56" t="str">
        <f t="shared" si="2"/>
        <v/>
      </c>
      <c r="C704" s="105"/>
      <c r="D704" s="10"/>
      <c r="E704" s="59" t="str">
        <f t="array" ref="E704">IF(COUNTA(C704:C1644)=0,"",SUM((COUNTIF(C$4:C704,Upgrades!$B$3:$B$13)-COUNTIF(C$4:C704,"Sell_"&amp;Upgrades!$B$3:$B$13))*Upgrades!$D$3:$D$13))</f>
        <v/>
      </c>
      <c r="F704" s="66" t="str">
        <f>IFERROR(__xludf.DUMMYFUNCTION("IF(COUNTA(C704:C1644)=0,"""",IF(REGEXMATCH(INDEX(FILTER(C$4:C704,C$4:C704&lt;&gt;""""),ROWS(FILTER(C$4:C704,C$4:C704&lt;&gt;""""))),""^Sell_""),INDEX(FILTER(F$4:F703,C$4:C703&lt;&gt;""""),ROWS(FILTER(C$4:C703,C$4:C703&lt;&gt;""""))),$AC$5+E704))"),"")</f>
        <v/>
      </c>
      <c r="G704" s="10" t="str">
        <f>IFERROR(__xludf.DUMMYFUNCTION("IF(COUNTA(C704:C1644)=0,"""",IF(C704="""",0,IF(REGEXMATCH(C704,""^Sell_""),-ROUNDDOWN(ROUNDUP(INDEX(Upgrades!$C$3:$C$13,MATCH(SUBSTITUTE(C704,""Sell_"",""""),Upgrades!$B$3:$B$13,0))*1.15^(COUNTIF(C$4:C703,SUBSTITUTE(C704,""Sell_"",""""))-COUNTIF(C$4:C703,"&amp;"""Sell_""&amp;SUBSTITUTE(C704,""Sell_"",""""))))/2),ROUNDUP(INDEX(Upgrades!$C$3:$C$13,MATCH(C704,Upgrades!$B$3:$B$13,0))*1.15^(COUNTIF(C$4:C703,C704)-COUNTIF(C$4:C703,""Sell_""&amp;C704))))))"),"")</f>
        <v/>
      </c>
      <c r="H704" s="10" t="str">
        <f t="shared" si="3"/>
        <v/>
      </c>
      <c r="I704" s="68" t="str">
        <f t="shared" si="4"/>
        <v/>
      </c>
      <c r="J704" s="59" t="str">
        <f t="shared" si="5"/>
        <v/>
      </c>
      <c r="K704" s="69" t="str">
        <f t="shared" si="6"/>
        <v/>
      </c>
      <c r="L704" s="60" t="str">
        <f t="shared" si="7"/>
        <v/>
      </c>
      <c r="M704" s="61" t="str">
        <f>IFERROR(__xludf.DUMMYFUNCTION("IFS(AND(COUNTA(C704:C1644)=0,COUNTA(Q704:Q1644)=0),"""",OR(AND(K704&gt;=1000000000,OR(Y704&gt;=1000000000,COUNTA(Q704:Q1644)=0)),OR(Y704&gt;=1000000000,AND(COUNTA(C704:C1644)=0,P$3=TRUE))),
ROUNDDOWN((AB$1-AC$1)*MAX(INDEX(T$4:T1644,MATCH(LARGE(FILTER(Y$4:Y1644,Y$4"&amp;":Y1644&lt;1000000000),1),Y$4:Y1644)),INDEX(F$4:F1644,MATCH(LARGE(FILTER(K$4:K1644,K$4:K1644&lt;1000000000),1),K$4:K1644)))),AND(K704&lt;1000000000,COUNTA(C704:C1644)&gt;0,P$3=FALSE),
ROUNDDOWN(INDEX(Y$4:Y1644,MATCH(LARGE(FILTER(W$4:W1644,W$4:W1644&lt;=I704),1),W$4:W1644"&amp;"))+(I704-LARGE(FILTER(W$4:W1644,W$4:W1644&lt;=I704),1))*INDEX(T$4:T1644,MATCH(LARGE(FILTER(W$4:W1644,W$4:W1644&lt;=I704),1),W$4:W1644))-K704),1,
ROUNDDOWN(Y704-INDEX(K$4:K1644,MATCH(LARGE(FILTER(I$4:I1644,I$4:I1644&lt;=W704),1),I$4:I1644))-(W704-LARGE(FILTER(I$4:I"&amp;"1644,I$4:I1644&lt;=W704),1))*INDEX(F$4:F1644,MATCH(LARGE(FILTER(I$4:I1644,I$4:I1644&lt;=W704),1),I$4:I1644))))"),"")</f>
        <v/>
      </c>
      <c r="N704" s="60" t="str">
        <f t="shared" si="8"/>
        <v/>
      </c>
      <c r="O704" s="61" t="str">
        <f t="shared" si="9"/>
        <v/>
      </c>
      <c r="P704" s="56" t="str">
        <f t="shared" si="10"/>
        <v/>
      </c>
      <c r="Q704" s="105"/>
      <c r="R704" s="10"/>
      <c r="S704" s="59" t="str">
        <f t="array" ref="S704">IF(COUNTA(Q704:Q1644)=0,"",SUM((COUNTIF(Q$4:Q704,Upgrades!$B$3:$B$13)-COUNTIF(Q$4:Q704,"Sell_"&amp;Upgrades!$B$3:$B$13))*Upgrades!$D$3:$D$13))</f>
        <v/>
      </c>
      <c r="T704" s="66" t="str">
        <f>IFERROR(__xludf.DUMMYFUNCTION("IF(COUNTA(Q704:Q1644)=0,"""",IF(REGEXMATCH(INDEX(FILTER(Q$4:Q704,Q$4:Q704&lt;&gt;""""),ROWS(FILTER(Q$4:Q704,Q$4:Q704&lt;&gt;""""))),""^Sell_""),INDEX(FILTER(T$4:T703,Q$4:Q703&lt;&gt;""""),ROWS(FILTER(Q$4:Q703,Q$4:Q703&lt;&gt;""""))),$AD$5+S704))"),"")</f>
        <v/>
      </c>
      <c r="U704" s="10" t="str">
        <f>IFERROR(__xludf.DUMMYFUNCTION("IF(COUNTA(Q704:Q1644)=0,"""",IF(Q704="""",0,IF(REGEXMATCH(Q704,""^Sell_""),-ROUNDDOWN(ROUNDUP(INDEX(Upgrades!$C$3:$C$13,MATCH(SUBSTITUTE(Q704,""Sell_"",""""),Upgrades!$B$3:$B$13,0))*1.15^(COUNTIF(Q$4:Q703,SUBSTITUTE(Q704,""Sell_"",""""))-COUNTIF(Q$4:Q703,"&amp;"""Sell_""&amp;SUBSTITUTE(Q704,""Sell_"",""""))))/2),ROUNDUP(INDEX(Upgrades!$C$3:$C$13,MATCH(Q704,Upgrades!$B$3:$B$13,0))*1.15^(COUNTIF(Q$4:Q703,Q704)-COUNTIF(Q$4:Q703,""Sell_""&amp;Q704))))))"),"")</f>
        <v/>
      </c>
      <c r="V704" s="10" t="str">
        <f t="shared" si="11"/>
        <v/>
      </c>
      <c r="W704" s="68" t="str">
        <f t="shared" si="12"/>
        <v/>
      </c>
      <c r="X704" s="59" t="str">
        <f t="shared" si="13"/>
        <v/>
      </c>
      <c r="Y704" s="69" t="str">
        <f t="shared" si="14"/>
        <v/>
      </c>
      <c r="Z704" s="11"/>
      <c r="AG704" s="59"/>
    </row>
    <row r="705">
      <c r="A705" s="8"/>
      <c r="B705" s="56" t="str">
        <f t="shared" si="2"/>
        <v/>
      </c>
      <c r="C705" s="105"/>
      <c r="D705" s="10"/>
      <c r="E705" s="59" t="str">
        <f t="array" ref="E705">IF(COUNTA(C705:C1644)=0,"",SUM((COUNTIF(C$4:C705,Upgrades!$B$3:$B$13)-COUNTIF(C$4:C705,"Sell_"&amp;Upgrades!$B$3:$B$13))*Upgrades!$D$3:$D$13))</f>
        <v/>
      </c>
      <c r="F705" s="66" t="str">
        <f>IFERROR(__xludf.DUMMYFUNCTION("IF(COUNTA(C705:C1644)=0,"""",IF(REGEXMATCH(INDEX(FILTER(C$4:C705,C$4:C705&lt;&gt;""""),ROWS(FILTER(C$4:C705,C$4:C705&lt;&gt;""""))),""^Sell_""),INDEX(FILTER(F$4:F704,C$4:C704&lt;&gt;""""),ROWS(FILTER(C$4:C704,C$4:C704&lt;&gt;""""))),$AC$5+E705))"),"")</f>
        <v/>
      </c>
      <c r="G705" s="10" t="str">
        <f>IFERROR(__xludf.DUMMYFUNCTION("IF(COUNTA(C705:C1644)=0,"""",IF(C705="""",0,IF(REGEXMATCH(C705,""^Sell_""),-ROUNDDOWN(ROUNDUP(INDEX(Upgrades!$C$3:$C$13,MATCH(SUBSTITUTE(C705,""Sell_"",""""),Upgrades!$B$3:$B$13,0))*1.15^(COUNTIF(C$4:C704,SUBSTITUTE(C705,""Sell_"",""""))-COUNTIF(C$4:C704,"&amp;"""Sell_""&amp;SUBSTITUTE(C705,""Sell_"",""""))))/2),ROUNDUP(INDEX(Upgrades!$C$3:$C$13,MATCH(C705,Upgrades!$B$3:$B$13,0))*1.15^(COUNTIF(C$4:C704,C705)-COUNTIF(C$4:C704,""Sell_""&amp;C705))))))"),"")</f>
        <v/>
      </c>
      <c r="H705" s="10" t="str">
        <f t="shared" si="3"/>
        <v/>
      </c>
      <c r="I705" s="68" t="str">
        <f t="shared" si="4"/>
        <v/>
      </c>
      <c r="J705" s="59" t="str">
        <f t="shared" si="5"/>
        <v/>
      </c>
      <c r="K705" s="69" t="str">
        <f t="shared" si="6"/>
        <v/>
      </c>
      <c r="L705" s="60" t="str">
        <f t="shared" si="7"/>
        <v/>
      </c>
      <c r="M705" s="61" t="str">
        <f>IFERROR(__xludf.DUMMYFUNCTION("IFS(AND(COUNTA(C705:C1644)=0,COUNTA(Q705:Q1644)=0),"""",OR(AND(K705&gt;=1000000000,OR(Y705&gt;=1000000000,COUNTA(Q705:Q1644)=0)),OR(Y705&gt;=1000000000,AND(COUNTA(C705:C1644)=0,P$3=TRUE))),
ROUNDDOWN((AB$1-AC$1)*MAX(INDEX(T$4:T1644,MATCH(LARGE(FILTER(Y$4:Y1644,Y$4"&amp;":Y1644&lt;1000000000),1),Y$4:Y1644)),INDEX(F$4:F1644,MATCH(LARGE(FILTER(K$4:K1644,K$4:K1644&lt;1000000000),1),K$4:K1644)))),AND(K705&lt;1000000000,COUNTA(C705:C1644)&gt;0,P$3=FALSE),
ROUNDDOWN(INDEX(Y$4:Y1644,MATCH(LARGE(FILTER(W$4:W1644,W$4:W1644&lt;=I705),1),W$4:W1644"&amp;"))+(I705-LARGE(FILTER(W$4:W1644,W$4:W1644&lt;=I705),1))*INDEX(T$4:T1644,MATCH(LARGE(FILTER(W$4:W1644,W$4:W1644&lt;=I705),1),W$4:W1644))-K705),1,
ROUNDDOWN(Y705-INDEX(K$4:K1644,MATCH(LARGE(FILTER(I$4:I1644,I$4:I1644&lt;=W705),1),I$4:I1644))-(W705-LARGE(FILTER(I$4:I"&amp;"1644,I$4:I1644&lt;=W705),1))*INDEX(F$4:F1644,MATCH(LARGE(FILTER(I$4:I1644,I$4:I1644&lt;=W705),1),I$4:I1644))))"),"")</f>
        <v/>
      </c>
      <c r="N705" s="60" t="str">
        <f t="shared" si="8"/>
        <v/>
      </c>
      <c r="O705" s="61" t="str">
        <f t="shared" si="9"/>
        <v/>
      </c>
      <c r="P705" s="56" t="str">
        <f t="shared" si="10"/>
        <v/>
      </c>
      <c r="Q705" s="105"/>
      <c r="R705" s="10"/>
      <c r="S705" s="59" t="str">
        <f t="array" ref="S705">IF(COUNTA(Q705:Q1644)=0,"",SUM((COUNTIF(Q$4:Q705,Upgrades!$B$3:$B$13)-COUNTIF(Q$4:Q705,"Sell_"&amp;Upgrades!$B$3:$B$13))*Upgrades!$D$3:$D$13))</f>
        <v/>
      </c>
      <c r="T705" s="66" t="str">
        <f>IFERROR(__xludf.DUMMYFUNCTION("IF(COUNTA(Q705:Q1644)=0,"""",IF(REGEXMATCH(INDEX(FILTER(Q$4:Q705,Q$4:Q705&lt;&gt;""""),ROWS(FILTER(Q$4:Q705,Q$4:Q705&lt;&gt;""""))),""^Sell_""),INDEX(FILTER(T$4:T704,Q$4:Q704&lt;&gt;""""),ROWS(FILTER(Q$4:Q704,Q$4:Q704&lt;&gt;""""))),$AD$5+S705))"),"")</f>
        <v/>
      </c>
      <c r="U705" s="10" t="str">
        <f>IFERROR(__xludf.DUMMYFUNCTION("IF(COUNTA(Q705:Q1644)=0,"""",IF(Q705="""",0,IF(REGEXMATCH(Q705,""^Sell_""),-ROUNDDOWN(ROUNDUP(INDEX(Upgrades!$C$3:$C$13,MATCH(SUBSTITUTE(Q705,""Sell_"",""""),Upgrades!$B$3:$B$13,0))*1.15^(COUNTIF(Q$4:Q704,SUBSTITUTE(Q705,""Sell_"",""""))-COUNTIF(Q$4:Q704,"&amp;"""Sell_""&amp;SUBSTITUTE(Q705,""Sell_"",""""))))/2),ROUNDUP(INDEX(Upgrades!$C$3:$C$13,MATCH(Q705,Upgrades!$B$3:$B$13,0))*1.15^(COUNTIF(Q$4:Q704,Q705)-COUNTIF(Q$4:Q704,""Sell_""&amp;Q705))))))"),"")</f>
        <v/>
      </c>
      <c r="V705" s="10" t="str">
        <f t="shared" si="11"/>
        <v/>
      </c>
      <c r="W705" s="68" t="str">
        <f t="shared" si="12"/>
        <v/>
      </c>
      <c r="X705" s="59" t="str">
        <f t="shared" si="13"/>
        <v/>
      </c>
      <c r="Y705" s="69" t="str">
        <f t="shared" si="14"/>
        <v/>
      </c>
      <c r="Z705" s="11"/>
      <c r="AG705" s="59"/>
    </row>
    <row r="706">
      <c r="A706" s="8"/>
      <c r="B706" s="56" t="str">
        <f t="shared" si="2"/>
        <v/>
      </c>
      <c r="C706" s="105"/>
      <c r="D706" s="10"/>
      <c r="E706" s="59" t="str">
        <f t="array" ref="E706">IF(COUNTA(C706:C1644)=0,"",SUM((COUNTIF(C$4:C706,Upgrades!$B$3:$B$13)-COUNTIF(C$4:C706,"Sell_"&amp;Upgrades!$B$3:$B$13))*Upgrades!$D$3:$D$13))</f>
        <v/>
      </c>
      <c r="F706" s="66" t="str">
        <f>IFERROR(__xludf.DUMMYFUNCTION("IF(COUNTA(C706:C1644)=0,"""",IF(REGEXMATCH(INDEX(FILTER(C$4:C706,C$4:C706&lt;&gt;""""),ROWS(FILTER(C$4:C706,C$4:C706&lt;&gt;""""))),""^Sell_""),INDEX(FILTER(F$4:F705,C$4:C705&lt;&gt;""""),ROWS(FILTER(C$4:C705,C$4:C705&lt;&gt;""""))),$AC$5+E706))"),"")</f>
        <v/>
      </c>
      <c r="G706" s="10" t="str">
        <f>IFERROR(__xludf.DUMMYFUNCTION("IF(COUNTA(C706:C1644)=0,"""",IF(C706="""",0,IF(REGEXMATCH(C706,""^Sell_""),-ROUNDDOWN(ROUNDUP(INDEX(Upgrades!$C$3:$C$13,MATCH(SUBSTITUTE(C706,""Sell_"",""""),Upgrades!$B$3:$B$13,0))*1.15^(COUNTIF(C$4:C705,SUBSTITUTE(C706,""Sell_"",""""))-COUNTIF(C$4:C705,"&amp;"""Sell_""&amp;SUBSTITUTE(C706,""Sell_"",""""))))/2),ROUNDUP(INDEX(Upgrades!$C$3:$C$13,MATCH(C706,Upgrades!$B$3:$B$13,0))*1.15^(COUNTIF(C$4:C705,C706)-COUNTIF(C$4:C705,""Sell_""&amp;C706))))))"),"")</f>
        <v/>
      </c>
      <c r="H706" s="10" t="str">
        <f t="shared" si="3"/>
        <v/>
      </c>
      <c r="I706" s="68" t="str">
        <f t="shared" si="4"/>
        <v/>
      </c>
      <c r="J706" s="59" t="str">
        <f t="shared" si="5"/>
        <v/>
      </c>
      <c r="K706" s="69" t="str">
        <f t="shared" si="6"/>
        <v/>
      </c>
      <c r="L706" s="60" t="str">
        <f t="shared" si="7"/>
        <v/>
      </c>
      <c r="M706" s="61" t="str">
        <f>IFERROR(__xludf.DUMMYFUNCTION("IFS(AND(COUNTA(C706:C1644)=0,COUNTA(Q706:Q1644)=0),"""",OR(AND(K706&gt;=1000000000,OR(Y706&gt;=1000000000,COUNTA(Q706:Q1644)=0)),OR(Y706&gt;=1000000000,AND(COUNTA(C706:C1644)=0,P$3=TRUE))),
ROUNDDOWN((AB$1-AC$1)*MAX(INDEX(T$4:T1644,MATCH(LARGE(FILTER(Y$4:Y1644,Y$4"&amp;":Y1644&lt;1000000000),1),Y$4:Y1644)),INDEX(F$4:F1644,MATCH(LARGE(FILTER(K$4:K1644,K$4:K1644&lt;1000000000),1),K$4:K1644)))),AND(K706&lt;1000000000,COUNTA(C706:C1644)&gt;0,P$3=FALSE),
ROUNDDOWN(INDEX(Y$4:Y1644,MATCH(LARGE(FILTER(W$4:W1644,W$4:W1644&lt;=I706),1),W$4:W1644"&amp;"))+(I706-LARGE(FILTER(W$4:W1644,W$4:W1644&lt;=I706),1))*INDEX(T$4:T1644,MATCH(LARGE(FILTER(W$4:W1644,W$4:W1644&lt;=I706),1),W$4:W1644))-K706),1,
ROUNDDOWN(Y706-INDEX(K$4:K1644,MATCH(LARGE(FILTER(I$4:I1644,I$4:I1644&lt;=W706),1),I$4:I1644))-(W706-LARGE(FILTER(I$4:I"&amp;"1644,I$4:I1644&lt;=W706),1))*INDEX(F$4:F1644,MATCH(LARGE(FILTER(I$4:I1644,I$4:I1644&lt;=W706),1),I$4:I1644))))"),"")</f>
        <v/>
      </c>
      <c r="N706" s="60" t="str">
        <f t="shared" si="8"/>
        <v/>
      </c>
      <c r="O706" s="61" t="str">
        <f t="shared" si="9"/>
        <v/>
      </c>
      <c r="P706" s="56" t="str">
        <f t="shared" si="10"/>
        <v/>
      </c>
      <c r="Q706" s="105"/>
      <c r="R706" s="10"/>
      <c r="S706" s="59" t="str">
        <f t="array" ref="S706">IF(COUNTA(Q706:Q1644)=0,"",SUM((COUNTIF(Q$4:Q706,Upgrades!$B$3:$B$13)-COUNTIF(Q$4:Q706,"Sell_"&amp;Upgrades!$B$3:$B$13))*Upgrades!$D$3:$D$13))</f>
        <v/>
      </c>
      <c r="T706" s="66" t="str">
        <f>IFERROR(__xludf.DUMMYFUNCTION("IF(COUNTA(Q706:Q1644)=0,"""",IF(REGEXMATCH(INDEX(FILTER(Q$4:Q706,Q$4:Q706&lt;&gt;""""),ROWS(FILTER(Q$4:Q706,Q$4:Q706&lt;&gt;""""))),""^Sell_""),INDEX(FILTER(T$4:T705,Q$4:Q705&lt;&gt;""""),ROWS(FILTER(Q$4:Q705,Q$4:Q705&lt;&gt;""""))),$AD$5+S706))"),"")</f>
        <v/>
      </c>
      <c r="U706" s="10" t="str">
        <f>IFERROR(__xludf.DUMMYFUNCTION("IF(COUNTA(Q706:Q1644)=0,"""",IF(Q706="""",0,IF(REGEXMATCH(Q706,""^Sell_""),-ROUNDDOWN(ROUNDUP(INDEX(Upgrades!$C$3:$C$13,MATCH(SUBSTITUTE(Q706,""Sell_"",""""),Upgrades!$B$3:$B$13,0))*1.15^(COUNTIF(Q$4:Q705,SUBSTITUTE(Q706,""Sell_"",""""))-COUNTIF(Q$4:Q705,"&amp;"""Sell_""&amp;SUBSTITUTE(Q706,""Sell_"",""""))))/2),ROUNDUP(INDEX(Upgrades!$C$3:$C$13,MATCH(Q706,Upgrades!$B$3:$B$13,0))*1.15^(COUNTIF(Q$4:Q705,Q706)-COUNTIF(Q$4:Q705,""Sell_""&amp;Q706))))))"),"")</f>
        <v/>
      </c>
      <c r="V706" s="10" t="str">
        <f t="shared" si="11"/>
        <v/>
      </c>
      <c r="W706" s="68" t="str">
        <f t="shared" si="12"/>
        <v/>
      </c>
      <c r="X706" s="59" t="str">
        <f t="shared" si="13"/>
        <v/>
      </c>
      <c r="Y706" s="69" t="str">
        <f t="shared" si="14"/>
        <v/>
      </c>
      <c r="Z706" s="11"/>
      <c r="AG706" s="59"/>
    </row>
    <row r="707">
      <c r="A707" s="8"/>
      <c r="B707" s="56" t="str">
        <f t="shared" si="2"/>
        <v/>
      </c>
      <c r="C707" s="105"/>
      <c r="D707" s="10"/>
      <c r="E707" s="59" t="str">
        <f t="array" ref="E707">IF(COUNTA(C707:C1644)=0,"",SUM((COUNTIF(C$4:C707,Upgrades!$B$3:$B$13)-COUNTIF(C$4:C707,"Sell_"&amp;Upgrades!$B$3:$B$13))*Upgrades!$D$3:$D$13))</f>
        <v/>
      </c>
      <c r="F707" s="66" t="str">
        <f>IFERROR(__xludf.DUMMYFUNCTION("IF(COUNTA(C707:C1644)=0,"""",IF(REGEXMATCH(INDEX(FILTER(C$4:C707,C$4:C707&lt;&gt;""""),ROWS(FILTER(C$4:C707,C$4:C707&lt;&gt;""""))),""^Sell_""),INDEX(FILTER(F$4:F706,C$4:C706&lt;&gt;""""),ROWS(FILTER(C$4:C706,C$4:C706&lt;&gt;""""))),$AC$5+E707))"),"")</f>
        <v/>
      </c>
      <c r="G707" s="10" t="str">
        <f>IFERROR(__xludf.DUMMYFUNCTION("IF(COUNTA(C707:C1644)=0,"""",IF(C707="""",0,IF(REGEXMATCH(C707,""^Sell_""),-ROUNDDOWN(ROUNDUP(INDEX(Upgrades!$C$3:$C$13,MATCH(SUBSTITUTE(C707,""Sell_"",""""),Upgrades!$B$3:$B$13,0))*1.15^(COUNTIF(C$4:C706,SUBSTITUTE(C707,""Sell_"",""""))-COUNTIF(C$4:C706,"&amp;"""Sell_""&amp;SUBSTITUTE(C707,""Sell_"",""""))))/2),ROUNDUP(INDEX(Upgrades!$C$3:$C$13,MATCH(C707,Upgrades!$B$3:$B$13,0))*1.15^(COUNTIF(C$4:C706,C707)-COUNTIF(C$4:C706,""Sell_""&amp;C707))))))"),"")</f>
        <v/>
      </c>
      <c r="H707" s="10" t="str">
        <f t="shared" si="3"/>
        <v/>
      </c>
      <c r="I707" s="68" t="str">
        <f t="shared" si="4"/>
        <v/>
      </c>
      <c r="J707" s="59" t="str">
        <f t="shared" si="5"/>
        <v/>
      </c>
      <c r="K707" s="69" t="str">
        <f t="shared" si="6"/>
        <v/>
      </c>
      <c r="L707" s="60" t="str">
        <f t="shared" si="7"/>
        <v/>
      </c>
      <c r="M707" s="61" t="str">
        <f>IFERROR(__xludf.DUMMYFUNCTION("IFS(AND(COUNTA(C707:C1644)=0,COUNTA(Q707:Q1644)=0),"""",OR(AND(K707&gt;=1000000000,OR(Y707&gt;=1000000000,COUNTA(Q707:Q1644)=0)),OR(Y707&gt;=1000000000,AND(COUNTA(C707:C1644)=0,P$3=TRUE))),
ROUNDDOWN((AB$1-AC$1)*MAX(INDEX(T$4:T1644,MATCH(LARGE(FILTER(Y$4:Y1644,Y$4"&amp;":Y1644&lt;1000000000),1),Y$4:Y1644)),INDEX(F$4:F1644,MATCH(LARGE(FILTER(K$4:K1644,K$4:K1644&lt;1000000000),1),K$4:K1644)))),AND(K707&lt;1000000000,COUNTA(C707:C1644)&gt;0,P$3=FALSE),
ROUNDDOWN(INDEX(Y$4:Y1644,MATCH(LARGE(FILTER(W$4:W1644,W$4:W1644&lt;=I707),1),W$4:W1644"&amp;"))+(I707-LARGE(FILTER(W$4:W1644,W$4:W1644&lt;=I707),1))*INDEX(T$4:T1644,MATCH(LARGE(FILTER(W$4:W1644,W$4:W1644&lt;=I707),1),W$4:W1644))-K707),1,
ROUNDDOWN(Y707-INDEX(K$4:K1644,MATCH(LARGE(FILTER(I$4:I1644,I$4:I1644&lt;=W707),1),I$4:I1644))-(W707-LARGE(FILTER(I$4:I"&amp;"1644,I$4:I1644&lt;=W707),1))*INDEX(F$4:F1644,MATCH(LARGE(FILTER(I$4:I1644,I$4:I1644&lt;=W707),1),I$4:I1644))))"),"")</f>
        <v/>
      </c>
      <c r="N707" s="60" t="str">
        <f t="shared" si="8"/>
        <v/>
      </c>
      <c r="O707" s="61" t="str">
        <f t="shared" si="9"/>
        <v/>
      </c>
      <c r="P707" s="56" t="str">
        <f t="shared" si="10"/>
        <v/>
      </c>
      <c r="Q707" s="105"/>
      <c r="R707" s="10"/>
      <c r="S707" s="59" t="str">
        <f t="array" ref="S707">IF(COUNTA(Q707:Q1644)=0,"",SUM((COUNTIF(Q$4:Q707,Upgrades!$B$3:$B$13)-COUNTIF(Q$4:Q707,"Sell_"&amp;Upgrades!$B$3:$B$13))*Upgrades!$D$3:$D$13))</f>
        <v/>
      </c>
      <c r="T707" s="66" t="str">
        <f>IFERROR(__xludf.DUMMYFUNCTION("IF(COUNTA(Q707:Q1644)=0,"""",IF(REGEXMATCH(INDEX(FILTER(Q$4:Q707,Q$4:Q707&lt;&gt;""""),ROWS(FILTER(Q$4:Q707,Q$4:Q707&lt;&gt;""""))),""^Sell_""),INDEX(FILTER(T$4:T706,Q$4:Q706&lt;&gt;""""),ROWS(FILTER(Q$4:Q706,Q$4:Q706&lt;&gt;""""))),$AD$5+S707))"),"")</f>
        <v/>
      </c>
      <c r="U707" s="10" t="str">
        <f>IFERROR(__xludf.DUMMYFUNCTION("IF(COUNTA(Q707:Q1644)=0,"""",IF(Q707="""",0,IF(REGEXMATCH(Q707,""^Sell_""),-ROUNDDOWN(ROUNDUP(INDEX(Upgrades!$C$3:$C$13,MATCH(SUBSTITUTE(Q707,""Sell_"",""""),Upgrades!$B$3:$B$13,0))*1.15^(COUNTIF(Q$4:Q706,SUBSTITUTE(Q707,""Sell_"",""""))-COUNTIF(Q$4:Q706,"&amp;"""Sell_""&amp;SUBSTITUTE(Q707,""Sell_"",""""))))/2),ROUNDUP(INDEX(Upgrades!$C$3:$C$13,MATCH(Q707,Upgrades!$B$3:$B$13,0))*1.15^(COUNTIF(Q$4:Q706,Q707)-COUNTIF(Q$4:Q706,""Sell_""&amp;Q707))))))"),"")</f>
        <v/>
      </c>
      <c r="V707" s="10" t="str">
        <f t="shared" si="11"/>
        <v/>
      </c>
      <c r="W707" s="68" t="str">
        <f t="shared" si="12"/>
        <v/>
      </c>
      <c r="X707" s="59" t="str">
        <f t="shared" si="13"/>
        <v/>
      </c>
      <c r="Y707" s="69" t="str">
        <f t="shared" si="14"/>
        <v/>
      </c>
      <c r="Z707" s="11"/>
      <c r="AG707" s="59"/>
    </row>
    <row r="708">
      <c r="A708" s="8"/>
      <c r="B708" s="56" t="str">
        <f t="shared" si="2"/>
        <v/>
      </c>
      <c r="C708" s="105"/>
      <c r="D708" s="10"/>
      <c r="E708" s="59" t="str">
        <f t="array" ref="E708">IF(COUNTA(C708:C1644)=0,"",SUM((COUNTIF(C$4:C708,Upgrades!$B$3:$B$13)-COUNTIF(C$4:C708,"Sell_"&amp;Upgrades!$B$3:$B$13))*Upgrades!$D$3:$D$13))</f>
        <v/>
      </c>
      <c r="F708" s="66" t="str">
        <f>IFERROR(__xludf.DUMMYFUNCTION("IF(COUNTA(C708:C1644)=0,"""",IF(REGEXMATCH(INDEX(FILTER(C$4:C708,C$4:C708&lt;&gt;""""),ROWS(FILTER(C$4:C708,C$4:C708&lt;&gt;""""))),""^Sell_""),INDEX(FILTER(F$4:F707,C$4:C707&lt;&gt;""""),ROWS(FILTER(C$4:C707,C$4:C707&lt;&gt;""""))),$AC$5+E708))"),"")</f>
        <v/>
      </c>
      <c r="G708" s="10" t="str">
        <f>IFERROR(__xludf.DUMMYFUNCTION("IF(COUNTA(C708:C1644)=0,"""",IF(C708="""",0,IF(REGEXMATCH(C708,""^Sell_""),-ROUNDDOWN(ROUNDUP(INDEX(Upgrades!$C$3:$C$13,MATCH(SUBSTITUTE(C708,""Sell_"",""""),Upgrades!$B$3:$B$13,0))*1.15^(COUNTIF(C$4:C707,SUBSTITUTE(C708,""Sell_"",""""))-COUNTIF(C$4:C707,"&amp;"""Sell_""&amp;SUBSTITUTE(C708,""Sell_"",""""))))/2),ROUNDUP(INDEX(Upgrades!$C$3:$C$13,MATCH(C708,Upgrades!$B$3:$B$13,0))*1.15^(COUNTIF(C$4:C707,C708)-COUNTIF(C$4:C707,""Sell_""&amp;C708))))))"),"")</f>
        <v/>
      </c>
      <c r="H708" s="10" t="str">
        <f t="shared" si="3"/>
        <v/>
      </c>
      <c r="I708" s="68" t="str">
        <f t="shared" si="4"/>
        <v/>
      </c>
      <c r="J708" s="59" t="str">
        <f t="shared" si="5"/>
        <v/>
      </c>
      <c r="K708" s="69" t="str">
        <f t="shared" si="6"/>
        <v/>
      </c>
      <c r="L708" s="60" t="str">
        <f t="shared" si="7"/>
        <v/>
      </c>
      <c r="M708" s="61" t="str">
        <f>IFERROR(__xludf.DUMMYFUNCTION("IFS(AND(COUNTA(C708:C1644)=0,COUNTA(Q708:Q1644)=0),"""",OR(AND(K708&gt;=1000000000,OR(Y708&gt;=1000000000,COUNTA(Q708:Q1644)=0)),OR(Y708&gt;=1000000000,AND(COUNTA(C708:C1644)=0,P$3=TRUE))),
ROUNDDOWN((AB$1-AC$1)*MAX(INDEX(T$4:T1644,MATCH(LARGE(FILTER(Y$4:Y1644,Y$4"&amp;":Y1644&lt;1000000000),1),Y$4:Y1644)),INDEX(F$4:F1644,MATCH(LARGE(FILTER(K$4:K1644,K$4:K1644&lt;1000000000),1),K$4:K1644)))),AND(K708&lt;1000000000,COUNTA(C708:C1644)&gt;0,P$3=FALSE),
ROUNDDOWN(INDEX(Y$4:Y1644,MATCH(LARGE(FILTER(W$4:W1644,W$4:W1644&lt;=I708),1),W$4:W1644"&amp;"))+(I708-LARGE(FILTER(W$4:W1644,W$4:W1644&lt;=I708),1))*INDEX(T$4:T1644,MATCH(LARGE(FILTER(W$4:W1644,W$4:W1644&lt;=I708),1),W$4:W1644))-K708),1,
ROUNDDOWN(Y708-INDEX(K$4:K1644,MATCH(LARGE(FILTER(I$4:I1644,I$4:I1644&lt;=W708),1),I$4:I1644))-(W708-LARGE(FILTER(I$4:I"&amp;"1644,I$4:I1644&lt;=W708),1))*INDEX(F$4:F1644,MATCH(LARGE(FILTER(I$4:I1644,I$4:I1644&lt;=W708),1),I$4:I1644))))"),"")</f>
        <v/>
      </c>
      <c r="N708" s="60" t="str">
        <f t="shared" si="8"/>
        <v/>
      </c>
      <c r="O708" s="61" t="str">
        <f t="shared" si="9"/>
        <v/>
      </c>
      <c r="P708" s="56" t="str">
        <f t="shared" si="10"/>
        <v/>
      </c>
      <c r="Q708" s="105"/>
      <c r="R708" s="10"/>
      <c r="S708" s="59" t="str">
        <f t="array" ref="S708">IF(COUNTA(Q708:Q1644)=0,"",SUM((COUNTIF(Q$4:Q708,Upgrades!$B$3:$B$13)-COUNTIF(Q$4:Q708,"Sell_"&amp;Upgrades!$B$3:$B$13))*Upgrades!$D$3:$D$13))</f>
        <v/>
      </c>
      <c r="T708" s="66" t="str">
        <f>IFERROR(__xludf.DUMMYFUNCTION("IF(COUNTA(Q708:Q1644)=0,"""",IF(REGEXMATCH(INDEX(FILTER(Q$4:Q708,Q$4:Q708&lt;&gt;""""),ROWS(FILTER(Q$4:Q708,Q$4:Q708&lt;&gt;""""))),""^Sell_""),INDEX(FILTER(T$4:T707,Q$4:Q707&lt;&gt;""""),ROWS(FILTER(Q$4:Q707,Q$4:Q707&lt;&gt;""""))),$AD$5+S708))"),"")</f>
        <v/>
      </c>
      <c r="U708" s="10" t="str">
        <f>IFERROR(__xludf.DUMMYFUNCTION("IF(COUNTA(Q708:Q1644)=0,"""",IF(Q708="""",0,IF(REGEXMATCH(Q708,""^Sell_""),-ROUNDDOWN(ROUNDUP(INDEX(Upgrades!$C$3:$C$13,MATCH(SUBSTITUTE(Q708,""Sell_"",""""),Upgrades!$B$3:$B$13,0))*1.15^(COUNTIF(Q$4:Q707,SUBSTITUTE(Q708,""Sell_"",""""))-COUNTIF(Q$4:Q707,"&amp;"""Sell_""&amp;SUBSTITUTE(Q708,""Sell_"",""""))))/2),ROUNDUP(INDEX(Upgrades!$C$3:$C$13,MATCH(Q708,Upgrades!$B$3:$B$13,0))*1.15^(COUNTIF(Q$4:Q707,Q708)-COUNTIF(Q$4:Q707,""Sell_""&amp;Q708))))))"),"")</f>
        <v/>
      </c>
      <c r="V708" s="10" t="str">
        <f t="shared" si="11"/>
        <v/>
      </c>
      <c r="W708" s="68" t="str">
        <f t="shared" si="12"/>
        <v/>
      </c>
      <c r="X708" s="59" t="str">
        <f t="shared" si="13"/>
        <v/>
      </c>
      <c r="Y708" s="69" t="str">
        <f t="shared" si="14"/>
        <v/>
      </c>
      <c r="Z708" s="11"/>
      <c r="AG708" s="59"/>
    </row>
    <row r="709">
      <c r="A709" s="8"/>
      <c r="B709" s="56" t="str">
        <f t="shared" si="2"/>
        <v/>
      </c>
      <c r="C709" s="105"/>
      <c r="D709" s="10"/>
      <c r="E709" s="59" t="str">
        <f t="array" ref="E709">IF(COUNTA(C709:C1644)=0,"",SUM((COUNTIF(C$4:C709,Upgrades!$B$3:$B$13)-COUNTIF(C$4:C709,"Sell_"&amp;Upgrades!$B$3:$B$13))*Upgrades!$D$3:$D$13))</f>
        <v/>
      </c>
      <c r="F709" s="66" t="str">
        <f>IFERROR(__xludf.DUMMYFUNCTION("IF(COUNTA(C709:C1644)=0,"""",IF(REGEXMATCH(INDEX(FILTER(C$4:C709,C$4:C709&lt;&gt;""""),ROWS(FILTER(C$4:C709,C$4:C709&lt;&gt;""""))),""^Sell_""),INDEX(FILTER(F$4:F708,C$4:C708&lt;&gt;""""),ROWS(FILTER(C$4:C708,C$4:C708&lt;&gt;""""))),$AC$5+E709))"),"")</f>
        <v/>
      </c>
      <c r="G709" s="10" t="str">
        <f>IFERROR(__xludf.DUMMYFUNCTION("IF(COUNTA(C709:C1644)=0,"""",IF(C709="""",0,IF(REGEXMATCH(C709,""^Sell_""),-ROUNDDOWN(ROUNDUP(INDEX(Upgrades!$C$3:$C$13,MATCH(SUBSTITUTE(C709,""Sell_"",""""),Upgrades!$B$3:$B$13,0))*1.15^(COUNTIF(C$4:C708,SUBSTITUTE(C709,""Sell_"",""""))-COUNTIF(C$4:C708,"&amp;"""Sell_""&amp;SUBSTITUTE(C709,""Sell_"",""""))))/2),ROUNDUP(INDEX(Upgrades!$C$3:$C$13,MATCH(C709,Upgrades!$B$3:$B$13,0))*1.15^(COUNTIF(C$4:C708,C709)-COUNTIF(C$4:C708,""Sell_""&amp;C709))))))"),"")</f>
        <v/>
      </c>
      <c r="H709" s="10" t="str">
        <f t="shared" si="3"/>
        <v/>
      </c>
      <c r="I709" s="68" t="str">
        <f t="shared" si="4"/>
        <v/>
      </c>
      <c r="J709" s="59" t="str">
        <f t="shared" si="5"/>
        <v/>
      </c>
      <c r="K709" s="69" t="str">
        <f t="shared" si="6"/>
        <v/>
      </c>
      <c r="L709" s="60" t="str">
        <f t="shared" si="7"/>
        <v/>
      </c>
      <c r="M709" s="61" t="str">
        <f>IFERROR(__xludf.DUMMYFUNCTION("IFS(AND(COUNTA(C709:C1644)=0,COUNTA(Q709:Q1644)=0),"""",OR(AND(K709&gt;=1000000000,OR(Y709&gt;=1000000000,COUNTA(Q709:Q1644)=0)),OR(Y709&gt;=1000000000,AND(COUNTA(C709:C1644)=0,P$3=TRUE))),
ROUNDDOWN((AB$1-AC$1)*MAX(INDEX(T$4:T1644,MATCH(LARGE(FILTER(Y$4:Y1644,Y$4"&amp;":Y1644&lt;1000000000),1),Y$4:Y1644)),INDEX(F$4:F1644,MATCH(LARGE(FILTER(K$4:K1644,K$4:K1644&lt;1000000000),1),K$4:K1644)))),AND(K709&lt;1000000000,COUNTA(C709:C1644)&gt;0,P$3=FALSE),
ROUNDDOWN(INDEX(Y$4:Y1644,MATCH(LARGE(FILTER(W$4:W1644,W$4:W1644&lt;=I709),1),W$4:W1644"&amp;"))+(I709-LARGE(FILTER(W$4:W1644,W$4:W1644&lt;=I709),1))*INDEX(T$4:T1644,MATCH(LARGE(FILTER(W$4:W1644,W$4:W1644&lt;=I709),1),W$4:W1644))-K709),1,
ROUNDDOWN(Y709-INDEX(K$4:K1644,MATCH(LARGE(FILTER(I$4:I1644,I$4:I1644&lt;=W709),1),I$4:I1644))-(W709-LARGE(FILTER(I$4:I"&amp;"1644,I$4:I1644&lt;=W709),1))*INDEX(F$4:F1644,MATCH(LARGE(FILTER(I$4:I1644,I$4:I1644&lt;=W709),1),I$4:I1644))))"),"")</f>
        <v/>
      </c>
      <c r="N709" s="60" t="str">
        <f t="shared" si="8"/>
        <v/>
      </c>
      <c r="O709" s="61" t="str">
        <f t="shared" si="9"/>
        <v/>
      </c>
      <c r="P709" s="56" t="str">
        <f t="shared" si="10"/>
        <v/>
      </c>
      <c r="Q709" s="105"/>
      <c r="R709" s="10"/>
      <c r="S709" s="59" t="str">
        <f t="array" ref="S709">IF(COUNTA(Q709:Q1644)=0,"",SUM((COUNTIF(Q$4:Q709,Upgrades!$B$3:$B$13)-COUNTIF(Q$4:Q709,"Sell_"&amp;Upgrades!$B$3:$B$13))*Upgrades!$D$3:$D$13))</f>
        <v/>
      </c>
      <c r="T709" s="66" t="str">
        <f>IFERROR(__xludf.DUMMYFUNCTION("IF(COUNTA(Q709:Q1644)=0,"""",IF(REGEXMATCH(INDEX(FILTER(Q$4:Q709,Q$4:Q709&lt;&gt;""""),ROWS(FILTER(Q$4:Q709,Q$4:Q709&lt;&gt;""""))),""^Sell_""),INDEX(FILTER(T$4:T708,Q$4:Q708&lt;&gt;""""),ROWS(FILTER(Q$4:Q708,Q$4:Q708&lt;&gt;""""))),$AD$5+S709))"),"")</f>
        <v/>
      </c>
      <c r="U709" s="10" t="str">
        <f>IFERROR(__xludf.DUMMYFUNCTION("IF(COUNTA(Q709:Q1644)=0,"""",IF(Q709="""",0,IF(REGEXMATCH(Q709,""^Sell_""),-ROUNDDOWN(ROUNDUP(INDEX(Upgrades!$C$3:$C$13,MATCH(SUBSTITUTE(Q709,""Sell_"",""""),Upgrades!$B$3:$B$13,0))*1.15^(COUNTIF(Q$4:Q708,SUBSTITUTE(Q709,""Sell_"",""""))-COUNTIF(Q$4:Q708,"&amp;"""Sell_""&amp;SUBSTITUTE(Q709,""Sell_"",""""))))/2),ROUNDUP(INDEX(Upgrades!$C$3:$C$13,MATCH(Q709,Upgrades!$B$3:$B$13,0))*1.15^(COUNTIF(Q$4:Q708,Q709)-COUNTIF(Q$4:Q708,""Sell_""&amp;Q709))))))"),"")</f>
        <v/>
      </c>
      <c r="V709" s="10" t="str">
        <f t="shared" si="11"/>
        <v/>
      </c>
      <c r="W709" s="68" t="str">
        <f t="shared" si="12"/>
        <v/>
      </c>
      <c r="X709" s="59" t="str">
        <f t="shared" si="13"/>
        <v/>
      </c>
      <c r="Y709" s="69" t="str">
        <f t="shared" si="14"/>
        <v/>
      </c>
      <c r="Z709" s="11"/>
      <c r="AG709" s="59"/>
    </row>
    <row r="710">
      <c r="A710" s="8"/>
      <c r="B710" s="56" t="str">
        <f t="shared" si="2"/>
        <v/>
      </c>
      <c r="C710" s="105"/>
      <c r="D710" s="10"/>
      <c r="E710" s="59" t="str">
        <f t="array" ref="E710">IF(COUNTA(C710:C1644)=0,"",SUM((COUNTIF(C$4:C710,Upgrades!$B$3:$B$13)-COUNTIF(C$4:C710,"Sell_"&amp;Upgrades!$B$3:$B$13))*Upgrades!$D$3:$D$13))</f>
        <v/>
      </c>
      <c r="F710" s="66" t="str">
        <f>IFERROR(__xludf.DUMMYFUNCTION("IF(COUNTA(C710:C1644)=0,"""",IF(REGEXMATCH(INDEX(FILTER(C$4:C710,C$4:C710&lt;&gt;""""),ROWS(FILTER(C$4:C710,C$4:C710&lt;&gt;""""))),""^Sell_""),INDEX(FILTER(F$4:F709,C$4:C709&lt;&gt;""""),ROWS(FILTER(C$4:C709,C$4:C709&lt;&gt;""""))),$AC$5+E710))"),"")</f>
        <v/>
      </c>
      <c r="G710" s="10" t="str">
        <f>IFERROR(__xludf.DUMMYFUNCTION("IF(COUNTA(C710:C1644)=0,"""",IF(C710="""",0,IF(REGEXMATCH(C710,""^Sell_""),-ROUNDDOWN(ROUNDUP(INDEX(Upgrades!$C$3:$C$13,MATCH(SUBSTITUTE(C710,""Sell_"",""""),Upgrades!$B$3:$B$13,0))*1.15^(COUNTIF(C$4:C709,SUBSTITUTE(C710,""Sell_"",""""))-COUNTIF(C$4:C709,"&amp;"""Sell_""&amp;SUBSTITUTE(C710,""Sell_"",""""))))/2),ROUNDUP(INDEX(Upgrades!$C$3:$C$13,MATCH(C710,Upgrades!$B$3:$B$13,0))*1.15^(COUNTIF(C$4:C709,C710)-COUNTIF(C$4:C709,""Sell_""&amp;C710))))))"),"")</f>
        <v/>
      </c>
      <c r="H710" s="10" t="str">
        <f t="shared" si="3"/>
        <v/>
      </c>
      <c r="I710" s="68" t="str">
        <f t="shared" si="4"/>
        <v/>
      </c>
      <c r="J710" s="59" t="str">
        <f t="shared" si="5"/>
        <v/>
      </c>
      <c r="K710" s="69" t="str">
        <f t="shared" si="6"/>
        <v/>
      </c>
      <c r="L710" s="60" t="str">
        <f t="shared" si="7"/>
        <v/>
      </c>
      <c r="M710" s="61" t="str">
        <f>IFERROR(__xludf.DUMMYFUNCTION("IFS(AND(COUNTA(C710:C1644)=0,COUNTA(Q710:Q1644)=0),"""",OR(AND(K710&gt;=1000000000,OR(Y710&gt;=1000000000,COUNTA(Q710:Q1644)=0)),OR(Y710&gt;=1000000000,AND(COUNTA(C710:C1644)=0,P$3=TRUE))),
ROUNDDOWN((AB$1-AC$1)*MAX(INDEX(T$4:T1644,MATCH(LARGE(FILTER(Y$4:Y1644,Y$4"&amp;":Y1644&lt;1000000000),1),Y$4:Y1644)),INDEX(F$4:F1644,MATCH(LARGE(FILTER(K$4:K1644,K$4:K1644&lt;1000000000),1),K$4:K1644)))),AND(K710&lt;1000000000,COUNTA(C710:C1644)&gt;0,P$3=FALSE),
ROUNDDOWN(INDEX(Y$4:Y1644,MATCH(LARGE(FILTER(W$4:W1644,W$4:W1644&lt;=I710),1),W$4:W1644"&amp;"))+(I710-LARGE(FILTER(W$4:W1644,W$4:W1644&lt;=I710),1))*INDEX(T$4:T1644,MATCH(LARGE(FILTER(W$4:W1644,W$4:W1644&lt;=I710),1),W$4:W1644))-K710),1,
ROUNDDOWN(Y710-INDEX(K$4:K1644,MATCH(LARGE(FILTER(I$4:I1644,I$4:I1644&lt;=W710),1),I$4:I1644))-(W710-LARGE(FILTER(I$4:I"&amp;"1644,I$4:I1644&lt;=W710),1))*INDEX(F$4:F1644,MATCH(LARGE(FILTER(I$4:I1644,I$4:I1644&lt;=W710),1),I$4:I1644))))"),"")</f>
        <v/>
      </c>
      <c r="N710" s="60" t="str">
        <f t="shared" si="8"/>
        <v/>
      </c>
      <c r="O710" s="61" t="str">
        <f t="shared" si="9"/>
        <v/>
      </c>
      <c r="P710" s="56" t="str">
        <f t="shared" si="10"/>
        <v/>
      </c>
      <c r="Q710" s="105"/>
      <c r="R710" s="10"/>
      <c r="S710" s="59" t="str">
        <f t="array" ref="S710">IF(COUNTA(Q710:Q1644)=0,"",SUM((COUNTIF(Q$4:Q710,Upgrades!$B$3:$B$13)-COUNTIF(Q$4:Q710,"Sell_"&amp;Upgrades!$B$3:$B$13))*Upgrades!$D$3:$D$13))</f>
        <v/>
      </c>
      <c r="T710" s="66" t="str">
        <f>IFERROR(__xludf.DUMMYFUNCTION("IF(COUNTA(Q710:Q1644)=0,"""",IF(REGEXMATCH(INDEX(FILTER(Q$4:Q710,Q$4:Q710&lt;&gt;""""),ROWS(FILTER(Q$4:Q710,Q$4:Q710&lt;&gt;""""))),""^Sell_""),INDEX(FILTER(T$4:T709,Q$4:Q709&lt;&gt;""""),ROWS(FILTER(Q$4:Q709,Q$4:Q709&lt;&gt;""""))),$AD$5+S710))"),"")</f>
        <v/>
      </c>
      <c r="U710" s="10" t="str">
        <f>IFERROR(__xludf.DUMMYFUNCTION("IF(COUNTA(Q710:Q1644)=0,"""",IF(Q710="""",0,IF(REGEXMATCH(Q710,""^Sell_""),-ROUNDDOWN(ROUNDUP(INDEX(Upgrades!$C$3:$C$13,MATCH(SUBSTITUTE(Q710,""Sell_"",""""),Upgrades!$B$3:$B$13,0))*1.15^(COUNTIF(Q$4:Q709,SUBSTITUTE(Q710,""Sell_"",""""))-COUNTIF(Q$4:Q709,"&amp;"""Sell_""&amp;SUBSTITUTE(Q710,""Sell_"",""""))))/2),ROUNDUP(INDEX(Upgrades!$C$3:$C$13,MATCH(Q710,Upgrades!$B$3:$B$13,0))*1.15^(COUNTIF(Q$4:Q709,Q710)-COUNTIF(Q$4:Q709,""Sell_""&amp;Q710))))))"),"")</f>
        <v/>
      </c>
      <c r="V710" s="10" t="str">
        <f t="shared" si="11"/>
        <v/>
      </c>
      <c r="W710" s="68" t="str">
        <f t="shared" si="12"/>
        <v/>
      </c>
      <c r="X710" s="59" t="str">
        <f t="shared" si="13"/>
        <v/>
      </c>
      <c r="Y710" s="69" t="str">
        <f t="shared" si="14"/>
        <v/>
      </c>
      <c r="Z710" s="11"/>
      <c r="AG710" s="59"/>
    </row>
    <row r="711">
      <c r="A711" s="8"/>
      <c r="B711" s="56" t="str">
        <f t="shared" si="2"/>
        <v/>
      </c>
      <c r="C711" s="105"/>
      <c r="D711" s="10"/>
      <c r="E711" s="59" t="str">
        <f t="array" ref="E711">IF(COUNTA(C711:C1644)=0,"",SUM((COUNTIF(C$4:C711,Upgrades!$B$3:$B$13)-COUNTIF(C$4:C711,"Sell_"&amp;Upgrades!$B$3:$B$13))*Upgrades!$D$3:$D$13))</f>
        <v/>
      </c>
      <c r="F711" s="66" t="str">
        <f>IFERROR(__xludf.DUMMYFUNCTION("IF(COUNTA(C711:C1644)=0,"""",IF(REGEXMATCH(INDEX(FILTER(C$4:C711,C$4:C711&lt;&gt;""""),ROWS(FILTER(C$4:C711,C$4:C711&lt;&gt;""""))),""^Sell_""),INDEX(FILTER(F$4:F710,C$4:C710&lt;&gt;""""),ROWS(FILTER(C$4:C710,C$4:C710&lt;&gt;""""))),$AC$5+E711))"),"")</f>
        <v/>
      </c>
      <c r="G711" s="10" t="str">
        <f>IFERROR(__xludf.DUMMYFUNCTION("IF(COUNTA(C711:C1644)=0,"""",IF(C711="""",0,IF(REGEXMATCH(C711,""^Sell_""),-ROUNDDOWN(ROUNDUP(INDEX(Upgrades!$C$3:$C$13,MATCH(SUBSTITUTE(C711,""Sell_"",""""),Upgrades!$B$3:$B$13,0))*1.15^(COUNTIF(C$4:C710,SUBSTITUTE(C711,""Sell_"",""""))-COUNTIF(C$4:C710,"&amp;"""Sell_""&amp;SUBSTITUTE(C711,""Sell_"",""""))))/2),ROUNDUP(INDEX(Upgrades!$C$3:$C$13,MATCH(C711,Upgrades!$B$3:$B$13,0))*1.15^(COUNTIF(C$4:C710,C711)-COUNTIF(C$4:C710,""Sell_""&amp;C711))))))"),"")</f>
        <v/>
      </c>
      <c r="H711" s="10" t="str">
        <f t="shared" si="3"/>
        <v/>
      </c>
      <c r="I711" s="68" t="str">
        <f t="shared" si="4"/>
        <v/>
      </c>
      <c r="J711" s="59" t="str">
        <f t="shared" si="5"/>
        <v/>
      </c>
      <c r="K711" s="69" t="str">
        <f t="shared" si="6"/>
        <v/>
      </c>
      <c r="L711" s="60" t="str">
        <f t="shared" si="7"/>
        <v/>
      </c>
      <c r="M711" s="61" t="str">
        <f>IFERROR(__xludf.DUMMYFUNCTION("IFS(AND(COUNTA(C711:C1644)=0,COUNTA(Q711:Q1644)=0),"""",OR(AND(K711&gt;=1000000000,OR(Y711&gt;=1000000000,COUNTA(Q711:Q1644)=0)),OR(Y711&gt;=1000000000,AND(COUNTA(C711:C1644)=0,P$3=TRUE))),
ROUNDDOWN((AB$1-AC$1)*MAX(INDEX(T$4:T1644,MATCH(LARGE(FILTER(Y$4:Y1644,Y$4"&amp;":Y1644&lt;1000000000),1),Y$4:Y1644)),INDEX(F$4:F1644,MATCH(LARGE(FILTER(K$4:K1644,K$4:K1644&lt;1000000000),1),K$4:K1644)))),AND(K711&lt;1000000000,COUNTA(C711:C1644)&gt;0,P$3=FALSE),
ROUNDDOWN(INDEX(Y$4:Y1644,MATCH(LARGE(FILTER(W$4:W1644,W$4:W1644&lt;=I711),1),W$4:W1644"&amp;"))+(I711-LARGE(FILTER(W$4:W1644,W$4:W1644&lt;=I711),1))*INDEX(T$4:T1644,MATCH(LARGE(FILTER(W$4:W1644,W$4:W1644&lt;=I711),1),W$4:W1644))-K711),1,
ROUNDDOWN(Y711-INDEX(K$4:K1644,MATCH(LARGE(FILTER(I$4:I1644,I$4:I1644&lt;=W711),1),I$4:I1644))-(W711-LARGE(FILTER(I$4:I"&amp;"1644,I$4:I1644&lt;=W711),1))*INDEX(F$4:F1644,MATCH(LARGE(FILTER(I$4:I1644,I$4:I1644&lt;=W711),1),I$4:I1644))))"),"")</f>
        <v/>
      </c>
      <c r="N711" s="60" t="str">
        <f t="shared" si="8"/>
        <v/>
      </c>
      <c r="O711" s="61" t="str">
        <f t="shared" si="9"/>
        <v/>
      </c>
      <c r="P711" s="56" t="str">
        <f t="shared" si="10"/>
        <v/>
      </c>
      <c r="Q711" s="105"/>
      <c r="R711" s="10"/>
      <c r="S711" s="59" t="str">
        <f t="array" ref="S711">IF(COUNTA(Q711:Q1644)=0,"",SUM((COUNTIF(Q$4:Q711,Upgrades!$B$3:$B$13)-COUNTIF(Q$4:Q711,"Sell_"&amp;Upgrades!$B$3:$B$13))*Upgrades!$D$3:$D$13))</f>
        <v/>
      </c>
      <c r="T711" s="66" t="str">
        <f>IFERROR(__xludf.DUMMYFUNCTION("IF(COUNTA(Q711:Q1644)=0,"""",IF(REGEXMATCH(INDEX(FILTER(Q$4:Q711,Q$4:Q711&lt;&gt;""""),ROWS(FILTER(Q$4:Q711,Q$4:Q711&lt;&gt;""""))),""^Sell_""),INDEX(FILTER(T$4:T710,Q$4:Q710&lt;&gt;""""),ROWS(FILTER(Q$4:Q710,Q$4:Q710&lt;&gt;""""))),$AD$5+S711))"),"")</f>
        <v/>
      </c>
      <c r="U711" s="10" t="str">
        <f>IFERROR(__xludf.DUMMYFUNCTION("IF(COUNTA(Q711:Q1644)=0,"""",IF(Q711="""",0,IF(REGEXMATCH(Q711,""^Sell_""),-ROUNDDOWN(ROUNDUP(INDEX(Upgrades!$C$3:$C$13,MATCH(SUBSTITUTE(Q711,""Sell_"",""""),Upgrades!$B$3:$B$13,0))*1.15^(COUNTIF(Q$4:Q710,SUBSTITUTE(Q711,""Sell_"",""""))-COUNTIF(Q$4:Q710,"&amp;"""Sell_""&amp;SUBSTITUTE(Q711,""Sell_"",""""))))/2),ROUNDUP(INDEX(Upgrades!$C$3:$C$13,MATCH(Q711,Upgrades!$B$3:$B$13,0))*1.15^(COUNTIF(Q$4:Q710,Q711)-COUNTIF(Q$4:Q710,""Sell_""&amp;Q711))))))"),"")</f>
        <v/>
      </c>
      <c r="V711" s="10" t="str">
        <f t="shared" si="11"/>
        <v/>
      </c>
      <c r="W711" s="68" t="str">
        <f t="shared" si="12"/>
        <v/>
      </c>
      <c r="X711" s="59" t="str">
        <f t="shared" si="13"/>
        <v/>
      </c>
      <c r="Y711" s="69" t="str">
        <f t="shared" si="14"/>
        <v/>
      </c>
      <c r="Z711" s="11"/>
      <c r="AG711" s="59"/>
    </row>
    <row r="712">
      <c r="A712" s="8"/>
      <c r="B712" s="56" t="str">
        <f t="shared" si="2"/>
        <v/>
      </c>
      <c r="C712" s="105"/>
      <c r="D712" s="10"/>
      <c r="E712" s="59" t="str">
        <f t="array" ref="E712">IF(COUNTA(C712:C1644)=0,"",SUM((COUNTIF(C$4:C712,Upgrades!$B$3:$B$13)-COUNTIF(C$4:C712,"Sell_"&amp;Upgrades!$B$3:$B$13))*Upgrades!$D$3:$D$13))</f>
        <v/>
      </c>
      <c r="F712" s="66" t="str">
        <f>IFERROR(__xludf.DUMMYFUNCTION("IF(COUNTA(C712:C1644)=0,"""",IF(REGEXMATCH(INDEX(FILTER(C$4:C712,C$4:C712&lt;&gt;""""),ROWS(FILTER(C$4:C712,C$4:C712&lt;&gt;""""))),""^Sell_""),INDEX(FILTER(F$4:F711,C$4:C711&lt;&gt;""""),ROWS(FILTER(C$4:C711,C$4:C711&lt;&gt;""""))),$AC$5+E712))"),"")</f>
        <v/>
      </c>
      <c r="G712" s="10" t="str">
        <f>IFERROR(__xludf.DUMMYFUNCTION("IF(COUNTA(C712:C1644)=0,"""",IF(C712="""",0,IF(REGEXMATCH(C712,""^Sell_""),-ROUNDDOWN(ROUNDUP(INDEX(Upgrades!$C$3:$C$13,MATCH(SUBSTITUTE(C712,""Sell_"",""""),Upgrades!$B$3:$B$13,0))*1.15^(COUNTIF(C$4:C711,SUBSTITUTE(C712,""Sell_"",""""))-COUNTIF(C$4:C711,"&amp;"""Sell_""&amp;SUBSTITUTE(C712,""Sell_"",""""))))/2),ROUNDUP(INDEX(Upgrades!$C$3:$C$13,MATCH(C712,Upgrades!$B$3:$B$13,0))*1.15^(COUNTIF(C$4:C711,C712)-COUNTIF(C$4:C711,""Sell_""&amp;C712))))))"),"")</f>
        <v/>
      </c>
      <c r="H712" s="10" t="str">
        <f t="shared" si="3"/>
        <v/>
      </c>
      <c r="I712" s="68" t="str">
        <f t="shared" si="4"/>
        <v/>
      </c>
      <c r="J712" s="59" t="str">
        <f t="shared" si="5"/>
        <v/>
      </c>
      <c r="K712" s="69" t="str">
        <f t="shared" si="6"/>
        <v/>
      </c>
      <c r="L712" s="60" t="str">
        <f t="shared" si="7"/>
        <v/>
      </c>
      <c r="M712" s="61" t="str">
        <f>IFERROR(__xludf.DUMMYFUNCTION("IFS(AND(COUNTA(C712:C1644)=0,COUNTA(Q712:Q1644)=0),"""",OR(AND(K712&gt;=1000000000,OR(Y712&gt;=1000000000,COUNTA(Q712:Q1644)=0)),OR(Y712&gt;=1000000000,AND(COUNTA(C712:C1644)=0,P$3=TRUE))),
ROUNDDOWN((AB$1-AC$1)*MAX(INDEX(T$4:T1644,MATCH(LARGE(FILTER(Y$4:Y1644,Y$4"&amp;":Y1644&lt;1000000000),1),Y$4:Y1644)),INDEX(F$4:F1644,MATCH(LARGE(FILTER(K$4:K1644,K$4:K1644&lt;1000000000),1),K$4:K1644)))),AND(K712&lt;1000000000,COUNTA(C712:C1644)&gt;0,P$3=FALSE),
ROUNDDOWN(INDEX(Y$4:Y1644,MATCH(LARGE(FILTER(W$4:W1644,W$4:W1644&lt;=I712),1),W$4:W1644"&amp;"))+(I712-LARGE(FILTER(W$4:W1644,W$4:W1644&lt;=I712),1))*INDEX(T$4:T1644,MATCH(LARGE(FILTER(W$4:W1644,W$4:W1644&lt;=I712),1),W$4:W1644))-K712),1,
ROUNDDOWN(Y712-INDEX(K$4:K1644,MATCH(LARGE(FILTER(I$4:I1644,I$4:I1644&lt;=W712),1),I$4:I1644))-(W712-LARGE(FILTER(I$4:I"&amp;"1644,I$4:I1644&lt;=W712),1))*INDEX(F$4:F1644,MATCH(LARGE(FILTER(I$4:I1644,I$4:I1644&lt;=W712),1),I$4:I1644))))"),"")</f>
        <v/>
      </c>
      <c r="N712" s="60" t="str">
        <f t="shared" si="8"/>
        <v/>
      </c>
      <c r="O712" s="61" t="str">
        <f t="shared" si="9"/>
        <v/>
      </c>
      <c r="P712" s="56" t="str">
        <f t="shared" si="10"/>
        <v/>
      </c>
      <c r="Q712" s="105"/>
      <c r="R712" s="10"/>
      <c r="S712" s="59" t="str">
        <f t="array" ref="S712">IF(COUNTA(Q712:Q1644)=0,"",SUM((COUNTIF(Q$4:Q712,Upgrades!$B$3:$B$13)-COUNTIF(Q$4:Q712,"Sell_"&amp;Upgrades!$B$3:$B$13))*Upgrades!$D$3:$D$13))</f>
        <v/>
      </c>
      <c r="T712" s="66" t="str">
        <f>IFERROR(__xludf.DUMMYFUNCTION("IF(COUNTA(Q712:Q1644)=0,"""",IF(REGEXMATCH(INDEX(FILTER(Q$4:Q712,Q$4:Q712&lt;&gt;""""),ROWS(FILTER(Q$4:Q712,Q$4:Q712&lt;&gt;""""))),""^Sell_""),INDEX(FILTER(T$4:T711,Q$4:Q711&lt;&gt;""""),ROWS(FILTER(Q$4:Q711,Q$4:Q711&lt;&gt;""""))),$AD$5+S712))"),"")</f>
        <v/>
      </c>
      <c r="U712" s="10" t="str">
        <f>IFERROR(__xludf.DUMMYFUNCTION("IF(COUNTA(Q712:Q1644)=0,"""",IF(Q712="""",0,IF(REGEXMATCH(Q712,""^Sell_""),-ROUNDDOWN(ROUNDUP(INDEX(Upgrades!$C$3:$C$13,MATCH(SUBSTITUTE(Q712,""Sell_"",""""),Upgrades!$B$3:$B$13,0))*1.15^(COUNTIF(Q$4:Q711,SUBSTITUTE(Q712,""Sell_"",""""))-COUNTIF(Q$4:Q711,"&amp;"""Sell_""&amp;SUBSTITUTE(Q712,""Sell_"",""""))))/2),ROUNDUP(INDEX(Upgrades!$C$3:$C$13,MATCH(Q712,Upgrades!$B$3:$B$13,0))*1.15^(COUNTIF(Q$4:Q711,Q712)-COUNTIF(Q$4:Q711,""Sell_""&amp;Q712))))))"),"")</f>
        <v/>
      </c>
      <c r="V712" s="10" t="str">
        <f t="shared" si="11"/>
        <v/>
      </c>
      <c r="W712" s="68" t="str">
        <f t="shared" si="12"/>
        <v/>
      </c>
      <c r="X712" s="59" t="str">
        <f t="shared" si="13"/>
        <v/>
      </c>
      <c r="Y712" s="69" t="str">
        <f t="shared" si="14"/>
        <v/>
      </c>
      <c r="Z712" s="11"/>
      <c r="AG712" s="59"/>
    </row>
    <row r="713">
      <c r="A713" s="8"/>
      <c r="B713" s="56" t="str">
        <f t="shared" si="2"/>
        <v/>
      </c>
      <c r="C713" s="105"/>
      <c r="D713" s="10"/>
      <c r="E713" s="59" t="str">
        <f t="array" ref="E713">IF(COUNTA(C713:C1644)=0,"",SUM((COUNTIF(C$4:C713,Upgrades!$B$3:$B$13)-COUNTIF(C$4:C713,"Sell_"&amp;Upgrades!$B$3:$B$13))*Upgrades!$D$3:$D$13))</f>
        <v/>
      </c>
      <c r="F713" s="66" t="str">
        <f>IFERROR(__xludf.DUMMYFUNCTION("IF(COUNTA(C713:C1644)=0,"""",IF(REGEXMATCH(INDEX(FILTER(C$4:C713,C$4:C713&lt;&gt;""""),ROWS(FILTER(C$4:C713,C$4:C713&lt;&gt;""""))),""^Sell_""),INDEX(FILTER(F$4:F712,C$4:C712&lt;&gt;""""),ROWS(FILTER(C$4:C712,C$4:C712&lt;&gt;""""))),$AC$5+E713))"),"")</f>
        <v/>
      </c>
      <c r="G713" s="10" t="str">
        <f>IFERROR(__xludf.DUMMYFUNCTION("IF(COUNTA(C713:C1644)=0,"""",IF(C713="""",0,IF(REGEXMATCH(C713,""^Sell_""),-ROUNDDOWN(ROUNDUP(INDEX(Upgrades!$C$3:$C$13,MATCH(SUBSTITUTE(C713,""Sell_"",""""),Upgrades!$B$3:$B$13,0))*1.15^(COUNTIF(C$4:C712,SUBSTITUTE(C713,""Sell_"",""""))-COUNTIF(C$4:C712,"&amp;"""Sell_""&amp;SUBSTITUTE(C713,""Sell_"",""""))))/2),ROUNDUP(INDEX(Upgrades!$C$3:$C$13,MATCH(C713,Upgrades!$B$3:$B$13,0))*1.15^(COUNTIF(C$4:C712,C713)-COUNTIF(C$4:C712,""Sell_""&amp;C713))))))"),"")</f>
        <v/>
      </c>
      <c r="H713" s="10" t="str">
        <f t="shared" si="3"/>
        <v/>
      </c>
      <c r="I713" s="68" t="str">
        <f t="shared" si="4"/>
        <v/>
      </c>
      <c r="J713" s="59" t="str">
        <f t="shared" si="5"/>
        <v/>
      </c>
      <c r="K713" s="69" t="str">
        <f t="shared" si="6"/>
        <v/>
      </c>
      <c r="L713" s="60" t="str">
        <f t="shared" si="7"/>
        <v/>
      </c>
      <c r="M713" s="61" t="str">
        <f>IFERROR(__xludf.DUMMYFUNCTION("IFS(AND(COUNTA(C713:C1644)=0,COUNTA(Q713:Q1644)=0),"""",OR(AND(K713&gt;=1000000000,OR(Y713&gt;=1000000000,COUNTA(Q713:Q1644)=0)),OR(Y713&gt;=1000000000,AND(COUNTA(C713:C1644)=0,P$3=TRUE))),
ROUNDDOWN((AB$1-AC$1)*MAX(INDEX(T$4:T1644,MATCH(LARGE(FILTER(Y$4:Y1644,Y$4"&amp;":Y1644&lt;1000000000),1),Y$4:Y1644)),INDEX(F$4:F1644,MATCH(LARGE(FILTER(K$4:K1644,K$4:K1644&lt;1000000000),1),K$4:K1644)))),AND(K713&lt;1000000000,COUNTA(C713:C1644)&gt;0,P$3=FALSE),
ROUNDDOWN(INDEX(Y$4:Y1644,MATCH(LARGE(FILTER(W$4:W1644,W$4:W1644&lt;=I713),1),W$4:W1644"&amp;"))+(I713-LARGE(FILTER(W$4:W1644,W$4:W1644&lt;=I713),1))*INDEX(T$4:T1644,MATCH(LARGE(FILTER(W$4:W1644,W$4:W1644&lt;=I713),1),W$4:W1644))-K713),1,
ROUNDDOWN(Y713-INDEX(K$4:K1644,MATCH(LARGE(FILTER(I$4:I1644,I$4:I1644&lt;=W713),1),I$4:I1644))-(W713-LARGE(FILTER(I$4:I"&amp;"1644,I$4:I1644&lt;=W713),1))*INDEX(F$4:F1644,MATCH(LARGE(FILTER(I$4:I1644,I$4:I1644&lt;=W713),1),I$4:I1644))))"),"")</f>
        <v/>
      </c>
      <c r="N713" s="60" t="str">
        <f t="shared" si="8"/>
        <v/>
      </c>
      <c r="O713" s="61" t="str">
        <f t="shared" si="9"/>
        <v/>
      </c>
      <c r="P713" s="56" t="str">
        <f t="shared" si="10"/>
        <v/>
      </c>
      <c r="Q713" s="105"/>
      <c r="R713" s="10"/>
      <c r="S713" s="59" t="str">
        <f t="array" ref="S713">IF(COUNTA(Q713:Q1644)=0,"",SUM((COUNTIF(Q$4:Q713,Upgrades!$B$3:$B$13)-COUNTIF(Q$4:Q713,"Sell_"&amp;Upgrades!$B$3:$B$13))*Upgrades!$D$3:$D$13))</f>
        <v/>
      </c>
      <c r="T713" s="66" t="str">
        <f>IFERROR(__xludf.DUMMYFUNCTION("IF(COUNTA(Q713:Q1644)=0,"""",IF(REGEXMATCH(INDEX(FILTER(Q$4:Q713,Q$4:Q713&lt;&gt;""""),ROWS(FILTER(Q$4:Q713,Q$4:Q713&lt;&gt;""""))),""^Sell_""),INDEX(FILTER(T$4:T712,Q$4:Q712&lt;&gt;""""),ROWS(FILTER(Q$4:Q712,Q$4:Q712&lt;&gt;""""))),$AD$5+S713))"),"")</f>
        <v/>
      </c>
      <c r="U713" s="10" t="str">
        <f>IFERROR(__xludf.DUMMYFUNCTION("IF(COUNTA(Q713:Q1644)=0,"""",IF(Q713="""",0,IF(REGEXMATCH(Q713,""^Sell_""),-ROUNDDOWN(ROUNDUP(INDEX(Upgrades!$C$3:$C$13,MATCH(SUBSTITUTE(Q713,""Sell_"",""""),Upgrades!$B$3:$B$13,0))*1.15^(COUNTIF(Q$4:Q712,SUBSTITUTE(Q713,""Sell_"",""""))-COUNTIF(Q$4:Q712,"&amp;"""Sell_""&amp;SUBSTITUTE(Q713,""Sell_"",""""))))/2),ROUNDUP(INDEX(Upgrades!$C$3:$C$13,MATCH(Q713,Upgrades!$B$3:$B$13,0))*1.15^(COUNTIF(Q$4:Q712,Q713)-COUNTIF(Q$4:Q712,""Sell_""&amp;Q713))))))"),"")</f>
        <v/>
      </c>
      <c r="V713" s="10" t="str">
        <f t="shared" si="11"/>
        <v/>
      </c>
      <c r="W713" s="68" t="str">
        <f t="shared" si="12"/>
        <v/>
      </c>
      <c r="X713" s="59" t="str">
        <f t="shared" si="13"/>
        <v/>
      </c>
      <c r="Y713" s="69" t="str">
        <f t="shared" si="14"/>
        <v/>
      </c>
      <c r="Z713" s="11"/>
      <c r="AG713" s="59"/>
    </row>
    <row r="714">
      <c r="A714" s="8"/>
      <c r="B714" s="56" t="str">
        <f t="shared" si="2"/>
        <v/>
      </c>
      <c r="C714" s="105"/>
      <c r="D714" s="10"/>
      <c r="E714" s="59" t="str">
        <f t="array" ref="E714">IF(COUNTA(C714:C1644)=0,"",SUM((COUNTIF(C$4:C714,Upgrades!$B$3:$B$13)-COUNTIF(C$4:C714,"Sell_"&amp;Upgrades!$B$3:$B$13))*Upgrades!$D$3:$D$13))</f>
        <v/>
      </c>
      <c r="F714" s="66" t="str">
        <f>IFERROR(__xludf.DUMMYFUNCTION("IF(COUNTA(C714:C1644)=0,"""",IF(REGEXMATCH(INDEX(FILTER(C$4:C714,C$4:C714&lt;&gt;""""),ROWS(FILTER(C$4:C714,C$4:C714&lt;&gt;""""))),""^Sell_""),INDEX(FILTER(F$4:F713,C$4:C713&lt;&gt;""""),ROWS(FILTER(C$4:C713,C$4:C713&lt;&gt;""""))),$AC$5+E714))"),"")</f>
        <v/>
      </c>
      <c r="G714" s="10" t="str">
        <f>IFERROR(__xludf.DUMMYFUNCTION("IF(COUNTA(C714:C1644)=0,"""",IF(C714="""",0,IF(REGEXMATCH(C714,""^Sell_""),-ROUNDDOWN(ROUNDUP(INDEX(Upgrades!$C$3:$C$13,MATCH(SUBSTITUTE(C714,""Sell_"",""""),Upgrades!$B$3:$B$13,0))*1.15^(COUNTIF(C$4:C713,SUBSTITUTE(C714,""Sell_"",""""))-COUNTIF(C$4:C713,"&amp;"""Sell_""&amp;SUBSTITUTE(C714,""Sell_"",""""))))/2),ROUNDUP(INDEX(Upgrades!$C$3:$C$13,MATCH(C714,Upgrades!$B$3:$B$13,0))*1.15^(COUNTIF(C$4:C713,C714)-COUNTIF(C$4:C713,""Sell_""&amp;C714))))))"),"")</f>
        <v/>
      </c>
      <c r="H714" s="10" t="str">
        <f t="shared" si="3"/>
        <v/>
      </c>
      <c r="I714" s="68" t="str">
        <f t="shared" si="4"/>
        <v/>
      </c>
      <c r="J714" s="59" t="str">
        <f t="shared" si="5"/>
        <v/>
      </c>
      <c r="K714" s="69" t="str">
        <f t="shared" si="6"/>
        <v/>
      </c>
      <c r="L714" s="60" t="str">
        <f t="shared" si="7"/>
        <v/>
      </c>
      <c r="M714" s="61" t="str">
        <f>IFERROR(__xludf.DUMMYFUNCTION("IFS(AND(COUNTA(C714:C1644)=0,COUNTA(Q714:Q1644)=0),"""",OR(AND(K714&gt;=1000000000,OR(Y714&gt;=1000000000,COUNTA(Q714:Q1644)=0)),OR(Y714&gt;=1000000000,AND(COUNTA(C714:C1644)=0,P$3=TRUE))),
ROUNDDOWN((AB$1-AC$1)*MAX(INDEX(T$4:T1644,MATCH(LARGE(FILTER(Y$4:Y1644,Y$4"&amp;":Y1644&lt;1000000000),1),Y$4:Y1644)),INDEX(F$4:F1644,MATCH(LARGE(FILTER(K$4:K1644,K$4:K1644&lt;1000000000),1),K$4:K1644)))),AND(K714&lt;1000000000,COUNTA(C714:C1644)&gt;0,P$3=FALSE),
ROUNDDOWN(INDEX(Y$4:Y1644,MATCH(LARGE(FILTER(W$4:W1644,W$4:W1644&lt;=I714),1),W$4:W1644"&amp;"))+(I714-LARGE(FILTER(W$4:W1644,W$4:W1644&lt;=I714),1))*INDEX(T$4:T1644,MATCH(LARGE(FILTER(W$4:W1644,W$4:W1644&lt;=I714),1),W$4:W1644))-K714),1,
ROUNDDOWN(Y714-INDEX(K$4:K1644,MATCH(LARGE(FILTER(I$4:I1644,I$4:I1644&lt;=W714),1),I$4:I1644))-(W714-LARGE(FILTER(I$4:I"&amp;"1644,I$4:I1644&lt;=W714),1))*INDEX(F$4:F1644,MATCH(LARGE(FILTER(I$4:I1644,I$4:I1644&lt;=W714),1),I$4:I1644))))"),"")</f>
        <v/>
      </c>
      <c r="N714" s="60" t="str">
        <f t="shared" si="8"/>
        <v/>
      </c>
      <c r="O714" s="61" t="str">
        <f t="shared" si="9"/>
        <v/>
      </c>
      <c r="P714" s="56" t="str">
        <f t="shared" si="10"/>
        <v/>
      </c>
      <c r="Q714" s="105"/>
      <c r="R714" s="10"/>
      <c r="S714" s="59" t="str">
        <f t="array" ref="S714">IF(COUNTA(Q714:Q1644)=0,"",SUM((COUNTIF(Q$4:Q714,Upgrades!$B$3:$B$13)-COUNTIF(Q$4:Q714,"Sell_"&amp;Upgrades!$B$3:$B$13))*Upgrades!$D$3:$D$13))</f>
        <v/>
      </c>
      <c r="T714" s="66" t="str">
        <f>IFERROR(__xludf.DUMMYFUNCTION("IF(COUNTA(Q714:Q1644)=0,"""",IF(REGEXMATCH(INDEX(FILTER(Q$4:Q714,Q$4:Q714&lt;&gt;""""),ROWS(FILTER(Q$4:Q714,Q$4:Q714&lt;&gt;""""))),""^Sell_""),INDEX(FILTER(T$4:T713,Q$4:Q713&lt;&gt;""""),ROWS(FILTER(Q$4:Q713,Q$4:Q713&lt;&gt;""""))),$AD$5+S714))"),"")</f>
        <v/>
      </c>
      <c r="U714" s="10" t="str">
        <f>IFERROR(__xludf.DUMMYFUNCTION("IF(COUNTA(Q714:Q1644)=0,"""",IF(Q714="""",0,IF(REGEXMATCH(Q714,""^Sell_""),-ROUNDDOWN(ROUNDUP(INDEX(Upgrades!$C$3:$C$13,MATCH(SUBSTITUTE(Q714,""Sell_"",""""),Upgrades!$B$3:$B$13,0))*1.15^(COUNTIF(Q$4:Q713,SUBSTITUTE(Q714,""Sell_"",""""))-COUNTIF(Q$4:Q713,"&amp;"""Sell_""&amp;SUBSTITUTE(Q714,""Sell_"",""""))))/2),ROUNDUP(INDEX(Upgrades!$C$3:$C$13,MATCH(Q714,Upgrades!$B$3:$B$13,0))*1.15^(COUNTIF(Q$4:Q713,Q714)-COUNTIF(Q$4:Q713,""Sell_""&amp;Q714))))))"),"")</f>
        <v/>
      </c>
      <c r="V714" s="10" t="str">
        <f t="shared" si="11"/>
        <v/>
      </c>
      <c r="W714" s="68" t="str">
        <f t="shared" si="12"/>
        <v/>
      </c>
      <c r="X714" s="59" t="str">
        <f t="shared" si="13"/>
        <v/>
      </c>
      <c r="Y714" s="69" t="str">
        <f t="shared" si="14"/>
        <v/>
      </c>
      <c r="Z714" s="11"/>
      <c r="AG714" s="59"/>
    </row>
    <row r="715">
      <c r="A715" s="8"/>
      <c r="B715" s="56" t="str">
        <f t="shared" si="2"/>
        <v/>
      </c>
      <c r="C715" s="105"/>
      <c r="D715" s="10"/>
      <c r="E715" s="59" t="str">
        <f t="array" ref="E715">IF(COUNTA(C715:C1644)=0,"",SUM((COUNTIF(C$4:C715,Upgrades!$B$3:$B$13)-COUNTIF(C$4:C715,"Sell_"&amp;Upgrades!$B$3:$B$13))*Upgrades!$D$3:$D$13))</f>
        <v/>
      </c>
      <c r="F715" s="66" t="str">
        <f>IFERROR(__xludf.DUMMYFUNCTION("IF(COUNTA(C715:C1644)=0,"""",IF(REGEXMATCH(INDEX(FILTER(C$4:C715,C$4:C715&lt;&gt;""""),ROWS(FILTER(C$4:C715,C$4:C715&lt;&gt;""""))),""^Sell_""),INDEX(FILTER(F$4:F714,C$4:C714&lt;&gt;""""),ROWS(FILTER(C$4:C714,C$4:C714&lt;&gt;""""))),$AC$5+E715))"),"")</f>
        <v/>
      </c>
      <c r="G715" s="10" t="str">
        <f>IFERROR(__xludf.DUMMYFUNCTION("IF(COUNTA(C715:C1644)=0,"""",IF(C715="""",0,IF(REGEXMATCH(C715,""^Sell_""),-ROUNDDOWN(ROUNDUP(INDEX(Upgrades!$C$3:$C$13,MATCH(SUBSTITUTE(C715,""Sell_"",""""),Upgrades!$B$3:$B$13,0))*1.15^(COUNTIF(C$4:C714,SUBSTITUTE(C715,""Sell_"",""""))-COUNTIF(C$4:C714,"&amp;"""Sell_""&amp;SUBSTITUTE(C715,""Sell_"",""""))))/2),ROUNDUP(INDEX(Upgrades!$C$3:$C$13,MATCH(C715,Upgrades!$B$3:$B$13,0))*1.15^(COUNTIF(C$4:C714,C715)-COUNTIF(C$4:C714,""Sell_""&amp;C715))))))"),"")</f>
        <v/>
      </c>
      <c r="H715" s="10" t="str">
        <f t="shared" si="3"/>
        <v/>
      </c>
      <c r="I715" s="68" t="str">
        <f t="shared" si="4"/>
        <v/>
      </c>
      <c r="J715" s="59" t="str">
        <f t="shared" si="5"/>
        <v/>
      </c>
      <c r="K715" s="69" t="str">
        <f t="shared" si="6"/>
        <v/>
      </c>
      <c r="L715" s="60" t="str">
        <f t="shared" si="7"/>
        <v/>
      </c>
      <c r="M715" s="61" t="str">
        <f>IFERROR(__xludf.DUMMYFUNCTION("IFS(AND(COUNTA(C715:C1644)=0,COUNTA(Q715:Q1644)=0),"""",OR(AND(K715&gt;=1000000000,OR(Y715&gt;=1000000000,COUNTA(Q715:Q1644)=0)),OR(Y715&gt;=1000000000,AND(COUNTA(C715:C1644)=0,P$3=TRUE))),
ROUNDDOWN((AB$1-AC$1)*MAX(INDEX(T$4:T1644,MATCH(LARGE(FILTER(Y$4:Y1644,Y$4"&amp;":Y1644&lt;1000000000),1),Y$4:Y1644)),INDEX(F$4:F1644,MATCH(LARGE(FILTER(K$4:K1644,K$4:K1644&lt;1000000000),1),K$4:K1644)))),AND(K715&lt;1000000000,COUNTA(C715:C1644)&gt;0,P$3=FALSE),
ROUNDDOWN(INDEX(Y$4:Y1644,MATCH(LARGE(FILTER(W$4:W1644,W$4:W1644&lt;=I715),1),W$4:W1644"&amp;"))+(I715-LARGE(FILTER(W$4:W1644,W$4:W1644&lt;=I715),1))*INDEX(T$4:T1644,MATCH(LARGE(FILTER(W$4:W1644,W$4:W1644&lt;=I715),1),W$4:W1644))-K715),1,
ROUNDDOWN(Y715-INDEX(K$4:K1644,MATCH(LARGE(FILTER(I$4:I1644,I$4:I1644&lt;=W715),1),I$4:I1644))-(W715-LARGE(FILTER(I$4:I"&amp;"1644,I$4:I1644&lt;=W715),1))*INDEX(F$4:F1644,MATCH(LARGE(FILTER(I$4:I1644,I$4:I1644&lt;=W715),1),I$4:I1644))))"),"")</f>
        <v/>
      </c>
      <c r="N715" s="60" t="str">
        <f t="shared" si="8"/>
        <v/>
      </c>
      <c r="O715" s="61" t="str">
        <f t="shared" si="9"/>
        <v/>
      </c>
      <c r="P715" s="56" t="str">
        <f t="shared" si="10"/>
        <v/>
      </c>
      <c r="Q715" s="105"/>
      <c r="R715" s="10"/>
      <c r="S715" s="59" t="str">
        <f t="array" ref="S715">IF(COUNTA(Q715:Q1644)=0,"",SUM((COUNTIF(Q$4:Q715,Upgrades!$B$3:$B$13)-COUNTIF(Q$4:Q715,"Sell_"&amp;Upgrades!$B$3:$B$13))*Upgrades!$D$3:$D$13))</f>
        <v/>
      </c>
      <c r="T715" s="66" t="str">
        <f>IFERROR(__xludf.DUMMYFUNCTION("IF(COUNTA(Q715:Q1644)=0,"""",IF(REGEXMATCH(INDEX(FILTER(Q$4:Q715,Q$4:Q715&lt;&gt;""""),ROWS(FILTER(Q$4:Q715,Q$4:Q715&lt;&gt;""""))),""^Sell_""),INDEX(FILTER(T$4:T714,Q$4:Q714&lt;&gt;""""),ROWS(FILTER(Q$4:Q714,Q$4:Q714&lt;&gt;""""))),$AD$5+S715))"),"")</f>
        <v/>
      </c>
      <c r="U715" s="10" t="str">
        <f>IFERROR(__xludf.DUMMYFUNCTION("IF(COUNTA(Q715:Q1644)=0,"""",IF(Q715="""",0,IF(REGEXMATCH(Q715,""^Sell_""),-ROUNDDOWN(ROUNDUP(INDEX(Upgrades!$C$3:$C$13,MATCH(SUBSTITUTE(Q715,""Sell_"",""""),Upgrades!$B$3:$B$13,0))*1.15^(COUNTIF(Q$4:Q714,SUBSTITUTE(Q715,""Sell_"",""""))-COUNTIF(Q$4:Q714,"&amp;"""Sell_""&amp;SUBSTITUTE(Q715,""Sell_"",""""))))/2),ROUNDUP(INDEX(Upgrades!$C$3:$C$13,MATCH(Q715,Upgrades!$B$3:$B$13,0))*1.15^(COUNTIF(Q$4:Q714,Q715)-COUNTIF(Q$4:Q714,""Sell_""&amp;Q715))))))"),"")</f>
        <v/>
      </c>
      <c r="V715" s="10" t="str">
        <f t="shared" si="11"/>
        <v/>
      </c>
      <c r="W715" s="68" t="str">
        <f t="shared" si="12"/>
        <v/>
      </c>
      <c r="X715" s="59" t="str">
        <f t="shared" si="13"/>
        <v/>
      </c>
      <c r="Y715" s="69" t="str">
        <f t="shared" si="14"/>
        <v/>
      </c>
      <c r="Z715" s="11"/>
      <c r="AG715" s="59"/>
    </row>
    <row r="716">
      <c r="A716" s="8"/>
      <c r="B716" s="56" t="str">
        <f t="shared" si="2"/>
        <v/>
      </c>
      <c r="C716" s="105"/>
      <c r="D716" s="10"/>
      <c r="E716" s="59" t="str">
        <f t="array" ref="E716">IF(COUNTA(C716:C1644)=0,"",SUM((COUNTIF(C$4:C716,Upgrades!$B$3:$B$13)-COUNTIF(C$4:C716,"Sell_"&amp;Upgrades!$B$3:$B$13))*Upgrades!$D$3:$D$13))</f>
        <v/>
      </c>
      <c r="F716" s="66" t="str">
        <f>IFERROR(__xludf.DUMMYFUNCTION("IF(COUNTA(C716:C1644)=0,"""",IF(REGEXMATCH(INDEX(FILTER(C$4:C716,C$4:C716&lt;&gt;""""),ROWS(FILTER(C$4:C716,C$4:C716&lt;&gt;""""))),""^Sell_""),INDEX(FILTER(F$4:F715,C$4:C715&lt;&gt;""""),ROWS(FILTER(C$4:C715,C$4:C715&lt;&gt;""""))),$AC$5+E716))"),"")</f>
        <v/>
      </c>
      <c r="G716" s="10" t="str">
        <f>IFERROR(__xludf.DUMMYFUNCTION("IF(COUNTA(C716:C1644)=0,"""",IF(C716="""",0,IF(REGEXMATCH(C716,""^Sell_""),-ROUNDDOWN(ROUNDUP(INDEX(Upgrades!$C$3:$C$13,MATCH(SUBSTITUTE(C716,""Sell_"",""""),Upgrades!$B$3:$B$13,0))*1.15^(COUNTIF(C$4:C715,SUBSTITUTE(C716,""Sell_"",""""))-COUNTIF(C$4:C715,"&amp;"""Sell_""&amp;SUBSTITUTE(C716,""Sell_"",""""))))/2),ROUNDUP(INDEX(Upgrades!$C$3:$C$13,MATCH(C716,Upgrades!$B$3:$B$13,0))*1.15^(COUNTIF(C$4:C715,C716)-COUNTIF(C$4:C715,""Sell_""&amp;C716))))))"),"")</f>
        <v/>
      </c>
      <c r="H716" s="10" t="str">
        <f t="shared" si="3"/>
        <v/>
      </c>
      <c r="I716" s="68" t="str">
        <f t="shared" si="4"/>
        <v/>
      </c>
      <c r="J716" s="59" t="str">
        <f t="shared" si="5"/>
        <v/>
      </c>
      <c r="K716" s="69" t="str">
        <f t="shared" si="6"/>
        <v/>
      </c>
      <c r="L716" s="60" t="str">
        <f t="shared" si="7"/>
        <v/>
      </c>
      <c r="M716" s="61" t="str">
        <f>IFERROR(__xludf.DUMMYFUNCTION("IFS(AND(COUNTA(C716:C1644)=0,COUNTA(Q716:Q1644)=0),"""",OR(AND(K716&gt;=1000000000,OR(Y716&gt;=1000000000,COUNTA(Q716:Q1644)=0)),OR(Y716&gt;=1000000000,AND(COUNTA(C716:C1644)=0,P$3=TRUE))),
ROUNDDOWN((AB$1-AC$1)*MAX(INDEX(T$4:T1644,MATCH(LARGE(FILTER(Y$4:Y1644,Y$4"&amp;":Y1644&lt;1000000000),1),Y$4:Y1644)),INDEX(F$4:F1644,MATCH(LARGE(FILTER(K$4:K1644,K$4:K1644&lt;1000000000),1),K$4:K1644)))),AND(K716&lt;1000000000,COUNTA(C716:C1644)&gt;0,P$3=FALSE),
ROUNDDOWN(INDEX(Y$4:Y1644,MATCH(LARGE(FILTER(W$4:W1644,W$4:W1644&lt;=I716),1),W$4:W1644"&amp;"))+(I716-LARGE(FILTER(W$4:W1644,W$4:W1644&lt;=I716),1))*INDEX(T$4:T1644,MATCH(LARGE(FILTER(W$4:W1644,W$4:W1644&lt;=I716),1),W$4:W1644))-K716),1,
ROUNDDOWN(Y716-INDEX(K$4:K1644,MATCH(LARGE(FILTER(I$4:I1644,I$4:I1644&lt;=W716),1),I$4:I1644))-(W716-LARGE(FILTER(I$4:I"&amp;"1644,I$4:I1644&lt;=W716),1))*INDEX(F$4:F1644,MATCH(LARGE(FILTER(I$4:I1644,I$4:I1644&lt;=W716),1),I$4:I1644))))"),"")</f>
        <v/>
      </c>
      <c r="N716" s="60" t="str">
        <f t="shared" si="8"/>
        <v/>
      </c>
      <c r="O716" s="61" t="str">
        <f t="shared" si="9"/>
        <v/>
      </c>
      <c r="P716" s="56" t="str">
        <f t="shared" si="10"/>
        <v/>
      </c>
      <c r="Q716" s="105"/>
      <c r="R716" s="10"/>
      <c r="S716" s="59" t="str">
        <f t="array" ref="S716">IF(COUNTA(Q716:Q1644)=0,"",SUM((COUNTIF(Q$4:Q716,Upgrades!$B$3:$B$13)-COUNTIF(Q$4:Q716,"Sell_"&amp;Upgrades!$B$3:$B$13))*Upgrades!$D$3:$D$13))</f>
        <v/>
      </c>
      <c r="T716" s="66" t="str">
        <f>IFERROR(__xludf.DUMMYFUNCTION("IF(COUNTA(Q716:Q1644)=0,"""",IF(REGEXMATCH(INDEX(FILTER(Q$4:Q716,Q$4:Q716&lt;&gt;""""),ROWS(FILTER(Q$4:Q716,Q$4:Q716&lt;&gt;""""))),""^Sell_""),INDEX(FILTER(T$4:T715,Q$4:Q715&lt;&gt;""""),ROWS(FILTER(Q$4:Q715,Q$4:Q715&lt;&gt;""""))),$AD$5+S716))"),"")</f>
        <v/>
      </c>
      <c r="U716" s="10" t="str">
        <f>IFERROR(__xludf.DUMMYFUNCTION("IF(COUNTA(Q716:Q1644)=0,"""",IF(Q716="""",0,IF(REGEXMATCH(Q716,""^Sell_""),-ROUNDDOWN(ROUNDUP(INDEX(Upgrades!$C$3:$C$13,MATCH(SUBSTITUTE(Q716,""Sell_"",""""),Upgrades!$B$3:$B$13,0))*1.15^(COUNTIF(Q$4:Q715,SUBSTITUTE(Q716,""Sell_"",""""))-COUNTIF(Q$4:Q715,"&amp;"""Sell_""&amp;SUBSTITUTE(Q716,""Sell_"",""""))))/2),ROUNDUP(INDEX(Upgrades!$C$3:$C$13,MATCH(Q716,Upgrades!$B$3:$B$13,0))*1.15^(COUNTIF(Q$4:Q715,Q716)-COUNTIF(Q$4:Q715,""Sell_""&amp;Q716))))))"),"")</f>
        <v/>
      </c>
      <c r="V716" s="10" t="str">
        <f t="shared" si="11"/>
        <v/>
      </c>
      <c r="W716" s="68" t="str">
        <f t="shared" si="12"/>
        <v/>
      </c>
      <c r="X716" s="59" t="str">
        <f t="shared" si="13"/>
        <v/>
      </c>
      <c r="Y716" s="69" t="str">
        <f t="shared" si="14"/>
        <v/>
      </c>
      <c r="Z716" s="11"/>
      <c r="AG716" s="59"/>
    </row>
    <row r="717">
      <c r="A717" s="8"/>
      <c r="B717" s="56" t="str">
        <f t="shared" si="2"/>
        <v/>
      </c>
      <c r="C717" s="105"/>
      <c r="D717" s="10"/>
      <c r="E717" s="59" t="str">
        <f t="array" ref="E717">IF(COUNTA(C717:C1644)=0,"",SUM((COUNTIF(C$4:C717,Upgrades!$B$3:$B$13)-COUNTIF(C$4:C717,"Sell_"&amp;Upgrades!$B$3:$B$13))*Upgrades!$D$3:$D$13))</f>
        <v/>
      </c>
      <c r="F717" s="66" t="str">
        <f>IFERROR(__xludf.DUMMYFUNCTION("IF(COUNTA(C717:C1644)=0,"""",IF(REGEXMATCH(INDEX(FILTER(C$4:C717,C$4:C717&lt;&gt;""""),ROWS(FILTER(C$4:C717,C$4:C717&lt;&gt;""""))),""^Sell_""),INDEX(FILTER(F$4:F716,C$4:C716&lt;&gt;""""),ROWS(FILTER(C$4:C716,C$4:C716&lt;&gt;""""))),$AC$5+E717))"),"")</f>
        <v/>
      </c>
      <c r="G717" s="10" t="str">
        <f>IFERROR(__xludf.DUMMYFUNCTION("IF(COUNTA(C717:C1644)=0,"""",IF(C717="""",0,IF(REGEXMATCH(C717,""^Sell_""),-ROUNDDOWN(ROUNDUP(INDEX(Upgrades!$C$3:$C$13,MATCH(SUBSTITUTE(C717,""Sell_"",""""),Upgrades!$B$3:$B$13,0))*1.15^(COUNTIF(C$4:C716,SUBSTITUTE(C717,""Sell_"",""""))-COUNTIF(C$4:C716,"&amp;"""Sell_""&amp;SUBSTITUTE(C717,""Sell_"",""""))))/2),ROUNDUP(INDEX(Upgrades!$C$3:$C$13,MATCH(C717,Upgrades!$B$3:$B$13,0))*1.15^(COUNTIF(C$4:C716,C717)-COUNTIF(C$4:C716,""Sell_""&amp;C717))))))"),"")</f>
        <v/>
      </c>
      <c r="H717" s="10" t="str">
        <f t="shared" si="3"/>
        <v/>
      </c>
      <c r="I717" s="68" t="str">
        <f t="shared" si="4"/>
        <v/>
      </c>
      <c r="J717" s="59" t="str">
        <f t="shared" si="5"/>
        <v/>
      </c>
      <c r="K717" s="69" t="str">
        <f t="shared" si="6"/>
        <v/>
      </c>
      <c r="L717" s="60" t="str">
        <f t="shared" si="7"/>
        <v/>
      </c>
      <c r="M717" s="61" t="str">
        <f>IFERROR(__xludf.DUMMYFUNCTION("IFS(AND(COUNTA(C717:C1644)=0,COUNTA(Q717:Q1644)=0),"""",OR(AND(K717&gt;=1000000000,OR(Y717&gt;=1000000000,COUNTA(Q717:Q1644)=0)),OR(Y717&gt;=1000000000,AND(COUNTA(C717:C1644)=0,P$3=TRUE))),
ROUNDDOWN((AB$1-AC$1)*MAX(INDEX(T$4:T1644,MATCH(LARGE(FILTER(Y$4:Y1644,Y$4"&amp;":Y1644&lt;1000000000),1),Y$4:Y1644)),INDEX(F$4:F1644,MATCH(LARGE(FILTER(K$4:K1644,K$4:K1644&lt;1000000000),1),K$4:K1644)))),AND(K717&lt;1000000000,COUNTA(C717:C1644)&gt;0,P$3=FALSE),
ROUNDDOWN(INDEX(Y$4:Y1644,MATCH(LARGE(FILTER(W$4:W1644,W$4:W1644&lt;=I717),1),W$4:W1644"&amp;"))+(I717-LARGE(FILTER(W$4:W1644,W$4:W1644&lt;=I717),1))*INDEX(T$4:T1644,MATCH(LARGE(FILTER(W$4:W1644,W$4:W1644&lt;=I717),1),W$4:W1644))-K717),1,
ROUNDDOWN(Y717-INDEX(K$4:K1644,MATCH(LARGE(FILTER(I$4:I1644,I$4:I1644&lt;=W717),1),I$4:I1644))-(W717-LARGE(FILTER(I$4:I"&amp;"1644,I$4:I1644&lt;=W717),1))*INDEX(F$4:F1644,MATCH(LARGE(FILTER(I$4:I1644,I$4:I1644&lt;=W717),1),I$4:I1644))))"),"")</f>
        <v/>
      </c>
      <c r="N717" s="60" t="str">
        <f t="shared" si="8"/>
        <v/>
      </c>
      <c r="O717" s="61" t="str">
        <f t="shared" si="9"/>
        <v/>
      </c>
      <c r="P717" s="56" t="str">
        <f t="shared" si="10"/>
        <v/>
      </c>
      <c r="Q717" s="105"/>
      <c r="R717" s="10"/>
      <c r="S717" s="59" t="str">
        <f t="array" ref="S717">IF(COUNTA(Q717:Q1644)=0,"",SUM((COUNTIF(Q$4:Q717,Upgrades!$B$3:$B$13)-COUNTIF(Q$4:Q717,"Sell_"&amp;Upgrades!$B$3:$B$13))*Upgrades!$D$3:$D$13))</f>
        <v/>
      </c>
      <c r="T717" s="66" t="str">
        <f>IFERROR(__xludf.DUMMYFUNCTION("IF(COUNTA(Q717:Q1644)=0,"""",IF(REGEXMATCH(INDEX(FILTER(Q$4:Q717,Q$4:Q717&lt;&gt;""""),ROWS(FILTER(Q$4:Q717,Q$4:Q717&lt;&gt;""""))),""^Sell_""),INDEX(FILTER(T$4:T716,Q$4:Q716&lt;&gt;""""),ROWS(FILTER(Q$4:Q716,Q$4:Q716&lt;&gt;""""))),$AD$5+S717))"),"")</f>
        <v/>
      </c>
      <c r="U717" s="10" t="str">
        <f>IFERROR(__xludf.DUMMYFUNCTION("IF(COUNTA(Q717:Q1644)=0,"""",IF(Q717="""",0,IF(REGEXMATCH(Q717,""^Sell_""),-ROUNDDOWN(ROUNDUP(INDEX(Upgrades!$C$3:$C$13,MATCH(SUBSTITUTE(Q717,""Sell_"",""""),Upgrades!$B$3:$B$13,0))*1.15^(COUNTIF(Q$4:Q716,SUBSTITUTE(Q717,""Sell_"",""""))-COUNTIF(Q$4:Q716,"&amp;"""Sell_""&amp;SUBSTITUTE(Q717,""Sell_"",""""))))/2),ROUNDUP(INDEX(Upgrades!$C$3:$C$13,MATCH(Q717,Upgrades!$B$3:$B$13,0))*1.15^(COUNTIF(Q$4:Q716,Q717)-COUNTIF(Q$4:Q716,""Sell_""&amp;Q717))))))"),"")</f>
        <v/>
      </c>
      <c r="V717" s="10" t="str">
        <f t="shared" si="11"/>
        <v/>
      </c>
      <c r="W717" s="68" t="str">
        <f t="shared" si="12"/>
        <v/>
      </c>
      <c r="X717" s="59" t="str">
        <f t="shared" si="13"/>
        <v/>
      </c>
      <c r="Y717" s="69" t="str">
        <f t="shared" si="14"/>
        <v/>
      </c>
      <c r="Z717" s="11"/>
      <c r="AG717" s="59"/>
    </row>
    <row r="718">
      <c r="A718" s="8"/>
      <c r="B718" s="56" t="str">
        <f t="shared" si="2"/>
        <v/>
      </c>
      <c r="C718" s="105"/>
      <c r="D718" s="10"/>
      <c r="E718" s="59" t="str">
        <f t="array" ref="E718">IF(COUNTA(C718:C1644)=0,"",SUM((COUNTIF(C$4:C718,Upgrades!$B$3:$B$13)-COUNTIF(C$4:C718,"Sell_"&amp;Upgrades!$B$3:$B$13))*Upgrades!$D$3:$D$13))</f>
        <v/>
      </c>
      <c r="F718" s="66" t="str">
        <f>IFERROR(__xludf.DUMMYFUNCTION("IF(COUNTA(C718:C1644)=0,"""",IF(REGEXMATCH(INDEX(FILTER(C$4:C718,C$4:C718&lt;&gt;""""),ROWS(FILTER(C$4:C718,C$4:C718&lt;&gt;""""))),""^Sell_""),INDEX(FILTER(F$4:F717,C$4:C717&lt;&gt;""""),ROWS(FILTER(C$4:C717,C$4:C717&lt;&gt;""""))),$AC$5+E718))"),"")</f>
        <v/>
      </c>
      <c r="G718" s="10" t="str">
        <f>IFERROR(__xludf.DUMMYFUNCTION("IF(COUNTA(C718:C1644)=0,"""",IF(C718="""",0,IF(REGEXMATCH(C718,""^Sell_""),-ROUNDDOWN(ROUNDUP(INDEX(Upgrades!$C$3:$C$13,MATCH(SUBSTITUTE(C718,""Sell_"",""""),Upgrades!$B$3:$B$13,0))*1.15^(COUNTIF(C$4:C717,SUBSTITUTE(C718,""Sell_"",""""))-COUNTIF(C$4:C717,"&amp;"""Sell_""&amp;SUBSTITUTE(C718,""Sell_"",""""))))/2),ROUNDUP(INDEX(Upgrades!$C$3:$C$13,MATCH(C718,Upgrades!$B$3:$B$13,0))*1.15^(COUNTIF(C$4:C717,C718)-COUNTIF(C$4:C717,""Sell_""&amp;C718))))))"),"")</f>
        <v/>
      </c>
      <c r="H718" s="10" t="str">
        <f t="shared" si="3"/>
        <v/>
      </c>
      <c r="I718" s="68" t="str">
        <f t="shared" si="4"/>
        <v/>
      </c>
      <c r="J718" s="59" t="str">
        <f t="shared" si="5"/>
        <v/>
      </c>
      <c r="K718" s="69" t="str">
        <f t="shared" si="6"/>
        <v/>
      </c>
      <c r="L718" s="60" t="str">
        <f t="shared" si="7"/>
        <v/>
      </c>
      <c r="M718" s="61" t="str">
        <f>IFERROR(__xludf.DUMMYFUNCTION("IFS(AND(COUNTA(C718:C1644)=0,COUNTA(Q718:Q1644)=0),"""",OR(AND(K718&gt;=1000000000,OR(Y718&gt;=1000000000,COUNTA(Q718:Q1644)=0)),OR(Y718&gt;=1000000000,AND(COUNTA(C718:C1644)=0,P$3=TRUE))),
ROUNDDOWN((AB$1-AC$1)*MAX(INDEX(T$4:T1644,MATCH(LARGE(FILTER(Y$4:Y1644,Y$4"&amp;":Y1644&lt;1000000000),1),Y$4:Y1644)),INDEX(F$4:F1644,MATCH(LARGE(FILTER(K$4:K1644,K$4:K1644&lt;1000000000),1),K$4:K1644)))),AND(K718&lt;1000000000,COUNTA(C718:C1644)&gt;0,P$3=FALSE),
ROUNDDOWN(INDEX(Y$4:Y1644,MATCH(LARGE(FILTER(W$4:W1644,W$4:W1644&lt;=I718),1),W$4:W1644"&amp;"))+(I718-LARGE(FILTER(W$4:W1644,W$4:W1644&lt;=I718),1))*INDEX(T$4:T1644,MATCH(LARGE(FILTER(W$4:W1644,W$4:W1644&lt;=I718),1),W$4:W1644))-K718),1,
ROUNDDOWN(Y718-INDEX(K$4:K1644,MATCH(LARGE(FILTER(I$4:I1644,I$4:I1644&lt;=W718),1),I$4:I1644))-(W718-LARGE(FILTER(I$4:I"&amp;"1644,I$4:I1644&lt;=W718),1))*INDEX(F$4:F1644,MATCH(LARGE(FILTER(I$4:I1644,I$4:I1644&lt;=W718),1),I$4:I1644))))"),"")</f>
        <v/>
      </c>
      <c r="N718" s="60" t="str">
        <f t="shared" si="8"/>
        <v/>
      </c>
      <c r="O718" s="61" t="str">
        <f t="shared" si="9"/>
        <v/>
      </c>
      <c r="P718" s="56" t="str">
        <f t="shared" si="10"/>
        <v/>
      </c>
      <c r="Q718" s="105"/>
      <c r="R718" s="10"/>
      <c r="S718" s="59" t="str">
        <f t="array" ref="S718">IF(COUNTA(Q718:Q1644)=0,"",SUM((COUNTIF(Q$4:Q718,Upgrades!$B$3:$B$13)-COUNTIF(Q$4:Q718,"Sell_"&amp;Upgrades!$B$3:$B$13))*Upgrades!$D$3:$D$13))</f>
        <v/>
      </c>
      <c r="T718" s="66" t="str">
        <f>IFERROR(__xludf.DUMMYFUNCTION("IF(COUNTA(Q718:Q1644)=0,"""",IF(REGEXMATCH(INDEX(FILTER(Q$4:Q718,Q$4:Q718&lt;&gt;""""),ROWS(FILTER(Q$4:Q718,Q$4:Q718&lt;&gt;""""))),""^Sell_""),INDEX(FILTER(T$4:T717,Q$4:Q717&lt;&gt;""""),ROWS(FILTER(Q$4:Q717,Q$4:Q717&lt;&gt;""""))),$AD$5+S718))"),"")</f>
        <v/>
      </c>
      <c r="U718" s="10" t="str">
        <f>IFERROR(__xludf.DUMMYFUNCTION("IF(COUNTA(Q718:Q1644)=0,"""",IF(Q718="""",0,IF(REGEXMATCH(Q718,""^Sell_""),-ROUNDDOWN(ROUNDUP(INDEX(Upgrades!$C$3:$C$13,MATCH(SUBSTITUTE(Q718,""Sell_"",""""),Upgrades!$B$3:$B$13,0))*1.15^(COUNTIF(Q$4:Q717,SUBSTITUTE(Q718,""Sell_"",""""))-COUNTIF(Q$4:Q717,"&amp;"""Sell_""&amp;SUBSTITUTE(Q718,""Sell_"",""""))))/2),ROUNDUP(INDEX(Upgrades!$C$3:$C$13,MATCH(Q718,Upgrades!$B$3:$B$13,0))*1.15^(COUNTIF(Q$4:Q717,Q718)-COUNTIF(Q$4:Q717,""Sell_""&amp;Q718))))))"),"")</f>
        <v/>
      </c>
      <c r="V718" s="10" t="str">
        <f t="shared" si="11"/>
        <v/>
      </c>
      <c r="W718" s="68" t="str">
        <f t="shared" si="12"/>
        <v/>
      </c>
      <c r="X718" s="59" t="str">
        <f t="shared" si="13"/>
        <v/>
      </c>
      <c r="Y718" s="69" t="str">
        <f t="shared" si="14"/>
        <v/>
      </c>
      <c r="Z718" s="11"/>
      <c r="AG718" s="59"/>
    </row>
    <row r="719">
      <c r="A719" s="8"/>
      <c r="B719" s="56" t="str">
        <f t="shared" si="2"/>
        <v/>
      </c>
      <c r="C719" s="105"/>
      <c r="D719" s="10"/>
      <c r="E719" s="59" t="str">
        <f t="array" ref="E719">IF(COUNTA(C719:C1644)=0,"",SUM((COUNTIF(C$4:C719,Upgrades!$B$3:$B$13)-COUNTIF(C$4:C719,"Sell_"&amp;Upgrades!$B$3:$B$13))*Upgrades!$D$3:$D$13))</f>
        <v/>
      </c>
      <c r="F719" s="66" t="str">
        <f>IFERROR(__xludf.DUMMYFUNCTION("IF(COUNTA(C719:C1644)=0,"""",IF(REGEXMATCH(INDEX(FILTER(C$4:C719,C$4:C719&lt;&gt;""""),ROWS(FILTER(C$4:C719,C$4:C719&lt;&gt;""""))),""^Sell_""),INDEX(FILTER(F$4:F718,C$4:C718&lt;&gt;""""),ROWS(FILTER(C$4:C718,C$4:C718&lt;&gt;""""))),$AC$5+E719))"),"")</f>
        <v/>
      </c>
      <c r="G719" s="10" t="str">
        <f>IFERROR(__xludf.DUMMYFUNCTION("IF(COUNTA(C719:C1644)=0,"""",IF(C719="""",0,IF(REGEXMATCH(C719,""^Sell_""),-ROUNDDOWN(ROUNDUP(INDEX(Upgrades!$C$3:$C$13,MATCH(SUBSTITUTE(C719,""Sell_"",""""),Upgrades!$B$3:$B$13,0))*1.15^(COUNTIF(C$4:C718,SUBSTITUTE(C719,""Sell_"",""""))-COUNTIF(C$4:C718,"&amp;"""Sell_""&amp;SUBSTITUTE(C719,""Sell_"",""""))))/2),ROUNDUP(INDEX(Upgrades!$C$3:$C$13,MATCH(C719,Upgrades!$B$3:$B$13,0))*1.15^(COUNTIF(C$4:C718,C719)-COUNTIF(C$4:C718,""Sell_""&amp;C719))))))"),"")</f>
        <v/>
      </c>
      <c r="H719" s="10" t="str">
        <f t="shared" si="3"/>
        <v/>
      </c>
      <c r="I719" s="68" t="str">
        <f t="shared" si="4"/>
        <v/>
      </c>
      <c r="J719" s="59" t="str">
        <f t="shared" si="5"/>
        <v/>
      </c>
      <c r="K719" s="69" t="str">
        <f t="shared" si="6"/>
        <v/>
      </c>
      <c r="L719" s="60" t="str">
        <f t="shared" si="7"/>
        <v/>
      </c>
      <c r="M719" s="61" t="str">
        <f>IFERROR(__xludf.DUMMYFUNCTION("IFS(AND(COUNTA(C719:C1644)=0,COUNTA(Q719:Q1644)=0),"""",OR(AND(K719&gt;=1000000000,OR(Y719&gt;=1000000000,COUNTA(Q719:Q1644)=0)),OR(Y719&gt;=1000000000,AND(COUNTA(C719:C1644)=0,P$3=TRUE))),
ROUNDDOWN((AB$1-AC$1)*MAX(INDEX(T$4:T1644,MATCH(LARGE(FILTER(Y$4:Y1644,Y$4"&amp;":Y1644&lt;1000000000),1),Y$4:Y1644)),INDEX(F$4:F1644,MATCH(LARGE(FILTER(K$4:K1644,K$4:K1644&lt;1000000000),1),K$4:K1644)))),AND(K719&lt;1000000000,COUNTA(C719:C1644)&gt;0,P$3=FALSE),
ROUNDDOWN(INDEX(Y$4:Y1644,MATCH(LARGE(FILTER(W$4:W1644,W$4:W1644&lt;=I719),1),W$4:W1644"&amp;"))+(I719-LARGE(FILTER(W$4:W1644,W$4:W1644&lt;=I719),1))*INDEX(T$4:T1644,MATCH(LARGE(FILTER(W$4:W1644,W$4:W1644&lt;=I719),1),W$4:W1644))-K719),1,
ROUNDDOWN(Y719-INDEX(K$4:K1644,MATCH(LARGE(FILTER(I$4:I1644,I$4:I1644&lt;=W719),1),I$4:I1644))-(W719-LARGE(FILTER(I$4:I"&amp;"1644,I$4:I1644&lt;=W719),1))*INDEX(F$4:F1644,MATCH(LARGE(FILTER(I$4:I1644,I$4:I1644&lt;=W719),1),I$4:I1644))))"),"")</f>
        <v/>
      </c>
      <c r="N719" s="60" t="str">
        <f t="shared" si="8"/>
        <v/>
      </c>
      <c r="O719" s="61" t="str">
        <f t="shared" si="9"/>
        <v/>
      </c>
      <c r="P719" s="56" t="str">
        <f t="shared" si="10"/>
        <v/>
      </c>
      <c r="Q719" s="105"/>
      <c r="R719" s="10"/>
      <c r="S719" s="59" t="str">
        <f t="array" ref="S719">IF(COUNTA(Q719:Q1644)=0,"",SUM((COUNTIF(Q$4:Q719,Upgrades!$B$3:$B$13)-COUNTIF(Q$4:Q719,"Sell_"&amp;Upgrades!$B$3:$B$13))*Upgrades!$D$3:$D$13))</f>
        <v/>
      </c>
      <c r="T719" s="66" t="str">
        <f>IFERROR(__xludf.DUMMYFUNCTION("IF(COUNTA(Q719:Q1644)=0,"""",IF(REGEXMATCH(INDEX(FILTER(Q$4:Q719,Q$4:Q719&lt;&gt;""""),ROWS(FILTER(Q$4:Q719,Q$4:Q719&lt;&gt;""""))),""^Sell_""),INDEX(FILTER(T$4:T718,Q$4:Q718&lt;&gt;""""),ROWS(FILTER(Q$4:Q718,Q$4:Q718&lt;&gt;""""))),$AD$5+S719))"),"")</f>
        <v/>
      </c>
      <c r="U719" s="10" t="str">
        <f>IFERROR(__xludf.DUMMYFUNCTION("IF(COUNTA(Q719:Q1644)=0,"""",IF(Q719="""",0,IF(REGEXMATCH(Q719,""^Sell_""),-ROUNDDOWN(ROUNDUP(INDEX(Upgrades!$C$3:$C$13,MATCH(SUBSTITUTE(Q719,""Sell_"",""""),Upgrades!$B$3:$B$13,0))*1.15^(COUNTIF(Q$4:Q718,SUBSTITUTE(Q719,""Sell_"",""""))-COUNTIF(Q$4:Q718,"&amp;"""Sell_""&amp;SUBSTITUTE(Q719,""Sell_"",""""))))/2),ROUNDUP(INDEX(Upgrades!$C$3:$C$13,MATCH(Q719,Upgrades!$B$3:$B$13,0))*1.15^(COUNTIF(Q$4:Q718,Q719)-COUNTIF(Q$4:Q718,""Sell_""&amp;Q719))))))"),"")</f>
        <v/>
      </c>
      <c r="V719" s="10" t="str">
        <f t="shared" si="11"/>
        <v/>
      </c>
      <c r="W719" s="68" t="str">
        <f t="shared" si="12"/>
        <v/>
      </c>
      <c r="X719" s="59" t="str">
        <f t="shared" si="13"/>
        <v/>
      </c>
      <c r="Y719" s="69" t="str">
        <f t="shared" si="14"/>
        <v/>
      </c>
      <c r="Z719" s="11"/>
      <c r="AG719" s="59"/>
    </row>
    <row r="720">
      <c r="A720" s="8"/>
      <c r="B720" s="56" t="str">
        <f t="shared" si="2"/>
        <v/>
      </c>
      <c r="C720" s="105"/>
      <c r="D720" s="10"/>
      <c r="E720" s="59" t="str">
        <f t="array" ref="E720">IF(COUNTA(C720:C1644)=0,"",SUM((COUNTIF(C$4:C720,Upgrades!$B$3:$B$13)-COUNTIF(C$4:C720,"Sell_"&amp;Upgrades!$B$3:$B$13))*Upgrades!$D$3:$D$13))</f>
        <v/>
      </c>
      <c r="F720" s="66" t="str">
        <f>IFERROR(__xludf.DUMMYFUNCTION("IF(COUNTA(C720:C1644)=0,"""",IF(REGEXMATCH(INDEX(FILTER(C$4:C720,C$4:C720&lt;&gt;""""),ROWS(FILTER(C$4:C720,C$4:C720&lt;&gt;""""))),""^Sell_""),INDEX(FILTER(F$4:F719,C$4:C719&lt;&gt;""""),ROWS(FILTER(C$4:C719,C$4:C719&lt;&gt;""""))),$AC$5+E720))"),"")</f>
        <v/>
      </c>
      <c r="G720" s="10" t="str">
        <f>IFERROR(__xludf.DUMMYFUNCTION("IF(COUNTA(C720:C1644)=0,"""",IF(C720="""",0,IF(REGEXMATCH(C720,""^Sell_""),-ROUNDDOWN(ROUNDUP(INDEX(Upgrades!$C$3:$C$13,MATCH(SUBSTITUTE(C720,""Sell_"",""""),Upgrades!$B$3:$B$13,0))*1.15^(COUNTIF(C$4:C719,SUBSTITUTE(C720,""Sell_"",""""))-COUNTIF(C$4:C719,"&amp;"""Sell_""&amp;SUBSTITUTE(C720,""Sell_"",""""))))/2),ROUNDUP(INDEX(Upgrades!$C$3:$C$13,MATCH(C720,Upgrades!$B$3:$B$13,0))*1.15^(COUNTIF(C$4:C719,C720)-COUNTIF(C$4:C719,""Sell_""&amp;C720))))))"),"")</f>
        <v/>
      </c>
      <c r="H720" s="10" t="str">
        <f t="shared" si="3"/>
        <v/>
      </c>
      <c r="I720" s="68" t="str">
        <f t="shared" si="4"/>
        <v/>
      </c>
      <c r="J720" s="59" t="str">
        <f t="shared" si="5"/>
        <v/>
      </c>
      <c r="K720" s="69" t="str">
        <f t="shared" si="6"/>
        <v/>
      </c>
      <c r="L720" s="60" t="str">
        <f t="shared" si="7"/>
        <v/>
      </c>
      <c r="M720" s="61" t="str">
        <f>IFERROR(__xludf.DUMMYFUNCTION("IFS(AND(COUNTA(C720:C1644)=0,COUNTA(Q720:Q1644)=0),"""",OR(AND(K720&gt;=1000000000,OR(Y720&gt;=1000000000,COUNTA(Q720:Q1644)=0)),OR(Y720&gt;=1000000000,AND(COUNTA(C720:C1644)=0,P$3=TRUE))),
ROUNDDOWN((AB$1-AC$1)*MAX(INDEX(T$4:T1644,MATCH(LARGE(FILTER(Y$4:Y1644,Y$4"&amp;":Y1644&lt;1000000000),1),Y$4:Y1644)),INDEX(F$4:F1644,MATCH(LARGE(FILTER(K$4:K1644,K$4:K1644&lt;1000000000),1),K$4:K1644)))),AND(K720&lt;1000000000,COUNTA(C720:C1644)&gt;0,P$3=FALSE),
ROUNDDOWN(INDEX(Y$4:Y1644,MATCH(LARGE(FILTER(W$4:W1644,W$4:W1644&lt;=I720),1),W$4:W1644"&amp;"))+(I720-LARGE(FILTER(W$4:W1644,W$4:W1644&lt;=I720),1))*INDEX(T$4:T1644,MATCH(LARGE(FILTER(W$4:W1644,W$4:W1644&lt;=I720),1),W$4:W1644))-K720),1,
ROUNDDOWN(Y720-INDEX(K$4:K1644,MATCH(LARGE(FILTER(I$4:I1644,I$4:I1644&lt;=W720),1),I$4:I1644))-(W720-LARGE(FILTER(I$4:I"&amp;"1644,I$4:I1644&lt;=W720),1))*INDEX(F$4:F1644,MATCH(LARGE(FILTER(I$4:I1644,I$4:I1644&lt;=W720),1),I$4:I1644))))"),"")</f>
        <v/>
      </c>
      <c r="N720" s="60" t="str">
        <f t="shared" si="8"/>
        <v/>
      </c>
      <c r="O720" s="61" t="str">
        <f t="shared" si="9"/>
        <v/>
      </c>
      <c r="P720" s="56" t="str">
        <f t="shared" si="10"/>
        <v/>
      </c>
      <c r="Q720" s="105"/>
      <c r="R720" s="10"/>
      <c r="S720" s="59" t="str">
        <f t="array" ref="S720">IF(COUNTA(Q720:Q1644)=0,"",SUM((COUNTIF(Q$4:Q720,Upgrades!$B$3:$B$13)-COUNTIF(Q$4:Q720,"Sell_"&amp;Upgrades!$B$3:$B$13))*Upgrades!$D$3:$D$13))</f>
        <v/>
      </c>
      <c r="T720" s="66" t="str">
        <f>IFERROR(__xludf.DUMMYFUNCTION("IF(COUNTA(Q720:Q1644)=0,"""",IF(REGEXMATCH(INDEX(FILTER(Q$4:Q720,Q$4:Q720&lt;&gt;""""),ROWS(FILTER(Q$4:Q720,Q$4:Q720&lt;&gt;""""))),""^Sell_""),INDEX(FILTER(T$4:T719,Q$4:Q719&lt;&gt;""""),ROWS(FILTER(Q$4:Q719,Q$4:Q719&lt;&gt;""""))),$AD$5+S720))"),"")</f>
        <v/>
      </c>
      <c r="U720" s="10" t="str">
        <f>IFERROR(__xludf.DUMMYFUNCTION("IF(COUNTA(Q720:Q1644)=0,"""",IF(Q720="""",0,IF(REGEXMATCH(Q720,""^Sell_""),-ROUNDDOWN(ROUNDUP(INDEX(Upgrades!$C$3:$C$13,MATCH(SUBSTITUTE(Q720,""Sell_"",""""),Upgrades!$B$3:$B$13,0))*1.15^(COUNTIF(Q$4:Q719,SUBSTITUTE(Q720,""Sell_"",""""))-COUNTIF(Q$4:Q719,"&amp;"""Sell_""&amp;SUBSTITUTE(Q720,""Sell_"",""""))))/2),ROUNDUP(INDEX(Upgrades!$C$3:$C$13,MATCH(Q720,Upgrades!$B$3:$B$13,0))*1.15^(COUNTIF(Q$4:Q719,Q720)-COUNTIF(Q$4:Q719,""Sell_""&amp;Q720))))))"),"")</f>
        <v/>
      </c>
      <c r="V720" s="10" t="str">
        <f t="shared" si="11"/>
        <v/>
      </c>
      <c r="W720" s="68" t="str">
        <f t="shared" si="12"/>
        <v/>
      </c>
      <c r="X720" s="59" t="str">
        <f t="shared" si="13"/>
        <v/>
      </c>
      <c r="Y720" s="69" t="str">
        <f t="shared" si="14"/>
        <v/>
      </c>
      <c r="Z720" s="11"/>
      <c r="AG720" s="59"/>
    </row>
    <row r="721">
      <c r="A721" s="8"/>
      <c r="B721" s="56" t="str">
        <f t="shared" si="2"/>
        <v/>
      </c>
      <c r="C721" s="105"/>
      <c r="D721" s="10"/>
      <c r="E721" s="59" t="str">
        <f t="array" ref="E721">IF(COUNTA(C721:C1644)=0,"",SUM((COUNTIF(C$4:C721,Upgrades!$B$3:$B$13)-COUNTIF(C$4:C721,"Sell_"&amp;Upgrades!$B$3:$B$13))*Upgrades!$D$3:$D$13))</f>
        <v/>
      </c>
      <c r="F721" s="66" t="str">
        <f>IFERROR(__xludf.DUMMYFUNCTION("IF(COUNTA(C721:C1644)=0,"""",IF(REGEXMATCH(INDEX(FILTER(C$4:C721,C$4:C721&lt;&gt;""""),ROWS(FILTER(C$4:C721,C$4:C721&lt;&gt;""""))),""^Sell_""),INDEX(FILTER(F$4:F720,C$4:C720&lt;&gt;""""),ROWS(FILTER(C$4:C720,C$4:C720&lt;&gt;""""))),$AC$5+E721))"),"")</f>
        <v/>
      </c>
      <c r="G721" s="10" t="str">
        <f>IFERROR(__xludf.DUMMYFUNCTION("IF(COUNTA(C721:C1644)=0,"""",IF(C721="""",0,IF(REGEXMATCH(C721,""^Sell_""),-ROUNDDOWN(ROUNDUP(INDEX(Upgrades!$C$3:$C$13,MATCH(SUBSTITUTE(C721,""Sell_"",""""),Upgrades!$B$3:$B$13,0))*1.15^(COUNTIF(C$4:C720,SUBSTITUTE(C721,""Sell_"",""""))-COUNTIF(C$4:C720,"&amp;"""Sell_""&amp;SUBSTITUTE(C721,""Sell_"",""""))))/2),ROUNDUP(INDEX(Upgrades!$C$3:$C$13,MATCH(C721,Upgrades!$B$3:$B$13,0))*1.15^(COUNTIF(C$4:C720,C721)-COUNTIF(C$4:C720,""Sell_""&amp;C721))))))"),"")</f>
        <v/>
      </c>
      <c r="H721" s="10" t="str">
        <f t="shared" si="3"/>
        <v/>
      </c>
      <c r="I721" s="68" t="str">
        <f t="shared" si="4"/>
        <v/>
      </c>
      <c r="J721" s="59" t="str">
        <f t="shared" si="5"/>
        <v/>
      </c>
      <c r="K721" s="69" t="str">
        <f t="shared" si="6"/>
        <v/>
      </c>
      <c r="L721" s="60" t="str">
        <f t="shared" si="7"/>
        <v/>
      </c>
      <c r="M721" s="61" t="str">
        <f>IFERROR(__xludf.DUMMYFUNCTION("IFS(AND(COUNTA(C721:C1644)=0,COUNTA(Q721:Q1644)=0),"""",OR(AND(K721&gt;=1000000000,OR(Y721&gt;=1000000000,COUNTA(Q721:Q1644)=0)),OR(Y721&gt;=1000000000,AND(COUNTA(C721:C1644)=0,P$3=TRUE))),
ROUNDDOWN((AB$1-AC$1)*MAX(INDEX(T$4:T1644,MATCH(LARGE(FILTER(Y$4:Y1644,Y$4"&amp;":Y1644&lt;1000000000),1),Y$4:Y1644)),INDEX(F$4:F1644,MATCH(LARGE(FILTER(K$4:K1644,K$4:K1644&lt;1000000000),1),K$4:K1644)))),AND(K721&lt;1000000000,COUNTA(C721:C1644)&gt;0,P$3=FALSE),
ROUNDDOWN(INDEX(Y$4:Y1644,MATCH(LARGE(FILTER(W$4:W1644,W$4:W1644&lt;=I721),1),W$4:W1644"&amp;"))+(I721-LARGE(FILTER(W$4:W1644,W$4:W1644&lt;=I721),1))*INDEX(T$4:T1644,MATCH(LARGE(FILTER(W$4:W1644,W$4:W1644&lt;=I721),1),W$4:W1644))-K721),1,
ROUNDDOWN(Y721-INDEX(K$4:K1644,MATCH(LARGE(FILTER(I$4:I1644,I$4:I1644&lt;=W721),1),I$4:I1644))-(W721-LARGE(FILTER(I$4:I"&amp;"1644,I$4:I1644&lt;=W721),1))*INDEX(F$4:F1644,MATCH(LARGE(FILTER(I$4:I1644,I$4:I1644&lt;=W721),1),I$4:I1644))))"),"")</f>
        <v/>
      </c>
      <c r="N721" s="60" t="str">
        <f t="shared" si="8"/>
        <v/>
      </c>
      <c r="O721" s="61" t="str">
        <f t="shared" si="9"/>
        <v/>
      </c>
      <c r="P721" s="56" t="str">
        <f t="shared" si="10"/>
        <v/>
      </c>
      <c r="Q721" s="105"/>
      <c r="R721" s="10"/>
      <c r="S721" s="59" t="str">
        <f t="array" ref="S721">IF(COUNTA(Q721:Q1644)=0,"",SUM((COUNTIF(Q$4:Q721,Upgrades!$B$3:$B$13)-COUNTIF(Q$4:Q721,"Sell_"&amp;Upgrades!$B$3:$B$13))*Upgrades!$D$3:$D$13))</f>
        <v/>
      </c>
      <c r="T721" s="66" t="str">
        <f>IFERROR(__xludf.DUMMYFUNCTION("IF(COUNTA(Q721:Q1644)=0,"""",IF(REGEXMATCH(INDEX(FILTER(Q$4:Q721,Q$4:Q721&lt;&gt;""""),ROWS(FILTER(Q$4:Q721,Q$4:Q721&lt;&gt;""""))),""^Sell_""),INDEX(FILTER(T$4:T720,Q$4:Q720&lt;&gt;""""),ROWS(FILTER(Q$4:Q720,Q$4:Q720&lt;&gt;""""))),$AD$5+S721))"),"")</f>
        <v/>
      </c>
      <c r="U721" s="10" t="str">
        <f>IFERROR(__xludf.DUMMYFUNCTION("IF(COUNTA(Q721:Q1644)=0,"""",IF(Q721="""",0,IF(REGEXMATCH(Q721,""^Sell_""),-ROUNDDOWN(ROUNDUP(INDEX(Upgrades!$C$3:$C$13,MATCH(SUBSTITUTE(Q721,""Sell_"",""""),Upgrades!$B$3:$B$13,0))*1.15^(COUNTIF(Q$4:Q720,SUBSTITUTE(Q721,""Sell_"",""""))-COUNTIF(Q$4:Q720,"&amp;"""Sell_""&amp;SUBSTITUTE(Q721,""Sell_"",""""))))/2),ROUNDUP(INDEX(Upgrades!$C$3:$C$13,MATCH(Q721,Upgrades!$B$3:$B$13,0))*1.15^(COUNTIF(Q$4:Q720,Q721)-COUNTIF(Q$4:Q720,""Sell_""&amp;Q721))))))"),"")</f>
        <v/>
      </c>
      <c r="V721" s="10" t="str">
        <f t="shared" si="11"/>
        <v/>
      </c>
      <c r="W721" s="68" t="str">
        <f t="shared" si="12"/>
        <v/>
      </c>
      <c r="X721" s="59" t="str">
        <f t="shared" si="13"/>
        <v/>
      </c>
      <c r="Y721" s="69" t="str">
        <f t="shared" si="14"/>
        <v/>
      </c>
      <c r="Z721" s="11"/>
      <c r="AG721" s="59"/>
    </row>
    <row r="722">
      <c r="A722" s="8"/>
      <c r="B722" s="56" t="str">
        <f t="shared" si="2"/>
        <v/>
      </c>
      <c r="C722" s="105"/>
      <c r="D722" s="10"/>
      <c r="E722" s="59" t="str">
        <f t="array" ref="E722">IF(COUNTA(C722:C1644)=0,"",SUM((COUNTIF(C$4:C722,Upgrades!$B$3:$B$13)-COUNTIF(C$4:C722,"Sell_"&amp;Upgrades!$B$3:$B$13))*Upgrades!$D$3:$D$13))</f>
        <v/>
      </c>
      <c r="F722" s="66" t="str">
        <f>IFERROR(__xludf.DUMMYFUNCTION("IF(COUNTA(C722:C1644)=0,"""",IF(REGEXMATCH(INDEX(FILTER(C$4:C722,C$4:C722&lt;&gt;""""),ROWS(FILTER(C$4:C722,C$4:C722&lt;&gt;""""))),""^Sell_""),INDEX(FILTER(F$4:F721,C$4:C721&lt;&gt;""""),ROWS(FILTER(C$4:C721,C$4:C721&lt;&gt;""""))),$AC$5+E722))"),"")</f>
        <v/>
      </c>
      <c r="G722" s="10" t="str">
        <f>IFERROR(__xludf.DUMMYFUNCTION("IF(COUNTA(C722:C1644)=0,"""",IF(C722="""",0,IF(REGEXMATCH(C722,""^Sell_""),-ROUNDDOWN(ROUNDUP(INDEX(Upgrades!$C$3:$C$13,MATCH(SUBSTITUTE(C722,""Sell_"",""""),Upgrades!$B$3:$B$13,0))*1.15^(COUNTIF(C$4:C721,SUBSTITUTE(C722,""Sell_"",""""))-COUNTIF(C$4:C721,"&amp;"""Sell_""&amp;SUBSTITUTE(C722,""Sell_"",""""))))/2),ROUNDUP(INDEX(Upgrades!$C$3:$C$13,MATCH(C722,Upgrades!$B$3:$B$13,0))*1.15^(COUNTIF(C$4:C721,C722)-COUNTIF(C$4:C721,""Sell_""&amp;C722))))))"),"")</f>
        <v/>
      </c>
      <c r="H722" s="10" t="str">
        <f t="shared" si="3"/>
        <v/>
      </c>
      <c r="I722" s="68" t="str">
        <f t="shared" si="4"/>
        <v/>
      </c>
      <c r="J722" s="59" t="str">
        <f t="shared" si="5"/>
        <v/>
      </c>
      <c r="K722" s="69" t="str">
        <f t="shared" si="6"/>
        <v/>
      </c>
      <c r="L722" s="60" t="str">
        <f t="shared" si="7"/>
        <v/>
      </c>
      <c r="M722" s="61" t="str">
        <f>IFERROR(__xludf.DUMMYFUNCTION("IFS(AND(COUNTA(C722:C1644)=0,COUNTA(Q722:Q1644)=0),"""",OR(AND(K722&gt;=1000000000,OR(Y722&gt;=1000000000,COUNTA(Q722:Q1644)=0)),OR(Y722&gt;=1000000000,AND(COUNTA(C722:C1644)=0,P$3=TRUE))),
ROUNDDOWN((AB$1-AC$1)*MAX(INDEX(T$4:T1644,MATCH(LARGE(FILTER(Y$4:Y1644,Y$4"&amp;":Y1644&lt;1000000000),1),Y$4:Y1644)),INDEX(F$4:F1644,MATCH(LARGE(FILTER(K$4:K1644,K$4:K1644&lt;1000000000),1),K$4:K1644)))),AND(K722&lt;1000000000,COUNTA(C722:C1644)&gt;0,P$3=FALSE),
ROUNDDOWN(INDEX(Y$4:Y1644,MATCH(LARGE(FILTER(W$4:W1644,W$4:W1644&lt;=I722),1),W$4:W1644"&amp;"))+(I722-LARGE(FILTER(W$4:W1644,W$4:W1644&lt;=I722),1))*INDEX(T$4:T1644,MATCH(LARGE(FILTER(W$4:W1644,W$4:W1644&lt;=I722),1),W$4:W1644))-K722),1,
ROUNDDOWN(Y722-INDEX(K$4:K1644,MATCH(LARGE(FILTER(I$4:I1644,I$4:I1644&lt;=W722),1),I$4:I1644))-(W722-LARGE(FILTER(I$4:I"&amp;"1644,I$4:I1644&lt;=W722),1))*INDEX(F$4:F1644,MATCH(LARGE(FILTER(I$4:I1644,I$4:I1644&lt;=W722),1),I$4:I1644))))"),"")</f>
        <v/>
      </c>
      <c r="N722" s="60" t="str">
        <f t="shared" si="8"/>
        <v/>
      </c>
      <c r="O722" s="61" t="str">
        <f t="shared" si="9"/>
        <v/>
      </c>
      <c r="P722" s="56" t="str">
        <f t="shared" si="10"/>
        <v/>
      </c>
      <c r="Q722" s="105"/>
      <c r="R722" s="10"/>
      <c r="S722" s="59" t="str">
        <f t="array" ref="S722">IF(COUNTA(Q722:Q1644)=0,"",SUM((COUNTIF(Q$4:Q722,Upgrades!$B$3:$B$13)-COUNTIF(Q$4:Q722,"Sell_"&amp;Upgrades!$B$3:$B$13))*Upgrades!$D$3:$D$13))</f>
        <v/>
      </c>
      <c r="T722" s="66" t="str">
        <f>IFERROR(__xludf.DUMMYFUNCTION("IF(COUNTA(Q722:Q1644)=0,"""",IF(REGEXMATCH(INDEX(FILTER(Q$4:Q722,Q$4:Q722&lt;&gt;""""),ROWS(FILTER(Q$4:Q722,Q$4:Q722&lt;&gt;""""))),""^Sell_""),INDEX(FILTER(T$4:T721,Q$4:Q721&lt;&gt;""""),ROWS(FILTER(Q$4:Q721,Q$4:Q721&lt;&gt;""""))),$AD$5+S722))"),"")</f>
        <v/>
      </c>
      <c r="U722" s="10" t="str">
        <f>IFERROR(__xludf.DUMMYFUNCTION("IF(COUNTA(Q722:Q1644)=0,"""",IF(Q722="""",0,IF(REGEXMATCH(Q722,""^Sell_""),-ROUNDDOWN(ROUNDUP(INDEX(Upgrades!$C$3:$C$13,MATCH(SUBSTITUTE(Q722,""Sell_"",""""),Upgrades!$B$3:$B$13,0))*1.15^(COUNTIF(Q$4:Q721,SUBSTITUTE(Q722,""Sell_"",""""))-COUNTIF(Q$4:Q721,"&amp;"""Sell_""&amp;SUBSTITUTE(Q722,""Sell_"",""""))))/2),ROUNDUP(INDEX(Upgrades!$C$3:$C$13,MATCH(Q722,Upgrades!$B$3:$B$13,0))*1.15^(COUNTIF(Q$4:Q721,Q722)-COUNTIF(Q$4:Q721,""Sell_""&amp;Q722))))))"),"")</f>
        <v/>
      </c>
      <c r="V722" s="10" t="str">
        <f t="shared" si="11"/>
        <v/>
      </c>
      <c r="W722" s="68" t="str">
        <f t="shared" si="12"/>
        <v/>
      </c>
      <c r="X722" s="59" t="str">
        <f t="shared" si="13"/>
        <v/>
      </c>
      <c r="Y722" s="69" t="str">
        <f t="shared" si="14"/>
        <v/>
      </c>
      <c r="Z722" s="11"/>
      <c r="AG722" s="59"/>
    </row>
    <row r="723">
      <c r="A723" s="8"/>
      <c r="B723" s="56" t="str">
        <f t="shared" si="2"/>
        <v/>
      </c>
      <c r="C723" s="105"/>
      <c r="D723" s="10"/>
      <c r="E723" s="59" t="str">
        <f t="array" ref="E723">IF(COUNTA(C723:C1644)=0,"",SUM((COUNTIF(C$4:C723,Upgrades!$B$3:$B$13)-COUNTIF(C$4:C723,"Sell_"&amp;Upgrades!$B$3:$B$13))*Upgrades!$D$3:$D$13))</f>
        <v/>
      </c>
      <c r="F723" s="66" t="str">
        <f>IFERROR(__xludf.DUMMYFUNCTION("IF(COUNTA(C723:C1644)=0,"""",IF(REGEXMATCH(INDEX(FILTER(C$4:C723,C$4:C723&lt;&gt;""""),ROWS(FILTER(C$4:C723,C$4:C723&lt;&gt;""""))),""^Sell_""),INDEX(FILTER(F$4:F722,C$4:C722&lt;&gt;""""),ROWS(FILTER(C$4:C722,C$4:C722&lt;&gt;""""))),$AC$5+E723))"),"")</f>
        <v/>
      </c>
      <c r="G723" s="10" t="str">
        <f>IFERROR(__xludf.DUMMYFUNCTION("IF(COUNTA(C723:C1644)=0,"""",IF(C723="""",0,IF(REGEXMATCH(C723,""^Sell_""),-ROUNDDOWN(ROUNDUP(INDEX(Upgrades!$C$3:$C$13,MATCH(SUBSTITUTE(C723,""Sell_"",""""),Upgrades!$B$3:$B$13,0))*1.15^(COUNTIF(C$4:C722,SUBSTITUTE(C723,""Sell_"",""""))-COUNTIF(C$4:C722,"&amp;"""Sell_""&amp;SUBSTITUTE(C723,""Sell_"",""""))))/2),ROUNDUP(INDEX(Upgrades!$C$3:$C$13,MATCH(C723,Upgrades!$B$3:$B$13,0))*1.15^(COUNTIF(C$4:C722,C723)-COUNTIF(C$4:C722,""Sell_""&amp;C723))))))"),"")</f>
        <v/>
      </c>
      <c r="H723" s="10" t="str">
        <f t="shared" si="3"/>
        <v/>
      </c>
      <c r="I723" s="68" t="str">
        <f t="shared" si="4"/>
        <v/>
      </c>
      <c r="J723" s="59" t="str">
        <f t="shared" si="5"/>
        <v/>
      </c>
      <c r="K723" s="69" t="str">
        <f t="shared" si="6"/>
        <v/>
      </c>
      <c r="L723" s="60" t="str">
        <f t="shared" si="7"/>
        <v/>
      </c>
      <c r="M723" s="61" t="str">
        <f>IFERROR(__xludf.DUMMYFUNCTION("IFS(AND(COUNTA(C723:C1644)=0,COUNTA(Q723:Q1644)=0),"""",OR(AND(K723&gt;=1000000000,OR(Y723&gt;=1000000000,COUNTA(Q723:Q1644)=0)),OR(Y723&gt;=1000000000,AND(COUNTA(C723:C1644)=0,P$3=TRUE))),
ROUNDDOWN((AB$1-AC$1)*MAX(INDEX(T$4:T1644,MATCH(LARGE(FILTER(Y$4:Y1644,Y$4"&amp;":Y1644&lt;1000000000),1),Y$4:Y1644)),INDEX(F$4:F1644,MATCH(LARGE(FILTER(K$4:K1644,K$4:K1644&lt;1000000000),1),K$4:K1644)))),AND(K723&lt;1000000000,COUNTA(C723:C1644)&gt;0,P$3=FALSE),
ROUNDDOWN(INDEX(Y$4:Y1644,MATCH(LARGE(FILTER(W$4:W1644,W$4:W1644&lt;=I723),1),W$4:W1644"&amp;"))+(I723-LARGE(FILTER(W$4:W1644,W$4:W1644&lt;=I723),1))*INDEX(T$4:T1644,MATCH(LARGE(FILTER(W$4:W1644,W$4:W1644&lt;=I723),1),W$4:W1644))-K723),1,
ROUNDDOWN(Y723-INDEX(K$4:K1644,MATCH(LARGE(FILTER(I$4:I1644,I$4:I1644&lt;=W723),1),I$4:I1644))-(W723-LARGE(FILTER(I$4:I"&amp;"1644,I$4:I1644&lt;=W723),1))*INDEX(F$4:F1644,MATCH(LARGE(FILTER(I$4:I1644,I$4:I1644&lt;=W723),1),I$4:I1644))))"),"")</f>
        <v/>
      </c>
      <c r="N723" s="60" t="str">
        <f t="shared" si="8"/>
        <v/>
      </c>
      <c r="O723" s="61" t="str">
        <f t="shared" si="9"/>
        <v/>
      </c>
      <c r="P723" s="56" t="str">
        <f t="shared" si="10"/>
        <v/>
      </c>
      <c r="Q723" s="105"/>
      <c r="R723" s="10"/>
      <c r="S723" s="59" t="str">
        <f t="array" ref="S723">IF(COUNTA(Q723:Q1644)=0,"",SUM((COUNTIF(Q$4:Q723,Upgrades!$B$3:$B$13)-COUNTIF(Q$4:Q723,"Sell_"&amp;Upgrades!$B$3:$B$13))*Upgrades!$D$3:$D$13))</f>
        <v/>
      </c>
      <c r="T723" s="66" t="str">
        <f>IFERROR(__xludf.DUMMYFUNCTION("IF(COUNTA(Q723:Q1644)=0,"""",IF(REGEXMATCH(INDEX(FILTER(Q$4:Q723,Q$4:Q723&lt;&gt;""""),ROWS(FILTER(Q$4:Q723,Q$4:Q723&lt;&gt;""""))),""^Sell_""),INDEX(FILTER(T$4:T722,Q$4:Q722&lt;&gt;""""),ROWS(FILTER(Q$4:Q722,Q$4:Q722&lt;&gt;""""))),$AD$5+S723))"),"")</f>
        <v/>
      </c>
      <c r="U723" s="10" t="str">
        <f>IFERROR(__xludf.DUMMYFUNCTION("IF(COUNTA(Q723:Q1644)=0,"""",IF(Q723="""",0,IF(REGEXMATCH(Q723,""^Sell_""),-ROUNDDOWN(ROUNDUP(INDEX(Upgrades!$C$3:$C$13,MATCH(SUBSTITUTE(Q723,""Sell_"",""""),Upgrades!$B$3:$B$13,0))*1.15^(COUNTIF(Q$4:Q722,SUBSTITUTE(Q723,""Sell_"",""""))-COUNTIF(Q$4:Q722,"&amp;"""Sell_""&amp;SUBSTITUTE(Q723,""Sell_"",""""))))/2),ROUNDUP(INDEX(Upgrades!$C$3:$C$13,MATCH(Q723,Upgrades!$B$3:$B$13,0))*1.15^(COUNTIF(Q$4:Q722,Q723)-COUNTIF(Q$4:Q722,""Sell_""&amp;Q723))))))"),"")</f>
        <v/>
      </c>
      <c r="V723" s="10" t="str">
        <f t="shared" si="11"/>
        <v/>
      </c>
      <c r="W723" s="68" t="str">
        <f t="shared" si="12"/>
        <v/>
      </c>
      <c r="X723" s="59" t="str">
        <f t="shared" si="13"/>
        <v/>
      </c>
      <c r="Y723" s="69" t="str">
        <f t="shared" si="14"/>
        <v/>
      </c>
      <c r="Z723" s="11"/>
      <c r="AG723" s="59"/>
    </row>
    <row r="724">
      <c r="A724" s="8"/>
      <c r="B724" s="56" t="str">
        <f t="shared" si="2"/>
        <v/>
      </c>
      <c r="C724" s="105"/>
      <c r="D724" s="10"/>
      <c r="E724" s="59" t="str">
        <f t="array" ref="E724">IF(COUNTA(C724:C1644)=0,"",SUM((COUNTIF(C$4:C724,Upgrades!$B$3:$B$13)-COUNTIF(C$4:C724,"Sell_"&amp;Upgrades!$B$3:$B$13))*Upgrades!$D$3:$D$13))</f>
        <v/>
      </c>
      <c r="F724" s="66" t="str">
        <f>IFERROR(__xludf.DUMMYFUNCTION("IF(COUNTA(C724:C1644)=0,"""",IF(REGEXMATCH(INDEX(FILTER(C$4:C724,C$4:C724&lt;&gt;""""),ROWS(FILTER(C$4:C724,C$4:C724&lt;&gt;""""))),""^Sell_""),INDEX(FILTER(F$4:F723,C$4:C723&lt;&gt;""""),ROWS(FILTER(C$4:C723,C$4:C723&lt;&gt;""""))),$AC$5+E724))"),"")</f>
        <v/>
      </c>
      <c r="G724" s="10" t="str">
        <f>IFERROR(__xludf.DUMMYFUNCTION("IF(COUNTA(C724:C1644)=0,"""",IF(C724="""",0,IF(REGEXMATCH(C724,""^Sell_""),-ROUNDDOWN(ROUNDUP(INDEX(Upgrades!$C$3:$C$13,MATCH(SUBSTITUTE(C724,""Sell_"",""""),Upgrades!$B$3:$B$13,0))*1.15^(COUNTIF(C$4:C723,SUBSTITUTE(C724,""Sell_"",""""))-COUNTIF(C$4:C723,"&amp;"""Sell_""&amp;SUBSTITUTE(C724,""Sell_"",""""))))/2),ROUNDUP(INDEX(Upgrades!$C$3:$C$13,MATCH(C724,Upgrades!$B$3:$B$13,0))*1.15^(COUNTIF(C$4:C723,C724)-COUNTIF(C$4:C723,""Sell_""&amp;C724))))))"),"")</f>
        <v/>
      </c>
      <c r="H724" s="10" t="str">
        <f t="shared" si="3"/>
        <v/>
      </c>
      <c r="I724" s="68" t="str">
        <f t="shared" si="4"/>
        <v/>
      </c>
      <c r="J724" s="59" t="str">
        <f t="shared" si="5"/>
        <v/>
      </c>
      <c r="K724" s="69" t="str">
        <f t="shared" si="6"/>
        <v/>
      </c>
      <c r="L724" s="60" t="str">
        <f t="shared" si="7"/>
        <v/>
      </c>
      <c r="M724" s="61" t="str">
        <f>IFERROR(__xludf.DUMMYFUNCTION("IFS(AND(COUNTA(C724:C1644)=0,COUNTA(Q724:Q1644)=0),"""",OR(AND(K724&gt;=1000000000,OR(Y724&gt;=1000000000,COUNTA(Q724:Q1644)=0)),OR(Y724&gt;=1000000000,AND(COUNTA(C724:C1644)=0,P$3=TRUE))),
ROUNDDOWN((AB$1-AC$1)*MAX(INDEX(T$4:T1644,MATCH(LARGE(FILTER(Y$4:Y1644,Y$4"&amp;":Y1644&lt;1000000000),1),Y$4:Y1644)),INDEX(F$4:F1644,MATCH(LARGE(FILTER(K$4:K1644,K$4:K1644&lt;1000000000),1),K$4:K1644)))),AND(K724&lt;1000000000,COUNTA(C724:C1644)&gt;0,P$3=FALSE),
ROUNDDOWN(INDEX(Y$4:Y1644,MATCH(LARGE(FILTER(W$4:W1644,W$4:W1644&lt;=I724),1),W$4:W1644"&amp;"))+(I724-LARGE(FILTER(W$4:W1644,W$4:W1644&lt;=I724),1))*INDEX(T$4:T1644,MATCH(LARGE(FILTER(W$4:W1644,W$4:W1644&lt;=I724),1),W$4:W1644))-K724),1,
ROUNDDOWN(Y724-INDEX(K$4:K1644,MATCH(LARGE(FILTER(I$4:I1644,I$4:I1644&lt;=W724),1),I$4:I1644))-(W724-LARGE(FILTER(I$4:I"&amp;"1644,I$4:I1644&lt;=W724),1))*INDEX(F$4:F1644,MATCH(LARGE(FILTER(I$4:I1644,I$4:I1644&lt;=W724),1),I$4:I1644))))"),"")</f>
        <v/>
      </c>
      <c r="N724" s="60" t="str">
        <f t="shared" si="8"/>
        <v/>
      </c>
      <c r="O724" s="61" t="str">
        <f t="shared" si="9"/>
        <v/>
      </c>
      <c r="P724" s="56" t="str">
        <f t="shared" si="10"/>
        <v/>
      </c>
      <c r="Q724" s="105"/>
      <c r="R724" s="10"/>
      <c r="S724" s="59" t="str">
        <f t="array" ref="S724">IF(COUNTA(Q724:Q1644)=0,"",SUM((COUNTIF(Q$4:Q724,Upgrades!$B$3:$B$13)-COUNTIF(Q$4:Q724,"Sell_"&amp;Upgrades!$B$3:$B$13))*Upgrades!$D$3:$D$13))</f>
        <v/>
      </c>
      <c r="T724" s="66" t="str">
        <f>IFERROR(__xludf.DUMMYFUNCTION("IF(COUNTA(Q724:Q1644)=0,"""",IF(REGEXMATCH(INDEX(FILTER(Q$4:Q724,Q$4:Q724&lt;&gt;""""),ROWS(FILTER(Q$4:Q724,Q$4:Q724&lt;&gt;""""))),""^Sell_""),INDEX(FILTER(T$4:T723,Q$4:Q723&lt;&gt;""""),ROWS(FILTER(Q$4:Q723,Q$4:Q723&lt;&gt;""""))),$AD$5+S724))"),"")</f>
        <v/>
      </c>
      <c r="U724" s="10" t="str">
        <f>IFERROR(__xludf.DUMMYFUNCTION("IF(COUNTA(Q724:Q1644)=0,"""",IF(Q724="""",0,IF(REGEXMATCH(Q724,""^Sell_""),-ROUNDDOWN(ROUNDUP(INDEX(Upgrades!$C$3:$C$13,MATCH(SUBSTITUTE(Q724,""Sell_"",""""),Upgrades!$B$3:$B$13,0))*1.15^(COUNTIF(Q$4:Q723,SUBSTITUTE(Q724,""Sell_"",""""))-COUNTIF(Q$4:Q723,"&amp;"""Sell_""&amp;SUBSTITUTE(Q724,""Sell_"",""""))))/2),ROUNDUP(INDEX(Upgrades!$C$3:$C$13,MATCH(Q724,Upgrades!$B$3:$B$13,0))*1.15^(COUNTIF(Q$4:Q723,Q724)-COUNTIF(Q$4:Q723,""Sell_""&amp;Q724))))))"),"")</f>
        <v/>
      </c>
      <c r="V724" s="10" t="str">
        <f t="shared" si="11"/>
        <v/>
      </c>
      <c r="W724" s="68" t="str">
        <f t="shared" si="12"/>
        <v/>
      </c>
      <c r="X724" s="59" t="str">
        <f t="shared" si="13"/>
        <v/>
      </c>
      <c r="Y724" s="69" t="str">
        <f t="shared" si="14"/>
        <v/>
      </c>
      <c r="Z724" s="11"/>
      <c r="AG724" s="59"/>
    </row>
    <row r="725">
      <c r="A725" s="8"/>
      <c r="B725" s="56" t="str">
        <f t="shared" si="2"/>
        <v/>
      </c>
      <c r="C725" s="105"/>
      <c r="D725" s="10"/>
      <c r="E725" s="59" t="str">
        <f t="array" ref="E725">IF(COUNTA(C725:C1644)=0,"",SUM((COUNTIF(C$4:C725,Upgrades!$B$3:$B$13)-COUNTIF(C$4:C725,"Sell_"&amp;Upgrades!$B$3:$B$13))*Upgrades!$D$3:$D$13))</f>
        <v/>
      </c>
      <c r="F725" s="66" t="str">
        <f>IFERROR(__xludf.DUMMYFUNCTION("IF(COUNTA(C725:C1644)=0,"""",IF(REGEXMATCH(INDEX(FILTER(C$4:C725,C$4:C725&lt;&gt;""""),ROWS(FILTER(C$4:C725,C$4:C725&lt;&gt;""""))),""^Sell_""),INDEX(FILTER(F$4:F724,C$4:C724&lt;&gt;""""),ROWS(FILTER(C$4:C724,C$4:C724&lt;&gt;""""))),$AC$5+E725))"),"")</f>
        <v/>
      </c>
      <c r="G725" s="10" t="str">
        <f>IFERROR(__xludf.DUMMYFUNCTION("IF(COUNTA(C725:C1644)=0,"""",IF(C725="""",0,IF(REGEXMATCH(C725,""^Sell_""),-ROUNDDOWN(ROUNDUP(INDEX(Upgrades!$C$3:$C$13,MATCH(SUBSTITUTE(C725,""Sell_"",""""),Upgrades!$B$3:$B$13,0))*1.15^(COUNTIF(C$4:C724,SUBSTITUTE(C725,""Sell_"",""""))-COUNTIF(C$4:C724,"&amp;"""Sell_""&amp;SUBSTITUTE(C725,""Sell_"",""""))))/2),ROUNDUP(INDEX(Upgrades!$C$3:$C$13,MATCH(C725,Upgrades!$B$3:$B$13,0))*1.15^(COUNTIF(C$4:C724,C725)-COUNTIF(C$4:C724,""Sell_""&amp;C725))))))"),"")</f>
        <v/>
      </c>
      <c r="H725" s="10" t="str">
        <f t="shared" si="3"/>
        <v/>
      </c>
      <c r="I725" s="68" t="str">
        <f t="shared" si="4"/>
        <v/>
      </c>
      <c r="J725" s="59" t="str">
        <f t="shared" si="5"/>
        <v/>
      </c>
      <c r="K725" s="69" t="str">
        <f t="shared" si="6"/>
        <v/>
      </c>
      <c r="L725" s="60" t="str">
        <f t="shared" si="7"/>
        <v/>
      </c>
      <c r="M725" s="61" t="str">
        <f>IFERROR(__xludf.DUMMYFUNCTION("IFS(AND(COUNTA(C725:C1644)=0,COUNTA(Q725:Q1644)=0),"""",OR(AND(K725&gt;=1000000000,OR(Y725&gt;=1000000000,COUNTA(Q725:Q1644)=0)),OR(Y725&gt;=1000000000,AND(COUNTA(C725:C1644)=0,P$3=TRUE))),
ROUNDDOWN((AB$1-AC$1)*MAX(INDEX(T$4:T1644,MATCH(LARGE(FILTER(Y$4:Y1644,Y$4"&amp;":Y1644&lt;1000000000),1),Y$4:Y1644)),INDEX(F$4:F1644,MATCH(LARGE(FILTER(K$4:K1644,K$4:K1644&lt;1000000000),1),K$4:K1644)))),AND(K725&lt;1000000000,COUNTA(C725:C1644)&gt;0,P$3=FALSE),
ROUNDDOWN(INDEX(Y$4:Y1644,MATCH(LARGE(FILTER(W$4:W1644,W$4:W1644&lt;=I725),1),W$4:W1644"&amp;"))+(I725-LARGE(FILTER(W$4:W1644,W$4:W1644&lt;=I725),1))*INDEX(T$4:T1644,MATCH(LARGE(FILTER(W$4:W1644,W$4:W1644&lt;=I725),1),W$4:W1644))-K725),1,
ROUNDDOWN(Y725-INDEX(K$4:K1644,MATCH(LARGE(FILTER(I$4:I1644,I$4:I1644&lt;=W725),1),I$4:I1644))-(W725-LARGE(FILTER(I$4:I"&amp;"1644,I$4:I1644&lt;=W725),1))*INDEX(F$4:F1644,MATCH(LARGE(FILTER(I$4:I1644,I$4:I1644&lt;=W725),1),I$4:I1644))))"),"")</f>
        <v/>
      </c>
      <c r="N725" s="60" t="str">
        <f t="shared" si="8"/>
        <v/>
      </c>
      <c r="O725" s="61" t="str">
        <f t="shared" si="9"/>
        <v/>
      </c>
      <c r="P725" s="56" t="str">
        <f t="shared" si="10"/>
        <v/>
      </c>
      <c r="Q725" s="105"/>
      <c r="R725" s="10"/>
      <c r="S725" s="59" t="str">
        <f t="array" ref="S725">IF(COUNTA(Q725:Q1644)=0,"",SUM((COUNTIF(Q$4:Q725,Upgrades!$B$3:$B$13)-COUNTIF(Q$4:Q725,"Sell_"&amp;Upgrades!$B$3:$B$13))*Upgrades!$D$3:$D$13))</f>
        <v/>
      </c>
      <c r="T725" s="66" t="str">
        <f>IFERROR(__xludf.DUMMYFUNCTION("IF(COUNTA(Q725:Q1644)=0,"""",IF(REGEXMATCH(INDEX(FILTER(Q$4:Q725,Q$4:Q725&lt;&gt;""""),ROWS(FILTER(Q$4:Q725,Q$4:Q725&lt;&gt;""""))),""^Sell_""),INDEX(FILTER(T$4:T724,Q$4:Q724&lt;&gt;""""),ROWS(FILTER(Q$4:Q724,Q$4:Q724&lt;&gt;""""))),$AD$5+S725))"),"")</f>
        <v/>
      </c>
      <c r="U725" s="10" t="str">
        <f>IFERROR(__xludf.DUMMYFUNCTION("IF(COUNTA(Q725:Q1644)=0,"""",IF(Q725="""",0,IF(REGEXMATCH(Q725,""^Sell_""),-ROUNDDOWN(ROUNDUP(INDEX(Upgrades!$C$3:$C$13,MATCH(SUBSTITUTE(Q725,""Sell_"",""""),Upgrades!$B$3:$B$13,0))*1.15^(COUNTIF(Q$4:Q724,SUBSTITUTE(Q725,""Sell_"",""""))-COUNTIF(Q$4:Q724,"&amp;"""Sell_""&amp;SUBSTITUTE(Q725,""Sell_"",""""))))/2),ROUNDUP(INDEX(Upgrades!$C$3:$C$13,MATCH(Q725,Upgrades!$B$3:$B$13,0))*1.15^(COUNTIF(Q$4:Q724,Q725)-COUNTIF(Q$4:Q724,""Sell_""&amp;Q725))))))"),"")</f>
        <v/>
      </c>
      <c r="V725" s="10" t="str">
        <f t="shared" si="11"/>
        <v/>
      </c>
      <c r="W725" s="68" t="str">
        <f t="shared" si="12"/>
        <v/>
      </c>
      <c r="X725" s="59" t="str">
        <f t="shared" si="13"/>
        <v/>
      </c>
      <c r="Y725" s="69" t="str">
        <f t="shared" si="14"/>
        <v/>
      </c>
      <c r="Z725" s="11"/>
      <c r="AG725" s="59"/>
    </row>
    <row r="726">
      <c r="A726" s="8"/>
      <c r="B726" s="56" t="str">
        <f t="shared" si="2"/>
        <v/>
      </c>
      <c r="C726" s="105"/>
      <c r="D726" s="10"/>
      <c r="E726" s="59" t="str">
        <f t="array" ref="E726">IF(COUNTA(C726:C1644)=0,"",SUM((COUNTIF(C$4:C726,Upgrades!$B$3:$B$13)-COUNTIF(C$4:C726,"Sell_"&amp;Upgrades!$B$3:$B$13))*Upgrades!$D$3:$D$13))</f>
        <v/>
      </c>
      <c r="F726" s="66" t="str">
        <f>IFERROR(__xludf.DUMMYFUNCTION("IF(COUNTA(C726:C1644)=0,"""",IF(REGEXMATCH(INDEX(FILTER(C$4:C726,C$4:C726&lt;&gt;""""),ROWS(FILTER(C$4:C726,C$4:C726&lt;&gt;""""))),""^Sell_""),INDEX(FILTER(F$4:F725,C$4:C725&lt;&gt;""""),ROWS(FILTER(C$4:C725,C$4:C725&lt;&gt;""""))),$AC$5+E726))"),"")</f>
        <v/>
      </c>
      <c r="G726" s="10" t="str">
        <f>IFERROR(__xludf.DUMMYFUNCTION("IF(COUNTA(C726:C1644)=0,"""",IF(C726="""",0,IF(REGEXMATCH(C726,""^Sell_""),-ROUNDDOWN(ROUNDUP(INDEX(Upgrades!$C$3:$C$13,MATCH(SUBSTITUTE(C726,""Sell_"",""""),Upgrades!$B$3:$B$13,0))*1.15^(COUNTIF(C$4:C725,SUBSTITUTE(C726,""Sell_"",""""))-COUNTIF(C$4:C725,"&amp;"""Sell_""&amp;SUBSTITUTE(C726,""Sell_"",""""))))/2),ROUNDUP(INDEX(Upgrades!$C$3:$C$13,MATCH(C726,Upgrades!$B$3:$B$13,0))*1.15^(COUNTIF(C$4:C725,C726)-COUNTIF(C$4:C725,""Sell_""&amp;C726))))))"),"")</f>
        <v/>
      </c>
      <c r="H726" s="10" t="str">
        <f t="shared" si="3"/>
        <v/>
      </c>
      <c r="I726" s="68" t="str">
        <f t="shared" si="4"/>
        <v/>
      </c>
      <c r="J726" s="59" t="str">
        <f t="shared" si="5"/>
        <v/>
      </c>
      <c r="K726" s="69" t="str">
        <f t="shared" si="6"/>
        <v/>
      </c>
      <c r="L726" s="60" t="str">
        <f t="shared" si="7"/>
        <v/>
      </c>
      <c r="M726" s="61" t="str">
        <f>IFERROR(__xludf.DUMMYFUNCTION("IFS(AND(COUNTA(C726:C1644)=0,COUNTA(Q726:Q1644)=0),"""",OR(AND(K726&gt;=1000000000,OR(Y726&gt;=1000000000,COUNTA(Q726:Q1644)=0)),OR(Y726&gt;=1000000000,AND(COUNTA(C726:C1644)=0,P$3=TRUE))),
ROUNDDOWN((AB$1-AC$1)*MAX(INDEX(T$4:T1644,MATCH(LARGE(FILTER(Y$4:Y1644,Y$4"&amp;":Y1644&lt;1000000000),1),Y$4:Y1644)),INDEX(F$4:F1644,MATCH(LARGE(FILTER(K$4:K1644,K$4:K1644&lt;1000000000),1),K$4:K1644)))),AND(K726&lt;1000000000,COUNTA(C726:C1644)&gt;0,P$3=FALSE),
ROUNDDOWN(INDEX(Y$4:Y1644,MATCH(LARGE(FILTER(W$4:W1644,W$4:W1644&lt;=I726),1),W$4:W1644"&amp;"))+(I726-LARGE(FILTER(W$4:W1644,W$4:W1644&lt;=I726),1))*INDEX(T$4:T1644,MATCH(LARGE(FILTER(W$4:W1644,W$4:W1644&lt;=I726),1),W$4:W1644))-K726),1,
ROUNDDOWN(Y726-INDEX(K$4:K1644,MATCH(LARGE(FILTER(I$4:I1644,I$4:I1644&lt;=W726),1),I$4:I1644))-(W726-LARGE(FILTER(I$4:I"&amp;"1644,I$4:I1644&lt;=W726),1))*INDEX(F$4:F1644,MATCH(LARGE(FILTER(I$4:I1644,I$4:I1644&lt;=W726),1),I$4:I1644))))"),"")</f>
        <v/>
      </c>
      <c r="N726" s="60" t="str">
        <f t="shared" si="8"/>
        <v/>
      </c>
      <c r="O726" s="61" t="str">
        <f t="shared" si="9"/>
        <v/>
      </c>
      <c r="P726" s="56" t="str">
        <f t="shared" si="10"/>
        <v/>
      </c>
      <c r="Q726" s="105"/>
      <c r="R726" s="10"/>
      <c r="S726" s="59" t="str">
        <f t="array" ref="S726">IF(COUNTA(Q726:Q1644)=0,"",SUM((COUNTIF(Q$4:Q726,Upgrades!$B$3:$B$13)-COUNTIF(Q$4:Q726,"Sell_"&amp;Upgrades!$B$3:$B$13))*Upgrades!$D$3:$D$13))</f>
        <v/>
      </c>
      <c r="T726" s="66" t="str">
        <f>IFERROR(__xludf.DUMMYFUNCTION("IF(COUNTA(Q726:Q1644)=0,"""",IF(REGEXMATCH(INDEX(FILTER(Q$4:Q726,Q$4:Q726&lt;&gt;""""),ROWS(FILTER(Q$4:Q726,Q$4:Q726&lt;&gt;""""))),""^Sell_""),INDEX(FILTER(T$4:T725,Q$4:Q725&lt;&gt;""""),ROWS(FILTER(Q$4:Q725,Q$4:Q725&lt;&gt;""""))),$AD$5+S726))"),"")</f>
        <v/>
      </c>
      <c r="U726" s="10" t="str">
        <f>IFERROR(__xludf.DUMMYFUNCTION("IF(COUNTA(Q726:Q1644)=0,"""",IF(Q726="""",0,IF(REGEXMATCH(Q726,""^Sell_""),-ROUNDDOWN(ROUNDUP(INDEX(Upgrades!$C$3:$C$13,MATCH(SUBSTITUTE(Q726,""Sell_"",""""),Upgrades!$B$3:$B$13,0))*1.15^(COUNTIF(Q$4:Q725,SUBSTITUTE(Q726,""Sell_"",""""))-COUNTIF(Q$4:Q725,"&amp;"""Sell_""&amp;SUBSTITUTE(Q726,""Sell_"",""""))))/2),ROUNDUP(INDEX(Upgrades!$C$3:$C$13,MATCH(Q726,Upgrades!$B$3:$B$13,0))*1.15^(COUNTIF(Q$4:Q725,Q726)-COUNTIF(Q$4:Q725,""Sell_""&amp;Q726))))))"),"")</f>
        <v/>
      </c>
      <c r="V726" s="10" t="str">
        <f t="shared" si="11"/>
        <v/>
      </c>
      <c r="W726" s="68" t="str">
        <f t="shared" si="12"/>
        <v/>
      </c>
      <c r="X726" s="59" t="str">
        <f t="shared" si="13"/>
        <v/>
      </c>
      <c r="Y726" s="69" t="str">
        <f t="shared" si="14"/>
        <v/>
      </c>
      <c r="Z726" s="11"/>
      <c r="AG726" s="59"/>
    </row>
    <row r="727">
      <c r="A727" s="8"/>
      <c r="B727" s="56" t="str">
        <f t="shared" si="2"/>
        <v/>
      </c>
      <c r="C727" s="105"/>
      <c r="D727" s="10"/>
      <c r="E727" s="59" t="str">
        <f t="array" ref="E727">IF(COUNTA(C727:C1644)=0,"",SUM((COUNTIF(C$4:C727,Upgrades!$B$3:$B$13)-COUNTIF(C$4:C727,"Sell_"&amp;Upgrades!$B$3:$B$13))*Upgrades!$D$3:$D$13))</f>
        <v/>
      </c>
      <c r="F727" s="66" t="str">
        <f>IFERROR(__xludf.DUMMYFUNCTION("IF(COUNTA(C727:C1644)=0,"""",IF(REGEXMATCH(INDEX(FILTER(C$4:C727,C$4:C727&lt;&gt;""""),ROWS(FILTER(C$4:C727,C$4:C727&lt;&gt;""""))),""^Sell_""),INDEX(FILTER(F$4:F726,C$4:C726&lt;&gt;""""),ROWS(FILTER(C$4:C726,C$4:C726&lt;&gt;""""))),$AC$5+E727))"),"")</f>
        <v/>
      </c>
      <c r="G727" s="10" t="str">
        <f>IFERROR(__xludf.DUMMYFUNCTION("IF(COUNTA(C727:C1644)=0,"""",IF(C727="""",0,IF(REGEXMATCH(C727,""^Sell_""),-ROUNDDOWN(ROUNDUP(INDEX(Upgrades!$C$3:$C$13,MATCH(SUBSTITUTE(C727,""Sell_"",""""),Upgrades!$B$3:$B$13,0))*1.15^(COUNTIF(C$4:C726,SUBSTITUTE(C727,""Sell_"",""""))-COUNTIF(C$4:C726,"&amp;"""Sell_""&amp;SUBSTITUTE(C727,""Sell_"",""""))))/2),ROUNDUP(INDEX(Upgrades!$C$3:$C$13,MATCH(C727,Upgrades!$B$3:$B$13,0))*1.15^(COUNTIF(C$4:C726,C727)-COUNTIF(C$4:C726,""Sell_""&amp;C727))))))"),"")</f>
        <v/>
      </c>
      <c r="H727" s="10" t="str">
        <f t="shared" si="3"/>
        <v/>
      </c>
      <c r="I727" s="68" t="str">
        <f t="shared" si="4"/>
        <v/>
      </c>
      <c r="J727" s="59" t="str">
        <f t="shared" si="5"/>
        <v/>
      </c>
      <c r="K727" s="69" t="str">
        <f t="shared" si="6"/>
        <v/>
      </c>
      <c r="L727" s="60" t="str">
        <f t="shared" si="7"/>
        <v/>
      </c>
      <c r="M727" s="61" t="str">
        <f>IFERROR(__xludf.DUMMYFUNCTION("IFS(AND(COUNTA(C727:C1644)=0,COUNTA(Q727:Q1644)=0),"""",OR(AND(K727&gt;=1000000000,OR(Y727&gt;=1000000000,COUNTA(Q727:Q1644)=0)),OR(Y727&gt;=1000000000,AND(COUNTA(C727:C1644)=0,P$3=TRUE))),
ROUNDDOWN((AB$1-AC$1)*MAX(INDEX(T$4:T1644,MATCH(LARGE(FILTER(Y$4:Y1644,Y$4"&amp;":Y1644&lt;1000000000),1),Y$4:Y1644)),INDEX(F$4:F1644,MATCH(LARGE(FILTER(K$4:K1644,K$4:K1644&lt;1000000000),1),K$4:K1644)))),AND(K727&lt;1000000000,COUNTA(C727:C1644)&gt;0,P$3=FALSE),
ROUNDDOWN(INDEX(Y$4:Y1644,MATCH(LARGE(FILTER(W$4:W1644,W$4:W1644&lt;=I727),1),W$4:W1644"&amp;"))+(I727-LARGE(FILTER(W$4:W1644,W$4:W1644&lt;=I727),1))*INDEX(T$4:T1644,MATCH(LARGE(FILTER(W$4:W1644,W$4:W1644&lt;=I727),1),W$4:W1644))-K727),1,
ROUNDDOWN(Y727-INDEX(K$4:K1644,MATCH(LARGE(FILTER(I$4:I1644,I$4:I1644&lt;=W727),1),I$4:I1644))-(W727-LARGE(FILTER(I$4:I"&amp;"1644,I$4:I1644&lt;=W727),1))*INDEX(F$4:F1644,MATCH(LARGE(FILTER(I$4:I1644,I$4:I1644&lt;=W727),1),I$4:I1644))))"),"")</f>
        <v/>
      </c>
      <c r="N727" s="60" t="str">
        <f t="shared" si="8"/>
        <v/>
      </c>
      <c r="O727" s="61" t="str">
        <f t="shared" si="9"/>
        <v/>
      </c>
      <c r="P727" s="56" t="str">
        <f t="shared" si="10"/>
        <v/>
      </c>
      <c r="Q727" s="105"/>
      <c r="R727" s="10"/>
      <c r="S727" s="59" t="str">
        <f t="array" ref="S727">IF(COUNTA(Q727:Q1644)=0,"",SUM((COUNTIF(Q$4:Q727,Upgrades!$B$3:$B$13)-COUNTIF(Q$4:Q727,"Sell_"&amp;Upgrades!$B$3:$B$13))*Upgrades!$D$3:$D$13))</f>
        <v/>
      </c>
      <c r="T727" s="66" t="str">
        <f>IFERROR(__xludf.DUMMYFUNCTION("IF(COUNTA(Q727:Q1644)=0,"""",IF(REGEXMATCH(INDEX(FILTER(Q$4:Q727,Q$4:Q727&lt;&gt;""""),ROWS(FILTER(Q$4:Q727,Q$4:Q727&lt;&gt;""""))),""^Sell_""),INDEX(FILTER(T$4:T726,Q$4:Q726&lt;&gt;""""),ROWS(FILTER(Q$4:Q726,Q$4:Q726&lt;&gt;""""))),$AD$5+S727))"),"")</f>
        <v/>
      </c>
      <c r="U727" s="10" t="str">
        <f>IFERROR(__xludf.DUMMYFUNCTION("IF(COUNTA(Q727:Q1644)=0,"""",IF(Q727="""",0,IF(REGEXMATCH(Q727,""^Sell_""),-ROUNDDOWN(ROUNDUP(INDEX(Upgrades!$C$3:$C$13,MATCH(SUBSTITUTE(Q727,""Sell_"",""""),Upgrades!$B$3:$B$13,0))*1.15^(COUNTIF(Q$4:Q726,SUBSTITUTE(Q727,""Sell_"",""""))-COUNTIF(Q$4:Q726,"&amp;"""Sell_""&amp;SUBSTITUTE(Q727,""Sell_"",""""))))/2),ROUNDUP(INDEX(Upgrades!$C$3:$C$13,MATCH(Q727,Upgrades!$B$3:$B$13,0))*1.15^(COUNTIF(Q$4:Q726,Q727)-COUNTIF(Q$4:Q726,""Sell_""&amp;Q727))))))"),"")</f>
        <v/>
      </c>
      <c r="V727" s="10" t="str">
        <f t="shared" si="11"/>
        <v/>
      </c>
      <c r="W727" s="68" t="str">
        <f t="shared" si="12"/>
        <v/>
      </c>
      <c r="X727" s="59" t="str">
        <f t="shared" si="13"/>
        <v/>
      </c>
      <c r="Y727" s="69" t="str">
        <f t="shared" si="14"/>
        <v/>
      </c>
      <c r="Z727" s="11"/>
      <c r="AG727" s="59"/>
    </row>
    <row r="728">
      <c r="A728" s="8"/>
      <c r="B728" s="56" t="str">
        <f t="shared" si="2"/>
        <v/>
      </c>
      <c r="C728" s="105"/>
      <c r="D728" s="10"/>
      <c r="E728" s="59" t="str">
        <f t="array" ref="E728">IF(COUNTA(C728:C1644)=0,"",SUM((COUNTIF(C$4:C728,Upgrades!$B$3:$B$13)-COUNTIF(C$4:C728,"Sell_"&amp;Upgrades!$B$3:$B$13))*Upgrades!$D$3:$D$13))</f>
        <v/>
      </c>
      <c r="F728" s="66" t="str">
        <f>IFERROR(__xludf.DUMMYFUNCTION("IF(COUNTA(C728:C1644)=0,"""",IF(REGEXMATCH(INDEX(FILTER(C$4:C728,C$4:C728&lt;&gt;""""),ROWS(FILTER(C$4:C728,C$4:C728&lt;&gt;""""))),""^Sell_""),INDEX(FILTER(F$4:F727,C$4:C727&lt;&gt;""""),ROWS(FILTER(C$4:C727,C$4:C727&lt;&gt;""""))),$AC$5+E728))"),"")</f>
        <v/>
      </c>
      <c r="G728" s="10" t="str">
        <f>IFERROR(__xludf.DUMMYFUNCTION("IF(COUNTA(C728:C1644)=0,"""",IF(C728="""",0,IF(REGEXMATCH(C728,""^Sell_""),-ROUNDDOWN(ROUNDUP(INDEX(Upgrades!$C$3:$C$13,MATCH(SUBSTITUTE(C728,""Sell_"",""""),Upgrades!$B$3:$B$13,0))*1.15^(COUNTIF(C$4:C727,SUBSTITUTE(C728,""Sell_"",""""))-COUNTIF(C$4:C727,"&amp;"""Sell_""&amp;SUBSTITUTE(C728,""Sell_"",""""))))/2),ROUNDUP(INDEX(Upgrades!$C$3:$C$13,MATCH(C728,Upgrades!$B$3:$B$13,0))*1.15^(COUNTIF(C$4:C727,C728)-COUNTIF(C$4:C727,""Sell_""&amp;C728))))))"),"")</f>
        <v/>
      </c>
      <c r="H728" s="10" t="str">
        <f t="shared" si="3"/>
        <v/>
      </c>
      <c r="I728" s="68" t="str">
        <f t="shared" si="4"/>
        <v/>
      </c>
      <c r="J728" s="59" t="str">
        <f t="shared" si="5"/>
        <v/>
      </c>
      <c r="K728" s="69" t="str">
        <f t="shared" si="6"/>
        <v/>
      </c>
      <c r="L728" s="60" t="str">
        <f t="shared" si="7"/>
        <v/>
      </c>
      <c r="M728" s="61" t="str">
        <f>IFERROR(__xludf.DUMMYFUNCTION("IFS(AND(COUNTA(C728:C1644)=0,COUNTA(Q728:Q1644)=0),"""",OR(AND(K728&gt;=1000000000,OR(Y728&gt;=1000000000,COUNTA(Q728:Q1644)=0)),OR(Y728&gt;=1000000000,AND(COUNTA(C728:C1644)=0,P$3=TRUE))),
ROUNDDOWN((AB$1-AC$1)*MAX(INDEX(T$4:T1644,MATCH(LARGE(FILTER(Y$4:Y1644,Y$4"&amp;":Y1644&lt;1000000000),1),Y$4:Y1644)),INDEX(F$4:F1644,MATCH(LARGE(FILTER(K$4:K1644,K$4:K1644&lt;1000000000),1),K$4:K1644)))),AND(K728&lt;1000000000,COUNTA(C728:C1644)&gt;0,P$3=FALSE),
ROUNDDOWN(INDEX(Y$4:Y1644,MATCH(LARGE(FILTER(W$4:W1644,W$4:W1644&lt;=I728),1),W$4:W1644"&amp;"))+(I728-LARGE(FILTER(W$4:W1644,W$4:W1644&lt;=I728),1))*INDEX(T$4:T1644,MATCH(LARGE(FILTER(W$4:W1644,W$4:W1644&lt;=I728),1),W$4:W1644))-K728),1,
ROUNDDOWN(Y728-INDEX(K$4:K1644,MATCH(LARGE(FILTER(I$4:I1644,I$4:I1644&lt;=W728),1),I$4:I1644))-(W728-LARGE(FILTER(I$4:I"&amp;"1644,I$4:I1644&lt;=W728),1))*INDEX(F$4:F1644,MATCH(LARGE(FILTER(I$4:I1644,I$4:I1644&lt;=W728),1),I$4:I1644))))"),"")</f>
        <v/>
      </c>
      <c r="N728" s="60" t="str">
        <f t="shared" si="8"/>
        <v/>
      </c>
      <c r="O728" s="61" t="str">
        <f t="shared" si="9"/>
        <v/>
      </c>
      <c r="P728" s="56" t="str">
        <f t="shared" si="10"/>
        <v/>
      </c>
      <c r="Q728" s="105"/>
      <c r="R728" s="10"/>
      <c r="S728" s="59" t="str">
        <f t="array" ref="S728">IF(COUNTA(Q728:Q1644)=0,"",SUM((COUNTIF(Q$4:Q728,Upgrades!$B$3:$B$13)-COUNTIF(Q$4:Q728,"Sell_"&amp;Upgrades!$B$3:$B$13))*Upgrades!$D$3:$D$13))</f>
        <v/>
      </c>
      <c r="T728" s="66" t="str">
        <f>IFERROR(__xludf.DUMMYFUNCTION("IF(COUNTA(Q728:Q1644)=0,"""",IF(REGEXMATCH(INDEX(FILTER(Q$4:Q728,Q$4:Q728&lt;&gt;""""),ROWS(FILTER(Q$4:Q728,Q$4:Q728&lt;&gt;""""))),""^Sell_""),INDEX(FILTER(T$4:T727,Q$4:Q727&lt;&gt;""""),ROWS(FILTER(Q$4:Q727,Q$4:Q727&lt;&gt;""""))),$AD$5+S728))"),"")</f>
        <v/>
      </c>
      <c r="U728" s="10" t="str">
        <f>IFERROR(__xludf.DUMMYFUNCTION("IF(COUNTA(Q728:Q1644)=0,"""",IF(Q728="""",0,IF(REGEXMATCH(Q728,""^Sell_""),-ROUNDDOWN(ROUNDUP(INDEX(Upgrades!$C$3:$C$13,MATCH(SUBSTITUTE(Q728,""Sell_"",""""),Upgrades!$B$3:$B$13,0))*1.15^(COUNTIF(Q$4:Q727,SUBSTITUTE(Q728,""Sell_"",""""))-COUNTIF(Q$4:Q727,"&amp;"""Sell_""&amp;SUBSTITUTE(Q728,""Sell_"",""""))))/2),ROUNDUP(INDEX(Upgrades!$C$3:$C$13,MATCH(Q728,Upgrades!$B$3:$B$13,0))*1.15^(COUNTIF(Q$4:Q727,Q728)-COUNTIF(Q$4:Q727,""Sell_""&amp;Q728))))))"),"")</f>
        <v/>
      </c>
      <c r="V728" s="10" t="str">
        <f t="shared" si="11"/>
        <v/>
      </c>
      <c r="W728" s="68" t="str">
        <f t="shared" si="12"/>
        <v/>
      </c>
      <c r="X728" s="59" t="str">
        <f t="shared" si="13"/>
        <v/>
      </c>
      <c r="Y728" s="69" t="str">
        <f t="shared" si="14"/>
        <v/>
      </c>
      <c r="Z728" s="11"/>
      <c r="AG728" s="59"/>
    </row>
    <row r="729">
      <c r="A729" s="8"/>
      <c r="B729" s="56" t="str">
        <f t="shared" si="2"/>
        <v/>
      </c>
      <c r="C729" s="105"/>
      <c r="D729" s="10"/>
      <c r="E729" s="59" t="str">
        <f t="array" ref="E729">IF(COUNTA(C729:C1644)=0,"",SUM((COUNTIF(C$4:C729,Upgrades!$B$3:$B$13)-COUNTIF(C$4:C729,"Sell_"&amp;Upgrades!$B$3:$B$13))*Upgrades!$D$3:$D$13))</f>
        <v/>
      </c>
      <c r="F729" s="66" t="str">
        <f>IFERROR(__xludf.DUMMYFUNCTION("IF(COUNTA(C729:C1644)=0,"""",IF(REGEXMATCH(INDEX(FILTER(C$4:C729,C$4:C729&lt;&gt;""""),ROWS(FILTER(C$4:C729,C$4:C729&lt;&gt;""""))),""^Sell_""),INDEX(FILTER(F$4:F728,C$4:C728&lt;&gt;""""),ROWS(FILTER(C$4:C728,C$4:C728&lt;&gt;""""))),$AC$5+E729))"),"")</f>
        <v/>
      </c>
      <c r="G729" s="10" t="str">
        <f>IFERROR(__xludf.DUMMYFUNCTION("IF(COUNTA(C729:C1644)=0,"""",IF(C729="""",0,IF(REGEXMATCH(C729,""^Sell_""),-ROUNDDOWN(ROUNDUP(INDEX(Upgrades!$C$3:$C$13,MATCH(SUBSTITUTE(C729,""Sell_"",""""),Upgrades!$B$3:$B$13,0))*1.15^(COUNTIF(C$4:C728,SUBSTITUTE(C729,""Sell_"",""""))-COUNTIF(C$4:C728,"&amp;"""Sell_""&amp;SUBSTITUTE(C729,""Sell_"",""""))))/2),ROUNDUP(INDEX(Upgrades!$C$3:$C$13,MATCH(C729,Upgrades!$B$3:$B$13,0))*1.15^(COUNTIF(C$4:C728,C729)-COUNTIF(C$4:C728,""Sell_""&amp;C729))))))"),"")</f>
        <v/>
      </c>
      <c r="H729" s="10" t="str">
        <f t="shared" si="3"/>
        <v/>
      </c>
      <c r="I729" s="68" t="str">
        <f t="shared" si="4"/>
        <v/>
      </c>
      <c r="J729" s="59" t="str">
        <f t="shared" si="5"/>
        <v/>
      </c>
      <c r="K729" s="69" t="str">
        <f t="shared" si="6"/>
        <v/>
      </c>
      <c r="L729" s="60" t="str">
        <f t="shared" si="7"/>
        <v/>
      </c>
      <c r="M729" s="61" t="str">
        <f>IFERROR(__xludf.DUMMYFUNCTION("IFS(AND(COUNTA(C729:C1644)=0,COUNTA(Q729:Q1644)=0),"""",OR(AND(K729&gt;=1000000000,OR(Y729&gt;=1000000000,COUNTA(Q729:Q1644)=0)),OR(Y729&gt;=1000000000,AND(COUNTA(C729:C1644)=0,P$3=TRUE))),
ROUNDDOWN((AB$1-AC$1)*MAX(INDEX(T$4:T1644,MATCH(LARGE(FILTER(Y$4:Y1644,Y$4"&amp;":Y1644&lt;1000000000),1),Y$4:Y1644)),INDEX(F$4:F1644,MATCH(LARGE(FILTER(K$4:K1644,K$4:K1644&lt;1000000000),1),K$4:K1644)))),AND(K729&lt;1000000000,COUNTA(C729:C1644)&gt;0,P$3=FALSE),
ROUNDDOWN(INDEX(Y$4:Y1644,MATCH(LARGE(FILTER(W$4:W1644,W$4:W1644&lt;=I729),1),W$4:W1644"&amp;"))+(I729-LARGE(FILTER(W$4:W1644,W$4:W1644&lt;=I729),1))*INDEX(T$4:T1644,MATCH(LARGE(FILTER(W$4:W1644,W$4:W1644&lt;=I729),1),W$4:W1644))-K729),1,
ROUNDDOWN(Y729-INDEX(K$4:K1644,MATCH(LARGE(FILTER(I$4:I1644,I$4:I1644&lt;=W729),1),I$4:I1644))-(W729-LARGE(FILTER(I$4:I"&amp;"1644,I$4:I1644&lt;=W729),1))*INDEX(F$4:F1644,MATCH(LARGE(FILTER(I$4:I1644,I$4:I1644&lt;=W729),1),I$4:I1644))))"),"")</f>
        <v/>
      </c>
      <c r="N729" s="60" t="str">
        <f t="shared" si="8"/>
        <v/>
      </c>
      <c r="O729" s="61" t="str">
        <f t="shared" si="9"/>
        <v/>
      </c>
      <c r="P729" s="56" t="str">
        <f t="shared" si="10"/>
        <v/>
      </c>
      <c r="Q729" s="105"/>
      <c r="R729" s="10"/>
      <c r="S729" s="59" t="str">
        <f t="array" ref="S729">IF(COUNTA(Q729:Q1644)=0,"",SUM((COUNTIF(Q$4:Q729,Upgrades!$B$3:$B$13)-COUNTIF(Q$4:Q729,"Sell_"&amp;Upgrades!$B$3:$B$13))*Upgrades!$D$3:$D$13))</f>
        <v/>
      </c>
      <c r="T729" s="66" t="str">
        <f>IFERROR(__xludf.DUMMYFUNCTION("IF(COUNTA(Q729:Q1644)=0,"""",IF(REGEXMATCH(INDEX(FILTER(Q$4:Q729,Q$4:Q729&lt;&gt;""""),ROWS(FILTER(Q$4:Q729,Q$4:Q729&lt;&gt;""""))),""^Sell_""),INDEX(FILTER(T$4:T728,Q$4:Q728&lt;&gt;""""),ROWS(FILTER(Q$4:Q728,Q$4:Q728&lt;&gt;""""))),$AD$5+S729))"),"")</f>
        <v/>
      </c>
      <c r="U729" s="10" t="str">
        <f>IFERROR(__xludf.DUMMYFUNCTION("IF(COUNTA(Q729:Q1644)=0,"""",IF(Q729="""",0,IF(REGEXMATCH(Q729,""^Sell_""),-ROUNDDOWN(ROUNDUP(INDEX(Upgrades!$C$3:$C$13,MATCH(SUBSTITUTE(Q729,""Sell_"",""""),Upgrades!$B$3:$B$13,0))*1.15^(COUNTIF(Q$4:Q728,SUBSTITUTE(Q729,""Sell_"",""""))-COUNTIF(Q$4:Q728,"&amp;"""Sell_""&amp;SUBSTITUTE(Q729,""Sell_"",""""))))/2),ROUNDUP(INDEX(Upgrades!$C$3:$C$13,MATCH(Q729,Upgrades!$B$3:$B$13,0))*1.15^(COUNTIF(Q$4:Q728,Q729)-COUNTIF(Q$4:Q728,""Sell_""&amp;Q729))))))"),"")</f>
        <v/>
      </c>
      <c r="V729" s="10" t="str">
        <f t="shared" si="11"/>
        <v/>
      </c>
      <c r="W729" s="68" t="str">
        <f t="shared" si="12"/>
        <v/>
      </c>
      <c r="X729" s="59" t="str">
        <f t="shared" si="13"/>
        <v/>
      </c>
      <c r="Y729" s="69" t="str">
        <f t="shared" si="14"/>
        <v/>
      </c>
      <c r="Z729" s="11"/>
      <c r="AG729" s="59"/>
    </row>
    <row r="730">
      <c r="A730" s="8"/>
      <c r="B730" s="56" t="str">
        <f t="shared" si="2"/>
        <v/>
      </c>
      <c r="C730" s="105"/>
      <c r="D730" s="10"/>
      <c r="E730" s="59" t="str">
        <f t="array" ref="E730">IF(COUNTA(C730:C1644)=0,"",SUM((COUNTIF(C$4:C730,Upgrades!$B$3:$B$13)-COUNTIF(C$4:C730,"Sell_"&amp;Upgrades!$B$3:$B$13))*Upgrades!$D$3:$D$13))</f>
        <v/>
      </c>
      <c r="F730" s="66" t="str">
        <f>IFERROR(__xludf.DUMMYFUNCTION("IF(COUNTA(C730:C1644)=0,"""",IF(REGEXMATCH(INDEX(FILTER(C$4:C730,C$4:C730&lt;&gt;""""),ROWS(FILTER(C$4:C730,C$4:C730&lt;&gt;""""))),""^Sell_""),INDEX(FILTER(F$4:F729,C$4:C729&lt;&gt;""""),ROWS(FILTER(C$4:C729,C$4:C729&lt;&gt;""""))),$AC$5+E730))"),"")</f>
        <v/>
      </c>
      <c r="G730" s="10" t="str">
        <f>IFERROR(__xludf.DUMMYFUNCTION("IF(COUNTA(C730:C1644)=0,"""",IF(C730="""",0,IF(REGEXMATCH(C730,""^Sell_""),-ROUNDDOWN(ROUNDUP(INDEX(Upgrades!$C$3:$C$13,MATCH(SUBSTITUTE(C730,""Sell_"",""""),Upgrades!$B$3:$B$13,0))*1.15^(COUNTIF(C$4:C729,SUBSTITUTE(C730,""Sell_"",""""))-COUNTIF(C$4:C729,"&amp;"""Sell_""&amp;SUBSTITUTE(C730,""Sell_"",""""))))/2),ROUNDUP(INDEX(Upgrades!$C$3:$C$13,MATCH(C730,Upgrades!$B$3:$B$13,0))*1.15^(COUNTIF(C$4:C729,C730)-COUNTIF(C$4:C729,""Sell_""&amp;C730))))))"),"")</f>
        <v/>
      </c>
      <c r="H730" s="10" t="str">
        <f t="shared" si="3"/>
        <v/>
      </c>
      <c r="I730" s="68" t="str">
        <f t="shared" si="4"/>
        <v/>
      </c>
      <c r="J730" s="59" t="str">
        <f t="shared" si="5"/>
        <v/>
      </c>
      <c r="K730" s="69" t="str">
        <f t="shared" si="6"/>
        <v/>
      </c>
      <c r="L730" s="60" t="str">
        <f t="shared" si="7"/>
        <v/>
      </c>
      <c r="M730" s="61" t="str">
        <f>IFERROR(__xludf.DUMMYFUNCTION("IFS(AND(COUNTA(C730:C1644)=0,COUNTA(Q730:Q1644)=0),"""",OR(AND(K730&gt;=1000000000,OR(Y730&gt;=1000000000,COUNTA(Q730:Q1644)=0)),OR(Y730&gt;=1000000000,AND(COUNTA(C730:C1644)=0,P$3=TRUE))),
ROUNDDOWN((AB$1-AC$1)*MAX(INDEX(T$4:T1644,MATCH(LARGE(FILTER(Y$4:Y1644,Y$4"&amp;":Y1644&lt;1000000000),1),Y$4:Y1644)),INDEX(F$4:F1644,MATCH(LARGE(FILTER(K$4:K1644,K$4:K1644&lt;1000000000),1),K$4:K1644)))),AND(K730&lt;1000000000,COUNTA(C730:C1644)&gt;0,P$3=FALSE),
ROUNDDOWN(INDEX(Y$4:Y1644,MATCH(LARGE(FILTER(W$4:W1644,W$4:W1644&lt;=I730),1),W$4:W1644"&amp;"))+(I730-LARGE(FILTER(W$4:W1644,W$4:W1644&lt;=I730),1))*INDEX(T$4:T1644,MATCH(LARGE(FILTER(W$4:W1644,W$4:W1644&lt;=I730),1),W$4:W1644))-K730),1,
ROUNDDOWN(Y730-INDEX(K$4:K1644,MATCH(LARGE(FILTER(I$4:I1644,I$4:I1644&lt;=W730),1),I$4:I1644))-(W730-LARGE(FILTER(I$4:I"&amp;"1644,I$4:I1644&lt;=W730),1))*INDEX(F$4:F1644,MATCH(LARGE(FILTER(I$4:I1644,I$4:I1644&lt;=W730),1),I$4:I1644))))"),"")</f>
        <v/>
      </c>
      <c r="N730" s="60" t="str">
        <f t="shared" si="8"/>
        <v/>
      </c>
      <c r="O730" s="61" t="str">
        <f t="shared" si="9"/>
        <v/>
      </c>
      <c r="P730" s="56" t="str">
        <f t="shared" si="10"/>
        <v/>
      </c>
      <c r="Q730" s="105"/>
      <c r="R730" s="10"/>
      <c r="S730" s="59" t="str">
        <f t="array" ref="S730">IF(COUNTA(Q730:Q1644)=0,"",SUM((COUNTIF(Q$4:Q730,Upgrades!$B$3:$B$13)-COUNTIF(Q$4:Q730,"Sell_"&amp;Upgrades!$B$3:$B$13))*Upgrades!$D$3:$D$13))</f>
        <v/>
      </c>
      <c r="T730" s="66" t="str">
        <f>IFERROR(__xludf.DUMMYFUNCTION("IF(COUNTA(Q730:Q1644)=0,"""",IF(REGEXMATCH(INDEX(FILTER(Q$4:Q730,Q$4:Q730&lt;&gt;""""),ROWS(FILTER(Q$4:Q730,Q$4:Q730&lt;&gt;""""))),""^Sell_""),INDEX(FILTER(T$4:T729,Q$4:Q729&lt;&gt;""""),ROWS(FILTER(Q$4:Q729,Q$4:Q729&lt;&gt;""""))),$AD$5+S730))"),"")</f>
        <v/>
      </c>
      <c r="U730" s="10" t="str">
        <f>IFERROR(__xludf.DUMMYFUNCTION("IF(COUNTA(Q730:Q1644)=0,"""",IF(Q730="""",0,IF(REGEXMATCH(Q730,""^Sell_""),-ROUNDDOWN(ROUNDUP(INDEX(Upgrades!$C$3:$C$13,MATCH(SUBSTITUTE(Q730,""Sell_"",""""),Upgrades!$B$3:$B$13,0))*1.15^(COUNTIF(Q$4:Q729,SUBSTITUTE(Q730,""Sell_"",""""))-COUNTIF(Q$4:Q729,"&amp;"""Sell_""&amp;SUBSTITUTE(Q730,""Sell_"",""""))))/2),ROUNDUP(INDEX(Upgrades!$C$3:$C$13,MATCH(Q730,Upgrades!$B$3:$B$13,0))*1.15^(COUNTIF(Q$4:Q729,Q730)-COUNTIF(Q$4:Q729,""Sell_""&amp;Q730))))))"),"")</f>
        <v/>
      </c>
      <c r="V730" s="10" t="str">
        <f t="shared" si="11"/>
        <v/>
      </c>
      <c r="W730" s="68" t="str">
        <f t="shared" si="12"/>
        <v/>
      </c>
      <c r="X730" s="59" t="str">
        <f t="shared" si="13"/>
        <v/>
      </c>
      <c r="Y730" s="69" t="str">
        <f t="shared" si="14"/>
        <v/>
      </c>
      <c r="Z730" s="11"/>
      <c r="AG730" s="59"/>
    </row>
    <row r="731">
      <c r="A731" s="8"/>
      <c r="B731" s="56" t="str">
        <f t="shared" si="2"/>
        <v/>
      </c>
      <c r="C731" s="105"/>
      <c r="D731" s="10"/>
      <c r="E731" s="59" t="str">
        <f t="array" ref="E731">IF(COUNTA(C731:C1644)=0,"",SUM((COUNTIF(C$4:C731,Upgrades!$B$3:$B$13)-COUNTIF(C$4:C731,"Sell_"&amp;Upgrades!$B$3:$B$13))*Upgrades!$D$3:$D$13))</f>
        <v/>
      </c>
      <c r="F731" s="66" t="str">
        <f>IFERROR(__xludf.DUMMYFUNCTION("IF(COUNTA(C731:C1644)=0,"""",IF(REGEXMATCH(INDEX(FILTER(C$4:C731,C$4:C731&lt;&gt;""""),ROWS(FILTER(C$4:C731,C$4:C731&lt;&gt;""""))),""^Sell_""),INDEX(FILTER(F$4:F730,C$4:C730&lt;&gt;""""),ROWS(FILTER(C$4:C730,C$4:C730&lt;&gt;""""))),$AC$5+E731))"),"")</f>
        <v/>
      </c>
      <c r="G731" s="10" t="str">
        <f>IFERROR(__xludf.DUMMYFUNCTION("IF(COUNTA(C731:C1644)=0,"""",IF(C731="""",0,IF(REGEXMATCH(C731,""^Sell_""),-ROUNDDOWN(ROUNDUP(INDEX(Upgrades!$C$3:$C$13,MATCH(SUBSTITUTE(C731,""Sell_"",""""),Upgrades!$B$3:$B$13,0))*1.15^(COUNTIF(C$4:C730,SUBSTITUTE(C731,""Sell_"",""""))-COUNTIF(C$4:C730,"&amp;"""Sell_""&amp;SUBSTITUTE(C731,""Sell_"",""""))))/2),ROUNDUP(INDEX(Upgrades!$C$3:$C$13,MATCH(C731,Upgrades!$B$3:$B$13,0))*1.15^(COUNTIF(C$4:C730,C731)-COUNTIF(C$4:C730,""Sell_""&amp;C731))))))"),"")</f>
        <v/>
      </c>
      <c r="H731" s="10" t="str">
        <f t="shared" si="3"/>
        <v/>
      </c>
      <c r="I731" s="68" t="str">
        <f t="shared" si="4"/>
        <v/>
      </c>
      <c r="J731" s="59" t="str">
        <f t="shared" si="5"/>
        <v/>
      </c>
      <c r="K731" s="69" t="str">
        <f t="shared" si="6"/>
        <v/>
      </c>
      <c r="L731" s="60" t="str">
        <f t="shared" si="7"/>
        <v/>
      </c>
      <c r="M731" s="61" t="str">
        <f>IFERROR(__xludf.DUMMYFUNCTION("IFS(AND(COUNTA(C731:C1644)=0,COUNTA(Q731:Q1644)=0),"""",OR(AND(K731&gt;=1000000000,OR(Y731&gt;=1000000000,COUNTA(Q731:Q1644)=0)),OR(Y731&gt;=1000000000,AND(COUNTA(C731:C1644)=0,P$3=TRUE))),
ROUNDDOWN((AB$1-AC$1)*MAX(INDEX(T$4:T1644,MATCH(LARGE(FILTER(Y$4:Y1644,Y$4"&amp;":Y1644&lt;1000000000),1),Y$4:Y1644)),INDEX(F$4:F1644,MATCH(LARGE(FILTER(K$4:K1644,K$4:K1644&lt;1000000000),1),K$4:K1644)))),AND(K731&lt;1000000000,COUNTA(C731:C1644)&gt;0,P$3=FALSE),
ROUNDDOWN(INDEX(Y$4:Y1644,MATCH(LARGE(FILTER(W$4:W1644,W$4:W1644&lt;=I731),1),W$4:W1644"&amp;"))+(I731-LARGE(FILTER(W$4:W1644,W$4:W1644&lt;=I731),1))*INDEX(T$4:T1644,MATCH(LARGE(FILTER(W$4:W1644,W$4:W1644&lt;=I731),1),W$4:W1644))-K731),1,
ROUNDDOWN(Y731-INDEX(K$4:K1644,MATCH(LARGE(FILTER(I$4:I1644,I$4:I1644&lt;=W731),1),I$4:I1644))-(W731-LARGE(FILTER(I$4:I"&amp;"1644,I$4:I1644&lt;=W731),1))*INDEX(F$4:F1644,MATCH(LARGE(FILTER(I$4:I1644,I$4:I1644&lt;=W731),1),I$4:I1644))))"),"")</f>
        <v/>
      </c>
      <c r="N731" s="60" t="str">
        <f t="shared" si="8"/>
        <v/>
      </c>
      <c r="O731" s="61" t="str">
        <f t="shared" si="9"/>
        <v/>
      </c>
      <c r="P731" s="56" t="str">
        <f t="shared" si="10"/>
        <v/>
      </c>
      <c r="Q731" s="105"/>
      <c r="R731" s="10"/>
      <c r="S731" s="59" t="str">
        <f t="array" ref="S731">IF(COUNTA(Q731:Q1644)=0,"",SUM((COUNTIF(Q$4:Q731,Upgrades!$B$3:$B$13)-COUNTIF(Q$4:Q731,"Sell_"&amp;Upgrades!$B$3:$B$13))*Upgrades!$D$3:$D$13))</f>
        <v/>
      </c>
      <c r="T731" s="66" t="str">
        <f>IFERROR(__xludf.DUMMYFUNCTION("IF(COUNTA(Q731:Q1644)=0,"""",IF(REGEXMATCH(INDEX(FILTER(Q$4:Q731,Q$4:Q731&lt;&gt;""""),ROWS(FILTER(Q$4:Q731,Q$4:Q731&lt;&gt;""""))),""^Sell_""),INDEX(FILTER(T$4:T730,Q$4:Q730&lt;&gt;""""),ROWS(FILTER(Q$4:Q730,Q$4:Q730&lt;&gt;""""))),$AD$5+S731))"),"")</f>
        <v/>
      </c>
      <c r="U731" s="10" t="str">
        <f>IFERROR(__xludf.DUMMYFUNCTION("IF(COUNTA(Q731:Q1644)=0,"""",IF(Q731="""",0,IF(REGEXMATCH(Q731,""^Sell_""),-ROUNDDOWN(ROUNDUP(INDEX(Upgrades!$C$3:$C$13,MATCH(SUBSTITUTE(Q731,""Sell_"",""""),Upgrades!$B$3:$B$13,0))*1.15^(COUNTIF(Q$4:Q730,SUBSTITUTE(Q731,""Sell_"",""""))-COUNTIF(Q$4:Q730,"&amp;"""Sell_""&amp;SUBSTITUTE(Q731,""Sell_"",""""))))/2),ROUNDUP(INDEX(Upgrades!$C$3:$C$13,MATCH(Q731,Upgrades!$B$3:$B$13,0))*1.15^(COUNTIF(Q$4:Q730,Q731)-COUNTIF(Q$4:Q730,""Sell_""&amp;Q731))))))"),"")</f>
        <v/>
      </c>
      <c r="V731" s="10" t="str">
        <f t="shared" si="11"/>
        <v/>
      </c>
      <c r="W731" s="68" t="str">
        <f t="shared" si="12"/>
        <v/>
      </c>
      <c r="X731" s="59" t="str">
        <f t="shared" si="13"/>
        <v/>
      </c>
      <c r="Y731" s="69" t="str">
        <f t="shared" si="14"/>
        <v/>
      </c>
      <c r="Z731" s="11"/>
      <c r="AG731" s="59"/>
    </row>
    <row r="732">
      <c r="A732" s="8"/>
      <c r="B732" s="56" t="str">
        <f t="shared" si="2"/>
        <v/>
      </c>
      <c r="C732" s="105"/>
      <c r="D732" s="10"/>
      <c r="E732" s="59" t="str">
        <f t="array" ref="E732">IF(COUNTA(C732:C1644)=0,"",SUM((COUNTIF(C$4:C732,Upgrades!$B$3:$B$13)-COUNTIF(C$4:C732,"Sell_"&amp;Upgrades!$B$3:$B$13))*Upgrades!$D$3:$D$13))</f>
        <v/>
      </c>
      <c r="F732" s="66" t="str">
        <f>IFERROR(__xludf.DUMMYFUNCTION("IF(COUNTA(C732:C1644)=0,"""",IF(REGEXMATCH(INDEX(FILTER(C$4:C732,C$4:C732&lt;&gt;""""),ROWS(FILTER(C$4:C732,C$4:C732&lt;&gt;""""))),""^Sell_""),INDEX(FILTER(F$4:F731,C$4:C731&lt;&gt;""""),ROWS(FILTER(C$4:C731,C$4:C731&lt;&gt;""""))),$AC$5+E732))"),"")</f>
        <v/>
      </c>
      <c r="G732" s="10" t="str">
        <f>IFERROR(__xludf.DUMMYFUNCTION("IF(COUNTA(C732:C1644)=0,"""",IF(C732="""",0,IF(REGEXMATCH(C732,""^Sell_""),-ROUNDDOWN(ROUNDUP(INDEX(Upgrades!$C$3:$C$13,MATCH(SUBSTITUTE(C732,""Sell_"",""""),Upgrades!$B$3:$B$13,0))*1.15^(COUNTIF(C$4:C731,SUBSTITUTE(C732,""Sell_"",""""))-COUNTIF(C$4:C731,"&amp;"""Sell_""&amp;SUBSTITUTE(C732,""Sell_"",""""))))/2),ROUNDUP(INDEX(Upgrades!$C$3:$C$13,MATCH(C732,Upgrades!$B$3:$B$13,0))*1.15^(COUNTIF(C$4:C731,C732)-COUNTIF(C$4:C731,""Sell_""&amp;C732))))))"),"")</f>
        <v/>
      </c>
      <c r="H732" s="10" t="str">
        <f t="shared" si="3"/>
        <v/>
      </c>
      <c r="I732" s="68" t="str">
        <f t="shared" si="4"/>
        <v/>
      </c>
      <c r="J732" s="59" t="str">
        <f t="shared" si="5"/>
        <v/>
      </c>
      <c r="K732" s="69" t="str">
        <f t="shared" si="6"/>
        <v/>
      </c>
      <c r="L732" s="60" t="str">
        <f t="shared" si="7"/>
        <v/>
      </c>
      <c r="M732" s="61" t="str">
        <f>IFERROR(__xludf.DUMMYFUNCTION("IFS(AND(COUNTA(C732:C1644)=0,COUNTA(Q732:Q1644)=0),"""",OR(AND(K732&gt;=1000000000,OR(Y732&gt;=1000000000,COUNTA(Q732:Q1644)=0)),OR(Y732&gt;=1000000000,AND(COUNTA(C732:C1644)=0,P$3=TRUE))),
ROUNDDOWN((AB$1-AC$1)*MAX(INDEX(T$4:T1644,MATCH(LARGE(FILTER(Y$4:Y1644,Y$4"&amp;":Y1644&lt;1000000000),1),Y$4:Y1644)),INDEX(F$4:F1644,MATCH(LARGE(FILTER(K$4:K1644,K$4:K1644&lt;1000000000),1),K$4:K1644)))),AND(K732&lt;1000000000,COUNTA(C732:C1644)&gt;0,P$3=FALSE),
ROUNDDOWN(INDEX(Y$4:Y1644,MATCH(LARGE(FILTER(W$4:W1644,W$4:W1644&lt;=I732),1),W$4:W1644"&amp;"))+(I732-LARGE(FILTER(W$4:W1644,W$4:W1644&lt;=I732),1))*INDEX(T$4:T1644,MATCH(LARGE(FILTER(W$4:W1644,W$4:W1644&lt;=I732),1),W$4:W1644))-K732),1,
ROUNDDOWN(Y732-INDEX(K$4:K1644,MATCH(LARGE(FILTER(I$4:I1644,I$4:I1644&lt;=W732),1),I$4:I1644))-(W732-LARGE(FILTER(I$4:I"&amp;"1644,I$4:I1644&lt;=W732),1))*INDEX(F$4:F1644,MATCH(LARGE(FILTER(I$4:I1644,I$4:I1644&lt;=W732),1),I$4:I1644))))"),"")</f>
        <v/>
      </c>
      <c r="N732" s="60" t="str">
        <f t="shared" si="8"/>
        <v/>
      </c>
      <c r="O732" s="61" t="str">
        <f t="shared" si="9"/>
        <v/>
      </c>
      <c r="P732" s="56" t="str">
        <f t="shared" si="10"/>
        <v/>
      </c>
      <c r="Q732" s="105"/>
      <c r="R732" s="10"/>
      <c r="S732" s="59" t="str">
        <f t="array" ref="S732">IF(COUNTA(Q732:Q1644)=0,"",SUM((COUNTIF(Q$4:Q732,Upgrades!$B$3:$B$13)-COUNTIF(Q$4:Q732,"Sell_"&amp;Upgrades!$B$3:$B$13))*Upgrades!$D$3:$D$13))</f>
        <v/>
      </c>
      <c r="T732" s="66" t="str">
        <f>IFERROR(__xludf.DUMMYFUNCTION("IF(COUNTA(Q732:Q1644)=0,"""",IF(REGEXMATCH(INDEX(FILTER(Q$4:Q732,Q$4:Q732&lt;&gt;""""),ROWS(FILTER(Q$4:Q732,Q$4:Q732&lt;&gt;""""))),""^Sell_""),INDEX(FILTER(T$4:T731,Q$4:Q731&lt;&gt;""""),ROWS(FILTER(Q$4:Q731,Q$4:Q731&lt;&gt;""""))),$AD$5+S732))"),"")</f>
        <v/>
      </c>
      <c r="U732" s="10" t="str">
        <f>IFERROR(__xludf.DUMMYFUNCTION("IF(COUNTA(Q732:Q1644)=0,"""",IF(Q732="""",0,IF(REGEXMATCH(Q732,""^Sell_""),-ROUNDDOWN(ROUNDUP(INDEX(Upgrades!$C$3:$C$13,MATCH(SUBSTITUTE(Q732,""Sell_"",""""),Upgrades!$B$3:$B$13,0))*1.15^(COUNTIF(Q$4:Q731,SUBSTITUTE(Q732,""Sell_"",""""))-COUNTIF(Q$4:Q731,"&amp;"""Sell_""&amp;SUBSTITUTE(Q732,""Sell_"",""""))))/2),ROUNDUP(INDEX(Upgrades!$C$3:$C$13,MATCH(Q732,Upgrades!$B$3:$B$13,0))*1.15^(COUNTIF(Q$4:Q731,Q732)-COUNTIF(Q$4:Q731,""Sell_""&amp;Q732))))))"),"")</f>
        <v/>
      </c>
      <c r="V732" s="10" t="str">
        <f t="shared" si="11"/>
        <v/>
      </c>
      <c r="W732" s="68" t="str">
        <f t="shared" si="12"/>
        <v/>
      </c>
      <c r="X732" s="59" t="str">
        <f t="shared" si="13"/>
        <v/>
      </c>
      <c r="Y732" s="69" t="str">
        <f t="shared" si="14"/>
        <v/>
      </c>
      <c r="Z732" s="11"/>
      <c r="AG732" s="59"/>
    </row>
    <row r="733">
      <c r="A733" s="8"/>
      <c r="B733" s="56" t="str">
        <f t="shared" si="2"/>
        <v/>
      </c>
      <c r="C733" s="105"/>
      <c r="D733" s="10"/>
      <c r="E733" s="59" t="str">
        <f t="array" ref="E733">IF(COUNTA(C733:C1644)=0,"",SUM((COUNTIF(C$4:C733,Upgrades!$B$3:$B$13)-COUNTIF(C$4:C733,"Sell_"&amp;Upgrades!$B$3:$B$13))*Upgrades!$D$3:$D$13))</f>
        <v/>
      </c>
      <c r="F733" s="66" t="str">
        <f>IFERROR(__xludf.DUMMYFUNCTION("IF(COUNTA(C733:C1644)=0,"""",IF(REGEXMATCH(INDEX(FILTER(C$4:C733,C$4:C733&lt;&gt;""""),ROWS(FILTER(C$4:C733,C$4:C733&lt;&gt;""""))),""^Sell_""),INDEX(FILTER(F$4:F732,C$4:C732&lt;&gt;""""),ROWS(FILTER(C$4:C732,C$4:C732&lt;&gt;""""))),$AC$5+E733))"),"")</f>
        <v/>
      </c>
      <c r="G733" s="10" t="str">
        <f>IFERROR(__xludf.DUMMYFUNCTION("IF(COUNTA(C733:C1644)=0,"""",IF(C733="""",0,IF(REGEXMATCH(C733,""^Sell_""),-ROUNDDOWN(ROUNDUP(INDEX(Upgrades!$C$3:$C$13,MATCH(SUBSTITUTE(C733,""Sell_"",""""),Upgrades!$B$3:$B$13,0))*1.15^(COUNTIF(C$4:C732,SUBSTITUTE(C733,""Sell_"",""""))-COUNTIF(C$4:C732,"&amp;"""Sell_""&amp;SUBSTITUTE(C733,""Sell_"",""""))))/2),ROUNDUP(INDEX(Upgrades!$C$3:$C$13,MATCH(C733,Upgrades!$B$3:$B$13,0))*1.15^(COUNTIF(C$4:C732,C733)-COUNTIF(C$4:C732,""Sell_""&amp;C733))))))"),"")</f>
        <v/>
      </c>
      <c r="H733" s="10" t="str">
        <f t="shared" si="3"/>
        <v/>
      </c>
      <c r="I733" s="68" t="str">
        <f t="shared" si="4"/>
        <v/>
      </c>
      <c r="J733" s="59" t="str">
        <f t="shared" si="5"/>
        <v/>
      </c>
      <c r="K733" s="69" t="str">
        <f t="shared" si="6"/>
        <v/>
      </c>
      <c r="L733" s="60" t="str">
        <f t="shared" si="7"/>
        <v/>
      </c>
      <c r="M733" s="61" t="str">
        <f>IFERROR(__xludf.DUMMYFUNCTION("IFS(AND(COUNTA(C733:C1644)=0,COUNTA(Q733:Q1644)=0),"""",OR(AND(K733&gt;=1000000000,OR(Y733&gt;=1000000000,COUNTA(Q733:Q1644)=0)),OR(Y733&gt;=1000000000,AND(COUNTA(C733:C1644)=0,P$3=TRUE))),
ROUNDDOWN((AB$1-AC$1)*MAX(INDEX(T$4:T1644,MATCH(LARGE(FILTER(Y$4:Y1644,Y$4"&amp;":Y1644&lt;1000000000),1),Y$4:Y1644)),INDEX(F$4:F1644,MATCH(LARGE(FILTER(K$4:K1644,K$4:K1644&lt;1000000000),1),K$4:K1644)))),AND(K733&lt;1000000000,COUNTA(C733:C1644)&gt;0,P$3=FALSE),
ROUNDDOWN(INDEX(Y$4:Y1644,MATCH(LARGE(FILTER(W$4:W1644,W$4:W1644&lt;=I733),1),W$4:W1644"&amp;"))+(I733-LARGE(FILTER(W$4:W1644,W$4:W1644&lt;=I733),1))*INDEX(T$4:T1644,MATCH(LARGE(FILTER(W$4:W1644,W$4:W1644&lt;=I733),1),W$4:W1644))-K733),1,
ROUNDDOWN(Y733-INDEX(K$4:K1644,MATCH(LARGE(FILTER(I$4:I1644,I$4:I1644&lt;=W733),1),I$4:I1644))-(W733-LARGE(FILTER(I$4:I"&amp;"1644,I$4:I1644&lt;=W733),1))*INDEX(F$4:F1644,MATCH(LARGE(FILTER(I$4:I1644,I$4:I1644&lt;=W733),1),I$4:I1644))))"),"")</f>
        <v/>
      </c>
      <c r="N733" s="60" t="str">
        <f t="shared" si="8"/>
        <v/>
      </c>
      <c r="O733" s="61" t="str">
        <f t="shared" si="9"/>
        <v/>
      </c>
      <c r="P733" s="56" t="str">
        <f t="shared" si="10"/>
        <v/>
      </c>
      <c r="Q733" s="105"/>
      <c r="R733" s="10"/>
      <c r="S733" s="59" t="str">
        <f t="array" ref="S733">IF(COUNTA(Q733:Q1644)=0,"",SUM((COUNTIF(Q$4:Q733,Upgrades!$B$3:$B$13)-COUNTIF(Q$4:Q733,"Sell_"&amp;Upgrades!$B$3:$B$13))*Upgrades!$D$3:$D$13))</f>
        <v/>
      </c>
      <c r="T733" s="66" t="str">
        <f>IFERROR(__xludf.DUMMYFUNCTION("IF(COUNTA(Q733:Q1644)=0,"""",IF(REGEXMATCH(INDEX(FILTER(Q$4:Q733,Q$4:Q733&lt;&gt;""""),ROWS(FILTER(Q$4:Q733,Q$4:Q733&lt;&gt;""""))),""^Sell_""),INDEX(FILTER(T$4:T732,Q$4:Q732&lt;&gt;""""),ROWS(FILTER(Q$4:Q732,Q$4:Q732&lt;&gt;""""))),$AD$5+S733))"),"")</f>
        <v/>
      </c>
      <c r="U733" s="10" t="str">
        <f>IFERROR(__xludf.DUMMYFUNCTION("IF(COUNTA(Q733:Q1644)=0,"""",IF(Q733="""",0,IF(REGEXMATCH(Q733,""^Sell_""),-ROUNDDOWN(ROUNDUP(INDEX(Upgrades!$C$3:$C$13,MATCH(SUBSTITUTE(Q733,""Sell_"",""""),Upgrades!$B$3:$B$13,0))*1.15^(COUNTIF(Q$4:Q732,SUBSTITUTE(Q733,""Sell_"",""""))-COUNTIF(Q$4:Q732,"&amp;"""Sell_""&amp;SUBSTITUTE(Q733,""Sell_"",""""))))/2),ROUNDUP(INDEX(Upgrades!$C$3:$C$13,MATCH(Q733,Upgrades!$B$3:$B$13,0))*1.15^(COUNTIF(Q$4:Q732,Q733)-COUNTIF(Q$4:Q732,""Sell_""&amp;Q733))))))"),"")</f>
        <v/>
      </c>
      <c r="V733" s="10" t="str">
        <f t="shared" si="11"/>
        <v/>
      </c>
      <c r="W733" s="68" t="str">
        <f t="shared" si="12"/>
        <v/>
      </c>
      <c r="X733" s="59" t="str">
        <f t="shared" si="13"/>
        <v/>
      </c>
      <c r="Y733" s="69" t="str">
        <f t="shared" si="14"/>
        <v/>
      </c>
      <c r="Z733" s="11"/>
      <c r="AG733" s="59"/>
    </row>
    <row r="734">
      <c r="A734" s="8"/>
      <c r="B734" s="56" t="str">
        <f t="shared" si="2"/>
        <v/>
      </c>
      <c r="C734" s="105"/>
      <c r="D734" s="10"/>
      <c r="E734" s="59" t="str">
        <f t="array" ref="E734">IF(COUNTA(C734:C1644)=0,"",SUM((COUNTIF(C$4:C734,Upgrades!$B$3:$B$13)-COUNTIF(C$4:C734,"Sell_"&amp;Upgrades!$B$3:$B$13))*Upgrades!$D$3:$D$13))</f>
        <v/>
      </c>
      <c r="F734" s="66" t="str">
        <f>IFERROR(__xludf.DUMMYFUNCTION("IF(COUNTA(C734:C1644)=0,"""",IF(REGEXMATCH(INDEX(FILTER(C$4:C734,C$4:C734&lt;&gt;""""),ROWS(FILTER(C$4:C734,C$4:C734&lt;&gt;""""))),""^Sell_""),INDEX(FILTER(F$4:F733,C$4:C733&lt;&gt;""""),ROWS(FILTER(C$4:C733,C$4:C733&lt;&gt;""""))),$AC$5+E734))"),"")</f>
        <v/>
      </c>
      <c r="G734" s="10" t="str">
        <f>IFERROR(__xludf.DUMMYFUNCTION("IF(COUNTA(C734:C1644)=0,"""",IF(C734="""",0,IF(REGEXMATCH(C734,""^Sell_""),-ROUNDDOWN(ROUNDUP(INDEX(Upgrades!$C$3:$C$13,MATCH(SUBSTITUTE(C734,""Sell_"",""""),Upgrades!$B$3:$B$13,0))*1.15^(COUNTIF(C$4:C733,SUBSTITUTE(C734,""Sell_"",""""))-COUNTIF(C$4:C733,"&amp;"""Sell_""&amp;SUBSTITUTE(C734,""Sell_"",""""))))/2),ROUNDUP(INDEX(Upgrades!$C$3:$C$13,MATCH(C734,Upgrades!$B$3:$B$13,0))*1.15^(COUNTIF(C$4:C733,C734)-COUNTIF(C$4:C733,""Sell_""&amp;C734))))))"),"")</f>
        <v/>
      </c>
      <c r="H734" s="10" t="str">
        <f t="shared" si="3"/>
        <v/>
      </c>
      <c r="I734" s="68" t="str">
        <f t="shared" si="4"/>
        <v/>
      </c>
      <c r="J734" s="59" t="str">
        <f t="shared" si="5"/>
        <v/>
      </c>
      <c r="K734" s="69" t="str">
        <f t="shared" si="6"/>
        <v/>
      </c>
      <c r="L734" s="60" t="str">
        <f t="shared" si="7"/>
        <v/>
      </c>
      <c r="M734" s="61" t="str">
        <f>IFERROR(__xludf.DUMMYFUNCTION("IFS(AND(COUNTA(C734:C1644)=0,COUNTA(Q734:Q1644)=0),"""",OR(AND(K734&gt;=1000000000,OR(Y734&gt;=1000000000,COUNTA(Q734:Q1644)=0)),OR(Y734&gt;=1000000000,AND(COUNTA(C734:C1644)=0,P$3=TRUE))),
ROUNDDOWN((AB$1-AC$1)*MAX(INDEX(T$4:T1644,MATCH(LARGE(FILTER(Y$4:Y1644,Y$4"&amp;":Y1644&lt;1000000000),1),Y$4:Y1644)),INDEX(F$4:F1644,MATCH(LARGE(FILTER(K$4:K1644,K$4:K1644&lt;1000000000),1),K$4:K1644)))),AND(K734&lt;1000000000,COUNTA(C734:C1644)&gt;0,P$3=FALSE),
ROUNDDOWN(INDEX(Y$4:Y1644,MATCH(LARGE(FILTER(W$4:W1644,W$4:W1644&lt;=I734),1),W$4:W1644"&amp;"))+(I734-LARGE(FILTER(W$4:W1644,W$4:W1644&lt;=I734),1))*INDEX(T$4:T1644,MATCH(LARGE(FILTER(W$4:W1644,W$4:W1644&lt;=I734),1),W$4:W1644))-K734),1,
ROUNDDOWN(Y734-INDEX(K$4:K1644,MATCH(LARGE(FILTER(I$4:I1644,I$4:I1644&lt;=W734),1),I$4:I1644))-(W734-LARGE(FILTER(I$4:I"&amp;"1644,I$4:I1644&lt;=W734),1))*INDEX(F$4:F1644,MATCH(LARGE(FILTER(I$4:I1644,I$4:I1644&lt;=W734),1),I$4:I1644))))"),"")</f>
        <v/>
      </c>
      <c r="N734" s="60" t="str">
        <f t="shared" si="8"/>
        <v/>
      </c>
      <c r="O734" s="61" t="str">
        <f t="shared" si="9"/>
        <v/>
      </c>
      <c r="P734" s="56" t="str">
        <f t="shared" si="10"/>
        <v/>
      </c>
      <c r="Q734" s="105"/>
      <c r="R734" s="10"/>
      <c r="S734" s="59" t="str">
        <f t="array" ref="S734">IF(COUNTA(Q734:Q1644)=0,"",SUM((COUNTIF(Q$4:Q734,Upgrades!$B$3:$B$13)-COUNTIF(Q$4:Q734,"Sell_"&amp;Upgrades!$B$3:$B$13))*Upgrades!$D$3:$D$13))</f>
        <v/>
      </c>
      <c r="T734" s="66" t="str">
        <f>IFERROR(__xludf.DUMMYFUNCTION("IF(COUNTA(Q734:Q1644)=0,"""",IF(REGEXMATCH(INDEX(FILTER(Q$4:Q734,Q$4:Q734&lt;&gt;""""),ROWS(FILTER(Q$4:Q734,Q$4:Q734&lt;&gt;""""))),""^Sell_""),INDEX(FILTER(T$4:T733,Q$4:Q733&lt;&gt;""""),ROWS(FILTER(Q$4:Q733,Q$4:Q733&lt;&gt;""""))),$AD$5+S734))"),"")</f>
        <v/>
      </c>
      <c r="U734" s="10" t="str">
        <f>IFERROR(__xludf.DUMMYFUNCTION("IF(COUNTA(Q734:Q1644)=0,"""",IF(Q734="""",0,IF(REGEXMATCH(Q734,""^Sell_""),-ROUNDDOWN(ROUNDUP(INDEX(Upgrades!$C$3:$C$13,MATCH(SUBSTITUTE(Q734,""Sell_"",""""),Upgrades!$B$3:$B$13,0))*1.15^(COUNTIF(Q$4:Q733,SUBSTITUTE(Q734,""Sell_"",""""))-COUNTIF(Q$4:Q733,"&amp;"""Sell_""&amp;SUBSTITUTE(Q734,""Sell_"",""""))))/2),ROUNDUP(INDEX(Upgrades!$C$3:$C$13,MATCH(Q734,Upgrades!$B$3:$B$13,0))*1.15^(COUNTIF(Q$4:Q733,Q734)-COUNTIF(Q$4:Q733,""Sell_""&amp;Q734))))))"),"")</f>
        <v/>
      </c>
      <c r="V734" s="10" t="str">
        <f t="shared" si="11"/>
        <v/>
      </c>
      <c r="W734" s="68" t="str">
        <f t="shared" si="12"/>
        <v/>
      </c>
      <c r="X734" s="59" t="str">
        <f t="shared" si="13"/>
        <v/>
      </c>
      <c r="Y734" s="69" t="str">
        <f t="shared" si="14"/>
        <v/>
      </c>
      <c r="Z734" s="11"/>
      <c r="AG734" s="59"/>
    </row>
    <row r="735">
      <c r="A735" s="8"/>
      <c r="B735" s="56" t="str">
        <f t="shared" si="2"/>
        <v/>
      </c>
      <c r="C735" s="105"/>
      <c r="D735" s="10"/>
      <c r="E735" s="59" t="str">
        <f t="array" ref="E735">IF(COUNTA(C735:C1644)=0,"",SUM((COUNTIF(C$4:C735,Upgrades!$B$3:$B$13)-COUNTIF(C$4:C735,"Sell_"&amp;Upgrades!$B$3:$B$13))*Upgrades!$D$3:$D$13))</f>
        <v/>
      </c>
      <c r="F735" s="66" t="str">
        <f>IFERROR(__xludf.DUMMYFUNCTION("IF(COUNTA(C735:C1644)=0,"""",IF(REGEXMATCH(INDEX(FILTER(C$4:C735,C$4:C735&lt;&gt;""""),ROWS(FILTER(C$4:C735,C$4:C735&lt;&gt;""""))),""^Sell_""),INDEX(FILTER(F$4:F734,C$4:C734&lt;&gt;""""),ROWS(FILTER(C$4:C734,C$4:C734&lt;&gt;""""))),$AC$5+E735))"),"")</f>
        <v/>
      </c>
      <c r="G735" s="10" t="str">
        <f>IFERROR(__xludf.DUMMYFUNCTION("IF(COUNTA(C735:C1644)=0,"""",IF(C735="""",0,IF(REGEXMATCH(C735,""^Sell_""),-ROUNDDOWN(ROUNDUP(INDEX(Upgrades!$C$3:$C$13,MATCH(SUBSTITUTE(C735,""Sell_"",""""),Upgrades!$B$3:$B$13,0))*1.15^(COUNTIF(C$4:C734,SUBSTITUTE(C735,""Sell_"",""""))-COUNTIF(C$4:C734,"&amp;"""Sell_""&amp;SUBSTITUTE(C735,""Sell_"",""""))))/2),ROUNDUP(INDEX(Upgrades!$C$3:$C$13,MATCH(C735,Upgrades!$B$3:$B$13,0))*1.15^(COUNTIF(C$4:C734,C735)-COUNTIF(C$4:C734,""Sell_""&amp;C735))))))"),"")</f>
        <v/>
      </c>
      <c r="H735" s="10" t="str">
        <f t="shared" si="3"/>
        <v/>
      </c>
      <c r="I735" s="68" t="str">
        <f t="shared" si="4"/>
        <v/>
      </c>
      <c r="J735" s="59" t="str">
        <f t="shared" si="5"/>
        <v/>
      </c>
      <c r="K735" s="69" t="str">
        <f t="shared" si="6"/>
        <v/>
      </c>
      <c r="L735" s="60" t="str">
        <f t="shared" si="7"/>
        <v/>
      </c>
      <c r="M735" s="61" t="str">
        <f>IFERROR(__xludf.DUMMYFUNCTION("IFS(AND(COUNTA(C735:C1644)=0,COUNTA(Q735:Q1644)=0),"""",OR(AND(K735&gt;=1000000000,OR(Y735&gt;=1000000000,COUNTA(Q735:Q1644)=0)),OR(Y735&gt;=1000000000,AND(COUNTA(C735:C1644)=0,P$3=TRUE))),
ROUNDDOWN((AB$1-AC$1)*MAX(INDEX(T$4:T1644,MATCH(LARGE(FILTER(Y$4:Y1644,Y$4"&amp;":Y1644&lt;1000000000),1),Y$4:Y1644)),INDEX(F$4:F1644,MATCH(LARGE(FILTER(K$4:K1644,K$4:K1644&lt;1000000000),1),K$4:K1644)))),AND(K735&lt;1000000000,COUNTA(C735:C1644)&gt;0,P$3=FALSE),
ROUNDDOWN(INDEX(Y$4:Y1644,MATCH(LARGE(FILTER(W$4:W1644,W$4:W1644&lt;=I735),1),W$4:W1644"&amp;"))+(I735-LARGE(FILTER(W$4:W1644,W$4:W1644&lt;=I735),1))*INDEX(T$4:T1644,MATCH(LARGE(FILTER(W$4:W1644,W$4:W1644&lt;=I735),1),W$4:W1644))-K735),1,
ROUNDDOWN(Y735-INDEX(K$4:K1644,MATCH(LARGE(FILTER(I$4:I1644,I$4:I1644&lt;=W735),1),I$4:I1644))-(W735-LARGE(FILTER(I$4:I"&amp;"1644,I$4:I1644&lt;=W735),1))*INDEX(F$4:F1644,MATCH(LARGE(FILTER(I$4:I1644,I$4:I1644&lt;=W735),1),I$4:I1644))))"),"")</f>
        <v/>
      </c>
      <c r="N735" s="60" t="str">
        <f t="shared" si="8"/>
        <v/>
      </c>
      <c r="O735" s="61" t="str">
        <f t="shared" si="9"/>
        <v/>
      </c>
      <c r="P735" s="56" t="str">
        <f t="shared" si="10"/>
        <v/>
      </c>
      <c r="Q735" s="105"/>
      <c r="R735" s="10"/>
      <c r="S735" s="59" t="str">
        <f t="array" ref="S735">IF(COUNTA(Q735:Q1644)=0,"",SUM((COUNTIF(Q$4:Q735,Upgrades!$B$3:$B$13)-COUNTIF(Q$4:Q735,"Sell_"&amp;Upgrades!$B$3:$B$13))*Upgrades!$D$3:$D$13))</f>
        <v/>
      </c>
      <c r="T735" s="66" t="str">
        <f>IFERROR(__xludf.DUMMYFUNCTION("IF(COUNTA(Q735:Q1644)=0,"""",IF(REGEXMATCH(INDEX(FILTER(Q$4:Q735,Q$4:Q735&lt;&gt;""""),ROWS(FILTER(Q$4:Q735,Q$4:Q735&lt;&gt;""""))),""^Sell_""),INDEX(FILTER(T$4:T734,Q$4:Q734&lt;&gt;""""),ROWS(FILTER(Q$4:Q734,Q$4:Q734&lt;&gt;""""))),$AD$5+S735))"),"")</f>
        <v/>
      </c>
      <c r="U735" s="10" t="str">
        <f>IFERROR(__xludf.DUMMYFUNCTION("IF(COUNTA(Q735:Q1644)=0,"""",IF(Q735="""",0,IF(REGEXMATCH(Q735,""^Sell_""),-ROUNDDOWN(ROUNDUP(INDEX(Upgrades!$C$3:$C$13,MATCH(SUBSTITUTE(Q735,""Sell_"",""""),Upgrades!$B$3:$B$13,0))*1.15^(COUNTIF(Q$4:Q734,SUBSTITUTE(Q735,""Sell_"",""""))-COUNTIF(Q$4:Q734,"&amp;"""Sell_""&amp;SUBSTITUTE(Q735,""Sell_"",""""))))/2),ROUNDUP(INDEX(Upgrades!$C$3:$C$13,MATCH(Q735,Upgrades!$B$3:$B$13,0))*1.15^(COUNTIF(Q$4:Q734,Q735)-COUNTIF(Q$4:Q734,""Sell_""&amp;Q735))))))"),"")</f>
        <v/>
      </c>
      <c r="V735" s="10" t="str">
        <f t="shared" si="11"/>
        <v/>
      </c>
      <c r="W735" s="68" t="str">
        <f t="shared" si="12"/>
        <v/>
      </c>
      <c r="X735" s="59" t="str">
        <f t="shared" si="13"/>
        <v/>
      </c>
      <c r="Y735" s="69" t="str">
        <f t="shared" si="14"/>
        <v/>
      </c>
      <c r="Z735" s="11"/>
      <c r="AG735" s="59"/>
    </row>
    <row r="736">
      <c r="A736" s="8"/>
      <c r="B736" s="56" t="str">
        <f t="shared" si="2"/>
        <v/>
      </c>
      <c r="C736" s="105"/>
      <c r="D736" s="10"/>
      <c r="E736" s="59" t="str">
        <f t="array" ref="E736">IF(COUNTA(C736:C1644)=0,"",SUM((COUNTIF(C$4:C736,Upgrades!$B$3:$B$13)-COUNTIF(C$4:C736,"Sell_"&amp;Upgrades!$B$3:$B$13))*Upgrades!$D$3:$D$13))</f>
        <v/>
      </c>
      <c r="F736" s="66" t="str">
        <f>IFERROR(__xludf.DUMMYFUNCTION("IF(COUNTA(C736:C1644)=0,"""",IF(REGEXMATCH(INDEX(FILTER(C$4:C736,C$4:C736&lt;&gt;""""),ROWS(FILTER(C$4:C736,C$4:C736&lt;&gt;""""))),""^Sell_""),INDEX(FILTER(F$4:F735,C$4:C735&lt;&gt;""""),ROWS(FILTER(C$4:C735,C$4:C735&lt;&gt;""""))),$AC$5+E736))"),"")</f>
        <v/>
      </c>
      <c r="G736" s="10" t="str">
        <f>IFERROR(__xludf.DUMMYFUNCTION("IF(COUNTA(C736:C1644)=0,"""",IF(C736="""",0,IF(REGEXMATCH(C736,""^Sell_""),-ROUNDDOWN(ROUNDUP(INDEX(Upgrades!$C$3:$C$13,MATCH(SUBSTITUTE(C736,""Sell_"",""""),Upgrades!$B$3:$B$13,0))*1.15^(COUNTIF(C$4:C735,SUBSTITUTE(C736,""Sell_"",""""))-COUNTIF(C$4:C735,"&amp;"""Sell_""&amp;SUBSTITUTE(C736,""Sell_"",""""))))/2),ROUNDUP(INDEX(Upgrades!$C$3:$C$13,MATCH(C736,Upgrades!$B$3:$B$13,0))*1.15^(COUNTIF(C$4:C735,C736)-COUNTIF(C$4:C735,""Sell_""&amp;C736))))))"),"")</f>
        <v/>
      </c>
      <c r="H736" s="10" t="str">
        <f t="shared" si="3"/>
        <v/>
      </c>
      <c r="I736" s="68" t="str">
        <f t="shared" si="4"/>
        <v/>
      </c>
      <c r="J736" s="59" t="str">
        <f t="shared" si="5"/>
        <v/>
      </c>
      <c r="K736" s="69" t="str">
        <f t="shared" si="6"/>
        <v/>
      </c>
      <c r="L736" s="60" t="str">
        <f t="shared" si="7"/>
        <v/>
      </c>
      <c r="M736" s="61" t="str">
        <f>IFERROR(__xludf.DUMMYFUNCTION("IFS(AND(COUNTA(C736:C1644)=0,COUNTA(Q736:Q1644)=0),"""",OR(AND(K736&gt;=1000000000,OR(Y736&gt;=1000000000,COUNTA(Q736:Q1644)=0)),OR(Y736&gt;=1000000000,AND(COUNTA(C736:C1644)=0,P$3=TRUE))),
ROUNDDOWN((AB$1-AC$1)*MAX(INDEX(T$4:T1644,MATCH(LARGE(FILTER(Y$4:Y1644,Y$4"&amp;":Y1644&lt;1000000000),1),Y$4:Y1644)),INDEX(F$4:F1644,MATCH(LARGE(FILTER(K$4:K1644,K$4:K1644&lt;1000000000),1),K$4:K1644)))),AND(K736&lt;1000000000,COUNTA(C736:C1644)&gt;0,P$3=FALSE),
ROUNDDOWN(INDEX(Y$4:Y1644,MATCH(LARGE(FILTER(W$4:W1644,W$4:W1644&lt;=I736),1),W$4:W1644"&amp;"))+(I736-LARGE(FILTER(W$4:W1644,W$4:W1644&lt;=I736),1))*INDEX(T$4:T1644,MATCH(LARGE(FILTER(W$4:W1644,W$4:W1644&lt;=I736),1),W$4:W1644))-K736),1,
ROUNDDOWN(Y736-INDEX(K$4:K1644,MATCH(LARGE(FILTER(I$4:I1644,I$4:I1644&lt;=W736),1),I$4:I1644))-(W736-LARGE(FILTER(I$4:I"&amp;"1644,I$4:I1644&lt;=W736),1))*INDEX(F$4:F1644,MATCH(LARGE(FILTER(I$4:I1644,I$4:I1644&lt;=W736),1),I$4:I1644))))"),"")</f>
        <v/>
      </c>
      <c r="N736" s="60" t="str">
        <f t="shared" si="8"/>
        <v/>
      </c>
      <c r="O736" s="61" t="str">
        <f t="shared" si="9"/>
        <v/>
      </c>
      <c r="P736" s="56" t="str">
        <f t="shared" si="10"/>
        <v/>
      </c>
      <c r="Q736" s="105"/>
      <c r="R736" s="10"/>
      <c r="S736" s="59" t="str">
        <f t="array" ref="S736">IF(COUNTA(Q736:Q1644)=0,"",SUM((COUNTIF(Q$4:Q736,Upgrades!$B$3:$B$13)-COUNTIF(Q$4:Q736,"Sell_"&amp;Upgrades!$B$3:$B$13))*Upgrades!$D$3:$D$13))</f>
        <v/>
      </c>
      <c r="T736" s="66" t="str">
        <f>IFERROR(__xludf.DUMMYFUNCTION("IF(COUNTA(Q736:Q1644)=0,"""",IF(REGEXMATCH(INDEX(FILTER(Q$4:Q736,Q$4:Q736&lt;&gt;""""),ROWS(FILTER(Q$4:Q736,Q$4:Q736&lt;&gt;""""))),""^Sell_""),INDEX(FILTER(T$4:T735,Q$4:Q735&lt;&gt;""""),ROWS(FILTER(Q$4:Q735,Q$4:Q735&lt;&gt;""""))),$AD$5+S736))"),"")</f>
        <v/>
      </c>
      <c r="U736" s="10" t="str">
        <f>IFERROR(__xludf.DUMMYFUNCTION("IF(COUNTA(Q736:Q1644)=0,"""",IF(Q736="""",0,IF(REGEXMATCH(Q736,""^Sell_""),-ROUNDDOWN(ROUNDUP(INDEX(Upgrades!$C$3:$C$13,MATCH(SUBSTITUTE(Q736,""Sell_"",""""),Upgrades!$B$3:$B$13,0))*1.15^(COUNTIF(Q$4:Q735,SUBSTITUTE(Q736,""Sell_"",""""))-COUNTIF(Q$4:Q735,"&amp;"""Sell_""&amp;SUBSTITUTE(Q736,""Sell_"",""""))))/2),ROUNDUP(INDEX(Upgrades!$C$3:$C$13,MATCH(Q736,Upgrades!$B$3:$B$13,0))*1.15^(COUNTIF(Q$4:Q735,Q736)-COUNTIF(Q$4:Q735,""Sell_""&amp;Q736))))))"),"")</f>
        <v/>
      </c>
      <c r="V736" s="10" t="str">
        <f t="shared" si="11"/>
        <v/>
      </c>
      <c r="W736" s="68" t="str">
        <f t="shared" si="12"/>
        <v/>
      </c>
      <c r="X736" s="59" t="str">
        <f t="shared" si="13"/>
        <v/>
      </c>
      <c r="Y736" s="69" t="str">
        <f t="shared" si="14"/>
        <v/>
      </c>
      <c r="Z736" s="11"/>
      <c r="AG736" s="59"/>
    </row>
    <row r="737">
      <c r="A737" s="8"/>
      <c r="B737" s="56" t="str">
        <f t="shared" si="2"/>
        <v/>
      </c>
      <c r="C737" s="105"/>
      <c r="D737" s="10"/>
      <c r="E737" s="59" t="str">
        <f t="array" ref="E737">IF(COUNTA(C737:C1644)=0,"",SUM((COUNTIF(C$4:C737,Upgrades!$B$3:$B$13)-COUNTIF(C$4:C737,"Sell_"&amp;Upgrades!$B$3:$B$13))*Upgrades!$D$3:$D$13))</f>
        <v/>
      </c>
      <c r="F737" s="66" t="str">
        <f>IFERROR(__xludf.DUMMYFUNCTION("IF(COUNTA(C737:C1644)=0,"""",IF(REGEXMATCH(INDEX(FILTER(C$4:C737,C$4:C737&lt;&gt;""""),ROWS(FILTER(C$4:C737,C$4:C737&lt;&gt;""""))),""^Sell_""),INDEX(FILTER(F$4:F736,C$4:C736&lt;&gt;""""),ROWS(FILTER(C$4:C736,C$4:C736&lt;&gt;""""))),$AC$5+E737))"),"")</f>
        <v/>
      </c>
      <c r="G737" s="10" t="str">
        <f>IFERROR(__xludf.DUMMYFUNCTION("IF(COUNTA(C737:C1644)=0,"""",IF(C737="""",0,IF(REGEXMATCH(C737,""^Sell_""),-ROUNDDOWN(ROUNDUP(INDEX(Upgrades!$C$3:$C$13,MATCH(SUBSTITUTE(C737,""Sell_"",""""),Upgrades!$B$3:$B$13,0))*1.15^(COUNTIF(C$4:C736,SUBSTITUTE(C737,""Sell_"",""""))-COUNTIF(C$4:C736,"&amp;"""Sell_""&amp;SUBSTITUTE(C737,""Sell_"",""""))))/2),ROUNDUP(INDEX(Upgrades!$C$3:$C$13,MATCH(C737,Upgrades!$B$3:$B$13,0))*1.15^(COUNTIF(C$4:C736,C737)-COUNTIF(C$4:C736,""Sell_""&amp;C737))))))"),"")</f>
        <v/>
      </c>
      <c r="H737" s="10" t="str">
        <f t="shared" si="3"/>
        <v/>
      </c>
      <c r="I737" s="68" t="str">
        <f t="shared" si="4"/>
        <v/>
      </c>
      <c r="J737" s="59" t="str">
        <f t="shared" si="5"/>
        <v/>
      </c>
      <c r="K737" s="69" t="str">
        <f t="shared" si="6"/>
        <v/>
      </c>
      <c r="L737" s="60" t="str">
        <f t="shared" si="7"/>
        <v/>
      </c>
      <c r="M737" s="61" t="str">
        <f>IFERROR(__xludf.DUMMYFUNCTION("IFS(AND(COUNTA(C737:C1644)=0,COUNTA(Q737:Q1644)=0),"""",OR(AND(K737&gt;=1000000000,OR(Y737&gt;=1000000000,COUNTA(Q737:Q1644)=0)),OR(Y737&gt;=1000000000,AND(COUNTA(C737:C1644)=0,P$3=TRUE))),
ROUNDDOWN((AB$1-AC$1)*MAX(INDEX(T$4:T1644,MATCH(LARGE(FILTER(Y$4:Y1644,Y$4"&amp;":Y1644&lt;1000000000),1),Y$4:Y1644)),INDEX(F$4:F1644,MATCH(LARGE(FILTER(K$4:K1644,K$4:K1644&lt;1000000000),1),K$4:K1644)))),AND(K737&lt;1000000000,COUNTA(C737:C1644)&gt;0,P$3=FALSE),
ROUNDDOWN(INDEX(Y$4:Y1644,MATCH(LARGE(FILTER(W$4:W1644,W$4:W1644&lt;=I737),1),W$4:W1644"&amp;"))+(I737-LARGE(FILTER(W$4:W1644,W$4:W1644&lt;=I737),1))*INDEX(T$4:T1644,MATCH(LARGE(FILTER(W$4:W1644,W$4:W1644&lt;=I737),1),W$4:W1644))-K737),1,
ROUNDDOWN(Y737-INDEX(K$4:K1644,MATCH(LARGE(FILTER(I$4:I1644,I$4:I1644&lt;=W737),1),I$4:I1644))-(W737-LARGE(FILTER(I$4:I"&amp;"1644,I$4:I1644&lt;=W737),1))*INDEX(F$4:F1644,MATCH(LARGE(FILTER(I$4:I1644,I$4:I1644&lt;=W737),1),I$4:I1644))))"),"")</f>
        <v/>
      </c>
      <c r="N737" s="60" t="str">
        <f t="shared" si="8"/>
        <v/>
      </c>
      <c r="O737" s="61" t="str">
        <f t="shared" si="9"/>
        <v/>
      </c>
      <c r="P737" s="56" t="str">
        <f t="shared" si="10"/>
        <v/>
      </c>
      <c r="Q737" s="105"/>
      <c r="R737" s="10"/>
      <c r="S737" s="59" t="str">
        <f t="array" ref="S737">IF(COUNTA(Q737:Q1644)=0,"",SUM((COUNTIF(Q$4:Q737,Upgrades!$B$3:$B$13)-COUNTIF(Q$4:Q737,"Sell_"&amp;Upgrades!$B$3:$B$13))*Upgrades!$D$3:$D$13))</f>
        <v/>
      </c>
      <c r="T737" s="66" t="str">
        <f>IFERROR(__xludf.DUMMYFUNCTION("IF(COUNTA(Q737:Q1644)=0,"""",IF(REGEXMATCH(INDEX(FILTER(Q$4:Q737,Q$4:Q737&lt;&gt;""""),ROWS(FILTER(Q$4:Q737,Q$4:Q737&lt;&gt;""""))),""^Sell_""),INDEX(FILTER(T$4:T736,Q$4:Q736&lt;&gt;""""),ROWS(FILTER(Q$4:Q736,Q$4:Q736&lt;&gt;""""))),$AD$5+S737))"),"")</f>
        <v/>
      </c>
      <c r="U737" s="10" t="str">
        <f>IFERROR(__xludf.DUMMYFUNCTION("IF(COUNTA(Q737:Q1644)=0,"""",IF(Q737="""",0,IF(REGEXMATCH(Q737,""^Sell_""),-ROUNDDOWN(ROUNDUP(INDEX(Upgrades!$C$3:$C$13,MATCH(SUBSTITUTE(Q737,""Sell_"",""""),Upgrades!$B$3:$B$13,0))*1.15^(COUNTIF(Q$4:Q736,SUBSTITUTE(Q737,""Sell_"",""""))-COUNTIF(Q$4:Q736,"&amp;"""Sell_""&amp;SUBSTITUTE(Q737,""Sell_"",""""))))/2),ROUNDUP(INDEX(Upgrades!$C$3:$C$13,MATCH(Q737,Upgrades!$B$3:$B$13,0))*1.15^(COUNTIF(Q$4:Q736,Q737)-COUNTIF(Q$4:Q736,""Sell_""&amp;Q737))))))"),"")</f>
        <v/>
      </c>
      <c r="V737" s="10" t="str">
        <f t="shared" si="11"/>
        <v/>
      </c>
      <c r="W737" s="68" t="str">
        <f t="shared" si="12"/>
        <v/>
      </c>
      <c r="X737" s="59" t="str">
        <f t="shared" si="13"/>
        <v/>
      </c>
      <c r="Y737" s="69" t="str">
        <f t="shared" si="14"/>
        <v/>
      </c>
      <c r="Z737" s="11"/>
      <c r="AG737" s="59"/>
    </row>
    <row r="738">
      <c r="A738" s="8"/>
      <c r="B738" s="56" t="str">
        <f t="shared" si="2"/>
        <v/>
      </c>
      <c r="C738" s="105"/>
      <c r="D738" s="10"/>
      <c r="E738" s="59" t="str">
        <f t="array" ref="E738">IF(COUNTA(C738:C1644)=0,"",SUM((COUNTIF(C$4:C738,Upgrades!$B$3:$B$13)-COUNTIF(C$4:C738,"Sell_"&amp;Upgrades!$B$3:$B$13))*Upgrades!$D$3:$D$13))</f>
        <v/>
      </c>
      <c r="F738" s="66" t="str">
        <f>IFERROR(__xludf.DUMMYFUNCTION("IF(COUNTA(C738:C1644)=0,"""",IF(REGEXMATCH(INDEX(FILTER(C$4:C738,C$4:C738&lt;&gt;""""),ROWS(FILTER(C$4:C738,C$4:C738&lt;&gt;""""))),""^Sell_""),INDEX(FILTER(F$4:F737,C$4:C737&lt;&gt;""""),ROWS(FILTER(C$4:C737,C$4:C737&lt;&gt;""""))),$AC$5+E738))"),"")</f>
        <v/>
      </c>
      <c r="G738" s="10" t="str">
        <f>IFERROR(__xludf.DUMMYFUNCTION("IF(COUNTA(C738:C1644)=0,"""",IF(C738="""",0,IF(REGEXMATCH(C738,""^Sell_""),-ROUNDDOWN(ROUNDUP(INDEX(Upgrades!$C$3:$C$13,MATCH(SUBSTITUTE(C738,""Sell_"",""""),Upgrades!$B$3:$B$13,0))*1.15^(COUNTIF(C$4:C737,SUBSTITUTE(C738,""Sell_"",""""))-COUNTIF(C$4:C737,"&amp;"""Sell_""&amp;SUBSTITUTE(C738,""Sell_"",""""))))/2),ROUNDUP(INDEX(Upgrades!$C$3:$C$13,MATCH(C738,Upgrades!$B$3:$B$13,0))*1.15^(COUNTIF(C$4:C737,C738)-COUNTIF(C$4:C737,""Sell_""&amp;C738))))))"),"")</f>
        <v/>
      </c>
      <c r="H738" s="10" t="str">
        <f t="shared" si="3"/>
        <v/>
      </c>
      <c r="I738" s="68" t="str">
        <f t="shared" si="4"/>
        <v/>
      </c>
      <c r="J738" s="59" t="str">
        <f t="shared" si="5"/>
        <v/>
      </c>
      <c r="K738" s="69" t="str">
        <f t="shared" si="6"/>
        <v/>
      </c>
      <c r="L738" s="60" t="str">
        <f t="shared" si="7"/>
        <v/>
      </c>
      <c r="M738" s="61" t="str">
        <f>IFERROR(__xludf.DUMMYFUNCTION("IFS(AND(COUNTA(C738:C1644)=0,COUNTA(Q738:Q1644)=0),"""",OR(AND(K738&gt;=1000000000,OR(Y738&gt;=1000000000,COUNTA(Q738:Q1644)=0)),OR(Y738&gt;=1000000000,AND(COUNTA(C738:C1644)=0,P$3=TRUE))),
ROUNDDOWN((AB$1-AC$1)*MAX(INDEX(T$4:T1644,MATCH(LARGE(FILTER(Y$4:Y1644,Y$4"&amp;":Y1644&lt;1000000000),1),Y$4:Y1644)),INDEX(F$4:F1644,MATCH(LARGE(FILTER(K$4:K1644,K$4:K1644&lt;1000000000),1),K$4:K1644)))),AND(K738&lt;1000000000,COUNTA(C738:C1644)&gt;0,P$3=FALSE),
ROUNDDOWN(INDEX(Y$4:Y1644,MATCH(LARGE(FILTER(W$4:W1644,W$4:W1644&lt;=I738),1),W$4:W1644"&amp;"))+(I738-LARGE(FILTER(W$4:W1644,W$4:W1644&lt;=I738),1))*INDEX(T$4:T1644,MATCH(LARGE(FILTER(W$4:W1644,W$4:W1644&lt;=I738),1),W$4:W1644))-K738),1,
ROUNDDOWN(Y738-INDEX(K$4:K1644,MATCH(LARGE(FILTER(I$4:I1644,I$4:I1644&lt;=W738),1),I$4:I1644))-(W738-LARGE(FILTER(I$4:I"&amp;"1644,I$4:I1644&lt;=W738),1))*INDEX(F$4:F1644,MATCH(LARGE(FILTER(I$4:I1644,I$4:I1644&lt;=W738),1),I$4:I1644))))"),"")</f>
        <v/>
      </c>
      <c r="N738" s="60" t="str">
        <f t="shared" si="8"/>
        <v/>
      </c>
      <c r="O738" s="61" t="str">
        <f t="shared" si="9"/>
        <v/>
      </c>
      <c r="P738" s="56" t="str">
        <f t="shared" si="10"/>
        <v/>
      </c>
      <c r="Q738" s="105"/>
      <c r="R738" s="10"/>
      <c r="S738" s="59" t="str">
        <f t="array" ref="S738">IF(COUNTA(Q738:Q1644)=0,"",SUM((COUNTIF(Q$4:Q738,Upgrades!$B$3:$B$13)-COUNTIF(Q$4:Q738,"Sell_"&amp;Upgrades!$B$3:$B$13))*Upgrades!$D$3:$D$13))</f>
        <v/>
      </c>
      <c r="T738" s="66" t="str">
        <f>IFERROR(__xludf.DUMMYFUNCTION("IF(COUNTA(Q738:Q1644)=0,"""",IF(REGEXMATCH(INDEX(FILTER(Q$4:Q738,Q$4:Q738&lt;&gt;""""),ROWS(FILTER(Q$4:Q738,Q$4:Q738&lt;&gt;""""))),""^Sell_""),INDEX(FILTER(T$4:T737,Q$4:Q737&lt;&gt;""""),ROWS(FILTER(Q$4:Q737,Q$4:Q737&lt;&gt;""""))),$AD$5+S738))"),"")</f>
        <v/>
      </c>
      <c r="U738" s="10" t="str">
        <f>IFERROR(__xludf.DUMMYFUNCTION("IF(COUNTA(Q738:Q1644)=0,"""",IF(Q738="""",0,IF(REGEXMATCH(Q738,""^Sell_""),-ROUNDDOWN(ROUNDUP(INDEX(Upgrades!$C$3:$C$13,MATCH(SUBSTITUTE(Q738,""Sell_"",""""),Upgrades!$B$3:$B$13,0))*1.15^(COUNTIF(Q$4:Q737,SUBSTITUTE(Q738,""Sell_"",""""))-COUNTIF(Q$4:Q737,"&amp;"""Sell_""&amp;SUBSTITUTE(Q738,""Sell_"",""""))))/2),ROUNDUP(INDEX(Upgrades!$C$3:$C$13,MATCH(Q738,Upgrades!$B$3:$B$13,0))*1.15^(COUNTIF(Q$4:Q737,Q738)-COUNTIF(Q$4:Q737,""Sell_""&amp;Q738))))))"),"")</f>
        <v/>
      </c>
      <c r="V738" s="10" t="str">
        <f t="shared" si="11"/>
        <v/>
      </c>
      <c r="W738" s="68" t="str">
        <f t="shared" si="12"/>
        <v/>
      </c>
      <c r="X738" s="59" t="str">
        <f t="shared" si="13"/>
        <v/>
      </c>
      <c r="Y738" s="69" t="str">
        <f t="shared" si="14"/>
        <v/>
      </c>
      <c r="Z738" s="11"/>
      <c r="AG738" s="59"/>
    </row>
    <row r="739">
      <c r="A739" s="8"/>
      <c r="B739" s="56" t="str">
        <f t="shared" si="2"/>
        <v/>
      </c>
      <c r="C739" s="105"/>
      <c r="D739" s="10"/>
      <c r="E739" s="59" t="str">
        <f t="array" ref="E739">IF(COUNTA(C739:C1644)=0,"",SUM((COUNTIF(C$4:C739,Upgrades!$B$3:$B$13)-COUNTIF(C$4:C739,"Sell_"&amp;Upgrades!$B$3:$B$13))*Upgrades!$D$3:$D$13))</f>
        <v/>
      </c>
      <c r="F739" s="66" t="str">
        <f>IFERROR(__xludf.DUMMYFUNCTION("IF(COUNTA(C739:C1644)=0,"""",IF(REGEXMATCH(INDEX(FILTER(C$4:C739,C$4:C739&lt;&gt;""""),ROWS(FILTER(C$4:C739,C$4:C739&lt;&gt;""""))),""^Sell_""),INDEX(FILTER(F$4:F738,C$4:C738&lt;&gt;""""),ROWS(FILTER(C$4:C738,C$4:C738&lt;&gt;""""))),$AC$5+E739))"),"")</f>
        <v/>
      </c>
      <c r="G739" s="10" t="str">
        <f>IFERROR(__xludf.DUMMYFUNCTION("IF(COUNTA(C739:C1644)=0,"""",IF(C739="""",0,IF(REGEXMATCH(C739,""^Sell_""),-ROUNDDOWN(ROUNDUP(INDEX(Upgrades!$C$3:$C$13,MATCH(SUBSTITUTE(C739,""Sell_"",""""),Upgrades!$B$3:$B$13,0))*1.15^(COUNTIF(C$4:C738,SUBSTITUTE(C739,""Sell_"",""""))-COUNTIF(C$4:C738,"&amp;"""Sell_""&amp;SUBSTITUTE(C739,""Sell_"",""""))))/2),ROUNDUP(INDEX(Upgrades!$C$3:$C$13,MATCH(C739,Upgrades!$B$3:$B$13,0))*1.15^(COUNTIF(C$4:C738,C739)-COUNTIF(C$4:C738,""Sell_""&amp;C739))))))"),"")</f>
        <v/>
      </c>
      <c r="H739" s="10" t="str">
        <f t="shared" si="3"/>
        <v/>
      </c>
      <c r="I739" s="68" t="str">
        <f t="shared" si="4"/>
        <v/>
      </c>
      <c r="J739" s="59" t="str">
        <f t="shared" si="5"/>
        <v/>
      </c>
      <c r="K739" s="69" t="str">
        <f t="shared" si="6"/>
        <v/>
      </c>
      <c r="L739" s="60" t="str">
        <f t="shared" si="7"/>
        <v/>
      </c>
      <c r="M739" s="61" t="str">
        <f>IFERROR(__xludf.DUMMYFUNCTION("IFS(AND(COUNTA(C739:C1644)=0,COUNTA(Q739:Q1644)=0),"""",OR(AND(K739&gt;=1000000000,OR(Y739&gt;=1000000000,COUNTA(Q739:Q1644)=0)),OR(Y739&gt;=1000000000,AND(COUNTA(C739:C1644)=0,P$3=TRUE))),
ROUNDDOWN((AB$1-AC$1)*MAX(INDEX(T$4:T1644,MATCH(LARGE(FILTER(Y$4:Y1644,Y$4"&amp;":Y1644&lt;1000000000),1),Y$4:Y1644)),INDEX(F$4:F1644,MATCH(LARGE(FILTER(K$4:K1644,K$4:K1644&lt;1000000000),1),K$4:K1644)))),AND(K739&lt;1000000000,COUNTA(C739:C1644)&gt;0,P$3=FALSE),
ROUNDDOWN(INDEX(Y$4:Y1644,MATCH(LARGE(FILTER(W$4:W1644,W$4:W1644&lt;=I739),1),W$4:W1644"&amp;"))+(I739-LARGE(FILTER(W$4:W1644,W$4:W1644&lt;=I739),1))*INDEX(T$4:T1644,MATCH(LARGE(FILTER(W$4:W1644,W$4:W1644&lt;=I739),1),W$4:W1644))-K739),1,
ROUNDDOWN(Y739-INDEX(K$4:K1644,MATCH(LARGE(FILTER(I$4:I1644,I$4:I1644&lt;=W739),1),I$4:I1644))-(W739-LARGE(FILTER(I$4:I"&amp;"1644,I$4:I1644&lt;=W739),1))*INDEX(F$4:F1644,MATCH(LARGE(FILTER(I$4:I1644,I$4:I1644&lt;=W739),1),I$4:I1644))))"),"")</f>
        <v/>
      </c>
      <c r="N739" s="60" t="str">
        <f t="shared" si="8"/>
        <v/>
      </c>
      <c r="O739" s="61" t="str">
        <f t="shared" si="9"/>
        <v/>
      </c>
      <c r="P739" s="56" t="str">
        <f t="shared" si="10"/>
        <v/>
      </c>
      <c r="Q739" s="105"/>
      <c r="R739" s="10"/>
      <c r="S739" s="59" t="str">
        <f t="array" ref="S739">IF(COUNTA(Q739:Q1644)=0,"",SUM((COUNTIF(Q$4:Q739,Upgrades!$B$3:$B$13)-COUNTIF(Q$4:Q739,"Sell_"&amp;Upgrades!$B$3:$B$13))*Upgrades!$D$3:$D$13))</f>
        <v/>
      </c>
      <c r="T739" s="66" t="str">
        <f>IFERROR(__xludf.DUMMYFUNCTION("IF(COUNTA(Q739:Q1644)=0,"""",IF(REGEXMATCH(INDEX(FILTER(Q$4:Q739,Q$4:Q739&lt;&gt;""""),ROWS(FILTER(Q$4:Q739,Q$4:Q739&lt;&gt;""""))),""^Sell_""),INDEX(FILTER(T$4:T738,Q$4:Q738&lt;&gt;""""),ROWS(FILTER(Q$4:Q738,Q$4:Q738&lt;&gt;""""))),$AD$5+S739))"),"")</f>
        <v/>
      </c>
      <c r="U739" s="10" t="str">
        <f>IFERROR(__xludf.DUMMYFUNCTION("IF(COUNTA(Q739:Q1644)=0,"""",IF(Q739="""",0,IF(REGEXMATCH(Q739,""^Sell_""),-ROUNDDOWN(ROUNDUP(INDEX(Upgrades!$C$3:$C$13,MATCH(SUBSTITUTE(Q739,""Sell_"",""""),Upgrades!$B$3:$B$13,0))*1.15^(COUNTIF(Q$4:Q738,SUBSTITUTE(Q739,""Sell_"",""""))-COUNTIF(Q$4:Q738,"&amp;"""Sell_""&amp;SUBSTITUTE(Q739,""Sell_"",""""))))/2),ROUNDUP(INDEX(Upgrades!$C$3:$C$13,MATCH(Q739,Upgrades!$B$3:$B$13,0))*1.15^(COUNTIF(Q$4:Q738,Q739)-COUNTIF(Q$4:Q738,""Sell_""&amp;Q739))))))"),"")</f>
        <v/>
      </c>
      <c r="V739" s="10" t="str">
        <f t="shared" si="11"/>
        <v/>
      </c>
      <c r="W739" s="68" t="str">
        <f t="shared" si="12"/>
        <v/>
      </c>
      <c r="X739" s="59" t="str">
        <f t="shared" si="13"/>
        <v/>
      </c>
      <c r="Y739" s="69" t="str">
        <f t="shared" si="14"/>
        <v/>
      </c>
      <c r="Z739" s="11"/>
      <c r="AG739" s="59"/>
    </row>
    <row r="740">
      <c r="A740" s="8"/>
      <c r="B740" s="56" t="str">
        <f t="shared" si="2"/>
        <v/>
      </c>
      <c r="C740" s="105"/>
      <c r="D740" s="10"/>
      <c r="E740" s="59" t="str">
        <f t="array" ref="E740">IF(COUNTA(C740:C1644)=0,"",SUM((COUNTIF(C$4:C740,Upgrades!$B$3:$B$13)-COUNTIF(C$4:C740,"Sell_"&amp;Upgrades!$B$3:$B$13))*Upgrades!$D$3:$D$13))</f>
        <v/>
      </c>
      <c r="F740" s="66" t="str">
        <f>IFERROR(__xludf.DUMMYFUNCTION("IF(COUNTA(C740:C1644)=0,"""",IF(REGEXMATCH(INDEX(FILTER(C$4:C740,C$4:C740&lt;&gt;""""),ROWS(FILTER(C$4:C740,C$4:C740&lt;&gt;""""))),""^Sell_""),INDEX(FILTER(F$4:F739,C$4:C739&lt;&gt;""""),ROWS(FILTER(C$4:C739,C$4:C739&lt;&gt;""""))),$AC$5+E740))"),"")</f>
        <v/>
      </c>
      <c r="G740" s="10" t="str">
        <f>IFERROR(__xludf.DUMMYFUNCTION("IF(COUNTA(C740:C1644)=0,"""",IF(C740="""",0,IF(REGEXMATCH(C740,""^Sell_""),-ROUNDDOWN(ROUNDUP(INDEX(Upgrades!$C$3:$C$13,MATCH(SUBSTITUTE(C740,""Sell_"",""""),Upgrades!$B$3:$B$13,0))*1.15^(COUNTIF(C$4:C739,SUBSTITUTE(C740,""Sell_"",""""))-COUNTIF(C$4:C739,"&amp;"""Sell_""&amp;SUBSTITUTE(C740,""Sell_"",""""))))/2),ROUNDUP(INDEX(Upgrades!$C$3:$C$13,MATCH(C740,Upgrades!$B$3:$B$13,0))*1.15^(COUNTIF(C$4:C739,C740)-COUNTIF(C$4:C739,""Sell_""&amp;C740))))))"),"")</f>
        <v/>
      </c>
      <c r="H740" s="10" t="str">
        <f t="shared" si="3"/>
        <v/>
      </c>
      <c r="I740" s="68" t="str">
        <f t="shared" si="4"/>
        <v/>
      </c>
      <c r="J740" s="59" t="str">
        <f t="shared" si="5"/>
        <v/>
      </c>
      <c r="K740" s="69" t="str">
        <f t="shared" si="6"/>
        <v/>
      </c>
      <c r="L740" s="60" t="str">
        <f t="shared" si="7"/>
        <v/>
      </c>
      <c r="M740" s="61" t="str">
        <f>IFERROR(__xludf.DUMMYFUNCTION("IFS(AND(COUNTA(C740:C1644)=0,COUNTA(Q740:Q1644)=0),"""",OR(AND(K740&gt;=1000000000,OR(Y740&gt;=1000000000,COUNTA(Q740:Q1644)=0)),OR(Y740&gt;=1000000000,AND(COUNTA(C740:C1644)=0,P$3=TRUE))),
ROUNDDOWN((AB$1-AC$1)*MAX(INDEX(T$4:T1644,MATCH(LARGE(FILTER(Y$4:Y1644,Y$4"&amp;":Y1644&lt;1000000000),1),Y$4:Y1644)),INDEX(F$4:F1644,MATCH(LARGE(FILTER(K$4:K1644,K$4:K1644&lt;1000000000),1),K$4:K1644)))),AND(K740&lt;1000000000,COUNTA(C740:C1644)&gt;0,P$3=FALSE),
ROUNDDOWN(INDEX(Y$4:Y1644,MATCH(LARGE(FILTER(W$4:W1644,W$4:W1644&lt;=I740),1),W$4:W1644"&amp;"))+(I740-LARGE(FILTER(W$4:W1644,W$4:W1644&lt;=I740),1))*INDEX(T$4:T1644,MATCH(LARGE(FILTER(W$4:W1644,W$4:W1644&lt;=I740),1),W$4:W1644))-K740),1,
ROUNDDOWN(Y740-INDEX(K$4:K1644,MATCH(LARGE(FILTER(I$4:I1644,I$4:I1644&lt;=W740),1),I$4:I1644))-(W740-LARGE(FILTER(I$4:I"&amp;"1644,I$4:I1644&lt;=W740),1))*INDEX(F$4:F1644,MATCH(LARGE(FILTER(I$4:I1644,I$4:I1644&lt;=W740),1),I$4:I1644))))"),"")</f>
        <v/>
      </c>
      <c r="N740" s="60" t="str">
        <f t="shared" si="8"/>
        <v/>
      </c>
      <c r="O740" s="61" t="str">
        <f t="shared" si="9"/>
        <v/>
      </c>
      <c r="P740" s="56" t="str">
        <f t="shared" si="10"/>
        <v/>
      </c>
      <c r="Q740" s="105"/>
      <c r="R740" s="10"/>
      <c r="S740" s="59" t="str">
        <f t="array" ref="S740">IF(COUNTA(Q740:Q1644)=0,"",SUM((COUNTIF(Q$4:Q740,Upgrades!$B$3:$B$13)-COUNTIF(Q$4:Q740,"Sell_"&amp;Upgrades!$B$3:$B$13))*Upgrades!$D$3:$D$13))</f>
        <v/>
      </c>
      <c r="T740" s="66" t="str">
        <f>IFERROR(__xludf.DUMMYFUNCTION("IF(COUNTA(Q740:Q1644)=0,"""",IF(REGEXMATCH(INDEX(FILTER(Q$4:Q740,Q$4:Q740&lt;&gt;""""),ROWS(FILTER(Q$4:Q740,Q$4:Q740&lt;&gt;""""))),""^Sell_""),INDEX(FILTER(T$4:T739,Q$4:Q739&lt;&gt;""""),ROWS(FILTER(Q$4:Q739,Q$4:Q739&lt;&gt;""""))),$AD$5+S740))"),"")</f>
        <v/>
      </c>
      <c r="U740" s="10" t="str">
        <f>IFERROR(__xludf.DUMMYFUNCTION("IF(COUNTA(Q740:Q1644)=0,"""",IF(Q740="""",0,IF(REGEXMATCH(Q740,""^Sell_""),-ROUNDDOWN(ROUNDUP(INDEX(Upgrades!$C$3:$C$13,MATCH(SUBSTITUTE(Q740,""Sell_"",""""),Upgrades!$B$3:$B$13,0))*1.15^(COUNTIF(Q$4:Q739,SUBSTITUTE(Q740,""Sell_"",""""))-COUNTIF(Q$4:Q739,"&amp;"""Sell_""&amp;SUBSTITUTE(Q740,""Sell_"",""""))))/2),ROUNDUP(INDEX(Upgrades!$C$3:$C$13,MATCH(Q740,Upgrades!$B$3:$B$13,0))*1.15^(COUNTIF(Q$4:Q739,Q740)-COUNTIF(Q$4:Q739,""Sell_""&amp;Q740))))))"),"")</f>
        <v/>
      </c>
      <c r="V740" s="10" t="str">
        <f t="shared" si="11"/>
        <v/>
      </c>
      <c r="W740" s="68" t="str">
        <f t="shared" si="12"/>
        <v/>
      </c>
      <c r="X740" s="59" t="str">
        <f t="shared" si="13"/>
        <v/>
      </c>
      <c r="Y740" s="69" t="str">
        <f t="shared" si="14"/>
        <v/>
      </c>
      <c r="Z740" s="11"/>
      <c r="AG740" s="59"/>
    </row>
    <row r="741">
      <c r="A741" s="8"/>
      <c r="B741" s="56" t="str">
        <f t="shared" si="2"/>
        <v/>
      </c>
      <c r="C741" s="105"/>
      <c r="D741" s="10"/>
      <c r="E741" s="59" t="str">
        <f t="array" ref="E741">IF(COUNTA(C741:C1644)=0,"",SUM((COUNTIF(C$4:C741,Upgrades!$B$3:$B$13)-COUNTIF(C$4:C741,"Sell_"&amp;Upgrades!$B$3:$B$13))*Upgrades!$D$3:$D$13))</f>
        <v/>
      </c>
      <c r="F741" s="66" t="str">
        <f>IFERROR(__xludf.DUMMYFUNCTION("IF(COUNTA(C741:C1644)=0,"""",IF(REGEXMATCH(INDEX(FILTER(C$4:C741,C$4:C741&lt;&gt;""""),ROWS(FILTER(C$4:C741,C$4:C741&lt;&gt;""""))),""^Sell_""),INDEX(FILTER(F$4:F740,C$4:C740&lt;&gt;""""),ROWS(FILTER(C$4:C740,C$4:C740&lt;&gt;""""))),$AC$5+E741))"),"")</f>
        <v/>
      </c>
      <c r="G741" s="10" t="str">
        <f>IFERROR(__xludf.DUMMYFUNCTION("IF(COUNTA(C741:C1644)=0,"""",IF(C741="""",0,IF(REGEXMATCH(C741,""^Sell_""),-ROUNDDOWN(ROUNDUP(INDEX(Upgrades!$C$3:$C$13,MATCH(SUBSTITUTE(C741,""Sell_"",""""),Upgrades!$B$3:$B$13,0))*1.15^(COUNTIF(C$4:C740,SUBSTITUTE(C741,""Sell_"",""""))-COUNTIF(C$4:C740,"&amp;"""Sell_""&amp;SUBSTITUTE(C741,""Sell_"",""""))))/2),ROUNDUP(INDEX(Upgrades!$C$3:$C$13,MATCH(C741,Upgrades!$B$3:$B$13,0))*1.15^(COUNTIF(C$4:C740,C741)-COUNTIF(C$4:C740,""Sell_""&amp;C741))))))"),"")</f>
        <v/>
      </c>
      <c r="H741" s="10" t="str">
        <f t="shared" si="3"/>
        <v/>
      </c>
      <c r="I741" s="68" t="str">
        <f t="shared" si="4"/>
        <v/>
      </c>
      <c r="J741" s="59" t="str">
        <f t="shared" si="5"/>
        <v/>
      </c>
      <c r="K741" s="69" t="str">
        <f t="shared" si="6"/>
        <v/>
      </c>
      <c r="L741" s="60" t="str">
        <f t="shared" si="7"/>
        <v/>
      </c>
      <c r="M741" s="61" t="str">
        <f>IFERROR(__xludf.DUMMYFUNCTION("IFS(AND(COUNTA(C741:C1644)=0,COUNTA(Q741:Q1644)=0),"""",OR(AND(K741&gt;=1000000000,OR(Y741&gt;=1000000000,COUNTA(Q741:Q1644)=0)),OR(Y741&gt;=1000000000,AND(COUNTA(C741:C1644)=0,P$3=TRUE))),
ROUNDDOWN((AB$1-AC$1)*MAX(INDEX(T$4:T1644,MATCH(LARGE(FILTER(Y$4:Y1644,Y$4"&amp;":Y1644&lt;1000000000),1),Y$4:Y1644)),INDEX(F$4:F1644,MATCH(LARGE(FILTER(K$4:K1644,K$4:K1644&lt;1000000000),1),K$4:K1644)))),AND(K741&lt;1000000000,COUNTA(C741:C1644)&gt;0,P$3=FALSE),
ROUNDDOWN(INDEX(Y$4:Y1644,MATCH(LARGE(FILTER(W$4:W1644,W$4:W1644&lt;=I741),1),W$4:W1644"&amp;"))+(I741-LARGE(FILTER(W$4:W1644,W$4:W1644&lt;=I741),1))*INDEX(T$4:T1644,MATCH(LARGE(FILTER(W$4:W1644,W$4:W1644&lt;=I741),1),W$4:W1644))-K741),1,
ROUNDDOWN(Y741-INDEX(K$4:K1644,MATCH(LARGE(FILTER(I$4:I1644,I$4:I1644&lt;=W741),1),I$4:I1644))-(W741-LARGE(FILTER(I$4:I"&amp;"1644,I$4:I1644&lt;=W741),1))*INDEX(F$4:F1644,MATCH(LARGE(FILTER(I$4:I1644,I$4:I1644&lt;=W741),1),I$4:I1644))))"),"")</f>
        <v/>
      </c>
      <c r="N741" s="60" t="str">
        <f t="shared" si="8"/>
        <v/>
      </c>
      <c r="O741" s="61" t="str">
        <f t="shared" si="9"/>
        <v/>
      </c>
      <c r="P741" s="56" t="str">
        <f t="shared" si="10"/>
        <v/>
      </c>
      <c r="Q741" s="105"/>
      <c r="R741" s="10"/>
      <c r="S741" s="59" t="str">
        <f t="array" ref="S741">IF(COUNTA(Q741:Q1644)=0,"",SUM((COUNTIF(Q$4:Q741,Upgrades!$B$3:$B$13)-COUNTIF(Q$4:Q741,"Sell_"&amp;Upgrades!$B$3:$B$13))*Upgrades!$D$3:$D$13))</f>
        <v/>
      </c>
      <c r="T741" s="66" t="str">
        <f>IFERROR(__xludf.DUMMYFUNCTION("IF(COUNTA(Q741:Q1644)=0,"""",IF(REGEXMATCH(INDEX(FILTER(Q$4:Q741,Q$4:Q741&lt;&gt;""""),ROWS(FILTER(Q$4:Q741,Q$4:Q741&lt;&gt;""""))),""^Sell_""),INDEX(FILTER(T$4:T740,Q$4:Q740&lt;&gt;""""),ROWS(FILTER(Q$4:Q740,Q$4:Q740&lt;&gt;""""))),$AD$5+S741))"),"")</f>
        <v/>
      </c>
      <c r="U741" s="10" t="str">
        <f>IFERROR(__xludf.DUMMYFUNCTION("IF(COUNTA(Q741:Q1644)=0,"""",IF(Q741="""",0,IF(REGEXMATCH(Q741,""^Sell_""),-ROUNDDOWN(ROUNDUP(INDEX(Upgrades!$C$3:$C$13,MATCH(SUBSTITUTE(Q741,""Sell_"",""""),Upgrades!$B$3:$B$13,0))*1.15^(COUNTIF(Q$4:Q740,SUBSTITUTE(Q741,""Sell_"",""""))-COUNTIF(Q$4:Q740,"&amp;"""Sell_""&amp;SUBSTITUTE(Q741,""Sell_"",""""))))/2),ROUNDUP(INDEX(Upgrades!$C$3:$C$13,MATCH(Q741,Upgrades!$B$3:$B$13,0))*1.15^(COUNTIF(Q$4:Q740,Q741)-COUNTIF(Q$4:Q740,""Sell_""&amp;Q741))))))"),"")</f>
        <v/>
      </c>
      <c r="V741" s="10" t="str">
        <f t="shared" si="11"/>
        <v/>
      </c>
      <c r="W741" s="68" t="str">
        <f t="shared" si="12"/>
        <v/>
      </c>
      <c r="X741" s="59" t="str">
        <f t="shared" si="13"/>
        <v/>
      </c>
      <c r="Y741" s="69" t="str">
        <f t="shared" si="14"/>
        <v/>
      </c>
      <c r="Z741" s="11"/>
      <c r="AG741" s="59"/>
    </row>
    <row r="742">
      <c r="A742" s="8"/>
      <c r="B742" s="56" t="str">
        <f t="shared" si="2"/>
        <v/>
      </c>
      <c r="C742" s="105"/>
      <c r="D742" s="10"/>
      <c r="E742" s="59" t="str">
        <f t="array" ref="E742">IF(COUNTA(C742:C1644)=0,"",SUM((COUNTIF(C$4:C742,Upgrades!$B$3:$B$13)-COUNTIF(C$4:C742,"Sell_"&amp;Upgrades!$B$3:$B$13))*Upgrades!$D$3:$D$13))</f>
        <v/>
      </c>
      <c r="F742" s="66" t="str">
        <f>IFERROR(__xludf.DUMMYFUNCTION("IF(COUNTA(C742:C1644)=0,"""",IF(REGEXMATCH(INDEX(FILTER(C$4:C742,C$4:C742&lt;&gt;""""),ROWS(FILTER(C$4:C742,C$4:C742&lt;&gt;""""))),""^Sell_""),INDEX(FILTER(F$4:F741,C$4:C741&lt;&gt;""""),ROWS(FILTER(C$4:C741,C$4:C741&lt;&gt;""""))),$AC$5+E742))"),"")</f>
        <v/>
      </c>
      <c r="G742" s="10" t="str">
        <f>IFERROR(__xludf.DUMMYFUNCTION("IF(COUNTA(C742:C1644)=0,"""",IF(C742="""",0,IF(REGEXMATCH(C742,""^Sell_""),-ROUNDDOWN(ROUNDUP(INDEX(Upgrades!$C$3:$C$13,MATCH(SUBSTITUTE(C742,""Sell_"",""""),Upgrades!$B$3:$B$13,0))*1.15^(COUNTIF(C$4:C741,SUBSTITUTE(C742,""Sell_"",""""))-COUNTIF(C$4:C741,"&amp;"""Sell_""&amp;SUBSTITUTE(C742,""Sell_"",""""))))/2),ROUNDUP(INDEX(Upgrades!$C$3:$C$13,MATCH(C742,Upgrades!$B$3:$B$13,0))*1.15^(COUNTIF(C$4:C741,C742)-COUNTIF(C$4:C741,""Sell_""&amp;C742))))))"),"")</f>
        <v/>
      </c>
      <c r="H742" s="10" t="str">
        <f t="shared" si="3"/>
        <v/>
      </c>
      <c r="I742" s="68" t="str">
        <f t="shared" si="4"/>
        <v/>
      </c>
      <c r="J742" s="59" t="str">
        <f t="shared" si="5"/>
        <v/>
      </c>
      <c r="K742" s="69" t="str">
        <f t="shared" si="6"/>
        <v/>
      </c>
      <c r="L742" s="60" t="str">
        <f t="shared" si="7"/>
        <v/>
      </c>
      <c r="M742" s="61" t="str">
        <f>IFERROR(__xludf.DUMMYFUNCTION("IFS(AND(COUNTA(C742:C1644)=0,COUNTA(Q742:Q1644)=0),"""",OR(AND(K742&gt;=1000000000,OR(Y742&gt;=1000000000,COUNTA(Q742:Q1644)=0)),OR(Y742&gt;=1000000000,AND(COUNTA(C742:C1644)=0,P$3=TRUE))),
ROUNDDOWN((AB$1-AC$1)*MAX(INDEX(T$4:T1644,MATCH(LARGE(FILTER(Y$4:Y1644,Y$4"&amp;":Y1644&lt;1000000000),1),Y$4:Y1644)),INDEX(F$4:F1644,MATCH(LARGE(FILTER(K$4:K1644,K$4:K1644&lt;1000000000),1),K$4:K1644)))),AND(K742&lt;1000000000,COUNTA(C742:C1644)&gt;0,P$3=FALSE),
ROUNDDOWN(INDEX(Y$4:Y1644,MATCH(LARGE(FILTER(W$4:W1644,W$4:W1644&lt;=I742),1),W$4:W1644"&amp;"))+(I742-LARGE(FILTER(W$4:W1644,W$4:W1644&lt;=I742),1))*INDEX(T$4:T1644,MATCH(LARGE(FILTER(W$4:W1644,W$4:W1644&lt;=I742),1),W$4:W1644))-K742),1,
ROUNDDOWN(Y742-INDEX(K$4:K1644,MATCH(LARGE(FILTER(I$4:I1644,I$4:I1644&lt;=W742),1),I$4:I1644))-(W742-LARGE(FILTER(I$4:I"&amp;"1644,I$4:I1644&lt;=W742),1))*INDEX(F$4:F1644,MATCH(LARGE(FILTER(I$4:I1644,I$4:I1644&lt;=W742),1),I$4:I1644))))"),"")</f>
        <v/>
      </c>
      <c r="N742" s="60" t="str">
        <f t="shared" si="8"/>
        <v/>
      </c>
      <c r="O742" s="61" t="str">
        <f t="shared" si="9"/>
        <v/>
      </c>
      <c r="P742" s="56" t="str">
        <f t="shared" si="10"/>
        <v/>
      </c>
      <c r="Q742" s="105"/>
      <c r="R742" s="10"/>
      <c r="S742" s="59" t="str">
        <f t="array" ref="S742">IF(COUNTA(Q742:Q1644)=0,"",SUM((COUNTIF(Q$4:Q742,Upgrades!$B$3:$B$13)-COUNTIF(Q$4:Q742,"Sell_"&amp;Upgrades!$B$3:$B$13))*Upgrades!$D$3:$D$13))</f>
        <v/>
      </c>
      <c r="T742" s="66" t="str">
        <f>IFERROR(__xludf.DUMMYFUNCTION("IF(COUNTA(Q742:Q1644)=0,"""",IF(REGEXMATCH(INDEX(FILTER(Q$4:Q742,Q$4:Q742&lt;&gt;""""),ROWS(FILTER(Q$4:Q742,Q$4:Q742&lt;&gt;""""))),""^Sell_""),INDEX(FILTER(T$4:T741,Q$4:Q741&lt;&gt;""""),ROWS(FILTER(Q$4:Q741,Q$4:Q741&lt;&gt;""""))),$AD$5+S742))"),"")</f>
        <v/>
      </c>
      <c r="U742" s="10" t="str">
        <f>IFERROR(__xludf.DUMMYFUNCTION("IF(COUNTA(Q742:Q1644)=0,"""",IF(Q742="""",0,IF(REGEXMATCH(Q742,""^Sell_""),-ROUNDDOWN(ROUNDUP(INDEX(Upgrades!$C$3:$C$13,MATCH(SUBSTITUTE(Q742,""Sell_"",""""),Upgrades!$B$3:$B$13,0))*1.15^(COUNTIF(Q$4:Q741,SUBSTITUTE(Q742,""Sell_"",""""))-COUNTIF(Q$4:Q741,"&amp;"""Sell_""&amp;SUBSTITUTE(Q742,""Sell_"",""""))))/2),ROUNDUP(INDEX(Upgrades!$C$3:$C$13,MATCH(Q742,Upgrades!$B$3:$B$13,0))*1.15^(COUNTIF(Q$4:Q741,Q742)-COUNTIF(Q$4:Q741,""Sell_""&amp;Q742))))))"),"")</f>
        <v/>
      </c>
      <c r="V742" s="10" t="str">
        <f t="shared" si="11"/>
        <v/>
      </c>
      <c r="W742" s="68" t="str">
        <f t="shared" si="12"/>
        <v/>
      </c>
      <c r="X742" s="59" t="str">
        <f t="shared" si="13"/>
        <v/>
      </c>
      <c r="Y742" s="69" t="str">
        <f t="shared" si="14"/>
        <v/>
      </c>
      <c r="Z742" s="11"/>
      <c r="AG742" s="59"/>
    </row>
    <row r="743">
      <c r="A743" s="8"/>
      <c r="B743" s="56" t="str">
        <f t="shared" si="2"/>
        <v/>
      </c>
      <c r="C743" s="105"/>
      <c r="D743" s="10"/>
      <c r="E743" s="59" t="str">
        <f t="array" ref="E743">IF(COUNTA(C743:C1644)=0,"",SUM((COUNTIF(C$4:C743,Upgrades!$B$3:$B$13)-COUNTIF(C$4:C743,"Sell_"&amp;Upgrades!$B$3:$B$13))*Upgrades!$D$3:$D$13))</f>
        <v/>
      </c>
      <c r="F743" s="66" t="str">
        <f>IFERROR(__xludf.DUMMYFUNCTION("IF(COUNTA(C743:C1644)=0,"""",IF(REGEXMATCH(INDEX(FILTER(C$4:C743,C$4:C743&lt;&gt;""""),ROWS(FILTER(C$4:C743,C$4:C743&lt;&gt;""""))),""^Sell_""),INDEX(FILTER(F$4:F742,C$4:C742&lt;&gt;""""),ROWS(FILTER(C$4:C742,C$4:C742&lt;&gt;""""))),$AC$5+E743))"),"")</f>
        <v/>
      </c>
      <c r="G743" s="10" t="str">
        <f>IFERROR(__xludf.DUMMYFUNCTION("IF(COUNTA(C743:C1644)=0,"""",IF(C743="""",0,IF(REGEXMATCH(C743,""^Sell_""),-ROUNDDOWN(ROUNDUP(INDEX(Upgrades!$C$3:$C$13,MATCH(SUBSTITUTE(C743,""Sell_"",""""),Upgrades!$B$3:$B$13,0))*1.15^(COUNTIF(C$4:C742,SUBSTITUTE(C743,""Sell_"",""""))-COUNTIF(C$4:C742,"&amp;"""Sell_""&amp;SUBSTITUTE(C743,""Sell_"",""""))))/2),ROUNDUP(INDEX(Upgrades!$C$3:$C$13,MATCH(C743,Upgrades!$B$3:$B$13,0))*1.15^(COUNTIF(C$4:C742,C743)-COUNTIF(C$4:C742,""Sell_""&amp;C743))))))"),"")</f>
        <v/>
      </c>
      <c r="H743" s="10" t="str">
        <f t="shared" si="3"/>
        <v/>
      </c>
      <c r="I743" s="68" t="str">
        <f t="shared" si="4"/>
        <v/>
      </c>
      <c r="J743" s="59" t="str">
        <f t="shared" si="5"/>
        <v/>
      </c>
      <c r="K743" s="69" t="str">
        <f t="shared" si="6"/>
        <v/>
      </c>
      <c r="L743" s="60" t="str">
        <f t="shared" si="7"/>
        <v/>
      </c>
      <c r="M743" s="61" t="str">
        <f>IFERROR(__xludf.DUMMYFUNCTION("IFS(AND(COUNTA(C743:C1644)=0,COUNTA(Q743:Q1644)=0),"""",OR(AND(K743&gt;=1000000000,OR(Y743&gt;=1000000000,COUNTA(Q743:Q1644)=0)),OR(Y743&gt;=1000000000,AND(COUNTA(C743:C1644)=0,P$3=TRUE))),
ROUNDDOWN((AB$1-AC$1)*MAX(INDEX(T$4:T1644,MATCH(LARGE(FILTER(Y$4:Y1644,Y$4"&amp;":Y1644&lt;1000000000),1),Y$4:Y1644)),INDEX(F$4:F1644,MATCH(LARGE(FILTER(K$4:K1644,K$4:K1644&lt;1000000000),1),K$4:K1644)))),AND(K743&lt;1000000000,COUNTA(C743:C1644)&gt;0,P$3=FALSE),
ROUNDDOWN(INDEX(Y$4:Y1644,MATCH(LARGE(FILTER(W$4:W1644,W$4:W1644&lt;=I743),1),W$4:W1644"&amp;"))+(I743-LARGE(FILTER(W$4:W1644,W$4:W1644&lt;=I743),1))*INDEX(T$4:T1644,MATCH(LARGE(FILTER(W$4:W1644,W$4:W1644&lt;=I743),1),W$4:W1644))-K743),1,
ROUNDDOWN(Y743-INDEX(K$4:K1644,MATCH(LARGE(FILTER(I$4:I1644,I$4:I1644&lt;=W743),1),I$4:I1644))-(W743-LARGE(FILTER(I$4:I"&amp;"1644,I$4:I1644&lt;=W743),1))*INDEX(F$4:F1644,MATCH(LARGE(FILTER(I$4:I1644,I$4:I1644&lt;=W743),1),I$4:I1644))))"),"")</f>
        <v/>
      </c>
      <c r="N743" s="60" t="str">
        <f t="shared" si="8"/>
        <v/>
      </c>
      <c r="O743" s="61" t="str">
        <f t="shared" si="9"/>
        <v/>
      </c>
      <c r="P743" s="56" t="str">
        <f t="shared" si="10"/>
        <v/>
      </c>
      <c r="Q743" s="105"/>
      <c r="R743" s="10"/>
      <c r="S743" s="59" t="str">
        <f t="array" ref="S743">IF(COUNTA(Q743:Q1644)=0,"",SUM((COUNTIF(Q$4:Q743,Upgrades!$B$3:$B$13)-COUNTIF(Q$4:Q743,"Sell_"&amp;Upgrades!$B$3:$B$13))*Upgrades!$D$3:$D$13))</f>
        <v/>
      </c>
      <c r="T743" s="66" t="str">
        <f>IFERROR(__xludf.DUMMYFUNCTION("IF(COUNTA(Q743:Q1644)=0,"""",IF(REGEXMATCH(INDEX(FILTER(Q$4:Q743,Q$4:Q743&lt;&gt;""""),ROWS(FILTER(Q$4:Q743,Q$4:Q743&lt;&gt;""""))),""^Sell_""),INDEX(FILTER(T$4:T742,Q$4:Q742&lt;&gt;""""),ROWS(FILTER(Q$4:Q742,Q$4:Q742&lt;&gt;""""))),$AD$5+S743))"),"")</f>
        <v/>
      </c>
      <c r="U743" s="10" t="str">
        <f>IFERROR(__xludf.DUMMYFUNCTION("IF(COUNTA(Q743:Q1644)=0,"""",IF(Q743="""",0,IF(REGEXMATCH(Q743,""^Sell_""),-ROUNDDOWN(ROUNDUP(INDEX(Upgrades!$C$3:$C$13,MATCH(SUBSTITUTE(Q743,""Sell_"",""""),Upgrades!$B$3:$B$13,0))*1.15^(COUNTIF(Q$4:Q742,SUBSTITUTE(Q743,""Sell_"",""""))-COUNTIF(Q$4:Q742,"&amp;"""Sell_""&amp;SUBSTITUTE(Q743,""Sell_"",""""))))/2),ROUNDUP(INDEX(Upgrades!$C$3:$C$13,MATCH(Q743,Upgrades!$B$3:$B$13,0))*1.15^(COUNTIF(Q$4:Q742,Q743)-COUNTIF(Q$4:Q742,""Sell_""&amp;Q743))))))"),"")</f>
        <v/>
      </c>
      <c r="V743" s="10" t="str">
        <f t="shared" si="11"/>
        <v/>
      </c>
      <c r="W743" s="68" t="str">
        <f t="shared" si="12"/>
        <v/>
      </c>
      <c r="X743" s="59" t="str">
        <f t="shared" si="13"/>
        <v/>
      </c>
      <c r="Y743" s="69" t="str">
        <f t="shared" si="14"/>
        <v/>
      </c>
      <c r="Z743" s="11"/>
      <c r="AG743" s="59"/>
    </row>
    <row r="744">
      <c r="A744" s="8"/>
      <c r="B744" s="56" t="str">
        <f t="shared" si="2"/>
        <v/>
      </c>
      <c r="C744" s="105"/>
      <c r="D744" s="10"/>
      <c r="E744" s="59" t="str">
        <f t="array" ref="E744">IF(COUNTA(C744:C1644)=0,"",SUM((COUNTIF(C$4:C744,Upgrades!$B$3:$B$13)-COUNTIF(C$4:C744,"Sell_"&amp;Upgrades!$B$3:$B$13))*Upgrades!$D$3:$D$13))</f>
        <v/>
      </c>
      <c r="F744" s="66" t="str">
        <f>IFERROR(__xludf.DUMMYFUNCTION("IF(COUNTA(C744:C1644)=0,"""",IF(REGEXMATCH(INDEX(FILTER(C$4:C744,C$4:C744&lt;&gt;""""),ROWS(FILTER(C$4:C744,C$4:C744&lt;&gt;""""))),""^Sell_""),INDEX(FILTER(F$4:F743,C$4:C743&lt;&gt;""""),ROWS(FILTER(C$4:C743,C$4:C743&lt;&gt;""""))),$AC$5+E744))"),"")</f>
        <v/>
      </c>
      <c r="G744" s="10" t="str">
        <f>IFERROR(__xludf.DUMMYFUNCTION("IF(COUNTA(C744:C1644)=0,"""",IF(C744="""",0,IF(REGEXMATCH(C744,""^Sell_""),-ROUNDDOWN(ROUNDUP(INDEX(Upgrades!$C$3:$C$13,MATCH(SUBSTITUTE(C744,""Sell_"",""""),Upgrades!$B$3:$B$13,0))*1.15^(COUNTIF(C$4:C743,SUBSTITUTE(C744,""Sell_"",""""))-COUNTIF(C$4:C743,"&amp;"""Sell_""&amp;SUBSTITUTE(C744,""Sell_"",""""))))/2),ROUNDUP(INDEX(Upgrades!$C$3:$C$13,MATCH(C744,Upgrades!$B$3:$B$13,0))*1.15^(COUNTIF(C$4:C743,C744)-COUNTIF(C$4:C743,""Sell_""&amp;C744))))))"),"")</f>
        <v/>
      </c>
      <c r="H744" s="10" t="str">
        <f t="shared" si="3"/>
        <v/>
      </c>
      <c r="I744" s="68" t="str">
        <f t="shared" si="4"/>
        <v/>
      </c>
      <c r="J744" s="59" t="str">
        <f t="shared" si="5"/>
        <v/>
      </c>
      <c r="K744" s="69" t="str">
        <f t="shared" si="6"/>
        <v/>
      </c>
      <c r="L744" s="60" t="str">
        <f t="shared" si="7"/>
        <v/>
      </c>
      <c r="M744" s="61" t="str">
        <f>IFERROR(__xludf.DUMMYFUNCTION("IFS(AND(COUNTA(C744:C1644)=0,COUNTA(Q744:Q1644)=0),"""",OR(AND(K744&gt;=1000000000,OR(Y744&gt;=1000000000,COUNTA(Q744:Q1644)=0)),OR(Y744&gt;=1000000000,AND(COUNTA(C744:C1644)=0,P$3=TRUE))),
ROUNDDOWN((AB$1-AC$1)*MAX(INDEX(T$4:T1644,MATCH(LARGE(FILTER(Y$4:Y1644,Y$4"&amp;":Y1644&lt;1000000000),1),Y$4:Y1644)),INDEX(F$4:F1644,MATCH(LARGE(FILTER(K$4:K1644,K$4:K1644&lt;1000000000),1),K$4:K1644)))),AND(K744&lt;1000000000,COUNTA(C744:C1644)&gt;0,P$3=FALSE),
ROUNDDOWN(INDEX(Y$4:Y1644,MATCH(LARGE(FILTER(W$4:W1644,W$4:W1644&lt;=I744),1),W$4:W1644"&amp;"))+(I744-LARGE(FILTER(W$4:W1644,W$4:W1644&lt;=I744),1))*INDEX(T$4:T1644,MATCH(LARGE(FILTER(W$4:W1644,W$4:W1644&lt;=I744),1),W$4:W1644))-K744),1,
ROUNDDOWN(Y744-INDEX(K$4:K1644,MATCH(LARGE(FILTER(I$4:I1644,I$4:I1644&lt;=W744),1),I$4:I1644))-(W744-LARGE(FILTER(I$4:I"&amp;"1644,I$4:I1644&lt;=W744),1))*INDEX(F$4:F1644,MATCH(LARGE(FILTER(I$4:I1644,I$4:I1644&lt;=W744),1),I$4:I1644))))"),"")</f>
        <v/>
      </c>
      <c r="N744" s="60" t="str">
        <f t="shared" si="8"/>
        <v/>
      </c>
      <c r="O744" s="61" t="str">
        <f t="shared" si="9"/>
        <v/>
      </c>
      <c r="P744" s="56" t="str">
        <f t="shared" si="10"/>
        <v/>
      </c>
      <c r="Q744" s="105"/>
      <c r="R744" s="10"/>
      <c r="S744" s="59" t="str">
        <f t="array" ref="S744">IF(COUNTA(Q744:Q1644)=0,"",SUM((COUNTIF(Q$4:Q744,Upgrades!$B$3:$B$13)-COUNTIF(Q$4:Q744,"Sell_"&amp;Upgrades!$B$3:$B$13))*Upgrades!$D$3:$D$13))</f>
        <v/>
      </c>
      <c r="T744" s="66" t="str">
        <f>IFERROR(__xludf.DUMMYFUNCTION("IF(COUNTA(Q744:Q1644)=0,"""",IF(REGEXMATCH(INDEX(FILTER(Q$4:Q744,Q$4:Q744&lt;&gt;""""),ROWS(FILTER(Q$4:Q744,Q$4:Q744&lt;&gt;""""))),""^Sell_""),INDEX(FILTER(T$4:T743,Q$4:Q743&lt;&gt;""""),ROWS(FILTER(Q$4:Q743,Q$4:Q743&lt;&gt;""""))),$AD$5+S744))"),"")</f>
        <v/>
      </c>
      <c r="U744" s="10" t="str">
        <f>IFERROR(__xludf.DUMMYFUNCTION("IF(COUNTA(Q744:Q1644)=0,"""",IF(Q744="""",0,IF(REGEXMATCH(Q744,""^Sell_""),-ROUNDDOWN(ROUNDUP(INDEX(Upgrades!$C$3:$C$13,MATCH(SUBSTITUTE(Q744,""Sell_"",""""),Upgrades!$B$3:$B$13,0))*1.15^(COUNTIF(Q$4:Q743,SUBSTITUTE(Q744,""Sell_"",""""))-COUNTIF(Q$4:Q743,"&amp;"""Sell_""&amp;SUBSTITUTE(Q744,""Sell_"",""""))))/2),ROUNDUP(INDEX(Upgrades!$C$3:$C$13,MATCH(Q744,Upgrades!$B$3:$B$13,0))*1.15^(COUNTIF(Q$4:Q743,Q744)-COUNTIF(Q$4:Q743,""Sell_""&amp;Q744))))))"),"")</f>
        <v/>
      </c>
      <c r="V744" s="10" t="str">
        <f t="shared" si="11"/>
        <v/>
      </c>
      <c r="W744" s="68" t="str">
        <f t="shared" si="12"/>
        <v/>
      </c>
      <c r="X744" s="59" t="str">
        <f t="shared" si="13"/>
        <v/>
      </c>
      <c r="Y744" s="69" t="str">
        <f t="shared" si="14"/>
        <v/>
      </c>
      <c r="Z744" s="11"/>
      <c r="AG744" s="59"/>
    </row>
    <row r="745">
      <c r="A745" s="8"/>
      <c r="B745" s="56" t="str">
        <f t="shared" si="2"/>
        <v/>
      </c>
      <c r="C745" s="105"/>
      <c r="D745" s="10"/>
      <c r="E745" s="59" t="str">
        <f t="array" ref="E745">IF(COUNTA(C745:C1644)=0,"",SUM((COUNTIF(C$4:C745,Upgrades!$B$3:$B$13)-COUNTIF(C$4:C745,"Sell_"&amp;Upgrades!$B$3:$B$13))*Upgrades!$D$3:$D$13))</f>
        <v/>
      </c>
      <c r="F745" s="66" t="str">
        <f>IFERROR(__xludf.DUMMYFUNCTION("IF(COUNTA(C745:C1644)=0,"""",IF(REGEXMATCH(INDEX(FILTER(C$4:C745,C$4:C745&lt;&gt;""""),ROWS(FILTER(C$4:C745,C$4:C745&lt;&gt;""""))),""^Sell_""),INDEX(FILTER(F$4:F744,C$4:C744&lt;&gt;""""),ROWS(FILTER(C$4:C744,C$4:C744&lt;&gt;""""))),$AC$5+E745))"),"")</f>
        <v/>
      </c>
      <c r="G745" s="10" t="str">
        <f>IFERROR(__xludf.DUMMYFUNCTION("IF(COUNTA(C745:C1644)=0,"""",IF(C745="""",0,IF(REGEXMATCH(C745,""^Sell_""),-ROUNDDOWN(ROUNDUP(INDEX(Upgrades!$C$3:$C$13,MATCH(SUBSTITUTE(C745,""Sell_"",""""),Upgrades!$B$3:$B$13,0))*1.15^(COUNTIF(C$4:C744,SUBSTITUTE(C745,""Sell_"",""""))-COUNTIF(C$4:C744,"&amp;"""Sell_""&amp;SUBSTITUTE(C745,""Sell_"",""""))))/2),ROUNDUP(INDEX(Upgrades!$C$3:$C$13,MATCH(C745,Upgrades!$B$3:$B$13,0))*1.15^(COUNTIF(C$4:C744,C745)-COUNTIF(C$4:C744,""Sell_""&amp;C745))))))"),"")</f>
        <v/>
      </c>
      <c r="H745" s="10" t="str">
        <f t="shared" si="3"/>
        <v/>
      </c>
      <c r="I745" s="68" t="str">
        <f t="shared" si="4"/>
        <v/>
      </c>
      <c r="J745" s="59" t="str">
        <f t="shared" si="5"/>
        <v/>
      </c>
      <c r="K745" s="69" t="str">
        <f t="shared" si="6"/>
        <v/>
      </c>
      <c r="L745" s="60" t="str">
        <f t="shared" si="7"/>
        <v/>
      </c>
      <c r="M745" s="61" t="str">
        <f>IFERROR(__xludf.DUMMYFUNCTION("IFS(AND(COUNTA(C745:C1644)=0,COUNTA(Q745:Q1644)=0),"""",OR(AND(K745&gt;=1000000000,OR(Y745&gt;=1000000000,COUNTA(Q745:Q1644)=0)),OR(Y745&gt;=1000000000,AND(COUNTA(C745:C1644)=0,P$3=TRUE))),
ROUNDDOWN((AB$1-AC$1)*MAX(INDEX(T$4:T1644,MATCH(LARGE(FILTER(Y$4:Y1644,Y$4"&amp;":Y1644&lt;1000000000),1),Y$4:Y1644)),INDEX(F$4:F1644,MATCH(LARGE(FILTER(K$4:K1644,K$4:K1644&lt;1000000000),1),K$4:K1644)))),AND(K745&lt;1000000000,COUNTA(C745:C1644)&gt;0,P$3=FALSE),
ROUNDDOWN(INDEX(Y$4:Y1644,MATCH(LARGE(FILTER(W$4:W1644,W$4:W1644&lt;=I745),1),W$4:W1644"&amp;"))+(I745-LARGE(FILTER(W$4:W1644,W$4:W1644&lt;=I745),1))*INDEX(T$4:T1644,MATCH(LARGE(FILTER(W$4:W1644,W$4:W1644&lt;=I745),1),W$4:W1644))-K745),1,
ROUNDDOWN(Y745-INDEX(K$4:K1644,MATCH(LARGE(FILTER(I$4:I1644,I$4:I1644&lt;=W745),1),I$4:I1644))-(W745-LARGE(FILTER(I$4:I"&amp;"1644,I$4:I1644&lt;=W745),1))*INDEX(F$4:F1644,MATCH(LARGE(FILTER(I$4:I1644,I$4:I1644&lt;=W745),1),I$4:I1644))))"),"")</f>
        <v/>
      </c>
      <c r="N745" s="60" t="str">
        <f t="shared" si="8"/>
        <v/>
      </c>
      <c r="O745" s="61" t="str">
        <f t="shared" si="9"/>
        <v/>
      </c>
      <c r="P745" s="56" t="str">
        <f t="shared" si="10"/>
        <v/>
      </c>
      <c r="Q745" s="105"/>
      <c r="R745" s="10"/>
      <c r="S745" s="59" t="str">
        <f t="array" ref="S745">IF(COUNTA(Q745:Q1644)=0,"",SUM((COUNTIF(Q$4:Q745,Upgrades!$B$3:$B$13)-COUNTIF(Q$4:Q745,"Sell_"&amp;Upgrades!$B$3:$B$13))*Upgrades!$D$3:$D$13))</f>
        <v/>
      </c>
      <c r="T745" s="66" t="str">
        <f>IFERROR(__xludf.DUMMYFUNCTION("IF(COUNTA(Q745:Q1644)=0,"""",IF(REGEXMATCH(INDEX(FILTER(Q$4:Q745,Q$4:Q745&lt;&gt;""""),ROWS(FILTER(Q$4:Q745,Q$4:Q745&lt;&gt;""""))),""^Sell_""),INDEX(FILTER(T$4:T744,Q$4:Q744&lt;&gt;""""),ROWS(FILTER(Q$4:Q744,Q$4:Q744&lt;&gt;""""))),$AD$5+S745))"),"")</f>
        <v/>
      </c>
      <c r="U745" s="10" t="str">
        <f>IFERROR(__xludf.DUMMYFUNCTION("IF(COUNTA(Q745:Q1644)=0,"""",IF(Q745="""",0,IF(REGEXMATCH(Q745,""^Sell_""),-ROUNDDOWN(ROUNDUP(INDEX(Upgrades!$C$3:$C$13,MATCH(SUBSTITUTE(Q745,""Sell_"",""""),Upgrades!$B$3:$B$13,0))*1.15^(COUNTIF(Q$4:Q744,SUBSTITUTE(Q745,""Sell_"",""""))-COUNTIF(Q$4:Q744,"&amp;"""Sell_""&amp;SUBSTITUTE(Q745,""Sell_"",""""))))/2),ROUNDUP(INDEX(Upgrades!$C$3:$C$13,MATCH(Q745,Upgrades!$B$3:$B$13,0))*1.15^(COUNTIF(Q$4:Q744,Q745)-COUNTIF(Q$4:Q744,""Sell_""&amp;Q745))))))"),"")</f>
        <v/>
      </c>
      <c r="V745" s="10" t="str">
        <f t="shared" si="11"/>
        <v/>
      </c>
      <c r="W745" s="68" t="str">
        <f t="shared" si="12"/>
        <v/>
      </c>
      <c r="X745" s="59" t="str">
        <f t="shared" si="13"/>
        <v/>
      </c>
      <c r="Y745" s="69" t="str">
        <f t="shared" si="14"/>
        <v/>
      </c>
      <c r="Z745" s="11"/>
      <c r="AG745" s="59"/>
    </row>
    <row r="746">
      <c r="A746" s="8"/>
      <c r="B746" s="56" t="str">
        <f t="shared" si="2"/>
        <v/>
      </c>
      <c r="C746" s="105"/>
      <c r="D746" s="10"/>
      <c r="E746" s="59" t="str">
        <f t="array" ref="E746">IF(COUNTA(C746:C1644)=0,"",SUM((COUNTIF(C$4:C746,Upgrades!$B$3:$B$13)-COUNTIF(C$4:C746,"Sell_"&amp;Upgrades!$B$3:$B$13))*Upgrades!$D$3:$D$13))</f>
        <v/>
      </c>
      <c r="F746" s="66" t="str">
        <f>IFERROR(__xludf.DUMMYFUNCTION("IF(COUNTA(C746:C1644)=0,"""",IF(REGEXMATCH(INDEX(FILTER(C$4:C746,C$4:C746&lt;&gt;""""),ROWS(FILTER(C$4:C746,C$4:C746&lt;&gt;""""))),""^Sell_""),INDEX(FILTER(F$4:F745,C$4:C745&lt;&gt;""""),ROWS(FILTER(C$4:C745,C$4:C745&lt;&gt;""""))),$AC$5+E746))"),"")</f>
        <v/>
      </c>
      <c r="G746" s="10" t="str">
        <f>IFERROR(__xludf.DUMMYFUNCTION("IF(COUNTA(C746:C1644)=0,"""",IF(C746="""",0,IF(REGEXMATCH(C746,""^Sell_""),-ROUNDDOWN(ROUNDUP(INDEX(Upgrades!$C$3:$C$13,MATCH(SUBSTITUTE(C746,""Sell_"",""""),Upgrades!$B$3:$B$13,0))*1.15^(COUNTIF(C$4:C745,SUBSTITUTE(C746,""Sell_"",""""))-COUNTIF(C$4:C745,"&amp;"""Sell_""&amp;SUBSTITUTE(C746,""Sell_"",""""))))/2),ROUNDUP(INDEX(Upgrades!$C$3:$C$13,MATCH(C746,Upgrades!$B$3:$B$13,0))*1.15^(COUNTIF(C$4:C745,C746)-COUNTIF(C$4:C745,""Sell_""&amp;C746))))))"),"")</f>
        <v/>
      </c>
      <c r="H746" s="10" t="str">
        <f t="shared" si="3"/>
        <v/>
      </c>
      <c r="I746" s="68" t="str">
        <f t="shared" si="4"/>
        <v/>
      </c>
      <c r="J746" s="59" t="str">
        <f t="shared" si="5"/>
        <v/>
      </c>
      <c r="K746" s="69" t="str">
        <f t="shared" si="6"/>
        <v/>
      </c>
      <c r="L746" s="60" t="str">
        <f t="shared" si="7"/>
        <v/>
      </c>
      <c r="M746" s="61" t="str">
        <f>IFERROR(__xludf.DUMMYFUNCTION("IFS(AND(COUNTA(C746:C1644)=0,COUNTA(Q746:Q1644)=0),"""",OR(AND(K746&gt;=1000000000,OR(Y746&gt;=1000000000,COUNTA(Q746:Q1644)=0)),OR(Y746&gt;=1000000000,AND(COUNTA(C746:C1644)=0,P$3=TRUE))),
ROUNDDOWN((AB$1-AC$1)*MAX(INDEX(T$4:T1644,MATCH(LARGE(FILTER(Y$4:Y1644,Y$4"&amp;":Y1644&lt;1000000000),1),Y$4:Y1644)),INDEX(F$4:F1644,MATCH(LARGE(FILTER(K$4:K1644,K$4:K1644&lt;1000000000),1),K$4:K1644)))),AND(K746&lt;1000000000,COUNTA(C746:C1644)&gt;0,P$3=FALSE),
ROUNDDOWN(INDEX(Y$4:Y1644,MATCH(LARGE(FILTER(W$4:W1644,W$4:W1644&lt;=I746),1),W$4:W1644"&amp;"))+(I746-LARGE(FILTER(W$4:W1644,W$4:W1644&lt;=I746),1))*INDEX(T$4:T1644,MATCH(LARGE(FILTER(W$4:W1644,W$4:W1644&lt;=I746),1),W$4:W1644))-K746),1,
ROUNDDOWN(Y746-INDEX(K$4:K1644,MATCH(LARGE(FILTER(I$4:I1644,I$4:I1644&lt;=W746),1),I$4:I1644))-(W746-LARGE(FILTER(I$4:I"&amp;"1644,I$4:I1644&lt;=W746),1))*INDEX(F$4:F1644,MATCH(LARGE(FILTER(I$4:I1644,I$4:I1644&lt;=W746),1),I$4:I1644))))"),"")</f>
        <v/>
      </c>
      <c r="N746" s="60" t="str">
        <f t="shared" si="8"/>
        <v/>
      </c>
      <c r="O746" s="61" t="str">
        <f t="shared" si="9"/>
        <v/>
      </c>
      <c r="P746" s="56" t="str">
        <f t="shared" si="10"/>
        <v/>
      </c>
      <c r="Q746" s="105"/>
      <c r="R746" s="10"/>
      <c r="S746" s="59" t="str">
        <f t="array" ref="S746">IF(COUNTA(Q746:Q1644)=0,"",SUM((COUNTIF(Q$4:Q746,Upgrades!$B$3:$B$13)-COUNTIF(Q$4:Q746,"Sell_"&amp;Upgrades!$B$3:$B$13))*Upgrades!$D$3:$D$13))</f>
        <v/>
      </c>
      <c r="T746" s="66" t="str">
        <f>IFERROR(__xludf.DUMMYFUNCTION("IF(COUNTA(Q746:Q1644)=0,"""",IF(REGEXMATCH(INDEX(FILTER(Q$4:Q746,Q$4:Q746&lt;&gt;""""),ROWS(FILTER(Q$4:Q746,Q$4:Q746&lt;&gt;""""))),""^Sell_""),INDEX(FILTER(T$4:T745,Q$4:Q745&lt;&gt;""""),ROWS(FILTER(Q$4:Q745,Q$4:Q745&lt;&gt;""""))),$AD$5+S746))"),"")</f>
        <v/>
      </c>
      <c r="U746" s="10" t="str">
        <f>IFERROR(__xludf.DUMMYFUNCTION("IF(COUNTA(Q746:Q1644)=0,"""",IF(Q746="""",0,IF(REGEXMATCH(Q746,""^Sell_""),-ROUNDDOWN(ROUNDUP(INDEX(Upgrades!$C$3:$C$13,MATCH(SUBSTITUTE(Q746,""Sell_"",""""),Upgrades!$B$3:$B$13,0))*1.15^(COUNTIF(Q$4:Q745,SUBSTITUTE(Q746,""Sell_"",""""))-COUNTIF(Q$4:Q745,"&amp;"""Sell_""&amp;SUBSTITUTE(Q746,""Sell_"",""""))))/2),ROUNDUP(INDEX(Upgrades!$C$3:$C$13,MATCH(Q746,Upgrades!$B$3:$B$13,0))*1.15^(COUNTIF(Q$4:Q745,Q746)-COUNTIF(Q$4:Q745,""Sell_""&amp;Q746))))))"),"")</f>
        <v/>
      </c>
      <c r="V746" s="10" t="str">
        <f t="shared" si="11"/>
        <v/>
      </c>
      <c r="W746" s="68" t="str">
        <f t="shared" si="12"/>
        <v/>
      </c>
      <c r="X746" s="59" t="str">
        <f t="shared" si="13"/>
        <v/>
      </c>
      <c r="Y746" s="69" t="str">
        <f t="shared" si="14"/>
        <v/>
      </c>
      <c r="Z746" s="11"/>
      <c r="AG746" s="59"/>
    </row>
    <row r="747">
      <c r="A747" s="8"/>
      <c r="B747" s="56" t="str">
        <f t="shared" si="2"/>
        <v/>
      </c>
      <c r="C747" s="105"/>
      <c r="D747" s="10"/>
      <c r="E747" s="59" t="str">
        <f t="array" ref="E747">IF(COUNTA(C747:C1644)=0,"",SUM((COUNTIF(C$4:C747,Upgrades!$B$3:$B$13)-COUNTIF(C$4:C747,"Sell_"&amp;Upgrades!$B$3:$B$13))*Upgrades!$D$3:$D$13))</f>
        <v/>
      </c>
      <c r="F747" s="66" t="str">
        <f>IFERROR(__xludf.DUMMYFUNCTION("IF(COUNTA(C747:C1644)=0,"""",IF(REGEXMATCH(INDEX(FILTER(C$4:C747,C$4:C747&lt;&gt;""""),ROWS(FILTER(C$4:C747,C$4:C747&lt;&gt;""""))),""^Sell_""),INDEX(FILTER(F$4:F746,C$4:C746&lt;&gt;""""),ROWS(FILTER(C$4:C746,C$4:C746&lt;&gt;""""))),$AC$5+E747))"),"")</f>
        <v/>
      </c>
      <c r="G747" s="10" t="str">
        <f>IFERROR(__xludf.DUMMYFUNCTION("IF(COUNTA(C747:C1644)=0,"""",IF(C747="""",0,IF(REGEXMATCH(C747,""^Sell_""),-ROUNDDOWN(ROUNDUP(INDEX(Upgrades!$C$3:$C$13,MATCH(SUBSTITUTE(C747,""Sell_"",""""),Upgrades!$B$3:$B$13,0))*1.15^(COUNTIF(C$4:C746,SUBSTITUTE(C747,""Sell_"",""""))-COUNTIF(C$4:C746,"&amp;"""Sell_""&amp;SUBSTITUTE(C747,""Sell_"",""""))))/2),ROUNDUP(INDEX(Upgrades!$C$3:$C$13,MATCH(C747,Upgrades!$B$3:$B$13,0))*1.15^(COUNTIF(C$4:C746,C747)-COUNTIF(C$4:C746,""Sell_""&amp;C747))))))"),"")</f>
        <v/>
      </c>
      <c r="H747" s="10" t="str">
        <f t="shared" si="3"/>
        <v/>
      </c>
      <c r="I747" s="68" t="str">
        <f t="shared" si="4"/>
        <v/>
      </c>
      <c r="J747" s="59" t="str">
        <f t="shared" si="5"/>
        <v/>
      </c>
      <c r="K747" s="69" t="str">
        <f t="shared" si="6"/>
        <v/>
      </c>
      <c r="L747" s="60" t="str">
        <f t="shared" si="7"/>
        <v/>
      </c>
      <c r="M747" s="61" t="str">
        <f>IFERROR(__xludf.DUMMYFUNCTION("IFS(AND(COUNTA(C747:C1644)=0,COUNTA(Q747:Q1644)=0),"""",OR(AND(K747&gt;=1000000000,OR(Y747&gt;=1000000000,COUNTA(Q747:Q1644)=0)),OR(Y747&gt;=1000000000,AND(COUNTA(C747:C1644)=0,P$3=TRUE))),
ROUNDDOWN((AB$1-AC$1)*MAX(INDEX(T$4:T1644,MATCH(LARGE(FILTER(Y$4:Y1644,Y$4"&amp;":Y1644&lt;1000000000),1),Y$4:Y1644)),INDEX(F$4:F1644,MATCH(LARGE(FILTER(K$4:K1644,K$4:K1644&lt;1000000000),1),K$4:K1644)))),AND(K747&lt;1000000000,COUNTA(C747:C1644)&gt;0,P$3=FALSE),
ROUNDDOWN(INDEX(Y$4:Y1644,MATCH(LARGE(FILTER(W$4:W1644,W$4:W1644&lt;=I747),1),W$4:W1644"&amp;"))+(I747-LARGE(FILTER(W$4:W1644,W$4:W1644&lt;=I747),1))*INDEX(T$4:T1644,MATCH(LARGE(FILTER(W$4:W1644,W$4:W1644&lt;=I747),1),W$4:W1644))-K747),1,
ROUNDDOWN(Y747-INDEX(K$4:K1644,MATCH(LARGE(FILTER(I$4:I1644,I$4:I1644&lt;=W747),1),I$4:I1644))-(W747-LARGE(FILTER(I$4:I"&amp;"1644,I$4:I1644&lt;=W747),1))*INDEX(F$4:F1644,MATCH(LARGE(FILTER(I$4:I1644,I$4:I1644&lt;=W747),1),I$4:I1644))))"),"")</f>
        <v/>
      </c>
      <c r="N747" s="60" t="str">
        <f t="shared" si="8"/>
        <v/>
      </c>
      <c r="O747" s="61" t="str">
        <f t="shared" si="9"/>
        <v/>
      </c>
      <c r="P747" s="56" t="str">
        <f t="shared" si="10"/>
        <v/>
      </c>
      <c r="Q747" s="105"/>
      <c r="R747" s="10"/>
      <c r="S747" s="59" t="str">
        <f t="array" ref="S747">IF(COUNTA(Q747:Q1644)=0,"",SUM((COUNTIF(Q$4:Q747,Upgrades!$B$3:$B$13)-COUNTIF(Q$4:Q747,"Sell_"&amp;Upgrades!$B$3:$B$13))*Upgrades!$D$3:$D$13))</f>
        <v/>
      </c>
      <c r="T747" s="66" t="str">
        <f>IFERROR(__xludf.DUMMYFUNCTION("IF(COUNTA(Q747:Q1644)=0,"""",IF(REGEXMATCH(INDEX(FILTER(Q$4:Q747,Q$4:Q747&lt;&gt;""""),ROWS(FILTER(Q$4:Q747,Q$4:Q747&lt;&gt;""""))),""^Sell_""),INDEX(FILTER(T$4:T746,Q$4:Q746&lt;&gt;""""),ROWS(FILTER(Q$4:Q746,Q$4:Q746&lt;&gt;""""))),$AD$5+S747))"),"")</f>
        <v/>
      </c>
      <c r="U747" s="10" t="str">
        <f>IFERROR(__xludf.DUMMYFUNCTION("IF(COUNTA(Q747:Q1644)=0,"""",IF(Q747="""",0,IF(REGEXMATCH(Q747,""^Sell_""),-ROUNDDOWN(ROUNDUP(INDEX(Upgrades!$C$3:$C$13,MATCH(SUBSTITUTE(Q747,""Sell_"",""""),Upgrades!$B$3:$B$13,0))*1.15^(COUNTIF(Q$4:Q746,SUBSTITUTE(Q747,""Sell_"",""""))-COUNTIF(Q$4:Q746,"&amp;"""Sell_""&amp;SUBSTITUTE(Q747,""Sell_"",""""))))/2),ROUNDUP(INDEX(Upgrades!$C$3:$C$13,MATCH(Q747,Upgrades!$B$3:$B$13,0))*1.15^(COUNTIF(Q$4:Q746,Q747)-COUNTIF(Q$4:Q746,""Sell_""&amp;Q747))))))"),"")</f>
        <v/>
      </c>
      <c r="V747" s="10" t="str">
        <f t="shared" si="11"/>
        <v/>
      </c>
      <c r="W747" s="68" t="str">
        <f t="shared" si="12"/>
        <v/>
      </c>
      <c r="X747" s="59" t="str">
        <f t="shared" si="13"/>
        <v/>
      </c>
      <c r="Y747" s="69" t="str">
        <f t="shared" si="14"/>
        <v/>
      </c>
      <c r="Z747" s="11"/>
      <c r="AG747" s="59"/>
    </row>
    <row r="748">
      <c r="A748" s="8"/>
      <c r="B748" s="56" t="str">
        <f t="shared" si="2"/>
        <v/>
      </c>
      <c r="C748" s="105"/>
      <c r="D748" s="10"/>
      <c r="E748" s="59" t="str">
        <f t="array" ref="E748">IF(COUNTA(C748:C1644)=0,"",SUM((COUNTIF(C$4:C748,Upgrades!$B$3:$B$13)-COUNTIF(C$4:C748,"Sell_"&amp;Upgrades!$B$3:$B$13))*Upgrades!$D$3:$D$13))</f>
        <v/>
      </c>
      <c r="F748" s="66" t="str">
        <f>IFERROR(__xludf.DUMMYFUNCTION("IF(COUNTA(C748:C1644)=0,"""",IF(REGEXMATCH(INDEX(FILTER(C$4:C748,C$4:C748&lt;&gt;""""),ROWS(FILTER(C$4:C748,C$4:C748&lt;&gt;""""))),""^Sell_""),INDEX(FILTER(F$4:F747,C$4:C747&lt;&gt;""""),ROWS(FILTER(C$4:C747,C$4:C747&lt;&gt;""""))),$AC$5+E748))"),"")</f>
        <v/>
      </c>
      <c r="G748" s="10" t="str">
        <f>IFERROR(__xludf.DUMMYFUNCTION("IF(COUNTA(C748:C1644)=0,"""",IF(C748="""",0,IF(REGEXMATCH(C748,""^Sell_""),-ROUNDDOWN(ROUNDUP(INDEX(Upgrades!$C$3:$C$13,MATCH(SUBSTITUTE(C748,""Sell_"",""""),Upgrades!$B$3:$B$13,0))*1.15^(COUNTIF(C$4:C747,SUBSTITUTE(C748,""Sell_"",""""))-COUNTIF(C$4:C747,"&amp;"""Sell_""&amp;SUBSTITUTE(C748,""Sell_"",""""))))/2),ROUNDUP(INDEX(Upgrades!$C$3:$C$13,MATCH(C748,Upgrades!$B$3:$B$13,0))*1.15^(COUNTIF(C$4:C747,C748)-COUNTIF(C$4:C747,""Sell_""&amp;C748))))))"),"")</f>
        <v/>
      </c>
      <c r="H748" s="10" t="str">
        <f t="shared" si="3"/>
        <v/>
      </c>
      <c r="I748" s="68" t="str">
        <f t="shared" si="4"/>
        <v/>
      </c>
      <c r="J748" s="59" t="str">
        <f t="shared" si="5"/>
        <v/>
      </c>
      <c r="K748" s="69" t="str">
        <f t="shared" si="6"/>
        <v/>
      </c>
      <c r="L748" s="60" t="str">
        <f t="shared" si="7"/>
        <v/>
      </c>
      <c r="M748" s="61" t="str">
        <f>IFERROR(__xludf.DUMMYFUNCTION("IFS(AND(COUNTA(C748:C1644)=0,COUNTA(Q748:Q1644)=0),"""",OR(AND(K748&gt;=1000000000,OR(Y748&gt;=1000000000,COUNTA(Q748:Q1644)=0)),OR(Y748&gt;=1000000000,AND(COUNTA(C748:C1644)=0,P$3=TRUE))),
ROUNDDOWN((AB$1-AC$1)*MAX(INDEX(T$4:T1644,MATCH(LARGE(FILTER(Y$4:Y1644,Y$4"&amp;":Y1644&lt;1000000000),1),Y$4:Y1644)),INDEX(F$4:F1644,MATCH(LARGE(FILTER(K$4:K1644,K$4:K1644&lt;1000000000),1),K$4:K1644)))),AND(K748&lt;1000000000,COUNTA(C748:C1644)&gt;0,P$3=FALSE),
ROUNDDOWN(INDEX(Y$4:Y1644,MATCH(LARGE(FILTER(W$4:W1644,W$4:W1644&lt;=I748),1),W$4:W1644"&amp;"))+(I748-LARGE(FILTER(W$4:W1644,W$4:W1644&lt;=I748),1))*INDEX(T$4:T1644,MATCH(LARGE(FILTER(W$4:W1644,W$4:W1644&lt;=I748),1),W$4:W1644))-K748),1,
ROUNDDOWN(Y748-INDEX(K$4:K1644,MATCH(LARGE(FILTER(I$4:I1644,I$4:I1644&lt;=W748),1),I$4:I1644))-(W748-LARGE(FILTER(I$4:I"&amp;"1644,I$4:I1644&lt;=W748),1))*INDEX(F$4:F1644,MATCH(LARGE(FILTER(I$4:I1644,I$4:I1644&lt;=W748),1),I$4:I1644))))"),"")</f>
        <v/>
      </c>
      <c r="N748" s="60" t="str">
        <f t="shared" si="8"/>
        <v/>
      </c>
      <c r="O748" s="61" t="str">
        <f t="shared" si="9"/>
        <v/>
      </c>
      <c r="P748" s="56" t="str">
        <f t="shared" si="10"/>
        <v/>
      </c>
      <c r="Q748" s="105"/>
      <c r="R748" s="10"/>
      <c r="S748" s="59" t="str">
        <f t="array" ref="S748">IF(COUNTA(Q748:Q1644)=0,"",SUM((COUNTIF(Q$4:Q748,Upgrades!$B$3:$B$13)-COUNTIF(Q$4:Q748,"Sell_"&amp;Upgrades!$B$3:$B$13))*Upgrades!$D$3:$D$13))</f>
        <v/>
      </c>
      <c r="T748" s="66" t="str">
        <f>IFERROR(__xludf.DUMMYFUNCTION("IF(COUNTA(Q748:Q1644)=0,"""",IF(REGEXMATCH(INDEX(FILTER(Q$4:Q748,Q$4:Q748&lt;&gt;""""),ROWS(FILTER(Q$4:Q748,Q$4:Q748&lt;&gt;""""))),""^Sell_""),INDEX(FILTER(T$4:T747,Q$4:Q747&lt;&gt;""""),ROWS(FILTER(Q$4:Q747,Q$4:Q747&lt;&gt;""""))),$AD$5+S748))"),"")</f>
        <v/>
      </c>
      <c r="U748" s="10" t="str">
        <f>IFERROR(__xludf.DUMMYFUNCTION("IF(COUNTA(Q748:Q1644)=0,"""",IF(Q748="""",0,IF(REGEXMATCH(Q748,""^Sell_""),-ROUNDDOWN(ROUNDUP(INDEX(Upgrades!$C$3:$C$13,MATCH(SUBSTITUTE(Q748,""Sell_"",""""),Upgrades!$B$3:$B$13,0))*1.15^(COUNTIF(Q$4:Q747,SUBSTITUTE(Q748,""Sell_"",""""))-COUNTIF(Q$4:Q747,"&amp;"""Sell_""&amp;SUBSTITUTE(Q748,""Sell_"",""""))))/2),ROUNDUP(INDEX(Upgrades!$C$3:$C$13,MATCH(Q748,Upgrades!$B$3:$B$13,0))*1.15^(COUNTIF(Q$4:Q747,Q748)-COUNTIF(Q$4:Q747,""Sell_""&amp;Q748))))))"),"")</f>
        <v/>
      </c>
      <c r="V748" s="10" t="str">
        <f t="shared" si="11"/>
        <v/>
      </c>
      <c r="W748" s="68" t="str">
        <f t="shared" si="12"/>
        <v/>
      </c>
      <c r="X748" s="59" t="str">
        <f t="shared" si="13"/>
        <v/>
      </c>
      <c r="Y748" s="69" t="str">
        <f t="shared" si="14"/>
        <v/>
      </c>
      <c r="Z748" s="11"/>
      <c r="AG748" s="59"/>
    </row>
    <row r="749">
      <c r="A749" s="8"/>
      <c r="B749" s="56" t="str">
        <f t="shared" si="2"/>
        <v/>
      </c>
      <c r="C749" s="105"/>
      <c r="D749" s="10"/>
      <c r="E749" s="59" t="str">
        <f t="array" ref="E749">IF(COUNTA(C749:C1644)=0,"",SUM((COUNTIF(C$4:C749,Upgrades!$B$3:$B$13)-COUNTIF(C$4:C749,"Sell_"&amp;Upgrades!$B$3:$B$13))*Upgrades!$D$3:$D$13))</f>
        <v/>
      </c>
      <c r="F749" s="66" t="str">
        <f>IFERROR(__xludf.DUMMYFUNCTION("IF(COUNTA(C749:C1644)=0,"""",IF(REGEXMATCH(INDEX(FILTER(C$4:C749,C$4:C749&lt;&gt;""""),ROWS(FILTER(C$4:C749,C$4:C749&lt;&gt;""""))),""^Sell_""),INDEX(FILTER(F$4:F748,C$4:C748&lt;&gt;""""),ROWS(FILTER(C$4:C748,C$4:C748&lt;&gt;""""))),$AC$5+E749))"),"")</f>
        <v/>
      </c>
      <c r="G749" s="10" t="str">
        <f>IFERROR(__xludf.DUMMYFUNCTION("IF(COUNTA(C749:C1644)=0,"""",IF(C749="""",0,IF(REGEXMATCH(C749,""^Sell_""),-ROUNDDOWN(ROUNDUP(INDEX(Upgrades!$C$3:$C$13,MATCH(SUBSTITUTE(C749,""Sell_"",""""),Upgrades!$B$3:$B$13,0))*1.15^(COUNTIF(C$4:C748,SUBSTITUTE(C749,""Sell_"",""""))-COUNTIF(C$4:C748,"&amp;"""Sell_""&amp;SUBSTITUTE(C749,""Sell_"",""""))))/2),ROUNDUP(INDEX(Upgrades!$C$3:$C$13,MATCH(C749,Upgrades!$B$3:$B$13,0))*1.15^(COUNTIF(C$4:C748,C749)-COUNTIF(C$4:C748,""Sell_""&amp;C749))))))"),"")</f>
        <v/>
      </c>
      <c r="H749" s="10" t="str">
        <f t="shared" si="3"/>
        <v/>
      </c>
      <c r="I749" s="68" t="str">
        <f t="shared" si="4"/>
        <v/>
      </c>
      <c r="J749" s="59" t="str">
        <f t="shared" si="5"/>
        <v/>
      </c>
      <c r="K749" s="69" t="str">
        <f t="shared" si="6"/>
        <v/>
      </c>
      <c r="L749" s="60" t="str">
        <f t="shared" si="7"/>
        <v/>
      </c>
      <c r="M749" s="61" t="str">
        <f>IFERROR(__xludf.DUMMYFUNCTION("IFS(AND(COUNTA(C749:C1644)=0,COUNTA(Q749:Q1644)=0),"""",OR(AND(K749&gt;=1000000000,OR(Y749&gt;=1000000000,COUNTA(Q749:Q1644)=0)),OR(Y749&gt;=1000000000,AND(COUNTA(C749:C1644)=0,P$3=TRUE))),
ROUNDDOWN((AB$1-AC$1)*MAX(INDEX(T$4:T1644,MATCH(LARGE(FILTER(Y$4:Y1644,Y$4"&amp;":Y1644&lt;1000000000),1),Y$4:Y1644)),INDEX(F$4:F1644,MATCH(LARGE(FILTER(K$4:K1644,K$4:K1644&lt;1000000000),1),K$4:K1644)))),AND(K749&lt;1000000000,COUNTA(C749:C1644)&gt;0,P$3=FALSE),
ROUNDDOWN(INDEX(Y$4:Y1644,MATCH(LARGE(FILTER(W$4:W1644,W$4:W1644&lt;=I749),1),W$4:W1644"&amp;"))+(I749-LARGE(FILTER(W$4:W1644,W$4:W1644&lt;=I749),1))*INDEX(T$4:T1644,MATCH(LARGE(FILTER(W$4:W1644,W$4:W1644&lt;=I749),1),W$4:W1644))-K749),1,
ROUNDDOWN(Y749-INDEX(K$4:K1644,MATCH(LARGE(FILTER(I$4:I1644,I$4:I1644&lt;=W749),1),I$4:I1644))-(W749-LARGE(FILTER(I$4:I"&amp;"1644,I$4:I1644&lt;=W749),1))*INDEX(F$4:F1644,MATCH(LARGE(FILTER(I$4:I1644,I$4:I1644&lt;=W749),1),I$4:I1644))))"),"")</f>
        <v/>
      </c>
      <c r="N749" s="60" t="str">
        <f t="shared" si="8"/>
        <v/>
      </c>
      <c r="O749" s="61" t="str">
        <f t="shared" si="9"/>
        <v/>
      </c>
      <c r="P749" s="56" t="str">
        <f t="shared" si="10"/>
        <v/>
      </c>
      <c r="Q749" s="105"/>
      <c r="R749" s="10"/>
      <c r="S749" s="59" t="str">
        <f t="array" ref="S749">IF(COUNTA(Q749:Q1644)=0,"",SUM((COUNTIF(Q$4:Q749,Upgrades!$B$3:$B$13)-COUNTIF(Q$4:Q749,"Sell_"&amp;Upgrades!$B$3:$B$13))*Upgrades!$D$3:$D$13))</f>
        <v/>
      </c>
      <c r="T749" s="66" t="str">
        <f>IFERROR(__xludf.DUMMYFUNCTION("IF(COUNTA(Q749:Q1644)=0,"""",IF(REGEXMATCH(INDEX(FILTER(Q$4:Q749,Q$4:Q749&lt;&gt;""""),ROWS(FILTER(Q$4:Q749,Q$4:Q749&lt;&gt;""""))),""^Sell_""),INDEX(FILTER(T$4:T748,Q$4:Q748&lt;&gt;""""),ROWS(FILTER(Q$4:Q748,Q$4:Q748&lt;&gt;""""))),$AD$5+S749))"),"")</f>
        <v/>
      </c>
      <c r="U749" s="10" t="str">
        <f>IFERROR(__xludf.DUMMYFUNCTION("IF(COUNTA(Q749:Q1644)=0,"""",IF(Q749="""",0,IF(REGEXMATCH(Q749,""^Sell_""),-ROUNDDOWN(ROUNDUP(INDEX(Upgrades!$C$3:$C$13,MATCH(SUBSTITUTE(Q749,""Sell_"",""""),Upgrades!$B$3:$B$13,0))*1.15^(COUNTIF(Q$4:Q748,SUBSTITUTE(Q749,""Sell_"",""""))-COUNTIF(Q$4:Q748,"&amp;"""Sell_""&amp;SUBSTITUTE(Q749,""Sell_"",""""))))/2),ROUNDUP(INDEX(Upgrades!$C$3:$C$13,MATCH(Q749,Upgrades!$B$3:$B$13,0))*1.15^(COUNTIF(Q$4:Q748,Q749)-COUNTIF(Q$4:Q748,""Sell_""&amp;Q749))))))"),"")</f>
        <v/>
      </c>
      <c r="V749" s="10" t="str">
        <f t="shared" si="11"/>
        <v/>
      </c>
      <c r="W749" s="68" t="str">
        <f t="shared" si="12"/>
        <v/>
      </c>
      <c r="X749" s="59" t="str">
        <f t="shared" si="13"/>
        <v/>
      </c>
      <c r="Y749" s="69" t="str">
        <f t="shared" si="14"/>
        <v/>
      </c>
      <c r="Z749" s="11"/>
      <c r="AG749" s="59"/>
    </row>
    <row r="750">
      <c r="A750" s="8"/>
      <c r="B750" s="56" t="str">
        <f t="shared" si="2"/>
        <v/>
      </c>
      <c r="C750" s="105"/>
      <c r="D750" s="10"/>
      <c r="E750" s="59" t="str">
        <f t="array" ref="E750">IF(COUNTA(C750:C1644)=0,"",SUM((COUNTIF(C$4:C750,Upgrades!$B$3:$B$13)-COUNTIF(C$4:C750,"Sell_"&amp;Upgrades!$B$3:$B$13))*Upgrades!$D$3:$D$13))</f>
        <v/>
      </c>
      <c r="F750" s="66" t="str">
        <f>IFERROR(__xludf.DUMMYFUNCTION("IF(COUNTA(C750:C1644)=0,"""",IF(REGEXMATCH(INDEX(FILTER(C$4:C750,C$4:C750&lt;&gt;""""),ROWS(FILTER(C$4:C750,C$4:C750&lt;&gt;""""))),""^Sell_""),INDEX(FILTER(F$4:F749,C$4:C749&lt;&gt;""""),ROWS(FILTER(C$4:C749,C$4:C749&lt;&gt;""""))),$AC$5+E750))"),"")</f>
        <v/>
      </c>
      <c r="G750" s="10" t="str">
        <f>IFERROR(__xludf.DUMMYFUNCTION("IF(COUNTA(C750:C1644)=0,"""",IF(C750="""",0,IF(REGEXMATCH(C750,""^Sell_""),-ROUNDDOWN(ROUNDUP(INDEX(Upgrades!$C$3:$C$13,MATCH(SUBSTITUTE(C750,""Sell_"",""""),Upgrades!$B$3:$B$13,0))*1.15^(COUNTIF(C$4:C749,SUBSTITUTE(C750,""Sell_"",""""))-COUNTIF(C$4:C749,"&amp;"""Sell_""&amp;SUBSTITUTE(C750,""Sell_"",""""))))/2),ROUNDUP(INDEX(Upgrades!$C$3:$C$13,MATCH(C750,Upgrades!$B$3:$B$13,0))*1.15^(COUNTIF(C$4:C749,C750)-COUNTIF(C$4:C749,""Sell_""&amp;C750))))))"),"")</f>
        <v/>
      </c>
      <c r="H750" s="10" t="str">
        <f t="shared" si="3"/>
        <v/>
      </c>
      <c r="I750" s="68" t="str">
        <f t="shared" si="4"/>
        <v/>
      </c>
      <c r="J750" s="59" t="str">
        <f t="shared" si="5"/>
        <v/>
      </c>
      <c r="K750" s="69" t="str">
        <f t="shared" si="6"/>
        <v/>
      </c>
      <c r="L750" s="60" t="str">
        <f t="shared" si="7"/>
        <v/>
      </c>
      <c r="M750" s="61" t="str">
        <f>IFERROR(__xludf.DUMMYFUNCTION("IFS(AND(COUNTA(C750:C1644)=0,COUNTA(Q750:Q1644)=0),"""",OR(AND(K750&gt;=1000000000,OR(Y750&gt;=1000000000,COUNTA(Q750:Q1644)=0)),OR(Y750&gt;=1000000000,AND(COUNTA(C750:C1644)=0,P$3=TRUE))),
ROUNDDOWN((AB$1-AC$1)*MAX(INDEX(T$4:T1644,MATCH(LARGE(FILTER(Y$4:Y1644,Y$4"&amp;":Y1644&lt;1000000000),1),Y$4:Y1644)),INDEX(F$4:F1644,MATCH(LARGE(FILTER(K$4:K1644,K$4:K1644&lt;1000000000),1),K$4:K1644)))),AND(K750&lt;1000000000,COUNTA(C750:C1644)&gt;0,P$3=FALSE),
ROUNDDOWN(INDEX(Y$4:Y1644,MATCH(LARGE(FILTER(W$4:W1644,W$4:W1644&lt;=I750),1),W$4:W1644"&amp;"))+(I750-LARGE(FILTER(W$4:W1644,W$4:W1644&lt;=I750),1))*INDEX(T$4:T1644,MATCH(LARGE(FILTER(W$4:W1644,W$4:W1644&lt;=I750),1),W$4:W1644))-K750),1,
ROUNDDOWN(Y750-INDEX(K$4:K1644,MATCH(LARGE(FILTER(I$4:I1644,I$4:I1644&lt;=W750),1),I$4:I1644))-(W750-LARGE(FILTER(I$4:I"&amp;"1644,I$4:I1644&lt;=W750),1))*INDEX(F$4:F1644,MATCH(LARGE(FILTER(I$4:I1644,I$4:I1644&lt;=W750),1),I$4:I1644))))"),"")</f>
        <v/>
      </c>
      <c r="N750" s="60" t="str">
        <f t="shared" si="8"/>
        <v/>
      </c>
      <c r="O750" s="61" t="str">
        <f t="shared" si="9"/>
        <v/>
      </c>
      <c r="P750" s="56" t="str">
        <f t="shared" si="10"/>
        <v/>
      </c>
      <c r="Q750" s="105"/>
      <c r="R750" s="10"/>
      <c r="S750" s="59" t="str">
        <f t="array" ref="S750">IF(COUNTA(Q750:Q1644)=0,"",SUM((COUNTIF(Q$4:Q750,Upgrades!$B$3:$B$13)-COUNTIF(Q$4:Q750,"Sell_"&amp;Upgrades!$B$3:$B$13))*Upgrades!$D$3:$D$13))</f>
        <v/>
      </c>
      <c r="T750" s="66" t="str">
        <f>IFERROR(__xludf.DUMMYFUNCTION("IF(COUNTA(Q750:Q1644)=0,"""",IF(REGEXMATCH(INDEX(FILTER(Q$4:Q750,Q$4:Q750&lt;&gt;""""),ROWS(FILTER(Q$4:Q750,Q$4:Q750&lt;&gt;""""))),""^Sell_""),INDEX(FILTER(T$4:T749,Q$4:Q749&lt;&gt;""""),ROWS(FILTER(Q$4:Q749,Q$4:Q749&lt;&gt;""""))),$AD$5+S750))"),"")</f>
        <v/>
      </c>
      <c r="U750" s="10" t="str">
        <f>IFERROR(__xludf.DUMMYFUNCTION("IF(COUNTA(Q750:Q1644)=0,"""",IF(Q750="""",0,IF(REGEXMATCH(Q750,""^Sell_""),-ROUNDDOWN(ROUNDUP(INDEX(Upgrades!$C$3:$C$13,MATCH(SUBSTITUTE(Q750,""Sell_"",""""),Upgrades!$B$3:$B$13,0))*1.15^(COUNTIF(Q$4:Q749,SUBSTITUTE(Q750,""Sell_"",""""))-COUNTIF(Q$4:Q749,"&amp;"""Sell_""&amp;SUBSTITUTE(Q750,""Sell_"",""""))))/2),ROUNDUP(INDEX(Upgrades!$C$3:$C$13,MATCH(Q750,Upgrades!$B$3:$B$13,0))*1.15^(COUNTIF(Q$4:Q749,Q750)-COUNTIF(Q$4:Q749,""Sell_""&amp;Q750))))))"),"")</f>
        <v/>
      </c>
      <c r="V750" s="10" t="str">
        <f t="shared" si="11"/>
        <v/>
      </c>
      <c r="W750" s="68" t="str">
        <f t="shared" si="12"/>
        <v/>
      </c>
      <c r="X750" s="59" t="str">
        <f t="shared" si="13"/>
        <v/>
      </c>
      <c r="Y750" s="69" t="str">
        <f t="shared" si="14"/>
        <v/>
      </c>
      <c r="Z750" s="11"/>
      <c r="AG750" s="59"/>
    </row>
    <row r="751">
      <c r="A751" s="8"/>
      <c r="B751" s="56" t="str">
        <f t="shared" si="2"/>
        <v/>
      </c>
      <c r="C751" s="105"/>
      <c r="D751" s="10"/>
      <c r="E751" s="59" t="str">
        <f t="array" ref="E751">IF(COUNTA(C751:C1644)=0,"",SUM((COUNTIF(C$4:C751,Upgrades!$B$3:$B$13)-COUNTIF(C$4:C751,"Sell_"&amp;Upgrades!$B$3:$B$13))*Upgrades!$D$3:$D$13))</f>
        <v/>
      </c>
      <c r="F751" s="66" t="str">
        <f>IFERROR(__xludf.DUMMYFUNCTION("IF(COUNTA(C751:C1644)=0,"""",IF(REGEXMATCH(INDEX(FILTER(C$4:C751,C$4:C751&lt;&gt;""""),ROWS(FILTER(C$4:C751,C$4:C751&lt;&gt;""""))),""^Sell_""),INDEX(FILTER(F$4:F750,C$4:C750&lt;&gt;""""),ROWS(FILTER(C$4:C750,C$4:C750&lt;&gt;""""))),$AC$5+E751))"),"")</f>
        <v/>
      </c>
      <c r="G751" s="10" t="str">
        <f>IFERROR(__xludf.DUMMYFUNCTION("IF(COUNTA(C751:C1644)=0,"""",IF(C751="""",0,IF(REGEXMATCH(C751,""^Sell_""),-ROUNDDOWN(ROUNDUP(INDEX(Upgrades!$C$3:$C$13,MATCH(SUBSTITUTE(C751,""Sell_"",""""),Upgrades!$B$3:$B$13,0))*1.15^(COUNTIF(C$4:C750,SUBSTITUTE(C751,""Sell_"",""""))-COUNTIF(C$4:C750,"&amp;"""Sell_""&amp;SUBSTITUTE(C751,""Sell_"",""""))))/2),ROUNDUP(INDEX(Upgrades!$C$3:$C$13,MATCH(C751,Upgrades!$B$3:$B$13,0))*1.15^(COUNTIF(C$4:C750,C751)-COUNTIF(C$4:C750,""Sell_""&amp;C751))))))"),"")</f>
        <v/>
      </c>
      <c r="H751" s="10" t="str">
        <f t="shared" si="3"/>
        <v/>
      </c>
      <c r="I751" s="68" t="str">
        <f t="shared" si="4"/>
        <v/>
      </c>
      <c r="J751" s="59" t="str">
        <f t="shared" si="5"/>
        <v/>
      </c>
      <c r="K751" s="69" t="str">
        <f t="shared" si="6"/>
        <v/>
      </c>
      <c r="L751" s="60" t="str">
        <f t="shared" si="7"/>
        <v/>
      </c>
      <c r="M751" s="61" t="str">
        <f>IFERROR(__xludf.DUMMYFUNCTION("IFS(AND(COUNTA(C751:C1644)=0,COUNTA(Q751:Q1644)=0),"""",OR(AND(K751&gt;=1000000000,OR(Y751&gt;=1000000000,COUNTA(Q751:Q1644)=0)),OR(Y751&gt;=1000000000,AND(COUNTA(C751:C1644)=0,P$3=TRUE))),
ROUNDDOWN((AB$1-AC$1)*MAX(INDEX(T$4:T1644,MATCH(LARGE(FILTER(Y$4:Y1644,Y$4"&amp;":Y1644&lt;1000000000),1),Y$4:Y1644)),INDEX(F$4:F1644,MATCH(LARGE(FILTER(K$4:K1644,K$4:K1644&lt;1000000000),1),K$4:K1644)))),AND(K751&lt;1000000000,COUNTA(C751:C1644)&gt;0,P$3=FALSE),
ROUNDDOWN(INDEX(Y$4:Y1644,MATCH(LARGE(FILTER(W$4:W1644,W$4:W1644&lt;=I751),1),W$4:W1644"&amp;"))+(I751-LARGE(FILTER(W$4:W1644,W$4:W1644&lt;=I751),1))*INDEX(T$4:T1644,MATCH(LARGE(FILTER(W$4:W1644,W$4:W1644&lt;=I751),1),W$4:W1644))-K751),1,
ROUNDDOWN(Y751-INDEX(K$4:K1644,MATCH(LARGE(FILTER(I$4:I1644,I$4:I1644&lt;=W751),1),I$4:I1644))-(W751-LARGE(FILTER(I$4:I"&amp;"1644,I$4:I1644&lt;=W751),1))*INDEX(F$4:F1644,MATCH(LARGE(FILTER(I$4:I1644,I$4:I1644&lt;=W751),1),I$4:I1644))))"),"")</f>
        <v/>
      </c>
      <c r="N751" s="60" t="str">
        <f t="shared" si="8"/>
        <v/>
      </c>
      <c r="O751" s="61" t="str">
        <f t="shared" si="9"/>
        <v/>
      </c>
      <c r="P751" s="56" t="str">
        <f t="shared" si="10"/>
        <v/>
      </c>
      <c r="Q751" s="105"/>
      <c r="R751" s="10"/>
      <c r="S751" s="59" t="str">
        <f t="array" ref="S751">IF(COUNTA(Q751:Q1644)=0,"",SUM((COUNTIF(Q$4:Q751,Upgrades!$B$3:$B$13)-COUNTIF(Q$4:Q751,"Sell_"&amp;Upgrades!$B$3:$B$13))*Upgrades!$D$3:$D$13))</f>
        <v/>
      </c>
      <c r="T751" s="66" t="str">
        <f>IFERROR(__xludf.DUMMYFUNCTION("IF(COUNTA(Q751:Q1644)=0,"""",IF(REGEXMATCH(INDEX(FILTER(Q$4:Q751,Q$4:Q751&lt;&gt;""""),ROWS(FILTER(Q$4:Q751,Q$4:Q751&lt;&gt;""""))),""^Sell_""),INDEX(FILTER(T$4:T750,Q$4:Q750&lt;&gt;""""),ROWS(FILTER(Q$4:Q750,Q$4:Q750&lt;&gt;""""))),$AD$5+S751))"),"")</f>
        <v/>
      </c>
      <c r="U751" s="10" t="str">
        <f>IFERROR(__xludf.DUMMYFUNCTION("IF(COUNTA(Q751:Q1644)=0,"""",IF(Q751="""",0,IF(REGEXMATCH(Q751,""^Sell_""),-ROUNDDOWN(ROUNDUP(INDEX(Upgrades!$C$3:$C$13,MATCH(SUBSTITUTE(Q751,""Sell_"",""""),Upgrades!$B$3:$B$13,0))*1.15^(COUNTIF(Q$4:Q750,SUBSTITUTE(Q751,""Sell_"",""""))-COUNTIF(Q$4:Q750,"&amp;"""Sell_""&amp;SUBSTITUTE(Q751,""Sell_"",""""))))/2),ROUNDUP(INDEX(Upgrades!$C$3:$C$13,MATCH(Q751,Upgrades!$B$3:$B$13,0))*1.15^(COUNTIF(Q$4:Q750,Q751)-COUNTIF(Q$4:Q750,""Sell_""&amp;Q751))))))"),"")</f>
        <v/>
      </c>
      <c r="V751" s="10" t="str">
        <f t="shared" si="11"/>
        <v/>
      </c>
      <c r="W751" s="68" t="str">
        <f t="shared" si="12"/>
        <v/>
      </c>
      <c r="X751" s="59" t="str">
        <f t="shared" si="13"/>
        <v/>
      </c>
      <c r="Y751" s="69" t="str">
        <f t="shared" si="14"/>
        <v/>
      </c>
      <c r="Z751" s="11"/>
      <c r="AG751" s="59"/>
    </row>
    <row r="752">
      <c r="A752" s="8"/>
      <c r="B752" s="56" t="str">
        <f t="shared" si="2"/>
        <v/>
      </c>
      <c r="C752" s="105"/>
      <c r="D752" s="10"/>
      <c r="E752" s="59" t="str">
        <f t="array" ref="E752">IF(COUNTA(C752:C1644)=0,"",SUM((COUNTIF(C$4:C752,Upgrades!$B$3:$B$13)-COUNTIF(C$4:C752,"Sell_"&amp;Upgrades!$B$3:$B$13))*Upgrades!$D$3:$D$13))</f>
        <v/>
      </c>
      <c r="F752" s="66" t="str">
        <f>IFERROR(__xludf.DUMMYFUNCTION("IF(COUNTA(C752:C1644)=0,"""",IF(REGEXMATCH(INDEX(FILTER(C$4:C752,C$4:C752&lt;&gt;""""),ROWS(FILTER(C$4:C752,C$4:C752&lt;&gt;""""))),""^Sell_""),INDEX(FILTER(F$4:F751,C$4:C751&lt;&gt;""""),ROWS(FILTER(C$4:C751,C$4:C751&lt;&gt;""""))),$AC$5+E752))"),"")</f>
        <v/>
      </c>
      <c r="G752" s="10" t="str">
        <f>IFERROR(__xludf.DUMMYFUNCTION("IF(COUNTA(C752:C1644)=0,"""",IF(C752="""",0,IF(REGEXMATCH(C752,""^Sell_""),-ROUNDDOWN(ROUNDUP(INDEX(Upgrades!$C$3:$C$13,MATCH(SUBSTITUTE(C752,""Sell_"",""""),Upgrades!$B$3:$B$13,0))*1.15^(COUNTIF(C$4:C751,SUBSTITUTE(C752,""Sell_"",""""))-COUNTIF(C$4:C751,"&amp;"""Sell_""&amp;SUBSTITUTE(C752,""Sell_"",""""))))/2),ROUNDUP(INDEX(Upgrades!$C$3:$C$13,MATCH(C752,Upgrades!$B$3:$B$13,0))*1.15^(COUNTIF(C$4:C751,C752)-COUNTIF(C$4:C751,""Sell_""&amp;C752))))))"),"")</f>
        <v/>
      </c>
      <c r="H752" s="10" t="str">
        <f t="shared" si="3"/>
        <v/>
      </c>
      <c r="I752" s="68" t="str">
        <f t="shared" si="4"/>
        <v/>
      </c>
      <c r="J752" s="59" t="str">
        <f t="shared" si="5"/>
        <v/>
      </c>
      <c r="K752" s="69" t="str">
        <f t="shared" si="6"/>
        <v/>
      </c>
      <c r="L752" s="60" t="str">
        <f t="shared" si="7"/>
        <v/>
      </c>
      <c r="M752" s="61" t="str">
        <f>IFERROR(__xludf.DUMMYFUNCTION("IFS(AND(COUNTA(C752:C1644)=0,COUNTA(Q752:Q1644)=0),"""",OR(AND(K752&gt;=1000000000,OR(Y752&gt;=1000000000,COUNTA(Q752:Q1644)=0)),OR(Y752&gt;=1000000000,AND(COUNTA(C752:C1644)=0,P$3=TRUE))),
ROUNDDOWN((AB$1-AC$1)*MAX(INDEX(T$4:T1644,MATCH(LARGE(FILTER(Y$4:Y1644,Y$4"&amp;":Y1644&lt;1000000000),1),Y$4:Y1644)),INDEX(F$4:F1644,MATCH(LARGE(FILTER(K$4:K1644,K$4:K1644&lt;1000000000),1),K$4:K1644)))),AND(K752&lt;1000000000,COUNTA(C752:C1644)&gt;0,P$3=FALSE),
ROUNDDOWN(INDEX(Y$4:Y1644,MATCH(LARGE(FILTER(W$4:W1644,W$4:W1644&lt;=I752),1),W$4:W1644"&amp;"))+(I752-LARGE(FILTER(W$4:W1644,W$4:W1644&lt;=I752),1))*INDEX(T$4:T1644,MATCH(LARGE(FILTER(W$4:W1644,W$4:W1644&lt;=I752),1),W$4:W1644))-K752),1,
ROUNDDOWN(Y752-INDEX(K$4:K1644,MATCH(LARGE(FILTER(I$4:I1644,I$4:I1644&lt;=W752),1),I$4:I1644))-(W752-LARGE(FILTER(I$4:I"&amp;"1644,I$4:I1644&lt;=W752),1))*INDEX(F$4:F1644,MATCH(LARGE(FILTER(I$4:I1644,I$4:I1644&lt;=W752),1),I$4:I1644))))"),"")</f>
        <v/>
      </c>
      <c r="N752" s="60" t="str">
        <f t="shared" si="8"/>
        <v/>
      </c>
      <c r="O752" s="61" t="str">
        <f t="shared" si="9"/>
        <v/>
      </c>
      <c r="P752" s="56" t="str">
        <f t="shared" si="10"/>
        <v/>
      </c>
      <c r="Q752" s="105"/>
      <c r="R752" s="10"/>
      <c r="S752" s="59" t="str">
        <f t="array" ref="S752">IF(COUNTA(Q752:Q1644)=0,"",SUM((COUNTIF(Q$4:Q752,Upgrades!$B$3:$B$13)-COUNTIF(Q$4:Q752,"Sell_"&amp;Upgrades!$B$3:$B$13))*Upgrades!$D$3:$D$13))</f>
        <v/>
      </c>
      <c r="T752" s="66" t="str">
        <f>IFERROR(__xludf.DUMMYFUNCTION("IF(COUNTA(Q752:Q1644)=0,"""",IF(REGEXMATCH(INDEX(FILTER(Q$4:Q752,Q$4:Q752&lt;&gt;""""),ROWS(FILTER(Q$4:Q752,Q$4:Q752&lt;&gt;""""))),""^Sell_""),INDEX(FILTER(T$4:T751,Q$4:Q751&lt;&gt;""""),ROWS(FILTER(Q$4:Q751,Q$4:Q751&lt;&gt;""""))),$AD$5+S752))"),"")</f>
        <v/>
      </c>
      <c r="U752" s="10" t="str">
        <f>IFERROR(__xludf.DUMMYFUNCTION("IF(COUNTA(Q752:Q1644)=0,"""",IF(Q752="""",0,IF(REGEXMATCH(Q752,""^Sell_""),-ROUNDDOWN(ROUNDUP(INDEX(Upgrades!$C$3:$C$13,MATCH(SUBSTITUTE(Q752,""Sell_"",""""),Upgrades!$B$3:$B$13,0))*1.15^(COUNTIF(Q$4:Q751,SUBSTITUTE(Q752,""Sell_"",""""))-COUNTIF(Q$4:Q751,"&amp;"""Sell_""&amp;SUBSTITUTE(Q752,""Sell_"",""""))))/2),ROUNDUP(INDEX(Upgrades!$C$3:$C$13,MATCH(Q752,Upgrades!$B$3:$B$13,0))*1.15^(COUNTIF(Q$4:Q751,Q752)-COUNTIF(Q$4:Q751,""Sell_""&amp;Q752))))))"),"")</f>
        <v/>
      </c>
      <c r="V752" s="10" t="str">
        <f t="shared" si="11"/>
        <v/>
      </c>
      <c r="W752" s="68" t="str">
        <f t="shared" si="12"/>
        <v/>
      </c>
      <c r="X752" s="59" t="str">
        <f t="shared" si="13"/>
        <v/>
      </c>
      <c r="Y752" s="69" t="str">
        <f t="shared" si="14"/>
        <v/>
      </c>
      <c r="Z752" s="11"/>
      <c r="AG752" s="59"/>
    </row>
    <row r="753">
      <c r="A753" s="8"/>
      <c r="B753" s="56" t="str">
        <f t="shared" si="2"/>
        <v/>
      </c>
      <c r="C753" s="105"/>
      <c r="D753" s="10"/>
      <c r="E753" s="59" t="str">
        <f t="array" ref="E753">IF(COUNTA(C753:C1644)=0,"",SUM((COUNTIF(C$4:C753,Upgrades!$B$3:$B$13)-COUNTIF(C$4:C753,"Sell_"&amp;Upgrades!$B$3:$B$13))*Upgrades!$D$3:$D$13))</f>
        <v/>
      </c>
      <c r="F753" s="66" t="str">
        <f>IFERROR(__xludf.DUMMYFUNCTION("IF(COUNTA(C753:C1644)=0,"""",IF(REGEXMATCH(INDEX(FILTER(C$4:C753,C$4:C753&lt;&gt;""""),ROWS(FILTER(C$4:C753,C$4:C753&lt;&gt;""""))),""^Sell_""),INDEX(FILTER(F$4:F752,C$4:C752&lt;&gt;""""),ROWS(FILTER(C$4:C752,C$4:C752&lt;&gt;""""))),$AC$5+E753))"),"")</f>
        <v/>
      </c>
      <c r="G753" s="10" t="str">
        <f>IFERROR(__xludf.DUMMYFUNCTION("IF(COUNTA(C753:C1644)=0,"""",IF(C753="""",0,IF(REGEXMATCH(C753,""^Sell_""),-ROUNDDOWN(ROUNDUP(INDEX(Upgrades!$C$3:$C$13,MATCH(SUBSTITUTE(C753,""Sell_"",""""),Upgrades!$B$3:$B$13,0))*1.15^(COUNTIF(C$4:C752,SUBSTITUTE(C753,""Sell_"",""""))-COUNTIF(C$4:C752,"&amp;"""Sell_""&amp;SUBSTITUTE(C753,""Sell_"",""""))))/2),ROUNDUP(INDEX(Upgrades!$C$3:$C$13,MATCH(C753,Upgrades!$B$3:$B$13,0))*1.15^(COUNTIF(C$4:C752,C753)-COUNTIF(C$4:C752,""Sell_""&amp;C753))))))"),"")</f>
        <v/>
      </c>
      <c r="H753" s="10" t="str">
        <f t="shared" si="3"/>
        <v/>
      </c>
      <c r="I753" s="68" t="str">
        <f t="shared" si="4"/>
        <v/>
      </c>
      <c r="J753" s="59" t="str">
        <f t="shared" si="5"/>
        <v/>
      </c>
      <c r="K753" s="69" t="str">
        <f t="shared" si="6"/>
        <v/>
      </c>
      <c r="L753" s="60" t="str">
        <f t="shared" si="7"/>
        <v/>
      </c>
      <c r="M753" s="61" t="str">
        <f>IFERROR(__xludf.DUMMYFUNCTION("IFS(AND(COUNTA(C753:C1644)=0,COUNTA(Q753:Q1644)=0),"""",OR(AND(K753&gt;=1000000000,OR(Y753&gt;=1000000000,COUNTA(Q753:Q1644)=0)),OR(Y753&gt;=1000000000,AND(COUNTA(C753:C1644)=0,P$3=TRUE))),
ROUNDDOWN((AB$1-AC$1)*MAX(INDEX(T$4:T1644,MATCH(LARGE(FILTER(Y$4:Y1644,Y$4"&amp;":Y1644&lt;1000000000),1),Y$4:Y1644)),INDEX(F$4:F1644,MATCH(LARGE(FILTER(K$4:K1644,K$4:K1644&lt;1000000000),1),K$4:K1644)))),AND(K753&lt;1000000000,COUNTA(C753:C1644)&gt;0,P$3=FALSE),
ROUNDDOWN(INDEX(Y$4:Y1644,MATCH(LARGE(FILTER(W$4:W1644,W$4:W1644&lt;=I753),1),W$4:W1644"&amp;"))+(I753-LARGE(FILTER(W$4:W1644,W$4:W1644&lt;=I753),1))*INDEX(T$4:T1644,MATCH(LARGE(FILTER(W$4:W1644,W$4:W1644&lt;=I753),1),W$4:W1644))-K753),1,
ROUNDDOWN(Y753-INDEX(K$4:K1644,MATCH(LARGE(FILTER(I$4:I1644,I$4:I1644&lt;=W753),1),I$4:I1644))-(W753-LARGE(FILTER(I$4:I"&amp;"1644,I$4:I1644&lt;=W753),1))*INDEX(F$4:F1644,MATCH(LARGE(FILTER(I$4:I1644,I$4:I1644&lt;=W753),1),I$4:I1644))))"),"")</f>
        <v/>
      </c>
      <c r="N753" s="60" t="str">
        <f t="shared" si="8"/>
        <v/>
      </c>
      <c r="O753" s="61" t="str">
        <f t="shared" si="9"/>
        <v/>
      </c>
      <c r="P753" s="56" t="str">
        <f t="shared" si="10"/>
        <v/>
      </c>
      <c r="Q753" s="105"/>
      <c r="R753" s="10"/>
      <c r="S753" s="59" t="str">
        <f t="array" ref="S753">IF(COUNTA(Q753:Q1644)=0,"",SUM((COUNTIF(Q$4:Q753,Upgrades!$B$3:$B$13)-COUNTIF(Q$4:Q753,"Sell_"&amp;Upgrades!$B$3:$B$13))*Upgrades!$D$3:$D$13))</f>
        <v/>
      </c>
      <c r="T753" s="66" t="str">
        <f>IFERROR(__xludf.DUMMYFUNCTION("IF(COUNTA(Q753:Q1644)=0,"""",IF(REGEXMATCH(INDEX(FILTER(Q$4:Q753,Q$4:Q753&lt;&gt;""""),ROWS(FILTER(Q$4:Q753,Q$4:Q753&lt;&gt;""""))),""^Sell_""),INDEX(FILTER(T$4:T752,Q$4:Q752&lt;&gt;""""),ROWS(FILTER(Q$4:Q752,Q$4:Q752&lt;&gt;""""))),$AD$5+S753))"),"")</f>
        <v/>
      </c>
      <c r="U753" s="10" t="str">
        <f>IFERROR(__xludf.DUMMYFUNCTION("IF(COUNTA(Q753:Q1644)=0,"""",IF(Q753="""",0,IF(REGEXMATCH(Q753,""^Sell_""),-ROUNDDOWN(ROUNDUP(INDEX(Upgrades!$C$3:$C$13,MATCH(SUBSTITUTE(Q753,""Sell_"",""""),Upgrades!$B$3:$B$13,0))*1.15^(COUNTIF(Q$4:Q752,SUBSTITUTE(Q753,""Sell_"",""""))-COUNTIF(Q$4:Q752,"&amp;"""Sell_""&amp;SUBSTITUTE(Q753,""Sell_"",""""))))/2),ROUNDUP(INDEX(Upgrades!$C$3:$C$13,MATCH(Q753,Upgrades!$B$3:$B$13,0))*1.15^(COUNTIF(Q$4:Q752,Q753)-COUNTIF(Q$4:Q752,""Sell_""&amp;Q753))))))"),"")</f>
        <v/>
      </c>
      <c r="V753" s="10" t="str">
        <f t="shared" si="11"/>
        <v/>
      </c>
      <c r="W753" s="68" t="str">
        <f t="shared" si="12"/>
        <v/>
      </c>
      <c r="X753" s="59" t="str">
        <f t="shared" si="13"/>
        <v/>
      </c>
      <c r="Y753" s="69" t="str">
        <f t="shared" si="14"/>
        <v/>
      </c>
      <c r="Z753" s="11"/>
      <c r="AG753" s="59"/>
    </row>
    <row r="754">
      <c r="A754" s="8"/>
      <c r="B754" s="56" t="str">
        <f t="shared" si="2"/>
        <v/>
      </c>
      <c r="C754" s="105"/>
      <c r="D754" s="10"/>
      <c r="E754" s="59" t="str">
        <f t="array" ref="E754">IF(COUNTA(C754:C1644)=0,"",SUM((COUNTIF(C$4:C754,Upgrades!$B$3:$B$13)-COUNTIF(C$4:C754,"Sell_"&amp;Upgrades!$B$3:$B$13))*Upgrades!$D$3:$D$13))</f>
        <v/>
      </c>
      <c r="F754" s="66" t="str">
        <f>IFERROR(__xludf.DUMMYFUNCTION("IF(COUNTA(C754:C1644)=0,"""",IF(REGEXMATCH(INDEX(FILTER(C$4:C754,C$4:C754&lt;&gt;""""),ROWS(FILTER(C$4:C754,C$4:C754&lt;&gt;""""))),""^Sell_""),INDEX(FILTER(F$4:F753,C$4:C753&lt;&gt;""""),ROWS(FILTER(C$4:C753,C$4:C753&lt;&gt;""""))),$AC$5+E754))"),"")</f>
        <v/>
      </c>
      <c r="G754" s="10" t="str">
        <f>IFERROR(__xludf.DUMMYFUNCTION("IF(COUNTA(C754:C1644)=0,"""",IF(C754="""",0,IF(REGEXMATCH(C754,""^Sell_""),-ROUNDDOWN(ROUNDUP(INDEX(Upgrades!$C$3:$C$13,MATCH(SUBSTITUTE(C754,""Sell_"",""""),Upgrades!$B$3:$B$13,0))*1.15^(COUNTIF(C$4:C753,SUBSTITUTE(C754,""Sell_"",""""))-COUNTIF(C$4:C753,"&amp;"""Sell_""&amp;SUBSTITUTE(C754,""Sell_"",""""))))/2),ROUNDUP(INDEX(Upgrades!$C$3:$C$13,MATCH(C754,Upgrades!$B$3:$B$13,0))*1.15^(COUNTIF(C$4:C753,C754)-COUNTIF(C$4:C753,""Sell_""&amp;C754))))))"),"")</f>
        <v/>
      </c>
      <c r="H754" s="10" t="str">
        <f t="shared" si="3"/>
        <v/>
      </c>
      <c r="I754" s="68" t="str">
        <f t="shared" si="4"/>
        <v/>
      </c>
      <c r="J754" s="59" t="str">
        <f t="shared" si="5"/>
        <v/>
      </c>
      <c r="K754" s="69" t="str">
        <f t="shared" si="6"/>
        <v/>
      </c>
      <c r="L754" s="60" t="str">
        <f t="shared" si="7"/>
        <v/>
      </c>
      <c r="M754" s="61" t="str">
        <f>IFERROR(__xludf.DUMMYFUNCTION("IFS(AND(COUNTA(C754:C1644)=0,COUNTA(Q754:Q1644)=0),"""",OR(AND(K754&gt;=1000000000,OR(Y754&gt;=1000000000,COUNTA(Q754:Q1644)=0)),OR(Y754&gt;=1000000000,AND(COUNTA(C754:C1644)=0,P$3=TRUE))),
ROUNDDOWN((AB$1-AC$1)*MAX(INDEX(T$4:T1644,MATCH(LARGE(FILTER(Y$4:Y1644,Y$4"&amp;":Y1644&lt;1000000000),1),Y$4:Y1644)),INDEX(F$4:F1644,MATCH(LARGE(FILTER(K$4:K1644,K$4:K1644&lt;1000000000),1),K$4:K1644)))),AND(K754&lt;1000000000,COUNTA(C754:C1644)&gt;0,P$3=FALSE),
ROUNDDOWN(INDEX(Y$4:Y1644,MATCH(LARGE(FILTER(W$4:W1644,W$4:W1644&lt;=I754),1),W$4:W1644"&amp;"))+(I754-LARGE(FILTER(W$4:W1644,W$4:W1644&lt;=I754),1))*INDEX(T$4:T1644,MATCH(LARGE(FILTER(W$4:W1644,W$4:W1644&lt;=I754),1),W$4:W1644))-K754),1,
ROUNDDOWN(Y754-INDEX(K$4:K1644,MATCH(LARGE(FILTER(I$4:I1644,I$4:I1644&lt;=W754),1),I$4:I1644))-(W754-LARGE(FILTER(I$4:I"&amp;"1644,I$4:I1644&lt;=W754),1))*INDEX(F$4:F1644,MATCH(LARGE(FILTER(I$4:I1644,I$4:I1644&lt;=W754),1),I$4:I1644))))"),"")</f>
        <v/>
      </c>
      <c r="N754" s="60" t="str">
        <f t="shared" si="8"/>
        <v/>
      </c>
      <c r="O754" s="61" t="str">
        <f t="shared" si="9"/>
        <v/>
      </c>
      <c r="P754" s="56" t="str">
        <f t="shared" si="10"/>
        <v/>
      </c>
      <c r="Q754" s="105"/>
      <c r="R754" s="10"/>
      <c r="S754" s="59" t="str">
        <f t="array" ref="S754">IF(COUNTA(Q754:Q1644)=0,"",SUM((COUNTIF(Q$4:Q754,Upgrades!$B$3:$B$13)-COUNTIF(Q$4:Q754,"Sell_"&amp;Upgrades!$B$3:$B$13))*Upgrades!$D$3:$D$13))</f>
        <v/>
      </c>
      <c r="T754" s="66" t="str">
        <f>IFERROR(__xludf.DUMMYFUNCTION("IF(COUNTA(Q754:Q1644)=0,"""",IF(REGEXMATCH(INDEX(FILTER(Q$4:Q754,Q$4:Q754&lt;&gt;""""),ROWS(FILTER(Q$4:Q754,Q$4:Q754&lt;&gt;""""))),""^Sell_""),INDEX(FILTER(T$4:T753,Q$4:Q753&lt;&gt;""""),ROWS(FILTER(Q$4:Q753,Q$4:Q753&lt;&gt;""""))),$AD$5+S754))"),"")</f>
        <v/>
      </c>
      <c r="U754" s="10" t="str">
        <f>IFERROR(__xludf.DUMMYFUNCTION("IF(COUNTA(Q754:Q1644)=0,"""",IF(Q754="""",0,IF(REGEXMATCH(Q754,""^Sell_""),-ROUNDDOWN(ROUNDUP(INDEX(Upgrades!$C$3:$C$13,MATCH(SUBSTITUTE(Q754,""Sell_"",""""),Upgrades!$B$3:$B$13,0))*1.15^(COUNTIF(Q$4:Q753,SUBSTITUTE(Q754,""Sell_"",""""))-COUNTIF(Q$4:Q753,"&amp;"""Sell_""&amp;SUBSTITUTE(Q754,""Sell_"",""""))))/2),ROUNDUP(INDEX(Upgrades!$C$3:$C$13,MATCH(Q754,Upgrades!$B$3:$B$13,0))*1.15^(COUNTIF(Q$4:Q753,Q754)-COUNTIF(Q$4:Q753,""Sell_""&amp;Q754))))))"),"")</f>
        <v/>
      </c>
      <c r="V754" s="10" t="str">
        <f t="shared" si="11"/>
        <v/>
      </c>
      <c r="W754" s="68" t="str">
        <f t="shared" si="12"/>
        <v/>
      </c>
      <c r="X754" s="59" t="str">
        <f t="shared" si="13"/>
        <v/>
      </c>
      <c r="Y754" s="69" t="str">
        <f t="shared" si="14"/>
        <v/>
      </c>
      <c r="Z754" s="11"/>
      <c r="AG754" s="59"/>
    </row>
    <row r="755">
      <c r="A755" s="8"/>
      <c r="B755" s="56" t="str">
        <f t="shared" si="2"/>
        <v/>
      </c>
      <c r="C755" s="105"/>
      <c r="D755" s="10"/>
      <c r="E755" s="59" t="str">
        <f t="array" ref="E755">IF(COUNTA(C755:C1644)=0,"",SUM((COUNTIF(C$4:C755,Upgrades!$B$3:$B$13)-COUNTIF(C$4:C755,"Sell_"&amp;Upgrades!$B$3:$B$13))*Upgrades!$D$3:$D$13))</f>
        <v/>
      </c>
      <c r="F755" s="66" t="str">
        <f>IFERROR(__xludf.DUMMYFUNCTION("IF(COUNTA(C755:C1644)=0,"""",IF(REGEXMATCH(INDEX(FILTER(C$4:C755,C$4:C755&lt;&gt;""""),ROWS(FILTER(C$4:C755,C$4:C755&lt;&gt;""""))),""^Sell_""),INDEX(FILTER(F$4:F754,C$4:C754&lt;&gt;""""),ROWS(FILTER(C$4:C754,C$4:C754&lt;&gt;""""))),$AC$5+E755))"),"")</f>
        <v/>
      </c>
      <c r="G755" s="10" t="str">
        <f>IFERROR(__xludf.DUMMYFUNCTION("IF(COUNTA(C755:C1644)=0,"""",IF(C755="""",0,IF(REGEXMATCH(C755,""^Sell_""),-ROUNDDOWN(ROUNDUP(INDEX(Upgrades!$C$3:$C$13,MATCH(SUBSTITUTE(C755,""Sell_"",""""),Upgrades!$B$3:$B$13,0))*1.15^(COUNTIF(C$4:C754,SUBSTITUTE(C755,""Sell_"",""""))-COUNTIF(C$4:C754,"&amp;"""Sell_""&amp;SUBSTITUTE(C755,""Sell_"",""""))))/2),ROUNDUP(INDEX(Upgrades!$C$3:$C$13,MATCH(C755,Upgrades!$B$3:$B$13,0))*1.15^(COUNTIF(C$4:C754,C755)-COUNTIF(C$4:C754,""Sell_""&amp;C755))))))"),"")</f>
        <v/>
      </c>
      <c r="H755" s="10" t="str">
        <f t="shared" si="3"/>
        <v/>
      </c>
      <c r="I755" s="68" t="str">
        <f t="shared" si="4"/>
        <v/>
      </c>
      <c r="J755" s="59" t="str">
        <f t="shared" si="5"/>
        <v/>
      </c>
      <c r="K755" s="69" t="str">
        <f t="shared" si="6"/>
        <v/>
      </c>
      <c r="L755" s="60" t="str">
        <f t="shared" si="7"/>
        <v/>
      </c>
      <c r="M755" s="61" t="str">
        <f>IFERROR(__xludf.DUMMYFUNCTION("IFS(AND(COUNTA(C755:C1644)=0,COUNTA(Q755:Q1644)=0),"""",OR(AND(K755&gt;=1000000000,OR(Y755&gt;=1000000000,COUNTA(Q755:Q1644)=0)),OR(Y755&gt;=1000000000,AND(COUNTA(C755:C1644)=0,P$3=TRUE))),
ROUNDDOWN((AB$1-AC$1)*MAX(INDEX(T$4:T1644,MATCH(LARGE(FILTER(Y$4:Y1644,Y$4"&amp;":Y1644&lt;1000000000),1),Y$4:Y1644)),INDEX(F$4:F1644,MATCH(LARGE(FILTER(K$4:K1644,K$4:K1644&lt;1000000000),1),K$4:K1644)))),AND(K755&lt;1000000000,COUNTA(C755:C1644)&gt;0,P$3=FALSE),
ROUNDDOWN(INDEX(Y$4:Y1644,MATCH(LARGE(FILTER(W$4:W1644,W$4:W1644&lt;=I755),1),W$4:W1644"&amp;"))+(I755-LARGE(FILTER(W$4:W1644,W$4:W1644&lt;=I755),1))*INDEX(T$4:T1644,MATCH(LARGE(FILTER(W$4:W1644,W$4:W1644&lt;=I755),1),W$4:W1644))-K755),1,
ROUNDDOWN(Y755-INDEX(K$4:K1644,MATCH(LARGE(FILTER(I$4:I1644,I$4:I1644&lt;=W755),1),I$4:I1644))-(W755-LARGE(FILTER(I$4:I"&amp;"1644,I$4:I1644&lt;=W755),1))*INDEX(F$4:F1644,MATCH(LARGE(FILTER(I$4:I1644,I$4:I1644&lt;=W755),1),I$4:I1644))))"),"")</f>
        <v/>
      </c>
      <c r="N755" s="60" t="str">
        <f t="shared" si="8"/>
        <v/>
      </c>
      <c r="O755" s="61" t="str">
        <f t="shared" si="9"/>
        <v/>
      </c>
      <c r="P755" s="56" t="str">
        <f t="shared" si="10"/>
        <v/>
      </c>
      <c r="Q755" s="105"/>
      <c r="R755" s="10"/>
      <c r="S755" s="59" t="str">
        <f t="array" ref="S755">IF(COUNTA(Q755:Q1644)=0,"",SUM((COUNTIF(Q$4:Q755,Upgrades!$B$3:$B$13)-COUNTIF(Q$4:Q755,"Sell_"&amp;Upgrades!$B$3:$B$13))*Upgrades!$D$3:$D$13))</f>
        <v/>
      </c>
      <c r="T755" s="66" t="str">
        <f>IFERROR(__xludf.DUMMYFUNCTION("IF(COUNTA(Q755:Q1644)=0,"""",IF(REGEXMATCH(INDEX(FILTER(Q$4:Q755,Q$4:Q755&lt;&gt;""""),ROWS(FILTER(Q$4:Q755,Q$4:Q755&lt;&gt;""""))),""^Sell_""),INDEX(FILTER(T$4:T754,Q$4:Q754&lt;&gt;""""),ROWS(FILTER(Q$4:Q754,Q$4:Q754&lt;&gt;""""))),$AD$5+S755))"),"")</f>
        <v/>
      </c>
      <c r="U755" s="10" t="str">
        <f>IFERROR(__xludf.DUMMYFUNCTION("IF(COUNTA(Q755:Q1644)=0,"""",IF(Q755="""",0,IF(REGEXMATCH(Q755,""^Sell_""),-ROUNDDOWN(ROUNDUP(INDEX(Upgrades!$C$3:$C$13,MATCH(SUBSTITUTE(Q755,""Sell_"",""""),Upgrades!$B$3:$B$13,0))*1.15^(COUNTIF(Q$4:Q754,SUBSTITUTE(Q755,""Sell_"",""""))-COUNTIF(Q$4:Q754,"&amp;"""Sell_""&amp;SUBSTITUTE(Q755,""Sell_"",""""))))/2),ROUNDUP(INDEX(Upgrades!$C$3:$C$13,MATCH(Q755,Upgrades!$B$3:$B$13,0))*1.15^(COUNTIF(Q$4:Q754,Q755)-COUNTIF(Q$4:Q754,""Sell_""&amp;Q755))))))"),"")</f>
        <v/>
      </c>
      <c r="V755" s="10" t="str">
        <f t="shared" si="11"/>
        <v/>
      </c>
      <c r="W755" s="68" t="str">
        <f t="shared" si="12"/>
        <v/>
      </c>
      <c r="X755" s="59" t="str">
        <f t="shared" si="13"/>
        <v/>
      </c>
      <c r="Y755" s="69" t="str">
        <f t="shared" si="14"/>
        <v/>
      </c>
      <c r="Z755" s="11"/>
      <c r="AG755" s="59"/>
    </row>
    <row r="756">
      <c r="A756" s="8"/>
      <c r="B756" s="56" t="str">
        <f t="shared" si="2"/>
        <v/>
      </c>
      <c r="C756" s="105"/>
      <c r="D756" s="10"/>
      <c r="E756" s="59" t="str">
        <f t="array" ref="E756">IF(COUNTA(C756:C1644)=0,"",SUM((COUNTIF(C$4:C756,Upgrades!$B$3:$B$13)-COUNTIF(C$4:C756,"Sell_"&amp;Upgrades!$B$3:$B$13))*Upgrades!$D$3:$D$13))</f>
        <v/>
      </c>
      <c r="F756" s="66" t="str">
        <f>IFERROR(__xludf.DUMMYFUNCTION("IF(COUNTA(C756:C1644)=0,"""",IF(REGEXMATCH(INDEX(FILTER(C$4:C756,C$4:C756&lt;&gt;""""),ROWS(FILTER(C$4:C756,C$4:C756&lt;&gt;""""))),""^Sell_""),INDEX(FILTER(F$4:F755,C$4:C755&lt;&gt;""""),ROWS(FILTER(C$4:C755,C$4:C755&lt;&gt;""""))),$AC$5+E756))"),"")</f>
        <v/>
      </c>
      <c r="G756" s="10" t="str">
        <f>IFERROR(__xludf.DUMMYFUNCTION("IF(COUNTA(C756:C1644)=0,"""",IF(C756="""",0,IF(REGEXMATCH(C756,""^Sell_""),-ROUNDDOWN(ROUNDUP(INDEX(Upgrades!$C$3:$C$13,MATCH(SUBSTITUTE(C756,""Sell_"",""""),Upgrades!$B$3:$B$13,0))*1.15^(COUNTIF(C$4:C755,SUBSTITUTE(C756,""Sell_"",""""))-COUNTIF(C$4:C755,"&amp;"""Sell_""&amp;SUBSTITUTE(C756,""Sell_"",""""))))/2),ROUNDUP(INDEX(Upgrades!$C$3:$C$13,MATCH(C756,Upgrades!$B$3:$B$13,0))*1.15^(COUNTIF(C$4:C755,C756)-COUNTIF(C$4:C755,""Sell_""&amp;C756))))))"),"")</f>
        <v/>
      </c>
      <c r="H756" s="10" t="str">
        <f t="shared" si="3"/>
        <v/>
      </c>
      <c r="I756" s="68" t="str">
        <f t="shared" si="4"/>
        <v/>
      </c>
      <c r="J756" s="59" t="str">
        <f t="shared" si="5"/>
        <v/>
      </c>
      <c r="K756" s="69" t="str">
        <f t="shared" si="6"/>
        <v/>
      </c>
      <c r="L756" s="60" t="str">
        <f t="shared" si="7"/>
        <v/>
      </c>
      <c r="M756" s="61" t="str">
        <f>IFERROR(__xludf.DUMMYFUNCTION("IFS(AND(COUNTA(C756:C1644)=0,COUNTA(Q756:Q1644)=0),"""",OR(AND(K756&gt;=1000000000,OR(Y756&gt;=1000000000,COUNTA(Q756:Q1644)=0)),OR(Y756&gt;=1000000000,AND(COUNTA(C756:C1644)=0,P$3=TRUE))),
ROUNDDOWN((AB$1-AC$1)*MAX(INDEX(T$4:T1644,MATCH(LARGE(FILTER(Y$4:Y1644,Y$4"&amp;":Y1644&lt;1000000000),1),Y$4:Y1644)),INDEX(F$4:F1644,MATCH(LARGE(FILTER(K$4:K1644,K$4:K1644&lt;1000000000),1),K$4:K1644)))),AND(K756&lt;1000000000,COUNTA(C756:C1644)&gt;0,P$3=FALSE),
ROUNDDOWN(INDEX(Y$4:Y1644,MATCH(LARGE(FILTER(W$4:W1644,W$4:W1644&lt;=I756),1),W$4:W1644"&amp;"))+(I756-LARGE(FILTER(W$4:W1644,W$4:W1644&lt;=I756),1))*INDEX(T$4:T1644,MATCH(LARGE(FILTER(W$4:W1644,W$4:W1644&lt;=I756),1),W$4:W1644))-K756),1,
ROUNDDOWN(Y756-INDEX(K$4:K1644,MATCH(LARGE(FILTER(I$4:I1644,I$4:I1644&lt;=W756),1),I$4:I1644))-(W756-LARGE(FILTER(I$4:I"&amp;"1644,I$4:I1644&lt;=W756),1))*INDEX(F$4:F1644,MATCH(LARGE(FILTER(I$4:I1644,I$4:I1644&lt;=W756),1),I$4:I1644))))"),"")</f>
        <v/>
      </c>
      <c r="N756" s="60" t="str">
        <f t="shared" si="8"/>
        <v/>
      </c>
      <c r="O756" s="61" t="str">
        <f t="shared" si="9"/>
        <v/>
      </c>
      <c r="P756" s="56" t="str">
        <f t="shared" si="10"/>
        <v/>
      </c>
      <c r="Q756" s="105"/>
      <c r="R756" s="10"/>
      <c r="S756" s="59" t="str">
        <f t="array" ref="S756">IF(COUNTA(Q756:Q1644)=0,"",SUM((COUNTIF(Q$4:Q756,Upgrades!$B$3:$B$13)-COUNTIF(Q$4:Q756,"Sell_"&amp;Upgrades!$B$3:$B$13))*Upgrades!$D$3:$D$13))</f>
        <v/>
      </c>
      <c r="T756" s="66" t="str">
        <f>IFERROR(__xludf.DUMMYFUNCTION("IF(COUNTA(Q756:Q1644)=0,"""",IF(REGEXMATCH(INDEX(FILTER(Q$4:Q756,Q$4:Q756&lt;&gt;""""),ROWS(FILTER(Q$4:Q756,Q$4:Q756&lt;&gt;""""))),""^Sell_""),INDEX(FILTER(T$4:T755,Q$4:Q755&lt;&gt;""""),ROWS(FILTER(Q$4:Q755,Q$4:Q755&lt;&gt;""""))),$AD$5+S756))"),"")</f>
        <v/>
      </c>
      <c r="U756" s="10" t="str">
        <f>IFERROR(__xludf.DUMMYFUNCTION("IF(COUNTA(Q756:Q1644)=0,"""",IF(Q756="""",0,IF(REGEXMATCH(Q756,""^Sell_""),-ROUNDDOWN(ROUNDUP(INDEX(Upgrades!$C$3:$C$13,MATCH(SUBSTITUTE(Q756,""Sell_"",""""),Upgrades!$B$3:$B$13,0))*1.15^(COUNTIF(Q$4:Q755,SUBSTITUTE(Q756,""Sell_"",""""))-COUNTIF(Q$4:Q755,"&amp;"""Sell_""&amp;SUBSTITUTE(Q756,""Sell_"",""""))))/2),ROUNDUP(INDEX(Upgrades!$C$3:$C$13,MATCH(Q756,Upgrades!$B$3:$B$13,0))*1.15^(COUNTIF(Q$4:Q755,Q756)-COUNTIF(Q$4:Q755,""Sell_""&amp;Q756))))))"),"")</f>
        <v/>
      </c>
      <c r="V756" s="10" t="str">
        <f t="shared" si="11"/>
        <v/>
      </c>
      <c r="W756" s="68" t="str">
        <f t="shared" si="12"/>
        <v/>
      </c>
      <c r="X756" s="59" t="str">
        <f t="shared" si="13"/>
        <v/>
      </c>
      <c r="Y756" s="69" t="str">
        <f t="shared" si="14"/>
        <v/>
      </c>
      <c r="Z756" s="11"/>
      <c r="AG756" s="59"/>
    </row>
    <row r="757">
      <c r="A757" s="8"/>
      <c r="B757" s="56" t="str">
        <f t="shared" si="2"/>
        <v/>
      </c>
      <c r="C757" s="105"/>
      <c r="D757" s="10"/>
      <c r="E757" s="59" t="str">
        <f t="array" ref="E757">IF(COUNTA(C757:C1644)=0,"",SUM((COUNTIF(C$4:C757,Upgrades!$B$3:$B$13)-COUNTIF(C$4:C757,"Sell_"&amp;Upgrades!$B$3:$B$13))*Upgrades!$D$3:$D$13))</f>
        <v/>
      </c>
      <c r="F757" s="66" t="str">
        <f>IFERROR(__xludf.DUMMYFUNCTION("IF(COUNTA(C757:C1644)=0,"""",IF(REGEXMATCH(INDEX(FILTER(C$4:C757,C$4:C757&lt;&gt;""""),ROWS(FILTER(C$4:C757,C$4:C757&lt;&gt;""""))),""^Sell_""),INDEX(FILTER(F$4:F756,C$4:C756&lt;&gt;""""),ROWS(FILTER(C$4:C756,C$4:C756&lt;&gt;""""))),$AC$5+E757))"),"")</f>
        <v/>
      </c>
      <c r="G757" s="10" t="str">
        <f>IFERROR(__xludf.DUMMYFUNCTION("IF(COUNTA(C757:C1644)=0,"""",IF(C757="""",0,IF(REGEXMATCH(C757,""^Sell_""),-ROUNDDOWN(ROUNDUP(INDEX(Upgrades!$C$3:$C$13,MATCH(SUBSTITUTE(C757,""Sell_"",""""),Upgrades!$B$3:$B$13,0))*1.15^(COUNTIF(C$4:C756,SUBSTITUTE(C757,""Sell_"",""""))-COUNTIF(C$4:C756,"&amp;"""Sell_""&amp;SUBSTITUTE(C757,""Sell_"",""""))))/2),ROUNDUP(INDEX(Upgrades!$C$3:$C$13,MATCH(C757,Upgrades!$B$3:$B$13,0))*1.15^(COUNTIF(C$4:C756,C757)-COUNTIF(C$4:C756,""Sell_""&amp;C757))))))"),"")</f>
        <v/>
      </c>
      <c r="H757" s="10" t="str">
        <f t="shared" si="3"/>
        <v/>
      </c>
      <c r="I757" s="68" t="str">
        <f t="shared" si="4"/>
        <v/>
      </c>
      <c r="J757" s="59" t="str">
        <f t="shared" si="5"/>
        <v/>
      </c>
      <c r="K757" s="69" t="str">
        <f t="shared" si="6"/>
        <v/>
      </c>
      <c r="L757" s="60" t="str">
        <f t="shared" si="7"/>
        <v/>
      </c>
      <c r="M757" s="61" t="str">
        <f>IFERROR(__xludf.DUMMYFUNCTION("IFS(AND(COUNTA(C757:C1644)=0,COUNTA(Q757:Q1644)=0),"""",OR(AND(K757&gt;=1000000000,OR(Y757&gt;=1000000000,COUNTA(Q757:Q1644)=0)),OR(Y757&gt;=1000000000,AND(COUNTA(C757:C1644)=0,P$3=TRUE))),
ROUNDDOWN((AB$1-AC$1)*MAX(INDEX(T$4:T1644,MATCH(LARGE(FILTER(Y$4:Y1644,Y$4"&amp;":Y1644&lt;1000000000),1),Y$4:Y1644)),INDEX(F$4:F1644,MATCH(LARGE(FILTER(K$4:K1644,K$4:K1644&lt;1000000000),1),K$4:K1644)))),AND(K757&lt;1000000000,COUNTA(C757:C1644)&gt;0,P$3=FALSE),
ROUNDDOWN(INDEX(Y$4:Y1644,MATCH(LARGE(FILTER(W$4:W1644,W$4:W1644&lt;=I757),1),W$4:W1644"&amp;"))+(I757-LARGE(FILTER(W$4:W1644,W$4:W1644&lt;=I757),1))*INDEX(T$4:T1644,MATCH(LARGE(FILTER(W$4:W1644,W$4:W1644&lt;=I757),1),W$4:W1644))-K757),1,
ROUNDDOWN(Y757-INDEX(K$4:K1644,MATCH(LARGE(FILTER(I$4:I1644,I$4:I1644&lt;=W757),1),I$4:I1644))-(W757-LARGE(FILTER(I$4:I"&amp;"1644,I$4:I1644&lt;=W757),1))*INDEX(F$4:F1644,MATCH(LARGE(FILTER(I$4:I1644,I$4:I1644&lt;=W757),1),I$4:I1644))))"),"")</f>
        <v/>
      </c>
      <c r="N757" s="60" t="str">
        <f t="shared" si="8"/>
        <v/>
      </c>
      <c r="O757" s="61" t="str">
        <f t="shared" si="9"/>
        <v/>
      </c>
      <c r="P757" s="56" t="str">
        <f t="shared" si="10"/>
        <v/>
      </c>
      <c r="Q757" s="105"/>
      <c r="R757" s="10"/>
      <c r="S757" s="59" t="str">
        <f t="array" ref="S757">IF(COUNTA(Q757:Q1644)=0,"",SUM((COUNTIF(Q$4:Q757,Upgrades!$B$3:$B$13)-COUNTIF(Q$4:Q757,"Sell_"&amp;Upgrades!$B$3:$B$13))*Upgrades!$D$3:$D$13))</f>
        <v/>
      </c>
      <c r="T757" s="66" t="str">
        <f>IFERROR(__xludf.DUMMYFUNCTION("IF(COUNTA(Q757:Q1644)=0,"""",IF(REGEXMATCH(INDEX(FILTER(Q$4:Q757,Q$4:Q757&lt;&gt;""""),ROWS(FILTER(Q$4:Q757,Q$4:Q757&lt;&gt;""""))),""^Sell_""),INDEX(FILTER(T$4:T756,Q$4:Q756&lt;&gt;""""),ROWS(FILTER(Q$4:Q756,Q$4:Q756&lt;&gt;""""))),$AD$5+S757))"),"")</f>
        <v/>
      </c>
      <c r="U757" s="10" t="str">
        <f>IFERROR(__xludf.DUMMYFUNCTION("IF(COUNTA(Q757:Q1644)=0,"""",IF(Q757="""",0,IF(REGEXMATCH(Q757,""^Sell_""),-ROUNDDOWN(ROUNDUP(INDEX(Upgrades!$C$3:$C$13,MATCH(SUBSTITUTE(Q757,""Sell_"",""""),Upgrades!$B$3:$B$13,0))*1.15^(COUNTIF(Q$4:Q756,SUBSTITUTE(Q757,""Sell_"",""""))-COUNTIF(Q$4:Q756,"&amp;"""Sell_""&amp;SUBSTITUTE(Q757,""Sell_"",""""))))/2),ROUNDUP(INDEX(Upgrades!$C$3:$C$13,MATCH(Q757,Upgrades!$B$3:$B$13,0))*1.15^(COUNTIF(Q$4:Q756,Q757)-COUNTIF(Q$4:Q756,""Sell_""&amp;Q757))))))"),"")</f>
        <v/>
      </c>
      <c r="V757" s="10" t="str">
        <f t="shared" si="11"/>
        <v/>
      </c>
      <c r="W757" s="68" t="str">
        <f t="shared" si="12"/>
        <v/>
      </c>
      <c r="X757" s="59" t="str">
        <f t="shared" si="13"/>
        <v/>
      </c>
      <c r="Y757" s="69" t="str">
        <f t="shared" si="14"/>
        <v/>
      </c>
      <c r="Z757" s="11"/>
      <c r="AG757" s="59"/>
    </row>
    <row r="758">
      <c r="A758" s="8"/>
      <c r="B758" s="56" t="str">
        <f t="shared" si="2"/>
        <v/>
      </c>
      <c r="C758" s="105"/>
      <c r="D758" s="10"/>
      <c r="E758" s="59" t="str">
        <f t="array" ref="E758">IF(COUNTA(C758:C1644)=0,"",SUM((COUNTIF(C$4:C758,Upgrades!$B$3:$B$13)-COUNTIF(C$4:C758,"Sell_"&amp;Upgrades!$B$3:$B$13))*Upgrades!$D$3:$D$13))</f>
        <v/>
      </c>
      <c r="F758" s="66" t="str">
        <f>IFERROR(__xludf.DUMMYFUNCTION("IF(COUNTA(C758:C1644)=0,"""",IF(REGEXMATCH(INDEX(FILTER(C$4:C758,C$4:C758&lt;&gt;""""),ROWS(FILTER(C$4:C758,C$4:C758&lt;&gt;""""))),""^Sell_""),INDEX(FILTER(F$4:F757,C$4:C757&lt;&gt;""""),ROWS(FILTER(C$4:C757,C$4:C757&lt;&gt;""""))),$AC$5+E758))"),"")</f>
        <v/>
      </c>
      <c r="G758" s="10" t="str">
        <f>IFERROR(__xludf.DUMMYFUNCTION("IF(COUNTA(C758:C1644)=0,"""",IF(C758="""",0,IF(REGEXMATCH(C758,""^Sell_""),-ROUNDDOWN(ROUNDUP(INDEX(Upgrades!$C$3:$C$13,MATCH(SUBSTITUTE(C758,""Sell_"",""""),Upgrades!$B$3:$B$13,0))*1.15^(COUNTIF(C$4:C757,SUBSTITUTE(C758,""Sell_"",""""))-COUNTIF(C$4:C757,"&amp;"""Sell_""&amp;SUBSTITUTE(C758,""Sell_"",""""))))/2),ROUNDUP(INDEX(Upgrades!$C$3:$C$13,MATCH(C758,Upgrades!$B$3:$B$13,0))*1.15^(COUNTIF(C$4:C757,C758)-COUNTIF(C$4:C757,""Sell_""&amp;C758))))))"),"")</f>
        <v/>
      </c>
      <c r="H758" s="10" t="str">
        <f t="shared" si="3"/>
        <v/>
      </c>
      <c r="I758" s="68" t="str">
        <f t="shared" si="4"/>
        <v/>
      </c>
      <c r="J758" s="59" t="str">
        <f t="shared" si="5"/>
        <v/>
      </c>
      <c r="K758" s="69" t="str">
        <f t="shared" si="6"/>
        <v/>
      </c>
      <c r="L758" s="60" t="str">
        <f t="shared" si="7"/>
        <v/>
      </c>
      <c r="M758" s="61" t="str">
        <f>IFERROR(__xludf.DUMMYFUNCTION("IFS(AND(COUNTA(C758:C1644)=0,COUNTA(Q758:Q1644)=0),"""",OR(AND(K758&gt;=1000000000,OR(Y758&gt;=1000000000,COUNTA(Q758:Q1644)=0)),OR(Y758&gt;=1000000000,AND(COUNTA(C758:C1644)=0,P$3=TRUE))),
ROUNDDOWN((AB$1-AC$1)*MAX(INDEX(T$4:T1644,MATCH(LARGE(FILTER(Y$4:Y1644,Y$4"&amp;":Y1644&lt;1000000000),1),Y$4:Y1644)),INDEX(F$4:F1644,MATCH(LARGE(FILTER(K$4:K1644,K$4:K1644&lt;1000000000),1),K$4:K1644)))),AND(K758&lt;1000000000,COUNTA(C758:C1644)&gt;0,P$3=FALSE),
ROUNDDOWN(INDEX(Y$4:Y1644,MATCH(LARGE(FILTER(W$4:W1644,W$4:W1644&lt;=I758),1),W$4:W1644"&amp;"))+(I758-LARGE(FILTER(W$4:W1644,W$4:W1644&lt;=I758),1))*INDEX(T$4:T1644,MATCH(LARGE(FILTER(W$4:W1644,W$4:W1644&lt;=I758),1),W$4:W1644))-K758),1,
ROUNDDOWN(Y758-INDEX(K$4:K1644,MATCH(LARGE(FILTER(I$4:I1644,I$4:I1644&lt;=W758),1),I$4:I1644))-(W758-LARGE(FILTER(I$4:I"&amp;"1644,I$4:I1644&lt;=W758),1))*INDEX(F$4:F1644,MATCH(LARGE(FILTER(I$4:I1644,I$4:I1644&lt;=W758),1),I$4:I1644))))"),"")</f>
        <v/>
      </c>
      <c r="N758" s="60" t="str">
        <f t="shared" si="8"/>
        <v/>
      </c>
      <c r="O758" s="61" t="str">
        <f t="shared" si="9"/>
        <v/>
      </c>
      <c r="P758" s="56" t="str">
        <f t="shared" si="10"/>
        <v/>
      </c>
      <c r="Q758" s="105"/>
      <c r="R758" s="10"/>
      <c r="S758" s="59" t="str">
        <f t="array" ref="S758">IF(COUNTA(Q758:Q1644)=0,"",SUM((COUNTIF(Q$4:Q758,Upgrades!$B$3:$B$13)-COUNTIF(Q$4:Q758,"Sell_"&amp;Upgrades!$B$3:$B$13))*Upgrades!$D$3:$D$13))</f>
        <v/>
      </c>
      <c r="T758" s="66" t="str">
        <f>IFERROR(__xludf.DUMMYFUNCTION("IF(COUNTA(Q758:Q1644)=0,"""",IF(REGEXMATCH(INDEX(FILTER(Q$4:Q758,Q$4:Q758&lt;&gt;""""),ROWS(FILTER(Q$4:Q758,Q$4:Q758&lt;&gt;""""))),""^Sell_""),INDEX(FILTER(T$4:T757,Q$4:Q757&lt;&gt;""""),ROWS(FILTER(Q$4:Q757,Q$4:Q757&lt;&gt;""""))),$AD$5+S758))"),"")</f>
        <v/>
      </c>
      <c r="U758" s="10" t="str">
        <f>IFERROR(__xludf.DUMMYFUNCTION("IF(COUNTA(Q758:Q1644)=0,"""",IF(Q758="""",0,IF(REGEXMATCH(Q758,""^Sell_""),-ROUNDDOWN(ROUNDUP(INDEX(Upgrades!$C$3:$C$13,MATCH(SUBSTITUTE(Q758,""Sell_"",""""),Upgrades!$B$3:$B$13,0))*1.15^(COUNTIF(Q$4:Q757,SUBSTITUTE(Q758,""Sell_"",""""))-COUNTIF(Q$4:Q757,"&amp;"""Sell_""&amp;SUBSTITUTE(Q758,""Sell_"",""""))))/2),ROUNDUP(INDEX(Upgrades!$C$3:$C$13,MATCH(Q758,Upgrades!$B$3:$B$13,0))*1.15^(COUNTIF(Q$4:Q757,Q758)-COUNTIF(Q$4:Q757,""Sell_""&amp;Q758))))))"),"")</f>
        <v/>
      </c>
      <c r="V758" s="10" t="str">
        <f t="shared" si="11"/>
        <v/>
      </c>
      <c r="W758" s="68" t="str">
        <f t="shared" si="12"/>
        <v/>
      </c>
      <c r="X758" s="59" t="str">
        <f t="shared" si="13"/>
        <v/>
      </c>
      <c r="Y758" s="69" t="str">
        <f t="shared" si="14"/>
        <v/>
      </c>
      <c r="Z758" s="11"/>
      <c r="AG758" s="59"/>
    </row>
    <row r="759">
      <c r="A759" s="8"/>
      <c r="B759" s="56" t="str">
        <f t="shared" si="2"/>
        <v/>
      </c>
      <c r="C759" s="105"/>
      <c r="D759" s="10"/>
      <c r="E759" s="59" t="str">
        <f t="array" ref="E759">IF(COUNTA(C759:C1644)=0,"",SUM((COUNTIF(C$4:C759,Upgrades!$B$3:$B$13)-COUNTIF(C$4:C759,"Sell_"&amp;Upgrades!$B$3:$B$13))*Upgrades!$D$3:$D$13))</f>
        <v/>
      </c>
      <c r="F759" s="66" t="str">
        <f>IFERROR(__xludf.DUMMYFUNCTION("IF(COUNTA(C759:C1644)=0,"""",IF(REGEXMATCH(INDEX(FILTER(C$4:C759,C$4:C759&lt;&gt;""""),ROWS(FILTER(C$4:C759,C$4:C759&lt;&gt;""""))),""^Sell_""),INDEX(FILTER(F$4:F758,C$4:C758&lt;&gt;""""),ROWS(FILTER(C$4:C758,C$4:C758&lt;&gt;""""))),$AC$5+E759))"),"")</f>
        <v/>
      </c>
      <c r="G759" s="10" t="str">
        <f>IFERROR(__xludf.DUMMYFUNCTION("IF(COUNTA(C759:C1644)=0,"""",IF(C759="""",0,IF(REGEXMATCH(C759,""^Sell_""),-ROUNDDOWN(ROUNDUP(INDEX(Upgrades!$C$3:$C$13,MATCH(SUBSTITUTE(C759,""Sell_"",""""),Upgrades!$B$3:$B$13,0))*1.15^(COUNTIF(C$4:C758,SUBSTITUTE(C759,""Sell_"",""""))-COUNTIF(C$4:C758,"&amp;"""Sell_""&amp;SUBSTITUTE(C759,""Sell_"",""""))))/2),ROUNDUP(INDEX(Upgrades!$C$3:$C$13,MATCH(C759,Upgrades!$B$3:$B$13,0))*1.15^(COUNTIF(C$4:C758,C759)-COUNTIF(C$4:C758,""Sell_""&amp;C759))))))"),"")</f>
        <v/>
      </c>
      <c r="H759" s="10" t="str">
        <f t="shared" si="3"/>
        <v/>
      </c>
      <c r="I759" s="68" t="str">
        <f t="shared" si="4"/>
        <v/>
      </c>
      <c r="J759" s="59" t="str">
        <f t="shared" si="5"/>
        <v/>
      </c>
      <c r="K759" s="69" t="str">
        <f t="shared" si="6"/>
        <v/>
      </c>
      <c r="L759" s="60" t="str">
        <f t="shared" si="7"/>
        <v/>
      </c>
      <c r="M759" s="61" t="str">
        <f>IFERROR(__xludf.DUMMYFUNCTION("IFS(AND(COUNTA(C759:C1644)=0,COUNTA(Q759:Q1644)=0),"""",OR(AND(K759&gt;=1000000000,OR(Y759&gt;=1000000000,COUNTA(Q759:Q1644)=0)),OR(Y759&gt;=1000000000,AND(COUNTA(C759:C1644)=0,P$3=TRUE))),
ROUNDDOWN((AB$1-AC$1)*MAX(INDEX(T$4:T1644,MATCH(LARGE(FILTER(Y$4:Y1644,Y$4"&amp;":Y1644&lt;1000000000),1),Y$4:Y1644)),INDEX(F$4:F1644,MATCH(LARGE(FILTER(K$4:K1644,K$4:K1644&lt;1000000000),1),K$4:K1644)))),AND(K759&lt;1000000000,COUNTA(C759:C1644)&gt;0,P$3=FALSE),
ROUNDDOWN(INDEX(Y$4:Y1644,MATCH(LARGE(FILTER(W$4:W1644,W$4:W1644&lt;=I759),1),W$4:W1644"&amp;"))+(I759-LARGE(FILTER(W$4:W1644,W$4:W1644&lt;=I759),1))*INDEX(T$4:T1644,MATCH(LARGE(FILTER(W$4:W1644,W$4:W1644&lt;=I759),1),W$4:W1644))-K759),1,
ROUNDDOWN(Y759-INDEX(K$4:K1644,MATCH(LARGE(FILTER(I$4:I1644,I$4:I1644&lt;=W759),1),I$4:I1644))-(W759-LARGE(FILTER(I$4:I"&amp;"1644,I$4:I1644&lt;=W759),1))*INDEX(F$4:F1644,MATCH(LARGE(FILTER(I$4:I1644,I$4:I1644&lt;=W759),1),I$4:I1644))))"),"")</f>
        <v/>
      </c>
      <c r="N759" s="60" t="str">
        <f t="shared" si="8"/>
        <v/>
      </c>
      <c r="O759" s="61" t="str">
        <f t="shared" si="9"/>
        <v/>
      </c>
      <c r="P759" s="56" t="str">
        <f t="shared" si="10"/>
        <v/>
      </c>
      <c r="Q759" s="105"/>
      <c r="R759" s="10"/>
      <c r="S759" s="59" t="str">
        <f t="array" ref="S759">IF(COUNTA(Q759:Q1644)=0,"",SUM((COUNTIF(Q$4:Q759,Upgrades!$B$3:$B$13)-COUNTIF(Q$4:Q759,"Sell_"&amp;Upgrades!$B$3:$B$13))*Upgrades!$D$3:$D$13))</f>
        <v/>
      </c>
      <c r="T759" s="66" t="str">
        <f>IFERROR(__xludf.DUMMYFUNCTION("IF(COUNTA(Q759:Q1644)=0,"""",IF(REGEXMATCH(INDEX(FILTER(Q$4:Q759,Q$4:Q759&lt;&gt;""""),ROWS(FILTER(Q$4:Q759,Q$4:Q759&lt;&gt;""""))),""^Sell_""),INDEX(FILTER(T$4:T758,Q$4:Q758&lt;&gt;""""),ROWS(FILTER(Q$4:Q758,Q$4:Q758&lt;&gt;""""))),$AD$5+S759))"),"")</f>
        <v/>
      </c>
      <c r="U759" s="10" t="str">
        <f>IFERROR(__xludf.DUMMYFUNCTION("IF(COUNTA(Q759:Q1644)=0,"""",IF(Q759="""",0,IF(REGEXMATCH(Q759,""^Sell_""),-ROUNDDOWN(ROUNDUP(INDEX(Upgrades!$C$3:$C$13,MATCH(SUBSTITUTE(Q759,""Sell_"",""""),Upgrades!$B$3:$B$13,0))*1.15^(COUNTIF(Q$4:Q758,SUBSTITUTE(Q759,""Sell_"",""""))-COUNTIF(Q$4:Q758,"&amp;"""Sell_""&amp;SUBSTITUTE(Q759,""Sell_"",""""))))/2),ROUNDUP(INDEX(Upgrades!$C$3:$C$13,MATCH(Q759,Upgrades!$B$3:$B$13,0))*1.15^(COUNTIF(Q$4:Q758,Q759)-COUNTIF(Q$4:Q758,""Sell_""&amp;Q759))))))"),"")</f>
        <v/>
      </c>
      <c r="V759" s="10" t="str">
        <f t="shared" si="11"/>
        <v/>
      </c>
      <c r="W759" s="68" t="str">
        <f t="shared" si="12"/>
        <v/>
      </c>
      <c r="X759" s="59" t="str">
        <f t="shared" si="13"/>
        <v/>
      </c>
      <c r="Y759" s="69" t="str">
        <f t="shared" si="14"/>
        <v/>
      </c>
      <c r="Z759" s="11"/>
      <c r="AG759" s="59"/>
    </row>
    <row r="760">
      <c r="A760" s="8"/>
      <c r="B760" s="56" t="str">
        <f t="shared" si="2"/>
        <v/>
      </c>
      <c r="C760" s="105"/>
      <c r="D760" s="10"/>
      <c r="E760" s="59" t="str">
        <f t="array" ref="E760">IF(COUNTA(C760:C1644)=0,"",SUM((COUNTIF(C$4:C760,Upgrades!$B$3:$B$13)-COUNTIF(C$4:C760,"Sell_"&amp;Upgrades!$B$3:$B$13))*Upgrades!$D$3:$D$13))</f>
        <v/>
      </c>
      <c r="F760" s="66" t="str">
        <f>IFERROR(__xludf.DUMMYFUNCTION("IF(COUNTA(C760:C1644)=0,"""",IF(REGEXMATCH(INDEX(FILTER(C$4:C760,C$4:C760&lt;&gt;""""),ROWS(FILTER(C$4:C760,C$4:C760&lt;&gt;""""))),""^Sell_""),INDEX(FILTER(F$4:F759,C$4:C759&lt;&gt;""""),ROWS(FILTER(C$4:C759,C$4:C759&lt;&gt;""""))),$AC$5+E760))"),"")</f>
        <v/>
      </c>
      <c r="G760" s="10" t="str">
        <f>IFERROR(__xludf.DUMMYFUNCTION("IF(COUNTA(C760:C1644)=0,"""",IF(C760="""",0,IF(REGEXMATCH(C760,""^Sell_""),-ROUNDDOWN(ROUNDUP(INDEX(Upgrades!$C$3:$C$13,MATCH(SUBSTITUTE(C760,""Sell_"",""""),Upgrades!$B$3:$B$13,0))*1.15^(COUNTIF(C$4:C759,SUBSTITUTE(C760,""Sell_"",""""))-COUNTIF(C$4:C759,"&amp;"""Sell_""&amp;SUBSTITUTE(C760,""Sell_"",""""))))/2),ROUNDUP(INDEX(Upgrades!$C$3:$C$13,MATCH(C760,Upgrades!$B$3:$B$13,0))*1.15^(COUNTIF(C$4:C759,C760)-COUNTIF(C$4:C759,""Sell_""&amp;C760))))))"),"")</f>
        <v/>
      </c>
      <c r="H760" s="10" t="str">
        <f t="shared" si="3"/>
        <v/>
      </c>
      <c r="I760" s="68" t="str">
        <f t="shared" si="4"/>
        <v/>
      </c>
      <c r="J760" s="59" t="str">
        <f t="shared" si="5"/>
        <v/>
      </c>
      <c r="K760" s="69" t="str">
        <f t="shared" si="6"/>
        <v/>
      </c>
      <c r="L760" s="60" t="str">
        <f t="shared" si="7"/>
        <v/>
      </c>
      <c r="M760" s="61" t="str">
        <f>IFERROR(__xludf.DUMMYFUNCTION("IFS(AND(COUNTA(C760:C1644)=0,COUNTA(Q760:Q1644)=0),"""",OR(AND(K760&gt;=1000000000,OR(Y760&gt;=1000000000,COUNTA(Q760:Q1644)=0)),OR(Y760&gt;=1000000000,AND(COUNTA(C760:C1644)=0,P$3=TRUE))),
ROUNDDOWN((AB$1-AC$1)*MAX(INDEX(T$4:T1644,MATCH(LARGE(FILTER(Y$4:Y1644,Y$4"&amp;":Y1644&lt;1000000000),1),Y$4:Y1644)),INDEX(F$4:F1644,MATCH(LARGE(FILTER(K$4:K1644,K$4:K1644&lt;1000000000),1),K$4:K1644)))),AND(K760&lt;1000000000,COUNTA(C760:C1644)&gt;0,P$3=FALSE),
ROUNDDOWN(INDEX(Y$4:Y1644,MATCH(LARGE(FILTER(W$4:W1644,W$4:W1644&lt;=I760),1),W$4:W1644"&amp;"))+(I760-LARGE(FILTER(W$4:W1644,W$4:W1644&lt;=I760),1))*INDEX(T$4:T1644,MATCH(LARGE(FILTER(W$4:W1644,W$4:W1644&lt;=I760),1),W$4:W1644))-K760),1,
ROUNDDOWN(Y760-INDEX(K$4:K1644,MATCH(LARGE(FILTER(I$4:I1644,I$4:I1644&lt;=W760),1),I$4:I1644))-(W760-LARGE(FILTER(I$4:I"&amp;"1644,I$4:I1644&lt;=W760),1))*INDEX(F$4:F1644,MATCH(LARGE(FILTER(I$4:I1644,I$4:I1644&lt;=W760),1),I$4:I1644))))"),"")</f>
        <v/>
      </c>
      <c r="N760" s="60" t="str">
        <f t="shared" si="8"/>
        <v/>
      </c>
      <c r="O760" s="61" t="str">
        <f t="shared" si="9"/>
        <v/>
      </c>
      <c r="P760" s="56" t="str">
        <f t="shared" si="10"/>
        <v/>
      </c>
      <c r="Q760" s="105"/>
      <c r="R760" s="10"/>
      <c r="S760" s="59" t="str">
        <f t="array" ref="S760">IF(COUNTA(Q760:Q1644)=0,"",SUM((COUNTIF(Q$4:Q760,Upgrades!$B$3:$B$13)-COUNTIF(Q$4:Q760,"Sell_"&amp;Upgrades!$B$3:$B$13))*Upgrades!$D$3:$D$13))</f>
        <v/>
      </c>
      <c r="T760" s="66" t="str">
        <f>IFERROR(__xludf.DUMMYFUNCTION("IF(COUNTA(Q760:Q1644)=0,"""",IF(REGEXMATCH(INDEX(FILTER(Q$4:Q760,Q$4:Q760&lt;&gt;""""),ROWS(FILTER(Q$4:Q760,Q$4:Q760&lt;&gt;""""))),""^Sell_""),INDEX(FILTER(T$4:T759,Q$4:Q759&lt;&gt;""""),ROWS(FILTER(Q$4:Q759,Q$4:Q759&lt;&gt;""""))),$AD$5+S760))"),"")</f>
        <v/>
      </c>
      <c r="U760" s="10" t="str">
        <f>IFERROR(__xludf.DUMMYFUNCTION("IF(COUNTA(Q760:Q1644)=0,"""",IF(Q760="""",0,IF(REGEXMATCH(Q760,""^Sell_""),-ROUNDDOWN(ROUNDUP(INDEX(Upgrades!$C$3:$C$13,MATCH(SUBSTITUTE(Q760,""Sell_"",""""),Upgrades!$B$3:$B$13,0))*1.15^(COUNTIF(Q$4:Q759,SUBSTITUTE(Q760,""Sell_"",""""))-COUNTIF(Q$4:Q759,"&amp;"""Sell_""&amp;SUBSTITUTE(Q760,""Sell_"",""""))))/2),ROUNDUP(INDEX(Upgrades!$C$3:$C$13,MATCH(Q760,Upgrades!$B$3:$B$13,0))*1.15^(COUNTIF(Q$4:Q759,Q760)-COUNTIF(Q$4:Q759,""Sell_""&amp;Q760))))))"),"")</f>
        <v/>
      </c>
      <c r="V760" s="10" t="str">
        <f t="shared" si="11"/>
        <v/>
      </c>
      <c r="W760" s="68" t="str">
        <f t="shared" si="12"/>
        <v/>
      </c>
      <c r="X760" s="59" t="str">
        <f t="shared" si="13"/>
        <v/>
      </c>
      <c r="Y760" s="69" t="str">
        <f t="shared" si="14"/>
        <v/>
      </c>
      <c r="Z760" s="11"/>
      <c r="AG760" s="59"/>
    </row>
    <row r="761">
      <c r="A761" s="8"/>
      <c r="B761" s="56" t="str">
        <f t="shared" si="2"/>
        <v/>
      </c>
      <c r="C761" s="105"/>
      <c r="D761" s="10"/>
      <c r="E761" s="59" t="str">
        <f t="array" ref="E761">IF(COUNTA(C761:C1644)=0,"",SUM((COUNTIF(C$4:C761,Upgrades!$B$3:$B$13)-COUNTIF(C$4:C761,"Sell_"&amp;Upgrades!$B$3:$B$13))*Upgrades!$D$3:$D$13))</f>
        <v/>
      </c>
      <c r="F761" s="66" t="str">
        <f>IFERROR(__xludf.DUMMYFUNCTION("IF(COUNTA(C761:C1644)=0,"""",IF(REGEXMATCH(INDEX(FILTER(C$4:C761,C$4:C761&lt;&gt;""""),ROWS(FILTER(C$4:C761,C$4:C761&lt;&gt;""""))),""^Sell_""),INDEX(FILTER(F$4:F760,C$4:C760&lt;&gt;""""),ROWS(FILTER(C$4:C760,C$4:C760&lt;&gt;""""))),$AC$5+E761))"),"")</f>
        <v/>
      </c>
      <c r="G761" s="10" t="str">
        <f>IFERROR(__xludf.DUMMYFUNCTION("IF(COUNTA(C761:C1644)=0,"""",IF(C761="""",0,IF(REGEXMATCH(C761,""^Sell_""),-ROUNDDOWN(ROUNDUP(INDEX(Upgrades!$C$3:$C$13,MATCH(SUBSTITUTE(C761,""Sell_"",""""),Upgrades!$B$3:$B$13,0))*1.15^(COUNTIF(C$4:C760,SUBSTITUTE(C761,""Sell_"",""""))-COUNTIF(C$4:C760,"&amp;"""Sell_""&amp;SUBSTITUTE(C761,""Sell_"",""""))))/2),ROUNDUP(INDEX(Upgrades!$C$3:$C$13,MATCH(C761,Upgrades!$B$3:$B$13,0))*1.15^(COUNTIF(C$4:C760,C761)-COUNTIF(C$4:C760,""Sell_""&amp;C761))))))"),"")</f>
        <v/>
      </c>
      <c r="H761" s="10" t="str">
        <f t="shared" si="3"/>
        <v/>
      </c>
      <c r="I761" s="68" t="str">
        <f t="shared" si="4"/>
        <v/>
      </c>
      <c r="J761" s="59" t="str">
        <f t="shared" si="5"/>
        <v/>
      </c>
      <c r="K761" s="69" t="str">
        <f t="shared" si="6"/>
        <v/>
      </c>
      <c r="L761" s="60" t="str">
        <f t="shared" si="7"/>
        <v/>
      </c>
      <c r="M761" s="61" t="str">
        <f>IFERROR(__xludf.DUMMYFUNCTION("IFS(AND(COUNTA(C761:C1644)=0,COUNTA(Q761:Q1644)=0),"""",OR(AND(K761&gt;=1000000000,OR(Y761&gt;=1000000000,COUNTA(Q761:Q1644)=0)),OR(Y761&gt;=1000000000,AND(COUNTA(C761:C1644)=0,P$3=TRUE))),
ROUNDDOWN((AB$1-AC$1)*MAX(INDEX(T$4:T1644,MATCH(LARGE(FILTER(Y$4:Y1644,Y$4"&amp;":Y1644&lt;1000000000),1),Y$4:Y1644)),INDEX(F$4:F1644,MATCH(LARGE(FILTER(K$4:K1644,K$4:K1644&lt;1000000000),1),K$4:K1644)))),AND(K761&lt;1000000000,COUNTA(C761:C1644)&gt;0,P$3=FALSE),
ROUNDDOWN(INDEX(Y$4:Y1644,MATCH(LARGE(FILTER(W$4:W1644,W$4:W1644&lt;=I761),1),W$4:W1644"&amp;"))+(I761-LARGE(FILTER(W$4:W1644,W$4:W1644&lt;=I761),1))*INDEX(T$4:T1644,MATCH(LARGE(FILTER(W$4:W1644,W$4:W1644&lt;=I761),1),W$4:W1644))-K761),1,
ROUNDDOWN(Y761-INDEX(K$4:K1644,MATCH(LARGE(FILTER(I$4:I1644,I$4:I1644&lt;=W761),1),I$4:I1644))-(W761-LARGE(FILTER(I$4:I"&amp;"1644,I$4:I1644&lt;=W761),1))*INDEX(F$4:F1644,MATCH(LARGE(FILTER(I$4:I1644,I$4:I1644&lt;=W761),1),I$4:I1644))))"),"")</f>
        <v/>
      </c>
      <c r="N761" s="60" t="str">
        <f t="shared" si="8"/>
        <v/>
      </c>
      <c r="O761" s="61" t="str">
        <f t="shared" si="9"/>
        <v/>
      </c>
      <c r="P761" s="56" t="str">
        <f t="shared" si="10"/>
        <v/>
      </c>
      <c r="Q761" s="105"/>
      <c r="R761" s="10"/>
      <c r="S761" s="59" t="str">
        <f t="array" ref="S761">IF(COUNTA(Q761:Q1644)=0,"",SUM((COUNTIF(Q$4:Q761,Upgrades!$B$3:$B$13)-COUNTIF(Q$4:Q761,"Sell_"&amp;Upgrades!$B$3:$B$13))*Upgrades!$D$3:$D$13))</f>
        <v/>
      </c>
      <c r="T761" s="66" t="str">
        <f>IFERROR(__xludf.DUMMYFUNCTION("IF(COUNTA(Q761:Q1644)=0,"""",IF(REGEXMATCH(INDEX(FILTER(Q$4:Q761,Q$4:Q761&lt;&gt;""""),ROWS(FILTER(Q$4:Q761,Q$4:Q761&lt;&gt;""""))),""^Sell_""),INDEX(FILTER(T$4:T760,Q$4:Q760&lt;&gt;""""),ROWS(FILTER(Q$4:Q760,Q$4:Q760&lt;&gt;""""))),$AD$5+S761))"),"")</f>
        <v/>
      </c>
      <c r="U761" s="10" t="str">
        <f>IFERROR(__xludf.DUMMYFUNCTION("IF(COUNTA(Q761:Q1644)=0,"""",IF(Q761="""",0,IF(REGEXMATCH(Q761,""^Sell_""),-ROUNDDOWN(ROUNDUP(INDEX(Upgrades!$C$3:$C$13,MATCH(SUBSTITUTE(Q761,""Sell_"",""""),Upgrades!$B$3:$B$13,0))*1.15^(COUNTIF(Q$4:Q760,SUBSTITUTE(Q761,""Sell_"",""""))-COUNTIF(Q$4:Q760,"&amp;"""Sell_""&amp;SUBSTITUTE(Q761,""Sell_"",""""))))/2),ROUNDUP(INDEX(Upgrades!$C$3:$C$13,MATCH(Q761,Upgrades!$B$3:$B$13,0))*1.15^(COUNTIF(Q$4:Q760,Q761)-COUNTIF(Q$4:Q760,""Sell_""&amp;Q761))))))"),"")</f>
        <v/>
      </c>
      <c r="V761" s="10" t="str">
        <f t="shared" si="11"/>
        <v/>
      </c>
      <c r="W761" s="68" t="str">
        <f t="shared" si="12"/>
        <v/>
      </c>
      <c r="X761" s="59" t="str">
        <f t="shared" si="13"/>
        <v/>
      </c>
      <c r="Y761" s="69" t="str">
        <f t="shared" si="14"/>
        <v/>
      </c>
      <c r="Z761" s="11"/>
      <c r="AG761" s="59"/>
    </row>
    <row r="762">
      <c r="A762" s="8"/>
      <c r="B762" s="56" t="str">
        <f t="shared" si="2"/>
        <v/>
      </c>
      <c r="C762" s="105"/>
      <c r="D762" s="10"/>
      <c r="E762" s="59" t="str">
        <f t="array" ref="E762">IF(COUNTA(C762:C1644)=0,"",SUM((COUNTIF(C$4:C762,Upgrades!$B$3:$B$13)-COUNTIF(C$4:C762,"Sell_"&amp;Upgrades!$B$3:$B$13))*Upgrades!$D$3:$D$13))</f>
        <v/>
      </c>
      <c r="F762" s="66" t="str">
        <f>IFERROR(__xludf.DUMMYFUNCTION("IF(COUNTA(C762:C1644)=0,"""",IF(REGEXMATCH(INDEX(FILTER(C$4:C762,C$4:C762&lt;&gt;""""),ROWS(FILTER(C$4:C762,C$4:C762&lt;&gt;""""))),""^Sell_""),INDEX(FILTER(F$4:F761,C$4:C761&lt;&gt;""""),ROWS(FILTER(C$4:C761,C$4:C761&lt;&gt;""""))),$AC$5+E762))"),"")</f>
        <v/>
      </c>
      <c r="G762" s="10" t="str">
        <f>IFERROR(__xludf.DUMMYFUNCTION("IF(COUNTA(C762:C1644)=0,"""",IF(C762="""",0,IF(REGEXMATCH(C762,""^Sell_""),-ROUNDDOWN(ROUNDUP(INDEX(Upgrades!$C$3:$C$13,MATCH(SUBSTITUTE(C762,""Sell_"",""""),Upgrades!$B$3:$B$13,0))*1.15^(COUNTIF(C$4:C761,SUBSTITUTE(C762,""Sell_"",""""))-COUNTIF(C$4:C761,"&amp;"""Sell_""&amp;SUBSTITUTE(C762,""Sell_"",""""))))/2),ROUNDUP(INDEX(Upgrades!$C$3:$C$13,MATCH(C762,Upgrades!$B$3:$B$13,0))*1.15^(COUNTIF(C$4:C761,C762)-COUNTIF(C$4:C761,""Sell_""&amp;C762))))))"),"")</f>
        <v/>
      </c>
      <c r="H762" s="10" t="str">
        <f t="shared" si="3"/>
        <v/>
      </c>
      <c r="I762" s="68" t="str">
        <f t="shared" si="4"/>
        <v/>
      </c>
      <c r="J762" s="59" t="str">
        <f t="shared" si="5"/>
        <v/>
      </c>
      <c r="K762" s="69" t="str">
        <f t="shared" si="6"/>
        <v/>
      </c>
      <c r="L762" s="60" t="str">
        <f t="shared" si="7"/>
        <v/>
      </c>
      <c r="M762" s="61" t="str">
        <f>IFERROR(__xludf.DUMMYFUNCTION("IFS(AND(COUNTA(C762:C1644)=0,COUNTA(Q762:Q1644)=0),"""",OR(AND(K762&gt;=1000000000,OR(Y762&gt;=1000000000,COUNTA(Q762:Q1644)=0)),OR(Y762&gt;=1000000000,AND(COUNTA(C762:C1644)=0,P$3=TRUE))),
ROUNDDOWN((AB$1-AC$1)*MAX(INDEX(T$4:T1644,MATCH(LARGE(FILTER(Y$4:Y1644,Y$4"&amp;":Y1644&lt;1000000000),1),Y$4:Y1644)),INDEX(F$4:F1644,MATCH(LARGE(FILTER(K$4:K1644,K$4:K1644&lt;1000000000),1),K$4:K1644)))),AND(K762&lt;1000000000,COUNTA(C762:C1644)&gt;0,P$3=FALSE),
ROUNDDOWN(INDEX(Y$4:Y1644,MATCH(LARGE(FILTER(W$4:W1644,W$4:W1644&lt;=I762),1),W$4:W1644"&amp;"))+(I762-LARGE(FILTER(W$4:W1644,W$4:W1644&lt;=I762),1))*INDEX(T$4:T1644,MATCH(LARGE(FILTER(W$4:W1644,W$4:W1644&lt;=I762),1),W$4:W1644))-K762),1,
ROUNDDOWN(Y762-INDEX(K$4:K1644,MATCH(LARGE(FILTER(I$4:I1644,I$4:I1644&lt;=W762),1),I$4:I1644))-(W762-LARGE(FILTER(I$4:I"&amp;"1644,I$4:I1644&lt;=W762),1))*INDEX(F$4:F1644,MATCH(LARGE(FILTER(I$4:I1644,I$4:I1644&lt;=W762),1),I$4:I1644))))"),"")</f>
        <v/>
      </c>
      <c r="N762" s="60" t="str">
        <f t="shared" si="8"/>
        <v/>
      </c>
      <c r="O762" s="61" t="str">
        <f t="shared" si="9"/>
        <v/>
      </c>
      <c r="P762" s="56" t="str">
        <f t="shared" si="10"/>
        <v/>
      </c>
      <c r="Q762" s="105"/>
      <c r="R762" s="10"/>
      <c r="S762" s="59" t="str">
        <f t="array" ref="S762">IF(COUNTA(Q762:Q1644)=0,"",SUM((COUNTIF(Q$4:Q762,Upgrades!$B$3:$B$13)-COUNTIF(Q$4:Q762,"Sell_"&amp;Upgrades!$B$3:$B$13))*Upgrades!$D$3:$D$13))</f>
        <v/>
      </c>
      <c r="T762" s="66" t="str">
        <f>IFERROR(__xludf.DUMMYFUNCTION("IF(COUNTA(Q762:Q1644)=0,"""",IF(REGEXMATCH(INDEX(FILTER(Q$4:Q762,Q$4:Q762&lt;&gt;""""),ROWS(FILTER(Q$4:Q762,Q$4:Q762&lt;&gt;""""))),""^Sell_""),INDEX(FILTER(T$4:T761,Q$4:Q761&lt;&gt;""""),ROWS(FILTER(Q$4:Q761,Q$4:Q761&lt;&gt;""""))),$AD$5+S762))"),"")</f>
        <v/>
      </c>
      <c r="U762" s="10" t="str">
        <f>IFERROR(__xludf.DUMMYFUNCTION("IF(COUNTA(Q762:Q1644)=0,"""",IF(Q762="""",0,IF(REGEXMATCH(Q762,""^Sell_""),-ROUNDDOWN(ROUNDUP(INDEX(Upgrades!$C$3:$C$13,MATCH(SUBSTITUTE(Q762,""Sell_"",""""),Upgrades!$B$3:$B$13,0))*1.15^(COUNTIF(Q$4:Q761,SUBSTITUTE(Q762,""Sell_"",""""))-COUNTIF(Q$4:Q761,"&amp;"""Sell_""&amp;SUBSTITUTE(Q762,""Sell_"",""""))))/2),ROUNDUP(INDEX(Upgrades!$C$3:$C$13,MATCH(Q762,Upgrades!$B$3:$B$13,0))*1.15^(COUNTIF(Q$4:Q761,Q762)-COUNTIF(Q$4:Q761,""Sell_""&amp;Q762))))))"),"")</f>
        <v/>
      </c>
      <c r="V762" s="10" t="str">
        <f t="shared" si="11"/>
        <v/>
      </c>
      <c r="W762" s="68" t="str">
        <f t="shared" si="12"/>
        <v/>
      </c>
      <c r="X762" s="59" t="str">
        <f t="shared" si="13"/>
        <v/>
      </c>
      <c r="Y762" s="69" t="str">
        <f t="shared" si="14"/>
        <v/>
      </c>
      <c r="Z762" s="11"/>
      <c r="AG762" s="59"/>
    </row>
    <row r="763">
      <c r="A763" s="8"/>
      <c r="B763" s="56" t="str">
        <f t="shared" si="2"/>
        <v/>
      </c>
      <c r="C763" s="105"/>
      <c r="D763" s="10"/>
      <c r="E763" s="59" t="str">
        <f t="array" ref="E763">IF(COUNTA(C763:C1644)=0,"",SUM((COUNTIF(C$4:C763,Upgrades!$B$3:$B$13)-COUNTIF(C$4:C763,"Sell_"&amp;Upgrades!$B$3:$B$13))*Upgrades!$D$3:$D$13))</f>
        <v/>
      </c>
      <c r="F763" s="66" t="str">
        <f>IFERROR(__xludf.DUMMYFUNCTION("IF(COUNTA(C763:C1644)=0,"""",IF(REGEXMATCH(INDEX(FILTER(C$4:C763,C$4:C763&lt;&gt;""""),ROWS(FILTER(C$4:C763,C$4:C763&lt;&gt;""""))),""^Sell_""),INDEX(FILTER(F$4:F762,C$4:C762&lt;&gt;""""),ROWS(FILTER(C$4:C762,C$4:C762&lt;&gt;""""))),$AC$5+E763))"),"")</f>
        <v/>
      </c>
      <c r="G763" s="10" t="str">
        <f>IFERROR(__xludf.DUMMYFUNCTION("IF(COUNTA(C763:C1644)=0,"""",IF(C763="""",0,IF(REGEXMATCH(C763,""^Sell_""),-ROUNDDOWN(ROUNDUP(INDEX(Upgrades!$C$3:$C$13,MATCH(SUBSTITUTE(C763,""Sell_"",""""),Upgrades!$B$3:$B$13,0))*1.15^(COUNTIF(C$4:C762,SUBSTITUTE(C763,""Sell_"",""""))-COUNTIF(C$4:C762,"&amp;"""Sell_""&amp;SUBSTITUTE(C763,""Sell_"",""""))))/2),ROUNDUP(INDEX(Upgrades!$C$3:$C$13,MATCH(C763,Upgrades!$B$3:$B$13,0))*1.15^(COUNTIF(C$4:C762,C763)-COUNTIF(C$4:C762,""Sell_""&amp;C763))))))"),"")</f>
        <v/>
      </c>
      <c r="H763" s="10" t="str">
        <f t="shared" si="3"/>
        <v/>
      </c>
      <c r="I763" s="68" t="str">
        <f t="shared" si="4"/>
        <v/>
      </c>
      <c r="J763" s="59" t="str">
        <f t="shared" si="5"/>
        <v/>
      </c>
      <c r="K763" s="69" t="str">
        <f t="shared" si="6"/>
        <v/>
      </c>
      <c r="L763" s="60" t="str">
        <f t="shared" si="7"/>
        <v/>
      </c>
      <c r="M763" s="61" t="str">
        <f>IFERROR(__xludf.DUMMYFUNCTION("IFS(AND(COUNTA(C763:C1644)=0,COUNTA(Q763:Q1644)=0),"""",OR(AND(K763&gt;=1000000000,OR(Y763&gt;=1000000000,COUNTA(Q763:Q1644)=0)),OR(Y763&gt;=1000000000,AND(COUNTA(C763:C1644)=0,P$3=TRUE))),
ROUNDDOWN((AB$1-AC$1)*MAX(INDEX(T$4:T1644,MATCH(LARGE(FILTER(Y$4:Y1644,Y$4"&amp;":Y1644&lt;1000000000),1),Y$4:Y1644)),INDEX(F$4:F1644,MATCH(LARGE(FILTER(K$4:K1644,K$4:K1644&lt;1000000000),1),K$4:K1644)))),AND(K763&lt;1000000000,COUNTA(C763:C1644)&gt;0,P$3=FALSE),
ROUNDDOWN(INDEX(Y$4:Y1644,MATCH(LARGE(FILTER(W$4:W1644,W$4:W1644&lt;=I763),1),W$4:W1644"&amp;"))+(I763-LARGE(FILTER(W$4:W1644,W$4:W1644&lt;=I763),1))*INDEX(T$4:T1644,MATCH(LARGE(FILTER(W$4:W1644,W$4:W1644&lt;=I763),1),W$4:W1644))-K763),1,
ROUNDDOWN(Y763-INDEX(K$4:K1644,MATCH(LARGE(FILTER(I$4:I1644,I$4:I1644&lt;=W763),1),I$4:I1644))-(W763-LARGE(FILTER(I$4:I"&amp;"1644,I$4:I1644&lt;=W763),1))*INDEX(F$4:F1644,MATCH(LARGE(FILTER(I$4:I1644,I$4:I1644&lt;=W763),1),I$4:I1644))))"),"")</f>
        <v/>
      </c>
      <c r="N763" s="60" t="str">
        <f t="shared" si="8"/>
        <v/>
      </c>
      <c r="O763" s="61" t="str">
        <f t="shared" si="9"/>
        <v/>
      </c>
      <c r="P763" s="56" t="str">
        <f t="shared" si="10"/>
        <v/>
      </c>
      <c r="Q763" s="105"/>
      <c r="R763" s="10"/>
      <c r="S763" s="59" t="str">
        <f t="array" ref="S763">IF(COUNTA(Q763:Q1644)=0,"",SUM((COUNTIF(Q$4:Q763,Upgrades!$B$3:$B$13)-COUNTIF(Q$4:Q763,"Sell_"&amp;Upgrades!$B$3:$B$13))*Upgrades!$D$3:$D$13))</f>
        <v/>
      </c>
      <c r="T763" s="66" t="str">
        <f>IFERROR(__xludf.DUMMYFUNCTION("IF(COUNTA(Q763:Q1644)=0,"""",IF(REGEXMATCH(INDEX(FILTER(Q$4:Q763,Q$4:Q763&lt;&gt;""""),ROWS(FILTER(Q$4:Q763,Q$4:Q763&lt;&gt;""""))),""^Sell_""),INDEX(FILTER(T$4:T762,Q$4:Q762&lt;&gt;""""),ROWS(FILTER(Q$4:Q762,Q$4:Q762&lt;&gt;""""))),$AD$5+S763))"),"")</f>
        <v/>
      </c>
      <c r="U763" s="10" t="str">
        <f>IFERROR(__xludf.DUMMYFUNCTION("IF(COUNTA(Q763:Q1644)=0,"""",IF(Q763="""",0,IF(REGEXMATCH(Q763,""^Sell_""),-ROUNDDOWN(ROUNDUP(INDEX(Upgrades!$C$3:$C$13,MATCH(SUBSTITUTE(Q763,""Sell_"",""""),Upgrades!$B$3:$B$13,0))*1.15^(COUNTIF(Q$4:Q762,SUBSTITUTE(Q763,""Sell_"",""""))-COUNTIF(Q$4:Q762,"&amp;"""Sell_""&amp;SUBSTITUTE(Q763,""Sell_"",""""))))/2),ROUNDUP(INDEX(Upgrades!$C$3:$C$13,MATCH(Q763,Upgrades!$B$3:$B$13,0))*1.15^(COUNTIF(Q$4:Q762,Q763)-COUNTIF(Q$4:Q762,""Sell_""&amp;Q763))))))"),"")</f>
        <v/>
      </c>
      <c r="V763" s="10" t="str">
        <f t="shared" si="11"/>
        <v/>
      </c>
      <c r="W763" s="68" t="str">
        <f t="shared" si="12"/>
        <v/>
      </c>
      <c r="X763" s="59" t="str">
        <f t="shared" si="13"/>
        <v/>
      </c>
      <c r="Y763" s="69" t="str">
        <f t="shared" si="14"/>
        <v/>
      </c>
      <c r="Z763" s="11"/>
      <c r="AG763" s="59"/>
    </row>
    <row r="764">
      <c r="A764" s="8"/>
      <c r="B764" s="56" t="str">
        <f t="shared" si="2"/>
        <v/>
      </c>
      <c r="C764" s="105"/>
      <c r="D764" s="10"/>
      <c r="E764" s="59" t="str">
        <f t="array" ref="E764">IF(COUNTA(C764:C1644)=0,"",SUM((COUNTIF(C$4:C764,Upgrades!$B$3:$B$13)-COUNTIF(C$4:C764,"Sell_"&amp;Upgrades!$B$3:$B$13))*Upgrades!$D$3:$D$13))</f>
        <v/>
      </c>
      <c r="F764" s="66" t="str">
        <f>IFERROR(__xludf.DUMMYFUNCTION("IF(COUNTA(C764:C1644)=0,"""",IF(REGEXMATCH(INDEX(FILTER(C$4:C764,C$4:C764&lt;&gt;""""),ROWS(FILTER(C$4:C764,C$4:C764&lt;&gt;""""))),""^Sell_""),INDEX(FILTER(F$4:F763,C$4:C763&lt;&gt;""""),ROWS(FILTER(C$4:C763,C$4:C763&lt;&gt;""""))),$AC$5+E764))"),"")</f>
        <v/>
      </c>
      <c r="G764" s="10" t="str">
        <f>IFERROR(__xludf.DUMMYFUNCTION("IF(COUNTA(C764:C1644)=0,"""",IF(C764="""",0,IF(REGEXMATCH(C764,""^Sell_""),-ROUNDDOWN(ROUNDUP(INDEX(Upgrades!$C$3:$C$13,MATCH(SUBSTITUTE(C764,""Sell_"",""""),Upgrades!$B$3:$B$13,0))*1.15^(COUNTIF(C$4:C763,SUBSTITUTE(C764,""Sell_"",""""))-COUNTIF(C$4:C763,"&amp;"""Sell_""&amp;SUBSTITUTE(C764,""Sell_"",""""))))/2),ROUNDUP(INDEX(Upgrades!$C$3:$C$13,MATCH(C764,Upgrades!$B$3:$B$13,0))*1.15^(COUNTIF(C$4:C763,C764)-COUNTIF(C$4:C763,""Sell_""&amp;C764))))))"),"")</f>
        <v/>
      </c>
      <c r="H764" s="10" t="str">
        <f t="shared" si="3"/>
        <v/>
      </c>
      <c r="I764" s="68" t="str">
        <f t="shared" si="4"/>
        <v/>
      </c>
      <c r="J764" s="59" t="str">
        <f t="shared" si="5"/>
        <v/>
      </c>
      <c r="K764" s="69" t="str">
        <f t="shared" si="6"/>
        <v/>
      </c>
      <c r="L764" s="60" t="str">
        <f t="shared" si="7"/>
        <v/>
      </c>
      <c r="M764" s="61" t="str">
        <f>IFERROR(__xludf.DUMMYFUNCTION("IFS(AND(COUNTA(C764:C1644)=0,COUNTA(Q764:Q1644)=0),"""",OR(AND(K764&gt;=1000000000,OR(Y764&gt;=1000000000,COUNTA(Q764:Q1644)=0)),OR(Y764&gt;=1000000000,AND(COUNTA(C764:C1644)=0,P$3=TRUE))),
ROUNDDOWN((AB$1-AC$1)*MAX(INDEX(T$4:T1644,MATCH(LARGE(FILTER(Y$4:Y1644,Y$4"&amp;":Y1644&lt;1000000000),1),Y$4:Y1644)),INDEX(F$4:F1644,MATCH(LARGE(FILTER(K$4:K1644,K$4:K1644&lt;1000000000),1),K$4:K1644)))),AND(K764&lt;1000000000,COUNTA(C764:C1644)&gt;0,P$3=FALSE),
ROUNDDOWN(INDEX(Y$4:Y1644,MATCH(LARGE(FILTER(W$4:W1644,W$4:W1644&lt;=I764),1),W$4:W1644"&amp;"))+(I764-LARGE(FILTER(W$4:W1644,W$4:W1644&lt;=I764),1))*INDEX(T$4:T1644,MATCH(LARGE(FILTER(W$4:W1644,W$4:W1644&lt;=I764),1),W$4:W1644))-K764),1,
ROUNDDOWN(Y764-INDEX(K$4:K1644,MATCH(LARGE(FILTER(I$4:I1644,I$4:I1644&lt;=W764),1),I$4:I1644))-(W764-LARGE(FILTER(I$4:I"&amp;"1644,I$4:I1644&lt;=W764),1))*INDEX(F$4:F1644,MATCH(LARGE(FILTER(I$4:I1644,I$4:I1644&lt;=W764),1),I$4:I1644))))"),"")</f>
        <v/>
      </c>
      <c r="N764" s="60" t="str">
        <f t="shared" si="8"/>
        <v/>
      </c>
      <c r="O764" s="61" t="str">
        <f t="shared" si="9"/>
        <v/>
      </c>
      <c r="P764" s="56" t="str">
        <f t="shared" si="10"/>
        <v/>
      </c>
      <c r="Q764" s="105"/>
      <c r="R764" s="10"/>
      <c r="S764" s="59" t="str">
        <f t="array" ref="S764">IF(COUNTA(Q764:Q1644)=0,"",SUM((COUNTIF(Q$4:Q764,Upgrades!$B$3:$B$13)-COUNTIF(Q$4:Q764,"Sell_"&amp;Upgrades!$B$3:$B$13))*Upgrades!$D$3:$D$13))</f>
        <v/>
      </c>
      <c r="T764" s="66" t="str">
        <f>IFERROR(__xludf.DUMMYFUNCTION("IF(COUNTA(Q764:Q1644)=0,"""",IF(REGEXMATCH(INDEX(FILTER(Q$4:Q764,Q$4:Q764&lt;&gt;""""),ROWS(FILTER(Q$4:Q764,Q$4:Q764&lt;&gt;""""))),""^Sell_""),INDEX(FILTER(T$4:T763,Q$4:Q763&lt;&gt;""""),ROWS(FILTER(Q$4:Q763,Q$4:Q763&lt;&gt;""""))),$AD$5+S764))"),"")</f>
        <v/>
      </c>
      <c r="U764" s="10" t="str">
        <f>IFERROR(__xludf.DUMMYFUNCTION("IF(COUNTA(Q764:Q1644)=0,"""",IF(Q764="""",0,IF(REGEXMATCH(Q764,""^Sell_""),-ROUNDDOWN(ROUNDUP(INDEX(Upgrades!$C$3:$C$13,MATCH(SUBSTITUTE(Q764,""Sell_"",""""),Upgrades!$B$3:$B$13,0))*1.15^(COUNTIF(Q$4:Q763,SUBSTITUTE(Q764,""Sell_"",""""))-COUNTIF(Q$4:Q763,"&amp;"""Sell_""&amp;SUBSTITUTE(Q764,""Sell_"",""""))))/2),ROUNDUP(INDEX(Upgrades!$C$3:$C$13,MATCH(Q764,Upgrades!$B$3:$B$13,0))*1.15^(COUNTIF(Q$4:Q763,Q764)-COUNTIF(Q$4:Q763,""Sell_""&amp;Q764))))))"),"")</f>
        <v/>
      </c>
      <c r="V764" s="10" t="str">
        <f t="shared" si="11"/>
        <v/>
      </c>
      <c r="W764" s="68" t="str">
        <f t="shared" si="12"/>
        <v/>
      </c>
      <c r="X764" s="59" t="str">
        <f t="shared" si="13"/>
        <v/>
      </c>
      <c r="Y764" s="69" t="str">
        <f t="shared" si="14"/>
        <v/>
      </c>
      <c r="Z764" s="11"/>
      <c r="AG764" s="59"/>
    </row>
    <row r="765">
      <c r="A765" s="8"/>
      <c r="B765" s="56" t="str">
        <f t="shared" si="2"/>
        <v/>
      </c>
      <c r="C765" s="105"/>
      <c r="D765" s="10"/>
      <c r="E765" s="59" t="str">
        <f t="array" ref="E765">IF(COUNTA(C765:C1644)=0,"",SUM((COUNTIF(C$4:C765,Upgrades!$B$3:$B$13)-COUNTIF(C$4:C765,"Sell_"&amp;Upgrades!$B$3:$B$13))*Upgrades!$D$3:$D$13))</f>
        <v/>
      </c>
      <c r="F765" s="66" t="str">
        <f>IFERROR(__xludf.DUMMYFUNCTION("IF(COUNTA(C765:C1644)=0,"""",IF(REGEXMATCH(INDEX(FILTER(C$4:C765,C$4:C765&lt;&gt;""""),ROWS(FILTER(C$4:C765,C$4:C765&lt;&gt;""""))),""^Sell_""),INDEX(FILTER(F$4:F764,C$4:C764&lt;&gt;""""),ROWS(FILTER(C$4:C764,C$4:C764&lt;&gt;""""))),$AC$5+E765))"),"")</f>
        <v/>
      </c>
      <c r="G765" s="10" t="str">
        <f>IFERROR(__xludf.DUMMYFUNCTION("IF(COUNTA(C765:C1644)=0,"""",IF(C765="""",0,IF(REGEXMATCH(C765,""^Sell_""),-ROUNDDOWN(ROUNDUP(INDEX(Upgrades!$C$3:$C$13,MATCH(SUBSTITUTE(C765,""Sell_"",""""),Upgrades!$B$3:$B$13,0))*1.15^(COUNTIF(C$4:C764,SUBSTITUTE(C765,""Sell_"",""""))-COUNTIF(C$4:C764,"&amp;"""Sell_""&amp;SUBSTITUTE(C765,""Sell_"",""""))))/2),ROUNDUP(INDEX(Upgrades!$C$3:$C$13,MATCH(C765,Upgrades!$B$3:$B$13,0))*1.15^(COUNTIF(C$4:C764,C765)-COUNTIF(C$4:C764,""Sell_""&amp;C765))))))"),"")</f>
        <v/>
      </c>
      <c r="H765" s="10" t="str">
        <f t="shared" si="3"/>
        <v/>
      </c>
      <c r="I765" s="68" t="str">
        <f t="shared" si="4"/>
        <v/>
      </c>
      <c r="J765" s="59" t="str">
        <f t="shared" si="5"/>
        <v/>
      </c>
      <c r="K765" s="69" t="str">
        <f t="shared" si="6"/>
        <v/>
      </c>
      <c r="L765" s="60" t="str">
        <f t="shared" si="7"/>
        <v/>
      </c>
      <c r="M765" s="61" t="str">
        <f>IFERROR(__xludf.DUMMYFUNCTION("IFS(AND(COUNTA(C765:C1644)=0,COUNTA(Q765:Q1644)=0),"""",OR(AND(K765&gt;=1000000000,OR(Y765&gt;=1000000000,COUNTA(Q765:Q1644)=0)),OR(Y765&gt;=1000000000,AND(COUNTA(C765:C1644)=0,P$3=TRUE))),
ROUNDDOWN((AB$1-AC$1)*MAX(INDEX(T$4:T1644,MATCH(LARGE(FILTER(Y$4:Y1644,Y$4"&amp;":Y1644&lt;1000000000),1),Y$4:Y1644)),INDEX(F$4:F1644,MATCH(LARGE(FILTER(K$4:K1644,K$4:K1644&lt;1000000000),1),K$4:K1644)))),AND(K765&lt;1000000000,COUNTA(C765:C1644)&gt;0,P$3=FALSE),
ROUNDDOWN(INDEX(Y$4:Y1644,MATCH(LARGE(FILTER(W$4:W1644,W$4:W1644&lt;=I765),1),W$4:W1644"&amp;"))+(I765-LARGE(FILTER(W$4:W1644,W$4:W1644&lt;=I765),1))*INDEX(T$4:T1644,MATCH(LARGE(FILTER(W$4:W1644,W$4:W1644&lt;=I765),1),W$4:W1644))-K765),1,
ROUNDDOWN(Y765-INDEX(K$4:K1644,MATCH(LARGE(FILTER(I$4:I1644,I$4:I1644&lt;=W765),1),I$4:I1644))-(W765-LARGE(FILTER(I$4:I"&amp;"1644,I$4:I1644&lt;=W765),1))*INDEX(F$4:F1644,MATCH(LARGE(FILTER(I$4:I1644,I$4:I1644&lt;=W765),1),I$4:I1644))))"),"")</f>
        <v/>
      </c>
      <c r="N765" s="60" t="str">
        <f t="shared" si="8"/>
        <v/>
      </c>
      <c r="O765" s="61" t="str">
        <f t="shared" si="9"/>
        <v/>
      </c>
      <c r="P765" s="56" t="str">
        <f t="shared" si="10"/>
        <v/>
      </c>
      <c r="Q765" s="105"/>
      <c r="R765" s="10"/>
      <c r="S765" s="59" t="str">
        <f t="array" ref="S765">IF(COUNTA(Q765:Q1644)=0,"",SUM((COUNTIF(Q$4:Q765,Upgrades!$B$3:$B$13)-COUNTIF(Q$4:Q765,"Sell_"&amp;Upgrades!$B$3:$B$13))*Upgrades!$D$3:$D$13))</f>
        <v/>
      </c>
      <c r="T765" s="66" t="str">
        <f>IFERROR(__xludf.DUMMYFUNCTION("IF(COUNTA(Q765:Q1644)=0,"""",IF(REGEXMATCH(INDEX(FILTER(Q$4:Q765,Q$4:Q765&lt;&gt;""""),ROWS(FILTER(Q$4:Q765,Q$4:Q765&lt;&gt;""""))),""^Sell_""),INDEX(FILTER(T$4:T764,Q$4:Q764&lt;&gt;""""),ROWS(FILTER(Q$4:Q764,Q$4:Q764&lt;&gt;""""))),$AD$5+S765))"),"")</f>
        <v/>
      </c>
      <c r="U765" s="10" t="str">
        <f>IFERROR(__xludf.DUMMYFUNCTION("IF(COUNTA(Q765:Q1644)=0,"""",IF(Q765="""",0,IF(REGEXMATCH(Q765,""^Sell_""),-ROUNDDOWN(ROUNDUP(INDEX(Upgrades!$C$3:$C$13,MATCH(SUBSTITUTE(Q765,""Sell_"",""""),Upgrades!$B$3:$B$13,0))*1.15^(COUNTIF(Q$4:Q764,SUBSTITUTE(Q765,""Sell_"",""""))-COUNTIF(Q$4:Q764,"&amp;"""Sell_""&amp;SUBSTITUTE(Q765,""Sell_"",""""))))/2),ROUNDUP(INDEX(Upgrades!$C$3:$C$13,MATCH(Q765,Upgrades!$B$3:$B$13,0))*1.15^(COUNTIF(Q$4:Q764,Q765)-COUNTIF(Q$4:Q764,""Sell_""&amp;Q765))))))"),"")</f>
        <v/>
      </c>
      <c r="V765" s="10" t="str">
        <f t="shared" si="11"/>
        <v/>
      </c>
      <c r="W765" s="68" t="str">
        <f t="shared" si="12"/>
        <v/>
      </c>
      <c r="X765" s="59" t="str">
        <f t="shared" si="13"/>
        <v/>
      </c>
      <c r="Y765" s="69" t="str">
        <f t="shared" si="14"/>
        <v/>
      </c>
      <c r="Z765" s="11"/>
      <c r="AG765" s="59"/>
    </row>
    <row r="766">
      <c r="A766" s="8"/>
      <c r="B766" s="56" t="str">
        <f t="shared" si="2"/>
        <v/>
      </c>
      <c r="C766" s="105"/>
      <c r="D766" s="10"/>
      <c r="E766" s="59" t="str">
        <f t="array" ref="E766">IF(COUNTA(C766:C1644)=0,"",SUM((COUNTIF(C$4:C766,Upgrades!$B$3:$B$13)-COUNTIF(C$4:C766,"Sell_"&amp;Upgrades!$B$3:$B$13))*Upgrades!$D$3:$D$13))</f>
        <v/>
      </c>
      <c r="F766" s="66" t="str">
        <f>IFERROR(__xludf.DUMMYFUNCTION("IF(COUNTA(C766:C1644)=0,"""",IF(REGEXMATCH(INDEX(FILTER(C$4:C766,C$4:C766&lt;&gt;""""),ROWS(FILTER(C$4:C766,C$4:C766&lt;&gt;""""))),""^Sell_""),INDEX(FILTER(F$4:F765,C$4:C765&lt;&gt;""""),ROWS(FILTER(C$4:C765,C$4:C765&lt;&gt;""""))),$AC$5+E766))"),"")</f>
        <v/>
      </c>
      <c r="G766" s="10" t="str">
        <f>IFERROR(__xludf.DUMMYFUNCTION("IF(COUNTA(C766:C1644)=0,"""",IF(C766="""",0,IF(REGEXMATCH(C766,""^Sell_""),-ROUNDDOWN(ROUNDUP(INDEX(Upgrades!$C$3:$C$13,MATCH(SUBSTITUTE(C766,""Sell_"",""""),Upgrades!$B$3:$B$13,0))*1.15^(COUNTIF(C$4:C765,SUBSTITUTE(C766,""Sell_"",""""))-COUNTIF(C$4:C765,"&amp;"""Sell_""&amp;SUBSTITUTE(C766,""Sell_"",""""))))/2),ROUNDUP(INDEX(Upgrades!$C$3:$C$13,MATCH(C766,Upgrades!$B$3:$B$13,0))*1.15^(COUNTIF(C$4:C765,C766)-COUNTIF(C$4:C765,""Sell_""&amp;C766))))))"),"")</f>
        <v/>
      </c>
      <c r="H766" s="10" t="str">
        <f t="shared" si="3"/>
        <v/>
      </c>
      <c r="I766" s="68" t="str">
        <f t="shared" si="4"/>
        <v/>
      </c>
      <c r="J766" s="59" t="str">
        <f t="shared" si="5"/>
        <v/>
      </c>
      <c r="K766" s="69" t="str">
        <f t="shared" si="6"/>
        <v/>
      </c>
      <c r="L766" s="60" t="str">
        <f t="shared" si="7"/>
        <v/>
      </c>
      <c r="M766" s="61" t="str">
        <f>IFERROR(__xludf.DUMMYFUNCTION("IFS(AND(COUNTA(C766:C1644)=0,COUNTA(Q766:Q1644)=0),"""",OR(AND(K766&gt;=1000000000,OR(Y766&gt;=1000000000,COUNTA(Q766:Q1644)=0)),OR(Y766&gt;=1000000000,AND(COUNTA(C766:C1644)=0,P$3=TRUE))),
ROUNDDOWN((AB$1-AC$1)*MAX(INDEX(T$4:T1644,MATCH(LARGE(FILTER(Y$4:Y1644,Y$4"&amp;":Y1644&lt;1000000000),1),Y$4:Y1644)),INDEX(F$4:F1644,MATCH(LARGE(FILTER(K$4:K1644,K$4:K1644&lt;1000000000),1),K$4:K1644)))),AND(K766&lt;1000000000,COUNTA(C766:C1644)&gt;0,P$3=FALSE),
ROUNDDOWN(INDEX(Y$4:Y1644,MATCH(LARGE(FILTER(W$4:W1644,W$4:W1644&lt;=I766),1),W$4:W1644"&amp;"))+(I766-LARGE(FILTER(W$4:W1644,W$4:W1644&lt;=I766),1))*INDEX(T$4:T1644,MATCH(LARGE(FILTER(W$4:W1644,W$4:W1644&lt;=I766),1),W$4:W1644))-K766),1,
ROUNDDOWN(Y766-INDEX(K$4:K1644,MATCH(LARGE(FILTER(I$4:I1644,I$4:I1644&lt;=W766),1),I$4:I1644))-(W766-LARGE(FILTER(I$4:I"&amp;"1644,I$4:I1644&lt;=W766),1))*INDEX(F$4:F1644,MATCH(LARGE(FILTER(I$4:I1644,I$4:I1644&lt;=W766),1),I$4:I1644))))"),"")</f>
        <v/>
      </c>
      <c r="N766" s="60" t="str">
        <f t="shared" si="8"/>
        <v/>
      </c>
      <c r="O766" s="61" t="str">
        <f t="shared" si="9"/>
        <v/>
      </c>
      <c r="P766" s="56" t="str">
        <f t="shared" si="10"/>
        <v/>
      </c>
      <c r="Q766" s="105"/>
      <c r="R766" s="10"/>
      <c r="S766" s="59" t="str">
        <f t="array" ref="S766">IF(COUNTA(Q766:Q1644)=0,"",SUM((COUNTIF(Q$4:Q766,Upgrades!$B$3:$B$13)-COUNTIF(Q$4:Q766,"Sell_"&amp;Upgrades!$B$3:$B$13))*Upgrades!$D$3:$D$13))</f>
        <v/>
      </c>
      <c r="T766" s="66" t="str">
        <f>IFERROR(__xludf.DUMMYFUNCTION("IF(COUNTA(Q766:Q1644)=0,"""",IF(REGEXMATCH(INDEX(FILTER(Q$4:Q766,Q$4:Q766&lt;&gt;""""),ROWS(FILTER(Q$4:Q766,Q$4:Q766&lt;&gt;""""))),""^Sell_""),INDEX(FILTER(T$4:T765,Q$4:Q765&lt;&gt;""""),ROWS(FILTER(Q$4:Q765,Q$4:Q765&lt;&gt;""""))),$AD$5+S766))"),"")</f>
        <v/>
      </c>
      <c r="U766" s="10" t="str">
        <f>IFERROR(__xludf.DUMMYFUNCTION("IF(COUNTA(Q766:Q1644)=0,"""",IF(Q766="""",0,IF(REGEXMATCH(Q766,""^Sell_""),-ROUNDDOWN(ROUNDUP(INDEX(Upgrades!$C$3:$C$13,MATCH(SUBSTITUTE(Q766,""Sell_"",""""),Upgrades!$B$3:$B$13,0))*1.15^(COUNTIF(Q$4:Q765,SUBSTITUTE(Q766,""Sell_"",""""))-COUNTIF(Q$4:Q765,"&amp;"""Sell_""&amp;SUBSTITUTE(Q766,""Sell_"",""""))))/2),ROUNDUP(INDEX(Upgrades!$C$3:$C$13,MATCH(Q766,Upgrades!$B$3:$B$13,0))*1.15^(COUNTIF(Q$4:Q765,Q766)-COUNTIF(Q$4:Q765,""Sell_""&amp;Q766))))))"),"")</f>
        <v/>
      </c>
      <c r="V766" s="10" t="str">
        <f t="shared" si="11"/>
        <v/>
      </c>
      <c r="W766" s="68" t="str">
        <f t="shared" si="12"/>
        <v/>
      </c>
      <c r="X766" s="59" t="str">
        <f t="shared" si="13"/>
        <v/>
      </c>
      <c r="Y766" s="69" t="str">
        <f t="shared" si="14"/>
        <v/>
      </c>
      <c r="Z766" s="11"/>
      <c r="AG766" s="59"/>
    </row>
    <row r="767">
      <c r="A767" s="8"/>
      <c r="B767" s="56" t="str">
        <f t="shared" si="2"/>
        <v/>
      </c>
      <c r="C767" s="105"/>
      <c r="D767" s="10"/>
      <c r="E767" s="59" t="str">
        <f t="array" ref="E767">IF(COUNTA(C767:C1644)=0,"",SUM((COUNTIF(C$4:C767,Upgrades!$B$3:$B$13)-COUNTIF(C$4:C767,"Sell_"&amp;Upgrades!$B$3:$B$13))*Upgrades!$D$3:$D$13))</f>
        <v/>
      </c>
      <c r="F767" s="66" t="str">
        <f>IFERROR(__xludf.DUMMYFUNCTION("IF(COUNTA(C767:C1644)=0,"""",IF(REGEXMATCH(INDEX(FILTER(C$4:C767,C$4:C767&lt;&gt;""""),ROWS(FILTER(C$4:C767,C$4:C767&lt;&gt;""""))),""^Sell_""),INDEX(FILTER(F$4:F766,C$4:C766&lt;&gt;""""),ROWS(FILTER(C$4:C766,C$4:C766&lt;&gt;""""))),$AC$5+E767))"),"")</f>
        <v/>
      </c>
      <c r="G767" s="10" t="str">
        <f>IFERROR(__xludf.DUMMYFUNCTION("IF(COUNTA(C767:C1644)=0,"""",IF(C767="""",0,IF(REGEXMATCH(C767,""^Sell_""),-ROUNDDOWN(ROUNDUP(INDEX(Upgrades!$C$3:$C$13,MATCH(SUBSTITUTE(C767,""Sell_"",""""),Upgrades!$B$3:$B$13,0))*1.15^(COUNTIF(C$4:C766,SUBSTITUTE(C767,""Sell_"",""""))-COUNTIF(C$4:C766,"&amp;"""Sell_""&amp;SUBSTITUTE(C767,""Sell_"",""""))))/2),ROUNDUP(INDEX(Upgrades!$C$3:$C$13,MATCH(C767,Upgrades!$B$3:$B$13,0))*1.15^(COUNTIF(C$4:C766,C767)-COUNTIF(C$4:C766,""Sell_""&amp;C767))))))"),"")</f>
        <v/>
      </c>
      <c r="H767" s="10" t="str">
        <f t="shared" si="3"/>
        <v/>
      </c>
      <c r="I767" s="68" t="str">
        <f t="shared" si="4"/>
        <v/>
      </c>
      <c r="J767" s="59" t="str">
        <f t="shared" si="5"/>
        <v/>
      </c>
      <c r="K767" s="69" t="str">
        <f t="shared" si="6"/>
        <v/>
      </c>
      <c r="L767" s="60" t="str">
        <f t="shared" si="7"/>
        <v/>
      </c>
      <c r="M767" s="61" t="str">
        <f>IFERROR(__xludf.DUMMYFUNCTION("IFS(AND(COUNTA(C767:C1644)=0,COUNTA(Q767:Q1644)=0),"""",OR(AND(K767&gt;=1000000000,OR(Y767&gt;=1000000000,COUNTA(Q767:Q1644)=0)),OR(Y767&gt;=1000000000,AND(COUNTA(C767:C1644)=0,P$3=TRUE))),
ROUNDDOWN((AB$1-AC$1)*MAX(INDEX(T$4:T1644,MATCH(LARGE(FILTER(Y$4:Y1644,Y$4"&amp;":Y1644&lt;1000000000),1),Y$4:Y1644)),INDEX(F$4:F1644,MATCH(LARGE(FILTER(K$4:K1644,K$4:K1644&lt;1000000000),1),K$4:K1644)))),AND(K767&lt;1000000000,COUNTA(C767:C1644)&gt;0,P$3=FALSE),
ROUNDDOWN(INDEX(Y$4:Y1644,MATCH(LARGE(FILTER(W$4:W1644,W$4:W1644&lt;=I767),1),W$4:W1644"&amp;"))+(I767-LARGE(FILTER(W$4:W1644,W$4:W1644&lt;=I767),1))*INDEX(T$4:T1644,MATCH(LARGE(FILTER(W$4:W1644,W$4:W1644&lt;=I767),1),W$4:W1644))-K767),1,
ROUNDDOWN(Y767-INDEX(K$4:K1644,MATCH(LARGE(FILTER(I$4:I1644,I$4:I1644&lt;=W767),1),I$4:I1644))-(W767-LARGE(FILTER(I$4:I"&amp;"1644,I$4:I1644&lt;=W767),1))*INDEX(F$4:F1644,MATCH(LARGE(FILTER(I$4:I1644,I$4:I1644&lt;=W767),1),I$4:I1644))))"),"")</f>
        <v/>
      </c>
      <c r="N767" s="60" t="str">
        <f t="shared" si="8"/>
        <v/>
      </c>
      <c r="O767" s="61" t="str">
        <f t="shared" si="9"/>
        <v/>
      </c>
      <c r="P767" s="56" t="str">
        <f t="shared" si="10"/>
        <v/>
      </c>
      <c r="Q767" s="105"/>
      <c r="R767" s="10"/>
      <c r="S767" s="59" t="str">
        <f t="array" ref="S767">IF(COUNTA(Q767:Q1644)=0,"",SUM((COUNTIF(Q$4:Q767,Upgrades!$B$3:$B$13)-COUNTIF(Q$4:Q767,"Sell_"&amp;Upgrades!$B$3:$B$13))*Upgrades!$D$3:$D$13))</f>
        <v/>
      </c>
      <c r="T767" s="66" t="str">
        <f>IFERROR(__xludf.DUMMYFUNCTION("IF(COUNTA(Q767:Q1644)=0,"""",IF(REGEXMATCH(INDEX(FILTER(Q$4:Q767,Q$4:Q767&lt;&gt;""""),ROWS(FILTER(Q$4:Q767,Q$4:Q767&lt;&gt;""""))),""^Sell_""),INDEX(FILTER(T$4:T766,Q$4:Q766&lt;&gt;""""),ROWS(FILTER(Q$4:Q766,Q$4:Q766&lt;&gt;""""))),$AD$5+S767))"),"")</f>
        <v/>
      </c>
      <c r="U767" s="10" t="str">
        <f>IFERROR(__xludf.DUMMYFUNCTION("IF(COUNTA(Q767:Q1644)=0,"""",IF(Q767="""",0,IF(REGEXMATCH(Q767,""^Sell_""),-ROUNDDOWN(ROUNDUP(INDEX(Upgrades!$C$3:$C$13,MATCH(SUBSTITUTE(Q767,""Sell_"",""""),Upgrades!$B$3:$B$13,0))*1.15^(COUNTIF(Q$4:Q766,SUBSTITUTE(Q767,""Sell_"",""""))-COUNTIF(Q$4:Q766,"&amp;"""Sell_""&amp;SUBSTITUTE(Q767,""Sell_"",""""))))/2),ROUNDUP(INDEX(Upgrades!$C$3:$C$13,MATCH(Q767,Upgrades!$B$3:$B$13,0))*1.15^(COUNTIF(Q$4:Q766,Q767)-COUNTIF(Q$4:Q766,""Sell_""&amp;Q767))))))"),"")</f>
        <v/>
      </c>
      <c r="V767" s="10" t="str">
        <f t="shared" si="11"/>
        <v/>
      </c>
      <c r="W767" s="68" t="str">
        <f t="shared" si="12"/>
        <v/>
      </c>
      <c r="X767" s="59" t="str">
        <f t="shared" si="13"/>
        <v/>
      </c>
      <c r="Y767" s="69" t="str">
        <f t="shared" si="14"/>
        <v/>
      </c>
      <c r="Z767" s="11"/>
      <c r="AG767" s="59"/>
    </row>
    <row r="768">
      <c r="A768" s="8"/>
      <c r="B768" s="56" t="str">
        <f t="shared" si="2"/>
        <v/>
      </c>
      <c r="C768" s="105"/>
      <c r="D768" s="10"/>
      <c r="E768" s="59" t="str">
        <f t="array" ref="E768">IF(COUNTA(C768:C1644)=0,"",SUM((COUNTIF(C$4:C768,Upgrades!$B$3:$B$13)-COUNTIF(C$4:C768,"Sell_"&amp;Upgrades!$B$3:$B$13))*Upgrades!$D$3:$D$13))</f>
        <v/>
      </c>
      <c r="F768" s="66" t="str">
        <f>IFERROR(__xludf.DUMMYFUNCTION("IF(COUNTA(C768:C1644)=0,"""",IF(REGEXMATCH(INDEX(FILTER(C$4:C768,C$4:C768&lt;&gt;""""),ROWS(FILTER(C$4:C768,C$4:C768&lt;&gt;""""))),""^Sell_""),INDEX(FILTER(F$4:F767,C$4:C767&lt;&gt;""""),ROWS(FILTER(C$4:C767,C$4:C767&lt;&gt;""""))),$AC$5+E768))"),"")</f>
        <v/>
      </c>
      <c r="G768" s="10" t="str">
        <f>IFERROR(__xludf.DUMMYFUNCTION("IF(COUNTA(C768:C1644)=0,"""",IF(C768="""",0,IF(REGEXMATCH(C768,""^Sell_""),-ROUNDDOWN(ROUNDUP(INDEX(Upgrades!$C$3:$C$13,MATCH(SUBSTITUTE(C768,""Sell_"",""""),Upgrades!$B$3:$B$13,0))*1.15^(COUNTIF(C$4:C767,SUBSTITUTE(C768,""Sell_"",""""))-COUNTIF(C$4:C767,"&amp;"""Sell_""&amp;SUBSTITUTE(C768,""Sell_"",""""))))/2),ROUNDUP(INDEX(Upgrades!$C$3:$C$13,MATCH(C768,Upgrades!$B$3:$B$13,0))*1.15^(COUNTIF(C$4:C767,C768)-COUNTIF(C$4:C767,""Sell_""&amp;C768))))))"),"")</f>
        <v/>
      </c>
      <c r="H768" s="10" t="str">
        <f t="shared" si="3"/>
        <v/>
      </c>
      <c r="I768" s="68" t="str">
        <f t="shared" si="4"/>
        <v/>
      </c>
      <c r="J768" s="59" t="str">
        <f t="shared" si="5"/>
        <v/>
      </c>
      <c r="K768" s="69" t="str">
        <f t="shared" si="6"/>
        <v/>
      </c>
      <c r="L768" s="60" t="str">
        <f t="shared" si="7"/>
        <v/>
      </c>
      <c r="M768" s="61" t="str">
        <f>IFERROR(__xludf.DUMMYFUNCTION("IFS(AND(COUNTA(C768:C1644)=0,COUNTA(Q768:Q1644)=0),"""",OR(AND(K768&gt;=1000000000,OR(Y768&gt;=1000000000,COUNTA(Q768:Q1644)=0)),OR(Y768&gt;=1000000000,AND(COUNTA(C768:C1644)=0,P$3=TRUE))),
ROUNDDOWN((AB$1-AC$1)*MAX(INDEX(T$4:T1644,MATCH(LARGE(FILTER(Y$4:Y1644,Y$4"&amp;":Y1644&lt;1000000000),1),Y$4:Y1644)),INDEX(F$4:F1644,MATCH(LARGE(FILTER(K$4:K1644,K$4:K1644&lt;1000000000),1),K$4:K1644)))),AND(K768&lt;1000000000,COUNTA(C768:C1644)&gt;0,P$3=FALSE),
ROUNDDOWN(INDEX(Y$4:Y1644,MATCH(LARGE(FILTER(W$4:W1644,W$4:W1644&lt;=I768),1),W$4:W1644"&amp;"))+(I768-LARGE(FILTER(W$4:W1644,W$4:W1644&lt;=I768),1))*INDEX(T$4:T1644,MATCH(LARGE(FILTER(W$4:W1644,W$4:W1644&lt;=I768),1),W$4:W1644))-K768),1,
ROUNDDOWN(Y768-INDEX(K$4:K1644,MATCH(LARGE(FILTER(I$4:I1644,I$4:I1644&lt;=W768),1),I$4:I1644))-(W768-LARGE(FILTER(I$4:I"&amp;"1644,I$4:I1644&lt;=W768),1))*INDEX(F$4:F1644,MATCH(LARGE(FILTER(I$4:I1644,I$4:I1644&lt;=W768),1),I$4:I1644))))"),"")</f>
        <v/>
      </c>
      <c r="N768" s="60" t="str">
        <f t="shared" si="8"/>
        <v/>
      </c>
      <c r="O768" s="61" t="str">
        <f t="shared" si="9"/>
        <v/>
      </c>
      <c r="P768" s="56" t="str">
        <f t="shared" si="10"/>
        <v/>
      </c>
      <c r="Q768" s="105"/>
      <c r="R768" s="10"/>
      <c r="S768" s="59" t="str">
        <f t="array" ref="S768">IF(COUNTA(Q768:Q1644)=0,"",SUM((COUNTIF(Q$4:Q768,Upgrades!$B$3:$B$13)-COUNTIF(Q$4:Q768,"Sell_"&amp;Upgrades!$B$3:$B$13))*Upgrades!$D$3:$D$13))</f>
        <v/>
      </c>
      <c r="T768" s="66" t="str">
        <f>IFERROR(__xludf.DUMMYFUNCTION("IF(COUNTA(Q768:Q1644)=0,"""",IF(REGEXMATCH(INDEX(FILTER(Q$4:Q768,Q$4:Q768&lt;&gt;""""),ROWS(FILTER(Q$4:Q768,Q$4:Q768&lt;&gt;""""))),""^Sell_""),INDEX(FILTER(T$4:T767,Q$4:Q767&lt;&gt;""""),ROWS(FILTER(Q$4:Q767,Q$4:Q767&lt;&gt;""""))),$AD$5+S768))"),"")</f>
        <v/>
      </c>
      <c r="U768" s="10" t="str">
        <f>IFERROR(__xludf.DUMMYFUNCTION("IF(COUNTA(Q768:Q1644)=0,"""",IF(Q768="""",0,IF(REGEXMATCH(Q768,""^Sell_""),-ROUNDDOWN(ROUNDUP(INDEX(Upgrades!$C$3:$C$13,MATCH(SUBSTITUTE(Q768,""Sell_"",""""),Upgrades!$B$3:$B$13,0))*1.15^(COUNTIF(Q$4:Q767,SUBSTITUTE(Q768,""Sell_"",""""))-COUNTIF(Q$4:Q767,"&amp;"""Sell_""&amp;SUBSTITUTE(Q768,""Sell_"",""""))))/2),ROUNDUP(INDEX(Upgrades!$C$3:$C$13,MATCH(Q768,Upgrades!$B$3:$B$13,0))*1.15^(COUNTIF(Q$4:Q767,Q768)-COUNTIF(Q$4:Q767,""Sell_""&amp;Q768))))))"),"")</f>
        <v/>
      </c>
      <c r="V768" s="10" t="str">
        <f t="shared" si="11"/>
        <v/>
      </c>
      <c r="W768" s="68" t="str">
        <f t="shared" si="12"/>
        <v/>
      </c>
      <c r="X768" s="59" t="str">
        <f t="shared" si="13"/>
        <v/>
      </c>
      <c r="Y768" s="69" t="str">
        <f t="shared" si="14"/>
        <v/>
      </c>
      <c r="Z768" s="11"/>
      <c r="AG768" s="59"/>
    </row>
    <row r="769">
      <c r="A769" s="8"/>
      <c r="B769" s="56" t="str">
        <f t="shared" si="2"/>
        <v/>
      </c>
      <c r="C769" s="105"/>
      <c r="D769" s="10"/>
      <c r="E769" s="59" t="str">
        <f t="array" ref="E769">IF(COUNTA(C769:C1644)=0,"",SUM((COUNTIF(C$4:C769,Upgrades!$B$3:$B$13)-COUNTIF(C$4:C769,"Sell_"&amp;Upgrades!$B$3:$B$13))*Upgrades!$D$3:$D$13))</f>
        <v/>
      </c>
      <c r="F769" s="66" t="str">
        <f>IFERROR(__xludf.DUMMYFUNCTION("IF(COUNTA(C769:C1644)=0,"""",IF(REGEXMATCH(INDEX(FILTER(C$4:C769,C$4:C769&lt;&gt;""""),ROWS(FILTER(C$4:C769,C$4:C769&lt;&gt;""""))),""^Sell_""),INDEX(FILTER(F$4:F768,C$4:C768&lt;&gt;""""),ROWS(FILTER(C$4:C768,C$4:C768&lt;&gt;""""))),$AC$5+E769))"),"")</f>
        <v/>
      </c>
      <c r="G769" s="10" t="str">
        <f>IFERROR(__xludf.DUMMYFUNCTION("IF(COUNTA(C769:C1644)=0,"""",IF(C769="""",0,IF(REGEXMATCH(C769,""^Sell_""),-ROUNDDOWN(ROUNDUP(INDEX(Upgrades!$C$3:$C$13,MATCH(SUBSTITUTE(C769,""Sell_"",""""),Upgrades!$B$3:$B$13,0))*1.15^(COUNTIF(C$4:C768,SUBSTITUTE(C769,""Sell_"",""""))-COUNTIF(C$4:C768,"&amp;"""Sell_""&amp;SUBSTITUTE(C769,""Sell_"",""""))))/2),ROUNDUP(INDEX(Upgrades!$C$3:$C$13,MATCH(C769,Upgrades!$B$3:$B$13,0))*1.15^(COUNTIF(C$4:C768,C769)-COUNTIF(C$4:C768,""Sell_""&amp;C769))))))"),"")</f>
        <v/>
      </c>
      <c r="H769" s="10" t="str">
        <f t="shared" si="3"/>
        <v/>
      </c>
      <c r="I769" s="68" t="str">
        <f t="shared" si="4"/>
        <v/>
      </c>
      <c r="J769" s="59" t="str">
        <f t="shared" si="5"/>
        <v/>
      </c>
      <c r="K769" s="69" t="str">
        <f t="shared" si="6"/>
        <v/>
      </c>
      <c r="L769" s="60" t="str">
        <f t="shared" si="7"/>
        <v/>
      </c>
      <c r="M769" s="61" t="str">
        <f>IFERROR(__xludf.DUMMYFUNCTION("IFS(AND(COUNTA(C769:C1644)=0,COUNTA(Q769:Q1644)=0),"""",OR(AND(K769&gt;=1000000000,OR(Y769&gt;=1000000000,COUNTA(Q769:Q1644)=0)),OR(Y769&gt;=1000000000,AND(COUNTA(C769:C1644)=0,P$3=TRUE))),
ROUNDDOWN((AB$1-AC$1)*MAX(INDEX(T$4:T1644,MATCH(LARGE(FILTER(Y$4:Y1644,Y$4"&amp;":Y1644&lt;1000000000),1),Y$4:Y1644)),INDEX(F$4:F1644,MATCH(LARGE(FILTER(K$4:K1644,K$4:K1644&lt;1000000000),1),K$4:K1644)))),AND(K769&lt;1000000000,COUNTA(C769:C1644)&gt;0,P$3=FALSE),
ROUNDDOWN(INDEX(Y$4:Y1644,MATCH(LARGE(FILTER(W$4:W1644,W$4:W1644&lt;=I769),1),W$4:W1644"&amp;"))+(I769-LARGE(FILTER(W$4:W1644,W$4:W1644&lt;=I769),1))*INDEX(T$4:T1644,MATCH(LARGE(FILTER(W$4:W1644,W$4:W1644&lt;=I769),1),W$4:W1644))-K769),1,
ROUNDDOWN(Y769-INDEX(K$4:K1644,MATCH(LARGE(FILTER(I$4:I1644,I$4:I1644&lt;=W769),1),I$4:I1644))-(W769-LARGE(FILTER(I$4:I"&amp;"1644,I$4:I1644&lt;=W769),1))*INDEX(F$4:F1644,MATCH(LARGE(FILTER(I$4:I1644,I$4:I1644&lt;=W769),1),I$4:I1644))))"),"")</f>
        <v/>
      </c>
      <c r="N769" s="60" t="str">
        <f t="shared" si="8"/>
        <v/>
      </c>
      <c r="O769" s="61" t="str">
        <f t="shared" si="9"/>
        <v/>
      </c>
      <c r="P769" s="56" t="str">
        <f t="shared" si="10"/>
        <v/>
      </c>
      <c r="Q769" s="105"/>
      <c r="R769" s="10"/>
      <c r="S769" s="59" t="str">
        <f t="array" ref="S769">IF(COUNTA(Q769:Q1644)=0,"",SUM((COUNTIF(Q$4:Q769,Upgrades!$B$3:$B$13)-COUNTIF(Q$4:Q769,"Sell_"&amp;Upgrades!$B$3:$B$13))*Upgrades!$D$3:$D$13))</f>
        <v/>
      </c>
      <c r="T769" s="66" t="str">
        <f>IFERROR(__xludf.DUMMYFUNCTION("IF(COUNTA(Q769:Q1644)=0,"""",IF(REGEXMATCH(INDEX(FILTER(Q$4:Q769,Q$4:Q769&lt;&gt;""""),ROWS(FILTER(Q$4:Q769,Q$4:Q769&lt;&gt;""""))),""^Sell_""),INDEX(FILTER(T$4:T768,Q$4:Q768&lt;&gt;""""),ROWS(FILTER(Q$4:Q768,Q$4:Q768&lt;&gt;""""))),$AD$5+S769))"),"")</f>
        <v/>
      </c>
      <c r="U769" s="10" t="str">
        <f>IFERROR(__xludf.DUMMYFUNCTION("IF(COUNTA(Q769:Q1644)=0,"""",IF(Q769="""",0,IF(REGEXMATCH(Q769,""^Sell_""),-ROUNDDOWN(ROUNDUP(INDEX(Upgrades!$C$3:$C$13,MATCH(SUBSTITUTE(Q769,""Sell_"",""""),Upgrades!$B$3:$B$13,0))*1.15^(COUNTIF(Q$4:Q768,SUBSTITUTE(Q769,""Sell_"",""""))-COUNTIF(Q$4:Q768,"&amp;"""Sell_""&amp;SUBSTITUTE(Q769,""Sell_"",""""))))/2),ROUNDUP(INDEX(Upgrades!$C$3:$C$13,MATCH(Q769,Upgrades!$B$3:$B$13,0))*1.15^(COUNTIF(Q$4:Q768,Q769)-COUNTIF(Q$4:Q768,""Sell_""&amp;Q769))))))"),"")</f>
        <v/>
      </c>
      <c r="V769" s="10" t="str">
        <f t="shared" si="11"/>
        <v/>
      </c>
      <c r="W769" s="68" t="str">
        <f t="shared" si="12"/>
        <v/>
      </c>
      <c r="X769" s="59" t="str">
        <f t="shared" si="13"/>
        <v/>
      </c>
      <c r="Y769" s="69" t="str">
        <f t="shared" si="14"/>
        <v/>
      </c>
      <c r="Z769" s="11"/>
      <c r="AG769" s="59"/>
    </row>
    <row r="770">
      <c r="A770" s="8"/>
      <c r="B770" s="56" t="str">
        <f t="shared" si="2"/>
        <v/>
      </c>
      <c r="C770" s="105"/>
      <c r="D770" s="10"/>
      <c r="E770" s="59" t="str">
        <f t="array" ref="E770">IF(COUNTA(C770:C1644)=0,"",SUM((COUNTIF(C$4:C770,Upgrades!$B$3:$B$13)-COUNTIF(C$4:C770,"Sell_"&amp;Upgrades!$B$3:$B$13))*Upgrades!$D$3:$D$13))</f>
        <v/>
      </c>
      <c r="F770" s="66" t="str">
        <f>IFERROR(__xludf.DUMMYFUNCTION("IF(COUNTA(C770:C1644)=0,"""",IF(REGEXMATCH(INDEX(FILTER(C$4:C770,C$4:C770&lt;&gt;""""),ROWS(FILTER(C$4:C770,C$4:C770&lt;&gt;""""))),""^Sell_""),INDEX(FILTER(F$4:F769,C$4:C769&lt;&gt;""""),ROWS(FILTER(C$4:C769,C$4:C769&lt;&gt;""""))),$AC$5+E770))"),"")</f>
        <v/>
      </c>
      <c r="G770" s="10" t="str">
        <f>IFERROR(__xludf.DUMMYFUNCTION("IF(COUNTA(C770:C1644)=0,"""",IF(C770="""",0,IF(REGEXMATCH(C770,""^Sell_""),-ROUNDDOWN(ROUNDUP(INDEX(Upgrades!$C$3:$C$13,MATCH(SUBSTITUTE(C770,""Sell_"",""""),Upgrades!$B$3:$B$13,0))*1.15^(COUNTIF(C$4:C769,SUBSTITUTE(C770,""Sell_"",""""))-COUNTIF(C$4:C769,"&amp;"""Sell_""&amp;SUBSTITUTE(C770,""Sell_"",""""))))/2),ROUNDUP(INDEX(Upgrades!$C$3:$C$13,MATCH(C770,Upgrades!$B$3:$B$13,0))*1.15^(COUNTIF(C$4:C769,C770)-COUNTIF(C$4:C769,""Sell_""&amp;C770))))))"),"")</f>
        <v/>
      </c>
      <c r="H770" s="10" t="str">
        <f t="shared" si="3"/>
        <v/>
      </c>
      <c r="I770" s="68" t="str">
        <f t="shared" si="4"/>
        <v/>
      </c>
      <c r="J770" s="59" t="str">
        <f t="shared" si="5"/>
        <v/>
      </c>
      <c r="K770" s="69" t="str">
        <f t="shared" si="6"/>
        <v/>
      </c>
      <c r="L770" s="60" t="str">
        <f t="shared" si="7"/>
        <v/>
      </c>
      <c r="M770" s="61" t="str">
        <f>IFERROR(__xludf.DUMMYFUNCTION("IFS(AND(COUNTA(C770:C1644)=0,COUNTA(Q770:Q1644)=0),"""",OR(AND(K770&gt;=1000000000,OR(Y770&gt;=1000000000,COUNTA(Q770:Q1644)=0)),OR(Y770&gt;=1000000000,AND(COUNTA(C770:C1644)=0,P$3=TRUE))),
ROUNDDOWN((AB$1-AC$1)*MAX(INDEX(T$4:T1644,MATCH(LARGE(FILTER(Y$4:Y1644,Y$4"&amp;":Y1644&lt;1000000000),1),Y$4:Y1644)),INDEX(F$4:F1644,MATCH(LARGE(FILTER(K$4:K1644,K$4:K1644&lt;1000000000),1),K$4:K1644)))),AND(K770&lt;1000000000,COUNTA(C770:C1644)&gt;0,P$3=FALSE),
ROUNDDOWN(INDEX(Y$4:Y1644,MATCH(LARGE(FILTER(W$4:W1644,W$4:W1644&lt;=I770),1),W$4:W1644"&amp;"))+(I770-LARGE(FILTER(W$4:W1644,W$4:W1644&lt;=I770),1))*INDEX(T$4:T1644,MATCH(LARGE(FILTER(W$4:W1644,W$4:W1644&lt;=I770),1),W$4:W1644))-K770),1,
ROUNDDOWN(Y770-INDEX(K$4:K1644,MATCH(LARGE(FILTER(I$4:I1644,I$4:I1644&lt;=W770),1),I$4:I1644))-(W770-LARGE(FILTER(I$4:I"&amp;"1644,I$4:I1644&lt;=W770),1))*INDEX(F$4:F1644,MATCH(LARGE(FILTER(I$4:I1644,I$4:I1644&lt;=W770),1),I$4:I1644))))"),"")</f>
        <v/>
      </c>
      <c r="N770" s="60" t="str">
        <f t="shared" si="8"/>
        <v/>
      </c>
      <c r="O770" s="61" t="str">
        <f t="shared" si="9"/>
        <v/>
      </c>
      <c r="P770" s="56" t="str">
        <f t="shared" si="10"/>
        <v/>
      </c>
      <c r="Q770" s="105"/>
      <c r="R770" s="10"/>
      <c r="S770" s="59" t="str">
        <f t="array" ref="S770">IF(COUNTA(Q770:Q1644)=0,"",SUM((COUNTIF(Q$4:Q770,Upgrades!$B$3:$B$13)-COUNTIF(Q$4:Q770,"Sell_"&amp;Upgrades!$B$3:$B$13))*Upgrades!$D$3:$D$13))</f>
        <v/>
      </c>
      <c r="T770" s="66" t="str">
        <f>IFERROR(__xludf.DUMMYFUNCTION("IF(COUNTA(Q770:Q1644)=0,"""",IF(REGEXMATCH(INDEX(FILTER(Q$4:Q770,Q$4:Q770&lt;&gt;""""),ROWS(FILTER(Q$4:Q770,Q$4:Q770&lt;&gt;""""))),""^Sell_""),INDEX(FILTER(T$4:T769,Q$4:Q769&lt;&gt;""""),ROWS(FILTER(Q$4:Q769,Q$4:Q769&lt;&gt;""""))),$AD$5+S770))"),"")</f>
        <v/>
      </c>
      <c r="U770" s="10" t="str">
        <f>IFERROR(__xludf.DUMMYFUNCTION("IF(COUNTA(Q770:Q1644)=0,"""",IF(Q770="""",0,IF(REGEXMATCH(Q770,""^Sell_""),-ROUNDDOWN(ROUNDUP(INDEX(Upgrades!$C$3:$C$13,MATCH(SUBSTITUTE(Q770,""Sell_"",""""),Upgrades!$B$3:$B$13,0))*1.15^(COUNTIF(Q$4:Q769,SUBSTITUTE(Q770,""Sell_"",""""))-COUNTIF(Q$4:Q769,"&amp;"""Sell_""&amp;SUBSTITUTE(Q770,""Sell_"",""""))))/2),ROUNDUP(INDEX(Upgrades!$C$3:$C$13,MATCH(Q770,Upgrades!$B$3:$B$13,0))*1.15^(COUNTIF(Q$4:Q769,Q770)-COUNTIF(Q$4:Q769,""Sell_""&amp;Q770))))))"),"")</f>
        <v/>
      </c>
      <c r="V770" s="10" t="str">
        <f t="shared" si="11"/>
        <v/>
      </c>
      <c r="W770" s="68" t="str">
        <f t="shared" si="12"/>
        <v/>
      </c>
      <c r="X770" s="59" t="str">
        <f t="shared" si="13"/>
        <v/>
      </c>
      <c r="Y770" s="69" t="str">
        <f t="shared" si="14"/>
        <v/>
      </c>
      <c r="Z770" s="11"/>
      <c r="AG770" s="59"/>
    </row>
    <row r="771">
      <c r="A771" s="8"/>
      <c r="B771" s="56" t="str">
        <f t="shared" si="2"/>
        <v/>
      </c>
      <c r="C771" s="105"/>
      <c r="D771" s="10"/>
      <c r="E771" s="59" t="str">
        <f t="array" ref="E771">IF(COUNTA(C771:C1644)=0,"",SUM((COUNTIF(C$4:C771,Upgrades!$B$3:$B$13)-COUNTIF(C$4:C771,"Sell_"&amp;Upgrades!$B$3:$B$13))*Upgrades!$D$3:$D$13))</f>
        <v/>
      </c>
      <c r="F771" s="66" t="str">
        <f>IFERROR(__xludf.DUMMYFUNCTION("IF(COUNTA(C771:C1644)=0,"""",IF(REGEXMATCH(INDEX(FILTER(C$4:C771,C$4:C771&lt;&gt;""""),ROWS(FILTER(C$4:C771,C$4:C771&lt;&gt;""""))),""^Sell_""),INDEX(FILTER(F$4:F770,C$4:C770&lt;&gt;""""),ROWS(FILTER(C$4:C770,C$4:C770&lt;&gt;""""))),$AC$5+E771))"),"")</f>
        <v/>
      </c>
      <c r="G771" s="10" t="str">
        <f>IFERROR(__xludf.DUMMYFUNCTION("IF(COUNTA(C771:C1644)=0,"""",IF(C771="""",0,IF(REGEXMATCH(C771,""^Sell_""),-ROUNDDOWN(ROUNDUP(INDEX(Upgrades!$C$3:$C$13,MATCH(SUBSTITUTE(C771,""Sell_"",""""),Upgrades!$B$3:$B$13,0))*1.15^(COUNTIF(C$4:C770,SUBSTITUTE(C771,""Sell_"",""""))-COUNTIF(C$4:C770,"&amp;"""Sell_""&amp;SUBSTITUTE(C771,""Sell_"",""""))))/2),ROUNDUP(INDEX(Upgrades!$C$3:$C$13,MATCH(C771,Upgrades!$B$3:$B$13,0))*1.15^(COUNTIF(C$4:C770,C771)-COUNTIF(C$4:C770,""Sell_""&amp;C771))))))"),"")</f>
        <v/>
      </c>
      <c r="H771" s="10" t="str">
        <f t="shared" si="3"/>
        <v/>
      </c>
      <c r="I771" s="68" t="str">
        <f t="shared" si="4"/>
        <v/>
      </c>
      <c r="J771" s="59" t="str">
        <f t="shared" si="5"/>
        <v/>
      </c>
      <c r="K771" s="69" t="str">
        <f t="shared" si="6"/>
        <v/>
      </c>
      <c r="L771" s="60" t="str">
        <f t="shared" si="7"/>
        <v/>
      </c>
      <c r="M771" s="61" t="str">
        <f>IFERROR(__xludf.DUMMYFUNCTION("IFS(AND(COUNTA(C771:C1644)=0,COUNTA(Q771:Q1644)=0),"""",OR(AND(K771&gt;=1000000000,OR(Y771&gt;=1000000000,COUNTA(Q771:Q1644)=0)),OR(Y771&gt;=1000000000,AND(COUNTA(C771:C1644)=0,P$3=TRUE))),
ROUNDDOWN((AB$1-AC$1)*MAX(INDEX(T$4:T1644,MATCH(LARGE(FILTER(Y$4:Y1644,Y$4"&amp;":Y1644&lt;1000000000),1),Y$4:Y1644)),INDEX(F$4:F1644,MATCH(LARGE(FILTER(K$4:K1644,K$4:K1644&lt;1000000000),1),K$4:K1644)))),AND(K771&lt;1000000000,COUNTA(C771:C1644)&gt;0,P$3=FALSE),
ROUNDDOWN(INDEX(Y$4:Y1644,MATCH(LARGE(FILTER(W$4:W1644,W$4:W1644&lt;=I771),1),W$4:W1644"&amp;"))+(I771-LARGE(FILTER(W$4:W1644,W$4:W1644&lt;=I771),1))*INDEX(T$4:T1644,MATCH(LARGE(FILTER(W$4:W1644,W$4:W1644&lt;=I771),1),W$4:W1644))-K771),1,
ROUNDDOWN(Y771-INDEX(K$4:K1644,MATCH(LARGE(FILTER(I$4:I1644,I$4:I1644&lt;=W771),1),I$4:I1644))-(W771-LARGE(FILTER(I$4:I"&amp;"1644,I$4:I1644&lt;=W771),1))*INDEX(F$4:F1644,MATCH(LARGE(FILTER(I$4:I1644,I$4:I1644&lt;=W771),1),I$4:I1644))))"),"")</f>
        <v/>
      </c>
      <c r="N771" s="60" t="str">
        <f t="shared" si="8"/>
        <v/>
      </c>
      <c r="O771" s="61" t="str">
        <f t="shared" si="9"/>
        <v/>
      </c>
      <c r="P771" s="56" t="str">
        <f t="shared" si="10"/>
        <v/>
      </c>
      <c r="Q771" s="105"/>
      <c r="R771" s="10"/>
      <c r="S771" s="59" t="str">
        <f t="array" ref="S771">IF(COUNTA(Q771:Q1644)=0,"",SUM((COUNTIF(Q$4:Q771,Upgrades!$B$3:$B$13)-COUNTIF(Q$4:Q771,"Sell_"&amp;Upgrades!$B$3:$B$13))*Upgrades!$D$3:$D$13))</f>
        <v/>
      </c>
      <c r="T771" s="66" t="str">
        <f>IFERROR(__xludf.DUMMYFUNCTION("IF(COUNTA(Q771:Q1644)=0,"""",IF(REGEXMATCH(INDEX(FILTER(Q$4:Q771,Q$4:Q771&lt;&gt;""""),ROWS(FILTER(Q$4:Q771,Q$4:Q771&lt;&gt;""""))),""^Sell_""),INDEX(FILTER(T$4:T770,Q$4:Q770&lt;&gt;""""),ROWS(FILTER(Q$4:Q770,Q$4:Q770&lt;&gt;""""))),$AD$5+S771))"),"")</f>
        <v/>
      </c>
      <c r="U771" s="10" t="str">
        <f>IFERROR(__xludf.DUMMYFUNCTION("IF(COUNTA(Q771:Q1644)=0,"""",IF(Q771="""",0,IF(REGEXMATCH(Q771,""^Sell_""),-ROUNDDOWN(ROUNDUP(INDEX(Upgrades!$C$3:$C$13,MATCH(SUBSTITUTE(Q771,""Sell_"",""""),Upgrades!$B$3:$B$13,0))*1.15^(COUNTIF(Q$4:Q770,SUBSTITUTE(Q771,""Sell_"",""""))-COUNTIF(Q$4:Q770,"&amp;"""Sell_""&amp;SUBSTITUTE(Q771,""Sell_"",""""))))/2),ROUNDUP(INDEX(Upgrades!$C$3:$C$13,MATCH(Q771,Upgrades!$B$3:$B$13,0))*1.15^(COUNTIF(Q$4:Q770,Q771)-COUNTIF(Q$4:Q770,""Sell_""&amp;Q771))))))"),"")</f>
        <v/>
      </c>
      <c r="V771" s="10" t="str">
        <f t="shared" si="11"/>
        <v/>
      </c>
      <c r="W771" s="68" t="str">
        <f t="shared" si="12"/>
        <v/>
      </c>
      <c r="X771" s="59" t="str">
        <f t="shared" si="13"/>
        <v/>
      </c>
      <c r="Y771" s="69" t="str">
        <f t="shared" si="14"/>
        <v/>
      </c>
      <c r="Z771" s="11"/>
      <c r="AG771" s="59"/>
    </row>
    <row r="772">
      <c r="A772" s="8"/>
      <c r="B772" s="56" t="str">
        <f t="shared" si="2"/>
        <v/>
      </c>
      <c r="C772" s="105"/>
      <c r="D772" s="10"/>
      <c r="E772" s="59" t="str">
        <f t="array" ref="E772">IF(COUNTA(C772:C1644)=0,"",SUM((COUNTIF(C$4:C772,Upgrades!$B$3:$B$13)-COUNTIF(C$4:C772,"Sell_"&amp;Upgrades!$B$3:$B$13))*Upgrades!$D$3:$D$13))</f>
        <v/>
      </c>
      <c r="F772" s="66" t="str">
        <f>IFERROR(__xludf.DUMMYFUNCTION("IF(COUNTA(C772:C1644)=0,"""",IF(REGEXMATCH(INDEX(FILTER(C$4:C772,C$4:C772&lt;&gt;""""),ROWS(FILTER(C$4:C772,C$4:C772&lt;&gt;""""))),""^Sell_""),INDEX(FILTER(F$4:F771,C$4:C771&lt;&gt;""""),ROWS(FILTER(C$4:C771,C$4:C771&lt;&gt;""""))),$AC$5+E772))"),"")</f>
        <v/>
      </c>
      <c r="G772" s="10" t="str">
        <f>IFERROR(__xludf.DUMMYFUNCTION("IF(COUNTA(C772:C1644)=0,"""",IF(C772="""",0,IF(REGEXMATCH(C772,""^Sell_""),-ROUNDDOWN(ROUNDUP(INDEX(Upgrades!$C$3:$C$13,MATCH(SUBSTITUTE(C772,""Sell_"",""""),Upgrades!$B$3:$B$13,0))*1.15^(COUNTIF(C$4:C771,SUBSTITUTE(C772,""Sell_"",""""))-COUNTIF(C$4:C771,"&amp;"""Sell_""&amp;SUBSTITUTE(C772,""Sell_"",""""))))/2),ROUNDUP(INDEX(Upgrades!$C$3:$C$13,MATCH(C772,Upgrades!$B$3:$B$13,0))*1.15^(COUNTIF(C$4:C771,C772)-COUNTIF(C$4:C771,""Sell_""&amp;C772))))))"),"")</f>
        <v/>
      </c>
      <c r="H772" s="10" t="str">
        <f t="shared" si="3"/>
        <v/>
      </c>
      <c r="I772" s="68" t="str">
        <f t="shared" si="4"/>
        <v/>
      </c>
      <c r="J772" s="59" t="str">
        <f t="shared" si="5"/>
        <v/>
      </c>
      <c r="K772" s="69" t="str">
        <f t="shared" si="6"/>
        <v/>
      </c>
      <c r="L772" s="60" t="str">
        <f t="shared" si="7"/>
        <v/>
      </c>
      <c r="M772" s="61" t="str">
        <f>IFERROR(__xludf.DUMMYFUNCTION("IFS(AND(COUNTA(C772:C1644)=0,COUNTA(Q772:Q1644)=0),"""",OR(AND(K772&gt;=1000000000,OR(Y772&gt;=1000000000,COUNTA(Q772:Q1644)=0)),OR(Y772&gt;=1000000000,AND(COUNTA(C772:C1644)=0,P$3=TRUE))),
ROUNDDOWN((AB$1-AC$1)*MAX(INDEX(T$4:T1644,MATCH(LARGE(FILTER(Y$4:Y1644,Y$4"&amp;":Y1644&lt;1000000000),1),Y$4:Y1644)),INDEX(F$4:F1644,MATCH(LARGE(FILTER(K$4:K1644,K$4:K1644&lt;1000000000),1),K$4:K1644)))),AND(K772&lt;1000000000,COUNTA(C772:C1644)&gt;0,P$3=FALSE),
ROUNDDOWN(INDEX(Y$4:Y1644,MATCH(LARGE(FILTER(W$4:W1644,W$4:W1644&lt;=I772),1),W$4:W1644"&amp;"))+(I772-LARGE(FILTER(W$4:W1644,W$4:W1644&lt;=I772),1))*INDEX(T$4:T1644,MATCH(LARGE(FILTER(W$4:W1644,W$4:W1644&lt;=I772),1),W$4:W1644))-K772),1,
ROUNDDOWN(Y772-INDEX(K$4:K1644,MATCH(LARGE(FILTER(I$4:I1644,I$4:I1644&lt;=W772),1),I$4:I1644))-(W772-LARGE(FILTER(I$4:I"&amp;"1644,I$4:I1644&lt;=W772),1))*INDEX(F$4:F1644,MATCH(LARGE(FILTER(I$4:I1644,I$4:I1644&lt;=W772),1),I$4:I1644))))"),"")</f>
        <v/>
      </c>
      <c r="N772" s="60" t="str">
        <f t="shared" si="8"/>
        <v/>
      </c>
      <c r="O772" s="61" t="str">
        <f t="shared" si="9"/>
        <v/>
      </c>
      <c r="P772" s="56" t="str">
        <f t="shared" si="10"/>
        <v/>
      </c>
      <c r="Q772" s="105"/>
      <c r="R772" s="10"/>
      <c r="S772" s="59" t="str">
        <f t="array" ref="S772">IF(COUNTA(Q772:Q1644)=0,"",SUM((COUNTIF(Q$4:Q772,Upgrades!$B$3:$B$13)-COUNTIF(Q$4:Q772,"Sell_"&amp;Upgrades!$B$3:$B$13))*Upgrades!$D$3:$D$13))</f>
        <v/>
      </c>
      <c r="T772" s="66" t="str">
        <f>IFERROR(__xludf.DUMMYFUNCTION("IF(COUNTA(Q772:Q1644)=0,"""",IF(REGEXMATCH(INDEX(FILTER(Q$4:Q772,Q$4:Q772&lt;&gt;""""),ROWS(FILTER(Q$4:Q772,Q$4:Q772&lt;&gt;""""))),""^Sell_""),INDEX(FILTER(T$4:T771,Q$4:Q771&lt;&gt;""""),ROWS(FILTER(Q$4:Q771,Q$4:Q771&lt;&gt;""""))),$AD$5+S772))"),"")</f>
        <v/>
      </c>
      <c r="U772" s="10" t="str">
        <f>IFERROR(__xludf.DUMMYFUNCTION("IF(COUNTA(Q772:Q1644)=0,"""",IF(Q772="""",0,IF(REGEXMATCH(Q772,""^Sell_""),-ROUNDDOWN(ROUNDUP(INDEX(Upgrades!$C$3:$C$13,MATCH(SUBSTITUTE(Q772,""Sell_"",""""),Upgrades!$B$3:$B$13,0))*1.15^(COUNTIF(Q$4:Q771,SUBSTITUTE(Q772,""Sell_"",""""))-COUNTIF(Q$4:Q771,"&amp;"""Sell_""&amp;SUBSTITUTE(Q772,""Sell_"",""""))))/2),ROUNDUP(INDEX(Upgrades!$C$3:$C$13,MATCH(Q772,Upgrades!$B$3:$B$13,0))*1.15^(COUNTIF(Q$4:Q771,Q772)-COUNTIF(Q$4:Q771,""Sell_""&amp;Q772))))))"),"")</f>
        <v/>
      </c>
      <c r="V772" s="10" t="str">
        <f t="shared" si="11"/>
        <v/>
      </c>
      <c r="W772" s="68" t="str">
        <f t="shared" si="12"/>
        <v/>
      </c>
      <c r="X772" s="59" t="str">
        <f t="shared" si="13"/>
        <v/>
      </c>
      <c r="Y772" s="69" t="str">
        <f t="shared" si="14"/>
        <v/>
      </c>
      <c r="Z772" s="11"/>
      <c r="AG772" s="59"/>
    </row>
    <row r="773">
      <c r="A773" s="8"/>
      <c r="B773" s="56" t="str">
        <f t="shared" si="2"/>
        <v/>
      </c>
      <c r="C773" s="105"/>
      <c r="D773" s="10"/>
      <c r="E773" s="59" t="str">
        <f t="array" ref="E773">IF(COUNTA(C773:C1644)=0,"",SUM((COUNTIF(C$4:C773,Upgrades!$B$3:$B$13)-COUNTIF(C$4:C773,"Sell_"&amp;Upgrades!$B$3:$B$13))*Upgrades!$D$3:$D$13))</f>
        <v/>
      </c>
      <c r="F773" s="66" t="str">
        <f>IFERROR(__xludf.DUMMYFUNCTION("IF(COUNTA(C773:C1644)=0,"""",IF(REGEXMATCH(INDEX(FILTER(C$4:C773,C$4:C773&lt;&gt;""""),ROWS(FILTER(C$4:C773,C$4:C773&lt;&gt;""""))),""^Sell_""),INDEX(FILTER(F$4:F772,C$4:C772&lt;&gt;""""),ROWS(FILTER(C$4:C772,C$4:C772&lt;&gt;""""))),$AC$5+E773))"),"")</f>
        <v/>
      </c>
      <c r="G773" s="10" t="str">
        <f>IFERROR(__xludf.DUMMYFUNCTION("IF(COUNTA(C773:C1644)=0,"""",IF(C773="""",0,IF(REGEXMATCH(C773,""^Sell_""),-ROUNDDOWN(ROUNDUP(INDEX(Upgrades!$C$3:$C$13,MATCH(SUBSTITUTE(C773,""Sell_"",""""),Upgrades!$B$3:$B$13,0))*1.15^(COUNTIF(C$4:C772,SUBSTITUTE(C773,""Sell_"",""""))-COUNTIF(C$4:C772,"&amp;"""Sell_""&amp;SUBSTITUTE(C773,""Sell_"",""""))))/2),ROUNDUP(INDEX(Upgrades!$C$3:$C$13,MATCH(C773,Upgrades!$B$3:$B$13,0))*1.15^(COUNTIF(C$4:C772,C773)-COUNTIF(C$4:C772,""Sell_""&amp;C773))))))"),"")</f>
        <v/>
      </c>
      <c r="H773" s="10" t="str">
        <f t="shared" si="3"/>
        <v/>
      </c>
      <c r="I773" s="68" t="str">
        <f t="shared" si="4"/>
        <v/>
      </c>
      <c r="J773" s="59" t="str">
        <f t="shared" si="5"/>
        <v/>
      </c>
      <c r="K773" s="69" t="str">
        <f t="shared" si="6"/>
        <v/>
      </c>
      <c r="L773" s="60" t="str">
        <f t="shared" si="7"/>
        <v/>
      </c>
      <c r="M773" s="61" t="str">
        <f>IFERROR(__xludf.DUMMYFUNCTION("IFS(AND(COUNTA(C773:C1644)=0,COUNTA(Q773:Q1644)=0),"""",OR(AND(K773&gt;=1000000000,OR(Y773&gt;=1000000000,COUNTA(Q773:Q1644)=0)),OR(Y773&gt;=1000000000,AND(COUNTA(C773:C1644)=0,P$3=TRUE))),
ROUNDDOWN((AB$1-AC$1)*MAX(INDEX(T$4:T1644,MATCH(LARGE(FILTER(Y$4:Y1644,Y$4"&amp;":Y1644&lt;1000000000),1),Y$4:Y1644)),INDEX(F$4:F1644,MATCH(LARGE(FILTER(K$4:K1644,K$4:K1644&lt;1000000000),1),K$4:K1644)))),AND(K773&lt;1000000000,COUNTA(C773:C1644)&gt;0,P$3=FALSE),
ROUNDDOWN(INDEX(Y$4:Y1644,MATCH(LARGE(FILTER(W$4:W1644,W$4:W1644&lt;=I773),1),W$4:W1644"&amp;"))+(I773-LARGE(FILTER(W$4:W1644,W$4:W1644&lt;=I773),1))*INDEX(T$4:T1644,MATCH(LARGE(FILTER(W$4:W1644,W$4:W1644&lt;=I773),1),W$4:W1644))-K773),1,
ROUNDDOWN(Y773-INDEX(K$4:K1644,MATCH(LARGE(FILTER(I$4:I1644,I$4:I1644&lt;=W773),1),I$4:I1644))-(W773-LARGE(FILTER(I$4:I"&amp;"1644,I$4:I1644&lt;=W773),1))*INDEX(F$4:F1644,MATCH(LARGE(FILTER(I$4:I1644,I$4:I1644&lt;=W773),1),I$4:I1644))))"),"")</f>
        <v/>
      </c>
      <c r="N773" s="60" t="str">
        <f t="shared" si="8"/>
        <v/>
      </c>
      <c r="O773" s="61" t="str">
        <f t="shared" si="9"/>
        <v/>
      </c>
      <c r="P773" s="56" t="str">
        <f t="shared" si="10"/>
        <v/>
      </c>
      <c r="Q773" s="105"/>
      <c r="R773" s="10"/>
      <c r="S773" s="59" t="str">
        <f t="array" ref="S773">IF(COUNTA(Q773:Q1644)=0,"",SUM((COUNTIF(Q$4:Q773,Upgrades!$B$3:$B$13)-COUNTIF(Q$4:Q773,"Sell_"&amp;Upgrades!$B$3:$B$13))*Upgrades!$D$3:$D$13))</f>
        <v/>
      </c>
      <c r="T773" s="66" t="str">
        <f>IFERROR(__xludf.DUMMYFUNCTION("IF(COUNTA(Q773:Q1644)=0,"""",IF(REGEXMATCH(INDEX(FILTER(Q$4:Q773,Q$4:Q773&lt;&gt;""""),ROWS(FILTER(Q$4:Q773,Q$4:Q773&lt;&gt;""""))),""^Sell_""),INDEX(FILTER(T$4:T772,Q$4:Q772&lt;&gt;""""),ROWS(FILTER(Q$4:Q772,Q$4:Q772&lt;&gt;""""))),$AD$5+S773))"),"")</f>
        <v/>
      </c>
      <c r="U773" s="10" t="str">
        <f>IFERROR(__xludf.DUMMYFUNCTION("IF(COUNTA(Q773:Q1644)=0,"""",IF(Q773="""",0,IF(REGEXMATCH(Q773,""^Sell_""),-ROUNDDOWN(ROUNDUP(INDEX(Upgrades!$C$3:$C$13,MATCH(SUBSTITUTE(Q773,""Sell_"",""""),Upgrades!$B$3:$B$13,0))*1.15^(COUNTIF(Q$4:Q772,SUBSTITUTE(Q773,""Sell_"",""""))-COUNTIF(Q$4:Q772,"&amp;"""Sell_""&amp;SUBSTITUTE(Q773,""Sell_"",""""))))/2),ROUNDUP(INDEX(Upgrades!$C$3:$C$13,MATCH(Q773,Upgrades!$B$3:$B$13,0))*1.15^(COUNTIF(Q$4:Q772,Q773)-COUNTIF(Q$4:Q772,""Sell_""&amp;Q773))))))"),"")</f>
        <v/>
      </c>
      <c r="V773" s="10" t="str">
        <f t="shared" si="11"/>
        <v/>
      </c>
      <c r="W773" s="68" t="str">
        <f t="shared" si="12"/>
        <v/>
      </c>
      <c r="X773" s="59" t="str">
        <f t="shared" si="13"/>
        <v/>
      </c>
      <c r="Y773" s="69" t="str">
        <f t="shared" si="14"/>
        <v/>
      </c>
      <c r="Z773" s="11"/>
      <c r="AG773" s="59"/>
    </row>
    <row r="774">
      <c r="A774" s="8"/>
      <c r="B774" s="56" t="str">
        <f t="shared" si="2"/>
        <v/>
      </c>
      <c r="C774" s="105"/>
      <c r="D774" s="10"/>
      <c r="E774" s="59" t="str">
        <f t="array" ref="E774">IF(COUNTA(C774:C1644)=0,"",SUM((COUNTIF(C$4:C774,Upgrades!$B$3:$B$13)-COUNTIF(C$4:C774,"Sell_"&amp;Upgrades!$B$3:$B$13))*Upgrades!$D$3:$D$13))</f>
        <v/>
      </c>
      <c r="F774" s="66" t="str">
        <f>IFERROR(__xludf.DUMMYFUNCTION("IF(COUNTA(C774:C1644)=0,"""",IF(REGEXMATCH(INDEX(FILTER(C$4:C774,C$4:C774&lt;&gt;""""),ROWS(FILTER(C$4:C774,C$4:C774&lt;&gt;""""))),""^Sell_""),INDEX(FILTER(F$4:F773,C$4:C773&lt;&gt;""""),ROWS(FILTER(C$4:C773,C$4:C773&lt;&gt;""""))),$AC$5+E774))"),"")</f>
        <v/>
      </c>
      <c r="G774" s="10" t="str">
        <f>IFERROR(__xludf.DUMMYFUNCTION("IF(COUNTA(C774:C1644)=0,"""",IF(C774="""",0,IF(REGEXMATCH(C774,""^Sell_""),-ROUNDDOWN(ROUNDUP(INDEX(Upgrades!$C$3:$C$13,MATCH(SUBSTITUTE(C774,""Sell_"",""""),Upgrades!$B$3:$B$13,0))*1.15^(COUNTIF(C$4:C773,SUBSTITUTE(C774,""Sell_"",""""))-COUNTIF(C$4:C773,"&amp;"""Sell_""&amp;SUBSTITUTE(C774,""Sell_"",""""))))/2),ROUNDUP(INDEX(Upgrades!$C$3:$C$13,MATCH(C774,Upgrades!$B$3:$B$13,0))*1.15^(COUNTIF(C$4:C773,C774)-COUNTIF(C$4:C773,""Sell_""&amp;C774))))))"),"")</f>
        <v/>
      </c>
      <c r="H774" s="10" t="str">
        <f t="shared" si="3"/>
        <v/>
      </c>
      <c r="I774" s="68" t="str">
        <f t="shared" si="4"/>
        <v/>
      </c>
      <c r="J774" s="59" t="str">
        <f t="shared" si="5"/>
        <v/>
      </c>
      <c r="K774" s="69" t="str">
        <f t="shared" si="6"/>
        <v/>
      </c>
      <c r="L774" s="60" t="str">
        <f t="shared" si="7"/>
        <v/>
      </c>
      <c r="M774" s="61" t="str">
        <f>IFERROR(__xludf.DUMMYFUNCTION("IFS(AND(COUNTA(C774:C1644)=0,COUNTA(Q774:Q1644)=0),"""",OR(AND(K774&gt;=1000000000,OR(Y774&gt;=1000000000,COUNTA(Q774:Q1644)=0)),OR(Y774&gt;=1000000000,AND(COUNTA(C774:C1644)=0,P$3=TRUE))),
ROUNDDOWN((AB$1-AC$1)*MAX(INDEX(T$4:T1644,MATCH(LARGE(FILTER(Y$4:Y1644,Y$4"&amp;":Y1644&lt;1000000000),1),Y$4:Y1644)),INDEX(F$4:F1644,MATCH(LARGE(FILTER(K$4:K1644,K$4:K1644&lt;1000000000),1),K$4:K1644)))),AND(K774&lt;1000000000,COUNTA(C774:C1644)&gt;0,P$3=FALSE),
ROUNDDOWN(INDEX(Y$4:Y1644,MATCH(LARGE(FILTER(W$4:W1644,W$4:W1644&lt;=I774),1),W$4:W1644"&amp;"))+(I774-LARGE(FILTER(W$4:W1644,W$4:W1644&lt;=I774),1))*INDEX(T$4:T1644,MATCH(LARGE(FILTER(W$4:W1644,W$4:W1644&lt;=I774),1),W$4:W1644))-K774),1,
ROUNDDOWN(Y774-INDEX(K$4:K1644,MATCH(LARGE(FILTER(I$4:I1644,I$4:I1644&lt;=W774),1),I$4:I1644))-(W774-LARGE(FILTER(I$4:I"&amp;"1644,I$4:I1644&lt;=W774),1))*INDEX(F$4:F1644,MATCH(LARGE(FILTER(I$4:I1644,I$4:I1644&lt;=W774),1),I$4:I1644))))"),"")</f>
        <v/>
      </c>
      <c r="N774" s="60" t="str">
        <f t="shared" si="8"/>
        <v/>
      </c>
      <c r="O774" s="61" t="str">
        <f t="shared" si="9"/>
        <v/>
      </c>
      <c r="P774" s="56" t="str">
        <f t="shared" si="10"/>
        <v/>
      </c>
      <c r="Q774" s="105"/>
      <c r="R774" s="10"/>
      <c r="S774" s="59" t="str">
        <f t="array" ref="S774">IF(COUNTA(Q774:Q1644)=0,"",SUM((COUNTIF(Q$4:Q774,Upgrades!$B$3:$B$13)-COUNTIF(Q$4:Q774,"Sell_"&amp;Upgrades!$B$3:$B$13))*Upgrades!$D$3:$D$13))</f>
        <v/>
      </c>
      <c r="T774" s="66" t="str">
        <f>IFERROR(__xludf.DUMMYFUNCTION("IF(COUNTA(Q774:Q1644)=0,"""",IF(REGEXMATCH(INDEX(FILTER(Q$4:Q774,Q$4:Q774&lt;&gt;""""),ROWS(FILTER(Q$4:Q774,Q$4:Q774&lt;&gt;""""))),""^Sell_""),INDEX(FILTER(T$4:T773,Q$4:Q773&lt;&gt;""""),ROWS(FILTER(Q$4:Q773,Q$4:Q773&lt;&gt;""""))),$AD$5+S774))"),"")</f>
        <v/>
      </c>
      <c r="U774" s="10" t="str">
        <f>IFERROR(__xludf.DUMMYFUNCTION("IF(COUNTA(Q774:Q1644)=0,"""",IF(Q774="""",0,IF(REGEXMATCH(Q774,""^Sell_""),-ROUNDDOWN(ROUNDUP(INDEX(Upgrades!$C$3:$C$13,MATCH(SUBSTITUTE(Q774,""Sell_"",""""),Upgrades!$B$3:$B$13,0))*1.15^(COUNTIF(Q$4:Q773,SUBSTITUTE(Q774,""Sell_"",""""))-COUNTIF(Q$4:Q773,"&amp;"""Sell_""&amp;SUBSTITUTE(Q774,""Sell_"",""""))))/2),ROUNDUP(INDEX(Upgrades!$C$3:$C$13,MATCH(Q774,Upgrades!$B$3:$B$13,0))*1.15^(COUNTIF(Q$4:Q773,Q774)-COUNTIF(Q$4:Q773,""Sell_""&amp;Q774))))))"),"")</f>
        <v/>
      </c>
      <c r="V774" s="10" t="str">
        <f t="shared" si="11"/>
        <v/>
      </c>
      <c r="W774" s="68" t="str">
        <f t="shared" si="12"/>
        <v/>
      </c>
      <c r="X774" s="59" t="str">
        <f t="shared" si="13"/>
        <v/>
      </c>
      <c r="Y774" s="69" t="str">
        <f t="shared" si="14"/>
        <v/>
      </c>
      <c r="Z774" s="11"/>
      <c r="AG774" s="59"/>
    </row>
    <row r="775">
      <c r="A775" s="8"/>
      <c r="B775" s="56" t="str">
        <f t="shared" si="2"/>
        <v/>
      </c>
      <c r="C775" s="105"/>
      <c r="D775" s="10"/>
      <c r="E775" s="59" t="str">
        <f t="array" ref="E775">IF(COUNTA(C775:C1644)=0,"",SUM((COUNTIF(C$4:C775,Upgrades!$B$3:$B$13)-COUNTIF(C$4:C775,"Sell_"&amp;Upgrades!$B$3:$B$13))*Upgrades!$D$3:$D$13))</f>
        <v/>
      </c>
      <c r="F775" s="66" t="str">
        <f>IFERROR(__xludf.DUMMYFUNCTION("IF(COUNTA(C775:C1644)=0,"""",IF(REGEXMATCH(INDEX(FILTER(C$4:C775,C$4:C775&lt;&gt;""""),ROWS(FILTER(C$4:C775,C$4:C775&lt;&gt;""""))),""^Sell_""),INDEX(FILTER(F$4:F774,C$4:C774&lt;&gt;""""),ROWS(FILTER(C$4:C774,C$4:C774&lt;&gt;""""))),$AC$5+E775))"),"")</f>
        <v/>
      </c>
      <c r="G775" s="10" t="str">
        <f>IFERROR(__xludf.DUMMYFUNCTION("IF(COUNTA(C775:C1644)=0,"""",IF(C775="""",0,IF(REGEXMATCH(C775,""^Sell_""),-ROUNDDOWN(ROUNDUP(INDEX(Upgrades!$C$3:$C$13,MATCH(SUBSTITUTE(C775,""Sell_"",""""),Upgrades!$B$3:$B$13,0))*1.15^(COUNTIF(C$4:C774,SUBSTITUTE(C775,""Sell_"",""""))-COUNTIF(C$4:C774,"&amp;"""Sell_""&amp;SUBSTITUTE(C775,""Sell_"",""""))))/2),ROUNDUP(INDEX(Upgrades!$C$3:$C$13,MATCH(C775,Upgrades!$B$3:$B$13,0))*1.15^(COUNTIF(C$4:C774,C775)-COUNTIF(C$4:C774,""Sell_""&amp;C775))))))"),"")</f>
        <v/>
      </c>
      <c r="H775" s="10" t="str">
        <f t="shared" si="3"/>
        <v/>
      </c>
      <c r="I775" s="68" t="str">
        <f t="shared" si="4"/>
        <v/>
      </c>
      <c r="J775" s="59" t="str">
        <f t="shared" si="5"/>
        <v/>
      </c>
      <c r="K775" s="69" t="str">
        <f t="shared" si="6"/>
        <v/>
      </c>
      <c r="L775" s="60" t="str">
        <f t="shared" si="7"/>
        <v/>
      </c>
      <c r="M775" s="61" t="str">
        <f>IFERROR(__xludf.DUMMYFUNCTION("IFS(AND(COUNTA(C775:C1644)=0,COUNTA(Q775:Q1644)=0),"""",OR(AND(K775&gt;=1000000000,OR(Y775&gt;=1000000000,COUNTA(Q775:Q1644)=0)),OR(Y775&gt;=1000000000,AND(COUNTA(C775:C1644)=0,P$3=TRUE))),
ROUNDDOWN((AB$1-AC$1)*MAX(INDEX(T$4:T1644,MATCH(LARGE(FILTER(Y$4:Y1644,Y$4"&amp;":Y1644&lt;1000000000),1),Y$4:Y1644)),INDEX(F$4:F1644,MATCH(LARGE(FILTER(K$4:K1644,K$4:K1644&lt;1000000000),1),K$4:K1644)))),AND(K775&lt;1000000000,COUNTA(C775:C1644)&gt;0,P$3=FALSE),
ROUNDDOWN(INDEX(Y$4:Y1644,MATCH(LARGE(FILTER(W$4:W1644,W$4:W1644&lt;=I775),1),W$4:W1644"&amp;"))+(I775-LARGE(FILTER(W$4:W1644,W$4:W1644&lt;=I775),1))*INDEX(T$4:T1644,MATCH(LARGE(FILTER(W$4:W1644,W$4:W1644&lt;=I775),1),W$4:W1644))-K775),1,
ROUNDDOWN(Y775-INDEX(K$4:K1644,MATCH(LARGE(FILTER(I$4:I1644,I$4:I1644&lt;=W775),1),I$4:I1644))-(W775-LARGE(FILTER(I$4:I"&amp;"1644,I$4:I1644&lt;=W775),1))*INDEX(F$4:F1644,MATCH(LARGE(FILTER(I$4:I1644,I$4:I1644&lt;=W775),1),I$4:I1644))))"),"")</f>
        <v/>
      </c>
      <c r="N775" s="60" t="str">
        <f t="shared" si="8"/>
        <v/>
      </c>
      <c r="O775" s="61" t="str">
        <f t="shared" si="9"/>
        <v/>
      </c>
      <c r="P775" s="56" t="str">
        <f t="shared" si="10"/>
        <v/>
      </c>
      <c r="Q775" s="105"/>
      <c r="R775" s="10"/>
      <c r="S775" s="59" t="str">
        <f t="array" ref="S775">IF(COUNTA(Q775:Q1644)=0,"",SUM((COUNTIF(Q$4:Q775,Upgrades!$B$3:$B$13)-COUNTIF(Q$4:Q775,"Sell_"&amp;Upgrades!$B$3:$B$13))*Upgrades!$D$3:$D$13))</f>
        <v/>
      </c>
      <c r="T775" s="66" t="str">
        <f>IFERROR(__xludf.DUMMYFUNCTION("IF(COUNTA(Q775:Q1644)=0,"""",IF(REGEXMATCH(INDEX(FILTER(Q$4:Q775,Q$4:Q775&lt;&gt;""""),ROWS(FILTER(Q$4:Q775,Q$4:Q775&lt;&gt;""""))),""^Sell_""),INDEX(FILTER(T$4:T774,Q$4:Q774&lt;&gt;""""),ROWS(FILTER(Q$4:Q774,Q$4:Q774&lt;&gt;""""))),$AD$5+S775))"),"")</f>
        <v/>
      </c>
      <c r="U775" s="10" t="str">
        <f>IFERROR(__xludf.DUMMYFUNCTION("IF(COUNTA(Q775:Q1644)=0,"""",IF(Q775="""",0,IF(REGEXMATCH(Q775,""^Sell_""),-ROUNDDOWN(ROUNDUP(INDEX(Upgrades!$C$3:$C$13,MATCH(SUBSTITUTE(Q775,""Sell_"",""""),Upgrades!$B$3:$B$13,0))*1.15^(COUNTIF(Q$4:Q774,SUBSTITUTE(Q775,""Sell_"",""""))-COUNTIF(Q$4:Q774,"&amp;"""Sell_""&amp;SUBSTITUTE(Q775,""Sell_"",""""))))/2),ROUNDUP(INDEX(Upgrades!$C$3:$C$13,MATCH(Q775,Upgrades!$B$3:$B$13,0))*1.15^(COUNTIF(Q$4:Q774,Q775)-COUNTIF(Q$4:Q774,""Sell_""&amp;Q775))))))"),"")</f>
        <v/>
      </c>
      <c r="V775" s="10" t="str">
        <f t="shared" si="11"/>
        <v/>
      </c>
      <c r="W775" s="68" t="str">
        <f t="shared" si="12"/>
        <v/>
      </c>
      <c r="X775" s="59" t="str">
        <f t="shared" si="13"/>
        <v/>
      </c>
      <c r="Y775" s="69" t="str">
        <f t="shared" si="14"/>
        <v/>
      </c>
      <c r="Z775" s="11"/>
      <c r="AG775" s="59"/>
    </row>
    <row r="776">
      <c r="A776" s="8"/>
      <c r="B776" s="56" t="str">
        <f t="shared" si="2"/>
        <v/>
      </c>
      <c r="C776" s="105"/>
      <c r="D776" s="10"/>
      <c r="E776" s="59" t="str">
        <f t="array" ref="E776">IF(COUNTA(C776:C1644)=0,"",SUM((COUNTIF(C$4:C776,Upgrades!$B$3:$B$13)-COUNTIF(C$4:C776,"Sell_"&amp;Upgrades!$B$3:$B$13))*Upgrades!$D$3:$D$13))</f>
        <v/>
      </c>
      <c r="F776" s="66" t="str">
        <f>IFERROR(__xludf.DUMMYFUNCTION("IF(COUNTA(C776:C1644)=0,"""",IF(REGEXMATCH(INDEX(FILTER(C$4:C776,C$4:C776&lt;&gt;""""),ROWS(FILTER(C$4:C776,C$4:C776&lt;&gt;""""))),""^Sell_""),INDEX(FILTER(F$4:F775,C$4:C775&lt;&gt;""""),ROWS(FILTER(C$4:C775,C$4:C775&lt;&gt;""""))),$AC$5+E776))"),"")</f>
        <v/>
      </c>
      <c r="G776" s="10" t="str">
        <f>IFERROR(__xludf.DUMMYFUNCTION("IF(COUNTA(C776:C1644)=0,"""",IF(C776="""",0,IF(REGEXMATCH(C776,""^Sell_""),-ROUNDDOWN(ROUNDUP(INDEX(Upgrades!$C$3:$C$13,MATCH(SUBSTITUTE(C776,""Sell_"",""""),Upgrades!$B$3:$B$13,0))*1.15^(COUNTIF(C$4:C775,SUBSTITUTE(C776,""Sell_"",""""))-COUNTIF(C$4:C775,"&amp;"""Sell_""&amp;SUBSTITUTE(C776,""Sell_"",""""))))/2),ROUNDUP(INDEX(Upgrades!$C$3:$C$13,MATCH(C776,Upgrades!$B$3:$B$13,0))*1.15^(COUNTIF(C$4:C775,C776)-COUNTIF(C$4:C775,""Sell_""&amp;C776))))))"),"")</f>
        <v/>
      </c>
      <c r="H776" s="10" t="str">
        <f t="shared" si="3"/>
        <v/>
      </c>
      <c r="I776" s="68" t="str">
        <f t="shared" si="4"/>
        <v/>
      </c>
      <c r="J776" s="59" t="str">
        <f t="shared" si="5"/>
        <v/>
      </c>
      <c r="K776" s="69" t="str">
        <f t="shared" si="6"/>
        <v/>
      </c>
      <c r="L776" s="60" t="str">
        <f t="shared" si="7"/>
        <v/>
      </c>
      <c r="M776" s="61" t="str">
        <f>IFERROR(__xludf.DUMMYFUNCTION("IFS(AND(COUNTA(C776:C1644)=0,COUNTA(Q776:Q1644)=0),"""",OR(AND(K776&gt;=1000000000,OR(Y776&gt;=1000000000,COUNTA(Q776:Q1644)=0)),OR(Y776&gt;=1000000000,AND(COUNTA(C776:C1644)=0,P$3=TRUE))),
ROUNDDOWN((AB$1-AC$1)*MAX(INDEX(T$4:T1644,MATCH(LARGE(FILTER(Y$4:Y1644,Y$4"&amp;":Y1644&lt;1000000000),1),Y$4:Y1644)),INDEX(F$4:F1644,MATCH(LARGE(FILTER(K$4:K1644,K$4:K1644&lt;1000000000),1),K$4:K1644)))),AND(K776&lt;1000000000,COUNTA(C776:C1644)&gt;0,P$3=FALSE),
ROUNDDOWN(INDEX(Y$4:Y1644,MATCH(LARGE(FILTER(W$4:W1644,W$4:W1644&lt;=I776),1),W$4:W1644"&amp;"))+(I776-LARGE(FILTER(W$4:W1644,W$4:W1644&lt;=I776),1))*INDEX(T$4:T1644,MATCH(LARGE(FILTER(W$4:W1644,W$4:W1644&lt;=I776),1),W$4:W1644))-K776),1,
ROUNDDOWN(Y776-INDEX(K$4:K1644,MATCH(LARGE(FILTER(I$4:I1644,I$4:I1644&lt;=W776),1),I$4:I1644))-(W776-LARGE(FILTER(I$4:I"&amp;"1644,I$4:I1644&lt;=W776),1))*INDEX(F$4:F1644,MATCH(LARGE(FILTER(I$4:I1644,I$4:I1644&lt;=W776),1),I$4:I1644))))"),"")</f>
        <v/>
      </c>
      <c r="N776" s="60" t="str">
        <f t="shared" si="8"/>
        <v/>
      </c>
      <c r="O776" s="61" t="str">
        <f t="shared" si="9"/>
        <v/>
      </c>
      <c r="P776" s="56" t="str">
        <f t="shared" si="10"/>
        <v/>
      </c>
      <c r="Q776" s="105"/>
      <c r="R776" s="10"/>
      <c r="S776" s="59" t="str">
        <f t="array" ref="S776">IF(COUNTA(Q776:Q1644)=0,"",SUM((COUNTIF(Q$4:Q776,Upgrades!$B$3:$B$13)-COUNTIF(Q$4:Q776,"Sell_"&amp;Upgrades!$B$3:$B$13))*Upgrades!$D$3:$D$13))</f>
        <v/>
      </c>
      <c r="T776" s="66" t="str">
        <f>IFERROR(__xludf.DUMMYFUNCTION("IF(COUNTA(Q776:Q1644)=0,"""",IF(REGEXMATCH(INDEX(FILTER(Q$4:Q776,Q$4:Q776&lt;&gt;""""),ROWS(FILTER(Q$4:Q776,Q$4:Q776&lt;&gt;""""))),""^Sell_""),INDEX(FILTER(T$4:T775,Q$4:Q775&lt;&gt;""""),ROWS(FILTER(Q$4:Q775,Q$4:Q775&lt;&gt;""""))),$AD$5+S776))"),"")</f>
        <v/>
      </c>
      <c r="U776" s="10" t="str">
        <f>IFERROR(__xludf.DUMMYFUNCTION("IF(COUNTA(Q776:Q1644)=0,"""",IF(Q776="""",0,IF(REGEXMATCH(Q776,""^Sell_""),-ROUNDDOWN(ROUNDUP(INDEX(Upgrades!$C$3:$C$13,MATCH(SUBSTITUTE(Q776,""Sell_"",""""),Upgrades!$B$3:$B$13,0))*1.15^(COUNTIF(Q$4:Q775,SUBSTITUTE(Q776,""Sell_"",""""))-COUNTIF(Q$4:Q775,"&amp;"""Sell_""&amp;SUBSTITUTE(Q776,""Sell_"",""""))))/2),ROUNDUP(INDEX(Upgrades!$C$3:$C$13,MATCH(Q776,Upgrades!$B$3:$B$13,0))*1.15^(COUNTIF(Q$4:Q775,Q776)-COUNTIF(Q$4:Q775,""Sell_""&amp;Q776))))))"),"")</f>
        <v/>
      </c>
      <c r="V776" s="10" t="str">
        <f t="shared" si="11"/>
        <v/>
      </c>
      <c r="W776" s="68" t="str">
        <f t="shared" si="12"/>
        <v/>
      </c>
      <c r="X776" s="59" t="str">
        <f t="shared" si="13"/>
        <v/>
      </c>
      <c r="Y776" s="69" t="str">
        <f t="shared" si="14"/>
        <v/>
      </c>
      <c r="Z776" s="11"/>
      <c r="AG776" s="59"/>
    </row>
    <row r="777">
      <c r="A777" s="8"/>
      <c r="B777" s="56" t="str">
        <f t="shared" si="2"/>
        <v/>
      </c>
      <c r="C777" s="105"/>
      <c r="D777" s="10"/>
      <c r="E777" s="59" t="str">
        <f t="array" ref="E777">IF(COUNTA(C777:C1644)=0,"",SUM((COUNTIF(C$4:C777,Upgrades!$B$3:$B$13)-COUNTIF(C$4:C777,"Sell_"&amp;Upgrades!$B$3:$B$13))*Upgrades!$D$3:$D$13))</f>
        <v/>
      </c>
      <c r="F777" s="66" t="str">
        <f>IFERROR(__xludf.DUMMYFUNCTION("IF(COUNTA(C777:C1644)=0,"""",IF(REGEXMATCH(INDEX(FILTER(C$4:C777,C$4:C777&lt;&gt;""""),ROWS(FILTER(C$4:C777,C$4:C777&lt;&gt;""""))),""^Sell_""),INDEX(FILTER(F$4:F776,C$4:C776&lt;&gt;""""),ROWS(FILTER(C$4:C776,C$4:C776&lt;&gt;""""))),$AC$5+E777))"),"")</f>
        <v/>
      </c>
      <c r="G777" s="10" t="str">
        <f>IFERROR(__xludf.DUMMYFUNCTION("IF(COUNTA(C777:C1644)=0,"""",IF(C777="""",0,IF(REGEXMATCH(C777,""^Sell_""),-ROUNDDOWN(ROUNDUP(INDEX(Upgrades!$C$3:$C$13,MATCH(SUBSTITUTE(C777,""Sell_"",""""),Upgrades!$B$3:$B$13,0))*1.15^(COUNTIF(C$4:C776,SUBSTITUTE(C777,""Sell_"",""""))-COUNTIF(C$4:C776,"&amp;"""Sell_""&amp;SUBSTITUTE(C777,""Sell_"",""""))))/2),ROUNDUP(INDEX(Upgrades!$C$3:$C$13,MATCH(C777,Upgrades!$B$3:$B$13,0))*1.15^(COUNTIF(C$4:C776,C777)-COUNTIF(C$4:C776,""Sell_""&amp;C777))))))"),"")</f>
        <v/>
      </c>
      <c r="H777" s="10" t="str">
        <f t="shared" si="3"/>
        <v/>
      </c>
      <c r="I777" s="68" t="str">
        <f t="shared" si="4"/>
        <v/>
      </c>
      <c r="J777" s="59" t="str">
        <f t="shared" si="5"/>
        <v/>
      </c>
      <c r="K777" s="69" t="str">
        <f t="shared" si="6"/>
        <v/>
      </c>
      <c r="L777" s="60" t="str">
        <f t="shared" si="7"/>
        <v/>
      </c>
      <c r="M777" s="61" t="str">
        <f>IFERROR(__xludf.DUMMYFUNCTION("IFS(AND(COUNTA(C777:C1644)=0,COUNTA(Q777:Q1644)=0),"""",OR(AND(K777&gt;=1000000000,OR(Y777&gt;=1000000000,COUNTA(Q777:Q1644)=0)),OR(Y777&gt;=1000000000,AND(COUNTA(C777:C1644)=0,P$3=TRUE))),
ROUNDDOWN((AB$1-AC$1)*MAX(INDEX(T$4:T1644,MATCH(LARGE(FILTER(Y$4:Y1644,Y$4"&amp;":Y1644&lt;1000000000),1),Y$4:Y1644)),INDEX(F$4:F1644,MATCH(LARGE(FILTER(K$4:K1644,K$4:K1644&lt;1000000000),1),K$4:K1644)))),AND(K777&lt;1000000000,COUNTA(C777:C1644)&gt;0,P$3=FALSE),
ROUNDDOWN(INDEX(Y$4:Y1644,MATCH(LARGE(FILTER(W$4:W1644,W$4:W1644&lt;=I777),1),W$4:W1644"&amp;"))+(I777-LARGE(FILTER(W$4:W1644,W$4:W1644&lt;=I777),1))*INDEX(T$4:T1644,MATCH(LARGE(FILTER(W$4:W1644,W$4:W1644&lt;=I777),1),W$4:W1644))-K777),1,
ROUNDDOWN(Y777-INDEX(K$4:K1644,MATCH(LARGE(FILTER(I$4:I1644,I$4:I1644&lt;=W777),1),I$4:I1644))-(W777-LARGE(FILTER(I$4:I"&amp;"1644,I$4:I1644&lt;=W777),1))*INDEX(F$4:F1644,MATCH(LARGE(FILTER(I$4:I1644,I$4:I1644&lt;=W777),1),I$4:I1644))))"),"")</f>
        <v/>
      </c>
      <c r="N777" s="60" t="str">
        <f t="shared" si="8"/>
        <v/>
      </c>
      <c r="O777" s="61" t="str">
        <f t="shared" si="9"/>
        <v/>
      </c>
      <c r="P777" s="56" t="str">
        <f t="shared" si="10"/>
        <v/>
      </c>
      <c r="Q777" s="105"/>
      <c r="R777" s="10"/>
      <c r="S777" s="59" t="str">
        <f t="array" ref="S777">IF(COUNTA(Q777:Q1644)=0,"",SUM((COUNTIF(Q$4:Q777,Upgrades!$B$3:$B$13)-COUNTIF(Q$4:Q777,"Sell_"&amp;Upgrades!$B$3:$B$13))*Upgrades!$D$3:$D$13))</f>
        <v/>
      </c>
      <c r="T777" s="66" t="str">
        <f>IFERROR(__xludf.DUMMYFUNCTION("IF(COUNTA(Q777:Q1644)=0,"""",IF(REGEXMATCH(INDEX(FILTER(Q$4:Q777,Q$4:Q777&lt;&gt;""""),ROWS(FILTER(Q$4:Q777,Q$4:Q777&lt;&gt;""""))),""^Sell_""),INDEX(FILTER(T$4:T776,Q$4:Q776&lt;&gt;""""),ROWS(FILTER(Q$4:Q776,Q$4:Q776&lt;&gt;""""))),$AD$5+S777))"),"")</f>
        <v/>
      </c>
      <c r="U777" s="10" t="str">
        <f>IFERROR(__xludf.DUMMYFUNCTION("IF(COUNTA(Q777:Q1644)=0,"""",IF(Q777="""",0,IF(REGEXMATCH(Q777,""^Sell_""),-ROUNDDOWN(ROUNDUP(INDEX(Upgrades!$C$3:$C$13,MATCH(SUBSTITUTE(Q777,""Sell_"",""""),Upgrades!$B$3:$B$13,0))*1.15^(COUNTIF(Q$4:Q776,SUBSTITUTE(Q777,""Sell_"",""""))-COUNTIF(Q$4:Q776,"&amp;"""Sell_""&amp;SUBSTITUTE(Q777,""Sell_"",""""))))/2),ROUNDUP(INDEX(Upgrades!$C$3:$C$13,MATCH(Q777,Upgrades!$B$3:$B$13,0))*1.15^(COUNTIF(Q$4:Q776,Q777)-COUNTIF(Q$4:Q776,""Sell_""&amp;Q777))))))"),"")</f>
        <v/>
      </c>
      <c r="V777" s="10" t="str">
        <f t="shared" si="11"/>
        <v/>
      </c>
      <c r="W777" s="68" t="str">
        <f t="shared" si="12"/>
        <v/>
      </c>
      <c r="X777" s="59" t="str">
        <f t="shared" si="13"/>
        <v/>
      </c>
      <c r="Y777" s="69" t="str">
        <f t="shared" si="14"/>
        <v/>
      </c>
      <c r="Z777" s="11"/>
      <c r="AG777" s="59"/>
    </row>
    <row r="778">
      <c r="A778" s="8"/>
      <c r="B778" s="56" t="str">
        <f t="shared" si="2"/>
        <v/>
      </c>
      <c r="C778" s="105"/>
      <c r="D778" s="10"/>
      <c r="E778" s="59" t="str">
        <f t="array" ref="E778">IF(COUNTA(C778:C1644)=0,"",SUM((COUNTIF(C$4:C778,Upgrades!$B$3:$B$13)-COUNTIF(C$4:C778,"Sell_"&amp;Upgrades!$B$3:$B$13))*Upgrades!$D$3:$D$13))</f>
        <v/>
      </c>
      <c r="F778" s="66" t="str">
        <f>IFERROR(__xludf.DUMMYFUNCTION("IF(COUNTA(C778:C1644)=0,"""",IF(REGEXMATCH(INDEX(FILTER(C$4:C778,C$4:C778&lt;&gt;""""),ROWS(FILTER(C$4:C778,C$4:C778&lt;&gt;""""))),""^Sell_""),INDEX(FILTER(F$4:F777,C$4:C777&lt;&gt;""""),ROWS(FILTER(C$4:C777,C$4:C777&lt;&gt;""""))),$AC$5+E778))"),"")</f>
        <v/>
      </c>
      <c r="G778" s="10" t="str">
        <f>IFERROR(__xludf.DUMMYFUNCTION("IF(COUNTA(C778:C1644)=0,"""",IF(C778="""",0,IF(REGEXMATCH(C778,""^Sell_""),-ROUNDDOWN(ROUNDUP(INDEX(Upgrades!$C$3:$C$13,MATCH(SUBSTITUTE(C778,""Sell_"",""""),Upgrades!$B$3:$B$13,0))*1.15^(COUNTIF(C$4:C777,SUBSTITUTE(C778,""Sell_"",""""))-COUNTIF(C$4:C777,"&amp;"""Sell_""&amp;SUBSTITUTE(C778,""Sell_"",""""))))/2),ROUNDUP(INDEX(Upgrades!$C$3:$C$13,MATCH(C778,Upgrades!$B$3:$B$13,0))*1.15^(COUNTIF(C$4:C777,C778)-COUNTIF(C$4:C777,""Sell_""&amp;C778))))))"),"")</f>
        <v/>
      </c>
      <c r="H778" s="10" t="str">
        <f t="shared" si="3"/>
        <v/>
      </c>
      <c r="I778" s="68" t="str">
        <f t="shared" si="4"/>
        <v/>
      </c>
      <c r="J778" s="59" t="str">
        <f t="shared" si="5"/>
        <v/>
      </c>
      <c r="K778" s="69" t="str">
        <f t="shared" si="6"/>
        <v/>
      </c>
      <c r="L778" s="60" t="str">
        <f t="shared" si="7"/>
        <v/>
      </c>
      <c r="M778" s="61" t="str">
        <f>IFERROR(__xludf.DUMMYFUNCTION("IFS(AND(COUNTA(C778:C1644)=0,COUNTA(Q778:Q1644)=0),"""",OR(AND(K778&gt;=1000000000,OR(Y778&gt;=1000000000,COUNTA(Q778:Q1644)=0)),OR(Y778&gt;=1000000000,AND(COUNTA(C778:C1644)=0,P$3=TRUE))),
ROUNDDOWN((AB$1-AC$1)*MAX(INDEX(T$4:T1644,MATCH(LARGE(FILTER(Y$4:Y1644,Y$4"&amp;":Y1644&lt;1000000000),1),Y$4:Y1644)),INDEX(F$4:F1644,MATCH(LARGE(FILTER(K$4:K1644,K$4:K1644&lt;1000000000),1),K$4:K1644)))),AND(K778&lt;1000000000,COUNTA(C778:C1644)&gt;0,P$3=FALSE),
ROUNDDOWN(INDEX(Y$4:Y1644,MATCH(LARGE(FILTER(W$4:W1644,W$4:W1644&lt;=I778),1),W$4:W1644"&amp;"))+(I778-LARGE(FILTER(W$4:W1644,W$4:W1644&lt;=I778),1))*INDEX(T$4:T1644,MATCH(LARGE(FILTER(W$4:W1644,W$4:W1644&lt;=I778),1),W$4:W1644))-K778),1,
ROUNDDOWN(Y778-INDEX(K$4:K1644,MATCH(LARGE(FILTER(I$4:I1644,I$4:I1644&lt;=W778),1),I$4:I1644))-(W778-LARGE(FILTER(I$4:I"&amp;"1644,I$4:I1644&lt;=W778),1))*INDEX(F$4:F1644,MATCH(LARGE(FILTER(I$4:I1644,I$4:I1644&lt;=W778),1),I$4:I1644))))"),"")</f>
        <v/>
      </c>
      <c r="N778" s="60" t="str">
        <f t="shared" si="8"/>
        <v/>
      </c>
      <c r="O778" s="61" t="str">
        <f t="shared" si="9"/>
        <v/>
      </c>
      <c r="P778" s="56" t="str">
        <f t="shared" si="10"/>
        <v/>
      </c>
      <c r="Q778" s="105"/>
      <c r="R778" s="10"/>
      <c r="S778" s="59" t="str">
        <f t="array" ref="S778">IF(COUNTA(Q778:Q1644)=0,"",SUM((COUNTIF(Q$4:Q778,Upgrades!$B$3:$B$13)-COUNTIF(Q$4:Q778,"Sell_"&amp;Upgrades!$B$3:$B$13))*Upgrades!$D$3:$D$13))</f>
        <v/>
      </c>
      <c r="T778" s="66" t="str">
        <f>IFERROR(__xludf.DUMMYFUNCTION("IF(COUNTA(Q778:Q1644)=0,"""",IF(REGEXMATCH(INDEX(FILTER(Q$4:Q778,Q$4:Q778&lt;&gt;""""),ROWS(FILTER(Q$4:Q778,Q$4:Q778&lt;&gt;""""))),""^Sell_""),INDEX(FILTER(T$4:T777,Q$4:Q777&lt;&gt;""""),ROWS(FILTER(Q$4:Q777,Q$4:Q777&lt;&gt;""""))),$AD$5+S778))"),"")</f>
        <v/>
      </c>
      <c r="U778" s="10" t="str">
        <f>IFERROR(__xludf.DUMMYFUNCTION("IF(COUNTA(Q778:Q1644)=0,"""",IF(Q778="""",0,IF(REGEXMATCH(Q778,""^Sell_""),-ROUNDDOWN(ROUNDUP(INDEX(Upgrades!$C$3:$C$13,MATCH(SUBSTITUTE(Q778,""Sell_"",""""),Upgrades!$B$3:$B$13,0))*1.15^(COUNTIF(Q$4:Q777,SUBSTITUTE(Q778,""Sell_"",""""))-COUNTIF(Q$4:Q777,"&amp;"""Sell_""&amp;SUBSTITUTE(Q778,""Sell_"",""""))))/2),ROUNDUP(INDEX(Upgrades!$C$3:$C$13,MATCH(Q778,Upgrades!$B$3:$B$13,0))*1.15^(COUNTIF(Q$4:Q777,Q778)-COUNTIF(Q$4:Q777,""Sell_""&amp;Q778))))))"),"")</f>
        <v/>
      </c>
      <c r="V778" s="10" t="str">
        <f t="shared" si="11"/>
        <v/>
      </c>
      <c r="W778" s="68" t="str">
        <f t="shared" si="12"/>
        <v/>
      </c>
      <c r="X778" s="59" t="str">
        <f t="shared" si="13"/>
        <v/>
      </c>
      <c r="Y778" s="69" t="str">
        <f t="shared" si="14"/>
        <v/>
      </c>
      <c r="Z778" s="11"/>
      <c r="AG778" s="59"/>
    </row>
    <row r="779">
      <c r="A779" s="8"/>
      <c r="B779" s="56" t="str">
        <f t="shared" si="2"/>
        <v/>
      </c>
      <c r="C779" s="105"/>
      <c r="D779" s="10"/>
      <c r="E779" s="59" t="str">
        <f t="array" ref="E779">IF(COUNTA(C779:C1644)=0,"",SUM((COUNTIF(C$4:C779,Upgrades!$B$3:$B$13)-COUNTIF(C$4:C779,"Sell_"&amp;Upgrades!$B$3:$B$13))*Upgrades!$D$3:$D$13))</f>
        <v/>
      </c>
      <c r="F779" s="66" t="str">
        <f>IFERROR(__xludf.DUMMYFUNCTION("IF(COUNTA(C779:C1644)=0,"""",IF(REGEXMATCH(INDEX(FILTER(C$4:C779,C$4:C779&lt;&gt;""""),ROWS(FILTER(C$4:C779,C$4:C779&lt;&gt;""""))),""^Sell_""),INDEX(FILTER(F$4:F778,C$4:C778&lt;&gt;""""),ROWS(FILTER(C$4:C778,C$4:C778&lt;&gt;""""))),$AC$5+E779))"),"")</f>
        <v/>
      </c>
      <c r="G779" s="10" t="str">
        <f>IFERROR(__xludf.DUMMYFUNCTION("IF(COUNTA(C779:C1644)=0,"""",IF(C779="""",0,IF(REGEXMATCH(C779,""^Sell_""),-ROUNDDOWN(ROUNDUP(INDEX(Upgrades!$C$3:$C$13,MATCH(SUBSTITUTE(C779,""Sell_"",""""),Upgrades!$B$3:$B$13,0))*1.15^(COUNTIF(C$4:C778,SUBSTITUTE(C779,""Sell_"",""""))-COUNTIF(C$4:C778,"&amp;"""Sell_""&amp;SUBSTITUTE(C779,""Sell_"",""""))))/2),ROUNDUP(INDEX(Upgrades!$C$3:$C$13,MATCH(C779,Upgrades!$B$3:$B$13,0))*1.15^(COUNTIF(C$4:C778,C779)-COUNTIF(C$4:C778,""Sell_""&amp;C779))))))"),"")</f>
        <v/>
      </c>
      <c r="H779" s="10" t="str">
        <f t="shared" si="3"/>
        <v/>
      </c>
      <c r="I779" s="68" t="str">
        <f t="shared" si="4"/>
        <v/>
      </c>
      <c r="J779" s="59" t="str">
        <f t="shared" si="5"/>
        <v/>
      </c>
      <c r="K779" s="69" t="str">
        <f t="shared" si="6"/>
        <v/>
      </c>
      <c r="L779" s="60" t="str">
        <f t="shared" si="7"/>
        <v/>
      </c>
      <c r="M779" s="61" t="str">
        <f>IFERROR(__xludf.DUMMYFUNCTION("IFS(AND(COUNTA(C779:C1644)=0,COUNTA(Q779:Q1644)=0),"""",OR(AND(K779&gt;=1000000000,OR(Y779&gt;=1000000000,COUNTA(Q779:Q1644)=0)),OR(Y779&gt;=1000000000,AND(COUNTA(C779:C1644)=0,P$3=TRUE))),
ROUNDDOWN((AB$1-AC$1)*MAX(INDEX(T$4:T1644,MATCH(LARGE(FILTER(Y$4:Y1644,Y$4"&amp;":Y1644&lt;1000000000),1),Y$4:Y1644)),INDEX(F$4:F1644,MATCH(LARGE(FILTER(K$4:K1644,K$4:K1644&lt;1000000000),1),K$4:K1644)))),AND(K779&lt;1000000000,COUNTA(C779:C1644)&gt;0,P$3=FALSE),
ROUNDDOWN(INDEX(Y$4:Y1644,MATCH(LARGE(FILTER(W$4:W1644,W$4:W1644&lt;=I779),1),W$4:W1644"&amp;"))+(I779-LARGE(FILTER(W$4:W1644,W$4:W1644&lt;=I779),1))*INDEX(T$4:T1644,MATCH(LARGE(FILTER(W$4:W1644,W$4:W1644&lt;=I779),1),W$4:W1644))-K779),1,
ROUNDDOWN(Y779-INDEX(K$4:K1644,MATCH(LARGE(FILTER(I$4:I1644,I$4:I1644&lt;=W779),1),I$4:I1644))-(W779-LARGE(FILTER(I$4:I"&amp;"1644,I$4:I1644&lt;=W779),1))*INDEX(F$4:F1644,MATCH(LARGE(FILTER(I$4:I1644,I$4:I1644&lt;=W779),1),I$4:I1644))))"),"")</f>
        <v/>
      </c>
      <c r="N779" s="60" t="str">
        <f t="shared" si="8"/>
        <v/>
      </c>
      <c r="O779" s="61" t="str">
        <f t="shared" si="9"/>
        <v/>
      </c>
      <c r="P779" s="56" t="str">
        <f t="shared" si="10"/>
        <v/>
      </c>
      <c r="Q779" s="105"/>
      <c r="R779" s="10"/>
      <c r="S779" s="59" t="str">
        <f t="array" ref="S779">IF(COUNTA(Q779:Q1644)=0,"",SUM((COUNTIF(Q$4:Q779,Upgrades!$B$3:$B$13)-COUNTIF(Q$4:Q779,"Sell_"&amp;Upgrades!$B$3:$B$13))*Upgrades!$D$3:$D$13))</f>
        <v/>
      </c>
      <c r="T779" s="66" t="str">
        <f>IFERROR(__xludf.DUMMYFUNCTION("IF(COUNTA(Q779:Q1644)=0,"""",IF(REGEXMATCH(INDEX(FILTER(Q$4:Q779,Q$4:Q779&lt;&gt;""""),ROWS(FILTER(Q$4:Q779,Q$4:Q779&lt;&gt;""""))),""^Sell_""),INDEX(FILTER(T$4:T778,Q$4:Q778&lt;&gt;""""),ROWS(FILTER(Q$4:Q778,Q$4:Q778&lt;&gt;""""))),$AD$5+S779))"),"")</f>
        <v/>
      </c>
      <c r="U779" s="10" t="str">
        <f>IFERROR(__xludf.DUMMYFUNCTION("IF(COUNTA(Q779:Q1644)=0,"""",IF(Q779="""",0,IF(REGEXMATCH(Q779,""^Sell_""),-ROUNDDOWN(ROUNDUP(INDEX(Upgrades!$C$3:$C$13,MATCH(SUBSTITUTE(Q779,""Sell_"",""""),Upgrades!$B$3:$B$13,0))*1.15^(COUNTIF(Q$4:Q778,SUBSTITUTE(Q779,""Sell_"",""""))-COUNTIF(Q$4:Q778,"&amp;"""Sell_""&amp;SUBSTITUTE(Q779,""Sell_"",""""))))/2),ROUNDUP(INDEX(Upgrades!$C$3:$C$13,MATCH(Q779,Upgrades!$B$3:$B$13,0))*1.15^(COUNTIF(Q$4:Q778,Q779)-COUNTIF(Q$4:Q778,""Sell_""&amp;Q779))))))"),"")</f>
        <v/>
      </c>
      <c r="V779" s="10" t="str">
        <f t="shared" si="11"/>
        <v/>
      </c>
      <c r="W779" s="68" t="str">
        <f t="shared" si="12"/>
        <v/>
      </c>
      <c r="X779" s="59" t="str">
        <f t="shared" si="13"/>
        <v/>
      </c>
      <c r="Y779" s="69" t="str">
        <f t="shared" si="14"/>
        <v/>
      </c>
      <c r="Z779" s="11"/>
      <c r="AG779" s="59"/>
    </row>
    <row r="780">
      <c r="A780" s="8"/>
      <c r="B780" s="56" t="str">
        <f t="shared" si="2"/>
        <v/>
      </c>
      <c r="C780" s="105"/>
      <c r="D780" s="10"/>
      <c r="E780" s="59" t="str">
        <f t="array" ref="E780">IF(COUNTA(C780:C1644)=0,"",SUM((COUNTIF(C$4:C780,Upgrades!$B$3:$B$13)-COUNTIF(C$4:C780,"Sell_"&amp;Upgrades!$B$3:$B$13))*Upgrades!$D$3:$D$13))</f>
        <v/>
      </c>
      <c r="F780" s="66" t="str">
        <f>IFERROR(__xludf.DUMMYFUNCTION("IF(COUNTA(C780:C1644)=0,"""",IF(REGEXMATCH(INDEX(FILTER(C$4:C780,C$4:C780&lt;&gt;""""),ROWS(FILTER(C$4:C780,C$4:C780&lt;&gt;""""))),""^Sell_""),INDEX(FILTER(F$4:F779,C$4:C779&lt;&gt;""""),ROWS(FILTER(C$4:C779,C$4:C779&lt;&gt;""""))),$AC$5+E780))"),"")</f>
        <v/>
      </c>
      <c r="G780" s="10" t="str">
        <f>IFERROR(__xludf.DUMMYFUNCTION("IF(COUNTA(C780:C1644)=0,"""",IF(C780="""",0,IF(REGEXMATCH(C780,""^Sell_""),-ROUNDDOWN(ROUNDUP(INDEX(Upgrades!$C$3:$C$13,MATCH(SUBSTITUTE(C780,""Sell_"",""""),Upgrades!$B$3:$B$13,0))*1.15^(COUNTIF(C$4:C779,SUBSTITUTE(C780,""Sell_"",""""))-COUNTIF(C$4:C779,"&amp;"""Sell_""&amp;SUBSTITUTE(C780,""Sell_"",""""))))/2),ROUNDUP(INDEX(Upgrades!$C$3:$C$13,MATCH(C780,Upgrades!$B$3:$B$13,0))*1.15^(COUNTIF(C$4:C779,C780)-COUNTIF(C$4:C779,""Sell_""&amp;C780))))))"),"")</f>
        <v/>
      </c>
      <c r="H780" s="10" t="str">
        <f t="shared" si="3"/>
        <v/>
      </c>
      <c r="I780" s="68" t="str">
        <f t="shared" si="4"/>
        <v/>
      </c>
      <c r="J780" s="59" t="str">
        <f t="shared" si="5"/>
        <v/>
      </c>
      <c r="K780" s="69" t="str">
        <f t="shared" si="6"/>
        <v/>
      </c>
      <c r="L780" s="60" t="str">
        <f t="shared" si="7"/>
        <v/>
      </c>
      <c r="M780" s="61" t="str">
        <f>IFERROR(__xludf.DUMMYFUNCTION("IFS(AND(COUNTA(C780:C1644)=0,COUNTA(Q780:Q1644)=0),"""",OR(AND(K780&gt;=1000000000,OR(Y780&gt;=1000000000,COUNTA(Q780:Q1644)=0)),OR(Y780&gt;=1000000000,AND(COUNTA(C780:C1644)=0,P$3=TRUE))),
ROUNDDOWN((AB$1-AC$1)*MAX(INDEX(T$4:T1644,MATCH(LARGE(FILTER(Y$4:Y1644,Y$4"&amp;":Y1644&lt;1000000000),1),Y$4:Y1644)),INDEX(F$4:F1644,MATCH(LARGE(FILTER(K$4:K1644,K$4:K1644&lt;1000000000),1),K$4:K1644)))),AND(K780&lt;1000000000,COUNTA(C780:C1644)&gt;0,P$3=FALSE),
ROUNDDOWN(INDEX(Y$4:Y1644,MATCH(LARGE(FILTER(W$4:W1644,W$4:W1644&lt;=I780),1),W$4:W1644"&amp;"))+(I780-LARGE(FILTER(W$4:W1644,W$4:W1644&lt;=I780),1))*INDEX(T$4:T1644,MATCH(LARGE(FILTER(W$4:W1644,W$4:W1644&lt;=I780),1),W$4:W1644))-K780),1,
ROUNDDOWN(Y780-INDEX(K$4:K1644,MATCH(LARGE(FILTER(I$4:I1644,I$4:I1644&lt;=W780),1),I$4:I1644))-(W780-LARGE(FILTER(I$4:I"&amp;"1644,I$4:I1644&lt;=W780),1))*INDEX(F$4:F1644,MATCH(LARGE(FILTER(I$4:I1644,I$4:I1644&lt;=W780),1),I$4:I1644))))"),"")</f>
        <v/>
      </c>
      <c r="N780" s="60" t="str">
        <f t="shared" si="8"/>
        <v/>
      </c>
      <c r="O780" s="61" t="str">
        <f t="shared" si="9"/>
        <v/>
      </c>
      <c r="P780" s="56" t="str">
        <f t="shared" si="10"/>
        <v/>
      </c>
      <c r="Q780" s="105"/>
      <c r="R780" s="10"/>
      <c r="S780" s="59" t="str">
        <f t="array" ref="S780">IF(COUNTA(Q780:Q1644)=0,"",SUM((COUNTIF(Q$4:Q780,Upgrades!$B$3:$B$13)-COUNTIF(Q$4:Q780,"Sell_"&amp;Upgrades!$B$3:$B$13))*Upgrades!$D$3:$D$13))</f>
        <v/>
      </c>
      <c r="T780" s="66" t="str">
        <f>IFERROR(__xludf.DUMMYFUNCTION("IF(COUNTA(Q780:Q1644)=0,"""",IF(REGEXMATCH(INDEX(FILTER(Q$4:Q780,Q$4:Q780&lt;&gt;""""),ROWS(FILTER(Q$4:Q780,Q$4:Q780&lt;&gt;""""))),""^Sell_""),INDEX(FILTER(T$4:T779,Q$4:Q779&lt;&gt;""""),ROWS(FILTER(Q$4:Q779,Q$4:Q779&lt;&gt;""""))),$AD$5+S780))"),"")</f>
        <v/>
      </c>
      <c r="U780" s="10" t="str">
        <f>IFERROR(__xludf.DUMMYFUNCTION("IF(COUNTA(Q780:Q1644)=0,"""",IF(Q780="""",0,IF(REGEXMATCH(Q780,""^Sell_""),-ROUNDDOWN(ROUNDUP(INDEX(Upgrades!$C$3:$C$13,MATCH(SUBSTITUTE(Q780,""Sell_"",""""),Upgrades!$B$3:$B$13,0))*1.15^(COUNTIF(Q$4:Q779,SUBSTITUTE(Q780,""Sell_"",""""))-COUNTIF(Q$4:Q779,"&amp;"""Sell_""&amp;SUBSTITUTE(Q780,""Sell_"",""""))))/2),ROUNDUP(INDEX(Upgrades!$C$3:$C$13,MATCH(Q780,Upgrades!$B$3:$B$13,0))*1.15^(COUNTIF(Q$4:Q779,Q780)-COUNTIF(Q$4:Q779,""Sell_""&amp;Q780))))))"),"")</f>
        <v/>
      </c>
      <c r="V780" s="10" t="str">
        <f t="shared" si="11"/>
        <v/>
      </c>
      <c r="W780" s="68" t="str">
        <f t="shared" si="12"/>
        <v/>
      </c>
      <c r="X780" s="59" t="str">
        <f t="shared" si="13"/>
        <v/>
      </c>
      <c r="Y780" s="69" t="str">
        <f t="shared" si="14"/>
        <v/>
      </c>
      <c r="Z780" s="11"/>
      <c r="AG780" s="59"/>
    </row>
    <row r="781">
      <c r="A781" s="8"/>
      <c r="B781" s="56" t="str">
        <f t="shared" si="2"/>
        <v/>
      </c>
      <c r="C781" s="105"/>
      <c r="D781" s="10"/>
      <c r="E781" s="59" t="str">
        <f t="array" ref="E781">IF(COUNTA(C781:C1644)=0,"",SUM((COUNTIF(C$4:C781,Upgrades!$B$3:$B$13)-COUNTIF(C$4:C781,"Sell_"&amp;Upgrades!$B$3:$B$13))*Upgrades!$D$3:$D$13))</f>
        <v/>
      </c>
      <c r="F781" s="66" t="str">
        <f>IFERROR(__xludf.DUMMYFUNCTION("IF(COUNTA(C781:C1644)=0,"""",IF(REGEXMATCH(INDEX(FILTER(C$4:C781,C$4:C781&lt;&gt;""""),ROWS(FILTER(C$4:C781,C$4:C781&lt;&gt;""""))),""^Sell_""),INDEX(FILTER(F$4:F780,C$4:C780&lt;&gt;""""),ROWS(FILTER(C$4:C780,C$4:C780&lt;&gt;""""))),$AC$5+E781))"),"")</f>
        <v/>
      </c>
      <c r="G781" s="10" t="str">
        <f>IFERROR(__xludf.DUMMYFUNCTION("IF(COUNTA(C781:C1644)=0,"""",IF(C781="""",0,IF(REGEXMATCH(C781,""^Sell_""),-ROUNDDOWN(ROUNDUP(INDEX(Upgrades!$C$3:$C$13,MATCH(SUBSTITUTE(C781,""Sell_"",""""),Upgrades!$B$3:$B$13,0))*1.15^(COUNTIF(C$4:C780,SUBSTITUTE(C781,""Sell_"",""""))-COUNTIF(C$4:C780,"&amp;"""Sell_""&amp;SUBSTITUTE(C781,""Sell_"",""""))))/2),ROUNDUP(INDEX(Upgrades!$C$3:$C$13,MATCH(C781,Upgrades!$B$3:$B$13,0))*1.15^(COUNTIF(C$4:C780,C781)-COUNTIF(C$4:C780,""Sell_""&amp;C781))))))"),"")</f>
        <v/>
      </c>
      <c r="H781" s="10" t="str">
        <f t="shared" si="3"/>
        <v/>
      </c>
      <c r="I781" s="68" t="str">
        <f t="shared" si="4"/>
        <v/>
      </c>
      <c r="J781" s="59" t="str">
        <f t="shared" si="5"/>
        <v/>
      </c>
      <c r="K781" s="69" t="str">
        <f t="shared" si="6"/>
        <v/>
      </c>
      <c r="L781" s="60" t="str">
        <f t="shared" si="7"/>
        <v/>
      </c>
      <c r="M781" s="61" t="str">
        <f>IFERROR(__xludf.DUMMYFUNCTION("IFS(AND(COUNTA(C781:C1644)=0,COUNTA(Q781:Q1644)=0),"""",OR(AND(K781&gt;=1000000000,OR(Y781&gt;=1000000000,COUNTA(Q781:Q1644)=0)),OR(Y781&gt;=1000000000,AND(COUNTA(C781:C1644)=0,P$3=TRUE))),
ROUNDDOWN((AB$1-AC$1)*MAX(INDEX(T$4:T1644,MATCH(LARGE(FILTER(Y$4:Y1644,Y$4"&amp;":Y1644&lt;1000000000),1),Y$4:Y1644)),INDEX(F$4:F1644,MATCH(LARGE(FILTER(K$4:K1644,K$4:K1644&lt;1000000000),1),K$4:K1644)))),AND(K781&lt;1000000000,COUNTA(C781:C1644)&gt;0,P$3=FALSE),
ROUNDDOWN(INDEX(Y$4:Y1644,MATCH(LARGE(FILTER(W$4:W1644,W$4:W1644&lt;=I781),1),W$4:W1644"&amp;"))+(I781-LARGE(FILTER(W$4:W1644,W$4:W1644&lt;=I781),1))*INDEX(T$4:T1644,MATCH(LARGE(FILTER(W$4:W1644,W$4:W1644&lt;=I781),1),W$4:W1644))-K781),1,
ROUNDDOWN(Y781-INDEX(K$4:K1644,MATCH(LARGE(FILTER(I$4:I1644,I$4:I1644&lt;=W781),1),I$4:I1644))-(W781-LARGE(FILTER(I$4:I"&amp;"1644,I$4:I1644&lt;=W781),1))*INDEX(F$4:F1644,MATCH(LARGE(FILTER(I$4:I1644,I$4:I1644&lt;=W781),1),I$4:I1644))))"),"")</f>
        <v/>
      </c>
      <c r="N781" s="60" t="str">
        <f t="shared" si="8"/>
        <v/>
      </c>
      <c r="O781" s="61" t="str">
        <f t="shared" si="9"/>
        <v/>
      </c>
      <c r="P781" s="56" t="str">
        <f t="shared" si="10"/>
        <v/>
      </c>
      <c r="Q781" s="105"/>
      <c r="R781" s="10"/>
      <c r="S781" s="59" t="str">
        <f t="array" ref="S781">IF(COUNTA(Q781:Q1644)=0,"",SUM((COUNTIF(Q$4:Q781,Upgrades!$B$3:$B$13)-COUNTIF(Q$4:Q781,"Sell_"&amp;Upgrades!$B$3:$B$13))*Upgrades!$D$3:$D$13))</f>
        <v/>
      </c>
      <c r="T781" s="66" t="str">
        <f>IFERROR(__xludf.DUMMYFUNCTION("IF(COUNTA(Q781:Q1644)=0,"""",IF(REGEXMATCH(INDEX(FILTER(Q$4:Q781,Q$4:Q781&lt;&gt;""""),ROWS(FILTER(Q$4:Q781,Q$4:Q781&lt;&gt;""""))),""^Sell_""),INDEX(FILTER(T$4:T780,Q$4:Q780&lt;&gt;""""),ROWS(FILTER(Q$4:Q780,Q$4:Q780&lt;&gt;""""))),$AD$5+S781))"),"")</f>
        <v/>
      </c>
      <c r="U781" s="10" t="str">
        <f>IFERROR(__xludf.DUMMYFUNCTION("IF(COUNTA(Q781:Q1644)=0,"""",IF(Q781="""",0,IF(REGEXMATCH(Q781,""^Sell_""),-ROUNDDOWN(ROUNDUP(INDEX(Upgrades!$C$3:$C$13,MATCH(SUBSTITUTE(Q781,""Sell_"",""""),Upgrades!$B$3:$B$13,0))*1.15^(COUNTIF(Q$4:Q780,SUBSTITUTE(Q781,""Sell_"",""""))-COUNTIF(Q$4:Q780,"&amp;"""Sell_""&amp;SUBSTITUTE(Q781,""Sell_"",""""))))/2),ROUNDUP(INDEX(Upgrades!$C$3:$C$13,MATCH(Q781,Upgrades!$B$3:$B$13,0))*1.15^(COUNTIF(Q$4:Q780,Q781)-COUNTIF(Q$4:Q780,""Sell_""&amp;Q781))))))"),"")</f>
        <v/>
      </c>
      <c r="V781" s="10" t="str">
        <f t="shared" si="11"/>
        <v/>
      </c>
      <c r="W781" s="68" t="str">
        <f t="shared" si="12"/>
        <v/>
      </c>
      <c r="X781" s="59" t="str">
        <f t="shared" si="13"/>
        <v/>
      </c>
      <c r="Y781" s="69" t="str">
        <f t="shared" si="14"/>
        <v/>
      </c>
      <c r="Z781" s="11"/>
      <c r="AG781" s="59"/>
    </row>
    <row r="782">
      <c r="A782" s="8"/>
      <c r="B782" s="56" t="str">
        <f t="shared" si="2"/>
        <v/>
      </c>
      <c r="C782" s="105"/>
      <c r="D782" s="10"/>
      <c r="E782" s="59" t="str">
        <f t="array" ref="E782">IF(COUNTA(C782:C1644)=0,"",SUM((COUNTIF(C$4:C782,Upgrades!$B$3:$B$13)-COUNTIF(C$4:C782,"Sell_"&amp;Upgrades!$B$3:$B$13))*Upgrades!$D$3:$D$13))</f>
        <v/>
      </c>
      <c r="F782" s="66" t="str">
        <f>IFERROR(__xludf.DUMMYFUNCTION("IF(COUNTA(C782:C1644)=0,"""",IF(REGEXMATCH(INDEX(FILTER(C$4:C782,C$4:C782&lt;&gt;""""),ROWS(FILTER(C$4:C782,C$4:C782&lt;&gt;""""))),""^Sell_""),INDEX(FILTER(F$4:F781,C$4:C781&lt;&gt;""""),ROWS(FILTER(C$4:C781,C$4:C781&lt;&gt;""""))),$AC$5+E782))"),"")</f>
        <v/>
      </c>
      <c r="G782" s="10" t="str">
        <f>IFERROR(__xludf.DUMMYFUNCTION("IF(COUNTA(C782:C1644)=0,"""",IF(C782="""",0,IF(REGEXMATCH(C782,""^Sell_""),-ROUNDDOWN(ROUNDUP(INDEX(Upgrades!$C$3:$C$13,MATCH(SUBSTITUTE(C782,""Sell_"",""""),Upgrades!$B$3:$B$13,0))*1.15^(COUNTIF(C$4:C781,SUBSTITUTE(C782,""Sell_"",""""))-COUNTIF(C$4:C781,"&amp;"""Sell_""&amp;SUBSTITUTE(C782,""Sell_"",""""))))/2),ROUNDUP(INDEX(Upgrades!$C$3:$C$13,MATCH(C782,Upgrades!$B$3:$B$13,0))*1.15^(COUNTIF(C$4:C781,C782)-COUNTIF(C$4:C781,""Sell_""&amp;C782))))))"),"")</f>
        <v/>
      </c>
      <c r="H782" s="10" t="str">
        <f t="shared" si="3"/>
        <v/>
      </c>
      <c r="I782" s="68" t="str">
        <f t="shared" si="4"/>
        <v/>
      </c>
      <c r="J782" s="59" t="str">
        <f t="shared" si="5"/>
        <v/>
      </c>
      <c r="K782" s="69" t="str">
        <f t="shared" si="6"/>
        <v/>
      </c>
      <c r="L782" s="60" t="str">
        <f t="shared" si="7"/>
        <v/>
      </c>
      <c r="M782" s="61" t="str">
        <f>IFERROR(__xludf.DUMMYFUNCTION("IFS(AND(COUNTA(C782:C1644)=0,COUNTA(Q782:Q1644)=0),"""",OR(AND(K782&gt;=1000000000,OR(Y782&gt;=1000000000,COUNTA(Q782:Q1644)=0)),OR(Y782&gt;=1000000000,AND(COUNTA(C782:C1644)=0,P$3=TRUE))),
ROUNDDOWN((AB$1-AC$1)*MAX(INDEX(T$4:T1644,MATCH(LARGE(FILTER(Y$4:Y1644,Y$4"&amp;":Y1644&lt;1000000000),1),Y$4:Y1644)),INDEX(F$4:F1644,MATCH(LARGE(FILTER(K$4:K1644,K$4:K1644&lt;1000000000),1),K$4:K1644)))),AND(K782&lt;1000000000,COUNTA(C782:C1644)&gt;0,P$3=FALSE),
ROUNDDOWN(INDEX(Y$4:Y1644,MATCH(LARGE(FILTER(W$4:W1644,W$4:W1644&lt;=I782),1),W$4:W1644"&amp;"))+(I782-LARGE(FILTER(W$4:W1644,W$4:W1644&lt;=I782),1))*INDEX(T$4:T1644,MATCH(LARGE(FILTER(W$4:W1644,W$4:W1644&lt;=I782),1),W$4:W1644))-K782),1,
ROUNDDOWN(Y782-INDEX(K$4:K1644,MATCH(LARGE(FILTER(I$4:I1644,I$4:I1644&lt;=W782),1),I$4:I1644))-(W782-LARGE(FILTER(I$4:I"&amp;"1644,I$4:I1644&lt;=W782),1))*INDEX(F$4:F1644,MATCH(LARGE(FILTER(I$4:I1644,I$4:I1644&lt;=W782),1),I$4:I1644))))"),"")</f>
        <v/>
      </c>
      <c r="N782" s="60" t="str">
        <f t="shared" si="8"/>
        <v/>
      </c>
      <c r="O782" s="61" t="str">
        <f t="shared" si="9"/>
        <v/>
      </c>
      <c r="P782" s="56" t="str">
        <f t="shared" si="10"/>
        <v/>
      </c>
      <c r="Q782" s="105"/>
      <c r="R782" s="10"/>
      <c r="S782" s="59" t="str">
        <f t="array" ref="S782">IF(COUNTA(Q782:Q1644)=0,"",SUM((COUNTIF(Q$4:Q782,Upgrades!$B$3:$B$13)-COUNTIF(Q$4:Q782,"Sell_"&amp;Upgrades!$B$3:$B$13))*Upgrades!$D$3:$D$13))</f>
        <v/>
      </c>
      <c r="T782" s="66" t="str">
        <f>IFERROR(__xludf.DUMMYFUNCTION("IF(COUNTA(Q782:Q1644)=0,"""",IF(REGEXMATCH(INDEX(FILTER(Q$4:Q782,Q$4:Q782&lt;&gt;""""),ROWS(FILTER(Q$4:Q782,Q$4:Q782&lt;&gt;""""))),""^Sell_""),INDEX(FILTER(T$4:T781,Q$4:Q781&lt;&gt;""""),ROWS(FILTER(Q$4:Q781,Q$4:Q781&lt;&gt;""""))),$AD$5+S782))"),"")</f>
        <v/>
      </c>
      <c r="U782" s="10" t="str">
        <f>IFERROR(__xludf.DUMMYFUNCTION("IF(COUNTA(Q782:Q1644)=0,"""",IF(Q782="""",0,IF(REGEXMATCH(Q782,""^Sell_""),-ROUNDDOWN(ROUNDUP(INDEX(Upgrades!$C$3:$C$13,MATCH(SUBSTITUTE(Q782,""Sell_"",""""),Upgrades!$B$3:$B$13,0))*1.15^(COUNTIF(Q$4:Q781,SUBSTITUTE(Q782,""Sell_"",""""))-COUNTIF(Q$4:Q781,"&amp;"""Sell_""&amp;SUBSTITUTE(Q782,""Sell_"",""""))))/2),ROUNDUP(INDEX(Upgrades!$C$3:$C$13,MATCH(Q782,Upgrades!$B$3:$B$13,0))*1.15^(COUNTIF(Q$4:Q781,Q782)-COUNTIF(Q$4:Q781,""Sell_""&amp;Q782))))))"),"")</f>
        <v/>
      </c>
      <c r="V782" s="10" t="str">
        <f t="shared" si="11"/>
        <v/>
      </c>
      <c r="W782" s="68" t="str">
        <f t="shared" si="12"/>
        <v/>
      </c>
      <c r="X782" s="59" t="str">
        <f t="shared" si="13"/>
        <v/>
      </c>
      <c r="Y782" s="69" t="str">
        <f t="shared" si="14"/>
        <v/>
      </c>
      <c r="Z782" s="11"/>
      <c r="AG782" s="59"/>
    </row>
    <row r="783">
      <c r="A783" s="8"/>
      <c r="B783" s="56" t="str">
        <f t="shared" si="2"/>
        <v/>
      </c>
      <c r="C783" s="105"/>
      <c r="D783" s="10"/>
      <c r="E783" s="59" t="str">
        <f t="array" ref="E783">IF(COUNTA(C783:C1644)=0,"",SUM((COUNTIF(C$4:C783,Upgrades!$B$3:$B$13)-COUNTIF(C$4:C783,"Sell_"&amp;Upgrades!$B$3:$B$13))*Upgrades!$D$3:$D$13))</f>
        <v/>
      </c>
      <c r="F783" s="66" t="str">
        <f>IFERROR(__xludf.DUMMYFUNCTION("IF(COUNTA(C783:C1644)=0,"""",IF(REGEXMATCH(INDEX(FILTER(C$4:C783,C$4:C783&lt;&gt;""""),ROWS(FILTER(C$4:C783,C$4:C783&lt;&gt;""""))),""^Sell_""),INDEX(FILTER(F$4:F782,C$4:C782&lt;&gt;""""),ROWS(FILTER(C$4:C782,C$4:C782&lt;&gt;""""))),$AC$5+E783))"),"")</f>
        <v/>
      </c>
      <c r="G783" s="10" t="str">
        <f>IFERROR(__xludf.DUMMYFUNCTION("IF(COUNTA(C783:C1644)=0,"""",IF(C783="""",0,IF(REGEXMATCH(C783,""^Sell_""),-ROUNDDOWN(ROUNDUP(INDEX(Upgrades!$C$3:$C$13,MATCH(SUBSTITUTE(C783,""Sell_"",""""),Upgrades!$B$3:$B$13,0))*1.15^(COUNTIF(C$4:C782,SUBSTITUTE(C783,""Sell_"",""""))-COUNTIF(C$4:C782,"&amp;"""Sell_""&amp;SUBSTITUTE(C783,""Sell_"",""""))))/2),ROUNDUP(INDEX(Upgrades!$C$3:$C$13,MATCH(C783,Upgrades!$B$3:$B$13,0))*1.15^(COUNTIF(C$4:C782,C783)-COUNTIF(C$4:C782,""Sell_""&amp;C783))))))"),"")</f>
        <v/>
      </c>
      <c r="H783" s="10" t="str">
        <f t="shared" si="3"/>
        <v/>
      </c>
      <c r="I783" s="68" t="str">
        <f t="shared" si="4"/>
        <v/>
      </c>
      <c r="J783" s="59" t="str">
        <f t="shared" si="5"/>
        <v/>
      </c>
      <c r="K783" s="69" t="str">
        <f t="shared" si="6"/>
        <v/>
      </c>
      <c r="L783" s="60" t="str">
        <f t="shared" si="7"/>
        <v/>
      </c>
      <c r="M783" s="61" t="str">
        <f>IFERROR(__xludf.DUMMYFUNCTION("IFS(AND(COUNTA(C783:C1644)=0,COUNTA(Q783:Q1644)=0),"""",OR(AND(K783&gt;=1000000000,OR(Y783&gt;=1000000000,COUNTA(Q783:Q1644)=0)),OR(Y783&gt;=1000000000,AND(COUNTA(C783:C1644)=0,P$3=TRUE))),
ROUNDDOWN((AB$1-AC$1)*MAX(INDEX(T$4:T1644,MATCH(LARGE(FILTER(Y$4:Y1644,Y$4"&amp;":Y1644&lt;1000000000),1),Y$4:Y1644)),INDEX(F$4:F1644,MATCH(LARGE(FILTER(K$4:K1644,K$4:K1644&lt;1000000000),1),K$4:K1644)))),AND(K783&lt;1000000000,COUNTA(C783:C1644)&gt;0,P$3=FALSE),
ROUNDDOWN(INDEX(Y$4:Y1644,MATCH(LARGE(FILTER(W$4:W1644,W$4:W1644&lt;=I783),1),W$4:W1644"&amp;"))+(I783-LARGE(FILTER(W$4:W1644,W$4:W1644&lt;=I783),1))*INDEX(T$4:T1644,MATCH(LARGE(FILTER(W$4:W1644,W$4:W1644&lt;=I783),1),W$4:W1644))-K783),1,
ROUNDDOWN(Y783-INDEX(K$4:K1644,MATCH(LARGE(FILTER(I$4:I1644,I$4:I1644&lt;=W783),1),I$4:I1644))-(W783-LARGE(FILTER(I$4:I"&amp;"1644,I$4:I1644&lt;=W783),1))*INDEX(F$4:F1644,MATCH(LARGE(FILTER(I$4:I1644,I$4:I1644&lt;=W783),1),I$4:I1644))))"),"")</f>
        <v/>
      </c>
      <c r="N783" s="60" t="str">
        <f t="shared" si="8"/>
        <v/>
      </c>
      <c r="O783" s="61" t="str">
        <f t="shared" si="9"/>
        <v/>
      </c>
      <c r="P783" s="56" t="str">
        <f t="shared" si="10"/>
        <v/>
      </c>
      <c r="Q783" s="105"/>
      <c r="R783" s="10"/>
      <c r="S783" s="59" t="str">
        <f t="array" ref="S783">IF(COUNTA(Q783:Q1644)=0,"",SUM((COUNTIF(Q$4:Q783,Upgrades!$B$3:$B$13)-COUNTIF(Q$4:Q783,"Sell_"&amp;Upgrades!$B$3:$B$13))*Upgrades!$D$3:$D$13))</f>
        <v/>
      </c>
      <c r="T783" s="66" t="str">
        <f>IFERROR(__xludf.DUMMYFUNCTION("IF(COUNTA(Q783:Q1644)=0,"""",IF(REGEXMATCH(INDEX(FILTER(Q$4:Q783,Q$4:Q783&lt;&gt;""""),ROWS(FILTER(Q$4:Q783,Q$4:Q783&lt;&gt;""""))),""^Sell_""),INDEX(FILTER(T$4:T782,Q$4:Q782&lt;&gt;""""),ROWS(FILTER(Q$4:Q782,Q$4:Q782&lt;&gt;""""))),$AD$5+S783))"),"")</f>
        <v/>
      </c>
      <c r="U783" s="10" t="str">
        <f>IFERROR(__xludf.DUMMYFUNCTION("IF(COUNTA(Q783:Q1644)=0,"""",IF(Q783="""",0,IF(REGEXMATCH(Q783,""^Sell_""),-ROUNDDOWN(ROUNDUP(INDEX(Upgrades!$C$3:$C$13,MATCH(SUBSTITUTE(Q783,""Sell_"",""""),Upgrades!$B$3:$B$13,0))*1.15^(COUNTIF(Q$4:Q782,SUBSTITUTE(Q783,""Sell_"",""""))-COUNTIF(Q$4:Q782,"&amp;"""Sell_""&amp;SUBSTITUTE(Q783,""Sell_"",""""))))/2),ROUNDUP(INDEX(Upgrades!$C$3:$C$13,MATCH(Q783,Upgrades!$B$3:$B$13,0))*1.15^(COUNTIF(Q$4:Q782,Q783)-COUNTIF(Q$4:Q782,""Sell_""&amp;Q783))))))"),"")</f>
        <v/>
      </c>
      <c r="V783" s="10" t="str">
        <f t="shared" si="11"/>
        <v/>
      </c>
      <c r="W783" s="68" t="str">
        <f t="shared" si="12"/>
        <v/>
      </c>
      <c r="X783" s="59" t="str">
        <f t="shared" si="13"/>
        <v/>
      </c>
      <c r="Y783" s="69" t="str">
        <f t="shared" si="14"/>
        <v/>
      </c>
      <c r="Z783" s="11"/>
      <c r="AG783" s="59"/>
    </row>
    <row r="784">
      <c r="A784" s="8"/>
      <c r="B784" s="56" t="str">
        <f t="shared" si="2"/>
        <v/>
      </c>
      <c r="C784" s="105"/>
      <c r="D784" s="10"/>
      <c r="E784" s="59" t="str">
        <f t="array" ref="E784">IF(COUNTA(C784:C1644)=0,"",SUM((COUNTIF(C$4:C784,Upgrades!$B$3:$B$13)-COUNTIF(C$4:C784,"Sell_"&amp;Upgrades!$B$3:$B$13))*Upgrades!$D$3:$D$13))</f>
        <v/>
      </c>
      <c r="F784" s="66" t="str">
        <f>IFERROR(__xludf.DUMMYFUNCTION("IF(COUNTA(C784:C1644)=0,"""",IF(REGEXMATCH(INDEX(FILTER(C$4:C784,C$4:C784&lt;&gt;""""),ROWS(FILTER(C$4:C784,C$4:C784&lt;&gt;""""))),""^Sell_""),INDEX(FILTER(F$4:F783,C$4:C783&lt;&gt;""""),ROWS(FILTER(C$4:C783,C$4:C783&lt;&gt;""""))),$AC$5+E784))"),"")</f>
        <v/>
      </c>
      <c r="G784" s="10" t="str">
        <f>IFERROR(__xludf.DUMMYFUNCTION("IF(COUNTA(C784:C1644)=0,"""",IF(C784="""",0,IF(REGEXMATCH(C784,""^Sell_""),-ROUNDDOWN(ROUNDUP(INDEX(Upgrades!$C$3:$C$13,MATCH(SUBSTITUTE(C784,""Sell_"",""""),Upgrades!$B$3:$B$13,0))*1.15^(COUNTIF(C$4:C783,SUBSTITUTE(C784,""Sell_"",""""))-COUNTIF(C$4:C783,"&amp;"""Sell_""&amp;SUBSTITUTE(C784,""Sell_"",""""))))/2),ROUNDUP(INDEX(Upgrades!$C$3:$C$13,MATCH(C784,Upgrades!$B$3:$B$13,0))*1.15^(COUNTIF(C$4:C783,C784)-COUNTIF(C$4:C783,""Sell_""&amp;C784))))))"),"")</f>
        <v/>
      </c>
      <c r="H784" s="10" t="str">
        <f t="shared" si="3"/>
        <v/>
      </c>
      <c r="I784" s="68" t="str">
        <f t="shared" si="4"/>
        <v/>
      </c>
      <c r="J784" s="59" t="str">
        <f t="shared" si="5"/>
        <v/>
      </c>
      <c r="K784" s="69" t="str">
        <f t="shared" si="6"/>
        <v/>
      </c>
      <c r="L784" s="60" t="str">
        <f t="shared" si="7"/>
        <v/>
      </c>
      <c r="M784" s="61" t="str">
        <f>IFERROR(__xludf.DUMMYFUNCTION("IFS(AND(COUNTA(C784:C1644)=0,COUNTA(Q784:Q1644)=0),"""",OR(AND(K784&gt;=1000000000,OR(Y784&gt;=1000000000,COUNTA(Q784:Q1644)=0)),OR(Y784&gt;=1000000000,AND(COUNTA(C784:C1644)=0,P$3=TRUE))),
ROUNDDOWN((AB$1-AC$1)*MAX(INDEX(T$4:T1644,MATCH(LARGE(FILTER(Y$4:Y1644,Y$4"&amp;":Y1644&lt;1000000000),1),Y$4:Y1644)),INDEX(F$4:F1644,MATCH(LARGE(FILTER(K$4:K1644,K$4:K1644&lt;1000000000),1),K$4:K1644)))),AND(K784&lt;1000000000,COUNTA(C784:C1644)&gt;0,P$3=FALSE),
ROUNDDOWN(INDEX(Y$4:Y1644,MATCH(LARGE(FILTER(W$4:W1644,W$4:W1644&lt;=I784),1),W$4:W1644"&amp;"))+(I784-LARGE(FILTER(W$4:W1644,W$4:W1644&lt;=I784),1))*INDEX(T$4:T1644,MATCH(LARGE(FILTER(W$4:W1644,W$4:W1644&lt;=I784),1),W$4:W1644))-K784),1,
ROUNDDOWN(Y784-INDEX(K$4:K1644,MATCH(LARGE(FILTER(I$4:I1644,I$4:I1644&lt;=W784),1),I$4:I1644))-(W784-LARGE(FILTER(I$4:I"&amp;"1644,I$4:I1644&lt;=W784),1))*INDEX(F$4:F1644,MATCH(LARGE(FILTER(I$4:I1644,I$4:I1644&lt;=W784),1),I$4:I1644))))"),"")</f>
        <v/>
      </c>
      <c r="N784" s="60" t="str">
        <f t="shared" si="8"/>
        <v/>
      </c>
      <c r="O784" s="61" t="str">
        <f t="shared" si="9"/>
        <v/>
      </c>
      <c r="P784" s="56" t="str">
        <f t="shared" si="10"/>
        <v/>
      </c>
      <c r="Q784" s="105"/>
      <c r="R784" s="10"/>
      <c r="S784" s="59" t="str">
        <f t="array" ref="S784">IF(COUNTA(Q784:Q1644)=0,"",SUM((COUNTIF(Q$4:Q784,Upgrades!$B$3:$B$13)-COUNTIF(Q$4:Q784,"Sell_"&amp;Upgrades!$B$3:$B$13))*Upgrades!$D$3:$D$13))</f>
        <v/>
      </c>
      <c r="T784" s="66" t="str">
        <f>IFERROR(__xludf.DUMMYFUNCTION("IF(COUNTA(Q784:Q1644)=0,"""",IF(REGEXMATCH(INDEX(FILTER(Q$4:Q784,Q$4:Q784&lt;&gt;""""),ROWS(FILTER(Q$4:Q784,Q$4:Q784&lt;&gt;""""))),""^Sell_""),INDEX(FILTER(T$4:T783,Q$4:Q783&lt;&gt;""""),ROWS(FILTER(Q$4:Q783,Q$4:Q783&lt;&gt;""""))),$AD$5+S784))"),"")</f>
        <v/>
      </c>
      <c r="U784" s="10" t="str">
        <f>IFERROR(__xludf.DUMMYFUNCTION("IF(COUNTA(Q784:Q1644)=0,"""",IF(Q784="""",0,IF(REGEXMATCH(Q784,""^Sell_""),-ROUNDDOWN(ROUNDUP(INDEX(Upgrades!$C$3:$C$13,MATCH(SUBSTITUTE(Q784,""Sell_"",""""),Upgrades!$B$3:$B$13,0))*1.15^(COUNTIF(Q$4:Q783,SUBSTITUTE(Q784,""Sell_"",""""))-COUNTIF(Q$4:Q783,"&amp;"""Sell_""&amp;SUBSTITUTE(Q784,""Sell_"",""""))))/2),ROUNDUP(INDEX(Upgrades!$C$3:$C$13,MATCH(Q784,Upgrades!$B$3:$B$13,0))*1.15^(COUNTIF(Q$4:Q783,Q784)-COUNTIF(Q$4:Q783,""Sell_""&amp;Q784))))))"),"")</f>
        <v/>
      </c>
      <c r="V784" s="10" t="str">
        <f t="shared" si="11"/>
        <v/>
      </c>
      <c r="W784" s="68" t="str">
        <f t="shared" si="12"/>
        <v/>
      </c>
      <c r="X784" s="59" t="str">
        <f t="shared" si="13"/>
        <v/>
      </c>
      <c r="Y784" s="69" t="str">
        <f t="shared" si="14"/>
        <v/>
      </c>
      <c r="Z784" s="11"/>
      <c r="AG784" s="59"/>
    </row>
    <row r="785">
      <c r="A785" s="8"/>
      <c r="B785" s="56" t="str">
        <f t="shared" si="2"/>
        <v/>
      </c>
      <c r="C785" s="105"/>
      <c r="D785" s="10"/>
      <c r="E785" s="59" t="str">
        <f t="array" ref="E785">IF(COUNTA(C785:C1644)=0,"",SUM((COUNTIF(C$4:C785,Upgrades!$B$3:$B$13)-COUNTIF(C$4:C785,"Sell_"&amp;Upgrades!$B$3:$B$13))*Upgrades!$D$3:$D$13))</f>
        <v/>
      </c>
      <c r="F785" s="66" t="str">
        <f>IFERROR(__xludf.DUMMYFUNCTION("IF(COUNTA(C785:C1644)=0,"""",IF(REGEXMATCH(INDEX(FILTER(C$4:C785,C$4:C785&lt;&gt;""""),ROWS(FILTER(C$4:C785,C$4:C785&lt;&gt;""""))),""^Sell_""),INDEX(FILTER(F$4:F784,C$4:C784&lt;&gt;""""),ROWS(FILTER(C$4:C784,C$4:C784&lt;&gt;""""))),$AC$5+E785))"),"")</f>
        <v/>
      </c>
      <c r="G785" s="10" t="str">
        <f>IFERROR(__xludf.DUMMYFUNCTION("IF(COUNTA(C785:C1644)=0,"""",IF(C785="""",0,IF(REGEXMATCH(C785,""^Sell_""),-ROUNDDOWN(ROUNDUP(INDEX(Upgrades!$C$3:$C$13,MATCH(SUBSTITUTE(C785,""Sell_"",""""),Upgrades!$B$3:$B$13,0))*1.15^(COUNTIF(C$4:C784,SUBSTITUTE(C785,""Sell_"",""""))-COUNTIF(C$4:C784,"&amp;"""Sell_""&amp;SUBSTITUTE(C785,""Sell_"",""""))))/2),ROUNDUP(INDEX(Upgrades!$C$3:$C$13,MATCH(C785,Upgrades!$B$3:$B$13,0))*1.15^(COUNTIF(C$4:C784,C785)-COUNTIF(C$4:C784,""Sell_""&amp;C785))))))"),"")</f>
        <v/>
      </c>
      <c r="H785" s="10" t="str">
        <f t="shared" si="3"/>
        <v/>
      </c>
      <c r="I785" s="68" t="str">
        <f t="shared" si="4"/>
        <v/>
      </c>
      <c r="J785" s="59" t="str">
        <f t="shared" si="5"/>
        <v/>
      </c>
      <c r="K785" s="69" t="str">
        <f t="shared" si="6"/>
        <v/>
      </c>
      <c r="L785" s="60" t="str">
        <f t="shared" si="7"/>
        <v/>
      </c>
      <c r="M785" s="61" t="str">
        <f>IFERROR(__xludf.DUMMYFUNCTION("IFS(AND(COUNTA(C785:C1644)=0,COUNTA(Q785:Q1644)=0),"""",OR(AND(K785&gt;=1000000000,OR(Y785&gt;=1000000000,COUNTA(Q785:Q1644)=0)),OR(Y785&gt;=1000000000,AND(COUNTA(C785:C1644)=0,P$3=TRUE))),
ROUNDDOWN((AB$1-AC$1)*MAX(INDEX(T$4:T1644,MATCH(LARGE(FILTER(Y$4:Y1644,Y$4"&amp;":Y1644&lt;1000000000),1),Y$4:Y1644)),INDEX(F$4:F1644,MATCH(LARGE(FILTER(K$4:K1644,K$4:K1644&lt;1000000000),1),K$4:K1644)))),AND(K785&lt;1000000000,COUNTA(C785:C1644)&gt;0,P$3=FALSE),
ROUNDDOWN(INDEX(Y$4:Y1644,MATCH(LARGE(FILTER(W$4:W1644,W$4:W1644&lt;=I785),1),W$4:W1644"&amp;"))+(I785-LARGE(FILTER(W$4:W1644,W$4:W1644&lt;=I785),1))*INDEX(T$4:T1644,MATCH(LARGE(FILTER(W$4:W1644,W$4:W1644&lt;=I785),1),W$4:W1644))-K785),1,
ROUNDDOWN(Y785-INDEX(K$4:K1644,MATCH(LARGE(FILTER(I$4:I1644,I$4:I1644&lt;=W785),1),I$4:I1644))-(W785-LARGE(FILTER(I$4:I"&amp;"1644,I$4:I1644&lt;=W785),1))*INDEX(F$4:F1644,MATCH(LARGE(FILTER(I$4:I1644,I$4:I1644&lt;=W785),1),I$4:I1644))))"),"")</f>
        <v/>
      </c>
      <c r="N785" s="60" t="str">
        <f t="shared" si="8"/>
        <v/>
      </c>
      <c r="O785" s="61" t="str">
        <f t="shared" si="9"/>
        <v/>
      </c>
      <c r="P785" s="56" t="str">
        <f t="shared" si="10"/>
        <v/>
      </c>
      <c r="Q785" s="105"/>
      <c r="R785" s="10"/>
      <c r="S785" s="59" t="str">
        <f t="array" ref="S785">IF(COUNTA(Q785:Q1644)=0,"",SUM((COUNTIF(Q$4:Q785,Upgrades!$B$3:$B$13)-COUNTIF(Q$4:Q785,"Sell_"&amp;Upgrades!$B$3:$B$13))*Upgrades!$D$3:$D$13))</f>
        <v/>
      </c>
      <c r="T785" s="66" t="str">
        <f>IFERROR(__xludf.DUMMYFUNCTION("IF(COUNTA(Q785:Q1644)=0,"""",IF(REGEXMATCH(INDEX(FILTER(Q$4:Q785,Q$4:Q785&lt;&gt;""""),ROWS(FILTER(Q$4:Q785,Q$4:Q785&lt;&gt;""""))),""^Sell_""),INDEX(FILTER(T$4:T784,Q$4:Q784&lt;&gt;""""),ROWS(FILTER(Q$4:Q784,Q$4:Q784&lt;&gt;""""))),$AD$5+S785))"),"")</f>
        <v/>
      </c>
      <c r="U785" s="10" t="str">
        <f>IFERROR(__xludf.DUMMYFUNCTION("IF(COUNTA(Q785:Q1644)=0,"""",IF(Q785="""",0,IF(REGEXMATCH(Q785,""^Sell_""),-ROUNDDOWN(ROUNDUP(INDEX(Upgrades!$C$3:$C$13,MATCH(SUBSTITUTE(Q785,""Sell_"",""""),Upgrades!$B$3:$B$13,0))*1.15^(COUNTIF(Q$4:Q784,SUBSTITUTE(Q785,""Sell_"",""""))-COUNTIF(Q$4:Q784,"&amp;"""Sell_""&amp;SUBSTITUTE(Q785,""Sell_"",""""))))/2),ROUNDUP(INDEX(Upgrades!$C$3:$C$13,MATCH(Q785,Upgrades!$B$3:$B$13,0))*1.15^(COUNTIF(Q$4:Q784,Q785)-COUNTIF(Q$4:Q784,""Sell_""&amp;Q785))))))"),"")</f>
        <v/>
      </c>
      <c r="V785" s="10" t="str">
        <f t="shared" si="11"/>
        <v/>
      </c>
      <c r="W785" s="68" t="str">
        <f t="shared" si="12"/>
        <v/>
      </c>
      <c r="X785" s="59" t="str">
        <f t="shared" si="13"/>
        <v/>
      </c>
      <c r="Y785" s="69" t="str">
        <f t="shared" si="14"/>
        <v/>
      </c>
      <c r="Z785" s="11"/>
      <c r="AG785" s="59"/>
    </row>
    <row r="786">
      <c r="A786" s="8"/>
      <c r="B786" s="56" t="str">
        <f t="shared" si="2"/>
        <v/>
      </c>
      <c r="C786" s="105"/>
      <c r="D786" s="10"/>
      <c r="E786" s="59" t="str">
        <f t="array" ref="E786">IF(COUNTA(C786:C1644)=0,"",SUM((COUNTIF(C$4:C786,Upgrades!$B$3:$B$13)-COUNTIF(C$4:C786,"Sell_"&amp;Upgrades!$B$3:$B$13))*Upgrades!$D$3:$D$13))</f>
        <v/>
      </c>
      <c r="F786" s="66" t="str">
        <f>IFERROR(__xludf.DUMMYFUNCTION("IF(COUNTA(C786:C1644)=0,"""",IF(REGEXMATCH(INDEX(FILTER(C$4:C786,C$4:C786&lt;&gt;""""),ROWS(FILTER(C$4:C786,C$4:C786&lt;&gt;""""))),""^Sell_""),INDEX(FILTER(F$4:F785,C$4:C785&lt;&gt;""""),ROWS(FILTER(C$4:C785,C$4:C785&lt;&gt;""""))),$AC$5+E786))"),"")</f>
        <v/>
      </c>
      <c r="G786" s="10" t="str">
        <f>IFERROR(__xludf.DUMMYFUNCTION("IF(COUNTA(C786:C1644)=0,"""",IF(C786="""",0,IF(REGEXMATCH(C786,""^Sell_""),-ROUNDDOWN(ROUNDUP(INDEX(Upgrades!$C$3:$C$13,MATCH(SUBSTITUTE(C786,""Sell_"",""""),Upgrades!$B$3:$B$13,0))*1.15^(COUNTIF(C$4:C785,SUBSTITUTE(C786,""Sell_"",""""))-COUNTIF(C$4:C785,"&amp;"""Sell_""&amp;SUBSTITUTE(C786,""Sell_"",""""))))/2),ROUNDUP(INDEX(Upgrades!$C$3:$C$13,MATCH(C786,Upgrades!$B$3:$B$13,0))*1.15^(COUNTIF(C$4:C785,C786)-COUNTIF(C$4:C785,""Sell_""&amp;C786))))))"),"")</f>
        <v/>
      </c>
      <c r="H786" s="10" t="str">
        <f t="shared" si="3"/>
        <v/>
      </c>
      <c r="I786" s="68" t="str">
        <f t="shared" si="4"/>
        <v/>
      </c>
      <c r="J786" s="59" t="str">
        <f t="shared" si="5"/>
        <v/>
      </c>
      <c r="K786" s="69" t="str">
        <f t="shared" si="6"/>
        <v/>
      </c>
      <c r="L786" s="60" t="str">
        <f t="shared" si="7"/>
        <v/>
      </c>
      <c r="M786" s="61" t="str">
        <f>IFERROR(__xludf.DUMMYFUNCTION("IFS(AND(COUNTA(C786:C1644)=0,COUNTA(Q786:Q1644)=0),"""",OR(AND(K786&gt;=1000000000,OR(Y786&gt;=1000000000,COUNTA(Q786:Q1644)=0)),OR(Y786&gt;=1000000000,AND(COUNTA(C786:C1644)=0,P$3=TRUE))),
ROUNDDOWN((AB$1-AC$1)*MAX(INDEX(T$4:T1644,MATCH(LARGE(FILTER(Y$4:Y1644,Y$4"&amp;":Y1644&lt;1000000000),1),Y$4:Y1644)),INDEX(F$4:F1644,MATCH(LARGE(FILTER(K$4:K1644,K$4:K1644&lt;1000000000),1),K$4:K1644)))),AND(K786&lt;1000000000,COUNTA(C786:C1644)&gt;0,P$3=FALSE),
ROUNDDOWN(INDEX(Y$4:Y1644,MATCH(LARGE(FILTER(W$4:W1644,W$4:W1644&lt;=I786),1),W$4:W1644"&amp;"))+(I786-LARGE(FILTER(W$4:W1644,W$4:W1644&lt;=I786),1))*INDEX(T$4:T1644,MATCH(LARGE(FILTER(W$4:W1644,W$4:W1644&lt;=I786),1),W$4:W1644))-K786),1,
ROUNDDOWN(Y786-INDEX(K$4:K1644,MATCH(LARGE(FILTER(I$4:I1644,I$4:I1644&lt;=W786),1),I$4:I1644))-(W786-LARGE(FILTER(I$4:I"&amp;"1644,I$4:I1644&lt;=W786),1))*INDEX(F$4:F1644,MATCH(LARGE(FILTER(I$4:I1644,I$4:I1644&lt;=W786),1),I$4:I1644))))"),"")</f>
        <v/>
      </c>
      <c r="N786" s="60" t="str">
        <f t="shared" si="8"/>
        <v/>
      </c>
      <c r="O786" s="61" t="str">
        <f t="shared" si="9"/>
        <v/>
      </c>
      <c r="P786" s="56" t="str">
        <f t="shared" si="10"/>
        <v/>
      </c>
      <c r="Q786" s="105"/>
      <c r="R786" s="10"/>
      <c r="S786" s="59" t="str">
        <f t="array" ref="S786">IF(COUNTA(Q786:Q1644)=0,"",SUM((COUNTIF(Q$4:Q786,Upgrades!$B$3:$B$13)-COUNTIF(Q$4:Q786,"Sell_"&amp;Upgrades!$B$3:$B$13))*Upgrades!$D$3:$D$13))</f>
        <v/>
      </c>
      <c r="T786" s="66" t="str">
        <f>IFERROR(__xludf.DUMMYFUNCTION("IF(COUNTA(Q786:Q1644)=0,"""",IF(REGEXMATCH(INDEX(FILTER(Q$4:Q786,Q$4:Q786&lt;&gt;""""),ROWS(FILTER(Q$4:Q786,Q$4:Q786&lt;&gt;""""))),""^Sell_""),INDEX(FILTER(T$4:T785,Q$4:Q785&lt;&gt;""""),ROWS(FILTER(Q$4:Q785,Q$4:Q785&lt;&gt;""""))),$AD$5+S786))"),"")</f>
        <v/>
      </c>
      <c r="U786" s="10" t="str">
        <f>IFERROR(__xludf.DUMMYFUNCTION("IF(COUNTA(Q786:Q1644)=0,"""",IF(Q786="""",0,IF(REGEXMATCH(Q786,""^Sell_""),-ROUNDDOWN(ROUNDUP(INDEX(Upgrades!$C$3:$C$13,MATCH(SUBSTITUTE(Q786,""Sell_"",""""),Upgrades!$B$3:$B$13,0))*1.15^(COUNTIF(Q$4:Q785,SUBSTITUTE(Q786,""Sell_"",""""))-COUNTIF(Q$4:Q785,"&amp;"""Sell_""&amp;SUBSTITUTE(Q786,""Sell_"",""""))))/2),ROUNDUP(INDEX(Upgrades!$C$3:$C$13,MATCH(Q786,Upgrades!$B$3:$B$13,0))*1.15^(COUNTIF(Q$4:Q785,Q786)-COUNTIF(Q$4:Q785,""Sell_""&amp;Q786))))))"),"")</f>
        <v/>
      </c>
      <c r="V786" s="10" t="str">
        <f t="shared" si="11"/>
        <v/>
      </c>
      <c r="W786" s="68" t="str">
        <f t="shared" si="12"/>
        <v/>
      </c>
      <c r="X786" s="59" t="str">
        <f t="shared" si="13"/>
        <v/>
      </c>
      <c r="Y786" s="69" t="str">
        <f t="shared" si="14"/>
        <v/>
      </c>
      <c r="Z786" s="11"/>
      <c r="AG786" s="59"/>
    </row>
    <row r="787">
      <c r="A787" s="8"/>
      <c r="B787" s="56" t="str">
        <f t="shared" si="2"/>
        <v/>
      </c>
      <c r="C787" s="105"/>
      <c r="D787" s="10"/>
      <c r="E787" s="59" t="str">
        <f t="array" ref="E787">IF(COUNTA(C787:C1644)=0,"",SUM((COUNTIF(C$4:C787,Upgrades!$B$3:$B$13)-COUNTIF(C$4:C787,"Sell_"&amp;Upgrades!$B$3:$B$13))*Upgrades!$D$3:$D$13))</f>
        <v/>
      </c>
      <c r="F787" s="66" t="str">
        <f>IFERROR(__xludf.DUMMYFUNCTION("IF(COUNTA(C787:C1644)=0,"""",IF(REGEXMATCH(INDEX(FILTER(C$4:C787,C$4:C787&lt;&gt;""""),ROWS(FILTER(C$4:C787,C$4:C787&lt;&gt;""""))),""^Sell_""),INDEX(FILTER(F$4:F786,C$4:C786&lt;&gt;""""),ROWS(FILTER(C$4:C786,C$4:C786&lt;&gt;""""))),$AC$5+E787))"),"")</f>
        <v/>
      </c>
      <c r="G787" s="10" t="str">
        <f>IFERROR(__xludf.DUMMYFUNCTION("IF(COUNTA(C787:C1644)=0,"""",IF(C787="""",0,IF(REGEXMATCH(C787,""^Sell_""),-ROUNDDOWN(ROUNDUP(INDEX(Upgrades!$C$3:$C$13,MATCH(SUBSTITUTE(C787,""Sell_"",""""),Upgrades!$B$3:$B$13,0))*1.15^(COUNTIF(C$4:C786,SUBSTITUTE(C787,""Sell_"",""""))-COUNTIF(C$4:C786,"&amp;"""Sell_""&amp;SUBSTITUTE(C787,""Sell_"",""""))))/2),ROUNDUP(INDEX(Upgrades!$C$3:$C$13,MATCH(C787,Upgrades!$B$3:$B$13,0))*1.15^(COUNTIF(C$4:C786,C787)-COUNTIF(C$4:C786,""Sell_""&amp;C787))))))"),"")</f>
        <v/>
      </c>
      <c r="H787" s="10" t="str">
        <f t="shared" si="3"/>
        <v/>
      </c>
      <c r="I787" s="68" t="str">
        <f t="shared" si="4"/>
        <v/>
      </c>
      <c r="J787" s="59" t="str">
        <f t="shared" si="5"/>
        <v/>
      </c>
      <c r="K787" s="69" t="str">
        <f t="shared" si="6"/>
        <v/>
      </c>
      <c r="L787" s="60" t="str">
        <f t="shared" si="7"/>
        <v/>
      </c>
      <c r="M787" s="61" t="str">
        <f>IFERROR(__xludf.DUMMYFUNCTION("IFS(AND(COUNTA(C787:C1644)=0,COUNTA(Q787:Q1644)=0),"""",OR(AND(K787&gt;=1000000000,OR(Y787&gt;=1000000000,COUNTA(Q787:Q1644)=0)),OR(Y787&gt;=1000000000,AND(COUNTA(C787:C1644)=0,P$3=TRUE))),
ROUNDDOWN((AB$1-AC$1)*MAX(INDEX(T$4:T1644,MATCH(LARGE(FILTER(Y$4:Y1644,Y$4"&amp;":Y1644&lt;1000000000),1),Y$4:Y1644)),INDEX(F$4:F1644,MATCH(LARGE(FILTER(K$4:K1644,K$4:K1644&lt;1000000000),1),K$4:K1644)))),AND(K787&lt;1000000000,COUNTA(C787:C1644)&gt;0,P$3=FALSE),
ROUNDDOWN(INDEX(Y$4:Y1644,MATCH(LARGE(FILTER(W$4:W1644,W$4:W1644&lt;=I787),1),W$4:W1644"&amp;"))+(I787-LARGE(FILTER(W$4:W1644,W$4:W1644&lt;=I787),1))*INDEX(T$4:T1644,MATCH(LARGE(FILTER(W$4:W1644,W$4:W1644&lt;=I787),1),W$4:W1644))-K787),1,
ROUNDDOWN(Y787-INDEX(K$4:K1644,MATCH(LARGE(FILTER(I$4:I1644,I$4:I1644&lt;=W787),1),I$4:I1644))-(W787-LARGE(FILTER(I$4:I"&amp;"1644,I$4:I1644&lt;=W787),1))*INDEX(F$4:F1644,MATCH(LARGE(FILTER(I$4:I1644,I$4:I1644&lt;=W787),1),I$4:I1644))))"),"")</f>
        <v/>
      </c>
      <c r="N787" s="60" t="str">
        <f t="shared" si="8"/>
        <v/>
      </c>
      <c r="O787" s="61" t="str">
        <f t="shared" si="9"/>
        <v/>
      </c>
      <c r="P787" s="56" t="str">
        <f t="shared" si="10"/>
        <v/>
      </c>
      <c r="Q787" s="105"/>
      <c r="R787" s="10"/>
      <c r="S787" s="59" t="str">
        <f t="array" ref="S787">IF(COUNTA(Q787:Q1644)=0,"",SUM((COUNTIF(Q$4:Q787,Upgrades!$B$3:$B$13)-COUNTIF(Q$4:Q787,"Sell_"&amp;Upgrades!$B$3:$B$13))*Upgrades!$D$3:$D$13))</f>
        <v/>
      </c>
      <c r="T787" s="66" t="str">
        <f>IFERROR(__xludf.DUMMYFUNCTION("IF(COUNTA(Q787:Q1644)=0,"""",IF(REGEXMATCH(INDEX(FILTER(Q$4:Q787,Q$4:Q787&lt;&gt;""""),ROWS(FILTER(Q$4:Q787,Q$4:Q787&lt;&gt;""""))),""^Sell_""),INDEX(FILTER(T$4:T786,Q$4:Q786&lt;&gt;""""),ROWS(FILTER(Q$4:Q786,Q$4:Q786&lt;&gt;""""))),$AD$5+S787))"),"")</f>
        <v/>
      </c>
      <c r="U787" s="10" t="str">
        <f>IFERROR(__xludf.DUMMYFUNCTION("IF(COUNTA(Q787:Q1644)=0,"""",IF(Q787="""",0,IF(REGEXMATCH(Q787,""^Sell_""),-ROUNDDOWN(ROUNDUP(INDEX(Upgrades!$C$3:$C$13,MATCH(SUBSTITUTE(Q787,""Sell_"",""""),Upgrades!$B$3:$B$13,0))*1.15^(COUNTIF(Q$4:Q786,SUBSTITUTE(Q787,""Sell_"",""""))-COUNTIF(Q$4:Q786,"&amp;"""Sell_""&amp;SUBSTITUTE(Q787,""Sell_"",""""))))/2),ROUNDUP(INDEX(Upgrades!$C$3:$C$13,MATCH(Q787,Upgrades!$B$3:$B$13,0))*1.15^(COUNTIF(Q$4:Q786,Q787)-COUNTIF(Q$4:Q786,""Sell_""&amp;Q787))))))"),"")</f>
        <v/>
      </c>
      <c r="V787" s="10" t="str">
        <f t="shared" si="11"/>
        <v/>
      </c>
      <c r="W787" s="68" t="str">
        <f t="shared" si="12"/>
        <v/>
      </c>
      <c r="X787" s="59" t="str">
        <f t="shared" si="13"/>
        <v/>
      </c>
      <c r="Y787" s="69" t="str">
        <f t="shared" si="14"/>
        <v/>
      </c>
      <c r="Z787" s="11"/>
      <c r="AG787" s="59"/>
    </row>
    <row r="788">
      <c r="A788" s="8"/>
      <c r="B788" s="56" t="str">
        <f t="shared" si="2"/>
        <v/>
      </c>
      <c r="C788" s="105"/>
      <c r="D788" s="10"/>
      <c r="E788" s="59" t="str">
        <f t="array" ref="E788">IF(COUNTA(C788:C1644)=0,"",SUM((COUNTIF(C$4:C788,Upgrades!$B$3:$B$13)-COUNTIF(C$4:C788,"Sell_"&amp;Upgrades!$B$3:$B$13))*Upgrades!$D$3:$D$13))</f>
        <v/>
      </c>
      <c r="F788" s="66" t="str">
        <f>IFERROR(__xludf.DUMMYFUNCTION("IF(COUNTA(C788:C1644)=0,"""",IF(REGEXMATCH(INDEX(FILTER(C$4:C788,C$4:C788&lt;&gt;""""),ROWS(FILTER(C$4:C788,C$4:C788&lt;&gt;""""))),""^Sell_""),INDEX(FILTER(F$4:F787,C$4:C787&lt;&gt;""""),ROWS(FILTER(C$4:C787,C$4:C787&lt;&gt;""""))),$AC$5+E788))"),"")</f>
        <v/>
      </c>
      <c r="G788" s="10" t="str">
        <f>IFERROR(__xludf.DUMMYFUNCTION("IF(COUNTA(C788:C1644)=0,"""",IF(C788="""",0,IF(REGEXMATCH(C788,""^Sell_""),-ROUNDDOWN(ROUNDUP(INDEX(Upgrades!$C$3:$C$13,MATCH(SUBSTITUTE(C788,""Sell_"",""""),Upgrades!$B$3:$B$13,0))*1.15^(COUNTIF(C$4:C787,SUBSTITUTE(C788,""Sell_"",""""))-COUNTIF(C$4:C787,"&amp;"""Sell_""&amp;SUBSTITUTE(C788,""Sell_"",""""))))/2),ROUNDUP(INDEX(Upgrades!$C$3:$C$13,MATCH(C788,Upgrades!$B$3:$B$13,0))*1.15^(COUNTIF(C$4:C787,C788)-COUNTIF(C$4:C787,""Sell_""&amp;C788))))))"),"")</f>
        <v/>
      </c>
      <c r="H788" s="10" t="str">
        <f t="shared" si="3"/>
        <v/>
      </c>
      <c r="I788" s="68" t="str">
        <f t="shared" si="4"/>
        <v/>
      </c>
      <c r="J788" s="59" t="str">
        <f t="shared" si="5"/>
        <v/>
      </c>
      <c r="K788" s="69" t="str">
        <f t="shared" si="6"/>
        <v/>
      </c>
      <c r="L788" s="60" t="str">
        <f t="shared" si="7"/>
        <v/>
      </c>
      <c r="M788" s="61" t="str">
        <f>IFERROR(__xludf.DUMMYFUNCTION("IFS(AND(COUNTA(C788:C1644)=0,COUNTA(Q788:Q1644)=0),"""",OR(AND(K788&gt;=1000000000,OR(Y788&gt;=1000000000,COUNTA(Q788:Q1644)=0)),OR(Y788&gt;=1000000000,AND(COUNTA(C788:C1644)=0,P$3=TRUE))),
ROUNDDOWN((AB$1-AC$1)*MAX(INDEX(T$4:T1644,MATCH(LARGE(FILTER(Y$4:Y1644,Y$4"&amp;":Y1644&lt;1000000000),1),Y$4:Y1644)),INDEX(F$4:F1644,MATCH(LARGE(FILTER(K$4:K1644,K$4:K1644&lt;1000000000),1),K$4:K1644)))),AND(K788&lt;1000000000,COUNTA(C788:C1644)&gt;0,P$3=FALSE),
ROUNDDOWN(INDEX(Y$4:Y1644,MATCH(LARGE(FILTER(W$4:W1644,W$4:W1644&lt;=I788),1),W$4:W1644"&amp;"))+(I788-LARGE(FILTER(W$4:W1644,W$4:W1644&lt;=I788),1))*INDEX(T$4:T1644,MATCH(LARGE(FILTER(W$4:W1644,W$4:W1644&lt;=I788),1),W$4:W1644))-K788),1,
ROUNDDOWN(Y788-INDEX(K$4:K1644,MATCH(LARGE(FILTER(I$4:I1644,I$4:I1644&lt;=W788),1),I$4:I1644))-(W788-LARGE(FILTER(I$4:I"&amp;"1644,I$4:I1644&lt;=W788),1))*INDEX(F$4:F1644,MATCH(LARGE(FILTER(I$4:I1644,I$4:I1644&lt;=W788),1),I$4:I1644))))"),"")</f>
        <v/>
      </c>
      <c r="N788" s="60" t="str">
        <f t="shared" si="8"/>
        <v/>
      </c>
      <c r="O788" s="61" t="str">
        <f t="shared" si="9"/>
        <v/>
      </c>
      <c r="P788" s="56" t="str">
        <f t="shared" si="10"/>
        <v/>
      </c>
      <c r="Q788" s="105"/>
      <c r="R788" s="10"/>
      <c r="S788" s="59" t="str">
        <f t="array" ref="S788">IF(COUNTA(Q788:Q1644)=0,"",SUM((COUNTIF(Q$4:Q788,Upgrades!$B$3:$B$13)-COUNTIF(Q$4:Q788,"Sell_"&amp;Upgrades!$B$3:$B$13))*Upgrades!$D$3:$D$13))</f>
        <v/>
      </c>
      <c r="T788" s="66" t="str">
        <f>IFERROR(__xludf.DUMMYFUNCTION("IF(COUNTA(Q788:Q1644)=0,"""",IF(REGEXMATCH(INDEX(FILTER(Q$4:Q788,Q$4:Q788&lt;&gt;""""),ROWS(FILTER(Q$4:Q788,Q$4:Q788&lt;&gt;""""))),""^Sell_""),INDEX(FILTER(T$4:T787,Q$4:Q787&lt;&gt;""""),ROWS(FILTER(Q$4:Q787,Q$4:Q787&lt;&gt;""""))),$AD$5+S788))"),"")</f>
        <v/>
      </c>
      <c r="U788" s="10" t="str">
        <f>IFERROR(__xludf.DUMMYFUNCTION("IF(COUNTA(Q788:Q1644)=0,"""",IF(Q788="""",0,IF(REGEXMATCH(Q788,""^Sell_""),-ROUNDDOWN(ROUNDUP(INDEX(Upgrades!$C$3:$C$13,MATCH(SUBSTITUTE(Q788,""Sell_"",""""),Upgrades!$B$3:$B$13,0))*1.15^(COUNTIF(Q$4:Q787,SUBSTITUTE(Q788,""Sell_"",""""))-COUNTIF(Q$4:Q787,"&amp;"""Sell_""&amp;SUBSTITUTE(Q788,""Sell_"",""""))))/2),ROUNDUP(INDEX(Upgrades!$C$3:$C$13,MATCH(Q788,Upgrades!$B$3:$B$13,0))*1.15^(COUNTIF(Q$4:Q787,Q788)-COUNTIF(Q$4:Q787,""Sell_""&amp;Q788))))))"),"")</f>
        <v/>
      </c>
      <c r="V788" s="10" t="str">
        <f t="shared" si="11"/>
        <v/>
      </c>
      <c r="W788" s="68" t="str">
        <f t="shared" si="12"/>
        <v/>
      </c>
      <c r="X788" s="59" t="str">
        <f t="shared" si="13"/>
        <v/>
      </c>
      <c r="Y788" s="69" t="str">
        <f t="shared" si="14"/>
        <v/>
      </c>
      <c r="Z788" s="11"/>
      <c r="AG788" s="59"/>
    </row>
    <row r="789">
      <c r="A789" s="8"/>
      <c r="B789" s="56" t="str">
        <f t="shared" si="2"/>
        <v/>
      </c>
      <c r="C789" s="105"/>
      <c r="D789" s="10"/>
      <c r="E789" s="59" t="str">
        <f t="array" ref="E789">IF(COUNTA(C789:C1644)=0,"",SUM((COUNTIF(C$4:C789,Upgrades!$B$3:$B$13)-COUNTIF(C$4:C789,"Sell_"&amp;Upgrades!$B$3:$B$13))*Upgrades!$D$3:$D$13))</f>
        <v/>
      </c>
      <c r="F789" s="66" t="str">
        <f>IFERROR(__xludf.DUMMYFUNCTION("IF(COUNTA(C789:C1644)=0,"""",IF(REGEXMATCH(INDEX(FILTER(C$4:C789,C$4:C789&lt;&gt;""""),ROWS(FILTER(C$4:C789,C$4:C789&lt;&gt;""""))),""^Sell_""),INDEX(FILTER(F$4:F788,C$4:C788&lt;&gt;""""),ROWS(FILTER(C$4:C788,C$4:C788&lt;&gt;""""))),$AC$5+E789))"),"")</f>
        <v/>
      </c>
      <c r="G789" s="10" t="str">
        <f>IFERROR(__xludf.DUMMYFUNCTION("IF(COUNTA(C789:C1644)=0,"""",IF(C789="""",0,IF(REGEXMATCH(C789,""^Sell_""),-ROUNDDOWN(ROUNDUP(INDEX(Upgrades!$C$3:$C$13,MATCH(SUBSTITUTE(C789,""Sell_"",""""),Upgrades!$B$3:$B$13,0))*1.15^(COUNTIF(C$4:C788,SUBSTITUTE(C789,""Sell_"",""""))-COUNTIF(C$4:C788,"&amp;"""Sell_""&amp;SUBSTITUTE(C789,""Sell_"",""""))))/2),ROUNDUP(INDEX(Upgrades!$C$3:$C$13,MATCH(C789,Upgrades!$B$3:$B$13,0))*1.15^(COUNTIF(C$4:C788,C789)-COUNTIF(C$4:C788,""Sell_""&amp;C789))))))"),"")</f>
        <v/>
      </c>
      <c r="H789" s="10" t="str">
        <f t="shared" si="3"/>
        <v/>
      </c>
      <c r="I789" s="68" t="str">
        <f t="shared" si="4"/>
        <v/>
      </c>
      <c r="J789" s="59" t="str">
        <f t="shared" si="5"/>
        <v/>
      </c>
      <c r="K789" s="69" t="str">
        <f t="shared" si="6"/>
        <v/>
      </c>
      <c r="L789" s="60" t="str">
        <f t="shared" si="7"/>
        <v/>
      </c>
      <c r="M789" s="61" t="str">
        <f>IFERROR(__xludf.DUMMYFUNCTION("IFS(AND(COUNTA(C789:C1644)=0,COUNTA(Q789:Q1644)=0),"""",OR(AND(K789&gt;=1000000000,OR(Y789&gt;=1000000000,COUNTA(Q789:Q1644)=0)),OR(Y789&gt;=1000000000,AND(COUNTA(C789:C1644)=0,P$3=TRUE))),
ROUNDDOWN((AB$1-AC$1)*MAX(INDEX(T$4:T1644,MATCH(LARGE(FILTER(Y$4:Y1644,Y$4"&amp;":Y1644&lt;1000000000),1),Y$4:Y1644)),INDEX(F$4:F1644,MATCH(LARGE(FILTER(K$4:K1644,K$4:K1644&lt;1000000000),1),K$4:K1644)))),AND(K789&lt;1000000000,COUNTA(C789:C1644)&gt;0,P$3=FALSE),
ROUNDDOWN(INDEX(Y$4:Y1644,MATCH(LARGE(FILTER(W$4:W1644,W$4:W1644&lt;=I789),1),W$4:W1644"&amp;"))+(I789-LARGE(FILTER(W$4:W1644,W$4:W1644&lt;=I789),1))*INDEX(T$4:T1644,MATCH(LARGE(FILTER(W$4:W1644,W$4:W1644&lt;=I789),1),W$4:W1644))-K789),1,
ROUNDDOWN(Y789-INDEX(K$4:K1644,MATCH(LARGE(FILTER(I$4:I1644,I$4:I1644&lt;=W789),1),I$4:I1644))-(W789-LARGE(FILTER(I$4:I"&amp;"1644,I$4:I1644&lt;=W789),1))*INDEX(F$4:F1644,MATCH(LARGE(FILTER(I$4:I1644,I$4:I1644&lt;=W789),1),I$4:I1644))))"),"")</f>
        <v/>
      </c>
      <c r="N789" s="60" t="str">
        <f t="shared" si="8"/>
        <v/>
      </c>
      <c r="O789" s="61" t="str">
        <f t="shared" si="9"/>
        <v/>
      </c>
      <c r="P789" s="56" t="str">
        <f t="shared" si="10"/>
        <v/>
      </c>
      <c r="Q789" s="105"/>
      <c r="R789" s="10"/>
      <c r="S789" s="59" t="str">
        <f t="array" ref="S789">IF(COUNTA(Q789:Q1644)=0,"",SUM((COUNTIF(Q$4:Q789,Upgrades!$B$3:$B$13)-COUNTIF(Q$4:Q789,"Sell_"&amp;Upgrades!$B$3:$B$13))*Upgrades!$D$3:$D$13))</f>
        <v/>
      </c>
      <c r="T789" s="66" t="str">
        <f>IFERROR(__xludf.DUMMYFUNCTION("IF(COUNTA(Q789:Q1644)=0,"""",IF(REGEXMATCH(INDEX(FILTER(Q$4:Q789,Q$4:Q789&lt;&gt;""""),ROWS(FILTER(Q$4:Q789,Q$4:Q789&lt;&gt;""""))),""^Sell_""),INDEX(FILTER(T$4:T788,Q$4:Q788&lt;&gt;""""),ROWS(FILTER(Q$4:Q788,Q$4:Q788&lt;&gt;""""))),$AD$5+S789))"),"")</f>
        <v/>
      </c>
      <c r="U789" s="10" t="str">
        <f>IFERROR(__xludf.DUMMYFUNCTION("IF(COUNTA(Q789:Q1644)=0,"""",IF(Q789="""",0,IF(REGEXMATCH(Q789,""^Sell_""),-ROUNDDOWN(ROUNDUP(INDEX(Upgrades!$C$3:$C$13,MATCH(SUBSTITUTE(Q789,""Sell_"",""""),Upgrades!$B$3:$B$13,0))*1.15^(COUNTIF(Q$4:Q788,SUBSTITUTE(Q789,""Sell_"",""""))-COUNTIF(Q$4:Q788,"&amp;"""Sell_""&amp;SUBSTITUTE(Q789,""Sell_"",""""))))/2),ROUNDUP(INDEX(Upgrades!$C$3:$C$13,MATCH(Q789,Upgrades!$B$3:$B$13,0))*1.15^(COUNTIF(Q$4:Q788,Q789)-COUNTIF(Q$4:Q788,""Sell_""&amp;Q789))))))"),"")</f>
        <v/>
      </c>
      <c r="V789" s="10" t="str">
        <f t="shared" si="11"/>
        <v/>
      </c>
      <c r="W789" s="68" t="str">
        <f t="shared" si="12"/>
        <v/>
      </c>
      <c r="X789" s="59" t="str">
        <f t="shared" si="13"/>
        <v/>
      </c>
      <c r="Y789" s="69" t="str">
        <f t="shared" si="14"/>
        <v/>
      </c>
      <c r="Z789" s="11"/>
      <c r="AG789" s="59"/>
    </row>
    <row r="790">
      <c r="A790" s="8"/>
      <c r="B790" s="56" t="str">
        <f t="shared" si="2"/>
        <v/>
      </c>
      <c r="C790" s="105"/>
      <c r="D790" s="10"/>
      <c r="E790" s="59" t="str">
        <f t="array" ref="E790">IF(COUNTA(C790:C1644)=0,"",SUM((COUNTIF(C$4:C790,Upgrades!$B$3:$B$13)-COUNTIF(C$4:C790,"Sell_"&amp;Upgrades!$B$3:$B$13))*Upgrades!$D$3:$D$13))</f>
        <v/>
      </c>
      <c r="F790" s="66" t="str">
        <f>IFERROR(__xludf.DUMMYFUNCTION("IF(COUNTA(C790:C1644)=0,"""",IF(REGEXMATCH(INDEX(FILTER(C$4:C790,C$4:C790&lt;&gt;""""),ROWS(FILTER(C$4:C790,C$4:C790&lt;&gt;""""))),""^Sell_""),INDEX(FILTER(F$4:F789,C$4:C789&lt;&gt;""""),ROWS(FILTER(C$4:C789,C$4:C789&lt;&gt;""""))),$AC$5+E790))"),"")</f>
        <v/>
      </c>
      <c r="G790" s="10" t="str">
        <f>IFERROR(__xludf.DUMMYFUNCTION("IF(COUNTA(C790:C1644)=0,"""",IF(C790="""",0,IF(REGEXMATCH(C790,""^Sell_""),-ROUNDDOWN(ROUNDUP(INDEX(Upgrades!$C$3:$C$13,MATCH(SUBSTITUTE(C790,""Sell_"",""""),Upgrades!$B$3:$B$13,0))*1.15^(COUNTIF(C$4:C789,SUBSTITUTE(C790,""Sell_"",""""))-COUNTIF(C$4:C789,"&amp;"""Sell_""&amp;SUBSTITUTE(C790,""Sell_"",""""))))/2),ROUNDUP(INDEX(Upgrades!$C$3:$C$13,MATCH(C790,Upgrades!$B$3:$B$13,0))*1.15^(COUNTIF(C$4:C789,C790)-COUNTIF(C$4:C789,""Sell_""&amp;C790))))))"),"")</f>
        <v/>
      </c>
      <c r="H790" s="10" t="str">
        <f t="shared" si="3"/>
        <v/>
      </c>
      <c r="I790" s="68" t="str">
        <f t="shared" si="4"/>
        <v/>
      </c>
      <c r="J790" s="59" t="str">
        <f t="shared" si="5"/>
        <v/>
      </c>
      <c r="K790" s="69" t="str">
        <f t="shared" si="6"/>
        <v/>
      </c>
      <c r="L790" s="60" t="str">
        <f t="shared" si="7"/>
        <v/>
      </c>
      <c r="M790" s="61" t="str">
        <f>IFERROR(__xludf.DUMMYFUNCTION("IFS(AND(COUNTA(C790:C1644)=0,COUNTA(Q790:Q1644)=0),"""",OR(AND(K790&gt;=1000000000,OR(Y790&gt;=1000000000,COUNTA(Q790:Q1644)=0)),OR(Y790&gt;=1000000000,AND(COUNTA(C790:C1644)=0,P$3=TRUE))),
ROUNDDOWN((AB$1-AC$1)*MAX(INDEX(T$4:T1644,MATCH(LARGE(FILTER(Y$4:Y1644,Y$4"&amp;":Y1644&lt;1000000000),1),Y$4:Y1644)),INDEX(F$4:F1644,MATCH(LARGE(FILTER(K$4:K1644,K$4:K1644&lt;1000000000),1),K$4:K1644)))),AND(K790&lt;1000000000,COUNTA(C790:C1644)&gt;0,P$3=FALSE),
ROUNDDOWN(INDEX(Y$4:Y1644,MATCH(LARGE(FILTER(W$4:W1644,W$4:W1644&lt;=I790),1),W$4:W1644"&amp;"))+(I790-LARGE(FILTER(W$4:W1644,W$4:W1644&lt;=I790),1))*INDEX(T$4:T1644,MATCH(LARGE(FILTER(W$4:W1644,W$4:W1644&lt;=I790),1),W$4:W1644))-K790),1,
ROUNDDOWN(Y790-INDEX(K$4:K1644,MATCH(LARGE(FILTER(I$4:I1644,I$4:I1644&lt;=W790),1),I$4:I1644))-(W790-LARGE(FILTER(I$4:I"&amp;"1644,I$4:I1644&lt;=W790),1))*INDEX(F$4:F1644,MATCH(LARGE(FILTER(I$4:I1644,I$4:I1644&lt;=W790),1),I$4:I1644))))"),"")</f>
        <v/>
      </c>
      <c r="N790" s="60" t="str">
        <f t="shared" si="8"/>
        <v/>
      </c>
      <c r="O790" s="61" t="str">
        <f t="shared" si="9"/>
        <v/>
      </c>
      <c r="P790" s="56" t="str">
        <f t="shared" si="10"/>
        <v/>
      </c>
      <c r="Q790" s="105"/>
      <c r="R790" s="10"/>
      <c r="S790" s="59" t="str">
        <f t="array" ref="S790">IF(COUNTA(Q790:Q1644)=0,"",SUM((COUNTIF(Q$4:Q790,Upgrades!$B$3:$B$13)-COUNTIF(Q$4:Q790,"Sell_"&amp;Upgrades!$B$3:$B$13))*Upgrades!$D$3:$D$13))</f>
        <v/>
      </c>
      <c r="T790" s="66" t="str">
        <f>IFERROR(__xludf.DUMMYFUNCTION("IF(COUNTA(Q790:Q1644)=0,"""",IF(REGEXMATCH(INDEX(FILTER(Q$4:Q790,Q$4:Q790&lt;&gt;""""),ROWS(FILTER(Q$4:Q790,Q$4:Q790&lt;&gt;""""))),""^Sell_""),INDEX(FILTER(T$4:T789,Q$4:Q789&lt;&gt;""""),ROWS(FILTER(Q$4:Q789,Q$4:Q789&lt;&gt;""""))),$AD$5+S790))"),"")</f>
        <v/>
      </c>
      <c r="U790" s="10" t="str">
        <f>IFERROR(__xludf.DUMMYFUNCTION("IF(COUNTA(Q790:Q1644)=0,"""",IF(Q790="""",0,IF(REGEXMATCH(Q790,""^Sell_""),-ROUNDDOWN(ROUNDUP(INDEX(Upgrades!$C$3:$C$13,MATCH(SUBSTITUTE(Q790,""Sell_"",""""),Upgrades!$B$3:$B$13,0))*1.15^(COUNTIF(Q$4:Q789,SUBSTITUTE(Q790,""Sell_"",""""))-COUNTIF(Q$4:Q789,"&amp;"""Sell_""&amp;SUBSTITUTE(Q790,""Sell_"",""""))))/2),ROUNDUP(INDEX(Upgrades!$C$3:$C$13,MATCH(Q790,Upgrades!$B$3:$B$13,0))*1.15^(COUNTIF(Q$4:Q789,Q790)-COUNTIF(Q$4:Q789,""Sell_""&amp;Q790))))))"),"")</f>
        <v/>
      </c>
      <c r="V790" s="10" t="str">
        <f t="shared" si="11"/>
        <v/>
      </c>
      <c r="W790" s="68" t="str">
        <f t="shared" si="12"/>
        <v/>
      </c>
      <c r="X790" s="59" t="str">
        <f t="shared" si="13"/>
        <v/>
      </c>
      <c r="Y790" s="69" t="str">
        <f t="shared" si="14"/>
        <v/>
      </c>
      <c r="Z790" s="11"/>
      <c r="AG790" s="59"/>
    </row>
    <row r="791">
      <c r="A791" s="8"/>
      <c r="B791" s="56" t="str">
        <f t="shared" si="2"/>
        <v/>
      </c>
      <c r="C791" s="105"/>
      <c r="D791" s="10"/>
      <c r="E791" s="59" t="str">
        <f t="array" ref="E791">IF(COUNTA(C791:C1644)=0,"",SUM((COUNTIF(C$4:C791,Upgrades!$B$3:$B$13)-COUNTIF(C$4:C791,"Sell_"&amp;Upgrades!$B$3:$B$13))*Upgrades!$D$3:$D$13))</f>
        <v/>
      </c>
      <c r="F791" s="66" t="str">
        <f>IFERROR(__xludf.DUMMYFUNCTION("IF(COUNTA(C791:C1644)=0,"""",IF(REGEXMATCH(INDEX(FILTER(C$4:C791,C$4:C791&lt;&gt;""""),ROWS(FILTER(C$4:C791,C$4:C791&lt;&gt;""""))),""^Sell_""),INDEX(FILTER(F$4:F790,C$4:C790&lt;&gt;""""),ROWS(FILTER(C$4:C790,C$4:C790&lt;&gt;""""))),$AC$5+E791))"),"")</f>
        <v/>
      </c>
      <c r="G791" s="10" t="str">
        <f>IFERROR(__xludf.DUMMYFUNCTION("IF(COUNTA(C791:C1644)=0,"""",IF(C791="""",0,IF(REGEXMATCH(C791,""^Sell_""),-ROUNDDOWN(ROUNDUP(INDEX(Upgrades!$C$3:$C$13,MATCH(SUBSTITUTE(C791,""Sell_"",""""),Upgrades!$B$3:$B$13,0))*1.15^(COUNTIF(C$4:C790,SUBSTITUTE(C791,""Sell_"",""""))-COUNTIF(C$4:C790,"&amp;"""Sell_""&amp;SUBSTITUTE(C791,""Sell_"",""""))))/2),ROUNDUP(INDEX(Upgrades!$C$3:$C$13,MATCH(C791,Upgrades!$B$3:$B$13,0))*1.15^(COUNTIF(C$4:C790,C791)-COUNTIF(C$4:C790,""Sell_""&amp;C791))))))"),"")</f>
        <v/>
      </c>
      <c r="H791" s="10" t="str">
        <f t="shared" si="3"/>
        <v/>
      </c>
      <c r="I791" s="68" t="str">
        <f t="shared" si="4"/>
        <v/>
      </c>
      <c r="J791" s="59" t="str">
        <f t="shared" si="5"/>
        <v/>
      </c>
      <c r="K791" s="69" t="str">
        <f t="shared" si="6"/>
        <v/>
      </c>
      <c r="L791" s="60" t="str">
        <f t="shared" si="7"/>
        <v/>
      </c>
      <c r="M791" s="61" t="str">
        <f>IFERROR(__xludf.DUMMYFUNCTION("IFS(AND(COUNTA(C791:C1644)=0,COUNTA(Q791:Q1644)=0),"""",OR(AND(K791&gt;=1000000000,OR(Y791&gt;=1000000000,COUNTA(Q791:Q1644)=0)),OR(Y791&gt;=1000000000,AND(COUNTA(C791:C1644)=0,P$3=TRUE))),
ROUNDDOWN((AB$1-AC$1)*MAX(INDEX(T$4:T1644,MATCH(LARGE(FILTER(Y$4:Y1644,Y$4"&amp;":Y1644&lt;1000000000),1),Y$4:Y1644)),INDEX(F$4:F1644,MATCH(LARGE(FILTER(K$4:K1644,K$4:K1644&lt;1000000000),1),K$4:K1644)))),AND(K791&lt;1000000000,COUNTA(C791:C1644)&gt;0,P$3=FALSE),
ROUNDDOWN(INDEX(Y$4:Y1644,MATCH(LARGE(FILTER(W$4:W1644,W$4:W1644&lt;=I791),1),W$4:W1644"&amp;"))+(I791-LARGE(FILTER(W$4:W1644,W$4:W1644&lt;=I791),1))*INDEX(T$4:T1644,MATCH(LARGE(FILTER(W$4:W1644,W$4:W1644&lt;=I791),1),W$4:W1644))-K791),1,
ROUNDDOWN(Y791-INDEX(K$4:K1644,MATCH(LARGE(FILTER(I$4:I1644,I$4:I1644&lt;=W791),1),I$4:I1644))-(W791-LARGE(FILTER(I$4:I"&amp;"1644,I$4:I1644&lt;=W791),1))*INDEX(F$4:F1644,MATCH(LARGE(FILTER(I$4:I1644,I$4:I1644&lt;=W791),1),I$4:I1644))))"),"")</f>
        <v/>
      </c>
      <c r="N791" s="60" t="str">
        <f t="shared" si="8"/>
        <v/>
      </c>
      <c r="O791" s="61" t="str">
        <f t="shared" si="9"/>
        <v/>
      </c>
      <c r="P791" s="56" t="str">
        <f t="shared" si="10"/>
        <v/>
      </c>
      <c r="Q791" s="105"/>
      <c r="R791" s="10"/>
      <c r="S791" s="59" t="str">
        <f t="array" ref="S791">IF(COUNTA(Q791:Q1644)=0,"",SUM((COUNTIF(Q$4:Q791,Upgrades!$B$3:$B$13)-COUNTIF(Q$4:Q791,"Sell_"&amp;Upgrades!$B$3:$B$13))*Upgrades!$D$3:$D$13))</f>
        <v/>
      </c>
      <c r="T791" s="66" t="str">
        <f>IFERROR(__xludf.DUMMYFUNCTION("IF(COUNTA(Q791:Q1644)=0,"""",IF(REGEXMATCH(INDEX(FILTER(Q$4:Q791,Q$4:Q791&lt;&gt;""""),ROWS(FILTER(Q$4:Q791,Q$4:Q791&lt;&gt;""""))),""^Sell_""),INDEX(FILTER(T$4:T790,Q$4:Q790&lt;&gt;""""),ROWS(FILTER(Q$4:Q790,Q$4:Q790&lt;&gt;""""))),$AD$5+S791))"),"")</f>
        <v/>
      </c>
      <c r="U791" s="10" t="str">
        <f>IFERROR(__xludf.DUMMYFUNCTION("IF(COUNTA(Q791:Q1644)=0,"""",IF(Q791="""",0,IF(REGEXMATCH(Q791,""^Sell_""),-ROUNDDOWN(ROUNDUP(INDEX(Upgrades!$C$3:$C$13,MATCH(SUBSTITUTE(Q791,""Sell_"",""""),Upgrades!$B$3:$B$13,0))*1.15^(COUNTIF(Q$4:Q790,SUBSTITUTE(Q791,""Sell_"",""""))-COUNTIF(Q$4:Q790,"&amp;"""Sell_""&amp;SUBSTITUTE(Q791,""Sell_"",""""))))/2),ROUNDUP(INDEX(Upgrades!$C$3:$C$13,MATCH(Q791,Upgrades!$B$3:$B$13,0))*1.15^(COUNTIF(Q$4:Q790,Q791)-COUNTIF(Q$4:Q790,""Sell_""&amp;Q791))))))"),"")</f>
        <v/>
      </c>
      <c r="V791" s="10" t="str">
        <f t="shared" si="11"/>
        <v/>
      </c>
      <c r="W791" s="68" t="str">
        <f t="shared" si="12"/>
        <v/>
      </c>
      <c r="X791" s="59" t="str">
        <f t="shared" si="13"/>
        <v/>
      </c>
      <c r="Y791" s="69" t="str">
        <f t="shared" si="14"/>
        <v/>
      </c>
      <c r="Z791" s="11"/>
      <c r="AG791" s="59"/>
    </row>
    <row r="792">
      <c r="A792" s="8"/>
      <c r="B792" s="56" t="str">
        <f t="shared" si="2"/>
        <v/>
      </c>
      <c r="C792" s="105"/>
      <c r="D792" s="10"/>
      <c r="E792" s="59" t="str">
        <f t="array" ref="E792">IF(COUNTA(C792:C1644)=0,"",SUM((COUNTIF(C$4:C792,Upgrades!$B$3:$B$13)-COUNTIF(C$4:C792,"Sell_"&amp;Upgrades!$B$3:$B$13))*Upgrades!$D$3:$D$13))</f>
        <v/>
      </c>
      <c r="F792" s="66" t="str">
        <f>IFERROR(__xludf.DUMMYFUNCTION("IF(COUNTA(C792:C1644)=0,"""",IF(REGEXMATCH(INDEX(FILTER(C$4:C792,C$4:C792&lt;&gt;""""),ROWS(FILTER(C$4:C792,C$4:C792&lt;&gt;""""))),""^Sell_""),INDEX(FILTER(F$4:F791,C$4:C791&lt;&gt;""""),ROWS(FILTER(C$4:C791,C$4:C791&lt;&gt;""""))),$AC$5+E792))"),"")</f>
        <v/>
      </c>
      <c r="G792" s="10" t="str">
        <f>IFERROR(__xludf.DUMMYFUNCTION("IF(COUNTA(C792:C1644)=0,"""",IF(C792="""",0,IF(REGEXMATCH(C792,""^Sell_""),-ROUNDDOWN(ROUNDUP(INDEX(Upgrades!$C$3:$C$13,MATCH(SUBSTITUTE(C792,""Sell_"",""""),Upgrades!$B$3:$B$13,0))*1.15^(COUNTIF(C$4:C791,SUBSTITUTE(C792,""Sell_"",""""))-COUNTIF(C$4:C791,"&amp;"""Sell_""&amp;SUBSTITUTE(C792,""Sell_"",""""))))/2),ROUNDUP(INDEX(Upgrades!$C$3:$C$13,MATCH(C792,Upgrades!$B$3:$B$13,0))*1.15^(COUNTIF(C$4:C791,C792)-COUNTIF(C$4:C791,""Sell_""&amp;C792))))))"),"")</f>
        <v/>
      </c>
      <c r="H792" s="10" t="str">
        <f t="shared" si="3"/>
        <v/>
      </c>
      <c r="I792" s="68" t="str">
        <f t="shared" si="4"/>
        <v/>
      </c>
      <c r="J792" s="59" t="str">
        <f t="shared" si="5"/>
        <v/>
      </c>
      <c r="K792" s="69" t="str">
        <f t="shared" si="6"/>
        <v/>
      </c>
      <c r="L792" s="60" t="str">
        <f t="shared" si="7"/>
        <v/>
      </c>
      <c r="M792" s="61" t="str">
        <f>IFERROR(__xludf.DUMMYFUNCTION("IFS(AND(COUNTA(C792:C1644)=0,COUNTA(Q792:Q1644)=0),"""",OR(AND(K792&gt;=1000000000,OR(Y792&gt;=1000000000,COUNTA(Q792:Q1644)=0)),OR(Y792&gt;=1000000000,AND(COUNTA(C792:C1644)=0,P$3=TRUE))),
ROUNDDOWN((AB$1-AC$1)*MAX(INDEX(T$4:T1644,MATCH(LARGE(FILTER(Y$4:Y1644,Y$4"&amp;":Y1644&lt;1000000000),1),Y$4:Y1644)),INDEX(F$4:F1644,MATCH(LARGE(FILTER(K$4:K1644,K$4:K1644&lt;1000000000),1),K$4:K1644)))),AND(K792&lt;1000000000,COUNTA(C792:C1644)&gt;0,P$3=FALSE),
ROUNDDOWN(INDEX(Y$4:Y1644,MATCH(LARGE(FILTER(W$4:W1644,W$4:W1644&lt;=I792),1),W$4:W1644"&amp;"))+(I792-LARGE(FILTER(W$4:W1644,W$4:W1644&lt;=I792),1))*INDEX(T$4:T1644,MATCH(LARGE(FILTER(W$4:W1644,W$4:W1644&lt;=I792),1),W$4:W1644))-K792),1,
ROUNDDOWN(Y792-INDEX(K$4:K1644,MATCH(LARGE(FILTER(I$4:I1644,I$4:I1644&lt;=W792),1),I$4:I1644))-(W792-LARGE(FILTER(I$4:I"&amp;"1644,I$4:I1644&lt;=W792),1))*INDEX(F$4:F1644,MATCH(LARGE(FILTER(I$4:I1644,I$4:I1644&lt;=W792),1),I$4:I1644))))"),"")</f>
        <v/>
      </c>
      <c r="N792" s="60" t="str">
        <f t="shared" si="8"/>
        <v/>
      </c>
      <c r="O792" s="61" t="str">
        <f t="shared" si="9"/>
        <v/>
      </c>
      <c r="P792" s="56" t="str">
        <f t="shared" si="10"/>
        <v/>
      </c>
      <c r="Q792" s="105"/>
      <c r="R792" s="10"/>
      <c r="S792" s="59" t="str">
        <f t="array" ref="S792">IF(COUNTA(Q792:Q1644)=0,"",SUM((COUNTIF(Q$4:Q792,Upgrades!$B$3:$B$13)-COUNTIF(Q$4:Q792,"Sell_"&amp;Upgrades!$B$3:$B$13))*Upgrades!$D$3:$D$13))</f>
        <v/>
      </c>
      <c r="T792" s="66" t="str">
        <f>IFERROR(__xludf.DUMMYFUNCTION("IF(COUNTA(Q792:Q1644)=0,"""",IF(REGEXMATCH(INDEX(FILTER(Q$4:Q792,Q$4:Q792&lt;&gt;""""),ROWS(FILTER(Q$4:Q792,Q$4:Q792&lt;&gt;""""))),""^Sell_""),INDEX(FILTER(T$4:T791,Q$4:Q791&lt;&gt;""""),ROWS(FILTER(Q$4:Q791,Q$4:Q791&lt;&gt;""""))),$AD$5+S792))"),"")</f>
        <v/>
      </c>
      <c r="U792" s="10" t="str">
        <f>IFERROR(__xludf.DUMMYFUNCTION("IF(COUNTA(Q792:Q1644)=0,"""",IF(Q792="""",0,IF(REGEXMATCH(Q792,""^Sell_""),-ROUNDDOWN(ROUNDUP(INDEX(Upgrades!$C$3:$C$13,MATCH(SUBSTITUTE(Q792,""Sell_"",""""),Upgrades!$B$3:$B$13,0))*1.15^(COUNTIF(Q$4:Q791,SUBSTITUTE(Q792,""Sell_"",""""))-COUNTIF(Q$4:Q791,"&amp;"""Sell_""&amp;SUBSTITUTE(Q792,""Sell_"",""""))))/2),ROUNDUP(INDEX(Upgrades!$C$3:$C$13,MATCH(Q792,Upgrades!$B$3:$B$13,0))*1.15^(COUNTIF(Q$4:Q791,Q792)-COUNTIF(Q$4:Q791,""Sell_""&amp;Q792))))))"),"")</f>
        <v/>
      </c>
      <c r="V792" s="10" t="str">
        <f t="shared" si="11"/>
        <v/>
      </c>
      <c r="W792" s="68" t="str">
        <f t="shared" si="12"/>
        <v/>
      </c>
      <c r="X792" s="59" t="str">
        <f t="shared" si="13"/>
        <v/>
      </c>
      <c r="Y792" s="69" t="str">
        <f t="shared" si="14"/>
        <v/>
      </c>
      <c r="Z792" s="11"/>
      <c r="AG792" s="59"/>
    </row>
    <row r="793">
      <c r="A793" s="8"/>
      <c r="B793" s="56" t="str">
        <f t="shared" si="2"/>
        <v/>
      </c>
      <c r="C793" s="105"/>
      <c r="D793" s="10"/>
      <c r="E793" s="59" t="str">
        <f t="array" ref="E793">IF(COUNTA(C793:C1644)=0,"",SUM((COUNTIF(C$4:C793,Upgrades!$B$3:$B$13)-COUNTIF(C$4:C793,"Sell_"&amp;Upgrades!$B$3:$B$13))*Upgrades!$D$3:$D$13))</f>
        <v/>
      </c>
      <c r="F793" s="66" t="str">
        <f>IFERROR(__xludf.DUMMYFUNCTION("IF(COUNTA(C793:C1644)=0,"""",IF(REGEXMATCH(INDEX(FILTER(C$4:C793,C$4:C793&lt;&gt;""""),ROWS(FILTER(C$4:C793,C$4:C793&lt;&gt;""""))),""^Sell_""),INDEX(FILTER(F$4:F792,C$4:C792&lt;&gt;""""),ROWS(FILTER(C$4:C792,C$4:C792&lt;&gt;""""))),$AC$5+E793))"),"")</f>
        <v/>
      </c>
      <c r="G793" s="10" t="str">
        <f>IFERROR(__xludf.DUMMYFUNCTION("IF(COUNTA(C793:C1644)=0,"""",IF(C793="""",0,IF(REGEXMATCH(C793,""^Sell_""),-ROUNDDOWN(ROUNDUP(INDEX(Upgrades!$C$3:$C$13,MATCH(SUBSTITUTE(C793,""Sell_"",""""),Upgrades!$B$3:$B$13,0))*1.15^(COUNTIF(C$4:C792,SUBSTITUTE(C793,""Sell_"",""""))-COUNTIF(C$4:C792,"&amp;"""Sell_""&amp;SUBSTITUTE(C793,""Sell_"",""""))))/2),ROUNDUP(INDEX(Upgrades!$C$3:$C$13,MATCH(C793,Upgrades!$B$3:$B$13,0))*1.15^(COUNTIF(C$4:C792,C793)-COUNTIF(C$4:C792,""Sell_""&amp;C793))))))"),"")</f>
        <v/>
      </c>
      <c r="H793" s="10" t="str">
        <f t="shared" si="3"/>
        <v/>
      </c>
      <c r="I793" s="68" t="str">
        <f t="shared" si="4"/>
        <v/>
      </c>
      <c r="J793" s="59" t="str">
        <f t="shared" si="5"/>
        <v/>
      </c>
      <c r="K793" s="69" t="str">
        <f t="shared" si="6"/>
        <v/>
      </c>
      <c r="L793" s="60" t="str">
        <f t="shared" si="7"/>
        <v/>
      </c>
      <c r="M793" s="61" t="str">
        <f>IFERROR(__xludf.DUMMYFUNCTION("IFS(AND(COUNTA(C793:C1644)=0,COUNTA(Q793:Q1644)=0),"""",OR(AND(K793&gt;=1000000000,OR(Y793&gt;=1000000000,COUNTA(Q793:Q1644)=0)),OR(Y793&gt;=1000000000,AND(COUNTA(C793:C1644)=0,P$3=TRUE))),
ROUNDDOWN((AB$1-AC$1)*MAX(INDEX(T$4:T1644,MATCH(LARGE(FILTER(Y$4:Y1644,Y$4"&amp;":Y1644&lt;1000000000),1),Y$4:Y1644)),INDEX(F$4:F1644,MATCH(LARGE(FILTER(K$4:K1644,K$4:K1644&lt;1000000000),1),K$4:K1644)))),AND(K793&lt;1000000000,COUNTA(C793:C1644)&gt;0,P$3=FALSE),
ROUNDDOWN(INDEX(Y$4:Y1644,MATCH(LARGE(FILTER(W$4:W1644,W$4:W1644&lt;=I793),1),W$4:W1644"&amp;"))+(I793-LARGE(FILTER(W$4:W1644,W$4:W1644&lt;=I793),1))*INDEX(T$4:T1644,MATCH(LARGE(FILTER(W$4:W1644,W$4:W1644&lt;=I793),1),W$4:W1644))-K793),1,
ROUNDDOWN(Y793-INDEX(K$4:K1644,MATCH(LARGE(FILTER(I$4:I1644,I$4:I1644&lt;=W793),1),I$4:I1644))-(W793-LARGE(FILTER(I$4:I"&amp;"1644,I$4:I1644&lt;=W793),1))*INDEX(F$4:F1644,MATCH(LARGE(FILTER(I$4:I1644,I$4:I1644&lt;=W793),1),I$4:I1644))))"),"")</f>
        <v/>
      </c>
      <c r="N793" s="60" t="str">
        <f t="shared" si="8"/>
        <v/>
      </c>
      <c r="O793" s="61" t="str">
        <f t="shared" si="9"/>
        <v/>
      </c>
      <c r="P793" s="56" t="str">
        <f t="shared" si="10"/>
        <v/>
      </c>
      <c r="Q793" s="105"/>
      <c r="R793" s="10"/>
      <c r="S793" s="59" t="str">
        <f t="array" ref="S793">IF(COUNTA(Q793:Q1644)=0,"",SUM((COUNTIF(Q$4:Q793,Upgrades!$B$3:$B$13)-COUNTIF(Q$4:Q793,"Sell_"&amp;Upgrades!$B$3:$B$13))*Upgrades!$D$3:$D$13))</f>
        <v/>
      </c>
      <c r="T793" s="66" t="str">
        <f>IFERROR(__xludf.DUMMYFUNCTION("IF(COUNTA(Q793:Q1644)=0,"""",IF(REGEXMATCH(INDEX(FILTER(Q$4:Q793,Q$4:Q793&lt;&gt;""""),ROWS(FILTER(Q$4:Q793,Q$4:Q793&lt;&gt;""""))),""^Sell_""),INDEX(FILTER(T$4:T792,Q$4:Q792&lt;&gt;""""),ROWS(FILTER(Q$4:Q792,Q$4:Q792&lt;&gt;""""))),$AD$5+S793))"),"")</f>
        <v/>
      </c>
      <c r="U793" s="10" t="str">
        <f>IFERROR(__xludf.DUMMYFUNCTION("IF(COUNTA(Q793:Q1644)=0,"""",IF(Q793="""",0,IF(REGEXMATCH(Q793,""^Sell_""),-ROUNDDOWN(ROUNDUP(INDEX(Upgrades!$C$3:$C$13,MATCH(SUBSTITUTE(Q793,""Sell_"",""""),Upgrades!$B$3:$B$13,0))*1.15^(COUNTIF(Q$4:Q792,SUBSTITUTE(Q793,""Sell_"",""""))-COUNTIF(Q$4:Q792,"&amp;"""Sell_""&amp;SUBSTITUTE(Q793,""Sell_"",""""))))/2),ROUNDUP(INDEX(Upgrades!$C$3:$C$13,MATCH(Q793,Upgrades!$B$3:$B$13,0))*1.15^(COUNTIF(Q$4:Q792,Q793)-COUNTIF(Q$4:Q792,""Sell_""&amp;Q793))))))"),"")</f>
        <v/>
      </c>
      <c r="V793" s="10" t="str">
        <f t="shared" si="11"/>
        <v/>
      </c>
      <c r="W793" s="68" t="str">
        <f t="shared" si="12"/>
        <v/>
      </c>
      <c r="X793" s="59" t="str">
        <f t="shared" si="13"/>
        <v/>
      </c>
      <c r="Y793" s="69" t="str">
        <f t="shared" si="14"/>
        <v/>
      </c>
      <c r="Z793" s="11"/>
      <c r="AG793" s="59"/>
    </row>
    <row r="794">
      <c r="A794" s="8"/>
      <c r="B794" s="56" t="str">
        <f t="shared" si="2"/>
        <v/>
      </c>
      <c r="C794" s="105"/>
      <c r="D794" s="10"/>
      <c r="E794" s="59" t="str">
        <f t="array" ref="E794">IF(COUNTA(C794:C1644)=0,"",SUM((COUNTIF(C$4:C794,Upgrades!$B$3:$B$13)-COUNTIF(C$4:C794,"Sell_"&amp;Upgrades!$B$3:$B$13))*Upgrades!$D$3:$D$13))</f>
        <v/>
      </c>
      <c r="F794" s="66" t="str">
        <f>IFERROR(__xludf.DUMMYFUNCTION("IF(COUNTA(C794:C1644)=0,"""",IF(REGEXMATCH(INDEX(FILTER(C$4:C794,C$4:C794&lt;&gt;""""),ROWS(FILTER(C$4:C794,C$4:C794&lt;&gt;""""))),""^Sell_""),INDEX(FILTER(F$4:F793,C$4:C793&lt;&gt;""""),ROWS(FILTER(C$4:C793,C$4:C793&lt;&gt;""""))),$AC$5+E794))"),"")</f>
        <v/>
      </c>
      <c r="G794" s="10" t="str">
        <f>IFERROR(__xludf.DUMMYFUNCTION("IF(COUNTA(C794:C1644)=0,"""",IF(C794="""",0,IF(REGEXMATCH(C794,""^Sell_""),-ROUNDDOWN(ROUNDUP(INDEX(Upgrades!$C$3:$C$13,MATCH(SUBSTITUTE(C794,""Sell_"",""""),Upgrades!$B$3:$B$13,0))*1.15^(COUNTIF(C$4:C793,SUBSTITUTE(C794,""Sell_"",""""))-COUNTIF(C$4:C793,"&amp;"""Sell_""&amp;SUBSTITUTE(C794,""Sell_"",""""))))/2),ROUNDUP(INDEX(Upgrades!$C$3:$C$13,MATCH(C794,Upgrades!$B$3:$B$13,0))*1.15^(COUNTIF(C$4:C793,C794)-COUNTIF(C$4:C793,""Sell_""&amp;C794))))))"),"")</f>
        <v/>
      </c>
      <c r="H794" s="10" t="str">
        <f t="shared" si="3"/>
        <v/>
      </c>
      <c r="I794" s="68" t="str">
        <f t="shared" si="4"/>
        <v/>
      </c>
      <c r="J794" s="59" t="str">
        <f t="shared" si="5"/>
        <v/>
      </c>
      <c r="K794" s="69" t="str">
        <f t="shared" si="6"/>
        <v/>
      </c>
      <c r="L794" s="60" t="str">
        <f t="shared" si="7"/>
        <v/>
      </c>
      <c r="M794" s="61" t="str">
        <f>IFERROR(__xludf.DUMMYFUNCTION("IFS(AND(COUNTA(C794:C1644)=0,COUNTA(Q794:Q1644)=0),"""",OR(AND(K794&gt;=1000000000,OR(Y794&gt;=1000000000,COUNTA(Q794:Q1644)=0)),OR(Y794&gt;=1000000000,AND(COUNTA(C794:C1644)=0,P$3=TRUE))),
ROUNDDOWN((AB$1-AC$1)*MAX(INDEX(T$4:T1644,MATCH(LARGE(FILTER(Y$4:Y1644,Y$4"&amp;":Y1644&lt;1000000000),1),Y$4:Y1644)),INDEX(F$4:F1644,MATCH(LARGE(FILTER(K$4:K1644,K$4:K1644&lt;1000000000),1),K$4:K1644)))),AND(K794&lt;1000000000,COUNTA(C794:C1644)&gt;0,P$3=FALSE),
ROUNDDOWN(INDEX(Y$4:Y1644,MATCH(LARGE(FILTER(W$4:W1644,W$4:W1644&lt;=I794),1),W$4:W1644"&amp;"))+(I794-LARGE(FILTER(W$4:W1644,W$4:W1644&lt;=I794),1))*INDEX(T$4:T1644,MATCH(LARGE(FILTER(W$4:W1644,W$4:W1644&lt;=I794),1),W$4:W1644))-K794),1,
ROUNDDOWN(Y794-INDEX(K$4:K1644,MATCH(LARGE(FILTER(I$4:I1644,I$4:I1644&lt;=W794),1),I$4:I1644))-(W794-LARGE(FILTER(I$4:I"&amp;"1644,I$4:I1644&lt;=W794),1))*INDEX(F$4:F1644,MATCH(LARGE(FILTER(I$4:I1644,I$4:I1644&lt;=W794),1),I$4:I1644))))"),"")</f>
        <v/>
      </c>
      <c r="N794" s="60" t="str">
        <f t="shared" si="8"/>
        <v/>
      </c>
      <c r="O794" s="61" t="str">
        <f t="shared" si="9"/>
        <v/>
      </c>
      <c r="P794" s="56" t="str">
        <f t="shared" si="10"/>
        <v/>
      </c>
      <c r="Q794" s="105"/>
      <c r="R794" s="10"/>
      <c r="S794" s="59" t="str">
        <f t="array" ref="S794">IF(COUNTA(Q794:Q1644)=0,"",SUM((COUNTIF(Q$4:Q794,Upgrades!$B$3:$B$13)-COUNTIF(Q$4:Q794,"Sell_"&amp;Upgrades!$B$3:$B$13))*Upgrades!$D$3:$D$13))</f>
        <v/>
      </c>
      <c r="T794" s="66" t="str">
        <f>IFERROR(__xludf.DUMMYFUNCTION("IF(COUNTA(Q794:Q1644)=0,"""",IF(REGEXMATCH(INDEX(FILTER(Q$4:Q794,Q$4:Q794&lt;&gt;""""),ROWS(FILTER(Q$4:Q794,Q$4:Q794&lt;&gt;""""))),""^Sell_""),INDEX(FILTER(T$4:T793,Q$4:Q793&lt;&gt;""""),ROWS(FILTER(Q$4:Q793,Q$4:Q793&lt;&gt;""""))),$AD$5+S794))"),"")</f>
        <v/>
      </c>
      <c r="U794" s="10" t="str">
        <f>IFERROR(__xludf.DUMMYFUNCTION("IF(COUNTA(Q794:Q1644)=0,"""",IF(Q794="""",0,IF(REGEXMATCH(Q794,""^Sell_""),-ROUNDDOWN(ROUNDUP(INDEX(Upgrades!$C$3:$C$13,MATCH(SUBSTITUTE(Q794,""Sell_"",""""),Upgrades!$B$3:$B$13,0))*1.15^(COUNTIF(Q$4:Q793,SUBSTITUTE(Q794,""Sell_"",""""))-COUNTIF(Q$4:Q793,"&amp;"""Sell_""&amp;SUBSTITUTE(Q794,""Sell_"",""""))))/2),ROUNDUP(INDEX(Upgrades!$C$3:$C$13,MATCH(Q794,Upgrades!$B$3:$B$13,0))*1.15^(COUNTIF(Q$4:Q793,Q794)-COUNTIF(Q$4:Q793,""Sell_""&amp;Q794))))))"),"")</f>
        <v/>
      </c>
      <c r="V794" s="10" t="str">
        <f t="shared" si="11"/>
        <v/>
      </c>
      <c r="W794" s="68" t="str">
        <f t="shared" si="12"/>
        <v/>
      </c>
      <c r="X794" s="59" t="str">
        <f t="shared" si="13"/>
        <v/>
      </c>
      <c r="Y794" s="69" t="str">
        <f t="shared" si="14"/>
        <v/>
      </c>
      <c r="Z794" s="11"/>
      <c r="AG794" s="59"/>
    </row>
    <row r="795">
      <c r="A795" s="8"/>
      <c r="B795" s="56" t="str">
        <f t="shared" si="2"/>
        <v/>
      </c>
      <c r="C795" s="105"/>
      <c r="D795" s="10"/>
      <c r="E795" s="59" t="str">
        <f t="array" ref="E795">IF(COUNTA(C795:C1644)=0,"",SUM((COUNTIF(C$4:C795,Upgrades!$B$3:$B$13)-COUNTIF(C$4:C795,"Sell_"&amp;Upgrades!$B$3:$B$13))*Upgrades!$D$3:$D$13))</f>
        <v/>
      </c>
      <c r="F795" s="66" t="str">
        <f>IFERROR(__xludf.DUMMYFUNCTION("IF(COUNTA(C795:C1644)=0,"""",IF(REGEXMATCH(INDEX(FILTER(C$4:C795,C$4:C795&lt;&gt;""""),ROWS(FILTER(C$4:C795,C$4:C795&lt;&gt;""""))),""^Sell_""),INDEX(FILTER(F$4:F794,C$4:C794&lt;&gt;""""),ROWS(FILTER(C$4:C794,C$4:C794&lt;&gt;""""))),$AC$5+E795))"),"")</f>
        <v/>
      </c>
      <c r="G795" s="10" t="str">
        <f>IFERROR(__xludf.DUMMYFUNCTION("IF(COUNTA(C795:C1644)=0,"""",IF(C795="""",0,IF(REGEXMATCH(C795,""^Sell_""),-ROUNDDOWN(ROUNDUP(INDEX(Upgrades!$C$3:$C$13,MATCH(SUBSTITUTE(C795,""Sell_"",""""),Upgrades!$B$3:$B$13,0))*1.15^(COUNTIF(C$4:C794,SUBSTITUTE(C795,""Sell_"",""""))-COUNTIF(C$4:C794,"&amp;"""Sell_""&amp;SUBSTITUTE(C795,""Sell_"",""""))))/2),ROUNDUP(INDEX(Upgrades!$C$3:$C$13,MATCH(C795,Upgrades!$B$3:$B$13,0))*1.15^(COUNTIF(C$4:C794,C795)-COUNTIF(C$4:C794,""Sell_""&amp;C795))))))"),"")</f>
        <v/>
      </c>
      <c r="H795" s="10" t="str">
        <f t="shared" si="3"/>
        <v/>
      </c>
      <c r="I795" s="68" t="str">
        <f t="shared" si="4"/>
        <v/>
      </c>
      <c r="J795" s="59" t="str">
        <f t="shared" si="5"/>
        <v/>
      </c>
      <c r="K795" s="69" t="str">
        <f t="shared" si="6"/>
        <v/>
      </c>
      <c r="L795" s="60" t="str">
        <f t="shared" si="7"/>
        <v/>
      </c>
      <c r="M795" s="61" t="str">
        <f>IFERROR(__xludf.DUMMYFUNCTION("IFS(AND(COUNTA(C795:C1644)=0,COUNTA(Q795:Q1644)=0),"""",OR(AND(K795&gt;=1000000000,OR(Y795&gt;=1000000000,COUNTA(Q795:Q1644)=0)),OR(Y795&gt;=1000000000,AND(COUNTA(C795:C1644)=0,P$3=TRUE))),
ROUNDDOWN((AB$1-AC$1)*MAX(INDEX(T$4:T1644,MATCH(LARGE(FILTER(Y$4:Y1644,Y$4"&amp;":Y1644&lt;1000000000),1),Y$4:Y1644)),INDEX(F$4:F1644,MATCH(LARGE(FILTER(K$4:K1644,K$4:K1644&lt;1000000000),1),K$4:K1644)))),AND(K795&lt;1000000000,COUNTA(C795:C1644)&gt;0,P$3=FALSE),
ROUNDDOWN(INDEX(Y$4:Y1644,MATCH(LARGE(FILTER(W$4:W1644,W$4:W1644&lt;=I795),1),W$4:W1644"&amp;"))+(I795-LARGE(FILTER(W$4:W1644,W$4:W1644&lt;=I795),1))*INDEX(T$4:T1644,MATCH(LARGE(FILTER(W$4:W1644,W$4:W1644&lt;=I795),1),W$4:W1644))-K795),1,
ROUNDDOWN(Y795-INDEX(K$4:K1644,MATCH(LARGE(FILTER(I$4:I1644,I$4:I1644&lt;=W795),1),I$4:I1644))-(W795-LARGE(FILTER(I$4:I"&amp;"1644,I$4:I1644&lt;=W795),1))*INDEX(F$4:F1644,MATCH(LARGE(FILTER(I$4:I1644,I$4:I1644&lt;=W795),1),I$4:I1644))))"),"")</f>
        <v/>
      </c>
      <c r="N795" s="60" t="str">
        <f t="shared" si="8"/>
        <v/>
      </c>
      <c r="O795" s="61" t="str">
        <f t="shared" si="9"/>
        <v/>
      </c>
      <c r="P795" s="56" t="str">
        <f t="shared" si="10"/>
        <v/>
      </c>
      <c r="Q795" s="105"/>
      <c r="R795" s="10"/>
      <c r="S795" s="59" t="str">
        <f t="array" ref="S795">IF(COUNTA(Q795:Q1644)=0,"",SUM((COUNTIF(Q$4:Q795,Upgrades!$B$3:$B$13)-COUNTIF(Q$4:Q795,"Sell_"&amp;Upgrades!$B$3:$B$13))*Upgrades!$D$3:$D$13))</f>
        <v/>
      </c>
      <c r="T795" s="66" t="str">
        <f>IFERROR(__xludf.DUMMYFUNCTION("IF(COUNTA(Q795:Q1644)=0,"""",IF(REGEXMATCH(INDEX(FILTER(Q$4:Q795,Q$4:Q795&lt;&gt;""""),ROWS(FILTER(Q$4:Q795,Q$4:Q795&lt;&gt;""""))),""^Sell_""),INDEX(FILTER(T$4:T794,Q$4:Q794&lt;&gt;""""),ROWS(FILTER(Q$4:Q794,Q$4:Q794&lt;&gt;""""))),$AD$5+S795))"),"")</f>
        <v/>
      </c>
      <c r="U795" s="10" t="str">
        <f>IFERROR(__xludf.DUMMYFUNCTION("IF(COUNTA(Q795:Q1644)=0,"""",IF(Q795="""",0,IF(REGEXMATCH(Q795,""^Sell_""),-ROUNDDOWN(ROUNDUP(INDEX(Upgrades!$C$3:$C$13,MATCH(SUBSTITUTE(Q795,""Sell_"",""""),Upgrades!$B$3:$B$13,0))*1.15^(COUNTIF(Q$4:Q794,SUBSTITUTE(Q795,""Sell_"",""""))-COUNTIF(Q$4:Q794,"&amp;"""Sell_""&amp;SUBSTITUTE(Q795,""Sell_"",""""))))/2),ROUNDUP(INDEX(Upgrades!$C$3:$C$13,MATCH(Q795,Upgrades!$B$3:$B$13,0))*1.15^(COUNTIF(Q$4:Q794,Q795)-COUNTIF(Q$4:Q794,""Sell_""&amp;Q795))))))"),"")</f>
        <v/>
      </c>
      <c r="V795" s="10" t="str">
        <f t="shared" si="11"/>
        <v/>
      </c>
      <c r="W795" s="68" t="str">
        <f t="shared" si="12"/>
        <v/>
      </c>
      <c r="X795" s="59" t="str">
        <f t="shared" si="13"/>
        <v/>
      </c>
      <c r="Y795" s="69" t="str">
        <f t="shared" si="14"/>
        <v/>
      </c>
      <c r="Z795" s="11"/>
      <c r="AG795" s="59"/>
    </row>
    <row r="796">
      <c r="A796" s="8"/>
      <c r="B796" s="56" t="str">
        <f t="shared" si="2"/>
        <v/>
      </c>
      <c r="C796" s="105"/>
      <c r="D796" s="10"/>
      <c r="E796" s="59" t="str">
        <f t="array" ref="E796">IF(COUNTA(C796:C1644)=0,"",SUM((COUNTIF(C$4:C796,Upgrades!$B$3:$B$13)-COUNTIF(C$4:C796,"Sell_"&amp;Upgrades!$B$3:$B$13))*Upgrades!$D$3:$D$13))</f>
        <v/>
      </c>
      <c r="F796" s="66" t="str">
        <f>IFERROR(__xludf.DUMMYFUNCTION("IF(COUNTA(C796:C1644)=0,"""",IF(REGEXMATCH(INDEX(FILTER(C$4:C796,C$4:C796&lt;&gt;""""),ROWS(FILTER(C$4:C796,C$4:C796&lt;&gt;""""))),""^Sell_""),INDEX(FILTER(F$4:F795,C$4:C795&lt;&gt;""""),ROWS(FILTER(C$4:C795,C$4:C795&lt;&gt;""""))),$AC$5+E796))"),"")</f>
        <v/>
      </c>
      <c r="G796" s="10" t="str">
        <f>IFERROR(__xludf.DUMMYFUNCTION("IF(COUNTA(C796:C1644)=0,"""",IF(C796="""",0,IF(REGEXMATCH(C796,""^Sell_""),-ROUNDDOWN(ROUNDUP(INDEX(Upgrades!$C$3:$C$13,MATCH(SUBSTITUTE(C796,""Sell_"",""""),Upgrades!$B$3:$B$13,0))*1.15^(COUNTIF(C$4:C795,SUBSTITUTE(C796,""Sell_"",""""))-COUNTIF(C$4:C795,"&amp;"""Sell_""&amp;SUBSTITUTE(C796,""Sell_"",""""))))/2),ROUNDUP(INDEX(Upgrades!$C$3:$C$13,MATCH(C796,Upgrades!$B$3:$B$13,0))*1.15^(COUNTIF(C$4:C795,C796)-COUNTIF(C$4:C795,""Sell_""&amp;C796))))))"),"")</f>
        <v/>
      </c>
      <c r="H796" s="10" t="str">
        <f t="shared" si="3"/>
        <v/>
      </c>
      <c r="I796" s="68" t="str">
        <f t="shared" si="4"/>
        <v/>
      </c>
      <c r="J796" s="59" t="str">
        <f t="shared" si="5"/>
        <v/>
      </c>
      <c r="K796" s="69" t="str">
        <f t="shared" si="6"/>
        <v/>
      </c>
      <c r="L796" s="60" t="str">
        <f t="shared" si="7"/>
        <v/>
      </c>
      <c r="M796" s="61" t="str">
        <f>IFERROR(__xludf.DUMMYFUNCTION("IFS(AND(COUNTA(C796:C1644)=0,COUNTA(Q796:Q1644)=0),"""",OR(AND(K796&gt;=1000000000,OR(Y796&gt;=1000000000,COUNTA(Q796:Q1644)=0)),OR(Y796&gt;=1000000000,AND(COUNTA(C796:C1644)=0,P$3=TRUE))),
ROUNDDOWN((AB$1-AC$1)*MAX(INDEX(T$4:T1644,MATCH(LARGE(FILTER(Y$4:Y1644,Y$4"&amp;":Y1644&lt;1000000000),1),Y$4:Y1644)),INDEX(F$4:F1644,MATCH(LARGE(FILTER(K$4:K1644,K$4:K1644&lt;1000000000),1),K$4:K1644)))),AND(K796&lt;1000000000,COUNTA(C796:C1644)&gt;0,P$3=FALSE),
ROUNDDOWN(INDEX(Y$4:Y1644,MATCH(LARGE(FILTER(W$4:W1644,W$4:W1644&lt;=I796),1),W$4:W1644"&amp;"))+(I796-LARGE(FILTER(W$4:W1644,W$4:W1644&lt;=I796),1))*INDEX(T$4:T1644,MATCH(LARGE(FILTER(W$4:W1644,W$4:W1644&lt;=I796),1),W$4:W1644))-K796),1,
ROUNDDOWN(Y796-INDEX(K$4:K1644,MATCH(LARGE(FILTER(I$4:I1644,I$4:I1644&lt;=W796),1),I$4:I1644))-(W796-LARGE(FILTER(I$4:I"&amp;"1644,I$4:I1644&lt;=W796),1))*INDEX(F$4:F1644,MATCH(LARGE(FILTER(I$4:I1644,I$4:I1644&lt;=W796),1),I$4:I1644))))"),"")</f>
        <v/>
      </c>
      <c r="N796" s="60" t="str">
        <f t="shared" si="8"/>
        <v/>
      </c>
      <c r="O796" s="61" t="str">
        <f t="shared" si="9"/>
        <v/>
      </c>
      <c r="P796" s="56" t="str">
        <f t="shared" si="10"/>
        <v/>
      </c>
      <c r="Q796" s="105"/>
      <c r="R796" s="10"/>
      <c r="S796" s="59" t="str">
        <f t="array" ref="S796">IF(COUNTA(Q796:Q1644)=0,"",SUM((COUNTIF(Q$4:Q796,Upgrades!$B$3:$B$13)-COUNTIF(Q$4:Q796,"Sell_"&amp;Upgrades!$B$3:$B$13))*Upgrades!$D$3:$D$13))</f>
        <v/>
      </c>
      <c r="T796" s="66" t="str">
        <f>IFERROR(__xludf.DUMMYFUNCTION("IF(COUNTA(Q796:Q1644)=0,"""",IF(REGEXMATCH(INDEX(FILTER(Q$4:Q796,Q$4:Q796&lt;&gt;""""),ROWS(FILTER(Q$4:Q796,Q$4:Q796&lt;&gt;""""))),""^Sell_""),INDEX(FILTER(T$4:T795,Q$4:Q795&lt;&gt;""""),ROWS(FILTER(Q$4:Q795,Q$4:Q795&lt;&gt;""""))),$AD$5+S796))"),"")</f>
        <v/>
      </c>
      <c r="U796" s="10" t="str">
        <f>IFERROR(__xludf.DUMMYFUNCTION("IF(COUNTA(Q796:Q1644)=0,"""",IF(Q796="""",0,IF(REGEXMATCH(Q796,""^Sell_""),-ROUNDDOWN(ROUNDUP(INDEX(Upgrades!$C$3:$C$13,MATCH(SUBSTITUTE(Q796,""Sell_"",""""),Upgrades!$B$3:$B$13,0))*1.15^(COUNTIF(Q$4:Q795,SUBSTITUTE(Q796,""Sell_"",""""))-COUNTIF(Q$4:Q795,"&amp;"""Sell_""&amp;SUBSTITUTE(Q796,""Sell_"",""""))))/2),ROUNDUP(INDEX(Upgrades!$C$3:$C$13,MATCH(Q796,Upgrades!$B$3:$B$13,0))*1.15^(COUNTIF(Q$4:Q795,Q796)-COUNTIF(Q$4:Q795,""Sell_""&amp;Q796))))))"),"")</f>
        <v/>
      </c>
      <c r="V796" s="10" t="str">
        <f t="shared" si="11"/>
        <v/>
      </c>
      <c r="W796" s="68" t="str">
        <f t="shared" si="12"/>
        <v/>
      </c>
      <c r="X796" s="59" t="str">
        <f t="shared" si="13"/>
        <v/>
      </c>
      <c r="Y796" s="69" t="str">
        <f t="shared" si="14"/>
        <v/>
      </c>
      <c r="Z796" s="11"/>
      <c r="AG796" s="59"/>
    </row>
    <row r="797">
      <c r="A797" s="8"/>
      <c r="B797" s="56" t="str">
        <f t="shared" si="2"/>
        <v/>
      </c>
      <c r="C797" s="105"/>
      <c r="D797" s="10"/>
      <c r="E797" s="59" t="str">
        <f t="array" ref="E797">IF(COUNTA(C797:C1644)=0,"",SUM((COUNTIF(C$4:C797,Upgrades!$B$3:$B$13)-COUNTIF(C$4:C797,"Sell_"&amp;Upgrades!$B$3:$B$13))*Upgrades!$D$3:$D$13))</f>
        <v/>
      </c>
      <c r="F797" s="66" t="str">
        <f>IFERROR(__xludf.DUMMYFUNCTION("IF(COUNTA(C797:C1644)=0,"""",IF(REGEXMATCH(INDEX(FILTER(C$4:C797,C$4:C797&lt;&gt;""""),ROWS(FILTER(C$4:C797,C$4:C797&lt;&gt;""""))),""^Sell_""),INDEX(FILTER(F$4:F796,C$4:C796&lt;&gt;""""),ROWS(FILTER(C$4:C796,C$4:C796&lt;&gt;""""))),$AC$5+E797))"),"")</f>
        <v/>
      </c>
      <c r="G797" s="10" t="str">
        <f>IFERROR(__xludf.DUMMYFUNCTION("IF(COUNTA(C797:C1644)=0,"""",IF(C797="""",0,IF(REGEXMATCH(C797,""^Sell_""),-ROUNDDOWN(ROUNDUP(INDEX(Upgrades!$C$3:$C$13,MATCH(SUBSTITUTE(C797,""Sell_"",""""),Upgrades!$B$3:$B$13,0))*1.15^(COUNTIF(C$4:C796,SUBSTITUTE(C797,""Sell_"",""""))-COUNTIF(C$4:C796,"&amp;"""Sell_""&amp;SUBSTITUTE(C797,""Sell_"",""""))))/2),ROUNDUP(INDEX(Upgrades!$C$3:$C$13,MATCH(C797,Upgrades!$B$3:$B$13,0))*1.15^(COUNTIF(C$4:C796,C797)-COUNTIF(C$4:C796,""Sell_""&amp;C797))))))"),"")</f>
        <v/>
      </c>
      <c r="H797" s="10" t="str">
        <f t="shared" si="3"/>
        <v/>
      </c>
      <c r="I797" s="68" t="str">
        <f t="shared" si="4"/>
        <v/>
      </c>
      <c r="J797" s="59" t="str">
        <f t="shared" si="5"/>
        <v/>
      </c>
      <c r="K797" s="69" t="str">
        <f t="shared" si="6"/>
        <v/>
      </c>
      <c r="L797" s="60" t="str">
        <f t="shared" si="7"/>
        <v/>
      </c>
      <c r="M797" s="61" t="str">
        <f>IFERROR(__xludf.DUMMYFUNCTION("IFS(AND(COUNTA(C797:C1644)=0,COUNTA(Q797:Q1644)=0),"""",OR(AND(K797&gt;=1000000000,OR(Y797&gt;=1000000000,COUNTA(Q797:Q1644)=0)),OR(Y797&gt;=1000000000,AND(COUNTA(C797:C1644)=0,P$3=TRUE))),
ROUNDDOWN((AB$1-AC$1)*MAX(INDEX(T$4:T1644,MATCH(LARGE(FILTER(Y$4:Y1644,Y$4"&amp;":Y1644&lt;1000000000),1),Y$4:Y1644)),INDEX(F$4:F1644,MATCH(LARGE(FILTER(K$4:K1644,K$4:K1644&lt;1000000000),1),K$4:K1644)))),AND(K797&lt;1000000000,COUNTA(C797:C1644)&gt;0,P$3=FALSE),
ROUNDDOWN(INDEX(Y$4:Y1644,MATCH(LARGE(FILTER(W$4:W1644,W$4:W1644&lt;=I797),1),W$4:W1644"&amp;"))+(I797-LARGE(FILTER(W$4:W1644,W$4:W1644&lt;=I797),1))*INDEX(T$4:T1644,MATCH(LARGE(FILTER(W$4:W1644,W$4:W1644&lt;=I797),1),W$4:W1644))-K797),1,
ROUNDDOWN(Y797-INDEX(K$4:K1644,MATCH(LARGE(FILTER(I$4:I1644,I$4:I1644&lt;=W797),1),I$4:I1644))-(W797-LARGE(FILTER(I$4:I"&amp;"1644,I$4:I1644&lt;=W797),1))*INDEX(F$4:F1644,MATCH(LARGE(FILTER(I$4:I1644,I$4:I1644&lt;=W797),1),I$4:I1644))))"),"")</f>
        <v/>
      </c>
      <c r="N797" s="60" t="str">
        <f t="shared" si="8"/>
        <v/>
      </c>
      <c r="O797" s="61" t="str">
        <f t="shared" si="9"/>
        <v/>
      </c>
      <c r="P797" s="56" t="str">
        <f t="shared" si="10"/>
        <v/>
      </c>
      <c r="Q797" s="105"/>
      <c r="R797" s="10"/>
      <c r="S797" s="59" t="str">
        <f t="array" ref="S797">IF(COUNTA(Q797:Q1644)=0,"",SUM((COUNTIF(Q$4:Q797,Upgrades!$B$3:$B$13)-COUNTIF(Q$4:Q797,"Sell_"&amp;Upgrades!$B$3:$B$13))*Upgrades!$D$3:$D$13))</f>
        <v/>
      </c>
      <c r="T797" s="66" t="str">
        <f>IFERROR(__xludf.DUMMYFUNCTION("IF(COUNTA(Q797:Q1644)=0,"""",IF(REGEXMATCH(INDEX(FILTER(Q$4:Q797,Q$4:Q797&lt;&gt;""""),ROWS(FILTER(Q$4:Q797,Q$4:Q797&lt;&gt;""""))),""^Sell_""),INDEX(FILTER(T$4:T796,Q$4:Q796&lt;&gt;""""),ROWS(FILTER(Q$4:Q796,Q$4:Q796&lt;&gt;""""))),$AD$5+S797))"),"")</f>
        <v/>
      </c>
      <c r="U797" s="10" t="str">
        <f>IFERROR(__xludf.DUMMYFUNCTION("IF(COUNTA(Q797:Q1644)=0,"""",IF(Q797="""",0,IF(REGEXMATCH(Q797,""^Sell_""),-ROUNDDOWN(ROUNDUP(INDEX(Upgrades!$C$3:$C$13,MATCH(SUBSTITUTE(Q797,""Sell_"",""""),Upgrades!$B$3:$B$13,0))*1.15^(COUNTIF(Q$4:Q796,SUBSTITUTE(Q797,""Sell_"",""""))-COUNTIF(Q$4:Q796,"&amp;"""Sell_""&amp;SUBSTITUTE(Q797,""Sell_"",""""))))/2),ROUNDUP(INDEX(Upgrades!$C$3:$C$13,MATCH(Q797,Upgrades!$B$3:$B$13,0))*1.15^(COUNTIF(Q$4:Q796,Q797)-COUNTIF(Q$4:Q796,""Sell_""&amp;Q797))))))"),"")</f>
        <v/>
      </c>
      <c r="V797" s="10" t="str">
        <f t="shared" si="11"/>
        <v/>
      </c>
      <c r="W797" s="68" t="str">
        <f t="shared" si="12"/>
        <v/>
      </c>
      <c r="X797" s="59" t="str">
        <f t="shared" si="13"/>
        <v/>
      </c>
      <c r="Y797" s="69" t="str">
        <f t="shared" si="14"/>
        <v/>
      </c>
      <c r="Z797" s="11"/>
      <c r="AG797" s="59"/>
    </row>
    <row r="798">
      <c r="A798" s="8"/>
      <c r="B798" s="56" t="str">
        <f t="shared" si="2"/>
        <v/>
      </c>
      <c r="C798" s="105"/>
      <c r="D798" s="10"/>
      <c r="E798" s="59" t="str">
        <f t="array" ref="E798">IF(COUNTA(C798:C1644)=0,"",SUM((COUNTIF(C$4:C798,Upgrades!$B$3:$B$13)-COUNTIF(C$4:C798,"Sell_"&amp;Upgrades!$B$3:$B$13))*Upgrades!$D$3:$D$13))</f>
        <v/>
      </c>
      <c r="F798" s="66" t="str">
        <f>IFERROR(__xludf.DUMMYFUNCTION("IF(COUNTA(C798:C1644)=0,"""",IF(REGEXMATCH(INDEX(FILTER(C$4:C798,C$4:C798&lt;&gt;""""),ROWS(FILTER(C$4:C798,C$4:C798&lt;&gt;""""))),""^Sell_""),INDEX(FILTER(F$4:F797,C$4:C797&lt;&gt;""""),ROWS(FILTER(C$4:C797,C$4:C797&lt;&gt;""""))),$AC$5+E798))"),"")</f>
        <v/>
      </c>
      <c r="G798" s="10" t="str">
        <f>IFERROR(__xludf.DUMMYFUNCTION("IF(COUNTA(C798:C1644)=0,"""",IF(C798="""",0,IF(REGEXMATCH(C798,""^Sell_""),-ROUNDDOWN(ROUNDUP(INDEX(Upgrades!$C$3:$C$13,MATCH(SUBSTITUTE(C798,""Sell_"",""""),Upgrades!$B$3:$B$13,0))*1.15^(COUNTIF(C$4:C797,SUBSTITUTE(C798,""Sell_"",""""))-COUNTIF(C$4:C797,"&amp;"""Sell_""&amp;SUBSTITUTE(C798,""Sell_"",""""))))/2),ROUNDUP(INDEX(Upgrades!$C$3:$C$13,MATCH(C798,Upgrades!$B$3:$B$13,0))*1.15^(COUNTIF(C$4:C797,C798)-COUNTIF(C$4:C797,""Sell_""&amp;C798))))))"),"")</f>
        <v/>
      </c>
      <c r="H798" s="10" t="str">
        <f t="shared" si="3"/>
        <v/>
      </c>
      <c r="I798" s="68" t="str">
        <f t="shared" si="4"/>
        <v/>
      </c>
      <c r="J798" s="59" t="str">
        <f t="shared" si="5"/>
        <v/>
      </c>
      <c r="K798" s="69" t="str">
        <f t="shared" si="6"/>
        <v/>
      </c>
      <c r="L798" s="60" t="str">
        <f t="shared" si="7"/>
        <v/>
      </c>
      <c r="M798" s="61" t="str">
        <f>IFERROR(__xludf.DUMMYFUNCTION("IFS(AND(COUNTA(C798:C1644)=0,COUNTA(Q798:Q1644)=0),"""",OR(AND(K798&gt;=1000000000,OR(Y798&gt;=1000000000,COUNTA(Q798:Q1644)=0)),OR(Y798&gt;=1000000000,AND(COUNTA(C798:C1644)=0,P$3=TRUE))),
ROUNDDOWN((AB$1-AC$1)*MAX(INDEX(T$4:T1644,MATCH(LARGE(FILTER(Y$4:Y1644,Y$4"&amp;":Y1644&lt;1000000000),1),Y$4:Y1644)),INDEX(F$4:F1644,MATCH(LARGE(FILTER(K$4:K1644,K$4:K1644&lt;1000000000),1),K$4:K1644)))),AND(K798&lt;1000000000,COUNTA(C798:C1644)&gt;0,P$3=FALSE),
ROUNDDOWN(INDEX(Y$4:Y1644,MATCH(LARGE(FILTER(W$4:W1644,W$4:W1644&lt;=I798),1),W$4:W1644"&amp;"))+(I798-LARGE(FILTER(W$4:W1644,W$4:W1644&lt;=I798),1))*INDEX(T$4:T1644,MATCH(LARGE(FILTER(W$4:W1644,W$4:W1644&lt;=I798),1),W$4:W1644))-K798),1,
ROUNDDOWN(Y798-INDEX(K$4:K1644,MATCH(LARGE(FILTER(I$4:I1644,I$4:I1644&lt;=W798),1),I$4:I1644))-(W798-LARGE(FILTER(I$4:I"&amp;"1644,I$4:I1644&lt;=W798),1))*INDEX(F$4:F1644,MATCH(LARGE(FILTER(I$4:I1644,I$4:I1644&lt;=W798),1),I$4:I1644))))"),"")</f>
        <v/>
      </c>
      <c r="N798" s="60" t="str">
        <f t="shared" si="8"/>
        <v/>
      </c>
      <c r="O798" s="61" t="str">
        <f t="shared" si="9"/>
        <v/>
      </c>
      <c r="P798" s="56" t="str">
        <f t="shared" si="10"/>
        <v/>
      </c>
      <c r="Q798" s="105"/>
      <c r="R798" s="10"/>
      <c r="S798" s="59" t="str">
        <f t="array" ref="S798">IF(COUNTA(Q798:Q1644)=0,"",SUM((COUNTIF(Q$4:Q798,Upgrades!$B$3:$B$13)-COUNTIF(Q$4:Q798,"Sell_"&amp;Upgrades!$B$3:$B$13))*Upgrades!$D$3:$D$13))</f>
        <v/>
      </c>
      <c r="T798" s="66" t="str">
        <f>IFERROR(__xludf.DUMMYFUNCTION("IF(COUNTA(Q798:Q1644)=0,"""",IF(REGEXMATCH(INDEX(FILTER(Q$4:Q798,Q$4:Q798&lt;&gt;""""),ROWS(FILTER(Q$4:Q798,Q$4:Q798&lt;&gt;""""))),""^Sell_""),INDEX(FILTER(T$4:T797,Q$4:Q797&lt;&gt;""""),ROWS(FILTER(Q$4:Q797,Q$4:Q797&lt;&gt;""""))),$AD$5+S798))"),"")</f>
        <v/>
      </c>
      <c r="U798" s="10" t="str">
        <f>IFERROR(__xludf.DUMMYFUNCTION("IF(COUNTA(Q798:Q1644)=0,"""",IF(Q798="""",0,IF(REGEXMATCH(Q798,""^Sell_""),-ROUNDDOWN(ROUNDUP(INDEX(Upgrades!$C$3:$C$13,MATCH(SUBSTITUTE(Q798,""Sell_"",""""),Upgrades!$B$3:$B$13,0))*1.15^(COUNTIF(Q$4:Q797,SUBSTITUTE(Q798,""Sell_"",""""))-COUNTIF(Q$4:Q797,"&amp;"""Sell_""&amp;SUBSTITUTE(Q798,""Sell_"",""""))))/2),ROUNDUP(INDEX(Upgrades!$C$3:$C$13,MATCH(Q798,Upgrades!$B$3:$B$13,0))*1.15^(COUNTIF(Q$4:Q797,Q798)-COUNTIF(Q$4:Q797,""Sell_""&amp;Q798))))))"),"")</f>
        <v/>
      </c>
      <c r="V798" s="10" t="str">
        <f t="shared" si="11"/>
        <v/>
      </c>
      <c r="W798" s="68" t="str">
        <f t="shared" si="12"/>
        <v/>
      </c>
      <c r="X798" s="59" t="str">
        <f t="shared" si="13"/>
        <v/>
      </c>
      <c r="Y798" s="69" t="str">
        <f t="shared" si="14"/>
        <v/>
      </c>
      <c r="Z798" s="11"/>
      <c r="AG798" s="59"/>
    </row>
    <row r="799">
      <c r="A799" s="8"/>
      <c r="B799" s="56" t="str">
        <f t="shared" si="2"/>
        <v/>
      </c>
      <c r="C799" s="105"/>
      <c r="D799" s="10"/>
      <c r="E799" s="59" t="str">
        <f t="array" ref="E799">IF(COUNTA(C799:C1644)=0,"",SUM((COUNTIF(C$4:C799,Upgrades!$B$3:$B$13)-COUNTIF(C$4:C799,"Sell_"&amp;Upgrades!$B$3:$B$13))*Upgrades!$D$3:$D$13))</f>
        <v/>
      </c>
      <c r="F799" s="66" t="str">
        <f>IFERROR(__xludf.DUMMYFUNCTION("IF(COUNTA(C799:C1644)=0,"""",IF(REGEXMATCH(INDEX(FILTER(C$4:C799,C$4:C799&lt;&gt;""""),ROWS(FILTER(C$4:C799,C$4:C799&lt;&gt;""""))),""^Sell_""),INDEX(FILTER(F$4:F798,C$4:C798&lt;&gt;""""),ROWS(FILTER(C$4:C798,C$4:C798&lt;&gt;""""))),$AC$5+E799))"),"")</f>
        <v/>
      </c>
      <c r="G799" s="10" t="str">
        <f>IFERROR(__xludf.DUMMYFUNCTION("IF(COUNTA(C799:C1644)=0,"""",IF(C799="""",0,IF(REGEXMATCH(C799,""^Sell_""),-ROUNDDOWN(ROUNDUP(INDEX(Upgrades!$C$3:$C$13,MATCH(SUBSTITUTE(C799,""Sell_"",""""),Upgrades!$B$3:$B$13,0))*1.15^(COUNTIF(C$4:C798,SUBSTITUTE(C799,""Sell_"",""""))-COUNTIF(C$4:C798,"&amp;"""Sell_""&amp;SUBSTITUTE(C799,""Sell_"",""""))))/2),ROUNDUP(INDEX(Upgrades!$C$3:$C$13,MATCH(C799,Upgrades!$B$3:$B$13,0))*1.15^(COUNTIF(C$4:C798,C799)-COUNTIF(C$4:C798,""Sell_""&amp;C799))))))"),"")</f>
        <v/>
      </c>
      <c r="H799" s="10" t="str">
        <f t="shared" si="3"/>
        <v/>
      </c>
      <c r="I799" s="68" t="str">
        <f t="shared" si="4"/>
        <v/>
      </c>
      <c r="J799" s="59" t="str">
        <f t="shared" si="5"/>
        <v/>
      </c>
      <c r="K799" s="69" t="str">
        <f t="shared" si="6"/>
        <v/>
      </c>
      <c r="L799" s="60" t="str">
        <f t="shared" si="7"/>
        <v/>
      </c>
      <c r="M799" s="61" t="str">
        <f>IFERROR(__xludf.DUMMYFUNCTION("IFS(AND(COUNTA(C799:C1644)=0,COUNTA(Q799:Q1644)=0),"""",OR(AND(K799&gt;=1000000000,OR(Y799&gt;=1000000000,COUNTA(Q799:Q1644)=0)),OR(Y799&gt;=1000000000,AND(COUNTA(C799:C1644)=0,P$3=TRUE))),
ROUNDDOWN((AB$1-AC$1)*MAX(INDEX(T$4:T1644,MATCH(LARGE(FILTER(Y$4:Y1644,Y$4"&amp;":Y1644&lt;1000000000),1),Y$4:Y1644)),INDEX(F$4:F1644,MATCH(LARGE(FILTER(K$4:K1644,K$4:K1644&lt;1000000000),1),K$4:K1644)))),AND(K799&lt;1000000000,COUNTA(C799:C1644)&gt;0,P$3=FALSE),
ROUNDDOWN(INDEX(Y$4:Y1644,MATCH(LARGE(FILTER(W$4:W1644,W$4:W1644&lt;=I799),1),W$4:W1644"&amp;"))+(I799-LARGE(FILTER(W$4:W1644,W$4:W1644&lt;=I799),1))*INDEX(T$4:T1644,MATCH(LARGE(FILTER(W$4:W1644,W$4:W1644&lt;=I799),1),W$4:W1644))-K799),1,
ROUNDDOWN(Y799-INDEX(K$4:K1644,MATCH(LARGE(FILTER(I$4:I1644,I$4:I1644&lt;=W799),1),I$4:I1644))-(W799-LARGE(FILTER(I$4:I"&amp;"1644,I$4:I1644&lt;=W799),1))*INDEX(F$4:F1644,MATCH(LARGE(FILTER(I$4:I1644,I$4:I1644&lt;=W799),1),I$4:I1644))))"),"")</f>
        <v/>
      </c>
      <c r="N799" s="60" t="str">
        <f t="shared" si="8"/>
        <v/>
      </c>
      <c r="O799" s="61" t="str">
        <f t="shared" si="9"/>
        <v/>
      </c>
      <c r="P799" s="56" t="str">
        <f t="shared" si="10"/>
        <v/>
      </c>
      <c r="Q799" s="105"/>
      <c r="R799" s="10"/>
      <c r="S799" s="59" t="str">
        <f t="array" ref="S799">IF(COUNTA(Q799:Q1644)=0,"",SUM((COUNTIF(Q$4:Q799,Upgrades!$B$3:$B$13)-COUNTIF(Q$4:Q799,"Sell_"&amp;Upgrades!$B$3:$B$13))*Upgrades!$D$3:$D$13))</f>
        <v/>
      </c>
      <c r="T799" s="66" t="str">
        <f>IFERROR(__xludf.DUMMYFUNCTION("IF(COUNTA(Q799:Q1644)=0,"""",IF(REGEXMATCH(INDEX(FILTER(Q$4:Q799,Q$4:Q799&lt;&gt;""""),ROWS(FILTER(Q$4:Q799,Q$4:Q799&lt;&gt;""""))),""^Sell_""),INDEX(FILTER(T$4:T798,Q$4:Q798&lt;&gt;""""),ROWS(FILTER(Q$4:Q798,Q$4:Q798&lt;&gt;""""))),$AD$5+S799))"),"")</f>
        <v/>
      </c>
      <c r="U799" s="10" t="str">
        <f>IFERROR(__xludf.DUMMYFUNCTION("IF(COUNTA(Q799:Q1644)=0,"""",IF(Q799="""",0,IF(REGEXMATCH(Q799,""^Sell_""),-ROUNDDOWN(ROUNDUP(INDEX(Upgrades!$C$3:$C$13,MATCH(SUBSTITUTE(Q799,""Sell_"",""""),Upgrades!$B$3:$B$13,0))*1.15^(COUNTIF(Q$4:Q798,SUBSTITUTE(Q799,""Sell_"",""""))-COUNTIF(Q$4:Q798,"&amp;"""Sell_""&amp;SUBSTITUTE(Q799,""Sell_"",""""))))/2),ROUNDUP(INDEX(Upgrades!$C$3:$C$13,MATCH(Q799,Upgrades!$B$3:$B$13,0))*1.15^(COUNTIF(Q$4:Q798,Q799)-COUNTIF(Q$4:Q798,""Sell_""&amp;Q799))))))"),"")</f>
        <v/>
      </c>
      <c r="V799" s="10" t="str">
        <f t="shared" si="11"/>
        <v/>
      </c>
      <c r="W799" s="68" t="str">
        <f t="shared" si="12"/>
        <v/>
      </c>
      <c r="X799" s="59" t="str">
        <f t="shared" si="13"/>
        <v/>
      </c>
      <c r="Y799" s="69" t="str">
        <f t="shared" si="14"/>
        <v/>
      </c>
      <c r="Z799" s="11"/>
      <c r="AG799" s="59"/>
    </row>
    <row r="800">
      <c r="A800" s="8"/>
      <c r="B800" s="56" t="str">
        <f t="shared" si="2"/>
        <v/>
      </c>
      <c r="C800" s="105"/>
      <c r="D800" s="10"/>
      <c r="E800" s="59" t="str">
        <f t="array" ref="E800">IF(COUNTA(C800:C1644)=0,"",SUM((COUNTIF(C$4:C800,Upgrades!$B$3:$B$13)-COUNTIF(C$4:C800,"Sell_"&amp;Upgrades!$B$3:$B$13))*Upgrades!$D$3:$D$13))</f>
        <v/>
      </c>
      <c r="F800" s="66" t="str">
        <f>IFERROR(__xludf.DUMMYFUNCTION("IF(COUNTA(C800:C1644)=0,"""",IF(REGEXMATCH(INDEX(FILTER(C$4:C800,C$4:C800&lt;&gt;""""),ROWS(FILTER(C$4:C800,C$4:C800&lt;&gt;""""))),""^Sell_""),INDEX(FILTER(F$4:F799,C$4:C799&lt;&gt;""""),ROWS(FILTER(C$4:C799,C$4:C799&lt;&gt;""""))),$AC$5+E800))"),"")</f>
        <v/>
      </c>
      <c r="G800" s="10" t="str">
        <f>IFERROR(__xludf.DUMMYFUNCTION("IF(COUNTA(C800:C1644)=0,"""",IF(C800="""",0,IF(REGEXMATCH(C800,""^Sell_""),-ROUNDDOWN(ROUNDUP(INDEX(Upgrades!$C$3:$C$13,MATCH(SUBSTITUTE(C800,""Sell_"",""""),Upgrades!$B$3:$B$13,0))*1.15^(COUNTIF(C$4:C799,SUBSTITUTE(C800,""Sell_"",""""))-COUNTIF(C$4:C799,"&amp;"""Sell_""&amp;SUBSTITUTE(C800,""Sell_"",""""))))/2),ROUNDUP(INDEX(Upgrades!$C$3:$C$13,MATCH(C800,Upgrades!$B$3:$B$13,0))*1.15^(COUNTIF(C$4:C799,C800)-COUNTIF(C$4:C799,""Sell_""&amp;C800))))))"),"")</f>
        <v/>
      </c>
      <c r="H800" s="10" t="str">
        <f t="shared" si="3"/>
        <v/>
      </c>
      <c r="I800" s="68" t="str">
        <f t="shared" si="4"/>
        <v/>
      </c>
      <c r="J800" s="59" t="str">
        <f t="shared" si="5"/>
        <v/>
      </c>
      <c r="K800" s="69" t="str">
        <f t="shared" si="6"/>
        <v/>
      </c>
      <c r="L800" s="60" t="str">
        <f t="shared" si="7"/>
        <v/>
      </c>
      <c r="M800" s="61" t="str">
        <f>IFERROR(__xludf.DUMMYFUNCTION("IFS(AND(COUNTA(C800:C1644)=0,COUNTA(Q800:Q1644)=0),"""",OR(AND(K800&gt;=1000000000,OR(Y800&gt;=1000000000,COUNTA(Q800:Q1644)=0)),OR(Y800&gt;=1000000000,AND(COUNTA(C800:C1644)=0,P$3=TRUE))),
ROUNDDOWN((AB$1-AC$1)*MAX(INDEX(T$4:T1644,MATCH(LARGE(FILTER(Y$4:Y1644,Y$4"&amp;":Y1644&lt;1000000000),1),Y$4:Y1644)),INDEX(F$4:F1644,MATCH(LARGE(FILTER(K$4:K1644,K$4:K1644&lt;1000000000),1),K$4:K1644)))),AND(K800&lt;1000000000,COUNTA(C800:C1644)&gt;0,P$3=FALSE),
ROUNDDOWN(INDEX(Y$4:Y1644,MATCH(LARGE(FILTER(W$4:W1644,W$4:W1644&lt;=I800),1),W$4:W1644"&amp;"))+(I800-LARGE(FILTER(W$4:W1644,W$4:W1644&lt;=I800),1))*INDEX(T$4:T1644,MATCH(LARGE(FILTER(W$4:W1644,W$4:W1644&lt;=I800),1),W$4:W1644))-K800),1,
ROUNDDOWN(Y800-INDEX(K$4:K1644,MATCH(LARGE(FILTER(I$4:I1644,I$4:I1644&lt;=W800),1),I$4:I1644))-(W800-LARGE(FILTER(I$4:I"&amp;"1644,I$4:I1644&lt;=W800),1))*INDEX(F$4:F1644,MATCH(LARGE(FILTER(I$4:I1644,I$4:I1644&lt;=W800),1),I$4:I1644))))"),"")</f>
        <v/>
      </c>
      <c r="N800" s="60" t="str">
        <f t="shared" si="8"/>
        <v/>
      </c>
      <c r="O800" s="61" t="str">
        <f t="shared" si="9"/>
        <v/>
      </c>
      <c r="P800" s="56" t="str">
        <f t="shared" si="10"/>
        <v/>
      </c>
      <c r="Q800" s="105"/>
      <c r="R800" s="10"/>
      <c r="S800" s="59" t="str">
        <f t="array" ref="S800">IF(COUNTA(Q800:Q1644)=0,"",SUM((COUNTIF(Q$4:Q800,Upgrades!$B$3:$B$13)-COUNTIF(Q$4:Q800,"Sell_"&amp;Upgrades!$B$3:$B$13))*Upgrades!$D$3:$D$13))</f>
        <v/>
      </c>
      <c r="T800" s="66" t="str">
        <f>IFERROR(__xludf.DUMMYFUNCTION("IF(COUNTA(Q800:Q1644)=0,"""",IF(REGEXMATCH(INDEX(FILTER(Q$4:Q800,Q$4:Q800&lt;&gt;""""),ROWS(FILTER(Q$4:Q800,Q$4:Q800&lt;&gt;""""))),""^Sell_""),INDEX(FILTER(T$4:T799,Q$4:Q799&lt;&gt;""""),ROWS(FILTER(Q$4:Q799,Q$4:Q799&lt;&gt;""""))),$AD$5+S800))"),"")</f>
        <v/>
      </c>
      <c r="U800" s="10" t="str">
        <f>IFERROR(__xludf.DUMMYFUNCTION("IF(COUNTA(Q800:Q1644)=0,"""",IF(Q800="""",0,IF(REGEXMATCH(Q800,""^Sell_""),-ROUNDDOWN(ROUNDUP(INDEX(Upgrades!$C$3:$C$13,MATCH(SUBSTITUTE(Q800,""Sell_"",""""),Upgrades!$B$3:$B$13,0))*1.15^(COUNTIF(Q$4:Q799,SUBSTITUTE(Q800,""Sell_"",""""))-COUNTIF(Q$4:Q799,"&amp;"""Sell_""&amp;SUBSTITUTE(Q800,""Sell_"",""""))))/2),ROUNDUP(INDEX(Upgrades!$C$3:$C$13,MATCH(Q800,Upgrades!$B$3:$B$13,0))*1.15^(COUNTIF(Q$4:Q799,Q800)-COUNTIF(Q$4:Q799,""Sell_""&amp;Q800))))))"),"")</f>
        <v/>
      </c>
      <c r="V800" s="10" t="str">
        <f t="shared" si="11"/>
        <v/>
      </c>
      <c r="W800" s="68" t="str">
        <f t="shared" si="12"/>
        <v/>
      </c>
      <c r="X800" s="59" t="str">
        <f t="shared" si="13"/>
        <v/>
      </c>
      <c r="Y800" s="69" t="str">
        <f t="shared" si="14"/>
        <v/>
      </c>
      <c r="Z800" s="11"/>
      <c r="AG800" s="59"/>
    </row>
    <row r="801">
      <c r="A801" s="8"/>
      <c r="B801" s="56" t="str">
        <f t="shared" si="2"/>
        <v/>
      </c>
      <c r="C801" s="105"/>
      <c r="D801" s="10"/>
      <c r="E801" s="59" t="str">
        <f t="array" ref="E801">IF(COUNTA(C801:C1644)=0,"",SUM((COUNTIF(C$4:C801,Upgrades!$B$3:$B$13)-COUNTIF(C$4:C801,"Sell_"&amp;Upgrades!$B$3:$B$13))*Upgrades!$D$3:$D$13))</f>
        <v/>
      </c>
      <c r="F801" s="66" t="str">
        <f>IFERROR(__xludf.DUMMYFUNCTION("IF(COUNTA(C801:C1644)=0,"""",IF(REGEXMATCH(INDEX(FILTER(C$4:C801,C$4:C801&lt;&gt;""""),ROWS(FILTER(C$4:C801,C$4:C801&lt;&gt;""""))),""^Sell_""),INDEX(FILTER(F$4:F800,C$4:C800&lt;&gt;""""),ROWS(FILTER(C$4:C800,C$4:C800&lt;&gt;""""))),$AC$5+E801))"),"")</f>
        <v/>
      </c>
      <c r="G801" s="10" t="str">
        <f>IFERROR(__xludf.DUMMYFUNCTION("IF(COUNTA(C801:C1644)=0,"""",IF(C801="""",0,IF(REGEXMATCH(C801,""^Sell_""),-ROUNDDOWN(ROUNDUP(INDEX(Upgrades!$C$3:$C$13,MATCH(SUBSTITUTE(C801,""Sell_"",""""),Upgrades!$B$3:$B$13,0))*1.15^(COUNTIF(C$4:C800,SUBSTITUTE(C801,""Sell_"",""""))-COUNTIF(C$4:C800,"&amp;"""Sell_""&amp;SUBSTITUTE(C801,""Sell_"",""""))))/2),ROUNDUP(INDEX(Upgrades!$C$3:$C$13,MATCH(C801,Upgrades!$B$3:$B$13,0))*1.15^(COUNTIF(C$4:C800,C801)-COUNTIF(C$4:C800,""Sell_""&amp;C801))))))"),"")</f>
        <v/>
      </c>
      <c r="H801" s="10" t="str">
        <f t="shared" si="3"/>
        <v/>
      </c>
      <c r="I801" s="68" t="str">
        <f t="shared" si="4"/>
        <v/>
      </c>
      <c r="J801" s="59" t="str">
        <f t="shared" si="5"/>
        <v/>
      </c>
      <c r="K801" s="69" t="str">
        <f t="shared" si="6"/>
        <v/>
      </c>
      <c r="L801" s="60" t="str">
        <f t="shared" si="7"/>
        <v/>
      </c>
      <c r="M801" s="61" t="str">
        <f>IFERROR(__xludf.DUMMYFUNCTION("IFS(AND(COUNTA(C801:C1644)=0,COUNTA(Q801:Q1644)=0),"""",OR(AND(K801&gt;=1000000000,OR(Y801&gt;=1000000000,COUNTA(Q801:Q1644)=0)),OR(Y801&gt;=1000000000,AND(COUNTA(C801:C1644)=0,P$3=TRUE))),
ROUNDDOWN((AB$1-AC$1)*MAX(INDEX(T$4:T1644,MATCH(LARGE(FILTER(Y$4:Y1644,Y$4"&amp;":Y1644&lt;1000000000),1),Y$4:Y1644)),INDEX(F$4:F1644,MATCH(LARGE(FILTER(K$4:K1644,K$4:K1644&lt;1000000000),1),K$4:K1644)))),AND(K801&lt;1000000000,COUNTA(C801:C1644)&gt;0,P$3=FALSE),
ROUNDDOWN(INDEX(Y$4:Y1644,MATCH(LARGE(FILTER(W$4:W1644,W$4:W1644&lt;=I801),1),W$4:W1644"&amp;"))+(I801-LARGE(FILTER(W$4:W1644,W$4:W1644&lt;=I801),1))*INDEX(T$4:T1644,MATCH(LARGE(FILTER(W$4:W1644,W$4:W1644&lt;=I801),1),W$4:W1644))-K801),1,
ROUNDDOWN(Y801-INDEX(K$4:K1644,MATCH(LARGE(FILTER(I$4:I1644,I$4:I1644&lt;=W801),1),I$4:I1644))-(W801-LARGE(FILTER(I$4:I"&amp;"1644,I$4:I1644&lt;=W801),1))*INDEX(F$4:F1644,MATCH(LARGE(FILTER(I$4:I1644,I$4:I1644&lt;=W801),1),I$4:I1644))))"),"")</f>
        <v/>
      </c>
      <c r="N801" s="60" t="str">
        <f t="shared" si="8"/>
        <v/>
      </c>
      <c r="O801" s="61" t="str">
        <f t="shared" si="9"/>
        <v/>
      </c>
      <c r="P801" s="56" t="str">
        <f t="shared" si="10"/>
        <v/>
      </c>
      <c r="Q801" s="105"/>
      <c r="R801" s="10"/>
      <c r="S801" s="59" t="str">
        <f t="array" ref="S801">IF(COUNTA(Q801:Q1644)=0,"",SUM((COUNTIF(Q$4:Q801,Upgrades!$B$3:$B$13)-COUNTIF(Q$4:Q801,"Sell_"&amp;Upgrades!$B$3:$B$13))*Upgrades!$D$3:$D$13))</f>
        <v/>
      </c>
      <c r="T801" s="66" t="str">
        <f>IFERROR(__xludf.DUMMYFUNCTION("IF(COUNTA(Q801:Q1644)=0,"""",IF(REGEXMATCH(INDEX(FILTER(Q$4:Q801,Q$4:Q801&lt;&gt;""""),ROWS(FILTER(Q$4:Q801,Q$4:Q801&lt;&gt;""""))),""^Sell_""),INDEX(FILTER(T$4:T800,Q$4:Q800&lt;&gt;""""),ROWS(FILTER(Q$4:Q800,Q$4:Q800&lt;&gt;""""))),$AD$5+S801))"),"")</f>
        <v/>
      </c>
      <c r="U801" s="10" t="str">
        <f>IFERROR(__xludf.DUMMYFUNCTION("IF(COUNTA(Q801:Q1644)=0,"""",IF(Q801="""",0,IF(REGEXMATCH(Q801,""^Sell_""),-ROUNDDOWN(ROUNDUP(INDEX(Upgrades!$C$3:$C$13,MATCH(SUBSTITUTE(Q801,""Sell_"",""""),Upgrades!$B$3:$B$13,0))*1.15^(COUNTIF(Q$4:Q800,SUBSTITUTE(Q801,""Sell_"",""""))-COUNTIF(Q$4:Q800,"&amp;"""Sell_""&amp;SUBSTITUTE(Q801,""Sell_"",""""))))/2),ROUNDUP(INDEX(Upgrades!$C$3:$C$13,MATCH(Q801,Upgrades!$B$3:$B$13,0))*1.15^(COUNTIF(Q$4:Q800,Q801)-COUNTIF(Q$4:Q800,""Sell_""&amp;Q801))))))"),"")</f>
        <v/>
      </c>
      <c r="V801" s="10" t="str">
        <f t="shared" si="11"/>
        <v/>
      </c>
      <c r="W801" s="68" t="str">
        <f t="shared" si="12"/>
        <v/>
      </c>
      <c r="X801" s="59" t="str">
        <f t="shared" si="13"/>
        <v/>
      </c>
      <c r="Y801" s="69" t="str">
        <f t="shared" si="14"/>
        <v/>
      </c>
      <c r="Z801" s="11"/>
      <c r="AG801" s="59"/>
    </row>
    <row r="802">
      <c r="A802" s="8"/>
      <c r="B802" s="56" t="str">
        <f t="shared" si="2"/>
        <v/>
      </c>
      <c r="C802" s="105"/>
      <c r="D802" s="10"/>
      <c r="E802" s="59" t="str">
        <f t="array" ref="E802">IF(COUNTA(C802:C1644)=0,"",SUM((COUNTIF(C$4:C802,Upgrades!$B$3:$B$13)-COUNTIF(C$4:C802,"Sell_"&amp;Upgrades!$B$3:$B$13))*Upgrades!$D$3:$D$13))</f>
        <v/>
      </c>
      <c r="F802" s="66" t="str">
        <f>IFERROR(__xludf.DUMMYFUNCTION("IF(COUNTA(C802:C1644)=0,"""",IF(REGEXMATCH(INDEX(FILTER(C$4:C802,C$4:C802&lt;&gt;""""),ROWS(FILTER(C$4:C802,C$4:C802&lt;&gt;""""))),""^Sell_""),INDEX(FILTER(F$4:F801,C$4:C801&lt;&gt;""""),ROWS(FILTER(C$4:C801,C$4:C801&lt;&gt;""""))),$AC$5+E802))"),"")</f>
        <v/>
      </c>
      <c r="G802" s="10" t="str">
        <f>IFERROR(__xludf.DUMMYFUNCTION("IF(COUNTA(C802:C1644)=0,"""",IF(C802="""",0,IF(REGEXMATCH(C802,""^Sell_""),-ROUNDDOWN(ROUNDUP(INDEX(Upgrades!$C$3:$C$13,MATCH(SUBSTITUTE(C802,""Sell_"",""""),Upgrades!$B$3:$B$13,0))*1.15^(COUNTIF(C$4:C801,SUBSTITUTE(C802,""Sell_"",""""))-COUNTIF(C$4:C801,"&amp;"""Sell_""&amp;SUBSTITUTE(C802,""Sell_"",""""))))/2),ROUNDUP(INDEX(Upgrades!$C$3:$C$13,MATCH(C802,Upgrades!$B$3:$B$13,0))*1.15^(COUNTIF(C$4:C801,C802)-COUNTIF(C$4:C801,""Sell_""&amp;C802))))))"),"")</f>
        <v/>
      </c>
      <c r="H802" s="10" t="str">
        <f t="shared" si="3"/>
        <v/>
      </c>
      <c r="I802" s="68" t="str">
        <f t="shared" si="4"/>
        <v/>
      </c>
      <c r="J802" s="59" t="str">
        <f t="shared" si="5"/>
        <v/>
      </c>
      <c r="K802" s="69" t="str">
        <f t="shared" si="6"/>
        <v/>
      </c>
      <c r="L802" s="60" t="str">
        <f t="shared" si="7"/>
        <v/>
      </c>
      <c r="M802" s="61" t="str">
        <f>IFERROR(__xludf.DUMMYFUNCTION("IFS(AND(COUNTA(C802:C1644)=0,COUNTA(Q802:Q1644)=0),"""",OR(AND(K802&gt;=1000000000,OR(Y802&gt;=1000000000,COUNTA(Q802:Q1644)=0)),OR(Y802&gt;=1000000000,AND(COUNTA(C802:C1644)=0,P$3=TRUE))),
ROUNDDOWN((AB$1-AC$1)*MAX(INDEX(T$4:T1644,MATCH(LARGE(FILTER(Y$4:Y1644,Y$4"&amp;":Y1644&lt;1000000000),1),Y$4:Y1644)),INDEX(F$4:F1644,MATCH(LARGE(FILTER(K$4:K1644,K$4:K1644&lt;1000000000),1),K$4:K1644)))),AND(K802&lt;1000000000,COUNTA(C802:C1644)&gt;0,P$3=FALSE),
ROUNDDOWN(INDEX(Y$4:Y1644,MATCH(LARGE(FILTER(W$4:W1644,W$4:W1644&lt;=I802),1),W$4:W1644"&amp;"))+(I802-LARGE(FILTER(W$4:W1644,W$4:W1644&lt;=I802),1))*INDEX(T$4:T1644,MATCH(LARGE(FILTER(W$4:W1644,W$4:W1644&lt;=I802),1),W$4:W1644))-K802),1,
ROUNDDOWN(Y802-INDEX(K$4:K1644,MATCH(LARGE(FILTER(I$4:I1644,I$4:I1644&lt;=W802),1),I$4:I1644))-(W802-LARGE(FILTER(I$4:I"&amp;"1644,I$4:I1644&lt;=W802),1))*INDEX(F$4:F1644,MATCH(LARGE(FILTER(I$4:I1644,I$4:I1644&lt;=W802),1),I$4:I1644))))"),"")</f>
        <v/>
      </c>
      <c r="N802" s="60" t="str">
        <f t="shared" si="8"/>
        <v/>
      </c>
      <c r="O802" s="61" t="str">
        <f t="shared" si="9"/>
        <v/>
      </c>
      <c r="P802" s="56" t="str">
        <f t="shared" si="10"/>
        <v/>
      </c>
      <c r="Q802" s="105"/>
      <c r="R802" s="10"/>
      <c r="S802" s="59" t="str">
        <f t="array" ref="S802">IF(COUNTA(Q802:Q1644)=0,"",SUM((COUNTIF(Q$4:Q802,Upgrades!$B$3:$B$13)-COUNTIF(Q$4:Q802,"Sell_"&amp;Upgrades!$B$3:$B$13))*Upgrades!$D$3:$D$13))</f>
        <v/>
      </c>
      <c r="T802" s="66" t="str">
        <f>IFERROR(__xludf.DUMMYFUNCTION("IF(COUNTA(Q802:Q1644)=0,"""",IF(REGEXMATCH(INDEX(FILTER(Q$4:Q802,Q$4:Q802&lt;&gt;""""),ROWS(FILTER(Q$4:Q802,Q$4:Q802&lt;&gt;""""))),""^Sell_""),INDEX(FILTER(T$4:T801,Q$4:Q801&lt;&gt;""""),ROWS(FILTER(Q$4:Q801,Q$4:Q801&lt;&gt;""""))),$AD$5+S802))"),"")</f>
        <v/>
      </c>
      <c r="U802" s="10" t="str">
        <f>IFERROR(__xludf.DUMMYFUNCTION("IF(COUNTA(Q802:Q1644)=0,"""",IF(Q802="""",0,IF(REGEXMATCH(Q802,""^Sell_""),-ROUNDDOWN(ROUNDUP(INDEX(Upgrades!$C$3:$C$13,MATCH(SUBSTITUTE(Q802,""Sell_"",""""),Upgrades!$B$3:$B$13,0))*1.15^(COUNTIF(Q$4:Q801,SUBSTITUTE(Q802,""Sell_"",""""))-COUNTIF(Q$4:Q801,"&amp;"""Sell_""&amp;SUBSTITUTE(Q802,""Sell_"",""""))))/2),ROUNDUP(INDEX(Upgrades!$C$3:$C$13,MATCH(Q802,Upgrades!$B$3:$B$13,0))*1.15^(COUNTIF(Q$4:Q801,Q802)-COUNTIF(Q$4:Q801,""Sell_""&amp;Q802))))))"),"")</f>
        <v/>
      </c>
      <c r="V802" s="10" t="str">
        <f t="shared" si="11"/>
        <v/>
      </c>
      <c r="W802" s="68" t="str">
        <f t="shared" si="12"/>
        <v/>
      </c>
      <c r="X802" s="59" t="str">
        <f t="shared" si="13"/>
        <v/>
      </c>
      <c r="Y802" s="69" t="str">
        <f t="shared" si="14"/>
        <v/>
      </c>
      <c r="Z802" s="11"/>
      <c r="AG802" s="59"/>
    </row>
    <row r="803">
      <c r="A803" s="8"/>
      <c r="B803" s="56" t="str">
        <f t="shared" si="2"/>
        <v/>
      </c>
      <c r="C803" s="105"/>
      <c r="D803" s="10"/>
      <c r="E803" s="59" t="str">
        <f t="array" ref="E803">IF(COUNTA(C803:C1644)=0,"",SUM((COUNTIF(C$4:C803,Upgrades!$B$3:$B$13)-COUNTIF(C$4:C803,"Sell_"&amp;Upgrades!$B$3:$B$13))*Upgrades!$D$3:$D$13))</f>
        <v/>
      </c>
      <c r="F803" s="66" t="str">
        <f>IFERROR(__xludf.DUMMYFUNCTION("IF(COUNTA(C803:C1644)=0,"""",IF(REGEXMATCH(INDEX(FILTER(C$4:C803,C$4:C803&lt;&gt;""""),ROWS(FILTER(C$4:C803,C$4:C803&lt;&gt;""""))),""^Sell_""),INDEX(FILTER(F$4:F802,C$4:C802&lt;&gt;""""),ROWS(FILTER(C$4:C802,C$4:C802&lt;&gt;""""))),$AC$5+E803))"),"")</f>
        <v/>
      </c>
      <c r="G803" s="10" t="str">
        <f>IFERROR(__xludf.DUMMYFUNCTION("IF(COUNTA(C803:C1644)=0,"""",IF(C803="""",0,IF(REGEXMATCH(C803,""^Sell_""),-ROUNDDOWN(ROUNDUP(INDEX(Upgrades!$C$3:$C$13,MATCH(SUBSTITUTE(C803,""Sell_"",""""),Upgrades!$B$3:$B$13,0))*1.15^(COUNTIF(C$4:C802,SUBSTITUTE(C803,""Sell_"",""""))-COUNTIF(C$4:C802,"&amp;"""Sell_""&amp;SUBSTITUTE(C803,""Sell_"",""""))))/2),ROUNDUP(INDEX(Upgrades!$C$3:$C$13,MATCH(C803,Upgrades!$B$3:$B$13,0))*1.15^(COUNTIF(C$4:C802,C803)-COUNTIF(C$4:C802,""Sell_""&amp;C803))))))"),"")</f>
        <v/>
      </c>
      <c r="H803" s="10" t="str">
        <f t="shared" si="3"/>
        <v/>
      </c>
      <c r="I803" s="68" t="str">
        <f t="shared" si="4"/>
        <v/>
      </c>
      <c r="J803" s="59" t="str">
        <f t="shared" si="5"/>
        <v/>
      </c>
      <c r="K803" s="69" t="str">
        <f t="shared" si="6"/>
        <v/>
      </c>
      <c r="L803" s="60" t="str">
        <f t="shared" si="7"/>
        <v/>
      </c>
      <c r="M803" s="61" t="str">
        <f>IFERROR(__xludf.DUMMYFUNCTION("IFS(AND(COUNTA(C803:C1644)=0,COUNTA(Q803:Q1644)=0),"""",OR(AND(K803&gt;=1000000000,OR(Y803&gt;=1000000000,COUNTA(Q803:Q1644)=0)),OR(Y803&gt;=1000000000,AND(COUNTA(C803:C1644)=0,P$3=TRUE))),
ROUNDDOWN((AB$1-AC$1)*MAX(INDEX(T$4:T1644,MATCH(LARGE(FILTER(Y$4:Y1644,Y$4"&amp;":Y1644&lt;1000000000),1),Y$4:Y1644)),INDEX(F$4:F1644,MATCH(LARGE(FILTER(K$4:K1644,K$4:K1644&lt;1000000000),1),K$4:K1644)))),AND(K803&lt;1000000000,COUNTA(C803:C1644)&gt;0,P$3=FALSE),
ROUNDDOWN(INDEX(Y$4:Y1644,MATCH(LARGE(FILTER(W$4:W1644,W$4:W1644&lt;=I803),1),W$4:W1644"&amp;"))+(I803-LARGE(FILTER(W$4:W1644,W$4:W1644&lt;=I803),1))*INDEX(T$4:T1644,MATCH(LARGE(FILTER(W$4:W1644,W$4:W1644&lt;=I803),1),W$4:W1644))-K803),1,
ROUNDDOWN(Y803-INDEX(K$4:K1644,MATCH(LARGE(FILTER(I$4:I1644,I$4:I1644&lt;=W803),1),I$4:I1644))-(W803-LARGE(FILTER(I$4:I"&amp;"1644,I$4:I1644&lt;=W803),1))*INDEX(F$4:F1644,MATCH(LARGE(FILTER(I$4:I1644,I$4:I1644&lt;=W803),1),I$4:I1644))))"),"")</f>
        <v/>
      </c>
      <c r="N803" s="60" t="str">
        <f t="shared" si="8"/>
        <v/>
      </c>
      <c r="O803" s="61" t="str">
        <f t="shared" si="9"/>
        <v/>
      </c>
      <c r="P803" s="56" t="str">
        <f t="shared" si="10"/>
        <v/>
      </c>
      <c r="Q803" s="105"/>
      <c r="R803" s="10"/>
      <c r="S803" s="59" t="str">
        <f t="array" ref="S803">IF(COUNTA(Q803:Q1644)=0,"",SUM((COUNTIF(Q$4:Q803,Upgrades!$B$3:$B$13)-COUNTIF(Q$4:Q803,"Sell_"&amp;Upgrades!$B$3:$B$13))*Upgrades!$D$3:$D$13))</f>
        <v/>
      </c>
      <c r="T803" s="66" t="str">
        <f>IFERROR(__xludf.DUMMYFUNCTION("IF(COUNTA(Q803:Q1644)=0,"""",IF(REGEXMATCH(INDEX(FILTER(Q$4:Q803,Q$4:Q803&lt;&gt;""""),ROWS(FILTER(Q$4:Q803,Q$4:Q803&lt;&gt;""""))),""^Sell_""),INDEX(FILTER(T$4:T802,Q$4:Q802&lt;&gt;""""),ROWS(FILTER(Q$4:Q802,Q$4:Q802&lt;&gt;""""))),$AD$5+S803))"),"")</f>
        <v/>
      </c>
      <c r="U803" s="10" t="str">
        <f>IFERROR(__xludf.DUMMYFUNCTION("IF(COUNTA(Q803:Q1644)=0,"""",IF(Q803="""",0,IF(REGEXMATCH(Q803,""^Sell_""),-ROUNDDOWN(ROUNDUP(INDEX(Upgrades!$C$3:$C$13,MATCH(SUBSTITUTE(Q803,""Sell_"",""""),Upgrades!$B$3:$B$13,0))*1.15^(COUNTIF(Q$4:Q802,SUBSTITUTE(Q803,""Sell_"",""""))-COUNTIF(Q$4:Q802,"&amp;"""Sell_""&amp;SUBSTITUTE(Q803,""Sell_"",""""))))/2),ROUNDUP(INDEX(Upgrades!$C$3:$C$13,MATCH(Q803,Upgrades!$B$3:$B$13,0))*1.15^(COUNTIF(Q$4:Q802,Q803)-COUNTIF(Q$4:Q802,""Sell_""&amp;Q803))))))"),"")</f>
        <v/>
      </c>
      <c r="V803" s="10" t="str">
        <f t="shared" si="11"/>
        <v/>
      </c>
      <c r="W803" s="68" t="str">
        <f t="shared" si="12"/>
        <v/>
      </c>
      <c r="X803" s="59" t="str">
        <f t="shared" si="13"/>
        <v/>
      </c>
      <c r="Y803" s="69" t="str">
        <f t="shared" si="14"/>
        <v/>
      </c>
      <c r="Z803" s="11"/>
      <c r="AG803" s="59"/>
    </row>
    <row r="804">
      <c r="A804" s="8"/>
      <c r="B804" s="56" t="str">
        <f t="shared" si="2"/>
        <v/>
      </c>
      <c r="C804" s="105"/>
      <c r="D804" s="10"/>
      <c r="E804" s="59" t="str">
        <f t="array" ref="E804">IF(COUNTA(C804:C1644)=0,"",SUM((COUNTIF(C$4:C804,Upgrades!$B$3:$B$13)-COUNTIF(C$4:C804,"Sell_"&amp;Upgrades!$B$3:$B$13))*Upgrades!$D$3:$D$13))</f>
        <v/>
      </c>
      <c r="F804" s="66" t="str">
        <f>IFERROR(__xludf.DUMMYFUNCTION("IF(COUNTA(C804:C1644)=0,"""",IF(REGEXMATCH(INDEX(FILTER(C$4:C804,C$4:C804&lt;&gt;""""),ROWS(FILTER(C$4:C804,C$4:C804&lt;&gt;""""))),""^Sell_""),INDEX(FILTER(F$4:F803,C$4:C803&lt;&gt;""""),ROWS(FILTER(C$4:C803,C$4:C803&lt;&gt;""""))),$AC$5+E804))"),"")</f>
        <v/>
      </c>
      <c r="G804" s="10" t="str">
        <f>IFERROR(__xludf.DUMMYFUNCTION("IF(COUNTA(C804:C1644)=0,"""",IF(C804="""",0,IF(REGEXMATCH(C804,""^Sell_""),-ROUNDDOWN(ROUNDUP(INDEX(Upgrades!$C$3:$C$13,MATCH(SUBSTITUTE(C804,""Sell_"",""""),Upgrades!$B$3:$B$13,0))*1.15^(COUNTIF(C$4:C803,SUBSTITUTE(C804,""Sell_"",""""))-COUNTIF(C$4:C803,"&amp;"""Sell_""&amp;SUBSTITUTE(C804,""Sell_"",""""))))/2),ROUNDUP(INDEX(Upgrades!$C$3:$C$13,MATCH(C804,Upgrades!$B$3:$B$13,0))*1.15^(COUNTIF(C$4:C803,C804)-COUNTIF(C$4:C803,""Sell_""&amp;C804))))))"),"")</f>
        <v/>
      </c>
      <c r="H804" s="10" t="str">
        <f t="shared" si="3"/>
        <v/>
      </c>
      <c r="I804" s="68" t="str">
        <f t="shared" si="4"/>
        <v/>
      </c>
      <c r="J804" s="59" t="str">
        <f t="shared" si="5"/>
        <v/>
      </c>
      <c r="K804" s="69" t="str">
        <f t="shared" si="6"/>
        <v/>
      </c>
      <c r="L804" s="60" t="str">
        <f t="shared" si="7"/>
        <v/>
      </c>
      <c r="M804" s="61" t="str">
        <f>IFERROR(__xludf.DUMMYFUNCTION("IFS(AND(COUNTA(C804:C1644)=0,COUNTA(Q804:Q1644)=0),"""",OR(AND(K804&gt;=1000000000,OR(Y804&gt;=1000000000,COUNTA(Q804:Q1644)=0)),OR(Y804&gt;=1000000000,AND(COUNTA(C804:C1644)=0,P$3=TRUE))),
ROUNDDOWN((AB$1-AC$1)*MAX(INDEX(T$4:T1644,MATCH(LARGE(FILTER(Y$4:Y1644,Y$4"&amp;":Y1644&lt;1000000000),1),Y$4:Y1644)),INDEX(F$4:F1644,MATCH(LARGE(FILTER(K$4:K1644,K$4:K1644&lt;1000000000),1),K$4:K1644)))),AND(K804&lt;1000000000,COUNTA(C804:C1644)&gt;0,P$3=FALSE),
ROUNDDOWN(INDEX(Y$4:Y1644,MATCH(LARGE(FILTER(W$4:W1644,W$4:W1644&lt;=I804),1),W$4:W1644"&amp;"))+(I804-LARGE(FILTER(W$4:W1644,W$4:W1644&lt;=I804),1))*INDEX(T$4:T1644,MATCH(LARGE(FILTER(W$4:W1644,W$4:W1644&lt;=I804),1),W$4:W1644))-K804),1,
ROUNDDOWN(Y804-INDEX(K$4:K1644,MATCH(LARGE(FILTER(I$4:I1644,I$4:I1644&lt;=W804),1),I$4:I1644))-(W804-LARGE(FILTER(I$4:I"&amp;"1644,I$4:I1644&lt;=W804),1))*INDEX(F$4:F1644,MATCH(LARGE(FILTER(I$4:I1644,I$4:I1644&lt;=W804),1),I$4:I1644))))"),"")</f>
        <v/>
      </c>
      <c r="N804" s="60" t="str">
        <f t="shared" si="8"/>
        <v/>
      </c>
      <c r="O804" s="61" t="str">
        <f t="shared" si="9"/>
        <v/>
      </c>
      <c r="P804" s="56" t="str">
        <f t="shared" si="10"/>
        <v/>
      </c>
      <c r="Q804" s="105"/>
      <c r="R804" s="10"/>
      <c r="S804" s="59" t="str">
        <f t="array" ref="S804">IF(COUNTA(Q804:Q1644)=0,"",SUM((COUNTIF(Q$4:Q804,Upgrades!$B$3:$B$13)-COUNTIF(Q$4:Q804,"Sell_"&amp;Upgrades!$B$3:$B$13))*Upgrades!$D$3:$D$13))</f>
        <v/>
      </c>
      <c r="T804" s="66" t="str">
        <f>IFERROR(__xludf.DUMMYFUNCTION("IF(COUNTA(Q804:Q1644)=0,"""",IF(REGEXMATCH(INDEX(FILTER(Q$4:Q804,Q$4:Q804&lt;&gt;""""),ROWS(FILTER(Q$4:Q804,Q$4:Q804&lt;&gt;""""))),""^Sell_""),INDEX(FILTER(T$4:T803,Q$4:Q803&lt;&gt;""""),ROWS(FILTER(Q$4:Q803,Q$4:Q803&lt;&gt;""""))),$AD$5+S804))"),"")</f>
        <v/>
      </c>
      <c r="U804" s="10" t="str">
        <f>IFERROR(__xludf.DUMMYFUNCTION("IF(COUNTA(Q804:Q1644)=0,"""",IF(Q804="""",0,IF(REGEXMATCH(Q804,""^Sell_""),-ROUNDDOWN(ROUNDUP(INDEX(Upgrades!$C$3:$C$13,MATCH(SUBSTITUTE(Q804,""Sell_"",""""),Upgrades!$B$3:$B$13,0))*1.15^(COUNTIF(Q$4:Q803,SUBSTITUTE(Q804,""Sell_"",""""))-COUNTIF(Q$4:Q803,"&amp;"""Sell_""&amp;SUBSTITUTE(Q804,""Sell_"",""""))))/2),ROUNDUP(INDEX(Upgrades!$C$3:$C$13,MATCH(Q804,Upgrades!$B$3:$B$13,0))*1.15^(COUNTIF(Q$4:Q803,Q804)-COUNTIF(Q$4:Q803,""Sell_""&amp;Q804))))))"),"")</f>
        <v/>
      </c>
      <c r="V804" s="10" t="str">
        <f t="shared" si="11"/>
        <v/>
      </c>
      <c r="W804" s="68" t="str">
        <f t="shared" si="12"/>
        <v/>
      </c>
      <c r="X804" s="59" t="str">
        <f t="shared" si="13"/>
        <v/>
      </c>
      <c r="Y804" s="69" t="str">
        <f t="shared" si="14"/>
        <v/>
      </c>
      <c r="Z804" s="11"/>
      <c r="AG804" s="59"/>
    </row>
    <row r="805">
      <c r="A805" s="8"/>
      <c r="B805" s="56" t="str">
        <f t="shared" si="2"/>
        <v/>
      </c>
      <c r="C805" s="105"/>
      <c r="D805" s="10"/>
      <c r="E805" s="59" t="str">
        <f t="array" ref="E805">IF(COUNTA(C805:C1644)=0,"",SUM((COUNTIF(C$4:C805,Upgrades!$B$3:$B$13)-COUNTIF(C$4:C805,"Sell_"&amp;Upgrades!$B$3:$B$13))*Upgrades!$D$3:$D$13))</f>
        <v/>
      </c>
      <c r="F805" s="66" t="str">
        <f>IFERROR(__xludf.DUMMYFUNCTION("IF(COUNTA(C805:C1644)=0,"""",IF(REGEXMATCH(INDEX(FILTER(C$4:C805,C$4:C805&lt;&gt;""""),ROWS(FILTER(C$4:C805,C$4:C805&lt;&gt;""""))),""^Sell_""),INDEX(FILTER(F$4:F804,C$4:C804&lt;&gt;""""),ROWS(FILTER(C$4:C804,C$4:C804&lt;&gt;""""))),$AC$5+E805))"),"")</f>
        <v/>
      </c>
      <c r="G805" s="10" t="str">
        <f>IFERROR(__xludf.DUMMYFUNCTION("IF(COUNTA(C805:C1644)=0,"""",IF(C805="""",0,IF(REGEXMATCH(C805,""^Sell_""),-ROUNDDOWN(ROUNDUP(INDEX(Upgrades!$C$3:$C$13,MATCH(SUBSTITUTE(C805,""Sell_"",""""),Upgrades!$B$3:$B$13,0))*1.15^(COUNTIF(C$4:C804,SUBSTITUTE(C805,""Sell_"",""""))-COUNTIF(C$4:C804,"&amp;"""Sell_""&amp;SUBSTITUTE(C805,""Sell_"",""""))))/2),ROUNDUP(INDEX(Upgrades!$C$3:$C$13,MATCH(C805,Upgrades!$B$3:$B$13,0))*1.15^(COUNTIF(C$4:C804,C805)-COUNTIF(C$4:C804,""Sell_""&amp;C805))))))"),"")</f>
        <v/>
      </c>
      <c r="H805" s="10" t="str">
        <f t="shared" si="3"/>
        <v/>
      </c>
      <c r="I805" s="68" t="str">
        <f t="shared" si="4"/>
        <v/>
      </c>
      <c r="J805" s="59" t="str">
        <f t="shared" si="5"/>
        <v/>
      </c>
      <c r="K805" s="69" t="str">
        <f t="shared" si="6"/>
        <v/>
      </c>
      <c r="L805" s="60" t="str">
        <f t="shared" si="7"/>
        <v/>
      </c>
      <c r="M805" s="61" t="str">
        <f>IFERROR(__xludf.DUMMYFUNCTION("IFS(AND(COUNTA(C805:C1644)=0,COUNTA(Q805:Q1644)=0),"""",OR(AND(K805&gt;=1000000000,OR(Y805&gt;=1000000000,COUNTA(Q805:Q1644)=0)),OR(Y805&gt;=1000000000,AND(COUNTA(C805:C1644)=0,P$3=TRUE))),
ROUNDDOWN((AB$1-AC$1)*MAX(INDEX(T$4:T1644,MATCH(LARGE(FILTER(Y$4:Y1644,Y$4"&amp;":Y1644&lt;1000000000),1),Y$4:Y1644)),INDEX(F$4:F1644,MATCH(LARGE(FILTER(K$4:K1644,K$4:K1644&lt;1000000000),1),K$4:K1644)))),AND(K805&lt;1000000000,COUNTA(C805:C1644)&gt;0,P$3=FALSE),
ROUNDDOWN(INDEX(Y$4:Y1644,MATCH(LARGE(FILTER(W$4:W1644,W$4:W1644&lt;=I805),1),W$4:W1644"&amp;"))+(I805-LARGE(FILTER(W$4:W1644,W$4:W1644&lt;=I805),1))*INDEX(T$4:T1644,MATCH(LARGE(FILTER(W$4:W1644,W$4:W1644&lt;=I805),1),W$4:W1644))-K805),1,
ROUNDDOWN(Y805-INDEX(K$4:K1644,MATCH(LARGE(FILTER(I$4:I1644,I$4:I1644&lt;=W805),1),I$4:I1644))-(W805-LARGE(FILTER(I$4:I"&amp;"1644,I$4:I1644&lt;=W805),1))*INDEX(F$4:F1644,MATCH(LARGE(FILTER(I$4:I1644,I$4:I1644&lt;=W805),1),I$4:I1644))))"),"")</f>
        <v/>
      </c>
      <c r="N805" s="60" t="str">
        <f t="shared" si="8"/>
        <v/>
      </c>
      <c r="O805" s="61" t="str">
        <f t="shared" si="9"/>
        <v/>
      </c>
      <c r="P805" s="56" t="str">
        <f t="shared" si="10"/>
        <v/>
      </c>
      <c r="Q805" s="105"/>
      <c r="R805" s="10"/>
      <c r="S805" s="59" t="str">
        <f t="array" ref="S805">IF(COUNTA(Q805:Q1644)=0,"",SUM((COUNTIF(Q$4:Q805,Upgrades!$B$3:$B$13)-COUNTIF(Q$4:Q805,"Sell_"&amp;Upgrades!$B$3:$B$13))*Upgrades!$D$3:$D$13))</f>
        <v/>
      </c>
      <c r="T805" s="66" t="str">
        <f>IFERROR(__xludf.DUMMYFUNCTION("IF(COUNTA(Q805:Q1644)=0,"""",IF(REGEXMATCH(INDEX(FILTER(Q$4:Q805,Q$4:Q805&lt;&gt;""""),ROWS(FILTER(Q$4:Q805,Q$4:Q805&lt;&gt;""""))),""^Sell_""),INDEX(FILTER(T$4:T804,Q$4:Q804&lt;&gt;""""),ROWS(FILTER(Q$4:Q804,Q$4:Q804&lt;&gt;""""))),$AD$5+S805))"),"")</f>
        <v/>
      </c>
      <c r="U805" s="10" t="str">
        <f>IFERROR(__xludf.DUMMYFUNCTION("IF(COUNTA(Q805:Q1644)=0,"""",IF(Q805="""",0,IF(REGEXMATCH(Q805,""^Sell_""),-ROUNDDOWN(ROUNDUP(INDEX(Upgrades!$C$3:$C$13,MATCH(SUBSTITUTE(Q805,""Sell_"",""""),Upgrades!$B$3:$B$13,0))*1.15^(COUNTIF(Q$4:Q804,SUBSTITUTE(Q805,""Sell_"",""""))-COUNTIF(Q$4:Q804,"&amp;"""Sell_""&amp;SUBSTITUTE(Q805,""Sell_"",""""))))/2),ROUNDUP(INDEX(Upgrades!$C$3:$C$13,MATCH(Q805,Upgrades!$B$3:$B$13,0))*1.15^(COUNTIF(Q$4:Q804,Q805)-COUNTIF(Q$4:Q804,""Sell_""&amp;Q805))))))"),"")</f>
        <v/>
      </c>
      <c r="V805" s="10" t="str">
        <f t="shared" si="11"/>
        <v/>
      </c>
      <c r="W805" s="68" t="str">
        <f t="shared" si="12"/>
        <v/>
      </c>
      <c r="X805" s="59" t="str">
        <f t="shared" si="13"/>
        <v/>
      </c>
      <c r="Y805" s="69" t="str">
        <f t="shared" si="14"/>
        <v/>
      </c>
      <c r="Z805" s="11"/>
      <c r="AG805" s="59"/>
    </row>
    <row r="806">
      <c r="A806" s="8"/>
      <c r="B806" s="56" t="str">
        <f t="shared" si="2"/>
        <v/>
      </c>
      <c r="C806" s="105"/>
      <c r="D806" s="10"/>
      <c r="E806" s="59" t="str">
        <f t="array" ref="E806">IF(COUNTA(C806:C1644)=0,"",SUM((COUNTIF(C$4:C806,Upgrades!$B$3:$B$13)-COUNTIF(C$4:C806,"Sell_"&amp;Upgrades!$B$3:$B$13))*Upgrades!$D$3:$D$13))</f>
        <v/>
      </c>
      <c r="F806" s="66" t="str">
        <f>IFERROR(__xludf.DUMMYFUNCTION("IF(COUNTA(C806:C1644)=0,"""",IF(REGEXMATCH(INDEX(FILTER(C$4:C806,C$4:C806&lt;&gt;""""),ROWS(FILTER(C$4:C806,C$4:C806&lt;&gt;""""))),""^Sell_""),INDEX(FILTER(F$4:F805,C$4:C805&lt;&gt;""""),ROWS(FILTER(C$4:C805,C$4:C805&lt;&gt;""""))),$AC$5+E806))"),"")</f>
        <v/>
      </c>
      <c r="G806" s="10" t="str">
        <f>IFERROR(__xludf.DUMMYFUNCTION("IF(COUNTA(C806:C1644)=0,"""",IF(C806="""",0,IF(REGEXMATCH(C806,""^Sell_""),-ROUNDDOWN(ROUNDUP(INDEX(Upgrades!$C$3:$C$13,MATCH(SUBSTITUTE(C806,""Sell_"",""""),Upgrades!$B$3:$B$13,0))*1.15^(COUNTIF(C$4:C805,SUBSTITUTE(C806,""Sell_"",""""))-COUNTIF(C$4:C805,"&amp;"""Sell_""&amp;SUBSTITUTE(C806,""Sell_"",""""))))/2),ROUNDUP(INDEX(Upgrades!$C$3:$C$13,MATCH(C806,Upgrades!$B$3:$B$13,0))*1.15^(COUNTIF(C$4:C805,C806)-COUNTIF(C$4:C805,""Sell_""&amp;C806))))))"),"")</f>
        <v/>
      </c>
      <c r="H806" s="10" t="str">
        <f t="shared" si="3"/>
        <v/>
      </c>
      <c r="I806" s="68" t="str">
        <f t="shared" si="4"/>
        <v/>
      </c>
      <c r="J806" s="59" t="str">
        <f t="shared" si="5"/>
        <v/>
      </c>
      <c r="K806" s="69" t="str">
        <f t="shared" si="6"/>
        <v/>
      </c>
      <c r="L806" s="60" t="str">
        <f t="shared" si="7"/>
        <v/>
      </c>
      <c r="M806" s="61" t="str">
        <f>IFERROR(__xludf.DUMMYFUNCTION("IFS(AND(COUNTA(C806:C1644)=0,COUNTA(Q806:Q1644)=0),"""",OR(AND(K806&gt;=1000000000,OR(Y806&gt;=1000000000,COUNTA(Q806:Q1644)=0)),OR(Y806&gt;=1000000000,AND(COUNTA(C806:C1644)=0,P$3=TRUE))),
ROUNDDOWN((AB$1-AC$1)*MAX(INDEX(T$4:T1644,MATCH(LARGE(FILTER(Y$4:Y1644,Y$4"&amp;":Y1644&lt;1000000000),1),Y$4:Y1644)),INDEX(F$4:F1644,MATCH(LARGE(FILTER(K$4:K1644,K$4:K1644&lt;1000000000),1),K$4:K1644)))),AND(K806&lt;1000000000,COUNTA(C806:C1644)&gt;0,P$3=FALSE),
ROUNDDOWN(INDEX(Y$4:Y1644,MATCH(LARGE(FILTER(W$4:W1644,W$4:W1644&lt;=I806),1),W$4:W1644"&amp;"))+(I806-LARGE(FILTER(W$4:W1644,W$4:W1644&lt;=I806),1))*INDEX(T$4:T1644,MATCH(LARGE(FILTER(W$4:W1644,W$4:W1644&lt;=I806),1),W$4:W1644))-K806),1,
ROUNDDOWN(Y806-INDEX(K$4:K1644,MATCH(LARGE(FILTER(I$4:I1644,I$4:I1644&lt;=W806),1),I$4:I1644))-(W806-LARGE(FILTER(I$4:I"&amp;"1644,I$4:I1644&lt;=W806),1))*INDEX(F$4:F1644,MATCH(LARGE(FILTER(I$4:I1644,I$4:I1644&lt;=W806),1),I$4:I1644))))"),"")</f>
        <v/>
      </c>
      <c r="N806" s="60" t="str">
        <f t="shared" si="8"/>
        <v/>
      </c>
      <c r="O806" s="61" t="str">
        <f t="shared" si="9"/>
        <v/>
      </c>
      <c r="P806" s="56" t="str">
        <f t="shared" si="10"/>
        <v/>
      </c>
      <c r="Q806" s="105"/>
      <c r="R806" s="10"/>
      <c r="S806" s="59" t="str">
        <f t="array" ref="S806">IF(COUNTA(Q806:Q1644)=0,"",SUM((COUNTIF(Q$4:Q806,Upgrades!$B$3:$B$13)-COUNTIF(Q$4:Q806,"Sell_"&amp;Upgrades!$B$3:$B$13))*Upgrades!$D$3:$D$13))</f>
        <v/>
      </c>
      <c r="T806" s="66" t="str">
        <f>IFERROR(__xludf.DUMMYFUNCTION("IF(COUNTA(Q806:Q1644)=0,"""",IF(REGEXMATCH(INDEX(FILTER(Q$4:Q806,Q$4:Q806&lt;&gt;""""),ROWS(FILTER(Q$4:Q806,Q$4:Q806&lt;&gt;""""))),""^Sell_""),INDEX(FILTER(T$4:T805,Q$4:Q805&lt;&gt;""""),ROWS(FILTER(Q$4:Q805,Q$4:Q805&lt;&gt;""""))),$AD$5+S806))"),"")</f>
        <v/>
      </c>
      <c r="U806" s="10" t="str">
        <f>IFERROR(__xludf.DUMMYFUNCTION("IF(COUNTA(Q806:Q1644)=0,"""",IF(Q806="""",0,IF(REGEXMATCH(Q806,""^Sell_""),-ROUNDDOWN(ROUNDUP(INDEX(Upgrades!$C$3:$C$13,MATCH(SUBSTITUTE(Q806,""Sell_"",""""),Upgrades!$B$3:$B$13,0))*1.15^(COUNTIF(Q$4:Q805,SUBSTITUTE(Q806,""Sell_"",""""))-COUNTIF(Q$4:Q805,"&amp;"""Sell_""&amp;SUBSTITUTE(Q806,""Sell_"",""""))))/2),ROUNDUP(INDEX(Upgrades!$C$3:$C$13,MATCH(Q806,Upgrades!$B$3:$B$13,0))*1.15^(COUNTIF(Q$4:Q805,Q806)-COUNTIF(Q$4:Q805,""Sell_""&amp;Q806))))))"),"")</f>
        <v/>
      </c>
      <c r="V806" s="10" t="str">
        <f t="shared" si="11"/>
        <v/>
      </c>
      <c r="W806" s="68" t="str">
        <f t="shared" si="12"/>
        <v/>
      </c>
      <c r="X806" s="59" t="str">
        <f t="shared" si="13"/>
        <v/>
      </c>
      <c r="Y806" s="69" t="str">
        <f t="shared" si="14"/>
        <v/>
      </c>
      <c r="Z806" s="11"/>
      <c r="AG806" s="59"/>
    </row>
    <row r="807">
      <c r="A807" s="8"/>
      <c r="B807" s="56" t="str">
        <f t="shared" si="2"/>
        <v/>
      </c>
      <c r="C807" s="105"/>
      <c r="D807" s="10"/>
      <c r="E807" s="59" t="str">
        <f t="array" ref="E807">IF(COUNTA(C807:C1644)=0,"",SUM((COUNTIF(C$4:C807,Upgrades!$B$3:$B$13)-COUNTIF(C$4:C807,"Sell_"&amp;Upgrades!$B$3:$B$13))*Upgrades!$D$3:$D$13))</f>
        <v/>
      </c>
      <c r="F807" s="66" t="str">
        <f>IFERROR(__xludf.DUMMYFUNCTION("IF(COUNTA(C807:C1644)=0,"""",IF(REGEXMATCH(INDEX(FILTER(C$4:C807,C$4:C807&lt;&gt;""""),ROWS(FILTER(C$4:C807,C$4:C807&lt;&gt;""""))),""^Sell_""),INDEX(FILTER(F$4:F806,C$4:C806&lt;&gt;""""),ROWS(FILTER(C$4:C806,C$4:C806&lt;&gt;""""))),$AC$5+E807))"),"")</f>
        <v/>
      </c>
      <c r="G807" s="10" t="str">
        <f>IFERROR(__xludf.DUMMYFUNCTION("IF(COUNTA(C807:C1644)=0,"""",IF(C807="""",0,IF(REGEXMATCH(C807,""^Sell_""),-ROUNDDOWN(ROUNDUP(INDEX(Upgrades!$C$3:$C$13,MATCH(SUBSTITUTE(C807,""Sell_"",""""),Upgrades!$B$3:$B$13,0))*1.15^(COUNTIF(C$4:C806,SUBSTITUTE(C807,""Sell_"",""""))-COUNTIF(C$4:C806,"&amp;"""Sell_""&amp;SUBSTITUTE(C807,""Sell_"",""""))))/2),ROUNDUP(INDEX(Upgrades!$C$3:$C$13,MATCH(C807,Upgrades!$B$3:$B$13,0))*1.15^(COUNTIF(C$4:C806,C807)-COUNTIF(C$4:C806,""Sell_""&amp;C807))))))"),"")</f>
        <v/>
      </c>
      <c r="H807" s="10" t="str">
        <f t="shared" si="3"/>
        <v/>
      </c>
      <c r="I807" s="68" t="str">
        <f t="shared" si="4"/>
        <v/>
      </c>
      <c r="J807" s="59" t="str">
        <f t="shared" si="5"/>
        <v/>
      </c>
      <c r="K807" s="69" t="str">
        <f t="shared" si="6"/>
        <v/>
      </c>
      <c r="L807" s="60" t="str">
        <f t="shared" si="7"/>
        <v/>
      </c>
      <c r="M807" s="61" t="str">
        <f>IFERROR(__xludf.DUMMYFUNCTION("IFS(AND(COUNTA(C807:C1644)=0,COUNTA(Q807:Q1644)=0),"""",OR(AND(K807&gt;=1000000000,OR(Y807&gt;=1000000000,COUNTA(Q807:Q1644)=0)),OR(Y807&gt;=1000000000,AND(COUNTA(C807:C1644)=0,P$3=TRUE))),
ROUNDDOWN((AB$1-AC$1)*MAX(INDEX(T$4:T1644,MATCH(LARGE(FILTER(Y$4:Y1644,Y$4"&amp;":Y1644&lt;1000000000),1),Y$4:Y1644)),INDEX(F$4:F1644,MATCH(LARGE(FILTER(K$4:K1644,K$4:K1644&lt;1000000000),1),K$4:K1644)))),AND(K807&lt;1000000000,COUNTA(C807:C1644)&gt;0,P$3=FALSE),
ROUNDDOWN(INDEX(Y$4:Y1644,MATCH(LARGE(FILTER(W$4:W1644,W$4:W1644&lt;=I807),1),W$4:W1644"&amp;"))+(I807-LARGE(FILTER(W$4:W1644,W$4:W1644&lt;=I807),1))*INDEX(T$4:T1644,MATCH(LARGE(FILTER(W$4:W1644,W$4:W1644&lt;=I807),1),W$4:W1644))-K807),1,
ROUNDDOWN(Y807-INDEX(K$4:K1644,MATCH(LARGE(FILTER(I$4:I1644,I$4:I1644&lt;=W807),1),I$4:I1644))-(W807-LARGE(FILTER(I$4:I"&amp;"1644,I$4:I1644&lt;=W807),1))*INDEX(F$4:F1644,MATCH(LARGE(FILTER(I$4:I1644,I$4:I1644&lt;=W807),1),I$4:I1644))))"),"")</f>
        <v/>
      </c>
      <c r="N807" s="60" t="str">
        <f t="shared" si="8"/>
        <v/>
      </c>
      <c r="O807" s="61" t="str">
        <f t="shared" si="9"/>
        <v/>
      </c>
      <c r="P807" s="56" t="str">
        <f t="shared" si="10"/>
        <v/>
      </c>
      <c r="Q807" s="105"/>
      <c r="R807" s="10"/>
      <c r="S807" s="59" t="str">
        <f t="array" ref="S807">IF(COUNTA(Q807:Q1644)=0,"",SUM((COUNTIF(Q$4:Q807,Upgrades!$B$3:$B$13)-COUNTIF(Q$4:Q807,"Sell_"&amp;Upgrades!$B$3:$B$13))*Upgrades!$D$3:$D$13))</f>
        <v/>
      </c>
      <c r="T807" s="66" t="str">
        <f>IFERROR(__xludf.DUMMYFUNCTION("IF(COUNTA(Q807:Q1644)=0,"""",IF(REGEXMATCH(INDEX(FILTER(Q$4:Q807,Q$4:Q807&lt;&gt;""""),ROWS(FILTER(Q$4:Q807,Q$4:Q807&lt;&gt;""""))),""^Sell_""),INDEX(FILTER(T$4:T806,Q$4:Q806&lt;&gt;""""),ROWS(FILTER(Q$4:Q806,Q$4:Q806&lt;&gt;""""))),$AD$5+S807))"),"")</f>
        <v/>
      </c>
      <c r="U807" s="10" t="str">
        <f>IFERROR(__xludf.DUMMYFUNCTION("IF(COUNTA(Q807:Q1644)=0,"""",IF(Q807="""",0,IF(REGEXMATCH(Q807,""^Sell_""),-ROUNDDOWN(ROUNDUP(INDEX(Upgrades!$C$3:$C$13,MATCH(SUBSTITUTE(Q807,""Sell_"",""""),Upgrades!$B$3:$B$13,0))*1.15^(COUNTIF(Q$4:Q806,SUBSTITUTE(Q807,""Sell_"",""""))-COUNTIF(Q$4:Q806,"&amp;"""Sell_""&amp;SUBSTITUTE(Q807,""Sell_"",""""))))/2),ROUNDUP(INDEX(Upgrades!$C$3:$C$13,MATCH(Q807,Upgrades!$B$3:$B$13,0))*1.15^(COUNTIF(Q$4:Q806,Q807)-COUNTIF(Q$4:Q806,""Sell_""&amp;Q807))))))"),"")</f>
        <v/>
      </c>
      <c r="V807" s="10" t="str">
        <f t="shared" si="11"/>
        <v/>
      </c>
      <c r="W807" s="68" t="str">
        <f t="shared" si="12"/>
        <v/>
      </c>
      <c r="X807" s="59" t="str">
        <f t="shared" si="13"/>
        <v/>
      </c>
      <c r="Y807" s="69" t="str">
        <f t="shared" si="14"/>
        <v/>
      </c>
      <c r="Z807" s="11"/>
      <c r="AG807" s="59"/>
    </row>
    <row r="808">
      <c r="A808" s="8"/>
      <c r="B808" s="56" t="str">
        <f t="shared" si="2"/>
        <v/>
      </c>
      <c r="C808" s="105"/>
      <c r="D808" s="10"/>
      <c r="E808" s="59" t="str">
        <f t="array" ref="E808">IF(COUNTA(C808:C1644)=0,"",SUM((COUNTIF(C$4:C808,Upgrades!$B$3:$B$13)-COUNTIF(C$4:C808,"Sell_"&amp;Upgrades!$B$3:$B$13))*Upgrades!$D$3:$D$13))</f>
        <v/>
      </c>
      <c r="F808" s="66" t="str">
        <f>IFERROR(__xludf.DUMMYFUNCTION("IF(COUNTA(C808:C1644)=0,"""",IF(REGEXMATCH(INDEX(FILTER(C$4:C808,C$4:C808&lt;&gt;""""),ROWS(FILTER(C$4:C808,C$4:C808&lt;&gt;""""))),""^Sell_""),INDEX(FILTER(F$4:F807,C$4:C807&lt;&gt;""""),ROWS(FILTER(C$4:C807,C$4:C807&lt;&gt;""""))),$AC$5+E808))"),"")</f>
        <v/>
      </c>
      <c r="G808" s="10" t="str">
        <f>IFERROR(__xludf.DUMMYFUNCTION("IF(COUNTA(C808:C1644)=0,"""",IF(C808="""",0,IF(REGEXMATCH(C808,""^Sell_""),-ROUNDDOWN(ROUNDUP(INDEX(Upgrades!$C$3:$C$13,MATCH(SUBSTITUTE(C808,""Sell_"",""""),Upgrades!$B$3:$B$13,0))*1.15^(COUNTIF(C$4:C807,SUBSTITUTE(C808,""Sell_"",""""))-COUNTIF(C$4:C807,"&amp;"""Sell_""&amp;SUBSTITUTE(C808,""Sell_"",""""))))/2),ROUNDUP(INDEX(Upgrades!$C$3:$C$13,MATCH(C808,Upgrades!$B$3:$B$13,0))*1.15^(COUNTIF(C$4:C807,C808)-COUNTIF(C$4:C807,""Sell_""&amp;C808))))))"),"")</f>
        <v/>
      </c>
      <c r="H808" s="10" t="str">
        <f t="shared" si="3"/>
        <v/>
      </c>
      <c r="I808" s="68" t="str">
        <f t="shared" si="4"/>
        <v/>
      </c>
      <c r="J808" s="59" t="str">
        <f t="shared" si="5"/>
        <v/>
      </c>
      <c r="K808" s="69" t="str">
        <f t="shared" si="6"/>
        <v/>
      </c>
      <c r="L808" s="60" t="str">
        <f t="shared" si="7"/>
        <v/>
      </c>
      <c r="M808" s="61" t="str">
        <f>IFERROR(__xludf.DUMMYFUNCTION("IFS(AND(COUNTA(C808:C1644)=0,COUNTA(Q808:Q1644)=0),"""",OR(AND(K808&gt;=1000000000,OR(Y808&gt;=1000000000,COUNTA(Q808:Q1644)=0)),OR(Y808&gt;=1000000000,AND(COUNTA(C808:C1644)=0,P$3=TRUE))),
ROUNDDOWN((AB$1-AC$1)*MAX(INDEX(T$4:T1644,MATCH(LARGE(FILTER(Y$4:Y1644,Y$4"&amp;":Y1644&lt;1000000000),1),Y$4:Y1644)),INDEX(F$4:F1644,MATCH(LARGE(FILTER(K$4:K1644,K$4:K1644&lt;1000000000),1),K$4:K1644)))),AND(K808&lt;1000000000,COUNTA(C808:C1644)&gt;0,P$3=FALSE),
ROUNDDOWN(INDEX(Y$4:Y1644,MATCH(LARGE(FILTER(W$4:W1644,W$4:W1644&lt;=I808),1),W$4:W1644"&amp;"))+(I808-LARGE(FILTER(W$4:W1644,W$4:W1644&lt;=I808),1))*INDEX(T$4:T1644,MATCH(LARGE(FILTER(W$4:W1644,W$4:W1644&lt;=I808),1),W$4:W1644))-K808),1,
ROUNDDOWN(Y808-INDEX(K$4:K1644,MATCH(LARGE(FILTER(I$4:I1644,I$4:I1644&lt;=W808),1),I$4:I1644))-(W808-LARGE(FILTER(I$4:I"&amp;"1644,I$4:I1644&lt;=W808),1))*INDEX(F$4:F1644,MATCH(LARGE(FILTER(I$4:I1644,I$4:I1644&lt;=W808),1),I$4:I1644))))"),"")</f>
        <v/>
      </c>
      <c r="N808" s="60" t="str">
        <f t="shared" si="8"/>
        <v/>
      </c>
      <c r="O808" s="61" t="str">
        <f t="shared" si="9"/>
        <v/>
      </c>
      <c r="P808" s="56" t="str">
        <f t="shared" si="10"/>
        <v/>
      </c>
      <c r="Q808" s="105"/>
      <c r="R808" s="10"/>
      <c r="S808" s="59" t="str">
        <f t="array" ref="S808">IF(COUNTA(Q808:Q1644)=0,"",SUM((COUNTIF(Q$4:Q808,Upgrades!$B$3:$B$13)-COUNTIF(Q$4:Q808,"Sell_"&amp;Upgrades!$B$3:$B$13))*Upgrades!$D$3:$D$13))</f>
        <v/>
      </c>
      <c r="T808" s="66" t="str">
        <f>IFERROR(__xludf.DUMMYFUNCTION("IF(COUNTA(Q808:Q1644)=0,"""",IF(REGEXMATCH(INDEX(FILTER(Q$4:Q808,Q$4:Q808&lt;&gt;""""),ROWS(FILTER(Q$4:Q808,Q$4:Q808&lt;&gt;""""))),""^Sell_""),INDEX(FILTER(T$4:T807,Q$4:Q807&lt;&gt;""""),ROWS(FILTER(Q$4:Q807,Q$4:Q807&lt;&gt;""""))),$AD$5+S808))"),"")</f>
        <v/>
      </c>
      <c r="U808" s="10" t="str">
        <f>IFERROR(__xludf.DUMMYFUNCTION("IF(COUNTA(Q808:Q1644)=0,"""",IF(Q808="""",0,IF(REGEXMATCH(Q808,""^Sell_""),-ROUNDDOWN(ROUNDUP(INDEX(Upgrades!$C$3:$C$13,MATCH(SUBSTITUTE(Q808,""Sell_"",""""),Upgrades!$B$3:$B$13,0))*1.15^(COUNTIF(Q$4:Q807,SUBSTITUTE(Q808,""Sell_"",""""))-COUNTIF(Q$4:Q807,"&amp;"""Sell_""&amp;SUBSTITUTE(Q808,""Sell_"",""""))))/2),ROUNDUP(INDEX(Upgrades!$C$3:$C$13,MATCH(Q808,Upgrades!$B$3:$B$13,0))*1.15^(COUNTIF(Q$4:Q807,Q808)-COUNTIF(Q$4:Q807,""Sell_""&amp;Q808))))))"),"")</f>
        <v/>
      </c>
      <c r="V808" s="10" t="str">
        <f t="shared" si="11"/>
        <v/>
      </c>
      <c r="W808" s="68" t="str">
        <f t="shared" si="12"/>
        <v/>
      </c>
      <c r="X808" s="59" t="str">
        <f t="shared" si="13"/>
        <v/>
      </c>
      <c r="Y808" s="69" t="str">
        <f t="shared" si="14"/>
        <v/>
      </c>
      <c r="Z808" s="11"/>
      <c r="AG808" s="59"/>
    </row>
    <row r="809">
      <c r="A809" s="8"/>
      <c r="B809" s="56" t="str">
        <f t="shared" si="2"/>
        <v/>
      </c>
      <c r="C809" s="105"/>
      <c r="D809" s="10"/>
      <c r="E809" s="59" t="str">
        <f t="array" ref="E809">IF(COUNTA(C809:C1644)=0,"",SUM((COUNTIF(C$4:C809,Upgrades!$B$3:$B$13)-COUNTIF(C$4:C809,"Sell_"&amp;Upgrades!$B$3:$B$13))*Upgrades!$D$3:$D$13))</f>
        <v/>
      </c>
      <c r="F809" s="66" t="str">
        <f>IFERROR(__xludf.DUMMYFUNCTION("IF(COUNTA(C809:C1644)=0,"""",IF(REGEXMATCH(INDEX(FILTER(C$4:C809,C$4:C809&lt;&gt;""""),ROWS(FILTER(C$4:C809,C$4:C809&lt;&gt;""""))),""^Sell_""),INDEX(FILTER(F$4:F808,C$4:C808&lt;&gt;""""),ROWS(FILTER(C$4:C808,C$4:C808&lt;&gt;""""))),$AC$5+E809))"),"")</f>
        <v/>
      </c>
      <c r="G809" s="10" t="str">
        <f>IFERROR(__xludf.DUMMYFUNCTION("IF(COUNTA(C809:C1644)=0,"""",IF(C809="""",0,IF(REGEXMATCH(C809,""^Sell_""),-ROUNDDOWN(ROUNDUP(INDEX(Upgrades!$C$3:$C$13,MATCH(SUBSTITUTE(C809,""Sell_"",""""),Upgrades!$B$3:$B$13,0))*1.15^(COUNTIF(C$4:C808,SUBSTITUTE(C809,""Sell_"",""""))-COUNTIF(C$4:C808,"&amp;"""Sell_""&amp;SUBSTITUTE(C809,""Sell_"",""""))))/2),ROUNDUP(INDEX(Upgrades!$C$3:$C$13,MATCH(C809,Upgrades!$B$3:$B$13,0))*1.15^(COUNTIF(C$4:C808,C809)-COUNTIF(C$4:C808,""Sell_""&amp;C809))))))"),"")</f>
        <v/>
      </c>
      <c r="H809" s="10" t="str">
        <f t="shared" si="3"/>
        <v/>
      </c>
      <c r="I809" s="68" t="str">
        <f t="shared" si="4"/>
        <v/>
      </c>
      <c r="J809" s="59" t="str">
        <f t="shared" si="5"/>
        <v/>
      </c>
      <c r="K809" s="69" t="str">
        <f t="shared" si="6"/>
        <v/>
      </c>
      <c r="L809" s="60" t="str">
        <f t="shared" si="7"/>
        <v/>
      </c>
      <c r="M809" s="61" t="str">
        <f>IFERROR(__xludf.DUMMYFUNCTION("IFS(AND(COUNTA(C809:C1644)=0,COUNTA(Q809:Q1644)=0),"""",OR(AND(K809&gt;=1000000000,OR(Y809&gt;=1000000000,COUNTA(Q809:Q1644)=0)),OR(Y809&gt;=1000000000,AND(COUNTA(C809:C1644)=0,P$3=TRUE))),
ROUNDDOWN((AB$1-AC$1)*MAX(INDEX(T$4:T1644,MATCH(LARGE(FILTER(Y$4:Y1644,Y$4"&amp;":Y1644&lt;1000000000),1),Y$4:Y1644)),INDEX(F$4:F1644,MATCH(LARGE(FILTER(K$4:K1644,K$4:K1644&lt;1000000000),1),K$4:K1644)))),AND(K809&lt;1000000000,COUNTA(C809:C1644)&gt;0,P$3=FALSE),
ROUNDDOWN(INDEX(Y$4:Y1644,MATCH(LARGE(FILTER(W$4:W1644,W$4:W1644&lt;=I809),1),W$4:W1644"&amp;"))+(I809-LARGE(FILTER(W$4:W1644,W$4:W1644&lt;=I809),1))*INDEX(T$4:T1644,MATCH(LARGE(FILTER(W$4:W1644,W$4:W1644&lt;=I809),1),W$4:W1644))-K809),1,
ROUNDDOWN(Y809-INDEX(K$4:K1644,MATCH(LARGE(FILTER(I$4:I1644,I$4:I1644&lt;=W809),1),I$4:I1644))-(W809-LARGE(FILTER(I$4:I"&amp;"1644,I$4:I1644&lt;=W809),1))*INDEX(F$4:F1644,MATCH(LARGE(FILTER(I$4:I1644,I$4:I1644&lt;=W809),1),I$4:I1644))))"),"")</f>
        <v/>
      </c>
      <c r="N809" s="60" t="str">
        <f t="shared" si="8"/>
        <v/>
      </c>
      <c r="O809" s="61" t="str">
        <f t="shared" si="9"/>
        <v/>
      </c>
      <c r="P809" s="56" t="str">
        <f t="shared" si="10"/>
        <v/>
      </c>
      <c r="Q809" s="105"/>
      <c r="R809" s="10"/>
      <c r="S809" s="59" t="str">
        <f t="array" ref="S809">IF(COUNTA(Q809:Q1644)=0,"",SUM((COUNTIF(Q$4:Q809,Upgrades!$B$3:$B$13)-COUNTIF(Q$4:Q809,"Sell_"&amp;Upgrades!$B$3:$B$13))*Upgrades!$D$3:$D$13))</f>
        <v/>
      </c>
      <c r="T809" s="66" t="str">
        <f>IFERROR(__xludf.DUMMYFUNCTION("IF(COUNTA(Q809:Q1644)=0,"""",IF(REGEXMATCH(INDEX(FILTER(Q$4:Q809,Q$4:Q809&lt;&gt;""""),ROWS(FILTER(Q$4:Q809,Q$4:Q809&lt;&gt;""""))),""^Sell_""),INDEX(FILTER(T$4:T808,Q$4:Q808&lt;&gt;""""),ROWS(FILTER(Q$4:Q808,Q$4:Q808&lt;&gt;""""))),$AD$5+S809))"),"")</f>
        <v/>
      </c>
      <c r="U809" s="10" t="str">
        <f>IFERROR(__xludf.DUMMYFUNCTION("IF(COUNTA(Q809:Q1644)=0,"""",IF(Q809="""",0,IF(REGEXMATCH(Q809,""^Sell_""),-ROUNDDOWN(ROUNDUP(INDEX(Upgrades!$C$3:$C$13,MATCH(SUBSTITUTE(Q809,""Sell_"",""""),Upgrades!$B$3:$B$13,0))*1.15^(COUNTIF(Q$4:Q808,SUBSTITUTE(Q809,""Sell_"",""""))-COUNTIF(Q$4:Q808,"&amp;"""Sell_""&amp;SUBSTITUTE(Q809,""Sell_"",""""))))/2),ROUNDUP(INDEX(Upgrades!$C$3:$C$13,MATCH(Q809,Upgrades!$B$3:$B$13,0))*1.15^(COUNTIF(Q$4:Q808,Q809)-COUNTIF(Q$4:Q808,""Sell_""&amp;Q809))))))"),"")</f>
        <v/>
      </c>
      <c r="V809" s="10" t="str">
        <f t="shared" si="11"/>
        <v/>
      </c>
      <c r="W809" s="68" t="str">
        <f t="shared" si="12"/>
        <v/>
      </c>
      <c r="X809" s="59" t="str">
        <f t="shared" si="13"/>
        <v/>
      </c>
      <c r="Y809" s="69" t="str">
        <f t="shared" si="14"/>
        <v/>
      </c>
      <c r="Z809" s="11"/>
      <c r="AG809" s="59"/>
    </row>
    <row r="810">
      <c r="A810" s="8"/>
      <c r="B810" s="56" t="str">
        <f t="shared" si="2"/>
        <v/>
      </c>
      <c r="C810" s="105"/>
      <c r="D810" s="10"/>
      <c r="E810" s="59" t="str">
        <f t="array" ref="E810">IF(COUNTA(C810:C1644)=0,"",SUM((COUNTIF(C$4:C810,Upgrades!$B$3:$B$13)-COUNTIF(C$4:C810,"Sell_"&amp;Upgrades!$B$3:$B$13))*Upgrades!$D$3:$D$13))</f>
        <v/>
      </c>
      <c r="F810" s="66" t="str">
        <f>IFERROR(__xludf.DUMMYFUNCTION("IF(COUNTA(C810:C1644)=0,"""",IF(REGEXMATCH(INDEX(FILTER(C$4:C810,C$4:C810&lt;&gt;""""),ROWS(FILTER(C$4:C810,C$4:C810&lt;&gt;""""))),""^Sell_""),INDEX(FILTER(F$4:F809,C$4:C809&lt;&gt;""""),ROWS(FILTER(C$4:C809,C$4:C809&lt;&gt;""""))),$AC$5+E810))"),"")</f>
        <v/>
      </c>
      <c r="G810" s="10" t="str">
        <f>IFERROR(__xludf.DUMMYFUNCTION("IF(COUNTA(C810:C1644)=0,"""",IF(C810="""",0,IF(REGEXMATCH(C810,""^Sell_""),-ROUNDDOWN(ROUNDUP(INDEX(Upgrades!$C$3:$C$13,MATCH(SUBSTITUTE(C810,""Sell_"",""""),Upgrades!$B$3:$B$13,0))*1.15^(COUNTIF(C$4:C809,SUBSTITUTE(C810,""Sell_"",""""))-COUNTIF(C$4:C809,"&amp;"""Sell_""&amp;SUBSTITUTE(C810,""Sell_"",""""))))/2),ROUNDUP(INDEX(Upgrades!$C$3:$C$13,MATCH(C810,Upgrades!$B$3:$B$13,0))*1.15^(COUNTIF(C$4:C809,C810)-COUNTIF(C$4:C809,""Sell_""&amp;C810))))))"),"")</f>
        <v/>
      </c>
      <c r="H810" s="10" t="str">
        <f t="shared" si="3"/>
        <v/>
      </c>
      <c r="I810" s="68" t="str">
        <f t="shared" si="4"/>
        <v/>
      </c>
      <c r="J810" s="59" t="str">
        <f t="shared" si="5"/>
        <v/>
      </c>
      <c r="K810" s="69" t="str">
        <f t="shared" si="6"/>
        <v/>
      </c>
      <c r="L810" s="60" t="str">
        <f t="shared" si="7"/>
        <v/>
      </c>
      <c r="M810" s="61" t="str">
        <f>IFERROR(__xludf.DUMMYFUNCTION("IFS(AND(COUNTA(C810:C1644)=0,COUNTA(Q810:Q1644)=0),"""",OR(AND(K810&gt;=1000000000,OR(Y810&gt;=1000000000,COUNTA(Q810:Q1644)=0)),OR(Y810&gt;=1000000000,AND(COUNTA(C810:C1644)=0,P$3=TRUE))),
ROUNDDOWN((AB$1-AC$1)*MAX(INDEX(T$4:T1644,MATCH(LARGE(FILTER(Y$4:Y1644,Y$4"&amp;":Y1644&lt;1000000000),1),Y$4:Y1644)),INDEX(F$4:F1644,MATCH(LARGE(FILTER(K$4:K1644,K$4:K1644&lt;1000000000),1),K$4:K1644)))),AND(K810&lt;1000000000,COUNTA(C810:C1644)&gt;0,P$3=FALSE),
ROUNDDOWN(INDEX(Y$4:Y1644,MATCH(LARGE(FILTER(W$4:W1644,W$4:W1644&lt;=I810),1),W$4:W1644"&amp;"))+(I810-LARGE(FILTER(W$4:W1644,W$4:W1644&lt;=I810),1))*INDEX(T$4:T1644,MATCH(LARGE(FILTER(W$4:W1644,W$4:W1644&lt;=I810),1),W$4:W1644))-K810),1,
ROUNDDOWN(Y810-INDEX(K$4:K1644,MATCH(LARGE(FILTER(I$4:I1644,I$4:I1644&lt;=W810),1),I$4:I1644))-(W810-LARGE(FILTER(I$4:I"&amp;"1644,I$4:I1644&lt;=W810),1))*INDEX(F$4:F1644,MATCH(LARGE(FILTER(I$4:I1644,I$4:I1644&lt;=W810),1),I$4:I1644))))"),"")</f>
        <v/>
      </c>
      <c r="N810" s="60" t="str">
        <f t="shared" si="8"/>
        <v/>
      </c>
      <c r="O810" s="61" t="str">
        <f t="shared" si="9"/>
        <v/>
      </c>
      <c r="P810" s="56" t="str">
        <f t="shared" si="10"/>
        <v/>
      </c>
      <c r="Q810" s="105"/>
      <c r="R810" s="10"/>
      <c r="S810" s="59" t="str">
        <f t="array" ref="S810">IF(COUNTA(Q810:Q1644)=0,"",SUM((COUNTIF(Q$4:Q810,Upgrades!$B$3:$B$13)-COUNTIF(Q$4:Q810,"Sell_"&amp;Upgrades!$B$3:$B$13))*Upgrades!$D$3:$D$13))</f>
        <v/>
      </c>
      <c r="T810" s="66" t="str">
        <f>IFERROR(__xludf.DUMMYFUNCTION("IF(COUNTA(Q810:Q1644)=0,"""",IF(REGEXMATCH(INDEX(FILTER(Q$4:Q810,Q$4:Q810&lt;&gt;""""),ROWS(FILTER(Q$4:Q810,Q$4:Q810&lt;&gt;""""))),""^Sell_""),INDEX(FILTER(T$4:T809,Q$4:Q809&lt;&gt;""""),ROWS(FILTER(Q$4:Q809,Q$4:Q809&lt;&gt;""""))),$AD$5+S810))"),"")</f>
        <v/>
      </c>
      <c r="U810" s="10" t="str">
        <f>IFERROR(__xludf.DUMMYFUNCTION("IF(COUNTA(Q810:Q1644)=0,"""",IF(Q810="""",0,IF(REGEXMATCH(Q810,""^Sell_""),-ROUNDDOWN(ROUNDUP(INDEX(Upgrades!$C$3:$C$13,MATCH(SUBSTITUTE(Q810,""Sell_"",""""),Upgrades!$B$3:$B$13,0))*1.15^(COUNTIF(Q$4:Q809,SUBSTITUTE(Q810,""Sell_"",""""))-COUNTIF(Q$4:Q809,"&amp;"""Sell_""&amp;SUBSTITUTE(Q810,""Sell_"",""""))))/2),ROUNDUP(INDEX(Upgrades!$C$3:$C$13,MATCH(Q810,Upgrades!$B$3:$B$13,0))*1.15^(COUNTIF(Q$4:Q809,Q810)-COUNTIF(Q$4:Q809,""Sell_""&amp;Q810))))))"),"")</f>
        <v/>
      </c>
      <c r="V810" s="10" t="str">
        <f t="shared" si="11"/>
        <v/>
      </c>
      <c r="W810" s="68" t="str">
        <f t="shared" si="12"/>
        <v/>
      </c>
      <c r="X810" s="59" t="str">
        <f t="shared" si="13"/>
        <v/>
      </c>
      <c r="Y810" s="69" t="str">
        <f t="shared" si="14"/>
        <v/>
      </c>
      <c r="Z810" s="11"/>
      <c r="AG810" s="59"/>
    </row>
    <row r="811">
      <c r="A811" s="8"/>
      <c r="B811" s="56" t="str">
        <f t="shared" si="2"/>
        <v/>
      </c>
      <c r="C811" s="105"/>
      <c r="D811" s="10"/>
      <c r="E811" s="59" t="str">
        <f t="array" ref="E811">IF(COUNTA(C811:C1644)=0,"",SUM((COUNTIF(C$4:C811,Upgrades!$B$3:$B$13)-COUNTIF(C$4:C811,"Sell_"&amp;Upgrades!$B$3:$B$13))*Upgrades!$D$3:$D$13))</f>
        <v/>
      </c>
      <c r="F811" s="66" t="str">
        <f>IFERROR(__xludf.DUMMYFUNCTION("IF(COUNTA(C811:C1644)=0,"""",IF(REGEXMATCH(INDEX(FILTER(C$4:C811,C$4:C811&lt;&gt;""""),ROWS(FILTER(C$4:C811,C$4:C811&lt;&gt;""""))),""^Sell_""),INDEX(FILTER(F$4:F810,C$4:C810&lt;&gt;""""),ROWS(FILTER(C$4:C810,C$4:C810&lt;&gt;""""))),$AC$5+E811))"),"")</f>
        <v/>
      </c>
      <c r="G811" s="10" t="str">
        <f>IFERROR(__xludf.DUMMYFUNCTION("IF(COUNTA(C811:C1644)=0,"""",IF(C811="""",0,IF(REGEXMATCH(C811,""^Sell_""),-ROUNDDOWN(ROUNDUP(INDEX(Upgrades!$C$3:$C$13,MATCH(SUBSTITUTE(C811,""Sell_"",""""),Upgrades!$B$3:$B$13,0))*1.15^(COUNTIF(C$4:C810,SUBSTITUTE(C811,""Sell_"",""""))-COUNTIF(C$4:C810,"&amp;"""Sell_""&amp;SUBSTITUTE(C811,""Sell_"",""""))))/2),ROUNDUP(INDEX(Upgrades!$C$3:$C$13,MATCH(C811,Upgrades!$B$3:$B$13,0))*1.15^(COUNTIF(C$4:C810,C811)-COUNTIF(C$4:C810,""Sell_""&amp;C811))))))"),"")</f>
        <v/>
      </c>
      <c r="H811" s="10" t="str">
        <f t="shared" si="3"/>
        <v/>
      </c>
      <c r="I811" s="68" t="str">
        <f t="shared" si="4"/>
        <v/>
      </c>
      <c r="J811" s="59" t="str">
        <f t="shared" si="5"/>
        <v/>
      </c>
      <c r="K811" s="69" t="str">
        <f t="shared" si="6"/>
        <v/>
      </c>
      <c r="L811" s="60" t="str">
        <f t="shared" si="7"/>
        <v/>
      </c>
      <c r="M811" s="61" t="str">
        <f>IFERROR(__xludf.DUMMYFUNCTION("IFS(AND(COUNTA(C811:C1644)=0,COUNTA(Q811:Q1644)=0),"""",OR(AND(K811&gt;=1000000000,OR(Y811&gt;=1000000000,COUNTA(Q811:Q1644)=0)),OR(Y811&gt;=1000000000,AND(COUNTA(C811:C1644)=0,P$3=TRUE))),
ROUNDDOWN((AB$1-AC$1)*MAX(INDEX(T$4:T1644,MATCH(LARGE(FILTER(Y$4:Y1644,Y$4"&amp;":Y1644&lt;1000000000),1),Y$4:Y1644)),INDEX(F$4:F1644,MATCH(LARGE(FILTER(K$4:K1644,K$4:K1644&lt;1000000000),1),K$4:K1644)))),AND(K811&lt;1000000000,COUNTA(C811:C1644)&gt;0,P$3=FALSE),
ROUNDDOWN(INDEX(Y$4:Y1644,MATCH(LARGE(FILTER(W$4:W1644,W$4:W1644&lt;=I811),1),W$4:W1644"&amp;"))+(I811-LARGE(FILTER(W$4:W1644,W$4:W1644&lt;=I811),1))*INDEX(T$4:T1644,MATCH(LARGE(FILTER(W$4:W1644,W$4:W1644&lt;=I811),1),W$4:W1644))-K811),1,
ROUNDDOWN(Y811-INDEX(K$4:K1644,MATCH(LARGE(FILTER(I$4:I1644,I$4:I1644&lt;=W811),1),I$4:I1644))-(W811-LARGE(FILTER(I$4:I"&amp;"1644,I$4:I1644&lt;=W811),1))*INDEX(F$4:F1644,MATCH(LARGE(FILTER(I$4:I1644,I$4:I1644&lt;=W811),1),I$4:I1644))))"),"")</f>
        <v/>
      </c>
      <c r="N811" s="60" t="str">
        <f t="shared" si="8"/>
        <v/>
      </c>
      <c r="O811" s="61" t="str">
        <f t="shared" si="9"/>
        <v/>
      </c>
      <c r="P811" s="56" t="str">
        <f t="shared" si="10"/>
        <v/>
      </c>
      <c r="Q811" s="105"/>
      <c r="R811" s="10"/>
      <c r="S811" s="59" t="str">
        <f t="array" ref="S811">IF(COUNTA(Q811:Q1644)=0,"",SUM((COUNTIF(Q$4:Q811,Upgrades!$B$3:$B$13)-COUNTIF(Q$4:Q811,"Sell_"&amp;Upgrades!$B$3:$B$13))*Upgrades!$D$3:$D$13))</f>
        <v/>
      </c>
      <c r="T811" s="66" t="str">
        <f>IFERROR(__xludf.DUMMYFUNCTION("IF(COUNTA(Q811:Q1644)=0,"""",IF(REGEXMATCH(INDEX(FILTER(Q$4:Q811,Q$4:Q811&lt;&gt;""""),ROWS(FILTER(Q$4:Q811,Q$4:Q811&lt;&gt;""""))),""^Sell_""),INDEX(FILTER(T$4:T810,Q$4:Q810&lt;&gt;""""),ROWS(FILTER(Q$4:Q810,Q$4:Q810&lt;&gt;""""))),$AD$5+S811))"),"")</f>
        <v/>
      </c>
      <c r="U811" s="10" t="str">
        <f>IFERROR(__xludf.DUMMYFUNCTION("IF(COUNTA(Q811:Q1644)=0,"""",IF(Q811="""",0,IF(REGEXMATCH(Q811,""^Sell_""),-ROUNDDOWN(ROUNDUP(INDEX(Upgrades!$C$3:$C$13,MATCH(SUBSTITUTE(Q811,""Sell_"",""""),Upgrades!$B$3:$B$13,0))*1.15^(COUNTIF(Q$4:Q810,SUBSTITUTE(Q811,""Sell_"",""""))-COUNTIF(Q$4:Q810,"&amp;"""Sell_""&amp;SUBSTITUTE(Q811,""Sell_"",""""))))/2),ROUNDUP(INDEX(Upgrades!$C$3:$C$13,MATCH(Q811,Upgrades!$B$3:$B$13,0))*1.15^(COUNTIF(Q$4:Q810,Q811)-COUNTIF(Q$4:Q810,""Sell_""&amp;Q811))))))"),"")</f>
        <v/>
      </c>
      <c r="V811" s="10" t="str">
        <f t="shared" si="11"/>
        <v/>
      </c>
      <c r="W811" s="68" t="str">
        <f t="shared" si="12"/>
        <v/>
      </c>
      <c r="X811" s="59" t="str">
        <f t="shared" si="13"/>
        <v/>
      </c>
      <c r="Y811" s="69" t="str">
        <f t="shared" si="14"/>
        <v/>
      </c>
      <c r="Z811" s="11"/>
      <c r="AG811" s="59"/>
    </row>
    <row r="812">
      <c r="A812" s="8"/>
      <c r="B812" s="56" t="str">
        <f t="shared" si="2"/>
        <v/>
      </c>
      <c r="C812" s="105"/>
      <c r="D812" s="10"/>
      <c r="E812" s="59" t="str">
        <f t="array" ref="E812">IF(COUNTA(C812:C1644)=0,"",SUM((COUNTIF(C$4:C812,Upgrades!$B$3:$B$13)-COUNTIF(C$4:C812,"Sell_"&amp;Upgrades!$B$3:$B$13))*Upgrades!$D$3:$D$13))</f>
        <v/>
      </c>
      <c r="F812" s="66" t="str">
        <f>IFERROR(__xludf.DUMMYFUNCTION("IF(COUNTA(C812:C1644)=0,"""",IF(REGEXMATCH(INDEX(FILTER(C$4:C812,C$4:C812&lt;&gt;""""),ROWS(FILTER(C$4:C812,C$4:C812&lt;&gt;""""))),""^Sell_""),INDEX(FILTER(F$4:F811,C$4:C811&lt;&gt;""""),ROWS(FILTER(C$4:C811,C$4:C811&lt;&gt;""""))),$AC$5+E812))"),"")</f>
        <v/>
      </c>
      <c r="G812" s="10" t="str">
        <f>IFERROR(__xludf.DUMMYFUNCTION("IF(COUNTA(C812:C1644)=0,"""",IF(C812="""",0,IF(REGEXMATCH(C812,""^Sell_""),-ROUNDDOWN(ROUNDUP(INDEX(Upgrades!$C$3:$C$13,MATCH(SUBSTITUTE(C812,""Sell_"",""""),Upgrades!$B$3:$B$13,0))*1.15^(COUNTIF(C$4:C811,SUBSTITUTE(C812,""Sell_"",""""))-COUNTIF(C$4:C811,"&amp;"""Sell_""&amp;SUBSTITUTE(C812,""Sell_"",""""))))/2),ROUNDUP(INDEX(Upgrades!$C$3:$C$13,MATCH(C812,Upgrades!$B$3:$B$13,0))*1.15^(COUNTIF(C$4:C811,C812)-COUNTIF(C$4:C811,""Sell_""&amp;C812))))))"),"")</f>
        <v/>
      </c>
      <c r="H812" s="10" t="str">
        <f t="shared" si="3"/>
        <v/>
      </c>
      <c r="I812" s="68" t="str">
        <f t="shared" si="4"/>
        <v/>
      </c>
      <c r="J812" s="59" t="str">
        <f t="shared" si="5"/>
        <v/>
      </c>
      <c r="K812" s="69" t="str">
        <f t="shared" si="6"/>
        <v/>
      </c>
      <c r="L812" s="60" t="str">
        <f t="shared" si="7"/>
        <v/>
      </c>
      <c r="M812" s="61" t="str">
        <f>IFERROR(__xludf.DUMMYFUNCTION("IFS(AND(COUNTA(C812:C1644)=0,COUNTA(Q812:Q1644)=0),"""",OR(AND(K812&gt;=1000000000,OR(Y812&gt;=1000000000,COUNTA(Q812:Q1644)=0)),OR(Y812&gt;=1000000000,AND(COUNTA(C812:C1644)=0,P$3=TRUE))),
ROUNDDOWN((AB$1-AC$1)*MAX(INDEX(T$4:T1644,MATCH(LARGE(FILTER(Y$4:Y1644,Y$4"&amp;":Y1644&lt;1000000000),1),Y$4:Y1644)),INDEX(F$4:F1644,MATCH(LARGE(FILTER(K$4:K1644,K$4:K1644&lt;1000000000),1),K$4:K1644)))),AND(K812&lt;1000000000,COUNTA(C812:C1644)&gt;0,P$3=FALSE),
ROUNDDOWN(INDEX(Y$4:Y1644,MATCH(LARGE(FILTER(W$4:W1644,W$4:W1644&lt;=I812),1),W$4:W1644"&amp;"))+(I812-LARGE(FILTER(W$4:W1644,W$4:W1644&lt;=I812),1))*INDEX(T$4:T1644,MATCH(LARGE(FILTER(W$4:W1644,W$4:W1644&lt;=I812),1),W$4:W1644))-K812),1,
ROUNDDOWN(Y812-INDEX(K$4:K1644,MATCH(LARGE(FILTER(I$4:I1644,I$4:I1644&lt;=W812),1),I$4:I1644))-(W812-LARGE(FILTER(I$4:I"&amp;"1644,I$4:I1644&lt;=W812),1))*INDEX(F$4:F1644,MATCH(LARGE(FILTER(I$4:I1644,I$4:I1644&lt;=W812),1),I$4:I1644))))"),"")</f>
        <v/>
      </c>
      <c r="N812" s="60" t="str">
        <f t="shared" si="8"/>
        <v/>
      </c>
      <c r="O812" s="61" t="str">
        <f t="shared" si="9"/>
        <v/>
      </c>
      <c r="P812" s="56" t="str">
        <f t="shared" si="10"/>
        <v/>
      </c>
      <c r="Q812" s="105"/>
      <c r="R812" s="10"/>
      <c r="S812" s="59" t="str">
        <f t="array" ref="S812">IF(COUNTA(Q812:Q1644)=0,"",SUM((COUNTIF(Q$4:Q812,Upgrades!$B$3:$B$13)-COUNTIF(Q$4:Q812,"Sell_"&amp;Upgrades!$B$3:$B$13))*Upgrades!$D$3:$D$13))</f>
        <v/>
      </c>
      <c r="T812" s="66" t="str">
        <f>IFERROR(__xludf.DUMMYFUNCTION("IF(COUNTA(Q812:Q1644)=0,"""",IF(REGEXMATCH(INDEX(FILTER(Q$4:Q812,Q$4:Q812&lt;&gt;""""),ROWS(FILTER(Q$4:Q812,Q$4:Q812&lt;&gt;""""))),""^Sell_""),INDEX(FILTER(T$4:T811,Q$4:Q811&lt;&gt;""""),ROWS(FILTER(Q$4:Q811,Q$4:Q811&lt;&gt;""""))),$AD$5+S812))"),"")</f>
        <v/>
      </c>
      <c r="U812" s="10" t="str">
        <f>IFERROR(__xludf.DUMMYFUNCTION("IF(COUNTA(Q812:Q1644)=0,"""",IF(Q812="""",0,IF(REGEXMATCH(Q812,""^Sell_""),-ROUNDDOWN(ROUNDUP(INDEX(Upgrades!$C$3:$C$13,MATCH(SUBSTITUTE(Q812,""Sell_"",""""),Upgrades!$B$3:$B$13,0))*1.15^(COUNTIF(Q$4:Q811,SUBSTITUTE(Q812,""Sell_"",""""))-COUNTIF(Q$4:Q811,"&amp;"""Sell_""&amp;SUBSTITUTE(Q812,""Sell_"",""""))))/2),ROUNDUP(INDEX(Upgrades!$C$3:$C$13,MATCH(Q812,Upgrades!$B$3:$B$13,0))*1.15^(COUNTIF(Q$4:Q811,Q812)-COUNTIF(Q$4:Q811,""Sell_""&amp;Q812))))))"),"")</f>
        <v/>
      </c>
      <c r="V812" s="10" t="str">
        <f t="shared" si="11"/>
        <v/>
      </c>
      <c r="W812" s="68" t="str">
        <f t="shared" si="12"/>
        <v/>
      </c>
      <c r="X812" s="59" t="str">
        <f t="shared" si="13"/>
        <v/>
      </c>
      <c r="Y812" s="69" t="str">
        <f t="shared" si="14"/>
        <v/>
      </c>
      <c r="Z812" s="11"/>
      <c r="AG812" s="59"/>
    </row>
    <row r="813">
      <c r="A813" s="8"/>
      <c r="B813" s="56" t="str">
        <f t="shared" si="2"/>
        <v/>
      </c>
      <c r="C813" s="105"/>
      <c r="D813" s="10"/>
      <c r="E813" s="59" t="str">
        <f t="array" ref="E813">IF(COUNTA(C813:C1644)=0,"",SUM((COUNTIF(C$4:C813,Upgrades!$B$3:$B$13)-COUNTIF(C$4:C813,"Sell_"&amp;Upgrades!$B$3:$B$13))*Upgrades!$D$3:$D$13))</f>
        <v/>
      </c>
      <c r="F813" s="66" t="str">
        <f>IFERROR(__xludf.DUMMYFUNCTION("IF(COUNTA(C813:C1644)=0,"""",IF(REGEXMATCH(INDEX(FILTER(C$4:C813,C$4:C813&lt;&gt;""""),ROWS(FILTER(C$4:C813,C$4:C813&lt;&gt;""""))),""^Sell_""),INDEX(FILTER(F$4:F812,C$4:C812&lt;&gt;""""),ROWS(FILTER(C$4:C812,C$4:C812&lt;&gt;""""))),$AC$5+E813))"),"")</f>
        <v/>
      </c>
      <c r="G813" s="10" t="str">
        <f>IFERROR(__xludf.DUMMYFUNCTION("IF(COUNTA(C813:C1644)=0,"""",IF(C813="""",0,IF(REGEXMATCH(C813,""^Sell_""),-ROUNDDOWN(ROUNDUP(INDEX(Upgrades!$C$3:$C$13,MATCH(SUBSTITUTE(C813,""Sell_"",""""),Upgrades!$B$3:$B$13,0))*1.15^(COUNTIF(C$4:C812,SUBSTITUTE(C813,""Sell_"",""""))-COUNTIF(C$4:C812,"&amp;"""Sell_""&amp;SUBSTITUTE(C813,""Sell_"",""""))))/2),ROUNDUP(INDEX(Upgrades!$C$3:$C$13,MATCH(C813,Upgrades!$B$3:$B$13,0))*1.15^(COUNTIF(C$4:C812,C813)-COUNTIF(C$4:C812,""Sell_""&amp;C813))))))"),"")</f>
        <v/>
      </c>
      <c r="H813" s="10" t="str">
        <f t="shared" si="3"/>
        <v/>
      </c>
      <c r="I813" s="68" t="str">
        <f t="shared" si="4"/>
        <v/>
      </c>
      <c r="J813" s="59" t="str">
        <f t="shared" si="5"/>
        <v/>
      </c>
      <c r="K813" s="69" t="str">
        <f t="shared" si="6"/>
        <v/>
      </c>
      <c r="L813" s="60" t="str">
        <f t="shared" si="7"/>
        <v/>
      </c>
      <c r="M813" s="61" t="str">
        <f>IFERROR(__xludf.DUMMYFUNCTION("IFS(AND(COUNTA(C813:C1644)=0,COUNTA(Q813:Q1644)=0),"""",OR(AND(K813&gt;=1000000000,OR(Y813&gt;=1000000000,COUNTA(Q813:Q1644)=0)),OR(Y813&gt;=1000000000,AND(COUNTA(C813:C1644)=0,P$3=TRUE))),
ROUNDDOWN((AB$1-AC$1)*MAX(INDEX(T$4:T1644,MATCH(LARGE(FILTER(Y$4:Y1644,Y$4"&amp;":Y1644&lt;1000000000),1),Y$4:Y1644)),INDEX(F$4:F1644,MATCH(LARGE(FILTER(K$4:K1644,K$4:K1644&lt;1000000000),1),K$4:K1644)))),AND(K813&lt;1000000000,COUNTA(C813:C1644)&gt;0,P$3=FALSE),
ROUNDDOWN(INDEX(Y$4:Y1644,MATCH(LARGE(FILTER(W$4:W1644,W$4:W1644&lt;=I813),1),W$4:W1644"&amp;"))+(I813-LARGE(FILTER(W$4:W1644,W$4:W1644&lt;=I813),1))*INDEX(T$4:T1644,MATCH(LARGE(FILTER(W$4:W1644,W$4:W1644&lt;=I813),1),W$4:W1644))-K813),1,
ROUNDDOWN(Y813-INDEX(K$4:K1644,MATCH(LARGE(FILTER(I$4:I1644,I$4:I1644&lt;=W813),1),I$4:I1644))-(W813-LARGE(FILTER(I$4:I"&amp;"1644,I$4:I1644&lt;=W813),1))*INDEX(F$4:F1644,MATCH(LARGE(FILTER(I$4:I1644,I$4:I1644&lt;=W813),1),I$4:I1644))))"),"")</f>
        <v/>
      </c>
      <c r="N813" s="60" t="str">
        <f t="shared" si="8"/>
        <v/>
      </c>
      <c r="O813" s="61" t="str">
        <f t="shared" si="9"/>
        <v/>
      </c>
      <c r="P813" s="56" t="str">
        <f t="shared" si="10"/>
        <v/>
      </c>
      <c r="Q813" s="105"/>
      <c r="R813" s="10"/>
      <c r="S813" s="59" t="str">
        <f t="array" ref="S813">IF(COUNTA(Q813:Q1644)=0,"",SUM((COUNTIF(Q$4:Q813,Upgrades!$B$3:$B$13)-COUNTIF(Q$4:Q813,"Sell_"&amp;Upgrades!$B$3:$B$13))*Upgrades!$D$3:$D$13))</f>
        <v/>
      </c>
      <c r="T813" s="66" t="str">
        <f>IFERROR(__xludf.DUMMYFUNCTION("IF(COUNTA(Q813:Q1644)=0,"""",IF(REGEXMATCH(INDEX(FILTER(Q$4:Q813,Q$4:Q813&lt;&gt;""""),ROWS(FILTER(Q$4:Q813,Q$4:Q813&lt;&gt;""""))),""^Sell_""),INDEX(FILTER(T$4:T812,Q$4:Q812&lt;&gt;""""),ROWS(FILTER(Q$4:Q812,Q$4:Q812&lt;&gt;""""))),$AD$5+S813))"),"")</f>
        <v/>
      </c>
      <c r="U813" s="10" t="str">
        <f>IFERROR(__xludf.DUMMYFUNCTION("IF(COUNTA(Q813:Q1644)=0,"""",IF(Q813="""",0,IF(REGEXMATCH(Q813,""^Sell_""),-ROUNDDOWN(ROUNDUP(INDEX(Upgrades!$C$3:$C$13,MATCH(SUBSTITUTE(Q813,""Sell_"",""""),Upgrades!$B$3:$B$13,0))*1.15^(COUNTIF(Q$4:Q812,SUBSTITUTE(Q813,""Sell_"",""""))-COUNTIF(Q$4:Q812,"&amp;"""Sell_""&amp;SUBSTITUTE(Q813,""Sell_"",""""))))/2),ROUNDUP(INDEX(Upgrades!$C$3:$C$13,MATCH(Q813,Upgrades!$B$3:$B$13,0))*1.15^(COUNTIF(Q$4:Q812,Q813)-COUNTIF(Q$4:Q812,""Sell_""&amp;Q813))))))"),"")</f>
        <v/>
      </c>
      <c r="V813" s="10" t="str">
        <f t="shared" si="11"/>
        <v/>
      </c>
      <c r="W813" s="68" t="str">
        <f t="shared" si="12"/>
        <v/>
      </c>
      <c r="X813" s="59" t="str">
        <f t="shared" si="13"/>
        <v/>
      </c>
      <c r="Y813" s="69" t="str">
        <f t="shared" si="14"/>
        <v/>
      </c>
      <c r="Z813" s="11"/>
      <c r="AG813" s="59"/>
    </row>
    <row r="814">
      <c r="A814" s="8"/>
      <c r="B814" s="56" t="str">
        <f t="shared" si="2"/>
        <v/>
      </c>
      <c r="C814" s="105"/>
      <c r="D814" s="10"/>
      <c r="E814" s="59" t="str">
        <f t="array" ref="E814">IF(COUNTA(C814:C1644)=0,"",SUM((COUNTIF(C$4:C814,Upgrades!$B$3:$B$13)-COUNTIF(C$4:C814,"Sell_"&amp;Upgrades!$B$3:$B$13))*Upgrades!$D$3:$D$13))</f>
        <v/>
      </c>
      <c r="F814" s="66" t="str">
        <f>IFERROR(__xludf.DUMMYFUNCTION("IF(COUNTA(C814:C1644)=0,"""",IF(REGEXMATCH(INDEX(FILTER(C$4:C814,C$4:C814&lt;&gt;""""),ROWS(FILTER(C$4:C814,C$4:C814&lt;&gt;""""))),""^Sell_""),INDEX(FILTER(F$4:F813,C$4:C813&lt;&gt;""""),ROWS(FILTER(C$4:C813,C$4:C813&lt;&gt;""""))),$AC$5+E814))"),"")</f>
        <v/>
      </c>
      <c r="G814" s="10" t="str">
        <f>IFERROR(__xludf.DUMMYFUNCTION("IF(COUNTA(C814:C1644)=0,"""",IF(C814="""",0,IF(REGEXMATCH(C814,""^Sell_""),-ROUNDDOWN(ROUNDUP(INDEX(Upgrades!$C$3:$C$13,MATCH(SUBSTITUTE(C814,""Sell_"",""""),Upgrades!$B$3:$B$13,0))*1.15^(COUNTIF(C$4:C813,SUBSTITUTE(C814,""Sell_"",""""))-COUNTIF(C$4:C813,"&amp;"""Sell_""&amp;SUBSTITUTE(C814,""Sell_"",""""))))/2),ROUNDUP(INDEX(Upgrades!$C$3:$C$13,MATCH(C814,Upgrades!$B$3:$B$13,0))*1.15^(COUNTIF(C$4:C813,C814)-COUNTIF(C$4:C813,""Sell_""&amp;C814))))))"),"")</f>
        <v/>
      </c>
      <c r="H814" s="10" t="str">
        <f t="shared" si="3"/>
        <v/>
      </c>
      <c r="I814" s="68" t="str">
        <f t="shared" si="4"/>
        <v/>
      </c>
      <c r="J814" s="59" t="str">
        <f t="shared" si="5"/>
        <v/>
      </c>
      <c r="K814" s="69" t="str">
        <f t="shared" si="6"/>
        <v/>
      </c>
      <c r="L814" s="60" t="str">
        <f t="shared" si="7"/>
        <v/>
      </c>
      <c r="M814" s="61" t="str">
        <f>IFERROR(__xludf.DUMMYFUNCTION("IFS(AND(COUNTA(C814:C1644)=0,COUNTA(Q814:Q1644)=0),"""",OR(AND(K814&gt;=1000000000,OR(Y814&gt;=1000000000,COUNTA(Q814:Q1644)=0)),OR(Y814&gt;=1000000000,AND(COUNTA(C814:C1644)=0,P$3=TRUE))),
ROUNDDOWN((AB$1-AC$1)*MAX(INDEX(T$4:T1644,MATCH(LARGE(FILTER(Y$4:Y1644,Y$4"&amp;":Y1644&lt;1000000000),1),Y$4:Y1644)),INDEX(F$4:F1644,MATCH(LARGE(FILTER(K$4:K1644,K$4:K1644&lt;1000000000),1),K$4:K1644)))),AND(K814&lt;1000000000,COUNTA(C814:C1644)&gt;0,P$3=FALSE),
ROUNDDOWN(INDEX(Y$4:Y1644,MATCH(LARGE(FILTER(W$4:W1644,W$4:W1644&lt;=I814),1),W$4:W1644"&amp;"))+(I814-LARGE(FILTER(W$4:W1644,W$4:W1644&lt;=I814),1))*INDEX(T$4:T1644,MATCH(LARGE(FILTER(W$4:W1644,W$4:W1644&lt;=I814),1),W$4:W1644))-K814),1,
ROUNDDOWN(Y814-INDEX(K$4:K1644,MATCH(LARGE(FILTER(I$4:I1644,I$4:I1644&lt;=W814),1),I$4:I1644))-(W814-LARGE(FILTER(I$4:I"&amp;"1644,I$4:I1644&lt;=W814),1))*INDEX(F$4:F1644,MATCH(LARGE(FILTER(I$4:I1644,I$4:I1644&lt;=W814),1),I$4:I1644))))"),"")</f>
        <v/>
      </c>
      <c r="N814" s="60" t="str">
        <f t="shared" si="8"/>
        <v/>
      </c>
      <c r="O814" s="61" t="str">
        <f t="shared" si="9"/>
        <v/>
      </c>
      <c r="P814" s="56" t="str">
        <f t="shared" si="10"/>
        <v/>
      </c>
      <c r="Q814" s="105"/>
      <c r="R814" s="10"/>
      <c r="S814" s="59" t="str">
        <f t="array" ref="S814">IF(COUNTA(Q814:Q1644)=0,"",SUM((COUNTIF(Q$4:Q814,Upgrades!$B$3:$B$13)-COUNTIF(Q$4:Q814,"Sell_"&amp;Upgrades!$B$3:$B$13))*Upgrades!$D$3:$D$13))</f>
        <v/>
      </c>
      <c r="T814" s="66" t="str">
        <f>IFERROR(__xludf.DUMMYFUNCTION("IF(COUNTA(Q814:Q1644)=0,"""",IF(REGEXMATCH(INDEX(FILTER(Q$4:Q814,Q$4:Q814&lt;&gt;""""),ROWS(FILTER(Q$4:Q814,Q$4:Q814&lt;&gt;""""))),""^Sell_""),INDEX(FILTER(T$4:T813,Q$4:Q813&lt;&gt;""""),ROWS(FILTER(Q$4:Q813,Q$4:Q813&lt;&gt;""""))),$AD$5+S814))"),"")</f>
        <v/>
      </c>
      <c r="U814" s="10" t="str">
        <f>IFERROR(__xludf.DUMMYFUNCTION("IF(COUNTA(Q814:Q1644)=0,"""",IF(Q814="""",0,IF(REGEXMATCH(Q814,""^Sell_""),-ROUNDDOWN(ROUNDUP(INDEX(Upgrades!$C$3:$C$13,MATCH(SUBSTITUTE(Q814,""Sell_"",""""),Upgrades!$B$3:$B$13,0))*1.15^(COUNTIF(Q$4:Q813,SUBSTITUTE(Q814,""Sell_"",""""))-COUNTIF(Q$4:Q813,"&amp;"""Sell_""&amp;SUBSTITUTE(Q814,""Sell_"",""""))))/2),ROUNDUP(INDEX(Upgrades!$C$3:$C$13,MATCH(Q814,Upgrades!$B$3:$B$13,0))*1.15^(COUNTIF(Q$4:Q813,Q814)-COUNTIF(Q$4:Q813,""Sell_""&amp;Q814))))))"),"")</f>
        <v/>
      </c>
      <c r="V814" s="10" t="str">
        <f t="shared" si="11"/>
        <v/>
      </c>
      <c r="W814" s="68" t="str">
        <f t="shared" si="12"/>
        <v/>
      </c>
      <c r="X814" s="59" t="str">
        <f t="shared" si="13"/>
        <v/>
      </c>
      <c r="Y814" s="69" t="str">
        <f t="shared" si="14"/>
        <v/>
      </c>
      <c r="Z814" s="11"/>
      <c r="AG814" s="59"/>
    </row>
    <row r="815">
      <c r="A815" s="8"/>
      <c r="B815" s="56" t="str">
        <f t="shared" si="2"/>
        <v/>
      </c>
      <c r="C815" s="105"/>
      <c r="D815" s="10"/>
      <c r="E815" s="59" t="str">
        <f t="array" ref="E815">IF(COUNTA(C815:C1644)=0,"",SUM((COUNTIF(C$4:C815,Upgrades!$B$3:$B$13)-COUNTIF(C$4:C815,"Sell_"&amp;Upgrades!$B$3:$B$13))*Upgrades!$D$3:$D$13))</f>
        <v/>
      </c>
      <c r="F815" s="66" t="str">
        <f>IFERROR(__xludf.DUMMYFUNCTION("IF(COUNTA(C815:C1644)=0,"""",IF(REGEXMATCH(INDEX(FILTER(C$4:C815,C$4:C815&lt;&gt;""""),ROWS(FILTER(C$4:C815,C$4:C815&lt;&gt;""""))),""^Sell_""),INDEX(FILTER(F$4:F814,C$4:C814&lt;&gt;""""),ROWS(FILTER(C$4:C814,C$4:C814&lt;&gt;""""))),$AC$5+E815))"),"")</f>
        <v/>
      </c>
      <c r="G815" s="10" t="str">
        <f>IFERROR(__xludf.DUMMYFUNCTION("IF(COUNTA(C815:C1644)=0,"""",IF(C815="""",0,IF(REGEXMATCH(C815,""^Sell_""),-ROUNDDOWN(ROUNDUP(INDEX(Upgrades!$C$3:$C$13,MATCH(SUBSTITUTE(C815,""Sell_"",""""),Upgrades!$B$3:$B$13,0))*1.15^(COUNTIF(C$4:C814,SUBSTITUTE(C815,""Sell_"",""""))-COUNTIF(C$4:C814,"&amp;"""Sell_""&amp;SUBSTITUTE(C815,""Sell_"",""""))))/2),ROUNDUP(INDEX(Upgrades!$C$3:$C$13,MATCH(C815,Upgrades!$B$3:$B$13,0))*1.15^(COUNTIF(C$4:C814,C815)-COUNTIF(C$4:C814,""Sell_""&amp;C815))))))"),"")</f>
        <v/>
      </c>
      <c r="H815" s="10" t="str">
        <f t="shared" si="3"/>
        <v/>
      </c>
      <c r="I815" s="68" t="str">
        <f t="shared" si="4"/>
        <v/>
      </c>
      <c r="J815" s="59" t="str">
        <f t="shared" si="5"/>
        <v/>
      </c>
      <c r="K815" s="69" t="str">
        <f t="shared" si="6"/>
        <v/>
      </c>
      <c r="L815" s="60" t="str">
        <f t="shared" si="7"/>
        <v/>
      </c>
      <c r="M815" s="61" t="str">
        <f>IFERROR(__xludf.DUMMYFUNCTION("IFS(AND(COUNTA(C815:C1644)=0,COUNTA(Q815:Q1644)=0),"""",OR(AND(K815&gt;=1000000000,OR(Y815&gt;=1000000000,COUNTA(Q815:Q1644)=0)),OR(Y815&gt;=1000000000,AND(COUNTA(C815:C1644)=0,P$3=TRUE))),
ROUNDDOWN((AB$1-AC$1)*MAX(INDEX(T$4:T1644,MATCH(LARGE(FILTER(Y$4:Y1644,Y$4"&amp;":Y1644&lt;1000000000),1),Y$4:Y1644)),INDEX(F$4:F1644,MATCH(LARGE(FILTER(K$4:K1644,K$4:K1644&lt;1000000000),1),K$4:K1644)))),AND(K815&lt;1000000000,COUNTA(C815:C1644)&gt;0,P$3=FALSE),
ROUNDDOWN(INDEX(Y$4:Y1644,MATCH(LARGE(FILTER(W$4:W1644,W$4:W1644&lt;=I815),1),W$4:W1644"&amp;"))+(I815-LARGE(FILTER(W$4:W1644,W$4:W1644&lt;=I815),1))*INDEX(T$4:T1644,MATCH(LARGE(FILTER(W$4:W1644,W$4:W1644&lt;=I815),1),W$4:W1644))-K815),1,
ROUNDDOWN(Y815-INDEX(K$4:K1644,MATCH(LARGE(FILTER(I$4:I1644,I$4:I1644&lt;=W815),1),I$4:I1644))-(W815-LARGE(FILTER(I$4:I"&amp;"1644,I$4:I1644&lt;=W815),1))*INDEX(F$4:F1644,MATCH(LARGE(FILTER(I$4:I1644,I$4:I1644&lt;=W815),1),I$4:I1644))))"),"")</f>
        <v/>
      </c>
      <c r="N815" s="60" t="str">
        <f t="shared" si="8"/>
        <v/>
      </c>
      <c r="O815" s="61" t="str">
        <f t="shared" si="9"/>
        <v/>
      </c>
      <c r="P815" s="56" t="str">
        <f t="shared" si="10"/>
        <v/>
      </c>
      <c r="Q815" s="105"/>
      <c r="R815" s="10"/>
      <c r="S815" s="59" t="str">
        <f t="array" ref="S815">IF(COUNTA(Q815:Q1644)=0,"",SUM((COUNTIF(Q$4:Q815,Upgrades!$B$3:$B$13)-COUNTIF(Q$4:Q815,"Sell_"&amp;Upgrades!$B$3:$B$13))*Upgrades!$D$3:$D$13))</f>
        <v/>
      </c>
      <c r="T815" s="66" t="str">
        <f>IFERROR(__xludf.DUMMYFUNCTION("IF(COUNTA(Q815:Q1644)=0,"""",IF(REGEXMATCH(INDEX(FILTER(Q$4:Q815,Q$4:Q815&lt;&gt;""""),ROWS(FILTER(Q$4:Q815,Q$4:Q815&lt;&gt;""""))),""^Sell_""),INDEX(FILTER(T$4:T814,Q$4:Q814&lt;&gt;""""),ROWS(FILTER(Q$4:Q814,Q$4:Q814&lt;&gt;""""))),$AD$5+S815))"),"")</f>
        <v/>
      </c>
      <c r="U815" s="10" t="str">
        <f>IFERROR(__xludf.DUMMYFUNCTION("IF(COUNTA(Q815:Q1644)=0,"""",IF(Q815="""",0,IF(REGEXMATCH(Q815,""^Sell_""),-ROUNDDOWN(ROUNDUP(INDEX(Upgrades!$C$3:$C$13,MATCH(SUBSTITUTE(Q815,""Sell_"",""""),Upgrades!$B$3:$B$13,0))*1.15^(COUNTIF(Q$4:Q814,SUBSTITUTE(Q815,""Sell_"",""""))-COUNTIF(Q$4:Q814,"&amp;"""Sell_""&amp;SUBSTITUTE(Q815,""Sell_"",""""))))/2),ROUNDUP(INDEX(Upgrades!$C$3:$C$13,MATCH(Q815,Upgrades!$B$3:$B$13,0))*1.15^(COUNTIF(Q$4:Q814,Q815)-COUNTIF(Q$4:Q814,""Sell_""&amp;Q815))))))"),"")</f>
        <v/>
      </c>
      <c r="V815" s="10" t="str">
        <f t="shared" si="11"/>
        <v/>
      </c>
      <c r="W815" s="68" t="str">
        <f t="shared" si="12"/>
        <v/>
      </c>
      <c r="X815" s="59" t="str">
        <f t="shared" si="13"/>
        <v/>
      </c>
      <c r="Y815" s="69" t="str">
        <f t="shared" si="14"/>
        <v/>
      </c>
      <c r="Z815" s="11"/>
      <c r="AG815" s="59"/>
    </row>
    <row r="816">
      <c r="A816" s="8"/>
      <c r="B816" s="56" t="str">
        <f t="shared" si="2"/>
        <v/>
      </c>
      <c r="C816" s="105"/>
      <c r="D816" s="10"/>
      <c r="E816" s="59" t="str">
        <f t="array" ref="E816">IF(COUNTA(C816:C1644)=0,"",SUM((COUNTIF(C$4:C816,Upgrades!$B$3:$B$13)-COUNTIF(C$4:C816,"Sell_"&amp;Upgrades!$B$3:$B$13))*Upgrades!$D$3:$D$13))</f>
        <v/>
      </c>
      <c r="F816" s="66" t="str">
        <f>IFERROR(__xludf.DUMMYFUNCTION("IF(COUNTA(C816:C1644)=0,"""",IF(REGEXMATCH(INDEX(FILTER(C$4:C816,C$4:C816&lt;&gt;""""),ROWS(FILTER(C$4:C816,C$4:C816&lt;&gt;""""))),""^Sell_""),INDEX(FILTER(F$4:F815,C$4:C815&lt;&gt;""""),ROWS(FILTER(C$4:C815,C$4:C815&lt;&gt;""""))),$AC$5+E816))"),"")</f>
        <v/>
      </c>
      <c r="G816" s="10" t="str">
        <f>IFERROR(__xludf.DUMMYFUNCTION("IF(COUNTA(C816:C1644)=0,"""",IF(C816="""",0,IF(REGEXMATCH(C816,""^Sell_""),-ROUNDDOWN(ROUNDUP(INDEX(Upgrades!$C$3:$C$13,MATCH(SUBSTITUTE(C816,""Sell_"",""""),Upgrades!$B$3:$B$13,0))*1.15^(COUNTIF(C$4:C815,SUBSTITUTE(C816,""Sell_"",""""))-COUNTIF(C$4:C815,"&amp;"""Sell_""&amp;SUBSTITUTE(C816,""Sell_"",""""))))/2),ROUNDUP(INDEX(Upgrades!$C$3:$C$13,MATCH(C816,Upgrades!$B$3:$B$13,0))*1.15^(COUNTIF(C$4:C815,C816)-COUNTIF(C$4:C815,""Sell_""&amp;C816))))))"),"")</f>
        <v/>
      </c>
      <c r="H816" s="10" t="str">
        <f t="shared" si="3"/>
        <v/>
      </c>
      <c r="I816" s="68" t="str">
        <f t="shared" si="4"/>
        <v/>
      </c>
      <c r="J816" s="59" t="str">
        <f t="shared" si="5"/>
        <v/>
      </c>
      <c r="K816" s="69" t="str">
        <f t="shared" si="6"/>
        <v/>
      </c>
      <c r="L816" s="60" t="str">
        <f t="shared" si="7"/>
        <v/>
      </c>
      <c r="M816" s="61" t="str">
        <f>IFERROR(__xludf.DUMMYFUNCTION("IFS(AND(COUNTA(C816:C1644)=0,COUNTA(Q816:Q1644)=0),"""",OR(AND(K816&gt;=1000000000,OR(Y816&gt;=1000000000,COUNTA(Q816:Q1644)=0)),OR(Y816&gt;=1000000000,AND(COUNTA(C816:C1644)=0,P$3=TRUE))),
ROUNDDOWN((AB$1-AC$1)*MAX(INDEX(T$4:T1644,MATCH(LARGE(FILTER(Y$4:Y1644,Y$4"&amp;":Y1644&lt;1000000000),1),Y$4:Y1644)),INDEX(F$4:F1644,MATCH(LARGE(FILTER(K$4:K1644,K$4:K1644&lt;1000000000),1),K$4:K1644)))),AND(K816&lt;1000000000,COUNTA(C816:C1644)&gt;0,P$3=FALSE),
ROUNDDOWN(INDEX(Y$4:Y1644,MATCH(LARGE(FILTER(W$4:W1644,W$4:W1644&lt;=I816),1),W$4:W1644"&amp;"))+(I816-LARGE(FILTER(W$4:W1644,W$4:W1644&lt;=I816),1))*INDEX(T$4:T1644,MATCH(LARGE(FILTER(W$4:W1644,W$4:W1644&lt;=I816),1),W$4:W1644))-K816),1,
ROUNDDOWN(Y816-INDEX(K$4:K1644,MATCH(LARGE(FILTER(I$4:I1644,I$4:I1644&lt;=W816),1),I$4:I1644))-(W816-LARGE(FILTER(I$4:I"&amp;"1644,I$4:I1644&lt;=W816),1))*INDEX(F$4:F1644,MATCH(LARGE(FILTER(I$4:I1644,I$4:I1644&lt;=W816),1),I$4:I1644))))"),"")</f>
        <v/>
      </c>
      <c r="N816" s="60" t="str">
        <f t="shared" si="8"/>
        <v/>
      </c>
      <c r="O816" s="61" t="str">
        <f t="shared" si="9"/>
        <v/>
      </c>
      <c r="P816" s="56" t="str">
        <f t="shared" si="10"/>
        <v/>
      </c>
      <c r="Q816" s="105"/>
      <c r="R816" s="10"/>
      <c r="S816" s="59" t="str">
        <f t="array" ref="S816">IF(COUNTA(Q816:Q1644)=0,"",SUM((COUNTIF(Q$4:Q816,Upgrades!$B$3:$B$13)-COUNTIF(Q$4:Q816,"Sell_"&amp;Upgrades!$B$3:$B$13))*Upgrades!$D$3:$D$13))</f>
        <v/>
      </c>
      <c r="T816" s="66" t="str">
        <f>IFERROR(__xludf.DUMMYFUNCTION("IF(COUNTA(Q816:Q1644)=0,"""",IF(REGEXMATCH(INDEX(FILTER(Q$4:Q816,Q$4:Q816&lt;&gt;""""),ROWS(FILTER(Q$4:Q816,Q$4:Q816&lt;&gt;""""))),""^Sell_""),INDEX(FILTER(T$4:T815,Q$4:Q815&lt;&gt;""""),ROWS(FILTER(Q$4:Q815,Q$4:Q815&lt;&gt;""""))),$AD$5+S816))"),"")</f>
        <v/>
      </c>
      <c r="U816" s="10" t="str">
        <f>IFERROR(__xludf.DUMMYFUNCTION("IF(COUNTA(Q816:Q1644)=0,"""",IF(Q816="""",0,IF(REGEXMATCH(Q816,""^Sell_""),-ROUNDDOWN(ROUNDUP(INDEX(Upgrades!$C$3:$C$13,MATCH(SUBSTITUTE(Q816,""Sell_"",""""),Upgrades!$B$3:$B$13,0))*1.15^(COUNTIF(Q$4:Q815,SUBSTITUTE(Q816,""Sell_"",""""))-COUNTIF(Q$4:Q815,"&amp;"""Sell_""&amp;SUBSTITUTE(Q816,""Sell_"",""""))))/2),ROUNDUP(INDEX(Upgrades!$C$3:$C$13,MATCH(Q816,Upgrades!$B$3:$B$13,0))*1.15^(COUNTIF(Q$4:Q815,Q816)-COUNTIF(Q$4:Q815,""Sell_""&amp;Q816))))))"),"")</f>
        <v/>
      </c>
      <c r="V816" s="10" t="str">
        <f t="shared" si="11"/>
        <v/>
      </c>
      <c r="W816" s="68" t="str">
        <f t="shared" si="12"/>
        <v/>
      </c>
      <c r="X816" s="59" t="str">
        <f t="shared" si="13"/>
        <v/>
      </c>
      <c r="Y816" s="69" t="str">
        <f t="shared" si="14"/>
        <v/>
      </c>
      <c r="Z816" s="11"/>
      <c r="AG816" s="59"/>
    </row>
    <row r="817">
      <c r="A817" s="8"/>
      <c r="B817" s="56" t="str">
        <f t="shared" si="2"/>
        <v/>
      </c>
      <c r="C817" s="105"/>
      <c r="D817" s="10"/>
      <c r="E817" s="59" t="str">
        <f t="array" ref="E817">IF(COUNTA(C817:C1644)=0,"",SUM((COUNTIF(C$4:C817,Upgrades!$B$3:$B$13)-COUNTIF(C$4:C817,"Sell_"&amp;Upgrades!$B$3:$B$13))*Upgrades!$D$3:$D$13))</f>
        <v/>
      </c>
      <c r="F817" s="66" t="str">
        <f>IFERROR(__xludf.DUMMYFUNCTION("IF(COUNTA(C817:C1644)=0,"""",IF(REGEXMATCH(INDEX(FILTER(C$4:C817,C$4:C817&lt;&gt;""""),ROWS(FILTER(C$4:C817,C$4:C817&lt;&gt;""""))),""^Sell_""),INDEX(FILTER(F$4:F816,C$4:C816&lt;&gt;""""),ROWS(FILTER(C$4:C816,C$4:C816&lt;&gt;""""))),$AC$5+E817))"),"")</f>
        <v/>
      </c>
      <c r="G817" s="10" t="str">
        <f>IFERROR(__xludf.DUMMYFUNCTION("IF(COUNTA(C817:C1644)=0,"""",IF(C817="""",0,IF(REGEXMATCH(C817,""^Sell_""),-ROUNDDOWN(ROUNDUP(INDEX(Upgrades!$C$3:$C$13,MATCH(SUBSTITUTE(C817,""Sell_"",""""),Upgrades!$B$3:$B$13,0))*1.15^(COUNTIF(C$4:C816,SUBSTITUTE(C817,""Sell_"",""""))-COUNTIF(C$4:C816,"&amp;"""Sell_""&amp;SUBSTITUTE(C817,""Sell_"",""""))))/2),ROUNDUP(INDEX(Upgrades!$C$3:$C$13,MATCH(C817,Upgrades!$B$3:$B$13,0))*1.15^(COUNTIF(C$4:C816,C817)-COUNTIF(C$4:C816,""Sell_""&amp;C817))))))"),"")</f>
        <v/>
      </c>
      <c r="H817" s="10" t="str">
        <f t="shared" si="3"/>
        <v/>
      </c>
      <c r="I817" s="68" t="str">
        <f t="shared" si="4"/>
        <v/>
      </c>
      <c r="J817" s="59" t="str">
        <f t="shared" si="5"/>
        <v/>
      </c>
      <c r="K817" s="69" t="str">
        <f t="shared" si="6"/>
        <v/>
      </c>
      <c r="L817" s="60" t="str">
        <f t="shared" si="7"/>
        <v/>
      </c>
      <c r="M817" s="61" t="str">
        <f>IFERROR(__xludf.DUMMYFUNCTION("IFS(AND(COUNTA(C817:C1644)=0,COUNTA(Q817:Q1644)=0),"""",OR(AND(K817&gt;=1000000000,OR(Y817&gt;=1000000000,COUNTA(Q817:Q1644)=0)),OR(Y817&gt;=1000000000,AND(COUNTA(C817:C1644)=0,P$3=TRUE))),
ROUNDDOWN((AB$1-AC$1)*MAX(INDEX(T$4:T1644,MATCH(LARGE(FILTER(Y$4:Y1644,Y$4"&amp;":Y1644&lt;1000000000),1),Y$4:Y1644)),INDEX(F$4:F1644,MATCH(LARGE(FILTER(K$4:K1644,K$4:K1644&lt;1000000000),1),K$4:K1644)))),AND(K817&lt;1000000000,COUNTA(C817:C1644)&gt;0,P$3=FALSE),
ROUNDDOWN(INDEX(Y$4:Y1644,MATCH(LARGE(FILTER(W$4:W1644,W$4:W1644&lt;=I817),1),W$4:W1644"&amp;"))+(I817-LARGE(FILTER(W$4:W1644,W$4:W1644&lt;=I817),1))*INDEX(T$4:T1644,MATCH(LARGE(FILTER(W$4:W1644,W$4:W1644&lt;=I817),1),W$4:W1644))-K817),1,
ROUNDDOWN(Y817-INDEX(K$4:K1644,MATCH(LARGE(FILTER(I$4:I1644,I$4:I1644&lt;=W817),1),I$4:I1644))-(W817-LARGE(FILTER(I$4:I"&amp;"1644,I$4:I1644&lt;=W817),1))*INDEX(F$4:F1644,MATCH(LARGE(FILTER(I$4:I1644,I$4:I1644&lt;=W817),1),I$4:I1644))))"),"")</f>
        <v/>
      </c>
      <c r="N817" s="60" t="str">
        <f t="shared" si="8"/>
        <v/>
      </c>
      <c r="O817" s="61" t="str">
        <f t="shared" si="9"/>
        <v/>
      </c>
      <c r="P817" s="56" t="str">
        <f t="shared" si="10"/>
        <v/>
      </c>
      <c r="Q817" s="105"/>
      <c r="R817" s="10"/>
      <c r="S817" s="59" t="str">
        <f t="array" ref="S817">IF(COUNTA(Q817:Q1644)=0,"",SUM((COUNTIF(Q$4:Q817,Upgrades!$B$3:$B$13)-COUNTIF(Q$4:Q817,"Sell_"&amp;Upgrades!$B$3:$B$13))*Upgrades!$D$3:$D$13))</f>
        <v/>
      </c>
      <c r="T817" s="66" t="str">
        <f>IFERROR(__xludf.DUMMYFUNCTION("IF(COUNTA(Q817:Q1644)=0,"""",IF(REGEXMATCH(INDEX(FILTER(Q$4:Q817,Q$4:Q817&lt;&gt;""""),ROWS(FILTER(Q$4:Q817,Q$4:Q817&lt;&gt;""""))),""^Sell_""),INDEX(FILTER(T$4:T816,Q$4:Q816&lt;&gt;""""),ROWS(FILTER(Q$4:Q816,Q$4:Q816&lt;&gt;""""))),$AD$5+S817))"),"")</f>
        <v/>
      </c>
      <c r="U817" s="10" t="str">
        <f>IFERROR(__xludf.DUMMYFUNCTION("IF(COUNTA(Q817:Q1644)=0,"""",IF(Q817="""",0,IF(REGEXMATCH(Q817,""^Sell_""),-ROUNDDOWN(ROUNDUP(INDEX(Upgrades!$C$3:$C$13,MATCH(SUBSTITUTE(Q817,""Sell_"",""""),Upgrades!$B$3:$B$13,0))*1.15^(COUNTIF(Q$4:Q816,SUBSTITUTE(Q817,""Sell_"",""""))-COUNTIF(Q$4:Q816,"&amp;"""Sell_""&amp;SUBSTITUTE(Q817,""Sell_"",""""))))/2),ROUNDUP(INDEX(Upgrades!$C$3:$C$13,MATCH(Q817,Upgrades!$B$3:$B$13,0))*1.15^(COUNTIF(Q$4:Q816,Q817)-COUNTIF(Q$4:Q816,""Sell_""&amp;Q817))))))"),"")</f>
        <v/>
      </c>
      <c r="V817" s="10" t="str">
        <f t="shared" si="11"/>
        <v/>
      </c>
      <c r="W817" s="68" t="str">
        <f t="shared" si="12"/>
        <v/>
      </c>
      <c r="X817" s="59" t="str">
        <f t="shared" si="13"/>
        <v/>
      </c>
      <c r="Y817" s="69" t="str">
        <f t="shared" si="14"/>
        <v/>
      </c>
      <c r="Z817" s="11"/>
      <c r="AG817" s="59"/>
    </row>
    <row r="818">
      <c r="A818" s="8"/>
      <c r="B818" s="56" t="str">
        <f t="shared" si="2"/>
        <v/>
      </c>
      <c r="C818" s="105"/>
      <c r="D818" s="10"/>
      <c r="E818" s="59" t="str">
        <f t="array" ref="E818">IF(COUNTA(C818:C1644)=0,"",SUM((COUNTIF(C$4:C818,Upgrades!$B$3:$B$13)-COUNTIF(C$4:C818,"Sell_"&amp;Upgrades!$B$3:$B$13))*Upgrades!$D$3:$D$13))</f>
        <v/>
      </c>
      <c r="F818" s="66" t="str">
        <f>IFERROR(__xludf.DUMMYFUNCTION("IF(COUNTA(C818:C1644)=0,"""",IF(REGEXMATCH(INDEX(FILTER(C$4:C818,C$4:C818&lt;&gt;""""),ROWS(FILTER(C$4:C818,C$4:C818&lt;&gt;""""))),""^Sell_""),INDEX(FILTER(F$4:F817,C$4:C817&lt;&gt;""""),ROWS(FILTER(C$4:C817,C$4:C817&lt;&gt;""""))),$AC$5+E818))"),"")</f>
        <v/>
      </c>
      <c r="G818" s="10" t="str">
        <f>IFERROR(__xludf.DUMMYFUNCTION("IF(COUNTA(C818:C1644)=0,"""",IF(C818="""",0,IF(REGEXMATCH(C818,""^Sell_""),-ROUNDDOWN(ROUNDUP(INDEX(Upgrades!$C$3:$C$13,MATCH(SUBSTITUTE(C818,""Sell_"",""""),Upgrades!$B$3:$B$13,0))*1.15^(COUNTIF(C$4:C817,SUBSTITUTE(C818,""Sell_"",""""))-COUNTIF(C$4:C817,"&amp;"""Sell_""&amp;SUBSTITUTE(C818,""Sell_"",""""))))/2),ROUNDUP(INDEX(Upgrades!$C$3:$C$13,MATCH(C818,Upgrades!$B$3:$B$13,0))*1.15^(COUNTIF(C$4:C817,C818)-COUNTIF(C$4:C817,""Sell_""&amp;C818))))))"),"")</f>
        <v/>
      </c>
      <c r="H818" s="10" t="str">
        <f t="shared" si="3"/>
        <v/>
      </c>
      <c r="I818" s="68" t="str">
        <f t="shared" si="4"/>
        <v/>
      </c>
      <c r="J818" s="59" t="str">
        <f t="shared" si="5"/>
        <v/>
      </c>
      <c r="K818" s="69" t="str">
        <f t="shared" si="6"/>
        <v/>
      </c>
      <c r="L818" s="60" t="str">
        <f t="shared" si="7"/>
        <v/>
      </c>
      <c r="M818" s="61" t="str">
        <f>IFERROR(__xludf.DUMMYFUNCTION("IFS(AND(COUNTA(C818:C1644)=0,COUNTA(Q818:Q1644)=0),"""",OR(AND(K818&gt;=1000000000,OR(Y818&gt;=1000000000,COUNTA(Q818:Q1644)=0)),OR(Y818&gt;=1000000000,AND(COUNTA(C818:C1644)=0,P$3=TRUE))),
ROUNDDOWN((AB$1-AC$1)*MAX(INDEX(T$4:T1644,MATCH(LARGE(FILTER(Y$4:Y1644,Y$4"&amp;":Y1644&lt;1000000000),1),Y$4:Y1644)),INDEX(F$4:F1644,MATCH(LARGE(FILTER(K$4:K1644,K$4:K1644&lt;1000000000),1),K$4:K1644)))),AND(K818&lt;1000000000,COUNTA(C818:C1644)&gt;0,P$3=FALSE),
ROUNDDOWN(INDEX(Y$4:Y1644,MATCH(LARGE(FILTER(W$4:W1644,W$4:W1644&lt;=I818),1),W$4:W1644"&amp;"))+(I818-LARGE(FILTER(W$4:W1644,W$4:W1644&lt;=I818),1))*INDEX(T$4:T1644,MATCH(LARGE(FILTER(W$4:W1644,W$4:W1644&lt;=I818),1),W$4:W1644))-K818),1,
ROUNDDOWN(Y818-INDEX(K$4:K1644,MATCH(LARGE(FILTER(I$4:I1644,I$4:I1644&lt;=W818),1),I$4:I1644))-(W818-LARGE(FILTER(I$4:I"&amp;"1644,I$4:I1644&lt;=W818),1))*INDEX(F$4:F1644,MATCH(LARGE(FILTER(I$4:I1644,I$4:I1644&lt;=W818),1),I$4:I1644))))"),"")</f>
        <v/>
      </c>
      <c r="N818" s="60" t="str">
        <f t="shared" si="8"/>
        <v/>
      </c>
      <c r="O818" s="61" t="str">
        <f t="shared" si="9"/>
        <v/>
      </c>
      <c r="P818" s="56" t="str">
        <f t="shared" si="10"/>
        <v/>
      </c>
      <c r="Q818" s="105"/>
      <c r="R818" s="10"/>
      <c r="S818" s="59" t="str">
        <f t="array" ref="S818">IF(COUNTA(Q818:Q1644)=0,"",SUM((COUNTIF(Q$4:Q818,Upgrades!$B$3:$B$13)-COUNTIF(Q$4:Q818,"Sell_"&amp;Upgrades!$B$3:$B$13))*Upgrades!$D$3:$D$13))</f>
        <v/>
      </c>
      <c r="T818" s="66" t="str">
        <f>IFERROR(__xludf.DUMMYFUNCTION("IF(COUNTA(Q818:Q1644)=0,"""",IF(REGEXMATCH(INDEX(FILTER(Q$4:Q818,Q$4:Q818&lt;&gt;""""),ROWS(FILTER(Q$4:Q818,Q$4:Q818&lt;&gt;""""))),""^Sell_""),INDEX(FILTER(T$4:T817,Q$4:Q817&lt;&gt;""""),ROWS(FILTER(Q$4:Q817,Q$4:Q817&lt;&gt;""""))),$AD$5+S818))"),"")</f>
        <v/>
      </c>
      <c r="U818" s="10" t="str">
        <f>IFERROR(__xludf.DUMMYFUNCTION("IF(COUNTA(Q818:Q1644)=0,"""",IF(Q818="""",0,IF(REGEXMATCH(Q818,""^Sell_""),-ROUNDDOWN(ROUNDUP(INDEX(Upgrades!$C$3:$C$13,MATCH(SUBSTITUTE(Q818,""Sell_"",""""),Upgrades!$B$3:$B$13,0))*1.15^(COUNTIF(Q$4:Q817,SUBSTITUTE(Q818,""Sell_"",""""))-COUNTIF(Q$4:Q817,"&amp;"""Sell_""&amp;SUBSTITUTE(Q818,""Sell_"",""""))))/2),ROUNDUP(INDEX(Upgrades!$C$3:$C$13,MATCH(Q818,Upgrades!$B$3:$B$13,0))*1.15^(COUNTIF(Q$4:Q817,Q818)-COUNTIF(Q$4:Q817,""Sell_""&amp;Q818))))))"),"")</f>
        <v/>
      </c>
      <c r="V818" s="10" t="str">
        <f t="shared" si="11"/>
        <v/>
      </c>
      <c r="W818" s="68" t="str">
        <f t="shared" si="12"/>
        <v/>
      </c>
      <c r="X818" s="59" t="str">
        <f t="shared" si="13"/>
        <v/>
      </c>
      <c r="Y818" s="69" t="str">
        <f t="shared" si="14"/>
        <v/>
      </c>
      <c r="Z818" s="11"/>
      <c r="AG818" s="59"/>
    </row>
    <row r="819">
      <c r="A819" s="8"/>
      <c r="B819" s="56" t="str">
        <f t="shared" si="2"/>
        <v/>
      </c>
      <c r="C819" s="105"/>
      <c r="D819" s="10"/>
      <c r="E819" s="59" t="str">
        <f t="array" ref="E819">IF(COUNTA(C819:C1644)=0,"",SUM((COUNTIF(C$4:C819,Upgrades!$B$3:$B$13)-COUNTIF(C$4:C819,"Sell_"&amp;Upgrades!$B$3:$B$13))*Upgrades!$D$3:$D$13))</f>
        <v/>
      </c>
      <c r="F819" s="66" t="str">
        <f>IFERROR(__xludf.DUMMYFUNCTION("IF(COUNTA(C819:C1644)=0,"""",IF(REGEXMATCH(INDEX(FILTER(C$4:C819,C$4:C819&lt;&gt;""""),ROWS(FILTER(C$4:C819,C$4:C819&lt;&gt;""""))),""^Sell_""),INDEX(FILTER(F$4:F818,C$4:C818&lt;&gt;""""),ROWS(FILTER(C$4:C818,C$4:C818&lt;&gt;""""))),$AC$5+E819))"),"")</f>
        <v/>
      </c>
      <c r="G819" s="10" t="str">
        <f>IFERROR(__xludf.DUMMYFUNCTION("IF(COUNTA(C819:C1644)=0,"""",IF(C819="""",0,IF(REGEXMATCH(C819,""^Sell_""),-ROUNDDOWN(ROUNDUP(INDEX(Upgrades!$C$3:$C$13,MATCH(SUBSTITUTE(C819,""Sell_"",""""),Upgrades!$B$3:$B$13,0))*1.15^(COUNTIF(C$4:C818,SUBSTITUTE(C819,""Sell_"",""""))-COUNTIF(C$4:C818,"&amp;"""Sell_""&amp;SUBSTITUTE(C819,""Sell_"",""""))))/2),ROUNDUP(INDEX(Upgrades!$C$3:$C$13,MATCH(C819,Upgrades!$B$3:$B$13,0))*1.15^(COUNTIF(C$4:C818,C819)-COUNTIF(C$4:C818,""Sell_""&amp;C819))))))"),"")</f>
        <v/>
      </c>
      <c r="H819" s="10" t="str">
        <f t="shared" si="3"/>
        <v/>
      </c>
      <c r="I819" s="68" t="str">
        <f t="shared" si="4"/>
        <v/>
      </c>
      <c r="J819" s="59" t="str">
        <f t="shared" si="5"/>
        <v/>
      </c>
      <c r="K819" s="69" t="str">
        <f t="shared" si="6"/>
        <v/>
      </c>
      <c r="L819" s="60" t="str">
        <f t="shared" si="7"/>
        <v/>
      </c>
      <c r="M819" s="61" t="str">
        <f>IFERROR(__xludf.DUMMYFUNCTION("IFS(AND(COUNTA(C819:C1644)=0,COUNTA(Q819:Q1644)=0),"""",OR(AND(K819&gt;=1000000000,OR(Y819&gt;=1000000000,COUNTA(Q819:Q1644)=0)),OR(Y819&gt;=1000000000,AND(COUNTA(C819:C1644)=0,P$3=TRUE))),
ROUNDDOWN((AB$1-AC$1)*MAX(INDEX(T$4:T1644,MATCH(LARGE(FILTER(Y$4:Y1644,Y$4"&amp;":Y1644&lt;1000000000),1),Y$4:Y1644)),INDEX(F$4:F1644,MATCH(LARGE(FILTER(K$4:K1644,K$4:K1644&lt;1000000000),1),K$4:K1644)))),AND(K819&lt;1000000000,COUNTA(C819:C1644)&gt;0,P$3=FALSE),
ROUNDDOWN(INDEX(Y$4:Y1644,MATCH(LARGE(FILTER(W$4:W1644,W$4:W1644&lt;=I819),1),W$4:W1644"&amp;"))+(I819-LARGE(FILTER(W$4:W1644,W$4:W1644&lt;=I819),1))*INDEX(T$4:T1644,MATCH(LARGE(FILTER(W$4:W1644,W$4:W1644&lt;=I819),1),W$4:W1644))-K819),1,
ROUNDDOWN(Y819-INDEX(K$4:K1644,MATCH(LARGE(FILTER(I$4:I1644,I$4:I1644&lt;=W819),1),I$4:I1644))-(W819-LARGE(FILTER(I$4:I"&amp;"1644,I$4:I1644&lt;=W819),1))*INDEX(F$4:F1644,MATCH(LARGE(FILTER(I$4:I1644,I$4:I1644&lt;=W819),1),I$4:I1644))))"),"")</f>
        <v/>
      </c>
      <c r="N819" s="60" t="str">
        <f t="shared" si="8"/>
        <v/>
      </c>
      <c r="O819" s="61" t="str">
        <f t="shared" si="9"/>
        <v/>
      </c>
      <c r="P819" s="56" t="str">
        <f t="shared" si="10"/>
        <v/>
      </c>
      <c r="Q819" s="105"/>
      <c r="R819" s="10"/>
      <c r="S819" s="59" t="str">
        <f t="array" ref="S819">IF(COUNTA(Q819:Q1644)=0,"",SUM((COUNTIF(Q$4:Q819,Upgrades!$B$3:$B$13)-COUNTIF(Q$4:Q819,"Sell_"&amp;Upgrades!$B$3:$B$13))*Upgrades!$D$3:$D$13))</f>
        <v/>
      </c>
      <c r="T819" s="66" t="str">
        <f>IFERROR(__xludf.DUMMYFUNCTION("IF(COUNTA(Q819:Q1644)=0,"""",IF(REGEXMATCH(INDEX(FILTER(Q$4:Q819,Q$4:Q819&lt;&gt;""""),ROWS(FILTER(Q$4:Q819,Q$4:Q819&lt;&gt;""""))),""^Sell_""),INDEX(FILTER(T$4:T818,Q$4:Q818&lt;&gt;""""),ROWS(FILTER(Q$4:Q818,Q$4:Q818&lt;&gt;""""))),$AD$5+S819))"),"")</f>
        <v/>
      </c>
      <c r="U819" s="10" t="str">
        <f>IFERROR(__xludf.DUMMYFUNCTION("IF(COUNTA(Q819:Q1644)=0,"""",IF(Q819="""",0,IF(REGEXMATCH(Q819,""^Sell_""),-ROUNDDOWN(ROUNDUP(INDEX(Upgrades!$C$3:$C$13,MATCH(SUBSTITUTE(Q819,""Sell_"",""""),Upgrades!$B$3:$B$13,0))*1.15^(COUNTIF(Q$4:Q818,SUBSTITUTE(Q819,""Sell_"",""""))-COUNTIF(Q$4:Q818,"&amp;"""Sell_""&amp;SUBSTITUTE(Q819,""Sell_"",""""))))/2),ROUNDUP(INDEX(Upgrades!$C$3:$C$13,MATCH(Q819,Upgrades!$B$3:$B$13,0))*1.15^(COUNTIF(Q$4:Q818,Q819)-COUNTIF(Q$4:Q818,""Sell_""&amp;Q819))))))"),"")</f>
        <v/>
      </c>
      <c r="V819" s="10" t="str">
        <f t="shared" si="11"/>
        <v/>
      </c>
      <c r="W819" s="68" t="str">
        <f t="shared" si="12"/>
        <v/>
      </c>
      <c r="X819" s="59" t="str">
        <f t="shared" si="13"/>
        <v/>
      </c>
      <c r="Y819" s="69" t="str">
        <f t="shared" si="14"/>
        <v/>
      </c>
      <c r="Z819" s="11"/>
      <c r="AG819" s="59"/>
    </row>
    <row r="820">
      <c r="A820" s="8"/>
      <c r="B820" s="56" t="str">
        <f t="shared" si="2"/>
        <v/>
      </c>
      <c r="C820" s="105"/>
      <c r="D820" s="10"/>
      <c r="E820" s="59" t="str">
        <f t="array" ref="E820">IF(COUNTA(C820:C1644)=0,"",SUM((COUNTIF(C$4:C820,Upgrades!$B$3:$B$13)-COUNTIF(C$4:C820,"Sell_"&amp;Upgrades!$B$3:$B$13))*Upgrades!$D$3:$D$13))</f>
        <v/>
      </c>
      <c r="F820" s="66" t="str">
        <f>IFERROR(__xludf.DUMMYFUNCTION("IF(COUNTA(C820:C1644)=0,"""",IF(REGEXMATCH(INDEX(FILTER(C$4:C820,C$4:C820&lt;&gt;""""),ROWS(FILTER(C$4:C820,C$4:C820&lt;&gt;""""))),""^Sell_""),INDEX(FILTER(F$4:F819,C$4:C819&lt;&gt;""""),ROWS(FILTER(C$4:C819,C$4:C819&lt;&gt;""""))),$AC$5+E820))"),"")</f>
        <v/>
      </c>
      <c r="G820" s="10" t="str">
        <f>IFERROR(__xludf.DUMMYFUNCTION("IF(COUNTA(C820:C1644)=0,"""",IF(C820="""",0,IF(REGEXMATCH(C820,""^Sell_""),-ROUNDDOWN(ROUNDUP(INDEX(Upgrades!$C$3:$C$13,MATCH(SUBSTITUTE(C820,""Sell_"",""""),Upgrades!$B$3:$B$13,0))*1.15^(COUNTIF(C$4:C819,SUBSTITUTE(C820,""Sell_"",""""))-COUNTIF(C$4:C819,"&amp;"""Sell_""&amp;SUBSTITUTE(C820,""Sell_"",""""))))/2),ROUNDUP(INDEX(Upgrades!$C$3:$C$13,MATCH(C820,Upgrades!$B$3:$B$13,0))*1.15^(COUNTIF(C$4:C819,C820)-COUNTIF(C$4:C819,""Sell_""&amp;C820))))))"),"")</f>
        <v/>
      </c>
      <c r="H820" s="10" t="str">
        <f t="shared" si="3"/>
        <v/>
      </c>
      <c r="I820" s="68" t="str">
        <f t="shared" si="4"/>
        <v/>
      </c>
      <c r="J820" s="59" t="str">
        <f t="shared" si="5"/>
        <v/>
      </c>
      <c r="K820" s="69" t="str">
        <f t="shared" si="6"/>
        <v/>
      </c>
      <c r="L820" s="60" t="str">
        <f t="shared" si="7"/>
        <v/>
      </c>
      <c r="M820" s="61" t="str">
        <f>IFERROR(__xludf.DUMMYFUNCTION("IFS(AND(COUNTA(C820:C1644)=0,COUNTA(Q820:Q1644)=0),"""",OR(AND(K820&gt;=1000000000,OR(Y820&gt;=1000000000,COUNTA(Q820:Q1644)=0)),OR(Y820&gt;=1000000000,AND(COUNTA(C820:C1644)=0,P$3=TRUE))),
ROUNDDOWN((AB$1-AC$1)*MAX(INDEX(T$4:T1644,MATCH(LARGE(FILTER(Y$4:Y1644,Y$4"&amp;":Y1644&lt;1000000000),1),Y$4:Y1644)),INDEX(F$4:F1644,MATCH(LARGE(FILTER(K$4:K1644,K$4:K1644&lt;1000000000),1),K$4:K1644)))),AND(K820&lt;1000000000,COUNTA(C820:C1644)&gt;0,P$3=FALSE),
ROUNDDOWN(INDEX(Y$4:Y1644,MATCH(LARGE(FILTER(W$4:W1644,W$4:W1644&lt;=I820),1),W$4:W1644"&amp;"))+(I820-LARGE(FILTER(W$4:W1644,W$4:W1644&lt;=I820),1))*INDEX(T$4:T1644,MATCH(LARGE(FILTER(W$4:W1644,W$4:W1644&lt;=I820),1),W$4:W1644))-K820),1,
ROUNDDOWN(Y820-INDEX(K$4:K1644,MATCH(LARGE(FILTER(I$4:I1644,I$4:I1644&lt;=W820),1),I$4:I1644))-(W820-LARGE(FILTER(I$4:I"&amp;"1644,I$4:I1644&lt;=W820),1))*INDEX(F$4:F1644,MATCH(LARGE(FILTER(I$4:I1644,I$4:I1644&lt;=W820),1),I$4:I1644))))"),"")</f>
        <v/>
      </c>
      <c r="N820" s="60" t="str">
        <f t="shared" si="8"/>
        <v/>
      </c>
      <c r="O820" s="61" t="str">
        <f t="shared" si="9"/>
        <v/>
      </c>
      <c r="P820" s="56" t="str">
        <f t="shared" si="10"/>
        <v/>
      </c>
      <c r="Q820" s="105"/>
      <c r="R820" s="10"/>
      <c r="S820" s="59" t="str">
        <f t="array" ref="S820">IF(COUNTA(Q820:Q1644)=0,"",SUM((COUNTIF(Q$4:Q820,Upgrades!$B$3:$B$13)-COUNTIF(Q$4:Q820,"Sell_"&amp;Upgrades!$B$3:$B$13))*Upgrades!$D$3:$D$13))</f>
        <v/>
      </c>
      <c r="T820" s="66" t="str">
        <f>IFERROR(__xludf.DUMMYFUNCTION("IF(COUNTA(Q820:Q1644)=0,"""",IF(REGEXMATCH(INDEX(FILTER(Q$4:Q820,Q$4:Q820&lt;&gt;""""),ROWS(FILTER(Q$4:Q820,Q$4:Q820&lt;&gt;""""))),""^Sell_""),INDEX(FILTER(T$4:T819,Q$4:Q819&lt;&gt;""""),ROWS(FILTER(Q$4:Q819,Q$4:Q819&lt;&gt;""""))),$AD$5+S820))"),"")</f>
        <v/>
      </c>
      <c r="U820" s="10" t="str">
        <f>IFERROR(__xludf.DUMMYFUNCTION("IF(COUNTA(Q820:Q1644)=0,"""",IF(Q820="""",0,IF(REGEXMATCH(Q820,""^Sell_""),-ROUNDDOWN(ROUNDUP(INDEX(Upgrades!$C$3:$C$13,MATCH(SUBSTITUTE(Q820,""Sell_"",""""),Upgrades!$B$3:$B$13,0))*1.15^(COUNTIF(Q$4:Q819,SUBSTITUTE(Q820,""Sell_"",""""))-COUNTIF(Q$4:Q819,"&amp;"""Sell_""&amp;SUBSTITUTE(Q820,""Sell_"",""""))))/2),ROUNDUP(INDEX(Upgrades!$C$3:$C$13,MATCH(Q820,Upgrades!$B$3:$B$13,0))*1.15^(COUNTIF(Q$4:Q819,Q820)-COUNTIF(Q$4:Q819,""Sell_""&amp;Q820))))))"),"")</f>
        <v/>
      </c>
      <c r="V820" s="10" t="str">
        <f t="shared" si="11"/>
        <v/>
      </c>
      <c r="W820" s="68" t="str">
        <f t="shared" si="12"/>
        <v/>
      </c>
      <c r="X820" s="59" t="str">
        <f t="shared" si="13"/>
        <v/>
      </c>
      <c r="Y820" s="69" t="str">
        <f t="shared" si="14"/>
        <v/>
      </c>
      <c r="Z820" s="11"/>
      <c r="AG820" s="59"/>
    </row>
    <row r="821">
      <c r="A821" s="8"/>
      <c r="B821" s="56" t="str">
        <f t="shared" si="2"/>
        <v/>
      </c>
      <c r="C821" s="105"/>
      <c r="D821" s="10"/>
      <c r="E821" s="59" t="str">
        <f t="array" ref="E821">IF(COUNTA(C821:C1644)=0,"",SUM((COUNTIF(C$4:C821,Upgrades!$B$3:$B$13)-COUNTIF(C$4:C821,"Sell_"&amp;Upgrades!$B$3:$B$13))*Upgrades!$D$3:$D$13))</f>
        <v/>
      </c>
      <c r="F821" s="66" t="str">
        <f>IFERROR(__xludf.DUMMYFUNCTION("IF(COUNTA(C821:C1644)=0,"""",IF(REGEXMATCH(INDEX(FILTER(C$4:C821,C$4:C821&lt;&gt;""""),ROWS(FILTER(C$4:C821,C$4:C821&lt;&gt;""""))),""^Sell_""),INDEX(FILTER(F$4:F820,C$4:C820&lt;&gt;""""),ROWS(FILTER(C$4:C820,C$4:C820&lt;&gt;""""))),$AC$5+E821))"),"")</f>
        <v/>
      </c>
      <c r="G821" s="10" t="str">
        <f>IFERROR(__xludf.DUMMYFUNCTION("IF(COUNTA(C821:C1644)=0,"""",IF(C821="""",0,IF(REGEXMATCH(C821,""^Sell_""),-ROUNDDOWN(ROUNDUP(INDEX(Upgrades!$C$3:$C$13,MATCH(SUBSTITUTE(C821,""Sell_"",""""),Upgrades!$B$3:$B$13,0))*1.15^(COUNTIF(C$4:C820,SUBSTITUTE(C821,""Sell_"",""""))-COUNTIF(C$4:C820,"&amp;"""Sell_""&amp;SUBSTITUTE(C821,""Sell_"",""""))))/2),ROUNDUP(INDEX(Upgrades!$C$3:$C$13,MATCH(C821,Upgrades!$B$3:$B$13,0))*1.15^(COUNTIF(C$4:C820,C821)-COUNTIF(C$4:C820,""Sell_""&amp;C821))))))"),"")</f>
        <v/>
      </c>
      <c r="H821" s="10" t="str">
        <f t="shared" si="3"/>
        <v/>
      </c>
      <c r="I821" s="68" t="str">
        <f t="shared" si="4"/>
        <v/>
      </c>
      <c r="J821" s="59" t="str">
        <f t="shared" si="5"/>
        <v/>
      </c>
      <c r="K821" s="69" t="str">
        <f t="shared" si="6"/>
        <v/>
      </c>
      <c r="L821" s="60" t="str">
        <f t="shared" si="7"/>
        <v/>
      </c>
      <c r="M821" s="61" t="str">
        <f>IFERROR(__xludf.DUMMYFUNCTION("IFS(AND(COUNTA(C821:C1644)=0,COUNTA(Q821:Q1644)=0),"""",OR(AND(K821&gt;=1000000000,OR(Y821&gt;=1000000000,COUNTA(Q821:Q1644)=0)),OR(Y821&gt;=1000000000,AND(COUNTA(C821:C1644)=0,P$3=TRUE))),
ROUNDDOWN((AB$1-AC$1)*MAX(INDEX(T$4:T1644,MATCH(LARGE(FILTER(Y$4:Y1644,Y$4"&amp;":Y1644&lt;1000000000),1),Y$4:Y1644)),INDEX(F$4:F1644,MATCH(LARGE(FILTER(K$4:K1644,K$4:K1644&lt;1000000000),1),K$4:K1644)))),AND(K821&lt;1000000000,COUNTA(C821:C1644)&gt;0,P$3=FALSE),
ROUNDDOWN(INDEX(Y$4:Y1644,MATCH(LARGE(FILTER(W$4:W1644,W$4:W1644&lt;=I821),1),W$4:W1644"&amp;"))+(I821-LARGE(FILTER(W$4:W1644,W$4:W1644&lt;=I821),1))*INDEX(T$4:T1644,MATCH(LARGE(FILTER(W$4:W1644,W$4:W1644&lt;=I821),1),W$4:W1644))-K821),1,
ROUNDDOWN(Y821-INDEX(K$4:K1644,MATCH(LARGE(FILTER(I$4:I1644,I$4:I1644&lt;=W821),1),I$4:I1644))-(W821-LARGE(FILTER(I$4:I"&amp;"1644,I$4:I1644&lt;=W821),1))*INDEX(F$4:F1644,MATCH(LARGE(FILTER(I$4:I1644,I$4:I1644&lt;=W821),1),I$4:I1644))))"),"")</f>
        <v/>
      </c>
      <c r="N821" s="60" t="str">
        <f t="shared" si="8"/>
        <v/>
      </c>
      <c r="O821" s="61" t="str">
        <f t="shared" si="9"/>
        <v/>
      </c>
      <c r="P821" s="56" t="str">
        <f t="shared" si="10"/>
        <v/>
      </c>
      <c r="Q821" s="105"/>
      <c r="R821" s="10"/>
      <c r="S821" s="59" t="str">
        <f t="array" ref="S821">IF(COUNTA(Q821:Q1644)=0,"",SUM((COUNTIF(Q$4:Q821,Upgrades!$B$3:$B$13)-COUNTIF(Q$4:Q821,"Sell_"&amp;Upgrades!$B$3:$B$13))*Upgrades!$D$3:$D$13))</f>
        <v/>
      </c>
      <c r="T821" s="66" t="str">
        <f>IFERROR(__xludf.DUMMYFUNCTION("IF(COUNTA(Q821:Q1644)=0,"""",IF(REGEXMATCH(INDEX(FILTER(Q$4:Q821,Q$4:Q821&lt;&gt;""""),ROWS(FILTER(Q$4:Q821,Q$4:Q821&lt;&gt;""""))),""^Sell_""),INDEX(FILTER(T$4:T820,Q$4:Q820&lt;&gt;""""),ROWS(FILTER(Q$4:Q820,Q$4:Q820&lt;&gt;""""))),$AD$5+S821))"),"")</f>
        <v/>
      </c>
      <c r="U821" s="10" t="str">
        <f>IFERROR(__xludf.DUMMYFUNCTION("IF(COUNTA(Q821:Q1644)=0,"""",IF(Q821="""",0,IF(REGEXMATCH(Q821,""^Sell_""),-ROUNDDOWN(ROUNDUP(INDEX(Upgrades!$C$3:$C$13,MATCH(SUBSTITUTE(Q821,""Sell_"",""""),Upgrades!$B$3:$B$13,0))*1.15^(COUNTIF(Q$4:Q820,SUBSTITUTE(Q821,""Sell_"",""""))-COUNTIF(Q$4:Q820,"&amp;"""Sell_""&amp;SUBSTITUTE(Q821,""Sell_"",""""))))/2),ROUNDUP(INDEX(Upgrades!$C$3:$C$13,MATCH(Q821,Upgrades!$B$3:$B$13,0))*1.15^(COUNTIF(Q$4:Q820,Q821)-COUNTIF(Q$4:Q820,""Sell_""&amp;Q821))))))"),"")</f>
        <v/>
      </c>
      <c r="V821" s="10" t="str">
        <f t="shared" si="11"/>
        <v/>
      </c>
      <c r="W821" s="68" t="str">
        <f t="shared" si="12"/>
        <v/>
      </c>
      <c r="X821" s="59" t="str">
        <f t="shared" si="13"/>
        <v/>
      </c>
      <c r="Y821" s="69" t="str">
        <f t="shared" si="14"/>
        <v/>
      </c>
      <c r="Z821" s="11"/>
      <c r="AG821" s="59"/>
    </row>
    <row r="822">
      <c r="A822" s="8"/>
      <c r="B822" s="56" t="str">
        <f t="shared" si="2"/>
        <v/>
      </c>
      <c r="C822" s="105"/>
      <c r="D822" s="10"/>
      <c r="E822" s="59" t="str">
        <f t="array" ref="E822">IF(COUNTA(C822:C1644)=0,"",SUM((COUNTIF(C$4:C822,Upgrades!$B$3:$B$13)-COUNTIF(C$4:C822,"Sell_"&amp;Upgrades!$B$3:$B$13))*Upgrades!$D$3:$D$13))</f>
        <v/>
      </c>
      <c r="F822" s="66" t="str">
        <f>IFERROR(__xludf.DUMMYFUNCTION("IF(COUNTA(C822:C1644)=0,"""",IF(REGEXMATCH(INDEX(FILTER(C$4:C822,C$4:C822&lt;&gt;""""),ROWS(FILTER(C$4:C822,C$4:C822&lt;&gt;""""))),""^Sell_""),INDEX(FILTER(F$4:F821,C$4:C821&lt;&gt;""""),ROWS(FILTER(C$4:C821,C$4:C821&lt;&gt;""""))),$AC$5+E822))"),"")</f>
        <v/>
      </c>
      <c r="G822" s="10" t="str">
        <f>IFERROR(__xludf.DUMMYFUNCTION("IF(COUNTA(C822:C1644)=0,"""",IF(C822="""",0,IF(REGEXMATCH(C822,""^Sell_""),-ROUNDDOWN(ROUNDUP(INDEX(Upgrades!$C$3:$C$13,MATCH(SUBSTITUTE(C822,""Sell_"",""""),Upgrades!$B$3:$B$13,0))*1.15^(COUNTIF(C$4:C821,SUBSTITUTE(C822,""Sell_"",""""))-COUNTIF(C$4:C821,"&amp;"""Sell_""&amp;SUBSTITUTE(C822,""Sell_"",""""))))/2),ROUNDUP(INDEX(Upgrades!$C$3:$C$13,MATCH(C822,Upgrades!$B$3:$B$13,0))*1.15^(COUNTIF(C$4:C821,C822)-COUNTIF(C$4:C821,""Sell_""&amp;C822))))))"),"")</f>
        <v/>
      </c>
      <c r="H822" s="10" t="str">
        <f t="shared" si="3"/>
        <v/>
      </c>
      <c r="I822" s="68" t="str">
        <f t="shared" si="4"/>
        <v/>
      </c>
      <c r="J822" s="59" t="str">
        <f t="shared" si="5"/>
        <v/>
      </c>
      <c r="K822" s="69" t="str">
        <f t="shared" si="6"/>
        <v/>
      </c>
      <c r="L822" s="60" t="str">
        <f t="shared" si="7"/>
        <v/>
      </c>
      <c r="M822" s="61" t="str">
        <f>IFERROR(__xludf.DUMMYFUNCTION("IFS(AND(COUNTA(C822:C1644)=0,COUNTA(Q822:Q1644)=0),"""",OR(AND(K822&gt;=1000000000,OR(Y822&gt;=1000000000,COUNTA(Q822:Q1644)=0)),OR(Y822&gt;=1000000000,AND(COUNTA(C822:C1644)=0,P$3=TRUE))),
ROUNDDOWN((AB$1-AC$1)*MAX(INDEX(T$4:T1644,MATCH(LARGE(FILTER(Y$4:Y1644,Y$4"&amp;":Y1644&lt;1000000000),1),Y$4:Y1644)),INDEX(F$4:F1644,MATCH(LARGE(FILTER(K$4:K1644,K$4:K1644&lt;1000000000),1),K$4:K1644)))),AND(K822&lt;1000000000,COUNTA(C822:C1644)&gt;0,P$3=FALSE),
ROUNDDOWN(INDEX(Y$4:Y1644,MATCH(LARGE(FILTER(W$4:W1644,W$4:W1644&lt;=I822),1),W$4:W1644"&amp;"))+(I822-LARGE(FILTER(W$4:W1644,W$4:W1644&lt;=I822),1))*INDEX(T$4:T1644,MATCH(LARGE(FILTER(W$4:W1644,W$4:W1644&lt;=I822),1),W$4:W1644))-K822),1,
ROUNDDOWN(Y822-INDEX(K$4:K1644,MATCH(LARGE(FILTER(I$4:I1644,I$4:I1644&lt;=W822),1),I$4:I1644))-(W822-LARGE(FILTER(I$4:I"&amp;"1644,I$4:I1644&lt;=W822),1))*INDEX(F$4:F1644,MATCH(LARGE(FILTER(I$4:I1644,I$4:I1644&lt;=W822),1),I$4:I1644))))"),"")</f>
        <v/>
      </c>
      <c r="N822" s="60" t="str">
        <f t="shared" si="8"/>
        <v/>
      </c>
      <c r="O822" s="61" t="str">
        <f t="shared" si="9"/>
        <v/>
      </c>
      <c r="P822" s="56" t="str">
        <f t="shared" si="10"/>
        <v/>
      </c>
      <c r="Q822" s="105"/>
      <c r="R822" s="10"/>
      <c r="S822" s="59" t="str">
        <f t="array" ref="S822">IF(COUNTA(Q822:Q1644)=0,"",SUM((COUNTIF(Q$4:Q822,Upgrades!$B$3:$B$13)-COUNTIF(Q$4:Q822,"Sell_"&amp;Upgrades!$B$3:$B$13))*Upgrades!$D$3:$D$13))</f>
        <v/>
      </c>
      <c r="T822" s="66" t="str">
        <f>IFERROR(__xludf.DUMMYFUNCTION("IF(COUNTA(Q822:Q1644)=0,"""",IF(REGEXMATCH(INDEX(FILTER(Q$4:Q822,Q$4:Q822&lt;&gt;""""),ROWS(FILTER(Q$4:Q822,Q$4:Q822&lt;&gt;""""))),""^Sell_""),INDEX(FILTER(T$4:T821,Q$4:Q821&lt;&gt;""""),ROWS(FILTER(Q$4:Q821,Q$4:Q821&lt;&gt;""""))),$AD$5+S822))"),"")</f>
        <v/>
      </c>
      <c r="U822" s="10" t="str">
        <f>IFERROR(__xludf.DUMMYFUNCTION("IF(COUNTA(Q822:Q1644)=0,"""",IF(Q822="""",0,IF(REGEXMATCH(Q822,""^Sell_""),-ROUNDDOWN(ROUNDUP(INDEX(Upgrades!$C$3:$C$13,MATCH(SUBSTITUTE(Q822,""Sell_"",""""),Upgrades!$B$3:$B$13,0))*1.15^(COUNTIF(Q$4:Q821,SUBSTITUTE(Q822,""Sell_"",""""))-COUNTIF(Q$4:Q821,"&amp;"""Sell_""&amp;SUBSTITUTE(Q822,""Sell_"",""""))))/2),ROUNDUP(INDEX(Upgrades!$C$3:$C$13,MATCH(Q822,Upgrades!$B$3:$B$13,0))*1.15^(COUNTIF(Q$4:Q821,Q822)-COUNTIF(Q$4:Q821,""Sell_""&amp;Q822))))))"),"")</f>
        <v/>
      </c>
      <c r="V822" s="10" t="str">
        <f t="shared" si="11"/>
        <v/>
      </c>
      <c r="W822" s="68" t="str">
        <f t="shared" si="12"/>
        <v/>
      </c>
      <c r="X822" s="59" t="str">
        <f t="shared" si="13"/>
        <v/>
      </c>
      <c r="Y822" s="69" t="str">
        <f t="shared" si="14"/>
        <v/>
      </c>
      <c r="Z822" s="11"/>
      <c r="AG822" s="59"/>
    </row>
    <row r="823">
      <c r="A823" s="8"/>
      <c r="B823" s="56" t="str">
        <f t="shared" si="2"/>
        <v/>
      </c>
      <c r="C823" s="105"/>
      <c r="D823" s="10"/>
      <c r="E823" s="59" t="str">
        <f t="array" ref="E823">IF(COUNTA(C823:C1644)=0,"",SUM((COUNTIF(C$4:C823,Upgrades!$B$3:$B$13)-COUNTIF(C$4:C823,"Sell_"&amp;Upgrades!$B$3:$B$13))*Upgrades!$D$3:$D$13))</f>
        <v/>
      </c>
      <c r="F823" s="66" t="str">
        <f>IFERROR(__xludf.DUMMYFUNCTION("IF(COUNTA(C823:C1644)=0,"""",IF(REGEXMATCH(INDEX(FILTER(C$4:C823,C$4:C823&lt;&gt;""""),ROWS(FILTER(C$4:C823,C$4:C823&lt;&gt;""""))),""^Sell_""),INDEX(FILTER(F$4:F822,C$4:C822&lt;&gt;""""),ROWS(FILTER(C$4:C822,C$4:C822&lt;&gt;""""))),$AC$5+E823))"),"")</f>
        <v/>
      </c>
      <c r="G823" s="10" t="str">
        <f>IFERROR(__xludf.DUMMYFUNCTION("IF(COUNTA(C823:C1644)=0,"""",IF(C823="""",0,IF(REGEXMATCH(C823,""^Sell_""),-ROUNDDOWN(ROUNDUP(INDEX(Upgrades!$C$3:$C$13,MATCH(SUBSTITUTE(C823,""Sell_"",""""),Upgrades!$B$3:$B$13,0))*1.15^(COUNTIF(C$4:C822,SUBSTITUTE(C823,""Sell_"",""""))-COUNTIF(C$4:C822,"&amp;"""Sell_""&amp;SUBSTITUTE(C823,""Sell_"",""""))))/2),ROUNDUP(INDEX(Upgrades!$C$3:$C$13,MATCH(C823,Upgrades!$B$3:$B$13,0))*1.15^(COUNTIF(C$4:C822,C823)-COUNTIF(C$4:C822,""Sell_""&amp;C823))))))"),"")</f>
        <v/>
      </c>
      <c r="H823" s="10" t="str">
        <f t="shared" si="3"/>
        <v/>
      </c>
      <c r="I823" s="68" t="str">
        <f t="shared" si="4"/>
        <v/>
      </c>
      <c r="J823" s="59" t="str">
        <f t="shared" si="5"/>
        <v/>
      </c>
      <c r="K823" s="69" t="str">
        <f t="shared" si="6"/>
        <v/>
      </c>
      <c r="L823" s="60" t="str">
        <f t="shared" si="7"/>
        <v/>
      </c>
      <c r="M823" s="61" t="str">
        <f>IFERROR(__xludf.DUMMYFUNCTION("IFS(AND(COUNTA(C823:C1644)=0,COUNTA(Q823:Q1644)=0),"""",OR(AND(K823&gt;=1000000000,OR(Y823&gt;=1000000000,COUNTA(Q823:Q1644)=0)),OR(Y823&gt;=1000000000,AND(COUNTA(C823:C1644)=0,P$3=TRUE))),
ROUNDDOWN((AB$1-AC$1)*MAX(INDEX(T$4:T1644,MATCH(LARGE(FILTER(Y$4:Y1644,Y$4"&amp;":Y1644&lt;1000000000),1),Y$4:Y1644)),INDEX(F$4:F1644,MATCH(LARGE(FILTER(K$4:K1644,K$4:K1644&lt;1000000000),1),K$4:K1644)))),AND(K823&lt;1000000000,COUNTA(C823:C1644)&gt;0,P$3=FALSE),
ROUNDDOWN(INDEX(Y$4:Y1644,MATCH(LARGE(FILTER(W$4:W1644,W$4:W1644&lt;=I823),1),W$4:W1644"&amp;"))+(I823-LARGE(FILTER(W$4:W1644,W$4:W1644&lt;=I823),1))*INDEX(T$4:T1644,MATCH(LARGE(FILTER(W$4:W1644,W$4:W1644&lt;=I823),1),W$4:W1644))-K823),1,
ROUNDDOWN(Y823-INDEX(K$4:K1644,MATCH(LARGE(FILTER(I$4:I1644,I$4:I1644&lt;=W823),1),I$4:I1644))-(W823-LARGE(FILTER(I$4:I"&amp;"1644,I$4:I1644&lt;=W823),1))*INDEX(F$4:F1644,MATCH(LARGE(FILTER(I$4:I1644,I$4:I1644&lt;=W823),1),I$4:I1644))))"),"")</f>
        <v/>
      </c>
      <c r="N823" s="60" t="str">
        <f t="shared" si="8"/>
        <v/>
      </c>
      <c r="O823" s="61" t="str">
        <f t="shared" si="9"/>
        <v/>
      </c>
      <c r="P823" s="56" t="str">
        <f t="shared" si="10"/>
        <v/>
      </c>
      <c r="Q823" s="105"/>
      <c r="R823" s="10"/>
      <c r="S823" s="59" t="str">
        <f t="array" ref="S823">IF(COUNTA(Q823:Q1644)=0,"",SUM((COUNTIF(Q$4:Q823,Upgrades!$B$3:$B$13)-COUNTIF(Q$4:Q823,"Sell_"&amp;Upgrades!$B$3:$B$13))*Upgrades!$D$3:$D$13))</f>
        <v/>
      </c>
      <c r="T823" s="66" t="str">
        <f>IFERROR(__xludf.DUMMYFUNCTION("IF(COUNTA(Q823:Q1644)=0,"""",IF(REGEXMATCH(INDEX(FILTER(Q$4:Q823,Q$4:Q823&lt;&gt;""""),ROWS(FILTER(Q$4:Q823,Q$4:Q823&lt;&gt;""""))),""^Sell_""),INDEX(FILTER(T$4:T822,Q$4:Q822&lt;&gt;""""),ROWS(FILTER(Q$4:Q822,Q$4:Q822&lt;&gt;""""))),$AD$5+S823))"),"")</f>
        <v/>
      </c>
      <c r="U823" s="10" t="str">
        <f>IFERROR(__xludf.DUMMYFUNCTION("IF(COUNTA(Q823:Q1644)=0,"""",IF(Q823="""",0,IF(REGEXMATCH(Q823,""^Sell_""),-ROUNDDOWN(ROUNDUP(INDEX(Upgrades!$C$3:$C$13,MATCH(SUBSTITUTE(Q823,""Sell_"",""""),Upgrades!$B$3:$B$13,0))*1.15^(COUNTIF(Q$4:Q822,SUBSTITUTE(Q823,""Sell_"",""""))-COUNTIF(Q$4:Q822,"&amp;"""Sell_""&amp;SUBSTITUTE(Q823,""Sell_"",""""))))/2),ROUNDUP(INDEX(Upgrades!$C$3:$C$13,MATCH(Q823,Upgrades!$B$3:$B$13,0))*1.15^(COUNTIF(Q$4:Q822,Q823)-COUNTIF(Q$4:Q822,""Sell_""&amp;Q823))))))"),"")</f>
        <v/>
      </c>
      <c r="V823" s="10" t="str">
        <f t="shared" si="11"/>
        <v/>
      </c>
      <c r="W823" s="68" t="str">
        <f t="shared" si="12"/>
        <v/>
      </c>
      <c r="X823" s="59" t="str">
        <f t="shared" si="13"/>
        <v/>
      </c>
      <c r="Y823" s="69" t="str">
        <f t="shared" si="14"/>
        <v/>
      </c>
      <c r="Z823" s="11"/>
      <c r="AG823" s="59"/>
    </row>
    <row r="824">
      <c r="A824" s="8"/>
      <c r="B824" s="56" t="str">
        <f t="shared" si="2"/>
        <v/>
      </c>
      <c r="C824" s="105"/>
      <c r="D824" s="10"/>
      <c r="E824" s="59" t="str">
        <f t="array" ref="E824">IF(COUNTA(C824:C1644)=0,"",SUM((COUNTIF(C$4:C824,Upgrades!$B$3:$B$13)-COUNTIF(C$4:C824,"Sell_"&amp;Upgrades!$B$3:$B$13))*Upgrades!$D$3:$D$13))</f>
        <v/>
      </c>
      <c r="F824" s="66" t="str">
        <f>IFERROR(__xludf.DUMMYFUNCTION("IF(COUNTA(C824:C1644)=0,"""",IF(REGEXMATCH(INDEX(FILTER(C$4:C824,C$4:C824&lt;&gt;""""),ROWS(FILTER(C$4:C824,C$4:C824&lt;&gt;""""))),""^Sell_""),INDEX(FILTER(F$4:F823,C$4:C823&lt;&gt;""""),ROWS(FILTER(C$4:C823,C$4:C823&lt;&gt;""""))),$AC$5+E824))"),"")</f>
        <v/>
      </c>
      <c r="G824" s="10" t="str">
        <f>IFERROR(__xludf.DUMMYFUNCTION("IF(COUNTA(C824:C1644)=0,"""",IF(C824="""",0,IF(REGEXMATCH(C824,""^Sell_""),-ROUNDDOWN(ROUNDUP(INDEX(Upgrades!$C$3:$C$13,MATCH(SUBSTITUTE(C824,""Sell_"",""""),Upgrades!$B$3:$B$13,0))*1.15^(COUNTIF(C$4:C823,SUBSTITUTE(C824,""Sell_"",""""))-COUNTIF(C$4:C823,"&amp;"""Sell_""&amp;SUBSTITUTE(C824,""Sell_"",""""))))/2),ROUNDUP(INDEX(Upgrades!$C$3:$C$13,MATCH(C824,Upgrades!$B$3:$B$13,0))*1.15^(COUNTIF(C$4:C823,C824)-COUNTIF(C$4:C823,""Sell_""&amp;C824))))))"),"")</f>
        <v/>
      </c>
      <c r="H824" s="10" t="str">
        <f t="shared" si="3"/>
        <v/>
      </c>
      <c r="I824" s="68" t="str">
        <f t="shared" si="4"/>
        <v/>
      </c>
      <c r="J824" s="59" t="str">
        <f t="shared" si="5"/>
        <v/>
      </c>
      <c r="K824" s="69" t="str">
        <f t="shared" si="6"/>
        <v/>
      </c>
      <c r="L824" s="60" t="str">
        <f t="shared" si="7"/>
        <v/>
      </c>
      <c r="M824" s="61" t="str">
        <f>IFERROR(__xludf.DUMMYFUNCTION("IFS(AND(COUNTA(C824:C1644)=0,COUNTA(Q824:Q1644)=0),"""",OR(AND(K824&gt;=1000000000,OR(Y824&gt;=1000000000,COUNTA(Q824:Q1644)=0)),OR(Y824&gt;=1000000000,AND(COUNTA(C824:C1644)=0,P$3=TRUE))),
ROUNDDOWN((AB$1-AC$1)*MAX(INDEX(T$4:T1644,MATCH(LARGE(FILTER(Y$4:Y1644,Y$4"&amp;":Y1644&lt;1000000000),1),Y$4:Y1644)),INDEX(F$4:F1644,MATCH(LARGE(FILTER(K$4:K1644,K$4:K1644&lt;1000000000),1),K$4:K1644)))),AND(K824&lt;1000000000,COUNTA(C824:C1644)&gt;0,P$3=FALSE),
ROUNDDOWN(INDEX(Y$4:Y1644,MATCH(LARGE(FILTER(W$4:W1644,W$4:W1644&lt;=I824),1),W$4:W1644"&amp;"))+(I824-LARGE(FILTER(W$4:W1644,W$4:W1644&lt;=I824),1))*INDEX(T$4:T1644,MATCH(LARGE(FILTER(W$4:W1644,W$4:W1644&lt;=I824),1),W$4:W1644))-K824),1,
ROUNDDOWN(Y824-INDEX(K$4:K1644,MATCH(LARGE(FILTER(I$4:I1644,I$4:I1644&lt;=W824),1),I$4:I1644))-(W824-LARGE(FILTER(I$4:I"&amp;"1644,I$4:I1644&lt;=W824),1))*INDEX(F$4:F1644,MATCH(LARGE(FILTER(I$4:I1644,I$4:I1644&lt;=W824),1),I$4:I1644))))"),"")</f>
        <v/>
      </c>
      <c r="N824" s="60" t="str">
        <f t="shared" si="8"/>
        <v/>
      </c>
      <c r="O824" s="61" t="str">
        <f t="shared" si="9"/>
        <v/>
      </c>
      <c r="P824" s="56" t="str">
        <f t="shared" si="10"/>
        <v/>
      </c>
      <c r="Q824" s="105"/>
      <c r="R824" s="10"/>
      <c r="S824" s="59" t="str">
        <f t="array" ref="S824">IF(COUNTA(Q824:Q1644)=0,"",SUM((COUNTIF(Q$4:Q824,Upgrades!$B$3:$B$13)-COUNTIF(Q$4:Q824,"Sell_"&amp;Upgrades!$B$3:$B$13))*Upgrades!$D$3:$D$13))</f>
        <v/>
      </c>
      <c r="T824" s="66" t="str">
        <f>IFERROR(__xludf.DUMMYFUNCTION("IF(COUNTA(Q824:Q1644)=0,"""",IF(REGEXMATCH(INDEX(FILTER(Q$4:Q824,Q$4:Q824&lt;&gt;""""),ROWS(FILTER(Q$4:Q824,Q$4:Q824&lt;&gt;""""))),""^Sell_""),INDEX(FILTER(T$4:T823,Q$4:Q823&lt;&gt;""""),ROWS(FILTER(Q$4:Q823,Q$4:Q823&lt;&gt;""""))),$AD$5+S824))"),"")</f>
        <v/>
      </c>
      <c r="U824" s="10" t="str">
        <f>IFERROR(__xludf.DUMMYFUNCTION("IF(COUNTA(Q824:Q1644)=0,"""",IF(Q824="""",0,IF(REGEXMATCH(Q824,""^Sell_""),-ROUNDDOWN(ROUNDUP(INDEX(Upgrades!$C$3:$C$13,MATCH(SUBSTITUTE(Q824,""Sell_"",""""),Upgrades!$B$3:$B$13,0))*1.15^(COUNTIF(Q$4:Q823,SUBSTITUTE(Q824,""Sell_"",""""))-COUNTIF(Q$4:Q823,"&amp;"""Sell_""&amp;SUBSTITUTE(Q824,""Sell_"",""""))))/2),ROUNDUP(INDEX(Upgrades!$C$3:$C$13,MATCH(Q824,Upgrades!$B$3:$B$13,0))*1.15^(COUNTIF(Q$4:Q823,Q824)-COUNTIF(Q$4:Q823,""Sell_""&amp;Q824))))))"),"")</f>
        <v/>
      </c>
      <c r="V824" s="10" t="str">
        <f t="shared" si="11"/>
        <v/>
      </c>
      <c r="W824" s="68" t="str">
        <f t="shared" si="12"/>
        <v/>
      </c>
      <c r="X824" s="59" t="str">
        <f t="shared" si="13"/>
        <v/>
      </c>
      <c r="Y824" s="69" t="str">
        <f t="shared" si="14"/>
        <v/>
      </c>
      <c r="Z824" s="11"/>
      <c r="AG824" s="59"/>
    </row>
    <row r="825">
      <c r="A825" s="8"/>
      <c r="B825" s="56" t="str">
        <f t="shared" si="2"/>
        <v/>
      </c>
      <c r="C825" s="105"/>
      <c r="D825" s="10"/>
      <c r="E825" s="59" t="str">
        <f t="array" ref="E825">IF(COUNTA(C825:C1644)=0,"",SUM((COUNTIF(C$4:C825,Upgrades!$B$3:$B$13)-COUNTIF(C$4:C825,"Sell_"&amp;Upgrades!$B$3:$B$13))*Upgrades!$D$3:$D$13))</f>
        <v/>
      </c>
      <c r="F825" s="66" t="str">
        <f>IFERROR(__xludf.DUMMYFUNCTION("IF(COUNTA(C825:C1644)=0,"""",IF(REGEXMATCH(INDEX(FILTER(C$4:C825,C$4:C825&lt;&gt;""""),ROWS(FILTER(C$4:C825,C$4:C825&lt;&gt;""""))),""^Sell_""),INDEX(FILTER(F$4:F824,C$4:C824&lt;&gt;""""),ROWS(FILTER(C$4:C824,C$4:C824&lt;&gt;""""))),$AC$5+E825))"),"")</f>
        <v/>
      </c>
      <c r="G825" s="10" t="str">
        <f>IFERROR(__xludf.DUMMYFUNCTION("IF(COUNTA(C825:C1644)=0,"""",IF(C825="""",0,IF(REGEXMATCH(C825,""^Sell_""),-ROUNDDOWN(ROUNDUP(INDEX(Upgrades!$C$3:$C$13,MATCH(SUBSTITUTE(C825,""Sell_"",""""),Upgrades!$B$3:$B$13,0))*1.15^(COUNTIF(C$4:C824,SUBSTITUTE(C825,""Sell_"",""""))-COUNTIF(C$4:C824,"&amp;"""Sell_""&amp;SUBSTITUTE(C825,""Sell_"",""""))))/2),ROUNDUP(INDEX(Upgrades!$C$3:$C$13,MATCH(C825,Upgrades!$B$3:$B$13,0))*1.15^(COUNTIF(C$4:C824,C825)-COUNTIF(C$4:C824,""Sell_""&amp;C825))))))"),"")</f>
        <v/>
      </c>
      <c r="H825" s="10" t="str">
        <f t="shared" si="3"/>
        <v/>
      </c>
      <c r="I825" s="68" t="str">
        <f t="shared" si="4"/>
        <v/>
      </c>
      <c r="J825" s="59" t="str">
        <f t="shared" si="5"/>
        <v/>
      </c>
      <c r="K825" s="69" t="str">
        <f t="shared" si="6"/>
        <v/>
      </c>
      <c r="L825" s="60" t="str">
        <f t="shared" si="7"/>
        <v/>
      </c>
      <c r="M825" s="61" t="str">
        <f>IFERROR(__xludf.DUMMYFUNCTION("IFS(AND(COUNTA(C825:C1644)=0,COUNTA(Q825:Q1644)=0),"""",OR(AND(K825&gt;=1000000000,OR(Y825&gt;=1000000000,COUNTA(Q825:Q1644)=0)),OR(Y825&gt;=1000000000,AND(COUNTA(C825:C1644)=0,P$3=TRUE))),
ROUNDDOWN((AB$1-AC$1)*MAX(INDEX(T$4:T1644,MATCH(LARGE(FILTER(Y$4:Y1644,Y$4"&amp;":Y1644&lt;1000000000),1),Y$4:Y1644)),INDEX(F$4:F1644,MATCH(LARGE(FILTER(K$4:K1644,K$4:K1644&lt;1000000000),1),K$4:K1644)))),AND(K825&lt;1000000000,COUNTA(C825:C1644)&gt;0,P$3=FALSE),
ROUNDDOWN(INDEX(Y$4:Y1644,MATCH(LARGE(FILTER(W$4:W1644,W$4:W1644&lt;=I825),1),W$4:W1644"&amp;"))+(I825-LARGE(FILTER(W$4:W1644,W$4:W1644&lt;=I825),1))*INDEX(T$4:T1644,MATCH(LARGE(FILTER(W$4:W1644,W$4:W1644&lt;=I825),1),W$4:W1644))-K825),1,
ROUNDDOWN(Y825-INDEX(K$4:K1644,MATCH(LARGE(FILTER(I$4:I1644,I$4:I1644&lt;=W825),1),I$4:I1644))-(W825-LARGE(FILTER(I$4:I"&amp;"1644,I$4:I1644&lt;=W825),1))*INDEX(F$4:F1644,MATCH(LARGE(FILTER(I$4:I1644,I$4:I1644&lt;=W825),1),I$4:I1644))))"),"")</f>
        <v/>
      </c>
      <c r="N825" s="60" t="str">
        <f t="shared" si="8"/>
        <v/>
      </c>
      <c r="O825" s="61" t="str">
        <f t="shared" si="9"/>
        <v/>
      </c>
      <c r="P825" s="56" t="str">
        <f t="shared" si="10"/>
        <v/>
      </c>
      <c r="Q825" s="105"/>
      <c r="R825" s="10"/>
      <c r="S825" s="59" t="str">
        <f t="array" ref="S825">IF(COUNTA(Q825:Q1644)=0,"",SUM((COUNTIF(Q$4:Q825,Upgrades!$B$3:$B$13)-COUNTIF(Q$4:Q825,"Sell_"&amp;Upgrades!$B$3:$B$13))*Upgrades!$D$3:$D$13))</f>
        <v/>
      </c>
      <c r="T825" s="66" t="str">
        <f>IFERROR(__xludf.DUMMYFUNCTION("IF(COUNTA(Q825:Q1644)=0,"""",IF(REGEXMATCH(INDEX(FILTER(Q$4:Q825,Q$4:Q825&lt;&gt;""""),ROWS(FILTER(Q$4:Q825,Q$4:Q825&lt;&gt;""""))),""^Sell_""),INDEX(FILTER(T$4:T824,Q$4:Q824&lt;&gt;""""),ROWS(FILTER(Q$4:Q824,Q$4:Q824&lt;&gt;""""))),$AD$5+S825))"),"")</f>
        <v/>
      </c>
      <c r="U825" s="10" t="str">
        <f>IFERROR(__xludf.DUMMYFUNCTION("IF(COUNTA(Q825:Q1644)=0,"""",IF(Q825="""",0,IF(REGEXMATCH(Q825,""^Sell_""),-ROUNDDOWN(ROUNDUP(INDEX(Upgrades!$C$3:$C$13,MATCH(SUBSTITUTE(Q825,""Sell_"",""""),Upgrades!$B$3:$B$13,0))*1.15^(COUNTIF(Q$4:Q824,SUBSTITUTE(Q825,""Sell_"",""""))-COUNTIF(Q$4:Q824,"&amp;"""Sell_""&amp;SUBSTITUTE(Q825,""Sell_"",""""))))/2),ROUNDUP(INDEX(Upgrades!$C$3:$C$13,MATCH(Q825,Upgrades!$B$3:$B$13,0))*1.15^(COUNTIF(Q$4:Q824,Q825)-COUNTIF(Q$4:Q824,""Sell_""&amp;Q825))))))"),"")</f>
        <v/>
      </c>
      <c r="V825" s="10" t="str">
        <f t="shared" si="11"/>
        <v/>
      </c>
      <c r="W825" s="68" t="str">
        <f t="shared" si="12"/>
        <v/>
      </c>
      <c r="X825" s="59" t="str">
        <f t="shared" si="13"/>
        <v/>
      </c>
      <c r="Y825" s="69" t="str">
        <f t="shared" si="14"/>
        <v/>
      </c>
      <c r="Z825" s="11"/>
      <c r="AG825" s="59"/>
    </row>
    <row r="826">
      <c r="A826" s="8"/>
      <c r="B826" s="56" t="str">
        <f t="shared" si="2"/>
        <v/>
      </c>
      <c r="C826" s="105"/>
      <c r="D826" s="10"/>
      <c r="E826" s="59" t="str">
        <f t="array" ref="E826">IF(COUNTA(C826:C1644)=0,"",SUM((COUNTIF(C$4:C826,Upgrades!$B$3:$B$13)-COUNTIF(C$4:C826,"Sell_"&amp;Upgrades!$B$3:$B$13))*Upgrades!$D$3:$D$13))</f>
        <v/>
      </c>
      <c r="F826" s="66" t="str">
        <f>IFERROR(__xludf.DUMMYFUNCTION("IF(COUNTA(C826:C1644)=0,"""",IF(REGEXMATCH(INDEX(FILTER(C$4:C826,C$4:C826&lt;&gt;""""),ROWS(FILTER(C$4:C826,C$4:C826&lt;&gt;""""))),""^Sell_""),INDEX(FILTER(F$4:F825,C$4:C825&lt;&gt;""""),ROWS(FILTER(C$4:C825,C$4:C825&lt;&gt;""""))),$AC$5+E826))"),"")</f>
        <v/>
      </c>
      <c r="G826" s="10" t="str">
        <f>IFERROR(__xludf.DUMMYFUNCTION("IF(COUNTA(C826:C1644)=0,"""",IF(C826="""",0,IF(REGEXMATCH(C826,""^Sell_""),-ROUNDDOWN(ROUNDUP(INDEX(Upgrades!$C$3:$C$13,MATCH(SUBSTITUTE(C826,""Sell_"",""""),Upgrades!$B$3:$B$13,0))*1.15^(COUNTIF(C$4:C825,SUBSTITUTE(C826,""Sell_"",""""))-COUNTIF(C$4:C825,"&amp;"""Sell_""&amp;SUBSTITUTE(C826,""Sell_"",""""))))/2),ROUNDUP(INDEX(Upgrades!$C$3:$C$13,MATCH(C826,Upgrades!$B$3:$B$13,0))*1.15^(COUNTIF(C$4:C825,C826)-COUNTIF(C$4:C825,""Sell_""&amp;C826))))))"),"")</f>
        <v/>
      </c>
      <c r="H826" s="10" t="str">
        <f t="shared" si="3"/>
        <v/>
      </c>
      <c r="I826" s="68" t="str">
        <f t="shared" si="4"/>
        <v/>
      </c>
      <c r="J826" s="59" t="str">
        <f t="shared" si="5"/>
        <v/>
      </c>
      <c r="K826" s="69" t="str">
        <f t="shared" si="6"/>
        <v/>
      </c>
      <c r="L826" s="60" t="str">
        <f t="shared" si="7"/>
        <v/>
      </c>
      <c r="M826" s="61" t="str">
        <f>IFERROR(__xludf.DUMMYFUNCTION("IFS(AND(COUNTA(C826:C1644)=0,COUNTA(Q826:Q1644)=0),"""",OR(AND(K826&gt;=1000000000,OR(Y826&gt;=1000000000,COUNTA(Q826:Q1644)=0)),OR(Y826&gt;=1000000000,AND(COUNTA(C826:C1644)=0,P$3=TRUE))),
ROUNDDOWN((AB$1-AC$1)*MAX(INDEX(T$4:T1644,MATCH(LARGE(FILTER(Y$4:Y1644,Y$4"&amp;":Y1644&lt;1000000000),1),Y$4:Y1644)),INDEX(F$4:F1644,MATCH(LARGE(FILTER(K$4:K1644,K$4:K1644&lt;1000000000),1),K$4:K1644)))),AND(K826&lt;1000000000,COUNTA(C826:C1644)&gt;0,P$3=FALSE),
ROUNDDOWN(INDEX(Y$4:Y1644,MATCH(LARGE(FILTER(W$4:W1644,W$4:W1644&lt;=I826),1),W$4:W1644"&amp;"))+(I826-LARGE(FILTER(W$4:W1644,W$4:W1644&lt;=I826),1))*INDEX(T$4:T1644,MATCH(LARGE(FILTER(W$4:W1644,W$4:W1644&lt;=I826),1),W$4:W1644))-K826),1,
ROUNDDOWN(Y826-INDEX(K$4:K1644,MATCH(LARGE(FILTER(I$4:I1644,I$4:I1644&lt;=W826),1),I$4:I1644))-(W826-LARGE(FILTER(I$4:I"&amp;"1644,I$4:I1644&lt;=W826),1))*INDEX(F$4:F1644,MATCH(LARGE(FILTER(I$4:I1644,I$4:I1644&lt;=W826),1),I$4:I1644))))"),"")</f>
        <v/>
      </c>
      <c r="N826" s="60" t="str">
        <f t="shared" si="8"/>
        <v/>
      </c>
      <c r="O826" s="61" t="str">
        <f t="shared" si="9"/>
        <v/>
      </c>
      <c r="P826" s="56" t="str">
        <f t="shared" si="10"/>
        <v/>
      </c>
      <c r="Q826" s="105"/>
      <c r="R826" s="10"/>
      <c r="S826" s="59" t="str">
        <f t="array" ref="S826">IF(COUNTA(Q826:Q1644)=0,"",SUM((COUNTIF(Q$4:Q826,Upgrades!$B$3:$B$13)-COUNTIF(Q$4:Q826,"Sell_"&amp;Upgrades!$B$3:$B$13))*Upgrades!$D$3:$D$13))</f>
        <v/>
      </c>
      <c r="T826" s="66" t="str">
        <f>IFERROR(__xludf.DUMMYFUNCTION("IF(COUNTA(Q826:Q1644)=0,"""",IF(REGEXMATCH(INDEX(FILTER(Q$4:Q826,Q$4:Q826&lt;&gt;""""),ROWS(FILTER(Q$4:Q826,Q$4:Q826&lt;&gt;""""))),""^Sell_""),INDEX(FILTER(T$4:T825,Q$4:Q825&lt;&gt;""""),ROWS(FILTER(Q$4:Q825,Q$4:Q825&lt;&gt;""""))),$AD$5+S826))"),"")</f>
        <v/>
      </c>
      <c r="U826" s="10" t="str">
        <f>IFERROR(__xludf.DUMMYFUNCTION("IF(COUNTA(Q826:Q1644)=0,"""",IF(Q826="""",0,IF(REGEXMATCH(Q826,""^Sell_""),-ROUNDDOWN(ROUNDUP(INDEX(Upgrades!$C$3:$C$13,MATCH(SUBSTITUTE(Q826,""Sell_"",""""),Upgrades!$B$3:$B$13,0))*1.15^(COUNTIF(Q$4:Q825,SUBSTITUTE(Q826,""Sell_"",""""))-COUNTIF(Q$4:Q825,"&amp;"""Sell_""&amp;SUBSTITUTE(Q826,""Sell_"",""""))))/2),ROUNDUP(INDEX(Upgrades!$C$3:$C$13,MATCH(Q826,Upgrades!$B$3:$B$13,0))*1.15^(COUNTIF(Q$4:Q825,Q826)-COUNTIF(Q$4:Q825,""Sell_""&amp;Q826))))))"),"")</f>
        <v/>
      </c>
      <c r="V826" s="10" t="str">
        <f t="shared" si="11"/>
        <v/>
      </c>
      <c r="W826" s="68" t="str">
        <f t="shared" si="12"/>
        <v/>
      </c>
      <c r="X826" s="59" t="str">
        <f t="shared" si="13"/>
        <v/>
      </c>
      <c r="Y826" s="69" t="str">
        <f t="shared" si="14"/>
        <v/>
      </c>
      <c r="Z826" s="11"/>
      <c r="AG826" s="59"/>
    </row>
    <row r="827">
      <c r="A827" s="8"/>
      <c r="B827" s="56" t="str">
        <f t="shared" si="2"/>
        <v/>
      </c>
      <c r="C827" s="105"/>
      <c r="D827" s="10"/>
      <c r="E827" s="59" t="str">
        <f t="array" ref="E827">IF(COUNTA(C827:C1644)=0,"",SUM((COUNTIF(C$4:C827,Upgrades!$B$3:$B$13)-COUNTIF(C$4:C827,"Sell_"&amp;Upgrades!$B$3:$B$13))*Upgrades!$D$3:$D$13))</f>
        <v/>
      </c>
      <c r="F827" s="66" t="str">
        <f>IFERROR(__xludf.DUMMYFUNCTION("IF(COUNTA(C827:C1644)=0,"""",IF(REGEXMATCH(INDEX(FILTER(C$4:C827,C$4:C827&lt;&gt;""""),ROWS(FILTER(C$4:C827,C$4:C827&lt;&gt;""""))),""^Sell_""),INDEX(FILTER(F$4:F826,C$4:C826&lt;&gt;""""),ROWS(FILTER(C$4:C826,C$4:C826&lt;&gt;""""))),$AC$5+E827))"),"")</f>
        <v/>
      </c>
      <c r="G827" s="10" t="str">
        <f>IFERROR(__xludf.DUMMYFUNCTION("IF(COUNTA(C827:C1644)=0,"""",IF(C827="""",0,IF(REGEXMATCH(C827,""^Sell_""),-ROUNDDOWN(ROUNDUP(INDEX(Upgrades!$C$3:$C$13,MATCH(SUBSTITUTE(C827,""Sell_"",""""),Upgrades!$B$3:$B$13,0))*1.15^(COUNTIF(C$4:C826,SUBSTITUTE(C827,""Sell_"",""""))-COUNTIF(C$4:C826,"&amp;"""Sell_""&amp;SUBSTITUTE(C827,""Sell_"",""""))))/2),ROUNDUP(INDEX(Upgrades!$C$3:$C$13,MATCH(C827,Upgrades!$B$3:$B$13,0))*1.15^(COUNTIF(C$4:C826,C827)-COUNTIF(C$4:C826,""Sell_""&amp;C827))))))"),"")</f>
        <v/>
      </c>
      <c r="H827" s="10" t="str">
        <f t="shared" si="3"/>
        <v/>
      </c>
      <c r="I827" s="68" t="str">
        <f t="shared" si="4"/>
        <v/>
      </c>
      <c r="J827" s="59" t="str">
        <f t="shared" si="5"/>
        <v/>
      </c>
      <c r="K827" s="69" t="str">
        <f t="shared" si="6"/>
        <v/>
      </c>
      <c r="L827" s="60" t="str">
        <f t="shared" si="7"/>
        <v/>
      </c>
      <c r="M827" s="61" t="str">
        <f>IFERROR(__xludf.DUMMYFUNCTION("IFS(AND(COUNTA(C827:C1644)=0,COUNTA(Q827:Q1644)=0),"""",OR(AND(K827&gt;=1000000000,OR(Y827&gt;=1000000000,COUNTA(Q827:Q1644)=0)),OR(Y827&gt;=1000000000,AND(COUNTA(C827:C1644)=0,P$3=TRUE))),
ROUNDDOWN((AB$1-AC$1)*MAX(INDEX(T$4:T1644,MATCH(LARGE(FILTER(Y$4:Y1644,Y$4"&amp;":Y1644&lt;1000000000),1),Y$4:Y1644)),INDEX(F$4:F1644,MATCH(LARGE(FILTER(K$4:K1644,K$4:K1644&lt;1000000000),1),K$4:K1644)))),AND(K827&lt;1000000000,COUNTA(C827:C1644)&gt;0,P$3=FALSE),
ROUNDDOWN(INDEX(Y$4:Y1644,MATCH(LARGE(FILTER(W$4:W1644,W$4:W1644&lt;=I827),1),W$4:W1644"&amp;"))+(I827-LARGE(FILTER(W$4:W1644,W$4:W1644&lt;=I827),1))*INDEX(T$4:T1644,MATCH(LARGE(FILTER(W$4:W1644,W$4:W1644&lt;=I827),1),W$4:W1644))-K827),1,
ROUNDDOWN(Y827-INDEX(K$4:K1644,MATCH(LARGE(FILTER(I$4:I1644,I$4:I1644&lt;=W827),1),I$4:I1644))-(W827-LARGE(FILTER(I$4:I"&amp;"1644,I$4:I1644&lt;=W827),1))*INDEX(F$4:F1644,MATCH(LARGE(FILTER(I$4:I1644,I$4:I1644&lt;=W827),1),I$4:I1644))))"),"")</f>
        <v/>
      </c>
      <c r="N827" s="60" t="str">
        <f t="shared" si="8"/>
        <v/>
      </c>
      <c r="O827" s="61" t="str">
        <f t="shared" si="9"/>
        <v/>
      </c>
      <c r="P827" s="56" t="str">
        <f t="shared" si="10"/>
        <v/>
      </c>
      <c r="Q827" s="105"/>
      <c r="R827" s="10"/>
      <c r="S827" s="59" t="str">
        <f t="array" ref="S827">IF(COUNTA(Q827:Q1644)=0,"",SUM((COUNTIF(Q$4:Q827,Upgrades!$B$3:$B$13)-COUNTIF(Q$4:Q827,"Sell_"&amp;Upgrades!$B$3:$B$13))*Upgrades!$D$3:$D$13))</f>
        <v/>
      </c>
      <c r="T827" s="66" t="str">
        <f>IFERROR(__xludf.DUMMYFUNCTION("IF(COUNTA(Q827:Q1644)=0,"""",IF(REGEXMATCH(INDEX(FILTER(Q$4:Q827,Q$4:Q827&lt;&gt;""""),ROWS(FILTER(Q$4:Q827,Q$4:Q827&lt;&gt;""""))),""^Sell_""),INDEX(FILTER(T$4:T826,Q$4:Q826&lt;&gt;""""),ROWS(FILTER(Q$4:Q826,Q$4:Q826&lt;&gt;""""))),$AD$5+S827))"),"")</f>
        <v/>
      </c>
      <c r="U827" s="10" t="str">
        <f>IFERROR(__xludf.DUMMYFUNCTION("IF(COUNTA(Q827:Q1644)=0,"""",IF(Q827="""",0,IF(REGEXMATCH(Q827,""^Sell_""),-ROUNDDOWN(ROUNDUP(INDEX(Upgrades!$C$3:$C$13,MATCH(SUBSTITUTE(Q827,""Sell_"",""""),Upgrades!$B$3:$B$13,0))*1.15^(COUNTIF(Q$4:Q826,SUBSTITUTE(Q827,""Sell_"",""""))-COUNTIF(Q$4:Q826,"&amp;"""Sell_""&amp;SUBSTITUTE(Q827,""Sell_"",""""))))/2),ROUNDUP(INDEX(Upgrades!$C$3:$C$13,MATCH(Q827,Upgrades!$B$3:$B$13,0))*1.15^(COUNTIF(Q$4:Q826,Q827)-COUNTIF(Q$4:Q826,""Sell_""&amp;Q827))))))"),"")</f>
        <v/>
      </c>
      <c r="V827" s="10" t="str">
        <f t="shared" si="11"/>
        <v/>
      </c>
      <c r="W827" s="68" t="str">
        <f t="shared" si="12"/>
        <v/>
      </c>
      <c r="X827" s="59" t="str">
        <f t="shared" si="13"/>
        <v/>
      </c>
      <c r="Y827" s="69" t="str">
        <f t="shared" si="14"/>
        <v/>
      </c>
      <c r="Z827" s="11"/>
      <c r="AG827" s="59"/>
    </row>
    <row r="828">
      <c r="A828" s="8"/>
      <c r="B828" s="56" t="str">
        <f t="shared" si="2"/>
        <v/>
      </c>
      <c r="C828" s="105"/>
      <c r="D828" s="10"/>
      <c r="E828" s="59" t="str">
        <f t="array" ref="E828">IF(COUNTA(C828:C1644)=0,"",SUM((COUNTIF(C$4:C828,Upgrades!$B$3:$B$13)-COUNTIF(C$4:C828,"Sell_"&amp;Upgrades!$B$3:$B$13))*Upgrades!$D$3:$D$13))</f>
        <v/>
      </c>
      <c r="F828" s="66" t="str">
        <f>IFERROR(__xludf.DUMMYFUNCTION("IF(COUNTA(C828:C1644)=0,"""",IF(REGEXMATCH(INDEX(FILTER(C$4:C828,C$4:C828&lt;&gt;""""),ROWS(FILTER(C$4:C828,C$4:C828&lt;&gt;""""))),""^Sell_""),INDEX(FILTER(F$4:F827,C$4:C827&lt;&gt;""""),ROWS(FILTER(C$4:C827,C$4:C827&lt;&gt;""""))),$AC$5+E828))"),"")</f>
        <v/>
      </c>
      <c r="G828" s="10" t="str">
        <f>IFERROR(__xludf.DUMMYFUNCTION("IF(COUNTA(C828:C1644)=0,"""",IF(C828="""",0,IF(REGEXMATCH(C828,""^Sell_""),-ROUNDDOWN(ROUNDUP(INDEX(Upgrades!$C$3:$C$13,MATCH(SUBSTITUTE(C828,""Sell_"",""""),Upgrades!$B$3:$B$13,0))*1.15^(COUNTIF(C$4:C827,SUBSTITUTE(C828,""Sell_"",""""))-COUNTIF(C$4:C827,"&amp;"""Sell_""&amp;SUBSTITUTE(C828,""Sell_"",""""))))/2),ROUNDUP(INDEX(Upgrades!$C$3:$C$13,MATCH(C828,Upgrades!$B$3:$B$13,0))*1.15^(COUNTIF(C$4:C827,C828)-COUNTIF(C$4:C827,""Sell_""&amp;C828))))))"),"")</f>
        <v/>
      </c>
      <c r="H828" s="10" t="str">
        <f t="shared" si="3"/>
        <v/>
      </c>
      <c r="I828" s="68" t="str">
        <f t="shared" si="4"/>
        <v/>
      </c>
      <c r="J828" s="59" t="str">
        <f t="shared" si="5"/>
        <v/>
      </c>
      <c r="K828" s="69" t="str">
        <f t="shared" si="6"/>
        <v/>
      </c>
      <c r="L828" s="60" t="str">
        <f t="shared" si="7"/>
        <v/>
      </c>
      <c r="M828" s="61" t="str">
        <f>IFERROR(__xludf.DUMMYFUNCTION("IFS(AND(COUNTA(C828:C1644)=0,COUNTA(Q828:Q1644)=0),"""",OR(AND(K828&gt;=1000000000,OR(Y828&gt;=1000000000,COUNTA(Q828:Q1644)=0)),OR(Y828&gt;=1000000000,AND(COUNTA(C828:C1644)=0,P$3=TRUE))),
ROUNDDOWN((AB$1-AC$1)*MAX(INDEX(T$4:T1644,MATCH(LARGE(FILTER(Y$4:Y1644,Y$4"&amp;":Y1644&lt;1000000000),1),Y$4:Y1644)),INDEX(F$4:F1644,MATCH(LARGE(FILTER(K$4:K1644,K$4:K1644&lt;1000000000),1),K$4:K1644)))),AND(K828&lt;1000000000,COUNTA(C828:C1644)&gt;0,P$3=FALSE),
ROUNDDOWN(INDEX(Y$4:Y1644,MATCH(LARGE(FILTER(W$4:W1644,W$4:W1644&lt;=I828),1),W$4:W1644"&amp;"))+(I828-LARGE(FILTER(W$4:W1644,W$4:W1644&lt;=I828),1))*INDEX(T$4:T1644,MATCH(LARGE(FILTER(W$4:W1644,W$4:W1644&lt;=I828),1),W$4:W1644))-K828),1,
ROUNDDOWN(Y828-INDEX(K$4:K1644,MATCH(LARGE(FILTER(I$4:I1644,I$4:I1644&lt;=W828),1),I$4:I1644))-(W828-LARGE(FILTER(I$4:I"&amp;"1644,I$4:I1644&lt;=W828),1))*INDEX(F$4:F1644,MATCH(LARGE(FILTER(I$4:I1644,I$4:I1644&lt;=W828),1),I$4:I1644))))"),"")</f>
        <v/>
      </c>
      <c r="N828" s="60" t="str">
        <f t="shared" si="8"/>
        <v/>
      </c>
      <c r="O828" s="61" t="str">
        <f t="shared" si="9"/>
        <v/>
      </c>
      <c r="P828" s="56" t="str">
        <f t="shared" si="10"/>
        <v/>
      </c>
      <c r="Q828" s="105"/>
      <c r="R828" s="10"/>
      <c r="S828" s="59" t="str">
        <f t="array" ref="S828">IF(COUNTA(Q828:Q1644)=0,"",SUM((COUNTIF(Q$4:Q828,Upgrades!$B$3:$B$13)-COUNTIF(Q$4:Q828,"Sell_"&amp;Upgrades!$B$3:$B$13))*Upgrades!$D$3:$D$13))</f>
        <v/>
      </c>
      <c r="T828" s="66" t="str">
        <f>IFERROR(__xludf.DUMMYFUNCTION("IF(COUNTA(Q828:Q1644)=0,"""",IF(REGEXMATCH(INDEX(FILTER(Q$4:Q828,Q$4:Q828&lt;&gt;""""),ROWS(FILTER(Q$4:Q828,Q$4:Q828&lt;&gt;""""))),""^Sell_""),INDEX(FILTER(T$4:T827,Q$4:Q827&lt;&gt;""""),ROWS(FILTER(Q$4:Q827,Q$4:Q827&lt;&gt;""""))),$AD$5+S828))"),"")</f>
        <v/>
      </c>
      <c r="U828" s="10" t="str">
        <f>IFERROR(__xludf.DUMMYFUNCTION("IF(COUNTA(Q828:Q1644)=0,"""",IF(Q828="""",0,IF(REGEXMATCH(Q828,""^Sell_""),-ROUNDDOWN(ROUNDUP(INDEX(Upgrades!$C$3:$C$13,MATCH(SUBSTITUTE(Q828,""Sell_"",""""),Upgrades!$B$3:$B$13,0))*1.15^(COUNTIF(Q$4:Q827,SUBSTITUTE(Q828,""Sell_"",""""))-COUNTIF(Q$4:Q827,"&amp;"""Sell_""&amp;SUBSTITUTE(Q828,""Sell_"",""""))))/2),ROUNDUP(INDEX(Upgrades!$C$3:$C$13,MATCH(Q828,Upgrades!$B$3:$B$13,0))*1.15^(COUNTIF(Q$4:Q827,Q828)-COUNTIF(Q$4:Q827,""Sell_""&amp;Q828))))))"),"")</f>
        <v/>
      </c>
      <c r="V828" s="10" t="str">
        <f t="shared" si="11"/>
        <v/>
      </c>
      <c r="W828" s="68" t="str">
        <f t="shared" si="12"/>
        <v/>
      </c>
      <c r="X828" s="59" t="str">
        <f t="shared" si="13"/>
        <v/>
      </c>
      <c r="Y828" s="69" t="str">
        <f t="shared" si="14"/>
        <v/>
      </c>
      <c r="Z828" s="11"/>
      <c r="AG828" s="59"/>
    </row>
    <row r="829">
      <c r="A829" s="8"/>
      <c r="B829" s="56" t="str">
        <f t="shared" si="2"/>
        <v/>
      </c>
      <c r="C829" s="105"/>
      <c r="D829" s="10"/>
      <c r="E829" s="59" t="str">
        <f t="array" ref="E829">IF(COUNTA(C829:C1644)=0,"",SUM((COUNTIF(C$4:C829,Upgrades!$B$3:$B$13)-COUNTIF(C$4:C829,"Sell_"&amp;Upgrades!$B$3:$B$13))*Upgrades!$D$3:$D$13))</f>
        <v/>
      </c>
      <c r="F829" s="66" t="str">
        <f>IFERROR(__xludf.DUMMYFUNCTION("IF(COUNTA(C829:C1644)=0,"""",IF(REGEXMATCH(INDEX(FILTER(C$4:C829,C$4:C829&lt;&gt;""""),ROWS(FILTER(C$4:C829,C$4:C829&lt;&gt;""""))),""^Sell_""),INDEX(FILTER(F$4:F828,C$4:C828&lt;&gt;""""),ROWS(FILTER(C$4:C828,C$4:C828&lt;&gt;""""))),$AC$5+E829))"),"")</f>
        <v/>
      </c>
      <c r="G829" s="10" t="str">
        <f>IFERROR(__xludf.DUMMYFUNCTION("IF(COUNTA(C829:C1644)=0,"""",IF(C829="""",0,IF(REGEXMATCH(C829,""^Sell_""),-ROUNDDOWN(ROUNDUP(INDEX(Upgrades!$C$3:$C$13,MATCH(SUBSTITUTE(C829,""Sell_"",""""),Upgrades!$B$3:$B$13,0))*1.15^(COUNTIF(C$4:C828,SUBSTITUTE(C829,""Sell_"",""""))-COUNTIF(C$4:C828,"&amp;"""Sell_""&amp;SUBSTITUTE(C829,""Sell_"",""""))))/2),ROUNDUP(INDEX(Upgrades!$C$3:$C$13,MATCH(C829,Upgrades!$B$3:$B$13,0))*1.15^(COUNTIF(C$4:C828,C829)-COUNTIF(C$4:C828,""Sell_""&amp;C829))))))"),"")</f>
        <v/>
      </c>
      <c r="H829" s="10" t="str">
        <f t="shared" si="3"/>
        <v/>
      </c>
      <c r="I829" s="68" t="str">
        <f t="shared" si="4"/>
        <v/>
      </c>
      <c r="J829" s="59" t="str">
        <f t="shared" si="5"/>
        <v/>
      </c>
      <c r="K829" s="69" t="str">
        <f t="shared" si="6"/>
        <v/>
      </c>
      <c r="L829" s="60" t="str">
        <f t="shared" si="7"/>
        <v/>
      </c>
      <c r="M829" s="61" t="str">
        <f>IFERROR(__xludf.DUMMYFUNCTION("IFS(AND(COUNTA(C829:C1644)=0,COUNTA(Q829:Q1644)=0),"""",OR(AND(K829&gt;=1000000000,OR(Y829&gt;=1000000000,COUNTA(Q829:Q1644)=0)),OR(Y829&gt;=1000000000,AND(COUNTA(C829:C1644)=0,P$3=TRUE))),
ROUNDDOWN((AB$1-AC$1)*MAX(INDEX(T$4:T1644,MATCH(LARGE(FILTER(Y$4:Y1644,Y$4"&amp;":Y1644&lt;1000000000),1),Y$4:Y1644)),INDEX(F$4:F1644,MATCH(LARGE(FILTER(K$4:K1644,K$4:K1644&lt;1000000000),1),K$4:K1644)))),AND(K829&lt;1000000000,COUNTA(C829:C1644)&gt;0,P$3=FALSE),
ROUNDDOWN(INDEX(Y$4:Y1644,MATCH(LARGE(FILTER(W$4:W1644,W$4:W1644&lt;=I829),1),W$4:W1644"&amp;"))+(I829-LARGE(FILTER(W$4:W1644,W$4:W1644&lt;=I829),1))*INDEX(T$4:T1644,MATCH(LARGE(FILTER(W$4:W1644,W$4:W1644&lt;=I829),1),W$4:W1644))-K829),1,
ROUNDDOWN(Y829-INDEX(K$4:K1644,MATCH(LARGE(FILTER(I$4:I1644,I$4:I1644&lt;=W829),1),I$4:I1644))-(W829-LARGE(FILTER(I$4:I"&amp;"1644,I$4:I1644&lt;=W829),1))*INDEX(F$4:F1644,MATCH(LARGE(FILTER(I$4:I1644,I$4:I1644&lt;=W829),1),I$4:I1644))))"),"")</f>
        <v/>
      </c>
      <c r="N829" s="60" t="str">
        <f t="shared" si="8"/>
        <v/>
      </c>
      <c r="O829" s="61" t="str">
        <f t="shared" si="9"/>
        <v/>
      </c>
      <c r="P829" s="56" t="str">
        <f t="shared" si="10"/>
        <v/>
      </c>
      <c r="Q829" s="105"/>
      <c r="R829" s="10"/>
      <c r="S829" s="59" t="str">
        <f t="array" ref="S829">IF(COUNTA(Q829:Q1644)=0,"",SUM((COUNTIF(Q$4:Q829,Upgrades!$B$3:$B$13)-COUNTIF(Q$4:Q829,"Sell_"&amp;Upgrades!$B$3:$B$13))*Upgrades!$D$3:$D$13))</f>
        <v/>
      </c>
      <c r="T829" s="66" t="str">
        <f>IFERROR(__xludf.DUMMYFUNCTION("IF(COUNTA(Q829:Q1644)=0,"""",IF(REGEXMATCH(INDEX(FILTER(Q$4:Q829,Q$4:Q829&lt;&gt;""""),ROWS(FILTER(Q$4:Q829,Q$4:Q829&lt;&gt;""""))),""^Sell_""),INDEX(FILTER(T$4:T828,Q$4:Q828&lt;&gt;""""),ROWS(FILTER(Q$4:Q828,Q$4:Q828&lt;&gt;""""))),$AD$5+S829))"),"")</f>
        <v/>
      </c>
      <c r="U829" s="10" t="str">
        <f>IFERROR(__xludf.DUMMYFUNCTION("IF(COUNTA(Q829:Q1644)=0,"""",IF(Q829="""",0,IF(REGEXMATCH(Q829,""^Sell_""),-ROUNDDOWN(ROUNDUP(INDEX(Upgrades!$C$3:$C$13,MATCH(SUBSTITUTE(Q829,""Sell_"",""""),Upgrades!$B$3:$B$13,0))*1.15^(COUNTIF(Q$4:Q828,SUBSTITUTE(Q829,""Sell_"",""""))-COUNTIF(Q$4:Q828,"&amp;"""Sell_""&amp;SUBSTITUTE(Q829,""Sell_"",""""))))/2),ROUNDUP(INDEX(Upgrades!$C$3:$C$13,MATCH(Q829,Upgrades!$B$3:$B$13,0))*1.15^(COUNTIF(Q$4:Q828,Q829)-COUNTIF(Q$4:Q828,""Sell_""&amp;Q829))))))"),"")</f>
        <v/>
      </c>
      <c r="V829" s="10" t="str">
        <f t="shared" si="11"/>
        <v/>
      </c>
      <c r="W829" s="68" t="str">
        <f t="shared" si="12"/>
        <v/>
      </c>
      <c r="X829" s="59" t="str">
        <f t="shared" si="13"/>
        <v/>
      </c>
      <c r="Y829" s="69" t="str">
        <f t="shared" si="14"/>
        <v/>
      </c>
      <c r="Z829" s="11"/>
      <c r="AG829" s="59"/>
    </row>
    <row r="830">
      <c r="A830" s="8"/>
      <c r="B830" s="56" t="str">
        <f t="shared" si="2"/>
        <v/>
      </c>
      <c r="C830" s="105"/>
      <c r="D830" s="10"/>
      <c r="E830" s="59" t="str">
        <f t="array" ref="E830">IF(COUNTA(C830:C1644)=0,"",SUM((COUNTIF(C$4:C830,Upgrades!$B$3:$B$13)-COUNTIF(C$4:C830,"Sell_"&amp;Upgrades!$B$3:$B$13))*Upgrades!$D$3:$D$13))</f>
        <v/>
      </c>
      <c r="F830" s="66" t="str">
        <f>IFERROR(__xludf.DUMMYFUNCTION("IF(COUNTA(C830:C1644)=0,"""",IF(REGEXMATCH(INDEX(FILTER(C$4:C830,C$4:C830&lt;&gt;""""),ROWS(FILTER(C$4:C830,C$4:C830&lt;&gt;""""))),""^Sell_""),INDEX(FILTER(F$4:F829,C$4:C829&lt;&gt;""""),ROWS(FILTER(C$4:C829,C$4:C829&lt;&gt;""""))),$AC$5+E830))"),"")</f>
        <v/>
      </c>
      <c r="G830" s="10" t="str">
        <f>IFERROR(__xludf.DUMMYFUNCTION("IF(COUNTA(C830:C1644)=0,"""",IF(C830="""",0,IF(REGEXMATCH(C830,""^Sell_""),-ROUNDDOWN(ROUNDUP(INDEX(Upgrades!$C$3:$C$13,MATCH(SUBSTITUTE(C830,""Sell_"",""""),Upgrades!$B$3:$B$13,0))*1.15^(COUNTIF(C$4:C829,SUBSTITUTE(C830,""Sell_"",""""))-COUNTIF(C$4:C829,"&amp;"""Sell_""&amp;SUBSTITUTE(C830,""Sell_"",""""))))/2),ROUNDUP(INDEX(Upgrades!$C$3:$C$13,MATCH(C830,Upgrades!$B$3:$B$13,0))*1.15^(COUNTIF(C$4:C829,C830)-COUNTIF(C$4:C829,""Sell_""&amp;C830))))))"),"")</f>
        <v/>
      </c>
      <c r="H830" s="10" t="str">
        <f t="shared" si="3"/>
        <v/>
      </c>
      <c r="I830" s="68" t="str">
        <f t="shared" si="4"/>
        <v/>
      </c>
      <c r="J830" s="59" t="str">
        <f t="shared" si="5"/>
        <v/>
      </c>
      <c r="K830" s="69" t="str">
        <f t="shared" si="6"/>
        <v/>
      </c>
      <c r="L830" s="60" t="str">
        <f t="shared" si="7"/>
        <v/>
      </c>
      <c r="M830" s="61" t="str">
        <f>IFERROR(__xludf.DUMMYFUNCTION("IFS(AND(COUNTA(C830:C1644)=0,COUNTA(Q830:Q1644)=0),"""",OR(AND(K830&gt;=1000000000,OR(Y830&gt;=1000000000,COUNTA(Q830:Q1644)=0)),OR(Y830&gt;=1000000000,AND(COUNTA(C830:C1644)=0,P$3=TRUE))),
ROUNDDOWN((AB$1-AC$1)*MAX(INDEX(T$4:T1644,MATCH(LARGE(FILTER(Y$4:Y1644,Y$4"&amp;":Y1644&lt;1000000000),1),Y$4:Y1644)),INDEX(F$4:F1644,MATCH(LARGE(FILTER(K$4:K1644,K$4:K1644&lt;1000000000),1),K$4:K1644)))),AND(K830&lt;1000000000,COUNTA(C830:C1644)&gt;0,P$3=FALSE),
ROUNDDOWN(INDEX(Y$4:Y1644,MATCH(LARGE(FILTER(W$4:W1644,W$4:W1644&lt;=I830),1),W$4:W1644"&amp;"))+(I830-LARGE(FILTER(W$4:W1644,W$4:W1644&lt;=I830),1))*INDEX(T$4:T1644,MATCH(LARGE(FILTER(W$4:W1644,W$4:W1644&lt;=I830),1),W$4:W1644))-K830),1,
ROUNDDOWN(Y830-INDEX(K$4:K1644,MATCH(LARGE(FILTER(I$4:I1644,I$4:I1644&lt;=W830),1),I$4:I1644))-(W830-LARGE(FILTER(I$4:I"&amp;"1644,I$4:I1644&lt;=W830),1))*INDEX(F$4:F1644,MATCH(LARGE(FILTER(I$4:I1644,I$4:I1644&lt;=W830),1),I$4:I1644))))"),"")</f>
        <v/>
      </c>
      <c r="N830" s="60" t="str">
        <f t="shared" si="8"/>
        <v/>
      </c>
      <c r="O830" s="61" t="str">
        <f t="shared" si="9"/>
        <v/>
      </c>
      <c r="P830" s="56" t="str">
        <f t="shared" si="10"/>
        <v/>
      </c>
      <c r="Q830" s="105"/>
      <c r="R830" s="10"/>
      <c r="S830" s="59" t="str">
        <f t="array" ref="S830">IF(COUNTA(Q830:Q1644)=0,"",SUM((COUNTIF(Q$4:Q830,Upgrades!$B$3:$B$13)-COUNTIF(Q$4:Q830,"Sell_"&amp;Upgrades!$B$3:$B$13))*Upgrades!$D$3:$D$13))</f>
        <v/>
      </c>
      <c r="T830" s="66" t="str">
        <f>IFERROR(__xludf.DUMMYFUNCTION("IF(COUNTA(Q830:Q1644)=0,"""",IF(REGEXMATCH(INDEX(FILTER(Q$4:Q830,Q$4:Q830&lt;&gt;""""),ROWS(FILTER(Q$4:Q830,Q$4:Q830&lt;&gt;""""))),""^Sell_""),INDEX(FILTER(T$4:T829,Q$4:Q829&lt;&gt;""""),ROWS(FILTER(Q$4:Q829,Q$4:Q829&lt;&gt;""""))),$AD$5+S830))"),"")</f>
        <v/>
      </c>
      <c r="U830" s="10" t="str">
        <f>IFERROR(__xludf.DUMMYFUNCTION("IF(COUNTA(Q830:Q1644)=0,"""",IF(Q830="""",0,IF(REGEXMATCH(Q830,""^Sell_""),-ROUNDDOWN(ROUNDUP(INDEX(Upgrades!$C$3:$C$13,MATCH(SUBSTITUTE(Q830,""Sell_"",""""),Upgrades!$B$3:$B$13,0))*1.15^(COUNTIF(Q$4:Q829,SUBSTITUTE(Q830,""Sell_"",""""))-COUNTIF(Q$4:Q829,"&amp;"""Sell_""&amp;SUBSTITUTE(Q830,""Sell_"",""""))))/2),ROUNDUP(INDEX(Upgrades!$C$3:$C$13,MATCH(Q830,Upgrades!$B$3:$B$13,0))*1.15^(COUNTIF(Q$4:Q829,Q830)-COUNTIF(Q$4:Q829,""Sell_""&amp;Q830))))))"),"")</f>
        <v/>
      </c>
      <c r="V830" s="10" t="str">
        <f t="shared" si="11"/>
        <v/>
      </c>
      <c r="W830" s="68" t="str">
        <f t="shared" si="12"/>
        <v/>
      </c>
      <c r="X830" s="59" t="str">
        <f t="shared" si="13"/>
        <v/>
      </c>
      <c r="Y830" s="69" t="str">
        <f t="shared" si="14"/>
        <v/>
      </c>
      <c r="Z830" s="11"/>
      <c r="AG830" s="59"/>
    </row>
    <row r="831">
      <c r="A831" s="8"/>
      <c r="B831" s="56" t="str">
        <f t="shared" si="2"/>
        <v/>
      </c>
      <c r="C831" s="105"/>
      <c r="D831" s="10"/>
      <c r="E831" s="59" t="str">
        <f t="array" ref="E831">IF(COUNTA(C831:C1644)=0,"",SUM((COUNTIF(C$4:C831,Upgrades!$B$3:$B$13)-COUNTIF(C$4:C831,"Sell_"&amp;Upgrades!$B$3:$B$13))*Upgrades!$D$3:$D$13))</f>
        <v/>
      </c>
      <c r="F831" s="66" t="str">
        <f>IFERROR(__xludf.DUMMYFUNCTION("IF(COUNTA(C831:C1644)=0,"""",IF(REGEXMATCH(INDEX(FILTER(C$4:C831,C$4:C831&lt;&gt;""""),ROWS(FILTER(C$4:C831,C$4:C831&lt;&gt;""""))),""^Sell_""),INDEX(FILTER(F$4:F830,C$4:C830&lt;&gt;""""),ROWS(FILTER(C$4:C830,C$4:C830&lt;&gt;""""))),$AC$5+E831))"),"")</f>
        <v/>
      </c>
      <c r="G831" s="10" t="str">
        <f>IFERROR(__xludf.DUMMYFUNCTION("IF(COUNTA(C831:C1644)=0,"""",IF(C831="""",0,IF(REGEXMATCH(C831,""^Sell_""),-ROUNDDOWN(ROUNDUP(INDEX(Upgrades!$C$3:$C$13,MATCH(SUBSTITUTE(C831,""Sell_"",""""),Upgrades!$B$3:$B$13,0))*1.15^(COUNTIF(C$4:C830,SUBSTITUTE(C831,""Sell_"",""""))-COUNTIF(C$4:C830,"&amp;"""Sell_""&amp;SUBSTITUTE(C831,""Sell_"",""""))))/2),ROUNDUP(INDEX(Upgrades!$C$3:$C$13,MATCH(C831,Upgrades!$B$3:$B$13,0))*1.15^(COUNTIF(C$4:C830,C831)-COUNTIF(C$4:C830,""Sell_""&amp;C831))))))"),"")</f>
        <v/>
      </c>
      <c r="H831" s="10" t="str">
        <f t="shared" si="3"/>
        <v/>
      </c>
      <c r="I831" s="68" t="str">
        <f t="shared" si="4"/>
        <v/>
      </c>
      <c r="J831" s="59" t="str">
        <f t="shared" si="5"/>
        <v/>
      </c>
      <c r="K831" s="69" t="str">
        <f t="shared" si="6"/>
        <v/>
      </c>
      <c r="L831" s="60" t="str">
        <f t="shared" si="7"/>
        <v/>
      </c>
      <c r="M831" s="61" t="str">
        <f>IFERROR(__xludf.DUMMYFUNCTION("IFS(AND(COUNTA(C831:C1644)=0,COUNTA(Q831:Q1644)=0),"""",OR(AND(K831&gt;=1000000000,OR(Y831&gt;=1000000000,COUNTA(Q831:Q1644)=0)),OR(Y831&gt;=1000000000,AND(COUNTA(C831:C1644)=0,P$3=TRUE))),
ROUNDDOWN((AB$1-AC$1)*MAX(INDEX(T$4:T1644,MATCH(LARGE(FILTER(Y$4:Y1644,Y$4"&amp;":Y1644&lt;1000000000),1),Y$4:Y1644)),INDEX(F$4:F1644,MATCH(LARGE(FILTER(K$4:K1644,K$4:K1644&lt;1000000000),1),K$4:K1644)))),AND(K831&lt;1000000000,COUNTA(C831:C1644)&gt;0,P$3=FALSE),
ROUNDDOWN(INDEX(Y$4:Y1644,MATCH(LARGE(FILTER(W$4:W1644,W$4:W1644&lt;=I831),1),W$4:W1644"&amp;"))+(I831-LARGE(FILTER(W$4:W1644,W$4:W1644&lt;=I831),1))*INDEX(T$4:T1644,MATCH(LARGE(FILTER(W$4:W1644,W$4:W1644&lt;=I831),1),W$4:W1644))-K831),1,
ROUNDDOWN(Y831-INDEX(K$4:K1644,MATCH(LARGE(FILTER(I$4:I1644,I$4:I1644&lt;=W831),1),I$4:I1644))-(W831-LARGE(FILTER(I$4:I"&amp;"1644,I$4:I1644&lt;=W831),1))*INDEX(F$4:F1644,MATCH(LARGE(FILTER(I$4:I1644,I$4:I1644&lt;=W831),1),I$4:I1644))))"),"")</f>
        <v/>
      </c>
      <c r="N831" s="60" t="str">
        <f t="shared" si="8"/>
        <v/>
      </c>
      <c r="O831" s="61" t="str">
        <f t="shared" si="9"/>
        <v/>
      </c>
      <c r="P831" s="56" t="str">
        <f t="shared" si="10"/>
        <v/>
      </c>
      <c r="Q831" s="105"/>
      <c r="R831" s="10"/>
      <c r="S831" s="59" t="str">
        <f t="array" ref="S831">IF(COUNTA(Q831:Q1644)=0,"",SUM((COUNTIF(Q$4:Q831,Upgrades!$B$3:$B$13)-COUNTIF(Q$4:Q831,"Sell_"&amp;Upgrades!$B$3:$B$13))*Upgrades!$D$3:$D$13))</f>
        <v/>
      </c>
      <c r="T831" s="66" t="str">
        <f>IFERROR(__xludf.DUMMYFUNCTION("IF(COUNTA(Q831:Q1644)=0,"""",IF(REGEXMATCH(INDEX(FILTER(Q$4:Q831,Q$4:Q831&lt;&gt;""""),ROWS(FILTER(Q$4:Q831,Q$4:Q831&lt;&gt;""""))),""^Sell_""),INDEX(FILTER(T$4:T830,Q$4:Q830&lt;&gt;""""),ROWS(FILTER(Q$4:Q830,Q$4:Q830&lt;&gt;""""))),$AD$5+S831))"),"")</f>
        <v/>
      </c>
      <c r="U831" s="10" t="str">
        <f>IFERROR(__xludf.DUMMYFUNCTION("IF(COUNTA(Q831:Q1644)=0,"""",IF(Q831="""",0,IF(REGEXMATCH(Q831,""^Sell_""),-ROUNDDOWN(ROUNDUP(INDEX(Upgrades!$C$3:$C$13,MATCH(SUBSTITUTE(Q831,""Sell_"",""""),Upgrades!$B$3:$B$13,0))*1.15^(COUNTIF(Q$4:Q830,SUBSTITUTE(Q831,""Sell_"",""""))-COUNTIF(Q$4:Q830,"&amp;"""Sell_""&amp;SUBSTITUTE(Q831,""Sell_"",""""))))/2),ROUNDUP(INDEX(Upgrades!$C$3:$C$13,MATCH(Q831,Upgrades!$B$3:$B$13,0))*1.15^(COUNTIF(Q$4:Q830,Q831)-COUNTIF(Q$4:Q830,""Sell_""&amp;Q831))))))"),"")</f>
        <v/>
      </c>
      <c r="V831" s="10" t="str">
        <f t="shared" si="11"/>
        <v/>
      </c>
      <c r="W831" s="68" t="str">
        <f t="shared" si="12"/>
        <v/>
      </c>
      <c r="X831" s="59" t="str">
        <f t="shared" si="13"/>
        <v/>
      </c>
      <c r="Y831" s="69" t="str">
        <f t="shared" si="14"/>
        <v/>
      </c>
      <c r="Z831" s="11"/>
      <c r="AG831" s="59"/>
    </row>
    <row r="832">
      <c r="A832" s="8"/>
      <c r="B832" s="56" t="str">
        <f t="shared" si="2"/>
        <v/>
      </c>
      <c r="C832" s="105"/>
      <c r="D832" s="10"/>
      <c r="E832" s="59" t="str">
        <f t="array" ref="E832">IF(COUNTA(C832:C1644)=0,"",SUM((COUNTIF(C$4:C832,Upgrades!$B$3:$B$13)-COUNTIF(C$4:C832,"Sell_"&amp;Upgrades!$B$3:$B$13))*Upgrades!$D$3:$D$13))</f>
        <v/>
      </c>
      <c r="F832" s="66" t="str">
        <f>IFERROR(__xludf.DUMMYFUNCTION("IF(COUNTA(C832:C1644)=0,"""",IF(REGEXMATCH(INDEX(FILTER(C$4:C832,C$4:C832&lt;&gt;""""),ROWS(FILTER(C$4:C832,C$4:C832&lt;&gt;""""))),""^Sell_""),INDEX(FILTER(F$4:F831,C$4:C831&lt;&gt;""""),ROWS(FILTER(C$4:C831,C$4:C831&lt;&gt;""""))),$AC$5+E832))"),"")</f>
        <v/>
      </c>
      <c r="G832" s="10" t="str">
        <f>IFERROR(__xludf.DUMMYFUNCTION("IF(COUNTA(C832:C1644)=0,"""",IF(C832="""",0,IF(REGEXMATCH(C832,""^Sell_""),-ROUNDDOWN(ROUNDUP(INDEX(Upgrades!$C$3:$C$13,MATCH(SUBSTITUTE(C832,""Sell_"",""""),Upgrades!$B$3:$B$13,0))*1.15^(COUNTIF(C$4:C831,SUBSTITUTE(C832,""Sell_"",""""))-COUNTIF(C$4:C831,"&amp;"""Sell_""&amp;SUBSTITUTE(C832,""Sell_"",""""))))/2),ROUNDUP(INDEX(Upgrades!$C$3:$C$13,MATCH(C832,Upgrades!$B$3:$B$13,0))*1.15^(COUNTIF(C$4:C831,C832)-COUNTIF(C$4:C831,""Sell_""&amp;C832))))))"),"")</f>
        <v/>
      </c>
      <c r="H832" s="10" t="str">
        <f t="shared" si="3"/>
        <v/>
      </c>
      <c r="I832" s="68" t="str">
        <f t="shared" si="4"/>
        <v/>
      </c>
      <c r="J832" s="59" t="str">
        <f t="shared" si="5"/>
        <v/>
      </c>
      <c r="K832" s="69" t="str">
        <f t="shared" si="6"/>
        <v/>
      </c>
      <c r="L832" s="60" t="str">
        <f t="shared" si="7"/>
        <v/>
      </c>
      <c r="M832" s="61" t="str">
        <f>IFERROR(__xludf.DUMMYFUNCTION("IFS(AND(COUNTA(C832:C1644)=0,COUNTA(Q832:Q1644)=0),"""",OR(AND(K832&gt;=1000000000,OR(Y832&gt;=1000000000,COUNTA(Q832:Q1644)=0)),OR(Y832&gt;=1000000000,AND(COUNTA(C832:C1644)=0,P$3=TRUE))),
ROUNDDOWN((AB$1-AC$1)*MAX(INDEX(T$4:T1644,MATCH(LARGE(FILTER(Y$4:Y1644,Y$4"&amp;":Y1644&lt;1000000000),1),Y$4:Y1644)),INDEX(F$4:F1644,MATCH(LARGE(FILTER(K$4:K1644,K$4:K1644&lt;1000000000),1),K$4:K1644)))),AND(K832&lt;1000000000,COUNTA(C832:C1644)&gt;0,P$3=FALSE),
ROUNDDOWN(INDEX(Y$4:Y1644,MATCH(LARGE(FILTER(W$4:W1644,W$4:W1644&lt;=I832),1),W$4:W1644"&amp;"))+(I832-LARGE(FILTER(W$4:W1644,W$4:W1644&lt;=I832),1))*INDEX(T$4:T1644,MATCH(LARGE(FILTER(W$4:W1644,W$4:W1644&lt;=I832),1),W$4:W1644))-K832),1,
ROUNDDOWN(Y832-INDEX(K$4:K1644,MATCH(LARGE(FILTER(I$4:I1644,I$4:I1644&lt;=W832),1),I$4:I1644))-(W832-LARGE(FILTER(I$4:I"&amp;"1644,I$4:I1644&lt;=W832),1))*INDEX(F$4:F1644,MATCH(LARGE(FILTER(I$4:I1644,I$4:I1644&lt;=W832),1),I$4:I1644))))"),"")</f>
        <v/>
      </c>
      <c r="N832" s="60" t="str">
        <f t="shared" si="8"/>
        <v/>
      </c>
      <c r="O832" s="61" t="str">
        <f t="shared" si="9"/>
        <v/>
      </c>
      <c r="P832" s="56" t="str">
        <f t="shared" si="10"/>
        <v/>
      </c>
      <c r="Q832" s="105"/>
      <c r="R832" s="10"/>
      <c r="S832" s="59" t="str">
        <f t="array" ref="S832">IF(COUNTA(Q832:Q1644)=0,"",SUM((COUNTIF(Q$4:Q832,Upgrades!$B$3:$B$13)-COUNTIF(Q$4:Q832,"Sell_"&amp;Upgrades!$B$3:$B$13))*Upgrades!$D$3:$D$13))</f>
        <v/>
      </c>
      <c r="T832" s="66" t="str">
        <f>IFERROR(__xludf.DUMMYFUNCTION("IF(COUNTA(Q832:Q1644)=0,"""",IF(REGEXMATCH(INDEX(FILTER(Q$4:Q832,Q$4:Q832&lt;&gt;""""),ROWS(FILTER(Q$4:Q832,Q$4:Q832&lt;&gt;""""))),""^Sell_""),INDEX(FILTER(T$4:T831,Q$4:Q831&lt;&gt;""""),ROWS(FILTER(Q$4:Q831,Q$4:Q831&lt;&gt;""""))),$AD$5+S832))"),"")</f>
        <v/>
      </c>
      <c r="U832" s="10" t="str">
        <f>IFERROR(__xludf.DUMMYFUNCTION("IF(COUNTA(Q832:Q1644)=0,"""",IF(Q832="""",0,IF(REGEXMATCH(Q832,""^Sell_""),-ROUNDDOWN(ROUNDUP(INDEX(Upgrades!$C$3:$C$13,MATCH(SUBSTITUTE(Q832,""Sell_"",""""),Upgrades!$B$3:$B$13,0))*1.15^(COUNTIF(Q$4:Q831,SUBSTITUTE(Q832,""Sell_"",""""))-COUNTIF(Q$4:Q831,"&amp;"""Sell_""&amp;SUBSTITUTE(Q832,""Sell_"",""""))))/2),ROUNDUP(INDEX(Upgrades!$C$3:$C$13,MATCH(Q832,Upgrades!$B$3:$B$13,0))*1.15^(COUNTIF(Q$4:Q831,Q832)-COUNTIF(Q$4:Q831,""Sell_""&amp;Q832))))))"),"")</f>
        <v/>
      </c>
      <c r="V832" s="10" t="str">
        <f t="shared" si="11"/>
        <v/>
      </c>
      <c r="W832" s="68" t="str">
        <f t="shared" si="12"/>
        <v/>
      </c>
      <c r="X832" s="59" t="str">
        <f t="shared" si="13"/>
        <v/>
      </c>
      <c r="Y832" s="69" t="str">
        <f t="shared" si="14"/>
        <v/>
      </c>
      <c r="Z832" s="11"/>
      <c r="AG832" s="59"/>
    </row>
    <row r="833">
      <c r="A833" s="8"/>
      <c r="B833" s="56" t="str">
        <f t="shared" si="2"/>
        <v/>
      </c>
      <c r="C833" s="105"/>
      <c r="D833" s="10"/>
      <c r="E833" s="59" t="str">
        <f t="array" ref="E833">IF(COUNTA(C833:C1644)=0,"",SUM((COUNTIF(C$4:C833,Upgrades!$B$3:$B$13)-COUNTIF(C$4:C833,"Sell_"&amp;Upgrades!$B$3:$B$13))*Upgrades!$D$3:$D$13))</f>
        <v/>
      </c>
      <c r="F833" s="66" t="str">
        <f>IFERROR(__xludf.DUMMYFUNCTION("IF(COUNTA(C833:C1644)=0,"""",IF(REGEXMATCH(INDEX(FILTER(C$4:C833,C$4:C833&lt;&gt;""""),ROWS(FILTER(C$4:C833,C$4:C833&lt;&gt;""""))),""^Sell_""),INDEX(FILTER(F$4:F832,C$4:C832&lt;&gt;""""),ROWS(FILTER(C$4:C832,C$4:C832&lt;&gt;""""))),$AC$5+E833))"),"")</f>
        <v/>
      </c>
      <c r="G833" s="10" t="str">
        <f>IFERROR(__xludf.DUMMYFUNCTION("IF(COUNTA(C833:C1644)=0,"""",IF(C833="""",0,IF(REGEXMATCH(C833,""^Sell_""),-ROUNDDOWN(ROUNDUP(INDEX(Upgrades!$C$3:$C$13,MATCH(SUBSTITUTE(C833,""Sell_"",""""),Upgrades!$B$3:$B$13,0))*1.15^(COUNTIF(C$4:C832,SUBSTITUTE(C833,""Sell_"",""""))-COUNTIF(C$4:C832,"&amp;"""Sell_""&amp;SUBSTITUTE(C833,""Sell_"",""""))))/2),ROUNDUP(INDEX(Upgrades!$C$3:$C$13,MATCH(C833,Upgrades!$B$3:$B$13,0))*1.15^(COUNTIF(C$4:C832,C833)-COUNTIF(C$4:C832,""Sell_""&amp;C833))))))"),"")</f>
        <v/>
      </c>
      <c r="H833" s="10" t="str">
        <f t="shared" si="3"/>
        <v/>
      </c>
      <c r="I833" s="68" t="str">
        <f t="shared" si="4"/>
        <v/>
      </c>
      <c r="J833" s="59" t="str">
        <f t="shared" si="5"/>
        <v/>
      </c>
      <c r="K833" s="69" t="str">
        <f t="shared" si="6"/>
        <v/>
      </c>
      <c r="L833" s="60" t="str">
        <f t="shared" si="7"/>
        <v/>
      </c>
      <c r="M833" s="61" t="str">
        <f>IFERROR(__xludf.DUMMYFUNCTION("IFS(AND(COUNTA(C833:C1644)=0,COUNTA(Q833:Q1644)=0),"""",OR(AND(K833&gt;=1000000000,OR(Y833&gt;=1000000000,COUNTA(Q833:Q1644)=0)),OR(Y833&gt;=1000000000,AND(COUNTA(C833:C1644)=0,P$3=TRUE))),
ROUNDDOWN((AB$1-AC$1)*MAX(INDEX(T$4:T1644,MATCH(LARGE(FILTER(Y$4:Y1644,Y$4"&amp;":Y1644&lt;1000000000),1),Y$4:Y1644)),INDEX(F$4:F1644,MATCH(LARGE(FILTER(K$4:K1644,K$4:K1644&lt;1000000000),1),K$4:K1644)))),AND(K833&lt;1000000000,COUNTA(C833:C1644)&gt;0,P$3=FALSE),
ROUNDDOWN(INDEX(Y$4:Y1644,MATCH(LARGE(FILTER(W$4:W1644,W$4:W1644&lt;=I833),1),W$4:W1644"&amp;"))+(I833-LARGE(FILTER(W$4:W1644,W$4:W1644&lt;=I833),1))*INDEX(T$4:T1644,MATCH(LARGE(FILTER(W$4:W1644,W$4:W1644&lt;=I833),1),W$4:W1644))-K833),1,
ROUNDDOWN(Y833-INDEX(K$4:K1644,MATCH(LARGE(FILTER(I$4:I1644,I$4:I1644&lt;=W833),1),I$4:I1644))-(W833-LARGE(FILTER(I$4:I"&amp;"1644,I$4:I1644&lt;=W833),1))*INDEX(F$4:F1644,MATCH(LARGE(FILTER(I$4:I1644,I$4:I1644&lt;=W833),1),I$4:I1644))))"),"")</f>
        <v/>
      </c>
      <c r="N833" s="60" t="str">
        <f t="shared" si="8"/>
        <v/>
      </c>
      <c r="O833" s="61" t="str">
        <f t="shared" si="9"/>
        <v/>
      </c>
      <c r="P833" s="56" t="str">
        <f t="shared" si="10"/>
        <v/>
      </c>
      <c r="Q833" s="105"/>
      <c r="R833" s="10"/>
      <c r="S833" s="59" t="str">
        <f t="array" ref="S833">IF(COUNTA(Q833:Q1644)=0,"",SUM((COUNTIF(Q$4:Q833,Upgrades!$B$3:$B$13)-COUNTIF(Q$4:Q833,"Sell_"&amp;Upgrades!$B$3:$B$13))*Upgrades!$D$3:$D$13))</f>
        <v/>
      </c>
      <c r="T833" s="66" t="str">
        <f>IFERROR(__xludf.DUMMYFUNCTION("IF(COUNTA(Q833:Q1644)=0,"""",IF(REGEXMATCH(INDEX(FILTER(Q$4:Q833,Q$4:Q833&lt;&gt;""""),ROWS(FILTER(Q$4:Q833,Q$4:Q833&lt;&gt;""""))),""^Sell_""),INDEX(FILTER(T$4:T832,Q$4:Q832&lt;&gt;""""),ROWS(FILTER(Q$4:Q832,Q$4:Q832&lt;&gt;""""))),$AD$5+S833))"),"")</f>
        <v/>
      </c>
      <c r="U833" s="10" t="str">
        <f>IFERROR(__xludf.DUMMYFUNCTION("IF(COUNTA(Q833:Q1644)=0,"""",IF(Q833="""",0,IF(REGEXMATCH(Q833,""^Sell_""),-ROUNDDOWN(ROUNDUP(INDEX(Upgrades!$C$3:$C$13,MATCH(SUBSTITUTE(Q833,""Sell_"",""""),Upgrades!$B$3:$B$13,0))*1.15^(COUNTIF(Q$4:Q832,SUBSTITUTE(Q833,""Sell_"",""""))-COUNTIF(Q$4:Q832,"&amp;"""Sell_""&amp;SUBSTITUTE(Q833,""Sell_"",""""))))/2),ROUNDUP(INDEX(Upgrades!$C$3:$C$13,MATCH(Q833,Upgrades!$B$3:$B$13,0))*1.15^(COUNTIF(Q$4:Q832,Q833)-COUNTIF(Q$4:Q832,""Sell_""&amp;Q833))))))"),"")</f>
        <v/>
      </c>
      <c r="V833" s="10" t="str">
        <f t="shared" si="11"/>
        <v/>
      </c>
      <c r="W833" s="68" t="str">
        <f t="shared" si="12"/>
        <v/>
      </c>
      <c r="X833" s="59" t="str">
        <f t="shared" si="13"/>
        <v/>
      </c>
      <c r="Y833" s="69" t="str">
        <f t="shared" si="14"/>
        <v/>
      </c>
      <c r="Z833" s="11"/>
      <c r="AG833" s="59"/>
    </row>
    <row r="834">
      <c r="A834" s="8"/>
      <c r="B834" s="56" t="str">
        <f t="shared" si="2"/>
        <v/>
      </c>
      <c r="C834" s="105"/>
      <c r="D834" s="10"/>
      <c r="E834" s="59" t="str">
        <f t="array" ref="E834">IF(COUNTA(C834:C1644)=0,"",SUM((COUNTIF(C$4:C834,Upgrades!$B$3:$B$13)-COUNTIF(C$4:C834,"Sell_"&amp;Upgrades!$B$3:$B$13))*Upgrades!$D$3:$D$13))</f>
        <v/>
      </c>
      <c r="F834" s="66" t="str">
        <f>IFERROR(__xludf.DUMMYFUNCTION("IF(COUNTA(C834:C1644)=0,"""",IF(REGEXMATCH(INDEX(FILTER(C$4:C834,C$4:C834&lt;&gt;""""),ROWS(FILTER(C$4:C834,C$4:C834&lt;&gt;""""))),""^Sell_""),INDEX(FILTER(F$4:F833,C$4:C833&lt;&gt;""""),ROWS(FILTER(C$4:C833,C$4:C833&lt;&gt;""""))),$AC$5+E834))"),"")</f>
        <v/>
      </c>
      <c r="G834" s="10" t="str">
        <f>IFERROR(__xludf.DUMMYFUNCTION("IF(COUNTA(C834:C1644)=0,"""",IF(C834="""",0,IF(REGEXMATCH(C834,""^Sell_""),-ROUNDDOWN(ROUNDUP(INDEX(Upgrades!$C$3:$C$13,MATCH(SUBSTITUTE(C834,""Sell_"",""""),Upgrades!$B$3:$B$13,0))*1.15^(COUNTIF(C$4:C833,SUBSTITUTE(C834,""Sell_"",""""))-COUNTIF(C$4:C833,"&amp;"""Sell_""&amp;SUBSTITUTE(C834,""Sell_"",""""))))/2),ROUNDUP(INDEX(Upgrades!$C$3:$C$13,MATCH(C834,Upgrades!$B$3:$B$13,0))*1.15^(COUNTIF(C$4:C833,C834)-COUNTIF(C$4:C833,""Sell_""&amp;C834))))))"),"")</f>
        <v/>
      </c>
      <c r="H834" s="10" t="str">
        <f t="shared" si="3"/>
        <v/>
      </c>
      <c r="I834" s="68" t="str">
        <f t="shared" si="4"/>
        <v/>
      </c>
      <c r="J834" s="59" t="str">
        <f t="shared" si="5"/>
        <v/>
      </c>
      <c r="K834" s="69" t="str">
        <f t="shared" si="6"/>
        <v/>
      </c>
      <c r="L834" s="60" t="str">
        <f t="shared" si="7"/>
        <v/>
      </c>
      <c r="M834" s="61" t="str">
        <f>IFERROR(__xludf.DUMMYFUNCTION("IFS(AND(COUNTA(C834:C1644)=0,COUNTA(Q834:Q1644)=0),"""",OR(AND(K834&gt;=1000000000,OR(Y834&gt;=1000000000,COUNTA(Q834:Q1644)=0)),OR(Y834&gt;=1000000000,AND(COUNTA(C834:C1644)=0,P$3=TRUE))),
ROUNDDOWN((AB$1-AC$1)*MAX(INDEX(T$4:T1644,MATCH(LARGE(FILTER(Y$4:Y1644,Y$4"&amp;":Y1644&lt;1000000000),1),Y$4:Y1644)),INDEX(F$4:F1644,MATCH(LARGE(FILTER(K$4:K1644,K$4:K1644&lt;1000000000),1),K$4:K1644)))),AND(K834&lt;1000000000,COUNTA(C834:C1644)&gt;0,P$3=FALSE),
ROUNDDOWN(INDEX(Y$4:Y1644,MATCH(LARGE(FILTER(W$4:W1644,W$4:W1644&lt;=I834),1),W$4:W1644"&amp;"))+(I834-LARGE(FILTER(W$4:W1644,W$4:W1644&lt;=I834),1))*INDEX(T$4:T1644,MATCH(LARGE(FILTER(W$4:W1644,W$4:W1644&lt;=I834),1),W$4:W1644))-K834),1,
ROUNDDOWN(Y834-INDEX(K$4:K1644,MATCH(LARGE(FILTER(I$4:I1644,I$4:I1644&lt;=W834),1),I$4:I1644))-(W834-LARGE(FILTER(I$4:I"&amp;"1644,I$4:I1644&lt;=W834),1))*INDEX(F$4:F1644,MATCH(LARGE(FILTER(I$4:I1644,I$4:I1644&lt;=W834),1),I$4:I1644))))"),"")</f>
        <v/>
      </c>
      <c r="N834" s="60" t="str">
        <f t="shared" si="8"/>
        <v/>
      </c>
      <c r="O834" s="61" t="str">
        <f t="shared" si="9"/>
        <v/>
      </c>
      <c r="P834" s="56" t="str">
        <f t="shared" si="10"/>
        <v/>
      </c>
      <c r="Q834" s="105"/>
      <c r="R834" s="10"/>
      <c r="S834" s="59" t="str">
        <f t="array" ref="S834">IF(COUNTA(Q834:Q1644)=0,"",SUM((COUNTIF(Q$4:Q834,Upgrades!$B$3:$B$13)-COUNTIF(Q$4:Q834,"Sell_"&amp;Upgrades!$B$3:$B$13))*Upgrades!$D$3:$D$13))</f>
        <v/>
      </c>
      <c r="T834" s="66" t="str">
        <f>IFERROR(__xludf.DUMMYFUNCTION("IF(COUNTA(Q834:Q1644)=0,"""",IF(REGEXMATCH(INDEX(FILTER(Q$4:Q834,Q$4:Q834&lt;&gt;""""),ROWS(FILTER(Q$4:Q834,Q$4:Q834&lt;&gt;""""))),""^Sell_""),INDEX(FILTER(T$4:T833,Q$4:Q833&lt;&gt;""""),ROWS(FILTER(Q$4:Q833,Q$4:Q833&lt;&gt;""""))),$AD$5+S834))"),"")</f>
        <v/>
      </c>
      <c r="U834" s="10" t="str">
        <f>IFERROR(__xludf.DUMMYFUNCTION("IF(COUNTA(Q834:Q1644)=0,"""",IF(Q834="""",0,IF(REGEXMATCH(Q834,""^Sell_""),-ROUNDDOWN(ROUNDUP(INDEX(Upgrades!$C$3:$C$13,MATCH(SUBSTITUTE(Q834,""Sell_"",""""),Upgrades!$B$3:$B$13,0))*1.15^(COUNTIF(Q$4:Q833,SUBSTITUTE(Q834,""Sell_"",""""))-COUNTIF(Q$4:Q833,"&amp;"""Sell_""&amp;SUBSTITUTE(Q834,""Sell_"",""""))))/2),ROUNDUP(INDEX(Upgrades!$C$3:$C$13,MATCH(Q834,Upgrades!$B$3:$B$13,0))*1.15^(COUNTIF(Q$4:Q833,Q834)-COUNTIF(Q$4:Q833,""Sell_""&amp;Q834))))))"),"")</f>
        <v/>
      </c>
      <c r="V834" s="10" t="str">
        <f t="shared" si="11"/>
        <v/>
      </c>
      <c r="W834" s="68" t="str">
        <f t="shared" si="12"/>
        <v/>
      </c>
      <c r="X834" s="59" t="str">
        <f t="shared" si="13"/>
        <v/>
      </c>
      <c r="Y834" s="69" t="str">
        <f t="shared" si="14"/>
        <v/>
      </c>
      <c r="Z834" s="11"/>
      <c r="AG834" s="59"/>
    </row>
    <row r="835">
      <c r="A835" s="8"/>
      <c r="B835" s="56" t="str">
        <f t="shared" si="2"/>
        <v/>
      </c>
      <c r="C835" s="105"/>
      <c r="D835" s="10"/>
      <c r="E835" s="59" t="str">
        <f t="array" ref="E835">IF(COUNTA(C835:C1644)=0,"",SUM((COUNTIF(C$4:C835,Upgrades!$B$3:$B$13)-COUNTIF(C$4:C835,"Sell_"&amp;Upgrades!$B$3:$B$13))*Upgrades!$D$3:$D$13))</f>
        <v/>
      </c>
      <c r="F835" s="66" t="str">
        <f>IFERROR(__xludf.DUMMYFUNCTION("IF(COUNTA(C835:C1644)=0,"""",IF(REGEXMATCH(INDEX(FILTER(C$4:C835,C$4:C835&lt;&gt;""""),ROWS(FILTER(C$4:C835,C$4:C835&lt;&gt;""""))),""^Sell_""),INDEX(FILTER(F$4:F834,C$4:C834&lt;&gt;""""),ROWS(FILTER(C$4:C834,C$4:C834&lt;&gt;""""))),$AC$5+E835))"),"")</f>
        <v/>
      </c>
      <c r="G835" s="10" t="str">
        <f>IFERROR(__xludf.DUMMYFUNCTION("IF(COUNTA(C835:C1644)=0,"""",IF(C835="""",0,IF(REGEXMATCH(C835,""^Sell_""),-ROUNDDOWN(ROUNDUP(INDEX(Upgrades!$C$3:$C$13,MATCH(SUBSTITUTE(C835,""Sell_"",""""),Upgrades!$B$3:$B$13,0))*1.15^(COUNTIF(C$4:C834,SUBSTITUTE(C835,""Sell_"",""""))-COUNTIF(C$4:C834,"&amp;"""Sell_""&amp;SUBSTITUTE(C835,""Sell_"",""""))))/2),ROUNDUP(INDEX(Upgrades!$C$3:$C$13,MATCH(C835,Upgrades!$B$3:$B$13,0))*1.15^(COUNTIF(C$4:C834,C835)-COUNTIF(C$4:C834,""Sell_""&amp;C835))))))"),"")</f>
        <v/>
      </c>
      <c r="H835" s="10" t="str">
        <f t="shared" si="3"/>
        <v/>
      </c>
      <c r="I835" s="68" t="str">
        <f t="shared" si="4"/>
        <v/>
      </c>
      <c r="J835" s="59" t="str">
        <f t="shared" si="5"/>
        <v/>
      </c>
      <c r="K835" s="69" t="str">
        <f t="shared" si="6"/>
        <v/>
      </c>
      <c r="L835" s="60" t="str">
        <f t="shared" si="7"/>
        <v/>
      </c>
      <c r="M835" s="61" t="str">
        <f>IFERROR(__xludf.DUMMYFUNCTION("IFS(AND(COUNTA(C835:C1644)=0,COUNTA(Q835:Q1644)=0),"""",OR(AND(K835&gt;=1000000000,OR(Y835&gt;=1000000000,COUNTA(Q835:Q1644)=0)),OR(Y835&gt;=1000000000,AND(COUNTA(C835:C1644)=0,P$3=TRUE))),
ROUNDDOWN((AB$1-AC$1)*MAX(INDEX(T$4:T1644,MATCH(LARGE(FILTER(Y$4:Y1644,Y$4"&amp;":Y1644&lt;1000000000),1),Y$4:Y1644)),INDEX(F$4:F1644,MATCH(LARGE(FILTER(K$4:K1644,K$4:K1644&lt;1000000000),1),K$4:K1644)))),AND(K835&lt;1000000000,COUNTA(C835:C1644)&gt;0,P$3=FALSE),
ROUNDDOWN(INDEX(Y$4:Y1644,MATCH(LARGE(FILTER(W$4:W1644,W$4:W1644&lt;=I835),1),W$4:W1644"&amp;"))+(I835-LARGE(FILTER(W$4:W1644,W$4:W1644&lt;=I835),1))*INDEX(T$4:T1644,MATCH(LARGE(FILTER(W$4:W1644,W$4:W1644&lt;=I835),1),W$4:W1644))-K835),1,
ROUNDDOWN(Y835-INDEX(K$4:K1644,MATCH(LARGE(FILTER(I$4:I1644,I$4:I1644&lt;=W835),1),I$4:I1644))-(W835-LARGE(FILTER(I$4:I"&amp;"1644,I$4:I1644&lt;=W835),1))*INDEX(F$4:F1644,MATCH(LARGE(FILTER(I$4:I1644,I$4:I1644&lt;=W835),1),I$4:I1644))))"),"")</f>
        <v/>
      </c>
      <c r="N835" s="60" t="str">
        <f t="shared" si="8"/>
        <v/>
      </c>
      <c r="O835" s="61" t="str">
        <f t="shared" si="9"/>
        <v/>
      </c>
      <c r="P835" s="56" t="str">
        <f t="shared" si="10"/>
        <v/>
      </c>
      <c r="Q835" s="105"/>
      <c r="R835" s="10"/>
      <c r="S835" s="59" t="str">
        <f t="array" ref="S835">IF(COUNTA(Q835:Q1644)=0,"",SUM((COUNTIF(Q$4:Q835,Upgrades!$B$3:$B$13)-COUNTIF(Q$4:Q835,"Sell_"&amp;Upgrades!$B$3:$B$13))*Upgrades!$D$3:$D$13))</f>
        <v/>
      </c>
      <c r="T835" s="66" t="str">
        <f>IFERROR(__xludf.DUMMYFUNCTION("IF(COUNTA(Q835:Q1644)=0,"""",IF(REGEXMATCH(INDEX(FILTER(Q$4:Q835,Q$4:Q835&lt;&gt;""""),ROWS(FILTER(Q$4:Q835,Q$4:Q835&lt;&gt;""""))),""^Sell_""),INDEX(FILTER(T$4:T834,Q$4:Q834&lt;&gt;""""),ROWS(FILTER(Q$4:Q834,Q$4:Q834&lt;&gt;""""))),$AD$5+S835))"),"")</f>
        <v/>
      </c>
      <c r="U835" s="10" t="str">
        <f>IFERROR(__xludf.DUMMYFUNCTION("IF(COUNTA(Q835:Q1644)=0,"""",IF(Q835="""",0,IF(REGEXMATCH(Q835,""^Sell_""),-ROUNDDOWN(ROUNDUP(INDEX(Upgrades!$C$3:$C$13,MATCH(SUBSTITUTE(Q835,""Sell_"",""""),Upgrades!$B$3:$B$13,0))*1.15^(COUNTIF(Q$4:Q834,SUBSTITUTE(Q835,""Sell_"",""""))-COUNTIF(Q$4:Q834,"&amp;"""Sell_""&amp;SUBSTITUTE(Q835,""Sell_"",""""))))/2),ROUNDUP(INDEX(Upgrades!$C$3:$C$13,MATCH(Q835,Upgrades!$B$3:$B$13,0))*1.15^(COUNTIF(Q$4:Q834,Q835)-COUNTIF(Q$4:Q834,""Sell_""&amp;Q835))))))"),"")</f>
        <v/>
      </c>
      <c r="V835" s="10" t="str">
        <f t="shared" si="11"/>
        <v/>
      </c>
      <c r="W835" s="68" t="str">
        <f t="shared" si="12"/>
        <v/>
      </c>
      <c r="X835" s="59" t="str">
        <f t="shared" si="13"/>
        <v/>
      </c>
      <c r="Y835" s="69" t="str">
        <f t="shared" si="14"/>
        <v/>
      </c>
      <c r="Z835" s="11"/>
      <c r="AG835" s="59"/>
    </row>
    <row r="836">
      <c r="A836" s="8"/>
      <c r="B836" s="56" t="str">
        <f t="shared" si="2"/>
        <v/>
      </c>
      <c r="C836" s="105"/>
      <c r="D836" s="10"/>
      <c r="E836" s="59" t="str">
        <f t="array" ref="E836">IF(COUNTA(C836:C1644)=0,"",SUM((COUNTIF(C$4:C836,Upgrades!$B$3:$B$13)-COUNTIF(C$4:C836,"Sell_"&amp;Upgrades!$B$3:$B$13))*Upgrades!$D$3:$D$13))</f>
        <v/>
      </c>
      <c r="F836" s="66" t="str">
        <f>IFERROR(__xludf.DUMMYFUNCTION("IF(COUNTA(C836:C1644)=0,"""",IF(REGEXMATCH(INDEX(FILTER(C$4:C836,C$4:C836&lt;&gt;""""),ROWS(FILTER(C$4:C836,C$4:C836&lt;&gt;""""))),""^Sell_""),INDEX(FILTER(F$4:F835,C$4:C835&lt;&gt;""""),ROWS(FILTER(C$4:C835,C$4:C835&lt;&gt;""""))),$AC$5+E836))"),"")</f>
        <v/>
      </c>
      <c r="G836" s="10" t="str">
        <f>IFERROR(__xludf.DUMMYFUNCTION("IF(COUNTA(C836:C1644)=0,"""",IF(C836="""",0,IF(REGEXMATCH(C836,""^Sell_""),-ROUNDDOWN(ROUNDUP(INDEX(Upgrades!$C$3:$C$13,MATCH(SUBSTITUTE(C836,""Sell_"",""""),Upgrades!$B$3:$B$13,0))*1.15^(COUNTIF(C$4:C835,SUBSTITUTE(C836,""Sell_"",""""))-COUNTIF(C$4:C835,"&amp;"""Sell_""&amp;SUBSTITUTE(C836,""Sell_"",""""))))/2),ROUNDUP(INDEX(Upgrades!$C$3:$C$13,MATCH(C836,Upgrades!$B$3:$B$13,0))*1.15^(COUNTIF(C$4:C835,C836)-COUNTIF(C$4:C835,""Sell_""&amp;C836))))))"),"")</f>
        <v/>
      </c>
      <c r="H836" s="10" t="str">
        <f t="shared" si="3"/>
        <v/>
      </c>
      <c r="I836" s="68" t="str">
        <f t="shared" si="4"/>
        <v/>
      </c>
      <c r="J836" s="59" t="str">
        <f t="shared" si="5"/>
        <v/>
      </c>
      <c r="K836" s="69" t="str">
        <f t="shared" si="6"/>
        <v/>
      </c>
      <c r="L836" s="60" t="str">
        <f t="shared" si="7"/>
        <v/>
      </c>
      <c r="M836" s="61" t="str">
        <f>IFERROR(__xludf.DUMMYFUNCTION("IFS(AND(COUNTA(C836:C1644)=0,COUNTA(Q836:Q1644)=0),"""",OR(AND(K836&gt;=1000000000,OR(Y836&gt;=1000000000,COUNTA(Q836:Q1644)=0)),OR(Y836&gt;=1000000000,AND(COUNTA(C836:C1644)=0,P$3=TRUE))),
ROUNDDOWN((AB$1-AC$1)*MAX(INDEX(T$4:T1644,MATCH(LARGE(FILTER(Y$4:Y1644,Y$4"&amp;":Y1644&lt;1000000000),1),Y$4:Y1644)),INDEX(F$4:F1644,MATCH(LARGE(FILTER(K$4:K1644,K$4:K1644&lt;1000000000),1),K$4:K1644)))),AND(K836&lt;1000000000,COUNTA(C836:C1644)&gt;0,P$3=FALSE),
ROUNDDOWN(INDEX(Y$4:Y1644,MATCH(LARGE(FILTER(W$4:W1644,W$4:W1644&lt;=I836),1),W$4:W1644"&amp;"))+(I836-LARGE(FILTER(W$4:W1644,W$4:W1644&lt;=I836),1))*INDEX(T$4:T1644,MATCH(LARGE(FILTER(W$4:W1644,W$4:W1644&lt;=I836),1),W$4:W1644))-K836),1,
ROUNDDOWN(Y836-INDEX(K$4:K1644,MATCH(LARGE(FILTER(I$4:I1644,I$4:I1644&lt;=W836),1),I$4:I1644))-(W836-LARGE(FILTER(I$4:I"&amp;"1644,I$4:I1644&lt;=W836),1))*INDEX(F$4:F1644,MATCH(LARGE(FILTER(I$4:I1644,I$4:I1644&lt;=W836),1),I$4:I1644))))"),"")</f>
        <v/>
      </c>
      <c r="N836" s="60" t="str">
        <f t="shared" si="8"/>
        <v/>
      </c>
      <c r="O836" s="61" t="str">
        <f t="shared" si="9"/>
        <v/>
      </c>
      <c r="P836" s="56" t="str">
        <f t="shared" si="10"/>
        <v/>
      </c>
      <c r="Q836" s="105"/>
      <c r="R836" s="10"/>
      <c r="S836" s="59" t="str">
        <f t="array" ref="S836">IF(COUNTA(Q836:Q1644)=0,"",SUM((COUNTIF(Q$4:Q836,Upgrades!$B$3:$B$13)-COUNTIF(Q$4:Q836,"Sell_"&amp;Upgrades!$B$3:$B$13))*Upgrades!$D$3:$D$13))</f>
        <v/>
      </c>
      <c r="T836" s="66" t="str">
        <f>IFERROR(__xludf.DUMMYFUNCTION("IF(COUNTA(Q836:Q1644)=0,"""",IF(REGEXMATCH(INDEX(FILTER(Q$4:Q836,Q$4:Q836&lt;&gt;""""),ROWS(FILTER(Q$4:Q836,Q$4:Q836&lt;&gt;""""))),""^Sell_""),INDEX(FILTER(T$4:T835,Q$4:Q835&lt;&gt;""""),ROWS(FILTER(Q$4:Q835,Q$4:Q835&lt;&gt;""""))),$AD$5+S836))"),"")</f>
        <v/>
      </c>
      <c r="U836" s="10" t="str">
        <f>IFERROR(__xludf.DUMMYFUNCTION("IF(COUNTA(Q836:Q1644)=0,"""",IF(Q836="""",0,IF(REGEXMATCH(Q836,""^Sell_""),-ROUNDDOWN(ROUNDUP(INDEX(Upgrades!$C$3:$C$13,MATCH(SUBSTITUTE(Q836,""Sell_"",""""),Upgrades!$B$3:$B$13,0))*1.15^(COUNTIF(Q$4:Q835,SUBSTITUTE(Q836,""Sell_"",""""))-COUNTIF(Q$4:Q835,"&amp;"""Sell_""&amp;SUBSTITUTE(Q836,""Sell_"",""""))))/2),ROUNDUP(INDEX(Upgrades!$C$3:$C$13,MATCH(Q836,Upgrades!$B$3:$B$13,0))*1.15^(COUNTIF(Q$4:Q835,Q836)-COUNTIF(Q$4:Q835,""Sell_""&amp;Q836))))))"),"")</f>
        <v/>
      </c>
      <c r="V836" s="10" t="str">
        <f t="shared" si="11"/>
        <v/>
      </c>
      <c r="W836" s="68" t="str">
        <f t="shared" si="12"/>
        <v/>
      </c>
      <c r="X836" s="59" t="str">
        <f t="shared" si="13"/>
        <v/>
      </c>
      <c r="Y836" s="69" t="str">
        <f t="shared" si="14"/>
        <v/>
      </c>
      <c r="Z836" s="11"/>
      <c r="AG836" s="59"/>
    </row>
    <row r="837">
      <c r="A837" s="8"/>
      <c r="B837" s="56" t="str">
        <f t="shared" si="2"/>
        <v/>
      </c>
      <c r="C837" s="105"/>
      <c r="D837" s="10"/>
      <c r="E837" s="59" t="str">
        <f t="array" ref="E837">IF(COUNTA(C837:C1644)=0,"",SUM((COUNTIF(C$4:C837,Upgrades!$B$3:$B$13)-COUNTIF(C$4:C837,"Sell_"&amp;Upgrades!$B$3:$B$13))*Upgrades!$D$3:$D$13))</f>
        <v/>
      </c>
      <c r="F837" s="66" t="str">
        <f>IFERROR(__xludf.DUMMYFUNCTION("IF(COUNTA(C837:C1644)=0,"""",IF(REGEXMATCH(INDEX(FILTER(C$4:C837,C$4:C837&lt;&gt;""""),ROWS(FILTER(C$4:C837,C$4:C837&lt;&gt;""""))),""^Sell_""),INDEX(FILTER(F$4:F836,C$4:C836&lt;&gt;""""),ROWS(FILTER(C$4:C836,C$4:C836&lt;&gt;""""))),$AC$5+E837))"),"")</f>
        <v/>
      </c>
      <c r="G837" s="10" t="str">
        <f>IFERROR(__xludf.DUMMYFUNCTION("IF(COUNTA(C837:C1644)=0,"""",IF(C837="""",0,IF(REGEXMATCH(C837,""^Sell_""),-ROUNDDOWN(ROUNDUP(INDEX(Upgrades!$C$3:$C$13,MATCH(SUBSTITUTE(C837,""Sell_"",""""),Upgrades!$B$3:$B$13,0))*1.15^(COUNTIF(C$4:C836,SUBSTITUTE(C837,""Sell_"",""""))-COUNTIF(C$4:C836,"&amp;"""Sell_""&amp;SUBSTITUTE(C837,""Sell_"",""""))))/2),ROUNDUP(INDEX(Upgrades!$C$3:$C$13,MATCH(C837,Upgrades!$B$3:$B$13,0))*1.15^(COUNTIF(C$4:C836,C837)-COUNTIF(C$4:C836,""Sell_""&amp;C837))))))"),"")</f>
        <v/>
      </c>
      <c r="H837" s="10" t="str">
        <f t="shared" si="3"/>
        <v/>
      </c>
      <c r="I837" s="68" t="str">
        <f t="shared" si="4"/>
        <v/>
      </c>
      <c r="J837" s="59" t="str">
        <f t="shared" si="5"/>
        <v/>
      </c>
      <c r="K837" s="69" t="str">
        <f t="shared" si="6"/>
        <v/>
      </c>
      <c r="L837" s="60" t="str">
        <f t="shared" si="7"/>
        <v/>
      </c>
      <c r="M837" s="61" t="str">
        <f>IFERROR(__xludf.DUMMYFUNCTION("IFS(AND(COUNTA(C837:C1644)=0,COUNTA(Q837:Q1644)=0),"""",OR(AND(K837&gt;=1000000000,OR(Y837&gt;=1000000000,COUNTA(Q837:Q1644)=0)),OR(Y837&gt;=1000000000,AND(COUNTA(C837:C1644)=0,P$3=TRUE))),
ROUNDDOWN((AB$1-AC$1)*MAX(INDEX(T$4:T1644,MATCH(LARGE(FILTER(Y$4:Y1644,Y$4"&amp;":Y1644&lt;1000000000),1),Y$4:Y1644)),INDEX(F$4:F1644,MATCH(LARGE(FILTER(K$4:K1644,K$4:K1644&lt;1000000000),1),K$4:K1644)))),AND(K837&lt;1000000000,COUNTA(C837:C1644)&gt;0,P$3=FALSE),
ROUNDDOWN(INDEX(Y$4:Y1644,MATCH(LARGE(FILTER(W$4:W1644,W$4:W1644&lt;=I837),1),W$4:W1644"&amp;"))+(I837-LARGE(FILTER(W$4:W1644,W$4:W1644&lt;=I837),1))*INDEX(T$4:T1644,MATCH(LARGE(FILTER(W$4:W1644,W$4:W1644&lt;=I837),1),W$4:W1644))-K837),1,
ROUNDDOWN(Y837-INDEX(K$4:K1644,MATCH(LARGE(FILTER(I$4:I1644,I$4:I1644&lt;=W837),1),I$4:I1644))-(W837-LARGE(FILTER(I$4:I"&amp;"1644,I$4:I1644&lt;=W837),1))*INDEX(F$4:F1644,MATCH(LARGE(FILTER(I$4:I1644,I$4:I1644&lt;=W837),1),I$4:I1644))))"),"")</f>
        <v/>
      </c>
      <c r="N837" s="60" t="str">
        <f t="shared" si="8"/>
        <v/>
      </c>
      <c r="O837" s="61" t="str">
        <f t="shared" si="9"/>
        <v/>
      </c>
      <c r="P837" s="56" t="str">
        <f t="shared" si="10"/>
        <v/>
      </c>
      <c r="Q837" s="105"/>
      <c r="R837" s="10"/>
      <c r="S837" s="59" t="str">
        <f t="array" ref="S837">IF(COUNTA(Q837:Q1644)=0,"",SUM((COUNTIF(Q$4:Q837,Upgrades!$B$3:$B$13)-COUNTIF(Q$4:Q837,"Sell_"&amp;Upgrades!$B$3:$B$13))*Upgrades!$D$3:$D$13))</f>
        <v/>
      </c>
      <c r="T837" s="66" t="str">
        <f>IFERROR(__xludf.DUMMYFUNCTION("IF(COUNTA(Q837:Q1644)=0,"""",IF(REGEXMATCH(INDEX(FILTER(Q$4:Q837,Q$4:Q837&lt;&gt;""""),ROWS(FILTER(Q$4:Q837,Q$4:Q837&lt;&gt;""""))),""^Sell_""),INDEX(FILTER(T$4:T836,Q$4:Q836&lt;&gt;""""),ROWS(FILTER(Q$4:Q836,Q$4:Q836&lt;&gt;""""))),$AD$5+S837))"),"")</f>
        <v/>
      </c>
      <c r="U837" s="10" t="str">
        <f>IFERROR(__xludf.DUMMYFUNCTION("IF(COUNTA(Q837:Q1644)=0,"""",IF(Q837="""",0,IF(REGEXMATCH(Q837,""^Sell_""),-ROUNDDOWN(ROUNDUP(INDEX(Upgrades!$C$3:$C$13,MATCH(SUBSTITUTE(Q837,""Sell_"",""""),Upgrades!$B$3:$B$13,0))*1.15^(COUNTIF(Q$4:Q836,SUBSTITUTE(Q837,""Sell_"",""""))-COUNTIF(Q$4:Q836,"&amp;"""Sell_""&amp;SUBSTITUTE(Q837,""Sell_"",""""))))/2),ROUNDUP(INDEX(Upgrades!$C$3:$C$13,MATCH(Q837,Upgrades!$B$3:$B$13,0))*1.15^(COUNTIF(Q$4:Q836,Q837)-COUNTIF(Q$4:Q836,""Sell_""&amp;Q837))))))"),"")</f>
        <v/>
      </c>
      <c r="V837" s="10" t="str">
        <f t="shared" si="11"/>
        <v/>
      </c>
      <c r="W837" s="68" t="str">
        <f t="shared" si="12"/>
        <v/>
      </c>
      <c r="X837" s="59" t="str">
        <f t="shared" si="13"/>
        <v/>
      </c>
      <c r="Y837" s="69" t="str">
        <f t="shared" si="14"/>
        <v/>
      </c>
      <c r="Z837" s="11"/>
      <c r="AG837" s="59"/>
    </row>
    <row r="838">
      <c r="A838" s="8"/>
      <c r="B838" s="56" t="str">
        <f t="shared" si="2"/>
        <v/>
      </c>
      <c r="C838" s="105"/>
      <c r="D838" s="10"/>
      <c r="E838" s="59" t="str">
        <f t="array" ref="E838">IF(COUNTA(C838:C1644)=0,"",SUM((COUNTIF(C$4:C838,Upgrades!$B$3:$B$13)-COUNTIF(C$4:C838,"Sell_"&amp;Upgrades!$B$3:$B$13))*Upgrades!$D$3:$D$13))</f>
        <v/>
      </c>
      <c r="F838" s="66" t="str">
        <f>IFERROR(__xludf.DUMMYFUNCTION("IF(COUNTA(C838:C1644)=0,"""",IF(REGEXMATCH(INDEX(FILTER(C$4:C838,C$4:C838&lt;&gt;""""),ROWS(FILTER(C$4:C838,C$4:C838&lt;&gt;""""))),""^Sell_""),INDEX(FILTER(F$4:F837,C$4:C837&lt;&gt;""""),ROWS(FILTER(C$4:C837,C$4:C837&lt;&gt;""""))),$AC$5+E838))"),"")</f>
        <v/>
      </c>
      <c r="G838" s="10" t="str">
        <f>IFERROR(__xludf.DUMMYFUNCTION("IF(COUNTA(C838:C1644)=0,"""",IF(C838="""",0,IF(REGEXMATCH(C838,""^Sell_""),-ROUNDDOWN(ROUNDUP(INDEX(Upgrades!$C$3:$C$13,MATCH(SUBSTITUTE(C838,""Sell_"",""""),Upgrades!$B$3:$B$13,0))*1.15^(COUNTIF(C$4:C837,SUBSTITUTE(C838,""Sell_"",""""))-COUNTIF(C$4:C837,"&amp;"""Sell_""&amp;SUBSTITUTE(C838,""Sell_"",""""))))/2),ROUNDUP(INDEX(Upgrades!$C$3:$C$13,MATCH(C838,Upgrades!$B$3:$B$13,0))*1.15^(COUNTIF(C$4:C837,C838)-COUNTIF(C$4:C837,""Sell_""&amp;C838))))))"),"")</f>
        <v/>
      </c>
      <c r="H838" s="10" t="str">
        <f t="shared" si="3"/>
        <v/>
      </c>
      <c r="I838" s="68" t="str">
        <f t="shared" si="4"/>
        <v/>
      </c>
      <c r="J838" s="59" t="str">
        <f t="shared" si="5"/>
        <v/>
      </c>
      <c r="K838" s="69" t="str">
        <f t="shared" si="6"/>
        <v/>
      </c>
      <c r="L838" s="60" t="str">
        <f t="shared" si="7"/>
        <v/>
      </c>
      <c r="M838" s="61" t="str">
        <f>IFERROR(__xludf.DUMMYFUNCTION("IFS(AND(COUNTA(C838:C1644)=0,COUNTA(Q838:Q1644)=0),"""",OR(AND(K838&gt;=1000000000,OR(Y838&gt;=1000000000,COUNTA(Q838:Q1644)=0)),OR(Y838&gt;=1000000000,AND(COUNTA(C838:C1644)=0,P$3=TRUE))),
ROUNDDOWN((AB$1-AC$1)*MAX(INDEX(T$4:T1644,MATCH(LARGE(FILTER(Y$4:Y1644,Y$4"&amp;":Y1644&lt;1000000000),1),Y$4:Y1644)),INDEX(F$4:F1644,MATCH(LARGE(FILTER(K$4:K1644,K$4:K1644&lt;1000000000),1),K$4:K1644)))),AND(K838&lt;1000000000,COUNTA(C838:C1644)&gt;0,P$3=FALSE),
ROUNDDOWN(INDEX(Y$4:Y1644,MATCH(LARGE(FILTER(W$4:W1644,W$4:W1644&lt;=I838),1),W$4:W1644"&amp;"))+(I838-LARGE(FILTER(W$4:W1644,W$4:W1644&lt;=I838),1))*INDEX(T$4:T1644,MATCH(LARGE(FILTER(W$4:W1644,W$4:W1644&lt;=I838),1),W$4:W1644))-K838),1,
ROUNDDOWN(Y838-INDEX(K$4:K1644,MATCH(LARGE(FILTER(I$4:I1644,I$4:I1644&lt;=W838),1),I$4:I1644))-(W838-LARGE(FILTER(I$4:I"&amp;"1644,I$4:I1644&lt;=W838),1))*INDEX(F$4:F1644,MATCH(LARGE(FILTER(I$4:I1644,I$4:I1644&lt;=W838),1),I$4:I1644))))"),"")</f>
        <v/>
      </c>
      <c r="N838" s="60" t="str">
        <f t="shared" si="8"/>
        <v/>
      </c>
      <c r="O838" s="61" t="str">
        <f t="shared" si="9"/>
        <v/>
      </c>
      <c r="P838" s="56" t="str">
        <f t="shared" si="10"/>
        <v/>
      </c>
      <c r="Q838" s="105"/>
      <c r="R838" s="10"/>
      <c r="S838" s="59" t="str">
        <f t="array" ref="S838">IF(COUNTA(Q838:Q1644)=0,"",SUM((COUNTIF(Q$4:Q838,Upgrades!$B$3:$B$13)-COUNTIF(Q$4:Q838,"Sell_"&amp;Upgrades!$B$3:$B$13))*Upgrades!$D$3:$D$13))</f>
        <v/>
      </c>
      <c r="T838" s="66" t="str">
        <f>IFERROR(__xludf.DUMMYFUNCTION("IF(COUNTA(Q838:Q1644)=0,"""",IF(REGEXMATCH(INDEX(FILTER(Q$4:Q838,Q$4:Q838&lt;&gt;""""),ROWS(FILTER(Q$4:Q838,Q$4:Q838&lt;&gt;""""))),""^Sell_""),INDEX(FILTER(T$4:T837,Q$4:Q837&lt;&gt;""""),ROWS(FILTER(Q$4:Q837,Q$4:Q837&lt;&gt;""""))),$AD$5+S838))"),"")</f>
        <v/>
      </c>
      <c r="U838" s="10" t="str">
        <f>IFERROR(__xludf.DUMMYFUNCTION("IF(COUNTA(Q838:Q1644)=0,"""",IF(Q838="""",0,IF(REGEXMATCH(Q838,""^Sell_""),-ROUNDDOWN(ROUNDUP(INDEX(Upgrades!$C$3:$C$13,MATCH(SUBSTITUTE(Q838,""Sell_"",""""),Upgrades!$B$3:$B$13,0))*1.15^(COUNTIF(Q$4:Q837,SUBSTITUTE(Q838,""Sell_"",""""))-COUNTIF(Q$4:Q837,"&amp;"""Sell_""&amp;SUBSTITUTE(Q838,""Sell_"",""""))))/2),ROUNDUP(INDEX(Upgrades!$C$3:$C$13,MATCH(Q838,Upgrades!$B$3:$B$13,0))*1.15^(COUNTIF(Q$4:Q837,Q838)-COUNTIF(Q$4:Q837,""Sell_""&amp;Q838))))))"),"")</f>
        <v/>
      </c>
      <c r="V838" s="10" t="str">
        <f t="shared" si="11"/>
        <v/>
      </c>
      <c r="W838" s="68" t="str">
        <f t="shared" si="12"/>
        <v/>
      </c>
      <c r="X838" s="59" t="str">
        <f t="shared" si="13"/>
        <v/>
      </c>
      <c r="Y838" s="69" t="str">
        <f t="shared" si="14"/>
        <v/>
      </c>
      <c r="Z838" s="11"/>
      <c r="AG838" s="59"/>
    </row>
    <row r="839">
      <c r="A839" s="8"/>
      <c r="B839" s="56" t="str">
        <f t="shared" si="2"/>
        <v/>
      </c>
      <c r="C839" s="105"/>
      <c r="D839" s="10"/>
      <c r="E839" s="59" t="str">
        <f t="array" ref="E839">IF(COUNTA(C839:C1644)=0,"",SUM((COUNTIF(C$4:C839,Upgrades!$B$3:$B$13)-COUNTIF(C$4:C839,"Sell_"&amp;Upgrades!$B$3:$B$13))*Upgrades!$D$3:$D$13))</f>
        <v/>
      </c>
      <c r="F839" s="66" t="str">
        <f>IFERROR(__xludf.DUMMYFUNCTION("IF(COUNTA(C839:C1644)=0,"""",IF(REGEXMATCH(INDEX(FILTER(C$4:C839,C$4:C839&lt;&gt;""""),ROWS(FILTER(C$4:C839,C$4:C839&lt;&gt;""""))),""^Sell_""),INDEX(FILTER(F$4:F838,C$4:C838&lt;&gt;""""),ROWS(FILTER(C$4:C838,C$4:C838&lt;&gt;""""))),$AC$5+E839))"),"")</f>
        <v/>
      </c>
      <c r="G839" s="10" t="str">
        <f>IFERROR(__xludf.DUMMYFUNCTION("IF(COUNTA(C839:C1644)=0,"""",IF(C839="""",0,IF(REGEXMATCH(C839,""^Sell_""),-ROUNDDOWN(ROUNDUP(INDEX(Upgrades!$C$3:$C$13,MATCH(SUBSTITUTE(C839,""Sell_"",""""),Upgrades!$B$3:$B$13,0))*1.15^(COUNTIF(C$4:C838,SUBSTITUTE(C839,""Sell_"",""""))-COUNTIF(C$4:C838,"&amp;"""Sell_""&amp;SUBSTITUTE(C839,""Sell_"",""""))))/2),ROUNDUP(INDEX(Upgrades!$C$3:$C$13,MATCH(C839,Upgrades!$B$3:$B$13,0))*1.15^(COUNTIF(C$4:C838,C839)-COUNTIF(C$4:C838,""Sell_""&amp;C839))))))"),"")</f>
        <v/>
      </c>
      <c r="H839" s="10" t="str">
        <f t="shared" si="3"/>
        <v/>
      </c>
      <c r="I839" s="68" t="str">
        <f t="shared" si="4"/>
        <v/>
      </c>
      <c r="J839" s="59" t="str">
        <f t="shared" si="5"/>
        <v/>
      </c>
      <c r="K839" s="69" t="str">
        <f t="shared" si="6"/>
        <v/>
      </c>
      <c r="L839" s="60" t="str">
        <f t="shared" si="7"/>
        <v/>
      </c>
      <c r="M839" s="61" t="str">
        <f>IFERROR(__xludf.DUMMYFUNCTION("IFS(AND(COUNTA(C839:C1644)=0,COUNTA(Q839:Q1644)=0),"""",OR(AND(K839&gt;=1000000000,OR(Y839&gt;=1000000000,COUNTA(Q839:Q1644)=0)),OR(Y839&gt;=1000000000,AND(COUNTA(C839:C1644)=0,P$3=TRUE))),
ROUNDDOWN((AB$1-AC$1)*MAX(INDEX(T$4:T1644,MATCH(LARGE(FILTER(Y$4:Y1644,Y$4"&amp;":Y1644&lt;1000000000),1),Y$4:Y1644)),INDEX(F$4:F1644,MATCH(LARGE(FILTER(K$4:K1644,K$4:K1644&lt;1000000000),1),K$4:K1644)))),AND(K839&lt;1000000000,COUNTA(C839:C1644)&gt;0,P$3=FALSE),
ROUNDDOWN(INDEX(Y$4:Y1644,MATCH(LARGE(FILTER(W$4:W1644,W$4:W1644&lt;=I839),1),W$4:W1644"&amp;"))+(I839-LARGE(FILTER(W$4:W1644,W$4:W1644&lt;=I839),1))*INDEX(T$4:T1644,MATCH(LARGE(FILTER(W$4:W1644,W$4:W1644&lt;=I839),1),W$4:W1644))-K839),1,
ROUNDDOWN(Y839-INDEX(K$4:K1644,MATCH(LARGE(FILTER(I$4:I1644,I$4:I1644&lt;=W839),1),I$4:I1644))-(W839-LARGE(FILTER(I$4:I"&amp;"1644,I$4:I1644&lt;=W839),1))*INDEX(F$4:F1644,MATCH(LARGE(FILTER(I$4:I1644,I$4:I1644&lt;=W839),1),I$4:I1644))))"),"")</f>
        <v/>
      </c>
      <c r="N839" s="60" t="str">
        <f t="shared" si="8"/>
        <v/>
      </c>
      <c r="O839" s="61" t="str">
        <f t="shared" si="9"/>
        <v/>
      </c>
      <c r="P839" s="56" t="str">
        <f t="shared" si="10"/>
        <v/>
      </c>
      <c r="Q839" s="105"/>
      <c r="R839" s="10"/>
      <c r="S839" s="59" t="str">
        <f t="array" ref="S839">IF(COUNTA(Q839:Q1644)=0,"",SUM((COUNTIF(Q$4:Q839,Upgrades!$B$3:$B$13)-COUNTIF(Q$4:Q839,"Sell_"&amp;Upgrades!$B$3:$B$13))*Upgrades!$D$3:$D$13))</f>
        <v/>
      </c>
      <c r="T839" s="66" t="str">
        <f>IFERROR(__xludf.DUMMYFUNCTION("IF(COUNTA(Q839:Q1644)=0,"""",IF(REGEXMATCH(INDEX(FILTER(Q$4:Q839,Q$4:Q839&lt;&gt;""""),ROWS(FILTER(Q$4:Q839,Q$4:Q839&lt;&gt;""""))),""^Sell_""),INDEX(FILTER(T$4:T838,Q$4:Q838&lt;&gt;""""),ROWS(FILTER(Q$4:Q838,Q$4:Q838&lt;&gt;""""))),$AD$5+S839))"),"")</f>
        <v/>
      </c>
      <c r="U839" s="10" t="str">
        <f>IFERROR(__xludf.DUMMYFUNCTION("IF(COUNTA(Q839:Q1644)=0,"""",IF(Q839="""",0,IF(REGEXMATCH(Q839,""^Sell_""),-ROUNDDOWN(ROUNDUP(INDEX(Upgrades!$C$3:$C$13,MATCH(SUBSTITUTE(Q839,""Sell_"",""""),Upgrades!$B$3:$B$13,0))*1.15^(COUNTIF(Q$4:Q838,SUBSTITUTE(Q839,""Sell_"",""""))-COUNTIF(Q$4:Q838,"&amp;"""Sell_""&amp;SUBSTITUTE(Q839,""Sell_"",""""))))/2),ROUNDUP(INDEX(Upgrades!$C$3:$C$13,MATCH(Q839,Upgrades!$B$3:$B$13,0))*1.15^(COUNTIF(Q$4:Q838,Q839)-COUNTIF(Q$4:Q838,""Sell_""&amp;Q839))))))"),"")</f>
        <v/>
      </c>
      <c r="V839" s="10" t="str">
        <f t="shared" si="11"/>
        <v/>
      </c>
      <c r="W839" s="68" t="str">
        <f t="shared" si="12"/>
        <v/>
      </c>
      <c r="X839" s="59" t="str">
        <f t="shared" si="13"/>
        <v/>
      </c>
      <c r="Y839" s="69" t="str">
        <f t="shared" si="14"/>
        <v/>
      </c>
      <c r="Z839" s="11"/>
      <c r="AG839" s="59"/>
    </row>
    <row r="840">
      <c r="A840" s="8"/>
      <c r="B840" s="56" t="str">
        <f t="shared" si="2"/>
        <v/>
      </c>
      <c r="C840" s="105"/>
      <c r="D840" s="10"/>
      <c r="E840" s="59" t="str">
        <f t="array" ref="E840">IF(COUNTA(C840:C1644)=0,"",SUM((COUNTIF(C$4:C840,Upgrades!$B$3:$B$13)-COUNTIF(C$4:C840,"Sell_"&amp;Upgrades!$B$3:$B$13))*Upgrades!$D$3:$D$13))</f>
        <v/>
      </c>
      <c r="F840" s="66" t="str">
        <f>IFERROR(__xludf.DUMMYFUNCTION("IF(COUNTA(C840:C1644)=0,"""",IF(REGEXMATCH(INDEX(FILTER(C$4:C840,C$4:C840&lt;&gt;""""),ROWS(FILTER(C$4:C840,C$4:C840&lt;&gt;""""))),""^Sell_""),INDEX(FILTER(F$4:F839,C$4:C839&lt;&gt;""""),ROWS(FILTER(C$4:C839,C$4:C839&lt;&gt;""""))),$AC$5+E840))"),"")</f>
        <v/>
      </c>
      <c r="G840" s="10" t="str">
        <f>IFERROR(__xludf.DUMMYFUNCTION("IF(COUNTA(C840:C1644)=0,"""",IF(C840="""",0,IF(REGEXMATCH(C840,""^Sell_""),-ROUNDDOWN(ROUNDUP(INDEX(Upgrades!$C$3:$C$13,MATCH(SUBSTITUTE(C840,""Sell_"",""""),Upgrades!$B$3:$B$13,0))*1.15^(COUNTIF(C$4:C839,SUBSTITUTE(C840,""Sell_"",""""))-COUNTIF(C$4:C839,"&amp;"""Sell_""&amp;SUBSTITUTE(C840,""Sell_"",""""))))/2),ROUNDUP(INDEX(Upgrades!$C$3:$C$13,MATCH(C840,Upgrades!$B$3:$B$13,0))*1.15^(COUNTIF(C$4:C839,C840)-COUNTIF(C$4:C839,""Sell_""&amp;C840))))))"),"")</f>
        <v/>
      </c>
      <c r="H840" s="10" t="str">
        <f t="shared" si="3"/>
        <v/>
      </c>
      <c r="I840" s="68" t="str">
        <f t="shared" si="4"/>
        <v/>
      </c>
      <c r="J840" s="59" t="str">
        <f t="shared" si="5"/>
        <v/>
      </c>
      <c r="K840" s="69" t="str">
        <f t="shared" si="6"/>
        <v/>
      </c>
      <c r="L840" s="60" t="str">
        <f t="shared" si="7"/>
        <v/>
      </c>
      <c r="M840" s="61" t="str">
        <f>IFERROR(__xludf.DUMMYFUNCTION("IFS(AND(COUNTA(C840:C1644)=0,COUNTA(Q840:Q1644)=0),"""",OR(AND(K840&gt;=1000000000,OR(Y840&gt;=1000000000,COUNTA(Q840:Q1644)=0)),OR(Y840&gt;=1000000000,AND(COUNTA(C840:C1644)=0,P$3=TRUE))),
ROUNDDOWN((AB$1-AC$1)*MAX(INDEX(T$4:T1644,MATCH(LARGE(FILTER(Y$4:Y1644,Y$4"&amp;":Y1644&lt;1000000000),1),Y$4:Y1644)),INDEX(F$4:F1644,MATCH(LARGE(FILTER(K$4:K1644,K$4:K1644&lt;1000000000),1),K$4:K1644)))),AND(K840&lt;1000000000,COUNTA(C840:C1644)&gt;0,P$3=FALSE),
ROUNDDOWN(INDEX(Y$4:Y1644,MATCH(LARGE(FILTER(W$4:W1644,W$4:W1644&lt;=I840),1),W$4:W1644"&amp;"))+(I840-LARGE(FILTER(W$4:W1644,W$4:W1644&lt;=I840),1))*INDEX(T$4:T1644,MATCH(LARGE(FILTER(W$4:W1644,W$4:W1644&lt;=I840),1),W$4:W1644))-K840),1,
ROUNDDOWN(Y840-INDEX(K$4:K1644,MATCH(LARGE(FILTER(I$4:I1644,I$4:I1644&lt;=W840),1),I$4:I1644))-(W840-LARGE(FILTER(I$4:I"&amp;"1644,I$4:I1644&lt;=W840),1))*INDEX(F$4:F1644,MATCH(LARGE(FILTER(I$4:I1644,I$4:I1644&lt;=W840),1),I$4:I1644))))"),"")</f>
        <v/>
      </c>
      <c r="N840" s="60" t="str">
        <f t="shared" si="8"/>
        <v/>
      </c>
      <c r="O840" s="61" t="str">
        <f t="shared" si="9"/>
        <v/>
      </c>
      <c r="P840" s="56" t="str">
        <f t="shared" si="10"/>
        <v/>
      </c>
      <c r="Q840" s="105"/>
      <c r="R840" s="10"/>
      <c r="S840" s="59" t="str">
        <f t="array" ref="S840">IF(COUNTA(Q840:Q1644)=0,"",SUM((COUNTIF(Q$4:Q840,Upgrades!$B$3:$B$13)-COUNTIF(Q$4:Q840,"Sell_"&amp;Upgrades!$B$3:$B$13))*Upgrades!$D$3:$D$13))</f>
        <v/>
      </c>
      <c r="T840" s="66" t="str">
        <f>IFERROR(__xludf.DUMMYFUNCTION("IF(COUNTA(Q840:Q1644)=0,"""",IF(REGEXMATCH(INDEX(FILTER(Q$4:Q840,Q$4:Q840&lt;&gt;""""),ROWS(FILTER(Q$4:Q840,Q$4:Q840&lt;&gt;""""))),""^Sell_""),INDEX(FILTER(T$4:T839,Q$4:Q839&lt;&gt;""""),ROWS(FILTER(Q$4:Q839,Q$4:Q839&lt;&gt;""""))),$AD$5+S840))"),"")</f>
        <v/>
      </c>
      <c r="U840" s="10" t="str">
        <f>IFERROR(__xludf.DUMMYFUNCTION("IF(COUNTA(Q840:Q1644)=0,"""",IF(Q840="""",0,IF(REGEXMATCH(Q840,""^Sell_""),-ROUNDDOWN(ROUNDUP(INDEX(Upgrades!$C$3:$C$13,MATCH(SUBSTITUTE(Q840,""Sell_"",""""),Upgrades!$B$3:$B$13,0))*1.15^(COUNTIF(Q$4:Q839,SUBSTITUTE(Q840,""Sell_"",""""))-COUNTIF(Q$4:Q839,"&amp;"""Sell_""&amp;SUBSTITUTE(Q840,""Sell_"",""""))))/2),ROUNDUP(INDEX(Upgrades!$C$3:$C$13,MATCH(Q840,Upgrades!$B$3:$B$13,0))*1.15^(COUNTIF(Q$4:Q839,Q840)-COUNTIF(Q$4:Q839,""Sell_""&amp;Q840))))))"),"")</f>
        <v/>
      </c>
      <c r="V840" s="10" t="str">
        <f t="shared" si="11"/>
        <v/>
      </c>
      <c r="W840" s="68" t="str">
        <f t="shared" si="12"/>
        <v/>
      </c>
      <c r="X840" s="59" t="str">
        <f t="shared" si="13"/>
        <v/>
      </c>
      <c r="Y840" s="69" t="str">
        <f t="shared" si="14"/>
        <v/>
      </c>
      <c r="Z840" s="11"/>
      <c r="AG840" s="59"/>
    </row>
    <row r="841">
      <c r="A841" s="8"/>
      <c r="B841" s="56" t="str">
        <f t="shared" si="2"/>
        <v/>
      </c>
      <c r="C841" s="105"/>
      <c r="D841" s="10"/>
      <c r="E841" s="59" t="str">
        <f t="array" ref="E841">IF(COUNTA(C841:C1644)=0,"",SUM((COUNTIF(C$4:C841,Upgrades!$B$3:$B$13)-COUNTIF(C$4:C841,"Sell_"&amp;Upgrades!$B$3:$B$13))*Upgrades!$D$3:$D$13))</f>
        <v/>
      </c>
      <c r="F841" s="66" t="str">
        <f>IFERROR(__xludf.DUMMYFUNCTION("IF(COUNTA(C841:C1644)=0,"""",IF(REGEXMATCH(INDEX(FILTER(C$4:C841,C$4:C841&lt;&gt;""""),ROWS(FILTER(C$4:C841,C$4:C841&lt;&gt;""""))),""^Sell_""),INDEX(FILTER(F$4:F840,C$4:C840&lt;&gt;""""),ROWS(FILTER(C$4:C840,C$4:C840&lt;&gt;""""))),$AC$5+E841))"),"")</f>
        <v/>
      </c>
      <c r="G841" s="10" t="str">
        <f>IFERROR(__xludf.DUMMYFUNCTION("IF(COUNTA(C841:C1644)=0,"""",IF(C841="""",0,IF(REGEXMATCH(C841,""^Sell_""),-ROUNDDOWN(ROUNDUP(INDEX(Upgrades!$C$3:$C$13,MATCH(SUBSTITUTE(C841,""Sell_"",""""),Upgrades!$B$3:$B$13,0))*1.15^(COUNTIF(C$4:C840,SUBSTITUTE(C841,""Sell_"",""""))-COUNTIF(C$4:C840,"&amp;"""Sell_""&amp;SUBSTITUTE(C841,""Sell_"",""""))))/2),ROUNDUP(INDEX(Upgrades!$C$3:$C$13,MATCH(C841,Upgrades!$B$3:$B$13,0))*1.15^(COUNTIF(C$4:C840,C841)-COUNTIF(C$4:C840,""Sell_""&amp;C841))))))"),"")</f>
        <v/>
      </c>
      <c r="H841" s="10" t="str">
        <f t="shared" si="3"/>
        <v/>
      </c>
      <c r="I841" s="68" t="str">
        <f t="shared" si="4"/>
        <v/>
      </c>
      <c r="J841" s="59" t="str">
        <f t="shared" si="5"/>
        <v/>
      </c>
      <c r="K841" s="69" t="str">
        <f t="shared" si="6"/>
        <v/>
      </c>
      <c r="L841" s="60" t="str">
        <f t="shared" si="7"/>
        <v/>
      </c>
      <c r="M841" s="61" t="str">
        <f>IFERROR(__xludf.DUMMYFUNCTION("IFS(AND(COUNTA(C841:C1644)=0,COUNTA(Q841:Q1644)=0),"""",OR(AND(K841&gt;=1000000000,OR(Y841&gt;=1000000000,COUNTA(Q841:Q1644)=0)),OR(Y841&gt;=1000000000,AND(COUNTA(C841:C1644)=0,P$3=TRUE))),
ROUNDDOWN((AB$1-AC$1)*MAX(INDEX(T$4:T1644,MATCH(LARGE(FILTER(Y$4:Y1644,Y$4"&amp;":Y1644&lt;1000000000),1),Y$4:Y1644)),INDEX(F$4:F1644,MATCH(LARGE(FILTER(K$4:K1644,K$4:K1644&lt;1000000000),1),K$4:K1644)))),AND(K841&lt;1000000000,COUNTA(C841:C1644)&gt;0,P$3=FALSE),
ROUNDDOWN(INDEX(Y$4:Y1644,MATCH(LARGE(FILTER(W$4:W1644,W$4:W1644&lt;=I841),1),W$4:W1644"&amp;"))+(I841-LARGE(FILTER(W$4:W1644,W$4:W1644&lt;=I841),1))*INDEX(T$4:T1644,MATCH(LARGE(FILTER(W$4:W1644,W$4:W1644&lt;=I841),1),W$4:W1644))-K841),1,
ROUNDDOWN(Y841-INDEX(K$4:K1644,MATCH(LARGE(FILTER(I$4:I1644,I$4:I1644&lt;=W841),1),I$4:I1644))-(W841-LARGE(FILTER(I$4:I"&amp;"1644,I$4:I1644&lt;=W841),1))*INDEX(F$4:F1644,MATCH(LARGE(FILTER(I$4:I1644,I$4:I1644&lt;=W841),1),I$4:I1644))))"),"")</f>
        <v/>
      </c>
      <c r="N841" s="60" t="str">
        <f t="shared" si="8"/>
        <v/>
      </c>
      <c r="O841" s="61" t="str">
        <f t="shared" si="9"/>
        <v/>
      </c>
      <c r="P841" s="56" t="str">
        <f t="shared" si="10"/>
        <v/>
      </c>
      <c r="Q841" s="105"/>
      <c r="R841" s="10"/>
      <c r="S841" s="59" t="str">
        <f t="array" ref="S841">IF(COUNTA(Q841:Q1644)=0,"",SUM((COUNTIF(Q$4:Q841,Upgrades!$B$3:$B$13)-COUNTIF(Q$4:Q841,"Sell_"&amp;Upgrades!$B$3:$B$13))*Upgrades!$D$3:$D$13))</f>
        <v/>
      </c>
      <c r="T841" s="66" t="str">
        <f>IFERROR(__xludf.DUMMYFUNCTION("IF(COUNTA(Q841:Q1644)=0,"""",IF(REGEXMATCH(INDEX(FILTER(Q$4:Q841,Q$4:Q841&lt;&gt;""""),ROWS(FILTER(Q$4:Q841,Q$4:Q841&lt;&gt;""""))),""^Sell_""),INDEX(FILTER(T$4:T840,Q$4:Q840&lt;&gt;""""),ROWS(FILTER(Q$4:Q840,Q$4:Q840&lt;&gt;""""))),$AD$5+S841))"),"")</f>
        <v/>
      </c>
      <c r="U841" s="10" t="str">
        <f>IFERROR(__xludf.DUMMYFUNCTION("IF(COUNTA(Q841:Q1644)=0,"""",IF(Q841="""",0,IF(REGEXMATCH(Q841,""^Sell_""),-ROUNDDOWN(ROUNDUP(INDEX(Upgrades!$C$3:$C$13,MATCH(SUBSTITUTE(Q841,""Sell_"",""""),Upgrades!$B$3:$B$13,0))*1.15^(COUNTIF(Q$4:Q840,SUBSTITUTE(Q841,""Sell_"",""""))-COUNTIF(Q$4:Q840,"&amp;"""Sell_""&amp;SUBSTITUTE(Q841,""Sell_"",""""))))/2),ROUNDUP(INDEX(Upgrades!$C$3:$C$13,MATCH(Q841,Upgrades!$B$3:$B$13,0))*1.15^(COUNTIF(Q$4:Q840,Q841)-COUNTIF(Q$4:Q840,""Sell_""&amp;Q841))))))"),"")</f>
        <v/>
      </c>
      <c r="V841" s="10" t="str">
        <f t="shared" si="11"/>
        <v/>
      </c>
      <c r="W841" s="68" t="str">
        <f t="shared" si="12"/>
        <v/>
      </c>
      <c r="X841" s="59" t="str">
        <f t="shared" si="13"/>
        <v/>
      </c>
      <c r="Y841" s="69" t="str">
        <f t="shared" si="14"/>
        <v/>
      </c>
      <c r="Z841" s="11"/>
      <c r="AG841" s="59"/>
    </row>
    <row r="842">
      <c r="A842" s="8"/>
      <c r="B842" s="56" t="str">
        <f t="shared" si="2"/>
        <v/>
      </c>
      <c r="C842" s="105"/>
      <c r="D842" s="10"/>
      <c r="E842" s="59" t="str">
        <f t="array" ref="E842">IF(COUNTA(C842:C1644)=0,"",SUM((COUNTIF(C$4:C842,Upgrades!$B$3:$B$13)-COUNTIF(C$4:C842,"Sell_"&amp;Upgrades!$B$3:$B$13))*Upgrades!$D$3:$D$13))</f>
        <v/>
      </c>
      <c r="F842" s="66" t="str">
        <f>IFERROR(__xludf.DUMMYFUNCTION("IF(COUNTA(C842:C1644)=0,"""",IF(REGEXMATCH(INDEX(FILTER(C$4:C842,C$4:C842&lt;&gt;""""),ROWS(FILTER(C$4:C842,C$4:C842&lt;&gt;""""))),""^Sell_""),INDEX(FILTER(F$4:F841,C$4:C841&lt;&gt;""""),ROWS(FILTER(C$4:C841,C$4:C841&lt;&gt;""""))),$AC$5+E842))"),"")</f>
        <v/>
      </c>
      <c r="G842" s="10" t="str">
        <f>IFERROR(__xludf.DUMMYFUNCTION("IF(COUNTA(C842:C1644)=0,"""",IF(C842="""",0,IF(REGEXMATCH(C842,""^Sell_""),-ROUNDDOWN(ROUNDUP(INDEX(Upgrades!$C$3:$C$13,MATCH(SUBSTITUTE(C842,""Sell_"",""""),Upgrades!$B$3:$B$13,0))*1.15^(COUNTIF(C$4:C841,SUBSTITUTE(C842,""Sell_"",""""))-COUNTIF(C$4:C841,"&amp;"""Sell_""&amp;SUBSTITUTE(C842,""Sell_"",""""))))/2),ROUNDUP(INDEX(Upgrades!$C$3:$C$13,MATCH(C842,Upgrades!$B$3:$B$13,0))*1.15^(COUNTIF(C$4:C841,C842)-COUNTIF(C$4:C841,""Sell_""&amp;C842))))))"),"")</f>
        <v/>
      </c>
      <c r="H842" s="10" t="str">
        <f t="shared" si="3"/>
        <v/>
      </c>
      <c r="I842" s="68" t="str">
        <f t="shared" si="4"/>
        <v/>
      </c>
      <c r="J842" s="59" t="str">
        <f t="shared" si="5"/>
        <v/>
      </c>
      <c r="K842" s="69" t="str">
        <f t="shared" si="6"/>
        <v/>
      </c>
      <c r="L842" s="60" t="str">
        <f t="shared" si="7"/>
        <v/>
      </c>
      <c r="M842" s="61" t="str">
        <f>IFERROR(__xludf.DUMMYFUNCTION("IFS(AND(COUNTA(C842:C1644)=0,COUNTA(Q842:Q1644)=0),"""",OR(AND(K842&gt;=1000000000,OR(Y842&gt;=1000000000,COUNTA(Q842:Q1644)=0)),OR(Y842&gt;=1000000000,AND(COUNTA(C842:C1644)=0,P$3=TRUE))),
ROUNDDOWN((AB$1-AC$1)*MAX(INDEX(T$4:T1644,MATCH(LARGE(FILTER(Y$4:Y1644,Y$4"&amp;":Y1644&lt;1000000000),1),Y$4:Y1644)),INDEX(F$4:F1644,MATCH(LARGE(FILTER(K$4:K1644,K$4:K1644&lt;1000000000),1),K$4:K1644)))),AND(K842&lt;1000000000,COUNTA(C842:C1644)&gt;0,P$3=FALSE),
ROUNDDOWN(INDEX(Y$4:Y1644,MATCH(LARGE(FILTER(W$4:W1644,W$4:W1644&lt;=I842),1),W$4:W1644"&amp;"))+(I842-LARGE(FILTER(W$4:W1644,W$4:W1644&lt;=I842),1))*INDEX(T$4:T1644,MATCH(LARGE(FILTER(W$4:W1644,W$4:W1644&lt;=I842),1),W$4:W1644))-K842),1,
ROUNDDOWN(Y842-INDEX(K$4:K1644,MATCH(LARGE(FILTER(I$4:I1644,I$4:I1644&lt;=W842),1),I$4:I1644))-(W842-LARGE(FILTER(I$4:I"&amp;"1644,I$4:I1644&lt;=W842),1))*INDEX(F$4:F1644,MATCH(LARGE(FILTER(I$4:I1644,I$4:I1644&lt;=W842),1),I$4:I1644))))"),"")</f>
        <v/>
      </c>
      <c r="N842" s="60" t="str">
        <f t="shared" si="8"/>
        <v/>
      </c>
      <c r="O842" s="61" t="str">
        <f t="shared" si="9"/>
        <v/>
      </c>
      <c r="P842" s="56" t="str">
        <f t="shared" si="10"/>
        <v/>
      </c>
      <c r="Q842" s="105"/>
      <c r="R842" s="10"/>
      <c r="S842" s="59" t="str">
        <f t="array" ref="S842">IF(COUNTA(Q842:Q1644)=0,"",SUM((COUNTIF(Q$4:Q842,Upgrades!$B$3:$B$13)-COUNTIF(Q$4:Q842,"Sell_"&amp;Upgrades!$B$3:$B$13))*Upgrades!$D$3:$D$13))</f>
        <v/>
      </c>
      <c r="T842" s="66" t="str">
        <f>IFERROR(__xludf.DUMMYFUNCTION("IF(COUNTA(Q842:Q1644)=0,"""",IF(REGEXMATCH(INDEX(FILTER(Q$4:Q842,Q$4:Q842&lt;&gt;""""),ROWS(FILTER(Q$4:Q842,Q$4:Q842&lt;&gt;""""))),""^Sell_""),INDEX(FILTER(T$4:T841,Q$4:Q841&lt;&gt;""""),ROWS(FILTER(Q$4:Q841,Q$4:Q841&lt;&gt;""""))),$AD$5+S842))"),"")</f>
        <v/>
      </c>
      <c r="U842" s="10" t="str">
        <f>IFERROR(__xludf.DUMMYFUNCTION("IF(COUNTA(Q842:Q1644)=0,"""",IF(Q842="""",0,IF(REGEXMATCH(Q842,""^Sell_""),-ROUNDDOWN(ROUNDUP(INDEX(Upgrades!$C$3:$C$13,MATCH(SUBSTITUTE(Q842,""Sell_"",""""),Upgrades!$B$3:$B$13,0))*1.15^(COUNTIF(Q$4:Q841,SUBSTITUTE(Q842,""Sell_"",""""))-COUNTIF(Q$4:Q841,"&amp;"""Sell_""&amp;SUBSTITUTE(Q842,""Sell_"",""""))))/2),ROUNDUP(INDEX(Upgrades!$C$3:$C$13,MATCH(Q842,Upgrades!$B$3:$B$13,0))*1.15^(COUNTIF(Q$4:Q841,Q842)-COUNTIF(Q$4:Q841,""Sell_""&amp;Q842))))))"),"")</f>
        <v/>
      </c>
      <c r="V842" s="10" t="str">
        <f t="shared" si="11"/>
        <v/>
      </c>
      <c r="W842" s="68" t="str">
        <f t="shared" si="12"/>
        <v/>
      </c>
      <c r="X842" s="59" t="str">
        <f t="shared" si="13"/>
        <v/>
      </c>
      <c r="Y842" s="69" t="str">
        <f t="shared" si="14"/>
        <v/>
      </c>
      <c r="Z842" s="11"/>
      <c r="AG842" s="59"/>
    </row>
    <row r="843">
      <c r="A843" s="8"/>
      <c r="B843" s="56" t="str">
        <f t="shared" si="2"/>
        <v/>
      </c>
      <c r="C843" s="105"/>
      <c r="D843" s="10"/>
      <c r="E843" s="59" t="str">
        <f t="array" ref="E843">IF(COUNTA(C843:C1644)=0,"",SUM((COUNTIF(C$4:C843,Upgrades!$B$3:$B$13)-COUNTIF(C$4:C843,"Sell_"&amp;Upgrades!$B$3:$B$13))*Upgrades!$D$3:$D$13))</f>
        <v/>
      </c>
      <c r="F843" s="66" t="str">
        <f>IFERROR(__xludf.DUMMYFUNCTION("IF(COUNTA(C843:C1644)=0,"""",IF(REGEXMATCH(INDEX(FILTER(C$4:C843,C$4:C843&lt;&gt;""""),ROWS(FILTER(C$4:C843,C$4:C843&lt;&gt;""""))),""^Sell_""),INDEX(FILTER(F$4:F842,C$4:C842&lt;&gt;""""),ROWS(FILTER(C$4:C842,C$4:C842&lt;&gt;""""))),$AC$5+E843))"),"")</f>
        <v/>
      </c>
      <c r="G843" s="10" t="str">
        <f>IFERROR(__xludf.DUMMYFUNCTION("IF(COUNTA(C843:C1644)=0,"""",IF(C843="""",0,IF(REGEXMATCH(C843,""^Sell_""),-ROUNDDOWN(ROUNDUP(INDEX(Upgrades!$C$3:$C$13,MATCH(SUBSTITUTE(C843,""Sell_"",""""),Upgrades!$B$3:$B$13,0))*1.15^(COUNTIF(C$4:C842,SUBSTITUTE(C843,""Sell_"",""""))-COUNTIF(C$4:C842,"&amp;"""Sell_""&amp;SUBSTITUTE(C843,""Sell_"",""""))))/2),ROUNDUP(INDEX(Upgrades!$C$3:$C$13,MATCH(C843,Upgrades!$B$3:$B$13,0))*1.15^(COUNTIF(C$4:C842,C843)-COUNTIF(C$4:C842,""Sell_""&amp;C843))))))"),"")</f>
        <v/>
      </c>
      <c r="H843" s="10" t="str">
        <f t="shared" si="3"/>
        <v/>
      </c>
      <c r="I843" s="68" t="str">
        <f t="shared" si="4"/>
        <v/>
      </c>
      <c r="J843" s="59" t="str">
        <f t="shared" si="5"/>
        <v/>
      </c>
      <c r="K843" s="69" t="str">
        <f t="shared" si="6"/>
        <v/>
      </c>
      <c r="L843" s="60" t="str">
        <f t="shared" si="7"/>
        <v/>
      </c>
      <c r="M843" s="61" t="str">
        <f>IFERROR(__xludf.DUMMYFUNCTION("IFS(AND(COUNTA(C843:C1644)=0,COUNTA(Q843:Q1644)=0),"""",OR(AND(K843&gt;=1000000000,OR(Y843&gt;=1000000000,COUNTA(Q843:Q1644)=0)),OR(Y843&gt;=1000000000,AND(COUNTA(C843:C1644)=0,P$3=TRUE))),
ROUNDDOWN((AB$1-AC$1)*MAX(INDEX(T$4:T1644,MATCH(LARGE(FILTER(Y$4:Y1644,Y$4"&amp;":Y1644&lt;1000000000),1),Y$4:Y1644)),INDEX(F$4:F1644,MATCH(LARGE(FILTER(K$4:K1644,K$4:K1644&lt;1000000000),1),K$4:K1644)))),AND(K843&lt;1000000000,COUNTA(C843:C1644)&gt;0,P$3=FALSE),
ROUNDDOWN(INDEX(Y$4:Y1644,MATCH(LARGE(FILTER(W$4:W1644,W$4:W1644&lt;=I843),1),W$4:W1644"&amp;"))+(I843-LARGE(FILTER(W$4:W1644,W$4:W1644&lt;=I843),1))*INDEX(T$4:T1644,MATCH(LARGE(FILTER(W$4:W1644,W$4:W1644&lt;=I843),1),W$4:W1644))-K843),1,
ROUNDDOWN(Y843-INDEX(K$4:K1644,MATCH(LARGE(FILTER(I$4:I1644,I$4:I1644&lt;=W843),1),I$4:I1644))-(W843-LARGE(FILTER(I$4:I"&amp;"1644,I$4:I1644&lt;=W843),1))*INDEX(F$4:F1644,MATCH(LARGE(FILTER(I$4:I1644,I$4:I1644&lt;=W843),1),I$4:I1644))))"),"")</f>
        <v/>
      </c>
      <c r="N843" s="60" t="str">
        <f t="shared" si="8"/>
        <v/>
      </c>
      <c r="O843" s="61" t="str">
        <f t="shared" si="9"/>
        <v/>
      </c>
      <c r="P843" s="56" t="str">
        <f t="shared" si="10"/>
        <v/>
      </c>
      <c r="Q843" s="105"/>
      <c r="R843" s="10"/>
      <c r="S843" s="59" t="str">
        <f t="array" ref="S843">IF(COUNTA(Q843:Q1644)=0,"",SUM((COUNTIF(Q$4:Q843,Upgrades!$B$3:$B$13)-COUNTIF(Q$4:Q843,"Sell_"&amp;Upgrades!$B$3:$B$13))*Upgrades!$D$3:$D$13))</f>
        <v/>
      </c>
      <c r="T843" s="66" t="str">
        <f>IFERROR(__xludf.DUMMYFUNCTION("IF(COUNTA(Q843:Q1644)=0,"""",IF(REGEXMATCH(INDEX(FILTER(Q$4:Q843,Q$4:Q843&lt;&gt;""""),ROWS(FILTER(Q$4:Q843,Q$4:Q843&lt;&gt;""""))),""^Sell_""),INDEX(FILTER(T$4:T842,Q$4:Q842&lt;&gt;""""),ROWS(FILTER(Q$4:Q842,Q$4:Q842&lt;&gt;""""))),$AD$5+S843))"),"")</f>
        <v/>
      </c>
      <c r="U843" s="10" t="str">
        <f>IFERROR(__xludf.DUMMYFUNCTION("IF(COUNTA(Q843:Q1644)=0,"""",IF(Q843="""",0,IF(REGEXMATCH(Q843,""^Sell_""),-ROUNDDOWN(ROUNDUP(INDEX(Upgrades!$C$3:$C$13,MATCH(SUBSTITUTE(Q843,""Sell_"",""""),Upgrades!$B$3:$B$13,0))*1.15^(COUNTIF(Q$4:Q842,SUBSTITUTE(Q843,""Sell_"",""""))-COUNTIF(Q$4:Q842,"&amp;"""Sell_""&amp;SUBSTITUTE(Q843,""Sell_"",""""))))/2),ROUNDUP(INDEX(Upgrades!$C$3:$C$13,MATCH(Q843,Upgrades!$B$3:$B$13,0))*1.15^(COUNTIF(Q$4:Q842,Q843)-COUNTIF(Q$4:Q842,""Sell_""&amp;Q843))))))"),"")</f>
        <v/>
      </c>
      <c r="V843" s="10" t="str">
        <f t="shared" si="11"/>
        <v/>
      </c>
      <c r="W843" s="68" t="str">
        <f t="shared" si="12"/>
        <v/>
      </c>
      <c r="X843" s="59" t="str">
        <f t="shared" si="13"/>
        <v/>
      </c>
      <c r="Y843" s="69" t="str">
        <f t="shared" si="14"/>
        <v/>
      </c>
      <c r="Z843" s="11"/>
      <c r="AG843" s="59"/>
    </row>
    <row r="844">
      <c r="A844" s="8"/>
      <c r="B844" s="56" t="str">
        <f t="shared" si="2"/>
        <v/>
      </c>
      <c r="C844" s="105"/>
      <c r="D844" s="10"/>
      <c r="E844" s="59" t="str">
        <f t="array" ref="E844">IF(COUNTA(C844:C1644)=0,"",SUM((COUNTIF(C$4:C844,Upgrades!$B$3:$B$13)-COUNTIF(C$4:C844,"Sell_"&amp;Upgrades!$B$3:$B$13))*Upgrades!$D$3:$D$13))</f>
        <v/>
      </c>
      <c r="F844" s="66" t="str">
        <f>IFERROR(__xludf.DUMMYFUNCTION("IF(COUNTA(C844:C1644)=0,"""",IF(REGEXMATCH(INDEX(FILTER(C$4:C844,C$4:C844&lt;&gt;""""),ROWS(FILTER(C$4:C844,C$4:C844&lt;&gt;""""))),""^Sell_""),INDEX(FILTER(F$4:F843,C$4:C843&lt;&gt;""""),ROWS(FILTER(C$4:C843,C$4:C843&lt;&gt;""""))),$AC$5+E844))"),"")</f>
        <v/>
      </c>
      <c r="G844" s="10" t="str">
        <f>IFERROR(__xludf.DUMMYFUNCTION("IF(COUNTA(C844:C1644)=0,"""",IF(C844="""",0,IF(REGEXMATCH(C844,""^Sell_""),-ROUNDDOWN(ROUNDUP(INDEX(Upgrades!$C$3:$C$13,MATCH(SUBSTITUTE(C844,""Sell_"",""""),Upgrades!$B$3:$B$13,0))*1.15^(COUNTIF(C$4:C843,SUBSTITUTE(C844,""Sell_"",""""))-COUNTIF(C$4:C843,"&amp;"""Sell_""&amp;SUBSTITUTE(C844,""Sell_"",""""))))/2),ROUNDUP(INDEX(Upgrades!$C$3:$C$13,MATCH(C844,Upgrades!$B$3:$B$13,0))*1.15^(COUNTIF(C$4:C843,C844)-COUNTIF(C$4:C843,""Sell_""&amp;C844))))))"),"")</f>
        <v/>
      </c>
      <c r="H844" s="10" t="str">
        <f t="shared" si="3"/>
        <v/>
      </c>
      <c r="I844" s="68" t="str">
        <f t="shared" si="4"/>
        <v/>
      </c>
      <c r="J844" s="59" t="str">
        <f t="shared" si="5"/>
        <v/>
      </c>
      <c r="K844" s="69" t="str">
        <f t="shared" si="6"/>
        <v/>
      </c>
      <c r="L844" s="60" t="str">
        <f t="shared" si="7"/>
        <v/>
      </c>
      <c r="M844" s="61" t="str">
        <f>IFERROR(__xludf.DUMMYFUNCTION("IFS(AND(COUNTA(C844:C1644)=0,COUNTA(Q844:Q1644)=0),"""",OR(AND(K844&gt;=1000000000,OR(Y844&gt;=1000000000,COUNTA(Q844:Q1644)=0)),OR(Y844&gt;=1000000000,AND(COUNTA(C844:C1644)=0,P$3=TRUE))),
ROUNDDOWN((AB$1-AC$1)*MAX(INDEX(T$4:T1644,MATCH(LARGE(FILTER(Y$4:Y1644,Y$4"&amp;":Y1644&lt;1000000000),1),Y$4:Y1644)),INDEX(F$4:F1644,MATCH(LARGE(FILTER(K$4:K1644,K$4:K1644&lt;1000000000),1),K$4:K1644)))),AND(K844&lt;1000000000,COUNTA(C844:C1644)&gt;0,P$3=FALSE),
ROUNDDOWN(INDEX(Y$4:Y1644,MATCH(LARGE(FILTER(W$4:W1644,W$4:W1644&lt;=I844),1),W$4:W1644"&amp;"))+(I844-LARGE(FILTER(W$4:W1644,W$4:W1644&lt;=I844),1))*INDEX(T$4:T1644,MATCH(LARGE(FILTER(W$4:W1644,W$4:W1644&lt;=I844),1),W$4:W1644))-K844),1,
ROUNDDOWN(Y844-INDEX(K$4:K1644,MATCH(LARGE(FILTER(I$4:I1644,I$4:I1644&lt;=W844),1),I$4:I1644))-(W844-LARGE(FILTER(I$4:I"&amp;"1644,I$4:I1644&lt;=W844),1))*INDEX(F$4:F1644,MATCH(LARGE(FILTER(I$4:I1644,I$4:I1644&lt;=W844),1),I$4:I1644))))"),"")</f>
        <v/>
      </c>
      <c r="N844" s="60" t="str">
        <f t="shared" si="8"/>
        <v/>
      </c>
      <c r="O844" s="61" t="str">
        <f t="shared" si="9"/>
        <v/>
      </c>
      <c r="P844" s="56" t="str">
        <f t="shared" si="10"/>
        <v/>
      </c>
      <c r="Q844" s="105"/>
      <c r="R844" s="10"/>
      <c r="S844" s="59" t="str">
        <f t="array" ref="S844">IF(COUNTA(Q844:Q1644)=0,"",SUM((COUNTIF(Q$4:Q844,Upgrades!$B$3:$B$13)-COUNTIF(Q$4:Q844,"Sell_"&amp;Upgrades!$B$3:$B$13))*Upgrades!$D$3:$D$13))</f>
        <v/>
      </c>
      <c r="T844" s="66" t="str">
        <f>IFERROR(__xludf.DUMMYFUNCTION("IF(COUNTA(Q844:Q1644)=0,"""",IF(REGEXMATCH(INDEX(FILTER(Q$4:Q844,Q$4:Q844&lt;&gt;""""),ROWS(FILTER(Q$4:Q844,Q$4:Q844&lt;&gt;""""))),""^Sell_""),INDEX(FILTER(T$4:T843,Q$4:Q843&lt;&gt;""""),ROWS(FILTER(Q$4:Q843,Q$4:Q843&lt;&gt;""""))),$AD$5+S844))"),"")</f>
        <v/>
      </c>
      <c r="U844" s="10" t="str">
        <f>IFERROR(__xludf.DUMMYFUNCTION("IF(COUNTA(Q844:Q1644)=0,"""",IF(Q844="""",0,IF(REGEXMATCH(Q844,""^Sell_""),-ROUNDDOWN(ROUNDUP(INDEX(Upgrades!$C$3:$C$13,MATCH(SUBSTITUTE(Q844,""Sell_"",""""),Upgrades!$B$3:$B$13,0))*1.15^(COUNTIF(Q$4:Q843,SUBSTITUTE(Q844,""Sell_"",""""))-COUNTIF(Q$4:Q843,"&amp;"""Sell_""&amp;SUBSTITUTE(Q844,""Sell_"",""""))))/2),ROUNDUP(INDEX(Upgrades!$C$3:$C$13,MATCH(Q844,Upgrades!$B$3:$B$13,0))*1.15^(COUNTIF(Q$4:Q843,Q844)-COUNTIF(Q$4:Q843,""Sell_""&amp;Q844))))))"),"")</f>
        <v/>
      </c>
      <c r="V844" s="10" t="str">
        <f t="shared" si="11"/>
        <v/>
      </c>
      <c r="W844" s="68" t="str">
        <f t="shared" si="12"/>
        <v/>
      </c>
      <c r="X844" s="59" t="str">
        <f t="shared" si="13"/>
        <v/>
      </c>
      <c r="Y844" s="69" t="str">
        <f t="shared" si="14"/>
        <v/>
      </c>
      <c r="Z844" s="11"/>
      <c r="AG844" s="59"/>
    </row>
    <row r="845">
      <c r="A845" s="8"/>
      <c r="B845" s="56" t="str">
        <f t="shared" si="2"/>
        <v/>
      </c>
      <c r="C845" s="105"/>
      <c r="D845" s="10"/>
      <c r="E845" s="59" t="str">
        <f t="array" ref="E845">IF(COUNTA(C845:C1644)=0,"",SUM((COUNTIF(C$4:C845,Upgrades!$B$3:$B$13)-COUNTIF(C$4:C845,"Sell_"&amp;Upgrades!$B$3:$B$13))*Upgrades!$D$3:$D$13))</f>
        <v/>
      </c>
      <c r="F845" s="66" t="str">
        <f>IFERROR(__xludf.DUMMYFUNCTION("IF(COUNTA(C845:C1644)=0,"""",IF(REGEXMATCH(INDEX(FILTER(C$4:C845,C$4:C845&lt;&gt;""""),ROWS(FILTER(C$4:C845,C$4:C845&lt;&gt;""""))),""^Sell_""),INDEX(FILTER(F$4:F844,C$4:C844&lt;&gt;""""),ROWS(FILTER(C$4:C844,C$4:C844&lt;&gt;""""))),$AC$5+E845))"),"")</f>
        <v/>
      </c>
      <c r="G845" s="10" t="str">
        <f>IFERROR(__xludf.DUMMYFUNCTION("IF(COUNTA(C845:C1644)=0,"""",IF(C845="""",0,IF(REGEXMATCH(C845,""^Sell_""),-ROUNDDOWN(ROUNDUP(INDEX(Upgrades!$C$3:$C$13,MATCH(SUBSTITUTE(C845,""Sell_"",""""),Upgrades!$B$3:$B$13,0))*1.15^(COUNTIF(C$4:C844,SUBSTITUTE(C845,""Sell_"",""""))-COUNTIF(C$4:C844,"&amp;"""Sell_""&amp;SUBSTITUTE(C845,""Sell_"",""""))))/2),ROUNDUP(INDEX(Upgrades!$C$3:$C$13,MATCH(C845,Upgrades!$B$3:$B$13,0))*1.15^(COUNTIF(C$4:C844,C845)-COUNTIF(C$4:C844,""Sell_""&amp;C845))))))"),"")</f>
        <v/>
      </c>
      <c r="H845" s="10" t="str">
        <f t="shared" si="3"/>
        <v/>
      </c>
      <c r="I845" s="68" t="str">
        <f t="shared" si="4"/>
        <v/>
      </c>
      <c r="J845" s="59" t="str">
        <f t="shared" si="5"/>
        <v/>
      </c>
      <c r="K845" s="69" t="str">
        <f t="shared" si="6"/>
        <v/>
      </c>
      <c r="L845" s="60" t="str">
        <f t="shared" si="7"/>
        <v/>
      </c>
      <c r="M845" s="61" t="str">
        <f>IFERROR(__xludf.DUMMYFUNCTION("IFS(AND(COUNTA(C845:C1644)=0,COUNTA(Q845:Q1644)=0),"""",OR(AND(K845&gt;=1000000000,OR(Y845&gt;=1000000000,COUNTA(Q845:Q1644)=0)),OR(Y845&gt;=1000000000,AND(COUNTA(C845:C1644)=0,P$3=TRUE))),
ROUNDDOWN((AB$1-AC$1)*MAX(INDEX(T$4:T1644,MATCH(LARGE(FILTER(Y$4:Y1644,Y$4"&amp;":Y1644&lt;1000000000),1),Y$4:Y1644)),INDEX(F$4:F1644,MATCH(LARGE(FILTER(K$4:K1644,K$4:K1644&lt;1000000000),1),K$4:K1644)))),AND(K845&lt;1000000000,COUNTA(C845:C1644)&gt;0,P$3=FALSE),
ROUNDDOWN(INDEX(Y$4:Y1644,MATCH(LARGE(FILTER(W$4:W1644,W$4:W1644&lt;=I845),1),W$4:W1644"&amp;"))+(I845-LARGE(FILTER(W$4:W1644,W$4:W1644&lt;=I845),1))*INDEX(T$4:T1644,MATCH(LARGE(FILTER(W$4:W1644,W$4:W1644&lt;=I845),1),W$4:W1644))-K845),1,
ROUNDDOWN(Y845-INDEX(K$4:K1644,MATCH(LARGE(FILTER(I$4:I1644,I$4:I1644&lt;=W845),1),I$4:I1644))-(W845-LARGE(FILTER(I$4:I"&amp;"1644,I$4:I1644&lt;=W845),1))*INDEX(F$4:F1644,MATCH(LARGE(FILTER(I$4:I1644,I$4:I1644&lt;=W845),1),I$4:I1644))))"),"")</f>
        <v/>
      </c>
      <c r="N845" s="60" t="str">
        <f t="shared" si="8"/>
        <v/>
      </c>
      <c r="O845" s="61" t="str">
        <f t="shared" si="9"/>
        <v/>
      </c>
      <c r="P845" s="56" t="str">
        <f t="shared" si="10"/>
        <v/>
      </c>
      <c r="Q845" s="105"/>
      <c r="R845" s="10"/>
      <c r="S845" s="59" t="str">
        <f t="array" ref="S845">IF(COUNTA(Q845:Q1644)=0,"",SUM((COUNTIF(Q$4:Q845,Upgrades!$B$3:$B$13)-COUNTIF(Q$4:Q845,"Sell_"&amp;Upgrades!$B$3:$B$13))*Upgrades!$D$3:$D$13))</f>
        <v/>
      </c>
      <c r="T845" s="66" t="str">
        <f>IFERROR(__xludf.DUMMYFUNCTION("IF(COUNTA(Q845:Q1644)=0,"""",IF(REGEXMATCH(INDEX(FILTER(Q$4:Q845,Q$4:Q845&lt;&gt;""""),ROWS(FILTER(Q$4:Q845,Q$4:Q845&lt;&gt;""""))),""^Sell_""),INDEX(FILTER(T$4:T844,Q$4:Q844&lt;&gt;""""),ROWS(FILTER(Q$4:Q844,Q$4:Q844&lt;&gt;""""))),$AD$5+S845))"),"")</f>
        <v/>
      </c>
      <c r="U845" s="10" t="str">
        <f>IFERROR(__xludf.DUMMYFUNCTION("IF(COUNTA(Q845:Q1644)=0,"""",IF(Q845="""",0,IF(REGEXMATCH(Q845,""^Sell_""),-ROUNDDOWN(ROUNDUP(INDEX(Upgrades!$C$3:$C$13,MATCH(SUBSTITUTE(Q845,""Sell_"",""""),Upgrades!$B$3:$B$13,0))*1.15^(COUNTIF(Q$4:Q844,SUBSTITUTE(Q845,""Sell_"",""""))-COUNTIF(Q$4:Q844,"&amp;"""Sell_""&amp;SUBSTITUTE(Q845,""Sell_"",""""))))/2),ROUNDUP(INDEX(Upgrades!$C$3:$C$13,MATCH(Q845,Upgrades!$B$3:$B$13,0))*1.15^(COUNTIF(Q$4:Q844,Q845)-COUNTIF(Q$4:Q844,""Sell_""&amp;Q845))))))"),"")</f>
        <v/>
      </c>
      <c r="V845" s="10" t="str">
        <f t="shared" si="11"/>
        <v/>
      </c>
      <c r="W845" s="68" t="str">
        <f t="shared" si="12"/>
        <v/>
      </c>
      <c r="X845" s="59" t="str">
        <f t="shared" si="13"/>
        <v/>
      </c>
      <c r="Y845" s="69" t="str">
        <f t="shared" si="14"/>
        <v/>
      </c>
      <c r="Z845" s="11"/>
      <c r="AG845" s="59"/>
    </row>
    <row r="846">
      <c r="A846" s="8"/>
      <c r="B846" s="56" t="str">
        <f t="shared" si="2"/>
        <v/>
      </c>
      <c r="C846" s="105"/>
      <c r="D846" s="10"/>
      <c r="E846" s="59" t="str">
        <f t="array" ref="E846">IF(COUNTA(C846:C1644)=0,"",SUM((COUNTIF(C$4:C846,Upgrades!$B$3:$B$13)-COUNTIF(C$4:C846,"Sell_"&amp;Upgrades!$B$3:$B$13))*Upgrades!$D$3:$D$13))</f>
        <v/>
      </c>
      <c r="F846" s="66" t="str">
        <f>IFERROR(__xludf.DUMMYFUNCTION("IF(COUNTA(C846:C1644)=0,"""",IF(REGEXMATCH(INDEX(FILTER(C$4:C846,C$4:C846&lt;&gt;""""),ROWS(FILTER(C$4:C846,C$4:C846&lt;&gt;""""))),""^Sell_""),INDEX(FILTER(F$4:F845,C$4:C845&lt;&gt;""""),ROWS(FILTER(C$4:C845,C$4:C845&lt;&gt;""""))),$AC$5+E846))"),"")</f>
        <v/>
      </c>
      <c r="G846" s="10" t="str">
        <f>IFERROR(__xludf.DUMMYFUNCTION("IF(COUNTA(C846:C1644)=0,"""",IF(C846="""",0,IF(REGEXMATCH(C846,""^Sell_""),-ROUNDDOWN(ROUNDUP(INDEX(Upgrades!$C$3:$C$13,MATCH(SUBSTITUTE(C846,""Sell_"",""""),Upgrades!$B$3:$B$13,0))*1.15^(COUNTIF(C$4:C845,SUBSTITUTE(C846,""Sell_"",""""))-COUNTIF(C$4:C845,"&amp;"""Sell_""&amp;SUBSTITUTE(C846,""Sell_"",""""))))/2),ROUNDUP(INDEX(Upgrades!$C$3:$C$13,MATCH(C846,Upgrades!$B$3:$B$13,0))*1.15^(COUNTIF(C$4:C845,C846)-COUNTIF(C$4:C845,""Sell_""&amp;C846))))))"),"")</f>
        <v/>
      </c>
      <c r="H846" s="10" t="str">
        <f t="shared" si="3"/>
        <v/>
      </c>
      <c r="I846" s="68" t="str">
        <f t="shared" si="4"/>
        <v/>
      </c>
      <c r="J846" s="59" t="str">
        <f t="shared" si="5"/>
        <v/>
      </c>
      <c r="K846" s="69" t="str">
        <f t="shared" si="6"/>
        <v/>
      </c>
      <c r="L846" s="60" t="str">
        <f t="shared" si="7"/>
        <v/>
      </c>
      <c r="M846" s="61" t="str">
        <f>IFERROR(__xludf.DUMMYFUNCTION("IFS(AND(COUNTA(C846:C1644)=0,COUNTA(Q846:Q1644)=0),"""",OR(AND(K846&gt;=1000000000,OR(Y846&gt;=1000000000,COUNTA(Q846:Q1644)=0)),OR(Y846&gt;=1000000000,AND(COUNTA(C846:C1644)=0,P$3=TRUE))),
ROUNDDOWN((AB$1-AC$1)*MAX(INDEX(T$4:T1644,MATCH(LARGE(FILTER(Y$4:Y1644,Y$4"&amp;":Y1644&lt;1000000000),1),Y$4:Y1644)),INDEX(F$4:F1644,MATCH(LARGE(FILTER(K$4:K1644,K$4:K1644&lt;1000000000),1),K$4:K1644)))),AND(K846&lt;1000000000,COUNTA(C846:C1644)&gt;0,P$3=FALSE),
ROUNDDOWN(INDEX(Y$4:Y1644,MATCH(LARGE(FILTER(W$4:W1644,W$4:W1644&lt;=I846),1),W$4:W1644"&amp;"))+(I846-LARGE(FILTER(W$4:W1644,W$4:W1644&lt;=I846),1))*INDEX(T$4:T1644,MATCH(LARGE(FILTER(W$4:W1644,W$4:W1644&lt;=I846),1),W$4:W1644))-K846),1,
ROUNDDOWN(Y846-INDEX(K$4:K1644,MATCH(LARGE(FILTER(I$4:I1644,I$4:I1644&lt;=W846),1),I$4:I1644))-(W846-LARGE(FILTER(I$4:I"&amp;"1644,I$4:I1644&lt;=W846),1))*INDEX(F$4:F1644,MATCH(LARGE(FILTER(I$4:I1644,I$4:I1644&lt;=W846),1),I$4:I1644))))"),"")</f>
        <v/>
      </c>
      <c r="N846" s="60" t="str">
        <f t="shared" si="8"/>
        <v/>
      </c>
      <c r="O846" s="61" t="str">
        <f t="shared" si="9"/>
        <v/>
      </c>
      <c r="P846" s="56" t="str">
        <f t="shared" si="10"/>
        <v/>
      </c>
      <c r="Q846" s="105"/>
      <c r="R846" s="10"/>
      <c r="S846" s="59" t="str">
        <f t="array" ref="S846">IF(COUNTA(Q846:Q1644)=0,"",SUM((COUNTIF(Q$4:Q846,Upgrades!$B$3:$B$13)-COUNTIF(Q$4:Q846,"Sell_"&amp;Upgrades!$B$3:$B$13))*Upgrades!$D$3:$D$13))</f>
        <v/>
      </c>
      <c r="T846" s="66" t="str">
        <f>IFERROR(__xludf.DUMMYFUNCTION("IF(COUNTA(Q846:Q1644)=0,"""",IF(REGEXMATCH(INDEX(FILTER(Q$4:Q846,Q$4:Q846&lt;&gt;""""),ROWS(FILTER(Q$4:Q846,Q$4:Q846&lt;&gt;""""))),""^Sell_""),INDEX(FILTER(T$4:T845,Q$4:Q845&lt;&gt;""""),ROWS(FILTER(Q$4:Q845,Q$4:Q845&lt;&gt;""""))),$AD$5+S846))"),"")</f>
        <v/>
      </c>
      <c r="U846" s="10" t="str">
        <f>IFERROR(__xludf.DUMMYFUNCTION("IF(COUNTA(Q846:Q1644)=0,"""",IF(Q846="""",0,IF(REGEXMATCH(Q846,""^Sell_""),-ROUNDDOWN(ROUNDUP(INDEX(Upgrades!$C$3:$C$13,MATCH(SUBSTITUTE(Q846,""Sell_"",""""),Upgrades!$B$3:$B$13,0))*1.15^(COUNTIF(Q$4:Q845,SUBSTITUTE(Q846,""Sell_"",""""))-COUNTIF(Q$4:Q845,"&amp;"""Sell_""&amp;SUBSTITUTE(Q846,""Sell_"",""""))))/2),ROUNDUP(INDEX(Upgrades!$C$3:$C$13,MATCH(Q846,Upgrades!$B$3:$B$13,0))*1.15^(COUNTIF(Q$4:Q845,Q846)-COUNTIF(Q$4:Q845,""Sell_""&amp;Q846))))))"),"")</f>
        <v/>
      </c>
      <c r="V846" s="10" t="str">
        <f t="shared" si="11"/>
        <v/>
      </c>
      <c r="W846" s="68" t="str">
        <f t="shared" si="12"/>
        <v/>
      </c>
      <c r="X846" s="59" t="str">
        <f t="shared" si="13"/>
        <v/>
      </c>
      <c r="Y846" s="69" t="str">
        <f t="shared" si="14"/>
        <v/>
      </c>
      <c r="Z846" s="11"/>
      <c r="AG846" s="59"/>
    </row>
    <row r="847">
      <c r="A847" s="8"/>
      <c r="B847" s="56" t="str">
        <f t="shared" si="2"/>
        <v/>
      </c>
      <c r="C847" s="105"/>
      <c r="D847" s="10"/>
      <c r="E847" s="59" t="str">
        <f t="array" ref="E847">IF(COUNTA(C847:C1644)=0,"",SUM((COUNTIF(C$4:C847,Upgrades!$B$3:$B$13)-COUNTIF(C$4:C847,"Sell_"&amp;Upgrades!$B$3:$B$13))*Upgrades!$D$3:$D$13))</f>
        <v/>
      </c>
      <c r="F847" s="66" t="str">
        <f>IFERROR(__xludf.DUMMYFUNCTION("IF(COUNTA(C847:C1644)=0,"""",IF(REGEXMATCH(INDEX(FILTER(C$4:C847,C$4:C847&lt;&gt;""""),ROWS(FILTER(C$4:C847,C$4:C847&lt;&gt;""""))),""^Sell_""),INDEX(FILTER(F$4:F846,C$4:C846&lt;&gt;""""),ROWS(FILTER(C$4:C846,C$4:C846&lt;&gt;""""))),$AC$5+E847))"),"")</f>
        <v/>
      </c>
      <c r="G847" s="10" t="str">
        <f>IFERROR(__xludf.DUMMYFUNCTION("IF(COUNTA(C847:C1644)=0,"""",IF(C847="""",0,IF(REGEXMATCH(C847,""^Sell_""),-ROUNDDOWN(ROUNDUP(INDEX(Upgrades!$C$3:$C$13,MATCH(SUBSTITUTE(C847,""Sell_"",""""),Upgrades!$B$3:$B$13,0))*1.15^(COUNTIF(C$4:C846,SUBSTITUTE(C847,""Sell_"",""""))-COUNTIF(C$4:C846,"&amp;"""Sell_""&amp;SUBSTITUTE(C847,""Sell_"",""""))))/2),ROUNDUP(INDEX(Upgrades!$C$3:$C$13,MATCH(C847,Upgrades!$B$3:$B$13,0))*1.15^(COUNTIF(C$4:C846,C847)-COUNTIF(C$4:C846,""Sell_""&amp;C847))))))"),"")</f>
        <v/>
      </c>
      <c r="H847" s="10" t="str">
        <f t="shared" si="3"/>
        <v/>
      </c>
      <c r="I847" s="68" t="str">
        <f t="shared" si="4"/>
        <v/>
      </c>
      <c r="J847" s="59" t="str">
        <f t="shared" si="5"/>
        <v/>
      </c>
      <c r="K847" s="69" t="str">
        <f t="shared" si="6"/>
        <v/>
      </c>
      <c r="L847" s="60" t="str">
        <f t="shared" si="7"/>
        <v/>
      </c>
      <c r="M847" s="61" t="str">
        <f>IFERROR(__xludf.DUMMYFUNCTION("IFS(AND(COUNTA(C847:C1644)=0,COUNTA(Q847:Q1644)=0),"""",OR(AND(K847&gt;=1000000000,OR(Y847&gt;=1000000000,COUNTA(Q847:Q1644)=0)),OR(Y847&gt;=1000000000,AND(COUNTA(C847:C1644)=0,P$3=TRUE))),
ROUNDDOWN((AB$1-AC$1)*MAX(INDEX(T$4:T1644,MATCH(LARGE(FILTER(Y$4:Y1644,Y$4"&amp;":Y1644&lt;1000000000),1),Y$4:Y1644)),INDEX(F$4:F1644,MATCH(LARGE(FILTER(K$4:K1644,K$4:K1644&lt;1000000000),1),K$4:K1644)))),AND(K847&lt;1000000000,COUNTA(C847:C1644)&gt;0,P$3=FALSE),
ROUNDDOWN(INDEX(Y$4:Y1644,MATCH(LARGE(FILTER(W$4:W1644,W$4:W1644&lt;=I847),1),W$4:W1644"&amp;"))+(I847-LARGE(FILTER(W$4:W1644,W$4:W1644&lt;=I847),1))*INDEX(T$4:T1644,MATCH(LARGE(FILTER(W$4:W1644,W$4:W1644&lt;=I847),1),W$4:W1644))-K847),1,
ROUNDDOWN(Y847-INDEX(K$4:K1644,MATCH(LARGE(FILTER(I$4:I1644,I$4:I1644&lt;=W847),1),I$4:I1644))-(W847-LARGE(FILTER(I$4:I"&amp;"1644,I$4:I1644&lt;=W847),1))*INDEX(F$4:F1644,MATCH(LARGE(FILTER(I$4:I1644,I$4:I1644&lt;=W847),1),I$4:I1644))))"),"")</f>
        <v/>
      </c>
      <c r="N847" s="60" t="str">
        <f t="shared" si="8"/>
        <v/>
      </c>
      <c r="O847" s="61" t="str">
        <f t="shared" si="9"/>
        <v/>
      </c>
      <c r="P847" s="56" t="str">
        <f t="shared" si="10"/>
        <v/>
      </c>
      <c r="Q847" s="105"/>
      <c r="R847" s="10"/>
      <c r="S847" s="59" t="str">
        <f t="array" ref="S847">IF(COUNTA(Q847:Q1644)=0,"",SUM((COUNTIF(Q$4:Q847,Upgrades!$B$3:$B$13)-COUNTIF(Q$4:Q847,"Sell_"&amp;Upgrades!$B$3:$B$13))*Upgrades!$D$3:$D$13))</f>
        <v/>
      </c>
      <c r="T847" s="66" t="str">
        <f>IFERROR(__xludf.DUMMYFUNCTION("IF(COUNTA(Q847:Q1644)=0,"""",IF(REGEXMATCH(INDEX(FILTER(Q$4:Q847,Q$4:Q847&lt;&gt;""""),ROWS(FILTER(Q$4:Q847,Q$4:Q847&lt;&gt;""""))),""^Sell_""),INDEX(FILTER(T$4:T846,Q$4:Q846&lt;&gt;""""),ROWS(FILTER(Q$4:Q846,Q$4:Q846&lt;&gt;""""))),$AD$5+S847))"),"")</f>
        <v/>
      </c>
      <c r="U847" s="10" t="str">
        <f>IFERROR(__xludf.DUMMYFUNCTION("IF(COUNTA(Q847:Q1644)=0,"""",IF(Q847="""",0,IF(REGEXMATCH(Q847,""^Sell_""),-ROUNDDOWN(ROUNDUP(INDEX(Upgrades!$C$3:$C$13,MATCH(SUBSTITUTE(Q847,""Sell_"",""""),Upgrades!$B$3:$B$13,0))*1.15^(COUNTIF(Q$4:Q846,SUBSTITUTE(Q847,""Sell_"",""""))-COUNTIF(Q$4:Q846,"&amp;"""Sell_""&amp;SUBSTITUTE(Q847,""Sell_"",""""))))/2),ROUNDUP(INDEX(Upgrades!$C$3:$C$13,MATCH(Q847,Upgrades!$B$3:$B$13,0))*1.15^(COUNTIF(Q$4:Q846,Q847)-COUNTIF(Q$4:Q846,""Sell_""&amp;Q847))))))"),"")</f>
        <v/>
      </c>
      <c r="V847" s="10" t="str">
        <f t="shared" si="11"/>
        <v/>
      </c>
      <c r="W847" s="68" t="str">
        <f t="shared" si="12"/>
        <v/>
      </c>
      <c r="X847" s="59" t="str">
        <f t="shared" si="13"/>
        <v/>
      </c>
      <c r="Y847" s="69" t="str">
        <f t="shared" si="14"/>
        <v/>
      </c>
      <c r="Z847" s="11"/>
      <c r="AG847" s="59"/>
    </row>
    <row r="848">
      <c r="A848" s="8"/>
      <c r="B848" s="56" t="str">
        <f t="shared" si="2"/>
        <v/>
      </c>
      <c r="C848" s="105"/>
      <c r="D848" s="10"/>
      <c r="E848" s="59" t="str">
        <f t="array" ref="E848">IF(COUNTA(C848:C1644)=0,"",SUM((COUNTIF(C$4:C848,Upgrades!$B$3:$B$13)-COUNTIF(C$4:C848,"Sell_"&amp;Upgrades!$B$3:$B$13))*Upgrades!$D$3:$D$13))</f>
        <v/>
      </c>
      <c r="F848" s="66" t="str">
        <f>IFERROR(__xludf.DUMMYFUNCTION("IF(COUNTA(C848:C1644)=0,"""",IF(REGEXMATCH(INDEX(FILTER(C$4:C848,C$4:C848&lt;&gt;""""),ROWS(FILTER(C$4:C848,C$4:C848&lt;&gt;""""))),""^Sell_""),INDEX(FILTER(F$4:F847,C$4:C847&lt;&gt;""""),ROWS(FILTER(C$4:C847,C$4:C847&lt;&gt;""""))),$AC$5+E848))"),"")</f>
        <v/>
      </c>
      <c r="G848" s="10" t="str">
        <f>IFERROR(__xludf.DUMMYFUNCTION("IF(COUNTA(C848:C1644)=0,"""",IF(C848="""",0,IF(REGEXMATCH(C848,""^Sell_""),-ROUNDDOWN(ROUNDUP(INDEX(Upgrades!$C$3:$C$13,MATCH(SUBSTITUTE(C848,""Sell_"",""""),Upgrades!$B$3:$B$13,0))*1.15^(COUNTIF(C$4:C847,SUBSTITUTE(C848,""Sell_"",""""))-COUNTIF(C$4:C847,"&amp;"""Sell_""&amp;SUBSTITUTE(C848,""Sell_"",""""))))/2),ROUNDUP(INDEX(Upgrades!$C$3:$C$13,MATCH(C848,Upgrades!$B$3:$B$13,0))*1.15^(COUNTIF(C$4:C847,C848)-COUNTIF(C$4:C847,""Sell_""&amp;C848))))))"),"")</f>
        <v/>
      </c>
      <c r="H848" s="10" t="str">
        <f t="shared" si="3"/>
        <v/>
      </c>
      <c r="I848" s="68" t="str">
        <f t="shared" si="4"/>
        <v/>
      </c>
      <c r="J848" s="59" t="str">
        <f t="shared" si="5"/>
        <v/>
      </c>
      <c r="K848" s="69" t="str">
        <f t="shared" si="6"/>
        <v/>
      </c>
      <c r="L848" s="60" t="str">
        <f t="shared" si="7"/>
        <v/>
      </c>
      <c r="M848" s="61" t="str">
        <f>IFERROR(__xludf.DUMMYFUNCTION("IFS(AND(COUNTA(C848:C1644)=0,COUNTA(Q848:Q1644)=0),"""",OR(AND(K848&gt;=1000000000,OR(Y848&gt;=1000000000,COUNTA(Q848:Q1644)=0)),OR(Y848&gt;=1000000000,AND(COUNTA(C848:C1644)=0,P$3=TRUE))),
ROUNDDOWN((AB$1-AC$1)*MAX(INDEX(T$4:T1644,MATCH(LARGE(FILTER(Y$4:Y1644,Y$4"&amp;":Y1644&lt;1000000000),1),Y$4:Y1644)),INDEX(F$4:F1644,MATCH(LARGE(FILTER(K$4:K1644,K$4:K1644&lt;1000000000),1),K$4:K1644)))),AND(K848&lt;1000000000,COUNTA(C848:C1644)&gt;0,P$3=FALSE),
ROUNDDOWN(INDEX(Y$4:Y1644,MATCH(LARGE(FILTER(W$4:W1644,W$4:W1644&lt;=I848),1),W$4:W1644"&amp;"))+(I848-LARGE(FILTER(W$4:W1644,W$4:W1644&lt;=I848),1))*INDEX(T$4:T1644,MATCH(LARGE(FILTER(W$4:W1644,W$4:W1644&lt;=I848),1),W$4:W1644))-K848),1,
ROUNDDOWN(Y848-INDEX(K$4:K1644,MATCH(LARGE(FILTER(I$4:I1644,I$4:I1644&lt;=W848),1),I$4:I1644))-(W848-LARGE(FILTER(I$4:I"&amp;"1644,I$4:I1644&lt;=W848),1))*INDEX(F$4:F1644,MATCH(LARGE(FILTER(I$4:I1644,I$4:I1644&lt;=W848),1),I$4:I1644))))"),"")</f>
        <v/>
      </c>
      <c r="N848" s="60" t="str">
        <f t="shared" si="8"/>
        <v/>
      </c>
      <c r="O848" s="61" t="str">
        <f t="shared" si="9"/>
        <v/>
      </c>
      <c r="P848" s="56" t="str">
        <f t="shared" si="10"/>
        <v/>
      </c>
      <c r="Q848" s="105"/>
      <c r="R848" s="10"/>
      <c r="S848" s="59" t="str">
        <f t="array" ref="S848">IF(COUNTA(Q848:Q1644)=0,"",SUM((COUNTIF(Q$4:Q848,Upgrades!$B$3:$B$13)-COUNTIF(Q$4:Q848,"Sell_"&amp;Upgrades!$B$3:$B$13))*Upgrades!$D$3:$D$13))</f>
        <v/>
      </c>
      <c r="T848" s="66" t="str">
        <f>IFERROR(__xludf.DUMMYFUNCTION("IF(COUNTA(Q848:Q1644)=0,"""",IF(REGEXMATCH(INDEX(FILTER(Q$4:Q848,Q$4:Q848&lt;&gt;""""),ROWS(FILTER(Q$4:Q848,Q$4:Q848&lt;&gt;""""))),""^Sell_""),INDEX(FILTER(T$4:T847,Q$4:Q847&lt;&gt;""""),ROWS(FILTER(Q$4:Q847,Q$4:Q847&lt;&gt;""""))),$AD$5+S848))"),"")</f>
        <v/>
      </c>
      <c r="U848" s="10" t="str">
        <f>IFERROR(__xludf.DUMMYFUNCTION("IF(COUNTA(Q848:Q1644)=0,"""",IF(Q848="""",0,IF(REGEXMATCH(Q848,""^Sell_""),-ROUNDDOWN(ROUNDUP(INDEX(Upgrades!$C$3:$C$13,MATCH(SUBSTITUTE(Q848,""Sell_"",""""),Upgrades!$B$3:$B$13,0))*1.15^(COUNTIF(Q$4:Q847,SUBSTITUTE(Q848,""Sell_"",""""))-COUNTIF(Q$4:Q847,"&amp;"""Sell_""&amp;SUBSTITUTE(Q848,""Sell_"",""""))))/2),ROUNDUP(INDEX(Upgrades!$C$3:$C$13,MATCH(Q848,Upgrades!$B$3:$B$13,0))*1.15^(COUNTIF(Q$4:Q847,Q848)-COUNTIF(Q$4:Q847,""Sell_""&amp;Q848))))))"),"")</f>
        <v/>
      </c>
      <c r="V848" s="10" t="str">
        <f t="shared" si="11"/>
        <v/>
      </c>
      <c r="W848" s="68" t="str">
        <f t="shared" si="12"/>
        <v/>
      </c>
      <c r="X848" s="59" t="str">
        <f t="shared" si="13"/>
        <v/>
      </c>
      <c r="Y848" s="69" t="str">
        <f t="shared" si="14"/>
        <v/>
      </c>
      <c r="Z848" s="11"/>
      <c r="AG848" s="59"/>
    </row>
    <row r="849">
      <c r="A849" s="8"/>
      <c r="B849" s="56" t="str">
        <f t="shared" si="2"/>
        <v/>
      </c>
      <c r="C849" s="105"/>
      <c r="D849" s="10"/>
      <c r="E849" s="59" t="str">
        <f t="array" ref="E849">IF(COUNTA(C849:C1644)=0,"",SUM((COUNTIF(C$4:C849,Upgrades!$B$3:$B$13)-COUNTIF(C$4:C849,"Sell_"&amp;Upgrades!$B$3:$B$13))*Upgrades!$D$3:$D$13))</f>
        <v/>
      </c>
      <c r="F849" s="66" t="str">
        <f>IFERROR(__xludf.DUMMYFUNCTION("IF(COUNTA(C849:C1644)=0,"""",IF(REGEXMATCH(INDEX(FILTER(C$4:C849,C$4:C849&lt;&gt;""""),ROWS(FILTER(C$4:C849,C$4:C849&lt;&gt;""""))),""^Sell_""),INDEX(FILTER(F$4:F848,C$4:C848&lt;&gt;""""),ROWS(FILTER(C$4:C848,C$4:C848&lt;&gt;""""))),$AC$5+E849))"),"")</f>
        <v/>
      </c>
      <c r="G849" s="10" t="str">
        <f>IFERROR(__xludf.DUMMYFUNCTION("IF(COUNTA(C849:C1644)=0,"""",IF(C849="""",0,IF(REGEXMATCH(C849,""^Sell_""),-ROUNDDOWN(ROUNDUP(INDEX(Upgrades!$C$3:$C$13,MATCH(SUBSTITUTE(C849,""Sell_"",""""),Upgrades!$B$3:$B$13,0))*1.15^(COUNTIF(C$4:C848,SUBSTITUTE(C849,""Sell_"",""""))-COUNTIF(C$4:C848,"&amp;"""Sell_""&amp;SUBSTITUTE(C849,""Sell_"",""""))))/2),ROUNDUP(INDEX(Upgrades!$C$3:$C$13,MATCH(C849,Upgrades!$B$3:$B$13,0))*1.15^(COUNTIF(C$4:C848,C849)-COUNTIF(C$4:C848,""Sell_""&amp;C849))))))"),"")</f>
        <v/>
      </c>
      <c r="H849" s="10" t="str">
        <f t="shared" si="3"/>
        <v/>
      </c>
      <c r="I849" s="68" t="str">
        <f t="shared" si="4"/>
        <v/>
      </c>
      <c r="J849" s="59" t="str">
        <f t="shared" si="5"/>
        <v/>
      </c>
      <c r="K849" s="69" t="str">
        <f t="shared" si="6"/>
        <v/>
      </c>
      <c r="L849" s="60" t="str">
        <f t="shared" si="7"/>
        <v/>
      </c>
      <c r="M849" s="61" t="str">
        <f>IFERROR(__xludf.DUMMYFUNCTION("IFS(AND(COUNTA(C849:C1644)=0,COUNTA(Q849:Q1644)=0),"""",OR(AND(K849&gt;=1000000000,OR(Y849&gt;=1000000000,COUNTA(Q849:Q1644)=0)),OR(Y849&gt;=1000000000,AND(COUNTA(C849:C1644)=0,P$3=TRUE))),
ROUNDDOWN((AB$1-AC$1)*MAX(INDEX(T$4:T1644,MATCH(LARGE(FILTER(Y$4:Y1644,Y$4"&amp;":Y1644&lt;1000000000),1),Y$4:Y1644)),INDEX(F$4:F1644,MATCH(LARGE(FILTER(K$4:K1644,K$4:K1644&lt;1000000000),1),K$4:K1644)))),AND(K849&lt;1000000000,COUNTA(C849:C1644)&gt;0,P$3=FALSE),
ROUNDDOWN(INDEX(Y$4:Y1644,MATCH(LARGE(FILTER(W$4:W1644,W$4:W1644&lt;=I849),1),W$4:W1644"&amp;"))+(I849-LARGE(FILTER(W$4:W1644,W$4:W1644&lt;=I849),1))*INDEX(T$4:T1644,MATCH(LARGE(FILTER(W$4:W1644,W$4:W1644&lt;=I849),1),W$4:W1644))-K849),1,
ROUNDDOWN(Y849-INDEX(K$4:K1644,MATCH(LARGE(FILTER(I$4:I1644,I$4:I1644&lt;=W849),1),I$4:I1644))-(W849-LARGE(FILTER(I$4:I"&amp;"1644,I$4:I1644&lt;=W849),1))*INDEX(F$4:F1644,MATCH(LARGE(FILTER(I$4:I1644,I$4:I1644&lt;=W849),1),I$4:I1644))))"),"")</f>
        <v/>
      </c>
      <c r="N849" s="60" t="str">
        <f t="shared" si="8"/>
        <v/>
      </c>
      <c r="O849" s="61" t="str">
        <f t="shared" si="9"/>
        <v/>
      </c>
      <c r="P849" s="56" t="str">
        <f t="shared" si="10"/>
        <v/>
      </c>
      <c r="Q849" s="105"/>
      <c r="R849" s="10"/>
      <c r="S849" s="59" t="str">
        <f t="array" ref="S849">IF(COUNTA(Q849:Q1644)=0,"",SUM((COUNTIF(Q$4:Q849,Upgrades!$B$3:$B$13)-COUNTIF(Q$4:Q849,"Sell_"&amp;Upgrades!$B$3:$B$13))*Upgrades!$D$3:$D$13))</f>
        <v/>
      </c>
      <c r="T849" s="66" t="str">
        <f>IFERROR(__xludf.DUMMYFUNCTION("IF(COUNTA(Q849:Q1644)=0,"""",IF(REGEXMATCH(INDEX(FILTER(Q$4:Q849,Q$4:Q849&lt;&gt;""""),ROWS(FILTER(Q$4:Q849,Q$4:Q849&lt;&gt;""""))),""^Sell_""),INDEX(FILTER(T$4:T848,Q$4:Q848&lt;&gt;""""),ROWS(FILTER(Q$4:Q848,Q$4:Q848&lt;&gt;""""))),$AD$5+S849))"),"")</f>
        <v/>
      </c>
      <c r="U849" s="10" t="str">
        <f>IFERROR(__xludf.DUMMYFUNCTION("IF(COUNTA(Q849:Q1644)=0,"""",IF(Q849="""",0,IF(REGEXMATCH(Q849,""^Sell_""),-ROUNDDOWN(ROUNDUP(INDEX(Upgrades!$C$3:$C$13,MATCH(SUBSTITUTE(Q849,""Sell_"",""""),Upgrades!$B$3:$B$13,0))*1.15^(COUNTIF(Q$4:Q848,SUBSTITUTE(Q849,""Sell_"",""""))-COUNTIF(Q$4:Q848,"&amp;"""Sell_""&amp;SUBSTITUTE(Q849,""Sell_"",""""))))/2),ROUNDUP(INDEX(Upgrades!$C$3:$C$13,MATCH(Q849,Upgrades!$B$3:$B$13,0))*1.15^(COUNTIF(Q$4:Q848,Q849)-COUNTIF(Q$4:Q848,""Sell_""&amp;Q849))))))"),"")</f>
        <v/>
      </c>
      <c r="V849" s="10" t="str">
        <f t="shared" si="11"/>
        <v/>
      </c>
      <c r="W849" s="68" t="str">
        <f t="shared" si="12"/>
        <v/>
      </c>
      <c r="X849" s="59" t="str">
        <f t="shared" si="13"/>
        <v/>
      </c>
      <c r="Y849" s="69" t="str">
        <f t="shared" si="14"/>
        <v/>
      </c>
      <c r="Z849" s="11"/>
      <c r="AG849" s="59"/>
    </row>
    <row r="850">
      <c r="A850" s="8"/>
      <c r="B850" s="56" t="str">
        <f t="shared" si="2"/>
        <v/>
      </c>
      <c r="C850" s="105"/>
      <c r="D850" s="10"/>
      <c r="E850" s="59" t="str">
        <f t="array" ref="E850">IF(COUNTA(C850:C1644)=0,"",SUM((COUNTIF(C$4:C850,Upgrades!$B$3:$B$13)-COUNTIF(C$4:C850,"Sell_"&amp;Upgrades!$B$3:$B$13))*Upgrades!$D$3:$D$13))</f>
        <v/>
      </c>
      <c r="F850" s="66" t="str">
        <f>IFERROR(__xludf.DUMMYFUNCTION("IF(COUNTA(C850:C1644)=0,"""",IF(REGEXMATCH(INDEX(FILTER(C$4:C850,C$4:C850&lt;&gt;""""),ROWS(FILTER(C$4:C850,C$4:C850&lt;&gt;""""))),""^Sell_""),INDEX(FILTER(F$4:F849,C$4:C849&lt;&gt;""""),ROWS(FILTER(C$4:C849,C$4:C849&lt;&gt;""""))),$AC$5+E850))"),"")</f>
        <v/>
      </c>
      <c r="G850" s="10" t="str">
        <f>IFERROR(__xludf.DUMMYFUNCTION("IF(COUNTA(C850:C1644)=0,"""",IF(C850="""",0,IF(REGEXMATCH(C850,""^Sell_""),-ROUNDDOWN(ROUNDUP(INDEX(Upgrades!$C$3:$C$13,MATCH(SUBSTITUTE(C850,""Sell_"",""""),Upgrades!$B$3:$B$13,0))*1.15^(COUNTIF(C$4:C849,SUBSTITUTE(C850,""Sell_"",""""))-COUNTIF(C$4:C849,"&amp;"""Sell_""&amp;SUBSTITUTE(C850,""Sell_"",""""))))/2),ROUNDUP(INDEX(Upgrades!$C$3:$C$13,MATCH(C850,Upgrades!$B$3:$B$13,0))*1.15^(COUNTIF(C$4:C849,C850)-COUNTIF(C$4:C849,""Sell_""&amp;C850))))))"),"")</f>
        <v/>
      </c>
      <c r="H850" s="10" t="str">
        <f t="shared" si="3"/>
        <v/>
      </c>
      <c r="I850" s="68" t="str">
        <f t="shared" si="4"/>
        <v/>
      </c>
      <c r="J850" s="59" t="str">
        <f t="shared" si="5"/>
        <v/>
      </c>
      <c r="K850" s="69" t="str">
        <f t="shared" si="6"/>
        <v/>
      </c>
      <c r="L850" s="60" t="str">
        <f t="shared" si="7"/>
        <v/>
      </c>
      <c r="M850" s="61" t="str">
        <f>IFERROR(__xludf.DUMMYFUNCTION("IFS(AND(COUNTA(C850:C1644)=0,COUNTA(Q850:Q1644)=0),"""",OR(AND(K850&gt;=1000000000,OR(Y850&gt;=1000000000,COUNTA(Q850:Q1644)=0)),OR(Y850&gt;=1000000000,AND(COUNTA(C850:C1644)=0,P$3=TRUE))),
ROUNDDOWN((AB$1-AC$1)*MAX(INDEX(T$4:T1644,MATCH(LARGE(FILTER(Y$4:Y1644,Y$4"&amp;":Y1644&lt;1000000000),1),Y$4:Y1644)),INDEX(F$4:F1644,MATCH(LARGE(FILTER(K$4:K1644,K$4:K1644&lt;1000000000),1),K$4:K1644)))),AND(K850&lt;1000000000,COUNTA(C850:C1644)&gt;0,P$3=FALSE),
ROUNDDOWN(INDEX(Y$4:Y1644,MATCH(LARGE(FILTER(W$4:W1644,W$4:W1644&lt;=I850),1),W$4:W1644"&amp;"))+(I850-LARGE(FILTER(W$4:W1644,W$4:W1644&lt;=I850),1))*INDEX(T$4:T1644,MATCH(LARGE(FILTER(W$4:W1644,W$4:W1644&lt;=I850),1),W$4:W1644))-K850),1,
ROUNDDOWN(Y850-INDEX(K$4:K1644,MATCH(LARGE(FILTER(I$4:I1644,I$4:I1644&lt;=W850),1),I$4:I1644))-(W850-LARGE(FILTER(I$4:I"&amp;"1644,I$4:I1644&lt;=W850),1))*INDEX(F$4:F1644,MATCH(LARGE(FILTER(I$4:I1644,I$4:I1644&lt;=W850),1),I$4:I1644))))"),"")</f>
        <v/>
      </c>
      <c r="N850" s="60" t="str">
        <f t="shared" si="8"/>
        <v/>
      </c>
      <c r="O850" s="61" t="str">
        <f t="shared" si="9"/>
        <v/>
      </c>
      <c r="P850" s="56" t="str">
        <f t="shared" si="10"/>
        <v/>
      </c>
      <c r="Q850" s="105"/>
      <c r="R850" s="10"/>
      <c r="S850" s="59" t="str">
        <f t="array" ref="S850">IF(COUNTA(Q850:Q1644)=0,"",SUM((COUNTIF(Q$4:Q850,Upgrades!$B$3:$B$13)-COUNTIF(Q$4:Q850,"Sell_"&amp;Upgrades!$B$3:$B$13))*Upgrades!$D$3:$D$13))</f>
        <v/>
      </c>
      <c r="T850" s="66" t="str">
        <f>IFERROR(__xludf.DUMMYFUNCTION("IF(COUNTA(Q850:Q1644)=0,"""",IF(REGEXMATCH(INDEX(FILTER(Q$4:Q850,Q$4:Q850&lt;&gt;""""),ROWS(FILTER(Q$4:Q850,Q$4:Q850&lt;&gt;""""))),""^Sell_""),INDEX(FILTER(T$4:T849,Q$4:Q849&lt;&gt;""""),ROWS(FILTER(Q$4:Q849,Q$4:Q849&lt;&gt;""""))),$AD$5+S850))"),"")</f>
        <v/>
      </c>
      <c r="U850" s="10" t="str">
        <f>IFERROR(__xludf.DUMMYFUNCTION("IF(COUNTA(Q850:Q1644)=0,"""",IF(Q850="""",0,IF(REGEXMATCH(Q850,""^Sell_""),-ROUNDDOWN(ROUNDUP(INDEX(Upgrades!$C$3:$C$13,MATCH(SUBSTITUTE(Q850,""Sell_"",""""),Upgrades!$B$3:$B$13,0))*1.15^(COUNTIF(Q$4:Q849,SUBSTITUTE(Q850,""Sell_"",""""))-COUNTIF(Q$4:Q849,"&amp;"""Sell_""&amp;SUBSTITUTE(Q850,""Sell_"",""""))))/2),ROUNDUP(INDEX(Upgrades!$C$3:$C$13,MATCH(Q850,Upgrades!$B$3:$B$13,0))*1.15^(COUNTIF(Q$4:Q849,Q850)-COUNTIF(Q$4:Q849,""Sell_""&amp;Q850))))))"),"")</f>
        <v/>
      </c>
      <c r="V850" s="10" t="str">
        <f t="shared" si="11"/>
        <v/>
      </c>
      <c r="W850" s="68" t="str">
        <f t="shared" si="12"/>
        <v/>
      </c>
      <c r="X850" s="59" t="str">
        <f t="shared" si="13"/>
        <v/>
      </c>
      <c r="Y850" s="69" t="str">
        <f t="shared" si="14"/>
        <v/>
      </c>
      <c r="Z850" s="11"/>
      <c r="AG850" s="59"/>
    </row>
    <row r="851">
      <c r="A851" s="8"/>
      <c r="B851" s="56" t="str">
        <f t="shared" si="2"/>
        <v/>
      </c>
      <c r="C851" s="105"/>
      <c r="D851" s="10"/>
      <c r="E851" s="59" t="str">
        <f t="array" ref="E851">IF(COUNTA(C851:C1644)=0,"",SUM((COUNTIF(C$4:C851,Upgrades!$B$3:$B$13)-COUNTIF(C$4:C851,"Sell_"&amp;Upgrades!$B$3:$B$13))*Upgrades!$D$3:$D$13))</f>
        <v/>
      </c>
      <c r="F851" s="66" t="str">
        <f>IFERROR(__xludf.DUMMYFUNCTION("IF(COUNTA(C851:C1644)=0,"""",IF(REGEXMATCH(INDEX(FILTER(C$4:C851,C$4:C851&lt;&gt;""""),ROWS(FILTER(C$4:C851,C$4:C851&lt;&gt;""""))),""^Sell_""),INDEX(FILTER(F$4:F850,C$4:C850&lt;&gt;""""),ROWS(FILTER(C$4:C850,C$4:C850&lt;&gt;""""))),$AC$5+E851))"),"")</f>
        <v/>
      </c>
      <c r="G851" s="10" t="str">
        <f>IFERROR(__xludf.DUMMYFUNCTION("IF(COUNTA(C851:C1644)=0,"""",IF(C851="""",0,IF(REGEXMATCH(C851,""^Sell_""),-ROUNDDOWN(ROUNDUP(INDEX(Upgrades!$C$3:$C$13,MATCH(SUBSTITUTE(C851,""Sell_"",""""),Upgrades!$B$3:$B$13,0))*1.15^(COUNTIF(C$4:C850,SUBSTITUTE(C851,""Sell_"",""""))-COUNTIF(C$4:C850,"&amp;"""Sell_""&amp;SUBSTITUTE(C851,""Sell_"",""""))))/2),ROUNDUP(INDEX(Upgrades!$C$3:$C$13,MATCH(C851,Upgrades!$B$3:$B$13,0))*1.15^(COUNTIF(C$4:C850,C851)-COUNTIF(C$4:C850,""Sell_""&amp;C851))))))"),"")</f>
        <v/>
      </c>
      <c r="H851" s="10" t="str">
        <f t="shared" si="3"/>
        <v/>
      </c>
      <c r="I851" s="68" t="str">
        <f t="shared" si="4"/>
        <v/>
      </c>
      <c r="J851" s="59" t="str">
        <f t="shared" si="5"/>
        <v/>
      </c>
      <c r="K851" s="69" t="str">
        <f t="shared" si="6"/>
        <v/>
      </c>
      <c r="L851" s="60" t="str">
        <f t="shared" si="7"/>
        <v/>
      </c>
      <c r="M851" s="61" t="str">
        <f>IFERROR(__xludf.DUMMYFUNCTION("IFS(AND(COUNTA(C851:C1644)=0,COUNTA(Q851:Q1644)=0),"""",OR(AND(K851&gt;=1000000000,OR(Y851&gt;=1000000000,COUNTA(Q851:Q1644)=0)),OR(Y851&gt;=1000000000,AND(COUNTA(C851:C1644)=0,P$3=TRUE))),
ROUNDDOWN((AB$1-AC$1)*MAX(INDEX(T$4:T1644,MATCH(LARGE(FILTER(Y$4:Y1644,Y$4"&amp;":Y1644&lt;1000000000),1),Y$4:Y1644)),INDEX(F$4:F1644,MATCH(LARGE(FILTER(K$4:K1644,K$4:K1644&lt;1000000000),1),K$4:K1644)))),AND(K851&lt;1000000000,COUNTA(C851:C1644)&gt;0,P$3=FALSE),
ROUNDDOWN(INDEX(Y$4:Y1644,MATCH(LARGE(FILTER(W$4:W1644,W$4:W1644&lt;=I851),1),W$4:W1644"&amp;"))+(I851-LARGE(FILTER(W$4:W1644,W$4:W1644&lt;=I851),1))*INDEX(T$4:T1644,MATCH(LARGE(FILTER(W$4:W1644,W$4:W1644&lt;=I851),1),W$4:W1644))-K851),1,
ROUNDDOWN(Y851-INDEX(K$4:K1644,MATCH(LARGE(FILTER(I$4:I1644,I$4:I1644&lt;=W851),1),I$4:I1644))-(W851-LARGE(FILTER(I$4:I"&amp;"1644,I$4:I1644&lt;=W851),1))*INDEX(F$4:F1644,MATCH(LARGE(FILTER(I$4:I1644,I$4:I1644&lt;=W851),1),I$4:I1644))))"),"")</f>
        <v/>
      </c>
      <c r="N851" s="60" t="str">
        <f t="shared" si="8"/>
        <v/>
      </c>
      <c r="O851" s="61" t="str">
        <f t="shared" si="9"/>
        <v/>
      </c>
      <c r="P851" s="56" t="str">
        <f t="shared" si="10"/>
        <v/>
      </c>
      <c r="Q851" s="105"/>
      <c r="R851" s="10"/>
      <c r="S851" s="59" t="str">
        <f t="array" ref="S851">IF(COUNTA(Q851:Q1644)=0,"",SUM((COUNTIF(Q$4:Q851,Upgrades!$B$3:$B$13)-COUNTIF(Q$4:Q851,"Sell_"&amp;Upgrades!$B$3:$B$13))*Upgrades!$D$3:$D$13))</f>
        <v/>
      </c>
      <c r="T851" s="66" t="str">
        <f>IFERROR(__xludf.DUMMYFUNCTION("IF(COUNTA(Q851:Q1644)=0,"""",IF(REGEXMATCH(INDEX(FILTER(Q$4:Q851,Q$4:Q851&lt;&gt;""""),ROWS(FILTER(Q$4:Q851,Q$4:Q851&lt;&gt;""""))),""^Sell_""),INDEX(FILTER(T$4:T850,Q$4:Q850&lt;&gt;""""),ROWS(FILTER(Q$4:Q850,Q$4:Q850&lt;&gt;""""))),$AD$5+S851))"),"")</f>
        <v/>
      </c>
      <c r="U851" s="10" t="str">
        <f>IFERROR(__xludf.DUMMYFUNCTION("IF(COUNTA(Q851:Q1644)=0,"""",IF(Q851="""",0,IF(REGEXMATCH(Q851,""^Sell_""),-ROUNDDOWN(ROUNDUP(INDEX(Upgrades!$C$3:$C$13,MATCH(SUBSTITUTE(Q851,""Sell_"",""""),Upgrades!$B$3:$B$13,0))*1.15^(COUNTIF(Q$4:Q850,SUBSTITUTE(Q851,""Sell_"",""""))-COUNTIF(Q$4:Q850,"&amp;"""Sell_""&amp;SUBSTITUTE(Q851,""Sell_"",""""))))/2),ROUNDUP(INDEX(Upgrades!$C$3:$C$13,MATCH(Q851,Upgrades!$B$3:$B$13,0))*1.15^(COUNTIF(Q$4:Q850,Q851)-COUNTIF(Q$4:Q850,""Sell_""&amp;Q851))))))"),"")</f>
        <v/>
      </c>
      <c r="V851" s="10" t="str">
        <f t="shared" si="11"/>
        <v/>
      </c>
      <c r="W851" s="68" t="str">
        <f t="shared" si="12"/>
        <v/>
      </c>
      <c r="X851" s="59" t="str">
        <f t="shared" si="13"/>
        <v/>
      </c>
      <c r="Y851" s="69" t="str">
        <f t="shared" si="14"/>
        <v/>
      </c>
      <c r="Z851" s="11"/>
      <c r="AG851" s="59"/>
    </row>
    <row r="852">
      <c r="A852" s="8"/>
      <c r="B852" s="56" t="str">
        <f t="shared" si="2"/>
        <v/>
      </c>
      <c r="C852" s="105"/>
      <c r="D852" s="10"/>
      <c r="E852" s="59" t="str">
        <f t="array" ref="E852">IF(COUNTA(C852:C1644)=0,"",SUM((COUNTIF(C$4:C852,Upgrades!$B$3:$B$13)-COUNTIF(C$4:C852,"Sell_"&amp;Upgrades!$B$3:$B$13))*Upgrades!$D$3:$D$13))</f>
        <v/>
      </c>
      <c r="F852" s="66" t="str">
        <f>IFERROR(__xludf.DUMMYFUNCTION("IF(COUNTA(C852:C1644)=0,"""",IF(REGEXMATCH(INDEX(FILTER(C$4:C852,C$4:C852&lt;&gt;""""),ROWS(FILTER(C$4:C852,C$4:C852&lt;&gt;""""))),""^Sell_""),INDEX(FILTER(F$4:F851,C$4:C851&lt;&gt;""""),ROWS(FILTER(C$4:C851,C$4:C851&lt;&gt;""""))),$AC$5+E852))"),"")</f>
        <v/>
      </c>
      <c r="G852" s="10" t="str">
        <f>IFERROR(__xludf.DUMMYFUNCTION("IF(COUNTA(C852:C1644)=0,"""",IF(C852="""",0,IF(REGEXMATCH(C852,""^Sell_""),-ROUNDDOWN(ROUNDUP(INDEX(Upgrades!$C$3:$C$13,MATCH(SUBSTITUTE(C852,""Sell_"",""""),Upgrades!$B$3:$B$13,0))*1.15^(COUNTIF(C$4:C851,SUBSTITUTE(C852,""Sell_"",""""))-COUNTIF(C$4:C851,"&amp;"""Sell_""&amp;SUBSTITUTE(C852,""Sell_"",""""))))/2),ROUNDUP(INDEX(Upgrades!$C$3:$C$13,MATCH(C852,Upgrades!$B$3:$B$13,0))*1.15^(COUNTIF(C$4:C851,C852)-COUNTIF(C$4:C851,""Sell_""&amp;C852))))))"),"")</f>
        <v/>
      </c>
      <c r="H852" s="10" t="str">
        <f t="shared" si="3"/>
        <v/>
      </c>
      <c r="I852" s="68" t="str">
        <f t="shared" si="4"/>
        <v/>
      </c>
      <c r="J852" s="59" t="str">
        <f t="shared" si="5"/>
        <v/>
      </c>
      <c r="K852" s="69" t="str">
        <f t="shared" si="6"/>
        <v/>
      </c>
      <c r="L852" s="60" t="str">
        <f t="shared" si="7"/>
        <v/>
      </c>
      <c r="M852" s="61" t="str">
        <f>IFERROR(__xludf.DUMMYFUNCTION("IFS(AND(COUNTA(C852:C1644)=0,COUNTA(Q852:Q1644)=0),"""",OR(AND(K852&gt;=1000000000,OR(Y852&gt;=1000000000,COUNTA(Q852:Q1644)=0)),OR(Y852&gt;=1000000000,AND(COUNTA(C852:C1644)=0,P$3=TRUE))),
ROUNDDOWN((AB$1-AC$1)*MAX(INDEX(T$4:T1644,MATCH(LARGE(FILTER(Y$4:Y1644,Y$4"&amp;":Y1644&lt;1000000000),1),Y$4:Y1644)),INDEX(F$4:F1644,MATCH(LARGE(FILTER(K$4:K1644,K$4:K1644&lt;1000000000),1),K$4:K1644)))),AND(K852&lt;1000000000,COUNTA(C852:C1644)&gt;0,P$3=FALSE),
ROUNDDOWN(INDEX(Y$4:Y1644,MATCH(LARGE(FILTER(W$4:W1644,W$4:W1644&lt;=I852),1),W$4:W1644"&amp;"))+(I852-LARGE(FILTER(W$4:W1644,W$4:W1644&lt;=I852),1))*INDEX(T$4:T1644,MATCH(LARGE(FILTER(W$4:W1644,W$4:W1644&lt;=I852),1),W$4:W1644))-K852),1,
ROUNDDOWN(Y852-INDEX(K$4:K1644,MATCH(LARGE(FILTER(I$4:I1644,I$4:I1644&lt;=W852),1),I$4:I1644))-(W852-LARGE(FILTER(I$4:I"&amp;"1644,I$4:I1644&lt;=W852),1))*INDEX(F$4:F1644,MATCH(LARGE(FILTER(I$4:I1644,I$4:I1644&lt;=W852),1),I$4:I1644))))"),"")</f>
        <v/>
      </c>
      <c r="N852" s="60" t="str">
        <f t="shared" si="8"/>
        <v/>
      </c>
      <c r="O852" s="61" t="str">
        <f t="shared" si="9"/>
        <v/>
      </c>
      <c r="P852" s="56" t="str">
        <f t="shared" si="10"/>
        <v/>
      </c>
      <c r="Q852" s="105"/>
      <c r="R852" s="10"/>
      <c r="S852" s="59" t="str">
        <f t="array" ref="S852">IF(COUNTA(Q852:Q1644)=0,"",SUM((COUNTIF(Q$4:Q852,Upgrades!$B$3:$B$13)-COUNTIF(Q$4:Q852,"Sell_"&amp;Upgrades!$B$3:$B$13))*Upgrades!$D$3:$D$13))</f>
        <v/>
      </c>
      <c r="T852" s="66" t="str">
        <f>IFERROR(__xludf.DUMMYFUNCTION("IF(COUNTA(Q852:Q1644)=0,"""",IF(REGEXMATCH(INDEX(FILTER(Q$4:Q852,Q$4:Q852&lt;&gt;""""),ROWS(FILTER(Q$4:Q852,Q$4:Q852&lt;&gt;""""))),""^Sell_""),INDEX(FILTER(T$4:T851,Q$4:Q851&lt;&gt;""""),ROWS(FILTER(Q$4:Q851,Q$4:Q851&lt;&gt;""""))),$AD$5+S852))"),"")</f>
        <v/>
      </c>
      <c r="U852" s="10" t="str">
        <f>IFERROR(__xludf.DUMMYFUNCTION("IF(COUNTA(Q852:Q1644)=0,"""",IF(Q852="""",0,IF(REGEXMATCH(Q852,""^Sell_""),-ROUNDDOWN(ROUNDUP(INDEX(Upgrades!$C$3:$C$13,MATCH(SUBSTITUTE(Q852,""Sell_"",""""),Upgrades!$B$3:$B$13,0))*1.15^(COUNTIF(Q$4:Q851,SUBSTITUTE(Q852,""Sell_"",""""))-COUNTIF(Q$4:Q851,"&amp;"""Sell_""&amp;SUBSTITUTE(Q852,""Sell_"",""""))))/2),ROUNDUP(INDEX(Upgrades!$C$3:$C$13,MATCH(Q852,Upgrades!$B$3:$B$13,0))*1.15^(COUNTIF(Q$4:Q851,Q852)-COUNTIF(Q$4:Q851,""Sell_""&amp;Q852))))))"),"")</f>
        <v/>
      </c>
      <c r="V852" s="10" t="str">
        <f t="shared" si="11"/>
        <v/>
      </c>
      <c r="W852" s="68" t="str">
        <f t="shared" si="12"/>
        <v/>
      </c>
      <c r="X852" s="59" t="str">
        <f t="shared" si="13"/>
        <v/>
      </c>
      <c r="Y852" s="69" t="str">
        <f t="shared" si="14"/>
        <v/>
      </c>
      <c r="Z852" s="11"/>
      <c r="AG852" s="59"/>
    </row>
    <row r="853">
      <c r="A853" s="8"/>
      <c r="B853" s="56" t="str">
        <f t="shared" si="2"/>
        <v/>
      </c>
      <c r="C853" s="105"/>
      <c r="D853" s="10"/>
      <c r="E853" s="59" t="str">
        <f t="array" ref="E853">IF(COUNTA(C853:C1644)=0,"",SUM((COUNTIF(C$4:C853,Upgrades!$B$3:$B$13)-COUNTIF(C$4:C853,"Sell_"&amp;Upgrades!$B$3:$B$13))*Upgrades!$D$3:$D$13))</f>
        <v/>
      </c>
      <c r="F853" s="66" t="str">
        <f>IFERROR(__xludf.DUMMYFUNCTION("IF(COUNTA(C853:C1644)=0,"""",IF(REGEXMATCH(INDEX(FILTER(C$4:C853,C$4:C853&lt;&gt;""""),ROWS(FILTER(C$4:C853,C$4:C853&lt;&gt;""""))),""^Sell_""),INDEX(FILTER(F$4:F852,C$4:C852&lt;&gt;""""),ROWS(FILTER(C$4:C852,C$4:C852&lt;&gt;""""))),$AC$5+E853))"),"")</f>
        <v/>
      </c>
      <c r="G853" s="10" t="str">
        <f>IFERROR(__xludf.DUMMYFUNCTION("IF(COUNTA(C853:C1644)=0,"""",IF(C853="""",0,IF(REGEXMATCH(C853,""^Sell_""),-ROUNDDOWN(ROUNDUP(INDEX(Upgrades!$C$3:$C$13,MATCH(SUBSTITUTE(C853,""Sell_"",""""),Upgrades!$B$3:$B$13,0))*1.15^(COUNTIF(C$4:C852,SUBSTITUTE(C853,""Sell_"",""""))-COUNTIF(C$4:C852,"&amp;"""Sell_""&amp;SUBSTITUTE(C853,""Sell_"",""""))))/2),ROUNDUP(INDEX(Upgrades!$C$3:$C$13,MATCH(C853,Upgrades!$B$3:$B$13,0))*1.15^(COUNTIF(C$4:C852,C853)-COUNTIF(C$4:C852,""Sell_""&amp;C853))))))"),"")</f>
        <v/>
      </c>
      <c r="H853" s="10" t="str">
        <f t="shared" si="3"/>
        <v/>
      </c>
      <c r="I853" s="68" t="str">
        <f t="shared" si="4"/>
        <v/>
      </c>
      <c r="J853" s="59" t="str">
        <f t="shared" si="5"/>
        <v/>
      </c>
      <c r="K853" s="69" t="str">
        <f t="shared" si="6"/>
        <v/>
      </c>
      <c r="L853" s="60" t="str">
        <f t="shared" si="7"/>
        <v/>
      </c>
      <c r="M853" s="61" t="str">
        <f>IFERROR(__xludf.DUMMYFUNCTION("IFS(AND(COUNTA(C853:C1644)=0,COUNTA(Q853:Q1644)=0),"""",OR(AND(K853&gt;=1000000000,OR(Y853&gt;=1000000000,COUNTA(Q853:Q1644)=0)),OR(Y853&gt;=1000000000,AND(COUNTA(C853:C1644)=0,P$3=TRUE))),
ROUNDDOWN((AB$1-AC$1)*MAX(INDEX(T$4:T1644,MATCH(LARGE(FILTER(Y$4:Y1644,Y$4"&amp;":Y1644&lt;1000000000),1),Y$4:Y1644)),INDEX(F$4:F1644,MATCH(LARGE(FILTER(K$4:K1644,K$4:K1644&lt;1000000000),1),K$4:K1644)))),AND(K853&lt;1000000000,COUNTA(C853:C1644)&gt;0,P$3=FALSE),
ROUNDDOWN(INDEX(Y$4:Y1644,MATCH(LARGE(FILTER(W$4:W1644,W$4:W1644&lt;=I853),1),W$4:W1644"&amp;"))+(I853-LARGE(FILTER(W$4:W1644,W$4:W1644&lt;=I853),1))*INDEX(T$4:T1644,MATCH(LARGE(FILTER(W$4:W1644,W$4:W1644&lt;=I853),1),W$4:W1644))-K853),1,
ROUNDDOWN(Y853-INDEX(K$4:K1644,MATCH(LARGE(FILTER(I$4:I1644,I$4:I1644&lt;=W853),1),I$4:I1644))-(W853-LARGE(FILTER(I$4:I"&amp;"1644,I$4:I1644&lt;=W853),1))*INDEX(F$4:F1644,MATCH(LARGE(FILTER(I$4:I1644,I$4:I1644&lt;=W853),1),I$4:I1644))))"),"")</f>
        <v/>
      </c>
      <c r="N853" s="60" t="str">
        <f t="shared" si="8"/>
        <v/>
      </c>
      <c r="O853" s="61" t="str">
        <f t="shared" si="9"/>
        <v/>
      </c>
      <c r="P853" s="56" t="str">
        <f t="shared" si="10"/>
        <v/>
      </c>
      <c r="Q853" s="105"/>
      <c r="R853" s="10"/>
      <c r="S853" s="59" t="str">
        <f t="array" ref="S853">IF(COUNTA(Q853:Q1644)=0,"",SUM((COUNTIF(Q$4:Q853,Upgrades!$B$3:$B$13)-COUNTIF(Q$4:Q853,"Sell_"&amp;Upgrades!$B$3:$B$13))*Upgrades!$D$3:$D$13))</f>
        <v/>
      </c>
      <c r="T853" s="66" t="str">
        <f>IFERROR(__xludf.DUMMYFUNCTION("IF(COUNTA(Q853:Q1644)=0,"""",IF(REGEXMATCH(INDEX(FILTER(Q$4:Q853,Q$4:Q853&lt;&gt;""""),ROWS(FILTER(Q$4:Q853,Q$4:Q853&lt;&gt;""""))),""^Sell_""),INDEX(FILTER(T$4:T852,Q$4:Q852&lt;&gt;""""),ROWS(FILTER(Q$4:Q852,Q$4:Q852&lt;&gt;""""))),$AD$5+S853))"),"")</f>
        <v/>
      </c>
      <c r="U853" s="10" t="str">
        <f>IFERROR(__xludf.DUMMYFUNCTION("IF(COUNTA(Q853:Q1644)=0,"""",IF(Q853="""",0,IF(REGEXMATCH(Q853,""^Sell_""),-ROUNDDOWN(ROUNDUP(INDEX(Upgrades!$C$3:$C$13,MATCH(SUBSTITUTE(Q853,""Sell_"",""""),Upgrades!$B$3:$B$13,0))*1.15^(COUNTIF(Q$4:Q852,SUBSTITUTE(Q853,""Sell_"",""""))-COUNTIF(Q$4:Q852,"&amp;"""Sell_""&amp;SUBSTITUTE(Q853,""Sell_"",""""))))/2),ROUNDUP(INDEX(Upgrades!$C$3:$C$13,MATCH(Q853,Upgrades!$B$3:$B$13,0))*1.15^(COUNTIF(Q$4:Q852,Q853)-COUNTIF(Q$4:Q852,""Sell_""&amp;Q853))))))"),"")</f>
        <v/>
      </c>
      <c r="V853" s="10" t="str">
        <f t="shared" si="11"/>
        <v/>
      </c>
      <c r="W853" s="68" t="str">
        <f t="shared" si="12"/>
        <v/>
      </c>
      <c r="X853" s="59" t="str">
        <f t="shared" si="13"/>
        <v/>
      </c>
      <c r="Y853" s="69" t="str">
        <f t="shared" si="14"/>
        <v/>
      </c>
      <c r="Z853" s="11"/>
      <c r="AG853" s="59"/>
    </row>
    <row r="854">
      <c r="A854" s="8"/>
      <c r="B854" s="56" t="str">
        <f t="shared" si="2"/>
        <v/>
      </c>
      <c r="C854" s="105"/>
      <c r="D854" s="10"/>
      <c r="E854" s="59" t="str">
        <f t="array" ref="E854">IF(COUNTA(C854:C1644)=0,"",SUM((COUNTIF(C$4:C854,Upgrades!$B$3:$B$13)-COUNTIF(C$4:C854,"Sell_"&amp;Upgrades!$B$3:$B$13))*Upgrades!$D$3:$D$13))</f>
        <v/>
      </c>
      <c r="F854" s="66" t="str">
        <f>IFERROR(__xludf.DUMMYFUNCTION("IF(COUNTA(C854:C1644)=0,"""",IF(REGEXMATCH(INDEX(FILTER(C$4:C854,C$4:C854&lt;&gt;""""),ROWS(FILTER(C$4:C854,C$4:C854&lt;&gt;""""))),""^Sell_""),INDEX(FILTER(F$4:F853,C$4:C853&lt;&gt;""""),ROWS(FILTER(C$4:C853,C$4:C853&lt;&gt;""""))),$AC$5+E854))"),"")</f>
        <v/>
      </c>
      <c r="G854" s="10" t="str">
        <f>IFERROR(__xludf.DUMMYFUNCTION("IF(COUNTA(C854:C1644)=0,"""",IF(C854="""",0,IF(REGEXMATCH(C854,""^Sell_""),-ROUNDDOWN(ROUNDUP(INDEX(Upgrades!$C$3:$C$13,MATCH(SUBSTITUTE(C854,""Sell_"",""""),Upgrades!$B$3:$B$13,0))*1.15^(COUNTIF(C$4:C853,SUBSTITUTE(C854,""Sell_"",""""))-COUNTIF(C$4:C853,"&amp;"""Sell_""&amp;SUBSTITUTE(C854,""Sell_"",""""))))/2),ROUNDUP(INDEX(Upgrades!$C$3:$C$13,MATCH(C854,Upgrades!$B$3:$B$13,0))*1.15^(COUNTIF(C$4:C853,C854)-COUNTIF(C$4:C853,""Sell_""&amp;C854))))))"),"")</f>
        <v/>
      </c>
      <c r="H854" s="10" t="str">
        <f t="shared" si="3"/>
        <v/>
      </c>
      <c r="I854" s="68" t="str">
        <f t="shared" si="4"/>
        <v/>
      </c>
      <c r="J854" s="59" t="str">
        <f t="shared" si="5"/>
        <v/>
      </c>
      <c r="K854" s="69" t="str">
        <f t="shared" si="6"/>
        <v/>
      </c>
      <c r="L854" s="60" t="str">
        <f t="shared" si="7"/>
        <v/>
      </c>
      <c r="M854" s="61" t="str">
        <f>IFERROR(__xludf.DUMMYFUNCTION("IFS(AND(COUNTA(C854:C1644)=0,COUNTA(Q854:Q1644)=0),"""",OR(AND(K854&gt;=1000000000,OR(Y854&gt;=1000000000,COUNTA(Q854:Q1644)=0)),OR(Y854&gt;=1000000000,AND(COUNTA(C854:C1644)=0,P$3=TRUE))),
ROUNDDOWN((AB$1-AC$1)*MAX(INDEX(T$4:T1644,MATCH(LARGE(FILTER(Y$4:Y1644,Y$4"&amp;":Y1644&lt;1000000000),1),Y$4:Y1644)),INDEX(F$4:F1644,MATCH(LARGE(FILTER(K$4:K1644,K$4:K1644&lt;1000000000),1),K$4:K1644)))),AND(K854&lt;1000000000,COUNTA(C854:C1644)&gt;0,P$3=FALSE),
ROUNDDOWN(INDEX(Y$4:Y1644,MATCH(LARGE(FILTER(W$4:W1644,W$4:W1644&lt;=I854),1),W$4:W1644"&amp;"))+(I854-LARGE(FILTER(W$4:W1644,W$4:W1644&lt;=I854),1))*INDEX(T$4:T1644,MATCH(LARGE(FILTER(W$4:W1644,W$4:W1644&lt;=I854),1),W$4:W1644))-K854),1,
ROUNDDOWN(Y854-INDEX(K$4:K1644,MATCH(LARGE(FILTER(I$4:I1644,I$4:I1644&lt;=W854),1),I$4:I1644))-(W854-LARGE(FILTER(I$4:I"&amp;"1644,I$4:I1644&lt;=W854),1))*INDEX(F$4:F1644,MATCH(LARGE(FILTER(I$4:I1644,I$4:I1644&lt;=W854),1),I$4:I1644))))"),"")</f>
        <v/>
      </c>
      <c r="N854" s="60" t="str">
        <f t="shared" si="8"/>
        <v/>
      </c>
      <c r="O854" s="61" t="str">
        <f t="shared" si="9"/>
        <v/>
      </c>
      <c r="P854" s="56" t="str">
        <f t="shared" si="10"/>
        <v/>
      </c>
      <c r="Q854" s="105"/>
      <c r="R854" s="10"/>
      <c r="S854" s="59" t="str">
        <f t="array" ref="S854">IF(COUNTA(Q854:Q1644)=0,"",SUM((COUNTIF(Q$4:Q854,Upgrades!$B$3:$B$13)-COUNTIF(Q$4:Q854,"Sell_"&amp;Upgrades!$B$3:$B$13))*Upgrades!$D$3:$D$13))</f>
        <v/>
      </c>
      <c r="T854" s="66" t="str">
        <f>IFERROR(__xludf.DUMMYFUNCTION("IF(COUNTA(Q854:Q1644)=0,"""",IF(REGEXMATCH(INDEX(FILTER(Q$4:Q854,Q$4:Q854&lt;&gt;""""),ROWS(FILTER(Q$4:Q854,Q$4:Q854&lt;&gt;""""))),""^Sell_""),INDEX(FILTER(T$4:T853,Q$4:Q853&lt;&gt;""""),ROWS(FILTER(Q$4:Q853,Q$4:Q853&lt;&gt;""""))),$AD$5+S854))"),"")</f>
        <v/>
      </c>
      <c r="U854" s="10" t="str">
        <f>IFERROR(__xludf.DUMMYFUNCTION("IF(COUNTA(Q854:Q1644)=0,"""",IF(Q854="""",0,IF(REGEXMATCH(Q854,""^Sell_""),-ROUNDDOWN(ROUNDUP(INDEX(Upgrades!$C$3:$C$13,MATCH(SUBSTITUTE(Q854,""Sell_"",""""),Upgrades!$B$3:$B$13,0))*1.15^(COUNTIF(Q$4:Q853,SUBSTITUTE(Q854,""Sell_"",""""))-COUNTIF(Q$4:Q853,"&amp;"""Sell_""&amp;SUBSTITUTE(Q854,""Sell_"",""""))))/2),ROUNDUP(INDEX(Upgrades!$C$3:$C$13,MATCH(Q854,Upgrades!$B$3:$B$13,0))*1.15^(COUNTIF(Q$4:Q853,Q854)-COUNTIF(Q$4:Q853,""Sell_""&amp;Q854))))))"),"")</f>
        <v/>
      </c>
      <c r="V854" s="10" t="str">
        <f t="shared" si="11"/>
        <v/>
      </c>
      <c r="W854" s="68" t="str">
        <f t="shared" si="12"/>
        <v/>
      </c>
      <c r="X854" s="59" t="str">
        <f t="shared" si="13"/>
        <v/>
      </c>
      <c r="Y854" s="69" t="str">
        <f t="shared" si="14"/>
        <v/>
      </c>
      <c r="Z854" s="11"/>
      <c r="AG854" s="59"/>
    </row>
    <row r="855">
      <c r="A855" s="8"/>
      <c r="B855" s="56" t="str">
        <f t="shared" si="2"/>
        <v/>
      </c>
      <c r="C855" s="105"/>
      <c r="D855" s="10"/>
      <c r="E855" s="59" t="str">
        <f t="array" ref="E855">IF(COUNTA(C855:C1644)=0,"",SUM((COUNTIF(C$4:C855,Upgrades!$B$3:$B$13)-COUNTIF(C$4:C855,"Sell_"&amp;Upgrades!$B$3:$B$13))*Upgrades!$D$3:$D$13))</f>
        <v/>
      </c>
      <c r="F855" s="66" t="str">
        <f>IFERROR(__xludf.DUMMYFUNCTION("IF(COUNTA(C855:C1644)=0,"""",IF(REGEXMATCH(INDEX(FILTER(C$4:C855,C$4:C855&lt;&gt;""""),ROWS(FILTER(C$4:C855,C$4:C855&lt;&gt;""""))),""^Sell_""),INDEX(FILTER(F$4:F854,C$4:C854&lt;&gt;""""),ROWS(FILTER(C$4:C854,C$4:C854&lt;&gt;""""))),$AC$5+E855))"),"")</f>
        <v/>
      </c>
      <c r="G855" s="10" t="str">
        <f>IFERROR(__xludf.DUMMYFUNCTION("IF(COUNTA(C855:C1644)=0,"""",IF(C855="""",0,IF(REGEXMATCH(C855,""^Sell_""),-ROUNDDOWN(ROUNDUP(INDEX(Upgrades!$C$3:$C$13,MATCH(SUBSTITUTE(C855,""Sell_"",""""),Upgrades!$B$3:$B$13,0))*1.15^(COUNTIF(C$4:C854,SUBSTITUTE(C855,""Sell_"",""""))-COUNTIF(C$4:C854,"&amp;"""Sell_""&amp;SUBSTITUTE(C855,""Sell_"",""""))))/2),ROUNDUP(INDEX(Upgrades!$C$3:$C$13,MATCH(C855,Upgrades!$B$3:$B$13,0))*1.15^(COUNTIF(C$4:C854,C855)-COUNTIF(C$4:C854,""Sell_""&amp;C855))))))"),"")</f>
        <v/>
      </c>
      <c r="H855" s="10" t="str">
        <f t="shared" si="3"/>
        <v/>
      </c>
      <c r="I855" s="68" t="str">
        <f t="shared" si="4"/>
        <v/>
      </c>
      <c r="J855" s="59" t="str">
        <f t="shared" si="5"/>
        <v/>
      </c>
      <c r="K855" s="69" t="str">
        <f t="shared" si="6"/>
        <v/>
      </c>
      <c r="L855" s="60" t="str">
        <f t="shared" si="7"/>
        <v/>
      </c>
      <c r="M855" s="61" t="str">
        <f>IFERROR(__xludf.DUMMYFUNCTION("IFS(AND(COUNTA(C855:C1644)=0,COUNTA(Q855:Q1644)=0),"""",OR(AND(K855&gt;=1000000000,OR(Y855&gt;=1000000000,COUNTA(Q855:Q1644)=0)),OR(Y855&gt;=1000000000,AND(COUNTA(C855:C1644)=0,P$3=TRUE))),
ROUNDDOWN((AB$1-AC$1)*MAX(INDEX(T$4:T1644,MATCH(LARGE(FILTER(Y$4:Y1644,Y$4"&amp;":Y1644&lt;1000000000),1),Y$4:Y1644)),INDEX(F$4:F1644,MATCH(LARGE(FILTER(K$4:K1644,K$4:K1644&lt;1000000000),1),K$4:K1644)))),AND(K855&lt;1000000000,COUNTA(C855:C1644)&gt;0,P$3=FALSE),
ROUNDDOWN(INDEX(Y$4:Y1644,MATCH(LARGE(FILTER(W$4:W1644,W$4:W1644&lt;=I855),1),W$4:W1644"&amp;"))+(I855-LARGE(FILTER(W$4:W1644,W$4:W1644&lt;=I855),1))*INDEX(T$4:T1644,MATCH(LARGE(FILTER(W$4:W1644,W$4:W1644&lt;=I855),1),W$4:W1644))-K855),1,
ROUNDDOWN(Y855-INDEX(K$4:K1644,MATCH(LARGE(FILTER(I$4:I1644,I$4:I1644&lt;=W855),1),I$4:I1644))-(W855-LARGE(FILTER(I$4:I"&amp;"1644,I$4:I1644&lt;=W855),1))*INDEX(F$4:F1644,MATCH(LARGE(FILTER(I$4:I1644,I$4:I1644&lt;=W855),1),I$4:I1644))))"),"")</f>
        <v/>
      </c>
      <c r="N855" s="60" t="str">
        <f t="shared" si="8"/>
        <v/>
      </c>
      <c r="O855" s="61" t="str">
        <f t="shared" si="9"/>
        <v/>
      </c>
      <c r="P855" s="56" t="str">
        <f t="shared" si="10"/>
        <v/>
      </c>
      <c r="Q855" s="105"/>
      <c r="R855" s="10"/>
      <c r="S855" s="59" t="str">
        <f t="array" ref="S855">IF(COUNTA(Q855:Q1644)=0,"",SUM((COUNTIF(Q$4:Q855,Upgrades!$B$3:$B$13)-COUNTIF(Q$4:Q855,"Sell_"&amp;Upgrades!$B$3:$B$13))*Upgrades!$D$3:$D$13))</f>
        <v/>
      </c>
      <c r="T855" s="66" t="str">
        <f>IFERROR(__xludf.DUMMYFUNCTION("IF(COUNTA(Q855:Q1644)=0,"""",IF(REGEXMATCH(INDEX(FILTER(Q$4:Q855,Q$4:Q855&lt;&gt;""""),ROWS(FILTER(Q$4:Q855,Q$4:Q855&lt;&gt;""""))),""^Sell_""),INDEX(FILTER(T$4:T854,Q$4:Q854&lt;&gt;""""),ROWS(FILTER(Q$4:Q854,Q$4:Q854&lt;&gt;""""))),$AD$5+S855))"),"")</f>
        <v/>
      </c>
      <c r="U855" s="10" t="str">
        <f>IFERROR(__xludf.DUMMYFUNCTION("IF(COUNTA(Q855:Q1644)=0,"""",IF(Q855="""",0,IF(REGEXMATCH(Q855,""^Sell_""),-ROUNDDOWN(ROUNDUP(INDEX(Upgrades!$C$3:$C$13,MATCH(SUBSTITUTE(Q855,""Sell_"",""""),Upgrades!$B$3:$B$13,0))*1.15^(COUNTIF(Q$4:Q854,SUBSTITUTE(Q855,""Sell_"",""""))-COUNTIF(Q$4:Q854,"&amp;"""Sell_""&amp;SUBSTITUTE(Q855,""Sell_"",""""))))/2),ROUNDUP(INDEX(Upgrades!$C$3:$C$13,MATCH(Q855,Upgrades!$B$3:$B$13,0))*1.15^(COUNTIF(Q$4:Q854,Q855)-COUNTIF(Q$4:Q854,""Sell_""&amp;Q855))))))"),"")</f>
        <v/>
      </c>
      <c r="V855" s="10" t="str">
        <f t="shared" si="11"/>
        <v/>
      </c>
      <c r="W855" s="68" t="str">
        <f t="shared" si="12"/>
        <v/>
      </c>
      <c r="X855" s="59" t="str">
        <f t="shared" si="13"/>
        <v/>
      </c>
      <c r="Y855" s="69" t="str">
        <f t="shared" si="14"/>
        <v/>
      </c>
      <c r="Z855" s="11"/>
      <c r="AG855" s="59"/>
    </row>
    <row r="856">
      <c r="A856" s="8"/>
      <c r="B856" s="56" t="str">
        <f t="shared" si="2"/>
        <v/>
      </c>
      <c r="C856" s="105"/>
      <c r="D856" s="10"/>
      <c r="E856" s="59" t="str">
        <f t="array" ref="E856">IF(COUNTA(C856:C1644)=0,"",SUM((COUNTIF(C$4:C856,Upgrades!$B$3:$B$13)-COUNTIF(C$4:C856,"Sell_"&amp;Upgrades!$B$3:$B$13))*Upgrades!$D$3:$D$13))</f>
        <v/>
      </c>
      <c r="F856" s="66" t="str">
        <f>IFERROR(__xludf.DUMMYFUNCTION("IF(COUNTA(C856:C1644)=0,"""",IF(REGEXMATCH(INDEX(FILTER(C$4:C856,C$4:C856&lt;&gt;""""),ROWS(FILTER(C$4:C856,C$4:C856&lt;&gt;""""))),""^Sell_""),INDEX(FILTER(F$4:F855,C$4:C855&lt;&gt;""""),ROWS(FILTER(C$4:C855,C$4:C855&lt;&gt;""""))),$AC$5+E856))"),"")</f>
        <v/>
      </c>
      <c r="G856" s="10" t="str">
        <f>IFERROR(__xludf.DUMMYFUNCTION("IF(COUNTA(C856:C1644)=0,"""",IF(C856="""",0,IF(REGEXMATCH(C856,""^Sell_""),-ROUNDDOWN(ROUNDUP(INDEX(Upgrades!$C$3:$C$13,MATCH(SUBSTITUTE(C856,""Sell_"",""""),Upgrades!$B$3:$B$13,0))*1.15^(COUNTIF(C$4:C855,SUBSTITUTE(C856,""Sell_"",""""))-COUNTIF(C$4:C855,"&amp;"""Sell_""&amp;SUBSTITUTE(C856,""Sell_"",""""))))/2),ROUNDUP(INDEX(Upgrades!$C$3:$C$13,MATCH(C856,Upgrades!$B$3:$B$13,0))*1.15^(COUNTIF(C$4:C855,C856)-COUNTIF(C$4:C855,""Sell_""&amp;C856))))))"),"")</f>
        <v/>
      </c>
      <c r="H856" s="10" t="str">
        <f t="shared" si="3"/>
        <v/>
      </c>
      <c r="I856" s="68" t="str">
        <f t="shared" si="4"/>
        <v/>
      </c>
      <c r="J856" s="59" t="str">
        <f t="shared" si="5"/>
        <v/>
      </c>
      <c r="K856" s="69" t="str">
        <f t="shared" si="6"/>
        <v/>
      </c>
      <c r="L856" s="60" t="str">
        <f t="shared" si="7"/>
        <v/>
      </c>
      <c r="M856" s="61" t="str">
        <f>IFERROR(__xludf.DUMMYFUNCTION("IFS(AND(COUNTA(C856:C1644)=0,COUNTA(Q856:Q1644)=0),"""",OR(AND(K856&gt;=1000000000,OR(Y856&gt;=1000000000,COUNTA(Q856:Q1644)=0)),OR(Y856&gt;=1000000000,AND(COUNTA(C856:C1644)=0,P$3=TRUE))),
ROUNDDOWN((AB$1-AC$1)*MAX(INDEX(T$4:T1644,MATCH(LARGE(FILTER(Y$4:Y1644,Y$4"&amp;":Y1644&lt;1000000000),1),Y$4:Y1644)),INDEX(F$4:F1644,MATCH(LARGE(FILTER(K$4:K1644,K$4:K1644&lt;1000000000),1),K$4:K1644)))),AND(K856&lt;1000000000,COUNTA(C856:C1644)&gt;0,P$3=FALSE),
ROUNDDOWN(INDEX(Y$4:Y1644,MATCH(LARGE(FILTER(W$4:W1644,W$4:W1644&lt;=I856),1),W$4:W1644"&amp;"))+(I856-LARGE(FILTER(W$4:W1644,W$4:W1644&lt;=I856),1))*INDEX(T$4:T1644,MATCH(LARGE(FILTER(W$4:W1644,W$4:W1644&lt;=I856),1),W$4:W1644))-K856),1,
ROUNDDOWN(Y856-INDEX(K$4:K1644,MATCH(LARGE(FILTER(I$4:I1644,I$4:I1644&lt;=W856),1),I$4:I1644))-(W856-LARGE(FILTER(I$4:I"&amp;"1644,I$4:I1644&lt;=W856),1))*INDEX(F$4:F1644,MATCH(LARGE(FILTER(I$4:I1644,I$4:I1644&lt;=W856),1),I$4:I1644))))"),"")</f>
        <v/>
      </c>
      <c r="N856" s="60" t="str">
        <f t="shared" si="8"/>
        <v/>
      </c>
      <c r="O856" s="61" t="str">
        <f t="shared" si="9"/>
        <v/>
      </c>
      <c r="P856" s="56" t="str">
        <f t="shared" si="10"/>
        <v/>
      </c>
      <c r="Q856" s="105"/>
      <c r="R856" s="10"/>
      <c r="S856" s="59" t="str">
        <f t="array" ref="S856">IF(COUNTA(Q856:Q1644)=0,"",SUM((COUNTIF(Q$4:Q856,Upgrades!$B$3:$B$13)-COUNTIF(Q$4:Q856,"Sell_"&amp;Upgrades!$B$3:$B$13))*Upgrades!$D$3:$D$13))</f>
        <v/>
      </c>
      <c r="T856" s="66" t="str">
        <f>IFERROR(__xludf.DUMMYFUNCTION("IF(COUNTA(Q856:Q1644)=0,"""",IF(REGEXMATCH(INDEX(FILTER(Q$4:Q856,Q$4:Q856&lt;&gt;""""),ROWS(FILTER(Q$4:Q856,Q$4:Q856&lt;&gt;""""))),""^Sell_""),INDEX(FILTER(T$4:T855,Q$4:Q855&lt;&gt;""""),ROWS(FILTER(Q$4:Q855,Q$4:Q855&lt;&gt;""""))),$AD$5+S856))"),"")</f>
        <v/>
      </c>
      <c r="U856" s="10" t="str">
        <f>IFERROR(__xludf.DUMMYFUNCTION("IF(COUNTA(Q856:Q1644)=0,"""",IF(Q856="""",0,IF(REGEXMATCH(Q856,""^Sell_""),-ROUNDDOWN(ROUNDUP(INDEX(Upgrades!$C$3:$C$13,MATCH(SUBSTITUTE(Q856,""Sell_"",""""),Upgrades!$B$3:$B$13,0))*1.15^(COUNTIF(Q$4:Q855,SUBSTITUTE(Q856,""Sell_"",""""))-COUNTIF(Q$4:Q855,"&amp;"""Sell_""&amp;SUBSTITUTE(Q856,""Sell_"",""""))))/2),ROUNDUP(INDEX(Upgrades!$C$3:$C$13,MATCH(Q856,Upgrades!$B$3:$B$13,0))*1.15^(COUNTIF(Q$4:Q855,Q856)-COUNTIF(Q$4:Q855,""Sell_""&amp;Q856))))))"),"")</f>
        <v/>
      </c>
      <c r="V856" s="10" t="str">
        <f t="shared" si="11"/>
        <v/>
      </c>
      <c r="W856" s="68" t="str">
        <f t="shared" si="12"/>
        <v/>
      </c>
      <c r="X856" s="59" t="str">
        <f t="shared" si="13"/>
        <v/>
      </c>
      <c r="Y856" s="69" t="str">
        <f t="shared" si="14"/>
        <v/>
      </c>
      <c r="Z856" s="11"/>
      <c r="AG856" s="59"/>
    </row>
    <row r="857">
      <c r="A857" s="8"/>
      <c r="B857" s="56" t="str">
        <f t="shared" si="2"/>
        <v/>
      </c>
      <c r="C857" s="105"/>
      <c r="D857" s="10"/>
      <c r="E857" s="59" t="str">
        <f t="array" ref="E857">IF(COUNTA(C857:C1644)=0,"",SUM((COUNTIF(C$4:C857,Upgrades!$B$3:$B$13)-COUNTIF(C$4:C857,"Sell_"&amp;Upgrades!$B$3:$B$13))*Upgrades!$D$3:$D$13))</f>
        <v/>
      </c>
      <c r="F857" s="66" t="str">
        <f>IFERROR(__xludf.DUMMYFUNCTION("IF(COUNTA(C857:C1644)=0,"""",IF(REGEXMATCH(INDEX(FILTER(C$4:C857,C$4:C857&lt;&gt;""""),ROWS(FILTER(C$4:C857,C$4:C857&lt;&gt;""""))),""^Sell_""),INDEX(FILTER(F$4:F856,C$4:C856&lt;&gt;""""),ROWS(FILTER(C$4:C856,C$4:C856&lt;&gt;""""))),$AC$5+E857))"),"")</f>
        <v/>
      </c>
      <c r="G857" s="10" t="str">
        <f>IFERROR(__xludf.DUMMYFUNCTION("IF(COUNTA(C857:C1644)=0,"""",IF(C857="""",0,IF(REGEXMATCH(C857,""^Sell_""),-ROUNDDOWN(ROUNDUP(INDEX(Upgrades!$C$3:$C$13,MATCH(SUBSTITUTE(C857,""Sell_"",""""),Upgrades!$B$3:$B$13,0))*1.15^(COUNTIF(C$4:C856,SUBSTITUTE(C857,""Sell_"",""""))-COUNTIF(C$4:C856,"&amp;"""Sell_""&amp;SUBSTITUTE(C857,""Sell_"",""""))))/2),ROUNDUP(INDEX(Upgrades!$C$3:$C$13,MATCH(C857,Upgrades!$B$3:$B$13,0))*1.15^(COUNTIF(C$4:C856,C857)-COUNTIF(C$4:C856,""Sell_""&amp;C857))))))"),"")</f>
        <v/>
      </c>
      <c r="H857" s="10" t="str">
        <f t="shared" si="3"/>
        <v/>
      </c>
      <c r="I857" s="68" t="str">
        <f t="shared" si="4"/>
        <v/>
      </c>
      <c r="J857" s="59" t="str">
        <f t="shared" si="5"/>
        <v/>
      </c>
      <c r="K857" s="69" t="str">
        <f t="shared" si="6"/>
        <v/>
      </c>
      <c r="L857" s="60" t="str">
        <f t="shared" si="7"/>
        <v/>
      </c>
      <c r="M857" s="61" t="str">
        <f>IFERROR(__xludf.DUMMYFUNCTION("IFS(AND(COUNTA(C857:C1644)=0,COUNTA(Q857:Q1644)=0),"""",OR(AND(K857&gt;=1000000000,OR(Y857&gt;=1000000000,COUNTA(Q857:Q1644)=0)),OR(Y857&gt;=1000000000,AND(COUNTA(C857:C1644)=0,P$3=TRUE))),
ROUNDDOWN((AB$1-AC$1)*MAX(INDEX(T$4:T1644,MATCH(LARGE(FILTER(Y$4:Y1644,Y$4"&amp;":Y1644&lt;1000000000),1),Y$4:Y1644)),INDEX(F$4:F1644,MATCH(LARGE(FILTER(K$4:K1644,K$4:K1644&lt;1000000000),1),K$4:K1644)))),AND(K857&lt;1000000000,COUNTA(C857:C1644)&gt;0,P$3=FALSE),
ROUNDDOWN(INDEX(Y$4:Y1644,MATCH(LARGE(FILTER(W$4:W1644,W$4:W1644&lt;=I857),1),W$4:W1644"&amp;"))+(I857-LARGE(FILTER(W$4:W1644,W$4:W1644&lt;=I857),1))*INDEX(T$4:T1644,MATCH(LARGE(FILTER(W$4:W1644,W$4:W1644&lt;=I857),1),W$4:W1644))-K857),1,
ROUNDDOWN(Y857-INDEX(K$4:K1644,MATCH(LARGE(FILTER(I$4:I1644,I$4:I1644&lt;=W857),1),I$4:I1644))-(W857-LARGE(FILTER(I$4:I"&amp;"1644,I$4:I1644&lt;=W857),1))*INDEX(F$4:F1644,MATCH(LARGE(FILTER(I$4:I1644,I$4:I1644&lt;=W857),1),I$4:I1644))))"),"")</f>
        <v/>
      </c>
      <c r="N857" s="60" t="str">
        <f t="shared" si="8"/>
        <v/>
      </c>
      <c r="O857" s="61" t="str">
        <f t="shared" si="9"/>
        <v/>
      </c>
      <c r="P857" s="56" t="str">
        <f t="shared" si="10"/>
        <v/>
      </c>
      <c r="Q857" s="105"/>
      <c r="R857" s="10"/>
      <c r="S857" s="59" t="str">
        <f t="array" ref="S857">IF(COUNTA(Q857:Q1644)=0,"",SUM((COUNTIF(Q$4:Q857,Upgrades!$B$3:$B$13)-COUNTIF(Q$4:Q857,"Sell_"&amp;Upgrades!$B$3:$B$13))*Upgrades!$D$3:$D$13))</f>
        <v/>
      </c>
      <c r="T857" s="66" t="str">
        <f>IFERROR(__xludf.DUMMYFUNCTION("IF(COUNTA(Q857:Q1644)=0,"""",IF(REGEXMATCH(INDEX(FILTER(Q$4:Q857,Q$4:Q857&lt;&gt;""""),ROWS(FILTER(Q$4:Q857,Q$4:Q857&lt;&gt;""""))),""^Sell_""),INDEX(FILTER(T$4:T856,Q$4:Q856&lt;&gt;""""),ROWS(FILTER(Q$4:Q856,Q$4:Q856&lt;&gt;""""))),$AD$5+S857))"),"")</f>
        <v/>
      </c>
      <c r="U857" s="10" t="str">
        <f>IFERROR(__xludf.DUMMYFUNCTION("IF(COUNTA(Q857:Q1644)=0,"""",IF(Q857="""",0,IF(REGEXMATCH(Q857,""^Sell_""),-ROUNDDOWN(ROUNDUP(INDEX(Upgrades!$C$3:$C$13,MATCH(SUBSTITUTE(Q857,""Sell_"",""""),Upgrades!$B$3:$B$13,0))*1.15^(COUNTIF(Q$4:Q856,SUBSTITUTE(Q857,""Sell_"",""""))-COUNTIF(Q$4:Q856,"&amp;"""Sell_""&amp;SUBSTITUTE(Q857,""Sell_"",""""))))/2),ROUNDUP(INDEX(Upgrades!$C$3:$C$13,MATCH(Q857,Upgrades!$B$3:$B$13,0))*1.15^(COUNTIF(Q$4:Q856,Q857)-COUNTIF(Q$4:Q856,""Sell_""&amp;Q857))))))"),"")</f>
        <v/>
      </c>
      <c r="V857" s="10" t="str">
        <f t="shared" si="11"/>
        <v/>
      </c>
      <c r="W857" s="68" t="str">
        <f t="shared" si="12"/>
        <v/>
      </c>
      <c r="X857" s="59" t="str">
        <f t="shared" si="13"/>
        <v/>
      </c>
      <c r="Y857" s="69" t="str">
        <f t="shared" si="14"/>
        <v/>
      </c>
      <c r="Z857" s="11"/>
      <c r="AG857" s="59"/>
    </row>
    <row r="858">
      <c r="A858" s="8"/>
      <c r="B858" s="56" t="str">
        <f t="shared" si="2"/>
        <v/>
      </c>
      <c r="C858" s="105"/>
      <c r="D858" s="10"/>
      <c r="E858" s="59" t="str">
        <f t="array" ref="E858">IF(COUNTA(C858:C1644)=0,"",SUM((COUNTIF(C$4:C858,Upgrades!$B$3:$B$13)-COUNTIF(C$4:C858,"Sell_"&amp;Upgrades!$B$3:$B$13))*Upgrades!$D$3:$D$13))</f>
        <v/>
      </c>
      <c r="F858" s="66" t="str">
        <f>IFERROR(__xludf.DUMMYFUNCTION("IF(COUNTA(C858:C1644)=0,"""",IF(REGEXMATCH(INDEX(FILTER(C$4:C858,C$4:C858&lt;&gt;""""),ROWS(FILTER(C$4:C858,C$4:C858&lt;&gt;""""))),""^Sell_""),INDEX(FILTER(F$4:F857,C$4:C857&lt;&gt;""""),ROWS(FILTER(C$4:C857,C$4:C857&lt;&gt;""""))),$AC$5+E858))"),"")</f>
        <v/>
      </c>
      <c r="G858" s="10" t="str">
        <f>IFERROR(__xludf.DUMMYFUNCTION("IF(COUNTA(C858:C1644)=0,"""",IF(C858="""",0,IF(REGEXMATCH(C858,""^Sell_""),-ROUNDDOWN(ROUNDUP(INDEX(Upgrades!$C$3:$C$13,MATCH(SUBSTITUTE(C858,""Sell_"",""""),Upgrades!$B$3:$B$13,0))*1.15^(COUNTIF(C$4:C857,SUBSTITUTE(C858,""Sell_"",""""))-COUNTIF(C$4:C857,"&amp;"""Sell_""&amp;SUBSTITUTE(C858,""Sell_"",""""))))/2),ROUNDUP(INDEX(Upgrades!$C$3:$C$13,MATCH(C858,Upgrades!$B$3:$B$13,0))*1.15^(COUNTIF(C$4:C857,C858)-COUNTIF(C$4:C857,""Sell_""&amp;C858))))))"),"")</f>
        <v/>
      </c>
      <c r="H858" s="10" t="str">
        <f t="shared" si="3"/>
        <v/>
      </c>
      <c r="I858" s="68" t="str">
        <f t="shared" si="4"/>
        <v/>
      </c>
      <c r="J858" s="59" t="str">
        <f t="shared" si="5"/>
        <v/>
      </c>
      <c r="K858" s="69" t="str">
        <f t="shared" si="6"/>
        <v/>
      </c>
      <c r="L858" s="60" t="str">
        <f t="shared" si="7"/>
        <v/>
      </c>
      <c r="M858" s="61" t="str">
        <f>IFERROR(__xludf.DUMMYFUNCTION("IFS(AND(COUNTA(C858:C1644)=0,COUNTA(Q858:Q1644)=0),"""",OR(AND(K858&gt;=1000000000,OR(Y858&gt;=1000000000,COUNTA(Q858:Q1644)=0)),OR(Y858&gt;=1000000000,AND(COUNTA(C858:C1644)=0,P$3=TRUE))),
ROUNDDOWN((AB$1-AC$1)*MAX(INDEX(T$4:T1644,MATCH(LARGE(FILTER(Y$4:Y1644,Y$4"&amp;":Y1644&lt;1000000000),1),Y$4:Y1644)),INDEX(F$4:F1644,MATCH(LARGE(FILTER(K$4:K1644,K$4:K1644&lt;1000000000),1),K$4:K1644)))),AND(K858&lt;1000000000,COUNTA(C858:C1644)&gt;0,P$3=FALSE),
ROUNDDOWN(INDEX(Y$4:Y1644,MATCH(LARGE(FILTER(W$4:W1644,W$4:W1644&lt;=I858),1),W$4:W1644"&amp;"))+(I858-LARGE(FILTER(W$4:W1644,W$4:W1644&lt;=I858),1))*INDEX(T$4:T1644,MATCH(LARGE(FILTER(W$4:W1644,W$4:W1644&lt;=I858),1),W$4:W1644))-K858),1,
ROUNDDOWN(Y858-INDEX(K$4:K1644,MATCH(LARGE(FILTER(I$4:I1644,I$4:I1644&lt;=W858),1),I$4:I1644))-(W858-LARGE(FILTER(I$4:I"&amp;"1644,I$4:I1644&lt;=W858),1))*INDEX(F$4:F1644,MATCH(LARGE(FILTER(I$4:I1644,I$4:I1644&lt;=W858),1),I$4:I1644))))"),"")</f>
        <v/>
      </c>
      <c r="N858" s="60" t="str">
        <f t="shared" si="8"/>
        <v/>
      </c>
      <c r="O858" s="61" t="str">
        <f t="shared" si="9"/>
        <v/>
      </c>
      <c r="P858" s="56" t="str">
        <f t="shared" si="10"/>
        <v/>
      </c>
      <c r="Q858" s="105"/>
      <c r="R858" s="10"/>
      <c r="S858" s="59" t="str">
        <f t="array" ref="S858">IF(COUNTA(Q858:Q1644)=0,"",SUM((COUNTIF(Q$4:Q858,Upgrades!$B$3:$B$13)-COUNTIF(Q$4:Q858,"Sell_"&amp;Upgrades!$B$3:$B$13))*Upgrades!$D$3:$D$13))</f>
        <v/>
      </c>
      <c r="T858" s="66" t="str">
        <f>IFERROR(__xludf.DUMMYFUNCTION("IF(COUNTA(Q858:Q1644)=0,"""",IF(REGEXMATCH(INDEX(FILTER(Q$4:Q858,Q$4:Q858&lt;&gt;""""),ROWS(FILTER(Q$4:Q858,Q$4:Q858&lt;&gt;""""))),""^Sell_""),INDEX(FILTER(T$4:T857,Q$4:Q857&lt;&gt;""""),ROWS(FILTER(Q$4:Q857,Q$4:Q857&lt;&gt;""""))),$AD$5+S858))"),"")</f>
        <v/>
      </c>
      <c r="U858" s="10" t="str">
        <f>IFERROR(__xludf.DUMMYFUNCTION("IF(COUNTA(Q858:Q1644)=0,"""",IF(Q858="""",0,IF(REGEXMATCH(Q858,""^Sell_""),-ROUNDDOWN(ROUNDUP(INDEX(Upgrades!$C$3:$C$13,MATCH(SUBSTITUTE(Q858,""Sell_"",""""),Upgrades!$B$3:$B$13,0))*1.15^(COUNTIF(Q$4:Q857,SUBSTITUTE(Q858,""Sell_"",""""))-COUNTIF(Q$4:Q857,"&amp;"""Sell_""&amp;SUBSTITUTE(Q858,""Sell_"",""""))))/2),ROUNDUP(INDEX(Upgrades!$C$3:$C$13,MATCH(Q858,Upgrades!$B$3:$B$13,0))*1.15^(COUNTIF(Q$4:Q857,Q858)-COUNTIF(Q$4:Q857,""Sell_""&amp;Q858))))))"),"")</f>
        <v/>
      </c>
      <c r="V858" s="10" t="str">
        <f t="shared" si="11"/>
        <v/>
      </c>
      <c r="W858" s="68" t="str">
        <f t="shared" si="12"/>
        <v/>
      </c>
      <c r="X858" s="59" t="str">
        <f t="shared" si="13"/>
        <v/>
      </c>
      <c r="Y858" s="69" t="str">
        <f t="shared" si="14"/>
        <v/>
      </c>
      <c r="Z858" s="11"/>
      <c r="AG858" s="59"/>
    </row>
    <row r="859">
      <c r="A859" s="8"/>
      <c r="B859" s="56" t="str">
        <f t="shared" si="2"/>
        <v/>
      </c>
      <c r="C859" s="105"/>
      <c r="D859" s="10"/>
      <c r="E859" s="59" t="str">
        <f t="array" ref="E859">IF(COUNTA(C859:C1644)=0,"",SUM((COUNTIF(C$4:C859,Upgrades!$B$3:$B$13)-COUNTIF(C$4:C859,"Sell_"&amp;Upgrades!$B$3:$B$13))*Upgrades!$D$3:$D$13))</f>
        <v/>
      </c>
      <c r="F859" s="66" t="str">
        <f>IFERROR(__xludf.DUMMYFUNCTION("IF(COUNTA(C859:C1644)=0,"""",IF(REGEXMATCH(INDEX(FILTER(C$4:C859,C$4:C859&lt;&gt;""""),ROWS(FILTER(C$4:C859,C$4:C859&lt;&gt;""""))),""^Sell_""),INDEX(FILTER(F$4:F858,C$4:C858&lt;&gt;""""),ROWS(FILTER(C$4:C858,C$4:C858&lt;&gt;""""))),$AC$5+E859))"),"")</f>
        <v/>
      </c>
      <c r="G859" s="10" t="str">
        <f>IFERROR(__xludf.DUMMYFUNCTION("IF(COUNTA(C859:C1644)=0,"""",IF(C859="""",0,IF(REGEXMATCH(C859,""^Sell_""),-ROUNDDOWN(ROUNDUP(INDEX(Upgrades!$C$3:$C$13,MATCH(SUBSTITUTE(C859,""Sell_"",""""),Upgrades!$B$3:$B$13,0))*1.15^(COUNTIF(C$4:C858,SUBSTITUTE(C859,""Sell_"",""""))-COUNTIF(C$4:C858,"&amp;"""Sell_""&amp;SUBSTITUTE(C859,""Sell_"",""""))))/2),ROUNDUP(INDEX(Upgrades!$C$3:$C$13,MATCH(C859,Upgrades!$B$3:$B$13,0))*1.15^(COUNTIF(C$4:C858,C859)-COUNTIF(C$4:C858,""Sell_""&amp;C859))))))"),"")</f>
        <v/>
      </c>
      <c r="H859" s="10" t="str">
        <f t="shared" si="3"/>
        <v/>
      </c>
      <c r="I859" s="68" t="str">
        <f t="shared" si="4"/>
        <v/>
      </c>
      <c r="J859" s="59" t="str">
        <f t="shared" si="5"/>
        <v/>
      </c>
      <c r="K859" s="69" t="str">
        <f t="shared" si="6"/>
        <v/>
      </c>
      <c r="L859" s="60" t="str">
        <f t="shared" si="7"/>
        <v/>
      </c>
      <c r="M859" s="61" t="str">
        <f>IFERROR(__xludf.DUMMYFUNCTION("IFS(AND(COUNTA(C859:C1644)=0,COUNTA(Q859:Q1644)=0),"""",OR(AND(K859&gt;=1000000000,OR(Y859&gt;=1000000000,COUNTA(Q859:Q1644)=0)),OR(Y859&gt;=1000000000,AND(COUNTA(C859:C1644)=0,P$3=TRUE))),
ROUNDDOWN((AB$1-AC$1)*MAX(INDEX(T$4:T1644,MATCH(LARGE(FILTER(Y$4:Y1644,Y$4"&amp;":Y1644&lt;1000000000),1),Y$4:Y1644)),INDEX(F$4:F1644,MATCH(LARGE(FILTER(K$4:K1644,K$4:K1644&lt;1000000000),1),K$4:K1644)))),AND(K859&lt;1000000000,COUNTA(C859:C1644)&gt;0,P$3=FALSE),
ROUNDDOWN(INDEX(Y$4:Y1644,MATCH(LARGE(FILTER(W$4:W1644,W$4:W1644&lt;=I859),1),W$4:W1644"&amp;"))+(I859-LARGE(FILTER(W$4:W1644,W$4:W1644&lt;=I859),1))*INDEX(T$4:T1644,MATCH(LARGE(FILTER(W$4:W1644,W$4:W1644&lt;=I859),1),W$4:W1644))-K859),1,
ROUNDDOWN(Y859-INDEX(K$4:K1644,MATCH(LARGE(FILTER(I$4:I1644,I$4:I1644&lt;=W859),1),I$4:I1644))-(W859-LARGE(FILTER(I$4:I"&amp;"1644,I$4:I1644&lt;=W859),1))*INDEX(F$4:F1644,MATCH(LARGE(FILTER(I$4:I1644,I$4:I1644&lt;=W859),1),I$4:I1644))))"),"")</f>
        <v/>
      </c>
      <c r="N859" s="60" t="str">
        <f t="shared" si="8"/>
        <v/>
      </c>
      <c r="O859" s="61" t="str">
        <f t="shared" si="9"/>
        <v/>
      </c>
      <c r="P859" s="56" t="str">
        <f t="shared" si="10"/>
        <v/>
      </c>
      <c r="Q859" s="105"/>
      <c r="R859" s="10"/>
      <c r="S859" s="59" t="str">
        <f t="array" ref="S859">IF(COUNTA(Q859:Q1644)=0,"",SUM((COUNTIF(Q$4:Q859,Upgrades!$B$3:$B$13)-COUNTIF(Q$4:Q859,"Sell_"&amp;Upgrades!$B$3:$B$13))*Upgrades!$D$3:$D$13))</f>
        <v/>
      </c>
      <c r="T859" s="66" t="str">
        <f>IFERROR(__xludf.DUMMYFUNCTION("IF(COUNTA(Q859:Q1644)=0,"""",IF(REGEXMATCH(INDEX(FILTER(Q$4:Q859,Q$4:Q859&lt;&gt;""""),ROWS(FILTER(Q$4:Q859,Q$4:Q859&lt;&gt;""""))),""^Sell_""),INDEX(FILTER(T$4:T858,Q$4:Q858&lt;&gt;""""),ROWS(FILTER(Q$4:Q858,Q$4:Q858&lt;&gt;""""))),$AD$5+S859))"),"")</f>
        <v/>
      </c>
      <c r="U859" s="10" t="str">
        <f>IFERROR(__xludf.DUMMYFUNCTION("IF(COUNTA(Q859:Q1644)=0,"""",IF(Q859="""",0,IF(REGEXMATCH(Q859,""^Sell_""),-ROUNDDOWN(ROUNDUP(INDEX(Upgrades!$C$3:$C$13,MATCH(SUBSTITUTE(Q859,""Sell_"",""""),Upgrades!$B$3:$B$13,0))*1.15^(COUNTIF(Q$4:Q858,SUBSTITUTE(Q859,""Sell_"",""""))-COUNTIF(Q$4:Q858,"&amp;"""Sell_""&amp;SUBSTITUTE(Q859,""Sell_"",""""))))/2),ROUNDUP(INDEX(Upgrades!$C$3:$C$13,MATCH(Q859,Upgrades!$B$3:$B$13,0))*1.15^(COUNTIF(Q$4:Q858,Q859)-COUNTIF(Q$4:Q858,""Sell_""&amp;Q859))))))"),"")</f>
        <v/>
      </c>
      <c r="V859" s="10" t="str">
        <f t="shared" si="11"/>
        <v/>
      </c>
      <c r="W859" s="68" t="str">
        <f t="shared" si="12"/>
        <v/>
      </c>
      <c r="X859" s="59" t="str">
        <f t="shared" si="13"/>
        <v/>
      </c>
      <c r="Y859" s="69" t="str">
        <f t="shared" si="14"/>
        <v/>
      </c>
      <c r="Z859" s="11"/>
      <c r="AG859" s="59"/>
    </row>
    <row r="860">
      <c r="A860" s="8"/>
      <c r="B860" s="56" t="str">
        <f t="shared" si="2"/>
        <v/>
      </c>
      <c r="C860" s="105"/>
      <c r="D860" s="10"/>
      <c r="E860" s="59" t="str">
        <f t="array" ref="E860">IF(COUNTA(C860:C1644)=0,"",SUM((COUNTIF(C$4:C860,Upgrades!$B$3:$B$13)-COUNTIF(C$4:C860,"Sell_"&amp;Upgrades!$B$3:$B$13))*Upgrades!$D$3:$D$13))</f>
        <v/>
      </c>
      <c r="F860" s="66" t="str">
        <f>IFERROR(__xludf.DUMMYFUNCTION("IF(COUNTA(C860:C1644)=0,"""",IF(REGEXMATCH(INDEX(FILTER(C$4:C860,C$4:C860&lt;&gt;""""),ROWS(FILTER(C$4:C860,C$4:C860&lt;&gt;""""))),""^Sell_""),INDEX(FILTER(F$4:F859,C$4:C859&lt;&gt;""""),ROWS(FILTER(C$4:C859,C$4:C859&lt;&gt;""""))),$AC$5+E860))"),"")</f>
        <v/>
      </c>
      <c r="G860" s="10" t="str">
        <f>IFERROR(__xludf.DUMMYFUNCTION("IF(COUNTA(C860:C1644)=0,"""",IF(C860="""",0,IF(REGEXMATCH(C860,""^Sell_""),-ROUNDDOWN(ROUNDUP(INDEX(Upgrades!$C$3:$C$13,MATCH(SUBSTITUTE(C860,""Sell_"",""""),Upgrades!$B$3:$B$13,0))*1.15^(COUNTIF(C$4:C859,SUBSTITUTE(C860,""Sell_"",""""))-COUNTIF(C$4:C859,"&amp;"""Sell_""&amp;SUBSTITUTE(C860,""Sell_"",""""))))/2),ROUNDUP(INDEX(Upgrades!$C$3:$C$13,MATCH(C860,Upgrades!$B$3:$B$13,0))*1.15^(COUNTIF(C$4:C859,C860)-COUNTIF(C$4:C859,""Sell_""&amp;C860))))))"),"")</f>
        <v/>
      </c>
      <c r="H860" s="10" t="str">
        <f t="shared" si="3"/>
        <v/>
      </c>
      <c r="I860" s="68" t="str">
        <f t="shared" si="4"/>
        <v/>
      </c>
      <c r="J860" s="59" t="str">
        <f t="shared" si="5"/>
        <v/>
      </c>
      <c r="K860" s="69" t="str">
        <f t="shared" si="6"/>
        <v/>
      </c>
      <c r="L860" s="60" t="str">
        <f t="shared" si="7"/>
        <v/>
      </c>
      <c r="M860" s="61" t="str">
        <f>IFERROR(__xludf.DUMMYFUNCTION("IFS(AND(COUNTA(C860:C1644)=0,COUNTA(Q860:Q1644)=0),"""",OR(AND(K860&gt;=1000000000,OR(Y860&gt;=1000000000,COUNTA(Q860:Q1644)=0)),OR(Y860&gt;=1000000000,AND(COUNTA(C860:C1644)=0,P$3=TRUE))),
ROUNDDOWN((AB$1-AC$1)*MAX(INDEX(T$4:T1644,MATCH(LARGE(FILTER(Y$4:Y1644,Y$4"&amp;":Y1644&lt;1000000000),1),Y$4:Y1644)),INDEX(F$4:F1644,MATCH(LARGE(FILTER(K$4:K1644,K$4:K1644&lt;1000000000),1),K$4:K1644)))),AND(K860&lt;1000000000,COUNTA(C860:C1644)&gt;0,P$3=FALSE),
ROUNDDOWN(INDEX(Y$4:Y1644,MATCH(LARGE(FILTER(W$4:W1644,W$4:W1644&lt;=I860),1),W$4:W1644"&amp;"))+(I860-LARGE(FILTER(W$4:W1644,W$4:W1644&lt;=I860),1))*INDEX(T$4:T1644,MATCH(LARGE(FILTER(W$4:W1644,W$4:W1644&lt;=I860),1),W$4:W1644))-K860),1,
ROUNDDOWN(Y860-INDEX(K$4:K1644,MATCH(LARGE(FILTER(I$4:I1644,I$4:I1644&lt;=W860),1),I$4:I1644))-(W860-LARGE(FILTER(I$4:I"&amp;"1644,I$4:I1644&lt;=W860),1))*INDEX(F$4:F1644,MATCH(LARGE(FILTER(I$4:I1644,I$4:I1644&lt;=W860),1),I$4:I1644))))"),"")</f>
        <v/>
      </c>
      <c r="N860" s="60" t="str">
        <f t="shared" si="8"/>
        <v/>
      </c>
      <c r="O860" s="61" t="str">
        <f t="shared" si="9"/>
        <v/>
      </c>
      <c r="P860" s="56" t="str">
        <f t="shared" si="10"/>
        <v/>
      </c>
      <c r="Q860" s="105"/>
      <c r="R860" s="10"/>
      <c r="S860" s="59" t="str">
        <f t="array" ref="S860">IF(COUNTA(Q860:Q1644)=0,"",SUM((COUNTIF(Q$4:Q860,Upgrades!$B$3:$B$13)-COUNTIF(Q$4:Q860,"Sell_"&amp;Upgrades!$B$3:$B$13))*Upgrades!$D$3:$D$13))</f>
        <v/>
      </c>
      <c r="T860" s="66" t="str">
        <f>IFERROR(__xludf.DUMMYFUNCTION("IF(COUNTA(Q860:Q1644)=0,"""",IF(REGEXMATCH(INDEX(FILTER(Q$4:Q860,Q$4:Q860&lt;&gt;""""),ROWS(FILTER(Q$4:Q860,Q$4:Q860&lt;&gt;""""))),""^Sell_""),INDEX(FILTER(T$4:T859,Q$4:Q859&lt;&gt;""""),ROWS(FILTER(Q$4:Q859,Q$4:Q859&lt;&gt;""""))),$AD$5+S860))"),"")</f>
        <v/>
      </c>
      <c r="U860" s="10" t="str">
        <f>IFERROR(__xludf.DUMMYFUNCTION("IF(COUNTA(Q860:Q1644)=0,"""",IF(Q860="""",0,IF(REGEXMATCH(Q860,""^Sell_""),-ROUNDDOWN(ROUNDUP(INDEX(Upgrades!$C$3:$C$13,MATCH(SUBSTITUTE(Q860,""Sell_"",""""),Upgrades!$B$3:$B$13,0))*1.15^(COUNTIF(Q$4:Q859,SUBSTITUTE(Q860,""Sell_"",""""))-COUNTIF(Q$4:Q859,"&amp;"""Sell_""&amp;SUBSTITUTE(Q860,""Sell_"",""""))))/2),ROUNDUP(INDEX(Upgrades!$C$3:$C$13,MATCH(Q860,Upgrades!$B$3:$B$13,0))*1.15^(COUNTIF(Q$4:Q859,Q860)-COUNTIF(Q$4:Q859,""Sell_""&amp;Q860))))))"),"")</f>
        <v/>
      </c>
      <c r="V860" s="10" t="str">
        <f t="shared" si="11"/>
        <v/>
      </c>
      <c r="W860" s="68" t="str">
        <f t="shared" si="12"/>
        <v/>
      </c>
      <c r="X860" s="59" t="str">
        <f t="shared" si="13"/>
        <v/>
      </c>
      <c r="Y860" s="69" t="str">
        <f t="shared" si="14"/>
        <v/>
      </c>
      <c r="Z860" s="11"/>
      <c r="AG860" s="59"/>
    </row>
    <row r="861">
      <c r="A861" s="8"/>
      <c r="B861" s="56" t="str">
        <f t="shared" si="2"/>
        <v/>
      </c>
      <c r="C861" s="105"/>
      <c r="D861" s="10"/>
      <c r="E861" s="59" t="str">
        <f t="array" ref="E861">IF(COUNTA(C861:C1644)=0,"",SUM((COUNTIF(C$4:C861,Upgrades!$B$3:$B$13)-COUNTIF(C$4:C861,"Sell_"&amp;Upgrades!$B$3:$B$13))*Upgrades!$D$3:$D$13))</f>
        <v/>
      </c>
      <c r="F861" s="66" t="str">
        <f>IFERROR(__xludf.DUMMYFUNCTION("IF(COUNTA(C861:C1644)=0,"""",IF(REGEXMATCH(INDEX(FILTER(C$4:C861,C$4:C861&lt;&gt;""""),ROWS(FILTER(C$4:C861,C$4:C861&lt;&gt;""""))),""^Sell_""),INDEX(FILTER(F$4:F860,C$4:C860&lt;&gt;""""),ROWS(FILTER(C$4:C860,C$4:C860&lt;&gt;""""))),$AC$5+E861))"),"")</f>
        <v/>
      </c>
      <c r="G861" s="10" t="str">
        <f>IFERROR(__xludf.DUMMYFUNCTION("IF(COUNTA(C861:C1644)=0,"""",IF(C861="""",0,IF(REGEXMATCH(C861,""^Sell_""),-ROUNDDOWN(ROUNDUP(INDEX(Upgrades!$C$3:$C$13,MATCH(SUBSTITUTE(C861,""Sell_"",""""),Upgrades!$B$3:$B$13,0))*1.15^(COUNTIF(C$4:C860,SUBSTITUTE(C861,""Sell_"",""""))-COUNTIF(C$4:C860,"&amp;"""Sell_""&amp;SUBSTITUTE(C861,""Sell_"",""""))))/2),ROUNDUP(INDEX(Upgrades!$C$3:$C$13,MATCH(C861,Upgrades!$B$3:$B$13,0))*1.15^(COUNTIF(C$4:C860,C861)-COUNTIF(C$4:C860,""Sell_""&amp;C861))))))"),"")</f>
        <v/>
      </c>
      <c r="H861" s="10" t="str">
        <f t="shared" si="3"/>
        <v/>
      </c>
      <c r="I861" s="68" t="str">
        <f t="shared" si="4"/>
        <v/>
      </c>
      <c r="J861" s="59" t="str">
        <f t="shared" si="5"/>
        <v/>
      </c>
      <c r="K861" s="69" t="str">
        <f t="shared" si="6"/>
        <v/>
      </c>
      <c r="L861" s="60" t="str">
        <f t="shared" si="7"/>
        <v/>
      </c>
      <c r="M861" s="61" t="str">
        <f>IFERROR(__xludf.DUMMYFUNCTION("IFS(AND(COUNTA(C861:C1644)=0,COUNTA(Q861:Q1644)=0),"""",OR(AND(K861&gt;=1000000000,OR(Y861&gt;=1000000000,COUNTA(Q861:Q1644)=0)),OR(Y861&gt;=1000000000,AND(COUNTA(C861:C1644)=0,P$3=TRUE))),
ROUNDDOWN((AB$1-AC$1)*MAX(INDEX(T$4:T1644,MATCH(LARGE(FILTER(Y$4:Y1644,Y$4"&amp;":Y1644&lt;1000000000),1),Y$4:Y1644)),INDEX(F$4:F1644,MATCH(LARGE(FILTER(K$4:K1644,K$4:K1644&lt;1000000000),1),K$4:K1644)))),AND(K861&lt;1000000000,COUNTA(C861:C1644)&gt;0,P$3=FALSE),
ROUNDDOWN(INDEX(Y$4:Y1644,MATCH(LARGE(FILTER(W$4:W1644,W$4:W1644&lt;=I861),1),W$4:W1644"&amp;"))+(I861-LARGE(FILTER(W$4:W1644,W$4:W1644&lt;=I861),1))*INDEX(T$4:T1644,MATCH(LARGE(FILTER(W$4:W1644,W$4:W1644&lt;=I861),1),W$4:W1644))-K861),1,
ROUNDDOWN(Y861-INDEX(K$4:K1644,MATCH(LARGE(FILTER(I$4:I1644,I$4:I1644&lt;=W861),1),I$4:I1644))-(W861-LARGE(FILTER(I$4:I"&amp;"1644,I$4:I1644&lt;=W861),1))*INDEX(F$4:F1644,MATCH(LARGE(FILTER(I$4:I1644,I$4:I1644&lt;=W861),1),I$4:I1644))))"),"")</f>
        <v/>
      </c>
      <c r="N861" s="60" t="str">
        <f t="shared" si="8"/>
        <v/>
      </c>
      <c r="O861" s="61" t="str">
        <f t="shared" si="9"/>
        <v/>
      </c>
      <c r="P861" s="56" t="str">
        <f t="shared" si="10"/>
        <v/>
      </c>
      <c r="Q861" s="105"/>
      <c r="R861" s="10"/>
      <c r="S861" s="59" t="str">
        <f t="array" ref="S861">IF(COUNTA(Q861:Q1644)=0,"",SUM((COUNTIF(Q$4:Q861,Upgrades!$B$3:$B$13)-COUNTIF(Q$4:Q861,"Sell_"&amp;Upgrades!$B$3:$B$13))*Upgrades!$D$3:$D$13))</f>
        <v/>
      </c>
      <c r="T861" s="66" t="str">
        <f>IFERROR(__xludf.DUMMYFUNCTION("IF(COUNTA(Q861:Q1644)=0,"""",IF(REGEXMATCH(INDEX(FILTER(Q$4:Q861,Q$4:Q861&lt;&gt;""""),ROWS(FILTER(Q$4:Q861,Q$4:Q861&lt;&gt;""""))),""^Sell_""),INDEX(FILTER(T$4:T860,Q$4:Q860&lt;&gt;""""),ROWS(FILTER(Q$4:Q860,Q$4:Q860&lt;&gt;""""))),$AD$5+S861))"),"")</f>
        <v/>
      </c>
      <c r="U861" s="10" t="str">
        <f>IFERROR(__xludf.DUMMYFUNCTION("IF(COUNTA(Q861:Q1644)=0,"""",IF(Q861="""",0,IF(REGEXMATCH(Q861,""^Sell_""),-ROUNDDOWN(ROUNDUP(INDEX(Upgrades!$C$3:$C$13,MATCH(SUBSTITUTE(Q861,""Sell_"",""""),Upgrades!$B$3:$B$13,0))*1.15^(COUNTIF(Q$4:Q860,SUBSTITUTE(Q861,""Sell_"",""""))-COUNTIF(Q$4:Q860,"&amp;"""Sell_""&amp;SUBSTITUTE(Q861,""Sell_"",""""))))/2),ROUNDUP(INDEX(Upgrades!$C$3:$C$13,MATCH(Q861,Upgrades!$B$3:$B$13,0))*1.15^(COUNTIF(Q$4:Q860,Q861)-COUNTIF(Q$4:Q860,""Sell_""&amp;Q861))))))"),"")</f>
        <v/>
      </c>
      <c r="V861" s="10" t="str">
        <f t="shared" si="11"/>
        <v/>
      </c>
      <c r="W861" s="68" t="str">
        <f t="shared" si="12"/>
        <v/>
      </c>
      <c r="X861" s="59" t="str">
        <f t="shared" si="13"/>
        <v/>
      </c>
      <c r="Y861" s="69" t="str">
        <f t="shared" si="14"/>
        <v/>
      </c>
      <c r="Z861" s="11"/>
      <c r="AG861" s="59"/>
    </row>
    <row r="862">
      <c r="A862" s="8"/>
      <c r="B862" s="56" t="str">
        <f t="shared" si="2"/>
        <v/>
      </c>
      <c r="C862" s="105"/>
      <c r="D862" s="10"/>
      <c r="E862" s="59" t="str">
        <f t="array" ref="E862">IF(COUNTA(C862:C1644)=0,"",SUM((COUNTIF(C$4:C862,Upgrades!$B$3:$B$13)-COUNTIF(C$4:C862,"Sell_"&amp;Upgrades!$B$3:$B$13))*Upgrades!$D$3:$D$13))</f>
        <v/>
      </c>
      <c r="F862" s="66" t="str">
        <f>IFERROR(__xludf.DUMMYFUNCTION("IF(COUNTA(C862:C1644)=0,"""",IF(REGEXMATCH(INDEX(FILTER(C$4:C862,C$4:C862&lt;&gt;""""),ROWS(FILTER(C$4:C862,C$4:C862&lt;&gt;""""))),""^Sell_""),INDEX(FILTER(F$4:F861,C$4:C861&lt;&gt;""""),ROWS(FILTER(C$4:C861,C$4:C861&lt;&gt;""""))),$AC$5+E862))"),"")</f>
        <v/>
      </c>
      <c r="G862" s="10" t="str">
        <f>IFERROR(__xludf.DUMMYFUNCTION("IF(COUNTA(C862:C1644)=0,"""",IF(C862="""",0,IF(REGEXMATCH(C862,""^Sell_""),-ROUNDDOWN(ROUNDUP(INDEX(Upgrades!$C$3:$C$13,MATCH(SUBSTITUTE(C862,""Sell_"",""""),Upgrades!$B$3:$B$13,0))*1.15^(COUNTIF(C$4:C861,SUBSTITUTE(C862,""Sell_"",""""))-COUNTIF(C$4:C861,"&amp;"""Sell_""&amp;SUBSTITUTE(C862,""Sell_"",""""))))/2),ROUNDUP(INDEX(Upgrades!$C$3:$C$13,MATCH(C862,Upgrades!$B$3:$B$13,0))*1.15^(COUNTIF(C$4:C861,C862)-COUNTIF(C$4:C861,""Sell_""&amp;C862))))))"),"")</f>
        <v/>
      </c>
      <c r="H862" s="10" t="str">
        <f t="shared" si="3"/>
        <v/>
      </c>
      <c r="I862" s="68" t="str">
        <f t="shared" si="4"/>
        <v/>
      </c>
      <c r="J862" s="59" t="str">
        <f t="shared" si="5"/>
        <v/>
      </c>
      <c r="K862" s="69" t="str">
        <f t="shared" si="6"/>
        <v/>
      </c>
      <c r="L862" s="60" t="str">
        <f t="shared" si="7"/>
        <v/>
      </c>
      <c r="M862" s="61" t="str">
        <f>IFERROR(__xludf.DUMMYFUNCTION("IFS(AND(COUNTA(C862:C1644)=0,COUNTA(Q862:Q1644)=0),"""",OR(AND(K862&gt;=1000000000,OR(Y862&gt;=1000000000,COUNTA(Q862:Q1644)=0)),OR(Y862&gt;=1000000000,AND(COUNTA(C862:C1644)=0,P$3=TRUE))),
ROUNDDOWN((AB$1-AC$1)*MAX(INDEX(T$4:T1644,MATCH(LARGE(FILTER(Y$4:Y1644,Y$4"&amp;":Y1644&lt;1000000000),1),Y$4:Y1644)),INDEX(F$4:F1644,MATCH(LARGE(FILTER(K$4:K1644,K$4:K1644&lt;1000000000),1),K$4:K1644)))),AND(K862&lt;1000000000,COUNTA(C862:C1644)&gt;0,P$3=FALSE),
ROUNDDOWN(INDEX(Y$4:Y1644,MATCH(LARGE(FILTER(W$4:W1644,W$4:W1644&lt;=I862),1),W$4:W1644"&amp;"))+(I862-LARGE(FILTER(W$4:W1644,W$4:W1644&lt;=I862),1))*INDEX(T$4:T1644,MATCH(LARGE(FILTER(W$4:W1644,W$4:W1644&lt;=I862),1),W$4:W1644))-K862),1,
ROUNDDOWN(Y862-INDEX(K$4:K1644,MATCH(LARGE(FILTER(I$4:I1644,I$4:I1644&lt;=W862),1),I$4:I1644))-(W862-LARGE(FILTER(I$4:I"&amp;"1644,I$4:I1644&lt;=W862),1))*INDEX(F$4:F1644,MATCH(LARGE(FILTER(I$4:I1644,I$4:I1644&lt;=W862),1),I$4:I1644))))"),"")</f>
        <v/>
      </c>
      <c r="N862" s="60" t="str">
        <f t="shared" si="8"/>
        <v/>
      </c>
      <c r="O862" s="61" t="str">
        <f t="shared" si="9"/>
        <v/>
      </c>
      <c r="P862" s="56" t="str">
        <f t="shared" si="10"/>
        <v/>
      </c>
      <c r="Q862" s="105"/>
      <c r="R862" s="10"/>
      <c r="S862" s="59" t="str">
        <f t="array" ref="S862">IF(COUNTA(Q862:Q1644)=0,"",SUM((COUNTIF(Q$4:Q862,Upgrades!$B$3:$B$13)-COUNTIF(Q$4:Q862,"Sell_"&amp;Upgrades!$B$3:$B$13))*Upgrades!$D$3:$D$13))</f>
        <v/>
      </c>
      <c r="T862" s="66" t="str">
        <f>IFERROR(__xludf.DUMMYFUNCTION("IF(COUNTA(Q862:Q1644)=0,"""",IF(REGEXMATCH(INDEX(FILTER(Q$4:Q862,Q$4:Q862&lt;&gt;""""),ROWS(FILTER(Q$4:Q862,Q$4:Q862&lt;&gt;""""))),""^Sell_""),INDEX(FILTER(T$4:T861,Q$4:Q861&lt;&gt;""""),ROWS(FILTER(Q$4:Q861,Q$4:Q861&lt;&gt;""""))),$AD$5+S862))"),"")</f>
        <v/>
      </c>
      <c r="U862" s="10" t="str">
        <f>IFERROR(__xludf.DUMMYFUNCTION("IF(COUNTA(Q862:Q1644)=0,"""",IF(Q862="""",0,IF(REGEXMATCH(Q862,""^Sell_""),-ROUNDDOWN(ROUNDUP(INDEX(Upgrades!$C$3:$C$13,MATCH(SUBSTITUTE(Q862,""Sell_"",""""),Upgrades!$B$3:$B$13,0))*1.15^(COUNTIF(Q$4:Q861,SUBSTITUTE(Q862,""Sell_"",""""))-COUNTIF(Q$4:Q861,"&amp;"""Sell_""&amp;SUBSTITUTE(Q862,""Sell_"",""""))))/2),ROUNDUP(INDEX(Upgrades!$C$3:$C$13,MATCH(Q862,Upgrades!$B$3:$B$13,0))*1.15^(COUNTIF(Q$4:Q861,Q862)-COUNTIF(Q$4:Q861,""Sell_""&amp;Q862))))))"),"")</f>
        <v/>
      </c>
      <c r="V862" s="10" t="str">
        <f t="shared" si="11"/>
        <v/>
      </c>
      <c r="W862" s="68" t="str">
        <f t="shared" si="12"/>
        <v/>
      </c>
      <c r="X862" s="59" t="str">
        <f t="shared" si="13"/>
        <v/>
      </c>
      <c r="Y862" s="69" t="str">
        <f t="shared" si="14"/>
        <v/>
      </c>
      <c r="Z862" s="11"/>
      <c r="AG862" s="59"/>
    </row>
    <row r="863">
      <c r="A863" s="8"/>
      <c r="B863" s="56" t="str">
        <f t="shared" si="2"/>
        <v/>
      </c>
      <c r="C863" s="105"/>
      <c r="D863" s="10"/>
      <c r="E863" s="59" t="str">
        <f t="array" ref="E863">IF(COUNTA(C863:C1644)=0,"",SUM((COUNTIF(C$4:C863,Upgrades!$B$3:$B$13)-COUNTIF(C$4:C863,"Sell_"&amp;Upgrades!$B$3:$B$13))*Upgrades!$D$3:$D$13))</f>
        <v/>
      </c>
      <c r="F863" s="66" t="str">
        <f>IFERROR(__xludf.DUMMYFUNCTION("IF(COUNTA(C863:C1644)=0,"""",IF(REGEXMATCH(INDEX(FILTER(C$4:C863,C$4:C863&lt;&gt;""""),ROWS(FILTER(C$4:C863,C$4:C863&lt;&gt;""""))),""^Sell_""),INDEX(FILTER(F$4:F862,C$4:C862&lt;&gt;""""),ROWS(FILTER(C$4:C862,C$4:C862&lt;&gt;""""))),$AC$5+E863))"),"")</f>
        <v/>
      </c>
      <c r="G863" s="10" t="str">
        <f>IFERROR(__xludf.DUMMYFUNCTION("IF(COUNTA(C863:C1644)=0,"""",IF(C863="""",0,IF(REGEXMATCH(C863,""^Sell_""),-ROUNDDOWN(ROUNDUP(INDEX(Upgrades!$C$3:$C$13,MATCH(SUBSTITUTE(C863,""Sell_"",""""),Upgrades!$B$3:$B$13,0))*1.15^(COUNTIF(C$4:C862,SUBSTITUTE(C863,""Sell_"",""""))-COUNTIF(C$4:C862,"&amp;"""Sell_""&amp;SUBSTITUTE(C863,""Sell_"",""""))))/2),ROUNDUP(INDEX(Upgrades!$C$3:$C$13,MATCH(C863,Upgrades!$B$3:$B$13,0))*1.15^(COUNTIF(C$4:C862,C863)-COUNTIF(C$4:C862,""Sell_""&amp;C863))))))"),"")</f>
        <v/>
      </c>
      <c r="H863" s="10" t="str">
        <f t="shared" si="3"/>
        <v/>
      </c>
      <c r="I863" s="68" t="str">
        <f t="shared" si="4"/>
        <v/>
      </c>
      <c r="J863" s="59" t="str">
        <f t="shared" si="5"/>
        <v/>
      </c>
      <c r="K863" s="69" t="str">
        <f t="shared" si="6"/>
        <v/>
      </c>
      <c r="L863" s="60" t="str">
        <f t="shared" si="7"/>
        <v/>
      </c>
      <c r="M863" s="61" t="str">
        <f>IFERROR(__xludf.DUMMYFUNCTION("IFS(AND(COUNTA(C863:C1644)=0,COUNTA(Q863:Q1644)=0),"""",OR(AND(K863&gt;=1000000000,OR(Y863&gt;=1000000000,COUNTA(Q863:Q1644)=0)),OR(Y863&gt;=1000000000,AND(COUNTA(C863:C1644)=0,P$3=TRUE))),
ROUNDDOWN((AB$1-AC$1)*MAX(INDEX(T$4:T1644,MATCH(LARGE(FILTER(Y$4:Y1644,Y$4"&amp;":Y1644&lt;1000000000),1),Y$4:Y1644)),INDEX(F$4:F1644,MATCH(LARGE(FILTER(K$4:K1644,K$4:K1644&lt;1000000000),1),K$4:K1644)))),AND(K863&lt;1000000000,COUNTA(C863:C1644)&gt;0,P$3=FALSE),
ROUNDDOWN(INDEX(Y$4:Y1644,MATCH(LARGE(FILTER(W$4:W1644,W$4:W1644&lt;=I863),1),W$4:W1644"&amp;"))+(I863-LARGE(FILTER(W$4:W1644,W$4:W1644&lt;=I863),1))*INDEX(T$4:T1644,MATCH(LARGE(FILTER(W$4:W1644,W$4:W1644&lt;=I863),1),W$4:W1644))-K863),1,
ROUNDDOWN(Y863-INDEX(K$4:K1644,MATCH(LARGE(FILTER(I$4:I1644,I$4:I1644&lt;=W863),1),I$4:I1644))-(W863-LARGE(FILTER(I$4:I"&amp;"1644,I$4:I1644&lt;=W863),1))*INDEX(F$4:F1644,MATCH(LARGE(FILTER(I$4:I1644,I$4:I1644&lt;=W863),1),I$4:I1644))))"),"")</f>
        <v/>
      </c>
      <c r="N863" s="60" t="str">
        <f t="shared" si="8"/>
        <v/>
      </c>
      <c r="O863" s="61" t="str">
        <f t="shared" si="9"/>
        <v/>
      </c>
      <c r="P863" s="56" t="str">
        <f t="shared" si="10"/>
        <v/>
      </c>
      <c r="Q863" s="105"/>
      <c r="R863" s="10"/>
      <c r="S863" s="59" t="str">
        <f t="array" ref="S863">IF(COUNTA(Q863:Q1644)=0,"",SUM((COUNTIF(Q$4:Q863,Upgrades!$B$3:$B$13)-COUNTIF(Q$4:Q863,"Sell_"&amp;Upgrades!$B$3:$B$13))*Upgrades!$D$3:$D$13))</f>
        <v/>
      </c>
      <c r="T863" s="66" t="str">
        <f>IFERROR(__xludf.DUMMYFUNCTION("IF(COUNTA(Q863:Q1644)=0,"""",IF(REGEXMATCH(INDEX(FILTER(Q$4:Q863,Q$4:Q863&lt;&gt;""""),ROWS(FILTER(Q$4:Q863,Q$4:Q863&lt;&gt;""""))),""^Sell_""),INDEX(FILTER(T$4:T862,Q$4:Q862&lt;&gt;""""),ROWS(FILTER(Q$4:Q862,Q$4:Q862&lt;&gt;""""))),$AD$5+S863))"),"")</f>
        <v/>
      </c>
      <c r="U863" s="10" t="str">
        <f>IFERROR(__xludf.DUMMYFUNCTION("IF(COUNTA(Q863:Q1644)=0,"""",IF(Q863="""",0,IF(REGEXMATCH(Q863,""^Sell_""),-ROUNDDOWN(ROUNDUP(INDEX(Upgrades!$C$3:$C$13,MATCH(SUBSTITUTE(Q863,""Sell_"",""""),Upgrades!$B$3:$B$13,0))*1.15^(COUNTIF(Q$4:Q862,SUBSTITUTE(Q863,""Sell_"",""""))-COUNTIF(Q$4:Q862,"&amp;"""Sell_""&amp;SUBSTITUTE(Q863,""Sell_"",""""))))/2),ROUNDUP(INDEX(Upgrades!$C$3:$C$13,MATCH(Q863,Upgrades!$B$3:$B$13,0))*1.15^(COUNTIF(Q$4:Q862,Q863)-COUNTIF(Q$4:Q862,""Sell_""&amp;Q863))))))"),"")</f>
        <v/>
      </c>
      <c r="V863" s="10" t="str">
        <f t="shared" si="11"/>
        <v/>
      </c>
      <c r="W863" s="68" t="str">
        <f t="shared" si="12"/>
        <v/>
      </c>
      <c r="X863" s="59" t="str">
        <f t="shared" si="13"/>
        <v/>
      </c>
      <c r="Y863" s="69" t="str">
        <f t="shared" si="14"/>
        <v/>
      </c>
      <c r="Z863" s="11"/>
      <c r="AG863" s="59"/>
    </row>
    <row r="864">
      <c r="A864" s="8"/>
      <c r="B864" s="56" t="str">
        <f t="shared" si="2"/>
        <v/>
      </c>
      <c r="C864" s="105"/>
      <c r="D864" s="10"/>
      <c r="E864" s="59" t="str">
        <f t="array" ref="E864">IF(COUNTA(C864:C1644)=0,"",SUM((COUNTIF(C$4:C864,Upgrades!$B$3:$B$13)-COUNTIF(C$4:C864,"Sell_"&amp;Upgrades!$B$3:$B$13))*Upgrades!$D$3:$D$13))</f>
        <v/>
      </c>
      <c r="F864" s="66" t="str">
        <f>IFERROR(__xludf.DUMMYFUNCTION("IF(COUNTA(C864:C1644)=0,"""",IF(REGEXMATCH(INDEX(FILTER(C$4:C864,C$4:C864&lt;&gt;""""),ROWS(FILTER(C$4:C864,C$4:C864&lt;&gt;""""))),""^Sell_""),INDEX(FILTER(F$4:F863,C$4:C863&lt;&gt;""""),ROWS(FILTER(C$4:C863,C$4:C863&lt;&gt;""""))),$AC$5+E864))"),"")</f>
        <v/>
      </c>
      <c r="G864" s="10" t="str">
        <f>IFERROR(__xludf.DUMMYFUNCTION("IF(COUNTA(C864:C1644)=0,"""",IF(C864="""",0,IF(REGEXMATCH(C864,""^Sell_""),-ROUNDDOWN(ROUNDUP(INDEX(Upgrades!$C$3:$C$13,MATCH(SUBSTITUTE(C864,""Sell_"",""""),Upgrades!$B$3:$B$13,0))*1.15^(COUNTIF(C$4:C863,SUBSTITUTE(C864,""Sell_"",""""))-COUNTIF(C$4:C863,"&amp;"""Sell_""&amp;SUBSTITUTE(C864,""Sell_"",""""))))/2),ROUNDUP(INDEX(Upgrades!$C$3:$C$13,MATCH(C864,Upgrades!$B$3:$B$13,0))*1.15^(COUNTIF(C$4:C863,C864)-COUNTIF(C$4:C863,""Sell_""&amp;C864))))))"),"")</f>
        <v/>
      </c>
      <c r="H864" s="10" t="str">
        <f t="shared" si="3"/>
        <v/>
      </c>
      <c r="I864" s="68" t="str">
        <f t="shared" si="4"/>
        <v/>
      </c>
      <c r="J864" s="59" t="str">
        <f t="shared" si="5"/>
        <v/>
      </c>
      <c r="K864" s="69" t="str">
        <f t="shared" si="6"/>
        <v/>
      </c>
      <c r="L864" s="60" t="str">
        <f t="shared" si="7"/>
        <v/>
      </c>
      <c r="M864" s="61" t="str">
        <f>IFERROR(__xludf.DUMMYFUNCTION("IFS(AND(COUNTA(C864:C1644)=0,COUNTA(Q864:Q1644)=0),"""",OR(AND(K864&gt;=1000000000,OR(Y864&gt;=1000000000,COUNTA(Q864:Q1644)=0)),OR(Y864&gt;=1000000000,AND(COUNTA(C864:C1644)=0,P$3=TRUE))),
ROUNDDOWN((AB$1-AC$1)*MAX(INDEX(T$4:T1644,MATCH(LARGE(FILTER(Y$4:Y1644,Y$4"&amp;":Y1644&lt;1000000000),1),Y$4:Y1644)),INDEX(F$4:F1644,MATCH(LARGE(FILTER(K$4:K1644,K$4:K1644&lt;1000000000),1),K$4:K1644)))),AND(K864&lt;1000000000,COUNTA(C864:C1644)&gt;0,P$3=FALSE),
ROUNDDOWN(INDEX(Y$4:Y1644,MATCH(LARGE(FILTER(W$4:W1644,W$4:W1644&lt;=I864),1),W$4:W1644"&amp;"))+(I864-LARGE(FILTER(W$4:W1644,W$4:W1644&lt;=I864),1))*INDEX(T$4:T1644,MATCH(LARGE(FILTER(W$4:W1644,W$4:W1644&lt;=I864),1),W$4:W1644))-K864),1,
ROUNDDOWN(Y864-INDEX(K$4:K1644,MATCH(LARGE(FILTER(I$4:I1644,I$4:I1644&lt;=W864),1),I$4:I1644))-(W864-LARGE(FILTER(I$4:I"&amp;"1644,I$4:I1644&lt;=W864),1))*INDEX(F$4:F1644,MATCH(LARGE(FILTER(I$4:I1644,I$4:I1644&lt;=W864),1),I$4:I1644))))"),"")</f>
        <v/>
      </c>
      <c r="N864" s="60" t="str">
        <f t="shared" si="8"/>
        <v/>
      </c>
      <c r="O864" s="61" t="str">
        <f t="shared" si="9"/>
        <v/>
      </c>
      <c r="P864" s="56" t="str">
        <f t="shared" si="10"/>
        <v/>
      </c>
      <c r="Q864" s="105"/>
      <c r="R864" s="10"/>
      <c r="S864" s="59" t="str">
        <f t="array" ref="S864">IF(COUNTA(Q864:Q1644)=0,"",SUM((COUNTIF(Q$4:Q864,Upgrades!$B$3:$B$13)-COUNTIF(Q$4:Q864,"Sell_"&amp;Upgrades!$B$3:$B$13))*Upgrades!$D$3:$D$13))</f>
        <v/>
      </c>
      <c r="T864" s="66" t="str">
        <f>IFERROR(__xludf.DUMMYFUNCTION("IF(COUNTA(Q864:Q1644)=0,"""",IF(REGEXMATCH(INDEX(FILTER(Q$4:Q864,Q$4:Q864&lt;&gt;""""),ROWS(FILTER(Q$4:Q864,Q$4:Q864&lt;&gt;""""))),""^Sell_""),INDEX(FILTER(T$4:T863,Q$4:Q863&lt;&gt;""""),ROWS(FILTER(Q$4:Q863,Q$4:Q863&lt;&gt;""""))),$AD$5+S864))"),"")</f>
        <v/>
      </c>
      <c r="U864" s="10" t="str">
        <f>IFERROR(__xludf.DUMMYFUNCTION("IF(COUNTA(Q864:Q1644)=0,"""",IF(Q864="""",0,IF(REGEXMATCH(Q864,""^Sell_""),-ROUNDDOWN(ROUNDUP(INDEX(Upgrades!$C$3:$C$13,MATCH(SUBSTITUTE(Q864,""Sell_"",""""),Upgrades!$B$3:$B$13,0))*1.15^(COUNTIF(Q$4:Q863,SUBSTITUTE(Q864,""Sell_"",""""))-COUNTIF(Q$4:Q863,"&amp;"""Sell_""&amp;SUBSTITUTE(Q864,""Sell_"",""""))))/2),ROUNDUP(INDEX(Upgrades!$C$3:$C$13,MATCH(Q864,Upgrades!$B$3:$B$13,0))*1.15^(COUNTIF(Q$4:Q863,Q864)-COUNTIF(Q$4:Q863,""Sell_""&amp;Q864))))))"),"")</f>
        <v/>
      </c>
      <c r="V864" s="10" t="str">
        <f t="shared" si="11"/>
        <v/>
      </c>
      <c r="W864" s="68" t="str">
        <f t="shared" si="12"/>
        <v/>
      </c>
      <c r="X864" s="59" t="str">
        <f t="shared" si="13"/>
        <v/>
      </c>
      <c r="Y864" s="69" t="str">
        <f t="shared" si="14"/>
        <v/>
      </c>
      <c r="Z864" s="11"/>
      <c r="AG864" s="59"/>
    </row>
    <row r="865">
      <c r="A865" s="8"/>
      <c r="B865" s="56" t="str">
        <f t="shared" si="2"/>
        <v/>
      </c>
      <c r="C865" s="105"/>
      <c r="D865" s="10"/>
      <c r="E865" s="59" t="str">
        <f t="array" ref="E865">IF(COUNTA(C865:C1644)=0,"",SUM((COUNTIF(C$4:C865,Upgrades!$B$3:$B$13)-COUNTIF(C$4:C865,"Sell_"&amp;Upgrades!$B$3:$B$13))*Upgrades!$D$3:$D$13))</f>
        <v/>
      </c>
      <c r="F865" s="66" t="str">
        <f>IFERROR(__xludf.DUMMYFUNCTION("IF(COUNTA(C865:C1644)=0,"""",IF(REGEXMATCH(INDEX(FILTER(C$4:C865,C$4:C865&lt;&gt;""""),ROWS(FILTER(C$4:C865,C$4:C865&lt;&gt;""""))),""^Sell_""),INDEX(FILTER(F$4:F864,C$4:C864&lt;&gt;""""),ROWS(FILTER(C$4:C864,C$4:C864&lt;&gt;""""))),$AC$5+E865))"),"")</f>
        <v/>
      </c>
      <c r="G865" s="10" t="str">
        <f>IFERROR(__xludf.DUMMYFUNCTION("IF(COUNTA(C865:C1644)=0,"""",IF(C865="""",0,IF(REGEXMATCH(C865,""^Sell_""),-ROUNDDOWN(ROUNDUP(INDEX(Upgrades!$C$3:$C$13,MATCH(SUBSTITUTE(C865,""Sell_"",""""),Upgrades!$B$3:$B$13,0))*1.15^(COUNTIF(C$4:C864,SUBSTITUTE(C865,""Sell_"",""""))-COUNTIF(C$4:C864,"&amp;"""Sell_""&amp;SUBSTITUTE(C865,""Sell_"",""""))))/2),ROUNDUP(INDEX(Upgrades!$C$3:$C$13,MATCH(C865,Upgrades!$B$3:$B$13,0))*1.15^(COUNTIF(C$4:C864,C865)-COUNTIF(C$4:C864,""Sell_""&amp;C865))))))"),"")</f>
        <v/>
      </c>
      <c r="H865" s="10" t="str">
        <f t="shared" si="3"/>
        <v/>
      </c>
      <c r="I865" s="68" t="str">
        <f t="shared" si="4"/>
        <v/>
      </c>
      <c r="J865" s="59" t="str">
        <f t="shared" si="5"/>
        <v/>
      </c>
      <c r="K865" s="69" t="str">
        <f t="shared" si="6"/>
        <v/>
      </c>
      <c r="L865" s="60" t="str">
        <f t="shared" si="7"/>
        <v/>
      </c>
      <c r="M865" s="61" t="str">
        <f>IFERROR(__xludf.DUMMYFUNCTION("IFS(AND(COUNTA(C865:C1644)=0,COUNTA(Q865:Q1644)=0),"""",OR(AND(K865&gt;=1000000000,OR(Y865&gt;=1000000000,COUNTA(Q865:Q1644)=0)),OR(Y865&gt;=1000000000,AND(COUNTA(C865:C1644)=0,P$3=TRUE))),
ROUNDDOWN((AB$1-AC$1)*MAX(INDEX(T$4:T1644,MATCH(LARGE(FILTER(Y$4:Y1644,Y$4"&amp;":Y1644&lt;1000000000),1),Y$4:Y1644)),INDEX(F$4:F1644,MATCH(LARGE(FILTER(K$4:K1644,K$4:K1644&lt;1000000000),1),K$4:K1644)))),AND(K865&lt;1000000000,COUNTA(C865:C1644)&gt;0,P$3=FALSE),
ROUNDDOWN(INDEX(Y$4:Y1644,MATCH(LARGE(FILTER(W$4:W1644,W$4:W1644&lt;=I865),1),W$4:W1644"&amp;"))+(I865-LARGE(FILTER(W$4:W1644,W$4:W1644&lt;=I865),1))*INDEX(T$4:T1644,MATCH(LARGE(FILTER(W$4:W1644,W$4:W1644&lt;=I865),1),W$4:W1644))-K865),1,
ROUNDDOWN(Y865-INDEX(K$4:K1644,MATCH(LARGE(FILTER(I$4:I1644,I$4:I1644&lt;=W865),1),I$4:I1644))-(W865-LARGE(FILTER(I$4:I"&amp;"1644,I$4:I1644&lt;=W865),1))*INDEX(F$4:F1644,MATCH(LARGE(FILTER(I$4:I1644,I$4:I1644&lt;=W865),1),I$4:I1644))))"),"")</f>
        <v/>
      </c>
      <c r="N865" s="60" t="str">
        <f t="shared" si="8"/>
        <v/>
      </c>
      <c r="O865" s="61" t="str">
        <f t="shared" si="9"/>
        <v/>
      </c>
      <c r="P865" s="56" t="str">
        <f t="shared" si="10"/>
        <v/>
      </c>
      <c r="Q865" s="105"/>
      <c r="R865" s="10"/>
      <c r="S865" s="59" t="str">
        <f t="array" ref="S865">IF(COUNTA(Q865:Q1644)=0,"",SUM((COUNTIF(Q$4:Q865,Upgrades!$B$3:$B$13)-COUNTIF(Q$4:Q865,"Sell_"&amp;Upgrades!$B$3:$B$13))*Upgrades!$D$3:$D$13))</f>
        <v/>
      </c>
      <c r="T865" s="66" t="str">
        <f>IFERROR(__xludf.DUMMYFUNCTION("IF(COUNTA(Q865:Q1644)=0,"""",IF(REGEXMATCH(INDEX(FILTER(Q$4:Q865,Q$4:Q865&lt;&gt;""""),ROWS(FILTER(Q$4:Q865,Q$4:Q865&lt;&gt;""""))),""^Sell_""),INDEX(FILTER(T$4:T864,Q$4:Q864&lt;&gt;""""),ROWS(FILTER(Q$4:Q864,Q$4:Q864&lt;&gt;""""))),$AD$5+S865))"),"")</f>
        <v/>
      </c>
      <c r="U865" s="10" t="str">
        <f>IFERROR(__xludf.DUMMYFUNCTION("IF(COUNTA(Q865:Q1644)=0,"""",IF(Q865="""",0,IF(REGEXMATCH(Q865,""^Sell_""),-ROUNDDOWN(ROUNDUP(INDEX(Upgrades!$C$3:$C$13,MATCH(SUBSTITUTE(Q865,""Sell_"",""""),Upgrades!$B$3:$B$13,0))*1.15^(COUNTIF(Q$4:Q864,SUBSTITUTE(Q865,""Sell_"",""""))-COUNTIF(Q$4:Q864,"&amp;"""Sell_""&amp;SUBSTITUTE(Q865,""Sell_"",""""))))/2),ROUNDUP(INDEX(Upgrades!$C$3:$C$13,MATCH(Q865,Upgrades!$B$3:$B$13,0))*1.15^(COUNTIF(Q$4:Q864,Q865)-COUNTIF(Q$4:Q864,""Sell_""&amp;Q865))))))"),"")</f>
        <v/>
      </c>
      <c r="V865" s="10" t="str">
        <f t="shared" si="11"/>
        <v/>
      </c>
      <c r="W865" s="68" t="str">
        <f t="shared" si="12"/>
        <v/>
      </c>
      <c r="X865" s="59" t="str">
        <f t="shared" si="13"/>
        <v/>
      </c>
      <c r="Y865" s="69" t="str">
        <f t="shared" si="14"/>
        <v/>
      </c>
      <c r="Z865" s="11"/>
      <c r="AG865" s="59"/>
    </row>
    <row r="866">
      <c r="A866" s="8"/>
      <c r="B866" s="56" t="str">
        <f t="shared" si="2"/>
        <v/>
      </c>
      <c r="C866" s="105"/>
      <c r="D866" s="10"/>
      <c r="E866" s="59" t="str">
        <f t="array" ref="E866">IF(COUNTA(C866:C1644)=0,"",SUM((COUNTIF(C$4:C866,Upgrades!$B$3:$B$13)-COUNTIF(C$4:C866,"Sell_"&amp;Upgrades!$B$3:$B$13))*Upgrades!$D$3:$D$13))</f>
        <v/>
      </c>
      <c r="F866" s="66" t="str">
        <f>IFERROR(__xludf.DUMMYFUNCTION("IF(COUNTA(C866:C1644)=0,"""",IF(REGEXMATCH(INDEX(FILTER(C$4:C866,C$4:C866&lt;&gt;""""),ROWS(FILTER(C$4:C866,C$4:C866&lt;&gt;""""))),""^Sell_""),INDEX(FILTER(F$4:F865,C$4:C865&lt;&gt;""""),ROWS(FILTER(C$4:C865,C$4:C865&lt;&gt;""""))),$AC$5+E866))"),"")</f>
        <v/>
      </c>
      <c r="G866" s="10" t="str">
        <f>IFERROR(__xludf.DUMMYFUNCTION("IF(COUNTA(C866:C1644)=0,"""",IF(C866="""",0,IF(REGEXMATCH(C866,""^Sell_""),-ROUNDDOWN(ROUNDUP(INDEX(Upgrades!$C$3:$C$13,MATCH(SUBSTITUTE(C866,""Sell_"",""""),Upgrades!$B$3:$B$13,0))*1.15^(COUNTIF(C$4:C865,SUBSTITUTE(C866,""Sell_"",""""))-COUNTIF(C$4:C865,"&amp;"""Sell_""&amp;SUBSTITUTE(C866,""Sell_"",""""))))/2),ROUNDUP(INDEX(Upgrades!$C$3:$C$13,MATCH(C866,Upgrades!$B$3:$B$13,0))*1.15^(COUNTIF(C$4:C865,C866)-COUNTIF(C$4:C865,""Sell_""&amp;C866))))))"),"")</f>
        <v/>
      </c>
      <c r="H866" s="10" t="str">
        <f t="shared" si="3"/>
        <v/>
      </c>
      <c r="I866" s="68" t="str">
        <f t="shared" si="4"/>
        <v/>
      </c>
      <c r="J866" s="59" t="str">
        <f t="shared" si="5"/>
        <v/>
      </c>
      <c r="K866" s="69" t="str">
        <f t="shared" si="6"/>
        <v/>
      </c>
      <c r="L866" s="60" t="str">
        <f t="shared" si="7"/>
        <v/>
      </c>
      <c r="M866" s="61" t="str">
        <f>IFERROR(__xludf.DUMMYFUNCTION("IFS(AND(COUNTA(C866:C1644)=0,COUNTA(Q866:Q1644)=0),"""",OR(AND(K866&gt;=1000000000,OR(Y866&gt;=1000000000,COUNTA(Q866:Q1644)=0)),OR(Y866&gt;=1000000000,AND(COUNTA(C866:C1644)=0,P$3=TRUE))),
ROUNDDOWN((AB$1-AC$1)*MAX(INDEX(T$4:T1644,MATCH(LARGE(FILTER(Y$4:Y1644,Y$4"&amp;":Y1644&lt;1000000000),1),Y$4:Y1644)),INDEX(F$4:F1644,MATCH(LARGE(FILTER(K$4:K1644,K$4:K1644&lt;1000000000),1),K$4:K1644)))),AND(K866&lt;1000000000,COUNTA(C866:C1644)&gt;0,P$3=FALSE),
ROUNDDOWN(INDEX(Y$4:Y1644,MATCH(LARGE(FILTER(W$4:W1644,W$4:W1644&lt;=I866),1),W$4:W1644"&amp;"))+(I866-LARGE(FILTER(W$4:W1644,W$4:W1644&lt;=I866),1))*INDEX(T$4:T1644,MATCH(LARGE(FILTER(W$4:W1644,W$4:W1644&lt;=I866),1),W$4:W1644))-K866),1,
ROUNDDOWN(Y866-INDEX(K$4:K1644,MATCH(LARGE(FILTER(I$4:I1644,I$4:I1644&lt;=W866),1),I$4:I1644))-(W866-LARGE(FILTER(I$4:I"&amp;"1644,I$4:I1644&lt;=W866),1))*INDEX(F$4:F1644,MATCH(LARGE(FILTER(I$4:I1644,I$4:I1644&lt;=W866),1),I$4:I1644))))"),"")</f>
        <v/>
      </c>
      <c r="N866" s="60" t="str">
        <f t="shared" si="8"/>
        <v/>
      </c>
      <c r="O866" s="61" t="str">
        <f t="shared" si="9"/>
        <v/>
      </c>
      <c r="P866" s="56" t="str">
        <f t="shared" si="10"/>
        <v/>
      </c>
      <c r="Q866" s="105"/>
      <c r="R866" s="10"/>
      <c r="S866" s="59" t="str">
        <f t="array" ref="S866">IF(COUNTA(Q866:Q1644)=0,"",SUM((COUNTIF(Q$4:Q866,Upgrades!$B$3:$B$13)-COUNTIF(Q$4:Q866,"Sell_"&amp;Upgrades!$B$3:$B$13))*Upgrades!$D$3:$D$13))</f>
        <v/>
      </c>
      <c r="T866" s="66" t="str">
        <f>IFERROR(__xludf.DUMMYFUNCTION("IF(COUNTA(Q866:Q1644)=0,"""",IF(REGEXMATCH(INDEX(FILTER(Q$4:Q866,Q$4:Q866&lt;&gt;""""),ROWS(FILTER(Q$4:Q866,Q$4:Q866&lt;&gt;""""))),""^Sell_""),INDEX(FILTER(T$4:T865,Q$4:Q865&lt;&gt;""""),ROWS(FILTER(Q$4:Q865,Q$4:Q865&lt;&gt;""""))),$AD$5+S866))"),"")</f>
        <v/>
      </c>
      <c r="U866" s="10" t="str">
        <f>IFERROR(__xludf.DUMMYFUNCTION("IF(COUNTA(Q866:Q1644)=0,"""",IF(Q866="""",0,IF(REGEXMATCH(Q866,""^Sell_""),-ROUNDDOWN(ROUNDUP(INDEX(Upgrades!$C$3:$C$13,MATCH(SUBSTITUTE(Q866,""Sell_"",""""),Upgrades!$B$3:$B$13,0))*1.15^(COUNTIF(Q$4:Q865,SUBSTITUTE(Q866,""Sell_"",""""))-COUNTIF(Q$4:Q865,"&amp;"""Sell_""&amp;SUBSTITUTE(Q866,""Sell_"",""""))))/2),ROUNDUP(INDEX(Upgrades!$C$3:$C$13,MATCH(Q866,Upgrades!$B$3:$B$13,0))*1.15^(COUNTIF(Q$4:Q865,Q866)-COUNTIF(Q$4:Q865,""Sell_""&amp;Q866))))))"),"")</f>
        <v/>
      </c>
      <c r="V866" s="10" t="str">
        <f t="shared" si="11"/>
        <v/>
      </c>
      <c r="W866" s="68" t="str">
        <f t="shared" si="12"/>
        <v/>
      </c>
      <c r="X866" s="59" t="str">
        <f t="shared" si="13"/>
        <v/>
      </c>
      <c r="Y866" s="69" t="str">
        <f t="shared" si="14"/>
        <v/>
      </c>
      <c r="Z866" s="11"/>
      <c r="AG866" s="59"/>
    </row>
    <row r="867">
      <c r="A867" s="8"/>
      <c r="B867" s="56" t="str">
        <f t="shared" si="2"/>
        <v/>
      </c>
      <c r="C867" s="105"/>
      <c r="D867" s="10"/>
      <c r="E867" s="59" t="str">
        <f t="array" ref="E867">IF(COUNTA(C867:C1644)=0,"",SUM((COUNTIF(C$4:C867,Upgrades!$B$3:$B$13)-COUNTIF(C$4:C867,"Sell_"&amp;Upgrades!$B$3:$B$13))*Upgrades!$D$3:$D$13))</f>
        <v/>
      </c>
      <c r="F867" s="66" t="str">
        <f>IFERROR(__xludf.DUMMYFUNCTION("IF(COUNTA(C867:C1644)=0,"""",IF(REGEXMATCH(INDEX(FILTER(C$4:C867,C$4:C867&lt;&gt;""""),ROWS(FILTER(C$4:C867,C$4:C867&lt;&gt;""""))),""^Sell_""),INDEX(FILTER(F$4:F866,C$4:C866&lt;&gt;""""),ROWS(FILTER(C$4:C866,C$4:C866&lt;&gt;""""))),$AC$5+E867))"),"")</f>
        <v/>
      </c>
      <c r="G867" s="10" t="str">
        <f>IFERROR(__xludf.DUMMYFUNCTION("IF(COUNTA(C867:C1644)=0,"""",IF(C867="""",0,IF(REGEXMATCH(C867,""^Sell_""),-ROUNDDOWN(ROUNDUP(INDEX(Upgrades!$C$3:$C$13,MATCH(SUBSTITUTE(C867,""Sell_"",""""),Upgrades!$B$3:$B$13,0))*1.15^(COUNTIF(C$4:C866,SUBSTITUTE(C867,""Sell_"",""""))-COUNTIF(C$4:C866,"&amp;"""Sell_""&amp;SUBSTITUTE(C867,""Sell_"",""""))))/2),ROUNDUP(INDEX(Upgrades!$C$3:$C$13,MATCH(C867,Upgrades!$B$3:$B$13,0))*1.15^(COUNTIF(C$4:C866,C867)-COUNTIF(C$4:C866,""Sell_""&amp;C867))))))"),"")</f>
        <v/>
      </c>
      <c r="H867" s="10" t="str">
        <f t="shared" si="3"/>
        <v/>
      </c>
      <c r="I867" s="68" t="str">
        <f t="shared" si="4"/>
        <v/>
      </c>
      <c r="J867" s="59" t="str">
        <f t="shared" si="5"/>
        <v/>
      </c>
      <c r="K867" s="69" t="str">
        <f t="shared" si="6"/>
        <v/>
      </c>
      <c r="L867" s="60" t="str">
        <f t="shared" si="7"/>
        <v/>
      </c>
      <c r="M867" s="61" t="str">
        <f>IFERROR(__xludf.DUMMYFUNCTION("IFS(AND(COUNTA(C867:C1644)=0,COUNTA(Q867:Q1644)=0),"""",OR(AND(K867&gt;=1000000000,OR(Y867&gt;=1000000000,COUNTA(Q867:Q1644)=0)),OR(Y867&gt;=1000000000,AND(COUNTA(C867:C1644)=0,P$3=TRUE))),
ROUNDDOWN((AB$1-AC$1)*MAX(INDEX(T$4:T1644,MATCH(LARGE(FILTER(Y$4:Y1644,Y$4"&amp;":Y1644&lt;1000000000),1),Y$4:Y1644)),INDEX(F$4:F1644,MATCH(LARGE(FILTER(K$4:K1644,K$4:K1644&lt;1000000000),1),K$4:K1644)))),AND(K867&lt;1000000000,COUNTA(C867:C1644)&gt;0,P$3=FALSE),
ROUNDDOWN(INDEX(Y$4:Y1644,MATCH(LARGE(FILTER(W$4:W1644,W$4:W1644&lt;=I867),1),W$4:W1644"&amp;"))+(I867-LARGE(FILTER(W$4:W1644,W$4:W1644&lt;=I867),1))*INDEX(T$4:T1644,MATCH(LARGE(FILTER(W$4:W1644,W$4:W1644&lt;=I867),1),W$4:W1644))-K867),1,
ROUNDDOWN(Y867-INDEX(K$4:K1644,MATCH(LARGE(FILTER(I$4:I1644,I$4:I1644&lt;=W867),1),I$4:I1644))-(W867-LARGE(FILTER(I$4:I"&amp;"1644,I$4:I1644&lt;=W867),1))*INDEX(F$4:F1644,MATCH(LARGE(FILTER(I$4:I1644,I$4:I1644&lt;=W867),1),I$4:I1644))))"),"")</f>
        <v/>
      </c>
      <c r="N867" s="60" t="str">
        <f t="shared" si="8"/>
        <v/>
      </c>
      <c r="O867" s="61" t="str">
        <f t="shared" si="9"/>
        <v/>
      </c>
      <c r="P867" s="56" t="str">
        <f t="shared" si="10"/>
        <v/>
      </c>
      <c r="Q867" s="105"/>
      <c r="R867" s="10"/>
      <c r="S867" s="59" t="str">
        <f t="array" ref="S867">IF(COUNTA(Q867:Q1644)=0,"",SUM((COUNTIF(Q$4:Q867,Upgrades!$B$3:$B$13)-COUNTIF(Q$4:Q867,"Sell_"&amp;Upgrades!$B$3:$B$13))*Upgrades!$D$3:$D$13))</f>
        <v/>
      </c>
      <c r="T867" s="66" t="str">
        <f>IFERROR(__xludf.DUMMYFUNCTION("IF(COUNTA(Q867:Q1644)=0,"""",IF(REGEXMATCH(INDEX(FILTER(Q$4:Q867,Q$4:Q867&lt;&gt;""""),ROWS(FILTER(Q$4:Q867,Q$4:Q867&lt;&gt;""""))),""^Sell_""),INDEX(FILTER(T$4:T866,Q$4:Q866&lt;&gt;""""),ROWS(FILTER(Q$4:Q866,Q$4:Q866&lt;&gt;""""))),$AD$5+S867))"),"")</f>
        <v/>
      </c>
      <c r="U867" s="10" t="str">
        <f>IFERROR(__xludf.DUMMYFUNCTION("IF(COUNTA(Q867:Q1644)=0,"""",IF(Q867="""",0,IF(REGEXMATCH(Q867,""^Sell_""),-ROUNDDOWN(ROUNDUP(INDEX(Upgrades!$C$3:$C$13,MATCH(SUBSTITUTE(Q867,""Sell_"",""""),Upgrades!$B$3:$B$13,0))*1.15^(COUNTIF(Q$4:Q866,SUBSTITUTE(Q867,""Sell_"",""""))-COUNTIF(Q$4:Q866,"&amp;"""Sell_""&amp;SUBSTITUTE(Q867,""Sell_"",""""))))/2),ROUNDUP(INDEX(Upgrades!$C$3:$C$13,MATCH(Q867,Upgrades!$B$3:$B$13,0))*1.15^(COUNTIF(Q$4:Q866,Q867)-COUNTIF(Q$4:Q866,""Sell_""&amp;Q867))))))"),"")</f>
        <v/>
      </c>
      <c r="V867" s="10" t="str">
        <f t="shared" si="11"/>
        <v/>
      </c>
      <c r="W867" s="68" t="str">
        <f t="shared" si="12"/>
        <v/>
      </c>
      <c r="X867" s="59" t="str">
        <f t="shared" si="13"/>
        <v/>
      </c>
      <c r="Y867" s="69" t="str">
        <f t="shared" si="14"/>
        <v/>
      </c>
      <c r="Z867" s="11"/>
      <c r="AG867" s="59"/>
    </row>
    <row r="868">
      <c r="A868" s="8"/>
      <c r="B868" s="56" t="str">
        <f t="shared" si="2"/>
        <v/>
      </c>
      <c r="C868" s="105"/>
      <c r="D868" s="10"/>
      <c r="E868" s="59" t="str">
        <f t="array" ref="E868">IF(COUNTA(C868:C1644)=0,"",SUM((COUNTIF(C$4:C868,Upgrades!$B$3:$B$13)-COUNTIF(C$4:C868,"Sell_"&amp;Upgrades!$B$3:$B$13))*Upgrades!$D$3:$D$13))</f>
        <v/>
      </c>
      <c r="F868" s="66" t="str">
        <f>IFERROR(__xludf.DUMMYFUNCTION("IF(COUNTA(C868:C1644)=0,"""",IF(REGEXMATCH(INDEX(FILTER(C$4:C868,C$4:C868&lt;&gt;""""),ROWS(FILTER(C$4:C868,C$4:C868&lt;&gt;""""))),""^Sell_""),INDEX(FILTER(F$4:F867,C$4:C867&lt;&gt;""""),ROWS(FILTER(C$4:C867,C$4:C867&lt;&gt;""""))),$AC$5+E868))"),"")</f>
        <v/>
      </c>
      <c r="G868" s="10" t="str">
        <f>IFERROR(__xludf.DUMMYFUNCTION("IF(COUNTA(C868:C1644)=0,"""",IF(C868="""",0,IF(REGEXMATCH(C868,""^Sell_""),-ROUNDDOWN(ROUNDUP(INDEX(Upgrades!$C$3:$C$13,MATCH(SUBSTITUTE(C868,""Sell_"",""""),Upgrades!$B$3:$B$13,0))*1.15^(COUNTIF(C$4:C867,SUBSTITUTE(C868,""Sell_"",""""))-COUNTIF(C$4:C867,"&amp;"""Sell_""&amp;SUBSTITUTE(C868,""Sell_"",""""))))/2),ROUNDUP(INDEX(Upgrades!$C$3:$C$13,MATCH(C868,Upgrades!$B$3:$B$13,0))*1.15^(COUNTIF(C$4:C867,C868)-COUNTIF(C$4:C867,""Sell_""&amp;C868))))))"),"")</f>
        <v/>
      </c>
      <c r="H868" s="10" t="str">
        <f t="shared" si="3"/>
        <v/>
      </c>
      <c r="I868" s="68" t="str">
        <f t="shared" si="4"/>
        <v/>
      </c>
      <c r="J868" s="59" t="str">
        <f t="shared" si="5"/>
        <v/>
      </c>
      <c r="K868" s="69" t="str">
        <f t="shared" si="6"/>
        <v/>
      </c>
      <c r="L868" s="60" t="str">
        <f t="shared" si="7"/>
        <v/>
      </c>
      <c r="M868" s="61" t="str">
        <f>IFERROR(__xludf.DUMMYFUNCTION("IFS(AND(COUNTA(C868:C1644)=0,COUNTA(Q868:Q1644)=0),"""",OR(AND(K868&gt;=1000000000,OR(Y868&gt;=1000000000,COUNTA(Q868:Q1644)=0)),OR(Y868&gt;=1000000000,AND(COUNTA(C868:C1644)=0,P$3=TRUE))),
ROUNDDOWN((AB$1-AC$1)*MAX(INDEX(T$4:T1644,MATCH(LARGE(FILTER(Y$4:Y1644,Y$4"&amp;":Y1644&lt;1000000000),1),Y$4:Y1644)),INDEX(F$4:F1644,MATCH(LARGE(FILTER(K$4:K1644,K$4:K1644&lt;1000000000),1),K$4:K1644)))),AND(K868&lt;1000000000,COUNTA(C868:C1644)&gt;0,P$3=FALSE),
ROUNDDOWN(INDEX(Y$4:Y1644,MATCH(LARGE(FILTER(W$4:W1644,W$4:W1644&lt;=I868),1),W$4:W1644"&amp;"))+(I868-LARGE(FILTER(W$4:W1644,W$4:W1644&lt;=I868),1))*INDEX(T$4:T1644,MATCH(LARGE(FILTER(W$4:W1644,W$4:W1644&lt;=I868),1),W$4:W1644))-K868),1,
ROUNDDOWN(Y868-INDEX(K$4:K1644,MATCH(LARGE(FILTER(I$4:I1644,I$4:I1644&lt;=W868),1),I$4:I1644))-(W868-LARGE(FILTER(I$4:I"&amp;"1644,I$4:I1644&lt;=W868),1))*INDEX(F$4:F1644,MATCH(LARGE(FILTER(I$4:I1644,I$4:I1644&lt;=W868),1),I$4:I1644))))"),"")</f>
        <v/>
      </c>
      <c r="N868" s="60" t="str">
        <f t="shared" si="8"/>
        <v/>
      </c>
      <c r="O868" s="61" t="str">
        <f t="shared" si="9"/>
        <v/>
      </c>
      <c r="P868" s="56" t="str">
        <f t="shared" si="10"/>
        <v/>
      </c>
      <c r="Q868" s="105"/>
      <c r="R868" s="10"/>
      <c r="S868" s="59" t="str">
        <f t="array" ref="S868">IF(COUNTA(Q868:Q1644)=0,"",SUM((COUNTIF(Q$4:Q868,Upgrades!$B$3:$B$13)-COUNTIF(Q$4:Q868,"Sell_"&amp;Upgrades!$B$3:$B$13))*Upgrades!$D$3:$D$13))</f>
        <v/>
      </c>
      <c r="T868" s="66" t="str">
        <f>IFERROR(__xludf.DUMMYFUNCTION("IF(COUNTA(Q868:Q1644)=0,"""",IF(REGEXMATCH(INDEX(FILTER(Q$4:Q868,Q$4:Q868&lt;&gt;""""),ROWS(FILTER(Q$4:Q868,Q$4:Q868&lt;&gt;""""))),""^Sell_""),INDEX(FILTER(T$4:T867,Q$4:Q867&lt;&gt;""""),ROWS(FILTER(Q$4:Q867,Q$4:Q867&lt;&gt;""""))),$AD$5+S868))"),"")</f>
        <v/>
      </c>
      <c r="U868" s="10" t="str">
        <f>IFERROR(__xludf.DUMMYFUNCTION("IF(COUNTA(Q868:Q1644)=0,"""",IF(Q868="""",0,IF(REGEXMATCH(Q868,""^Sell_""),-ROUNDDOWN(ROUNDUP(INDEX(Upgrades!$C$3:$C$13,MATCH(SUBSTITUTE(Q868,""Sell_"",""""),Upgrades!$B$3:$B$13,0))*1.15^(COUNTIF(Q$4:Q867,SUBSTITUTE(Q868,""Sell_"",""""))-COUNTIF(Q$4:Q867,"&amp;"""Sell_""&amp;SUBSTITUTE(Q868,""Sell_"",""""))))/2),ROUNDUP(INDEX(Upgrades!$C$3:$C$13,MATCH(Q868,Upgrades!$B$3:$B$13,0))*1.15^(COUNTIF(Q$4:Q867,Q868)-COUNTIF(Q$4:Q867,""Sell_""&amp;Q868))))))"),"")</f>
        <v/>
      </c>
      <c r="V868" s="10" t="str">
        <f t="shared" si="11"/>
        <v/>
      </c>
      <c r="W868" s="68" t="str">
        <f t="shared" si="12"/>
        <v/>
      </c>
      <c r="X868" s="59" t="str">
        <f t="shared" si="13"/>
        <v/>
      </c>
      <c r="Y868" s="69" t="str">
        <f t="shared" si="14"/>
        <v/>
      </c>
      <c r="Z868" s="11"/>
      <c r="AG868" s="59"/>
    </row>
    <row r="869">
      <c r="A869" s="8"/>
      <c r="B869" s="56" t="str">
        <f t="shared" si="2"/>
        <v/>
      </c>
      <c r="C869" s="105"/>
      <c r="D869" s="10"/>
      <c r="E869" s="59" t="str">
        <f t="array" ref="E869">IF(COUNTA(C869:C1644)=0,"",SUM((COUNTIF(C$4:C869,Upgrades!$B$3:$B$13)-COUNTIF(C$4:C869,"Sell_"&amp;Upgrades!$B$3:$B$13))*Upgrades!$D$3:$D$13))</f>
        <v/>
      </c>
      <c r="F869" s="66" t="str">
        <f>IFERROR(__xludf.DUMMYFUNCTION("IF(COUNTA(C869:C1644)=0,"""",IF(REGEXMATCH(INDEX(FILTER(C$4:C869,C$4:C869&lt;&gt;""""),ROWS(FILTER(C$4:C869,C$4:C869&lt;&gt;""""))),""^Sell_""),INDEX(FILTER(F$4:F868,C$4:C868&lt;&gt;""""),ROWS(FILTER(C$4:C868,C$4:C868&lt;&gt;""""))),$AC$5+E869))"),"")</f>
        <v/>
      </c>
      <c r="G869" s="10" t="str">
        <f>IFERROR(__xludf.DUMMYFUNCTION("IF(COUNTA(C869:C1644)=0,"""",IF(C869="""",0,IF(REGEXMATCH(C869,""^Sell_""),-ROUNDDOWN(ROUNDUP(INDEX(Upgrades!$C$3:$C$13,MATCH(SUBSTITUTE(C869,""Sell_"",""""),Upgrades!$B$3:$B$13,0))*1.15^(COUNTIF(C$4:C868,SUBSTITUTE(C869,""Sell_"",""""))-COUNTIF(C$4:C868,"&amp;"""Sell_""&amp;SUBSTITUTE(C869,""Sell_"",""""))))/2),ROUNDUP(INDEX(Upgrades!$C$3:$C$13,MATCH(C869,Upgrades!$B$3:$B$13,0))*1.15^(COUNTIF(C$4:C868,C869)-COUNTIF(C$4:C868,""Sell_""&amp;C869))))))"),"")</f>
        <v/>
      </c>
      <c r="H869" s="10" t="str">
        <f t="shared" si="3"/>
        <v/>
      </c>
      <c r="I869" s="68" t="str">
        <f t="shared" si="4"/>
        <v/>
      </c>
      <c r="J869" s="59" t="str">
        <f t="shared" si="5"/>
        <v/>
      </c>
      <c r="K869" s="69" t="str">
        <f t="shared" si="6"/>
        <v/>
      </c>
      <c r="L869" s="60" t="str">
        <f t="shared" si="7"/>
        <v/>
      </c>
      <c r="M869" s="61" t="str">
        <f>IFERROR(__xludf.DUMMYFUNCTION("IFS(AND(COUNTA(C869:C1644)=0,COUNTA(Q869:Q1644)=0),"""",OR(AND(K869&gt;=1000000000,OR(Y869&gt;=1000000000,COUNTA(Q869:Q1644)=0)),OR(Y869&gt;=1000000000,AND(COUNTA(C869:C1644)=0,P$3=TRUE))),
ROUNDDOWN((AB$1-AC$1)*MAX(INDEX(T$4:T1644,MATCH(LARGE(FILTER(Y$4:Y1644,Y$4"&amp;":Y1644&lt;1000000000),1),Y$4:Y1644)),INDEX(F$4:F1644,MATCH(LARGE(FILTER(K$4:K1644,K$4:K1644&lt;1000000000),1),K$4:K1644)))),AND(K869&lt;1000000000,COUNTA(C869:C1644)&gt;0,P$3=FALSE),
ROUNDDOWN(INDEX(Y$4:Y1644,MATCH(LARGE(FILTER(W$4:W1644,W$4:W1644&lt;=I869),1),W$4:W1644"&amp;"))+(I869-LARGE(FILTER(W$4:W1644,W$4:W1644&lt;=I869),1))*INDEX(T$4:T1644,MATCH(LARGE(FILTER(W$4:W1644,W$4:W1644&lt;=I869),1),W$4:W1644))-K869),1,
ROUNDDOWN(Y869-INDEX(K$4:K1644,MATCH(LARGE(FILTER(I$4:I1644,I$4:I1644&lt;=W869),1),I$4:I1644))-(W869-LARGE(FILTER(I$4:I"&amp;"1644,I$4:I1644&lt;=W869),1))*INDEX(F$4:F1644,MATCH(LARGE(FILTER(I$4:I1644,I$4:I1644&lt;=W869),1),I$4:I1644))))"),"")</f>
        <v/>
      </c>
      <c r="N869" s="60" t="str">
        <f t="shared" si="8"/>
        <v/>
      </c>
      <c r="O869" s="61" t="str">
        <f t="shared" si="9"/>
        <v/>
      </c>
      <c r="P869" s="56" t="str">
        <f t="shared" si="10"/>
        <v/>
      </c>
      <c r="Q869" s="105"/>
      <c r="R869" s="10"/>
      <c r="S869" s="59" t="str">
        <f t="array" ref="S869">IF(COUNTA(Q869:Q1644)=0,"",SUM((COUNTIF(Q$4:Q869,Upgrades!$B$3:$B$13)-COUNTIF(Q$4:Q869,"Sell_"&amp;Upgrades!$B$3:$B$13))*Upgrades!$D$3:$D$13))</f>
        <v/>
      </c>
      <c r="T869" s="66" t="str">
        <f>IFERROR(__xludf.DUMMYFUNCTION("IF(COUNTA(Q869:Q1644)=0,"""",IF(REGEXMATCH(INDEX(FILTER(Q$4:Q869,Q$4:Q869&lt;&gt;""""),ROWS(FILTER(Q$4:Q869,Q$4:Q869&lt;&gt;""""))),""^Sell_""),INDEX(FILTER(T$4:T868,Q$4:Q868&lt;&gt;""""),ROWS(FILTER(Q$4:Q868,Q$4:Q868&lt;&gt;""""))),$AD$5+S869))"),"")</f>
        <v/>
      </c>
      <c r="U869" s="10" t="str">
        <f>IFERROR(__xludf.DUMMYFUNCTION("IF(COUNTA(Q869:Q1644)=0,"""",IF(Q869="""",0,IF(REGEXMATCH(Q869,""^Sell_""),-ROUNDDOWN(ROUNDUP(INDEX(Upgrades!$C$3:$C$13,MATCH(SUBSTITUTE(Q869,""Sell_"",""""),Upgrades!$B$3:$B$13,0))*1.15^(COUNTIF(Q$4:Q868,SUBSTITUTE(Q869,""Sell_"",""""))-COUNTIF(Q$4:Q868,"&amp;"""Sell_""&amp;SUBSTITUTE(Q869,""Sell_"",""""))))/2),ROUNDUP(INDEX(Upgrades!$C$3:$C$13,MATCH(Q869,Upgrades!$B$3:$B$13,0))*1.15^(COUNTIF(Q$4:Q868,Q869)-COUNTIF(Q$4:Q868,""Sell_""&amp;Q869))))))"),"")</f>
        <v/>
      </c>
      <c r="V869" s="10" t="str">
        <f t="shared" si="11"/>
        <v/>
      </c>
      <c r="W869" s="68" t="str">
        <f t="shared" si="12"/>
        <v/>
      </c>
      <c r="X869" s="59" t="str">
        <f t="shared" si="13"/>
        <v/>
      </c>
      <c r="Y869" s="69" t="str">
        <f t="shared" si="14"/>
        <v/>
      </c>
      <c r="Z869" s="11"/>
      <c r="AG869" s="59"/>
    </row>
    <row r="870">
      <c r="A870" s="8"/>
      <c r="B870" s="56" t="str">
        <f t="shared" si="2"/>
        <v/>
      </c>
      <c r="C870" s="105"/>
      <c r="D870" s="10"/>
      <c r="E870" s="59" t="str">
        <f t="array" ref="E870">IF(COUNTA(C870:C1644)=0,"",SUM((COUNTIF(C$4:C870,Upgrades!$B$3:$B$13)-COUNTIF(C$4:C870,"Sell_"&amp;Upgrades!$B$3:$B$13))*Upgrades!$D$3:$D$13))</f>
        <v/>
      </c>
      <c r="F870" s="66" t="str">
        <f>IFERROR(__xludf.DUMMYFUNCTION("IF(COUNTA(C870:C1644)=0,"""",IF(REGEXMATCH(INDEX(FILTER(C$4:C870,C$4:C870&lt;&gt;""""),ROWS(FILTER(C$4:C870,C$4:C870&lt;&gt;""""))),""^Sell_""),INDEX(FILTER(F$4:F869,C$4:C869&lt;&gt;""""),ROWS(FILTER(C$4:C869,C$4:C869&lt;&gt;""""))),$AC$5+E870))"),"")</f>
        <v/>
      </c>
      <c r="G870" s="10" t="str">
        <f>IFERROR(__xludf.DUMMYFUNCTION("IF(COUNTA(C870:C1644)=0,"""",IF(C870="""",0,IF(REGEXMATCH(C870,""^Sell_""),-ROUNDDOWN(ROUNDUP(INDEX(Upgrades!$C$3:$C$13,MATCH(SUBSTITUTE(C870,""Sell_"",""""),Upgrades!$B$3:$B$13,0))*1.15^(COUNTIF(C$4:C869,SUBSTITUTE(C870,""Sell_"",""""))-COUNTIF(C$4:C869,"&amp;"""Sell_""&amp;SUBSTITUTE(C870,""Sell_"",""""))))/2),ROUNDUP(INDEX(Upgrades!$C$3:$C$13,MATCH(C870,Upgrades!$B$3:$B$13,0))*1.15^(COUNTIF(C$4:C869,C870)-COUNTIF(C$4:C869,""Sell_""&amp;C870))))))"),"")</f>
        <v/>
      </c>
      <c r="H870" s="10" t="str">
        <f t="shared" si="3"/>
        <v/>
      </c>
      <c r="I870" s="68" t="str">
        <f t="shared" si="4"/>
        <v/>
      </c>
      <c r="J870" s="59" t="str">
        <f t="shared" si="5"/>
        <v/>
      </c>
      <c r="K870" s="69" t="str">
        <f t="shared" si="6"/>
        <v/>
      </c>
      <c r="L870" s="60" t="str">
        <f t="shared" si="7"/>
        <v/>
      </c>
      <c r="M870" s="61" t="str">
        <f>IFERROR(__xludf.DUMMYFUNCTION("IFS(AND(COUNTA(C870:C1644)=0,COUNTA(Q870:Q1644)=0),"""",OR(AND(K870&gt;=1000000000,OR(Y870&gt;=1000000000,COUNTA(Q870:Q1644)=0)),OR(Y870&gt;=1000000000,AND(COUNTA(C870:C1644)=0,P$3=TRUE))),
ROUNDDOWN((AB$1-AC$1)*MAX(INDEX(T$4:T1644,MATCH(LARGE(FILTER(Y$4:Y1644,Y$4"&amp;":Y1644&lt;1000000000),1),Y$4:Y1644)),INDEX(F$4:F1644,MATCH(LARGE(FILTER(K$4:K1644,K$4:K1644&lt;1000000000),1),K$4:K1644)))),AND(K870&lt;1000000000,COUNTA(C870:C1644)&gt;0,P$3=FALSE),
ROUNDDOWN(INDEX(Y$4:Y1644,MATCH(LARGE(FILTER(W$4:W1644,W$4:W1644&lt;=I870),1),W$4:W1644"&amp;"))+(I870-LARGE(FILTER(W$4:W1644,W$4:W1644&lt;=I870),1))*INDEX(T$4:T1644,MATCH(LARGE(FILTER(W$4:W1644,W$4:W1644&lt;=I870),1),W$4:W1644))-K870),1,
ROUNDDOWN(Y870-INDEX(K$4:K1644,MATCH(LARGE(FILTER(I$4:I1644,I$4:I1644&lt;=W870),1),I$4:I1644))-(W870-LARGE(FILTER(I$4:I"&amp;"1644,I$4:I1644&lt;=W870),1))*INDEX(F$4:F1644,MATCH(LARGE(FILTER(I$4:I1644,I$4:I1644&lt;=W870),1),I$4:I1644))))"),"")</f>
        <v/>
      </c>
      <c r="N870" s="60" t="str">
        <f t="shared" si="8"/>
        <v/>
      </c>
      <c r="O870" s="61" t="str">
        <f t="shared" si="9"/>
        <v/>
      </c>
      <c r="P870" s="56" t="str">
        <f t="shared" si="10"/>
        <v/>
      </c>
      <c r="Q870" s="105"/>
      <c r="R870" s="10"/>
      <c r="S870" s="59" t="str">
        <f t="array" ref="S870">IF(COUNTA(Q870:Q1644)=0,"",SUM((COUNTIF(Q$4:Q870,Upgrades!$B$3:$B$13)-COUNTIF(Q$4:Q870,"Sell_"&amp;Upgrades!$B$3:$B$13))*Upgrades!$D$3:$D$13))</f>
        <v/>
      </c>
      <c r="T870" s="66" t="str">
        <f>IFERROR(__xludf.DUMMYFUNCTION("IF(COUNTA(Q870:Q1644)=0,"""",IF(REGEXMATCH(INDEX(FILTER(Q$4:Q870,Q$4:Q870&lt;&gt;""""),ROWS(FILTER(Q$4:Q870,Q$4:Q870&lt;&gt;""""))),""^Sell_""),INDEX(FILTER(T$4:T869,Q$4:Q869&lt;&gt;""""),ROWS(FILTER(Q$4:Q869,Q$4:Q869&lt;&gt;""""))),$AD$5+S870))"),"")</f>
        <v/>
      </c>
      <c r="U870" s="10" t="str">
        <f>IFERROR(__xludf.DUMMYFUNCTION("IF(COUNTA(Q870:Q1644)=0,"""",IF(Q870="""",0,IF(REGEXMATCH(Q870,""^Sell_""),-ROUNDDOWN(ROUNDUP(INDEX(Upgrades!$C$3:$C$13,MATCH(SUBSTITUTE(Q870,""Sell_"",""""),Upgrades!$B$3:$B$13,0))*1.15^(COUNTIF(Q$4:Q869,SUBSTITUTE(Q870,""Sell_"",""""))-COUNTIF(Q$4:Q869,"&amp;"""Sell_""&amp;SUBSTITUTE(Q870,""Sell_"",""""))))/2),ROUNDUP(INDEX(Upgrades!$C$3:$C$13,MATCH(Q870,Upgrades!$B$3:$B$13,0))*1.15^(COUNTIF(Q$4:Q869,Q870)-COUNTIF(Q$4:Q869,""Sell_""&amp;Q870))))))"),"")</f>
        <v/>
      </c>
      <c r="V870" s="10" t="str">
        <f t="shared" si="11"/>
        <v/>
      </c>
      <c r="W870" s="68" t="str">
        <f t="shared" si="12"/>
        <v/>
      </c>
      <c r="X870" s="59" t="str">
        <f t="shared" si="13"/>
        <v/>
      </c>
      <c r="Y870" s="69" t="str">
        <f t="shared" si="14"/>
        <v/>
      </c>
      <c r="Z870" s="11"/>
      <c r="AG870" s="59"/>
    </row>
    <row r="871">
      <c r="A871" s="8"/>
      <c r="B871" s="56" t="str">
        <f t="shared" si="2"/>
        <v/>
      </c>
      <c r="C871" s="105"/>
      <c r="D871" s="10"/>
      <c r="E871" s="59" t="str">
        <f t="array" ref="E871">IF(COUNTA(C871:C1644)=0,"",SUM((COUNTIF(C$4:C871,Upgrades!$B$3:$B$13)-COUNTIF(C$4:C871,"Sell_"&amp;Upgrades!$B$3:$B$13))*Upgrades!$D$3:$D$13))</f>
        <v/>
      </c>
      <c r="F871" s="66" t="str">
        <f>IFERROR(__xludf.DUMMYFUNCTION("IF(COUNTA(C871:C1644)=0,"""",IF(REGEXMATCH(INDEX(FILTER(C$4:C871,C$4:C871&lt;&gt;""""),ROWS(FILTER(C$4:C871,C$4:C871&lt;&gt;""""))),""^Sell_""),INDEX(FILTER(F$4:F870,C$4:C870&lt;&gt;""""),ROWS(FILTER(C$4:C870,C$4:C870&lt;&gt;""""))),$AC$5+E871))"),"")</f>
        <v/>
      </c>
      <c r="G871" s="10" t="str">
        <f>IFERROR(__xludf.DUMMYFUNCTION("IF(COUNTA(C871:C1644)=0,"""",IF(C871="""",0,IF(REGEXMATCH(C871,""^Sell_""),-ROUNDDOWN(ROUNDUP(INDEX(Upgrades!$C$3:$C$13,MATCH(SUBSTITUTE(C871,""Sell_"",""""),Upgrades!$B$3:$B$13,0))*1.15^(COUNTIF(C$4:C870,SUBSTITUTE(C871,""Sell_"",""""))-COUNTIF(C$4:C870,"&amp;"""Sell_""&amp;SUBSTITUTE(C871,""Sell_"",""""))))/2),ROUNDUP(INDEX(Upgrades!$C$3:$C$13,MATCH(C871,Upgrades!$B$3:$B$13,0))*1.15^(COUNTIF(C$4:C870,C871)-COUNTIF(C$4:C870,""Sell_""&amp;C871))))))"),"")</f>
        <v/>
      </c>
      <c r="H871" s="10" t="str">
        <f t="shared" si="3"/>
        <v/>
      </c>
      <c r="I871" s="68" t="str">
        <f t="shared" si="4"/>
        <v/>
      </c>
      <c r="J871" s="59" t="str">
        <f t="shared" si="5"/>
        <v/>
      </c>
      <c r="K871" s="69" t="str">
        <f t="shared" si="6"/>
        <v/>
      </c>
      <c r="L871" s="60" t="str">
        <f t="shared" si="7"/>
        <v/>
      </c>
      <c r="M871" s="61" t="str">
        <f>IFERROR(__xludf.DUMMYFUNCTION("IFS(AND(COUNTA(C871:C1644)=0,COUNTA(Q871:Q1644)=0),"""",OR(AND(K871&gt;=1000000000,OR(Y871&gt;=1000000000,COUNTA(Q871:Q1644)=0)),OR(Y871&gt;=1000000000,AND(COUNTA(C871:C1644)=0,P$3=TRUE))),
ROUNDDOWN((AB$1-AC$1)*MAX(INDEX(T$4:T1644,MATCH(LARGE(FILTER(Y$4:Y1644,Y$4"&amp;":Y1644&lt;1000000000),1),Y$4:Y1644)),INDEX(F$4:F1644,MATCH(LARGE(FILTER(K$4:K1644,K$4:K1644&lt;1000000000),1),K$4:K1644)))),AND(K871&lt;1000000000,COUNTA(C871:C1644)&gt;0,P$3=FALSE),
ROUNDDOWN(INDEX(Y$4:Y1644,MATCH(LARGE(FILTER(W$4:W1644,W$4:W1644&lt;=I871),1),W$4:W1644"&amp;"))+(I871-LARGE(FILTER(W$4:W1644,W$4:W1644&lt;=I871),1))*INDEX(T$4:T1644,MATCH(LARGE(FILTER(W$4:W1644,W$4:W1644&lt;=I871),1),W$4:W1644))-K871),1,
ROUNDDOWN(Y871-INDEX(K$4:K1644,MATCH(LARGE(FILTER(I$4:I1644,I$4:I1644&lt;=W871),1),I$4:I1644))-(W871-LARGE(FILTER(I$4:I"&amp;"1644,I$4:I1644&lt;=W871),1))*INDEX(F$4:F1644,MATCH(LARGE(FILTER(I$4:I1644,I$4:I1644&lt;=W871),1),I$4:I1644))))"),"")</f>
        <v/>
      </c>
      <c r="N871" s="60" t="str">
        <f t="shared" si="8"/>
        <v/>
      </c>
      <c r="O871" s="61" t="str">
        <f t="shared" si="9"/>
        <v/>
      </c>
      <c r="P871" s="56" t="str">
        <f t="shared" si="10"/>
        <v/>
      </c>
      <c r="Q871" s="105"/>
      <c r="R871" s="10"/>
      <c r="S871" s="59" t="str">
        <f t="array" ref="S871">IF(COUNTA(Q871:Q1644)=0,"",SUM((COUNTIF(Q$4:Q871,Upgrades!$B$3:$B$13)-COUNTIF(Q$4:Q871,"Sell_"&amp;Upgrades!$B$3:$B$13))*Upgrades!$D$3:$D$13))</f>
        <v/>
      </c>
      <c r="T871" s="66" t="str">
        <f>IFERROR(__xludf.DUMMYFUNCTION("IF(COUNTA(Q871:Q1644)=0,"""",IF(REGEXMATCH(INDEX(FILTER(Q$4:Q871,Q$4:Q871&lt;&gt;""""),ROWS(FILTER(Q$4:Q871,Q$4:Q871&lt;&gt;""""))),""^Sell_""),INDEX(FILTER(T$4:T870,Q$4:Q870&lt;&gt;""""),ROWS(FILTER(Q$4:Q870,Q$4:Q870&lt;&gt;""""))),$AD$5+S871))"),"")</f>
        <v/>
      </c>
      <c r="U871" s="10" t="str">
        <f>IFERROR(__xludf.DUMMYFUNCTION("IF(COUNTA(Q871:Q1644)=0,"""",IF(Q871="""",0,IF(REGEXMATCH(Q871,""^Sell_""),-ROUNDDOWN(ROUNDUP(INDEX(Upgrades!$C$3:$C$13,MATCH(SUBSTITUTE(Q871,""Sell_"",""""),Upgrades!$B$3:$B$13,0))*1.15^(COUNTIF(Q$4:Q870,SUBSTITUTE(Q871,""Sell_"",""""))-COUNTIF(Q$4:Q870,"&amp;"""Sell_""&amp;SUBSTITUTE(Q871,""Sell_"",""""))))/2),ROUNDUP(INDEX(Upgrades!$C$3:$C$13,MATCH(Q871,Upgrades!$B$3:$B$13,0))*1.15^(COUNTIF(Q$4:Q870,Q871)-COUNTIF(Q$4:Q870,""Sell_""&amp;Q871))))))"),"")</f>
        <v/>
      </c>
      <c r="V871" s="10" t="str">
        <f t="shared" si="11"/>
        <v/>
      </c>
      <c r="W871" s="68" t="str">
        <f t="shared" si="12"/>
        <v/>
      </c>
      <c r="X871" s="59" t="str">
        <f t="shared" si="13"/>
        <v/>
      </c>
      <c r="Y871" s="69" t="str">
        <f t="shared" si="14"/>
        <v/>
      </c>
      <c r="Z871" s="11"/>
      <c r="AG871" s="59"/>
    </row>
    <row r="872">
      <c r="A872" s="8"/>
      <c r="B872" s="56" t="str">
        <f t="shared" si="2"/>
        <v/>
      </c>
      <c r="C872" s="105"/>
      <c r="D872" s="10"/>
      <c r="E872" s="59" t="str">
        <f t="array" ref="E872">IF(COUNTA(C872:C1644)=0,"",SUM((COUNTIF(C$4:C872,Upgrades!$B$3:$B$13)-COUNTIF(C$4:C872,"Sell_"&amp;Upgrades!$B$3:$B$13))*Upgrades!$D$3:$D$13))</f>
        <v/>
      </c>
      <c r="F872" s="66" t="str">
        <f>IFERROR(__xludf.DUMMYFUNCTION("IF(COUNTA(C872:C1644)=0,"""",IF(REGEXMATCH(INDEX(FILTER(C$4:C872,C$4:C872&lt;&gt;""""),ROWS(FILTER(C$4:C872,C$4:C872&lt;&gt;""""))),""^Sell_""),INDEX(FILTER(F$4:F871,C$4:C871&lt;&gt;""""),ROWS(FILTER(C$4:C871,C$4:C871&lt;&gt;""""))),$AC$5+E872))"),"")</f>
        <v/>
      </c>
      <c r="G872" s="10" t="str">
        <f>IFERROR(__xludf.DUMMYFUNCTION("IF(COUNTA(C872:C1644)=0,"""",IF(C872="""",0,IF(REGEXMATCH(C872,""^Sell_""),-ROUNDDOWN(ROUNDUP(INDEX(Upgrades!$C$3:$C$13,MATCH(SUBSTITUTE(C872,""Sell_"",""""),Upgrades!$B$3:$B$13,0))*1.15^(COUNTIF(C$4:C871,SUBSTITUTE(C872,""Sell_"",""""))-COUNTIF(C$4:C871,"&amp;"""Sell_""&amp;SUBSTITUTE(C872,""Sell_"",""""))))/2),ROUNDUP(INDEX(Upgrades!$C$3:$C$13,MATCH(C872,Upgrades!$B$3:$B$13,0))*1.15^(COUNTIF(C$4:C871,C872)-COUNTIF(C$4:C871,""Sell_""&amp;C872))))))"),"")</f>
        <v/>
      </c>
      <c r="H872" s="10" t="str">
        <f t="shared" si="3"/>
        <v/>
      </c>
      <c r="I872" s="68" t="str">
        <f t="shared" si="4"/>
        <v/>
      </c>
      <c r="J872" s="59" t="str">
        <f t="shared" si="5"/>
        <v/>
      </c>
      <c r="K872" s="69" t="str">
        <f t="shared" si="6"/>
        <v/>
      </c>
      <c r="L872" s="60" t="str">
        <f t="shared" si="7"/>
        <v/>
      </c>
      <c r="M872" s="61" t="str">
        <f>IFERROR(__xludf.DUMMYFUNCTION("IFS(AND(COUNTA(C872:C1644)=0,COUNTA(Q872:Q1644)=0),"""",OR(AND(K872&gt;=1000000000,OR(Y872&gt;=1000000000,COUNTA(Q872:Q1644)=0)),OR(Y872&gt;=1000000000,AND(COUNTA(C872:C1644)=0,P$3=TRUE))),
ROUNDDOWN((AB$1-AC$1)*MAX(INDEX(T$4:T1644,MATCH(LARGE(FILTER(Y$4:Y1644,Y$4"&amp;":Y1644&lt;1000000000),1),Y$4:Y1644)),INDEX(F$4:F1644,MATCH(LARGE(FILTER(K$4:K1644,K$4:K1644&lt;1000000000),1),K$4:K1644)))),AND(K872&lt;1000000000,COUNTA(C872:C1644)&gt;0,P$3=FALSE),
ROUNDDOWN(INDEX(Y$4:Y1644,MATCH(LARGE(FILTER(W$4:W1644,W$4:W1644&lt;=I872),1),W$4:W1644"&amp;"))+(I872-LARGE(FILTER(W$4:W1644,W$4:W1644&lt;=I872),1))*INDEX(T$4:T1644,MATCH(LARGE(FILTER(W$4:W1644,W$4:W1644&lt;=I872),1),W$4:W1644))-K872),1,
ROUNDDOWN(Y872-INDEX(K$4:K1644,MATCH(LARGE(FILTER(I$4:I1644,I$4:I1644&lt;=W872),1),I$4:I1644))-(W872-LARGE(FILTER(I$4:I"&amp;"1644,I$4:I1644&lt;=W872),1))*INDEX(F$4:F1644,MATCH(LARGE(FILTER(I$4:I1644,I$4:I1644&lt;=W872),1),I$4:I1644))))"),"")</f>
        <v/>
      </c>
      <c r="N872" s="60" t="str">
        <f t="shared" si="8"/>
        <v/>
      </c>
      <c r="O872" s="61" t="str">
        <f t="shared" si="9"/>
        <v/>
      </c>
      <c r="P872" s="56" t="str">
        <f t="shared" si="10"/>
        <v/>
      </c>
      <c r="Q872" s="105"/>
      <c r="R872" s="10"/>
      <c r="S872" s="59" t="str">
        <f t="array" ref="S872">IF(COUNTA(Q872:Q1644)=0,"",SUM((COUNTIF(Q$4:Q872,Upgrades!$B$3:$B$13)-COUNTIF(Q$4:Q872,"Sell_"&amp;Upgrades!$B$3:$B$13))*Upgrades!$D$3:$D$13))</f>
        <v/>
      </c>
      <c r="T872" s="66" t="str">
        <f>IFERROR(__xludf.DUMMYFUNCTION("IF(COUNTA(Q872:Q1644)=0,"""",IF(REGEXMATCH(INDEX(FILTER(Q$4:Q872,Q$4:Q872&lt;&gt;""""),ROWS(FILTER(Q$4:Q872,Q$4:Q872&lt;&gt;""""))),""^Sell_""),INDEX(FILTER(T$4:T871,Q$4:Q871&lt;&gt;""""),ROWS(FILTER(Q$4:Q871,Q$4:Q871&lt;&gt;""""))),$AD$5+S872))"),"")</f>
        <v/>
      </c>
      <c r="U872" s="10" t="str">
        <f>IFERROR(__xludf.DUMMYFUNCTION("IF(COUNTA(Q872:Q1644)=0,"""",IF(Q872="""",0,IF(REGEXMATCH(Q872,""^Sell_""),-ROUNDDOWN(ROUNDUP(INDEX(Upgrades!$C$3:$C$13,MATCH(SUBSTITUTE(Q872,""Sell_"",""""),Upgrades!$B$3:$B$13,0))*1.15^(COUNTIF(Q$4:Q871,SUBSTITUTE(Q872,""Sell_"",""""))-COUNTIF(Q$4:Q871,"&amp;"""Sell_""&amp;SUBSTITUTE(Q872,""Sell_"",""""))))/2),ROUNDUP(INDEX(Upgrades!$C$3:$C$13,MATCH(Q872,Upgrades!$B$3:$B$13,0))*1.15^(COUNTIF(Q$4:Q871,Q872)-COUNTIF(Q$4:Q871,""Sell_""&amp;Q872))))))"),"")</f>
        <v/>
      </c>
      <c r="V872" s="10" t="str">
        <f t="shared" si="11"/>
        <v/>
      </c>
      <c r="W872" s="68" t="str">
        <f t="shared" si="12"/>
        <v/>
      </c>
      <c r="X872" s="59" t="str">
        <f t="shared" si="13"/>
        <v/>
      </c>
      <c r="Y872" s="69" t="str">
        <f t="shared" si="14"/>
        <v/>
      </c>
      <c r="Z872" s="11"/>
      <c r="AG872" s="59"/>
    </row>
    <row r="873">
      <c r="A873" s="8"/>
      <c r="B873" s="56" t="str">
        <f t="shared" si="2"/>
        <v/>
      </c>
      <c r="C873" s="105"/>
      <c r="D873" s="10"/>
      <c r="E873" s="59" t="str">
        <f t="array" ref="E873">IF(COUNTA(C873:C1644)=0,"",SUM((COUNTIF(C$4:C873,Upgrades!$B$3:$B$13)-COUNTIF(C$4:C873,"Sell_"&amp;Upgrades!$B$3:$B$13))*Upgrades!$D$3:$D$13))</f>
        <v/>
      </c>
      <c r="F873" s="66" t="str">
        <f>IFERROR(__xludf.DUMMYFUNCTION("IF(COUNTA(C873:C1644)=0,"""",IF(REGEXMATCH(INDEX(FILTER(C$4:C873,C$4:C873&lt;&gt;""""),ROWS(FILTER(C$4:C873,C$4:C873&lt;&gt;""""))),""^Sell_""),INDEX(FILTER(F$4:F872,C$4:C872&lt;&gt;""""),ROWS(FILTER(C$4:C872,C$4:C872&lt;&gt;""""))),$AC$5+E873))"),"")</f>
        <v/>
      </c>
      <c r="G873" s="10" t="str">
        <f>IFERROR(__xludf.DUMMYFUNCTION("IF(COUNTA(C873:C1644)=0,"""",IF(C873="""",0,IF(REGEXMATCH(C873,""^Sell_""),-ROUNDDOWN(ROUNDUP(INDEX(Upgrades!$C$3:$C$13,MATCH(SUBSTITUTE(C873,""Sell_"",""""),Upgrades!$B$3:$B$13,0))*1.15^(COUNTIF(C$4:C872,SUBSTITUTE(C873,""Sell_"",""""))-COUNTIF(C$4:C872,"&amp;"""Sell_""&amp;SUBSTITUTE(C873,""Sell_"",""""))))/2),ROUNDUP(INDEX(Upgrades!$C$3:$C$13,MATCH(C873,Upgrades!$B$3:$B$13,0))*1.15^(COUNTIF(C$4:C872,C873)-COUNTIF(C$4:C872,""Sell_""&amp;C873))))))"),"")</f>
        <v/>
      </c>
      <c r="H873" s="10" t="str">
        <f t="shared" si="3"/>
        <v/>
      </c>
      <c r="I873" s="68" t="str">
        <f t="shared" si="4"/>
        <v/>
      </c>
      <c r="J873" s="59" t="str">
        <f t="shared" si="5"/>
        <v/>
      </c>
      <c r="K873" s="69" t="str">
        <f t="shared" si="6"/>
        <v/>
      </c>
      <c r="L873" s="60" t="str">
        <f t="shared" si="7"/>
        <v/>
      </c>
      <c r="M873" s="61" t="str">
        <f>IFERROR(__xludf.DUMMYFUNCTION("IFS(AND(COUNTA(C873:C1644)=0,COUNTA(Q873:Q1644)=0),"""",OR(AND(K873&gt;=1000000000,OR(Y873&gt;=1000000000,COUNTA(Q873:Q1644)=0)),OR(Y873&gt;=1000000000,AND(COUNTA(C873:C1644)=0,P$3=TRUE))),
ROUNDDOWN((AB$1-AC$1)*MAX(INDEX(T$4:T1644,MATCH(LARGE(FILTER(Y$4:Y1644,Y$4"&amp;":Y1644&lt;1000000000),1),Y$4:Y1644)),INDEX(F$4:F1644,MATCH(LARGE(FILTER(K$4:K1644,K$4:K1644&lt;1000000000),1),K$4:K1644)))),AND(K873&lt;1000000000,COUNTA(C873:C1644)&gt;0,P$3=FALSE),
ROUNDDOWN(INDEX(Y$4:Y1644,MATCH(LARGE(FILTER(W$4:W1644,W$4:W1644&lt;=I873),1),W$4:W1644"&amp;"))+(I873-LARGE(FILTER(W$4:W1644,W$4:W1644&lt;=I873),1))*INDEX(T$4:T1644,MATCH(LARGE(FILTER(W$4:W1644,W$4:W1644&lt;=I873),1),W$4:W1644))-K873),1,
ROUNDDOWN(Y873-INDEX(K$4:K1644,MATCH(LARGE(FILTER(I$4:I1644,I$4:I1644&lt;=W873),1),I$4:I1644))-(W873-LARGE(FILTER(I$4:I"&amp;"1644,I$4:I1644&lt;=W873),1))*INDEX(F$4:F1644,MATCH(LARGE(FILTER(I$4:I1644,I$4:I1644&lt;=W873),1),I$4:I1644))))"),"")</f>
        <v/>
      </c>
      <c r="N873" s="60" t="str">
        <f t="shared" si="8"/>
        <v/>
      </c>
      <c r="O873" s="61" t="str">
        <f t="shared" si="9"/>
        <v/>
      </c>
      <c r="P873" s="56" t="str">
        <f t="shared" si="10"/>
        <v/>
      </c>
      <c r="Q873" s="105"/>
      <c r="R873" s="10"/>
      <c r="S873" s="59" t="str">
        <f t="array" ref="S873">IF(COUNTA(Q873:Q1644)=0,"",SUM((COUNTIF(Q$4:Q873,Upgrades!$B$3:$B$13)-COUNTIF(Q$4:Q873,"Sell_"&amp;Upgrades!$B$3:$B$13))*Upgrades!$D$3:$D$13))</f>
        <v/>
      </c>
      <c r="T873" s="66" t="str">
        <f>IFERROR(__xludf.DUMMYFUNCTION("IF(COUNTA(Q873:Q1644)=0,"""",IF(REGEXMATCH(INDEX(FILTER(Q$4:Q873,Q$4:Q873&lt;&gt;""""),ROWS(FILTER(Q$4:Q873,Q$4:Q873&lt;&gt;""""))),""^Sell_""),INDEX(FILTER(T$4:T872,Q$4:Q872&lt;&gt;""""),ROWS(FILTER(Q$4:Q872,Q$4:Q872&lt;&gt;""""))),$AD$5+S873))"),"")</f>
        <v/>
      </c>
      <c r="U873" s="10" t="str">
        <f>IFERROR(__xludf.DUMMYFUNCTION("IF(COUNTA(Q873:Q1644)=0,"""",IF(Q873="""",0,IF(REGEXMATCH(Q873,""^Sell_""),-ROUNDDOWN(ROUNDUP(INDEX(Upgrades!$C$3:$C$13,MATCH(SUBSTITUTE(Q873,""Sell_"",""""),Upgrades!$B$3:$B$13,0))*1.15^(COUNTIF(Q$4:Q872,SUBSTITUTE(Q873,""Sell_"",""""))-COUNTIF(Q$4:Q872,"&amp;"""Sell_""&amp;SUBSTITUTE(Q873,""Sell_"",""""))))/2),ROUNDUP(INDEX(Upgrades!$C$3:$C$13,MATCH(Q873,Upgrades!$B$3:$B$13,0))*1.15^(COUNTIF(Q$4:Q872,Q873)-COUNTIF(Q$4:Q872,""Sell_""&amp;Q873))))))"),"")</f>
        <v/>
      </c>
      <c r="V873" s="10" t="str">
        <f t="shared" si="11"/>
        <v/>
      </c>
      <c r="W873" s="68" t="str">
        <f t="shared" si="12"/>
        <v/>
      </c>
      <c r="X873" s="59" t="str">
        <f t="shared" si="13"/>
        <v/>
      </c>
      <c r="Y873" s="69" t="str">
        <f t="shared" si="14"/>
        <v/>
      </c>
      <c r="Z873" s="11"/>
      <c r="AG873" s="59"/>
    </row>
    <row r="874">
      <c r="A874" s="8"/>
      <c r="B874" s="56" t="str">
        <f t="shared" si="2"/>
        <v/>
      </c>
      <c r="C874" s="105"/>
      <c r="D874" s="10"/>
      <c r="E874" s="59" t="str">
        <f t="array" ref="E874">IF(COUNTA(C874:C1644)=0,"",SUM((COUNTIF(C$4:C874,Upgrades!$B$3:$B$13)-COUNTIF(C$4:C874,"Sell_"&amp;Upgrades!$B$3:$B$13))*Upgrades!$D$3:$D$13))</f>
        <v/>
      </c>
      <c r="F874" s="66" t="str">
        <f>IFERROR(__xludf.DUMMYFUNCTION("IF(COUNTA(C874:C1644)=0,"""",IF(REGEXMATCH(INDEX(FILTER(C$4:C874,C$4:C874&lt;&gt;""""),ROWS(FILTER(C$4:C874,C$4:C874&lt;&gt;""""))),""^Sell_""),INDEX(FILTER(F$4:F873,C$4:C873&lt;&gt;""""),ROWS(FILTER(C$4:C873,C$4:C873&lt;&gt;""""))),$AC$5+E874))"),"")</f>
        <v/>
      </c>
      <c r="G874" s="10" t="str">
        <f>IFERROR(__xludf.DUMMYFUNCTION("IF(COUNTA(C874:C1644)=0,"""",IF(C874="""",0,IF(REGEXMATCH(C874,""^Sell_""),-ROUNDDOWN(ROUNDUP(INDEX(Upgrades!$C$3:$C$13,MATCH(SUBSTITUTE(C874,""Sell_"",""""),Upgrades!$B$3:$B$13,0))*1.15^(COUNTIF(C$4:C873,SUBSTITUTE(C874,""Sell_"",""""))-COUNTIF(C$4:C873,"&amp;"""Sell_""&amp;SUBSTITUTE(C874,""Sell_"",""""))))/2),ROUNDUP(INDEX(Upgrades!$C$3:$C$13,MATCH(C874,Upgrades!$B$3:$B$13,0))*1.15^(COUNTIF(C$4:C873,C874)-COUNTIF(C$4:C873,""Sell_""&amp;C874))))))"),"")</f>
        <v/>
      </c>
      <c r="H874" s="10" t="str">
        <f t="shared" si="3"/>
        <v/>
      </c>
      <c r="I874" s="68" t="str">
        <f t="shared" si="4"/>
        <v/>
      </c>
      <c r="J874" s="59" t="str">
        <f t="shared" si="5"/>
        <v/>
      </c>
      <c r="K874" s="69" t="str">
        <f t="shared" si="6"/>
        <v/>
      </c>
      <c r="L874" s="60" t="str">
        <f t="shared" si="7"/>
        <v/>
      </c>
      <c r="M874" s="61" t="str">
        <f>IFERROR(__xludf.DUMMYFUNCTION("IFS(AND(COUNTA(C874:C1644)=0,COUNTA(Q874:Q1644)=0),"""",OR(AND(K874&gt;=1000000000,OR(Y874&gt;=1000000000,COUNTA(Q874:Q1644)=0)),OR(Y874&gt;=1000000000,AND(COUNTA(C874:C1644)=0,P$3=TRUE))),
ROUNDDOWN((AB$1-AC$1)*MAX(INDEX(T$4:T1644,MATCH(LARGE(FILTER(Y$4:Y1644,Y$4"&amp;":Y1644&lt;1000000000),1),Y$4:Y1644)),INDEX(F$4:F1644,MATCH(LARGE(FILTER(K$4:K1644,K$4:K1644&lt;1000000000),1),K$4:K1644)))),AND(K874&lt;1000000000,COUNTA(C874:C1644)&gt;0,P$3=FALSE),
ROUNDDOWN(INDEX(Y$4:Y1644,MATCH(LARGE(FILTER(W$4:W1644,W$4:W1644&lt;=I874),1),W$4:W1644"&amp;"))+(I874-LARGE(FILTER(W$4:W1644,W$4:W1644&lt;=I874),1))*INDEX(T$4:T1644,MATCH(LARGE(FILTER(W$4:W1644,W$4:W1644&lt;=I874),1),W$4:W1644))-K874),1,
ROUNDDOWN(Y874-INDEX(K$4:K1644,MATCH(LARGE(FILTER(I$4:I1644,I$4:I1644&lt;=W874),1),I$4:I1644))-(W874-LARGE(FILTER(I$4:I"&amp;"1644,I$4:I1644&lt;=W874),1))*INDEX(F$4:F1644,MATCH(LARGE(FILTER(I$4:I1644,I$4:I1644&lt;=W874),1),I$4:I1644))))"),"")</f>
        <v/>
      </c>
      <c r="N874" s="60" t="str">
        <f t="shared" si="8"/>
        <v/>
      </c>
      <c r="O874" s="61" t="str">
        <f t="shared" si="9"/>
        <v/>
      </c>
      <c r="P874" s="56" t="str">
        <f t="shared" si="10"/>
        <v/>
      </c>
      <c r="Q874" s="105"/>
      <c r="R874" s="10"/>
      <c r="S874" s="59" t="str">
        <f t="array" ref="S874">IF(COUNTA(Q874:Q1644)=0,"",SUM((COUNTIF(Q$4:Q874,Upgrades!$B$3:$B$13)-COUNTIF(Q$4:Q874,"Sell_"&amp;Upgrades!$B$3:$B$13))*Upgrades!$D$3:$D$13))</f>
        <v/>
      </c>
      <c r="T874" s="66" t="str">
        <f>IFERROR(__xludf.DUMMYFUNCTION("IF(COUNTA(Q874:Q1644)=0,"""",IF(REGEXMATCH(INDEX(FILTER(Q$4:Q874,Q$4:Q874&lt;&gt;""""),ROWS(FILTER(Q$4:Q874,Q$4:Q874&lt;&gt;""""))),""^Sell_""),INDEX(FILTER(T$4:T873,Q$4:Q873&lt;&gt;""""),ROWS(FILTER(Q$4:Q873,Q$4:Q873&lt;&gt;""""))),$AD$5+S874))"),"")</f>
        <v/>
      </c>
      <c r="U874" s="10" t="str">
        <f>IFERROR(__xludf.DUMMYFUNCTION("IF(COUNTA(Q874:Q1644)=0,"""",IF(Q874="""",0,IF(REGEXMATCH(Q874,""^Sell_""),-ROUNDDOWN(ROUNDUP(INDEX(Upgrades!$C$3:$C$13,MATCH(SUBSTITUTE(Q874,""Sell_"",""""),Upgrades!$B$3:$B$13,0))*1.15^(COUNTIF(Q$4:Q873,SUBSTITUTE(Q874,""Sell_"",""""))-COUNTIF(Q$4:Q873,"&amp;"""Sell_""&amp;SUBSTITUTE(Q874,""Sell_"",""""))))/2),ROUNDUP(INDEX(Upgrades!$C$3:$C$13,MATCH(Q874,Upgrades!$B$3:$B$13,0))*1.15^(COUNTIF(Q$4:Q873,Q874)-COUNTIF(Q$4:Q873,""Sell_""&amp;Q874))))))"),"")</f>
        <v/>
      </c>
      <c r="V874" s="10" t="str">
        <f t="shared" si="11"/>
        <v/>
      </c>
      <c r="W874" s="68" t="str">
        <f t="shared" si="12"/>
        <v/>
      </c>
      <c r="X874" s="59" t="str">
        <f t="shared" si="13"/>
        <v/>
      </c>
      <c r="Y874" s="69" t="str">
        <f t="shared" si="14"/>
        <v/>
      </c>
      <c r="Z874" s="11"/>
      <c r="AG874" s="59"/>
    </row>
    <row r="875">
      <c r="A875" s="8"/>
      <c r="B875" s="56" t="str">
        <f t="shared" si="2"/>
        <v/>
      </c>
      <c r="C875" s="105"/>
      <c r="D875" s="10"/>
      <c r="E875" s="59" t="str">
        <f t="array" ref="E875">IF(COUNTA(C875:C1644)=0,"",SUM((COUNTIF(C$4:C875,Upgrades!$B$3:$B$13)-COUNTIF(C$4:C875,"Sell_"&amp;Upgrades!$B$3:$B$13))*Upgrades!$D$3:$D$13))</f>
        <v/>
      </c>
      <c r="F875" s="66" t="str">
        <f>IFERROR(__xludf.DUMMYFUNCTION("IF(COUNTA(C875:C1644)=0,"""",IF(REGEXMATCH(INDEX(FILTER(C$4:C875,C$4:C875&lt;&gt;""""),ROWS(FILTER(C$4:C875,C$4:C875&lt;&gt;""""))),""^Sell_""),INDEX(FILTER(F$4:F874,C$4:C874&lt;&gt;""""),ROWS(FILTER(C$4:C874,C$4:C874&lt;&gt;""""))),$AC$5+E875))"),"")</f>
        <v/>
      </c>
      <c r="G875" s="10" t="str">
        <f>IFERROR(__xludf.DUMMYFUNCTION("IF(COUNTA(C875:C1644)=0,"""",IF(C875="""",0,IF(REGEXMATCH(C875,""^Sell_""),-ROUNDDOWN(ROUNDUP(INDEX(Upgrades!$C$3:$C$13,MATCH(SUBSTITUTE(C875,""Sell_"",""""),Upgrades!$B$3:$B$13,0))*1.15^(COUNTIF(C$4:C874,SUBSTITUTE(C875,""Sell_"",""""))-COUNTIF(C$4:C874,"&amp;"""Sell_""&amp;SUBSTITUTE(C875,""Sell_"",""""))))/2),ROUNDUP(INDEX(Upgrades!$C$3:$C$13,MATCH(C875,Upgrades!$B$3:$B$13,0))*1.15^(COUNTIF(C$4:C874,C875)-COUNTIF(C$4:C874,""Sell_""&amp;C875))))))"),"")</f>
        <v/>
      </c>
      <c r="H875" s="10" t="str">
        <f t="shared" si="3"/>
        <v/>
      </c>
      <c r="I875" s="68" t="str">
        <f t="shared" si="4"/>
        <v/>
      </c>
      <c r="J875" s="59" t="str">
        <f t="shared" si="5"/>
        <v/>
      </c>
      <c r="K875" s="69" t="str">
        <f t="shared" si="6"/>
        <v/>
      </c>
      <c r="L875" s="60" t="str">
        <f t="shared" si="7"/>
        <v/>
      </c>
      <c r="M875" s="61" t="str">
        <f>IFERROR(__xludf.DUMMYFUNCTION("IFS(AND(COUNTA(C875:C1644)=0,COUNTA(Q875:Q1644)=0),"""",OR(AND(K875&gt;=1000000000,OR(Y875&gt;=1000000000,COUNTA(Q875:Q1644)=0)),OR(Y875&gt;=1000000000,AND(COUNTA(C875:C1644)=0,P$3=TRUE))),
ROUNDDOWN((AB$1-AC$1)*MAX(INDEX(T$4:T1644,MATCH(LARGE(FILTER(Y$4:Y1644,Y$4"&amp;":Y1644&lt;1000000000),1),Y$4:Y1644)),INDEX(F$4:F1644,MATCH(LARGE(FILTER(K$4:K1644,K$4:K1644&lt;1000000000),1),K$4:K1644)))),AND(K875&lt;1000000000,COUNTA(C875:C1644)&gt;0,P$3=FALSE),
ROUNDDOWN(INDEX(Y$4:Y1644,MATCH(LARGE(FILTER(W$4:W1644,W$4:W1644&lt;=I875),1),W$4:W1644"&amp;"))+(I875-LARGE(FILTER(W$4:W1644,W$4:W1644&lt;=I875),1))*INDEX(T$4:T1644,MATCH(LARGE(FILTER(W$4:W1644,W$4:W1644&lt;=I875),1),W$4:W1644))-K875),1,
ROUNDDOWN(Y875-INDEX(K$4:K1644,MATCH(LARGE(FILTER(I$4:I1644,I$4:I1644&lt;=W875),1),I$4:I1644))-(W875-LARGE(FILTER(I$4:I"&amp;"1644,I$4:I1644&lt;=W875),1))*INDEX(F$4:F1644,MATCH(LARGE(FILTER(I$4:I1644,I$4:I1644&lt;=W875),1),I$4:I1644))))"),"")</f>
        <v/>
      </c>
      <c r="N875" s="60" t="str">
        <f t="shared" si="8"/>
        <v/>
      </c>
      <c r="O875" s="61" t="str">
        <f t="shared" si="9"/>
        <v/>
      </c>
      <c r="P875" s="56" t="str">
        <f t="shared" si="10"/>
        <v/>
      </c>
      <c r="Q875" s="105"/>
      <c r="R875" s="10"/>
      <c r="S875" s="59" t="str">
        <f t="array" ref="S875">IF(COUNTA(Q875:Q1644)=0,"",SUM((COUNTIF(Q$4:Q875,Upgrades!$B$3:$B$13)-COUNTIF(Q$4:Q875,"Sell_"&amp;Upgrades!$B$3:$B$13))*Upgrades!$D$3:$D$13))</f>
        <v/>
      </c>
      <c r="T875" s="66" t="str">
        <f>IFERROR(__xludf.DUMMYFUNCTION("IF(COUNTA(Q875:Q1644)=0,"""",IF(REGEXMATCH(INDEX(FILTER(Q$4:Q875,Q$4:Q875&lt;&gt;""""),ROWS(FILTER(Q$4:Q875,Q$4:Q875&lt;&gt;""""))),""^Sell_""),INDEX(FILTER(T$4:T874,Q$4:Q874&lt;&gt;""""),ROWS(FILTER(Q$4:Q874,Q$4:Q874&lt;&gt;""""))),$AD$5+S875))"),"")</f>
        <v/>
      </c>
      <c r="U875" s="10" t="str">
        <f>IFERROR(__xludf.DUMMYFUNCTION("IF(COUNTA(Q875:Q1644)=0,"""",IF(Q875="""",0,IF(REGEXMATCH(Q875,""^Sell_""),-ROUNDDOWN(ROUNDUP(INDEX(Upgrades!$C$3:$C$13,MATCH(SUBSTITUTE(Q875,""Sell_"",""""),Upgrades!$B$3:$B$13,0))*1.15^(COUNTIF(Q$4:Q874,SUBSTITUTE(Q875,""Sell_"",""""))-COUNTIF(Q$4:Q874,"&amp;"""Sell_""&amp;SUBSTITUTE(Q875,""Sell_"",""""))))/2),ROUNDUP(INDEX(Upgrades!$C$3:$C$13,MATCH(Q875,Upgrades!$B$3:$B$13,0))*1.15^(COUNTIF(Q$4:Q874,Q875)-COUNTIF(Q$4:Q874,""Sell_""&amp;Q875))))))"),"")</f>
        <v/>
      </c>
      <c r="V875" s="10" t="str">
        <f t="shared" si="11"/>
        <v/>
      </c>
      <c r="W875" s="68" t="str">
        <f t="shared" si="12"/>
        <v/>
      </c>
      <c r="X875" s="59" t="str">
        <f t="shared" si="13"/>
        <v/>
      </c>
      <c r="Y875" s="69" t="str">
        <f t="shared" si="14"/>
        <v/>
      </c>
      <c r="Z875" s="11"/>
      <c r="AG875" s="59"/>
    </row>
    <row r="876">
      <c r="A876" s="8"/>
      <c r="B876" s="56" t="str">
        <f t="shared" si="2"/>
        <v/>
      </c>
      <c r="C876" s="105"/>
      <c r="D876" s="10"/>
      <c r="E876" s="59" t="str">
        <f t="array" ref="E876">IF(COUNTA(C876:C1644)=0,"",SUM((COUNTIF(C$4:C876,Upgrades!$B$3:$B$13)-COUNTIF(C$4:C876,"Sell_"&amp;Upgrades!$B$3:$B$13))*Upgrades!$D$3:$D$13))</f>
        <v/>
      </c>
      <c r="F876" s="66" t="str">
        <f>IFERROR(__xludf.DUMMYFUNCTION("IF(COUNTA(C876:C1644)=0,"""",IF(REGEXMATCH(INDEX(FILTER(C$4:C876,C$4:C876&lt;&gt;""""),ROWS(FILTER(C$4:C876,C$4:C876&lt;&gt;""""))),""^Sell_""),INDEX(FILTER(F$4:F875,C$4:C875&lt;&gt;""""),ROWS(FILTER(C$4:C875,C$4:C875&lt;&gt;""""))),$AC$5+E876))"),"")</f>
        <v/>
      </c>
      <c r="G876" s="10" t="str">
        <f>IFERROR(__xludf.DUMMYFUNCTION("IF(COUNTA(C876:C1644)=0,"""",IF(C876="""",0,IF(REGEXMATCH(C876,""^Sell_""),-ROUNDDOWN(ROUNDUP(INDEX(Upgrades!$C$3:$C$13,MATCH(SUBSTITUTE(C876,""Sell_"",""""),Upgrades!$B$3:$B$13,0))*1.15^(COUNTIF(C$4:C875,SUBSTITUTE(C876,""Sell_"",""""))-COUNTIF(C$4:C875,"&amp;"""Sell_""&amp;SUBSTITUTE(C876,""Sell_"",""""))))/2),ROUNDUP(INDEX(Upgrades!$C$3:$C$13,MATCH(C876,Upgrades!$B$3:$B$13,0))*1.15^(COUNTIF(C$4:C875,C876)-COUNTIF(C$4:C875,""Sell_""&amp;C876))))))"),"")</f>
        <v/>
      </c>
      <c r="H876" s="10" t="str">
        <f t="shared" si="3"/>
        <v/>
      </c>
      <c r="I876" s="68" t="str">
        <f t="shared" si="4"/>
        <v/>
      </c>
      <c r="J876" s="59" t="str">
        <f t="shared" si="5"/>
        <v/>
      </c>
      <c r="K876" s="69" t="str">
        <f t="shared" si="6"/>
        <v/>
      </c>
      <c r="L876" s="60" t="str">
        <f t="shared" si="7"/>
        <v/>
      </c>
      <c r="M876" s="61" t="str">
        <f>IFERROR(__xludf.DUMMYFUNCTION("IFS(AND(COUNTA(C876:C1644)=0,COUNTA(Q876:Q1644)=0),"""",OR(AND(K876&gt;=1000000000,OR(Y876&gt;=1000000000,COUNTA(Q876:Q1644)=0)),OR(Y876&gt;=1000000000,AND(COUNTA(C876:C1644)=0,P$3=TRUE))),
ROUNDDOWN((AB$1-AC$1)*MAX(INDEX(T$4:T1644,MATCH(LARGE(FILTER(Y$4:Y1644,Y$4"&amp;":Y1644&lt;1000000000),1),Y$4:Y1644)),INDEX(F$4:F1644,MATCH(LARGE(FILTER(K$4:K1644,K$4:K1644&lt;1000000000),1),K$4:K1644)))),AND(K876&lt;1000000000,COUNTA(C876:C1644)&gt;0,P$3=FALSE),
ROUNDDOWN(INDEX(Y$4:Y1644,MATCH(LARGE(FILTER(W$4:W1644,W$4:W1644&lt;=I876),1),W$4:W1644"&amp;"))+(I876-LARGE(FILTER(W$4:W1644,W$4:W1644&lt;=I876),1))*INDEX(T$4:T1644,MATCH(LARGE(FILTER(W$4:W1644,W$4:W1644&lt;=I876),1),W$4:W1644))-K876),1,
ROUNDDOWN(Y876-INDEX(K$4:K1644,MATCH(LARGE(FILTER(I$4:I1644,I$4:I1644&lt;=W876),1),I$4:I1644))-(W876-LARGE(FILTER(I$4:I"&amp;"1644,I$4:I1644&lt;=W876),1))*INDEX(F$4:F1644,MATCH(LARGE(FILTER(I$4:I1644,I$4:I1644&lt;=W876),1),I$4:I1644))))"),"")</f>
        <v/>
      </c>
      <c r="N876" s="60" t="str">
        <f t="shared" si="8"/>
        <v/>
      </c>
      <c r="O876" s="61" t="str">
        <f t="shared" si="9"/>
        <v/>
      </c>
      <c r="P876" s="56" t="str">
        <f t="shared" si="10"/>
        <v/>
      </c>
      <c r="Q876" s="105"/>
      <c r="R876" s="10"/>
      <c r="S876" s="59" t="str">
        <f t="array" ref="S876">IF(COUNTA(Q876:Q1644)=0,"",SUM((COUNTIF(Q$4:Q876,Upgrades!$B$3:$B$13)-COUNTIF(Q$4:Q876,"Sell_"&amp;Upgrades!$B$3:$B$13))*Upgrades!$D$3:$D$13))</f>
        <v/>
      </c>
      <c r="T876" s="66" t="str">
        <f>IFERROR(__xludf.DUMMYFUNCTION("IF(COUNTA(Q876:Q1644)=0,"""",IF(REGEXMATCH(INDEX(FILTER(Q$4:Q876,Q$4:Q876&lt;&gt;""""),ROWS(FILTER(Q$4:Q876,Q$4:Q876&lt;&gt;""""))),""^Sell_""),INDEX(FILTER(T$4:T875,Q$4:Q875&lt;&gt;""""),ROWS(FILTER(Q$4:Q875,Q$4:Q875&lt;&gt;""""))),$AD$5+S876))"),"")</f>
        <v/>
      </c>
      <c r="U876" s="10" t="str">
        <f>IFERROR(__xludf.DUMMYFUNCTION("IF(COUNTA(Q876:Q1644)=0,"""",IF(Q876="""",0,IF(REGEXMATCH(Q876,""^Sell_""),-ROUNDDOWN(ROUNDUP(INDEX(Upgrades!$C$3:$C$13,MATCH(SUBSTITUTE(Q876,""Sell_"",""""),Upgrades!$B$3:$B$13,0))*1.15^(COUNTIF(Q$4:Q875,SUBSTITUTE(Q876,""Sell_"",""""))-COUNTIF(Q$4:Q875,"&amp;"""Sell_""&amp;SUBSTITUTE(Q876,""Sell_"",""""))))/2),ROUNDUP(INDEX(Upgrades!$C$3:$C$13,MATCH(Q876,Upgrades!$B$3:$B$13,0))*1.15^(COUNTIF(Q$4:Q875,Q876)-COUNTIF(Q$4:Q875,""Sell_""&amp;Q876))))))"),"")</f>
        <v/>
      </c>
      <c r="V876" s="10" t="str">
        <f t="shared" si="11"/>
        <v/>
      </c>
      <c r="W876" s="68" t="str">
        <f t="shared" si="12"/>
        <v/>
      </c>
      <c r="X876" s="59" t="str">
        <f t="shared" si="13"/>
        <v/>
      </c>
      <c r="Y876" s="69" t="str">
        <f t="shared" si="14"/>
        <v/>
      </c>
      <c r="Z876" s="11"/>
      <c r="AG876" s="59"/>
    </row>
    <row r="877">
      <c r="A877" s="8"/>
      <c r="B877" s="56" t="str">
        <f t="shared" si="2"/>
        <v/>
      </c>
      <c r="C877" s="105"/>
      <c r="D877" s="10"/>
      <c r="E877" s="59" t="str">
        <f t="array" ref="E877">IF(COUNTA(C877:C1644)=0,"",SUM((COUNTIF(C$4:C877,Upgrades!$B$3:$B$13)-COUNTIF(C$4:C877,"Sell_"&amp;Upgrades!$B$3:$B$13))*Upgrades!$D$3:$D$13))</f>
        <v/>
      </c>
      <c r="F877" s="66" t="str">
        <f>IFERROR(__xludf.DUMMYFUNCTION("IF(COUNTA(C877:C1644)=0,"""",IF(REGEXMATCH(INDEX(FILTER(C$4:C877,C$4:C877&lt;&gt;""""),ROWS(FILTER(C$4:C877,C$4:C877&lt;&gt;""""))),""^Sell_""),INDEX(FILTER(F$4:F876,C$4:C876&lt;&gt;""""),ROWS(FILTER(C$4:C876,C$4:C876&lt;&gt;""""))),$AC$5+E877))"),"")</f>
        <v/>
      </c>
      <c r="G877" s="10" t="str">
        <f>IFERROR(__xludf.DUMMYFUNCTION("IF(COUNTA(C877:C1644)=0,"""",IF(C877="""",0,IF(REGEXMATCH(C877,""^Sell_""),-ROUNDDOWN(ROUNDUP(INDEX(Upgrades!$C$3:$C$13,MATCH(SUBSTITUTE(C877,""Sell_"",""""),Upgrades!$B$3:$B$13,0))*1.15^(COUNTIF(C$4:C876,SUBSTITUTE(C877,""Sell_"",""""))-COUNTIF(C$4:C876,"&amp;"""Sell_""&amp;SUBSTITUTE(C877,""Sell_"",""""))))/2),ROUNDUP(INDEX(Upgrades!$C$3:$C$13,MATCH(C877,Upgrades!$B$3:$B$13,0))*1.15^(COUNTIF(C$4:C876,C877)-COUNTIF(C$4:C876,""Sell_""&amp;C877))))))"),"")</f>
        <v/>
      </c>
      <c r="H877" s="10" t="str">
        <f t="shared" si="3"/>
        <v/>
      </c>
      <c r="I877" s="68" t="str">
        <f t="shared" si="4"/>
        <v/>
      </c>
      <c r="J877" s="59" t="str">
        <f t="shared" si="5"/>
        <v/>
      </c>
      <c r="K877" s="69" t="str">
        <f t="shared" si="6"/>
        <v/>
      </c>
      <c r="L877" s="60" t="str">
        <f t="shared" si="7"/>
        <v/>
      </c>
      <c r="M877" s="61" t="str">
        <f>IFERROR(__xludf.DUMMYFUNCTION("IFS(AND(COUNTA(C877:C1644)=0,COUNTA(Q877:Q1644)=0),"""",OR(AND(K877&gt;=1000000000,OR(Y877&gt;=1000000000,COUNTA(Q877:Q1644)=0)),OR(Y877&gt;=1000000000,AND(COUNTA(C877:C1644)=0,P$3=TRUE))),
ROUNDDOWN((AB$1-AC$1)*MAX(INDEX(T$4:T1644,MATCH(LARGE(FILTER(Y$4:Y1644,Y$4"&amp;":Y1644&lt;1000000000),1),Y$4:Y1644)),INDEX(F$4:F1644,MATCH(LARGE(FILTER(K$4:K1644,K$4:K1644&lt;1000000000),1),K$4:K1644)))),AND(K877&lt;1000000000,COUNTA(C877:C1644)&gt;0,P$3=FALSE),
ROUNDDOWN(INDEX(Y$4:Y1644,MATCH(LARGE(FILTER(W$4:W1644,W$4:W1644&lt;=I877),1),W$4:W1644"&amp;"))+(I877-LARGE(FILTER(W$4:W1644,W$4:W1644&lt;=I877),1))*INDEX(T$4:T1644,MATCH(LARGE(FILTER(W$4:W1644,W$4:W1644&lt;=I877),1),W$4:W1644))-K877),1,
ROUNDDOWN(Y877-INDEX(K$4:K1644,MATCH(LARGE(FILTER(I$4:I1644,I$4:I1644&lt;=W877),1),I$4:I1644))-(W877-LARGE(FILTER(I$4:I"&amp;"1644,I$4:I1644&lt;=W877),1))*INDEX(F$4:F1644,MATCH(LARGE(FILTER(I$4:I1644,I$4:I1644&lt;=W877),1),I$4:I1644))))"),"")</f>
        <v/>
      </c>
      <c r="N877" s="60" t="str">
        <f t="shared" si="8"/>
        <v/>
      </c>
      <c r="O877" s="61" t="str">
        <f t="shared" si="9"/>
        <v/>
      </c>
      <c r="P877" s="56" t="str">
        <f t="shared" si="10"/>
        <v/>
      </c>
      <c r="Q877" s="105"/>
      <c r="R877" s="10"/>
      <c r="S877" s="59" t="str">
        <f t="array" ref="S877">IF(COUNTA(Q877:Q1644)=0,"",SUM((COUNTIF(Q$4:Q877,Upgrades!$B$3:$B$13)-COUNTIF(Q$4:Q877,"Sell_"&amp;Upgrades!$B$3:$B$13))*Upgrades!$D$3:$D$13))</f>
        <v/>
      </c>
      <c r="T877" s="66" t="str">
        <f>IFERROR(__xludf.DUMMYFUNCTION("IF(COUNTA(Q877:Q1644)=0,"""",IF(REGEXMATCH(INDEX(FILTER(Q$4:Q877,Q$4:Q877&lt;&gt;""""),ROWS(FILTER(Q$4:Q877,Q$4:Q877&lt;&gt;""""))),""^Sell_""),INDEX(FILTER(T$4:T876,Q$4:Q876&lt;&gt;""""),ROWS(FILTER(Q$4:Q876,Q$4:Q876&lt;&gt;""""))),$AD$5+S877))"),"")</f>
        <v/>
      </c>
      <c r="U877" s="10" t="str">
        <f>IFERROR(__xludf.DUMMYFUNCTION("IF(COUNTA(Q877:Q1644)=0,"""",IF(Q877="""",0,IF(REGEXMATCH(Q877,""^Sell_""),-ROUNDDOWN(ROUNDUP(INDEX(Upgrades!$C$3:$C$13,MATCH(SUBSTITUTE(Q877,""Sell_"",""""),Upgrades!$B$3:$B$13,0))*1.15^(COUNTIF(Q$4:Q876,SUBSTITUTE(Q877,""Sell_"",""""))-COUNTIF(Q$4:Q876,"&amp;"""Sell_""&amp;SUBSTITUTE(Q877,""Sell_"",""""))))/2),ROUNDUP(INDEX(Upgrades!$C$3:$C$13,MATCH(Q877,Upgrades!$B$3:$B$13,0))*1.15^(COUNTIF(Q$4:Q876,Q877)-COUNTIF(Q$4:Q876,""Sell_""&amp;Q877))))))"),"")</f>
        <v/>
      </c>
      <c r="V877" s="10" t="str">
        <f t="shared" si="11"/>
        <v/>
      </c>
      <c r="W877" s="68" t="str">
        <f t="shared" si="12"/>
        <v/>
      </c>
      <c r="X877" s="59" t="str">
        <f t="shared" si="13"/>
        <v/>
      </c>
      <c r="Y877" s="69" t="str">
        <f t="shared" si="14"/>
        <v/>
      </c>
      <c r="Z877" s="11"/>
      <c r="AG877" s="59"/>
    </row>
    <row r="878">
      <c r="A878" s="8"/>
      <c r="B878" s="56" t="str">
        <f t="shared" si="2"/>
        <v/>
      </c>
      <c r="C878" s="105"/>
      <c r="D878" s="10"/>
      <c r="E878" s="59" t="str">
        <f t="array" ref="E878">IF(COUNTA(C878:C1644)=0,"",SUM((COUNTIF(C$4:C878,Upgrades!$B$3:$B$13)-COUNTIF(C$4:C878,"Sell_"&amp;Upgrades!$B$3:$B$13))*Upgrades!$D$3:$D$13))</f>
        <v/>
      </c>
      <c r="F878" s="66" t="str">
        <f>IFERROR(__xludf.DUMMYFUNCTION("IF(COUNTA(C878:C1644)=0,"""",IF(REGEXMATCH(INDEX(FILTER(C$4:C878,C$4:C878&lt;&gt;""""),ROWS(FILTER(C$4:C878,C$4:C878&lt;&gt;""""))),""^Sell_""),INDEX(FILTER(F$4:F877,C$4:C877&lt;&gt;""""),ROWS(FILTER(C$4:C877,C$4:C877&lt;&gt;""""))),$AC$5+E878))"),"")</f>
        <v/>
      </c>
      <c r="G878" s="10" t="str">
        <f>IFERROR(__xludf.DUMMYFUNCTION("IF(COUNTA(C878:C1644)=0,"""",IF(C878="""",0,IF(REGEXMATCH(C878,""^Sell_""),-ROUNDDOWN(ROUNDUP(INDEX(Upgrades!$C$3:$C$13,MATCH(SUBSTITUTE(C878,""Sell_"",""""),Upgrades!$B$3:$B$13,0))*1.15^(COUNTIF(C$4:C877,SUBSTITUTE(C878,""Sell_"",""""))-COUNTIF(C$4:C877,"&amp;"""Sell_""&amp;SUBSTITUTE(C878,""Sell_"",""""))))/2),ROUNDUP(INDEX(Upgrades!$C$3:$C$13,MATCH(C878,Upgrades!$B$3:$B$13,0))*1.15^(COUNTIF(C$4:C877,C878)-COUNTIF(C$4:C877,""Sell_""&amp;C878))))))"),"")</f>
        <v/>
      </c>
      <c r="H878" s="10" t="str">
        <f t="shared" si="3"/>
        <v/>
      </c>
      <c r="I878" s="68" t="str">
        <f t="shared" si="4"/>
        <v/>
      </c>
      <c r="J878" s="59" t="str">
        <f t="shared" si="5"/>
        <v/>
      </c>
      <c r="K878" s="69" t="str">
        <f t="shared" si="6"/>
        <v/>
      </c>
      <c r="L878" s="60" t="str">
        <f t="shared" si="7"/>
        <v/>
      </c>
      <c r="M878" s="61" t="str">
        <f>IFERROR(__xludf.DUMMYFUNCTION("IFS(AND(COUNTA(C878:C1644)=0,COUNTA(Q878:Q1644)=0),"""",OR(AND(K878&gt;=1000000000,OR(Y878&gt;=1000000000,COUNTA(Q878:Q1644)=0)),OR(Y878&gt;=1000000000,AND(COUNTA(C878:C1644)=0,P$3=TRUE))),
ROUNDDOWN((AB$1-AC$1)*MAX(INDEX(T$4:T1644,MATCH(LARGE(FILTER(Y$4:Y1644,Y$4"&amp;":Y1644&lt;1000000000),1),Y$4:Y1644)),INDEX(F$4:F1644,MATCH(LARGE(FILTER(K$4:K1644,K$4:K1644&lt;1000000000),1),K$4:K1644)))),AND(K878&lt;1000000000,COUNTA(C878:C1644)&gt;0,P$3=FALSE),
ROUNDDOWN(INDEX(Y$4:Y1644,MATCH(LARGE(FILTER(W$4:W1644,W$4:W1644&lt;=I878),1),W$4:W1644"&amp;"))+(I878-LARGE(FILTER(W$4:W1644,W$4:W1644&lt;=I878),1))*INDEX(T$4:T1644,MATCH(LARGE(FILTER(W$4:W1644,W$4:W1644&lt;=I878),1),W$4:W1644))-K878),1,
ROUNDDOWN(Y878-INDEX(K$4:K1644,MATCH(LARGE(FILTER(I$4:I1644,I$4:I1644&lt;=W878),1),I$4:I1644))-(W878-LARGE(FILTER(I$4:I"&amp;"1644,I$4:I1644&lt;=W878),1))*INDEX(F$4:F1644,MATCH(LARGE(FILTER(I$4:I1644,I$4:I1644&lt;=W878),1),I$4:I1644))))"),"")</f>
        <v/>
      </c>
      <c r="N878" s="60" t="str">
        <f t="shared" si="8"/>
        <v/>
      </c>
      <c r="O878" s="61" t="str">
        <f t="shared" si="9"/>
        <v/>
      </c>
      <c r="P878" s="56" t="str">
        <f t="shared" si="10"/>
        <v/>
      </c>
      <c r="Q878" s="105"/>
      <c r="R878" s="10"/>
      <c r="S878" s="59" t="str">
        <f t="array" ref="S878">IF(COUNTA(Q878:Q1644)=0,"",SUM((COUNTIF(Q$4:Q878,Upgrades!$B$3:$B$13)-COUNTIF(Q$4:Q878,"Sell_"&amp;Upgrades!$B$3:$B$13))*Upgrades!$D$3:$D$13))</f>
        <v/>
      </c>
      <c r="T878" s="66" t="str">
        <f>IFERROR(__xludf.DUMMYFUNCTION("IF(COUNTA(Q878:Q1644)=0,"""",IF(REGEXMATCH(INDEX(FILTER(Q$4:Q878,Q$4:Q878&lt;&gt;""""),ROWS(FILTER(Q$4:Q878,Q$4:Q878&lt;&gt;""""))),""^Sell_""),INDEX(FILTER(T$4:T877,Q$4:Q877&lt;&gt;""""),ROWS(FILTER(Q$4:Q877,Q$4:Q877&lt;&gt;""""))),$AD$5+S878))"),"")</f>
        <v/>
      </c>
      <c r="U878" s="10" t="str">
        <f>IFERROR(__xludf.DUMMYFUNCTION("IF(COUNTA(Q878:Q1644)=0,"""",IF(Q878="""",0,IF(REGEXMATCH(Q878,""^Sell_""),-ROUNDDOWN(ROUNDUP(INDEX(Upgrades!$C$3:$C$13,MATCH(SUBSTITUTE(Q878,""Sell_"",""""),Upgrades!$B$3:$B$13,0))*1.15^(COUNTIF(Q$4:Q877,SUBSTITUTE(Q878,""Sell_"",""""))-COUNTIF(Q$4:Q877,"&amp;"""Sell_""&amp;SUBSTITUTE(Q878,""Sell_"",""""))))/2),ROUNDUP(INDEX(Upgrades!$C$3:$C$13,MATCH(Q878,Upgrades!$B$3:$B$13,0))*1.15^(COUNTIF(Q$4:Q877,Q878)-COUNTIF(Q$4:Q877,""Sell_""&amp;Q878))))))"),"")</f>
        <v/>
      </c>
      <c r="V878" s="10" t="str">
        <f t="shared" si="11"/>
        <v/>
      </c>
      <c r="W878" s="68" t="str">
        <f t="shared" si="12"/>
        <v/>
      </c>
      <c r="X878" s="59" t="str">
        <f t="shared" si="13"/>
        <v/>
      </c>
      <c r="Y878" s="69" t="str">
        <f t="shared" si="14"/>
        <v/>
      </c>
      <c r="Z878" s="11"/>
      <c r="AG878" s="59"/>
    </row>
    <row r="879">
      <c r="A879" s="8"/>
      <c r="B879" s="56" t="str">
        <f t="shared" si="2"/>
        <v/>
      </c>
      <c r="C879" s="105"/>
      <c r="D879" s="10"/>
      <c r="E879" s="59" t="str">
        <f t="array" ref="E879">IF(COUNTA(C879:C1644)=0,"",SUM((COUNTIF(C$4:C879,Upgrades!$B$3:$B$13)-COUNTIF(C$4:C879,"Sell_"&amp;Upgrades!$B$3:$B$13))*Upgrades!$D$3:$D$13))</f>
        <v/>
      </c>
      <c r="F879" s="66" t="str">
        <f>IFERROR(__xludf.DUMMYFUNCTION("IF(COUNTA(C879:C1644)=0,"""",IF(REGEXMATCH(INDEX(FILTER(C$4:C879,C$4:C879&lt;&gt;""""),ROWS(FILTER(C$4:C879,C$4:C879&lt;&gt;""""))),""^Sell_""),INDEX(FILTER(F$4:F878,C$4:C878&lt;&gt;""""),ROWS(FILTER(C$4:C878,C$4:C878&lt;&gt;""""))),$AC$5+E879))"),"")</f>
        <v/>
      </c>
      <c r="G879" s="10" t="str">
        <f>IFERROR(__xludf.DUMMYFUNCTION("IF(COUNTA(C879:C1644)=0,"""",IF(C879="""",0,IF(REGEXMATCH(C879,""^Sell_""),-ROUNDDOWN(ROUNDUP(INDEX(Upgrades!$C$3:$C$13,MATCH(SUBSTITUTE(C879,""Sell_"",""""),Upgrades!$B$3:$B$13,0))*1.15^(COUNTIF(C$4:C878,SUBSTITUTE(C879,""Sell_"",""""))-COUNTIF(C$4:C878,"&amp;"""Sell_""&amp;SUBSTITUTE(C879,""Sell_"",""""))))/2),ROUNDUP(INDEX(Upgrades!$C$3:$C$13,MATCH(C879,Upgrades!$B$3:$B$13,0))*1.15^(COUNTIF(C$4:C878,C879)-COUNTIF(C$4:C878,""Sell_""&amp;C879))))))"),"")</f>
        <v/>
      </c>
      <c r="H879" s="10" t="str">
        <f t="shared" si="3"/>
        <v/>
      </c>
      <c r="I879" s="68" t="str">
        <f t="shared" si="4"/>
        <v/>
      </c>
      <c r="J879" s="59" t="str">
        <f t="shared" si="5"/>
        <v/>
      </c>
      <c r="K879" s="69" t="str">
        <f t="shared" si="6"/>
        <v/>
      </c>
      <c r="L879" s="60" t="str">
        <f t="shared" si="7"/>
        <v/>
      </c>
      <c r="M879" s="61" t="str">
        <f>IFERROR(__xludf.DUMMYFUNCTION("IFS(AND(COUNTA(C879:C1644)=0,COUNTA(Q879:Q1644)=0),"""",OR(AND(K879&gt;=1000000000,OR(Y879&gt;=1000000000,COUNTA(Q879:Q1644)=0)),OR(Y879&gt;=1000000000,AND(COUNTA(C879:C1644)=0,P$3=TRUE))),
ROUNDDOWN((AB$1-AC$1)*MAX(INDEX(T$4:T1644,MATCH(LARGE(FILTER(Y$4:Y1644,Y$4"&amp;":Y1644&lt;1000000000),1),Y$4:Y1644)),INDEX(F$4:F1644,MATCH(LARGE(FILTER(K$4:K1644,K$4:K1644&lt;1000000000),1),K$4:K1644)))),AND(K879&lt;1000000000,COUNTA(C879:C1644)&gt;0,P$3=FALSE),
ROUNDDOWN(INDEX(Y$4:Y1644,MATCH(LARGE(FILTER(W$4:W1644,W$4:W1644&lt;=I879),1),W$4:W1644"&amp;"))+(I879-LARGE(FILTER(W$4:W1644,W$4:W1644&lt;=I879),1))*INDEX(T$4:T1644,MATCH(LARGE(FILTER(W$4:W1644,W$4:W1644&lt;=I879),1),W$4:W1644))-K879),1,
ROUNDDOWN(Y879-INDEX(K$4:K1644,MATCH(LARGE(FILTER(I$4:I1644,I$4:I1644&lt;=W879),1),I$4:I1644))-(W879-LARGE(FILTER(I$4:I"&amp;"1644,I$4:I1644&lt;=W879),1))*INDEX(F$4:F1644,MATCH(LARGE(FILTER(I$4:I1644,I$4:I1644&lt;=W879),1),I$4:I1644))))"),"")</f>
        <v/>
      </c>
      <c r="N879" s="60" t="str">
        <f t="shared" si="8"/>
        <v/>
      </c>
      <c r="O879" s="61" t="str">
        <f t="shared" si="9"/>
        <v/>
      </c>
      <c r="P879" s="56" t="str">
        <f t="shared" si="10"/>
        <v/>
      </c>
      <c r="Q879" s="105"/>
      <c r="R879" s="10"/>
      <c r="S879" s="59" t="str">
        <f t="array" ref="S879">IF(COUNTA(Q879:Q1644)=0,"",SUM((COUNTIF(Q$4:Q879,Upgrades!$B$3:$B$13)-COUNTIF(Q$4:Q879,"Sell_"&amp;Upgrades!$B$3:$B$13))*Upgrades!$D$3:$D$13))</f>
        <v/>
      </c>
      <c r="T879" s="66" t="str">
        <f>IFERROR(__xludf.DUMMYFUNCTION("IF(COUNTA(Q879:Q1644)=0,"""",IF(REGEXMATCH(INDEX(FILTER(Q$4:Q879,Q$4:Q879&lt;&gt;""""),ROWS(FILTER(Q$4:Q879,Q$4:Q879&lt;&gt;""""))),""^Sell_""),INDEX(FILTER(T$4:T878,Q$4:Q878&lt;&gt;""""),ROWS(FILTER(Q$4:Q878,Q$4:Q878&lt;&gt;""""))),$AD$5+S879))"),"")</f>
        <v/>
      </c>
      <c r="U879" s="10" t="str">
        <f>IFERROR(__xludf.DUMMYFUNCTION("IF(COUNTA(Q879:Q1644)=0,"""",IF(Q879="""",0,IF(REGEXMATCH(Q879,""^Sell_""),-ROUNDDOWN(ROUNDUP(INDEX(Upgrades!$C$3:$C$13,MATCH(SUBSTITUTE(Q879,""Sell_"",""""),Upgrades!$B$3:$B$13,0))*1.15^(COUNTIF(Q$4:Q878,SUBSTITUTE(Q879,""Sell_"",""""))-COUNTIF(Q$4:Q878,"&amp;"""Sell_""&amp;SUBSTITUTE(Q879,""Sell_"",""""))))/2),ROUNDUP(INDEX(Upgrades!$C$3:$C$13,MATCH(Q879,Upgrades!$B$3:$B$13,0))*1.15^(COUNTIF(Q$4:Q878,Q879)-COUNTIF(Q$4:Q878,""Sell_""&amp;Q879))))))"),"")</f>
        <v/>
      </c>
      <c r="V879" s="10" t="str">
        <f t="shared" si="11"/>
        <v/>
      </c>
      <c r="W879" s="68" t="str">
        <f t="shared" si="12"/>
        <v/>
      </c>
      <c r="X879" s="59" t="str">
        <f t="shared" si="13"/>
        <v/>
      </c>
      <c r="Y879" s="69" t="str">
        <f t="shared" si="14"/>
        <v/>
      </c>
      <c r="Z879" s="11"/>
      <c r="AG879" s="59"/>
    </row>
    <row r="880">
      <c r="A880" s="8"/>
      <c r="B880" s="56" t="str">
        <f t="shared" si="2"/>
        <v/>
      </c>
      <c r="C880" s="105"/>
      <c r="D880" s="10"/>
      <c r="E880" s="59" t="str">
        <f t="array" ref="E880">IF(COUNTA(C880:C1644)=0,"",SUM((COUNTIF(C$4:C880,Upgrades!$B$3:$B$13)-COUNTIF(C$4:C880,"Sell_"&amp;Upgrades!$B$3:$B$13))*Upgrades!$D$3:$D$13))</f>
        <v/>
      </c>
      <c r="F880" s="66" t="str">
        <f>IFERROR(__xludf.DUMMYFUNCTION("IF(COUNTA(C880:C1644)=0,"""",IF(REGEXMATCH(INDEX(FILTER(C$4:C880,C$4:C880&lt;&gt;""""),ROWS(FILTER(C$4:C880,C$4:C880&lt;&gt;""""))),""^Sell_""),INDEX(FILTER(F$4:F879,C$4:C879&lt;&gt;""""),ROWS(FILTER(C$4:C879,C$4:C879&lt;&gt;""""))),$AC$5+E880))"),"")</f>
        <v/>
      </c>
      <c r="G880" s="10" t="str">
        <f>IFERROR(__xludf.DUMMYFUNCTION("IF(COUNTA(C880:C1644)=0,"""",IF(C880="""",0,IF(REGEXMATCH(C880,""^Sell_""),-ROUNDDOWN(ROUNDUP(INDEX(Upgrades!$C$3:$C$13,MATCH(SUBSTITUTE(C880,""Sell_"",""""),Upgrades!$B$3:$B$13,0))*1.15^(COUNTIF(C$4:C879,SUBSTITUTE(C880,""Sell_"",""""))-COUNTIF(C$4:C879,"&amp;"""Sell_""&amp;SUBSTITUTE(C880,""Sell_"",""""))))/2),ROUNDUP(INDEX(Upgrades!$C$3:$C$13,MATCH(C880,Upgrades!$B$3:$B$13,0))*1.15^(COUNTIF(C$4:C879,C880)-COUNTIF(C$4:C879,""Sell_""&amp;C880))))))"),"")</f>
        <v/>
      </c>
      <c r="H880" s="10" t="str">
        <f t="shared" si="3"/>
        <v/>
      </c>
      <c r="I880" s="68" t="str">
        <f t="shared" si="4"/>
        <v/>
      </c>
      <c r="J880" s="59" t="str">
        <f t="shared" si="5"/>
        <v/>
      </c>
      <c r="K880" s="69" t="str">
        <f t="shared" si="6"/>
        <v/>
      </c>
      <c r="L880" s="60" t="str">
        <f t="shared" si="7"/>
        <v/>
      </c>
      <c r="M880" s="61" t="str">
        <f>IFERROR(__xludf.DUMMYFUNCTION("IFS(AND(COUNTA(C880:C1644)=0,COUNTA(Q880:Q1644)=0),"""",OR(AND(K880&gt;=1000000000,OR(Y880&gt;=1000000000,COUNTA(Q880:Q1644)=0)),OR(Y880&gt;=1000000000,AND(COUNTA(C880:C1644)=0,P$3=TRUE))),
ROUNDDOWN((AB$1-AC$1)*MAX(INDEX(T$4:T1644,MATCH(LARGE(FILTER(Y$4:Y1644,Y$4"&amp;":Y1644&lt;1000000000),1),Y$4:Y1644)),INDEX(F$4:F1644,MATCH(LARGE(FILTER(K$4:K1644,K$4:K1644&lt;1000000000),1),K$4:K1644)))),AND(K880&lt;1000000000,COUNTA(C880:C1644)&gt;0,P$3=FALSE),
ROUNDDOWN(INDEX(Y$4:Y1644,MATCH(LARGE(FILTER(W$4:W1644,W$4:W1644&lt;=I880),1),W$4:W1644"&amp;"))+(I880-LARGE(FILTER(W$4:W1644,W$4:W1644&lt;=I880),1))*INDEX(T$4:T1644,MATCH(LARGE(FILTER(W$4:W1644,W$4:W1644&lt;=I880),1),W$4:W1644))-K880),1,
ROUNDDOWN(Y880-INDEX(K$4:K1644,MATCH(LARGE(FILTER(I$4:I1644,I$4:I1644&lt;=W880),1),I$4:I1644))-(W880-LARGE(FILTER(I$4:I"&amp;"1644,I$4:I1644&lt;=W880),1))*INDEX(F$4:F1644,MATCH(LARGE(FILTER(I$4:I1644,I$4:I1644&lt;=W880),1),I$4:I1644))))"),"")</f>
        <v/>
      </c>
      <c r="N880" s="60" t="str">
        <f t="shared" si="8"/>
        <v/>
      </c>
      <c r="O880" s="61" t="str">
        <f t="shared" si="9"/>
        <v/>
      </c>
      <c r="P880" s="56" t="str">
        <f t="shared" si="10"/>
        <v/>
      </c>
      <c r="Q880" s="105"/>
      <c r="R880" s="10"/>
      <c r="S880" s="59" t="str">
        <f t="array" ref="S880">IF(COUNTA(Q880:Q1644)=0,"",SUM((COUNTIF(Q$4:Q880,Upgrades!$B$3:$B$13)-COUNTIF(Q$4:Q880,"Sell_"&amp;Upgrades!$B$3:$B$13))*Upgrades!$D$3:$D$13))</f>
        <v/>
      </c>
      <c r="T880" s="66" t="str">
        <f>IFERROR(__xludf.DUMMYFUNCTION("IF(COUNTA(Q880:Q1644)=0,"""",IF(REGEXMATCH(INDEX(FILTER(Q$4:Q880,Q$4:Q880&lt;&gt;""""),ROWS(FILTER(Q$4:Q880,Q$4:Q880&lt;&gt;""""))),""^Sell_""),INDEX(FILTER(T$4:T879,Q$4:Q879&lt;&gt;""""),ROWS(FILTER(Q$4:Q879,Q$4:Q879&lt;&gt;""""))),$AD$5+S880))"),"")</f>
        <v/>
      </c>
      <c r="U880" s="10" t="str">
        <f>IFERROR(__xludf.DUMMYFUNCTION("IF(COUNTA(Q880:Q1644)=0,"""",IF(Q880="""",0,IF(REGEXMATCH(Q880,""^Sell_""),-ROUNDDOWN(ROUNDUP(INDEX(Upgrades!$C$3:$C$13,MATCH(SUBSTITUTE(Q880,""Sell_"",""""),Upgrades!$B$3:$B$13,0))*1.15^(COUNTIF(Q$4:Q879,SUBSTITUTE(Q880,""Sell_"",""""))-COUNTIF(Q$4:Q879,"&amp;"""Sell_""&amp;SUBSTITUTE(Q880,""Sell_"",""""))))/2),ROUNDUP(INDEX(Upgrades!$C$3:$C$13,MATCH(Q880,Upgrades!$B$3:$B$13,0))*1.15^(COUNTIF(Q$4:Q879,Q880)-COUNTIF(Q$4:Q879,""Sell_""&amp;Q880))))))"),"")</f>
        <v/>
      </c>
      <c r="V880" s="10" t="str">
        <f t="shared" si="11"/>
        <v/>
      </c>
      <c r="W880" s="68" t="str">
        <f t="shared" si="12"/>
        <v/>
      </c>
      <c r="X880" s="59" t="str">
        <f t="shared" si="13"/>
        <v/>
      </c>
      <c r="Y880" s="69" t="str">
        <f t="shared" si="14"/>
        <v/>
      </c>
      <c r="Z880" s="11"/>
      <c r="AG880" s="59"/>
    </row>
    <row r="881">
      <c r="A881" s="8"/>
      <c r="B881" s="56" t="str">
        <f t="shared" si="2"/>
        <v/>
      </c>
      <c r="C881" s="105"/>
      <c r="D881" s="10"/>
      <c r="E881" s="59" t="str">
        <f t="array" ref="E881">IF(COUNTA(C881:C1644)=0,"",SUM((COUNTIF(C$4:C881,Upgrades!$B$3:$B$13)-COUNTIF(C$4:C881,"Sell_"&amp;Upgrades!$B$3:$B$13))*Upgrades!$D$3:$D$13))</f>
        <v/>
      </c>
      <c r="F881" s="66" t="str">
        <f>IFERROR(__xludf.DUMMYFUNCTION("IF(COUNTA(C881:C1644)=0,"""",IF(REGEXMATCH(INDEX(FILTER(C$4:C881,C$4:C881&lt;&gt;""""),ROWS(FILTER(C$4:C881,C$4:C881&lt;&gt;""""))),""^Sell_""),INDEX(FILTER(F$4:F880,C$4:C880&lt;&gt;""""),ROWS(FILTER(C$4:C880,C$4:C880&lt;&gt;""""))),$AC$5+E881))"),"")</f>
        <v/>
      </c>
      <c r="G881" s="10" t="str">
        <f>IFERROR(__xludf.DUMMYFUNCTION("IF(COUNTA(C881:C1644)=0,"""",IF(C881="""",0,IF(REGEXMATCH(C881,""^Sell_""),-ROUNDDOWN(ROUNDUP(INDEX(Upgrades!$C$3:$C$13,MATCH(SUBSTITUTE(C881,""Sell_"",""""),Upgrades!$B$3:$B$13,0))*1.15^(COUNTIF(C$4:C880,SUBSTITUTE(C881,""Sell_"",""""))-COUNTIF(C$4:C880,"&amp;"""Sell_""&amp;SUBSTITUTE(C881,""Sell_"",""""))))/2),ROUNDUP(INDEX(Upgrades!$C$3:$C$13,MATCH(C881,Upgrades!$B$3:$B$13,0))*1.15^(COUNTIF(C$4:C880,C881)-COUNTIF(C$4:C880,""Sell_""&amp;C881))))))"),"")</f>
        <v/>
      </c>
      <c r="H881" s="10" t="str">
        <f t="shared" si="3"/>
        <v/>
      </c>
      <c r="I881" s="68" t="str">
        <f t="shared" si="4"/>
        <v/>
      </c>
      <c r="J881" s="59" t="str">
        <f t="shared" si="5"/>
        <v/>
      </c>
      <c r="K881" s="69" t="str">
        <f t="shared" si="6"/>
        <v/>
      </c>
      <c r="L881" s="60" t="str">
        <f t="shared" si="7"/>
        <v/>
      </c>
      <c r="M881" s="61" t="str">
        <f>IFERROR(__xludf.DUMMYFUNCTION("IFS(AND(COUNTA(C881:C1644)=0,COUNTA(Q881:Q1644)=0),"""",OR(AND(K881&gt;=1000000000,OR(Y881&gt;=1000000000,COUNTA(Q881:Q1644)=0)),OR(Y881&gt;=1000000000,AND(COUNTA(C881:C1644)=0,P$3=TRUE))),
ROUNDDOWN((AB$1-AC$1)*MAX(INDEX(T$4:T1644,MATCH(LARGE(FILTER(Y$4:Y1644,Y$4"&amp;":Y1644&lt;1000000000),1),Y$4:Y1644)),INDEX(F$4:F1644,MATCH(LARGE(FILTER(K$4:K1644,K$4:K1644&lt;1000000000),1),K$4:K1644)))),AND(K881&lt;1000000000,COUNTA(C881:C1644)&gt;0,P$3=FALSE),
ROUNDDOWN(INDEX(Y$4:Y1644,MATCH(LARGE(FILTER(W$4:W1644,W$4:W1644&lt;=I881),1),W$4:W1644"&amp;"))+(I881-LARGE(FILTER(W$4:W1644,W$4:W1644&lt;=I881),1))*INDEX(T$4:T1644,MATCH(LARGE(FILTER(W$4:W1644,W$4:W1644&lt;=I881),1),W$4:W1644))-K881),1,
ROUNDDOWN(Y881-INDEX(K$4:K1644,MATCH(LARGE(FILTER(I$4:I1644,I$4:I1644&lt;=W881),1),I$4:I1644))-(W881-LARGE(FILTER(I$4:I"&amp;"1644,I$4:I1644&lt;=W881),1))*INDEX(F$4:F1644,MATCH(LARGE(FILTER(I$4:I1644,I$4:I1644&lt;=W881),1),I$4:I1644))))"),"")</f>
        <v/>
      </c>
      <c r="N881" s="60" t="str">
        <f t="shared" si="8"/>
        <v/>
      </c>
      <c r="O881" s="61" t="str">
        <f t="shared" si="9"/>
        <v/>
      </c>
      <c r="P881" s="56" t="str">
        <f t="shared" si="10"/>
        <v/>
      </c>
      <c r="Q881" s="105"/>
      <c r="R881" s="10"/>
      <c r="S881" s="59" t="str">
        <f t="array" ref="S881">IF(COUNTA(Q881:Q1644)=0,"",SUM((COUNTIF(Q$4:Q881,Upgrades!$B$3:$B$13)-COUNTIF(Q$4:Q881,"Sell_"&amp;Upgrades!$B$3:$B$13))*Upgrades!$D$3:$D$13))</f>
        <v/>
      </c>
      <c r="T881" s="66" t="str">
        <f>IFERROR(__xludf.DUMMYFUNCTION("IF(COUNTA(Q881:Q1644)=0,"""",IF(REGEXMATCH(INDEX(FILTER(Q$4:Q881,Q$4:Q881&lt;&gt;""""),ROWS(FILTER(Q$4:Q881,Q$4:Q881&lt;&gt;""""))),""^Sell_""),INDEX(FILTER(T$4:T880,Q$4:Q880&lt;&gt;""""),ROWS(FILTER(Q$4:Q880,Q$4:Q880&lt;&gt;""""))),$AD$5+S881))"),"")</f>
        <v/>
      </c>
      <c r="U881" s="10" t="str">
        <f>IFERROR(__xludf.DUMMYFUNCTION("IF(COUNTA(Q881:Q1644)=0,"""",IF(Q881="""",0,IF(REGEXMATCH(Q881,""^Sell_""),-ROUNDDOWN(ROUNDUP(INDEX(Upgrades!$C$3:$C$13,MATCH(SUBSTITUTE(Q881,""Sell_"",""""),Upgrades!$B$3:$B$13,0))*1.15^(COUNTIF(Q$4:Q880,SUBSTITUTE(Q881,""Sell_"",""""))-COUNTIF(Q$4:Q880,"&amp;"""Sell_""&amp;SUBSTITUTE(Q881,""Sell_"",""""))))/2),ROUNDUP(INDEX(Upgrades!$C$3:$C$13,MATCH(Q881,Upgrades!$B$3:$B$13,0))*1.15^(COUNTIF(Q$4:Q880,Q881)-COUNTIF(Q$4:Q880,""Sell_""&amp;Q881))))))"),"")</f>
        <v/>
      </c>
      <c r="V881" s="10" t="str">
        <f t="shared" si="11"/>
        <v/>
      </c>
      <c r="W881" s="68" t="str">
        <f t="shared" si="12"/>
        <v/>
      </c>
      <c r="X881" s="59" t="str">
        <f t="shared" si="13"/>
        <v/>
      </c>
      <c r="Y881" s="69" t="str">
        <f t="shared" si="14"/>
        <v/>
      </c>
      <c r="Z881" s="11"/>
      <c r="AG881" s="59"/>
    </row>
    <row r="882">
      <c r="A882" s="8"/>
      <c r="B882" s="56" t="str">
        <f t="shared" si="2"/>
        <v/>
      </c>
      <c r="C882" s="105"/>
      <c r="D882" s="10"/>
      <c r="E882" s="59" t="str">
        <f t="array" ref="E882">IF(COUNTA(C882:C1644)=0,"",SUM((COUNTIF(C$4:C882,Upgrades!$B$3:$B$13)-COUNTIF(C$4:C882,"Sell_"&amp;Upgrades!$B$3:$B$13))*Upgrades!$D$3:$D$13))</f>
        <v/>
      </c>
      <c r="F882" s="66" t="str">
        <f>IFERROR(__xludf.DUMMYFUNCTION("IF(COUNTA(C882:C1644)=0,"""",IF(REGEXMATCH(INDEX(FILTER(C$4:C882,C$4:C882&lt;&gt;""""),ROWS(FILTER(C$4:C882,C$4:C882&lt;&gt;""""))),""^Sell_""),INDEX(FILTER(F$4:F881,C$4:C881&lt;&gt;""""),ROWS(FILTER(C$4:C881,C$4:C881&lt;&gt;""""))),$AC$5+E882))"),"")</f>
        <v/>
      </c>
      <c r="G882" s="10" t="str">
        <f>IFERROR(__xludf.DUMMYFUNCTION("IF(COUNTA(C882:C1644)=0,"""",IF(C882="""",0,IF(REGEXMATCH(C882,""^Sell_""),-ROUNDDOWN(ROUNDUP(INDEX(Upgrades!$C$3:$C$13,MATCH(SUBSTITUTE(C882,""Sell_"",""""),Upgrades!$B$3:$B$13,0))*1.15^(COUNTIF(C$4:C881,SUBSTITUTE(C882,""Sell_"",""""))-COUNTIF(C$4:C881,"&amp;"""Sell_""&amp;SUBSTITUTE(C882,""Sell_"",""""))))/2),ROUNDUP(INDEX(Upgrades!$C$3:$C$13,MATCH(C882,Upgrades!$B$3:$B$13,0))*1.15^(COUNTIF(C$4:C881,C882)-COUNTIF(C$4:C881,""Sell_""&amp;C882))))))"),"")</f>
        <v/>
      </c>
      <c r="H882" s="10" t="str">
        <f t="shared" si="3"/>
        <v/>
      </c>
      <c r="I882" s="68" t="str">
        <f t="shared" si="4"/>
        <v/>
      </c>
      <c r="J882" s="59" t="str">
        <f t="shared" si="5"/>
        <v/>
      </c>
      <c r="K882" s="69" t="str">
        <f t="shared" si="6"/>
        <v/>
      </c>
      <c r="L882" s="60" t="str">
        <f t="shared" si="7"/>
        <v/>
      </c>
      <c r="M882" s="61" t="str">
        <f>IFERROR(__xludf.DUMMYFUNCTION("IFS(AND(COUNTA(C882:C1644)=0,COUNTA(Q882:Q1644)=0),"""",OR(AND(K882&gt;=1000000000,OR(Y882&gt;=1000000000,COUNTA(Q882:Q1644)=0)),OR(Y882&gt;=1000000000,AND(COUNTA(C882:C1644)=0,P$3=TRUE))),
ROUNDDOWN((AB$1-AC$1)*MAX(INDEX(T$4:T1644,MATCH(LARGE(FILTER(Y$4:Y1644,Y$4"&amp;":Y1644&lt;1000000000),1),Y$4:Y1644)),INDEX(F$4:F1644,MATCH(LARGE(FILTER(K$4:K1644,K$4:K1644&lt;1000000000),1),K$4:K1644)))),AND(K882&lt;1000000000,COUNTA(C882:C1644)&gt;0,P$3=FALSE),
ROUNDDOWN(INDEX(Y$4:Y1644,MATCH(LARGE(FILTER(W$4:W1644,W$4:W1644&lt;=I882),1),W$4:W1644"&amp;"))+(I882-LARGE(FILTER(W$4:W1644,W$4:W1644&lt;=I882),1))*INDEX(T$4:T1644,MATCH(LARGE(FILTER(W$4:W1644,W$4:W1644&lt;=I882),1),W$4:W1644))-K882),1,
ROUNDDOWN(Y882-INDEX(K$4:K1644,MATCH(LARGE(FILTER(I$4:I1644,I$4:I1644&lt;=W882),1),I$4:I1644))-(W882-LARGE(FILTER(I$4:I"&amp;"1644,I$4:I1644&lt;=W882),1))*INDEX(F$4:F1644,MATCH(LARGE(FILTER(I$4:I1644,I$4:I1644&lt;=W882),1),I$4:I1644))))"),"")</f>
        <v/>
      </c>
      <c r="N882" s="60" t="str">
        <f t="shared" si="8"/>
        <v/>
      </c>
      <c r="O882" s="61" t="str">
        <f t="shared" si="9"/>
        <v/>
      </c>
      <c r="P882" s="56" t="str">
        <f t="shared" si="10"/>
        <v/>
      </c>
      <c r="Q882" s="105"/>
      <c r="R882" s="10"/>
      <c r="S882" s="59" t="str">
        <f t="array" ref="S882">IF(COUNTA(Q882:Q1644)=0,"",SUM((COUNTIF(Q$4:Q882,Upgrades!$B$3:$B$13)-COUNTIF(Q$4:Q882,"Sell_"&amp;Upgrades!$B$3:$B$13))*Upgrades!$D$3:$D$13))</f>
        <v/>
      </c>
      <c r="T882" s="66" t="str">
        <f>IFERROR(__xludf.DUMMYFUNCTION("IF(COUNTA(Q882:Q1644)=0,"""",IF(REGEXMATCH(INDEX(FILTER(Q$4:Q882,Q$4:Q882&lt;&gt;""""),ROWS(FILTER(Q$4:Q882,Q$4:Q882&lt;&gt;""""))),""^Sell_""),INDEX(FILTER(T$4:T881,Q$4:Q881&lt;&gt;""""),ROWS(FILTER(Q$4:Q881,Q$4:Q881&lt;&gt;""""))),$AD$5+S882))"),"")</f>
        <v/>
      </c>
      <c r="U882" s="10" t="str">
        <f>IFERROR(__xludf.DUMMYFUNCTION("IF(COUNTA(Q882:Q1644)=0,"""",IF(Q882="""",0,IF(REGEXMATCH(Q882,""^Sell_""),-ROUNDDOWN(ROUNDUP(INDEX(Upgrades!$C$3:$C$13,MATCH(SUBSTITUTE(Q882,""Sell_"",""""),Upgrades!$B$3:$B$13,0))*1.15^(COUNTIF(Q$4:Q881,SUBSTITUTE(Q882,""Sell_"",""""))-COUNTIF(Q$4:Q881,"&amp;"""Sell_""&amp;SUBSTITUTE(Q882,""Sell_"",""""))))/2),ROUNDUP(INDEX(Upgrades!$C$3:$C$13,MATCH(Q882,Upgrades!$B$3:$B$13,0))*1.15^(COUNTIF(Q$4:Q881,Q882)-COUNTIF(Q$4:Q881,""Sell_""&amp;Q882))))))"),"")</f>
        <v/>
      </c>
      <c r="V882" s="10" t="str">
        <f t="shared" si="11"/>
        <v/>
      </c>
      <c r="W882" s="68" t="str">
        <f t="shared" si="12"/>
        <v/>
      </c>
      <c r="X882" s="59" t="str">
        <f t="shared" si="13"/>
        <v/>
      </c>
      <c r="Y882" s="69" t="str">
        <f t="shared" si="14"/>
        <v/>
      </c>
      <c r="Z882" s="11"/>
      <c r="AG882" s="59"/>
    </row>
    <row r="883">
      <c r="A883" s="8"/>
      <c r="B883" s="56" t="str">
        <f t="shared" si="2"/>
        <v/>
      </c>
      <c r="C883" s="105"/>
      <c r="D883" s="10"/>
      <c r="E883" s="59" t="str">
        <f t="array" ref="E883">IF(COUNTA(C883:C1644)=0,"",SUM((COUNTIF(C$4:C883,Upgrades!$B$3:$B$13)-COUNTIF(C$4:C883,"Sell_"&amp;Upgrades!$B$3:$B$13))*Upgrades!$D$3:$D$13))</f>
        <v/>
      </c>
      <c r="F883" s="66" t="str">
        <f>IFERROR(__xludf.DUMMYFUNCTION("IF(COUNTA(C883:C1644)=0,"""",IF(REGEXMATCH(INDEX(FILTER(C$4:C883,C$4:C883&lt;&gt;""""),ROWS(FILTER(C$4:C883,C$4:C883&lt;&gt;""""))),""^Sell_""),INDEX(FILTER(F$4:F882,C$4:C882&lt;&gt;""""),ROWS(FILTER(C$4:C882,C$4:C882&lt;&gt;""""))),$AC$5+E883))"),"")</f>
        <v/>
      </c>
      <c r="G883" s="10" t="str">
        <f>IFERROR(__xludf.DUMMYFUNCTION("IF(COUNTA(C883:C1644)=0,"""",IF(C883="""",0,IF(REGEXMATCH(C883,""^Sell_""),-ROUNDDOWN(ROUNDUP(INDEX(Upgrades!$C$3:$C$13,MATCH(SUBSTITUTE(C883,""Sell_"",""""),Upgrades!$B$3:$B$13,0))*1.15^(COUNTIF(C$4:C882,SUBSTITUTE(C883,""Sell_"",""""))-COUNTIF(C$4:C882,"&amp;"""Sell_""&amp;SUBSTITUTE(C883,""Sell_"",""""))))/2),ROUNDUP(INDEX(Upgrades!$C$3:$C$13,MATCH(C883,Upgrades!$B$3:$B$13,0))*1.15^(COUNTIF(C$4:C882,C883)-COUNTIF(C$4:C882,""Sell_""&amp;C883))))))"),"")</f>
        <v/>
      </c>
      <c r="H883" s="10" t="str">
        <f t="shared" si="3"/>
        <v/>
      </c>
      <c r="I883" s="68" t="str">
        <f t="shared" si="4"/>
        <v/>
      </c>
      <c r="J883" s="59" t="str">
        <f t="shared" si="5"/>
        <v/>
      </c>
      <c r="K883" s="69" t="str">
        <f t="shared" si="6"/>
        <v/>
      </c>
      <c r="L883" s="60" t="str">
        <f t="shared" si="7"/>
        <v/>
      </c>
      <c r="M883" s="61" t="str">
        <f>IFERROR(__xludf.DUMMYFUNCTION("IFS(AND(COUNTA(C883:C1644)=0,COUNTA(Q883:Q1644)=0),"""",OR(AND(K883&gt;=1000000000,OR(Y883&gt;=1000000000,COUNTA(Q883:Q1644)=0)),OR(Y883&gt;=1000000000,AND(COUNTA(C883:C1644)=0,P$3=TRUE))),
ROUNDDOWN((AB$1-AC$1)*MAX(INDEX(T$4:T1644,MATCH(LARGE(FILTER(Y$4:Y1644,Y$4"&amp;":Y1644&lt;1000000000),1),Y$4:Y1644)),INDEX(F$4:F1644,MATCH(LARGE(FILTER(K$4:K1644,K$4:K1644&lt;1000000000),1),K$4:K1644)))),AND(K883&lt;1000000000,COUNTA(C883:C1644)&gt;0,P$3=FALSE),
ROUNDDOWN(INDEX(Y$4:Y1644,MATCH(LARGE(FILTER(W$4:W1644,W$4:W1644&lt;=I883),1),W$4:W1644"&amp;"))+(I883-LARGE(FILTER(W$4:W1644,W$4:W1644&lt;=I883),1))*INDEX(T$4:T1644,MATCH(LARGE(FILTER(W$4:W1644,W$4:W1644&lt;=I883),1),W$4:W1644))-K883),1,
ROUNDDOWN(Y883-INDEX(K$4:K1644,MATCH(LARGE(FILTER(I$4:I1644,I$4:I1644&lt;=W883),1),I$4:I1644))-(W883-LARGE(FILTER(I$4:I"&amp;"1644,I$4:I1644&lt;=W883),1))*INDEX(F$4:F1644,MATCH(LARGE(FILTER(I$4:I1644,I$4:I1644&lt;=W883),1),I$4:I1644))))"),"")</f>
        <v/>
      </c>
      <c r="N883" s="60" t="str">
        <f t="shared" si="8"/>
        <v/>
      </c>
      <c r="O883" s="61" t="str">
        <f t="shared" si="9"/>
        <v/>
      </c>
      <c r="P883" s="56" t="str">
        <f t="shared" si="10"/>
        <v/>
      </c>
      <c r="Q883" s="105"/>
      <c r="R883" s="10"/>
      <c r="S883" s="59" t="str">
        <f t="array" ref="S883">IF(COUNTA(Q883:Q1644)=0,"",SUM((COUNTIF(Q$4:Q883,Upgrades!$B$3:$B$13)-COUNTIF(Q$4:Q883,"Sell_"&amp;Upgrades!$B$3:$B$13))*Upgrades!$D$3:$D$13))</f>
        <v/>
      </c>
      <c r="T883" s="66" t="str">
        <f>IFERROR(__xludf.DUMMYFUNCTION("IF(COUNTA(Q883:Q1644)=0,"""",IF(REGEXMATCH(INDEX(FILTER(Q$4:Q883,Q$4:Q883&lt;&gt;""""),ROWS(FILTER(Q$4:Q883,Q$4:Q883&lt;&gt;""""))),""^Sell_""),INDEX(FILTER(T$4:T882,Q$4:Q882&lt;&gt;""""),ROWS(FILTER(Q$4:Q882,Q$4:Q882&lt;&gt;""""))),$AD$5+S883))"),"")</f>
        <v/>
      </c>
      <c r="U883" s="10" t="str">
        <f>IFERROR(__xludf.DUMMYFUNCTION("IF(COUNTA(Q883:Q1644)=0,"""",IF(Q883="""",0,IF(REGEXMATCH(Q883,""^Sell_""),-ROUNDDOWN(ROUNDUP(INDEX(Upgrades!$C$3:$C$13,MATCH(SUBSTITUTE(Q883,""Sell_"",""""),Upgrades!$B$3:$B$13,0))*1.15^(COUNTIF(Q$4:Q882,SUBSTITUTE(Q883,""Sell_"",""""))-COUNTIF(Q$4:Q882,"&amp;"""Sell_""&amp;SUBSTITUTE(Q883,""Sell_"",""""))))/2),ROUNDUP(INDEX(Upgrades!$C$3:$C$13,MATCH(Q883,Upgrades!$B$3:$B$13,0))*1.15^(COUNTIF(Q$4:Q882,Q883)-COUNTIF(Q$4:Q882,""Sell_""&amp;Q883))))))"),"")</f>
        <v/>
      </c>
      <c r="V883" s="10" t="str">
        <f t="shared" si="11"/>
        <v/>
      </c>
      <c r="W883" s="68" t="str">
        <f t="shared" si="12"/>
        <v/>
      </c>
      <c r="X883" s="59" t="str">
        <f t="shared" si="13"/>
        <v/>
      </c>
      <c r="Y883" s="69" t="str">
        <f t="shared" si="14"/>
        <v/>
      </c>
      <c r="Z883" s="11"/>
      <c r="AG883" s="59"/>
    </row>
    <row r="884">
      <c r="A884" s="8"/>
      <c r="B884" s="56" t="str">
        <f t="shared" si="2"/>
        <v/>
      </c>
      <c r="C884" s="105"/>
      <c r="D884" s="10"/>
      <c r="E884" s="59" t="str">
        <f t="array" ref="E884">IF(COUNTA(C884:C1644)=0,"",SUM((COUNTIF(C$4:C884,Upgrades!$B$3:$B$13)-COUNTIF(C$4:C884,"Sell_"&amp;Upgrades!$B$3:$B$13))*Upgrades!$D$3:$D$13))</f>
        <v/>
      </c>
      <c r="F884" s="66" t="str">
        <f>IFERROR(__xludf.DUMMYFUNCTION("IF(COUNTA(C884:C1644)=0,"""",IF(REGEXMATCH(INDEX(FILTER(C$4:C884,C$4:C884&lt;&gt;""""),ROWS(FILTER(C$4:C884,C$4:C884&lt;&gt;""""))),""^Sell_""),INDEX(FILTER(F$4:F883,C$4:C883&lt;&gt;""""),ROWS(FILTER(C$4:C883,C$4:C883&lt;&gt;""""))),$AC$5+E884))"),"")</f>
        <v/>
      </c>
      <c r="G884" s="10" t="str">
        <f>IFERROR(__xludf.DUMMYFUNCTION("IF(COUNTA(C884:C1644)=0,"""",IF(C884="""",0,IF(REGEXMATCH(C884,""^Sell_""),-ROUNDDOWN(ROUNDUP(INDEX(Upgrades!$C$3:$C$13,MATCH(SUBSTITUTE(C884,""Sell_"",""""),Upgrades!$B$3:$B$13,0))*1.15^(COUNTIF(C$4:C883,SUBSTITUTE(C884,""Sell_"",""""))-COUNTIF(C$4:C883,"&amp;"""Sell_""&amp;SUBSTITUTE(C884,""Sell_"",""""))))/2),ROUNDUP(INDEX(Upgrades!$C$3:$C$13,MATCH(C884,Upgrades!$B$3:$B$13,0))*1.15^(COUNTIF(C$4:C883,C884)-COUNTIF(C$4:C883,""Sell_""&amp;C884))))))"),"")</f>
        <v/>
      </c>
      <c r="H884" s="10" t="str">
        <f t="shared" si="3"/>
        <v/>
      </c>
      <c r="I884" s="68" t="str">
        <f t="shared" si="4"/>
        <v/>
      </c>
      <c r="J884" s="59" t="str">
        <f t="shared" si="5"/>
        <v/>
      </c>
      <c r="K884" s="69" t="str">
        <f t="shared" si="6"/>
        <v/>
      </c>
      <c r="L884" s="60" t="str">
        <f t="shared" si="7"/>
        <v/>
      </c>
      <c r="M884" s="61" t="str">
        <f>IFERROR(__xludf.DUMMYFUNCTION("IFS(AND(COUNTA(C884:C1644)=0,COUNTA(Q884:Q1644)=0),"""",OR(AND(K884&gt;=1000000000,OR(Y884&gt;=1000000000,COUNTA(Q884:Q1644)=0)),OR(Y884&gt;=1000000000,AND(COUNTA(C884:C1644)=0,P$3=TRUE))),
ROUNDDOWN((AB$1-AC$1)*MAX(INDEX(T$4:T1644,MATCH(LARGE(FILTER(Y$4:Y1644,Y$4"&amp;":Y1644&lt;1000000000),1),Y$4:Y1644)),INDEX(F$4:F1644,MATCH(LARGE(FILTER(K$4:K1644,K$4:K1644&lt;1000000000),1),K$4:K1644)))),AND(K884&lt;1000000000,COUNTA(C884:C1644)&gt;0,P$3=FALSE),
ROUNDDOWN(INDEX(Y$4:Y1644,MATCH(LARGE(FILTER(W$4:W1644,W$4:W1644&lt;=I884),1),W$4:W1644"&amp;"))+(I884-LARGE(FILTER(W$4:W1644,W$4:W1644&lt;=I884),1))*INDEX(T$4:T1644,MATCH(LARGE(FILTER(W$4:W1644,W$4:W1644&lt;=I884),1),W$4:W1644))-K884),1,
ROUNDDOWN(Y884-INDEX(K$4:K1644,MATCH(LARGE(FILTER(I$4:I1644,I$4:I1644&lt;=W884),1),I$4:I1644))-(W884-LARGE(FILTER(I$4:I"&amp;"1644,I$4:I1644&lt;=W884),1))*INDEX(F$4:F1644,MATCH(LARGE(FILTER(I$4:I1644,I$4:I1644&lt;=W884),1),I$4:I1644))))"),"")</f>
        <v/>
      </c>
      <c r="N884" s="60" t="str">
        <f t="shared" si="8"/>
        <v/>
      </c>
      <c r="O884" s="61" t="str">
        <f t="shared" si="9"/>
        <v/>
      </c>
      <c r="P884" s="56" t="str">
        <f t="shared" si="10"/>
        <v/>
      </c>
      <c r="Q884" s="105"/>
      <c r="R884" s="10"/>
      <c r="S884" s="59" t="str">
        <f t="array" ref="S884">IF(COUNTA(Q884:Q1644)=0,"",SUM((COUNTIF(Q$4:Q884,Upgrades!$B$3:$B$13)-COUNTIF(Q$4:Q884,"Sell_"&amp;Upgrades!$B$3:$B$13))*Upgrades!$D$3:$D$13))</f>
        <v/>
      </c>
      <c r="T884" s="66" t="str">
        <f>IFERROR(__xludf.DUMMYFUNCTION("IF(COUNTA(Q884:Q1644)=0,"""",IF(REGEXMATCH(INDEX(FILTER(Q$4:Q884,Q$4:Q884&lt;&gt;""""),ROWS(FILTER(Q$4:Q884,Q$4:Q884&lt;&gt;""""))),""^Sell_""),INDEX(FILTER(T$4:T883,Q$4:Q883&lt;&gt;""""),ROWS(FILTER(Q$4:Q883,Q$4:Q883&lt;&gt;""""))),$AD$5+S884))"),"")</f>
        <v/>
      </c>
      <c r="U884" s="10" t="str">
        <f>IFERROR(__xludf.DUMMYFUNCTION("IF(COUNTA(Q884:Q1644)=0,"""",IF(Q884="""",0,IF(REGEXMATCH(Q884,""^Sell_""),-ROUNDDOWN(ROUNDUP(INDEX(Upgrades!$C$3:$C$13,MATCH(SUBSTITUTE(Q884,""Sell_"",""""),Upgrades!$B$3:$B$13,0))*1.15^(COUNTIF(Q$4:Q883,SUBSTITUTE(Q884,""Sell_"",""""))-COUNTIF(Q$4:Q883,"&amp;"""Sell_""&amp;SUBSTITUTE(Q884,""Sell_"",""""))))/2),ROUNDUP(INDEX(Upgrades!$C$3:$C$13,MATCH(Q884,Upgrades!$B$3:$B$13,0))*1.15^(COUNTIF(Q$4:Q883,Q884)-COUNTIF(Q$4:Q883,""Sell_""&amp;Q884))))))"),"")</f>
        <v/>
      </c>
      <c r="V884" s="10" t="str">
        <f t="shared" si="11"/>
        <v/>
      </c>
      <c r="W884" s="68" t="str">
        <f t="shared" si="12"/>
        <v/>
      </c>
      <c r="X884" s="59" t="str">
        <f t="shared" si="13"/>
        <v/>
      </c>
      <c r="Y884" s="69" t="str">
        <f t="shared" si="14"/>
        <v/>
      </c>
      <c r="Z884" s="11"/>
      <c r="AG884" s="59"/>
    </row>
    <row r="885">
      <c r="A885" s="8"/>
      <c r="B885" s="56" t="str">
        <f t="shared" si="2"/>
        <v/>
      </c>
      <c r="C885" s="105"/>
      <c r="D885" s="10"/>
      <c r="E885" s="59" t="str">
        <f t="array" ref="E885">IF(COUNTA(C885:C1644)=0,"",SUM((COUNTIF(C$4:C885,Upgrades!$B$3:$B$13)-COUNTIF(C$4:C885,"Sell_"&amp;Upgrades!$B$3:$B$13))*Upgrades!$D$3:$D$13))</f>
        <v/>
      </c>
      <c r="F885" s="66" t="str">
        <f>IFERROR(__xludf.DUMMYFUNCTION("IF(COUNTA(C885:C1644)=0,"""",IF(REGEXMATCH(INDEX(FILTER(C$4:C885,C$4:C885&lt;&gt;""""),ROWS(FILTER(C$4:C885,C$4:C885&lt;&gt;""""))),""^Sell_""),INDEX(FILTER(F$4:F884,C$4:C884&lt;&gt;""""),ROWS(FILTER(C$4:C884,C$4:C884&lt;&gt;""""))),$AC$5+E885))"),"")</f>
        <v/>
      </c>
      <c r="G885" s="10" t="str">
        <f>IFERROR(__xludf.DUMMYFUNCTION("IF(COUNTA(C885:C1644)=0,"""",IF(C885="""",0,IF(REGEXMATCH(C885,""^Sell_""),-ROUNDDOWN(ROUNDUP(INDEX(Upgrades!$C$3:$C$13,MATCH(SUBSTITUTE(C885,""Sell_"",""""),Upgrades!$B$3:$B$13,0))*1.15^(COUNTIF(C$4:C884,SUBSTITUTE(C885,""Sell_"",""""))-COUNTIF(C$4:C884,"&amp;"""Sell_""&amp;SUBSTITUTE(C885,""Sell_"",""""))))/2),ROUNDUP(INDEX(Upgrades!$C$3:$C$13,MATCH(C885,Upgrades!$B$3:$B$13,0))*1.15^(COUNTIF(C$4:C884,C885)-COUNTIF(C$4:C884,""Sell_""&amp;C885))))))"),"")</f>
        <v/>
      </c>
      <c r="H885" s="10" t="str">
        <f t="shared" si="3"/>
        <v/>
      </c>
      <c r="I885" s="68" t="str">
        <f t="shared" si="4"/>
        <v/>
      </c>
      <c r="J885" s="59" t="str">
        <f t="shared" si="5"/>
        <v/>
      </c>
      <c r="K885" s="69" t="str">
        <f t="shared" si="6"/>
        <v/>
      </c>
      <c r="L885" s="60" t="str">
        <f t="shared" si="7"/>
        <v/>
      </c>
      <c r="M885" s="61" t="str">
        <f>IFERROR(__xludf.DUMMYFUNCTION("IFS(AND(COUNTA(C885:C1644)=0,COUNTA(Q885:Q1644)=0),"""",OR(AND(K885&gt;=1000000000,OR(Y885&gt;=1000000000,COUNTA(Q885:Q1644)=0)),OR(Y885&gt;=1000000000,AND(COUNTA(C885:C1644)=0,P$3=TRUE))),
ROUNDDOWN((AB$1-AC$1)*MAX(INDEX(T$4:T1644,MATCH(LARGE(FILTER(Y$4:Y1644,Y$4"&amp;":Y1644&lt;1000000000),1),Y$4:Y1644)),INDEX(F$4:F1644,MATCH(LARGE(FILTER(K$4:K1644,K$4:K1644&lt;1000000000),1),K$4:K1644)))),AND(K885&lt;1000000000,COUNTA(C885:C1644)&gt;0,P$3=FALSE),
ROUNDDOWN(INDEX(Y$4:Y1644,MATCH(LARGE(FILTER(W$4:W1644,W$4:W1644&lt;=I885),1),W$4:W1644"&amp;"))+(I885-LARGE(FILTER(W$4:W1644,W$4:W1644&lt;=I885),1))*INDEX(T$4:T1644,MATCH(LARGE(FILTER(W$4:W1644,W$4:W1644&lt;=I885),1),W$4:W1644))-K885),1,
ROUNDDOWN(Y885-INDEX(K$4:K1644,MATCH(LARGE(FILTER(I$4:I1644,I$4:I1644&lt;=W885),1),I$4:I1644))-(W885-LARGE(FILTER(I$4:I"&amp;"1644,I$4:I1644&lt;=W885),1))*INDEX(F$4:F1644,MATCH(LARGE(FILTER(I$4:I1644,I$4:I1644&lt;=W885),1),I$4:I1644))))"),"")</f>
        <v/>
      </c>
      <c r="N885" s="60" t="str">
        <f t="shared" si="8"/>
        <v/>
      </c>
      <c r="O885" s="61" t="str">
        <f t="shared" si="9"/>
        <v/>
      </c>
      <c r="P885" s="56" t="str">
        <f t="shared" si="10"/>
        <v/>
      </c>
      <c r="Q885" s="105"/>
      <c r="R885" s="10"/>
      <c r="S885" s="59" t="str">
        <f t="array" ref="S885">IF(COUNTA(Q885:Q1644)=0,"",SUM((COUNTIF(Q$4:Q885,Upgrades!$B$3:$B$13)-COUNTIF(Q$4:Q885,"Sell_"&amp;Upgrades!$B$3:$B$13))*Upgrades!$D$3:$D$13))</f>
        <v/>
      </c>
      <c r="T885" s="66" t="str">
        <f>IFERROR(__xludf.DUMMYFUNCTION("IF(COUNTA(Q885:Q1644)=0,"""",IF(REGEXMATCH(INDEX(FILTER(Q$4:Q885,Q$4:Q885&lt;&gt;""""),ROWS(FILTER(Q$4:Q885,Q$4:Q885&lt;&gt;""""))),""^Sell_""),INDEX(FILTER(T$4:T884,Q$4:Q884&lt;&gt;""""),ROWS(FILTER(Q$4:Q884,Q$4:Q884&lt;&gt;""""))),$AD$5+S885))"),"")</f>
        <v/>
      </c>
      <c r="U885" s="10" t="str">
        <f>IFERROR(__xludf.DUMMYFUNCTION("IF(COUNTA(Q885:Q1644)=0,"""",IF(Q885="""",0,IF(REGEXMATCH(Q885,""^Sell_""),-ROUNDDOWN(ROUNDUP(INDEX(Upgrades!$C$3:$C$13,MATCH(SUBSTITUTE(Q885,""Sell_"",""""),Upgrades!$B$3:$B$13,0))*1.15^(COUNTIF(Q$4:Q884,SUBSTITUTE(Q885,""Sell_"",""""))-COUNTIF(Q$4:Q884,"&amp;"""Sell_""&amp;SUBSTITUTE(Q885,""Sell_"",""""))))/2),ROUNDUP(INDEX(Upgrades!$C$3:$C$13,MATCH(Q885,Upgrades!$B$3:$B$13,0))*1.15^(COUNTIF(Q$4:Q884,Q885)-COUNTIF(Q$4:Q884,""Sell_""&amp;Q885))))))"),"")</f>
        <v/>
      </c>
      <c r="V885" s="10" t="str">
        <f t="shared" si="11"/>
        <v/>
      </c>
      <c r="W885" s="68" t="str">
        <f t="shared" si="12"/>
        <v/>
      </c>
      <c r="X885" s="59" t="str">
        <f t="shared" si="13"/>
        <v/>
      </c>
      <c r="Y885" s="69" t="str">
        <f t="shared" si="14"/>
        <v/>
      </c>
      <c r="Z885" s="11"/>
      <c r="AG885" s="59"/>
    </row>
    <row r="886">
      <c r="A886" s="8"/>
      <c r="B886" s="56" t="str">
        <f t="shared" si="2"/>
        <v/>
      </c>
      <c r="C886" s="105"/>
      <c r="D886" s="10"/>
      <c r="E886" s="59" t="str">
        <f t="array" ref="E886">IF(COUNTA(C886:C1644)=0,"",SUM((COUNTIF(C$4:C886,Upgrades!$B$3:$B$13)-COUNTIF(C$4:C886,"Sell_"&amp;Upgrades!$B$3:$B$13))*Upgrades!$D$3:$D$13))</f>
        <v/>
      </c>
      <c r="F886" s="66" t="str">
        <f>IFERROR(__xludf.DUMMYFUNCTION("IF(COUNTA(C886:C1644)=0,"""",IF(REGEXMATCH(INDEX(FILTER(C$4:C886,C$4:C886&lt;&gt;""""),ROWS(FILTER(C$4:C886,C$4:C886&lt;&gt;""""))),""^Sell_""),INDEX(FILTER(F$4:F885,C$4:C885&lt;&gt;""""),ROWS(FILTER(C$4:C885,C$4:C885&lt;&gt;""""))),$AC$5+E886))"),"")</f>
        <v/>
      </c>
      <c r="G886" s="10" t="str">
        <f>IFERROR(__xludf.DUMMYFUNCTION("IF(COUNTA(C886:C1644)=0,"""",IF(C886="""",0,IF(REGEXMATCH(C886,""^Sell_""),-ROUNDDOWN(ROUNDUP(INDEX(Upgrades!$C$3:$C$13,MATCH(SUBSTITUTE(C886,""Sell_"",""""),Upgrades!$B$3:$B$13,0))*1.15^(COUNTIF(C$4:C885,SUBSTITUTE(C886,""Sell_"",""""))-COUNTIF(C$4:C885,"&amp;"""Sell_""&amp;SUBSTITUTE(C886,""Sell_"",""""))))/2),ROUNDUP(INDEX(Upgrades!$C$3:$C$13,MATCH(C886,Upgrades!$B$3:$B$13,0))*1.15^(COUNTIF(C$4:C885,C886)-COUNTIF(C$4:C885,""Sell_""&amp;C886))))))"),"")</f>
        <v/>
      </c>
      <c r="H886" s="10" t="str">
        <f t="shared" si="3"/>
        <v/>
      </c>
      <c r="I886" s="68" t="str">
        <f t="shared" si="4"/>
        <v/>
      </c>
      <c r="J886" s="59" t="str">
        <f t="shared" si="5"/>
        <v/>
      </c>
      <c r="K886" s="69" t="str">
        <f t="shared" si="6"/>
        <v/>
      </c>
      <c r="L886" s="60" t="str">
        <f t="shared" si="7"/>
        <v/>
      </c>
      <c r="M886" s="61" t="str">
        <f>IFERROR(__xludf.DUMMYFUNCTION("IFS(AND(COUNTA(C886:C1644)=0,COUNTA(Q886:Q1644)=0),"""",OR(AND(K886&gt;=1000000000,OR(Y886&gt;=1000000000,COUNTA(Q886:Q1644)=0)),OR(Y886&gt;=1000000000,AND(COUNTA(C886:C1644)=0,P$3=TRUE))),
ROUNDDOWN((AB$1-AC$1)*MAX(INDEX(T$4:T1644,MATCH(LARGE(FILTER(Y$4:Y1644,Y$4"&amp;":Y1644&lt;1000000000),1),Y$4:Y1644)),INDEX(F$4:F1644,MATCH(LARGE(FILTER(K$4:K1644,K$4:K1644&lt;1000000000),1),K$4:K1644)))),AND(K886&lt;1000000000,COUNTA(C886:C1644)&gt;0,P$3=FALSE),
ROUNDDOWN(INDEX(Y$4:Y1644,MATCH(LARGE(FILTER(W$4:W1644,W$4:W1644&lt;=I886),1),W$4:W1644"&amp;"))+(I886-LARGE(FILTER(W$4:W1644,W$4:W1644&lt;=I886),1))*INDEX(T$4:T1644,MATCH(LARGE(FILTER(W$4:W1644,W$4:W1644&lt;=I886),1),W$4:W1644))-K886),1,
ROUNDDOWN(Y886-INDEX(K$4:K1644,MATCH(LARGE(FILTER(I$4:I1644,I$4:I1644&lt;=W886),1),I$4:I1644))-(W886-LARGE(FILTER(I$4:I"&amp;"1644,I$4:I1644&lt;=W886),1))*INDEX(F$4:F1644,MATCH(LARGE(FILTER(I$4:I1644,I$4:I1644&lt;=W886),1),I$4:I1644))))"),"")</f>
        <v/>
      </c>
      <c r="N886" s="60" t="str">
        <f t="shared" si="8"/>
        <v/>
      </c>
      <c r="O886" s="61" t="str">
        <f t="shared" si="9"/>
        <v/>
      </c>
      <c r="P886" s="56" t="str">
        <f t="shared" si="10"/>
        <v/>
      </c>
      <c r="Q886" s="105"/>
      <c r="R886" s="10"/>
      <c r="S886" s="59" t="str">
        <f t="array" ref="S886">IF(COUNTA(Q886:Q1644)=0,"",SUM((COUNTIF(Q$4:Q886,Upgrades!$B$3:$B$13)-COUNTIF(Q$4:Q886,"Sell_"&amp;Upgrades!$B$3:$B$13))*Upgrades!$D$3:$D$13))</f>
        <v/>
      </c>
      <c r="T886" s="66" t="str">
        <f>IFERROR(__xludf.DUMMYFUNCTION("IF(COUNTA(Q886:Q1644)=0,"""",IF(REGEXMATCH(INDEX(FILTER(Q$4:Q886,Q$4:Q886&lt;&gt;""""),ROWS(FILTER(Q$4:Q886,Q$4:Q886&lt;&gt;""""))),""^Sell_""),INDEX(FILTER(T$4:T885,Q$4:Q885&lt;&gt;""""),ROWS(FILTER(Q$4:Q885,Q$4:Q885&lt;&gt;""""))),$AD$5+S886))"),"")</f>
        <v/>
      </c>
      <c r="U886" s="10" t="str">
        <f>IFERROR(__xludf.DUMMYFUNCTION("IF(COUNTA(Q886:Q1644)=0,"""",IF(Q886="""",0,IF(REGEXMATCH(Q886,""^Sell_""),-ROUNDDOWN(ROUNDUP(INDEX(Upgrades!$C$3:$C$13,MATCH(SUBSTITUTE(Q886,""Sell_"",""""),Upgrades!$B$3:$B$13,0))*1.15^(COUNTIF(Q$4:Q885,SUBSTITUTE(Q886,""Sell_"",""""))-COUNTIF(Q$4:Q885,"&amp;"""Sell_""&amp;SUBSTITUTE(Q886,""Sell_"",""""))))/2),ROUNDUP(INDEX(Upgrades!$C$3:$C$13,MATCH(Q886,Upgrades!$B$3:$B$13,0))*1.15^(COUNTIF(Q$4:Q885,Q886)-COUNTIF(Q$4:Q885,""Sell_""&amp;Q886))))))"),"")</f>
        <v/>
      </c>
      <c r="V886" s="10" t="str">
        <f t="shared" si="11"/>
        <v/>
      </c>
      <c r="W886" s="68" t="str">
        <f t="shared" si="12"/>
        <v/>
      </c>
      <c r="X886" s="59" t="str">
        <f t="shared" si="13"/>
        <v/>
      </c>
      <c r="Y886" s="69" t="str">
        <f t="shared" si="14"/>
        <v/>
      </c>
      <c r="Z886" s="11"/>
      <c r="AG886" s="59"/>
    </row>
    <row r="887">
      <c r="A887" s="8"/>
      <c r="B887" s="56" t="str">
        <f t="shared" si="2"/>
        <v/>
      </c>
      <c r="C887" s="105"/>
      <c r="D887" s="10"/>
      <c r="E887" s="59" t="str">
        <f t="array" ref="E887">IF(COUNTA(C887:C1644)=0,"",SUM((COUNTIF(C$4:C887,Upgrades!$B$3:$B$13)-COUNTIF(C$4:C887,"Sell_"&amp;Upgrades!$B$3:$B$13))*Upgrades!$D$3:$D$13))</f>
        <v/>
      </c>
      <c r="F887" s="66" t="str">
        <f>IFERROR(__xludf.DUMMYFUNCTION("IF(COUNTA(C887:C1644)=0,"""",IF(REGEXMATCH(INDEX(FILTER(C$4:C887,C$4:C887&lt;&gt;""""),ROWS(FILTER(C$4:C887,C$4:C887&lt;&gt;""""))),""^Sell_""),INDEX(FILTER(F$4:F886,C$4:C886&lt;&gt;""""),ROWS(FILTER(C$4:C886,C$4:C886&lt;&gt;""""))),$AC$5+E887))"),"")</f>
        <v/>
      </c>
      <c r="G887" s="10" t="str">
        <f>IFERROR(__xludf.DUMMYFUNCTION("IF(COUNTA(C887:C1644)=0,"""",IF(C887="""",0,IF(REGEXMATCH(C887,""^Sell_""),-ROUNDDOWN(ROUNDUP(INDEX(Upgrades!$C$3:$C$13,MATCH(SUBSTITUTE(C887,""Sell_"",""""),Upgrades!$B$3:$B$13,0))*1.15^(COUNTIF(C$4:C886,SUBSTITUTE(C887,""Sell_"",""""))-COUNTIF(C$4:C886,"&amp;"""Sell_""&amp;SUBSTITUTE(C887,""Sell_"",""""))))/2),ROUNDUP(INDEX(Upgrades!$C$3:$C$13,MATCH(C887,Upgrades!$B$3:$B$13,0))*1.15^(COUNTIF(C$4:C886,C887)-COUNTIF(C$4:C886,""Sell_""&amp;C887))))))"),"")</f>
        <v/>
      </c>
      <c r="H887" s="10" t="str">
        <f t="shared" si="3"/>
        <v/>
      </c>
      <c r="I887" s="68" t="str">
        <f t="shared" si="4"/>
        <v/>
      </c>
      <c r="J887" s="59" t="str">
        <f t="shared" si="5"/>
        <v/>
      </c>
      <c r="K887" s="69" t="str">
        <f t="shared" si="6"/>
        <v/>
      </c>
      <c r="L887" s="60" t="str">
        <f t="shared" si="7"/>
        <v/>
      </c>
      <c r="M887" s="61" t="str">
        <f>IFERROR(__xludf.DUMMYFUNCTION("IFS(AND(COUNTA(C887:C1644)=0,COUNTA(Q887:Q1644)=0),"""",OR(AND(K887&gt;=1000000000,OR(Y887&gt;=1000000000,COUNTA(Q887:Q1644)=0)),OR(Y887&gt;=1000000000,AND(COUNTA(C887:C1644)=0,P$3=TRUE))),
ROUNDDOWN((AB$1-AC$1)*MAX(INDEX(T$4:T1644,MATCH(LARGE(FILTER(Y$4:Y1644,Y$4"&amp;":Y1644&lt;1000000000),1),Y$4:Y1644)),INDEX(F$4:F1644,MATCH(LARGE(FILTER(K$4:K1644,K$4:K1644&lt;1000000000),1),K$4:K1644)))),AND(K887&lt;1000000000,COUNTA(C887:C1644)&gt;0,P$3=FALSE),
ROUNDDOWN(INDEX(Y$4:Y1644,MATCH(LARGE(FILTER(W$4:W1644,W$4:W1644&lt;=I887),1),W$4:W1644"&amp;"))+(I887-LARGE(FILTER(W$4:W1644,W$4:W1644&lt;=I887),1))*INDEX(T$4:T1644,MATCH(LARGE(FILTER(W$4:W1644,W$4:W1644&lt;=I887),1),W$4:W1644))-K887),1,
ROUNDDOWN(Y887-INDEX(K$4:K1644,MATCH(LARGE(FILTER(I$4:I1644,I$4:I1644&lt;=W887),1),I$4:I1644))-(W887-LARGE(FILTER(I$4:I"&amp;"1644,I$4:I1644&lt;=W887),1))*INDEX(F$4:F1644,MATCH(LARGE(FILTER(I$4:I1644,I$4:I1644&lt;=W887),1),I$4:I1644))))"),"")</f>
        <v/>
      </c>
      <c r="N887" s="60" t="str">
        <f t="shared" si="8"/>
        <v/>
      </c>
      <c r="O887" s="61" t="str">
        <f t="shared" si="9"/>
        <v/>
      </c>
      <c r="P887" s="56" t="str">
        <f t="shared" si="10"/>
        <v/>
      </c>
      <c r="Q887" s="105"/>
      <c r="R887" s="10"/>
      <c r="S887" s="59" t="str">
        <f t="array" ref="S887">IF(COUNTA(Q887:Q1644)=0,"",SUM((COUNTIF(Q$4:Q887,Upgrades!$B$3:$B$13)-COUNTIF(Q$4:Q887,"Sell_"&amp;Upgrades!$B$3:$B$13))*Upgrades!$D$3:$D$13))</f>
        <v/>
      </c>
      <c r="T887" s="66" t="str">
        <f>IFERROR(__xludf.DUMMYFUNCTION("IF(COUNTA(Q887:Q1644)=0,"""",IF(REGEXMATCH(INDEX(FILTER(Q$4:Q887,Q$4:Q887&lt;&gt;""""),ROWS(FILTER(Q$4:Q887,Q$4:Q887&lt;&gt;""""))),""^Sell_""),INDEX(FILTER(T$4:T886,Q$4:Q886&lt;&gt;""""),ROWS(FILTER(Q$4:Q886,Q$4:Q886&lt;&gt;""""))),$AD$5+S887))"),"")</f>
        <v/>
      </c>
      <c r="U887" s="10" t="str">
        <f>IFERROR(__xludf.DUMMYFUNCTION("IF(COUNTA(Q887:Q1644)=0,"""",IF(Q887="""",0,IF(REGEXMATCH(Q887,""^Sell_""),-ROUNDDOWN(ROUNDUP(INDEX(Upgrades!$C$3:$C$13,MATCH(SUBSTITUTE(Q887,""Sell_"",""""),Upgrades!$B$3:$B$13,0))*1.15^(COUNTIF(Q$4:Q886,SUBSTITUTE(Q887,""Sell_"",""""))-COUNTIF(Q$4:Q886,"&amp;"""Sell_""&amp;SUBSTITUTE(Q887,""Sell_"",""""))))/2),ROUNDUP(INDEX(Upgrades!$C$3:$C$13,MATCH(Q887,Upgrades!$B$3:$B$13,0))*1.15^(COUNTIF(Q$4:Q886,Q887)-COUNTIF(Q$4:Q886,""Sell_""&amp;Q887))))))"),"")</f>
        <v/>
      </c>
      <c r="V887" s="10" t="str">
        <f t="shared" si="11"/>
        <v/>
      </c>
      <c r="W887" s="68" t="str">
        <f t="shared" si="12"/>
        <v/>
      </c>
      <c r="X887" s="59" t="str">
        <f t="shared" si="13"/>
        <v/>
      </c>
      <c r="Y887" s="69" t="str">
        <f t="shared" si="14"/>
        <v/>
      </c>
      <c r="Z887" s="11"/>
      <c r="AG887" s="59"/>
    </row>
    <row r="888">
      <c r="A888" s="8"/>
      <c r="B888" s="56" t="str">
        <f t="shared" si="2"/>
        <v/>
      </c>
      <c r="C888" s="105"/>
      <c r="D888" s="10"/>
      <c r="E888" s="59" t="str">
        <f t="array" ref="E888">IF(COUNTA(C888:C1644)=0,"",SUM((COUNTIF(C$4:C888,Upgrades!$B$3:$B$13)-COUNTIF(C$4:C888,"Sell_"&amp;Upgrades!$B$3:$B$13))*Upgrades!$D$3:$D$13))</f>
        <v/>
      </c>
      <c r="F888" s="66" t="str">
        <f>IFERROR(__xludf.DUMMYFUNCTION("IF(COUNTA(C888:C1644)=0,"""",IF(REGEXMATCH(INDEX(FILTER(C$4:C888,C$4:C888&lt;&gt;""""),ROWS(FILTER(C$4:C888,C$4:C888&lt;&gt;""""))),""^Sell_""),INDEX(FILTER(F$4:F887,C$4:C887&lt;&gt;""""),ROWS(FILTER(C$4:C887,C$4:C887&lt;&gt;""""))),$AC$5+E888))"),"")</f>
        <v/>
      </c>
      <c r="G888" s="10" t="str">
        <f>IFERROR(__xludf.DUMMYFUNCTION("IF(COUNTA(C888:C1644)=0,"""",IF(C888="""",0,IF(REGEXMATCH(C888,""^Sell_""),-ROUNDDOWN(ROUNDUP(INDEX(Upgrades!$C$3:$C$13,MATCH(SUBSTITUTE(C888,""Sell_"",""""),Upgrades!$B$3:$B$13,0))*1.15^(COUNTIF(C$4:C887,SUBSTITUTE(C888,""Sell_"",""""))-COUNTIF(C$4:C887,"&amp;"""Sell_""&amp;SUBSTITUTE(C888,""Sell_"",""""))))/2),ROUNDUP(INDEX(Upgrades!$C$3:$C$13,MATCH(C888,Upgrades!$B$3:$B$13,0))*1.15^(COUNTIF(C$4:C887,C888)-COUNTIF(C$4:C887,""Sell_""&amp;C888))))))"),"")</f>
        <v/>
      </c>
      <c r="H888" s="10" t="str">
        <f t="shared" si="3"/>
        <v/>
      </c>
      <c r="I888" s="68" t="str">
        <f t="shared" si="4"/>
        <v/>
      </c>
      <c r="J888" s="59" t="str">
        <f t="shared" si="5"/>
        <v/>
      </c>
      <c r="K888" s="69" t="str">
        <f t="shared" si="6"/>
        <v/>
      </c>
      <c r="L888" s="60" t="str">
        <f t="shared" si="7"/>
        <v/>
      </c>
      <c r="M888" s="61" t="str">
        <f>IFERROR(__xludf.DUMMYFUNCTION("IFS(AND(COUNTA(C888:C1644)=0,COUNTA(Q888:Q1644)=0),"""",OR(AND(K888&gt;=1000000000,OR(Y888&gt;=1000000000,COUNTA(Q888:Q1644)=0)),OR(Y888&gt;=1000000000,AND(COUNTA(C888:C1644)=0,P$3=TRUE))),
ROUNDDOWN((AB$1-AC$1)*MAX(INDEX(T$4:T1644,MATCH(LARGE(FILTER(Y$4:Y1644,Y$4"&amp;":Y1644&lt;1000000000),1),Y$4:Y1644)),INDEX(F$4:F1644,MATCH(LARGE(FILTER(K$4:K1644,K$4:K1644&lt;1000000000),1),K$4:K1644)))),AND(K888&lt;1000000000,COUNTA(C888:C1644)&gt;0,P$3=FALSE),
ROUNDDOWN(INDEX(Y$4:Y1644,MATCH(LARGE(FILTER(W$4:W1644,W$4:W1644&lt;=I888),1),W$4:W1644"&amp;"))+(I888-LARGE(FILTER(W$4:W1644,W$4:W1644&lt;=I888),1))*INDEX(T$4:T1644,MATCH(LARGE(FILTER(W$4:W1644,W$4:W1644&lt;=I888),1),W$4:W1644))-K888),1,
ROUNDDOWN(Y888-INDEX(K$4:K1644,MATCH(LARGE(FILTER(I$4:I1644,I$4:I1644&lt;=W888),1),I$4:I1644))-(W888-LARGE(FILTER(I$4:I"&amp;"1644,I$4:I1644&lt;=W888),1))*INDEX(F$4:F1644,MATCH(LARGE(FILTER(I$4:I1644,I$4:I1644&lt;=W888),1),I$4:I1644))))"),"")</f>
        <v/>
      </c>
      <c r="N888" s="60" t="str">
        <f t="shared" si="8"/>
        <v/>
      </c>
      <c r="O888" s="61" t="str">
        <f t="shared" si="9"/>
        <v/>
      </c>
      <c r="P888" s="56" t="str">
        <f t="shared" si="10"/>
        <v/>
      </c>
      <c r="Q888" s="105"/>
      <c r="R888" s="10"/>
      <c r="S888" s="59" t="str">
        <f t="array" ref="S888">IF(COUNTA(Q888:Q1644)=0,"",SUM((COUNTIF(Q$4:Q888,Upgrades!$B$3:$B$13)-COUNTIF(Q$4:Q888,"Sell_"&amp;Upgrades!$B$3:$B$13))*Upgrades!$D$3:$D$13))</f>
        <v/>
      </c>
      <c r="T888" s="66" t="str">
        <f>IFERROR(__xludf.DUMMYFUNCTION("IF(COUNTA(Q888:Q1644)=0,"""",IF(REGEXMATCH(INDEX(FILTER(Q$4:Q888,Q$4:Q888&lt;&gt;""""),ROWS(FILTER(Q$4:Q888,Q$4:Q888&lt;&gt;""""))),""^Sell_""),INDEX(FILTER(T$4:T887,Q$4:Q887&lt;&gt;""""),ROWS(FILTER(Q$4:Q887,Q$4:Q887&lt;&gt;""""))),$AD$5+S888))"),"")</f>
        <v/>
      </c>
      <c r="U888" s="10" t="str">
        <f>IFERROR(__xludf.DUMMYFUNCTION("IF(COUNTA(Q888:Q1644)=0,"""",IF(Q888="""",0,IF(REGEXMATCH(Q888,""^Sell_""),-ROUNDDOWN(ROUNDUP(INDEX(Upgrades!$C$3:$C$13,MATCH(SUBSTITUTE(Q888,""Sell_"",""""),Upgrades!$B$3:$B$13,0))*1.15^(COUNTIF(Q$4:Q887,SUBSTITUTE(Q888,""Sell_"",""""))-COUNTIF(Q$4:Q887,"&amp;"""Sell_""&amp;SUBSTITUTE(Q888,""Sell_"",""""))))/2),ROUNDUP(INDEX(Upgrades!$C$3:$C$13,MATCH(Q888,Upgrades!$B$3:$B$13,0))*1.15^(COUNTIF(Q$4:Q887,Q888)-COUNTIF(Q$4:Q887,""Sell_""&amp;Q888))))))"),"")</f>
        <v/>
      </c>
      <c r="V888" s="10" t="str">
        <f t="shared" si="11"/>
        <v/>
      </c>
      <c r="W888" s="68" t="str">
        <f t="shared" si="12"/>
        <v/>
      </c>
      <c r="X888" s="59" t="str">
        <f t="shared" si="13"/>
        <v/>
      </c>
      <c r="Y888" s="69" t="str">
        <f t="shared" si="14"/>
        <v/>
      </c>
      <c r="Z888" s="11"/>
      <c r="AG888" s="59"/>
    </row>
    <row r="889">
      <c r="A889" s="8"/>
      <c r="B889" s="56" t="str">
        <f t="shared" si="2"/>
        <v/>
      </c>
      <c r="C889" s="105"/>
      <c r="D889" s="10"/>
      <c r="E889" s="59" t="str">
        <f t="array" ref="E889">IF(COUNTA(C889:C1644)=0,"",SUM((COUNTIF(C$4:C889,Upgrades!$B$3:$B$13)-COUNTIF(C$4:C889,"Sell_"&amp;Upgrades!$B$3:$B$13))*Upgrades!$D$3:$D$13))</f>
        <v/>
      </c>
      <c r="F889" s="66" t="str">
        <f>IFERROR(__xludf.DUMMYFUNCTION("IF(COUNTA(C889:C1644)=0,"""",IF(REGEXMATCH(INDEX(FILTER(C$4:C889,C$4:C889&lt;&gt;""""),ROWS(FILTER(C$4:C889,C$4:C889&lt;&gt;""""))),""^Sell_""),INDEX(FILTER(F$4:F888,C$4:C888&lt;&gt;""""),ROWS(FILTER(C$4:C888,C$4:C888&lt;&gt;""""))),$AC$5+E889))"),"")</f>
        <v/>
      </c>
      <c r="G889" s="10" t="str">
        <f>IFERROR(__xludf.DUMMYFUNCTION("IF(COUNTA(C889:C1644)=0,"""",IF(C889="""",0,IF(REGEXMATCH(C889,""^Sell_""),-ROUNDDOWN(ROUNDUP(INDEX(Upgrades!$C$3:$C$13,MATCH(SUBSTITUTE(C889,""Sell_"",""""),Upgrades!$B$3:$B$13,0))*1.15^(COUNTIF(C$4:C888,SUBSTITUTE(C889,""Sell_"",""""))-COUNTIF(C$4:C888,"&amp;"""Sell_""&amp;SUBSTITUTE(C889,""Sell_"",""""))))/2),ROUNDUP(INDEX(Upgrades!$C$3:$C$13,MATCH(C889,Upgrades!$B$3:$B$13,0))*1.15^(COUNTIF(C$4:C888,C889)-COUNTIF(C$4:C888,""Sell_""&amp;C889))))))"),"")</f>
        <v/>
      </c>
      <c r="H889" s="10" t="str">
        <f t="shared" si="3"/>
        <v/>
      </c>
      <c r="I889" s="68" t="str">
        <f t="shared" si="4"/>
        <v/>
      </c>
      <c r="J889" s="59" t="str">
        <f t="shared" si="5"/>
        <v/>
      </c>
      <c r="K889" s="69" t="str">
        <f t="shared" si="6"/>
        <v/>
      </c>
      <c r="L889" s="60" t="str">
        <f t="shared" si="7"/>
        <v/>
      </c>
      <c r="M889" s="61" t="str">
        <f>IFERROR(__xludf.DUMMYFUNCTION("IFS(AND(COUNTA(C889:C1644)=0,COUNTA(Q889:Q1644)=0),"""",OR(AND(K889&gt;=1000000000,OR(Y889&gt;=1000000000,COUNTA(Q889:Q1644)=0)),OR(Y889&gt;=1000000000,AND(COUNTA(C889:C1644)=0,P$3=TRUE))),
ROUNDDOWN((AB$1-AC$1)*MAX(INDEX(T$4:T1644,MATCH(LARGE(FILTER(Y$4:Y1644,Y$4"&amp;":Y1644&lt;1000000000),1),Y$4:Y1644)),INDEX(F$4:F1644,MATCH(LARGE(FILTER(K$4:K1644,K$4:K1644&lt;1000000000),1),K$4:K1644)))),AND(K889&lt;1000000000,COUNTA(C889:C1644)&gt;0,P$3=FALSE),
ROUNDDOWN(INDEX(Y$4:Y1644,MATCH(LARGE(FILTER(W$4:W1644,W$4:W1644&lt;=I889),1),W$4:W1644"&amp;"))+(I889-LARGE(FILTER(W$4:W1644,W$4:W1644&lt;=I889),1))*INDEX(T$4:T1644,MATCH(LARGE(FILTER(W$4:W1644,W$4:W1644&lt;=I889),1),W$4:W1644))-K889),1,
ROUNDDOWN(Y889-INDEX(K$4:K1644,MATCH(LARGE(FILTER(I$4:I1644,I$4:I1644&lt;=W889),1),I$4:I1644))-(W889-LARGE(FILTER(I$4:I"&amp;"1644,I$4:I1644&lt;=W889),1))*INDEX(F$4:F1644,MATCH(LARGE(FILTER(I$4:I1644,I$4:I1644&lt;=W889),1),I$4:I1644))))"),"")</f>
        <v/>
      </c>
      <c r="N889" s="60" t="str">
        <f t="shared" si="8"/>
        <v/>
      </c>
      <c r="O889" s="61" t="str">
        <f t="shared" si="9"/>
        <v/>
      </c>
      <c r="P889" s="56" t="str">
        <f t="shared" si="10"/>
        <v/>
      </c>
      <c r="Q889" s="105"/>
      <c r="R889" s="10"/>
      <c r="S889" s="59" t="str">
        <f t="array" ref="S889">IF(COUNTA(Q889:Q1644)=0,"",SUM((COUNTIF(Q$4:Q889,Upgrades!$B$3:$B$13)-COUNTIF(Q$4:Q889,"Sell_"&amp;Upgrades!$B$3:$B$13))*Upgrades!$D$3:$D$13))</f>
        <v/>
      </c>
      <c r="T889" s="66" t="str">
        <f>IFERROR(__xludf.DUMMYFUNCTION("IF(COUNTA(Q889:Q1644)=0,"""",IF(REGEXMATCH(INDEX(FILTER(Q$4:Q889,Q$4:Q889&lt;&gt;""""),ROWS(FILTER(Q$4:Q889,Q$4:Q889&lt;&gt;""""))),""^Sell_""),INDEX(FILTER(T$4:T888,Q$4:Q888&lt;&gt;""""),ROWS(FILTER(Q$4:Q888,Q$4:Q888&lt;&gt;""""))),$AD$5+S889))"),"")</f>
        <v/>
      </c>
      <c r="U889" s="10" t="str">
        <f>IFERROR(__xludf.DUMMYFUNCTION("IF(COUNTA(Q889:Q1644)=0,"""",IF(Q889="""",0,IF(REGEXMATCH(Q889,""^Sell_""),-ROUNDDOWN(ROUNDUP(INDEX(Upgrades!$C$3:$C$13,MATCH(SUBSTITUTE(Q889,""Sell_"",""""),Upgrades!$B$3:$B$13,0))*1.15^(COUNTIF(Q$4:Q888,SUBSTITUTE(Q889,""Sell_"",""""))-COUNTIF(Q$4:Q888,"&amp;"""Sell_""&amp;SUBSTITUTE(Q889,""Sell_"",""""))))/2),ROUNDUP(INDEX(Upgrades!$C$3:$C$13,MATCH(Q889,Upgrades!$B$3:$B$13,0))*1.15^(COUNTIF(Q$4:Q888,Q889)-COUNTIF(Q$4:Q888,""Sell_""&amp;Q889))))))"),"")</f>
        <v/>
      </c>
      <c r="V889" s="10" t="str">
        <f t="shared" si="11"/>
        <v/>
      </c>
      <c r="W889" s="68" t="str">
        <f t="shared" si="12"/>
        <v/>
      </c>
      <c r="X889" s="59" t="str">
        <f t="shared" si="13"/>
        <v/>
      </c>
      <c r="Y889" s="69" t="str">
        <f t="shared" si="14"/>
        <v/>
      </c>
      <c r="Z889" s="11"/>
      <c r="AG889" s="59"/>
    </row>
    <row r="890">
      <c r="A890" s="8"/>
      <c r="B890" s="56" t="str">
        <f t="shared" si="2"/>
        <v/>
      </c>
      <c r="C890" s="105"/>
      <c r="D890" s="10"/>
      <c r="E890" s="59" t="str">
        <f t="array" ref="E890">IF(COUNTA(C890:C1644)=0,"",SUM((COUNTIF(C$4:C890,Upgrades!$B$3:$B$13)-COUNTIF(C$4:C890,"Sell_"&amp;Upgrades!$B$3:$B$13))*Upgrades!$D$3:$D$13))</f>
        <v/>
      </c>
      <c r="F890" s="66" t="str">
        <f>IFERROR(__xludf.DUMMYFUNCTION("IF(COUNTA(C890:C1644)=0,"""",IF(REGEXMATCH(INDEX(FILTER(C$4:C890,C$4:C890&lt;&gt;""""),ROWS(FILTER(C$4:C890,C$4:C890&lt;&gt;""""))),""^Sell_""),INDEX(FILTER(F$4:F889,C$4:C889&lt;&gt;""""),ROWS(FILTER(C$4:C889,C$4:C889&lt;&gt;""""))),$AC$5+E890))"),"")</f>
        <v/>
      </c>
      <c r="G890" s="10" t="str">
        <f>IFERROR(__xludf.DUMMYFUNCTION("IF(COUNTA(C890:C1644)=0,"""",IF(C890="""",0,IF(REGEXMATCH(C890,""^Sell_""),-ROUNDDOWN(ROUNDUP(INDEX(Upgrades!$C$3:$C$13,MATCH(SUBSTITUTE(C890,""Sell_"",""""),Upgrades!$B$3:$B$13,0))*1.15^(COUNTIF(C$4:C889,SUBSTITUTE(C890,""Sell_"",""""))-COUNTIF(C$4:C889,"&amp;"""Sell_""&amp;SUBSTITUTE(C890,""Sell_"",""""))))/2),ROUNDUP(INDEX(Upgrades!$C$3:$C$13,MATCH(C890,Upgrades!$B$3:$B$13,0))*1.15^(COUNTIF(C$4:C889,C890)-COUNTIF(C$4:C889,""Sell_""&amp;C890))))))"),"")</f>
        <v/>
      </c>
      <c r="H890" s="10" t="str">
        <f t="shared" si="3"/>
        <v/>
      </c>
      <c r="I890" s="68" t="str">
        <f t="shared" si="4"/>
        <v/>
      </c>
      <c r="J890" s="59" t="str">
        <f t="shared" si="5"/>
        <v/>
      </c>
      <c r="K890" s="69" t="str">
        <f t="shared" si="6"/>
        <v/>
      </c>
      <c r="L890" s="60" t="str">
        <f t="shared" si="7"/>
        <v/>
      </c>
      <c r="M890" s="61" t="str">
        <f>IFERROR(__xludf.DUMMYFUNCTION("IFS(AND(COUNTA(C890:C1644)=0,COUNTA(Q890:Q1644)=0),"""",OR(AND(K890&gt;=1000000000,OR(Y890&gt;=1000000000,COUNTA(Q890:Q1644)=0)),OR(Y890&gt;=1000000000,AND(COUNTA(C890:C1644)=0,P$3=TRUE))),
ROUNDDOWN((AB$1-AC$1)*MAX(INDEX(T$4:T1644,MATCH(LARGE(FILTER(Y$4:Y1644,Y$4"&amp;":Y1644&lt;1000000000),1),Y$4:Y1644)),INDEX(F$4:F1644,MATCH(LARGE(FILTER(K$4:K1644,K$4:K1644&lt;1000000000),1),K$4:K1644)))),AND(K890&lt;1000000000,COUNTA(C890:C1644)&gt;0,P$3=FALSE),
ROUNDDOWN(INDEX(Y$4:Y1644,MATCH(LARGE(FILTER(W$4:W1644,W$4:W1644&lt;=I890),1),W$4:W1644"&amp;"))+(I890-LARGE(FILTER(W$4:W1644,W$4:W1644&lt;=I890),1))*INDEX(T$4:T1644,MATCH(LARGE(FILTER(W$4:W1644,W$4:W1644&lt;=I890),1),W$4:W1644))-K890),1,
ROUNDDOWN(Y890-INDEX(K$4:K1644,MATCH(LARGE(FILTER(I$4:I1644,I$4:I1644&lt;=W890),1),I$4:I1644))-(W890-LARGE(FILTER(I$4:I"&amp;"1644,I$4:I1644&lt;=W890),1))*INDEX(F$4:F1644,MATCH(LARGE(FILTER(I$4:I1644,I$4:I1644&lt;=W890),1),I$4:I1644))))"),"")</f>
        <v/>
      </c>
      <c r="N890" s="60" t="str">
        <f t="shared" si="8"/>
        <v/>
      </c>
      <c r="O890" s="61" t="str">
        <f t="shared" si="9"/>
        <v/>
      </c>
      <c r="P890" s="56" t="str">
        <f t="shared" si="10"/>
        <v/>
      </c>
      <c r="Q890" s="105"/>
      <c r="R890" s="10"/>
      <c r="S890" s="59" t="str">
        <f t="array" ref="S890">IF(COUNTA(Q890:Q1644)=0,"",SUM((COUNTIF(Q$4:Q890,Upgrades!$B$3:$B$13)-COUNTIF(Q$4:Q890,"Sell_"&amp;Upgrades!$B$3:$B$13))*Upgrades!$D$3:$D$13))</f>
        <v/>
      </c>
      <c r="T890" s="66" t="str">
        <f>IFERROR(__xludf.DUMMYFUNCTION("IF(COUNTA(Q890:Q1644)=0,"""",IF(REGEXMATCH(INDEX(FILTER(Q$4:Q890,Q$4:Q890&lt;&gt;""""),ROWS(FILTER(Q$4:Q890,Q$4:Q890&lt;&gt;""""))),""^Sell_""),INDEX(FILTER(T$4:T889,Q$4:Q889&lt;&gt;""""),ROWS(FILTER(Q$4:Q889,Q$4:Q889&lt;&gt;""""))),$AD$5+S890))"),"")</f>
        <v/>
      </c>
      <c r="U890" s="10" t="str">
        <f>IFERROR(__xludf.DUMMYFUNCTION("IF(COUNTA(Q890:Q1644)=0,"""",IF(Q890="""",0,IF(REGEXMATCH(Q890,""^Sell_""),-ROUNDDOWN(ROUNDUP(INDEX(Upgrades!$C$3:$C$13,MATCH(SUBSTITUTE(Q890,""Sell_"",""""),Upgrades!$B$3:$B$13,0))*1.15^(COUNTIF(Q$4:Q889,SUBSTITUTE(Q890,""Sell_"",""""))-COUNTIF(Q$4:Q889,"&amp;"""Sell_""&amp;SUBSTITUTE(Q890,""Sell_"",""""))))/2),ROUNDUP(INDEX(Upgrades!$C$3:$C$13,MATCH(Q890,Upgrades!$B$3:$B$13,0))*1.15^(COUNTIF(Q$4:Q889,Q890)-COUNTIF(Q$4:Q889,""Sell_""&amp;Q890))))))"),"")</f>
        <v/>
      </c>
      <c r="V890" s="10" t="str">
        <f t="shared" si="11"/>
        <v/>
      </c>
      <c r="W890" s="68" t="str">
        <f t="shared" si="12"/>
        <v/>
      </c>
      <c r="X890" s="59" t="str">
        <f t="shared" si="13"/>
        <v/>
      </c>
      <c r="Y890" s="69" t="str">
        <f t="shared" si="14"/>
        <v/>
      </c>
      <c r="Z890" s="11"/>
      <c r="AG890" s="59"/>
    </row>
    <row r="891">
      <c r="A891" s="8"/>
      <c r="B891" s="56" t="str">
        <f t="shared" si="2"/>
        <v/>
      </c>
      <c r="C891" s="105"/>
      <c r="D891" s="10"/>
      <c r="E891" s="59" t="str">
        <f t="array" ref="E891">IF(COUNTA(C891:C1644)=0,"",SUM((COUNTIF(C$4:C891,Upgrades!$B$3:$B$13)-COUNTIF(C$4:C891,"Sell_"&amp;Upgrades!$B$3:$B$13))*Upgrades!$D$3:$D$13))</f>
        <v/>
      </c>
      <c r="F891" s="66" t="str">
        <f>IFERROR(__xludf.DUMMYFUNCTION("IF(COUNTA(C891:C1644)=0,"""",IF(REGEXMATCH(INDEX(FILTER(C$4:C891,C$4:C891&lt;&gt;""""),ROWS(FILTER(C$4:C891,C$4:C891&lt;&gt;""""))),""^Sell_""),INDEX(FILTER(F$4:F890,C$4:C890&lt;&gt;""""),ROWS(FILTER(C$4:C890,C$4:C890&lt;&gt;""""))),$AC$5+E891))"),"")</f>
        <v/>
      </c>
      <c r="G891" s="10" t="str">
        <f>IFERROR(__xludf.DUMMYFUNCTION("IF(COUNTA(C891:C1644)=0,"""",IF(C891="""",0,IF(REGEXMATCH(C891,""^Sell_""),-ROUNDDOWN(ROUNDUP(INDEX(Upgrades!$C$3:$C$13,MATCH(SUBSTITUTE(C891,""Sell_"",""""),Upgrades!$B$3:$B$13,0))*1.15^(COUNTIF(C$4:C890,SUBSTITUTE(C891,""Sell_"",""""))-COUNTIF(C$4:C890,"&amp;"""Sell_""&amp;SUBSTITUTE(C891,""Sell_"",""""))))/2),ROUNDUP(INDEX(Upgrades!$C$3:$C$13,MATCH(C891,Upgrades!$B$3:$B$13,0))*1.15^(COUNTIF(C$4:C890,C891)-COUNTIF(C$4:C890,""Sell_""&amp;C891))))))"),"")</f>
        <v/>
      </c>
      <c r="H891" s="10" t="str">
        <f t="shared" si="3"/>
        <v/>
      </c>
      <c r="I891" s="68" t="str">
        <f t="shared" si="4"/>
        <v/>
      </c>
      <c r="J891" s="59" t="str">
        <f t="shared" si="5"/>
        <v/>
      </c>
      <c r="K891" s="69" t="str">
        <f t="shared" si="6"/>
        <v/>
      </c>
      <c r="L891" s="60" t="str">
        <f t="shared" si="7"/>
        <v/>
      </c>
      <c r="M891" s="61" t="str">
        <f>IFERROR(__xludf.DUMMYFUNCTION("IFS(AND(COUNTA(C891:C1644)=0,COUNTA(Q891:Q1644)=0),"""",OR(AND(K891&gt;=1000000000,OR(Y891&gt;=1000000000,COUNTA(Q891:Q1644)=0)),OR(Y891&gt;=1000000000,AND(COUNTA(C891:C1644)=0,P$3=TRUE))),
ROUNDDOWN((AB$1-AC$1)*MAX(INDEX(T$4:T1644,MATCH(LARGE(FILTER(Y$4:Y1644,Y$4"&amp;":Y1644&lt;1000000000),1),Y$4:Y1644)),INDEX(F$4:F1644,MATCH(LARGE(FILTER(K$4:K1644,K$4:K1644&lt;1000000000),1),K$4:K1644)))),AND(K891&lt;1000000000,COUNTA(C891:C1644)&gt;0,P$3=FALSE),
ROUNDDOWN(INDEX(Y$4:Y1644,MATCH(LARGE(FILTER(W$4:W1644,W$4:W1644&lt;=I891),1),W$4:W1644"&amp;"))+(I891-LARGE(FILTER(W$4:W1644,W$4:W1644&lt;=I891),1))*INDEX(T$4:T1644,MATCH(LARGE(FILTER(W$4:W1644,W$4:W1644&lt;=I891),1),W$4:W1644))-K891),1,
ROUNDDOWN(Y891-INDEX(K$4:K1644,MATCH(LARGE(FILTER(I$4:I1644,I$4:I1644&lt;=W891),1),I$4:I1644))-(W891-LARGE(FILTER(I$4:I"&amp;"1644,I$4:I1644&lt;=W891),1))*INDEX(F$4:F1644,MATCH(LARGE(FILTER(I$4:I1644,I$4:I1644&lt;=W891),1),I$4:I1644))))"),"")</f>
        <v/>
      </c>
      <c r="N891" s="60" t="str">
        <f t="shared" si="8"/>
        <v/>
      </c>
      <c r="O891" s="61" t="str">
        <f t="shared" si="9"/>
        <v/>
      </c>
      <c r="P891" s="56" t="str">
        <f t="shared" si="10"/>
        <v/>
      </c>
      <c r="Q891" s="105"/>
      <c r="R891" s="10"/>
      <c r="S891" s="59" t="str">
        <f t="array" ref="S891">IF(COUNTA(Q891:Q1644)=0,"",SUM((COUNTIF(Q$4:Q891,Upgrades!$B$3:$B$13)-COUNTIF(Q$4:Q891,"Sell_"&amp;Upgrades!$B$3:$B$13))*Upgrades!$D$3:$D$13))</f>
        <v/>
      </c>
      <c r="T891" s="66" t="str">
        <f>IFERROR(__xludf.DUMMYFUNCTION("IF(COUNTA(Q891:Q1644)=0,"""",IF(REGEXMATCH(INDEX(FILTER(Q$4:Q891,Q$4:Q891&lt;&gt;""""),ROWS(FILTER(Q$4:Q891,Q$4:Q891&lt;&gt;""""))),""^Sell_""),INDEX(FILTER(T$4:T890,Q$4:Q890&lt;&gt;""""),ROWS(FILTER(Q$4:Q890,Q$4:Q890&lt;&gt;""""))),$AD$5+S891))"),"")</f>
        <v/>
      </c>
      <c r="U891" s="10" t="str">
        <f>IFERROR(__xludf.DUMMYFUNCTION("IF(COUNTA(Q891:Q1644)=0,"""",IF(Q891="""",0,IF(REGEXMATCH(Q891,""^Sell_""),-ROUNDDOWN(ROUNDUP(INDEX(Upgrades!$C$3:$C$13,MATCH(SUBSTITUTE(Q891,""Sell_"",""""),Upgrades!$B$3:$B$13,0))*1.15^(COUNTIF(Q$4:Q890,SUBSTITUTE(Q891,""Sell_"",""""))-COUNTIF(Q$4:Q890,"&amp;"""Sell_""&amp;SUBSTITUTE(Q891,""Sell_"",""""))))/2),ROUNDUP(INDEX(Upgrades!$C$3:$C$13,MATCH(Q891,Upgrades!$B$3:$B$13,0))*1.15^(COUNTIF(Q$4:Q890,Q891)-COUNTIF(Q$4:Q890,""Sell_""&amp;Q891))))))"),"")</f>
        <v/>
      </c>
      <c r="V891" s="10" t="str">
        <f t="shared" si="11"/>
        <v/>
      </c>
      <c r="W891" s="68" t="str">
        <f t="shared" si="12"/>
        <v/>
      </c>
      <c r="X891" s="59" t="str">
        <f t="shared" si="13"/>
        <v/>
      </c>
      <c r="Y891" s="69" t="str">
        <f t="shared" si="14"/>
        <v/>
      </c>
      <c r="Z891" s="11"/>
      <c r="AG891" s="59"/>
    </row>
    <row r="892">
      <c r="A892" s="8"/>
      <c r="B892" s="56" t="str">
        <f t="shared" si="2"/>
        <v/>
      </c>
      <c r="C892" s="105"/>
      <c r="D892" s="10"/>
      <c r="E892" s="59" t="str">
        <f t="array" ref="E892">IF(COUNTA(C892:C1644)=0,"",SUM((COUNTIF(C$4:C892,Upgrades!$B$3:$B$13)-COUNTIF(C$4:C892,"Sell_"&amp;Upgrades!$B$3:$B$13))*Upgrades!$D$3:$D$13))</f>
        <v/>
      </c>
      <c r="F892" s="66" t="str">
        <f>IFERROR(__xludf.DUMMYFUNCTION("IF(COUNTA(C892:C1644)=0,"""",IF(REGEXMATCH(INDEX(FILTER(C$4:C892,C$4:C892&lt;&gt;""""),ROWS(FILTER(C$4:C892,C$4:C892&lt;&gt;""""))),""^Sell_""),INDEX(FILTER(F$4:F891,C$4:C891&lt;&gt;""""),ROWS(FILTER(C$4:C891,C$4:C891&lt;&gt;""""))),$AC$5+E892))"),"")</f>
        <v/>
      </c>
      <c r="G892" s="10" t="str">
        <f>IFERROR(__xludf.DUMMYFUNCTION("IF(COUNTA(C892:C1644)=0,"""",IF(C892="""",0,IF(REGEXMATCH(C892,""^Sell_""),-ROUNDDOWN(ROUNDUP(INDEX(Upgrades!$C$3:$C$13,MATCH(SUBSTITUTE(C892,""Sell_"",""""),Upgrades!$B$3:$B$13,0))*1.15^(COUNTIF(C$4:C891,SUBSTITUTE(C892,""Sell_"",""""))-COUNTIF(C$4:C891,"&amp;"""Sell_""&amp;SUBSTITUTE(C892,""Sell_"",""""))))/2),ROUNDUP(INDEX(Upgrades!$C$3:$C$13,MATCH(C892,Upgrades!$B$3:$B$13,0))*1.15^(COUNTIF(C$4:C891,C892)-COUNTIF(C$4:C891,""Sell_""&amp;C892))))))"),"")</f>
        <v/>
      </c>
      <c r="H892" s="10" t="str">
        <f t="shared" si="3"/>
        <v/>
      </c>
      <c r="I892" s="68" t="str">
        <f t="shared" si="4"/>
        <v/>
      </c>
      <c r="J892" s="59" t="str">
        <f t="shared" si="5"/>
        <v/>
      </c>
      <c r="K892" s="69" t="str">
        <f t="shared" si="6"/>
        <v/>
      </c>
      <c r="L892" s="60" t="str">
        <f t="shared" si="7"/>
        <v/>
      </c>
      <c r="M892" s="61" t="str">
        <f>IFERROR(__xludf.DUMMYFUNCTION("IFS(AND(COUNTA(C892:C1644)=0,COUNTA(Q892:Q1644)=0),"""",OR(AND(K892&gt;=1000000000,OR(Y892&gt;=1000000000,COUNTA(Q892:Q1644)=0)),OR(Y892&gt;=1000000000,AND(COUNTA(C892:C1644)=0,P$3=TRUE))),
ROUNDDOWN((AB$1-AC$1)*MAX(INDEX(T$4:T1644,MATCH(LARGE(FILTER(Y$4:Y1644,Y$4"&amp;":Y1644&lt;1000000000),1),Y$4:Y1644)),INDEX(F$4:F1644,MATCH(LARGE(FILTER(K$4:K1644,K$4:K1644&lt;1000000000),1),K$4:K1644)))),AND(K892&lt;1000000000,COUNTA(C892:C1644)&gt;0,P$3=FALSE),
ROUNDDOWN(INDEX(Y$4:Y1644,MATCH(LARGE(FILTER(W$4:W1644,W$4:W1644&lt;=I892),1),W$4:W1644"&amp;"))+(I892-LARGE(FILTER(W$4:W1644,W$4:W1644&lt;=I892),1))*INDEX(T$4:T1644,MATCH(LARGE(FILTER(W$4:W1644,W$4:W1644&lt;=I892),1),W$4:W1644))-K892),1,
ROUNDDOWN(Y892-INDEX(K$4:K1644,MATCH(LARGE(FILTER(I$4:I1644,I$4:I1644&lt;=W892),1),I$4:I1644))-(W892-LARGE(FILTER(I$4:I"&amp;"1644,I$4:I1644&lt;=W892),1))*INDEX(F$4:F1644,MATCH(LARGE(FILTER(I$4:I1644,I$4:I1644&lt;=W892),1),I$4:I1644))))"),"")</f>
        <v/>
      </c>
      <c r="N892" s="60" t="str">
        <f t="shared" si="8"/>
        <v/>
      </c>
      <c r="O892" s="61" t="str">
        <f t="shared" si="9"/>
        <v/>
      </c>
      <c r="P892" s="56" t="str">
        <f t="shared" si="10"/>
        <v/>
      </c>
      <c r="Q892" s="105"/>
      <c r="R892" s="10"/>
      <c r="S892" s="59" t="str">
        <f t="array" ref="S892">IF(COUNTA(Q892:Q1644)=0,"",SUM((COUNTIF(Q$4:Q892,Upgrades!$B$3:$B$13)-COUNTIF(Q$4:Q892,"Sell_"&amp;Upgrades!$B$3:$B$13))*Upgrades!$D$3:$D$13))</f>
        <v/>
      </c>
      <c r="T892" s="66" t="str">
        <f>IFERROR(__xludf.DUMMYFUNCTION("IF(COUNTA(Q892:Q1644)=0,"""",IF(REGEXMATCH(INDEX(FILTER(Q$4:Q892,Q$4:Q892&lt;&gt;""""),ROWS(FILTER(Q$4:Q892,Q$4:Q892&lt;&gt;""""))),""^Sell_""),INDEX(FILTER(T$4:T891,Q$4:Q891&lt;&gt;""""),ROWS(FILTER(Q$4:Q891,Q$4:Q891&lt;&gt;""""))),$AD$5+S892))"),"")</f>
        <v/>
      </c>
      <c r="U892" s="10" t="str">
        <f>IFERROR(__xludf.DUMMYFUNCTION("IF(COUNTA(Q892:Q1644)=0,"""",IF(Q892="""",0,IF(REGEXMATCH(Q892,""^Sell_""),-ROUNDDOWN(ROUNDUP(INDEX(Upgrades!$C$3:$C$13,MATCH(SUBSTITUTE(Q892,""Sell_"",""""),Upgrades!$B$3:$B$13,0))*1.15^(COUNTIF(Q$4:Q891,SUBSTITUTE(Q892,""Sell_"",""""))-COUNTIF(Q$4:Q891,"&amp;"""Sell_""&amp;SUBSTITUTE(Q892,""Sell_"",""""))))/2),ROUNDUP(INDEX(Upgrades!$C$3:$C$13,MATCH(Q892,Upgrades!$B$3:$B$13,0))*1.15^(COUNTIF(Q$4:Q891,Q892)-COUNTIF(Q$4:Q891,""Sell_""&amp;Q892))))))"),"")</f>
        <v/>
      </c>
      <c r="V892" s="10" t="str">
        <f t="shared" si="11"/>
        <v/>
      </c>
      <c r="W892" s="68" t="str">
        <f t="shared" si="12"/>
        <v/>
      </c>
      <c r="X892" s="59" t="str">
        <f t="shared" si="13"/>
        <v/>
      </c>
      <c r="Y892" s="69" t="str">
        <f t="shared" si="14"/>
        <v/>
      </c>
      <c r="Z892" s="11"/>
      <c r="AG892" s="59"/>
    </row>
    <row r="893">
      <c r="A893" s="8"/>
      <c r="B893" s="56" t="str">
        <f t="shared" si="2"/>
        <v/>
      </c>
      <c r="C893" s="105"/>
      <c r="D893" s="10"/>
      <c r="E893" s="59" t="str">
        <f t="array" ref="E893">IF(COUNTA(C893:C1644)=0,"",SUM((COUNTIF(C$4:C893,Upgrades!$B$3:$B$13)-COUNTIF(C$4:C893,"Sell_"&amp;Upgrades!$B$3:$B$13))*Upgrades!$D$3:$D$13))</f>
        <v/>
      </c>
      <c r="F893" s="66" t="str">
        <f>IFERROR(__xludf.DUMMYFUNCTION("IF(COUNTA(C893:C1644)=0,"""",IF(REGEXMATCH(INDEX(FILTER(C$4:C893,C$4:C893&lt;&gt;""""),ROWS(FILTER(C$4:C893,C$4:C893&lt;&gt;""""))),""^Sell_""),INDEX(FILTER(F$4:F892,C$4:C892&lt;&gt;""""),ROWS(FILTER(C$4:C892,C$4:C892&lt;&gt;""""))),$AC$5+E893))"),"")</f>
        <v/>
      </c>
      <c r="G893" s="10" t="str">
        <f>IFERROR(__xludf.DUMMYFUNCTION("IF(COUNTA(C893:C1644)=0,"""",IF(C893="""",0,IF(REGEXMATCH(C893,""^Sell_""),-ROUNDDOWN(ROUNDUP(INDEX(Upgrades!$C$3:$C$13,MATCH(SUBSTITUTE(C893,""Sell_"",""""),Upgrades!$B$3:$B$13,0))*1.15^(COUNTIF(C$4:C892,SUBSTITUTE(C893,""Sell_"",""""))-COUNTIF(C$4:C892,"&amp;"""Sell_""&amp;SUBSTITUTE(C893,""Sell_"",""""))))/2),ROUNDUP(INDEX(Upgrades!$C$3:$C$13,MATCH(C893,Upgrades!$B$3:$B$13,0))*1.15^(COUNTIF(C$4:C892,C893)-COUNTIF(C$4:C892,""Sell_""&amp;C893))))))"),"")</f>
        <v/>
      </c>
      <c r="H893" s="10" t="str">
        <f t="shared" si="3"/>
        <v/>
      </c>
      <c r="I893" s="68" t="str">
        <f t="shared" si="4"/>
        <v/>
      </c>
      <c r="J893" s="59" t="str">
        <f t="shared" si="5"/>
        <v/>
      </c>
      <c r="K893" s="69" t="str">
        <f t="shared" si="6"/>
        <v/>
      </c>
      <c r="L893" s="60" t="str">
        <f t="shared" si="7"/>
        <v/>
      </c>
      <c r="M893" s="61" t="str">
        <f>IFERROR(__xludf.DUMMYFUNCTION("IFS(AND(COUNTA(C893:C1644)=0,COUNTA(Q893:Q1644)=0),"""",OR(AND(K893&gt;=1000000000,OR(Y893&gt;=1000000000,COUNTA(Q893:Q1644)=0)),OR(Y893&gt;=1000000000,AND(COUNTA(C893:C1644)=0,P$3=TRUE))),
ROUNDDOWN((AB$1-AC$1)*MAX(INDEX(T$4:T1644,MATCH(LARGE(FILTER(Y$4:Y1644,Y$4"&amp;":Y1644&lt;1000000000),1),Y$4:Y1644)),INDEX(F$4:F1644,MATCH(LARGE(FILTER(K$4:K1644,K$4:K1644&lt;1000000000),1),K$4:K1644)))),AND(K893&lt;1000000000,COUNTA(C893:C1644)&gt;0,P$3=FALSE),
ROUNDDOWN(INDEX(Y$4:Y1644,MATCH(LARGE(FILTER(W$4:W1644,W$4:W1644&lt;=I893),1),W$4:W1644"&amp;"))+(I893-LARGE(FILTER(W$4:W1644,W$4:W1644&lt;=I893),1))*INDEX(T$4:T1644,MATCH(LARGE(FILTER(W$4:W1644,W$4:W1644&lt;=I893),1),W$4:W1644))-K893),1,
ROUNDDOWN(Y893-INDEX(K$4:K1644,MATCH(LARGE(FILTER(I$4:I1644,I$4:I1644&lt;=W893),1),I$4:I1644))-(W893-LARGE(FILTER(I$4:I"&amp;"1644,I$4:I1644&lt;=W893),1))*INDEX(F$4:F1644,MATCH(LARGE(FILTER(I$4:I1644,I$4:I1644&lt;=W893),1),I$4:I1644))))"),"")</f>
        <v/>
      </c>
      <c r="N893" s="60" t="str">
        <f t="shared" si="8"/>
        <v/>
      </c>
      <c r="O893" s="61" t="str">
        <f t="shared" si="9"/>
        <v/>
      </c>
      <c r="P893" s="56" t="str">
        <f t="shared" si="10"/>
        <v/>
      </c>
      <c r="Q893" s="105"/>
      <c r="R893" s="10"/>
      <c r="S893" s="59" t="str">
        <f t="array" ref="S893">IF(COUNTA(Q893:Q1644)=0,"",SUM((COUNTIF(Q$4:Q893,Upgrades!$B$3:$B$13)-COUNTIF(Q$4:Q893,"Sell_"&amp;Upgrades!$B$3:$B$13))*Upgrades!$D$3:$D$13))</f>
        <v/>
      </c>
      <c r="T893" s="66" t="str">
        <f>IFERROR(__xludf.DUMMYFUNCTION("IF(COUNTA(Q893:Q1644)=0,"""",IF(REGEXMATCH(INDEX(FILTER(Q$4:Q893,Q$4:Q893&lt;&gt;""""),ROWS(FILTER(Q$4:Q893,Q$4:Q893&lt;&gt;""""))),""^Sell_""),INDEX(FILTER(T$4:T892,Q$4:Q892&lt;&gt;""""),ROWS(FILTER(Q$4:Q892,Q$4:Q892&lt;&gt;""""))),$AD$5+S893))"),"")</f>
        <v/>
      </c>
      <c r="U893" s="10" t="str">
        <f>IFERROR(__xludf.DUMMYFUNCTION("IF(COUNTA(Q893:Q1644)=0,"""",IF(Q893="""",0,IF(REGEXMATCH(Q893,""^Sell_""),-ROUNDDOWN(ROUNDUP(INDEX(Upgrades!$C$3:$C$13,MATCH(SUBSTITUTE(Q893,""Sell_"",""""),Upgrades!$B$3:$B$13,0))*1.15^(COUNTIF(Q$4:Q892,SUBSTITUTE(Q893,""Sell_"",""""))-COUNTIF(Q$4:Q892,"&amp;"""Sell_""&amp;SUBSTITUTE(Q893,""Sell_"",""""))))/2),ROUNDUP(INDEX(Upgrades!$C$3:$C$13,MATCH(Q893,Upgrades!$B$3:$B$13,0))*1.15^(COUNTIF(Q$4:Q892,Q893)-COUNTIF(Q$4:Q892,""Sell_""&amp;Q893))))))"),"")</f>
        <v/>
      </c>
      <c r="V893" s="10" t="str">
        <f t="shared" si="11"/>
        <v/>
      </c>
      <c r="W893" s="68" t="str">
        <f t="shared" si="12"/>
        <v/>
      </c>
      <c r="X893" s="59" t="str">
        <f t="shared" si="13"/>
        <v/>
      </c>
      <c r="Y893" s="69" t="str">
        <f t="shared" si="14"/>
        <v/>
      </c>
      <c r="Z893" s="11"/>
      <c r="AG893" s="59"/>
    </row>
    <row r="894">
      <c r="A894" s="8"/>
      <c r="B894" s="56" t="str">
        <f t="shared" si="2"/>
        <v/>
      </c>
      <c r="C894" s="105"/>
      <c r="D894" s="10"/>
      <c r="E894" s="59" t="str">
        <f t="array" ref="E894">IF(COUNTA(C894:C1644)=0,"",SUM((COUNTIF(C$4:C894,Upgrades!$B$3:$B$13)-COUNTIF(C$4:C894,"Sell_"&amp;Upgrades!$B$3:$B$13))*Upgrades!$D$3:$D$13))</f>
        <v/>
      </c>
      <c r="F894" s="66" t="str">
        <f>IFERROR(__xludf.DUMMYFUNCTION("IF(COUNTA(C894:C1644)=0,"""",IF(REGEXMATCH(INDEX(FILTER(C$4:C894,C$4:C894&lt;&gt;""""),ROWS(FILTER(C$4:C894,C$4:C894&lt;&gt;""""))),""^Sell_""),INDEX(FILTER(F$4:F893,C$4:C893&lt;&gt;""""),ROWS(FILTER(C$4:C893,C$4:C893&lt;&gt;""""))),$AC$5+E894))"),"")</f>
        <v/>
      </c>
      <c r="G894" s="10" t="str">
        <f>IFERROR(__xludf.DUMMYFUNCTION("IF(COUNTA(C894:C1644)=0,"""",IF(C894="""",0,IF(REGEXMATCH(C894,""^Sell_""),-ROUNDDOWN(ROUNDUP(INDEX(Upgrades!$C$3:$C$13,MATCH(SUBSTITUTE(C894,""Sell_"",""""),Upgrades!$B$3:$B$13,0))*1.15^(COUNTIF(C$4:C893,SUBSTITUTE(C894,""Sell_"",""""))-COUNTIF(C$4:C893,"&amp;"""Sell_""&amp;SUBSTITUTE(C894,""Sell_"",""""))))/2),ROUNDUP(INDEX(Upgrades!$C$3:$C$13,MATCH(C894,Upgrades!$B$3:$B$13,0))*1.15^(COUNTIF(C$4:C893,C894)-COUNTIF(C$4:C893,""Sell_""&amp;C894))))))"),"")</f>
        <v/>
      </c>
      <c r="H894" s="10" t="str">
        <f t="shared" si="3"/>
        <v/>
      </c>
      <c r="I894" s="68" t="str">
        <f t="shared" si="4"/>
        <v/>
      </c>
      <c r="J894" s="59" t="str">
        <f t="shared" si="5"/>
        <v/>
      </c>
      <c r="K894" s="69" t="str">
        <f t="shared" si="6"/>
        <v/>
      </c>
      <c r="L894" s="60" t="str">
        <f t="shared" si="7"/>
        <v/>
      </c>
      <c r="M894" s="61" t="str">
        <f>IFERROR(__xludf.DUMMYFUNCTION("IFS(AND(COUNTA(C894:C1644)=0,COUNTA(Q894:Q1644)=0),"""",OR(AND(K894&gt;=1000000000,OR(Y894&gt;=1000000000,COUNTA(Q894:Q1644)=0)),OR(Y894&gt;=1000000000,AND(COUNTA(C894:C1644)=0,P$3=TRUE))),
ROUNDDOWN((AB$1-AC$1)*MAX(INDEX(T$4:T1644,MATCH(LARGE(FILTER(Y$4:Y1644,Y$4"&amp;":Y1644&lt;1000000000),1),Y$4:Y1644)),INDEX(F$4:F1644,MATCH(LARGE(FILTER(K$4:K1644,K$4:K1644&lt;1000000000),1),K$4:K1644)))),AND(K894&lt;1000000000,COUNTA(C894:C1644)&gt;0,P$3=FALSE),
ROUNDDOWN(INDEX(Y$4:Y1644,MATCH(LARGE(FILTER(W$4:W1644,W$4:W1644&lt;=I894),1),W$4:W1644"&amp;"))+(I894-LARGE(FILTER(W$4:W1644,W$4:W1644&lt;=I894),1))*INDEX(T$4:T1644,MATCH(LARGE(FILTER(W$4:W1644,W$4:W1644&lt;=I894),1),W$4:W1644))-K894),1,
ROUNDDOWN(Y894-INDEX(K$4:K1644,MATCH(LARGE(FILTER(I$4:I1644,I$4:I1644&lt;=W894),1),I$4:I1644))-(W894-LARGE(FILTER(I$4:I"&amp;"1644,I$4:I1644&lt;=W894),1))*INDEX(F$4:F1644,MATCH(LARGE(FILTER(I$4:I1644,I$4:I1644&lt;=W894),1),I$4:I1644))))"),"")</f>
        <v/>
      </c>
      <c r="N894" s="60" t="str">
        <f t="shared" si="8"/>
        <v/>
      </c>
      <c r="O894" s="61" t="str">
        <f t="shared" si="9"/>
        <v/>
      </c>
      <c r="P894" s="56" t="str">
        <f t="shared" si="10"/>
        <v/>
      </c>
      <c r="Q894" s="105"/>
      <c r="R894" s="10"/>
      <c r="S894" s="59" t="str">
        <f t="array" ref="S894">IF(COUNTA(Q894:Q1644)=0,"",SUM((COUNTIF(Q$4:Q894,Upgrades!$B$3:$B$13)-COUNTIF(Q$4:Q894,"Sell_"&amp;Upgrades!$B$3:$B$13))*Upgrades!$D$3:$D$13))</f>
        <v/>
      </c>
      <c r="T894" s="66" t="str">
        <f>IFERROR(__xludf.DUMMYFUNCTION("IF(COUNTA(Q894:Q1644)=0,"""",IF(REGEXMATCH(INDEX(FILTER(Q$4:Q894,Q$4:Q894&lt;&gt;""""),ROWS(FILTER(Q$4:Q894,Q$4:Q894&lt;&gt;""""))),""^Sell_""),INDEX(FILTER(T$4:T893,Q$4:Q893&lt;&gt;""""),ROWS(FILTER(Q$4:Q893,Q$4:Q893&lt;&gt;""""))),$AD$5+S894))"),"")</f>
        <v/>
      </c>
      <c r="U894" s="10" t="str">
        <f>IFERROR(__xludf.DUMMYFUNCTION("IF(COUNTA(Q894:Q1644)=0,"""",IF(Q894="""",0,IF(REGEXMATCH(Q894,""^Sell_""),-ROUNDDOWN(ROUNDUP(INDEX(Upgrades!$C$3:$C$13,MATCH(SUBSTITUTE(Q894,""Sell_"",""""),Upgrades!$B$3:$B$13,0))*1.15^(COUNTIF(Q$4:Q893,SUBSTITUTE(Q894,""Sell_"",""""))-COUNTIF(Q$4:Q893,"&amp;"""Sell_""&amp;SUBSTITUTE(Q894,""Sell_"",""""))))/2),ROUNDUP(INDEX(Upgrades!$C$3:$C$13,MATCH(Q894,Upgrades!$B$3:$B$13,0))*1.15^(COUNTIF(Q$4:Q893,Q894)-COUNTIF(Q$4:Q893,""Sell_""&amp;Q894))))))"),"")</f>
        <v/>
      </c>
      <c r="V894" s="10" t="str">
        <f t="shared" si="11"/>
        <v/>
      </c>
      <c r="W894" s="68" t="str">
        <f t="shared" si="12"/>
        <v/>
      </c>
      <c r="X894" s="59" t="str">
        <f t="shared" si="13"/>
        <v/>
      </c>
      <c r="Y894" s="69" t="str">
        <f t="shared" si="14"/>
        <v/>
      </c>
      <c r="Z894" s="11"/>
      <c r="AG894" s="59"/>
    </row>
    <row r="895">
      <c r="A895" s="8"/>
      <c r="B895" s="56" t="str">
        <f t="shared" si="2"/>
        <v/>
      </c>
      <c r="C895" s="105"/>
      <c r="D895" s="10"/>
      <c r="E895" s="59" t="str">
        <f t="array" ref="E895">IF(COUNTA(C895:C1644)=0,"",SUM((COUNTIF(C$4:C895,Upgrades!$B$3:$B$13)-COUNTIF(C$4:C895,"Sell_"&amp;Upgrades!$B$3:$B$13))*Upgrades!$D$3:$D$13))</f>
        <v/>
      </c>
      <c r="F895" s="66" t="str">
        <f>IFERROR(__xludf.DUMMYFUNCTION("IF(COUNTA(C895:C1644)=0,"""",IF(REGEXMATCH(INDEX(FILTER(C$4:C895,C$4:C895&lt;&gt;""""),ROWS(FILTER(C$4:C895,C$4:C895&lt;&gt;""""))),""^Sell_""),INDEX(FILTER(F$4:F894,C$4:C894&lt;&gt;""""),ROWS(FILTER(C$4:C894,C$4:C894&lt;&gt;""""))),$AC$5+E895))"),"")</f>
        <v/>
      </c>
      <c r="G895" s="10" t="str">
        <f>IFERROR(__xludf.DUMMYFUNCTION("IF(COUNTA(C895:C1644)=0,"""",IF(C895="""",0,IF(REGEXMATCH(C895,""^Sell_""),-ROUNDDOWN(ROUNDUP(INDEX(Upgrades!$C$3:$C$13,MATCH(SUBSTITUTE(C895,""Sell_"",""""),Upgrades!$B$3:$B$13,0))*1.15^(COUNTIF(C$4:C894,SUBSTITUTE(C895,""Sell_"",""""))-COUNTIF(C$4:C894,"&amp;"""Sell_""&amp;SUBSTITUTE(C895,""Sell_"",""""))))/2),ROUNDUP(INDEX(Upgrades!$C$3:$C$13,MATCH(C895,Upgrades!$B$3:$B$13,0))*1.15^(COUNTIF(C$4:C894,C895)-COUNTIF(C$4:C894,""Sell_""&amp;C895))))))"),"")</f>
        <v/>
      </c>
      <c r="H895" s="10" t="str">
        <f t="shared" si="3"/>
        <v/>
      </c>
      <c r="I895" s="68" t="str">
        <f t="shared" si="4"/>
        <v/>
      </c>
      <c r="J895" s="59" t="str">
        <f t="shared" si="5"/>
        <v/>
      </c>
      <c r="K895" s="69" t="str">
        <f t="shared" si="6"/>
        <v/>
      </c>
      <c r="L895" s="60" t="str">
        <f t="shared" si="7"/>
        <v/>
      </c>
      <c r="M895" s="61" t="str">
        <f>IFERROR(__xludf.DUMMYFUNCTION("IFS(AND(COUNTA(C895:C1644)=0,COUNTA(Q895:Q1644)=0),"""",OR(AND(K895&gt;=1000000000,OR(Y895&gt;=1000000000,COUNTA(Q895:Q1644)=0)),OR(Y895&gt;=1000000000,AND(COUNTA(C895:C1644)=0,P$3=TRUE))),
ROUNDDOWN((AB$1-AC$1)*MAX(INDEX(T$4:T1644,MATCH(LARGE(FILTER(Y$4:Y1644,Y$4"&amp;":Y1644&lt;1000000000),1),Y$4:Y1644)),INDEX(F$4:F1644,MATCH(LARGE(FILTER(K$4:K1644,K$4:K1644&lt;1000000000),1),K$4:K1644)))),AND(K895&lt;1000000000,COUNTA(C895:C1644)&gt;0,P$3=FALSE),
ROUNDDOWN(INDEX(Y$4:Y1644,MATCH(LARGE(FILTER(W$4:W1644,W$4:W1644&lt;=I895),1),W$4:W1644"&amp;"))+(I895-LARGE(FILTER(W$4:W1644,W$4:W1644&lt;=I895),1))*INDEX(T$4:T1644,MATCH(LARGE(FILTER(W$4:W1644,W$4:W1644&lt;=I895),1),W$4:W1644))-K895),1,
ROUNDDOWN(Y895-INDEX(K$4:K1644,MATCH(LARGE(FILTER(I$4:I1644,I$4:I1644&lt;=W895),1),I$4:I1644))-(W895-LARGE(FILTER(I$4:I"&amp;"1644,I$4:I1644&lt;=W895),1))*INDEX(F$4:F1644,MATCH(LARGE(FILTER(I$4:I1644,I$4:I1644&lt;=W895),1),I$4:I1644))))"),"")</f>
        <v/>
      </c>
      <c r="N895" s="60" t="str">
        <f t="shared" si="8"/>
        <v/>
      </c>
      <c r="O895" s="61" t="str">
        <f t="shared" si="9"/>
        <v/>
      </c>
      <c r="P895" s="56" t="str">
        <f t="shared" si="10"/>
        <v/>
      </c>
      <c r="Q895" s="105"/>
      <c r="R895" s="10"/>
      <c r="S895" s="59" t="str">
        <f t="array" ref="S895">IF(COUNTA(Q895:Q1644)=0,"",SUM((COUNTIF(Q$4:Q895,Upgrades!$B$3:$B$13)-COUNTIF(Q$4:Q895,"Sell_"&amp;Upgrades!$B$3:$B$13))*Upgrades!$D$3:$D$13))</f>
        <v/>
      </c>
      <c r="T895" s="66" t="str">
        <f>IFERROR(__xludf.DUMMYFUNCTION("IF(COUNTA(Q895:Q1644)=0,"""",IF(REGEXMATCH(INDEX(FILTER(Q$4:Q895,Q$4:Q895&lt;&gt;""""),ROWS(FILTER(Q$4:Q895,Q$4:Q895&lt;&gt;""""))),""^Sell_""),INDEX(FILTER(T$4:T894,Q$4:Q894&lt;&gt;""""),ROWS(FILTER(Q$4:Q894,Q$4:Q894&lt;&gt;""""))),$AD$5+S895))"),"")</f>
        <v/>
      </c>
      <c r="U895" s="10" t="str">
        <f>IFERROR(__xludf.DUMMYFUNCTION("IF(COUNTA(Q895:Q1644)=0,"""",IF(Q895="""",0,IF(REGEXMATCH(Q895,""^Sell_""),-ROUNDDOWN(ROUNDUP(INDEX(Upgrades!$C$3:$C$13,MATCH(SUBSTITUTE(Q895,""Sell_"",""""),Upgrades!$B$3:$B$13,0))*1.15^(COUNTIF(Q$4:Q894,SUBSTITUTE(Q895,""Sell_"",""""))-COUNTIF(Q$4:Q894,"&amp;"""Sell_""&amp;SUBSTITUTE(Q895,""Sell_"",""""))))/2),ROUNDUP(INDEX(Upgrades!$C$3:$C$13,MATCH(Q895,Upgrades!$B$3:$B$13,0))*1.15^(COUNTIF(Q$4:Q894,Q895)-COUNTIF(Q$4:Q894,""Sell_""&amp;Q895))))))"),"")</f>
        <v/>
      </c>
      <c r="V895" s="10" t="str">
        <f t="shared" si="11"/>
        <v/>
      </c>
      <c r="W895" s="68" t="str">
        <f t="shared" si="12"/>
        <v/>
      </c>
      <c r="X895" s="59" t="str">
        <f t="shared" si="13"/>
        <v/>
      </c>
      <c r="Y895" s="69" t="str">
        <f t="shared" si="14"/>
        <v/>
      </c>
      <c r="Z895" s="11"/>
      <c r="AG895" s="59"/>
    </row>
    <row r="896">
      <c r="A896" s="8"/>
      <c r="B896" s="56" t="str">
        <f t="shared" si="2"/>
        <v/>
      </c>
      <c r="C896" s="105"/>
      <c r="D896" s="10"/>
      <c r="E896" s="59" t="str">
        <f t="array" ref="E896">IF(COUNTA(C896:C1644)=0,"",SUM((COUNTIF(C$4:C896,Upgrades!$B$3:$B$13)-COUNTIF(C$4:C896,"Sell_"&amp;Upgrades!$B$3:$B$13))*Upgrades!$D$3:$D$13))</f>
        <v/>
      </c>
      <c r="F896" s="66" t="str">
        <f>IFERROR(__xludf.DUMMYFUNCTION("IF(COUNTA(C896:C1644)=0,"""",IF(REGEXMATCH(INDEX(FILTER(C$4:C896,C$4:C896&lt;&gt;""""),ROWS(FILTER(C$4:C896,C$4:C896&lt;&gt;""""))),""^Sell_""),INDEX(FILTER(F$4:F895,C$4:C895&lt;&gt;""""),ROWS(FILTER(C$4:C895,C$4:C895&lt;&gt;""""))),$AC$5+E896))"),"")</f>
        <v/>
      </c>
      <c r="G896" s="10" t="str">
        <f>IFERROR(__xludf.DUMMYFUNCTION("IF(COUNTA(C896:C1644)=0,"""",IF(C896="""",0,IF(REGEXMATCH(C896,""^Sell_""),-ROUNDDOWN(ROUNDUP(INDEX(Upgrades!$C$3:$C$13,MATCH(SUBSTITUTE(C896,""Sell_"",""""),Upgrades!$B$3:$B$13,0))*1.15^(COUNTIF(C$4:C895,SUBSTITUTE(C896,""Sell_"",""""))-COUNTIF(C$4:C895,"&amp;"""Sell_""&amp;SUBSTITUTE(C896,""Sell_"",""""))))/2),ROUNDUP(INDEX(Upgrades!$C$3:$C$13,MATCH(C896,Upgrades!$B$3:$B$13,0))*1.15^(COUNTIF(C$4:C895,C896)-COUNTIF(C$4:C895,""Sell_""&amp;C896))))))"),"")</f>
        <v/>
      </c>
      <c r="H896" s="10" t="str">
        <f t="shared" si="3"/>
        <v/>
      </c>
      <c r="I896" s="68" t="str">
        <f t="shared" si="4"/>
        <v/>
      </c>
      <c r="J896" s="59" t="str">
        <f t="shared" si="5"/>
        <v/>
      </c>
      <c r="K896" s="69" t="str">
        <f t="shared" si="6"/>
        <v/>
      </c>
      <c r="L896" s="60" t="str">
        <f t="shared" si="7"/>
        <v/>
      </c>
      <c r="M896" s="61" t="str">
        <f>IFERROR(__xludf.DUMMYFUNCTION("IFS(AND(COUNTA(C896:C1644)=0,COUNTA(Q896:Q1644)=0),"""",OR(AND(K896&gt;=1000000000,OR(Y896&gt;=1000000000,COUNTA(Q896:Q1644)=0)),OR(Y896&gt;=1000000000,AND(COUNTA(C896:C1644)=0,P$3=TRUE))),
ROUNDDOWN((AB$1-AC$1)*MAX(INDEX(T$4:T1644,MATCH(LARGE(FILTER(Y$4:Y1644,Y$4"&amp;":Y1644&lt;1000000000),1),Y$4:Y1644)),INDEX(F$4:F1644,MATCH(LARGE(FILTER(K$4:K1644,K$4:K1644&lt;1000000000),1),K$4:K1644)))),AND(K896&lt;1000000000,COUNTA(C896:C1644)&gt;0,P$3=FALSE),
ROUNDDOWN(INDEX(Y$4:Y1644,MATCH(LARGE(FILTER(W$4:W1644,W$4:W1644&lt;=I896),1),W$4:W1644"&amp;"))+(I896-LARGE(FILTER(W$4:W1644,W$4:W1644&lt;=I896),1))*INDEX(T$4:T1644,MATCH(LARGE(FILTER(W$4:W1644,W$4:W1644&lt;=I896),1),W$4:W1644))-K896),1,
ROUNDDOWN(Y896-INDEX(K$4:K1644,MATCH(LARGE(FILTER(I$4:I1644,I$4:I1644&lt;=W896),1),I$4:I1644))-(W896-LARGE(FILTER(I$4:I"&amp;"1644,I$4:I1644&lt;=W896),1))*INDEX(F$4:F1644,MATCH(LARGE(FILTER(I$4:I1644,I$4:I1644&lt;=W896),1),I$4:I1644))))"),"")</f>
        <v/>
      </c>
      <c r="N896" s="60" t="str">
        <f t="shared" si="8"/>
        <v/>
      </c>
      <c r="O896" s="61" t="str">
        <f t="shared" si="9"/>
        <v/>
      </c>
      <c r="P896" s="56" t="str">
        <f t="shared" si="10"/>
        <v/>
      </c>
      <c r="Q896" s="105"/>
      <c r="R896" s="10"/>
      <c r="S896" s="59" t="str">
        <f t="array" ref="S896">IF(COUNTA(Q896:Q1644)=0,"",SUM((COUNTIF(Q$4:Q896,Upgrades!$B$3:$B$13)-COUNTIF(Q$4:Q896,"Sell_"&amp;Upgrades!$B$3:$B$13))*Upgrades!$D$3:$D$13))</f>
        <v/>
      </c>
      <c r="T896" s="66" t="str">
        <f>IFERROR(__xludf.DUMMYFUNCTION("IF(COUNTA(Q896:Q1644)=0,"""",IF(REGEXMATCH(INDEX(FILTER(Q$4:Q896,Q$4:Q896&lt;&gt;""""),ROWS(FILTER(Q$4:Q896,Q$4:Q896&lt;&gt;""""))),""^Sell_""),INDEX(FILTER(T$4:T895,Q$4:Q895&lt;&gt;""""),ROWS(FILTER(Q$4:Q895,Q$4:Q895&lt;&gt;""""))),$AD$5+S896))"),"")</f>
        <v/>
      </c>
      <c r="U896" s="10" t="str">
        <f>IFERROR(__xludf.DUMMYFUNCTION("IF(COUNTA(Q896:Q1644)=0,"""",IF(Q896="""",0,IF(REGEXMATCH(Q896,""^Sell_""),-ROUNDDOWN(ROUNDUP(INDEX(Upgrades!$C$3:$C$13,MATCH(SUBSTITUTE(Q896,""Sell_"",""""),Upgrades!$B$3:$B$13,0))*1.15^(COUNTIF(Q$4:Q895,SUBSTITUTE(Q896,""Sell_"",""""))-COUNTIF(Q$4:Q895,"&amp;"""Sell_""&amp;SUBSTITUTE(Q896,""Sell_"",""""))))/2),ROUNDUP(INDEX(Upgrades!$C$3:$C$13,MATCH(Q896,Upgrades!$B$3:$B$13,0))*1.15^(COUNTIF(Q$4:Q895,Q896)-COUNTIF(Q$4:Q895,""Sell_""&amp;Q896))))))"),"")</f>
        <v/>
      </c>
      <c r="V896" s="10" t="str">
        <f t="shared" si="11"/>
        <v/>
      </c>
      <c r="W896" s="68" t="str">
        <f t="shared" si="12"/>
        <v/>
      </c>
      <c r="X896" s="59" t="str">
        <f t="shared" si="13"/>
        <v/>
      </c>
      <c r="Y896" s="69" t="str">
        <f t="shared" si="14"/>
        <v/>
      </c>
      <c r="Z896" s="11"/>
      <c r="AG896" s="59"/>
    </row>
    <row r="897">
      <c r="A897" s="8"/>
      <c r="B897" s="56" t="str">
        <f t="shared" si="2"/>
        <v/>
      </c>
      <c r="C897" s="105"/>
      <c r="D897" s="10"/>
      <c r="E897" s="59" t="str">
        <f t="array" ref="E897">IF(COUNTA(C897:C1644)=0,"",SUM((COUNTIF(C$4:C897,Upgrades!$B$3:$B$13)-COUNTIF(C$4:C897,"Sell_"&amp;Upgrades!$B$3:$B$13))*Upgrades!$D$3:$D$13))</f>
        <v/>
      </c>
      <c r="F897" s="66" t="str">
        <f>IFERROR(__xludf.DUMMYFUNCTION("IF(COUNTA(C897:C1644)=0,"""",IF(REGEXMATCH(INDEX(FILTER(C$4:C897,C$4:C897&lt;&gt;""""),ROWS(FILTER(C$4:C897,C$4:C897&lt;&gt;""""))),""^Sell_""),INDEX(FILTER(F$4:F896,C$4:C896&lt;&gt;""""),ROWS(FILTER(C$4:C896,C$4:C896&lt;&gt;""""))),$AC$5+E897))"),"")</f>
        <v/>
      </c>
      <c r="G897" s="10" t="str">
        <f>IFERROR(__xludf.DUMMYFUNCTION("IF(COUNTA(C897:C1644)=0,"""",IF(C897="""",0,IF(REGEXMATCH(C897,""^Sell_""),-ROUNDDOWN(ROUNDUP(INDEX(Upgrades!$C$3:$C$13,MATCH(SUBSTITUTE(C897,""Sell_"",""""),Upgrades!$B$3:$B$13,0))*1.15^(COUNTIF(C$4:C896,SUBSTITUTE(C897,""Sell_"",""""))-COUNTIF(C$4:C896,"&amp;"""Sell_""&amp;SUBSTITUTE(C897,""Sell_"",""""))))/2),ROUNDUP(INDEX(Upgrades!$C$3:$C$13,MATCH(C897,Upgrades!$B$3:$B$13,0))*1.15^(COUNTIF(C$4:C896,C897)-COUNTIF(C$4:C896,""Sell_""&amp;C897))))))"),"")</f>
        <v/>
      </c>
      <c r="H897" s="10" t="str">
        <f t="shared" si="3"/>
        <v/>
      </c>
      <c r="I897" s="68" t="str">
        <f t="shared" si="4"/>
        <v/>
      </c>
      <c r="J897" s="59" t="str">
        <f t="shared" si="5"/>
        <v/>
      </c>
      <c r="K897" s="69" t="str">
        <f t="shared" si="6"/>
        <v/>
      </c>
      <c r="L897" s="60" t="str">
        <f t="shared" si="7"/>
        <v/>
      </c>
      <c r="M897" s="61" t="str">
        <f>IFERROR(__xludf.DUMMYFUNCTION("IFS(AND(COUNTA(C897:C1644)=0,COUNTA(Q897:Q1644)=0),"""",OR(AND(K897&gt;=1000000000,OR(Y897&gt;=1000000000,COUNTA(Q897:Q1644)=0)),OR(Y897&gt;=1000000000,AND(COUNTA(C897:C1644)=0,P$3=TRUE))),
ROUNDDOWN((AB$1-AC$1)*MAX(INDEX(T$4:T1644,MATCH(LARGE(FILTER(Y$4:Y1644,Y$4"&amp;":Y1644&lt;1000000000),1),Y$4:Y1644)),INDEX(F$4:F1644,MATCH(LARGE(FILTER(K$4:K1644,K$4:K1644&lt;1000000000),1),K$4:K1644)))),AND(K897&lt;1000000000,COUNTA(C897:C1644)&gt;0,P$3=FALSE),
ROUNDDOWN(INDEX(Y$4:Y1644,MATCH(LARGE(FILTER(W$4:W1644,W$4:W1644&lt;=I897),1),W$4:W1644"&amp;"))+(I897-LARGE(FILTER(W$4:W1644,W$4:W1644&lt;=I897),1))*INDEX(T$4:T1644,MATCH(LARGE(FILTER(W$4:W1644,W$4:W1644&lt;=I897),1),W$4:W1644))-K897),1,
ROUNDDOWN(Y897-INDEX(K$4:K1644,MATCH(LARGE(FILTER(I$4:I1644,I$4:I1644&lt;=W897),1),I$4:I1644))-(W897-LARGE(FILTER(I$4:I"&amp;"1644,I$4:I1644&lt;=W897),1))*INDEX(F$4:F1644,MATCH(LARGE(FILTER(I$4:I1644,I$4:I1644&lt;=W897),1),I$4:I1644))))"),"")</f>
        <v/>
      </c>
      <c r="N897" s="60" t="str">
        <f t="shared" si="8"/>
        <v/>
      </c>
      <c r="O897" s="61" t="str">
        <f t="shared" si="9"/>
        <v/>
      </c>
      <c r="P897" s="56" t="str">
        <f t="shared" si="10"/>
        <v/>
      </c>
      <c r="Q897" s="105"/>
      <c r="R897" s="10"/>
      <c r="S897" s="59" t="str">
        <f t="array" ref="S897">IF(COUNTA(Q897:Q1644)=0,"",SUM((COUNTIF(Q$4:Q897,Upgrades!$B$3:$B$13)-COUNTIF(Q$4:Q897,"Sell_"&amp;Upgrades!$B$3:$B$13))*Upgrades!$D$3:$D$13))</f>
        <v/>
      </c>
      <c r="T897" s="66" t="str">
        <f>IFERROR(__xludf.DUMMYFUNCTION("IF(COUNTA(Q897:Q1644)=0,"""",IF(REGEXMATCH(INDEX(FILTER(Q$4:Q897,Q$4:Q897&lt;&gt;""""),ROWS(FILTER(Q$4:Q897,Q$4:Q897&lt;&gt;""""))),""^Sell_""),INDEX(FILTER(T$4:T896,Q$4:Q896&lt;&gt;""""),ROWS(FILTER(Q$4:Q896,Q$4:Q896&lt;&gt;""""))),$AD$5+S897))"),"")</f>
        <v/>
      </c>
      <c r="U897" s="10" t="str">
        <f>IFERROR(__xludf.DUMMYFUNCTION("IF(COUNTA(Q897:Q1644)=0,"""",IF(Q897="""",0,IF(REGEXMATCH(Q897,""^Sell_""),-ROUNDDOWN(ROUNDUP(INDEX(Upgrades!$C$3:$C$13,MATCH(SUBSTITUTE(Q897,""Sell_"",""""),Upgrades!$B$3:$B$13,0))*1.15^(COUNTIF(Q$4:Q896,SUBSTITUTE(Q897,""Sell_"",""""))-COUNTIF(Q$4:Q896,"&amp;"""Sell_""&amp;SUBSTITUTE(Q897,""Sell_"",""""))))/2),ROUNDUP(INDEX(Upgrades!$C$3:$C$13,MATCH(Q897,Upgrades!$B$3:$B$13,0))*1.15^(COUNTIF(Q$4:Q896,Q897)-COUNTIF(Q$4:Q896,""Sell_""&amp;Q897))))))"),"")</f>
        <v/>
      </c>
      <c r="V897" s="10" t="str">
        <f t="shared" si="11"/>
        <v/>
      </c>
      <c r="W897" s="68" t="str">
        <f t="shared" si="12"/>
        <v/>
      </c>
      <c r="X897" s="59" t="str">
        <f t="shared" si="13"/>
        <v/>
      </c>
      <c r="Y897" s="69" t="str">
        <f t="shared" si="14"/>
        <v/>
      </c>
      <c r="Z897" s="11"/>
      <c r="AG897" s="59"/>
    </row>
    <row r="898">
      <c r="A898" s="8"/>
      <c r="B898" s="56" t="str">
        <f t="shared" si="2"/>
        <v/>
      </c>
      <c r="C898" s="105"/>
      <c r="D898" s="10"/>
      <c r="E898" s="59" t="str">
        <f t="array" ref="E898">IF(COUNTA(C898:C1644)=0,"",SUM((COUNTIF(C$4:C898,Upgrades!$B$3:$B$13)-COUNTIF(C$4:C898,"Sell_"&amp;Upgrades!$B$3:$B$13))*Upgrades!$D$3:$D$13))</f>
        <v/>
      </c>
      <c r="F898" s="66" t="str">
        <f>IFERROR(__xludf.DUMMYFUNCTION("IF(COUNTA(C898:C1644)=0,"""",IF(REGEXMATCH(INDEX(FILTER(C$4:C898,C$4:C898&lt;&gt;""""),ROWS(FILTER(C$4:C898,C$4:C898&lt;&gt;""""))),""^Sell_""),INDEX(FILTER(F$4:F897,C$4:C897&lt;&gt;""""),ROWS(FILTER(C$4:C897,C$4:C897&lt;&gt;""""))),$AC$5+E898))"),"")</f>
        <v/>
      </c>
      <c r="G898" s="10" t="str">
        <f>IFERROR(__xludf.DUMMYFUNCTION("IF(COUNTA(C898:C1644)=0,"""",IF(C898="""",0,IF(REGEXMATCH(C898,""^Sell_""),-ROUNDDOWN(ROUNDUP(INDEX(Upgrades!$C$3:$C$13,MATCH(SUBSTITUTE(C898,""Sell_"",""""),Upgrades!$B$3:$B$13,0))*1.15^(COUNTIF(C$4:C897,SUBSTITUTE(C898,""Sell_"",""""))-COUNTIF(C$4:C897,"&amp;"""Sell_""&amp;SUBSTITUTE(C898,""Sell_"",""""))))/2),ROUNDUP(INDEX(Upgrades!$C$3:$C$13,MATCH(C898,Upgrades!$B$3:$B$13,0))*1.15^(COUNTIF(C$4:C897,C898)-COUNTIF(C$4:C897,""Sell_""&amp;C898))))))"),"")</f>
        <v/>
      </c>
      <c r="H898" s="10" t="str">
        <f t="shared" si="3"/>
        <v/>
      </c>
      <c r="I898" s="68" t="str">
        <f t="shared" si="4"/>
        <v/>
      </c>
      <c r="J898" s="59" t="str">
        <f t="shared" si="5"/>
        <v/>
      </c>
      <c r="K898" s="69" t="str">
        <f t="shared" si="6"/>
        <v/>
      </c>
      <c r="L898" s="60" t="str">
        <f t="shared" si="7"/>
        <v/>
      </c>
      <c r="M898" s="61" t="str">
        <f>IFERROR(__xludf.DUMMYFUNCTION("IFS(AND(COUNTA(C898:C1644)=0,COUNTA(Q898:Q1644)=0),"""",OR(AND(K898&gt;=1000000000,OR(Y898&gt;=1000000000,COUNTA(Q898:Q1644)=0)),OR(Y898&gt;=1000000000,AND(COUNTA(C898:C1644)=0,P$3=TRUE))),
ROUNDDOWN((AB$1-AC$1)*MAX(INDEX(T$4:T1644,MATCH(LARGE(FILTER(Y$4:Y1644,Y$4"&amp;":Y1644&lt;1000000000),1),Y$4:Y1644)),INDEX(F$4:F1644,MATCH(LARGE(FILTER(K$4:K1644,K$4:K1644&lt;1000000000),1),K$4:K1644)))),AND(K898&lt;1000000000,COUNTA(C898:C1644)&gt;0,P$3=FALSE),
ROUNDDOWN(INDEX(Y$4:Y1644,MATCH(LARGE(FILTER(W$4:W1644,W$4:W1644&lt;=I898),1),W$4:W1644"&amp;"))+(I898-LARGE(FILTER(W$4:W1644,W$4:W1644&lt;=I898),1))*INDEX(T$4:T1644,MATCH(LARGE(FILTER(W$4:W1644,W$4:W1644&lt;=I898),1),W$4:W1644))-K898),1,
ROUNDDOWN(Y898-INDEX(K$4:K1644,MATCH(LARGE(FILTER(I$4:I1644,I$4:I1644&lt;=W898),1),I$4:I1644))-(W898-LARGE(FILTER(I$4:I"&amp;"1644,I$4:I1644&lt;=W898),1))*INDEX(F$4:F1644,MATCH(LARGE(FILTER(I$4:I1644,I$4:I1644&lt;=W898),1),I$4:I1644))))"),"")</f>
        <v/>
      </c>
      <c r="N898" s="60" t="str">
        <f t="shared" si="8"/>
        <v/>
      </c>
      <c r="O898" s="61" t="str">
        <f t="shared" si="9"/>
        <v/>
      </c>
      <c r="P898" s="56" t="str">
        <f t="shared" si="10"/>
        <v/>
      </c>
      <c r="Q898" s="105"/>
      <c r="R898" s="10"/>
      <c r="S898" s="59" t="str">
        <f t="array" ref="S898">IF(COUNTA(Q898:Q1644)=0,"",SUM((COUNTIF(Q$4:Q898,Upgrades!$B$3:$B$13)-COUNTIF(Q$4:Q898,"Sell_"&amp;Upgrades!$B$3:$B$13))*Upgrades!$D$3:$D$13))</f>
        <v/>
      </c>
      <c r="T898" s="66" t="str">
        <f>IFERROR(__xludf.DUMMYFUNCTION("IF(COUNTA(Q898:Q1644)=0,"""",IF(REGEXMATCH(INDEX(FILTER(Q$4:Q898,Q$4:Q898&lt;&gt;""""),ROWS(FILTER(Q$4:Q898,Q$4:Q898&lt;&gt;""""))),""^Sell_""),INDEX(FILTER(T$4:T897,Q$4:Q897&lt;&gt;""""),ROWS(FILTER(Q$4:Q897,Q$4:Q897&lt;&gt;""""))),$AD$5+S898))"),"")</f>
        <v/>
      </c>
      <c r="U898" s="10" t="str">
        <f>IFERROR(__xludf.DUMMYFUNCTION("IF(COUNTA(Q898:Q1644)=0,"""",IF(Q898="""",0,IF(REGEXMATCH(Q898,""^Sell_""),-ROUNDDOWN(ROUNDUP(INDEX(Upgrades!$C$3:$C$13,MATCH(SUBSTITUTE(Q898,""Sell_"",""""),Upgrades!$B$3:$B$13,0))*1.15^(COUNTIF(Q$4:Q897,SUBSTITUTE(Q898,""Sell_"",""""))-COUNTIF(Q$4:Q897,"&amp;"""Sell_""&amp;SUBSTITUTE(Q898,""Sell_"",""""))))/2),ROUNDUP(INDEX(Upgrades!$C$3:$C$13,MATCH(Q898,Upgrades!$B$3:$B$13,0))*1.15^(COUNTIF(Q$4:Q897,Q898)-COUNTIF(Q$4:Q897,""Sell_""&amp;Q898))))))"),"")</f>
        <v/>
      </c>
      <c r="V898" s="10" t="str">
        <f t="shared" si="11"/>
        <v/>
      </c>
      <c r="W898" s="68" t="str">
        <f t="shared" si="12"/>
        <v/>
      </c>
      <c r="X898" s="59" t="str">
        <f t="shared" si="13"/>
        <v/>
      </c>
      <c r="Y898" s="69" t="str">
        <f t="shared" si="14"/>
        <v/>
      </c>
      <c r="Z898" s="11"/>
      <c r="AG898" s="59"/>
    </row>
    <row r="899">
      <c r="A899" s="8"/>
      <c r="B899" s="56" t="str">
        <f t="shared" si="2"/>
        <v/>
      </c>
      <c r="C899" s="105"/>
      <c r="D899" s="10"/>
      <c r="E899" s="59" t="str">
        <f t="array" ref="E899">IF(COUNTA(C899:C1644)=0,"",SUM((COUNTIF(C$4:C899,Upgrades!$B$3:$B$13)-COUNTIF(C$4:C899,"Sell_"&amp;Upgrades!$B$3:$B$13))*Upgrades!$D$3:$D$13))</f>
        <v/>
      </c>
      <c r="F899" s="66" t="str">
        <f>IFERROR(__xludf.DUMMYFUNCTION("IF(COUNTA(C899:C1644)=0,"""",IF(REGEXMATCH(INDEX(FILTER(C$4:C899,C$4:C899&lt;&gt;""""),ROWS(FILTER(C$4:C899,C$4:C899&lt;&gt;""""))),""^Sell_""),INDEX(FILTER(F$4:F898,C$4:C898&lt;&gt;""""),ROWS(FILTER(C$4:C898,C$4:C898&lt;&gt;""""))),$AC$5+E899))"),"")</f>
        <v/>
      </c>
      <c r="G899" s="10" t="str">
        <f>IFERROR(__xludf.DUMMYFUNCTION("IF(COUNTA(C899:C1644)=0,"""",IF(C899="""",0,IF(REGEXMATCH(C899,""^Sell_""),-ROUNDDOWN(ROUNDUP(INDEX(Upgrades!$C$3:$C$13,MATCH(SUBSTITUTE(C899,""Sell_"",""""),Upgrades!$B$3:$B$13,0))*1.15^(COUNTIF(C$4:C898,SUBSTITUTE(C899,""Sell_"",""""))-COUNTIF(C$4:C898,"&amp;"""Sell_""&amp;SUBSTITUTE(C899,""Sell_"",""""))))/2),ROUNDUP(INDEX(Upgrades!$C$3:$C$13,MATCH(C899,Upgrades!$B$3:$B$13,0))*1.15^(COUNTIF(C$4:C898,C899)-COUNTIF(C$4:C898,""Sell_""&amp;C899))))))"),"")</f>
        <v/>
      </c>
      <c r="H899" s="10" t="str">
        <f t="shared" si="3"/>
        <v/>
      </c>
      <c r="I899" s="68" t="str">
        <f t="shared" si="4"/>
        <v/>
      </c>
      <c r="J899" s="59" t="str">
        <f t="shared" si="5"/>
        <v/>
      </c>
      <c r="K899" s="69" t="str">
        <f t="shared" si="6"/>
        <v/>
      </c>
      <c r="L899" s="60" t="str">
        <f t="shared" si="7"/>
        <v/>
      </c>
      <c r="M899" s="61" t="str">
        <f>IFERROR(__xludf.DUMMYFUNCTION("IFS(AND(COUNTA(C899:C1644)=0,COUNTA(Q899:Q1644)=0),"""",OR(AND(K899&gt;=1000000000,OR(Y899&gt;=1000000000,COUNTA(Q899:Q1644)=0)),OR(Y899&gt;=1000000000,AND(COUNTA(C899:C1644)=0,P$3=TRUE))),
ROUNDDOWN((AB$1-AC$1)*MAX(INDEX(T$4:T1644,MATCH(LARGE(FILTER(Y$4:Y1644,Y$4"&amp;":Y1644&lt;1000000000),1),Y$4:Y1644)),INDEX(F$4:F1644,MATCH(LARGE(FILTER(K$4:K1644,K$4:K1644&lt;1000000000),1),K$4:K1644)))),AND(K899&lt;1000000000,COUNTA(C899:C1644)&gt;0,P$3=FALSE),
ROUNDDOWN(INDEX(Y$4:Y1644,MATCH(LARGE(FILTER(W$4:W1644,W$4:W1644&lt;=I899),1),W$4:W1644"&amp;"))+(I899-LARGE(FILTER(W$4:W1644,W$4:W1644&lt;=I899),1))*INDEX(T$4:T1644,MATCH(LARGE(FILTER(W$4:W1644,W$4:W1644&lt;=I899),1),W$4:W1644))-K899),1,
ROUNDDOWN(Y899-INDEX(K$4:K1644,MATCH(LARGE(FILTER(I$4:I1644,I$4:I1644&lt;=W899),1),I$4:I1644))-(W899-LARGE(FILTER(I$4:I"&amp;"1644,I$4:I1644&lt;=W899),1))*INDEX(F$4:F1644,MATCH(LARGE(FILTER(I$4:I1644,I$4:I1644&lt;=W899),1),I$4:I1644))))"),"")</f>
        <v/>
      </c>
      <c r="N899" s="60" t="str">
        <f t="shared" si="8"/>
        <v/>
      </c>
      <c r="O899" s="61" t="str">
        <f t="shared" si="9"/>
        <v/>
      </c>
      <c r="P899" s="56" t="str">
        <f t="shared" si="10"/>
        <v/>
      </c>
      <c r="Q899" s="105"/>
      <c r="R899" s="10"/>
      <c r="S899" s="59" t="str">
        <f t="array" ref="S899">IF(COUNTA(Q899:Q1644)=0,"",SUM((COUNTIF(Q$4:Q899,Upgrades!$B$3:$B$13)-COUNTIF(Q$4:Q899,"Sell_"&amp;Upgrades!$B$3:$B$13))*Upgrades!$D$3:$D$13))</f>
        <v/>
      </c>
      <c r="T899" s="66" t="str">
        <f>IFERROR(__xludf.DUMMYFUNCTION("IF(COUNTA(Q899:Q1644)=0,"""",IF(REGEXMATCH(INDEX(FILTER(Q$4:Q899,Q$4:Q899&lt;&gt;""""),ROWS(FILTER(Q$4:Q899,Q$4:Q899&lt;&gt;""""))),""^Sell_""),INDEX(FILTER(T$4:T898,Q$4:Q898&lt;&gt;""""),ROWS(FILTER(Q$4:Q898,Q$4:Q898&lt;&gt;""""))),$AD$5+S899))"),"")</f>
        <v/>
      </c>
      <c r="U899" s="10" t="str">
        <f>IFERROR(__xludf.DUMMYFUNCTION("IF(COUNTA(Q899:Q1644)=0,"""",IF(Q899="""",0,IF(REGEXMATCH(Q899,""^Sell_""),-ROUNDDOWN(ROUNDUP(INDEX(Upgrades!$C$3:$C$13,MATCH(SUBSTITUTE(Q899,""Sell_"",""""),Upgrades!$B$3:$B$13,0))*1.15^(COUNTIF(Q$4:Q898,SUBSTITUTE(Q899,""Sell_"",""""))-COUNTIF(Q$4:Q898,"&amp;"""Sell_""&amp;SUBSTITUTE(Q899,""Sell_"",""""))))/2),ROUNDUP(INDEX(Upgrades!$C$3:$C$13,MATCH(Q899,Upgrades!$B$3:$B$13,0))*1.15^(COUNTIF(Q$4:Q898,Q899)-COUNTIF(Q$4:Q898,""Sell_""&amp;Q899))))))"),"")</f>
        <v/>
      </c>
      <c r="V899" s="10" t="str">
        <f t="shared" si="11"/>
        <v/>
      </c>
      <c r="W899" s="68" t="str">
        <f t="shared" si="12"/>
        <v/>
      </c>
      <c r="X899" s="59" t="str">
        <f t="shared" si="13"/>
        <v/>
      </c>
      <c r="Y899" s="69" t="str">
        <f t="shared" si="14"/>
        <v/>
      </c>
      <c r="Z899" s="11"/>
      <c r="AG899" s="59"/>
    </row>
    <row r="900">
      <c r="A900" s="8"/>
      <c r="B900" s="56" t="str">
        <f t="shared" si="2"/>
        <v/>
      </c>
      <c r="C900" s="105"/>
      <c r="D900" s="10"/>
      <c r="E900" s="59" t="str">
        <f t="array" ref="E900">IF(COUNTA(C900:C1644)=0,"",SUM((COUNTIF(C$4:C900,Upgrades!$B$3:$B$13)-COUNTIF(C$4:C900,"Sell_"&amp;Upgrades!$B$3:$B$13))*Upgrades!$D$3:$D$13))</f>
        <v/>
      </c>
      <c r="F900" s="66" t="str">
        <f>IFERROR(__xludf.DUMMYFUNCTION("IF(COUNTA(C900:C1644)=0,"""",IF(REGEXMATCH(INDEX(FILTER(C$4:C900,C$4:C900&lt;&gt;""""),ROWS(FILTER(C$4:C900,C$4:C900&lt;&gt;""""))),""^Sell_""),INDEX(FILTER(F$4:F899,C$4:C899&lt;&gt;""""),ROWS(FILTER(C$4:C899,C$4:C899&lt;&gt;""""))),$AC$5+E900))"),"")</f>
        <v/>
      </c>
      <c r="G900" s="10" t="str">
        <f>IFERROR(__xludf.DUMMYFUNCTION("IF(COUNTA(C900:C1644)=0,"""",IF(C900="""",0,IF(REGEXMATCH(C900,""^Sell_""),-ROUNDDOWN(ROUNDUP(INDEX(Upgrades!$C$3:$C$13,MATCH(SUBSTITUTE(C900,""Sell_"",""""),Upgrades!$B$3:$B$13,0))*1.15^(COUNTIF(C$4:C899,SUBSTITUTE(C900,""Sell_"",""""))-COUNTIF(C$4:C899,"&amp;"""Sell_""&amp;SUBSTITUTE(C900,""Sell_"",""""))))/2),ROUNDUP(INDEX(Upgrades!$C$3:$C$13,MATCH(C900,Upgrades!$B$3:$B$13,0))*1.15^(COUNTIF(C$4:C899,C900)-COUNTIF(C$4:C899,""Sell_""&amp;C900))))))"),"")</f>
        <v/>
      </c>
      <c r="H900" s="10" t="str">
        <f t="shared" si="3"/>
        <v/>
      </c>
      <c r="I900" s="68" t="str">
        <f t="shared" si="4"/>
        <v/>
      </c>
      <c r="J900" s="59" t="str">
        <f t="shared" si="5"/>
        <v/>
      </c>
      <c r="K900" s="69" t="str">
        <f t="shared" si="6"/>
        <v/>
      </c>
      <c r="L900" s="60" t="str">
        <f t="shared" si="7"/>
        <v/>
      </c>
      <c r="M900" s="61" t="str">
        <f>IFERROR(__xludf.DUMMYFUNCTION("IFS(AND(COUNTA(C900:C1644)=0,COUNTA(Q900:Q1644)=0),"""",OR(AND(K900&gt;=1000000000,OR(Y900&gt;=1000000000,COUNTA(Q900:Q1644)=0)),OR(Y900&gt;=1000000000,AND(COUNTA(C900:C1644)=0,P$3=TRUE))),
ROUNDDOWN((AB$1-AC$1)*MAX(INDEX(T$4:T1644,MATCH(LARGE(FILTER(Y$4:Y1644,Y$4"&amp;":Y1644&lt;1000000000),1),Y$4:Y1644)),INDEX(F$4:F1644,MATCH(LARGE(FILTER(K$4:K1644,K$4:K1644&lt;1000000000),1),K$4:K1644)))),AND(K900&lt;1000000000,COUNTA(C900:C1644)&gt;0,P$3=FALSE),
ROUNDDOWN(INDEX(Y$4:Y1644,MATCH(LARGE(FILTER(W$4:W1644,W$4:W1644&lt;=I900),1),W$4:W1644"&amp;"))+(I900-LARGE(FILTER(W$4:W1644,W$4:W1644&lt;=I900),1))*INDEX(T$4:T1644,MATCH(LARGE(FILTER(W$4:W1644,W$4:W1644&lt;=I900),1),W$4:W1644))-K900),1,
ROUNDDOWN(Y900-INDEX(K$4:K1644,MATCH(LARGE(FILTER(I$4:I1644,I$4:I1644&lt;=W900),1),I$4:I1644))-(W900-LARGE(FILTER(I$4:I"&amp;"1644,I$4:I1644&lt;=W900),1))*INDEX(F$4:F1644,MATCH(LARGE(FILTER(I$4:I1644,I$4:I1644&lt;=W900),1),I$4:I1644))))"),"")</f>
        <v/>
      </c>
      <c r="N900" s="60" t="str">
        <f t="shared" si="8"/>
        <v/>
      </c>
      <c r="O900" s="61" t="str">
        <f t="shared" si="9"/>
        <v/>
      </c>
      <c r="P900" s="56" t="str">
        <f t="shared" si="10"/>
        <v/>
      </c>
      <c r="Q900" s="105"/>
      <c r="R900" s="10"/>
      <c r="S900" s="59" t="str">
        <f t="array" ref="S900">IF(COUNTA(Q900:Q1644)=0,"",SUM((COUNTIF(Q$4:Q900,Upgrades!$B$3:$B$13)-COUNTIF(Q$4:Q900,"Sell_"&amp;Upgrades!$B$3:$B$13))*Upgrades!$D$3:$D$13))</f>
        <v/>
      </c>
      <c r="T900" s="66" t="str">
        <f>IFERROR(__xludf.DUMMYFUNCTION("IF(COUNTA(Q900:Q1644)=0,"""",IF(REGEXMATCH(INDEX(FILTER(Q$4:Q900,Q$4:Q900&lt;&gt;""""),ROWS(FILTER(Q$4:Q900,Q$4:Q900&lt;&gt;""""))),""^Sell_""),INDEX(FILTER(T$4:T899,Q$4:Q899&lt;&gt;""""),ROWS(FILTER(Q$4:Q899,Q$4:Q899&lt;&gt;""""))),$AD$5+S900))"),"")</f>
        <v/>
      </c>
      <c r="U900" s="10" t="str">
        <f>IFERROR(__xludf.DUMMYFUNCTION("IF(COUNTA(Q900:Q1644)=0,"""",IF(Q900="""",0,IF(REGEXMATCH(Q900,""^Sell_""),-ROUNDDOWN(ROUNDUP(INDEX(Upgrades!$C$3:$C$13,MATCH(SUBSTITUTE(Q900,""Sell_"",""""),Upgrades!$B$3:$B$13,0))*1.15^(COUNTIF(Q$4:Q899,SUBSTITUTE(Q900,""Sell_"",""""))-COUNTIF(Q$4:Q899,"&amp;"""Sell_""&amp;SUBSTITUTE(Q900,""Sell_"",""""))))/2),ROUNDUP(INDEX(Upgrades!$C$3:$C$13,MATCH(Q900,Upgrades!$B$3:$B$13,0))*1.15^(COUNTIF(Q$4:Q899,Q900)-COUNTIF(Q$4:Q899,""Sell_""&amp;Q900))))))"),"")</f>
        <v/>
      </c>
      <c r="V900" s="10" t="str">
        <f t="shared" si="11"/>
        <v/>
      </c>
      <c r="W900" s="68" t="str">
        <f t="shared" si="12"/>
        <v/>
      </c>
      <c r="X900" s="59" t="str">
        <f t="shared" si="13"/>
        <v/>
      </c>
      <c r="Y900" s="69" t="str">
        <f t="shared" si="14"/>
        <v/>
      </c>
      <c r="Z900" s="11"/>
      <c r="AG900" s="59"/>
    </row>
    <row r="901">
      <c r="A901" s="8"/>
      <c r="B901" s="56" t="str">
        <f t="shared" si="2"/>
        <v/>
      </c>
      <c r="C901" s="105"/>
      <c r="D901" s="10"/>
      <c r="E901" s="59" t="str">
        <f t="array" ref="E901">IF(COUNTA(C901:C1644)=0,"",SUM((COUNTIF(C$4:C901,Upgrades!$B$3:$B$13)-COUNTIF(C$4:C901,"Sell_"&amp;Upgrades!$B$3:$B$13))*Upgrades!$D$3:$D$13))</f>
        <v/>
      </c>
      <c r="F901" s="66" t="str">
        <f>IFERROR(__xludf.DUMMYFUNCTION("IF(COUNTA(C901:C1644)=0,"""",IF(REGEXMATCH(INDEX(FILTER(C$4:C901,C$4:C901&lt;&gt;""""),ROWS(FILTER(C$4:C901,C$4:C901&lt;&gt;""""))),""^Sell_""),INDEX(FILTER(F$4:F900,C$4:C900&lt;&gt;""""),ROWS(FILTER(C$4:C900,C$4:C900&lt;&gt;""""))),$AC$5+E901))"),"")</f>
        <v/>
      </c>
      <c r="G901" s="10" t="str">
        <f>IFERROR(__xludf.DUMMYFUNCTION("IF(COUNTA(C901:C1644)=0,"""",IF(C901="""",0,IF(REGEXMATCH(C901,""^Sell_""),-ROUNDDOWN(ROUNDUP(INDEX(Upgrades!$C$3:$C$13,MATCH(SUBSTITUTE(C901,""Sell_"",""""),Upgrades!$B$3:$B$13,0))*1.15^(COUNTIF(C$4:C900,SUBSTITUTE(C901,""Sell_"",""""))-COUNTIF(C$4:C900,"&amp;"""Sell_""&amp;SUBSTITUTE(C901,""Sell_"",""""))))/2),ROUNDUP(INDEX(Upgrades!$C$3:$C$13,MATCH(C901,Upgrades!$B$3:$B$13,0))*1.15^(COUNTIF(C$4:C900,C901)-COUNTIF(C$4:C900,""Sell_""&amp;C901))))))"),"")</f>
        <v/>
      </c>
      <c r="H901" s="10" t="str">
        <f t="shared" si="3"/>
        <v/>
      </c>
      <c r="I901" s="68" t="str">
        <f t="shared" si="4"/>
        <v/>
      </c>
      <c r="J901" s="59" t="str">
        <f t="shared" si="5"/>
        <v/>
      </c>
      <c r="K901" s="69" t="str">
        <f t="shared" si="6"/>
        <v/>
      </c>
      <c r="L901" s="60" t="str">
        <f t="shared" si="7"/>
        <v/>
      </c>
      <c r="M901" s="61" t="str">
        <f>IFERROR(__xludf.DUMMYFUNCTION("IFS(AND(COUNTA(C901:C1644)=0,COUNTA(Q901:Q1644)=0),"""",OR(AND(K901&gt;=1000000000,OR(Y901&gt;=1000000000,COUNTA(Q901:Q1644)=0)),OR(Y901&gt;=1000000000,AND(COUNTA(C901:C1644)=0,P$3=TRUE))),
ROUNDDOWN((AB$1-AC$1)*MAX(INDEX(T$4:T1644,MATCH(LARGE(FILTER(Y$4:Y1644,Y$4"&amp;":Y1644&lt;1000000000),1),Y$4:Y1644)),INDEX(F$4:F1644,MATCH(LARGE(FILTER(K$4:K1644,K$4:K1644&lt;1000000000),1),K$4:K1644)))),AND(K901&lt;1000000000,COUNTA(C901:C1644)&gt;0,P$3=FALSE),
ROUNDDOWN(INDEX(Y$4:Y1644,MATCH(LARGE(FILTER(W$4:W1644,W$4:W1644&lt;=I901),1),W$4:W1644"&amp;"))+(I901-LARGE(FILTER(W$4:W1644,W$4:W1644&lt;=I901),1))*INDEX(T$4:T1644,MATCH(LARGE(FILTER(W$4:W1644,W$4:W1644&lt;=I901),1),W$4:W1644))-K901),1,
ROUNDDOWN(Y901-INDEX(K$4:K1644,MATCH(LARGE(FILTER(I$4:I1644,I$4:I1644&lt;=W901),1),I$4:I1644))-(W901-LARGE(FILTER(I$4:I"&amp;"1644,I$4:I1644&lt;=W901),1))*INDEX(F$4:F1644,MATCH(LARGE(FILTER(I$4:I1644,I$4:I1644&lt;=W901),1),I$4:I1644))))"),"")</f>
        <v/>
      </c>
      <c r="N901" s="60" t="str">
        <f t="shared" si="8"/>
        <v/>
      </c>
      <c r="O901" s="61" t="str">
        <f t="shared" si="9"/>
        <v/>
      </c>
      <c r="P901" s="56" t="str">
        <f t="shared" si="10"/>
        <v/>
      </c>
      <c r="Q901" s="105"/>
      <c r="R901" s="10"/>
      <c r="S901" s="59" t="str">
        <f t="array" ref="S901">IF(COUNTA(Q901:Q1644)=0,"",SUM((COUNTIF(Q$4:Q901,Upgrades!$B$3:$B$13)-COUNTIF(Q$4:Q901,"Sell_"&amp;Upgrades!$B$3:$B$13))*Upgrades!$D$3:$D$13))</f>
        <v/>
      </c>
      <c r="T901" s="66" t="str">
        <f>IFERROR(__xludf.DUMMYFUNCTION("IF(COUNTA(Q901:Q1644)=0,"""",IF(REGEXMATCH(INDEX(FILTER(Q$4:Q901,Q$4:Q901&lt;&gt;""""),ROWS(FILTER(Q$4:Q901,Q$4:Q901&lt;&gt;""""))),""^Sell_""),INDEX(FILTER(T$4:T900,Q$4:Q900&lt;&gt;""""),ROWS(FILTER(Q$4:Q900,Q$4:Q900&lt;&gt;""""))),$AD$5+S901))"),"")</f>
        <v/>
      </c>
      <c r="U901" s="10" t="str">
        <f>IFERROR(__xludf.DUMMYFUNCTION("IF(COUNTA(Q901:Q1644)=0,"""",IF(Q901="""",0,IF(REGEXMATCH(Q901,""^Sell_""),-ROUNDDOWN(ROUNDUP(INDEX(Upgrades!$C$3:$C$13,MATCH(SUBSTITUTE(Q901,""Sell_"",""""),Upgrades!$B$3:$B$13,0))*1.15^(COUNTIF(Q$4:Q900,SUBSTITUTE(Q901,""Sell_"",""""))-COUNTIF(Q$4:Q900,"&amp;"""Sell_""&amp;SUBSTITUTE(Q901,""Sell_"",""""))))/2),ROUNDUP(INDEX(Upgrades!$C$3:$C$13,MATCH(Q901,Upgrades!$B$3:$B$13,0))*1.15^(COUNTIF(Q$4:Q900,Q901)-COUNTIF(Q$4:Q900,""Sell_""&amp;Q901))))))"),"")</f>
        <v/>
      </c>
      <c r="V901" s="10" t="str">
        <f t="shared" si="11"/>
        <v/>
      </c>
      <c r="W901" s="68" t="str">
        <f t="shared" si="12"/>
        <v/>
      </c>
      <c r="X901" s="59" t="str">
        <f t="shared" si="13"/>
        <v/>
      </c>
      <c r="Y901" s="69" t="str">
        <f t="shared" si="14"/>
        <v/>
      </c>
      <c r="Z901" s="11"/>
      <c r="AG901" s="59"/>
    </row>
    <row r="902">
      <c r="A902" s="8"/>
      <c r="B902" s="56" t="str">
        <f t="shared" si="2"/>
        <v/>
      </c>
      <c r="C902" s="105"/>
      <c r="D902" s="10"/>
      <c r="E902" s="59" t="str">
        <f t="array" ref="E902">IF(COUNTA(C902:C1644)=0,"",SUM((COUNTIF(C$4:C902,Upgrades!$B$3:$B$13)-COUNTIF(C$4:C902,"Sell_"&amp;Upgrades!$B$3:$B$13))*Upgrades!$D$3:$D$13))</f>
        <v/>
      </c>
      <c r="F902" s="66" t="str">
        <f>IFERROR(__xludf.DUMMYFUNCTION("IF(COUNTA(C902:C1644)=0,"""",IF(REGEXMATCH(INDEX(FILTER(C$4:C902,C$4:C902&lt;&gt;""""),ROWS(FILTER(C$4:C902,C$4:C902&lt;&gt;""""))),""^Sell_""),INDEX(FILTER(F$4:F901,C$4:C901&lt;&gt;""""),ROWS(FILTER(C$4:C901,C$4:C901&lt;&gt;""""))),$AC$5+E902))"),"")</f>
        <v/>
      </c>
      <c r="G902" s="10" t="str">
        <f>IFERROR(__xludf.DUMMYFUNCTION("IF(COUNTA(C902:C1644)=0,"""",IF(C902="""",0,IF(REGEXMATCH(C902,""^Sell_""),-ROUNDDOWN(ROUNDUP(INDEX(Upgrades!$C$3:$C$13,MATCH(SUBSTITUTE(C902,""Sell_"",""""),Upgrades!$B$3:$B$13,0))*1.15^(COUNTIF(C$4:C901,SUBSTITUTE(C902,""Sell_"",""""))-COUNTIF(C$4:C901,"&amp;"""Sell_""&amp;SUBSTITUTE(C902,""Sell_"",""""))))/2),ROUNDUP(INDEX(Upgrades!$C$3:$C$13,MATCH(C902,Upgrades!$B$3:$B$13,0))*1.15^(COUNTIF(C$4:C901,C902)-COUNTIF(C$4:C901,""Sell_""&amp;C902))))))"),"")</f>
        <v/>
      </c>
      <c r="H902" s="10" t="str">
        <f t="shared" si="3"/>
        <v/>
      </c>
      <c r="I902" s="68" t="str">
        <f t="shared" si="4"/>
        <v/>
      </c>
      <c r="J902" s="59" t="str">
        <f t="shared" si="5"/>
        <v/>
      </c>
      <c r="K902" s="69" t="str">
        <f t="shared" si="6"/>
        <v/>
      </c>
      <c r="L902" s="60" t="str">
        <f t="shared" si="7"/>
        <v/>
      </c>
      <c r="M902" s="61" t="str">
        <f>IFERROR(__xludf.DUMMYFUNCTION("IFS(AND(COUNTA(C902:C1644)=0,COUNTA(Q902:Q1644)=0),"""",OR(AND(K902&gt;=1000000000,OR(Y902&gt;=1000000000,COUNTA(Q902:Q1644)=0)),OR(Y902&gt;=1000000000,AND(COUNTA(C902:C1644)=0,P$3=TRUE))),
ROUNDDOWN((AB$1-AC$1)*MAX(INDEX(T$4:T1644,MATCH(LARGE(FILTER(Y$4:Y1644,Y$4"&amp;":Y1644&lt;1000000000),1),Y$4:Y1644)),INDEX(F$4:F1644,MATCH(LARGE(FILTER(K$4:K1644,K$4:K1644&lt;1000000000),1),K$4:K1644)))),AND(K902&lt;1000000000,COUNTA(C902:C1644)&gt;0,P$3=FALSE),
ROUNDDOWN(INDEX(Y$4:Y1644,MATCH(LARGE(FILTER(W$4:W1644,W$4:W1644&lt;=I902),1),W$4:W1644"&amp;"))+(I902-LARGE(FILTER(W$4:W1644,W$4:W1644&lt;=I902),1))*INDEX(T$4:T1644,MATCH(LARGE(FILTER(W$4:W1644,W$4:W1644&lt;=I902),1),W$4:W1644))-K902),1,
ROUNDDOWN(Y902-INDEX(K$4:K1644,MATCH(LARGE(FILTER(I$4:I1644,I$4:I1644&lt;=W902),1),I$4:I1644))-(W902-LARGE(FILTER(I$4:I"&amp;"1644,I$4:I1644&lt;=W902),1))*INDEX(F$4:F1644,MATCH(LARGE(FILTER(I$4:I1644,I$4:I1644&lt;=W902),1),I$4:I1644))))"),"")</f>
        <v/>
      </c>
      <c r="N902" s="60" t="str">
        <f t="shared" si="8"/>
        <v/>
      </c>
      <c r="O902" s="61" t="str">
        <f t="shared" si="9"/>
        <v/>
      </c>
      <c r="P902" s="56" t="str">
        <f t="shared" si="10"/>
        <v/>
      </c>
      <c r="Q902" s="105"/>
      <c r="R902" s="10"/>
      <c r="S902" s="59" t="str">
        <f t="array" ref="S902">IF(COUNTA(Q902:Q1644)=0,"",SUM((COUNTIF(Q$4:Q902,Upgrades!$B$3:$B$13)-COUNTIF(Q$4:Q902,"Sell_"&amp;Upgrades!$B$3:$B$13))*Upgrades!$D$3:$D$13))</f>
        <v/>
      </c>
      <c r="T902" s="66" t="str">
        <f>IFERROR(__xludf.DUMMYFUNCTION("IF(COUNTA(Q902:Q1644)=0,"""",IF(REGEXMATCH(INDEX(FILTER(Q$4:Q902,Q$4:Q902&lt;&gt;""""),ROWS(FILTER(Q$4:Q902,Q$4:Q902&lt;&gt;""""))),""^Sell_""),INDEX(FILTER(T$4:T901,Q$4:Q901&lt;&gt;""""),ROWS(FILTER(Q$4:Q901,Q$4:Q901&lt;&gt;""""))),$AD$5+S902))"),"")</f>
        <v/>
      </c>
      <c r="U902" s="10" t="str">
        <f>IFERROR(__xludf.DUMMYFUNCTION("IF(COUNTA(Q902:Q1644)=0,"""",IF(Q902="""",0,IF(REGEXMATCH(Q902,""^Sell_""),-ROUNDDOWN(ROUNDUP(INDEX(Upgrades!$C$3:$C$13,MATCH(SUBSTITUTE(Q902,""Sell_"",""""),Upgrades!$B$3:$B$13,0))*1.15^(COUNTIF(Q$4:Q901,SUBSTITUTE(Q902,""Sell_"",""""))-COUNTIF(Q$4:Q901,"&amp;"""Sell_""&amp;SUBSTITUTE(Q902,""Sell_"",""""))))/2),ROUNDUP(INDEX(Upgrades!$C$3:$C$13,MATCH(Q902,Upgrades!$B$3:$B$13,0))*1.15^(COUNTIF(Q$4:Q901,Q902)-COUNTIF(Q$4:Q901,""Sell_""&amp;Q902))))))"),"")</f>
        <v/>
      </c>
      <c r="V902" s="10" t="str">
        <f t="shared" si="11"/>
        <v/>
      </c>
      <c r="W902" s="68" t="str">
        <f t="shared" si="12"/>
        <v/>
      </c>
      <c r="X902" s="59" t="str">
        <f t="shared" si="13"/>
        <v/>
      </c>
      <c r="Y902" s="69" t="str">
        <f t="shared" si="14"/>
        <v/>
      </c>
      <c r="Z902" s="11"/>
      <c r="AG902" s="59"/>
    </row>
    <row r="903">
      <c r="A903" s="8"/>
      <c r="B903" s="56" t="str">
        <f t="shared" si="2"/>
        <v/>
      </c>
      <c r="C903" s="105"/>
      <c r="D903" s="10"/>
      <c r="E903" s="59" t="str">
        <f t="array" ref="E903">IF(COUNTA(C903:C1644)=0,"",SUM((COUNTIF(C$4:C903,Upgrades!$B$3:$B$13)-COUNTIF(C$4:C903,"Sell_"&amp;Upgrades!$B$3:$B$13))*Upgrades!$D$3:$D$13))</f>
        <v/>
      </c>
      <c r="F903" s="66" t="str">
        <f>IFERROR(__xludf.DUMMYFUNCTION("IF(COUNTA(C903:C1644)=0,"""",IF(REGEXMATCH(INDEX(FILTER(C$4:C903,C$4:C903&lt;&gt;""""),ROWS(FILTER(C$4:C903,C$4:C903&lt;&gt;""""))),""^Sell_""),INDEX(FILTER(F$4:F902,C$4:C902&lt;&gt;""""),ROWS(FILTER(C$4:C902,C$4:C902&lt;&gt;""""))),$AC$5+E903))"),"")</f>
        <v/>
      </c>
      <c r="G903" s="10" t="str">
        <f>IFERROR(__xludf.DUMMYFUNCTION("IF(COUNTA(C903:C1644)=0,"""",IF(C903="""",0,IF(REGEXMATCH(C903,""^Sell_""),-ROUNDDOWN(ROUNDUP(INDEX(Upgrades!$C$3:$C$13,MATCH(SUBSTITUTE(C903,""Sell_"",""""),Upgrades!$B$3:$B$13,0))*1.15^(COUNTIF(C$4:C902,SUBSTITUTE(C903,""Sell_"",""""))-COUNTIF(C$4:C902,"&amp;"""Sell_""&amp;SUBSTITUTE(C903,""Sell_"",""""))))/2),ROUNDUP(INDEX(Upgrades!$C$3:$C$13,MATCH(C903,Upgrades!$B$3:$B$13,0))*1.15^(COUNTIF(C$4:C902,C903)-COUNTIF(C$4:C902,""Sell_""&amp;C903))))))"),"")</f>
        <v/>
      </c>
      <c r="H903" s="10" t="str">
        <f t="shared" si="3"/>
        <v/>
      </c>
      <c r="I903" s="68" t="str">
        <f t="shared" si="4"/>
        <v/>
      </c>
      <c r="J903" s="59" t="str">
        <f t="shared" si="5"/>
        <v/>
      </c>
      <c r="K903" s="69" t="str">
        <f t="shared" si="6"/>
        <v/>
      </c>
      <c r="L903" s="60" t="str">
        <f t="shared" si="7"/>
        <v/>
      </c>
      <c r="M903" s="61" t="str">
        <f>IFERROR(__xludf.DUMMYFUNCTION("IFS(AND(COUNTA(C903:C1644)=0,COUNTA(Q903:Q1644)=0),"""",OR(AND(K903&gt;=1000000000,OR(Y903&gt;=1000000000,COUNTA(Q903:Q1644)=0)),OR(Y903&gt;=1000000000,AND(COUNTA(C903:C1644)=0,P$3=TRUE))),
ROUNDDOWN((AB$1-AC$1)*MAX(INDEX(T$4:T1644,MATCH(LARGE(FILTER(Y$4:Y1644,Y$4"&amp;":Y1644&lt;1000000000),1),Y$4:Y1644)),INDEX(F$4:F1644,MATCH(LARGE(FILTER(K$4:K1644,K$4:K1644&lt;1000000000),1),K$4:K1644)))),AND(K903&lt;1000000000,COUNTA(C903:C1644)&gt;0,P$3=FALSE),
ROUNDDOWN(INDEX(Y$4:Y1644,MATCH(LARGE(FILTER(W$4:W1644,W$4:W1644&lt;=I903),1),W$4:W1644"&amp;"))+(I903-LARGE(FILTER(W$4:W1644,W$4:W1644&lt;=I903),1))*INDEX(T$4:T1644,MATCH(LARGE(FILTER(W$4:W1644,W$4:W1644&lt;=I903),1),W$4:W1644))-K903),1,
ROUNDDOWN(Y903-INDEX(K$4:K1644,MATCH(LARGE(FILTER(I$4:I1644,I$4:I1644&lt;=W903),1),I$4:I1644))-(W903-LARGE(FILTER(I$4:I"&amp;"1644,I$4:I1644&lt;=W903),1))*INDEX(F$4:F1644,MATCH(LARGE(FILTER(I$4:I1644,I$4:I1644&lt;=W903),1),I$4:I1644))))"),"")</f>
        <v/>
      </c>
      <c r="N903" s="60" t="str">
        <f t="shared" si="8"/>
        <v/>
      </c>
      <c r="O903" s="61" t="str">
        <f t="shared" si="9"/>
        <v/>
      </c>
      <c r="P903" s="56" t="str">
        <f t="shared" si="10"/>
        <v/>
      </c>
      <c r="Q903" s="105"/>
      <c r="R903" s="10"/>
      <c r="S903" s="59" t="str">
        <f t="array" ref="S903">IF(COUNTA(Q903:Q1644)=0,"",SUM((COUNTIF(Q$4:Q903,Upgrades!$B$3:$B$13)-COUNTIF(Q$4:Q903,"Sell_"&amp;Upgrades!$B$3:$B$13))*Upgrades!$D$3:$D$13))</f>
        <v/>
      </c>
      <c r="T903" s="66" t="str">
        <f>IFERROR(__xludf.DUMMYFUNCTION("IF(COUNTA(Q903:Q1644)=0,"""",IF(REGEXMATCH(INDEX(FILTER(Q$4:Q903,Q$4:Q903&lt;&gt;""""),ROWS(FILTER(Q$4:Q903,Q$4:Q903&lt;&gt;""""))),""^Sell_""),INDEX(FILTER(T$4:T902,Q$4:Q902&lt;&gt;""""),ROWS(FILTER(Q$4:Q902,Q$4:Q902&lt;&gt;""""))),$AD$5+S903))"),"")</f>
        <v/>
      </c>
      <c r="U903" s="10" t="str">
        <f>IFERROR(__xludf.DUMMYFUNCTION("IF(COUNTA(Q903:Q1644)=0,"""",IF(Q903="""",0,IF(REGEXMATCH(Q903,""^Sell_""),-ROUNDDOWN(ROUNDUP(INDEX(Upgrades!$C$3:$C$13,MATCH(SUBSTITUTE(Q903,""Sell_"",""""),Upgrades!$B$3:$B$13,0))*1.15^(COUNTIF(Q$4:Q902,SUBSTITUTE(Q903,""Sell_"",""""))-COUNTIF(Q$4:Q902,"&amp;"""Sell_""&amp;SUBSTITUTE(Q903,""Sell_"",""""))))/2),ROUNDUP(INDEX(Upgrades!$C$3:$C$13,MATCH(Q903,Upgrades!$B$3:$B$13,0))*1.15^(COUNTIF(Q$4:Q902,Q903)-COUNTIF(Q$4:Q902,""Sell_""&amp;Q903))))))"),"")</f>
        <v/>
      </c>
      <c r="V903" s="10" t="str">
        <f t="shared" si="11"/>
        <v/>
      </c>
      <c r="W903" s="68" t="str">
        <f t="shared" si="12"/>
        <v/>
      </c>
      <c r="X903" s="59" t="str">
        <f t="shared" si="13"/>
        <v/>
      </c>
      <c r="Y903" s="69" t="str">
        <f t="shared" si="14"/>
        <v/>
      </c>
      <c r="Z903" s="11"/>
      <c r="AG903" s="59"/>
    </row>
    <row r="904">
      <c r="A904" s="8"/>
      <c r="B904" s="56" t="str">
        <f t="shared" si="2"/>
        <v/>
      </c>
      <c r="C904" s="105"/>
      <c r="D904" s="10"/>
      <c r="E904" s="59" t="str">
        <f t="array" ref="E904">IF(COUNTA(C904:C1644)=0,"",SUM((COUNTIF(C$4:C904,Upgrades!$B$3:$B$13)-COUNTIF(C$4:C904,"Sell_"&amp;Upgrades!$B$3:$B$13))*Upgrades!$D$3:$D$13))</f>
        <v/>
      </c>
      <c r="F904" s="66" t="str">
        <f>IFERROR(__xludf.DUMMYFUNCTION("IF(COUNTA(C904:C1644)=0,"""",IF(REGEXMATCH(INDEX(FILTER(C$4:C904,C$4:C904&lt;&gt;""""),ROWS(FILTER(C$4:C904,C$4:C904&lt;&gt;""""))),""^Sell_""),INDEX(FILTER(F$4:F903,C$4:C903&lt;&gt;""""),ROWS(FILTER(C$4:C903,C$4:C903&lt;&gt;""""))),$AC$5+E904))"),"")</f>
        <v/>
      </c>
      <c r="G904" s="10" t="str">
        <f>IFERROR(__xludf.DUMMYFUNCTION("IF(COUNTA(C904:C1644)=0,"""",IF(C904="""",0,IF(REGEXMATCH(C904,""^Sell_""),-ROUNDDOWN(ROUNDUP(INDEX(Upgrades!$C$3:$C$13,MATCH(SUBSTITUTE(C904,""Sell_"",""""),Upgrades!$B$3:$B$13,0))*1.15^(COUNTIF(C$4:C903,SUBSTITUTE(C904,""Sell_"",""""))-COUNTIF(C$4:C903,"&amp;"""Sell_""&amp;SUBSTITUTE(C904,""Sell_"",""""))))/2),ROUNDUP(INDEX(Upgrades!$C$3:$C$13,MATCH(C904,Upgrades!$B$3:$B$13,0))*1.15^(COUNTIF(C$4:C903,C904)-COUNTIF(C$4:C903,""Sell_""&amp;C904))))))"),"")</f>
        <v/>
      </c>
      <c r="H904" s="10" t="str">
        <f t="shared" si="3"/>
        <v/>
      </c>
      <c r="I904" s="68" t="str">
        <f t="shared" si="4"/>
        <v/>
      </c>
      <c r="J904" s="59" t="str">
        <f t="shared" si="5"/>
        <v/>
      </c>
      <c r="K904" s="69" t="str">
        <f t="shared" si="6"/>
        <v/>
      </c>
      <c r="L904" s="60" t="str">
        <f t="shared" si="7"/>
        <v/>
      </c>
      <c r="M904" s="61" t="str">
        <f>IFERROR(__xludf.DUMMYFUNCTION("IFS(AND(COUNTA(C904:C1644)=0,COUNTA(Q904:Q1644)=0),"""",OR(AND(K904&gt;=1000000000,OR(Y904&gt;=1000000000,COUNTA(Q904:Q1644)=0)),OR(Y904&gt;=1000000000,AND(COUNTA(C904:C1644)=0,P$3=TRUE))),
ROUNDDOWN((AB$1-AC$1)*MAX(INDEX(T$4:T1644,MATCH(LARGE(FILTER(Y$4:Y1644,Y$4"&amp;":Y1644&lt;1000000000),1),Y$4:Y1644)),INDEX(F$4:F1644,MATCH(LARGE(FILTER(K$4:K1644,K$4:K1644&lt;1000000000),1),K$4:K1644)))),AND(K904&lt;1000000000,COUNTA(C904:C1644)&gt;0,P$3=FALSE),
ROUNDDOWN(INDEX(Y$4:Y1644,MATCH(LARGE(FILTER(W$4:W1644,W$4:W1644&lt;=I904),1),W$4:W1644"&amp;"))+(I904-LARGE(FILTER(W$4:W1644,W$4:W1644&lt;=I904),1))*INDEX(T$4:T1644,MATCH(LARGE(FILTER(W$4:W1644,W$4:W1644&lt;=I904),1),W$4:W1644))-K904),1,
ROUNDDOWN(Y904-INDEX(K$4:K1644,MATCH(LARGE(FILTER(I$4:I1644,I$4:I1644&lt;=W904),1),I$4:I1644))-(W904-LARGE(FILTER(I$4:I"&amp;"1644,I$4:I1644&lt;=W904),1))*INDEX(F$4:F1644,MATCH(LARGE(FILTER(I$4:I1644,I$4:I1644&lt;=W904),1),I$4:I1644))))"),"")</f>
        <v/>
      </c>
      <c r="N904" s="60" t="str">
        <f t="shared" si="8"/>
        <v/>
      </c>
      <c r="O904" s="61" t="str">
        <f t="shared" si="9"/>
        <v/>
      </c>
      <c r="P904" s="56" t="str">
        <f t="shared" si="10"/>
        <v/>
      </c>
      <c r="Q904" s="105"/>
      <c r="R904" s="10"/>
      <c r="S904" s="59" t="str">
        <f t="array" ref="S904">IF(COUNTA(Q904:Q1644)=0,"",SUM((COUNTIF(Q$4:Q904,Upgrades!$B$3:$B$13)-COUNTIF(Q$4:Q904,"Sell_"&amp;Upgrades!$B$3:$B$13))*Upgrades!$D$3:$D$13))</f>
        <v/>
      </c>
      <c r="T904" s="66" t="str">
        <f>IFERROR(__xludf.DUMMYFUNCTION("IF(COUNTA(Q904:Q1644)=0,"""",IF(REGEXMATCH(INDEX(FILTER(Q$4:Q904,Q$4:Q904&lt;&gt;""""),ROWS(FILTER(Q$4:Q904,Q$4:Q904&lt;&gt;""""))),""^Sell_""),INDEX(FILTER(T$4:T903,Q$4:Q903&lt;&gt;""""),ROWS(FILTER(Q$4:Q903,Q$4:Q903&lt;&gt;""""))),$AD$5+S904))"),"")</f>
        <v/>
      </c>
      <c r="U904" s="10" t="str">
        <f>IFERROR(__xludf.DUMMYFUNCTION("IF(COUNTA(Q904:Q1644)=0,"""",IF(Q904="""",0,IF(REGEXMATCH(Q904,""^Sell_""),-ROUNDDOWN(ROUNDUP(INDEX(Upgrades!$C$3:$C$13,MATCH(SUBSTITUTE(Q904,""Sell_"",""""),Upgrades!$B$3:$B$13,0))*1.15^(COUNTIF(Q$4:Q903,SUBSTITUTE(Q904,""Sell_"",""""))-COUNTIF(Q$4:Q903,"&amp;"""Sell_""&amp;SUBSTITUTE(Q904,""Sell_"",""""))))/2),ROUNDUP(INDEX(Upgrades!$C$3:$C$13,MATCH(Q904,Upgrades!$B$3:$B$13,0))*1.15^(COUNTIF(Q$4:Q903,Q904)-COUNTIF(Q$4:Q903,""Sell_""&amp;Q904))))))"),"")</f>
        <v/>
      </c>
      <c r="V904" s="10" t="str">
        <f t="shared" si="11"/>
        <v/>
      </c>
      <c r="W904" s="68" t="str">
        <f t="shared" si="12"/>
        <v/>
      </c>
      <c r="X904" s="59" t="str">
        <f t="shared" si="13"/>
        <v/>
      </c>
      <c r="Y904" s="69" t="str">
        <f t="shared" si="14"/>
        <v/>
      </c>
      <c r="Z904" s="11"/>
      <c r="AG904" s="59"/>
    </row>
    <row r="905">
      <c r="A905" s="8"/>
      <c r="B905" s="56" t="str">
        <f t="shared" si="2"/>
        <v/>
      </c>
      <c r="C905" s="105"/>
      <c r="D905" s="10"/>
      <c r="E905" s="59" t="str">
        <f t="array" ref="E905">IF(COUNTA(C905:C1644)=0,"",SUM((COUNTIF(C$4:C905,Upgrades!$B$3:$B$13)-COUNTIF(C$4:C905,"Sell_"&amp;Upgrades!$B$3:$B$13))*Upgrades!$D$3:$D$13))</f>
        <v/>
      </c>
      <c r="F905" s="66" t="str">
        <f>IFERROR(__xludf.DUMMYFUNCTION("IF(COUNTA(C905:C1644)=0,"""",IF(REGEXMATCH(INDEX(FILTER(C$4:C905,C$4:C905&lt;&gt;""""),ROWS(FILTER(C$4:C905,C$4:C905&lt;&gt;""""))),""^Sell_""),INDEX(FILTER(F$4:F904,C$4:C904&lt;&gt;""""),ROWS(FILTER(C$4:C904,C$4:C904&lt;&gt;""""))),$AC$5+E905))"),"")</f>
        <v/>
      </c>
      <c r="G905" s="10" t="str">
        <f>IFERROR(__xludf.DUMMYFUNCTION("IF(COUNTA(C905:C1644)=0,"""",IF(C905="""",0,IF(REGEXMATCH(C905,""^Sell_""),-ROUNDDOWN(ROUNDUP(INDEX(Upgrades!$C$3:$C$13,MATCH(SUBSTITUTE(C905,""Sell_"",""""),Upgrades!$B$3:$B$13,0))*1.15^(COUNTIF(C$4:C904,SUBSTITUTE(C905,""Sell_"",""""))-COUNTIF(C$4:C904,"&amp;"""Sell_""&amp;SUBSTITUTE(C905,""Sell_"",""""))))/2),ROUNDUP(INDEX(Upgrades!$C$3:$C$13,MATCH(C905,Upgrades!$B$3:$B$13,0))*1.15^(COUNTIF(C$4:C904,C905)-COUNTIF(C$4:C904,""Sell_""&amp;C905))))))"),"")</f>
        <v/>
      </c>
      <c r="H905" s="10" t="str">
        <f t="shared" si="3"/>
        <v/>
      </c>
      <c r="I905" s="68" t="str">
        <f t="shared" si="4"/>
        <v/>
      </c>
      <c r="J905" s="59" t="str">
        <f t="shared" si="5"/>
        <v/>
      </c>
      <c r="K905" s="69" t="str">
        <f t="shared" si="6"/>
        <v/>
      </c>
      <c r="L905" s="60" t="str">
        <f t="shared" si="7"/>
        <v/>
      </c>
      <c r="M905" s="61" t="str">
        <f>IFERROR(__xludf.DUMMYFUNCTION("IFS(AND(COUNTA(C905:C1644)=0,COUNTA(Q905:Q1644)=0),"""",OR(AND(K905&gt;=1000000000,OR(Y905&gt;=1000000000,COUNTA(Q905:Q1644)=0)),OR(Y905&gt;=1000000000,AND(COUNTA(C905:C1644)=0,P$3=TRUE))),
ROUNDDOWN((AB$1-AC$1)*MAX(INDEX(T$4:T1644,MATCH(LARGE(FILTER(Y$4:Y1644,Y$4"&amp;":Y1644&lt;1000000000),1),Y$4:Y1644)),INDEX(F$4:F1644,MATCH(LARGE(FILTER(K$4:K1644,K$4:K1644&lt;1000000000),1),K$4:K1644)))),AND(K905&lt;1000000000,COUNTA(C905:C1644)&gt;0,P$3=FALSE),
ROUNDDOWN(INDEX(Y$4:Y1644,MATCH(LARGE(FILTER(W$4:W1644,W$4:W1644&lt;=I905),1),W$4:W1644"&amp;"))+(I905-LARGE(FILTER(W$4:W1644,W$4:W1644&lt;=I905),1))*INDEX(T$4:T1644,MATCH(LARGE(FILTER(W$4:W1644,W$4:W1644&lt;=I905),1),W$4:W1644))-K905),1,
ROUNDDOWN(Y905-INDEX(K$4:K1644,MATCH(LARGE(FILTER(I$4:I1644,I$4:I1644&lt;=W905),1),I$4:I1644))-(W905-LARGE(FILTER(I$4:I"&amp;"1644,I$4:I1644&lt;=W905),1))*INDEX(F$4:F1644,MATCH(LARGE(FILTER(I$4:I1644,I$4:I1644&lt;=W905),1),I$4:I1644))))"),"")</f>
        <v/>
      </c>
      <c r="N905" s="60" t="str">
        <f t="shared" si="8"/>
        <v/>
      </c>
      <c r="O905" s="61" t="str">
        <f t="shared" si="9"/>
        <v/>
      </c>
      <c r="P905" s="56" t="str">
        <f t="shared" si="10"/>
        <v/>
      </c>
      <c r="Q905" s="105"/>
      <c r="R905" s="10"/>
      <c r="S905" s="59" t="str">
        <f t="array" ref="S905">IF(COUNTA(Q905:Q1644)=0,"",SUM((COUNTIF(Q$4:Q905,Upgrades!$B$3:$B$13)-COUNTIF(Q$4:Q905,"Sell_"&amp;Upgrades!$B$3:$B$13))*Upgrades!$D$3:$D$13))</f>
        <v/>
      </c>
      <c r="T905" s="66" t="str">
        <f>IFERROR(__xludf.DUMMYFUNCTION("IF(COUNTA(Q905:Q1644)=0,"""",IF(REGEXMATCH(INDEX(FILTER(Q$4:Q905,Q$4:Q905&lt;&gt;""""),ROWS(FILTER(Q$4:Q905,Q$4:Q905&lt;&gt;""""))),""^Sell_""),INDEX(FILTER(T$4:T904,Q$4:Q904&lt;&gt;""""),ROWS(FILTER(Q$4:Q904,Q$4:Q904&lt;&gt;""""))),$AD$5+S905))"),"")</f>
        <v/>
      </c>
      <c r="U905" s="10" t="str">
        <f>IFERROR(__xludf.DUMMYFUNCTION("IF(COUNTA(Q905:Q1644)=0,"""",IF(Q905="""",0,IF(REGEXMATCH(Q905,""^Sell_""),-ROUNDDOWN(ROUNDUP(INDEX(Upgrades!$C$3:$C$13,MATCH(SUBSTITUTE(Q905,""Sell_"",""""),Upgrades!$B$3:$B$13,0))*1.15^(COUNTIF(Q$4:Q904,SUBSTITUTE(Q905,""Sell_"",""""))-COUNTIF(Q$4:Q904,"&amp;"""Sell_""&amp;SUBSTITUTE(Q905,""Sell_"",""""))))/2),ROUNDUP(INDEX(Upgrades!$C$3:$C$13,MATCH(Q905,Upgrades!$B$3:$B$13,0))*1.15^(COUNTIF(Q$4:Q904,Q905)-COUNTIF(Q$4:Q904,""Sell_""&amp;Q905))))))"),"")</f>
        <v/>
      </c>
      <c r="V905" s="10" t="str">
        <f t="shared" si="11"/>
        <v/>
      </c>
      <c r="W905" s="68" t="str">
        <f t="shared" si="12"/>
        <v/>
      </c>
      <c r="X905" s="59" t="str">
        <f t="shared" si="13"/>
        <v/>
      </c>
      <c r="Y905" s="69" t="str">
        <f t="shared" si="14"/>
        <v/>
      </c>
      <c r="Z905" s="11"/>
      <c r="AG905" s="59"/>
    </row>
    <row r="906">
      <c r="A906" s="8"/>
      <c r="B906" s="56" t="str">
        <f t="shared" si="2"/>
        <v/>
      </c>
      <c r="C906" s="105"/>
      <c r="D906" s="10"/>
      <c r="E906" s="59" t="str">
        <f t="array" ref="E906">IF(COUNTA(C906:C1644)=0,"",SUM((COUNTIF(C$4:C906,Upgrades!$B$3:$B$13)-COUNTIF(C$4:C906,"Sell_"&amp;Upgrades!$B$3:$B$13))*Upgrades!$D$3:$D$13))</f>
        <v/>
      </c>
      <c r="F906" s="66" t="str">
        <f>IFERROR(__xludf.DUMMYFUNCTION("IF(COUNTA(C906:C1644)=0,"""",IF(REGEXMATCH(INDEX(FILTER(C$4:C906,C$4:C906&lt;&gt;""""),ROWS(FILTER(C$4:C906,C$4:C906&lt;&gt;""""))),""^Sell_""),INDEX(FILTER(F$4:F905,C$4:C905&lt;&gt;""""),ROWS(FILTER(C$4:C905,C$4:C905&lt;&gt;""""))),$AC$5+E906))"),"")</f>
        <v/>
      </c>
      <c r="G906" s="10" t="str">
        <f>IFERROR(__xludf.DUMMYFUNCTION("IF(COUNTA(C906:C1644)=0,"""",IF(C906="""",0,IF(REGEXMATCH(C906,""^Sell_""),-ROUNDDOWN(ROUNDUP(INDEX(Upgrades!$C$3:$C$13,MATCH(SUBSTITUTE(C906,""Sell_"",""""),Upgrades!$B$3:$B$13,0))*1.15^(COUNTIF(C$4:C905,SUBSTITUTE(C906,""Sell_"",""""))-COUNTIF(C$4:C905,"&amp;"""Sell_""&amp;SUBSTITUTE(C906,""Sell_"",""""))))/2),ROUNDUP(INDEX(Upgrades!$C$3:$C$13,MATCH(C906,Upgrades!$B$3:$B$13,0))*1.15^(COUNTIF(C$4:C905,C906)-COUNTIF(C$4:C905,""Sell_""&amp;C906))))))"),"")</f>
        <v/>
      </c>
      <c r="H906" s="10" t="str">
        <f t="shared" si="3"/>
        <v/>
      </c>
      <c r="I906" s="68" t="str">
        <f t="shared" si="4"/>
        <v/>
      </c>
      <c r="J906" s="59" t="str">
        <f t="shared" si="5"/>
        <v/>
      </c>
      <c r="K906" s="69" t="str">
        <f t="shared" si="6"/>
        <v/>
      </c>
      <c r="L906" s="60" t="str">
        <f t="shared" si="7"/>
        <v/>
      </c>
      <c r="M906" s="61" t="str">
        <f>IFERROR(__xludf.DUMMYFUNCTION("IFS(AND(COUNTA(C906:C1644)=0,COUNTA(Q906:Q1644)=0),"""",OR(AND(K906&gt;=1000000000,OR(Y906&gt;=1000000000,COUNTA(Q906:Q1644)=0)),OR(Y906&gt;=1000000000,AND(COUNTA(C906:C1644)=0,P$3=TRUE))),
ROUNDDOWN((AB$1-AC$1)*MAX(INDEX(T$4:T1644,MATCH(LARGE(FILTER(Y$4:Y1644,Y$4"&amp;":Y1644&lt;1000000000),1),Y$4:Y1644)),INDEX(F$4:F1644,MATCH(LARGE(FILTER(K$4:K1644,K$4:K1644&lt;1000000000),1),K$4:K1644)))),AND(K906&lt;1000000000,COUNTA(C906:C1644)&gt;0,P$3=FALSE),
ROUNDDOWN(INDEX(Y$4:Y1644,MATCH(LARGE(FILTER(W$4:W1644,W$4:W1644&lt;=I906),1),W$4:W1644"&amp;"))+(I906-LARGE(FILTER(W$4:W1644,W$4:W1644&lt;=I906),1))*INDEX(T$4:T1644,MATCH(LARGE(FILTER(W$4:W1644,W$4:W1644&lt;=I906),1),W$4:W1644))-K906),1,
ROUNDDOWN(Y906-INDEX(K$4:K1644,MATCH(LARGE(FILTER(I$4:I1644,I$4:I1644&lt;=W906),1),I$4:I1644))-(W906-LARGE(FILTER(I$4:I"&amp;"1644,I$4:I1644&lt;=W906),1))*INDEX(F$4:F1644,MATCH(LARGE(FILTER(I$4:I1644,I$4:I1644&lt;=W906),1),I$4:I1644))))"),"")</f>
        <v/>
      </c>
      <c r="N906" s="60" t="str">
        <f t="shared" si="8"/>
        <v/>
      </c>
      <c r="O906" s="61" t="str">
        <f t="shared" si="9"/>
        <v/>
      </c>
      <c r="P906" s="56" t="str">
        <f t="shared" si="10"/>
        <v/>
      </c>
      <c r="Q906" s="105"/>
      <c r="R906" s="10"/>
      <c r="S906" s="59" t="str">
        <f t="array" ref="S906">IF(COUNTA(Q906:Q1644)=0,"",SUM((COUNTIF(Q$4:Q906,Upgrades!$B$3:$B$13)-COUNTIF(Q$4:Q906,"Sell_"&amp;Upgrades!$B$3:$B$13))*Upgrades!$D$3:$D$13))</f>
        <v/>
      </c>
      <c r="T906" s="66" t="str">
        <f>IFERROR(__xludf.DUMMYFUNCTION("IF(COUNTA(Q906:Q1644)=0,"""",IF(REGEXMATCH(INDEX(FILTER(Q$4:Q906,Q$4:Q906&lt;&gt;""""),ROWS(FILTER(Q$4:Q906,Q$4:Q906&lt;&gt;""""))),""^Sell_""),INDEX(FILTER(T$4:T905,Q$4:Q905&lt;&gt;""""),ROWS(FILTER(Q$4:Q905,Q$4:Q905&lt;&gt;""""))),$AD$5+S906))"),"")</f>
        <v/>
      </c>
      <c r="U906" s="10" t="str">
        <f>IFERROR(__xludf.DUMMYFUNCTION("IF(COUNTA(Q906:Q1644)=0,"""",IF(Q906="""",0,IF(REGEXMATCH(Q906,""^Sell_""),-ROUNDDOWN(ROUNDUP(INDEX(Upgrades!$C$3:$C$13,MATCH(SUBSTITUTE(Q906,""Sell_"",""""),Upgrades!$B$3:$B$13,0))*1.15^(COUNTIF(Q$4:Q905,SUBSTITUTE(Q906,""Sell_"",""""))-COUNTIF(Q$4:Q905,"&amp;"""Sell_""&amp;SUBSTITUTE(Q906,""Sell_"",""""))))/2),ROUNDUP(INDEX(Upgrades!$C$3:$C$13,MATCH(Q906,Upgrades!$B$3:$B$13,0))*1.15^(COUNTIF(Q$4:Q905,Q906)-COUNTIF(Q$4:Q905,""Sell_""&amp;Q906))))))"),"")</f>
        <v/>
      </c>
      <c r="V906" s="10" t="str">
        <f t="shared" si="11"/>
        <v/>
      </c>
      <c r="W906" s="68" t="str">
        <f t="shared" si="12"/>
        <v/>
      </c>
      <c r="X906" s="59" t="str">
        <f t="shared" si="13"/>
        <v/>
      </c>
      <c r="Y906" s="69" t="str">
        <f t="shared" si="14"/>
        <v/>
      </c>
      <c r="Z906" s="11"/>
      <c r="AG906" s="59"/>
    </row>
    <row r="907">
      <c r="A907" s="8"/>
      <c r="B907" s="56" t="str">
        <f t="shared" si="2"/>
        <v/>
      </c>
      <c r="C907" s="105"/>
      <c r="D907" s="10"/>
      <c r="E907" s="59" t="str">
        <f t="array" ref="E907">IF(COUNTA(C907:C1644)=0,"",SUM((COUNTIF(C$4:C907,Upgrades!$B$3:$B$13)-COUNTIF(C$4:C907,"Sell_"&amp;Upgrades!$B$3:$B$13))*Upgrades!$D$3:$D$13))</f>
        <v/>
      </c>
      <c r="F907" s="66" t="str">
        <f>IFERROR(__xludf.DUMMYFUNCTION("IF(COUNTA(C907:C1644)=0,"""",IF(REGEXMATCH(INDEX(FILTER(C$4:C907,C$4:C907&lt;&gt;""""),ROWS(FILTER(C$4:C907,C$4:C907&lt;&gt;""""))),""^Sell_""),INDEX(FILTER(F$4:F906,C$4:C906&lt;&gt;""""),ROWS(FILTER(C$4:C906,C$4:C906&lt;&gt;""""))),$AC$5+E907))"),"")</f>
        <v/>
      </c>
      <c r="G907" s="10" t="str">
        <f>IFERROR(__xludf.DUMMYFUNCTION("IF(COUNTA(C907:C1644)=0,"""",IF(C907="""",0,IF(REGEXMATCH(C907,""^Sell_""),-ROUNDDOWN(ROUNDUP(INDEX(Upgrades!$C$3:$C$13,MATCH(SUBSTITUTE(C907,""Sell_"",""""),Upgrades!$B$3:$B$13,0))*1.15^(COUNTIF(C$4:C906,SUBSTITUTE(C907,""Sell_"",""""))-COUNTIF(C$4:C906,"&amp;"""Sell_""&amp;SUBSTITUTE(C907,""Sell_"",""""))))/2),ROUNDUP(INDEX(Upgrades!$C$3:$C$13,MATCH(C907,Upgrades!$B$3:$B$13,0))*1.15^(COUNTIF(C$4:C906,C907)-COUNTIF(C$4:C906,""Sell_""&amp;C907))))))"),"")</f>
        <v/>
      </c>
      <c r="H907" s="10" t="str">
        <f t="shared" si="3"/>
        <v/>
      </c>
      <c r="I907" s="68" t="str">
        <f t="shared" si="4"/>
        <v/>
      </c>
      <c r="J907" s="59" t="str">
        <f t="shared" si="5"/>
        <v/>
      </c>
      <c r="K907" s="69" t="str">
        <f t="shared" si="6"/>
        <v/>
      </c>
      <c r="L907" s="60" t="str">
        <f t="shared" si="7"/>
        <v/>
      </c>
      <c r="M907" s="61" t="str">
        <f>IFERROR(__xludf.DUMMYFUNCTION("IFS(AND(COUNTA(C907:C1644)=0,COUNTA(Q907:Q1644)=0),"""",OR(AND(K907&gt;=1000000000,OR(Y907&gt;=1000000000,COUNTA(Q907:Q1644)=0)),OR(Y907&gt;=1000000000,AND(COUNTA(C907:C1644)=0,P$3=TRUE))),
ROUNDDOWN((AB$1-AC$1)*MAX(INDEX(T$4:T1644,MATCH(LARGE(FILTER(Y$4:Y1644,Y$4"&amp;":Y1644&lt;1000000000),1),Y$4:Y1644)),INDEX(F$4:F1644,MATCH(LARGE(FILTER(K$4:K1644,K$4:K1644&lt;1000000000),1),K$4:K1644)))),AND(K907&lt;1000000000,COUNTA(C907:C1644)&gt;0,P$3=FALSE),
ROUNDDOWN(INDEX(Y$4:Y1644,MATCH(LARGE(FILTER(W$4:W1644,W$4:W1644&lt;=I907),1),W$4:W1644"&amp;"))+(I907-LARGE(FILTER(W$4:W1644,W$4:W1644&lt;=I907),1))*INDEX(T$4:T1644,MATCH(LARGE(FILTER(W$4:W1644,W$4:W1644&lt;=I907),1),W$4:W1644))-K907),1,
ROUNDDOWN(Y907-INDEX(K$4:K1644,MATCH(LARGE(FILTER(I$4:I1644,I$4:I1644&lt;=W907),1),I$4:I1644))-(W907-LARGE(FILTER(I$4:I"&amp;"1644,I$4:I1644&lt;=W907),1))*INDEX(F$4:F1644,MATCH(LARGE(FILTER(I$4:I1644,I$4:I1644&lt;=W907),1),I$4:I1644))))"),"")</f>
        <v/>
      </c>
      <c r="N907" s="60" t="str">
        <f t="shared" si="8"/>
        <v/>
      </c>
      <c r="O907" s="61" t="str">
        <f t="shared" si="9"/>
        <v/>
      </c>
      <c r="P907" s="56" t="str">
        <f t="shared" si="10"/>
        <v/>
      </c>
      <c r="Q907" s="105"/>
      <c r="R907" s="10"/>
      <c r="S907" s="59" t="str">
        <f t="array" ref="S907">IF(COUNTA(Q907:Q1644)=0,"",SUM((COUNTIF(Q$4:Q907,Upgrades!$B$3:$B$13)-COUNTIF(Q$4:Q907,"Sell_"&amp;Upgrades!$B$3:$B$13))*Upgrades!$D$3:$D$13))</f>
        <v/>
      </c>
      <c r="T907" s="66" t="str">
        <f>IFERROR(__xludf.DUMMYFUNCTION("IF(COUNTA(Q907:Q1644)=0,"""",IF(REGEXMATCH(INDEX(FILTER(Q$4:Q907,Q$4:Q907&lt;&gt;""""),ROWS(FILTER(Q$4:Q907,Q$4:Q907&lt;&gt;""""))),""^Sell_""),INDEX(FILTER(T$4:T906,Q$4:Q906&lt;&gt;""""),ROWS(FILTER(Q$4:Q906,Q$4:Q906&lt;&gt;""""))),$AD$5+S907))"),"")</f>
        <v/>
      </c>
      <c r="U907" s="10" t="str">
        <f>IFERROR(__xludf.DUMMYFUNCTION("IF(COUNTA(Q907:Q1644)=0,"""",IF(Q907="""",0,IF(REGEXMATCH(Q907,""^Sell_""),-ROUNDDOWN(ROUNDUP(INDEX(Upgrades!$C$3:$C$13,MATCH(SUBSTITUTE(Q907,""Sell_"",""""),Upgrades!$B$3:$B$13,0))*1.15^(COUNTIF(Q$4:Q906,SUBSTITUTE(Q907,""Sell_"",""""))-COUNTIF(Q$4:Q906,"&amp;"""Sell_""&amp;SUBSTITUTE(Q907,""Sell_"",""""))))/2),ROUNDUP(INDEX(Upgrades!$C$3:$C$13,MATCH(Q907,Upgrades!$B$3:$B$13,0))*1.15^(COUNTIF(Q$4:Q906,Q907)-COUNTIF(Q$4:Q906,""Sell_""&amp;Q907))))))"),"")</f>
        <v/>
      </c>
      <c r="V907" s="10" t="str">
        <f t="shared" si="11"/>
        <v/>
      </c>
      <c r="W907" s="68" t="str">
        <f t="shared" si="12"/>
        <v/>
      </c>
      <c r="X907" s="59" t="str">
        <f t="shared" si="13"/>
        <v/>
      </c>
      <c r="Y907" s="69" t="str">
        <f t="shared" si="14"/>
        <v/>
      </c>
      <c r="Z907" s="11"/>
      <c r="AG907" s="59"/>
    </row>
    <row r="908">
      <c r="A908" s="8"/>
      <c r="B908" s="56" t="str">
        <f t="shared" si="2"/>
        <v/>
      </c>
      <c r="C908" s="105"/>
      <c r="D908" s="10"/>
      <c r="E908" s="59" t="str">
        <f t="array" ref="E908">IF(COUNTA(C908:C1644)=0,"",SUM((COUNTIF(C$4:C908,Upgrades!$B$3:$B$13)-COUNTIF(C$4:C908,"Sell_"&amp;Upgrades!$B$3:$B$13))*Upgrades!$D$3:$D$13))</f>
        <v/>
      </c>
      <c r="F908" s="66" t="str">
        <f>IFERROR(__xludf.DUMMYFUNCTION("IF(COUNTA(C908:C1644)=0,"""",IF(REGEXMATCH(INDEX(FILTER(C$4:C908,C$4:C908&lt;&gt;""""),ROWS(FILTER(C$4:C908,C$4:C908&lt;&gt;""""))),""^Sell_""),INDEX(FILTER(F$4:F907,C$4:C907&lt;&gt;""""),ROWS(FILTER(C$4:C907,C$4:C907&lt;&gt;""""))),$AC$5+E908))"),"")</f>
        <v/>
      </c>
      <c r="G908" s="10" t="str">
        <f>IFERROR(__xludf.DUMMYFUNCTION("IF(COUNTA(C908:C1644)=0,"""",IF(C908="""",0,IF(REGEXMATCH(C908,""^Sell_""),-ROUNDDOWN(ROUNDUP(INDEX(Upgrades!$C$3:$C$13,MATCH(SUBSTITUTE(C908,""Sell_"",""""),Upgrades!$B$3:$B$13,0))*1.15^(COUNTIF(C$4:C907,SUBSTITUTE(C908,""Sell_"",""""))-COUNTIF(C$4:C907,"&amp;"""Sell_""&amp;SUBSTITUTE(C908,""Sell_"",""""))))/2),ROUNDUP(INDEX(Upgrades!$C$3:$C$13,MATCH(C908,Upgrades!$B$3:$B$13,0))*1.15^(COUNTIF(C$4:C907,C908)-COUNTIF(C$4:C907,""Sell_""&amp;C908))))))"),"")</f>
        <v/>
      </c>
      <c r="H908" s="10" t="str">
        <f t="shared" si="3"/>
        <v/>
      </c>
      <c r="I908" s="68" t="str">
        <f t="shared" si="4"/>
        <v/>
      </c>
      <c r="J908" s="59" t="str">
        <f t="shared" si="5"/>
        <v/>
      </c>
      <c r="K908" s="69" t="str">
        <f t="shared" si="6"/>
        <v/>
      </c>
      <c r="L908" s="60" t="str">
        <f t="shared" si="7"/>
        <v/>
      </c>
      <c r="M908" s="61" t="str">
        <f>IFERROR(__xludf.DUMMYFUNCTION("IFS(AND(COUNTA(C908:C1644)=0,COUNTA(Q908:Q1644)=0),"""",OR(AND(K908&gt;=1000000000,OR(Y908&gt;=1000000000,COUNTA(Q908:Q1644)=0)),OR(Y908&gt;=1000000000,AND(COUNTA(C908:C1644)=0,P$3=TRUE))),
ROUNDDOWN((AB$1-AC$1)*MAX(INDEX(T$4:T1644,MATCH(LARGE(FILTER(Y$4:Y1644,Y$4"&amp;":Y1644&lt;1000000000),1),Y$4:Y1644)),INDEX(F$4:F1644,MATCH(LARGE(FILTER(K$4:K1644,K$4:K1644&lt;1000000000),1),K$4:K1644)))),AND(K908&lt;1000000000,COUNTA(C908:C1644)&gt;0,P$3=FALSE),
ROUNDDOWN(INDEX(Y$4:Y1644,MATCH(LARGE(FILTER(W$4:W1644,W$4:W1644&lt;=I908),1),W$4:W1644"&amp;"))+(I908-LARGE(FILTER(W$4:W1644,W$4:W1644&lt;=I908),1))*INDEX(T$4:T1644,MATCH(LARGE(FILTER(W$4:W1644,W$4:W1644&lt;=I908),1),W$4:W1644))-K908),1,
ROUNDDOWN(Y908-INDEX(K$4:K1644,MATCH(LARGE(FILTER(I$4:I1644,I$4:I1644&lt;=W908),1),I$4:I1644))-(W908-LARGE(FILTER(I$4:I"&amp;"1644,I$4:I1644&lt;=W908),1))*INDEX(F$4:F1644,MATCH(LARGE(FILTER(I$4:I1644,I$4:I1644&lt;=W908),1),I$4:I1644))))"),"")</f>
        <v/>
      </c>
      <c r="N908" s="60" t="str">
        <f t="shared" si="8"/>
        <v/>
      </c>
      <c r="O908" s="61" t="str">
        <f t="shared" si="9"/>
        <v/>
      </c>
      <c r="P908" s="56" t="str">
        <f t="shared" si="10"/>
        <v/>
      </c>
      <c r="Q908" s="105"/>
      <c r="R908" s="10"/>
      <c r="S908" s="59" t="str">
        <f t="array" ref="S908">IF(COUNTA(Q908:Q1644)=0,"",SUM((COUNTIF(Q$4:Q908,Upgrades!$B$3:$B$13)-COUNTIF(Q$4:Q908,"Sell_"&amp;Upgrades!$B$3:$B$13))*Upgrades!$D$3:$D$13))</f>
        <v/>
      </c>
      <c r="T908" s="66" t="str">
        <f>IFERROR(__xludf.DUMMYFUNCTION("IF(COUNTA(Q908:Q1644)=0,"""",IF(REGEXMATCH(INDEX(FILTER(Q$4:Q908,Q$4:Q908&lt;&gt;""""),ROWS(FILTER(Q$4:Q908,Q$4:Q908&lt;&gt;""""))),""^Sell_""),INDEX(FILTER(T$4:T907,Q$4:Q907&lt;&gt;""""),ROWS(FILTER(Q$4:Q907,Q$4:Q907&lt;&gt;""""))),$AD$5+S908))"),"")</f>
        <v/>
      </c>
      <c r="U908" s="10" t="str">
        <f>IFERROR(__xludf.DUMMYFUNCTION("IF(COUNTA(Q908:Q1644)=0,"""",IF(Q908="""",0,IF(REGEXMATCH(Q908,""^Sell_""),-ROUNDDOWN(ROUNDUP(INDEX(Upgrades!$C$3:$C$13,MATCH(SUBSTITUTE(Q908,""Sell_"",""""),Upgrades!$B$3:$B$13,0))*1.15^(COUNTIF(Q$4:Q907,SUBSTITUTE(Q908,""Sell_"",""""))-COUNTIF(Q$4:Q907,"&amp;"""Sell_""&amp;SUBSTITUTE(Q908,""Sell_"",""""))))/2),ROUNDUP(INDEX(Upgrades!$C$3:$C$13,MATCH(Q908,Upgrades!$B$3:$B$13,0))*1.15^(COUNTIF(Q$4:Q907,Q908)-COUNTIF(Q$4:Q907,""Sell_""&amp;Q908))))))"),"")</f>
        <v/>
      </c>
      <c r="V908" s="10" t="str">
        <f t="shared" si="11"/>
        <v/>
      </c>
      <c r="W908" s="68" t="str">
        <f t="shared" si="12"/>
        <v/>
      </c>
      <c r="X908" s="59" t="str">
        <f t="shared" si="13"/>
        <v/>
      </c>
      <c r="Y908" s="69" t="str">
        <f t="shared" si="14"/>
        <v/>
      </c>
      <c r="Z908" s="11"/>
      <c r="AG908" s="59"/>
    </row>
    <row r="909">
      <c r="A909" s="8"/>
      <c r="B909" s="56" t="str">
        <f t="shared" si="2"/>
        <v/>
      </c>
      <c r="C909" s="105"/>
      <c r="D909" s="10"/>
      <c r="E909" s="59" t="str">
        <f t="array" ref="E909">IF(COUNTA(C909:C1644)=0,"",SUM((COUNTIF(C$4:C909,Upgrades!$B$3:$B$13)-COUNTIF(C$4:C909,"Sell_"&amp;Upgrades!$B$3:$B$13))*Upgrades!$D$3:$D$13))</f>
        <v/>
      </c>
      <c r="F909" s="66" t="str">
        <f>IFERROR(__xludf.DUMMYFUNCTION("IF(COUNTA(C909:C1644)=0,"""",IF(REGEXMATCH(INDEX(FILTER(C$4:C909,C$4:C909&lt;&gt;""""),ROWS(FILTER(C$4:C909,C$4:C909&lt;&gt;""""))),""^Sell_""),INDEX(FILTER(F$4:F908,C$4:C908&lt;&gt;""""),ROWS(FILTER(C$4:C908,C$4:C908&lt;&gt;""""))),$AC$5+E909))"),"")</f>
        <v/>
      </c>
      <c r="G909" s="10" t="str">
        <f>IFERROR(__xludf.DUMMYFUNCTION("IF(COUNTA(C909:C1644)=0,"""",IF(C909="""",0,IF(REGEXMATCH(C909,""^Sell_""),-ROUNDDOWN(ROUNDUP(INDEX(Upgrades!$C$3:$C$13,MATCH(SUBSTITUTE(C909,""Sell_"",""""),Upgrades!$B$3:$B$13,0))*1.15^(COUNTIF(C$4:C908,SUBSTITUTE(C909,""Sell_"",""""))-COUNTIF(C$4:C908,"&amp;"""Sell_""&amp;SUBSTITUTE(C909,""Sell_"",""""))))/2),ROUNDUP(INDEX(Upgrades!$C$3:$C$13,MATCH(C909,Upgrades!$B$3:$B$13,0))*1.15^(COUNTIF(C$4:C908,C909)-COUNTIF(C$4:C908,""Sell_""&amp;C909))))))"),"")</f>
        <v/>
      </c>
      <c r="H909" s="10" t="str">
        <f t="shared" si="3"/>
        <v/>
      </c>
      <c r="I909" s="68" t="str">
        <f t="shared" si="4"/>
        <v/>
      </c>
      <c r="J909" s="59" t="str">
        <f t="shared" si="5"/>
        <v/>
      </c>
      <c r="K909" s="69" t="str">
        <f t="shared" si="6"/>
        <v/>
      </c>
      <c r="L909" s="60" t="str">
        <f t="shared" si="7"/>
        <v/>
      </c>
      <c r="M909" s="61" t="str">
        <f>IFERROR(__xludf.DUMMYFUNCTION("IFS(AND(COUNTA(C909:C1644)=0,COUNTA(Q909:Q1644)=0),"""",OR(AND(K909&gt;=1000000000,OR(Y909&gt;=1000000000,COUNTA(Q909:Q1644)=0)),OR(Y909&gt;=1000000000,AND(COUNTA(C909:C1644)=0,P$3=TRUE))),
ROUNDDOWN((AB$1-AC$1)*MAX(INDEX(T$4:T1644,MATCH(LARGE(FILTER(Y$4:Y1644,Y$4"&amp;":Y1644&lt;1000000000),1),Y$4:Y1644)),INDEX(F$4:F1644,MATCH(LARGE(FILTER(K$4:K1644,K$4:K1644&lt;1000000000),1),K$4:K1644)))),AND(K909&lt;1000000000,COUNTA(C909:C1644)&gt;0,P$3=FALSE),
ROUNDDOWN(INDEX(Y$4:Y1644,MATCH(LARGE(FILTER(W$4:W1644,W$4:W1644&lt;=I909),1),W$4:W1644"&amp;"))+(I909-LARGE(FILTER(W$4:W1644,W$4:W1644&lt;=I909),1))*INDEX(T$4:T1644,MATCH(LARGE(FILTER(W$4:W1644,W$4:W1644&lt;=I909),1),W$4:W1644))-K909),1,
ROUNDDOWN(Y909-INDEX(K$4:K1644,MATCH(LARGE(FILTER(I$4:I1644,I$4:I1644&lt;=W909),1),I$4:I1644))-(W909-LARGE(FILTER(I$4:I"&amp;"1644,I$4:I1644&lt;=W909),1))*INDEX(F$4:F1644,MATCH(LARGE(FILTER(I$4:I1644,I$4:I1644&lt;=W909),1),I$4:I1644))))"),"")</f>
        <v/>
      </c>
      <c r="N909" s="60" t="str">
        <f t="shared" si="8"/>
        <v/>
      </c>
      <c r="O909" s="61" t="str">
        <f t="shared" si="9"/>
        <v/>
      </c>
      <c r="P909" s="56" t="str">
        <f t="shared" si="10"/>
        <v/>
      </c>
      <c r="Q909" s="105"/>
      <c r="R909" s="10"/>
      <c r="S909" s="59" t="str">
        <f t="array" ref="S909">IF(COUNTA(Q909:Q1644)=0,"",SUM((COUNTIF(Q$4:Q909,Upgrades!$B$3:$B$13)-COUNTIF(Q$4:Q909,"Sell_"&amp;Upgrades!$B$3:$B$13))*Upgrades!$D$3:$D$13))</f>
        <v/>
      </c>
      <c r="T909" s="66" t="str">
        <f>IFERROR(__xludf.DUMMYFUNCTION("IF(COUNTA(Q909:Q1644)=0,"""",IF(REGEXMATCH(INDEX(FILTER(Q$4:Q909,Q$4:Q909&lt;&gt;""""),ROWS(FILTER(Q$4:Q909,Q$4:Q909&lt;&gt;""""))),""^Sell_""),INDEX(FILTER(T$4:T908,Q$4:Q908&lt;&gt;""""),ROWS(FILTER(Q$4:Q908,Q$4:Q908&lt;&gt;""""))),$AD$5+S909))"),"")</f>
        <v/>
      </c>
      <c r="U909" s="10" t="str">
        <f>IFERROR(__xludf.DUMMYFUNCTION("IF(COUNTA(Q909:Q1644)=0,"""",IF(Q909="""",0,IF(REGEXMATCH(Q909,""^Sell_""),-ROUNDDOWN(ROUNDUP(INDEX(Upgrades!$C$3:$C$13,MATCH(SUBSTITUTE(Q909,""Sell_"",""""),Upgrades!$B$3:$B$13,0))*1.15^(COUNTIF(Q$4:Q908,SUBSTITUTE(Q909,""Sell_"",""""))-COUNTIF(Q$4:Q908,"&amp;"""Sell_""&amp;SUBSTITUTE(Q909,""Sell_"",""""))))/2),ROUNDUP(INDEX(Upgrades!$C$3:$C$13,MATCH(Q909,Upgrades!$B$3:$B$13,0))*1.15^(COUNTIF(Q$4:Q908,Q909)-COUNTIF(Q$4:Q908,""Sell_""&amp;Q909))))))"),"")</f>
        <v/>
      </c>
      <c r="V909" s="10" t="str">
        <f t="shared" si="11"/>
        <v/>
      </c>
      <c r="W909" s="68" t="str">
        <f t="shared" si="12"/>
        <v/>
      </c>
      <c r="X909" s="59" t="str">
        <f t="shared" si="13"/>
        <v/>
      </c>
      <c r="Y909" s="69" t="str">
        <f t="shared" si="14"/>
        <v/>
      </c>
      <c r="Z909" s="11"/>
      <c r="AG909" s="59"/>
    </row>
    <row r="910">
      <c r="A910" s="8"/>
      <c r="B910" s="56" t="str">
        <f t="shared" si="2"/>
        <v/>
      </c>
      <c r="C910" s="105"/>
      <c r="D910" s="10"/>
      <c r="E910" s="59" t="str">
        <f t="array" ref="E910">IF(COUNTA(C910:C1644)=0,"",SUM((COUNTIF(C$4:C910,Upgrades!$B$3:$B$13)-COUNTIF(C$4:C910,"Sell_"&amp;Upgrades!$B$3:$B$13))*Upgrades!$D$3:$D$13))</f>
        <v/>
      </c>
      <c r="F910" s="66" t="str">
        <f>IFERROR(__xludf.DUMMYFUNCTION("IF(COUNTA(C910:C1644)=0,"""",IF(REGEXMATCH(INDEX(FILTER(C$4:C910,C$4:C910&lt;&gt;""""),ROWS(FILTER(C$4:C910,C$4:C910&lt;&gt;""""))),""^Sell_""),INDEX(FILTER(F$4:F909,C$4:C909&lt;&gt;""""),ROWS(FILTER(C$4:C909,C$4:C909&lt;&gt;""""))),$AC$5+E910))"),"")</f>
        <v/>
      </c>
      <c r="G910" s="10" t="str">
        <f>IFERROR(__xludf.DUMMYFUNCTION("IF(COUNTA(C910:C1644)=0,"""",IF(C910="""",0,IF(REGEXMATCH(C910,""^Sell_""),-ROUNDDOWN(ROUNDUP(INDEX(Upgrades!$C$3:$C$13,MATCH(SUBSTITUTE(C910,""Sell_"",""""),Upgrades!$B$3:$B$13,0))*1.15^(COUNTIF(C$4:C909,SUBSTITUTE(C910,""Sell_"",""""))-COUNTIF(C$4:C909,"&amp;"""Sell_""&amp;SUBSTITUTE(C910,""Sell_"",""""))))/2),ROUNDUP(INDEX(Upgrades!$C$3:$C$13,MATCH(C910,Upgrades!$B$3:$B$13,0))*1.15^(COUNTIF(C$4:C909,C910)-COUNTIF(C$4:C909,""Sell_""&amp;C910))))))"),"")</f>
        <v/>
      </c>
      <c r="H910" s="10" t="str">
        <f t="shared" si="3"/>
        <v/>
      </c>
      <c r="I910" s="68" t="str">
        <f t="shared" si="4"/>
        <v/>
      </c>
      <c r="J910" s="59" t="str">
        <f t="shared" si="5"/>
        <v/>
      </c>
      <c r="K910" s="69" t="str">
        <f t="shared" si="6"/>
        <v/>
      </c>
      <c r="L910" s="60" t="str">
        <f t="shared" si="7"/>
        <v/>
      </c>
      <c r="M910" s="61" t="str">
        <f>IFERROR(__xludf.DUMMYFUNCTION("IFS(AND(COUNTA(C910:C1644)=0,COUNTA(Q910:Q1644)=0),"""",OR(AND(K910&gt;=1000000000,OR(Y910&gt;=1000000000,COUNTA(Q910:Q1644)=0)),OR(Y910&gt;=1000000000,AND(COUNTA(C910:C1644)=0,P$3=TRUE))),
ROUNDDOWN((AB$1-AC$1)*MAX(INDEX(T$4:T1644,MATCH(LARGE(FILTER(Y$4:Y1644,Y$4"&amp;":Y1644&lt;1000000000),1),Y$4:Y1644)),INDEX(F$4:F1644,MATCH(LARGE(FILTER(K$4:K1644,K$4:K1644&lt;1000000000),1),K$4:K1644)))),AND(K910&lt;1000000000,COUNTA(C910:C1644)&gt;0,P$3=FALSE),
ROUNDDOWN(INDEX(Y$4:Y1644,MATCH(LARGE(FILTER(W$4:W1644,W$4:W1644&lt;=I910),1),W$4:W1644"&amp;"))+(I910-LARGE(FILTER(W$4:W1644,W$4:W1644&lt;=I910),1))*INDEX(T$4:T1644,MATCH(LARGE(FILTER(W$4:W1644,W$4:W1644&lt;=I910),1),W$4:W1644))-K910),1,
ROUNDDOWN(Y910-INDEX(K$4:K1644,MATCH(LARGE(FILTER(I$4:I1644,I$4:I1644&lt;=W910),1),I$4:I1644))-(W910-LARGE(FILTER(I$4:I"&amp;"1644,I$4:I1644&lt;=W910),1))*INDEX(F$4:F1644,MATCH(LARGE(FILTER(I$4:I1644,I$4:I1644&lt;=W910),1),I$4:I1644))))"),"")</f>
        <v/>
      </c>
      <c r="N910" s="60" t="str">
        <f t="shared" si="8"/>
        <v/>
      </c>
      <c r="O910" s="61" t="str">
        <f t="shared" si="9"/>
        <v/>
      </c>
      <c r="P910" s="56" t="str">
        <f t="shared" si="10"/>
        <v/>
      </c>
      <c r="Q910" s="105"/>
      <c r="R910" s="10"/>
      <c r="S910" s="59" t="str">
        <f t="array" ref="S910">IF(COUNTA(Q910:Q1644)=0,"",SUM((COUNTIF(Q$4:Q910,Upgrades!$B$3:$B$13)-COUNTIF(Q$4:Q910,"Sell_"&amp;Upgrades!$B$3:$B$13))*Upgrades!$D$3:$D$13))</f>
        <v/>
      </c>
      <c r="T910" s="66" t="str">
        <f>IFERROR(__xludf.DUMMYFUNCTION("IF(COUNTA(Q910:Q1644)=0,"""",IF(REGEXMATCH(INDEX(FILTER(Q$4:Q910,Q$4:Q910&lt;&gt;""""),ROWS(FILTER(Q$4:Q910,Q$4:Q910&lt;&gt;""""))),""^Sell_""),INDEX(FILTER(T$4:T909,Q$4:Q909&lt;&gt;""""),ROWS(FILTER(Q$4:Q909,Q$4:Q909&lt;&gt;""""))),$AD$5+S910))"),"")</f>
        <v/>
      </c>
      <c r="U910" s="10" t="str">
        <f>IFERROR(__xludf.DUMMYFUNCTION("IF(COUNTA(Q910:Q1644)=0,"""",IF(Q910="""",0,IF(REGEXMATCH(Q910,""^Sell_""),-ROUNDDOWN(ROUNDUP(INDEX(Upgrades!$C$3:$C$13,MATCH(SUBSTITUTE(Q910,""Sell_"",""""),Upgrades!$B$3:$B$13,0))*1.15^(COUNTIF(Q$4:Q909,SUBSTITUTE(Q910,""Sell_"",""""))-COUNTIF(Q$4:Q909,"&amp;"""Sell_""&amp;SUBSTITUTE(Q910,""Sell_"",""""))))/2),ROUNDUP(INDEX(Upgrades!$C$3:$C$13,MATCH(Q910,Upgrades!$B$3:$B$13,0))*1.15^(COUNTIF(Q$4:Q909,Q910)-COUNTIF(Q$4:Q909,""Sell_""&amp;Q910))))))"),"")</f>
        <v/>
      </c>
      <c r="V910" s="10" t="str">
        <f t="shared" si="11"/>
        <v/>
      </c>
      <c r="W910" s="68" t="str">
        <f t="shared" si="12"/>
        <v/>
      </c>
      <c r="X910" s="59" t="str">
        <f t="shared" si="13"/>
        <v/>
      </c>
      <c r="Y910" s="69" t="str">
        <f t="shared" si="14"/>
        <v/>
      </c>
      <c r="Z910" s="11"/>
      <c r="AG910" s="59"/>
    </row>
    <row r="911">
      <c r="A911" s="8"/>
      <c r="B911" s="56" t="str">
        <f t="shared" si="2"/>
        <v/>
      </c>
      <c r="C911" s="105"/>
      <c r="D911" s="10"/>
      <c r="E911" s="59" t="str">
        <f t="array" ref="E911">IF(COUNTA(C911:C1644)=0,"",SUM((COUNTIF(C$4:C911,Upgrades!$B$3:$B$13)-COUNTIF(C$4:C911,"Sell_"&amp;Upgrades!$B$3:$B$13))*Upgrades!$D$3:$D$13))</f>
        <v/>
      </c>
      <c r="F911" s="66" t="str">
        <f>IFERROR(__xludf.DUMMYFUNCTION("IF(COUNTA(C911:C1644)=0,"""",IF(REGEXMATCH(INDEX(FILTER(C$4:C911,C$4:C911&lt;&gt;""""),ROWS(FILTER(C$4:C911,C$4:C911&lt;&gt;""""))),""^Sell_""),INDEX(FILTER(F$4:F910,C$4:C910&lt;&gt;""""),ROWS(FILTER(C$4:C910,C$4:C910&lt;&gt;""""))),$AC$5+E911))"),"")</f>
        <v/>
      </c>
      <c r="G911" s="10" t="str">
        <f>IFERROR(__xludf.DUMMYFUNCTION("IF(COUNTA(C911:C1644)=0,"""",IF(C911="""",0,IF(REGEXMATCH(C911,""^Sell_""),-ROUNDDOWN(ROUNDUP(INDEX(Upgrades!$C$3:$C$13,MATCH(SUBSTITUTE(C911,""Sell_"",""""),Upgrades!$B$3:$B$13,0))*1.15^(COUNTIF(C$4:C910,SUBSTITUTE(C911,""Sell_"",""""))-COUNTIF(C$4:C910,"&amp;"""Sell_""&amp;SUBSTITUTE(C911,""Sell_"",""""))))/2),ROUNDUP(INDEX(Upgrades!$C$3:$C$13,MATCH(C911,Upgrades!$B$3:$B$13,0))*1.15^(COUNTIF(C$4:C910,C911)-COUNTIF(C$4:C910,""Sell_""&amp;C911))))))"),"")</f>
        <v/>
      </c>
      <c r="H911" s="10" t="str">
        <f t="shared" si="3"/>
        <v/>
      </c>
      <c r="I911" s="68" t="str">
        <f t="shared" si="4"/>
        <v/>
      </c>
      <c r="J911" s="59" t="str">
        <f t="shared" si="5"/>
        <v/>
      </c>
      <c r="K911" s="69" t="str">
        <f t="shared" si="6"/>
        <v/>
      </c>
      <c r="L911" s="60" t="str">
        <f t="shared" si="7"/>
        <v/>
      </c>
      <c r="M911" s="61" t="str">
        <f>IFERROR(__xludf.DUMMYFUNCTION("IFS(AND(COUNTA(C911:C1644)=0,COUNTA(Q911:Q1644)=0),"""",OR(AND(K911&gt;=1000000000,OR(Y911&gt;=1000000000,COUNTA(Q911:Q1644)=0)),OR(Y911&gt;=1000000000,AND(COUNTA(C911:C1644)=0,P$3=TRUE))),
ROUNDDOWN((AB$1-AC$1)*MAX(INDEX(T$4:T1644,MATCH(LARGE(FILTER(Y$4:Y1644,Y$4"&amp;":Y1644&lt;1000000000),1),Y$4:Y1644)),INDEX(F$4:F1644,MATCH(LARGE(FILTER(K$4:K1644,K$4:K1644&lt;1000000000),1),K$4:K1644)))),AND(K911&lt;1000000000,COUNTA(C911:C1644)&gt;0,P$3=FALSE),
ROUNDDOWN(INDEX(Y$4:Y1644,MATCH(LARGE(FILTER(W$4:W1644,W$4:W1644&lt;=I911),1),W$4:W1644"&amp;"))+(I911-LARGE(FILTER(W$4:W1644,W$4:W1644&lt;=I911),1))*INDEX(T$4:T1644,MATCH(LARGE(FILTER(W$4:W1644,W$4:W1644&lt;=I911),1),W$4:W1644))-K911),1,
ROUNDDOWN(Y911-INDEX(K$4:K1644,MATCH(LARGE(FILTER(I$4:I1644,I$4:I1644&lt;=W911),1),I$4:I1644))-(W911-LARGE(FILTER(I$4:I"&amp;"1644,I$4:I1644&lt;=W911),1))*INDEX(F$4:F1644,MATCH(LARGE(FILTER(I$4:I1644,I$4:I1644&lt;=W911),1),I$4:I1644))))"),"")</f>
        <v/>
      </c>
      <c r="N911" s="60" t="str">
        <f t="shared" si="8"/>
        <v/>
      </c>
      <c r="O911" s="61" t="str">
        <f t="shared" si="9"/>
        <v/>
      </c>
      <c r="P911" s="56" t="str">
        <f t="shared" si="10"/>
        <v/>
      </c>
      <c r="Q911" s="105"/>
      <c r="R911" s="10"/>
      <c r="S911" s="59" t="str">
        <f t="array" ref="S911">IF(COUNTA(Q911:Q1644)=0,"",SUM((COUNTIF(Q$4:Q911,Upgrades!$B$3:$B$13)-COUNTIF(Q$4:Q911,"Sell_"&amp;Upgrades!$B$3:$B$13))*Upgrades!$D$3:$D$13))</f>
        <v/>
      </c>
      <c r="T911" s="66" t="str">
        <f>IFERROR(__xludf.DUMMYFUNCTION("IF(COUNTA(Q911:Q1644)=0,"""",IF(REGEXMATCH(INDEX(FILTER(Q$4:Q911,Q$4:Q911&lt;&gt;""""),ROWS(FILTER(Q$4:Q911,Q$4:Q911&lt;&gt;""""))),""^Sell_""),INDEX(FILTER(T$4:T910,Q$4:Q910&lt;&gt;""""),ROWS(FILTER(Q$4:Q910,Q$4:Q910&lt;&gt;""""))),$AD$5+S911))"),"")</f>
        <v/>
      </c>
      <c r="U911" s="10" t="str">
        <f>IFERROR(__xludf.DUMMYFUNCTION("IF(COUNTA(Q911:Q1644)=0,"""",IF(Q911="""",0,IF(REGEXMATCH(Q911,""^Sell_""),-ROUNDDOWN(ROUNDUP(INDEX(Upgrades!$C$3:$C$13,MATCH(SUBSTITUTE(Q911,""Sell_"",""""),Upgrades!$B$3:$B$13,0))*1.15^(COUNTIF(Q$4:Q910,SUBSTITUTE(Q911,""Sell_"",""""))-COUNTIF(Q$4:Q910,"&amp;"""Sell_""&amp;SUBSTITUTE(Q911,""Sell_"",""""))))/2),ROUNDUP(INDEX(Upgrades!$C$3:$C$13,MATCH(Q911,Upgrades!$B$3:$B$13,0))*1.15^(COUNTIF(Q$4:Q910,Q911)-COUNTIF(Q$4:Q910,""Sell_""&amp;Q911))))))"),"")</f>
        <v/>
      </c>
      <c r="V911" s="10" t="str">
        <f t="shared" si="11"/>
        <v/>
      </c>
      <c r="W911" s="68" t="str">
        <f t="shared" si="12"/>
        <v/>
      </c>
      <c r="X911" s="59" t="str">
        <f t="shared" si="13"/>
        <v/>
      </c>
      <c r="Y911" s="69" t="str">
        <f t="shared" si="14"/>
        <v/>
      </c>
      <c r="Z911" s="11"/>
      <c r="AG911" s="59"/>
    </row>
    <row r="912">
      <c r="A912" s="8"/>
      <c r="B912" s="56" t="str">
        <f t="shared" si="2"/>
        <v/>
      </c>
      <c r="C912" s="105"/>
      <c r="D912" s="10"/>
      <c r="E912" s="59" t="str">
        <f t="array" ref="E912">IF(COUNTA(C912:C1644)=0,"",SUM((COUNTIF(C$4:C912,Upgrades!$B$3:$B$13)-COUNTIF(C$4:C912,"Sell_"&amp;Upgrades!$B$3:$B$13))*Upgrades!$D$3:$D$13))</f>
        <v/>
      </c>
      <c r="F912" s="66" t="str">
        <f>IFERROR(__xludf.DUMMYFUNCTION("IF(COUNTA(C912:C1644)=0,"""",IF(REGEXMATCH(INDEX(FILTER(C$4:C912,C$4:C912&lt;&gt;""""),ROWS(FILTER(C$4:C912,C$4:C912&lt;&gt;""""))),""^Sell_""),INDEX(FILTER(F$4:F911,C$4:C911&lt;&gt;""""),ROWS(FILTER(C$4:C911,C$4:C911&lt;&gt;""""))),$AC$5+E912))"),"")</f>
        <v/>
      </c>
      <c r="G912" s="10" t="str">
        <f>IFERROR(__xludf.DUMMYFUNCTION("IF(COUNTA(C912:C1644)=0,"""",IF(C912="""",0,IF(REGEXMATCH(C912,""^Sell_""),-ROUNDDOWN(ROUNDUP(INDEX(Upgrades!$C$3:$C$13,MATCH(SUBSTITUTE(C912,""Sell_"",""""),Upgrades!$B$3:$B$13,0))*1.15^(COUNTIF(C$4:C911,SUBSTITUTE(C912,""Sell_"",""""))-COUNTIF(C$4:C911,"&amp;"""Sell_""&amp;SUBSTITUTE(C912,""Sell_"",""""))))/2),ROUNDUP(INDEX(Upgrades!$C$3:$C$13,MATCH(C912,Upgrades!$B$3:$B$13,0))*1.15^(COUNTIF(C$4:C911,C912)-COUNTIF(C$4:C911,""Sell_""&amp;C912))))))"),"")</f>
        <v/>
      </c>
      <c r="H912" s="10" t="str">
        <f t="shared" si="3"/>
        <v/>
      </c>
      <c r="I912" s="68" t="str">
        <f t="shared" si="4"/>
        <v/>
      </c>
      <c r="J912" s="59" t="str">
        <f t="shared" si="5"/>
        <v/>
      </c>
      <c r="K912" s="69" t="str">
        <f t="shared" si="6"/>
        <v/>
      </c>
      <c r="L912" s="60" t="str">
        <f t="shared" si="7"/>
        <v/>
      </c>
      <c r="M912" s="61" t="str">
        <f>IFERROR(__xludf.DUMMYFUNCTION("IFS(AND(COUNTA(C912:C1644)=0,COUNTA(Q912:Q1644)=0),"""",OR(AND(K912&gt;=1000000000,OR(Y912&gt;=1000000000,COUNTA(Q912:Q1644)=0)),OR(Y912&gt;=1000000000,AND(COUNTA(C912:C1644)=0,P$3=TRUE))),
ROUNDDOWN((AB$1-AC$1)*MAX(INDEX(T$4:T1644,MATCH(LARGE(FILTER(Y$4:Y1644,Y$4"&amp;":Y1644&lt;1000000000),1),Y$4:Y1644)),INDEX(F$4:F1644,MATCH(LARGE(FILTER(K$4:K1644,K$4:K1644&lt;1000000000),1),K$4:K1644)))),AND(K912&lt;1000000000,COUNTA(C912:C1644)&gt;0,P$3=FALSE),
ROUNDDOWN(INDEX(Y$4:Y1644,MATCH(LARGE(FILTER(W$4:W1644,W$4:W1644&lt;=I912),1),W$4:W1644"&amp;"))+(I912-LARGE(FILTER(W$4:W1644,W$4:W1644&lt;=I912),1))*INDEX(T$4:T1644,MATCH(LARGE(FILTER(W$4:W1644,W$4:W1644&lt;=I912),1),W$4:W1644))-K912),1,
ROUNDDOWN(Y912-INDEX(K$4:K1644,MATCH(LARGE(FILTER(I$4:I1644,I$4:I1644&lt;=W912),1),I$4:I1644))-(W912-LARGE(FILTER(I$4:I"&amp;"1644,I$4:I1644&lt;=W912),1))*INDEX(F$4:F1644,MATCH(LARGE(FILTER(I$4:I1644,I$4:I1644&lt;=W912),1),I$4:I1644))))"),"")</f>
        <v/>
      </c>
      <c r="N912" s="60" t="str">
        <f t="shared" si="8"/>
        <v/>
      </c>
      <c r="O912" s="61" t="str">
        <f t="shared" si="9"/>
        <v/>
      </c>
      <c r="P912" s="56" t="str">
        <f t="shared" si="10"/>
        <v/>
      </c>
      <c r="Q912" s="105"/>
      <c r="R912" s="10"/>
      <c r="S912" s="59" t="str">
        <f t="array" ref="S912">IF(COUNTA(Q912:Q1644)=0,"",SUM((COUNTIF(Q$4:Q912,Upgrades!$B$3:$B$13)-COUNTIF(Q$4:Q912,"Sell_"&amp;Upgrades!$B$3:$B$13))*Upgrades!$D$3:$D$13))</f>
        <v/>
      </c>
      <c r="T912" s="66" t="str">
        <f>IFERROR(__xludf.DUMMYFUNCTION("IF(COUNTA(Q912:Q1644)=0,"""",IF(REGEXMATCH(INDEX(FILTER(Q$4:Q912,Q$4:Q912&lt;&gt;""""),ROWS(FILTER(Q$4:Q912,Q$4:Q912&lt;&gt;""""))),""^Sell_""),INDEX(FILTER(T$4:T911,Q$4:Q911&lt;&gt;""""),ROWS(FILTER(Q$4:Q911,Q$4:Q911&lt;&gt;""""))),$AD$5+S912))"),"")</f>
        <v/>
      </c>
      <c r="U912" s="10" t="str">
        <f>IFERROR(__xludf.DUMMYFUNCTION("IF(COUNTA(Q912:Q1644)=0,"""",IF(Q912="""",0,IF(REGEXMATCH(Q912,""^Sell_""),-ROUNDDOWN(ROUNDUP(INDEX(Upgrades!$C$3:$C$13,MATCH(SUBSTITUTE(Q912,""Sell_"",""""),Upgrades!$B$3:$B$13,0))*1.15^(COUNTIF(Q$4:Q911,SUBSTITUTE(Q912,""Sell_"",""""))-COUNTIF(Q$4:Q911,"&amp;"""Sell_""&amp;SUBSTITUTE(Q912,""Sell_"",""""))))/2),ROUNDUP(INDEX(Upgrades!$C$3:$C$13,MATCH(Q912,Upgrades!$B$3:$B$13,0))*1.15^(COUNTIF(Q$4:Q911,Q912)-COUNTIF(Q$4:Q911,""Sell_""&amp;Q912))))))"),"")</f>
        <v/>
      </c>
      <c r="V912" s="10" t="str">
        <f t="shared" si="11"/>
        <v/>
      </c>
      <c r="W912" s="68" t="str">
        <f t="shared" si="12"/>
        <v/>
      </c>
      <c r="X912" s="59" t="str">
        <f t="shared" si="13"/>
        <v/>
      </c>
      <c r="Y912" s="69" t="str">
        <f t="shared" si="14"/>
        <v/>
      </c>
      <c r="Z912" s="11"/>
      <c r="AG912" s="59"/>
    </row>
    <row r="913">
      <c r="A913" s="8"/>
      <c r="B913" s="56" t="str">
        <f t="shared" si="2"/>
        <v/>
      </c>
      <c r="C913" s="105"/>
      <c r="D913" s="10"/>
      <c r="E913" s="59" t="str">
        <f t="array" ref="E913">IF(COUNTA(C913:C1644)=0,"",SUM((COUNTIF(C$4:C913,Upgrades!$B$3:$B$13)-COUNTIF(C$4:C913,"Sell_"&amp;Upgrades!$B$3:$B$13))*Upgrades!$D$3:$D$13))</f>
        <v/>
      </c>
      <c r="F913" s="66" t="str">
        <f>IFERROR(__xludf.DUMMYFUNCTION("IF(COUNTA(C913:C1644)=0,"""",IF(REGEXMATCH(INDEX(FILTER(C$4:C913,C$4:C913&lt;&gt;""""),ROWS(FILTER(C$4:C913,C$4:C913&lt;&gt;""""))),""^Sell_""),INDEX(FILTER(F$4:F912,C$4:C912&lt;&gt;""""),ROWS(FILTER(C$4:C912,C$4:C912&lt;&gt;""""))),$AC$5+E913))"),"")</f>
        <v/>
      </c>
      <c r="G913" s="10" t="str">
        <f>IFERROR(__xludf.DUMMYFUNCTION("IF(COUNTA(C913:C1644)=0,"""",IF(C913="""",0,IF(REGEXMATCH(C913,""^Sell_""),-ROUNDDOWN(ROUNDUP(INDEX(Upgrades!$C$3:$C$13,MATCH(SUBSTITUTE(C913,""Sell_"",""""),Upgrades!$B$3:$B$13,0))*1.15^(COUNTIF(C$4:C912,SUBSTITUTE(C913,""Sell_"",""""))-COUNTIF(C$4:C912,"&amp;"""Sell_""&amp;SUBSTITUTE(C913,""Sell_"",""""))))/2),ROUNDUP(INDEX(Upgrades!$C$3:$C$13,MATCH(C913,Upgrades!$B$3:$B$13,0))*1.15^(COUNTIF(C$4:C912,C913)-COUNTIF(C$4:C912,""Sell_""&amp;C913))))))"),"")</f>
        <v/>
      </c>
      <c r="H913" s="10" t="str">
        <f t="shared" si="3"/>
        <v/>
      </c>
      <c r="I913" s="68" t="str">
        <f t="shared" si="4"/>
        <v/>
      </c>
      <c r="J913" s="59" t="str">
        <f t="shared" si="5"/>
        <v/>
      </c>
      <c r="K913" s="69" t="str">
        <f t="shared" si="6"/>
        <v/>
      </c>
      <c r="L913" s="60" t="str">
        <f t="shared" si="7"/>
        <v/>
      </c>
      <c r="M913" s="61" t="str">
        <f>IFERROR(__xludf.DUMMYFUNCTION("IFS(AND(COUNTA(C913:C1644)=0,COUNTA(Q913:Q1644)=0),"""",OR(AND(K913&gt;=1000000000,OR(Y913&gt;=1000000000,COUNTA(Q913:Q1644)=0)),OR(Y913&gt;=1000000000,AND(COUNTA(C913:C1644)=0,P$3=TRUE))),
ROUNDDOWN((AB$1-AC$1)*MAX(INDEX(T$4:T1644,MATCH(LARGE(FILTER(Y$4:Y1644,Y$4"&amp;":Y1644&lt;1000000000),1),Y$4:Y1644)),INDEX(F$4:F1644,MATCH(LARGE(FILTER(K$4:K1644,K$4:K1644&lt;1000000000),1),K$4:K1644)))),AND(K913&lt;1000000000,COUNTA(C913:C1644)&gt;0,P$3=FALSE),
ROUNDDOWN(INDEX(Y$4:Y1644,MATCH(LARGE(FILTER(W$4:W1644,W$4:W1644&lt;=I913),1),W$4:W1644"&amp;"))+(I913-LARGE(FILTER(W$4:W1644,W$4:W1644&lt;=I913),1))*INDEX(T$4:T1644,MATCH(LARGE(FILTER(W$4:W1644,W$4:W1644&lt;=I913),1),W$4:W1644))-K913),1,
ROUNDDOWN(Y913-INDEX(K$4:K1644,MATCH(LARGE(FILTER(I$4:I1644,I$4:I1644&lt;=W913),1),I$4:I1644))-(W913-LARGE(FILTER(I$4:I"&amp;"1644,I$4:I1644&lt;=W913),1))*INDEX(F$4:F1644,MATCH(LARGE(FILTER(I$4:I1644,I$4:I1644&lt;=W913),1),I$4:I1644))))"),"")</f>
        <v/>
      </c>
      <c r="N913" s="60" t="str">
        <f t="shared" si="8"/>
        <v/>
      </c>
      <c r="O913" s="61" t="str">
        <f t="shared" si="9"/>
        <v/>
      </c>
      <c r="P913" s="56" t="str">
        <f t="shared" si="10"/>
        <v/>
      </c>
      <c r="Q913" s="105"/>
      <c r="R913" s="10"/>
      <c r="S913" s="59" t="str">
        <f t="array" ref="S913">IF(COUNTA(Q913:Q1644)=0,"",SUM((COUNTIF(Q$4:Q913,Upgrades!$B$3:$B$13)-COUNTIF(Q$4:Q913,"Sell_"&amp;Upgrades!$B$3:$B$13))*Upgrades!$D$3:$D$13))</f>
        <v/>
      </c>
      <c r="T913" s="66" t="str">
        <f>IFERROR(__xludf.DUMMYFUNCTION("IF(COUNTA(Q913:Q1644)=0,"""",IF(REGEXMATCH(INDEX(FILTER(Q$4:Q913,Q$4:Q913&lt;&gt;""""),ROWS(FILTER(Q$4:Q913,Q$4:Q913&lt;&gt;""""))),""^Sell_""),INDEX(FILTER(T$4:T912,Q$4:Q912&lt;&gt;""""),ROWS(FILTER(Q$4:Q912,Q$4:Q912&lt;&gt;""""))),$AD$5+S913))"),"")</f>
        <v/>
      </c>
      <c r="U913" s="10" t="str">
        <f>IFERROR(__xludf.DUMMYFUNCTION("IF(COUNTA(Q913:Q1644)=0,"""",IF(Q913="""",0,IF(REGEXMATCH(Q913,""^Sell_""),-ROUNDDOWN(ROUNDUP(INDEX(Upgrades!$C$3:$C$13,MATCH(SUBSTITUTE(Q913,""Sell_"",""""),Upgrades!$B$3:$B$13,0))*1.15^(COUNTIF(Q$4:Q912,SUBSTITUTE(Q913,""Sell_"",""""))-COUNTIF(Q$4:Q912,"&amp;"""Sell_""&amp;SUBSTITUTE(Q913,""Sell_"",""""))))/2),ROUNDUP(INDEX(Upgrades!$C$3:$C$13,MATCH(Q913,Upgrades!$B$3:$B$13,0))*1.15^(COUNTIF(Q$4:Q912,Q913)-COUNTIF(Q$4:Q912,""Sell_""&amp;Q913))))))"),"")</f>
        <v/>
      </c>
      <c r="V913" s="10" t="str">
        <f t="shared" si="11"/>
        <v/>
      </c>
      <c r="W913" s="68" t="str">
        <f t="shared" si="12"/>
        <v/>
      </c>
      <c r="X913" s="59" t="str">
        <f t="shared" si="13"/>
        <v/>
      </c>
      <c r="Y913" s="69" t="str">
        <f t="shared" si="14"/>
        <v/>
      </c>
      <c r="Z913" s="11"/>
      <c r="AG913" s="59"/>
    </row>
    <row r="914">
      <c r="A914" s="8"/>
      <c r="B914" s="56" t="str">
        <f t="shared" si="2"/>
        <v/>
      </c>
      <c r="C914" s="105"/>
      <c r="D914" s="10"/>
      <c r="E914" s="59" t="str">
        <f t="array" ref="E914">IF(COUNTA(C914:C1644)=0,"",SUM((COUNTIF(C$4:C914,Upgrades!$B$3:$B$13)-COUNTIF(C$4:C914,"Sell_"&amp;Upgrades!$B$3:$B$13))*Upgrades!$D$3:$D$13))</f>
        <v/>
      </c>
      <c r="F914" s="66" t="str">
        <f>IFERROR(__xludf.DUMMYFUNCTION("IF(COUNTA(C914:C1644)=0,"""",IF(REGEXMATCH(INDEX(FILTER(C$4:C914,C$4:C914&lt;&gt;""""),ROWS(FILTER(C$4:C914,C$4:C914&lt;&gt;""""))),""^Sell_""),INDEX(FILTER(F$4:F913,C$4:C913&lt;&gt;""""),ROWS(FILTER(C$4:C913,C$4:C913&lt;&gt;""""))),$AC$5+E914))"),"")</f>
        <v/>
      </c>
      <c r="G914" s="10" t="str">
        <f>IFERROR(__xludf.DUMMYFUNCTION("IF(COUNTA(C914:C1644)=0,"""",IF(C914="""",0,IF(REGEXMATCH(C914,""^Sell_""),-ROUNDDOWN(ROUNDUP(INDEX(Upgrades!$C$3:$C$13,MATCH(SUBSTITUTE(C914,""Sell_"",""""),Upgrades!$B$3:$B$13,0))*1.15^(COUNTIF(C$4:C913,SUBSTITUTE(C914,""Sell_"",""""))-COUNTIF(C$4:C913,"&amp;"""Sell_""&amp;SUBSTITUTE(C914,""Sell_"",""""))))/2),ROUNDUP(INDEX(Upgrades!$C$3:$C$13,MATCH(C914,Upgrades!$B$3:$B$13,0))*1.15^(COUNTIF(C$4:C913,C914)-COUNTIF(C$4:C913,""Sell_""&amp;C914))))))"),"")</f>
        <v/>
      </c>
      <c r="H914" s="10" t="str">
        <f t="shared" si="3"/>
        <v/>
      </c>
      <c r="I914" s="68" t="str">
        <f t="shared" si="4"/>
        <v/>
      </c>
      <c r="J914" s="59" t="str">
        <f t="shared" si="5"/>
        <v/>
      </c>
      <c r="K914" s="69" t="str">
        <f t="shared" si="6"/>
        <v/>
      </c>
      <c r="L914" s="60" t="str">
        <f t="shared" si="7"/>
        <v/>
      </c>
      <c r="M914" s="61" t="str">
        <f>IFERROR(__xludf.DUMMYFUNCTION("IFS(AND(COUNTA(C914:C1644)=0,COUNTA(Q914:Q1644)=0),"""",OR(AND(K914&gt;=1000000000,OR(Y914&gt;=1000000000,COUNTA(Q914:Q1644)=0)),OR(Y914&gt;=1000000000,AND(COUNTA(C914:C1644)=0,P$3=TRUE))),
ROUNDDOWN((AB$1-AC$1)*MAX(INDEX(T$4:T1644,MATCH(LARGE(FILTER(Y$4:Y1644,Y$4"&amp;":Y1644&lt;1000000000),1),Y$4:Y1644)),INDEX(F$4:F1644,MATCH(LARGE(FILTER(K$4:K1644,K$4:K1644&lt;1000000000),1),K$4:K1644)))),AND(K914&lt;1000000000,COUNTA(C914:C1644)&gt;0,P$3=FALSE),
ROUNDDOWN(INDEX(Y$4:Y1644,MATCH(LARGE(FILTER(W$4:W1644,W$4:W1644&lt;=I914),1),W$4:W1644"&amp;"))+(I914-LARGE(FILTER(W$4:W1644,W$4:W1644&lt;=I914),1))*INDEX(T$4:T1644,MATCH(LARGE(FILTER(W$4:W1644,W$4:W1644&lt;=I914),1),W$4:W1644))-K914),1,
ROUNDDOWN(Y914-INDEX(K$4:K1644,MATCH(LARGE(FILTER(I$4:I1644,I$4:I1644&lt;=W914),1),I$4:I1644))-(W914-LARGE(FILTER(I$4:I"&amp;"1644,I$4:I1644&lt;=W914),1))*INDEX(F$4:F1644,MATCH(LARGE(FILTER(I$4:I1644,I$4:I1644&lt;=W914),1),I$4:I1644))))"),"")</f>
        <v/>
      </c>
      <c r="N914" s="60" t="str">
        <f t="shared" si="8"/>
        <v/>
      </c>
      <c r="O914" s="61" t="str">
        <f t="shared" si="9"/>
        <v/>
      </c>
      <c r="P914" s="56" t="str">
        <f t="shared" si="10"/>
        <v/>
      </c>
      <c r="Q914" s="105"/>
      <c r="R914" s="10"/>
      <c r="S914" s="59" t="str">
        <f t="array" ref="S914">IF(COUNTA(Q914:Q1644)=0,"",SUM((COUNTIF(Q$4:Q914,Upgrades!$B$3:$B$13)-COUNTIF(Q$4:Q914,"Sell_"&amp;Upgrades!$B$3:$B$13))*Upgrades!$D$3:$D$13))</f>
        <v/>
      </c>
      <c r="T914" s="66" t="str">
        <f>IFERROR(__xludf.DUMMYFUNCTION("IF(COUNTA(Q914:Q1644)=0,"""",IF(REGEXMATCH(INDEX(FILTER(Q$4:Q914,Q$4:Q914&lt;&gt;""""),ROWS(FILTER(Q$4:Q914,Q$4:Q914&lt;&gt;""""))),""^Sell_""),INDEX(FILTER(T$4:T913,Q$4:Q913&lt;&gt;""""),ROWS(FILTER(Q$4:Q913,Q$4:Q913&lt;&gt;""""))),$AD$5+S914))"),"")</f>
        <v/>
      </c>
      <c r="U914" s="10" t="str">
        <f>IFERROR(__xludf.DUMMYFUNCTION("IF(COUNTA(Q914:Q1644)=0,"""",IF(Q914="""",0,IF(REGEXMATCH(Q914,""^Sell_""),-ROUNDDOWN(ROUNDUP(INDEX(Upgrades!$C$3:$C$13,MATCH(SUBSTITUTE(Q914,""Sell_"",""""),Upgrades!$B$3:$B$13,0))*1.15^(COUNTIF(Q$4:Q913,SUBSTITUTE(Q914,""Sell_"",""""))-COUNTIF(Q$4:Q913,"&amp;"""Sell_""&amp;SUBSTITUTE(Q914,""Sell_"",""""))))/2),ROUNDUP(INDEX(Upgrades!$C$3:$C$13,MATCH(Q914,Upgrades!$B$3:$B$13,0))*1.15^(COUNTIF(Q$4:Q913,Q914)-COUNTIF(Q$4:Q913,""Sell_""&amp;Q914))))))"),"")</f>
        <v/>
      </c>
      <c r="V914" s="10" t="str">
        <f t="shared" si="11"/>
        <v/>
      </c>
      <c r="W914" s="68" t="str">
        <f t="shared" si="12"/>
        <v/>
      </c>
      <c r="X914" s="59" t="str">
        <f t="shared" si="13"/>
        <v/>
      </c>
      <c r="Y914" s="69" t="str">
        <f t="shared" si="14"/>
        <v/>
      </c>
      <c r="Z914" s="11"/>
      <c r="AG914" s="59"/>
    </row>
    <row r="915">
      <c r="A915" s="8"/>
      <c r="B915" s="56" t="str">
        <f t="shared" si="2"/>
        <v/>
      </c>
      <c r="C915" s="105"/>
      <c r="D915" s="10"/>
      <c r="E915" s="59" t="str">
        <f t="array" ref="E915">IF(COUNTA(C915:C1644)=0,"",SUM((COUNTIF(C$4:C915,Upgrades!$B$3:$B$13)-COUNTIF(C$4:C915,"Sell_"&amp;Upgrades!$B$3:$B$13))*Upgrades!$D$3:$D$13))</f>
        <v/>
      </c>
      <c r="F915" s="66" t="str">
        <f>IFERROR(__xludf.DUMMYFUNCTION("IF(COUNTA(C915:C1644)=0,"""",IF(REGEXMATCH(INDEX(FILTER(C$4:C915,C$4:C915&lt;&gt;""""),ROWS(FILTER(C$4:C915,C$4:C915&lt;&gt;""""))),""^Sell_""),INDEX(FILTER(F$4:F914,C$4:C914&lt;&gt;""""),ROWS(FILTER(C$4:C914,C$4:C914&lt;&gt;""""))),$AC$5+E915))"),"")</f>
        <v/>
      </c>
      <c r="G915" s="10" t="str">
        <f>IFERROR(__xludf.DUMMYFUNCTION("IF(COUNTA(C915:C1644)=0,"""",IF(C915="""",0,IF(REGEXMATCH(C915,""^Sell_""),-ROUNDDOWN(ROUNDUP(INDEX(Upgrades!$C$3:$C$13,MATCH(SUBSTITUTE(C915,""Sell_"",""""),Upgrades!$B$3:$B$13,0))*1.15^(COUNTIF(C$4:C914,SUBSTITUTE(C915,""Sell_"",""""))-COUNTIF(C$4:C914,"&amp;"""Sell_""&amp;SUBSTITUTE(C915,""Sell_"",""""))))/2),ROUNDUP(INDEX(Upgrades!$C$3:$C$13,MATCH(C915,Upgrades!$B$3:$B$13,0))*1.15^(COUNTIF(C$4:C914,C915)-COUNTIF(C$4:C914,""Sell_""&amp;C915))))))"),"")</f>
        <v/>
      </c>
      <c r="H915" s="10" t="str">
        <f t="shared" si="3"/>
        <v/>
      </c>
      <c r="I915" s="68" t="str">
        <f t="shared" si="4"/>
        <v/>
      </c>
      <c r="J915" s="59" t="str">
        <f t="shared" si="5"/>
        <v/>
      </c>
      <c r="K915" s="69" t="str">
        <f t="shared" si="6"/>
        <v/>
      </c>
      <c r="L915" s="60" t="str">
        <f t="shared" si="7"/>
        <v/>
      </c>
      <c r="M915" s="61" t="str">
        <f>IFERROR(__xludf.DUMMYFUNCTION("IFS(AND(COUNTA(C915:C1644)=0,COUNTA(Q915:Q1644)=0),"""",OR(AND(K915&gt;=1000000000,OR(Y915&gt;=1000000000,COUNTA(Q915:Q1644)=0)),OR(Y915&gt;=1000000000,AND(COUNTA(C915:C1644)=0,P$3=TRUE))),
ROUNDDOWN((AB$1-AC$1)*MAX(INDEX(T$4:T1644,MATCH(LARGE(FILTER(Y$4:Y1644,Y$4"&amp;":Y1644&lt;1000000000),1),Y$4:Y1644)),INDEX(F$4:F1644,MATCH(LARGE(FILTER(K$4:K1644,K$4:K1644&lt;1000000000),1),K$4:K1644)))),AND(K915&lt;1000000000,COUNTA(C915:C1644)&gt;0,P$3=FALSE),
ROUNDDOWN(INDEX(Y$4:Y1644,MATCH(LARGE(FILTER(W$4:W1644,W$4:W1644&lt;=I915),1),W$4:W1644"&amp;"))+(I915-LARGE(FILTER(W$4:W1644,W$4:W1644&lt;=I915),1))*INDEX(T$4:T1644,MATCH(LARGE(FILTER(W$4:W1644,W$4:W1644&lt;=I915),1),W$4:W1644))-K915),1,
ROUNDDOWN(Y915-INDEX(K$4:K1644,MATCH(LARGE(FILTER(I$4:I1644,I$4:I1644&lt;=W915),1),I$4:I1644))-(W915-LARGE(FILTER(I$4:I"&amp;"1644,I$4:I1644&lt;=W915),1))*INDEX(F$4:F1644,MATCH(LARGE(FILTER(I$4:I1644,I$4:I1644&lt;=W915),1),I$4:I1644))))"),"")</f>
        <v/>
      </c>
      <c r="N915" s="60" t="str">
        <f t="shared" si="8"/>
        <v/>
      </c>
      <c r="O915" s="61" t="str">
        <f t="shared" si="9"/>
        <v/>
      </c>
      <c r="P915" s="56" t="str">
        <f t="shared" si="10"/>
        <v/>
      </c>
      <c r="Q915" s="105"/>
      <c r="R915" s="10"/>
      <c r="S915" s="59" t="str">
        <f t="array" ref="S915">IF(COUNTA(Q915:Q1644)=0,"",SUM((COUNTIF(Q$4:Q915,Upgrades!$B$3:$B$13)-COUNTIF(Q$4:Q915,"Sell_"&amp;Upgrades!$B$3:$B$13))*Upgrades!$D$3:$D$13))</f>
        <v/>
      </c>
      <c r="T915" s="66" t="str">
        <f>IFERROR(__xludf.DUMMYFUNCTION("IF(COUNTA(Q915:Q1644)=0,"""",IF(REGEXMATCH(INDEX(FILTER(Q$4:Q915,Q$4:Q915&lt;&gt;""""),ROWS(FILTER(Q$4:Q915,Q$4:Q915&lt;&gt;""""))),""^Sell_""),INDEX(FILTER(T$4:T914,Q$4:Q914&lt;&gt;""""),ROWS(FILTER(Q$4:Q914,Q$4:Q914&lt;&gt;""""))),$AD$5+S915))"),"")</f>
        <v/>
      </c>
      <c r="U915" s="10" t="str">
        <f>IFERROR(__xludf.DUMMYFUNCTION("IF(COUNTA(Q915:Q1644)=0,"""",IF(Q915="""",0,IF(REGEXMATCH(Q915,""^Sell_""),-ROUNDDOWN(ROUNDUP(INDEX(Upgrades!$C$3:$C$13,MATCH(SUBSTITUTE(Q915,""Sell_"",""""),Upgrades!$B$3:$B$13,0))*1.15^(COUNTIF(Q$4:Q914,SUBSTITUTE(Q915,""Sell_"",""""))-COUNTIF(Q$4:Q914,"&amp;"""Sell_""&amp;SUBSTITUTE(Q915,""Sell_"",""""))))/2),ROUNDUP(INDEX(Upgrades!$C$3:$C$13,MATCH(Q915,Upgrades!$B$3:$B$13,0))*1.15^(COUNTIF(Q$4:Q914,Q915)-COUNTIF(Q$4:Q914,""Sell_""&amp;Q915))))))"),"")</f>
        <v/>
      </c>
      <c r="V915" s="10" t="str">
        <f t="shared" si="11"/>
        <v/>
      </c>
      <c r="W915" s="68" t="str">
        <f t="shared" si="12"/>
        <v/>
      </c>
      <c r="X915" s="59" t="str">
        <f t="shared" si="13"/>
        <v/>
      </c>
      <c r="Y915" s="69" t="str">
        <f t="shared" si="14"/>
        <v/>
      </c>
      <c r="Z915" s="11"/>
      <c r="AG915" s="59"/>
    </row>
    <row r="916">
      <c r="A916" s="8"/>
      <c r="B916" s="56" t="str">
        <f t="shared" si="2"/>
        <v/>
      </c>
      <c r="C916" s="105"/>
      <c r="D916" s="10"/>
      <c r="E916" s="59" t="str">
        <f t="array" ref="E916">IF(COUNTA(C916:C1644)=0,"",SUM((COUNTIF(C$4:C916,Upgrades!$B$3:$B$13)-COUNTIF(C$4:C916,"Sell_"&amp;Upgrades!$B$3:$B$13))*Upgrades!$D$3:$D$13))</f>
        <v/>
      </c>
      <c r="F916" s="66" t="str">
        <f>IFERROR(__xludf.DUMMYFUNCTION("IF(COUNTA(C916:C1644)=0,"""",IF(REGEXMATCH(INDEX(FILTER(C$4:C916,C$4:C916&lt;&gt;""""),ROWS(FILTER(C$4:C916,C$4:C916&lt;&gt;""""))),""^Sell_""),INDEX(FILTER(F$4:F915,C$4:C915&lt;&gt;""""),ROWS(FILTER(C$4:C915,C$4:C915&lt;&gt;""""))),$AC$5+E916))"),"")</f>
        <v/>
      </c>
      <c r="G916" s="10" t="str">
        <f>IFERROR(__xludf.DUMMYFUNCTION("IF(COUNTA(C916:C1644)=0,"""",IF(C916="""",0,IF(REGEXMATCH(C916,""^Sell_""),-ROUNDDOWN(ROUNDUP(INDEX(Upgrades!$C$3:$C$13,MATCH(SUBSTITUTE(C916,""Sell_"",""""),Upgrades!$B$3:$B$13,0))*1.15^(COUNTIF(C$4:C915,SUBSTITUTE(C916,""Sell_"",""""))-COUNTIF(C$4:C915,"&amp;"""Sell_""&amp;SUBSTITUTE(C916,""Sell_"",""""))))/2),ROUNDUP(INDEX(Upgrades!$C$3:$C$13,MATCH(C916,Upgrades!$B$3:$B$13,0))*1.15^(COUNTIF(C$4:C915,C916)-COUNTIF(C$4:C915,""Sell_""&amp;C916))))))"),"")</f>
        <v/>
      </c>
      <c r="H916" s="10" t="str">
        <f t="shared" si="3"/>
        <v/>
      </c>
      <c r="I916" s="68" t="str">
        <f t="shared" si="4"/>
        <v/>
      </c>
      <c r="J916" s="59" t="str">
        <f t="shared" si="5"/>
        <v/>
      </c>
      <c r="K916" s="69" t="str">
        <f t="shared" si="6"/>
        <v/>
      </c>
      <c r="L916" s="60" t="str">
        <f t="shared" si="7"/>
        <v/>
      </c>
      <c r="M916" s="61" t="str">
        <f>IFERROR(__xludf.DUMMYFUNCTION("IFS(AND(COUNTA(C916:C1644)=0,COUNTA(Q916:Q1644)=0),"""",OR(AND(K916&gt;=1000000000,OR(Y916&gt;=1000000000,COUNTA(Q916:Q1644)=0)),OR(Y916&gt;=1000000000,AND(COUNTA(C916:C1644)=0,P$3=TRUE))),
ROUNDDOWN((AB$1-AC$1)*MAX(INDEX(T$4:T1644,MATCH(LARGE(FILTER(Y$4:Y1644,Y$4"&amp;":Y1644&lt;1000000000),1),Y$4:Y1644)),INDEX(F$4:F1644,MATCH(LARGE(FILTER(K$4:K1644,K$4:K1644&lt;1000000000),1),K$4:K1644)))),AND(K916&lt;1000000000,COUNTA(C916:C1644)&gt;0,P$3=FALSE),
ROUNDDOWN(INDEX(Y$4:Y1644,MATCH(LARGE(FILTER(W$4:W1644,W$4:W1644&lt;=I916),1),W$4:W1644"&amp;"))+(I916-LARGE(FILTER(W$4:W1644,W$4:W1644&lt;=I916),1))*INDEX(T$4:T1644,MATCH(LARGE(FILTER(W$4:W1644,W$4:W1644&lt;=I916),1),W$4:W1644))-K916),1,
ROUNDDOWN(Y916-INDEX(K$4:K1644,MATCH(LARGE(FILTER(I$4:I1644,I$4:I1644&lt;=W916),1),I$4:I1644))-(W916-LARGE(FILTER(I$4:I"&amp;"1644,I$4:I1644&lt;=W916),1))*INDEX(F$4:F1644,MATCH(LARGE(FILTER(I$4:I1644,I$4:I1644&lt;=W916),1),I$4:I1644))))"),"")</f>
        <v/>
      </c>
      <c r="N916" s="60" t="str">
        <f t="shared" si="8"/>
        <v/>
      </c>
      <c r="O916" s="61" t="str">
        <f t="shared" si="9"/>
        <v/>
      </c>
      <c r="P916" s="56" t="str">
        <f t="shared" si="10"/>
        <v/>
      </c>
      <c r="Q916" s="105"/>
      <c r="R916" s="10"/>
      <c r="S916" s="59" t="str">
        <f t="array" ref="S916">IF(COUNTA(Q916:Q1644)=0,"",SUM((COUNTIF(Q$4:Q916,Upgrades!$B$3:$B$13)-COUNTIF(Q$4:Q916,"Sell_"&amp;Upgrades!$B$3:$B$13))*Upgrades!$D$3:$D$13))</f>
        <v/>
      </c>
      <c r="T916" s="66" t="str">
        <f>IFERROR(__xludf.DUMMYFUNCTION("IF(COUNTA(Q916:Q1644)=0,"""",IF(REGEXMATCH(INDEX(FILTER(Q$4:Q916,Q$4:Q916&lt;&gt;""""),ROWS(FILTER(Q$4:Q916,Q$4:Q916&lt;&gt;""""))),""^Sell_""),INDEX(FILTER(T$4:T915,Q$4:Q915&lt;&gt;""""),ROWS(FILTER(Q$4:Q915,Q$4:Q915&lt;&gt;""""))),$AD$5+S916))"),"")</f>
        <v/>
      </c>
      <c r="U916" s="10" t="str">
        <f>IFERROR(__xludf.DUMMYFUNCTION("IF(COUNTA(Q916:Q1644)=0,"""",IF(Q916="""",0,IF(REGEXMATCH(Q916,""^Sell_""),-ROUNDDOWN(ROUNDUP(INDEX(Upgrades!$C$3:$C$13,MATCH(SUBSTITUTE(Q916,""Sell_"",""""),Upgrades!$B$3:$B$13,0))*1.15^(COUNTIF(Q$4:Q915,SUBSTITUTE(Q916,""Sell_"",""""))-COUNTIF(Q$4:Q915,"&amp;"""Sell_""&amp;SUBSTITUTE(Q916,""Sell_"",""""))))/2),ROUNDUP(INDEX(Upgrades!$C$3:$C$13,MATCH(Q916,Upgrades!$B$3:$B$13,0))*1.15^(COUNTIF(Q$4:Q915,Q916)-COUNTIF(Q$4:Q915,""Sell_""&amp;Q916))))))"),"")</f>
        <v/>
      </c>
      <c r="V916" s="10" t="str">
        <f t="shared" si="11"/>
        <v/>
      </c>
      <c r="W916" s="68" t="str">
        <f t="shared" si="12"/>
        <v/>
      </c>
      <c r="X916" s="59" t="str">
        <f t="shared" si="13"/>
        <v/>
      </c>
      <c r="Y916" s="69" t="str">
        <f t="shared" si="14"/>
        <v/>
      </c>
      <c r="Z916" s="11"/>
      <c r="AG916" s="59"/>
    </row>
    <row r="917">
      <c r="A917" s="8"/>
      <c r="B917" s="56" t="str">
        <f t="shared" si="2"/>
        <v/>
      </c>
      <c r="C917" s="105"/>
      <c r="D917" s="10"/>
      <c r="E917" s="59" t="str">
        <f t="array" ref="E917">IF(COUNTA(C917:C1644)=0,"",SUM((COUNTIF(C$4:C917,Upgrades!$B$3:$B$13)-COUNTIF(C$4:C917,"Sell_"&amp;Upgrades!$B$3:$B$13))*Upgrades!$D$3:$D$13))</f>
        <v/>
      </c>
      <c r="F917" s="66" t="str">
        <f>IFERROR(__xludf.DUMMYFUNCTION("IF(COUNTA(C917:C1644)=0,"""",IF(REGEXMATCH(INDEX(FILTER(C$4:C917,C$4:C917&lt;&gt;""""),ROWS(FILTER(C$4:C917,C$4:C917&lt;&gt;""""))),""^Sell_""),INDEX(FILTER(F$4:F916,C$4:C916&lt;&gt;""""),ROWS(FILTER(C$4:C916,C$4:C916&lt;&gt;""""))),$AC$5+E917))"),"")</f>
        <v/>
      </c>
      <c r="G917" s="10" t="str">
        <f>IFERROR(__xludf.DUMMYFUNCTION("IF(COUNTA(C917:C1644)=0,"""",IF(C917="""",0,IF(REGEXMATCH(C917,""^Sell_""),-ROUNDDOWN(ROUNDUP(INDEX(Upgrades!$C$3:$C$13,MATCH(SUBSTITUTE(C917,""Sell_"",""""),Upgrades!$B$3:$B$13,0))*1.15^(COUNTIF(C$4:C916,SUBSTITUTE(C917,""Sell_"",""""))-COUNTIF(C$4:C916,"&amp;"""Sell_""&amp;SUBSTITUTE(C917,""Sell_"",""""))))/2),ROUNDUP(INDEX(Upgrades!$C$3:$C$13,MATCH(C917,Upgrades!$B$3:$B$13,0))*1.15^(COUNTIF(C$4:C916,C917)-COUNTIF(C$4:C916,""Sell_""&amp;C917))))))"),"")</f>
        <v/>
      </c>
      <c r="H917" s="10" t="str">
        <f t="shared" si="3"/>
        <v/>
      </c>
      <c r="I917" s="68" t="str">
        <f t="shared" si="4"/>
        <v/>
      </c>
      <c r="J917" s="59" t="str">
        <f t="shared" si="5"/>
        <v/>
      </c>
      <c r="K917" s="69" t="str">
        <f t="shared" si="6"/>
        <v/>
      </c>
      <c r="L917" s="60" t="str">
        <f t="shared" si="7"/>
        <v/>
      </c>
      <c r="M917" s="61" t="str">
        <f>IFERROR(__xludf.DUMMYFUNCTION("IFS(AND(COUNTA(C917:C1644)=0,COUNTA(Q917:Q1644)=0),"""",OR(AND(K917&gt;=1000000000,OR(Y917&gt;=1000000000,COUNTA(Q917:Q1644)=0)),OR(Y917&gt;=1000000000,AND(COUNTA(C917:C1644)=0,P$3=TRUE))),
ROUNDDOWN((AB$1-AC$1)*MAX(INDEX(T$4:T1644,MATCH(LARGE(FILTER(Y$4:Y1644,Y$4"&amp;":Y1644&lt;1000000000),1),Y$4:Y1644)),INDEX(F$4:F1644,MATCH(LARGE(FILTER(K$4:K1644,K$4:K1644&lt;1000000000),1),K$4:K1644)))),AND(K917&lt;1000000000,COUNTA(C917:C1644)&gt;0,P$3=FALSE),
ROUNDDOWN(INDEX(Y$4:Y1644,MATCH(LARGE(FILTER(W$4:W1644,W$4:W1644&lt;=I917),1),W$4:W1644"&amp;"))+(I917-LARGE(FILTER(W$4:W1644,W$4:W1644&lt;=I917),1))*INDEX(T$4:T1644,MATCH(LARGE(FILTER(W$4:W1644,W$4:W1644&lt;=I917),1),W$4:W1644))-K917),1,
ROUNDDOWN(Y917-INDEX(K$4:K1644,MATCH(LARGE(FILTER(I$4:I1644,I$4:I1644&lt;=W917),1),I$4:I1644))-(W917-LARGE(FILTER(I$4:I"&amp;"1644,I$4:I1644&lt;=W917),1))*INDEX(F$4:F1644,MATCH(LARGE(FILTER(I$4:I1644,I$4:I1644&lt;=W917),1),I$4:I1644))))"),"")</f>
        <v/>
      </c>
      <c r="N917" s="60" t="str">
        <f t="shared" si="8"/>
        <v/>
      </c>
      <c r="O917" s="61" t="str">
        <f t="shared" si="9"/>
        <v/>
      </c>
      <c r="P917" s="56" t="str">
        <f t="shared" si="10"/>
        <v/>
      </c>
      <c r="Q917" s="105"/>
      <c r="R917" s="10"/>
      <c r="S917" s="59" t="str">
        <f t="array" ref="S917">IF(COUNTA(Q917:Q1644)=0,"",SUM((COUNTIF(Q$4:Q917,Upgrades!$B$3:$B$13)-COUNTIF(Q$4:Q917,"Sell_"&amp;Upgrades!$B$3:$B$13))*Upgrades!$D$3:$D$13))</f>
        <v/>
      </c>
      <c r="T917" s="66" t="str">
        <f>IFERROR(__xludf.DUMMYFUNCTION("IF(COUNTA(Q917:Q1644)=0,"""",IF(REGEXMATCH(INDEX(FILTER(Q$4:Q917,Q$4:Q917&lt;&gt;""""),ROWS(FILTER(Q$4:Q917,Q$4:Q917&lt;&gt;""""))),""^Sell_""),INDEX(FILTER(T$4:T916,Q$4:Q916&lt;&gt;""""),ROWS(FILTER(Q$4:Q916,Q$4:Q916&lt;&gt;""""))),$AD$5+S917))"),"")</f>
        <v/>
      </c>
      <c r="U917" s="10" t="str">
        <f>IFERROR(__xludf.DUMMYFUNCTION("IF(COUNTA(Q917:Q1644)=0,"""",IF(Q917="""",0,IF(REGEXMATCH(Q917,""^Sell_""),-ROUNDDOWN(ROUNDUP(INDEX(Upgrades!$C$3:$C$13,MATCH(SUBSTITUTE(Q917,""Sell_"",""""),Upgrades!$B$3:$B$13,0))*1.15^(COUNTIF(Q$4:Q916,SUBSTITUTE(Q917,""Sell_"",""""))-COUNTIF(Q$4:Q916,"&amp;"""Sell_""&amp;SUBSTITUTE(Q917,""Sell_"",""""))))/2),ROUNDUP(INDEX(Upgrades!$C$3:$C$13,MATCH(Q917,Upgrades!$B$3:$B$13,0))*1.15^(COUNTIF(Q$4:Q916,Q917)-COUNTIF(Q$4:Q916,""Sell_""&amp;Q917))))))"),"")</f>
        <v/>
      </c>
      <c r="V917" s="10" t="str">
        <f t="shared" si="11"/>
        <v/>
      </c>
      <c r="W917" s="68" t="str">
        <f t="shared" si="12"/>
        <v/>
      </c>
      <c r="X917" s="59" t="str">
        <f t="shared" si="13"/>
        <v/>
      </c>
      <c r="Y917" s="69" t="str">
        <f t="shared" si="14"/>
        <v/>
      </c>
      <c r="Z917" s="11"/>
      <c r="AG917" s="59"/>
    </row>
    <row r="918">
      <c r="A918" s="8"/>
      <c r="B918" s="56" t="str">
        <f t="shared" si="2"/>
        <v/>
      </c>
      <c r="C918" s="105"/>
      <c r="D918" s="10"/>
      <c r="E918" s="59" t="str">
        <f t="array" ref="E918">IF(COUNTA(C918:C1644)=0,"",SUM((COUNTIF(C$4:C918,Upgrades!$B$3:$B$13)-COUNTIF(C$4:C918,"Sell_"&amp;Upgrades!$B$3:$B$13))*Upgrades!$D$3:$D$13))</f>
        <v/>
      </c>
      <c r="F918" s="66" t="str">
        <f>IFERROR(__xludf.DUMMYFUNCTION("IF(COUNTA(C918:C1644)=0,"""",IF(REGEXMATCH(INDEX(FILTER(C$4:C918,C$4:C918&lt;&gt;""""),ROWS(FILTER(C$4:C918,C$4:C918&lt;&gt;""""))),""^Sell_""),INDEX(FILTER(F$4:F917,C$4:C917&lt;&gt;""""),ROWS(FILTER(C$4:C917,C$4:C917&lt;&gt;""""))),$AC$5+E918))"),"")</f>
        <v/>
      </c>
      <c r="G918" s="10" t="str">
        <f>IFERROR(__xludf.DUMMYFUNCTION("IF(COUNTA(C918:C1644)=0,"""",IF(C918="""",0,IF(REGEXMATCH(C918,""^Sell_""),-ROUNDDOWN(ROUNDUP(INDEX(Upgrades!$C$3:$C$13,MATCH(SUBSTITUTE(C918,""Sell_"",""""),Upgrades!$B$3:$B$13,0))*1.15^(COUNTIF(C$4:C917,SUBSTITUTE(C918,""Sell_"",""""))-COUNTIF(C$4:C917,"&amp;"""Sell_""&amp;SUBSTITUTE(C918,""Sell_"",""""))))/2),ROUNDUP(INDEX(Upgrades!$C$3:$C$13,MATCH(C918,Upgrades!$B$3:$B$13,0))*1.15^(COUNTIF(C$4:C917,C918)-COUNTIF(C$4:C917,""Sell_""&amp;C918))))))"),"")</f>
        <v/>
      </c>
      <c r="H918" s="10" t="str">
        <f t="shared" si="3"/>
        <v/>
      </c>
      <c r="I918" s="68" t="str">
        <f t="shared" si="4"/>
        <v/>
      </c>
      <c r="J918" s="59" t="str">
        <f t="shared" si="5"/>
        <v/>
      </c>
      <c r="K918" s="69" t="str">
        <f t="shared" si="6"/>
        <v/>
      </c>
      <c r="L918" s="60" t="str">
        <f t="shared" si="7"/>
        <v/>
      </c>
      <c r="M918" s="61" t="str">
        <f>IFERROR(__xludf.DUMMYFUNCTION("IFS(AND(COUNTA(C918:C1644)=0,COUNTA(Q918:Q1644)=0),"""",OR(AND(K918&gt;=1000000000,OR(Y918&gt;=1000000000,COUNTA(Q918:Q1644)=0)),OR(Y918&gt;=1000000000,AND(COUNTA(C918:C1644)=0,P$3=TRUE))),
ROUNDDOWN((AB$1-AC$1)*MAX(INDEX(T$4:T1644,MATCH(LARGE(FILTER(Y$4:Y1644,Y$4"&amp;":Y1644&lt;1000000000),1),Y$4:Y1644)),INDEX(F$4:F1644,MATCH(LARGE(FILTER(K$4:K1644,K$4:K1644&lt;1000000000),1),K$4:K1644)))),AND(K918&lt;1000000000,COUNTA(C918:C1644)&gt;0,P$3=FALSE),
ROUNDDOWN(INDEX(Y$4:Y1644,MATCH(LARGE(FILTER(W$4:W1644,W$4:W1644&lt;=I918),1),W$4:W1644"&amp;"))+(I918-LARGE(FILTER(W$4:W1644,W$4:W1644&lt;=I918),1))*INDEX(T$4:T1644,MATCH(LARGE(FILTER(W$4:W1644,W$4:W1644&lt;=I918),1),W$4:W1644))-K918),1,
ROUNDDOWN(Y918-INDEX(K$4:K1644,MATCH(LARGE(FILTER(I$4:I1644,I$4:I1644&lt;=W918),1),I$4:I1644))-(W918-LARGE(FILTER(I$4:I"&amp;"1644,I$4:I1644&lt;=W918),1))*INDEX(F$4:F1644,MATCH(LARGE(FILTER(I$4:I1644,I$4:I1644&lt;=W918),1),I$4:I1644))))"),"")</f>
        <v/>
      </c>
      <c r="N918" s="60" t="str">
        <f t="shared" si="8"/>
        <v/>
      </c>
      <c r="O918" s="61" t="str">
        <f t="shared" si="9"/>
        <v/>
      </c>
      <c r="P918" s="56" t="str">
        <f t="shared" si="10"/>
        <v/>
      </c>
      <c r="Q918" s="105"/>
      <c r="R918" s="10"/>
      <c r="S918" s="59" t="str">
        <f t="array" ref="S918">IF(COUNTA(Q918:Q1644)=0,"",SUM((COUNTIF(Q$4:Q918,Upgrades!$B$3:$B$13)-COUNTIF(Q$4:Q918,"Sell_"&amp;Upgrades!$B$3:$B$13))*Upgrades!$D$3:$D$13))</f>
        <v/>
      </c>
      <c r="T918" s="66" t="str">
        <f>IFERROR(__xludf.DUMMYFUNCTION("IF(COUNTA(Q918:Q1644)=0,"""",IF(REGEXMATCH(INDEX(FILTER(Q$4:Q918,Q$4:Q918&lt;&gt;""""),ROWS(FILTER(Q$4:Q918,Q$4:Q918&lt;&gt;""""))),""^Sell_""),INDEX(FILTER(T$4:T917,Q$4:Q917&lt;&gt;""""),ROWS(FILTER(Q$4:Q917,Q$4:Q917&lt;&gt;""""))),$AD$5+S918))"),"")</f>
        <v/>
      </c>
      <c r="U918" s="10" t="str">
        <f>IFERROR(__xludf.DUMMYFUNCTION("IF(COUNTA(Q918:Q1644)=0,"""",IF(Q918="""",0,IF(REGEXMATCH(Q918,""^Sell_""),-ROUNDDOWN(ROUNDUP(INDEX(Upgrades!$C$3:$C$13,MATCH(SUBSTITUTE(Q918,""Sell_"",""""),Upgrades!$B$3:$B$13,0))*1.15^(COUNTIF(Q$4:Q917,SUBSTITUTE(Q918,""Sell_"",""""))-COUNTIF(Q$4:Q917,"&amp;"""Sell_""&amp;SUBSTITUTE(Q918,""Sell_"",""""))))/2),ROUNDUP(INDEX(Upgrades!$C$3:$C$13,MATCH(Q918,Upgrades!$B$3:$B$13,0))*1.15^(COUNTIF(Q$4:Q917,Q918)-COUNTIF(Q$4:Q917,""Sell_""&amp;Q918))))))"),"")</f>
        <v/>
      </c>
      <c r="V918" s="10" t="str">
        <f t="shared" si="11"/>
        <v/>
      </c>
      <c r="W918" s="68" t="str">
        <f t="shared" si="12"/>
        <v/>
      </c>
      <c r="X918" s="59" t="str">
        <f t="shared" si="13"/>
        <v/>
      </c>
      <c r="Y918" s="69" t="str">
        <f t="shared" si="14"/>
        <v/>
      </c>
      <c r="Z918" s="11"/>
      <c r="AG918" s="59"/>
    </row>
    <row r="919">
      <c r="A919" s="8"/>
      <c r="B919" s="56" t="str">
        <f t="shared" si="2"/>
        <v/>
      </c>
      <c r="C919" s="105"/>
      <c r="D919" s="10"/>
      <c r="E919" s="59" t="str">
        <f t="array" ref="E919">IF(COUNTA(C919:C1644)=0,"",SUM((COUNTIF(C$4:C919,Upgrades!$B$3:$B$13)-COUNTIF(C$4:C919,"Sell_"&amp;Upgrades!$B$3:$B$13))*Upgrades!$D$3:$D$13))</f>
        <v/>
      </c>
      <c r="F919" s="66" t="str">
        <f>IFERROR(__xludf.DUMMYFUNCTION("IF(COUNTA(C919:C1644)=0,"""",IF(REGEXMATCH(INDEX(FILTER(C$4:C919,C$4:C919&lt;&gt;""""),ROWS(FILTER(C$4:C919,C$4:C919&lt;&gt;""""))),""^Sell_""),INDEX(FILTER(F$4:F918,C$4:C918&lt;&gt;""""),ROWS(FILTER(C$4:C918,C$4:C918&lt;&gt;""""))),$AC$5+E919))"),"")</f>
        <v/>
      </c>
      <c r="G919" s="10" t="str">
        <f>IFERROR(__xludf.DUMMYFUNCTION("IF(COUNTA(C919:C1644)=0,"""",IF(C919="""",0,IF(REGEXMATCH(C919,""^Sell_""),-ROUNDDOWN(ROUNDUP(INDEX(Upgrades!$C$3:$C$13,MATCH(SUBSTITUTE(C919,""Sell_"",""""),Upgrades!$B$3:$B$13,0))*1.15^(COUNTIF(C$4:C918,SUBSTITUTE(C919,""Sell_"",""""))-COUNTIF(C$4:C918,"&amp;"""Sell_""&amp;SUBSTITUTE(C919,""Sell_"",""""))))/2),ROUNDUP(INDEX(Upgrades!$C$3:$C$13,MATCH(C919,Upgrades!$B$3:$B$13,0))*1.15^(COUNTIF(C$4:C918,C919)-COUNTIF(C$4:C918,""Sell_""&amp;C919))))))"),"")</f>
        <v/>
      </c>
      <c r="H919" s="10" t="str">
        <f t="shared" si="3"/>
        <v/>
      </c>
      <c r="I919" s="68" t="str">
        <f t="shared" si="4"/>
        <v/>
      </c>
      <c r="J919" s="59" t="str">
        <f t="shared" si="5"/>
        <v/>
      </c>
      <c r="K919" s="69" t="str">
        <f t="shared" si="6"/>
        <v/>
      </c>
      <c r="L919" s="60" t="str">
        <f t="shared" si="7"/>
        <v/>
      </c>
      <c r="M919" s="61" t="str">
        <f>IFERROR(__xludf.DUMMYFUNCTION("IFS(AND(COUNTA(C919:C1644)=0,COUNTA(Q919:Q1644)=0),"""",OR(AND(K919&gt;=1000000000,OR(Y919&gt;=1000000000,COUNTA(Q919:Q1644)=0)),OR(Y919&gt;=1000000000,AND(COUNTA(C919:C1644)=0,P$3=TRUE))),
ROUNDDOWN((AB$1-AC$1)*MAX(INDEX(T$4:T1644,MATCH(LARGE(FILTER(Y$4:Y1644,Y$4"&amp;":Y1644&lt;1000000000),1),Y$4:Y1644)),INDEX(F$4:F1644,MATCH(LARGE(FILTER(K$4:K1644,K$4:K1644&lt;1000000000),1),K$4:K1644)))),AND(K919&lt;1000000000,COUNTA(C919:C1644)&gt;0,P$3=FALSE),
ROUNDDOWN(INDEX(Y$4:Y1644,MATCH(LARGE(FILTER(W$4:W1644,W$4:W1644&lt;=I919),1),W$4:W1644"&amp;"))+(I919-LARGE(FILTER(W$4:W1644,W$4:W1644&lt;=I919),1))*INDEX(T$4:T1644,MATCH(LARGE(FILTER(W$4:W1644,W$4:W1644&lt;=I919),1),W$4:W1644))-K919),1,
ROUNDDOWN(Y919-INDEX(K$4:K1644,MATCH(LARGE(FILTER(I$4:I1644,I$4:I1644&lt;=W919),1),I$4:I1644))-(W919-LARGE(FILTER(I$4:I"&amp;"1644,I$4:I1644&lt;=W919),1))*INDEX(F$4:F1644,MATCH(LARGE(FILTER(I$4:I1644,I$4:I1644&lt;=W919),1),I$4:I1644))))"),"")</f>
        <v/>
      </c>
      <c r="N919" s="60" t="str">
        <f t="shared" si="8"/>
        <v/>
      </c>
      <c r="O919" s="61" t="str">
        <f t="shared" si="9"/>
        <v/>
      </c>
      <c r="P919" s="56" t="str">
        <f t="shared" si="10"/>
        <v/>
      </c>
      <c r="Q919" s="105"/>
      <c r="R919" s="10"/>
      <c r="S919" s="59" t="str">
        <f t="array" ref="S919">IF(COUNTA(Q919:Q1644)=0,"",SUM((COUNTIF(Q$4:Q919,Upgrades!$B$3:$B$13)-COUNTIF(Q$4:Q919,"Sell_"&amp;Upgrades!$B$3:$B$13))*Upgrades!$D$3:$D$13))</f>
        <v/>
      </c>
      <c r="T919" s="66" t="str">
        <f>IFERROR(__xludf.DUMMYFUNCTION("IF(COUNTA(Q919:Q1644)=0,"""",IF(REGEXMATCH(INDEX(FILTER(Q$4:Q919,Q$4:Q919&lt;&gt;""""),ROWS(FILTER(Q$4:Q919,Q$4:Q919&lt;&gt;""""))),""^Sell_""),INDEX(FILTER(T$4:T918,Q$4:Q918&lt;&gt;""""),ROWS(FILTER(Q$4:Q918,Q$4:Q918&lt;&gt;""""))),$AD$5+S919))"),"")</f>
        <v/>
      </c>
      <c r="U919" s="10" t="str">
        <f>IFERROR(__xludf.DUMMYFUNCTION("IF(COUNTA(Q919:Q1644)=0,"""",IF(Q919="""",0,IF(REGEXMATCH(Q919,""^Sell_""),-ROUNDDOWN(ROUNDUP(INDEX(Upgrades!$C$3:$C$13,MATCH(SUBSTITUTE(Q919,""Sell_"",""""),Upgrades!$B$3:$B$13,0))*1.15^(COUNTIF(Q$4:Q918,SUBSTITUTE(Q919,""Sell_"",""""))-COUNTIF(Q$4:Q918,"&amp;"""Sell_""&amp;SUBSTITUTE(Q919,""Sell_"",""""))))/2),ROUNDUP(INDEX(Upgrades!$C$3:$C$13,MATCH(Q919,Upgrades!$B$3:$B$13,0))*1.15^(COUNTIF(Q$4:Q918,Q919)-COUNTIF(Q$4:Q918,""Sell_""&amp;Q919))))))"),"")</f>
        <v/>
      </c>
      <c r="V919" s="10" t="str">
        <f t="shared" si="11"/>
        <v/>
      </c>
      <c r="W919" s="68" t="str">
        <f t="shared" si="12"/>
        <v/>
      </c>
      <c r="X919" s="59" t="str">
        <f t="shared" si="13"/>
        <v/>
      </c>
      <c r="Y919" s="69" t="str">
        <f t="shared" si="14"/>
        <v/>
      </c>
      <c r="Z919" s="11"/>
      <c r="AG919" s="59"/>
    </row>
    <row r="920">
      <c r="A920" s="8"/>
      <c r="B920" s="56" t="str">
        <f t="shared" si="2"/>
        <v/>
      </c>
      <c r="C920" s="105"/>
      <c r="D920" s="10"/>
      <c r="E920" s="59" t="str">
        <f t="array" ref="E920">IF(COUNTA(C920:C1644)=0,"",SUM((COUNTIF(C$4:C920,Upgrades!$B$3:$B$13)-COUNTIF(C$4:C920,"Sell_"&amp;Upgrades!$B$3:$B$13))*Upgrades!$D$3:$D$13))</f>
        <v/>
      </c>
      <c r="F920" s="66" t="str">
        <f>IFERROR(__xludf.DUMMYFUNCTION("IF(COUNTA(C920:C1644)=0,"""",IF(REGEXMATCH(INDEX(FILTER(C$4:C920,C$4:C920&lt;&gt;""""),ROWS(FILTER(C$4:C920,C$4:C920&lt;&gt;""""))),""^Sell_""),INDEX(FILTER(F$4:F919,C$4:C919&lt;&gt;""""),ROWS(FILTER(C$4:C919,C$4:C919&lt;&gt;""""))),$AC$5+E920))"),"")</f>
        <v/>
      </c>
      <c r="G920" s="10" t="str">
        <f>IFERROR(__xludf.DUMMYFUNCTION("IF(COUNTA(C920:C1644)=0,"""",IF(C920="""",0,IF(REGEXMATCH(C920,""^Sell_""),-ROUNDDOWN(ROUNDUP(INDEX(Upgrades!$C$3:$C$13,MATCH(SUBSTITUTE(C920,""Sell_"",""""),Upgrades!$B$3:$B$13,0))*1.15^(COUNTIF(C$4:C919,SUBSTITUTE(C920,""Sell_"",""""))-COUNTIF(C$4:C919,"&amp;"""Sell_""&amp;SUBSTITUTE(C920,""Sell_"",""""))))/2),ROUNDUP(INDEX(Upgrades!$C$3:$C$13,MATCH(C920,Upgrades!$B$3:$B$13,0))*1.15^(COUNTIF(C$4:C919,C920)-COUNTIF(C$4:C919,""Sell_""&amp;C920))))))"),"")</f>
        <v/>
      </c>
      <c r="H920" s="10" t="str">
        <f t="shared" si="3"/>
        <v/>
      </c>
      <c r="I920" s="68" t="str">
        <f t="shared" si="4"/>
        <v/>
      </c>
      <c r="J920" s="59" t="str">
        <f t="shared" si="5"/>
        <v/>
      </c>
      <c r="K920" s="69" t="str">
        <f t="shared" si="6"/>
        <v/>
      </c>
      <c r="L920" s="60" t="str">
        <f t="shared" si="7"/>
        <v/>
      </c>
      <c r="M920" s="61" t="str">
        <f>IFERROR(__xludf.DUMMYFUNCTION("IFS(AND(COUNTA(C920:C1644)=0,COUNTA(Q920:Q1644)=0),"""",OR(AND(K920&gt;=1000000000,OR(Y920&gt;=1000000000,COUNTA(Q920:Q1644)=0)),OR(Y920&gt;=1000000000,AND(COUNTA(C920:C1644)=0,P$3=TRUE))),
ROUNDDOWN((AB$1-AC$1)*MAX(INDEX(T$4:T1644,MATCH(LARGE(FILTER(Y$4:Y1644,Y$4"&amp;":Y1644&lt;1000000000),1),Y$4:Y1644)),INDEX(F$4:F1644,MATCH(LARGE(FILTER(K$4:K1644,K$4:K1644&lt;1000000000),1),K$4:K1644)))),AND(K920&lt;1000000000,COUNTA(C920:C1644)&gt;0,P$3=FALSE),
ROUNDDOWN(INDEX(Y$4:Y1644,MATCH(LARGE(FILTER(W$4:W1644,W$4:W1644&lt;=I920),1),W$4:W1644"&amp;"))+(I920-LARGE(FILTER(W$4:W1644,W$4:W1644&lt;=I920),1))*INDEX(T$4:T1644,MATCH(LARGE(FILTER(W$4:W1644,W$4:W1644&lt;=I920),1),W$4:W1644))-K920),1,
ROUNDDOWN(Y920-INDEX(K$4:K1644,MATCH(LARGE(FILTER(I$4:I1644,I$4:I1644&lt;=W920),1),I$4:I1644))-(W920-LARGE(FILTER(I$4:I"&amp;"1644,I$4:I1644&lt;=W920),1))*INDEX(F$4:F1644,MATCH(LARGE(FILTER(I$4:I1644,I$4:I1644&lt;=W920),1),I$4:I1644))))"),"")</f>
        <v/>
      </c>
      <c r="N920" s="60" t="str">
        <f t="shared" si="8"/>
        <v/>
      </c>
      <c r="O920" s="61" t="str">
        <f t="shared" si="9"/>
        <v/>
      </c>
      <c r="P920" s="56" t="str">
        <f t="shared" si="10"/>
        <v/>
      </c>
      <c r="Q920" s="105"/>
      <c r="R920" s="10"/>
      <c r="S920" s="59" t="str">
        <f t="array" ref="S920">IF(COUNTA(Q920:Q1644)=0,"",SUM((COUNTIF(Q$4:Q920,Upgrades!$B$3:$B$13)-COUNTIF(Q$4:Q920,"Sell_"&amp;Upgrades!$B$3:$B$13))*Upgrades!$D$3:$D$13))</f>
        <v/>
      </c>
      <c r="T920" s="66" t="str">
        <f>IFERROR(__xludf.DUMMYFUNCTION("IF(COUNTA(Q920:Q1644)=0,"""",IF(REGEXMATCH(INDEX(FILTER(Q$4:Q920,Q$4:Q920&lt;&gt;""""),ROWS(FILTER(Q$4:Q920,Q$4:Q920&lt;&gt;""""))),""^Sell_""),INDEX(FILTER(T$4:T919,Q$4:Q919&lt;&gt;""""),ROWS(FILTER(Q$4:Q919,Q$4:Q919&lt;&gt;""""))),$AD$5+S920))"),"")</f>
        <v/>
      </c>
      <c r="U920" s="10" t="str">
        <f>IFERROR(__xludf.DUMMYFUNCTION("IF(COUNTA(Q920:Q1644)=0,"""",IF(Q920="""",0,IF(REGEXMATCH(Q920,""^Sell_""),-ROUNDDOWN(ROUNDUP(INDEX(Upgrades!$C$3:$C$13,MATCH(SUBSTITUTE(Q920,""Sell_"",""""),Upgrades!$B$3:$B$13,0))*1.15^(COUNTIF(Q$4:Q919,SUBSTITUTE(Q920,""Sell_"",""""))-COUNTIF(Q$4:Q919,"&amp;"""Sell_""&amp;SUBSTITUTE(Q920,""Sell_"",""""))))/2),ROUNDUP(INDEX(Upgrades!$C$3:$C$13,MATCH(Q920,Upgrades!$B$3:$B$13,0))*1.15^(COUNTIF(Q$4:Q919,Q920)-COUNTIF(Q$4:Q919,""Sell_""&amp;Q920))))))"),"")</f>
        <v/>
      </c>
      <c r="V920" s="10" t="str">
        <f t="shared" si="11"/>
        <v/>
      </c>
      <c r="W920" s="68" t="str">
        <f t="shared" si="12"/>
        <v/>
      </c>
      <c r="X920" s="59" t="str">
        <f t="shared" si="13"/>
        <v/>
      </c>
      <c r="Y920" s="69" t="str">
        <f t="shared" si="14"/>
        <v/>
      </c>
      <c r="Z920" s="11"/>
      <c r="AG920" s="59"/>
    </row>
    <row r="921">
      <c r="A921" s="8"/>
      <c r="B921" s="56" t="str">
        <f t="shared" si="2"/>
        <v/>
      </c>
      <c r="C921" s="105"/>
      <c r="D921" s="10"/>
      <c r="E921" s="59" t="str">
        <f t="array" ref="E921">IF(COUNTA(C921:C1644)=0,"",SUM((COUNTIF(C$4:C921,Upgrades!$B$3:$B$13)-COUNTIF(C$4:C921,"Sell_"&amp;Upgrades!$B$3:$B$13))*Upgrades!$D$3:$D$13))</f>
        <v/>
      </c>
      <c r="F921" s="66" t="str">
        <f>IFERROR(__xludf.DUMMYFUNCTION("IF(COUNTA(C921:C1644)=0,"""",IF(REGEXMATCH(INDEX(FILTER(C$4:C921,C$4:C921&lt;&gt;""""),ROWS(FILTER(C$4:C921,C$4:C921&lt;&gt;""""))),""^Sell_""),INDEX(FILTER(F$4:F920,C$4:C920&lt;&gt;""""),ROWS(FILTER(C$4:C920,C$4:C920&lt;&gt;""""))),$AC$5+E921))"),"")</f>
        <v/>
      </c>
      <c r="G921" s="10" t="str">
        <f>IFERROR(__xludf.DUMMYFUNCTION("IF(COUNTA(C921:C1644)=0,"""",IF(C921="""",0,IF(REGEXMATCH(C921,""^Sell_""),-ROUNDDOWN(ROUNDUP(INDEX(Upgrades!$C$3:$C$13,MATCH(SUBSTITUTE(C921,""Sell_"",""""),Upgrades!$B$3:$B$13,0))*1.15^(COUNTIF(C$4:C920,SUBSTITUTE(C921,""Sell_"",""""))-COUNTIF(C$4:C920,"&amp;"""Sell_""&amp;SUBSTITUTE(C921,""Sell_"",""""))))/2),ROUNDUP(INDEX(Upgrades!$C$3:$C$13,MATCH(C921,Upgrades!$B$3:$B$13,0))*1.15^(COUNTIF(C$4:C920,C921)-COUNTIF(C$4:C920,""Sell_""&amp;C921))))))"),"")</f>
        <v/>
      </c>
      <c r="H921" s="10" t="str">
        <f t="shared" si="3"/>
        <v/>
      </c>
      <c r="I921" s="68" t="str">
        <f t="shared" si="4"/>
        <v/>
      </c>
      <c r="J921" s="59" t="str">
        <f t="shared" si="5"/>
        <v/>
      </c>
      <c r="K921" s="69" t="str">
        <f t="shared" si="6"/>
        <v/>
      </c>
      <c r="L921" s="60" t="str">
        <f t="shared" si="7"/>
        <v/>
      </c>
      <c r="M921" s="61" t="str">
        <f>IFERROR(__xludf.DUMMYFUNCTION("IFS(AND(COUNTA(C921:C1644)=0,COUNTA(Q921:Q1644)=0),"""",OR(AND(K921&gt;=1000000000,OR(Y921&gt;=1000000000,COUNTA(Q921:Q1644)=0)),OR(Y921&gt;=1000000000,AND(COUNTA(C921:C1644)=0,P$3=TRUE))),
ROUNDDOWN((AB$1-AC$1)*MAX(INDEX(T$4:T1644,MATCH(LARGE(FILTER(Y$4:Y1644,Y$4"&amp;":Y1644&lt;1000000000),1),Y$4:Y1644)),INDEX(F$4:F1644,MATCH(LARGE(FILTER(K$4:K1644,K$4:K1644&lt;1000000000),1),K$4:K1644)))),AND(K921&lt;1000000000,COUNTA(C921:C1644)&gt;0,P$3=FALSE),
ROUNDDOWN(INDEX(Y$4:Y1644,MATCH(LARGE(FILTER(W$4:W1644,W$4:W1644&lt;=I921),1),W$4:W1644"&amp;"))+(I921-LARGE(FILTER(W$4:W1644,W$4:W1644&lt;=I921),1))*INDEX(T$4:T1644,MATCH(LARGE(FILTER(W$4:W1644,W$4:W1644&lt;=I921),1),W$4:W1644))-K921),1,
ROUNDDOWN(Y921-INDEX(K$4:K1644,MATCH(LARGE(FILTER(I$4:I1644,I$4:I1644&lt;=W921),1),I$4:I1644))-(W921-LARGE(FILTER(I$4:I"&amp;"1644,I$4:I1644&lt;=W921),1))*INDEX(F$4:F1644,MATCH(LARGE(FILTER(I$4:I1644,I$4:I1644&lt;=W921),1),I$4:I1644))))"),"")</f>
        <v/>
      </c>
      <c r="N921" s="60" t="str">
        <f t="shared" si="8"/>
        <v/>
      </c>
      <c r="O921" s="61" t="str">
        <f t="shared" si="9"/>
        <v/>
      </c>
      <c r="P921" s="56" t="str">
        <f t="shared" si="10"/>
        <v/>
      </c>
      <c r="Q921" s="105"/>
      <c r="R921" s="10"/>
      <c r="S921" s="59" t="str">
        <f t="array" ref="S921">IF(COUNTA(Q921:Q1644)=0,"",SUM((COUNTIF(Q$4:Q921,Upgrades!$B$3:$B$13)-COUNTIF(Q$4:Q921,"Sell_"&amp;Upgrades!$B$3:$B$13))*Upgrades!$D$3:$D$13))</f>
        <v/>
      </c>
      <c r="T921" s="66" t="str">
        <f>IFERROR(__xludf.DUMMYFUNCTION("IF(COUNTA(Q921:Q1644)=0,"""",IF(REGEXMATCH(INDEX(FILTER(Q$4:Q921,Q$4:Q921&lt;&gt;""""),ROWS(FILTER(Q$4:Q921,Q$4:Q921&lt;&gt;""""))),""^Sell_""),INDEX(FILTER(T$4:T920,Q$4:Q920&lt;&gt;""""),ROWS(FILTER(Q$4:Q920,Q$4:Q920&lt;&gt;""""))),$AD$5+S921))"),"")</f>
        <v/>
      </c>
      <c r="U921" s="10" t="str">
        <f>IFERROR(__xludf.DUMMYFUNCTION("IF(COUNTA(Q921:Q1644)=0,"""",IF(Q921="""",0,IF(REGEXMATCH(Q921,""^Sell_""),-ROUNDDOWN(ROUNDUP(INDEX(Upgrades!$C$3:$C$13,MATCH(SUBSTITUTE(Q921,""Sell_"",""""),Upgrades!$B$3:$B$13,0))*1.15^(COUNTIF(Q$4:Q920,SUBSTITUTE(Q921,""Sell_"",""""))-COUNTIF(Q$4:Q920,"&amp;"""Sell_""&amp;SUBSTITUTE(Q921,""Sell_"",""""))))/2),ROUNDUP(INDEX(Upgrades!$C$3:$C$13,MATCH(Q921,Upgrades!$B$3:$B$13,0))*1.15^(COUNTIF(Q$4:Q920,Q921)-COUNTIF(Q$4:Q920,""Sell_""&amp;Q921))))))"),"")</f>
        <v/>
      </c>
      <c r="V921" s="10" t="str">
        <f t="shared" si="11"/>
        <v/>
      </c>
      <c r="W921" s="68" t="str">
        <f t="shared" si="12"/>
        <v/>
      </c>
      <c r="X921" s="59" t="str">
        <f t="shared" si="13"/>
        <v/>
      </c>
      <c r="Y921" s="69" t="str">
        <f t="shared" si="14"/>
        <v/>
      </c>
      <c r="Z921" s="11"/>
      <c r="AG921" s="59"/>
    </row>
    <row r="922">
      <c r="A922" s="8"/>
      <c r="B922" s="56" t="str">
        <f t="shared" si="2"/>
        <v/>
      </c>
      <c r="C922" s="105"/>
      <c r="D922" s="10"/>
      <c r="E922" s="59" t="str">
        <f t="array" ref="E922">IF(COUNTA(C922:C1644)=0,"",SUM((COUNTIF(C$4:C922,Upgrades!$B$3:$B$13)-COUNTIF(C$4:C922,"Sell_"&amp;Upgrades!$B$3:$B$13))*Upgrades!$D$3:$D$13))</f>
        <v/>
      </c>
      <c r="F922" s="66" t="str">
        <f>IFERROR(__xludf.DUMMYFUNCTION("IF(COUNTA(C922:C1644)=0,"""",IF(REGEXMATCH(INDEX(FILTER(C$4:C922,C$4:C922&lt;&gt;""""),ROWS(FILTER(C$4:C922,C$4:C922&lt;&gt;""""))),""^Sell_""),INDEX(FILTER(F$4:F921,C$4:C921&lt;&gt;""""),ROWS(FILTER(C$4:C921,C$4:C921&lt;&gt;""""))),$AC$5+E922))"),"")</f>
        <v/>
      </c>
      <c r="G922" s="10" t="str">
        <f>IFERROR(__xludf.DUMMYFUNCTION("IF(COUNTA(C922:C1644)=0,"""",IF(C922="""",0,IF(REGEXMATCH(C922,""^Sell_""),-ROUNDDOWN(ROUNDUP(INDEX(Upgrades!$C$3:$C$13,MATCH(SUBSTITUTE(C922,""Sell_"",""""),Upgrades!$B$3:$B$13,0))*1.15^(COUNTIF(C$4:C921,SUBSTITUTE(C922,""Sell_"",""""))-COUNTIF(C$4:C921,"&amp;"""Sell_""&amp;SUBSTITUTE(C922,""Sell_"",""""))))/2),ROUNDUP(INDEX(Upgrades!$C$3:$C$13,MATCH(C922,Upgrades!$B$3:$B$13,0))*1.15^(COUNTIF(C$4:C921,C922)-COUNTIF(C$4:C921,""Sell_""&amp;C922))))))"),"")</f>
        <v/>
      </c>
      <c r="H922" s="10" t="str">
        <f t="shared" si="3"/>
        <v/>
      </c>
      <c r="I922" s="68" t="str">
        <f t="shared" si="4"/>
        <v/>
      </c>
      <c r="J922" s="59" t="str">
        <f t="shared" si="5"/>
        <v/>
      </c>
      <c r="K922" s="69" t="str">
        <f t="shared" si="6"/>
        <v/>
      </c>
      <c r="L922" s="60" t="str">
        <f t="shared" si="7"/>
        <v/>
      </c>
      <c r="M922" s="61" t="str">
        <f>IFERROR(__xludf.DUMMYFUNCTION("IFS(AND(COUNTA(C922:C1644)=0,COUNTA(Q922:Q1644)=0),"""",OR(AND(K922&gt;=1000000000,OR(Y922&gt;=1000000000,COUNTA(Q922:Q1644)=0)),OR(Y922&gt;=1000000000,AND(COUNTA(C922:C1644)=0,P$3=TRUE))),
ROUNDDOWN((AB$1-AC$1)*MAX(INDEX(T$4:T1644,MATCH(LARGE(FILTER(Y$4:Y1644,Y$4"&amp;":Y1644&lt;1000000000),1),Y$4:Y1644)),INDEX(F$4:F1644,MATCH(LARGE(FILTER(K$4:K1644,K$4:K1644&lt;1000000000),1),K$4:K1644)))),AND(K922&lt;1000000000,COUNTA(C922:C1644)&gt;0,P$3=FALSE),
ROUNDDOWN(INDEX(Y$4:Y1644,MATCH(LARGE(FILTER(W$4:W1644,W$4:W1644&lt;=I922),1),W$4:W1644"&amp;"))+(I922-LARGE(FILTER(W$4:W1644,W$4:W1644&lt;=I922),1))*INDEX(T$4:T1644,MATCH(LARGE(FILTER(W$4:W1644,W$4:W1644&lt;=I922),1),W$4:W1644))-K922),1,
ROUNDDOWN(Y922-INDEX(K$4:K1644,MATCH(LARGE(FILTER(I$4:I1644,I$4:I1644&lt;=W922),1),I$4:I1644))-(W922-LARGE(FILTER(I$4:I"&amp;"1644,I$4:I1644&lt;=W922),1))*INDEX(F$4:F1644,MATCH(LARGE(FILTER(I$4:I1644,I$4:I1644&lt;=W922),1),I$4:I1644))))"),"")</f>
        <v/>
      </c>
      <c r="N922" s="60" t="str">
        <f t="shared" si="8"/>
        <v/>
      </c>
      <c r="O922" s="61" t="str">
        <f t="shared" si="9"/>
        <v/>
      </c>
      <c r="P922" s="56" t="str">
        <f t="shared" si="10"/>
        <v/>
      </c>
      <c r="Q922" s="105"/>
      <c r="R922" s="10"/>
      <c r="S922" s="59" t="str">
        <f t="array" ref="S922">IF(COUNTA(Q922:Q1644)=0,"",SUM((COUNTIF(Q$4:Q922,Upgrades!$B$3:$B$13)-COUNTIF(Q$4:Q922,"Sell_"&amp;Upgrades!$B$3:$B$13))*Upgrades!$D$3:$D$13))</f>
        <v/>
      </c>
      <c r="T922" s="66" t="str">
        <f>IFERROR(__xludf.DUMMYFUNCTION("IF(COUNTA(Q922:Q1644)=0,"""",IF(REGEXMATCH(INDEX(FILTER(Q$4:Q922,Q$4:Q922&lt;&gt;""""),ROWS(FILTER(Q$4:Q922,Q$4:Q922&lt;&gt;""""))),""^Sell_""),INDEX(FILTER(T$4:T921,Q$4:Q921&lt;&gt;""""),ROWS(FILTER(Q$4:Q921,Q$4:Q921&lt;&gt;""""))),$AD$5+S922))"),"")</f>
        <v/>
      </c>
      <c r="U922" s="10" t="str">
        <f>IFERROR(__xludf.DUMMYFUNCTION("IF(COUNTA(Q922:Q1644)=0,"""",IF(Q922="""",0,IF(REGEXMATCH(Q922,""^Sell_""),-ROUNDDOWN(ROUNDUP(INDEX(Upgrades!$C$3:$C$13,MATCH(SUBSTITUTE(Q922,""Sell_"",""""),Upgrades!$B$3:$B$13,0))*1.15^(COUNTIF(Q$4:Q921,SUBSTITUTE(Q922,""Sell_"",""""))-COUNTIF(Q$4:Q921,"&amp;"""Sell_""&amp;SUBSTITUTE(Q922,""Sell_"",""""))))/2),ROUNDUP(INDEX(Upgrades!$C$3:$C$13,MATCH(Q922,Upgrades!$B$3:$B$13,0))*1.15^(COUNTIF(Q$4:Q921,Q922)-COUNTIF(Q$4:Q921,""Sell_""&amp;Q922))))))"),"")</f>
        <v/>
      </c>
      <c r="V922" s="10" t="str">
        <f t="shared" si="11"/>
        <v/>
      </c>
      <c r="W922" s="68" t="str">
        <f t="shared" si="12"/>
        <v/>
      </c>
      <c r="X922" s="59" t="str">
        <f t="shared" si="13"/>
        <v/>
      </c>
      <c r="Y922" s="69" t="str">
        <f t="shared" si="14"/>
        <v/>
      </c>
      <c r="Z922" s="11"/>
      <c r="AG922" s="59"/>
    </row>
    <row r="923">
      <c r="A923" s="8"/>
      <c r="B923" s="56" t="str">
        <f t="shared" si="2"/>
        <v/>
      </c>
      <c r="C923" s="105"/>
      <c r="D923" s="10"/>
      <c r="E923" s="59" t="str">
        <f t="array" ref="E923">IF(COUNTA(C923:C1644)=0,"",SUM((COUNTIF(C$4:C923,Upgrades!$B$3:$B$13)-COUNTIF(C$4:C923,"Sell_"&amp;Upgrades!$B$3:$B$13))*Upgrades!$D$3:$D$13))</f>
        <v/>
      </c>
      <c r="F923" s="66" t="str">
        <f>IFERROR(__xludf.DUMMYFUNCTION("IF(COUNTA(C923:C1644)=0,"""",IF(REGEXMATCH(INDEX(FILTER(C$4:C923,C$4:C923&lt;&gt;""""),ROWS(FILTER(C$4:C923,C$4:C923&lt;&gt;""""))),""^Sell_""),INDEX(FILTER(F$4:F922,C$4:C922&lt;&gt;""""),ROWS(FILTER(C$4:C922,C$4:C922&lt;&gt;""""))),$AC$5+E923))"),"")</f>
        <v/>
      </c>
      <c r="G923" s="10" t="str">
        <f>IFERROR(__xludf.DUMMYFUNCTION("IF(COUNTA(C923:C1644)=0,"""",IF(C923="""",0,IF(REGEXMATCH(C923,""^Sell_""),-ROUNDDOWN(ROUNDUP(INDEX(Upgrades!$C$3:$C$13,MATCH(SUBSTITUTE(C923,""Sell_"",""""),Upgrades!$B$3:$B$13,0))*1.15^(COUNTIF(C$4:C922,SUBSTITUTE(C923,""Sell_"",""""))-COUNTIF(C$4:C922,"&amp;"""Sell_""&amp;SUBSTITUTE(C923,""Sell_"",""""))))/2),ROUNDUP(INDEX(Upgrades!$C$3:$C$13,MATCH(C923,Upgrades!$B$3:$B$13,0))*1.15^(COUNTIF(C$4:C922,C923)-COUNTIF(C$4:C922,""Sell_""&amp;C923))))))"),"")</f>
        <v/>
      </c>
      <c r="H923" s="10" t="str">
        <f t="shared" si="3"/>
        <v/>
      </c>
      <c r="I923" s="68" t="str">
        <f t="shared" si="4"/>
        <v/>
      </c>
      <c r="J923" s="59" t="str">
        <f t="shared" si="5"/>
        <v/>
      </c>
      <c r="K923" s="69" t="str">
        <f t="shared" si="6"/>
        <v/>
      </c>
      <c r="L923" s="60" t="str">
        <f t="shared" si="7"/>
        <v/>
      </c>
      <c r="M923" s="61" t="str">
        <f>IFERROR(__xludf.DUMMYFUNCTION("IFS(AND(COUNTA(C923:C1644)=0,COUNTA(Q923:Q1644)=0),"""",OR(AND(K923&gt;=1000000000,OR(Y923&gt;=1000000000,COUNTA(Q923:Q1644)=0)),OR(Y923&gt;=1000000000,AND(COUNTA(C923:C1644)=0,P$3=TRUE))),
ROUNDDOWN((AB$1-AC$1)*MAX(INDEX(T$4:T1644,MATCH(LARGE(FILTER(Y$4:Y1644,Y$4"&amp;":Y1644&lt;1000000000),1),Y$4:Y1644)),INDEX(F$4:F1644,MATCH(LARGE(FILTER(K$4:K1644,K$4:K1644&lt;1000000000),1),K$4:K1644)))),AND(K923&lt;1000000000,COUNTA(C923:C1644)&gt;0,P$3=FALSE),
ROUNDDOWN(INDEX(Y$4:Y1644,MATCH(LARGE(FILTER(W$4:W1644,W$4:W1644&lt;=I923),1),W$4:W1644"&amp;"))+(I923-LARGE(FILTER(W$4:W1644,W$4:W1644&lt;=I923),1))*INDEX(T$4:T1644,MATCH(LARGE(FILTER(W$4:W1644,W$4:W1644&lt;=I923),1),W$4:W1644))-K923),1,
ROUNDDOWN(Y923-INDEX(K$4:K1644,MATCH(LARGE(FILTER(I$4:I1644,I$4:I1644&lt;=W923),1),I$4:I1644))-(W923-LARGE(FILTER(I$4:I"&amp;"1644,I$4:I1644&lt;=W923),1))*INDEX(F$4:F1644,MATCH(LARGE(FILTER(I$4:I1644,I$4:I1644&lt;=W923),1),I$4:I1644))))"),"")</f>
        <v/>
      </c>
      <c r="N923" s="60" t="str">
        <f t="shared" si="8"/>
        <v/>
      </c>
      <c r="O923" s="61" t="str">
        <f t="shared" si="9"/>
        <v/>
      </c>
      <c r="P923" s="56" t="str">
        <f t="shared" si="10"/>
        <v/>
      </c>
      <c r="Q923" s="105"/>
      <c r="R923" s="10"/>
      <c r="S923" s="59" t="str">
        <f t="array" ref="S923">IF(COUNTA(Q923:Q1644)=0,"",SUM((COUNTIF(Q$4:Q923,Upgrades!$B$3:$B$13)-COUNTIF(Q$4:Q923,"Sell_"&amp;Upgrades!$B$3:$B$13))*Upgrades!$D$3:$D$13))</f>
        <v/>
      </c>
      <c r="T923" s="66" t="str">
        <f>IFERROR(__xludf.DUMMYFUNCTION("IF(COUNTA(Q923:Q1644)=0,"""",IF(REGEXMATCH(INDEX(FILTER(Q$4:Q923,Q$4:Q923&lt;&gt;""""),ROWS(FILTER(Q$4:Q923,Q$4:Q923&lt;&gt;""""))),""^Sell_""),INDEX(FILTER(T$4:T922,Q$4:Q922&lt;&gt;""""),ROWS(FILTER(Q$4:Q922,Q$4:Q922&lt;&gt;""""))),$AD$5+S923))"),"")</f>
        <v/>
      </c>
      <c r="U923" s="10" t="str">
        <f>IFERROR(__xludf.DUMMYFUNCTION("IF(COUNTA(Q923:Q1644)=0,"""",IF(Q923="""",0,IF(REGEXMATCH(Q923,""^Sell_""),-ROUNDDOWN(ROUNDUP(INDEX(Upgrades!$C$3:$C$13,MATCH(SUBSTITUTE(Q923,""Sell_"",""""),Upgrades!$B$3:$B$13,0))*1.15^(COUNTIF(Q$4:Q922,SUBSTITUTE(Q923,""Sell_"",""""))-COUNTIF(Q$4:Q922,"&amp;"""Sell_""&amp;SUBSTITUTE(Q923,""Sell_"",""""))))/2),ROUNDUP(INDEX(Upgrades!$C$3:$C$13,MATCH(Q923,Upgrades!$B$3:$B$13,0))*1.15^(COUNTIF(Q$4:Q922,Q923)-COUNTIF(Q$4:Q922,""Sell_""&amp;Q923))))))"),"")</f>
        <v/>
      </c>
      <c r="V923" s="10" t="str">
        <f t="shared" si="11"/>
        <v/>
      </c>
      <c r="W923" s="68" t="str">
        <f t="shared" si="12"/>
        <v/>
      </c>
      <c r="X923" s="59" t="str">
        <f t="shared" si="13"/>
        <v/>
      </c>
      <c r="Y923" s="69" t="str">
        <f t="shared" si="14"/>
        <v/>
      </c>
      <c r="Z923" s="11"/>
      <c r="AG923" s="59"/>
    </row>
    <row r="924">
      <c r="A924" s="8"/>
      <c r="B924" s="56" t="str">
        <f t="shared" si="2"/>
        <v/>
      </c>
      <c r="C924" s="105"/>
      <c r="D924" s="10"/>
      <c r="E924" s="59" t="str">
        <f t="array" ref="E924">IF(COUNTA(C924:C1644)=0,"",SUM((COUNTIF(C$4:C924,Upgrades!$B$3:$B$13)-COUNTIF(C$4:C924,"Sell_"&amp;Upgrades!$B$3:$B$13))*Upgrades!$D$3:$D$13))</f>
        <v/>
      </c>
      <c r="F924" s="66" t="str">
        <f>IFERROR(__xludf.DUMMYFUNCTION("IF(COUNTA(C924:C1644)=0,"""",IF(REGEXMATCH(INDEX(FILTER(C$4:C924,C$4:C924&lt;&gt;""""),ROWS(FILTER(C$4:C924,C$4:C924&lt;&gt;""""))),""^Sell_""),INDEX(FILTER(F$4:F923,C$4:C923&lt;&gt;""""),ROWS(FILTER(C$4:C923,C$4:C923&lt;&gt;""""))),$AC$5+E924))"),"")</f>
        <v/>
      </c>
      <c r="G924" s="10" t="str">
        <f>IFERROR(__xludf.DUMMYFUNCTION("IF(COUNTA(C924:C1644)=0,"""",IF(C924="""",0,IF(REGEXMATCH(C924,""^Sell_""),-ROUNDDOWN(ROUNDUP(INDEX(Upgrades!$C$3:$C$13,MATCH(SUBSTITUTE(C924,""Sell_"",""""),Upgrades!$B$3:$B$13,0))*1.15^(COUNTIF(C$4:C923,SUBSTITUTE(C924,""Sell_"",""""))-COUNTIF(C$4:C923,"&amp;"""Sell_""&amp;SUBSTITUTE(C924,""Sell_"",""""))))/2),ROUNDUP(INDEX(Upgrades!$C$3:$C$13,MATCH(C924,Upgrades!$B$3:$B$13,0))*1.15^(COUNTIF(C$4:C923,C924)-COUNTIF(C$4:C923,""Sell_""&amp;C924))))))"),"")</f>
        <v/>
      </c>
      <c r="H924" s="10" t="str">
        <f t="shared" si="3"/>
        <v/>
      </c>
      <c r="I924" s="68" t="str">
        <f t="shared" si="4"/>
        <v/>
      </c>
      <c r="J924" s="59" t="str">
        <f t="shared" si="5"/>
        <v/>
      </c>
      <c r="K924" s="69" t="str">
        <f t="shared" si="6"/>
        <v/>
      </c>
      <c r="L924" s="60" t="str">
        <f t="shared" si="7"/>
        <v/>
      </c>
      <c r="M924" s="61" t="str">
        <f>IFERROR(__xludf.DUMMYFUNCTION("IFS(AND(COUNTA(C924:C1644)=0,COUNTA(Q924:Q1644)=0),"""",OR(AND(K924&gt;=1000000000,OR(Y924&gt;=1000000000,COUNTA(Q924:Q1644)=0)),OR(Y924&gt;=1000000000,AND(COUNTA(C924:C1644)=0,P$3=TRUE))),
ROUNDDOWN((AB$1-AC$1)*MAX(INDEX(T$4:T1644,MATCH(LARGE(FILTER(Y$4:Y1644,Y$4"&amp;":Y1644&lt;1000000000),1),Y$4:Y1644)),INDEX(F$4:F1644,MATCH(LARGE(FILTER(K$4:K1644,K$4:K1644&lt;1000000000),1),K$4:K1644)))),AND(K924&lt;1000000000,COUNTA(C924:C1644)&gt;0,P$3=FALSE),
ROUNDDOWN(INDEX(Y$4:Y1644,MATCH(LARGE(FILTER(W$4:W1644,W$4:W1644&lt;=I924),1),W$4:W1644"&amp;"))+(I924-LARGE(FILTER(W$4:W1644,W$4:W1644&lt;=I924),1))*INDEX(T$4:T1644,MATCH(LARGE(FILTER(W$4:W1644,W$4:W1644&lt;=I924),1),W$4:W1644))-K924),1,
ROUNDDOWN(Y924-INDEX(K$4:K1644,MATCH(LARGE(FILTER(I$4:I1644,I$4:I1644&lt;=W924),1),I$4:I1644))-(W924-LARGE(FILTER(I$4:I"&amp;"1644,I$4:I1644&lt;=W924),1))*INDEX(F$4:F1644,MATCH(LARGE(FILTER(I$4:I1644,I$4:I1644&lt;=W924),1),I$4:I1644))))"),"")</f>
        <v/>
      </c>
      <c r="N924" s="60" t="str">
        <f t="shared" si="8"/>
        <v/>
      </c>
      <c r="O924" s="61" t="str">
        <f t="shared" si="9"/>
        <v/>
      </c>
      <c r="P924" s="56" t="str">
        <f t="shared" si="10"/>
        <v/>
      </c>
      <c r="Q924" s="105"/>
      <c r="R924" s="10"/>
      <c r="S924" s="59" t="str">
        <f t="array" ref="S924">IF(COUNTA(Q924:Q1644)=0,"",SUM((COUNTIF(Q$4:Q924,Upgrades!$B$3:$B$13)-COUNTIF(Q$4:Q924,"Sell_"&amp;Upgrades!$B$3:$B$13))*Upgrades!$D$3:$D$13))</f>
        <v/>
      </c>
      <c r="T924" s="66" t="str">
        <f>IFERROR(__xludf.DUMMYFUNCTION("IF(COUNTA(Q924:Q1644)=0,"""",IF(REGEXMATCH(INDEX(FILTER(Q$4:Q924,Q$4:Q924&lt;&gt;""""),ROWS(FILTER(Q$4:Q924,Q$4:Q924&lt;&gt;""""))),""^Sell_""),INDEX(FILTER(T$4:T923,Q$4:Q923&lt;&gt;""""),ROWS(FILTER(Q$4:Q923,Q$4:Q923&lt;&gt;""""))),$AD$5+S924))"),"")</f>
        <v/>
      </c>
      <c r="U924" s="10" t="str">
        <f>IFERROR(__xludf.DUMMYFUNCTION("IF(COUNTA(Q924:Q1644)=0,"""",IF(Q924="""",0,IF(REGEXMATCH(Q924,""^Sell_""),-ROUNDDOWN(ROUNDUP(INDEX(Upgrades!$C$3:$C$13,MATCH(SUBSTITUTE(Q924,""Sell_"",""""),Upgrades!$B$3:$B$13,0))*1.15^(COUNTIF(Q$4:Q923,SUBSTITUTE(Q924,""Sell_"",""""))-COUNTIF(Q$4:Q923,"&amp;"""Sell_""&amp;SUBSTITUTE(Q924,""Sell_"",""""))))/2),ROUNDUP(INDEX(Upgrades!$C$3:$C$13,MATCH(Q924,Upgrades!$B$3:$B$13,0))*1.15^(COUNTIF(Q$4:Q923,Q924)-COUNTIF(Q$4:Q923,""Sell_""&amp;Q924))))))"),"")</f>
        <v/>
      </c>
      <c r="V924" s="10" t="str">
        <f t="shared" si="11"/>
        <v/>
      </c>
      <c r="W924" s="68" t="str">
        <f t="shared" si="12"/>
        <v/>
      </c>
      <c r="X924" s="59" t="str">
        <f t="shared" si="13"/>
        <v/>
      </c>
      <c r="Y924" s="69" t="str">
        <f t="shared" si="14"/>
        <v/>
      </c>
      <c r="Z924" s="11"/>
      <c r="AG924" s="59"/>
    </row>
    <row r="925">
      <c r="A925" s="8"/>
      <c r="B925" s="56" t="str">
        <f t="shared" si="2"/>
        <v/>
      </c>
      <c r="C925" s="105"/>
      <c r="D925" s="10"/>
      <c r="E925" s="59" t="str">
        <f t="array" ref="E925">IF(COUNTA(C925:C1644)=0,"",SUM((COUNTIF(C$4:C925,Upgrades!$B$3:$B$13)-COUNTIF(C$4:C925,"Sell_"&amp;Upgrades!$B$3:$B$13))*Upgrades!$D$3:$D$13))</f>
        <v/>
      </c>
      <c r="F925" s="66" t="str">
        <f>IFERROR(__xludf.DUMMYFUNCTION("IF(COUNTA(C925:C1644)=0,"""",IF(REGEXMATCH(INDEX(FILTER(C$4:C925,C$4:C925&lt;&gt;""""),ROWS(FILTER(C$4:C925,C$4:C925&lt;&gt;""""))),""^Sell_""),INDEX(FILTER(F$4:F924,C$4:C924&lt;&gt;""""),ROWS(FILTER(C$4:C924,C$4:C924&lt;&gt;""""))),$AC$5+E925))"),"")</f>
        <v/>
      </c>
      <c r="G925" s="10" t="str">
        <f>IFERROR(__xludf.DUMMYFUNCTION("IF(COUNTA(C925:C1644)=0,"""",IF(C925="""",0,IF(REGEXMATCH(C925,""^Sell_""),-ROUNDDOWN(ROUNDUP(INDEX(Upgrades!$C$3:$C$13,MATCH(SUBSTITUTE(C925,""Sell_"",""""),Upgrades!$B$3:$B$13,0))*1.15^(COUNTIF(C$4:C924,SUBSTITUTE(C925,""Sell_"",""""))-COUNTIF(C$4:C924,"&amp;"""Sell_""&amp;SUBSTITUTE(C925,""Sell_"",""""))))/2),ROUNDUP(INDEX(Upgrades!$C$3:$C$13,MATCH(C925,Upgrades!$B$3:$B$13,0))*1.15^(COUNTIF(C$4:C924,C925)-COUNTIF(C$4:C924,""Sell_""&amp;C925))))))"),"")</f>
        <v/>
      </c>
      <c r="H925" s="10" t="str">
        <f t="shared" si="3"/>
        <v/>
      </c>
      <c r="I925" s="68" t="str">
        <f t="shared" si="4"/>
        <v/>
      </c>
      <c r="J925" s="59" t="str">
        <f t="shared" si="5"/>
        <v/>
      </c>
      <c r="K925" s="69" t="str">
        <f t="shared" si="6"/>
        <v/>
      </c>
      <c r="L925" s="60" t="str">
        <f t="shared" si="7"/>
        <v/>
      </c>
      <c r="M925" s="61" t="str">
        <f>IFERROR(__xludf.DUMMYFUNCTION("IFS(AND(COUNTA(C925:C1644)=0,COUNTA(Q925:Q1644)=0),"""",OR(AND(K925&gt;=1000000000,OR(Y925&gt;=1000000000,COUNTA(Q925:Q1644)=0)),OR(Y925&gt;=1000000000,AND(COUNTA(C925:C1644)=0,P$3=TRUE))),
ROUNDDOWN((AB$1-AC$1)*MAX(INDEX(T$4:T1644,MATCH(LARGE(FILTER(Y$4:Y1644,Y$4"&amp;":Y1644&lt;1000000000),1),Y$4:Y1644)),INDEX(F$4:F1644,MATCH(LARGE(FILTER(K$4:K1644,K$4:K1644&lt;1000000000),1),K$4:K1644)))),AND(K925&lt;1000000000,COUNTA(C925:C1644)&gt;0,P$3=FALSE),
ROUNDDOWN(INDEX(Y$4:Y1644,MATCH(LARGE(FILTER(W$4:W1644,W$4:W1644&lt;=I925),1),W$4:W1644"&amp;"))+(I925-LARGE(FILTER(W$4:W1644,W$4:W1644&lt;=I925),1))*INDEX(T$4:T1644,MATCH(LARGE(FILTER(W$4:W1644,W$4:W1644&lt;=I925),1),W$4:W1644))-K925),1,
ROUNDDOWN(Y925-INDEX(K$4:K1644,MATCH(LARGE(FILTER(I$4:I1644,I$4:I1644&lt;=W925),1),I$4:I1644))-(W925-LARGE(FILTER(I$4:I"&amp;"1644,I$4:I1644&lt;=W925),1))*INDEX(F$4:F1644,MATCH(LARGE(FILTER(I$4:I1644,I$4:I1644&lt;=W925),1),I$4:I1644))))"),"")</f>
        <v/>
      </c>
      <c r="N925" s="60" t="str">
        <f t="shared" si="8"/>
        <v/>
      </c>
      <c r="O925" s="61" t="str">
        <f t="shared" si="9"/>
        <v/>
      </c>
      <c r="P925" s="56" t="str">
        <f t="shared" si="10"/>
        <v/>
      </c>
      <c r="Q925" s="105"/>
      <c r="R925" s="10"/>
      <c r="S925" s="59" t="str">
        <f t="array" ref="S925">IF(COUNTA(Q925:Q1644)=0,"",SUM((COUNTIF(Q$4:Q925,Upgrades!$B$3:$B$13)-COUNTIF(Q$4:Q925,"Sell_"&amp;Upgrades!$B$3:$B$13))*Upgrades!$D$3:$D$13))</f>
        <v/>
      </c>
      <c r="T925" s="66" t="str">
        <f>IFERROR(__xludf.DUMMYFUNCTION("IF(COUNTA(Q925:Q1644)=0,"""",IF(REGEXMATCH(INDEX(FILTER(Q$4:Q925,Q$4:Q925&lt;&gt;""""),ROWS(FILTER(Q$4:Q925,Q$4:Q925&lt;&gt;""""))),""^Sell_""),INDEX(FILTER(T$4:T924,Q$4:Q924&lt;&gt;""""),ROWS(FILTER(Q$4:Q924,Q$4:Q924&lt;&gt;""""))),$AD$5+S925))"),"")</f>
        <v/>
      </c>
      <c r="U925" s="10" t="str">
        <f>IFERROR(__xludf.DUMMYFUNCTION("IF(COUNTA(Q925:Q1644)=0,"""",IF(Q925="""",0,IF(REGEXMATCH(Q925,""^Sell_""),-ROUNDDOWN(ROUNDUP(INDEX(Upgrades!$C$3:$C$13,MATCH(SUBSTITUTE(Q925,""Sell_"",""""),Upgrades!$B$3:$B$13,0))*1.15^(COUNTIF(Q$4:Q924,SUBSTITUTE(Q925,""Sell_"",""""))-COUNTIF(Q$4:Q924,"&amp;"""Sell_""&amp;SUBSTITUTE(Q925,""Sell_"",""""))))/2),ROUNDUP(INDEX(Upgrades!$C$3:$C$13,MATCH(Q925,Upgrades!$B$3:$B$13,0))*1.15^(COUNTIF(Q$4:Q924,Q925)-COUNTIF(Q$4:Q924,""Sell_""&amp;Q925))))))"),"")</f>
        <v/>
      </c>
      <c r="V925" s="10" t="str">
        <f t="shared" si="11"/>
        <v/>
      </c>
      <c r="W925" s="68" t="str">
        <f t="shared" si="12"/>
        <v/>
      </c>
      <c r="X925" s="59" t="str">
        <f t="shared" si="13"/>
        <v/>
      </c>
      <c r="Y925" s="69" t="str">
        <f t="shared" si="14"/>
        <v/>
      </c>
      <c r="Z925" s="11"/>
      <c r="AG925" s="59"/>
    </row>
    <row r="926">
      <c r="A926" s="8"/>
      <c r="B926" s="56" t="str">
        <f t="shared" si="2"/>
        <v/>
      </c>
      <c r="C926" s="105"/>
      <c r="D926" s="10"/>
      <c r="E926" s="59" t="str">
        <f t="array" ref="E926">IF(COUNTA(C926:C1644)=0,"",SUM((COUNTIF(C$4:C926,Upgrades!$B$3:$B$13)-COUNTIF(C$4:C926,"Sell_"&amp;Upgrades!$B$3:$B$13))*Upgrades!$D$3:$D$13))</f>
        <v/>
      </c>
      <c r="F926" s="66" t="str">
        <f>IFERROR(__xludf.DUMMYFUNCTION("IF(COUNTA(C926:C1644)=0,"""",IF(REGEXMATCH(INDEX(FILTER(C$4:C926,C$4:C926&lt;&gt;""""),ROWS(FILTER(C$4:C926,C$4:C926&lt;&gt;""""))),""^Sell_""),INDEX(FILTER(F$4:F925,C$4:C925&lt;&gt;""""),ROWS(FILTER(C$4:C925,C$4:C925&lt;&gt;""""))),$AC$5+E926))"),"")</f>
        <v/>
      </c>
      <c r="G926" s="10" t="str">
        <f>IFERROR(__xludf.DUMMYFUNCTION("IF(COUNTA(C926:C1644)=0,"""",IF(C926="""",0,IF(REGEXMATCH(C926,""^Sell_""),-ROUNDDOWN(ROUNDUP(INDEX(Upgrades!$C$3:$C$13,MATCH(SUBSTITUTE(C926,""Sell_"",""""),Upgrades!$B$3:$B$13,0))*1.15^(COUNTIF(C$4:C925,SUBSTITUTE(C926,""Sell_"",""""))-COUNTIF(C$4:C925,"&amp;"""Sell_""&amp;SUBSTITUTE(C926,""Sell_"",""""))))/2),ROUNDUP(INDEX(Upgrades!$C$3:$C$13,MATCH(C926,Upgrades!$B$3:$B$13,0))*1.15^(COUNTIF(C$4:C925,C926)-COUNTIF(C$4:C925,""Sell_""&amp;C926))))))"),"")</f>
        <v/>
      </c>
      <c r="H926" s="10" t="str">
        <f t="shared" si="3"/>
        <v/>
      </c>
      <c r="I926" s="68" t="str">
        <f t="shared" si="4"/>
        <v/>
      </c>
      <c r="J926" s="59" t="str">
        <f t="shared" si="5"/>
        <v/>
      </c>
      <c r="K926" s="69" t="str">
        <f t="shared" si="6"/>
        <v/>
      </c>
      <c r="L926" s="60" t="str">
        <f t="shared" si="7"/>
        <v/>
      </c>
      <c r="M926" s="61" t="str">
        <f>IFERROR(__xludf.DUMMYFUNCTION("IFS(AND(COUNTA(C926:C1644)=0,COUNTA(Q926:Q1644)=0),"""",OR(AND(K926&gt;=1000000000,OR(Y926&gt;=1000000000,COUNTA(Q926:Q1644)=0)),OR(Y926&gt;=1000000000,AND(COUNTA(C926:C1644)=0,P$3=TRUE))),
ROUNDDOWN((AB$1-AC$1)*MAX(INDEX(T$4:T1644,MATCH(LARGE(FILTER(Y$4:Y1644,Y$4"&amp;":Y1644&lt;1000000000),1),Y$4:Y1644)),INDEX(F$4:F1644,MATCH(LARGE(FILTER(K$4:K1644,K$4:K1644&lt;1000000000),1),K$4:K1644)))),AND(K926&lt;1000000000,COUNTA(C926:C1644)&gt;0,P$3=FALSE),
ROUNDDOWN(INDEX(Y$4:Y1644,MATCH(LARGE(FILTER(W$4:W1644,W$4:W1644&lt;=I926),1),W$4:W1644"&amp;"))+(I926-LARGE(FILTER(W$4:W1644,W$4:W1644&lt;=I926),1))*INDEX(T$4:T1644,MATCH(LARGE(FILTER(W$4:W1644,W$4:W1644&lt;=I926),1),W$4:W1644))-K926),1,
ROUNDDOWN(Y926-INDEX(K$4:K1644,MATCH(LARGE(FILTER(I$4:I1644,I$4:I1644&lt;=W926),1),I$4:I1644))-(W926-LARGE(FILTER(I$4:I"&amp;"1644,I$4:I1644&lt;=W926),1))*INDEX(F$4:F1644,MATCH(LARGE(FILTER(I$4:I1644,I$4:I1644&lt;=W926),1),I$4:I1644))))"),"")</f>
        <v/>
      </c>
      <c r="N926" s="60" t="str">
        <f t="shared" si="8"/>
        <v/>
      </c>
      <c r="O926" s="61" t="str">
        <f t="shared" si="9"/>
        <v/>
      </c>
      <c r="P926" s="56" t="str">
        <f t="shared" si="10"/>
        <v/>
      </c>
      <c r="Q926" s="105"/>
      <c r="R926" s="10"/>
      <c r="S926" s="59" t="str">
        <f t="array" ref="S926">IF(COUNTA(Q926:Q1644)=0,"",SUM((COUNTIF(Q$4:Q926,Upgrades!$B$3:$B$13)-COUNTIF(Q$4:Q926,"Sell_"&amp;Upgrades!$B$3:$B$13))*Upgrades!$D$3:$D$13))</f>
        <v/>
      </c>
      <c r="T926" s="66" t="str">
        <f>IFERROR(__xludf.DUMMYFUNCTION("IF(COUNTA(Q926:Q1644)=0,"""",IF(REGEXMATCH(INDEX(FILTER(Q$4:Q926,Q$4:Q926&lt;&gt;""""),ROWS(FILTER(Q$4:Q926,Q$4:Q926&lt;&gt;""""))),""^Sell_""),INDEX(FILTER(T$4:T925,Q$4:Q925&lt;&gt;""""),ROWS(FILTER(Q$4:Q925,Q$4:Q925&lt;&gt;""""))),$AD$5+S926))"),"")</f>
        <v/>
      </c>
      <c r="U926" s="10" t="str">
        <f>IFERROR(__xludf.DUMMYFUNCTION("IF(COUNTA(Q926:Q1644)=0,"""",IF(Q926="""",0,IF(REGEXMATCH(Q926,""^Sell_""),-ROUNDDOWN(ROUNDUP(INDEX(Upgrades!$C$3:$C$13,MATCH(SUBSTITUTE(Q926,""Sell_"",""""),Upgrades!$B$3:$B$13,0))*1.15^(COUNTIF(Q$4:Q925,SUBSTITUTE(Q926,""Sell_"",""""))-COUNTIF(Q$4:Q925,"&amp;"""Sell_""&amp;SUBSTITUTE(Q926,""Sell_"",""""))))/2),ROUNDUP(INDEX(Upgrades!$C$3:$C$13,MATCH(Q926,Upgrades!$B$3:$B$13,0))*1.15^(COUNTIF(Q$4:Q925,Q926)-COUNTIF(Q$4:Q925,""Sell_""&amp;Q926))))))"),"")</f>
        <v/>
      </c>
      <c r="V926" s="10" t="str">
        <f t="shared" si="11"/>
        <v/>
      </c>
      <c r="W926" s="68" t="str">
        <f t="shared" si="12"/>
        <v/>
      </c>
      <c r="X926" s="59" t="str">
        <f t="shared" si="13"/>
        <v/>
      </c>
      <c r="Y926" s="69" t="str">
        <f t="shared" si="14"/>
        <v/>
      </c>
      <c r="Z926" s="11"/>
      <c r="AG926" s="59"/>
    </row>
    <row r="927">
      <c r="A927" s="8"/>
      <c r="B927" s="56" t="str">
        <f t="shared" si="2"/>
        <v/>
      </c>
      <c r="C927" s="105"/>
      <c r="D927" s="10"/>
      <c r="E927" s="59" t="str">
        <f t="array" ref="E927">IF(COUNTA(C927:C1644)=0,"",SUM((COUNTIF(C$4:C927,Upgrades!$B$3:$B$13)-COUNTIF(C$4:C927,"Sell_"&amp;Upgrades!$B$3:$B$13))*Upgrades!$D$3:$D$13))</f>
        <v/>
      </c>
      <c r="F927" s="66" t="str">
        <f>IFERROR(__xludf.DUMMYFUNCTION("IF(COUNTA(C927:C1644)=0,"""",IF(REGEXMATCH(INDEX(FILTER(C$4:C927,C$4:C927&lt;&gt;""""),ROWS(FILTER(C$4:C927,C$4:C927&lt;&gt;""""))),""^Sell_""),INDEX(FILTER(F$4:F926,C$4:C926&lt;&gt;""""),ROWS(FILTER(C$4:C926,C$4:C926&lt;&gt;""""))),$AC$5+E927))"),"")</f>
        <v/>
      </c>
      <c r="G927" s="10" t="str">
        <f>IFERROR(__xludf.DUMMYFUNCTION("IF(COUNTA(C927:C1644)=0,"""",IF(C927="""",0,IF(REGEXMATCH(C927,""^Sell_""),-ROUNDDOWN(ROUNDUP(INDEX(Upgrades!$C$3:$C$13,MATCH(SUBSTITUTE(C927,""Sell_"",""""),Upgrades!$B$3:$B$13,0))*1.15^(COUNTIF(C$4:C926,SUBSTITUTE(C927,""Sell_"",""""))-COUNTIF(C$4:C926,"&amp;"""Sell_""&amp;SUBSTITUTE(C927,""Sell_"",""""))))/2),ROUNDUP(INDEX(Upgrades!$C$3:$C$13,MATCH(C927,Upgrades!$B$3:$B$13,0))*1.15^(COUNTIF(C$4:C926,C927)-COUNTIF(C$4:C926,""Sell_""&amp;C927))))))"),"")</f>
        <v/>
      </c>
      <c r="H927" s="10" t="str">
        <f t="shared" si="3"/>
        <v/>
      </c>
      <c r="I927" s="68" t="str">
        <f t="shared" si="4"/>
        <v/>
      </c>
      <c r="J927" s="59" t="str">
        <f t="shared" si="5"/>
        <v/>
      </c>
      <c r="K927" s="69" t="str">
        <f t="shared" si="6"/>
        <v/>
      </c>
      <c r="L927" s="60" t="str">
        <f t="shared" si="7"/>
        <v/>
      </c>
      <c r="M927" s="61" t="str">
        <f>IFERROR(__xludf.DUMMYFUNCTION("IFS(AND(COUNTA(C927:C1644)=0,COUNTA(Q927:Q1644)=0),"""",OR(AND(K927&gt;=1000000000,OR(Y927&gt;=1000000000,COUNTA(Q927:Q1644)=0)),OR(Y927&gt;=1000000000,AND(COUNTA(C927:C1644)=0,P$3=TRUE))),
ROUNDDOWN((AB$1-AC$1)*MAX(INDEX(T$4:T1644,MATCH(LARGE(FILTER(Y$4:Y1644,Y$4"&amp;":Y1644&lt;1000000000),1),Y$4:Y1644)),INDEX(F$4:F1644,MATCH(LARGE(FILTER(K$4:K1644,K$4:K1644&lt;1000000000),1),K$4:K1644)))),AND(K927&lt;1000000000,COUNTA(C927:C1644)&gt;0,P$3=FALSE),
ROUNDDOWN(INDEX(Y$4:Y1644,MATCH(LARGE(FILTER(W$4:W1644,W$4:W1644&lt;=I927),1),W$4:W1644"&amp;"))+(I927-LARGE(FILTER(W$4:W1644,W$4:W1644&lt;=I927),1))*INDEX(T$4:T1644,MATCH(LARGE(FILTER(W$4:W1644,W$4:W1644&lt;=I927),1),W$4:W1644))-K927),1,
ROUNDDOWN(Y927-INDEX(K$4:K1644,MATCH(LARGE(FILTER(I$4:I1644,I$4:I1644&lt;=W927),1),I$4:I1644))-(W927-LARGE(FILTER(I$4:I"&amp;"1644,I$4:I1644&lt;=W927),1))*INDEX(F$4:F1644,MATCH(LARGE(FILTER(I$4:I1644,I$4:I1644&lt;=W927),1),I$4:I1644))))"),"")</f>
        <v/>
      </c>
      <c r="N927" s="60" t="str">
        <f t="shared" si="8"/>
        <v/>
      </c>
      <c r="O927" s="61" t="str">
        <f t="shared" si="9"/>
        <v/>
      </c>
      <c r="P927" s="56" t="str">
        <f t="shared" si="10"/>
        <v/>
      </c>
      <c r="Q927" s="105"/>
      <c r="R927" s="10"/>
      <c r="S927" s="59" t="str">
        <f t="array" ref="S927">IF(COUNTA(Q927:Q1644)=0,"",SUM((COUNTIF(Q$4:Q927,Upgrades!$B$3:$B$13)-COUNTIF(Q$4:Q927,"Sell_"&amp;Upgrades!$B$3:$B$13))*Upgrades!$D$3:$D$13))</f>
        <v/>
      </c>
      <c r="T927" s="66" t="str">
        <f>IFERROR(__xludf.DUMMYFUNCTION("IF(COUNTA(Q927:Q1644)=0,"""",IF(REGEXMATCH(INDEX(FILTER(Q$4:Q927,Q$4:Q927&lt;&gt;""""),ROWS(FILTER(Q$4:Q927,Q$4:Q927&lt;&gt;""""))),""^Sell_""),INDEX(FILTER(T$4:T926,Q$4:Q926&lt;&gt;""""),ROWS(FILTER(Q$4:Q926,Q$4:Q926&lt;&gt;""""))),$AD$5+S927))"),"")</f>
        <v/>
      </c>
      <c r="U927" s="10" t="str">
        <f>IFERROR(__xludf.DUMMYFUNCTION("IF(COUNTA(Q927:Q1644)=0,"""",IF(Q927="""",0,IF(REGEXMATCH(Q927,""^Sell_""),-ROUNDDOWN(ROUNDUP(INDEX(Upgrades!$C$3:$C$13,MATCH(SUBSTITUTE(Q927,""Sell_"",""""),Upgrades!$B$3:$B$13,0))*1.15^(COUNTIF(Q$4:Q926,SUBSTITUTE(Q927,""Sell_"",""""))-COUNTIF(Q$4:Q926,"&amp;"""Sell_""&amp;SUBSTITUTE(Q927,""Sell_"",""""))))/2),ROUNDUP(INDEX(Upgrades!$C$3:$C$13,MATCH(Q927,Upgrades!$B$3:$B$13,0))*1.15^(COUNTIF(Q$4:Q926,Q927)-COUNTIF(Q$4:Q926,""Sell_""&amp;Q927))))))"),"")</f>
        <v/>
      </c>
      <c r="V927" s="10" t="str">
        <f t="shared" si="11"/>
        <v/>
      </c>
      <c r="W927" s="68" t="str">
        <f t="shared" si="12"/>
        <v/>
      </c>
      <c r="X927" s="59" t="str">
        <f t="shared" si="13"/>
        <v/>
      </c>
      <c r="Y927" s="69" t="str">
        <f t="shared" si="14"/>
        <v/>
      </c>
      <c r="Z927" s="11"/>
      <c r="AG927" s="59"/>
    </row>
    <row r="928">
      <c r="A928" s="8"/>
      <c r="B928" s="56" t="str">
        <f t="shared" si="2"/>
        <v/>
      </c>
      <c r="C928" s="105"/>
      <c r="D928" s="10"/>
      <c r="E928" s="59" t="str">
        <f t="array" ref="E928">IF(COUNTA(C928:C1644)=0,"",SUM((COUNTIF(C$4:C928,Upgrades!$B$3:$B$13)-COUNTIF(C$4:C928,"Sell_"&amp;Upgrades!$B$3:$B$13))*Upgrades!$D$3:$D$13))</f>
        <v/>
      </c>
      <c r="F928" s="66" t="str">
        <f>IFERROR(__xludf.DUMMYFUNCTION("IF(COUNTA(C928:C1644)=0,"""",IF(REGEXMATCH(INDEX(FILTER(C$4:C928,C$4:C928&lt;&gt;""""),ROWS(FILTER(C$4:C928,C$4:C928&lt;&gt;""""))),""^Sell_""),INDEX(FILTER(F$4:F927,C$4:C927&lt;&gt;""""),ROWS(FILTER(C$4:C927,C$4:C927&lt;&gt;""""))),$AC$5+E928))"),"")</f>
        <v/>
      </c>
      <c r="G928" s="10" t="str">
        <f>IFERROR(__xludf.DUMMYFUNCTION("IF(COUNTA(C928:C1644)=0,"""",IF(C928="""",0,IF(REGEXMATCH(C928,""^Sell_""),-ROUNDDOWN(ROUNDUP(INDEX(Upgrades!$C$3:$C$13,MATCH(SUBSTITUTE(C928,""Sell_"",""""),Upgrades!$B$3:$B$13,0))*1.15^(COUNTIF(C$4:C927,SUBSTITUTE(C928,""Sell_"",""""))-COUNTIF(C$4:C927,"&amp;"""Sell_""&amp;SUBSTITUTE(C928,""Sell_"",""""))))/2),ROUNDUP(INDEX(Upgrades!$C$3:$C$13,MATCH(C928,Upgrades!$B$3:$B$13,0))*1.15^(COUNTIF(C$4:C927,C928)-COUNTIF(C$4:C927,""Sell_""&amp;C928))))))"),"")</f>
        <v/>
      </c>
      <c r="H928" s="10" t="str">
        <f t="shared" si="3"/>
        <v/>
      </c>
      <c r="I928" s="68" t="str">
        <f t="shared" si="4"/>
        <v/>
      </c>
      <c r="J928" s="59" t="str">
        <f t="shared" si="5"/>
        <v/>
      </c>
      <c r="K928" s="69" t="str">
        <f t="shared" si="6"/>
        <v/>
      </c>
      <c r="L928" s="60" t="str">
        <f t="shared" si="7"/>
        <v/>
      </c>
      <c r="M928" s="61" t="str">
        <f>IFERROR(__xludf.DUMMYFUNCTION("IFS(AND(COUNTA(C928:C1644)=0,COUNTA(Q928:Q1644)=0),"""",OR(AND(K928&gt;=1000000000,OR(Y928&gt;=1000000000,COUNTA(Q928:Q1644)=0)),OR(Y928&gt;=1000000000,AND(COUNTA(C928:C1644)=0,P$3=TRUE))),
ROUNDDOWN((AB$1-AC$1)*MAX(INDEX(T$4:T1644,MATCH(LARGE(FILTER(Y$4:Y1644,Y$4"&amp;":Y1644&lt;1000000000),1),Y$4:Y1644)),INDEX(F$4:F1644,MATCH(LARGE(FILTER(K$4:K1644,K$4:K1644&lt;1000000000),1),K$4:K1644)))),AND(K928&lt;1000000000,COUNTA(C928:C1644)&gt;0,P$3=FALSE),
ROUNDDOWN(INDEX(Y$4:Y1644,MATCH(LARGE(FILTER(W$4:W1644,W$4:W1644&lt;=I928),1),W$4:W1644"&amp;"))+(I928-LARGE(FILTER(W$4:W1644,W$4:W1644&lt;=I928),1))*INDEX(T$4:T1644,MATCH(LARGE(FILTER(W$4:W1644,W$4:W1644&lt;=I928),1),W$4:W1644))-K928),1,
ROUNDDOWN(Y928-INDEX(K$4:K1644,MATCH(LARGE(FILTER(I$4:I1644,I$4:I1644&lt;=W928),1),I$4:I1644))-(W928-LARGE(FILTER(I$4:I"&amp;"1644,I$4:I1644&lt;=W928),1))*INDEX(F$4:F1644,MATCH(LARGE(FILTER(I$4:I1644,I$4:I1644&lt;=W928),1),I$4:I1644))))"),"")</f>
        <v/>
      </c>
      <c r="N928" s="60" t="str">
        <f t="shared" si="8"/>
        <v/>
      </c>
      <c r="O928" s="61" t="str">
        <f t="shared" si="9"/>
        <v/>
      </c>
      <c r="P928" s="56" t="str">
        <f t="shared" si="10"/>
        <v/>
      </c>
      <c r="Q928" s="105"/>
      <c r="R928" s="10"/>
      <c r="S928" s="59" t="str">
        <f t="array" ref="S928">IF(COUNTA(Q928:Q1644)=0,"",SUM((COUNTIF(Q$4:Q928,Upgrades!$B$3:$B$13)-COUNTIF(Q$4:Q928,"Sell_"&amp;Upgrades!$B$3:$B$13))*Upgrades!$D$3:$D$13))</f>
        <v/>
      </c>
      <c r="T928" s="66" t="str">
        <f>IFERROR(__xludf.DUMMYFUNCTION("IF(COUNTA(Q928:Q1644)=0,"""",IF(REGEXMATCH(INDEX(FILTER(Q$4:Q928,Q$4:Q928&lt;&gt;""""),ROWS(FILTER(Q$4:Q928,Q$4:Q928&lt;&gt;""""))),""^Sell_""),INDEX(FILTER(T$4:T927,Q$4:Q927&lt;&gt;""""),ROWS(FILTER(Q$4:Q927,Q$4:Q927&lt;&gt;""""))),$AD$5+S928))"),"")</f>
        <v/>
      </c>
      <c r="U928" s="10" t="str">
        <f>IFERROR(__xludf.DUMMYFUNCTION("IF(COUNTA(Q928:Q1644)=0,"""",IF(Q928="""",0,IF(REGEXMATCH(Q928,""^Sell_""),-ROUNDDOWN(ROUNDUP(INDEX(Upgrades!$C$3:$C$13,MATCH(SUBSTITUTE(Q928,""Sell_"",""""),Upgrades!$B$3:$B$13,0))*1.15^(COUNTIF(Q$4:Q927,SUBSTITUTE(Q928,""Sell_"",""""))-COUNTIF(Q$4:Q927,"&amp;"""Sell_""&amp;SUBSTITUTE(Q928,""Sell_"",""""))))/2),ROUNDUP(INDEX(Upgrades!$C$3:$C$13,MATCH(Q928,Upgrades!$B$3:$B$13,0))*1.15^(COUNTIF(Q$4:Q927,Q928)-COUNTIF(Q$4:Q927,""Sell_""&amp;Q928))))))"),"")</f>
        <v/>
      </c>
      <c r="V928" s="10" t="str">
        <f t="shared" si="11"/>
        <v/>
      </c>
      <c r="W928" s="68" t="str">
        <f t="shared" si="12"/>
        <v/>
      </c>
      <c r="X928" s="59" t="str">
        <f t="shared" si="13"/>
        <v/>
      </c>
      <c r="Y928" s="69" t="str">
        <f t="shared" si="14"/>
        <v/>
      </c>
      <c r="Z928" s="11"/>
      <c r="AG928" s="59"/>
    </row>
    <row r="929">
      <c r="A929" s="8"/>
      <c r="B929" s="56" t="str">
        <f t="shared" si="2"/>
        <v/>
      </c>
      <c r="C929" s="105"/>
      <c r="D929" s="10"/>
      <c r="E929" s="59" t="str">
        <f t="array" ref="E929">IF(COUNTA(C929:C1644)=0,"",SUM((COUNTIF(C$4:C929,Upgrades!$B$3:$B$13)-COUNTIF(C$4:C929,"Sell_"&amp;Upgrades!$B$3:$B$13))*Upgrades!$D$3:$D$13))</f>
        <v/>
      </c>
      <c r="F929" s="66" t="str">
        <f>IFERROR(__xludf.DUMMYFUNCTION("IF(COUNTA(C929:C1644)=0,"""",IF(REGEXMATCH(INDEX(FILTER(C$4:C929,C$4:C929&lt;&gt;""""),ROWS(FILTER(C$4:C929,C$4:C929&lt;&gt;""""))),""^Sell_""),INDEX(FILTER(F$4:F928,C$4:C928&lt;&gt;""""),ROWS(FILTER(C$4:C928,C$4:C928&lt;&gt;""""))),$AC$5+E929))"),"")</f>
        <v/>
      </c>
      <c r="G929" s="10" t="str">
        <f>IFERROR(__xludf.DUMMYFUNCTION("IF(COUNTA(C929:C1644)=0,"""",IF(C929="""",0,IF(REGEXMATCH(C929,""^Sell_""),-ROUNDDOWN(ROUNDUP(INDEX(Upgrades!$C$3:$C$13,MATCH(SUBSTITUTE(C929,""Sell_"",""""),Upgrades!$B$3:$B$13,0))*1.15^(COUNTIF(C$4:C928,SUBSTITUTE(C929,""Sell_"",""""))-COUNTIF(C$4:C928,"&amp;"""Sell_""&amp;SUBSTITUTE(C929,""Sell_"",""""))))/2),ROUNDUP(INDEX(Upgrades!$C$3:$C$13,MATCH(C929,Upgrades!$B$3:$B$13,0))*1.15^(COUNTIF(C$4:C928,C929)-COUNTIF(C$4:C928,""Sell_""&amp;C929))))))"),"")</f>
        <v/>
      </c>
      <c r="H929" s="10" t="str">
        <f t="shared" si="3"/>
        <v/>
      </c>
      <c r="I929" s="68" t="str">
        <f t="shared" si="4"/>
        <v/>
      </c>
      <c r="J929" s="59" t="str">
        <f t="shared" si="5"/>
        <v/>
      </c>
      <c r="K929" s="69" t="str">
        <f t="shared" si="6"/>
        <v/>
      </c>
      <c r="L929" s="60" t="str">
        <f t="shared" si="7"/>
        <v/>
      </c>
      <c r="M929" s="61" t="str">
        <f>IFERROR(__xludf.DUMMYFUNCTION("IFS(AND(COUNTA(C929:C1644)=0,COUNTA(Q929:Q1644)=0),"""",OR(AND(K929&gt;=1000000000,OR(Y929&gt;=1000000000,COUNTA(Q929:Q1644)=0)),OR(Y929&gt;=1000000000,AND(COUNTA(C929:C1644)=0,P$3=TRUE))),
ROUNDDOWN((AB$1-AC$1)*MAX(INDEX(T$4:T1644,MATCH(LARGE(FILTER(Y$4:Y1644,Y$4"&amp;":Y1644&lt;1000000000),1),Y$4:Y1644)),INDEX(F$4:F1644,MATCH(LARGE(FILTER(K$4:K1644,K$4:K1644&lt;1000000000),1),K$4:K1644)))),AND(K929&lt;1000000000,COUNTA(C929:C1644)&gt;0,P$3=FALSE),
ROUNDDOWN(INDEX(Y$4:Y1644,MATCH(LARGE(FILTER(W$4:W1644,W$4:W1644&lt;=I929),1),W$4:W1644"&amp;"))+(I929-LARGE(FILTER(W$4:W1644,W$4:W1644&lt;=I929),1))*INDEX(T$4:T1644,MATCH(LARGE(FILTER(W$4:W1644,W$4:W1644&lt;=I929),1),W$4:W1644))-K929),1,
ROUNDDOWN(Y929-INDEX(K$4:K1644,MATCH(LARGE(FILTER(I$4:I1644,I$4:I1644&lt;=W929),1),I$4:I1644))-(W929-LARGE(FILTER(I$4:I"&amp;"1644,I$4:I1644&lt;=W929),1))*INDEX(F$4:F1644,MATCH(LARGE(FILTER(I$4:I1644,I$4:I1644&lt;=W929),1),I$4:I1644))))"),"")</f>
        <v/>
      </c>
      <c r="N929" s="60" t="str">
        <f t="shared" si="8"/>
        <v/>
      </c>
      <c r="O929" s="61" t="str">
        <f t="shared" si="9"/>
        <v/>
      </c>
      <c r="P929" s="56" t="str">
        <f t="shared" si="10"/>
        <v/>
      </c>
      <c r="Q929" s="105"/>
      <c r="R929" s="10"/>
      <c r="S929" s="59" t="str">
        <f t="array" ref="S929">IF(COUNTA(Q929:Q1644)=0,"",SUM((COUNTIF(Q$4:Q929,Upgrades!$B$3:$B$13)-COUNTIF(Q$4:Q929,"Sell_"&amp;Upgrades!$B$3:$B$13))*Upgrades!$D$3:$D$13))</f>
        <v/>
      </c>
      <c r="T929" s="66" t="str">
        <f>IFERROR(__xludf.DUMMYFUNCTION("IF(COUNTA(Q929:Q1644)=0,"""",IF(REGEXMATCH(INDEX(FILTER(Q$4:Q929,Q$4:Q929&lt;&gt;""""),ROWS(FILTER(Q$4:Q929,Q$4:Q929&lt;&gt;""""))),""^Sell_""),INDEX(FILTER(T$4:T928,Q$4:Q928&lt;&gt;""""),ROWS(FILTER(Q$4:Q928,Q$4:Q928&lt;&gt;""""))),$AD$5+S929))"),"")</f>
        <v/>
      </c>
      <c r="U929" s="10" t="str">
        <f>IFERROR(__xludf.DUMMYFUNCTION("IF(COUNTA(Q929:Q1644)=0,"""",IF(Q929="""",0,IF(REGEXMATCH(Q929,""^Sell_""),-ROUNDDOWN(ROUNDUP(INDEX(Upgrades!$C$3:$C$13,MATCH(SUBSTITUTE(Q929,""Sell_"",""""),Upgrades!$B$3:$B$13,0))*1.15^(COUNTIF(Q$4:Q928,SUBSTITUTE(Q929,""Sell_"",""""))-COUNTIF(Q$4:Q928,"&amp;"""Sell_""&amp;SUBSTITUTE(Q929,""Sell_"",""""))))/2),ROUNDUP(INDEX(Upgrades!$C$3:$C$13,MATCH(Q929,Upgrades!$B$3:$B$13,0))*1.15^(COUNTIF(Q$4:Q928,Q929)-COUNTIF(Q$4:Q928,""Sell_""&amp;Q929))))))"),"")</f>
        <v/>
      </c>
      <c r="V929" s="10" t="str">
        <f t="shared" si="11"/>
        <v/>
      </c>
      <c r="W929" s="68" t="str">
        <f t="shared" si="12"/>
        <v/>
      </c>
      <c r="X929" s="59" t="str">
        <f t="shared" si="13"/>
        <v/>
      </c>
      <c r="Y929" s="69" t="str">
        <f t="shared" si="14"/>
        <v/>
      </c>
      <c r="Z929" s="11"/>
      <c r="AG929" s="59"/>
    </row>
    <row r="930">
      <c r="A930" s="8"/>
      <c r="B930" s="56" t="str">
        <f t="shared" si="2"/>
        <v/>
      </c>
      <c r="C930" s="105"/>
      <c r="D930" s="10"/>
      <c r="E930" s="59" t="str">
        <f t="array" ref="E930">IF(COUNTA(C930:C1644)=0,"",SUM((COUNTIF(C$4:C930,Upgrades!$B$3:$B$13)-COUNTIF(C$4:C930,"Sell_"&amp;Upgrades!$B$3:$B$13))*Upgrades!$D$3:$D$13))</f>
        <v/>
      </c>
      <c r="F930" s="66" t="str">
        <f>IFERROR(__xludf.DUMMYFUNCTION("IF(COUNTA(C930:C1644)=0,"""",IF(REGEXMATCH(INDEX(FILTER(C$4:C930,C$4:C930&lt;&gt;""""),ROWS(FILTER(C$4:C930,C$4:C930&lt;&gt;""""))),""^Sell_""),INDEX(FILTER(F$4:F929,C$4:C929&lt;&gt;""""),ROWS(FILTER(C$4:C929,C$4:C929&lt;&gt;""""))),$AC$5+E930))"),"")</f>
        <v/>
      </c>
      <c r="G930" s="10" t="str">
        <f>IFERROR(__xludf.DUMMYFUNCTION("IF(COUNTA(C930:C1644)=0,"""",IF(C930="""",0,IF(REGEXMATCH(C930,""^Sell_""),-ROUNDDOWN(ROUNDUP(INDEX(Upgrades!$C$3:$C$13,MATCH(SUBSTITUTE(C930,""Sell_"",""""),Upgrades!$B$3:$B$13,0))*1.15^(COUNTIF(C$4:C929,SUBSTITUTE(C930,""Sell_"",""""))-COUNTIF(C$4:C929,"&amp;"""Sell_""&amp;SUBSTITUTE(C930,""Sell_"",""""))))/2),ROUNDUP(INDEX(Upgrades!$C$3:$C$13,MATCH(C930,Upgrades!$B$3:$B$13,0))*1.15^(COUNTIF(C$4:C929,C930)-COUNTIF(C$4:C929,""Sell_""&amp;C930))))))"),"")</f>
        <v/>
      </c>
      <c r="H930" s="10" t="str">
        <f t="shared" si="3"/>
        <v/>
      </c>
      <c r="I930" s="68" t="str">
        <f t="shared" si="4"/>
        <v/>
      </c>
      <c r="J930" s="59" t="str">
        <f t="shared" si="5"/>
        <v/>
      </c>
      <c r="K930" s="69" t="str">
        <f t="shared" si="6"/>
        <v/>
      </c>
      <c r="L930" s="60" t="str">
        <f t="shared" si="7"/>
        <v/>
      </c>
      <c r="M930" s="61" t="str">
        <f>IFERROR(__xludf.DUMMYFUNCTION("IFS(AND(COUNTA(C930:C1644)=0,COUNTA(Q930:Q1644)=0),"""",OR(AND(K930&gt;=1000000000,OR(Y930&gt;=1000000000,COUNTA(Q930:Q1644)=0)),OR(Y930&gt;=1000000000,AND(COUNTA(C930:C1644)=0,P$3=TRUE))),
ROUNDDOWN((AB$1-AC$1)*MAX(INDEX(T$4:T1644,MATCH(LARGE(FILTER(Y$4:Y1644,Y$4"&amp;":Y1644&lt;1000000000),1),Y$4:Y1644)),INDEX(F$4:F1644,MATCH(LARGE(FILTER(K$4:K1644,K$4:K1644&lt;1000000000),1),K$4:K1644)))),AND(K930&lt;1000000000,COUNTA(C930:C1644)&gt;0,P$3=FALSE),
ROUNDDOWN(INDEX(Y$4:Y1644,MATCH(LARGE(FILTER(W$4:W1644,W$4:W1644&lt;=I930),1),W$4:W1644"&amp;"))+(I930-LARGE(FILTER(W$4:W1644,W$4:W1644&lt;=I930),1))*INDEX(T$4:T1644,MATCH(LARGE(FILTER(W$4:W1644,W$4:W1644&lt;=I930),1),W$4:W1644))-K930),1,
ROUNDDOWN(Y930-INDEX(K$4:K1644,MATCH(LARGE(FILTER(I$4:I1644,I$4:I1644&lt;=W930),1),I$4:I1644))-(W930-LARGE(FILTER(I$4:I"&amp;"1644,I$4:I1644&lt;=W930),1))*INDEX(F$4:F1644,MATCH(LARGE(FILTER(I$4:I1644,I$4:I1644&lt;=W930),1),I$4:I1644))))"),"")</f>
        <v/>
      </c>
      <c r="N930" s="60" t="str">
        <f t="shared" si="8"/>
        <v/>
      </c>
      <c r="O930" s="61" t="str">
        <f t="shared" si="9"/>
        <v/>
      </c>
      <c r="P930" s="56" t="str">
        <f t="shared" si="10"/>
        <v/>
      </c>
      <c r="Q930" s="105"/>
      <c r="R930" s="10"/>
      <c r="S930" s="59" t="str">
        <f t="array" ref="S930">IF(COUNTA(Q930:Q1644)=0,"",SUM((COUNTIF(Q$4:Q930,Upgrades!$B$3:$B$13)-COUNTIF(Q$4:Q930,"Sell_"&amp;Upgrades!$B$3:$B$13))*Upgrades!$D$3:$D$13))</f>
        <v/>
      </c>
      <c r="T930" s="66" t="str">
        <f>IFERROR(__xludf.DUMMYFUNCTION("IF(COUNTA(Q930:Q1644)=0,"""",IF(REGEXMATCH(INDEX(FILTER(Q$4:Q930,Q$4:Q930&lt;&gt;""""),ROWS(FILTER(Q$4:Q930,Q$4:Q930&lt;&gt;""""))),""^Sell_""),INDEX(FILTER(T$4:T929,Q$4:Q929&lt;&gt;""""),ROWS(FILTER(Q$4:Q929,Q$4:Q929&lt;&gt;""""))),$AD$5+S930))"),"")</f>
        <v/>
      </c>
      <c r="U930" s="10" t="str">
        <f>IFERROR(__xludf.DUMMYFUNCTION("IF(COUNTA(Q930:Q1644)=0,"""",IF(Q930="""",0,IF(REGEXMATCH(Q930,""^Sell_""),-ROUNDDOWN(ROUNDUP(INDEX(Upgrades!$C$3:$C$13,MATCH(SUBSTITUTE(Q930,""Sell_"",""""),Upgrades!$B$3:$B$13,0))*1.15^(COUNTIF(Q$4:Q929,SUBSTITUTE(Q930,""Sell_"",""""))-COUNTIF(Q$4:Q929,"&amp;"""Sell_""&amp;SUBSTITUTE(Q930,""Sell_"",""""))))/2),ROUNDUP(INDEX(Upgrades!$C$3:$C$13,MATCH(Q930,Upgrades!$B$3:$B$13,0))*1.15^(COUNTIF(Q$4:Q929,Q930)-COUNTIF(Q$4:Q929,""Sell_""&amp;Q930))))))"),"")</f>
        <v/>
      </c>
      <c r="V930" s="10" t="str">
        <f t="shared" si="11"/>
        <v/>
      </c>
      <c r="W930" s="68" t="str">
        <f t="shared" si="12"/>
        <v/>
      </c>
      <c r="X930" s="59" t="str">
        <f t="shared" si="13"/>
        <v/>
      </c>
      <c r="Y930" s="69" t="str">
        <f t="shared" si="14"/>
        <v/>
      </c>
      <c r="Z930" s="11"/>
      <c r="AG930" s="59"/>
    </row>
    <row r="931">
      <c r="A931" s="8"/>
      <c r="B931" s="56" t="str">
        <f t="shared" si="2"/>
        <v/>
      </c>
      <c r="C931" s="105"/>
      <c r="D931" s="10"/>
      <c r="E931" s="59" t="str">
        <f t="array" ref="E931">IF(COUNTA(C931:C1644)=0,"",SUM((COUNTIF(C$4:C931,Upgrades!$B$3:$B$13)-COUNTIF(C$4:C931,"Sell_"&amp;Upgrades!$B$3:$B$13))*Upgrades!$D$3:$D$13))</f>
        <v/>
      </c>
      <c r="F931" s="66" t="str">
        <f>IFERROR(__xludf.DUMMYFUNCTION("IF(COUNTA(C931:C1644)=0,"""",IF(REGEXMATCH(INDEX(FILTER(C$4:C931,C$4:C931&lt;&gt;""""),ROWS(FILTER(C$4:C931,C$4:C931&lt;&gt;""""))),""^Sell_""),INDEX(FILTER(F$4:F930,C$4:C930&lt;&gt;""""),ROWS(FILTER(C$4:C930,C$4:C930&lt;&gt;""""))),$AC$5+E931))"),"")</f>
        <v/>
      </c>
      <c r="G931" s="10" t="str">
        <f>IFERROR(__xludf.DUMMYFUNCTION("IF(COUNTA(C931:C1644)=0,"""",IF(C931="""",0,IF(REGEXMATCH(C931,""^Sell_""),-ROUNDDOWN(ROUNDUP(INDEX(Upgrades!$C$3:$C$13,MATCH(SUBSTITUTE(C931,""Sell_"",""""),Upgrades!$B$3:$B$13,0))*1.15^(COUNTIF(C$4:C930,SUBSTITUTE(C931,""Sell_"",""""))-COUNTIF(C$4:C930,"&amp;"""Sell_""&amp;SUBSTITUTE(C931,""Sell_"",""""))))/2),ROUNDUP(INDEX(Upgrades!$C$3:$C$13,MATCH(C931,Upgrades!$B$3:$B$13,0))*1.15^(COUNTIF(C$4:C930,C931)-COUNTIF(C$4:C930,""Sell_""&amp;C931))))))"),"")</f>
        <v/>
      </c>
      <c r="H931" s="10" t="str">
        <f t="shared" si="3"/>
        <v/>
      </c>
      <c r="I931" s="68" t="str">
        <f t="shared" si="4"/>
        <v/>
      </c>
      <c r="J931" s="59" t="str">
        <f t="shared" si="5"/>
        <v/>
      </c>
      <c r="K931" s="69" t="str">
        <f t="shared" si="6"/>
        <v/>
      </c>
      <c r="L931" s="60" t="str">
        <f t="shared" si="7"/>
        <v/>
      </c>
      <c r="M931" s="61" t="str">
        <f>IFERROR(__xludf.DUMMYFUNCTION("IFS(AND(COUNTA(C931:C1644)=0,COUNTA(Q931:Q1644)=0),"""",OR(AND(K931&gt;=1000000000,OR(Y931&gt;=1000000000,COUNTA(Q931:Q1644)=0)),OR(Y931&gt;=1000000000,AND(COUNTA(C931:C1644)=0,P$3=TRUE))),
ROUNDDOWN((AB$1-AC$1)*MAX(INDEX(T$4:T1644,MATCH(LARGE(FILTER(Y$4:Y1644,Y$4"&amp;":Y1644&lt;1000000000),1),Y$4:Y1644)),INDEX(F$4:F1644,MATCH(LARGE(FILTER(K$4:K1644,K$4:K1644&lt;1000000000),1),K$4:K1644)))),AND(K931&lt;1000000000,COUNTA(C931:C1644)&gt;0,P$3=FALSE),
ROUNDDOWN(INDEX(Y$4:Y1644,MATCH(LARGE(FILTER(W$4:W1644,W$4:W1644&lt;=I931),1),W$4:W1644"&amp;"))+(I931-LARGE(FILTER(W$4:W1644,W$4:W1644&lt;=I931),1))*INDEX(T$4:T1644,MATCH(LARGE(FILTER(W$4:W1644,W$4:W1644&lt;=I931),1),W$4:W1644))-K931),1,
ROUNDDOWN(Y931-INDEX(K$4:K1644,MATCH(LARGE(FILTER(I$4:I1644,I$4:I1644&lt;=W931),1),I$4:I1644))-(W931-LARGE(FILTER(I$4:I"&amp;"1644,I$4:I1644&lt;=W931),1))*INDEX(F$4:F1644,MATCH(LARGE(FILTER(I$4:I1644,I$4:I1644&lt;=W931),1),I$4:I1644))))"),"")</f>
        <v/>
      </c>
      <c r="N931" s="60" t="str">
        <f t="shared" si="8"/>
        <v/>
      </c>
      <c r="O931" s="61" t="str">
        <f t="shared" si="9"/>
        <v/>
      </c>
      <c r="P931" s="56" t="str">
        <f t="shared" si="10"/>
        <v/>
      </c>
      <c r="Q931" s="105"/>
      <c r="R931" s="10"/>
      <c r="S931" s="59" t="str">
        <f t="array" ref="S931">IF(COUNTA(Q931:Q1644)=0,"",SUM((COUNTIF(Q$4:Q931,Upgrades!$B$3:$B$13)-COUNTIF(Q$4:Q931,"Sell_"&amp;Upgrades!$B$3:$B$13))*Upgrades!$D$3:$D$13))</f>
        <v/>
      </c>
      <c r="T931" s="66" t="str">
        <f>IFERROR(__xludf.DUMMYFUNCTION("IF(COUNTA(Q931:Q1644)=0,"""",IF(REGEXMATCH(INDEX(FILTER(Q$4:Q931,Q$4:Q931&lt;&gt;""""),ROWS(FILTER(Q$4:Q931,Q$4:Q931&lt;&gt;""""))),""^Sell_""),INDEX(FILTER(T$4:T930,Q$4:Q930&lt;&gt;""""),ROWS(FILTER(Q$4:Q930,Q$4:Q930&lt;&gt;""""))),$AD$5+S931))"),"")</f>
        <v/>
      </c>
      <c r="U931" s="10" t="str">
        <f>IFERROR(__xludf.DUMMYFUNCTION("IF(COUNTA(Q931:Q1644)=0,"""",IF(Q931="""",0,IF(REGEXMATCH(Q931,""^Sell_""),-ROUNDDOWN(ROUNDUP(INDEX(Upgrades!$C$3:$C$13,MATCH(SUBSTITUTE(Q931,""Sell_"",""""),Upgrades!$B$3:$B$13,0))*1.15^(COUNTIF(Q$4:Q930,SUBSTITUTE(Q931,""Sell_"",""""))-COUNTIF(Q$4:Q930,"&amp;"""Sell_""&amp;SUBSTITUTE(Q931,""Sell_"",""""))))/2),ROUNDUP(INDEX(Upgrades!$C$3:$C$13,MATCH(Q931,Upgrades!$B$3:$B$13,0))*1.15^(COUNTIF(Q$4:Q930,Q931)-COUNTIF(Q$4:Q930,""Sell_""&amp;Q931))))))"),"")</f>
        <v/>
      </c>
      <c r="V931" s="10" t="str">
        <f t="shared" si="11"/>
        <v/>
      </c>
      <c r="W931" s="68" t="str">
        <f t="shared" si="12"/>
        <v/>
      </c>
      <c r="X931" s="59" t="str">
        <f t="shared" si="13"/>
        <v/>
      </c>
      <c r="Y931" s="69" t="str">
        <f t="shared" si="14"/>
        <v/>
      </c>
      <c r="Z931" s="11"/>
      <c r="AG931" s="59"/>
    </row>
    <row r="932">
      <c r="A932" s="8"/>
      <c r="B932" s="56" t="str">
        <f t="shared" si="2"/>
        <v/>
      </c>
      <c r="C932" s="105"/>
      <c r="D932" s="10"/>
      <c r="E932" s="59" t="str">
        <f t="array" ref="E932">IF(COUNTA(C932:C1644)=0,"",SUM((COUNTIF(C$4:C932,Upgrades!$B$3:$B$13)-COUNTIF(C$4:C932,"Sell_"&amp;Upgrades!$B$3:$B$13))*Upgrades!$D$3:$D$13))</f>
        <v/>
      </c>
      <c r="F932" s="66" t="str">
        <f>IFERROR(__xludf.DUMMYFUNCTION("IF(COUNTA(C932:C1644)=0,"""",IF(REGEXMATCH(INDEX(FILTER(C$4:C932,C$4:C932&lt;&gt;""""),ROWS(FILTER(C$4:C932,C$4:C932&lt;&gt;""""))),""^Sell_""),INDEX(FILTER(F$4:F931,C$4:C931&lt;&gt;""""),ROWS(FILTER(C$4:C931,C$4:C931&lt;&gt;""""))),$AC$5+E932))"),"")</f>
        <v/>
      </c>
      <c r="G932" s="10" t="str">
        <f>IFERROR(__xludf.DUMMYFUNCTION("IF(COUNTA(C932:C1644)=0,"""",IF(C932="""",0,IF(REGEXMATCH(C932,""^Sell_""),-ROUNDDOWN(ROUNDUP(INDEX(Upgrades!$C$3:$C$13,MATCH(SUBSTITUTE(C932,""Sell_"",""""),Upgrades!$B$3:$B$13,0))*1.15^(COUNTIF(C$4:C931,SUBSTITUTE(C932,""Sell_"",""""))-COUNTIF(C$4:C931,"&amp;"""Sell_""&amp;SUBSTITUTE(C932,""Sell_"",""""))))/2),ROUNDUP(INDEX(Upgrades!$C$3:$C$13,MATCH(C932,Upgrades!$B$3:$B$13,0))*1.15^(COUNTIF(C$4:C931,C932)-COUNTIF(C$4:C931,""Sell_""&amp;C932))))))"),"")</f>
        <v/>
      </c>
      <c r="H932" s="10" t="str">
        <f t="shared" si="3"/>
        <v/>
      </c>
      <c r="I932" s="68" t="str">
        <f t="shared" si="4"/>
        <v/>
      </c>
      <c r="J932" s="59" t="str">
        <f t="shared" si="5"/>
        <v/>
      </c>
      <c r="K932" s="69" t="str">
        <f t="shared" si="6"/>
        <v/>
      </c>
      <c r="L932" s="60" t="str">
        <f t="shared" si="7"/>
        <v/>
      </c>
      <c r="M932" s="61" t="str">
        <f>IFERROR(__xludf.DUMMYFUNCTION("IFS(AND(COUNTA(C932:C1644)=0,COUNTA(Q932:Q1644)=0),"""",OR(AND(K932&gt;=1000000000,OR(Y932&gt;=1000000000,COUNTA(Q932:Q1644)=0)),OR(Y932&gt;=1000000000,AND(COUNTA(C932:C1644)=0,P$3=TRUE))),
ROUNDDOWN((AB$1-AC$1)*MAX(INDEX(T$4:T1644,MATCH(LARGE(FILTER(Y$4:Y1644,Y$4"&amp;":Y1644&lt;1000000000),1),Y$4:Y1644)),INDEX(F$4:F1644,MATCH(LARGE(FILTER(K$4:K1644,K$4:K1644&lt;1000000000),1),K$4:K1644)))),AND(K932&lt;1000000000,COUNTA(C932:C1644)&gt;0,P$3=FALSE),
ROUNDDOWN(INDEX(Y$4:Y1644,MATCH(LARGE(FILTER(W$4:W1644,W$4:W1644&lt;=I932),1),W$4:W1644"&amp;"))+(I932-LARGE(FILTER(W$4:W1644,W$4:W1644&lt;=I932),1))*INDEX(T$4:T1644,MATCH(LARGE(FILTER(W$4:W1644,W$4:W1644&lt;=I932),1),W$4:W1644))-K932),1,
ROUNDDOWN(Y932-INDEX(K$4:K1644,MATCH(LARGE(FILTER(I$4:I1644,I$4:I1644&lt;=W932),1),I$4:I1644))-(W932-LARGE(FILTER(I$4:I"&amp;"1644,I$4:I1644&lt;=W932),1))*INDEX(F$4:F1644,MATCH(LARGE(FILTER(I$4:I1644,I$4:I1644&lt;=W932),1),I$4:I1644))))"),"")</f>
        <v/>
      </c>
      <c r="N932" s="60" t="str">
        <f t="shared" si="8"/>
        <v/>
      </c>
      <c r="O932" s="61" t="str">
        <f t="shared" si="9"/>
        <v/>
      </c>
      <c r="P932" s="56" t="str">
        <f t="shared" si="10"/>
        <v/>
      </c>
      <c r="Q932" s="105"/>
      <c r="R932" s="10"/>
      <c r="S932" s="59" t="str">
        <f t="array" ref="S932">IF(COUNTA(Q932:Q1644)=0,"",SUM((COUNTIF(Q$4:Q932,Upgrades!$B$3:$B$13)-COUNTIF(Q$4:Q932,"Sell_"&amp;Upgrades!$B$3:$B$13))*Upgrades!$D$3:$D$13))</f>
        <v/>
      </c>
      <c r="T932" s="66" t="str">
        <f>IFERROR(__xludf.DUMMYFUNCTION("IF(COUNTA(Q932:Q1644)=0,"""",IF(REGEXMATCH(INDEX(FILTER(Q$4:Q932,Q$4:Q932&lt;&gt;""""),ROWS(FILTER(Q$4:Q932,Q$4:Q932&lt;&gt;""""))),""^Sell_""),INDEX(FILTER(T$4:T931,Q$4:Q931&lt;&gt;""""),ROWS(FILTER(Q$4:Q931,Q$4:Q931&lt;&gt;""""))),$AD$5+S932))"),"")</f>
        <v/>
      </c>
      <c r="U932" s="10" t="str">
        <f>IFERROR(__xludf.DUMMYFUNCTION("IF(COUNTA(Q932:Q1644)=0,"""",IF(Q932="""",0,IF(REGEXMATCH(Q932,""^Sell_""),-ROUNDDOWN(ROUNDUP(INDEX(Upgrades!$C$3:$C$13,MATCH(SUBSTITUTE(Q932,""Sell_"",""""),Upgrades!$B$3:$B$13,0))*1.15^(COUNTIF(Q$4:Q931,SUBSTITUTE(Q932,""Sell_"",""""))-COUNTIF(Q$4:Q931,"&amp;"""Sell_""&amp;SUBSTITUTE(Q932,""Sell_"",""""))))/2),ROUNDUP(INDEX(Upgrades!$C$3:$C$13,MATCH(Q932,Upgrades!$B$3:$B$13,0))*1.15^(COUNTIF(Q$4:Q931,Q932)-COUNTIF(Q$4:Q931,""Sell_""&amp;Q932))))))"),"")</f>
        <v/>
      </c>
      <c r="V932" s="10" t="str">
        <f t="shared" si="11"/>
        <v/>
      </c>
      <c r="W932" s="68" t="str">
        <f t="shared" si="12"/>
        <v/>
      </c>
      <c r="X932" s="59" t="str">
        <f t="shared" si="13"/>
        <v/>
      </c>
      <c r="Y932" s="69" t="str">
        <f t="shared" si="14"/>
        <v/>
      </c>
      <c r="Z932" s="11"/>
      <c r="AG932" s="59"/>
    </row>
    <row r="933">
      <c r="A933" s="8"/>
      <c r="B933" s="56" t="str">
        <f t="shared" si="2"/>
        <v/>
      </c>
      <c r="C933" s="105"/>
      <c r="D933" s="10"/>
      <c r="E933" s="59" t="str">
        <f t="array" ref="E933">IF(COUNTA(C933:C1644)=0,"",SUM((COUNTIF(C$4:C933,Upgrades!$B$3:$B$13)-COUNTIF(C$4:C933,"Sell_"&amp;Upgrades!$B$3:$B$13))*Upgrades!$D$3:$D$13))</f>
        <v/>
      </c>
      <c r="F933" s="66" t="str">
        <f>IFERROR(__xludf.DUMMYFUNCTION("IF(COUNTA(C933:C1644)=0,"""",IF(REGEXMATCH(INDEX(FILTER(C$4:C933,C$4:C933&lt;&gt;""""),ROWS(FILTER(C$4:C933,C$4:C933&lt;&gt;""""))),""^Sell_""),INDEX(FILTER(F$4:F932,C$4:C932&lt;&gt;""""),ROWS(FILTER(C$4:C932,C$4:C932&lt;&gt;""""))),$AC$5+E933))"),"")</f>
        <v/>
      </c>
      <c r="G933" s="10" t="str">
        <f>IFERROR(__xludf.DUMMYFUNCTION("IF(COUNTA(C933:C1644)=0,"""",IF(C933="""",0,IF(REGEXMATCH(C933,""^Sell_""),-ROUNDDOWN(ROUNDUP(INDEX(Upgrades!$C$3:$C$13,MATCH(SUBSTITUTE(C933,""Sell_"",""""),Upgrades!$B$3:$B$13,0))*1.15^(COUNTIF(C$4:C932,SUBSTITUTE(C933,""Sell_"",""""))-COUNTIF(C$4:C932,"&amp;"""Sell_""&amp;SUBSTITUTE(C933,""Sell_"",""""))))/2),ROUNDUP(INDEX(Upgrades!$C$3:$C$13,MATCH(C933,Upgrades!$B$3:$B$13,0))*1.15^(COUNTIF(C$4:C932,C933)-COUNTIF(C$4:C932,""Sell_""&amp;C933))))))"),"")</f>
        <v/>
      </c>
      <c r="H933" s="10" t="str">
        <f t="shared" si="3"/>
        <v/>
      </c>
      <c r="I933" s="68" t="str">
        <f t="shared" si="4"/>
        <v/>
      </c>
      <c r="J933" s="59" t="str">
        <f t="shared" si="5"/>
        <v/>
      </c>
      <c r="K933" s="69" t="str">
        <f t="shared" si="6"/>
        <v/>
      </c>
      <c r="L933" s="60" t="str">
        <f t="shared" si="7"/>
        <v/>
      </c>
      <c r="M933" s="61" t="str">
        <f>IFERROR(__xludf.DUMMYFUNCTION("IFS(AND(COUNTA(C933:C1644)=0,COUNTA(Q933:Q1644)=0),"""",OR(AND(K933&gt;=1000000000,OR(Y933&gt;=1000000000,COUNTA(Q933:Q1644)=0)),OR(Y933&gt;=1000000000,AND(COUNTA(C933:C1644)=0,P$3=TRUE))),
ROUNDDOWN((AB$1-AC$1)*MAX(INDEX(T$4:T1644,MATCH(LARGE(FILTER(Y$4:Y1644,Y$4"&amp;":Y1644&lt;1000000000),1),Y$4:Y1644)),INDEX(F$4:F1644,MATCH(LARGE(FILTER(K$4:K1644,K$4:K1644&lt;1000000000),1),K$4:K1644)))),AND(K933&lt;1000000000,COUNTA(C933:C1644)&gt;0,P$3=FALSE),
ROUNDDOWN(INDEX(Y$4:Y1644,MATCH(LARGE(FILTER(W$4:W1644,W$4:W1644&lt;=I933),1),W$4:W1644"&amp;"))+(I933-LARGE(FILTER(W$4:W1644,W$4:W1644&lt;=I933),1))*INDEX(T$4:T1644,MATCH(LARGE(FILTER(W$4:W1644,W$4:W1644&lt;=I933),1),W$4:W1644))-K933),1,
ROUNDDOWN(Y933-INDEX(K$4:K1644,MATCH(LARGE(FILTER(I$4:I1644,I$4:I1644&lt;=W933),1),I$4:I1644))-(W933-LARGE(FILTER(I$4:I"&amp;"1644,I$4:I1644&lt;=W933),1))*INDEX(F$4:F1644,MATCH(LARGE(FILTER(I$4:I1644,I$4:I1644&lt;=W933),1),I$4:I1644))))"),"")</f>
        <v/>
      </c>
      <c r="N933" s="60" t="str">
        <f t="shared" si="8"/>
        <v/>
      </c>
      <c r="O933" s="61" t="str">
        <f t="shared" si="9"/>
        <v/>
      </c>
      <c r="P933" s="56" t="str">
        <f t="shared" si="10"/>
        <v/>
      </c>
      <c r="Q933" s="105"/>
      <c r="R933" s="10"/>
      <c r="S933" s="59" t="str">
        <f t="array" ref="S933">IF(COUNTA(Q933:Q1644)=0,"",SUM((COUNTIF(Q$4:Q933,Upgrades!$B$3:$B$13)-COUNTIF(Q$4:Q933,"Sell_"&amp;Upgrades!$B$3:$B$13))*Upgrades!$D$3:$D$13))</f>
        <v/>
      </c>
      <c r="T933" s="66" t="str">
        <f>IFERROR(__xludf.DUMMYFUNCTION("IF(COUNTA(Q933:Q1644)=0,"""",IF(REGEXMATCH(INDEX(FILTER(Q$4:Q933,Q$4:Q933&lt;&gt;""""),ROWS(FILTER(Q$4:Q933,Q$4:Q933&lt;&gt;""""))),""^Sell_""),INDEX(FILTER(T$4:T932,Q$4:Q932&lt;&gt;""""),ROWS(FILTER(Q$4:Q932,Q$4:Q932&lt;&gt;""""))),$AD$5+S933))"),"")</f>
        <v/>
      </c>
      <c r="U933" s="10" t="str">
        <f>IFERROR(__xludf.DUMMYFUNCTION("IF(COUNTA(Q933:Q1644)=0,"""",IF(Q933="""",0,IF(REGEXMATCH(Q933,""^Sell_""),-ROUNDDOWN(ROUNDUP(INDEX(Upgrades!$C$3:$C$13,MATCH(SUBSTITUTE(Q933,""Sell_"",""""),Upgrades!$B$3:$B$13,0))*1.15^(COUNTIF(Q$4:Q932,SUBSTITUTE(Q933,""Sell_"",""""))-COUNTIF(Q$4:Q932,"&amp;"""Sell_""&amp;SUBSTITUTE(Q933,""Sell_"",""""))))/2),ROUNDUP(INDEX(Upgrades!$C$3:$C$13,MATCH(Q933,Upgrades!$B$3:$B$13,0))*1.15^(COUNTIF(Q$4:Q932,Q933)-COUNTIF(Q$4:Q932,""Sell_""&amp;Q933))))))"),"")</f>
        <v/>
      </c>
      <c r="V933" s="10" t="str">
        <f t="shared" si="11"/>
        <v/>
      </c>
      <c r="W933" s="68" t="str">
        <f t="shared" si="12"/>
        <v/>
      </c>
      <c r="X933" s="59" t="str">
        <f t="shared" si="13"/>
        <v/>
      </c>
      <c r="Y933" s="69" t="str">
        <f t="shared" si="14"/>
        <v/>
      </c>
      <c r="Z933" s="11"/>
      <c r="AG933" s="59"/>
    </row>
    <row r="934">
      <c r="A934" s="8"/>
      <c r="B934" s="56" t="str">
        <f t="shared" si="2"/>
        <v/>
      </c>
      <c r="C934" s="105"/>
      <c r="D934" s="10"/>
      <c r="E934" s="59" t="str">
        <f t="array" ref="E934">IF(COUNTA(C934:C1644)=0,"",SUM((COUNTIF(C$4:C934,Upgrades!$B$3:$B$13)-COUNTIF(C$4:C934,"Sell_"&amp;Upgrades!$B$3:$B$13))*Upgrades!$D$3:$D$13))</f>
        <v/>
      </c>
      <c r="F934" s="66" t="str">
        <f>IFERROR(__xludf.DUMMYFUNCTION("IF(COUNTA(C934:C1644)=0,"""",IF(REGEXMATCH(INDEX(FILTER(C$4:C934,C$4:C934&lt;&gt;""""),ROWS(FILTER(C$4:C934,C$4:C934&lt;&gt;""""))),""^Sell_""),INDEX(FILTER(F$4:F933,C$4:C933&lt;&gt;""""),ROWS(FILTER(C$4:C933,C$4:C933&lt;&gt;""""))),$AC$5+E934))"),"")</f>
        <v/>
      </c>
      <c r="G934" s="10" t="str">
        <f>IFERROR(__xludf.DUMMYFUNCTION("IF(COUNTA(C934:C1644)=0,"""",IF(C934="""",0,IF(REGEXMATCH(C934,""^Sell_""),-ROUNDDOWN(ROUNDUP(INDEX(Upgrades!$C$3:$C$13,MATCH(SUBSTITUTE(C934,""Sell_"",""""),Upgrades!$B$3:$B$13,0))*1.15^(COUNTIF(C$4:C933,SUBSTITUTE(C934,""Sell_"",""""))-COUNTIF(C$4:C933,"&amp;"""Sell_""&amp;SUBSTITUTE(C934,""Sell_"",""""))))/2),ROUNDUP(INDEX(Upgrades!$C$3:$C$13,MATCH(C934,Upgrades!$B$3:$B$13,0))*1.15^(COUNTIF(C$4:C933,C934)-COUNTIF(C$4:C933,""Sell_""&amp;C934))))))"),"")</f>
        <v/>
      </c>
      <c r="H934" s="10" t="str">
        <f t="shared" si="3"/>
        <v/>
      </c>
      <c r="I934" s="68" t="str">
        <f t="shared" si="4"/>
        <v/>
      </c>
      <c r="J934" s="59" t="str">
        <f t="shared" si="5"/>
        <v/>
      </c>
      <c r="K934" s="69" t="str">
        <f t="shared" si="6"/>
        <v/>
      </c>
      <c r="L934" s="60" t="str">
        <f t="shared" si="7"/>
        <v/>
      </c>
      <c r="M934" s="61" t="str">
        <f>IFERROR(__xludf.DUMMYFUNCTION("IFS(AND(COUNTA(C934:C1644)=0,COUNTA(Q934:Q1644)=0),"""",OR(AND(K934&gt;=1000000000,OR(Y934&gt;=1000000000,COUNTA(Q934:Q1644)=0)),OR(Y934&gt;=1000000000,AND(COUNTA(C934:C1644)=0,P$3=TRUE))),
ROUNDDOWN((AB$1-AC$1)*MAX(INDEX(T$4:T1644,MATCH(LARGE(FILTER(Y$4:Y1644,Y$4"&amp;":Y1644&lt;1000000000),1),Y$4:Y1644)),INDEX(F$4:F1644,MATCH(LARGE(FILTER(K$4:K1644,K$4:K1644&lt;1000000000),1),K$4:K1644)))),AND(K934&lt;1000000000,COUNTA(C934:C1644)&gt;0,P$3=FALSE),
ROUNDDOWN(INDEX(Y$4:Y1644,MATCH(LARGE(FILTER(W$4:W1644,W$4:W1644&lt;=I934),1),W$4:W1644"&amp;"))+(I934-LARGE(FILTER(W$4:W1644,W$4:W1644&lt;=I934),1))*INDEX(T$4:T1644,MATCH(LARGE(FILTER(W$4:W1644,W$4:W1644&lt;=I934),1),W$4:W1644))-K934),1,
ROUNDDOWN(Y934-INDEX(K$4:K1644,MATCH(LARGE(FILTER(I$4:I1644,I$4:I1644&lt;=W934),1),I$4:I1644))-(W934-LARGE(FILTER(I$4:I"&amp;"1644,I$4:I1644&lt;=W934),1))*INDEX(F$4:F1644,MATCH(LARGE(FILTER(I$4:I1644,I$4:I1644&lt;=W934),1),I$4:I1644))))"),"")</f>
        <v/>
      </c>
      <c r="N934" s="60" t="str">
        <f t="shared" si="8"/>
        <v/>
      </c>
      <c r="O934" s="61" t="str">
        <f t="shared" si="9"/>
        <v/>
      </c>
      <c r="P934" s="56" t="str">
        <f t="shared" si="10"/>
        <v/>
      </c>
      <c r="Q934" s="105"/>
      <c r="R934" s="10"/>
      <c r="S934" s="59" t="str">
        <f t="array" ref="S934">IF(COUNTA(Q934:Q1644)=0,"",SUM((COUNTIF(Q$4:Q934,Upgrades!$B$3:$B$13)-COUNTIF(Q$4:Q934,"Sell_"&amp;Upgrades!$B$3:$B$13))*Upgrades!$D$3:$D$13))</f>
        <v/>
      </c>
      <c r="T934" s="66" t="str">
        <f>IFERROR(__xludf.DUMMYFUNCTION("IF(COUNTA(Q934:Q1644)=0,"""",IF(REGEXMATCH(INDEX(FILTER(Q$4:Q934,Q$4:Q934&lt;&gt;""""),ROWS(FILTER(Q$4:Q934,Q$4:Q934&lt;&gt;""""))),""^Sell_""),INDEX(FILTER(T$4:T933,Q$4:Q933&lt;&gt;""""),ROWS(FILTER(Q$4:Q933,Q$4:Q933&lt;&gt;""""))),$AD$5+S934))"),"")</f>
        <v/>
      </c>
      <c r="U934" s="10" t="str">
        <f>IFERROR(__xludf.DUMMYFUNCTION("IF(COUNTA(Q934:Q1644)=0,"""",IF(Q934="""",0,IF(REGEXMATCH(Q934,""^Sell_""),-ROUNDDOWN(ROUNDUP(INDEX(Upgrades!$C$3:$C$13,MATCH(SUBSTITUTE(Q934,""Sell_"",""""),Upgrades!$B$3:$B$13,0))*1.15^(COUNTIF(Q$4:Q933,SUBSTITUTE(Q934,""Sell_"",""""))-COUNTIF(Q$4:Q933,"&amp;"""Sell_""&amp;SUBSTITUTE(Q934,""Sell_"",""""))))/2),ROUNDUP(INDEX(Upgrades!$C$3:$C$13,MATCH(Q934,Upgrades!$B$3:$B$13,0))*1.15^(COUNTIF(Q$4:Q933,Q934)-COUNTIF(Q$4:Q933,""Sell_""&amp;Q934))))))"),"")</f>
        <v/>
      </c>
      <c r="V934" s="10" t="str">
        <f t="shared" si="11"/>
        <v/>
      </c>
      <c r="W934" s="68" t="str">
        <f t="shared" si="12"/>
        <v/>
      </c>
      <c r="X934" s="59" t="str">
        <f t="shared" si="13"/>
        <v/>
      </c>
      <c r="Y934" s="69" t="str">
        <f t="shared" si="14"/>
        <v/>
      </c>
      <c r="Z934" s="11"/>
      <c r="AG934" s="59"/>
    </row>
    <row r="935">
      <c r="A935" s="8"/>
      <c r="B935" s="56" t="str">
        <f t="shared" si="2"/>
        <v/>
      </c>
      <c r="C935" s="105"/>
      <c r="D935" s="10"/>
      <c r="E935" s="59" t="str">
        <f t="array" ref="E935">IF(COUNTA(C935:C1644)=0,"",SUM((COUNTIF(C$4:C935,Upgrades!$B$3:$B$13)-COUNTIF(C$4:C935,"Sell_"&amp;Upgrades!$B$3:$B$13))*Upgrades!$D$3:$D$13))</f>
        <v/>
      </c>
      <c r="F935" s="66" t="str">
        <f>IFERROR(__xludf.DUMMYFUNCTION("IF(COUNTA(C935:C1644)=0,"""",IF(REGEXMATCH(INDEX(FILTER(C$4:C935,C$4:C935&lt;&gt;""""),ROWS(FILTER(C$4:C935,C$4:C935&lt;&gt;""""))),""^Sell_""),INDEX(FILTER(F$4:F934,C$4:C934&lt;&gt;""""),ROWS(FILTER(C$4:C934,C$4:C934&lt;&gt;""""))),$AC$5+E935))"),"")</f>
        <v/>
      </c>
      <c r="G935" s="10" t="str">
        <f>IFERROR(__xludf.DUMMYFUNCTION("IF(COUNTA(C935:C1644)=0,"""",IF(C935="""",0,IF(REGEXMATCH(C935,""^Sell_""),-ROUNDDOWN(ROUNDUP(INDEX(Upgrades!$C$3:$C$13,MATCH(SUBSTITUTE(C935,""Sell_"",""""),Upgrades!$B$3:$B$13,0))*1.15^(COUNTIF(C$4:C934,SUBSTITUTE(C935,""Sell_"",""""))-COUNTIF(C$4:C934,"&amp;"""Sell_""&amp;SUBSTITUTE(C935,""Sell_"",""""))))/2),ROUNDUP(INDEX(Upgrades!$C$3:$C$13,MATCH(C935,Upgrades!$B$3:$B$13,0))*1.15^(COUNTIF(C$4:C934,C935)-COUNTIF(C$4:C934,""Sell_""&amp;C935))))))"),"")</f>
        <v/>
      </c>
      <c r="H935" s="10" t="str">
        <f t="shared" si="3"/>
        <v/>
      </c>
      <c r="I935" s="68" t="str">
        <f t="shared" si="4"/>
        <v/>
      </c>
      <c r="J935" s="59" t="str">
        <f t="shared" si="5"/>
        <v/>
      </c>
      <c r="K935" s="69" t="str">
        <f t="shared" si="6"/>
        <v/>
      </c>
      <c r="L935" s="60" t="str">
        <f t="shared" si="7"/>
        <v/>
      </c>
      <c r="M935" s="61" t="str">
        <f>IFERROR(__xludf.DUMMYFUNCTION("IFS(AND(COUNTA(C935:C1644)=0,COUNTA(Q935:Q1644)=0),"""",OR(AND(K935&gt;=1000000000,OR(Y935&gt;=1000000000,COUNTA(Q935:Q1644)=0)),OR(Y935&gt;=1000000000,AND(COUNTA(C935:C1644)=0,P$3=TRUE))),
ROUNDDOWN((AB$1-AC$1)*MAX(INDEX(T$4:T1644,MATCH(LARGE(FILTER(Y$4:Y1644,Y$4"&amp;":Y1644&lt;1000000000),1),Y$4:Y1644)),INDEX(F$4:F1644,MATCH(LARGE(FILTER(K$4:K1644,K$4:K1644&lt;1000000000),1),K$4:K1644)))),AND(K935&lt;1000000000,COUNTA(C935:C1644)&gt;0,P$3=FALSE),
ROUNDDOWN(INDEX(Y$4:Y1644,MATCH(LARGE(FILTER(W$4:W1644,W$4:W1644&lt;=I935),1),W$4:W1644"&amp;"))+(I935-LARGE(FILTER(W$4:W1644,W$4:W1644&lt;=I935),1))*INDEX(T$4:T1644,MATCH(LARGE(FILTER(W$4:W1644,W$4:W1644&lt;=I935),1),W$4:W1644))-K935),1,
ROUNDDOWN(Y935-INDEX(K$4:K1644,MATCH(LARGE(FILTER(I$4:I1644,I$4:I1644&lt;=W935),1),I$4:I1644))-(W935-LARGE(FILTER(I$4:I"&amp;"1644,I$4:I1644&lt;=W935),1))*INDEX(F$4:F1644,MATCH(LARGE(FILTER(I$4:I1644,I$4:I1644&lt;=W935),1),I$4:I1644))))"),"")</f>
        <v/>
      </c>
      <c r="N935" s="60" t="str">
        <f t="shared" si="8"/>
        <v/>
      </c>
      <c r="O935" s="61" t="str">
        <f t="shared" si="9"/>
        <v/>
      </c>
      <c r="P935" s="56" t="str">
        <f t="shared" si="10"/>
        <v/>
      </c>
      <c r="Q935" s="105"/>
      <c r="R935" s="10"/>
      <c r="S935" s="59" t="str">
        <f t="array" ref="S935">IF(COUNTA(Q935:Q1644)=0,"",SUM((COUNTIF(Q$4:Q935,Upgrades!$B$3:$B$13)-COUNTIF(Q$4:Q935,"Sell_"&amp;Upgrades!$B$3:$B$13))*Upgrades!$D$3:$D$13))</f>
        <v/>
      </c>
      <c r="T935" s="66" t="str">
        <f>IFERROR(__xludf.DUMMYFUNCTION("IF(COUNTA(Q935:Q1644)=0,"""",IF(REGEXMATCH(INDEX(FILTER(Q$4:Q935,Q$4:Q935&lt;&gt;""""),ROWS(FILTER(Q$4:Q935,Q$4:Q935&lt;&gt;""""))),""^Sell_""),INDEX(FILTER(T$4:T934,Q$4:Q934&lt;&gt;""""),ROWS(FILTER(Q$4:Q934,Q$4:Q934&lt;&gt;""""))),$AD$5+S935))"),"")</f>
        <v/>
      </c>
      <c r="U935" s="10" t="str">
        <f>IFERROR(__xludf.DUMMYFUNCTION("IF(COUNTA(Q935:Q1644)=0,"""",IF(Q935="""",0,IF(REGEXMATCH(Q935,""^Sell_""),-ROUNDDOWN(ROUNDUP(INDEX(Upgrades!$C$3:$C$13,MATCH(SUBSTITUTE(Q935,""Sell_"",""""),Upgrades!$B$3:$B$13,0))*1.15^(COUNTIF(Q$4:Q934,SUBSTITUTE(Q935,""Sell_"",""""))-COUNTIF(Q$4:Q934,"&amp;"""Sell_""&amp;SUBSTITUTE(Q935,""Sell_"",""""))))/2),ROUNDUP(INDEX(Upgrades!$C$3:$C$13,MATCH(Q935,Upgrades!$B$3:$B$13,0))*1.15^(COUNTIF(Q$4:Q934,Q935)-COUNTIF(Q$4:Q934,""Sell_""&amp;Q935))))))"),"")</f>
        <v/>
      </c>
      <c r="V935" s="10" t="str">
        <f t="shared" si="11"/>
        <v/>
      </c>
      <c r="W935" s="68" t="str">
        <f t="shared" si="12"/>
        <v/>
      </c>
      <c r="X935" s="59" t="str">
        <f t="shared" si="13"/>
        <v/>
      </c>
      <c r="Y935" s="69" t="str">
        <f t="shared" si="14"/>
        <v/>
      </c>
      <c r="Z935" s="11"/>
      <c r="AG935" s="59"/>
    </row>
    <row r="936">
      <c r="A936" s="8"/>
      <c r="B936" s="56" t="str">
        <f t="shared" si="2"/>
        <v/>
      </c>
      <c r="C936" s="105"/>
      <c r="D936" s="10"/>
      <c r="E936" s="59" t="str">
        <f t="array" ref="E936">IF(COUNTA(C936:C1644)=0,"",SUM((COUNTIF(C$4:C936,Upgrades!$B$3:$B$13)-COUNTIF(C$4:C936,"Sell_"&amp;Upgrades!$B$3:$B$13))*Upgrades!$D$3:$D$13))</f>
        <v/>
      </c>
      <c r="F936" s="66" t="str">
        <f>IFERROR(__xludf.DUMMYFUNCTION("IF(COUNTA(C936:C1644)=0,"""",IF(REGEXMATCH(INDEX(FILTER(C$4:C936,C$4:C936&lt;&gt;""""),ROWS(FILTER(C$4:C936,C$4:C936&lt;&gt;""""))),""^Sell_""),INDEX(FILTER(F$4:F935,C$4:C935&lt;&gt;""""),ROWS(FILTER(C$4:C935,C$4:C935&lt;&gt;""""))),$AC$5+E936))"),"")</f>
        <v/>
      </c>
      <c r="G936" s="10" t="str">
        <f>IFERROR(__xludf.DUMMYFUNCTION("IF(COUNTA(C936:C1644)=0,"""",IF(C936="""",0,IF(REGEXMATCH(C936,""^Sell_""),-ROUNDDOWN(ROUNDUP(INDEX(Upgrades!$C$3:$C$13,MATCH(SUBSTITUTE(C936,""Sell_"",""""),Upgrades!$B$3:$B$13,0))*1.15^(COUNTIF(C$4:C935,SUBSTITUTE(C936,""Sell_"",""""))-COUNTIF(C$4:C935,"&amp;"""Sell_""&amp;SUBSTITUTE(C936,""Sell_"",""""))))/2),ROUNDUP(INDEX(Upgrades!$C$3:$C$13,MATCH(C936,Upgrades!$B$3:$B$13,0))*1.15^(COUNTIF(C$4:C935,C936)-COUNTIF(C$4:C935,""Sell_""&amp;C936))))))"),"")</f>
        <v/>
      </c>
      <c r="H936" s="10" t="str">
        <f t="shared" si="3"/>
        <v/>
      </c>
      <c r="I936" s="68" t="str">
        <f t="shared" si="4"/>
        <v/>
      </c>
      <c r="J936" s="59" t="str">
        <f t="shared" si="5"/>
        <v/>
      </c>
      <c r="K936" s="69" t="str">
        <f t="shared" si="6"/>
        <v/>
      </c>
      <c r="L936" s="60" t="str">
        <f t="shared" si="7"/>
        <v/>
      </c>
      <c r="M936" s="61" t="str">
        <f>IFERROR(__xludf.DUMMYFUNCTION("IFS(AND(COUNTA(C936:C1644)=0,COUNTA(Q936:Q1644)=0),"""",OR(AND(K936&gt;=1000000000,OR(Y936&gt;=1000000000,COUNTA(Q936:Q1644)=0)),OR(Y936&gt;=1000000000,AND(COUNTA(C936:C1644)=0,P$3=TRUE))),
ROUNDDOWN((AB$1-AC$1)*MAX(INDEX(T$4:T1644,MATCH(LARGE(FILTER(Y$4:Y1644,Y$4"&amp;":Y1644&lt;1000000000),1),Y$4:Y1644)),INDEX(F$4:F1644,MATCH(LARGE(FILTER(K$4:K1644,K$4:K1644&lt;1000000000),1),K$4:K1644)))),AND(K936&lt;1000000000,COUNTA(C936:C1644)&gt;0,P$3=FALSE),
ROUNDDOWN(INDEX(Y$4:Y1644,MATCH(LARGE(FILTER(W$4:W1644,W$4:W1644&lt;=I936),1),W$4:W1644"&amp;"))+(I936-LARGE(FILTER(W$4:W1644,W$4:W1644&lt;=I936),1))*INDEX(T$4:T1644,MATCH(LARGE(FILTER(W$4:W1644,W$4:W1644&lt;=I936),1),W$4:W1644))-K936),1,
ROUNDDOWN(Y936-INDEX(K$4:K1644,MATCH(LARGE(FILTER(I$4:I1644,I$4:I1644&lt;=W936),1),I$4:I1644))-(W936-LARGE(FILTER(I$4:I"&amp;"1644,I$4:I1644&lt;=W936),1))*INDEX(F$4:F1644,MATCH(LARGE(FILTER(I$4:I1644,I$4:I1644&lt;=W936),1),I$4:I1644))))"),"")</f>
        <v/>
      </c>
      <c r="N936" s="60" t="str">
        <f t="shared" si="8"/>
        <v/>
      </c>
      <c r="O936" s="61" t="str">
        <f t="shared" si="9"/>
        <v/>
      </c>
      <c r="P936" s="56" t="str">
        <f t="shared" si="10"/>
        <v/>
      </c>
      <c r="Q936" s="105"/>
      <c r="R936" s="10"/>
      <c r="S936" s="59" t="str">
        <f t="array" ref="S936">IF(COUNTA(Q936:Q1644)=0,"",SUM((COUNTIF(Q$4:Q936,Upgrades!$B$3:$B$13)-COUNTIF(Q$4:Q936,"Sell_"&amp;Upgrades!$B$3:$B$13))*Upgrades!$D$3:$D$13))</f>
        <v/>
      </c>
      <c r="T936" s="66" t="str">
        <f>IFERROR(__xludf.DUMMYFUNCTION("IF(COUNTA(Q936:Q1644)=0,"""",IF(REGEXMATCH(INDEX(FILTER(Q$4:Q936,Q$4:Q936&lt;&gt;""""),ROWS(FILTER(Q$4:Q936,Q$4:Q936&lt;&gt;""""))),""^Sell_""),INDEX(FILTER(T$4:T935,Q$4:Q935&lt;&gt;""""),ROWS(FILTER(Q$4:Q935,Q$4:Q935&lt;&gt;""""))),$AD$5+S936))"),"")</f>
        <v/>
      </c>
      <c r="U936" s="10" t="str">
        <f>IFERROR(__xludf.DUMMYFUNCTION("IF(COUNTA(Q936:Q1644)=0,"""",IF(Q936="""",0,IF(REGEXMATCH(Q936,""^Sell_""),-ROUNDDOWN(ROUNDUP(INDEX(Upgrades!$C$3:$C$13,MATCH(SUBSTITUTE(Q936,""Sell_"",""""),Upgrades!$B$3:$B$13,0))*1.15^(COUNTIF(Q$4:Q935,SUBSTITUTE(Q936,""Sell_"",""""))-COUNTIF(Q$4:Q935,"&amp;"""Sell_""&amp;SUBSTITUTE(Q936,""Sell_"",""""))))/2),ROUNDUP(INDEX(Upgrades!$C$3:$C$13,MATCH(Q936,Upgrades!$B$3:$B$13,0))*1.15^(COUNTIF(Q$4:Q935,Q936)-COUNTIF(Q$4:Q935,""Sell_""&amp;Q936))))))"),"")</f>
        <v/>
      </c>
      <c r="V936" s="10" t="str">
        <f t="shared" si="11"/>
        <v/>
      </c>
      <c r="W936" s="68" t="str">
        <f t="shared" si="12"/>
        <v/>
      </c>
      <c r="X936" s="59" t="str">
        <f t="shared" si="13"/>
        <v/>
      </c>
      <c r="Y936" s="69" t="str">
        <f t="shared" si="14"/>
        <v/>
      </c>
      <c r="Z936" s="11"/>
      <c r="AG936" s="59"/>
    </row>
    <row r="937">
      <c r="A937" s="8"/>
      <c r="B937" s="56" t="str">
        <f t="shared" si="2"/>
        <v/>
      </c>
      <c r="C937" s="105"/>
      <c r="D937" s="10"/>
      <c r="E937" s="59" t="str">
        <f t="array" ref="E937">IF(COUNTA(C937:C1644)=0,"",SUM((COUNTIF(C$4:C937,Upgrades!$B$3:$B$13)-COUNTIF(C$4:C937,"Sell_"&amp;Upgrades!$B$3:$B$13))*Upgrades!$D$3:$D$13))</f>
        <v/>
      </c>
      <c r="F937" s="66" t="str">
        <f>IFERROR(__xludf.DUMMYFUNCTION("IF(COUNTA(C937:C1644)=0,"""",IF(REGEXMATCH(INDEX(FILTER(C$4:C937,C$4:C937&lt;&gt;""""),ROWS(FILTER(C$4:C937,C$4:C937&lt;&gt;""""))),""^Sell_""),INDEX(FILTER(F$4:F936,C$4:C936&lt;&gt;""""),ROWS(FILTER(C$4:C936,C$4:C936&lt;&gt;""""))),$AC$5+E937))"),"")</f>
        <v/>
      </c>
      <c r="G937" s="10" t="str">
        <f>IFERROR(__xludf.DUMMYFUNCTION("IF(COUNTA(C937:C1644)=0,"""",IF(C937="""",0,IF(REGEXMATCH(C937,""^Sell_""),-ROUNDDOWN(ROUNDUP(INDEX(Upgrades!$C$3:$C$13,MATCH(SUBSTITUTE(C937,""Sell_"",""""),Upgrades!$B$3:$B$13,0))*1.15^(COUNTIF(C$4:C936,SUBSTITUTE(C937,""Sell_"",""""))-COUNTIF(C$4:C936,"&amp;"""Sell_""&amp;SUBSTITUTE(C937,""Sell_"",""""))))/2),ROUNDUP(INDEX(Upgrades!$C$3:$C$13,MATCH(C937,Upgrades!$B$3:$B$13,0))*1.15^(COUNTIF(C$4:C936,C937)-COUNTIF(C$4:C936,""Sell_""&amp;C937))))))"),"")</f>
        <v/>
      </c>
      <c r="H937" s="10" t="str">
        <f t="shared" si="3"/>
        <v/>
      </c>
      <c r="I937" s="68" t="str">
        <f t="shared" si="4"/>
        <v/>
      </c>
      <c r="J937" s="59" t="str">
        <f t="shared" si="5"/>
        <v/>
      </c>
      <c r="K937" s="69" t="str">
        <f t="shared" si="6"/>
        <v/>
      </c>
      <c r="L937" s="60" t="str">
        <f t="shared" si="7"/>
        <v/>
      </c>
      <c r="M937" s="61" t="str">
        <f>IFERROR(__xludf.DUMMYFUNCTION("IFS(AND(COUNTA(C937:C1644)=0,COUNTA(Q937:Q1644)=0),"""",OR(AND(K937&gt;=1000000000,OR(Y937&gt;=1000000000,COUNTA(Q937:Q1644)=0)),OR(Y937&gt;=1000000000,AND(COUNTA(C937:C1644)=0,P$3=TRUE))),
ROUNDDOWN((AB$1-AC$1)*MAX(INDEX(T$4:T1644,MATCH(LARGE(FILTER(Y$4:Y1644,Y$4"&amp;":Y1644&lt;1000000000),1),Y$4:Y1644)),INDEX(F$4:F1644,MATCH(LARGE(FILTER(K$4:K1644,K$4:K1644&lt;1000000000),1),K$4:K1644)))),AND(K937&lt;1000000000,COUNTA(C937:C1644)&gt;0,P$3=FALSE),
ROUNDDOWN(INDEX(Y$4:Y1644,MATCH(LARGE(FILTER(W$4:W1644,W$4:W1644&lt;=I937),1),W$4:W1644"&amp;"))+(I937-LARGE(FILTER(W$4:W1644,W$4:W1644&lt;=I937),1))*INDEX(T$4:T1644,MATCH(LARGE(FILTER(W$4:W1644,W$4:W1644&lt;=I937),1),W$4:W1644))-K937),1,
ROUNDDOWN(Y937-INDEX(K$4:K1644,MATCH(LARGE(FILTER(I$4:I1644,I$4:I1644&lt;=W937),1),I$4:I1644))-(W937-LARGE(FILTER(I$4:I"&amp;"1644,I$4:I1644&lt;=W937),1))*INDEX(F$4:F1644,MATCH(LARGE(FILTER(I$4:I1644,I$4:I1644&lt;=W937),1),I$4:I1644))))"),"")</f>
        <v/>
      </c>
      <c r="N937" s="60" t="str">
        <f t="shared" si="8"/>
        <v/>
      </c>
      <c r="O937" s="61" t="str">
        <f t="shared" si="9"/>
        <v/>
      </c>
      <c r="P937" s="56" t="str">
        <f t="shared" si="10"/>
        <v/>
      </c>
      <c r="Q937" s="105"/>
      <c r="R937" s="10"/>
      <c r="S937" s="59" t="str">
        <f t="array" ref="S937">IF(COUNTA(Q937:Q1644)=0,"",SUM((COUNTIF(Q$4:Q937,Upgrades!$B$3:$B$13)-COUNTIF(Q$4:Q937,"Sell_"&amp;Upgrades!$B$3:$B$13))*Upgrades!$D$3:$D$13))</f>
        <v/>
      </c>
      <c r="T937" s="66" t="str">
        <f>IFERROR(__xludf.DUMMYFUNCTION("IF(COUNTA(Q937:Q1644)=0,"""",IF(REGEXMATCH(INDEX(FILTER(Q$4:Q937,Q$4:Q937&lt;&gt;""""),ROWS(FILTER(Q$4:Q937,Q$4:Q937&lt;&gt;""""))),""^Sell_""),INDEX(FILTER(T$4:T936,Q$4:Q936&lt;&gt;""""),ROWS(FILTER(Q$4:Q936,Q$4:Q936&lt;&gt;""""))),$AD$5+S937))"),"")</f>
        <v/>
      </c>
      <c r="U937" s="10" t="str">
        <f>IFERROR(__xludf.DUMMYFUNCTION("IF(COUNTA(Q937:Q1644)=0,"""",IF(Q937="""",0,IF(REGEXMATCH(Q937,""^Sell_""),-ROUNDDOWN(ROUNDUP(INDEX(Upgrades!$C$3:$C$13,MATCH(SUBSTITUTE(Q937,""Sell_"",""""),Upgrades!$B$3:$B$13,0))*1.15^(COUNTIF(Q$4:Q936,SUBSTITUTE(Q937,""Sell_"",""""))-COUNTIF(Q$4:Q936,"&amp;"""Sell_""&amp;SUBSTITUTE(Q937,""Sell_"",""""))))/2),ROUNDUP(INDEX(Upgrades!$C$3:$C$13,MATCH(Q937,Upgrades!$B$3:$B$13,0))*1.15^(COUNTIF(Q$4:Q936,Q937)-COUNTIF(Q$4:Q936,""Sell_""&amp;Q937))))))"),"")</f>
        <v/>
      </c>
      <c r="V937" s="10" t="str">
        <f t="shared" si="11"/>
        <v/>
      </c>
      <c r="W937" s="68" t="str">
        <f t="shared" si="12"/>
        <v/>
      </c>
      <c r="X937" s="59" t="str">
        <f t="shared" si="13"/>
        <v/>
      </c>
      <c r="Y937" s="69" t="str">
        <f t="shared" si="14"/>
        <v/>
      </c>
      <c r="Z937" s="11"/>
      <c r="AG937" s="59"/>
    </row>
    <row r="938">
      <c r="A938" s="8"/>
      <c r="B938" s="56" t="str">
        <f t="shared" si="2"/>
        <v/>
      </c>
      <c r="C938" s="105"/>
      <c r="D938" s="10"/>
      <c r="E938" s="59" t="str">
        <f t="array" ref="E938">IF(COUNTA(C938:C1644)=0,"",SUM((COUNTIF(C$4:C938,Upgrades!$B$3:$B$13)-COUNTIF(C$4:C938,"Sell_"&amp;Upgrades!$B$3:$B$13))*Upgrades!$D$3:$D$13))</f>
        <v/>
      </c>
      <c r="F938" s="66" t="str">
        <f>IFERROR(__xludf.DUMMYFUNCTION("IF(COUNTA(C938:C1644)=0,"""",IF(REGEXMATCH(INDEX(FILTER(C$4:C938,C$4:C938&lt;&gt;""""),ROWS(FILTER(C$4:C938,C$4:C938&lt;&gt;""""))),""^Sell_""),INDEX(FILTER(F$4:F937,C$4:C937&lt;&gt;""""),ROWS(FILTER(C$4:C937,C$4:C937&lt;&gt;""""))),$AC$5+E938))"),"")</f>
        <v/>
      </c>
      <c r="G938" s="10" t="str">
        <f>IFERROR(__xludf.DUMMYFUNCTION("IF(COUNTA(C938:C1644)=0,"""",IF(C938="""",0,IF(REGEXMATCH(C938,""^Sell_""),-ROUNDDOWN(ROUNDUP(INDEX(Upgrades!$C$3:$C$13,MATCH(SUBSTITUTE(C938,""Sell_"",""""),Upgrades!$B$3:$B$13,0))*1.15^(COUNTIF(C$4:C937,SUBSTITUTE(C938,""Sell_"",""""))-COUNTIF(C$4:C937,"&amp;"""Sell_""&amp;SUBSTITUTE(C938,""Sell_"",""""))))/2),ROUNDUP(INDEX(Upgrades!$C$3:$C$13,MATCH(C938,Upgrades!$B$3:$B$13,0))*1.15^(COUNTIF(C$4:C937,C938)-COUNTIF(C$4:C937,""Sell_""&amp;C938))))))"),"")</f>
        <v/>
      </c>
      <c r="H938" s="10" t="str">
        <f t="shared" si="3"/>
        <v/>
      </c>
      <c r="I938" s="68" t="str">
        <f t="shared" si="4"/>
        <v/>
      </c>
      <c r="J938" s="59" t="str">
        <f t="shared" si="5"/>
        <v/>
      </c>
      <c r="K938" s="69" t="str">
        <f t="shared" si="6"/>
        <v/>
      </c>
      <c r="L938" s="60" t="str">
        <f t="shared" si="7"/>
        <v/>
      </c>
      <c r="M938" s="61" t="str">
        <f>IFERROR(__xludf.DUMMYFUNCTION("IFS(AND(COUNTA(C938:C1644)=0,COUNTA(Q938:Q1644)=0),"""",OR(AND(K938&gt;=1000000000,OR(Y938&gt;=1000000000,COUNTA(Q938:Q1644)=0)),OR(Y938&gt;=1000000000,AND(COUNTA(C938:C1644)=0,P$3=TRUE))),
ROUNDDOWN((AB$1-AC$1)*MAX(INDEX(T$4:T1644,MATCH(LARGE(FILTER(Y$4:Y1644,Y$4"&amp;":Y1644&lt;1000000000),1),Y$4:Y1644)),INDEX(F$4:F1644,MATCH(LARGE(FILTER(K$4:K1644,K$4:K1644&lt;1000000000),1),K$4:K1644)))),AND(K938&lt;1000000000,COUNTA(C938:C1644)&gt;0,P$3=FALSE),
ROUNDDOWN(INDEX(Y$4:Y1644,MATCH(LARGE(FILTER(W$4:W1644,W$4:W1644&lt;=I938),1),W$4:W1644"&amp;"))+(I938-LARGE(FILTER(W$4:W1644,W$4:W1644&lt;=I938),1))*INDEX(T$4:T1644,MATCH(LARGE(FILTER(W$4:W1644,W$4:W1644&lt;=I938),1),W$4:W1644))-K938),1,
ROUNDDOWN(Y938-INDEX(K$4:K1644,MATCH(LARGE(FILTER(I$4:I1644,I$4:I1644&lt;=W938),1),I$4:I1644))-(W938-LARGE(FILTER(I$4:I"&amp;"1644,I$4:I1644&lt;=W938),1))*INDEX(F$4:F1644,MATCH(LARGE(FILTER(I$4:I1644,I$4:I1644&lt;=W938),1),I$4:I1644))))"),"")</f>
        <v/>
      </c>
      <c r="N938" s="60" t="str">
        <f t="shared" si="8"/>
        <v/>
      </c>
      <c r="O938" s="61" t="str">
        <f t="shared" si="9"/>
        <v/>
      </c>
      <c r="P938" s="56" t="str">
        <f t="shared" si="10"/>
        <v/>
      </c>
      <c r="Q938" s="105"/>
      <c r="R938" s="10"/>
      <c r="S938" s="59" t="str">
        <f t="array" ref="S938">IF(COUNTA(Q938:Q1644)=0,"",SUM((COUNTIF(Q$4:Q938,Upgrades!$B$3:$B$13)-COUNTIF(Q$4:Q938,"Sell_"&amp;Upgrades!$B$3:$B$13))*Upgrades!$D$3:$D$13))</f>
        <v/>
      </c>
      <c r="T938" s="66" t="str">
        <f>IFERROR(__xludf.DUMMYFUNCTION("IF(COUNTA(Q938:Q1644)=0,"""",IF(REGEXMATCH(INDEX(FILTER(Q$4:Q938,Q$4:Q938&lt;&gt;""""),ROWS(FILTER(Q$4:Q938,Q$4:Q938&lt;&gt;""""))),""^Sell_""),INDEX(FILTER(T$4:T937,Q$4:Q937&lt;&gt;""""),ROWS(FILTER(Q$4:Q937,Q$4:Q937&lt;&gt;""""))),$AD$5+S938))"),"")</f>
        <v/>
      </c>
      <c r="U938" s="10" t="str">
        <f>IFERROR(__xludf.DUMMYFUNCTION("IF(COUNTA(Q938:Q1644)=0,"""",IF(Q938="""",0,IF(REGEXMATCH(Q938,""^Sell_""),-ROUNDDOWN(ROUNDUP(INDEX(Upgrades!$C$3:$C$13,MATCH(SUBSTITUTE(Q938,""Sell_"",""""),Upgrades!$B$3:$B$13,0))*1.15^(COUNTIF(Q$4:Q937,SUBSTITUTE(Q938,""Sell_"",""""))-COUNTIF(Q$4:Q937,"&amp;"""Sell_""&amp;SUBSTITUTE(Q938,""Sell_"",""""))))/2),ROUNDUP(INDEX(Upgrades!$C$3:$C$13,MATCH(Q938,Upgrades!$B$3:$B$13,0))*1.15^(COUNTIF(Q$4:Q937,Q938)-COUNTIF(Q$4:Q937,""Sell_""&amp;Q938))))))"),"")</f>
        <v/>
      </c>
      <c r="V938" s="10" t="str">
        <f t="shared" si="11"/>
        <v/>
      </c>
      <c r="W938" s="68" t="str">
        <f t="shared" si="12"/>
        <v/>
      </c>
      <c r="X938" s="59" t="str">
        <f t="shared" si="13"/>
        <v/>
      </c>
      <c r="Y938" s="69" t="str">
        <f t="shared" si="14"/>
        <v/>
      </c>
      <c r="Z938" s="11"/>
      <c r="AG938" s="59"/>
    </row>
    <row r="939">
      <c r="A939" s="8"/>
      <c r="B939" s="56" t="str">
        <f t="shared" si="2"/>
        <v/>
      </c>
      <c r="C939" s="105"/>
      <c r="D939" s="10"/>
      <c r="E939" s="59" t="str">
        <f t="array" ref="E939">IF(COUNTA(C939:C1644)=0,"",SUM((COUNTIF(C$4:C939,Upgrades!$B$3:$B$13)-COUNTIF(C$4:C939,"Sell_"&amp;Upgrades!$B$3:$B$13))*Upgrades!$D$3:$D$13))</f>
        <v/>
      </c>
      <c r="F939" s="66" t="str">
        <f>IFERROR(__xludf.DUMMYFUNCTION("IF(COUNTA(C939:C1644)=0,"""",IF(REGEXMATCH(INDEX(FILTER(C$4:C939,C$4:C939&lt;&gt;""""),ROWS(FILTER(C$4:C939,C$4:C939&lt;&gt;""""))),""^Sell_""),INDEX(FILTER(F$4:F938,C$4:C938&lt;&gt;""""),ROWS(FILTER(C$4:C938,C$4:C938&lt;&gt;""""))),$AC$5+E939))"),"")</f>
        <v/>
      </c>
      <c r="G939" s="10" t="str">
        <f>IFERROR(__xludf.DUMMYFUNCTION("IF(COUNTA(C939:C1644)=0,"""",IF(C939="""",0,IF(REGEXMATCH(C939,""^Sell_""),-ROUNDDOWN(ROUNDUP(INDEX(Upgrades!$C$3:$C$13,MATCH(SUBSTITUTE(C939,""Sell_"",""""),Upgrades!$B$3:$B$13,0))*1.15^(COUNTIF(C$4:C938,SUBSTITUTE(C939,""Sell_"",""""))-COUNTIF(C$4:C938,"&amp;"""Sell_""&amp;SUBSTITUTE(C939,""Sell_"",""""))))/2),ROUNDUP(INDEX(Upgrades!$C$3:$C$13,MATCH(C939,Upgrades!$B$3:$B$13,0))*1.15^(COUNTIF(C$4:C938,C939)-COUNTIF(C$4:C938,""Sell_""&amp;C939))))))"),"")</f>
        <v/>
      </c>
      <c r="H939" s="10" t="str">
        <f t="shared" si="3"/>
        <v/>
      </c>
      <c r="I939" s="68" t="str">
        <f t="shared" si="4"/>
        <v/>
      </c>
      <c r="J939" s="59" t="str">
        <f t="shared" si="5"/>
        <v/>
      </c>
      <c r="K939" s="69" t="str">
        <f t="shared" si="6"/>
        <v/>
      </c>
      <c r="L939" s="60" t="str">
        <f t="shared" si="7"/>
        <v/>
      </c>
      <c r="M939" s="61" t="str">
        <f>IFERROR(__xludf.DUMMYFUNCTION("IFS(AND(COUNTA(C939:C1644)=0,COUNTA(Q939:Q1644)=0),"""",OR(AND(K939&gt;=1000000000,OR(Y939&gt;=1000000000,COUNTA(Q939:Q1644)=0)),OR(Y939&gt;=1000000000,AND(COUNTA(C939:C1644)=0,P$3=TRUE))),
ROUNDDOWN((AB$1-AC$1)*MAX(INDEX(T$4:T1644,MATCH(LARGE(FILTER(Y$4:Y1644,Y$4"&amp;":Y1644&lt;1000000000),1),Y$4:Y1644)),INDEX(F$4:F1644,MATCH(LARGE(FILTER(K$4:K1644,K$4:K1644&lt;1000000000),1),K$4:K1644)))),AND(K939&lt;1000000000,COUNTA(C939:C1644)&gt;0,P$3=FALSE),
ROUNDDOWN(INDEX(Y$4:Y1644,MATCH(LARGE(FILTER(W$4:W1644,W$4:W1644&lt;=I939),1),W$4:W1644"&amp;"))+(I939-LARGE(FILTER(W$4:W1644,W$4:W1644&lt;=I939),1))*INDEX(T$4:T1644,MATCH(LARGE(FILTER(W$4:W1644,W$4:W1644&lt;=I939),1),W$4:W1644))-K939),1,
ROUNDDOWN(Y939-INDEX(K$4:K1644,MATCH(LARGE(FILTER(I$4:I1644,I$4:I1644&lt;=W939),1),I$4:I1644))-(W939-LARGE(FILTER(I$4:I"&amp;"1644,I$4:I1644&lt;=W939),1))*INDEX(F$4:F1644,MATCH(LARGE(FILTER(I$4:I1644,I$4:I1644&lt;=W939),1),I$4:I1644))))"),"")</f>
        <v/>
      </c>
      <c r="N939" s="60" t="str">
        <f t="shared" si="8"/>
        <v/>
      </c>
      <c r="O939" s="61" t="str">
        <f t="shared" si="9"/>
        <v/>
      </c>
      <c r="P939" s="56" t="str">
        <f t="shared" si="10"/>
        <v/>
      </c>
      <c r="Q939" s="105"/>
      <c r="R939" s="10"/>
      <c r="S939" s="59" t="str">
        <f t="array" ref="S939">IF(COUNTA(Q939:Q1644)=0,"",SUM((COUNTIF(Q$4:Q939,Upgrades!$B$3:$B$13)-COUNTIF(Q$4:Q939,"Sell_"&amp;Upgrades!$B$3:$B$13))*Upgrades!$D$3:$D$13))</f>
        <v/>
      </c>
      <c r="T939" s="66" t="str">
        <f>IFERROR(__xludf.DUMMYFUNCTION("IF(COUNTA(Q939:Q1644)=0,"""",IF(REGEXMATCH(INDEX(FILTER(Q$4:Q939,Q$4:Q939&lt;&gt;""""),ROWS(FILTER(Q$4:Q939,Q$4:Q939&lt;&gt;""""))),""^Sell_""),INDEX(FILTER(T$4:T938,Q$4:Q938&lt;&gt;""""),ROWS(FILTER(Q$4:Q938,Q$4:Q938&lt;&gt;""""))),$AD$5+S939))"),"")</f>
        <v/>
      </c>
      <c r="U939" s="10" t="str">
        <f>IFERROR(__xludf.DUMMYFUNCTION("IF(COUNTA(Q939:Q1644)=0,"""",IF(Q939="""",0,IF(REGEXMATCH(Q939,""^Sell_""),-ROUNDDOWN(ROUNDUP(INDEX(Upgrades!$C$3:$C$13,MATCH(SUBSTITUTE(Q939,""Sell_"",""""),Upgrades!$B$3:$B$13,0))*1.15^(COUNTIF(Q$4:Q938,SUBSTITUTE(Q939,""Sell_"",""""))-COUNTIF(Q$4:Q938,"&amp;"""Sell_""&amp;SUBSTITUTE(Q939,""Sell_"",""""))))/2),ROUNDUP(INDEX(Upgrades!$C$3:$C$13,MATCH(Q939,Upgrades!$B$3:$B$13,0))*1.15^(COUNTIF(Q$4:Q938,Q939)-COUNTIF(Q$4:Q938,""Sell_""&amp;Q939))))))"),"")</f>
        <v/>
      </c>
      <c r="V939" s="10" t="str">
        <f t="shared" si="11"/>
        <v/>
      </c>
      <c r="W939" s="68" t="str">
        <f t="shared" si="12"/>
        <v/>
      </c>
      <c r="X939" s="59" t="str">
        <f t="shared" si="13"/>
        <v/>
      </c>
      <c r="Y939" s="69" t="str">
        <f t="shared" si="14"/>
        <v/>
      </c>
      <c r="Z939" s="11"/>
      <c r="AG939" s="59"/>
    </row>
    <row r="940">
      <c r="A940" s="8"/>
      <c r="B940" s="56" t="str">
        <f t="shared" si="2"/>
        <v/>
      </c>
      <c r="C940" s="105"/>
      <c r="D940" s="10"/>
      <c r="E940" s="59" t="str">
        <f t="array" ref="E940">IF(COUNTA(C940:C1644)=0,"",SUM((COUNTIF(C$4:C940,Upgrades!$B$3:$B$13)-COUNTIF(C$4:C940,"Sell_"&amp;Upgrades!$B$3:$B$13))*Upgrades!$D$3:$D$13))</f>
        <v/>
      </c>
      <c r="F940" s="66" t="str">
        <f>IFERROR(__xludf.DUMMYFUNCTION("IF(COUNTA(C940:C1644)=0,"""",IF(REGEXMATCH(INDEX(FILTER(C$4:C940,C$4:C940&lt;&gt;""""),ROWS(FILTER(C$4:C940,C$4:C940&lt;&gt;""""))),""^Sell_""),INDEX(FILTER(F$4:F939,C$4:C939&lt;&gt;""""),ROWS(FILTER(C$4:C939,C$4:C939&lt;&gt;""""))),$AC$5+E940))"),"")</f>
        <v/>
      </c>
      <c r="G940" s="10" t="str">
        <f>IFERROR(__xludf.DUMMYFUNCTION("IF(COUNTA(C940:C1644)=0,"""",IF(C940="""",0,IF(REGEXMATCH(C940,""^Sell_""),-ROUNDDOWN(ROUNDUP(INDEX(Upgrades!$C$3:$C$13,MATCH(SUBSTITUTE(C940,""Sell_"",""""),Upgrades!$B$3:$B$13,0))*1.15^(COUNTIF(C$4:C939,SUBSTITUTE(C940,""Sell_"",""""))-COUNTIF(C$4:C939,"&amp;"""Sell_""&amp;SUBSTITUTE(C940,""Sell_"",""""))))/2),ROUNDUP(INDEX(Upgrades!$C$3:$C$13,MATCH(C940,Upgrades!$B$3:$B$13,0))*1.15^(COUNTIF(C$4:C939,C940)-COUNTIF(C$4:C939,""Sell_""&amp;C940))))))"),"")</f>
        <v/>
      </c>
      <c r="H940" s="10" t="str">
        <f t="shared" si="3"/>
        <v/>
      </c>
      <c r="I940" s="68" t="str">
        <f t="shared" si="4"/>
        <v/>
      </c>
      <c r="J940" s="59" t="str">
        <f t="shared" si="5"/>
        <v/>
      </c>
      <c r="K940" s="69" t="str">
        <f t="shared" si="6"/>
        <v/>
      </c>
      <c r="L940" s="60" t="str">
        <f t="shared" si="7"/>
        <v/>
      </c>
      <c r="M940" s="61" t="str">
        <f>IFERROR(__xludf.DUMMYFUNCTION("IFS(AND(COUNTA(C940:C1644)=0,COUNTA(Q940:Q1644)=0),"""",OR(AND(K940&gt;=1000000000,OR(Y940&gt;=1000000000,COUNTA(Q940:Q1644)=0)),OR(Y940&gt;=1000000000,AND(COUNTA(C940:C1644)=0,P$3=TRUE))),
ROUNDDOWN((AB$1-AC$1)*MAX(INDEX(T$4:T1644,MATCH(LARGE(FILTER(Y$4:Y1644,Y$4"&amp;":Y1644&lt;1000000000),1),Y$4:Y1644)),INDEX(F$4:F1644,MATCH(LARGE(FILTER(K$4:K1644,K$4:K1644&lt;1000000000),1),K$4:K1644)))),AND(K940&lt;1000000000,COUNTA(C940:C1644)&gt;0,P$3=FALSE),
ROUNDDOWN(INDEX(Y$4:Y1644,MATCH(LARGE(FILTER(W$4:W1644,W$4:W1644&lt;=I940),1),W$4:W1644"&amp;"))+(I940-LARGE(FILTER(W$4:W1644,W$4:W1644&lt;=I940),1))*INDEX(T$4:T1644,MATCH(LARGE(FILTER(W$4:W1644,W$4:W1644&lt;=I940),1),W$4:W1644))-K940),1,
ROUNDDOWN(Y940-INDEX(K$4:K1644,MATCH(LARGE(FILTER(I$4:I1644,I$4:I1644&lt;=W940),1),I$4:I1644))-(W940-LARGE(FILTER(I$4:I"&amp;"1644,I$4:I1644&lt;=W940),1))*INDEX(F$4:F1644,MATCH(LARGE(FILTER(I$4:I1644,I$4:I1644&lt;=W940),1),I$4:I1644))))"),"")</f>
        <v/>
      </c>
      <c r="N940" s="60" t="str">
        <f t="shared" si="8"/>
        <v/>
      </c>
      <c r="O940" s="61" t="str">
        <f t="shared" si="9"/>
        <v/>
      </c>
      <c r="P940" s="56" t="str">
        <f t="shared" si="10"/>
        <v/>
      </c>
      <c r="Q940" s="105"/>
      <c r="R940" s="10"/>
      <c r="S940" s="59" t="str">
        <f t="array" ref="S940">IF(COUNTA(Q940:Q1644)=0,"",SUM((COUNTIF(Q$4:Q940,Upgrades!$B$3:$B$13)-COUNTIF(Q$4:Q940,"Sell_"&amp;Upgrades!$B$3:$B$13))*Upgrades!$D$3:$D$13))</f>
        <v/>
      </c>
      <c r="T940" s="66" t="str">
        <f>IFERROR(__xludf.DUMMYFUNCTION("IF(COUNTA(Q940:Q1644)=0,"""",IF(REGEXMATCH(INDEX(FILTER(Q$4:Q940,Q$4:Q940&lt;&gt;""""),ROWS(FILTER(Q$4:Q940,Q$4:Q940&lt;&gt;""""))),""^Sell_""),INDEX(FILTER(T$4:T939,Q$4:Q939&lt;&gt;""""),ROWS(FILTER(Q$4:Q939,Q$4:Q939&lt;&gt;""""))),$AD$5+S940))"),"")</f>
        <v/>
      </c>
      <c r="U940" s="10" t="str">
        <f>IFERROR(__xludf.DUMMYFUNCTION("IF(COUNTA(Q940:Q1644)=0,"""",IF(Q940="""",0,IF(REGEXMATCH(Q940,""^Sell_""),-ROUNDDOWN(ROUNDUP(INDEX(Upgrades!$C$3:$C$13,MATCH(SUBSTITUTE(Q940,""Sell_"",""""),Upgrades!$B$3:$B$13,0))*1.15^(COUNTIF(Q$4:Q939,SUBSTITUTE(Q940,""Sell_"",""""))-COUNTIF(Q$4:Q939,"&amp;"""Sell_""&amp;SUBSTITUTE(Q940,""Sell_"",""""))))/2),ROUNDUP(INDEX(Upgrades!$C$3:$C$13,MATCH(Q940,Upgrades!$B$3:$B$13,0))*1.15^(COUNTIF(Q$4:Q939,Q940)-COUNTIF(Q$4:Q939,""Sell_""&amp;Q940))))))"),"")</f>
        <v/>
      </c>
      <c r="V940" s="10" t="str">
        <f t="shared" si="11"/>
        <v/>
      </c>
      <c r="W940" s="68" t="str">
        <f t="shared" si="12"/>
        <v/>
      </c>
      <c r="X940" s="59" t="str">
        <f t="shared" si="13"/>
        <v/>
      </c>
      <c r="Y940" s="69" t="str">
        <f t="shared" si="14"/>
        <v/>
      </c>
      <c r="Z940" s="11"/>
      <c r="AG940" s="59"/>
    </row>
    <row r="941">
      <c r="A941" s="8"/>
      <c r="B941" s="56" t="str">
        <f t="shared" si="2"/>
        <v/>
      </c>
      <c r="C941" s="105"/>
      <c r="D941" s="10"/>
      <c r="E941" s="59" t="str">
        <f t="array" ref="E941">IF(COUNTA(C941:C1644)=0,"",SUM((COUNTIF(C$4:C941,Upgrades!$B$3:$B$13)-COUNTIF(C$4:C941,"Sell_"&amp;Upgrades!$B$3:$B$13))*Upgrades!$D$3:$D$13))</f>
        <v/>
      </c>
      <c r="F941" s="66" t="str">
        <f>IFERROR(__xludf.DUMMYFUNCTION("IF(COUNTA(C941:C1644)=0,"""",IF(REGEXMATCH(INDEX(FILTER(C$4:C941,C$4:C941&lt;&gt;""""),ROWS(FILTER(C$4:C941,C$4:C941&lt;&gt;""""))),""^Sell_""),INDEX(FILTER(F$4:F940,C$4:C940&lt;&gt;""""),ROWS(FILTER(C$4:C940,C$4:C940&lt;&gt;""""))),$AC$5+E941))"),"")</f>
        <v/>
      </c>
      <c r="G941" s="10" t="str">
        <f>IFERROR(__xludf.DUMMYFUNCTION("IF(COUNTA(C941:C1644)=0,"""",IF(C941="""",0,IF(REGEXMATCH(C941,""^Sell_""),-ROUNDDOWN(ROUNDUP(INDEX(Upgrades!$C$3:$C$13,MATCH(SUBSTITUTE(C941,""Sell_"",""""),Upgrades!$B$3:$B$13,0))*1.15^(COUNTIF(C$4:C940,SUBSTITUTE(C941,""Sell_"",""""))-COUNTIF(C$4:C940,"&amp;"""Sell_""&amp;SUBSTITUTE(C941,""Sell_"",""""))))/2),ROUNDUP(INDEX(Upgrades!$C$3:$C$13,MATCH(C941,Upgrades!$B$3:$B$13,0))*1.15^(COUNTIF(C$4:C940,C941)-COUNTIF(C$4:C940,""Sell_""&amp;C941))))))"),"")</f>
        <v/>
      </c>
      <c r="H941" s="10" t="str">
        <f t="shared" si="3"/>
        <v/>
      </c>
      <c r="I941" s="68" t="str">
        <f t="shared" si="4"/>
        <v/>
      </c>
      <c r="J941" s="59" t="str">
        <f t="shared" si="5"/>
        <v/>
      </c>
      <c r="K941" s="69" t="str">
        <f t="shared" si="6"/>
        <v/>
      </c>
      <c r="L941" s="60" t="str">
        <f t="shared" si="7"/>
        <v/>
      </c>
      <c r="M941" s="61" t="str">
        <f>IFERROR(__xludf.DUMMYFUNCTION("IFS(AND(COUNTA(C941:C1644)=0,COUNTA(Q941:Q1644)=0),"""",OR(AND(K941&gt;=1000000000,OR(Y941&gt;=1000000000,COUNTA(Q941:Q1644)=0)),OR(Y941&gt;=1000000000,AND(COUNTA(C941:C1644)=0,P$3=TRUE))),
ROUNDDOWN((AB$1-AC$1)*MAX(INDEX(T$4:T1644,MATCH(LARGE(FILTER(Y$4:Y1644,Y$4"&amp;":Y1644&lt;1000000000),1),Y$4:Y1644)),INDEX(F$4:F1644,MATCH(LARGE(FILTER(K$4:K1644,K$4:K1644&lt;1000000000),1),K$4:K1644)))),AND(K941&lt;1000000000,COUNTA(C941:C1644)&gt;0,P$3=FALSE),
ROUNDDOWN(INDEX(Y$4:Y1644,MATCH(LARGE(FILTER(W$4:W1644,W$4:W1644&lt;=I941),1),W$4:W1644"&amp;"))+(I941-LARGE(FILTER(W$4:W1644,W$4:W1644&lt;=I941),1))*INDEX(T$4:T1644,MATCH(LARGE(FILTER(W$4:W1644,W$4:W1644&lt;=I941),1),W$4:W1644))-K941),1,
ROUNDDOWN(Y941-INDEX(K$4:K1644,MATCH(LARGE(FILTER(I$4:I1644,I$4:I1644&lt;=W941),1),I$4:I1644))-(W941-LARGE(FILTER(I$4:I"&amp;"1644,I$4:I1644&lt;=W941),1))*INDEX(F$4:F1644,MATCH(LARGE(FILTER(I$4:I1644,I$4:I1644&lt;=W941),1),I$4:I1644))))"),"")</f>
        <v/>
      </c>
      <c r="N941" s="60" t="str">
        <f t="shared" si="8"/>
        <v/>
      </c>
      <c r="O941" s="61" t="str">
        <f t="shared" si="9"/>
        <v/>
      </c>
      <c r="P941" s="56" t="str">
        <f t="shared" si="10"/>
        <v/>
      </c>
      <c r="Q941" s="105"/>
      <c r="R941" s="10"/>
      <c r="S941" s="59" t="str">
        <f t="array" ref="S941">IF(COUNTA(Q941:Q1644)=0,"",SUM((COUNTIF(Q$4:Q941,Upgrades!$B$3:$B$13)-COUNTIF(Q$4:Q941,"Sell_"&amp;Upgrades!$B$3:$B$13))*Upgrades!$D$3:$D$13))</f>
        <v/>
      </c>
      <c r="T941" s="66" t="str">
        <f>IFERROR(__xludf.DUMMYFUNCTION("IF(COUNTA(Q941:Q1644)=0,"""",IF(REGEXMATCH(INDEX(FILTER(Q$4:Q941,Q$4:Q941&lt;&gt;""""),ROWS(FILTER(Q$4:Q941,Q$4:Q941&lt;&gt;""""))),""^Sell_""),INDEX(FILTER(T$4:T940,Q$4:Q940&lt;&gt;""""),ROWS(FILTER(Q$4:Q940,Q$4:Q940&lt;&gt;""""))),$AD$5+S941))"),"")</f>
        <v/>
      </c>
      <c r="U941" s="10" t="str">
        <f>IFERROR(__xludf.DUMMYFUNCTION("IF(COUNTA(Q941:Q1644)=0,"""",IF(Q941="""",0,IF(REGEXMATCH(Q941,""^Sell_""),-ROUNDDOWN(ROUNDUP(INDEX(Upgrades!$C$3:$C$13,MATCH(SUBSTITUTE(Q941,""Sell_"",""""),Upgrades!$B$3:$B$13,0))*1.15^(COUNTIF(Q$4:Q940,SUBSTITUTE(Q941,""Sell_"",""""))-COUNTIF(Q$4:Q940,"&amp;"""Sell_""&amp;SUBSTITUTE(Q941,""Sell_"",""""))))/2),ROUNDUP(INDEX(Upgrades!$C$3:$C$13,MATCH(Q941,Upgrades!$B$3:$B$13,0))*1.15^(COUNTIF(Q$4:Q940,Q941)-COUNTIF(Q$4:Q940,""Sell_""&amp;Q941))))))"),"")</f>
        <v/>
      </c>
      <c r="V941" s="10" t="str">
        <f t="shared" si="11"/>
        <v/>
      </c>
      <c r="W941" s="68" t="str">
        <f t="shared" si="12"/>
        <v/>
      </c>
      <c r="X941" s="59" t="str">
        <f t="shared" si="13"/>
        <v/>
      </c>
      <c r="Y941" s="69" t="str">
        <f t="shared" si="14"/>
        <v/>
      </c>
      <c r="Z941" s="11"/>
      <c r="AG941" s="59"/>
    </row>
    <row r="942">
      <c r="A942" s="8"/>
      <c r="B942" s="56" t="str">
        <f t="shared" si="2"/>
        <v/>
      </c>
      <c r="C942" s="105"/>
      <c r="D942" s="10"/>
      <c r="E942" s="59" t="str">
        <f t="array" ref="E942">IF(COUNTA(C942:C1644)=0,"",SUM((COUNTIF(C$4:C942,Upgrades!$B$3:$B$13)-COUNTIF(C$4:C942,"Sell_"&amp;Upgrades!$B$3:$B$13))*Upgrades!$D$3:$D$13))</f>
        <v/>
      </c>
      <c r="F942" s="66" t="str">
        <f>IFERROR(__xludf.DUMMYFUNCTION("IF(COUNTA(C942:C1644)=0,"""",IF(REGEXMATCH(INDEX(FILTER(C$4:C942,C$4:C942&lt;&gt;""""),ROWS(FILTER(C$4:C942,C$4:C942&lt;&gt;""""))),""^Sell_""),INDEX(FILTER(F$4:F941,C$4:C941&lt;&gt;""""),ROWS(FILTER(C$4:C941,C$4:C941&lt;&gt;""""))),$AC$5+E942))"),"")</f>
        <v/>
      </c>
      <c r="G942" s="10" t="str">
        <f>IFERROR(__xludf.DUMMYFUNCTION("IF(COUNTA(C942:C1644)=0,"""",IF(C942="""",0,IF(REGEXMATCH(C942,""^Sell_""),-ROUNDDOWN(ROUNDUP(INDEX(Upgrades!$C$3:$C$13,MATCH(SUBSTITUTE(C942,""Sell_"",""""),Upgrades!$B$3:$B$13,0))*1.15^(COUNTIF(C$4:C941,SUBSTITUTE(C942,""Sell_"",""""))-COUNTIF(C$4:C941,"&amp;"""Sell_""&amp;SUBSTITUTE(C942,""Sell_"",""""))))/2),ROUNDUP(INDEX(Upgrades!$C$3:$C$13,MATCH(C942,Upgrades!$B$3:$B$13,0))*1.15^(COUNTIF(C$4:C941,C942)-COUNTIF(C$4:C941,""Sell_""&amp;C942))))))"),"")</f>
        <v/>
      </c>
      <c r="H942" s="10" t="str">
        <f t="shared" si="3"/>
        <v/>
      </c>
      <c r="I942" s="68" t="str">
        <f t="shared" si="4"/>
        <v/>
      </c>
      <c r="J942" s="59" t="str">
        <f t="shared" si="5"/>
        <v/>
      </c>
      <c r="K942" s="69" t="str">
        <f t="shared" si="6"/>
        <v/>
      </c>
      <c r="L942" s="60" t="str">
        <f t="shared" si="7"/>
        <v/>
      </c>
      <c r="M942" s="61" t="str">
        <f>IFERROR(__xludf.DUMMYFUNCTION("IFS(AND(COUNTA(C942:C1644)=0,COUNTA(Q942:Q1644)=0),"""",OR(AND(K942&gt;=1000000000,OR(Y942&gt;=1000000000,COUNTA(Q942:Q1644)=0)),OR(Y942&gt;=1000000000,AND(COUNTA(C942:C1644)=0,P$3=TRUE))),
ROUNDDOWN((AB$1-AC$1)*MAX(INDEX(T$4:T1644,MATCH(LARGE(FILTER(Y$4:Y1644,Y$4"&amp;":Y1644&lt;1000000000),1),Y$4:Y1644)),INDEX(F$4:F1644,MATCH(LARGE(FILTER(K$4:K1644,K$4:K1644&lt;1000000000),1),K$4:K1644)))),AND(K942&lt;1000000000,COUNTA(C942:C1644)&gt;0,P$3=FALSE),
ROUNDDOWN(INDEX(Y$4:Y1644,MATCH(LARGE(FILTER(W$4:W1644,W$4:W1644&lt;=I942),1),W$4:W1644"&amp;"))+(I942-LARGE(FILTER(W$4:W1644,W$4:W1644&lt;=I942),1))*INDEX(T$4:T1644,MATCH(LARGE(FILTER(W$4:W1644,W$4:W1644&lt;=I942),1),W$4:W1644))-K942),1,
ROUNDDOWN(Y942-INDEX(K$4:K1644,MATCH(LARGE(FILTER(I$4:I1644,I$4:I1644&lt;=W942),1),I$4:I1644))-(W942-LARGE(FILTER(I$4:I"&amp;"1644,I$4:I1644&lt;=W942),1))*INDEX(F$4:F1644,MATCH(LARGE(FILTER(I$4:I1644,I$4:I1644&lt;=W942),1),I$4:I1644))))"),"")</f>
        <v/>
      </c>
      <c r="N942" s="60" t="str">
        <f t="shared" si="8"/>
        <v/>
      </c>
      <c r="O942" s="61" t="str">
        <f t="shared" si="9"/>
        <v/>
      </c>
      <c r="P942" s="56" t="str">
        <f t="shared" si="10"/>
        <v/>
      </c>
      <c r="Q942" s="105"/>
      <c r="R942" s="10"/>
      <c r="S942" s="59" t="str">
        <f t="array" ref="S942">IF(COUNTA(Q942:Q1644)=0,"",SUM((COUNTIF(Q$4:Q942,Upgrades!$B$3:$B$13)-COUNTIF(Q$4:Q942,"Sell_"&amp;Upgrades!$B$3:$B$13))*Upgrades!$D$3:$D$13))</f>
        <v/>
      </c>
      <c r="T942" s="66" t="str">
        <f>IFERROR(__xludf.DUMMYFUNCTION("IF(COUNTA(Q942:Q1644)=0,"""",IF(REGEXMATCH(INDEX(FILTER(Q$4:Q942,Q$4:Q942&lt;&gt;""""),ROWS(FILTER(Q$4:Q942,Q$4:Q942&lt;&gt;""""))),""^Sell_""),INDEX(FILTER(T$4:T941,Q$4:Q941&lt;&gt;""""),ROWS(FILTER(Q$4:Q941,Q$4:Q941&lt;&gt;""""))),$AD$5+S942))"),"")</f>
        <v/>
      </c>
      <c r="U942" s="10" t="str">
        <f>IFERROR(__xludf.DUMMYFUNCTION("IF(COUNTA(Q942:Q1644)=0,"""",IF(Q942="""",0,IF(REGEXMATCH(Q942,""^Sell_""),-ROUNDDOWN(ROUNDUP(INDEX(Upgrades!$C$3:$C$13,MATCH(SUBSTITUTE(Q942,""Sell_"",""""),Upgrades!$B$3:$B$13,0))*1.15^(COUNTIF(Q$4:Q941,SUBSTITUTE(Q942,""Sell_"",""""))-COUNTIF(Q$4:Q941,"&amp;"""Sell_""&amp;SUBSTITUTE(Q942,""Sell_"",""""))))/2),ROUNDUP(INDEX(Upgrades!$C$3:$C$13,MATCH(Q942,Upgrades!$B$3:$B$13,0))*1.15^(COUNTIF(Q$4:Q941,Q942)-COUNTIF(Q$4:Q941,""Sell_""&amp;Q942))))))"),"")</f>
        <v/>
      </c>
      <c r="V942" s="10" t="str">
        <f t="shared" si="11"/>
        <v/>
      </c>
      <c r="W942" s="68" t="str">
        <f t="shared" si="12"/>
        <v/>
      </c>
      <c r="X942" s="59" t="str">
        <f t="shared" si="13"/>
        <v/>
      </c>
      <c r="Y942" s="69" t="str">
        <f t="shared" si="14"/>
        <v/>
      </c>
      <c r="Z942" s="11"/>
      <c r="AG942" s="59"/>
    </row>
    <row r="943">
      <c r="A943" s="8"/>
      <c r="B943" s="56" t="str">
        <f t="shared" si="2"/>
        <v/>
      </c>
      <c r="C943" s="105"/>
      <c r="D943" s="10"/>
      <c r="E943" s="59" t="str">
        <f t="array" ref="E943">IF(COUNTA(C943:C1644)=0,"",SUM((COUNTIF(C$4:C943,Upgrades!$B$3:$B$13)-COUNTIF(C$4:C943,"Sell_"&amp;Upgrades!$B$3:$B$13))*Upgrades!$D$3:$D$13))</f>
        <v/>
      </c>
      <c r="F943" s="66" t="str">
        <f>IFERROR(__xludf.DUMMYFUNCTION("IF(COUNTA(C943:C1644)=0,"""",IF(REGEXMATCH(INDEX(FILTER(C$4:C943,C$4:C943&lt;&gt;""""),ROWS(FILTER(C$4:C943,C$4:C943&lt;&gt;""""))),""^Sell_""),INDEX(FILTER(F$4:F942,C$4:C942&lt;&gt;""""),ROWS(FILTER(C$4:C942,C$4:C942&lt;&gt;""""))),$AC$5+E943))"),"")</f>
        <v/>
      </c>
      <c r="G943" s="10" t="str">
        <f>IFERROR(__xludf.DUMMYFUNCTION("IF(COUNTA(C943:C1644)=0,"""",IF(C943="""",0,IF(REGEXMATCH(C943,""^Sell_""),-ROUNDDOWN(ROUNDUP(INDEX(Upgrades!$C$3:$C$13,MATCH(SUBSTITUTE(C943,""Sell_"",""""),Upgrades!$B$3:$B$13,0))*1.15^(COUNTIF(C$4:C942,SUBSTITUTE(C943,""Sell_"",""""))-COUNTIF(C$4:C942,"&amp;"""Sell_""&amp;SUBSTITUTE(C943,""Sell_"",""""))))/2),ROUNDUP(INDEX(Upgrades!$C$3:$C$13,MATCH(C943,Upgrades!$B$3:$B$13,0))*1.15^(COUNTIF(C$4:C942,C943)-COUNTIF(C$4:C942,""Sell_""&amp;C943))))))"),"")</f>
        <v/>
      </c>
      <c r="H943" s="10" t="str">
        <f t="shared" si="3"/>
        <v/>
      </c>
      <c r="I943" s="68" t="str">
        <f t="shared" si="4"/>
        <v/>
      </c>
      <c r="J943" s="59" t="str">
        <f t="shared" si="5"/>
        <v/>
      </c>
      <c r="K943" s="69" t="str">
        <f t="shared" si="6"/>
        <v/>
      </c>
      <c r="L943" s="60" t="str">
        <f t="shared" si="7"/>
        <v/>
      </c>
      <c r="M943" s="61" t="str">
        <f>IFERROR(__xludf.DUMMYFUNCTION("IFS(AND(COUNTA(C943:C1644)=0,COUNTA(Q943:Q1644)=0),"""",OR(AND(K943&gt;=1000000000,OR(Y943&gt;=1000000000,COUNTA(Q943:Q1644)=0)),OR(Y943&gt;=1000000000,AND(COUNTA(C943:C1644)=0,P$3=TRUE))),
ROUNDDOWN((AB$1-AC$1)*MAX(INDEX(T$4:T1644,MATCH(LARGE(FILTER(Y$4:Y1644,Y$4"&amp;":Y1644&lt;1000000000),1),Y$4:Y1644)),INDEX(F$4:F1644,MATCH(LARGE(FILTER(K$4:K1644,K$4:K1644&lt;1000000000),1),K$4:K1644)))),AND(K943&lt;1000000000,COUNTA(C943:C1644)&gt;0,P$3=FALSE),
ROUNDDOWN(INDEX(Y$4:Y1644,MATCH(LARGE(FILTER(W$4:W1644,W$4:W1644&lt;=I943),1),W$4:W1644"&amp;"))+(I943-LARGE(FILTER(W$4:W1644,W$4:W1644&lt;=I943),1))*INDEX(T$4:T1644,MATCH(LARGE(FILTER(W$4:W1644,W$4:W1644&lt;=I943),1),W$4:W1644))-K943),1,
ROUNDDOWN(Y943-INDEX(K$4:K1644,MATCH(LARGE(FILTER(I$4:I1644,I$4:I1644&lt;=W943),1),I$4:I1644))-(W943-LARGE(FILTER(I$4:I"&amp;"1644,I$4:I1644&lt;=W943),1))*INDEX(F$4:F1644,MATCH(LARGE(FILTER(I$4:I1644,I$4:I1644&lt;=W943),1),I$4:I1644))))"),"")</f>
        <v/>
      </c>
      <c r="N943" s="60" t="str">
        <f t="shared" si="8"/>
        <v/>
      </c>
      <c r="O943" s="61" t="str">
        <f t="shared" si="9"/>
        <v/>
      </c>
      <c r="P943" s="56" t="str">
        <f t="shared" si="10"/>
        <v/>
      </c>
      <c r="Q943" s="105"/>
      <c r="R943" s="10"/>
      <c r="S943" s="59" t="str">
        <f t="array" ref="S943">IF(COUNTA(Q943:Q1644)=0,"",SUM((COUNTIF(Q$4:Q943,Upgrades!$B$3:$B$13)-COUNTIF(Q$4:Q943,"Sell_"&amp;Upgrades!$B$3:$B$13))*Upgrades!$D$3:$D$13))</f>
        <v/>
      </c>
      <c r="T943" s="66" t="str">
        <f>IFERROR(__xludf.DUMMYFUNCTION("IF(COUNTA(Q943:Q1644)=0,"""",IF(REGEXMATCH(INDEX(FILTER(Q$4:Q943,Q$4:Q943&lt;&gt;""""),ROWS(FILTER(Q$4:Q943,Q$4:Q943&lt;&gt;""""))),""^Sell_""),INDEX(FILTER(T$4:T942,Q$4:Q942&lt;&gt;""""),ROWS(FILTER(Q$4:Q942,Q$4:Q942&lt;&gt;""""))),$AD$5+S943))"),"")</f>
        <v/>
      </c>
      <c r="U943" s="10" t="str">
        <f>IFERROR(__xludf.DUMMYFUNCTION("IF(COUNTA(Q943:Q1644)=0,"""",IF(Q943="""",0,IF(REGEXMATCH(Q943,""^Sell_""),-ROUNDDOWN(ROUNDUP(INDEX(Upgrades!$C$3:$C$13,MATCH(SUBSTITUTE(Q943,""Sell_"",""""),Upgrades!$B$3:$B$13,0))*1.15^(COUNTIF(Q$4:Q942,SUBSTITUTE(Q943,""Sell_"",""""))-COUNTIF(Q$4:Q942,"&amp;"""Sell_""&amp;SUBSTITUTE(Q943,""Sell_"",""""))))/2),ROUNDUP(INDEX(Upgrades!$C$3:$C$13,MATCH(Q943,Upgrades!$B$3:$B$13,0))*1.15^(COUNTIF(Q$4:Q942,Q943)-COUNTIF(Q$4:Q942,""Sell_""&amp;Q943))))))"),"")</f>
        <v/>
      </c>
      <c r="V943" s="10" t="str">
        <f t="shared" si="11"/>
        <v/>
      </c>
      <c r="W943" s="68" t="str">
        <f t="shared" si="12"/>
        <v/>
      </c>
      <c r="X943" s="59" t="str">
        <f t="shared" si="13"/>
        <v/>
      </c>
      <c r="Y943" s="69" t="str">
        <f t="shared" si="14"/>
        <v/>
      </c>
      <c r="Z943" s="11"/>
      <c r="AG943" s="59"/>
    </row>
    <row r="944">
      <c r="A944" s="8"/>
      <c r="B944" s="56" t="str">
        <f t="shared" si="2"/>
        <v/>
      </c>
      <c r="C944" s="105"/>
      <c r="D944" s="10"/>
      <c r="E944" s="59" t="str">
        <f t="array" ref="E944">IF(COUNTA(C944:C1644)=0,"",SUM((COUNTIF(C$4:C944,Upgrades!$B$3:$B$13)-COUNTIF(C$4:C944,"Sell_"&amp;Upgrades!$B$3:$B$13))*Upgrades!$D$3:$D$13))</f>
        <v/>
      </c>
      <c r="F944" s="66" t="str">
        <f>IFERROR(__xludf.DUMMYFUNCTION("IF(COUNTA(C944:C1644)=0,"""",IF(REGEXMATCH(INDEX(FILTER(C$4:C944,C$4:C944&lt;&gt;""""),ROWS(FILTER(C$4:C944,C$4:C944&lt;&gt;""""))),""^Sell_""),INDEX(FILTER(F$4:F943,C$4:C943&lt;&gt;""""),ROWS(FILTER(C$4:C943,C$4:C943&lt;&gt;""""))),$AC$5+E944))"),"")</f>
        <v/>
      </c>
      <c r="G944" s="10" t="str">
        <f>IFERROR(__xludf.DUMMYFUNCTION("IF(COUNTA(C944:C1644)=0,"""",IF(C944="""",0,IF(REGEXMATCH(C944,""^Sell_""),-ROUNDDOWN(ROUNDUP(INDEX(Upgrades!$C$3:$C$13,MATCH(SUBSTITUTE(C944,""Sell_"",""""),Upgrades!$B$3:$B$13,0))*1.15^(COUNTIF(C$4:C943,SUBSTITUTE(C944,""Sell_"",""""))-COUNTIF(C$4:C943,"&amp;"""Sell_""&amp;SUBSTITUTE(C944,""Sell_"",""""))))/2),ROUNDUP(INDEX(Upgrades!$C$3:$C$13,MATCH(C944,Upgrades!$B$3:$B$13,0))*1.15^(COUNTIF(C$4:C943,C944)-COUNTIF(C$4:C943,""Sell_""&amp;C944))))))"),"")</f>
        <v/>
      </c>
      <c r="H944" s="10" t="str">
        <f t="shared" si="3"/>
        <v/>
      </c>
      <c r="I944" s="68" t="str">
        <f t="shared" si="4"/>
        <v/>
      </c>
      <c r="J944" s="59" t="str">
        <f t="shared" si="5"/>
        <v/>
      </c>
      <c r="K944" s="69" t="str">
        <f t="shared" si="6"/>
        <v/>
      </c>
      <c r="L944" s="60" t="str">
        <f t="shared" si="7"/>
        <v/>
      </c>
      <c r="M944" s="61" t="str">
        <f>IFERROR(__xludf.DUMMYFUNCTION("IFS(AND(COUNTA(C944:C1644)=0,COUNTA(Q944:Q1644)=0),"""",OR(AND(K944&gt;=1000000000,OR(Y944&gt;=1000000000,COUNTA(Q944:Q1644)=0)),OR(Y944&gt;=1000000000,AND(COUNTA(C944:C1644)=0,P$3=TRUE))),
ROUNDDOWN((AB$1-AC$1)*MAX(INDEX(T$4:T1644,MATCH(LARGE(FILTER(Y$4:Y1644,Y$4"&amp;":Y1644&lt;1000000000),1),Y$4:Y1644)),INDEX(F$4:F1644,MATCH(LARGE(FILTER(K$4:K1644,K$4:K1644&lt;1000000000),1),K$4:K1644)))),AND(K944&lt;1000000000,COUNTA(C944:C1644)&gt;0,P$3=FALSE),
ROUNDDOWN(INDEX(Y$4:Y1644,MATCH(LARGE(FILTER(W$4:W1644,W$4:W1644&lt;=I944),1),W$4:W1644"&amp;"))+(I944-LARGE(FILTER(W$4:W1644,W$4:W1644&lt;=I944),1))*INDEX(T$4:T1644,MATCH(LARGE(FILTER(W$4:W1644,W$4:W1644&lt;=I944),1),W$4:W1644))-K944),1,
ROUNDDOWN(Y944-INDEX(K$4:K1644,MATCH(LARGE(FILTER(I$4:I1644,I$4:I1644&lt;=W944),1),I$4:I1644))-(W944-LARGE(FILTER(I$4:I"&amp;"1644,I$4:I1644&lt;=W944),1))*INDEX(F$4:F1644,MATCH(LARGE(FILTER(I$4:I1644,I$4:I1644&lt;=W944),1),I$4:I1644))))"),"")</f>
        <v/>
      </c>
      <c r="N944" s="60" t="str">
        <f t="shared" si="8"/>
        <v/>
      </c>
      <c r="O944" s="61" t="str">
        <f t="shared" si="9"/>
        <v/>
      </c>
      <c r="P944" s="56" t="str">
        <f t="shared" si="10"/>
        <v/>
      </c>
      <c r="Q944" s="105"/>
      <c r="R944" s="10"/>
      <c r="S944" s="59" t="str">
        <f t="array" ref="S944">IF(COUNTA(Q944:Q1644)=0,"",SUM((COUNTIF(Q$4:Q944,Upgrades!$B$3:$B$13)-COUNTIF(Q$4:Q944,"Sell_"&amp;Upgrades!$B$3:$B$13))*Upgrades!$D$3:$D$13))</f>
        <v/>
      </c>
      <c r="T944" s="66" t="str">
        <f>IFERROR(__xludf.DUMMYFUNCTION("IF(COUNTA(Q944:Q1644)=0,"""",IF(REGEXMATCH(INDEX(FILTER(Q$4:Q944,Q$4:Q944&lt;&gt;""""),ROWS(FILTER(Q$4:Q944,Q$4:Q944&lt;&gt;""""))),""^Sell_""),INDEX(FILTER(T$4:T943,Q$4:Q943&lt;&gt;""""),ROWS(FILTER(Q$4:Q943,Q$4:Q943&lt;&gt;""""))),$AD$5+S944))"),"")</f>
        <v/>
      </c>
      <c r="U944" s="10" t="str">
        <f>IFERROR(__xludf.DUMMYFUNCTION("IF(COUNTA(Q944:Q1644)=0,"""",IF(Q944="""",0,IF(REGEXMATCH(Q944,""^Sell_""),-ROUNDDOWN(ROUNDUP(INDEX(Upgrades!$C$3:$C$13,MATCH(SUBSTITUTE(Q944,""Sell_"",""""),Upgrades!$B$3:$B$13,0))*1.15^(COUNTIF(Q$4:Q943,SUBSTITUTE(Q944,""Sell_"",""""))-COUNTIF(Q$4:Q943,"&amp;"""Sell_""&amp;SUBSTITUTE(Q944,""Sell_"",""""))))/2),ROUNDUP(INDEX(Upgrades!$C$3:$C$13,MATCH(Q944,Upgrades!$B$3:$B$13,0))*1.15^(COUNTIF(Q$4:Q943,Q944)-COUNTIF(Q$4:Q943,""Sell_""&amp;Q944))))))"),"")</f>
        <v/>
      </c>
      <c r="V944" s="10" t="str">
        <f t="shared" si="11"/>
        <v/>
      </c>
      <c r="W944" s="68" t="str">
        <f t="shared" si="12"/>
        <v/>
      </c>
      <c r="X944" s="59" t="str">
        <f t="shared" si="13"/>
        <v/>
      </c>
      <c r="Y944" s="69" t="str">
        <f t="shared" si="14"/>
        <v/>
      </c>
      <c r="Z944" s="11"/>
      <c r="AG944" s="59"/>
    </row>
    <row r="945">
      <c r="A945" s="8"/>
      <c r="B945" s="56" t="str">
        <f t="shared" si="2"/>
        <v/>
      </c>
      <c r="C945" s="105"/>
      <c r="D945" s="10"/>
      <c r="E945" s="59" t="str">
        <f t="array" ref="E945">IF(COUNTA(C945:C1644)=0,"",SUM((COUNTIF(C$4:C945,Upgrades!$B$3:$B$13)-COUNTIF(C$4:C945,"Sell_"&amp;Upgrades!$B$3:$B$13))*Upgrades!$D$3:$D$13))</f>
        <v/>
      </c>
      <c r="F945" s="66" t="str">
        <f>IFERROR(__xludf.DUMMYFUNCTION("IF(COUNTA(C945:C1644)=0,"""",IF(REGEXMATCH(INDEX(FILTER(C$4:C945,C$4:C945&lt;&gt;""""),ROWS(FILTER(C$4:C945,C$4:C945&lt;&gt;""""))),""^Sell_""),INDEX(FILTER(F$4:F944,C$4:C944&lt;&gt;""""),ROWS(FILTER(C$4:C944,C$4:C944&lt;&gt;""""))),$AC$5+E945))"),"")</f>
        <v/>
      </c>
      <c r="G945" s="10" t="str">
        <f>IFERROR(__xludf.DUMMYFUNCTION("IF(COUNTA(C945:C1644)=0,"""",IF(C945="""",0,IF(REGEXMATCH(C945,""^Sell_""),-ROUNDDOWN(ROUNDUP(INDEX(Upgrades!$C$3:$C$13,MATCH(SUBSTITUTE(C945,""Sell_"",""""),Upgrades!$B$3:$B$13,0))*1.15^(COUNTIF(C$4:C944,SUBSTITUTE(C945,""Sell_"",""""))-COUNTIF(C$4:C944,"&amp;"""Sell_""&amp;SUBSTITUTE(C945,""Sell_"",""""))))/2),ROUNDUP(INDEX(Upgrades!$C$3:$C$13,MATCH(C945,Upgrades!$B$3:$B$13,0))*1.15^(COUNTIF(C$4:C944,C945)-COUNTIF(C$4:C944,""Sell_""&amp;C945))))))"),"")</f>
        <v/>
      </c>
      <c r="H945" s="10" t="str">
        <f t="shared" si="3"/>
        <v/>
      </c>
      <c r="I945" s="68" t="str">
        <f t="shared" si="4"/>
        <v/>
      </c>
      <c r="J945" s="59" t="str">
        <f t="shared" si="5"/>
        <v/>
      </c>
      <c r="K945" s="69" t="str">
        <f t="shared" si="6"/>
        <v/>
      </c>
      <c r="L945" s="60" t="str">
        <f t="shared" si="7"/>
        <v/>
      </c>
      <c r="M945" s="61" t="str">
        <f>IFERROR(__xludf.DUMMYFUNCTION("IFS(AND(COUNTA(C945:C1644)=0,COUNTA(Q945:Q1644)=0),"""",OR(AND(K945&gt;=1000000000,OR(Y945&gt;=1000000000,COUNTA(Q945:Q1644)=0)),OR(Y945&gt;=1000000000,AND(COUNTA(C945:C1644)=0,P$3=TRUE))),
ROUNDDOWN((AB$1-AC$1)*MAX(INDEX(T$4:T1644,MATCH(LARGE(FILTER(Y$4:Y1644,Y$4"&amp;":Y1644&lt;1000000000),1),Y$4:Y1644)),INDEX(F$4:F1644,MATCH(LARGE(FILTER(K$4:K1644,K$4:K1644&lt;1000000000),1),K$4:K1644)))),AND(K945&lt;1000000000,COUNTA(C945:C1644)&gt;0,P$3=FALSE),
ROUNDDOWN(INDEX(Y$4:Y1644,MATCH(LARGE(FILTER(W$4:W1644,W$4:W1644&lt;=I945),1),W$4:W1644"&amp;"))+(I945-LARGE(FILTER(W$4:W1644,W$4:W1644&lt;=I945),1))*INDEX(T$4:T1644,MATCH(LARGE(FILTER(W$4:W1644,W$4:W1644&lt;=I945),1),W$4:W1644))-K945),1,
ROUNDDOWN(Y945-INDEX(K$4:K1644,MATCH(LARGE(FILTER(I$4:I1644,I$4:I1644&lt;=W945),1),I$4:I1644))-(W945-LARGE(FILTER(I$4:I"&amp;"1644,I$4:I1644&lt;=W945),1))*INDEX(F$4:F1644,MATCH(LARGE(FILTER(I$4:I1644,I$4:I1644&lt;=W945),1),I$4:I1644))))"),"")</f>
        <v/>
      </c>
      <c r="N945" s="60" t="str">
        <f t="shared" si="8"/>
        <v/>
      </c>
      <c r="O945" s="61" t="str">
        <f t="shared" si="9"/>
        <v/>
      </c>
      <c r="P945" s="56" t="str">
        <f t="shared" si="10"/>
        <v/>
      </c>
      <c r="Q945" s="105"/>
      <c r="R945" s="10"/>
      <c r="S945" s="59" t="str">
        <f t="array" ref="S945">IF(COUNTA(Q945:Q1644)=0,"",SUM((COUNTIF(Q$4:Q945,Upgrades!$B$3:$B$13)-COUNTIF(Q$4:Q945,"Sell_"&amp;Upgrades!$B$3:$B$13))*Upgrades!$D$3:$D$13))</f>
        <v/>
      </c>
      <c r="T945" s="66" t="str">
        <f>IFERROR(__xludf.DUMMYFUNCTION("IF(COUNTA(Q945:Q1644)=0,"""",IF(REGEXMATCH(INDEX(FILTER(Q$4:Q945,Q$4:Q945&lt;&gt;""""),ROWS(FILTER(Q$4:Q945,Q$4:Q945&lt;&gt;""""))),""^Sell_""),INDEX(FILTER(T$4:T944,Q$4:Q944&lt;&gt;""""),ROWS(FILTER(Q$4:Q944,Q$4:Q944&lt;&gt;""""))),$AD$5+S945))"),"")</f>
        <v/>
      </c>
      <c r="U945" s="10" t="str">
        <f>IFERROR(__xludf.DUMMYFUNCTION("IF(COUNTA(Q945:Q1644)=0,"""",IF(Q945="""",0,IF(REGEXMATCH(Q945,""^Sell_""),-ROUNDDOWN(ROUNDUP(INDEX(Upgrades!$C$3:$C$13,MATCH(SUBSTITUTE(Q945,""Sell_"",""""),Upgrades!$B$3:$B$13,0))*1.15^(COUNTIF(Q$4:Q944,SUBSTITUTE(Q945,""Sell_"",""""))-COUNTIF(Q$4:Q944,"&amp;"""Sell_""&amp;SUBSTITUTE(Q945,""Sell_"",""""))))/2),ROUNDUP(INDEX(Upgrades!$C$3:$C$13,MATCH(Q945,Upgrades!$B$3:$B$13,0))*1.15^(COUNTIF(Q$4:Q944,Q945)-COUNTIF(Q$4:Q944,""Sell_""&amp;Q945))))))"),"")</f>
        <v/>
      </c>
      <c r="V945" s="10" t="str">
        <f t="shared" si="11"/>
        <v/>
      </c>
      <c r="W945" s="68" t="str">
        <f t="shared" si="12"/>
        <v/>
      </c>
      <c r="X945" s="59" t="str">
        <f t="shared" si="13"/>
        <v/>
      </c>
      <c r="Y945" s="69" t="str">
        <f t="shared" si="14"/>
        <v/>
      </c>
      <c r="Z945" s="11"/>
      <c r="AG945" s="59"/>
    </row>
    <row r="946">
      <c r="A946" s="8"/>
      <c r="B946" s="56" t="str">
        <f t="shared" si="2"/>
        <v/>
      </c>
      <c r="C946" s="105"/>
      <c r="D946" s="10"/>
      <c r="E946" s="59" t="str">
        <f t="array" ref="E946">IF(COUNTA(C946:C1644)=0,"",SUM((COUNTIF(C$4:C946,Upgrades!$B$3:$B$13)-COUNTIF(C$4:C946,"Sell_"&amp;Upgrades!$B$3:$B$13))*Upgrades!$D$3:$D$13))</f>
        <v/>
      </c>
      <c r="F946" s="66" t="str">
        <f>IFERROR(__xludf.DUMMYFUNCTION("IF(COUNTA(C946:C1644)=0,"""",IF(REGEXMATCH(INDEX(FILTER(C$4:C946,C$4:C946&lt;&gt;""""),ROWS(FILTER(C$4:C946,C$4:C946&lt;&gt;""""))),""^Sell_""),INDEX(FILTER(F$4:F945,C$4:C945&lt;&gt;""""),ROWS(FILTER(C$4:C945,C$4:C945&lt;&gt;""""))),$AC$5+E946))"),"")</f>
        <v/>
      </c>
      <c r="G946" s="10" t="str">
        <f>IFERROR(__xludf.DUMMYFUNCTION("IF(COUNTA(C946:C1644)=0,"""",IF(C946="""",0,IF(REGEXMATCH(C946,""^Sell_""),-ROUNDDOWN(ROUNDUP(INDEX(Upgrades!$C$3:$C$13,MATCH(SUBSTITUTE(C946,""Sell_"",""""),Upgrades!$B$3:$B$13,0))*1.15^(COUNTIF(C$4:C945,SUBSTITUTE(C946,""Sell_"",""""))-COUNTIF(C$4:C945,"&amp;"""Sell_""&amp;SUBSTITUTE(C946,""Sell_"",""""))))/2),ROUNDUP(INDEX(Upgrades!$C$3:$C$13,MATCH(C946,Upgrades!$B$3:$B$13,0))*1.15^(COUNTIF(C$4:C945,C946)-COUNTIF(C$4:C945,""Sell_""&amp;C946))))))"),"")</f>
        <v/>
      </c>
      <c r="H946" s="10" t="str">
        <f t="shared" si="3"/>
        <v/>
      </c>
      <c r="I946" s="68" t="str">
        <f t="shared" si="4"/>
        <v/>
      </c>
      <c r="J946" s="59" t="str">
        <f t="shared" si="5"/>
        <v/>
      </c>
      <c r="K946" s="69" t="str">
        <f t="shared" si="6"/>
        <v/>
      </c>
      <c r="L946" s="60" t="str">
        <f t="shared" si="7"/>
        <v/>
      </c>
      <c r="M946" s="61" t="str">
        <f>IFERROR(__xludf.DUMMYFUNCTION("IFS(AND(COUNTA(C946:C1644)=0,COUNTA(Q946:Q1644)=0),"""",OR(AND(K946&gt;=1000000000,OR(Y946&gt;=1000000000,COUNTA(Q946:Q1644)=0)),OR(Y946&gt;=1000000000,AND(COUNTA(C946:C1644)=0,P$3=TRUE))),
ROUNDDOWN((AB$1-AC$1)*MAX(INDEX(T$4:T1644,MATCH(LARGE(FILTER(Y$4:Y1644,Y$4"&amp;":Y1644&lt;1000000000),1),Y$4:Y1644)),INDEX(F$4:F1644,MATCH(LARGE(FILTER(K$4:K1644,K$4:K1644&lt;1000000000),1),K$4:K1644)))),AND(K946&lt;1000000000,COUNTA(C946:C1644)&gt;0,P$3=FALSE),
ROUNDDOWN(INDEX(Y$4:Y1644,MATCH(LARGE(FILTER(W$4:W1644,W$4:W1644&lt;=I946),1),W$4:W1644"&amp;"))+(I946-LARGE(FILTER(W$4:W1644,W$4:W1644&lt;=I946),1))*INDEX(T$4:T1644,MATCH(LARGE(FILTER(W$4:W1644,W$4:W1644&lt;=I946),1),W$4:W1644))-K946),1,
ROUNDDOWN(Y946-INDEX(K$4:K1644,MATCH(LARGE(FILTER(I$4:I1644,I$4:I1644&lt;=W946),1),I$4:I1644))-(W946-LARGE(FILTER(I$4:I"&amp;"1644,I$4:I1644&lt;=W946),1))*INDEX(F$4:F1644,MATCH(LARGE(FILTER(I$4:I1644,I$4:I1644&lt;=W946),1),I$4:I1644))))"),"")</f>
        <v/>
      </c>
      <c r="N946" s="60" t="str">
        <f t="shared" si="8"/>
        <v/>
      </c>
      <c r="O946" s="61" t="str">
        <f t="shared" si="9"/>
        <v/>
      </c>
      <c r="P946" s="56" t="str">
        <f t="shared" si="10"/>
        <v/>
      </c>
      <c r="Q946" s="105"/>
      <c r="R946" s="10"/>
      <c r="S946" s="59" t="str">
        <f t="array" ref="S946">IF(COUNTA(Q946:Q1644)=0,"",SUM((COUNTIF(Q$4:Q946,Upgrades!$B$3:$B$13)-COUNTIF(Q$4:Q946,"Sell_"&amp;Upgrades!$B$3:$B$13))*Upgrades!$D$3:$D$13))</f>
        <v/>
      </c>
      <c r="T946" s="66" t="str">
        <f>IFERROR(__xludf.DUMMYFUNCTION("IF(COUNTA(Q946:Q1644)=0,"""",IF(REGEXMATCH(INDEX(FILTER(Q$4:Q946,Q$4:Q946&lt;&gt;""""),ROWS(FILTER(Q$4:Q946,Q$4:Q946&lt;&gt;""""))),""^Sell_""),INDEX(FILTER(T$4:T945,Q$4:Q945&lt;&gt;""""),ROWS(FILTER(Q$4:Q945,Q$4:Q945&lt;&gt;""""))),$AD$5+S946))"),"")</f>
        <v/>
      </c>
      <c r="U946" s="10" t="str">
        <f>IFERROR(__xludf.DUMMYFUNCTION("IF(COUNTA(Q946:Q1644)=0,"""",IF(Q946="""",0,IF(REGEXMATCH(Q946,""^Sell_""),-ROUNDDOWN(ROUNDUP(INDEX(Upgrades!$C$3:$C$13,MATCH(SUBSTITUTE(Q946,""Sell_"",""""),Upgrades!$B$3:$B$13,0))*1.15^(COUNTIF(Q$4:Q945,SUBSTITUTE(Q946,""Sell_"",""""))-COUNTIF(Q$4:Q945,"&amp;"""Sell_""&amp;SUBSTITUTE(Q946,""Sell_"",""""))))/2),ROUNDUP(INDEX(Upgrades!$C$3:$C$13,MATCH(Q946,Upgrades!$B$3:$B$13,0))*1.15^(COUNTIF(Q$4:Q945,Q946)-COUNTIF(Q$4:Q945,""Sell_""&amp;Q946))))))"),"")</f>
        <v/>
      </c>
      <c r="V946" s="10" t="str">
        <f t="shared" si="11"/>
        <v/>
      </c>
      <c r="W946" s="68" t="str">
        <f t="shared" si="12"/>
        <v/>
      </c>
      <c r="X946" s="59" t="str">
        <f t="shared" si="13"/>
        <v/>
      </c>
      <c r="Y946" s="69" t="str">
        <f t="shared" si="14"/>
        <v/>
      </c>
      <c r="Z946" s="11"/>
      <c r="AG946" s="59"/>
    </row>
    <row r="947">
      <c r="A947" s="8"/>
      <c r="B947" s="56" t="str">
        <f t="shared" si="2"/>
        <v/>
      </c>
      <c r="C947" s="105"/>
      <c r="D947" s="10"/>
      <c r="E947" s="59" t="str">
        <f t="array" ref="E947">IF(COUNTA(C947:C1644)=0,"",SUM((COUNTIF(C$4:C947,Upgrades!$B$3:$B$13)-COUNTIF(C$4:C947,"Sell_"&amp;Upgrades!$B$3:$B$13))*Upgrades!$D$3:$D$13))</f>
        <v/>
      </c>
      <c r="F947" s="66" t="str">
        <f>IFERROR(__xludf.DUMMYFUNCTION("IF(COUNTA(C947:C1644)=0,"""",IF(REGEXMATCH(INDEX(FILTER(C$4:C947,C$4:C947&lt;&gt;""""),ROWS(FILTER(C$4:C947,C$4:C947&lt;&gt;""""))),""^Sell_""),INDEX(FILTER(F$4:F946,C$4:C946&lt;&gt;""""),ROWS(FILTER(C$4:C946,C$4:C946&lt;&gt;""""))),$AC$5+E947))"),"")</f>
        <v/>
      </c>
      <c r="G947" s="10" t="str">
        <f>IFERROR(__xludf.DUMMYFUNCTION("IF(COUNTA(C947:C1644)=0,"""",IF(C947="""",0,IF(REGEXMATCH(C947,""^Sell_""),-ROUNDDOWN(ROUNDUP(INDEX(Upgrades!$C$3:$C$13,MATCH(SUBSTITUTE(C947,""Sell_"",""""),Upgrades!$B$3:$B$13,0))*1.15^(COUNTIF(C$4:C946,SUBSTITUTE(C947,""Sell_"",""""))-COUNTIF(C$4:C946,"&amp;"""Sell_""&amp;SUBSTITUTE(C947,""Sell_"",""""))))/2),ROUNDUP(INDEX(Upgrades!$C$3:$C$13,MATCH(C947,Upgrades!$B$3:$B$13,0))*1.15^(COUNTIF(C$4:C946,C947)-COUNTIF(C$4:C946,""Sell_""&amp;C947))))))"),"")</f>
        <v/>
      </c>
      <c r="H947" s="10" t="str">
        <f t="shared" si="3"/>
        <v/>
      </c>
      <c r="I947" s="68" t="str">
        <f t="shared" si="4"/>
        <v/>
      </c>
      <c r="J947" s="59" t="str">
        <f t="shared" si="5"/>
        <v/>
      </c>
      <c r="K947" s="69" t="str">
        <f t="shared" si="6"/>
        <v/>
      </c>
      <c r="L947" s="60" t="str">
        <f t="shared" si="7"/>
        <v/>
      </c>
      <c r="M947" s="61" t="str">
        <f>IFERROR(__xludf.DUMMYFUNCTION("IFS(AND(COUNTA(C947:C1644)=0,COUNTA(Q947:Q1644)=0),"""",OR(AND(K947&gt;=1000000000,OR(Y947&gt;=1000000000,COUNTA(Q947:Q1644)=0)),OR(Y947&gt;=1000000000,AND(COUNTA(C947:C1644)=0,P$3=TRUE))),
ROUNDDOWN((AB$1-AC$1)*MAX(INDEX(T$4:T1644,MATCH(LARGE(FILTER(Y$4:Y1644,Y$4"&amp;":Y1644&lt;1000000000),1),Y$4:Y1644)),INDEX(F$4:F1644,MATCH(LARGE(FILTER(K$4:K1644,K$4:K1644&lt;1000000000),1),K$4:K1644)))),AND(K947&lt;1000000000,COUNTA(C947:C1644)&gt;0,P$3=FALSE),
ROUNDDOWN(INDEX(Y$4:Y1644,MATCH(LARGE(FILTER(W$4:W1644,W$4:W1644&lt;=I947),1),W$4:W1644"&amp;"))+(I947-LARGE(FILTER(W$4:W1644,W$4:W1644&lt;=I947),1))*INDEX(T$4:T1644,MATCH(LARGE(FILTER(W$4:W1644,W$4:W1644&lt;=I947),1),W$4:W1644))-K947),1,
ROUNDDOWN(Y947-INDEX(K$4:K1644,MATCH(LARGE(FILTER(I$4:I1644,I$4:I1644&lt;=W947),1),I$4:I1644))-(W947-LARGE(FILTER(I$4:I"&amp;"1644,I$4:I1644&lt;=W947),1))*INDEX(F$4:F1644,MATCH(LARGE(FILTER(I$4:I1644,I$4:I1644&lt;=W947),1),I$4:I1644))))"),"")</f>
        <v/>
      </c>
      <c r="N947" s="60" t="str">
        <f t="shared" si="8"/>
        <v/>
      </c>
      <c r="O947" s="61" t="str">
        <f t="shared" si="9"/>
        <v/>
      </c>
      <c r="P947" s="56" t="str">
        <f t="shared" si="10"/>
        <v/>
      </c>
      <c r="Q947" s="105"/>
      <c r="R947" s="10"/>
      <c r="S947" s="59" t="str">
        <f t="array" ref="S947">IF(COUNTA(Q947:Q1644)=0,"",SUM((COUNTIF(Q$4:Q947,Upgrades!$B$3:$B$13)-COUNTIF(Q$4:Q947,"Sell_"&amp;Upgrades!$B$3:$B$13))*Upgrades!$D$3:$D$13))</f>
        <v/>
      </c>
      <c r="T947" s="66" t="str">
        <f>IFERROR(__xludf.DUMMYFUNCTION("IF(COUNTA(Q947:Q1644)=0,"""",IF(REGEXMATCH(INDEX(FILTER(Q$4:Q947,Q$4:Q947&lt;&gt;""""),ROWS(FILTER(Q$4:Q947,Q$4:Q947&lt;&gt;""""))),""^Sell_""),INDEX(FILTER(T$4:T946,Q$4:Q946&lt;&gt;""""),ROWS(FILTER(Q$4:Q946,Q$4:Q946&lt;&gt;""""))),$AD$5+S947))"),"")</f>
        <v/>
      </c>
      <c r="U947" s="10" t="str">
        <f>IFERROR(__xludf.DUMMYFUNCTION("IF(COUNTA(Q947:Q1644)=0,"""",IF(Q947="""",0,IF(REGEXMATCH(Q947,""^Sell_""),-ROUNDDOWN(ROUNDUP(INDEX(Upgrades!$C$3:$C$13,MATCH(SUBSTITUTE(Q947,""Sell_"",""""),Upgrades!$B$3:$B$13,0))*1.15^(COUNTIF(Q$4:Q946,SUBSTITUTE(Q947,""Sell_"",""""))-COUNTIF(Q$4:Q946,"&amp;"""Sell_""&amp;SUBSTITUTE(Q947,""Sell_"",""""))))/2),ROUNDUP(INDEX(Upgrades!$C$3:$C$13,MATCH(Q947,Upgrades!$B$3:$B$13,0))*1.15^(COUNTIF(Q$4:Q946,Q947)-COUNTIF(Q$4:Q946,""Sell_""&amp;Q947))))))"),"")</f>
        <v/>
      </c>
      <c r="V947" s="10" t="str">
        <f t="shared" si="11"/>
        <v/>
      </c>
      <c r="W947" s="68" t="str">
        <f t="shared" si="12"/>
        <v/>
      </c>
      <c r="X947" s="59" t="str">
        <f t="shared" si="13"/>
        <v/>
      </c>
      <c r="Y947" s="69" t="str">
        <f t="shared" si="14"/>
        <v/>
      </c>
      <c r="Z947" s="11"/>
      <c r="AG947" s="59"/>
    </row>
    <row r="948">
      <c r="A948" s="8"/>
      <c r="B948" s="56" t="str">
        <f t="shared" si="2"/>
        <v/>
      </c>
      <c r="C948" s="105"/>
      <c r="D948" s="10"/>
      <c r="E948" s="59" t="str">
        <f t="array" ref="E948">IF(COUNTA(C948:C1644)=0,"",SUM((COUNTIF(C$4:C948,Upgrades!$B$3:$B$13)-COUNTIF(C$4:C948,"Sell_"&amp;Upgrades!$B$3:$B$13))*Upgrades!$D$3:$D$13))</f>
        <v/>
      </c>
      <c r="F948" s="66" t="str">
        <f>IFERROR(__xludf.DUMMYFUNCTION("IF(COUNTA(C948:C1644)=0,"""",IF(REGEXMATCH(INDEX(FILTER(C$4:C948,C$4:C948&lt;&gt;""""),ROWS(FILTER(C$4:C948,C$4:C948&lt;&gt;""""))),""^Sell_""),INDEX(FILTER(F$4:F947,C$4:C947&lt;&gt;""""),ROWS(FILTER(C$4:C947,C$4:C947&lt;&gt;""""))),$AC$5+E948))"),"")</f>
        <v/>
      </c>
      <c r="G948" s="10" t="str">
        <f>IFERROR(__xludf.DUMMYFUNCTION("IF(COUNTA(C948:C1644)=0,"""",IF(C948="""",0,IF(REGEXMATCH(C948,""^Sell_""),-ROUNDDOWN(ROUNDUP(INDEX(Upgrades!$C$3:$C$13,MATCH(SUBSTITUTE(C948,""Sell_"",""""),Upgrades!$B$3:$B$13,0))*1.15^(COUNTIF(C$4:C947,SUBSTITUTE(C948,""Sell_"",""""))-COUNTIF(C$4:C947,"&amp;"""Sell_""&amp;SUBSTITUTE(C948,""Sell_"",""""))))/2),ROUNDUP(INDEX(Upgrades!$C$3:$C$13,MATCH(C948,Upgrades!$B$3:$B$13,0))*1.15^(COUNTIF(C$4:C947,C948)-COUNTIF(C$4:C947,""Sell_""&amp;C948))))))"),"")</f>
        <v/>
      </c>
      <c r="H948" s="10" t="str">
        <f t="shared" si="3"/>
        <v/>
      </c>
      <c r="I948" s="68" t="str">
        <f t="shared" si="4"/>
        <v/>
      </c>
      <c r="J948" s="59" t="str">
        <f t="shared" si="5"/>
        <v/>
      </c>
      <c r="K948" s="69" t="str">
        <f t="shared" si="6"/>
        <v/>
      </c>
      <c r="L948" s="60" t="str">
        <f t="shared" si="7"/>
        <v/>
      </c>
      <c r="M948" s="61" t="str">
        <f>IFERROR(__xludf.DUMMYFUNCTION("IFS(AND(COUNTA(C948:C1644)=0,COUNTA(Q948:Q1644)=0),"""",OR(AND(K948&gt;=1000000000,OR(Y948&gt;=1000000000,COUNTA(Q948:Q1644)=0)),OR(Y948&gt;=1000000000,AND(COUNTA(C948:C1644)=0,P$3=TRUE))),
ROUNDDOWN((AB$1-AC$1)*MAX(INDEX(T$4:T1644,MATCH(LARGE(FILTER(Y$4:Y1644,Y$4"&amp;":Y1644&lt;1000000000),1),Y$4:Y1644)),INDEX(F$4:F1644,MATCH(LARGE(FILTER(K$4:K1644,K$4:K1644&lt;1000000000),1),K$4:K1644)))),AND(K948&lt;1000000000,COUNTA(C948:C1644)&gt;0,P$3=FALSE),
ROUNDDOWN(INDEX(Y$4:Y1644,MATCH(LARGE(FILTER(W$4:W1644,W$4:W1644&lt;=I948),1),W$4:W1644"&amp;"))+(I948-LARGE(FILTER(W$4:W1644,W$4:W1644&lt;=I948),1))*INDEX(T$4:T1644,MATCH(LARGE(FILTER(W$4:W1644,W$4:W1644&lt;=I948),1),W$4:W1644))-K948),1,
ROUNDDOWN(Y948-INDEX(K$4:K1644,MATCH(LARGE(FILTER(I$4:I1644,I$4:I1644&lt;=W948),1),I$4:I1644))-(W948-LARGE(FILTER(I$4:I"&amp;"1644,I$4:I1644&lt;=W948),1))*INDEX(F$4:F1644,MATCH(LARGE(FILTER(I$4:I1644,I$4:I1644&lt;=W948),1),I$4:I1644))))"),"")</f>
        <v/>
      </c>
      <c r="N948" s="60" t="str">
        <f t="shared" si="8"/>
        <v/>
      </c>
      <c r="O948" s="61" t="str">
        <f t="shared" si="9"/>
        <v/>
      </c>
      <c r="P948" s="56" t="str">
        <f t="shared" si="10"/>
        <v/>
      </c>
      <c r="Q948" s="105"/>
      <c r="R948" s="10"/>
      <c r="S948" s="59" t="str">
        <f t="array" ref="S948">IF(COUNTA(Q948:Q1644)=0,"",SUM((COUNTIF(Q$4:Q948,Upgrades!$B$3:$B$13)-COUNTIF(Q$4:Q948,"Sell_"&amp;Upgrades!$B$3:$B$13))*Upgrades!$D$3:$D$13))</f>
        <v/>
      </c>
      <c r="T948" s="66" t="str">
        <f>IFERROR(__xludf.DUMMYFUNCTION("IF(COUNTA(Q948:Q1644)=0,"""",IF(REGEXMATCH(INDEX(FILTER(Q$4:Q948,Q$4:Q948&lt;&gt;""""),ROWS(FILTER(Q$4:Q948,Q$4:Q948&lt;&gt;""""))),""^Sell_""),INDEX(FILTER(T$4:T947,Q$4:Q947&lt;&gt;""""),ROWS(FILTER(Q$4:Q947,Q$4:Q947&lt;&gt;""""))),$AD$5+S948))"),"")</f>
        <v/>
      </c>
      <c r="U948" s="10" t="str">
        <f>IFERROR(__xludf.DUMMYFUNCTION("IF(COUNTA(Q948:Q1644)=0,"""",IF(Q948="""",0,IF(REGEXMATCH(Q948,""^Sell_""),-ROUNDDOWN(ROUNDUP(INDEX(Upgrades!$C$3:$C$13,MATCH(SUBSTITUTE(Q948,""Sell_"",""""),Upgrades!$B$3:$B$13,0))*1.15^(COUNTIF(Q$4:Q947,SUBSTITUTE(Q948,""Sell_"",""""))-COUNTIF(Q$4:Q947,"&amp;"""Sell_""&amp;SUBSTITUTE(Q948,""Sell_"",""""))))/2),ROUNDUP(INDEX(Upgrades!$C$3:$C$13,MATCH(Q948,Upgrades!$B$3:$B$13,0))*1.15^(COUNTIF(Q$4:Q947,Q948)-COUNTIF(Q$4:Q947,""Sell_""&amp;Q948))))))"),"")</f>
        <v/>
      </c>
      <c r="V948" s="10" t="str">
        <f t="shared" si="11"/>
        <v/>
      </c>
      <c r="W948" s="68" t="str">
        <f t="shared" si="12"/>
        <v/>
      </c>
      <c r="X948" s="59" t="str">
        <f t="shared" si="13"/>
        <v/>
      </c>
      <c r="Y948" s="69" t="str">
        <f t="shared" si="14"/>
        <v/>
      </c>
      <c r="Z948" s="11"/>
      <c r="AG948" s="59"/>
    </row>
    <row r="949">
      <c r="A949" s="8"/>
      <c r="B949" s="56" t="str">
        <f t="shared" si="2"/>
        <v/>
      </c>
      <c r="C949" s="105"/>
      <c r="D949" s="10"/>
      <c r="E949" s="59" t="str">
        <f t="array" ref="E949">IF(COUNTA(C949:C1644)=0,"",SUM((COUNTIF(C$4:C949,Upgrades!$B$3:$B$13)-COUNTIF(C$4:C949,"Sell_"&amp;Upgrades!$B$3:$B$13))*Upgrades!$D$3:$D$13))</f>
        <v/>
      </c>
      <c r="F949" s="66" t="str">
        <f>IFERROR(__xludf.DUMMYFUNCTION("IF(COUNTA(C949:C1644)=0,"""",IF(REGEXMATCH(INDEX(FILTER(C$4:C949,C$4:C949&lt;&gt;""""),ROWS(FILTER(C$4:C949,C$4:C949&lt;&gt;""""))),""^Sell_""),INDEX(FILTER(F$4:F948,C$4:C948&lt;&gt;""""),ROWS(FILTER(C$4:C948,C$4:C948&lt;&gt;""""))),$AC$5+E949))"),"")</f>
        <v/>
      </c>
      <c r="G949" s="10" t="str">
        <f>IFERROR(__xludf.DUMMYFUNCTION("IF(COUNTA(C949:C1644)=0,"""",IF(C949="""",0,IF(REGEXMATCH(C949,""^Sell_""),-ROUNDDOWN(ROUNDUP(INDEX(Upgrades!$C$3:$C$13,MATCH(SUBSTITUTE(C949,""Sell_"",""""),Upgrades!$B$3:$B$13,0))*1.15^(COUNTIF(C$4:C948,SUBSTITUTE(C949,""Sell_"",""""))-COUNTIF(C$4:C948,"&amp;"""Sell_""&amp;SUBSTITUTE(C949,""Sell_"",""""))))/2),ROUNDUP(INDEX(Upgrades!$C$3:$C$13,MATCH(C949,Upgrades!$B$3:$B$13,0))*1.15^(COUNTIF(C$4:C948,C949)-COUNTIF(C$4:C948,""Sell_""&amp;C949))))))"),"")</f>
        <v/>
      </c>
      <c r="H949" s="10" t="str">
        <f t="shared" si="3"/>
        <v/>
      </c>
      <c r="I949" s="68" t="str">
        <f t="shared" si="4"/>
        <v/>
      </c>
      <c r="J949" s="59" t="str">
        <f t="shared" si="5"/>
        <v/>
      </c>
      <c r="K949" s="69" t="str">
        <f t="shared" si="6"/>
        <v/>
      </c>
      <c r="L949" s="60" t="str">
        <f t="shared" si="7"/>
        <v/>
      </c>
      <c r="M949" s="61" t="str">
        <f>IFERROR(__xludf.DUMMYFUNCTION("IFS(AND(COUNTA(C949:C1644)=0,COUNTA(Q949:Q1644)=0),"""",OR(AND(K949&gt;=1000000000,OR(Y949&gt;=1000000000,COUNTA(Q949:Q1644)=0)),OR(Y949&gt;=1000000000,AND(COUNTA(C949:C1644)=0,P$3=TRUE))),
ROUNDDOWN((AB$1-AC$1)*MAX(INDEX(T$4:T1644,MATCH(LARGE(FILTER(Y$4:Y1644,Y$4"&amp;":Y1644&lt;1000000000),1),Y$4:Y1644)),INDEX(F$4:F1644,MATCH(LARGE(FILTER(K$4:K1644,K$4:K1644&lt;1000000000),1),K$4:K1644)))),AND(K949&lt;1000000000,COUNTA(C949:C1644)&gt;0,P$3=FALSE),
ROUNDDOWN(INDEX(Y$4:Y1644,MATCH(LARGE(FILTER(W$4:W1644,W$4:W1644&lt;=I949),1),W$4:W1644"&amp;"))+(I949-LARGE(FILTER(W$4:W1644,W$4:W1644&lt;=I949),1))*INDEX(T$4:T1644,MATCH(LARGE(FILTER(W$4:W1644,W$4:W1644&lt;=I949),1),W$4:W1644))-K949),1,
ROUNDDOWN(Y949-INDEX(K$4:K1644,MATCH(LARGE(FILTER(I$4:I1644,I$4:I1644&lt;=W949),1),I$4:I1644))-(W949-LARGE(FILTER(I$4:I"&amp;"1644,I$4:I1644&lt;=W949),1))*INDEX(F$4:F1644,MATCH(LARGE(FILTER(I$4:I1644,I$4:I1644&lt;=W949),1),I$4:I1644))))"),"")</f>
        <v/>
      </c>
      <c r="N949" s="60" t="str">
        <f t="shared" si="8"/>
        <v/>
      </c>
      <c r="O949" s="61" t="str">
        <f t="shared" si="9"/>
        <v/>
      </c>
      <c r="P949" s="56" t="str">
        <f t="shared" si="10"/>
        <v/>
      </c>
      <c r="Q949" s="105"/>
      <c r="R949" s="10"/>
      <c r="S949" s="59" t="str">
        <f t="array" ref="S949">IF(COUNTA(Q949:Q1644)=0,"",SUM((COUNTIF(Q$4:Q949,Upgrades!$B$3:$B$13)-COUNTIF(Q$4:Q949,"Sell_"&amp;Upgrades!$B$3:$B$13))*Upgrades!$D$3:$D$13))</f>
        <v/>
      </c>
      <c r="T949" s="66" t="str">
        <f>IFERROR(__xludf.DUMMYFUNCTION("IF(COUNTA(Q949:Q1644)=0,"""",IF(REGEXMATCH(INDEX(FILTER(Q$4:Q949,Q$4:Q949&lt;&gt;""""),ROWS(FILTER(Q$4:Q949,Q$4:Q949&lt;&gt;""""))),""^Sell_""),INDEX(FILTER(T$4:T948,Q$4:Q948&lt;&gt;""""),ROWS(FILTER(Q$4:Q948,Q$4:Q948&lt;&gt;""""))),$AD$5+S949))"),"")</f>
        <v/>
      </c>
      <c r="U949" s="10" t="str">
        <f>IFERROR(__xludf.DUMMYFUNCTION("IF(COUNTA(Q949:Q1644)=0,"""",IF(Q949="""",0,IF(REGEXMATCH(Q949,""^Sell_""),-ROUNDDOWN(ROUNDUP(INDEX(Upgrades!$C$3:$C$13,MATCH(SUBSTITUTE(Q949,""Sell_"",""""),Upgrades!$B$3:$B$13,0))*1.15^(COUNTIF(Q$4:Q948,SUBSTITUTE(Q949,""Sell_"",""""))-COUNTIF(Q$4:Q948,"&amp;"""Sell_""&amp;SUBSTITUTE(Q949,""Sell_"",""""))))/2),ROUNDUP(INDEX(Upgrades!$C$3:$C$13,MATCH(Q949,Upgrades!$B$3:$B$13,0))*1.15^(COUNTIF(Q$4:Q948,Q949)-COUNTIF(Q$4:Q948,""Sell_""&amp;Q949))))))"),"")</f>
        <v/>
      </c>
      <c r="V949" s="10" t="str">
        <f t="shared" si="11"/>
        <v/>
      </c>
      <c r="W949" s="68" t="str">
        <f t="shared" si="12"/>
        <v/>
      </c>
      <c r="X949" s="59" t="str">
        <f t="shared" si="13"/>
        <v/>
      </c>
      <c r="Y949" s="69" t="str">
        <f t="shared" si="14"/>
        <v/>
      </c>
      <c r="Z949" s="11"/>
      <c r="AG949" s="59"/>
    </row>
    <row r="950">
      <c r="A950" s="8"/>
      <c r="B950" s="56" t="str">
        <f t="shared" si="2"/>
        <v/>
      </c>
      <c r="C950" s="105"/>
      <c r="D950" s="10"/>
      <c r="E950" s="59" t="str">
        <f t="array" ref="E950">IF(COUNTA(C950:C1644)=0,"",SUM((COUNTIF(C$4:C950,Upgrades!$B$3:$B$13)-COUNTIF(C$4:C950,"Sell_"&amp;Upgrades!$B$3:$B$13))*Upgrades!$D$3:$D$13))</f>
        <v/>
      </c>
      <c r="F950" s="66" t="str">
        <f>IFERROR(__xludf.DUMMYFUNCTION("IF(COUNTA(C950:C1644)=0,"""",IF(REGEXMATCH(INDEX(FILTER(C$4:C950,C$4:C950&lt;&gt;""""),ROWS(FILTER(C$4:C950,C$4:C950&lt;&gt;""""))),""^Sell_""),INDEX(FILTER(F$4:F949,C$4:C949&lt;&gt;""""),ROWS(FILTER(C$4:C949,C$4:C949&lt;&gt;""""))),$AC$5+E950))"),"")</f>
        <v/>
      </c>
      <c r="G950" s="10" t="str">
        <f>IFERROR(__xludf.DUMMYFUNCTION("IF(COUNTA(C950:C1644)=0,"""",IF(C950="""",0,IF(REGEXMATCH(C950,""^Sell_""),-ROUNDDOWN(ROUNDUP(INDEX(Upgrades!$C$3:$C$13,MATCH(SUBSTITUTE(C950,""Sell_"",""""),Upgrades!$B$3:$B$13,0))*1.15^(COUNTIF(C$4:C949,SUBSTITUTE(C950,""Sell_"",""""))-COUNTIF(C$4:C949,"&amp;"""Sell_""&amp;SUBSTITUTE(C950,""Sell_"",""""))))/2),ROUNDUP(INDEX(Upgrades!$C$3:$C$13,MATCH(C950,Upgrades!$B$3:$B$13,0))*1.15^(COUNTIF(C$4:C949,C950)-COUNTIF(C$4:C949,""Sell_""&amp;C950))))))"),"")</f>
        <v/>
      </c>
      <c r="H950" s="10" t="str">
        <f t="shared" si="3"/>
        <v/>
      </c>
      <c r="I950" s="68" t="str">
        <f t="shared" si="4"/>
        <v/>
      </c>
      <c r="J950" s="59" t="str">
        <f t="shared" si="5"/>
        <v/>
      </c>
      <c r="K950" s="69" t="str">
        <f t="shared" si="6"/>
        <v/>
      </c>
      <c r="L950" s="60" t="str">
        <f t="shared" si="7"/>
        <v/>
      </c>
      <c r="M950" s="61" t="str">
        <f>IFERROR(__xludf.DUMMYFUNCTION("IFS(AND(COUNTA(C950:C1644)=0,COUNTA(Q950:Q1644)=0),"""",OR(AND(K950&gt;=1000000000,OR(Y950&gt;=1000000000,COUNTA(Q950:Q1644)=0)),OR(Y950&gt;=1000000000,AND(COUNTA(C950:C1644)=0,P$3=TRUE))),
ROUNDDOWN((AB$1-AC$1)*MAX(INDEX(T$4:T1644,MATCH(LARGE(FILTER(Y$4:Y1644,Y$4"&amp;":Y1644&lt;1000000000),1),Y$4:Y1644)),INDEX(F$4:F1644,MATCH(LARGE(FILTER(K$4:K1644,K$4:K1644&lt;1000000000),1),K$4:K1644)))),AND(K950&lt;1000000000,COUNTA(C950:C1644)&gt;0,P$3=FALSE),
ROUNDDOWN(INDEX(Y$4:Y1644,MATCH(LARGE(FILTER(W$4:W1644,W$4:W1644&lt;=I950),1),W$4:W1644"&amp;"))+(I950-LARGE(FILTER(W$4:W1644,W$4:W1644&lt;=I950),1))*INDEX(T$4:T1644,MATCH(LARGE(FILTER(W$4:W1644,W$4:W1644&lt;=I950),1),W$4:W1644))-K950),1,
ROUNDDOWN(Y950-INDEX(K$4:K1644,MATCH(LARGE(FILTER(I$4:I1644,I$4:I1644&lt;=W950),1),I$4:I1644))-(W950-LARGE(FILTER(I$4:I"&amp;"1644,I$4:I1644&lt;=W950),1))*INDEX(F$4:F1644,MATCH(LARGE(FILTER(I$4:I1644,I$4:I1644&lt;=W950),1),I$4:I1644))))"),"")</f>
        <v/>
      </c>
      <c r="N950" s="60" t="str">
        <f t="shared" si="8"/>
        <v/>
      </c>
      <c r="O950" s="61" t="str">
        <f t="shared" si="9"/>
        <v/>
      </c>
      <c r="P950" s="56" t="str">
        <f t="shared" si="10"/>
        <v/>
      </c>
      <c r="Q950" s="105"/>
      <c r="R950" s="10"/>
      <c r="S950" s="59" t="str">
        <f t="array" ref="S950">IF(COUNTA(Q950:Q1644)=0,"",SUM((COUNTIF(Q$4:Q950,Upgrades!$B$3:$B$13)-COUNTIF(Q$4:Q950,"Sell_"&amp;Upgrades!$B$3:$B$13))*Upgrades!$D$3:$D$13))</f>
        <v/>
      </c>
      <c r="T950" s="66" t="str">
        <f>IFERROR(__xludf.DUMMYFUNCTION("IF(COUNTA(Q950:Q1644)=0,"""",IF(REGEXMATCH(INDEX(FILTER(Q$4:Q950,Q$4:Q950&lt;&gt;""""),ROWS(FILTER(Q$4:Q950,Q$4:Q950&lt;&gt;""""))),""^Sell_""),INDEX(FILTER(T$4:T949,Q$4:Q949&lt;&gt;""""),ROWS(FILTER(Q$4:Q949,Q$4:Q949&lt;&gt;""""))),$AD$5+S950))"),"")</f>
        <v/>
      </c>
      <c r="U950" s="10" t="str">
        <f>IFERROR(__xludf.DUMMYFUNCTION("IF(COUNTA(Q950:Q1644)=0,"""",IF(Q950="""",0,IF(REGEXMATCH(Q950,""^Sell_""),-ROUNDDOWN(ROUNDUP(INDEX(Upgrades!$C$3:$C$13,MATCH(SUBSTITUTE(Q950,""Sell_"",""""),Upgrades!$B$3:$B$13,0))*1.15^(COUNTIF(Q$4:Q949,SUBSTITUTE(Q950,""Sell_"",""""))-COUNTIF(Q$4:Q949,"&amp;"""Sell_""&amp;SUBSTITUTE(Q950,""Sell_"",""""))))/2),ROUNDUP(INDEX(Upgrades!$C$3:$C$13,MATCH(Q950,Upgrades!$B$3:$B$13,0))*1.15^(COUNTIF(Q$4:Q949,Q950)-COUNTIF(Q$4:Q949,""Sell_""&amp;Q950))))))"),"")</f>
        <v/>
      </c>
      <c r="V950" s="10" t="str">
        <f t="shared" si="11"/>
        <v/>
      </c>
      <c r="W950" s="68" t="str">
        <f t="shared" si="12"/>
        <v/>
      </c>
      <c r="X950" s="59" t="str">
        <f t="shared" si="13"/>
        <v/>
      </c>
      <c r="Y950" s="69" t="str">
        <f t="shared" si="14"/>
        <v/>
      </c>
      <c r="Z950" s="11"/>
      <c r="AG950" s="59"/>
    </row>
    <row r="951">
      <c r="A951" s="8"/>
      <c r="B951" s="56" t="str">
        <f t="shared" si="2"/>
        <v/>
      </c>
      <c r="C951" s="105"/>
      <c r="D951" s="10"/>
      <c r="E951" s="59" t="str">
        <f t="array" ref="E951">IF(COUNTA(C951:C1644)=0,"",SUM((COUNTIF(C$4:C951,Upgrades!$B$3:$B$13)-COUNTIF(C$4:C951,"Sell_"&amp;Upgrades!$B$3:$B$13))*Upgrades!$D$3:$D$13))</f>
        <v/>
      </c>
      <c r="F951" s="66" t="str">
        <f>IFERROR(__xludf.DUMMYFUNCTION("IF(COUNTA(C951:C1644)=0,"""",IF(REGEXMATCH(INDEX(FILTER(C$4:C951,C$4:C951&lt;&gt;""""),ROWS(FILTER(C$4:C951,C$4:C951&lt;&gt;""""))),""^Sell_""),INDEX(FILTER(F$4:F950,C$4:C950&lt;&gt;""""),ROWS(FILTER(C$4:C950,C$4:C950&lt;&gt;""""))),$AC$5+E951))"),"")</f>
        <v/>
      </c>
      <c r="G951" s="10" t="str">
        <f>IFERROR(__xludf.DUMMYFUNCTION("IF(COUNTA(C951:C1644)=0,"""",IF(C951="""",0,IF(REGEXMATCH(C951,""^Sell_""),-ROUNDDOWN(ROUNDUP(INDEX(Upgrades!$C$3:$C$13,MATCH(SUBSTITUTE(C951,""Sell_"",""""),Upgrades!$B$3:$B$13,0))*1.15^(COUNTIF(C$4:C950,SUBSTITUTE(C951,""Sell_"",""""))-COUNTIF(C$4:C950,"&amp;"""Sell_""&amp;SUBSTITUTE(C951,""Sell_"",""""))))/2),ROUNDUP(INDEX(Upgrades!$C$3:$C$13,MATCH(C951,Upgrades!$B$3:$B$13,0))*1.15^(COUNTIF(C$4:C950,C951)-COUNTIF(C$4:C950,""Sell_""&amp;C951))))))"),"")</f>
        <v/>
      </c>
      <c r="H951" s="10" t="str">
        <f t="shared" si="3"/>
        <v/>
      </c>
      <c r="I951" s="68" t="str">
        <f t="shared" si="4"/>
        <v/>
      </c>
      <c r="J951" s="59" t="str">
        <f t="shared" si="5"/>
        <v/>
      </c>
      <c r="K951" s="69" t="str">
        <f t="shared" si="6"/>
        <v/>
      </c>
      <c r="L951" s="60" t="str">
        <f t="shared" si="7"/>
        <v/>
      </c>
      <c r="M951" s="61" t="str">
        <f>IFERROR(__xludf.DUMMYFUNCTION("IFS(AND(COUNTA(C951:C1644)=0,COUNTA(Q951:Q1644)=0),"""",OR(AND(K951&gt;=1000000000,OR(Y951&gt;=1000000000,COUNTA(Q951:Q1644)=0)),OR(Y951&gt;=1000000000,AND(COUNTA(C951:C1644)=0,P$3=TRUE))),
ROUNDDOWN((AB$1-AC$1)*MAX(INDEX(T$4:T1644,MATCH(LARGE(FILTER(Y$4:Y1644,Y$4"&amp;":Y1644&lt;1000000000),1),Y$4:Y1644)),INDEX(F$4:F1644,MATCH(LARGE(FILTER(K$4:K1644,K$4:K1644&lt;1000000000),1),K$4:K1644)))),AND(K951&lt;1000000000,COUNTA(C951:C1644)&gt;0,P$3=FALSE),
ROUNDDOWN(INDEX(Y$4:Y1644,MATCH(LARGE(FILTER(W$4:W1644,W$4:W1644&lt;=I951),1),W$4:W1644"&amp;"))+(I951-LARGE(FILTER(W$4:W1644,W$4:W1644&lt;=I951),1))*INDEX(T$4:T1644,MATCH(LARGE(FILTER(W$4:W1644,W$4:W1644&lt;=I951),1),W$4:W1644))-K951),1,
ROUNDDOWN(Y951-INDEX(K$4:K1644,MATCH(LARGE(FILTER(I$4:I1644,I$4:I1644&lt;=W951),1),I$4:I1644))-(W951-LARGE(FILTER(I$4:I"&amp;"1644,I$4:I1644&lt;=W951),1))*INDEX(F$4:F1644,MATCH(LARGE(FILTER(I$4:I1644,I$4:I1644&lt;=W951),1),I$4:I1644))))"),"")</f>
        <v/>
      </c>
      <c r="N951" s="60" t="str">
        <f t="shared" si="8"/>
        <v/>
      </c>
      <c r="O951" s="61" t="str">
        <f t="shared" si="9"/>
        <v/>
      </c>
      <c r="P951" s="56" t="str">
        <f t="shared" si="10"/>
        <v/>
      </c>
      <c r="Q951" s="105"/>
      <c r="R951" s="10"/>
      <c r="S951" s="59" t="str">
        <f t="array" ref="S951">IF(COUNTA(Q951:Q1644)=0,"",SUM((COUNTIF(Q$4:Q951,Upgrades!$B$3:$B$13)-COUNTIF(Q$4:Q951,"Sell_"&amp;Upgrades!$B$3:$B$13))*Upgrades!$D$3:$D$13))</f>
        <v/>
      </c>
      <c r="T951" s="66" t="str">
        <f>IFERROR(__xludf.DUMMYFUNCTION("IF(COUNTA(Q951:Q1644)=0,"""",IF(REGEXMATCH(INDEX(FILTER(Q$4:Q951,Q$4:Q951&lt;&gt;""""),ROWS(FILTER(Q$4:Q951,Q$4:Q951&lt;&gt;""""))),""^Sell_""),INDEX(FILTER(T$4:T950,Q$4:Q950&lt;&gt;""""),ROWS(FILTER(Q$4:Q950,Q$4:Q950&lt;&gt;""""))),$AD$5+S951))"),"")</f>
        <v/>
      </c>
      <c r="U951" s="10" t="str">
        <f>IFERROR(__xludf.DUMMYFUNCTION("IF(COUNTA(Q951:Q1644)=0,"""",IF(Q951="""",0,IF(REGEXMATCH(Q951,""^Sell_""),-ROUNDDOWN(ROUNDUP(INDEX(Upgrades!$C$3:$C$13,MATCH(SUBSTITUTE(Q951,""Sell_"",""""),Upgrades!$B$3:$B$13,0))*1.15^(COUNTIF(Q$4:Q950,SUBSTITUTE(Q951,""Sell_"",""""))-COUNTIF(Q$4:Q950,"&amp;"""Sell_""&amp;SUBSTITUTE(Q951,""Sell_"",""""))))/2),ROUNDUP(INDEX(Upgrades!$C$3:$C$13,MATCH(Q951,Upgrades!$B$3:$B$13,0))*1.15^(COUNTIF(Q$4:Q950,Q951)-COUNTIF(Q$4:Q950,""Sell_""&amp;Q951))))))"),"")</f>
        <v/>
      </c>
      <c r="V951" s="10" t="str">
        <f t="shared" si="11"/>
        <v/>
      </c>
      <c r="W951" s="68" t="str">
        <f t="shared" si="12"/>
        <v/>
      </c>
      <c r="X951" s="59" t="str">
        <f t="shared" si="13"/>
        <v/>
      </c>
      <c r="Y951" s="69" t="str">
        <f t="shared" si="14"/>
        <v/>
      </c>
      <c r="Z951" s="11"/>
      <c r="AG951" s="59"/>
    </row>
    <row r="952">
      <c r="A952" s="8"/>
      <c r="B952" s="56" t="str">
        <f t="shared" si="2"/>
        <v/>
      </c>
      <c r="C952" s="105"/>
      <c r="D952" s="10"/>
      <c r="E952" s="59" t="str">
        <f t="array" ref="E952">IF(COUNTA(C952:C1644)=0,"",SUM((COUNTIF(C$4:C952,Upgrades!$B$3:$B$13)-COUNTIF(C$4:C952,"Sell_"&amp;Upgrades!$B$3:$B$13))*Upgrades!$D$3:$D$13))</f>
        <v/>
      </c>
      <c r="F952" s="66" t="str">
        <f>IFERROR(__xludf.DUMMYFUNCTION("IF(COUNTA(C952:C1644)=0,"""",IF(REGEXMATCH(INDEX(FILTER(C$4:C952,C$4:C952&lt;&gt;""""),ROWS(FILTER(C$4:C952,C$4:C952&lt;&gt;""""))),""^Sell_""),INDEX(FILTER(F$4:F951,C$4:C951&lt;&gt;""""),ROWS(FILTER(C$4:C951,C$4:C951&lt;&gt;""""))),$AC$5+E952))"),"")</f>
        <v/>
      </c>
      <c r="G952" s="10" t="str">
        <f>IFERROR(__xludf.DUMMYFUNCTION("IF(COUNTA(C952:C1644)=0,"""",IF(C952="""",0,IF(REGEXMATCH(C952,""^Sell_""),-ROUNDDOWN(ROUNDUP(INDEX(Upgrades!$C$3:$C$13,MATCH(SUBSTITUTE(C952,""Sell_"",""""),Upgrades!$B$3:$B$13,0))*1.15^(COUNTIF(C$4:C951,SUBSTITUTE(C952,""Sell_"",""""))-COUNTIF(C$4:C951,"&amp;"""Sell_""&amp;SUBSTITUTE(C952,""Sell_"",""""))))/2),ROUNDUP(INDEX(Upgrades!$C$3:$C$13,MATCH(C952,Upgrades!$B$3:$B$13,0))*1.15^(COUNTIF(C$4:C951,C952)-COUNTIF(C$4:C951,""Sell_""&amp;C952))))))"),"")</f>
        <v/>
      </c>
      <c r="H952" s="10" t="str">
        <f t="shared" si="3"/>
        <v/>
      </c>
      <c r="I952" s="68" t="str">
        <f t="shared" si="4"/>
        <v/>
      </c>
      <c r="J952" s="59" t="str">
        <f t="shared" si="5"/>
        <v/>
      </c>
      <c r="K952" s="69" t="str">
        <f t="shared" si="6"/>
        <v/>
      </c>
      <c r="L952" s="60" t="str">
        <f t="shared" si="7"/>
        <v/>
      </c>
      <c r="M952" s="61" t="str">
        <f>IFERROR(__xludf.DUMMYFUNCTION("IFS(AND(COUNTA(C952:C1644)=0,COUNTA(Q952:Q1644)=0),"""",OR(AND(K952&gt;=1000000000,OR(Y952&gt;=1000000000,COUNTA(Q952:Q1644)=0)),OR(Y952&gt;=1000000000,AND(COUNTA(C952:C1644)=0,P$3=TRUE))),
ROUNDDOWN((AB$1-AC$1)*MAX(INDEX(T$4:T1644,MATCH(LARGE(FILTER(Y$4:Y1644,Y$4"&amp;":Y1644&lt;1000000000),1),Y$4:Y1644)),INDEX(F$4:F1644,MATCH(LARGE(FILTER(K$4:K1644,K$4:K1644&lt;1000000000),1),K$4:K1644)))),AND(K952&lt;1000000000,COUNTA(C952:C1644)&gt;0,P$3=FALSE),
ROUNDDOWN(INDEX(Y$4:Y1644,MATCH(LARGE(FILTER(W$4:W1644,W$4:W1644&lt;=I952),1),W$4:W1644"&amp;"))+(I952-LARGE(FILTER(W$4:W1644,W$4:W1644&lt;=I952),1))*INDEX(T$4:T1644,MATCH(LARGE(FILTER(W$4:W1644,W$4:W1644&lt;=I952),1),W$4:W1644))-K952),1,
ROUNDDOWN(Y952-INDEX(K$4:K1644,MATCH(LARGE(FILTER(I$4:I1644,I$4:I1644&lt;=W952),1),I$4:I1644))-(W952-LARGE(FILTER(I$4:I"&amp;"1644,I$4:I1644&lt;=W952),1))*INDEX(F$4:F1644,MATCH(LARGE(FILTER(I$4:I1644,I$4:I1644&lt;=W952),1),I$4:I1644))))"),"")</f>
        <v/>
      </c>
      <c r="N952" s="60" t="str">
        <f t="shared" si="8"/>
        <v/>
      </c>
      <c r="O952" s="61" t="str">
        <f t="shared" si="9"/>
        <v/>
      </c>
      <c r="P952" s="56" t="str">
        <f t="shared" si="10"/>
        <v/>
      </c>
      <c r="Q952" s="105"/>
      <c r="R952" s="10"/>
      <c r="S952" s="59" t="str">
        <f t="array" ref="S952">IF(COUNTA(Q952:Q1644)=0,"",SUM((COUNTIF(Q$4:Q952,Upgrades!$B$3:$B$13)-COUNTIF(Q$4:Q952,"Sell_"&amp;Upgrades!$B$3:$B$13))*Upgrades!$D$3:$D$13))</f>
        <v/>
      </c>
      <c r="T952" s="66" t="str">
        <f>IFERROR(__xludf.DUMMYFUNCTION("IF(COUNTA(Q952:Q1644)=0,"""",IF(REGEXMATCH(INDEX(FILTER(Q$4:Q952,Q$4:Q952&lt;&gt;""""),ROWS(FILTER(Q$4:Q952,Q$4:Q952&lt;&gt;""""))),""^Sell_""),INDEX(FILTER(T$4:T951,Q$4:Q951&lt;&gt;""""),ROWS(FILTER(Q$4:Q951,Q$4:Q951&lt;&gt;""""))),$AD$5+S952))"),"")</f>
        <v/>
      </c>
      <c r="U952" s="10" t="str">
        <f>IFERROR(__xludf.DUMMYFUNCTION("IF(COUNTA(Q952:Q1644)=0,"""",IF(Q952="""",0,IF(REGEXMATCH(Q952,""^Sell_""),-ROUNDDOWN(ROUNDUP(INDEX(Upgrades!$C$3:$C$13,MATCH(SUBSTITUTE(Q952,""Sell_"",""""),Upgrades!$B$3:$B$13,0))*1.15^(COUNTIF(Q$4:Q951,SUBSTITUTE(Q952,""Sell_"",""""))-COUNTIF(Q$4:Q951,"&amp;"""Sell_""&amp;SUBSTITUTE(Q952,""Sell_"",""""))))/2),ROUNDUP(INDEX(Upgrades!$C$3:$C$13,MATCH(Q952,Upgrades!$B$3:$B$13,0))*1.15^(COUNTIF(Q$4:Q951,Q952)-COUNTIF(Q$4:Q951,""Sell_""&amp;Q952))))))"),"")</f>
        <v/>
      </c>
      <c r="V952" s="10" t="str">
        <f t="shared" si="11"/>
        <v/>
      </c>
      <c r="W952" s="68" t="str">
        <f t="shared" si="12"/>
        <v/>
      </c>
      <c r="X952" s="59" t="str">
        <f t="shared" si="13"/>
        <v/>
      </c>
      <c r="Y952" s="69" t="str">
        <f t="shared" si="14"/>
        <v/>
      </c>
      <c r="Z952" s="11"/>
      <c r="AG952" s="59"/>
    </row>
    <row r="953">
      <c r="A953" s="8"/>
      <c r="B953" s="56" t="str">
        <f t="shared" si="2"/>
        <v/>
      </c>
      <c r="C953" s="105"/>
      <c r="D953" s="10"/>
      <c r="E953" s="59" t="str">
        <f t="array" ref="E953">IF(COUNTA(C953:C1644)=0,"",SUM((COUNTIF(C$4:C953,Upgrades!$B$3:$B$13)-COUNTIF(C$4:C953,"Sell_"&amp;Upgrades!$B$3:$B$13))*Upgrades!$D$3:$D$13))</f>
        <v/>
      </c>
      <c r="F953" s="66" t="str">
        <f>IFERROR(__xludf.DUMMYFUNCTION("IF(COUNTA(C953:C1644)=0,"""",IF(REGEXMATCH(INDEX(FILTER(C$4:C953,C$4:C953&lt;&gt;""""),ROWS(FILTER(C$4:C953,C$4:C953&lt;&gt;""""))),""^Sell_""),INDEX(FILTER(F$4:F952,C$4:C952&lt;&gt;""""),ROWS(FILTER(C$4:C952,C$4:C952&lt;&gt;""""))),$AC$5+E953))"),"")</f>
        <v/>
      </c>
      <c r="G953" s="10" t="str">
        <f>IFERROR(__xludf.DUMMYFUNCTION("IF(COUNTA(C953:C1644)=0,"""",IF(C953="""",0,IF(REGEXMATCH(C953,""^Sell_""),-ROUNDDOWN(ROUNDUP(INDEX(Upgrades!$C$3:$C$13,MATCH(SUBSTITUTE(C953,""Sell_"",""""),Upgrades!$B$3:$B$13,0))*1.15^(COUNTIF(C$4:C952,SUBSTITUTE(C953,""Sell_"",""""))-COUNTIF(C$4:C952,"&amp;"""Sell_""&amp;SUBSTITUTE(C953,""Sell_"",""""))))/2),ROUNDUP(INDEX(Upgrades!$C$3:$C$13,MATCH(C953,Upgrades!$B$3:$B$13,0))*1.15^(COUNTIF(C$4:C952,C953)-COUNTIF(C$4:C952,""Sell_""&amp;C953))))))"),"")</f>
        <v/>
      </c>
      <c r="H953" s="10" t="str">
        <f t="shared" si="3"/>
        <v/>
      </c>
      <c r="I953" s="68" t="str">
        <f t="shared" si="4"/>
        <v/>
      </c>
      <c r="J953" s="59" t="str">
        <f t="shared" si="5"/>
        <v/>
      </c>
      <c r="K953" s="69" t="str">
        <f t="shared" si="6"/>
        <v/>
      </c>
      <c r="L953" s="60" t="str">
        <f t="shared" si="7"/>
        <v/>
      </c>
      <c r="M953" s="61" t="str">
        <f>IFERROR(__xludf.DUMMYFUNCTION("IFS(AND(COUNTA(C953:C1644)=0,COUNTA(Q953:Q1644)=0),"""",OR(AND(K953&gt;=1000000000,OR(Y953&gt;=1000000000,COUNTA(Q953:Q1644)=0)),OR(Y953&gt;=1000000000,AND(COUNTA(C953:C1644)=0,P$3=TRUE))),
ROUNDDOWN((AB$1-AC$1)*MAX(INDEX(T$4:T1644,MATCH(LARGE(FILTER(Y$4:Y1644,Y$4"&amp;":Y1644&lt;1000000000),1),Y$4:Y1644)),INDEX(F$4:F1644,MATCH(LARGE(FILTER(K$4:K1644,K$4:K1644&lt;1000000000),1),K$4:K1644)))),AND(K953&lt;1000000000,COUNTA(C953:C1644)&gt;0,P$3=FALSE),
ROUNDDOWN(INDEX(Y$4:Y1644,MATCH(LARGE(FILTER(W$4:W1644,W$4:W1644&lt;=I953),1),W$4:W1644"&amp;"))+(I953-LARGE(FILTER(W$4:W1644,W$4:W1644&lt;=I953),1))*INDEX(T$4:T1644,MATCH(LARGE(FILTER(W$4:W1644,W$4:W1644&lt;=I953),1),W$4:W1644))-K953),1,
ROUNDDOWN(Y953-INDEX(K$4:K1644,MATCH(LARGE(FILTER(I$4:I1644,I$4:I1644&lt;=W953),1),I$4:I1644))-(W953-LARGE(FILTER(I$4:I"&amp;"1644,I$4:I1644&lt;=W953),1))*INDEX(F$4:F1644,MATCH(LARGE(FILTER(I$4:I1644,I$4:I1644&lt;=W953),1),I$4:I1644))))"),"")</f>
        <v/>
      </c>
      <c r="N953" s="60" t="str">
        <f t="shared" si="8"/>
        <v/>
      </c>
      <c r="O953" s="61" t="str">
        <f t="shared" si="9"/>
        <v/>
      </c>
      <c r="P953" s="56" t="str">
        <f t="shared" si="10"/>
        <v/>
      </c>
      <c r="Q953" s="105"/>
      <c r="R953" s="10"/>
      <c r="S953" s="59" t="str">
        <f t="array" ref="S953">IF(COUNTA(Q953:Q1644)=0,"",SUM((COUNTIF(Q$4:Q953,Upgrades!$B$3:$B$13)-COUNTIF(Q$4:Q953,"Sell_"&amp;Upgrades!$B$3:$B$13))*Upgrades!$D$3:$D$13))</f>
        <v/>
      </c>
      <c r="T953" s="66" t="str">
        <f>IFERROR(__xludf.DUMMYFUNCTION("IF(COUNTA(Q953:Q1644)=0,"""",IF(REGEXMATCH(INDEX(FILTER(Q$4:Q953,Q$4:Q953&lt;&gt;""""),ROWS(FILTER(Q$4:Q953,Q$4:Q953&lt;&gt;""""))),""^Sell_""),INDEX(FILTER(T$4:T952,Q$4:Q952&lt;&gt;""""),ROWS(FILTER(Q$4:Q952,Q$4:Q952&lt;&gt;""""))),$AD$5+S953))"),"")</f>
        <v/>
      </c>
      <c r="U953" s="10" t="str">
        <f>IFERROR(__xludf.DUMMYFUNCTION("IF(COUNTA(Q953:Q1644)=0,"""",IF(Q953="""",0,IF(REGEXMATCH(Q953,""^Sell_""),-ROUNDDOWN(ROUNDUP(INDEX(Upgrades!$C$3:$C$13,MATCH(SUBSTITUTE(Q953,""Sell_"",""""),Upgrades!$B$3:$B$13,0))*1.15^(COUNTIF(Q$4:Q952,SUBSTITUTE(Q953,""Sell_"",""""))-COUNTIF(Q$4:Q952,"&amp;"""Sell_""&amp;SUBSTITUTE(Q953,""Sell_"",""""))))/2),ROUNDUP(INDEX(Upgrades!$C$3:$C$13,MATCH(Q953,Upgrades!$B$3:$B$13,0))*1.15^(COUNTIF(Q$4:Q952,Q953)-COUNTIF(Q$4:Q952,""Sell_""&amp;Q953))))))"),"")</f>
        <v/>
      </c>
      <c r="V953" s="10" t="str">
        <f t="shared" si="11"/>
        <v/>
      </c>
      <c r="W953" s="68" t="str">
        <f t="shared" si="12"/>
        <v/>
      </c>
      <c r="X953" s="59" t="str">
        <f t="shared" si="13"/>
        <v/>
      </c>
      <c r="Y953" s="69" t="str">
        <f t="shared" si="14"/>
        <v/>
      </c>
      <c r="Z953" s="11"/>
      <c r="AG953" s="59"/>
    </row>
    <row r="954">
      <c r="A954" s="8"/>
      <c r="B954" s="56" t="str">
        <f t="shared" si="2"/>
        <v/>
      </c>
      <c r="C954" s="105"/>
      <c r="D954" s="10"/>
      <c r="E954" s="59" t="str">
        <f t="array" ref="E954">IF(COUNTA(C954:C1644)=0,"",SUM((COUNTIF(C$4:C954,Upgrades!$B$3:$B$13)-COUNTIF(C$4:C954,"Sell_"&amp;Upgrades!$B$3:$B$13))*Upgrades!$D$3:$D$13))</f>
        <v/>
      </c>
      <c r="F954" s="66" t="str">
        <f>IFERROR(__xludf.DUMMYFUNCTION("IF(COUNTA(C954:C1644)=0,"""",IF(REGEXMATCH(INDEX(FILTER(C$4:C954,C$4:C954&lt;&gt;""""),ROWS(FILTER(C$4:C954,C$4:C954&lt;&gt;""""))),""^Sell_""),INDEX(FILTER(F$4:F953,C$4:C953&lt;&gt;""""),ROWS(FILTER(C$4:C953,C$4:C953&lt;&gt;""""))),$AC$5+E954))"),"")</f>
        <v/>
      </c>
      <c r="G954" s="10" t="str">
        <f>IFERROR(__xludf.DUMMYFUNCTION("IF(COUNTA(C954:C1644)=0,"""",IF(C954="""",0,IF(REGEXMATCH(C954,""^Sell_""),-ROUNDDOWN(ROUNDUP(INDEX(Upgrades!$C$3:$C$13,MATCH(SUBSTITUTE(C954,""Sell_"",""""),Upgrades!$B$3:$B$13,0))*1.15^(COUNTIF(C$4:C953,SUBSTITUTE(C954,""Sell_"",""""))-COUNTIF(C$4:C953,"&amp;"""Sell_""&amp;SUBSTITUTE(C954,""Sell_"",""""))))/2),ROUNDUP(INDEX(Upgrades!$C$3:$C$13,MATCH(C954,Upgrades!$B$3:$B$13,0))*1.15^(COUNTIF(C$4:C953,C954)-COUNTIF(C$4:C953,""Sell_""&amp;C954))))))"),"")</f>
        <v/>
      </c>
      <c r="H954" s="10" t="str">
        <f t="shared" si="3"/>
        <v/>
      </c>
      <c r="I954" s="68" t="str">
        <f t="shared" si="4"/>
        <v/>
      </c>
      <c r="J954" s="59" t="str">
        <f t="shared" si="5"/>
        <v/>
      </c>
      <c r="K954" s="69" t="str">
        <f t="shared" si="6"/>
        <v/>
      </c>
      <c r="L954" s="60" t="str">
        <f t="shared" si="7"/>
        <v/>
      </c>
      <c r="M954" s="61" t="str">
        <f>IFERROR(__xludf.DUMMYFUNCTION("IFS(AND(COUNTA(C954:C1644)=0,COUNTA(Q954:Q1644)=0),"""",OR(AND(K954&gt;=1000000000,OR(Y954&gt;=1000000000,COUNTA(Q954:Q1644)=0)),OR(Y954&gt;=1000000000,AND(COUNTA(C954:C1644)=0,P$3=TRUE))),
ROUNDDOWN((AB$1-AC$1)*MAX(INDEX(T$4:T1644,MATCH(LARGE(FILTER(Y$4:Y1644,Y$4"&amp;":Y1644&lt;1000000000),1),Y$4:Y1644)),INDEX(F$4:F1644,MATCH(LARGE(FILTER(K$4:K1644,K$4:K1644&lt;1000000000),1),K$4:K1644)))),AND(K954&lt;1000000000,COUNTA(C954:C1644)&gt;0,P$3=FALSE),
ROUNDDOWN(INDEX(Y$4:Y1644,MATCH(LARGE(FILTER(W$4:W1644,W$4:W1644&lt;=I954),1),W$4:W1644"&amp;"))+(I954-LARGE(FILTER(W$4:W1644,W$4:W1644&lt;=I954),1))*INDEX(T$4:T1644,MATCH(LARGE(FILTER(W$4:W1644,W$4:W1644&lt;=I954),1),W$4:W1644))-K954),1,
ROUNDDOWN(Y954-INDEX(K$4:K1644,MATCH(LARGE(FILTER(I$4:I1644,I$4:I1644&lt;=W954),1),I$4:I1644))-(W954-LARGE(FILTER(I$4:I"&amp;"1644,I$4:I1644&lt;=W954),1))*INDEX(F$4:F1644,MATCH(LARGE(FILTER(I$4:I1644,I$4:I1644&lt;=W954),1),I$4:I1644))))"),"")</f>
        <v/>
      </c>
      <c r="N954" s="60" t="str">
        <f t="shared" si="8"/>
        <v/>
      </c>
      <c r="O954" s="61" t="str">
        <f t="shared" si="9"/>
        <v/>
      </c>
      <c r="P954" s="56" t="str">
        <f t="shared" si="10"/>
        <v/>
      </c>
      <c r="Q954" s="105"/>
      <c r="R954" s="10"/>
      <c r="S954" s="59" t="str">
        <f t="array" ref="S954">IF(COUNTA(Q954:Q1644)=0,"",SUM((COUNTIF(Q$4:Q954,Upgrades!$B$3:$B$13)-COUNTIF(Q$4:Q954,"Sell_"&amp;Upgrades!$B$3:$B$13))*Upgrades!$D$3:$D$13))</f>
        <v/>
      </c>
      <c r="T954" s="66" t="str">
        <f>IFERROR(__xludf.DUMMYFUNCTION("IF(COUNTA(Q954:Q1644)=0,"""",IF(REGEXMATCH(INDEX(FILTER(Q$4:Q954,Q$4:Q954&lt;&gt;""""),ROWS(FILTER(Q$4:Q954,Q$4:Q954&lt;&gt;""""))),""^Sell_""),INDEX(FILTER(T$4:T953,Q$4:Q953&lt;&gt;""""),ROWS(FILTER(Q$4:Q953,Q$4:Q953&lt;&gt;""""))),$AD$5+S954))"),"")</f>
        <v/>
      </c>
      <c r="U954" s="10" t="str">
        <f>IFERROR(__xludf.DUMMYFUNCTION("IF(COUNTA(Q954:Q1644)=0,"""",IF(Q954="""",0,IF(REGEXMATCH(Q954,""^Sell_""),-ROUNDDOWN(ROUNDUP(INDEX(Upgrades!$C$3:$C$13,MATCH(SUBSTITUTE(Q954,""Sell_"",""""),Upgrades!$B$3:$B$13,0))*1.15^(COUNTIF(Q$4:Q953,SUBSTITUTE(Q954,""Sell_"",""""))-COUNTIF(Q$4:Q953,"&amp;"""Sell_""&amp;SUBSTITUTE(Q954,""Sell_"",""""))))/2),ROUNDUP(INDEX(Upgrades!$C$3:$C$13,MATCH(Q954,Upgrades!$B$3:$B$13,0))*1.15^(COUNTIF(Q$4:Q953,Q954)-COUNTIF(Q$4:Q953,""Sell_""&amp;Q954))))))"),"")</f>
        <v/>
      </c>
      <c r="V954" s="10" t="str">
        <f t="shared" si="11"/>
        <v/>
      </c>
      <c r="W954" s="68" t="str">
        <f t="shared" si="12"/>
        <v/>
      </c>
      <c r="X954" s="59" t="str">
        <f t="shared" si="13"/>
        <v/>
      </c>
      <c r="Y954" s="69" t="str">
        <f t="shared" si="14"/>
        <v/>
      </c>
      <c r="Z954" s="11"/>
      <c r="AG954" s="59"/>
    </row>
    <row r="955">
      <c r="A955" s="8"/>
      <c r="B955" s="56" t="str">
        <f t="shared" si="2"/>
        <v/>
      </c>
      <c r="C955" s="105"/>
      <c r="D955" s="10"/>
      <c r="E955" s="59" t="str">
        <f t="array" ref="E955">IF(COUNTA(C955:C1644)=0,"",SUM((COUNTIF(C$4:C955,Upgrades!$B$3:$B$13)-COUNTIF(C$4:C955,"Sell_"&amp;Upgrades!$B$3:$B$13))*Upgrades!$D$3:$D$13))</f>
        <v/>
      </c>
      <c r="F955" s="66" t="str">
        <f>IFERROR(__xludf.DUMMYFUNCTION("IF(COUNTA(C955:C1644)=0,"""",IF(REGEXMATCH(INDEX(FILTER(C$4:C955,C$4:C955&lt;&gt;""""),ROWS(FILTER(C$4:C955,C$4:C955&lt;&gt;""""))),""^Sell_""),INDEX(FILTER(F$4:F954,C$4:C954&lt;&gt;""""),ROWS(FILTER(C$4:C954,C$4:C954&lt;&gt;""""))),$AC$5+E955))"),"")</f>
        <v/>
      </c>
      <c r="G955" s="10" t="str">
        <f>IFERROR(__xludf.DUMMYFUNCTION("IF(COUNTA(C955:C1644)=0,"""",IF(C955="""",0,IF(REGEXMATCH(C955,""^Sell_""),-ROUNDDOWN(ROUNDUP(INDEX(Upgrades!$C$3:$C$13,MATCH(SUBSTITUTE(C955,""Sell_"",""""),Upgrades!$B$3:$B$13,0))*1.15^(COUNTIF(C$4:C954,SUBSTITUTE(C955,""Sell_"",""""))-COUNTIF(C$4:C954,"&amp;"""Sell_""&amp;SUBSTITUTE(C955,""Sell_"",""""))))/2),ROUNDUP(INDEX(Upgrades!$C$3:$C$13,MATCH(C955,Upgrades!$B$3:$B$13,0))*1.15^(COUNTIF(C$4:C954,C955)-COUNTIF(C$4:C954,""Sell_""&amp;C955))))))"),"")</f>
        <v/>
      </c>
      <c r="H955" s="10" t="str">
        <f t="shared" si="3"/>
        <v/>
      </c>
      <c r="I955" s="68" t="str">
        <f t="shared" si="4"/>
        <v/>
      </c>
      <c r="J955" s="59" t="str">
        <f t="shared" si="5"/>
        <v/>
      </c>
      <c r="K955" s="69" t="str">
        <f t="shared" si="6"/>
        <v/>
      </c>
      <c r="L955" s="60" t="str">
        <f t="shared" si="7"/>
        <v/>
      </c>
      <c r="M955" s="61" t="str">
        <f>IFERROR(__xludf.DUMMYFUNCTION("IFS(AND(COUNTA(C955:C1644)=0,COUNTA(Q955:Q1644)=0),"""",OR(AND(K955&gt;=1000000000,OR(Y955&gt;=1000000000,COUNTA(Q955:Q1644)=0)),OR(Y955&gt;=1000000000,AND(COUNTA(C955:C1644)=0,P$3=TRUE))),
ROUNDDOWN((AB$1-AC$1)*MAX(INDEX(T$4:T1644,MATCH(LARGE(FILTER(Y$4:Y1644,Y$4"&amp;":Y1644&lt;1000000000),1),Y$4:Y1644)),INDEX(F$4:F1644,MATCH(LARGE(FILTER(K$4:K1644,K$4:K1644&lt;1000000000),1),K$4:K1644)))),AND(K955&lt;1000000000,COUNTA(C955:C1644)&gt;0,P$3=FALSE),
ROUNDDOWN(INDEX(Y$4:Y1644,MATCH(LARGE(FILTER(W$4:W1644,W$4:W1644&lt;=I955),1),W$4:W1644"&amp;"))+(I955-LARGE(FILTER(W$4:W1644,W$4:W1644&lt;=I955),1))*INDEX(T$4:T1644,MATCH(LARGE(FILTER(W$4:W1644,W$4:W1644&lt;=I955),1),W$4:W1644))-K955),1,
ROUNDDOWN(Y955-INDEX(K$4:K1644,MATCH(LARGE(FILTER(I$4:I1644,I$4:I1644&lt;=W955),1),I$4:I1644))-(W955-LARGE(FILTER(I$4:I"&amp;"1644,I$4:I1644&lt;=W955),1))*INDEX(F$4:F1644,MATCH(LARGE(FILTER(I$4:I1644,I$4:I1644&lt;=W955),1),I$4:I1644))))"),"")</f>
        <v/>
      </c>
      <c r="N955" s="60" t="str">
        <f t="shared" si="8"/>
        <v/>
      </c>
      <c r="O955" s="61" t="str">
        <f t="shared" si="9"/>
        <v/>
      </c>
      <c r="P955" s="56" t="str">
        <f t="shared" si="10"/>
        <v/>
      </c>
      <c r="Q955" s="105"/>
      <c r="R955" s="10"/>
      <c r="S955" s="59" t="str">
        <f t="array" ref="S955">IF(COUNTA(Q955:Q1644)=0,"",SUM((COUNTIF(Q$4:Q955,Upgrades!$B$3:$B$13)-COUNTIF(Q$4:Q955,"Sell_"&amp;Upgrades!$B$3:$B$13))*Upgrades!$D$3:$D$13))</f>
        <v/>
      </c>
      <c r="T955" s="66" t="str">
        <f>IFERROR(__xludf.DUMMYFUNCTION("IF(COUNTA(Q955:Q1644)=0,"""",IF(REGEXMATCH(INDEX(FILTER(Q$4:Q955,Q$4:Q955&lt;&gt;""""),ROWS(FILTER(Q$4:Q955,Q$4:Q955&lt;&gt;""""))),""^Sell_""),INDEX(FILTER(T$4:T954,Q$4:Q954&lt;&gt;""""),ROWS(FILTER(Q$4:Q954,Q$4:Q954&lt;&gt;""""))),$AD$5+S955))"),"")</f>
        <v/>
      </c>
      <c r="U955" s="10" t="str">
        <f>IFERROR(__xludf.DUMMYFUNCTION("IF(COUNTA(Q955:Q1644)=0,"""",IF(Q955="""",0,IF(REGEXMATCH(Q955,""^Sell_""),-ROUNDDOWN(ROUNDUP(INDEX(Upgrades!$C$3:$C$13,MATCH(SUBSTITUTE(Q955,""Sell_"",""""),Upgrades!$B$3:$B$13,0))*1.15^(COUNTIF(Q$4:Q954,SUBSTITUTE(Q955,""Sell_"",""""))-COUNTIF(Q$4:Q954,"&amp;"""Sell_""&amp;SUBSTITUTE(Q955,""Sell_"",""""))))/2),ROUNDUP(INDEX(Upgrades!$C$3:$C$13,MATCH(Q955,Upgrades!$B$3:$B$13,0))*1.15^(COUNTIF(Q$4:Q954,Q955)-COUNTIF(Q$4:Q954,""Sell_""&amp;Q955))))))"),"")</f>
        <v/>
      </c>
      <c r="V955" s="10" t="str">
        <f t="shared" si="11"/>
        <v/>
      </c>
      <c r="W955" s="68" t="str">
        <f t="shared" si="12"/>
        <v/>
      </c>
      <c r="X955" s="59" t="str">
        <f t="shared" si="13"/>
        <v/>
      </c>
      <c r="Y955" s="69" t="str">
        <f t="shared" si="14"/>
        <v/>
      </c>
      <c r="Z955" s="11"/>
      <c r="AG955" s="59"/>
    </row>
    <row r="956">
      <c r="A956" s="8"/>
      <c r="B956" s="56" t="str">
        <f t="shared" si="2"/>
        <v/>
      </c>
      <c r="C956" s="105"/>
      <c r="D956" s="10"/>
      <c r="E956" s="59" t="str">
        <f t="array" ref="E956">IF(COUNTA(C956:C1644)=0,"",SUM((COUNTIF(C$4:C956,Upgrades!$B$3:$B$13)-COUNTIF(C$4:C956,"Sell_"&amp;Upgrades!$B$3:$B$13))*Upgrades!$D$3:$D$13))</f>
        <v/>
      </c>
      <c r="F956" s="66" t="str">
        <f>IFERROR(__xludf.DUMMYFUNCTION("IF(COUNTA(C956:C1644)=0,"""",IF(REGEXMATCH(INDEX(FILTER(C$4:C956,C$4:C956&lt;&gt;""""),ROWS(FILTER(C$4:C956,C$4:C956&lt;&gt;""""))),""^Sell_""),INDEX(FILTER(F$4:F955,C$4:C955&lt;&gt;""""),ROWS(FILTER(C$4:C955,C$4:C955&lt;&gt;""""))),$AC$5+E956))"),"")</f>
        <v/>
      </c>
      <c r="G956" s="10" t="str">
        <f>IFERROR(__xludf.DUMMYFUNCTION("IF(COUNTA(C956:C1644)=0,"""",IF(C956="""",0,IF(REGEXMATCH(C956,""^Sell_""),-ROUNDDOWN(ROUNDUP(INDEX(Upgrades!$C$3:$C$13,MATCH(SUBSTITUTE(C956,""Sell_"",""""),Upgrades!$B$3:$B$13,0))*1.15^(COUNTIF(C$4:C955,SUBSTITUTE(C956,""Sell_"",""""))-COUNTIF(C$4:C955,"&amp;"""Sell_""&amp;SUBSTITUTE(C956,""Sell_"",""""))))/2),ROUNDUP(INDEX(Upgrades!$C$3:$C$13,MATCH(C956,Upgrades!$B$3:$B$13,0))*1.15^(COUNTIF(C$4:C955,C956)-COUNTIF(C$4:C955,""Sell_""&amp;C956))))))"),"")</f>
        <v/>
      </c>
      <c r="H956" s="10" t="str">
        <f t="shared" si="3"/>
        <v/>
      </c>
      <c r="I956" s="68" t="str">
        <f t="shared" si="4"/>
        <v/>
      </c>
      <c r="J956" s="59" t="str">
        <f t="shared" si="5"/>
        <v/>
      </c>
      <c r="K956" s="69" t="str">
        <f t="shared" si="6"/>
        <v/>
      </c>
      <c r="L956" s="60" t="str">
        <f t="shared" si="7"/>
        <v/>
      </c>
      <c r="M956" s="61" t="str">
        <f>IFERROR(__xludf.DUMMYFUNCTION("IFS(AND(COUNTA(C956:C1644)=0,COUNTA(Q956:Q1644)=0),"""",OR(AND(K956&gt;=1000000000,OR(Y956&gt;=1000000000,COUNTA(Q956:Q1644)=0)),OR(Y956&gt;=1000000000,AND(COUNTA(C956:C1644)=0,P$3=TRUE))),
ROUNDDOWN((AB$1-AC$1)*MAX(INDEX(T$4:T1644,MATCH(LARGE(FILTER(Y$4:Y1644,Y$4"&amp;":Y1644&lt;1000000000),1),Y$4:Y1644)),INDEX(F$4:F1644,MATCH(LARGE(FILTER(K$4:K1644,K$4:K1644&lt;1000000000),1),K$4:K1644)))),AND(K956&lt;1000000000,COUNTA(C956:C1644)&gt;0,P$3=FALSE),
ROUNDDOWN(INDEX(Y$4:Y1644,MATCH(LARGE(FILTER(W$4:W1644,W$4:W1644&lt;=I956),1),W$4:W1644"&amp;"))+(I956-LARGE(FILTER(W$4:W1644,W$4:W1644&lt;=I956),1))*INDEX(T$4:T1644,MATCH(LARGE(FILTER(W$4:W1644,W$4:W1644&lt;=I956),1),W$4:W1644))-K956),1,
ROUNDDOWN(Y956-INDEX(K$4:K1644,MATCH(LARGE(FILTER(I$4:I1644,I$4:I1644&lt;=W956),1),I$4:I1644))-(W956-LARGE(FILTER(I$4:I"&amp;"1644,I$4:I1644&lt;=W956),1))*INDEX(F$4:F1644,MATCH(LARGE(FILTER(I$4:I1644,I$4:I1644&lt;=W956),1),I$4:I1644))))"),"")</f>
        <v/>
      </c>
      <c r="N956" s="60" t="str">
        <f t="shared" si="8"/>
        <v/>
      </c>
      <c r="O956" s="61" t="str">
        <f t="shared" si="9"/>
        <v/>
      </c>
      <c r="P956" s="56" t="str">
        <f t="shared" si="10"/>
        <v/>
      </c>
      <c r="Q956" s="105"/>
      <c r="R956" s="10"/>
      <c r="S956" s="59" t="str">
        <f t="array" ref="S956">IF(COUNTA(Q956:Q1644)=0,"",SUM((COUNTIF(Q$4:Q956,Upgrades!$B$3:$B$13)-COUNTIF(Q$4:Q956,"Sell_"&amp;Upgrades!$B$3:$B$13))*Upgrades!$D$3:$D$13))</f>
        <v/>
      </c>
      <c r="T956" s="66" t="str">
        <f>IFERROR(__xludf.DUMMYFUNCTION("IF(COUNTA(Q956:Q1644)=0,"""",IF(REGEXMATCH(INDEX(FILTER(Q$4:Q956,Q$4:Q956&lt;&gt;""""),ROWS(FILTER(Q$4:Q956,Q$4:Q956&lt;&gt;""""))),""^Sell_""),INDEX(FILTER(T$4:T955,Q$4:Q955&lt;&gt;""""),ROWS(FILTER(Q$4:Q955,Q$4:Q955&lt;&gt;""""))),$AD$5+S956))"),"")</f>
        <v/>
      </c>
      <c r="U956" s="10" t="str">
        <f>IFERROR(__xludf.DUMMYFUNCTION("IF(COUNTA(Q956:Q1644)=0,"""",IF(Q956="""",0,IF(REGEXMATCH(Q956,""^Sell_""),-ROUNDDOWN(ROUNDUP(INDEX(Upgrades!$C$3:$C$13,MATCH(SUBSTITUTE(Q956,""Sell_"",""""),Upgrades!$B$3:$B$13,0))*1.15^(COUNTIF(Q$4:Q955,SUBSTITUTE(Q956,""Sell_"",""""))-COUNTIF(Q$4:Q955,"&amp;"""Sell_""&amp;SUBSTITUTE(Q956,""Sell_"",""""))))/2),ROUNDUP(INDEX(Upgrades!$C$3:$C$13,MATCH(Q956,Upgrades!$B$3:$B$13,0))*1.15^(COUNTIF(Q$4:Q955,Q956)-COUNTIF(Q$4:Q955,""Sell_""&amp;Q956))))))"),"")</f>
        <v/>
      </c>
      <c r="V956" s="10" t="str">
        <f t="shared" si="11"/>
        <v/>
      </c>
      <c r="W956" s="68" t="str">
        <f t="shared" si="12"/>
        <v/>
      </c>
      <c r="X956" s="59" t="str">
        <f t="shared" si="13"/>
        <v/>
      </c>
      <c r="Y956" s="69" t="str">
        <f t="shared" si="14"/>
        <v/>
      </c>
      <c r="Z956" s="11"/>
      <c r="AG956" s="59"/>
    </row>
    <row r="957">
      <c r="A957" s="8"/>
      <c r="B957" s="56" t="str">
        <f t="shared" si="2"/>
        <v/>
      </c>
      <c r="C957" s="105"/>
      <c r="D957" s="10"/>
      <c r="E957" s="59" t="str">
        <f t="array" ref="E957">IF(COUNTA(C957:C1644)=0,"",SUM((COUNTIF(C$4:C957,Upgrades!$B$3:$B$13)-COUNTIF(C$4:C957,"Sell_"&amp;Upgrades!$B$3:$B$13))*Upgrades!$D$3:$D$13))</f>
        <v/>
      </c>
      <c r="F957" s="66" t="str">
        <f>IFERROR(__xludf.DUMMYFUNCTION("IF(COUNTA(C957:C1644)=0,"""",IF(REGEXMATCH(INDEX(FILTER(C$4:C957,C$4:C957&lt;&gt;""""),ROWS(FILTER(C$4:C957,C$4:C957&lt;&gt;""""))),""^Sell_""),INDEX(FILTER(F$4:F956,C$4:C956&lt;&gt;""""),ROWS(FILTER(C$4:C956,C$4:C956&lt;&gt;""""))),$AC$5+E957))"),"")</f>
        <v/>
      </c>
      <c r="G957" s="10" t="str">
        <f>IFERROR(__xludf.DUMMYFUNCTION("IF(COUNTA(C957:C1644)=0,"""",IF(C957="""",0,IF(REGEXMATCH(C957,""^Sell_""),-ROUNDDOWN(ROUNDUP(INDEX(Upgrades!$C$3:$C$13,MATCH(SUBSTITUTE(C957,""Sell_"",""""),Upgrades!$B$3:$B$13,0))*1.15^(COUNTIF(C$4:C956,SUBSTITUTE(C957,""Sell_"",""""))-COUNTIF(C$4:C956,"&amp;"""Sell_""&amp;SUBSTITUTE(C957,""Sell_"",""""))))/2),ROUNDUP(INDEX(Upgrades!$C$3:$C$13,MATCH(C957,Upgrades!$B$3:$B$13,0))*1.15^(COUNTIF(C$4:C956,C957)-COUNTIF(C$4:C956,""Sell_""&amp;C957))))))"),"")</f>
        <v/>
      </c>
      <c r="H957" s="10" t="str">
        <f t="shared" si="3"/>
        <v/>
      </c>
      <c r="I957" s="68" t="str">
        <f t="shared" si="4"/>
        <v/>
      </c>
      <c r="J957" s="59" t="str">
        <f t="shared" si="5"/>
        <v/>
      </c>
      <c r="K957" s="69" t="str">
        <f t="shared" si="6"/>
        <v/>
      </c>
      <c r="L957" s="60" t="str">
        <f t="shared" si="7"/>
        <v/>
      </c>
      <c r="M957" s="61" t="str">
        <f>IFERROR(__xludf.DUMMYFUNCTION("IFS(AND(COUNTA(C957:C1644)=0,COUNTA(Q957:Q1644)=0),"""",OR(AND(K957&gt;=1000000000,OR(Y957&gt;=1000000000,COUNTA(Q957:Q1644)=0)),OR(Y957&gt;=1000000000,AND(COUNTA(C957:C1644)=0,P$3=TRUE))),
ROUNDDOWN((AB$1-AC$1)*MAX(INDEX(T$4:T1644,MATCH(LARGE(FILTER(Y$4:Y1644,Y$4"&amp;":Y1644&lt;1000000000),1),Y$4:Y1644)),INDEX(F$4:F1644,MATCH(LARGE(FILTER(K$4:K1644,K$4:K1644&lt;1000000000),1),K$4:K1644)))),AND(K957&lt;1000000000,COUNTA(C957:C1644)&gt;0,P$3=FALSE),
ROUNDDOWN(INDEX(Y$4:Y1644,MATCH(LARGE(FILTER(W$4:W1644,W$4:W1644&lt;=I957),1),W$4:W1644"&amp;"))+(I957-LARGE(FILTER(W$4:W1644,W$4:W1644&lt;=I957),1))*INDEX(T$4:T1644,MATCH(LARGE(FILTER(W$4:W1644,W$4:W1644&lt;=I957),1),W$4:W1644))-K957),1,
ROUNDDOWN(Y957-INDEX(K$4:K1644,MATCH(LARGE(FILTER(I$4:I1644,I$4:I1644&lt;=W957),1),I$4:I1644))-(W957-LARGE(FILTER(I$4:I"&amp;"1644,I$4:I1644&lt;=W957),1))*INDEX(F$4:F1644,MATCH(LARGE(FILTER(I$4:I1644,I$4:I1644&lt;=W957),1),I$4:I1644))))"),"")</f>
        <v/>
      </c>
      <c r="N957" s="60" t="str">
        <f t="shared" si="8"/>
        <v/>
      </c>
      <c r="O957" s="61" t="str">
        <f t="shared" si="9"/>
        <v/>
      </c>
      <c r="P957" s="56" t="str">
        <f t="shared" si="10"/>
        <v/>
      </c>
      <c r="Q957" s="105"/>
      <c r="R957" s="10"/>
      <c r="S957" s="59" t="str">
        <f t="array" ref="S957">IF(COUNTA(Q957:Q1644)=0,"",SUM((COUNTIF(Q$4:Q957,Upgrades!$B$3:$B$13)-COUNTIF(Q$4:Q957,"Sell_"&amp;Upgrades!$B$3:$B$13))*Upgrades!$D$3:$D$13))</f>
        <v/>
      </c>
      <c r="T957" s="66" t="str">
        <f>IFERROR(__xludf.DUMMYFUNCTION("IF(COUNTA(Q957:Q1644)=0,"""",IF(REGEXMATCH(INDEX(FILTER(Q$4:Q957,Q$4:Q957&lt;&gt;""""),ROWS(FILTER(Q$4:Q957,Q$4:Q957&lt;&gt;""""))),""^Sell_""),INDEX(FILTER(T$4:T956,Q$4:Q956&lt;&gt;""""),ROWS(FILTER(Q$4:Q956,Q$4:Q956&lt;&gt;""""))),$AD$5+S957))"),"")</f>
        <v/>
      </c>
      <c r="U957" s="10" t="str">
        <f>IFERROR(__xludf.DUMMYFUNCTION("IF(COUNTA(Q957:Q1644)=0,"""",IF(Q957="""",0,IF(REGEXMATCH(Q957,""^Sell_""),-ROUNDDOWN(ROUNDUP(INDEX(Upgrades!$C$3:$C$13,MATCH(SUBSTITUTE(Q957,""Sell_"",""""),Upgrades!$B$3:$B$13,0))*1.15^(COUNTIF(Q$4:Q956,SUBSTITUTE(Q957,""Sell_"",""""))-COUNTIF(Q$4:Q956,"&amp;"""Sell_""&amp;SUBSTITUTE(Q957,""Sell_"",""""))))/2),ROUNDUP(INDEX(Upgrades!$C$3:$C$13,MATCH(Q957,Upgrades!$B$3:$B$13,0))*1.15^(COUNTIF(Q$4:Q956,Q957)-COUNTIF(Q$4:Q956,""Sell_""&amp;Q957))))))"),"")</f>
        <v/>
      </c>
      <c r="V957" s="10" t="str">
        <f t="shared" si="11"/>
        <v/>
      </c>
      <c r="W957" s="68" t="str">
        <f t="shared" si="12"/>
        <v/>
      </c>
      <c r="X957" s="59" t="str">
        <f t="shared" si="13"/>
        <v/>
      </c>
      <c r="Y957" s="69" t="str">
        <f t="shared" si="14"/>
        <v/>
      </c>
      <c r="Z957" s="11"/>
      <c r="AG957" s="59"/>
    </row>
    <row r="958">
      <c r="A958" s="8"/>
      <c r="B958" s="56" t="str">
        <f t="shared" si="2"/>
        <v/>
      </c>
      <c r="C958" s="105"/>
      <c r="D958" s="10"/>
      <c r="E958" s="59" t="str">
        <f t="array" ref="E958">IF(COUNTA(C958:C1644)=0,"",SUM((COUNTIF(C$4:C958,Upgrades!$B$3:$B$13)-COUNTIF(C$4:C958,"Sell_"&amp;Upgrades!$B$3:$B$13))*Upgrades!$D$3:$D$13))</f>
        <v/>
      </c>
      <c r="F958" s="66" t="str">
        <f>IFERROR(__xludf.DUMMYFUNCTION("IF(COUNTA(C958:C1644)=0,"""",IF(REGEXMATCH(INDEX(FILTER(C$4:C958,C$4:C958&lt;&gt;""""),ROWS(FILTER(C$4:C958,C$4:C958&lt;&gt;""""))),""^Sell_""),INDEX(FILTER(F$4:F957,C$4:C957&lt;&gt;""""),ROWS(FILTER(C$4:C957,C$4:C957&lt;&gt;""""))),$AC$5+E958))"),"")</f>
        <v/>
      </c>
      <c r="G958" s="10" t="str">
        <f>IFERROR(__xludf.DUMMYFUNCTION("IF(COUNTA(C958:C1644)=0,"""",IF(C958="""",0,IF(REGEXMATCH(C958,""^Sell_""),-ROUNDDOWN(ROUNDUP(INDEX(Upgrades!$C$3:$C$13,MATCH(SUBSTITUTE(C958,""Sell_"",""""),Upgrades!$B$3:$B$13,0))*1.15^(COUNTIF(C$4:C957,SUBSTITUTE(C958,""Sell_"",""""))-COUNTIF(C$4:C957,"&amp;"""Sell_""&amp;SUBSTITUTE(C958,""Sell_"",""""))))/2),ROUNDUP(INDEX(Upgrades!$C$3:$C$13,MATCH(C958,Upgrades!$B$3:$B$13,0))*1.15^(COUNTIF(C$4:C957,C958)-COUNTIF(C$4:C957,""Sell_""&amp;C958))))))"),"")</f>
        <v/>
      </c>
      <c r="H958" s="10" t="str">
        <f t="shared" si="3"/>
        <v/>
      </c>
      <c r="I958" s="68" t="str">
        <f t="shared" si="4"/>
        <v/>
      </c>
      <c r="J958" s="59" t="str">
        <f t="shared" si="5"/>
        <v/>
      </c>
      <c r="K958" s="69" t="str">
        <f t="shared" si="6"/>
        <v/>
      </c>
      <c r="L958" s="60" t="str">
        <f t="shared" si="7"/>
        <v/>
      </c>
      <c r="M958" s="61" t="str">
        <f>IFERROR(__xludf.DUMMYFUNCTION("IFS(AND(COUNTA(C958:C1644)=0,COUNTA(Q958:Q1644)=0),"""",OR(AND(K958&gt;=1000000000,OR(Y958&gt;=1000000000,COUNTA(Q958:Q1644)=0)),OR(Y958&gt;=1000000000,AND(COUNTA(C958:C1644)=0,P$3=TRUE))),
ROUNDDOWN((AB$1-AC$1)*MAX(INDEX(T$4:T1644,MATCH(LARGE(FILTER(Y$4:Y1644,Y$4"&amp;":Y1644&lt;1000000000),1),Y$4:Y1644)),INDEX(F$4:F1644,MATCH(LARGE(FILTER(K$4:K1644,K$4:K1644&lt;1000000000),1),K$4:K1644)))),AND(K958&lt;1000000000,COUNTA(C958:C1644)&gt;0,P$3=FALSE),
ROUNDDOWN(INDEX(Y$4:Y1644,MATCH(LARGE(FILTER(W$4:W1644,W$4:W1644&lt;=I958),1),W$4:W1644"&amp;"))+(I958-LARGE(FILTER(W$4:W1644,W$4:W1644&lt;=I958),1))*INDEX(T$4:T1644,MATCH(LARGE(FILTER(W$4:W1644,W$4:W1644&lt;=I958),1),W$4:W1644))-K958),1,
ROUNDDOWN(Y958-INDEX(K$4:K1644,MATCH(LARGE(FILTER(I$4:I1644,I$4:I1644&lt;=W958),1),I$4:I1644))-(W958-LARGE(FILTER(I$4:I"&amp;"1644,I$4:I1644&lt;=W958),1))*INDEX(F$4:F1644,MATCH(LARGE(FILTER(I$4:I1644,I$4:I1644&lt;=W958),1),I$4:I1644))))"),"")</f>
        <v/>
      </c>
      <c r="N958" s="60" t="str">
        <f t="shared" si="8"/>
        <v/>
      </c>
      <c r="O958" s="61" t="str">
        <f t="shared" si="9"/>
        <v/>
      </c>
      <c r="P958" s="56" t="str">
        <f t="shared" si="10"/>
        <v/>
      </c>
      <c r="Q958" s="105"/>
      <c r="R958" s="10"/>
      <c r="S958" s="59" t="str">
        <f t="array" ref="S958">IF(COUNTA(Q958:Q1644)=0,"",SUM((COUNTIF(Q$4:Q958,Upgrades!$B$3:$B$13)-COUNTIF(Q$4:Q958,"Sell_"&amp;Upgrades!$B$3:$B$13))*Upgrades!$D$3:$D$13))</f>
        <v/>
      </c>
      <c r="T958" s="66" t="str">
        <f>IFERROR(__xludf.DUMMYFUNCTION("IF(COUNTA(Q958:Q1644)=0,"""",IF(REGEXMATCH(INDEX(FILTER(Q$4:Q958,Q$4:Q958&lt;&gt;""""),ROWS(FILTER(Q$4:Q958,Q$4:Q958&lt;&gt;""""))),""^Sell_""),INDEX(FILTER(T$4:T957,Q$4:Q957&lt;&gt;""""),ROWS(FILTER(Q$4:Q957,Q$4:Q957&lt;&gt;""""))),$AD$5+S958))"),"")</f>
        <v/>
      </c>
      <c r="U958" s="10" t="str">
        <f>IFERROR(__xludf.DUMMYFUNCTION("IF(COUNTA(Q958:Q1644)=0,"""",IF(Q958="""",0,IF(REGEXMATCH(Q958,""^Sell_""),-ROUNDDOWN(ROUNDUP(INDEX(Upgrades!$C$3:$C$13,MATCH(SUBSTITUTE(Q958,""Sell_"",""""),Upgrades!$B$3:$B$13,0))*1.15^(COUNTIF(Q$4:Q957,SUBSTITUTE(Q958,""Sell_"",""""))-COUNTIF(Q$4:Q957,"&amp;"""Sell_""&amp;SUBSTITUTE(Q958,""Sell_"",""""))))/2),ROUNDUP(INDEX(Upgrades!$C$3:$C$13,MATCH(Q958,Upgrades!$B$3:$B$13,0))*1.15^(COUNTIF(Q$4:Q957,Q958)-COUNTIF(Q$4:Q957,""Sell_""&amp;Q958))))))"),"")</f>
        <v/>
      </c>
      <c r="V958" s="10" t="str">
        <f t="shared" si="11"/>
        <v/>
      </c>
      <c r="W958" s="68" t="str">
        <f t="shared" si="12"/>
        <v/>
      </c>
      <c r="X958" s="59" t="str">
        <f t="shared" si="13"/>
        <v/>
      </c>
      <c r="Y958" s="69" t="str">
        <f t="shared" si="14"/>
        <v/>
      </c>
      <c r="Z958" s="11"/>
      <c r="AG958" s="59"/>
    </row>
    <row r="959">
      <c r="A959" s="8"/>
      <c r="B959" s="56" t="str">
        <f t="shared" si="2"/>
        <v/>
      </c>
      <c r="C959" s="105"/>
      <c r="D959" s="10"/>
      <c r="E959" s="59" t="str">
        <f t="array" ref="E959">IF(COUNTA(C959:C1644)=0,"",SUM((COUNTIF(C$4:C959,Upgrades!$B$3:$B$13)-COUNTIF(C$4:C959,"Sell_"&amp;Upgrades!$B$3:$B$13))*Upgrades!$D$3:$D$13))</f>
        <v/>
      </c>
      <c r="F959" s="66" t="str">
        <f>IFERROR(__xludf.DUMMYFUNCTION("IF(COUNTA(C959:C1644)=0,"""",IF(REGEXMATCH(INDEX(FILTER(C$4:C959,C$4:C959&lt;&gt;""""),ROWS(FILTER(C$4:C959,C$4:C959&lt;&gt;""""))),""^Sell_""),INDEX(FILTER(F$4:F958,C$4:C958&lt;&gt;""""),ROWS(FILTER(C$4:C958,C$4:C958&lt;&gt;""""))),$AC$5+E959))"),"")</f>
        <v/>
      </c>
      <c r="G959" s="10" t="str">
        <f>IFERROR(__xludf.DUMMYFUNCTION("IF(COUNTA(C959:C1644)=0,"""",IF(C959="""",0,IF(REGEXMATCH(C959,""^Sell_""),-ROUNDDOWN(ROUNDUP(INDEX(Upgrades!$C$3:$C$13,MATCH(SUBSTITUTE(C959,""Sell_"",""""),Upgrades!$B$3:$B$13,0))*1.15^(COUNTIF(C$4:C958,SUBSTITUTE(C959,""Sell_"",""""))-COUNTIF(C$4:C958,"&amp;"""Sell_""&amp;SUBSTITUTE(C959,""Sell_"",""""))))/2),ROUNDUP(INDEX(Upgrades!$C$3:$C$13,MATCH(C959,Upgrades!$B$3:$B$13,0))*1.15^(COUNTIF(C$4:C958,C959)-COUNTIF(C$4:C958,""Sell_""&amp;C959))))))"),"")</f>
        <v/>
      </c>
      <c r="H959" s="10" t="str">
        <f t="shared" si="3"/>
        <v/>
      </c>
      <c r="I959" s="68" t="str">
        <f t="shared" si="4"/>
        <v/>
      </c>
      <c r="J959" s="59" t="str">
        <f t="shared" si="5"/>
        <v/>
      </c>
      <c r="K959" s="69" t="str">
        <f t="shared" si="6"/>
        <v/>
      </c>
      <c r="L959" s="60" t="str">
        <f t="shared" si="7"/>
        <v/>
      </c>
      <c r="M959" s="61" t="str">
        <f>IFERROR(__xludf.DUMMYFUNCTION("IFS(AND(COUNTA(C959:C1644)=0,COUNTA(Q959:Q1644)=0),"""",OR(AND(K959&gt;=1000000000,OR(Y959&gt;=1000000000,COUNTA(Q959:Q1644)=0)),OR(Y959&gt;=1000000000,AND(COUNTA(C959:C1644)=0,P$3=TRUE))),
ROUNDDOWN((AB$1-AC$1)*MAX(INDEX(T$4:T1644,MATCH(LARGE(FILTER(Y$4:Y1644,Y$4"&amp;":Y1644&lt;1000000000),1),Y$4:Y1644)),INDEX(F$4:F1644,MATCH(LARGE(FILTER(K$4:K1644,K$4:K1644&lt;1000000000),1),K$4:K1644)))),AND(K959&lt;1000000000,COUNTA(C959:C1644)&gt;0,P$3=FALSE),
ROUNDDOWN(INDEX(Y$4:Y1644,MATCH(LARGE(FILTER(W$4:W1644,W$4:W1644&lt;=I959),1),W$4:W1644"&amp;"))+(I959-LARGE(FILTER(W$4:W1644,W$4:W1644&lt;=I959),1))*INDEX(T$4:T1644,MATCH(LARGE(FILTER(W$4:W1644,W$4:W1644&lt;=I959),1),W$4:W1644))-K959),1,
ROUNDDOWN(Y959-INDEX(K$4:K1644,MATCH(LARGE(FILTER(I$4:I1644,I$4:I1644&lt;=W959),1),I$4:I1644))-(W959-LARGE(FILTER(I$4:I"&amp;"1644,I$4:I1644&lt;=W959),1))*INDEX(F$4:F1644,MATCH(LARGE(FILTER(I$4:I1644,I$4:I1644&lt;=W959),1),I$4:I1644))))"),"")</f>
        <v/>
      </c>
      <c r="N959" s="60" t="str">
        <f t="shared" si="8"/>
        <v/>
      </c>
      <c r="O959" s="61" t="str">
        <f t="shared" si="9"/>
        <v/>
      </c>
      <c r="P959" s="56" t="str">
        <f t="shared" si="10"/>
        <v/>
      </c>
      <c r="Q959" s="105"/>
      <c r="R959" s="10"/>
      <c r="S959" s="59" t="str">
        <f t="array" ref="S959">IF(COUNTA(Q959:Q1644)=0,"",SUM((COUNTIF(Q$4:Q959,Upgrades!$B$3:$B$13)-COUNTIF(Q$4:Q959,"Sell_"&amp;Upgrades!$B$3:$B$13))*Upgrades!$D$3:$D$13))</f>
        <v/>
      </c>
      <c r="T959" s="66" t="str">
        <f>IFERROR(__xludf.DUMMYFUNCTION("IF(COUNTA(Q959:Q1644)=0,"""",IF(REGEXMATCH(INDEX(FILTER(Q$4:Q959,Q$4:Q959&lt;&gt;""""),ROWS(FILTER(Q$4:Q959,Q$4:Q959&lt;&gt;""""))),""^Sell_""),INDEX(FILTER(T$4:T958,Q$4:Q958&lt;&gt;""""),ROWS(FILTER(Q$4:Q958,Q$4:Q958&lt;&gt;""""))),$AD$5+S959))"),"")</f>
        <v/>
      </c>
      <c r="U959" s="10" t="str">
        <f>IFERROR(__xludf.DUMMYFUNCTION("IF(COUNTA(Q959:Q1644)=0,"""",IF(Q959="""",0,IF(REGEXMATCH(Q959,""^Sell_""),-ROUNDDOWN(ROUNDUP(INDEX(Upgrades!$C$3:$C$13,MATCH(SUBSTITUTE(Q959,""Sell_"",""""),Upgrades!$B$3:$B$13,0))*1.15^(COUNTIF(Q$4:Q958,SUBSTITUTE(Q959,""Sell_"",""""))-COUNTIF(Q$4:Q958,"&amp;"""Sell_""&amp;SUBSTITUTE(Q959,""Sell_"",""""))))/2),ROUNDUP(INDEX(Upgrades!$C$3:$C$13,MATCH(Q959,Upgrades!$B$3:$B$13,0))*1.15^(COUNTIF(Q$4:Q958,Q959)-COUNTIF(Q$4:Q958,""Sell_""&amp;Q959))))))"),"")</f>
        <v/>
      </c>
      <c r="V959" s="10" t="str">
        <f t="shared" si="11"/>
        <v/>
      </c>
      <c r="W959" s="68" t="str">
        <f t="shared" si="12"/>
        <v/>
      </c>
      <c r="X959" s="59" t="str">
        <f t="shared" si="13"/>
        <v/>
      </c>
      <c r="Y959" s="69" t="str">
        <f t="shared" si="14"/>
        <v/>
      </c>
      <c r="Z959" s="11"/>
      <c r="AG959" s="59"/>
    </row>
    <row r="960">
      <c r="A960" s="8"/>
      <c r="B960" s="56" t="str">
        <f t="shared" si="2"/>
        <v/>
      </c>
      <c r="C960" s="105"/>
      <c r="D960" s="10"/>
      <c r="E960" s="59" t="str">
        <f t="array" ref="E960">IF(COUNTA(C960:C1644)=0,"",SUM((COUNTIF(C$4:C960,Upgrades!$B$3:$B$13)-COUNTIF(C$4:C960,"Sell_"&amp;Upgrades!$B$3:$B$13))*Upgrades!$D$3:$D$13))</f>
        <v/>
      </c>
      <c r="F960" s="66" t="str">
        <f>IFERROR(__xludf.DUMMYFUNCTION("IF(COUNTA(C960:C1644)=0,"""",IF(REGEXMATCH(INDEX(FILTER(C$4:C960,C$4:C960&lt;&gt;""""),ROWS(FILTER(C$4:C960,C$4:C960&lt;&gt;""""))),""^Sell_""),INDEX(FILTER(F$4:F959,C$4:C959&lt;&gt;""""),ROWS(FILTER(C$4:C959,C$4:C959&lt;&gt;""""))),$AC$5+E960))"),"")</f>
        <v/>
      </c>
      <c r="G960" s="10" t="str">
        <f>IFERROR(__xludf.DUMMYFUNCTION("IF(COUNTA(C960:C1644)=0,"""",IF(C960="""",0,IF(REGEXMATCH(C960,""^Sell_""),-ROUNDDOWN(ROUNDUP(INDEX(Upgrades!$C$3:$C$13,MATCH(SUBSTITUTE(C960,""Sell_"",""""),Upgrades!$B$3:$B$13,0))*1.15^(COUNTIF(C$4:C959,SUBSTITUTE(C960,""Sell_"",""""))-COUNTIF(C$4:C959,"&amp;"""Sell_""&amp;SUBSTITUTE(C960,""Sell_"",""""))))/2),ROUNDUP(INDEX(Upgrades!$C$3:$C$13,MATCH(C960,Upgrades!$B$3:$B$13,0))*1.15^(COUNTIF(C$4:C959,C960)-COUNTIF(C$4:C959,""Sell_""&amp;C960))))))"),"")</f>
        <v/>
      </c>
      <c r="H960" s="10" t="str">
        <f t="shared" si="3"/>
        <v/>
      </c>
      <c r="I960" s="68" t="str">
        <f t="shared" si="4"/>
        <v/>
      </c>
      <c r="J960" s="59" t="str">
        <f t="shared" si="5"/>
        <v/>
      </c>
      <c r="K960" s="69" t="str">
        <f t="shared" si="6"/>
        <v/>
      </c>
      <c r="L960" s="60" t="str">
        <f t="shared" si="7"/>
        <v/>
      </c>
      <c r="M960" s="61" t="str">
        <f>IFERROR(__xludf.DUMMYFUNCTION("IFS(AND(COUNTA(C960:C1644)=0,COUNTA(Q960:Q1644)=0),"""",OR(AND(K960&gt;=1000000000,OR(Y960&gt;=1000000000,COUNTA(Q960:Q1644)=0)),OR(Y960&gt;=1000000000,AND(COUNTA(C960:C1644)=0,P$3=TRUE))),
ROUNDDOWN((AB$1-AC$1)*MAX(INDEX(T$4:T1644,MATCH(LARGE(FILTER(Y$4:Y1644,Y$4"&amp;":Y1644&lt;1000000000),1),Y$4:Y1644)),INDEX(F$4:F1644,MATCH(LARGE(FILTER(K$4:K1644,K$4:K1644&lt;1000000000),1),K$4:K1644)))),AND(K960&lt;1000000000,COUNTA(C960:C1644)&gt;0,P$3=FALSE),
ROUNDDOWN(INDEX(Y$4:Y1644,MATCH(LARGE(FILTER(W$4:W1644,W$4:W1644&lt;=I960),1),W$4:W1644"&amp;"))+(I960-LARGE(FILTER(W$4:W1644,W$4:W1644&lt;=I960),1))*INDEX(T$4:T1644,MATCH(LARGE(FILTER(W$4:W1644,W$4:W1644&lt;=I960),1),W$4:W1644))-K960),1,
ROUNDDOWN(Y960-INDEX(K$4:K1644,MATCH(LARGE(FILTER(I$4:I1644,I$4:I1644&lt;=W960),1),I$4:I1644))-(W960-LARGE(FILTER(I$4:I"&amp;"1644,I$4:I1644&lt;=W960),1))*INDEX(F$4:F1644,MATCH(LARGE(FILTER(I$4:I1644,I$4:I1644&lt;=W960),1),I$4:I1644))))"),"")</f>
        <v/>
      </c>
      <c r="N960" s="60" t="str">
        <f t="shared" si="8"/>
        <v/>
      </c>
      <c r="O960" s="61" t="str">
        <f t="shared" si="9"/>
        <v/>
      </c>
      <c r="P960" s="56" t="str">
        <f t="shared" si="10"/>
        <v/>
      </c>
      <c r="Q960" s="105"/>
      <c r="R960" s="10"/>
      <c r="S960" s="59" t="str">
        <f t="array" ref="S960">IF(COUNTA(Q960:Q1644)=0,"",SUM((COUNTIF(Q$4:Q960,Upgrades!$B$3:$B$13)-COUNTIF(Q$4:Q960,"Sell_"&amp;Upgrades!$B$3:$B$13))*Upgrades!$D$3:$D$13))</f>
        <v/>
      </c>
      <c r="T960" s="66" t="str">
        <f>IFERROR(__xludf.DUMMYFUNCTION("IF(COUNTA(Q960:Q1644)=0,"""",IF(REGEXMATCH(INDEX(FILTER(Q$4:Q960,Q$4:Q960&lt;&gt;""""),ROWS(FILTER(Q$4:Q960,Q$4:Q960&lt;&gt;""""))),""^Sell_""),INDEX(FILTER(T$4:T959,Q$4:Q959&lt;&gt;""""),ROWS(FILTER(Q$4:Q959,Q$4:Q959&lt;&gt;""""))),$AD$5+S960))"),"")</f>
        <v/>
      </c>
      <c r="U960" s="10" t="str">
        <f>IFERROR(__xludf.DUMMYFUNCTION("IF(COUNTA(Q960:Q1644)=0,"""",IF(Q960="""",0,IF(REGEXMATCH(Q960,""^Sell_""),-ROUNDDOWN(ROUNDUP(INDEX(Upgrades!$C$3:$C$13,MATCH(SUBSTITUTE(Q960,""Sell_"",""""),Upgrades!$B$3:$B$13,0))*1.15^(COUNTIF(Q$4:Q959,SUBSTITUTE(Q960,""Sell_"",""""))-COUNTIF(Q$4:Q959,"&amp;"""Sell_""&amp;SUBSTITUTE(Q960,""Sell_"",""""))))/2),ROUNDUP(INDEX(Upgrades!$C$3:$C$13,MATCH(Q960,Upgrades!$B$3:$B$13,0))*1.15^(COUNTIF(Q$4:Q959,Q960)-COUNTIF(Q$4:Q959,""Sell_""&amp;Q960))))))"),"")</f>
        <v/>
      </c>
      <c r="V960" s="10" t="str">
        <f t="shared" si="11"/>
        <v/>
      </c>
      <c r="W960" s="68" t="str">
        <f t="shared" si="12"/>
        <v/>
      </c>
      <c r="X960" s="59" t="str">
        <f t="shared" si="13"/>
        <v/>
      </c>
      <c r="Y960" s="69" t="str">
        <f t="shared" si="14"/>
        <v/>
      </c>
      <c r="Z960" s="11"/>
      <c r="AG960" s="59"/>
    </row>
    <row r="961">
      <c r="A961" s="8"/>
      <c r="B961" s="56" t="str">
        <f t="shared" si="2"/>
        <v/>
      </c>
      <c r="C961" s="105"/>
      <c r="D961" s="10"/>
      <c r="E961" s="59" t="str">
        <f t="array" ref="E961">IF(COUNTA(C961:C1644)=0,"",SUM((COUNTIF(C$4:C961,Upgrades!$B$3:$B$13)-COUNTIF(C$4:C961,"Sell_"&amp;Upgrades!$B$3:$B$13))*Upgrades!$D$3:$D$13))</f>
        <v/>
      </c>
      <c r="F961" s="66" t="str">
        <f>IFERROR(__xludf.DUMMYFUNCTION("IF(COUNTA(C961:C1644)=0,"""",IF(REGEXMATCH(INDEX(FILTER(C$4:C961,C$4:C961&lt;&gt;""""),ROWS(FILTER(C$4:C961,C$4:C961&lt;&gt;""""))),""^Sell_""),INDEX(FILTER(F$4:F960,C$4:C960&lt;&gt;""""),ROWS(FILTER(C$4:C960,C$4:C960&lt;&gt;""""))),$AC$5+E961))"),"")</f>
        <v/>
      </c>
      <c r="G961" s="10" t="str">
        <f>IFERROR(__xludf.DUMMYFUNCTION("IF(COUNTA(C961:C1644)=0,"""",IF(C961="""",0,IF(REGEXMATCH(C961,""^Sell_""),-ROUNDDOWN(ROUNDUP(INDEX(Upgrades!$C$3:$C$13,MATCH(SUBSTITUTE(C961,""Sell_"",""""),Upgrades!$B$3:$B$13,0))*1.15^(COUNTIF(C$4:C960,SUBSTITUTE(C961,""Sell_"",""""))-COUNTIF(C$4:C960,"&amp;"""Sell_""&amp;SUBSTITUTE(C961,""Sell_"",""""))))/2),ROUNDUP(INDEX(Upgrades!$C$3:$C$13,MATCH(C961,Upgrades!$B$3:$B$13,0))*1.15^(COUNTIF(C$4:C960,C961)-COUNTIF(C$4:C960,""Sell_""&amp;C961))))))"),"")</f>
        <v/>
      </c>
      <c r="H961" s="10" t="str">
        <f t="shared" si="3"/>
        <v/>
      </c>
      <c r="I961" s="68" t="str">
        <f t="shared" si="4"/>
        <v/>
      </c>
      <c r="J961" s="59" t="str">
        <f t="shared" si="5"/>
        <v/>
      </c>
      <c r="K961" s="69" t="str">
        <f t="shared" si="6"/>
        <v/>
      </c>
      <c r="L961" s="60" t="str">
        <f t="shared" si="7"/>
        <v/>
      </c>
      <c r="M961" s="61" t="str">
        <f>IFERROR(__xludf.DUMMYFUNCTION("IFS(AND(COUNTA(C961:C1644)=0,COUNTA(Q961:Q1644)=0),"""",OR(AND(K961&gt;=1000000000,OR(Y961&gt;=1000000000,COUNTA(Q961:Q1644)=0)),OR(Y961&gt;=1000000000,AND(COUNTA(C961:C1644)=0,P$3=TRUE))),
ROUNDDOWN((AB$1-AC$1)*MAX(INDEX(T$4:T1644,MATCH(LARGE(FILTER(Y$4:Y1644,Y$4"&amp;":Y1644&lt;1000000000),1),Y$4:Y1644)),INDEX(F$4:F1644,MATCH(LARGE(FILTER(K$4:K1644,K$4:K1644&lt;1000000000),1),K$4:K1644)))),AND(K961&lt;1000000000,COUNTA(C961:C1644)&gt;0,P$3=FALSE),
ROUNDDOWN(INDEX(Y$4:Y1644,MATCH(LARGE(FILTER(W$4:W1644,W$4:W1644&lt;=I961),1),W$4:W1644"&amp;"))+(I961-LARGE(FILTER(W$4:W1644,W$4:W1644&lt;=I961),1))*INDEX(T$4:T1644,MATCH(LARGE(FILTER(W$4:W1644,W$4:W1644&lt;=I961),1),W$4:W1644))-K961),1,
ROUNDDOWN(Y961-INDEX(K$4:K1644,MATCH(LARGE(FILTER(I$4:I1644,I$4:I1644&lt;=W961),1),I$4:I1644))-(W961-LARGE(FILTER(I$4:I"&amp;"1644,I$4:I1644&lt;=W961),1))*INDEX(F$4:F1644,MATCH(LARGE(FILTER(I$4:I1644,I$4:I1644&lt;=W961),1),I$4:I1644))))"),"")</f>
        <v/>
      </c>
      <c r="N961" s="60" t="str">
        <f t="shared" si="8"/>
        <v/>
      </c>
      <c r="O961" s="61" t="str">
        <f t="shared" si="9"/>
        <v/>
      </c>
      <c r="P961" s="56" t="str">
        <f t="shared" si="10"/>
        <v/>
      </c>
      <c r="Q961" s="105"/>
      <c r="R961" s="10"/>
      <c r="S961" s="59" t="str">
        <f t="array" ref="S961">IF(COUNTA(Q961:Q1644)=0,"",SUM((COUNTIF(Q$4:Q961,Upgrades!$B$3:$B$13)-COUNTIF(Q$4:Q961,"Sell_"&amp;Upgrades!$B$3:$B$13))*Upgrades!$D$3:$D$13))</f>
        <v/>
      </c>
      <c r="T961" s="66" t="str">
        <f>IFERROR(__xludf.DUMMYFUNCTION("IF(COUNTA(Q961:Q1644)=0,"""",IF(REGEXMATCH(INDEX(FILTER(Q$4:Q961,Q$4:Q961&lt;&gt;""""),ROWS(FILTER(Q$4:Q961,Q$4:Q961&lt;&gt;""""))),""^Sell_""),INDEX(FILTER(T$4:T960,Q$4:Q960&lt;&gt;""""),ROWS(FILTER(Q$4:Q960,Q$4:Q960&lt;&gt;""""))),$AD$5+S961))"),"")</f>
        <v/>
      </c>
      <c r="U961" s="10" t="str">
        <f>IFERROR(__xludf.DUMMYFUNCTION("IF(COUNTA(Q961:Q1644)=0,"""",IF(Q961="""",0,IF(REGEXMATCH(Q961,""^Sell_""),-ROUNDDOWN(ROUNDUP(INDEX(Upgrades!$C$3:$C$13,MATCH(SUBSTITUTE(Q961,""Sell_"",""""),Upgrades!$B$3:$B$13,0))*1.15^(COUNTIF(Q$4:Q960,SUBSTITUTE(Q961,""Sell_"",""""))-COUNTIF(Q$4:Q960,"&amp;"""Sell_""&amp;SUBSTITUTE(Q961,""Sell_"",""""))))/2),ROUNDUP(INDEX(Upgrades!$C$3:$C$13,MATCH(Q961,Upgrades!$B$3:$B$13,0))*1.15^(COUNTIF(Q$4:Q960,Q961)-COUNTIF(Q$4:Q960,""Sell_""&amp;Q961))))))"),"")</f>
        <v/>
      </c>
      <c r="V961" s="10" t="str">
        <f t="shared" si="11"/>
        <v/>
      </c>
      <c r="W961" s="68" t="str">
        <f t="shared" si="12"/>
        <v/>
      </c>
      <c r="X961" s="59" t="str">
        <f t="shared" si="13"/>
        <v/>
      </c>
      <c r="Y961" s="69" t="str">
        <f t="shared" si="14"/>
        <v/>
      </c>
      <c r="Z961" s="11"/>
      <c r="AG961" s="59"/>
    </row>
    <row r="962">
      <c r="A962" s="8"/>
      <c r="B962" s="56" t="str">
        <f t="shared" si="2"/>
        <v/>
      </c>
      <c r="C962" s="105"/>
      <c r="D962" s="10"/>
      <c r="E962" s="59" t="str">
        <f t="array" ref="E962">IF(COUNTA(C962:C1644)=0,"",SUM((COUNTIF(C$4:C962,Upgrades!$B$3:$B$13)-COUNTIF(C$4:C962,"Sell_"&amp;Upgrades!$B$3:$B$13))*Upgrades!$D$3:$D$13))</f>
        <v/>
      </c>
      <c r="F962" s="66" t="str">
        <f>IFERROR(__xludf.DUMMYFUNCTION("IF(COUNTA(C962:C1644)=0,"""",IF(REGEXMATCH(INDEX(FILTER(C$4:C962,C$4:C962&lt;&gt;""""),ROWS(FILTER(C$4:C962,C$4:C962&lt;&gt;""""))),""^Sell_""),INDEX(FILTER(F$4:F961,C$4:C961&lt;&gt;""""),ROWS(FILTER(C$4:C961,C$4:C961&lt;&gt;""""))),$AC$5+E962))"),"")</f>
        <v/>
      </c>
      <c r="G962" s="10" t="str">
        <f>IFERROR(__xludf.DUMMYFUNCTION("IF(COUNTA(C962:C1644)=0,"""",IF(C962="""",0,IF(REGEXMATCH(C962,""^Sell_""),-ROUNDDOWN(ROUNDUP(INDEX(Upgrades!$C$3:$C$13,MATCH(SUBSTITUTE(C962,""Sell_"",""""),Upgrades!$B$3:$B$13,0))*1.15^(COUNTIF(C$4:C961,SUBSTITUTE(C962,""Sell_"",""""))-COUNTIF(C$4:C961,"&amp;"""Sell_""&amp;SUBSTITUTE(C962,""Sell_"",""""))))/2),ROUNDUP(INDEX(Upgrades!$C$3:$C$13,MATCH(C962,Upgrades!$B$3:$B$13,0))*1.15^(COUNTIF(C$4:C961,C962)-COUNTIF(C$4:C961,""Sell_""&amp;C962))))))"),"")</f>
        <v/>
      </c>
      <c r="H962" s="10" t="str">
        <f t="shared" si="3"/>
        <v/>
      </c>
      <c r="I962" s="68" t="str">
        <f t="shared" si="4"/>
        <v/>
      </c>
      <c r="J962" s="59" t="str">
        <f t="shared" si="5"/>
        <v/>
      </c>
      <c r="K962" s="69" t="str">
        <f t="shared" si="6"/>
        <v/>
      </c>
      <c r="L962" s="60" t="str">
        <f t="shared" si="7"/>
        <v/>
      </c>
      <c r="M962" s="61" t="str">
        <f>IFERROR(__xludf.DUMMYFUNCTION("IFS(AND(COUNTA(C962:C1644)=0,COUNTA(Q962:Q1644)=0),"""",OR(AND(K962&gt;=1000000000,OR(Y962&gt;=1000000000,COUNTA(Q962:Q1644)=0)),OR(Y962&gt;=1000000000,AND(COUNTA(C962:C1644)=0,P$3=TRUE))),
ROUNDDOWN((AB$1-AC$1)*MAX(INDEX(T$4:T1644,MATCH(LARGE(FILTER(Y$4:Y1644,Y$4"&amp;":Y1644&lt;1000000000),1),Y$4:Y1644)),INDEX(F$4:F1644,MATCH(LARGE(FILTER(K$4:K1644,K$4:K1644&lt;1000000000),1),K$4:K1644)))),AND(K962&lt;1000000000,COUNTA(C962:C1644)&gt;0,P$3=FALSE),
ROUNDDOWN(INDEX(Y$4:Y1644,MATCH(LARGE(FILTER(W$4:W1644,W$4:W1644&lt;=I962),1),W$4:W1644"&amp;"))+(I962-LARGE(FILTER(W$4:W1644,W$4:W1644&lt;=I962),1))*INDEX(T$4:T1644,MATCH(LARGE(FILTER(W$4:W1644,W$4:W1644&lt;=I962),1),W$4:W1644))-K962),1,
ROUNDDOWN(Y962-INDEX(K$4:K1644,MATCH(LARGE(FILTER(I$4:I1644,I$4:I1644&lt;=W962),1),I$4:I1644))-(W962-LARGE(FILTER(I$4:I"&amp;"1644,I$4:I1644&lt;=W962),1))*INDEX(F$4:F1644,MATCH(LARGE(FILTER(I$4:I1644,I$4:I1644&lt;=W962),1),I$4:I1644))))"),"")</f>
        <v/>
      </c>
      <c r="N962" s="60" t="str">
        <f t="shared" si="8"/>
        <v/>
      </c>
      <c r="O962" s="61" t="str">
        <f t="shared" si="9"/>
        <v/>
      </c>
      <c r="P962" s="56" t="str">
        <f t="shared" si="10"/>
        <v/>
      </c>
      <c r="Q962" s="105"/>
      <c r="R962" s="10"/>
      <c r="S962" s="59" t="str">
        <f t="array" ref="S962">IF(COUNTA(Q962:Q1644)=0,"",SUM((COUNTIF(Q$4:Q962,Upgrades!$B$3:$B$13)-COUNTIF(Q$4:Q962,"Sell_"&amp;Upgrades!$B$3:$B$13))*Upgrades!$D$3:$D$13))</f>
        <v/>
      </c>
      <c r="T962" s="66" t="str">
        <f>IFERROR(__xludf.DUMMYFUNCTION("IF(COUNTA(Q962:Q1644)=0,"""",IF(REGEXMATCH(INDEX(FILTER(Q$4:Q962,Q$4:Q962&lt;&gt;""""),ROWS(FILTER(Q$4:Q962,Q$4:Q962&lt;&gt;""""))),""^Sell_""),INDEX(FILTER(T$4:T961,Q$4:Q961&lt;&gt;""""),ROWS(FILTER(Q$4:Q961,Q$4:Q961&lt;&gt;""""))),$AD$5+S962))"),"")</f>
        <v/>
      </c>
      <c r="U962" s="10" t="str">
        <f>IFERROR(__xludf.DUMMYFUNCTION("IF(COUNTA(Q962:Q1644)=0,"""",IF(Q962="""",0,IF(REGEXMATCH(Q962,""^Sell_""),-ROUNDDOWN(ROUNDUP(INDEX(Upgrades!$C$3:$C$13,MATCH(SUBSTITUTE(Q962,""Sell_"",""""),Upgrades!$B$3:$B$13,0))*1.15^(COUNTIF(Q$4:Q961,SUBSTITUTE(Q962,""Sell_"",""""))-COUNTIF(Q$4:Q961,"&amp;"""Sell_""&amp;SUBSTITUTE(Q962,""Sell_"",""""))))/2),ROUNDUP(INDEX(Upgrades!$C$3:$C$13,MATCH(Q962,Upgrades!$B$3:$B$13,0))*1.15^(COUNTIF(Q$4:Q961,Q962)-COUNTIF(Q$4:Q961,""Sell_""&amp;Q962))))))"),"")</f>
        <v/>
      </c>
      <c r="V962" s="10" t="str">
        <f t="shared" si="11"/>
        <v/>
      </c>
      <c r="W962" s="68" t="str">
        <f t="shared" si="12"/>
        <v/>
      </c>
      <c r="X962" s="59" t="str">
        <f t="shared" si="13"/>
        <v/>
      </c>
      <c r="Y962" s="69" t="str">
        <f t="shared" si="14"/>
        <v/>
      </c>
      <c r="Z962" s="11"/>
      <c r="AG962" s="59"/>
    </row>
    <row r="963">
      <c r="A963" s="8"/>
      <c r="B963" s="56" t="str">
        <f t="shared" si="2"/>
        <v/>
      </c>
      <c r="C963" s="105"/>
      <c r="D963" s="10"/>
      <c r="E963" s="59" t="str">
        <f t="array" ref="E963">IF(COUNTA(C963:C1644)=0,"",SUM((COUNTIF(C$4:C963,Upgrades!$B$3:$B$13)-COUNTIF(C$4:C963,"Sell_"&amp;Upgrades!$B$3:$B$13))*Upgrades!$D$3:$D$13))</f>
        <v/>
      </c>
      <c r="F963" s="66" t="str">
        <f>IFERROR(__xludf.DUMMYFUNCTION("IF(COUNTA(C963:C1644)=0,"""",IF(REGEXMATCH(INDEX(FILTER(C$4:C963,C$4:C963&lt;&gt;""""),ROWS(FILTER(C$4:C963,C$4:C963&lt;&gt;""""))),""^Sell_""),INDEX(FILTER(F$4:F962,C$4:C962&lt;&gt;""""),ROWS(FILTER(C$4:C962,C$4:C962&lt;&gt;""""))),$AC$5+E963))"),"")</f>
        <v/>
      </c>
      <c r="G963" s="10" t="str">
        <f>IFERROR(__xludf.DUMMYFUNCTION("IF(COUNTA(C963:C1644)=0,"""",IF(C963="""",0,IF(REGEXMATCH(C963,""^Sell_""),-ROUNDDOWN(ROUNDUP(INDEX(Upgrades!$C$3:$C$13,MATCH(SUBSTITUTE(C963,""Sell_"",""""),Upgrades!$B$3:$B$13,0))*1.15^(COUNTIF(C$4:C962,SUBSTITUTE(C963,""Sell_"",""""))-COUNTIF(C$4:C962,"&amp;"""Sell_""&amp;SUBSTITUTE(C963,""Sell_"",""""))))/2),ROUNDUP(INDEX(Upgrades!$C$3:$C$13,MATCH(C963,Upgrades!$B$3:$B$13,0))*1.15^(COUNTIF(C$4:C962,C963)-COUNTIF(C$4:C962,""Sell_""&amp;C963))))))"),"")</f>
        <v/>
      </c>
      <c r="H963" s="10" t="str">
        <f t="shared" si="3"/>
        <v/>
      </c>
      <c r="I963" s="68" t="str">
        <f t="shared" si="4"/>
        <v/>
      </c>
      <c r="J963" s="59" t="str">
        <f t="shared" si="5"/>
        <v/>
      </c>
      <c r="K963" s="69" t="str">
        <f t="shared" si="6"/>
        <v/>
      </c>
      <c r="L963" s="60" t="str">
        <f t="shared" si="7"/>
        <v/>
      </c>
      <c r="M963" s="61" t="str">
        <f>IFERROR(__xludf.DUMMYFUNCTION("IFS(AND(COUNTA(C963:C1644)=0,COUNTA(Q963:Q1644)=0),"""",OR(AND(K963&gt;=1000000000,OR(Y963&gt;=1000000000,COUNTA(Q963:Q1644)=0)),OR(Y963&gt;=1000000000,AND(COUNTA(C963:C1644)=0,P$3=TRUE))),
ROUNDDOWN((AB$1-AC$1)*MAX(INDEX(T$4:T1644,MATCH(LARGE(FILTER(Y$4:Y1644,Y$4"&amp;":Y1644&lt;1000000000),1),Y$4:Y1644)),INDEX(F$4:F1644,MATCH(LARGE(FILTER(K$4:K1644,K$4:K1644&lt;1000000000),1),K$4:K1644)))),AND(K963&lt;1000000000,COUNTA(C963:C1644)&gt;0,P$3=FALSE),
ROUNDDOWN(INDEX(Y$4:Y1644,MATCH(LARGE(FILTER(W$4:W1644,W$4:W1644&lt;=I963),1),W$4:W1644"&amp;"))+(I963-LARGE(FILTER(W$4:W1644,W$4:W1644&lt;=I963),1))*INDEX(T$4:T1644,MATCH(LARGE(FILTER(W$4:W1644,W$4:W1644&lt;=I963),1),W$4:W1644))-K963),1,
ROUNDDOWN(Y963-INDEX(K$4:K1644,MATCH(LARGE(FILTER(I$4:I1644,I$4:I1644&lt;=W963),1),I$4:I1644))-(W963-LARGE(FILTER(I$4:I"&amp;"1644,I$4:I1644&lt;=W963),1))*INDEX(F$4:F1644,MATCH(LARGE(FILTER(I$4:I1644,I$4:I1644&lt;=W963),1),I$4:I1644))))"),"")</f>
        <v/>
      </c>
      <c r="N963" s="60" t="str">
        <f t="shared" si="8"/>
        <v/>
      </c>
      <c r="O963" s="61" t="str">
        <f t="shared" si="9"/>
        <v/>
      </c>
      <c r="P963" s="56" t="str">
        <f t="shared" si="10"/>
        <v/>
      </c>
      <c r="Q963" s="105"/>
      <c r="R963" s="10"/>
      <c r="S963" s="59" t="str">
        <f t="array" ref="S963">IF(COUNTA(Q963:Q1644)=0,"",SUM((COUNTIF(Q$4:Q963,Upgrades!$B$3:$B$13)-COUNTIF(Q$4:Q963,"Sell_"&amp;Upgrades!$B$3:$B$13))*Upgrades!$D$3:$D$13))</f>
        <v/>
      </c>
      <c r="T963" s="66" t="str">
        <f>IFERROR(__xludf.DUMMYFUNCTION("IF(COUNTA(Q963:Q1644)=0,"""",IF(REGEXMATCH(INDEX(FILTER(Q$4:Q963,Q$4:Q963&lt;&gt;""""),ROWS(FILTER(Q$4:Q963,Q$4:Q963&lt;&gt;""""))),""^Sell_""),INDEX(FILTER(T$4:T962,Q$4:Q962&lt;&gt;""""),ROWS(FILTER(Q$4:Q962,Q$4:Q962&lt;&gt;""""))),$AD$5+S963))"),"")</f>
        <v/>
      </c>
      <c r="U963" s="10" t="str">
        <f>IFERROR(__xludf.DUMMYFUNCTION("IF(COUNTA(Q963:Q1644)=0,"""",IF(Q963="""",0,IF(REGEXMATCH(Q963,""^Sell_""),-ROUNDDOWN(ROUNDUP(INDEX(Upgrades!$C$3:$C$13,MATCH(SUBSTITUTE(Q963,""Sell_"",""""),Upgrades!$B$3:$B$13,0))*1.15^(COUNTIF(Q$4:Q962,SUBSTITUTE(Q963,""Sell_"",""""))-COUNTIF(Q$4:Q962,"&amp;"""Sell_""&amp;SUBSTITUTE(Q963,""Sell_"",""""))))/2),ROUNDUP(INDEX(Upgrades!$C$3:$C$13,MATCH(Q963,Upgrades!$B$3:$B$13,0))*1.15^(COUNTIF(Q$4:Q962,Q963)-COUNTIF(Q$4:Q962,""Sell_""&amp;Q963))))))"),"")</f>
        <v/>
      </c>
      <c r="V963" s="10" t="str">
        <f t="shared" si="11"/>
        <v/>
      </c>
      <c r="W963" s="68" t="str">
        <f t="shared" si="12"/>
        <v/>
      </c>
      <c r="X963" s="59" t="str">
        <f t="shared" si="13"/>
        <v/>
      </c>
      <c r="Y963" s="69" t="str">
        <f t="shared" si="14"/>
        <v/>
      </c>
      <c r="Z963" s="11"/>
      <c r="AG963" s="59"/>
    </row>
    <row r="964">
      <c r="A964" s="8"/>
      <c r="B964" s="56" t="str">
        <f t="shared" si="2"/>
        <v/>
      </c>
      <c r="C964" s="105"/>
      <c r="D964" s="10"/>
      <c r="E964" s="59" t="str">
        <f t="array" ref="E964">IF(COUNTA(C964:C1644)=0,"",SUM((COUNTIF(C$4:C964,Upgrades!$B$3:$B$13)-COUNTIF(C$4:C964,"Sell_"&amp;Upgrades!$B$3:$B$13))*Upgrades!$D$3:$D$13))</f>
        <v/>
      </c>
      <c r="F964" s="66" t="str">
        <f>IFERROR(__xludf.DUMMYFUNCTION("IF(COUNTA(C964:C1644)=0,"""",IF(REGEXMATCH(INDEX(FILTER(C$4:C964,C$4:C964&lt;&gt;""""),ROWS(FILTER(C$4:C964,C$4:C964&lt;&gt;""""))),""^Sell_""),INDEX(FILTER(F$4:F963,C$4:C963&lt;&gt;""""),ROWS(FILTER(C$4:C963,C$4:C963&lt;&gt;""""))),$AC$5+E964))"),"")</f>
        <v/>
      </c>
      <c r="G964" s="10" t="str">
        <f>IFERROR(__xludf.DUMMYFUNCTION("IF(COUNTA(C964:C1644)=0,"""",IF(C964="""",0,IF(REGEXMATCH(C964,""^Sell_""),-ROUNDDOWN(ROUNDUP(INDEX(Upgrades!$C$3:$C$13,MATCH(SUBSTITUTE(C964,""Sell_"",""""),Upgrades!$B$3:$B$13,0))*1.15^(COUNTIF(C$4:C963,SUBSTITUTE(C964,""Sell_"",""""))-COUNTIF(C$4:C963,"&amp;"""Sell_""&amp;SUBSTITUTE(C964,""Sell_"",""""))))/2),ROUNDUP(INDEX(Upgrades!$C$3:$C$13,MATCH(C964,Upgrades!$B$3:$B$13,0))*1.15^(COUNTIF(C$4:C963,C964)-COUNTIF(C$4:C963,""Sell_""&amp;C964))))))"),"")</f>
        <v/>
      </c>
      <c r="H964" s="10" t="str">
        <f t="shared" si="3"/>
        <v/>
      </c>
      <c r="I964" s="68" t="str">
        <f t="shared" si="4"/>
        <v/>
      </c>
      <c r="J964" s="59" t="str">
        <f t="shared" si="5"/>
        <v/>
      </c>
      <c r="K964" s="69" t="str">
        <f t="shared" si="6"/>
        <v/>
      </c>
      <c r="L964" s="60" t="str">
        <f t="shared" si="7"/>
        <v/>
      </c>
      <c r="M964" s="61" t="str">
        <f>IFERROR(__xludf.DUMMYFUNCTION("IFS(AND(COUNTA(C964:C1644)=0,COUNTA(Q964:Q1644)=0),"""",OR(AND(K964&gt;=1000000000,OR(Y964&gt;=1000000000,COUNTA(Q964:Q1644)=0)),OR(Y964&gt;=1000000000,AND(COUNTA(C964:C1644)=0,P$3=TRUE))),
ROUNDDOWN((AB$1-AC$1)*MAX(INDEX(T$4:T1644,MATCH(LARGE(FILTER(Y$4:Y1644,Y$4"&amp;":Y1644&lt;1000000000),1),Y$4:Y1644)),INDEX(F$4:F1644,MATCH(LARGE(FILTER(K$4:K1644,K$4:K1644&lt;1000000000),1),K$4:K1644)))),AND(K964&lt;1000000000,COUNTA(C964:C1644)&gt;0,P$3=FALSE),
ROUNDDOWN(INDEX(Y$4:Y1644,MATCH(LARGE(FILTER(W$4:W1644,W$4:W1644&lt;=I964),1),W$4:W1644"&amp;"))+(I964-LARGE(FILTER(W$4:W1644,W$4:W1644&lt;=I964),1))*INDEX(T$4:T1644,MATCH(LARGE(FILTER(W$4:W1644,W$4:W1644&lt;=I964),1),W$4:W1644))-K964),1,
ROUNDDOWN(Y964-INDEX(K$4:K1644,MATCH(LARGE(FILTER(I$4:I1644,I$4:I1644&lt;=W964),1),I$4:I1644))-(W964-LARGE(FILTER(I$4:I"&amp;"1644,I$4:I1644&lt;=W964),1))*INDEX(F$4:F1644,MATCH(LARGE(FILTER(I$4:I1644,I$4:I1644&lt;=W964),1),I$4:I1644))))"),"")</f>
        <v/>
      </c>
      <c r="N964" s="60" t="str">
        <f t="shared" si="8"/>
        <v/>
      </c>
      <c r="O964" s="61" t="str">
        <f t="shared" si="9"/>
        <v/>
      </c>
      <c r="P964" s="56" t="str">
        <f t="shared" si="10"/>
        <v/>
      </c>
      <c r="Q964" s="105"/>
      <c r="R964" s="10"/>
      <c r="S964" s="59" t="str">
        <f t="array" ref="S964">IF(COUNTA(Q964:Q1644)=0,"",SUM((COUNTIF(Q$4:Q964,Upgrades!$B$3:$B$13)-COUNTIF(Q$4:Q964,"Sell_"&amp;Upgrades!$B$3:$B$13))*Upgrades!$D$3:$D$13))</f>
        <v/>
      </c>
      <c r="T964" s="66" t="str">
        <f>IFERROR(__xludf.DUMMYFUNCTION("IF(COUNTA(Q964:Q1644)=0,"""",IF(REGEXMATCH(INDEX(FILTER(Q$4:Q964,Q$4:Q964&lt;&gt;""""),ROWS(FILTER(Q$4:Q964,Q$4:Q964&lt;&gt;""""))),""^Sell_""),INDEX(FILTER(T$4:T963,Q$4:Q963&lt;&gt;""""),ROWS(FILTER(Q$4:Q963,Q$4:Q963&lt;&gt;""""))),$AD$5+S964))"),"")</f>
        <v/>
      </c>
      <c r="U964" s="10" t="str">
        <f>IFERROR(__xludf.DUMMYFUNCTION("IF(COUNTA(Q964:Q1644)=0,"""",IF(Q964="""",0,IF(REGEXMATCH(Q964,""^Sell_""),-ROUNDDOWN(ROUNDUP(INDEX(Upgrades!$C$3:$C$13,MATCH(SUBSTITUTE(Q964,""Sell_"",""""),Upgrades!$B$3:$B$13,0))*1.15^(COUNTIF(Q$4:Q963,SUBSTITUTE(Q964,""Sell_"",""""))-COUNTIF(Q$4:Q963,"&amp;"""Sell_""&amp;SUBSTITUTE(Q964,""Sell_"",""""))))/2),ROUNDUP(INDEX(Upgrades!$C$3:$C$13,MATCH(Q964,Upgrades!$B$3:$B$13,0))*1.15^(COUNTIF(Q$4:Q963,Q964)-COUNTIF(Q$4:Q963,""Sell_""&amp;Q964))))))"),"")</f>
        <v/>
      </c>
      <c r="V964" s="10" t="str">
        <f t="shared" si="11"/>
        <v/>
      </c>
      <c r="W964" s="68" t="str">
        <f t="shared" si="12"/>
        <v/>
      </c>
      <c r="X964" s="59" t="str">
        <f t="shared" si="13"/>
        <v/>
      </c>
      <c r="Y964" s="69" t="str">
        <f t="shared" si="14"/>
        <v/>
      </c>
      <c r="Z964" s="11"/>
      <c r="AG964" s="59"/>
    </row>
    <row r="965">
      <c r="A965" s="8"/>
      <c r="B965" s="56" t="str">
        <f t="shared" si="2"/>
        <v/>
      </c>
      <c r="C965" s="105"/>
      <c r="D965" s="10"/>
      <c r="E965" s="59" t="str">
        <f t="array" ref="E965">IF(COUNTA(C965:C1644)=0,"",SUM((COUNTIF(C$4:C965,Upgrades!$B$3:$B$13)-COUNTIF(C$4:C965,"Sell_"&amp;Upgrades!$B$3:$B$13))*Upgrades!$D$3:$D$13))</f>
        <v/>
      </c>
      <c r="F965" s="66" t="str">
        <f>IFERROR(__xludf.DUMMYFUNCTION("IF(COUNTA(C965:C1644)=0,"""",IF(REGEXMATCH(INDEX(FILTER(C$4:C965,C$4:C965&lt;&gt;""""),ROWS(FILTER(C$4:C965,C$4:C965&lt;&gt;""""))),""^Sell_""),INDEX(FILTER(F$4:F964,C$4:C964&lt;&gt;""""),ROWS(FILTER(C$4:C964,C$4:C964&lt;&gt;""""))),$AC$5+E965))"),"")</f>
        <v/>
      </c>
      <c r="G965" s="10" t="str">
        <f>IFERROR(__xludf.DUMMYFUNCTION("IF(COUNTA(C965:C1644)=0,"""",IF(C965="""",0,IF(REGEXMATCH(C965,""^Sell_""),-ROUNDDOWN(ROUNDUP(INDEX(Upgrades!$C$3:$C$13,MATCH(SUBSTITUTE(C965,""Sell_"",""""),Upgrades!$B$3:$B$13,0))*1.15^(COUNTIF(C$4:C964,SUBSTITUTE(C965,""Sell_"",""""))-COUNTIF(C$4:C964,"&amp;"""Sell_""&amp;SUBSTITUTE(C965,""Sell_"",""""))))/2),ROUNDUP(INDEX(Upgrades!$C$3:$C$13,MATCH(C965,Upgrades!$B$3:$B$13,0))*1.15^(COUNTIF(C$4:C964,C965)-COUNTIF(C$4:C964,""Sell_""&amp;C965))))))"),"")</f>
        <v/>
      </c>
      <c r="H965" s="10" t="str">
        <f t="shared" si="3"/>
        <v/>
      </c>
      <c r="I965" s="68" t="str">
        <f t="shared" si="4"/>
        <v/>
      </c>
      <c r="J965" s="59" t="str">
        <f t="shared" si="5"/>
        <v/>
      </c>
      <c r="K965" s="69" t="str">
        <f t="shared" si="6"/>
        <v/>
      </c>
      <c r="L965" s="60" t="str">
        <f t="shared" si="7"/>
        <v/>
      </c>
      <c r="M965" s="61" t="str">
        <f>IFERROR(__xludf.DUMMYFUNCTION("IFS(AND(COUNTA(C965:C1644)=0,COUNTA(Q965:Q1644)=0),"""",OR(AND(K965&gt;=1000000000,OR(Y965&gt;=1000000000,COUNTA(Q965:Q1644)=0)),OR(Y965&gt;=1000000000,AND(COUNTA(C965:C1644)=0,P$3=TRUE))),
ROUNDDOWN((AB$1-AC$1)*MAX(INDEX(T$4:T1644,MATCH(LARGE(FILTER(Y$4:Y1644,Y$4"&amp;":Y1644&lt;1000000000),1),Y$4:Y1644)),INDEX(F$4:F1644,MATCH(LARGE(FILTER(K$4:K1644,K$4:K1644&lt;1000000000),1),K$4:K1644)))),AND(K965&lt;1000000000,COUNTA(C965:C1644)&gt;0,P$3=FALSE),
ROUNDDOWN(INDEX(Y$4:Y1644,MATCH(LARGE(FILTER(W$4:W1644,W$4:W1644&lt;=I965),1),W$4:W1644"&amp;"))+(I965-LARGE(FILTER(W$4:W1644,W$4:W1644&lt;=I965),1))*INDEX(T$4:T1644,MATCH(LARGE(FILTER(W$4:W1644,W$4:W1644&lt;=I965),1),W$4:W1644))-K965),1,
ROUNDDOWN(Y965-INDEX(K$4:K1644,MATCH(LARGE(FILTER(I$4:I1644,I$4:I1644&lt;=W965),1),I$4:I1644))-(W965-LARGE(FILTER(I$4:I"&amp;"1644,I$4:I1644&lt;=W965),1))*INDEX(F$4:F1644,MATCH(LARGE(FILTER(I$4:I1644,I$4:I1644&lt;=W965),1),I$4:I1644))))"),"")</f>
        <v/>
      </c>
      <c r="N965" s="60" t="str">
        <f t="shared" si="8"/>
        <v/>
      </c>
      <c r="O965" s="61" t="str">
        <f t="shared" si="9"/>
        <v/>
      </c>
      <c r="P965" s="56" t="str">
        <f t="shared" si="10"/>
        <v/>
      </c>
      <c r="Q965" s="105"/>
      <c r="R965" s="10"/>
      <c r="S965" s="59" t="str">
        <f t="array" ref="S965">IF(COUNTA(Q965:Q1644)=0,"",SUM((COUNTIF(Q$4:Q965,Upgrades!$B$3:$B$13)-COUNTIF(Q$4:Q965,"Sell_"&amp;Upgrades!$B$3:$B$13))*Upgrades!$D$3:$D$13))</f>
        <v/>
      </c>
      <c r="T965" s="66" t="str">
        <f>IFERROR(__xludf.DUMMYFUNCTION("IF(COUNTA(Q965:Q1644)=0,"""",IF(REGEXMATCH(INDEX(FILTER(Q$4:Q965,Q$4:Q965&lt;&gt;""""),ROWS(FILTER(Q$4:Q965,Q$4:Q965&lt;&gt;""""))),""^Sell_""),INDEX(FILTER(T$4:T964,Q$4:Q964&lt;&gt;""""),ROWS(FILTER(Q$4:Q964,Q$4:Q964&lt;&gt;""""))),$AD$5+S965))"),"")</f>
        <v/>
      </c>
      <c r="U965" s="10" t="str">
        <f>IFERROR(__xludf.DUMMYFUNCTION("IF(COUNTA(Q965:Q1644)=0,"""",IF(Q965="""",0,IF(REGEXMATCH(Q965,""^Sell_""),-ROUNDDOWN(ROUNDUP(INDEX(Upgrades!$C$3:$C$13,MATCH(SUBSTITUTE(Q965,""Sell_"",""""),Upgrades!$B$3:$B$13,0))*1.15^(COUNTIF(Q$4:Q964,SUBSTITUTE(Q965,""Sell_"",""""))-COUNTIF(Q$4:Q964,"&amp;"""Sell_""&amp;SUBSTITUTE(Q965,""Sell_"",""""))))/2),ROUNDUP(INDEX(Upgrades!$C$3:$C$13,MATCH(Q965,Upgrades!$B$3:$B$13,0))*1.15^(COUNTIF(Q$4:Q964,Q965)-COUNTIF(Q$4:Q964,""Sell_""&amp;Q965))))))"),"")</f>
        <v/>
      </c>
      <c r="V965" s="10" t="str">
        <f t="shared" si="11"/>
        <v/>
      </c>
      <c r="W965" s="68" t="str">
        <f t="shared" si="12"/>
        <v/>
      </c>
      <c r="X965" s="59" t="str">
        <f t="shared" si="13"/>
        <v/>
      </c>
      <c r="Y965" s="69" t="str">
        <f t="shared" si="14"/>
        <v/>
      </c>
      <c r="Z965" s="11"/>
      <c r="AG965" s="59"/>
    </row>
    <row r="966">
      <c r="A966" s="8"/>
      <c r="B966" s="56" t="str">
        <f t="shared" si="2"/>
        <v/>
      </c>
      <c r="C966" s="105"/>
      <c r="D966" s="10"/>
      <c r="E966" s="59" t="str">
        <f t="array" ref="E966">IF(COUNTA(C966:C1644)=0,"",SUM((COUNTIF(C$4:C966,Upgrades!$B$3:$B$13)-COUNTIF(C$4:C966,"Sell_"&amp;Upgrades!$B$3:$B$13))*Upgrades!$D$3:$D$13))</f>
        <v/>
      </c>
      <c r="F966" s="66" t="str">
        <f>IFERROR(__xludf.DUMMYFUNCTION("IF(COUNTA(C966:C1644)=0,"""",IF(REGEXMATCH(INDEX(FILTER(C$4:C966,C$4:C966&lt;&gt;""""),ROWS(FILTER(C$4:C966,C$4:C966&lt;&gt;""""))),""^Sell_""),INDEX(FILTER(F$4:F965,C$4:C965&lt;&gt;""""),ROWS(FILTER(C$4:C965,C$4:C965&lt;&gt;""""))),$AC$5+E966))"),"")</f>
        <v/>
      </c>
      <c r="G966" s="10" t="str">
        <f>IFERROR(__xludf.DUMMYFUNCTION("IF(COUNTA(C966:C1644)=0,"""",IF(C966="""",0,IF(REGEXMATCH(C966,""^Sell_""),-ROUNDDOWN(ROUNDUP(INDEX(Upgrades!$C$3:$C$13,MATCH(SUBSTITUTE(C966,""Sell_"",""""),Upgrades!$B$3:$B$13,0))*1.15^(COUNTIF(C$4:C965,SUBSTITUTE(C966,""Sell_"",""""))-COUNTIF(C$4:C965,"&amp;"""Sell_""&amp;SUBSTITUTE(C966,""Sell_"",""""))))/2),ROUNDUP(INDEX(Upgrades!$C$3:$C$13,MATCH(C966,Upgrades!$B$3:$B$13,0))*1.15^(COUNTIF(C$4:C965,C966)-COUNTIF(C$4:C965,""Sell_""&amp;C966))))))"),"")</f>
        <v/>
      </c>
      <c r="H966" s="10" t="str">
        <f t="shared" si="3"/>
        <v/>
      </c>
      <c r="I966" s="68" t="str">
        <f t="shared" si="4"/>
        <v/>
      </c>
      <c r="J966" s="59" t="str">
        <f t="shared" si="5"/>
        <v/>
      </c>
      <c r="K966" s="69" t="str">
        <f t="shared" si="6"/>
        <v/>
      </c>
      <c r="L966" s="60" t="str">
        <f t="shared" si="7"/>
        <v/>
      </c>
      <c r="M966" s="61" t="str">
        <f>IFERROR(__xludf.DUMMYFUNCTION("IFS(AND(COUNTA(C966:C1644)=0,COUNTA(Q966:Q1644)=0),"""",OR(AND(K966&gt;=1000000000,OR(Y966&gt;=1000000000,COUNTA(Q966:Q1644)=0)),OR(Y966&gt;=1000000000,AND(COUNTA(C966:C1644)=0,P$3=TRUE))),
ROUNDDOWN((AB$1-AC$1)*MAX(INDEX(T$4:T1644,MATCH(LARGE(FILTER(Y$4:Y1644,Y$4"&amp;":Y1644&lt;1000000000),1),Y$4:Y1644)),INDEX(F$4:F1644,MATCH(LARGE(FILTER(K$4:K1644,K$4:K1644&lt;1000000000),1),K$4:K1644)))),AND(K966&lt;1000000000,COUNTA(C966:C1644)&gt;0,P$3=FALSE),
ROUNDDOWN(INDEX(Y$4:Y1644,MATCH(LARGE(FILTER(W$4:W1644,W$4:W1644&lt;=I966),1),W$4:W1644"&amp;"))+(I966-LARGE(FILTER(W$4:W1644,W$4:W1644&lt;=I966),1))*INDEX(T$4:T1644,MATCH(LARGE(FILTER(W$4:W1644,W$4:W1644&lt;=I966),1),W$4:W1644))-K966),1,
ROUNDDOWN(Y966-INDEX(K$4:K1644,MATCH(LARGE(FILTER(I$4:I1644,I$4:I1644&lt;=W966),1),I$4:I1644))-(W966-LARGE(FILTER(I$4:I"&amp;"1644,I$4:I1644&lt;=W966),1))*INDEX(F$4:F1644,MATCH(LARGE(FILTER(I$4:I1644,I$4:I1644&lt;=W966),1),I$4:I1644))))"),"")</f>
        <v/>
      </c>
      <c r="N966" s="60" t="str">
        <f t="shared" si="8"/>
        <v/>
      </c>
      <c r="O966" s="61" t="str">
        <f t="shared" si="9"/>
        <v/>
      </c>
      <c r="P966" s="56" t="str">
        <f t="shared" si="10"/>
        <v/>
      </c>
      <c r="Q966" s="105"/>
      <c r="R966" s="10"/>
      <c r="S966" s="59" t="str">
        <f t="array" ref="S966">IF(COUNTA(Q966:Q1644)=0,"",SUM((COUNTIF(Q$4:Q966,Upgrades!$B$3:$B$13)-COUNTIF(Q$4:Q966,"Sell_"&amp;Upgrades!$B$3:$B$13))*Upgrades!$D$3:$D$13))</f>
        <v/>
      </c>
      <c r="T966" s="66" t="str">
        <f>IFERROR(__xludf.DUMMYFUNCTION("IF(COUNTA(Q966:Q1644)=0,"""",IF(REGEXMATCH(INDEX(FILTER(Q$4:Q966,Q$4:Q966&lt;&gt;""""),ROWS(FILTER(Q$4:Q966,Q$4:Q966&lt;&gt;""""))),""^Sell_""),INDEX(FILTER(T$4:T965,Q$4:Q965&lt;&gt;""""),ROWS(FILTER(Q$4:Q965,Q$4:Q965&lt;&gt;""""))),$AD$5+S966))"),"")</f>
        <v/>
      </c>
      <c r="U966" s="10" t="str">
        <f>IFERROR(__xludf.DUMMYFUNCTION("IF(COUNTA(Q966:Q1644)=0,"""",IF(Q966="""",0,IF(REGEXMATCH(Q966,""^Sell_""),-ROUNDDOWN(ROUNDUP(INDEX(Upgrades!$C$3:$C$13,MATCH(SUBSTITUTE(Q966,""Sell_"",""""),Upgrades!$B$3:$B$13,0))*1.15^(COUNTIF(Q$4:Q965,SUBSTITUTE(Q966,""Sell_"",""""))-COUNTIF(Q$4:Q965,"&amp;"""Sell_""&amp;SUBSTITUTE(Q966,""Sell_"",""""))))/2),ROUNDUP(INDEX(Upgrades!$C$3:$C$13,MATCH(Q966,Upgrades!$B$3:$B$13,0))*1.15^(COUNTIF(Q$4:Q965,Q966)-COUNTIF(Q$4:Q965,""Sell_""&amp;Q966))))))"),"")</f>
        <v/>
      </c>
      <c r="V966" s="10" t="str">
        <f t="shared" si="11"/>
        <v/>
      </c>
      <c r="W966" s="68" t="str">
        <f t="shared" si="12"/>
        <v/>
      </c>
      <c r="X966" s="59" t="str">
        <f t="shared" si="13"/>
        <v/>
      </c>
      <c r="Y966" s="69" t="str">
        <f t="shared" si="14"/>
        <v/>
      </c>
      <c r="Z966" s="11"/>
      <c r="AG966" s="59"/>
    </row>
    <row r="967">
      <c r="A967" s="8"/>
      <c r="B967" s="56" t="str">
        <f t="shared" si="2"/>
        <v/>
      </c>
      <c r="C967" s="105"/>
      <c r="D967" s="10"/>
      <c r="E967" s="59" t="str">
        <f t="array" ref="E967">IF(COUNTA(C967:C1644)=0,"",SUM((COUNTIF(C$4:C967,Upgrades!$B$3:$B$13)-COUNTIF(C$4:C967,"Sell_"&amp;Upgrades!$B$3:$B$13))*Upgrades!$D$3:$D$13))</f>
        <v/>
      </c>
      <c r="F967" s="66" t="str">
        <f>IFERROR(__xludf.DUMMYFUNCTION("IF(COUNTA(C967:C1644)=0,"""",IF(REGEXMATCH(INDEX(FILTER(C$4:C967,C$4:C967&lt;&gt;""""),ROWS(FILTER(C$4:C967,C$4:C967&lt;&gt;""""))),""^Sell_""),INDEX(FILTER(F$4:F966,C$4:C966&lt;&gt;""""),ROWS(FILTER(C$4:C966,C$4:C966&lt;&gt;""""))),$AC$5+E967))"),"")</f>
        <v/>
      </c>
      <c r="G967" s="10" t="str">
        <f>IFERROR(__xludf.DUMMYFUNCTION("IF(COUNTA(C967:C1644)=0,"""",IF(C967="""",0,IF(REGEXMATCH(C967,""^Sell_""),-ROUNDDOWN(ROUNDUP(INDEX(Upgrades!$C$3:$C$13,MATCH(SUBSTITUTE(C967,""Sell_"",""""),Upgrades!$B$3:$B$13,0))*1.15^(COUNTIF(C$4:C966,SUBSTITUTE(C967,""Sell_"",""""))-COUNTIF(C$4:C966,"&amp;"""Sell_""&amp;SUBSTITUTE(C967,""Sell_"",""""))))/2),ROUNDUP(INDEX(Upgrades!$C$3:$C$13,MATCH(C967,Upgrades!$B$3:$B$13,0))*1.15^(COUNTIF(C$4:C966,C967)-COUNTIF(C$4:C966,""Sell_""&amp;C967))))))"),"")</f>
        <v/>
      </c>
      <c r="H967" s="10" t="str">
        <f t="shared" si="3"/>
        <v/>
      </c>
      <c r="I967" s="68" t="str">
        <f t="shared" si="4"/>
        <v/>
      </c>
      <c r="J967" s="59" t="str">
        <f t="shared" si="5"/>
        <v/>
      </c>
      <c r="K967" s="69" t="str">
        <f t="shared" si="6"/>
        <v/>
      </c>
      <c r="L967" s="60" t="str">
        <f t="shared" si="7"/>
        <v/>
      </c>
      <c r="M967" s="61" t="str">
        <f>IFERROR(__xludf.DUMMYFUNCTION("IFS(AND(COUNTA(C967:C1644)=0,COUNTA(Q967:Q1644)=0),"""",OR(AND(K967&gt;=1000000000,OR(Y967&gt;=1000000000,COUNTA(Q967:Q1644)=0)),OR(Y967&gt;=1000000000,AND(COUNTA(C967:C1644)=0,P$3=TRUE))),
ROUNDDOWN((AB$1-AC$1)*MAX(INDEX(T$4:T1644,MATCH(LARGE(FILTER(Y$4:Y1644,Y$4"&amp;":Y1644&lt;1000000000),1),Y$4:Y1644)),INDEX(F$4:F1644,MATCH(LARGE(FILTER(K$4:K1644,K$4:K1644&lt;1000000000),1),K$4:K1644)))),AND(K967&lt;1000000000,COUNTA(C967:C1644)&gt;0,P$3=FALSE),
ROUNDDOWN(INDEX(Y$4:Y1644,MATCH(LARGE(FILTER(W$4:W1644,W$4:W1644&lt;=I967),1),W$4:W1644"&amp;"))+(I967-LARGE(FILTER(W$4:W1644,W$4:W1644&lt;=I967),1))*INDEX(T$4:T1644,MATCH(LARGE(FILTER(W$4:W1644,W$4:W1644&lt;=I967),1),W$4:W1644))-K967),1,
ROUNDDOWN(Y967-INDEX(K$4:K1644,MATCH(LARGE(FILTER(I$4:I1644,I$4:I1644&lt;=W967),1),I$4:I1644))-(W967-LARGE(FILTER(I$4:I"&amp;"1644,I$4:I1644&lt;=W967),1))*INDEX(F$4:F1644,MATCH(LARGE(FILTER(I$4:I1644,I$4:I1644&lt;=W967),1),I$4:I1644))))"),"")</f>
        <v/>
      </c>
      <c r="N967" s="60" t="str">
        <f t="shared" si="8"/>
        <v/>
      </c>
      <c r="O967" s="61" t="str">
        <f t="shared" si="9"/>
        <v/>
      </c>
      <c r="P967" s="56" t="str">
        <f t="shared" si="10"/>
        <v/>
      </c>
      <c r="Q967" s="105"/>
      <c r="R967" s="10"/>
      <c r="S967" s="59" t="str">
        <f t="array" ref="S967">IF(COUNTA(Q967:Q1644)=0,"",SUM((COUNTIF(Q$4:Q967,Upgrades!$B$3:$B$13)-COUNTIF(Q$4:Q967,"Sell_"&amp;Upgrades!$B$3:$B$13))*Upgrades!$D$3:$D$13))</f>
        <v/>
      </c>
      <c r="T967" s="66" t="str">
        <f>IFERROR(__xludf.DUMMYFUNCTION("IF(COUNTA(Q967:Q1644)=0,"""",IF(REGEXMATCH(INDEX(FILTER(Q$4:Q967,Q$4:Q967&lt;&gt;""""),ROWS(FILTER(Q$4:Q967,Q$4:Q967&lt;&gt;""""))),""^Sell_""),INDEX(FILTER(T$4:T966,Q$4:Q966&lt;&gt;""""),ROWS(FILTER(Q$4:Q966,Q$4:Q966&lt;&gt;""""))),$AD$5+S967))"),"")</f>
        <v/>
      </c>
      <c r="U967" s="10" t="str">
        <f>IFERROR(__xludf.DUMMYFUNCTION("IF(COUNTA(Q967:Q1644)=0,"""",IF(Q967="""",0,IF(REGEXMATCH(Q967,""^Sell_""),-ROUNDDOWN(ROUNDUP(INDEX(Upgrades!$C$3:$C$13,MATCH(SUBSTITUTE(Q967,""Sell_"",""""),Upgrades!$B$3:$B$13,0))*1.15^(COUNTIF(Q$4:Q966,SUBSTITUTE(Q967,""Sell_"",""""))-COUNTIF(Q$4:Q966,"&amp;"""Sell_""&amp;SUBSTITUTE(Q967,""Sell_"",""""))))/2),ROUNDUP(INDEX(Upgrades!$C$3:$C$13,MATCH(Q967,Upgrades!$B$3:$B$13,0))*1.15^(COUNTIF(Q$4:Q966,Q967)-COUNTIF(Q$4:Q966,""Sell_""&amp;Q967))))))"),"")</f>
        <v/>
      </c>
      <c r="V967" s="10" t="str">
        <f t="shared" si="11"/>
        <v/>
      </c>
      <c r="W967" s="68" t="str">
        <f t="shared" si="12"/>
        <v/>
      </c>
      <c r="X967" s="59" t="str">
        <f t="shared" si="13"/>
        <v/>
      </c>
      <c r="Y967" s="69" t="str">
        <f t="shared" si="14"/>
        <v/>
      </c>
      <c r="Z967" s="11"/>
      <c r="AG967" s="59"/>
    </row>
    <row r="968">
      <c r="A968" s="8"/>
      <c r="B968" s="56" t="str">
        <f t="shared" si="2"/>
        <v/>
      </c>
      <c r="C968" s="105"/>
      <c r="D968" s="10"/>
      <c r="E968" s="59" t="str">
        <f t="array" ref="E968">IF(COUNTA(C968:C1644)=0,"",SUM((COUNTIF(C$4:C968,Upgrades!$B$3:$B$13)-COUNTIF(C$4:C968,"Sell_"&amp;Upgrades!$B$3:$B$13))*Upgrades!$D$3:$D$13))</f>
        <v/>
      </c>
      <c r="F968" s="66" t="str">
        <f>IFERROR(__xludf.DUMMYFUNCTION("IF(COUNTA(C968:C1644)=0,"""",IF(REGEXMATCH(INDEX(FILTER(C$4:C968,C$4:C968&lt;&gt;""""),ROWS(FILTER(C$4:C968,C$4:C968&lt;&gt;""""))),""^Sell_""),INDEX(FILTER(F$4:F967,C$4:C967&lt;&gt;""""),ROWS(FILTER(C$4:C967,C$4:C967&lt;&gt;""""))),$AC$5+E968))"),"")</f>
        <v/>
      </c>
      <c r="G968" s="10" t="str">
        <f>IFERROR(__xludf.DUMMYFUNCTION("IF(COUNTA(C968:C1644)=0,"""",IF(C968="""",0,IF(REGEXMATCH(C968,""^Sell_""),-ROUNDDOWN(ROUNDUP(INDEX(Upgrades!$C$3:$C$13,MATCH(SUBSTITUTE(C968,""Sell_"",""""),Upgrades!$B$3:$B$13,0))*1.15^(COUNTIF(C$4:C967,SUBSTITUTE(C968,""Sell_"",""""))-COUNTIF(C$4:C967,"&amp;"""Sell_""&amp;SUBSTITUTE(C968,""Sell_"",""""))))/2),ROUNDUP(INDEX(Upgrades!$C$3:$C$13,MATCH(C968,Upgrades!$B$3:$B$13,0))*1.15^(COUNTIF(C$4:C967,C968)-COUNTIF(C$4:C967,""Sell_""&amp;C968))))))"),"")</f>
        <v/>
      </c>
      <c r="H968" s="10" t="str">
        <f t="shared" si="3"/>
        <v/>
      </c>
      <c r="I968" s="68" t="str">
        <f t="shared" si="4"/>
        <v/>
      </c>
      <c r="J968" s="59" t="str">
        <f t="shared" si="5"/>
        <v/>
      </c>
      <c r="K968" s="69" t="str">
        <f t="shared" si="6"/>
        <v/>
      </c>
      <c r="L968" s="60" t="str">
        <f t="shared" si="7"/>
        <v/>
      </c>
      <c r="M968" s="61" t="str">
        <f>IFERROR(__xludf.DUMMYFUNCTION("IFS(AND(COUNTA(C968:C1644)=0,COUNTA(Q968:Q1644)=0),"""",OR(AND(K968&gt;=1000000000,OR(Y968&gt;=1000000000,COUNTA(Q968:Q1644)=0)),OR(Y968&gt;=1000000000,AND(COUNTA(C968:C1644)=0,P$3=TRUE))),
ROUNDDOWN((AB$1-AC$1)*MAX(INDEX(T$4:T1644,MATCH(LARGE(FILTER(Y$4:Y1644,Y$4"&amp;":Y1644&lt;1000000000),1),Y$4:Y1644)),INDEX(F$4:F1644,MATCH(LARGE(FILTER(K$4:K1644,K$4:K1644&lt;1000000000),1),K$4:K1644)))),AND(K968&lt;1000000000,COUNTA(C968:C1644)&gt;0,P$3=FALSE),
ROUNDDOWN(INDEX(Y$4:Y1644,MATCH(LARGE(FILTER(W$4:W1644,W$4:W1644&lt;=I968),1),W$4:W1644"&amp;"))+(I968-LARGE(FILTER(W$4:W1644,W$4:W1644&lt;=I968),1))*INDEX(T$4:T1644,MATCH(LARGE(FILTER(W$4:W1644,W$4:W1644&lt;=I968),1),W$4:W1644))-K968),1,
ROUNDDOWN(Y968-INDEX(K$4:K1644,MATCH(LARGE(FILTER(I$4:I1644,I$4:I1644&lt;=W968),1),I$4:I1644))-(W968-LARGE(FILTER(I$4:I"&amp;"1644,I$4:I1644&lt;=W968),1))*INDEX(F$4:F1644,MATCH(LARGE(FILTER(I$4:I1644,I$4:I1644&lt;=W968),1),I$4:I1644))))"),"")</f>
        <v/>
      </c>
      <c r="N968" s="60" t="str">
        <f t="shared" si="8"/>
        <v/>
      </c>
      <c r="O968" s="61" t="str">
        <f t="shared" si="9"/>
        <v/>
      </c>
      <c r="P968" s="56" t="str">
        <f t="shared" si="10"/>
        <v/>
      </c>
      <c r="Q968" s="105"/>
      <c r="R968" s="10"/>
      <c r="S968" s="59" t="str">
        <f t="array" ref="S968">IF(COUNTA(Q968:Q1644)=0,"",SUM((COUNTIF(Q$4:Q968,Upgrades!$B$3:$B$13)-COUNTIF(Q$4:Q968,"Sell_"&amp;Upgrades!$B$3:$B$13))*Upgrades!$D$3:$D$13))</f>
        <v/>
      </c>
      <c r="T968" s="66" t="str">
        <f>IFERROR(__xludf.DUMMYFUNCTION("IF(COUNTA(Q968:Q1644)=0,"""",IF(REGEXMATCH(INDEX(FILTER(Q$4:Q968,Q$4:Q968&lt;&gt;""""),ROWS(FILTER(Q$4:Q968,Q$4:Q968&lt;&gt;""""))),""^Sell_""),INDEX(FILTER(T$4:T967,Q$4:Q967&lt;&gt;""""),ROWS(FILTER(Q$4:Q967,Q$4:Q967&lt;&gt;""""))),$AD$5+S968))"),"")</f>
        <v/>
      </c>
      <c r="U968" s="10" t="str">
        <f>IFERROR(__xludf.DUMMYFUNCTION("IF(COUNTA(Q968:Q1644)=0,"""",IF(Q968="""",0,IF(REGEXMATCH(Q968,""^Sell_""),-ROUNDDOWN(ROUNDUP(INDEX(Upgrades!$C$3:$C$13,MATCH(SUBSTITUTE(Q968,""Sell_"",""""),Upgrades!$B$3:$B$13,0))*1.15^(COUNTIF(Q$4:Q967,SUBSTITUTE(Q968,""Sell_"",""""))-COUNTIF(Q$4:Q967,"&amp;"""Sell_""&amp;SUBSTITUTE(Q968,""Sell_"",""""))))/2),ROUNDUP(INDEX(Upgrades!$C$3:$C$13,MATCH(Q968,Upgrades!$B$3:$B$13,0))*1.15^(COUNTIF(Q$4:Q967,Q968)-COUNTIF(Q$4:Q967,""Sell_""&amp;Q968))))))"),"")</f>
        <v/>
      </c>
      <c r="V968" s="10" t="str">
        <f t="shared" si="11"/>
        <v/>
      </c>
      <c r="W968" s="68" t="str">
        <f t="shared" si="12"/>
        <v/>
      </c>
      <c r="X968" s="59" t="str">
        <f t="shared" si="13"/>
        <v/>
      </c>
      <c r="Y968" s="69" t="str">
        <f t="shared" si="14"/>
        <v/>
      </c>
      <c r="Z968" s="11"/>
      <c r="AG968" s="59"/>
    </row>
    <row r="969">
      <c r="A969" s="8"/>
      <c r="B969" s="56" t="str">
        <f t="shared" si="2"/>
        <v/>
      </c>
      <c r="C969" s="105"/>
      <c r="D969" s="10"/>
      <c r="E969" s="59" t="str">
        <f t="array" ref="E969">IF(COUNTA(C969:C1644)=0,"",SUM((COUNTIF(C$4:C969,Upgrades!$B$3:$B$13)-COUNTIF(C$4:C969,"Sell_"&amp;Upgrades!$B$3:$B$13))*Upgrades!$D$3:$D$13))</f>
        <v/>
      </c>
      <c r="F969" s="66" t="str">
        <f>IFERROR(__xludf.DUMMYFUNCTION("IF(COUNTA(C969:C1644)=0,"""",IF(REGEXMATCH(INDEX(FILTER(C$4:C969,C$4:C969&lt;&gt;""""),ROWS(FILTER(C$4:C969,C$4:C969&lt;&gt;""""))),""^Sell_""),INDEX(FILTER(F$4:F968,C$4:C968&lt;&gt;""""),ROWS(FILTER(C$4:C968,C$4:C968&lt;&gt;""""))),$AC$5+E969))"),"")</f>
        <v/>
      </c>
      <c r="G969" s="10" t="str">
        <f>IFERROR(__xludf.DUMMYFUNCTION("IF(COUNTA(C969:C1644)=0,"""",IF(C969="""",0,IF(REGEXMATCH(C969,""^Sell_""),-ROUNDDOWN(ROUNDUP(INDEX(Upgrades!$C$3:$C$13,MATCH(SUBSTITUTE(C969,""Sell_"",""""),Upgrades!$B$3:$B$13,0))*1.15^(COUNTIF(C$4:C968,SUBSTITUTE(C969,""Sell_"",""""))-COUNTIF(C$4:C968,"&amp;"""Sell_""&amp;SUBSTITUTE(C969,""Sell_"",""""))))/2),ROUNDUP(INDEX(Upgrades!$C$3:$C$13,MATCH(C969,Upgrades!$B$3:$B$13,0))*1.15^(COUNTIF(C$4:C968,C969)-COUNTIF(C$4:C968,""Sell_""&amp;C969))))))"),"")</f>
        <v/>
      </c>
      <c r="H969" s="10" t="str">
        <f t="shared" si="3"/>
        <v/>
      </c>
      <c r="I969" s="68" t="str">
        <f t="shared" si="4"/>
        <v/>
      </c>
      <c r="J969" s="59" t="str">
        <f t="shared" si="5"/>
        <v/>
      </c>
      <c r="K969" s="69" t="str">
        <f t="shared" si="6"/>
        <v/>
      </c>
      <c r="L969" s="60" t="str">
        <f t="shared" si="7"/>
        <v/>
      </c>
      <c r="M969" s="61" t="str">
        <f>IFERROR(__xludf.DUMMYFUNCTION("IFS(AND(COUNTA(C969:C1644)=0,COUNTA(Q969:Q1644)=0),"""",OR(AND(K969&gt;=1000000000,OR(Y969&gt;=1000000000,COUNTA(Q969:Q1644)=0)),OR(Y969&gt;=1000000000,AND(COUNTA(C969:C1644)=0,P$3=TRUE))),
ROUNDDOWN((AB$1-AC$1)*MAX(INDEX(T$4:T1644,MATCH(LARGE(FILTER(Y$4:Y1644,Y$4"&amp;":Y1644&lt;1000000000),1),Y$4:Y1644)),INDEX(F$4:F1644,MATCH(LARGE(FILTER(K$4:K1644,K$4:K1644&lt;1000000000),1),K$4:K1644)))),AND(K969&lt;1000000000,COUNTA(C969:C1644)&gt;0,P$3=FALSE),
ROUNDDOWN(INDEX(Y$4:Y1644,MATCH(LARGE(FILTER(W$4:W1644,W$4:W1644&lt;=I969),1),W$4:W1644"&amp;"))+(I969-LARGE(FILTER(W$4:W1644,W$4:W1644&lt;=I969),1))*INDEX(T$4:T1644,MATCH(LARGE(FILTER(W$4:W1644,W$4:W1644&lt;=I969),1),W$4:W1644))-K969),1,
ROUNDDOWN(Y969-INDEX(K$4:K1644,MATCH(LARGE(FILTER(I$4:I1644,I$4:I1644&lt;=W969),1),I$4:I1644))-(W969-LARGE(FILTER(I$4:I"&amp;"1644,I$4:I1644&lt;=W969),1))*INDEX(F$4:F1644,MATCH(LARGE(FILTER(I$4:I1644,I$4:I1644&lt;=W969),1),I$4:I1644))))"),"")</f>
        <v/>
      </c>
      <c r="N969" s="60" t="str">
        <f t="shared" si="8"/>
        <v/>
      </c>
      <c r="O969" s="61" t="str">
        <f t="shared" si="9"/>
        <v/>
      </c>
      <c r="P969" s="56" t="str">
        <f t="shared" si="10"/>
        <v/>
      </c>
      <c r="Q969" s="105"/>
      <c r="R969" s="10"/>
      <c r="S969" s="59" t="str">
        <f t="array" ref="S969">IF(COUNTA(Q969:Q1644)=0,"",SUM((COUNTIF(Q$4:Q969,Upgrades!$B$3:$B$13)-COUNTIF(Q$4:Q969,"Sell_"&amp;Upgrades!$B$3:$B$13))*Upgrades!$D$3:$D$13))</f>
        <v/>
      </c>
      <c r="T969" s="66" t="str">
        <f>IFERROR(__xludf.DUMMYFUNCTION("IF(COUNTA(Q969:Q1644)=0,"""",IF(REGEXMATCH(INDEX(FILTER(Q$4:Q969,Q$4:Q969&lt;&gt;""""),ROWS(FILTER(Q$4:Q969,Q$4:Q969&lt;&gt;""""))),""^Sell_""),INDEX(FILTER(T$4:T968,Q$4:Q968&lt;&gt;""""),ROWS(FILTER(Q$4:Q968,Q$4:Q968&lt;&gt;""""))),$AD$5+S969))"),"")</f>
        <v/>
      </c>
      <c r="U969" s="10" t="str">
        <f>IFERROR(__xludf.DUMMYFUNCTION("IF(COUNTA(Q969:Q1644)=0,"""",IF(Q969="""",0,IF(REGEXMATCH(Q969,""^Sell_""),-ROUNDDOWN(ROUNDUP(INDEX(Upgrades!$C$3:$C$13,MATCH(SUBSTITUTE(Q969,""Sell_"",""""),Upgrades!$B$3:$B$13,0))*1.15^(COUNTIF(Q$4:Q968,SUBSTITUTE(Q969,""Sell_"",""""))-COUNTIF(Q$4:Q968,"&amp;"""Sell_""&amp;SUBSTITUTE(Q969,""Sell_"",""""))))/2),ROUNDUP(INDEX(Upgrades!$C$3:$C$13,MATCH(Q969,Upgrades!$B$3:$B$13,0))*1.15^(COUNTIF(Q$4:Q968,Q969)-COUNTIF(Q$4:Q968,""Sell_""&amp;Q969))))))"),"")</f>
        <v/>
      </c>
      <c r="V969" s="10" t="str">
        <f t="shared" si="11"/>
        <v/>
      </c>
      <c r="W969" s="68" t="str">
        <f t="shared" si="12"/>
        <v/>
      </c>
      <c r="X969" s="59" t="str">
        <f t="shared" si="13"/>
        <v/>
      </c>
      <c r="Y969" s="69" t="str">
        <f t="shared" si="14"/>
        <v/>
      </c>
      <c r="Z969" s="11"/>
      <c r="AG969" s="59"/>
    </row>
    <row r="970">
      <c r="A970" s="8"/>
      <c r="B970" s="56" t="str">
        <f t="shared" si="2"/>
        <v/>
      </c>
      <c r="C970" s="105"/>
      <c r="D970" s="10"/>
      <c r="E970" s="59" t="str">
        <f t="array" ref="E970">IF(COUNTA(C970:C1644)=0,"",SUM((COUNTIF(C$4:C970,Upgrades!$B$3:$B$13)-COUNTIF(C$4:C970,"Sell_"&amp;Upgrades!$B$3:$B$13))*Upgrades!$D$3:$D$13))</f>
        <v/>
      </c>
      <c r="F970" s="66" t="str">
        <f>IFERROR(__xludf.DUMMYFUNCTION("IF(COUNTA(C970:C1644)=0,"""",IF(REGEXMATCH(INDEX(FILTER(C$4:C970,C$4:C970&lt;&gt;""""),ROWS(FILTER(C$4:C970,C$4:C970&lt;&gt;""""))),""^Sell_""),INDEX(FILTER(F$4:F969,C$4:C969&lt;&gt;""""),ROWS(FILTER(C$4:C969,C$4:C969&lt;&gt;""""))),$AC$5+E970))"),"")</f>
        <v/>
      </c>
      <c r="G970" s="10" t="str">
        <f>IFERROR(__xludf.DUMMYFUNCTION("IF(COUNTA(C970:C1644)=0,"""",IF(C970="""",0,IF(REGEXMATCH(C970,""^Sell_""),-ROUNDDOWN(ROUNDUP(INDEX(Upgrades!$C$3:$C$13,MATCH(SUBSTITUTE(C970,""Sell_"",""""),Upgrades!$B$3:$B$13,0))*1.15^(COUNTIF(C$4:C969,SUBSTITUTE(C970,""Sell_"",""""))-COUNTIF(C$4:C969,"&amp;"""Sell_""&amp;SUBSTITUTE(C970,""Sell_"",""""))))/2),ROUNDUP(INDEX(Upgrades!$C$3:$C$13,MATCH(C970,Upgrades!$B$3:$B$13,0))*1.15^(COUNTIF(C$4:C969,C970)-COUNTIF(C$4:C969,""Sell_""&amp;C970))))))"),"")</f>
        <v/>
      </c>
      <c r="H970" s="10" t="str">
        <f t="shared" si="3"/>
        <v/>
      </c>
      <c r="I970" s="68" t="str">
        <f t="shared" si="4"/>
        <v/>
      </c>
      <c r="J970" s="59" t="str">
        <f t="shared" si="5"/>
        <v/>
      </c>
      <c r="K970" s="69" t="str">
        <f t="shared" si="6"/>
        <v/>
      </c>
      <c r="L970" s="60" t="str">
        <f t="shared" si="7"/>
        <v/>
      </c>
      <c r="M970" s="61" t="str">
        <f>IFERROR(__xludf.DUMMYFUNCTION("IFS(AND(COUNTA(C970:C1644)=0,COUNTA(Q970:Q1644)=0),"""",OR(AND(K970&gt;=1000000000,OR(Y970&gt;=1000000000,COUNTA(Q970:Q1644)=0)),OR(Y970&gt;=1000000000,AND(COUNTA(C970:C1644)=0,P$3=TRUE))),
ROUNDDOWN((AB$1-AC$1)*MAX(INDEX(T$4:T1644,MATCH(LARGE(FILTER(Y$4:Y1644,Y$4"&amp;":Y1644&lt;1000000000),1),Y$4:Y1644)),INDEX(F$4:F1644,MATCH(LARGE(FILTER(K$4:K1644,K$4:K1644&lt;1000000000),1),K$4:K1644)))),AND(K970&lt;1000000000,COUNTA(C970:C1644)&gt;0,P$3=FALSE),
ROUNDDOWN(INDEX(Y$4:Y1644,MATCH(LARGE(FILTER(W$4:W1644,W$4:W1644&lt;=I970),1),W$4:W1644"&amp;"))+(I970-LARGE(FILTER(W$4:W1644,W$4:W1644&lt;=I970),1))*INDEX(T$4:T1644,MATCH(LARGE(FILTER(W$4:W1644,W$4:W1644&lt;=I970),1),W$4:W1644))-K970),1,
ROUNDDOWN(Y970-INDEX(K$4:K1644,MATCH(LARGE(FILTER(I$4:I1644,I$4:I1644&lt;=W970),1),I$4:I1644))-(W970-LARGE(FILTER(I$4:I"&amp;"1644,I$4:I1644&lt;=W970),1))*INDEX(F$4:F1644,MATCH(LARGE(FILTER(I$4:I1644,I$4:I1644&lt;=W970),1),I$4:I1644))))"),"")</f>
        <v/>
      </c>
      <c r="N970" s="60" t="str">
        <f t="shared" si="8"/>
        <v/>
      </c>
      <c r="O970" s="61" t="str">
        <f t="shared" si="9"/>
        <v/>
      </c>
      <c r="P970" s="56" t="str">
        <f t="shared" si="10"/>
        <v/>
      </c>
      <c r="Q970" s="105"/>
      <c r="R970" s="10"/>
      <c r="S970" s="59" t="str">
        <f t="array" ref="S970">IF(COUNTA(Q970:Q1644)=0,"",SUM((COUNTIF(Q$4:Q970,Upgrades!$B$3:$B$13)-COUNTIF(Q$4:Q970,"Sell_"&amp;Upgrades!$B$3:$B$13))*Upgrades!$D$3:$D$13))</f>
        <v/>
      </c>
      <c r="T970" s="66" t="str">
        <f>IFERROR(__xludf.DUMMYFUNCTION("IF(COUNTA(Q970:Q1644)=0,"""",IF(REGEXMATCH(INDEX(FILTER(Q$4:Q970,Q$4:Q970&lt;&gt;""""),ROWS(FILTER(Q$4:Q970,Q$4:Q970&lt;&gt;""""))),""^Sell_""),INDEX(FILTER(T$4:T969,Q$4:Q969&lt;&gt;""""),ROWS(FILTER(Q$4:Q969,Q$4:Q969&lt;&gt;""""))),$AD$5+S970))"),"")</f>
        <v/>
      </c>
      <c r="U970" s="10" t="str">
        <f>IFERROR(__xludf.DUMMYFUNCTION("IF(COUNTA(Q970:Q1644)=0,"""",IF(Q970="""",0,IF(REGEXMATCH(Q970,""^Sell_""),-ROUNDDOWN(ROUNDUP(INDEX(Upgrades!$C$3:$C$13,MATCH(SUBSTITUTE(Q970,""Sell_"",""""),Upgrades!$B$3:$B$13,0))*1.15^(COUNTIF(Q$4:Q969,SUBSTITUTE(Q970,""Sell_"",""""))-COUNTIF(Q$4:Q969,"&amp;"""Sell_""&amp;SUBSTITUTE(Q970,""Sell_"",""""))))/2),ROUNDUP(INDEX(Upgrades!$C$3:$C$13,MATCH(Q970,Upgrades!$B$3:$B$13,0))*1.15^(COUNTIF(Q$4:Q969,Q970)-COUNTIF(Q$4:Q969,""Sell_""&amp;Q970))))))"),"")</f>
        <v/>
      </c>
      <c r="V970" s="10" t="str">
        <f t="shared" si="11"/>
        <v/>
      </c>
      <c r="W970" s="68" t="str">
        <f t="shared" si="12"/>
        <v/>
      </c>
      <c r="X970" s="59" t="str">
        <f t="shared" si="13"/>
        <v/>
      </c>
      <c r="Y970" s="69" t="str">
        <f t="shared" si="14"/>
        <v/>
      </c>
      <c r="Z970" s="11"/>
      <c r="AG970" s="59"/>
    </row>
    <row r="971">
      <c r="A971" s="8"/>
      <c r="B971" s="56" t="str">
        <f t="shared" si="2"/>
        <v/>
      </c>
      <c r="C971" s="105"/>
      <c r="D971" s="10"/>
      <c r="E971" s="59" t="str">
        <f t="array" ref="E971">IF(COUNTA(C971:C1644)=0,"",SUM((COUNTIF(C$4:C971,Upgrades!$B$3:$B$13)-COUNTIF(C$4:C971,"Sell_"&amp;Upgrades!$B$3:$B$13))*Upgrades!$D$3:$D$13))</f>
        <v/>
      </c>
      <c r="F971" s="66" t="str">
        <f>IFERROR(__xludf.DUMMYFUNCTION("IF(COUNTA(C971:C1644)=0,"""",IF(REGEXMATCH(INDEX(FILTER(C$4:C971,C$4:C971&lt;&gt;""""),ROWS(FILTER(C$4:C971,C$4:C971&lt;&gt;""""))),""^Sell_""),INDEX(FILTER(F$4:F970,C$4:C970&lt;&gt;""""),ROWS(FILTER(C$4:C970,C$4:C970&lt;&gt;""""))),$AC$5+E971))"),"")</f>
        <v/>
      </c>
      <c r="G971" s="10" t="str">
        <f>IFERROR(__xludf.DUMMYFUNCTION("IF(COUNTA(C971:C1644)=0,"""",IF(C971="""",0,IF(REGEXMATCH(C971,""^Sell_""),-ROUNDDOWN(ROUNDUP(INDEX(Upgrades!$C$3:$C$13,MATCH(SUBSTITUTE(C971,""Sell_"",""""),Upgrades!$B$3:$B$13,0))*1.15^(COUNTIF(C$4:C970,SUBSTITUTE(C971,""Sell_"",""""))-COUNTIF(C$4:C970,"&amp;"""Sell_""&amp;SUBSTITUTE(C971,""Sell_"",""""))))/2),ROUNDUP(INDEX(Upgrades!$C$3:$C$13,MATCH(C971,Upgrades!$B$3:$B$13,0))*1.15^(COUNTIF(C$4:C970,C971)-COUNTIF(C$4:C970,""Sell_""&amp;C971))))))"),"")</f>
        <v/>
      </c>
      <c r="H971" s="10" t="str">
        <f t="shared" si="3"/>
        <v/>
      </c>
      <c r="I971" s="68" t="str">
        <f t="shared" si="4"/>
        <v/>
      </c>
      <c r="J971" s="59" t="str">
        <f t="shared" si="5"/>
        <v/>
      </c>
      <c r="K971" s="69" t="str">
        <f t="shared" si="6"/>
        <v/>
      </c>
      <c r="L971" s="60" t="str">
        <f t="shared" si="7"/>
        <v/>
      </c>
      <c r="M971" s="61" t="str">
        <f>IFERROR(__xludf.DUMMYFUNCTION("IFS(AND(COUNTA(C971:C1644)=0,COUNTA(Q971:Q1644)=0),"""",OR(AND(K971&gt;=1000000000,OR(Y971&gt;=1000000000,COUNTA(Q971:Q1644)=0)),OR(Y971&gt;=1000000000,AND(COUNTA(C971:C1644)=0,P$3=TRUE))),
ROUNDDOWN((AB$1-AC$1)*MAX(INDEX(T$4:T1644,MATCH(LARGE(FILTER(Y$4:Y1644,Y$4"&amp;":Y1644&lt;1000000000),1),Y$4:Y1644)),INDEX(F$4:F1644,MATCH(LARGE(FILTER(K$4:K1644,K$4:K1644&lt;1000000000),1),K$4:K1644)))),AND(K971&lt;1000000000,COUNTA(C971:C1644)&gt;0,P$3=FALSE),
ROUNDDOWN(INDEX(Y$4:Y1644,MATCH(LARGE(FILTER(W$4:W1644,W$4:W1644&lt;=I971),1),W$4:W1644"&amp;"))+(I971-LARGE(FILTER(W$4:W1644,W$4:W1644&lt;=I971),1))*INDEX(T$4:T1644,MATCH(LARGE(FILTER(W$4:W1644,W$4:W1644&lt;=I971),1),W$4:W1644))-K971),1,
ROUNDDOWN(Y971-INDEX(K$4:K1644,MATCH(LARGE(FILTER(I$4:I1644,I$4:I1644&lt;=W971),1),I$4:I1644))-(W971-LARGE(FILTER(I$4:I"&amp;"1644,I$4:I1644&lt;=W971),1))*INDEX(F$4:F1644,MATCH(LARGE(FILTER(I$4:I1644,I$4:I1644&lt;=W971),1),I$4:I1644))))"),"")</f>
        <v/>
      </c>
      <c r="N971" s="60" t="str">
        <f t="shared" si="8"/>
        <v/>
      </c>
      <c r="O971" s="61" t="str">
        <f t="shared" si="9"/>
        <v/>
      </c>
      <c r="P971" s="56" t="str">
        <f t="shared" si="10"/>
        <v/>
      </c>
      <c r="Q971" s="105"/>
      <c r="R971" s="10"/>
      <c r="S971" s="59" t="str">
        <f t="array" ref="S971">IF(COUNTA(Q971:Q1644)=0,"",SUM((COUNTIF(Q$4:Q971,Upgrades!$B$3:$B$13)-COUNTIF(Q$4:Q971,"Sell_"&amp;Upgrades!$B$3:$B$13))*Upgrades!$D$3:$D$13))</f>
        <v/>
      </c>
      <c r="T971" s="66" t="str">
        <f>IFERROR(__xludf.DUMMYFUNCTION("IF(COUNTA(Q971:Q1644)=0,"""",IF(REGEXMATCH(INDEX(FILTER(Q$4:Q971,Q$4:Q971&lt;&gt;""""),ROWS(FILTER(Q$4:Q971,Q$4:Q971&lt;&gt;""""))),""^Sell_""),INDEX(FILTER(T$4:T970,Q$4:Q970&lt;&gt;""""),ROWS(FILTER(Q$4:Q970,Q$4:Q970&lt;&gt;""""))),$AD$5+S971))"),"")</f>
        <v/>
      </c>
      <c r="U971" s="10" t="str">
        <f>IFERROR(__xludf.DUMMYFUNCTION("IF(COUNTA(Q971:Q1644)=0,"""",IF(Q971="""",0,IF(REGEXMATCH(Q971,""^Sell_""),-ROUNDDOWN(ROUNDUP(INDEX(Upgrades!$C$3:$C$13,MATCH(SUBSTITUTE(Q971,""Sell_"",""""),Upgrades!$B$3:$B$13,0))*1.15^(COUNTIF(Q$4:Q970,SUBSTITUTE(Q971,""Sell_"",""""))-COUNTIF(Q$4:Q970,"&amp;"""Sell_""&amp;SUBSTITUTE(Q971,""Sell_"",""""))))/2),ROUNDUP(INDEX(Upgrades!$C$3:$C$13,MATCH(Q971,Upgrades!$B$3:$B$13,0))*1.15^(COUNTIF(Q$4:Q970,Q971)-COUNTIF(Q$4:Q970,""Sell_""&amp;Q971))))))"),"")</f>
        <v/>
      </c>
      <c r="V971" s="10" t="str">
        <f t="shared" si="11"/>
        <v/>
      </c>
      <c r="W971" s="68" t="str">
        <f t="shared" si="12"/>
        <v/>
      </c>
      <c r="X971" s="59" t="str">
        <f t="shared" si="13"/>
        <v/>
      </c>
      <c r="Y971" s="69" t="str">
        <f t="shared" si="14"/>
        <v/>
      </c>
      <c r="Z971" s="11"/>
      <c r="AG971" s="59"/>
    </row>
    <row r="972">
      <c r="A972" s="8"/>
      <c r="B972" s="56" t="str">
        <f t="shared" si="2"/>
        <v/>
      </c>
      <c r="C972" s="105"/>
      <c r="D972" s="10"/>
      <c r="E972" s="59" t="str">
        <f t="array" ref="E972">IF(COUNTA(C972:C1644)=0,"",SUM((COUNTIF(C$4:C972,Upgrades!$B$3:$B$13)-COUNTIF(C$4:C972,"Sell_"&amp;Upgrades!$B$3:$B$13))*Upgrades!$D$3:$D$13))</f>
        <v/>
      </c>
      <c r="F972" s="66" t="str">
        <f>IFERROR(__xludf.DUMMYFUNCTION("IF(COUNTA(C972:C1644)=0,"""",IF(REGEXMATCH(INDEX(FILTER(C$4:C972,C$4:C972&lt;&gt;""""),ROWS(FILTER(C$4:C972,C$4:C972&lt;&gt;""""))),""^Sell_""),INDEX(FILTER(F$4:F971,C$4:C971&lt;&gt;""""),ROWS(FILTER(C$4:C971,C$4:C971&lt;&gt;""""))),$AC$5+E972))"),"")</f>
        <v/>
      </c>
      <c r="G972" s="10" t="str">
        <f>IFERROR(__xludf.DUMMYFUNCTION("IF(COUNTA(C972:C1644)=0,"""",IF(C972="""",0,IF(REGEXMATCH(C972,""^Sell_""),-ROUNDDOWN(ROUNDUP(INDEX(Upgrades!$C$3:$C$13,MATCH(SUBSTITUTE(C972,""Sell_"",""""),Upgrades!$B$3:$B$13,0))*1.15^(COUNTIF(C$4:C971,SUBSTITUTE(C972,""Sell_"",""""))-COUNTIF(C$4:C971,"&amp;"""Sell_""&amp;SUBSTITUTE(C972,""Sell_"",""""))))/2),ROUNDUP(INDEX(Upgrades!$C$3:$C$13,MATCH(C972,Upgrades!$B$3:$B$13,0))*1.15^(COUNTIF(C$4:C971,C972)-COUNTIF(C$4:C971,""Sell_""&amp;C972))))))"),"")</f>
        <v/>
      </c>
      <c r="H972" s="10" t="str">
        <f t="shared" si="3"/>
        <v/>
      </c>
      <c r="I972" s="68" t="str">
        <f t="shared" si="4"/>
        <v/>
      </c>
      <c r="J972" s="59" t="str">
        <f t="shared" si="5"/>
        <v/>
      </c>
      <c r="K972" s="69" t="str">
        <f t="shared" si="6"/>
        <v/>
      </c>
      <c r="L972" s="60" t="str">
        <f t="shared" si="7"/>
        <v/>
      </c>
      <c r="M972" s="61" t="str">
        <f>IFERROR(__xludf.DUMMYFUNCTION("IFS(AND(COUNTA(C972:C1644)=0,COUNTA(Q972:Q1644)=0),"""",OR(AND(K972&gt;=1000000000,OR(Y972&gt;=1000000000,COUNTA(Q972:Q1644)=0)),OR(Y972&gt;=1000000000,AND(COUNTA(C972:C1644)=0,P$3=TRUE))),
ROUNDDOWN((AB$1-AC$1)*MAX(INDEX(T$4:T1644,MATCH(LARGE(FILTER(Y$4:Y1644,Y$4"&amp;":Y1644&lt;1000000000),1),Y$4:Y1644)),INDEX(F$4:F1644,MATCH(LARGE(FILTER(K$4:K1644,K$4:K1644&lt;1000000000),1),K$4:K1644)))),AND(K972&lt;1000000000,COUNTA(C972:C1644)&gt;0,P$3=FALSE),
ROUNDDOWN(INDEX(Y$4:Y1644,MATCH(LARGE(FILTER(W$4:W1644,W$4:W1644&lt;=I972),1),W$4:W1644"&amp;"))+(I972-LARGE(FILTER(W$4:W1644,W$4:W1644&lt;=I972),1))*INDEX(T$4:T1644,MATCH(LARGE(FILTER(W$4:W1644,W$4:W1644&lt;=I972),1),W$4:W1644))-K972),1,
ROUNDDOWN(Y972-INDEX(K$4:K1644,MATCH(LARGE(FILTER(I$4:I1644,I$4:I1644&lt;=W972),1),I$4:I1644))-(W972-LARGE(FILTER(I$4:I"&amp;"1644,I$4:I1644&lt;=W972),1))*INDEX(F$4:F1644,MATCH(LARGE(FILTER(I$4:I1644,I$4:I1644&lt;=W972),1),I$4:I1644))))"),"")</f>
        <v/>
      </c>
      <c r="N972" s="60" t="str">
        <f t="shared" si="8"/>
        <v/>
      </c>
      <c r="O972" s="61" t="str">
        <f t="shared" si="9"/>
        <v/>
      </c>
      <c r="P972" s="56" t="str">
        <f t="shared" si="10"/>
        <v/>
      </c>
      <c r="Q972" s="105"/>
      <c r="R972" s="10"/>
      <c r="S972" s="59" t="str">
        <f t="array" ref="S972">IF(COUNTA(Q972:Q1644)=0,"",SUM((COUNTIF(Q$4:Q972,Upgrades!$B$3:$B$13)-COUNTIF(Q$4:Q972,"Sell_"&amp;Upgrades!$B$3:$B$13))*Upgrades!$D$3:$D$13))</f>
        <v/>
      </c>
      <c r="T972" s="66" t="str">
        <f>IFERROR(__xludf.DUMMYFUNCTION("IF(COUNTA(Q972:Q1644)=0,"""",IF(REGEXMATCH(INDEX(FILTER(Q$4:Q972,Q$4:Q972&lt;&gt;""""),ROWS(FILTER(Q$4:Q972,Q$4:Q972&lt;&gt;""""))),""^Sell_""),INDEX(FILTER(T$4:T971,Q$4:Q971&lt;&gt;""""),ROWS(FILTER(Q$4:Q971,Q$4:Q971&lt;&gt;""""))),$AD$5+S972))"),"")</f>
        <v/>
      </c>
      <c r="U972" s="10" t="str">
        <f>IFERROR(__xludf.DUMMYFUNCTION("IF(COUNTA(Q972:Q1644)=0,"""",IF(Q972="""",0,IF(REGEXMATCH(Q972,""^Sell_""),-ROUNDDOWN(ROUNDUP(INDEX(Upgrades!$C$3:$C$13,MATCH(SUBSTITUTE(Q972,""Sell_"",""""),Upgrades!$B$3:$B$13,0))*1.15^(COUNTIF(Q$4:Q971,SUBSTITUTE(Q972,""Sell_"",""""))-COUNTIF(Q$4:Q971,"&amp;"""Sell_""&amp;SUBSTITUTE(Q972,""Sell_"",""""))))/2),ROUNDUP(INDEX(Upgrades!$C$3:$C$13,MATCH(Q972,Upgrades!$B$3:$B$13,0))*1.15^(COUNTIF(Q$4:Q971,Q972)-COUNTIF(Q$4:Q971,""Sell_""&amp;Q972))))))"),"")</f>
        <v/>
      </c>
      <c r="V972" s="10" t="str">
        <f t="shared" si="11"/>
        <v/>
      </c>
      <c r="W972" s="68" t="str">
        <f t="shared" si="12"/>
        <v/>
      </c>
      <c r="X972" s="59" t="str">
        <f t="shared" si="13"/>
        <v/>
      </c>
      <c r="Y972" s="69" t="str">
        <f t="shared" si="14"/>
        <v/>
      </c>
      <c r="Z972" s="11"/>
      <c r="AG972" s="59"/>
    </row>
    <row r="973">
      <c r="A973" s="8"/>
      <c r="B973" s="56" t="str">
        <f t="shared" si="2"/>
        <v/>
      </c>
      <c r="C973" s="105"/>
      <c r="D973" s="10"/>
      <c r="E973" s="59" t="str">
        <f t="array" ref="E973">IF(COUNTA(C973:C1644)=0,"",SUM((COUNTIF(C$4:C973,Upgrades!$B$3:$B$13)-COUNTIF(C$4:C973,"Sell_"&amp;Upgrades!$B$3:$B$13))*Upgrades!$D$3:$D$13))</f>
        <v/>
      </c>
      <c r="F973" s="66" t="str">
        <f>IFERROR(__xludf.DUMMYFUNCTION("IF(COUNTA(C973:C1644)=0,"""",IF(REGEXMATCH(INDEX(FILTER(C$4:C973,C$4:C973&lt;&gt;""""),ROWS(FILTER(C$4:C973,C$4:C973&lt;&gt;""""))),""^Sell_""),INDEX(FILTER(F$4:F972,C$4:C972&lt;&gt;""""),ROWS(FILTER(C$4:C972,C$4:C972&lt;&gt;""""))),$AC$5+E973))"),"")</f>
        <v/>
      </c>
      <c r="G973" s="10" t="str">
        <f>IFERROR(__xludf.DUMMYFUNCTION("IF(COUNTA(C973:C1644)=0,"""",IF(C973="""",0,IF(REGEXMATCH(C973,""^Sell_""),-ROUNDDOWN(ROUNDUP(INDEX(Upgrades!$C$3:$C$13,MATCH(SUBSTITUTE(C973,""Sell_"",""""),Upgrades!$B$3:$B$13,0))*1.15^(COUNTIF(C$4:C972,SUBSTITUTE(C973,""Sell_"",""""))-COUNTIF(C$4:C972,"&amp;"""Sell_""&amp;SUBSTITUTE(C973,""Sell_"",""""))))/2),ROUNDUP(INDEX(Upgrades!$C$3:$C$13,MATCH(C973,Upgrades!$B$3:$B$13,0))*1.15^(COUNTIF(C$4:C972,C973)-COUNTIF(C$4:C972,""Sell_""&amp;C973))))))"),"")</f>
        <v/>
      </c>
      <c r="H973" s="10" t="str">
        <f t="shared" si="3"/>
        <v/>
      </c>
      <c r="I973" s="68" t="str">
        <f t="shared" si="4"/>
        <v/>
      </c>
      <c r="J973" s="59" t="str">
        <f t="shared" si="5"/>
        <v/>
      </c>
      <c r="K973" s="69" t="str">
        <f t="shared" si="6"/>
        <v/>
      </c>
      <c r="L973" s="60" t="str">
        <f t="shared" si="7"/>
        <v/>
      </c>
      <c r="M973" s="61" t="str">
        <f>IFERROR(__xludf.DUMMYFUNCTION("IFS(AND(COUNTA(C973:C1644)=0,COUNTA(Q973:Q1644)=0),"""",OR(AND(K973&gt;=1000000000,OR(Y973&gt;=1000000000,COUNTA(Q973:Q1644)=0)),OR(Y973&gt;=1000000000,AND(COUNTA(C973:C1644)=0,P$3=TRUE))),
ROUNDDOWN((AB$1-AC$1)*MAX(INDEX(T$4:T1644,MATCH(LARGE(FILTER(Y$4:Y1644,Y$4"&amp;":Y1644&lt;1000000000),1),Y$4:Y1644)),INDEX(F$4:F1644,MATCH(LARGE(FILTER(K$4:K1644,K$4:K1644&lt;1000000000),1),K$4:K1644)))),AND(K973&lt;1000000000,COUNTA(C973:C1644)&gt;0,P$3=FALSE),
ROUNDDOWN(INDEX(Y$4:Y1644,MATCH(LARGE(FILTER(W$4:W1644,W$4:W1644&lt;=I973),1),W$4:W1644"&amp;"))+(I973-LARGE(FILTER(W$4:W1644,W$4:W1644&lt;=I973),1))*INDEX(T$4:T1644,MATCH(LARGE(FILTER(W$4:W1644,W$4:W1644&lt;=I973),1),W$4:W1644))-K973),1,
ROUNDDOWN(Y973-INDEX(K$4:K1644,MATCH(LARGE(FILTER(I$4:I1644,I$4:I1644&lt;=W973),1),I$4:I1644))-(W973-LARGE(FILTER(I$4:I"&amp;"1644,I$4:I1644&lt;=W973),1))*INDEX(F$4:F1644,MATCH(LARGE(FILTER(I$4:I1644,I$4:I1644&lt;=W973),1),I$4:I1644))))"),"")</f>
        <v/>
      </c>
      <c r="N973" s="60" t="str">
        <f t="shared" si="8"/>
        <v/>
      </c>
      <c r="O973" s="61" t="str">
        <f t="shared" si="9"/>
        <v/>
      </c>
      <c r="P973" s="56" t="str">
        <f t="shared" si="10"/>
        <v/>
      </c>
      <c r="Q973" s="105"/>
      <c r="R973" s="10"/>
      <c r="S973" s="59" t="str">
        <f t="array" ref="S973">IF(COUNTA(Q973:Q1644)=0,"",SUM((COUNTIF(Q$4:Q973,Upgrades!$B$3:$B$13)-COUNTIF(Q$4:Q973,"Sell_"&amp;Upgrades!$B$3:$B$13))*Upgrades!$D$3:$D$13))</f>
        <v/>
      </c>
      <c r="T973" s="66" t="str">
        <f>IFERROR(__xludf.DUMMYFUNCTION("IF(COUNTA(Q973:Q1644)=0,"""",IF(REGEXMATCH(INDEX(FILTER(Q$4:Q973,Q$4:Q973&lt;&gt;""""),ROWS(FILTER(Q$4:Q973,Q$4:Q973&lt;&gt;""""))),""^Sell_""),INDEX(FILTER(T$4:T972,Q$4:Q972&lt;&gt;""""),ROWS(FILTER(Q$4:Q972,Q$4:Q972&lt;&gt;""""))),$AD$5+S973))"),"")</f>
        <v/>
      </c>
      <c r="U973" s="10" t="str">
        <f>IFERROR(__xludf.DUMMYFUNCTION("IF(COUNTA(Q973:Q1644)=0,"""",IF(Q973="""",0,IF(REGEXMATCH(Q973,""^Sell_""),-ROUNDDOWN(ROUNDUP(INDEX(Upgrades!$C$3:$C$13,MATCH(SUBSTITUTE(Q973,""Sell_"",""""),Upgrades!$B$3:$B$13,0))*1.15^(COUNTIF(Q$4:Q972,SUBSTITUTE(Q973,""Sell_"",""""))-COUNTIF(Q$4:Q972,"&amp;"""Sell_""&amp;SUBSTITUTE(Q973,""Sell_"",""""))))/2),ROUNDUP(INDEX(Upgrades!$C$3:$C$13,MATCH(Q973,Upgrades!$B$3:$B$13,0))*1.15^(COUNTIF(Q$4:Q972,Q973)-COUNTIF(Q$4:Q972,""Sell_""&amp;Q973))))))"),"")</f>
        <v/>
      </c>
      <c r="V973" s="10" t="str">
        <f t="shared" si="11"/>
        <v/>
      </c>
      <c r="W973" s="68" t="str">
        <f t="shared" si="12"/>
        <v/>
      </c>
      <c r="X973" s="59" t="str">
        <f t="shared" si="13"/>
        <v/>
      </c>
      <c r="Y973" s="69" t="str">
        <f t="shared" si="14"/>
        <v/>
      </c>
      <c r="Z973" s="11"/>
      <c r="AG973" s="59"/>
    </row>
    <row r="974">
      <c r="A974" s="8"/>
      <c r="B974" s="56" t="str">
        <f t="shared" si="2"/>
        <v/>
      </c>
      <c r="C974" s="105"/>
      <c r="D974" s="10"/>
      <c r="E974" s="59" t="str">
        <f t="array" ref="E974">IF(COUNTA(C974:C1644)=0,"",SUM((COUNTIF(C$4:C974,Upgrades!$B$3:$B$13)-COUNTIF(C$4:C974,"Sell_"&amp;Upgrades!$B$3:$B$13))*Upgrades!$D$3:$D$13))</f>
        <v/>
      </c>
      <c r="F974" s="66" t="str">
        <f>IFERROR(__xludf.DUMMYFUNCTION("IF(COUNTA(C974:C1644)=0,"""",IF(REGEXMATCH(INDEX(FILTER(C$4:C974,C$4:C974&lt;&gt;""""),ROWS(FILTER(C$4:C974,C$4:C974&lt;&gt;""""))),""^Sell_""),INDEX(FILTER(F$4:F973,C$4:C973&lt;&gt;""""),ROWS(FILTER(C$4:C973,C$4:C973&lt;&gt;""""))),$AC$5+E974))"),"")</f>
        <v/>
      </c>
      <c r="G974" s="10" t="str">
        <f>IFERROR(__xludf.DUMMYFUNCTION("IF(COUNTA(C974:C1644)=0,"""",IF(C974="""",0,IF(REGEXMATCH(C974,""^Sell_""),-ROUNDDOWN(ROUNDUP(INDEX(Upgrades!$C$3:$C$13,MATCH(SUBSTITUTE(C974,""Sell_"",""""),Upgrades!$B$3:$B$13,0))*1.15^(COUNTIF(C$4:C973,SUBSTITUTE(C974,""Sell_"",""""))-COUNTIF(C$4:C973,"&amp;"""Sell_""&amp;SUBSTITUTE(C974,""Sell_"",""""))))/2),ROUNDUP(INDEX(Upgrades!$C$3:$C$13,MATCH(C974,Upgrades!$B$3:$B$13,0))*1.15^(COUNTIF(C$4:C973,C974)-COUNTIF(C$4:C973,""Sell_""&amp;C974))))))"),"")</f>
        <v/>
      </c>
      <c r="H974" s="10" t="str">
        <f t="shared" si="3"/>
        <v/>
      </c>
      <c r="I974" s="68" t="str">
        <f t="shared" si="4"/>
        <v/>
      </c>
      <c r="J974" s="59" t="str">
        <f t="shared" si="5"/>
        <v/>
      </c>
      <c r="K974" s="69" t="str">
        <f t="shared" si="6"/>
        <v/>
      </c>
      <c r="L974" s="60" t="str">
        <f t="shared" si="7"/>
        <v/>
      </c>
      <c r="M974" s="61" t="str">
        <f>IFERROR(__xludf.DUMMYFUNCTION("IFS(AND(COUNTA(C974:C1644)=0,COUNTA(Q974:Q1644)=0),"""",OR(AND(K974&gt;=1000000000,OR(Y974&gt;=1000000000,COUNTA(Q974:Q1644)=0)),OR(Y974&gt;=1000000000,AND(COUNTA(C974:C1644)=0,P$3=TRUE))),
ROUNDDOWN((AB$1-AC$1)*MAX(INDEX(T$4:T1644,MATCH(LARGE(FILTER(Y$4:Y1644,Y$4"&amp;":Y1644&lt;1000000000),1),Y$4:Y1644)),INDEX(F$4:F1644,MATCH(LARGE(FILTER(K$4:K1644,K$4:K1644&lt;1000000000),1),K$4:K1644)))),AND(K974&lt;1000000000,COUNTA(C974:C1644)&gt;0,P$3=FALSE),
ROUNDDOWN(INDEX(Y$4:Y1644,MATCH(LARGE(FILTER(W$4:W1644,W$4:W1644&lt;=I974),1),W$4:W1644"&amp;"))+(I974-LARGE(FILTER(W$4:W1644,W$4:W1644&lt;=I974),1))*INDEX(T$4:T1644,MATCH(LARGE(FILTER(W$4:W1644,W$4:W1644&lt;=I974),1),W$4:W1644))-K974),1,
ROUNDDOWN(Y974-INDEX(K$4:K1644,MATCH(LARGE(FILTER(I$4:I1644,I$4:I1644&lt;=W974),1),I$4:I1644))-(W974-LARGE(FILTER(I$4:I"&amp;"1644,I$4:I1644&lt;=W974),1))*INDEX(F$4:F1644,MATCH(LARGE(FILTER(I$4:I1644,I$4:I1644&lt;=W974),1),I$4:I1644))))"),"")</f>
        <v/>
      </c>
      <c r="N974" s="60" t="str">
        <f t="shared" si="8"/>
        <v/>
      </c>
      <c r="O974" s="61" t="str">
        <f t="shared" si="9"/>
        <v/>
      </c>
      <c r="P974" s="56" t="str">
        <f t="shared" si="10"/>
        <v/>
      </c>
      <c r="Q974" s="105"/>
      <c r="R974" s="10"/>
      <c r="S974" s="59" t="str">
        <f t="array" ref="S974">IF(COUNTA(Q974:Q1644)=0,"",SUM((COUNTIF(Q$4:Q974,Upgrades!$B$3:$B$13)-COUNTIF(Q$4:Q974,"Sell_"&amp;Upgrades!$B$3:$B$13))*Upgrades!$D$3:$D$13))</f>
        <v/>
      </c>
      <c r="T974" s="66" t="str">
        <f>IFERROR(__xludf.DUMMYFUNCTION("IF(COUNTA(Q974:Q1644)=0,"""",IF(REGEXMATCH(INDEX(FILTER(Q$4:Q974,Q$4:Q974&lt;&gt;""""),ROWS(FILTER(Q$4:Q974,Q$4:Q974&lt;&gt;""""))),""^Sell_""),INDEX(FILTER(T$4:T973,Q$4:Q973&lt;&gt;""""),ROWS(FILTER(Q$4:Q973,Q$4:Q973&lt;&gt;""""))),$AD$5+S974))"),"")</f>
        <v/>
      </c>
      <c r="U974" s="10" t="str">
        <f>IFERROR(__xludf.DUMMYFUNCTION("IF(COUNTA(Q974:Q1644)=0,"""",IF(Q974="""",0,IF(REGEXMATCH(Q974,""^Sell_""),-ROUNDDOWN(ROUNDUP(INDEX(Upgrades!$C$3:$C$13,MATCH(SUBSTITUTE(Q974,""Sell_"",""""),Upgrades!$B$3:$B$13,0))*1.15^(COUNTIF(Q$4:Q973,SUBSTITUTE(Q974,""Sell_"",""""))-COUNTIF(Q$4:Q973,"&amp;"""Sell_""&amp;SUBSTITUTE(Q974,""Sell_"",""""))))/2),ROUNDUP(INDEX(Upgrades!$C$3:$C$13,MATCH(Q974,Upgrades!$B$3:$B$13,0))*1.15^(COUNTIF(Q$4:Q973,Q974)-COUNTIF(Q$4:Q973,""Sell_""&amp;Q974))))))"),"")</f>
        <v/>
      </c>
      <c r="V974" s="10" t="str">
        <f t="shared" si="11"/>
        <v/>
      </c>
      <c r="W974" s="68" t="str">
        <f t="shared" si="12"/>
        <v/>
      </c>
      <c r="X974" s="59" t="str">
        <f t="shared" si="13"/>
        <v/>
      </c>
      <c r="Y974" s="69" t="str">
        <f t="shared" si="14"/>
        <v/>
      </c>
      <c r="Z974" s="11"/>
      <c r="AG974" s="59"/>
    </row>
    <row r="975">
      <c r="A975" s="8"/>
      <c r="B975" s="56" t="str">
        <f t="shared" si="2"/>
        <v/>
      </c>
      <c r="C975" s="105"/>
      <c r="D975" s="10"/>
      <c r="E975" s="59" t="str">
        <f t="array" ref="E975">IF(COUNTA(C975:C1644)=0,"",SUM((COUNTIF(C$4:C975,Upgrades!$B$3:$B$13)-COUNTIF(C$4:C975,"Sell_"&amp;Upgrades!$B$3:$B$13))*Upgrades!$D$3:$D$13))</f>
        <v/>
      </c>
      <c r="F975" s="66" t="str">
        <f>IFERROR(__xludf.DUMMYFUNCTION("IF(COUNTA(C975:C1644)=0,"""",IF(REGEXMATCH(INDEX(FILTER(C$4:C975,C$4:C975&lt;&gt;""""),ROWS(FILTER(C$4:C975,C$4:C975&lt;&gt;""""))),""^Sell_""),INDEX(FILTER(F$4:F974,C$4:C974&lt;&gt;""""),ROWS(FILTER(C$4:C974,C$4:C974&lt;&gt;""""))),$AC$5+E975))"),"")</f>
        <v/>
      </c>
      <c r="G975" s="10" t="str">
        <f>IFERROR(__xludf.DUMMYFUNCTION("IF(COUNTA(C975:C1644)=0,"""",IF(C975="""",0,IF(REGEXMATCH(C975,""^Sell_""),-ROUNDDOWN(ROUNDUP(INDEX(Upgrades!$C$3:$C$13,MATCH(SUBSTITUTE(C975,""Sell_"",""""),Upgrades!$B$3:$B$13,0))*1.15^(COUNTIF(C$4:C974,SUBSTITUTE(C975,""Sell_"",""""))-COUNTIF(C$4:C974,"&amp;"""Sell_""&amp;SUBSTITUTE(C975,""Sell_"",""""))))/2),ROUNDUP(INDEX(Upgrades!$C$3:$C$13,MATCH(C975,Upgrades!$B$3:$B$13,0))*1.15^(COUNTIF(C$4:C974,C975)-COUNTIF(C$4:C974,""Sell_""&amp;C975))))))"),"")</f>
        <v/>
      </c>
      <c r="H975" s="10" t="str">
        <f t="shared" si="3"/>
        <v/>
      </c>
      <c r="I975" s="68" t="str">
        <f t="shared" si="4"/>
        <v/>
      </c>
      <c r="J975" s="59" t="str">
        <f t="shared" si="5"/>
        <v/>
      </c>
      <c r="K975" s="69" t="str">
        <f t="shared" si="6"/>
        <v/>
      </c>
      <c r="L975" s="60" t="str">
        <f t="shared" si="7"/>
        <v/>
      </c>
      <c r="M975" s="61" t="str">
        <f>IFERROR(__xludf.DUMMYFUNCTION("IFS(AND(COUNTA(C975:C1644)=0,COUNTA(Q975:Q1644)=0),"""",OR(AND(K975&gt;=1000000000,OR(Y975&gt;=1000000000,COUNTA(Q975:Q1644)=0)),OR(Y975&gt;=1000000000,AND(COUNTA(C975:C1644)=0,P$3=TRUE))),
ROUNDDOWN((AB$1-AC$1)*MAX(INDEX(T$4:T1644,MATCH(LARGE(FILTER(Y$4:Y1644,Y$4"&amp;":Y1644&lt;1000000000),1),Y$4:Y1644)),INDEX(F$4:F1644,MATCH(LARGE(FILTER(K$4:K1644,K$4:K1644&lt;1000000000),1),K$4:K1644)))),AND(K975&lt;1000000000,COUNTA(C975:C1644)&gt;0,P$3=FALSE),
ROUNDDOWN(INDEX(Y$4:Y1644,MATCH(LARGE(FILTER(W$4:W1644,W$4:W1644&lt;=I975),1),W$4:W1644"&amp;"))+(I975-LARGE(FILTER(W$4:W1644,W$4:W1644&lt;=I975),1))*INDEX(T$4:T1644,MATCH(LARGE(FILTER(W$4:W1644,W$4:W1644&lt;=I975),1),W$4:W1644))-K975),1,
ROUNDDOWN(Y975-INDEX(K$4:K1644,MATCH(LARGE(FILTER(I$4:I1644,I$4:I1644&lt;=W975),1),I$4:I1644))-(W975-LARGE(FILTER(I$4:I"&amp;"1644,I$4:I1644&lt;=W975),1))*INDEX(F$4:F1644,MATCH(LARGE(FILTER(I$4:I1644,I$4:I1644&lt;=W975),1),I$4:I1644))))"),"")</f>
        <v/>
      </c>
      <c r="N975" s="60" t="str">
        <f t="shared" si="8"/>
        <v/>
      </c>
      <c r="O975" s="61" t="str">
        <f t="shared" si="9"/>
        <v/>
      </c>
      <c r="P975" s="56" t="str">
        <f t="shared" si="10"/>
        <v/>
      </c>
      <c r="Q975" s="105"/>
      <c r="R975" s="10"/>
      <c r="S975" s="59" t="str">
        <f t="array" ref="S975">IF(COUNTA(Q975:Q1644)=0,"",SUM((COUNTIF(Q$4:Q975,Upgrades!$B$3:$B$13)-COUNTIF(Q$4:Q975,"Sell_"&amp;Upgrades!$B$3:$B$13))*Upgrades!$D$3:$D$13))</f>
        <v/>
      </c>
      <c r="T975" s="66" t="str">
        <f>IFERROR(__xludf.DUMMYFUNCTION("IF(COUNTA(Q975:Q1644)=0,"""",IF(REGEXMATCH(INDEX(FILTER(Q$4:Q975,Q$4:Q975&lt;&gt;""""),ROWS(FILTER(Q$4:Q975,Q$4:Q975&lt;&gt;""""))),""^Sell_""),INDEX(FILTER(T$4:T974,Q$4:Q974&lt;&gt;""""),ROWS(FILTER(Q$4:Q974,Q$4:Q974&lt;&gt;""""))),$AD$5+S975))"),"")</f>
        <v/>
      </c>
      <c r="U975" s="10" t="str">
        <f>IFERROR(__xludf.DUMMYFUNCTION("IF(COUNTA(Q975:Q1644)=0,"""",IF(Q975="""",0,IF(REGEXMATCH(Q975,""^Sell_""),-ROUNDDOWN(ROUNDUP(INDEX(Upgrades!$C$3:$C$13,MATCH(SUBSTITUTE(Q975,""Sell_"",""""),Upgrades!$B$3:$B$13,0))*1.15^(COUNTIF(Q$4:Q974,SUBSTITUTE(Q975,""Sell_"",""""))-COUNTIF(Q$4:Q974,"&amp;"""Sell_""&amp;SUBSTITUTE(Q975,""Sell_"",""""))))/2),ROUNDUP(INDEX(Upgrades!$C$3:$C$13,MATCH(Q975,Upgrades!$B$3:$B$13,0))*1.15^(COUNTIF(Q$4:Q974,Q975)-COUNTIF(Q$4:Q974,""Sell_""&amp;Q975))))))"),"")</f>
        <v/>
      </c>
      <c r="V975" s="10" t="str">
        <f t="shared" si="11"/>
        <v/>
      </c>
      <c r="W975" s="68" t="str">
        <f t="shared" si="12"/>
        <v/>
      </c>
      <c r="X975" s="59" t="str">
        <f t="shared" si="13"/>
        <v/>
      </c>
      <c r="Y975" s="69" t="str">
        <f t="shared" si="14"/>
        <v/>
      </c>
      <c r="Z975" s="11"/>
      <c r="AG975" s="59"/>
    </row>
    <row r="976">
      <c r="A976" s="8"/>
      <c r="B976" s="56" t="str">
        <f t="shared" si="2"/>
        <v/>
      </c>
      <c r="C976" s="105"/>
      <c r="D976" s="10"/>
      <c r="E976" s="59" t="str">
        <f t="array" ref="E976">IF(COUNTA(C976:C1644)=0,"",SUM((COUNTIF(C$4:C976,Upgrades!$B$3:$B$13)-COUNTIF(C$4:C976,"Sell_"&amp;Upgrades!$B$3:$B$13))*Upgrades!$D$3:$D$13))</f>
        <v/>
      </c>
      <c r="F976" s="66" t="str">
        <f>IFERROR(__xludf.DUMMYFUNCTION("IF(COUNTA(C976:C1644)=0,"""",IF(REGEXMATCH(INDEX(FILTER(C$4:C976,C$4:C976&lt;&gt;""""),ROWS(FILTER(C$4:C976,C$4:C976&lt;&gt;""""))),""^Sell_""),INDEX(FILTER(F$4:F975,C$4:C975&lt;&gt;""""),ROWS(FILTER(C$4:C975,C$4:C975&lt;&gt;""""))),$AC$5+E976))"),"")</f>
        <v/>
      </c>
      <c r="G976" s="10" t="str">
        <f>IFERROR(__xludf.DUMMYFUNCTION("IF(COUNTA(C976:C1644)=0,"""",IF(C976="""",0,IF(REGEXMATCH(C976,""^Sell_""),-ROUNDDOWN(ROUNDUP(INDEX(Upgrades!$C$3:$C$13,MATCH(SUBSTITUTE(C976,""Sell_"",""""),Upgrades!$B$3:$B$13,0))*1.15^(COUNTIF(C$4:C975,SUBSTITUTE(C976,""Sell_"",""""))-COUNTIF(C$4:C975,"&amp;"""Sell_""&amp;SUBSTITUTE(C976,""Sell_"",""""))))/2),ROUNDUP(INDEX(Upgrades!$C$3:$C$13,MATCH(C976,Upgrades!$B$3:$B$13,0))*1.15^(COUNTIF(C$4:C975,C976)-COUNTIF(C$4:C975,""Sell_""&amp;C976))))))"),"")</f>
        <v/>
      </c>
      <c r="H976" s="10" t="str">
        <f t="shared" si="3"/>
        <v/>
      </c>
      <c r="I976" s="68" t="str">
        <f t="shared" si="4"/>
        <v/>
      </c>
      <c r="J976" s="59" t="str">
        <f t="shared" si="5"/>
        <v/>
      </c>
      <c r="K976" s="69" t="str">
        <f t="shared" si="6"/>
        <v/>
      </c>
      <c r="L976" s="60" t="str">
        <f t="shared" si="7"/>
        <v/>
      </c>
      <c r="M976" s="61" t="str">
        <f>IFERROR(__xludf.DUMMYFUNCTION("IFS(AND(COUNTA(C976:C1644)=0,COUNTA(Q976:Q1644)=0),"""",OR(AND(K976&gt;=1000000000,OR(Y976&gt;=1000000000,COUNTA(Q976:Q1644)=0)),OR(Y976&gt;=1000000000,AND(COUNTA(C976:C1644)=0,P$3=TRUE))),
ROUNDDOWN((AB$1-AC$1)*MAX(INDEX(T$4:T1644,MATCH(LARGE(FILTER(Y$4:Y1644,Y$4"&amp;":Y1644&lt;1000000000),1),Y$4:Y1644)),INDEX(F$4:F1644,MATCH(LARGE(FILTER(K$4:K1644,K$4:K1644&lt;1000000000),1),K$4:K1644)))),AND(K976&lt;1000000000,COUNTA(C976:C1644)&gt;0,P$3=FALSE),
ROUNDDOWN(INDEX(Y$4:Y1644,MATCH(LARGE(FILTER(W$4:W1644,W$4:W1644&lt;=I976),1),W$4:W1644"&amp;"))+(I976-LARGE(FILTER(W$4:W1644,W$4:W1644&lt;=I976),1))*INDEX(T$4:T1644,MATCH(LARGE(FILTER(W$4:W1644,W$4:W1644&lt;=I976),1),W$4:W1644))-K976),1,
ROUNDDOWN(Y976-INDEX(K$4:K1644,MATCH(LARGE(FILTER(I$4:I1644,I$4:I1644&lt;=W976),1),I$4:I1644))-(W976-LARGE(FILTER(I$4:I"&amp;"1644,I$4:I1644&lt;=W976),1))*INDEX(F$4:F1644,MATCH(LARGE(FILTER(I$4:I1644,I$4:I1644&lt;=W976),1),I$4:I1644))))"),"")</f>
        <v/>
      </c>
      <c r="N976" s="60" t="str">
        <f t="shared" si="8"/>
        <v/>
      </c>
      <c r="O976" s="61" t="str">
        <f t="shared" si="9"/>
        <v/>
      </c>
      <c r="P976" s="56" t="str">
        <f t="shared" si="10"/>
        <v/>
      </c>
      <c r="Q976" s="105"/>
      <c r="R976" s="10"/>
      <c r="S976" s="59" t="str">
        <f t="array" ref="S976">IF(COUNTA(Q976:Q1644)=0,"",SUM((COUNTIF(Q$4:Q976,Upgrades!$B$3:$B$13)-COUNTIF(Q$4:Q976,"Sell_"&amp;Upgrades!$B$3:$B$13))*Upgrades!$D$3:$D$13))</f>
        <v/>
      </c>
      <c r="T976" s="66" t="str">
        <f>IFERROR(__xludf.DUMMYFUNCTION("IF(COUNTA(Q976:Q1644)=0,"""",IF(REGEXMATCH(INDEX(FILTER(Q$4:Q976,Q$4:Q976&lt;&gt;""""),ROWS(FILTER(Q$4:Q976,Q$4:Q976&lt;&gt;""""))),""^Sell_""),INDEX(FILTER(T$4:T975,Q$4:Q975&lt;&gt;""""),ROWS(FILTER(Q$4:Q975,Q$4:Q975&lt;&gt;""""))),$AD$5+S976))"),"")</f>
        <v/>
      </c>
      <c r="U976" s="10" t="str">
        <f>IFERROR(__xludf.DUMMYFUNCTION("IF(COUNTA(Q976:Q1644)=0,"""",IF(Q976="""",0,IF(REGEXMATCH(Q976,""^Sell_""),-ROUNDDOWN(ROUNDUP(INDEX(Upgrades!$C$3:$C$13,MATCH(SUBSTITUTE(Q976,""Sell_"",""""),Upgrades!$B$3:$B$13,0))*1.15^(COUNTIF(Q$4:Q975,SUBSTITUTE(Q976,""Sell_"",""""))-COUNTIF(Q$4:Q975,"&amp;"""Sell_""&amp;SUBSTITUTE(Q976,""Sell_"",""""))))/2),ROUNDUP(INDEX(Upgrades!$C$3:$C$13,MATCH(Q976,Upgrades!$B$3:$B$13,0))*1.15^(COUNTIF(Q$4:Q975,Q976)-COUNTIF(Q$4:Q975,""Sell_""&amp;Q976))))))"),"")</f>
        <v/>
      </c>
      <c r="V976" s="10" t="str">
        <f t="shared" si="11"/>
        <v/>
      </c>
      <c r="W976" s="68" t="str">
        <f t="shared" si="12"/>
        <v/>
      </c>
      <c r="X976" s="59" t="str">
        <f t="shared" si="13"/>
        <v/>
      </c>
      <c r="Y976" s="69" t="str">
        <f t="shared" si="14"/>
        <v/>
      </c>
      <c r="Z976" s="11"/>
      <c r="AG976" s="59"/>
    </row>
    <row r="977">
      <c r="A977" s="8"/>
      <c r="B977" s="56" t="str">
        <f t="shared" si="2"/>
        <v/>
      </c>
      <c r="C977" s="105"/>
      <c r="D977" s="10"/>
      <c r="E977" s="59" t="str">
        <f t="array" ref="E977">IF(COUNTA(C977:C1644)=0,"",SUM((COUNTIF(C$4:C977,Upgrades!$B$3:$B$13)-COUNTIF(C$4:C977,"Sell_"&amp;Upgrades!$B$3:$B$13))*Upgrades!$D$3:$D$13))</f>
        <v/>
      </c>
      <c r="F977" s="66" t="str">
        <f>IFERROR(__xludf.DUMMYFUNCTION("IF(COUNTA(C977:C1644)=0,"""",IF(REGEXMATCH(INDEX(FILTER(C$4:C977,C$4:C977&lt;&gt;""""),ROWS(FILTER(C$4:C977,C$4:C977&lt;&gt;""""))),""^Sell_""),INDEX(FILTER(F$4:F976,C$4:C976&lt;&gt;""""),ROWS(FILTER(C$4:C976,C$4:C976&lt;&gt;""""))),$AC$5+E977))"),"")</f>
        <v/>
      </c>
      <c r="G977" s="10" t="str">
        <f>IFERROR(__xludf.DUMMYFUNCTION("IF(COUNTA(C977:C1644)=0,"""",IF(C977="""",0,IF(REGEXMATCH(C977,""^Sell_""),-ROUNDDOWN(ROUNDUP(INDEX(Upgrades!$C$3:$C$13,MATCH(SUBSTITUTE(C977,""Sell_"",""""),Upgrades!$B$3:$B$13,0))*1.15^(COUNTIF(C$4:C976,SUBSTITUTE(C977,""Sell_"",""""))-COUNTIF(C$4:C976,"&amp;"""Sell_""&amp;SUBSTITUTE(C977,""Sell_"",""""))))/2),ROUNDUP(INDEX(Upgrades!$C$3:$C$13,MATCH(C977,Upgrades!$B$3:$B$13,0))*1.15^(COUNTIF(C$4:C976,C977)-COUNTIF(C$4:C976,""Sell_""&amp;C977))))))"),"")</f>
        <v/>
      </c>
      <c r="H977" s="10" t="str">
        <f t="shared" si="3"/>
        <v/>
      </c>
      <c r="I977" s="68" t="str">
        <f t="shared" si="4"/>
        <v/>
      </c>
      <c r="J977" s="59" t="str">
        <f t="shared" si="5"/>
        <v/>
      </c>
      <c r="K977" s="69" t="str">
        <f t="shared" si="6"/>
        <v/>
      </c>
      <c r="L977" s="60" t="str">
        <f t="shared" si="7"/>
        <v/>
      </c>
      <c r="M977" s="61" t="str">
        <f>IFERROR(__xludf.DUMMYFUNCTION("IFS(AND(COUNTA(C977:C1644)=0,COUNTA(Q977:Q1644)=0),"""",OR(AND(K977&gt;=1000000000,OR(Y977&gt;=1000000000,COUNTA(Q977:Q1644)=0)),OR(Y977&gt;=1000000000,AND(COUNTA(C977:C1644)=0,P$3=TRUE))),
ROUNDDOWN((AB$1-AC$1)*MAX(INDEX(T$4:T1644,MATCH(LARGE(FILTER(Y$4:Y1644,Y$4"&amp;":Y1644&lt;1000000000),1),Y$4:Y1644)),INDEX(F$4:F1644,MATCH(LARGE(FILTER(K$4:K1644,K$4:K1644&lt;1000000000),1),K$4:K1644)))),AND(K977&lt;1000000000,COUNTA(C977:C1644)&gt;0,P$3=FALSE),
ROUNDDOWN(INDEX(Y$4:Y1644,MATCH(LARGE(FILTER(W$4:W1644,W$4:W1644&lt;=I977),1),W$4:W1644"&amp;"))+(I977-LARGE(FILTER(W$4:W1644,W$4:W1644&lt;=I977),1))*INDEX(T$4:T1644,MATCH(LARGE(FILTER(W$4:W1644,W$4:W1644&lt;=I977),1),W$4:W1644))-K977),1,
ROUNDDOWN(Y977-INDEX(K$4:K1644,MATCH(LARGE(FILTER(I$4:I1644,I$4:I1644&lt;=W977),1),I$4:I1644))-(W977-LARGE(FILTER(I$4:I"&amp;"1644,I$4:I1644&lt;=W977),1))*INDEX(F$4:F1644,MATCH(LARGE(FILTER(I$4:I1644,I$4:I1644&lt;=W977),1),I$4:I1644))))"),"")</f>
        <v/>
      </c>
      <c r="N977" s="60" t="str">
        <f t="shared" si="8"/>
        <v/>
      </c>
      <c r="O977" s="61" t="str">
        <f t="shared" si="9"/>
        <v/>
      </c>
      <c r="P977" s="56" t="str">
        <f t="shared" si="10"/>
        <v/>
      </c>
      <c r="Q977" s="105"/>
      <c r="R977" s="10"/>
      <c r="S977" s="59" t="str">
        <f t="array" ref="S977">IF(COUNTA(Q977:Q1644)=0,"",SUM((COUNTIF(Q$4:Q977,Upgrades!$B$3:$B$13)-COUNTIF(Q$4:Q977,"Sell_"&amp;Upgrades!$B$3:$B$13))*Upgrades!$D$3:$D$13))</f>
        <v/>
      </c>
      <c r="T977" s="66" t="str">
        <f>IFERROR(__xludf.DUMMYFUNCTION("IF(COUNTA(Q977:Q1644)=0,"""",IF(REGEXMATCH(INDEX(FILTER(Q$4:Q977,Q$4:Q977&lt;&gt;""""),ROWS(FILTER(Q$4:Q977,Q$4:Q977&lt;&gt;""""))),""^Sell_""),INDEX(FILTER(T$4:T976,Q$4:Q976&lt;&gt;""""),ROWS(FILTER(Q$4:Q976,Q$4:Q976&lt;&gt;""""))),$AD$5+S977))"),"")</f>
        <v/>
      </c>
      <c r="U977" s="10" t="str">
        <f>IFERROR(__xludf.DUMMYFUNCTION("IF(COUNTA(Q977:Q1644)=0,"""",IF(Q977="""",0,IF(REGEXMATCH(Q977,""^Sell_""),-ROUNDDOWN(ROUNDUP(INDEX(Upgrades!$C$3:$C$13,MATCH(SUBSTITUTE(Q977,""Sell_"",""""),Upgrades!$B$3:$B$13,0))*1.15^(COUNTIF(Q$4:Q976,SUBSTITUTE(Q977,""Sell_"",""""))-COUNTIF(Q$4:Q976,"&amp;"""Sell_""&amp;SUBSTITUTE(Q977,""Sell_"",""""))))/2),ROUNDUP(INDEX(Upgrades!$C$3:$C$13,MATCH(Q977,Upgrades!$B$3:$B$13,0))*1.15^(COUNTIF(Q$4:Q976,Q977)-COUNTIF(Q$4:Q976,""Sell_""&amp;Q977))))))"),"")</f>
        <v/>
      </c>
      <c r="V977" s="10" t="str">
        <f t="shared" si="11"/>
        <v/>
      </c>
      <c r="W977" s="68" t="str">
        <f t="shared" si="12"/>
        <v/>
      </c>
      <c r="X977" s="59" t="str">
        <f t="shared" si="13"/>
        <v/>
      </c>
      <c r="Y977" s="69" t="str">
        <f t="shared" si="14"/>
        <v/>
      </c>
      <c r="Z977" s="11"/>
      <c r="AG977" s="59"/>
    </row>
    <row r="978">
      <c r="A978" s="8"/>
      <c r="B978" s="56" t="str">
        <f t="shared" si="2"/>
        <v/>
      </c>
      <c r="C978" s="105"/>
      <c r="D978" s="10"/>
      <c r="E978" s="59" t="str">
        <f t="array" ref="E978">IF(COUNTA(C978:C1644)=0,"",SUM((COUNTIF(C$4:C978,Upgrades!$B$3:$B$13)-COUNTIF(C$4:C978,"Sell_"&amp;Upgrades!$B$3:$B$13))*Upgrades!$D$3:$D$13))</f>
        <v/>
      </c>
      <c r="F978" s="66" t="str">
        <f>IFERROR(__xludf.DUMMYFUNCTION("IF(COUNTA(C978:C1644)=0,"""",IF(REGEXMATCH(INDEX(FILTER(C$4:C978,C$4:C978&lt;&gt;""""),ROWS(FILTER(C$4:C978,C$4:C978&lt;&gt;""""))),""^Sell_""),INDEX(FILTER(F$4:F977,C$4:C977&lt;&gt;""""),ROWS(FILTER(C$4:C977,C$4:C977&lt;&gt;""""))),$AC$5+E978))"),"")</f>
        <v/>
      </c>
      <c r="G978" s="10" t="str">
        <f>IFERROR(__xludf.DUMMYFUNCTION("IF(COUNTA(C978:C1644)=0,"""",IF(C978="""",0,IF(REGEXMATCH(C978,""^Sell_""),-ROUNDDOWN(ROUNDUP(INDEX(Upgrades!$C$3:$C$13,MATCH(SUBSTITUTE(C978,""Sell_"",""""),Upgrades!$B$3:$B$13,0))*1.15^(COUNTIF(C$4:C977,SUBSTITUTE(C978,""Sell_"",""""))-COUNTIF(C$4:C977,"&amp;"""Sell_""&amp;SUBSTITUTE(C978,""Sell_"",""""))))/2),ROUNDUP(INDEX(Upgrades!$C$3:$C$13,MATCH(C978,Upgrades!$B$3:$B$13,0))*1.15^(COUNTIF(C$4:C977,C978)-COUNTIF(C$4:C977,""Sell_""&amp;C978))))))"),"")</f>
        <v/>
      </c>
      <c r="H978" s="10" t="str">
        <f t="shared" si="3"/>
        <v/>
      </c>
      <c r="I978" s="68" t="str">
        <f t="shared" si="4"/>
        <v/>
      </c>
      <c r="J978" s="59" t="str">
        <f t="shared" si="5"/>
        <v/>
      </c>
      <c r="K978" s="69" t="str">
        <f t="shared" si="6"/>
        <v/>
      </c>
      <c r="L978" s="60" t="str">
        <f t="shared" si="7"/>
        <v/>
      </c>
      <c r="M978" s="61" t="str">
        <f>IFERROR(__xludf.DUMMYFUNCTION("IFS(AND(COUNTA(C978:C1644)=0,COUNTA(Q978:Q1644)=0),"""",OR(AND(K978&gt;=1000000000,OR(Y978&gt;=1000000000,COUNTA(Q978:Q1644)=0)),OR(Y978&gt;=1000000000,AND(COUNTA(C978:C1644)=0,P$3=TRUE))),
ROUNDDOWN((AB$1-AC$1)*MAX(INDEX(T$4:T1644,MATCH(LARGE(FILTER(Y$4:Y1644,Y$4"&amp;":Y1644&lt;1000000000),1),Y$4:Y1644)),INDEX(F$4:F1644,MATCH(LARGE(FILTER(K$4:K1644,K$4:K1644&lt;1000000000),1),K$4:K1644)))),AND(K978&lt;1000000000,COUNTA(C978:C1644)&gt;0,P$3=FALSE),
ROUNDDOWN(INDEX(Y$4:Y1644,MATCH(LARGE(FILTER(W$4:W1644,W$4:W1644&lt;=I978),1),W$4:W1644"&amp;"))+(I978-LARGE(FILTER(W$4:W1644,W$4:W1644&lt;=I978),1))*INDEX(T$4:T1644,MATCH(LARGE(FILTER(W$4:W1644,W$4:W1644&lt;=I978),1),W$4:W1644))-K978),1,
ROUNDDOWN(Y978-INDEX(K$4:K1644,MATCH(LARGE(FILTER(I$4:I1644,I$4:I1644&lt;=W978),1),I$4:I1644))-(W978-LARGE(FILTER(I$4:I"&amp;"1644,I$4:I1644&lt;=W978),1))*INDEX(F$4:F1644,MATCH(LARGE(FILTER(I$4:I1644,I$4:I1644&lt;=W978),1),I$4:I1644))))"),"")</f>
        <v/>
      </c>
      <c r="N978" s="60" t="str">
        <f t="shared" si="8"/>
        <v/>
      </c>
      <c r="O978" s="61" t="str">
        <f t="shared" si="9"/>
        <v/>
      </c>
      <c r="P978" s="56" t="str">
        <f t="shared" si="10"/>
        <v/>
      </c>
      <c r="Q978" s="105"/>
      <c r="R978" s="10"/>
      <c r="S978" s="59" t="str">
        <f t="array" ref="S978">IF(COUNTA(Q978:Q1644)=0,"",SUM((COUNTIF(Q$4:Q978,Upgrades!$B$3:$B$13)-COUNTIF(Q$4:Q978,"Sell_"&amp;Upgrades!$B$3:$B$13))*Upgrades!$D$3:$D$13))</f>
        <v/>
      </c>
      <c r="T978" s="66" t="str">
        <f>IFERROR(__xludf.DUMMYFUNCTION("IF(COUNTA(Q978:Q1644)=0,"""",IF(REGEXMATCH(INDEX(FILTER(Q$4:Q978,Q$4:Q978&lt;&gt;""""),ROWS(FILTER(Q$4:Q978,Q$4:Q978&lt;&gt;""""))),""^Sell_""),INDEX(FILTER(T$4:T977,Q$4:Q977&lt;&gt;""""),ROWS(FILTER(Q$4:Q977,Q$4:Q977&lt;&gt;""""))),$AD$5+S978))"),"")</f>
        <v/>
      </c>
      <c r="U978" s="10" t="str">
        <f>IFERROR(__xludf.DUMMYFUNCTION("IF(COUNTA(Q978:Q1644)=0,"""",IF(Q978="""",0,IF(REGEXMATCH(Q978,""^Sell_""),-ROUNDDOWN(ROUNDUP(INDEX(Upgrades!$C$3:$C$13,MATCH(SUBSTITUTE(Q978,""Sell_"",""""),Upgrades!$B$3:$B$13,0))*1.15^(COUNTIF(Q$4:Q977,SUBSTITUTE(Q978,""Sell_"",""""))-COUNTIF(Q$4:Q977,"&amp;"""Sell_""&amp;SUBSTITUTE(Q978,""Sell_"",""""))))/2),ROUNDUP(INDEX(Upgrades!$C$3:$C$13,MATCH(Q978,Upgrades!$B$3:$B$13,0))*1.15^(COUNTIF(Q$4:Q977,Q978)-COUNTIF(Q$4:Q977,""Sell_""&amp;Q978))))))"),"")</f>
        <v/>
      </c>
      <c r="V978" s="10" t="str">
        <f t="shared" si="11"/>
        <v/>
      </c>
      <c r="W978" s="68" t="str">
        <f t="shared" si="12"/>
        <v/>
      </c>
      <c r="X978" s="59" t="str">
        <f t="shared" si="13"/>
        <v/>
      </c>
      <c r="Y978" s="69" t="str">
        <f t="shared" si="14"/>
        <v/>
      </c>
      <c r="Z978" s="11"/>
      <c r="AG978" s="59"/>
    </row>
    <row r="979">
      <c r="A979" s="8"/>
      <c r="B979" s="56" t="str">
        <f t="shared" si="2"/>
        <v/>
      </c>
      <c r="C979" s="105"/>
      <c r="D979" s="10"/>
      <c r="E979" s="59" t="str">
        <f t="array" ref="E979">IF(COUNTA(C979:C1644)=0,"",SUM((COUNTIF(C$4:C979,Upgrades!$B$3:$B$13)-COUNTIF(C$4:C979,"Sell_"&amp;Upgrades!$B$3:$B$13))*Upgrades!$D$3:$D$13))</f>
        <v/>
      </c>
      <c r="F979" s="66" t="str">
        <f>IFERROR(__xludf.DUMMYFUNCTION("IF(COUNTA(C979:C1644)=0,"""",IF(REGEXMATCH(INDEX(FILTER(C$4:C979,C$4:C979&lt;&gt;""""),ROWS(FILTER(C$4:C979,C$4:C979&lt;&gt;""""))),""^Sell_""),INDEX(FILTER(F$4:F978,C$4:C978&lt;&gt;""""),ROWS(FILTER(C$4:C978,C$4:C978&lt;&gt;""""))),$AC$5+E979))"),"")</f>
        <v/>
      </c>
      <c r="G979" s="10" t="str">
        <f>IFERROR(__xludf.DUMMYFUNCTION("IF(COUNTA(C979:C1644)=0,"""",IF(C979="""",0,IF(REGEXMATCH(C979,""^Sell_""),-ROUNDDOWN(ROUNDUP(INDEX(Upgrades!$C$3:$C$13,MATCH(SUBSTITUTE(C979,""Sell_"",""""),Upgrades!$B$3:$B$13,0))*1.15^(COUNTIF(C$4:C978,SUBSTITUTE(C979,""Sell_"",""""))-COUNTIF(C$4:C978,"&amp;"""Sell_""&amp;SUBSTITUTE(C979,""Sell_"",""""))))/2),ROUNDUP(INDEX(Upgrades!$C$3:$C$13,MATCH(C979,Upgrades!$B$3:$B$13,0))*1.15^(COUNTIF(C$4:C978,C979)-COUNTIF(C$4:C978,""Sell_""&amp;C979))))))"),"")</f>
        <v/>
      </c>
      <c r="H979" s="10" t="str">
        <f t="shared" si="3"/>
        <v/>
      </c>
      <c r="I979" s="68" t="str">
        <f t="shared" si="4"/>
        <v/>
      </c>
      <c r="J979" s="59" t="str">
        <f t="shared" si="5"/>
        <v/>
      </c>
      <c r="K979" s="69" t="str">
        <f t="shared" si="6"/>
        <v/>
      </c>
      <c r="L979" s="60" t="str">
        <f t="shared" si="7"/>
        <v/>
      </c>
      <c r="M979" s="61" t="str">
        <f>IFERROR(__xludf.DUMMYFUNCTION("IFS(AND(COUNTA(C979:C1644)=0,COUNTA(Q979:Q1644)=0),"""",OR(AND(K979&gt;=1000000000,OR(Y979&gt;=1000000000,COUNTA(Q979:Q1644)=0)),OR(Y979&gt;=1000000000,AND(COUNTA(C979:C1644)=0,P$3=TRUE))),
ROUNDDOWN((AB$1-AC$1)*MAX(INDEX(T$4:T1644,MATCH(LARGE(FILTER(Y$4:Y1644,Y$4"&amp;":Y1644&lt;1000000000),1),Y$4:Y1644)),INDEX(F$4:F1644,MATCH(LARGE(FILTER(K$4:K1644,K$4:K1644&lt;1000000000),1),K$4:K1644)))),AND(K979&lt;1000000000,COUNTA(C979:C1644)&gt;0,P$3=FALSE),
ROUNDDOWN(INDEX(Y$4:Y1644,MATCH(LARGE(FILTER(W$4:W1644,W$4:W1644&lt;=I979),1),W$4:W1644"&amp;"))+(I979-LARGE(FILTER(W$4:W1644,W$4:W1644&lt;=I979),1))*INDEX(T$4:T1644,MATCH(LARGE(FILTER(W$4:W1644,W$4:W1644&lt;=I979),1),W$4:W1644))-K979),1,
ROUNDDOWN(Y979-INDEX(K$4:K1644,MATCH(LARGE(FILTER(I$4:I1644,I$4:I1644&lt;=W979),1),I$4:I1644))-(W979-LARGE(FILTER(I$4:I"&amp;"1644,I$4:I1644&lt;=W979),1))*INDEX(F$4:F1644,MATCH(LARGE(FILTER(I$4:I1644,I$4:I1644&lt;=W979),1),I$4:I1644))))"),"")</f>
        <v/>
      </c>
      <c r="N979" s="60" t="str">
        <f t="shared" si="8"/>
        <v/>
      </c>
      <c r="O979" s="61" t="str">
        <f t="shared" si="9"/>
        <v/>
      </c>
      <c r="P979" s="56" t="str">
        <f t="shared" si="10"/>
        <v/>
      </c>
      <c r="Q979" s="105"/>
      <c r="R979" s="10"/>
      <c r="S979" s="59" t="str">
        <f t="array" ref="S979">IF(COUNTA(Q979:Q1644)=0,"",SUM((COUNTIF(Q$4:Q979,Upgrades!$B$3:$B$13)-COUNTIF(Q$4:Q979,"Sell_"&amp;Upgrades!$B$3:$B$13))*Upgrades!$D$3:$D$13))</f>
        <v/>
      </c>
      <c r="T979" s="66" t="str">
        <f>IFERROR(__xludf.DUMMYFUNCTION("IF(COUNTA(Q979:Q1644)=0,"""",IF(REGEXMATCH(INDEX(FILTER(Q$4:Q979,Q$4:Q979&lt;&gt;""""),ROWS(FILTER(Q$4:Q979,Q$4:Q979&lt;&gt;""""))),""^Sell_""),INDEX(FILTER(T$4:T978,Q$4:Q978&lt;&gt;""""),ROWS(FILTER(Q$4:Q978,Q$4:Q978&lt;&gt;""""))),$AD$5+S979))"),"")</f>
        <v/>
      </c>
      <c r="U979" s="10" t="str">
        <f>IFERROR(__xludf.DUMMYFUNCTION("IF(COUNTA(Q979:Q1644)=0,"""",IF(Q979="""",0,IF(REGEXMATCH(Q979,""^Sell_""),-ROUNDDOWN(ROUNDUP(INDEX(Upgrades!$C$3:$C$13,MATCH(SUBSTITUTE(Q979,""Sell_"",""""),Upgrades!$B$3:$B$13,0))*1.15^(COUNTIF(Q$4:Q978,SUBSTITUTE(Q979,""Sell_"",""""))-COUNTIF(Q$4:Q978,"&amp;"""Sell_""&amp;SUBSTITUTE(Q979,""Sell_"",""""))))/2),ROUNDUP(INDEX(Upgrades!$C$3:$C$13,MATCH(Q979,Upgrades!$B$3:$B$13,0))*1.15^(COUNTIF(Q$4:Q978,Q979)-COUNTIF(Q$4:Q978,""Sell_""&amp;Q979))))))"),"")</f>
        <v/>
      </c>
      <c r="V979" s="10" t="str">
        <f t="shared" si="11"/>
        <v/>
      </c>
      <c r="W979" s="68" t="str">
        <f t="shared" si="12"/>
        <v/>
      </c>
      <c r="X979" s="59" t="str">
        <f t="shared" si="13"/>
        <v/>
      </c>
      <c r="Y979" s="69" t="str">
        <f t="shared" si="14"/>
        <v/>
      </c>
      <c r="Z979" s="11"/>
      <c r="AG979" s="59"/>
    </row>
    <row r="980">
      <c r="A980" s="8"/>
      <c r="B980" s="56" t="str">
        <f t="shared" si="2"/>
        <v/>
      </c>
      <c r="C980" s="105"/>
      <c r="D980" s="10"/>
      <c r="E980" s="59" t="str">
        <f t="array" ref="E980">IF(COUNTA(C980:C1644)=0,"",SUM((COUNTIF(C$4:C980,Upgrades!$B$3:$B$13)-COUNTIF(C$4:C980,"Sell_"&amp;Upgrades!$B$3:$B$13))*Upgrades!$D$3:$D$13))</f>
        <v/>
      </c>
      <c r="F980" s="66" t="str">
        <f>IFERROR(__xludf.DUMMYFUNCTION("IF(COUNTA(C980:C1644)=0,"""",IF(REGEXMATCH(INDEX(FILTER(C$4:C980,C$4:C980&lt;&gt;""""),ROWS(FILTER(C$4:C980,C$4:C980&lt;&gt;""""))),""^Sell_""),INDEX(FILTER(F$4:F979,C$4:C979&lt;&gt;""""),ROWS(FILTER(C$4:C979,C$4:C979&lt;&gt;""""))),$AC$5+E980))"),"")</f>
        <v/>
      </c>
      <c r="G980" s="10" t="str">
        <f>IFERROR(__xludf.DUMMYFUNCTION("IF(COUNTA(C980:C1644)=0,"""",IF(C980="""",0,IF(REGEXMATCH(C980,""^Sell_""),-ROUNDDOWN(ROUNDUP(INDEX(Upgrades!$C$3:$C$13,MATCH(SUBSTITUTE(C980,""Sell_"",""""),Upgrades!$B$3:$B$13,0))*1.15^(COUNTIF(C$4:C979,SUBSTITUTE(C980,""Sell_"",""""))-COUNTIF(C$4:C979,"&amp;"""Sell_""&amp;SUBSTITUTE(C980,""Sell_"",""""))))/2),ROUNDUP(INDEX(Upgrades!$C$3:$C$13,MATCH(C980,Upgrades!$B$3:$B$13,0))*1.15^(COUNTIF(C$4:C979,C980)-COUNTIF(C$4:C979,""Sell_""&amp;C980))))))"),"")</f>
        <v/>
      </c>
      <c r="H980" s="10" t="str">
        <f t="shared" si="3"/>
        <v/>
      </c>
      <c r="I980" s="68" t="str">
        <f t="shared" si="4"/>
        <v/>
      </c>
      <c r="J980" s="59" t="str">
        <f t="shared" si="5"/>
        <v/>
      </c>
      <c r="K980" s="69" t="str">
        <f t="shared" si="6"/>
        <v/>
      </c>
      <c r="L980" s="60" t="str">
        <f t="shared" si="7"/>
        <v/>
      </c>
      <c r="M980" s="61" t="str">
        <f>IFERROR(__xludf.DUMMYFUNCTION("IFS(AND(COUNTA(C980:C1644)=0,COUNTA(Q980:Q1644)=0),"""",OR(AND(K980&gt;=1000000000,OR(Y980&gt;=1000000000,COUNTA(Q980:Q1644)=0)),OR(Y980&gt;=1000000000,AND(COUNTA(C980:C1644)=0,P$3=TRUE))),
ROUNDDOWN((AB$1-AC$1)*MAX(INDEX(T$4:T1644,MATCH(LARGE(FILTER(Y$4:Y1644,Y$4"&amp;":Y1644&lt;1000000000),1),Y$4:Y1644)),INDEX(F$4:F1644,MATCH(LARGE(FILTER(K$4:K1644,K$4:K1644&lt;1000000000),1),K$4:K1644)))),AND(K980&lt;1000000000,COUNTA(C980:C1644)&gt;0,P$3=FALSE),
ROUNDDOWN(INDEX(Y$4:Y1644,MATCH(LARGE(FILTER(W$4:W1644,W$4:W1644&lt;=I980),1),W$4:W1644"&amp;"))+(I980-LARGE(FILTER(W$4:W1644,W$4:W1644&lt;=I980),1))*INDEX(T$4:T1644,MATCH(LARGE(FILTER(W$4:W1644,W$4:W1644&lt;=I980),1),W$4:W1644))-K980),1,
ROUNDDOWN(Y980-INDEX(K$4:K1644,MATCH(LARGE(FILTER(I$4:I1644,I$4:I1644&lt;=W980),1),I$4:I1644))-(W980-LARGE(FILTER(I$4:I"&amp;"1644,I$4:I1644&lt;=W980),1))*INDEX(F$4:F1644,MATCH(LARGE(FILTER(I$4:I1644,I$4:I1644&lt;=W980),1),I$4:I1644))))"),"")</f>
        <v/>
      </c>
      <c r="N980" s="60" t="str">
        <f t="shared" si="8"/>
        <v/>
      </c>
      <c r="O980" s="61" t="str">
        <f t="shared" si="9"/>
        <v/>
      </c>
      <c r="P980" s="56" t="str">
        <f t="shared" si="10"/>
        <v/>
      </c>
      <c r="Q980" s="105"/>
      <c r="R980" s="10"/>
      <c r="S980" s="59" t="str">
        <f t="array" ref="S980">IF(COUNTA(Q980:Q1644)=0,"",SUM((COUNTIF(Q$4:Q980,Upgrades!$B$3:$B$13)-COUNTIF(Q$4:Q980,"Sell_"&amp;Upgrades!$B$3:$B$13))*Upgrades!$D$3:$D$13))</f>
        <v/>
      </c>
      <c r="T980" s="66" t="str">
        <f>IFERROR(__xludf.DUMMYFUNCTION("IF(COUNTA(Q980:Q1644)=0,"""",IF(REGEXMATCH(INDEX(FILTER(Q$4:Q980,Q$4:Q980&lt;&gt;""""),ROWS(FILTER(Q$4:Q980,Q$4:Q980&lt;&gt;""""))),""^Sell_""),INDEX(FILTER(T$4:T979,Q$4:Q979&lt;&gt;""""),ROWS(FILTER(Q$4:Q979,Q$4:Q979&lt;&gt;""""))),$AD$5+S980))"),"")</f>
        <v/>
      </c>
      <c r="U980" s="10" t="str">
        <f>IFERROR(__xludf.DUMMYFUNCTION("IF(COUNTA(Q980:Q1644)=0,"""",IF(Q980="""",0,IF(REGEXMATCH(Q980,""^Sell_""),-ROUNDDOWN(ROUNDUP(INDEX(Upgrades!$C$3:$C$13,MATCH(SUBSTITUTE(Q980,""Sell_"",""""),Upgrades!$B$3:$B$13,0))*1.15^(COUNTIF(Q$4:Q979,SUBSTITUTE(Q980,""Sell_"",""""))-COUNTIF(Q$4:Q979,"&amp;"""Sell_""&amp;SUBSTITUTE(Q980,""Sell_"",""""))))/2),ROUNDUP(INDEX(Upgrades!$C$3:$C$13,MATCH(Q980,Upgrades!$B$3:$B$13,0))*1.15^(COUNTIF(Q$4:Q979,Q980)-COUNTIF(Q$4:Q979,""Sell_""&amp;Q980))))))"),"")</f>
        <v/>
      </c>
      <c r="V980" s="10" t="str">
        <f t="shared" si="11"/>
        <v/>
      </c>
      <c r="W980" s="68" t="str">
        <f t="shared" si="12"/>
        <v/>
      </c>
      <c r="X980" s="59" t="str">
        <f t="shared" si="13"/>
        <v/>
      </c>
      <c r="Y980" s="69" t="str">
        <f t="shared" si="14"/>
        <v/>
      </c>
      <c r="Z980" s="11"/>
      <c r="AG980" s="59"/>
    </row>
    <row r="981">
      <c r="A981" s="8"/>
      <c r="B981" s="56" t="str">
        <f t="shared" si="2"/>
        <v/>
      </c>
      <c r="C981" s="105"/>
      <c r="D981" s="10"/>
      <c r="E981" s="59" t="str">
        <f t="array" ref="E981">IF(COUNTA(C981:C1644)=0,"",SUM((COUNTIF(C$4:C981,Upgrades!$B$3:$B$13)-COUNTIF(C$4:C981,"Sell_"&amp;Upgrades!$B$3:$B$13))*Upgrades!$D$3:$D$13))</f>
        <v/>
      </c>
      <c r="F981" s="66" t="str">
        <f>IFERROR(__xludf.DUMMYFUNCTION("IF(COUNTA(C981:C1644)=0,"""",IF(REGEXMATCH(INDEX(FILTER(C$4:C981,C$4:C981&lt;&gt;""""),ROWS(FILTER(C$4:C981,C$4:C981&lt;&gt;""""))),""^Sell_""),INDEX(FILTER(F$4:F980,C$4:C980&lt;&gt;""""),ROWS(FILTER(C$4:C980,C$4:C980&lt;&gt;""""))),$AC$5+E981))"),"")</f>
        <v/>
      </c>
      <c r="G981" s="10" t="str">
        <f>IFERROR(__xludf.DUMMYFUNCTION("IF(COUNTA(C981:C1644)=0,"""",IF(C981="""",0,IF(REGEXMATCH(C981,""^Sell_""),-ROUNDDOWN(ROUNDUP(INDEX(Upgrades!$C$3:$C$13,MATCH(SUBSTITUTE(C981,""Sell_"",""""),Upgrades!$B$3:$B$13,0))*1.15^(COUNTIF(C$4:C980,SUBSTITUTE(C981,""Sell_"",""""))-COUNTIF(C$4:C980,"&amp;"""Sell_""&amp;SUBSTITUTE(C981,""Sell_"",""""))))/2),ROUNDUP(INDEX(Upgrades!$C$3:$C$13,MATCH(C981,Upgrades!$B$3:$B$13,0))*1.15^(COUNTIF(C$4:C980,C981)-COUNTIF(C$4:C980,""Sell_""&amp;C981))))))"),"")</f>
        <v/>
      </c>
      <c r="H981" s="10" t="str">
        <f t="shared" si="3"/>
        <v/>
      </c>
      <c r="I981" s="68" t="str">
        <f t="shared" si="4"/>
        <v/>
      </c>
      <c r="J981" s="59" t="str">
        <f t="shared" si="5"/>
        <v/>
      </c>
      <c r="K981" s="69" t="str">
        <f t="shared" si="6"/>
        <v/>
      </c>
      <c r="L981" s="60" t="str">
        <f t="shared" si="7"/>
        <v/>
      </c>
      <c r="M981" s="61" t="str">
        <f>IFERROR(__xludf.DUMMYFUNCTION("IFS(AND(COUNTA(C981:C1644)=0,COUNTA(Q981:Q1644)=0),"""",OR(AND(K981&gt;=1000000000,OR(Y981&gt;=1000000000,COUNTA(Q981:Q1644)=0)),OR(Y981&gt;=1000000000,AND(COUNTA(C981:C1644)=0,P$3=TRUE))),
ROUNDDOWN((AB$1-AC$1)*MAX(INDEX(T$4:T1644,MATCH(LARGE(FILTER(Y$4:Y1644,Y$4"&amp;":Y1644&lt;1000000000),1),Y$4:Y1644)),INDEX(F$4:F1644,MATCH(LARGE(FILTER(K$4:K1644,K$4:K1644&lt;1000000000),1),K$4:K1644)))),AND(K981&lt;1000000000,COUNTA(C981:C1644)&gt;0,P$3=FALSE),
ROUNDDOWN(INDEX(Y$4:Y1644,MATCH(LARGE(FILTER(W$4:W1644,W$4:W1644&lt;=I981),1),W$4:W1644"&amp;"))+(I981-LARGE(FILTER(W$4:W1644,W$4:W1644&lt;=I981),1))*INDEX(T$4:T1644,MATCH(LARGE(FILTER(W$4:W1644,W$4:W1644&lt;=I981),1),W$4:W1644))-K981),1,
ROUNDDOWN(Y981-INDEX(K$4:K1644,MATCH(LARGE(FILTER(I$4:I1644,I$4:I1644&lt;=W981),1),I$4:I1644))-(W981-LARGE(FILTER(I$4:I"&amp;"1644,I$4:I1644&lt;=W981),1))*INDEX(F$4:F1644,MATCH(LARGE(FILTER(I$4:I1644,I$4:I1644&lt;=W981),1),I$4:I1644))))"),"")</f>
        <v/>
      </c>
      <c r="N981" s="60" t="str">
        <f t="shared" si="8"/>
        <v/>
      </c>
      <c r="O981" s="61" t="str">
        <f t="shared" si="9"/>
        <v/>
      </c>
      <c r="P981" s="56" t="str">
        <f t="shared" si="10"/>
        <v/>
      </c>
      <c r="Q981" s="105"/>
      <c r="R981" s="10"/>
      <c r="S981" s="59" t="str">
        <f t="array" ref="S981">IF(COUNTA(Q981:Q1644)=0,"",SUM((COUNTIF(Q$4:Q981,Upgrades!$B$3:$B$13)-COUNTIF(Q$4:Q981,"Sell_"&amp;Upgrades!$B$3:$B$13))*Upgrades!$D$3:$D$13))</f>
        <v/>
      </c>
      <c r="T981" s="66" t="str">
        <f>IFERROR(__xludf.DUMMYFUNCTION("IF(COUNTA(Q981:Q1644)=0,"""",IF(REGEXMATCH(INDEX(FILTER(Q$4:Q981,Q$4:Q981&lt;&gt;""""),ROWS(FILTER(Q$4:Q981,Q$4:Q981&lt;&gt;""""))),""^Sell_""),INDEX(FILTER(T$4:T980,Q$4:Q980&lt;&gt;""""),ROWS(FILTER(Q$4:Q980,Q$4:Q980&lt;&gt;""""))),$AD$5+S981))"),"")</f>
        <v/>
      </c>
      <c r="U981" s="10" t="str">
        <f>IFERROR(__xludf.DUMMYFUNCTION("IF(COUNTA(Q981:Q1644)=0,"""",IF(Q981="""",0,IF(REGEXMATCH(Q981,""^Sell_""),-ROUNDDOWN(ROUNDUP(INDEX(Upgrades!$C$3:$C$13,MATCH(SUBSTITUTE(Q981,""Sell_"",""""),Upgrades!$B$3:$B$13,0))*1.15^(COUNTIF(Q$4:Q980,SUBSTITUTE(Q981,""Sell_"",""""))-COUNTIF(Q$4:Q980,"&amp;"""Sell_""&amp;SUBSTITUTE(Q981,""Sell_"",""""))))/2),ROUNDUP(INDEX(Upgrades!$C$3:$C$13,MATCH(Q981,Upgrades!$B$3:$B$13,0))*1.15^(COUNTIF(Q$4:Q980,Q981)-COUNTIF(Q$4:Q980,""Sell_""&amp;Q981))))))"),"")</f>
        <v/>
      </c>
      <c r="V981" s="10" t="str">
        <f t="shared" si="11"/>
        <v/>
      </c>
      <c r="W981" s="68" t="str">
        <f t="shared" si="12"/>
        <v/>
      </c>
      <c r="X981" s="59" t="str">
        <f t="shared" si="13"/>
        <v/>
      </c>
      <c r="Y981" s="69" t="str">
        <f t="shared" si="14"/>
        <v/>
      </c>
      <c r="Z981" s="11"/>
      <c r="AG981" s="59"/>
    </row>
    <row r="982">
      <c r="A982" s="8"/>
      <c r="B982" s="56" t="str">
        <f t="shared" si="2"/>
        <v/>
      </c>
      <c r="C982" s="105"/>
      <c r="D982" s="10"/>
      <c r="E982" s="59" t="str">
        <f t="array" ref="E982">IF(COUNTA(C982:C1644)=0,"",SUM((COUNTIF(C$4:C982,Upgrades!$B$3:$B$13)-COUNTIF(C$4:C982,"Sell_"&amp;Upgrades!$B$3:$B$13))*Upgrades!$D$3:$D$13))</f>
        <v/>
      </c>
      <c r="F982" s="66" t="str">
        <f>IFERROR(__xludf.DUMMYFUNCTION("IF(COUNTA(C982:C1644)=0,"""",IF(REGEXMATCH(INDEX(FILTER(C$4:C982,C$4:C982&lt;&gt;""""),ROWS(FILTER(C$4:C982,C$4:C982&lt;&gt;""""))),""^Sell_""),INDEX(FILTER(F$4:F981,C$4:C981&lt;&gt;""""),ROWS(FILTER(C$4:C981,C$4:C981&lt;&gt;""""))),$AC$5+E982))"),"")</f>
        <v/>
      </c>
      <c r="G982" s="10" t="str">
        <f>IFERROR(__xludf.DUMMYFUNCTION("IF(COUNTA(C982:C1644)=0,"""",IF(C982="""",0,IF(REGEXMATCH(C982,""^Sell_""),-ROUNDDOWN(ROUNDUP(INDEX(Upgrades!$C$3:$C$13,MATCH(SUBSTITUTE(C982,""Sell_"",""""),Upgrades!$B$3:$B$13,0))*1.15^(COUNTIF(C$4:C981,SUBSTITUTE(C982,""Sell_"",""""))-COUNTIF(C$4:C981,"&amp;"""Sell_""&amp;SUBSTITUTE(C982,""Sell_"",""""))))/2),ROUNDUP(INDEX(Upgrades!$C$3:$C$13,MATCH(C982,Upgrades!$B$3:$B$13,0))*1.15^(COUNTIF(C$4:C981,C982)-COUNTIF(C$4:C981,""Sell_""&amp;C982))))))"),"")</f>
        <v/>
      </c>
      <c r="H982" s="10" t="str">
        <f t="shared" si="3"/>
        <v/>
      </c>
      <c r="I982" s="68" t="str">
        <f t="shared" si="4"/>
        <v/>
      </c>
      <c r="J982" s="59" t="str">
        <f t="shared" si="5"/>
        <v/>
      </c>
      <c r="K982" s="69" t="str">
        <f t="shared" si="6"/>
        <v/>
      </c>
      <c r="L982" s="60" t="str">
        <f t="shared" si="7"/>
        <v/>
      </c>
      <c r="M982" s="61" t="str">
        <f>IFERROR(__xludf.DUMMYFUNCTION("IFS(AND(COUNTA(C982:C1644)=0,COUNTA(Q982:Q1644)=0),"""",OR(AND(K982&gt;=1000000000,OR(Y982&gt;=1000000000,COUNTA(Q982:Q1644)=0)),OR(Y982&gt;=1000000000,AND(COUNTA(C982:C1644)=0,P$3=TRUE))),
ROUNDDOWN((AB$1-AC$1)*MAX(INDEX(T$4:T1644,MATCH(LARGE(FILTER(Y$4:Y1644,Y$4"&amp;":Y1644&lt;1000000000),1),Y$4:Y1644)),INDEX(F$4:F1644,MATCH(LARGE(FILTER(K$4:K1644,K$4:K1644&lt;1000000000),1),K$4:K1644)))),AND(K982&lt;1000000000,COUNTA(C982:C1644)&gt;0,P$3=FALSE),
ROUNDDOWN(INDEX(Y$4:Y1644,MATCH(LARGE(FILTER(W$4:W1644,W$4:W1644&lt;=I982),1),W$4:W1644"&amp;"))+(I982-LARGE(FILTER(W$4:W1644,W$4:W1644&lt;=I982),1))*INDEX(T$4:T1644,MATCH(LARGE(FILTER(W$4:W1644,W$4:W1644&lt;=I982),1),W$4:W1644))-K982),1,
ROUNDDOWN(Y982-INDEX(K$4:K1644,MATCH(LARGE(FILTER(I$4:I1644,I$4:I1644&lt;=W982),1),I$4:I1644))-(W982-LARGE(FILTER(I$4:I"&amp;"1644,I$4:I1644&lt;=W982),1))*INDEX(F$4:F1644,MATCH(LARGE(FILTER(I$4:I1644,I$4:I1644&lt;=W982),1),I$4:I1644))))"),"")</f>
        <v/>
      </c>
      <c r="N982" s="60" t="str">
        <f t="shared" si="8"/>
        <v/>
      </c>
      <c r="O982" s="61" t="str">
        <f t="shared" si="9"/>
        <v/>
      </c>
      <c r="P982" s="56" t="str">
        <f t="shared" si="10"/>
        <v/>
      </c>
      <c r="Q982" s="105"/>
      <c r="R982" s="10"/>
      <c r="S982" s="59" t="str">
        <f t="array" ref="S982">IF(COUNTA(Q982:Q1644)=0,"",SUM((COUNTIF(Q$4:Q982,Upgrades!$B$3:$B$13)-COUNTIF(Q$4:Q982,"Sell_"&amp;Upgrades!$B$3:$B$13))*Upgrades!$D$3:$D$13))</f>
        <v/>
      </c>
      <c r="T982" s="66" t="str">
        <f>IFERROR(__xludf.DUMMYFUNCTION("IF(COUNTA(Q982:Q1644)=0,"""",IF(REGEXMATCH(INDEX(FILTER(Q$4:Q982,Q$4:Q982&lt;&gt;""""),ROWS(FILTER(Q$4:Q982,Q$4:Q982&lt;&gt;""""))),""^Sell_""),INDEX(FILTER(T$4:T981,Q$4:Q981&lt;&gt;""""),ROWS(FILTER(Q$4:Q981,Q$4:Q981&lt;&gt;""""))),$AD$5+S982))"),"")</f>
        <v/>
      </c>
      <c r="U982" s="10" t="str">
        <f>IFERROR(__xludf.DUMMYFUNCTION("IF(COUNTA(Q982:Q1644)=0,"""",IF(Q982="""",0,IF(REGEXMATCH(Q982,""^Sell_""),-ROUNDDOWN(ROUNDUP(INDEX(Upgrades!$C$3:$C$13,MATCH(SUBSTITUTE(Q982,""Sell_"",""""),Upgrades!$B$3:$B$13,0))*1.15^(COUNTIF(Q$4:Q981,SUBSTITUTE(Q982,""Sell_"",""""))-COUNTIF(Q$4:Q981,"&amp;"""Sell_""&amp;SUBSTITUTE(Q982,""Sell_"",""""))))/2),ROUNDUP(INDEX(Upgrades!$C$3:$C$13,MATCH(Q982,Upgrades!$B$3:$B$13,0))*1.15^(COUNTIF(Q$4:Q981,Q982)-COUNTIF(Q$4:Q981,""Sell_""&amp;Q982))))))"),"")</f>
        <v/>
      </c>
      <c r="V982" s="10" t="str">
        <f t="shared" si="11"/>
        <v/>
      </c>
      <c r="W982" s="68" t="str">
        <f t="shared" si="12"/>
        <v/>
      </c>
      <c r="X982" s="59" t="str">
        <f t="shared" si="13"/>
        <v/>
      </c>
      <c r="Y982" s="69" t="str">
        <f t="shared" si="14"/>
        <v/>
      </c>
      <c r="Z982" s="11"/>
      <c r="AG982" s="59"/>
    </row>
    <row r="983">
      <c r="A983" s="8"/>
      <c r="B983" s="56" t="str">
        <f t="shared" si="2"/>
        <v/>
      </c>
      <c r="C983" s="105"/>
      <c r="D983" s="10"/>
      <c r="E983" s="59" t="str">
        <f t="array" ref="E983">IF(COUNTA(C983:C1644)=0,"",SUM((COUNTIF(C$4:C983,Upgrades!$B$3:$B$13)-COUNTIF(C$4:C983,"Sell_"&amp;Upgrades!$B$3:$B$13))*Upgrades!$D$3:$D$13))</f>
        <v/>
      </c>
      <c r="F983" s="66" t="str">
        <f>IFERROR(__xludf.DUMMYFUNCTION("IF(COUNTA(C983:C1644)=0,"""",IF(REGEXMATCH(INDEX(FILTER(C$4:C983,C$4:C983&lt;&gt;""""),ROWS(FILTER(C$4:C983,C$4:C983&lt;&gt;""""))),""^Sell_""),INDEX(FILTER(F$4:F982,C$4:C982&lt;&gt;""""),ROWS(FILTER(C$4:C982,C$4:C982&lt;&gt;""""))),$AC$5+E983))"),"")</f>
        <v/>
      </c>
      <c r="G983" s="10" t="str">
        <f>IFERROR(__xludf.DUMMYFUNCTION("IF(COUNTA(C983:C1644)=0,"""",IF(C983="""",0,IF(REGEXMATCH(C983,""^Sell_""),-ROUNDDOWN(ROUNDUP(INDEX(Upgrades!$C$3:$C$13,MATCH(SUBSTITUTE(C983,""Sell_"",""""),Upgrades!$B$3:$B$13,0))*1.15^(COUNTIF(C$4:C982,SUBSTITUTE(C983,""Sell_"",""""))-COUNTIF(C$4:C982,"&amp;"""Sell_""&amp;SUBSTITUTE(C983,""Sell_"",""""))))/2),ROUNDUP(INDEX(Upgrades!$C$3:$C$13,MATCH(C983,Upgrades!$B$3:$B$13,0))*1.15^(COUNTIF(C$4:C982,C983)-COUNTIF(C$4:C982,""Sell_""&amp;C983))))))"),"")</f>
        <v/>
      </c>
      <c r="H983" s="10" t="str">
        <f t="shared" si="3"/>
        <v/>
      </c>
      <c r="I983" s="68" t="str">
        <f t="shared" si="4"/>
        <v/>
      </c>
      <c r="J983" s="59" t="str">
        <f t="shared" si="5"/>
        <v/>
      </c>
      <c r="K983" s="69" t="str">
        <f t="shared" si="6"/>
        <v/>
      </c>
      <c r="L983" s="60" t="str">
        <f t="shared" si="7"/>
        <v/>
      </c>
      <c r="M983" s="61" t="str">
        <f>IFERROR(__xludf.DUMMYFUNCTION("IFS(AND(COUNTA(C983:C1644)=0,COUNTA(Q983:Q1644)=0),"""",OR(AND(K983&gt;=1000000000,OR(Y983&gt;=1000000000,COUNTA(Q983:Q1644)=0)),OR(Y983&gt;=1000000000,AND(COUNTA(C983:C1644)=0,P$3=TRUE))),
ROUNDDOWN((AB$1-AC$1)*MAX(INDEX(T$4:T1644,MATCH(LARGE(FILTER(Y$4:Y1644,Y$4"&amp;":Y1644&lt;1000000000),1),Y$4:Y1644)),INDEX(F$4:F1644,MATCH(LARGE(FILTER(K$4:K1644,K$4:K1644&lt;1000000000),1),K$4:K1644)))),AND(K983&lt;1000000000,COUNTA(C983:C1644)&gt;0,P$3=FALSE),
ROUNDDOWN(INDEX(Y$4:Y1644,MATCH(LARGE(FILTER(W$4:W1644,W$4:W1644&lt;=I983),1),W$4:W1644"&amp;"))+(I983-LARGE(FILTER(W$4:W1644,W$4:W1644&lt;=I983),1))*INDEX(T$4:T1644,MATCH(LARGE(FILTER(W$4:W1644,W$4:W1644&lt;=I983),1),W$4:W1644))-K983),1,
ROUNDDOWN(Y983-INDEX(K$4:K1644,MATCH(LARGE(FILTER(I$4:I1644,I$4:I1644&lt;=W983),1),I$4:I1644))-(W983-LARGE(FILTER(I$4:I"&amp;"1644,I$4:I1644&lt;=W983),1))*INDEX(F$4:F1644,MATCH(LARGE(FILTER(I$4:I1644,I$4:I1644&lt;=W983),1),I$4:I1644))))"),"")</f>
        <v/>
      </c>
      <c r="N983" s="60" t="str">
        <f t="shared" si="8"/>
        <v/>
      </c>
      <c r="O983" s="61" t="str">
        <f t="shared" si="9"/>
        <v/>
      </c>
      <c r="P983" s="56" t="str">
        <f t="shared" si="10"/>
        <v/>
      </c>
      <c r="Q983" s="105"/>
      <c r="R983" s="10"/>
      <c r="S983" s="59" t="str">
        <f t="array" ref="S983">IF(COUNTA(Q983:Q1644)=0,"",SUM((COUNTIF(Q$4:Q983,Upgrades!$B$3:$B$13)-COUNTIF(Q$4:Q983,"Sell_"&amp;Upgrades!$B$3:$B$13))*Upgrades!$D$3:$D$13))</f>
        <v/>
      </c>
      <c r="T983" s="66" t="str">
        <f>IFERROR(__xludf.DUMMYFUNCTION("IF(COUNTA(Q983:Q1644)=0,"""",IF(REGEXMATCH(INDEX(FILTER(Q$4:Q983,Q$4:Q983&lt;&gt;""""),ROWS(FILTER(Q$4:Q983,Q$4:Q983&lt;&gt;""""))),""^Sell_""),INDEX(FILTER(T$4:T982,Q$4:Q982&lt;&gt;""""),ROWS(FILTER(Q$4:Q982,Q$4:Q982&lt;&gt;""""))),$AD$5+S983))"),"")</f>
        <v/>
      </c>
      <c r="U983" s="10" t="str">
        <f>IFERROR(__xludf.DUMMYFUNCTION("IF(COUNTA(Q983:Q1644)=0,"""",IF(Q983="""",0,IF(REGEXMATCH(Q983,""^Sell_""),-ROUNDDOWN(ROUNDUP(INDEX(Upgrades!$C$3:$C$13,MATCH(SUBSTITUTE(Q983,""Sell_"",""""),Upgrades!$B$3:$B$13,0))*1.15^(COUNTIF(Q$4:Q982,SUBSTITUTE(Q983,""Sell_"",""""))-COUNTIF(Q$4:Q982,"&amp;"""Sell_""&amp;SUBSTITUTE(Q983,""Sell_"",""""))))/2),ROUNDUP(INDEX(Upgrades!$C$3:$C$13,MATCH(Q983,Upgrades!$B$3:$B$13,0))*1.15^(COUNTIF(Q$4:Q982,Q983)-COUNTIF(Q$4:Q982,""Sell_""&amp;Q983))))))"),"")</f>
        <v/>
      </c>
      <c r="V983" s="10" t="str">
        <f t="shared" si="11"/>
        <v/>
      </c>
      <c r="W983" s="68" t="str">
        <f t="shared" si="12"/>
        <v/>
      </c>
      <c r="X983" s="59" t="str">
        <f t="shared" si="13"/>
        <v/>
      </c>
      <c r="Y983" s="69" t="str">
        <f t="shared" si="14"/>
        <v/>
      </c>
      <c r="Z983" s="11"/>
      <c r="AG983" s="59"/>
    </row>
    <row r="984">
      <c r="A984" s="8"/>
      <c r="B984" s="56" t="str">
        <f t="shared" si="2"/>
        <v/>
      </c>
      <c r="C984" s="105"/>
      <c r="D984" s="10"/>
      <c r="E984" s="59" t="str">
        <f t="array" ref="E984">IF(COUNTA(C984:C1644)=0,"",SUM((COUNTIF(C$4:C984,Upgrades!$B$3:$B$13)-COUNTIF(C$4:C984,"Sell_"&amp;Upgrades!$B$3:$B$13))*Upgrades!$D$3:$D$13))</f>
        <v/>
      </c>
      <c r="F984" s="66" t="str">
        <f>IFERROR(__xludf.DUMMYFUNCTION("IF(COUNTA(C984:C1644)=0,"""",IF(REGEXMATCH(INDEX(FILTER(C$4:C984,C$4:C984&lt;&gt;""""),ROWS(FILTER(C$4:C984,C$4:C984&lt;&gt;""""))),""^Sell_""),INDEX(FILTER(F$4:F983,C$4:C983&lt;&gt;""""),ROWS(FILTER(C$4:C983,C$4:C983&lt;&gt;""""))),$AC$5+E984))"),"")</f>
        <v/>
      </c>
      <c r="G984" s="10" t="str">
        <f>IFERROR(__xludf.DUMMYFUNCTION("IF(COUNTA(C984:C1644)=0,"""",IF(C984="""",0,IF(REGEXMATCH(C984,""^Sell_""),-ROUNDDOWN(ROUNDUP(INDEX(Upgrades!$C$3:$C$13,MATCH(SUBSTITUTE(C984,""Sell_"",""""),Upgrades!$B$3:$B$13,0))*1.15^(COUNTIF(C$4:C983,SUBSTITUTE(C984,""Sell_"",""""))-COUNTIF(C$4:C983,"&amp;"""Sell_""&amp;SUBSTITUTE(C984,""Sell_"",""""))))/2),ROUNDUP(INDEX(Upgrades!$C$3:$C$13,MATCH(C984,Upgrades!$B$3:$B$13,0))*1.15^(COUNTIF(C$4:C983,C984)-COUNTIF(C$4:C983,""Sell_""&amp;C984))))))"),"")</f>
        <v/>
      </c>
      <c r="H984" s="10" t="str">
        <f t="shared" si="3"/>
        <v/>
      </c>
      <c r="I984" s="68" t="str">
        <f t="shared" si="4"/>
        <v/>
      </c>
      <c r="J984" s="59" t="str">
        <f t="shared" si="5"/>
        <v/>
      </c>
      <c r="K984" s="69" t="str">
        <f t="shared" si="6"/>
        <v/>
      </c>
      <c r="L984" s="60" t="str">
        <f t="shared" si="7"/>
        <v/>
      </c>
      <c r="M984" s="61" t="str">
        <f>IFERROR(__xludf.DUMMYFUNCTION("IFS(AND(COUNTA(C984:C1644)=0,COUNTA(Q984:Q1644)=0),"""",OR(AND(K984&gt;=1000000000,OR(Y984&gt;=1000000000,COUNTA(Q984:Q1644)=0)),OR(Y984&gt;=1000000000,AND(COUNTA(C984:C1644)=0,P$3=TRUE))),
ROUNDDOWN((AB$1-AC$1)*MAX(INDEX(T$4:T1644,MATCH(LARGE(FILTER(Y$4:Y1644,Y$4"&amp;":Y1644&lt;1000000000),1),Y$4:Y1644)),INDEX(F$4:F1644,MATCH(LARGE(FILTER(K$4:K1644,K$4:K1644&lt;1000000000),1),K$4:K1644)))),AND(K984&lt;1000000000,COUNTA(C984:C1644)&gt;0,P$3=FALSE),
ROUNDDOWN(INDEX(Y$4:Y1644,MATCH(LARGE(FILTER(W$4:W1644,W$4:W1644&lt;=I984),1),W$4:W1644"&amp;"))+(I984-LARGE(FILTER(W$4:W1644,W$4:W1644&lt;=I984),1))*INDEX(T$4:T1644,MATCH(LARGE(FILTER(W$4:W1644,W$4:W1644&lt;=I984),1),W$4:W1644))-K984),1,
ROUNDDOWN(Y984-INDEX(K$4:K1644,MATCH(LARGE(FILTER(I$4:I1644,I$4:I1644&lt;=W984),1),I$4:I1644))-(W984-LARGE(FILTER(I$4:I"&amp;"1644,I$4:I1644&lt;=W984),1))*INDEX(F$4:F1644,MATCH(LARGE(FILTER(I$4:I1644,I$4:I1644&lt;=W984),1),I$4:I1644))))"),"")</f>
        <v/>
      </c>
      <c r="N984" s="60" t="str">
        <f t="shared" si="8"/>
        <v/>
      </c>
      <c r="O984" s="61" t="str">
        <f t="shared" si="9"/>
        <v/>
      </c>
      <c r="P984" s="56" t="str">
        <f t="shared" si="10"/>
        <v/>
      </c>
      <c r="Q984" s="105"/>
      <c r="R984" s="10"/>
      <c r="S984" s="59" t="str">
        <f t="array" ref="S984">IF(COUNTA(Q984:Q1644)=0,"",SUM((COUNTIF(Q$4:Q984,Upgrades!$B$3:$B$13)-COUNTIF(Q$4:Q984,"Sell_"&amp;Upgrades!$B$3:$B$13))*Upgrades!$D$3:$D$13))</f>
        <v/>
      </c>
      <c r="T984" s="66" t="str">
        <f>IFERROR(__xludf.DUMMYFUNCTION("IF(COUNTA(Q984:Q1644)=0,"""",IF(REGEXMATCH(INDEX(FILTER(Q$4:Q984,Q$4:Q984&lt;&gt;""""),ROWS(FILTER(Q$4:Q984,Q$4:Q984&lt;&gt;""""))),""^Sell_""),INDEX(FILTER(T$4:T983,Q$4:Q983&lt;&gt;""""),ROWS(FILTER(Q$4:Q983,Q$4:Q983&lt;&gt;""""))),$AD$5+S984))"),"")</f>
        <v/>
      </c>
      <c r="U984" s="10" t="str">
        <f>IFERROR(__xludf.DUMMYFUNCTION("IF(COUNTA(Q984:Q1644)=0,"""",IF(Q984="""",0,IF(REGEXMATCH(Q984,""^Sell_""),-ROUNDDOWN(ROUNDUP(INDEX(Upgrades!$C$3:$C$13,MATCH(SUBSTITUTE(Q984,""Sell_"",""""),Upgrades!$B$3:$B$13,0))*1.15^(COUNTIF(Q$4:Q983,SUBSTITUTE(Q984,""Sell_"",""""))-COUNTIF(Q$4:Q983,"&amp;"""Sell_""&amp;SUBSTITUTE(Q984,""Sell_"",""""))))/2),ROUNDUP(INDEX(Upgrades!$C$3:$C$13,MATCH(Q984,Upgrades!$B$3:$B$13,0))*1.15^(COUNTIF(Q$4:Q983,Q984)-COUNTIF(Q$4:Q983,""Sell_""&amp;Q984))))))"),"")</f>
        <v/>
      </c>
      <c r="V984" s="10" t="str">
        <f t="shared" si="11"/>
        <v/>
      </c>
      <c r="W984" s="68" t="str">
        <f t="shared" si="12"/>
        <v/>
      </c>
      <c r="X984" s="59" t="str">
        <f t="shared" si="13"/>
        <v/>
      </c>
      <c r="Y984" s="69" t="str">
        <f t="shared" si="14"/>
        <v/>
      </c>
      <c r="Z984" s="11"/>
      <c r="AG984" s="59"/>
    </row>
    <row r="985">
      <c r="A985" s="8"/>
      <c r="B985" s="56" t="str">
        <f t="shared" si="2"/>
        <v/>
      </c>
      <c r="C985" s="105"/>
      <c r="D985" s="10"/>
      <c r="E985" s="59" t="str">
        <f t="array" ref="E985">IF(COUNTA(C985:C1644)=0,"",SUM((COUNTIF(C$4:C985,Upgrades!$B$3:$B$13)-COUNTIF(C$4:C985,"Sell_"&amp;Upgrades!$B$3:$B$13))*Upgrades!$D$3:$D$13))</f>
        <v/>
      </c>
      <c r="F985" s="66" t="str">
        <f>IFERROR(__xludf.DUMMYFUNCTION("IF(COUNTA(C985:C1644)=0,"""",IF(REGEXMATCH(INDEX(FILTER(C$4:C985,C$4:C985&lt;&gt;""""),ROWS(FILTER(C$4:C985,C$4:C985&lt;&gt;""""))),""^Sell_""),INDEX(FILTER(F$4:F984,C$4:C984&lt;&gt;""""),ROWS(FILTER(C$4:C984,C$4:C984&lt;&gt;""""))),$AC$5+E985))"),"")</f>
        <v/>
      </c>
      <c r="G985" s="10" t="str">
        <f>IFERROR(__xludf.DUMMYFUNCTION("IF(COUNTA(C985:C1644)=0,"""",IF(C985="""",0,IF(REGEXMATCH(C985,""^Sell_""),-ROUNDDOWN(ROUNDUP(INDEX(Upgrades!$C$3:$C$13,MATCH(SUBSTITUTE(C985,""Sell_"",""""),Upgrades!$B$3:$B$13,0))*1.15^(COUNTIF(C$4:C984,SUBSTITUTE(C985,""Sell_"",""""))-COUNTIF(C$4:C984,"&amp;"""Sell_""&amp;SUBSTITUTE(C985,""Sell_"",""""))))/2),ROUNDUP(INDEX(Upgrades!$C$3:$C$13,MATCH(C985,Upgrades!$B$3:$B$13,0))*1.15^(COUNTIF(C$4:C984,C985)-COUNTIF(C$4:C984,""Sell_""&amp;C985))))))"),"")</f>
        <v/>
      </c>
      <c r="H985" s="10" t="str">
        <f t="shared" si="3"/>
        <v/>
      </c>
      <c r="I985" s="68" t="str">
        <f t="shared" si="4"/>
        <v/>
      </c>
      <c r="J985" s="59" t="str">
        <f t="shared" si="5"/>
        <v/>
      </c>
      <c r="K985" s="69" t="str">
        <f t="shared" si="6"/>
        <v/>
      </c>
      <c r="L985" s="60" t="str">
        <f t="shared" si="7"/>
        <v/>
      </c>
      <c r="M985" s="61" t="str">
        <f>IFERROR(__xludf.DUMMYFUNCTION("IFS(AND(COUNTA(C985:C1644)=0,COUNTA(Q985:Q1644)=0),"""",OR(AND(K985&gt;=1000000000,OR(Y985&gt;=1000000000,COUNTA(Q985:Q1644)=0)),OR(Y985&gt;=1000000000,AND(COUNTA(C985:C1644)=0,P$3=TRUE))),
ROUNDDOWN((AB$1-AC$1)*MAX(INDEX(T$4:T1644,MATCH(LARGE(FILTER(Y$4:Y1644,Y$4"&amp;":Y1644&lt;1000000000),1),Y$4:Y1644)),INDEX(F$4:F1644,MATCH(LARGE(FILTER(K$4:K1644,K$4:K1644&lt;1000000000),1),K$4:K1644)))),AND(K985&lt;1000000000,COUNTA(C985:C1644)&gt;0,P$3=FALSE),
ROUNDDOWN(INDEX(Y$4:Y1644,MATCH(LARGE(FILTER(W$4:W1644,W$4:W1644&lt;=I985),1),W$4:W1644"&amp;"))+(I985-LARGE(FILTER(W$4:W1644,W$4:W1644&lt;=I985),1))*INDEX(T$4:T1644,MATCH(LARGE(FILTER(W$4:W1644,W$4:W1644&lt;=I985),1),W$4:W1644))-K985),1,
ROUNDDOWN(Y985-INDEX(K$4:K1644,MATCH(LARGE(FILTER(I$4:I1644,I$4:I1644&lt;=W985),1),I$4:I1644))-(W985-LARGE(FILTER(I$4:I"&amp;"1644,I$4:I1644&lt;=W985),1))*INDEX(F$4:F1644,MATCH(LARGE(FILTER(I$4:I1644,I$4:I1644&lt;=W985),1),I$4:I1644))))"),"")</f>
        <v/>
      </c>
      <c r="N985" s="60" t="str">
        <f t="shared" si="8"/>
        <v/>
      </c>
      <c r="O985" s="61" t="str">
        <f t="shared" si="9"/>
        <v/>
      </c>
      <c r="P985" s="56" t="str">
        <f t="shared" si="10"/>
        <v/>
      </c>
      <c r="Q985" s="105"/>
      <c r="R985" s="10"/>
      <c r="S985" s="59" t="str">
        <f t="array" ref="S985">IF(COUNTA(Q985:Q1644)=0,"",SUM((COUNTIF(Q$4:Q985,Upgrades!$B$3:$B$13)-COUNTIF(Q$4:Q985,"Sell_"&amp;Upgrades!$B$3:$B$13))*Upgrades!$D$3:$D$13))</f>
        <v/>
      </c>
      <c r="T985" s="66" t="str">
        <f>IFERROR(__xludf.DUMMYFUNCTION("IF(COUNTA(Q985:Q1644)=0,"""",IF(REGEXMATCH(INDEX(FILTER(Q$4:Q985,Q$4:Q985&lt;&gt;""""),ROWS(FILTER(Q$4:Q985,Q$4:Q985&lt;&gt;""""))),""^Sell_""),INDEX(FILTER(T$4:T984,Q$4:Q984&lt;&gt;""""),ROWS(FILTER(Q$4:Q984,Q$4:Q984&lt;&gt;""""))),$AD$5+S985))"),"")</f>
        <v/>
      </c>
      <c r="U985" s="10" t="str">
        <f>IFERROR(__xludf.DUMMYFUNCTION("IF(COUNTA(Q985:Q1644)=0,"""",IF(Q985="""",0,IF(REGEXMATCH(Q985,""^Sell_""),-ROUNDDOWN(ROUNDUP(INDEX(Upgrades!$C$3:$C$13,MATCH(SUBSTITUTE(Q985,""Sell_"",""""),Upgrades!$B$3:$B$13,0))*1.15^(COUNTIF(Q$4:Q984,SUBSTITUTE(Q985,""Sell_"",""""))-COUNTIF(Q$4:Q984,"&amp;"""Sell_""&amp;SUBSTITUTE(Q985,""Sell_"",""""))))/2),ROUNDUP(INDEX(Upgrades!$C$3:$C$13,MATCH(Q985,Upgrades!$B$3:$B$13,0))*1.15^(COUNTIF(Q$4:Q984,Q985)-COUNTIF(Q$4:Q984,""Sell_""&amp;Q985))))))"),"")</f>
        <v/>
      </c>
      <c r="V985" s="10" t="str">
        <f t="shared" si="11"/>
        <v/>
      </c>
      <c r="W985" s="68" t="str">
        <f t="shared" si="12"/>
        <v/>
      </c>
      <c r="X985" s="59" t="str">
        <f t="shared" si="13"/>
        <v/>
      </c>
      <c r="Y985" s="69" t="str">
        <f t="shared" si="14"/>
        <v/>
      </c>
      <c r="Z985" s="11"/>
      <c r="AG985" s="59"/>
    </row>
    <row r="986">
      <c r="A986" s="8"/>
      <c r="B986" s="56" t="str">
        <f t="shared" si="2"/>
        <v/>
      </c>
      <c r="C986" s="105"/>
      <c r="D986" s="10"/>
      <c r="E986" s="59" t="str">
        <f t="array" ref="E986">IF(COUNTA(C986:C1644)=0,"",SUM((COUNTIF(C$4:C986,Upgrades!$B$3:$B$13)-COUNTIF(C$4:C986,"Sell_"&amp;Upgrades!$B$3:$B$13))*Upgrades!$D$3:$D$13))</f>
        <v/>
      </c>
      <c r="F986" s="66" t="str">
        <f>IFERROR(__xludf.DUMMYFUNCTION("IF(COUNTA(C986:C1644)=0,"""",IF(REGEXMATCH(INDEX(FILTER(C$4:C986,C$4:C986&lt;&gt;""""),ROWS(FILTER(C$4:C986,C$4:C986&lt;&gt;""""))),""^Sell_""),INDEX(FILTER(F$4:F985,C$4:C985&lt;&gt;""""),ROWS(FILTER(C$4:C985,C$4:C985&lt;&gt;""""))),$AC$5+E986))"),"")</f>
        <v/>
      </c>
      <c r="G986" s="10" t="str">
        <f>IFERROR(__xludf.DUMMYFUNCTION("IF(COUNTA(C986:C1644)=0,"""",IF(C986="""",0,IF(REGEXMATCH(C986,""^Sell_""),-ROUNDDOWN(ROUNDUP(INDEX(Upgrades!$C$3:$C$13,MATCH(SUBSTITUTE(C986,""Sell_"",""""),Upgrades!$B$3:$B$13,0))*1.15^(COUNTIF(C$4:C985,SUBSTITUTE(C986,""Sell_"",""""))-COUNTIF(C$4:C985,"&amp;"""Sell_""&amp;SUBSTITUTE(C986,""Sell_"",""""))))/2),ROUNDUP(INDEX(Upgrades!$C$3:$C$13,MATCH(C986,Upgrades!$B$3:$B$13,0))*1.15^(COUNTIF(C$4:C985,C986)-COUNTIF(C$4:C985,""Sell_""&amp;C986))))))"),"")</f>
        <v/>
      </c>
      <c r="H986" s="10" t="str">
        <f t="shared" si="3"/>
        <v/>
      </c>
      <c r="I986" s="68" t="str">
        <f t="shared" si="4"/>
        <v/>
      </c>
      <c r="J986" s="59" t="str">
        <f t="shared" si="5"/>
        <v/>
      </c>
      <c r="K986" s="69" t="str">
        <f t="shared" si="6"/>
        <v/>
      </c>
      <c r="L986" s="60" t="str">
        <f t="shared" si="7"/>
        <v/>
      </c>
      <c r="M986" s="61" t="str">
        <f>IFERROR(__xludf.DUMMYFUNCTION("IFS(AND(COUNTA(C986:C1644)=0,COUNTA(Q986:Q1644)=0),"""",OR(AND(K986&gt;=1000000000,OR(Y986&gt;=1000000000,COUNTA(Q986:Q1644)=0)),OR(Y986&gt;=1000000000,AND(COUNTA(C986:C1644)=0,P$3=TRUE))),
ROUNDDOWN((AB$1-AC$1)*MAX(INDEX(T$4:T1644,MATCH(LARGE(FILTER(Y$4:Y1644,Y$4"&amp;":Y1644&lt;1000000000),1),Y$4:Y1644)),INDEX(F$4:F1644,MATCH(LARGE(FILTER(K$4:K1644,K$4:K1644&lt;1000000000),1),K$4:K1644)))),AND(K986&lt;1000000000,COUNTA(C986:C1644)&gt;0,P$3=FALSE),
ROUNDDOWN(INDEX(Y$4:Y1644,MATCH(LARGE(FILTER(W$4:W1644,W$4:W1644&lt;=I986),1),W$4:W1644"&amp;"))+(I986-LARGE(FILTER(W$4:W1644,W$4:W1644&lt;=I986),1))*INDEX(T$4:T1644,MATCH(LARGE(FILTER(W$4:W1644,W$4:W1644&lt;=I986),1),W$4:W1644))-K986),1,
ROUNDDOWN(Y986-INDEX(K$4:K1644,MATCH(LARGE(FILTER(I$4:I1644,I$4:I1644&lt;=W986),1),I$4:I1644))-(W986-LARGE(FILTER(I$4:I"&amp;"1644,I$4:I1644&lt;=W986),1))*INDEX(F$4:F1644,MATCH(LARGE(FILTER(I$4:I1644,I$4:I1644&lt;=W986),1),I$4:I1644))))"),"")</f>
        <v/>
      </c>
      <c r="N986" s="60" t="str">
        <f t="shared" si="8"/>
        <v/>
      </c>
      <c r="O986" s="61" t="str">
        <f t="shared" si="9"/>
        <v/>
      </c>
      <c r="P986" s="56" t="str">
        <f t="shared" si="10"/>
        <v/>
      </c>
      <c r="Q986" s="105"/>
      <c r="R986" s="10"/>
      <c r="S986" s="59" t="str">
        <f t="array" ref="S986">IF(COUNTA(Q986:Q1644)=0,"",SUM((COUNTIF(Q$4:Q986,Upgrades!$B$3:$B$13)-COUNTIF(Q$4:Q986,"Sell_"&amp;Upgrades!$B$3:$B$13))*Upgrades!$D$3:$D$13))</f>
        <v/>
      </c>
      <c r="T986" s="66" t="str">
        <f>IFERROR(__xludf.DUMMYFUNCTION("IF(COUNTA(Q986:Q1644)=0,"""",IF(REGEXMATCH(INDEX(FILTER(Q$4:Q986,Q$4:Q986&lt;&gt;""""),ROWS(FILTER(Q$4:Q986,Q$4:Q986&lt;&gt;""""))),""^Sell_""),INDEX(FILTER(T$4:T985,Q$4:Q985&lt;&gt;""""),ROWS(FILTER(Q$4:Q985,Q$4:Q985&lt;&gt;""""))),$AD$5+S986))"),"")</f>
        <v/>
      </c>
      <c r="U986" s="10" t="str">
        <f>IFERROR(__xludf.DUMMYFUNCTION("IF(COUNTA(Q986:Q1644)=0,"""",IF(Q986="""",0,IF(REGEXMATCH(Q986,""^Sell_""),-ROUNDDOWN(ROUNDUP(INDEX(Upgrades!$C$3:$C$13,MATCH(SUBSTITUTE(Q986,""Sell_"",""""),Upgrades!$B$3:$B$13,0))*1.15^(COUNTIF(Q$4:Q985,SUBSTITUTE(Q986,""Sell_"",""""))-COUNTIF(Q$4:Q985,"&amp;"""Sell_""&amp;SUBSTITUTE(Q986,""Sell_"",""""))))/2),ROUNDUP(INDEX(Upgrades!$C$3:$C$13,MATCH(Q986,Upgrades!$B$3:$B$13,0))*1.15^(COUNTIF(Q$4:Q985,Q986)-COUNTIF(Q$4:Q985,""Sell_""&amp;Q986))))))"),"")</f>
        <v/>
      </c>
      <c r="V986" s="10" t="str">
        <f t="shared" si="11"/>
        <v/>
      </c>
      <c r="W986" s="68" t="str">
        <f t="shared" si="12"/>
        <v/>
      </c>
      <c r="X986" s="59" t="str">
        <f t="shared" si="13"/>
        <v/>
      </c>
      <c r="Y986" s="69" t="str">
        <f t="shared" si="14"/>
        <v/>
      </c>
      <c r="Z986" s="11"/>
      <c r="AG986" s="59"/>
    </row>
    <row r="987">
      <c r="A987" s="8"/>
      <c r="B987" s="56" t="str">
        <f t="shared" si="2"/>
        <v/>
      </c>
      <c r="C987" s="105"/>
      <c r="D987" s="10"/>
      <c r="E987" s="59" t="str">
        <f t="array" ref="E987">IF(COUNTA(C987:C1644)=0,"",SUM((COUNTIF(C$4:C987,Upgrades!$B$3:$B$13)-COUNTIF(C$4:C987,"Sell_"&amp;Upgrades!$B$3:$B$13))*Upgrades!$D$3:$D$13))</f>
        <v/>
      </c>
      <c r="F987" s="66" t="str">
        <f>IFERROR(__xludf.DUMMYFUNCTION("IF(COUNTA(C987:C1644)=0,"""",IF(REGEXMATCH(INDEX(FILTER(C$4:C987,C$4:C987&lt;&gt;""""),ROWS(FILTER(C$4:C987,C$4:C987&lt;&gt;""""))),""^Sell_""),INDEX(FILTER(F$4:F986,C$4:C986&lt;&gt;""""),ROWS(FILTER(C$4:C986,C$4:C986&lt;&gt;""""))),$AC$5+E987))"),"")</f>
        <v/>
      </c>
      <c r="G987" s="10" t="str">
        <f>IFERROR(__xludf.DUMMYFUNCTION("IF(COUNTA(C987:C1644)=0,"""",IF(C987="""",0,IF(REGEXMATCH(C987,""^Sell_""),-ROUNDDOWN(ROUNDUP(INDEX(Upgrades!$C$3:$C$13,MATCH(SUBSTITUTE(C987,""Sell_"",""""),Upgrades!$B$3:$B$13,0))*1.15^(COUNTIF(C$4:C986,SUBSTITUTE(C987,""Sell_"",""""))-COUNTIF(C$4:C986,"&amp;"""Sell_""&amp;SUBSTITUTE(C987,""Sell_"",""""))))/2),ROUNDUP(INDEX(Upgrades!$C$3:$C$13,MATCH(C987,Upgrades!$B$3:$B$13,0))*1.15^(COUNTIF(C$4:C986,C987)-COUNTIF(C$4:C986,""Sell_""&amp;C987))))))"),"")</f>
        <v/>
      </c>
      <c r="H987" s="10" t="str">
        <f t="shared" si="3"/>
        <v/>
      </c>
      <c r="I987" s="68" t="str">
        <f t="shared" si="4"/>
        <v/>
      </c>
      <c r="J987" s="59" t="str">
        <f t="shared" si="5"/>
        <v/>
      </c>
      <c r="K987" s="69" t="str">
        <f t="shared" si="6"/>
        <v/>
      </c>
      <c r="L987" s="60" t="str">
        <f t="shared" si="7"/>
        <v/>
      </c>
      <c r="M987" s="61" t="str">
        <f>IFERROR(__xludf.DUMMYFUNCTION("IFS(AND(COUNTA(C987:C1644)=0,COUNTA(Q987:Q1644)=0),"""",OR(AND(K987&gt;=1000000000,OR(Y987&gt;=1000000000,COUNTA(Q987:Q1644)=0)),OR(Y987&gt;=1000000000,AND(COUNTA(C987:C1644)=0,P$3=TRUE))),
ROUNDDOWN((AB$1-AC$1)*MAX(INDEX(T$4:T1644,MATCH(LARGE(FILTER(Y$4:Y1644,Y$4"&amp;":Y1644&lt;1000000000),1),Y$4:Y1644)),INDEX(F$4:F1644,MATCH(LARGE(FILTER(K$4:K1644,K$4:K1644&lt;1000000000),1),K$4:K1644)))),AND(K987&lt;1000000000,COUNTA(C987:C1644)&gt;0,P$3=FALSE),
ROUNDDOWN(INDEX(Y$4:Y1644,MATCH(LARGE(FILTER(W$4:W1644,W$4:W1644&lt;=I987),1),W$4:W1644"&amp;"))+(I987-LARGE(FILTER(W$4:W1644,W$4:W1644&lt;=I987),1))*INDEX(T$4:T1644,MATCH(LARGE(FILTER(W$4:W1644,W$4:W1644&lt;=I987),1),W$4:W1644))-K987),1,
ROUNDDOWN(Y987-INDEX(K$4:K1644,MATCH(LARGE(FILTER(I$4:I1644,I$4:I1644&lt;=W987),1),I$4:I1644))-(W987-LARGE(FILTER(I$4:I"&amp;"1644,I$4:I1644&lt;=W987),1))*INDEX(F$4:F1644,MATCH(LARGE(FILTER(I$4:I1644,I$4:I1644&lt;=W987),1),I$4:I1644))))"),"")</f>
        <v/>
      </c>
      <c r="N987" s="60" t="str">
        <f t="shared" si="8"/>
        <v/>
      </c>
      <c r="O987" s="61" t="str">
        <f t="shared" si="9"/>
        <v/>
      </c>
      <c r="P987" s="56" t="str">
        <f t="shared" si="10"/>
        <v/>
      </c>
      <c r="Q987" s="105"/>
      <c r="R987" s="10"/>
      <c r="S987" s="59" t="str">
        <f t="array" ref="S987">IF(COUNTA(Q987:Q1644)=0,"",SUM((COUNTIF(Q$4:Q987,Upgrades!$B$3:$B$13)-COUNTIF(Q$4:Q987,"Sell_"&amp;Upgrades!$B$3:$B$13))*Upgrades!$D$3:$D$13))</f>
        <v/>
      </c>
      <c r="T987" s="66" t="str">
        <f>IFERROR(__xludf.DUMMYFUNCTION("IF(COUNTA(Q987:Q1644)=0,"""",IF(REGEXMATCH(INDEX(FILTER(Q$4:Q987,Q$4:Q987&lt;&gt;""""),ROWS(FILTER(Q$4:Q987,Q$4:Q987&lt;&gt;""""))),""^Sell_""),INDEX(FILTER(T$4:T986,Q$4:Q986&lt;&gt;""""),ROWS(FILTER(Q$4:Q986,Q$4:Q986&lt;&gt;""""))),$AD$5+S987))"),"")</f>
        <v/>
      </c>
      <c r="U987" s="10" t="str">
        <f>IFERROR(__xludf.DUMMYFUNCTION("IF(COUNTA(Q987:Q1644)=0,"""",IF(Q987="""",0,IF(REGEXMATCH(Q987,""^Sell_""),-ROUNDDOWN(ROUNDUP(INDEX(Upgrades!$C$3:$C$13,MATCH(SUBSTITUTE(Q987,""Sell_"",""""),Upgrades!$B$3:$B$13,0))*1.15^(COUNTIF(Q$4:Q986,SUBSTITUTE(Q987,""Sell_"",""""))-COUNTIF(Q$4:Q986,"&amp;"""Sell_""&amp;SUBSTITUTE(Q987,""Sell_"",""""))))/2),ROUNDUP(INDEX(Upgrades!$C$3:$C$13,MATCH(Q987,Upgrades!$B$3:$B$13,0))*1.15^(COUNTIF(Q$4:Q986,Q987)-COUNTIF(Q$4:Q986,""Sell_""&amp;Q987))))))"),"")</f>
        <v/>
      </c>
      <c r="V987" s="10" t="str">
        <f t="shared" si="11"/>
        <v/>
      </c>
      <c r="W987" s="68" t="str">
        <f t="shared" si="12"/>
        <v/>
      </c>
      <c r="X987" s="59" t="str">
        <f t="shared" si="13"/>
        <v/>
      </c>
      <c r="Y987" s="69" t="str">
        <f t="shared" si="14"/>
        <v/>
      </c>
      <c r="Z987" s="11"/>
      <c r="AG987" s="59"/>
    </row>
    <row r="988">
      <c r="A988" s="8"/>
      <c r="B988" s="56" t="str">
        <f t="shared" si="2"/>
        <v/>
      </c>
      <c r="C988" s="105"/>
      <c r="D988" s="10"/>
      <c r="E988" s="59" t="str">
        <f t="array" ref="E988">IF(COUNTA(C988:C1644)=0,"",SUM((COUNTIF(C$4:C988,Upgrades!$B$3:$B$13)-COUNTIF(C$4:C988,"Sell_"&amp;Upgrades!$B$3:$B$13))*Upgrades!$D$3:$D$13))</f>
        <v/>
      </c>
      <c r="F988" s="66" t="str">
        <f>IFERROR(__xludf.DUMMYFUNCTION("IF(COUNTA(C988:C1644)=0,"""",IF(REGEXMATCH(INDEX(FILTER(C$4:C988,C$4:C988&lt;&gt;""""),ROWS(FILTER(C$4:C988,C$4:C988&lt;&gt;""""))),""^Sell_""),INDEX(FILTER(F$4:F987,C$4:C987&lt;&gt;""""),ROWS(FILTER(C$4:C987,C$4:C987&lt;&gt;""""))),$AC$5+E988))"),"")</f>
        <v/>
      </c>
      <c r="G988" s="10" t="str">
        <f>IFERROR(__xludf.DUMMYFUNCTION("IF(COUNTA(C988:C1644)=0,"""",IF(C988="""",0,IF(REGEXMATCH(C988,""^Sell_""),-ROUNDDOWN(ROUNDUP(INDEX(Upgrades!$C$3:$C$13,MATCH(SUBSTITUTE(C988,""Sell_"",""""),Upgrades!$B$3:$B$13,0))*1.15^(COUNTIF(C$4:C987,SUBSTITUTE(C988,""Sell_"",""""))-COUNTIF(C$4:C987,"&amp;"""Sell_""&amp;SUBSTITUTE(C988,""Sell_"",""""))))/2),ROUNDUP(INDEX(Upgrades!$C$3:$C$13,MATCH(C988,Upgrades!$B$3:$B$13,0))*1.15^(COUNTIF(C$4:C987,C988)-COUNTIF(C$4:C987,""Sell_""&amp;C988))))))"),"")</f>
        <v/>
      </c>
      <c r="H988" s="10" t="str">
        <f t="shared" si="3"/>
        <v/>
      </c>
      <c r="I988" s="68" t="str">
        <f t="shared" si="4"/>
        <v/>
      </c>
      <c r="J988" s="59" t="str">
        <f t="shared" si="5"/>
        <v/>
      </c>
      <c r="K988" s="69" t="str">
        <f t="shared" si="6"/>
        <v/>
      </c>
      <c r="L988" s="60" t="str">
        <f t="shared" si="7"/>
        <v/>
      </c>
      <c r="M988" s="61" t="str">
        <f>IFERROR(__xludf.DUMMYFUNCTION("IFS(AND(COUNTA(C988:C1644)=0,COUNTA(Q988:Q1644)=0),"""",OR(AND(K988&gt;=1000000000,OR(Y988&gt;=1000000000,COUNTA(Q988:Q1644)=0)),OR(Y988&gt;=1000000000,AND(COUNTA(C988:C1644)=0,P$3=TRUE))),
ROUNDDOWN((AB$1-AC$1)*MAX(INDEX(T$4:T1644,MATCH(LARGE(FILTER(Y$4:Y1644,Y$4"&amp;":Y1644&lt;1000000000),1),Y$4:Y1644)),INDEX(F$4:F1644,MATCH(LARGE(FILTER(K$4:K1644,K$4:K1644&lt;1000000000),1),K$4:K1644)))),AND(K988&lt;1000000000,COUNTA(C988:C1644)&gt;0,P$3=FALSE),
ROUNDDOWN(INDEX(Y$4:Y1644,MATCH(LARGE(FILTER(W$4:W1644,W$4:W1644&lt;=I988),1),W$4:W1644"&amp;"))+(I988-LARGE(FILTER(W$4:W1644,W$4:W1644&lt;=I988),1))*INDEX(T$4:T1644,MATCH(LARGE(FILTER(W$4:W1644,W$4:W1644&lt;=I988),1),W$4:W1644))-K988),1,
ROUNDDOWN(Y988-INDEX(K$4:K1644,MATCH(LARGE(FILTER(I$4:I1644,I$4:I1644&lt;=W988),1),I$4:I1644))-(W988-LARGE(FILTER(I$4:I"&amp;"1644,I$4:I1644&lt;=W988),1))*INDEX(F$4:F1644,MATCH(LARGE(FILTER(I$4:I1644,I$4:I1644&lt;=W988),1),I$4:I1644))))"),"")</f>
        <v/>
      </c>
      <c r="N988" s="60" t="str">
        <f t="shared" si="8"/>
        <v/>
      </c>
      <c r="O988" s="61" t="str">
        <f t="shared" si="9"/>
        <v/>
      </c>
      <c r="P988" s="56" t="str">
        <f t="shared" si="10"/>
        <v/>
      </c>
      <c r="Q988" s="105"/>
      <c r="R988" s="10"/>
      <c r="S988" s="59" t="str">
        <f t="array" ref="S988">IF(COUNTA(Q988:Q1644)=0,"",SUM((COUNTIF(Q$4:Q988,Upgrades!$B$3:$B$13)-COUNTIF(Q$4:Q988,"Sell_"&amp;Upgrades!$B$3:$B$13))*Upgrades!$D$3:$D$13))</f>
        <v/>
      </c>
      <c r="T988" s="66" t="str">
        <f>IFERROR(__xludf.DUMMYFUNCTION("IF(COUNTA(Q988:Q1644)=0,"""",IF(REGEXMATCH(INDEX(FILTER(Q$4:Q988,Q$4:Q988&lt;&gt;""""),ROWS(FILTER(Q$4:Q988,Q$4:Q988&lt;&gt;""""))),""^Sell_""),INDEX(FILTER(T$4:T987,Q$4:Q987&lt;&gt;""""),ROWS(FILTER(Q$4:Q987,Q$4:Q987&lt;&gt;""""))),$AD$5+S988))"),"")</f>
        <v/>
      </c>
      <c r="U988" s="10" t="str">
        <f>IFERROR(__xludf.DUMMYFUNCTION("IF(COUNTA(Q988:Q1644)=0,"""",IF(Q988="""",0,IF(REGEXMATCH(Q988,""^Sell_""),-ROUNDDOWN(ROUNDUP(INDEX(Upgrades!$C$3:$C$13,MATCH(SUBSTITUTE(Q988,""Sell_"",""""),Upgrades!$B$3:$B$13,0))*1.15^(COUNTIF(Q$4:Q987,SUBSTITUTE(Q988,""Sell_"",""""))-COUNTIF(Q$4:Q987,"&amp;"""Sell_""&amp;SUBSTITUTE(Q988,""Sell_"",""""))))/2),ROUNDUP(INDEX(Upgrades!$C$3:$C$13,MATCH(Q988,Upgrades!$B$3:$B$13,0))*1.15^(COUNTIF(Q$4:Q987,Q988)-COUNTIF(Q$4:Q987,""Sell_""&amp;Q988))))))"),"")</f>
        <v/>
      </c>
      <c r="V988" s="10" t="str">
        <f t="shared" si="11"/>
        <v/>
      </c>
      <c r="W988" s="68" t="str">
        <f t="shared" si="12"/>
        <v/>
      </c>
      <c r="X988" s="59" t="str">
        <f t="shared" si="13"/>
        <v/>
      </c>
      <c r="Y988" s="69" t="str">
        <f t="shared" si="14"/>
        <v/>
      </c>
      <c r="Z988" s="11"/>
      <c r="AG988" s="59"/>
    </row>
    <row r="989">
      <c r="A989" s="8"/>
      <c r="B989" s="56" t="str">
        <f t="shared" si="2"/>
        <v/>
      </c>
      <c r="C989" s="105"/>
      <c r="D989" s="10"/>
      <c r="E989" s="59" t="str">
        <f t="array" ref="E989">IF(COUNTA(C989:C1644)=0,"",SUM((COUNTIF(C$4:C989,Upgrades!$B$3:$B$13)-COUNTIF(C$4:C989,"Sell_"&amp;Upgrades!$B$3:$B$13))*Upgrades!$D$3:$D$13))</f>
        <v/>
      </c>
      <c r="F989" s="66" t="str">
        <f>IFERROR(__xludf.DUMMYFUNCTION("IF(COUNTA(C989:C1644)=0,"""",IF(REGEXMATCH(INDEX(FILTER(C$4:C989,C$4:C989&lt;&gt;""""),ROWS(FILTER(C$4:C989,C$4:C989&lt;&gt;""""))),""^Sell_""),INDEX(FILTER(F$4:F988,C$4:C988&lt;&gt;""""),ROWS(FILTER(C$4:C988,C$4:C988&lt;&gt;""""))),$AC$5+E989))"),"")</f>
        <v/>
      </c>
      <c r="G989" s="10" t="str">
        <f>IFERROR(__xludf.DUMMYFUNCTION("IF(COUNTA(C989:C1644)=0,"""",IF(C989="""",0,IF(REGEXMATCH(C989,""^Sell_""),-ROUNDDOWN(ROUNDUP(INDEX(Upgrades!$C$3:$C$13,MATCH(SUBSTITUTE(C989,""Sell_"",""""),Upgrades!$B$3:$B$13,0))*1.15^(COUNTIF(C$4:C988,SUBSTITUTE(C989,""Sell_"",""""))-COUNTIF(C$4:C988,"&amp;"""Sell_""&amp;SUBSTITUTE(C989,""Sell_"",""""))))/2),ROUNDUP(INDEX(Upgrades!$C$3:$C$13,MATCH(C989,Upgrades!$B$3:$B$13,0))*1.15^(COUNTIF(C$4:C988,C989)-COUNTIF(C$4:C988,""Sell_""&amp;C989))))))"),"")</f>
        <v/>
      </c>
      <c r="H989" s="10" t="str">
        <f t="shared" si="3"/>
        <v/>
      </c>
      <c r="I989" s="68" t="str">
        <f t="shared" si="4"/>
        <v/>
      </c>
      <c r="J989" s="59" t="str">
        <f t="shared" si="5"/>
        <v/>
      </c>
      <c r="K989" s="69" t="str">
        <f t="shared" si="6"/>
        <v/>
      </c>
      <c r="L989" s="60" t="str">
        <f t="shared" si="7"/>
        <v/>
      </c>
      <c r="M989" s="61" t="str">
        <f>IFERROR(__xludf.DUMMYFUNCTION("IFS(AND(COUNTA(C989:C1644)=0,COUNTA(Q989:Q1644)=0),"""",OR(AND(K989&gt;=1000000000,OR(Y989&gt;=1000000000,COUNTA(Q989:Q1644)=0)),OR(Y989&gt;=1000000000,AND(COUNTA(C989:C1644)=0,P$3=TRUE))),
ROUNDDOWN((AB$1-AC$1)*MAX(INDEX(T$4:T1644,MATCH(LARGE(FILTER(Y$4:Y1644,Y$4"&amp;":Y1644&lt;1000000000),1),Y$4:Y1644)),INDEX(F$4:F1644,MATCH(LARGE(FILTER(K$4:K1644,K$4:K1644&lt;1000000000),1),K$4:K1644)))),AND(K989&lt;1000000000,COUNTA(C989:C1644)&gt;0,P$3=FALSE),
ROUNDDOWN(INDEX(Y$4:Y1644,MATCH(LARGE(FILTER(W$4:W1644,W$4:W1644&lt;=I989),1),W$4:W1644"&amp;"))+(I989-LARGE(FILTER(W$4:W1644,W$4:W1644&lt;=I989),1))*INDEX(T$4:T1644,MATCH(LARGE(FILTER(W$4:W1644,W$4:W1644&lt;=I989),1),W$4:W1644))-K989),1,
ROUNDDOWN(Y989-INDEX(K$4:K1644,MATCH(LARGE(FILTER(I$4:I1644,I$4:I1644&lt;=W989),1),I$4:I1644))-(W989-LARGE(FILTER(I$4:I"&amp;"1644,I$4:I1644&lt;=W989),1))*INDEX(F$4:F1644,MATCH(LARGE(FILTER(I$4:I1644,I$4:I1644&lt;=W989),1),I$4:I1644))))"),"")</f>
        <v/>
      </c>
      <c r="N989" s="60" t="str">
        <f t="shared" si="8"/>
        <v/>
      </c>
      <c r="O989" s="61" t="str">
        <f t="shared" si="9"/>
        <v/>
      </c>
      <c r="P989" s="56" t="str">
        <f t="shared" si="10"/>
        <v/>
      </c>
      <c r="Q989" s="105"/>
      <c r="R989" s="10"/>
      <c r="S989" s="59" t="str">
        <f t="array" ref="S989">IF(COUNTA(Q989:Q1644)=0,"",SUM((COUNTIF(Q$4:Q989,Upgrades!$B$3:$B$13)-COUNTIF(Q$4:Q989,"Sell_"&amp;Upgrades!$B$3:$B$13))*Upgrades!$D$3:$D$13))</f>
        <v/>
      </c>
      <c r="T989" s="66" t="str">
        <f>IFERROR(__xludf.DUMMYFUNCTION("IF(COUNTA(Q989:Q1644)=0,"""",IF(REGEXMATCH(INDEX(FILTER(Q$4:Q989,Q$4:Q989&lt;&gt;""""),ROWS(FILTER(Q$4:Q989,Q$4:Q989&lt;&gt;""""))),""^Sell_""),INDEX(FILTER(T$4:T988,Q$4:Q988&lt;&gt;""""),ROWS(FILTER(Q$4:Q988,Q$4:Q988&lt;&gt;""""))),$AD$5+S989))"),"")</f>
        <v/>
      </c>
      <c r="U989" s="10" t="str">
        <f>IFERROR(__xludf.DUMMYFUNCTION("IF(COUNTA(Q989:Q1644)=0,"""",IF(Q989="""",0,IF(REGEXMATCH(Q989,""^Sell_""),-ROUNDDOWN(ROUNDUP(INDEX(Upgrades!$C$3:$C$13,MATCH(SUBSTITUTE(Q989,""Sell_"",""""),Upgrades!$B$3:$B$13,0))*1.15^(COUNTIF(Q$4:Q988,SUBSTITUTE(Q989,""Sell_"",""""))-COUNTIF(Q$4:Q988,"&amp;"""Sell_""&amp;SUBSTITUTE(Q989,""Sell_"",""""))))/2),ROUNDUP(INDEX(Upgrades!$C$3:$C$13,MATCH(Q989,Upgrades!$B$3:$B$13,0))*1.15^(COUNTIF(Q$4:Q988,Q989)-COUNTIF(Q$4:Q988,""Sell_""&amp;Q989))))))"),"")</f>
        <v/>
      </c>
      <c r="V989" s="10" t="str">
        <f t="shared" si="11"/>
        <v/>
      </c>
      <c r="W989" s="68" t="str">
        <f t="shared" si="12"/>
        <v/>
      </c>
      <c r="X989" s="59" t="str">
        <f t="shared" si="13"/>
        <v/>
      </c>
      <c r="Y989" s="69" t="str">
        <f t="shared" si="14"/>
        <v/>
      </c>
      <c r="Z989" s="11"/>
      <c r="AG989" s="59"/>
    </row>
    <row r="990">
      <c r="A990" s="8"/>
      <c r="B990" s="56" t="str">
        <f t="shared" si="2"/>
        <v/>
      </c>
      <c r="C990" s="105"/>
      <c r="D990" s="10"/>
      <c r="E990" s="59" t="str">
        <f t="array" ref="E990">IF(COUNTA(C990:C1644)=0,"",SUM((COUNTIF(C$4:C990,Upgrades!$B$3:$B$13)-COUNTIF(C$4:C990,"Sell_"&amp;Upgrades!$B$3:$B$13))*Upgrades!$D$3:$D$13))</f>
        <v/>
      </c>
      <c r="F990" s="66" t="str">
        <f>IFERROR(__xludf.DUMMYFUNCTION("IF(COUNTA(C990:C1644)=0,"""",IF(REGEXMATCH(INDEX(FILTER(C$4:C990,C$4:C990&lt;&gt;""""),ROWS(FILTER(C$4:C990,C$4:C990&lt;&gt;""""))),""^Sell_""),INDEX(FILTER(F$4:F989,C$4:C989&lt;&gt;""""),ROWS(FILTER(C$4:C989,C$4:C989&lt;&gt;""""))),$AC$5+E990))"),"")</f>
        <v/>
      </c>
      <c r="G990" s="10" t="str">
        <f>IFERROR(__xludf.DUMMYFUNCTION("IF(COUNTA(C990:C1644)=0,"""",IF(C990="""",0,IF(REGEXMATCH(C990,""^Sell_""),-ROUNDDOWN(ROUNDUP(INDEX(Upgrades!$C$3:$C$13,MATCH(SUBSTITUTE(C990,""Sell_"",""""),Upgrades!$B$3:$B$13,0))*1.15^(COUNTIF(C$4:C989,SUBSTITUTE(C990,""Sell_"",""""))-COUNTIF(C$4:C989,"&amp;"""Sell_""&amp;SUBSTITUTE(C990,""Sell_"",""""))))/2),ROUNDUP(INDEX(Upgrades!$C$3:$C$13,MATCH(C990,Upgrades!$B$3:$B$13,0))*1.15^(COUNTIF(C$4:C989,C990)-COUNTIF(C$4:C989,""Sell_""&amp;C990))))))"),"")</f>
        <v/>
      </c>
      <c r="H990" s="10" t="str">
        <f t="shared" si="3"/>
        <v/>
      </c>
      <c r="I990" s="68" t="str">
        <f t="shared" si="4"/>
        <v/>
      </c>
      <c r="J990" s="59" t="str">
        <f t="shared" si="5"/>
        <v/>
      </c>
      <c r="K990" s="69" t="str">
        <f t="shared" si="6"/>
        <v/>
      </c>
      <c r="L990" s="60" t="str">
        <f t="shared" si="7"/>
        <v/>
      </c>
      <c r="M990" s="61" t="str">
        <f>IFERROR(__xludf.DUMMYFUNCTION("IFS(AND(COUNTA(C990:C1644)=0,COUNTA(Q990:Q1644)=0),"""",OR(AND(K990&gt;=1000000000,OR(Y990&gt;=1000000000,COUNTA(Q990:Q1644)=0)),OR(Y990&gt;=1000000000,AND(COUNTA(C990:C1644)=0,P$3=TRUE))),
ROUNDDOWN((AB$1-AC$1)*MAX(INDEX(T$4:T1644,MATCH(LARGE(FILTER(Y$4:Y1644,Y$4"&amp;":Y1644&lt;1000000000),1),Y$4:Y1644)),INDEX(F$4:F1644,MATCH(LARGE(FILTER(K$4:K1644,K$4:K1644&lt;1000000000),1),K$4:K1644)))),AND(K990&lt;1000000000,COUNTA(C990:C1644)&gt;0,P$3=FALSE),
ROUNDDOWN(INDEX(Y$4:Y1644,MATCH(LARGE(FILTER(W$4:W1644,W$4:W1644&lt;=I990),1),W$4:W1644"&amp;"))+(I990-LARGE(FILTER(W$4:W1644,W$4:W1644&lt;=I990),1))*INDEX(T$4:T1644,MATCH(LARGE(FILTER(W$4:W1644,W$4:W1644&lt;=I990),1),W$4:W1644))-K990),1,
ROUNDDOWN(Y990-INDEX(K$4:K1644,MATCH(LARGE(FILTER(I$4:I1644,I$4:I1644&lt;=W990),1),I$4:I1644))-(W990-LARGE(FILTER(I$4:I"&amp;"1644,I$4:I1644&lt;=W990),1))*INDEX(F$4:F1644,MATCH(LARGE(FILTER(I$4:I1644,I$4:I1644&lt;=W990),1),I$4:I1644))))"),"")</f>
        <v/>
      </c>
      <c r="N990" s="60" t="str">
        <f t="shared" si="8"/>
        <v/>
      </c>
      <c r="O990" s="61" t="str">
        <f t="shared" si="9"/>
        <v/>
      </c>
      <c r="P990" s="56" t="str">
        <f t="shared" si="10"/>
        <v/>
      </c>
      <c r="Q990" s="105"/>
      <c r="R990" s="10"/>
      <c r="S990" s="59" t="str">
        <f t="array" ref="S990">IF(COUNTA(Q990:Q1644)=0,"",SUM((COUNTIF(Q$4:Q990,Upgrades!$B$3:$B$13)-COUNTIF(Q$4:Q990,"Sell_"&amp;Upgrades!$B$3:$B$13))*Upgrades!$D$3:$D$13))</f>
        <v/>
      </c>
      <c r="T990" s="66" t="str">
        <f>IFERROR(__xludf.DUMMYFUNCTION("IF(COUNTA(Q990:Q1644)=0,"""",IF(REGEXMATCH(INDEX(FILTER(Q$4:Q990,Q$4:Q990&lt;&gt;""""),ROWS(FILTER(Q$4:Q990,Q$4:Q990&lt;&gt;""""))),""^Sell_""),INDEX(FILTER(T$4:T989,Q$4:Q989&lt;&gt;""""),ROWS(FILTER(Q$4:Q989,Q$4:Q989&lt;&gt;""""))),$AD$5+S990))"),"")</f>
        <v/>
      </c>
      <c r="U990" s="10" t="str">
        <f>IFERROR(__xludf.DUMMYFUNCTION("IF(COUNTA(Q990:Q1644)=0,"""",IF(Q990="""",0,IF(REGEXMATCH(Q990,""^Sell_""),-ROUNDDOWN(ROUNDUP(INDEX(Upgrades!$C$3:$C$13,MATCH(SUBSTITUTE(Q990,""Sell_"",""""),Upgrades!$B$3:$B$13,0))*1.15^(COUNTIF(Q$4:Q989,SUBSTITUTE(Q990,""Sell_"",""""))-COUNTIF(Q$4:Q989,"&amp;"""Sell_""&amp;SUBSTITUTE(Q990,""Sell_"",""""))))/2),ROUNDUP(INDEX(Upgrades!$C$3:$C$13,MATCH(Q990,Upgrades!$B$3:$B$13,0))*1.15^(COUNTIF(Q$4:Q989,Q990)-COUNTIF(Q$4:Q989,""Sell_""&amp;Q990))))))"),"")</f>
        <v/>
      </c>
      <c r="V990" s="10" t="str">
        <f t="shared" si="11"/>
        <v/>
      </c>
      <c r="W990" s="68" t="str">
        <f t="shared" si="12"/>
        <v/>
      </c>
      <c r="X990" s="59" t="str">
        <f t="shared" si="13"/>
        <v/>
      </c>
      <c r="Y990" s="69" t="str">
        <f t="shared" si="14"/>
        <v/>
      </c>
      <c r="Z990" s="11"/>
      <c r="AG990" s="59"/>
    </row>
    <row r="991">
      <c r="A991" s="8"/>
      <c r="B991" s="56" t="str">
        <f t="shared" si="2"/>
        <v/>
      </c>
      <c r="C991" s="105"/>
      <c r="D991" s="10"/>
      <c r="E991" s="59" t="str">
        <f t="array" ref="E991">IF(COUNTA(C991:C1644)=0,"",SUM((COUNTIF(C$4:C991,Upgrades!$B$3:$B$13)-COUNTIF(C$4:C991,"Sell_"&amp;Upgrades!$B$3:$B$13))*Upgrades!$D$3:$D$13))</f>
        <v/>
      </c>
      <c r="F991" s="66" t="str">
        <f>IFERROR(__xludf.DUMMYFUNCTION("IF(COUNTA(C991:C1644)=0,"""",IF(REGEXMATCH(INDEX(FILTER(C$4:C991,C$4:C991&lt;&gt;""""),ROWS(FILTER(C$4:C991,C$4:C991&lt;&gt;""""))),""^Sell_""),INDEX(FILTER(F$4:F990,C$4:C990&lt;&gt;""""),ROWS(FILTER(C$4:C990,C$4:C990&lt;&gt;""""))),$AC$5+E991))"),"")</f>
        <v/>
      </c>
      <c r="G991" s="10" t="str">
        <f>IFERROR(__xludf.DUMMYFUNCTION("IF(COUNTA(C991:C1644)=0,"""",IF(C991="""",0,IF(REGEXMATCH(C991,""^Sell_""),-ROUNDDOWN(ROUNDUP(INDEX(Upgrades!$C$3:$C$13,MATCH(SUBSTITUTE(C991,""Sell_"",""""),Upgrades!$B$3:$B$13,0))*1.15^(COUNTIF(C$4:C990,SUBSTITUTE(C991,""Sell_"",""""))-COUNTIF(C$4:C990,"&amp;"""Sell_""&amp;SUBSTITUTE(C991,""Sell_"",""""))))/2),ROUNDUP(INDEX(Upgrades!$C$3:$C$13,MATCH(C991,Upgrades!$B$3:$B$13,0))*1.15^(COUNTIF(C$4:C990,C991)-COUNTIF(C$4:C990,""Sell_""&amp;C991))))))"),"")</f>
        <v/>
      </c>
      <c r="H991" s="10" t="str">
        <f t="shared" si="3"/>
        <v/>
      </c>
      <c r="I991" s="68" t="str">
        <f t="shared" si="4"/>
        <v/>
      </c>
      <c r="J991" s="59" t="str">
        <f t="shared" si="5"/>
        <v/>
      </c>
      <c r="K991" s="69" t="str">
        <f t="shared" si="6"/>
        <v/>
      </c>
      <c r="L991" s="60" t="str">
        <f t="shared" si="7"/>
        <v/>
      </c>
      <c r="M991" s="61" t="str">
        <f>IFERROR(__xludf.DUMMYFUNCTION("IFS(AND(COUNTA(C991:C1644)=0,COUNTA(Q991:Q1644)=0),"""",OR(AND(K991&gt;=1000000000,OR(Y991&gt;=1000000000,COUNTA(Q991:Q1644)=0)),OR(Y991&gt;=1000000000,AND(COUNTA(C991:C1644)=0,P$3=TRUE))),
ROUNDDOWN((AB$1-AC$1)*MAX(INDEX(T$4:T1644,MATCH(LARGE(FILTER(Y$4:Y1644,Y$4"&amp;":Y1644&lt;1000000000),1),Y$4:Y1644)),INDEX(F$4:F1644,MATCH(LARGE(FILTER(K$4:K1644,K$4:K1644&lt;1000000000),1),K$4:K1644)))),AND(K991&lt;1000000000,COUNTA(C991:C1644)&gt;0,P$3=FALSE),
ROUNDDOWN(INDEX(Y$4:Y1644,MATCH(LARGE(FILTER(W$4:W1644,W$4:W1644&lt;=I991),1),W$4:W1644"&amp;"))+(I991-LARGE(FILTER(W$4:W1644,W$4:W1644&lt;=I991),1))*INDEX(T$4:T1644,MATCH(LARGE(FILTER(W$4:W1644,W$4:W1644&lt;=I991),1),W$4:W1644))-K991),1,
ROUNDDOWN(Y991-INDEX(K$4:K1644,MATCH(LARGE(FILTER(I$4:I1644,I$4:I1644&lt;=W991),1),I$4:I1644))-(W991-LARGE(FILTER(I$4:I"&amp;"1644,I$4:I1644&lt;=W991),1))*INDEX(F$4:F1644,MATCH(LARGE(FILTER(I$4:I1644,I$4:I1644&lt;=W991),1),I$4:I1644))))"),"")</f>
        <v/>
      </c>
      <c r="N991" s="60" t="str">
        <f t="shared" si="8"/>
        <v/>
      </c>
      <c r="O991" s="61" t="str">
        <f t="shared" si="9"/>
        <v/>
      </c>
      <c r="P991" s="56" t="str">
        <f t="shared" si="10"/>
        <v/>
      </c>
      <c r="Q991" s="105"/>
      <c r="R991" s="10"/>
      <c r="S991" s="59" t="str">
        <f t="array" ref="S991">IF(COUNTA(Q991:Q1644)=0,"",SUM((COUNTIF(Q$4:Q991,Upgrades!$B$3:$B$13)-COUNTIF(Q$4:Q991,"Sell_"&amp;Upgrades!$B$3:$B$13))*Upgrades!$D$3:$D$13))</f>
        <v/>
      </c>
      <c r="T991" s="66" t="str">
        <f>IFERROR(__xludf.DUMMYFUNCTION("IF(COUNTA(Q991:Q1644)=0,"""",IF(REGEXMATCH(INDEX(FILTER(Q$4:Q991,Q$4:Q991&lt;&gt;""""),ROWS(FILTER(Q$4:Q991,Q$4:Q991&lt;&gt;""""))),""^Sell_""),INDEX(FILTER(T$4:T990,Q$4:Q990&lt;&gt;""""),ROWS(FILTER(Q$4:Q990,Q$4:Q990&lt;&gt;""""))),$AD$5+S991))"),"")</f>
        <v/>
      </c>
      <c r="U991" s="10" t="str">
        <f>IFERROR(__xludf.DUMMYFUNCTION("IF(COUNTA(Q991:Q1644)=0,"""",IF(Q991="""",0,IF(REGEXMATCH(Q991,""^Sell_""),-ROUNDDOWN(ROUNDUP(INDEX(Upgrades!$C$3:$C$13,MATCH(SUBSTITUTE(Q991,""Sell_"",""""),Upgrades!$B$3:$B$13,0))*1.15^(COUNTIF(Q$4:Q990,SUBSTITUTE(Q991,""Sell_"",""""))-COUNTIF(Q$4:Q990,"&amp;"""Sell_""&amp;SUBSTITUTE(Q991,""Sell_"",""""))))/2),ROUNDUP(INDEX(Upgrades!$C$3:$C$13,MATCH(Q991,Upgrades!$B$3:$B$13,0))*1.15^(COUNTIF(Q$4:Q990,Q991)-COUNTIF(Q$4:Q990,""Sell_""&amp;Q991))))))"),"")</f>
        <v/>
      </c>
      <c r="V991" s="10" t="str">
        <f t="shared" si="11"/>
        <v/>
      </c>
      <c r="W991" s="68" t="str">
        <f t="shared" si="12"/>
        <v/>
      </c>
      <c r="X991" s="59" t="str">
        <f t="shared" si="13"/>
        <v/>
      </c>
      <c r="Y991" s="69" t="str">
        <f t="shared" si="14"/>
        <v/>
      </c>
      <c r="Z991" s="11"/>
      <c r="AG991" s="59"/>
    </row>
    <row r="992">
      <c r="A992" s="8"/>
      <c r="B992" s="56" t="str">
        <f t="shared" si="2"/>
        <v/>
      </c>
      <c r="C992" s="105"/>
      <c r="D992" s="10"/>
      <c r="E992" s="59" t="str">
        <f t="array" ref="E992">IF(COUNTA(C992:C1644)=0,"",SUM((COUNTIF(C$4:C992,Upgrades!$B$3:$B$13)-COUNTIF(C$4:C992,"Sell_"&amp;Upgrades!$B$3:$B$13))*Upgrades!$D$3:$D$13))</f>
        <v/>
      </c>
      <c r="F992" s="66" t="str">
        <f>IFERROR(__xludf.DUMMYFUNCTION("IF(COUNTA(C992:C1644)=0,"""",IF(REGEXMATCH(INDEX(FILTER(C$4:C992,C$4:C992&lt;&gt;""""),ROWS(FILTER(C$4:C992,C$4:C992&lt;&gt;""""))),""^Sell_""),INDEX(FILTER(F$4:F991,C$4:C991&lt;&gt;""""),ROWS(FILTER(C$4:C991,C$4:C991&lt;&gt;""""))),$AC$5+E992))"),"")</f>
        <v/>
      </c>
      <c r="G992" s="10" t="str">
        <f>IFERROR(__xludf.DUMMYFUNCTION("IF(COUNTA(C992:C1644)=0,"""",IF(C992="""",0,IF(REGEXMATCH(C992,""^Sell_""),-ROUNDDOWN(ROUNDUP(INDEX(Upgrades!$C$3:$C$13,MATCH(SUBSTITUTE(C992,""Sell_"",""""),Upgrades!$B$3:$B$13,0))*1.15^(COUNTIF(C$4:C991,SUBSTITUTE(C992,""Sell_"",""""))-COUNTIF(C$4:C991,"&amp;"""Sell_""&amp;SUBSTITUTE(C992,""Sell_"",""""))))/2),ROUNDUP(INDEX(Upgrades!$C$3:$C$13,MATCH(C992,Upgrades!$B$3:$B$13,0))*1.15^(COUNTIF(C$4:C991,C992)-COUNTIF(C$4:C991,""Sell_""&amp;C992))))))"),"")</f>
        <v/>
      </c>
      <c r="H992" s="10" t="str">
        <f t="shared" si="3"/>
        <v/>
      </c>
      <c r="I992" s="68" t="str">
        <f t="shared" si="4"/>
        <v/>
      </c>
      <c r="J992" s="59" t="str">
        <f t="shared" si="5"/>
        <v/>
      </c>
      <c r="K992" s="69" t="str">
        <f t="shared" si="6"/>
        <v/>
      </c>
      <c r="L992" s="60" t="str">
        <f t="shared" si="7"/>
        <v/>
      </c>
      <c r="M992" s="61" t="str">
        <f>IFERROR(__xludf.DUMMYFUNCTION("IFS(AND(COUNTA(C992:C1644)=0,COUNTA(Q992:Q1644)=0),"""",OR(AND(K992&gt;=1000000000,OR(Y992&gt;=1000000000,COUNTA(Q992:Q1644)=0)),OR(Y992&gt;=1000000000,AND(COUNTA(C992:C1644)=0,P$3=TRUE))),
ROUNDDOWN((AB$1-AC$1)*MAX(INDEX(T$4:T1644,MATCH(LARGE(FILTER(Y$4:Y1644,Y$4"&amp;":Y1644&lt;1000000000),1),Y$4:Y1644)),INDEX(F$4:F1644,MATCH(LARGE(FILTER(K$4:K1644,K$4:K1644&lt;1000000000),1),K$4:K1644)))),AND(K992&lt;1000000000,COUNTA(C992:C1644)&gt;0,P$3=FALSE),
ROUNDDOWN(INDEX(Y$4:Y1644,MATCH(LARGE(FILTER(W$4:W1644,W$4:W1644&lt;=I992),1),W$4:W1644"&amp;"))+(I992-LARGE(FILTER(W$4:W1644,W$4:W1644&lt;=I992),1))*INDEX(T$4:T1644,MATCH(LARGE(FILTER(W$4:W1644,W$4:W1644&lt;=I992),1),W$4:W1644))-K992),1,
ROUNDDOWN(Y992-INDEX(K$4:K1644,MATCH(LARGE(FILTER(I$4:I1644,I$4:I1644&lt;=W992),1),I$4:I1644))-(W992-LARGE(FILTER(I$4:I"&amp;"1644,I$4:I1644&lt;=W992),1))*INDEX(F$4:F1644,MATCH(LARGE(FILTER(I$4:I1644,I$4:I1644&lt;=W992),1),I$4:I1644))))"),"")</f>
        <v/>
      </c>
      <c r="N992" s="60" t="str">
        <f t="shared" si="8"/>
        <v/>
      </c>
      <c r="O992" s="61" t="str">
        <f t="shared" si="9"/>
        <v/>
      </c>
      <c r="P992" s="56" t="str">
        <f t="shared" si="10"/>
        <v/>
      </c>
      <c r="Q992" s="105"/>
      <c r="R992" s="10"/>
      <c r="S992" s="59" t="str">
        <f t="array" ref="S992">IF(COUNTA(Q992:Q1644)=0,"",SUM((COUNTIF(Q$4:Q992,Upgrades!$B$3:$B$13)-COUNTIF(Q$4:Q992,"Sell_"&amp;Upgrades!$B$3:$B$13))*Upgrades!$D$3:$D$13))</f>
        <v/>
      </c>
      <c r="T992" s="66" t="str">
        <f>IFERROR(__xludf.DUMMYFUNCTION("IF(COUNTA(Q992:Q1644)=0,"""",IF(REGEXMATCH(INDEX(FILTER(Q$4:Q992,Q$4:Q992&lt;&gt;""""),ROWS(FILTER(Q$4:Q992,Q$4:Q992&lt;&gt;""""))),""^Sell_""),INDEX(FILTER(T$4:T991,Q$4:Q991&lt;&gt;""""),ROWS(FILTER(Q$4:Q991,Q$4:Q991&lt;&gt;""""))),$AD$5+S992))"),"")</f>
        <v/>
      </c>
      <c r="U992" s="10" t="str">
        <f>IFERROR(__xludf.DUMMYFUNCTION("IF(COUNTA(Q992:Q1644)=0,"""",IF(Q992="""",0,IF(REGEXMATCH(Q992,""^Sell_""),-ROUNDDOWN(ROUNDUP(INDEX(Upgrades!$C$3:$C$13,MATCH(SUBSTITUTE(Q992,""Sell_"",""""),Upgrades!$B$3:$B$13,0))*1.15^(COUNTIF(Q$4:Q991,SUBSTITUTE(Q992,""Sell_"",""""))-COUNTIF(Q$4:Q991,"&amp;"""Sell_""&amp;SUBSTITUTE(Q992,""Sell_"",""""))))/2),ROUNDUP(INDEX(Upgrades!$C$3:$C$13,MATCH(Q992,Upgrades!$B$3:$B$13,0))*1.15^(COUNTIF(Q$4:Q991,Q992)-COUNTIF(Q$4:Q991,""Sell_""&amp;Q992))))))"),"")</f>
        <v/>
      </c>
      <c r="V992" s="10" t="str">
        <f t="shared" si="11"/>
        <v/>
      </c>
      <c r="W992" s="68" t="str">
        <f t="shared" si="12"/>
        <v/>
      </c>
      <c r="X992" s="59" t="str">
        <f t="shared" si="13"/>
        <v/>
      </c>
      <c r="Y992" s="69" t="str">
        <f t="shared" si="14"/>
        <v/>
      </c>
      <c r="Z992" s="11"/>
      <c r="AG992" s="59"/>
    </row>
    <row r="993">
      <c r="A993" s="8"/>
      <c r="B993" s="56" t="str">
        <f t="shared" si="2"/>
        <v/>
      </c>
      <c r="C993" s="105"/>
      <c r="D993" s="10"/>
      <c r="E993" s="59" t="str">
        <f t="array" ref="E993">IF(COUNTA(C993:C1644)=0,"",SUM((COUNTIF(C$4:C993,Upgrades!$B$3:$B$13)-COUNTIF(C$4:C993,"Sell_"&amp;Upgrades!$B$3:$B$13))*Upgrades!$D$3:$D$13))</f>
        <v/>
      </c>
      <c r="F993" s="66" t="str">
        <f>IFERROR(__xludf.DUMMYFUNCTION("IF(COUNTA(C993:C1644)=0,"""",IF(REGEXMATCH(INDEX(FILTER(C$4:C993,C$4:C993&lt;&gt;""""),ROWS(FILTER(C$4:C993,C$4:C993&lt;&gt;""""))),""^Sell_""),INDEX(FILTER(F$4:F992,C$4:C992&lt;&gt;""""),ROWS(FILTER(C$4:C992,C$4:C992&lt;&gt;""""))),$AC$5+E993))"),"")</f>
        <v/>
      </c>
      <c r="G993" s="10" t="str">
        <f>IFERROR(__xludf.DUMMYFUNCTION("IF(COUNTA(C993:C1644)=0,"""",IF(C993="""",0,IF(REGEXMATCH(C993,""^Sell_""),-ROUNDDOWN(ROUNDUP(INDEX(Upgrades!$C$3:$C$13,MATCH(SUBSTITUTE(C993,""Sell_"",""""),Upgrades!$B$3:$B$13,0))*1.15^(COUNTIF(C$4:C992,SUBSTITUTE(C993,""Sell_"",""""))-COUNTIF(C$4:C992,"&amp;"""Sell_""&amp;SUBSTITUTE(C993,""Sell_"",""""))))/2),ROUNDUP(INDEX(Upgrades!$C$3:$C$13,MATCH(C993,Upgrades!$B$3:$B$13,0))*1.15^(COUNTIF(C$4:C992,C993)-COUNTIF(C$4:C992,""Sell_""&amp;C993))))))"),"")</f>
        <v/>
      </c>
      <c r="H993" s="10" t="str">
        <f t="shared" si="3"/>
        <v/>
      </c>
      <c r="I993" s="68" t="str">
        <f t="shared" si="4"/>
        <v/>
      </c>
      <c r="J993" s="59" t="str">
        <f t="shared" si="5"/>
        <v/>
      </c>
      <c r="K993" s="69" t="str">
        <f t="shared" si="6"/>
        <v/>
      </c>
      <c r="L993" s="60" t="str">
        <f t="shared" si="7"/>
        <v/>
      </c>
      <c r="M993" s="61" t="str">
        <f>IFERROR(__xludf.DUMMYFUNCTION("IFS(AND(COUNTA(C993:C1644)=0,COUNTA(Q993:Q1644)=0),"""",OR(AND(K993&gt;=1000000000,OR(Y993&gt;=1000000000,COUNTA(Q993:Q1644)=0)),OR(Y993&gt;=1000000000,AND(COUNTA(C993:C1644)=0,P$3=TRUE))),
ROUNDDOWN((AB$1-AC$1)*MAX(INDEX(T$4:T1644,MATCH(LARGE(FILTER(Y$4:Y1644,Y$4"&amp;":Y1644&lt;1000000000),1),Y$4:Y1644)),INDEX(F$4:F1644,MATCH(LARGE(FILTER(K$4:K1644,K$4:K1644&lt;1000000000),1),K$4:K1644)))),AND(K993&lt;1000000000,COUNTA(C993:C1644)&gt;0,P$3=FALSE),
ROUNDDOWN(INDEX(Y$4:Y1644,MATCH(LARGE(FILTER(W$4:W1644,W$4:W1644&lt;=I993),1),W$4:W1644"&amp;"))+(I993-LARGE(FILTER(W$4:W1644,W$4:W1644&lt;=I993),1))*INDEX(T$4:T1644,MATCH(LARGE(FILTER(W$4:W1644,W$4:W1644&lt;=I993),1),W$4:W1644))-K993),1,
ROUNDDOWN(Y993-INDEX(K$4:K1644,MATCH(LARGE(FILTER(I$4:I1644,I$4:I1644&lt;=W993),1),I$4:I1644))-(W993-LARGE(FILTER(I$4:I"&amp;"1644,I$4:I1644&lt;=W993),1))*INDEX(F$4:F1644,MATCH(LARGE(FILTER(I$4:I1644,I$4:I1644&lt;=W993),1),I$4:I1644))))"),"")</f>
        <v/>
      </c>
      <c r="N993" s="60" t="str">
        <f t="shared" si="8"/>
        <v/>
      </c>
      <c r="O993" s="61" t="str">
        <f t="shared" si="9"/>
        <v/>
      </c>
      <c r="P993" s="56" t="str">
        <f t="shared" si="10"/>
        <v/>
      </c>
      <c r="Q993" s="105"/>
      <c r="R993" s="10"/>
      <c r="S993" s="59" t="str">
        <f t="array" ref="S993">IF(COUNTA(Q993:Q1644)=0,"",SUM((COUNTIF(Q$4:Q993,Upgrades!$B$3:$B$13)-COUNTIF(Q$4:Q993,"Sell_"&amp;Upgrades!$B$3:$B$13))*Upgrades!$D$3:$D$13))</f>
        <v/>
      </c>
      <c r="T993" s="66" t="str">
        <f>IFERROR(__xludf.DUMMYFUNCTION("IF(COUNTA(Q993:Q1644)=0,"""",IF(REGEXMATCH(INDEX(FILTER(Q$4:Q993,Q$4:Q993&lt;&gt;""""),ROWS(FILTER(Q$4:Q993,Q$4:Q993&lt;&gt;""""))),""^Sell_""),INDEX(FILTER(T$4:T992,Q$4:Q992&lt;&gt;""""),ROWS(FILTER(Q$4:Q992,Q$4:Q992&lt;&gt;""""))),$AD$5+S993))"),"")</f>
        <v/>
      </c>
      <c r="U993" s="10" t="str">
        <f>IFERROR(__xludf.DUMMYFUNCTION("IF(COUNTA(Q993:Q1644)=0,"""",IF(Q993="""",0,IF(REGEXMATCH(Q993,""^Sell_""),-ROUNDDOWN(ROUNDUP(INDEX(Upgrades!$C$3:$C$13,MATCH(SUBSTITUTE(Q993,""Sell_"",""""),Upgrades!$B$3:$B$13,0))*1.15^(COUNTIF(Q$4:Q992,SUBSTITUTE(Q993,""Sell_"",""""))-COUNTIF(Q$4:Q992,"&amp;"""Sell_""&amp;SUBSTITUTE(Q993,""Sell_"",""""))))/2),ROUNDUP(INDEX(Upgrades!$C$3:$C$13,MATCH(Q993,Upgrades!$B$3:$B$13,0))*1.15^(COUNTIF(Q$4:Q992,Q993)-COUNTIF(Q$4:Q992,""Sell_""&amp;Q993))))))"),"")</f>
        <v/>
      </c>
      <c r="V993" s="10" t="str">
        <f t="shared" si="11"/>
        <v/>
      </c>
      <c r="W993" s="68" t="str">
        <f t="shared" si="12"/>
        <v/>
      </c>
      <c r="X993" s="59" t="str">
        <f t="shared" si="13"/>
        <v/>
      </c>
      <c r="Y993" s="69" t="str">
        <f t="shared" si="14"/>
        <v/>
      </c>
      <c r="Z993" s="11"/>
      <c r="AG993" s="59"/>
    </row>
    <row r="994">
      <c r="A994" s="8"/>
      <c r="B994" s="56" t="str">
        <f t="shared" si="2"/>
        <v/>
      </c>
      <c r="C994" s="105"/>
      <c r="D994" s="10"/>
      <c r="E994" s="59" t="str">
        <f t="array" ref="E994">IF(COUNTA(C994:C1644)=0,"",SUM((COUNTIF(C$4:C994,Upgrades!$B$3:$B$13)-COUNTIF(C$4:C994,"Sell_"&amp;Upgrades!$B$3:$B$13))*Upgrades!$D$3:$D$13))</f>
        <v/>
      </c>
      <c r="F994" s="66" t="str">
        <f>IFERROR(__xludf.DUMMYFUNCTION("IF(COUNTA(C994:C1644)=0,"""",IF(REGEXMATCH(INDEX(FILTER(C$4:C994,C$4:C994&lt;&gt;""""),ROWS(FILTER(C$4:C994,C$4:C994&lt;&gt;""""))),""^Sell_""),INDEX(FILTER(F$4:F993,C$4:C993&lt;&gt;""""),ROWS(FILTER(C$4:C993,C$4:C993&lt;&gt;""""))),$AC$5+E994))"),"")</f>
        <v/>
      </c>
      <c r="G994" s="10" t="str">
        <f>IFERROR(__xludf.DUMMYFUNCTION("IF(COUNTA(C994:C1644)=0,"""",IF(C994="""",0,IF(REGEXMATCH(C994,""^Sell_""),-ROUNDDOWN(ROUNDUP(INDEX(Upgrades!$C$3:$C$13,MATCH(SUBSTITUTE(C994,""Sell_"",""""),Upgrades!$B$3:$B$13,0))*1.15^(COUNTIF(C$4:C993,SUBSTITUTE(C994,""Sell_"",""""))-COUNTIF(C$4:C993,"&amp;"""Sell_""&amp;SUBSTITUTE(C994,""Sell_"",""""))))/2),ROUNDUP(INDEX(Upgrades!$C$3:$C$13,MATCH(C994,Upgrades!$B$3:$B$13,0))*1.15^(COUNTIF(C$4:C993,C994)-COUNTIF(C$4:C993,""Sell_""&amp;C994))))))"),"")</f>
        <v/>
      </c>
      <c r="H994" s="10" t="str">
        <f t="shared" si="3"/>
        <v/>
      </c>
      <c r="I994" s="68" t="str">
        <f t="shared" si="4"/>
        <v/>
      </c>
      <c r="J994" s="59" t="str">
        <f t="shared" si="5"/>
        <v/>
      </c>
      <c r="K994" s="69" t="str">
        <f t="shared" si="6"/>
        <v/>
      </c>
      <c r="L994" s="60" t="str">
        <f t="shared" si="7"/>
        <v/>
      </c>
      <c r="M994" s="61" t="str">
        <f>IFERROR(__xludf.DUMMYFUNCTION("IFS(AND(COUNTA(C994:C1644)=0,COUNTA(Q994:Q1644)=0),"""",OR(AND(K994&gt;=1000000000,OR(Y994&gt;=1000000000,COUNTA(Q994:Q1644)=0)),OR(Y994&gt;=1000000000,AND(COUNTA(C994:C1644)=0,P$3=TRUE))),
ROUNDDOWN((AB$1-AC$1)*MAX(INDEX(T$4:T1644,MATCH(LARGE(FILTER(Y$4:Y1644,Y$4"&amp;":Y1644&lt;1000000000),1),Y$4:Y1644)),INDEX(F$4:F1644,MATCH(LARGE(FILTER(K$4:K1644,K$4:K1644&lt;1000000000),1),K$4:K1644)))),AND(K994&lt;1000000000,COUNTA(C994:C1644)&gt;0,P$3=FALSE),
ROUNDDOWN(INDEX(Y$4:Y1644,MATCH(LARGE(FILTER(W$4:W1644,W$4:W1644&lt;=I994),1),W$4:W1644"&amp;"))+(I994-LARGE(FILTER(W$4:W1644,W$4:W1644&lt;=I994),1))*INDEX(T$4:T1644,MATCH(LARGE(FILTER(W$4:W1644,W$4:W1644&lt;=I994),1),W$4:W1644))-K994),1,
ROUNDDOWN(Y994-INDEX(K$4:K1644,MATCH(LARGE(FILTER(I$4:I1644,I$4:I1644&lt;=W994),1),I$4:I1644))-(W994-LARGE(FILTER(I$4:I"&amp;"1644,I$4:I1644&lt;=W994),1))*INDEX(F$4:F1644,MATCH(LARGE(FILTER(I$4:I1644,I$4:I1644&lt;=W994),1),I$4:I1644))))"),"")</f>
        <v/>
      </c>
      <c r="N994" s="60" t="str">
        <f t="shared" si="8"/>
        <v/>
      </c>
      <c r="O994" s="61" t="str">
        <f t="shared" si="9"/>
        <v/>
      </c>
      <c r="P994" s="56" t="str">
        <f t="shared" si="10"/>
        <v/>
      </c>
      <c r="Q994" s="105"/>
      <c r="R994" s="10"/>
      <c r="S994" s="59" t="str">
        <f t="array" ref="S994">IF(COUNTA(Q994:Q1644)=0,"",SUM((COUNTIF(Q$4:Q994,Upgrades!$B$3:$B$13)-COUNTIF(Q$4:Q994,"Sell_"&amp;Upgrades!$B$3:$B$13))*Upgrades!$D$3:$D$13))</f>
        <v/>
      </c>
      <c r="T994" s="66" t="str">
        <f>IFERROR(__xludf.DUMMYFUNCTION("IF(COUNTA(Q994:Q1644)=0,"""",IF(REGEXMATCH(INDEX(FILTER(Q$4:Q994,Q$4:Q994&lt;&gt;""""),ROWS(FILTER(Q$4:Q994,Q$4:Q994&lt;&gt;""""))),""^Sell_""),INDEX(FILTER(T$4:T993,Q$4:Q993&lt;&gt;""""),ROWS(FILTER(Q$4:Q993,Q$4:Q993&lt;&gt;""""))),$AD$5+S994))"),"")</f>
        <v/>
      </c>
      <c r="U994" s="10" t="str">
        <f>IFERROR(__xludf.DUMMYFUNCTION("IF(COUNTA(Q994:Q1644)=0,"""",IF(Q994="""",0,IF(REGEXMATCH(Q994,""^Sell_""),-ROUNDDOWN(ROUNDUP(INDEX(Upgrades!$C$3:$C$13,MATCH(SUBSTITUTE(Q994,""Sell_"",""""),Upgrades!$B$3:$B$13,0))*1.15^(COUNTIF(Q$4:Q993,SUBSTITUTE(Q994,""Sell_"",""""))-COUNTIF(Q$4:Q993,"&amp;"""Sell_""&amp;SUBSTITUTE(Q994,""Sell_"",""""))))/2),ROUNDUP(INDEX(Upgrades!$C$3:$C$13,MATCH(Q994,Upgrades!$B$3:$B$13,0))*1.15^(COUNTIF(Q$4:Q993,Q994)-COUNTIF(Q$4:Q993,""Sell_""&amp;Q994))))))"),"")</f>
        <v/>
      </c>
      <c r="V994" s="10" t="str">
        <f t="shared" si="11"/>
        <v/>
      </c>
      <c r="W994" s="68" t="str">
        <f t="shared" si="12"/>
        <v/>
      </c>
      <c r="X994" s="59" t="str">
        <f t="shared" si="13"/>
        <v/>
      </c>
      <c r="Y994" s="69" t="str">
        <f t="shared" si="14"/>
        <v/>
      </c>
      <c r="Z994" s="11"/>
      <c r="AG994" s="59"/>
    </row>
    <row r="995">
      <c r="A995" s="8"/>
      <c r="B995" s="56" t="str">
        <f t="shared" si="2"/>
        <v/>
      </c>
      <c r="C995" s="105"/>
      <c r="D995" s="10"/>
      <c r="E995" s="59" t="str">
        <f t="array" ref="E995">IF(COUNTA(C995:C1644)=0,"",SUM((COUNTIF(C$4:C995,Upgrades!$B$3:$B$13)-COUNTIF(C$4:C995,"Sell_"&amp;Upgrades!$B$3:$B$13))*Upgrades!$D$3:$D$13))</f>
        <v/>
      </c>
      <c r="F995" s="66" t="str">
        <f>IFERROR(__xludf.DUMMYFUNCTION("IF(COUNTA(C995:C1644)=0,"""",IF(REGEXMATCH(INDEX(FILTER(C$4:C995,C$4:C995&lt;&gt;""""),ROWS(FILTER(C$4:C995,C$4:C995&lt;&gt;""""))),""^Sell_""),INDEX(FILTER(F$4:F994,C$4:C994&lt;&gt;""""),ROWS(FILTER(C$4:C994,C$4:C994&lt;&gt;""""))),$AC$5+E995))"),"")</f>
        <v/>
      </c>
      <c r="G995" s="10" t="str">
        <f>IFERROR(__xludf.DUMMYFUNCTION("IF(COUNTA(C995:C1644)=0,"""",IF(C995="""",0,IF(REGEXMATCH(C995,""^Sell_""),-ROUNDDOWN(ROUNDUP(INDEX(Upgrades!$C$3:$C$13,MATCH(SUBSTITUTE(C995,""Sell_"",""""),Upgrades!$B$3:$B$13,0))*1.15^(COUNTIF(C$4:C994,SUBSTITUTE(C995,""Sell_"",""""))-COUNTIF(C$4:C994,"&amp;"""Sell_""&amp;SUBSTITUTE(C995,""Sell_"",""""))))/2),ROUNDUP(INDEX(Upgrades!$C$3:$C$13,MATCH(C995,Upgrades!$B$3:$B$13,0))*1.15^(COUNTIF(C$4:C994,C995)-COUNTIF(C$4:C994,""Sell_""&amp;C995))))))"),"")</f>
        <v/>
      </c>
      <c r="H995" s="10" t="str">
        <f t="shared" si="3"/>
        <v/>
      </c>
      <c r="I995" s="68" t="str">
        <f t="shared" si="4"/>
        <v/>
      </c>
      <c r="J995" s="59" t="str">
        <f t="shared" si="5"/>
        <v/>
      </c>
      <c r="K995" s="69" t="str">
        <f t="shared" si="6"/>
        <v/>
      </c>
      <c r="L995" s="60" t="str">
        <f t="shared" si="7"/>
        <v/>
      </c>
      <c r="M995" s="61" t="str">
        <f>IFERROR(__xludf.DUMMYFUNCTION("IFS(AND(COUNTA(C995:C1644)=0,COUNTA(Q995:Q1644)=0),"""",OR(AND(K995&gt;=1000000000,OR(Y995&gt;=1000000000,COUNTA(Q995:Q1644)=0)),OR(Y995&gt;=1000000000,AND(COUNTA(C995:C1644)=0,P$3=TRUE))),
ROUNDDOWN((AB$1-AC$1)*MAX(INDEX(T$4:T1644,MATCH(LARGE(FILTER(Y$4:Y1644,Y$4"&amp;":Y1644&lt;1000000000),1),Y$4:Y1644)),INDEX(F$4:F1644,MATCH(LARGE(FILTER(K$4:K1644,K$4:K1644&lt;1000000000),1),K$4:K1644)))),AND(K995&lt;1000000000,COUNTA(C995:C1644)&gt;0,P$3=FALSE),
ROUNDDOWN(INDEX(Y$4:Y1644,MATCH(LARGE(FILTER(W$4:W1644,W$4:W1644&lt;=I995),1),W$4:W1644"&amp;"))+(I995-LARGE(FILTER(W$4:W1644,W$4:W1644&lt;=I995),1))*INDEX(T$4:T1644,MATCH(LARGE(FILTER(W$4:W1644,W$4:W1644&lt;=I995),1),W$4:W1644))-K995),1,
ROUNDDOWN(Y995-INDEX(K$4:K1644,MATCH(LARGE(FILTER(I$4:I1644,I$4:I1644&lt;=W995),1),I$4:I1644))-(W995-LARGE(FILTER(I$4:I"&amp;"1644,I$4:I1644&lt;=W995),1))*INDEX(F$4:F1644,MATCH(LARGE(FILTER(I$4:I1644,I$4:I1644&lt;=W995),1),I$4:I1644))))"),"")</f>
        <v/>
      </c>
      <c r="N995" s="60" t="str">
        <f t="shared" si="8"/>
        <v/>
      </c>
      <c r="O995" s="61" t="str">
        <f t="shared" si="9"/>
        <v/>
      </c>
      <c r="P995" s="56" t="str">
        <f t="shared" si="10"/>
        <v/>
      </c>
      <c r="Q995" s="105"/>
      <c r="R995" s="10"/>
      <c r="S995" s="59" t="str">
        <f t="array" ref="S995">IF(COUNTA(Q995:Q1644)=0,"",SUM((COUNTIF(Q$4:Q995,Upgrades!$B$3:$B$13)-COUNTIF(Q$4:Q995,"Sell_"&amp;Upgrades!$B$3:$B$13))*Upgrades!$D$3:$D$13))</f>
        <v/>
      </c>
      <c r="T995" s="66" t="str">
        <f>IFERROR(__xludf.DUMMYFUNCTION("IF(COUNTA(Q995:Q1644)=0,"""",IF(REGEXMATCH(INDEX(FILTER(Q$4:Q995,Q$4:Q995&lt;&gt;""""),ROWS(FILTER(Q$4:Q995,Q$4:Q995&lt;&gt;""""))),""^Sell_""),INDEX(FILTER(T$4:T994,Q$4:Q994&lt;&gt;""""),ROWS(FILTER(Q$4:Q994,Q$4:Q994&lt;&gt;""""))),$AD$5+S995))"),"")</f>
        <v/>
      </c>
      <c r="U995" s="10" t="str">
        <f>IFERROR(__xludf.DUMMYFUNCTION("IF(COUNTA(Q995:Q1644)=0,"""",IF(Q995="""",0,IF(REGEXMATCH(Q995,""^Sell_""),-ROUNDDOWN(ROUNDUP(INDEX(Upgrades!$C$3:$C$13,MATCH(SUBSTITUTE(Q995,""Sell_"",""""),Upgrades!$B$3:$B$13,0))*1.15^(COUNTIF(Q$4:Q994,SUBSTITUTE(Q995,""Sell_"",""""))-COUNTIF(Q$4:Q994,"&amp;"""Sell_""&amp;SUBSTITUTE(Q995,""Sell_"",""""))))/2),ROUNDUP(INDEX(Upgrades!$C$3:$C$13,MATCH(Q995,Upgrades!$B$3:$B$13,0))*1.15^(COUNTIF(Q$4:Q994,Q995)-COUNTIF(Q$4:Q994,""Sell_""&amp;Q995))))))"),"")</f>
        <v/>
      </c>
      <c r="V995" s="10" t="str">
        <f t="shared" si="11"/>
        <v/>
      </c>
      <c r="W995" s="68" t="str">
        <f t="shared" si="12"/>
        <v/>
      </c>
      <c r="X995" s="59" t="str">
        <f t="shared" si="13"/>
        <v/>
      </c>
      <c r="Y995" s="69" t="str">
        <f t="shared" si="14"/>
        <v/>
      </c>
      <c r="Z995" s="11"/>
      <c r="AG995" s="59"/>
    </row>
    <row r="996">
      <c r="A996" s="8"/>
      <c r="B996" s="56" t="str">
        <f t="shared" si="2"/>
        <v/>
      </c>
      <c r="C996" s="105"/>
      <c r="D996" s="10"/>
      <c r="E996" s="59" t="str">
        <f t="array" ref="E996">IF(COUNTA(C996:C1644)=0,"",SUM((COUNTIF(C$4:C996,Upgrades!$B$3:$B$13)-COUNTIF(C$4:C996,"Sell_"&amp;Upgrades!$B$3:$B$13))*Upgrades!$D$3:$D$13))</f>
        <v/>
      </c>
      <c r="F996" s="66" t="str">
        <f>IFERROR(__xludf.DUMMYFUNCTION("IF(COUNTA(C996:C1644)=0,"""",IF(REGEXMATCH(INDEX(FILTER(C$4:C996,C$4:C996&lt;&gt;""""),ROWS(FILTER(C$4:C996,C$4:C996&lt;&gt;""""))),""^Sell_""),INDEX(FILTER(F$4:F995,C$4:C995&lt;&gt;""""),ROWS(FILTER(C$4:C995,C$4:C995&lt;&gt;""""))),$AC$5+E996))"),"")</f>
        <v/>
      </c>
      <c r="G996" s="10" t="str">
        <f>IFERROR(__xludf.DUMMYFUNCTION("IF(COUNTA(C996:C1644)=0,"""",IF(C996="""",0,IF(REGEXMATCH(C996,""^Sell_""),-ROUNDDOWN(ROUNDUP(INDEX(Upgrades!$C$3:$C$13,MATCH(SUBSTITUTE(C996,""Sell_"",""""),Upgrades!$B$3:$B$13,0))*1.15^(COUNTIF(C$4:C995,SUBSTITUTE(C996,""Sell_"",""""))-COUNTIF(C$4:C995,"&amp;"""Sell_""&amp;SUBSTITUTE(C996,""Sell_"",""""))))/2),ROUNDUP(INDEX(Upgrades!$C$3:$C$13,MATCH(C996,Upgrades!$B$3:$B$13,0))*1.15^(COUNTIF(C$4:C995,C996)-COUNTIF(C$4:C995,""Sell_""&amp;C996))))))"),"")</f>
        <v/>
      </c>
      <c r="H996" s="10" t="str">
        <f t="shared" si="3"/>
        <v/>
      </c>
      <c r="I996" s="68" t="str">
        <f t="shared" si="4"/>
        <v/>
      </c>
      <c r="J996" s="59" t="str">
        <f t="shared" si="5"/>
        <v/>
      </c>
      <c r="K996" s="69" t="str">
        <f t="shared" si="6"/>
        <v/>
      </c>
      <c r="L996" s="60" t="str">
        <f t="shared" si="7"/>
        <v/>
      </c>
      <c r="M996" s="61" t="str">
        <f>IFERROR(__xludf.DUMMYFUNCTION("IFS(AND(COUNTA(C996:C1644)=0,COUNTA(Q996:Q1644)=0),"""",OR(AND(K996&gt;=1000000000,OR(Y996&gt;=1000000000,COUNTA(Q996:Q1644)=0)),OR(Y996&gt;=1000000000,AND(COUNTA(C996:C1644)=0,P$3=TRUE))),
ROUNDDOWN((AB$1-AC$1)*MAX(INDEX(T$4:T1644,MATCH(LARGE(FILTER(Y$4:Y1644,Y$4"&amp;":Y1644&lt;1000000000),1),Y$4:Y1644)),INDEX(F$4:F1644,MATCH(LARGE(FILTER(K$4:K1644,K$4:K1644&lt;1000000000),1),K$4:K1644)))),AND(K996&lt;1000000000,COUNTA(C996:C1644)&gt;0,P$3=FALSE),
ROUNDDOWN(INDEX(Y$4:Y1644,MATCH(LARGE(FILTER(W$4:W1644,W$4:W1644&lt;=I996),1),W$4:W1644"&amp;"))+(I996-LARGE(FILTER(W$4:W1644,W$4:W1644&lt;=I996),1))*INDEX(T$4:T1644,MATCH(LARGE(FILTER(W$4:W1644,W$4:W1644&lt;=I996),1),W$4:W1644))-K996),1,
ROUNDDOWN(Y996-INDEX(K$4:K1644,MATCH(LARGE(FILTER(I$4:I1644,I$4:I1644&lt;=W996),1),I$4:I1644))-(W996-LARGE(FILTER(I$4:I"&amp;"1644,I$4:I1644&lt;=W996),1))*INDEX(F$4:F1644,MATCH(LARGE(FILTER(I$4:I1644,I$4:I1644&lt;=W996),1),I$4:I1644))))"),"")</f>
        <v/>
      </c>
      <c r="N996" s="60" t="str">
        <f t="shared" si="8"/>
        <v/>
      </c>
      <c r="O996" s="61" t="str">
        <f t="shared" si="9"/>
        <v/>
      </c>
      <c r="P996" s="56" t="str">
        <f t="shared" si="10"/>
        <v/>
      </c>
      <c r="Q996" s="105"/>
      <c r="R996" s="10"/>
      <c r="S996" s="59" t="str">
        <f t="array" ref="S996">IF(COUNTA(Q996:Q1644)=0,"",SUM((COUNTIF(Q$4:Q996,Upgrades!$B$3:$B$13)-COUNTIF(Q$4:Q996,"Sell_"&amp;Upgrades!$B$3:$B$13))*Upgrades!$D$3:$D$13))</f>
        <v/>
      </c>
      <c r="T996" s="66" t="str">
        <f>IFERROR(__xludf.DUMMYFUNCTION("IF(COUNTA(Q996:Q1644)=0,"""",IF(REGEXMATCH(INDEX(FILTER(Q$4:Q996,Q$4:Q996&lt;&gt;""""),ROWS(FILTER(Q$4:Q996,Q$4:Q996&lt;&gt;""""))),""^Sell_""),INDEX(FILTER(T$4:T995,Q$4:Q995&lt;&gt;""""),ROWS(FILTER(Q$4:Q995,Q$4:Q995&lt;&gt;""""))),$AD$5+S996))"),"")</f>
        <v/>
      </c>
      <c r="U996" s="10" t="str">
        <f>IFERROR(__xludf.DUMMYFUNCTION("IF(COUNTA(Q996:Q1644)=0,"""",IF(Q996="""",0,IF(REGEXMATCH(Q996,""^Sell_""),-ROUNDDOWN(ROUNDUP(INDEX(Upgrades!$C$3:$C$13,MATCH(SUBSTITUTE(Q996,""Sell_"",""""),Upgrades!$B$3:$B$13,0))*1.15^(COUNTIF(Q$4:Q995,SUBSTITUTE(Q996,""Sell_"",""""))-COUNTIF(Q$4:Q995,"&amp;"""Sell_""&amp;SUBSTITUTE(Q996,""Sell_"",""""))))/2),ROUNDUP(INDEX(Upgrades!$C$3:$C$13,MATCH(Q996,Upgrades!$B$3:$B$13,0))*1.15^(COUNTIF(Q$4:Q995,Q996)-COUNTIF(Q$4:Q995,""Sell_""&amp;Q996))))))"),"")</f>
        <v/>
      </c>
      <c r="V996" s="10" t="str">
        <f t="shared" si="11"/>
        <v/>
      </c>
      <c r="W996" s="68" t="str">
        <f t="shared" si="12"/>
        <v/>
      </c>
      <c r="X996" s="59" t="str">
        <f t="shared" si="13"/>
        <v/>
      </c>
      <c r="Y996" s="69" t="str">
        <f t="shared" si="14"/>
        <v/>
      </c>
      <c r="Z996" s="11"/>
      <c r="AG996" s="59"/>
    </row>
    <row r="997">
      <c r="A997" s="8"/>
      <c r="B997" s="56" t="str">
        <f t="shared" si="2"/>
        <v/>
      </c>
      <c r="C997" s="105"/>
      <c r="D997" s="10"/>
      <c r="E997" s="59" t="str">
        <f t="array" ref="E997">IF(COUNTA(C997:C1644)=0,"",SUM((COUNTIF(C$4:C997,Upgrades!$B$3:$B$13)-COUNTIF(C$4:C997,"Sell_"&amp;Upgrades!$B$3:$B$13))*Upgrades!$D$3:$D$13))</f>
        <v/>
      </c>
      <c r="F997" s="66" t="str">
        <f>IFERROR(__xludf.DUMMYFUNCTION("IF(COUNTA(C997:C1644)=0,"""",IF(REGEXMATCH(INDEX(FILTER(C$4:C997,C$4:C997&lt;&gt;""""),ROWS(FILTER(C$4:C997,C$4:C997&lt;&gt;""""))),""^Sell_""),INDEX(FILTER(F$4:F996,C$4:C996&lt;&gt;""""),ROWS(FILTER(C$4:C996,C$4:C996&lt;&gt;""""))),$AC$5+E997))"),"")</f>
        <v/>
      </c>
      <c r="G997" s="10" t="str">
        <f>IFERROR(__xludf.DUMMYFUNCTION("IF(COUNTA(C997:C1644)=0,"""",IF(C997="""",0,IF(REGEXMATCH(C997,""^Sell_""),-ROUNDDOWN(ROUNDUP(INDEX(Upgrades!$C$3:$C$13,MATCH(SUBSTITUTE(C997,""Sell_"",""""),Upgrades!$B$3:$B$13,0))*1.15^(COUNTIF(C$4:C996,SUBSTITUTE(C997,""Sell_"",""""))-COUNTIF(C$4:C996,"&amp;"""Sell_""&amp;SUBSTITUTE(C997,""Sell_"",""""))))/2),ROUNDUP(INDEX(Upgrades!$C$3:$C$13,MATCH(C997,Upgrades!$B$3:$B$13,0))*1.15^(COUNTIF(C$4:C996,C997)-COUNTIF(C$4:C996,""Sell_""&amp;C997))))))"),"")</f>
        <v/>
      </c>
      <c r="H997" s="10" t="str">
        <f t="shared" si="3"/>
        <v/>
      </c>
      <c r="I997" s="68" t="str">
        <f t="shared" si="4"/>
        <v/>
      </c>
      <c r="J997" s="59" t="str">
        <f t="shared" si="5"/>
        <v/>
      </c>
      <c r="K997" s="69" t="str">
        <f t="shared" si="6"/>
        <v/>
      </c>
      <c r="L997" s="60" t="str">
        <f t="shared" si="7"/>
        <v/>
      </c>
      <c r="M997" s="61" t="str">
        <f>IFERROR(__xludf.DUMMYFUNCTION("IFS(AND(COUNTA(C997:C1644)=0,COUNTA(Q997:Q1644)=0),"""",OR(AND(K997&gt;=1000000000,OR(Y997&gt;=1000000000,COUNTA(Q997:Q1644)=0)),OR(Y997&gt;=1000000000,AND(COUNTA(C997:C1644)=0,P$3=TRUE))),
ROUNDDOWN((AB$1-AC$1)*MAX(INDEX(T$4:T1644,MATCH(LARGE(FILTER(Y$4:Y1644,Y$4"&amp;":Y1644&lt;1000000000),1),Y$4:Y1644)),INDEX(F$4:F1644,MATCH(LARGE(FILTER(K$4:K1644,K$4:K1644&lt;1000000000),1),K$4:K1644)))),AND(K997&lt;1000000000,COUNTA(C997:C1644)&gt;0,P$3=FALSE),
ROUNDDOWN(INDEX(Y$4:Y1644,MATCH(LARGE(FILTER(W$4:W1644,W$4:W1644&lt;=I997),1),W$4:W1644"&amp;"))+(I997-LARGE(FILTER(W$4:W1644,W$4:W1644&lt;=I997),1))*INDEX(T$4:T1644,MATCH(LARGE(FILTER(W$4:W1644,W$4:W1644&lt;=I997),1),W$4:W1644))-K997),1,
ROUNDDOWN(Y997-INDEX(K$4:K1644,MATCH(LARGE(FILTER(I$4:I1644,I$4:I1644&lt;=W997),1),I$4:I1644))-(W997-LARGE(FILTER(I$4:I"&amp;"1644,I$4:I1644&lt;=W997),1))*INDEX(F$4:F1644,MATCH(LARGE(FILTER(I$4:I1644,I$4:I1644&lt;=W997),1),I$4:I1644))))"),"")</f>
        <v/>
      </c>
      <c r="N997" s="60" t="str">
        <f t="shared" si="8"/>
        <v/>
      </c>
      <c r="O997" s="61" t="str">
        <f t="shared" si="9"/>
        <v/>
      </c>
      <c r="P997" s="56" t="str">
        <f t="shared" si="10"/>
        <v/>
      </c>
      <c r="Q997" s="105"/>
      <c r="R997" s="10"/>
      <c r="S997" s="59" t="str">
        <f t="array" ref="S997">IF(COUNTA(Q997:Q1644)=0,"",SUM((COUNTIF(Q$4:Q997,Upgrades!$B$3:$B$13)-COUNTIF(Q$4:Q997,"Sell_"&amp;Upgrades!$B$3:$B$13))*Upgrades!$D$3:$D$13))</f>
        <v/>
      </c>
      <c r="T997" s="66" t="str">
        <f>IFERROR(__xludf.DUMMYFUNCTION("IF(COUNTA(Q997:Q1644)=0,"""",IF(REGEXMATCH(INDEX(FILTER(Q$4:Q997,Q$4:Q997&lt;&gt;""""),ROWS(FILTER(Q$4:Q997,Q$4:Q997&lt;&gt;""""))),""^Sell_""),INDEX(FILTER(T$4:T996,Q$4:Q996&lt;&gt;""""),ROWS(FILTER(Q$4:Q996,Q$4:Q996&lt;&gt;""""))),$AD$5+S997))"),"")</f>
        <v/>
      </c>
      <c r="U997" s="10" t="str">
        <f>IFERROR(__xludf.DUMMYFUNCTION("IF(COUNTA(Q997:Q1644)=0,"""",IF(Q997="""",0,IF(REGEXMATCH(Q997,""^Sell_""),-ROUNDDOWN(ROUNDUP(INDEX(Upgrades!$C$3:$C$13,MATCH(SUBSTITUTE(Q997,""Sell_"",""""),Upgrades!$B$3:$B$13,0))*1.15^(COUNTIF(Q$4:Q996,SUBSTITUTE(Q997,""Sell_"",""""))-COUNTIF(Q$4:Q996,"&amp;"""Sell_""&amp;SUBSTITUTE(Q997,""Sell_"",""""))))/2),ROUNDUP(INDEX(Upgrades!$C$3:$C$13,MATCH(Q997,Upgrades!$B$3:$B$13,0))*1.15^(COUNTIF(Q$4:Q996,Q997)-COUNTIF(Q$4:Q996,""Sell_""&amp;Q997))))))"),"")</f>
        <v/>
      </c>
      <c r="V997" s="10" t="str">
        <f t="shared" si="11"/>
        <v/>
      </c>
      <c r="W997" s="68" t="str">
        <f t="shared" si="12"/>
        <v/>
      </c>
      <c r="X997" s="59" t="str">
        <f t="shared" si="13"/>
        <v/>
      </c>
      <c r="Y997" s="69" t="str">
        <f t="shared" si="14"/>
        <v/>
      </c>
      <c r="Z997" s="11"/>
      <c r="AG997" s="59"/>
    </row>
    <row r="998">
      <c r="A998" s="8"/>
      <c r="B998" s="56" t="str">
        <f t="shared" si="2"/>
        <v/>
      </c>
      <c r="C998" s="105"/>
      <c r="D998" s="10"/>
      <c r="E998" s="59" t="str">
        <f t="array" ref="E998">IF(COUNTA(C998:C1644)=0,"",SUM((COUNTIF(C$4:C998,Upgrades!$B$3:$B$13)-COUNTIF(C$4:C998,"Sell_"&amp;Upgrades!$B$3:$B$13))*Upgrades!$D$3:$D$13))</f>
        <v/>
      </c>
      <c r="F998" s="66" t="str">
        <f>IFERROR(__xludf.DUMMYFUNCTION("IF(COUNTA(C998:C1644)=0,"""",IF(REGEXMATCH(INDEX(FILTER(C$4:C998,C$4:C998&lt;&gt;""""),ROWS(FILTER(C$4:C998,C$4:C998&lt;&gt;""""))),""^Sell_""),INDEX(FILTER(F$4:F997,C$4:C997&lt;&gt;""""),ROWS(FILTER(C$4:C997,C$4:C997&lt;&gt;""""))),$AC$5+E998))"),"")</f>
        <v/>
      </c>
      <c r="G998" s="10" t="str">
        <f>IFERROR(__xludf.DUMMYFUNCTION("IF(COUNTA(C998:C1644)=0,"""",IF(C998="""",0,IF(REGEXMATCH(C998,""^Sell_""),-ROUNDDOWN(ROUNDUP(INDEX(Upgrades!$C$3:$C$13,MATCH(SUBSTITUTE(C998,""Sell_"",""""),Upgrades!$B$3:$B$13,0))*1.15^(COUNTIF(C$4:C997,SUBSTITUTE(C998,""Sell_"",""""))-COUNTIF(C$4:C997,"&amp;"""Sell_""&amp;SUBSTITUTE(C998,""Sell_"",""""))))/2),ROUNDUP(INDEX(Upgrades!$C$3:$C$13,MATCH(C998,Upgrades!$B$3:$B$13,0))*1.15^(COUNTIF(C$4:C997,C998)-COUNTIF(C$4:C997,""Sell_""&amp;C998))))))"),"")</f>
        <v/>
      </c>
      <c r="H998" s="10" t="str">
        <f t="shared" si="3"/>
        <v/>
      </c>
      <c r="I998" s="68" t="str">
        <f t="shared" si="4"/>
        <v/>
      </c>
      <c r="J998" s="59" t="str">
        <f t="shared" si="5"/>
        <v/>
      </c>
      <c r="K998" s="69" t="str">
        <f t="shared" si="6"/>
        <v/>
      </c>
      <c r="L998" s="60" t="str">
        <f t="shared" si="7"/>
        <v/>
      </c>
      <c r="M998" s="61" t="str">
        <f>IFERROR(__xludf.DUMMYFUNCTION("IFS(AND(COUNTA(C998:C1644)=0,COUNTA(Q998:Q1644)=0),"""",OR(AND(K998&gt;=1000000000,OR(Y998&gt;=1000000000,COUNTA(Q998:Q1644)=0)),OR(Y998&gt;=1000000000,AND(COUNTA(C998:C1644)=0,P$3=TRUE))),
ROUNDDOWN((AB$1-AC$1)*MAX(INDEX(T$4:T1644,MATCH(LARGE(FILTER(Y$4:Y1644,Y$4"&amp;":Y1644&lt;1000000000),1),Y$4:Y1644)),INDEX(F$4:F1644,MATCH(LARGE(FILTER(K$4:K1644,K$4:K1644&lt;1000000000),1),K$4:K1644)))),AND(K998&lt;1000000000,COUNTA(C998:C1644)&gt;0,P$3=FALSE),
ROUNDDOWN(INDEX(Y$4:Y1644,MATCH(LARGE(FILTER(W$4:W1644,W$4:W1644&lt;=I998),1),W$4:W1644"&amp;"))+(I998-LARGE(FILTER(W$4:W1644,W$4:W1644&lt;=I998),1))*INDEX(T$4:T1644,MATCH(LARGE(FILTER(W$4:W1644,W$4:W1644&lt;=I998),1),W$4:W1644))-K998),1,
ROUNDDOWN(Y998-INDEX(K$4:K1644,MATCH(LARGE(FILTER(I$4:I1644,I$4:I1644&lt;=W998),1),I$4:I1644))-(W998-LARGE(FILTER(I$4:I"&amp;"1644,I$4:I1644&lt;=W998),1))*INDEX(F$4:F1644,MATCH(LARGE(FILTER(I$4:I1644,I$4:I1644&lt;=W998),1),I$4:I1644))))"),"")</f>
        <v/>
      </c>
      <c r="N998" s="60" t="str">
        <f t="shared" si="8"/>
        <v/>
      </c>
      <c r="O998" s="61" t="str">
        <f t="shared" si="9"/>
        <v/>
      </c>
      <c r="P998" s="56" t="str">
        <f t="shared" si="10"/>
        <v/>
      </c>
      <c r="Q998" s="105"/>
      <c r="R998" s="10"/>
      <c r="S998" s="59" t="str">
        <f t="array" ref="S998">IF(COUNTA(Q998:Q1644)=0,"",SUM((COUNTIF(Q$4:Q998,Upgrades!$B$3:$B$13)-COUNTIF(Q$4:Q998,"Sell_"&amp;Upgrades!$B$3:$B$13))*Upgrades!$D$3:$D$13))</f>
        <v/>
      </c>
      <c r="T998" s="66" t="str">
        <f>IFERROR(__xludf.DUMMYFUNCTION("IF(COUNTA(Q998:Q1644)=0,"""",IF(REGEXMATCH(INDEX(FILTER(Q$4:Q998,Q$4:Q998&lt;&gt;""""),ROWS(FILTER(Q$4:Q998,Q$4:Q998&lt;&gt;""""))),""^Sell_""),INDEX(FILTER(T$4:T997,Q$4:Q997&lt;&gt;""""),ROWS(FILTER(Q$4:Q997,Q$4:Q997&lt;&gt;""""))),$AD$5+S998))"),"")</f>
        <v/>
      </c>
      <c r="U998" s="10" t="str">
        <f>IFERROR(__xludf.DUMMYFUNCTION("IF(COUNTA(Q998:Q1644)=0,"""",IF(Q998="""",0,IF(REGEXMATCH(Q998,""^Sell_""),-ROUNDDOWN(ROUNDUP(INDEX(Upgrades!$C$3:$C$13,MATCH(SUBSTITUTE(Q998,""Sell_"",""""),Upgrades!$B$3:$B$13,0))*1.15^(COUNTIF(Q$4:Q997,SUBSTITUTE(Q998,""Sell_"",""""))-COUNTIF(Q$4:Q997,"&amp;"""Sell_""&amp;SUBSTITUTE(Q998,""Sell_"",""""))))/2),ROUNDUP(INDEX(Upgrades!$C$3:$C$13,MATCH(Q998,Upgrades!$B$3:$B$13,0))*1.15^(COUNTIF(Q$4:Q997,Q998)-COUNTIF(Q$4:Q997,""Sell_""&amp;Q998))))))"),"")</f>
        <v/>
      </c>
      <c r="V998" s="10" t="str">
        <f t="shared" si="11"/>
        <v/>
      </c>
      <c r="W998" s="68" t="str">
        <f t="shared" si="12"/>
        <v/>
      </c>
      <c r="X998" s="59" t="str">
        <f t="shared" si="13"/>
        <v/>
      </c>
      <c r="Y998" s="69" t="str">
        <f t="shared" si="14"/>
        <v/>
      </c>
      <c r="Z998" s="11"/>
      <c r="AG998" s="59"/>
    </row>
    <row r="999">
      <c r="A999" s="8"/>
      <c r="B999" s="56" t="str">
        <f t="shared" si="2"/>
        <v/>
      </c>
      <c r="C999" s="105"/>
      <c r="D999" s="10"/>
      <c r="E999" s="59" t="str">
        <f t="array" ref="E999">IF(COUNTA(C999:C1644)=0,"",SUM((COUNTIF(C$4:C999,Upgrades!$B$3:$B$13)-COUNTIF(C$4:C999,"Sell_"&amp;Upgrades!$B$3:$B$13))*Upgrades!$D$3:$D$13))</f>
        <v/>
      </c>
      <c r="F999" s="66" t="str">
        <f>IFERROR(__xludf.DUMMYFUNCTION("IF(COUNTA(C999:C1644)=0,"""",IF(REGEXMATCH(INDEX(FILTER(C$4:C999,C$4:C999&lt;&gt;""""),ROWS(FILTER(C$4:C999,C$4:C999&lt;&gt;""""))),""^Sell_""),INDEX(FILTER(F$4:F998,C$4:C998&lt;&gt;""""),ROWS(FILTER(C$4:C998,C$4:C998&lt;&gt;""""))),$AC$5+E999))"),"")</f>
        <v/>
      </c>
      <c r="G999" s="10" t="str">
        <f>IFERROR(__xludf.DUMMYFUNCTION("IF(COUNTA(C999:C1644)=0,"""",IF(C999="""",0,IF(REGEXMATCH(C999,""^Sell_""),-ROUNDDOWN(ROUNDUP(INDEX(Upgrades!$C$3:$C$13,MATCH(SUBSTITUTE(C999,""Sell_"",""""),Upgrades!$B$3:$B$13,0))*1.15^(COUNTIF(C$4:C998,SUBSTITUTE(C999,""Sell_"",""""))-COUNTIF(C$4:C998,"&amp;"""Sell_""&amp;SUBSTITUTE(C999,""Sell_"",""""))))/2),ROUNDUP(INDEX(Upgrades!$C$3:$C$13,MATCH(C999,Upgrades!$B$3:$B$13,0))*1.15^(COUNTIF(C$4:C998,C999)-COUNTIF(C$4:C998,""Sell_""&amp;C999))))))"),"")</f>
        <v/>
      </c>
      <c r="H999" s="10" t="str">
        <f t="shared" si="3"/>
        <v/>
      </c>
      <c r="I999" s="68" t="str">
        <f t="shared" si="4"/>
        <v/>
      </c>
      <c r="J999" s="59" t="str">
        <f t="shared" si="5"/>
        <v/>
      </c>
      <c r="K999" s="69" t="str">
        <f t="shared" si="6"/>
        <v/>
      </c>
      <c r="L999" s="60" t="str">
        <f t="shared" si="7"/>
        <v/>
      </c>
      <c r="M999" s="61" t="str">
        <f>IFERROR(__xludf.DUMMYFUNCTION("IFS(AND(COUNTA(C999:C1644)=0,COUNTA(Q999:Q1644)=0),"""",OR(AND(K999&gt;=1000000000,OR(Y999&gt;=1000000000,COUNTA(Q999:Q1644)=0)),OR(Y999&gt;=1000000000,AND(COUNTA(C999:C1644)=0,P$3=TRUE))),
ROUNDDOWN((AB$1-AC$1)*MAX(INDEX(T$4:T1644,MATCH(LARGE(FILTER(Y$4:Y1644,Y$4"&amp;":Y1644&lt;1000000000),1),Y$4:Y1644)),INDEX(F$4:F1644,MATCH(LARGE(FILTER(K$4:K1644,K$4:K1644&lt;1000000000),1),K$4:K1644)))),AND(K999&lt;1000000000,COUNTA(C999:C1644)&gt;0,P$3=FALSE),
ROUNDDOWN(INDEX(Y$4:Y1644,MATCH(LARGE(FILTER(W$4:W1644,W$4:W1644&lt;=I999),1),W$4:W1644"&amp;"))+(I999-LARGE(FILTER(W$4:W1644,W$4:W1644&lt;=I999),1))*INDEX(T$4:T1644,MATCH(LARGE(FILTER(W$4:W1644,W$4:W1644&lt;=I999),1),W$4:W1644))-K999),1,
ROUNDDOWN(Y999-INDEX(K$4:K1644,MATCH(LARGE(FILTER(I$4:I1644,I$4:I1644&lt;=W999),1),I$4:I1644))-(W999-LARGE(FILTER(I$4:I"&amp;"1644,I$4:I1644&lt;=W999),1))*INDEX(F$4:F1644,MATCH(LARGE(FILTER(I$4:I1644,I$4:I1644&lt;=W999),1),I$4:I1644))))"),"")</f>
        <v/>
      </c>
      <c r="N999" s="60" t="str">
        <f t="shared" si="8"/>
        <v/>
      </c>
      <c r="O999" s="61" t="str">
        <f t="shared" si="9"/>
        <v/>
      </c>
      <c r="P999" s="56" t="str">
        <f t="shared" si="10"/>
        <v/>
      </c>
      <c r="Q999" s="105"/>
      <c r="R999" s="10"/>
      <c r="S999" s="59" t="str">
        <f t="array" ref="S999">IF(COUNTA(Q999:Q1644)=0,"",SUM((COUNTIF(Q$4:Q999,Upgrades!$B$3:$B$13)-COUNTIF(Q$4:Q999,"Sell_"&amp;Upgrades!$B$3:$B$13))*Upgrades!$D$3:$D$13))</f>
        <v/>
      </c>
      <c r="T999" s="66" t="str">
        <f>IFERROR(__xludf.DUMMYFUNCTION("IF(COUNTA(Q999:Q1644)=0,"""",IF(REGEXMATCH(INDEX(FILTER(Q$4:Q999,Q$4:Q999&lt;&gt;""""),ROWS(FILTER(Q$4:Q999,Q$4:Q999&lt;&gt;""""))),""^Sell_""),INDEX(FILTER(T$4:T998,Q$4:Q998&lt;&gt;""""),ROWS(FILTER(Q$4:Q998,Q$4:Q998&lt;&gt;""""))),$AD$5+S999))"),"")</f>
        <v/>
      </c>
      <c r="U999" s="10" t="str">
        <f>IFERROR(__xludf.DUMMYFUNCTION("IF(COUNTA(Q999:Q1644)=0,"""",IF(Q999="""",0,IF(REGEXMATCH(Q999,""^Sell_""),-ROUNDDOWN(ROUNDUP(INDEX(Upgrades!$C$3:$C$13,MATCH(SUBSTITUTE(Q999,""Sell_"",""""),Upgrades!$B$3:$B$13,0))*1.15^(COUNTIF(Q$4:Q998,SUBSTITUTE(Q999,""Sell_"",""""))-COUNTIF(Q$4:Q998,"&amp;"""Sell_""&amp;SUBSTITUTE(Q999,""Sell_"",""""))))/2),ROUNDUP(INDEX(Upgrades!$C$3:$C$13,MATCH(Q999,Upgrades!$B$3:$B$13,0))*1.15^(COUNTIF(Q$4:Q998,Q999)-COUNTIF(Q$4:Q998,""Sell_""&amp;Q999))))))"),"")</f>
        <v/>
      </c>
      <c r="V999" s="10" t="str">
        <f t="shared" si="11"/>
        <v/>
      </c>
      <c r="W999" s="68" t="str">
        <f t="shared" si="12"/>
        <v/>
      </c>
      <c r="X999" s="59" t="str">
        <f t="shared" si="13"/>
        <v/>
      </c>
      <c r="Y999" s="69" t="str">
        <f t="shared" si="14"/>
        <v/>
      </c>
      <c r="Z999" s="11"/>
      <c r="AG999" s="59"/>
    </row>
    <row r="1000">
      <c r="A1000" s="8"/>
      <c r="B1000" s="56" t="str">
        <f t="shared" si="2"/>
        <v/>
      </c>
      <c r="C1000" s="105"/>
      <c r="D1000" s="10"/>
      <c r="E1000" s="59" t="str">
        <f t="array" ref="E1000">IF(COUNTA(C1000:C1644)=0,"",SUM((COUNTIF(C$4:C1000,Upgrades!$B$3:$B$13)-COUNTIF(C$4:C1000,"Sell_"&amp;Upgrades!$B$3:$B$13))*Upgrades!$D$3:$D$13))</f>
        <v/>
      </c>
      <c r="F1000" s="66" t="str">
        <f>IFERROR(__xludf.DUMMYFUNCTION("IF(COUNTA(C1000:C1644)=0,"""",IF(REGEXMATCH(INDEX(FILTER(C$4:C1000,C$4:C1000&lt;&gt;""""),ROWS(FILTER(C$4:C1000,C$4:C1000&lt;&gt;""""))),""^Sell_""),INDEX(FILTER(F$4:F999,C$4:C999&lt;&gt;""""),ROWS(FILTER(C$4:C999,C$4:C999&lt;&gt;""""))),$AC$5+E1000))"),"")</f>
        <v/>
      </c>
      <c r="G1000" s="10" t="str">
        <f>IFERROR(__xludf.DUMMYFUNCTION("IF(COUNTA(C1000:C1644)=0,"""",IF(C1000="""",0,IF(REGEXMATCH(C1000,""^Sell_""),-ROUNDDOWN(ROUNDUP(INDEX(Upgrades!$C$3:$C$13,MATCH(SUBSTITUTE(C1000,""Sell_"",""""),Upgrades!$B$3:$B$13,0))*1.15^(COUNTIF(C$4:C999,SUBSTITUTE(C1000,""Sell_"",""""))-COUNTIF(C$4:"&amp;"C999,""Sell_""&amp;SUBSTITUTE(C1000,""Sell_"",""""))))/2),ROUNDUP(INDEX(Upgrades!$C$3:$C$13,MATCH(C1000,Upgrades!$B$3:$B$13,0))*1.15^(COUNTIF(C$4:C999,C1000)-COUNTIF(C$4:C999,""Sell_""&amp;C1000))))))"),"")</f>
        <v/>
      </c>
      <c r="H1000" s="10" t="str">
        <f t="shared" si="3"/>
        <v/>
      </c>
      <c r="I1000" s="68" t="str">
        <f t="shared" si="4"/>
        <v/>
      </c>
      <c r="J1000" s="59" t="str">
        <f t="shared" si="5"/>
        <v/>
      </c>
      <c r="K1000" s="69" t="str">
        <f t="shared" si="6"/>
        <v/>
      </c>
      <c r="L1000" s="60" t="str">
        <f t="shared" si="7"/>
        <v/>
      </c>
      <c r="M1000" s="61" t="str">
        <f>IFERROR(__xludf.DUMMYFUNCTION("IFS(AND(COUNTA(C1000:C1644)=0,COUNTA(Q1000:Q1644)=0),"""",OR(AND(K1000&gt;=1000000000,OR(Y1000&gt;=1000000000,COUNTA(Q1000:Q1644)=0)),OR(Y1000&gt;=1000000000,AND(COUNTA(C1000:C1644)=0,P$3=TRUE))),
ROUNDDOWN((AB$1-AC$1)*MAX(INDEX(T$4:T1644,MATCH(LARGE(FILTER(Y$4:Y1"&amp;"644,Y$4:Y1644&lt;1000000000),1),Y$4:Y1644)),INDEX(F$4:F1644,MATCH(LARGE(FILTER(K$4:K1644,K$4:K1644&lt;1000000000),1),K$4:K1644)))),AND(K1000&lt;1000000000,COUNTA(C1000:C1644)&gt;0,P$3=FALSE),
ROUNDDOWN(INDEX(Y$4:Y1644,MATCH(LARGE(FILTER(W$4:W1644,W$4:W1644&lt;=I1000),1)"&amp;",W$4:W1644))+(I1000-LARGE(FILTER(W$4:W1644,W$4:W1644&lt;=I1000),1))*INDEX(T$4:T1644,MATCH(LARGE(FILTER(W$4:W1644,W$4:W1644&lt;=I1000),1),W$4:W1644))-K1000),1,
ROUNDDOWN(Y1000-INDEX(K$4:K1644,MATCH(LARGE(FILTER(I$4:I1644,I$4:I1644&lt;=W1000),1),I$4:I1644))-(W1000-L"&amp;"ARGE(FILTER(I$4:I1644,I$4:I1644&lt;=W1000),1))*INDEX(F$4:F1644,MATCH(LARGE(FILTER(I$4:I1644,I$4:I1644&lt;=W1000),1),I$4:I1644))))"),"")</f>
        <v/>
      </c>
      <c r="N1000" s="60" t="str">
        <f t="shared" si="8"/>
        <v/>
      </c>
      <c r="O1000" s="61" t="str">
        <f t="shared" si="9"/>
        <v/>
      </c>
      <c r="P1000" s="56" t="str">
        <f t="shared" si="10"/>
        <v/>
      </c>
      <c r="Q1000" s="105"/>
      <c r="R1000" s="10"/>
      <c r="S1000" s="59" t="str">
        <f t="array" ref="S1000">IF(COUNTA(Q1000:Q1644)=0,"",SUM((COUNTIF(Q$4:Q1000,Upgrades!$B$3:$B$13)-COUNTIF(Q$4:Q1000,"Sell_"&amp;Upgrades!$B$3:$B$13))*Upgrades!$D$3:$D$13))</f>
        <v/>
      </c>
      <c r="T1000" s="66" t="str">
        <f>IFERROR(__xludf.DUMMYFUNCTION("IF(COUNTA(Q1000:Q1644)=0,"""",IF(REGEXMATCH(INDEX(FILTER(Q$4:Q1000,Q$4:Q1000&lt;&gt;""""),ROWS(FILTER(Q$4:Q1000,Q$4:Q1000&lt;&gt;""""))),""^Sell_""),INDEX(FILTER(T$4:T999,Q$4:Q999&lt;&gt;""""),ROWS(FILTER(Q$4:Q999,Q$4:Q999&lt;&gt;""""))),$AD$5+S1000))"),"")</f>
        <v/>
      </c>
      <c r="U1000" s="10" t="str">
        <f>IFERROR(__xludf.DUMMYFUNCTION("IF(COUNTA(Q1000:Q1644)=0,"""",IF(Q1000="""",0,IF(REGEXMATCH(Q1000,""^Sell_""),-ROUNDDOWN(ROUNDUP(INDEX(Upgrades!$C$3:$C$13,MATCH(SUBSTITUTE(Q1000,""Sell_"",""""),Upgrades!$B$3:$B$13,0))*1.15^(COUNTIF(Q$4:Q999,SUBSTITUTE(Q1000,""Sell_"",""""))-COUNTIF(Q$4:"&amp;"Q999,""Sell_""&amp;SUBSTITUTE(Q1000,""Sell_"",""""))))/2),ROUNDUP(INDEX(Upgrades!$C$3:$C$13,MATCH(Q1000,Upgrades!$B$3:$B$13,0))*1.15^(COUNTIF(Q$4:Q999,Q1000)-COUNTIF(Q$4:Q999,""Sell_""&amp;Q1000))))))"),"")</f>
        <v/>
      </c>
      <c r="V1000" s="10" t="str">
        <f t="shared" si="11"/>
        <v/>
      </c>
      <c r="W1000" s="68" t="str">
        <f t="shared" si="12"/>
        <v/>
      </c>
      <c r="X1000" s="59" t="str">
        <f t="shared" si="13"/>
        <v/>
      </c>
      <c r="Y1000" s="69" t="str">
        <f t="shared" si="14"/>
        <v/>
      </c>
      <c r="Z1000" s="11"/>
      <c r="AG1000" s="59"/>
    </row>
    <row r="1001">
      <c r="A1001" s="8"/>
      <c r="B1001" s="56" t="str">
        <f t="shared" si="2"/>
        <v/>
      </c>
      <c r="C1001" s="105"/>
      <c r="D1001" s="10"/>
      <c r="E1001" s="59" t="str">
        <f t="array" ref="E1001">IF(COUNTA(C1001:C1644)=0,"",SUM((COUNTIF(C$4:C1001,Upgrades!$B$3:$B$13)-COUNTIF(C$4:C1001,"Sell_"&amp;Upgrades!$B$3:$B$13))*Upgrades!$D$3:$D$13))</f>
        <v/>
      </c>
      <c r="F1001" s="66" t="str">
        <f>IFERROR(__xludf.DUMMYFUNCTION("IF(COUNTA(C1001:C1644)=0,"""",IF(REGEXMATCH(INDEX(FILTER(C$4:C1001,C$4:C1001&lt;&gt;""""),ROWS(FILTER(C$4:C1001,C$4:C1001&lt;&gt;""""))),""^Sell_""),INDEX(FILTER(F$4:F1000,C$4:C1000&lt;&gt;""""),ROWS(FILTER(C$4:C1000,C$4:C1000&lt;&gt;""""))),$AC$5+E1001))"),"")</f>
        <v/>
      </c>
      <c r="G1001" s="10" t="str">
        <f>IFERROR(__xludf.DUMMYFUNCTION("IF(COUNTA(C1001:C1644)=0,"""",IF(C1001="""",0,IF(REGEXMATCH(C1001,""^Sell_""),-ROUNDDOWN(ROUNDUP(INDEX(Upgrades!$C$3:$C$13,MATCH(SUBSTITUTE(C1001,""Sell_"",""""),Upgrades!$B$3:$B$13,0))*1.15^(COUNTIF(C$4:C1000,SUBSTITUTE(C1001,""Sell_"",""""))-COUNTIF(C$4"&amp;":C1000,""Sell_""&amp;SUBSTITUTE(C1001,""Sell_"",""""))))/2),ROUNDUP(INDEX(Upgrades!$C$3:$C$13,MATCH(C1001,Upgrades!$B$3:$B$13,0))*1.15^(COUNTIF(C$4:C1000,C1001)-COUNTIF(C$4:C1000,""Sell_""&amp;C1001))))))"),"")</f>
        <v/>
      </c>
      <c r="H1001" s="10" t="str">
        <f t="shared" si="3"/>
        <v/>
      </c>
      <c r="I1001" s="68" t="str">
        <f t="shared" si="4"/>
        <v/>
      </c>
      <c r="J1001" s="59" t="str">
        <f t="shared" si="5"/>
        <v/>
      </c>
      <c r="K1001" s="69" t="str">
        <f t="shared" si="6"/>
        <v/>
      </c>
      <c r="L1001" s="60" t="str">
        <f t="shared" si="7"/>
        <v/>
      </c>
      <c r="M1001" s="61" t="str">
        <f>IFERROR(__xludf.DUMMYFUNCTION("IFS(AND(COUNTA(C1001:C1644)=0,COUNTA(Q1001:Q1644)=0),"""",OR(AND(K1001&gt;=1000000000,OR(Y1001&gt;=1000000000,COUNTA(Q1001:Q1644)=0)),OR(Y1001&gt;=1000000000,AND(COUNTA(C1001:C1644)=0,P$3=TRUE))),
ROUNDDOWN((AB$1-AC$1)*MAX(INDEX(T$4:T1644,MATCH(LARGE(FILTER(Y$4:Y1"&amp;"644,Y$4:Y1644&lt;1000000000),1),Y$4:Y1644)),INDEX(F$4:F1644,MATCH(LARGE(FILTER(K$4:K1644,K$4:K1644&lt;1000000000),1),K$4:K1644)))),AND(K1001&lt;1000000000,COUNTA(C1001:C1644)&gt;0,P$3=FALSE),
ROUNDDOWN(INDEX(Y$4:Y1644,MATCH(LARGE(FILTER(W$4:W1644,W$4:W1644&lt;=I1001),1)"&amp;",W$4:W1644))+(I1001-LARGE(FILTER(W$4:W1644,W$4:W1644&lt;=I1001),1))*INDEX(T$4:T1644,MATCH(LARGE(FILTER(W$4:W1644,W$4:W1644&lt;=I1001),1),W$4:W1644))-K1001),1,
ROUNDDOWN(Y1001-INDEX(K$4:K1644,MATCH(LARGE(FILTER(I$4:I1644,I$4:I1644&lt;=W1001),1),I$4:I1644))-(W1001-L"&amp;"ARGE(FILTER(I$4:I1644,I$4:I1644&lt;=W1001),1))*INDEX(F$4:F1644,MATCH(LARGE(FILTER(I$4:I1644,I$4:I1644&lt;=W1001),1),I$4:I1644))))"),"")</f>
        <v/>
      </c>
      <c r="N1001" s="60" t="str">
        <f t="shared" si="8"/>
        <v/>
      </c>
      <c r="O1001" s="61" t="str">
        <f t="shared" si="9"/>
        <v/>
      </c>
      <c r="P1001" s="56" t="str">
        <f t="shared" si="10"/>
        <v/>
      </c>
      <c r="Q1001" s="105"/>
      <c r="R1001" s="10"/>
      <c r="S1001" s="59" t="str">
        <f t="array" ref="S1001">IF(COUNTA(Q1001:Q1644)=0,"",SUM((COUNTIF(Q$4:Q1001,Upgrades!$B$3:$B$13)-COUNTIF(Q$4:Q1001,"Sell_"&amp;Upgrades!$B$3:$B$13))*Upgrades!$D$3:$D$13))</f>
        <v/>
      </c>
      <c r="T1001" s="66" t="str">
        <f>IFERROR(__xludf.DUMMYFUNCTION("IF(COUNTA(Q1001:Q1644)=0,"""",IF(REGEXMATCH(INDEX(FILTER(Q$4:Q1001,Q$4:Q1001&lt;&gt;""""),ROWS(FILTER(Q$4:Q1001,Q$4:Q1001&lt;&gt;""""))),""^Sell_""),INDEX(FILTER(T$4:T1000,Q$4:Q1000&lt;&gt;""""),ROWS(FILTER(Q$4:Q1000,Q$4:Q1000&lt;&gt;""""))),$AD$5+S1001))"),"")</f>
        <v/>
      </c>
      <c r="U1001" s="10" t="str">
        <f>IFERROR(__xludf.DUMMYFUNCTION("IF(COUNTA(Q1001:Q1644)=0,"""",IF(Q1001="""",0,IF(REGEXMATCH(Q1001,""^Sell_""),-ROUNDDOWN(ROUNDUP(INDEX(Upgrades!$C$3:$C$13,MATCH(SUBSTITUTE(Q1001,""Sell_"",""""),Upgrades!$B$3:$B$13,0))*1.15^(COUNTIF(Q$4:Q1000,SUBSTITUTE(Q1001,""Sell_"",""""))-COUNTIF(Q$4"&amp;":Q1000,""Sell_""&amp;SUBSTITUTE(Q1001,""Sell_"",""""))))/2),ROUNDUP(INDEX(Upgrades!$C$3:$C$13,MATCH(Q1001,Upgrades!$B$3:$B$13,0))*1.15^(COUNTIF(Q$4:Q1000,Q1001)-COUNTIF(Q$4:Q1000,""Sell_""&amp;Q1001))))))"),"")</f>
        <v/>
      </c>
      <c r="V1001" s="10" t="str">
        <f t="shared" si="11"/>
        <v/>
      </c>
      <c r="W1001" s="68" t="str">
        <f t="shared" si="12"/>
        <v/>
      </c>
      <c r="X1001" s="59" t="str">
        <f t="shared" si="13"/>
        <v/>
      </c>
      <c r="Y1001" s="69" t="str">
        <f t="shared" si="14"/>
        <v/>
      </c>
      <c r="Z1001" s="11"/>
      <c r="AG1001" s="59"/>
    </row>
    <row r="1002">
      <c r="A1002" s="8"/>
      <c r="B1002" s="56" t="str">
        <f t="shared" si="2"/>
        <v/>
      </c>
      <c r="C1002" s="105"/>
      <c r="D1002" s="10"/>
      <c r="E1002" s="59" t="str">
        <f t="array" ref="E1002">IF(COUNTA(C1002:C1644)=0,"",SUM((COUNTIF(C$4:C1002,Upgrades!$B$3:$B$13)-COUNTIF(C$4:C1002,"Sell_"&amp;Upgrades!$B$3:$B$13))*Upgrades!$D$3:$D$13))</f>
        <v/>
      </c>
      <c r="F1002" s="66" t="str">
        <f>IFERROR(__xludf.DUMMYFUNCTION("IF(COUNTA(C1002:C1644)=0,"""",IF(REGEXMATCH(INDEX(FILTER(C$4:C1002,C$4:C1002&lt;&gt;""""),ROWS(FILTER(C$4:C1002,C$4:C1002&lt;&gt;""""))),""^Sell_""),INDEX(FILTER(F$4:F1001,C$4:C1001&lt;&gt;""""),ROWS(FILTER(C$4:C1001,C$4:C1001&lt;&gt;""""))),$AC$5+E1002))"),"")</f>
        <v/>
      </c>
      <c r="G1002" s="10" t="str">
        <f>IFERROR(__xludf.DUMMYFUNCTION("IF(COUNTA(C1002:C1644)=0,"""",IF(C1002="""",0,IF(REGEXMATCH(C1002,""^Sell_""),-ROUNDDOWN(ROUNDUP(INDEX(Upgrades!$C$3:$C$13,MATCH(SUBSTITUTE(C1002,""Sell_"",""""),Upgrades!$B$3:$B$13,0))*1.15^(COUNTIF(C$4:C1001,SUBSTITUTE(C1002,""Sell_"",""""))-COUNTIF(C$4"&amp;":C1001,""Sell_""&amp;SUBSTITUTE(C1002,""Sell_"",""""))))/2),ROUNDUP(INDEX(Upgrades!$C$3:$C$13,MATCH(C1002,Upgrades!$B$3:$B$13,0))*1.15^(COUNTIF(C$4:C1001,C1002)-COUNTIF(C$4:C1001,""Sell_""&amp;C1002))))))"),"")</f>
        <v/>
      </c>
      <c r="H1002" s="10" t="str">
        <f t="shared" si="3"/>
        <v/>
      </c>
      <c r="I1002" s="68" t="str">
        <f t="shared" si="4"/>
        <v/>
      </c>
      <c r="J1002" s="59" t="str">
        <f t="shared" si="5"/>
        <v/>
      </c>
      <c r="K1002" s="69" t="str">
        <f t="shared" si="6"/>
        <v/>
      </c>
      <c r="L1002" s="60" t="str">
        <f t="shared" si="7"/>
        <v/>
      </c>
      <c r="M1002" s="61" t="str">
        <f>IFERROR(__xludf.DUMMYFUNCTION("IFS(AND(COUNTA(C1002:C1644)=0,COUNTA(Q1002:Q1644)=0),"""",OR(AND(K1002&gt;=1000000000,OR(Y1002&gt;=1000000000,COUNTA(Q1002:Q1644)=0)),OR(Y1002&gt;=1000000000,AND(COUNTA(C1002:C1644)=0,P$3=TRUE))),
ROUNDDOWN((AB$1-AC$1)*MAX(INDEX(T$4:T1644,MATCH(LARGE(FILTER(Y$4:Y1"&amp;"644,Y$4:Y1644&lt;1000000000),1),Y$4:Y1644)),INDEX(F$4:F1644,MATCH(LARGE(FILTER(K$4:K1644,K$4:K1644&lt;1000000000),1),K$4:K1644)))),AND(K1002&lt;1000000000,COUNTA(C1002:C1644)&gt;0,P$3=FALSE),
ROUNDDOWN(INDEX(Y$4:Y1644,MATCH(LARGE(FILTER(W$4:W1644,W$4:W1644&lt;=I1002),1)"&amp;",W$4:W1644))+(I1002-LARGE(FILTER(W$4:W1644,W$4:W1644&lt;=I1002),1))*INDEX(T$4:T1644,MATCH(LARGE(FILTER(W$4:W1644,W$4:W1644&lt;=I1002),1),W$4:W1644))-K1002),1,
ROUNDDOWN(Y1002-INDEX(K$4:K1644,MATCH(LARGE(FILTER(I$4:I1644,I$4:I1644&lt;=W1002),1),I$4:I1644))-(W1002-L"&amp;"ARGE(FILTER(I$4:I1644,I$4:I1644&lt;=W1002),1))*INDEX(F$4:F1644,MATCH(LARGE(FILTER(I$4:I1644,I$4:I1644&lt;=W1002),1),I$4:I1644))))"),"")</f>
        <v/>
      </c>
      <c r="N1002" s="60" t="str">
        <f t="shared" si="8"/>
        <v/>
      </c>
      <c r="O1002" s="61" t="str">
        <f t="shared" si="9"/>
        <v/>
      </c>
      <c r="P1002" s="56" t="str">
        <f t="shared" si="10"/>
        <v/>
      </c>
      <c r="Q1002" s="105"/>
      <c r="R1002" s="10"/>
      <c r="S1002" s="59" t="str">
        <f t="array" ref="S1002">IF(COUNTA(Q1002:Q1644)=0,"",SUM((COUNTIF(Q$4:Q1002,Upgrades!$B$3:$B$13)-COUNTIF(Q$4:Q1002,"Sell_"&amp;Upgrades!$B$3:$B$13))*Upgrades!$D$3:$D$13))</f>
        <v/>
      </c>
      <c r="T1002" s="66" t="str">
        <f>IFERROR(__xludf.DUMMYFUNCTION("IF(COUNTA(Q1002:Q1644)=0,"""",IF(REGEXMATCH(INDEX(FILTER(Q$4:Q1002,Q$4:Q1002&lt;&gt;""""),ROWS(FILTER(Q$4:Q1002,Q$4:Q1002&lt;&gt;""""))),""^Sell_""),INDEX(FILTER(T$4:T1001,Q$4:Q1001&lt;&gt;""""),ROWS(FILTER(Q$4:Q1001,Q$4:Q1001&lt;&gt;""""))),$AD$5+S1002))"),"")</f>
        <v/>
      </c>
      <c r="U1002" s="10" t="str">
        <f>IFERROR(__xludf.DUMMYFUNCTION("IF(COUNTA(Q1002:Q1644)=0,"""",IF(Q1002="""",0,IF(REGEXMATCH(Q1002,""^Sell_""),-ROUNDDOWN(ROUNDUP(INDEX(Upgrades!$C$3:$C$13,MATCH(SUBSTITUTE(Q1002,""Sell_"",""""),Upgrades!$B$3:$B$13,0))*1.15^(COUNTIF(Q$4:Q1001,SUBSTITUTE(Q1002,""Sell_"",""""))-COUNTIF(Q$4"&amp;":Q1001,""Sell_""&amp;SUBSTITUTE(Q1002,""Sell_"",""""))))/2),ROUNDUP(INDEX(Upgrades!$C$3:$C$13,MATCH(Q1002,Upgrades!$B$3:$B$13,0))*1.15^(COUNTIF(Q$4:Q1001,Q1002)-COUNTIF(Q$4:Q1001,""Sell_""&amp;Q1002))))))"),"")</f>
        <v/>
      </c>
      <c r="V1002" s="10" t="str">
        <f t="shared" si="11"/>
        <v/>
      </c>
      <c r="W1002" s="68" t="str">
        <f t="shared" si="12"/>
        <v/>
      </c>
      <c r="X1002" s="59" t="str">
        <f t="shared" si="13"/>
        <v/>
      </c>
      <c r="Y1002" s="69" t="str">
        <f t="shared" si="14"/>
        <v/>
      </c>
      <c r="Z1002" s="11"/>
      <c r="AG1002" s="59"/>
    </row>
    <row r="1003">
      <c r="A1003" s="8"/>
      <c r="B1003" s="56" t="str">
        <f t="shared" si="2"/>
        <v/>
      </c>
      <c r="C1003" s="105"/>
      <c r="D1003" s="10"/>
      <c r="E1003" s="59" t="str">
        <f t="array" ref="E1003">IF(COUNTA(C1003:C1644)=0,"",SUM((COUNTIF(C$4:C1003,Upgrades!$B$3:$B$13)-COUNTIF(C$4:C1003,"Sell_"&amp;Upgrades!$B$3:$B$13))*Upgrades!$D$3:$D$13))</f>
        <v/>
      </c>
      <c r="F1003" s="66" t="str">
        <f>IFERROR(__xludf.DUMMYFUNCTION("IF(COUNTA(C1003:C1644)=0,"""",IF(REGEXMATCH(INDEX(FILTER(C$4:C1003,C$4:C1003&lt;&gt;""""),ROWS(FILTER(C$4:C1003,C$4:C1003&lt;&gt;""""))),""^Sell_""),INDEX(FILTER(F$4:F1002,C$4:C1002&lt;&gt;""""),ROWS(FILTER(C$4:C1002,C$4:C1002&lt;&gt;""""))),$AC$5+E1003))"),"")</f>
        <v/>
      </c>
      <c r="G1003" s="10" t="str">
        <f>IFERROR(__xludf.DUMMYFUNCTION("IF(COUNTA(C1003:C1644)=0,"""",IF(C1003="""",0,IF(REGEXMATCH(C1003,""^Sell_""),-ROUNDDOWN(ROUNDUP(INDEX(Upgrades!$C$3:$C$13,MATCH(SUBSTITUTE(C1003,""Sell_"",""""),Upgrades!$B$3:$B$13,0))*1.15^(COUNTIF(C$4:C1002,SUBSTITUTE(C1003,""Sell_"",""""))-COUNTIF(C$4"&amp;":C1002,""Sell_""&amp;SUBSTITUTE(C1003,""Sell_"",""""))))/2),ROUNDUP(INDEX(Upgrades!$C$3:$C$13,MATCH(C1003,Upgrades!$B$3:$B$13,0))*1.15^(COUNTIF(C$4:C1002,C1003)-COUNTIF(C$4:C1002,""Sell_""&amp;C1003))))))"),"")</f>
        <v/>
      </c>
      <c r="H1003" s="10" t="str">
        <f t="shared" si="3"/>
        <v/>
      </c>
      <c r="I1003" s="68" t="str">
        <f t="shared" si="4"/>
        <v/>
      </c>
      <c r="J1003" s="59" t="str">
        <f t="shared" si="5"/>
        <v/>
      </c>
      <c r="K1003" s="69" t="str">
        <f t="shared" si="6"/>
        <v/>
      </c>
      <c r="L1003" s="60" t="str">
        <f t="shared" si="7"/>
        <v/>
      </c>
      <c r="M1003" s="61" t="str">
        <f>IFERROR(__xludf.DUMMYFUNCTION("IFS(AND(COUNTA(C1003:C1644)=0,COUNTA(Q1003:Q1644)=0),"""",OR(AND(K1003&gt;=1000000000,OR(Y1003&gt;=1000000000,COUNTA(Q1003:Q1644)=0)),OR(Y1003&gt;=1000000000,AND(COUNTA(C1003:C1644)=0,P$3=TRUE))),
ROUNDDOWN((AB$1-AC$1)*MAX(INDEX(T$4:T1644,MATCH(LARGE(FILTER(Y$4:Y1"&amp;"644,Y$4:Y1644&lt;1000000000),1),Y$4:Y1644)),INDEX(F$4:F1644,MATCH(LARGE(FILTER(K$4:K1644,K$4:K1644&lt;1000000000),1),K$4:K1644)))),AND(K1003&lt;1000000000,COUNTA(C1003:C1644)&gt;0,P$3=FALSE),
ROUNDDOWN(INDEX(Y$4:Y1644,MATCH(LARGE(FILTER(W$4:W1644,W$4:W1644&lt;=I1003),1)"&amp;",W$4:W1644))+(I1003-LARGE(FILTER(W$4:W1644,W$4:W1644&lt;=I1003),1))*INDEX(T$4:T1644,MATCH(LARGE(FILTER(W$4:W1644,W$4:W1644&lt;=I1003),1),W$4:W1644))-K1003),1,
ROUNDDOWN(Y1003-INDEX(K$4:K1644,MATCH(LARGE(FILTER(I$4:I1644,I$4:I1644&lt;=W1003),1),I$4:I1644))-(W1003-L"&amp;"ARGE(FILTER(I$4:I1644,I$4:I1644&lt;=W1003),1))*INDEX(F$4:F1644,MATCH(LARGE(FILTER(I$4:I1644,I$4:I1644&lt;=W1003),1),I$4:I1644))))"),"")</f>
        <v/>
      </c>
      <c r="N1003" s="60" t="str">
        <f t="shared" si="8"/>
        <v/>
      </c>
      <c r="O1003" s="61" t="str">
        <f t="shared" si="9"/>
        <v/>
      </c>
      <c r="P1003" s="56" t="str">
        <f t="shared" si="10"/>
        <v/>
      </c>
      <c r="Q1003" s="105"/>
      <c r="R1003" s="10"/>
      <c r="S1003" s="59" t="str">
        <f t="array" ref="S1003">IF(COUNTA(Q1003:Q1644)=0,"",SUM((COUNTIF(Q$4:Q1003,Upgrades!$B$3:$B$13)-COUNTIF(Q$4:Q1003,"Sell_"&amp;Upgrades!$B$3:$B$13))*Upgrades!$D$3:$D$13))</f>
        <v/>
      </c>
      <c r="T1003" s="66" t="str">
        <f>IFERROR(__xludf.DUMMYFUNCTION("IF(COUNTA(Q1003:Q1644)=0,"""",IF(REGEXMATCH(INDEX(FILTER(Q$4:Q1003,Q$4:Q1003&lt;&gt;""""),ROWS(FILTER(Q$4:Q1003,Q$4:Q1003&lt;&gt;""""))),""^Sell_""),INDEX(FILTER(T$4:T1002,Q$4:Q1002&lt;&gt;""""),ROWS(FILTER(Q$4:Q1002,Q$4:Q1002&lt;&gt;""""))),$AD$5+S1003))"),"")</f>
        <v/>
      </c>
      <c r="U1003" s="10" t="str">
        <f>IFERROR(__xludf.DUMMYFUNCTION("IF(COUNTA(Q1003:Q1644)=0,"""",IF(Q1003="""",0,IF(REGEXMATCH(Q1003,""^Sell_""),-ROUNDDOWN(ROUNDUP(INDEX(Upgrades!$C$3:$C$13,MATCH(SUBSTITUTE(Q1003,""Sell_"",""""),Upgrades!$B$3:$B$13,0))*1.15^(COUNTIF(Q$4:Q1002,SUBSTITUTE(Q1003,""Sell_"",""""))-COUNTIF(Q$4"&amp;":Q1002,""Sell_""&amp;SUBSTITUTE(Q1003,""Sell_"",""""))))/2),ROUNDUP(INDEX(Upgrades!$C$3:$C$13,MATCH(Q1003,Upgrades!$B$3:$B$13,0))*1.15^(COUNTIF(Q$4:Q1002,Q1003)-COUNTIF(Q$4:Q1002,""Sell_""&amp;Q1003))))))"),"")</f>
        <v/>
      </c>
      <c r="V1003" s="10" t="str">
        <f t="shared" si="11"/>
        <v/>
      </c>
      <c r="W1003" s="68" t="str">
        <f t="shared" si="12"/>
        <v/>
      </c>
      <c r="X1003" s="59" t="str">
        <f t="shared" si="13"/>
        <v/>
      </c>
      <c r="Y1003" s="69" t="str">
        <f t="shared" si="14"/>
        <v/>
      </c>
      <c r="Z1003" s="11"/>
      <c r="AG1003" s="59"/>
    </row>
    <row r="1004">
      <c r="A1004" s="8"/>
      <c r="B1004" s="56" t="str">
        <f t="shared" si="2"/>
        <v/>
      </c>
      <c r="C1004" s="105"/>
      <c r="D1004" s="10"/>
      <c r="E1004" s="59" t="str">
        <f t="array" ref="E1004">IF(COUNTA(C1004:C1644)=0,"",SUM((COUNTIF(C$4:C1004,Upgrades!$B$3:$B$13)-COUNTIF(C$4:C1004,"Sell_"&amp;Upgrades!$B$3:$B$13))*Upgrades!$D$3:$D$13))</f>
        <v/>
      </c>
      <c r="F1004" s="66" t="str">
        <f>IFERROR(__xludf.DUMMYFUNCTION("IF(COUNTA(C1004:C1644)=0,"""",IF(REGEXMATCH(INDEX(FILTER(C$4:C1004,C$4:C1004&lt;&gt;""""),ROWS(FILTER(C$4:C1004,C$4:C1004&lt;&gt;""""))),""^Sell_""),INDEX(FILTER(F$4:F1003,C$4:C1003&lt;&gt;""""),ROWS(FILTER(C$4:C1003,C$4:C1003&lt;&gt;""""))),$AC$5+E1004))"),"")</f>
        <v/>
      </c>
      <c r="G1004" s="10" t="str">
        <f>IFERROR(__xludf.DUMMYFUNCTION("IF(COUNTA(C1004:C1644)=0,"""",IF(C1004="""",0,IF(REGEXMATCH(C1004,""^Sell_""),-ROUNDDOWN(ROUNDUP(INDEX(Upgrades!$C$3:$C$13,MATCH(SUBSTITUTE(C1004,""Sell_"",""""),Upgrades!$B$3:$B$13,0))*1.15^(COUNTIF(C$4:C1003,SUBSTITUTE(C1004,""Sell_"",""""))-COUNTIF(C$4"&amp;":C1003,""Sell_""&amp;SUBSTITUTE(C1004,""Sell_"",""""))))/2),ROUNDUP(INDEX(Upgrades!$C$3:$C$13,MATCH(C1004,Upgrades!$B$3:$B$13,0))*1.15^(COUNTIF(C$4:C1003,C1004)-COUNTIF(C$4:C1003,""Sell_""&amp;C1004))))))"),"")</f>
        <v/>
      </c>
      <c r="H1004" s="10" t="str">
        <f t="shared" si="3"/>
        <v/>
      </c>
      <c r="I1004" s="68" t="str">
        <f t="shared" si="4"/>
        <v/>
      </c>
      <c r="J1004" s="59" t="str">
        <f t="shared" si="5"/>
        <v/>
      </c>
      <c r="K1004" s="69" t="str">
        <f t="shared" si="6"/>
        <v/>
      </c>
      <c r="L1004" s="60" t="str">
        <f t="shared" si="7"/>
        <v/>
      </c>
      <c r="M1004" s="61" t="str">
        <f>IFERROR(__xludf.DUMMYFUNCTION("IFS(AND(COUNTA(C1004:C1644)=0,COUNTA(Q1004:Q1644)=0),"""",OR(AND(K1004&gt;=1000000000,OR(Y1004&gt;=1000000000,COUNTA(Q1004:Q1644)=0)),OR(Y1004&gt;=1000000000,AND(COUNTA(C1004:C1644)=0,P$3=TRUE))),
ROUNDDOWN((AB$1-AC$1)*MAX(INDEX(T$4:T1644,MATCH(LARGE(FILTER(Y$4:Y1"&amp;"644,Y$4:Y1644&lt;1000000000),1),Y$4:Y1644)),INDEX(F$4:F1644,MATCH(LARGE(FILTER(K$4:K1644,K$4:K1644&lt;1000000000),1),K$4:K1644)))),AND(K1004&lt;1000000000,COUNTA(C1004:C1644)&gt;0,P$3=FALSE),
ROUNDDOWN(INDEX(Y$4:Y1644,MATCH(LARGE(FILTER(W$4:W1644,W$4:W1644&lt;=I1004),1)"&amp;",W$4:W1644))+(I1004-LARGE(FILTER(W$4:W1644,W$4:W1644&lt;=I1004),1))*INDEX(T$4:T1644,MATCH(LARGE(FILTER(W$4:W1644,W$4:W1644&lt;=I1004),1),W$4:W1644))-K1004),1,
ROUNDDOWN(Y1004-INDEX(K$4:K1644,MATCH(LARGE(FILTER(I$4:I1644,I$4:I1644&lt;=W1004),1),I$4:I1644))-(W1004-L"&amp;"ARGE(FILTER(I$4:I1644,I$4:I1644&lt;=W1004),1))*INDEX(F$4:F1644,MATCH(LARGE(FILTER(I$4:I1644,I$4:I1644&lt;=W1004),1),I$4:I1644))))"),"")</f>
        <v/>
      </c>
      <c r="N1004" s="60" t="str">
        <f t="shared" si="8"/>
        <v/>
      </c>
      <c r="O1004" s="61" t="str">
        <f t="shared" si="9"/>
        <v/>
      </c>
      <c r="P1004" s="56" t="str">
        <f t="shared" si="10"/>
        <v/>
      </c>
      <c r="Q1004" s="105"/>
      <c r="R1004" s="10"/>
      <c r="S1004" s="59" t="str">
        <f t="array" ref="S1004">IF(COUNTA(Q1004:Q1644)=0,"",SUM((COUNTIF(Q$4:Q1004,Upgrades!$B$3:$B$13)-COUNTIF(Q$4:Q1004,"Sell_"&amp;Upgrades!$B$3:$B$13))*Upgrades!$D$3:$D$13))</f>
        <v/>
      </c>
      <c r="T1004" s="66" t="str">
        <f>IFERROR(__xludf.DUMMYFUNCTION("IF(COUNTA(Q1004:Q1644)=0,"""",IF(REGEXMATCH(INDEX(FILTER(Q$4:Q1004,Q$4:Q1004&lt;&gt;""""),ROWS(FILTER(Q$4:Q1004,Q$4:Q1004&lt;&gt;""""))),""^Sell_""),INDEX(FILTER(T$4:T1003,Q$4:Q1003&lt;&gt;""""),ROWS(FILTER(Q$4:Q1003,Q$4:Q1003&lt;&gt;""""))),$AD$5+S1004))"),"")</f>
        <v/>
      </c>
      <c r="U1004" s="10" t="str">
        <f>IFERROR(__xludf.DUMMYFUNCTION("IF(COUNTA(Q1004:Q1644)=0,"""",IF(Q1004="""",0,IF(REGEXMATCH(Q1004,""^Sell_""),-ROUNDDOWN(ROUNDUP(INDEX(Upgrades!$C$3:$C$13,MATCH(SUBSTITUTE(Q1004,""Sell_"",""""),Upgrades!$B$3:$B$13,0))*1.15^(COUNTIF(Q$4:Q1003,SUBSTITUTE(Q1004,""Sell_"",""""))-COUNTIF(Q$4"&amp;":Q1003,""Sell_""&amp;SUBSTITUTE(Q1004,""Sell_"",""""))))/2),ROUNDUP(INDEX(Upgrades!$C$3:$C$13,MATCH(Q1004,Upgrades!$B$3:$B$13,0))*1.15^(COUNTIF(Q$4:Q1003,Q1004)-COUNTIF(Q$4:Q1003,""Sell_""&amp;Q1004))))))"),"")</f>
        <v/>
      </c>
      <c r="V1004" s="10" t="str">
        <f t="shared" si="11"/>
        <v/>
      </c>
      <c r="W1004" s="68" t="str">
        <f t="shared" si="12"/>
        <v/>
      </c>
      <c r="X1004" s="59" t="str">
        <f t="shared" si="13"/>
        <v/>
      </c>
      <c r="Y1004" s="69" t="str">
        <f t="shared" si="14"/>
        <v/>
      </c>
      <c r="Z1004" s="11"/>
      <c r="AG1004" s="59"/>
    </row>
    <row r="1005">
      <c r="A1005" s="8"/>
      <c r="B1005" s="56" t="str">
        <f t="shared" si="2"/>
        <v/>
      </c>
      <c r="C1005" s="105"/>
      <c r="D1005" s="10"/>
      <c r="E1005" s="59" t="str">
        <f t="array" ref="E1005">IF(COUNTA(C1005:C1644)=0,"",SUM((COUNTIF(C$4:C1005,Upgrades!$B$3:$B$13)-COUNTIF(C$4:C1005,"Sell_"&amp;Upgrades!$B$3:$B$13))*Upgrades!$D$3:$D$13))</f>
        <v/>
      </c>
      <c r="F1005" s="66" t="str">
        <f>IFERROR(__xludf.DUMMYFUNCTION("IF(COUNTA(C1005:C1644)=0,"""",IF(REGEXMATCH(INDEX(FILTER(C$4:C1005,C$4:C1005&lt;&gt;""""),ROWS(FILTER(C$4:C1005,C$4:C1005&lt;&gt;""""))),""^Sell_""),INDEX(FILTER(F$4:F1004,C$4:C1004&lt;&gt;""""),ROWS(FILTER(C$4:C1004,C$4:C1004&lt;&gt;""""))),$AC$5+E1005))"),"")</f>
        <v/>
      </c>
      <c r="G1005" s="10" t="str">
        <f>IFERROR(__xludf.DUMMYFUNCTION("IF(COUNTA(C1005:C1644)=0,"""",IF(C1005="""",0,IF(REGEXMATCH(C1005,""^Sell_""),-ROUNDDOWN(ROUNDUP(INDEX(Upgrades!$C$3:$C$13,MATCH(SUBSTITUTE(C1005,""Sell_"",""""),Upgrades!$B$3:$B$13,0))*1.15^(COUNTIF(C$4:C1004,SUBSTITUTE(C1005,""Sell_"",""""))-COUNTIF(C$4"&amp;":C1004,""Sell_""&amp;SUBSTITUTE(C1005,""Sell_"",""""))))/2),ROUNDUP(INDEX(Upgrades!$C$3:$C$13,MATCH(C1005,Upgrades!$B$3:$B$13,0))*1.15^(COUNTIF(C$4:C1004,C1005)-COUNTIF(C$4:C1004,""Sell_""&amp;C1005))))))"),"")</f>
        <v/>
      </c>
      <c r="H1005" s="10" t="str">
        <f t="shared" si="3"/>
        <v/>
      </c>
      <c r="I1005" s="68" t="str">
        <f t="shared" si="4"/>
        <v/>
      </c>
      <c r="J1005" s="59" t="str">
        <f t="shared" si="5"/>
        <v/>
      </c>
      <c r="K1005" s="69" t="str">
        <f t="shared" si="6"/>
        <v/>
      </c>
      <c r="L1005" s="60" t="str">
        <f t="shared" si="7"/>
        <v/>
      </c>
      <c r="M1005" s="61" t="str">
        <f>IFERROR(__xludf.DUMMYFUNCTION("IFS(AND(COUNTA(C1005:C1644)=0,COUNTA(Q1005:Q1644)=0),"""",OR(AND(K1005&gt;=1000000000,OR(Y1005&gt;=1000000000,COUNTA(Q1005:Q1644)=0)),OR(Y1005&gt;=1000000000,AND(COUNTA(C1005:C1644)=0,P$3=TRUE))),
ROUNDDOWN((AB$1-AC$1)*MAX(INDEX(T$4:T1644,MATCH(LARGE(FILTER(Y$4:Y1"&amp;"644,Y$4:Y1644&lt;1000000000),1),Y$4:Y1644)),INDEX(F$4:F1644,MATCH(LARGE(FILTER(K$4:K1644,K$4:K1644&lt;1000000000),1),K$4:K1644)))),AND(K1005&lt;1000000000,COUNTA(C1005:C1644)&gt;0,P$3=FALSE),
ROUNDDOWN(INDEX(Y$4:Y1644,MATCH(LARGE(FILTER(W$4:W1644,W$4:W1644&lt;=I1005),1)"&amp;",W$4:W1644))+(I1005-LARGE(FILTER(W$4:W1644,W$4:W1644&lt;=I1005),1))*INDEX(T$4:T1644,MATCH(LARGE(FILTER(W$4:W1644,W$4:W1644&lt;=I1005),1),W$4:W1644))-K1005),1,
ROUNDDOWN(Y1005-INDEX(K$4:K1644,MATCH(LARGE(FILTER(I$4:I1644,I$4:I1644&lt;=W1005),1),I$4:I1644))-(W1005-L"&amp;"ARGE(FILTER(I$4:I1644,I$4:I1644&lt;=W1005),1))*INDEX(F$4:F1644,MATCH(LARGE(FILTER(I$4:I1644,I$4:I1644&lt;=W1005),1),I$4:I1644))))"),"")</f>
        <v/>
      </c>
      <c r="N1005" s="60" t="str">
        <f t="shared" si="8"/>
        <v/>
      </c>
      <c r="O1005" s="61" t="str">
        <f t="shared" si="9"/>
        <v/>
      </c>
      <c r="P1005" s="56" t="str">
        <f t="shared" si="10"/>
        <v/>
      </c>
      <c r="Q1005" s="105"/>
      <c r="R1005" s="10"/>
      <c r="S1005" s="59" t="str">
        <f t="array" ref="S1005">IF(COUNTA(Q1005:Q1644)=0,"",SUM((COUNTIF(Q$4:Q1005,Upgrades!$B$3:$B$13)-COUNTIF(Q$4:Q1005,"Sell_"&amp;Upgrades!$B$3:$B$13))*Upgrades!$D$3:$D$13))</f>
        <v/>
      </c>
      <c r="T1005" s="66" t="str">
        <f>IFERROR(__xludf.DUMMYFUNCTION("IF(COUNTA(Q1005:Q1644)=0,"""",IF(REGEXMATCH(INDEX(FILTER(Q$4:Q1005,Q$4:Q1005&lt;&gt;""""),ROWS(FILTER(Q$4:Q1005,Q$4:Q1005&lt;&gt;""""))),""^Sell_""),INDEX(FILTER(T$4:T1004,Q$4:Q1004&lt;&gt;""""),ROWS(FILTER(Q$4:Q1004,Q$4:Q1004&lt;&gt;""""))),$AD$5+S1005))"),"")</f>
        <v/>
      </c>
      <c r="U1005" s="10" t="str">
        <f>IFERROR(__xludf.DUMMYFUNCTION("IF(COUNTA(Q1005:Q1644)=0,"""",IF(Q1005="""",0,IF(REGEXMATCH(Q1005,""^Sell_""),-ROUNDDOWN(ROUNDUP(INDEX(Upgrades!$C$3:$C$13,MATCH(SUBSTITUTE(Q1005,""Sell_"",""""),Upgrades!$B$3:$B$13,0))*1.15^(COUNTIF(Q$4:Q1004,SUBSTITUTE(Q1005,""Sell_"",""""))-COUNTIF(Q$4"&amp;":Q1004,""Sell_""&amp;SUBSTITUTE(Q1005,""Sell_"",""""))))/2),ROUNDUP(INDEX(Upgrades!$C$3:$C$13,MATCH(Q1005,Upgrades!$B$3:$B$13,0))*1.15^(COUNTIF(Q$4:Q1004,Q1005)-COUNTIF(Q$4:Q1004,""Sell_""&amp;Q1005))))))"),"")</f>
        <v/>
      </c>
      <c r="V1005" s="10" t="str">
        <f t="shared" si="11"/>
        <v/>
      </c>
      <c r="W1005" s="68" t="str">
        <f t="shared" si="12"/>
        <v/>
      </c>
      <c r="X1005" s="59" t="str">
        <f t="shared" si="13"/>
        <v/>
      </c>
      <c r="Y1005" s="69" t="str">
        <f t="shared" si="14"/>
        <v/>
      </c>
      <c r="Z1005" s="11"/>
      <c r="AG1005" s="59"/>
    </row>
    <row r="1006">
      <c r="A1006" s="8"/>
      <c r="B1006" s="56" t="str">
        <f t="shared" si="2"/>
        <v/>
      </c>
      <c r="C1006" s="105"/>
      <c r="D1006" s="10"/>
      <c r="E1006" s="59" t="str">
        <f t="array" ref="E1006">IF(COUNTA(C1006:C1644)=0,"",SUM((COUNTIF(C$4:C1006,Upgrades!$B$3:$B$13)-COUNTIF(C$4:C1006,"Sell_"&amp;Upgrades!$B$3:$B$13))*Upgrades!$D$3:$D$13))</f>
        <v/>
      </c>
      <c r="F1006" s="66" t="str">
        <f>IFERROR(__xludf.DUMMYFUNCTION("IF(COUNTA(C1006:C1644)=0,"""",IF(REGEXMATCH(INDEX(FILTER(C$4:C1006,C$4:C1006&lt;&gt;""""),ROWS(FILTER(C$4:C1006,C$4:C1006&lt;&gt;""""))),""^Sell_""),INDEX(FILTER(F$4:F1005,C$4:C1005&lt;&gt;""""),ROWS(FILTER(C$4:C1005,C$4:C1005&lt;&gt;""""))),$AC$5+E1006))"),"")</f>
        <v/>
      </c>
      <c r="G1006" s="10" t="str">
        <f>IFERROR(__xludf.DUMMYFUNCTION("IF(COUNTA(C1006:C1644)=0,"""",IF(C1006="""",0,IF(REGEXMATCH(C1006,""^Sell_""),-ROUNDDOWN(ROUNDUP(INDEX(Upgrades!$C$3:$C$13,MATCH(SUBSTITUTE(C1006,""Sell_"",""""),Upgrades!$B$3:$B$13,0))*1.15^(COUNTIF(C$4:C1005,SUBSTITUTE(C1006,""Sell_"",""""))-COUNTIF(C$4"&amp;":C1005,""Sell_""&amp;SUBSTITUTE(C1006,""Sell_"",""""))))/2),ROUNDUP(INDEX(Upgrades!$C$3:$C$13,MATCH(C1006,Upgrades!$B$3:$B$13,0))*1.15^(COUNTIF(C$4:C1005,C1006)-COUNTIF(C$4:C1005,""Sell_""&amp;C1006))))))"),"")</f>
        <v/>
      </c>
      <c r="H1006" s="10" t="str">
        <f t="shared" si="3"/>
        <v/>
      </c>
      <c r="I1006" s="68" t="str">
        <f t="shared" si="4"/>
        <v/>
      </c>
      <c r="J1006" s="59" t="str">
        <f t="shared" si="5"/>
        <v/>
      </c>
      <c r="K1006" s="69" t="str">
        <f t="shared" si="6"/>
        <v/>
      </c>
      <c r="L1006" s="60" t="str">
        <f t="shared" si="7"/>
        <v/>
      </c>
      <c r="M1006" s="61" t="str">
        <f>IFERROR(__xludf.DUMMYFUNCTION("IFS(AND(COUNTA(C1006:C1644)=0,COUNTA(Q1006:Q1644)=0),"""",OR(AND(K1006&gt;=1000000000,OR(Y1006&gt;=1000000000,COUNTA(Q1006:Q1644)=0)),OR(Y1006&gt;=1000000000,AND(COUNTA(C1006:C1644)=0,P$3=TRUE))),
ROUNDDOWN((AB$1-AC$1)*MAX(INDEX(T$4:T1644,MATCH(LARGE(FILTER(Y$4:Y1"&amp;"644,Y$4:Y1644&lt;1000000000),1),Y$4:Y1644)),INDEX(F$4:F1644,MATCH(LARGE(FILTER(K$4:K1644,K$4:K1644&lt;1000000000),1),K$4:K1644)))),AND(K1006&lt;1000000000,COUNTA(C1006:C1644)&gt;0,P$3=FALSE),
ROUNDDOWN(INDEX(Y$4:Y1644,MATCH(LARGE(FILTER(W$4:W1644,W$4:W1644&lt;=I1006),1)"&amp;",W$4:W1644))+(I1006-LARGE(FILTER(W$4:W1644,W$4:W1644&lt;=I1006),1))*INDEX(T$4:T1644,MATCH(LARGE(FILTER(W$4:W1644,W$4:W1644&lt;=I1006),1),W$4:W1644))-K1006),1,
ROUNDDOWN(Y1006-INDEX(K$4:K1644,MATCH(LARGE(FILTER(I$4:I1644,I$4:I1644&lt;=W1006),1),I$4:I1644))-(W1006-L"&amp;"ARGE(FILTER(I$4:I1644,I$4:I1644&lt;=W1006),1))*INDEX(F$4:F1644,MATCH(LARGE(FILTER(I$4:I1644,I$4:I1644&lt;=W1006),1),I$4:I1644))))"),"")</f>
        <v/>
      </c>
      <c r="N1006" s="60" t="str">
        <f t="shared" si="8"/>
        <v/>
      </c>
      <c r="O1006" s="61" t="str">
        <f t="shared" si="9"/>
        <v/>
      </c>
      <c r="P1006" s="56" t="str">
        <f t="shared" si="10"/>
        <v/>
      </c>
      <c r="Q1006" s="105"/>
      <c r="R1006" s="10"/>
      <c r="S1006" s="59" t="str">
        <f t="array" ref="S1006">IF(COUNTA(Q1006:Q1644)=0,"",SUM((COUNTIF(Q$4:Q1006,Upgrades!$B$3:$B$13)-COUNTIF(Q$4:Q1006,"Sell_"&amp;Upgrades!$B$3:$B$13))*Upgrades!$D$3:$D$13))</f>
        <v/>
      </c>
      <c r="T1006" s="66" t="str">
        <f>IFERROR(__xludf.DUMMYFUNCTION("IF(COUNTA(Q1006:Q1644)=0,"""",IF(REGEXMATCH(INDEX(FILTER(Q$4:Q1006,Q$4:Q1006&lt;&gt;""""),ROWS(FILTER(Q$4:Q1006,Q$4:Q1006&lt;&gt;""""))),""^Sell_""),INDEX(FILTER(T$4:T1005,Q$4:Q1005&lt;&gt;""""),ROWS(FILTER(Q$4:Q1005,Q$4:Q1005&lt;&gt;""""))),$AD$5+S1006))"),"")</f>
        <v/>
      </c>
      <c r="U1006" s="10" t="str">
        <f>IFERROR(__xludf.DUMMYFUNCTION("IF(COUNTA(Q1006:Q1644)=0,"""",IF(Q1006="""",0,IF(REGEXMATCH(Q1006,""^Sell_""),-ROUNDDOWN(ROUNDUP(INDEX(Upgrades!$C$3:$C$13,MATCH(SUBSTITUTE(Q1006,""Sell_"",""""),Upgrades!$B$3:$B$13,0))*1.15^(COUNTIF(Q$4:Q1005,SUBSTITUTE(Q1006,""Sell_"",""""))-COUNTIF(Q$4"&amp;":Q1005,""Sell_""&amp;SUBSTITUTE(Q1006,""Sell_"",""""))))/2),ROUNDUP(INDEX(Upgrades!$C$3:$C$13,MATCH(Q1006,Upgrades!$B$3:$B$13,0))*1.15^(COUNTIF(Q$4:Q1005,Q1006)-COUNTIF(Q$4:Q1005,""Sell_""&amp;Q1006))))))"),"")</f>
        <v/>
      </c>
      <c r="V1006" s="10" t="str">
        <f t="shared" si="11"/>
        <v/>
      </c>
      <c r="W1006" s="68" t="str">
        <f t="shared" si="12"/>
        <v/>
      </c>
      <c r="X1006" s="59" t="str">
        <f t="shared" si="13"/>
        <v/>
      </c>
      <c r="Y1006" s="69" t="str">
        <f t="shared" si="14"/>
        <v/>
      </c>
      <c r="Z1006" s="11"/>
      <c r="AG1006" s="59"/>
    </row>
    <row r="1007">
      <c r="A1007" s="8"/>
      <c r="B1007" s="56" t="str">
        <f t="shared" si="2"/>
        <v/>
      </c>
      <c r="C1007" s="105"/>
      <c r="D1007" s="10"/>
      <c r="E1007" s="59" t="str">
        <f t="array" ref="E1007">IF(COUNTA(C1007:C1644)=0,"",SUM((COUNTIF(C$4:C1007,Upgrades!$B$3:$B$13)-COUNTIF(C$4:C1007,"Sell_"&amp;Upgrades!$B$3:$B$13))*Upgrades!$D$3:$D$13))</f>
        <v/>
      </c>
      <c r="F1007" s="66" t="str">
        <f>IFERROR(__xludf.DUMMYFUNCTION("IF(COUNTA(C1007:C1644)=0,"""",IF(REGEXMATCH(INDEX(FILTER(C$4:C1007,C$4:C1007&lt;&gt;""""),ROWS(FILTER(C$4:C1007,C$4:C1007&lt;&gt;""""))),""^Sell_""),INDEX(FILTER(F$4:F1006,C$4:C1006&lt;&gt;""""),ROWS(FILTER(C$4:C1006,C$4:C1006&lt;&gt;""""))),$AC$5+E1007))"),"")</f>
        <v/>
      </c>
      <c r="G1007" s="10" t="str">
        <f>IFERROR(__xludf.DUMMYFUNCTION("IF(COUNTA(C1007:C1644)=0,"""",IF(C1007="""",0,IF(REGEXMATCH(C1007,""^Sell_""),-ROUNDDOWN(ROUNDUP(INDEX(Upgrades!$C$3:$C$13,MATCH(SUBSTITUTE(C1007,""Sell_"",""""),Upgrades!$B$3:$B$13,0))*1.15^(COUNTIF(C$4:C1006,SUBSTITUTE(C1007,""Sell_"",""""))-COUNTIF(C$4"&amp;":C1006,""Sell_""&amp;SUBSTITUTE(C1007,""Sell_"",""""))))/2),ROUNDUP(INDEX(Upgrades!$C$3:$C$13,MATCH(C1007,Upgrades!$B$3:$B$13,0))*1.15^(COUNTIF(C$4:C1006,C1007)-COUNTIF(C$4:C1006,""Sell_""&amp;C1007))))))"),"")</f>
        <v/>
      </c>
      <c r="H1007" s="10" t="str">
        <f t="shared" si="3"/>
        <v/>
      </c>
      <c r="I1007" s="68" t="str">
        <f t="shared" si="4"/>
        <v/>
      </c>
      <c r="J1007" s="59" t="str">
        <f t="shared" si="5"/>
        <v/>
      </c>
      <c r="K1007" s="69" t="str">
        <f t="shared" si="6"/>
        <v/>
      </c>
      <c r="L1007" s="60" t="str">
        <f t="shared" si="7"/>
        <v/>
      </c>
      <c r="M1007" s="61" t="str">
        <f>IFERROR(__xludf.DUMMYFUNCTION("IFS(AND(COUNTA(C1007:C1644)=0,COUNTA(Q1007:Q1644)=0),"""",OR(AND(K1007&gt;=1000000000,OR(Y1007&gt;=1000000000,COUNTA(Q1007:Q1644)=0)),OR(Y1007&gt;=1000000000,AND(COUNTA(C1007:C1644)=0,P$3=TRUE))),
ROUNDDOWN((AB$1-AC$1)*MAX(INDEX(T$4:T1644,MATCH(LARGE(FILTER(Y$4:Y1"&amp;"644,Y$4:Y1644&lt;1000000000),1),Y$4:Y1644)),INDEX(F$4:F1644,MATCH(LARGE(FILTER(K$4:K1644,K$4:K1644&lt;1000000000),1),K$4:K1644)))),AND(K1007&lt;1000000000,COUNTA(C1007:C1644)&gt;0,P$3=FALSE),
ROUNDDOWN(INDEX(Y$4:Y1644,MATCH(LARGE(FILTER(W$4:W1644,W$4:W1644&lt;=I1007),1)"&amp;",W$4:W1644))+(I1007-LARGE(FILTER(W$4:W1644,W$4:W1644&lt;=I1007),1))*INDEX(T$4:T1644,MATCH(LARGE(FILTER(W$4:W1644,W$4:W1644&lt;=I1007),1),W$4:W1644))-K1007),1,
ROUNDDOWN(Y1007-INDEX(K$4:K1644,MATCH(LARGE(FILTER(I$4:I1644,I$4:I1644&lt;=W1007),1),I$4:I1644))-(W1007-L"&amp;"ARGE(FILTER(I$4:I1644,I$4:I1644&lt;=W1007),1))*INDEX(F$4:F1644,MATCH(LARGE(FILTER(I$4:I1644,I$4:I1644&lt;=W1007),1),I$4:I1644))))"),"")</f>
        <v/>
      </c>
      <c r="N1007" s="60" t="str">
        <f t="shared" si="8"/>
        <v/>
      </c>
      <c r="O1007" s="61" t="str">
        <f t="shared" si="9"/>
        <v/>
      </c>
      <c r="P1007" s="56" t="str">
        <f t="shared" si="10"/>
        <v/>
      </c>
      <c r="Q1007" s="105"/>
      <c r="R1007" s="10"/>
      <c r="S1007" s="59" t="str">
        <f t="array" ref="S1007">IF(COUNTA(Q1007:Q1644)=0,"",SUM((COUNTIF(Q$4:Q1007,Upgrades!$B$3:$B$13)-COUNTIF(Q$4:Q1007,"Sell_"&amp;Upgrades!$B$3:$B$13))*Upgrades!$D$3:$D$13))</f>
        <v/>
      </c>
      <c r="T1007" s="66" t="str">
        <f>IFERROR(__xludf.DUMMYFUNCTION("IF(COUNTA(Q1007:Q1644)=0,"""",IF(REGEXMATCH(INDEX(FILTER(Q$4:Q1007,Q$4:Q1007&lt;&gt;""""),ROWS(FILTER(Q$4:Q1007,Q$4:Q1007&lt;&gt;""""))),""^Sell_""),INDEX(FILTER(T$4:T1006,Q$4:Q1006&lt;&gt;""""),ROWS(FILTER(Q$4:Q1006,Q$4:Q1006&lt;&gt;""""))),$AD$5+S1007))"),"")</f>
        <v/>
      </c>
      <c r="U1007" s="10" t="str">
        <f>IFERROR(__xludf.DUMMYFUNCTION("IF(COUNTA(Q1007:Q1644)=0,"""",IF(Q1007="""",0,IF(REGEXMATCH(Q1007,""^Sell_""),-ROUNDDOWN(ROUNDUP(INDEX(Upgrades!$C$3:$C$13,MATCH(SUBSTITUTE(Q1007,""Sell_"",""""),Upgrades!$B$3:$B$13,0))*1.15^(COUNTIF(Q$4:Q1006,SUBSTITUTE(Q1007,""Sell_"",""""))-COUNTIF(Q$4"&amp;":Q1006,""Sell_""&amp;SUBSTITUTE(Q1007,""Sell_"",""""))))/2),ROUNDUP(INDEX(Upgrades!$C$3:$C$13,MATCH(Q1007,Upgrades!$B$3:$B$13,0))*1.15^(COUNTIF(Q$4:Q1006,Q1007)-COUNTIF(Q$4:Q1006,""Sell_""&amp;Q1007))))))"),"")</f>
        <v/>
      </c>
      <c r="V1007" s="10" t="str">
        <f t="shared" si="11"/>
        <v/>
      </c>
      <c r="W1007" s="68" t="str">
        <f t="shared" si="12"/>
        <v/>
      </c>
      <c r="X1007" s="59" t="str">
        <f t="shared" si="13"/>
        <v/>
      </c>
      <c r="Y1007" s="69" t="str">
        <f t="shared" si="14"/>
        <v/>
      </c>
      <c r="Z1007" s="11"/>
      <c r="AG1007" s="59"/>
    </row>
    <row r="1008">
      <c r="A1008" s="8"/>
      <c r="B1008" s="56" t="str">
        <f t="shared" si="2"/>
        <v/>
      </c>
      <c r="C1008" s="105"/>
      <c r="D1008" s="10"/>
      <c r="E1008" s="59" t="str">
        <f t="array" ref="E1008">IF(COUNTA(C1008:C1644)=0,"",SUM((COUNTIF(C$4:C1008,Upgrades!$B$3:$B$13)-COUNTIF(C$4:C1008,"Sell_"&amp;Upgrades!$B$3:$B$13))*Upgrades!$D$3:$D$13))</f>
        <v/>
      </c>
      <c r="F1008" s="66" t="str">
        <f>IFERROR(__xludf.DUMMYFUNCTION("IF(COUNTA(C1008:C1644)=0,"""",IF(REGEXMATCH(INDEX(FILTER(C$4:C1008,C$4:C1008&lt;&gt;""""),ROWS(FILTER(C$4:C1008,C$4:C1008&lt;&gt;""""))),""^Sell_""),INDEX(FILTER(F$4:F1007,C$4:C1007&lt;&gt;""""),ROWS(FILTER(C$4:C1007,C$4:C1007&lt;&gt;""""))),$AC$5+E1008))"),"")</f>
        <v/>
      </c>
      <c r="G1008" s="10" t="str">
        <f>IFERROR(__xludf.DUMMYFUNCTION("IF(COUNTA(C1008:C1644)=0,"""",IF(C1008="""",0,IF(REGEXMATCH(C1008,""^Sell_""),-ROUNDDOWN(ROUNDUP(INDEX(Upgrades!$C$3:$C$13,MATCH(SUBSTITUTE(C1008,""Sell_"",""""),Upgrades!$B$3:$B$13,0))*1.15^(COUNTIF(C$4:C1007,SUBSTITUTE(C1008,""Sell_"",""""))-COUNTIF(C$4"&amp;":C1007,""Sell_""&amp;SUBSTITUTE(C1008,""Sell_"",""""))))/2),ROUNDUP(INDEX(Upgrades!$C$3:$C$13,MATCH(C1008,Upgrades!$B$3:$B$13,0))*1.15^(COUNTIF(C$4:C1007,C1008)-COUNTIF(C$4:C1007,""Sell_""&amp;C1008))))))"),"")</f>
        <v/>
      </c>
      <c r="H1008" s="10" t="str">
        <f t="shared" si="3"/>
        <v/>
      </c>
      <c r="I1008" s="68" t="str">
        <f t="shared" si="4"/>
        <v/>
      </c>
      <c r="J1008" s="59" t="str">
        <f t="shared" si="5"/>
        <v/>
      </c>
      <c r="K1008" s="69" t="str">
        <f t="shared" si="6"/>
        <v/>
      </c>
      <c r="L1008" s="60" t="str">
        <f t="shared" si="7"/>
        <v/>
      </c>
      <c r="M1008" s="61" t="str">
        <f>IFERROR(__xludf.DUMMYFUNCTION("IFS(AND(COUNTA(C1008:C1644)=0,COUNTA(Q1008:Q1644)=0),"""",OR(AND(K1008&gt;=1000000000,OR(Y1008&gt;=1000000000,COUNTA(Q1008:Q1644)=0)),OR(Y1008&gt;=1000000000,AND(COUNTA(C1008:C1644)=0,P$3=TRUE))),
ROUNDDOWN((AB$1-AC$1)*MAX(INDEX(T$4:T1644,MATCH(LARGE(FILTER(Y$4:Y1"&amp;"644,Y$4:Y1644&lt;1000000000),1),Y$4:Y1644)),INDEX(F$4:F1644,MATCH(LARGE(FILTER(K$4:K1644,K$4:K1644&lt;1000000000),1),K$4:K1644)))),AND(K1008&lt;1000000000,COUNTA(C1008:C1644)&gt;0,P$3=FALSE),
ROUNDDOWN(INDEX(Y$4:Y1644,MATCH(LARGE(FILTER(W$4:W1644,W$4:W1644&lt;=I1008),1)"&amp;",W$4:W1644))+(I1008-LARGE(FILTER(W$4:W1644,W$4:W1644&lt;=I1008),1))*INDEX(T$4:T1644,MATCH(LARGE(FILTER(W$4:W1644,W$4:W1644&lt;=I1008),1),W$4:W1644))-K1008),1,
ROUNDDOWN(Y1008-INDEX(K$4:K1644,MATCH(LARGE(FILTER(I$4:I1644,I$4:I1644&lt;=W1008),1),I$4:I1644))-(W1008-L"&amp;"ARGE(FILTER(I$4:I1644,I$4:I1644&lt;=W1008),1))*INDEX(F$4:F1644,MATCH(LARGE(FILTER(I$4:I1644,I$4:I1644&lt;=W1008),1),I$4:I1644))))"),"")</f>
        <v/>
      </c>
      <c r="N1008" s="60" t="str">
        <f t="shared" si="8"/>
        <v/>
      </c>
      <c r="O1008" s="61" t="str">
        <f t="shared" si="9"/>
        <v/>
      </c>
      <c r="P1008" s="56" t="str">
        <f t="shared" si="10"/>
        <v/>
      </c>
      <c r="Q1008" s="105"/>
      <c r="R1008" s="10"/>
      <c r="S1008" s="59" t="str">
        <f t="array" ref="S1008">IF(COUNTA(Q1008:Q1644)=0,"",SUM((COUNTIF(Q$4:Q1008,Upgrades!$B$3:$B$13)-COUNTIF(Q$4:Q1008,"Sell_"&amp;Upgrades!$B$3:$B$13))*Upgrades!$D$3:$D$13))</f>
        <v/>
      </c>
      <c r="T1008" s="66" t="str">
        <f>IFERROR(__xludf.DUMMYFUNCTION("IF(COUNTA(Q1008:Q1644)=0,"""",IF(REGEXMATCH(INDEX(FILTER(Q$4:Q1008,Q$4:Q1008&lt;&gt;""""),ROWS(FILTER(Q$4:Q1008,Q$4:Q1008&lt;&gt;""""))),""^Sell_""),INDEX(FILTER(T$4:T1007,Q$4:Q1007&lt;&gt;""""),ROWS(FILTER(Q$4:Q1007,Q$4:Q1007&lt;&gt;""""))),$AD$5+S1008))"),"")</f>
        <v/>
      </c>
      <c r="U1008" s="10" t="str">
        <f>IFERROR(__xludf.DUMMYFUNCTION("IF(COUNTA(Q1008:Q1644)=0,"""",IF(Q1008="""",0,IF(REGEXMATCH(Q1008,""^Sell_""),-ROUNDDOWN(ROUNDUP(INDEX(Upgrades!$C$3:$C$13,MATCH(SUBSTITUTE(Q1008,""Sell_"",""""),Upgrades!$B$3:$B$13,0))*1.15^(COUNTIF(Q$4:Q1007,SUBSTITUTE(Q1008,""Sell_"",""""))-COUNTIF(Q$4"&amp;":Q1007,""Sell_""&amp;SUBSTITUTE(Q1008,""Sell_"",""""))))/2),ROUNDUP(INDEX(Upgrades!$C$3:$C$13,MATCH(Q1008,Upgrades!$B$3:$B$13,0))*1.15^(COUNTIF(Q$4:Q1007,Q1008)-COUNTIF(Q$4:Q1007,""Sell_""&amp;Q1008))))))"),"")</f>
        <v/>
      </c>
      <c r="V1008" s="10" t="str">
        <f t="shared" si="11"/>
        <v/>
      </c>
      <c r="W1008" s="68" t="str">
        <f t="shared" si="12"/>
        <v/>
      </c>
      <c r="X1008" s="59" t="str">
        <f t="shared" si="13"/>
        <v/>
      </c>
      <c r="Y1008" s="69" t="str">
        <f t="shared" si="14"/>
        <v/>
      </c>
      <c r="Z1008" s="11"/>
      <c r="AG1008" s="59"/>
    </row>
    <row r="1009">
      <c r="A1009" s="8"/>
      <c r="B1009" s="56" t="str">
        <f t="shared" si="2"/>
        <v/>
      </c>
      <c r="C1009" s="105"/>
      <c r="D1009" s="10"/>
      <c r="E1009" s="59" t="str">
        <f t="array" ref="E1009">IF(COUNTA(C1009:C1644)=0,"",SUM((COUNTIF(C$4:C1009,Upgrades!$B$3:$B$13)-COUNTIF(C$4:C1009,"Sell_"&amp;Upgrades!$B$3:$B$13))*Upgrades!$D$3:$D$13))</f>
        <v/>
      </c>
      <c r="F1009" s="66" t="str">
        <f>IFERROR(__xludf.DUMMYFUNCTION("IF(COUNTA(C1009:C1644)=0,"""",IF(REGEXMATCH(INDEX(FILTER(C$4:C1009,C$4:C1009&lt;&gt;""""),ROWS(FILTER(C$4:C1009,C$4:C1009&lt;&gt;""""))),""^Sell_""),INDEX(FILTER(F$4:F1008,C$4:C1008&lt;&gt;""""),ROWS(FILTER(C$4:C1008,C$4:C1008&lt;&gt;""""))),$AC$5+E1009))"),"")</f>
        <v/>
      </c>
      <c r="G1009" s="10" t="str">
        <f>IFERROR(__xludf.DUMMYFUNCTION("IF(COUNTA(C1009:C1644)=0,"""",IF(C1009="""",0,IF(REGEXMATCH(C1009,""^Sell_""),-ROUNDDOWN(ROUNDUP(INDEX(Upgrades!$C$3:$C$13,MATCH(SUBSTITUTE(C1009,""Sell_"",""""),Upgrades!$B$3:$B$13,0))*1.15^(COUNTIF(C$4:C1008,SUBSTITUTE(C1009,""Sell_"",""""))-COUNTIF(C$4"&amp;":C1008,""Sell_""&amp;SUBSTITUTE(C1009,""Sell_"",""""))))/2),ROUNDUP(INDEX(Upgrades!$C$3:$C$13,MATCH(C1009,Upgrades!$B$3:$B$13,0))*1.15^(COUNTIF(C$4:C1008,C1009)-COUNTIF(C$4:C1008,""Sell_""&amp;C1009))))))"),"")</f>
        <v/>
      </c>
      <c r="H1009" s="10" t="str">
        <f t="shared" si="3"/>
        <v/>
      </c>
      <c r="I1009" s="68" t="str">
        <f t="shared" si="4"/>
        <v/>
      </c>
      <c r="J1009" s="59" t="str">
        <f t="shared" si="5"/>
        <v/>
      </c>
      <c r="K1009" s="69" t="str">
        <f t="shared" si="6"/>
        <v/>
      </c>
      <c r="L1009" s="60" t="str">
        <f t="shared" si="7"/>
        <v/>
      </c>
      <c r="M1009" s="61" t="str">
        <f>IFERROR(__xludf.DUMMYFUNCTION("IFS(AND(COUNTA(C1009:C1644)=0,COUNTA(Q1009:Q1644)=0),"""",OR(AND(K1009&gt;=1000000000,OR(Y1009&gt;=1000000000,COUNTA(Q1009:Q1644)=0)),OR(Y1009&gt;=1000000000,AND(COUNTA(C1009:C1644)=0,P$3=TRUE))),
ROUNDDOWN((AB$1-AC$1)*MAX(INDEX(T$4:T1644,MATCH(LARGE(FILTER(Y$4:Y1"&amp;"644,Y$4:Y1644&lt;1000000000),1),Y$4:Y1644)),INDEX(F$4:F1644,MATCH(LARGE(FILTER(K$4:K1644,K$4:K1644&lt;1000000000),1),K$4:K1644)))),AND(K1009&lt;1000000000,COUNTA(C1009:C1644)&gt;0,P$3=FALSE),
ROUNDDOWN(INDEX(Y$4:Y1644,MATCH(LARGE(FILTER(W$4:W1644,W$4:W1644&lt;=I1009),1)"&amp;",W$4:W1644))+(I1009-LARGE(FILTER(W$4:W1644,W$4:W1644&lt;=I1009),1))*INDEX(T$4:T1644,MATCH(LARGE(FILTER(W$4:W1644,W$4:W1644&lt;=I1009),1),W$4:W1644))-K1009),1,
ROUNDDOWN(Y1009-INDEX(K$4:K1644,MATCH(LARGE(FILTER(I$4:I1644,I$4:I1644&lt;=W1009),1),I$4:I1644))-(W1009-L"&amp;"ARGE(FILTER(I$4:I1644,I$4:I1644&lt;=W1009),1))*INDEX(F$4:F1644,MATCH(LARGE(FILTER(I$4:I1644,I$4:I1644&lt;=W1009),1),I$4:I1644))))"),"")</f>
        <v/>
      </c>
      <c r="N1009" s="60" t="str">
        <f t="shared" si="8"/>
        <v/>
      </c>
      <c r="O1009" s="61" t="str">
        <f t="shared" si="9"/>
        <v/>
      </c>
      <c r="P1009" s="56" t="str">
        <f t="shared" si="10"/>
        <v/>
      </c>
      <c r="Q1009" s="105"/>
      <c r="R1009" s="10"/>
      <c r="S1009" s="59" t="str">
        <f t="array" ref="S1009">IF(COUNTA(Q1009:Q1644)=0,"",SUM((COUNTIF(Q$4:Q1009,Upgrades!$B$3:$B$13)-COUNTIF(Q$4:Q1009,"Sell_"&amp;Upgrades!$B$3:$B$13))*Upgrades!$D$3:$D$13))</f>
        <v/>
      </c>
      <c r="T1009" s="66" t="str">
        <f>IFERROR(__xludf.DUMMYFUNCTION("IF(COUNTA(Q1009:Q1644)=0,"""",IF(REGEXMATCH(INDEX(FILTER(Q$4:Q1009,Q$4:Q1009&lt;&gt;""""),ROWS(FILTER(Q$4:Q1009,Q$4:Q1009&lt;&gt;""""))),""^Sell_""),INDEX(FILTER(T$4:T1008,Q$4:Q1008&lt;&gt;""""),ROWS(FILTER(Q$4:Q1008,Q$4:Q1008&lt;&gt;""""))),$AD$5+S1009))"),"")</f>
        <v/>
      </c>
      <c r="U1009" s="10" t="str">
        <f>IFERROR(__xludf.DUMMYFUNCTION("IF(COUNTA(Q1009:Q1644)=0,"""",IF(Q1009="""",0,IF(REGEXMATCH(Q1009,""^Sell_""),-ROUNDDOWN(ROUNDUP(INDEX(Upgrades!$C$3:$C$13,MATCH(SUBSTITUTE(Q1009,""Sell_"",""""),Upgrades!$B$3:$B$13,0))*1.15^(COUNTIF(Q$4:Q1008,SUBSTITUTE(Q1009,""Sell_"",""""))-COUNTIF(Q$4"&amp;":Q1008,""Sell_""&amp;SUBSTITUTE(Q1009,""Sell_"",""""))))/2),ROUNDUP(INDEX(Upgrades!$C$3:$C$13,MATCH(Q1009,Upgrades!$B$3:$B$13,0))*1.15^(COUNTIF(Q$4:Q1008,Q1009)-COUNTIF(Q$4:Q1008,""Sell_""&amp;Q1009))))))"),"")</f>
        <v/>
      </c>
      <c r="V1009" s="10" t="str">
        <f t="shared" si="11"/>
        <v/>
      </c>
      <c r="W1009" s="68" t="str">
        <f t="shared" si="12"/>
        <v/>
      </c>
      <c r="X1009" s="59" t="str">
        <f t="shared" si="13"/>
        <v/>
      </c>
      <c r="Y1009" s="69" t="str">
        <f t="shared" si="14"/>
        <v/>
      </c>
      <c r="Z1009" s="11"/>
      <c r="AG1009" s="59"/>
    </row>
    <row r="1010">
      <c r="A1010" s="8"/>
      <c r="B1010" s="56" t="str">
        <f t="shared" si="2"/>
        <v/>
      </c>
      <c r="C1010" s="105"/>
      <c r="D1010" s="10"/>
      <c r="E1010" s="59" t="str">
        <f t="array" ref="E1010">IF(COUNTA(C1010:C1644)=0,"",SUM((COUNTIF(C$4:C1010,Upgrades!$B$3:$B$13)-COUNTIF(C$4:C1010,"Sell_"&amp;Upgrades!$B$3:$B$13))*Upgrades!$D$3:$D$13))</f>
        <v/>
      </c>
      <c r="F1010" s="66" t="str">
        <f>IFERROR(__xludf.DUMMYFUNCTION("IF(COUNTA(C1010:C1644)=0,"""",IF(REGEXMATCH(INDEX(FILTER(C$4:C1010,C$4:C1010&lt;&gt;""""),ROWS(FILTER(C$4:C1010,C$4:C1010&lt;&gt;""""))),""^Sell_""),INDEX(FILTER(F$4:F1009,C$4:C1009&lt;&gt;""""),ROWS(FILTER(C$4:C1009,C$4:C1009&lt;&gt;""""))),$AC$5+E1010))"),"")</f>
        <v/>
      </c>
      <c r="G1010" s="10" t="str">
        <f>IFERROR(__xludf.DUMMYFUNCTION("IF(COUNTA(C1010:C1644)=0,"""",IF(C1010="""",0,IF(REGEXMATCH(C1010,""^Sell_""),-ROUNDDOWN(ROUNDUP(INDEX(Upgrades!$C$3:$C$13,MATCH(SUBSTITUTE(C1010,""Sell_"",""""),Upgrades!$B$3:$B$13,0))*1.15^(COUNTIF(C$4:C1009,SUBSTITUTE(C1010,""Sell_"",""""))-COUNTIF(C$4"&amp;":C1009,""Sell_""&amp;SUBSTITUTE(C1010,""Sell_"",""""))))/2),ROUNDUP(INDEX(Upgrades!$C$3:$C$13,MATCH(C1010,Upgrades!$B$3:$B$13,0))*1.15^(COUNTIF(C$4:C1009,C1010)-COUNTIF(C$4:C1009,""Sell_""&amp;C1010))))))"),"")</f>
        <v/>
      </c>
      <c r="H1010" s="10" t="str">
        <f t="shared" si="3"/>
        <v/>
      </c>
      <c r="I1010" s="68" t="str">
        <f t="shared" si="4"/>
        <v/>
      </c>
      <c r="J1010" s="59" t="str">
        <f t="shared" si="5"/>
        <v/>
      </c>
      <c r="K1010" s="69" t="str">
        <f t="shared" si="6"/>
        <v/>
      </c>
      <c r="L1010" s="60" t="str">
        <f t="shared" si="7"/>
        <v/>
      </c>
      <c r="M1010" s="61" t="str">
        <f>IFERROR(__xludf.DUMMYFUNCTION("IFS(AND(COUNTA(C1010:C1644)=0,COUNTA(Q1010:Q1644)=0),"""",OR(AND(K1010&gt;=1000000000,OR(Y1010&gt;=1000000000,COUNTA(Q1010:Q1644)=0)),OR(Y1010&gt;=1000000000,AND(COUNTA(C1010:C1644)=0,P$3=TRUE))),
ROUNDDOWN((AB$1-AC$1)*MAX(INDEX(T$4:T1644,MATCH(LARGE(FILTER(Y$4:Y1"&amp;"644,Y$4:Y1644&lt;1000000000),1),Y$4:Y1644)),INDEX(F$4:F1644,MATCH(LARGE(FILTER(K$4:K1644,K$4:K1644&lt;1000000000),1),K$4:K1644)))),AND(K1010&lt;1000000000,COUNTA(C1010:C1644)&gt;0,P$3=FALSE),
ROUNDDOWN(INDEX(Y$4:Y1644,MATCH(LARGE(FILTER(W$4:W1644,W$4:W1644&lt;=I1010),1)"&amp;",W$4:W1644))+(I1010-LARGE(FILTER(W$4:W1644,W$4:W1644&lt;=I1010),1))*INDEX(T$4:T1644,MATCH(LARGE(FILTER(W$4:W1644,W$4:W1644&lt;=I1010),1),W$4:W1644))-K1010),1,
ROUNDDOWN(Y1010-INDEX(K$4:K1644,MATCH(LARGE(FILTER(I$4:I1644,I$4:I1644&lt;=W1010),1),I$4:I1644))-(W1010-L"&amp;"ARGE(FILTER(I$4:I1644,I$4:I1644&lt;=W1010),1))*INDEX(F$4:F1644,MATCH(LARGE(FILTER(I$4:I1644,I$4:I1644&lt;=W1010),1),I$4:I1644))))"),"")</f>
        <v/>
      </c>
      <c r="N1010" s="60" t="str">
        <f t="shared" si="8"/>
        <v/>
      </c>
      <c r="O1010" s="61" t="str">
        <f t="shared" si="9"/>
        <v/>
      </c>
      <c r="P1010" s="56" t="str">
        <f t="shared" si="10"/>
        <v/>
      </c>
      <c r="Q1010" s="105"/>
      <c r="R1010" s="10"/>
      <c r="S1010" s="59" t="str">
        <f t="array" ref="S1010">IF(COUNTA(Q1010:Q1644)=0,"",SUM((COUNTIF(Q$4:Q1010,Upgrades!$B$3:$B$13)-COUNTIF(Q$4:Q1010,"Sell_"&amp;Upgrades!$B$3:$B$13))*Upgrades!$D$3:$D$13))</f>
        <v/>
      </c>
      <c r="T1010" s="66" t="str">
        <f>IFERROR(__xludf.DUMMYFUNCTION("IF(COUNTA(Q1010:Q1644)=0,"""",IF(REGEXMATCH(INDEX(FILTER(Q$4:Q1010,Q$4:Q1010&lt;&gt;""""),ROWS(FILTER(Q$4:Q1010,Q$4:Q1010&lt;&gt;""""))),""^Sell_""),INDEX(FILTER(T$4:T1009,Q$4:Q1009&lt;&gt;""""),ROWS(FILTER(Q$4:Q1009,Q$4:Q1009&lt;&gt;""""))),$AD$5+S1010))"),"")</f>
        <v/>
      </c>
      <c r="U1010" s="10" t="str">
        <f>IFERROR(__xludf.DUMMYFUNCTION("IF(COUNTA(Q1010:Q1644)=0,"""",IF(Q1010="""",0,IF(REGEXMATCH(Q1010,""^Sell_""),-ROUNDDOWN(ROUNDUP(INDEX(Upgrades!$C$3:$C$13,MATCH(SUBSTITUTE(Q1010,""Sell_"",""""),Upgrades!$B$3:$B$13,0))*1.15^(COUNTIF(Q$4:Q1009,SUBSTITUTE(Q1010,""Sell_"",""""))-COUNTIF(Q$4"&amp;":Q1009,""Sell_""&amp;SUBSTITUTE(Q1010,""Sell_"",""""))))/2),ROUNDUP(INDEX(Upgrades!$C$3:$C$13,MATCH(Q1010,Upgrades!$B$3:$B$13,0))*1.15^(COUNTIF(Q$4:Q1009,Q1010)-COUNTIF(Q$4:Q1009,""Sell_""&amp;Q1010))))))"),"")</f>
        <v/>
      </c>
      <c r="V1010" s="10" t="str">
        <f t="shared" si="11"/>
        <v/>
      </c>
      <c r="W1010" s="68" t="str">
        <f t="shared" si="12"/>
        <v/>
      </c>
      <c r="X1010" s="59" t="str">
        <f t="shared" si="13"/>
        <v/>
      </c>
      <c r="Y1010" s="69" t="str">
        <f t="shared" si="14"/>
        <v/>
      </c>
      <c r="Z1010" s="11"/>
      <c r="AG1010" s="59"/>
    </row>
    <row r="1011">
      <c r="A1011" s="8"/>
      <c r="B1011" s="56" t="str">
        <f t="shared" si="2"/>
        <v/>
      </c>
      <c r="C1011" s="105"/>
      <c r="D1011" s="10"/>
      <c r="E1011" s="59" t="str">
        <f t="array" ref="E1011">IF(COUNTA(C1011:C1644)=0,"",SUM((COUNTIF(C$4:C1011,Upgrades!$B$3:$B$13)-COUNTIF(C$4:C1011,"Sell_"&amp;Upgrades!$B$3:$B$13))*Upgrades!$D$3:$D$13))</f>
        <v/>
      </c>
      <c r="F1011" s="66" t="str">
        <f>IFERROR(__xludf.DUMMYFUNCTION("IF(COUNTA(C1011:C1644)=0,"""",IF(REGEXMATCH(INDEX(FILTER(C$4:C1011,C$4:C1011&lt;&gt;""""),ROWS(FILTER(C$4:C1011,C$4:C1011&lt;&gt;""""))),""^Sell_""),INDEX(FILTER(F$4:F1010,C$4:C1010&lt;&gt;""""),ROWS(FILTER(C$4:C1010,C$4:C1010&lt;&gt;""""))),$AC$5+E1011))"),"")</f>
        <v/>
      </c>
      <c r="G1011" s="10" t="str">
        <f>IFERROR(__xludf.DUMMYFUNCTION("IF(COUNTA(C1011:C1644)=0,"""",IF(C1011="""",0,IF(REGEXMATCH(C1011,""^Sell_""),-ROUNDDOWN(ROUNDUP(INDEX(Upgrades!$C$3:$C$13,MATCH(SUBSTITUTE(C1011,""Sell_"",""""),Upgrades!$B$3:$B$13,0))*1.15^(COUNTIF(C$4:C1010,SUBSTITUTE(C1011,""Sell_"",""""))-COUNTIF(C$4"&amp;":C1010,""Sell_""&amp;SUBSTITUTE(C1011,""Sell_"",""""))))/2),ROUNDUP(INDEX(Upgrades!$C$3:$C$13,MATCH(C1011,Upgrades!$B$3:$B$13,0))*1.15^(COUNTIF(C$4:C1010,C1011)-COUNTIF(C$4:C1010,""Sell_""&amp;C1011))))))"),"")</f>
        <v/>
      </c>
      <c r="H1011" s="10" t="str">
        <f t="shared" si="3"/>
        <v/>
      </c>
      <c r="I1011" s="68" t="str">
        <f t="shared" si="4"/>
        <v/>
      </c>
      <c r="J1011" s="59" t="str">
        <f t="shared" si="5"/>
        <v/>
      </c>
      <c r="K1011" s="69" t="str">
        <f t="shared" si="6"/>
        <v/>
      </c>
      <c r="L1011" s="60" t="str">
        <f t="shared" si="7"/>
        <v/>
      </c>
      <c r="M1011" s="61" t="str">
        <f>IFERROR(__xludf.DUMMYFUNCTION("IFS(AND(COUNTA(C1011:C1644)=0,COUNTA(Q1011:Q1644)=0),"""",OR(AND(K1011&gt;=1000000000,OR(Y1011&gt;=1000000000,COUNTA(Q1011:Q1644)=0)),OR(Y1011&gt;=1000000000,AND(COUNTA(C1011:C1644)=0,P$3=TRUE))),
ROUNDDOWN((AB$1-AC$1)*MAX(INDEX(T$4:T1644,MATCH(LARGE(FILTER(Y$4:Y1"&amp;"644,Y$4:Y1644&lt;1000000000),1),Y$4:Y1644)),INDEX(F$4:F1644,MATCH(LARGE(FILTER(K$4:K1644,K$4:K1644&lt;1000000000),1),K$4:K1644)))),AND(K1011&lt;1000000000,COUNTA(C1011:C1644)&gt;0,P$3=FALSE),
ROUNDDOWN(INDEX(Y$4:Y1644,MATCH(LARGE(FILTER(W$4:W1644,W$4:W1644&lt;=I1011),1)"&amp;",W$4:W1644))+(I1011-LARGE(FILTER(W$4:W1644,W$4:W1644&lt;=I1011),1))*INDEX(T$4:T1644,MATCH(LARGE(FILTER(W$4:W1644,W$4:W1644&lt;=I1011),1),W$4:W1644))-K1011),1,
ROUNDDOWN(Y1011-INDEX(K$4:K1644,MATCH(LARGE(FILTER(I$4:I1644,I$4:I1644&lt;=W1011),1),I$4:I1644))-(W1011-L"&amp;"ARGE(FILTER(I$4:I1644,I$4:I1644&lt;=W1011),1))*INDEX(F$4:F1644,MATCH(LARGE(FILTER(I$4:I1644,I$4:I1644&lt;=W1011),1),I$4:I1644))))"),"")</f>
        <v/>
      </c>
      <c r="N1011" s="60" t="str">
        <f t="shared" si="8"/>
        <v/>
      </c>
      <c r="O1011" s="61" t="str">
        <f t="shared" si="9"/>
        <v/>
      </c>
      <c r="P1011" s="56" t="str">
        <f t="shared" si="10"/>
        <v/>
      </c>
      <c r="Q1011" s="105"/>
      <c r="R1011" s="10"/>
      <c r="S1011" s="59" t="str">
        <f t="array" ref="S1011">IF(COUNTA(Q1011:Q1644)=0,"",SUM((COUNTIF(Q$4:Q1011,Upgrades!$B$3:$B$13)-COUNTIF(Q$4:Q1011,"Sell_"&amp;Upgrades!$B$3:$B$13))*Upgrades!$D$3:$D$13))</f>
        <v/>
      </c>
      <c r="T1011" s="66" t="str">
        <f>IFERROR(__xludf.DUMMYFUNCTION("IF(COUNTA(Q1011:Q1644)=0,"""",IF(REGEXMATCH(INDEX(FILTER(Q$4:Q1011,Q$4:Q1011&lt;&gt;""""),ROWS(FILTER(Q$4:Q1011,Q$4:Q1011&lt;&gt;""""))),""^Sell_""),INDEX(FILTER(T$4:T1010,Q$4:Q1010&lt;&gt;""""),ROWS(FILTER(Q$4:Q1010,Q$4:Q1010&lt;&gt;""""))),$AD$5+S1011))"),"")</f>
        <v/>
      </c>
      <c r="U1011" s="10" t="str">
        <f>IFERROR(__xludf.DUMMYFUNCTION("IF(COUNTA(Q1011:Q1644)=0,"""",IF(Q1011="""",0,IF(REGEXMATCH(Q1011,""^Sell_""),-ROUNDDOWN(ROUNDUP(INDEX(Upgrades!$C$3:$C$13,MATCH(SUBSTITUTE(Q1011,""Sell_"",""""),Upgrades!$B$3:$B$13,0))*1.15^(COUNTIF(Q$4:Q1010,SUBSTITUTE(Q1011,""Sell_"",""""))-COUNTIF(Q$4"&amp;":Q1010,""Sell_""&amp;SUBSTITUTE(Q1011,""Sell_"",""""))))/2),ROUNDUP(INDEX(Upgrades!$C$3:$C$13,MATCH(Q1011,Upgrades!$B$3:$B$13,0))*1.15^(COUNTIF(Q$4:Q1010,Q1011)-COUNTIF(Q$4:Q1010,""Sell_""&amp;Q1011))))))"),"")</f>
        <v/>
      </c>
      <c r="V1011" s="10" t="str">
        <f t="shared" si="11"/>
        <v/>
      </c>
      <c r="W1011" s="68" t="str">
        <f t="shared" si="12"/>
        <v/>
      </c>
      <c r="X1011" s="59" t="str">
        <f t="shared" si="13"/>
        <v/>
      </c>
      <c r="Y1011" s="69" t="str">
        <f t="shared" si="14"/>
        <v/>
      </c>
      <c r="Z1011" s="11"/>
      <c r="AG1011" s="59"/>
    </row>
    <row r="1012">
      <c r="A1012" s="8"/>
      <c r="B1012" s="56" t="str">
        <f t="shared" si="2"/>
        <v/>
      </c>
      <c r="C1012" s="105"/>
      <c r="D1012" s="10"/>
      <c r="E1012" s="59" t="str">
        <f t="array" ref="E1012">IF(COUNTA(C1012:C1644)=0,"",SUM((COUNTIF(C$4:C1012,Upgrades!$B$3:$B$13)-COUNTIF(C$4:C1012,"Sell_"&amp;Upgrades!$B$3:$B$13))*Upgrades!$D$3:$D$13))</f>
        <v/>
      </c>
      <c r="F1012" s="66" t="str">
        <f>IFERROR(__xludf.DUMMYFUNCTION("IF(COUNTA(C1012:C1644)=0,"""",IF(REGEXMATCH(INDEX(FILTER(C$4:C1012,C$4:C1012&lt;&gt;""""),ROWS(FILTER(C$4:C1012,C$4:C1012&lt;&gt;""""))),""^Sell_""),INDEX(FILTER(F$4:F1011,C$4:C1011&lt;&gt;""""),ROWS(FILTER(C$4:C1011,C$4:C1011&lt;&gt;""""))),$AC$5+E1012))"),"")</f>
        <v/>
      </c>
      <c r="G1012" s="10" t="str">
        <f>IFERROR(__xludf.DUMMYFUNCTION("IF(COUNTA(C1012:C1644)=0,"""",IF(C1012="""",0,IF(REGEXMATCH(C1012,""^Sell_""),-ROUNDDOWN(ROUNDUP(INDEX(Upgrades!$C$3:$C$13,MATCH(SUBSTITUTE(C1012,""Sell_"",""""),Upgrades!$B$3:$B$13,0))*1.15^(COUNTIF(C$4:C1011,SUBSTITUTE(C1012,""Sell_"",""""))-COUNTIF(C$4"&amp;":C1011,""Sell_""&amp;SUBSTITUTE(C1012,""Sell_"",""""))))/2),ROUNDUP(INDEX(Upgrades!$C$3:$C$13,MATCH(C1012,Upgrades!$B$3:$B$13,0))*1.15^(COUNTIF(C$4:C1011,C1012)-COUNTIF(C$4:C1011,""Sell_""&amp;C1012))))))"),"")</f>
        <v/>
      </c>
      <c r="H1012" s="10" t="str">
        <f t="shared" si="3"/>
        <v/>
      </c>
      <c r="I1012" s="68" t="str">
        <f t="shared" si="4"/>
        <v/>
      </c>
      <c r="J1012" s="59" t="str">
        <f t="shared" si="5"/>
        <v/>
      </c>
      <c r="K1012" s="69" t="str">
        <f t="shared" si="6"/>
        <v/>
      </c>
      <c r="L1012" s="60" t="str">
        <f t="shared" si="7"/>
        <v/>
      </c>
      <c r="M1012" s="61" t="str">
        <f>IFERROR(__xludf.DUMMYFUNCTION("IFS(AND(COUNTA(C1012:C1644)=0,COUNTA(Q1012:Q1644)=0),"""",OR(AND(K1012&gt;=1000000000,OR(Y1012&gt;=1000000000,COUNTA(Q1012:Q1644)=0)),OR(Y1012&gt;=1000000000,AND(COUNTA(C1012:C1644)=0,P$3=TRUE))),
ROUNDDOWN((AB$1-AC$1)*MAX(INDEX(T$4:T1644,MATCH(LARGE(FILTER(Y$4:Y1"&amp;"644,Y$4:Y1644&lt;1000000000),1),Y$4:Y1644)),INDEX(F$4:F1644,MATCH(LARGE(FILTER(K$4:K1644,K$4:K1644&lt;1000000000),1),K$4:K1644)))),AND(K1012&lt;1000000000,COUNTA(C1012:C1644)&gt;0,P$3=FALSE),
ROUNDDOWN(INDEX(Y$4:Y1644,MATCH(LARGE(FILTER(W$4:W1644,W$4:W1644&lt;=I1012),1)"&amp;",W$4:W1644))+(I1012-LARGE(FILTER(W$4:W1644,W$4:W1644&lt;=I1012),1))*INDEX(T$4:T1644,MATCH(LARGE(FILTER(W$4:W1644,W$4:W1644&lt;=I1012),1),W$4:W1644))-K1012),1,
ROUNDDOWN(Y1012-INDEX(K$4:K1644,MATCH(LARGE(FILTER(I$4:I1644,I$4:I1644&lt;=W1012),1),I$4:I1644))-(W1012-L"&amp;"ARGE(FILTER(I$4:I1644,I$4:I1644&lt;=W1012),1))*INDEX(F$4:F1644,MATCH(LARGE(FILTER(I$4:I1644,I$4:I1644&lt;=W1012),1),I$4:I1644))))"),"")</f>
        <v/>
      </c>
      <c r="N1012" s="60" t="str">
        <f t="shared" si="8"/>
        <v/>
      </c>
      <c r="O1012" s="61" t="str">
        <f t="shared" si="9"/>
        <v/>
      </c>
      <c r="P1012" s="56" t="str">
        <f t="shared" si="10"/>
        <v/>
      </c>
      <c r="Q1012" s="105"/>
      <c r="R1012" s="10"/>
      <c r="S1012" s="59" t="str">
        <f t="array" ref="S1012">IF(COUNTA(Q1012:Q1644)=0,"",SUM((COUNTIF(Q$4:Q1012,Upgrades!$B$3:$B$13)-COUNTIF(Q$4:Q1012,"Sell_"&amp;Upgrades!$B$3:$B$13))*Upgrades!$D$3:$D$13))</f>
        <v/>
      </c>
      <c r="T1012" s="66" t="str">
        <f>IFERROR(__xludf.DUMMYFUNCTION("IF(COUNTA(Q1012:Q1644)=0,"""",IF(REGEXMATCH(INDEX(FILTER(Q$4:Q1012,Q$4:Q1012&lt;&gt;""""),ROWS(FILTER(Q$4:Q1012,Q$4:Q1012&lt;&gt;""""))),""^Sell_""),INDEX(FILTER(T$4:T1011,Q$4:Q1011&lt;&gt;""""),ROWS(FILTER(Q$4:Q1011,Q$4:Q1011&lt;&gt;""""))),$AD$5+S1012))"),"")</f>
        <v/>
      </c>
      <c r="U1012" s="10" t="str">
        <f>IFERROR(__xludf.DUMMYFUNCTION("IF(COUNTA(Q1012:Q1644)=0,"""",IF(Q1012="""",0,IF(REGEXMATCH(Q1012,""^Sell_""),-ROUNDDOWN(ROUNDUP(INDEX(Upgrades!$C$3:$C$13,MATCH(SUBSTITUTE(Q1012,""Sell_"",""""),Upgrades!$B$3:$B$13,0))*1.15^(COUNTIF(Q$4:Q1011,SUBSTITUTE(Q1012,""Sell_"",""""))-COUNTIF(Q$4"&amp;":Q1011,""Sell_""&amp;SUBSTITUTE(Q1012,""Sell_"",""""))))/2),ROUNDUP(INDEX(Upgrades!$C$3:$C$13,MATCH(Q1012,Upgrades!$B$3:$B$13,0))*1.15^(COUNTIF(Q$4:Q1011,Q1012)-COUNTIF(Q$4:Q1011,""Sell_""&amp;Q1012))))))"),"")</f>
        <v/>
      </c>
      <c r="V1012" s="10" t="str">
        <f t="shared" si="11"/>
        <v/>
      </c>
      <c r="W1012" s="68" t="str">
        <f t="shared" si="12"/>
        <v/>
      </c>
      <c r="X1012" s="59" t="str">
        <f t="shared" si="13"/>
        <v/>
      </c>
      <c r="Y1012" s="69" t="str">
        <f t="shared" si="14"/>
        <v/>
      </c>
      <c r="Z1012" s="11"/>
      <c r="AG1012" s="59"/>
    </row>
    <row r="1013">
      <c r="A1013" s="8"/>
      <c r="B1013" s="56" t="str">
        <f t="shared" si="2"/>
        <v/>
      </c>
      <c r="C1013" s="105"/>
      <c r="D1013" s="10"/>
      <c r="E1013" s="59" t="str">
        <f t="array" ref="E1013">IF(COUNTA(C1013:C1644)=0,"",SUM((COUNTIF(C$4:C1013,Upgrades!$B$3:$B$13)-COUNTIF(C$4:C1013,"Sell_"&amp;Upgrades!$B$3:$B$13))*Upgrades!$D$3:$D$13))</f>
        <v/>
      </c>
      <c r="F1013" s="66" t="str">
        <f>IFERROR(__xludf.DUMMYFUNCTION("IF(COUNTA(C1013:C1644)=0,"""",IF(REGEXMATCH(INDEX(FILTER(C$4:C1013,C$4:C1013&lt;&gt;""""),ROWS(FILTER(C$4:C1013,C$4:C1013&lt;&gt;""""))),""^Sell_""),INDEX(FILTER(F$4:F1012,C$4:C1012&lt;&gt;""""),ROWS(FILTER(C$4:C1012,C$4:C1012&lt;&gt;""""))),$AC$5+E1013))"),"")</f>
        <v/>
      </c>
      <c r="G1013" s="10" t="str">
        <f>IFERROR(__xludf.DUMMYFUNCTION("IF(COUNTA(C1013:C1644)=0,"""",IF(C1013="""",0,IF(REGEXMATCH(C1013,""^Sell_""),-ROUNDDOWN(ROUNDUP(INDEX(Upgrades!$C$3:$C$13,MATCH(SUBSTITUTE(C1013,""Sell_"",""""),Upgrades!$B$3:$B$13,0))*1.15^(COUNTIF(C$4:C1012,SUBSTITUTE(C1013,""Sell_"",""""))-COUNTIF(C$4"&amp;":C1012,""Sell_""&amp;SUBSTITUTE(C1013,""Sell_"",""""))))/2),ROUNDUP(INDEX(Upgrades!$C$3:$C$13,MATCH(C1013,Upgrades!$B$3:$B$13,0))*1.15^(COUNTIF(C$4:C1012,C1013)-COUNTIF(C$4:C1012,""Sell_""&amp;C1013))))))"),"")</f>
        <v/>
      </c>
      <c r="H1013" s="10" t="str">
        <f t="shared" si="3"/>
        <v/>
      </c>
      <c r="I1013" s="68" t="str">
        <f t="shared" si="4"/>
        <v/>
      </c>
      <c r="J1013" s="59" t="str">
        <f t="shared" si="5"/>
        <v/>
      </c>
      <c r="K1013" s="69" t="str">
        <f t="shared" si="6"/>
        <v/>
      </c>
      <c r="L1013" s="60" t="str">
        <f t="shared" si="7"/>
        <v/>
      </c>
      <c r="M1013" s="61" t="str">
        <f>IFERROR(__xludf.DUMMYFUNCTION("IFS(AND(COUNTA(C1013:C1644)=0,COUNTA(Q1013:Q1644)=0),"""",OR(AND(K1013&gt;=1000000000,OR(Y1013&gt;=1000000000,COUNTA(Q1013:Q1644)=0)),OR(Y1013&gt;=1000000000,AND(COUNTA(C1013:C1644)=0,P$3=TRUE))),
ROUNDDOWN((AB$1-AC$1)*MAX(INDEX(T$4:T1644,MATCH(LARGE(FILTER(Y$4:Y1"&amp;"644,Y$4:Y1644&lt;1000000000),1),Y$4:Y1644)),INDEX(F$4:F1644,MATCH(LARGE(FILTER(K$4:K1644,K$4:K1644&lt;1000000000),1),K$4:K1644)))),AND(K1013&lt;1000000000,COUNTA(C1013:C1644)&gt;0,P$3=FALSE),
ROUNDDOWN(INDEX(Y$4:Y1644,MATCH(LARGE(FILTER(W$4:W1644,W$4:W1644&lt;=I1013),1)"&amp;",W$4:W1644))+(I1013-LARGE(FILTER(W$4:W1644,W$4:W1644&lt;=I1013),1))*INDEX(T$4:T1644,MATCH(LARGE(FILTER(W$4:W1644,W$4:W1644&lt;=I1013),1),W$4:W1644))-K1013),1,
ROUNDDOWN(Y1013-INDEX(K$4:K1644,MATCH(LARGE(FILTER(I$4:I1644,I$4:I1644&lt;=W1013),1),I$4:I1644))-(W1013-L"&amp;"ARGE(FILTER(I$4:I1644,I$4:I1644&lt;=W1013),1))*INDEX(F$4:F1644,MATCH(LARGE(FILTER(I$4:I1644,I$4:I1644&lt;=W1013),1),I$4:I1644))))"),"")</f>
        <v/>
      </c>
      <c r="N1013" s="60" t="str">
        <f t="shared" si="8"/>
        <v/>
      </c>
      <c r="O1013" s="61" t="str">
        <f t="shared" si="9"/>
        <v/>
      </c>
      <c r="P1013" s="56" t="str">
        <f t="shared" si="10"/>
        <v/>
      </c>
      <c r="Q1013" s="105"/>
      <c r="R1013" s="10"/>
      <c r="S1013" s="59" t="str">
        <f t="array" ref="S1013">IF(COUNTA(Q1013:Q1644)=0,"",SUM((COUNTIF(Q$4:Q1013,Upgrades!$B$3:$B$13)-COUNTIF(Q$4:Q1013,"Sell_"&amp;Upgrades!$B$3:$B$13))*Upgrades!$D$3:$D$13))</f>
        <v/>
      </c>
      <c r="T1013" s="66" t="str">
        <f>IFERROR(__xludf.DUMMYFUNCTION("IF(COUNTA(Q1013:Q1644)=0,"""",IF(REGEXMATCH(INDEX(FILTER(Q$4:Q1013,Q$4:Q1013&lt;&gt;""""),ROWS(FILTER(Q$4:Q1013,Q$4:Q1013&lt;&gt;""""))),""^Sell_""),INDEX(FILTER(T$4:T1012,Q$4:Q1012&lt;&gt;""""),ROWS(FILTER(Q$4:Q1012,Q$4:Q1012&lt;&gt;""""))),$AD$5+S1013))"),"")</f>
        <v/>
      </c>
      <c r="U1013" s="10" t="str">
        <f>IFERROR(__xludf.DUMMYFUNCTION("IF(COUNTA(Q1013:Q1644)=0,"""",IF(Q1013="""",0,IF(REGEXMATCH(Q1013,""^Sell_""),-ROUNDDOWN(ROUNDUP(INDEX(Upgrades!$C$3:$C$13,MATCH(SUBSTITUTE(Q1013,""Sell_"",""""),Upgrades!$B$3:$B$13,0))*1.15^(COUNTIF(Q$4:Q1012,SUBSTITUTE(Q1013,""Sell_"",""""))-COUNTIF(Q$4"&amp;":Q1012,""Sell_""&amp;SUBSTITUTE(Q1013,""Sell_"",""""))))/2),ROUNDUP(INDEX(Upgrades!$C$3:$C$13,MATCH(Q1013,Upgrades!$B$3:$B$13,0))*1.15^(COUNTIF(Q$4:Q1012,Q1013)-COUNTIF(Q$4:Q1012,""Sell_""&amp;Q1013))))))"),"")</f>
        <v/>
      </c>
      <c r="V1013" s="10" t="str">
        <f t="shared" si="11"/>
        <v/>
      </c>
      <c r="W1013" s="68" t="str">
        <f t="shared" si="12"/>
        <v/>
      </c>
      <c r="X1013" s="59" t="str">
        <f t="shared" si="13"/>
        <v/>
      </c>
      <c r="Y1013" s="69" t="str">
        <f t="shared" si="14"/>
        <v/>
      </c>
      <c r="Z1013" s="11"/>
      <c r="AG1013" s="59"/>
    </row>
    <row r="1014">
      <c r="A1014" s="8"/>
      <c r="B1014" s="56" t="str">
        <f t="shared" si="2"/>
        <v/>
      </c>
      <c r="C1014" s="105"/>
      <c r="D1014" s="10"/>
      <c r="E1014" s="59" t="str">
        <f t="array" ref="E1014">IF(COUNTA(C1014:C1644)=0,"",SUM((COUNTIF(C$4:C1014,Upgrades!$B$3:$B$13)-COUNTIF(C$4:C1014,"Sell_"&amp;Upgrades!$B$3:$B$13))*Upgrades!$D$3:$D$13))</f>
        <v/>
      </c>
      <c r="F1014" s="66" t="str">
        <f>IFERROR(__xludf.DUMMYFUNCTION("IF(COUNTA(C1014:C1644)=0,"""",IF(REGEXMATCH(INDEX(FILTER(C$4:C1014,C$4:C1014&lt;&gt;""""),ROWS(FILTER(C$4:C1014,C$4:C1014&lt;&gt;""""))),""^Sell_""),INDEX(FILTER(F$4:F1013,C$4:C1013&lt;&gt;""""),ROWS(FILTER(C$4:C1013,C$4:C1013&lt;&gt;""""))),$AC$5+E1014))"),"")</f>
        <v/>
      </c>
      <c r="G1014" s="10" t="str">
        <f>IFERROR(__xludf.DUMMYFUNCTION("IF(COUNTA(C1014:C1644)=0,"""",IF(C1014="""",0,IF(REGEXMATCH(C1014,""^Sell_""),-ROUNDDOWN(ROUNDUP(INDEX(Upgrades!$C$3:$C$13,MATCH(SUBSTITUTE(C1014,""Sell_"",""""),Upgrades!$B$3:$B$13,0))*1.15^(COUNTIF(C$4:C1013,SUBSTITUTE(C1014,""Sell_"",""""))-COUNTIF(C$4"&amp;":C1013,""Sell_""&amp;SUBSTITUTE(C1014,""Sell_"",""""))))/2),ROUNDUP(INDEX(Upgrades!$C$3:$C$13,MATCH(C1014,Upgrades!$B$3:$B$13,0))*1.15^(COUNTIF(C$4:C1013,C1014)-COUNTIF(C$4:C1013,""Sell_""&amp;C1014))))))"),"")</f>
        <v/>
      </c>
      <c r="H1014" s="10" t="str">
        <f t="shared" si="3"/>
        <v/>
      </c>
      <c r="I1014" s="68" t="str">
        <f t="shared" si="4"/>
        <v/>
      </c>
      <c r="J1014" s="59" t="str">
        <f t="shared" si="5"/>
        <v/>
      </c>
      <c r="K1014" s="69" t="str">
        <f t="shared" si="6"/>
        <v/>
      </c>
      <c r="L1014" s="60" t="str">
        <f t="shared" si="7"/>
        <v/>
      </c>
      <c r="M1014" s="61" t="str">
        <f>IFERROR(__xludf.DUMMYFUNCTION("IFS(AND(COUNTA(C1014:C1644)=0,COUNTA(Q1014:Q1644)=0),"""",OR(AND(K1014&gt;=1000000000,OR(Y1014&gt;=1000000000,COUNTA(Q1014:Q1644)=0)),OR(Y1014&gt;=1000000000,AND(COUNTA(C1014:C1644)=0,P$3=TRUE))),
ROUNDDOWN((AB$1-AC$1)*MAX(INDEX(T$4:T1644,MATCH(LARGE(FILTER(Y$4:Y1"&amp;"644,Y$4:Y1644&lt;1000000000),1),Y$4:Y1644)),INDEX(F$4:F1644,MATCH(LARGE(FILTER(K$4:K1644,K$4:K1644&lt;1000000000),1),K$4:K1644)))),AND(K1014&lt;1000000000,COUNTA(C1014:C1644)&gt;0,P$3=FALSE),
ROUNDDOWN(INDEX(Y$4:Y1644,MATCH(LARGE(FILTER(W$4:W1644,W$4:W1644&lt;=I1014),1)"&amp;",W$4:W1644))+(I1014-LARGE(FILTER(W$4:W1644,W$4:W1644&lt;=I1014),1))*INDEX(T$4:T1644,MATCH(LARGE(FILTER(W$4:W1644,W$4:W1644&lt;=I1014),1),W$4:W1644))-K1014),1,
ROUNDDOWN(Y1014-INDEX(K$4:K1644,MATCH(LARGE(FILTER(I$4:I1644,I$4:I1644&lt;=W1014),1),I$4:I1644))-(W1014-L"&amp;"ARGE(FILTER(I$4:I1644,I$4:I1644&lt;=W1014),1))*INDEX(F$4:F1644,MATCH(LARGE(FILTER(I$4:I1644,I$4:I1644&lt;=W1014),1),I$4:I1644))))"),"")</f>
        <v/>
      </c>
      <c r="N1014" s="60" t="str">
        <f t="shared" si="8"/>
        <v/>
      </c>
      <c r="O1014" s="61" t="str">
        <f t="shared" si="9"/>
        <v/>
      </c>
      <c r="P1014" s="56" t="str">
        <f t="shared" si="10"/>
        <v/>
      </c>
      <c r="Q1014" s="105"/>
      <c r="R1014" s="10"/>
      <c r="S1014" s="59" t="str">
        <f t="array" ref="S1014">IF(COUNTA(Q1014:Q1644)=0,"",SUM((COUNTIF(Q$4:Q1014,Upgrades!$B$3:$B$13)-COUNTIF(Q$4:Q1014,"Sell_"&amp;Upgrades!$B$3:$B$13))*Upgrades!$D$3:$D$13))</f>
        <v/>
      </c>
      <c r="T1014" s="66" t="str">
        <f>IFERROR(__xludf.DUMMYFUNCTION("IF(COUNTA(Q1014:Q1644)=0,"""",IF(REGEXMATCH(INDEX(FILTER(Q$4:Q1014,Q$4:Q1014&lt;&gt;""""),ROWS(FILTER(Q$4:Q1014,Q$4:Q1014&lt;&gt;""""))),""^Sell_""),INDEX(FILTER(T$4:T1013,Q$4:Q1013&lt;&gt;""""),ROWS(FILTER(Q$4:Q1013,Q$4:Q1013&lt;&gt;""""))),$AD$5+S1014))"),"")</f>
        <v/>
      </c>
      <c r="U1014" s="10" t="str">
        <f>IFERROR(__xludf.DUMMYFUNCTION("IF(COUNTA(Q1014:Q1644)=0,"""",IF(Q1014="""",0,IF(REGEXMATCH(Q1014,""^Sell_""),-ROUNDDOWN(ROUNDUP(INDEX(Upgrades!$C$3:$C$13,MATCH(SUBSTITUTE(Q1014,""Sell_"",""""),Upgrades!$B$3:$B$13,0))*1.15^(COUNTIF(Q$4:Q1013,SUBSTITUTE(Q1014,""Sell_"",""""))-COUNTIF(Q$4"&amp;":Q1013,""Sell_""&amp;SUBSTITUTE(Q1014,""Sell_"",""""))))/2),ROUNDUP(INDEX(Upgrades!$C$3:$C$13,MATCH(Q1014,Upgrades!$B$3:$B$13,0))*1.15^(COUNTIF(Q$4:Q1013,Q1014)-COUNTIF(Q$4:Q1013,""Sell_""&amp;Q1014))))))"),"")</f>
        <v/>
      </c>
      <c r="V1014" s="10" t="str">
        <f t="shared" si="11"/>
        <v/>
      </c>
      <c r="W1014" s="68" t="str">
        <f t="shared" si="12"/>
        <v/>
      </c>
      <c r="X1014" s="59" t="str">
        <f t="shared" si="13"/>
        <v/>
      </c>
      <c r="Y1014" s="69" t="str">
        <f t="shared" si="14"/>
        <v/>
      </c>
      <c r="Z1014" s="11"/>
      <c r="AG1014" s="59"/>
    </row>
    <row r="1015">
      <c r="A1015" s="8"/>
      <c r="B1015" s="56" t="str">
        <f t="shared" si="2"/>
        <v/>
      </c>
      <c r="C1015" s="105"/>
      <c r="D1015" s="10"/>
      <c r="E1015" s="59" t="str">
        <f t="array" ref="E1015">IF(COUNTA(C1015:C1644)=0,"",SUM((COUNTIF(C$4:C1015,Upgrades!$B$3:$B$13)-COUNTIF(C$4:C1015,"Sell_"&amp;Upgrades!$B$3:$B$13))*Upgrades!$D$3:$D$13))</f>
        <v/>
      </c>
      <c r="F1015" s="66" t="str">
        <f>IFERROR(__xludf.DUMMYFUNCTION("IF(COUNTA(C1015:C1644)=0,"""",IF(REGEXMATCH(INDEX(FILTER(C$4:C1015,C$4:C1015&lt;&gt;""""),ROWS(FILTER(C$4:C1015,C$4:C1015&lt;&gt;""""))),""^Sell_""),INDEX(FILTER(F$4:F1014,C$4:C1014&lt;&gt;""""),ROWS(FILTER(C$4:C1014,C$4:C1014&lt;&gt;""""))),$AC$5+E1015))"),"")</f>
        <v/>
      </c>
      <c r="G1015" s="10" t="str">
        <f>IFERROR(__xludf.DUMMYFUNCTION("IF(COUNTA(C1015:C1644)=0,"""",IF(C1015="""",0,IF(REGEXMATCH(C1015,""^Sell_""),-ROUNDDOWN(ROUNDUP(INDEX(Upgrades!$C$3:$C$13,MATCH(SUBSTITUTE(C1015,""Sell_"",""""),Upgrades!$B$3:$B$13,0))*1.15^(COUNTIF(C$4:C1014,SUBSTITUTE(C1015,""Sell_"",""""))-COUNTIF(C$4"&amp;":C1014,""Sell_""&amp;SUBSTITUTE(C1015,""Sell_"",""""))))/2),ROUNDUP(INDEX(Upgrades!$C$3:$C$13,MATCH(C1015,Upgrades!$B$3:$B$13,0))*1.15^(COUNTIF(C$4:C1014,C1015)-COUNTIF(C$4:C1014,""Sell_""&amp;C1015))))))"),"")</f>
        <v/>
      </c>
      <c r="H1015" s="10" t="str">
        <f t="shared" si="3"/>
        <v/>
      </c>
      <c r="I1015" s="68" t="str">
        <f t="shared" si="4"/>
        <v/>
      </c>
      <c r="J1015" s="59" t="str">
        <f t="shared" si="5"/>
        <v/>
      </c>
      <c r="K1015" s="69" t="str">
        <f t="shared" si="6"/>
        <v/>
      </c>
      <c r="L1015" s="60" t="str">
        <f t="shared" si="7"/>
        <v/>
      </c>
      <c r="M1015" s="61" t="str">
        <f>IFERROR(__xludf.DUMMYFUNCTION("IFS(AND(COUNTA(C1015:C1644)=0,COUNTA(Q1015:Q1644)=0),"""",OR(AND(K1015&gt;=1000000000,OR(Y1015&gt;=1000000000,COUNTA(Q1015:Q1644)=0)),OR(Y1015&gt;=1000000000,AND(COUNTA(C1015:C1644)=0,P$3=TRUE))),
ROUNDDOWN((AB$1-AC$1)*MAX(INDEX(T$4:T1644,MATCH(LARGE(FILTER(Y$4:Y1"&amp;"644,Y$4:Y1644&lt;1000000000),1),Y$4:Y1644)),INDEX(F$4:F1644,MATCH(LARGE(FILTER(K$4:K1644,K$4:K1644&lt;1000000000),1),K$4:K1644)))),AND(K1015&lt;1000000000,COUNTA(C1015:C1644)&gt;0,P$3=FALSE),
ROUNDDOWN(INDEX(Y$4:Y1644,MATCH(LARGE(FILTER(W$4:W1644,W$4:W1644&lt;=I1015),1)"&amp;",W$4:W1644))+(I1015-LARGE(FILTER(W$4:W1644,W$4:W1644&lt;=I1015),1))*INDEX(T$4:T1644,MATCH(LARGE(FILTER(W$4:W1644,W$4:W1644&lt;=I1015),1),W$4:W1644))-K1015),1,
ROUNDDOWN(Y1015-INDEX(K$4:K1644,MATCH(LARGE(FILTER(I$4:I1644,I$4:I1644&lt;=W1015),1),I$4:I1644))-(W1015-L"&amp;"ARGE(FILTER(I$4:I1644,I$4:I1644&lt;=W1015),1))*INDEX(F$4:F1644,MATCH(LARGE(FILTER(I$4:I1644,I$4:I1644&lt;=W1015),1),I$4:I1644))))"),"")</f>
        <v/>
      </c>
      <c r="N1015" s="60" t="str">
        <f t="shared" si="8"/>
        <v/>
      </c>
      <c r="O1015" s="61" t="str">
        <f t="shared" si="9"/>
        <v/>
      </c>
      <c r="P1015" s="56" t="str">
        <f t="shared" si="10"/>
        <v/>
      </c>
      <c r="Q1015" s="105"/>
      <c r="R1015" s="10"/>
      <c r="S1015" s="59" t="str">
        <f t="array" ref="S1015">IF(COUNTA(Q1015:Q1644)=0,"",SUM((COUNTIF(Q$4:Q1015,Upgrades!$B$3:$B$13)-COUNTIF(Q$4:Q1015,"Sell_"&amp;Upgrades!$B$3:$B$13))*Upgrades!$D$3:$D$13))</f>
        <v/>
      </c>
      <c r="T1015" s="66" t="str">
        <f>IFERROR(__xludf.DUMMYFUNCTION("IF(COUNTA(Q1015:Q1644)=0,"""",IF(REGEXMATCH(INDEX(FILTER(Q$4:Q1015,Q$4:Q1015&lt;&gt;""""),ROWS(FILTER(Q$4:Q1015,Q$4:Q1015&lt;&gt;""""))),""^Sell_""),INDEX(FILTER(T$4:T1014,Q$4:Q1014&lt;&gt;""""),ROWS(FILTER(Q$4:Q1014,Q$4:Q1014&lt;&gt;""""))),$AD$5+S1015))"),"")</f>
        <v/>
      </c>
      <c r="U1015" s="10" t="str">
        <f>IFERROR(__xludf.DUMMYFUNCTION("IF(COUNTA(Q1015:Q1644)=0,"""",IF(Q1015="""",0,IF(REGEXMATCH(Q1015,""^Sell_""),-ROUNDDOWN(ROUNDUP(INDEX(Upgrades!$C$3:$C$13,MATCH(SUBSTITUTE(Q1015,""Sell_"",""""),Upgrades!$B$3:$B$13,0))*1.15^(COUNTIF(Q$4:Q1014,SUBSTITUTE(Q1015,""Sell_"",""""))-COUNTIF(Q$4"&amp;":Q1014,""Sell_""&amp;SUBSTITUTE(Q1015,""Sell_"",""""))))/2),ROUNDUP(INDEX(Upgrades!$C$3:$C$13,MATCH(Q1015,Upgrades!$B$3:$B$13,0))*1.15^(COUNTIF(Q$4:Q1014,Q1015)-COUNTIF(Q$4:Q1014,""Sell_""&amp;Q1015))))))"),"")</f>
        <v/>
      </c>
      <c r="V1015" s="10" t="str">
        <f t="shared" si="11"/>
        <v/>
      </c>
      <c r="W1015" s="68" t="str">
        <f t="shared" si="12"/>
        <v/>
      </c>
      <c r="X1015" s="59" t="str">
        <f t="shared" si="13"/>
        <v/>
      </c>
      <c r="Y1015" s="69" t="str">
        <f t="shared" si="14"/>
        <v/>
      </c>
      <c r="Z1015" s="11"/>
      <c r="AG1015" s="59"/>
    </row>
    <row r="1016">
      <c r="A1016" s="8"/>
      <c r="B1016" s="56" t="str">
        <f t="shared" si="2"/>
        <v/>
      </c>
      <c r="C1016" s="105"/>
      <c r="D1016" s="10"/>
      <c r="E1016" s="59" t="str">
        <f t="array" ref="E1016">IF(COUNTA(C1016:C1644)=0,"",SUM((COUNTIF(C$4:C1016,Upgrades!$B$3:$B$13)-COUNTIF(C$4:C1016,"Sell_"&amp;Upgrades!$B$3:$B$13))*Upgrades!$D$3:$D$13))</f>
        <v/>
      </c>
      <c r="F1016" s="66" t="str">
        <f>IFERROR(__xludf.DUMMYFUNCTION("IF(COUNTA(C1016:C1644)=0,"""",IF(REGEXMATCH(INDEX(FILTER(C$4:C1016,C$4:C1016&lt;&gt;""""),ROWS(FILTER(C$4:C1016,C$4:C1016&lt;&gt;""""))),""^Sell_""),INDEX(FILTER(F$4:F1015,C$4:C1015&lt;&gt;""""),ROWS(FILTER(C$4:C1015,C$4:C1015&lt;&gt;""""))),$AC$5+E1016))"),"")</f>
        <v/>
      </c>
      <c r="G1016" s="10" t="str">
        <f>IFERROR(__xludf.DUMMYFUNCTION("IF(COUNTA(C1016:C1644)=0,"""",IF(C1016="""",0,IF(REGEXMATCH(C1016,""^Sell_""),-ROUNDDOWN(ROUNDUP(INDEX(Upgrades!$C$3:$C$13,MATCH(SUBSTITUTE(C1016,""Sell_"",""""),Upgrades!$B$3:$B$13,0))*1.15^(COUNTIF(C$4:C1015,SUBSTITUTE(C1016,""Sell_"",""""))-COUNTIF(C$4"&amp;":C1015,""Sell_""&amp;SUBSTITUTE(C1016,""Sell_"",""""))))/2),ROUNDUP(INDEX(Upgrades!$C$3:$C$13,MATCH(C1016,Upgrades!$B$3:$B$13,0))*1.15^(COUNTIF(C$4:C1015,C1016)-COUNTIF(C$4:C1015,""Sell_""&amp;C1016))))))"),"")</f>
        <v/>
      </c>
      <c r="H1016" s="10" t="str">
        <f t="shared" si="3"/>
        <v/>
      </c>
      <c r="I1016" s="68" t="str">
        <f t="shared" si="4"/>
        <v/>
      </c>
      <c r="J1016" s="59" t="str">
        <f t="shared" si="5"/>
        <v/>
      </c>
      <c r="K1016" s="69" t="str">
        <f t="shared" si="6"/>
        <v/>
      </c>
      <c r="L1016" s="60" t="str">
        <f t="shared" si="7"/>
        <v/>
      </c>
      <c r="M1016" s="61" t="str">
        <f>IFERROR(__xludf.DUMMYFUNCTION("IFS(AND(COUNTA(C1016:C1644)=0,COUNTA(Q1016:Q1644)=0),"""",OR(AND(K1016&gt;=1000000000,OR(Y1016&gt;=1000000000,COUNTA(Q1016:Q1644)=0)),OR(Y1016&gt;=1000000000,AND(COUNTA(C1016:C1644)=0,P$3=TRUE))),
ROUNDDOWN((AB$1-AC$1)*MAX(INDEX(T$4:T1644,MATCH(LARGE(FILTER(Y$4:Y1"&amp;"644,Y$4:Y1644&lt;1000000000),1),Y$4:Y1644)),INDEX(F$4:F1644,MATCH(LARGE(FILTER(K$4:K1644,K$4:K1644&lt;1000000000),1),K$4:K1644)))),AND(K1016&lt;1000000000,COUNTA(C1016:C1644)&gt;0,P$3=FALSE),
ROUNDDOWN(INDEX(Y$4:Y1644,MATCH(LARGE(FILTER(W$4:W1644,W$4:W1644&lt;=I1016),1)"&amp;",W$4:W1644))+(I1016-LARGE(FILTER(W$4:W1644,W$4:W1644&lt;=I1016),1))*INDEX(T$4:T1644,MATCH(LARGE(FILTER(W$4:W1644,W$4:W1644&lt;=I1016),1),W$4:W1644))-K1016),1,
ROUNDDOWN(Y1016-INDEX(K$4:K1644,MATCH(LARGE(FILTER(I$4:I1644,I$4:I1644&lt;=W1016),1),I$4:I1644))-(W1016-L"&amp;"ARGE(FILTER(I$4:I1644,I$4:I1644&lt;=W1016),1))*INDEX(F$4:F1644,MATCH(LARGE(FILTER(I$4:I1644,I$4:I1644&lt;=W1016),1),I$4:I1644))))"),"")</f>
        <v/>
      </c>
      <c r="N1016" s="60" t="str">
        <f t="shared" si="8"/>
        <v/>
      </c>
      <c r="O1016" s="61" t="str">
        <f t="shared" si="9"/>
        <v/>
      </c>
      <c r="P1016" s="56" t="str">
        <f t="shared" si="10"/>
        <v/>
      </c>
      <c r="Q1016" s="105"/>
      <c r="R1016" s="10"/>
      <c r="S1016" s="59" t="str">
        <f t="array" ref="S1016">IF(COUNTA(Q1016:Q1644)=0,"",SUM((COUNTIF(Q$4:Q1016,Upgrades!$B$3:$B$13)-COUNTIF(Q$4:Q1016,"Sell_"&amp;Upgrades!$B$3:$B$13))*Upgrades!$D$3:$D$13))</f>
        <v/>
      </c>
      <c r="T1016" s="66" t="str">
        <f>IFERROR(__xludf.DUMMYFUNCTION("IF(COUNTA(Q1016:Q1644)=0,"""",IF(REGEXMATCH(INDEX(FILTER(Q$4:Q1016,Q$4:Q1016&lt;&gt;""""),ROWS(FILTER(Q$4:Q1016,Q$4:Q1016&lt;&gt;""""))),""^Sell_""),INDEX(FILTER(T$4:T1015,Q$4:Q1015&lt;&gt;""""),ROWS(FILTER(Q$4:Q1015,Q$4:Q1015&lt;&gt;""""))),$AD$5+S1016))"),"")</f>
        <v/>
      </c>
      <c r="U1016" s="10" t="str">
        <f>IFERROR(__xludf.DUMMYFUNCTION("IF(COUNTA(Q1016:Q1644)=0,"""",IF(Q1016="""",0,IF(REGEXMATCH(Q1016,""^Sell_""),-ROUNDDOWN(ROUNDUP(INDEX(Upgrades!$C$3:$C$13,MATCH(SUBSTITUTE(Q1016,""Sell_"",""""),Upgrades!$B$3:$B$13,0))*1.15^(COUNTIF(Q$4:Q1015,SUBSTITUTE(Q1016,""Sell_"",""""))-COUNTIF(Q$4"&amp;":Q1015,""Sell_""&amp;SUBSTITUTE(Q1016,""Sell_"",""""))))/2),ROUNDUP(INDEX(Upgrades!$C$3:$C$13,MATCH(Q1016,Upgrades!$B$3:$B$13,0))*1.15^(COUNTIF(Q$4:Q1015,Q1016)-COUNTIF(Q$4:Q1015,""Sell_""&amp;Q1016))))))"),"")</f>
        <v/>
      </c>
      <c r="V1016" s="10" t="str">
        <f t="shared" si="11"/>
        <v/>
      </c>
      <c r="W1016" s="68" t="str">
        <f t="shared" si="12"/>
        <v/>
      </c>
      <c r="X1016" s="59" t="str">
        <f t="shared" si="13"/>
        <v/>
      </c>
      <c r="Y1016" s="69" t="str">
        <f t="shared" si="14"/>
        <v/>
      </c>
      <c r="Z1016" s="11"/>
      <c r="AG1016" s="59"/>
    </row>
    <row r="1017">
      <c r="A1017" s="8"/>
      <c r="B1017" s="56" t="str">
        <f t="shared" si="2"/>
        <v/>
      </c>
      <c r="C1017" s="105"/>
      <c r="D1017" s="10"/>
      <c r="E1017" s="59" t="str">
        <f t="array" ref="E1017">IF(COUNTA(C1017:C1644)=0,"",SUM((COUNTIF(C$4:C1017,Upgrades!$B$3:$B$13)-COUNTIF(C$4:C1017,"Sell_"&amp;Upgrades!$B$3:$B$13))*Upgrades!$D$3:$D$13))</f>
        <v/>
      </c>
      <c r="F1017" s="66" t="str">
        <f>IFERROR(__xludf.DUMMYFUNCTION("IF(COUNTA(C1017:C1644)=0,"""",IF(REGEXMATCH(INDEX(FILTER(C$4:C1017,C$4:C1017&lt;&gt;""""),ROWS(FILTER(C$4:C1017,C$4:C1017&lt;&gt;""""))),""^Sell_""),INDEX(FILTER(F$4:F1016,C$4:C1016&lt;&gt;""""),ROWS(FILTER(C$4:C1016,C$4:C1016&lt;&gt;""""))),$AC$5+E1017))"),"")</f>
        <v/>
      </c>
      <c r="G1017" s="10" t="str">
        <f>IFERROR(__xludf.DUMMYFUNCTION("IF(COUNTA(C1017:C1644)=0,"""",IF(C1017="""",0,IF(REGEXMATCH(C1017,""^Sell_""),-ROUNDDOWN(ROUNDUP(INDEX(Upgrades!$C$3:$C$13,MATCH(SUBSTITUTE(C1017,""Sell_"",""""),Upgrades!$B$3:$B$13,0))*1.15^(COUNTIF(C$4:C1016,SUBSTITUTE(C1017,""Sell_"",""""))-COUNTIF(C$4"&amp;":C1016,""Sell_""&amp;SUBSTITUTE(C1017,""Sell_"",""""))))/2),ROUNDUP(INDEX(Upgrades!$C$3:$C$13,MATCH(C1017,Upgrades!$B$3:$B$13,0))*1.15^(COUNTIF(C$4:C1016,C1017)-COUNTIF(C$4:C1016,""Sell_""&amp;C1017))))))"),"")</f>
        <v/>
      </c>
      <c r="H1017" s="10" t="str">
        <f t="shared" si="3"/>
        <v/>
      </c>
      <c r="I1017" s="68" t="str">
        <f t="shared" si="4"/>
        <v/>
      </c>
      <c r="J1017" s="59" t="str">
        <f t="shared" si="5"/>
        <v/>
      </c>
      <c r="K1017" s="69" t="str">
        <f t="shared" si="6"/>
        <v/>
      </c>
      <c r="L1017" s="60" t="str">
        <f t="shared" si="7"/>
        <v/>
      </c>
      <c r="M1017" s="61" t="str">
        <f>IFERROR(__xludf.DUMMYFUNCTION("IFS(AND(COUNTA(C1017:C1644)=0,COUNTA(Q1017:Q1644)=0),"""",OR(AND(K1017&gt;=1000000000,OR(Y1017&gt;=1000000000,COUNTA(Q1017:Q1644)=0)),OR(Y1017&gt;=1000000000,AND(COUNTA(C1017:C1644)=0,P$3=TRUE))),
ROUNDDOWN((AB$1-AC$1)*MAX(INDEX(T$4:T1644,MATCH(LARGE(FILTER(Y$4:Y1"&amp;"644,Y$4:Y1644&lt;1000000000),1),Y$4:Y1644)),INDEX(F$4:F1644,MATCH(LARGE(FILTER(K$4:K1644,K$4:K1644&lt;1000000000),1),K$4:K1644)))),AND(K1017&lt;1000000000,COUNTA(C1017:C1644)&gt;0,P$3=FALSE),
ROUNDDOWN(INDEX(Y$4:Y1644,MATCH(LARGE(FILTER(W$4:W1644,W$4:W1644&lt;=I1017),1)"&amp;",W$4:W1644))+(I1017-LARGE(FILTER(W$4:W1644,W$4:W1644&lt;=I1017),1))*INDEX(T$4:T1644,MATCH(LARGE(FILTER(W$4:W1644,W$4:W1644&lt;=I1017),1),W$4:W1644))-K1017),1,
ROUNDDOWN(Y1017-INDEX(K$4:K1644,MATCH(LARGE(FILTER(I$4:I1644,I$4:I1644&lt;=W1017),1),I$4:I1644))-(W1017-L"&amp;"ARGE(FILTER(I$4:I1644,I$4:I1644&lt;=W1017),1))*INDEX(F$4:F1644,MATCH(LARGE(FILTER(I$4:I1644,I$4:I1644&lt;=W1017),1),I$4:I1644))))"),"")</f>
        <v/>
      </c>
      <c r="N1017" s="60" t="str">
        <f t="shared" si="8"/>
        <v/>
      </c>
      <c r="O1017" s="61" t="str">
        <f t="shared" si="9"/>
        <v/>
      </c>
      <c r="P1017" s="56" t="str">
        <f t="shared" si="10"/>
        <v/>
      </c>
      <c r="Q1017" s="105"/>
      <c r="R1017" s="10"/>
      <c r="S1017" s="59" t="str">
        <f t="array" ref="S1017">IF(COUNTA(Q1017:Q1644)=0,"",SUM((COUNTIF(Q$4:Q1017,Upgrades!$B$3:$B$13)-COUNTIF(Q$4:Q1017,"Sell_"&amp;Upgrades!$B$3:$B$13))*Upgrades!$D$3:$D$13))</f>
        <v/>
      </c>
      <c r="T1017" s="66" t="str">
        <f>IFERROR(__xludf.DUMMYFUNCTION("IF(COUNTA(Q1017:Q1644)=0,"""",IF(REGEXMATCH(INDEX(FILTER(Q$4:Q1017,Q$4:Q1017&lt;&gt;""""),ROWS(FILTER(Q$4:Q1017,Q$4:Q1017&lt;&gt;""""))),""^Sell_""),INDEX(FILTER(T$4:T1016,Q$4:Q1016&lt;&gt;""""),ROWS(FILTER(Q$4:Q1016,Q$4:Q1016&lt;&gt;""""))),$AD$5+S1017))"),"")</f>
        <v/>
      </c>
      <c r="U1017" s="10" t="str">
        <f>IFERROR(__xludf.DUMMYFUNCTION("IF(COUNTA(Q1017:Q1644)=0,"""",IF(Q1017="""",0,IF(REGEXMATCH(Q1017,""^Sell_""),-ROUNDDOWN(ROUNDUP(INDEX(Upgrades!$C$3:$C$13,MATCH(SUBSTITUTE(Q1017,""Sell_"",""""),Upgrades!$B$3:$B$13,0))*1.15^(COUNTIF(Q$4:Q1016,SUBSTITUTE(Q1017,""Sell_"",""""))-COUNTIF(Q$4"&amp;":Q1016,""Sell_""&amp;SUBSTITUTE(Q1017,""Sell_"",""""))))/2),ROUNDUP(INDEX(Upgrades!$C$3:$C$13,MATCH(Q1017,Upgrades!$B$3:$B$13,0))*1.15^(COUNTIF(Q$4:Q1016,Q1017)-COUNTIF(Q$4:Q1016,""Sell_""&amp;Q1017))))))"),"")</f>
        <v/>
      </c>
      <c r="V1017" s="10" t="str">
        <f t="shared" si="11"/>
        <v/>
      </c>
      <c r="W1017" s="68" t="str">
        <f t="shared" si="12"/>
        <v/>
      </c>
      <c r="X1017" s="59" t="str">
        <f t="shared" si="13"/>
        <v/>
      </c>
      <c r="Y1017" s="69" t="str">
        <f t="shared" si="14"/>
        <v/>
      </c>
      <c r="Z1017" s="11"/>
      <c r="AG1017" s="59"/>
    </row>
    <row r="1018">
      <c r="A1018" s="8"/>
      <c r="B1018" s="56" t="str">
        <f t="shared" si="2"/>
        <v/>
      </c>
      <c r="C1018" s="105"/>
      <c r="D1018" s="10"/>
      <c r="E1018" s="59" t="str">
        <f t="array" ref="E1018">IF(COUNTA(C1018:C1644)=0,"",SUM((COUNTIF(C$4:C1018,Upgrades!$B$3:$B$13)-COUNTIF(C$4:C1018,"Sell_"&amp;Upgrades!$B$3:$B$13))*Upgrades!$D$3:$D$13))</f>
        <v/>
      </c>
      <c r="F1018" s="66" t="str">
        <f>IFERROR(__xludf.DUMMYFUNCTION("IF(COUNTA(C1018:C1644)=0,"""",IF(REGEXMATCH(INDEX(FILTER(C$4:C1018,C$4:C1018&lt;&gt;""""),ROWS(FILTER(C$4:C1018,C$4:C1018&lt;&gt;""""))),""^Sell_""),INDEX(FILTER(F$4:F1017,C$4:C1017&lt;&gt;""""),ROWS(FILTER(C$4:C1017,C$4:C1017&lt;&gt;""""))),$AC$5+E1018))"),"")</f>
        <v/>
      </c>
      <c r="G1018" s="10" t="str">
        <f>IFERROR(__xludf.DUMMYFUNCTION("IF(COUNTA(C1018:C1644)=0,"""",IF(C1018="""",0,IF(REGEXMATCH(C1018,""^Sell_""),-ROUNDDOWN(ROUNDUP(INDEX(Upgrades!$C$3:$C$13,MATCH(SUBSTITUTE(C1018,""Sell_"",""""),Upgrades!$B$3:$B$13,0))*1.15^(COUNTIF(C$4:C1017,SUBSTITUTE(C1018,""Sell_"",""""))-COUNTIF(C$4"&amp;":C1017,""Sell_""&amp;SUBSTITUTE(C1018,""Sell_"",""""))))/2),ROUNDUP(INDEX(Upgrades!$C$3:$C$13,MATCH(C1018,Upgrades!$B$3:$B$13,0))*1.15^(COUNTIF(C$4:C1017,C1018)-COUNTIF(C$4:C1017,""Sell_""&amp;C1018))))))"),"")</f>
        <v/>
      </c>
      <c r="H1018" s="10" t="str">
        <f t="shared" si="3"/>
        <v/>
      </c>
      <c r="I1018" s="68" t="str">
        <f t="shared" si="4"/>
        <v/>
      </c>
      <c r="J1018" s="59" t="str">
        <f t="shared" si="5"/>
        <v/>
      </c>
      <c r="K1018" s="69" t="str">
        <f t="shared" si="6"/>
        <v/>
      </c>
      <c r="L1018" s="60" t="str">
        <f t="shared" si="7"/>
        <v/>
      </c>
      <c r="M1018" s="61" t="str">
        <f>IFERROR(__xludf.DUMMYFUNCTION("IFS(AND(COUNTA(C1018:C1644)=0,COUNTA(Q1018:Q1644)=0),"""",OR(AND(K1018&gt;=1000000000,OR(Y1018&gt;=1000000000,COUNTA(Q1018:Q1644)=0)),OR(Y1018&gt;=1000000000,AND(COUNTA(C1018:C1644)=0,P$3=TRUE))),
ROUNDDOWN((AB$1-AC$1)*MAX(INDEX(T$4:T1644,MATCH(LARGE(FILTER(Y$4:Y1"&amp;"644,Y$4:Y1644&lt;1000000000),1),Y$4:Y1644)),INDEX(F$4:F1644,MATCH(LARGE(FILTER(K$4:K1644,K$4:K1644&lt;1000000000),1),K$4:K1644)))),AND(K1018&lt;1000000000,COUNTA(C1018:C1644)&gt;0,P$3=FALSE),
ROUNDDOWN(INDEX(Y$4:Y1644,MATCH(LARGE(FILTER(W$4:W1644,W$4:W1644&lt;=I1018),1)"&amp;",W$4:W1644))+(I1018-LARGE(FILTER(W$4:W1644,W$4:W1644&lt;=I1018),1))*INDEX(T$4:T1644,MATCH(LARGE(FILTER(W$4:W1644,W$4:W1644&lt;=I1018),1),W$4:W1644))-K1018),1,
ROUNDDOWN(Y1018-INDEX(K$4:K1644,MATCH(LARGE(FILTER(I$4:I1644,I$4:I1644&lt;=W1018),1),I$4:I1644))-(W1018-L"&amp;"ARGE(FILTER(I$4:I1644,I$4:I1644&lt;=W1018),1))*INDEX(F$4:F1644,MATCH(LARGE(FILTER(I$4:I1644,I$4:I1644&lt;=W1018),1),I$4:I1644))))"),"")</f>
        <v/>
      </c>
      <c r="N1018" s="60" t="str">
        <f t="shared" si="8"/>
        <v/>
      </c>
      <c r="O1018" s="61" t="str">
        <f t="shared" si="9"/>
        <v/>
      </c>
      <c r="P1018" s="56" t="str">
        <f t="shared" si="10"/>
        <v/>
      </c>
      <c r="Q1018" s="105"/>
      <c r="R1018" s="10"/>
      <c r="S1018" s="59" t="str">
        <f t="array" ref="S1018">IF(COUNTA(Q1018:Q1644)=0,"",SUM((COUNTIF(Q$4:Q1018,Upgrades!$B$3:$B$13)-COUNTIF(Q$4:Q1018,"Sell_"&amp;Upgrades!$B$3:$B$13))*Upgrades!$D$3:$D$13))</f>
        <v/>
      </c>
      <c r="T1018" s="66" t="str">
        <f>IFERROR(__xludf.DUMMYFUNCTION("IF(COUNTA(Q1018:Q1644)=0,"""",IF(REGEXMATCH(INDEX(FILTER(Q$4:Q1018,Q$4:Q1018&lt;&gt;""""),ROWS(FILTER(Q$4:Q1018,Q$4:Q1018&lt;&gt;""""))),""^Sell_""),INDEX(FILTER(T$4:T1017,Q$4:Q1017&lt;&gt;""""),ROWS(FILTER(Q$4:Q1017,Q$4:Q1017&lt;&gt;""""))),$AD$5+S1018))"),"")</f>
        <v/>
      </c>
      <c r="U1018" s="10" t="str">
        <f>IFERROR(__xludf.DUMMYFUNCTION("IF(COUNTA(Q1018:Q1644)=0,"""",IF(Q1018="""",0,IF(REGEXMATCH(Q1018,""^Sell_""),-ROUNDDOWN(ROUNDUP(INDEX(Upgrades!$C$3:$C$13,MATCH(SUBSTITUTE(Q1018,""Sell_"",""""),Upgrades!$B$3:$B$13,0))*1.15^(COUNTIF(Q$4:Q1017,SUBSTITUTE(Q1018,""Sell_"",""""))-COUNTIF(Q$4"&amp;":Q1017,""Sell_""&amp;SUBSTITUTE(Q1018,""Sell_"",""""))))/2),ROUNDUP(INDEX(Upgrades!$C$3:$C$13,MATCH(Q1018,Upgrades!$B$3:$B$13,0))*1.15^(COUNTIF(Q$4:Q1017,Q1018)-COUNTIF(Q$4:Q1017,""Sell_""&amp;Q1018))))))"),"")</f>
        <v/>
      </c>
      <c r="V1018" s="10" t="str">
        <f t="shared" si="11"/>
        <v/>
      </c>
      <c r="W1018" s="68" t="str">
        <f t="shared" si="12"/>
        <v/>
      </c>
      <c r="X1018" s="59" t="str">
        <f t="shared" si="13"/>
        <v/>
      </c>
      <c r="Y1018" s="69" t="str">
        <f t="shared" si="14"/>
        <v/>
      </c>
      <c r="Z1018" s="11"/>
      <c r="AG1018" s="59"/>
    </row>
    <row r="1019">
      <c r="A1019" s="8"/>
      <c r="B1019" s="56" t="str">
        <f t="shared" si="2"/>
        <v/>
      </c>
      <c r="C1019" s="105"/>
      <c r="D1019" s="10"/>
      <c r="E1019" s="59" t="str">
        <f t="array" ref="E1019">IF(COUNTA(C1019:C1644)=0,"",SUM((COUNTIF(C$4:C1019,Upgrades!$B$3:$B$13)-COUNTIF(C$4:C1019,"Sell_"&amp;Upgrades!$B$3:$B$13))*Upgrades!$D$3:$D$13))</f>
        <v/>
      </c>
      <c r="F1019" s="66" t="str">
        <f>IFERROR(__xludf.DUMMYFUNCTION("IF(COUNTA(C1019:C1644)=0,"""",IF(REGEXMATCH(INDEX(FILTER(C$4:C1019,C$4:C1019&lt;&gt;""""),ROWS(FILTER(C$4:C1019,C$4:C1019&lt;&gt;""""))),""^Sell_""),INDEX(FILTER(F$4:F1018,C$4:C1018&lt;&gt;""""),ROWS(FILTER(C$4:C1018,C$4:C1018&lt;&gt;""""))),$AC$5+E1019))"),"")</f>
        <v/>
      </c>
      <c r="G1019" s="10" t="str">
        <f>IFERROR(__xludf.DUMMYFUNCTION("IF(COUNTA(C1019:C1644)=0,"""",IF(C1019="""",0,IF(REGEXMATCH(C1019,""^Sell_""),-ROUNDDOWN(ROUNDUP(INDEX(Upgrades!$C$3:$C$13,MATCH(SUBSTITUTE(C1019,""Sell_"",""""),Upgrades!$B$3:$B$13,0))*1.15^(COUNTIF(C$4:C1018,SUBSTITUTE(C1019,""Sell_"",""""))-COUNTIF(C$4"&amp;":C1018,""Sell_""&amp;SUBSTITUTE(C1019,""Sell_"",""""))))/2),ROUNDUP(INDEX(Upgrades!$C$3:$C$13,MATCH(C1019,Upgrades!$B$3:$B$13,0))*1.15^(COUNTIF(C$4:C1018,C1019)-COUNTIF(C$4:C1018,""Sell_""&amp;C1019))))))"),"")</f>
        <v/>
      </c>
      <c r="H1019" s="10" t="str">
        <f t="shared" si="3"/>
        <v/>
      </c>
      <c r="I1019" s="68" t="str">
        <f t="shared" si="4"/>
        <v/>
      </c>
      <c r="J1019" s="59" t="str">
        <f t="shared" si="5"/>
        <v/>
      </c>
      <c r="K1019" s="69" t="str">
        <f t="shared" si="6"/>
        <v/>
      </c>
      <c r="L1019" s="60" t="str">
        <f t="shared" si="7"/>
        <v/>
      </c>
      <c r="M1019" s="61" t="str">
        <f>IFERROR(__xludf.DUMMYFUNCTION("IFS(AND(COUNTA(C1019:C1644)=0,COUNTA(Q1019:Q1644)=0),"""",OR(AND(K1019&gt;=1000000000,OR(Y1019&gt;=1000000000,COUNTA(Q1019:Q1644)=0)),OR(Y1019&gt;=1000000000,AND(COUNTA(C1019:C1644)=0,P$3=TRUE))),
ROUNDDOWN((AB$1-AC$1)*MAX(INDEX(T$4:T1644,MATCH(LARGE(FILTER(Y$4:Y1"&amp;"644,Y$4:Y1644&lt;1000000000),1),Y$4:Y1644)),INDEX(F$4:F1644,MATCH(LARGE(FILTER(K$4:K1644,K$4:K1644&lt;1000000000),1),K$4:K1644)))),AND(K1019&lt;1000000000,COUNTA(C1019:C1644)&gt;0,P$3=FALSE),
ROUNDDOWN(INDEX(Y$4:Y1644,MATCH(LARGE(FILTER(W$4:W1644,W$4:W1644&lt;=I1019),1)"&amp;",W$4:W1644))+(I1019-LARGE(FILTER(W$4:W1644,W$4:W1644&lt;=I1019),1))*INDEX(T$4:T1644,MATCH(LARGE(FILTER(W$4:W1644,W$4:W1644&lt;=I1019),1),W$4:W1644))-K1019),1,
ROUNDDOWN(Y1019-INDEX(K$4:K1644,MATCH(LARGE(FILTER(I$4:I1644,I$4:I1644&lt;=W1019),1),I$4:I1644))-(W1019-L"&amp;"ARGE(FILTER(I$4:I1644,I$4:I1644&lt;=W1019),1))*INDEX(F$4:F1644,MATCH(LARGE(FILTER(I$4:I1644,I$4:I1644&lt;=W1019),1),I$4:I1644))))"),"")</f>
        <v/>
      </c>
      <c r="N1019" s="60" t="str">
        <f t="shared" si="8"/>
        <v/>
      </c>
      <c r="O1019" s="61" t="str">
        <f t="shared" si="9"/>
        <v/>
      </c>
      <c r="P1019" s="56" t="str">
        <f t="shared" si="10"/>
        <v/>
      </c>
      <c r="Q1019" s="105"/>
      <c r="R1019" s="10"/>
      <c r="S1019" s="59" t="str">
        <f t="array" ref="S1019">IF(COUNTA(Q1019:Q1644)=0,"",SUM((COUNTIF(Q$4:Q1019,Upgrades!$B$3:$B$13)-COUNTIF(Q$4:Q1019,"Sell_"&amp;Upgrades!$B$3:$B$13))*Upgrades!$D$3:$D$13))</f>
        <v/>
      </c>
      <c r="T1019" s="66" t="str">
        <f>IFERROR(__xludf.DUMMYFUNCTION("IF(COUNTA(Q1019:Q1644)=0,"""",IF(REGEXMATCH(INDEX(FILTER(Q$4:Q1019,Q$4:Q1019&lt;&gt;""""),ROWS(FILTER(Q$4:Q1019,Q$4:Q1019&lt;&gt;""""))),""^Sell_""),INDEX(FILTER(T$4:T1018,Q$4:Q1018&lt;&gt;""""),ROWS(FILTER(Q$4:Q1018,Q$4:Q1018&lt;&gt;""""))),$AD$5+S1019))"),"")</f>
        <v/>
      </c>
      <c r="U1019" s="10" t="str">
        <f>IFERROR(__xludf.DUMMYFUNCTION("IF(COUNTA(Q1019:Q1644)=0,"""",IF(Q1019="""",0,IF(REGEXMATCH(Q1019,""^Sell_""),-ROUNDDOWN(ROUNDUP(INDEX(Upgrades!$C$3:$C$13,MATCH(SUBSTITUTE(Q1019,""Sell_"",""""),Upgrades!$B$3:$B$13,0))*1.15^(COUNTIF(Q$4:Q1018,SUBSTITUTE(Q1019,""Sell_"",""""))-COUNTIF(Q$4"&amp;":Q1018,""Sell_""&amp;SUBSTITUTE(Q1019,""Sell_"",""""))))/2),ROUNDUP(INDEX(Upgrades!$C$3:$C$13,MATCH(Q1019,Upgrades!$B$3:$B$13,0))*1.15^(COUNTIF(Q$4:Q1018,Q1019)-COUNTIF(Q$4:Q1018,""Sell_""&amp;Q1019))))))"),"")</f>
        <v/>
      </c>
      <c r="V1019" s="10" t="str">
        <f t="shared" si="11"/>
        <v/>
      </c>
      <c r="W1019" s="68" t="str">
        <f t="shared" si="12"/>
        <v/>
      </c>
      <c r="X1019" s="59" t="str">
        <f t="shared" si="13"/>
        <v/>
      </c>
      <c r="Y1019" s="69" t="str">
        <f t="shared" si="14"/>
        <v/>
      </c>
      <c r="Z1019" s="11"/>
      <c r="AG1019" s="59"/>
    </row>
    <row r="1020">
      <c r="A1020" s="8"/>
      <c r="B1020" s="56" t="str">
        <f t="shared" si="2"/>
        <v/>
      </c>
      <c r="C1020" s="105"/>
      <c r="D1020" s="10"/>
      <c r="E1020" s="59" t="str">
        <f t="array" ref="E1020">IF(COUNTA(C1020:C1644)=0,"",SUM((COUNTIF(C$4:C1020,Upgrades!$B$3:$B$13)-COUNTIF(C$4:C1020,"Sell_"&amp;Upgrades!$B$3:$B$13))*Upgrades!$D$3:$D$13))</f>
        <v/>
      </c>
      <c r="F1020" s="66" t="str">
        <f>IFERROR(__xludf.DUMMYFUNCTION("IF(COUNTA(C1020:C1644)=0,"""",IF(REGEXMATCH(INDEX(FILTER(C$4:C1020,C$4:C1020&lt;&gt;""""),ROWS(FILTER(C$4:C1020,C$4:C1020&lt;&gt;""""))),""^Sell_""),INDEX(FILTER(F$4:F1019,C$4:C1019&lt;&gt;""""),ROWS(FILTER(C$4:C1019,C$4:C1019&lt;&gt;""""))),$AC$5+E1020))"),"")</f>
        <v/>
      </c>
      <c r="G1020" s="10" t="str">
        <f>IFERROR(__xludf.DUMMYFUNCTION("IF(COUNTA(C1020:C1644)=0,"""",IF(C1020="""",0,IF(REGEXMATCH(C1020,""^Sell_""),-ROUNDDOWN(ROUNDUP(INDEX(Upgrades!$C$3:$C$13,MATCH(SUBSTITUTE(C1020,""Sell_"",""""),Upgrades!$B$3:$B$13,0))*1.15^(COUNTIF(C$4:C1019,SUBSTITUTE(C1020,""Sell_"",""""))-COUNTIF(C$4"&amp;":C1019,""Sell_""&amp;SUBSTITUTE(C1020,""Sell_"",""""))))/2),ROUNDUP(INDEX(Upgrades!$C$3:$C$13,MATCH(C1020,Upgrades!$B$3:$B$13,0))*1.15^(COUNTIF(C$4:C1019,C1020)-COUNTIF(C$4:C1019,""Sell_""&amp;C1020))))))"),"")</f>
        <v/>
      </c>
      <c r="H1020" s="10" t="str">
        <f t="shared" si="3"/>
        <v/>
      </c>
      <c r="I1020" s="68" t="str">
        <f t="shared" si="4"/>
        <v/>
      </c>
      <c r="J1020" s="59" t="str">
        <f t="shared" si="5"/>
        <v/>
      </c>
      <c r="K1020" s="69" t="str">
        <f t="shared" si="6"/>
        <v/>
      </c>
      <c r="L1020" s="60" t="str">
        <f t="shared" si="7"/>
        <v/>
      </c>
      <c r="M1020" s="61" t="str">
        <f>IFERROR(__xludf.DUMMYFUNCTION("IFS(AND(COUNTA(C1020:C1644)=0,COUNTA(Q1020:Q1644)=0),"""",OR(AND(K1020&gt;=1000000000,OR(Y1020&gt;=1000000000,COUNTA(Q1020:Q1644)=0)),OR(Y1020&gt;=1000000000,AND(COUNTA(C1020:C1644)=0,P$3=TRUE))),
ROUNDDOWN((AB$1-AC$1)*MAX(INDEX(T$4:T1644,MATCH(LARGE(FILTER(Y$4:Y1"&amp;"644,Y$4:Y1644&lt;1000000000),1),Y$4:Y1644)),INDEX(F$4:F1644,MATCH(LARGE(FILTER(K$4:K1644,K$4:K1644&lt;1000000000),1),K$4:K1644)))),AND(K1020&lt;1000000000,COUNTA(C1020:C1644)&gt;0,P$3=FALSE),
ROUNDDOWN(INDEX(Y$4:Y1644,MATCH(LARGE(FILTER(W$4:W1644,W$4:W1644&lt;=I1020),1)"&amp;",W$4:W1644))+(I1020-LARGE(FILTER(W$4:W1644,W$4:W1644&lt;=I1020),1))*INDEX(T$4:T1644,MATCH(LARGE(FILTER(W$4:W1644,W$4:W1644&lt;=I1020),1),W$4:W1644))-K1020),1,
ROUNDDOWN(Y1020-INDEX(K$4:K1644,MATCH(LARGE(FILTER(I$4:I1644,I$4:I1644&lt;=W1020),1),I$4:I1644))-(W1020-L"&amp;"ARGE(FILTER(I$4:I1644,I$4:I1644&lt;=W1020),1))*INDEX(F$4:F1644,MATCH(LARGE(FILTER(I$4:I1644,I$4:I1644&lt;=W1020),1),I$4:I1644))))"),"")</f>
        <v/>
      </c>
      <c r="N1020" s="60" t="str">
        <f t="shared" si="8"/>
        <v/>
      </c>
      <c r="O1020" s="61" t="str">
        <f t="shared" si="9"/>
        <v/>
      </c>
      <c r="P1020" s="56" t="str">
        <f t="shared" si="10"/>
        <v/>
      </c>
      <c r="Q1020" s="105"/>
      <c r="R1020" s="10"/>
      <c r="S1020" s="59" t="str">
        <f t="array" ref="S1020">IF(COUNTA(Q1020:Q1644)=0,"",SUM((COUNTIF(Q$4:Q1020,Upgrades!$B$3:$B$13)-COUNTIF(Q$4:Q1020,"Sell_"&amp;Upgrades!$B$3:$B$13))*Upgrades!$D$3:$D$13))</f>
        <v/>
      </c>
      <c r="T1020" s="66" t="str">
        <f>IFERROR(__xludf.DUMMYFUNCTION("IF(COUNTA(Q1020:Q1644)=0,"""",IF(REGEXMATCH(INDEX(FILTER(Q$4:Q1020,Q$4:Q1020&lt;&gt;""""),ROWS(FILTER(Q$4:Q1020,Q$4:Q1020&lt;&gt;""""))),""^Sell_""),INDEX(FILTER(T$4:T1019,Q$4:Q1019&lt;&gt;""""),ROWS(FILTER(Q$4:Q1019,Q$4:Q1019&lt;&gt;""""))),$AD$5+S1020))"),"")</f>
        <v/>
      </c>
      <c r="U1020" s="10" t="str">
        <f>IFERROR(__xludf.DUMMYFUNCTION("IF(COUNTA(Q1020:Q1644)=0,"""",IF(Q1020="""",0,IF(REGEXMATCH(Q1020,""^Sell_""),-ROUNDDOWN(ROUNDUP(INDEX(Upgrades!$C$3:$C$13,MATCH(SUBSTITUTE(Q1020,""Sell_"",""""),Upgrades!$B$3:$B$13,0))*1.15^(COUNTIF(Q$4:Q1019,SUBSTITUTE(Q1020,""Sell_"",""""))-COUNTIF(Q$4"&amp;":Q1019,""Sell_""&amp;SUBSTITUTE(Q1020,""Sell_"",""""))))/2),ROUNDUP(INDEX(Upgrades!$C$3:$C$13,MATCH(Q1020,Upgrades!$B$3:$B$13,0))*1.15^(COUNTIF(Q$4:Q1019,Q1020)-COUNTIF(Q$4:Q1019,""Sell_""&amp;Q1020))))))"),"")</f>
        <v/>
      </c>
      <c r="V1020" s="10" t="str">
        <f t="shared" si="11"/>
        <v/>
      </c>
      <c r="W1020" s="68" t="str">
        <f t="shared" si="12"/>
        <v/>
      </c>
      <c r="X1020" s="59" t="str">
        <f t="shared" si="13"/>
        <v/>
      </c>
      <c r="Y1020" s="69" t="str">
        <f t="shared" si="14"/>
        <v/>
      </c>
      <c r="Z1020" s="11"/>
      <c r="AG1020" s="59"/>
    </row>
    <row r="1021">
      <c r="A1021" s="8"/>
      <c r="B1021" s="56" t="str">
        <f t="shared" si="2"/>
        <v/>
      </c>
      <c r="C1021" s="105"/>
      <c r="D1021" s="10"/>
      <c r="E1021" s="59" t="str">
        <f t="array" ref="E1021">IF(COUNTA(C1021:C1644)=0,"",SUM((COUNTIF(C$4:C1021,Upgrades!$B$3:$B$13)-COUNTIF(C$4:C1021,"Sell_"&amp;Upgrades!$B$3:$B$13))*Upgrades!$D$3:$D$13))</f>
        <v/>
      </c>
      <c r="F1021" s="66" t="str">
        <f>IFERROR(__xludf.DUMMYFUNCTION("IF(COUNTA(C1021:C1644)=0,"""",IF(REGEXMATCH(INDEX(FILTER(C$4:C1021,C$4:C1021&lt;&gt;""""),ROWS(FILTER(C$4:C1021,C$4:C1021&lt;&gt;""""))),""^Sell_""),INDEX(FILTER(F$4:F1020,C$4:C1020&lt;&gt;""""),ROWS(FILTER(C$4:C1020,C$4:C1020&lt;&gt;""""))),$AC$5+E1021))"),"")</f>
        <v/>
      </c>
      <c r="G1021" s="10" t="str">
        <f>IFERROR(__xludf.DUMMYFUNCTION("IF(COUNTA(C1021:C1644)=0,"""",IF(C1021="""",0,IF(REGEXMATCH(C1021,""^Sell_""),-ROUNDDOWN(ROUNDUP(INDEX(Upgrades!$C$3:$C$13,MATCH(SUBSTITUTE(C1021,""Sell_"",""""),Upgrades!$B$3:$B$13,0))*1.15^(COUNTIF(C$4:C1020,SUBSTITUTE(C1021,""Sell_"",""""))-COUNTIF(C$4"&amp;":C1020,""Sell_""&amp;SUBSTITUTE(C1021,""Sell_"",""""))))/2),ROUNDUP(INDEX(Upgrades!$C$3:$C$13,MATCH(C1021,Upgrades!$B$3:$B$13,0))*1.15^(COUNTIF(C$4:C1020,C1021)-COUNTIF(C$4:C1020,""Sell_""&amp;C1021))))))"),"")</f>
        <v/>
      </c>
      <c r="H1021" s="10" t="str">
        <f t="shared" si="3"/>
        <v/>
      </c>
      <c r="I1021" s="68" t="str">
        <f t="shared" si="4"/>
        <v/>
      </c>
      <c r="J1021" s="59" t="str">
        <f t="shared" si="5"/>
        <v/>
      </c>
      <c r="K1021" s="69" t="str">
        <f t="shared" si="6"/>
        <v/>
      </c>
      <c r="L1021" s="60" t="str">
        <f t="shared" si="7"/>
        <v/>
      </c>
      <c r="M1021" s="61" t="str">
        <f>IFERROR(__xludf.DUMMYFUNCTION("IFS(AND(COUNTA(C1021:C1644)=0,COUNTA(Q1021:Q1644)=0),"""",OR(AND(K1021&gt;=1000000000,OR(Y1021&gt;=1000000000,COUNTA(Q1021:Q1644)=0)),OR(Y1021&gt;=1000000000,AND(COUNTA(C1021:C1644)=0,P$3=TRUE))),
ROUNDDOWN((AB$1-AC$1)*MAX(INDEX(T$4:T1644,MATCH(LARGE(FILTER(Y$4:Y1"&amp;"644,Y$4:Y1644&lt;1000000000),1),Y$4:Y1644)),INDEX(F$4:F1644,MATCH(LARGE(FILTER(K$4:K1644,K$4:K1644&lt;1000000000),1),K$4:K1644)))),AND(K1021&lt;1000000000,COUNTA(C1021:C1644)&gt;0,P$3=FALSE),
ROUNDDOWN(INDEX(Y$4:Y1644,MATCH(LARGE(FILTER(W$4:W1644,W$4:W1644&lt;=I1021),1)"&amp;",W$4:W1644))+(I1021-LARGE(FILTER(W$4:W1644,W$4:W1644&lt;=I1021),1))*INDEX(T$4:T1644,MATCH(LARGE(FILTER(W$4:W1644,W$4:W1644&lt;=I1021),1),W$4:W1644))-K1021),1,
ROUNDDOWN(Y1021-INDEX(K$4:K1644,MATCH(LARGE(FILTER(I$4:I1644,I$4:I1644&lt;=W1021),1),I$4:I1644))-(W1021-L"&amp;"ARGE(FILTER(I$4:I1644,I$4:I1644&lt;=W1021),1))*INDEX(F$4:F1644,MATCH(LARGE(FILTER(I$4:I1644,I$4:I1644&lt;=W1021),1),I$4:I1644))))"),"")</f>
        <v/>
      </c>
      <c r="N1021" s="60" t="str">
        <f t="shared" si="8"/>
        <v/>
      </c>
      <c r="O1021" s="61" t="str">
        <f t="shared" si="9"/>
        <v/>
      </c>
      <c r="P1021" s="56" t="str">
        <f t="shared" si="10"/>
        <v/>
      </c>
      <c r="Q1021" s="105"/>
      <c r="R1021" s="10"/>
      <c r="S1021" s="59" t="str">
        <f t="array" ref="S1021">IF(COUNTA(Q1021:Q1644)=0,"",SUM((COUNTIF(Q$4:Q1021,Upgrades!$B$3:$B$13)-COUNTIF(Q$4:Q1021,"Sell_"&amp;Upgrades!$B$3:$B$13))*Upgrades!$D$3:$D$13))</f>
        <v/>
      </c>
      <c r="T1021" s="66" t="str">
        <f>IFERROR(__xludf.DUMMYFUNCTION("IF(COUNTA(Q1021:Q1644)=0,"""",IF(REGEXMATCH(INDEX(FILTER(Q$4:Q1021,Q$4:Q1021&lt;&gt;""""),ROWS(FILTER(Q$4:Q1021,Q$4:Q1021&lt;&gt;""""))),""^Sell_""),INDEX(FILTER(T$4:T1020,Q$4:Q1020&lt;&gt;""""),ROWS(FILTER(Q$4:Q1020,Q$4:Q1020&lt;&gt;""""))),$AD$5+S1021))"),"")</f>
        <v/>
      </c>
      <c r="U1021" s="10" t="str">
        <f>IFERROR(__xludf.DUMMYFUNCTION("IF(COUNTA(Q1021:Q1644)=0,"""",IF(Q1021="""",0,IF(REGEXMATCH(Q1021,""^Sell_""),-ROUNDDOWN(ROUNDUP(INDEX(Upgrades!$C$3:$C$13,MATCH(SUBSTITUTE(Q1021,""Sell_"",""""),Upgrades!$B$3:$B$13,0))*1.15^(COUNTIF(Q$4:Q1020,SUBSTITUTE(Q1021,""Sell_"",""""))-COUNTIF(Q$4"&amp;":Q1020,""Sell_""&amp;SUBSTITUTE(Q1021,""Sell_"",""""))))/2),ROUNDUP(INDEX(Upgrades!$C$3:$C$13,MATCH(Q1021,Upgrades!$B$3:$B$13,0))*1.15^(COUNTIF(Q$4:Q1020,Q1021)-COUNTIF(Q$4:Q1020,""Sell_""&amp;Q1021))))))"),"")</f>
        <v/>
      </c>
      <c r="V1021" s="10" t="str">
        <f t="shared" si="11"/>
        <v/>
      </c>
      <c r="W1021" s="68" t="str">
        <f t="shared" si="12"/>
        <v/>
      </c>
      <c r="X1021" s="59" t="str">
        <f t="shared" si="13"/>
        <v/>
      </c>
      <c r="Y1021" s="69" t="str">
        <f t="shared" si="14"/>
        <v/>
      </c>
      <c r="Z1021" s="11"/>
      <c r="AG1021" s="59"/>
    </row>
    <row r="1022">
      <c r="A1022" s="8"/>
      <c r="B1022" s="56" t="str">
        <f t="shared" si="2"/>
        <v/>
      </c>
      <c r="C1022" s="105"/>
      <c r="D1022" s="10"/>
      <c r="E1022" s="59" t="str">
        <f t="array" ref="E1022">IF(COUNTA(C1022:C1644)=0,"",SUM((COUNTIF(C$4:C1022,Upgrades!$B$3:$B$13)-COUNTIF(C$4:C1022,"Sell_"&amp;Upgrades!$B$3:$B$13))*Upgrades!$D$3:$D$13))</f>
        <v/>
      </c>
      <c r="F1022" s="66" t="str">
        <f>IFERROR(__xludf.DUMMYFUNCTION("IF(COUNTA(C1022:C1644)=0,"""",IF(REGEXMATCH(INDEX(FILTER(C$4:C1022,C$4:C1022&lt;&gt;""""),ROWS(FILTER(C$4:C1022,C$4:C1022&lt;&gt;""""))),""^Sell_""),INDEX(FILTER(F$4:F1021,C$4:C1021&lt;&gt;""""),ROWS(FILTER(C$4:C1021,C$4:C1021&lt;&gt;""""))),$AC$5+E1022))"),"")</f>
        <v/>
      </c>
      <c r="G1022" s="10" t="str">
        <f>IFERROR(__xludf.DUMMYFUNCTION("IF(COUNTA(C1022:C1644)=0,"""",IF(C1022="""",0,IF(REGEXMATCH(C1022,""^Sell_""),-ROUNDDOWN(ROUNDUP(INDEX(Upgrades!$C$3:$C$13,MATCH(SUBSTITUTE(C1022,""Sell_"",""""),Upgrades!$B$3:$B$13,0))*1.15^(COUNTIF(C$4:C1021,SUBSTITUTE(C1022,""Sell_"",""""))-COUNTIF(C$4"&amp;":C1021,""Sell_""&amp;SUBSTITUTE(C1022,""Sell_"",""""))))/2),ROUNDUP(INDEX(Upgrades!$C$3:$C$13,MATCH(C1022,Upgrades!$B$3:$B$13,0))*1.15^(COUNTIF(C$4:C1021,C1022)-COUNTIF(C$4:C1021,""Sell_""&amp;C1022))))))"),"")</f>
        <v/>
      </c>
      <c r="H1022" s="10" t="str">
        <f t="shared" si="3"/>
        <v/>
      </c>
      <c r="I1022" s="68" t="str">
        <f t="shared" si="4"/>
        <v/>
      </c>
      <c r="J1022" s="59" t="str">
        <f t="shared" si="5"/>
        <v/>
      </c>
      <c r="K1022" s="69" t="str">
        <f t="shared" si="6"/>
        <v/>
      </c>
      <c r="L1022" s="60" t="str">
        <f t="shared" si="7"/>
        <v/>
      </c>
      <c r="M1022" s="61" t="str">
        <f>IFERROR(__xludf.DUMMYFUNCTION("IFS(AND(COUNTA(C1022:C1644)=0,COUNTA(Q1022:Q1644)=0),"""",OR(AND(K1022&gt;=1000000000,OR(Y1022&gt;=1000000000,COUNTA(Q1022:Q1644)=0)),OR(Y1022&gt;=1000000000,AND(COUNTA(C1022:C1644)=0,P$3=TRUE))),
ROUNDDOWN((AB$1-AC$1)*MAX(INDEX(T$4:T1644,MATCH(LARGE(FILTER(Y$4:Y1"&amp;"644,Y$4:Y1644&lt;1000000000),1),Y$4:Y1644)),INDEX(F$4:F1644,MATCH(LARGE(FILTER(K$4:K1644,K$4:K1644&lt;1000000000),1),K$4:K1644)))),AND(K1022&lt;1000000000,COUNTA(C1022:C1644)&gt;0,P$3=FALSE),
ROUNDDOWN(INDEX(Y$4:Y1644,MATCH(LARGE(FILTER(W$4:W1644,W$4:W1644&lt;=I1022),1)"&amp;",W$4:W1644))+(I1022-LARGE(FILTER(W$4:W1644,W$4:W1644&lt;=I1022),1))*INDEX(T$4:T1644,MATCH(LARGE(FILTER(W$4:W1644,W$4:W1644&lt;=I1022),1),W$4:W1644))-K1022),1,
ROUNDDOWN(Y1022-INDEX(K$4:K1644,MATCH(LARGE(FILTER(I$4:I1644,I$4:I1644&lt;=W1022),1),I$4:I1644))-(W1022-L"&amp;"ARGE(FILTER(I$4:I1644,I$4:I1644&lt;=W1022),1))*INDEX(F$4:F1644,MATCH(LARGE(FILTER(I$4:I1644,I$4:I1644&lt;=W1022),1),I$4:I1644))))"),"")</f>
        <v/>
      </c>
      <c r="N1022" s="60" t="str">
        <f t="shared" si="8"/>
        <v/>
      </c>
      <c r="O1022" s="61" t="str">
        <f t="shared" si="9"/>
        <v/>
      </c>
      <c r="P1022" s="56" t="str">
        <f t="shared" si="10"/>
        <v/>
      </c>
      <c r="Q1022" s="105"/>
      <c r="R1022" s="10"/>
      <c r="S1022" s="59" t="str">
        <f t="array" ref="S1022">IF(COUNTA(Q1022:Q1644)=0,"",SUM((COUNTIF(Q$4:Q1022,Upgrades!$B$3:$B$13)-COUNTIF(Q$4:Q1022,"Sell_"&amp;Upgrades!$B$3:$B$13))*Upgrades!$D$3:$D$13))</f>
        <v/>
      </c>
      <c r="T1022" s="66" t="str">
        <f>IFERROR(__xludf.DUMMYFUNCTION("IF(COUNTA(Q1022:Q1644)=0,"""",IF(REGEXMATCH(INDEX(FILTER(Q$4:Q1022,Q$4:Q1022&lt;&gt;""""),ROWS(FILTER(Q$4:Q1022,Q$4:Q1022&lt;&gt;""""))),""^Sell_""),INDEX(FILTER(T$4:T1021,Q$4:Q1021&lt;&gt;""""),ROWS(FILTER(Q$4:Q1021,Q$4:Q1021&lt;&gt;""""))),$AD$5+S1022))"),"")</f>
        <v/>
      </c>
      <c r="U1022" s="10" t="str">
        <f>IFERROR(__xludf.DUMMYFUNCTION("IF(COUNTA(Q1022:Q1644)=0,"""",IF(Q1022="""",0,IF(REGEXMATCH(Q1022,""^Sell_""),-ROUNDDOWN(ROUNDUP(INDEX(Upgrades!$C$3:$C$13,MATCH(SUBSTITUTE(Q1022,""Sell_"",""""),Upgrades!$B$3:$B$13,0))*1.15^(COUNTIF(Q$4:Q1021,SUBSTITUTE(Q1022,""Sell_"",""""))-COUNTIF(Q$4"&amp;":Q1021,""Sell_""&amp;SUBSTITUTE(Q1022,""Sell_"",""""))))/2),ROUNDUP(INDEX(Upgrades!$C$3:$C$13,MATCH(Q1022,Upgrades!$B$3:$B$13,0))*1.15^(COUNTIF(Q$4:Q1021,Q1022)-COUNTIF(Q$4:Q1021,""Sell_""&amp;Q1022))))))"),"")</f>
        <v/>
      </c>
      <c r="V1022" s="10" t="str">
        <f t="shared" si="11"/>
        <v/>
      </c>
      <c r="W1022" s="68" t="str">
        <f t="shared" si="12"/>
        <v/>
      </c>
      <c r="X1022" s="59" t="str">
        <f t="shared" si="13"/>
        <v/>
      </c>
      <c r="Y1022" s="69" t="str">
        <f t="shared" si="14"/>
        <v/>
      </c>
      <c r="Z1022" s="11"/>
      <c r="AG1022" s="59"/>
    </row>
    <row r="1023">
      <c r="A1023" s="8"/>
      <c r="B1023" s="56" t="str">
        <f t="shared" si="2"/>
        <v/>
      </c>
      <c r="C1023" s="105"/>
      <c r="D1023" s="10"/>
      <c r="E1023" s="59" t="str">
        <f t="array" ref="E1023">IF(COUNTA(C1023:C1644)=0,"",SUM((COUNTIF(C$4:C1023,Upgrades!$B$3:$B$13)-COUNTIF(C$4:C1023,"Sell_"&amp;Upgrades!$B$3:$B$13))*Upgrades!$D$3:$D$13))</f>
        <v/>
      </c>
      <c r="F1023" s="66" t="str">
        <f>IFERROR(__xludf.DUMMYFUNCTION("IF(COUNTA(C1023:C1644)=0,"""",IF(REGEXMATCH(INDEX(FILTER(C$4:C1023,C$4:C1023&lt;&gt;""""),ROWS(FILTER(C$4:C1023,C$4:C1023&lt;&gt;""""))),""^Sell_""),INDEX(FILTER(F$4:F1022,C$4:C1022&lt;&gt;""""),ROWS(FILTER(C$4:C1022,C$4:C1022&lt;&gt;""""))),$AC$5+E1023))"),"")</f>
        <v/>
      </c>
      <c r="G1023" s="10" t="str">
        <f>IFERROR(__xludf.DUMMYFUNCTION("IF(COUNTA(C1023:C1644)=0,"""",IF(C1023="""",0,IF(REGEXMATCH(C1023,""^Sell_""),-ROUNDDOWN(ROUNDUP(INDEX(Upgrades!$C$3:$C$13,MATCH(SUBSTITUTE(C1023,""Sell_"",""""),Upgrades!$B$3:$B$13,0))*1.15^(COUNTIF(C$4:C1022,SUBSTITUTE(C1023,""Sell_"",""""))-COUNTIF(C$4"&amp;":C1022,""Sell_""&amp;SUBSTITUTE(C1023,""Sell_"",""""))))/2),ROUNDUP(INDEX(Upgrades!$C$3:$C$13,MATCH(C1023,Upgrades!$B$3:$B$13,0))*1.15^(COUNTIF(C$4:C1022,C1023)-COUNTIF(C$4:C1022,""Sell_""&amp;C1023))))))"),"")</f>
        <v/>
      </c>
      <c r="H1023" s="10" t="str">
        <f t="shared" si="3"/>
        <v/>
      </c>
      <c r="I1023" s="68" t="str">
        <f t="shared" si="4"/>
        <v/>
      </c>
      <c r="J1023" s="59" t="str">
        <f t="shared" si="5"/>
        <v/>
      </c>
      <c r="K1023" s="69" t="str">
        <f t="shared" si="6"/>
        <v/>
      </c>
      <c r="L1023" s="60" t="str">
        <f t="shared" si="7"/>
        <v/>
      </c>
      <c r="M1023" s="61" t="str">
        <f>IFERROR(__xludf.DUMMYFUNCTION("IFS(AND(COUNTA(C1023:C1644)=0,COUNTA(Q1023:Q1644)=0),"""",OR(AND(K1023&gt;=1000000000,OR(Y1023&gt;=1000000000,COUNTA(Q1023:Q1644)=0)),OR(Y1023&gt;=1000000000,AND(COUNTA(C1023:C1644)=0,P$3=TRUE))),
ROUNDDOWN((AB$1-AC$1)*MAX(INDEX(T$4:T1644,MATCH(LARGE(FILTER(Y$4:Y1"&amp;"644,Y$4:Y1644&lt;1000000000),1),Y$4:Y1644)),INDEX(F$4:F1644,MATCH(LARGE(FILTER(K$4:K1644,K$4:K1644&lt;1000000000),1),K$4:K1644)))),AND(K1023&lt;1000000000,COUNTA(C1023:C1644)&gt;0,P$3=FALSE),
ROUNDDOWN(INDEX(Y$4:Y1644,MATCH(LARGE(FILTER(W$4:W1644,W$4:W1644&lt;=I1023),1)"&amp;",W$4:W1644))+(I1023-LARGE(FILTER(W$4:W1644,W$4:W1644&lt;=I1023),1))*INDEX(T$4:T1644,MATCH(LARGE(FILTER(W$4:W1644,W$4:W1644&lt;=I1023),1),W$4:W1644))-K1023),1,
ROUNDDOWN(Y1023-INDEX(K$4:K1644,MATCH(LARGE(FILTER(I$4:I1644,I$4:I1644&lt;=W1023),1),I$4:I1644))-(W1023-L"&amp;"ARGE(FILTER(I$4:I1644,I$4:I1644&lt;=W1023),1))*INDEX(F$4:F1644,MATCH(LARGE(FILTER(I$4:I1644,I$4:I1644&lt;=W1023),1),I$4:I1644))))"),"")</f>
        <v/>
      </c>
      <c r="N1023" s="60" t="str">
        <f t="shared" si="8"/>
        <v/>
      </c>
      <c r="O1023" s="61" t="str">
        <f t="shared" si="9"/>
        <v/>
      </c>
      <c r="P1023" s="56" t="str">
        <f t="shared" si="10"/>
        <v/>
      </c>
      <c r="Q1023" s="105"/>
      <c r="R1023" s="10"/>
      <c r="S1023" s="59" t="str">
        <f t="array" ref="S1023">IF(COUNTA(Q1023:Q1644)=0,"",SUM((COUNTIF(Q$4:Q1023,Upgrades!$B$3:$B$13)-COUNTIF(Q$4:Q1023,"Sell_"&amp;Upgrades!$B$3:$B$13))*Upgrades!$D$3:$D$13))</f>
        <v/>
      </c>
      <c r="T1023" s="66" t="str">
        <f>IFERROR(__xludf.DUMMYFUNCTION("IF(COUNTA(Q1023:Q1644)=0,"""",IF(REGEXMATCH(INDEX(FILTER(Q$4:Q1023,Q$4:Q1023&lt;&gt;""""),ROWS(FILTER(Q$4:Q1023,Q$4:Q1023&lt;&gt;""""))),""^Sell_""),INDEX(FILTER(T$4:T1022,Q$4:Q1022&lt;&gt;""""),ROWS(FILTER(Q$4:Q1022,Q$4:Q1022&lt;&gt;""""))),$AD$5+S1023))"),"")</f>
        <v/>
      </c>
      <c r="U1023" s="10" t="str">
        <f>IFERROR(__xludf.DUMMYFUNCTION("IF(COUNTA(Q1023:Q1644)=0,"""",IF(Q1023="""",0,IF(REGEXMATCH(Q1023,""^Sell_""),-ROUNDDOWN(ROUNDUP(INDEX(Upgrades!$C$3:$C$13,MATCH(SUBSTITUTE(Q1023,""Sell_"",""""),Upgrades!$B$3:$B$13,0))*1.15^(COUNTIF(Q$4:Q1022,SUBSTITUTE(Q1023,""Sell_"",""""))-COUNTIF(Q$4"&amp;":Q1022,""Sell_""&amp;SUBSTITUTE(Q1023,""Sell_"",""""))))/2),ROUNDUP(INDEX(Upgrades!$C$3:$C$13,MATCH(Q1023,Upgrades!$B$3:$B$13,0))*1.15^(COUNTIF(Q$4:Q1022,Q1023)-COUNTIF(Q$4:Q1022,""Sell_""&amp;Q1023))))))"),"")</f>
        <v/>
      </c>
      <c r="V1023" s="10" t="str">
        <f t="shared" si="11"/>
        <v/>
      </c>
      <c r="W1023" s="68" t="str">
        <f t="shared" si="12"/>
        <v/>
      </c>
      <c r="X1023" s="59" t="str">
        <f t="shared" si="13"/>
        <v/>
      </c>
      <c r="Y1023" s="69" t="str">
        <f t="shared" si="14"/>
        <v/>
      </c>
      <c r="Z1023" s="11"/>
      <c r="AG1023" s="59"/>
    </row>
    <row r="1024">
      <c r="A1024" s="8"/>
      <c r="B1024" s="56" t="str">
        <f t="shared" si="2"/>
        <v/>
      </c>
      <c r="C1024" s="105"/>
      <c r="D1024" s="10"/>
      <c r="E1024" s="59" t="str">
        <f t="array" ref="E1024">IF(COUNTA(C1024:C1644)=0,"",SUM((COUNTIF(C$4:C1024,Upgrades!$B$3:$B$13)-COUNTIF(C$4:C1024,"Sell_"&amp;Upgrades!$B$3:$B$13))*Upgrades!$D$3:$D$13))</f>
        <v/>
      </c>
      <c r="F1024" s="66" t="str">
        <f>IFERROR(__xludf.DUMMYFUNCTION("IF(COUNTA(C1024:C1644)=0,"""",IF(REGEXMATCH(INDEX(FILTER(C$4:C1024,C$4:C1024&lt;&gt;""""),ROWS(FILTER(C$4:C1024,C$4:C1024&lt;&gt;""""))),""^Sell_""),INDEX(FILTER(F$4:F1023,C$4:C1023&lt;&gt;""""),ROWS(FILTER(C$4:C1023,C$4:C1023&lt;&gt;""""))),$AC$5+E1024))"),"")</f>
        <v/>
      </c>
      <c r="G1024" s="10" t="str">
        <f>IFERROR(__xludf.DUMMYFUNCTION("IF(COUNTA(C1024:C1644)=0,"""",IF(C1024="""",0,IF(REGEXMATCH(C1024,""^Sell_""),-ROUNDDOWN(ROUNDUP(INDEX(Upgrades!$C$3:$C$13,MATCH(SUBSTITUTE(C1024,""Sell_"",""""),Upgrades!$B$3:$B$13,0))*1.15^(COUNTIF(C$4:C1023,SUBSTITUTE(C1024,""Sell_"",""""))-COUNTIF(C$4"&amp;":C1023,""Sell_""&amp;SUBSTITUTE(C1024,""Sell_"",""""))))/2),ROUNDUP(INDEX(Upgrades!$C$3:$C$13,MATCH(C1024,Upgrades!$B$3:$B$13,0))*1.15^(COUNTIF(C$4:C1023,C1024)-COUNTIF(C$4:C1023,""Sell_""&amp;C1024))))))"),"")</f>
        <v/>
      </c>
      <c r="H1024" s="10" t="str">
        <f t="shared" si="3"/>
        <v/>
      </c>
      <c r="I1024" s="68" t="str">
        <f t="shared" si="4"/>
        <v/>
      </c>
      <c r="J1024" s="59" t="str">
        <f t="shared" si="5"/>
        <v/>
      </c>
      <c r="K1024" s="69" t="str">
        <f t="shared" si="6"/>
        <v/>
      </c>
      <c r="L1024" s="60" t="str">
        <f t="shared" si="7"/>
        <v/>
      </c>
      <c r="M1024" s="61" t="str">
        <f>IFERROR(__xludf.DUMMYFUNCTION("IFS(AND(COUNTA(C1024:C1644)=0,COUNTA(Q1024:Q1644)=0),"""",OR(AND(K1024&gt;=1000000000,OR(Y1024&gt;=1000000000,COUNTA(Q1024:Q1644)=0)),OR(Y1024&gt;=1000000000,AND(COUNTA(C1024:C1644)=0,P$3=TRUE))),
ROUNDDOWN((AB$1-AC$1)*MAX(INDEX(T$4:T1644,MATCH(LARGE(FILTER(Y$4:Y1"&amp;"644,Y$4:Y1644&lt;1000000000),1),Y$4:Y1644)),INDEX(F$4:F1644,MATCH(LARGE(FILTER(K$4:K1644,K$4:K1644&lt;1000000000),1),K$4:K1644)))),AND(K1024&lt;1000000000,COUNTA(C1024:C1644)&gt;0,P$3=FALSE),
ROUNDDOWN(INDEX(Y$4:Y1644,MATCH(LARGE(FILTER(W$4:W1644,W$4:W1644&lt;=I1024),1)"&amp;",W$4:W1644))+(I1024-LARGE(FILTER(W$4:W1644,W$4:W1644&lt;=I1024),1))*INDEX(T$4:T1644,MATCH(LARGE(FILTER(W$4:W1644,W$4:W1644&lt;=I1024),1),W$4:W1644))-K1024),1,
ROUNDDOWN(Y1024-INDEX(K$4:K1644,MATCH(LARGE(FILTER(I$4:I1644,I$4:I1644&lt;=W1024),1),I$4:I1644))-(W1024-L"&amp;"ARGE(FILTER(I$4:I1644,I$4:I1644&lt;=W1024),1))*INDEX(F$4:F1644,MATCH(LARGE(FILTER(I$4:I1644,I$4:I1644&lt;=W1024),1),I$4:I1644))))"),"")</f>
        <v/>
      </c>
      <c r="N1024" s="60" t="str">
        <f t="shared" si="8"/>
        <v/>
      </c>
      <c r="O1024" s="61" t="str">
        <f t="shared" si="9"/>
        <v/>
      </c>
      <c r="P1024" s="56" t="str">
        <f t="shared" si="10"/>
        <v/>
      </c>
      <c r="Q1024" s="105"/>
      <c r="R1024" s="10"/>
      <c r="S1024" s="59" t="str">
        <f t="array" ref="S1024">IF(COUNTA(Q1024:Q1644)=0,"",SUM((COUNTIF(Q$4:Q1024,Upgrades!$B$3:$B$13)-COUNTIF(Q$4:Q1024,"Sell_"&amp;Upgrades!$B$3:$B$13))*Upgrades!$D$3:$D$13))</f>
        <v/>
      </c>
      <c r="T1024" s="66" t="str">
        <f>IFERROR(__xludf.DUMMYFUNCTION("IF(COUNTA(Q1024:Q1644)=0,"""",IF(REGEXMATCH(INDEX(FILTER(Q$4:Q1024,Q$4:Q1024&lt;&gt;""""),ROWS(FILTER(Q$4:Q1024,Q$4:Q1024&lt;&gt;""""))),""^Sell_""),INDEX(FILTER(T$4:T1023,Q$4:Q1023&lt;&gt;""""),ROWS(FILTER(Q$4:Q1023,Q$4:Q1023&lt;&gt;""""))),$AD$5+S1024))"),"")</f>
        <v/>
      </c>
      <c r="U1024" s="10" t="str">
        <f>IFERROR(__xludf.DUMMYFUNCTION("IF(COUNTA(Q1024:Q1644)=0,"""",IF(Q1024="""",0,IF(REGEXMATCH(Q1024,""^Sell_""),-ROUNDDOWN(ROUNDUP(INDEX(Upgrades!$C$3:$C$13,MATCH(SUBSTITUTE(Q1024,""Sell_"",""""),Upgrades!$B$3:$B$13,0))*1.15^(COUNTIF(Q$4:Q1023,SUBSTITUTE(Q1024,""Sell_"",""""))-COUNTIF(Q$4"&amp;":Q1023,""Sell_""&amp;SUBSTITUTE(Q1024,""Sell_"",""""))))/2),ROUNDUP(INDEX(Upgrades!$C$3:$C$13,MATCH(Q1024,Upgrades!$B$3:$B$13,0))*1.15^(COUNTIF(Q$4:Q1023,Q1024)-COUNTIF(Q$4:Q1023,""Sell_""&amp;Q1024))))))"),"")</f>
        <v/>
      </c>
      <c r="V1024" s="10" t="str">
        <f t="shared" si="11"/>
        <v/>
      </c>
      <c r="W1024" s="68" t="str">
        <f t="shared" si="12"/>
        <v/>
      </c>
      <c r="X1024" s="59" t="str">
        <f t="shared" si="13"/>
        <v/>
      </c>
      <c r="Y1024" s="69" t="str">
        <f t="shared" si="14"/>
        <v/>
      </c>
      <c r="Z1024" s="11"/>
      <c r="AG1024" s="59"/>
    </row>
    <row r="1025">
      <c r="A1025" s="8"/>
      <c r="B1025" s="56" t="str">
        <f t="shared" si="2"/>
        <v/>
      </c>
      <c r="C1025" s="105"/>
      <c r="D1025" s="10"/>
      <c r="E1025" s="59" t="str">
        <f t="array" ref="E1025">IF(COUNTA(C1025:C1644)=0,"",SUM((COUNTIF(C$4:C1025,Upgrades!$B$3:$B$13)-COUNTIF(C$4:C1025,"Sell_"&amp;Upgrades!$B$3:$B$13))*Upgrades!$D$3:$D$13))</f>
        <v/>
      </c>
      <c r="F1025" s="66" t="str">
        <f>IFERROR(__xludf.DUMMYFUNCTION("IF(COUNTA(C1025:C1644)=0,"""",IF(REGEXMATCH(INDEX(FILTER(C$4:C1025,C$4:C1025&lt;&gt;""""),ROWS(FILTER(C$4:C1025,C$4:C1025&lt;&gt;""""))),""^Sell_""),INDEX(FILTER(F$4:F1024,C$4:C1024&lt;&gt;""""),ROWS(FILTER(C$4:C1024,C$4:C1024&lt;&gt;""""))),$AC$5+E1025))"),"")</f>
        <v/>
      </c>
      <c r="G1025" s="10" t="str">
        <f>IFERROR(__xludf.DUMMYFUNCTION("IF(COUNTA(C1025:C1644)=0,"""",IF(C1025="""",0,IF(REGEXMATCH(C1025,""^Sell_""),-ROUNDDOWN(ROUNDUP(INDEX(Upgrades!$C$3:$C$13,MATCH(SUBSTITUTE(C1025,""Sell_"",""""),Upgrades!$B$3:$B$13,0))*1.15^(COUNTIF(C$4:C1024,SUBSTITUTE(C1025,""Sell_"",""""))-COUNTIF(C$4"&amp;":C1024,""Sell_""&amp;SUBSTITUTE(C1025,""Sell_"",""""))))/2),ROUNDUP(INDEX(Upgrades!$C$3:$C$13,MATCH(C1025,Upgrades!$B$3:$B$13,0))*1.15^(COUNTIF(C$4:C1024,C1025)-COUNTIF(C$4:C1024,""Sell_""&amp;C1025))))))"),"")</f>
        <v/>
      </c>
      <c r="H1025" s="10" t="str">
        <f t="shared" si="3"/>
        <v/>
      </c>
      <c r="I1025" s="68" t="str">
        <f t="shared" si="4"/>
        <v/>
      </c>
      <c r="J1025" s="59" t="str">
        <f t="shared" si="5"/>
        <v/>
      </c>
      <c r="K1025" s="69" t="str">
        <f t="shared" si="6"/>
        <v/>
      </c>
      <c r="L1025" s="60" t="str">
        <f t="shared" si="7"/>
        <v/>
      </c>
      <c r="M1025" s="61" t="str">
        <f>IFERROR(__xludf.DUMMYFUNCTION("IFS(AND(COUNTA(C1025:C1644)=0,COUNTA(Q1025:Q1644)=0),"""",OR(AND(K1025&gt;=1000000000,OR(Y1025&gt;=1000000000,COUNTA(Q1025:Q1644)=0)),OR(Y1025&gt;=1000000000,AND(COUNTA(C1025:C1644)=0,P$3=TRUE))),
ROUNDDOWN((AB$1-AC$1)*MAX(INDEX(T$4:T1644,MATCH(LARGE(FILTER(Y$4:Y1"&amp;"644,Y$4:Y1644&lt;1000000000),1),Y$4:Y1644)),INDEX(F$4:F1644,MATCH(LARGE(FILTER(K$4:K1644,K$4:K1644&lt;1000000000),1),K$4:K1644)))),AND(K1025&lt;1000000000,COUNTA(C1025:C1644)&gt;0,P$3=FALSE),
ROUNDDOWN(INDEX(Y$4:Y1644,MATCH(LARGE(FILTER(W$4:W1644,W$4:W1644&lt;=I1025),1)"&amp;",W$4:W1644))+(I1025-LARGE(FILTER(W$4:W1644,W$4:W1644&lt;=I1025),1))*INDEX(T$4:T1644,MATCH(LARGE(FILTER(W$4:W1644,W$4:W1644&lt;=I1025),1),W$4:W1644))-K1025),1,
ROUNDDOWN(Y1025-INDEX(K$4:K1644,MATCH(LARGE(FILTER(I$4:I1644,I$4:I1644&lt;=W1025),1),I$4:I1644))-(W1025-L"&amp;"ARGE(FILTER(I$4:I1644,I$4:I1644&lt;=W1025),1))*INDEX(F$4:F1644,MATCH(LARGE(FILTER(I$4:I1644,I$4:I1644&lt;=W1025),1),I$4:I1644))))"),"")</f>
        <v/>
      </c>
      <c r="N1025" s="60" t="str">
        <f t="shared" si="8"/>
        <v/>
      </c>
      <c r="O1025" s="61" t="str">
        <f t="shared" si="9"/>
        <v/>
      </c>
      <c r="P1025" s="56" t="str">
        <f t="shared" si="10"/>
        <v/>
      </c>
      <c r="Q1025" s="105"/>
      <c r="R1025" s="10"/>
      <c r="S1025" s="59" t="str">
        <f t="array" ref="S1025">IF(COUNTA(Q1025:Q1644)=0,"",SUM((COUNTIF(Q$4:Q1025,Upgrades!$B$3:$B$13)-COUNTIF(Q$4:Q1025,"Sell_"&amp;Upgrades!$B$3:$B$13))*Upgrades!$D$3:$D$13))</f>
        <v/>
      </c>
      <c r="T1025" s="66" t="str">
        <f>IFERROR(__xludf.DUMMYFUNCTION("IF(COUNTA(Q1025:Q1644)=0,"""",IF(REGEXMATCH(INDEX(FILTER(Q$4:Q1025,Q$4:Q1025&lt;&gt;""""),ROWS(FILTER(Q$4:Q1025,Q$4:Q1025&lt;&gt;""""))),""^Sell_""),INDEX(FILTER(T$4:T1024,Q$4:Q1024&lt;&gt;""""),ROWS(FILTER(Q$4:Q1024,Q$4:Q1024&lt;&gt;""""))),$AD$5+S1025))"),"")</f>
        <v/>
      </c>
      <c r="U1025" s="10" t="str">
        <f>IFERROR(__xludf.DUMMYFUNCTION("IF(COUNTA(Q1025:Q1644)=0,"""",IF(Q1025="""",0,IF(REGEXMATCH(Q1025,""^Sell_""),-ROUNDDOWN(ROUNDUP(INDEX(Upgrades!$C$3:$C$13,MATCH(SUBSTITUTE(Q1025,""Sell_"",""""),Upgrades!$B$3:$B$13,0))*1.15^(COUNTIF(Q$4:Q1024,SUBSTITUTE(Q1025,""Sell_"",""""))-COUNTIF(Q$4"&amp;":Q1024,""Sell_""&amp;SUBSTITUTE(Q1025,""Sell_"",""""))))/2),ROUNDUP(INDEX(Upgrades!$C$3:$C$13,MATCH(Q1025,Upgrades!$B$3:$B$13,0))*1.15^(COUNTIF(Q$4:Q1024,Q1025)-COUNTIF(Q$4:Q1024,""Sell_""&amp;Q1025))))))"),"")</f>
        <v/>
      </c>
      <c r="V1025" s="10" t="str">
        <f t="shared" si="11"/>
        <v/>
      </c>
      <c r="W1025" s="68" t="str">
        <f t="shared" si="12"/>
        <v/>
      </c>
      <c r="X1025" s="59" t="str">
        <f t="shared" si="13"/>
        <v/>
      </c>
      <c r="Y1025" s="69" t="str">
        <f t="shared" si="14"/>
        <v/>
      </c>
      <c r="Z1025" s="11"/>
      <c r="AG1025" s="59"/>
    </row>
    <row r="1026">
      <c r="A1026" s="8"/>
      <c r="B1026" s="56" t="str">
        <f t="shared" si="2"/>
        <v/>
      </c>
      <c r="C1026" s="105"/>
      <c r="D1026" s="10"/>
      <c r="E1026" s="59" t="str">
        <f t="array" ref="E1026">IF(COUNTA(C1026:C1644)=0,"",SUM((COUNTIF(C$4:C1026,Upgrades!$B$3:$B$13)-COUNTIF(C$4:C1026,"Sell_"&amp;Upgrades!$B$3:$B$13))*Upgrades!$D$3:$D$13))</f>
        <v/>
      </c>
      <c r="F1026" s="66" t="str">
        <f>IFERROR(__xludf.DUMMYFUNCTION("IF(COUNTA(C1026:C1644)=0,"""",IF(REGEXMATCH(INDEX(FILTER(C$4:C1026,C$4:C1026&lt;&gt;""""),ROWS(FILTER(C$4:C1026,C$4:C1026&lt;&gt;""""))),""^Sell_""),INDEX(FILTER(F$4:F1025,C$4:C1025&lt;&gt;""""),ROWS(FILTER(C$4:C1025,C$4:C1025&lt;&gt;""""))),$AC$5+E1026))"),"")</f>
        <v/>
      </c>
      <c r="G1026" s="10" t="str">
        <f>IFERROR(__xludf.DUMMYFUNCTION("IF(COUNTA(C1026:C1644)=0,"""",IF(C1026="""",0,IF(REGEXMATCH(C1026,""^Sell_""),-ROUNDDOWN(ROUNDUP(INDEX(Upgrades!$C$3:$C$13,MATCH(SUBSTITUTE(C1026,""Sell_"",""""),Upgrades!$B$3:$B$13,0))*1.15^(COUNTIF(C$4:C1025,SUBSTITUTE(C1026,""Sell_"",""""))-COUNTIF(C$4"&amp;":C1025,""Sell_""&amp;SUBSTITUTE(C1026,""Sell_"",""""))))/2),ROUNDUP(INDEX(Upgrades!$C$3:$C$13,MATCH(C1026,Upgrades!$B$3:$B$13,0))*1.15^(COUNTIF(C$4:C1025,C1026)-COUNTIF(C$4:C1025,""Sell_""&amp;C1026))))))"),"")</f>
        <v/>
      </c>
      <c r="H1026" s="10" t="str">
        <f t="shared" si="3"/>
        <v/>
      </c>
      <c r="I1026" s="68" t="str">
        <f t="shared" si="4"/>
        <v/>
      </c>
      <c r="J1026" s="59" t="str">
        <f t="shared" si="5"/>
        <v/>
      </c>
      <c r="K1026" s="69" t="str">
        <f t="shared" si="6"/>
        <v/>
      </c>
      <c r="L1026" s="60" t="str">
        <f t="shared" si="7"/>
        <v/>
      </c>
      <c r="M1026" s="61" t="str">
        <f>IFERROR(__xludf.DUMMYFUNCTION("IFS(AND(COUNTA(C1026:C1644)=0,COUNTA(Q1026:Q1644)=0),"""",OR(AND(K1026&gt;=1000000000,OR(Y1026&gt;=1000000000,COUNTA(Q1026:Q1644)=0)),OR(Y1026&gt;=1000000000,AND(COUNTA(C1026:C1644)=0,P$3=TRUE))),
ROUNDDOWN((AB$1-AC$1)*MAX(INDEX(T$4:T1644,MATCH(LARGE(FILTER(Y$4:Y1"&amp;"644,Y$4:Y1644&lt;1000000000),1),Y$4:Y1644)),INDEX(F$4:F1644,MATCH(LARGE(FILTER(K$4:K1644,K$4:K1644&lt;1000000000),1),K$4:K1644)))),AND(K1026&lt;1000000000,COUNTA(C1026:C1644)&gt;0,P$3=FALSE),
ROUNDDOWN(INDEX(Y$4:Y1644,MATCH(LARGE(FILTER(W$4:W1644,W$4:W1644&lt;=I1026),1)"&amp;",W$4:W1644))+(I1026-LARGE(FILTER(W$4:W1644,W$4:W1644&lt;=I1026),1))*INDEX(T$4:T1644,MATCH(LARGE(FILTER(W$4:W1644,W$4:W1644&lt;=I1026),1),W$4:W1644))-K1026),1,
ROUNDDOWN(Y1026-INDEX(K$4:K1644,MATCH(LARGE(FILTER(I$4:I1644,I$4:I1644&lt;=W1026),1),I$4:I1644))-(W1026-L"&amp;"ARGE(FILTER(I$4:I1644,I$4:I1644&lt;=W1026),1))*INDEX(F$4:F1644,MATCH(LARGE(FILTER(I$4:I1644,I$4:I1644&lt;=W1026),1),I$4:I1644))))"),"")</f>
        <v/>
      </c>
      <c r="N1026" s="60" t="str">
        <f t="shared" si="8"/>
        <v/>
      </c>
      <c r="O1026" s="61" t="str">
        <f t="shared" si="9"/>
        <v/>
      </c>
      <c r="P1026" s="56" t="str">
        <f t="shared" si="10"/>
        <v/>
      </c>
      <c r="Q1026" s="105"/>
      <c r="R1026" s="10"/>
      <c r="S1026" s="59" t="str">
        <f t="array" ref="S1026">IF(COUNTA(Q1026:Q1644)=0,"",SUM((COUNTIF(Q$4:Q1026,Upgrades!$B$3:$B$13)-COUNTIF(Q$4:Q1026,"Sell_"&amp;Upgrades!$B$3:$B$13))*Upgrades!$D$3:$D$13))</f>
        <v/>
      </c>
      <c r="T1026" s="66" t="str">
        <f>IFERROR(__xludf.DUMMYFUNCTION("IF(COUNTA(Q1026:Q1644)=0,"""",IF(REGEXMATCH(INDEX(FILTER(Q$4:Q1026,Q$4:Q1026&lt;&gt;""""),ROWS(FILTER(Q$4:Q1026,Q$4:Q1026&lt;&gt;""""))),""^Sell_""),INDEX(FILTER(T$4:T1025,Q$4:Q1025&lt;&gt;""""),ROWS(FILTER(Q$4:Q1025,Q$4:Q1025&lt;&gt;""""))),$AD$5+S1026))"),"")</f>
        <v/>
      </c>
      <c r="U1026" s="10" t="str">
        <f>IFERROR(__xludf.DUMMYFUNCTION("IF(COUNTA(Q1026:Q1644)=0,"""",IF(Q1026="""",0,IF(REGEXMATCH(Q1026,""^Sell_""),-ROUNDDOWN(ROUNDUP(INDEX(Upgrades!$C$3:$C$13,MATCH(SUBSTITUTE(Q1026,""Sell_"",""""),Upgrades!$B$3:$B$13,0))*1.15^(COUNTIF(Q$4:Q1025,SUBSTITUTE(Q1026,""Sell_"",""""))-COUNTIF(Q$4"&amp;":Q1025,""Sell_""&amp;SUBSTITUTE(Q1026,""Sell_"",""""))))/2),ROUNDUP(INDEX(Upgrades!$C$3:$C$13,MATCH(Q1026,Upgrades!$B$3:$B$13,0))*1.15^(COUNTIF(Q$4:Q1025,Q1026)-COUNTIF(Q$4:Q1025,""Sell_""&amp;Q1026))))))"),"")</f>
        <v/>
      </c>
      <c r="V1026" s="10" t="str">
        <f t="shared" si="11"/>
        <v/>
      </c>
      <c r="W1026" s="68" t="str">
        <f t="shared" si="12"/>
        <v/>
      </c>
      <c r="X1026" s="59" t="str">
        <f t="shared" si="13"/>
        <v/>
      </c>
      <c r="Y1026" s="69" t="str">
        <f t="shared" si="14"/>
        <v/>
      </c>
      <c r="Z1026" s="11"/>
      <c r="AG1026" s="59"/>
    </row>
    <row r="1027">
      <c r="A1027" s="8"/>
      <c r="B1027" s="56" t="str">
        <f t="shared" si="2"/>
        <v/>
      </c>
      <c r="C1027" s="105"/>
      <c r="D1027" s="10"/>
      <c r="E1027" s="59" t="str">
        <f t="array" ref="E1027">IF(COUNTA(C1027:C1644)=0,"",SUM((COUNTIF(C$4:C1027,Upgrades!$B$3:$B$13)-COUNTIF(C$4:C1027,"Sell_"&amp;Upgrades!$B$3:$B$13))*Upgrades!$D$3:$D$13))</f>
        <v/>
      </c>
      <c r="F1027" s="66" t="str">
        <f>IFERROR(__xludf.DUMMYFUNCTION("IF(COUNTA(C1027:C1644)=0,"""",IF(REGEXMATCH(INDEX(FILTER(C$4:C1027,C$4:C1027&lt;&gt;""""),ROWS(FILTER(C$4:C1027,C$4:C1027&lt;&gt;""""))),""^Sell_""),INDEX(FILTER(F$4:F1026,C$4:C1026&lt;&gt;""""),ROWS(FILTER(C$4:C1026,C$4:C1026&lt;&gt;""""))),$AC$5+E1027))"),"")</f>
        <v/>
      </c>
      <c r="G1027" s="10" t="str">
        <f>IFERROR(__xludf.DUMMYFUNCTION("IF(COUNTA(C1027:C1644)=0,"""",IF(C1027="""",0,IF(REGEXMATCH(C1027,""^Sell_""),-ROUNDDOWN(ROUNDUP(INDEX(Upgrades!$C$3:$C$13,MATCH(SUBSTITUTE(C1027,""Sell_"",""""),Upgrades!$B$3:$B$13,0))*1.15^(COUNTIF(C$4:C1026,SUBSTITUTE(C1027,""Sell_"",""""))-COUNTIF(C$4"&amp;":C1026,""Sell_""&amp;SUBSTITUTE(C1027,""Sell_"",""""))))/2),ROUNDUP(INDEX(Upgrades!$C$3:$C$13,MATCH(C1027,Upgrades!$B$3:$B$13,0))*1.15^(COUNTIF(C$4:C1026,C1027)-COUNTIF(C$4:C1026,""Sell_""&amp;C1027))))))"),"")</f>
        <v/>
      </c>
      <c r="H1027" s="10" t="str">
        <f t="shared" si="3"/>
        <v/>
      </c>
      <c r="I1027" s="68" t="str">
        <f t="shared" si="4"/>
        <v/>
      </c>
      <c r="J1027" s="59" t="str">
        <f t="shared" si="5"/>
        <v/>
      </c>
      <c r="K1027" s="69" t="str">
        <f t="shared" si="6"/>
        <v/>
      </c>
      <c r="L1027" s="60" t="str">
        <f t="shared" si="7"/>
        <v/>
      </c>
      <c r="M1027" s="61" t="str">
        <f>IFERROR(__xludf.DUMMYFUNCTION("IFS(AND(COUNTA(C1027:C1644)=0,COUNTA(Q1027:Q1644)=0),"""",OR(AND(K1027&gt;=1000000000,OR(Y1027&gt;=1000000000,COUNTA(Q1027:Q1644)=0)),OR(Y1027&gt;=1000000000,AND(COUNTA(C1027:C1644)=0,P$3=TRUE))),
ROUNDDOWN((AB$1-AC$1)*MAX(INDEX(T$4:T1644,MATCH(LARGE(FILTER(Y$4:Y1"&amp;"644,Y$4:Y1644&lt;1000000000),1),Y$4:Y1644)),INDEX(F$4:F1644,MATCH(LARGE(FILTER(K$4:K1644,K$4:K1644&lt;1000000000),1),K$4:K1644)))),AND(K1027&lt;1000000000,COUNTA(C1027:C1644)&gt;0,P$3=FALSE),
ROUNDDOWN(INDEX(Y$4:Y1644,MATCH(LARGE(FILTER(W$4:W1644,W$4:W1644&lt;=I1027),1)"&amp;",W$4:W1644))+(I1027-LARGE(FILTER(W$4:W1644,W$4:W1644&lt;=I1027),1))*INDEX(T$4:T1644,MATCH(LARGE(FILTER(W$4:W1644,W$4:W1644&lt;=I1027),1),W$4:W1644))-K1027),1,
ROUNDDOWN(Y1027-INDEX(K$4:K1644,MATCH(LARGE(FILTER(I$4:I1644,I$4:I1644&lt;=W1027),1),I$4:I1644))-(W1027-L"&amp;"ARGE(FILTER(I$4:I1644,I$4:I1644&lt;=W1027),1))*INDEX(F$4:F1644,MATCH(LARGE(FILTER(I$4:I1644,I$4:I1644&lt;=W1027),1),I$4:I1644))))"),"")</f>
        <v/>
      </c>
      <c r="N1027" s="60" t="str">
        <f t="shared" si="8"/>
        <v/>
      </c>
      <c r="O1027" s="61" t="str">
        <f t="shared" si="9"/>
        <v/>
      </c>
      <c r="P1027" s="56" t="str">
        <f t="shared" si="10"/>
        <v/>
      </c>
      <c r="Q1027" s="105"/>
      <c r="R1027" s="10"/>
      <c r="S1027" s="59" t="str">
        <f t="array" ref="S1027">IF(COUNTA(Q1027:Q1644)=0,"",SUM((COUNTIF(Q$4:Q1027,Upgrades!$B$3:$B$13)-COUNTIF(Q$4:Q1027,"Sell_"&amp;Upgrades!$B$3:$B$13))*Upgrades!$D$3:$D$13))</f>
        <v/>
      </c>
      <c r="T1027" s="66" t="str">
        <f>IFERROR(__xludf.DUMMYFUNCTION("IF(COUNTA(Q1027:Q1644)=0,"""",IF(REGEXMATCH(INDEX(FILTER(Q$4:Q1027,Q$4:Q1027&lt;&gt;""""),ROWS(FILTER(Q$4:Q1027,Q$4:Q1027&lt;&gt;""""))),""^Sell_""),INDEX(FILTER(T$4:T1026,Q$4:Q1026&lt;&gt;""""),ROWS(FILTER(Q$4:Q1026,Q$4:Q1026&lt;&gt;""""))),$AD$5+S1027))"),"")</f>
        <v/>
      </c>
      <c r="U1027" s="10" t="str">
        <f>IFERROR(__xludf.DUMMYFUNCTION("IF(COUNTA(Q1027:Q1644)=0,"""",IF(Q1027="""",0,IF(REGEXMATCH(Q1027,""^Sell_""),-ROUNDDOWN(ROUNDUP(INDEX(Upgrades!$C$3:$C$13,MATCH(SUBSTITUTE(Q1027,""Sell_"",""""),Upgrades!$B$3:$B$13,0))*1.15^(COUNTIF(Q$4:Q1026,SUBSTITUTE(Q1027,""Sell_"",""""))-COUNTIF(Q$4"&amp;":Q1026,""Sell_""&amp;SUBSTITUTE(Q1027,""Sell_"",""""))))/2),ROUNDUP(INDEX(Upgrades!$C$3:$C$13,MATCH(Q1027,Upgrades!$B$3:$B$13,0))*1.15^(COUNTIF(Q$4:Q1026,Q1027)-COUNTIF(Q$4:Q1026,""Sell_""&amp;Q1027))))))"),"")</f>
        <v/>
      </c>
      <c r="V1027" s="10" t="str">
        <f t="shared" si="11"/>
        <v/>
      </c>
      <c r="W1027" s="68" t="str">
        <f t="shared" si="12"/>
        <v/>
      </c>
      <c r="X1027" s="59" t="str">
        <f t="shared" si="13"/>
        <v/>
      </c>
      <c r="Y1027" s="69" t="str">
        <f t="shared" si="14"/>
        <v/>
      </c>
      <c r="Z1027" s="11"/>
      <c r="AG1027" s="59"/>
    </row>
    <row r="1028">
      <c r="A1028" s="8"/>
      <c r="B1028" s="56" t="str">
        <f t="shared" si="2"/>
        <v/>
      </c>
      <c r="C1028" s="105"/>
      <c r="D1028" s="10"/>
      <c r="E1028" s="59" t="str">
        <f t="array" ref="E1028">IF(COUNTA(C1028:C1644)=0,"",SUM((COUNTIF(C$4:C1028,Upgrades!$B$3:$B$13)-COUNTIF(C$4:C1028,"Sell_"&amp;Upgrades!$B$3:$B$13))*Upgrades!$D$3:$D$13))</f>
        <v/>
      </c>
      <c r="F1028" s="66" t="str">
        <f>IFERROR(__xludf.DUMMYFUNCTION("IF(COUNTA(C1028:C1644)=0,"""",IF(REGEXMATCH(INDEX(FILTER(C$4:C1028,C$4:C1028&lt;&gt;""""),ROWS(FILTER(C$4:C1028,C$4:C1028&lt;&gt;""""))),""^Sell_""),INDEX(FILTER(F$4:F1027,C$4:C1027&lt;&gt;""""),ROWS(FILTER(C$4:C1027,C$4:C1027&lt;&gt;""""))),$AC$5+E1028))"),"")</f>
        <v/>
      </c>
      <c r="G1028" s="10" t="str">
        <f>IFERROR(__xludf.DUMMYFUNCTION("IF(COUNTA(C1028:C1644)=0,"""",IF(C1028="""",0,IF(REGEXMATCH(C1028,""^Sell_""),-ROUNDDOWN(ROUNDUP(INDEX(Upgrades!$C$3:$C$13,MATCH(SUBSTITUTE(C1028,""Sell_"",""""),Upgrades!$B$3:$B$13,0))*1.15^(COUNTIF(C$4:C1027,SUBSTITUTE(C1028,""Sell_"",""""))-COUNTIF(C$4"&amp;":C1027,""Sell_""&amp;SUBSTITUTE(C1028,""Sell_"",""""))))/2),ROUNDUP(INDEX(Upgrades!$C$3:$C$13,MATCH(C1028,Upgrades!$B$3:$B$13,0))*1.15^(COUNTIF(C$4:C1027,C1028)-COUNTIF(C$4:C1027,""Sell_""&amp;C1028))))))"),"")</f>
        <v/>
      </c>
      <c r="H1028" s="10" t="str">
        <f t="shared" si="3"/>
        <v/>
      </c>
      <c r="I1028" s="68" t="str">
        <f t="shared" si="4"/>
        <v/>
      </c>
      <c r="J1028" s="59" t="str">
        <f t="shared" si="5"/>
        <v/>
      </c>
      <c r="K1028" s="69" t="str">
        <f t="shared" si="6"/>
        <v/>
      </c>
      <c r="L1028" s="60" t="str">
        <f t="shared" si="7"/>
        <v/>
      </c>
      <c r="M1028" s="61" t="str">
        <f>IFERROR(__xludf.DUMMYFUNCTION("IFS(AND(COUNTA(C1028:C1644)=0,COUNTA(Q1028:Q1644)=0),"""",OR(AND(K1028&gt;=1000000000,OR(Y1028&gt;=1000000000,COUNTA(Q1028:Q1644)=0)),OR(Y1028&gt;=1000000000,AND(COUNTA(C1028:C1644)=0,P$3=TRUE))),
ROUNDDOWN((AB$1-AC$1)*MAX(INDEX(T$4:T1644,MATCH(LARGE(FILTER(Y$4:Y1"&amp;"644,Y$4:Y1644&lt;1000000000),1),Y$4:Y1644)),INDEX(F$4:F1644,MATCH(LARGE(FILTER(K$4:K1644,K$4:K1644&lt;1000000000),1),K$4:K1644)))),AND(K1028&lt;1000000000,COUNTA(C1028:C1644)&gt;0,P$3=FALSE),
ROUNDDOWN(INDEX(Y$4:Y1644,MATCH(LARGE(FILTER(W$4:W1644,W$4:W1644&lt;=I1028),1)"&amp;",W$4:W1644))+(I1028-LARGE(FILTER(W$4:W1644,W$4:W1644&lt;=I1028),1))*INDEX(T$4:T1644,MATCH(LARGE(FILTER(W$4:W1644,W$4:W1644&lt;=I1028),1),W$4:W1644))-K1028),1,
ROUNDDOWN(Y1028-INDEX(K$4:K1644,MATCH(LARGE(FILTER(I$4:I1644,I$4:I1644&lt;=W1028),1),I$4:I1644))-(W1028-L"&amp;"ARGE(FILTER(I$4:I1644,I$4:I1644&lt;=W1028),1))*INDEX(F$4:F1644,MATCH(LARGE(FILTER(I$4:I1644,I$4:I1644&lt;=W1028),1),I$4:I1644))))"),"")</f>
        <v/>
      </c>
      <c r="N1028" s="60" t="str">
        <f t="shared" si="8"/>
        <v/>
      </c>
      <c r="O1028" s="61" t="str">
        <f t="shared" si="9"/>
        <v/>
      </c>
      <c r="P1028" s="56" t="str">
        <f t="shared" si="10"/>
        <v/>
      </c>
      <c r="Q1028" s="105"/>
      <c r="R1028" s="10"/>
      <c r="S1028" s="59" t="str">
        <f t="array" ref="S1028">IF(COUNTA(Q1028:Q1644)=0,"",SUM((COUNTIF(Q$4:Q1028,Upgrades!$B$3:$B$13)-COUNTIF(Q$4:Q1028,"Sell_"&amp;Upgrades!$B$3:$B$13))*Upgrades!$D$3:$D$13))</f>
        <v/>
      </c>
      <c r="T1028" s="66" t="str">
        <f>IFERROR(__xludf.DUMMYFUNCTION("IF(COUNTA(Q1028:Q1644)=0,"""",IF(REGEXMATCH(INDEX(FILTER(Q$4:Q1028,Q$4:Q1028&lt;&gt;""""),ROWS(FILTER(Q$4:Q1028,Q$4:Q1028&lt;&gt;""""))),""^Sell_""),INDEX(FILTER(T$4:T1027,Q$4:Q1027&lt;&gt;""""),ROWS(FILTER(Q$4:Q1027,Q$4:Q1027&lt;&gt;""""))),$AD$5+S1028))"),"")</f>
        <v/>
      </c>
      <c r="U1028" s="10" t="str">
        <f>IFERROR(__xludf.DUMMYFUNCTION("IF(COUNTA(Q1028:Q1644)=0,"""",IF(Q1028="""",0,IF(REGEXMATCH(Q1028,""^Sell_""),-ROUNDDOWN(ROUNDUP(INDEX(Upgrades!$C$3:$C$13,MATCH(SUBSTITUTE(Q1028,""Sell_"",""""),Upgrades!$B$3:$B$13,0))*1.15^(COUNTIF(Q$4:Q1027,SUBSTITUTE(Q1028,""Sell_"",""""))-COUNTIF(Q$4"&amp;":Q1027,""Sell_""&amp;SUBSTITUTE(Q1028,""Sell_"",""""))))/2),ROUNDUP(INDEX(Upgrades!$C$3:$C$13,MATCH(Q1028,Upgrades!$B$3:$B$13,0))*1.15^(COUNTIF(Q$4:Q1027,Q1028)-COUNTIF(Q$4:Q1027,""Sell_""&amp;Q1028))))))"),"")</f>
        <v/>
      </c>
      <c r="V1028" s="10" t="str">
        <f t="shared" si="11"/>
        <v/>
      </c>
      <c r="W1028" s="68" t="str">
        <f t="shared" si="12"/>
        <v/>
      </c>
      <c r="X1028" s="59" t="str">
        <f t="shared" si="13"/>
        <v/>
      </c>
      <c r="Y1028" s="69" t="str">
        <f t="shared" si="14"/>
        <v/>
      </c>
      <c r="Z1028" s="11"/>
      <c r="AG1028" s="59"/>
    </row>
    <row r="1029">
      <c r="A1029" s="8"/>
      <c r="B1029" s="56" t="str">
        <f t="shared" si="2"/>
        <v/>
      </c>
      <c r="C1029" s="105"/>
      <c r="D1029" s="10"/>
      <c r="E1029" s="59" t="str">
        <f t="array" ref="E1029">IF(COUNTA(C1029:C1644)=0,"",SUM((COUNTIF(C$4:C1029,Upgrades!$B$3:$B$13)-COUNTIF(C$4:C1029,"Sell_"&amp;Upgrades!$B$3:$B$13))*Upgrades!$D$3:$D$13))</f>
        <v/>
      </c>
      <c r="F1029" s="66" t="str">
        <f>IFERROR(__xludf.DUMMYFUNCTION("IF(COUNTA(C1029:C1644)=0,"""",IF(REGEXMATCH(INDEX(FILTER(C$4:C1029,C$4:C1029&lt;&gt;""""),ROWS(FILTER(C$4:C1029,C$4:C1029&lt;&gt;""""))),""^Sell_""),INDEX(FILTER(F$4:F1028,C$4:C1028&lt;&gt;""""),ROWS(FILTER(C$4:C1028,C$4:C1028&lt;&gt;""""))),$AC$5+E1029))"),"")</f>
        <v/>
      </c>
      <c r="G1029" s="10" t="str">
        <f>IFERROR(__xludf.DUMMYFUNCTION("IF(COUNTA(C1029:C1644)=0,"""",IF(C1029="""",0,IF(REGEXMATCH(C1029,""^Sell_""),-ROUNDDOWN(ROUNDUP(INDEX(Upgrades!$C$3:$C$13,MATCH(SUBSTITUTE(C1029,""Sell_"",""""),Upgrades!$B$3:$B$13,0))*1.15^(COUNTIF(C$4:C1028,SUBSTITUTE(C1029,""Sell_"",""""))-COUNTIF(C$4"&amp;":C1028,""Sell_""&amp;SUBSTITUTE(C1029,""Sell_"",""""))))/2),ROUNDUP(INDEX(Upgrades!$C$3:$C$13,MATCH(C1029,Upgrades!$B$3:$B$13,0))*1.15^(COUNTIF(C$4:C1028,C1029)-COUNTIF(C$4:C1028,""Sell_""&amp;C1029))))))"),"")</f>
        <v/>
      </c>
      <c r="H1029" s="10" t="str">
        <f t="shared" si="3"/>
        <v/>
      </c>
      <c r="I1029" s="68" t="str">
        <f t="shared" si="4"/>
        <v/>
      </c>
      <c r="J1029" s="59" t="str">
        <f t="shared" si="5"/>
        <v/>
      </c>
      <c r="K1029" s="69" t="str">
        <f t="shared" si="6"/>
        <v/>
      </c>
      <c r="L1029" s="60" t="str">
        <f t="shared" si="7"/>
        <v/>
      </c>
      <c r="M1029" s="61" t="str">
        <f>IFERROR(__xludf.DUMMYFUNCTION("IFS(AND(COUNTA(C1029:C1644)=0,COUNTA(Q1029:Q1644)=0),"""",OR(AND(K1029&gt;=1000000000,OR(Y1029&gt;=1000000000,COUNTA(Q1029:Q1644)=0)),OR(Y1029&gt;=1000000000,AND(COUNTA(C1029:C1644)=0,P$3=TRUE))),
ROUNDDOWN((AB$1-AC$1)*MAX(INDEX(T$4:T1644,MATCH(LARGE(FILTER(Y$4:Y1"&amp;"644,Y$4:Y1644&lt;1000000000),1),Y$4:Y1644)),INDEX(F$4:F1644,MATCH(LARGE(FILTER(K$4:K1644,K$4:K1644&lt;1000000000),1),K$4:K1644)))),AND(K1029&lt;1000000000,COUNTA(C1029:C1644)&gt;0,P$3=FALSE),
ROUNDDOWN(INDEX(Y$4:Y1644,MATCH(LARGE(FILTER(W$4:W1644,W$4:W1644&lt;=I1029),1)"&amp;",W$4:W1644))+(I1029-LARGE(FILTER(W$4:W1644,W$4:W1644&lt;=I1029),1))*INDEX(T$4:T1644,MATCH(LARGE(FILTER(W$4:W1644,W$4:W1644&lt;=I1029),1),W$4:W1644))-K1029),1,
ROUNDDOWN(Y1029-INDEX(K$4:K1644,MATCH(LARGE(FILTER(I$4:I1644,I$4:I1644&lt;=W1029),1),I$4:I1644))-(W1029-L"&amp;"ARGE(FILTER(I$4:I1644,I$4:I1644&lt;=W1029),1))*INDEX(F$4:F1644,MATCH(LARGE(FILTER(I$4:I1644,I$4:I1644&lt;=W1029),1),I$4:I1644))))"),"")</f>
        <v/>
      </c>
      <c r="N1029" s="60" t="str">
        <f t="shared" si="8"/>
        <v/>
      </c>
      <c r="O1029" s="61" t="str">
        <f t="shared" si="9"/>
        <v/>
      </c>
      <c r="P1029" s="56" t="str">
        <f t="shared" si="10"/>
        <v/>
      </c>
      <c r="Q1029" s="105"/>
      <c r="R1029" s="10"/>
      <c r="S1029" s="59" t="str">
        <f t="array" ref="S1029">IF(COUNTA(Q1029:Q1644)=0,"",SUM((COUNTIF(Q$4:Q1029,Upgrades!$B$3:$B$13)-COUNTIF(Q$4:Q1029,"Sell_"&amp;Upgrades!$B$3:$B$13))*Upgrades!$D$3:$D$13))</f>
        <v/>
      </c>
      <c r="T1029" s="66" t="str">
        <f>IFERROR(__xludf.DUMMYFUNCTION("IF(COUNTA(Q1029:Q1644)=0,"""",IF(REGEXMATCH(INDEX(FILTER(Q$4:Q1029,Q$4:Q1029&lt;&gt;""""),ROWS(FILTER(Q$4:Q1029,Q$4:Q1029&lt;&gt;""""))),""^Sell_""),INDEX(FILTER(T$4:T1028,Q$4:Q1028&lt;&gt;""""),ROWS(FILTER(Q$4:Q1028,Q$4:Q1028&lt;&gt;""""))),$AD$5+S1029))"),"")</f>
        <v/>
      </c>
      <c r="U1029" s="10" t="str">
        <f>IFERROR(__xludf.DUMMYFUNCTION("IF(COUNTA(Q1029:Q1644)=0,"""",IF(Q1029="""",0,IF(REGEXMATCH(Q1029,""^Sell_""),-ROUNDDOWN(ROUNDUP(INDEX(Upgrades!$C$3:$C$13,MATCH(SUBSTITUTE(Q1029,""Sell_"",""""),Upgrades!$B$3:$B$13,0))*1.15^(COUNTIF(Q$4:Q1028,SUBSTITUTE(Q1029,""Sell_"",""""))-COUNTIF(Q$4"&amp;":Q1028,""Sell_""&amp;SUBSTITUTE(Q1029,""Sell_"",""""))))/2),ROUNDUP(INDEX(Upgrades!$C$3:$C$13,MATCH(Q1029,Upgrades!$B$3:$B$13,0))*1.15^(COUNTIF(Q$4:Q1028,Q1029)-COUNTIF(Q$4:Q1028,""Sell_""&amp;Q1029))))))"),"")</f>
        <v/>
      </c>
      <c r="V1029" s="10" t="str">
        <f t="shared" si="11"/>
        <v/>
      </c>
      <c r="W1029" s="68" t="str">
        <f t="shared" si="12"/>
        <v/>
      </c>
      <c r="X1029" s="59" t="str">
        <f t="shared" si="13"/>
        <v/>
      </c>
      <c r="Y1029" s="69" t="str">
        <f t="shared" si="14"/>
        <v/>
      </c>
      <c r="Z1029" s="11"/>
      <c r="AG1029" s="59"/>
    </row>
    <row r="1030">
      <c r="A1030" s="8"/>
      <c r="B1030" s="56" t="str">
        <f t="shared" si="2"/>
        <v/>
      </c>
      <c r="C1030" s="105"/>
      <c r="D1030" s="10"/>
      <c r="E1030" s="59" t="str">
        <f t="array" ref="E1030">IF(COUNTA(C1030:C1644)=0,"",SUM((COUNTIF(C$4:C1030,Upgrades!$B$3:$B$13)-COUNTIF(C$4:C1030,"Sell_"&amp;Upgrades!$B$3:$B$13))*Upgrades!$D$3:$D$13))</f>
        <v/>
      </c>
      <c r="F1030" s="66" t="str">
        <f>IFERROR(__xludf.DUMMYFUNCTION("IF(COUNTA(C1030:C1644)=0,"""",IF(REGEXMATCH(INDEX(FILTER(C$4:C1030,C$4:C1030&lt;&gt;""""),ROWS(FILTER(C$4:C1030,C$4:C1030&lt;&gt;""""))),""^Sell_""),INDEX(FILTER(F$4:F1029,C$4:C1029&lt;&gt;""""),ROWS(FILTER(C$4:C1029,C$4:C1029&lt;&gt;""""))),$AC$5+E1030))"),"")</f>
        <v/>
      </c>
      <c r="G1030" s="10" t="str">
        <f>IFERROR(__xludf.DUMMYFUNCTION("IF(COUNTA(C1030:C1644)=0,"""",IF(C1030="""",0,IF(REGEXMATCH(C1030,""^Sell_""),-ROUNDDOWN(ROUNDUP(INDEX(Upgrades!$C$3:$C$13,MATCH(SUBSTITUTE(C1030,""Sell_"",""""),Upgrades!$B$3:$B$13,0))*1.15^(COUNTIF(C$4:C1029,SUBSTITUTE(C1030,""Sell_"",""""))-COUNTIF(C$4"&amp;":C1029,""Sell_""&amp;SUBSTITUTE(C1030,""Sell_"",""""))))/2),ROUNDUP(INDEX(Upgrades!$C$3:$C$13,MATCH(C1030,Upgrades!$B$3:$B$13,0))*1.15^(COUNTIF(C$4:C1029,C1030)-COUNTIF(C$4:C1029,""Sell_""&amp;C1030))))))"),"")</f>
        <v/>
      </c>
      <c r="H1030" s="10" t="str">
        <f t="shared" si="3"/>
        <v/>
      </c>
      <c r="I1030" s="68" t="str">
        <f t="shared" si="4"/>
        <v/>
      </c>
      <c r="J1030" s="59" t="str">
        <f t="shared" si="5"/>
        <v/>
      </c>
      <c r="K1030" s="69" t="str">
        <f t="shared" si="6"/>
        <v/>
      </c>
      <c r="L1030" s="60" t="str">
        <f t="shared" si="7"/>
        <v/>
      </c>
      <c r="M1030" s="61" t="str">
        <f>IFERROR(__xludf.DUMMYFUNCTION("IFS(AND(COUNTA(C1030:C1644)=0,COUNTA(Q1030:Q1644)=0),"""",OR(AND(K1030&gt;=1000000000,OR(Y1030&gt;=1000000000,COUNTA(Q1030:Q1644)=0)),OR(Y1030&gt;=1000000000,AND(COUNTA(C1030:C1644)=0,P$3=TRUE))),
ROUNDDOWN((AB$1-AC$1)*MAX(INDEX(T$4:T1644,MATCH(LARGE(FILTER(Y$4:Y1"&amp;"644,Y$4:Y1644&lt;1000000000),1),Y$4:Y1644)),INDEX(F$4:F1644,MATCH(LARGE(FILTER(K$4:K1644,K$4:K1644&lt;1000000000),1),K$4:K1644)))),AND(K1030&lt;1000000000,COUNTA(C1030:C1644)&gt;0,P$3=FALSE),
ROUNDDOWN(INDEX(Y$4:Y1644,MATCH(LARGE(FILTER(W$4:W1644,W$4:W1644&lt;=I1030),1)"&amp;",W$4:W1644))+(I1030-LARGE(FILTER(W$4:W1644,W$4:W1644&lt;=I1030),1))*INDEX(T$4:T1644,MATCH(LARGE(FILTER(W$4:W1644,W$4:W1644&lt;=I1030),1),W$4:W1644))-K1030),1,
ROUNDDOWN(Y1030-INDEX(K$4:K1644,MATCH(LARGE(FILTER(I$4:I1644,I$4:I1644&lt;=W1030),1),I$4:I1644))-(W1030-L"&amp;"ARGE(FILTER(I$4:I1644,I$4:I1644&lt;=W1030),1))*INDEX(F$4:F1644,MATCH(LARGE(FILTER(I$4:I1644,I$4:I1644&lt;=W1030),1),I$4:I1644))))"),"")</f>
        <v/>
      </c>
      <c r="N1030" s="60" t="str">
        <f t="shared" si="8"/>
        <v/>
      </c>
      <c r="O1030" s="61" t="str">
        <f t="shared" si="9"/>
        <v/>
      </c>
      <c r="P1030" s="56" t="str">
        <f t="shared" si="10"/>
        <v/>
      </c>
      <c r="Q1030" s="105"/>
      <c r="R1030" s="10"/>
      <c r="S1030" s="59" t="str">
        <f t="array" ref="S1030">IF(COUNTA(Q1030:Q1644)=0,"",SUM((COUNTIF(Q$4:Q1030,Upgrades!$B$3:$B$13)-COUNTIF(Q$4:Q1030,"Sell_"&amp;Upgrades!$B$3:$B$13))*Upgrades!$D$3:$D$13))</f>
        <v/>
      </c>
      <c r="T1030" s="66" t="str">
        <f>IFERROR(__xludf.DUMMYFUNCTION("IF(COUNTA(Q1030:Q1644)=0,"""",IF(REGEXMATCH(INDEX(FILTER(Q$4:Q1030,Q$4:Q1030&lt;&gt;""""),ROWS(FILTER(Q$4:Q1030,Q$4:Q1030&lt;&gt;""""))),""^Sell_""),INDEX(FILTER(T$4:T1029,Q$4:Q1029&lt;&gt;""""),ROWS(FILTER(Q$4:Q1029,Q$4:Q1029&lt;&gt;""""))),$AD$5+S1030))"),"")</f>
        <v/>
      </c>
      <c r="U1030" s="10" t="str">
        <f>IFERROR(__xludf.DUMMYFUNCTION("IF(COUNTA(Q1030:Q1644)=0,"""",IF(Q1030="""",0,IF(REGEXMATCH(Q1030,""^Sell_""),-ROUNDDOWN(ROUNDUP(INDEX(Upgrades!$C$3:$C$13,MATCH(SUBSTITUTE(Q1030,""Sell_"",""""),Upgrades!$B$3:$B$13,0))*1.15^(COUNTIF(Q$4:Q1029,SUBSTITUTE(Q1030,""Sell_"",""""))-COUNTIF(Q$4"&amp;":Q1029,""Sell_""&amp;SUBSTITUTE(Q1030,""Sell_"",""""))))/2),ROUNDUP(INDEX(Upgrades!$C$3:$C$13,MATCH(Q1030,Upgrades!$B$3:$B$13,0))*1.15^(COUNTIF(Q$4:Q1029,Q1030)-COUNTIF(Q$4:Q1029,""Sell_""&amp;Q1030))))))"),"")</f>
        <v/>
      </c>
      <c r="V1030" s="10" t="str">
        <f t="shared" si="11"/>
        <v/>
      </c>
      <c r="W1030" s="68" t="str">
        <f t="shared" si="12"/>
        <v/>
      </c>
      <c r="X1030" s="59" t="str">
        <f t="shared" si="13"/>
        <v/>
      </c>
      <c r="Y1030" s="69" t="str">
        <f t="shared" si="14"/>
        <v/>
      </c>
      <c r="Z1030" s="11"/>
      <c r="AG1030" s="59"/>
    </row>
    <row r="1031">
      <c r="A1031" s="8"/>
      <c r="B1031" s="56" t="str">
        <f t="shared" si="2"/>
        <v/>
      </c>
      <c r="C1031" s="105"/>
      <c r="D1031" s="10"/>
      <c r="E1031" s="59" t="str">
        <f t="array" ref="E1031">IF(COUNTA(C1031:C1644)=0,"",SUM((COUNTIF(C$4:C1031,Upgrades!$B$3:$B$13)-COUNTIF(C$4:C1031,"Sell_"&amp;Upgrades!$B$3:$B$13))*Upgrades!$D$3:$D$13))</f>
        <v/>
      </c>
      <c r="F1031" s="66" t="str">
        <f>IFERROR(__xludf.DUMMYFUNCTION("IF(COUNTA(C1031:C1644)=0,"""",IF(REGEXMATCH(INDEX(FILTER(C$4:C1031,C$4:C1031&lt;&gt;""""),ROWS(FILTER(C$4:C1031,C$4:C1031&lt;&gt;""""))),""^Sell_""),INDEX(FILTER(F$4:F1030,C$4:C1030&lt;&gt;""""),ROWS(FILTER(C$4:C1030,C$4:C1030&lt;&gt;""""))),$AC$5+E1031))"),"")</f>
        <v/>
      </c>
      <c r="G1031" s="10" t="str">
        <f>IFERROR(__xludf.DUMMYFUNCTION("IF(COUNTA(C1031:C1644)=0,"""",IF(C1031="""",0,IF(REGEXMATCH(C1031,""^Sell_""),-ROUNDDOWN(ROUNDUP(INDEX(Upgrades!$C$3:$C$13,MATCH(SUBSTITUTE(C1031,""Sell_"",""""),Upgrades!$B$3:$B$13,0))*1.15^(COUNTIF(C$4:C1030,SUBSTITUTE(C1031,""Sell_"",""""))-COUNTIF(C$4"&amp;":C1030,""Sell_""&amp;SUBSTITUTE(C1031,""Sell_"",""""))))/2),ROUNDUP(INDEX(Upgrades!$C$3:$C$13,MATCH(C1031,Upgrades!$B$3:$B$13,0))*1.15^(COUNTIF(C$4:C1030,C1031)-COUNTIF(C$4:C1030,""Sell_""&amp;C1031))))))"),"")</f>
        <v/>
      </c>
      <c r="H1031" s="10" t="str">
        <f t="shared" si="3"/>
        <v/>
      </c>
      <c r="I1031" s="68" t="str">
        <f t="shared" si="4"/>
        <v/>
      </c>
      <c r="J1031" s="59" t="str">
        <f t="shared" si="5"/>
        <v/>
      </c>
      <c r="K1031" s="69" t="str">
        <f t="shared" si="6"/>
        <v/>
      </c>
      <c r="L1031" s="60" t="str">
        <f t="shared" si="7"/>
        <v/>
      </c>
      <c r="M1031" s="61" t="str">
        <f>IFERROR(__xludf.DUMMYFUNCTION("IFS(AND(COUNTA(C1031:C1644)=0,COUNTA(Q1031:Q1644)=0),"""",OR(AND(K1031&gt;=1000000000,OR(Y1031&gt;=1000000000,COUNTA(Q1031:Q1644)=0)),OR(Y1031&gt;=1000000000,AND(COUNTA(C1031:C1644)=0,P$3=TRUE))),
ROUNDDOWN((AB$1-AC$1)*MAX(INDEX(T$4:T1644,MATCH(LARGE(FILTER(Y$4:Y1"&amp;"644,Y$4:Y1644&lt;1000000000),1),Y$4:Y1644)),INDEX(F$4:F1644,MATCH(LARGE(FILTER(K$4:K1644,K$4:K1644&lt;1000000000),1),K$4:K1644)))),AND(K1031&lt;1000000000,COUNTA(C1031:C1644)&gt;0,P$3=FALSE),
ROUNDDOWN(INDEX(Y$4:Y1644,MATCH(LARGE(FILTER(W$4:W1644,W$4:W1644&lt;=I1031),1)"&amp;",W$4:W1644))+(I1031-LARGE(FILTER(W$4:W1644,W$4:W1644&lt;=I1031),1))*INDEX(T$4:T1644,MATCH(LARGE(FILTER(W$4:W1644,W$4:W1644&lt;=I1031),1),W$4:W1644))-K1031),1,
ROUNDDOWN(Y1031-INDEX(K$4:K1644,MATCH(LARGE(FILTER(I$4:I1644,I$4:I1644&lt;=W1031),1),I$4:I1644))-(W1031-L"&amp;"ARGE(FILTER(I$4:I1644,I$4:I1644&lt;=W1031),1))*INDEX(F$4:F1644,MATCH(LARGE(FILTER(I$4:I1644,I$4:I1644&lt;=W1031),1),I$4:I1644))))"),"")</f>
        <v/>
      </c>
      <c r="N1031" s="60" t="str">
        <f t="shared" si="8"/>
        <v/>
      </c>
      <c r="O1031" s="61" t="str">
        <f t="shared" si="9"/>
        <v/>
      </c>
      <c r="P1031" s="56" t="str">
        <f t="shared" si="10"/>
        <v/>
      </c>
      <c r="Q1031" s="105"/>
      <c r="R1031" s="10"/>
      <c r="S1031" s="59" t="str">
        <f t="array" ref="S1031">IF(COUNTA(Q1031:Q1644)=0,"",SUM((COUNTIF(Q$4:Q1031,Upgrades!$B$3:$B$13)-COUNTIF(Q$4:Q1031,"Sell_"&amp;Upgrades!$B$3:$B$13))*Upgrades!$D$3:$D$13))</f>
        <v/>
      </c>
      <c r="T1031" s="66" t="str">
        <f>IFERROR(__xludf.DUMMYFUNCTION("IF(COUNTA(Q1031:Q1644)=0,"""",IF(REGEXMATCH(INDEX(FILTER(Q$4:Q1031,Q$4:Q1031&lt;&gt;""""),ROWS(FILTER(Q$4:Q1031,Q$4:Q1031&lt;&gt;""""))),""^Sell_""),INDEX(FILTER(T$4:T1030,Q$4:Q1030&lt;&gt;""""),ROWS(FILTER(Q$4:Q1030,Q$4:Q1030&lt;&gt;""""))),$AD$5+S1031))"),"")</f>
        <v/>
      </c>
      <c r="U1031" s="10" t="str">
        <f>IFERROR(__xludf.DUMMYFUNCTION("IF(COUNTA(Q1031:Q1644)=0,"""",IF(Q1031="""",0,IF(REGEXMATCH(Q1031,""^Sell_""),-ROUNDDOWN(ROUNDUP(INDEX(Upgrades!$C$3:$C$13,MATCH(SUBSTITUTE(Q1031,""Sell_"",""""),Upgrades!$B$3:$B$13,0))*1.15^(COUNTIF(Q$4:Q1030,SUBSTITUTE(Q1031,""Sell_"",""""))-COUNTIF(Q$4"&amp;":Q1030,""Sell_""&amp;SUBSTITUTE(Q1031,""Sell_"",""""))))/2),ROUNDUP(INDEX(Upgrades!$C$3:$C$13,MATCH(Q1031,Upgrades!$B$3:$B$13,0))*1.15^(COUNTIF(Q$4:Q1030,Q1031)-COUNTIF(Q$4:Q1030,""Sell_""&amp;Q1031))))))"),"")</f>
        <v/>
      </c>
      <c r="V1031" s="10" t="str">
        <f t="shared" si="11"/>
        <v/>
      </c>
      <c r="W1031" s="68" t="str">
        <f t="shared" si="12"/>
        <v/>
      </c>
      <c r="X1031" s="59" t="str">
        <f t="shared" si="13"/>
        <v/>
      </c>
      <c r="Y1031" s="69" t="str">
        <f t="shared" si="14"/>
        <v/>
      </c>
      <c r="Z1031" s="11"/>
      <c r="AG1031" s="59"/>
    </row>
    <row r="1032">
      <c r="A1032" s="8"/>
      <c r="B1032" s="56" t="str">
        <f t="shared" si="2"/>
        <v/>
      </c>
      <c r="C1032" s="105"/>
      <c r="D1032" s="10"/>
      <c r="E1032" s="59" t="str">
        <f t="array" ref="E1032">IF(COUNTA(C1032:C1644)=0,"",SUM((COUNTIF(C$4:C1032,Upgrades!$B$3:$B$13)-COUNTIF(C$4:C1032,"Sell_"&amp;Upgrades!$B$3:$B$13))*Upgrades!$D$3:$D$13))</f>
        <v/>
      </c>
      <c r="F1032" s="66" t="str">
        <f>IFERROR(__xludf.DUMMYFUNCTION("IF(COUNTA(C1032:C1644)=0,"""",IF(REGEXMATCH(INDEX(FILTER(C$4:C1032,C$4:C1032&lt;&gt;""""),ROWS(FILTER(C$4:C1032,C$4:C1032&lt;&gt;""""))),""^Sell_""),INDEX(FILTER(F$4:F1031,C$4:C1031&lt;&gt;""""),ROWS(FILTER(C$4:C1031,C$4:C1031&lt;&gt;""""))),$AC$5+E1032))"),"")</f>
        <v/>
      </c>
      <c r="G1032" s="10" t="str">
        <f>IFERROR(__xludf.DUMMYFUNCTION("IF(COUNTA(C1032:C1644)=0,"""",IF(C1032="""",0,IF(REGEXMATCH(C1032,""^Sell_""),-ROUNDDOWN(ROUNDUP(INDEX(Upgrades!$C$3:$C$13,MATCH(SUBSTITUTE(C1032,""Sell_"",""""),Upgrades!$B$3:$B$13,0))*1.15^(COUNTIF(C$4:C1031,SUBSTITUTE(C1032,""Sell_"",""""))-COUNTIF(C$4"&amp;":C1031,""Sell_""&amp;SUBSTITUTE(C1032,""Sell_"",""""))))/2),ROUNDUP(INDEX(Upgrades!$C$3:$C$13,MATCH(C1032,Upgrades!$B$3:$B$13,0))*1.15^(COUNTIF(C$4:C1031,C1032)-COUNTIF(C$4:C1031,""Sell_""&amp;C1032))))))"),"")</f>
        <v/>
      </c>
      <c r="H1032" s="10" t="str">
        <f t="shared" si="3"/>
        <v/>
      </c>
      <c r="I1032" s="68" t="str">
        <f t="shared" si="4"/>
        <v/>
      </c>
      <c r="J1032" s="59" t="str">
        <f t="shared" si="5"/>
        <v/>
      </c>
      <c r="K1032" s="69" t="str">
        <f t="shared" si="6"/>
        <v/>
      </c>
      <c r="L1032" s="60" t="str">
        <f t="shared" si="7"/>
        <v/>
      </c>
      <c r="M1032" s="61" t="str">
        <f>IFERROR(__xludf.DUMMYFUNCTION("IFS(AND(COUNTA(C1032:C1644)=0,COUNTA(Q1032:Q1644)=0),"""",OR(AND(K1032&gt;=1000000000,OR(Y1032&gt;=1000000000,COUNTA(Q1032:Q1644)=0)),OR(Y1032&gt;=1000000000,AND(COUNTA(C1032:C1644)=0,P$3=TRUE))),
ROUNDDOWN((AB$1-AC$1)*MAX(INDEX(T$4:T1644,MATCH(LARGE(FILTER(Y$4:Y1"&amp;"644,Y$4:Y1644&lt;1000000000),1),Y$4:Y1644)),INDEX(F$4:F1644,MATCH(LARGE(FILTER(K$4:K1644,K$4:K1644&lt;1000000000),1),K$4:K1644)))),AND(K1032&lt;1000000000,COUNTA(C1032:C1644)&gt;0,P$3=FALSE),
ROUNDDOWN(INDEX(Y$4:Y1644,MATCH(LARGE(FILTER(W$4:W1644,W$4:W1644&lt;=I1032),1)"&amp;",W$4:W1644))+(I1032-LARGE(FILTER(W$4:W1644,W$4:W1644&lt;=I1032),1))*INDEX(T$4:T1644,MATCH(LARGE(FILTER(W$4:W1644,W$4:W1644&lt;=I1032),1),W$4:W1644))-K1032),1,
ROUNDDOWN(Y1032-INDEX(K$4:K1644,MATCH(LARGE(FILTER(I$4:I1644,I$4:I1644&lt;=W1032),1),I$4:I1644))-(W1032-L"&amp;"ARGE(FILTER(I$4:I1644,I$4:I1644&lt;=W1032),1))*INDEX(F$4:F1644,MATCH(LARGE(FILTER(I$4:I1644,I$4:I1644&lt;=W1032),1),I$4:I1644))))"),"")</f>
        <v/>
      </c>
      <c r="N1032" s="60" t="str">
        <f t="shared" si="8"/>
        <v/>
      </c>
      <c r="O1032" s="61" t="str">
        <f t="shared" si="9"/>
        <v/>
      </c>
      <c r="P1032" s="56" t="str">
        <f t="shared" si="10"/>
        <v/>
      </c>
      <c r="Q1032" s="105"/>
      <c r="R1032" s="10"/>
      <c r="S1032" s="59" t="str">
        <f t="array" ref="S1032">IF(COUNTA(Q1032:Q1644)=0,"",SUM((COUNTIF(Q$4:Q1032,Upgrades!$B$3:$B$13)-COUNTIF(Q$4:Q1032,"Sell_"&amp;Upgrades!$B$3:$B$13))*Upgrades!$D$3:$D$13))</f>
        <v/>
      </c>
      <c r="T1032" s="66" t="str">
        <f>IFERROR(__xludf.DUMMYFUNCTION("IF(COUNTA(Q1032:Q1644)=0,"""",IF(REGEXMATCH(INDEX(FILTER(Q$4:Q1032,Q$4:Q1032&lt;&gt;""""),ROWS(FILTER(Q$4:Q1032,Q$4:Q1032&lt;&gt;""""))),""^Sell_""),INDEX(FILTER(T$4:T1031,Q$4:Q1031&lt;&gt;""""),ROWS(FILTER(Q$4:Q1031,Q$4:Q1031&lt;&gt;""""))),$AD$5+S1032))"),"")</f>
        <v/>
      </c>
      <c r="U1032" s="10" t="str">
        <f>IFERROR(__xludf.DUMMYFUNCTION("IF(COUNTA(Q1032:Q1644)=0,"""",IF(Q1032="""",0,IF(REGEXMATCH(Q1032,""^Sell_""),-ROUNDDOWN(ROUNDUP(INDEX(Upgrades!$C$3:$C$13,MATCH(SUBSTITUTE(Q1032,""Sell_"",""""),Upgrades!$B$3:$B$13,0))*1.15^(COUNTIF(Q$4:Q1031,SUBSTITUTE(Q1032,""Sell_"",""""))-COUNTIF(Q$4"&amp;":Q1031,""Sell_""&amp;SUBSTITUTE(Q1032,""Sell_"",""""))))/2),ROUNDUP(INDEX(Upgrades!$C$3:$C$13,MATCH(Q1032,Upgrades!$B$3:$B$13,0))*1.15^(COUNTIF(Q$4:Q1031,Q1032)-COUNTIF(Q$4:Q1031,""Sell_""&amp;Q1032))))))"),"")</f>
        <v/>
      </c>
      <c r="V1032" s="10" t="str">
        <f t="shared" si="11"/>
        <v/>
      </c>
      <c r="W1032" s="68" t="str">
        <f t="shared" si="12"/>
        <v/>
      </c>
      <c r="X1032" s="59" t="str">
        <f t="shared" si="13"/>
        <v/>
      </c>
      <c r="Y1032" s="69" t="str">
        <f t="shared" si="14"/>
        <v/>
      </c>
      <c r="Z1032" s="11"/>
      <c r="AG1032" s="59"/>
    </row>
    <row r="1033">
      <c r="A1033" s="8"/>
      <c r="B1033" s="56" t="str">
        <f t="shared" si="2"/>
        <v/>
      </c>
      <c r="C1033" s="105"/>
      <c r="D1033" s="10"/>
      <c r="E1033" s="59" t="str">
        <f t="array" ref="E1033">IF(COUNTA(C1033:C1644)=0,"",SUM((COUNTIF(C$4:C1033,Upgrades!$B$3:$B$13)-COUNTIF(C$4:C1033,"Sell_"&amp;Upgrades!$B$3:$B$13))*Upgrades!$D$3:$D$13))</f>
        <v/>
      </c>
      <c r="F1033" s="66" t="str">
        <f>IFERROR(__xludf.DUMMYFUNCTION("IF(COUNTA(C1033:C1644)=0,"""",IF(REGEXMATCH(INDEX(FILTER(C$4:C1033,C$4:C1033&lt;&gt;""""),ROWS(FILTER(C$4:C1033,C$4:C1033&lt;&gt;""""))),""^Sell_""),INDEX(FILTER(F$4:F1032,C$4:C1032&lt;&gt;""""),ROWS(FILTER(C$4:C1032,C$4:C1032&lt;&gt;""""))),$AC$5+E1033))"),"")</f>
        <v/>
      </c>
      <c r="G1033" s="10" t="str">
        <f>IFERROR(__xludf.DUMMYFUNCTION("IF(COUNTA(C1033:C1644)=0,"""",IF(C1033="""",0,IF(REGEXMATCH(C1033,""^Sell_""),-ROUNDDOWN(ROUNDUP(INDEX(Upgrades!$C$3:$C$13,MATCH(SUBSTITUTE(C1033,""Sell_"",""""),Upgrades!$B$3:$B$13,0))*1.15^(COUNTIF(C$4:C1032,SUBSTITUTE(C1033,""Sell_"",""""))-COUNTIF(C$4"&amp;":C1032,""Sell_""&amp;SUBSTITUTE(C1033,""Sell_"",""""))))/2),ROUNDUP(INDEX(Upgrades!$C$3:$C$13,MATCH(C1033,Upgrades!$B$3:$B$13,0))*1.15^(COUNTIF(C$4:C1032,C1033)-COUNTIF(C$4:C1032,""Sell_""&amp;C1033))))))"),"")</f>
        <v/>
      </c>
      <c r="H1033" s="10" t="str">
        <f t="shared" si="3"/>
        <v/>
      </c>
      <c r="I1033" s="68" t="str">
        <f t="shared" si="4"/>
        <v/>
      </c>
      <c r="J1033" s="59" t="str">
        <f t="shared" si="5"/>
        <v/>
      </c>
      <c r="K1033" s="69" t="str">
        <f t="shared" si="6"/>
        <v/>
      </c>
      <c r="L1033" s="60" t="str">
        <f t="shared" si="7"/>
        <v/>
      </c>
      <c r="M1033" s="61" t="str">
        <f>IFERROR(__xludf.DUMMYFUNCTION("IFS(AND(COUNTA(C1033:C1644)=0,COUNTA(Q1033:Q1644)=0),"""",OR(AND(K1033&gt;=1000000000,OR(Y1033&gt;=1000000000,COUNTA(Q1033:Q1644)=0)),OR(Y1033&gt;=1000000000,AND(COUNTA(C1033:C1644)=0,P$3=TRUE))),
ROUNDDOWN((AB$1-AC$1)*MAX(INDEX(T$4:T1644,MATCH(LARGE(FILTER(Y$4:Y1"&amp;"644,Y$4:Y1644&lt;1000000000),1),Y$4:Y1644)),INDEX(F$4:F1644,MATCH(LARGE(FILTER(K$4:K1644,K$4:K1644&lt;1000000000),1),K$4:K1644)))),AND(K1033&lt;1000000000,COUNTA(C1033:C1644)&gt;0,P$3=FALSE),
ROUNDDOWN(INDEX(Y$4:Y1644,MATCH(LARGE(FILTER(W$4:W1644,W$4:W1644&lt;=I1033),1)"&amp;",W$4:W1644))+(I1033-LARGE(FILTER(W$4:W1644,W$4:W1644&lt;=I1033),1))*INDEX(T$4:T1644,MATCH(LARGE(FILTER(W$4:W1644,W$4:W1644&lt;=I1033),1),W$4:W1644))-K1033),1,
ROUNDDOWN(Y1033-INDEX(K$4:K1644,MATCH(LARGE(FILTER(I$4:I1644,I$4:I1644&lt;=W1033),1),I$4:I1644))-(W1033-L"&amp;"ARGE(FILTER(I$4:I1644,I$4:I1644&lt;=W1033),1))*INDEX(F$4:F1644,MATCH(LARGE(FILTER(I$4:I1644,I$4:I1644&lt;=W1033),1),I$4:I1644))))"),"")</f>
        <v/>
      </c>
      <c r="N1033" s="60" t="str">
        <f t="shared" si="8"/>
        <v/>
      </c>
      <c r="O1033" s="61" t="str">
        <f t="shared" si="9"/>
        <v/>
      </c>
      <c r="P1033" s="56" t="str">
        <f t="shared" si="10"/>
        <v/>
      </c>
      <c r="Q1033" s="105"/>
      <c r="R1033" s="10"/>
      <c r="S1033" s="59" t="str">
        <f t="array" ref="S1033">IF(COUNTA(Q1033:Q1644)=0,"",SUM((COUNTIF(Q$4:Q1033,Upgrades!$B$3:$B$13)-COUNTIF(Q$4:Q1033,"Sell_"&amp;Upgrades!$B$3:$B$13))*Upgrades!$D$3:$D$13))</f>
        <v/>
      </c>
      <c r="T1033" s="66" t="str">
        <f>IFERROR(__xludf.DUMMYFUNCTION("IF(COUNTA(Q1033:Q1644)=0,"""",IF(REGEXMATCH(INDEX(FILTER(Q$4:Q1033,Q$4:Q1033&lt;&gt;""""),ROWS(FILTER(Q$4:Q1033,Q$4:Q1033&lt;&gt;""""))),""^Sell_""),INDEX(FILTER(T$4:T1032,Q$4:Q1032&lt;&gt;""""),ROWS(FILTER(Q$4:Q1032,Q$4:Q1032&lt;&gt;""""))),$AD$5+S1033))"),"")</f>
        <v/>
      </c>
      <c r="U1033" s="10" t="str">
        <f>IFERROR(__xludf.DUMMYFUNCTION("IF(COUNTA(Q1033:Q1644)=0,"""",IF(Q1033="""",0,IF(REGEXMATCH(Q1033,""^Sell_""),-ROUNDDOWN(ROUNDUP(INDEX(Upgrades!$C$3:$C$13,MATCH(SUBSTITUTE(Q1033,""Sell_"",""""),Upgrades!$B$3:$B$13,0))*1.15^(COUNTIF(Q$4:Q1032,SUBSTITUTE(Q1033,""Sell_"",""""))-COUNTIF(Q$4"&amp;":Q1032,""Sell_""&amp;SUBSTITUTE(Q1033,""Sell_"",""""))))/2),ROUNDUP(INDEX(Upgrades!$C$3:$C$13,MATCH(Q1033,Upgrades!$B$3:$B$13,0))*1.15^(COUNTIF(Q$4:Q1032,Q1033)-COUNTIF(Q$4:Q1032,""Sell_""&amp;Q1033))))))"),"")</f>
        <v/>
      </c>
      <c r="V1033" s="10" t="str">
        <f t="shared" si="11"/>
        <v/>
      </c>
      <c r="W1033" s="68" t="str">
        <f t="shared" si="12"/>
        <v/>
      </c>
      <c r="X1033" s="59" t="str">
        <f t="shared" si="13"/>
        <v/>
      </c>
      <c r="Y1033" s="69" t="str">
        <f t="shared" si="14"/>
        <v/>
      </c>
      <c r="Z1033" s="11"/>
      <c r="AG1033" s="59"/>
    </row>
    <row r="1034">
      <c r="A1034" s="8"/>
      <c r="B1034" s="56" t="str">
        <f t="shared" si="2"/>
        <v/>
      </c>
      <c r="C1034" s="105"/>
      <c r="D1034" s="10"/>
      <c r="E1034" s="59" t="str">
        <f t="array" ref="E1034">IF(COUNTA(C1034:C1644)=0,"",SUM((COUNTIF(C$4:C1034,Upgrades!$B$3:$B$13)-COUNTIF(C$4:C1034,"Sell_"&amp;Upgrades!$B$3:$B$13))*Upgrades!$D$3:$D$13))</f>
        <v/>
      </c>
      <c r="F1034" s="66" t="str">
        <f>IFERROR(__xludf.DUMMYFUNCTION("IF(COUNTA(C1034:C1644)=0,"""",IF(REGEXMATCH(INDEX(FILTER(C$4:C1034,C$4:C1034&lt;&gt;""""),ROWS(FILTER(C$4:C1034,C$4:C1034&lt;&gt;""""))),""^Sell_""),INDEX(FILTER(F$4:F1033,C$4:C1033&lt;&gt;""""),ROWS(FILTER(C$4:C1033,C$4:C1033&lt;&gt;""""))),$AC$5+E1034))"),"")</f>
        <v/>
      </c>
      <c r="G1034" s="10" t="str">
        <f>IFERROR(__xludf.DUMMYFUNCTION("IF(COUNTA(C1034:C1644)=0,"""",IF(C1034="""",0,IF(REGEXMATCH(C1034,""^Sell_""),-ROUNDDOWN(ROUNDUP(INDEX(Upgrades!$C$3:$C$13,MATCH(SUBSTITUTE(C1034,""Sell_"",""""),Upgrades!$B$3:$B$13,0))*1.15^(COUNTIF(C$4:C1033,SUBSTITUTE(C1034,""Sell_"",""""))-COUNTIF(C$4"&amp;":C1033,""Sell_""&amp;SUBSTITUTE(C1034,""Sell_"",""""))))/2),ROUNDUP(INDEX(Upgrades!$C$3:$C$13,MATCH(C1034,Upgrades!$B$3:$B$13,0))*1.15^(COUNTIF(C$4:C1033,C1034)-COUNTIF(C$4:C1033,""Sell_""&amp;C1034))))))"),"")</f>
        <v/>
      </c>
      <c r="H1034" s="10" t="str">
        <f t="shared" si="3"/>
        <v/>
      </c>
      <c r="I1034" s="68" t="str">
        <f t="shared" si="4"/>
        <v/>
      </c>
      <c r="J1034" s="59" t="str">
        <f t="shared" si="5"/>
        <v/>
      </c>
      <c r="K1034" s="69" t="str">
        <f t="shared" si="6"/>
        <v/>
      </c>
      <c r="L1034" s="60" t="str">
        <f t="shared" si="7"/>
        <v/>
      </c>
      <c r="M1034" s="61" t="str">
        <f>IFERROR(__xludf.DUMMYFUNCTION("IFS(AND(COUNTA(C1034:C1644)=0,COUNTA(Q1034:Q1644)=0),"""",OR(AND(K1034&gt;=1000000000,OR(Y1034&gt;=1000000000,COUNTA(Q1034:Q1644)=0)),OR(Y1034&gt;=1000000000,AND(COUNTA(C1034:C1644)=0,P$3=TRUE))),
ROUNDDOWN((AB$1-AC$1)*MAX(INDEX(T$4:T1644,MATCH(LARGE(FILTER(Y$4:Y1"&amp;"644,Y$4:Y1644&lt;1000000000),1),Y$4:Y1644)),INDEX(F$4:F1644,MATCH(LARGE(FILTER(K$4:K1644,K$4:K1644&lt;1000000000),1),K$4:K1644)))),AND(K1034&lt;1000000000,COUNTA(C1034:C1644)&gt;0,P$3=FALSE),
ROUNDDOWN(INDEX(Y$4:Y1644,MATCH(LARGE(FILTER(W$4:W1644,W$4:W1644&lt;=I1034),1)"&amp;",W$4:W1644))+(I1034-LARGE(FILTER(W$4:W1644,W$4:W1644&lt;=I1034),1))*INDEX(T$4:T1644,MATCH(LARGE(FILTER(W$4:W1644,W$4:W1644&lt;=I1034),1),W$4:W1644))-K1034),1,
ROUNDDOWN(Y1034-INDEX(K$4:K1644,MATCH(LARGE(FILTER(I$4:I1644,I$4:I1644&lt;=W1034),1),I$4:I1644))-(W1034-L"&amp;"ARGE(FILTER(I$4:I1644,I$4:I1644&lt;=W1034),1))*INDEX(F$4:F1644,MATCH(LARGE(FILTER(I$4:I1644,I$4:I1644&lt;=W1034),1),I$4:I1644))))"),"")</f>
        <v/>
      </c>
      <c r="N1034" s="60" t="str">
        <f t="shared" si="8"/>
        <v/>
      </c>
      <c r="O1034" s="61" t="str">
        <f t="shared" si="9"/>
        <v/>
      </c>
      <c r="P1034" s="56" t="str">
        <f t="shared" si="10"/>
        <v/>
      </c>
      <c r="Q1034" s="105"/>
      <c r="R1034" s="10"/>
      <c r="S1034" s="59" t="str">
        <f t="array" ref="S1034">IF(COUNTA(Q1034:Q1644)=0,"",SUM((COUNTIF(Q$4:Q1034,Upgrades!$B$3:$B$13)-COUNTIF(Q$4:Q1034,"Sell_"&amp;Upgrades!$B$3:$B$13))*Upgrades!$D$3:$D$13))</f>
        <v/>
      </c>
      <c r="T1034" s="66" t="str">
        <f>IFERROR(__xludf.DUMMYFUNCTION("IF(COUNTA(Q1034:Q1644)=0,"""",IF(REGEXMATCH(INDEX(FILTER(Q$4:Q1034,Q$4:Q1034&lt;&gt;""""),ROWS(FILTER(Q$4:Q1034,Q$4:Q1034&lt;&gt;""""))),""^Sell_""),INDEX(FILTER(T$4:T1033,Q$4:Q1033&lt;&gt;""""),ROWS(FILTER(Q$4:Q1033,Q$4:Q1033&lt;&gt;""""))),$AD$5+S1034))"),"")</f>
        <v/>
      </c>
      <c r="U1034" s="10" t="str">
        <f>IFERROR(__xludf.DUMMYFUNCTION("IF(COUNTA(Q1034:Q1644)=0,"""",IF(Q1034="""",0,IF(REGEXMATCH(Q1034,""^Sell_""),-ROUNDDOWN(ROUNDUP(INDEX(Upgrades!$C$3:$C$13,MATCH(SUBSTITUTE(Q1034,""Sell_"",""""),Upgrades!$B$3:$B$13,0))*1.15^(COUNTIF(Q$4:Q1033,SUBSTITUTE(Q1034,""Sell_"",""""))-COUNTIF(Q$4"&amp;":Q1033,""Sell_""&amp;SUBSTITUTE(Q1034,""Sell_"",""""))))/2),ROUNDUP(INDEX(Upgrades!$C$3:$C$13,MATCH(Q1034,Upgrades!$B$3:$B$13,0))*1.15^(COUNTIF(Q$4:Q1033,Q1034)-COUNTIF(Q$4:Q1033,""Sell_""&amp;Q1034))))))"),"")</f>
        <v/>
      </c>
      <c r="V1034" s="10" t="str">
        <f t="shared" si="11"/>
        <v/>
      </c>
      <c r="W1034" s="68" t="str">
        <f t="shared" si="12"/>
        <v/>
      </c>
      <c r="X1034" s="59" t="str">
        <f t="shared" si="13"/>
        <v/>
      </c>
      <c r="Y1034" s="69" t="str">
        <f t="shared" si="14"/>
        <v/>
      </c>
      <c r="Z1034" s="11"/>
      <c r="AG1034" s="59"/>
    </row>
    <row r="1035">
      <c r="A1035" s="8"/>
      <c r="B1035" s="56" t="str">
        <f t="shared" si="2"/>
        <v/>
      </c>
      <c r="C1035" s="105"/>
      <c r="D1035" s="10"/>
      <c r="E1035" s="59" t="str">
        <f t="array" ref="E1035">IF(COUNTA(C1035:C1644)=0,"",SUM((COUNTIF(C$4:C1035,Upgrades!$B$3:$B$13)-COUNTIF(C$4:C1035,"Sell_"&amp;Upgrades!$B$3:$B$13))*Upgrades!$D$3:$D$13))</f>
        <v/>
      </c>
      <c r="F1035" s="66" t="str">
        <f>IFERROR(__xludf.DUMMYFUNCTION("IF(COUNTA(C1035:C1644)=0,"""",IF(REGEXMATCH(INDEX(FILTER(C$4:C1035,C$4:C1035&lt;&gt;""""),ROWS(FILTER(C$4:C1035,C$4:C1035&lt;&gt;""""))),""^Sell_""),INDEX(FILTER(F$4:F1034,C$4:C1034&lt;&gt;""""),ROWS(FILTER(C$4:C1034,C$4:C1034&lt;&gt;""""))),$AC$5+E1035))"),"")</f>
        <v/>
      </c>
      <c r="G1035" s="10" t="str">
        <f>IFERROR(__xludf.DUMMYFUNCTION("IF(COUNTA(C1035:C1644)=0,"""",IF(C1035="""",0,IF(REGEXMATCH(C1035,""^Sell_""),-ROUNDDOWN(ROUNDUP(INDEX(Upgrades!$C$3:$C$13,MATCH(SUBSTITUTE(C1035,""Sell_"",""""),Upgrades!$B$3:$B$13,0))*1.15^(COUNTIF(C$4:C1034,SUBSTITUTE(C1035,""Sell_"",""""))-COUNTIF(C$4"&amp;":C1034,""Sell_""&amp;SUBSTITUTE(C1035,""Sell_"",""""))))/2),ROUNDUP(INDEX(Upgrades!$C$3:$C$13,MATCH(C1035,Upgrades!$B$3:$B$13,0))*1.15^(COUNTIF(C$4:C1034,C1035)-COUNTIF(C$4:C1034,""Sell_""&amp;C1035))))))"),"")</f>
        <v/>
      </c>
      <c r="H1035" s="10" t="str">
        <f t="shared" si="3"/>
        <v/>
      </c>
      <c r="I1035" s="68" t="str">
        <f t="shared" si="4"/>
        <v/>
      </c>
      <c r="J1035" s="59" t="str">
        <f t="shared" si="5"/>
        <v/>
      </c>
      <c r="K1035" s="69" t="str">
        <f t="shared" si="6"/>
        <v/>
      </c>
      <c r="L1035" s="60" t="str">
        <f t="shared" si="7"/>
        <v/>
      </c>
      <c r="M1035" s="61" t="str">
        <f>IFERROR(__xludf.DUMMYFUNCTION("IFS(AND(COUNTA(C1035:C1644)=0,COUNTA(Q1035:Q1644)=0),"""",OR(AND(K1035&gt;=1000000000,OR(Y1035&gt;=1000000000,COUNTA(Q1035:Q1644)=0)),OR(Y1035&gt;=1000000000,AND(COUNTA(C1035:C1644)=0,P$3=TRUE))),
ROUNDDOWN((AB$1-AC$1)*MAX(INDEX(T$4:T1644,MATCH(LARGE(FILTER(Y$4:Y1"&amp;"644,Y$4:Y1644&lt;1000000000),1),Y$4:Y1644)),INDEX(F$4:F1644,MATCH(LARGE(FILTER(K$4:K1644,K$4:K1644&lt;1000000000),1),K$4:K1644)))),AND(K1035&lt;1000000000,COUNTA(C1035:C1644)&gt;0,P$3=FALSE),
ROUNDDOWN(INDEX(Y$4:Y1644,MATCH(LARGE(FILTER(W$4:W1644,W$4:W1644&lt;=I1035),1)"&amp;",W$4:W1644))+(I1035-LARGE(FILTER(W$4:W1644,W$4:W1644&lt;=I1035),1))*INDEX(T$4:T1644,MATCH(LARGE(FILTER(W$4:W1644,W$4:W1644&lt;=I1035),1),W$4:W1644))-K1035),1,
ROUNDDOWN(Y1035-INDEX(K$4:K1644,MATCH(LARGE(FILTER(I$4:I1644,I$4:I1644&lt;=W1035),1),I$4:I1644))-(W1035-L"&amp;"ARGE(FILTER(I$4:I1644,I$4:I1644&lt;=W1035),1))*INDEX(F$4:F1644,MATCH(LARGE(FILTER(I$4:I1644,I$4:I1644&lt;=W1035),1),I$4:I1644))))"),"")</f>
        <v/>
      </c>
      <c r="N1035" s="60" t="str">
        <f t="shared" si="8"/>
        <v/>
      </c>
      <c r="O1035" s="61" t="str">
        <f t="shared" si="9"/>
        <v/>
      </c>
      <c r="P1035" s="56" t="str">
        <f t="shared" si="10"/>
        <v/>
      </c>
      <c r="Q1035" s="105"/>
      <c r="R1035" s="10"/>
      <c r="S1035" s="59" t="str">
        <f t="array" ref="S1035">IF(COUNTA(Q1035:Q1644)=0,"",SUM((COUNTIF(Q$4:Q1035,Upgrades!$B$3:$B$13)-COUNTIF(Q$4:Q1035,"Sell_"&amp;Upgrades!$B$3:$B$13))*Upgrades!$D$3:$D$13))</f>
        <v/>
      </c>
      <c r="T1035" s="66" t="str">
        <f>IFERROR(__xludf.DUMMYFUNCTION("IF(COUNTA(Q1035:Q1644)=0,"""",IF(REGEXMATCH(INDEX(FILTER(Q$4:Q1035,Q$4:Q1035&lt;&gt;""""),ROWS(FILTER(Q$4:Q1035,Q$4:Q1035&lt;&gt;""""))),""^Sell_""),INDEX(FILTER(T$4:T1034,Q$4:Q1034&lt;&gt;""""),ROWS(FILTER(Q$4:Q1034,Q$4:Q1034&lt;&gt;""""))),$AD$5+S1035))"),"")</f>
        <v/>
      </c>
      <c r="U1035" s="10" t="str">
        <f>IFERROR(__xludf.DUMMYFUNCTION("IF(COUNTA(Q1035:Q1644)=0,"""",IF(Q1035="""",0,IF(REGEXMATCH(Q1035,""^Sell_""),-ROUNDDOWN(ROUNDUP(INDEX(Upgrades!$C$3:$C$13,MATCH(SUBSTITUTE(Q1035,""Sell_"",""""),Upgrades!$B$3:$B$13,0))*1.15^(COUNTIF(Q$4:Q1034,SUBSTITUTE(Q1035,""Sell_"",""""))-COUNTIF(Q$4"&amp;":Q1034,""Sell_""&amp;SUBSTITUTE(Q1035,""Sell_"",""""))))/2),ROUNDUP(INDEX(Upgrades!$C$3:$C$13,MATCH(Q1035,Upgrades!$B$3:$B$13,0))*1.15^(COUNTIF(Q$4:Q1034,Q1035)-COUNTIF(Q$4:Q1034,""Sell_""&amp;Q1035))))))"),"")</f>
        <v/>
      </c>
      <c r="V1035" s="10" t="str">
        <f t="shared" si="11"/>
        <v/>
      </c>
      <c r="W1035" s="68" t="str">
        <f t="shared" si="12"/>
        <v/>
      </c>
      <c r="X1035" s="59" t="str">
        <f t="shared" si="13"/>
        <v/>
      </c>
      <c r="Y1035" s="69" t="str">
        <f t="shared" si="14"/>
        <v/>
      </c>
      <c r="Z1035" s="11"/>
      <c r="AG1035" s="59"/>
    </row>
    <row r="1036">
      <c r="A1036" s="8"/>
      <c r="B1036" s="56" t="str">
        <f t="shared" si="2"/>
        <v/>
      </c>
      <c r="C1036" s="105"/>
      <c r="D1036" s="10"/>
      <c r="E1036" s="59" t="str">
        <f t="array" ref="E1036">IF(COUNTA(C1036:C1644)=0,"",SUM((COUNTIF(C$4:C1036,Upgrades!$B$3:$B$13)-COUNTIF(C$4:C1036,"Sell_"&amp;Upgrades!$B$3:$B$13))*Upgrades!$D$3:$D$13))</f>
        <v/>
      </c>
      <c r="F1036" s="66" t="str">
        <f>IFERROR(__xludf.DUMMYFUNCTION("IF(COUNTA(C1036:C1644)=0,"""",IF(REGEXMATCH(INDEX(FILTER(C$4:C1036,C$4:C1036&lt;&gt;""""),ROWS(FILTER(C$4:C1036,C$4:C1036&lt;&gt;""""))),""^Sell_""),INDEX(FILTER(F$4:F1035,C$4:C1035&lt;&gt;""""),ROWS(FILTER(C$4:C1035,C$4:C1035&lt;&gt;""""))),$AC$5+E1036))"),"")</f>
        <v/>
      </c>
      <c r="G1036" s="10" t="str">
        <f>IFERROR(__xludf.DUMMYFUNCTION("IF(COUNTA(C1036:C1644)=0,"""",IF(C1036="""",0,IF(REGEXMATCH(C1036,""^Sell_""),-ROUNDDOWN(ROUNDUP(INDEX(Upgrades!$C$3:$C$13,MATCH(SUBSTITUTE(C1036,""Sell_"",""""),Upgrades!$B$3:$B$13,0))*1.15^(COUNTIF(C$4:C1035,SUBSTITUTE(C1036,""Sell_"",""""))-COUNTIF(C$4"&amp;":C1035,""Sell_""&amp;SUBSTITUTE(C1036,""Sell_"",""""))))/2),ROUNDUP(INDEX(Upgrades!$C$3:$C$13,MATCH(C1036,Upgrades!$B$3:$B$13,0))*1.15^(COUNTIF(C$4:C1035,C1036)-COUNTIF(C$4:C1035,""Sell_""&amp;C1036))))))"),"")</f>
        <v/>
      </c>
      <c r="H1036" s="10" t="str">
        <f t="shared" si="3"/>
        <v/>
      </c>
      <c r="I1036" s="68" t="str">
        <f t="shared" si="4"/>
        <v/>
      </c>
      <c r="J1036" s="59" t="str">
        <f t="shared" si="5"/>
        <v/>
      </c>
      <c r="K1036" s="69" t="str">
        <f t="shared" si="6"/>
        <v/>
      </c>
      <c r="L1036" s="60" t="str">
        <f t="shared" si="7"/>
        <v/>
      </c>
      <c r="M1036" s="61" t="str">
        <f>IFERROR(__xludf.DUMMYFUNCTION("IFS(AND(COUNTA(C1036:C1644)=0,COUNTA(Q1036:Q1644)=0),"""",OR(AND(K1036&gt;=1000000000,OR(Y1036&gt;=1000000000,COUNTA(Q1036:Q1644)=0)),OR(Y1036&gt;=1000000000,AND(COUNTA(C1036:C1644)=0,P$3=TRUE))),
ROUNDDOWN((AB$1-AC$1)*MAX(INDEX(T$4:T1644,MATCH(LARGE(FILTER(Y$4:Y1"&amp;"644,Y$4:Y1644&lt;1000000000),1),Y$4:Y1644)),INDEX(F$4:F1644,MATCH(LARGE(FILTER(K$4:K1644,K$4:K1644&lt;1000000000),1),K$4:K1644)))),AND(K1036&lt;1000000000,COUNTA(C1036:C1644)&gt;0,P$3=FALSE),
ROUNDDOWN(INDEX(Y$4:Y1644,MATCH(LARGE(FILTER(W$4:W1644,W$4:W1644&lt;=I1036),1)"&amp;",W$4:W1644))+(I1036-LARGE(FILTER(W$4:W1644,W$4:W1644&lt;=I1036),1))*INDEX(T$4:T1644,MATCH(LARGE(FILTER(W$4:W1644,W$4:W1644&lt;=I1036),1),W$4:W1644))-K1036),1,
ROUNDDOWN(Y1036-INDEX(K$4:K1644,MATCH(LARGE(FILTER(I$4:I1644,I$4:I1644&lt;=W1036),1),I$4:I1644))-(W1036-L"&amp;"ARGE(FILTER(I$4:I1644,I$4:I1644&lt;=W1036),1))*INDEX(F$4:F1644,MATCH(LARGE(FILTER(I$4:I1644,I$4:I1644&lt;=W1036),1),I$4:I1644))))"),"")</f>
        <v/>
      </c>
      <c r="N1036" s="60" t="str">
        <f t="shared" si="8"/>
        <v/>
      </c>
      <c r="O1036" s="61" t="str">
        <f t="shared" si="9"/>
        <v/>
      </c>
      <c r="P1036" s="56" t="str">
        <f t="shared" si="10"/>
        <v/>
      </c>
      <c r="Q1036" s="105"/>
      <c r="R1036" s="10"/>
      <c r="S1036" s="59" t="str">
        <f t="array" ref="S1036">IF(COUNTA(Q1036:Q1644)=0,"",SUM((COUNTIF(Q$4:Q1036,Upgrades!$B$3:$B$13)-COUNTIF(Q$4:Q1036,"Sell_"&amp;Upgrades!$B$3:$B$13))*Upgrades!$D$3:$D$13))</f>
        <v/>
      </c>
      <c r="T1036" s="66" t="str">
        <f>IFERROR(__xludf.DUMMYFUNCTION("IF(COUNTA(Q1036:Q1644)=0,"""",IF(REGEXMATCH(INDEX(FILTER(Q$4:Q1036,Q$4:Q1036&lt;&gt;""""),ROWS(FILTER(Q$4:Q1036,Q$4:Q1036&lt;&gt;""""))),""^Sell_""),INDEX(FILTER(T$4:T1035,Q$4:Q1035&lt;&gt;""""),ROWS(FILTER(Q$4:Q1035,Q$4:Q1035&lt;&gt;""""))),$AD$5+S1036))"),"")</f>
        <v/>
      </c>
      <c r="U1036" s="10" t="str">
        <f>IFERROR(__xludf.DUMMYFUNCTION("IF(COUNTA(Q1036:Q1644)=0,"""",IF(Q1036="""",0,IF(REGEXMATCH(Q1036,""^Sell_""),-ROUNDDOWN(ROUNDUP(INDEX(Upgrades!$C$3:$C$13,MATCH(SUBSTITUTE(Q1036,""Sell_"",""""),Upgrades!$B$3:$B$13,0))*1.15^(COUNTIF(Q$4:Q1035,SUBSTITUTE(Q1036,""Sell_"",""""))-COUNTIF(Q$4"&amp;":Q1035,""Sell_""&amp;SUBSTITUTE(Q1036,""Sell_"",""""))))/2),ROUNDUP(INDEX(Upgrades!$C$3:$C$13,MATCH(Q1036,Upgrades!$B$3:$B$13,0))*1.15^(COUNTIF(Q$4:Q1035,Q1036)-COUNTIF(Q$4:Q1035,""Sell_""&amp;Q1036))))))"),"")</f>
        <v/>
      </c>
      <c r="V1036" s="10" t="str">
        <f t="shared" si="11"/>
        <v/>
      </c>
      <c r="W1036" s="68" t="str">
        <f t="shared" si="12"/>
        <v/>
      </c>
      <c r="X1036" s="59" t="str">
        <f t="shared" si="13"/>
        <v/>
      </c>
      <c r="Y1036" s="69" t="str">
        <f t="shared" si="14"/>
        <v/>
      </c>
      <c r="Z1036" s="11"/>
      <c r="AG1036" s="59"/>
    </row>
    <row r="1037">
      <c r="A1037" s="8"/>
      <c r="B1037" s="56" t="str">
        <f t="shared" si="2"/>
        <v/>
      </c>
      <c r="C1037" s="105"/>
      <c r="D1037" s="10"/>
      <c r="E1037" s="59" t="str">
        <f t="array" ref="E1037">IF(COUNTA(C1037:C1644)=0,"",SUM((COUNTIF(C$4:C1037,Upgrades!$B$3:$B$13)-COUNTIF(C$4:C1037,"Sell_"&amp;Upgrades!$B$3:$B$13))*Upgrades!$D$3:$D$13))</f>
        <v/>
      </c>
      <c r="F1037" s="66" t="str">
        <f>IFERROR(__xludf.DUMMYFUNCTION("IF(COUNTA(C1037:C1644)=0,"""",IF(REGEXMATCH(INDEX(FILTER(C$4:C1037,C$4:C1037&lt;&gt;""""),ROWS(FILTER(C$4:C1037,C$4:C1037&lt;&gt;""""))),""^Sell_""),INDEX(FILTER(F$4:F1036,C$4:C1036&lt;&gt;""""),ROWS(FILTER(C$4:C1036,C$4:C1036&lt;&gt;""""))),$AC$5+E1037))"),"")</f>
        <v/>
      </c>
      <c r="G1037" s="10" t="str">
        <f>IFERROR(__xludf.DUMMYFUNCTION("IF(COUNTA(C1037:C1644)=0,"""",IF(C1037="""",0,IF(REGEXMATCH(C1037,""^Sell_""),-ROUNDDOWN(ROUNDUP(INDEX(Upgrades!$C$3:$C$13,MATCH(SUBSTITUTE(C1037,""Sell_"",""""),Upgrades!$B$3:$B$13,0))*1.15^(COUNTIF(C$4:C1036,SUBSTITUTE(C1037,""Sell_"",""""))-COUNTIF(C$4"&amp;":C1036,""Sell_""&amp;SUBSTITUTE(C1037,""Sell_"",""""))))/2),ROUNDUP(INDEX(Upgrades!$C$3:$C$13,MATCH(C1037,Upgrades!$B$3:$B$13,0))*1.15^(COUNTIF(C$4:C1036,C1037)-COUNTIF(C$4:C1036,""Sell_""&amp;C1037))))))"),"")</f>
        <v/>
      </c>
      <c r="H1037" s="10" t="str">
        <f t="shared" si="3"/>
        <v/>
      </c>
      <c r="I1037" s="68" t="str">
        <f t="shared" si="4"/>
        <v/>
      </c>
      <c r="J1037" s="59" t="str">
        <f t="shared" si="5"/>
        <v/>
      </c>
      <c r="K1037" s="69" t="str">
        <f t="shared" si="6"/>
        <v/>
      </c>
      <c r="L1037" s="60" t="str">
        <f t="shared" si="7"/>
        <v/>
      </c>
      <c r="M1037" s="61" t="str">
        <f>IFERROR(__xludf.DUMMYFUNCTION("IFS(AND(COUNTA(C1037:C1644)=0,COUNTA(Q1037:Q1644)=0),"""",OR(AND(K1037&gt;=1000000000,OR(Y1037&gt;=1000000000,COUNTA(Q1037:Q1644)=0)),OR(Y1037&gt;=1000000000,AND(COUNTA(C1037:C1644)=0,P$3=TRUE))),
ROUNDDOWN((AB$1-AC$1)*MAX(INDEX(T$4:T1644,MATCH(LARGE(FILTER(Y$4:Y1"&amp;"644,Y$4:Y1644&lt;1000000000),1),Y$4:Y1644)),INDEX(F$4:F1644,MATCH(LARGE(FILTER(K$4:K1644,K$4:K1644&lt;1000000000),1),K$4:K1644)))),AND(K1037&lt;1000000000,COUNTA(C1037:C1644)&gt;0,P$3=FALSE),
ROUNDDOWN(INDEX(Y$4:Y1644,MATCH(LARGE(FILTER(W$4:W1644,W$4:W1644&lt;=I1037),1)"&amp;",W$4:W1644))+(I1037-LARGE(FILTER(W$4:W1644,W$4:W1644&lt;=I1037),1))*INDEX(T$4:T1644,MATCH(LARGE(FILTER(W$4:W1644,W$4:W1644&lt;=I1037),1),W$4:W1644))-K1037),1,
ROUNDDOWN(Y1037-INDEX(K$4:K1644,MATCH(LARGE(FILTER(I$4:I1644,I$4:I1644&lt;=W1037),1),I$4:I1644))-(W1037-L"&amp;"ARGE(FILTER(I$4:I1644,I$4:I1644&lt;=W1037),1))*INDEX(F$4:F1644,MATCH(LARGE(FILTER(I$4:I1644,I$4:I1644&lt;=W1037),1),I$4:I1644))))"),"")</f>
        <v/>
      </c>
      <c r="N1037" s="60" t="str">
        <f t="shared" si="8"/>
        <v/>
      </c>
      <c r="O1037" s="61" t="str">
        <f t="shared" si="9"/>
        <v/>
      </c>
      <c r="P1037" s="56" t="str">
        <f t="shared" si="10"/>
        <v/>
      </c>
      <c r="Q1037" s="105"/>
      <c r="R1037" s="10"/>
      <c r="S1037" s="59" t="str">
        <f t="array" ref="S1037">IF(COUNTA(Q1037:Q1644)=0,"",SUM((COUNTIF(Q$4:Q1037,Upgrades!$B$3:$B$13)-COUNTIF(Q$4:Q1037,"Sell_"&amp;Upgrades!$B$3:$B$13))*Upgrades!$D$3:$D$13))</f>
        <v/>
      </c>
      <c r="T1037" s="66" t="str">
        <f>IFERROR(__xludf.DUMMYFUNCTION("IF(COUNTA(Q1037:Q1644)=0,"""",IF(REGEXMATCH(INDEX(FILTER(Q$4:Q1037,Q$4:Q1037&lt;&gt;""""),ROWS(FILTER(Q$4:Q1037,Q$4:Q1037&lt;&gt;""""))),""^Sell_""),INDEX(FILTER(T$4:T1036,Q$4:Q1036&lt;&gt;""""),ROWS(FILTER(Q$4:Q1036,Q$4:Q1036&lt;&gt;""""))),$AD$5+S1037))"),"")</f>
        <v/>
      </c>
      <c r="U1037" s="10" t="str">
        <f>IFERROR(__xludf.DUMMYFUNCTION("IF(COUNTA(Q1037:Q1644)=0,"""",IF(Q1037="""",0,IF(REGEXMATCH(Q1037,""^Sell_""),-ROUNDDOWN(ROUNDUP(INDEX(Upgrades!$C$3:$C$13,MATCH(SUBSTITUTE(Q1037,""Sell_"",""""),Upgrades!$B$3:$B$13,0))*1.15^(COUNTIF(Q$4:Q1036,SUBSTITUTE(Q1037,""Sell_"",""""))-COUNTIF(Q$4"&amp;":Q1036,""Sell_""&amp;SUBSTITUTE(Q1037,""Sell_"",""""))))/2),ROUNDUP(INDEX(Upgrades!$C$3:$C$13,MATCH(Q1037,Upgrades!$B$3:$B$13,0))*1.15^(COUNTIF(Q$4:Q1036,Q1037)-COUNTIF(Q$4:Q1036,""Sell_""&amp;Q1037))))))"),"")</f>
        <v/>
      </c>
      <c r="V1037" s="10" t="str">
        <f t="shared" si="11"/>
        <v/>
      </c>
      <c r="W1037" s="68" t="str">
        <f t="shared" si="12"/>
        <v/>
      </c>
      <c r="X1037" s="59" t="str">
        <f t="shared" si="13"/>
        <v/>
      </c>
      <c r="Y1037" s="69" t="str">
        <f t="shared" si="14"/>
        <v/>
      </c>
      <c r="Z1037" s="11"/>
      <c r="AG1037" s="59"/>
    </row>
    <row r="1038">
      <c r="A1038" s="8"/>
      <c r="B1038" s="56" t="str">
        <f t="shared" si="2"/>
        <v/>
      </c>
      <c r="C1038" s="105"/>
      <c r="D1038" s="10"/>
      <c r="E1038" s="59" t="str">
        <f t="array" ref="E1038">IF(COUNTA(C1038:C1644)=0,"",SUM((COUNTIF(C$4:C1038,Upgrades!$B$3:$B$13)-COUNTIF(C$4:C1038,"Sell_"&amp;Upgrades!$B$3:$B$13))*Upgrades!$D$3:$D$13))</f>
        <v/>
      </c>
      <c r="F1038" s="66" t="str">
        <f>IFERROR(__xludf.DUMMYFUNCTION("IF(COUNTA(C1038:C1644)=0,"""",IF(REGEXMATCH(INDEX(FILTER(C$4:C1038,C$4:C1038&lt;&gt;""""),ROWS(FILTER(C$4:C1038,C$4:C1038&lt;&gt;""""))),""^Sell_""),INDEX(FILTER(F$4:F1037,C$4:C1037&lt;&gt;""""),ROWS(FILTER(C$4:C1037,C$4:C1037&lt;&gt;""""))),$AC$5+E1038))"),"")</f>
        <v/>
      </c>
      <c r="G1038" s="10" t="str">
        <f>IFERROR(__xludf.DUMMYFUNCTION("IF(COUNTA(C1038:C1644)=0,"""",IF(C1038="""",0,IF(REGEXMATCH(C1038,""^Sell_""),-ROUNDDOWN(ROUNDUP(INDEX(Upgrades!$C$3:$C$13,MATCH(SUBSTITUTE(C1038,""Sell_"",""""),Upgrades!$B$3:$B$13,0))*1.15^(COUNTIF(C$4:C1037,SUBSTITUTE(C1038,""Sell_"",""""))-COUNTIF(C$4"&amp;":C1037,""Sell_""&amp;SUBSTITUTE(C1038,""Sell_"",""""))))/2),ROUNDUP(INDEX(Upgrades!$C$3:$C$13,MATCH(C1038,Upgrades!$B$3:$B$13,0))*1.15^(COUNTIF(C$4:C1037,C1038)-COUNTIF(C$4:C1037,""Sell_""&amp;C1038))))))"),"")</f>
        <v/>
      </c>
      <c r="H1038" s="10" t="str">
        <f t="shared" si="3"/>
        <v/>
      </c>
      <c r="I1038" s="68" t="str">
        <f t="shared" si="4"/>
        <v/>
      </c>
      <c r="J1038" s="59" t="str">
        <f t="shared" si="5"/>
        <v/>
      </c>
      <c r="K1038" s="69" t="str">
        <f t="shared" si="6"/>
        <v/>
      </c>
      <c r="L1038" s="60" t="str">
        <f t="shared" si="7"/>
        <v/>
      </c>
      <c r="M1038" s="61" t="str">
        <f>IFERROR(__xludf.DUMMYFUNCTION("IFS(AND(COUNTA(C1038:C1644)=0,COUNTA(Q1038:Q1644)=0),"""",OR(AND(K1038&gt;=1000000000,OR(Y1038&gt;=1000000000,COUNTA(Q1038:Q1644)=0)),OR(Y1038&gt;=1000000000,AND(COUNTA(C1038:C1644)=0,P$3=TRUE))),
ROUNDDOWN((AB$1-AC$1)*MAX(INDEX(T$4:T1644,MATCH(LARGE(FILTER(Y$4:Y1"&amp;"644,Y$4:Y1644&lt;1000000000),1),Y$4:Y1644)),INDEX(F$4:F1644,MATCH(LARGE(FILTER(K$4:K1644,K$4:K1644&lt;1000000000),1),K$4:K1644)))),AND(K1038&lt;1000000000,COUNTA(C1038:C1644)&gt;0,P$3=FALSE),
ROUNDDOWN(INDEX(Y$4:Y1644,MATCH(LARGE(FILTER(W$4:W1644,W$4:W1644&lt;=I1038),1)"&amp;",W$4:W1644))+(I1038-LARGE(FILTER(W$4:W1644,W$4:W1644&lt;=I1038),1))*INDEX(T$4:T1644,MATCH(LARGE(FILTER(W$4:W1644,W$4:W1644&lt;=I1038),1),W$4:W1644))-K1038),1,
ROUNDDOWN(Y1038-INDEX(K$4:K1644,MATCH(LARGE(FILTER(I$4:I1644,I$4:I1644&lt;=W1038),1),I$4:I1644))-(W1038-L"&amp;"ARGE(FILTER(I$4:I1644,I$4:I1644&lt;=W1038),1))*INDEX(F$4:F1644,MATCH(LARGE(FILTER(I$4:I1644,I$4:I1644&lt;=W1038),1),I$4:I1644))))"),"")</f>
        <v/>
      </c>
      <c r="N1038" s="60" t="str">
        <f t="shared" si="8"/>
        <v/>
      </c>
      <c r="O1038" s="61" t="str">
        <f t="shared" si="9"/>
        <v/>
      </c>
      <c r="P1038" s="56" t="str">
        <f t="shared" si="10"/>
        <v/>
      </c>
      <c r="Q1038" s="105"/>
      <c r="R1038" s="10"/>
      <c r="S1038" s="59" t="str">
        <f t="array" ref="S1038">IF(COUNTA(Q1038:Q1644)=0,"",SUM((COUNTIF(Q$4:Q1038,Upgrades!$B$3:$B$13)-COUNTIF(Q$4:Q1038,"Sell_"&amp;Upgrades!$B$3:$B$13))*Upgrades!$D$3:$D$13))</f>
        <v/>
      </c>
      <c r="T1038" s="66" t="str">
        <f>IFERROR(__xludf.DUMMYFUNCTION("IF(COUNTA(Q1038:Q1644)=0,"""",IF(REGEXMATCH(INDEX(FILTER(Q$4:Q1038,Q$4:Q1038&lt;&gt;""""),ROWS(FILTER(Q$4:Q1038,Q$4:Q1038&lt;&gt;""""))),""^Sell_""),INDEX(FILTER(T$4:T1037,Q$4:Q1037&lt;&gt;""""),ROWS(FILTER(Q$4:Q1037,Q$4:Q1037&lt;&gt;""""))),$AD$5+S1038))"),"")</f>
        <v/>
      </c>
      <c r="U1038" s="10" t="str">
        <f>IFERROR(__xludf.DUMMYFUNCTION("IF(COUNTA(Q1038:Q1644)=0,"""",IF(Q1038="""",0,IF(REGEXMATCH(Q1038,""^Sell_""),-ROUNDDOWN(ROUNDUP(INDEX(Upgrades!$C$3:$C$13,MATCH(SUBSTITUTE(Q1038,""Sell_"",""""),Upgrades!$B$3:$B$13,0))*1.15^(COUNTIF(Q$4:Q1037,SUBSTITUTE(Q1038,""Sell_"",""""))-COUNTIF(Q$4"&amp;":Q1037,""Sell_""&amp;SUBSTITUTE(Q1038,""Sell_"",""""))))/2),ROUNDUP(INDEX(Upgrades!$C$3:$C$13,MATCH(Q1038,Upgrades!$B$3:$B$13,0))*1.15^(COUNTIF(Q$4:Q1037,Q1038)-COUNTIF(Q$4:Q1037,""Sell_""&amp;Q1038))))))"),"")</f>
        <v/>
      </c>
      <c r="V1038" s="10" t="str">
        <f t="shared" si="11"/>
        <v/>
      </c>
      <c r="W1038" s="68" t="str">
        <f t="shared" si="12"/>
        <v/>
      </c>
      <c r="X1038" s="59" t="str">
        <f t="shared" si="13"/>
        <v/>
      </c>
      <c r="Y1038" s="69" t="str">
        <f t="shared" si="14"/>
        <v/>
      </c>
      <c r="Z1038" s="11"/>
      <c r="AG1038" s="59"/>
    </row>
    <row r="1039">
      <c r="A1039" s="8"/>
      <c r="B1039" s="56" t="str">
        <f t="shared" si="2"/>
        <v/>
      </c>
      <c r="C1039" s="105"/>
      <c r="D1039" s="10"/>
      <c r="E1039" s="59" t="str">
        <f t="array" ref="E1039">IF(COUNTA(C1039:C1644)=0,"",SUM((COUNTIF(C$4:C1039,Upgrades!$B$3:$B$13)-COUNTIF(C$4:C1039,"Sell_"&amp;Upgrades!$B$3:$B$13))*Upgrades!$D$3:$D$13))</f>
        <v/>
      </c>
      <c r="F1039" s="66" t="str">
        <f>IFERROR(__xludf.DUMMYFUNCTION("IF(COUNTA(C1039:C1644)=0,"""",IF(REGEXMATCH(INDEX(FILTER(C$4:C1039,C$4:C1039&lt;&gt;""""),ROWS(FILTER(C$4:C1039,C$4:C1039&lt;&gt;""""))),""^Sell_""),INDEX(FILTER(F$4:F1038,C$4:C1038&lt;&gt;""""),ROWS(FILTER(C$4:C1038,C$4:C1038&lt;&gt;""""))),$AC$5+E1039))"),"")</f>
        <v/>
      </c>
      <c r="G1039" s="10" t="str">
        <f>IFERROR(__xludf.DUMMYFUNCTION("IF(COUNTA(C1039:C1644)=0,"""",IF(C1039="""",0,IF(REGEXMATCH(C1039,""^Sell_""),-ROUNDDOWN(ROUNDUP(INDEX(Upgrades!$C$3:$C$13,MATCH(SUBSTITUTE(C1039,""Sell_"",""""),Upgrades!$B$3:$B$13,0))*1.15^(COUNTIF(C$4:C1038,SUBSTITUTE(C1039,""Sell_"",""""))-COUNTIF(C$4"&amp;":C1038,""Sell_""&amp;SUBSTITUTE(C1039,""Sell_"",""""))))/2),ROUNDUP(INDEX(Upgrades!$C$3:$C$13,MATCH(C1039,Upgrades!$B$3:$B$13,0))*1.15^(COUNTIF(C$4:C1038,C1039)-COUNTIF(C$4:C1038,""Sell_""&amp;C1039))))))"),"")</f>
        <v/>
      </c>
      <c r="H1039" s="10" t="str">
        <f t="shared" si="3"/>
        <v/>
      </c>
      <c r="I1039" s="68" t="str">
        <f t="shared" si="4"/>
        <v/>
      </c>
      <c r="J1039" s="59" t="str">
        <f t="shared" si="5"/>
        <v/>
      </c>
      <c r="K1039" s="69" t="str">
        <f t="shared" si="6"/>
        <v/>
      </c>
      <c r="L1039" s="60" t="str">
        <f t="shared" si="7"/>
        <v/>
      </c>
      <c r="M1039" s="61" t="str">
        <f>IFERROR(__xludf.DUMMYFUNCTION("IFS(AND(COUNTA(C1039:C1644)=0,COUNTA(Q1039:Q1644)=0),"""",OR(AND(K1039&gt;=1000000000,OR(Y1039&gt;=1000000000,COUNTA(Q1039:Q1644)=0)),OR(Y1039&gt;=1000000000,AND(COUNTA(C1039:C1644)=0,P$3=TRUE))),
ROUNDDOWN((AB$1-AC$1)*MAX(INDEX(T$4:T1644,MATCH(LARGE(FILTER(Y$4:Y1"&amp;"644,Y$4:Y1644&lt;1000000000),1),Y$4:Y1644)),INDEX(F$4:F1644,MATCH(LARGE(FILTER(K$4:K1644,K$4:K1644&lt;1000000000),1),K$4:K1644)))),AND(K1039&lt;1000000000,COUNTA(C1039:C1644)&gt;0,P$3=FALSE),
ROUNDDOWN(INDEX(Y$4:Y1644,MATCH(LARGE(FILTER(W$4:W1644,W$4:W1644&lt;=I1039),1)"&amp;",W$4:W1644))+(I1039-LARGE(FILTER(W$4:W1644,W$4:W1644&lt;=I1039),1))*INDEX(T$4:T1644,MATCH(LARGE(FILTER(W$4:W1644,W$4:W1644&lt;=I1039),1),W$4:W1644))-K1039),1,
ROUNDDOWN(Y1039-INDEX(K$4:K1644,MATCH(LARGE(FILTER(I$4:I1644,I$4:I1644&lt;=W1039),1),I$4:I1644))-(W1039-L"&amp;"ARGE(FILTER(I$4:I1644,I$4:I1644&lt;=W1039),1))*INDEX(F$4:F1644,MATCH(LARGE(FILTER(I$4:I1644,I$4:I1644&lt;=W1039),1),I$4:I1644))))"),"")</f>
        <v/>
      </c>
      <c r="N1039" s="60" t="str">
        <f t="shared" si="8"/>
        <v/>
      </c>
      <c r="O1039" s="61" t="str">
        <f t="shared" si="9"/>
        <v/>
      </c>
      <c r="P1039" s="56" t="str">
        <f t="shared" si="10"/>
        <v/>
      </c>
      <c r="Q1039" s="105"/>
      <c r="R1039" s="10"/>
      <c r="S1039" s="59" t="str">
        <f t="array" ref="S1039">IF(COUNTA(Q1039:Q1644)=0,"",SUM((COUNTIF(Q$4:Q1039,Upgrades!$B$3:$B$13)-COUNTIF(Q$4:Q1039,"Sell_"&amp;Upgrades!$B$3:$B$13))*Upgrades!$D$3:$D$13))</f>
        <v/>
      </c>
      <c r="T1039" s="66" t="str">
        <f>IFERROR(__xludf.DUMMYFUNCTION("IF(COUNTA(Q1039:Q1644)=0,"""",IF(REGEXMATCH(INDEX(FILTER(Q$4:Q1039,Q$4:Q1039&lt;&gt;""""),ROWS(FILTER(Q$4:Q1039,Q$4:Q1039&lt;&gt;""""))),""^Sell_""),INDEX(FILTER(T$4:T1038,Q$4:Q1038&lt;&gt;""""),ROWS(FILTER(Q$4:Q1038,Q$4:Q1038&lt;&gt;""""))),$AD$5+S1039))"),"")</f>
        <v/>
      </c>
      <c r="U1039" s="10" t="str">
        <f>IFERROR(__xludf.DUMMYFUNCTION("IF(COUNTA(Q1039:Q1644)=0,"""",IF(Q1039="""",0,IF(REGEXMATCH(Q1039,""^Sell_""),-ROUNDDOWN(ROUNDUP(INDEX(Upgrades!$C$3:$C$13,MATCH(SUBSTITUTE(Q1039,""Sell_"",""""),Upgrades!$B$3:$B$13,0))*1.15^(COUNTIF(Q$4:Q1038,SUBSTITUTE(Q1039,""Sell_"",""""))-COUNTIF(Q$4"&amp;":Q1038,""Sell_""&amp;SUBSTITUTE(Q1039,""Sell_"",""""))))/2),ROUNDUP(INDEX(Upgrades!$C$3:$C$13,MATCH(Q1039,Upgrades!$B$3:$B$13,0))*1.15^(COUNTIF(Q$4:Q1038,Q1039)-COUNTIF(Q$4:Q1038,""Sell_""&amp;Q1039))))))"),"")</f>
        <v/>
      </c>
      <c r="V1039" s="10" t="str">
        <f t="shared" si="11"/>
        <v/>
      </c>
      <c r="W1039" s="68" t="str">
        <f t="shared" si="12"/>
        <v/>
      </c>
      <c r="X1039" s="59" t="str">
        <f t="shared" si="13"/>
        <v/>
      </c>
      <c r="Y1039" s="69" t="str">
        <f t="shared" si="14"/>
        <v/>
      </c>
      <c r="Z1039" s="11"/>
      <c r="AG1039" s="59"/>
    </row>
    <row r="1040">
      <c r="A1040" s="8"/>
      <c r="B1040" s="56" t="str">
        <f t="shared" si="2"/>
        <v/>
      </c>
      <c r="C1040" s="105"/>
      <c r="D1040" s="10"/>
      <c r="E1040" s="59" t="str">
        <f t="array" ref="E1040">IF(COUNTA(C1040:C1644)=0,"",SUM((COUNTIF(C$4:C1040,Upgrades!$B$3:$B$13)-COUNTIF(C$4:C1040,"Sell_"&amp;Upgrades!$B$3:$B$13))*Upgrades!$D$3:$D$13))</f>
        <v/>
      </c>
      <c r="F1040" s="66" t="str">
        <f>IFERROR(__xludf.DUMMYFUNCTION("IF(COUNTA(C1040:C1644)=0,"""",IF(REGEXMATCH(INDEX(FILTER(C$4:C1040,C$4:C1040&lt;&gt;""""),ROWS(FILTER(C$4:C1040,C$4:C1040&lt;&gt;""""))),""^Sell_""),INDEX(FILTER(F$4:F1039,C$4:C1039&lt;&gt;""""),ROWS(FILTER(C$4:C1039,C$4:C1039&lt;&gt;""""))),$AC$5+E1040))"),"")</f>
        <v/>
      </c>
      <c r="G1040" s="10" t="str">
        <f>IFERROR(__xludf.DUMMYFUNCTION("IF(COUNTA(C1040:C1644)=0,"""",IF(C1040="""",0,IF(REGEXMATCH(C1040,""^Sell_""),-ROUNDDOWN(ROUNDUP(INDEX(Upgrades!$C$3:$C$13,MATCH(SUBSTITUTE(C1040,""Sell_"",""""),Upgrades!$B$3:$B$13,0))*1.15^(COUNTIF(C$4:C1039,SUBSTITUTE(C1040,""Sell_"",""""))-COUNTIF(C$4"&amp;":C1039,""Sell_""&amp;SUBSTITUTE(C1040,""Sell_"",""""))))/2),ROUNDUP(INDEX(Upgrades!$C$3:$C$13,MATCH(C1040,Upgrades!$B$3:$B$13,0))*1.15^(COUNTIF(C$4:C1039,C1040)-COUNTIF(C$4:C1039,""Sell_""&amp;C1040))))))"),"")</f>
        <v/>
      </c>
      <c r="H1040" s="10" t="str">
        <f t="shared" si="3"/>
        <v/>
      </c>
      <c r="I1040" s="68" t="str">
        <f t="shared" si="4"/>
        <v/>
      </c>
      <c r="J1040" s="59" t="str">
        <f t="shared" si="5"/>
        <v/>
      </c>
      <c r="K1040" s="69" t="str">
        <f t="shared" si="6"/>
        <v/>
      </c>
      <c r="L1040" s="60" t="str">
        <f t="shared" si="7"/>
        <v/>
      </c>
      <c r="M1040" s="61" t="str">
        <f>IFERROR(__xludf.DUMMYFUNCTION("IFS(AND(COUNTA(C1040:C1644)=0,COUNTA(Q1040:Q1644)=0),"""",OR(AND(K1040&gt;=1000000000,OR(Y1040&gt;=1000000000,COUNTA(Q1040:Q1644)=0)),OR(Y1040&gt;=1000000000,AND(COUNTA(C1040:C1644)=0,P$3=TRUE))),
ROUNDDOWN((AB$1-AC$1)*MAX(INDEX(T$4:T1644,MATCH(LARGE(FILTER(Y$4:Y1"&amp;"644,Y$4:Y1644&lt;1000000000),1),Y$4:Y1644)),INDEX(F$4:F1644,MATCH(LARGE(FILTER(K$4:K1644,K$4:K1644&lt;1000000000),1),K$4:K1644)))),AND(K1040&lt;1000000000,COUNTA(C1040:C1644)&gt;0,P$3=FALSE),
ROUNDDOWN(INDEX(Y$4:Y1644,MATCH(LARGE(FILTER(W$4:W1644,W$4:W1644&lt;=I1040),1)"&amp;",W$4:W1644))+(I1040-LARGE(FILTER(W$4:W1644,W$4:W1644&lt;=I1040),1))*INDEX(T$4:T1644,MATCH(LARGE(FILTER(W$4:W1644,W$4:W1644&lt;=I1040),1),W$4:W1644))-K1040),1,
ROUNDDOWN(Y1040-INDEX(K$4:K1644,MATCH(LARGE(FILTER(I$4:I1644,I$4:I1644&lt;=W1040),1),I$4:I1644))-(W1040-L"&amp;"ARGE(FILTER(I$4:I1644,I$4:I1644&lt;=W1040),1))*INDEX(F$4:F1644,MATCH(LARGE(FILTER(I$4:I1644,I$4:I1644&lt;=W1040),1),I$4:I1644))))"),"")</f>
        <v/>
      </c>
      <c r="N1040" s="60" t="str">
        <f t="shared" si="8"/>
        <v/>
      </c>
      <c r="O1040" s="61" t="str">
        <f t="shared" si="9"/>
        <v/>
      </c>
      <c r="P1040" s="56" t="str">
        <f t="shared" si="10"/>
        <v/>
      </c>
      <c r="Q1040" s="105"/>
      <c r="R1040" s="10"/>
      <c r="S1040" s="59" t="str">
        <f t="array" ref="S1040">IF(COUNTA(Q1040:Q1644)=0,"",SUM((COUNTIF(Q$4:Q1040,Upgrades!$B$3:$B$13)-COUNTIF(Q$4:Q1040,"Sell_"&amp;Upgrades!$B$3:$B$13))*Upgrades!$D$3:$D$13))</f>
        <v/>
      </c>
      <c r="T1040" s="66" t="str">
        <f>IFERROR(__xludf.DUMMYFUNCTION("IF(COUNTA(Q1040:Q1644)=0,"""",IF(REGEXMATCH(INDEX(FILTER(Q$4:Q1040,Q$4:Q1040&lt;&gt;""""),ROWS(FILTER(Q$4:Q1040,Q$4:Q1040&lt;&gt;""""))),""^Sell_""),INDEX(FILTER(T$4:T1039,Q$4:Q1039&lt;&gt;""""),ROWS(FILTER(Q$4:Q1039,Q$4:Q1039&lt;&gt;""""))),$AD$5+S1040))"),"")</f>
        <v/>
      </c>
      <c r="U1040" s="10" t="str">
        <f>IFERROR(__xludf.DUMMYFUNCTION("IF(COUNTA(Q1040:Q1644)=0,"""",IF(Q1040="""",0,IF(REGEXMATCH(Q1040,""^Sell_""),-ROUNDDOWN(ROUNDUP(INDEX(Upgrades!$C$3:$C$13,MATCH(SUBSTITUTE(Q1040,""Sell_"",""""),Upgrades!$B$3:$B$13,0))*1.15^(COUNTIF(Q$4:Q1039,SUBSTITUTE(Q1040,""Sell_"",""""))-COUNTIF(Q$4"&amp;":Q1039,""Sell_""&amp;SUBSTITUTE(Q1040,""Sell_"",""""))))/2),ROUNDUP(INDEX(Upgrades!$C$3:$C$13,MATCH(Q1040,Upgrades!$B$3:$B$13,0))*1.15^(COUNTIF(Q$4:Q1039,Q1040)-COUNTIF(Q$4:Q1039,""Sell_""&amp;Q1040))))))"),"")</f>
        <v/>
      </c>
      <c r="V1040" s="10" t="str">
        <f t="shared" si="11"/>
        <v/>
      </c>
      <c r="W1040" s="68" t="str">
        <f t="shared" si="12"/>
        <v/>
      </c>
      <c r="X1040" s="59" t="str">
        <f t="shared" si="13"/>
        <v/>
      </c>
      <c r="Y1040" s="69" t="str">
        <f t="shared" si="14"/>
        <v/>
      </c>
      <c r="Z1040" s="11"/>
      <c r="AG1040" s="59"/>
    </row>
    <row r="1041">
      <c r="A1041" s="8"/>
      <c r="B1041" s="56" t="str">
        <f t="shared" si="2"/>
        <v/>
      </c>
      <c r="C1041" s="105"/>
      <c r="D1041" s="10"/>
      <c r="E1041" s="59" t="str">
        <f t="array" ref="E1041">IF(COUNTA(C1041:C1644)=0,"",SUM((COUNTIF(C$4:C1041,Upgrades!$B$3:$B$13)-COUNTIF(C$4:C1041,"Sell_"&amp;Upgrades!$B$3:$B$13))*Upgrades!$D$3:$D$13))</f>
        <v/>
      </c>
      <c r="F1041" s="66" t="str">
        <f>IFERROR(__xludf.DUMMYFUNCTION("IF(COUNTA(C1041:C1644)=0,"""",IF(REGEXMATCH(INDEX(FILTER(C$4:C1041,C$4:C1041&lt;&gt;""""),ROWS(FILTER(C$4:C1041,C$4:C1041&lt;&gt;""""))),""^Sell_""),INDEX(FILTER(F$4:F1040,C$4:C1040&lt;&gt;""""),ROWS(FILTER(C$4:C1040,C$4:C1040&lt;&gt;""""))),$AC$5+E1041))"),"")</f>
        <v/>
      </c>
      <c r="G1041" s="10" t="str">
        <f>IFERROR(__xludf.DUMMYFUNCTION("IF(COUNTA(C1041:C1644)=0,"""",IF(C1041="""",0,IF(REGEXMATCH(C1041,""^Sell_""),-ROUNDDOWN(ROUNDUP(INDEX(Upgrades!$C$3:$C$13,MATCH(SUBSTITUTE(C1041,""Sell_"",""""),Upgrades!$B$3:$B$13,0))*1.15^(COUNTIF(C$4:C1040,SUBSTITUTE(C1041,""Sell_"",""""))-COUNTIF(C$4"&amp;":C1040,""Sell_""&amp;SUBSTITUTE(C1041,""Sell_"",""""))))/2),ROUNDUP(INDEX(Upgrades!$C$3:$C$13,MATCH(C1041,Upgrades!$B$3:$B$13,0))*1.15^(COUNTIF(C$4:C1040,C1041)-COUNTIF(C$4:C1040,""Sell_""&amp;C1041))))))"),"")</f>
        <v/>
      </c>
      <c r="H1041" s="10" t="str">
        <f t="shared" si="3"/>
        <v/>
      </c>
      <c r="I1041" s="68" t="str">
        <f t="shared" si="4"/>
        <v/>
      </c>
      <c r="J1041" s="59" t="str">
        <f t="shared" si="5"/>
        <v/>
      </c>
      <c r="K1041" s="69" t="str">
        <f t="shared" si="6"/>
        <v/>
      </c>
      <c r="L1041" s="60" t="str">
        <f t="shared" si="7"/>
        <v/>
      </c>
      <c r="M1041" s="61" t="str">
        <f>IFERROR(__xludf.DUMMYFUNCTION("IFS(AND(COUNTA(C1041:C1644)=0,COUNTA(Q1041:Q1644)=0),"""",OR(AND(K1041&gt;=1000000000,OR(Y1041&gt;=1000000000,COUNTA(Q1041:Q1644)=0)),OR(Y1041&gt;=1000000000,AND(COUNTA(C1041:C1644)=0,P$3=TRUE))),
ROUNDDOWN((AB$1-AC$1)*MAX(INDEX(T$4:T1644,MATCH(LARGE(FILTER(Y$4:Y1"&amp;"644,Y$4:Y1644&lt;1000000000),1),Y$4:Y1644)),INDEX(F$4:F1644,MATCH(LARGE(FILTER(K$4:K1644,K$4:K1644&lt;1000000000),1),K$4:K1644)))),AND(K1041&lt;1000000000,COUNTA(C1041:C1644)&gt;0,P$3=FALSE),
ROUNDDOWN(INDEX(Y$4:Y1644,MATCH(LARGE(FILTER(W$4:W1644,W$4:W1644&lt;=I1041),1)"&amp;",W$4:W1644))+(I1041-LARGE(FILTER(W$4:W1644,W$4:W1644&lt;=I1041),1))*INDEX(T$4:T1644,MATCH(LARGE(FILTER(W$4:W1644,W$4:W1644&lt;=I1041),1),W$4:W1644))-K1041),1,
ROUNDDOWN(Y1041-INDEX(K$4:K1644,MATCH(LARGE(FILTER(I$4:I1644,I$4:I1644&lt;=W1041),1),I$4:I1644))-(W1041-L"&amp;"ARGE(FILTER(I$4:I1644,I$4:I1644&lt;=W1041),1))*INDEX(F$4:F1644,MATCH(LARGE(FILTER(I$4:I1644,I$4:I1644&lt;=W1041),1),I$4:I1644))))"),"")</f>
        <v/>
      </c>
      <c r="N1041" s="60" t="str">
        <f t="shared" si="8"/>
        <v/>
      </c>
      <c r="O1041" s="61" t="str">
        <f t="shared" si="9"/>
        <v/>
      </c>
      <c r="P1041" s="56" t="str">
        <f t="shared" si="10"/>
        <v/>
      </c>
      <c r="Q1041" s="105"/>
      <c r="R1041" s="10"/>
      <c r="S1041" s="59" t="str">
        <f t="array" ref="S1041">IF(COUNTA(Q1041:Q1644)=0,"",SUM((COUNTIF(Q$4:Q1041,Upgrades!$B$3:$B$13)-COUNTIF(Q$4:Q1041,"Sell_"&amp;Upgrades!$B$3:$B$13))*Upgrades!$D$3:$D$13))</f>
        <v/>
      </c>
      <c r="T1041" s="66" t="str">
        <f>IFERROR(__xludf.DUMMYFUNCTION("IF(COUNTA(Q1041:Q1644)=0,"""",IF(REGEXMATCH(INDEX(FILTER(Q$4:Q1041,Q$4:Q1041&lt;&gt;""""),ROWS(FILTER(Q$4:Q1041,Q$4:Q1041&lt;&gt;""""))),""^Sell_""),INDEX(FILTER(T$4:T1040,Q$4:Q1040&lt;&gt;""""),ROWS(FILTER(Q$4:Q1040,Q$4:Q1040&lt;&gt;""""))),$AD$5+S1041))"),"")</f>
        <v/>
      </c>
      <c r="U1041" s="10" t="str">
        <f>IFERROR(__xludf.DUMMYFUNCTION("IF(COUNTA(Q1041:Q1644)=0,"""",IF(Q1041="""",0,IF(REGEXMATCH(Q1041,""^Sell_""),-ROUNDDOWN(ROUNDUP(INDEX(Upgrades!$C$3:$C$13,MATCH(SUBSTITUTE(Q1041,""Sell_"",""""),Upgrades!$B$3:$B$13,0))*1.15^(COUNTIF(Q$4:Q1040,SUBSTITUTE(Q1041,""Sell_"",""""))-COUNTIF(Q$4"&amp;":Q1040,""Sell_""&amp;SUBSTITUTE(Q1041,""Sell_"",""""))))/2),ROUNDUP(INDEX(Upgrades!$C$3:$C$13,MATCH(Q1041,Upgrades!$B$3:$B$13,0))*1.15^(COUNTIF(Q$4:Q1040,Q1041)-COUNTIF(Q$4:Q1040,""Sell_""&amp;Q1041))))))"),"")</f>
        <v/>
      </c>
      <c r="V1041" s="10" t="str">
        <f t="shared" si="11"/>
        <v/>
      </c>
      <c r="W1041" s="68" t="str">
        <f t="shared" si="12"/>
        <v/>
      </c>
      <c r="X1041" s="59" t="str">
        <f t="shared" si="13"/>
        <v/>
      </c>
      <c r="Y1041" s="69" t="str">
        <f t="shared" si="14"/>
        <v/>
      </c>
      <c r="Z1041" s="11"/>
      <c r="AG1041" s="59"/>
    </row>
    <row r="1042">
      <c r="A1042" s="8"/>
      <c r="B1042" s="56" t="str">
        <f t="shared" si="2"/>
        <v/>
      </c>
      <c r="C1042" s="105"/>
      <c r="D1042" s="10"/>
      <c r="E1042" s="59" t="str">
        <f t="array" ref="E1042">IF(COUNTA(C1042:C1644)=0,"",SUM((COUNTIF(C$4:C1042,Upgrades!$B$3:$B$13)-COUNTIF(C$4:C1042,"Sell_"&amp;Upgrades!$B$3:$B$13))*Upgrades!$D$3:$D$13))</f>
        <v/>
      </c>
      <c r="F1042" s="66" t="str">
        <f>IFERROR(__xludf.DUMMYFUNCTION("IF(COUNTA(C1042:C1644)=0,"""",IF(REGEXMATCH(INDEX(FILTER(C$4:C1042,C$4:C1042&lt;&gt;""""),ROWS(FILTER(C$4:C1042,C$4:C1042&lt;&gt;""""))),""^Sell_""),INDEX(FILTER(F$4:F1041,C$4:C1041&lt;&gt;""""),ROWS(FILTER(C$4:C1041,C$4:C1041&lt;&gt;""""))),$AC$5+E1042))"),"")</f>
        <v/>
      </c>
      <c r="G1042" s="10" t="str">
        <f>IFERROR(__xludf.DUMMYFUNCTION("IF(COUNTA(C1042:C1644)=0,"""",IF(C1042="""",0,IF(REGEXMATCH(C1042,""^Sell_""),-ROUNDDOWN(ROUNDUP(INDEX(Upgrades!$C$3:$C$13,MATCH(SUBSTITUTE(C1042,""Sell_"",""""),Upgrades!$B$3:$B$13,0))*1.15^(COUNTIF(C$4:C1041,SUBSTITUTE(C1042,""Sell_"",""""))-COUNTIF(C$4"&amp;":C1041,""Sell_""&amp;SUBSTITUTE(C1042,""Sell_"",""""))))/2),ROUNDUP(INDEX(Upgrades!$C$3:$C$13,MATCH(C1042,Upgrades!$B$3:$B$13,0))*1.15^(COUNTIF(C$4:C1041,C1042)-COUNTIF(C$4:C1041,""Sell_""&amp;C1042))))))"),"")</f>
        <v/>
      </c>
      <c r="H1042" s="10" t="str">
        <f t="shared" si="3"/>
        <v/>
      </c>
      <c r="I1042" s="68" t="str">
        <f t="shared" si="4"/>
        <v/>
      </c>
      <c r="J1042" s="59" t="str">
        <f t="shared" si="5"/>
        <v/>
      </c>
      <c r="K1042" s="69" t="str">
        <f t="shared" si="6"/>
        <v/>
      </c>
      <c r="L1042" s="60" t="str">
        <f t="shared" si="7"/>
        <v/>
      </c>
      <c r="M1042" s="61" t="str">
        <f>IFERROR(__xludf.DUMMYFUNCTION("IFS(AND(COUNTA(C1042:C1644)=0,COUNTA(Q1042:Q1644)=0),"""",OR(AND(K1042&gt;=1000000000,OR(Y1042&gt;=1000000000,COUNTA(Q1042:Q1644)=0)),OR(Y1042&gt;=1000000000,AND(COUNTA(C1042:C1644)=0,P$3=TRUE))),
ROUNDDOWN((AB$1-AC$1)*MAX(INDEX(T$4:T1644,MATCH(LARGE(FILTER(Y$4:Y1"&amp;"644,Y$4:Y1644&lt;1000000000),1),Y$4:Y1644)),INDEX(F$4:F1644,MATCH(LARGE(FILTER(K$4:K1644,K$4:K1644&lt;1000000000),1),K$4:K1644)))),AND(K1042&lt;1000000000,COUNTA(C1042:C1644)&gt;0,P$3=FALSE),
ROUNDDOWN(INDEX(Y$4:Y1644,MATCH(LARGE(FILTER(W$4:W1644,W$4:W1644&lt;=I1042),1)"&amp;",W$4:W1644))+(I1042-LARGE(FILTER(W$4:W1644,W$4:W1644&lt;=I1042),1))*INDEX(T$4:T1644,MATCH(LARGE(FILTER(W$4:W1644,W$4:W1644&lt;=I1042),1),W$4:W1644))-K1042),1,
ROUNDDOWN(Y1042-INDEX(K$4:K1644,MATCH(LARGE(FILTER(I$4:I1644,I$4:I1644&lt;=W1042),1),I$4:I1644))-(W1042-L"&amp;"ARGE(FILTER(I$4:I1644,I$4:I1644&lt;=W1042),1))*INDEX(F$4:F1644,MATCH(LARGE(FILTER(I$4:I1644,I$4:I1644&lt;=W1042),1),I$4:I1644))))"),"")</f>
        <v/>
      </c>
      <c r="N1042" s="60" t="str">
        <f t="shared" si="8"/>
        <v/>
      </c>
      <c r="O1042" s="61" t="str">
        <f t="shared" si="9"/>
        <v/>
      </c>
      <c r="P1042" s="56" t="str">
        <f t="shared" si="10"/>
        <v/>
      </c>
      <c r="Q1042" s="105"/>
      <c r="R1042" s="10"/>
      <c r="S1042" s="59" t="str">
        <f t="array" ref="S1042">IF(COUNTA(Q1042:Q1644)=0,"",SUM((COUNTIF(Q$4:Q1042,Upgrades!$B$3:$B$13)-COUNTIF(Q$4:Q1042,"Sell_"&amp;Upgrades!$B$3:$B$13))*Upgrades!$D$3:$D$13))</f>
        <v/>
      </c>
      <c r="T1042" s="66" t="str">
        <f>IFERROR(__xludf.DUMMYFUNCTION("IF(COUNTA(Q1042:Q1644)=0,"""",IF(REGEXMATCH(INDEX(FILTER(Q$4:Q1042,Q$4:Q1042&lt;&gt;""""),ROWS(FILTER(Q$4:Q1042,Q$4:Q1042&lt;&gt;""""))),""^Sell_""),INDEX(FILTER(T$4:T1041,Q$4:Q1041&lt;&gt;""""),ROWS(FILTER(Q$4:Q1041,Q$4:Q1041&lt;&gt;""""))),$AD$5+S1042))"),"")</f>
        <v/>
      </c>
      <c r="U1042" s="10" t="str">
        <f>IFERROR(__xludf.DUMMYFUNCTION("IF(COUNTA(Q1042:Q1644)=0,"""",IF(Q1042="""",0,IF(REGEXMATCH(Q1042,""^Sell_""),-ROUNDDOWN(ROUNDUP(INDEX(Upgrades!$C$3:$C$13,MATCH(SUBSTITUTE(Q1042,""Sell_"",""""),Upgrades!$B$3:$B$13,0))*1.15^(COUNTIF(Q$4:Q1041,SUBSTITUTE(Q1042,""Sell_"",""""))-COUNTIF(Q$4"&amp;":Q1041,""Sell_""&amp;SUBSTITUTE(Q1042,""Sell_"",""""))))/2),ROUNDUP(INDEX(Upgrades!$C$3:$C$13,MATCH(Q1042,Upgrades!$B$3:$B$13,0))*1.15^(COUNTIF(Q$4:Q1041,Q1042)-COUNTIF(Q$4:Q1041,""Sell_""&amp;Q1042))))))"),"")</f>
        <v/>
      </c>
      <c r="V1042" s="10" t="str">
        <f t="shared" si="11"/>
        <v/>
      </c>
      <c r="W1042" s="68" t="str">
        <f t="shared" si="12"/>
        <v/>
      </c>
      <c r="X1042" s="59" t="str">
        <f t="shared" si="13"/>
        <v/>
      </c>
      <c r="Y1042" s="69" t="str">
        <f t="shared" si="14"/>
        <v/>
      </c>
      <c r="Z1042" s="11"/>
      <c r="AG1042" s="59"/>
    </row>
    <row r="1043">
      <c r="A1043" s="8"/>
      <c r="B1043" s="56" t="str">
        <f t="shared" si="2"/>
        <v/>
      </c>
      <c r="C1043" s="105"/>
      <c r="D1043" s="10"/>
      <c r="E1043" s="59" t="str">
        <f t="array" ref="E1043">IF(COUNTA(C1043:C1644)=0,"",SUM((COUNTIF(C$4:C1043,Upgrades!$B$3:$B$13)-COUNTIF(C$4:C1043,"Sell_"&amp;Upgrades!$B$3:$B$13))*Upgrades!$D$3:$D$13))</f>
        <v/>
      </c>
      <c r="F1043" s="66" t="str">
        <f>IFERROR(__xludf.DUMMYFUNCTION("IF(COUNTA(C1043:C1644)=0,"""",IF(REGEXMATCH(INDEX(FILTER(C$4:C1043,C$4:C1043&lt;&gt;""""),ROWS(FILTER(C$4:C1043,C$4:C1043&lt;&gt;""""))),""^Sell_""),INDEX(FILTER(F$4:F1042,C$4:C1042&lt;&gt;""""),ROWS(FILTER(C$4:C1042,C$4:C1042&lt;&gt;""""))),$AC$5+E1043))"),"")</f>
        <v/>
      </c>
      <c r="G1043" s="10" t="str">
        <f>IFERROR(__xludf.DUMMYFUNCTION("IF(COUNTA(C1043:C1644)=0,"""",IF(C1043="""",0,IF(REGEXMATCH(C1043,""^Sell_""),-ROUNDDOWN(ROUNDUP(INDEX(Upgrades!$C$3:$C$13,MATCH(SUBSTITUTE(C1043,""Sell_"",""""),Upgrades!$B$3:$B$13,0))*1.15^(COUNTIF(C$4:C1042,SUBSTITUTE(C1043,""Sell_"",""""))-COUNTIF(C$4"&amp;":C1042,""Sell_""&amp;SUBSTITUTE(C1043,""Sell_"",""""))))/2),ROUNDUP(INDEX(Upgrades!$C$3:$C$13,MATCH(C1043,Upgrades!$B$3:$B$13,0))*1.15^(COUNTIF(C$4:C1042,C1043)-COUNTIF(C$4:C1042,""Sell_""&amp;C1043))))))"),"")</f>
        <v/>
      </c>
      <c r="H1043" s="10" t="str">
        <f t="shared" si="3"/>
        <v/>
      </c>
      <c r="I1043" s="68" t="str">
        <f t="shared" si="4"/>
        <v/>
      </c>
      <c r="J1043" s="59" t="str">
        <f t="shared" si="5"/>
        <v/>
      </c>
      <c r="K1043" s="69" t="str">
        <f t="shared" si="6"/>
        <v/>
      </c>
      <c r="L1043" s="60" t="str">
        <f t="shared" si="7"/>
        <v/>
      </c>
      <c r="M1043" s="61" t="str">
        <f>IFERROR(__xludf.DUMMYFUNCTION("IFS(AND(COUNTA(C1043:C1644)=0,COUNTA(Q1043:Q1644)=0),"""",OR(AND(K1043&gt;=1000000000,OR(Y1043&gt;=1000000000,COUNTA(Q1043:Q1644)=0)),OR(Y1043&gt;=1000000000,AND(COUNTA(C1043:C1644)=0,P$3=TRUE))),
ROUNDDOWN((AB$1-AC$1)*MAX(INDEX(T$4:T1644,MATCH(LARGE(FILTER(Y$4:Y1"&amp;"644,Y$4:Y1644&lt;1000000000),1),Y$4:Y1644)),INDEX(F$4:F1644,MATCH(LARGE(FILTER(K$4:K1644,K$4:K1644&lt;1000000000),1),K$4:K1644)))),AND(K1043&lt;1000000000,COUNTA(C1043:C1644)&gt;0,P$3=FALSE),
ROUNDDOWN(INDEX(Y$4:Y1644,MATCH(LARGE(FILTER(W$4:W1644,W$4:W1644&lt;=I1043),1)"&amp;",W$4:W1644))+(I1043-LARGE(FILTER(W$4:W1644,W$4:W1644&lt;=I1043),1))*INDEX(T$4:T1644,MATCH(LARGE(FILTER(W$4:W1644,W$4:W1644&lt;=I1043),1),W$4:W1644))-K1043),1,
ROUNDDOWN(Y1043-INDEX(K$4:K1644,MATCH(LARGE(FILTER(I$4:I1644,I$4:I1644&lt;=W1043),1),I$4:I1644))-(W1043-L"&amp;"ARGE(FILTER(I$4:I1644,I$4:I1644&lt;=W1043),1))*INDEX(F$4:F1644,MATCH(LARGE(FILTER(I$4:I1644,I$4:I1644&lt;=W1043),1),I$4:I1644))))"),"")</f>
        <v/>
      </c>
      <c r="N1043" s="60" t="str">
        <f t="shared" si="8"/>
        <v/>
      </c>
      <c r="O1043" s="61" t="str">
        <f t="shared" si="9"/>
        <v/>
      </c>
      <c r="P1043" s="56" t="str">
        <f t="shared" si="10"/>
        <v/>
      </c>
      <c r="Q1043" s="105"/>
      <c r="R1043" s="10"/>
      <c r="S1043" s="59" t="str">
        <f t="array" ref="S1043">IF(COUNTA(Q1043:Q1644)=0,"",SUM((COUNTIF(Q$4:Q1043,Upgrades!$B$3:$B$13)-COUNTIF(Q$4:Q1043,"Sell_"&amp;Upgrades!$B$3:$B$13))*Upgrades!$D$3:$D$13))</f>
        <v/>
      </c>
      <c r="T1043" s="66" t="str">
        <f>IFERROR(__xludf.DUMMYFUNCTION("IF(COUNTA(Q1043:Q1644)=0,"""",IF(REGEXMATCH(INDEX(FILTER(Q$4:Q1043,Q$4:Q1043&lt;&gt;""""),ROWS(FILTER(Q$4:Q1043,Q$4:Q1043&lt;&gt;""""))),""^Sell_""),INDEX(FILTER(T$4:T1042,Q$4:Q1042&lt;&gt;""""),ROWS(FILTER(Q$4:Q1042,Q$4:Q1042&lt;&gt;""""))),$AD$5+S1043))"),"")</f>
        <v/>
      </c>
      <c r="U1043" s="10" t="str">
        <f>IFERROR(__xludf.DUMMYFUNCTION("IF(COUNTA(Q1043:Q1644)=0,"""",IF(Q1043="""",0,IF(REGEXMATCH(Q1043,""^Sell_""),-ROUNDDOWN(ROUNDUP(INDEX(Upgrades!$C$3:$C$13,MATCH(SUBSTITUTE(Q1043,""Sell_"",""""),Upgrades!$B$3:$B$13,0))*1.15^(COUNTIF(Q$4:Q1042,SUBSTITUTE(Q1043,""Sell_"",""""))-COUNTIF(Q$4"&amp;":Q1042,""Sell_""&amp;SUBSTITUTE(Q1043,""Sell_"",""""))))/2),ROUNDUP(INDEX(Upgrades!$C$3:$C$13,MATCH(Q1043,Upgrades!$B$3:$B$13,0))*1.15^(COUNTIF(Q$4:Q1042,Q1043)-COUNTIF(Q$4:Q1042,""Sell_""&amp;Q1043))))))"),"")</f>
        <v/>
      </c>
      <c r="V1043" s="10" t="str">
        <f t="shared" si="11"/>
        <v/>
      </c>
      <c r="W1043" s="68" t="str">
        <f t="shared" si="12"/>
        <v/>
      </c>
      <c r="X1043" s="59" t="str">
        <f t="shared" si="13"/>
        <v/>
      </c>
      <c r="Y1043" s="69" t="str">
        <f t="shared" si="14"/>
        <v/>
      </c>
      <c r="Z1043" s="11"/>
      <c r="AG1043" s="59"/>
    </row>
    <row r="1044">
      <c r="A1044" s="8"/>
      <c r="B1044" s="56" t="str">
        <f t="shared" si="2"/>
        <v/>
      </c>
      <c r="C1044" s="105"/>
      <c r="D1044" s="10"/>
      <c r="E1044" s="59" t="str">
        <f t="array" ref="E1044">IF(COUNTA(C1044:C1644)=0,"",SUM((COUNTIF(C$4:C1044,Upgrades!$B$3:$B$13)-COUNTIF(C$4:C1044,"Sell_"&amp;Upgrades!$B$3:$B$13))*Upgrades!$D$3:$D$13))</f>
        <v/>
      </c>
      <c r="F1044" s="66" t="str">
        <f>IFERROR(__xludf.DUMMYFUNCTION("IF(COUNTA(C1044:C1644)=0,"""",IF(REGEXMATCH(INDEX(FILTER(C$4:C1044,C$4:C1044&lt;&gt;""""),ROWS(FILTER(C$4:C1044,C$4:C1044&lt;&gt;""""))),""^Sell_""),INDEX(FILTER(F$4:F1043,C$4:C1043&lt;&gt;""""),ROWS(FILTER(C$4:C1043,C$4:C1043&lt;&gt;""""))),$AC$5+E1044))"),"")</f>
        <v/>
      </c>
      <c r="G1044" s="10" t="str">
        <f>IFERROR(__xludf.DUMMYFUNCTION("IF(COUNTA(C1044:C1644)=0,"""",IF(C1044="""",0,IF(REGEXMATCH(C1044,""^Sell_""),-ROUNDDOWN(ROUNDUP(INDEX(Upgrades!$C$3:$C$13,MATCH(SUBSTITUTE(C1044,""Sell_"",""""),Upgrades!$B$3:$B$13,0))*1.15^(COUNTIF(C$4:C1043,SUBSTITUTE(C1044,""Sell_"",""""))-COUNTIF(C$4"&amp;":C1043,""Sell_""&amp;SUBSTITUTE(C1044,""Sell_"",""""))))/2),ROUNDUP(INDEX(Upgrades!$C$3:$C$13,MATCH(C1044,Upgrades!$B$3:$B$13,0))*1.15^(COUNTIF(C$4:C1043,C1044)-COUNTIF(C$4:C1043,""Sell_""&amp;C1044))))))"),"")</f>
        <v/>
      </c>
      <c r="H1044" s="10" t="str">
        <f t="shared" si="3"/>
        <v/>
      </c>
      <c r="I1044" s="68" t="str">
        <f t="shared" si="4"/>
        <v/>
      </c>
      <c r="J1044" s="59" t="str">
        <f t="shared" si="5"/>
        <v/>
      </c>
      <c r="K1044" s="69" t="str">
        <f t="shared" si="6"/>
        <v/>
      </c>
      <c r="L1044" s="60" t="str">
        <f t="shared" si="7"/>
        <v/>
      </c>
      <c r="M1044" s="61" t="str">
        <f>IFERROR(__xludf.DUMMYFUNCTION("IFS(AND(COUNTA(C1044:C1644)=0,COUNTA(Q1044:Q1644)=0),"""",OR(AND(K1044&gt;=1000000000,OR(Y1044&gt;=1000000000,COUNTA(Q1044:Q1644)=0)),OR(Y1044&gt;=1000000000,AND(COUNTA(C1044:C1644)=0,P$3=TRUE))),
ROUNDDOWN((AB$1-AC$1)*MAX(INDEX(T$4:T1644,MATCH(LARGE(FILTER(Y$4:Y1"&amp;"644,Y$4:Y1644&lt;1000000000),1),Y$4:Y1644)),INDEX(F$4:F1644,MATCH(LARGE(FILTER(K$4:K1644,K$4:K1644&lt;1000000000),1),K$4:K1644)))),AND(K1044&lt;1000000000,COUNTA(C1044:C1644)&gt;0,P$3=FALSE),
ROUNDDOWN(INDEX(Y$4:Y1644,MATCH(LARGE(FILTER(W$4:W1644,W$4:W1644&lt;=I1044),1)"&amp;",W$4:W1644))+(I1044-LARGE(FILTER(W$4:W1644,W$4:W1644&lt;=I1044),1))*INDEX(T$4:T1644,MATCH(LARGE(FILTER(W$4:W1644,W$4:W1644&lt;=I1044),1),W$4:W1644))-K1044),1,
ROUNDDOWN(Y1044-INDEX(K$4:K1644,MATCH(LARGE(FILTER(I$4:I1644,I$4:I1644&lt;=W1044),1),I$4:I1644))-(W1044-L"&amp;"ARGE(FILTER(I$4:I1644,I$4:I1644&lt;=W1044),1))*INDEX(F$4:F1644,MATCH(LARGE(FILTER(I$4:I1644,I$4:I1644&lt;=W1044),1),I$4:I1644))))"),"")</f>
        <v/>
      </c>
      <c r="N1044" s="60" t="str">
        <f t="shared" si="8"/>
        <v/>
      </c>
      <c r="O1044" s="61" t="str">
        <f t="shared" si="9"/>
        <v/>
      </c>
      <c r="P1044" s="56" t="str">
        <f t="shared" si="10"/>
        <v/>
      </c>
      <c r="Q1044" s="105"/>
      <c r="R1044" s="10"/>
      <c r="S1044" s="59" t="str">
        <f t="array" ref="S1044">IF(COUNTA(Q1044:Q1644)=0,"",SUM((COUNTIF(Q$4:Q1044,Upgrades!$B$3:$B$13)-COUNTIF(Q$4:Q1044,"Sell_"&amp;Upgrades!$B$3:$B$13))*Upgrades!$D$3:$D$13))</f>
        <v/>
      </c>
      <c r="T1044" s="66" t="str">
        <f>IFERROR(__xludf.DUMMYFUNCTION("IF(COUNTA(Q1044:Q1644)=0,"""",IF(REGEXMATCH(INDEX(FILTER(Q$4:Q1044,Q$4:Q1044&lt;&gt;""""),ROWS(FILTER(Q$4:Q1044,Q$4:Q1044&lt;&gt;""""))),""^Sell_""),INDEX(FILTER(T$4:T1043,Q$4:Q1043&lt;&gt;""""),ROWS(FILTER(Q$4:Q1043,Q$4:Q1043&lt;&gt;""""))),$AD$5+S1044))"),"")</f>
        <v/>
      </c>
      <c r="U1044" s="10" t="str">
        <f>IFERROR(__xludf.DUMMYFUNCTION("IF(COUNTA(Q1044:Q1644)=0,"""",IF(Q1044="""",0,IF(REGEXMATCH(Q1044,""^Sell_""),-ROUNDDOWN(ROUNDUP(INDEX(Upgrades!$C$3:$C$13,MATCH(SUBSTITUTE(Q1044,""Sell_"",""""),Upgrades!$B$3:$B$13,0))*1.15^(COUNTIF(Q$4:Q1043,SUBSTITUTE(Q1044,""Sell_"",""""))-COUNTIF(Q$4"&amp;":Q1043,""Sell_""&amp;SUBSTITUTE(Q1044,""Sell_"",""""))))/2),ROUNDUP(INDEX(Upgrades!$C$3:$C$13,MATCH(Q1044,Upgrades!$B$3:$B$13,0))*1.15^(COUNTIF(Q$4:Q1043,Q1044)-COUNTIF(Q$4:Q1043,""Sell_""&amp;Q1044))))))"),"")</f>
        <v/>
      </c>
      <c r="V1044" s="10" t="str">
        <f t="shared" si="11"/>
        <v/>
      </c>
      <c r="W1044" s="68" t="str">
        <f t="shared" si="12"/>
        <v/>
      </c>
      <c r="X1044" s="59" t="str">
        <f t="shared" si="13"/>
        <v/>
      </c>
      <c r="Y1044" s="69" t="str">
        <f t="shared" si="14"/>
        <v/>
      </c>
      <c r="Z1044" s="11"/>
      <c r="AG1044" s="59"/>
    </row>
    <row r="1045">
      <c r="A1045" s="8"/>
      <c r="B1045" s="56" t="str">
        <f t="shared" si="2"/>
        <v/>
      </c>
      <c r="C1045" s="105"/>
      <c r="D1045" s="10"/>
      <c r="E1045" s="59" t="str">
        <f t="array" ref="E1045">IF(COUNTA(C1045:C1644)=0,"",SUM((COUNTIF(C$4:C1045,Upgrades!$B$3:$B$13)-COUNTIF(C$4:C1045,"Sell_"&amp;Upgrades!$B$3:$B$13))*Upgrades!$D$3:$D$13))</f>
        <v/>
      </c>
      <c r="F1045" s="66" t="str">
        <f>IFERROR(__xludf.DUMMYFUNCTION("IF(COUNTA(C1045:C1644)=0,"""",IF(REGEXMATCH(INDEX(FILTER(C$4:C1045,C$4:C1045&lt;&gt;""""),ROWS(FILTER(C$4:C1045,C$4:C1045&lt;&gt;""""))),""^Sell_""),INDEX(FILTER(F$4:F1044,C$4:C1044&lt;&gt;""""),ROWS(FILTER(C$4:C1044,C$4:C1044&lt;&gt;""""))),$AC$5+E1045))"),"")</f>
        <v/>
      </c>
      <c r="G1045" s="10" t="str">
        <f>IFERROR(__xludf.DUMMYFUNCTION("IF(COUNTA(C1045:C1644)=0,"""",IF(C1045="""",0,IF(REGEXMATCH(C1045,""^Sell_""),-ROUNDDOWN(ROUNDUP(INDEX(Upgrades!$C$3:$C$13,MATCH(SUBSTITUTE(C1045,""Sell_"",""""),Upgrades!$B$3:$B$13,0))*1.15^(COUNTIF(C$4:C1044,SUBSTITUTE(C1045,""Sell_"",""""))-COUNTIF(C$4"&amp;":C1044,""Sell_""&amp;SUBSTITUTE(C1045,""Sell_"",""""))))/2),ROUNDUP(INDEX(Upgrades!$C$3:$C$13,MATCH(C1045,Upgrades!$B$3:$B$13,0))*1.15^(COUNTIF(C$4:C1044,C1045)-COUNTIF(C$4:C1044,""Sell_""&amp;C1045))))))"),"")</f>
        <v/>
      </c>
      <c r="H1045" s="10" t="str">
        <f t="shared" si="3"/>
        <v/>
      </c>
      <c r="I1045" s="68" t="str">
        <f t="shared" si="4"/>
        <v/>
      </c>
      <c r="J1045" s="59" t="str">
        <f t="shared" si="5"/>
        <v/>
      </c>
      <c r="K1045" s="69" t="str">
        <f t="shared" si="6"/>
        <v/>
      </c>
      <c r="L1045" s="60" t="str">
        <f t="shared" si="7"/>
        <v/>
      </c>
      <c r="M1045" s="61" t="str">
        <f>IFERROR(__xludf.DUMMYFUNCTION("IFS(AND(COUNTA(C1045:C1644)=0,COUNTA(Q1045:Q1644)=0),"""",OR(AND(K1045&gt;=1000000000,OR(Y1045&gt;=1000000000,COUNTA(Q1045:Q1644)=0)),OR(Y1045&gt;=1000000000,AND(COUNTA(C1045:C1644)=0,P$3=TRUE))),
ROUNDDOWN((AB$1-AC$1)*MAX(INDEX(T$4:T1644,MATCH(LARGE(FILTER(Y$4:Y1"&amp;"644,Y$4:Y1644&lt;1000000000),1),Y$4:Y1644)),INDEX(F$4:F1644,MATCH(LARGE(FILTER(K$4:K1644,K$4:K1644&lt;1000000000),1),K$4:K1644)))),AND(K1045&lt;1000000000,COUNTA(C1045:C1644)&gt;0,P$3=FALSE),
ROUNDDOWN(INDEX(Y$4:Y1644,MATCH(LARGE(FILTER(W$4:W1644,W$4:W1644&lt;=I1045),1)"&amp;",W$4:W1644))+(I1045-LARGE(FILTER(W$4:W1644,W$4:W1644&lt;=I1045),1))*INDEX(T$4:T1644,MATCH(LARGE(FILTER(W$4:W1644,W$4:W1644&lt;=I1045),1),W$4:W1644))-K1045),1,
ROUNDDOWN(Y1045-INDEX(K$4:K1644,MATCH(LARGE(FILTER(I$4:I1644,I$4:I1644&lt;=W1045),1),I$4:I1644))-(W1045-L"&amp;"ARGE(FILTER(I$4:I1644,I$4:I1644&lt;=W1045),1))*INDEX(F$4:F1644,MATCH(LARGE(FILTER(I$4:I1644,I$4:I1644&lt;=W1045),1),I$4:I1644))))"),"")</f>
        <v/>
      </c>
      <c r="N1045" s="60" t="str">
        <f t="shared" si="8"/>
        <v/>
      </c>
      <c r="O1045" s="61" t="str">
        <f t="shared" si="9"/>
        <v/>
      </c>
      <c r="P1045" s="56" t="str">
        <f t="shared" si="10"/>
        <v/>
      </c>
      <c r="Q1045" s="105"/>
      <c r="R1045" s="10"/>
      <c r="S1045" s="59" t="str">
        <f t="array" ref="S1045">IF(COUNTA(Q1045:Q1644)=0,"",SUM((COUNTIF(Q$4:Q1045,Upgrades!$B$3:$B$13)-COUNTIF(Q$4:Q1045,"Sell_"&amp;Upgrades!$B$3:$B$13))*Upgrades!$D$3:$D$13))</f>
        <v/>
      </c>
      <c r="T1045" s="66" t="str">
        <f>IFERROR(__xludf.DUMMYFUNCTION("IF(COUNTA(Q1045:Q1644)=0,"""",IF(REGEXMATCH(INDEX(FILTER(Q$4:Q1045,Q$4:Q1045&lt;&gt;""""),ROWS(FILTER(Q$4:Q1045,Q$4:Q1045&lt;&gt;""""))),""^Sell_""),INDEX(FILTER(T$4:T1044,Q$4:Q1044&lt;&gt;""""),ROWS(FILTER(Q$4:Q1044,Q$4:Q1044&lt;&gt;""""))),$AD$5+S1045))"),"")</f>
        <v/>
      </c>
      <c r="U1045" s="10" t="str">
        <f>IFERROR(__xludf.DUMMYFUNCTION("IF(COUNTA(Q1045:Q1644)=0,"""",IF(Q1045="""",0,IF(REGEXMATCH(Q1045,""^Sell_""),-ROUNDDOWN(ROUNDUP(INDEX(Upgrades!$C$3:$C$13,MATCH(SUBSTITUTE(Q1045,""Sell_"",""""),Upgrades!$B$3:$B$13,0))*1.15^(COUNTIF(Q$4:Q1044,SUBSTITUTE(Q1045,""Sell_"",""""))-COUNTIF(Q$4"&amp;":Q1044,""Sell_""&amp;SUBSTITUTE(Q1045,""Sell_"",""""))))/2),ROUNDUP(INDEX(Upgrades!$C$3:$C$13,MATCH(Q1045,Upgrades!$B$3:$B$13,0))*1.15^(COUNTIF(Q$4:Q1044,Q1045)-COUNTIF(Q$4:Q1044,""Sell_""&amp;Q1045))))))"),"")</f>
        <v/>
      </c>
      <c r="V1045" s="10" t="str">
        <f t="shared" si="11"/>
        <v/>
      </c>
      <c r="W1045" s="68" t="str">
        <f t="shared" si="12"/>
        <v/>
      </c>
      <c r="X1045" s="59" t="str">
        <f t="shared" si="13"/>
        <v/>
      </c>
      <c r="Y1045" s="69" t="str">
        <f t="shared" si="14"/>
        <v/>
      </c>
      <c r="Z1045" s="11"/>
      <c r="AG1045" s="59"/>
    </row>
    <row r="1046">
      <c r="A1046" s="8"/>
      <c r="B1046" s="56" t="str">
        <f t="shared" si="2"/>
        <v/>
      </c>
      <c r="C1046" s="105"/>
      <c r="D1046" s="10"/>
      <c r="E1046" s="59" t="str">
        <f t="array" ref="E1046">IF(COUNTA(C1046:C1644)=0,"",SUM((COUNTIF(C$4:C1046,Upgrades!$B$3:$B$13)-COUNTIF(C$4:C1046,"Sell_"&amp;Upgrades!$B$3:$B$13))*Upgrades!$D$3:$D$13))</f>
        <v/>
      </c>
      <c r="F1046" s="66" t="str">
        <f>IFERROR(__xludf.DUMMYFUNCTION("IF(COUNTA(C1046:C1644)=0,"""",IF(REGEXMATCH(INDEX(FILTER(C$4:C1046,C$4:C1046&lt;&gt;""""),ROWS(FILTER(C$4:C1046,C$4:C1046&lt;&gt;""""))),""^Sell_""),INDEX(FILTER(F$4:F1045,C$4:C1045&lt;&gt;""""),ROWS(FILTER(C$4:C1045,C$4:C1045&lt;&gt;""""))),$AC$5+E1046))"),"")</f>
        <v/>
      </c>
      <c r="G1046" s="10" t="str">
        <f>IFERROR(__xludf.DUMMYFUNCTION("IF(COUNTA(C1046:C1644)=0,"""",IF(C1046="""",0,IF(REGEXMATCH(C1046,""^Sell_""),-ROUNDDOWN(ROUNDUP(INDEX(Upgrades!$C$3:$C$13,MATCH(SUBSTITUTE(C1046,""Sell_"",""""),Upgrades!$B$3:$B$13,0))*1.15^(COUNTIF(C$4:C1045,SUBSTITUTE(C1046,""Sell_"",""""))-COUNTIF(C$4"&amp;":C1045,""Sell_""&amp;SUBSTITUTE(C1046,""Sell_"",""""))))/2),ROUNDUP(INDEX(Upgrades!$C$3:$C$13,MATCH(C1046,Upgrades!$B$3:$B$13,0))*1.15^(COUNTIF(C$4:C1045,C1046)-COUNTIF(C$4:C1045,""Sell_""&amp;C1046))))))"),"")</f>
        <v/>
      </c>
      <c r="H1046" s="10" t="str">
        <f t="shared" si="3"/>
        <v/>
      </c>
      <c r="I1046" s="68" t="str">
        <f t="shared" si="4"/>
        <v/>
      </c>
      <c r="J1046" s="59" t="str">
        <f t="shared" si="5"/>
        <v/>
      </c>
      <c r="K1046" s="69" t="str">
        <f t="shared" si="6"/>
        <v/>
      </c>
      <c r="L1046" s="60" t="str">
        <f t="shared" si="7"/>
        <v/>
      </c>
      <c r="M1046" s="61" t="str">
        <f>IFERROR(__xludf.DUMMYFUNCTION("IFS(AND(COUNTA(C1046:C1644)=0,COUNTA(Q1046:Q1644)=0),"""",OR(AND(K1046&gt;=1000000000,OR(Y1046&gt;=1000000000,COUNTA(Q1046:Q1644)=0)),OR(Y1046&gt;=1000000000,AND(COUNTA(C1046:C1644)=0,P$3=TRUE))),
ROUNDDOWN((AB$1-AC$1)*MAX(INDEX(T$4:T1644,MATCH(LARGE(FILTER(Y$4:Y1"&amp;"644,Y$4:Y1644&lt;1000000000),1),Y$4:Y1644)),INDEX(F$4:F1644,MATCH(LARGE(FILTER(K$4:K1644,K$4:K1644&lt;1000000000),1),K$4:K1644)))),AND(K1046&lt;1000000000,COUNTA(C1046:C1644)&gt;0,P$3=FALSE),
ROUNDDOWN(INDEX(Y$4:Y1644,MATCH(LARGE(FILTER(W$4:W1644,W$4:W1644&lt;=I1046),1)"&amp;",W$4:W1644))+(I1046-LARGE(FILTER(W$4:W1644,W$4:W1644&lt;=I1046),1))*INDEX(T$4:T1644,MATCH(LARGE(FILTER(W$4:W1644,W$4:W1644&lt;=I1046),1),W$4:W1644))-K1046),1,
ROUNDDOWN(Y1046-INDEX(K$4:K1644,MATCH(LARGE(FILTER(I$4:I1644,I$4:I1644&lt;=W1046),1),I$4:I1644))-(W1046-L"&amp;"ARGE(FILTER(I$4:I1644,I$4:I1644&lt;=W1046),1))*INDEX(F$4:F1644,MATCH(LARGE(FILTER(I$4:I1644,I$4:I1644&lt;=W1046),1),I$4:I1644))))"),"")</f>
        <v/>
      </c>
      <c r="N1046" s="60" t="str">
        <f t="shared" si="8"/>
        <v/>
      </c>
      <c r="O1046" s="61" t="str">
        <f t="shared" si="9"/>
        <v/>
      </c>
      <c r="P1046" s="56" t="str">
        <f t="shared" si="10"/>
        <v/>
      </c>
      <c r="Q1046" s="105"/>
      <c r="R1046" s="10"/>
      <c r="S1046" s="59" t="str">
        <f t="array" ref="S1046">IF(COUNTA(Q1046:Q1644)=0,"",SUM((COUNTIF(Q$4:Q1046,Upgrades!$B$3:$B$13)-COUNTIF(Q$4:Q1046,"Sell_"&amp;Upgrades!$B$3:$B$13))*Upgrades!$D$3:$D$13))</f>
        <v/>
      </c>
      <c r="T1046" s="66" t="str">
        <f>IFERROR(__xludf.DUMMYFUNCTION("IF(COUNTA(Q1046:Q1644)=0,"""",IF(REGEXMATCH(INDEX(FILTER(Q$4:Q1046,Q$4:Q1046&lt;&gt;""""),ROWS(FILTER(Q$4:Q1046,Q$4:Q1046&lt;&gt;""""))),""^Sell_""),INDEX(FILTER(T$4:T1045,Q$4:Q1045&lt;&gt;""""),ROWS(FILTER(Q$4:Q1045,Q$4:Q1045&lt;&gt;""""))),$AD$5+S1046))"),"")</f>
        <v/>
      </c>
      <c r="U1046" s="10" t="str">
        <f>IFERROR(__xludf.DUMMYFUNCTION("IF(COUNTA(Q1046:Q1644)=0,"""",IF(Q1046="""",0,IF(REGEXMATCH(Q1046,""^Sell_""),-ROUNDDOWN(ROUNDUP(INDEX(Upgrades!$C$3:$C$13,MATCH(SUBSTITUTE(Q1046,""Sell_"",""""),Upgrades!$B$3:$B$13,0))*1.15^(COUNTIF(Q$4:Q1045,SUBSTITUTE(Q1046,""Sell_"",""""))-COUNTIF(Q$4"&amp;":Q1045,""Sell_""&amp;SUBSTITUTE(Q1046,""Sell_"",""""))))/2),ROUNDUP(INDEX(Upgrades!$C$3:$C$13,MATCH(Q1046,Upgrades!$B$3:$B$13,0))*1.15^(COUNTIF(Q$4:Q1045,Q1046)-COUNTIF(Q$4:Q1045,""Sell_""&amp;Q1046))))))"),"")</f>
        <v/>
      </c>
      <c r="V1046" s="10" t="str">
        <f t="shared" si="11"/>
        <v/>
      </c>
      <c r="W1046" s="68" t="str">
        <f t="shared" si="12"/>
        <v/>
      </c>
      <c r="X1046" s="59" t="str">
        <f t="shared" si="13"/>
        <v/>
      </c>
      <c r="Y1046" s="69" t="str">
        <f t="shared" si="14"/>
        <v/>
      </c>
      <c r="Z1046" s="11"/>
      <c r="AG1046" s="59"/>
    </row>
    <row r="1047">
      <c r="A1047" s="8"/>
      <c r="B1047" s="56" t="str">
        <f t="shared" si="2"/>
        <v/>
      </c>
      <c r="C1047" s="105"/>
      <c r="D1047" s="10"/>
      <c r="E1047" s="59" t="str">
        <f t="array" ref="E1047">IF(COUNTA(C1047:C1644)=0,"",SUM((COUNTIF(C$4:C1047,Upgrades!$B$3:$B$13)-COUNTIF(C$4:C1047,"Sell_"&amp;Upgrades!$B$3:$B$13))*Upgrades!$D$3:$D$13))</f>
        <v/>
      </c>
      <c r="F1047" s="66" t="str">
        <f>IFERROR(__xludf.DUMMYFUNCTION("IF(COUNTA(C1047:C1644)=0,"""",IF(REGEXMATCH(INDEX(FILTER(C$4:C1047,C$4:C1047&lt;&gt;""""),ROWS(FILTER(C$4:C1047,C$4:C1047&lt;&gt;""""))),""^Sell_""),INDEX(FILTER(F$4:F1046,C$4:C1046&lt;&gt;""""),ROWS(FILTER(C$4:C1046,C$4:C1046&lt;&gt;""""))),$AC$5+E1047))"),"")</f>
        <v/>
      </c>
      <c r="G1047" s="10" t="str">
        <f>IFERROR(__xludf.DUMMYFUNCTION("IF(COUNTA(C1047:C1644)=0,"""",IF(C1047="""",0,IF(REGEXMATCH(C1047,""^Sell_""),-ROUNDDOWN(ROUNDUP(INDEX(Upgrades!$C$3:$C$13,MATCH(SUBSTITUTE(C1047,""Sell_"",""""),Upgrades!$B$3:$B$13,0))*1.15^(COUNTIF(C$4:C1046,SUBSTITUTE(C1047,""Sell_"",""""))-COUNTIF(C$4"&amp;":C1046,""Sell_""&amp;SUBSTITUTE(C1047,""Sell_"",""""))))/2),ROUNDUP(INDEX(Upgrades!$C$3:$C$13,MATCH(C1047,Upgrades!$B$3:$B$13,0))*1.15^(COUNTIF(C$4:C1046,C1047)-COUNTIF(C$4:C1046,""Sell_""&amp;C1047))))))"),"")</f>
        <v/>
      </c>
      <c r="H1047" s="10" t="str">
        <f t="shared" si="3"/>
        <v/>
      </c>
      <c r="I1047" s="68" t="str">
        <f t="shared" si="4"/>
        <v/>
      </c>
      <c r="J1047" s="59" t="str">
        <f t="shared" si="5"/>
        <v/>
      </c>
      <c r="K1047" s="69" t="str">
        <f t="shared" si="6"/>
        <v/>
      </c>
      <c r="L1047" s="60" t="str">
        <f t="shared" si="7"/>
        <v/>
      </c>
      <c r="M1047" s="61" t="str">
        <f>IFERROR(__xludf.DUMMYFUNCTION("IFS(AND(COUNTA(C1047:C1644)=0,COUNTA(Q1047:Q1644)=0),"""",OR(AND(K1047&gt;=1000000000,OR(Y1047&gt;=1000000000,COUNTA(Q1047:Q1644)=0)),OR(Y1047&gt;=1000000000,AND(COUNTA(C1047:C1644)=0,P$3=TRUE))),
ROUNDDOWN((AB$1-AC$1)*MAX(INDEX(T$4:T1644,MATCH(LARGE(FILTER(Y$4:Y1"&amp;"644,Y$4:Y1644&lt;1000000000),1),Y$4:Y1644)),INDEX(F$4:F1644,MATCH(LARGE(FILTER(K$4:K1644,K$4:K1644&lt;1000000000),1),K$4:K1644)))),AND(K1047&lt;1000000000,COUNTA(C1047:C1644)&gt;0,P$3=FALSE),
ROUNDDOWN(INDEX(Y$4:Y1644,MATCH(LARGE(FILTER(W$4:W1644,W$4:W1644&lt;=I1047),1)"&amp;",W$4:W1644))+(I1047-LARGE(FILTER(W$4:W1644,W$4:W1644&lt;=I1047),1))*INDEX(T$4:T1644,MATCH(LARGE(FILTER(W$4:W1644,W$4:W1644&lt;=I1047),1),W$4:W1644))-K1047),1,
ROUNDDOWN(Y1047-INDEX(K$4:K1644,MATCH(LARGE(FILTER(I$4:I1644,I$4:I1644&lt;=W1047),1),I$4:I1644))-(W1047-L"&amp;"ARGE(FILTER(I$4:I1644,I$4:I1644&lt;=W1047),1))*INDEX(F$4:F1644,MATCH(LARGE(FILTER(I$4:I1644,I$4:I1644&lt;=W1047),1),I$4:I1644))))"),"")</f>
        <v/>
      </c>
      <c r="N1047" s="60" t="str">
        <f t="shared" si="8"/>
        <v/>
      </c>
      <c r="O1047" s="61" t="str">
        <f t="shared" si="9"/>
        <v/>
      </c>
      <c r="P1047" s="56" t="str">
        <f t="shared" si="10"/>
        <v/>
      </c>
      <c r="Q1047" s="105"/>
      <c r="R1047" s="10"/>
      <c r="S1047" s="59" t="str">
        <f t="array" ref="S1047">IF(COUNTA(Q1047:Q1644)=0,"",SUM((COUNTIF(Q$4:Q1047,Upgrades!$B$3:$B$13)-COUNTIF(Q$4:Q1047,"Sell_"&amp;Upgrades!$B$3:$B$13))*Upgrades!$D$3:$D$13))</f>
        <v/>
      </c>
      <c r="T1047" s="66" t="str">
        <f>IFERROR(__xludf.DUMMYFUNCTION("IF(COUNTA(Q1047:Q1644)=0,"""",IF(REGEXMATCH(INDEX(FILTER(Q$4:Q1047,Q$4:Q1047&lt;&gt;""""),ROWS(FILTER(Q$4:Q1047,Q$4:Q1047&lt;&gt;""""))),""^Sell_""),INDEX(FILTER(T$4:T1046,Q$4:Q1046&lt;&gt;""""),ROWS(FILTER(Q$4:Q1046,Q$4:Q1046&lt;&gt;""""))),$AD$5+S1047))"),"")</f>
        <v/>
      </c>
      <c r="U1047" s="10" t="str">
        <f>IFERROR(__xludf.DUMMYFUNCTION("IF(COUNTA(Q1047:Q1644)=0,"""",IF(Q1047="""",0,IF(REGEXMATCH(Q1047,""^Sell_""),-ROUNDDOWN(ROUNDUP(INDEX(Upgrades!$C$3:$C$13,MATCH(SUBSTITUTE(Q1047,""Sell_"",""""),Upgrades!$B$3:$B$13,0))*1.15^(COUNTIF(Q$4:Q1046,SUBSTITUTE(Q1047,""Sell_"",""""))-COUNTIF(Q$4"&amp;":Q1046,""Sell_""&amp;SUBSTITUTE(Q1047,""Sell_"",""""))))/2),ROUNDUP(INDEX(Upgrades!$C$3:$C$13,MATCH(Q1047,Upgrades!$B$3:$B$13,0))*1.15^(COUNTIF(Q$4:Q1046,Q1047)-COUNTIF(Q$4:Q1046,""Sell_""&amp;Q1047))))))"),"")</f>
        <v/>
      </c>
      <c r="V1047" s="10" t="str">
        <f t="shared" si="11"/>
        <v/>
      </c>
      <c r="W1047" s="68" t="str">
        <f t="shared" si="12"/>
        <v/>
      </c>
      <c r="X1047" s="59" t="str">
        <f t="shared" si="13"/>
        <v/>
      </c>
      <c r="Y1047" s="69" t="str">
        <f t="shared" si="14"/>
        <v/>
      </c>
      <c r="Z1047" s="11"/>
      <c r="AG1047" s="59"/>
    </row>
    <row r="1048">
      <c r="A1048" s="8"/>
      <c r="B1048" s="56" t="str">
        <f t="shared" si="2"/>
        <v/>
      </c>
      <c r="C1048" s="105"/>
      <c r="D1048" s="10"/>
      <c r="E1048" s="59" t="str">
        <f t="array" ref="E1048">IF(COUNTA(C1048:C1644)=0,"",SUM((COUNTIF(C$4:C1048,Upgrades!$B$3:$B$13)-COUNTIF(C$4:C1048,"Sell_"&amp;Upgrades!$B$3:$B$13))*Upgrades!$D$3:$D$13))</f>
        <v/>
      </c>
      <c r="F1048" s="66" t="str">
        <f>IFERROR(__xludf.DUMMYFUNCTION("IF(COUNTA(C1048:C1644)=0,"""",IF(REGEXMATCH(INDEX(FILTER(C$4:C1048,C$4:C1048&lt;&gt;""""),ROWS(FILTER(C$4:C1048,C$4:C1048&lt;&gt;""""))),""^Sell_""),INDEX(FILTER(F$4:F1047,C$4:C1047&lt;&gt;""""),ROWS(FILTER(C$4:C1047,C$4:C1047&lt;&gt;""""))),$AC$5+E1048))"),"")</f>
        <v/>
      </c>
      <c r="G1048" s="10" t="str">
        <f>IFERROR(__xludf.DUMMYFUNCTION("IF(COUNTA(C1048:C1644)=0,"""",IF(C1048="""",0,IF(REGEXMATCH(C1048,""^Sell_""),-ROUNDDOWN(ROUNDUP(INDEX(Upgrades!$C$3:$C$13,MATCH(SUBSTITUTE(C1048,""Sell_"",""""),Upgrades!$B$3:$B$13,0))*1.15^(COUNTIF(C$4:C1047,SUBSTITUTE(C1048,""Sell_"",""""))-COUNTIF(C$4"&amp;":C1047,""Sell_""&amp;SUBSTITUTE(C1048,""Sell_"",""""))))/2),ROUNDUP(INDEX(Upgrades!$C$3:$C$13,MATCH(C1048,Upgrades!$B$3:$B$13,0))*1.15^(COUNTIF(C$4:C1047,C1048)-COUNTIF(C$4:C1047,""Sell_""&amp;C1048))))))"),"")</f>
        <v/>
      </c>
      <c r="H1048" s="10" t="str">
        <f t="shared" si="3"/>
        <v/>
      </c>
      <c r="I1048" s="68" t="str">
        <f t="shared" si="4"/>
        <v/>
      </c>
      <c r="J1048" s="59" t="str">
        <f t="shared" si="5"/>
        <v/>
      </c>
      <c r="K1048" s="69" t="str">
        <f t="shared" si="6"/>
        <v/>
      </c>
      <c r="L1048" s="60" t="str">
        <f t="shared" si="7"/>
        <v/>
      </c>
      <c r="M1048" s="61" t="str">
        <f>IFERROR(__xludf.DUMMYFUNCTION("IFS(AND(COUNTA(C1048:C1644)=0,COUNTA(Q1048:Q1644)=0),"""",OR(AND(K1048&gt;=1000000000,OR(Y1048&gt;=1000000000,COUNTA(Q1048:Q1644)=0)),OR(Y1048&gt;=1000000000,AND(COUNTA(C1048:C1644)=0,P$3=TRUE))),
ROUNDDOWN((AB$1-AC$1)*MAX(INDEX(T$4:T1644,MATCH(LARGE(FILTER(Y$4:Y1"&amp;"644,Y$4:Y1644&lt;1000000000),1),Y$4:Y1644)),INDEX(F$4:F1644,MATCH(LARGE(FILTER(K$4:K1644,K$4:K1644&lt;1000000000),1),K$4:K1644)))),AND(K1048&lt;1000000000,COUNTA(C1048:C1644)&gt;0,P$3=FALSE),
ROUNDDOWN(INDEX(Y$4:Y1644,MATCH(LARGE(FILTER(W$4:W1644,W$4:W1644&lt;=I1048),1)"&amp;",W$4:W1644))+(I1048-LARGE(FILTER(W$4:W1644,W$4:W1644&lt;=I1048),1))*INDEX(T$4:T1644,MATCH(LARGE(FILTER(W$4:W1644,W$4:W1644&lt;=I1048),1),W$4:W1644))-K1048),1,
ROUNDDOWN(Y1048-INDEX(K$4:K1644,MATCH(LARGE(FILTER(I$4:I1644,I$4:I1644&lt;=W1048),1),I$4:I1644))-(W1048-L"&amp;"ARGE(FILTER(I$4:I1644,I$4:I1644&lt;=W1048),1))*INDEX(F$4:F1644,MATCH(LARGE(FILTER(I$4:I1644,I$4:I1644&lt;=W1048),1),I$4:I1644))))"),"")</f>
        <v/>
      </c>
      <c r="N1048" s="60" t="str">
        <f t="shared" si="8"/>
        <v/>
      </c>
      <c r="O1048" s="61" t="str">
        <f t="shared" si="9"/>
        <v/>
      </c>
      <c r="P1048" s="56" t="str">
        <f t="shared" si="10"/>
        <v/>
      </c>
      <c r="Q1048" s="105"/>
      <c r="R1048" s="10"/>
      <c r="S1048" s="59" t="str">
        <f t="array" ref="S1048">IF(COUNTA(Q1048:Q1644)=0,"",SUM((COUNTIF(Q$4:Q1048,Upgrades!$B$3:$B$13)-COUNTIF(Q$4:Q1048,"Sell_"&amp;Upgrades!$B$3:$B$13))*Upgrades!$D$3:$D$13))</f>
        <v/>
      </c>
      <c r="T1048" s="66" t="str">
        <f>IFERROR(__xludf.DUMMYFUNCTION("IF(COUNTA(Q1048:Q1644)=0,"""",IF(REGEXMATCH(INDEX(FILTER(Q$4:Q1048,Q$4:Q1048&lt;&gt;""""),ROWS(FILTER(Q$4:Q1048,Q$4:Q1048&lt;&gt;""""))),""^Sell_""),INDEX(FILTER(T$4:T1047,Q$4:Q1047&lt;&gt;""""),ROWS(FILTER(Q$4:Q1047,Q$4:Q1047&lt;&gt;""""))),$AD$5+S1048))"),"")</f>
        <v/>
      </c>
      <c r="U1048" s="10" t="str">
        <f>IFERROR(__xludf.DUMMYFUNCTION("IF(COUNTA(Q1048:Q1644)=0,"""",IF(Q1048="""",0,IF(REGEXMATCH(Q1048,""^Sell_""),-ROUNDDOWN(ROUNDUP(INDEX(Upgrades!$C$3:$C$13,MATCH(SUBSTITUTE(Q1048,""Sell_"",""""),Upgrades!$B$3:$B$13,0))*1.15^(COUNTIF(Q$4:Q1047,SUBSTITUTE(Q1048,""Sell_"",""""))-COUNTIF(Q$4"&amp;":Q1047,""Sell_""&amp;SUBSTITUTE(Q1048,""Sell_"",""""))))/2),ROUNDUP(INDEX(Upgrades!$C$3:$C$13,MATCH(Q1048,Upgrades!$B$3:$B$13,0))*1.15^(COUNTIF(Q$4:Q1047,Q1048)-COUNTIF(Q$4:Q1047,""Sell_""&amp;Q1048))))))"),"")</f>
        <v/>
      </c>
      <c r="V1048" s="10" t="str">
        <f t="shared" si="11"/>
        <v/>
      </c>
      <c r="W1048" s="68" t="str">
        <f t="shared" si="12"/>
        <v/>
      </c>
      <c r="X1048" s="59" t="str">
        <f t="shared" si="13"/>
        <v/>
      </c>
      <c r="Y1048" s="69" t="str">
        <f t="shared" si="14"/>
        <v/>
      </c>
      <c r="Z1048" s="11"/>
      <c r="AG1048" s="59"/>
    </row>
    <row r="1049">
      <c r="A1049" s="8"/>
      <c r="B1049" s="56" t="str">
        <f t="shared" si="2"/>
        <v/>
      </c>
      <c r="C1049" s="105"/>
      <c r="D1049" s="10"/>
      <c r="E1049" s="59" t="str">
        <f t="array" ref="E1049">IF(COUNTA(C1049:C1644)=0,"",SUM((COUNTIF(C$4:C1049,Upgrades!$B$3:$B$13)-COUNTIF(C$4:C1049,"Sell_"&amp;Upgrades!$B$3:$B$13))*Upgrades!$D$3:$D$13))</f>
        <v/>
      </c>
      <c r="F1049" s="66" t="str">
        <f>IFERROR(__xludf.DUMMYFUNCTION("IF(COUNTA(C1049:C1644)=0,"""",IF(REGEXMATCH(INDEX(FILTER(C$4:C1049,C$4:C1049&lt;&gt;""""),ROWS(FILTER(C$4:C1049,C$4:C1049&lt;&gt;""""))),""^Sell_""),INDEX(FILTER(F$4:F1048,C$4:C1048&lt;&gt;""""),ROWS(FILTER(C$4:C1048,C$4:C1048&lt;&gt;""""))),$AC$5+E1049))"),"")</f>
        <v/>
      </c>
      <c r="G1049" s="10" t="str">
        <f>IFERROR(__xludf.DUMMYFUNCTION("IF(COUNTA(C1049:C1644)=0,"""",IF(C1049="""",0,IF(REGEXMATCH(C1049,""^Sell_""),-ROUNDDOWN(ROUNDUP(INDEX(Upgrades!$C$3:$C$13,MATCH(SUBSTITUTE(C1049,""Sell_"",""""),Upgrades!$B$3:$B$13,0))*1.15^(COUNTIF(C$4:C1048,SUBSTITUTE(C1049,""Sell_"",""""))-COUNTIF(C$4"&amp;":C1048,""Sell_""&amp;SUBSTITUTE(C1049,""Sell_"",""""))))/2),ROUNDUP(INDEX(Upgrades!$C$3:$C$13,MATCH(C1049,Upgrades!$B$3:$B$13,0))*1.15^(COUNTIF(C$4:C1048,C1049)-COUNTIF(C$4:C1048,""Sell_""&amp;C1049))))))"),"")</f>
        <v/>
      </c>
      <c r="H1049" s="10" t="str">
        <f t="shared" si="3"/>
        <v/>
      </c>
      <c r="I1049" s="68" t="str">
        <f t="shared" si="4"/>
        <v/>
      </c>
      <c r="J1049" s="59" t="str">
        <f t="shared" si="5"/>
        <v/>
      </c>
      <c r="K1049" s="69" t="str">
        <f t="shared" si="6"/>
        <v/>
      </c>
      <c r="L1049" s="60" t="str">
        <f t="shared" si="7"/>
        <v/>
      </c>
      <c r="M1049" s="61" t="str">
        <f>IFERROR(__xludf.DUMMYFUNCTION("IFS(AND(COUNTA(C1049:C1644)=0,COUNTA(Q1049:Q1644)=0),"""",OR(AND(K1049&gt;=1000000000,OR(Y1049&gt;=1000000000,COUNTA(Q1049:Q1644)=0)),OR(Y1049&gt;=1000000000,AND(COUNTA(C1049:C1644)=0,P$3=TRUE))),
ROUNDDOWN((AB$1-AC$1)*MAX(INDEX(T$4:T1644,MATCH(LARGE(FILTER(Y$4:Y1"&amp;"644,Y$4:Y1644&lt;1000000000),1),Y$4:Y1644)),INDEX(F$4:F1644,MATCH(LARGE(FILTER(K$4:K1644,K$4:K1644&lt;1000000000),1),K$4:K1644)))),AND(K1049&lt;1000000000,COUNTA(C1049:C1644)&gt;0,P$3=FALSE),
ROUNDDOWN(INDEX(Y$4:Y1644,MATCH(LARGE(FILTER(W$4:W1644,W$4:W1644&lt;=I1049),1)"&amp;",W$4:W1644))+(I1049-LARGE(FILTER(W$4:W1644,W$4:W1644&lt;=I1049),1))*INDEX(T$4:T1644,MATCH(LARGE(FILTER(W$4:W1644,W$4:W1644&lt;=I1049),1),W$4:W1644))-K1049),1,
ROUNDDOWN(Y1049-INDEX(K$4:K1644,MATCH(LARGE(FILTER(I$4:I1644,I$4:I1644&lt;=W1049),1),I$4:I1644))-(W1049-L"&amp;"ARGE(FILTER(I$4:I1644,I$4:I1644&lt;=W1049),1))*INDEX(F$4:F1644,MATCH(LARGE(FILTER(I$4:I1644,I$4:I1644&lt;=W1049),1),I$4:I1644))))"),"")</f>
        <v/>
      </c>
      <c r="N1049" s="60" t="str">
        <f t="shared" si="8"/>
        <v/>
      </c>
      <c r="O1049" s="61" t="str">
        <f t="shared" si="9"/>
        <v/>
      </c>
      <c r="P1049" s="56" t="str">
        <f t="shared" si="10"/>
        <v/>
      </c>
      <c r="Q1049" s="105"/>
      <c r="R1049" s="10"/>
      <c r="S1049" s="59" t="str">
        <f t="array" ref="S1049">IF(COUNTA(Q1049:Q1644)=0,"",SUM((COUNTIF(Q$4:Q1049,Upgrades!$B$3:$B$13)-COUNTIF(Q$4:Q1049,"Sell_"&amp;Upgrades!$B$3:$B$13))*Upgrades!$D$3:$D$13))</f>
        <v/>
      </c>
      <c r="T1049" s="66" t="str">
        <f>IFERROR(__xludf.DUMMYFUNCTION("IF(COUNTA(Q1049:Q1644)=0,"""",IF(REGEXMATCH(INDEX(FILTER(Q$4:Q1049,Q$4:Q1049&lt;&gt;""""),ROWS(FILTER(Q$4:Q1049,Q$4:Q1049&lt;&gt;""""))),""^Sell_""),INDEX(FILTER(T$4:T1048,Q$4:Q1048&lt;&gt;""""),ROWS(FILTER(Q$4:Q1048,Q$4:Q1048&lt;&gt;""""))),$AD$5+S1049))"),"")</f>
        <v/>
      </c>
      <c r="U1049" s="10" t="str">
        <f>IFERROR(__xludf.DUMMYFUNCTION("IF(COUNTA(Q1049:Q1644)=0,"""",IF(Q1049="""",0,IF(REGEXMATCH(Q1049,""^Sell_""),-ROUNDDOWN(ROUNDUP(INDEX(Upgrades!$C$3:$C$13,MATCH(SUBSTITUTE(Q1049,""Sell_"",""""),Upgrades!$B$3:$B$13,0))*1.15^(COUNTIF(Q$4:Q1048,SUBSTITUTE(Q1049,""Sell_"",""""))-COUNTIF(Q$4"&amp;":Q1048,""Sell_""&amp;SUBSTITUTE(Q1049,""Sell_"",""""))))/2),ROUNDUP(INDEX(Upgrades!$C$3:$C$13,MATCH(Q1049,Upgrades!$B$3:$B$13,0))*1.15^(COUNTIF(Q$4:Q1048,Q1049)-COUNTIF(Q$4:Q1048,""Sell_""&amp;Q1049))))))"),"")</f>
        <v/>
      </c>
      <c r="V1049" s="10" t="str">
        <f t="shared" si="11"/>
        <v/>
      </c>
      <c r="W1049" s="68" t="str">
        <f t="shared" si="12"/>
        <v/>
      </c>
      <c r="X1049" s="59" t="str">
        <f t="shared" si="13"/>
        <v/>
      </c>
      <c r="Y1049" s="69" t="str">
        <f t="shared" si="14"/>
        <v/>
      </c>
      <c r="Z1049" s="11"/>
      <c r="AG1049" s="59"/>
    </row>
    <row r="1050">
      <c r="A1050" s="8"/>
      <c r="B1050" s="56" t="str">
        <f t="shared" si="2"/>
        <v/>
      </c>
      <c r="C1050" s="105"/>
      <c r="D1050" s="10"/>
      <c r="E1050" s="59" t="str">
        <f t="array" ref="E1050">IF(COUNTA(C1050:C1644)=0,"",SUM((COUNTIF(C$4:C1050,Upgrades!$B$3:$B$13)-COUNTIF(C$4:C1050,"Sell_"&amp;Upgrades!$B$3:$B$13))*Upgrades!$D$3:$D$13))</f>
        <v/>
      </c>
      <c r="F1050" s="66" t="str">
        <f>IFERROR(__xludf.DUMMYFUNCTION("IF(COUNTA(C1050:C1644)=0,"""",IF(REGEXMATCH(INDEX(FILTER(C$4:C1050,C$4:C1050&lt;&gt;""""),ROWS(FILTER(C$4:C1050,C$4:C1050&lt;&gt;""""))),""^Sell_""),INDEX(FILTER(F$4:F1049,C$4:C1049&lt;&gt;""""),ROWS(FILTER(C$4:C1049,C$4:C1049&lt;&gt;""""))),$AC$5+E1050))"),"")</f>
        <v/>
      </c>
      <c r="G1050" s="10" t="str">
        <f>IFERROR(__xludf.DUMMYFUNCTION("IF(COUNTA(C1050:C1644)=0,"""",IF(C1050="""",0,IF(REGEXMATCH(C1050,""^Sell_""),-ROUNDDOWN(ROUNDUP(INDEX(Upgrades!$C$3:$C$13,MATCH(SUBSTITUTE(C1050,""Sell_"",""""),Upgrades!$B$3:$B$13,0))*1.15^(COUNTIF(C$4:C1049,SUBSTITUTE(C1050,""Sell_"",""""))-COUNTIF(C$4"&amp;":C1049,""Sell_""&amp;SUBSTITUTE(C1050,""Sell_"",""""))))/2),ROUNDUP(INDEX(Upgrades!$C$3:$C$13,MATCH(C1050,Upgrades!$B$3:$B$13,0))*1.15^(COUNTIF(C$4:C1049,C1050)-COUNTIF(C$4:C1049,""Sell_""&amp;C1050))))))"),"")</f>
        <v/>
      </c>
      <c r="H1050" s="10" t="str">
        <f t="shared" si="3"/>
        <v/>
      </c>
      <c r="I1050" s="68" t="str">
        <f t="shared" si="4"/>
        <v/>
      </c>
      <c r="J1050" s="59" t="str">
        <f t="shared" si="5"/>
        <v/>
      </c>
      <c r="K1050" s="69" t="str">
        <f t="shared" si="6"/>
        <v/>
      </c>
      <c r="L1050" s="60" t="str">
        <f t="shared" si="7"/>
        <v/>
      </c>
      <c r="M1050" s="61" t="str">
        <f>IFERROR(__xludf.DUMMYFUNCTION("IFS(AND(COUNTA(C1050:C1644)=0,COUNTA(Q1050:Q1644)=0),"""",OR(AND(K1050&gt;=1000000000,OR(Y1050&gt;=1000000000,COUNTA(Q1050:Q1644)=0)),OR(Y1050&gt;=1000000000,AND(COUNTA(C1050:C1644)=0,P$3=TRUE))),
ROUNDDOWN((AB$1-AC$1)*MAX(INDEX(T$4:T1644,MATCH(LARGE(FILTER(Y$4:Y1"&amp;"644,Y$4:Y1644&lt;1000000000),1),Y$4:Y1644)),INDEX(F$4:F1644,MATCH(LARGE(FILTER(K$4:K1644,K$4:K1644&lt;1000000000),1),K$4:K1644)))),AND(K1050&lt;1000000000,COUNTA(C1050:C1644)&gt;0,P$3=FALSE),
ROUNDDOWN(INDEX(Y$4:Y1644,MATCH(LARGE(FILTER(W$4:W1644,W$4:W1644&lt;=I1050),1)"&amp;",W$4:W1644))+(I1050-LARGE(FILTER(W$4:W1644,W$4:W1644&lt;=I1050),1))*INDEX(T$4:T1644,MATCH(LARGE(FILTER(W$4:W1644,W$4:W1644&lt;=I1050),1),W$4:W1644))-K1050),1,
ROUNDDOWN(Y1050-INDEX(K$4:K1644,MATCH(LARGE(FILTER(I$4:I1644,I$4:I1644&lt;=W1050),1),I$4:I1644))-(W1050-L"&amp;"ARGE(FILTER(I$4:I1644,I$4:I1644&lt;=W1050),1))*INDEX(F$4:F1644,MATCH(LARGE(FILTER(I$4:I1644,I$4:I1644&lt;=W1050),1),I$4:I1644))))"),"")</f>
        <v/>
      </c>
      <c r="N1050" s="60" t="str">
        <f t="shared" si="8"/>
        <v/>
      </c>
      <c r="O1050" s="61" t="str">
        <f t="shared" si="9"/>
        <v/>
      </c>
      <c r="P1050" s="56" t="str">
        <f t="shared" si="10"/>
        <v/>
      </c>
      <c r="Q1050" s="105"/>
      <c r="R1050" s="10"/>
      <c r="S1050" s="59" t="str">
        <f t="array" ref="S1050">IF(COUNTA(Q1050:Q1644)=0,"",SUM((COUNTIF(Q$4:Q1050,Upgrades!$B$3:$B$13)-COUNTIF(Q$4:Q1050,"Sell_"&amp;Upgrades!$B$3:$B$13))*Upgrades!$D$3:$D$13))</f>
        <v/>
      </c>
      <c r="T1050" s="66" t="str">
        <f>IFERROR(__xludf.DUMMYFUNCTION("IF(COUNTA(Q1050:Q1644)=0,"""",IF(REGEXMATCH(INDEX(FILTER(Q$4:Q1050,Q$4:Q1050&lt;&gt;""""),ROWS(FILTER(Q$4:Q1050,Q$4:Q1050&lt;&gt;""""))),""^Sell_""),INDEX(FILTER(T$4:T1049,Q$4:Q1049&lt;&gt;""""),ROWS(FILTER(Q$4:Q1049,Q$4:Q1049&lt;&gt;""""))),$AD$5+S1050))"),"")</f>
        <v/>
      </c>
      <c r="U1050" s="10" t="str">
        <f>IFERROR(__xludf.DUMMYFUNCTION("IF(COUNTA(Q1050:Q1644)=0,"""",IF(Q1050="""",0,IF(REGEXMATCH(Q1050,""^Sell_""),-ROUNDDOWN(ROUNDUP(INDEX(Upgrades!$C$3:$C$13,MATCH(SUBSTITUTE(Q1050,""Sell_"",""""),Upgrades!$B$3:$B$13,0))*1.15^(COUNTIF(Q$4:Q1049,SUBSTITUTE(Q1050,""Sell_"",""""))-COUNTIF(Q$4"&amp;":Q1049,""Sell_""&amp;SUBSTITUTE(Q1050,""Sell_"",""""))))/2),ROUNDUP(INDEX(Upgrades!$C$3:$C$13,MATCH(Q1050,Upgrades!$B$3:$B$13,0))*1.15^(COUNTIF(Q$4:Q1049,Q1050)-COUNTIF(Q$4:Q1049,""Sell_""&amp;Q1050))))))"),"")</f>
        <v/>
      </c>
      <c r="V1050" s="10" t="str">
        <f t="shared" si="11"/>
        <v/>
      </c>
      <c r="W1050" s="68" t="str">
        <f t="shared" si="12"/>
        <v/>
      </c>
      <c r="X1050" s="59" t="str">
        <f t="shared" si="13"/>
        <v/>
      </c>
      <c r="Y1050" s="69" t="str">
        <f t="shared" si="14"/>
        <v/>
      </c>
      <c r="Z1050" s="11"/>
      <c r="AG1050" s="59"/>
    </row>
    <row r="1051">
      <c r="A1051" s="8"/>
      <c r="B1051" s="56" t="str">
        <f t="shared" si="2"/>
        <v/>
      </c>
      <c r="C1051" s="105"/>
      <c r="D1051" s="10"/>
      <c r="E1051" s="59" t="str">
        <f t="array" ref="E1051">IF(COUNTA(C1051:C1644)=0,"",SUM((COUNTIF(C$4:C1051,Upgrades!$B$3:$B$13)-COUNTIF(C$4:C1051,"Sell_"&amp;Upgrades!$B$3:$B$13))*Upgrades!$D$3:$D$13))</f>
        <v/>
      </c>
      <c r="F1051" s="66" t="str">
        <f>IFERROR(__xludf.DUMMYFUNCTION("IF(COUNTA(C1051:C1644)=0,"""",IF(REGEXMATCH(INDEX(FILTER(C$4:C1051,C$4:C1051&lt;&gt;""""),ROWS(FILTER(C$4:C1051,C$4:C1051&lt;&gt;""""))),""^Sell_""),INDEX(FILTER(F$4:F1050,C$4:C1050&lt;&gt;""""),ROWS(FILTER(C$4:C1050,C$4:C1050&lt;&gt;""""))),$AC$5+E1051))"),"")</f>
        <v/>
      </c>
      <c r="G1051" s="10" t="str">
        <f>IFERROR(__xludf.DUMMYFUNCTION("IF(COUNTA(C1051:C1644)=0,"""",IF(C1051="""",0,IF(REGEXMATCH(C1051,""^Sell_""),-ROUNDDOWN(ROUNDUP(INDEX(Upgrades!$C$3:$C$13,MATCH(SUBSTITUTE(C1051,""Sell_"",""""),Upgrades!$B$3:$B$13,0))*1.15^(COUNTIF(C$4:C1050,SUBSTITUTE(C1051,""Sell_"",""""))-COUNTIF(C$4"&amp;":C1050,""Sell_""&amp;SUBSTITUTE(C1051,""Sell_"",""""))))/2),ROUNDUP(INDEX(Upgrades!$C$3:$C$13,MATCH(C1051,Upgrades!$B$3:$B$13,0))*1.15^(COUNTIF(C$4:C1050,C1051)-COUNTIF(C$4:C1050,""Sell_""&amp;C1051))))))"),"")</f>
        <v/>
      </c>
      <c r="H1051" s="10" t="str">
        <f t="shared" si="3"/>
        <v/>
      </c>
      <c r="I1051" s="68" t="str">
        <f t="shared" si="4"/>
        <v/>
      </c>
      <c r="J1051" s="59" t="str">
        <f t="shared" si="5"/>
        <v/>
      </c>
      <c r="K1051" s="69" t="str">
        <f t="shared" si="6"/>
        <v/>
      </c>
      <c r="L1051" s="60" t="str">
        <f t="shared" si="7"/>
        <v/>
      </c>
      <c r="M1051" s="61" t="str">
        <f>IFERROR(__xludf.DUMMYFUNCTION("IFS(AND(COUNTA(C1051:C1644)=0,COUNTA(Q1051:Q1644)=0),"""",OR(AND(K1051&gt;=1000000000,OR(Y1051&gt;=1000000000,COUNTA(Q1051:Q1644)=0)),OR(Y1051&gt;=1000000000,AND(COUNTA(C1051:C1644)=0,P$3=TRUE))),
ROUNDDOWN((AB$1-AC$1)*MAX(INDEX(T$4:T1644,MATCH(LARGE(FILTER(Y$4:Y1"&amp;"644,Y$4:Y1644&lt;1000000000),1),Y$4:Y1644)),INDEX(F$4:F1644,MATCH(LARGE(FILTER(K$4:K1644,K$4:K1644&lt;1000000000),1),K$4:K1644)))),AND(K1051&lt;1000000000,COUNTA(C1051:C1644)&gt;0,P$3=FALSE),
ROUNDDOWN(INDEX(Y$4:Y1644,MATCH(LARGE(FILTER(W$4:W1644,W$4:W1644&lt;=I1051),1)"&amp;",W$4:W1644))+(I1051-LARGE(FILTER(W$4:W1644,W$4:W1644&lt;=I1051),1))*INDEX(T$4:T1644,MATCH(LARGE(FILTER(W$4:W1644,W$4:W1644&lt;=I1051),1),W$4:W1644))-K1051),1,
ROUNDDOWN(Y1051-INDEX(K$4:K1644,MATCH(LARGE(FILTER(I$4:I1644,I$4:I1644&lt;=W1051),1),I$4:I1644))-(W1051-L"&amp;"ARGE(FILTER(I$4:I1644,I$4:I1644&lt;=W1051),1))*INDEX(F$4:F1644,MATCH(LARGE(FILTER(I$4:I1644,I$4:I1644&lt;=W1051),1),I$4:I1644))))"),"")</f>
        <v/>
      </c>
      <c r="N1051" s="60" t="str">
        <f t="shared" si="8"/>
        <v/>
      </c>
      <c r="O1051" s="61" t="str">
        <f t="shared" si="9"/>
        <v/>
      </c>
      <c r="P1051" s="56" t="str">
        <f t="shared" si="10"/>
        <v/>
      </c>
      <c r="Q1051" s="105"/>
      <c r="R1051" s="10"/>
      <c r="S1051" s="59" t="str">
        <f t="array" ref="S1051">IF(COUNTA(Q1051:Q1644)=0,"",SUM((COUNTIF(Q$4:Q1051,Upgrades!$B$3:$B$13)-COUNTIF(Q$4:Q1051,"Sell_"&amp;Upgrades!$B$3:$B$13))*Upgrades!$D$3:$D$13))</f>
        <v/>
      </c>
      <c r="T1051" s="66" t="str">
        <f>IFERROR(__xludf.DUMMYFUNCTION("IF(COUNTA(Q1051:Q1644)=0,"""",IF(REGEXMATCH(INDEX(FILTER(Q$4:Q1051,Q$4:Q1051&lt;&gt;""""),ROWS(FILTER(Q$4:Q1051,Q$4:Q1051&lt;&gt;""""))),""^Sell_""),INDEX(FILTER(T$4:T1050,Q$4:Q1050&lt;&gt;""""),ROWS(FILTER(Q$4:Q1050,Q$4:Q1050&lt;&gt;""""))),$AD$5+S1051))"),"")</f>
        <v/>
      </c>
      <c r="U1051" s="10" t="str">
        <f>IFERROR(__xludf.DUMMYFUNCTION("IF(COUNTA(Q1051:Q1644)=0,"""",IF(Q1051="""",0,IF(REGEXMATCH(Q1051,""^Sell_""),-ROUNDDOWN(ROUNDUP(INDEX(Upgrades!$C$3:$C$13,MATCH(SUBSTITUTE(Q1051,""Sell_"",""""),Upgrades!$B$3:$B$13,0))*1.15^(COUNTIF(Q$4:Q1050,SUBSTITUTE(Q1051,""Sell_"",""""))-COUNTIF(Q$4"&amp;":Q1050,""Sell_""&amp;SUBSTITUTE(Q1051,""Sell_"",""""))))/2),ROUNDUP(INDEX(Upgrades!$C$3:$C$13,MATCH(Q1051,Upgrades!$B$3:$B$13,0))*1.15^(COUNTIF(Q$4:Q1050,Q1051)-COUNTIF(Q$4:Q1050,""Sell_""&amp;Q1051))))))"),"")</f>
        <v/>
      </c>
      <c r="V1051" s="10" t="str">
        <f t="shared" si="11"/>
        <v/>
      </c>
      <c r="W1051" s="68" t="str">
        <f t="shared" si="12"/>
        <v/>
      </c>
      <c r="X1051" s="59" t="str">
        <f t="shared" si="13"/>
        <v/>
      </c>
      <c r="Y1051" s="69" t="str">
        <f t="shared" si="14"/>
        <v/>
      </c>
      <c r="Z1051" s="11"/>
      <c r="AG1051" s="59"/>
    </row>
    <row r="1052">
      <c r="A1052" s="8"/>
      <c r="B1052" s="56" t="str">
        <f t="shared" si="2"/>
        <v/>
      </c>
      <c r="C1052" s="105"/>
      <c r="D1052" s="10"/>
      <c r="E1052" s="59" t="str">
        <f t="array" ref="E1052">IF(COUNTA(C1052:C1644)=0,"",SUM((COUNTIF(C$4:C1052,Upgrades!$B$3:$B$13)-COUNTIF(C$4:C1052,"Sell_"&amp;Upgrades!$B$3:$B$13))*Upgrades!$D$3:$D$13))</f>
        <v/>
      </c>
      <c r="F1052" s="66" t="str">
        <f>IFERROR(__xludf.DUMMYFUNCTION("IF(COUNTA(C1052:C1644)=0,"""",IF(REGEXMATCH(INDEX(FILTER(C$4:C1052,C$4:C1052&lt;&gt;""""),ROWS(FILTER(C$4:C1052,C$4:C1052&lt;&gt;""""))),""^Sell_""),INDEX(FILTER(F$4:F1051,C$4:C1051&lt;&gt;""""),ROWS(FILTER(C$4:C1051,C$4:C1051&lt;&gt;""""))),$AC$5+E1052))"),"")</f>
        <v/>
      </c>
      <c r="G1052" s="10" t="str">
        <f>IFERROR(__xludf.DUMMYFUNCTION("IF(COUNTA(C1052:C1644)=0,"""",IF(C1052="""",0,IF(REGEXMATCH(C1052,""^Sell_""),-ROUNDDOWN(ROUNDUP(INDEX(Upgrades!$C$3:$C$13,MATCH(SUBSTITUTE(C1052,""Sell_"",""""),Upgrades!$B$3:$B$13,0))*1.15^(COUNTIF(C$4:C1051,SUBSTITUTE(C1052,""Sell_"",""""))-COUNTIF(C$4"&amp;":C1051,""Sell_""&amp;SUBSTITUTE(C1052,""Sell_"",""""))))/2),ROUNDUP(INDEX(Upgrades!$C$3:$C$13,MATCH(C1052,Upgrades!$B$3:$B$13,0))*1.15^(COUNTIF(C$4:C1051,C1052)-COUNTIF(C$4:C1051,""Sell_""&amp;C1052))))))"),"")</f>
        <v/>
      </c>
      <c r="H1052" s="10" t="str">
        <f t="shared" si="3"/>
        <v/>
      </c>
      <c r="I1052" s="68" t="str">
        <f t="shared" si="4"/>
        <v/>
      </c>
      <c r="J1052" s="59" t="str">
        <f t="shared" si="5"/>
        <v/>
      </c>
      <c r="K1052" s="69" t="str">
        <f t="shared" si="6"/>
        <v/>
      </c>
      <c r="L1052" s="60" t="str">
        <f t="shared" si="7"/>
        <v/>
      </c>
      <c r="M1052" s="61" t="str">
        <f>IFERROR(__xludf.DUMMYFUNCTION("IFS(AND(COUNTA(C1052:C1644)=0,COUNTA(Q1052:Q1644)=0),"""",OR(AND(K1052&gt;=1000000000,OR(Y1052&gt;=1000000000,COUNTA(Q1052:Q1644)=0)),OR(Y1052&gt;=1000000000,AND(COUNTA(C1052:C1644)=0,P$3=TRUE))),
ROUNDDOWN((AB$1-AC$1)*MAX(INDEX(T$4:T1644,MATCH(LARGE(FILTER(Y$4:Y1"&amp;"644,Y$4:Y1644&lt;1000000000),1),Y$4:Y1644)),INDEX(F$4:F1644,MATCH(LARGE(FILTER(K$4:K1644,K$4:K1644&lt;1000000000),1),K$4:K1644)))),AND(K1052&lt;1000000000,COUNTA(C1052:C1644)&gt;0,P$3=FALSE),
ROUNDDOWN(INDEX(Y$4:Y1644,MATCH(LARGE(FILTER(W$4:W1644,W$4:W1644&lt;=I1052),1)"&amp;",W$4:W1644))+(I1052-LARGE(FILTER(W$4:W1644,W$4:W1644&lt;=I1052),1))*INDEX(T$4:T1644,MATCH(LARGE(FILTER(W$4:W1644,W$4:W1644&lt;=I1052),1),W$4:W1644))-K1052),1,
ROUNDDOWN(Y1052-INDEX(K$4:K1644,MATCH(LARGE(FILTER(I$4:I1644,I$4:I1644&lt;=W1052),1),I$4:I1644))-(W1052-L"&amp;"ARGE(FILTER(I$4:I1644,I$4:I1644&lt;=W1052),1))*INDEX(F$4:F1644,MATCH(LARGE(FILTER(I$4:I1644,I$4:I1644&lt;=W1052),1),I$4:I1644))))"),"")</f>
        <v/>
      </c>
      <c r="N1052" s="60" t="str">
        <f t="shared" si="8"/>
        <v/>
      </c>
      <c r="O1052" s="61" t="str">
        <f t="shared" si="9"/>
        <v/>
      </c>
      <c r="P1052" s="56" t="str">
        <f t="shared" si="10"/>
        <v/>
      </c>
      <c r="Q1052" s="105"/>
      <c r="R1052" s="10"/>
      <c r="S1052" s="59" t="str">
        <f t="array" ref="S1052">IF(COUNTA(Q1052:Q1644)=0,"",SUM((COUNTIF(Q$4:Q1052,Upgrades!$B$3:$B$13)-COUNTIF(Q$4:Q1052,"Sell_"&amp;Upgrades!$B$3:$B$13))*Upgrades!$D$3:$D$13))</f>
        <v/>
      </c>
      <c r="T1052" s="66" t="str">
        <f>IFERROR(__xludf.DUMMYFUNCTION("IF(COUNTA(Q1052:Q1644)=0,"""",IF(REGEXMATCH(INDEX(FILTER(Q$4:Q1052,Q$4:Q1052&lt;&gt;""""),ROWS(FILTER(Q$4:Q1052,Q$4:Q1052&lt;&gt;""""))),""^Sell_""),INDEX(FILTER(T$4:T1051,Q$4:Q1051&lt;&gt;""""),ROWS(FILTER(Q$4:Q1051,Q$4:Q1051&lt;&gt;""""))),$AD$5+S1052))"),"")</f>
        <v/>
      </c>
      <c r="U1052" s="10" t="str">
        <f>IFERROR(__xludf.DUMMYFUNCTION("IF(COUNTA(Q1052:Q1644)=0,"""",IF(Q1052="""",0,IF(REGEXMATCH(Q1052,""^Sell_""),-ROUNDDOWN(ROUNDUP(INDEX(Upgrades!$C$3:$C$13,MATCH(SUBSTITUTE(Q1052,""Sell_"",""""),Upgrades!$B$3:$B$13,0))*1.15^(COUNTIF(Q$4:Q1051,SUBSTITUTE(Q1052,""Sell_"",""""))-COUNTIF(Q$4"&amp;":Q1051,""Sell_""&amp;SUBSTITUTE(Q1052,""Sell_"",""""))))/2),ROUNDUP(INDEX(Upgrades!$C$3:$C$13,MATCH(Q1052,Upgrades!$B$3:$B$13,0))*1.15^(COUNTIF(Q$4:Q1051,Q1052)-COUNTIF(Q$4:Q1051,""Sell_""&amp;Q1052))))))"),"")</f>
        <v/>
      </c>
      <c r="V1052" s="10" t="str">
        <f t="shared" si="11"/>
        <v/>
      </c>
      <c r="W1052" s="68" t="str">
        <f t="shared" si="12"/>
        <v/>
      </c>
      <c r="X1052" s="59" t="str">
        <f t="shared" si="13"/>
        <v/>
      </c>
      <c r="Y1052" s="69" t="str">
        <f t="shared" si="14"/>
        <v/>
      </c>
      <c r="Z1052" s="11"/>
      <c r="AG1052" s="59"/>
    </row>
    <row r="1053">
      <c r="A1053" s="8"/>
      <c r="B1053" s="56" t="str">
        <f t="shared" si="2"/>
        <v/>
      </c>
      <c r="C1053" s="105"/>
      <c r="D1053" s="10"/>
      <c r="E1053" s="59" t="str">
        <f t="array" ref="E1053">IF(COUNTA(C1053:C1644)=0,"",SUM((COUNTIF(C$4:C1053,Upgrades!$B$3:$B$13)-COUNTIF(C$4:C1053,"Sell_"&amp;Upgrades!$B$3:$B$13))*Upgrades!$D$3:$D$13))</f>
        <v/>
      </c>
      <c r="F1053" s="66" t="str">
        <f>IFERROR(__xludf.DUMMYFUNCTION("IF(COUNTA(C1053:C1644)=0,"""",IF(REGEXMATCH(INDEX(FILTER(C$4:C1053,C$4:C1053&lt;&gt;""""),ROWS(FILTER(C$4:C1053,C$4:C1053&lt;&gt;""""))),""^Sell_""),INDEX(FILTER(F$4:F1052,C$4:C1052&lt;&gt;""""),ROWS(FILTER(C$4:C1052,C$4:C1052&lt;&gt;""""))),$AC$5+E1053))"),"")</f>
        <v/>
      </c>
      <c r="G1053" s="10" t="str">
        <f>IFERROR(__xludf.DUMMYFUNCTION("IF(COUNTA(C1053:C1644)=0,"""",IF(C1053="""",0,IF(REGEXMATCH(C1053,""^Sell_""),-ROUNDDOWN(ROUNDUP(INDEX(Upgrades!$C$3:$C$13,MATCH(SUBSTITUTE(C1053,""Sell_"",""""),Upgrades!$B$3:$B$13,0))*1.15^(COUNTIF(C$4:C1052,SUBSTITUTE(C1053,""Sell_"",""""))-COUNTIF(C$4"&amp;":C1052,""Sell_""&amp;SUBSTITUTE(C1053,""Sell_"",""""))))/2),ROUNDUP(INDEX(Upgrades!$C$3:$C$13,MATCH(C1053,Upgrades!$B$3:$B$13,0))*1.15^(COUNTIF(C$4:C1052,C1053)-COUNTIF(C$4:C1052,""Sell_""&amp;C1053))))))"),"")</f>
        <v/>
      </c>
      <c r="H1053" s="10" t="str">
        <f t="shared" si="3"/>
        <v/>
      </c>
      <c r="I1053" s="68" t="str">
        <f t="shared" si="4"/>
        <v/>
      </c>
      <c r="J1053" s="59" t="str">
        <f t="shared" si="5"/>
        <v/>
      </c>
      <c r="K1053" s="69" t="str">
        <f t="shared" si="6"/>
        <v/>
      </c>
      <c r="L1053" s="60" t="str">
        <f t="shared" si="7"/>
        <v/>
      </c>
      <c r="M1053" s="61" t="str">
        <f>IFERROR(__xludf.DUMMYFUNCTION("IFS(AND(COUNTA(C1053:C1644)=0,COUNTA(Q1053:Q1644)=0),"""",OR(AND(K1053&gt;=1000000000,OR(Y1053&gt;=1000000000,COUNTA(Q1053:Q1644)=0)),OR(Y1053&gt;=1000000000,AND(COUNTA(C1053:C1644)=0,P$3=TRUE))),
ROUNDDOWN((AB$1-AC$1)*MAX(INDEX(T$4:T1644,MATCH(LARGE(FILTER(Y$4:Y1"&amp;"644,Y$4:Y1644&lt;1000000000),1),Y$4:Y1644)),INDEX(F$4:F1644,MATCH(LARGE(FILTER(K$4:K1644,K$4:K1644&lt;1000000000),1),K$4:K1644)))),AND(K1053&lt;1000000000,COUNTA(C1053:C1644)&gt;0,P$3=FALSE),
ROUNDDOWN(INDEX(Y$4:Y1644,MATCH(LARGE(FILTER(W$4:W1644,W$4:W1644&lt;=I1053),1)"&amp;",W$4:W1644))+(I1053-LARGE(FILTER(W$4:W1644,W$4:W1644&lt;=I1053),1))*INDEX(T$4:T1644,MATCH(LARGE(FILTER(W$4:W1644,W$4:W1644&lt;=I1053),1),W$4:W1644))-K1053),1,
ROUNDDOWN(Y1053-INDEX(K$4:K1644,MATCH(LARGE(FILTER(I$4:I1644,I$4:I1644&lt;=W1053),1),I$4:I1644))-(W1053-L"&amp;"ARGE(FILTER(I$4:I1644,I$4:I1644&lt;=W1053),1))*INDEX(F$4:F1644,MATCH(LARGE(FILTER(I$4:I1644,I$4:I1644&lt;=W1053),1),I$4:I1644))))"),"")</f>
        <v/>
      </c>
      <c r="N1053" s="60" t="str">
        <f t="shared" si="8"/>
        <v/>
      </c>
      <c r="O1053" s="61" t="str">
        <f t="shared" si="9"/>
        <v/>
      </c>
      <c r="P1053" s="56" t="str">
        <f t="shared" si="10"/>
        <v/>
      </c>
      <c r="Q1053" s="105"/>
      <c r="R1053" s="10"/>
      <c r="S1053" s="59" t="str">
        <f t="array" ref="S1053">IF(COUNTA(Q1053:Q1644)=0,"",SUM((COUNTIF(Q$4:Q1053,Upgrades!$B$3:$B$13)-COUNTIF(Q$4:Q1053,"Sell_"&amp;Upgrades!$B$3:$B$13))*Upgrades!$D$3:$D$13))</f>
        <v/>
      </c>
      <c r="T1053" s="66" t="str">
        <f>IFERROR(__xludf.DUMMYFUNCTION("IF(COUNTA(Q1053:Q1644)=0,"""",IF(REGEXMATCH(INDEX(FILTER(Q$4:Q1053,Q$4:Q1053&lt;&gt;""""),ROWS(FILTER(Q$4:Q1053,Q$4:Q1053&lt;&gt;""""))),""^Sell_""),INDEX(FILTER(T$4:T1052,Q$4:Q1052&lt;&gt;""""),ROWS(FILTER(Q$4:Q1052,Q$4:Q1052&lt;&gt;""""))),$AD$5+S1053))"),"")</f>
        <v/>
      </c>
      <c r="U1053" s="10" t="str">
        <f>IFERROR(__xludf.DUMMYFUNCTION("IF(COUNTA(Q1053:Q1644)=0,"""",IF(Q1053="""",0,IF(REGEXMATCH(Q1053,""^Sell_""),-ROUNDDOWN(ROUNDUP(INDEX(Upgrades!$C$3:$C$13,MATCH(SUBSTITUTE(Q1053,""Sell_"",""""),Upgrades!$B$3:$B$13,0))*1.15^(COUNTIF(Q$4:Q1052,SUBSTITUTE(Q1053,""Sell_"",""""))-COUNTIF(Q$4"&amp;":Q1052,""Sell_""&amp;SUBSTITUTE(Q1053,""Sell_"",""""))))/2),ROUNDUP(INDEX(Upgrades!$C$3:$C$13,MATCH(Q1053,Upgrades!$B$3:$B$13,0))*1.15^(COUNTIF(Q$4:Q1052,Q1053)-COUNTIF(Q$4:Q1052,""Sell_""&amp;Q1053))))))"),"")</f>
        <v/>
      </c>
      <c r="V1053" s="10" t="str">
        <f t="shared" si="11"/>
        <v/>
      </c>
      <c r="W1053" s="68" t="str">
        <f t="shared" si="12"/>
        <v/>
      </c>
      <c r="X1053" s="59" t="str">
        <f t="shared" si="13"/>
        <v/>
      </c>
      <c r="Y1053" s="69" t="str">
        <f t="shared" si="14"/>
        <v/>
      </c>
      <c r="Z1053" s="11"/>
      <c r="AG1053" s="59"/>
    </row>
    <row r="1054">
      <c r="A1054" s="8"/>
      <c r="B1054" s="56" t="str">
        <f t="shared" si="2"/>
        <v/>
      </c>
      <c r="C1054" s="105"/>
      <c r="D1054" s="10"/>
      <c r="E1054" s="59" t="str">
        <f t="array" ref="E1054">IF(COUNTA(C1054:C1644)=0,"",SUM((COUNTIF(C$4:C1054,Upgrades!$B$3:$B$13)-COUNTIF(C$4:C1054,"Sell_"&amp;Upgrades!$B$3:$B$13))*Upgrades!$D$3:$D$13))</f>
        <v/>
      </c>
      <c r="F1054" s="66" t="str">
        <f>IFERROR(__xludf.DUMMYFUNCTION("IF(COUNTA(C1054:C1644)=0,"""",IF(REGEXMATCH(INDEX(FILTER(C$4:C1054,C$4:C1054&lt;&gt;""""),ROWS(FILTER(C$4:C1054,C$4:C1054&lt;&gt;""""))),""^Sell_""),INDEX(FILTER(F$4:F1053,C$4:C1053&lt;&gt;""""),ROWS(FILTER(C$4:C1053,C$4:C1053&lt;&gt;""""))),$AC$5+E1054))"),"")</f>
        <v/>
      </c>
      <c r="G1054" s="10" t="str">
        <f>IFERROR(__xludf.DUMMYFUNCTION("IF(COUNTA(C1054:C1644)=0,"""",IF(C1054="""",0,IF(REGEXMATCH(C1054,""^Sell_""),-ROUNDDOWN(ROUNDUP(INDEX(Upgrades!$C$3:$C$13,MATCH(SUBSTITUTE(C1054,""Sell_"",""""),Upgrades!$B$3:$B$13,0))*1.15^(COUNTIF(C$4:C1053,SUBSTITUTE(C1054,""Sell_"",""""))-COUNTIF(C$4"&amp;":C1053,""Sell_""&amp;SUBSTITUTE(C1054,""Sell_"",""""))))/2),ROUNDUP(INDEX(Upgrades!$C$3:$C$13,MATCH(C1054,Upgrades!$B$3:$B$13,0))*1.15^(COUNTIF(C$4:C1053,C1054)-COUNTIF(C$4:C1053,""Sell_""&amp;C1054))))))"),"")</f>
        <v/>
      </c>
      <c r="H1054" s="10" t="str">
        <f t="shared" si="3"/>
        <v/>
      </c>
      <c r="I1054" s="68" t="str">
        <f t="shared" si="4"/>
        <v/>
      </c>
      <c r="J1054" s="59" t="str">
        <f t="shared" si="5"/>
        <v/>
      </c>
      <c r="K1054" s="69" t="str">
        <f t="shared" si="6"/>
        <v/>
      </c>
      <c r="L1054" s="60" t="str">
        <f t="shared" si="7"/>
        <v/>
      </c>
      <c r="M1054" s="61" t="str">
        <f>IFERROR(__xludf.DUMMYFUNCTION("IFS(AND(COUNTA(C1054:C1644)=0,COUNTA(Q1054:Q1644)=0),"""",OR(AND(K1054&gt;=1000000000,OR(Y1054&gt;=1000000000,COUNTA(Q1054:Q1644)=0)),OR(Y1054&gt;=1000000000,AND(COUNTA(C1054:C1644)=0,P$3=TRUE))),
ROUNDDOWN((AB$1-AC$1)*MAX(INDEX(T$4:T1644,MATCH(LARGE(FILTER(Y$4:Y1"&amp;"644,Y$4:Y1644&lt;1000000000),1),Y$4:Y1644)),INDEX(F$4:F1644,MATCH(LARGE(FILTER(K$4:K1644,K$4:K1644&lt;1000000000),1),K$4:K1644)))),AND(K1054&lt;1000000000,COUNTA(C1054:C1644)&gt;0,P$3=FALSE),
ROUNDDOWN(INDEX(Y$4:Y1644,MATCH(LARGE(FILTER(W$4:W1644,W$4:W1644&lt;=I1054),1)"&amp;",W$4:W1644))+(I1054-LARGE(FILTER(W$4:W1644,W$4:W1644&lt;=I1054),1))*INDEX(T$4:T1644,MATCH(LARGE(FILTER(W$4:W1644,W$4:W1644&lt;=I1054),1),W$4:W1644))-K1054),1,
ROUNDDOWN(Y1054-INDEX(K$4:K1644,MATCH(LARGE(FILTER(I$4:I1644,I$4:I1644&lt;=W1054),1),I$4:I1644))-(W1054-L"&amp;"ARGE(FILTER(I$4:I1644,I$4:I1644&lt;=W1054),1))*INDEX(F$4:F1644,MATCH(LARGE(FILTER(I$4:I1644,I$4:I1644&lt;=W1054),1),I$4:I1644))))"),"")</f>
        <v/>
      </c>
      <c r="N1054" s="60" t="str">
        <f t="shared" si="8"/>
        <v/>
      </c>
      <c r="O1054" s="61" t="str">
        <f t="shared" si="9"/>
        <v/>
      </c>
      <c r="P1054" s="56" t="str">
        <f t="shared" si="10"/>
        <v/>
      </c>
      <c r="Q1054" s="105"/>
      <c r="R1054" s="10"/>
      <c r="S1054" s="59" t="str">
        <f t="array" ref="S1054">IF(COUNTA(Q1054:Q1644)=0,"",SUM((COUNTIF(Q$4:Q1054,Upgrades!$B$3:$B$13)-COUNTIF(Q$4:Q1054,"Sell_"&amp;Upgrades!$B$3:$B$13))*Upgrades!$D$3:$D$13))</f>
        <v/>
      </c>
      <c r="T1054" s="66" t="str">
        <f>IFERROR(__xludf.DUMMYFUNCTION("IF(COUNTA(Q1054:Q1644)=0,"""",IF(REGEXMATCH(INDEX(FILTER(Q$4:Q1054,Q$4:Q1054&lt;&gt;""""),ROWS(FILTER(Q$4:Q1054,Q$4:Q1054&lt;&gt;""""))),""^Sell_""),INDEX(FILTER(T$4:T1053,Q$4:Q1053&lt;&gt;""""),ROWS(FILTER(Q$4:Q1053,Q$4:Q1053&lt;&gt;""""))),$AD$5+S1054))"),"")</f>
        <v/>
      </c>
      <c r="U1054" s="10" t="str">
        <f>IFERROR(__xludf.DUMMYFUNCTION("IF(COUNTA(Q1054:Q1644)=0,"""",IF(Q1054="""",0,IF(REGEXMATCH(Q1054,""^Sell_""),-ROUNDDOWN(ROUNDUP(INDEX(Upgrades!$C$3:$C$13,MATCH(SUBSTITUTE(Q1054,""Sell_"",""""),Upgrades!$B$3:$B$13,0))*1.15^(COUNTIF(Q$4:Q1053,SUBSTITUTE(Q1054,""Sell_"",""""))-COUNTIF(Q$4"&amp;":Q1053,""Sell_""&amp;SUBSTITUTE(Q1054,""Sell_"",""""))))/2),ROUNDUP(INDEX(Upgrades!$C$3:$C$13,MATCH(Q1054,Upgrades!$B$3:$B$13,0))*1.15^(COUNTIF(Q$4:Q1053,Q1054)-COUNTIF(Q$4:Q1053,""Sell_""&amp;Q1054))))))"),"")</f>
        <v/>
      </c>
      <c r="V1054" s="10" t="str">
        <f t="shared" si="11"/>
        <v/>
      </c>
      <c r="W1054" s="68" t="str">
        <f t="shared" si="12"/>
        <v/>
      </c>
      <c r="X1054" s="59" t="str">
        <f t="shared" si="13"/>
        <v/>
      </c>
      <c r="Y1054" s="69" t="str">
        <f t="shared" si="14"/>
        <v/>
      </c>
      <c r="Z1054" s="11"/>
      <c r="AG1054" s="59"/>
    </row>
    <row r="1055">
      <c r="A1055" s="8"/>
      <c r="B1055" s="56" t="str">
        <f t="shared" si="2"/>
        <v/>
      </c>
      <c r="C1055" s="105"/>
      <c r="D1055" s="10"/>
      <c r="E1055" s="59" t="str">
        <f t="array" ref="E1055">IF(COUNTA(C1055:C1644)=0,"",SUM((COUNTIF(C$4:C1055,Upgrades!$B$3:$B$13)-COUNTIF(C$4:C1055,"Sell_"&amp;Upgrades!$B$3:$B$13))*Upgrades!$D$3:$D$13))</f>
        <v/>
      </c>
      <c r="F1055" s="66" t="str">
        <f>IFERROR(__xludf.DUMMYFUNCTION("IF(COUNTA(C1055:C1644)=0,"""",IF(REGEXMATCH(INDEX(FILTER(C$4:C1055,C$4:C1055&lt;&gt;""""),ROWS(FILTER(C$4:C1055,C$4:C1055&lt;&gt;""""))),""^Sell_""),INDEX(FILTER(F$4:F1054,C$4:C1054&lt;&gt;""""),ROWS(FILTER(C$4:C1054,C$4:C1054&lt;&gt;""""))),$AC$5+E1055))"),"")</f>
        <v/>
      </c>
      <c r="G1055" s="10" t="str">
        <f>IFERROR(__xludf.DUMMYFUNCTION("IF(COUNTA(C1055:C1644)=0,"""",IF(C1055="""",0,IF(REGEXMATCH(C1055,""^Sell_""),-ROUNDDOWN(ROUNDUP(INDEX(Upgrades!$C$3:$C$13,MATCH(SUBSTITUTE(C1055,""Sell_"",""""),Upgrades!$B$3:$B$13,0))*1.15^(COUNTIF(C$4:C1054,SUBSTITUTE(C1055,""Sell_"",""""))-COUNTIF(C$4"&amp;":C1054,""Sell_""&amp;SUBSTITUTE(C1055,""Sell_"",""""))))/2),ROUNDUP(INDEX(Upgrades!$C$3:$C$13,MATCH(C1055,Upgrades!$B$3:$B$13,0))*1.15^(COUNTIF(C$4:C1054,C1055)-COUNTIF(C$4:C1054,""Sell_""&amp;C1055))))))"),"")</f>
        <v/>
      </c>
      <c r="H1055" s="10" t="str">
        <f t="shared" si="3"/>
        <v/>
      </c>
      <c r="I1055" s="68" t="str">
        <f t="shared" si="4"/>
        <v/>
      </c>
      <c r="J1055" s="59" t="str">
        <f t="shared" si="5"/>
        <v/>
      </c>
      <c r="K1055" s="69" t="str">
        <f t="shared" si="6"/>
        <v/>
      </c>
      <c r="L1055" s="60" t="str">
        <f t="shared" si="7"/>
        <v/>
      </c>
      <c r="M1055" s="61" t="str">
        <f>IFERROR(__xludf.DUMMYFUNCTION("IFS(AND(COUNTA(C1055:C1644)=0,COUNTA(Q1055:Q1644)=0),"""",OR(AND(K1055&gt;=1000000000,OR(Y1055&gt;=1000000000,COUNTA(Q1055:Q1644)=0)),OR(Y1055&gt;=1000000000,AND(COUNTA(C1055:C1644)=0,P$3=TRUE))),
ROUNDDOWN((AB$1-AC$1)*MAX(INDEX(T$4:T1644,MATCH(LARGE(FILTER(Y$4:Y1"&amp;"644,Y$4:Y1644&lt;1000000000),1),Y$4:Y1644)),INDEX(F$4:F1644,MATCH(LARGE(FILTER(K$4:K1644,K$4:K1644&lt;1000000000),1),K$4:K1644)))),AND(K1055&lt;1000000000,COUNTA(C1055:C1644)&gt;0,P$3=FALSE),
ROUNDDOWN(INDEX(Y$4:Y1644,MATCH(LARGE(FILTER(W$4:W1644,W$4:W1644&lt;=I1055),1)"&amp;",W$4:W1644))+(I1055-LARGE(FILTER(W$4:W1644,W$4:W1644&lt;=I1055),1))*INDEX(T$4:T1644,MATCH(LARGE(FILTER(W$4:W1644,W$4:W1644&lt;=I1055),1),W$4:W1644))-K1055),1,
ROUNDDOWN(Y1055-INDEX(K$4:K1644,MATCH(LARGE(FILTER(I$4:I1644,I$4:I1644&lt;=W1055),1),I$4:I1644))-(W1055-L"&amp;"ARGE(FILTER(I$4:I1644,I$4:I1644&lt;=W1055),1))*INDEX(F$4:F1644,MATCH(LARGE(FILTER(I$4:I1644,I$4:I1644&lt;=W1055),1),I$4:I1644))))"),"")</f>
        <v/>
      </c>
      <c r="N1055" s="60" t="str">
        <f t="shared" si="8"/>
        <v/>
      </c>
      <c r="O1055" s="61" t="str">
        <f t="shared" si="9"/>
        <v/>
      </c>
      <c r="P1055" s="56" t="str">
        <f t="shared" si="10"/>
        <v/>
      </c>
      <c r="Q1055" s="105"/>
      <c r="R1055" s="10"/>
      <c r="S1055" s="59" t="str">
        <f t="array" ref="S1055">IF(COUNTA(Q1055:Q1644)=0,"",SUM((COUNTIF(Q$4:Q1055,Upgrades!$B$3:$B$13)-COUNTIF(Q$4:Q1055,"Sell_"&amp;Upgrades!$B$3:$B$13))*Upgrades!$D$3:$D$13))</f>
        <v/>
      </c>
      <c r="T1055" s="66" t="str">
        <f>IFERROR(__xludf.DUMMYFUNCTION("IF(COUNTA(Q1055:Q1644)=0,"""",IF(REGEXMATCH(INDEX(FILTER(Q$4:Q1055,Q$4:Q1055&lt;&gt;""""),ROWS(FILTER(Q$4:Q1055,Q$4:Q1055&lt;&gt;""""))),""^Sell_""),INDEX(FILTER(T$4:T1054,Q$4:Q1054&lt;&gt;""""),ROWS(FILTER(Q$4:Q1054,Q$4:Q1054&lt;&gt;""""))),$AD$5+S1055))"),"")</f>
        <v/>
      </c>
      <c r="U1055" s="10" t="str">
        <f>IFERROR(__xludf.DUMMYFUNCTION("IF(COUNTA(Q1055:Q1644)=0,"""",IF(Q1055="""",0,IF(REGEXMATCH(Q1055,""^Sell_""),-ROUNDDOWN(ROUNDUP(INDEX(Upgrades!$C$3:$C$13,MATCH(SUBSTITUTE(Q1055,""Sell_"",""""),Upgrades!$B$3:$B$13,0))*1.15^(COUNTIF(Q$4:Q1054,SUBSTITUTE(Q1055,""Sell_"",""""))-COUNTIF(Q$4"&amp;":Q1054,""Sell_""&amp;SUBSTITUTE(Q1055,""Sell_"",""""))))/2),ROUNDUP(INDEX(Upgrades!$C$3:$C$13,MATCH(Q1055,Upgrades!$B$3:$B$13,0))*1.15^(COUNTIF(Q$4:Q1054,Q1055)-COUNTIF(Q$4:Q1054,""Sell_""&amp;Q1055))))))"),"")</f>
        <v/>
      </c>
      <c r="V1055" s="10" t="str">
        <f t="shared" si="11"/>
        <v/>
      </c>
      <c r="W1055" s="68" t="str">
        <f t="shared" si="12"/>
        <v/>
      </c>
      <c r="X1055" s="59" t="str">
        <f t="shared" si="13"/>
        <v/>
      </c>
      <c r="Y1055" s="69" t="str">
        <f t="shared" si="14"/>
        <v/>
      </c>
      <c r="Z1055" s="11"/>
      <c r="AG1055" s="59"/>
    </row>
    <row r="1056">
      <c r="A1056" s="8"/>
      <c r="B1056" s="56" t="str">
        <f t="shared" si="2"/>
        <v/>
      </c>
      <c r="C1056" s="105"/>
      <c r="D1056" s="10"/>
      <c r="E1056" s="59" t="str">
        <f t="array" ref="E1056">IF(COUNTA(C1056:C1644)=0,"",SUM((COUNTIF(C$4:C1056,Upgrades!$B$3:$B$13)-COUNTIF(C$4:C1056,"Sell_"&amp;Upgrades!$B$3:$B$13))*Upgrades!$D$3:$D$13))</f>
        <v/>
      </c>
      <c r="F1056" s="66" t="str">
        <f>IFERROR(__xludf.DUMMYFUNCTION("IF(COUNTA(C1056:C1644)=0,"""",IF(REGEXMATCH(INDEX(FILTER(C$4:C1056,C$4:C1056&lt;&gt;""""),ROWS(FILTER(C$4:C1056,C$4:C1056&lt;&gt;""""))),""^Sell_""),INDEX(FILTER(F$4:F1055,C$4:C1055&lt;&gt;""""),ROWS(FILTER(C$4:C1055,C$4:C1055&lt;&gt;""""))),$AC$5+E1056))"),"")</f>
        <v/>
      </c>
      <c r="G1056" s="10" t="str">
        <f>IFERROR(__xludf.DUMMYFUNCTION("IF(COUNTA(C1056:C1644)=0,"""",IF(C1056="""",0,IF(REGEXMATCH(C1056,""^Sell_""),-ROUNDDOWN(ROUNDUP(INDEX(Upgrades!$C$3:$C$13,MATCH(SUBSTITUTE(C1056,""Sell_"",""""),Upgrades!$B$3:$B$13,0))*1.15^(COUNTIF(C$4:C1055,SUBSTITUTE(C1056,""Sell_"",""""))-COUNTIF(C$4"&amp;":C1055,""Sell_""&amp;SUBSTITUTE(C1056,""Sell_"",""""))))/2),ROUNDUP(INDEX(Upgrades!$C$3:$C$13,MATCH(C1056,Upgrades!$B$3:$B$13,0))*1.15^(COUNTIF(C$4:C1055,C1056)-COUNTIF(C$4:C1055,""Sell_""&amp;C1056))))))"),"")</f>
        <v/>
      </c>
      <c r="H1056" s="10" t="str">
        <f t="shared" si="3"/>
        <v/>
      </c>
      <c r="I1056" s="68" t="str">
        <f t="shared" si="4"/>
        <v/>
      </c>
      <c r="J1056" s="59" t="str">
        <f t="shared" si="5"/>
        <v/>
      </c>
      <c r="K1056" s="69" t="str">
        <f t="shared" si="6"/>
        <v/>
      </c>
      <c r="L1056" s="60" t="str">
        <f t="shared" si="7"/>
        <v/>
      </c>
      <c r="M1056" s="61" t="str">
        <f>IFERROR(__xludf.DUMMYFUNCTION("IFS(AND(COUNTA(C1056:C1644)=0,COUNTA(Q1056:Q1644)=0),"""",OR(AND(K1056&gt;=1000000000,OR(Y1056&gt;=1000000000,COUNTA(Q1056:Q1644)=0)),OR(Y1056&gt;=1000000000,AND(COUNTA(C1056:C1644)=0,P$3=TRUE))),
ROUNDDOWN((AB$1-AC$1)*MAX(INDEX(T$4:T1644,MATCH(LARGE(FILTER(Y$4:Y1"&amp;"644,Y$4:Y1644&lt;1000000000),1),Y$4:Y1644)),INDEX(F$4:F1644,MATCH(LARGE(FILTER(K$4:K1644,K$4:K1644&lt;1000000000),1),K$4:K1644)))),AND(K1056&lt;1000000000,COUNTA(C1056:C1644)&gt;0,P$3=FALSE),
ROUNDDOWN(INDEX(Y$4:Y1644,MATCH(LARGE(FILTER(W$4:W1644,W$4:W1644&lt;=I1056),1)"&amp;",W$4:W1644))+(I1056-LARGE(FILTER(W$4:W1644,W$4:W1644&lt;=I1056),1))*INDEX(T$4:T1644,MATCH(LARGE(FILTER(W$4:W1644,W$4:W1644&lt;=I1056),1),W$4:W1644))-K1056),1,
ROUNDDOWN(Y1056-INDEX(K$4:K1644,MATCH(LARGE(FILTER(I$4:I1644,I$4:I1644&lt;=W1056),1),I$4:I1644))-(W1056-L"&amp;"ARGE(FILTER(I$4:I1644,I$4:I1644&lt;=W1056),1))*INDEX(F$4:F1644,MATCH(LARGE(FILTER(I$4:I1644,I$4:I1644&lt;=W1056),1),I$4:I1644))))"),"")</f>
        <v/>
      </c>
      <c r="N1056" s="60" t="str">
        <f t="shared" si="8"/>
        <v/>
      </c>
      <c r="O1056" s="61" t="str">
        <f t="shared" si="9"/>
        <v/>
      </c>
      <c r="P1056" s="56" t="str">
        <f t="shared" si="10"/>
        <v/>
      </c>
      <c r="Q1056" s="105"/>
      <c r="R1056" s="10"/>
      <c r="S1056" s="59" t="str">
        <f t="array" ref="S1056">IF(COUNTA(Q1056:Q1644)=0,"",SUM((COUNTIF(Q$4:Q1056,Upgrades!$B$3:$B$13)-COUNTIF(Q$4:Q1056,"Sell_"&amp;Upgrades!$B$3:$B$13))*Upgrades!$D$3:$D$13))</f>
        <v/>
      </c>
      <c r="T1056" s="66" t="str">
        <f>IFERROR(__xludf.DUMMYFUNCTION("IF(COUNTA(Q1056:Q1644)=0,"""",IF(REGEXMATCH(INDEX(FILTER(Q$4:Q1056,Q$4:Q1056&lt;&gt;""""),ROWS(FILTER(Q$4:Q1056,Q$4:Q1056&lt;&gt;""""))),""^Sell_""),INDEX(FILTER(T$4:T1055,Q$4:Q1055&lt;&gt;""""),ROWS(FILTER(Q$4:Q1055,Q$4:Q1055&lt;&gt;""""))),$AD$5+S1056))"),"")</f>
        <v/>
      </c>
      <c r="U1056" s="10" t="str">
        <f>IFERROR(__xludf.DUMMYFUNCTION("IF(COUNTA(Q1056:Q1644)=0,"""",IF(Q1056="""",0,IF(REGEXMATCH(Q1056,""^Sell_""),-ROUNDDOWN(ROUNDUP(INDEX(Upgrades!$C$3:$C$13,MATCH(SUBSTITUTE(Q1056,""Sell_"",""""),Upgrades!$B$3:$B$13,0))*1.15^(COUNTIF(Q$4:Q1055,SUBSTITUTE(Q1056,""Sell_"",""""))-COUNTIF(Q$4"&amp;":Q1055,""Sell_""&amp;SUBSTITUTE(Q1056,""Sell_"",""""))))/2),ROUNDUP(INDEX(Upgrades!$C$3:$C$13,MATCH(Q1056,Upgrades!$B$3:$B$13,0))*1.15^(COUNTIF(Q$4:Q1055,Q1056)-COUNTIF(Q$4:Q1055,""Sell_""&amp;Q1056))))))"),"")</f>
        <v/>
      </c>
      <c r="V1056" s="10" t="str">
        <f t="shared" si="11"/>
        <v/>
      </c>
      <c r="W1056" s="68" t="str">
        <f t="shared" si="12"/>
        <v/>
      </c>
      <c r="X1056" s="59" t="str">
        <f t="shared" si="13"/>
        <v/>
      </c>
      <c r="Y1056" s="69" t="str">
        <f t="shared" si="14"/>
        <v/>
      </c>
      <c r="Z1056" s="11"/>
      <c r="AG1056" s="59"/>
    </row>
    <row r="1057">
      <c r="A1057" s="8"/>
      <c r="B1057" s="56" t="str">
        <f t="shared" si="2"/>
        <v/>
      </c>
      <c r="C1057" s="105"/>
      <c r="D1057" s="10"/>
      <c r="E1057" s="59" t="str">
        <f t="array" ref="E1057">IF(COUNTA(C1057:C1644)=0,"",SUM((COUNTIF(C$4:C1057,Upgrades!$B$3:$B$13)-COUNTIF(C$4:C1057,"Sell_"&amp;Upgrades!$B$3:$B$13))*Upgrades!$D$3:$D$13))</f>
        <v/>
      </c>
      <c r="F1057" s="66" t="str">
        <f>IFERROR(__xludf.DUMMYFUNCTION("IF(COUNTA(C1057:C1644)=0,"""",IF(REGEXMATCH(INDEX(FILTER(C$4:C1057,C$4:C1057&lt;&gt;""""),ROWS(FILTER(C$4:C1057,C$4:C1057&lt;&gt;""""))),""^Sell_""),INDEX(FILTER(F$4:F1056,C$4:C1056&lt;&gt;""""),ROWS(FILTER(C$4:C1056,C$4:C1056&lt;&gt;""""))),$AC$5+E1057))"),"")</f>
        <v/>
      </c>
      <c r="G1057" s="10" t="str">
        <f>IFERROR(__xludf.DUMMYFUNCTION("IF(COUNTA(C1057:C1644)=0,"""",IF(C1057="""",0,IF(REGEXMATCH(C1057,""^Sell_""),-ROUNDDOWN(ROUNDUP(INDEX(Upgrades!$C$3:$C$13,MATCH(SUBSTITUTE(C1057,""Sell_"",""""),Upgrades!$B$3:$B$13,0))*1.15^(COUNTIF(C$4:C1056,SUBSTITUTE(C1057,""Sell_"",""""))-COUNTIF(C$4"&amp;":C1056,""Sell_""&amp;SUBSTITUTE(C1057,""Sell_"",""""))))/2),ROUNDUP(INDEX(Upgrades!$C$3:$C$13,MATCH(C1057,Upgrades!$B$3:$B$13,0))*1.15^(COUNTIF(C$4:C1056,C1057)-COUNTIF(C$4:C1056,""Sell_""&amp;C1057))))))"),"")</f>
        <v/>
      </c>
      <c r="H1057" s="10" t="str">
        <f t="shared" si="3"/>
        <v/>
      </c>
      <c r="I1057" s="68" t="str">
        <f t="shared" si="4"/>
        <v/>
      </c>
      <c r="J1057" s="59" t="str">
        <f t="shared" si="5"/>
        <v/>
      </c>
      <c r="K1057" s="69" t="str">
        <f t="shared" si="6"/>
        <v/>
      </c>
      <c r="L1057" s="60" t="str">
        <f t="shared" si="7"/>
        <v/>
      </c>
      <c r="M1057" s="61" t="str">
        <f>IFERROR(__xludf.DUMMYFUNCTION("IFS(AND(COUNTA(C1057:C1644)=0,COUNTA(Q1057:Q1644)=0),"""",OR(AND(K1057&gt;=1000000000,OR(Y1057&gt;=1000000000,COUNTA(Q1057:Q1644)=0)),OR(Y1057&gt;=1000000000,AND(COUNTA(C1057:C1644)=0,P$3=TRUE))),
ROUNDDOWN((AB$1-AC$1)*MAX(INDEX(T$4:T1644,MATCH(LARGE(FILTER(Y$4:Y1"&amp;"644,Y$4:Y1644&lt;1000000000),1),Y$4:Y1644)),INDEX(F$4:F1644,MATCH(LARGE(FILTER(K$4:K1644,K$4:K1644&lt;1000000000),1),K$4:K1644)))),AND(K1057&lt;1000000000,COUNTA(C1057:C1644)&gt;0,P$3=FALSE),
ROUNDDOWN(INDEX(Y$4:Y1644,MATCH(LARGE(FILTER(W$4:W1644,W$4:W1644&lt;=I1057),1)"&amp;",W$4:W1644))+(I1057-LARGE(FILTER(W$4:W1644,W$4:W1644&lt;=I1057),1))*INDEX(T$4:T1644,MATCH(LARGE(FILTER(W$4:W1644,W$4:W1644&lt;=I1057),1),W$4:W1644))-K1057),1,
ROUNDDOWN(Y1057-INDEX(K$4:K1644,MATCH(LARGE(FILTER(I$4:I1644,I$4:I1644&lt;=W1057),1),I$4:I1644))-(W1057-L"&amp;"ARGE(FILTER(I$4:I1644,I$4:I1644&lt;=W1057),1))*INDEX(F$4:F1644,MATCH(LARGE(FILTER(I$4:I1644,I$4:I1644&lt;=W1057),1),I$4:I1644))))"),"")</f>
        <v/>
      </c>
      <c r="N1057" s="60" t="str">
        <f t="shared" si="8"/>
        <v/>
      </c>
      <c r="O1057" s="61" t="str">
        <f t="shared" si="9"/>
        <v/>
      </c>
      <c r="P1057" s="56" t="str">
        <f t="shared" si="10"/>
        <v/>
      </c>
      <c r="Q1057" s="105"/>
      <c r="R1057" s="10"/>
      <c r="S1057" s="59" t="str">
        <f t="array" ref="S1057">IF(COUNTA(Q1057:Q1644)=0,"",SUM((COUNTIF(Q$4:Q1057,Upgrades!$B$3:$B$13)-COUNTIF(Q$4:Q1057,"Sell_"&amp;Upgrades!$B$3:$B$13))*Upgrades!$D$3:$D$13))</f>
        <v/>
      </c>
      <c r="T1057" s="66" t="str">
        <f>IFERROR(__xludf.DUMMYFUNCTION("IF(COUNTA(Q1057:Q1644)=0,"""",IF(REGEXMATCH(INDEX(FILTER(Q$4:Q1057,Q$4:Q1057&lt;&gt;""""),ROWS(FILTER(Q$4:Q1057,Q$4:Q1057&lt;&gt;""""))),""^Sell_""),INDEX(FILTER(T$4:T1056,Q$4:Q1056&lt;&gt;""""),ROWS(FILTER(Q$4:Q1056,Q$4:Q1056&lt;&gt;""""))),$AD$5+S1057))"),"")</f>
        <v/>
      </c>
      <c r="U1057" s="10" t="str">
        <f>IFERROR(__xludf.DUMMYFUNCTION("IF(COUNTA(Q1057:Q1644)=0,"""",IF(Q1057="""",0,IF(REGEXMATCH(Q1057,""^Sell_""),-ROUNDDOWN(ROUNDUP(INDEX(Upgrades!$C$3:$C$13,MATCH(SUBSTITUTE(Q1057,""Sell_"",""""),Upgrades!$B$3:$B$13,0))*1.15^(COUNTIF(Q$4:Q1056,SUBSTITUTE(Q1057,""Sell_"",""""))-COUNTIF(Q$4"&amp;":Q1056,""Sell_""&amp;SUBSTITUTE(Q1057,""Sell_"",""""))))/2),ROUNDUP(INDEX(Upgrades!$C$3:$C$13,MATCH(Q1057,Upgrades!$B$3:$B$13,0))*1.15^(COUNTIF(Q$4:Q1056,Q1057)-COUNTIF(Q$4:Q1056,""Sell_""&amp;Q1057))))))"),"")</f>
        <v/>
      </c>
      <c r="V1057" s="10" t="str">
        <f t="shared" si="11"/>
        <v/>
      </c>
      <c r="W1057" s="68" t="str">
        <f t="shared" si="12"/>
        <v/>
      </c>
      <c r="X1057" s="59" t="str">
        <f t="shared" si="13"/>
        <v/>
      </c>
      <c r="Y1057" s="69" t="str">
        <f t="shared" si="14"/>
        <v/>
      </c>
      <c r="Z1057" s="11"/>
      <c r="AG1057" s="59"/>
    </row>
    <row r="1058">
      <c r="A1058" s="8"/>
      <c r="B1058" s="56" t="str">
        <f t="shared" si="2"/>
        <v/>
      </c>
      <c r="C1058" s="105"/>
      <c r="D1058" s="10"/>
      <c r="E1058" s="59" t="str">
        <f t="array" ref="E1058">IF(COUNTA(C1058:C1644)=0,"",SUM((COUNTIF(C$4:C1058,Upgrades!$B$3:$B$13)-COUNTIF(C$4:C1058,"Sell_"&amp;Upgrades!$B$3:$B$13))*Upgrades!$D$3:$D$13))</f>
        <v/>
      </c>
      <c r="F1058" s="66" t="str">
        <f>IFERROR(__xludf.DUMMYFUNCTION("IF(COUNTA(C1058:C1644)=0,"""",IF(REGEXMATCH(INDEX(FILTER(C$4:C1058,C$4:C1058&lt;&gt;""""),ROWS(FILTER(C$4:C1058,C$4:C1058&lt;&gt;""""))),""^Sell_""),INDEX(FILTER(F$4:F1057,C$4:C1057&lt;&gt;""""),ROWS(FILTER(C$4:C1057,C$4:C1057&lt;&gt;""""))),$AC$5+E1058))"),"")</f>
        <v/>
      </c>
      <c r="G1058" s="10" t="str">
        <f>IFERROR(__xludf.DUMMYFUNCTION("IF(COUNTA(C1058:C1644)=0,"""",IF(C1058="""",0,IF(REGEXMATCH(C1058,""^Sell_""),-ROUNDDOWN(ROUNDUP(INDEX(Upgrades!$C$3:$C$13,MATCH(SUBSTITUTE(C1058,""Sell_"",""""),Upgrades!$B$3:$B$13,0))*1.15^(COUNTIF(C$4:C1057,SUBSTITUTE(C1058,""Sell_"",""""))-COUNTIF(C$4"&amp;":C1057,""Sell_""&amp;SUBSTITUTE(C1058,""Sell_"",""""))))/2),ROUNDUP(INDEX(Upgrades!$C$3:$C$13,MATCH(C1058,Upgrades!$B$3:$B$13,0))*1.15^(COUNTIF(C$4:C1057,C1058)-COUNTIF(C$4:C1057,""Sell_""&amp;C1058))))))"),"")</f>
        <v/>
      </c>
      <c r="H1058" s="10" t="str">
        <f t="shared" si="3"/>
        <v/>
      </c>
      <c r="I1058" s="68" t="str">
        <f t="shared" si="4"/>
        <v/>
      </c>
      <c r="J1058" s="59" t="str">
        <f t="shared" si="5"/>
        <v/>
      </c>
      <c r="K1058" s="69" t="str">
        <f t="shared" si="6"/>
        <v/>
      </c>
      <c r="L1058" s="60" t="str">
        <f t="shared" si="7"/>
        <v/>
      </c>
      <c r="M1058" s="61" t="str">
        <f>IFERROR(__xludf.DUMMYFUNCTION("IFS(AND(COUNTA(C1058:C1644)=0,COUNTA(Q1058:Q1644)=0),"""",OR(AND(K1058&gt;=1000000000,OR(Y1058&gt;=1000000000,COUNTA(Q1058:Q1644)=0)),OR(Y1058&gt;=1000000000,AND(COUNTA(C1058:C1644)=0,P$3=TRUE))),
ROUNDDOWN((AB$1-AC$1)*MAX(INDEX(T$4:T1644,MATCH(LARGE(FILTER(Y$4:Y1"&amp;"644,Y$4:Y1644&lt;1000000000),1),Y$4:Y1644)),INDEX(F$4:F1644,MATCH(LARGE(FILTER(K$4:K1644,K$4:K1644&lt;1000000000),1),K$4:K1644)))),AND(K1058&lt;1000000000,COUNTA(C1058:C1644)&gt;0,P$3=FALSE),
ROUNDDOWN(INDEX(Y$4:Y1644,MATCH(LARGE(FILTER(W$4:W1644,W$4:W1644&lt;=I1058),1)"&amp;",W$4:W1644))+(I1058-LARGE(FILTER(W$4:W1644,W$4:W1644&lt;=I1058),1))*INDEX(T$4:T1644,MATCH(LARGE(FILTER(W$4:W1644,W$4:W1644&lt;=I1058),1),W$4:W1644))-K1058),1,
ROUNDDOWN(Y1058-INDEX(K$4:K1644,MATCH(LARGE(FILTER(I$4:I1644,I$4:I1644&lt;=W1058),1),I$4:I1644))-(W1058-L"&amp;"ARGE(FILTER(I$4:I1644,I$4:I1644&lt;=W1058),1))*INDEX(F$4:F1644,MATCH(LARGE(FILTER(I$4:I1644,I$4:I1644&lt;=W1058),1),I$4:I1644))))"),"")</f>
        <v/>
      </c>
      <c r="N1058" s="60" t="str">
        <f t="shared" si="8"/>
        <v/>
      </c>
      <c r="O1058" s="61" t="str">
        <f t="shared" si="9"/>
        <v/>
      </c>
      <c r="P1058" s="56" t="str">
        <f t="shared" si="10"/>
        <v/>
      </c>
      <c r="Q1058" s="105"/>
      <c r="R1058" s="10"/>
      <c r="S1058" s="59" t="str">
        <f t="array" ref="S1058">IF(COUNTA(Q1058:Q1644)=0,"",SUM((COUNTIF(Q$4:Q1058,Upgrades!$B$3:$B$13)-COUNTIF(Q$4:Q1058,"Sell_"&amp;Upgrades!$B$3:$B$13))*Upgrades!$D$3:$D$13))</f>
        <v/>
      </c>
      <c r="T1058" s="66" t="str">
        <f>IFERROR(__xludf.DUMMYFUNCTION("IF(COUNTA(Q1058:Q1644)=0,"""",IF(REGEXMATCH(INDEX(FILTER(Q$4:Q1058,Q$4:Q1058&lt;&gt;""""),ROWS(FILTER(Q$4:Q1058,Q$4:Q1058&lt;&gt;""""))),""^Sell_""),INDEX(FILTER(T$4:T1057,Q$4:Q1057&lt;&gt;""""),ROWS(FILTER(Q$4:Q1057,Q$4:Q1057&lt;&gt;""""))),$AD$5+S1058))"),"")</f>
        <v/>
      </c>
      <c r="U1058" s="10" t="str">
        <f>IFERROR(__xludf.DUMMYFUNCTION("IF(COUNTA(Q1058:Q1644)=0,"""",IF(Q1058="""",0,IF(REGEXMATCH(Q1058,""^Sell_""),-ROUNDDOWN(ROUNDUP(INDEX(Upgrades!$C$3:$C$13,MATCH(SUBSTITUTE(Q1058,""Sell_"",""""),Upgrades!$B$3:$B$13,0))*1.15^(COUNTIF(Q$4:Q1057,SUBSTITUTE(Q1058,""Sell_"",""""))-COUNTIF(Q$4"&amp;":Q1057,""Sell_""&amp;SUBSTITUTE(Q1058,""Sell_"",""""))))/2),ROUNDUP(INDEX(Upgrades!$C$3:$C$13,MATCH(Q1058,Upgrades!$B$3:$B$13,0))*1.15^(COUNTIF(Q$4:Q1057,Q1058)-COUNTIF(Q$4:Q1057,""Sell_""&amp;Q1058))))))"),"")</f>
        <v/>
      </c>
      <c r="V1058" s="10" t="str">
        <f t="shared" si="11"/>
        <v/>
      </c>
      <c r="W1058" s="68" t="str">
        <f t="shared" si="12"/>
        <v/>
      </c>
      <c r="X1058" s="59" t="str">
        <f t="shared" si="13"/>
        <v/>
      </c>
      <c r="Y1058" s="69" t="str">
        <f t="shared" si="14"/>
        <v/>
      </c>
      <c r="Z1058" s="11"/>
      <c r="AG1058" s="59"/>
    </row>
    <row r="1059">
      <c r="A1059" s="8"/>
      <c r="B1059" s="56" t="str">
        <f t="shared" si="2"/>
        <v/>
      </c>
      <c r="C1059" s="105"/>
      <c r="D1059" s="10"/>
      <c r="E1059" s="59" t="str">
        <f t="array" ref="E1059">IF(COUNTA(C1059:C1644)=0,"",SUM((COUNTIF(C$4:C1059,Upgrades!$B$3:$B$13)-COUNTIF(C$4:C1059,"Sell_"&amp;Upgrades!$B$3:$B$13))*Upgrades!$D$3:$D$13))</f>
        <v/>
      </c>
      <c r="F1059" s="66" t="str">
        <f>IFERROR(__xludf.DUMMYFUNCTION("IF(COUNTA(C1059:C1644)=0,"""",IF(REGEXMATCH(INDEX(FILTER(C$4:C1059,C$4:C1059&lt;&gt;""""),ROWS(FILTER(C$4:C1059,C$4:C1059&lt;&gt;""""))),""^Sell_""),INDEX(FILTER(F$4:F1058,C$4:C1058&lt;&gt;""""),ROWS(FILTER(C$4:C1058,C$4:C1058&lt;&gt;""""))),$AC$5+E1059))"),"")</f>
        <v/>
      </c>
      <c r="G1059" s="10" t="str">
        <f>IFERROR(__xludf.DUMMYFUNCTION("IF(COUNTA(C1059:C1644)=0,"""",IF(C1059="""",0,IF(REGEXMATCH(C1059,""^Sell_""),-ROUNDDOWN(ROUNDUP(INDEX(Upgrades!$C$3:$C$13,MATCH(SUBSTITUTE(C1059,""Sell_"",""""),Upgrades!$B$3:$B$13,0))*1.15^(COUNTIF(C$4:C1058,SUBSTITUTE(C1059,""Sell_"",""""))-COUNTIF(C$4"&amp;":C1058,""Sell_""&amp;SUBSTITUTE(C1059,""Sell_"",""""))))/2),ROUNDUP(INDEX(Upgrades!$C$3:$C$13,MATCH(C1059,Upgrades!$B$3:$B$13,0))*1.15^(COUNTIF(C$4:C1058,C1059)-COUNTIF(C$4:C1058,""Sell_""&amp;C1059))))))"),"")</f>
        <v/>
      </c>
      <c r="H1059" s="10" t="str">
        <f t="shared" si="3"/>
        <v/>
      </c>
      <c r="I1059" s="68" t="str">
        <f t="shared" si="4"/>
        <v/>
      </c>
      <c r="J1059" s="59" t="str">
        <f t="shared" si="5"/>
        <v/>
      </c>
      <c r="K1059" s="69" t="str">
        <f t="shared" si="6"/>
        <v/>
      </c>
      <c r="L1059" s="60" t="str">
        <f t="shared" si="7"/>
        <v/>
      </c>
      <c r="M1059" s="61" t="str">
        <f>IFERROR(__xludf.DUMMYFUNCTION("IFS(AND(COUNTA(C1059:C1644)=0,COUNTA(Q1059:Q1644)=0),"""",OR(AND(K1059&gt;=1000000000,OR(Y1059&gt;=1000000000,COUNTA(Q1059:Q1644)=0)),OR(Y1059&gt;=1000000000,AND(COUNTA(C1059:C1644)=0,P$3=TRUE))),
ROUNDDOWN((AB$1-AC$1)*MAX(INDEX(T$4:T1644,MATCH(LARGE(FILTER(Y$4:Y1"&amp;"644,Y$4:Y1644&lt;1000000000),1),Y$4:Y1644)),INDEX(F$4:F1644,MATCH(LARGE(FILTER(K$4:K1644,K$4:K1644&lt;1000000000),1),K$4:K1644)))),AND(K1059&lt;1000000000,COUNTA(C1059:C1644)&gt;0,P$3=FALSE),
ROUNDDOWN(INDEX(Y$4:Y1644,MATCH(LARGE(FILTER(W$4:W1644,W$4:W1644&lt;=I1059),1)"&amp;",W$4:W1644))+(I1059-LARGE(FILTER(W$4:W1644,W$4:W1644&lt;=I1059),1))*INDEX(T$4:T1644,MATCH(LARGE(FILTER(W$4:W1644,W$4:W1644&lt;=I1059),1),W$4:W1644))-K1059),1,
ROUNDDOWN(Y1059-INDEX(K$4:K1644,MATCH(LARGE(FILTER(I$4:I1644,I$4:I1644&lt;=W1059),1),I$4:I1644))-(W1059-L"&amp;"ARGE(FILTER(I$4:I1644,I$4:I1644&lt;=W1059),1))*INDEX(F$4:F1644,MATCH(LARGE(FILTER(I$4:I1644,I$4:I1644&lt;=W1059),1),I$4:I1644))))"),"")</f>
        <v/>
      </c>
      <c r="N1059" s="60" t="str">
        <f t="shared" si="8"/>
        <v/>
      </c>
      <c r="O1059" s="61" t="str">
        <f t="shared" si="9"/>
        <v/>
      </c>
      <c r="P1059" s="56" t="str">
        <f t="shared" si="10"/>
        <v/>
      </c>
      <c r="Q1059" s="105"/>
      <c r="R1059" s="10"/>
      <c r="S1059" s="59" t="str">
        <f t="array" ref="S1059">IF(COUNTA(Q1059:Q1644)=0,"",SUM((COUNTIF(Q$4:Q1059,Upgrades!$B$3:$B$13)-COUNTIF(Q$4:Q1059,"Sell_"&amp;Upgrades!$B$3:$B$13))*Upgrades!$D$3:$D$13))</f>
        <v/>
      </c>
      <c r="T1059" s="66" t="str">
        <f>IFERROR(__xludf.DUMMYFUNCTION("IF(COUNTA(Q1059:Q1644)=0,"""",IF(REGEXMATCH(INDEX(FILTER(Q$4:Q1059,Q$4:Q1059&lt;&gt;""""),ROWS(FILTER(Q$4:Q1059,Q$4:Q1059&lt;&gt;""""))),""^Sell_""),INDEX(FILTER(T$4:T1058,Q$4:Q1058&lt;&gt;""""),ROWS(FILTER(Q$4:Q1058,Q$4:Q1058&lt;&gt;""""))),$AD$5+S1059))"),"")</f>
        <v/>
      </c>
      <c r="U1059" s="10" t="str">
        <f>IFERROR(__xludf.DUMMYFUNCTION("IF(COUNTA(Q1059:Q1644)=0,"""",IF(Q1059="""",0,IF(REGEXMATCH(Q1059,""^Sell_""),-ROUNDDOWN(ROUNDUP(INDEX(Upgrades!$C$3:$C$13,MATCH(SUBSTITUTE(Q1059,""Sell_"",""""),Upgrades!$B$3:$B$13,0))*1.15^(COUNTIF(Q$4:Q1058,SUBSTITUTE(Q1059,""Sell_"",""""))-COUNTIF(Q$4"&amp;":Q1058,""Sell_""&amp;SUBSTITUTE(Q1059,""Sell_"",""""))))/2),ROUNDUP(INDEX(Upgrades!$C$3:$C$13,MATCH(Q1059,Upgrades!$B$3:$B$13,0))*1.15^(COUNTIF(Q$4:Q1058,Q1059)-COUNTIF(Q$4:Q1058,""Sell_""&amp;Q1059))))))"),"")</f>
        <v/>
      </c>
      <c r="V1059" s="10" t="str">
        <f t="shared" si="11"/>
        <v/>
      </c>
      <c r="W1059" s="68" t="str">
        <f t="shared" si="12"/>
        <v/>
      </c>
      <c r="X1059" s="59" t="str">
        <f t="shared" si="13"/>
        <v/>
      </c>
      <c r="Y1059" s="69" t="str">
        <f t="shared" si="14"/>
        <v/>
      </c>
      <c r="Z1059" s="11"/>
      <c r="AG1059" s="59"/>
    </row>
    <row r="1060">
      <c r="A1060" s="8"/>
      <c r="B1060" s="56" t="str">
        <f t="shared" si="2"/>
        <v/>
      </c>
      <c r="C1060" s="105"/>
      <c r="D1060" s="10"/>
      <c r="E1060" s="59" t="str">
        <f t="array" ref="E1060">IF(COUNTA(C1060:C1644)=0,"",SUM((COUNTIF(C$4:C1060,Upgrades!$B$3:$B$13)-COUNTIF(C$4:C1060,"Sell_"&amp;Upgrades!$B$3:$B$13))*Upgrades!$D$3:$D$13))</f>
        <v/>
      </c>
      <c r="F1060" s="66" t="str">
        <f>IFERROR(__xludf.DUMMYFUNCTION("IF(COUNTA(C1060:C1644)=0,"""",IF(REGEXMATCH(INDEX(FILTER(C$4:C1060,C$4:C1060&lt;&gt;""""),ROWS(FILTER(C$4:C1060,C$4:C1060&lt;&gt;""""))),""^Sell_""),INDEX(FILTER(F$4:F1059,C$4:C1059&lt;&gt;""""),ROWS(FILTER(C$4:C1059,C$4:C1059&lt;&gt;""""))),$AC$5+E1060))"),"")</f>
        <v/>
      </c>
      <c r="G1060" s="10" t="str">
        <f>IFERROR(__xludf.DUMMYFUNCTION("IF(COUNTA(C1060:C1644)=0,"""",IF(C1060="""",0,IF(REGEXMATCH(C1060,""^Sell_""),-ROUNDDOWN(ROUNDUP(INDEX(Upgrades!$C$3:$C$13,MATCH(SUBSTITUTE(C1060,""Sell_"",""""),Upgrades!$B$3:$B$13,0))*1.15^(COUNTIF(C$4:C1059,SUBSTITUTE(C1060,""Sell_"",""""))-COUNTIF(C$4"&amp;":C1059,""Sell_""&amp;SUBSTITUTE(C1060,""Sell_"",""""))))/2),ROUNDUP(INDEX(Upgrades!$C$3:$C$13,MATCH(C1060,Upgrades!$B$3:$B$13,0))*1.15^(COUNTIF(C$4:C1059,C1060)-COUNTIF(C$4:C1059,""Sell_""&amp;C1060))))))"),"")</f>
        <v/>
      </c>
      <c r="H1060" s="10" t="str">
        <f t="shared" si="3"/>
        <v/>
      </c>
      <c r="I1060" s="68" t="str">
        <f t="shared" si="4"/>
        <v/>
      </c>
      <c r="J1060" s="59" t="str">
        <f t="shared" si="5"/>
        <v/>
      </c>
      <c r="K1060" s="69" t="str">
        <f t="shared" si="6"/>
        <v/>
      </c>
      <c r="L1060" s="60" t="str">
        <f t="shared" si="7"/>
        <v/>
      </c>
      <c r="M1060" s="61" t="str">
        <f>IFERROR(__xludf.DUMMYFUNCTION("IFS(AND(COUNTA(C1060:C1644)=0,COUNTA(Q1060:Q1644)=0),"""",OR(AND(K1060&gt;=1000000000,OR(Y1060&gt;=1000000000,COUNTA(Q1060:Q1644)=0)),OR(Y1060&gt;=1000000000,AND(COUNTA(C1060:C1644)=0,P$3=TRUE))),
ROUNDDOWN((AB$1-AC$1)*MAX(INDEX(T$4:T1644,MATCH(LARGE(FILTER(Y$4:Y1"&amp;"644,Y$4:Y1644&lt;1000000000),1),Y$4:Y1644)),INDEX(F$4:F1644,MATCH(LARGE(FILTER(K$4:K1644,K$4:K1644&lt;1000000000),1),K$4:K1644)))),AND(K1060&lt;1000000000,COUNTA(C1060:C1644)&gt;0,P$3=FALSE),
ROUNDDOWN(INDEX(Y$4:Y1644,MATCH(LARGE(FILTER(W$4:W1644,W$4:W1644&lt;=I1060),1)"&amp;",W$4:W1644))+(I1060-LARGE(FILTER(W$4:W1644,W$4:W1644&lt;=I1060),1))*INDEX(T$4:T1644,MATCH(LARGE(FILTER(W$4:W1644,W$4:W1644&lt;=I1060),1),W$4:W1644))-K1060),1,
ROUNDDOWN(Y1060-INDEX(K$4:K1644,MATCH(LARGE(FILTER(I$4:I1644,I$4:I1644&lt;=W1060),1),I$4:I1644))-(W1060-L"&amp;"ARGE(FILTER(I$4:I1644,I$4:I1644&lt;=W1060),1))*INDEX(F$4:F1644,MATCH(LARGE(FILTER(I$4:I1644,I$4:I1644&lt;=W1060),1),I$4:I1644))))"),"")</f>
        <v/>
      </c>
      <c r="N1060" s="60" t="str">
        <f t="shared" si="8"/>
        <v/>
      </c>
      <c r="O1060" s="61" t="str">
        <f t="shared" si="9"/>
        <v/>
      </c>
      <c r="P1060" s="56" t="str">
        <f t="shared" si="10"/>
        <v/>
      </c>
      <c r="Q1060" s="105"/>
      <c r="R1060" s="10"/>
      <c r="S1060" s="59" t="str">
        <f t="array" ref="S1060">IF(COUNTA(Q1060:Q1644)=0,"",SUM((COUNTIF(Q$4:Q1060,Upgrades!$B$3:$B$13)-COUNTIF(Q$4:Q1060,"Sell_"&amp;Upgrades!$B$3:$B$13))*Upgrades!$D$3:$D$13))</f>
        <v/>
      </c>
      <c r="T1060" s="66" t="str">
        <f>IFERROR(__xludf.DUMMYFUNCTION("IF(COUNTA(Q1060:Q1644)=0,"""",IF(REGEXMATCH(INDEX(FILTER(Q$4:Q1060,Q$4:Q1060&lt;&gt;""""),ROWS(FILTER(Q$4:Q1060,Q$4:Q1060&lt;&gt;""""))),""^Sell_""),INDEX(FILTER(T$4:T1059,Q$4:Q1059&lt;&gt;""""),ROWS(FILTER(Q$4:Q1059,Q$4:Q1059&lt;&gt;""""))),$AD$5+S1060))"),"")</f>
        <v/>
      </c>
      <c r="U1060" s="10" t="str">
        <f>IFERROR(__xludf.DUMMYFUNCTION("IF(COUNTA(Q1060:Q1644)=0,"""",IF(Q1060="""",0,IF(REGEXMATCH(Q1060,""^Sell_""),-ROUNDDOWN(ROUNDUP(INDEX(Upgrades!$C$3:$C$13,MATCH(SUBSTITUTE(Q1060,""Sell_"",""""),Upgrades!$B$3:$B$13,0))*1.15^(COUNTIF(Q$4:Q1059,SUBSTITUTE(Q1060,""Sell_"",""""))-COUNTIF(Q$4"&amp;":Q1059,""Sell_""&amp;SUBSTITUTE(Q1060,""Sell_"",""""))))/2),ROUNDUP(INDEX(Upgrades!$C$3:$C$13,MATCH(Q1060,Upgrades!$B$3:$B$13,0))*1.15^(COUNTIF(Q$4:Q1059,Q1060)-COUNTIF(Q$4:Q1059,""Sell_""&amp;Q1060))))))"),"")</f>
        <v/>
      </c>
      <c r="V1060" s="10" t="str">
        <f t="shared" si="11"/>
        <v/>
      </c>
      <c r="W1060" s="68" t="str">
        <f t="shared" si="12"/>
        <v/>
      </c>
      <c r="X1060" s="59" t="str">
        <f t="shared" si="13"/>
        <v/>
      </c>
      <c r="Y1060" s="69" t="str">
        <f t="shared" si="14"/>
        <v/>
      </c>
      <c r="Z1060" s="11"/>
      <c r="AG1060" s="59"/>
    </row>
    <row r="1061">
      <c r="A1061" s="8"/>
      <c r="B1061" s="56" t="str">
        <f t="shared" si="2"/>
        <v/>
      </c>
      <c r="C1061" s="105"/>
      <c r="D1061" s="10"/>
      <c r="E1061" s="59" t="str">
        <f t="array" ref="E1061">IF(COUNTA(C1061:C1644)=0,"",SUM((COUNTIF(C$4:C1061,Upgrades!$B$3:$B$13)-COUNTIF(C$4:C1061,"Sell_"&amp;Upgrades!$B$3:$B$13))*Upgrades!$D$3:$D$13))</f>
        <v/>
      </c>
      <c r="F1061" s="66" t="str">
        <f>IFERROR(__xludf.DUMMYFUNCTION("IF(COUNTA(C1061:C1644)=0,"""",IF(REGEXMATCH(INDEX(FILTER(C$4:C1061,C$4:C1061&lt;&gt;""""),ROWS(FILTER(C$4:C1061,C$4:C1061&lt;&gt;""""))),""^Sell_""),INDEX(FILTER(F$4:F1060,C$4:C1060&lt;&gt;""""),ROWS(FILTER(C$4:C1060,C$4:C1060&lt;&gt;""""))),$AC$5+E1061))"),"")</f>
        <v/>
      </c>
      <c r="G1061" s="10" t="str">
        <f>IFERROR(__xludf.DUMMYFUNCTION("IF(COUNTA(C1061:C1644)=0,"""",IF(C1061="""",0,IF(REGEXMATCH(C1061,""^Sell_""),-ROUNDDOWN(ROUNDUP(INDEX(Upgrades!$C$3:$C$13,MATCH(SUBSTITUTE(C1061,""Sell_"",""""),Upgrades!$B$3:$B$13,0))*1.15^(COUNTIF(C$4:C1060,SUBSTITUTE(C1061,""Sell_"",""""))-COUNTIF(C$4"&amp;":C1060,""Sell_""&amp;SUBSTITUTE(C1061,""Sell_"",""""))))/2),ROUNDUP(INDEX(Upgrades!$C$3:$C$13,MATCH(C1061,Upgrades!$B$3:$B$13,0))*1.15^(COUNTIF(C$4:C1060,C1061)-COUNTIF(C$4:C1060,""Sell_""&amp;C1061))))))"),"")</f>
        <v/>
      </c>
      <c r="H1061" s="10" t="str">
        <f t="shared" si="3"/>
        <v/>
      </c>
      <c r="I1061" s="68" t="str">
        <f t="shared" si="4"/>
        <v/>
      </c>
      <c r="J1061" s="59" t="str">
        <f t="shared" si="5"/>
        <v/>
      </c>
      <c r="K1061" s="69" t="str">
        <f t="shared" si="6"/>
        <v/>
      </c>
      <c r="L1061" s="60" t="str">
        <f t="shared" si="7"/>
        <v/>
      </c>
      <c r="M1061" s="61" t="str">
        <f>IFERROR(__xludf.DUMMYFUNCTION("IFS(AND(COUNTA(C1061:C1644)=0,COUNTA(Q1061:Q1644)=0),"""",OR(AND(K1061&gt;=1000000000,OR(Y1061&gt;=1000000000,COUNTA(Q1061:Q1644)=0)),OR(Y1061&gt;=1000000000,AND(COUNTA(C1061:C1644)=0,P$3=TRUE))),
ROUNDDOWN((AB$1-AC$1)*MAX(INDEX(T$4:T1644,MATCH(LARGE(FILTER(Y$4:Y1"&amp;"644,Y$4:Y1644&lt;1000000000),1),Y$4:Y1644)),INDEX(F$4:F1644,MATCH(LARGE(FILTER(K$4:K1644,K$4:K1644&lt;1000000000),1),K$4:K1644)))),AND(K1061&lt;1000000000,COUNTA(C1061:C1644)&gt;0,P$3=FALSE),
ROUNDDOWN(INDEX(Y$4:Y1644,MATCH(LARGE(FILTER(W$4:W1644,W$4:W1644&lt;=I1061),1)"&amp;",W$4:W1644))+(I1061-LARGE(FILTER(W$4:W1644,W$4:W1644&lt;=I1061),1))*INDEX(T$4:T1644,MATCH(LARGE(FILTER(W$4:W1644,W$4:W1644&lt;=I1061),1),W$4:W1644))-K1061),1,
ROUNDDOWN(Y1061-INDEX(K$4:K1644,MATCH(LARGE(FILTER(I$4:I1644,I$4:I1644&lt;=W1061),1),I$4:I1644))-(W1061-L"&amp;"ARGE(FILTER(I$4:I1644,I$4:I1644&lt;=W1061),1))*INDEX(F$4:F1644,MATCH(LARGE(FILTER(I$4:I1644,I$4:I1644&lt;=W1061),1),I$4:I1644))))"),"")</f>
        <v/>
      </c>
      <c r="N1061" s="60" t="str">
        <f t="shared" si="8"/>
        <v/>
      </c>
      <c r="O1061" s="61" t="str">
        <f t="shared" si="9"/>
        <v/>
      </c>
      <c r="P1061" s="56" t="str">
        <f t="shared" si="10"/>
        <v/>
      </c>
      <c r="Q1061" s="105"/>
      <c r="R1061" s="10"/>
      <c r="S1061" s="59" t="str">
        <f t="array" ref="S1061">IF(COUNTA(Q1061:Q1644)=0,"",SUM((COUNTIF(Q$4:Q1061,Upgrades!$B$3:$B$13)-COUNTIF(Q$4:Q1061,"Sell_"&amp;Upgrades!$B$3:$B$13))*Upgrades!$D$3:$D$13))</f>
        <v/>
      </c>
      <c r="T1061" s="66" t="str">
        <f>IFERROR(__xludf.DUMMYFUNCTION("IF(COUNTA(Q1061:Q1644)=0,"""",IF(REGEXMATCH(INDEX(FILTER(Q$4:Q1061,Q$4:Q1061&lt;&gt;""""),ROWS(FILTER(Q$4:Q1061,Q$4:Q1061&lt;&gt;""""))),""^Sell_""),INDEX(FILTER(T$4:T1060,Q$4:Q1060&lt;&gt;""""),ROWS(FILTER(Q$4:Q1060,Q$4:Q1060&lt;&gt;""""))),$AD$5+S1061))"),"")</f>
        <v/>
      </c>
      <c r="U1061" s="10" t="str">
        <f>IFERROR(__xludf.DUMMYFUNCTION("IF(COUNTA(Q1061:Q1644)=0,"""",IF(Q1061="""",0,IF(REGEXMATCH(Q1061,""^Sell_""),-ROUNDDOWN(ROUNDUP(INDEX(Upgrades!$C$3:$C$13,MATCH(SUBSTITUTE(Q1061,""Sell_"",""""),Upgrades!$B$3:$B$13,0))*1.15^(COUNTIF(Q$4:Q1060,SUBSTITUTE(Q1061,""Sell_"",""""))-COUNTIF(Q$4"&amp;":Q1060,""Sell_""&amp;SUBSTITUTE(Q1061,""Sell_"",""""))))/2),ROUNDUP(INDEX(Upgrades!$C$3:$C$13,MATCH(Q1061,Upgrades!$B$3:$B$13,0))*1.15^(COUNTIF(Q$4:Q1060,Q1061)-COUNTIF(Q$4:Q1060,""Sell_""&amp;Q1061))))))"),"")</f>
        <v/>
      </c>
      <c r="V1061" s="10" t="str">
        <f t="shared" si="11"/>
        <v/>
      </c>
      <c r="W1061" s="68" t="str">
        <f t="shared" si="12"/>
        <v/>
      </c>
      <c r="X1061" s="59" t="str">
        <f t="shared" si="13"/>
        <v/>
      </c>
      <c r="Y1061" s="69" t="str">
        <f t="shared" si="14"/>
        <v/>
      </c>
      <c r="Z1061" s="11"/>
      <c r="AG1061" s="59"/>
    </row>
    <row r="1062">
      <c r="A1062" s="8"/>
      <c r="B1062" s="56" t="str">
        <f t="shared" si="2"/>
        <v/>
      </c>
      <c r="C1062" s="105"/>
      <c r="D1062" s="10"/>
      <c r="E1062" s="59" t="str">
        <f t="array" ref="E1062">IF(COUNTA(C1062:C1644)=0,"",SUM((COUNTIF(C$4:C1062,Upgrades!$B$3:$B$13)-COUNTIF(C$4:C1062,"Sell_"&amp;Upgrades!$B$3:$B$13))*Upgrades!$D$3:$D$13))</f>
        <v/>
      </c>
      <c r="F1062" s="66" t="str">
        <f>IFERROR(__xludf.DUMMYFUNCTION("IF(COUNTA(C1062:C1644)=0,"""",IF(REGEXMATCH(INDEX(FILTER(C$4:C1062,C$4:C1062&lt;&gt;""""),ROWS(FILTER(C$4:C1062,C$4:C1062&lt;&gt;""""))),""^Sell_""),INDEX(FILTER(F$4:F1061,C$4:C1061&lt;&gt;""""),ROWS(FILTER(C$4:C1061,C$4:C1061&lt;&gt;""""))),$AC$5+E1062))"),"")</f>
        <v/>
      </c>
      <c r="G1062" s="10" t="str">
        <f>IFERROR(__xludf.DUMMYFUNCTION("IF(COUNTA(C1062:C1644)=0,"""",IF(C1062="""",0,IF(REGEXMATCH(C1062,""^Sell_""),-ROUNDDOWN(ROUNDUP(INDEX(Upgrades!$C$3:$C$13,MATCH(SUBSTITUTE(C1062,""Sell_"",""""),Upgrades!$B$3:$B$13,0))*1.15^(COUNTIF(C$4:C1061,SUBSTITUTE(C1062,""Sell_"",""""))-COUNTIF(C$4"&amp;":C1061,""Sell_""&amp;SUBSTITUTE(C1062,""Sell_"",""""))))/2),ROUNDUP(INDEX(Upgrades!$C$3:$C$13,MATCH(C1062,Upgrades!$B$3:$B$13,0))*1.15^(COUNTIF(C$4:C1061,C1062)-COUNTIF(C$4:C1061,""Sell_""&amp;C1062))))))"),"")</f>
        <v/>
      </c>
      <c r="H1062" s="10" t="str">
        <f t="shared" si="3"/>
        <v/>
      </c>
      <c r="I1062" s="68" t="str">
        <f t="shared" si="4"/>
        <v/>
      </c>
      <c r="J1062" s="59" t="str">
        <f t="shared" si="5"/>
        <v/>
      </c>
      <c r="K1062" s="69" t="str">
        <f t="shared" si="6"/>
        <v/>
      </c>
      <c r="L1062" s="60" t="str">
        <f t="shared" si="7"/>
        <v/>
      </c>
      <c r="M1062" s="61" t="str">
        <f>IFERROR(__xludf.DUMMYFUNCTION("IFS(AND(COUNTA(C1062:C1644)=0,COUNTA(Q1062:Q1644)=0),"""",OR(AND(K1062&gt;=1000000000,OR(Y1062&gt;=1000000000,COUNTA(Q1062:Q1644)=0)),OR(Y1062&gt;=1000000000,AND(COUNTA(C1062:C1644)=0,P$3=TRUE))),
ROUNDDOWN((AB$1-AC$1)*MAX(INDEX(T$4:T1644,MATCH(LARGE(FILTER(Y$4:Y1"&amp;"644,Y$4:Y1644&lt;1000000000),1),Y$4:Y1644)),INDEX(F$4:F1644,MATCH(LARGE(FILTER(K$4:K1644,K$4:K1644&lt;1000000000),1),K$4:K1644)))),AND(K1062&lt;1000000000,COUNTA(C1062:C1644)&gt;0,P$3=FALSE),
ROUNDDOWN(INDEX(Y$4:Y1644,MATCH(LARGE(FILTER(W$4:W1644,W$4:W1644&lt;=I1062),1)"&amp;",W$4:W1644))+(I1062-LARGE(FILTER(W$4:W1644,W$4:W1644&lt;=I1062),1))*INDEX(T$4:T1644,MATCH(LARGE(FILTER(W$4:W1644,W$4:W1644&lt;=I1062),1),W$4:W1644))-K1062),1,
ROUNDDOWN(Y1062-INDEX(K$4:K1644,MATCH(LARGE(FILTER(I$4:I1644,I$4:I1644&lt;=W1062),1),I$4:I1644))-(W1062-L"&amp;"ARGE(FILTER(I$4:I1644,I$4:I1644&lt;=W1062),1))*INDEX(F$4:F1644,MATCH(LARGE(FILTER(I$4:I1644,I$4:I1644&lt;=W1062),1),I$4:I1644))))"),"")</f>
        <v/>
      </c>
      <c r="N1062" s="60" t="str">
        <f t="shared" si="8"/>
        <v/>
      </c>
      <c r="O1062" s="61" t="str">
        <f t="shared" si="9"/>
        <v/>
      </c>
      <c r="P1062" s="56" t="str">
        <f t="shared" si="10"/>
        <v/>
      </c>
      <c r="Q1062" s="105"/>
      <c r="R1062" s="10"/>
      <c r="S1062" s="59" t="str">
        <f t="array" ref="S1062">IF(COUNTA(Q1062:Q1644)=0,"",SUM((COUNTIF(Q$4:Q1062,Upgrades!$B$3:$B$13)-COUNTIF(Q$4:Q1062,"Sell_"&amp;Upgrades!$B$3:$B$13))*Upgrades!$D$3:$D$13))</f>
        <v/>
      </c>
      <c r="T1062" s="66" t="str">
        <f>IFERROR(__xludf.DUMMYFUNCTION("IF(COUNTA(Q1062:Q1644)=0,"""",IF(REGEXMATCH(INDEX(FILTER(Q$4:Q1062,Q$4:Q1062&lt;&gt;""""),ROWS(FILTER(Q$4:Q1062,Q$4:Q1062&lt;&gt;""""))),""^Sell_""),INDEX(FILTER(T$4:T1061,Q$4:Q1061&lt;&gt;""""),ROWS(FILTER(Q$4:Q1061,Q$4:Q1061&lt;&gt;""""))),$AD$5+S1062))"),"")</f>
        <v/>
      </c>
      <c r="U1062" s="10" t="str">
        <f>IFERROR(__xludf.DUMMYFUNCTION("IF(COUNTA(Q1062:Q1644)=0,"""",IF(Q1062="""",0,IF(REGEXMATCH(Q1062,""^Sell_""),-ROUNDDOWN(ROUNDUP(INDEX(Upgrades!$C$3:$C$13,MATCH(SUBSTITUTE(Q1062,""Sell_"",""""),Upgrades!$B$3:$B$13,0))*1.15^(COUNTIF(Q$4:Q1061,SUBSTITUTE(Q1062,""Sell_"",""""))-COUNTIF(Q$4"&amp;":Q1061,""Sell_""&amp;SUBSTITUTE(Q1062,""Sell_"",""""))))/2),ROUNDUP(INDEX(Upgrades!$C$3:$C$13,MATCH(Q1062,Upgrades!$B$3:$B$13,0))*1.15^(COUNTIF(Q$4:Q1061,Q1062)-COUNTIF(Q$4:Q1061,""Sell_""&amp;Q1062))))))"),"")</f>
        <v/>
      </c>
      <c r="V1062" s="10" t="str">
        <f t="shared" si="11"/>
        <v/>
      </c>
      <c r="W1062" s="68" t="str">
        <f t="shared" si="12"/>
        <v/>
      </c>
      <c r="X1062" s="59" t="str">
        <f t="shared" si="13"/>
        <v/>
      </c>
      <c r="Y1062" s="69" t="str">
        <f t="shared" si="14"/>
        <v/>
      </c>
      <c r="Z1062" s="11"/>
      <c r="AG1062" s="59"/>
    </row>
    <row r="1063">
      <c r="A1063" s="8"/>
      <c r="B1063" s="56" t="str">
        <f t="shared" si="2"/>
        <v/>
      </c>
      <c r="C1063" s="105"/>
      <c r="D1063" s="10"/>
      <c r="E1063" s="59" t="str">
        <f t="array" ref="E1063">IF(COUNTA(C1063:C1644)=0,"",SUM((COUNTIF(C$4:C1063,Upgrades!$B$3:$B$13)-COUNTIF(C$4:C1063,"Sell_"&amp;Upgrades!$B$3:$B$13))*Upgrades!$D$3:$D$13))</f>
        <v/>
      </c>
      <c r="F1063" s="66" t="str">
        <f>IFERROR(__xludf.DUMMYFUNCTION("IF(COUNTA(C1063:C1644)=0,"""",IF(REGEXMATCH(INDEX(FILTER(C$4:C1063,C$4:C1063&lt;&gt;""""),ROWS(FILTER(C$4:C1063,C$4:C1063&lt;&gt;""""))),""^Sell_""),INDEX(FILTER(F$4:F1062,C$4:C1062&lt;&gt;""""),ROWS(FILTER(C$4:C1062,C$4:C1062&lt;&gt;""""))),$AC$5+E1063))"),"")</f>
        <v/>
      </c>
      <c r="G1063" s="10" t="str">
        <f>IFERROR(__xludf.DUMMYFUNCTION("IF(COUNTA(C1063:C1644)=0,"""",IF(C1063="""",0,IF(REGEXMATCH(C1063,""^Sell_""),-ROUNDDOWN(ROUNDUP(INDEX(Upgrades!$C$3:$C$13,MATCH(SUBSTITUTE(C1063,""Sell_"",""""),Upgrades!$B$3:$B$13,0))*1.15^(COUNTIF(C$4:C1062,SUBSTITUTE(C1063,""Sell_"",""""))-COUNTIF(C$4"&amp;":C1062,""Sell_""&amp;SUBSTITUTE(C1063,""Sell_"",""""))))/2),ROUNDUP(INDEX(Upgrades!$C$3:$C$13,MATCH(C1063,Upgrades!$B$3:$B$13,0))*1.15^(COUNTIF(C$4:C1062,C1063)-COUNTIF(C$4:C1062,""Sell_""&amp;C1063))))))"),"")</f>
        <v/>
      </c>
      <c r="H1063" s="10" t="str">
        <f t="shared" si="3"/>
        <v/>
      </c>
      <c r="I1063" s="68" t="str">
        <f t="shared" si="4"/>
        <v/>
      </c>
      <c r="J1063" s="59" t="str">
        <f t="shared" si="5"/>
        <v/>
      </c>
      <c r="K1063" s="69" t="str">
        <f t="shared" si="6"/>
        <v/>
      </c>
      <c r="L1063" s="60" t="str">
        <f t="shared" si="7"/>
        <v/>
      </c>
      <c r="M1063" s="61" t="str">
        <f>IFERROR(__xludf.DUMMYFUNCTION("IFS(AND(COUNTA(C1063:C1644)=0,COUNTA(Q1063:Q1644)=0),"""",OR(AND(K1063&gt;=1000000000,OR(Y1063&gt;=1000000000,COUNTA(Q1063:Q1644)=0)),OR(Y1063&gt;=1000000000,AND(COUNTA(C1063:C1644)=0,P$3=TRUE))),
ROUNDDOWN((AB$1-AC$1)*MAX(INDEX(T$4:T1644,MATCH(LARGE(FILTER(Y$4:Y1"&amp;"644,Y$4:Y1644&lt;1000000000),1),Y$4:Y1644)),INDEX(F$4:F1644,MATCH(LARGE(FILTER(K$4:K1644,K$4:K1644&lt;1000000000),1),K$4:K1644)))),AND(K1063&lt;1000000000,COUNTA(C1063:C1644)&gt;0,P$3=FALSE),
ROUNDDOWN(INDEX(Y$4:Y1644,MATCH(LARGE(FILTER(W$4:W1644,W$4:W1644&lt;=I1063),1)"&amp;",W$4:W1644))+(I1063-LARGE(FILTER(W$4:W1644,W$4:W1644&lt;=I1063),1))*INDEX(T$4:T1644,MATCH(LARGE(FILTER(W$4:W1644,W$4:W1644&lt;=I1063),1),W$4:W1644))-K1063),1,
ROUNDDOWN(Y1063-INDEX(K$4:K1644,MATCH(LARGE(FILTER(I$4:I1644,I$4:I1644&lt;=W1063),1),I$4:I1644))-(W1063-L"&amp;"ARGE(FILTER(I$4:I1644,I$4:I1644&lt;=W1063),1))*INDEX(F$4:F1644,MATCH(LARGE(FILTER(I$4:I1644,I$4:I1644&lt;=W1063),1),I$4:I1644))))"),"")</f>
        <v/>
      </c>
      <c r="N1063" s="60" t="str">
        <f t="shared" si="8"/>
        <v/>
      </c>
      <c r="O1063" s="61" t="str">
        <f t="shared" si="9"/>
        <v/>
      </c>
      <c r="P1063" s="56" t="str">
        <f t="shared" si="10"/>
        <v/>
      </c>
      <c r="Q1063" s="105"/>
      <c r="R1063" s="10"/>
      <c r="S1063" s="59" t="str">
        <f t="array" ref="S1063">IF(COUNTA(Q1063:Q1644)=0,"",SUM((COUNTIF(Q$4:Q1063,Upgrades!$B$3:$B$13)-COUNTIF(Q$4:Q1063,"Sell_"&amp;Upgrades!$B$3:$B$13))*Upgrades!$D$3:$D$13))</f>
        <v/>
      </c>
      <c r="T1063" s="66" t="str">
        <f>IFERROR(__xludf.DUMMYFUNCTION("IF(COUNTA(Q1063:Q1644)=0,"""",IF(REGEXMATCH(INDEX(FILTER(Q$4:Q1063,Q$4:Q1063&lt;&gt;""""),ROWS(FILTER(Q$4:Q1063,Q$4:Q1063&lt;&gt;""""))),""^Sell_""),INDEX(FILTER(T$4:T1062,Q$4:Q1062&lt;&gt;""""),ROWS(FILTER(Q$4:Q1062,Q$4:Q1062&lt;&gt;""""))),$AD$5+S1063))"),"")</f>
        <v/>
      </c>
      <c r="U1063" s="10" t="str">
        <f>IFERROR(__xludf.DUMMYFUNCTION("IF(COUNTA(Q1063:Q1644)=0,"""",IF(Q1063="""",0,IF(REGEXMATCH(Q1063,""^Sell_""),-ROUNDDOWN(ROUNDUP(INDEX(Upgrades!$C$3:$C$13,MATCH(SUBSTITUTE(Q1063,""Sell_"",""""),Upgrades!$B$3:$B$13,0))*1.15^(COUNTIF(Q$4:Q1062,SUBSTITUTE(Q1063,""Sell_"",""""))-COUNTIF(Q$4"&amp;":Q1062,""Sell_""&amp;SUBSTITUTE(Q1063,""Sell_"",""""))))/2),ROUNDUP(INDEX(Upgrades!$C$3:$C$13,MATCH(Q1063,Upgrades!$B$3:$B$13,0))*1.15^(COUNTIF(Q$4:Q1062,Q1063)-COUNTIF(Q$4:Q1062,""Sell_""&amp;Q1063))))))"),"")</f>
        <v/>
      </c>
      <c r="V1063" s="10" t="str">
        <f t="shared" si="11"/>
        <v/>
      </c>
      <c r="W1063" s="68" t="str">
        <f t="shared" si="12"/>
        <v/>
      </c>
      <c r="X1063" s="59" t="str">
        <f t="shared" si="13"/>
        <v/>
      </c>
      <c r="Y1063" s="69" t="str">
        <f t="shared" si="14"/>
        <v/>
      </c>
      <c r="Z1063" s="11"/>
      <c r="AG1063" s="59"/>
    </row>
    <row r="1064">
      <c r="A1064" s="8"/>
      <c r="B1064" s="56" t="str">
        <f t="shared" si="2"/>
        <v/>
      </c>
      <c r="C1064" s="105"/>
      <c r="D1064" s="10"/>
      <c r="E1064" s="59" t="str">
        <f t="array" ref="E1064">IF(COUNTA(C1064:C1644)=0,"",SUM((COUNTIF(C$4:C1064,Upgrades!$B$3:$B$13)-COUNTIF(C$4:C1064,"Sell_"&amp;Upgrades!$B$3:$B$13))*Upgrades!$D$3:$D$13))</f>
        <v/>
      </c>
      <c r="F1064" s="66" t="str">
        <f>IFERROR(__xludf.DUMMYFUNCTION("IF(COUNTA(C1064:C1644)=0,"""",IF(REGEXMATCH(INDEX(FILTER(C$4:C1064,C$4:C1064&lt;&gt;""""),ROWS(FILTER(C$4:C1064,C$4:C1064&lt;&gt;""""))),""^Sell_""),INDEX(FILTER(F$4:F1063,C$4:C1063&lt;&gt;""""),ROWS(FILTER(C$4:C1063,C$4:C1063&lt;&gt;""""))),$AC$5+E1064))"),"")</f>
        <v/>
      </c>
      <c r="G1064" s="10" t="str">
        <f>IFERROR(__xludf.DUMMYFUNCTION("IF(COUNTA(C1064:C1644)=0,"""",IF(C1064="""",0,IF(REGEXMATCH(C1064,""^Sell_""),-ROUNDDOWN(ROUNDUP(INDEX(Upgrades!$C$3:$C$13,MATCH(SUBSTITUTE(C1064,""Sell_"",""""),Upgrades!$B$3:$B$13,0))*1.15^(COUNTIF(C$4:C1063,SUBSTITUTE(C1064,""Sell_"",""""))-COUNTIF(C$4"&amp;":C1063,""Sell_""&amp;SUBSTITUTE(C1064,""Sell_"",""""))))/2),ROUNDUP(INDEX(Upgrades!$C$3:$C$13,MATCH(C1064,Upgrades!$B$3:$B$13,0))*1.15^(COUNTIF(C$4:C1063,C1064)-COUNTIF(C$4:C1063,""Sell_""&amp;C1064))))))"),"")</f>
        <v/>
      </c>
      <c r="H1064" s="10" t="str">
        <f t="shared" si="3"/>
        <v/>
      </c>
      <c r="I1064" s="68" t="str">
        <f t="shared" si="4"/>
        <v/>
      </c>
      <c r="J1064" s="59" t="str">
        <f t="shared" si="5"/>
        <v/>
      </c>
      <c r="K1064" s="69" t="str">
        <f t="shared" si="6"/>
        <v/>
      </c>
      <c r="L1064" s="60" t="str">
        <f t="shared" si="7"/>
        <v/>
      </c>
      <c r="M1064" s="61" t="str">
        <f>IFERROR(__xludf.DUMMYFUNCTION("IFS(AND(COUNTA(C1064:C1644)=0,COUNTA(Q1064:Q1644)=0),"""",OR(AND(K1064&gt;=1000000000,OR(Y1064&gt;=1000000000,COUNTA(Q1064:Q1644)=0)),OR(Y1064&gt;=1000000000,AND(COUNTA(C1064:C1644)=0,P$3=TRUE))),
ROUNDDOWN((AB$1-AC$1)*MAX(INDEX(T$4:T1644,MATCH(LARGE(FILTER(Y$4:Y1"&amp;"644,Y$4:Y1644&lt;1000000000),1),Y$4:Y1644)),INDEX(F$4:F1644,MATCH(LARGE(FILTER(K$4:K1644,K$4:K1644&lt;1000000000),1),K$4:K1644)))),AND(K1064&lt;1000000000,COUNTA(C1064:C1644)&gt;0,P$3=FALSE),
ROUNDDOWN(INDEX(Y$4:Y1644,MATCH(LARGE(FILTER(W$4:W1644,W$4:W1644&lt;=I1064),1)"&amp;",W$4:W1644))+(I1064-LARGE(FILTER(W$4:W1644,W$4:W1644&lt;=I1064),1))*INDEX(T$4:T1644,MATCH(LARGE(FILTER(W$4:W1644,W$4:W1644&lt;=I1064),1),W$4:W1644))-K1064),1,
ROUNDDOWN(Y1064-INDEX(K$4:K1644,MATCH(LARGE(FILTER(I$4:I1644,I$4:I1644&lt;=W1064),1),I$4:I1644))-(W1064-L"&amp;"ARGE(FILTER(I$4:I1644,I$4:I1644&lt;=W1064),1))*INDEX(F$4:F1644,MATCH(LARGE(FILTER(I$4:I1644,I$4:I1644&lt;=W1064),1),I$4:I1644))))"),"")</f>
        <v/>
      </c>
      <c r="N1064" s="60" t="str">
        <f t="shared" si="8"/>
        <v/>
      </c>
      <c r="O1064" s="61" t="str">
        <f t="shared" si="9"/>
        <v/>
      </c>
      <c r="P1064" s="56" t="str">
        <f t="shared" si="10"/>
        <v/>
      </c>
      <c r="Q1064" s="105"/>
      <c r="R1064" s="10"/>
      <c r="S1064" s="59" t="str">
        <f t="array" ref="S1064">IF(COUNTA(Q1064:Q1644)=0,"",SUM((COUNTIF(Q$4:Q1064,Upgrades!$B$3:$B$13)-COUNTIF(Q$4:Q1064,"Sell_"&amp;Upgrades!$B$3:$B$13))*Upgrades!$D$3:$D$13))</f>
        <v/>
      </c>
      <c r="T1064" s="66" t="str">
        <f>IFERROR(__xludf.DUMMYFUNCTION("IF(COUNTA(Q1064:Q1644)=0,"""",IF(REGEXMATCH(INDEX(FILTER(Q$4:Q1064,Q$4:Q1064&lt;&gt;""""),ROWS(FILTER(Q$4:Q1064,Q$4:Q1064&lt;&gt;""""))),""^Sell_""),INDEX(FILTER(T$4:T1063,Q$4:Q1063&lt;&gt;""""),ROWS(FILTER(Q$4:Q1063,Q$4:Q1063&lt;&gt;""""))),$AD$5+S1064))"),"")</f>
        <v/>
      </c>
      <c r="U1064" s="10" t="str">
        <f>IFERROR(__xludf.DUMMYFUNCTION("IF(COUNTA(Q1064:Q1644)=0,"""",IF(Q1064="""",0,IF(REGEXMATCH(Q1064,""^Sell_""),-ROUNDDOWN(ROUNDUP(INDEX(Upgrades!$C$3:$C$13,MATCH(SUBSTITUTE(Q1064,""Sell_"",""""),Upgrades!$B$3:$B$13,0))*1.15^(COUNTIF(Q$4:Q1063,SUBSTITUTE(Q1064,""Sell_"",""""))-COUNTIF(Q$4"&amp;":Q1063,""Sell_""&amp;SUBSTITUTE(Q1064,""Sell_"",""""))))/2),ROUNDUP(INDEX(Upgrades!$C$3:$C$13,MATCH(Q1064,Upgrades!$B$3:$B$13,0))*1.15^(COUNTIF(Q$4:Q1063,Q1064)-COUNTIF(Q$4:Q1063,""Sell_""&amp;Q1064))))))"),"")</f>
        <v/>
      </c>
      <c r="V1064" s="10" t="str">
        <f t="shared" si="11"/>
        <v/>
      </c>
      <c r="W1064" s="68" t="str">
        <f t="shared" si="12"/>
        <v/>
      </c>
      <c r="X1064" s="59" t="str">
        <f t="shared" si="13"/>
        <v/>
      </c>
      <c r="Y1064" s="69" t="str">
        <f t="shared" si="14"/>
        <v/>
      </c>
      <c r="Z1064" s="11"/>
      <c r="AG1064" s="59"/>
    </row>
    <row r="1065">
      <c r="A1065" s="8"/>
      <c r="B1065" s="56" t="str">
        <f t="shared" si="2"/>
        <v/>
      </c>
      <c r="C1065" s="105"/>
      <c r="D1065" s="10"/>
      <c r="E1065" s="59" t="str">
        <f t="array" ref="E1065">IF(COUNTA(C1065:C1644)=0,"",SUM((COUNTIF(C$4:C1065,Upgrades!$B$3:$B$13)-COUNTIF(C$4:C1065,"Sell_"&amp;Upgrades!$B$3:$B$13))*Upgrades!$D$3:$D$13))</f>
        <v/>
      </c>
      <c r="F1065" s="66" t="str">
        <f>IFERROR(__xludf.DUMMYFUNCTION("IF(COUNTA(C1065:C1644)=0,"""",IF(REGEXMATCH(INDEX(FILTER(C$4:C1065,C$4:C1065&lt;&gt;""""),ROWS(FILTER(C$4:C1065,C$4:C1065&lt;&gt;""""))),""^Sell_""),INDEX(FILTER(F$4:F1064,C$4:C1064&lt;&gt;""""),ROWS(FILTER(C$4:C1064,C$4:C1064&lt;&gt;""""))),$AC$5+E1065))"),"")</f>
        <v/>
      </c>
      <c r="G1065" s="10" t="str">
        <f>IFERROR(__xludf.DUMMYFUNCTION("IF(COUNTA(C1065:C1644)=0,"""",IF(C1065="""",0,IF(REGEXMATCH(C1065,""^Sell_""),-ROUNDDOWN(ROUNDUP(INDEX(Upgrades!$C$3:$C$13,MATCH(SUBSTITUTE(C1065,""Sell_"",""""),Upgrades!$B$3:$B$13,0))*1.15^(COUNTIF(C$4:C1064,SUBSTITUTE(C1065,""Sell_"",""""))-COUNTIF(C$4"&amp;":C1064,""Sell_""&amp;SUBSTITUTE(C1065,""Sell_"",""""))))/2),ROUNDUP(INDEX(Upgrades!$C$3:$C$13,MATCH(C1065,Upgrades!$B$3:$B$13,0))*1.15^(COUNTIF(C$4:C1064,C1065)-COUNTIF(C$4:C1064,""Sell_""&amp;C1065))))))"),"")</f>
        <v/>
      </c>
      <c r="H1065" s="10" t="str">
        <f t="shared" si="3"/>
        <v/>
      </c>
      <c r="I1065" s="68" t="str">
        <f t="shared" si="4"/>
        <v/>
      </c>
      <c r="J1065" s="59" t="str">
        <f t="shared" si="5"/>
        <v/>
      </c>
      <c r="K1065" s="69" t="str">
        <f t="shared" si="6"/>
        <v/>
      </c>
      <c r="L1065" s="60" t="str">
        <f t="shared" si="7"/>
        <v/>
      </c>
      <c r="M1065" s="61" t="str">
        <f>IFERROR(__xludf.DUMMYFUNCTION("IFS(AND(COUNTA(C1065:C1644)=0,COUNTA(Q1065:Q1644)=0),"""",OR(AND(K1065&gt;=1000000000,OR(Y1065&gt;=1000000000,COUNTA(Q1065:Q1644)=0)),OR(Y1065&gt;=1000000000,AND(COUNTA(C1065:C1644)=0,P$3=TRUE))),
ROUNDDOWN((AB$1-AC$1)*MAX(INDEX(T$4:T1644,MATCH(LARGE(FILTER(Y$4:Y1"&amp;"644,Y$4:Y1644&lt;1000000000),1),Y$4:Y1644)),INDEX(F$4:F1644,MATCH(LARGE(FILTER(K$4:K1644,K$4:K1644&lt;1000000000),1),K$4:K1644)))),AND(K1065&lt;1000000000,COUNTA(C1065:C1644)&gt;0,P$3=FALSE),
ROUNDDOWN(INDEX(Y$4:Y1644,MATCH(LARGE(FILTER(W$4:W1644,W$4:W1644&lt;=I1065),1)"&amp;",W$4:W1644))+(I1065-LARGE(FILTER(W$4:W1644,W$4:W1644&lt;=I1065),1))*INDEX(T$4:T1644,MATCH(LARGE(FILTER(W$4:W1644,W$4:W1644&lt;=I1065),1),W$4:W1644))-K1065),1,
ROUNDDOWN(Y1065-INDEX(K$4:K1644,MATCH(LARGE(FILTER(I$4:I1644,I$4:I1644&lt;=W1065),1),I$4:I1644))-(W1065-L"&amp;"ARGE(FILTER(I$4:I1644,I$4:I1644&lt;=W1065),1))*INDEX(F$4:F1644,MATCH(LARGE(FILTER(I$4:I1644,I$4:I1644&lt;=W1065),1),I$4:I1644))))"),"")</f>
        <v/>
      </c>
      <c r="N1065" s="60" t="str">
        <f t="shared" si="8"/>
        <v/>
      </c>
      <c r="O1065" s="61" t="str">
        <f t="shared" si="9"/>
        <v/>
      </c>
      <c r="P1065" s="56" t="str">
        <f t="shared" si="10"/>
        <v/>
      </c>
      <c r="Q1065" s="105"/>
      <c r="R1065" s="10"/>
      <c r="S1065" s="59" t="str">
        <f t="array" ref="S1065">IF(COUNTA(Q1065:Q1644)=0,"",SUM((COUNTIF(Q$4:Q1065,Upgrades!$B$3:$B$13)-COUNTIF(Q$4:Q1065,"Sell_"&amp;Upgrades!$B$3:$B$13))*Upgrades!$D$3:$D$13))</f>
        <v/>
      </c>
      <c r="T1065" s="66" t="str">
        <f>IFERROR(__xludf.DUMMYFUNCTION("IF(COUNTA(Q1065:Q1644)=0,"""",IF(REGEXMATCH(INDEX(FILTER(Q$4:Q1065,Q$4:Q1065&lt;&gt;""""),ROWS(FILTER(Q$4:Q1065,Q$4:Q1065&lt;&gt;""""))),""^Sell_""),INDEX(FILTER(T$4:T1064,Q$4:Q1064&lt;&gt;""""),ROWS(FILTER(Q$4:Q1064,Q$4:Q1064&lt;&gt;""""))),$AD$5+S1065))"),"")</f>
        <v/>
      </c>
      <c r="U1065" s="10" t="str">
        <f>IFERROR(__xludf.DUMMYFUNCTION("IF(COUNTA(Q1065:Q1644)=0,"""",IF(Q1065="""",0,IF(REGEXMATCH(Q1065,""^Sell_""),-ROUNDDOWN(ROUNDUP(INDEX(Upgrades!$C$3:$C$13,MATCH(SUBSTITUTE(Q1065,""Sell_"",""""),Upgrades!$B$3:$B$13,0))*1.15^(COUNTIF(Q$4:Q1064,SUBSTITUTE(Q1065,""Sell_"",""""))-COUNTIF(Q$4"&amp;":Q1064,""Sell_""&amp;SUBSTITUTE(Q1065,""Sell_"",""""))))/2),ROUNDUP(INDEX(Upgrades!$C$3:$C$13,MATCH(Q1065,Upgrades!$B$3:$B$13,0))*1.15^(COUNTIF(Q$4:Q1064,Q1065)-COUNTIF(Q$4:Q1064,""Sell_""&amp;Q1065))))))"),"")</f>
        <v/>
      </c>
      <c r="V1065" s="10" t="str">
        <f t="shared" si="11"/>
        <v/>
      </c>
      <c r="W1065" s="68" t="str">
        <f t="shared" si="12"/>
        <v/>
      </c>
      <c r="X1065" s="59" t="str">
        <f t="shared" si="13"/>
        <v/>
      </c>
      <c r="Y1065" s="69" t="str">
        <f t="shared" si="14"/>
        <v/>
      </c>
      <c r="Z1065" s="11"/>
      <c r="AG1065" s="59"/>
    </row>
    <row r="1066">
      <c r="A1066" s="8"/>
      <c r="B1066" s="56" t="str">
        <f t="shared" si="2"/>
        <v/>
      </c>
      <c r="C1066" s="105"/>
      <c r="D1066" s="10"/>
      <c r="E1066" s="59" t="str">
        <f t="array" ref="E1066">IF(COUNTA(C1066:C1644)=0,"",SUM((COUNTIF(C$4:C1066,Upgrades!$B$3:$B$13)-COUNTIF(C$4:C1066,"Sell_"&amp;Upgrades!$B$3:$B$13))*Upgrades!$D$3:$D$13))</f>
        <v/>
      </c>
      <c r="F1066" s="66" t="str">
        <f>IFERROR(__xludf.DUMMYFUNCTION("IF(COUNTA(C1066:C1644)=0,"""",IF(REGEXMATCH(INDEX(FILTER(C$4:C1066,C$4:C1066&lt;&gt;""""),ROWS(FILTER(C$4:C1066,C$4:C1066&lt;&gt;""""))),""^Sell_""),INDEX(FILTER(F$4:F1065,C$4:C1065&lt;&gt;""""),ROWS(FILTER(C$4:C1065,C$4:C1065&lt;&gt;""""))),$AC$5+E1066))"),"")</f>
        <v/>
      </c>
      <c r="G1066" s="10" t="str">
        <f>IFERROR(__xludf.DUMMYFUNCTION("IF(COUNTA(C1066:C1644)=0,"""",IF(C1066="""",0,IF(REGEXMATCH(C1066,""^Sell_""),-ROUNDDOWN(ROUNDUP(INDEX(Upgrades!$C$3:$C$13,MATCH(SUBSTITUTE(C1066,""Sell_"",""""),Upgrades!$B$3:$B$13,0))*1.15^(COUNTIF(C$4:C1065,SUBSTITUTE(C1066,""Sell_"",""""))-COUNTIF(C$4"&amp;":C1065,""Sell_""&amp;SUBSTITUTE(C1066,""Sell_"",""""))))/2),ROUNDUP(INDEX(Upgrades!$C$3:$C$13,MATCH(C1066,Upgrades!$B$3:$B$13,0))*1.15^(COUNTIF(C$4:C1065,C1066)-COUNTIF(C$4:C1065,""Sell_""&amp;C1066))))))"),"")</f>
        <v/>
      </c>
      <c r="H1066" s="10" t="str">
        <f t="shared" si="3"/>
        <v/>
      </c>
      <c r="I1066" s="68" t="str">
        <f t="shared" si="4"/>
        <v/>
      </c>
      <c r="J1066" s="59" t="str">
        <f t="shared" si="5"/>
        <v/>
      </c>
      <c r="K1066" s="69" t="str">
        <f t="shared" si="6"/>
        <v/>
      </c>
      <c r="L1066" s="60" t="str">
        <f t="shared" si="7"/>
        <v/>
      </c>
      <c r="M1066" s="61" t="str">
        <f>IFERROR(__xludf.DUMMYFUNCTION("IFS(AND(COUNTA(C1066:C1644)=0,COUNTA(Q1066:Q1644)=0),"""",OR(AND(K1066&gt;=1000000000,OR(Y1066&gt;=1000000000,COUNTA(Q1066:Q1644)=0)),OR(Y1066&gt;=1000000000,AND(COUNTA(C1066:C1644)=0,P$3=TRUE))),
ROUNDDOWN((AB$1-AC$1)*MAX(INDEX(T$4:T1644,MATCH(LARGE(FILTER(Y$4:Y1"&amp;"644,Y$4:Y1644&lt;1000000000),1),Y$4:Y1644)),INDEX(F$4:F1644,MATCH(LARGE(FILTER(K$4:K1644,K$4:K1644&lt;1000000000),1),K$4:K1644)))),AND(K1066&lt;1000000000,COUNTA(C1066:C1644)&gt;0,P$3=FALSE),
ROUNDDOWN(INDEX(Y$4:Y1644,MATCH(LARGE(FILTER(W$4:W1644,W$4:W1644&lt;=I1066),1)"&amp;",W$4:W1644))+(I1066-LARGE(FILTER(W$4:W1644,W$4:W1644&lt;=I1066),1))*INDEX(T$4:T1644,MATCH(LARGE(FILTER(W$4:W1644,W$4:W1644&lt;=I1066),1),W$4:W1644))-K1066),1,
ROUNDDOWN(Y1066-INDEX(K$4:K1644,MATCH(LARGE(FILTER(I$4:I1644,I$4:I1644&lt;=W1066),1),I$4:I1644))-(W1066-L"&amp;"ARGE(FILTER(I$4:I1644,I$4:I1644&lt;=W1066),1))*INDEX(F$4:F1644,MATCH(LARGE(FILTER(I$4:I1644,I$4:I1644&lt;=W1066),1),I$4:I1644))))"),"")</f>
        <v/>
      </c>
      <c r="N1066" s="60" t="str">
        <f t="shared" si="8"/>
        <v/>
      </c>
      <c r="O1066" s="61" t="str">
        <f t="shared" si="9"/>
        <v/>
      </c>
      <c r="P1066" s="56" t="str">
        <f t="shared" si="10"/>
        <v/>
      </c>
      <c r="Q1066" s="105"/>
      <c r="R1066" s="10"/>
      <c r="S1066" s="59" t="str">
        <f t="array" ref="S1066">IF(COUNTA(Q1066:Q1644)=0,"",SUM((COUNTIF(Q$4:Q1066,Upgrades!$B$3:$B$13)-COUNTIF(Q$4:Q1066,"Sell_"&amp;Upgrades!$B$3:$B$13))*Upgrades!$D$3:$D$13))</f>
        <v/>
      </c>
      <c r="T1066" s="66" t="str">
        <f>IFERROR(__xludf.DUMMYFUNCTION("IF(COUNTA(Q1066:Q1644)=0,"""",IF(REGEXMATCH(INDEX(FILTER(Q$4:Q1066,Q$4:Q1066&lt;&gt;""""),ROWS(FILTER(Q$4:Q1066,Q$4:Q1066&lt;&gt;""""))),""^Sell_""),INDEX(FILTER(T$4:T1065,Q$4:Q1065&lt;&gt;""""),ROWS(FILTER(Q$4:Q1065,Q$4:Q1065&lt;&gt;""""))),$AD$5+S1066))"),"")</f>
        <v/>
      </c>
      <c r="U1066" s="10" t="str">
        <f>IFERROR(__xludf.DUMMYFUNCTION("IF(COUNTA(Q1066:Q1644)=0,"""",IF(Q1066="""",0,IF(REGEXMATCH(Q1066,""^Sell_""),-ROUNDDOWN(ROUNDUP(INDEX(Upgrades!$C$3:$C$13,MATCH(SUBSTITUTE(Q1066,""Sell_"",""""),Upgrades!$B$3:$B$13,0))*1.15^(COUNTIF(Q$4:Q1065,SUBSTITUTE(Q1066,""Sell_"",""""))-COUNTIF(Q$4"&amp;":Q1065,""Sell_""&amp;SUBSTITUTE(Q1066,""Sell_"",""""))))/2),ROUNDUP(INDEX(Upgrades!$C$3:$C$13,MATCH(Q1066,Upgrades!$B$3:$B$13,0))*1.15^(COUNTIF(Q$4:Q1065,Q1066)-COUNTIF(Q$4:Q1065,""Sell_""&amp;Q1066))))))"),"")</f>
        <v/>
      </c>
      <c r="V1066" s="10" t="str">
        <f t="shared" si="11"/>
        <v/>
      </c>
      <c r="W1066" s="68" t="str">
        <f t="shared" si="12"/>
        <v/>
      </c>
      <c r="X1066" s="59" t="str">
        <f t="shared" si="13"/>
        <v/>
      </c>
      <c r="Y1066" s="69" t="str">
        <f t="shared" si="14"/>
        <v/>
      </c>
      <c r="Z1066" s="11"/>
      <c r="AG1066" s="59"/>
    </row>
    <row r="1067">
      <c r="A1067" s="8"/>
      <c r="B1067" s="56" t="str">
        <f t="shared" si="2"/>
        <v/>
      </c>
      <c r="C1067" s="105"/>
      <c r="D1067" s="10"/>
      <c r="E1067" s="59" t="str">
        <f t="array" ref="E1067">IF(COUNTA(C1067:C1644)=0,"",SUM((COUNTIF(C$4:C1067,Upgrades!$B$3:$B$13)-COUNTIF(C$4:C1067,"Sell_"&amp;Upgrades!$B$3:$B$13))*Upgrades!$D$3:$D$13))</f>
        <v/>
      </c>
      <c r="F1067" s="66" t="str">
        <f>IFERROR(__xludf.DUMMYFUNCTION("IF(COUNTA(C1067:C1644)=0,"""",IF(REGEXMATCH(INDEX(FILTER(C$4:C1067,C$4:C1067&lt;&gt;""""),ROWS(FILTER(C$4:C1067,C$4:C1067&lt;&gt;""""))),""^Sell_""),INDEX(FILTER(F$4:F1066,C$4:C1066&lt;&gt;""""),ROWS(FILTER(C$4:C1066,C$4:C1066&lt;&gt;""""))),$AC$5+E1067))"),"")</f>
        <v/>
      </c>
      <c r="G1067" s="10" t="str">
        <f>IFERROR(__xludf.DUMMYFUNCTION("IF(COUNTA(C1067:C1644)=0,"""",IF(C1067="""",0,IF(REGEXMATCH(C1067,""^Sell_""),-ROUNDDOWN(ROUNDUP(INDEX(Upgrades!$C$3:$C$13,MATCH(SUBSTITUTE(C1067,""Sell_"",""""),Upgrades!$B$3:$B$13,0))*1.15^(COUNTIF(C$4:C1066,SUBSTITUTE(C1067,""Sell_"",""""))-COUNTIF(C$4"&amp;":C1066,""Sell_""&amp;SUBSTITUTE(C1067,""Sell_"",""""))))/2),ROUNDUP(INDEX(Upgrades!$C$3:$C$13,MATCH(C1067,Upgrades!$B$3:$B$13,0))*1.15^(COUNTIF(C$4:C1066,C1067)-COUNTIF(C$4:C1066,""Sell_""&amp;C1067))))))"),"")</f>
        <v/>
      </c>
      <c r="H1067" s="10" t="str">
        <f t="shared" si="3"/>
        <v/>
      </c>
      <c r="I1067" s="68" t="str">
        <f t="shared" si="4"/>
        <v/>
      </c>
      <c r="J1067" s="59" t="str">
        <f t="shared" si="5"/>
        <v/>
      </c>
      <c r="K1067" s="69" t="str">
        <f t="shared" si="6"/>
        <v/>
      </c>
      <c r="L1067" s="60" t="str">
        <f t="shared" si="7"/>
        <v/>
      </c>
      <c r="M1067" s="61" t="str">
        <f>IFERROR(__xludf.DUMMYFUNCTION("IFS(AND(COUNTA(C1067:C1644)=0,COUNTA(Q1067:Q1644)=0),"""",OR(AND(K1067&gt;=1000000000,OR(Y1067&gt;=1000000000,COUNTA(Q1067:Q1644)=0)),OR(Y1067&gt;=1000000000,AND(COUNTA(C1067:C1644)=0,P$3=TRUE))),
ROUNDDOWN((AB$1-AC$1)*MAX(INDEX(T$4:T1644,MATCH(LARGE(FILTER(Y$4:Y1"&amp;"644,Y$4:Y1644&lt;1000000000),1),Y$4:Y1644)),INDEX(F$4:F1644,MATCH(LARGE(FILTER(K$4:K1644,K$4:K1644&lt;1000000000),1),K$4:K1644)))),AND(K1067&lt;1000000000,COUNTA(C1067:C1644)&gt;0,P$3=FALSE),
ROUNDDOWN(INDEX(Y$4:Y1644,MATCH(LARGE(FILTER(W$4:W1644,W$4:W1644&lt;=I1067),1)"&amp;",W$4:W1644))+(I1067-LARGE(FILTER(W$4:W1644,W$4:W1644&lt;=I1067),1))*INDEX(T$4:T1644,MATCH(LARGE(FILTER(W$4:W1644,W$4:W1644&lt;=I1067),1),W$4:W1644))-K1067),1,
ROUNDDOWN(Y1067-INDEX(K$4:K1644,MATCH(LARGE(FILTER(I$4:I1644,I$4:I1644&lt;=W1067),1),I$4:I1644))-(W1067-L"&amp;"ARGE(FILTER(I$4:I1644,I$4:I1644&lt;=W1067),1))*INDEX(F$4:F1644,MATCH(LARGE(FILTER(I$4:I1644,I$4:I1644&lt;=W1067),1),I$4:I1644))))"),"")</f>
        <v/>
      </c>
      <c r="N1067" s="60" t="str">
        <f t="shared" si="8"/>
        <v/>
      </c>
      <c r="O1067" s="61" t="str">
        <f t="shared" si="9"/>
        <v/>
      </c>
      <c r="P1067" s="56" t="str">
        <f t="shared" si="10"/>
        <v/>
      </c>
      <c r="Q1067" s="105"/>
      <c r="R1067" s="10"/>
      <c r="S1067" s="59" t="str">
        <f t="array" ref="S1067">IF(COUNTA(Q1067:Q1644)=0,"",SUM((COUNTIF(Q$4:Q1067,Upgrades!$B$3:$B$13)-COUNTIF(Q$4:Q1067,"Sell_"&amp;Upgrades!$B$3:$B$13))*Upgrades!$D$3:$D$13))</f>
        <v/>
      </c>
      <c r="T1067" s="66" t="str">
        <f>IFERROR(__xludf.DUMMYFUNCTION("IF(COUNTA(Q1067:Q1644)=0,"""",IF(REGEXMATCH(INDEX(FILTER(Q$4:Q1067,Q$4:Q1067&lt;&gt;""""),ROWS(FILTER(Q$4:Q1067,Q$4:Q1067&lt;&gt;""""))),""^Sell_""),INDEX(FILTER(T$4:T1066,Q$4:Q1066&lt;&gt;""""),ROWS(FILTER(Q$4:Q1066,Q$4:Q1066&lt;&gt;""""))),$AD$5+S1067))"),"")</f>
        <v/>
      </c>
      <c r="U1067" s="10" t="str">
        <f>IFERROR(__xludf.DUMMYFUNCTION("IF(COUNTA(Q1067:Q1644)=0,"""",IF(Q1067="""",0,IF(REGEXMATCH(Q1067,""^Sell_""),-ROUNDDOWN(ROUNDUP(INDEX(Upgrades!$C$3:$C$13,MATCH(SUBSTITUTE(Q1067,""Sell_"",""""),Upgrades!$B$3:$B$13,0))*1.15^(COUNTIF(Q$4:Q1066,SUBSTITUTE(Q1067,""Sell_"",""""))-COUNTIF(Q$4"&amp;":Q1066,""Sell_""&amp;SUBSTITUTE(Q1067,""Sell_"",""""))))/2),ROUNDUP(INDEX(Upgrades!$C$3:$C$13,MATCH(Q1067,Upgrades!$B$3:$B$13,0))*1.15^(COUNTIF(Q$4:Q1066,Q1067)-COUNTIF(Q$4:Q1066,""Sell_""&amp;Q1067))))))"),"")</f>
        <v/>
      </c>
      <c r="V1067" s="10" t="str">
        <f t="shared" si="11"/>
        <v/>
      </c>
      <c r="W1067" s="68" t="str">
        <f t="shared" si="12"/>
        <v/>
      </c>
      <c r="X1067" s="59" t="str">
        <f t="shared" si="13"/>
        <v/>
      </c>
      <c r="Y1067" s="69" t="str">
        <f t="shared" si="14"/>
        <v/>
      </c>
      <c r="Z1067" s="11"/>
      <c r="AG1067" s="59"/>
    </row>
    <row r="1068">
      <c r="A1068" s="8"/>
      <c r="B1068" s="56" t="str">
        <f t="shared" si="2"/>
        <v/>
      </c>
      <c r="C1068" s="105"/>
      <c r="D1068" s="10"/>
      <c r="E1068" s="59" t="str">
        <f t="array" ref="E1068">IF(COUNTA(C1068:C1644)=0,"",SUM((COUNTIF(C$4:C1068,Upgrades!$B$3:$B$13)-COUNTIF(C$4:C1068,"Sell_"&amp;Upgrades!$B$3:$B$13))*Upgrades!$D$3:$D$13))</f>
        <v/>
      </c>
      <c r="F1068" s="66" t="str">
        <f>IFERROR(__xludf.DUMMYFUNCTION("IF(COUNTA(C1068:C1644)=0,"""",IF(REGEXMATCH(INDEX(FILTER(C$4:C1068,C$4:C1068&lt;&gt;""""),ROWS(FILTER(C$4:C1068,C$4:C1068&lt;&gt;""""))),""^Sell_""),INDEX(FILTER(F$4:F1067,C$4:C1067&lt;&gt;""""),ROWS(FILTER(C$4:C1067,C$4:C1067&lt;&gt;""""))),$AC$5+E1068))"),"")</f>
        <v/>
      </c>
      <c r="G1068" s="10" t="str">
        <f>IFERROR(__xludf.DUMMYFUNCTION("IF(COUNTA(C1068:C1644)=0,"""",IF(C1068="""",0,IF(REGEXMATCH(C1068,""^Sell_""),-ROUNDDOWN(ROUNDUP(INDEX(Upgrades!$C$3:$C$13,MATCH(SUBSTITUTE(C1068,""Sell_"",""""),Upgrades!$B$3:$B$13,0))*1.15^(COUNTIF(C$4:C1067,SUBSTITUTE(C1068,""Sell_"",""""))-COUNTIF(C$4"&amp;":C1067,""Sell_""&amp;SUBSTITUTE(C1068,""Sell_"",""""))))/2),ROUNDUP(INDEX(Upgrades!$C$3:$C$13,MATCH(C1068,Upgrades!$B$3:$B$13,0))*1.15^(COUNTIF(C$4:C1067,C1068)-COUNTIF(C$4:C1067,""Sell_""&amp;C1068))))))"),"")</f>
        <v/>
      </c>
      <c r="H1068" s="10" t="str">
        <f t="shared" si="3"/>
        <v/>
      </c>
      <c r="I1068" s="68" t="str">
        <f t="shared" si="4"/>
        <v/>
      </c>
      <c r="J1068" s="59" t="str">
        <f t="shared" si="5"/>
        <v/>
      </c>
      <c r="K1068" s="69" t="str">
        <f t="shared" si="6"/>
        <v/>
      </c>
      <c r="L1068" s="60" t="str">
        <f t="shared" si="7"/>
        <v/>
      </c>
      <c r="M1068" s="61" t="str">
        <f>IFERROR(__xludf.DUMMYFUNCTION("IFS(AND(COUNTA(C1068:C1644)=0,COUNTA(Q1068:Q1644)=0),"""",OR(AND(K1068&gt;=1000000000,OR(Y1068&gt;=1000000000,COUNTA(Q1068:Q1644)=0)),OR(Y1068&gt;=1000000000,AND(COUNTA(C1068:C1644)=0,P$3=TRUE))),
ROUNDDOWN((AB$1-AC$1)*MAX(INDEX(T$4:T1644,MATCH(LARGE(FILTER(Y$4:Y1"&amp;"644,Y$4:Y1644&lt;1000000000),1),Y$4:Y1644)),INDEX(F$4:F1644,MATCH(LARGE(FILTER(K$4:K1644,K$4:K1644&lt;1000000000),1),K$4:K1644)))),AND(K1068&lt;1000000000,COUNTA(C1068:C1644)&gt;0,P$3=FALSE),
ROUNDDOWN(INDEX(Y$4:Y1644,MATCH(LARGE(FILTER(W$4:W1644,W$4:W1644&lt;=I1068),1)"&amp;",W$4:W1644))+(I1068-LARGE(FILTER(W$4:W1644,W$4:W1644&lt;=I1068),1))*INDEX(T$4:T1644,MATCH(LARGE(FILTER(W$4:W1644,W$4:W1644&lt;=I1068),1),W$4:W1644))-K1068),1,
ROUNDDOWN(Y1068-INDEX(K$4:K1644,MATCH(LARGE(FILTER(I$4:I1644,I$4:I1644&lt;=W1068),1),I$4:I1644))-(W1068-L"&amp;"ARGE(FILTER(I$4:I1644,I$4:I1644&lt;=W1068),1))*INDEX(F$4:F1644,MATCH(LARGE(FILTER(I$4:I1644,I$4:I1644&lt;=W1068),1),I$4:I1644))))"),"")</f>
        <v/>
      </c>
      <c r="N1068" s="60" t="str">
        <f t="shared" si="8"/>
        <v/>
      </c>
      <c r="O1068" s="61" t="str">
        <f t="shared" si="9"/>
        <v/>
      </c>
      <c r="P1068" s="56" t="str">
        <f t="shared" si="10"/>
        <v/>
      </c>
      <c r="Q1068" s="105"/>
      <c r="R1068" s="10"/>
      <c r="S1068" s="59" t="str">
        <f t="array" ref="S1068">IF(COUNTA(Q1068:Q1644)=0,"",SUM((COUNTIF(Q$4:Q1068,Upgrades!$B$3:$B$13)-COUNTIF(Q$4:Q1068,"Sell_"&amp;Upgrades!$B$3:$B$13))*Upgrades!$D$3:$D$13))</f>
        <v/>
      </c>
      <c r="T1068" s="66" t="str">
        <f>IFERROR(__xludf.DUMMYFUNCTION("IF(COUNTA(Q1068:Q1644)=0,"""",IF(REGEXMATCH(INDEX(FILTER(Q$4:Q1068,Q$4:Q1068&lt;&gt;""""),ROWS(FILTER(Q$4:Q1068,Q$4:Q1068&lt;&gt;""""))),""^Sell_""),INDEX(FILTER(T$4:T1067,Q$4:Q1067&lt;&gt;""""),ROWS(FILTER(Q$4:Q1067,Q$4:Q1067&lt;&gt;""""))),$AD$5+S1068))"),"")</f>
        <v/>
      </c>
      <c r="U1068" s="10" t="str">
        <f>IFERROR(__xludf.DUMMYFUNCTION("IF(COUNTA(Q1068:Q1644)=0,"""",IF(Q1068="""",0,IF(REGEXMATCH(Q1068,""^Sell_""),-ROUNDDOWN(ROUNDUP(INDEX(Upgrades!$C$3:$C$13,MATCH(SUBSTITUTE(Q1068,""Sell_"",""""),Upgrades!$B$3:$B$13,0))*1.15^(COUNTIF(Q$4:Q1067,SUBSTITUTE(Q1068,""Sell_"",""""))-COUNTIF(Q$4"&amp;":Q1067,""Sell_""&amp;SUBSTITUTE(Q1068,""Sell_"",""""))))/2),ROUNDUP(INDEX(Upgrades!$C$3:$C$13,MATCH(Q1068,Upgrades!$B$3:$B$13,0))*1.15^(COUNTIF(Q$4:Q1067,Q1068)-COUNTIF(Q$4:Q1067,""Sell_""&amp;Q1068))))))"),"")</f>
        <v/>
      </c>
      <c r="V1068" s="10" t="str">
        <f t="shared" si="11"/>
        <v/>
      </c>
      <c r="W1068" s="68" t="str">
        <f t="shared" si="12"/>
        <v/>
      </c>
      <c r="X1068" s="59" t="str">
        <f t="shared" si="13"/>
        <v/>
      </c>
      <c r="Y1068" s="69" t="str">
        <f t="shared" si="14"/>
        <v/>
      </c>
      <c r="Z1068" s="11"/>
      <c r="AG1068" s="59"/>
    </row>
    <row r="1069">
      <c r="A1069" s="8"/>
      <c r="B1069" s="56" t="str">
        <f t="shared" si="2"/>
        <v/>
      </c>
      <c r="C1069" s="105"/>
      <c r="D1069" s="10"/>
      <c r="E1069" s="59" t="str">
        <f t="array" ref="E1069">IF(COUNTA(C1069:C1644)=0,"",SUM((COUNTIF(C$4:C1069,Upgrades!$B$3:$B$13)-COUNTIF(C$4:C1069,"Sell_"&amp;Upgrades!$B$3:$B$13))*Upgrades!$D$3:$D$13))</f>
        <v/>
      </c>
      <c r="F1069" s="66" t="str">
        <f>IFERROR(__xludf.DUMMYFUNCTION("IF(COUNTA(C1069:C1644)=0,"""",IF(REGEXMATCH(INDEX(FILTER(C$4:C1069,C$4:C1069&lt;&gt;""""),ROWS(FILTER(C$4:C1069,C$4:C1069&lt;&gt;""""))),""^Sell_""),INDEX(FILTER(F$4:F1068,C$4:C1068&lt;&gt;""""),ROWS(FILTER(C$4:C1068,C$4:C1068&lt;&gt;""""))),$AC$5+E1069))"),"")</f>
        <v/>
      </c>
      <c r="G1069" s="10" t="str">
        <f>IFERROR(__xludf.DUMMYFUNCTION("IF(COUNTA(C1069:C1644)=0,"""",IF(C1069="""",0,IF(REGEXMATCH(C1069,""^Sell_""),-ROUNDDOWN(ROUNDUP(INDEX(Upgrades!$C$3:$C$13,MATCH(SUBSTITUTE(C1069,""Sell_"",""""),Upgrades!$B$3:$B$13,0))*1.15^(COUNTIF(C$4:C1068,SUBSTITUTE(C1069,""Sell_"",""""))-COUNTIF(C$4"&amp;":C1068,""Sell_""&amp;SUBSTITUTE(C1069,""Sell_"",""""))))/2),ROUNDUP(INDEX(Upgrades!$C$3:$C$13,MATCH(C1069,Upgrades!$B$3:$B$13,0))*1.15^(COUNTIF(C$4:C1068,C1069)-COUNTIF(C$4:C1068,""Sell_""&amp;C1069))))))"),"")</f>
        <v/>
      </c>
      <c r="H1069" s="10" t="str">
        <f t="shared" si="3"/>
        <v/>
      </c>
      <c r="I1069" s="68" t="str">
        <f t="shared" si="4"/>
        <v/>
      </c>
      <c r="J1069" s="59" t="str">
        <f t="shared" si="5"/>
        <v/>
      </c>
      <c r="K1069" s="69" t="str">
        <f t="shared" si="6"/>
        <v/>
      </c>
      <c r="L1069" s="60" t="str">
        <f t="shared" si="7"/>
        <v/>
      </c>
      <c r="M1069" s="61" t="str">
        <f>IFERROR(__xludf.DUMMYFUNCTION("IFS(AND(COUNTA(C1069:C1644)=0,COUNTA(Q1069:Q1644)=0),"""",OR(AND(K1069&gt;=1000000000,OR(Y1069&gt;=1000000000,COUNTA(Q1069:Q1644)=0)),OR(Y1069&gt;=1000000000,AND(COUNTA(C1069:C1644)=0,P$3=TRUE))),
ROUNDDOWN((AB$1-AC$1)*MAX(INDEX(T$4:T1644,MATCH(LARGE(FILTER(Y$4:Y1"&amp;"644,Y$4:Y1644&lt;1000000000),1),Y$4:Y1644)),INDEX(F$4:F1644,MATCH(LARGE(FILTER(K$4:K1644,K$4:K1644&lt;1000000000),1),K$4:K1644)))),AND(K1069&lt;1000000000,COUNTA(C1069:C1644)&gt;0,P$3=FALSE),
ROUNDDOWN(INDEX(Y$4:Y1644,MATCH(LARGE(FILTER(W$4:W1644,W$4:W1644&lt;=I1069),1)"&amp;",W$4:W1644))+(I1069-LARGE(FILTER(W$4:W1644,W$4:W1644&lt;=I1069),1))*INDEX(T$4:T1644,MATCH(LARGE(FILTER(W$4:W1644,W$4:W1644&lt;=I1069),1),W$4:W1644))-K1069),1,
ROUNDDOWN(Y1069-INDEX(K$4:K1644,MATCH(LARGE(FILTER(I$4:I1644,I$4:I1644&lt;=W1069),1),I$4:I1644))-(W1069-L"&amp;"ARGE(FILTER(I$4:I1644,I$4:I1644&lt;=W1069),1))*INDEX(F$4:F1644,MATCH(LARGE(FILTER(I$4:I1644,I$4:I1644&lt;=W1069),1),I$4:I1644))))"),"")</f>
        <v/>
      </c>
      <c r="N1069" s="60" t="str">
        <f t="shared" si="8"/>
        <v/>
      </c>
      <c r="O1069" s="61" t="str">
        <f t="shared" si="9"/>
        <v/>
      </c>
      <c r="P1069" s="56" t="str">
        <f t="shared" si="10"/>
        <v/>
      </c>
      <c r="Q1069" s="105"/>
      <c r="R1069" s="10"/>
      <c r="S1069" s="59" t="str">
        <f t="array" ref="S1069">IF(COUNTA(Q1069:Q1644)=0,"",SUM((COUNTIF(Q$4:Q1069,Upgrades!$B$3:$B$13)-COUNTIF(Q$4:Q1069,"Sell_"&amp;Upgrades!$B$3:$B$13))*Upgrades!$D$3:$D$13))</f>
        <v/>
      </c>
      <c r="T1069" s="66" t="str">
        <f>IFERROR(__xludf.DUMMYFUNCTION("IF(COUNTA(Q1069:Q1644)=0,"""",IF(REGEXMATCH(INDEX(FILTER(Q$4:Q1069,Q$4:Q1069&lt;&gt;""""),ROWS(FILTER(Q$4:Q1069,Q$4:Q1069&lt;&gt;""""))),""^Sell_""),INDEX(FILTER(T$4:T1068,Q$4:Q1068&lt;&gt;""""),ROWS(FILTER(Q$4:Q1068,Q$4:Q1068&lt;&gt;""""))),$AD$5+S1069))"),"")</f>
        <v/>
      </c>
      <c r="U1069" s="10" t="str">
        <f>IFERROR(__xludf.DUMMYFUNCTION("IF(COUNTA(Q1069:Q1644)=0,"""",IF(Q1069="""",0,IF(REGEXMATCH(Q1069,""^Sell_""),-ROUNDDOWN(ROUNDUP(INDEX(Upgrades!$C$3:$C$13,MATCH(SUBSTITUTE(Q1069,""Sell_"",""""),Upgrades!$B$3:$B$13,0))*1.15^(COUNTIF(Q$4:Q1068,SUBSTITUTE(Q1069,""Sell_"",""""))-COUNTIF(Q$4"&amp;":Q1068,""Sell_""&amp;SUBSTITUTE(Q1069,""Sell_"",""""))))/2),ROUNDUP(INDEX(Upgrades!$C$3:$C$13,MATCH(Q1069,Upgrades!$B$3:$B$13,0))*1.15^(COUNTIF(Q$4:Q1068,Q1069)-COUNTIF(Q$4:Q1068,""Sell_""&amp;Q1069))))))"),"")</f>
        <v/>
      </c>
      <c r="V1069" s="10" t="str">
        <f t="shared" si="11"/>
        <v/>
      </c>
      <c r="W1069" s="68" t="str">
        <f t="shared" si="12"/>
        <v/>
      </c>
      <c r="X1069" s="59" t="str">
        <f t="shared" si="13"/>
        <v/>
      </c>
      <c r="Y1069" s="69" t="str">
        <f t="shared" si="14"/>
        <v/>
      </c>
      <c r="Z1069" s="11"/>
      <c r="AG1069" s="59"/>
    </row>
    <row r="1070">
      <c r="A1070" s="8"/>
      <c r="B1070" s="56" t="str">
        <f t="shared" si="2"/>
        <v/>
      </c>
      <c r="C1070" s="105"/>
      <c r="D1070" s="10"/>
      <c r="E1070" s="59" t="str">
        <f t="array" ref="E1070">IF(COUNTA(C1070:C1644)=0,"",SUM((COUNTIF(C$4:C1070,Upgrades!$B$3:$B$13)-COUNTIF(C$4:C1070,"Sell_"&amp;Upgrades!$B$3:$B$13))*Upgrades!$D$3:$D$13))</f>
        <v/>
      </c>
      <c r="F1070" s="66" t="str">
        <f>IFERROR(__xludf.DUMMYFUNCTION("IF(COUNTA(C1070:C1644)=0,"""",IF(REGEXMATCH(INDEX(FILTER(C$4:C1070,C$4:C1070&lt;&gt;""""),ROWS(FILTER(C$4:C1070,C$4:C1070&lt;&gt;""""))),""^Sell_""),INDEX(FILTER(F$4:F1069,C$4:C1069&lt;&gt;""""),ROWS(FILTER(C$4:C1069,C$4:C1069&lt;&gt;""""))),$AC$5+E1070))"),"")</f>
        <v/>
      </c>
      <c r="G1070" s="10" t="str">
        <f>IFERROR(__xludf.DUMMYFUNCTION("IF(COUNTA(C1070:C1644)=0,"""",IF(C1070="""",0,IF(REGEXMATCH(C1070,""^Sell_""),-ROUNDDOWN(ROUNDUP(INDEX(Upgrades!$C$3:$C$13,MATCH(SUBSTITUTE(C1070,""Sell_"",""""),Upgrades!$B$3:$B$13,0))*1.15^(COUNTIF(C$4:C1069,SUBSTITUTE(C1070,""Sell_"",""""))-COUNTIF(C$4"&amp;":C1069,""Sell_""&amp;SUBSTITUTE(C1070,""Sell_"",""""))))/2),ROUNDUP(INDEX(Upgrades!$C$3:$C$13,MATCH(C1070,Upgrades!$B$3:$B$13,0))*1.15^(COUNTIF(C$4:C1069,C1070)-COUNTIF(C$4:C1069,""Sell_""&amp;C1070))))))"),"")</f>
        <v/>
      </c>
      <c r="H1070" s="10" t="str">
        <f t="shared" si="3"/>
        <v/>
      </c>
      <c r="I1070" s="68" t="str">
        <f t="shared" si="4"/>
        <v/>
      </c>
      <c r="J1070" s="59" t="str">
        <f t="shared" si="5"/>
        <v/>
      </c>
      <c r="K1070" s="69" t="str">
        <f t="shared" si="6"/>
        <v/>
      </c>
      <c r="L1070" s="60" t="str">
        <f t="shared" si="7"/>
        <v/>
      </c>
      <c r="M1070" s="61" t="str">
        <f>IFERROR(__xludf.DUMMYFUNCTION("IFS(AND(COUNTA(C1070:C1644)=0,COUNTA(Q1070:Q1644)=0),"""",OR(AND(K1070&gt;=1000000000,OR(Y1070&gt;=1000000000,COUNTA(Q1070:Q1644)=0)),OR(Y1070&gt;=1000000000,AND(COUNTA(C1070:C1644)=0,P$3=TRUE))),
ROUNDDOWN((AB$1-AC$1)*MAX(INDEX(T$4:T1644,MATCH(LARGE(FILTER(Y$4:Y1"&amp;"644,Y$4:Y1644&lt;1000000000),1),Y$4:Y1644)),INDEX(F$4:F1644,MATCH(LARGE(FILTER(K$4:K1644,K$4:K1644&lt;1000000000),1),K$4:K1644)))),AND(K1070&lt;1000000000,COUNTA(C1070:C1644)&gt;0,P$3=FALSE),
ROUNDDOWN(INDEX(Y$4:Y1644,MATCH(LARGE(FILTER(W$4:W1644,W$4:W1644&lt;=I1070),1)"&amp;",W$4:W1644))+(I1070-LARGE(FILTER(W$4:W1644,W$4:W1644&lt;=I1070),1))*INDEX(T$4:T1644,MATCH(LARGE(FILTER(W$4:W1644,W$4:W1644&lt;=I1070),1),W$4:W1644))-K1070),1,
ROUNDDOWN(Y1070-INDEX(K$4:K1644,MATCH(LARGE(FILTER(I$4:I1644,I$4:I1644&lt;=W1070),1),I$4:I1644))-(W1070-L"&amp;"ARGE(FILTER(I$4:I1644,I$4:I1644&lt;=W1070),1))*INDEX(F$4:F1644,MATCH(LARGE(FILTER(I$4:I1644,I$4:I1644&lt;=W1070),1),I$4:I1644))))"),"")</f>
        <v/>
      </c>
      <c r="N1070" s="60" t="str">
        <f t="shared" si="8"/>
        <v/>
      </c>
      <c r="O1070" s="61" t="str">
        <f t="shared" si="9"/>
        <v/>
      </c>
      <c r="P1070" s="56" t="str">
        <f t="shared" si="10"/>
        <v/>
      </c>
      <c r="Q1070" s="105"/>
      <c r="R1070" s="10"/>
      <c r="S1070" s="59" t="str">
        <f t="array" ref="S1070">IF(COUNTA(Q1070:Q1644)=0,"",SUM((COUNTIF(Q$4:Q1070,Upgrades!$B$3:$B$13)-COUNTIF(Q$4:Q1070,"Sell_"&amp;Upgrades!$B$3:$B$13))*Upgrades!$D$3:$D$13))</f>
        <v/>
      </c>
      <c r="T1070" s="66" t="str">
        <f>IFERROR(__xludf.DUMMYFUNCTION("IF(COUNTA(Q1070:Q1644)=0,"""",IF(REGEXMATCH(INDEX(FILTER(Q$4:Q1070,Q$4:Q1070&lt;&gt;""""),ROWS(FILTER(Q$4:Q1070,Q$4:Q1070&lt;&gt;""""))),""^Sell_""),INDEX(FILTER(T$4:T1069,Q$4:Q1069&lt;&gt;""""),ROWS(FILTER(Q$4:Q1069,Q$4:Q1069&lt;&gt;""""))),$AD$5+S1070))"),"")</f>
        <v/>
      </c>
      <c r="U1070" s="10" t="str">
        <f>IFERROR(__xludf.DUMMYFUNCTION("IF(COUNTA(Q1070:Q1644)=0,"""",IF(Q1070="""",0,IF(REGEXMATCH(Q1070,""^Sell_""),-ROUNDDOWN(ROUNDUP(INDEX(Upgrades!$C$3:$C$13,MATCH(SUBSTITUTE(Q1070,""Sell_"",""""),Upgrades!$B$3:$B$13,0))*1.15^(COUNTIF(Q$4:Q1069,SUBSTITUTE(Q1070,""Sell_"",""""))-COUNTIF(Q$4"&amp;":Q1069,""Sell_""&amp;SUBSTITUTE(Q1070,""Sell_"",""""))))/2),ROUNDUP(INDEX(Upgrades!$C$3:$C$13,MATCH(Q1070,Upgrades!$B$3:$B$13,0))*1.15^(COUNTIF(Q$4:Q1069,Q1070)-COUNTIF(Q$4:Q1069,""Sell_""&amp;Q1070))))))"),"")</f>
        <v/>
      </c>
      <c r="V1070" s="10" t="str">
        <f t="shared" si="11"/>
        <v/>
      </c>
      <c r="W1070" s="68" t="str">
        <f t="shared" si="12"/>
        <v/>
      </c>
      <c r="X1070" s="59" t="str">
        <f t="shared" si="13"/>
        <v/>
      </c>
      <c r="Y1070" s="69" t="str">
        <f t="shared" si="14"/>
        <v/>
      </c>
      <c r="Z1070" s="11"/>
      <c r="AG1070" s="59"/>
    </row>
    <row r="1071">
      <c r="A1071" s="8"/>
      <c r="B1071" s="56" t="str">
        <f t="shared" si="2"/>
        <v/>
      </c>
      <c r="C1071" s="105"/>
      <c r="D1071" s="10"/>
      <c r="E1071" s="59" t="str">
        <f t="array" ref="E1071">IF(COUNTA(C1071:C1644)=0,"",SUM((COUNTIF(C$4:C1071,Upgrades!$B$3:$B$13)-COUNTIF(C$4:C1071,"Sell_"&amp;Upgrades!$B$3:$B$13))*Upgrades!$D$3:$D$13))</f>
        <v/>
      </c>
      <c r="F1071" s="66" t="str">
        <f>IFERROR(__xludf.DUMMYFUNCTION("IF(COUNTA(C1071:C1644)=0,"""",IF(REGEXMATCH(INDEX(FILTER(C$4:C1071,C$4:C1071&lt;&gt;""""),ROWS(FILTER(C$4:C1071,C$4:C1071&lt;&gt;""""))),""^Sell_""),INDEX(FILTER(F$4:F1070,C$4:C1070&lt;&gt;""""),ROWS(FILTER(C$4:C1070,C$4:C1070&lt;&gt;""""))),$AC$5+E1071))"),"")</f>
        <v/>
      </c>
      <c r="G1071" s="10" t="str">
        <f>IFERROR(__xludf.DUMMYFUNCTION("IF(COUNTA(C1071:C1644)=0,"""",IF(C1071="""",0,IF(REGEXMATCH(C1071,""^Sell_""),-ROUNDDOWN(ROUNDUP(INDEX(Upgrades!$C$3:$C$13,MATCH(SUBSTITUTE(C1071,""Sell_"",""""),Upgrades!$B$3:$B$13,0))*1.15^(COUNTIF(C$4:C1070,SUBSTITUTE(C1071,""Sell_"",""""))-COUNTIF(C$4"&amp;":C1070,""Sell_""&amp;SUBSTITUTE(C1071,""Sell_"",""""))))/2),ROUNDUP(INDEX(Upgrades!$C$3:$C$13,MATCH(C1071,Upgrades!$B$3:$B$13,0))*1.15^(COUNTIF(C$4:C1070,C1071)-COUNTIF(C$4:C1070,""Sell_""&amp;C1071))))))"),"")</f>
        <v/>
      </c>
      <c r="H1071" s="10" t="str">
        <f t="shared" si="3"/>
        <v/>
      </c>
      <c r="I1071" s="68" t="str">
        <f t="shared" si="4"/>
        <v/>
      </c>
      <c r="J1071" s="59" t="str">
        <f t="shared" si="5"/>
        <v/>
      </c>
      <c r="K1071" s="69" t="str">
        <f t="shared" si="6"/>
        <v/>
      </c>
      <c r="L1071" s="60" t="str">
        <f t="shared" si="7"/>
        <v/>
      </c>
      <c r="M1071" s="61" t="str">
        <f>IFERROR(__xludf.DUMMYFUNCTION("IFS(AND(COUNTA(C1071:C1644)=0,COUNTA(Q1071:Q1644)=0),"""",OR(AND(K1071&gt;=1000000000,OR(Y1071&gt;=1000000000,COUNTA(Q1071:Q1644)=0)),OR(Y1071&gt;=1000000000,AND(COUNTA(C1071:C1644)=0,P$3=TRUE))),
ROUNDDOWN((AB$1-AC$1)*MAX(INDEX(T$4:T1644,MATCH(LARGE(FILTER(Y$4:Y1"&amp;"644,Y$4:Y1644&lt;1000000000),1),Y$4:Y1644)),INDEX(F$4:F1644,MATCH(LARGE(FILTER(K$4:K1644,K$4:K1644&lt;1000000000),1),K$4:K1644)))),AND(K1071&lt;1000000000,COUNTA(C1071:C1644)&gt;0,P$3=FALSE),
ROUNDDOWN(INDEX(Y$4:Y1644,MATCH(LARGE(FILTER(W$4:W1644,W$4:W1644&lt;=I1071),1)"&amp;",W$4:W1644))+(I1071-LARGE(FILTER(W$4:W1644,W$4:W1644&lt;=I1071),1))*INDEX(T$4:T1644,MATCH(LARGE(FILTER(W$4:W1644,W$4:W1644&lt;=I1071),1),W$4:W1644))-K1071),1,
ROUNDDOWN(Y1071-INDEX(K$4:K1644,MATCH(LARGE(FILTER(I$4:I1644,I$4:I1644&lt;=W1071),1),I$4:I1644))-(W1071-L"&amp;"ARGE(FILTER(I$4:I1644,I$4:I1644&lt;=W1071),1))*INDEX(F$4:F1644,MATCH(LARGE(FILTER(I$4:I1644,I$4:I1644&lt;=W1071),1),I$4:I1644))))"),"")</f>
        <v/>
      </c>
      <c r="N1071" s="60" t="str">
        <f t="shared" si="8"/>
        <v/>
      </c>
      <c r="O1071" s="61" t="str">
        <f t="shared" si="9"/>
        <v/>
      </c>
      <c r="P1071" s="56" t="str">
        <f t="shared" si="10"/>
        <v/>
      </c>
      <c r="Q1071" s="105"/>
      <c r="R1071" s="10"/>
      <c r="S1071" s="59" t="str">
        <f t="array" ref="S1071">IF(COUNTA(Q1071:Q1644)=0,"",SUM((COUNTIF(Q$4:Q1071,Upgrades!$B$3:$B$13)-COUNTIF(Q$4:Q1071,"Sell_"&amp;Upgrades!$B$3:$B$13))*Upgrades!$D$3:$D$13))</f>
        <v/>
      </c>
      <c r="T1071" s="66" t="str">
        <f>IFERROR(__xludf.DUMMYFUNCTION("IF(COUNTA(Q1071:Q1644)=0,"""",IF(REGEXMATCH(INDEX(FILTER(Q$4:Q1071,Q$4:Q1071&lt;&gt;""""),ROWS(FILTER(Q$4:Q1071,Q$4:Q1071&lt;&gt;""""))),""^Sell_""),INDEX(FILTER(T$4:T1070,Q$4:Q1070&lt;&gt;""""),ROWS(FILTER(Q$4:Q1070,Q$4:Q1070&lt;&gt;""""))),$AD$5+S1071))"),"")</f>
        <v/>
      </c>
      <c r="U1071" s="10" t="str">
        <f>IFERROR(__xludf.DUMMYFUNCTION("IF(COUNTA(Q1071:Q1644)=0,"""",IF(Q1071="""",0,IF(REGEXMATCH(Q1071,""^Sell_""),-ROUNDDOWN(ROUNDUP(INDEX(Upgrades!$C$3:$C$13,MATCH(SUBSTITUTE(Q1071,""Sell_"",""""),Upgrades!$B$3:$B$13,0))*1.15^(COUNTIF(Q$4:Q1070,SUBSTITUTE(Q1071,""Sell_"",""""))-COUNTIF(Q$4"&amp;":Q1070,""Sell_""&amp;SUBSTITUTE(Q1071,""Sell_"",""""))))/2),ROUNDUP(INDEX(Upgrades!$C$3:$C$13,MATCH(Q1071,Upgrades!$B$3:$B$13,0))*1.15^(COUNTIF(Q$4:Q1070,Q1071)-COUNTIF(Q$4:Q1070,""Sell_""&amp;Q1071))))))"),"")</f>
        <v/>
      </c>
      <c r="V1071" s="10" t="str">
        <f t="shared" si="11"/>
        <v/>
      </c>
      <c r="W1071" s="68" t="str">
        <f t="shared" si="12"/>
        <v/>
      </c>
      <c r="X1071" s="59" t="str">
        <f t="shared" si="13"/>
        <v/>
      </c>
      <c r="Y1071" s="69" t="str">
        <f t="shared" si="14"/>
        <v/>
      </c>
      <c r="Z1071" s="11"/>
      <c r="AG1071" s="59"/>
    </row>
    <row r="1072">
      <c r="A1072" s="8"/>
      <c r="B1072" s="56" t="str">
        <f t="shared" si="2"/>
        <v/>
      </c>
      <c r="C1072" s="105"/>
      <c r="D1072" s="10"/>
      <c r="E1072" s="59" t="str">
        <f t="array" ref="E1072">IF(COUNTA(C1072:C1644)=0,"",SUM((COUNTIF(C$4:C1072,Upgrades!$B$3:$B$13)-COUNTIF(C$4:C1072,"Sell_"&amp;Upgrades!$B$3:$B$13))*Upgrades!$D$3:$D$13))</f>
        <v/>
      </c>
      <c r="F1072" s="66" t="str">
        <f>IFERROR(__xludf.DUMMYFUNCTION("IF(COUNTA(C1072:C1644)=0,"""",IF(REGEXMATCH(INDEX(FILTER(C$4:C1072,C$4:C1072&lt;&gt;""""),ROWS(FILTER(C$4:C1072,C$4:C1072&lt;&gt;""""))),""^Sell_""),INDEX(FILTER(F$4:F1071,C$4:C1071&lt;&gt;""""),ROWS(FILTER(C$4:C1071,C$4:C1071&lt;&gt;""""))),$AC$5+E1072))"),"")</f>
        <v/>
      </c>
      <c r="G1072" s="10" t="str">
        <f>IFERROR(__xludf.DUMMYFUNCTION("IF(COUNTA(C1072:C1644)=0,"""",IF(C1072="""",0,IF(REGEXMATCH(C1072,""^Sell_""),-ROUNDDOWN(ROUNDUP(INDEX(Upgrades!$C$3:$C$13,MATCH(SUBSTITUTE(C1072,""Sell_"",""""),Upgrades!$B$3:$B$13,0))*1.15^(COUNTIF(C$4:C1071,SUBSTITUTE(C1072,""Sell_"",""""))-COUNTIF(C$4"&amp;":C1071,""Sell_""&amp;SUBSTITUTE(C1072,""Sell_"",""""))))/2),ROUNDUP(INDEX(Upgrades!$C$3:$C$13,MATCH(C1072,Upgrades!$B$3:$B$13,0))*1.15^(COUNTIF(C$4:C1071,C1072)-COUNTIF(C$4:C1071,""Sell_""&amp;C1072))))))"),"")</f>
        <v/>
      </c>
      <c r="H1072" s="10" t="str">
        <f t="shared" si="3"/>
        <v/>
      </c>
      <c r="I1072" s="68" t="str">
        <f t="shared" si="4"/>
        <v/>
      </c>
      <c r="J1072" s="59" t="str">
        <f t="shared" si="5"/>
        <v/>
      </c>
      <c r="K1072" s="69" t="str">
        <f t="shared" si="6"/>
        <v/>
      </c>
      <c r="L1072" s="60" t="str">
        <f t="shared" si="7"/>
        <v/>
      </c>
      <c r="M1072" s="61" t="str">
        <f>IFERROR(__xludf.DUMMYFUNCTION("IFS(AND(COUNTA(C1072:C1644)=0,COUNTA(Q1072:Q1644)=0),"""",OR(AND(K1072&gt;=1000000000,OR(Y1072&gt;=1000000000,COUNTA(Q1072:Q1644)=0)),OR(Y1072&gt;=1000000000,AND(COUNTA(C1072:C1644)=0,P$3=TRUE))),
ROUNDDOWN((AB$1-AC$1)*MAX(INDEX(T$4:T1644,MATCH(LARGE(FILTER(Y$4:Y1"&amp;"644,Y$4:Y1644&lt;1000000000),1),Y$4:Y1644)),INDEX(F$4:F1644,MATCH(LARGE(FILTER(K$4:K1644,K$4:K1644&lt;1000000000),1),K$4:K1644)))),AND(K1072&lt;1000000000,COUNTA(C1072:C1644)&gt;0,P$3=FALSE),
ROUNDDOWN(INDEX(Y$4:Y1644,MATCH(LARGE(FILTER(W$4:W1644,W$4:W1644&lt;=I1072),1)"&amp;",W$4:W1644))+(I1072-LARGE(FILTER(W$4:W1644,W$4:W1644&lt;=I1072),1))*INDEX(T$4:T1644,MATCH(LARGE(FILTER(W$4:W1644,W$4:W1644&lt;=I1072),1),W$4:W1644))-K1072),1,
ROUNDDOWN(Y1072-INDEX(K$4:K1644,MATCH(LARGE(FILTER(I$4:I1644,I$4:I1644&lt;=W1072),1),I$4:I1644))-(W1072-L"&amp;"ARGE(FILTER(I$4:I1644,I$4:I1644&lt;=W1072),1))*INDEX(F$4:F1644,MATCH(LARGE(FILTER(I$4:I1644,I$4:I1644&lt;=W1072),1),I$4:I1644))))"),"")</f>
        <v/>
      </c>
      <c r="N1072" s="60" t="str">
        <f t="shared" si="8"/>
        <v/>
      </c>
      <c r="O1072" s="61" t="str">
        <f t="shared" si="9"/>
        <v/>
      </c>
      <c r="P1072" s="56" t="str">
        <f t="shared" si="10"/>
        <v/>
      </c>
      <c r="Q1072" s="105"/>
      <c r="R1072" s="10"/>
      <c r="S1072" s="59" t="str">
        <f t="array" ref="S1072">IF(COUNTA(Q1072:Q1644)=0,"",SUM((COUNTIF(Q$4:Q1072,Upgrades!$B$3:$B$13)-COUNTIF(Q$4:Q1072,"Sell_"&amp;Upgrades!$B$3:$B$13))*Upgrades!$D$3:$D$13))</f>
        <v/>
      </c>
      <c r="T1072" s="66" t="str">
        <f>IFERROR(__xludf.DUMMYFUNCTION("IF(COUNTA(Q1072:Q1644)=0,"""",IF(REGEXMATCH(INDEX(FILTER(Q$4:Q1072,Q$4:Q1072&lt;&gt;""""),ROWS(FILTER(Q$4:Q1072,Q$4:Q1072&lt;&gt;""""))),""^Sell_""),INDEX(FILTER(T$4:T1071,Q$4:Q1071&lt;&gt;""""),ROWS(FILTER(Q$4:Q1071,Q$4:Q1071&lt;&gt;""""))),$AD$5+S1072))"),"")</f>
        <v/>
      </c>
      <c r="U1072" s="10" t="str">
        <f>IFERROR(__xludf.DUMMYFUNCTION("IF(COUNTA(Q1072:Q1644)=0,"""",IF(Q1072="""",0,IF(REGEXMATCH(Q1072,""^Sell_""),-ROUNDDOWN(ROUNDUP(INDEX(Upgrades!$C$3:$C$13,MATCH(SUBSTITUTE(Q1072,""Sell_"",""""),Upgrades!$B$3:$B$13,0))*1.15^(COUNTIF(Q$4:Q1071,SUBSTITUTE(Q1072,""Sell_"",""""))-COUNTIF(Q$4"&amp;":Q1071,""Sell_""&amp;SUBSTITUTE(Q1072,""Sell_"",""""))))/2),ROUNDUP(INDEX(Upgrades!$C$3:$C$13,MATCH(Q1072,Upgrades!$B$3:$B$13,0))*1.15^(COUNTIF(Q$4:Q1071,Q1072)-COUNTIF(Q$4:Q1071,""Sell_""&amp;Q1072))))))"),"")</f>
        <v/>
      </c>
      <c r="V1072" s="10" t="str">
        <f t="shared" si="11"/>
        <v/>
      </c>
      <c r="W1072" s="68" t="str">
        <f t="shared" si="12"/>
        <v/>
      </c>
      <c r="X1072" s="59" t="str">
        <f t="shared" si="13"/>
        <v/>
      </c>
      <c r="Y1072" s="69" t="str">
        <f t="shared" si="14"/>
        <v/>
      </c>
      <c r="Z1072" s="11"/>
      <c r="AG1072" s="59"/>
    </row>
    <row r="1073">
      <c r="A1073" s="8"/>
      <c r="B1073" s="56" t="str">
        <f t="shared" si="2"/>
        <v/>
      </c>
      <c r="C1073" s="105"/>
      <c r="D1073" s="10"/>
      <c r="E1073" s="59" t="str">
        <f t="array" ref="E1073">IF(COUNTA(C1073:C1644)=0,"",SUM((COUNTIF(C$4:C1073,Upgrades!$B$3:$B$13)-COUNTIF(C$4:C1073,"Sell_"&amp;Upgrades!$B$3:$B$13))*Upgrades!$D$3:$D$13))</f>
        <v/>
      </c>
      <c r="F1073" s="66" t="str">
        <f>IFERROR(__xludf.DUMMYFUNCTION("IF(COUNTA(C1073:C1644)=0,"""",IF(REGEXMATCH(INDEX(FILTER(C$4:C1073,C$4:C1073&lt;&gt;""""),ROWS(FILTER(C$4:C1073,C$4:C1073&lt;&gt;""""))),""^Sell_""),INDEX(FILTER(F$4:F1072,C$4:C1072&lt;&gt;""""),ROWS(FILTER(C$4:C1072,C$4:C1072&lt;&gt;""""))),$AC$5+E1073))"),"")</f>
        <v/>
      </c>
      <c r="G1073" s="10" t="str">
        <f>IFERROR(__xludf.DUMMYFUNCTION("IF(COUNTA(C1073:C1644)=0,"""",IF(C1073="""",0,IF(REGEXMATCH(C1073,""^Sell_""),-ROUNDDOWN(ROUNDUP(INDEX(Upgrades!$C$3:$C$13,MATCH(SUBSTITUTE(C1073,""Sell_"",""""),Upgrades!$B$3:$B$13,0))*1.15^(COUNTIF(C$4:C1072,SUBSTITUTE(C1073,""Sell_"",""""))-COUNTIF(C$4"&amp;":C1072,""Sell_""&amp;SUBSTITUTE(C1073,""Sell_"",""""))))/2),ROUNDUP(INDEX(Upgrades!$C$3:$C$13,MATCH(C1073,Upgrades!$B$3:$B$13,0))*1.15^(COUNTIF(C$4:C1072,C1073)-COUNTIF(C$4:C1072,""Sell_""&amp;C1073))))))"),"")</f>
        <v/>
      </c>
      <c r="H1073" s="10" t="str">
        <f t="shared" si="3"/>
        <v/>
      </c>
      <c r="I1073" s="68" t="str">
        <f t="shared" si="4"/>
        <v/>
      </c>
      <c r="J1073" s="59" t="str">
        <f t="shared" si="5"/>
        <v/>
      </c>
      <c r="K1073" s="69" t="str">
        <f t="shared" si="6"/>
        <v/>
      </c>
      <c r="L1073" s="60" t="str">
        <f t="shared" si="7"/>
        <v/>
      </c>
      <c r="M1073" s="61" t="str">
        <f>IFERROR(__xludf.DUMMYFUNCTION("IFS(AND(COUNTA(C1073:C1644)=0,COUNTA(Q1073:Q1644)=0),"""",OR(AND(K1073&gt;=1000000000,OR(Y1073&gt;=1000000000,COUNTA(Q1073:Q1644)=0)),OR(Y1073&gt;=1000000000,AND(COUNTA(C1073:C1644)=0,P$3=TRUE))),
ROUNDDOWN((AB$1-AC$1)*MAX(INDEX(T$4:T1644,MATCH(LARGE(FILTER(Y$4:Y1"&amp;"644,Y$4:Y1644&lt;1000000000),1),Y$4:Y1644)),INDEX(F$4:F1644,MATCH(LARGE(FILTER(K$4:K1644,K$4:K1644&lt;1000000000),1),K$4:K1644)))),AND(K1073&lt;1000000000,COUNTA(C1073:C1644)&gt;0,P$3=FALSE),
ROUNDDOWN(INDEX(Y$4:Y1644,MATCH(LARGE(FILTER(W$4:W1644,W$4:W1644&lt;=I1073),1)"&amp;",W$4:W1644))+(I1073-LARGE(FILTER(W$4:W1644,W$4:W1644&lt;=I1073),1))*INDEX(T$4:T1644,MATCH(LARGE(FILTER(W$4:W1644,W$4:W1644&lt;=I1073),1),W$4:W1644))-K1073),1,
ROUNDDOWN(Y1073-INDEX(K$4:K1644,MATCH(LARGE(FILTER(I$4:I1644,I$4:I1644&lt;=W1073),1),I$4:I1644))-(W1073-L"&amp;"ARGE(FILTER(I$4:I1644,I$4:I1644&lt;=W1073),1))*INDEX(F$4:F1644,MATCH(LARGE(FILTER(I$4:I1644,I$4:I1644&lt;=W1073),1),I$4:I1644))))"),"")</f>
        <v/>
      </c>
      <c r="N1073" s="60" t="str">
        <f t="shared" si="8"/>
        <v/>
      </c>
      <c r="O1073" s="61" t="str">
        <f t="shared" si="9"/>
        <v/>
      </c>
      <c r="P1073" s="56" t="str">
        <f t="shared" si="10"/>
        <v/>
      </c>
      <c r="Q1073" s="105"/>
      <c r="R1073" s="10"/>
      <c r="S1073" s="59" t="str">
        <f t="array" ref="S1073">IF(COUNTA(Q1073:Q1644)=0,"",SUM((COUNTIF(Q$4:Q1073,Upgrades!$B$3:$B$13)-COUNTIF(Q$4:Q1073,"Sell_"&amp;Upgrades!$B$3:$B$13))*Upgrades!$D$3:$D$13))</f>
        <v/>
      </c>
      <c r="T1073" s="66" t="str">
        <f>IFERROR(__xludf.DUMMYFUNCTION("IF(COUNTA(Q1073:Q1644)=0,"""",IF(REGEXMATCH(INDEX(FILTER(Q$4:Q1073,Q$4:Q1073&lt;&gt;""""),ROWS(FILTER(Q$4:Q1073,Q$4:Q1073&lt;&gt;""""))),""^Sell_""),INDEX(FILTER(T$4:T1072,Q$4:Q1072&lt;&gt;""""),ROWS(FILTER(Q$4:Q1072,Q$4:Q1072&lt;&gt;""""))),$AD$5+S1073))"),"")</f>
        <v/>
      </c>
      <c r="U1073" s="10" t="str">
        <f>IFERROR(__xludf.DUMMYFUNCTION("IF(COUNTA(Q1073:Q1644)=0,"""",IF(Q1073="""",0,IF(REGEXMATCH(Q1073,""^Sell_""),-ROUNDDOWN(ROUNDUP(INDEX(Upgrades!$C$3:$C$13,MATCH(SUBSTITUTE(Q1073,""Sell_"",""""),Upgrades!$B$3:$B$13,0))*1.15^(COUNTIF(Q$4:Q1072,SUBSTITUTE(Q1073,""Sell_"",""""))-COUNTIF(Q$4"&amp;":Q1072,""Sell_""&amp;SUBSTITUTE(Q1073,""Sell_"",""""))))/2),ROUNDUP(INDEX(Upgrades!$C$3:$C$13,MATCH(Q1073,Upgrades!$B$3:$B$13,0))*1.15^(COUNTIF(Q$4:Q1072,Q1073)-COUNTIF(Q$4:Q1072,""Sell_""&amp;Q1073))))))"),"")</f>
        <v/>
      </c>
      <c r="V1073" s="10" t="str">
        <f t="shared" si="11"/>
        <v/>
      </c>
      <c r="W1073" s="68" t="str">
        <f t="shared" si="12"/>
        <v/>
      </c>
      <c r="X1073" s="59" t="str">
        <f t="shared" si="13"/>
        <v/>
      </c>
      <c r="Y1073" s="69" t="str">
        <f t="shared" si="14"/>
        <v/>
      </c>
      <c r="Z1073" s="11"/>
      <c r="AG1073" s="59"/>
    </row>
    <row r="1074">
      <c r="A1074" s="8"/>
      <c r="B1074" s="56" t="str">
        <f t="shared" si="2"/>
        <v/>
      </c>
      <c r="C1074" s="105"/>
      <c r="D1074" s="10"/>
      <c r="E1074" s="59" t="str">
        <f t="array" ref="E1074">IF(COUNTA(C1074:C1644)=0,"",SUM((COUNTIF(C$4:C1074,Upgrades!$B$3:$B$13)-COUNTIF(C$4:C1074,"Sell_"&amp;Upgrades!$B$3:$B$13))*Upgrades!$D$3:$D$13))</f>
        <v/>
      </c>
      <c r="F1074" s="66" t="str">
        <f>IFERROR(__xludf.DUMMYFUNCTION("IF(COUNTA(C1074:C1644)=0,"""",IF(REGEXMATCH(INDEX(FILTER(C$4:C1074,C$4:C1074&lt;&gt;""""),ROWS(FILTER(C$4:C1074,C$4:C1074&lt;&gt;""""))),""^Sell_""),INDEX(FILTER(F$4:F1073,C$4:C1073&lt;&gt;""""),ROWS(FILTER(C$4:C1073,C$4:C1073&lt;&gt;""""))),$AC$5+E1074))"),"")</f>
        <v/>
      </c>
      <c r="G1074" s="10" t="str">
        <f>IFERROR(__xludf.DUMMYFUNCTION("IF(COUNTA(C1074:C1644)=0,"""",IF(C1074="""",0,IF(REGEXMATCH(C1074,""^Sell_""),-ROUNDDOWN(ROUNDUP(INDEX(Upgrades!$C$3:$C$13,MATCH(SUBSTITUTE(C1074,""Sell_"",""""),Upgrades!$B$3:$B$13,0))*1.15^(COUNTIF(C$4:C1073,SUBSTITUTE(C1074,""Sell_"",""""))-COUNTIF(C$4"&amp;":C1073,""Sell_""&amp;SUBSTITUTE(C1074,""Sell_"",""""))))/2),ROUNDUP(INDEX(Upgrades!$C$3:$C$13,MATCH(C1074,Upgrades!$B$3:$B$13,0))*1.15^(COUNTIF(C$4:C1073,C1074)-COUNTIF(C$4:C1073,""Sell_""&amp;C1074))))))"),"")</f>
        <v/>
      </c>
      <c r="H1074" s="10" t="str">
        <f t="shared" si="3"/>
        <v/>
      </c>
      <c r="I1074" s="68" t="str">
        <f t="shared" si="4"/>
        <v/>
      </c>
      <c r="J1074" s="59" t="str">
        <f t="shared" si="5"/>
        <v/>
      </c>
      <c r="K1074" s="69" t="str">
        <f t="shared" si="6"/>
        <v/>
      </c>
      <c r="L1074" s="60" t="str">
        <f t="shared" si="7"/>
        <v/>
      </c>
      <c r="M1074" s="61" t="str">
        <f>IFERROR(__xludf.DUMMYFUNCTION("IFS(AND(COUNTA(C1074:C1644)=0,COUNTA(Q1074:Q1644)=0),"""",OR(AND(K1074&gt;=1000000000,OR(Y1074&gt;=1000000000,COUNTA(Q1074:Q1644)=0)),OR(Y1074&gt;=1000000000,AND(COUNTA(C1074:C1644)=0,P$3=TRUE))),
ROUNDDOWN((AB$1-AC$1)*MAX(INDEX(T$4:T1644,MATCH(LARGE(FILTER(Y$4:Y1"&amp;"644,Y$4:Y1644&lt;1000000000),1),Y$4:Y1644)),INDEX(F$4:F1644,MATCH(LARGE(FILTER(K$4:K1644,K$4:K1644&lt;1000000000),1),K$4:K1644)))),AND(K1074&lt;1000000000,COUNTA(C1074:C1644)&gt;0,P$3=FALSE),
ROUNDDOWN(INDEX(Y$4:Y1644,MATCH(LARGE(FILTER(W$4:W1644,W$4:W1644&lt;=I1074),1)"&amp;",W$4:W1644))+(I1074-LARGE(FILTER(W$4:W1644,W$4:W1644&lt;=I1074),1))*INDEX(T$4:T1644,MATCH(LARGE(FILTER(W$4:W1644,W$4:W1644&lt;=I1074),1),W$4:W1644))-K1074),1,
ROUNDDOWN(Y1074-INDEX(K$4:K1644,MATCH(LARGE(FILTER(I$4:I1644,I$4:I1644&lt;=W1074),1),I$4:I1644))-(W1074-L"&amp;"ARGE(FILTER(I$4:I1644,I$4:I1644&lt;=W1074),1))*INDEX(F$4:F1644,MATCH(LARGE(FILTER(I$4:I1644,I$4:I1644&lt;=W1074),1),I$4:I1644))))"),"")</f>
        <v/>
      </c>
      <c r="N1074" s="60" t="str">
        <f t="shared" si="8"/>
        <v/>
      </c>
      <c r="O1074" s="61" t="str">
        <f t="shared" si="9"/>
        <v/>
      </c>
      <c r="P1074" s="56" t="str">
        <f t="shared" si="10"/>
        <v/>
      </c>
      <c r="Q1074" s="105"/>
      <c r="R1074" s="10"/>
      <c r="S1074" s="59" t="str">
        <f t="array" ref="S1074">IF(COUNTA(Q1074:Q1644)=0,"",SUM((COUNTIF(Q$4:Q1074,Upgrades!$B$3:$B$13)-COUNTIF(Q$4:Q1074,"Sell_"&amp;Upgrades!$B$3:$B$13))*Upgrades!$D$3:$D$13))</f>
        <v/>
      </c>
      <c r="T1074" s="66" t="str">
        <f>IFERROR(__xludf.DUMMYFUNCTION("IF(COUNTA(Q1074:Q1644)=0,"""",IF(REGEXMATCH(INDEX(FILTER(Q$4:Q1074,Q$4:Q1074&lt;&gt;""""),ROWS(FILTER(Q$4:Q1074,Q$4:Q1074&lt;&gt;""""))),""^Sell_""),INDEX(FILTER(T$4:T1073,Q$4:Q1073&lt;&gt;""""),ROWS(FILTER(Q$4:Q1073,Q$4:Q1073&lt;&gt;""""))),$AD$5+S1074))"),"")</f>
        <v/>
      </c>
      <c r="U1074" s="10" t="str">
        <f>IFERROR(__xludf.DUMMYFUNCTION("IF(COUNTA(Q1074:Q1644)=0,"""",IF(Q1074="""",0,IF(REGEXMATCH(Q1074,""^Sell_""),-ROUNDDOWN(ROUNDUP(INDEX(Upgrades!$C$3:$C$13,MATCH(SUBSTITUTE(Q1074,""Sell_"",""""),Upgrades!$B$3:$B$13,0))*1.15^(COUNTIF(Q$4:Q1073,SUBSTITUTE(Q1074,""Sell_"",""""))-COUNTIF(Q$4"&amp;":Q1073,""Sell_""&amp;SUBSTITUTE(Q1074,""Sell_"",""""))))/2),ROUNDUP(INDEX(Upgrades!$C$3:$C$13,MATCH(Q1074,Upgrades!$B$3:$B$13,0))*1.15^(COUNTIF(Q$4:Q1073,Q1074)-COUNTIF(Q$4:Q1073,""Sell_""&amp;Q1074))))))"),"")</f>
        <v/>
      </c>
      <c r="V1074" s="10" t="str">
        <f t="shared" si="11"/>
        <v/>
      </c>
      <c r="W1074" s="68" t="str">
        <f t="shared" si="12"/>
        <v/>
      </c>
      <c r="X1074" s="59" t="str">
        <f t="shared" si="13"/>
        <v/>
      </c>
      <c r="Y1074" s="69" t="str">
        <f t="shared" si="14"/>
        <v/>
      </c>
      <c r="Z1074" s="11"/>
      <c r="AG1074" s="59"/>
    </row>
    <row r="1075">
      <c r="A1075" s="8"/>
      <c r="B1075" s="56" t="str">
        <f t="shared" si="2"/>
        <v/>
      </c>
      <c r="C1075" s="105"/>
      <c r="D1075" s="10"/>
      <c r="E1075" s="59" t="str">
        <f t="array" ref="E1075">IF(COUNTA(C1075:C1644)=0,"",SUM((COUNTIF(C$4:C1075,Upgrades!$B$3:$B$13)-COUNTIF(C$4:C1075,"Sell_"&amp;Upgrades!$B$3:$B$13))*Upgrades!$D$3:$D$13))</f>
        <v/>
      </c>
      <c r="F1075" s="66" t="str">
        <f>IFERROR(__xludf.DUMMYFUNCTION("IF(COUNTA(C1075:C1644)=0,"""",IF(REGEXMATCH(INDEX(FILTER(C$4:C1075,C$4:C1075&lt;&gt;""""),ROWS(FILTER(C$4:C1075,C$4:C1075&lt;&gt;""""))),""^Sell_""),INDEX(FILTER(F$4:F1074,C$4:C1074&lt;&gt;""""),ROWS(FILTER(C$4:C1074,C$4:C1074&lt;&gt;""""))),$AC$5+E1075))"),"")</f>
        <v/>
      </c>
      <c r="G1075" s="10" t="str">
        <f>IFERROR(__xludf.DUMMYFUNCTION("IF(COUNTA(C1075:C1644)=0,"""",IF(C1075="""",0,IF(REGEXMATCH(C1075,""^Sell_""),-ROUNDDOWN(ROUNDUP(INDEX(Upgrades!$C$3:$C$13,MATCH(SUBSTITUTE(C1075,""Sell_"",""""),Upgrades!$B$3:$B$13,0))*1.15^(COUNTIF(C$4:C1074,SUBSTITUTE(C1075,""Sell_"",""""))-COUNTIF(C$4"&amp;":C1074,""Sell_""&amp;SUBSTITUTE(C1075,""Sell_"",""""))))/2),ROUNDUP(INDEX(Upgrades!$C$3:$C$13,MATCH(C1075,Upgrades!$B$3:$B$13,0))*1.15^(COUNTIF(C$4:C1074,C1075)-COUNTIF(C$4:C1074,""Sell_""&amp;C1075))))))"),"")</f>
        <v/>
      </c>
      <c r="H1075" s="10" t="str">
        <f t="shared" si="3"/>
        <v/>
      </c>
      <c r="I1075" s="68" t="str">
        <f t="shared" si="4"/>
        <v/>
      </c>
      <c r="J1075" s="59" t="str">
        <f t="shared" si="5"/>
        <v/>
      </c>
      <c r="K1075" s="69" t="str">
        <f t="shared" si="6"/>
        <v/>
      </c>
      <c r="L1075" s="60" t="str">
        <f t="shared" si="7"/>
        <v/>
      </c>
      <c r="M1075" s="61" t="str">
        <f>IFERROR(__xludf.DUMMYFUNCTION("IFS(AND(COUNTA(C1075:C1644)=0,COUNTA(Q1075:Q1644)=0),"""",OR(AND(K1075&gt;=1000000000,OR(Y1075&gt;=1000000000,COUNTA(Q1075:Q1644)=0)),OR(Y1075&gt;=1000000000,AND(COUNTA(C1075:C1644)=0,P$3=TRUE))),
ROUNDDOWN((AB$1-AC$1)*MAX(INDEX(T$4:T1644,MATCH(LARGE(FILTER(Y$4:Y1"&amp;"644,Y$4:Y1644&lt;1000000000),1),Y$4:Y1644)),INDEX(F$4:F1644,MATCH(LARGE(FILTER(K$4:K1644,K$4:K1644&lt;1000000000),1),K$4:K1644)))),AND(K1075&lt;1000000000,COUNTA(C1075:C1644)&gt;0,P$3=FALSE),
ROUNDDOWN(INDEX(Y$4:Y1644,MATCH(LARGE(FILTER(W$4:W1644,W$4:W1644&lt;=I1075),1)"&amp;",W$4:W1644))+(I1075-LARGE(FILTER(W$4:W1644,W$4:W1644&lt;=I1075),1))*INDEX(T$4:T1644,MATCH(LARGE(FILTER(W$4:W1644,W$4:W1644&lt;=I1075),1),W$4:W1644))-K1075),1,
ROUNDDOWN(Y1075-INDEX(K$4:K1644,MATCH(LARGE(FILTER(I$4:I1644,I$4:I1644&lt;=W1075),1),I$4:I1644))-(W1075-L"&amp;"ARGE(FILTER(I$4:I1644,I$4:I1644&lt;=W1075),1))*INDEX(F$4:F1644,MATCH(LARGE(FILTER(I$4:I1644,I$4:I1644&lt;=W1075),1),I$4:I1644))))"),"")</f>
        <v/>
      </c>
      <c r="N1075" s="60" t="str">
        <f t="shared" si="8"/>
        <v/>
      </c>
      <c r="O1075" s="61" t="str">
        <f t="shared" si="9"/>
        <v/>
      </c>
      <c r="P1075" s="56" t="str">
        <f t="shared" si="10"/>
        <v/>
      </c>
      <c r="Q1075" s="105"/>
      <c r="R1075" s="10"/>
      <c r="S1075" s="59" t="str">
        <f t="array" ref="S1075">IF(COUNTA(Q1075:Q1644)=0,"",SUM((COUNTIF(Q$4:Q1075,Upgrades!$B$3:$B$13)-COUNTIF(Q$4:Q1075,"Sell_"&amp;Upgrades!$B$3:$B$13))*Upgrades!$D$3:$D$13))</f>
        <v/>
      </c>
      <c r="T1075" s="66" t="str">
        <f>IFERROR(__xludf.DUMMYFUNCTION("IF(COUNTA(Q1075:Q1644)=0,"""",IF(REGEXMATCH(INDEX(FILTER(Q$4:Q1075,Q$4:Q1075&lt;&gt;""""),ROWS(FILTER(Q$4:Q1075,Q$4:Q1075&lt;&gt;""""))),""^Sell_""),INDEX(FILTER(T$4:T1074,Q$4:Q1074&lt;&gt;""""),ROWS(FILTER(Q$4:Q1074,Q$4:Q1074&lt;&gt;""""))),$AD$5+S1075))"),"")</f>
        <v/>
      </c>
      <c r="U1075" s="10" t="str">
        <f>IFERROR(__xludf.DUMMYFUNCTION("IF(COUNTA(Q1075:Q1644)=0,"""",IF(Q1075="""",0,IF(REGEXMATCH(Q1075,""^Sell_""),-ROUNDDOWN(ROUNDUP(INDEX(Upgrades!$C$3:$C$13,MATCH(SUBSTITUTE(Q1075,""Sell_"",""""),Upgrades!$B$3:$B$13,0))*1.15^(COUNTIF(Q$4:Q1074,SUBSTITUTE(Q1075,""Sell_"",""""))-COUNTIF(Q$4"&amp;":Q1074,""Sell_""&amp;SUBSTITUTE(Q1075,""Sell_"",""""))))/2),ROUNDUP(INDEX(Upgrades!$C$3:$C$13,MATCH(Q1075,Upgrades!$B$3:$B$13,0))*1.15^(COUNTIF(Q$4:Q1074,Q1075)-COUNTIF(Q$4:Q1074,""Sell_""&amp;Q1075))))))"),"")</f>
        <v/>
      </c>
      <c r="V1075" s="10" t="str">
        <f t="shared" si="11"/>
        <v/>
      </c>
      <c r="W1075" s="68" t="str">
        <f t="shared" si="12"/>
        <v/>
      </c>
      <c r="X1075" s="59" t="str">
        <f t="shared" si="13"/>
        <v/>
      </c>
      <c r="Y1075" s="69" t="str">
        <f t="shared" si="14"/>
        <v/>
      </c>
      <c r="Z1075" s="11"/>
      <c r="AG1075" s="59"/>
    </row>
    <row r="1076">
      <c r="A1076" s="8"/>
      <c r="B1076" s="56" t="str">
        <f t="shared" si="2"/>
        <v/>
      </c>
      <c r="C1076" s="105"/>
      <c r="D1076" s="10"/>
      <c r="E1076" s="59" t="str">
        <f t="array" ref="E1076">IF(COUNTA(C1076:C1644)=0,"",SUM((COUNTIF(C$4:C1076,Upgrades!$B$3:$B$13)-COUNTIF(C$4:C1076,"Sell_"&amp;Upgrades!$B$3:$B$13))*Upgrades!$D$3:$D$13))</f>
        <v/>
      </c>
      <c r="F1076" s="66" t="str">
        <f>IFERROR(__xludf.DUMMYFUNCTION("IF(COUNTA(C1076:C1644)=0,"""",IF(REGEXMATCH(INDEX(FILTER(C$4:C1076,C$4:C1076&lt;&gt;""""),ROWS(FILTER(C$4:C1076,C$4:C1076&lt;&gt;""""))),""^Sell_""),INDEX(FILTER(F$4:F1075,C$4:C1075&lt;&gt;""""),ROWS(FILTER(C$4:C1075,C$4:C1075&lt;&gt;""""))),$AC$5+E1076))"),"")</f>
        <v/>
      </c>
      <c r="G1076" s="10" t="str">
        <f>IFERROR(__xludf.DUMMYFUNCTION("IF(COUNTA(C1076:C1644)=0,"""",IF(C1076="""",0,IF(REGEXMATCH(C1076,""^Sell_""),-ROUNDDOWN(ROUNDUP(INDEX(Upgrades!$C$3:$C$13,MATCH(SUBSTITUTE(C1076,""Sell_"",""""),Upgrades!$B$3:$B$13,0))*1.15^(COUNTIF(C$4:C1075,SUBSTITUTE(C1076,""Sell_"",""""))-COUNTIF(C$4"&amp;":C1075,""Sell_""&amp;SUBSTITUTE(C1076,""Sell_"",""""))))/2),ROUNDUP(INDEX(Upgrades!$C$3:$C$13,MATCH(C1076,Upgrades!$B$3:$B$13,0))*1.15^(COUNTIF(C$4:C1075,C1076)-COUNTIF(C$4:C1075,""Sell_""&amp;C1076))))))"),"")</f>
        <v/>
      </c>
      <c r="H1076" s="10" t="str">
        <f t="shared" si="3"/>
        <v/>
      </c>
      <c r="I1076" s="68" t="str">
        <f t="shared" si="4"/>
        <v/>
      </c>
      <c r="J1076" s="59" t="str">
        <f t="shared" si="5"/>
        <v/>
      </c>
      <c r="K1076" s="69" t="str">
        <f t="shared" si="6"/>
        <v/>
      </c>
      <c r="L1076" s="60" t="str">
        <f t="shared" si="7"/>
        <v/>
      </c>
      <c r="M1076" s="61" t="str">
        <f>IFERROR(__xludf.DUMMYFUNCTION("IFS(AND(COUNTA(C1076:C1644)=0,COUNTA(Q1076:Q1644)=0),"""",OR(AND(K1076&gt;=1000000000,OR(Y1076&gt;=1000000000,COUNTA(Q1076:Q1644)=0)),OR(Y1076&gt;=1000000000,AND(COUNTA(C1076:C1644)=0,P$3=TRUE))),
ROUNDDOWN((AB$1-AC$1)*MAX(INDEX(T$4:T1644,MATCH(LARGE(FILTER(Y$4:Y1"&amp;"644,Y$4:Y1644&lt;1000000000),1),Y$4:Y1644)),INDEX(F$4:F1644,MATCH(LARGE(FILTER(K$4:K1644,K$4:K1644&lt;1000000000),1),K$4:K1644)))),AND(K1076&lt;1000000000,COUNTA(C1076:C1644)&gt;0,P$3=FALSE),
ROUNDDOWN(INDEX(Y$4:Y1644,MATCH(LARGE(FILTER(W$4:W1644,W$4:W1644&lt;=I1076),1)"&amp;",W$4:W1644))+(I1076-LARGE(FILTER(W$4:W1644,W$4:W1644&lt;=I1076),1))*INDEX(T$4:T1644,MATCH(LARGE(FILTER(W$4:W1644,W$4:W1644&lt;=I1076),1),W$4:W1644))-K1076),1,
ROUNDDOWN(Y1076-INDEX(K$4:K1644,MATCH(LARGE(FILTER(I$4:I1644,I$4:I1644&lt;=W1076),1),I$4:I1644))-(W1076-L"&amp;"ARGE(FILTER(I$4:I1644,I$4:I1644&lt;=W1076),1))*INDEX(F$4:F1644,MATCH(LARGE(FILTER(I$4:I1644,I$4:I1644&lt;=W1076),1),I$4:I1644))))"),"")</f>
        <v/>
      </c>
      <c r="N1076" s="60" t="str">
        <f t="shared" si="8"/>
        <v/>
      </c>
      <c r="O1076" s="61" t="str">
        <f t="shared" si="9"/>
        <v/>
      </c>
      <c r="P1076" s="56" t="str">
        <f t="shared" si="10"/>
        <v/>
      </c>
      <c r="Q1076" s="105"/>
      <c r="R1076" s="10"/>
      <c r="S1076" s="59" t="str">
        <f t="array" ref="S1076">IF(COUNTA(Q1076:Q1644)=0,"",SUM((COUNTIF(Q$4:Q1076,Upgrades!$B$3:$B$13)-COUNTIF(Q$4:Q1076,"Sell_"&amp;Upgrades!$B$3:$B$13))*Upgrades!$D$3:$D$13))</f>
        <v/>
      </c>
      <c r="T1076" s="66" t="str">
        <f>IFERROR(__xludf.DUMMYFUNCTION("IF(COUNTA(Q1076:Q1644)=0,"""",IF(REGEXMATCH(INDEX(FILTER(Q$4:Q1076,Q$4:Q1076&lt;&gt;""""),ROWS(FILTER(Q$4:Q1076,Q$4:Q1076&lt;&gt;""""))),""^Sell_""),INDEX(FILTER(T$4:T1075,Q$4:Q1075&lt;&gt;""""),ROWS(FILTER(Q$4:Q1075,Q$4:Q1075&lt;&gt;""""))),$AD$5+S1076))"),"")</f>
        <v/>
      </c>
      <c r="U1076" s="10" t="str">
        <f>IFERROR(__xludf.DUMMYFUNCTION("IF(COUNTA(Q1076:Q1644)=0,"""",IF(Q1076="""",0,IF(REGEXMATCH(Q1076,""^Sell_""),-ROUNDDOWN(ROUNDUP(INDEX(Upgrades!$C$3:$C$13,MATCH(SUBSTITUTE(Q1076,""Sell_"",""""),Upgrades!$B$3:$B$13,0))*1.15^(COUNTIF(Q$4:Q1075,SUBSTITUTE(Q1076,""Sell_"",""""))-COUNTIF(Q$4"&amp;":Q1075,""Sell_""&amp;SUBSTITUTE(Q1076,""Sell_"",""""))))/2),ROUNDUP(INDEX(Upgrades!$C$3:$C$13,MATCH(Q1076,Upgrades!$B$3:$B$13,0))*1.15^(COUNTIF(Q$4:Q1075,Q1076)-COUNTIF(Q$4:Q1075,""Sell_""&amp;Q1076))))))"),"")</f>
        <v/>
      </c>
      <c r="V1076" s="10" t="str">
        <f t="shared" si="11"/>
        <v/>
      </c>
      <c r="W1076" s="68" t="str">
        <f t="shared" si="12"/>
        <v/>
      </c>
      <c r="X1076" s="59" t="str">
        <f t="shared" si="13"/>
        <v/>
      </c>
      <c r="Y1076" s="69" t="str">
        <f t="shared" si="14"/>
        <v/>
      </c>
      <c r="Z1076" s="11"/>
      <c r="AG1076" s="59"/>
    </row>
    <row r="1077">
      <c r="A1077" s="8"/>
      <c r="B1077" s="56" t="str">
        <f t="shared" si="2"/>
        <v/>
      </c>
      <c r="C1077" s="105"/>
      <c r="D1077" s="10"/>
      <c r="E1077" s="59" t="str">
        <f t="array" ref="E1077">IF(COUNTA(C1077:C1644)=0,"",SUM((COUNTIF(C$4:C1077,Upgrades!$B$3:$B$13)-COUNTIF(C$4:C1077,"Sell_"&amp;Upgrades!$B$3:$B$13))*Upgrades!$D$3:$D$13))</f>
        <v/>
      </c>
      <c r="F1077" s="66" t="str">
        <f>IFERROR(__xludf.DUMMYFUNCTION("IF(COUNTA(C1077:C1644)=0,"""",IF(REGEXMATCH(INDEX(FILTER(C$4:C1077,C$4:C1077&lt;&gt;""""),ROWS(FILTER(C$4:C1077,C$4:C1077&lt;&gt;""""))),""^Sell_""),INDEX(FILTER(F$4:F1076,C$4:C1076&lt;&gt;""""),ROWS(FILTER(C$4:C1076,C$4:C1076&lt;&gt;""""))),$AC$5+E1077))"),"")</f>
        <v/>
      </c>
      <c r="G1077" s="10" t="str">
        <f>IFERROR(__xludf.DUMMYFUNCTION("IF(COUNTA(C1077:C1644)=0,"""",IF(C1077="""",0,IF(REGEXMATCH(C1077,""^Sell_""),-ROUNDDOWN(ROUNDUP(INDEX(Upgrades!$C$3:$C$13,MATCH(SUBSTITUTE(C1077,""Sell_"",""""),Upgrades!$B$3:$B$13,0))*1.15^(COUNTIF(C$4:C1076,SUBSTITUTE(C1077,""Sell_"",""""))-COUNTIF(C$4"&amp;":C1076,""Sell_""&amp;SUBSTITUTE(C1077,""Sell_"",""""))))/2),ROUNDUP(INDEX(Upgrades!$C$3:$C$13,MATCH(C1077,Upgrades!$B$3:$B$13,0))*1.15^(COUNTIF(C$4:C1076,C1077)-COUNTIF(C$4:C1076,""Sell_""&amp;C1077))))))"),"")</f>
        <v/>
      </c>
      <c r="H1077" s="10" t="str">
        <f t="shared" si="3"/>
        <v/>
      </c>
      <c r="I1077" s="68" t="str">
        <f t="shared" si="4"/>
        <v/>
      </c>
      <c r="J1077" s="59" t="str">
        <f t="shared" si="5"/>
        <v/>
      </c>
      <c r="K1077" s="69" t="str">
        <f t="shared" si="6"/>
        <v/>
      </c>
      <c r="L1077" s="60" t="str">
        <f t="shared" si="7"/>
        <v/>
      </c>
      <c r="M1077" s="61" t="str">
        <f>IFERROR(__xludf.DUMMYFUNCTION("IFS(AND(COUNTA(C1077:C1644)=0,COUNTA(Q1077:Q1644)=0),"""",OR(AND(K1077&gt;=1000000000,OR(Y1077&gt;=1000000000,COUNTA(Q1077:Q1644)=0)),OR(Y1077&gt;=1000000000,AND(COUNTA(C1077:C1644)=0,P$3=TRUE))),
ROUNDDOWN((AB$1-AC$1)*MAX(INDEX(T$4:T1644,MATCH(LARGE(FILTER(Y$4:Y1"&amp;"644,Y$4:Y1644&lt;1000000000),1),Y$4:Y1644)),INDEX(F$4:F1644,MATCH(LARGE(FILTER(K$4:K1644,K$4:K1644&lt;1000000000),1),K$4:K1644)))),AND(K1077&lt;1000000000,COUNTA(C1077:C1644)&gt;0,P$3=FALSE),
ROUNDDOWN(INDEX(Y$4:Y1644,MATCH(LARGE(FILTER(W$4:W1644,W$4:W1644&lt;=I1077),1)"&amp;",W$4:W1644))+(I1077-LARGE(FILTER(W$4:W1644,W$4:W1644&lt;=I1077),1))*INDEX(T$4:T1644,MATCH(LARGE(FILTER(W$4:W1644,W$4:W1644&lt;=I1077),1),W$4:W1644))-K1077),1,
ROUNDDOWN(Y1077-INDEX(K$4:K1644,MATCH(LARGE(FILTER(I$4:I1644,I$4:I1644&lt;=W1077),1),I$4:I1644))-(W1077-L"&amp;"ARGE(FILTER(I$4:I1644,I$4:I1644&lt;=W1077),1))*INDEX(F$4:F1644,MATCH(LARGE(FILTER(I$4:I1644,I$4:I1644&lt;=W1077),1),I$4:I1644))))"),"")</f>
        <v/>
      </c>
      <c r="N1077" s="60" t="str">
        <f t="shared" si="8"/>
        <v/>
      </c>
      <c r="O1077" s="61" t="str">
        <f t="shared" si="9"/>
        <v/>
      </c>
      <c r="P1077" s="56" t="str">
        <f t="shared" si="10"/>
        <v/>
      </c>
      <c r="Q1077" s="105"/>
      <c r="R1077" s="10"/>
      <c r="S1077" s="59" t="str">
        <f t="array" ref="S1077">IF(COUNTA(Q1077:Q1644)=0,"",SUM((COUNTIF(Q$4:Q1077,Upgrades!$B$3:$B$13)-COUNTIF(Q$4:Q1077,"Sell_"&amp;Upgrades!$B$3:$B$13))*Upgrades!$D$3:$D$13))</f>
        <v/>
      </c>
      <c r="T1077" s="66" t="str">
        <f>IFERROR(__xludf.DUMMYFUNCTION("IF(COUNTA(Q1077:Q1644)=0,"""",IF(REGEXMATCH(INDEX(FILTER(Q$4:Q1077,Q$4:Q1077&lt;&gt;""""),ROWS(FILTER(Q$4:Q1077,Q$4:Q1077&lt;&gt;""""))),""^Sell_""),INDEX(FILTER(T$4:T1076,Q$4:Q1076&lt;&gt;""""),ROWS(FILTER(Q$4:Q1076,Q$4:Q1076&lt;&gt;""""))),$AD$5+S1077))"),"")</f>
        <v/>
      </c>
      <c r="U1077" s="10" t="str">
        <f>IFERROR(__xludf.DUMMYFUNCTION("IF(COUNTA(Q1077:Q1644)=0,"""",IF(Q1077="""",0,IF(REGEXMATCH(Q1077,""^Sell_""),-ROUNDDOWN(ROUNDUP(INDEX(Upgrades!$C$3:$C$13,MATCH(SUBSTITUTE(Q1077,""Sell_"",""""),Upgrades!$B$3:$B$13,0))*1.15^(COUNTIF(Q$4:Q1076,SUBSTITUTE(Q1077,""Sell_"",""""))-COUNTIF(Q$4"&amp;":Q1076,""Sell_""&amp;SUBSTITUTE(Q1077,""Sell_"",""""))))/2),ROUNDUP(INDEX(Upgrades!$C$3:$C$13,MATCH(Q1077,Upgrades!$B$3:$B$13,0))*1.15^(COUNTIF(Q$4:Q1076,Q1077)-COUNTIF(Q$4:Q1076,""Sell_""&amp;Q1077))))))"),"")</f>
        <v/>
      </c>
      <c r="V1077" s="10" t="str">
        <f t="shared" si="11"/>
        <v/>
      </c>
      <c r="W1077" s="68" t="str">
        <f t="shared" si="12"/>
        <v/>
      </c>
      <c r="X1077" s="59" t="str">
        <f t="shared" si="13"/>
        <v/>
      </c>
      <c r="Y1077" s="69" t="str">
        <f t="shared" si="14"/>
        <v/>
      </c>
      <c r="Z1077" s="11"/>
      <c r="AG1077" s="59"/>
    </row>
    <row r="1078">
      <c r="A1078" s="8"/>
      <c r="B1078" s="56" t="str">
        <f t="shared" si="2"/>
        <v/>
      </c>
      <c r="C1078" s="105"/>
      <c r="D1078" s="10"/>
      <c r="E1078" s="59" t="str">
        <f t="array" ref="E1078">IF(COUNTA(C1078:C1644)=0,"",SUM((COUNTIF(C$4:C1078,Upgrades!$B$3:$B$13)-COUNTIF(C$4:C1078,"Sell_"&amp;Upgrades!$B$3:$B$13))*Upgrades!$D$3:$D$13))</f>
        <v/>
      </c>
      <c r="F1078" s="66" t="str">
        <f>IFERROR(__xludf.DUMMYFUNCTION("IF(COUNTA(C1078:C1644)=0,"""",IF(REGEXMATCH(INDEX(FILTER(C$4:C1078,C$4:C1078&lt;&gt;""""),ROWS(FILTER(C$4:C1078,C$4:C1078&lt;&gt;""""))),""^Sell_""),INDEX(FILTER(F$4:F1077,C$4:C1077&lt;&gt;""""),ROWS(FILTER(C$4:C1077,C$4:C1077&lt;&gt;""""))),$AC$5+E1078))"),"")</f>
        <v/>
      </c>
      <c r="G1078" s="10" t="str">
        <f>IFERROR(__xludf.DUMMYFUNCTION("IF(COUNTA(C1078:C1644)=0,"""",IF(C1078="""",0,IF(REGEXMATCH(C1078,""^Sell_""),-ROUNDDOWN(ROUNDUP(INDEX(Upgrades!$C$3:$C$13,MATCH(SUBSTITUTE(C1078,""Sell_"",""""),Upgrades!$B$3:$B$13,0))*1.15^(COUNTIF(C$4:C1077,SUBSTITUTE(C1078,""Sell_"",""""))-COUNTIF(C$4"&amp;":C1077,""Sell_""&amp;SUBSTITUTE(C1078,""Sell_"",""""))))/2),ROUNDUP(INDEX(Upgrades!$C$3:$C$13,MATCH(C1078,Upgrades!$B$3:$B$13,0))*1.15^(COUNTIF(C$4:C1077,C1078)-COUNTIF(C$4:C1077,""Sell_""&amp;C1078))))))"),"")</f>
        <v/>
      </c>
      <c r="H1078" s="10" t="str">
        <f t="shared" si="3"/>
        <v/>
      </c>
      <c r="I1078" s="68" t="str">
        <f t="shared" si="4"/>
        <v/>
      </c>
      <c r="J1078" s="59" t="str">
        <f t="shared" si="5"/>
        <v/>
      </c>
      <c r="K1078" s="69" t="str">
        <f t="shared" si="6"/>
        <v/>
      </c>
      <c r="L1078" s="60" t="str">
        <f t="shared" si="7"/>
        <v/>
      </c>
      <c r="M1078" s="61" t="str">
        <f>IFERROR(__xludf.DUMMYFUNCTION("IFS(AND(COUNTA(C1078:C1644)=0,COUNTA(Q1078:Q1644)=0),"""",OR(AND(K1078&gt;=1000000000,OR(Y1078&gt;=1000000000,COUNTA(Q1078:Q1644)=0)),OR(Y1078&gt;=1000000000,AND(COUNTA(C1078:C1644)=0,P$3=TRUE))),
ROUNDDOWN((AB$1-AC$1)*MAX(INDEX(T$4:T1644,MATCH(LARGE(FILTER(Y$4:Y1"&amp;"644,Y$4:Y1644&lt;1000000000),1),Y$4:Y1644)),INDEX(F$4:F1644,MATCH(LARGE(FILTER(K$4:K1644,K$4:K1644&lt;1000000000),1),K$4:K1644)))),AND(K1078&lt;1000000000,COUNTA(C1078:C1644)&gt;0,P$3=FALSE),
ROUNDDOWN(INDEX(Y$4:Y1644,MATCH(LARGE(FILTER(W$4:W1644,W$4:W1644&lt;=I1078),1)"&amp;",W$4:W1644))+(I1078-LARGE(FILTER(W$4:W1644,W$4:W1644&lt;=I1078),1))*INDEX(T$4:T1644,MATCH(LARGE(FILTER(W$4:W1644,W$4:W1644&lt;=I1078),1),W$4:W1644))-K1078),1,
ROUNDDOWN(Y1078-INDEX(K$4:K1644,MATCH(LARGE(FILTER(I$4:I1644,I$4:I1644&lt;=W1078),1),I$4:I1644))-(W1078-L"&amp;"ARGE(FILTER(I$4:I1644,I$4:I1644&lt;=W1078),1))*INDEX(F$4:F1644,MATCH(LARGE(FILTER(I$4:I1644,I$4:I1644&lt;=W1078),1),I$4:I1644))))"),"")</f>
        <v/>
      </c>
      <c r="N1078" s="60" t="str">
        <f t="shared" si="8"/>
        <v/>
      </c>
      <c r="O1078" s="61" t="str">
        <f t="shared" si="9"/>
        <v/>
      </c>
      <c r="P1078" s="56" t="str">
        <f t="shared" si="10"/>
        <v/>
      </c>
      <c r="Q1078" s="105"/>
      <c r="R1078" s="10"/>
      <c r="S1078" s="59" t="str">
        <f t="array" ref="S1078">IF(COUNTA(Q1078:Q1644)=0,"",SUM((COUNTIF(Q$4:Q1078,Upgrades!$B$3:$B$13)-COUNTIF(Q$4:Q1078,"Sell_"&amp;Upgrades!$B$3:$B$13))*Upgrades!$D$3:$D$13))</f>
        <v/>
      </c>
      <c r="T1078" s="66" t="str">
        <f>IFERROR(__xludf.DUMMYFUNCTION("IF(COUNTA(Q1078:Q1644)=0,"""",IF(REGEXMATCH(INDEX(FILTER(Q$4:Q1078,Q$4:Q1078&lt;&gt;""""),ROWS(FILTER(Q$4:Q1078,Q$4:Q1078&lt;&gt;""""))),""^Sell_""),INDEX(FILTER(T$4:T1077,Q$4:Q1077&lt;&gt;""""),ROWS(FILTER(Q$4:Q1077,Q$4:Q1077&lt;&gt;""""))),$AD$5+S1078))"),"")</f>
        <v/>
      </c>
      <c r="U1078" s="10" t="str">
        <f>IFERROR(__xludf.DUMMYFUNCTION("IF(COUNTA(Q1078:Q1644)=0,"""",IF(Q1078="""",0,IF(REGEXMATCH(Q1078,""^Sell_""),-ROUNDDOWN(ROUNDUP(INDEX(Upgrades!$C$3:$C$13,MATCH(SUBSTITUTE(Q1078,""Sell_"",""""),Upgrades!$B$3:$B$13,0))*1.15^(COUNTIF(Q$4:Q1077,SUBSTITUTE(Q1078,""Sell_"",""""))-COUNTIF(Q$4"&amp;":Q1077,""Sell_""&amp;SUBSTITUTE(Q1078,""Sell_"",""""))))/2),ROUNDUP(INDEX(Upgrades!$C$3:$C$13,MATCH(Q1078,Upgrades!$B$3:$B$13,0))*1.15^(COUNTIF(Q$4:Q1077,Q1078)-COUNTIF(Q$4:Q1077,""Sell_""&amp;Q1078))))))"),"")</f>
        <v/>
      </c>
      <c r="V1078" s="10" t="str">
        <f t="shared" si="11"/>
        <v/>
      </c>
      <c r="W1078" s="68" t="str">
        <f t="shared" si="12"/>
        <v/>
      </c>
      <c r="X1078" s="59" t="str">
        <f t="shared" si="13"/>
        <v/>
      </c>
      <c r="Y1078" s="69" t="str">
        <f t="shared" si="14"/>
        <v/>
      </c>
      <c r="Z1078" s="11"/>
      <c r="AG1078" s="59"/>
    </row>
    <row r="1079">
      <c r="A1079" s="8"/>
      <c r="B1079" s="56" t="str">
        <f t="shared" si="2"/>
        <v/>
      </c>
      <c r="C1079" s="105"/>
      <c r="D1079" s="10"/>
      <c r="E1079" s="59" t="str">
        <f t="array" ref="E1079">IF(COUNTA(C1079:C1644)=0,"",SUM((COUNTIF(C$4:C1079,Upgrades!$B$3:$B$13)-COUNTIF(C$4:C1079,"Sell_"&amp;Upgrades!$B$3:$B$13))*Upgrades!$D$3:$D$13))</f>
        <v/>
      </c>
      <c r="F1079" s="66" t="str">
        <f>IFERROR(__xludf.DUMMYFUNCTION("IF(COUNTA(C1079:C1644)=0,"""",IF(REGEXMATCH(INDEX(FILTER(C$4:C1079,C$4:C1079&lt;&gt;""""),ROWS(FILTER(C$4:C1079,C$4:C1079&lt;&gt;""""))),""^Sell_""),INDEX(FILTER(F$4:F1078,C$4:C1078&lt;&gt;""""),ROWS(FILTER(C$4:C1078,C$4:C1078&lt;&gt;""""))),$AC$5+E1079))"),"")</f>
        <v/>
      </c>
      <c r="G1079" s="10" t="str">
        <f>IFERROR(__xludf.DUMMYFUNCTION("IF(COUNTA(C1079:C1644)=0,"""",IF(C1079="""",0,IF(REGEXMATCH(C1079,""^Sell_""),-ROUNDDOWN(ROUNDUP(INDEX(Upgrades!$C$3:$C$13,MATCH(SUBSTITUTE(C1079,""Sell_"",""""),Upgrades!$B$3:$B$13,0))*1.15^(COUNTIF(C$4:C1078,SUBSTITUTE(C1079,""Sell_"",""""))-COUNTIF(C$4"&amp;":C1078,""Sell_""&amp;SUBSTITUTE(C1079,""Sell_"",""""))))/2),ROUNDUP(INDEX(Upgrades!$C$3:$C$13,MATCH(C1079,Upgrades!$B$3:$B$13,0))*1.15^(COUNTIF(C$4:C1078,C1079)-COUNTIF(C$4:C1078,""Sell_""&amp;C1079))))))"),"")</f>
        <v/>
      </c>
      <c r="H1079" s="10" t="str">
        <f t="shared" si="3"/>
        <v/>
      </c>
      <c r="I1079" s="68" t="str">
        <f t="shared" si="4"/>
        <v/>
      </c>
      <c r="J1079" s="59" t="str">
        <f t="shared" si="5"/>
        <v/>
      </c>
      <c r="K1079" s="69" t="str">
        <f t="shared" si="6"/>
        <v/>
      </c>
      <c r="L1079" s="60" t="str">
        <f t="shared" si="7"/>
        <v/>
      </c>
      <c r="M1079" s="61" t="str">
        <f>IFERROR(__xludf.DUMMYFUNCTION("IFS(AND(COUNTA(C1079:C1644)=0,COUNTA(Q1079:Q1644)=0),"""",OR(AND(K1079&gt;=1000000000,OR(Y1079&gt;=1000000000,COUNTA(Q1079:Q1644)=0)),OR(Y1079&gt;=1000000000,AND(COUNTA(C1079:C1644)=0,P$3=TRUE))),
ROUNDDOWN((AB$1-AC$1)*MAX(INDEX(T$4:T1644,MATCH(LARGE(FILTER(Y$4:Y1"&amp;"644,Y$4:Y1644&lt;1000000000),1),Y$4:Y1644)),INDEX(F$4:F1644,MATCH(LARGE(FILTER(K$4:K1644,K$4:K1644&lt;1000000000),1),K$4:K1644)))),AND(K1079&lt;1000000000,COUNTA(C1079:C1644)&gt;0,P$3=FALSE),
ROUNDDOWN(INDEX(Y$4:Y1644,MATCH(LARGE(FILTER(W$4:W1644,W$4:W1644&lt;=I1079),1)"&amp;",W$4:W1644))+(I1079-LARGE(FILTER(W$4:W1644,W$4:W1644&lt;=I1079),1))*INDEX(T$4:T1644,MATCH(LARGE(FILTER(W$4:W1644,W$4:W1644&lt;=I1079),1),W$4:W1644))-K1079),1,
ROUNDDOWN(Y1079-INDEX(K$4:K1644,MATCH(LARGE(FILTER(I$4:I1644,I$4:I1644&lt;=W1079),1),I$4:I1644))-(W1079-L"&amp;"ARGE(FILTER(I$4:I1644,I$4:I1644&lt;=W1079),1))*INDEX(F$4:F1644,MATCH(LARGE(FILTER(I$4:I1644,I$4:I1644&lt;=W1079),1),I$4:I1644))))"),"")</f>
        <v/>
      </c>
      <c r="N1079" s="60" t="str">
        <f t="shared" si="8"/>
        <v/>
      </c>
      <c r="O1079" s="61" t="str">
        <f t="shared" si="9"/>
        <v/>
      </c>
      <c r="P1079" s="56" t="str">
        <f t="shared" si="10"/>
        <v/>
      </c>
      <c r="Q1079" s="105"/>
      <c r="R1079" s="10"/>
      <c r="S1079" s="59" t="str">
        <f t="array" ref="S1079">IF(COUNTA(Q1079:Q1644)=0,"",SUM((COUNTIF(Q$4:Q1079,Upgrades!$B$3:$B$13)-COUNTIF(Q$4:Q1079,"Sell_"&amp;Upgrades!$B$3:$B$13))*Upgrades!$D$3:$D$13))</f>
        <v/>
      </c>
      <c r="T1079" s="66" t="str">
        <f>IFERROR(__xludf.DUMMYFUNCTION("IF(COUNTA(Q1079:Q1644)=0,"""",IF(REGEXMATCH(INDEX(FILTER(Q$4:Q1079,Q$4:Q1079&lt;&gt;""""),ROWS(FILTER(Q$4:Q1079,Q$4:Q1079&lt;&gt;""""))),""^Sell_""),INDEX(FILTER(T$4:T1078,Q$4:Q1078&lt;&gt;""""),ROWS(FILTER(Q$4:Q1078,Q$4:Q1078&lt;&gt;""""))),$AD$5+S1079))"),"")</f>
        <v/>
      </c>
      <c r="U1079" s="10" t="str">
        <f>IFERROR(__xludf.DUMMYFUNCTION("IF(COUNTA(Q1079:Q1644)=0,"""",IF(Q1079="""",0,IF(REGEXMATCH(Q1079,""^Sell_""),-ROUNDDOWN(ROUNDUP(INDEX(Upgrades!$C$3:$C$13,MATCH(SUBSTITUTE(Q1079,""Sell_"",""""),Upgrades!$B$3:$B$13,0))*1.15^(COUNTIF(Q$4:Q1078,SUBSTITUTE(Q1079,""Sell_"",""""))-COUNTIF(Q$4"&amp;":Q1078,""Sell_""&amp;SUBSTITUTE(Q1079,""Sell_"",""""))))/2),ROUNDUP(INDEX(Upgrades!$C$3:$C$13,MATCH(Q1079,Upgrades!$B$3:$B$13,0))*1.15^(COUNTIF(Q$4:Q1078,Q1079)-COUNTIF(Q$4:Q1078,""Sell_""&amp;Q1079))))))"),"")</f>
        <v/>
      </c>
      <c r="V1079" s="10" t="str">
        <f t="shared" si="11"/>
        <v/>
      </c>
      <c r="W1079" s="68" t="str">
        <f t="shared" si="12"/>
        <v/>
      </c>
      <c r="X1079" s="59" t="str">
        <f t="shared" si="13"/>
        <v/>
      </c>
      <c r="Y1079" s="69" t="str">
        <f t="shared" si="14"/>
        <v/>
      </c>
      <c r="Z1079" s="11"/>
      <c r="AG1079" s="59"/>
    </row>
    <row r="1080">
      <c r="A1080" s="8"/>
      <c r="B1080" s="56" t="str">
        <f t="shared" si="2"/>
        <v/>
      </c>
      <c r="C1080" s="105"/>
      <c r="D1080" s="10"/>
      <c r="E1080" s="59" t="str">
        <f t="array" ref="E1080">IF(COUNTA(C1080:C1644)=0,"",SUM((COUNTIF(C$4:C1080,Upgrades!$B$3:$B$13)-COUNTIF(C$4:C1080,"Sell_"&amp;Upgrades!$B$3:$B$13))*Upgrades!$D$3:$D$13))</f>
        <v/>
      </c>
      <c r="F1080" s="66" t="str">
        <f>IFERROR(__xludf.DUMMYFUNCTION("IF(COUNTA(C1080:C1644)=0,"""",IF(REGEXMATCH(INDEX(FILTER(C$4:C1080,C$4:C1080&lt;&gt;""""),ROWS(FILTER(C$4:C1080,C$4:C1080&lt;&gt;""""))),""^Sell_""),INDEX(FILTER(F$4:F1079,C$4:C1079&lt;&gt;""""),ROWS(FILTER(C$4:C1079,C$4:C1079&lt;&gt;""""))),$AC$5+E1080))"),"")</f>
        <v/>
      </c>
      <c r="G1080" s="10" t="str">
        <f>IFERROR(__xludf.DUMMYFUNCTION("IF(COUNTA(C1080:C1644)=0,"""",IF(C1080="""",0,IF(REGEXMATCH(C1080,""^Sell_""),-ROUNDDOWN(ROUNDUP(INDEX(Upgrades!$C$3:$C$13,MATCH(SUBSTITUTE(C1080,""Sell_"",""""),Upgrades!$B$3:$B$13,0))*1.15^(COUNTIF(C$4:C1079,SUBSTITUTE(C1080,""Sell_"",""""))-COUNTIF(C$4"&amp;":C1079,""Sell_""&amp;SUBSTITUTE(C1080,""Sell_"",""""))))/2),ROUNDUP(INDEX(Upgrades!$C$3:$C$13,MATCH(C1080,Upgrades!$B$3:$B$13,0))*1.15^(COUNTIF(C$4:C1079,C1080)-COUNTIF(C$4:C1079,""Sell_""&amp;C1080))))))"),"")</f>
        <v/>
      </c>
      <c r="H1080" s="10" t="str">
        <f t="shared" si="3"/>
        <v/>
      </c>
      <c r="I1080" s="68" t="str">
        <f t="shared" si="4"/>
        <v/>
      </c>
      <c r="J1080" s="59" t="str">
        <f t="shared" si="5"/>
        <v/>
      </c>
      <c r="K1080" s="69" t="str">
        <f t="shared" si="6"/>
        <v/>
      </c>
      <c r="L1080" s="60" t="str">
        <f t="shared" si="7"/>
        <v/>
      </c>
      <c r="M1080" s="61" t="str">
        <f>IFERROR(__xludf.DUMMYFUNCTION("IFS(AND(COUNTA(C1080:C1644)=0,COUNTA(Q1080:Q1644)=0),"""",OR(AND(K1080&gt;=1000000000,OR(Y1080&gt;=1000000000,COUNTA(Q1080:Q1644)=0)),OR(Y1080&gt;=1000000000,AND(COUNTA(C1080:C1644)=0,P$3=TRUE))),
ROUNDDOWN((AB$1-AC$1)*MAX(INDEX(T$4:T1644,MATCH(LARGE(FILTER(Y$4:Y1"&amp;"644,Y$4:Y1644&lt;1000000000),1),Y$4:Y1644)),INDEX(F$4:F1644,MATCH(LARGE(FILTER(K$4:K1644,K$4:K1644&lt;1000000000),1),K$4:K1644)))),AND(K1080&lt;1000000000,COUNTA(C1080:C1644)&gt;0,P$3=FALSE),
ROUNDDOWN(INDEX(Y$4:Y1644,MATCH(LARGE(FILTER(W$4:W1644,W$4:W1644&lt;=I1080),1)"&amp;",W$4:W1644))+(I1080-LARGE(FILTER(W$4:W1644,W$4:W1644&lt;=I1080),1))*INDEX(T$4:T1644,MATCH(LARGE(FILTER(W$4:W1644,W$4:W1644&lt;=I1080),1),W$4:W1644))-K1080),1,
ROUNDDOWN(Y1080-INDEX(K$4:K1644,MATCH(LARGE(FILTER(I$4:I1644,I$4:I1644&lt;=W1080),1),I$4:I1644))-(W1080-L"&amp;"ARGE(FILTER(I$4:I1644,I$4:I1644&lt;=W1080),1))*INDEX(F$4:F1644,MATCH(LARGE(FILTER(I$4:I1644,I$4:I1644&lt;=W1080),1),I$4:I1644))))"),"")</f>
        <v/>
      </c>
      <c r="N1080" s="60" t="str">
        <f t="shared" si="8"/>
        <v/>
      </c>
      <c r="O1080" s="61" t="str">
        <f t="shared" si="9"/>
        <v/>
      </c>
      <c r="P1080" s="56" t="str">
        <f t="shared" si="10"/>
        <v/>
      </c>
      <c r="Q1080" s="105"/>
      <c r="R1080" s="10"/>
      <c r="S1080" s="59" t="str">
        <f t="array" ref="S1080">IF(COUNTA(Q1080:Q1644)=0,"",SUM((COUNTIF(Q$4:Q1080,Upgrades!$B$3:$B$13)-COUNTIF(Q$4:Q1080,"Sell_"&amp;Upgrades!$B$3:$B$13))*Upgrades!$D$3:$D$13))</f>
        <v/>
      </c>
      <c r="T1080" s="66" t="str">
        <f>IFERROR(__xludf.DUMMYFUNCTION("IF(COUNTA(Q1080:Q1644)=0,"""",IF(REGEXMATCH(INDEX(FILTER(Q$4:Q1080,Q$4:Q1080&lt;&gt;""""),ROWS(FILTER(Q$4:Q1080,Q$4:Q1080&lt;&gt;""""))),""^Sell_""),INDEX(FILTER(T$4:T1079,Q$4:Q1079&lt;&gt;""""),ROWS(FILTER(Q$4:Q1079,Q$4:Q1079&lt;&gt;""""))),$AD$5+S1080))"),"")</f>
        <v/>
      </c>
      <c r="U1080" s="10" t="str">
        <f>IFERROR(__xludf.DUMMYFUNCTION("IF(COUNTA(Q1080:Q1644)=0,"""",IF(Q1080="""",0,IF(REGEXMATCH(Q1080,""^Sell_""),-ROUNDDOWN(ROUNDUP(INDEX(Upgrades!$C$3:$C$13,MATCH(SUBSTITUTE(Q1080,""Sell_"",""""),Upgrades!$B$3:$B$13,0))*1.15^(COUNTIF(Q$4:Q1079,SUBSTITUTE(Q1080,""Sell_"",""""))-COUNTIF(Q$4"&amp;":Q1079,""Sell_""&amp;SUBSTITUTE(Q1080,""Sell_"",""""))))/2),ROUNDUP(INDEX(Upgrades!$C$3:$C$13,MATCH(Q1080,Upgrades!$B$3:$B$13,0))*1.15^(COUNTIF(Q$4:Q1079,Q1080)-COUNTIF(Q$4:Q1079,""Sell_""&amp;Q1080))))))"),"")</f>
        <v/>
      </c>
      <c r="V1080" s="10" t="str">
        <f t="shared" si="11"/>
        <v/>
      </c>
      <c r="W1080" s="68" t="str">
        <f t="shared" si="12"/>
        <v/>
      </c>
      <c r="X1080" s="59" t="str">
        <f t="shared" si="13"/>
        <v/>
      </c>
      <c r="Y1080" s="69" t="str">
        <f t="shared" si="14"/>
        <v/>
      </c>
      <c r="Z1080" s="11"/>
      <c r="AG1080" s="59"/>
    </row>
    <row r="1081">
      <c r="A1081" s="8"/>
      <c r="B1081" s="56" t="str">
        <f t="shared" si="2"/>
        <v/>
      </c>
      <c r="C1081" s="105"/>
      <c r="D1081" s="10"/>
      <c r="E1081" s="59" t="str">
        <f t="array" ref="E1081">IF(COUNTA(C1081:C1644)=0,"",SUM((COUNTIF(C$4:C1081,Upgrades!$B$3:$B$13)-COUNTIF(C$4:C1081,"Sell_"&amp;Upgrades!$B$3:$B$13))*Upgrades!$D$3:$D$13))</f>
        <v/>
      </c>
      <c r="F1081" s="66" t="str">
        <f>IFERROR(__xludf.DUMMYFUNCTION("IF(COUNTA(C1081:C1644)=0,"""",IF(REGEXMATCH(INDEX(FILTER(C$4:C1081,C$4:C1081&lt;&gt;""""),ROWS(FILTER(C$4:C1081,C$4:C1081&lt;&gt;""""))),""^Sell_""),INDEX(FILTER(F$4:F1080,C$4:C1080&lt;&gt;""""),ROWS(FILTER(C$4:C1080,C$4:C1080&lt;&gt;""""))),$AC$5+E1081))"),"")</f>
        <v/>
      </c>
      <c r="G1081" s="10" t="str">
        <f>IFERROR(__xludf.DUMMYFUNCTION("IF(COUNTA(C1081:C1644)=0,"""",IF(C1081="""",0,IF(REGEXMATCH(C1081,""^Sell_""),-ROUNDDOWN(ROUNDUP(INDEX(Upgrades!$C$3:$C$13,MATCH(SUBSTITUTE(C1081,""Sell_"",""""),Upgrades!$B$3:$B$13,0))*1.15^(COUNTIF(C$4:C1080,SUBSTITUTE(C1081,""Sell_"",""""))-COUNTIF(C$4"&amp;":C1080,""Sell_""&amp;SUBSTITUTE(C1081,""Sell_"",""""))))/2),ROUNDUP(INDEX(Upgrades!$C$3:$C$13,MATCH(C1081,Upgrades!$B$3:$B$13,0))*1.15^(COUNTIF(C$4:C1080,C1081)-COUNTIF(C$4:C1080,""Sell_""&amp;C1081))))))"),"")</f>
        <v/>
      </c>
      <c r="H1081" s="10" t="str">
        <f t="shared" si="3"/>
        <v/>
      </c>
      <c r="I1081" s="68" t="str">
        <f t="shared" si="4"/>
        <v/>
      </c>
      <c r="J1081" s="59" t="str">
        <f t="shared" si="5"/>
        <v/>
      </c>
      <c r="K1081" s="69" t="str">
        <f t="shared" si="6"/>
        <v/>
      </c>
      <c r="L1081" s="60" t="str">
        <f t="shared" si="7"/>
        <v/>
      </c>
      <c r="M1081" s="61" t="str">
        <f>IFERROR(__xludf.DUMMYFUNCTION("IFS(AND(COUNTA(C1081:C1644)=0,COUNTA(Q1081:Q1644)=0),"""",OR(AND(K1081&gt;=1000000000,OR(Y1081&gt;=1000000000,COUNTA(Q1081:Q1644)=0)),OR(Y1081&gt;=1000000000,AND(COUNTA(C1081:C1644)=0,P$3=TRUE))),
ROUNDDOWN((AB$1-AC$1)*MAX(INDEX(T$4:T1644,MATCH(LARGE(FILTER(Y$4:Y1"&amp;"644,Y$4:Y1644&lt;1000000000),1),Y$4:Y1644)),INDEX(F$4:F1644,MATCH(LARGE(FILTER(K$4:K1644,K$4:K1644&lt;1000000000),1),K$4:K1644)))),AND(K1081&lt;1000000000,COUNTA(C1081:C1644)&gt;0,P$3=FALSE),
ROUNDDOWN(INDEX(Y$4:Y1644,MATCH(LARGE(FILTER(W$4:W1644,W$4:W1644&lt;=I1081),1)"&amp;",W$4:W1644))+(I1081-LARGE(FILTER(W$4:W1644,W$4:W1644&lt;=I1081),1))*INDEX(T$4:T1644,MATCH(LARGE(FILTER(W$4:W1644,W$4:W1644&lt;=I1081),1),W$4:W1644))-K1081),1,
ROUNDDOWN(Y1081-INDEX(K$4:K1644,MATCH(LARGE(FILTER(I$4:I1644,I$4:I1644&lt;=W1081),1),I$4:I1644))-(W1081-L"&amp;"ARGE(FILTER(I$4:I1644,I$4:I1644&lt;=W1081),1))*INDEX(F$4:F1644,MATCH(LARGE(FILTER(I$4:I1644,I$4:I1644&lt;=W1081),1),I$4:I1644))))"),"")</f>
        <v/>
      </c>
      <c r="N1081" s="60" t="str">
        <f t="shared" si="8"/>
        <v/>
      </c>
      <c r="O1081" s="61" t="str">
        <f t="shared" si="9"/>
        <v/>
      </c>
      <c r="P1081" s="56" t="str">
        <f t="shared" si="10"/>
        <v/>
      </c>
      <c r="Q1081" s="105"/>
      <c r="R1081" s="10"/>
      <c r="S1081" s="59" t="str">
        <f t="array" ref="S1081">IF(COUNTA(Q1081:Q1644)=0,"",SUM((COUNTIF(Q$4:Q1081,Upgrades!$B$3:$B$13)-COUNTIF(Q$4:Q1081,"Sell_"&amp;Upgrades!$B$3:$B$13))*Upgrades!$D$3:$D$13))</f>
        <v/>
      </c>
      <c r="T1081" s="66" t="str">
        <f>IFERROR(__xludf.DUMMYFUNCTION("IF(COUNTA(Q1081:Q1644)=0,"""",IF(REGEXMATCH(INDEX(FILTER(Q$4:Q1081,Q$4:Q1081&lt;&gt;""""),ROWS(FILTER(Q$4:Q1081,Q$4:Q1081&lt;&gt;""""))),""^Sell_""),INDEX(FILTER(T$4:T1080,Q$4:Q1080&lt;&gt;""""),ROWS(FILTER(Q$4:Q1080,Q$4:Q1080&lt;&gt;""""))),$AD$5+S1081))"),"")</f>
        <v/>
      </c>
      <c r="U1081" s="10" t="str">
        <f>IFERROR(__xludf.DUMMYFUNCTION("IF(COUNTA(Q1081:Q1644)=0,"""",IF(Q1081="""",0,IF(REGEXMATCH(Q1081,""^Sell_""),-ROUNDDOWN(ROUNDUP(INDEX(Upgrades!$C$3:$C$13,MATCH(SUBSTITUTE(Q1081,""Sell_"",""""),Upgrades!$B$3:$B$13,0))*1.15^(COUNTIF(Q$4:Q1080,SUBSTITUTE(Q1081,""Sell_"",""""))-COUNTIF(Q$4"&amp;":Q1080,""Sell_""&amp;SUBSTITUTE(Q1081,""Sell_"",""""))))/2),ROUNDUP(INDEX(Upgrades!$C$3:$C$13,MATCH(Q1081,Upgrades!$B$3:$B$13,0))*1.15^(COUNTIF(Q$4:Q1080,Q1081)-COUNTIF(Q$4:Q1080,""Sell_""&amp;Q1081))))))"),"")</f>
        <v/>
      </c>
      <c r="V1081" s="10" t="str">
        <f t="shared" si="11"/>
        <v/>
      </c>
      <c r="W1081" s="68" t="str">
        <f t="shared" si="12"/>
        <v/>
      </c>
      <c r="X1081" s="59" t="str">
        <f t="shared" si="13"/>
        <v/>
      </c>
      <c r="Y1081" s="69" t="str">
        <f t="shared" si="14"/>
        <v/>
      </c>
      <c r="Z1081" s="11"/>
      <c r="AG1081" s="59"/>
    </row>
    <row r="1082">
      <c r="A1082" s="8"/>
      <c r="B1082" s="56" t="str">
        <f t="shared" si="2"/>
        <v/>
      </c>
      <c r="C1082" s="105"/>
      <c r="D1082" s="10"/>
      <c r="E1082" s="59" t="str">
        <f t="array" ref="E1082">IF(COUNTA(C1082:C1644)=0,"",SUM((COUNTIF(C$4:C1082,Upgrades!$B$3:$B$13)-COUNTIF(C$4:C1082,"Sell_"&amp;Upgrades!$B$3:$B$13))*Upgrades!$D$3:$D$13))</f>
        <v/>
      </c>
      <c r="F1082" s="66" t="str">
        <f>IFERROR(__xludf.DUMMYFUNCTION("IF(COUNTA(C1082:C1644)=0,"""",IF(REGEXMATCH(INDEX(FILTER(C$4:C1082,C$4:C1082&lt;&gt;""""),ROWS(FILTER(C$4:C1082,C$4:C1082&lt;&gt;""""))),""^Sell_""),INDEX(FILTER(F$4:F1081,C$4:C1081&lt;&gt;""""),ROWS(FILTER(C$4:C1081,C$4:C1081&lt;&gt;""""))),$AC$5+E1082))"),"")</f>
        <v/>
      </c>
      <c r="G1082" s="10" t="str">
        <f>IFERROR(__xludf.DUMMYFUNCTION("IF(COUNTA(C1082:C1644)=0,"""",IF(C1082="""",0,IF(REGEXMATCH(C1082,""^Sell_""),-ROUNDDOWN(ROUNDUP(INDEX(Upgrades!$C$3:$C$13,MATCH(SUBSTITUTE(C1082,""Sell_"",""""),Upgrades!$B$3:$B$13,0))*1.15^(COUNTIF(C$4:C1081,SUBSTITUTE(C1082,""Sell_"",""""))-COUNTIF(C$4"&amp;":C1081,""Sell_""&amp;SUBSTITUTE(C1082,""Sell_"",""""))))/2),ROUNDUP(INDEX(Upgrades!$C$3:$C$13,MATCH(C1082,Upgrades!$B$3:$B$13,0))*1.15^(COUNTIF(C$4:C1081,C1082)-COUNTIF(C$4:C1081,""Sell_""&amp;C1082))))))"),"")</f>
        <v/>
      </c>
      <c r="H1082" s="10" t="str">
        <f t="shared" si="3"/>
        <v/>
      </c>
      <c r="I1082" s="68" t="str">
        <f t="shared" si="4"/>
        <v/>
      </c>
      <c r="J1082" s="59" t="str">
        <f t="shared" si="5"/>
        <v/>
      </c>
      <c r="K1082" s="69" t="str">
        <f t="shared" si="6"/>
        <v/>
      </c>
      <c r="L1082" s="60" t="str">
        <f t="shared" si="7"/>
        <v/>
      </c>
      <c r="M1082" s="61" t="str">
        <f>IFERROR(__xludf.DUMMYFUNCTION("IFS(AND(COUNTA(C1082:C1644)=0,COUNTA(Q1082:Q1644)=0),"""",OR(AND(K1082&gt;=1000000000,OR(Y1082&gt;=1000000000,COUNTA(Q1082:Q1644)=0)),OR(Y1082&gt;=1000000000,AND(COUNTA(C1082:C1644)=0,P$3=TRUE))),
ROUNDDOWN((AB$1-AC$1)*MAX(INDEX(T$4:T1644,MATCH(LARGE(FILTER(Y$4:Y1"&amp;"644,Y$4:Y1644&lt;1000000000),1),Y$4:Y1644)),INDEX(F$4:F1644,MATCH(LARGE(FILTER(K$4:K1644,K$4:K1644&lt;1000000000),1),K$4:K1644)))),AND(K1082&lt;1000000000,COUNTA(C1082:C1644)&gt;0,P$3=FALSE),
ROUNDDOWN(INDEX(Y$4:Y1644,MATCH(LARGE(FILTER(W$4:W1644,W$4:W1644&lt;=I1082),1)"&amp;",W$4:W1644))+(I1082-LARGE(FILTER(W$4:W1644,W$4:W1644&lt;=I1082),1))*INDEX(T$4:T1644,MATCH(LARGE(FILTER(W$4:W1644,W$4:W1644&lt;=I1082),1),W$4:W1644))-K1082),1,
ROUNDDOWN(Y1082-INDEX(K$4:K1644,MATCH(LARGE(FILTER(I$4:I1644,I$4:I1644&lt;=W1082),1),I$4:I1644))-(W1082-L"&amp;"ARGE(FILTER(I$4:I1644,I$4:I1644&lt;=W1082),1))*INDEX(F$4:F1644,MATCH(LARGE(FILTER(I$4:I1644,I$4:I1644&lt;=W1082),1),I$4:I1644))))"),"")</f>
        <v/>
      </c>
      <c r="N1082" s="60" t="str">
        <f t="shared" si="8"/>
        <v/>
      </c>
      <c r="O1082" s="61" t="str">
        <f t="shared" si="9"/>
        <v/>
      </c>
      <c r="P1082" s="56" t="str">
        <f t="shared" si="10"/>
        <v/>
      </c>
      <c r="Q1082" s="105"/>
      <c r="R1082" s="10"/>
      <c r="S1082" s="59" t="str">
        <f t="array" ref="S1082">IF(COUNTA(Q1082:Q1644)=0,"",SUM((COUNTIF(Q$4:Q1082,Upgrades!$B$3:$B$13)-COUNTIF(Q$4:Q1082,"Sell_"&amp;Upgrades!$B$3:$B$13))*Upgrades!$D$3:$D$13))</f>
        <v/>
      </c>
      <c r="T1082" s="66" t="str">
        <f>IFERROR(__xludf.DUMMYFUNCTION("IF(COUNTA(Q1082:Q1644)=0,"""",IF(REGEXMATCH(INDEX(FILTER(Q$4:Q1082,Q$4:Q1082&lt;&gt;""""),ROWS(FILTER(Q$4:Q1082,Q$4:Q1082&lt;&gt;""""))),""^Sell_""),INDEX(FILTER(T$4:T1081,Q$4:Q1081&lt;&gt;""""),ROWS(FILTER(Q$4:Q1081,Q$4:Q1081&lt;&gt;""""))),$AD$5+S1082))"),"")</f>
        <v/>
      </c>
      <c r="U1082" s="10" t="str">
        <f>IFERROR(__xludf.DUMMYFUNCTION("IF(COUNTA(Q1082:Q1644)=0,"""",IF(Q1082="""",0,IF(REGEXMATCH(Q1082,""^Sell_""),-ROUNDDOWN(ROUNDUP(INDEX(Upgrades!$C$3:$C$13,MATCH(SUBSTITUTE(Q1082,""Sell_"",""""),Upgrades!$B$3:$B$13,0))*1.15^(COUNTIF(Q$4:Q1081,SUBSTITUTE(Q1082,""Sell_"",""""))-COUNTIF(Q$4"&amp;":Q1081,""Sell_""&amp;SUBSTITUTE(Q1082,""Sell_"",""""))))/2),ROUNDUP(INDEX(Upgrades!$C$3:$C$13,MATCH(Q1082,Upgrades!$B$3:$B$13,0))*1.15^(COUNTIF(Q$4:Q1081,Q1082)-COUNTIF(Q$4:Q1081,""Sell_""&amp;Q1082))))))"),"")</f>
        <v/>
      </c>
      <c r="V1082" s="10" t="str">
        <f t="shared" si="11"/>
        <v/>
      </c>
      <c r="W1082" s="68" t="str">
        <f t="shared" si="12"/>
        <v/>
      </c>
      <c r="X1082" s="59" t="str">
        <f t="shared" si="13"/>
        <v/>
      </c>
      <c r="Y1082" s="69" t="str">
        <f t="shared" si="14"/>
        <v/>
      </c>
      <c r="Z1082" s="11"/>
      <c r="AG1082" s="59"/>
    </row>
    <row r="1083">
      <c r="A1083" s="8"/>
      <c r="B1083" s="56" t="str">
        <f t="shared" si="2"/>
        <v/>
      </c>
      <c r="C1083" s="105"/>
      <c r="D1083" s="10"/>
      <c r="E1083" s="59" t="str">
        <f t="array" ref="E1083">IF(COUNTA(C1083:C1644)=0,"",SUM((COUNTIF(C$4:C1083,Upgrades!$B$3:$B$13)-COUNTIF(C$4:C1083,"Sell_"&amp;Upgrades!$B$3:$B$13))*Upgrades!$D$3:$D$13))</f>
        <v/>
      </c>
      <c r="F1083" s="66" t="str">
        <f>IFERROR(__xludf.DUMMYFUNCTION("IF(COUNTA(C1083:C1644)=0,"""",IF(REGEXMATCH(INDEX(FILTER(C$4:C1083,C$4:C1083&lt;&gt;""""),ROWS(FILTER(C$4:C1083,C$4:C1083&lt;&gt;""""))),""^Sell_""),INDEX(FILTER(F$4:F1082,C$4:C1082&lt;&gt;""""),ROWS(FILTER(C$4:C1082,C$4:C1082&lt;&gt;""""))),$AC$5+E1083))"),"")</f>
        <v/>
      </c>
      <c r="G1083" s="10" t="str">
        <f>IFERROR(__xludf.DUMMYFUNCTION("IF(COUNTA(C1083:C1644)=0,"""",IF(C1083="""",0,IF(REGEXMATCH(C1083,""^Sell_""),-ROUNDDOWN(ROUNDUP(INDEX(Upgrades!$C$3:$C$13,MATCH(SUBSTITUTE(C1083,""Sell_"",""""),Upgrades!$B$3:$B$13,0))*1.15^(COUNTIF(C$4:C1082,SUBSTITUTE(C1083,""Sell_"",""""))-COUNTIF(C$4"&amp;":C1082,""Sell_""&amp;SUBSTITUTE(C1083,""Sell_"",""""))))/2),ROUNDUP(INDEX(Upgrades!$C$3:$C$13,MATCH(C1083,Upgrades!$B$3:$B$13,0))*1.15^(COUNTIF(C$4:C1082,C1083)-COUNTIF(C$4:C1082,""Sell_""&amp;C1083))))))"),"")</f>
        <v/>
      </c>
      <c r="H1083" s="10" t="str">
        <f t="shared" si="3"/>
        <v/>
      </c>
      <c r="I1083" s="68" t="str">
        <f t="shared" si="4"/>
        <v/>
      </c>
      <c r="J1083" s="59" t="str">
        <f t="shared" si="5"/>
        <v/>
      </c>
      <c r="K1083" s="69" t="str">
        <f t="shared" si="6"/>
        <v/>
      </c>
      <c r="L1083" s="60" t="str">
        <f t="shared" si="7"/>
        <v/>
      </c>
      <c r="M1083" s="61" t="str">
        <f>IFERROR(__xludf.DUMMYFUNCTION("IFS(AND(COUNTA(C1083:C1644)=0,COUNTA(Q1083:Q1644)=0),"""",OR(AND(K1083&gt;=1000000000,OR(Y1083&gt;=1000000000,COUNTA(Q1083:Q1644)=0)),OR(Y1083&gt;=1000000000,AND(COUNTA(C1083:C1644)=0,P$3=TRUE))),
ROUNDDOWN((AB$1-AC$1)*MAX(INDEX(T$4:T1644,MATCH(LARGE(FILTER(Y$4:Y1"&amp;"644,Y$4:Y1644&lt;1000000000),1),Y$4:Y1644)),INDEX(F$4:F1644,MATCH(LARGE(FILTER(K$4:K1644,K$4:K1644&lt;1000000000),1),K$4:K1644)))),AND(K1083&lt;1000000000,COUNTA(C1083:C1644)&gt;0,P$3=FALSE),
ROUNDDOWN(INDEX(Y$4:Y1644,MATCH(LARGE(FILTER(W$4:W1644,W$4:W1644&lt;=I1083),1)"&amp;",W$4:W1644))+(I1083-LARGE(FILTER(W$4:W1644,W$4:W1644&lt;=I1083),1))*INDEX(T$4:T1644,MATCH(LARGE(FILTER(W$4:W1644,W$4:W1644&lt;=I1083),1),W$4:W1644))-K1083),1,
ROUNDDOWN(Y1083-INDEX(K$4:K1644,MATCH(LARGE(FILTER(I$4:I1644,I$4:I1644&lt;=W1083),1),I$4:I1644))-(W1083-L"&amp;"ARGE(FILTER(I$4:I1644,I$4:I1644&lt;=W1083),1))*INDEX(F$4:F1644,MATCH(LARGE(FILTER(I$4:I1644,I$4:I1644&lt;=W1083),1),I$4:I1644))))"),"")</f>
        <v/>
      </c>
      <c r="N1083" s="60" t="str">
        <f t="shared" si="8"/>
        <v/>
      </c>
      <c r="O1083" s="61" t="str">
        <f t="shared" si="9"/>
        <v/>
      </c>
      <c r="P1083" s="56" t="str">
        <f t="shared" si="10"/>
        <v/>
      </c>
      <c r="Q1083" s="105"/>
      <c r="R1083" s="10"/>
      <c r="S1083" s="59" t="str">
        <f t="array" ref="S1083">IF(COUNTA(Q1083:Q1644)=0,"",SUM((COUNTIF(Q$4:Q1083,Upgrades!$B$3:$B$13)-COUNTIF(Q$4:Q1083,"Sell_"&amp;Upgrades!$B$3:$B$13))*Upgrades!$D$3:$D$13))</f>
        <v/>
      </c>
      <c r="T1083" s="66" t="str">
        <f>IFERROR(__xludf.DUMMYFUNCTION("IF(COUNTA(Q1083:Q1644)=0,"""",IF(REGEXMATCH(INDEX(FILTER(Q$4:Q1083,Q$4:Q1083&lt;&gt;""""),ROWS(FILTER(Q$4:Q1083,Q$4:Q1083&lt;&gt;""""))),""^Sell_""),INDEX(FILTER(T$4:T1082,Q$4:Q1082&lt;&gt;""""),ROWS(FILTER(Q$4:Q1082,Q$4:Q1082&lt;&gt;""""))),$AD$5+S1083))"),"")</f>
        <v/>
      </c>
      <c r="U1083" s="10" t="str">
        <f>IFERROR(__xludf.DUMMYFUNCTION("IF(COUNTA(Q1083:Q1644)=0,"""",IF(Q1083="""",0,IF(REGEXMATCH(Q1083,""^Sell_""),-ROUNDDOWN(ROUNDUP(INDEX(Upgrades!$C$3:$C$13,MATCH(SUBSTITUTE(Q1083,""Sell_"",""""),Upgrades!$B$3:$B$13,0))*1.15^(COUNTIF(Q$4:Q1082,SUBSTITUTE(Q1083,""Sell_"",""""))-COUNTIF(Q$4"&amp;":Q1082,""Sell_""&amp;SUBSTITUTE(Q1083,""Sell_"",""""))))/2),ROUNDUP(INDEX(Upgrades!$C$3:$C$13,MATCH(Q1083,Upgrades!$B$3:$B$13,0))*1.15^(COUNTIF(Q$4:Q1082,Q1083)-COUNTIF(Q$4:Q1082,""Sell_""&amp;Q1083))))))"),"")</f>
        <v/>
      </c>
      <c r="V1083" s="10" t="str">
        <f t="shared" si="11"/>
        <v/>
      </c>
      <c r="W1083" s="68" t="str">
        <f t="shared" si="12"/>
        <v/>
      </c>
      <c r="X1083" s="59" t="str">
        <f t="shared" si="13"/>
        <v/>
      </c>
      <c r="Y1083" s="69" t="str">
        <f t="shared" si="14"/>
        <v/>
      </c>
      <c r="Z1083" s="11"/>
      <c r="AG1083" s="59"/>
    </row>
    <row r="1084">
      <c r="A1084" s="8"/>
      <c r="B1084" s="56" t="str">
        <f t="shared" si="2"/>
        <v/>
      </c>
      <c r="C1084" s="105"/>
      <c r="D1084" s="10"/>
      <c r="E1084" s="59" t="str">
        <f t="array" ref="E1084">IF(COUNTA(C1084:C1644)=0,"",SUM((COUNTIF(C$4:C1084,Upgrades!$B$3:$B$13)-COUNTIF(C$4:C1084,"Sell_"&amp;Upgrades!$B$3:$B$13))*Upgrades!$D$3:$D$13))</f>
        <v/>
      </c>
      <c r="F1084" s="66" t="str">
        <f>IFERROR(__xludf.DUMMYFUNCTION("IF(COUNTA(C1084:C1644)=0,"""",IF(REGEXMATCH(INDEX(FILTER(C$4:C1084,C$4:C1084&lt;&gt;""""),ROWS(FILTER(C$4:C1084,C$4:C1084&lt;&gt;""""))),""^Sell_""),INDEX(FILTER(F$4:F1083,C$4:C1083&lt;&gt;""""),ROWS(FILTER(C$4:C1083,C$4:C1083&lt;&gt;""""))),$AC$5+E1084))"),"")</f>
        <v/>
      </c>
      <c r="G1084" s="10" t="str">
        <f>IFERROR(__xludf.DUMMYFUNCTION("IF(COUNTA(C1084:C1644)=0,"""",IF(C1084="""",0,IF(REGEXMATCH(C1084,""^Sell_""),-ROUNDDOWN(ROUNDUP(INDEX(Upgrades!$C$3:$C$13,MATCH(SUBSTITUTE(C1084,""Sell_"",""""),Upgrades!$B$3:$B$13,0))*1.15^(COUNTIF(C$4:C1083,SUBSTITUTE(C1084,""Sell_"",""""))-COUNTIF(C$4"&amp;":C1083,""Sell_""&amp;SUBSTITUTE(C1084,""Sell_"",""""))))/2),ROUNDUP(INDEX(Upgrades!$C$3:$C$13,MATCH(C1084,Upgrades!$B$3:$B$13,0))*1.15^(COUNTIF(C$4:C1083,C1084)-COUNTIF(C$4:C1083,""Sell_""&amp;C1084))))))"),"")</f>
        <v/>
      </c>
      <c r="H1084" s="10" t="str">
        <f t="shared" si="3"/>
        <v/>
      </c>
      <c r="I1084" s="68" t="str">
        <f t="shared" si="4"/>
        <v/>
      </c>
      <c r="J1084" s="59" t="str">
        <f t="shared" si="5"/>
        <v/>
      </c>
      <c r="K1084" s="69" t="str">
        <f t="shared" si="6"/>
        <v/>
      </c>
      <c r="L1084" s="60" t="str">
        <f t="shared" si="7"/>
        <v/>
      </c>
      <c r="M1084" s="61" t="str">
        <f>IFERROR(__xludf.DUMMYFUNCTION("IFS(AND(COUNTA(C1084:C1644)=0,COUNTA(Q1084:Q1644)=0),"""",OR(AND(K1084&gt;=1000000000,OR(Y1084&gt;=1000000000,COUNTA(Q1084:Q1644)=0)),OR(Y1084&gt;=1000000000,AND(COUNTA(C1084:C1644)=0,P$3=TRUE))),
ROUNDDOWN((AB$1-AC$1)*MAX(INDEX(T$4:T1644,MATCH(LARGE(FILTER(Y$4:Y1"&amp;"644,Y$4:Y1644&lt;1000000000),1),Y$4:Y1644)),INDEX(F$4:F1644,MATCH(LARGE(FILTER(K$4:K1644,K$4:K1644&lt;1000000000),1),K$4:K1644)))),AND(K1084&lt;1000000000,COUNTA(C1084:C1644)&gt;0,P$3=FALSE),
ROUNDDOWN(INDEX(Y$4:Y1644,MATCH(LARGE(FILTER(W$4:W1644,W$4:W1644&lt;=I1084),1)"&amp;",W$4:W1644))+(I1084-LARGE(FILTER(W$4:W1644,W$4:W1644&lt;=I1084),1))*INDEX(T$4:T1644,MATCH(LARGE(FILTER(W$4:W1644,W$4:W1644&lt;=I1084),1),W$4:W1644))-K1084),1,
ROUNDDOWN(Y1084-INDEX(K$4:K1644,MATCH(LARGE(FILTER(I$4:I1644,I$4:I1644&lt;=W1084),1),I$4:I1644))-(W1084-L"&amp;"ARGE(FILTER(I$4:I1644,I$4:I1644&lt;=W1084),1))*INDEX(F$4:F1644,MATCH(LARGE(FILTER(I$4:I1644,I$4:I1644&lt;=W1084),1),I$4:I1644))))"),"")</f>
        <v/>
      </c>
      <c r="N1084" s="60" t="str">
        <f t="shared" si="8"/>
        <v/>
      </c>
      <c r="O1084" s="61" t="str">
        <f t="shared" si="9"/>
        <v/>
      </c>
      <c r="P1084" s="56" t="str">
        <f t="shared" si="10"/>
        <v/>
      </c>
      <c r="Q1084" s="105"/>
      <c r="R1084" s="10"/>
      <c r="S1084" s="59" t="str">
        <f t="array" ref="S1084">IF(COUNTA(Q1084:Q1644)=0,"",SUM((COUNTIF(Q$4:Q1084,Upgrades!$B$3:$B$13)-COUNTIF(Q$4:Q1084,"Sell_"&amp;Upgrades!$B$3:$B$13))*Upgrades!$D$3:$D$13))</f>
        <v/>
      </c>
      <c r="T1084" s="66" t="str">
        <f>IFERROR(__xludf.DUMMYFUNCTION("IF(COUNTA(Q1084:Q1644)=0,"""",IF(REGEXMATCH(INDEX(FILTER(Q$4:Q1084,Q$4:Q1084&lt;&gt;""""),ROWS(FILTER(Q$4:Q1084,Q$4:Q1084&lt;&gt;""""))),""^Sell_""),INDEX(FILTER(T$4:T1083,Q$4:Q1083&lt;&gt;""""),ROWS(FILTER(Q$4:Q1083,Q$4:Q1083&lt;&gt;""""))),$AD$5+S1084))"),"")</f>
        <v/>
      </c>
      <c r="U1084" s="10" t="str">
        <f>IFERROR(__xludf.DUMMYFUNCTION("IF(COUNTA(Q1084:Q1644)=0,"""",IF(Q1084="""",0,IF(REGEXMATCH(Q1084,""^Sell_""),-ROUNDDOWN(ROUNDUP(INDEX(Upgrades!$C$3:$C$13,MATCH(SUBSTITUTE(Q1084,""Sell_"",""""),Upgrades!$B$3:$B$13,0))*1.15^(COUNTIF(Q$4:Q1083,SUBSTITUTE(Q1084,""Sell_"",""""))-COUNTIF(Q$4"&amp;":Q1083,""Sell_""&amp;SUBSTITUTE(Q1084,""Sell_"",""""))))/2),ROUNDUP(INDEX(Upgrades!$C$3:$C$13,MATCH(Q1084,Upgrades!$B$3:$B$13,0))*1.15^(COUNTIF(Q$4:Q1083,Q1084)-COUNTIF(Q$4:Q1083,""Sell_""&amp;Q1084))))))"),"")</f>
        <v/>
      </c>
      <c r="V1084" s="10" t="str">
        <f t="shared" si="11"/>
        <v/>
      </c>
      <c r="W1084" s="68" t="str">
        <f t="shared" si="12"/>
        <v/>
      </c>
      <c r="X1084" s="59" t="str">
        <f t="shared" si="13"/>
        <v/>
      </c>
      <c r="Y1084" s="69" t="str">
        <f t="shared" si="14"/>
        <v/>
      </c>
      <c r="Z1084" s="11"/>
      <c r="AG1084" s="59"/>
    </row>
    <row r="1085">
      <c r="A1085" s="8"/>
      <c r="B1085" s="56" t="str">
        <f t="shared" si="2"/>
        <v/>
      </c>
      <c r="C1085" s="105"/>
      <c r="D1085" s="10"/>
      <c r="E1085" s="59" t="str">
        <f t="array" ref="E1085">IF(COUNTA(C1085:C1644)=0,"",SUM((COUNTIF(C$4:C1085,Upgrades!$B$3:$B$13)-COUNTIF(C$4:C1085,"Sell_"&amp;Upgrades!$B$3:$B$13))*Upgrades!$D$3:$D$13))</f>
        <v/>
      </c>
      <c r="F1085" s="66" t="str">
        <f>IFERROR(__xludf.DUMMYFUNCTION("IF(COUNTA(C1085:C1644)=0,"""",IF(REGEXMATCH(INDEX(FILTER(C$4:C1085,C$4:C1085&lt;&gt;""""),ROWS(FILTER(C$4:C1085,C$4:C1085&lt;&gt;""""))),""^Sell_""),INDEX(FILTER(F$4:F1084,C$4:C1084&lt;&gt;""""),ROWS(FILTER(C$4:C1084,C$4:C1084&lt;&gt;""""))),$AC$5+E1085))"),"")</f>
        <v/>
      </c>
      <c r="G1085" s="10" t="str">
        <f>IFERROR(__xludf.DUMMYFUNCTION("IF(COUNTA(C1085:C1644)=0,"""",IF(C1085="""",0,IF(REGEXMATCH(C1085,""^Sell_""),-ROUNDDOWN(ROUNDUP(INDEX(Upgrades!$C$3:$C$13,MATCH(SUBSTITUTE(C1085,""Sell_"",""""),Upgrades!$B$3:$B$13,0))*1.15^(COUNTIF(C$4:C1084,SUBSTITUTE(C1085,""Sell_"",""""))-COUNTIF(C$4"&amp;":C1084,""Sell_""&amp;SUBSTITUTE(C1085,""Sell_"",""""))))/2),ROUNDUP(INDEX(Upgrades!$C$3:$C$13,MATCH(C1085,Upgrades!$B$3:$B$13,0))*1.15^(COUNTIF(C$4:C1084,C1085)-COUNTIF(C$4:C1084,""Sell_""&amp;C1085))))))"),"")</f>
        <v/>
      </c>
      <c r="H1085" s="10" t="str">
        <f t="shared" si="3"/>
        <v/>
      </c>
      <c r="I1085" s="68" t="str">
        <f t="shared" si="4"/>
        <v/>
      </c>
      <c r="J1085" s="59" t="str">
        <f t="shared" si="5"/>
        <v/>
      </c>
      <c r="K1085" s="69" t="str">
        <f t="shared" si="6"/>
        <v/>
      </c>
      <c r="L1085" s="60" t="str">
        <f t="shared" si="7"/>
        <v/>
      </c>
      <c r="M1085" s="61" t="str">
        <f>IFERROR(__xludf.DUMMYFUNCTION("IFS(AND(COUNTA(C1085:C1644)=0,COUNTA(Q1085:Q1644)=0),"""",OR(AND(K1085&gt;=1000000000,OR(Y1085&gt;=1000000000,COUNTA(Q1085:Q1644)=0)),OR(Y1085&gt;=1000000000,AND(COUNTA(C1085:C1644)=0,P$3=TRUE))),
ROUNDDOWN((AB$1-AC$1)*MAX(INDEX(T$4:T1644,MATCH(LARGE(FILTER(Y$4:Y1"&amp;"644,Y$4:Y1644&lt;1000000000),1),Y$4:Y1644)),INDEX(F$4:F1644,MATCH(LARGE(FILTER(K$4:K1644,K$4:K1644&lt;1000000000),1),K$4:K1644)))),AND(K1085&lt;1000000000,COUNTA(C1085:C1644)&gt;0,P$3=FALSE),
ROUNDDOWN(INDEX(Y$4:Y1644,MATCH(LARGE(FILTER(W$4:W1644,W$4:W1644&lt;=I1085),1)"&amp;",W$4:W1644))+(I1085-LARGE(FILTER(W$4:W1644,W$4:W1644&lt;=I1085),1))*INDEX(T$4:T1644,MATCH(LARGE(FILTER(W$4:W1644,W$4:W1644&lt;=I1085),1),W$4:W1644))-K1085),1,
ROUNDDOWN(Y1085-INDEX(K$4:K1644,MATCH(LARGE(FILTER(I$4:I1644,I$4:I1644&lt;=W1085),1),I$4:I1644))-(W1085-L"&amp;"ARGE(FILTER(I$4:I1644,I$4:I1644&lt;=W1085),1))*INDEX(F$4:F1644,MATCH(LARGE(FILTER(I$4:I1644,I$4:I1644&lt;=W1085),1),I$4:I1644))))"),"")</f>
        <v/>
      </c>
      <c r="N1085" s="60" t="str">
        <f t="shared" si="8"/>
        <v/>
      </c>
      <c r="O1085" s="61" t="str">
        <f t="shared" si="9"/>
        <v/>
      </c>
      <c r="P1085" s="56" t="str">
        <f t="shared" si="10"/>
        <v/>
      </c>
      <c r="Q1085" s="105"/>
      <c r="R1085" s="10"/>
      <c r="S1085" s="59" t="str">
        <f t="array" ref="S1085">IF(COUNTA(Q1085:Q1644)=0,"",SUM((COUNTIF(Q$4:Q1085,Upgrades!$B$3:$B$13)-COUNTIF(Q$4:Q1085,"Sell_"&amp;Upgrades!$B$3:$B$13))*Upgrades!$D$3:$D$13))</f>
        <v/>
      </c>
      <c r="T1085" s="66" t="str">
        <f>IFERROR(__xludf.DUMMYFUNCTION("IF(COUNTA(Q1085:Q1644)=0,"""",IF(REGEXMATCH(INDEX(FILTER(Q$4:Q1085,Q$4:Q1085&lt;&gt;""""),ROWS(FILTER(Q$4:Q1085,Q$4:Q1085&lt;&gt;""""))),""^Sell_""),INDEX(FILTER(T$4:T1084,Q$4:Q1084&lt;&gt;""""),ROWS(FILTER(Q$4:Q1084,Q$4:Q1084&lt;&gt;""""))),$AD$5+S1085))"),"")</f>
        <v/>
      </c>
      <c r="U1085" s="10" t="str">
        <f>IFERROR(__xludf.DUMMYFUNCTION("IF(COUNTA(Q1085:Q1644)=0,"""",IF(Q1085="""",0,IF(REGEXMATCH(Q1085,""^Sell_""),-ROUNDDOWN(ROUNDUP(INDEX(Upgrades!$C$3:$C$13,MATCH(SUBSTITUTE(Q1085,""Sell_"",""""),Upgrades!$B$3:$B$13,0))*1.15^(COUNTIF(Q$4:Q1084,SUBSTITUTE(Q1085,""Sell_"",""""))-COUNTIF(Q$4"&amp;":Q1084,""Sell_""&amp;SUBSTITUTE(Q1085,""Sell_"",""""))))/2),ROUNDUP(INDEX(Upgrades!$C$3:$C$13,MATCH(Q1085,Upgrades!$B$3:$B$13,0))*1.15^(COUNTIF(Q$4:Q1084,Q1085)-COUNTIF(Q$4:Q1084,""Sell_""&amp;Q1085))))))"),"")</f>
        <v/>
      </c>
      <c r="V1085" s="10" t="str">
        <f t="shared" si="11"/>
        <v/>
      </c>
      <c r="W1085" s="68" t="str">
        <f t="shared" si="12"/>
        <v/>
      </c>
      <c r="X1085" s="59" t="str">
        <f t="shared" si="13"/>
        <v/>
      </c>
      <c r="Y1085" s="69" t="str">
        <f t="shared" si="14"/>
        <v/>
      </c>
      <c r="Z1085" s="11"/>
      <c r="AG1085" s="59"/>
    </row>
    <row r="1086">
      <c r="A1086" s="8"/>
      <c r="B1086" s="56" t="str">
        <f t="shared" si="2"/>
        <v/>
      </c>
      <c r="C1086" s="105"/>
      <c r="D1086" s="10"/>
      <c r="E1086" s="59" t="str">
        <f t="array" ref="E1086">IF(COUNTA(C1086:C1644)=0,"",SUM((COUNTIF(C$4:C1086,Upgrades!$B$3:$B$13)-COUNTIF(C$4:C1086,"Sell_"&amp;Upgrades!$B$3:$B$13))*Upgrades!$D$3:$D$13))</f>
        <v/>
      </c>
      <c r="F1086" s="66" t="str">
        <f>IFERROR(__xludf.DUMMYFUNCTION("IF(COUNTA(C1086:C1644)=0,"""",IF(REGEXMATCH(INDEX(FILTER(C$4:C1086,C$4:C1086&lt;&gt;""""),ROWS(FILTER(C$4:C1086,C$4:C1086&lt;&gt;""""))),""^Sell_""),INDEX(FILTER(F$4:F1085,C$4:C1085&lt;&gt;""""),ROWS(FILTER(C$4:C1085,C$4:C1085&lt;&gt;""""))),$AC$5+E1086))"),"")</f>
        <v/>
      </c>
      <c r="G1086" s="10" t="str">
        <f>IFERROR(__xludf.DUMMYFUNCTION("IF(COUNTA(C1086:C1644)=0,"""",IF(C1086="""",0,IF(REGEXMATCH(C1086,""^Sell_""),-ROUNDDOWN(ROUNDUP(INDEX(Upgrades!$C$3:$C$13,MATCH(SUBSTITUTE(C1086,""Sell_"",""""),Upgrades!$B$3:$B$13,0))*1.15^(COUNTIF(C$4:C1085,SUBSTITUTE(C1086,""Sell_"",""""))-COUNTIF(C$4"&amp;":C1085,""Sell_""&amp;SUBSTITUTE(C1086,""Sell_"",""""))))/2),ROUNDUP(INDEX(Upgrades!$C$3:$C$13,MATCH(C1086,Upgrades!$B$3:$B$13,0))*1.15^(COUNTIF(C$4:C1085,C1086)-COUNTIF(C$4:C1085,""Sell_""&amp;C1086))))))"),"")</f>
        <v/>
      </c>
      <c r="H1086" s="10" t="str">
        <f t="shared" si="3"/>
        <v/>
      </c>
      <c r="I1086" s="68" t="str">
        <f t="shared" si="4"/>
        <v/>
      </c>
      <c r="J1086" s="59" t="str">
        <f t="shared" si="5"/>
        <v/>
      </c>
      <c r="K1086" s="69" t="str">
        <f t="shared" si="6"/>
        <v/>
      </c>
      <c r="L1086" s="60" t="str">
        <f t="shared" si="7"/>
        <v/>
      </c>
      <c r="M1086" s="61" t="str">
        <f>IFERROR(__xludf.DUMMYFUNCTION("IFS(AND(COUNTA(C1086:C1644)=0,COUNTA(Q1086:Q1644)=0),"""",OR(AND(K1086&gt;=1000000000,OR(Y1086&gt;=1000000000,COUNTA(Q1086:Q1644)=0)),OR(Y1086&gt;=1000000000,AND(COUNTA(C1086:C1644)=0,P$3=TRUE))),
ROUNDDOWN((AB$1-AC$1)*MAX(INDEX(T$4:T1644,MATCH(LARGE(FILTER(Y$4:Y1"&amp;"644,Y$4:Y1644&lt;1000000000),1),Y$4:Y1644)),INDEX(F$4:F1644,MATCH(LARGE(FILTER(K$4:K1644,K$4:K1644&lt;1000000000),1),K$4:K1644)))),AND(K1086&lt;1000000000,COUNTA(C1086:C1644)&gt;0,P$3=FALSE),
ROUNDDOWN(INDEX(Y$4:Y1644,MATCH(LARGE(FILTER(W$4:W1644,W$4:W1644&lt;=I1086),1)"&amp;",W$4:W1644))+(I1086-LARGE(FILTER(W$4:W1644,W$4:W1644&lt;=I1086),1))*INDEX(T$4:T1644,MATCH(LARGE(FILTER(W$4:W1644,W$4:W1644&lt;=I1086),1),W$4:W1644))-K1086),1,
ROUNDDOWN(Y1086-INDEX(K$4:K1644,MATCH(LARGE(FILTER(I$4:I1644,I$4:I1644&lt;=W1086),1),I$4:I1644))-(W1086-L"&amp;"ARGE(FILTER(I$4:I1644,I$4:I1644&lt;=W1086),1))*INDEX(F$4:F1644,MATCH(LARGE(FILTER(I$4:I1644,I$4:I1644&lt;=W1086),1),I$4:I1644))))"),"")</f>
        <v/>
      </c>
      <c r="N1086" s="60" t="str">
        <f t="shared" si="8"/>
        <v/>
      </c>
      <c r="O1086" s="61" t="str">
        <f t="shared" si="9"/>
        <v/>
      </c>
      <c r="P1086" s="56" t="str">
        <f t="shared" si="10"/>
        <v/>
      </c>
      <c r="Q1086" s="105"/>
      <c r="R1086" s="10"/>
      <c r="S1086" s="59" t="str">
        <f t="array" ref="S1086">IF(COUNTA(Q1086:Q1644)=0,"",SUM((COUNTIF(Q$4:Q1086,Upgrades!$B$3:$B$13)-COUNTIF(Q$4:Q1086,"Sell_"&amp;Upgrades!$B$3:$B$13))*Upgrades!$D$3:$D$13))</f>
        <v/>
      </c>
      <c r="T1086" s="66" t="str">
        <f>IFERROR(__xludf.DUMMYFUNCTION("IF(COUNTA(Q1086:Q1644)=0,"""",IF(REGEXMATCH(INDEX(FILTER(Q$4:Q1086,Q$4:Q1086&lt;&gt;""""),ROWS(FILTER(Q$4:Q1086,Q$4:Q1086&lt;&gt;""""))),""^Sell_""),INDEX(FILTER(T$4:T1085,Q$4:Q1085&lt;&gt;""""),ROWS(FILTER(Q$4:Q1085,Q$4:Q1085&lt;&gt;""""))),$AD$5+S1086))"),"")</f>
        <v/>
      </c>
      <c r="U1086" s="10" t="str">
        <f>IFERROR(__xludf.DUMMYFUNCTION("IF(COUNTA(Q1086:Q1644)=0,"""",IF(Q1086="""",0,IF(REGEXMATCH(Q1086,""^Sell_""),-ROUNDDOWN(ROUNDUP(INDEX(Upgrades!$C$3:$C$13,MATCH(SUBSTITUTE(Q1086,""Sell_"",""""),Upgrades!$B$3:$B$13,0))*1.15^(COUNTIF(Q$4:Q1085,SUBSTITUTE(Q1086,""Sell_"",""""))-COUNTIF(Q$4"&amp;":Q1085,""Sell_""&amp;SUBSTITUTE(Q1086,""Sell_"",""""))))/2),ROUNDUP(INDEX(Upgrades!$C$3:$C$13,MATCH(Q1086,Upgrades!$B$3:$B$13,0))*1.15^(COUNTIF(Q$4:Q1085,Q1086)-COUNTIF(Q$4:Q1085,""Sell_""&amp;Q1086))))))"),"")</f>
        <v/>
      </c>
      <c r="V1086" s="10" t="str">
        <f t="shared" si="11"/>
        <v/>
      </c>
      <c r="W1086" s="68" t="str">
        <f t="shared" si="12"/>
        <v/>
      </c>
      <c r="X1086" s="59" t="str">
        <f t="shared" si="13"/>
        <v/>
      </c>
      <c r="Y1086" s="69" t="str">
        <f t="shared" si="14"/>
        <v/>
      </c>
      <c r="Z1086" s="11"/>
      <c r="AG1086" s="59"/>
    </row>
    <row r="1087">
      <c r="A1087" s="8"/>
      <c r="B1087" s="56" t="str">
        <f t="shared" si="2"/>
        <v/>
      </c>
      <c r="C1087" s="105"/>
      <c r="D1087" s="10"/>
      <c r="E1087" s="59" t="str">
        <f t="array" ref="E1087">IF(COUNTA(C1087:C1644)=0,"",SUM((COUNTIF(C$4:C1087,Upgrades!$B$3:$B$13)-COUNTIF(C$4:C1087,"Sell_"&amp;Upgrades!$B$3:$B$13))*Upgrades!$D$3:$D$13))</f>
        <v/>
      </c>
      <c r="F1087" s="66" t="str">
        <f>IFERROR(__xludf.DUMMYFUNCTION("IF(COUNTA(C1087:C1644)=0,"""",IF(REGEXMATCH(INDEX(FILTER(C$4:C1087,C$4:C1087&lt;&gt;""""),ROWS(FILTER(C$4:C1087,C$4:C1087&lt;&gt;""""))),""^Sell_""),INDEX(FILTER(F$4:F1086,C$4:C1086&lt;&gt;""""),ROWS(FILTER(C$4:C1086,C$4:C1086&lt;&gt;""""))),$AC$5+E1087))"),"")</f>
        <v/>
      </c>
      <c r="G1087" s="10" t="str">
        <f>IFERROR(__xludf.DUMMYFUNCTION("IF(COUNTA(C1087:C1644)=0,"""",IF(C1087="""",0,IF(REGEXMATCH(C1087,""^Sell_""),-ROUNDDOWN(ROUNDUP(INDEX(Upgrades!$C$3:$C$13,MATCH(SUBSTITUTE(C1087,""Sell_"",""""),Upgrades!$B$3:$B$13,0))*1.15^(COUNTIF(C$4:C1086,SUBSTITUTE(C1087,""Sell_"",""""))-COUNTIF(C$4"&amp;":C1086,""Sell_""&amp;SUBSTITUTE(C1087,""Sell_"",""""))))/2),ROUNDUP(INDEX(Upgrades!$C$3:$C$13,MATCH(C1087,Upgrades!$B$3:$B$13,0))*1.15^(COUNTIF(C$4:C1086,C1087)-COUNTIF(C$4:C1086,""Sell_""&amp;C1087))))))"),"")</f>
        <v/>
      </c>
      <c r="H1087" s="10" t="str">
        <f t="shared" si="3"/>
        <v/>
      </c>
      <c r="I1087" s="68" t="str">
        <f t="shared" si="4"/>
        <v/>
      </c>
      <c r="J1087" s="59" t="str">
        <f t="shared" si="5"/>
        <v/>
      </c>
      <c r="K1087" s="69" t="str">
        <f t="shared" si="6"/>
        <v/>
      </c>
      <c r="L1087" s="60" t="str">
        <f t="shared" si="7"/>
        <v/>
      </c>
      <c r="M1087" s="61" t="str">
        <f>IFERROR(__xludf.DUMMYFUNCTION("IFS(AND(COUNTA(C1087:C1644)=0,COUNTA(Q1087:Q1644)=0),"""",OR(AND(K1087&gt;=1000000000,OR(Y1087&gt;=1000000000,COUNTA(Q1087:Q1644)=0)),OR(Y1087&gt;=1000000000,AND(COUNTA(C1087:C1644)=0,P$3=TRUE))),
ROUNDDOWN((AB$1-AC$1)*MAX(INDEX(T$4:T1644,MATCH(LARGE(FILTER(Y$4:Y1"&amp;"644,Y$4:Y1644&lt;1000000000),1),Y$4:Y1644)),INDEX(F$4:F1644,MATCH(LARGE(FILTER(K$4:K1644,K$4:K1644&lt;1000000000),1),K$4:K1644)))),AND(K1087&lt;1000000000,COUNTA(C1087:C1644)&gt;0,P$3=FALSE),
ROUNDDOWN(INDEX(Y$4:Y1644,MATCH(LARGE(FILTER(W$4:W1644,W$4:W1644&lt;=I1087),1)"&amp;",W$4:W1644))+(I1087-LARGE(FILTER(W$4:W1644,W$4:W1644&lt;=I1087),1))*INDEX(T$4:T1644,MATCH(LARGE(FILTER(W$4:W1644,W$4:W1644&lt;=I1087),1),W$4:W1644))-K1087),1,
ROUNDDOWN(Y1087-INDEX(K$4:K1644,MATCH(LARGE(FILTER(I$4:I1644,I$4:I1644&lt;=W1087),1),I$4:I1644))-(W1087-L"&amp;"ARGE(FILTER(I$4:I1644,I$4:I1644&lt;=W1087),1))*INDEX(F$4:F1644,MATCH(LARGE(FILTER(I$4:I1644,I$4:I1644&lt;=W1087),1),I$4:I1644))))"),"")</f>
        <v/>
      </c>
      <c r="N1087" s="60" t="str">
        <f t="shared" si="8"/>
        <v/>
      </c>
      <c r="O1087" s="61" t="str">
        <f t="shared" si="9"/>
        <v/>
      </c>
      <c r="P1087" s="56" t="str">
        <f t="shared" si="10"/>
        <v/>
      </c>
      <c r="Q1087" s="105"/>
      <c r="R1087" s="10"/>
      <c r="S1087" s="59" t="str">
        <f t="array" ref="S1087">IF(COUNTA(Q1087:Q1644)=0,"",SUM((COUNTIF(Q$4:Q1087,Upgrades!$B$3:$B$13)-COUNTIF(Q$4:Q1087,"Sell_"&amp;Upgrades!$B$3:$B$13))*Upgrades!$D$3:$D$13))</f>
        <v/>
      </c>
      <c r="T1087" s="66" t="str">
        <f>IFERROR(__xludf.DUMMYFUNCTION("IF(COUNTA(Q1087:Q1644)=0,"""",IF(REGEXMATCH(INDEX(FILTER(Q$4:Q1087,Q$4:Q1087&lt;&gt;""""),ROWS(FILTER(Q$4:Q1087,Q$4:Q1087&lt;&gt;""""))),""^Sell_""),INDEX(FILTER(T$4:T1086,Q$4:Q1086&lt;&gt;""""),ROWS(FILTER(Q$4:Q1086,Q$4:Q1086&lt;&gt;""""))),$AD$5+S1087))"),"")</f>
        <v/>
      </c>
      <c r="U1087" s="10" t="str">
        <f>IFERROR(__xludf.DUMMYFUNCTION("IF(COUNTA(Q1087:Q1644)=0,"""",IF(Q1087="""",0,IF(REGEXMATCH(Q1087,""^Sell_""),-ROUNDDOWN(ROUNDUP(INDEX(Upgrades!$C$3:$C$13,MATCH(SUBSTITUTE(Q1087,""Sell_"",""""),Upgrades!$B$3:$B$13,0))*1.15^(COUNTIF(Q$4:Q1086,SUBSTITUTE(Q1087,""Sell_"",""""))-COUNTIF(Q$4"&amp;":Q1086,""Sell_""&amp;SUBSTITUTE(Q1087,""Sell_"",""""))))/2),ROUNDUP(INDEX(Upgrades!$C$3:$C$13,MATCH(Q1087,Upgrades!$B$3:$B$13,0))*1.15^(COUNTIF(Q$4:Q1086,Q1087)-COUNTIF(Q$4:Q1086,""Sell_""&amp;Q1087))))))"),"")</f>
        <v/>
      </c>
      <c r="V1087" s="10" t="str">
        <f t="shared" si="11"/>
        <v/>
      </c>
      <c r="W1087" s="68" t="str">
        <f t="shared" si="12"/>
        <v/>
      </c>
      <c r="X1087" s="59" t="str">
        <f t="shared" si="13"/>
        <v/>
      </c>
      <c r="Y1087" s="69" t="str">
        <f t="shared" si="14"/>
        <v/>
      </c>
      <c r="Z1087" s="11"/>
      <c r="AG1087" s="59"/>
    </row>
    <row r="1088">
      <c r="A1088" s="8"/>
      <c r="B1088" s="56" t="str">
        <f t="shared" si="2"/>
        <v/>
      </c>
      <c r="C1088" s="105"/>
      <c r="D1088" s="10"/>
      <c r="E1088" s="59" t="str">
        <f t="array" ref="E1088">IF(COUNTA(C1088:C1644)=0,"",SUM((COUNTIF(C$4:C1088,Upgrades!$B$3:$B$13)-COUNTIF(C$4:C1088,"Sell_"&amp;Upgrades!$B$3:$B$13))*Upgrades!$D$3:$D$13))</f>
        <v/>
      </c>
      <c r="F1088" s="66" t="str">
        <f>IFERROR(__xludf.DUMMYFUNCTION("IF(COUNTA(C1088:C1644)=0,"""",IF(REGEXMATCH(INDEX(FILTER(C$4:C1088,C$4:C1088&lt;&gt;""""),ROWS(FILTER(C$4:C1088,C$4:C1088&lt;&gt;""""))),""^Sell_""),INDEX(FILTER(F$4:F1087,C$4:C1087&lt;&gt;""""),ROWS(FILTER(C$4:C1087,C$4:C1087&lt;&gt;""""))),$AC$5+E1088))"),"")</f>
        <v/>
      </c>
      <c r="G1088" s="10" t="str">
        <f>IFERROR(__xludf.DUMMYFUNCTION("IF(COUNTA(C1088:C1644)=0,"""",IF(C1088="""",0,IF(REGEXMATCH(C1088,""^Sell_""),-ROUNDDOWN(ROUNDUP(INDEX(Upgrades!$C$3:$C$13,MATCH(SUBSTITUTE(C1088,""Sell_"",""""),Upgrades!$B$3:$B$13,0))*1.15^(COUNTIF(C$4:C1087,SUBSTITUTE(C1088,""Sell_"",""""))-COUNTIF(C$4"&amp;":C1087,""Sell_""&amp;SUBSTITUTE(C1088,""Sell_"",""""))))/2),ROUNDUP(INDEX(Upgrades!$C$3:$C$13,MATCH(C1088,Upgrades!$B$3:$B$13,0))*1.15^(COUNTIF(C$4:C1087,C1088)-COUNTIF(C$4:C1087,""Sell_""&amp;C1088))))))"),"")</f>
        <v/>
      </c>
      <c r="H1088" s="10" t="str">
        <f t="shared" si="3"/>
        <v/>
      </c>
      <c r="I1088" s="68" t="str">
        <f t="shared" si="4"/>
        <v/>
      </c>
      <c r="J1088" s="59" t="str">
        <f t="shared" si="5"/>
        <v/>
      </c>
      <c r="K1088" s="69" t="str">
        <f t="shared" si="6"/>
        <v/>
      </c>
      <c r="L1088" s="60" t="str">
        <f t="shared" si="7"/>
        <v/>
      </c>
      <c r="M1088" s="61" t="str">
        <f>IFERROR(__xludf.DUMMYFUNCTION("IFS(AND(COUNTA(C1088:C1644)=0,COUNTA(Q1088:Q1644)=0),"""",OR(AND(K1088&gt;=1000000000,OR(Y1088&gt;=1000000000,COUNTA(Q1088:Q1644)=0)),OR(Y1088&gt;=1000000000,AND(COUNTA(C1088:C1644)=0,P$3=TRUE))),
ROUNDDOWN((AB$1-AC$1)*MAX(INDEX(T$4:T1644,MATCH(LARGE(FILTER(Y$4:Y1"&amp;"644,Y$4:Y1644&lt;1000000000),1),Y$4:Y1644)),INDEX(F$4:F1644,MATCH(LARGE(FILTER(K$4:K1644,K$4:K1644&lt;1000000000),1),K$4:K1644)))),AND(K1088&lt;1000000000,COUNTA(C1088:C1644)&gt;0,P$3=FALSE),
ROUNDDOWN(INDEX(Y$4:Y1644,MATCH(LARGE(FILTER(W$4:W1644,W$4:W1644&lt;=I1088),1)"&amp;",W$4:W1644))+(I1088-LARGE(FILTER(W$4:W1644,W$4:W1644&lt;=I1088),1))*INDEX(T$4:T1644,MATCH(LARGE(FILTER(W$4:W1644,W$4:W1644&lt;=I1088),1),W$4:W1644))-K1088),1,
ROUNDDOWN(Y1088-INDEX(K$4:K1644,MATCH(LARGE(FILTER(I$4:I1644,I$4:I1644&lt;=W1088),1),I$4:I1644))-(W1088-L"&amp;"ARGE(FILTER(I$4:I1644,I$4:I1644&lt;=W1088),1))*INDEX(F$4:F1644,MATCH(LARGE(FILTER(I$4:I1644,I$4:I1644&lt;=W1088),1),I$4:I1644))))"),"")</f>
        <v/>
      </c>
      <c r="N1088" s="60" t="str">
        <f t="shared" si="8"/>
        <v/>
      </c>
      <c r="O1088" s="61" t="str">
        <f t="shared" si="9"/>
        <v/>
      </c>
      <c r="P1088" s="56" t="str">
        <f t="shared" si="10"/>
        <v/>
      </c>
      <c r="Q1088" s="105"/>
      <c r="R1088" s="10"/>
      <c r="S1088" s="59" t="str">
        <f t="array" ref="S1088">IF(COUNTA(Q1088:Q1644)=0,"",SUM((COUNTIF(Q$4:Q1088,Upgrades!$B$3:$B$13)-COUNTIF(Q$4:Q1088,"Sell_"&amp;Upgrades!$B$3:$B$13))*Upgrades!$D$3:$D$13))</f>
        <v/>
      </c>
      <c r="T1088" s="66" t="str">
        <f>IFERROR(__xludf.DUMMYFUNCTION("IF(COUNTA(Q1088:Q1644)=0,"""",IF(REGEXMATCH(INDEX(FILTER(Q$4:Q1088,Q$4:Q1088&lt;&gt;""""),ROWS(FILTER(Q$4:Q1088,Q$4:Q1088&lt;&gt;""""))),""^Sell_""),INDEX(FILTER(T$4:T1087,Q$4:Q1087&lt;&gt;""""),ROWS(FILTER(Q$4:Q1087,Q$4:Q1087&lt;&gt;""""))),$AD$5+S1088))"),"")</f>
        <v/>
      </c>
      <c r="U1088" s="10" t="str">
        <f>IFERROR(__xludf.DUMMYFUNCTION("IF(COUNTA(Q1088:Q1644)=0,"""",IF(Q1088="""",0,IF(REGEXMATCH(Q1088,""^Sell_""),-ROUNDDOWN(ROUNDUP(INDEX(Upgrades!$C$3:$C$13,MATCH(SUBSTITUTE(Q1088,""Sell_"",""""),Upgrades!$B$3:$B$13,0))*1.15^(COUNTIF(Q$4:Q1087,SUBSTITUTE(Q1088,""Sell_"",""""))-COUNTIF(Q$4"&amp;":Q1087,""Sell_""&amp;SUBSTITUTE(Q1088,""Sell_"",""""))))/2),ROUNDUP(INDEX(Upgrades!$C$3:$C$13,MATCH(Q1088,Upgrades!$B$3:$B$13,0))*1.15^(COUNTIF(Q$4:Q1087,Q1088)-COUNTIF(Q$4:Q1087,""Sell_""&amp;Q1088))))))"),"")</f>
        <v/>
      </c>
      <c r="V1088" s="10" t="str">
        <f t="shared" si="11"/>
        <v/>
      </c>
      <c r="W1088" s="68" t="str">
        <f t="shared" si="12"/>
        <v/>
      </c>
      <c r="X1088" s="59" t="str">
        <f t="shared" si="13"/>
        <v/>
      </c>
      <c r="Y1088" s="69" t="str">
        <f t="shared" si="14"/>
        <v/>
      </c>
      <c r="Z1088" s="11"/>
      <c r="AG1088" s="59"/>
    </row>
    <row r="1089">
      <c r="A1089" s="8"/>
      <c r="B1089" s="56" t="str">
        <f t="shared" si="2"/>
        <v/>
      </c>
      <c r="C1089" s="105"/>
      <c r="D1089" s="10"/>
      <c r="E1089" s="59" t="str">
        <f t="array" ref="E1089">IF(COUNTA(C1089:C1644)=0,"",SUM((COUNTIF(C$4:C1089,Upgrades!$B$3:$B$13)-COUNTIF(C$4:C1089,"Sell_"&amp;Upgrades!$B$3:$B$13))*Upgrades!$D$3:$D$13))</f>
        <v/>
      </c>
      <c r="F1089" s="66" t="str">
        <f>IFERROR(__xludf.DUMMYFUNCTION("IF(COUNTA(C1089:C1644)=0,"""",IF(REGEXMATCH(INDEX(FILTER(C$4:C1089,C$4:C1089&lt;&gt;""""),ROWS(FILTER(C$4:C1089,C$4:C1089&lt;&gt;""""))),""^Sell_""),INDEX(FILTER(F$4:F1088,C$4:C1088&lt;&gt;""""),ROWS(FILTER(C$4:C1088,C$4:C1088&lt;&gt;""""))),$AC$5+E1089))"),"")</f>
        <v/>
      </c>
      <c r="G1089" s="10" t="str">
        <f>IFERROR(__xludf.DUMMYFUNCTION("IF(COUNTA(C1089:C1644)=0,"""",IF(C1089="""",0,IF(REGEXMATCH(C1089,""^Sell_""),-ROUNDDOWN(ROUNDUP(INDEX(Upgrades!$C$3:$C$13,MATCH(SUBSTITUTE(C1089,""Sell_"",""""),Upgrades!$B$3:$B$13,0))*1.15^(COUNTIF(C$4:C1088,SUBSTITUTE(C1089,""Sell_"",""""))-COUNTIF(C$4"&amp;":C1088,""Sell_""&amp;SUBSTITUTE(C1089,""Sell_"",""""))))/2),ROUNDUP(INDEX(Upgrades!$C$3:$C$13,MATCH(C1089,Upgrades!$B$3:$B$13,0))*1.15^(COUNTIF(C$4:C1088,C1089)-COUNTIF(C$4:C1088,""Sell_""&amp;C1089))))))"),"")</f>
        <v/>
      </c>
      <c r="H1089" s="10" t="str">
        <f t="shared" si="3"/>
        <v/>
      </c>
      <c r="I1089" s="68" t="str">
        <f t="shared" si="4"/>
        <v/>
      </c>
      <c r="J1089" s="59" t="str">
        <f t="shared" si="5"/>
        <v/>
      </c>
      <c r="K1089" s="69" t="str">
        <f t="shared" si="6"/>
        <v/>
      </c>
      <c r="L1089" s="60" t="str">
        <f t="shared" si="7"/>
        <v/>
      </c>
      <c r="M1089" s="61" t="str">
        <f>IFERROR(__xludf.DUMMYFUNCTION("IFS(AND(COUNTA(C1089:C1644)=0,COUNTA(Q1089:Q1644)=0),"""",OR(AND(K1089&gt;=1000000000,OR(Y1089&gt;=1000000000,COUNTA(Q1089:Q1644)=0)),OR(Y1089&gt;=1000000000,AND(COUNTA(C1089:C1644)=0,P$3=TRUE))),
ROUNDDOWN((AB$1-AC$1)*MAX(INDEX(T$4:T1644,MATCH(LARGE(FILTER(Y$4:Y1"&amp;"644,Y$4:Y1644&lt;1000000000),1),Y$4:Y1644)),INDEX(F$4:F1644,MATCH(LARGE(FILTER(K$4:K1644,K$4:K1644&lt;1000000000),1),K$4:K1644)))),AND(K1089&lt;1000000000,COUNTA(C1089:C1644)&gt;0,P$3=FALSE),
ROUNDDOWN(INDEX(Y$4:Y1644,MATCH(LARGE(FILTER(W$4:W1644,W$4:W1644&lt;=I1089),1)"&amp;",W$4:W1644))+(I1089-LARGE(FILTER(W$4:W1644,W$4:W1644&lt;=I1089),1))*INDEX(T$4:T1644,MATCH(LARGE(FILTER(W$4:W1644,W$4:W1644&lt;=I1089),1),W$4:W1644))-K1089),1,
ROUNDDOWN(Y1089-INDEX(K$4:K1644,MATCH(LARGE(FILTER(I$4:I1644,I$4:I1644&lt;=W1089),1),I$4:I1644))-(W1089-L"&amp;"ARGE(FILTER(I$4:I1644,I$4:I1644&lt;=W1089),1))*INDEX(F$4:F1644,MATCH(LARGE(FILTER(I$4:I1644,I$4:I1644&lt;=W1089),1),I$4:I1644))))"),"")</f>
        <v/>
      </c>
      <c r="N1089" s="60" t="str">
        <f t="shared" si="8"/>
        <v/>
      </c>
      <c r="O1089" s="61" t="str">
        <f t="shared" si="9"/>
        <v/>
      </c>
      <c r="P1089" s="56" t="str">
        <f t="shared" si="10"/>
        <v/>
      </c>
      <c r="Q1089" s="105"/>
      <c r="R1089" s="10"/>
      <c r="S1089" s="59" t="str">
        <f t="array" ref="S1089">IF(COUNTA(Q1089:Q1644)=0,"",SUM((COUNTIF(Q$4:Q1089,Upgrades!$B$3:$B$13)-COUNTIF(Q$4:Q1089,"Sell_"&amp;Upgrades!$B$3:$B$13))*Upgrades!$D$3:$D$13))</f>
        <v/>
      </c>
      <c r="T1089" s="66" t="str">
        <f>IFERROR(__xludf.DUMMYFUNCTION("IF(COUNTA(Q1089:Q1644)=0,"""",IF(REGEXMATCH(INDEX(FILTER(Q$4:Q1089,Q$4:Q1089&lt;&gt;""""),ROWS(FILTER(Q$4:Q1089,Q$4:Q1089&lt;&gt;""""))),""^Sell_""),INDEX(FILTER(T$4:T1088,Q$4:Q1088&lt;&gt;""""),ROWS(FILTER(Q$4:Q1088,Q$4:Q1088&lt;&gt;""""))),$AD$5+S1089))"),"")</f>
        <v/>
      </c>
      <c r="U1089" s="10" t="str">
        <f>IFERROR(__xludf.DUMMYFUNCTION("IF(COUNTA(Q1089:Q1644)=0,"""",IF(Q1089="""",0,IF(REGEXMATCH(Q1089,""^Sell_""),-ROUNDDOWN(ROUNDUP(INDEX(Upgrades!$C$3:$C$13,MATCH(SUBSTITUTE(Q1089,""Sell_"",""""),Upgrades!$B$3:$B$13,0))*1.15^(COUNTIF(Q$4:Q1088,SUBSTITUTE(Q1089,""Sell_"",""""))-COUNTIF(Q$4"&amp;":Q1088,""Sell_""&amp;SUBSTITUTE(Q1089,""Sell_"",""""))))/2),ROUNDUP(INDEX(Upgrades!$C$3:$C$13,MATCH(Q1089,Upgrades!$B$3:$B$13,0))*1.15^(COUNTIF(Q$4:Q1088,Q1089)-COUNTIF(Q$4:Q1088,""Sell_""&amp;Q1089))))))"),"")</f>
        <v/>
      </c>
      <c r="V1089" s="10" t="str">
        <f t="shared" si="11"/>
        <v/>
      </c>
      <c r="W1089" s="68" t="str">
        <f t="shared" si="12"/>
        <v/>
      </c>
      <c r="X1089" s="59" t="str">
        <f t="shared" si="13"/>
        <v/>
      </c>
      <c r="Y1089" s="69" t="str">
        <f t="shared" si="14"/>
        <v/>
      </c>
      <c r="Z1089" s="11"/>
      <c r="AG1089" s="59"/>
    </row>
    <row r="1090">
      <c r="A1090" s="8"/>
      <c r="B1090" s="56" t="str">
        <f t="shared" si="2"/>
        <v/>
      </c>
      <c r="C1090" s="105"/>
      <c r="D1090" s="10"/>
      <c r="E1090" s="59" t="str">
        <f t="array" ref="E1090">IF(COUNTA(C1090:C1644)=0,"",SUM((COUNTIF(C$4:C1090,Upgrades!$B$3:$B$13)-COUNTIF(C$4:C1090,"Sell_"&amp;Upgrades!$B$3:$B$13))*Upgrades!$D$3:$D$13))</f>
        <v/>
      </c>
      <c r="F1090" s="66" t="str">
        <f>IFERROR(__xludf.DUMMYFUNCTION("IF(COUNTA(C1090:C1644)=0,"""",IF(REGEXMATCH(INDEX(FILTER(C$4:C1090,C$4:C1090&lt;&gt;""""),ROWS(FILTER(C$4:C1090,C$4:C1090&lt;&gt;""""))),""^Sell_""),INDEX(FILTER(F$4:F1089,C$4:C1089&lt;&gt;""""),ROWS(FILTER(C$4:C1089,C$4:C1089&lt;&gt;""""))),$AC$5+E1090))"),"")</f>
        <v/>
      </c>
      <c r="G1090" s="10" t="str">
        <f>IFERROR(__xludf.DUMMYFUNCTION("IF(COUNTA(C1090:C1644)=0,"""",IF(C1090="""",0,IF(REGEXMATCH(C1090,""^Sell_""),-ROUNDDOWN(ROUNDUP(INDEX(Upgrades!$C$3:$C$13,MATCH(SUBSTITUTE(C1090,""Sell_"",""""),Upgrades!$B$3:$B$13,0))*1.15^(COUNTIF(C$4:C1089,SUBSTITUTE(C1090,""Sell_"",""""))-COUNTIF(C$4"&amp;":C1089,""Sell_""&amp;SUBSTITUTE(C1090,""Sell_"",""""))))/2),ROUNDUP(INDEX(Upgrades!$C$3:$C$13,MATCH(C1090,Upgrades!$B$3:$B$13,0))*1.15^(COUNTIF(C$4:C1089,C1090)-COUNTIF(C$4:C1089,""Sell_""&amp;C1090))))))"),"")</f>
        <v/>
      </c>
      <c r="H1090" s="10" t="str">
        <f t="shared" si="3"/>
        <v/>
      </c>
      <c r="I1090" s="68" t="str">
        <f t="shared" si="4"/>
        <v/>
      </c>
      <c r="J1090" s="59" t="str">
        <f t="shared" si="5"/>
        <v/>
      </c>
      <c r="K1090" s="69" t="str">
        <f t="shared" si="6"/>
        <v/>
      </c>
      <c r="L1090" s="60" t="str">
        <f t="shared" si="7"/>
        <v/>
      </c>
      <c r="M1090" s="61" t="str">
        <f>IFERROR(__xludf.DUMMYFUNCTION("IFS(AND(COUNTA(C1090:C1644)=0,COUNTA(Q1090:Q1644)=0),"""",OR(AND(K1090&gt;=1000000000,OR(Y1090&gt;=1000000000,COUNTA(Q1090:Q1644)=0)),OR(Y1090&gt;=1000000000,AND(COUNTA(C1090:C1644)=0,P$3=TRUE))),
ROUNDDOWN((AB$1-AC$1)*MAX(INDEX(T$4:T1644,MATCH(LARGE(FILTER(Y$4:Y1"&amp;"644,Y$4:Y1644&lt;1000000000),1),Y$4:Y1644)),INDEX(F$4:F1644,MATCH(LARGE(FILTER(K$4:K1644,K$4:K1644&lt;1000000000),1),K$4:K1644)))),AND(K1090&lt;1000000000,COUNTA(C1090:C1644)&gt;0,P$3=FALSE),
ROUNDDOWN(INDEX(Y$4:Y1644,MATCH(LARGE(FILTER(W$4:W1644,W$4:W1644&lt;=I1090),1)"&amp;",W$4:W1644))+(I1090-LARGE(FILTER(W$4:W1644,W$4:W1644&lt;=I1090),1))*INDEX(T$4:T1644,MATCH(LARGE(FILTER(W$4:W1644,W$4:W1644&lt;=I1090),1),W$4:W1644))-K1090),1,
ROUNDDOWN(Y1090-INDEX(K$4:K1644,MATCH(LARGE(FILTER(I$4:I1644,I$4:I1644&lt;=W1090),1),I$4:I1644))-(W1090-L"&amp;"ARGE(FILTER(I$4:I1644,I$4:I1644&lt;=W1090),1))*INDEX(F$4:F1644,MATCH(LARGE(FILTER(I$4:I1644,I$4:I1644&lt;=W1090),1),I$4:I1644))))"),"")</f>
        <v/>
      </c>
      <c r="N1090" s="60" t="str">
        <f t="shared" si="8"/>
        <v/>
      </c>
      <c r="O1090" s="61" t="str">
        <f t="shared" si="9"/>
        <v/>
      </c>
      <c r="P1090" s="56" t="str">
        <f t="shared" si="10"/>
        <v/>
      </c>
      <c r="Q1090" s="105"/>
      <c r="R1090" s="10"/>
      <c r="S1090" s="59" t="str">
        <f t="array" ref="S1090">IF(COUNTA(Q1090:Q1644)=0,"",SUM((COUNTIF(Q$4:Q1090,Upgrades!$B$3:$B$13)-COUNTIF(Q$4:Q1090,"Sell_"&amp;Upgrades!$B$3:$B$13))*Upgrades!$D$3:$D$13))</f>
        <v/>
      </c>
      <c r="T1090" s="66" t="str">
        <f>IFERROR(__xludf.DUMMYFUNCTION("IF(COUNTA(Q1090:Q1644)=0,"""",IF(REGEXMATCH(INDEX(FILTER(Q$4:Q1090,Q$4:Q1090&lt;&gt;""""),ROWS(FILTER(Q$4:Q1090,Q$4:Q1090&lt;&gt;""""))),""^Sell_""),INDEX(FILTER(T$4:T1089,Q$4:Q1089&lt;&gt;""""),ROWS(FILTER(Q$4:Q1089,Q$4:Q1089&lt;&gt;""""))),$AD$5+S1090))"),"")</f>
        <v/>
      </c>
      <c r="U1090" s="10" t="str">
        <f>IFERROR(__xludf.DUMMYFUNCTION("IF(COUNTA(Q1090:Q1644)=0,"""",IF(Q1090="""",0,IF(REGEXMATCH(Q1090,""^Sell_""),-ROUNDDOWN(ROUNDUP(INDEX(Upgrades!$C$3:$C$13,MATCH(SUBSTITUTE(Q1090,""Sell_"",""""),Upgrades!$B$3:$B$13,0))*1.15^(COUNTIF(Q$4:Q1089,SUBSTITUTE(Q1090,""Sell_"",""""))-COUNTIF(Q$4"&amp;":Q1089,""Sell_""&amp;SUBSTITUTE(Q1090,""Sell_"",""""))))/2),ROUNDUP(INDEX(Upgrades!$C$3:$C$13,MATCH(Q1090,Upgrades!$B$3:$B$13,0))*1.15^(COUNTIF(Q$4:Q1089,Q1090)-COUNTIF(Q$4:Q1089,""Sell_""&amp;Q1090))))))"),"")</f>
        <v/>
      </c>
      <c r="V1090" s="10" t="str">
        <f t="shared" si="11"/>
        <v/>
      </c>
      <c r="W1090" s="68" t="str">
        <f t="shared" si="12"/>
        <v/>
      </c>
      <c r="X1090" s="59" t="str">
        <f t="shared" si="13"/>
        <v/>
      </c>
      <c r="Y1090" s="69" t="str">
        <f t="shared" si="14"/>
        <v/>
      </c>
      <c r="Z1090" s="11"/>
      <c r="AG1090" s="59"/>
    </row>
    <row r="1091">
      <c r="A1091" s="8"/>
      <c r="B1091" s="56" t="str">
        <f t="shared" si="2"/>
        <v/>
      </c>
      <c r="C1091" s="105"/>
      <c r="D1091" s="10"/>
      <c r="E1091" s="59" t="str">
        <f t="array" ref="E1091">IF(COUNTA(C1091:C1644)=0,"",SUM((COUNTIF(C$4:C1091,Upgrades!$B$3:$B$13)-COUNTIF(C$4:C1091,"Sell_"&amp;Upgrades!$B$3:$B$13))*Upgrades!$D$3:$D$13))</f>
        <v/>
      </c>
      <c r="F1091" s="66" t="str">
        <f>IFERROR(__xludf.DUMMYFUNCTION("IF(COUNTA(C1091:C1644)=0,"""",IF(REGEXMATCH(INDEX(FILTER(C$4:C1091,C$4:C1091&lt;&gt;""""),ROWS(FILTER(C$4:C1091,C$4:C1091&lt;&gt;""""))),""^Sell_""),INDEX(FILTER(F$4:F1090,C$4:C1090&lt;&gt;""""),ROWS(FILTER(C$4:C1090,C$4:C1090&lt;&gt;""""))),$AC$5+E1091))"),"")</f>
        <v/>
      </c>
      <c r="G1091" s="10" t="str">
        <f>IFERROR(__xludf.DUMMYFUNCTION("IF(COUNTA(C1091:C1644)=0,"""",IF(C1091="""",0,IF(REGEXMATCH(C1091,""^Sell_""),-ROUNDDOWN(ROUNDUP(INDEX(Upgrades!$C$3:$C$13,MATCH(SUBSTITUTE(C1091,""Sell_"",""""),Upgrades!$B$3:$B$13,0))*1.15^(COUNTIF(C$4:C1090,SUBSTITUTE(C1091,""Sell_"",""""))-COUNTIF(C$4"&amp;":C1090,""Sell_""&amp;SUBSTITUTE(C1091,""Sell_"",""""))))/2),ROUNDUP(INDEX(Upgrades!$C$3:$C$13,MATCH(C1091,Upgrades!$B$3:$B$13,0))*1.15^(COUNTIF(C$4:C1090,C1091)-COUNTIF(C$4:C1090,""Sell_""&amp;C1091))))))"),"")</f>
        <v/>
      </c>
      <c r="H1091" s="10" t="str">
        <f t="shared" si="3"/>
        <v/>
      </c>
      <c r="I1091" s="68" t="str">
        <f t="shared" si="4"/>
        <v/>
      </c>
      <c r="J1091" s="59" t="str">
        <f t="shared" si="5"/>
        <v/>
      </c>
      <c r="K1091" s="69" t="str">
        <f t="shared" si="6"/>
        <v/>
      </c>
      <c r="L1091" s="60" t="str">
        <f t="shared" si="7"/>
        <v/>
      </c>
      <c r="M1091" s="61" t="str">
        <f>IFERROR(__xludf.DUMMYFUNCTION("IFS(AND(COUNTA(C1091:C1644)=0,COUNTA(Q1091:Q1644)=0),"""",OR(AND(K1091&gt;=1000000000,OR(Y1091&gt;=1000000000,COUNTA(Q1091:Q1644)=0)),OR(Y1091&gt;=1000000000,AND(COUNTA(C1091:C1644)=0,P$3=TRUE))),
ROUNDDOWN((AB$1-AC$1)*MAX(INDEX(T$4:T1644,MATCH(LARGE(FILTER(Y$4:Y1"&amp;"644,Y$4:Y1644&lt;1000000000),1),Y$4:Y1644)),INDEX(F$4:F1644,MATCH(LARGE(FILTER(K$4:K1644,K$4:K1644&lt;1000000000),1),K$4:K1644)))),AND(K1091&lt;1000000000,COUNTA(C1091:C1644)&gt;0,P$3=FALSE),
ROUNDDOWN(INDEX(Y$4:Y1644,MATCH(LARGE(FILTER(W$4:W1644,W$4:W1644&lt;=I1091),1)"&amp;",W$4:W1644))+(I1091-LARGE(FILTER(W$4:W1644,W$4:W1644&lt;=I1091),1))*INDEX(T$4:T1644,MATCH(LARGE(FILTER(W$4:W1644,W$4:W1644&lt;=I1091),1),W$4:W1644))-K1091),1,
ROUNDDOWN(Y1091-INDEX(K$4:K1644,MATCH(LARGE(FILTER(I$4:I1644,I$4:I1644&lt;=W1091),1),I$4:I1644))-(W1091-L"&amp;"ARGE(FILTER(I$4:I1644,I$4:I1644&lt;=W1091),1))*INDEX(F$4:F1644,MATCH(LARGE(FILTER(I$4:I1644,I$4:I1644&lt;=W1091),1),I$4:I1644))))"),"")</f>
        <v/>
      </c>
      <c r="N1091" s="60" t="str">
        <f t="shared" si="8"/>
        <v/>
      </c>
      <c r="O1091" s="61" t="str">
        <f t="shared" si="9"/>
        <v/>
      </c>
      <c r="P1091" s="56" t="str">
        <f t="shared" si="10"/>
        <v/>
      </c>
      <c r="Q1091" s="105"/>
      <c r="R1091" s="10"/>
      <c r="S1091" s="59" t="str">
        <f t="array" ref="S1091">IF(COUNTA(Q1091:Q1644)=0,"",SUM((COUNTIF(Q$4:Q1091,Upgrades!$B$3:$B$13)-COUNTIF(Q$4:Q1091,"Sell_"&amp;Upgrades!$B$3:$B$13))*Upgrades!$D$3:$D$13))</f>
        <v/>
      </c>
      <c r="T1091" s="66" t="str">
        <f>IFERROR(__xludf.DUMMYFUNCTION("IF(COUNTA(Q1091:Q1644)=0,"""",IF(REGEXMATCH(INDEX(FILTER(Q$4:Q1091,Q$4:Q1091&lt;&gt;""""),ROWS(FILTER(Q$4:Q1091,Q$4:Q1091&lt;&gt;""""))),""^Sell_""),INDEX(FILTER(T$4:T1090,Q$4:Q1090&lt;&gt;""""),ROWS(FILTER(Q$4:Q1090,Q$4:Q1090&lt;&gt;""""))),$AD$5+S1091))"),"")</f>
        <v/>
      </c>
      <c r="U1091" s="10" t="str">
        <f>IFERROR(__xludf.DUMMYFUNCTION("IF(COUNTA(Q1091:Q1644)=0,"""",IF(Q1091="""",0,IF(REGEXMATCH(Q1091,""^Sell_""),-ROUNDDOWN(ROUNDUP(INDEX(Upgrades!$C$3:$C$13,MATCH(SUBSTITUTE(Q1091,""Sell_"",""""),Upgrades!$B$3:$B$13,0))*1.15^(COUNTIF(Q$4:Q1090,SUBSTITUTE(Q1091,""Sell_"",""""))-COUNTIF(Q$4"&amp;":Q1090,""Sell_""&amp;SUBSTITUTE(Q1091,""Sell_"",""""))))/2),ROUNDUP(INDEX(Upgrades!$C$3:$C$13,MATCH(Q1091,Upgrades!$B$3:$B$13,0))*1.15^(COUNTIF(Q$4:Q1090,Q1091)-COUNTIF(Q$4:Q1090,""Sell_""&amp;Q1091))))))"),"")</f>
        <v/>
      </c>
      <c r="V1091" s="10" t="str">
        <f t="shared" si="11"/>
        <v/>
      </c>
      <c r="W1091" s="68" t="str">
        <f t="shared" si="12"/>
        <v/>
      </c>
      <c r="X1091" s="59" t="str">
        <f t="shared" si="13"/>
        <v/>
      </c>
      <c r="Y1091" s="69" t="str">
        <f t="shared" si="14"/>
        <v/>
      </c>
      <c r="Z1091" s="11"/>
      <c r="AG1091" s="59"/>
    </row>
    <row r="1092">
      <c r="A1092" s="8"/>
      <c r="B1092" s="56" t="str">
        <f t="shared" si="2"/>
        <v/>
      </c>
      <c r="C1092" s="105"/>
      <c r="D1092" s="10"/>
      <c r="E1092" s="59" t="str">
        <f t="array" ref="E1092">IF(COUNTA(C1092:C1644)=0,"",SUM((COUNTIF(C$4:C1092,Upgrades!$B$3:$B$13)-COUNTIF(C$4:C1092,"Sell_"&amp;Upgrades!$B$3:$B$13))*Upgrades!$D$3:$D$13))</f>
        <v/>
      </c>
      <c r="F1092" s="66" t="str">
        <f>IFERROR(__xludf.DUMMYFUNCTION("IF(COUNTA(C1092:C1644)=0,"""",IF(REGEXMATCH(INDEX(FILTER(C$4:C1092,C$4:C1092&lt;&gt;""""),ROWS(FILTER(C$4:C1092,C$4:C1092&lt;&gt;""""))),""^Sell_""),INDEX(FILTER(F$4:F1091,C$4:C1091&lt;&gt;""""),ROWS(FILTER(C$4:C1091,C$4:C1091&lt;&gt;""""))),$AC$5+E1092))"),"")</f>
        <v/>
      </c>
      <c r="G1092" s="10" t="str">
        <f>IFERROR(__xludf.DUMMYFUNCTION("IF(COUNTA(C1092:C1644)=0,"""",IF(C1092="""",0,IF(REGEXMATCH(C1092,""^Sell_""),-ROUNDDOWN(ROUNDUP(INDEX(Upgrades!$C$3:$C$13,MATCH(SUBSTITUTE(C1092,""Sell_"",""""),Upgrades!$B$3:$B$13,0))*1.15^(COUNTIF(C$4:C1091,SUBSTITUTE(C1092,""Sell_"",""""))-COUNTIF(C$4"&amp;":C1091,""Sell_""&amp;SUBSTITUTE(C1092,""Sell_"",""""))))/2),ROUNDUP(INDEX(Upgrades!$C$3:$C$13,MATCH(C1092,Upgrades!$B$3:$B$13,0))*1.15^(COUNTIF(C$4:C1091,C1092)-COUNTIF(C$4:C1091,""Sell_""&amp;C1092))))))"),"")</f>
        <v/>
      </c>
      <c r="H1092" s="10" t="str">
        <f t="shared" si="3"/>
        <v/>
      </c>
      <c r="I1092" s="68" t="str">
        <f t="shared" si="4"/>
        <v/>
      </c>
      <c r="J1092" s="59" t="str">
        <f t="shared" si="5"/>
        <v/>
      </c>
      <c r="K1092" s="69" t="str">
        <f t="shared" si="6"/>
        <v/>
      </c>
      <c r="L1092" s="60" t="str">
        <f t="shared" si="7"/>
        <v/>
      </c>
      <c r="M1092" s="61" t="str">
        <f>IFERROR(__xludf.DUMMYFUNCTION("IFS(AND(COUNTA(C1092:C1644)=0,COUNTA(Q1092:Q1644)=0),"""",OR(AND(K1092&gt;=1000000000,OR(Y1092&gt;=1000000000,COUNTA(Q1092:Q1644)=0)),OR(Y1092&gt;=1000000000,AND(COUNTA(C1092:C1644)=0,P$3=TRUE))),
ROUNDDOWN((AB$1-AC$1)*MAX(INDEX(T$4:T1644,MATCH(LARGE(FILTER(Y$4:Y1"&amp;"644,Y$4:Y1644&lt;1000000000),1),Y$4:Y1644)),INDEX(F$4:F1644,MATCH(LARGE(FILTER(K$4:K1644,K$4:K1644&lt;1000000000),1),K$4:K1644)))),AND(K1092&lt;1000000000,COUNTA(C1092:C1644)&gt;0,P$3=FALSE),
ROUNDDOWN(INDEX(Y$4:Y1644,MATCH(LARGE(FILTER(W$4:W1644,W$4:W1644&lt;=I1092),1)"&amp;",W$4:W1644))+(I1092-LARGE(FILTER(W$4:W1644,W$4:W1644&lt;=I1092),1))*INDEX(T$4:T1644,MATCH(LARGE(FILTER(W$4:W1644,W$4:W1644&lt;=I1092),1),W$4:W1644))-K1092),1,
ROUNDDOWN(Y1092-INDEX(K$4:K1644,MATCH(LARGE(FILTER(I$4:I1644,I$4:I1644&lt;=W1092),1),I$4:I1644))-(W1092-L"&amp;"ARGE(FILTER(I$4:I1644,I$4:I1644&lt;=W1092),1))*INDEX(F$4:F1644,MATCH(LARGE(FILTER(I$4:I1644,I$4:I1644&lt;=W1092),1),I$4:I1644))))"),"")</f>
        <v/>
      </c>
      <c r="N1092" s="60" t="str">
        <f t="shared" si="8"/>
        <v/>
      </c>
      <c r="O1092" s="61" t="str">
        <f t="shared" si="9"/>
        <v/>
      </c>
      <c r="P1092" s="56" t="str">
        <f t="shared" si="10"/>
        <v/>
      </c>
      <c r="Q1092" s="105"/>
      <c r="R1092" s="10"/>
      <c r="S1092" s="59" t="str">
        <f t="array" ref="S1092">IF(COUNTA(Q1092:Q1644)=0,"",SUM((COUNTIF(Q$4:Q1092,Upgrades!$B$3:$B$13)-COUNTIF(Q$4:Q1092,"Sell_"&amp;Upgrades!$B$3:$B$13))*Upgrades!$D$3:$D$13))</f>
        <v/>
      </c>
      <c r="T1092" s="66" t="str">
        <f>IFERROR(__xludf.DUMMYFUNCTION("IF(COUNTA(Q1092:Q1644)=0,"""",IF(REGEXMATCH(INDEX(FILTER(Q$4:Q1092,Q$4:Q1092&lt;&gt;""""),ROWS(FILTER(Q$4:Q1092,Q$4:Q1092&lt;&gt;""""))),""^Sell_""),INDEX(FILTER(T$4:T1091,Q$4:Q1091&lt;&gt;""""),ROWS(FILTER(Q$4:Q1091,Q$4:Q1091&lt;&gt;""""))),$AD$5+S1092))"),"")</f>
        <v/>
      </c>
      <c r="U1092" s="10" t="str">
        <f>IFERROR(__xludf.DUMMYFUNCTION("IF(COUNTA(Q1092:Q1644)=0,"""",IF(Q1092="""",0,IF(REGEXMATCH(Q1092,""^Sell_""),-ROUNDDOWN(ROUNDUP(INDEX(Upgrades!$C$3:$C$13,MATCH(SUBSTITUTE(Q1092,""Sell_"",""""),Upgrades!$B$3:$B$13,0))*1.15^(COUNTIF(Q$4:Q1091,SUBSTITUTE(Q1092,""Sell_"",""""))-COUNTIF(Q$4"&amp;":Q1091,""Sell_""&amp;SUBSTITUTE(Q1092,""Sell_"",""""))))/2),ROUNDUP(INDEX(Upgrades!$C$3:$C$13,MATCH(Q1092,Upgrades!$B$3:$B$13,0))*1.15^(COUNTIF(Q$4:Q1091,Q1092)-COUNTIF(Q$4:Q1091,""Sell_""&amp;Q1092))))))"),"")</f>
        <v/>
      </c>
      <c r="V1092" s="10" t="str">
        <f t="shared" si="11"/>
        <v/>
      </c>
      <c r="W1092" s="68" t="str">
        <f t="shared" si="12"/>
        <v/>
      </c>
      <c r="X1092" s="59" t="str">
        <f t="shared" si="13"/>
        <v/>
      </c>
      <c r="Y1092" s="69" t="str">
        <f t="shared" si="14"/>
        <v/>
      </c>
      <c r="Z1092" s="11"/>
      <c r="AG1092" s="59"/>
    </row>
    <row r="1093">
      <c r="A1093" s="8"/>
      <c r="B1093" s="56" t="str">
        <f t="shared" si="2"/>
        <v/>
      </c>
      <c r="C1093" s="105"/>
      <c r="D1093" s="10"/>
      <c r="E1093" s="59" t="str">
        <f t="array" ref="E1093">IF(COUNTA(C1093:C1644)=0,"",SUM((COUNTIF(C$4:C1093,Upgrades!$B$3:$B$13)-COUNTIF(C$4:C1093,"Sell_"&amp;Upgrades!$B$3:$B$13))*Upgrades!$D$3:$D$13))</f>
        <v/>
      </c>
      <c r="F1093" s="66" t="str">
        <f>IFERROR(__xludf.DUMMYFUNCTION("IF(COUNTA(C1093:C1644)=0,"""",IF(REGEXMATCH(INDEX(FILTER(C$4:C1093,C$4:C1093&lt;&gt;""""),ROWS(FILTER(C$4:C1093,C$4:C1093&lt;&gt;""""))),""^Sell_""),INDEX(FILTER(F$4:F1092,C$4:C1092&lt;&gt;""""),ROWS(FILTER(C$4:C1092,C$4:C1092&lt;&gt;""""))),$AC$5+E1093))"),"")</f>
        <v/>
      </c>
      <c r="G1093" s="10" t="str">
        <f>IFERROR(__xludf.DUMMYFUNCTION("IF(COUNTA(C1093:C1644)=0,"""",IF(C1093="""",0,IF(REGEXMATCH(C1093,""^Sell_""),-ROUNDDOWN(ROUNDUP(INDEX(Upgrades!$C$3:$C$13,MATCH(SUBSTITUTE(C1093,""Sell_"",""""),Upgrades!$B$3:$B$13,0))*1.15^(COUNTIF(C$4:C1092,SUBSTITUTE(C1093,""Sell_"",""""))-COUNTIF(C$4"&amp;":C1092,""Sell_""&amp;SUBSTITUTE(C1093,""Sell_"",""""))))/2),ROUNDUP(INDEX(Upgrades!$C$3:$C$13,MATCH(C1093,Upgrades!$B$3:$B$13,0))*1.15^(COUNTIF(C$4:C1092,C1093)-COUNTIF(C$4:C1092,""Sell_""&amp;C1093))))))"),"")</f>
        <v/>
      </c>
      <c r="H1093" s="10" t="str">
        <f t="shared" si="3"/>
        <v/>
      </c>
      <c r="I1093" s="68" t="str">
        <f t="shared" si="4"/>
        <v/>
      </c>
      <c r="J1093" s="59" t="str">
        <f t="shared" si="5"/>
        <v/>
      </c>
      <c r="K1093" s="69" t="str">
        <f t="shared" si="6"/>
        <v/>
      </c>
      <c r="L1093" s="60" t="str">
        <f t="shared" si="7"/>
        <v/>
      </c>
      <c r="M1093" s="61" t="str">
        <f>IFERROR(__xludf.DUMMYFUNCTION("IFS(AND(COUNTA(C1093:C1644)=0,COUNTA(Q1093:Q1644)=0),"""",OR(AND(K1093&gt;=1000000000,OR(Y1093&gt;=1000000000,COUNTA(Q1093:Q1644)=0)),OR(Y1093&gt;=1000000000,AND(COUNTA(C1093:C1644)=0,P$3=TRUE))),
ROUNDDOWN((AB$1-AC$1)*MAX(INDEX(T$4:T1644,MATCH(LARGE(FILTER(Y$4:Y1"&amp;"644,Y$4:Y1644&lt;1000000000),1),Y$4:Y1644)),INDEX(F$4:F1644,MATCH(LARGE(FILTER(K$4:K1644,K$4:K1644&lt;1000000000),1),K$4:K1644)))),AND(K1093&lt;1000000000,COUNTA(C1093:C1644)&gt;0,P$3=FALSE),
ROUNDDOWN(INDEX(Y$4:Y1644,MATCH(LARGE(FILTER(W$4:W1644,W$4:W1644&lt;=I1093),1)"&amp;",W$4:W1644))+(I1093-LARGE(FILTER(W$4:W1644,W$4:W1644&lt;=I1093),1))*INDEX(T$4:T1644,MATCH(LARGE(FILTER(W$4:W1644,W$4:W1644&lt;=I1093),1),W$4:W1644))-K1093),1,
ROUNDDOWN(Y1093-INDEX(K$4:K1644,MATCH(LARGE(FILTER(I$4:I1644,I$4:I1644&lt;=W1093),1),I$4:I1644))-(W1093-L"&amp;"ARGE(FILTER(I$4:I1644,I$4:I1644&lt;=W1093),1))*INDEX(F$4:F1644,MATCH(LARGE(FILTER(I$4:I1644,I$4:I1644&lt;=W1093),1),I$4:I1644))))"),"")</f>
        <v/>
      </c>
      <c r="N1093" s="60" t="str">
        <f t="shared" si="8"/>
        <v/>
      </c>
      <c r="O1093" s="61" t="str">
        <f t="shared" si="9"/>
        <v/>
      </c>
      <c r="P1093" s="56" t="str">
        <f t="shared" si="10"/>
        <v/>
      </c>
      <c r="Q1093" s="105"/>
      <c r="R1093" s="10"/>
      <c r="S1093" s="59" t="str">
        <f t="array" ref="S1093">IF(COUNTA(Q1093:Q1644)=0,"",SUM((COUNTIF(Q$4:Q1093,Upgrades!$B$3:$B$13)-COUNTIF(Q$4:Q1093,"Sell_"&amp;Upgrades!$B$3:$B$13))*Upgrades!$D$3:$D$13))</f>
        <v/>
      </c>
      <c r="T1093" s="66" t="str">
        <f>IFERROR(__xludf.DUMMYFUNCTION("IF(COUNTA(Q1093:Q1644)=0,"""",IF(REGEXMATCH(INDEX(FILTER(Q$4:Q1093,Q$4:Q1093&lt;&gt;""""),ROWS(FILTER(Q$4:Q1093,Q$4:Q1093&lt;&gt;""""))),""^Sell_""),INDEX(FILTER(T$4:T1092,Q$4:Q1092&lt;&gt;""""),ROWS(FILTER(Q$4:Q1092,Q$4:Q1092&lt;&gt;""""))),$AD$5+S1093))"),"")</f>
        <v/>
      </c>
      <c r="U1093" s="10" t="str">
        <f>IFERROR(__xludf.DUMMYFUNCTION("IF(COUNTA(Q1093:Q1644)=0,"""",IF(Q1093="""",0,IF(REGEXMATCH(Q1093,""^Sell_""),-ROUNDDOWN(ROUNDUP(INDEX(Upgrades!$C$3:$C$13,MATCH(SUBSTITUTE(Q1093,""Sell_"",""""),Upgrades!$B$3:$B$13,0))*1.15^(COUNTIF(Q$4:Q1092,SUBSTITUTE(Q1093,""Sell_"",""""))-COUNTIF(Q$4"&amp;":Q1092,""Sell_""&amp;SUBSTITUTE(Q1093,""Sell_"",""""))))/2),ROUNDUP(INDEX(Upgrades!$C$3:$C$13,MATCH(Q1093,Upgrades!$B$3:$B$13,0))*1.15^(COUNTIF(Q$4:Q1092,Q1093)-COUNTIF(Q$4:Q1092,""Sell_""&amp;Q1093))))))"),"")</f>
        <v/>
      </c>
      <c r="V1093" s="10" t="str">
        <f t="shared" si="11"/>
        <v/>
      </c>
      <c r="W1093" s="68" t="str">
        <f t="shared" si="12"/>
        <v/>
      </c>
      <c r="X1093" s="59" t="str">
        <f t="shared" si="13"/>
        <v/>
      </c>
      <c r="Y1093" s="69" t="str">
        <f t="shared" si="14"/>
        <v/>
      </c>
      <c r="Z1093" s="11"/>
      <c r="AG1093" s="59"/>
    </row>
    <row r="1094">
      <c r="A1094" s="8"/>
      <c r="B1094" s="56" t="str">
        <f t="shared" si="2"/>
        <v/>
      </c>
      <c r="C1094" s="105"/>
      <c r="D1094" s="10"/>
      <c r="E1094" s="59" t="str">
        <f t="array" ref="E1094">IF(COUNTA(C1094:C1644)=0,"",SUM((COUNTIF(C$4:C1094,Upgrades!$B$3:$B$13)-COUNTIF(C$4:C1094,"Sell_"&amp;Upgrades!$B$3:$B$13))*Upgrades!$D$3:$D$13))</f>
        <v/>
      </c>
      <c r="F1094" s="66" t="str">
        <f>IFERROR(__xludf.DUMMYFUNCTION("IF(COUNTA(C1094:C1644)=0,"""",IF(REGEXMATCH(INDEX(FILTER(C$4:C1094,C$4:C1094&lt;&gt;""""),ROWS(FILTER(C$4:C1094,C$4:C1094&lt;&gt;""""))),""^Sell_""),INDEX(FILTER(F$4:F1093,C$4:C1093&lt;&gt;""""),ROWS(FILTER(C$4:C1093,C$4:C1093&lt;&gt;""""))),$AC$5+E1094))"),"")</f>
        <v/>
      </c>
      <c r="G1094" s="10" t="str">
        <f>IFERROR(__xludf.DUMMYFUNCTION("IF(COUNTA(C1094:C1644)=0,"""",IF(C1094="""",0,IF(REGEXMATCH(C1094,""^Sell_""),-ROUNDDOWN(ROUNDUP(INDEX(Upgrades!$C$3:$C$13,MATCH(SUBSTITUTE(C1094,""Sell_"",""""),Upgrades!$B$3:$B$13,0))*1.15^(COUNTIF(C$4:C1093,SUBSTITUTE(C1094,""Sell_"",""""))-COUNTIF(C$4"&amp;":C1093,""Sell_""&amp;SUBSTITUTE(C1094,""Sell_"",""""))))/2),ROUNDUP(INDEX(Upgrades!$C$3:$C$13,MATCH(C1094,Upgrades!$B$3:$B$13,0))*1.15^(COUNTIF(C$4:C1093,C1094)-COUNTIF(C$4:C1093,""Sell_""&amp;C1094))))))"),"")</f>
        <v/>
      </c>
      <c r="H1094" s="10" t="str">
        <f t="shared" si="3"/>
        <v/>
      </c>
      <c r="I1094" s="68" t="str">
        <f t="shared" si="4"/>
        <v/>
      </c>
      <c r="J1094" s="59" t="str">
        <f t="shared" si="5"/>
        <v/>
      </c>
      <c r="K1094" s="69" t="str">
        <f t="shared" si="6"/>
        <v/>
      </c>
      <c r="L1094" s="60" t="str">
        <f t="shared" si="7"/>
        <v/>
      </c>
      <c r="M1094" s="61" t="str">
        <f>IFERROR(__xludf.DUMMYFUNCTION("IFS(AND(COUNTA(C1094:C1644)=0,COUNTA(Q1094:Q1644)=0),"""",OR(AND(K1094&gt;=1000000000,OR(Y1094&gt;=1000000000,COUNTA(Q1094:Q1644)=0)),OR(Y1094&gt;=1000000000,AND(COUNTA(C1094:C1644)=0,P$3=TRUE))),
ROUNDDOWN((AB$1-AC$1)*MAX(INDEX(T$4:T1644,MATCH(LARGE(FILTER(Y$4:Y1"&amp;"644,Y$4:Y1644&lt;1000000000),1),Y$4:Y1644)),INDEX(F$4:F1644,MATCH(LARGE(FILTER(K$4:K1644,K$4:K1644&lt;1000000000),1),K$4:K1644)))),AND(K1094&lt;1000000000,COUNTA(C1094:C1644)&gt;0,P$3=FALSE),
ROUNDDOWN(INDEX(Y$4:Y1644,MATCH(LARGE(FILTER(W$4:W1644,W$4:W1644&lt;=I1094),1)"&amp;",W$4:W1644))+(I1094-LARGE(FILTER(W$4:W1644,W$4:W1644&lt;=I1094),1))*INDEX(T$4:T1644,MATCH(LARGE(FILTER(W$4:W1644,W$4:W1644&lt;=I1094),1),W$4:W1644))-K1094),1,
ROUNDDOWN(Y1094-INDEX(K$4:K1644,MATCH(LARGE(FILTER(I$4:I1644,I$4:I1644&lt;=W1094),1),I$4:I1644))-(W1094-L"&amp;"ARGE(FILTER(I$4:I1644,I$4:I1644&lt;=W1094),1))*INDEX(F$4:F1644,MATCH(LARGE(FILTER(I$4:I1644,I$4:I1644&lt;=W1094),1),I$4:I1644))))"),"")</f>
        <v/>
      </c>
      <c r="N1094" s="60" t="str">
        <f t="shared" si="8"/>
        <v/>
      </c>
      <c r="O1094" s="61" t="str">
        <f t="shared" si="9"/>
        <v/>
      </c>
      <c r="P1094" s="56" t="str">
        <f t="shared" si="10"/>
        <v/>
      </c>
      <c r="Q1094" s="105"/>
      <c r="R1094" s="10"/>
      <c r="S1094" s="59" t="str">
        <f t="array" ref="S1094">IF(COUNTA(Q1094:Q1644)=0,"",SUM((COUNTIF(Q$4:Q1094,Upgrades!$B$3:$B$13)-COUNTIF(Q$4:Q1094,"Sell_"&amp;Upgrades!$B$3:$B$13))*Upgrades!$D$3:$D$13))</f>
        <v/>
      </c>
      <c r="T1094" s="66" t="str">
        <f>IFERROR(__xludf.DUMMYFUNCTION("IF(COUNTA(Q1094:Q1644)=0,"""",IF(REGEXMATCH(INDEX(FILTER(Q$4:Q1094,Q$4:Q1094&lt;&gt;""""),ROWS(FILTER(Q$4:Q1094,Q$4:Q1094&lt;&gt;""""))),""^Sell_""),INDEX(FILTER(T$4:T1093,Q$4:Q1093&lt;&gt;""""),ROWS(FILTER(Q$4:Q1093,Q$4:Q1093&lt;&gt;""""))),$AD$5+S1094))"),"")</f>
        <v/>
      </c>
      <c r="U1094" s="10" t="str">
        <f>IFERROR(__xludf.DUMMYFUNCTION("IF(COUNTA(Q1094:Q1644)=0,"""",IF(Q1094="""",0,IF(REGEXMATCH(Q1094,""^Sell_""),-ROUNDDOWN(ROUNDUP(INDEX(Upgrades!$C$3:$C$13,MATCH(SUBSTITUTE(Q1094,""Sell_"",""""),Upgrades!$B$3:$B$13,0))*1.15^(COUNTIF(Q$4:Q1093,SUBSTITUTE(Q1094,""Sell_"",""""))-COUNTIF(Q$4"&amp;":Q1093,""Sell_""&amp;SUBSTITUTE(Q1094,""Sell_"",""""))))/2),ROUNDUP(INDEX(Upgrades!$C$3:$C$13,MATCH(Q1094,Upgrades!$B$3:$B$13,0))*1.15^(COUNTIF(Q$4:Q1093,Q1094)-COUNTIF(Q$4:Q1093,""Sell_""&amp;Q1094))))))"),"")</f>
        <v/>
      </c>
      <c r="V1094" s="10" t="str">
        <f t="shared" si="11"/>
        <v/>
      </c>
      <c r="W1094" s="68" t="str">
        <f t="shared" si="12"/>
        <v/>
      </c>
      <c r="X1094" s="59" t="str">
        <f t="shared" si="13"/>
        <v/>
      </c>
      <c r="Y1094" s="69" t="str">
        <f t="shared" si="14"/>
        <v/>
      </c>
      <c r="Z1094" s="11"/>
      <c r="AG1094" s="59"/>
    </row>
    <row r="1095">
      <c r="A1095" s="8"/>
      <c r="B1095" s="56" t="str">
        <f t="shared" si="2"/>
        <v/>
      </c>
      <c r="C1095" s="105"/>
      <c r="D1095" s="10"/>
      <c r="E1095" s="59" t="str">
        <f t="array" ref="E1095">IF(COUNTA(C1095:C1644)=0,"",SUM((COUNTIF(C$4:C1095,Upgrades!$B$3:$B$13)-COUNTIF(C$4:C1095,"Sell_"&amp;Upgrades!$B$3:$B$13))*Upgrades!$D$3:$D$13))</f>
        <v/>
      </c>
      <c r="F1095" s="66" t="str">
        <f>IFERROR(__xludf.DUMMYFUNCTION("IF(COUNTA(C1095:C1644)=0,"""",IF(REGEXMATCH(INDEX(FILTER(C$4:C1095,C$4:C1095&lt;&gt;""""),ROWS(FILTER(C$4:C1095,C$4:C1095&lt;&gt;""""))),""^Sell_""),INDEX(FILTER(F$4:F1094,C$4:C1094&lt;&gt;""""),ROWS(FILTER(C$4:C1094,C$4:C1094&lt;&gt;""""))),$AC$5+E1095))"),"")</f>
        <v/>
      </c>
      <c r="G1095" s="10" t="str">
        <f>IFERROR(__xludf.DUMMYFUNCTION("IF(COUNTA(C1095:C1644)=0,"""",IF(C1095="""",0,IF(REGEXMATCH(C1095,""^Sell_""),-ROUNDDOWN(ROUNDUP(INDEX(Upgrades!$C$3:$C$13,MATCH(SUBSTITUTE(C1095,""Sell_"",""""),Upgrades!$B$3:$B$13,0))*1.15^(COUNTIF(C$4:C1094,SUBSTITUTE(C1095,""Sell_"",""""))-COUNTIF(C$4"&amp;":C1094,""Sell_""&amp;SUBSTITUTE(C1095,""Sell_"",""""))))/2),ROUNDUP(INDEX(Upgrades!$C$3:$C$13,MATCH(C1095,Upgrades!$B$3:$B$13,0))*1.15^(COUNTIF(C$4:C1094,C1095)-COUNTIF(C$4:C1094,""Sell_""&amp;C1095))))))"),"")</f>
        <v/>
      </c>
      <c r="H1095" s="10" t="str">
        <f t="shared" si="3"/>
        <v/>
      </c>
      <c r="I1095" s="68" t="str">
        <f t="shared" si="4"/>
        <v/>
      </c>
      <c r="J1095" s="59" t="str">
        <f t="shared" si="5"/>
        <v/>
      </c>
      <c r="K1095" s="69" t="str">
        <f t="shared" si="6"/>
        <v/>
      </c>
      <c r="L1095" s="60" t="str">
        <f t="shared" si="7"/>
        <v/>
      </c>
      <c r="M1095" s="61" t="str">
        <f>IFERROR(__xludf.DUMMYFUNCTION("IFS(AND(COUNTA(C1095:C1644)=0,COUNTA(Q1095:Q1644)=0),"""",OR(AND(K1095&gt;=1000000000,OR(Y1095&gt;=1000000000,COUNTA(Q1095:Q1644)=0)),OR(Y1095&gt;=1000000000,AND(COUNTA(C1095:C1644)=0,P$3=TRUE))),
ROUNDDOWN((AB$1-AC$1)*MAX(INDEX(T$4:T1644,MATCH(LARGE(FILTER(Y$4:Y1"&amp;"644,Y$4:Y1644&lt;1000000000),1),Y$4:Y1644)),INDEX(F$4:F1644,MATCH(LARGE(FILTER(K$4:K1644,K$4:K1644&lt;1000000000),1),K$4:K1644)))),AND(K1095&lt;1000000000,COUNTA(C1095:C1644)&gt;0,P$3=FALSE),
ROUNDDOWN(INDEX(Y$4:Y1644,MATCH(LARGE(FILTER(W$4:W1644,W$4:W1644&lt;=I1095),1)"&amp;",W$4:W1644))+(I1095-LARGE(FILTER(W$4:W1644,W$4:W1644&lt;=I1095),1))*INDEX(T$4:T1644,MATCH(LARGE(FILTER(W$4:W1644,W$4:W1644&lt;=I1095),1),W$4:W1644))-K1095),1,
ROUNDDOWN(Y1095-INDEX(K$4:K1644,MATCH(LARGE(FILTER(I$4:I1644,I$4:I1644&lt;=W1095),1),I$4:I1644))-(W1095-L"&amp;"ARGE(FILTER(I$4:I1644,I$4:I1644&lt;=W1095),1))*INDEX(F$4:F1644,MATCH(LARGE(FILTER(I$4:I1644,I$4:I1644&lt;=W1095),1),I$4:I1644))))"),"")</f>
        <v/>
      </c>
      <c r="N1095" s="60" t="str">
        <f t="shared" si="8"/>
        <v/>
      </c>
      <c r="O1095" s="61" t="str">
        <f t="shared" si="9"/>
        <v/>
      </c>
      <c r="P1095" s="56" t="str">
        <f t="shared" si="10"/>
        <v/>
      </c>
      <c r="Q1095" s="105"/>
      <c r="R1095" s="10"/>
      <c r="S1095" s="59" t="str">
        <f t="array" ref="S1095">IF(COUNTA(Q1095:Q1644)=0,"",SUM((COUNTIF(Q$4:Q1095,Upgrades!$B$3:$B$13)-COUNTIF(Q$4:Q1095,"Sell_"&amp;Upgrades!$B$3:$B$13))*Upgrades!$D$3:$D$13))</f>
        <v/>
      </c>
      <c r="T1095" s="66" t="str">
        <f>IFERROR(__xludf.DUMMYFUNCTION("IF(COUNTA(Q1095:Q1644)=0,"""",IF(REGEXMATCH(INDEX(FILTER(Q$4:Q1095,Q$4:Q1095&lt;&gt;""""),ROWS(FILTER(Q$4:Q1095,Q$4:Q1095&lt;&gt;""""))),""^Sell_""),INDEX(FILTER(T$4:T1094,Q$4:Q1094&lt;&gt;""""),ROWS(FILTER(Q$4:Q1094,Q$4:Q1094&lt;&gt;""""))),$AD$5+S1095))"),"")</f>
        <v/>
      </c>
      <c r="U1095" s="10" t="str">
        <f>IFERROR(__xludf.DUMMYFUNCTION("IF(COUNTA(Q1095:Q1644)=0,"""",IF(Q1095="""",0,IF(REGEXMATCH(Q1095,""^Sell_""),-ROUNDDOWN(ROUNDUP(INDEX(Upgrades!$C$3:$C$13,MATCH(SUBSTITUTE(Q1095,""Sell_"",""""),Upgrades!$B$3:$B$13,0))*1.15^(COUNTIF(Q$4:Q1094,SUBSTITUTE(Q1095,""Sell_"",""""))-COUNTIF(Q$4"&amp;":Q1094,""Sell_""&amp;SUBSTITUTE(Q1095,""Sell_"",""""))))/2),ROUNDUP(INDEX(Upgrades!$C$3:$C$13,MATCH(Q1095,Upgrades!$B$3:$B$13,0))*1.15^(COUNTIF(Q$4:Q1094,Q1095)-COUNTIF(Q$4:Q1094,""Sell_""&amp;Q1095))))))"),"")</f>
        <v/>
      </c>
      <c r="V1095" s="10" t="str">
        <f t="shared" si="11"/>
        <v/>
      </c>
      <c r="W1095" s="68" t="str">
        <f t="shared" si="12"/>
        <v/>
      </c>
      <c r="X1095" s="59" t="str">
        <f t="shared" si="13"/>
        <v/>
      </c>
      <c r="Y1095" s="69" t="str">
        <f t="shared" si="14"/>
        <v/>
      </c>
      <c r="Z1095" s="11"/>
      <c r="AG1095" s="59"/>
    </row>
    <row r="1096">
      <c r="A1096" s="8"/>
      <c r="B1096" s="56" t="str">
        <f t="shared" si="2"/>
        <v/>
      </c>
      <c r="C1096" s="105"/>
      <c r="D1096" s="10"/>
      <c r="E1096" s="59" t="str">
        <f t="array" ref="E1096">IF(COUNTA(C1096:C1644)=0,"",SUM((COUNTIF(C$4:C1096,Upgrades!$B$3:$B$13)-COUNTIF(C$4:C1096,"Sell_"&amp;Upgrades!$B$3:$B$13))*Upgrades!$D$3:$D$13))</f>
        <v/>
      </c>
      <c r="F1096" s="66" t="str">
        <f>IFERROR(__xludf.DUMMYFUNCTION("IF(COUNTA(C1096:C1644)=0,"""",IF(REGEXMATCH(INDEX(FILTER(C$4:C1096,C$4:C1096&lt;&gt;""""),ROWS(FILTER(C$4:C1096,C$4:C1096&lt;&gt;""""))),""^Sell_""),INDEX(FILTER(F$4:F1095,C$4:C1095&lt;&gt;""""),ROWS(FILTER(C$4:C1095,C$4:C1095&lt;&gt;""""))),$AC$5+E1096))"),"")</f>
        <v/>
      </c>
      <c r="G1096" s="10" t="str">
        <f>IFERROR(__xludf.DUMMYFUNCTION("IF(COUNTA(C1096:C1644)=0,"""",IF(C1096="""",0,IF(REGEXMATCH(C1096,""^Sell_""),-ROUNDDOWN(ROUNDUP(INDEX(Upgrades!$C$3:$C$13,MATCH(SUBSTITUTE(C1096,""Sell_"",""""),Upgrades!$B$3:$B$13,0))*1.15^(COUNTIF(C$4:C1095,SUBSTITUTE(C1096,""Sell_"",""""))-COUNTIF(C$4"&amp;":C1095,""Sell_""&amp;SUBSTITUTE(C1096,""Sell_"",""""))))/2),ROUNDUP(INDEX(Upgrades!$C$3:$C$13,MATCH(C1096,Upgrades!$B$3:$B$13,0))*1.15^(COUNTIF(C$4:C1095,C1096)-COUNTIF(C$4:C1095,""Sell_""&amp;C1096))))))"),"")</f>
        <v/>
      </c>
      <c r="H1096" s="10" t="str">
        <f t="shared" si="3"/>
        <v/>
      </c>
      <c r="I1096" s="68" t="str">
        <f t="shared" si="4"/>
        <v/>
      </c>
      <c r="J1096" s="59" t="str">
        <f t="shared" si="5"/>
        <v/>
      </c>
      <c r="K1096" s="69" t="str">
        <f t="shared" si="6"/>
        <v/>
      </c>
      <c r="L1096" s="60" t="str">
        <f t="shared" si="7"/>
        <v/>
      </c>
      <c r="M1096" s="61" t="str">
        <f>IFERROR(__xludf.DUMMYFUNCTION("IFS(AND(COUNTA(C1096:C1644)=0,COUNTA(Q1096:Q1644)=0),"""",OR(AND(K1096&gt;=1000000000,OR(Y1096&gt;=1000000000,COUNTA(Q1096:Q1644)=0)),OR(Y1096&gt;=1000000000,AND(COUNTA(C1096:C1644)=0,P$3=TRUE))),
ROUNDDOWN((AB$1-AC$1)*MAX(INDEX(T$4:T1644,MATCH(LARGE(FILTER(Y$4:Y1"&amp;"644,Y$4:Y1644&lt;1000000000),1),Y$4:Y1644)),INDEX(F$4:F1644,MATCH(LARGE(FILTER(K$4:K1644,K$4:K1644&lt;1000000000),1),K$4:K1644)))),AND(K1096&lt;1000000000,COUNTA(C1096:C1644)&gt;0,P$3=FALSE),
ROUNDDOWN(INDEX(Y$4:Y1644,MATCH(LARGE(FILTER(W$4:W1644,W$4:W1644&lt;=I1096),1)"&amp;",W$4:W1644))+(I1096-LARGE(FILTER(W$4:W1644,W$4:W1644&lt;=I1096),1))*INDEX(T$4:T1644,MATCH(LARGE(FILTER(W$4:W1644,W$4:W1644&lt;=I1096),1),W$4:W1644))-K1096),1,
ROUNDDOWN(Y1096-INDEX(K$4:K1644,MATCH(LARGE(FILTER(I$4:I1644,I$4:I1644&lt;=W1096),1),I$4:I1644))-(W1096-L"&amp;"ARGE(FILTER(I$4:I1644,I$4:I1644&lt;=W1096),1))*INDEX(F$4:F1644,MATCH(LARGE(FILTER(I$4:I1644,I$4:I1644&lt;=W1096),1),I$4:I1644))))"),"")</f>
        <v/>
      </c>
      <c r="N1096" s="60" t="str">
        <f t="shared" si="8"/>
        <v/>
      </c>
      <c r="O1096" s="61" t="str">
        <f t="shared" si="9"/>
        <v/>
      </c>
      <c r="P1096" s="56" t="str">
        <f t="shared" si="10"/>
        <v/>
      </c>
      <c r="Q1096" s="105"/>
      <c r="R1096" s="10"/>
      <c r="S1096" s="59" t="str">
        <f t="array" ref="S1096">IF(COUNTA(Q1096:Q1644)=0,"",SUM((COUNTIF(Q$4:Q1096,Upgrades!$B$3:$B$13)-COUNTIF(Q$4:Q1096,"Sell_"&amp;Upgrades!$B$3:$B$13))*Upgrades!$D$3:$D$13))</f>
        <v/>
      </c>
      <c r="T1096" s="66" t="str">
        <f>IFERROR(__xludf.DUMMYFUNCTION("IF(COUNTA(Q1096:Q1644)=0,"""",IF(REGEXMATCH(INDEX(FILTER(Q$4:Q1096,Q$4:Q1096&lt;&gt;""""),ROWS(FILTER(Q$4:Q1096,Q$4:Q1096&lt;&gt;""""))),""^Sell_""),INDEX(FILTER(T$4:T1095,Q$4:Q1095&lt;&gt;""""),ROWS(FILTER(Q$4:Q1095,Q$4:Q1095&lt;&gt;""""))),$AD$5+S1096))"),"")</f>
        <v/>
      </c>
      <c r="U1096" s="10" t="str">
        <f>IFERROR(__xludf.DUMMYFUNCTION("IF(COUNTA(Q1096:Q1644)=0,"""",IF(Q1096="""",0,IF(REGEXMATCH(Q1096,""^Sell_""),-ROUNDDOWN(ROUNDUP(INDEX(Upgrades!$C$3:$C$13,MATCH(SUBSTITUTE(Q1096,""Sell_"",""""),Upgrades!$B$3:$B$13,0))*1.15^(COUNTIF(Q$4:Q1095,SUBSTITUTE(Q1096,""Sell_"",""""))-COUNTIF(Q$4"&amp;":Q1095,""Sell_""&amp;SUBSTITUTE(Q1096,""Sell_"",""""))))/2),ROUNDUP(INDEX(Upgrades!$C$3:$C$13,MATCH(Q1096,Upgrades!$B$3:$B$13,0))*1.15^(COUNTIF(Q$4:Q1095,Q1096)-COUNTIF(Q$4:Q1095,""Sell_""&amp;Q1096))))))"),"")</f>
        <v/>
      </c>
      <c r="V1096" s="10" t="str">
        <f t="shared" si="11"/>
        <v/>
      </c>
      <c r="W1096" s="68" t="str">
        <f t="shared" si="12"/>
        <v/>
      </c>
      <c r="X1096" s="59" t="str">
        <f t="shared" si="13"/>
        <v/>
      </c>
      <c r="Y1096" s="69" t="str">
        <f t="shared" si="14"/>
        <v/>
      </c>
      <c r="Z1096" s="11"/>
      <c r="AG1096" s="59"/>
    </row>
    <row r="1097">
      <c r="A1097" s="8"/>
      <c r="B1097" s="56" t="str">
        <f t="shared" si="2"/>
        <v/>
      </c>
      <c r="C1097" s="105"/>
      <c r="D1097" s="10"/>
      <c r="E1097" s="59" t="str">
        <f t="array" ref="E1097">IF(COUNTA(C1097:C1644)=0,"",SUM((COUNTIF(C$4:C1097,Upgrades!$B$3:$B$13)-COUNTIF(C$4:C1097,"Sell_"&amp;Upgrades!$B$3:$B$13))*Upgrades!$D$3:$D$13))</f>
        <v/>
      </c>
      <c r="F1097" s="66" t="str">
        <f>IFERROR(__xludf.DUMMYFUNCTION("IF(COUNTA(C1097:C1644)=0,"""",IF(REGEXMATCH(INDEX(FILTER(C$4:C1097,C$4:C1097&lt;&gt;""""),ROWS(FILTER(C$4:C1097,C$4:C1097&lt;&gt;""""))),""^Sell_""),INDEX(FILTER(F$4:F1096,C$4:C1096&lt;&gt;""""),ROWS(FILTER(C$4:C1096,C$4:C1096&lt;&gt;""""))),$AC$5+E1097))"),"")</f>
        <v/>
      </c>
      <c r="G1097" s="10" t="str">
        <f>IFERROR(__xludf.DUMMYFUNCTION("IF(COUNTA(C1097:C1644)=0,"""",IF(C1097="""",0,IF(REGEXMATCH(C1097,""^Sell_""),-ROUNDDOWN(ROUNDUP(INDEX(Upgrades!$C$3:$C$13,MATCH(SUBSTITUTE(C1097,""Sell_"",""""),Upgrades!$B$3:$B$13,0))*1.15^(COUNTIF(C$4:C1096,SUBSTITUTE(C1097,""Sell_"",""""))-COUNTIF(C$4"&amp;":C1096,""Sell_""&amp;SUBSTITUTE(C1097,""Sell_"",""""))))/2),ROUNDUP(INDEX(Upgrades!$C$3:$C$13,MATCH(C1097,Upgrades!$B$3:$B$13,0))*1.15^(COUNTIF(C$4:C1096,C1097)-COUNTIF(C$4:C1096,""Sell_""&amp;C1097))))))"),"")</f>
        <v/>
      </c>
      <c r="H1097" s="10" t="str">
        <f t="shared" si="3"/>
        <v/>
      </c>
      <c r="I1097" s="68" t="str">
        <f t="shared" si="4"/>
        <v/>
      </c>
      <c r="J1097" s="59" t="str">
        <f t="shared" si="5"/>
        <v/>
      </c>
      <c r="K1097" s="69" t="str">
        <f t="shared" si="6"/>
        <v/>
      </c>
      <c r="L1097" s="60" t="str">
        <f t="shared" si="7"/>
        <v/>
      </c>
      <c r="M1097" s="61" t="str">
        <f>IFERROR(__xludf.DUMMYFUNCTION("IFS(AND(COUNTA(C1097:C1644)=0,COUNTA(Q1097:Q1644)=0),"""",OR(AND(K1097&gt;=1000000000,OR(Y1097&gt;=1000000000,COUNTA(Q1097:Q1644)=0)),OR(Y1097&gt;=1000000000,AND(COUNTA(C1097:C1644)=0,P$3=TRUE))),
ROUNDDOWN((AB$1-AC$1)*MAX(INDEX(T$4:T1644,MATCH(LARGE(FILTER(Y$4:Y1"&amp;"644,Y$4:Y1644&lt;1000000000),1),Y$4:Y1644)),INDEX(F$4:F1644,MATCH(LARGE(FILTER(K$4:K1644,K$4:K1644&lt;1000000000),1),K$4:K1644)))),AND(K1097&lt;1000000000,COUNTA(C1097:C1644)&gt;0,P$3=FALSE),
ROUNDDOWN(INDEX(Y$4:Y1644,MATCH(LARGE(FILTER(W$4:W1644,W$4:W1644&lt;=I1097),1)"&amp;",W$4:W1644))+(I1097-LARGE(FILTER(W$4:W1644,W$4:W1644&lt;=I1097),1))*INDEX(T$4:T1644,MATCH(LARGE(FILTER(W$4:W1644,W$4:W1644&lt;=I1097),1),W$4:W1644))-K1097),1,
ROUNDDOWN(Y1097-INDEX(K$4:K1644,MATCH(LARGE(FILTER(I$4:I1644,I$4:I1644&lt;=W1097),1),I$4:I1644))-(W1097-L"&amp;"ARGE(FILTER(I$4:I1644,I$4:I1644&lt;=W1097),1))*INDEX(F$4:F1644,MATCH(LARGE(FILTER(I$4:I1644,I$4:I1644&lt;=W1097),1),I$4:I1644))))"),"")</f>
        <v/>
      </c>
      <c r="N1097" s="60" t="str">
        <f t="shared" si="8"/>
        <v/>
      </c>
      <c r="O1097" s="61" t="str">
        <f t="shared" si="9"/>
        <v/>
      </c>
      <c r="P1097" s="56" t="str">
        <f t="shared" si="10"/>
        <v/>
      </c>
      <c r="Q1097" s="105"/>
      <c r="R1097" s="10"/>
      <c r="S1097" s="59" t="str">
        <f t="array" ref="S1097">IF(COUNTA(Q1097:Q1644)=0,"",SUM((COUNTIF(Q$4:Q1097,Upgrades!$B$3:$B$13)-COUNTIF(Q$4:Q1097,"Sell_"&amp;Upgrades!$B$3:$B$13))*Upgrades!$D$3:$D$13))</f>
        <v/>
      </c>
      <c r="T1097" s="66" t="str">
        <f>IFERROR(__xludf.DUMMYFUNCTION("IF(COUNTA(Q1097:Q1644)=0,"""",IF(REGEXMATCH(INDEX(FILTER(Q$4:Q1097,Q$4:Q1097&lt;&gt;""""),ROWS(FILTER(Q$4:Q1097,Q$4:Q1097&lt;&gt;""""))),""^Sell_""),INDEX(FILTER(T$4:T1096,Q$4:Q1096&lt;&gt;""""),ROWS(FILTER(Q$4:Q1096,Q$4:Q1096&lt;&gt;""""))),$AD$5+S1097))"),"")</f>
        <v/>
      </c>
      <c r="U1097" s="10" t="str">
        <f>IFERROR(__xludf.DUMMYFUNCTION("IF(COUNTA(Q1097:Q1644)=0,"""",IF(Q1097="""",0,IF(REGEXMATCH(Q1097,""^Sell_""),-ROUNDDOWN(ROUNDUP(INDEX(Upgrades!$C$3:$C$13,MATCH(SUBSTITUTE(Q1097,""Sell_"",""""),Upgrades!$B$3:$B$13,0))*1.15^(COUNTIF(Q$4:Q1096,SUBSTITUTE(Q1097,""Sell_"",""""))-COUNTIF(Q$4"&amp;":Q1096,""Sell_""&amp;SUBSTITUTE(Q1097,""Sell_"",""""))))/2),ROUNDUP(INDEX(Upgrades!$C$3:$C$13,MATCH(Q1097,Upgrades!$B$3:$B$13,0))*1.15^(COUNTIF(Q$4:Q1096,Q1097)-COUNTIF(Q$4:Q1096,""Sell_""&amp;Q1097))))))"),"")</f>
        <v/>
      </c>
      <c r="V1097" s="10" t="str">
        <f t="shared" si="11"/>
        <v/>
      </c>
      <c r="W1097" s="68" t="str">
        <f t="shared" si="12"/>
        <v/>
      </c>
      <c r="X1097" s="59" t="str">
        <f t="shared" si="13"/>
        <v/>
      </c>
      <c r="Y1097" s="69" t="str">
        <f t="shared" si="14"/>
        <v/>
      </c>
      <c r="Z1097" s="11"/>
      <c r="AG1097" s="59"/>
    </row>
    <row r="1098">
      <c r="A1098" s="8"/>
      <c r="B1098" s="56" t="str">
        <f t="shared" si="2"/>
        <v/>
      </c>
      <c r="C1098" s="105"/>
      <c r="D1098" s="10"/>
      <c r="E1098" s="59" t="str">
        <f t="array" ref="E1098">IF(COUNTA(C1098:C1644)=0,"",SUM((COUNTIF(C$4:C1098,Upgrades!$B$3:$B$13)-COUNTIF(C$4:C1098,"Sell_"&amp;Upgrades!$B$3:$B$13))*Upgrades!$D$3:$D$13))</f>
        <v/>
      </c>
      <c r="F1098" s="66" t="str">
        <f>IFERROR(__xludf.DUMMYFUNCTION("IF(COUNTA(C1098:C1644)=0,"""",IF(REGEXMATCH(INDEX(FILTER(C$4:C1098,C$4:C1098&lt;&gt;""""),ROWS(FILTER(C$4:C1098,C$4:C1098&lt;&gt;""""))),""^Sell_""),INDEX(FILTER(F$4:F1097,C$4:C1097&lt;&gt;""""),ROWS(FILTER(C$4:C1097,C$4:C1097&lt;&gt;""""))),$AC$5+E1098))"),"")</f>
        <v/>
      </c>
      <c r="G1098" s="10" t="str">
        <f>IFERROR(__xludf.DUMMYFUNCTION("IF(COUNTA(C1098:C1644)=0,"""",IF(C1098="""",0,IF(REGEXMATCH(C1098,""^Sell_""),-ROUNDDOWN(ROUNDUP(INDEX(Upgrades!$C$3:$C$13,MATCH(SUBSTITUTE(C1098,""Sell_"",""""),Upgrades!$B$3:$B$13,0))*1.15^(COUNTIF(C$4:C1097,SUBSTITUTE(C1098,""Sell_"",""""))-COUNTIF(C$4"&amp;":C1097,""Sell_""&amp;SUBSTITUTE(C1098,""Sell_"",""""))))/2),ROUNDUP(INDEX(Upgrades!$C$3:$C$13,MATCH(C1098,Upgrades!$B$3:$B$13,0))*1.15^(COUNTIF(C$4:C1097,C1098)-COUNTIF(C$4:C1097,""Sell_""&amp;C1098))))))"),"")</f>
        <v/>
      </c>
      <c r="H1098" s="10" t="str">
        <f t="shared" si="3"/>
        <v/>
      </c>
      <c r="I1098" s="68" t="str">
        <f t="shared" si="4"/>
        <v/>
      </c>
      <c r="J1098" s="59" t="str">
        <f t="shared" si="5"/>
        <v/>
      </c>
      <c r="K1098" s="69" t="str">
        <f t="shared" si="6"/>
        <v/>
      </c>
      <c r="L1098" s="60" t="str">
        <f t="shared" si="7"/>
        <v/>
      </c>
      <c r="M1098" s="61" t="str">
        <f>IFERROR(__xludf.DUMMYFUNCTION("IFS(AND(COUNTA(C1098:C1644)=0,COUNTA(Q1098:Q1644)=0),"""",OR(AND(K1098&gt;=1000000000,OR(Y1098&gt;=1000000000,COUNTA(Q1098:Q1644)=0)),OR(Y1098&gt;=1000000000,AND(COUNTA(C1098:C1644)=0,P$3=TRUE))),
ROUNDDOWN((AB$1-AC$1)*MAX(INDEX(T$4:T1644,MATCH(LARGE(FILTER(Y$4:Y1"&amp;"644,Y$4:Y1644&lt;1000000000),1),Y$4:Y1644)),INDEX(F$4:F1644,MATCH(LARGE(FILTER(K$4:K1644,K$4:K1644&lt;1000000000),1),K$4:K1644)))),AND(K1098&lt;1000000000,COUNTA(C1098:C1644)&gt;0,P$3=FALSE),
ROUNDDOWN(INDEX(Y$4:Y1644,MATCH(LARGE(FILTER(W$4:W1644,W$4:W1644&lt;=I1098),1)"&amp;",W$4:W1644))+(I1098-LARGE(FILTER(W$4:W1644,W$4:W1644&lt;=I1098),1))*INDEX(T$4:T1644,MATCH(LARGE(FILTER(W$4:W1644,W$4:W1644&lt;=I1098),1),W$4:W1644))-K1098),1,
ROUNDDOWN(Y1098-INDEX(K$4:K1644,MATCH(LARGE(FILTER(I$4:I1644,I$4:I1644&lt;=W1098),1),I$4:I1644))-(W1098-L"&amp;"ARGE(FILTER(I$4:I1644,I$4:I1644&lt;=W1098),1))*INDEX(F$4:F1644,MATCH(LARGE(FILTER(I$4:I1644,I$4:I1644&lt;=W1098),1),I$4:I1644))))"),"")</f>
        <v/>
      </c>
      <c r="N1098" s="60" t="str">
        <f t="shared" si="8"/>
        <v/>
      </c>
      <c r="O1098" s="61" t="str">
        <f t="shared" si="9"/>
        <v/>
      </c>
      <c r="P1098" s="56" t="str">
        <f t="shared" si="10"/>
        <v/>
      </c>
      <c r="Q1098" s="105"/>
      <c r="R1098" s="10"/>
      <c r="S1098" s="59" t="str">
        <f t="array" ref="S1098">IF(COUNTA(Q1098:Q1644)=0,"",SUM((COUNTIF(Q$4:Q1098,Upgrades!$B$3:$B$13)-COUNTIF(Q$4:Q1098,"Sell_"&amp;Upgrades!$B$3:$B$13))*Upgrades!$D$3:$D$13))</f>
        <v/>
      </c>
      <c r="T1098" s="66" t="str">
        <f>IFERROR(__xludf.DUMMYFUNCTION("IF(COUNTA(Q1098:Q1644)=0,"""",IF(REGEXMATCH(INDEX(FILTER(Q$4:Q1098,Q$4:Q1098&lt;&gt;""""),ROWS(FILTER(Q$4:Q1098,Q$4:Q1098&lt;&gt;""""))),""^Sell_""),INDEX(FILTER(T$4:T1097,Q$4:Q1097&lt;&gt;""""),ROWS(FILTER(Q$4:Q1097,Q$4:Q1097&lt;&gt;""""))),$AD$5+S1098))"),"")</f>
        <v/>
      </c>
      <c r="U1098" s="10" t="str">
        <f>IFERROR(__xludf.DUMMYFUNCTION("IF(COUNTA(Q1098:Q1644)=0,"""",IF(Q1098="""",0,IF(REGEXMATCH(Q1098,""^Sell_""),-ROUNDDOWN(ROUNDUP(INDEX(Upgrades!$C$3:$C$13,MATCH(SUBSTITUTE(Q1098,""Sell_"",""""),Upgrades!$B$3:$B$13,0))*1.15^(COUNTIF(Q$4:Q1097,SUBSTITUTE(Q1098,""Sell_"",""""))-COUNTIF(Q$4"&amp;":Q1097,""Sell_""&amp;SUBSTITUTE(Q1098,""Sell_"",""""))))/2),ROUNDUP(INDEX(Upgrades!$C$3:$C$13,MATCH(Q1098,Upgrades!$B$3:$B$13,0))*1.15^(COUNTIF(Q$4:Q1097,Q1098)-COUNTIF(Q$4:Q1097,""Sell_""&amp;Q1098))))))"),"")</f>
        <v/>
      </c>
      <c r="V1098" s="10" t="str">
        <f t="shared" si="11"/>
        <v/>
      </c>
      <c r="W1098" s="68" t="str">
        <f t="shared" si="12"/>
        <v/>
      </c>
      <c r="X1098" s="59" t="str">
        <f t="shared" si="13"/>
        <v/>
      </c>
      <c r="Y1098" s="69" t="str">
        <f t="shared" si="14"/>
        <v/>
      </c>
      <c r="Z1098" s="11"/>
      <c r="AG1098" s="59"/>
    </row>
    <row r="1099">
      <c r="A1099" s="8"/>
      <c r="B1099" s="56" t="str">
        <f t="shared" si="2"/>
        <v/>
      </c>
      <c r="C1099" s="105"/>
      <c r="D1099" s="10"/>
      <c r="E1099" s="59" t="str">
        <f t="array" ref="E1099">IF(COUNTA(C1099:C1644)=0,"",SUM((COUNTIF(C$4:C1099,Upgrades!$B$3:$B$13)-COUNTIF(C$4:C1099,"Sell_"&amp;Upgrades!$B$3:$B$13))*Upgrades!$D$3:$D$13))</f>
        <v/>
      </c>
      <c r="F1099" s="66" t="str">
        <f>IFERROR(__xludf.DUMMYFUNCTION("IF(COUNTA(C1099:C1644)=0,"""",IF(REGEXMATCH(INDEX(FILTER(C$4:C1099,C$4:C1099&lt;&gt;""""),ROWS(FILTER(C$4:C1099,C$4:C1099&lt;&gt;""""))),""^Sell_""),INDEX(FILTER(F$4:F1098,C$4:C1098&lt;&gt;""""),ROWS(FILTER(C$4:C1098,C$4:C1098&lt;&gt;""""))),$AC$5+E1099))"),"")</f>
        <v/>
      </c>
      <c r="G1099" s="10" t="str">
        <f>IFERROR(__xludf.DUMMYFUNCTION("IF(COUNTA(C1099:C1644)=0,"""",IF(C1099="""",0,IF(REGEXMATCH(C1099,""^Sell_""),-ROUNDDOWN(ROUNDUP(INDEX(Upgrades!$C$3:$C$13,MATCH(SUBSTITUTE(C1099,""Sell_"",""""),Upgrades!$B$3:$B$13,0))*1.15^(COUNTIF(C$4:C1098,SUBSTITUTE(C1099,""Sell_"",""""))-COUNTIF(C$4"&amp;":C1098,""Sell_""&amp;SUBSTITUTE(C1099,""Sell_"",""""))))/2),ROUNDUP(INDEX(Upgrades!$C$3:$C$13,MATCH(C1099,Upgrades!$B$3:$B$13,0))*1.15^(COUNTIF(C$4:C1098,C1099)-COUNTIF(C$4:C1098,""Sell_""&amp;C1099))))))"),"")</f>
        <v/>
      </c>
      <c r="H1099" s="10" t="str">
        <f t="shared" si="3"/>
        <v/>
      </c>
      <c r="I1099" s="68" t="str">
        <f t="shared" si="4"/>
        <v/>
      </c>
      <c r="J1099" s="59" t="str">
        <f t="shared" si="5"/>
        <v/>
      </c>
      <c r="K1099" s="69" t="str">
        <f t="shared" si="6"/>
        <v/>
      </c>
      <c r="L1099" s="60" t="str">
        <f t="shared" si="7"/>
        <v/>
      </c>
      <c r="M1099" s="61" t="str">
        <f>IFERROR(__xludf.DUMMYFUNCTION("IFS(AND(COUNTA(C1099:C1644)=0,COUNTA(Q1099:Q1644)=0),"""",OR(AND(K1099&gt;=1000000000,OR(Y1099&gt;=1000000000,COUNTA(Q1099:Q1644)=0)),OR(Y1099&gt;=1000000000,AND(COUNTA(C1099:C1644)=0,P$3=TRUE))),
ROUNDDOWN((AB$1-AC$1)*MAX(INDEX(T$4:T1644,MATCH(LARGE(FILTER(Y$4:Y1"&amp;"644,Y$4:Y1644&lt;1000000000),1),Y$4:Y1644)),INDEX(F$4:F1644,MATCH(LARGE(FILTER(K$4:K1644,K$4:K1644&lt;1000000000),1),K$4:K1644)))),AND(K1099&lt;1000000000,COUNTA(C1099:C1644)&gt;0,P$3=FALSE),
ROUNDDOWN(INDEX(Y$4:Y1644,MATCH(LARGE(FILTER(W$4:W1644,W$4:W1644&lt;=I1099),1)"&amp;",W$4:W1644))+(I1099-LARGE(FILTER(W$4:W1644,W$4:W1644&lt;=I1099),1))*INDEX(T$4:T1644,MATCH(LARGE(FILTER(W$4:W1644,W$4:W1644&lt;=I1099),1),W$4:W1644))-K1099),1,
ROUNDDOWN(Y1099-INDEX(K$4:K1644,MATCH(LARGE(FILTER(I$4:I1644,I$4:I1644&lt;=W1099),1),I$4:I1644))-(W1099-L"&amp;"ARGE(FILTER(I$4:I1644,I$4:I1644&lt;=W1099),1))*INDEX(F$4:F1644,MATCH(LARGE(FILTER(I$4:I1644,I$4:I1644&lt;=W1099),1),I$4:I1644))))"),"")</f>
        <v/>
      </c>
      <c r="N1099" s="60" t="str">
        <f t="shared" si="8"/>
        <v/>
      </c>
      <c r="O1099" s="61" t="str">
        <f t="shared" si="9"/>
        <v/>
      </c>
      <c r="P1099" s="56" t="str">
        <f t="shared" si="10"/>
        <v/>
      </c>
      <c r="Q1099" s="105"/>
      <c r="R1099" s="10"/>
      <c r="S1099" s="59" t="str">
        <f t="array" ref="S1099">IF(COUNTA(Q1099:Q1644)=0,"",SUM((COUNTIF(Q$4:Q1099,Upgrades!$B$3:$B$13)-COUNTIF(Q$4:Q1099,"Sell_"&amp;Upgrades!$B$3:$B$13))*Upgrades!$D$3:$D$13))</f>
        <v/>
      </c>
      <c r="T1099" s="66" t="str">
        <f>IFERROR(__xludf.DUMMYFUNCTION("IF(COUNTA(Q1099:Q1644)=0,"""",IF(REGEXMATCH(INDEX(FILTER(Q$4:Q1099,Q$4:Q1099&lt;&gt;""""),ROWS(FILTER(Q$4:Q1099,Q$4:Q1099&lt;&gt;""""))),""^Sell_""),INDEX(FILTER(T$4:T1098,Q$4:Q1098&lt;&gt;""""),ROWS(FILTER(Q$4:Q1098,Q$4:Q1098&lt;&gt;""""))),$AD$5+S1099))"),"")</f>
        <v/>
      </c>
      <c r="U1099" s="10" t="str">
        <f>IFERROR(__xludf.DUMMYFUNCTION("IF(COUNTA(Q1099:Q1644)=0,"""",IF(Q1099="""",0,IF(REGEXMATCH(Q1099,""^Sell_""),-ROUNDDOWN(ROUNDUP(INDEX(Upgrades!$C$3:$C$13,MATCH(SUBSTITUTE(Q1099,""Sell_"",""""),Upgrades!$B$3:$B$13,0))*1.15^(COUNTIF(Q$4:Q1098,SUBSTITUTE(Q1099,""Sell_"",""""))-COUNTIF(Q$4"&amp;":Q1098,""Sell_""&amp;SUBSTITUTE(Q1099,""Sell_"",""""))))/2),ROUNDUP(INDEX(Upgrades!$C$3:$C$13,MATCH(Q1099,Upgrades!$B$3:$B$13,0))*1.15^(COUNTIF(Q$4:Q1098,Q1099)-COUNTIF(Q$4:Q1098,""Sell_""&amp;Q1099))))))"),"")</f>
        <v/>
      </c>
      <c r="V1099" s="10" t="str">
        <f t="shared" si="11"/>
        <v/>
      </c>
      <c r="W1099" s="68" t="str">
        <f t="shared" si="12"/>
        <v/>
      </c>
      <c r="X1099" s="59" t="str">
        <f t="shared" si="13"/>
        <v/>
      </c>
      <c r="Y1099" s="69" t="str">
        <f t="shared" si="14"/>
        <v/>
      </c>
      <c r="Z1099" s="11"/>
      <c r="AG1099" s="59"/>
    </row>
    <row r="1100">
      <c r="A1100" s="8"/>
      <c r="B1100" s="56" t="str">
        <f t="shared" si="2"/>
        <v/>
      </c>
      <c r="C1100" s="105"/>
      <c r="D1100" s="10"/>
      <c r="E1100" s="59" t="str">
        <f t="array" ref="E1100">IF(COUNTA(C1100:C1644)=0,"",SUM((COUNTIF(C$4:C1100,Upgrades!$B$3:$B$13)-COUNTIF(C$4:C1100,"Sell_"&amp;Upgrades!$B$3:$B$13))*Upgrades!$D$3:$D$13))</f>
        <v/>
      </c>
      <c r="F1100" s="66" t="str">
        <f>IFERROR(__xludf.DUMMYFUNCTION("IF(COUNTA(C1100:C1644)=0,"""",IF(REGEXMATCH(INDEX(FILTER(C$4:C1100,C$4:C1100&lt;&gt;""""),ROWS(FILTER(C$4:C1100,C$4:C1100&lt;&gt;""""))),""^Sell_""),INDEX(FILTER(F$4:F1099,C$4:C1099&lt;&gt;""""),ROWS(FILTER(C$4:C1099,C$4:C1099&lt;&gt;""""))),$AC$5+E1100))"),"")</f>
        <v/>
      </c>
      <c r="G1100" s="10" t="str">
        <f>IFERROR(__xludf.DUMMYFUNCTION("IF(COUNTA(C1100:C1644)=0,"""",IF(C1100="""",0,IF(REGEXMATCH(C1100,""^Sell_""),-ROUNDDOWN(ROUNDUP(INDEX(Upgrades!$C$3:$C$13,MATCH(SUBSTITUTE(C1100,""Sell_"",""""),Upgrades!$B$3:$B$13,0))*1.15^(COUNTIF(C$4:C1099,SUBSTITUTE(C1100,""Sell_"",""""))-COUNTIF(C$4"&amp;":C1099,""Sell_""&amp;SUBSTITUTE(C1100,""Sell_"",""""))))/2),ROUNDUP(INDEX(Upgrades!$C$3:$C$13,MATCH(C1100,Upgrades!$B$3:$B$13,0))*1.15^(COUNTIF(C$4:C1099,C1100)-COUNTIF(C$4:C1099,""Sell_""&amp;C1100))))))"),"")</f>
        <v/>
      </c>
      <c r="H1100" s="10" t="str">
        <f t="shared" si="3"/>
        <v/>
      </c>
      <c r="I1100" s="68" t="str">
        <f t="shared" si="4"/>
        <v/>
      </c>
      <c r="J1100" s="59" t="str">
        <f t="shared" si="5"/>
        <v/>
      </c>
      <c r="K1100" s="69" t="str">
        <f t="shared" si="6"/>
        <v/>
      </c>
      <c r="L1100" s="60" t="str">
        <f t="shared" si="7"/>
        <v/>
      </c>
      <c r="M1100" s="61" t="str">
        <f>IFERROR(__xludf.DUMMYFUNCTION("IFS(AND(COUNTA(C1100:C1644)=0,COUNTA(Q1100:Q1644)=0),"""",OR(AND(K1100&gt;=1000000000,OR(Y1100&gt;=1000000000,COUNTA(Q1100:Q1644)=0)),OR(Y1100&gt;=1000000000,AND(COUNTA(C1100:C1644)=0,P$3=TRUE))),
ROUNDDOWN((AB$1-AC$1)*MAX(INDEX(T$4:T1644,MATCH(LARGE(FILTER(Y$4:Y1"&amp;"644,Y$4:Y1644&lt;1000000000),1),Y$4:Y1644)),INDEX(F$4:F1644,MATCH(LARGE(FILTER(K$4:K1644,K$4:K1644&lt;1000000000),1),K$4:K1644)))),AND(K1100&lt;1000000000,COUNTA(C1100:C1644)&gt;0,P$3=FALSE),
ROUNDDOWN(INDEX(Y$4:Y1644,MATCH(LARGE(FILTER(W$4:W1644,W$4:W1644&lt;=I1100),1)"&amp;",W$4:W1644))+(I1100-LARGE(FILTER(W$4:W1644,W$4:W1644&lt;=I1100),1))*INDEX(T$4:T1644,MATCH(LARGE(FILTER(W$4:W1644,W$4:W1644&lt;=I1100),1),W$4:W1644))-K1100),1,
ROUNDDOWN(Y1100-INDEX(K$4:K1644,MATCH(LARGE(FILTER(I$4:I1644,I$4:I1644&lt;=W1100),1),I$4:I1644))-(W1100-L"&amp;"ARGE(FILTER(I$4:I1644,I$4:I1644&lt;=W1100),1))*INDEX(F$4:F1644,MATCH(LARGE(FILTER(I$4:I1644,I$4:I1644&lt;=W1100),1),I$4:I1644))))"),"")</f>
        <v/>
      </c>
      <c r="N1100" s="60" t="str">
        <f t="shared" si="8"/>
        <v/>
      </c>
      <c r="O1100" s="61" t="str">
        <f t="shared" si="9"/>
        <v/>
      </c>
      <c r="P1100" s="56" t="str">
        <f t="shared" si="10"/>
        <v/>
      </c>
      <c r="Q1100" s="105"/>
      <c r="R1100" s="10"/>
      <c r="S1100" s="59" t="str">
        <f t="array" ref="S1100">IF(COUNTA(Q1100:Q1644)=0,"",SUM((COUNTIF(Q$4:Q1100,Upgrades!$B$3:$B$13)-COUNTIF(Q$4:Q1100,"Sell_"&amp;Upgrades!$B$3:$B$13))*Upgrades!$D$3:$D$13))</f>
        <v/>
      </c>
      <c r="T1100" s="66" t="str">
        <f>IFERROR(__xludf.DUMMYFUNCTION("IF(COUNTA(Q1100:Q1644)=0,"""",IF(REGEXMATCH(INDEX(FILTER(Q$4:Q1100,Q$4:Q1100&lt;&gt;""""),ROWS(FILTER(Q$4:Q1100,Q$4:Q1100&lt;&gt;""""))),""^Sell_""),INDEX(FILTER(T$4:T1099,Q$4:Q1099&lt;&gt;""""),ROWS(FILTER(Q$4:Q1099,Q$4:Q1099&lt;&gt;""""))),$AD$5+S1100))"),"")</f>
        <v/>
      </c>
      <c r="U1100" s="10" t="str">
        <f>IFERROR(__xludf.DUMMYFUNCTION("IF(COUNTA(Q1100:Q1644)=0,"""",IF(Q1100="""",0,IF(REGEXMATCH(Q1100,""^Sell_""),-ROUNDDOWN(ROUNDUP(INDEX(Upgrades!$C$3:$C$13,MATCH(SUBSTITUTE(Q1100,""Sell_"",""""),Upgrades!$B$3:$B$13,0))*1.15^(COUNTIF(Q$4:Q1099,SUBSTITUTE(Q1100,""Sell_"",""""))-COUNTIF(Q$4"&amp;":Q1099,""Sell_""&amp;SUBSTITUTE(Q1100,""Sell_"",""""))))/2),ROUNDUP(INDEX(Upgrades!$C$3:$C$13,MATCH(Q1100,Upgrades!$B$3:$B$13,0))*1.15^(COUNTIF(Q$4:Q1099,Q1100)-COUNTIF(Q$4:Q1099,""Sell_""&amp;Q1100))))))"),"")</f>
        <v/>
      </c>
      <c r="V1100" s="10" t="str">
        <f t="shared" si="11"/>
        <v/>
      </c>
      <c r="W1100" s="68" t="str">
        <f t="shared" si="12"/>
        <v/>
      </c>
      <c r="X1100" s="59" t="str">
        <f t="shared" si="13"/>
        <v/>
      </c>
      <c r="Y1100" s="69" t="str">
        <f t="shared" si="14"/>
        <v/>
      </c>
      <c r="Z1100" s="11"/>
      <c r="AG1100" s="59"/>
    </row>
    <row r="1101">
      <c r="A1101" s="8"/>
      <c r="B1101" s="56" t="str">
        <f t="shared" si="2"/>
        <v/>
      </c>
      <c r="C1101" s="105"/>
      <c r="D1101" s="10"/>
      <c r="E1101" s="59" t="str">
        <f t="array" ref="E1101">IF(COUNTA(C1101:C1644)=0,"",SUM((COUNTIF(C$4:C1101,Upgrades!$B$3:$B$13)-COUNTIF(C$4:C1101,"Sell_"&amp;Upgrades!$B$3:$B$13))*Upgrades!$D$3:$D$13))</f>
        <v/>
      </c>
      <c r="F1101" s="66" t="str">
        <f>IFERROR(__xludf.DUMMYFUNCTION("IF(COUNTA(C1101:C1644)=0,"""",IF(REGEXMATCH(INDEX(FILTER(C$4:C1101,C$4:C1101&lt;&gt;""""),ROWS(FILTER(C$4:C1101,C$4:C1101&lt;&gt;""""))),""^Sell_""),INDEX(FILTER(F$4:F1100,C$4:C1100&lt;&gt;""""),ROWS(FILTER(C$4:C1100,C$4:C1100&lt;&gt;""""))),$AC$5+E1101))"),"")</f>
        <v/>
      </c>
      <c r="G1101" s="10" t="str">
        <f>IFERROR(__xludf.DUMMYFUNCTION("IF(COUNTA(C1101:C1644)=0,"""",IF(C1101="""",0,IF(REGEXMATCH(C1101,""^Sell_""),-ROUNDDOWN(ROUNDUP(INDEX(Upgrades!$C$3:$C$13,MATCH(SUBSTITUTE(C1101,""Sell_"",""""),Upgrades!$B$3:$B$13,0))*1.15^(COUNTIF(C$4:C1100,SUBSTITUTE(C1101,""Sell_"",""""))-COUNTIF(C$4"&amp;":C1100,""Sell_""&amp;SUBSTITUTE(C1101,""Sell_"",""""))))/2),ROUNDUP(INDEX(Upgrades!$C$3:$C$13,MATCH(C1101,Upgrades!$B$3:$B$13,0))*1.15^(COUNTIF(C$4:C1100,C1101)-COUNTIF(C$4:C1100,""Sell_""&amp;C1101))))))"),"")</f>
        <v/>
      </c>
      <c r="H1101" s="10" t="str">
        <f t="shared" si="3"/>
        <v/>
      </c>
      <c r="I1101" s="68" t="str">
        <f t="shared" si="4"/>
        <v/>
      </c>
      <c r="J1101" s="59" t="str">
        <f t="shared" si="5"/>
        <v/>
      </c>
      <c r="K1101" s="69" t="str">
        <f t="shared" si="6"/>
        <v/>
      </c>
      <c r="L1101" s="60" t="str">
        <f t="shared" si="7"/>
        <v/>
      </c>
      <c r="M1101" s="61" t="str">
        <f>IFERROR(__xludf.DUMMYFUNCTION("IFS(AND(COUNTA(C1101:C1644)=0,COUNTA(Q1101:Q1644)=0),"""",OR(AND(K1101&gt;=1000000000,OR(Y1101&gt;=1000000000,COUNTA(Q1101:Q1644)=0)),OR(Y1101&gt;=1000000000,AND(COUNTA(C1101:C1644)=0,P$3=TRUE))),
ROUNDDOWN((AB$1-AC$1)*MAX(INDEX(T$4:T1644,MATCH(LARGE(FILTER(Y$4:Y1"&amp;"644,Y$4:Y1644&lt;1000000000),1),Y$4:Y1644)),INDEX(F$4:F1644,MATCH(LARGE(FILTER(K$4:K1644,K$4:K1644&lt;1000000000),1),K$4:K1644)))),AND(K1101&lt;1000000000,COUNTA(C1101:C1644)&gt;0,P$3=FALSE),
ROUNDDOWN(INDEX(Y$4:Y1644,MATCH(LARGE(FILTER(W$4:W1644,W$4:W1644&lt;=I1101),1)"&amp;",W$4:W1644))+(I1101-LARGE(FILTER(W$4:W1644,W$4:W1644&lt;=I1101),1))*INDEX(T$4:T1644,MATCH(LARGE(FILTER(W$4:W1644,W$4:W1644&lt;=I1101),1),W$4:W1644))-K1101),1,
ROUNDDOWN(Y1101-INDEX(K$4:K1644,MATCH(LARGE(FILTER(I$4:I1644,I$4:I1644&lt;=W1101),1),I$4:I1644))-(W1101-L"&amp;"ARGE(FILTER(I$4:I1644,I$4:I1644&lt;=W1101),1))*INDEX(F$4:F1644,MATCH(LARGE(FILTER(I$4:I1644,I$4:I1644&lt;=W1101),1),I$4:I1644))))"),"")</f>
        <v/>
      </c>
      <c r="N1101" s="60" t="str">
        <f t="shared" si="8"/>
        <v/>
      </c>
      <c r="O1101" s="61" t="str">
        <f t="shared" si="9"/>
        <v/>
      </c>
      <c r="P1101" s="56" t="str">
        <f t="shared" si="10"/>
        <v/>
      </c>
      <c r="Q1101" s="105"/>
      <c r="R1101" s="10"/>
      <c r="S1101" s="59" t="str">
        <f t="array" ref="S1101">IF(COUNTA(Q1101:Q1644)=0,"",SUM((COUNTIF(Q$4:Q1101,Upgrades!$B$3:$B$13)-COUNTIF(Q$4:Q1101,"Sell_"&amp;Upgrades!$B$3:$B$13))*Upgrades!$D$3:$D$13))</f>
        <v/>
      </c>
      <c r="T1101" s="66" t="str">
        <f>IFERROR(__xludf.DUMMYFUNCTION("IF(COUNTA(Q1101:Q1644)=0,"""",IF(REGEXMATCH(INDEX(FILTER(Q$4:Q1101,Q$4:Q1101&lt;&gt;""""),ROWS(FILTER(Q$4:Q1101,Q$4:Q1101&lt;&gt;""""))),""^Sell_""),INDEX(FILTER(T$4:T1100,Q$4:Q1100&lt;&gt;""""),ROWS(FILTER(Q$4:Q1100,Q$4:Q1100&lt;&gt;""""))),$AD$5+S1101))"),"")</f>
        <v/>
      </c>
      <c r="U1101" s="10" t="str">
        <f>IFERROR(__xludf.DUMMYFUNCTION("IF(COUNTA(Q1101:Q1644)=0,"""",IF(Q1101="""",0,IF(REGEXMATCH(Q1101,""^Sell_""),-ROUNDDOWN(ROUNDUP(INDEX(Upgrades!$C$3:$C$13,MATCH(SUBSTITUTE(Q1101,""Sell_"",""""),Upgrades!$B$3:$B$13,0))*1.15^(COUNTIF(Q$4:Q1100,SUBSTITUTE(Q1101,""Sell_"",""""))-COUNTIF(Q$4"&amp;":Q1100,""Sell_""&amp;SUBSTITUTE(Q1101,""Sell_"",""""))))/2),ROUNDUP(INDEX(Upgrades!$C$3:$C$13,MATCH(Q1101,Upgrades!$B$3:$B$13,0))*1.15^(COUNTIF(Q$4:Q1100,Q1101)-COUNTIF(Q$4:Q1100,""Sell_""&amp;Q1101))))))"),"")</f>
        <v/>
      </c>
      <c r="V1101" s="10" t="str">
        <f t="shared" si="11"/>
        <v/>
      </c>
      <c r="W1101" s="68" t="str">
        <f t="shared" si="12"/>
        <v/>
      </c>
      <c r="X1101" s="59" t="str">
        <f t="shared" si="13"/>
        <v/>
      </c>
      <c r="Y1101" s="69" t="str">
        <f t="shared" si="14"/>
        <v/>
      </c>
      <c r="Z1101" s="11"/>
      <c r="AG1101" s="59"/>
    </row>
    <row r="1102">
      <c r="A1102" s="8"/>
      <c r="B1102" s="56" t="str">
        <f t="shared" si="2"/>
        <v/>
      </c>
      <c r="C1102" s="105"/>
      <c r="D1102" s="10"/>
      <c r="E1102" s="59" t="str">
        <f t="array" ref="E1102">IF(COUNTA(C1102:C1644)=0,"",SUM((COUNTIF(C$4:C1102,Upgrades!$B$3:$B$13)-COUNTIF(C$4:C1102,"Sell_"&amp;Upgrades!$B$3:$B$13))*Upgrades!$D$3:$D$13))</f>
        <v/>
      </c>
      <c r="F1102" s="66" t="str">
        <f>IFERROR(__xludf.DUMMYFUNCTION("IF(COUNTA(C1102:C1644)=0,"""",IF(REGEXMATCH(INDEX(FILTER(C$4:C1102,C$4:C1102&lt;&gt;""""),ROWS(FILTER(C$4:C1102,C$4:C1102&lt;&gt;""""))),""^Sell_""),INDEX(FILTER(F$4:F1101,C$4:C1101&lt;&gt;""""),ROWS(FILTER(C$4:C1101,C$4:C1101&lt;&gt;""""))),$AC$5+E1102))"),"")</f>
        <v/>
      </c>
      <c r="G1102" s="10" t="str">
        <f>IFERROR(__xludf.DUMMYFUNCTION("IF(COUNTA(C1102:C1644)=0,"""",IF(C1102="""",0,IF(REGEXMATCH(C1102,""^Sell_""),-ROUNDDOWN(ROUNDUP(INDEX(Upgrades!$C$3:$C$13,MATCH(SUBSTITUTE(C1102,""Sell_"",""""),Upgrades!$B$3:$B$13,0))*1.15^(COUNTIF(C$4:C1101,SUBSTITUTE(C1102,""Sell_"",""""))-COUNTIF(C$4"&amp;":C1101,""Sell_""&amp;SUBSTITUTE(C1102,""Sell_"",""""))))/2),ROUNDUP(INDEX(Upgrades!$C$3:$C$13,MATCH(C1102,Upgrades!$B$3:$B$13,0))*1.15^(COUNTIF(C$4:C1101,C1102)-COUNTIF(C$4:C1101,""Sell_""&amp;C1102))))))"),"")</f>
        <v/>
      </c>
      <c r="H1102" s="10" t="str">
        <f t="shared" si="3"/>
        <v/>
      </c>
      <c r="I1102" s="68" t="str">
        <f t="shared" si="4"/>
        <v/>
      </c>
      <c r="J1102" s="59" t="str">
        <f t="shared" si="5"/>
        <v/>
      </c>
      <c r="K1102" s="69" t="str">
        <f t="shared" si="6"/>
        <v/>
      </c>
      <c r="L1102" s="60" t="str">
        <f t="shared" si="7"/>
        <v/>
      </c>
      <c r="M1102" s="61" t="str">
        <f>IFERROR(__xludf.DUMMYFUNCTION("IFS(AND(COUNTA(C1102:C1644)=0,COUNTA(Q1102:Q1644)=0),"""",OR(AND(K1102&gt;=1000000000,OR(Y1102&gt;=1000000000,COUNTA(Q1102:Q1644)=0)),OR(Y1102&gt;=1000000000,AND(COUNTA(C1102:C1644)=0,P$3=TRUE))),
ROUNDDOWN((AB$1-AC$1)*MAX(INDEX(T$4:T1644,MATCH(LARGE(FILTER(Y$4:Y1"&amp;"644,Y$4:Y1644&lt;1000000000),1),Y$4:Y1644)),INDEX(F$4:F1644,MATCH(LARGE(FILTER(K$4:K1644,K$4:K1644&lt;1000000000),1),K$4:K1644)))),AND(K1102&lt;1000000000,COUNTA(C1102:C1644)&gt;0,P$3=FALSE),
ROUNDDOWN(INDEX(Y$4:Y1644,MATCH(LARGE(FILTER(W$4:W1644,W$4:W1644&lt;=I1102),1)"&amp;",W$4:W1644))+(I1102-LARGE(FILTER(W$4:W1644,W$4:W1644&lt;=I1102),1))*INDEX(T$4:T1644,MATCH(LARGE(FILTER(W$4:W1644,W$4:W1644&lt;=I1102),1),W$4:W1644))-K1102),1,
ROUNDDOWN(Y1102-INDEX(K$4:K1644,MATCH(LARGE(FILTER(I$4:I1644,I$4:I1644&lt;=W1102),1),I$4:I1644))-(W1102-L"&amp;"ARGE(FILTER(I$4:I1644,I$4:I1644&lt;=W1102),1))*INDEX(F$4:F1644,MATCH(LARGE(FILTER(I$4:I1644,I$4:I1644&lt;=W1102),1),I$4:I1644))))"),"")</f>
        <v/>
      </c>
      <c r="N1102" s="60" t="str">
        <f t="shared" si="8"/>
        <v/>
      </c>
      <c r="O1102" s="61" t="str">
        <f t="shared" si="9"/>
        <v/>
      </c>
      <c r="P1102" s="56" t="str">
        <f t="shared" si="10"/>
        <v/>
      </c>
      <c r="Q1102" s="105"/>
      <c r="R1102" s="10"/>
      <c r="S1102" s="59" t="str">
        <f t="array" ref="S1102">IF(COUNTA(Q1102:Q1644)=0,"",SUM((COUNTIF(Q$4:Q1102,Upgrades!$B$3:$B$13)-COUNTIF(Q$4:Q1102,"Sell_"&amp;Upgrades!$B$3:$B$13))*Upgrades!$D$3:$D$13))</f>
        <v/>
      </c>
      <c r="T1102" s="66" t="str">
        <f>IFERROR(__xludf.DUMMYFUNCTION("IF(COUNTA(Q1102:Q1644)=0,"""",IF(REGEXMATCH(INDEX(FILTER(Q$4:Q1102,Q$4:Q1102&lt;&gt;""""),ROWS(FILTER(Q$4:Q1102,Q$4:Q1102&lt;&gt;""""))),""^Sell_""),INDEX(FILTER(T$4:T1101,Q$4:Q1101&lt;&gt;""""),ROWS(FILTER(Q$4:Q1101,Q$4:Q1101&lt;&gt;""""))),$AD$5+S1102))"),"")</f>
        <v/>
      </c>
      <c r="U1102" s="10" t="str">
        <f>IFERROR(__xludf.DUMMYFUNCTION("IF(COUNTA(Q1102:Q1644)=0,"""",IF(Q1102="""",0,IF(REGEXMATCH(Q1102,""^Sell_""),-ROUNDDOWN(ROUNDUP(INDEX(Upgrades!$C$3:$C$13,MATCH(SUBSTITUTE(Q1102,""Sell_"",""""),Upgrades!$B$3:$B$13,0))*1.15^(COUNTIF(Q$4:Q1101,SUBSTITUTE(Q1102,""Sell_"",""""))-COUNTIF(Q$4"&amp;":Q1101,""Sell_""&amp;SUBSTITUTE(Q1102,""Sell_"",""""))))/2),ROUNDUP(INDEX(Upgrades!$C$3:$C$13,MATCH(Q1102,Upgrades!$B$3:$B$13,0))*1.15^(COUNTIF(Q$4:Q1101,Q1102)-COUNTIF(Q$4:Q1101,""Sell_""&amp;Q1102))))))"),"")</f>
        <v/>
      </c>
      <c r="V1102" s="10" t="str">
        <f t="shared" si="11"/>
        <v/>
      </c>
      <c r="W1102" s="68" t="str">
        <f t="shared" si="12"/>
        <v/>
      </c>
      <c r="X1102" s="59" t="str">
        <f t="shared" si="13"/>
        <v/>
      </c>
      <c r="Y1102" s="69" t="str">
        <f t="shared" si="14"/>
        <v/>
      </c>
      <c r="Z1102" s="11"/>
      <c r="AG1102" s="59"/>
    </row>
    <row r="1103">
      <c r="A1103" s="8"/>
      <c r="B1103" s="56" t="str">
        <f t="shared" si="2"/>
        <v/>
      </c>
      <c r="C1103" s="105"/>
      <c r="D1103" s="10"/>
      <c r="E1103" s="59" t="str">
        <f t="array" ref="E1103">IF(COUNTA(C1103:C1644)=0,"",SUM((COUNTIF(C$4:C1103,Upgrades!$B$3:$B$13)-COUNTIF(C$4:C1103,"Sell_"&amp;Upgrades!$B$3:$B$13))*Upgrades!$D$3:$D$13))</f>
        <v/>
      </c>
      <c r="F1103" s="66" t="str">
        <f>IFERROR(__xludf.DUMMYFUNCTION("IF(COUNTA(C1103:C1644)=0,"""",IF(REGEXMATCH(INDEX(FILTER(C$4:C1103,C$4:C1103&lt;&gt;""""),ROWS(FILTER(C$4:C1103,C$4:C1103&lt;&gt;""""))),""^Sell_""),INDEX(FILTER(F$4:F1102,C$4:C1102&lt;&gt;""""),ROWS(FILTER(C$4:C1102,C$4:C1102&lt;&gt;""""))),$AC$5+E1103))"),"")</f>
        <v/>
      </c>
      <c r="G1103" s="10" t="str">
        <f>IFERROR(__xludf.DUMMYFUNCTION("IF(COUNTA(C1103:C1644)=0,"""",IF(C1103="""",0,IF(REGEXMATCH(C1103,""^Sell_""),-ROUNDDOWN(ROUNDUP(INDEX(Upgrades!$C$3:$C$13,MATCH(SUBSTITUTE(C1103,""Sell_"",""""),Upgrades!$B$3:$B$13,0))*1.15^(COUNTIF(C$4:C1102,SUBSTITUTE(C1103,""Sell_"",""""))-COUNTIF(C$4"&amp;":C1102,""Sell_""&amp;SUBSTITUTE(C1103,""Sell_"",""""))))/2),ROUNDUP(INDEX(Upgrades!$C$3:$C$13,MATCH(C1103,Upgrades!$B$3:$B$13,0))*1.15^(COUNTIF(C$4:C1102,C1103)-COUNTIF(C$4:C1102,""Sell_""&amp;C1103))))))"),"")</f>
        <v/>
      </c>
      <c r="H1103" s="10" t="str">
        <f t="shared" si="3"/>
        <v/>
      </c>
      <c r="I1103" s="68" t="str">
        <f t="shared" si="4"/>
        <v/>
      </c>
      <c r="J1103" s="59" t="str">
        <f t="shared" si="5"/>
        <v/>
      </c>
      <c r="K1103" s="69" t="str">
        <f t="shared" si="6"/>
        <v/>
      </c>
      <c r="L1103" s="60" t="str">
        <f t="shared" si="7"/>
        <v/>
      </c>
      <c r="M1103" s="61" t="str">
        <f>IFERROR(__xludf.DUMMYFUNCTION("IFS(AND(COUNTA(C1103:C1644)=0,COUNTA(Q1103:Q1644)=0),"""",OR(AND(K1103&gt;=1000000000,OR(Y1103&gt;=1000000000,COUNTA(Q1103:Q1644)=0)),OR(Y1103&gt;=1000000000,AND(COUNTA(C1103:C1644)=0,P$3=TRUE))),
ROUNDDOWN((AB$1-AC$1)*MAX(INDEX(T$4:T1644,MATCH(LARGE(FILTER(Y$4:Y1"&amp;"644,Y$4:Y1644&lt;1000000000),1),Y$4:Y1644)),INDEX(F$4:F1644,MATCH(LARGE(FILTER(K$4:K1644,K$4:K1644&lt;1000000000),1),K$4:K1644)))),AND(K1103&lt;1000000000,COUNTA(C1103:C1644)&gt;0,P$3=FALSE),
ROUNDDOWN(INDEX(Y$4:Y1644,MATCH(LARGE(FILTER(W$4:W1644,W$4:W1644&lt;=I1103),1)"&amp;",W$4:W1644))+(I1103-LARGE(FILTER(W$4:W1644,W$4:W1644&lt;=I1103),1))*INDEX(T$4:T1644,MATCH(LARGE(FILTER(W$4:W1644,W$4:W1644&lt;=I1103),1),W$4:W1644))-K1103),1,
ROUNDDOWN(Y1103-INDEX(K$4:K1644,MATCH(LARGE(FILTER(I$4:I1644,I$4:I1644&lt;=W1103),1),I$4:I1644))-(W1103-L"&amp;"ARGE(FILTER(I$4:I1644,I$4:I1644&lt;=W1103),1))*INDEX(F$4:F1644,MATCH(LARGE(FILTER(I$4:I1644,I$4:I1644&lt;=W1103),1),I$4:I1644))))"),"")</f>
        <v/>
      </c>
      <c r="N1103" s="60" t="str">
        <f t="shared" si="8"/>
        <v/>
      </c>
      <c r="O1103" s="61" t="str">
        <f t="shared" si="9"/>
        <v/>
      </c>
      <c r="P1103" s="56" t="str">
        <f t="shared" si="10"/>
        <v/>
      </c>
      <c r="Q1103" s="105"/>
      <c r="R1103" s="10"/>
      <c r="S1103" s="59" t="str">
        <f t="array" ref="S1103">IF(COUNTA(Q1103:Q1644)=0,"",SUM((COUNTIF(Q$4:Q1103,Upgrades!$B$3:$B$13)-COUNTIF(Q$4:Q1103,"Sell_"&amp;Upgrades!$B$3:$B$13))*Upgrades!$D$3:$D$13))</f>
        <v/>
      </c>
      <c r="T1103" s="66" t="str">
        <f>IFERROR(__xludf.DUMMYFUNCTION("IF(COUNTA(Q1103:Q1644)=0,"""",IF(REGEXMATCH(INDEX(FILTER(Q$4:Q1103,Q$4:Q1103&lt;&gt;""""),ROWS(FILTER(Q$4:Q1103,Q$4:Q1103&lt;&gt;""""))),""^Sell_""),INDEX(FILTER(T$4:T1102,Q$4:Q1102&lt;&gt;""""),ROWS(FILTER(Q$4:Q1102,Q$4:Q1102&lt;&gt;""""))),$AD$5+S1103))"),"")</f>
        <v/>
      </c>
      <c r="U1103" s="10" t="str">
        <f>IFERROR(__xludf.DUMMYFUNCTION("IF(COUNTA(Q1103:Q1644)=0,"""",IF(Q1103="""",0,IF(REGEXMATCH(Q1103,""^Sell_""),-ROUNDDOWN(ROUNDUP(INDEX(Upgrades!$C$3:$C$13,MATCH(SUBSTITUTE(Q1103,""Sell_"",""""),Upgrades!$B$3:$B$13,0))*1.15^(COUNTIF(Q$4:Q1102,SUBSTITUTE(Q1103,""Sell_"",""""))-COUNTIF(Q$4"&amp;":Q1102,""Sell_""&amp;SUBSTITUTE(Q1103,""Sell_"",""""))))/2),ROUNDUP(INDEX(Upgrades!$C$3:$C$13,MATCH(Q1103,Upgrades!$B$3:$B$13,0))*1.15^(COUNTIF(Q$4:Q1102,Q1103)-COUNTIF(Q$4:Q1102,""Sell_""&amp;Q1103))))))"),"")</f>
        <v/>
      </c>
      <c r="V1103" s="10" t="str">
        <f t="shared" si="11"/>
        <v/>
      </c>
      <c r="W1103" s="68" t="str">
        <f t="shared" si="12"/>
        <v/>
      </c>
      <c r="X1103" s="59" t="str">
        <f t="shared" si="13"/>
        <v/>
      </c>
      <c r="Y1103" s="69" t="str">
        <f t="shared" si="14"/>
        <v/>
      </c>
      <c r="Z1103" s="11"/>
      <c r="AG1103" s="59"/>
    </row>
    <row r="1104">
      <c r="A1104" s="8"/>
      <c r="B1104" s="56" t="str">
        <f t="shared" si="2"/>
        <v/>
      </c>
      <c r="C1104" s="105"/>
      <c r="D1104" s="10"/>
      <c r="E1104" s="59" t="str">
        <f t="array" ref="E1104">IF(COUNTA(C1104:C1644)=0,"",SUM((COUNTIF(C$4:C1104,Upgrades!$B$3:$B$13)-COUNTIF(C$4:C1104,"Sell_"&amp;Upgrades!$B$3:$B$13))*Upgrades!$D$3:$D$13))</f>
        <v/>
      </c>
      <c r="F1104" s="66" t="str">
        <f>IFERROR(__xludf.DUMMYFUNCTION("IF(COUNTA(C1104:C1644)=0,"""",IF(REGEXMATCH(INDEX(FILTER(C$4:C1104,C$4:C1104&lt;&gt;""""),ROWS(FILTER(C$4:C1104,C$4:C1104&lt;&gt;""""))),""^Sell_""),INDEX(FILTER(F$4:F1103,C$4:C1103&lt;&gt;""""),ROWS(FILTER(C$4:C1103,C$4:C1103&lt;&gt;""""))),$AC$5+E1104))"),"")</f>
        <v/>
      </c>
      <c r="G1104" s="10" t="str">
        <f>IFERROR(__xludf.DUMMYFUNCTION("IF(COUNTA(C1104:C1644)=0,"""",IF(C1104="""",0,IF(REGEXMATCH(C1104,""^Sell_""),-ROUNDDOWN(ROUNDUP(INDEX(Upgrades!$C$3:$C$13,MATCH(SUBSTITUTE(C1104,""Sell_"",""""),Upgrades!$B$3:$B$13,0))*1.15^(COUNTIF(C$4:C1103,SUBSTITUTE(C1104,""Sell_"",""""))-COUNTIF(C$4"&amp;":C1103,""Sell_""&amp;SUBSTITUTE(C1104,""Sell_"",""""))))/2),ROUNDUP(INDEX(Upgrades!$C$3:$C$13,MATCH(C1104,Upgrades!$B$3:$B$13,0))*1.15^(COUNTIF(C$4:C1103,C1104)-COUNTIF(C$4:C1103,""Sell_""&amp;C1104))))))"),"")</f>
        <v/>
      </c>
      <c r="H1104" s="10" t="str">
        <f t="shared" si="3"/>
        <v/>
      </c>
      <c r="I1104" s="68" t="str">
        <f t="shared" si="4"/>
        <v/>
      </c>
      <c r="J1104" s="59" t="str">
        <f t="shared" si="5"/>
        <v/>
      </c>
      <c r="K1104" s="69" t="str">
        <f t="shared" si="6"/>
        <v/>
      </c>
      <c r="L1104" s="60" t="str">
        <f t="shared" si="7"/>
        <v/>
      </c>
      <c r="M1104" s="61" t="str">
        <f>IFERROR(__xludf.DUMMYFUNCTION("IFS(AND(COUNTA(C1104:C1644)=0,COUNTA(Q1104:Q1644)=0),"""",OR(AND(K1104&gt;=1000000000,OR(Y1104&gt;=1000000000,COUNTA(Q1104:Q1644)=0)),OR(Y1104&gt;=1000000000,AND(COUNTA(C1104:C1644)=0,P$3=TRUE))),
ROUNDDOWN((AB$1-AC$1)*MAX(INDEX(T$4:T1644,MATCH(LARGE(FILTER(Y$4:Y1"&amp;"644,Y$4:Y1644&lt;1000000000),1),Y$4:Y1644)),INDEX(F$4:F1644,MATCH(LARGE(FILTER(K$4:K1644,K$4:K1644&lt;1000000000),1),K$4:K1644)))),AND(K1104&lt;1000000000,COUNTA(C1104:C1644)&gt;0,P$3=FALSE),
ROUNDDOWN(INDEX(Y$4:Y1644,MATCH(LARGE(FILTER(W$4:W1644,W$4:W1644&lt;=I1104),1)"&amp;",W$4:W1644))+(I1104-LARGE(FILTER(W$4:W1644,W$4:W1644&lt;=I1104),1))*INDEX(T$4:T1644,MATCH(LARGE(FILTER(W$4:W1644,W$4:W1644&lt;=I1104),1),W$4:W1644))-K1104),1,
ROUNDDOWN(Y1104-INDEX(K$4:K1644,MATCH(LARGE(FILTER(I$4:I1644,I$4:I1644&lt;=W1104),1),I$4:I1644))-(W1104-L"&amp;"ARGE(FILTER(I$4:I1644,I$4:I1644&lt;=W1104),1))*INDEX(F$4:F1644,MATCH(LARGE(FILTER(I$4:I1644,I$4:I1644&lt;=W1104),1),I$4:I1644))))"),"")</f>
        <v/>
      </c>
      <c r="N1104" s="60" t="str">
        <f t="shared" si="8"/>
        <v/>
      </c>
      <c r="O1104" s="61" t="str">
        <f t="shared" si="9"/>
        <v/>
      </c>
      <c r="P1104" s="56" t="str">
        <f t="shared" si="10"/>
        <v/>
      </c>
      <c r="Q1104" s="105"/>
      <c r="R1104" s="10"/>
      <c r="S1104" s="59" t="str">
        <f t="array" ref="S1104">IF(COUNTA(Q1104:Q1644)=0,"",SUM((COUNTIF(Q$4:Q1104,Upgrades!$B$3:$B$13)-COUNTIF(Q$4:Q1104,"Sell_"&amp;Upgrades!$B$3:$B$13))*Upgrades!$D$3:$D$13))</f>
        <v/>
      </c>
      <c r="T1104" s="66" t="str">
        <f>IFERROR(__xludf.DUMMYFUNCTION("IF(COUNTA(Q1104:Q1644)=0,"""",IF(REGEXMATCH(INDEX(FILTER(Q$4:Q1104,Q$4:Q1104&lt;&gt;""""),ROWS(FILTER(Q$4:Q1104,Q$4:Q1104&lt;&gt;""""))),""^Sell_""),INDEX(FILTER(T$4:T1103,Q$4:Q1103&lt;&gt;""""),ROWS(FILTER(Q$4:Q1103,Q$4:Q1103&lt;&gt;""""))),$AD$5+S1104))"),"")</f>
        <v/>
      </c>
      <c r="U1104" s="10" t="str">
        <f>IFERROR(__xludf.DUMMYFUNCTION("IF(COUNTA(Q1104:Q1644)=0,"""",IF(Q1104="""",0,IF(REGEXMATCH(Q1104,""^Sell_""),-ROUNDDOWN(ROUNDUP(INDEX(Upgrades!$C$3:$C$13,MATCH(SUBSTITUTE(Q1104,""Sell_"",""""),Upgrades!$B$3:$B$13,0))*1.15^(COUNTIF(Q$4:Q1103,SUBSTITUTE(Q1104,""Sell_"",""""))-COUNTIF(Q$4"&amp;":Q1103,""Sell_""&amp;SUBSTITUTE(Q1104,""Sell_"",""""))))/2),ROUNDUP(INDEX(Upgrades!$C$3:$C$13,MATCH(Q1104,Upgrades!$B$3:$B$13,0))*1.15^(COUNTIF(Q$4:Q1103,Q1104)-COUNTIF(Q$4:Q1103,""Sell_""&amp;Q1104))))))"),"")</f>
        <v/>
      </c>
      <c r="V1104" s="10" t="str">
        <f t="shared" si="11"/>
        <v/>
      </c>
      <c r="W1104" s="68" t="str">
        <f t="shared" si="12"/>
        <v/>
      </c>
      <c r="X1104" s="59" t="str">
        <f t="shared" si="13"/>
        <v/>
      </c>
      <c r="Y1104" s="69" t="str">
        <f t="shared" si="14"/>
        <v/>
      </c>
      <c r="Z1104" s="11"/>
      <c r="AG1104" s="59"/>
    </row>
    <row r="1105">
      <c r="A1105" s="8"/>
      <c r="B1105" s="56" t="str">
        <f t="shared" si="2"/>
        <v/>
      </c>
      <c r="C1105" s="105"/>
      <c r="D1105" s="10"/>
      <c r="E1105" s="59" t="str">
        <f t="array" ref="E1105">IF(COUNTA(C1105:C1644)=0,"",SUM((COUNTIF(C$4:C1105,Upgrades!$B$3:$B$13)-COUNTIF(C$4:C1105,"Sell_"&amp;Upgrades!$B$3:$B$13))*Upgrades!$D$3:$D$13))</f>
        <v/>
      </c>
      <c r="F1105" s="66" t="str">
        <f>IFERROR(__xludf.DUMMYFUNCTION("IF(COUNTA(C1105:C1644)=0,"""",IF(REGEXMATCH(INDEX(FILTER(C$4:C1105,C$4:C1105&lt;&gt;""""),ROWS(FILTER(C$4:C1105,C$4:C1105&lt;&gt;""""))),""^Sell_""),INDEX(FILTER(F$4:F1104,C$4:C1104&lt;&gt;""""),ROWS(FILTER(C$4:C1104,C$4:C1104&lt;&gt;""""))),$AC$5+E1105))"),"")</f>
        <v/>
      </c>
      <c r="G1105" s="10" t="str">
        <f>IFERROR(__xludf.DUMMYFUNCTION("IF(COUNTA(C1105:C1644)=0,"""",IF(C1105="""",0,IF(REGEXMATCH(C1105,""^Sell_""),-ROUNDDOWN(ROUNDUP(INDEX(Upgrades!$C$3:$C$13,MATCH(SUBSTITUTE(C1105,""Sell_"",""""),Upgrades!$B$3:$B$13,0))*1.15^(COUNTIF(C$4:C1104,SUBSTITUTE(C1105,""Sell_"",""""))-COUNTIF(C$4"&amp;":C1104,""Sell_""&amp;SUBSTITUTE(C1105,""Sell_"",""""))))/2),ROUNDUP(INDEX(Upgrades!$C$3:$C$13,MATCH(C1105,Upgrades!$B$3:$B$13,0))*1.15^(COUNTIF(C$4:C1104,C1105)-COUNTIF(C$4:C1104,""Sell_""&amp;C1105))))))"),"")</f>
        <v/>
      </c>
      <c r="H1105" s="10" t="str">
        <f t="shared" si="3"/>
        <v/>
      </c>
      <c r="I1105" s="68" t="str">
        <f t="shared" si="4"/>
        <v/>
      </c>
      <c r="J1105" s="59" t="str">
        <f t="shared" si="5"/>
        <v/>
      </c>
      <c r="K1105" s="69" t="str">
        <f t="shared" si="6"/>
        <v/>
      </c>
      <c r="L1105" s="60" t="str">
        <f t="shared" si="7"/>
        <v/>
      </c>
      <c r="M1105" s="61" t="str">
        <f>IFERROR(__xludf.DUMMYFUNCTION("IFS(AND(COUNTA(C1105:C1644)=0,COUNTA(Q1105:Q1644)=0),"""",OR(AND(K1105&gt;=1000000000,OR(Y1105&gt;=1000000000,COUNTA(Q1105:Q1644)=0)),OR(Y1105&gt;=1000000000,AND(COUNTA(C1105:C1644)=0,P$3=TRUE))),
ROUNDDOWN((AB$1-AC$1)*MAX(INDEX(T$4:T1644,MATCH(LARGE(FILTER(Y$4:Y1"&amp;"644,Y$4:Y1644&lt;1000000000),1),Y$4:Y1644)),INDEX(F$4:F1644,MATCH(LARGE(FILTER(K$4:K1644,K$4:K1644&lt;1000000000),1),K$4:K1644)))),AND(K1105&lt;1000000000,COUNTA(C1105:C1644)&gt;0,P$3=FALSE),
ROUNDDOWN(INDEX(Y$4:Y1644,MATCH(LARGE(FILTER(W$4:W1644,W$4:W1644&lt;=I1105),1)"&amp;",W$4:W1644))+(I1105-LARGE(FILTER(W$4:W1644,W$4:W1644&lt;=I1105),1))*INDEX(T$4:T1644,MATCH(LARGE(FILTER(W$4:W1644,W$4:W1644&lt;=I1105),1),W$4:W1644))-K1105),1,
ROUNDDOWN(Y1105-INDEX(K$4:K1644,MATCH(LARGE(FILTER(I$4:I1644,I$4:I1644&lt;=W1105),1),I$4:I1644))-(W1105-L"&amp;"ARGE(FILTER(I$4:I1644,I$4:I1644&lt;=W1105),1))*INDEX(F$4:F1644,MATCH(LARGE(FILTER(I$4:I1644,I$4:I1644&lt;=W1105),1),I$4:I1644))))"),"")</f>
        <v/>
      </c>
      <c r="N1105" s="60" t="str">
        <f t="shared" si="8"/>
        <v/>
      </c>
      <c r="O1105" s="61" t="str">
        <f t="shared" si="9"/>
        <v/>
      </c>
      <c r="P1105" s="56" t="str">
        <f t="shared" si="10"/>
        <v/>
      </c>
      <c r="Q1105" s="105"/>
      <c r="R1105" s="10"/>
      <c r="S1105" s="59" t="str">
        <f t="array" ref="S1105">IF(COUNTA(Q1105:Q1644)=0,"",SUM((COUNTIF(Q$4:Q1105,Upgrades!$B$3:$B$13)-COUNTIF(Q$4:Q1105,"Sell_"&amp;Upgrades!$B$3:$B$13))*Upgrades!$D$3:$D$13))</f>
        <v/>
      </c>
      <c r="T1105" s="66" t="str">
        <f>IFERROR(__xludf.DUMMYFUNCTION("IF(COUNTA(Q1105:Q1644)=0,"""",IF(REGEXMATCH(INDEX(FILTER(Q$4:Q1105,Q$4:Q1105&lt;&gt;""""),ROWS(FILTER(Q$4:Q1105,Q$4:Q1105&lt;&gt;""""))),""^Sell_""),INDEX(FILTER(T$4:T1104,Q$4:Q1104&lt;&gt;""""),ROWS(FILTER(Q$4:Q1104,Q$4:Q1104&lt;&gt;""""))),$AD$5+S1105))"),"")</f>
        <v/>
      </c>
      <c r="U1105" s="10" t="str">
        <f>IFERROR(__xludf.DUMMYFUNCTION("IF(COUNTA(Q1105:Q1644)=0,"""",IF(Q1105="""",0,IF(REGEXMATCH(Q1105,""^Sell_""),-ROUNDDOWN(ROUNDUP(INDEX(Upgrades!$C$3:$C$13,MATCH(SUBSTITUTE(Q1105,""Sell_"",""""),Upgrades!$B$3:$B$13,0))*1.15^(COUNTIF(Q$4:Q1104,SUBSTITUTE(Q1105,""Sell_"",""""))-COUNTIF(Q$4"&amp;":Q1104,""Sell_""&amp;SUBSTITUTE(Q1105,""Sell_"",""""))))/2),ROUNDUP(INDEX(Upgrades!$C$3:$C$13,MATCH(Q1105,Upgrades!$B$3:$B$13,0))*1.15^(COUNTIF(Q$4:Q1104,Q1105)-COUNTIF(Q$4:Q1104,""Sell_""&amp;Q1105))))))"),"")</f>
        <v/>
      </c>
      <c r="V1105" s="10" t="str">
        <f t="shared" si="11"/>
        <v/>
      </c>
      <c r="W1105" s="68" t="str">
        <f t="shared" si="12"/>
        <v/>
      </c>
      <c r="X1105" s="59" t="str">
        <f t="shared" si="13"/>
        <v/>
      </c>
      <c r="Y1105" s="69" t="str">
        <f t="shared" si="14"/>
        <v/>
      </c>
      <c r="Z1105" s="11"/>
      <c r="AG1105" s="59"/>
    </row>
    <row r="1106">
      <c r="A1106" s="8"/>
      <c r="B1106" s="56" t="str">
        <f t="shared" si="2"/>
        <v/>
      </c>
      <c r="C1106" s="105"/>
      <c r="D1106" s="10"/>
      <c r="E1106" s="59" t="str">
        <f t="array" ref="E1106">IF(COUNTA(C1106:C1644)=0,"",SUM((COUNTIF(C$4:C1106,Upgrades!$B$3:$B$13)-COUNTIF(C$4:C1106,"Sell_"&amp;Upgrades!$B$3:$B$13))*Upgrades!$D$3:$D$13))</f>
        <v/>
      </c>
      <c r="F1106" s="66" t="str">
        <f>IFERROR(__xludf.DUMMYFUNCTION("IF(COUNTA(C1106:C1644)=0,"""",IF(REGEXMATCH(INDEX(FILTER(C$4:C1106,C$4:C1106&lt;&gt;""""),ROWS(FILTER(C$4:C1106,C$4:C1106&lt;&gt;""""))),""^Sell_""),INDEX(FILTER(F$4:F1105,C$4:C1105&lt;&gt;""""),ROWS(FILTER(C$4:C1105,C$4:C1105&lt;&gt;""""))),$AC$5+E1106))"),"")</f>
        <v/>
      </c>
      <c r="G1106" s="10" t="str">
        <f>IFERROR(__xludf.DUMMYFUNCTION("IF(COUNTA(C1106:C1644)=0,"""",IF(C1106="""",0,IF(REGEXMATCH(C1106,""^Sell_""),-ROUNDDOWN(ROUNDUP(INDEX(Upgrades!$C$3:$C$13,MATCH(SUBSTITUTE(C1106,""Sell_"",""""),Upgrades!$B$3:$B$13,0))*1.15^(COUNTIF(C$4:C1105,SUBSTITUTE(C1106,""Sell_"",""""))-COUNTIF(C$4"&amp;":C1105,""Sell_""&amp;SUBSTITUTE(C1106,""Sell_"",""""))))/2),ROUNDUP(INDEX(Upgrades!$C$3:$C$13,MATCH(C1106,Upgrades!$B$3:$B$13,0))*1.15^(COUNTIF(C$4:C1105,C1106)-COUNTIF(C$4:C1105,""Sell_""&amp;C1106))))))"),"")</f>
        <v/>
      </c>
      <c r="H1106" s="10" t="str">
        <f t="shared" si="3"/>
        <v/>
      </c>
      <c r="I1106" s="68" t="str">
        <f t="shared" si="4"/>
        <v/>
      </c>
      <c r="J1106" s="59" t="str">
        <f t="shared" si="5"/>
        <v/>
      </c>
      <c r="K1106" s="69" t="str">
        <f t="shared" si="6"/>
        <v/>
      </c>
      <c r="L1106" s="60" t="str">
        <f t="shared" si="7"/>
        <v/>
      </c>
      <c r="M1106" s="61" t="str">
        <f>IFERROR(__xludf.DUMMYFUNCTION("IFS(AND(COUNTA(C1106:C1644)=0,COUNTA(Q1106:Q1644)=0),"""",OR(AND(K1106&gt;=1000000000,OR(Y1106&gt;=1000000000,COUNTA(Q1106:Q1644)=0)),OR(Y1106&gt;=1000000000,AND(COUNTA(C1106:C1644)=0,P$3=TRUE))),
ROUNDDOWN((AB$1-AC$1)*MAX(INDEX(T$4:T1644,MATCH(LARGE(FILTER(Y$4:Y1"&amp;"644,Y$4:Y1644&lt;1000000000),1),Y$4:Y1644)),INDEX(F$4:F1644,MATCH(LARGE(FILTER(K$4:K1644,K$4:K1644&lt;1000000000),1),K$4:K1644)))),AND(K1106&lt;1000000000,COUNTA(C1106:C1644)&gt;0,P$3=FALSE),
ROUNDDOWN(INDEX(Y$4:Y1644,MATCH(LARGE(FILTER(W$4:W1644,W$4:W1644&lt;=I1106),1)"&amp;",W$4:W1644))+(I1106-LARGE(FILTER(W$4:W1644,W$4:W1644&lt;=I1106),1))*INDEX(T$4:T1644,MATCH(LARGE(FILTER(W$4:W1644,W$4:W1644&lt;=I1106),1),W$4:W1644))-K1106),1,
ROUNDDOWN(Y1106-INDEX(K$4:K1644,MATCH(LARGE(FILTER(I$4:I1644,I$4:I1644&lt;=W1106),1),I$4:I1644))-(W1106-L"&amp;"ARGE(FILTER(I$4:I1644,I$4:I1644&lt;=W1106),1))*INDEX(F$4:F1644,MATCH(LARGE(FILTER(I$4:I1644,I$4:I1644&lt;=W1106),1),I$4:I1644))))"),"")</f>
        <v/>
      </c>
      <c r="N1106" s="60" t="str">
        <f t="shared" si="8"/>
        <v/>
      </c>
      <c r="O1106" s="61" t="str">
        <f t="shared" si="9"/>
        <v/>
      </c>
      <c r="P1106" s="56" t="str">
        <f t="shared" si="10"/>
        <v/>
      </c>
      <c r="Q1106" s="105"/>
      <c r="R1106" s="10"/>
      <c r="S1106" s="59" t="str">
        <f t="array" ref="S1106">IF(COUNTA(Q1106:Q1644)=0,"",SUM((COUNTIF(Q$4:Q1106,Upgrades!$B$3:$B$13)-COUNTIF(Q$4:Q1106,"Sell_"&amp;Upgrades!$B$3:$B$13))*Upgrades!$D$3:$D$13))</f>
        <v/>
      </c>
      <c r="T1106" s="66" t="str">
        <f>IFERROR(__xludf.DUMMYFUNCTION("IF(COUNTA(Q1106:Q1644)=0,"""",IF(REGEXMATCH(INDEX(FILTER(Q$4:Q1106,Q$4:Q1106&lt;&gt;""""),ROWS(FILTER(Q$4:Q1106,Q$4:Q1106&lt;&gt;""""))),""^Sell_""),INDEX(FILTER(T$4:T1105,Q$4:Q1105&lt;&gt;""""),ROWS(FILTER(Q$4:Q1105,Q$4:Q1105&lt;&gt;""""))),$AD$5+S1106))"),"")</f>
        <v/>
      </c>
      <c r="U1106" s="10" t="str">
        <f>IFERROR(__xludf.DUMMYFUNCTION("IF(COUNTA(Q1106:Q1644)=0,"""",IF(Q1106="""",0,IF(REGEXMATCH(Q1106,""^Sell_""),-ROUNDDOWN(ROUNDUP(INDEX(Upgrades!$C$3:$C$13,MATCH(SUBSTITUTE(Q1106,""Sell_"",""""),Upgrades!$B$3:$B$13,0))*1.15^(COUNTIF(Q$4:Q1105,SUBSTITUTE(Q1106,""Sell_"",""""))-COUNTIF(Q$4"&amp;":Q1105,""Sell_""&amp;SUBSTITUTE(Q1106,""Sell_"",""""))))/2),ROUNDUP(INDEX(Upgrades!$C$3:$C$13,MATCH(Q1106,Upgrades!$B$3:$B$13,0))*1.15^(COUNTIF(Q$4:Q1105,Q1106)-COUNTIF(Q$4:Q1105,""Sell_""&amp;Q1106))))))"),"")</f>
        <v/>
      </c>
      <c r="V1106" s="10" t="str">
        <f t="shared" si="11"/>
        <v/>
      </c>
      <c r="W1106" s="68" t="str">
        <f t="shared" si="12"/>
        <v/>
      </c>
      <c r="X1106" s="59" t="str">
        <f t="shared" si="13"/>
        <v/>
      </c>
      <c r="Y1106" s="69" t="str">
        <f t="shared" si="14"/>
        <v/>
      </c>
      <c r="Z1106" s="11"/>
      <c r="AG1106" s="59"/>
    </row>
    <row r="1107">
      <c r="A1107" s="8"/>
      <c r="B1107" s="56" t="str">
        <f t="shared" si="2"/>
        <v/>
      </c>
      <c r="C1107" s="105"/>
      <c r="D1107" s="10"/>
      <c r="E1107" s="59" t="str">
        <f t="array" ref="E1107">IF(COUNTA(C1107:C1644)=0,"",SUM((COUNTIF(C$4:C1107,Upgrades!$B$3:$B$13)-COUNTIF(C$4:C1107,"Sell_"&amp;Upgrades!$B$3:$B$13))*Upgrades!$D$3:$D$13))</f>
        <v/>
      </c>
      <c r="F1107" s="66" t="str">
        <f>IFERROR(__xludf.DUMMYFUNCTION("IF(COUNTA(C1107:C1644)=0,"""",IF(REGEXMATCH(INDEX(FILTER(C$4:C1107,C$4:C1107&lt;&gt;""""),ROWS(FILTER(C$4:C1107,C$4:C1107&lt;&gt;""""))),""^Sell_""),INDEX(FILTER(F$4:F1106,C$4:C1106&lt;&gt;""""),ROWS(FILTER(C$4:C1106,C$4:C1106&lt;&gt;""""))),$AC$5+E1107))"),"")</f>
        <v/>
      </c>
      <c r="G1107" s="10" t="str">
        <f>IFERROR(__xludf.DUMMYFUNCTION("IF(COUNTA(C1107:C1644)=0,"""",IF(C1107="""",0,IF(REGEXMATCH(C1107,""^Sell_""),-ROUNDDOWN(ROUNDUP(INDEX(Upgrades!$C$3:$C$13,MATCH(SUBSTITUTE(C1107,""Sell_"",""""),Upgrades!$B$3:$B$13,0))*1.15^(COUNTIF(C$4:C1106,SUBSTITUTE(C1107,""Sell_"",""""))-COUNTIF(C$4"&amp;":C1106,""Sell_""&amp;SUBSTITUTE(C1107,""Sell_"",""""))))/2),ROUNDUP(INDEX(Upgrades!$C$3:$C$13,MATCH(C1107,Upgrades!$B$3:$B$13,0))*1.15^(COUNTIF(C$4:C1106,C1107)-COUNTIF(C$4:C1106,""Sell_""&amp;C1107))))))"),"")</f>
        <v/>
      </c>
      <c r="H1107" s="10" t="str">
        <f t="shared" si="3"/>
        <v/>
      </c>
      <c r="I1107" s="68" t="str">
        <f t="shared" si="4"/>
        <v/>
      </c>
      <c r="J1107" s="59" t="str">
        <f t="shared" si="5"/>
        <v/>
      </c>
      <c r="K1107" s="69" t="str">
        <f t="shared" si="6"/>
        <v/>
      </c>
      <c r="L1107" s="60" t="str">
        <f t="shared" si="7"/>
        <v/>
      </c>
      <c r="M1107" s="61" t="str">
        <f>IFERROR(__xludf.DUMMYFUNCTION("IFS(AND(COUNTA(C1107:C1644)=0,COUNTA(Q1107:Q1644)=0),"""",OR(AND(K1107&gt;=1000000000,OR(Y1107&gt;=1000000000,COUNTA(Q1107:Q1644)=0)),OR(Y1107&gt;=1000000000,AND(COUNTA(C1107:C1644)=0,P$3=TRUE))),
ROUNDDOWN((AB$1-AC$1)*MAX(INDEX(T$4:T1644,MATCH(LARGE(FILTER(Y$4:Y1"&amp;"644,Y$4:Y1644&lt;1000000000),1),Y$4:Y1644)),INDEX(F$4:F1644,MATCH(LARGE(FILTER(K$4:K1644,K$4:K1644&lt;1000000000),1),K$4:K1644)))),AND(K1107&lt;1000000000,COUNTA(C1107:C1644)&gt;0,P$3=FALSE),
ROUNDDOWN(INDEX(Y$4:Y1644,MATCH(LARGE(FILTER(W$4:W1644,W$4:W1644&lt;=I1107),1)"&amp;",W$4:W1644))+(I1107-LARGE(FILTER(W$4:W1644,W$4:W1644&lt;=I1107),1))*INDEX(T$4:T1644,MATCH(LARGE(FILTER(W$4:W1644,W$4:W1644&lt;=I1107),1),W$4:W1644))-K1107),1,
ROUNDDOWN(Y1107-INDEX(K$4:K1644,MATCH(LARGE(FILTER(I$4:I1644,I$4:I1644&lt;=W1107),1),I$4:I1644))-(W1107-L"&amp;"ARGE(FILTER(I$4:I1644,I$4:I1644&lt;=W1107),1))*INDEX(F$4:F1644,MATCH(LARGE(FILTER(I$4:I1644,I$4:I1644&lt;=W1107),1),I$4:I1644))))"),"")</f>
        <v/>
      </c>
      <c r="N1107" s="60" t="str">
        <f t="shared" si="8"/>
        <v/>
      </c>
      <c r="O1107" s="61" t="str">
        <f t="shared" si="9"/>
        <v/>
      </c>
      <c r="P1107" s="56" t="str">
        <f t="shared" si="10"/>
        <v/>
      </c>
      <c r="Q1107" s="105"/>
      <c r="R1107" s="10"/>
      <c r="S1107" s="59" t="str">
        <f t="array" ref="S1107">IF(COUNTA(Q1107:Q1644)=0,"",SUM((COUNTIF(Q$4:Q1107,Upgrades!$B$3:$B$13)-COUNTIF(Q$4:Q1107,"Sell_"&amp;Upgrades!$B$3:$B$13))*Upgrades!$D$3:$D$13))</f>
        <v/>
      </c>
      <c r="T1107" s="66" t="str">
        <f>IFERROR(__xludf.DUMMYFUNCTION("IF(COUNTA(Q1107:Q1644)=0,"""",IF(REGEXMATCH(INDEX(FILTER(Q$4:Q1107,Q$4:Q1107&lt;&gt;""""),ROWS(FILTER(Q$4:Q1107,Q$4:Q1107&lt;&gt;""""))),""^Sell_""),INDEX(FILTER(T$4:T1106,Q$4:Q1106&lt;&gt;""""),ROWS(FILTER(Q$4:Q1106,Q$4:Q1106&lt;&gt;""""))),$AD$5+S1107))"),"")</f>
        <v/>
      </c>
      <c r="U1107" s="10" t="str">
        <f>IFERROR(__xludf.DUMMYFUNCTION("IF(COUNTA(Q1107:Q1644)=0,"""",IF(Q1107="""",0,IF(REGEXMATCH(Q1107,""^Sell_""),-ROUNDDOWN(ROUNDUP(INDEX(Upgrades!$C$3:$C$13,MATCH(SUBSTITUTE(Q1107,""Sell_"",""""),Upgrades!$B$3:$B$13,0))*1.15^(COUNTIF(Q$4:Q1106,SUBSTITUTE(Q1107,""Sell_"",""""))-COUNTIF(Q$4"&amp;":Q1106,""Sell_""&amp;SUBSTITUTE(Q1107,""Sell_"",""""))))/2),ROUNDUP(INDEX(Upgrades!$C$3:$C$13,MATCH(Q1107,Upgrades!$B$3:$B$13,0))*1.15^(COUNTIF(Q$4:Q1106,Q1107)-COUNTIF(Q$4:Q1106,""Sell_""&amp;Q1107))))))"),"")</f>
        <v/>
      </c>
      <c r="V1107" s="10" t="str">
        <f t="shared" si="11"/>
        <v/>
      </c>
      <c r="W1107" s="68" t="str">
        <f t="shared" si="12"/>
        <v/>
      </c>
      <c r="X1107" s="59" t="str">
        <f t="shared" si="13"/>
        <v/>
      </c>
      <c r="Y1107" s="69" t="str">
        <f t="shared" si="14"/>
        <v/>
      </c>
      <c r="Z1107" s="11"/>
      <c r="AG1107" s="59"/>
    </row>
    <row r="1108">
      <c r="A1108" s="8"/>
      <c r="B1108" s="56" t="str">
        <f t="shared" si="2"/>
        <v/>
      </c>
      <c r="C1108" s="105"/>
      <c r="D1108" s="10"/>
      <c r="E1108" s="59" t="str">
        <f t="array" ref="E1108">IF(COUNTA(C1108:C1644)=0,"",SUM((COUNTIF(C$4:C1108,Upgrades!$B$3:$B$13)-COUNTIF(C$4:C1108,"Sell_"&amp;Upgrades!$B$3:$B$13))*Upgrades!$D$3:$D$13))</f>
        <v/>
      </c>
      <c r="F1108" s="66" t="str">
        <f>IFERROR(__xludf.DUMMYFUNCTION("IF(COUNTA(C1108:C1644)=0,"""",IF(REGEXMATCH(INDEX(FILTER(C$4:C1108,C$4:C1108&lt;&gt;""""),ROWS(FILTER(C$4:C1108,C$4:C1108&lt;&gt;""""))),""^Sell_""),INDEX(FILTER(F$4:F1107,C$4:C1107&lt;&gt;""""),ROWS(FILTER(C$4:C1107,C$4:C1107&lt;&gt;""""))),$AC$5+E1108))"),"")</f>
        <v/>
      </c>
      <c r="G1108" s="10" t="str">
        <f>IFERROR(__xludf.DUMMYFUNCTION("IF(COUNTA(C1108:C1644)=0,"""",IF(C1108="""",0,IF(REGEXMATCH(C1108,""^Sell_""),-ROUNDDOWN(ROUNDUP(INDEX(Upgrades!$C$3:$C$13,MATCH(SUBSTITUTE(C1108,""Sell_"",""""),Upgrades!$B$3:$B$13,0))*1.15^(COUNTIF(C$4:C1107,SUBSTITUTE(C1108,""Sell_"",""""))-COUNTIF(C$4"&amp;":C1107,""Sell_""&amp;SUBSTITUTE(C1108,""Sell_"",""""))))/2),ROUNDUP(INDEX(Upgrades!$C$3:$C$13,MATCH(C1108,Upgrades!$B$3:$B$13,0))*1.15^(COUNTIF(C$4:C1107,C1108)-COUNTIF(C$4:C1107,""Sell_""&amp;C1108))))))"),"")</f>
        <v/>
      </c>
      <c r="H1108" s="10" t="str">
        <f t="shared" si="3"/>
        <v/>
      </c>
      <c r="I1108" s="68" t="str">
        <f t="shared" si="4"/>
        <v/>
      </c>
      <c r="J1108" s="59" t="str">
        <f t="shared" si="5"/>
        <v/>
      </c>
      <c r="K1108" s="69" t="str">
        <f t="shared" si="6"/>
        <v/>
      </c>
      <c r="L1108" s="60" t="str">
        <f t="shared" si="7"/>
        <v/>
      </c>
      <c r="M1108" s="61" t="str">
        <f>IFERROR(__xludf.DUMMYFUNCTION("IFS(AND(COUNTA(C1108:C1644)=0,COUNTA(Q1108:Q1644)=0),"""",OR(AND(K1108&gt;=1000000000,OR(Y1108&gt;=1000000000,COUNTA(Q1108:Q1644)=0)),OR(Y1108&gt;=1000000000,AND(COUNTA(C1108:C1644)=0,P$3=TRUE))),
ROUNDDOWN((AB$1-AC$1)*MAX(INDEX(T$4:T1644,MATCH(LARGE(FILTER(Y$4:Y1"&amp;"644,Y$4:Y1644&lt;1000000000),1),Y$4:Y1644)),INDEX(F$4:F1644,MATCH(LARGE(FILTER(K$4:K1644,K$4:K1644&lt;1000000000),1),K$4:K1644)))),AND(K1108&lt;1000000000,COUNTA(C1108:C1644)&gt;0,P$3=FALSE),
ROUNDDOWN(INDEX(Y$4:Y1644,MATCH(LARGE(FILTER(W$4:W1644,W$4:W1644&lt;=I1108),1)"&amp;",W$4:W1644))+(I1108-LARGE(FILTER(W$4:W1644,W$4:W1644&lt;=I1108),1))*INDEX(T$4:T1644,MATCH(LARGE(FILTER(W$4:W1644,W$4:W1644&lt;=I1108),1),W$4:W1644))-K1108),1,
ROUNDDOWN(Y1108-INDEX(K$4:K1644,MATCH(LARGE(FILTER(I$4:I1644,I$4:I1644&lt;=W1108),1),I$4:I1644))-(W1108-L"&amp;"ARGE(FILTER(I$4:I1644,I$4:I1644&lt;=W1108),1))*INDEX(F$4:F1644,MATCH(LARGE(FILTER(I$4:I1644,I$4:I1644&lt;=W1108),1),I$4:I1644))))"),"")</f>
        <v/>
      </c>
      <c r="N1108" s="60" t="str">
        <f t="shared" si="8"/>
        <v/>
      </c>
      <c r="O1108" s="61" t="str">
        <f t="shared" si="9"/>
        <v/>
      </c>
      <c r="P1108" s="56" t="str">
        <f t="shared" si="10"/>
        <v/>
      </c>
      <c r="Q1108" s="105"/>
      <c r="R1108" s="10"/>
      <c r="S1108" s="59" t="str">
        <f t="array" ref="S1108">IF(COUNTA(Q1108:Q1644)=0,"",SUM((COUNTIF(Q$4:Q1108,Upgrades!$B$3:$B$13)-COUNTIF(Q$4:Q1108,"Sell_"&amp;Upgrades!$B$3:$B$13))*Upgrades!$D$3:$D$13))</f>
        <v/>
      </c>
      <c r="T1108" s="66" t="str">
        <f>IFERROR(__xludf.DUMMYFUNCTION("IF(COUNTA(Q1108:Q1644)=0,"""",IF(REGEXMATCH(INDEX(FILTER(Q$4:Q1108,Q$4:Q1108&lt;&gt;""""),ROWS(FILTER(Q$4:Q1108,Q$4:Q1108&lt;&gt;""""))),""^Sell_""),INDEX(FILTER(T$4:T1107,Q$4:Q1107&lt;&gt;""""),ROWS(FILTER(Q$4:Q1107,Q$4:Q1107&lt;&gt;""""))),$AD$5+S1108))"),"")</f>
        <v/>
      </c>
      <c r="U1108" s="10" t="str">
        <f>IFERROR(__xludf.DUMMYFUNCTION("IF(COUNTA(Q1108:Q1644)=0,"""",IF(Q1108="""",0,IF(REGEXMATCH(Q1108,""^Sell_""),-ROUNDDOWN(ROUNDUP(INDEX(Upgrades!$C$3:$C$13,MATCH(SUBSTITUTE(Q1108,""Sell_"",""""),Upgrades!$B$3:$B$13,0))*1.15^(COUNTIF(Q$4:Q1107,SUBSTITUTE(Q1108,""Sell_"",""""))-COUNTIF(Q$4"&amp;":Q1107,""Sell_""&amp;SUBSTITUTE(Q1108,""Sell_"",""""))))/2),ROUNDUP(INDEX(Upgrades!$C$3:$C$13,MATCH(Q1108,Upgrades!$B$3:$B$13,0))*1.15^(COUNTIF(Q$4:Q1107,Q1108)-COUNTIF(Q$4:Q1107,""Sell_""&amp;Q1108))))))"),"")</f>
        <v/>
      </c>
      <c r="V1108" s="10" t="str">
        <f t="shared" si="11"/>
        <v/>
      </c>
      <c r="W1108" s="68" t="str">
        <f t="shared" si="12"/>
        <v/>
      </c>
      <c r="X1108" s="59" t="str">
        <f t="shared" si="13"/>
        <v/>
      </c>
      <c r="Y1108" s="69" t="str">
        <f t="shared" si="14"/>
        <v/>
      </c>
      <c r="Z1108" s="11"/>
      <c r="AG1108" s="59"/>
    </row>
    <row r="1109">
      <c r="A1109" s="8"/>
      <c r="B1109" s="56" t="str">
        <f t="shared" si="2"/>
        <v/>
      </c>
      <c r="C1109" s="105"/>
      <c r="D1109" s="10"/>
      <c r="E1109" s="59" t="str">
        <f t="array" ref="E1109">IF(COUNTA(C1109:C1644)=0,"",SUM((COUNTIF(C$4:C1109,Upgrades!$B$3:$B$13)-COUNTIF(C$4:C1109,"Sell_"&amp;Upgrades!$B$3:$B$13))*Upgrades!$D$3:$D$13))</f>
        <v/>
      </c>
      <c r="F1109" s="66" t="str">
        <f>IFERROR(__xludf.DUMMYFUNCTION("IF(COUNTA(C1109:C1644)=0,"""",IF(REGEXMATCH(INDEX(FILTER(C$4:C1109,C$4:C1109&lt;&gt;""""),ROWS(FILTER(C$4:C1109,C$4:C1109&lt;&gt;""""))),""^Sell_""),INDEX(FILTER(F$4:F1108,C$4:C1108&lt;&gt;""""),ROWS(FILTER(C$4:C1108,C$4:C1108&lt;&gt;""""))),$AC$5+E1109))"),"")</f>
        <v/>
      </c>
      <c r="G1109" s="10" t="str">
        <f>IFERROR(__xludf.DUMMYFUNCTION("IF(COUNTA(C1109:C1644)=0,"""",IF(C1109="""",0,IF(REGEXMATCH(C1109,""^Sell_""),-ROUNDDOWN(ROUNDUP(INDEX(Upgrades!$C$3:$C$13,MATCH(SUBSTITUTE(C1109,""Sell_"",""""),Upgrades!$B$3:$B$13,0))*1.15^(COUNTIF(C$4:C1108,SUBSTITUTE(C1109,""Sell_"",""""))-COUNTIF(C$4"&amp;":C1108,""Sell_""&amp;SUBSTITUTE(C1109,""Sell_"",""""))))/2),ROUNDUP(INDEX(Upgrades!$C$3:$C$13,MATCH(C1109,Upgrades!$B$3:$B$13,0))*1.15^(COUNTIF(C$4:C1108,C1109)-COUNTIF(C$4:C1108,""Sell_""&amp;C1109))))))"),"")</f>
        <v/>
      </c>
      <c r="H1109" s="10" t="str">
        <f t="shared" si="3"/>
        <v/>
      </c>
      <c r="I1109" s="68" t="str">
        <f t="shared" si="4"/>
        <v/>
      </c>
      <c r="J1109" s="59" t="str">
        <f t="shared" si="5"/>
        <v/>
      </c>
      <c r="K1109" s="69" t="str">
        <f t="shared" si="6"/>
        <v/>
      </c>
      <c r="L1109" s="60" t="str">
        <f t="shared" si="7"/>
        <v/>
      </c>
      <c r="M1109" s="61" t="str">
        <f>IFERROR(__xludf.DUMMYFUNCTION("IFS(AND(COUNTA(C1109:C1644)=0,COUNTA(Q1109:Q1644)=0),"""",OR(AND(K1109&gt;=1000000000,OR(Y1109&gt;=1000000000,COUNTA(Q1109:Q1644)=0)),OR(Y1109&gt;=1000000000,AND(COUNTA(C1109:C1644)=0,P$3=TRUE))),
ROUNDDOWN((AB$1-AC$1)*MAX(INDEX(T$4:T1644,MATCH(LARGE(FILTER(Y$4:Y1"&amp;"644,Y$4:Y1644&lt;1000000000),1),Y$4:Y1644)),INDEX(F$4:F1644,MATCH(LARGE(FILTER(K$4:K1644,K$4:K1644&lt;1000000000),1),K$4:K1644)))),AND(K1109&lt;1000000000,COUNTA(C1109:C1644)&gt;0,P$3=FALSE),
ROUNDDOWN(INDEX(Y$4:Y1644,MATCH(LARGE(FILTER(W$4:W1644,W$4:W1644&lt;=I1109),1)"&amp;",W$4:W1644))+(I1109-LARGE(FILTER(W$4:W1644,W$4:W1644&lt;=I1109),1))*INDEX(T$4:T1644,MATCH(LARGE(FILTER(W$4:W1644,W$4:W1644&lt;=I1109),1),W$4:W1644))-K1109),1,
ROUNDDOWN(Y1109-INDEX(K$4:K1644,MATCH(LARGE(FILTER(I$4:I1644,I$4:I1644&lt;=W1109),1),I$4:I1644))-(W1109-L"&amp;"ARGE(FILTER(I$4:I1644,I$4:I1644&lt;=W1109),1))*INDEX(F$4:F1644,MATCH(LARGE(FILTER(I$4:I1644,I$4:I1644&lt;=W1109),1),I$4:I1644))))"),"")</f>
        <v/>
      </c>
      <c r="N1109" s="60" t="str">
        <f t="shared" si="8"/>
        <v/>
      </c>
      <c r="O1109" s="61" t="str">
        <f t="shared" si="9"/>
        <v/>
      </c>
      <c r="P1109" s="56" t="str">
        <f t="shared" si="10"/>
        <v/>
      </c>
      <c r="Q1109" s="105"/>
      <c r="R1109" s="10"/>
      <c r="S1109" s="59" t="str">
        <f t="array" ref="S1109">IF(COUNTA(Q1109:Q1644)=0,"",SUM((COUNTIF(Q$4:Q1109,Upgrades!$B$3:$B$13)-COUNTIF(Q$4:Q1109,"Sell_"&amp;Upgrades!$B$3:$B$13))*Upgrades!$D$3:$D$13))</f>
        <v/>
      </c>
      <c r="T1109" s="66" t="str">
        <f>IFERROR(__xludf.DUMMYFUNCTION("IF(COUNTA(Q1109:Q1644)=0,"""",IF(REGEXMATCH(INDEX(FILTER(Q$4:Q1109,Q$4:Q1109&lt;&gt;""""),ROWS(FILTER(Q$4:Q1109,Q$4:Q1109&lt;&gt;""""))),""^Sell_""),INDEX(FILTER(T$4:T1108,Q$4:Q1108&lt;&gt;""""),ROWS(FILTER(Q$4:Q1108,Q$4:Q1108&lt;&gt;""""))),$AD$5+S1109))"),"")</f>
        <v/>
      </c>
      <c r="U1109" s="10" t="str">
        <f>IFERROR(__xludf.DUMMYFUNCTION("IF(COUNTA(Q1109:Q1644)=0,"""",IF(Q1109="""",0,IF(REGEXMATCH(Q1109,""^Sell_""),-ROUNDDOWN(ROUNDUP(INDEX(Upgrades!$C$3:$C$13,MATCH(SUBSTITUTE(Q1109,""Sell_"",""""),Upgrades!$B$3:$B$13,0))*1.15^(COUNTIF(Q$4:Q1108,SUBSTITUTE(Q1109,""Sell_"",""""))-COUNTIF(Q$4"&amp;":Q1108,""Sell_""&amp;SUBSTITUTE(Q1109,""Sell_"",""""))))/2),ROUNDUP(INDEX(Upgrades!$C$3:$C$13,MATCH(Q1109,Upgrades!$B$3:$B$13,0))*1.15^(COUNTIF(Q$4:Q1108,Q1109)-COUNTIF(Q$4:Q1108,""Sell_""&amp;Q1109))))))"),"")</f>
        <v/>
      </c>
      <c r="V1109" s="10" t="str">
        <f t="shared" si="11"/>
        <v/>
      </c>
      <c r="W1109" s="68" t="str">
        <f t="shared" si="12"/>
        <v/>
      </c>
      <c r="X1109" s="59" t="str">
        <f t="shared" si="13"/>
        <v/>
      </c>
      <c r="Y1109" s="69" t="str">
        <f t="shared" si="14"/>
        <v/>
      </c>
      <c r="Z1109" s="11"/>
      <c r="AG1109" s="59"/>
    </row>
    <row r="1110">
      <c r="A1110" s="8"/>
      <c r="B1110" s="56" t="str">
        <f t="shared" si="2"/>
        <v/>
      </c>
      <c r="C1110" s="105"/>
      <c r="D1110" s="10"/>
      <c r="E1110" s="59" t="str">
        <f t="array" ref="E1110">IF(COUNTA(C1110:C1644)=0,"",SUM((COUNTIF(C$4:C1110,Upgrades!$B$3:$B$13)-COUNTIF(C$4:C1110,"Sell_"&amp;Upgrades!$B$3:$B$13))*Upgrades!$D$3:$D$13))</f>
        <v/>
      </c>
      <c r="F1110" s="66" t="str">
        <f>IFERROR(__xludf.DUMMYFUNCTION("IF(COUNTA(C1110:C1644)=0,"""",IF(REGEXMATCH(INDEX(FILTER(C$4:C1110,C$4:C1110&lt;&gt;""""),ROWS(FILTER(C$4:C1110,C$4:C1110&lt;&gt;""""))),""^Sell_""),INDEX(FILTER(F$4:F1109,C$4:C1109&lt;&gt;""""),ROWS(FILTER(C$4:C1109,C$4:C1109&lt;&gt;""""))),$AC$5+E1110))"),"")</f>
        <v/>
      </c>
      <c r="G1110" s="10" t="str">
        <f>IFERROR(__xludf.DUMMYFUNCTION("IF(COUNTA(C1110:C1644)=0,"""",IF(C1110="""",0,IF(REGEXMATCH(C1110,""^Sell_""),-ROUNDDOWN(ROUNDUP(INDEX(Upgrades!$C$3:$C$13,MATCH(SUBSTITUTE(C1110,""Sell_"",""""),Upgrades!$B$3:$B$13,0))*1.15^(COUNTIF(C$4:C1109,SUBSTITUTE(C1110,""Sell_"",""""))-COUNTIF(C$4"&amp;":C1109,""Sell_""&amp;SUBSTITUTE(C1110,""Sell_"",""""))))/2),ROUNDUP(INDEX(Upgrades!$C$3:$C$13,MATCH(C1110,Upgrades!$B$3:$B$13,0))*1.15^(COUNTIF(C$4:C1109,C1110)-COUNTIF(C$4:C1109,""Sell_""&amp;C1110))))))"),"")</f>
        <v/>
      </c>
      <c r="H1110" s="10" t="str">
        <f t="shared" si="3"/>
        <v/>
      </c>
      <c r="I1110" s="68" t="str">
        <f t="shared" si="4"/>
        <v/>
      </c>
      <c r="J1110" s="59" t="str">
        <f t="shared" si="5"/>
        <v/>
      </c>
      <c r="K1110" s="69" t="str">
        <f t="shared" si="6"/>
        <v/>
      </c>
      <c r="L1110" s="60" t="str">
        <f t="shared" si="7"/>
        <v/>
      </c>
      <c r="M1110" s="61" t="str">
        <f>IFERROR(__xludf.DUMMYFUNCTION("IFS(AND(COUNTA(C1110:C1644)=0,COUNTA(Q1110:Q1644)=0),"""",OR(AND(K1110&gt;=1000000000,OR(Y1110&gt;=1000000000,COUNTA(Q1110:Q1644)=0)),OR(Y1110&gt;=1000000000,AND(COUNTA(C1110:C1644)=0,P$3=TRUE))),
ROUNDDOWN((AB$1-AC$1)*MAX(INDEX(T$4:T1644,MATCH(LARGE(FILTER(Y$4:Y1"&amp;"644,Y$4:Y1644&lt;1000000000),1),Y$4:Y1644)),INDEX(F$4:F1644,MATCH(LARGE(FILTER(K$4:K1644,K$4:K1644&lt;1000000000),1),K$4:K1644)))),AND(K1110&lt;1000000000,COUNTA(C1110:C1644)&gt;0,P$3=FALSE),
ROUNDDOWN(INDEX(Y$4:Y1644,MATCH(LARGE(FILTER(W$4:W1644,W$4:W1644&lt;=I1110),1)"&amp;",W$4:W1644))+(I1110-LARGE(FILTER(W$4:W1644,W$4:W1644&lt;=I1110),1))*INDEX(T$4:T1644,MATCH(LARGE(FILTER(W$4:W1644,W$4:W1644&lt;=I1110),1),W$4:W1644))-K1110),1,
ROUNDDOWN(Y1110-INDEX(K$4:K1644,MATCH(LARGE(FILTER(I$4:I1644,I$4:I1644&lt;=W1110),1),I$4:I1644))-(W1110-L"&amp;"ARGE(FILTER(I$4:I1644,I$4:I1644&lt;=W1110),1))*INDEX(F$4:F1644,MATCH(LARGE(FILTER(I$4:I1644,I$4:I1644&lt;=W1110),1),I$4:I1644))))"),"")</f>
        <v/>
      </c>
      <c r="N1110" s="60" t="str">
        <f t="shared" si="8"/>
        <v/>
      </c>
      <c r="O1110" s="61" t="str">
        <f t="shared" si="9"/>
        <v/>
      </c>
      <c r="P1110" s="56" t="str">
        <f t="shared" si="10"/>
        <v/>
      </c>
      <c r="Q1110" s="105"/>
      <c r="R1110" s="10"/>
      <c r="S1110" s="59" t="str">
        <f t="array" ref="S1110">IF(COUNTA(Q1110:Q1644)=0,"",SUM((COUNTIF(Q$4:Q1110,Upgrades!$B$3:$B$13)-COUNTIF(Q$4:Q1110,"Sell_"&amp;Upgrades!$B$3:$B$13))*Upgrades!$D$3:$D$13))</f>
        <v/>
      </c>
      <c r="T1110" s="66" t="str">
        <f>IFERROR(__xludf.DUMMYFUNCTION("IF(COUNTA(Q1110:Q1644)=0,"""",IF(REGEXMATCH(INDEX(FILTER(Q$4:Q1110,Q$4:Q1110&lt;&gt;""""),ROWS(FILTER(Q$4:Q1110,Q$4:Q1110&lt;&gt;""""))),""^Sell_""),INDEX(FILTER(T$4:T1109,Q$4:Q1109&lt;&gt;""""),ROWS(FILTER(Q$4:Q1109,Q$4:Q1109&lt;&gt;""""))),$AD$5+S1110))"),"")</f>
        <v/>
      </c>
      <c r="U1110" s="10" t="str">
        <f>IFERROR(__xludf.DUMMYFUNCTION("IF(COUNTA(Q1110:Q1644)=0,"""",IF(Q1110="""",0,IF(REGEXMATCH(Q1110,""^Sell_""),-ROUNDDOWN(ROUNDUP(INDEX(Upgrades!$C$3:$C$13,MATCH(SUBSTITUTE(Q1110,""Sell_"",""""),Upgrades!$B$3:$B$13,0))*1.15^(COUNTIF(Q$4:Q1109,SUBSTITUTE(Q1110,""Sell_"",""""))-COUNTIF(Q$4"&amp;":Q1109,""Sell_""&amp;SUBSTITUTE(Q1110,""Sell_"",""""))))/2),ROUNDUP(INDEX(Upgrades!$C$3:$C$13,MATCH(Q1110,Upgrades!$B$3:$B$13,0))*1.15^(COUNTIF(Q$4:Q1109,Q1110)-COUNTIF(Q$4:Q1109,""Sell_""&amp;Q1110))))))"),"")</f>
        <v/>
      </c>
      <c r="V1110" s="10" t="str">
        <f t="shared" si="11"/>
        <v/>
      </c>
      <c r="W1110" s="68" t="str">
        <f t="shared" si="12"/>
        <v/>
      </c>
      <c r="X1110" s="59" t="str">
        <f t="shared" si="13"/>
        <v/>
      </c>
      <c r="Y1110" s="69" t="str">
        <f t="shared" si="14"/>
        <v/>
      </c>
      <c r="Z1110" s="11"/>
      <c r="AG1110" s="59"/>
    </row>
    <row r="1111">
      <c r="A1111" s="8"/>
      <c r="B1111" s="56" t="str">
        <f t="shared" si="2"/>
        <v/>
      </c>
      <c r="C1111" s="105"/>
      <c r="D1111" s="10"/>
      <c r="E1111" s="59" t="str">
        <f t="array" ref="E1111">IF(COUNTA(C1111:C1644)=0,"",SUM((COUNTIF(C$4:C1111,Upgrades!$B$3:$B$13)-COUNTIF(C$4:C1111,"Sell_"&amp;Upgrades!$B$3:$B$13))*Upgrades!$D$3:$D$13))</f>
        <v/>
      </c>
      <c r="F1111" s="66" t="str">
        <f>IFERROR(__xludf.DUMMYFUNCTION("IF(COUNTA(C1111:C1644)=0,"""",IF(REGEXMATCH(INDEX(FILTER(C$4:C1111,C$4:C1111&lt;&gt;""""),ROWS(FILTER(C$4:C1111,C$4:C1111&lt;&gt;""""))),""^Sell_""),INDEX(FILTER(F$4:F1110,C$4:C1110&lt;&gt;""""),ROWS(FILTER(C$4:C1110,C$4:C1110&lt;&gt;""""))),$AC$5+E1111))"),"")</f>
        <v/>
      </c>
      <c r="G1111" s="10" t="str">
        <f>IFERROR(__xludf.DUMMYFUNCTION("IF(COUNTA(C1111:C1644)=0,"""",IF(C1111="""",0,IF(REGEXMATCH(C1111,""^Sell_""),-ROUNDDOWN(ROUNDUP(INDEX(Upgrades!$C$3:$C$13,MATCH(SUBSTITUTE(C1111,""Sell_"",""""),Upgrades!$B$3:$B$13,0))*1.15^(COUNTIF(C$4:C1110,SUBSTITUTE(C1111,""Sell_"",""""))-COUNTIF(C$4"&amp;":C1110,""Sell_""&amp;SUBSTITUTE(C1111,""Sell_"",""""))))/2),ROUNDUP(INDEX(Upgrades!$C$3:$C$13,MATCH(C1111,Upgrades!$B$3:$B$13,0))*1.15^(COUNTIF(C$4:C1110,C1111)-COUNTIF(C$4:C1110,""Sell_""&amp;C1111))))))"),"")</f>
        <v/>
      </c>
      <c r="H1111" s="10" t="str">
        <f t="shared" si="3"/>
        <v/>
      </c>
      <c r="I1111" s="68" t="str">
        <f t="shared" si="4"/>
        <v/>
      </c>
      <c r="J1111" s="59" t="str">
        <f t="shared" si="5"/>
        <v/>
      </c>
      <c r="K1111" s="69" t="str">
        <f t="shared" si="6"/>
        <v/>
      </c>
      <c r="L1111" s="60" t="str">
        <f t="shared" si="7"/>
        <v/>
      </c>
      <c r="M1111" s="61" t="str">
        <f>IFERROR(__xludf.DUMMYFUNCTION("IFS(AND(COUNTA(C1111:C1644)=0,COUNTA(Q1111:Q1644)=0),"""",OR(AND(K1111&gt;=1000000000,OR(Y1111&gt;=1000000000,COUNTA(Q1111:Q1644)=0)),OR(Y1111&gt;=1000000000,AND(COUNTA(C1111:C1644)=0,P$3=TRUE))),
ROUNDDOWN((AB$1-AC$1)*MAX(INDEX(T$4:T1644,MATCH(LARGE(FILTER(Y$4:Y1"&amp;"644,Y$4:Y1644&lt;1000000000),1),Y$4:Y1644)),INDEX(F$4:F1644,MATCH(LARGE(FILTER(K$4:K1644,K$4:K1644&lt;1000000000),1),K$4:K1644)))),AND(K1111&lt;1000000000,COUNTA(C1111:C1644)&gt;0,P$3=FALSE),
ROUNDDOWN(INDEX(Y$4:Y1644,MATCH(LARGE(FILTER(W$4:W1644,W$4:W1644&lt;=I1111),1)"&amp;",W$4:W1644))+(I1111-LARGE(FILTER(W$4:W1644,W$4:W1644&lt;=I1111),1))*INDEX(T$4:T1644,MATCH(LARGE(FILTER(W$4:W1644,W$4:W1644&lt;=I1111),1),W$4:W1644))-K1111),1,
ROUNDDOWN(Y1111-INDEX(K$4:K1644,MATCH(LARGE(FILTER(I$4:I1644,I$4:I1644&lt;=W1111),1),I$4:I1644))-(W1111-L"&amp;"ARGE(FILTER(I$4:I1644,I$4:I1644&lt;=W1111),1))*INDEX(F$4:F1644,MATCH(LARGE(FILTER(I$4:I1644,I$4:I1644&lt;=W1111),1),I$4:I1644))))"),"")</f>
        <v/>
      </c>
      <c r="N1111" s="60" t="str">
        <f t="shared" si="8"/>
        <v/>
      </c>
      <c r="O1111" s="61" t="str">
        <f t="shared" si="9"/>
        <v/>
      </c>
      <c r="P1111" s="56" t="str">
        <f t="shared" si="10"/>
        <v/>
      </c>
      <c r="Q1111" s="105"/>
      <c r="R1111" s="10"/>
      <c r="S1111" s="59" t="str">
        <f t="array" ref="S1111">IF(COUNTA(Q1111:Q1644)=0,"",SUM((COUNTIF(Q$4:Q1111,Upgrades!$B$3:$B$13)-COUNTIF(Q$4:Q1111,"Sell_"&amp;Upgrades!$B$3:$B$13))*Upgrades!$D$3:$D$13))</f>
        <v/>
      </c>
      <c r="T1111" s="66" t="str">
        <f>IFERROR(__xludf.DUMMYFUNCTION("IF(COUNTA(Q1111:Q1644)=0,"""",IF(REGEXMATCH(INDEX(FILTER(Q$4:Q1111,Q$4:Q1111&lt;&gt;""""),ROWS(FILTER(Q$4:Q1111,Q$4:Q1111&lt;&gt;""""))),""^Sell_""),INDEX(FILTER(T$4:T1110,Q$4:Q1110&lt;&gt;""""),ROWS(FILTER(Q$4:Q1110,Q$4:Q1110&lt;&gt;""""))),$AD$5+S1111))"),"")</f>
        <v/>
      </c>
      <c r="U1111" s="10" t="str">
        <f>IFERROR(__xludf.DUMMYFUNCTION("IF(COUNTA(Q1111:Q1644)=0,"""",IF(Q1111="""",0,IF(REGEXMATCH(Q1111,""^Sell_""),-ROUNDDOWN(ROUNDUP(INDEX(Upgrades!$C$3:$C$13,MATCH(SUBSTITUTE(Q1111,""Sell_"",""""),Upgrades!$B$3:$B$13,0))*1.15^(COUNTIF(Q$4:Q1110,SUBSTITUTE(Q1111,""Sell_"",""""))-COUNTIF(Q$4"&amp;":Q1110,""Sell_""&amp;SUBSTITUTE(Q1111,""Sell_"",""""))))/2),ROUNDUP(INDEX(Upgrades!$C$3:$C$13,MATCH(Q1111,Upgrades!$B$3:$B$13,0))*1.15^(COUNTIF(Q$4:Q1110,Q1111)-COUNTIF(Q$4:Q1110,""Sell_""&amp;Q1111))))))"),"")</f>
        <v/>
      </c>
      <c r="V1111" s="10" t="str">
        <f t="shared" si="11"/>
        <v/>
      </c>
      <c r="W1111" s="68" t="str">
        <f t="shared" si="12"/>
        <v/>
      </c>
      <c r="X1111" s="59" t="str">
        <f t="shared" si="13"/>
        <v/>
      </c>
      <c r="Y1111" s="69" t="str">
        <f t="shared" si="14"/>
        <v/>
      </c>
      <c r="Z1111" s="11"/>
      <c r="AG1111" s="59"/>
    </row>
    <row r="1112">
      <c r="A1112" s="8"/>
      <c r="B1112" s="56" t="str">
        <f t="shared" si="2"/>
        <v/>
      </c>
      <c r="C1112" s="105"/>
      <c r="D1112" s="10"/>
      <c r="E1112" s="59" t="str">
        <f t="array" ref="E1112">IF(COUNTA(C1112:C1644)=0,"",SUM((COUNTIF(C$4:C1112,Upgrades!$B$3:$B$13)-COUNTIF(C$4:C1112,"Sell_"&amp;Upgrades!$B$3:$B$13))*Upgrades!$D$3:$D$13))</f>
        <v/>
      </c>
      <c r="F1112" s="66" t="str">
        <f>IFERROR(__xludf.DUMMYFUNCTION("IF(COUNTA(C1112:C1644)=0,"""",IF(REGEXMATCH(INDEX(FILTER(C$4:C1112,C$4:C1112&lt;&gt;""""),ROWS(FILTER(C$4:C1112,C$4:C1112&lt;&gt;""""))),""^Sell_""),INDEX(FILTER(F$4:F1111,C$4:C1111&lt;&gt;""""),ROWS(FILTER(C$4:C1111,C$4:C1111&lt;&gt;""""))),$AC$5+E1112))"),"")</f>
        <v/>
      </c>
      <c r="G1112" s="10" t="str">
        <f>IFERROR(__xludf.DUMMYFUNCTION("IF(COUNTA(C1112:C1644)=0,"""",IF(C1112="""",0,IF(REGEXMATCH(C1112,""^Sell_""),-ROUNDDOWN(ROUNDUP(INDEX(Upgrades!$C$3:$C$13,MATCH(SUBSTITUTE(C1112,""Sell_"",""""),Upgrades!$B$3:$B$13,0))*1.15^(COUNTIF(C$4:C1111,SUBSTITUTE(C1112,""Sell_"",""""))-COUNTIF(C$4"&amp;":C1111,""Sell_""&amp;SUBSTITUTE(C1112,""Sell_"",""""))))/2),ROUNDUP(INDEX(Upgrades!$C$3:$C$13,MATCH(C1112,Upgrades!$B$3:$B$13,0))*1.15^(COUNTIF(C$4:C1111,C1112)-COUNTIF(C$4:C1111,""Sell_""&amp;C1112))))))"),"")</f>
        <v/>
      </c>
      <c r="H1112" s="10" t="str">
        <f t="shared" si="3"/>
        <v/>
      </c>
      <c r="I1112" s="68" t="str">
        <f t="shared" si="4"/>
        <v/>
      </c>
      <c r="J1112" s="59" t="str">
        <f t="shared" si="5"/>
        <v/>
      </c>
      <c r="K1112" s="69" t="str">
        <f t="shared" si="6"/>
        <v/>
      </c>
      <c r="L1112" s="60" t="str">
        <f t="shared" si="7"/>
        <v/>
      </c>
      <c r="M1112" s="61" t="str">
        <f>IFERROR(__xludf.DUMMYFUNCTION("IFS(AND(COUNTA(C1112:C1644)=0,COUNTA(Q1112:Q1644)=0),"""",OR(AND(K1112&gt;=1000000000,OR(Y1112&gt;=1000000000,COUNTA(Q1112:Q1644)=0)),OR(Y1112&gt;=1000000000,AND(COUNTA(C1112:C1644)=0,P$3=TRUE))),
ROUNDDOWN((AB$1-AC$1)*MAX(INDEX(T$4:T1644,MATCH(LARGE(FILTER(Y$4:Y1"&amp;"644,Y$4:Y1644&lt;1000000000),1),Y$4:Y1644)),INDEX(F$4:F1644,MATCH(LARGE(FILTER(K$4:K1644,K$4:K1644&lt;1000000000),1),K$4:K1644)))),AND(K1112&lt;1000000000,COUNTA(C1112:C1644)&gt;0,P$3=FALSE),
ROUNDDOWN(INDEX(Y$4:Y1644,MATCH(LARGE(FILTER(W$4:W1644,W$4:W1644&lt;=I1112),1)"&amp;",W$4:W1644))+(I1112-LARGE(FILTER(W$4:W1644,W$4:W1644&lt;=I1112),1))*INDEX(T$4:T1644,MATCH(LARGE(FILTER(W$4:W1644,W$4:W1644&lt;=I1112),1),W$4:W1644))-K1112),1,
ROUNDDOWN(Y1112-INDEX(K$4:K1644,MATCH(LARGE(FILTER(I$4:I1644,I$4:I1644&lt;=W1112),1),I$4:I1644))-(W1112-L"&amp;"ARGE(FILTER(I$4:I1644,I$4:I1644&lt;=W1112),1))*INDEX(F$4:F1644,MATCH(LARGE(FILTER(I$4:I1644,I$4:I1644&lt;=W1112),1),I$4:I1644))))"),"")</f>
        <v/>
      </c>
      <c r="N1112" s="60" t="str">
        <f t="shared" si="8"/>
        <v/>
      </c>
      <c r="O1112" s="61" t="str">
        <f t="shared" si="9"/>
        <v/>
      </c>
      <c r="P1112" s="56" t="str">
        <f t="shared" si="10"/>
        <v/>
      </c>
      <c r="Q1112" s="105"/>
      <c r="R1112" s="10"/>
      <c r="S1112" s="59" t="str">
        <f t="array" ref="S1112">IF(COUNTA(Q1112:Q1644)=0,"",SUM((COUNTIF(Q$4:Q1112,Upgrades!$B$3:$B$13)-COUNTIF(Q$4:Q1112,"Sell_"&amp;Upgrades!$B$3:$B$13))*Upgrades!$D$3:$D$13))</f>
        <v/>
      </c>
      <c r="T1112" s="66" t="str">
        <f>IFERROR(__xludf.DUMMYFUNCTION("IF(COUNTA(Q1112:Q1644)=0,"""",IF(REGEXMATCH(INDEX(FILTER(Q$4:Q1112,Q$4:Q1112&lt;&gt;""""),ROWS(FILTER(Q$4:Q1112,Q$4:Q1112&lt;&gt;""""))),""^Sell_""),INDEX(FILTER(T$4:T1111,Q$4:Q1111&lt;&gt;""""),ROWS(FILTER(Q$4:Q1111,Q$4:Q1111&lt;&gt;""""))),$AD$5+S1112))"),"")</f>
        <v/>
      </c>
      <c r="U1112" s="10" t="str">
        <f>IFERROR(__xludf.DUMMYFUNCTION("IF(COUNTA(Q1112:Q1644)=0,"""",IF(Q1112="""",0,IF(REGEXMATCH(Q1112,""^Sell_""),-ROUNDDOWN(ROUNDUP(INDEX(Upgrades!$C$3:$C$13,MATCH(SUBSTITUTE(Q1112,""Sell_"",""""),Upgrades!$B$3:$B$13,0))*1.15^(COUNTIF(Q$4:Q1111,SUBSTITUTE(Q1112,""Sell_"",""""))-COUNTIF(Q$4"&amp;":Q1111,""Sell_""&amp;SUBSTITUTE(Q1112,""Sell_"",""""))))/2),ROUNDUP(INDEX(Upgrades!$C$3:$C$13,MATCH(Q1112,Upgrades!$B$3:$B$13,0))*1.15^(COUNTIF(Q$4:Q1111,Q1112)-COUNTIF(Q$4:Q1111,""Sell_""&amp;Q1112))))))"),"")</f>
        <v/>
      </c>
      <c r="V1112" s="10" t="str">
        <f t="shared" si="11"/>
        <v/>
      </c>
      <c r="W1112" s="68" t="str">
        <f t="shared" si="12"/>
        <v/>
      </c>
      <c r="X1112" s="59" t="str">
        <f t="shared" si="13"/>
        <v/>
      </c>
      <c r="Y1112" s="69" t="str">
        <f t="shared" si="14"/>
        <v/>
      </c>
      <c r="Z1112" s="11"/>
      <c r="AG1112" s="59"/>
    </row>
    <row r="1113">
      <c r="A1113" s="8"/>
      <c r="B1113" s="56" t="str">
        <f t="shared" si="2"/>
        <v/>
      </c>
      <c r="C1113" s="105"/>
      <c r="D1113" s="10"/>
      <c r="E1113" s="59" t="str">
        <f t="array" ref="E1113">IF(COUNTA(C1113:C1644)=0,"",SUM((COUNTIF(C$4:C1113,Upgrades!$B$3:$B$13)-COUNTIF(C$4:C1113,"Sell_"&amp;Upgrades!$B$3:$B$13))*Upgrades!$D$3:$D$13))</f>
        <v/>
      </c>
      <c r="F1113" s="66" t="str">
        <f>IFERROR(__xludf.DUMMYFUNCTION("IF(COUNTA(C1113:C1644)=0,"""",IF(REGEXMATCH(INDEX(FILTER(C$4:C1113,C$4:C1113&lt;&gt;""""),ROWS(FILTER(C$4:C1113,C$4:C1113&lt;&gt;""""))),""^Sell_""),INDEX(FILTER(F$4:F1112,C$4:C1112&lt;&gt;""""),ROWS(FILTER(C$4:C1112,C$4:C1112&lt;&gt;""""))),$AC$5+E1113))"),"")</f>
        <v/>
      </c>
      <c r="G1113" s="10" t="str">
        <f>IFERROR(__xludf.DUMMYFUNCTION("IF(COUNTA(C1113:C1644)=0,"""",IF(C1113="""",0,IF(REGEXMATCH(C1113,""^Sell_""),-ROUNDDOWN(ROUNDUP(INDEX(Upgrades!$C$3:$C$13,MATCH(SUBSTITUTE(C1113,""Sell_"",""""),Upgrades!$B$3:$B$13,0))*1.15^(COUNTIF(C$4:C1112,SUBSTITUTE(C1113,""Sell_"",""""))-COUNTIF(C$4"&amp;":C1112,""Sell_""&amp;SUBSTITUTE(C1113,""Sell_"",""""))))/2),ROUNDUP(INDEX(Upgrades!$C$3:$C$13,MATCH(C1113,Upgrades!$B$3:$B$13,0))*1.15^(COUNTIF(C$4:C1112,C1113)-COUNTIF(C$4:C1112,""Sell_""&amp;C1113))))))"),"")</f>
        <v/>
      </c>
      <c r="H1113" s="10" t="str">
        <f t="shared" si="3"/>
        <v/>
      </c>
      <c r="I1113" s="68" t="str">
        <f t="shared" si="4"/>
        <v/>
      </c>
      <c r="J1113" s="59" t="str">
        <f t="shared" si="5"/>
        <v/>
      </c>
      <c r="K1113" s="69" t="str">
        <f t="shared" si="6"/>
        <v/>
      </c>
      <c r="L1113" s="60" t="str">
        <f t="shared" si="7"/>
        <v/>
      </c>
      <c r="M1113" s="61" t="str">
        <f>IFERROR(__xludf.DUMMYFUNCTION("IFS(AND(COUNTA(C1113:C1644)=0,COUNTA(Q1113:Q1644)=0),"""",OR(AND(K1113&gt;=1000000000,OR(Y1113&gt;=1000000000,COUNTA(Q1113:Q1644)=0)),OR(Y1113&gt;=1000000000,AND(COUNTA(C1113:C1644)=0,P$3=TRUE))),
ROUNDDOWN((AB$1-AC$1)*MAX(INDEX(T$4:T1644,MATCH(LARGE(FILTER(Y$4:Y1"&amp;"644,Y$4:Y1644&lt;1000000000),1),Y$4:Y1644)),INDEX(F$4:F1644,MATCH(LARGE(FILTER(K$4:K1644,K$4:K1644&lt;1000000000),1),K$4:K1644)))),AND(K1113&lt;1000000000,COUNTA(C1113:C1644)&gt;0,P$3=FALSE),
ROUNDDOWN(INDEX(Y$4:Y1644,MATCH(LARGE(FILTER(W$4:W1644,W$4:W1644&lt;=I1113),1)"&amp;",W$4:W1644))+(I1113-LARGE(FILTER(W$4:W1644,W$4:W1644&lt;=I1113),1))*INDEX(T$4:T1644,MATCH(LARGE(FILTER(W$4:W1644,W$4:W1644&lt;=I1113),1),W$4:W1644))-K1113),1,
ROUNDDOWN(Y1113-INDEX(K$4:K1644,MATCH(LARGE(FILTER(I$4:I1644,I$4:I1644&lt;=W1113),1),I$4:I1644))-(W1113-L"&amp;"ARGE(FILTER(I$4:I1644,I$4:I1644&lt;=W1113),1))*INDEX(F$4:F1644,MATCH(LARGE(FILTER(I$4:I1644,I$4:I1644&lt;=W1113),1),I$4:I1644))))"),"")</f>
        <v/>
      </c>
      <c r="N1113" s="60" t="str">
        <f t="shared" si="8"/>
        <v/>
      </c>
      <c r="O1113" s="61" t="str">
        <f t="shared" si="9"/>
        <v/>
      </c>
      <c r="P1113" s="56" t="str">
        <f t="shared" si="10"/>
        <v/>
      </c>
      <c r="Q1113" s="105"/>
      <c r="R1113" s="10"/>
      <c r="S1113" s="59" t="str">
        <f t="array" ref="S1113">IF(COUNTA(Q1113:Q1644)=0,"",SUM((COUNTIF(Q$4:Q1113,Upgrades!$B$3:$B$13)-COUNTIF(Q$4:Q1113,"Sell_"&amp;Upgrades!$B$3:$B$13))*Upgrades!$D$3:$D$13))</f>
        <v/>
      </c>
      <c r="T1113" s="66" t="str">
        <f>IFERROR(__xludf.DUMMYFUNCTION("IF(COUNTA(Q1113:Q1644)=0,"""",IF(REGEXMATCH(INDEX(FILTER(Q$4:Q1113,Q$4:Q1113&lt;&gt;""""),ROWS(FILTER(Q$4:Q1113,Q$4:Q1113&lt;&gt;""""))),""^Sell_""),INDEX(FILTER(T$4:T1112,Q$4:Q1112&lt;&gt;""""),ROWS(FILTER(Q$4:Q1112,Q$4:Q1112&lt;&gt;""""))),$AD$5+S1113))"),"")</f>
        <v/>
      </c>
      <c r="U1113" s="10" t="str">
        <f>IFERROR(__xludf.DUMMYFUNCTION("IF(COUNTA(Q1113:Q1644)=0,"""",IF(Q1113="""",0,IF(REGEXMATCH(Q1113,""^Sell_""),-ROUNDDOWN(ROUNDUP(INDEX(Upgrades!$C$3:$C$13,MATCH(SUBSTITUTE(Q1113,""Sell_"",""""),Upgrades!$B$3:$B$13,0))*1.15^(COUNTIF(Q$4:Q1112,SUBSTITUTE(Q1113,""Sell_"",""""))-COUNTIF(Q$4"&amp;":Q1112,""Sell_""&amp;SUBSTITUTE(Q1113,""Sell_"",""""))))/2),ROUNDUP(INDEX(Upgrades!$C$3:$C$13,MATCH(Q1113,Upgrades!$B$3:$B$13,0))*1.15^(COUNTIF(Q$4:Q1112,Q1113)-COUNTIF(Q$4:Q1112,""Sell_""&amp;Q1113))))))"),"")</f>
        <v/>
      </c>
      <c r="V1113" s="10" t="str">
        <f t="shared" si="11"/>
        <v/>
      </c>
      <c r="W1113" s="68" t="str">
        <f t="shared" si="12"/>
        <v/>
      </c>
      <c r="X1113" s="59" t="str">
        <f t="shared" si="13"/>
        <v/>
      </c>
      <c r="Y1113" s="69" t="str">
        <f t="shared" si="14"/>
        <v/>
      </c>
      <c r="Z1113" s="11"/>
      <c r="AG1113" s="59"/>
    </row>
    <row r="1114">
      <c r="A1114" s="8"/>
      <c r="B1114" s="56" t="str">
        <f t="shared" si="2"/>
        <v/>
      </c>
      <c r="C1114" s="105"/>
      <c r="D1114" s="10"/>
      <c r="E1114" s="59" t="str">
        <f t="array" ref="E1114">IF(COUNTA(C1114:C1644)=0,"",SUM((COUNTIF(C$4:C1114,Upgrades!$B$3:$B$13)-COUNTIF(C$4:C1114,"Sell_"&amp;Upgrades!$B$3:$B$13))*Upgrades!$D$3:$D$13))</f>
        <v/>
      </c>
      <c r="F1114" s="66" t="str">
        <f>IFERROR(__xludf.DUMMYFUNCTION("IF(COUNTA(C1114:C1644)=0,"""",IF(REGEXMATCH(INDEX(FILTER(C$4:C1114,C$4:C1114&lt;&gt;""""),ROWS(FILTER(C$4:C1114,C$4:C1114&lt;&gt;""""))),""^Sell_""),INDEX(FILTER(F$4:F1113,C$4:C1113&lt;&gt;""""),ROWS(FILTER(C$4:C1113,C$4:C1113&lt;&gt;""""))),$AC$5+E1114))"),"")</f>
        <v/>
      </c>
      <c r="G1114" s="10" t="str">
        <f>IFERROR(__xludf.DUMMYFUNCTION("IF(COUNTA(C1114:C1644)=0,"""",IF(C1114="""",0,IF(REGEXMATCH(C1114,""^Sell_""),-ROUNDDOWN(ROUNDUP(INDEX(Upgrades!$C$3:$C$13,MATCH(SUBSTITUTE(C1114,""Sell_"",""""),Upgrades!$B$3:$B$13,0))*1.15^(COUNTIF(C$4:C1113,SUBSTITUTE(C1114,""Sell_"",""""))-COUNTIF(C$4"&amp;":C1113,""Sell_""&amp;SUBSTITUTE(C1114,""Sell_"",""""))))/2),ROUNDUP(INDEX(Upgrades!$C$3:$C$13,MATCH(C1114,Upgrades!$B$3:$B$13,0))*1.15^(COUNTIF(C$4:C1113,C1114)-COUNTIF(C$4:C1113,""Sell_""&amp;C1114))))))"),"")</f>
        <v/>
      </c>
      <c r="H1114" s="10" t="str">
        <f t="shared" si="3"/>
        <v/>
      </c>
      <c r="I1114" s="68" t="str">
        <f t="shared" si="4"/>
        <v/>
      </c>
      <c r="J1114" s="59" t="str">
        <f t="shared" si="5"/>
        <v/>
      </c>
      <c r="K1114" s="69" t="str">
        <f t="shared" si="6"/>
        <v/>
      </c>
      <c r="L1114" s="60" t="str">
        <f t="shared" si="7"/>
        <v/>
      </c>
      <c r="M1114" s="61" t="str">
        <f>IFERROR(__xludf.DUMMYFUNCTION("IFS(AND(COUNTA(C1114:C1644)=0,COUNTA(Q1114:Q1644)=0),"""",OR(AND(K1114&gt;=1000000000,OR(Y1114&gt;=1000000000,COUNTA(Q1114:Q1644)=0)),OR(Y1114&gt;=1000000000,AND(COUNTA(C1114:C1644)=0,P$3=TRUE))),
ROUNDDOWN((AB$1-AC$1)*MAX(INDEX(T$4:T1644,MATCH(LARGE(FILTER(Y$4:Y1"&amp;"644,Y$4:Y1644&lt;1000000000),1),Y$4:Y1644)),INDEX(F$4:F1644,MATCH(LARGE(FILTER(K$4:K1644,K$4:K1644&lt;1000000000),1),K$4:K1644)))),AND(K1114&lt;1000000000,COUNTA(C1114:C1644)&gt;0,P$3=FALSE),
ROUNDDOWN(INDEX(Y$4:Y1644,MATCH(LARGE(FILTER(W$4:W1644,W$4:W1644&lt;=I1114),1)"&amp;",W$4:W1644))+(I1114-LARGE(FILTER(W$4:W1644,W$4:W1644&lt;=I1114),1))*INDEX(T$4:T1644,MATCH(LARGE(FILTER(W$4:W1644,W$4:W1644&lt;=I1114),1),W$4:W1644))-K1114),1,
ROUNDDOWN(Y1114-INDEX(K$4:K1644,MATCH(LARGE(FILTER(I$4:I1644,I$4:I1644&lt;=W1114),1),I$4:I1644))-(W1114-L"&amp;"ARGE(FILTER(I$4:I1644,I$4:I1644&lt;=W1114),1))*INDEX(F$4:F1644,MATCH(LARGE(FILTER(I$4:I1644,I$4:I1644&lt;=W1114),1),I$4:I1644))))"),"")</f>
        <v/>
      </c>
      <c r="N1114" s="60" t="str">
        <f t="shared" si="8"/>
        <v/>
      </c>
      <c r="O1114" s="61" t="str">
        <f t="shared" si="9"/>
        <v/>
      </c>
      <c r="P1114" s="56" t="str">
        <f t="shared" si="10"/>
        <v/>
      </c>
      <c r="Q1114" s="105"/>
      <c r="R1114" s="10"/>
      <c r="S1114" s="59" t="str">
        <f t="array" ref="S1114">IF(COUNTA(Q1114:Q1644)=0,"",SUM((COUNTIF(Q$4:Q1114,Upgrades!$B$3:$B$13)-COUNTIF(Q$4:Q1114,"Sell_"&amp;Upgrades!$B$3:$B$13))*Upgrades!$D$3:$D$13))</f>
        <v/>
      </c>
      <c r="T1114" s="66" t="str">
        <f>IFERROR(__xludf.DUMMYFUNCTION("IF(COUNTA(Q1114:Q1644)=0,"""",IF(REGEXMATCH(INDEX(FILTER(Q$4:Q1114,Q$4:Q1114&lt;&gt;""""),ROWS(FILTER(Q$4:Q1114,Q$4:Q1114&lt;&gt;""""))),""^Sell_""),INDEX(FILTER(T$4:T1113,Q$4:Q1113&lt;&gt;""""),ROWS(FILTER(Q$4:Q1113,Q$4:Q1113&lt;&gt;""""))),$AD$5+S1114))"),"")</f>
        <v/>
      </c>
      <c r="U1114" s="10" t="str">
        <f>IFERROR(__xludf.DUMMYFUNCTION("IF(COUNTA(Q1114:Q1644)=0,"""",IF(Q1114="""",0,IF(REGEXMATCH(Q1114,""^Sell_""),-ROUNDDOWN(ROUNDUP(INDEX(Upgrades!$C$3:$C$13,MATCH(SUBSTITUTE(Q1114,""Sell_"",""""),Upgrades!$B$3:$B$13,0))*1.15^(COUNTIF(Q$4:Q1113,SUBSTITUTE(Q1114,""Sell_"",""""))-COUNTIF(Q$4"&amp;":Q1113,""Sell_""&amp;SUBSTITUTE(Q1114,""Sell_"",""""))))/2),ROUNDUP(INDEX(Upgrades!$C$3:$C$13,MATCH(Q1114,Upgrades!$B$3:$B$13,0))*1.15^(COUNTIF(Q$4:Q1113,Q1114)-COUNTIF(Q$4:Q1113,""Sell_""&amp;Q1114))))))"),"")</f>
        <v/>
      </c>
      <c r="V1114" s="10" t="str">
        <f t="shared" si="11"/>
        <v/>
      </c>
      <c r="W1114" s="68" t="str">
        <f t="shared" si="12"/>
        <v/>
      </c>
      <c r="X1114" s="59" t="str">
        <f t="shared" si="13"/>
        <v/>
      </c>
      <c r="Y1114" s="69" t="str">
        <f t="shared" si="14"/>
        <v/>
      </c>
      <c r="Z1114" s="11"/>
      <c r="AG1114" s="59"/>
    </row>
    <row r="1115">
      <c r="A1115" s="8"/>
      <c r="B1115" s="56" t="str">
        <f t="shared" si="2"/>
        <v/>
      </c>
      <c r="C1115" s="105"/>
      <c r="D1115" s="10"/>
      <c r="E1115" s="59" t="str">
        <f t="array" ref="E1115">IF(COUNTA(C1115:C1644)=0,"",SUM((COUNTIF(C$4:C1115,Upgrades!$B$3:$B$13)-COUNTIF(C$4:C1115,"Sell_"&amp;Upgrades!$B$3:$B$13))*Upgrades!$D$3:$D$13))</f>
        <v/>
      </c>
      <c r="F1115" s="66" t="str">
        <f>IFERROR(__xludf.DUMMYFUNCTION("IF(COUNTA(C1115:C1644)=0,"""",IF(REGEXMATCH(INDEX(FILTER(C$4:C1115,C$4:C1115&lt;&gt;""""),ROWS(FILTER(C$4:C1115,C$4:C1115&lt;&gt;""""))),""^Sell_""),INDEX(FILTER(F$4:F1114,C$4:C1114&lt;&gt;""""),ROWS(FILTER(C$4:C1114,C$4:C1114&lt;&gt;""""))),$AC$5+E1115))"),"")</f>
        <v/>
      </c>
      <c r="G1115" s="10" t="str">
        <f>IFERROR(__xludf.DUMMYFUNCTION("IF(COUNTA(C1115:C1644)=0,"""",IF(C1115="""",0,IF(REGEXMATCH(C1115,""^Sell_""),-ROUNDDOWN(ROUNDUP(INDEX(Upgrades!$C$3:$C$13,MATCH(SUBSTITUTE(C1115,""Sell_"",""""),Upgrades!$B$3:$B$13,0))*1.15^(COUNTIF(C$4:C1114,SUBSTITUTE(C1115,""Sell_"",""""))-COUNTIF(C$4"&amp;":C1114,""Sell_""&amp;SUBSTITUTE(C1115,""Sell_"",""""))))/2),ROUNDUP(INDEX(Upgrades!$C$3:$C$13,MATCH(C1115,Upgrades!$B$3:$B$13,0))*1.15^(COUNTIF(C$4:C1114,C1115)-COUNTIF(C$4:C1114,""Sell_""&amp;C1115))))))"),"")</f>
        <v/>
      </c>
      <c r="H1115" s="10" t="str">
        <f t="shared" si="3"/>
        <v/>
      </c>
      <c r="I1115" s="68" t="str">
        <f t="shared" si="4"/>
        <v/>
      </c>
      <c r="J1115" s="59" t="str">
        <f t="shared" si="5"/>
        <v/>
      </c>
      <c r="K1115" s="69" t="str">
        <f t="shared" si="6"/>
        <v/>
      </c>
      <c r="L1115" s="60" t="str">
        <f t="shared" si="7"/>
        <v/>
      </c>
      <c r="M1115" s="61" t="str">
        <f>IFERROR(__xludf.DUMMYFUNCTION("IFS(AND(COUNTA(C1115:C1644)=0,COUNTA(Q1115:Q1644)=0),"""",OR(AND(K1115&gt;=1000000000,OR(Y1115&gt;=1000000000,COUNTA(Q1115:Q1644)=0)),OR(Y1115&gt;=1000000000,AND(COUNTA(C1115:C1644)=0,P$3=TRUE))),
ROUNDDOWN((AB$1-AC$1)*MAX(INDEX(T$4:T1644,MATCH(LARGE(FILTER(Y$4:Y1"&amp;"644,Y$4:Y1644&lt;1000000000),1),Y$4:Y1644)),INDEX(F$4:F1644,MATCH(LARGE(FILTER(K$4:K1644,K$4:K1644&lt;1000000000),1),K$4:K1644)))),AND(K1115&lt;1000000000,COUNTA(C1115:C1644)&gt;0,P$3=FALSE),
ROUNDDOWN(INDEX(Y$4:Y1644,MATCH(LARGE(FILTER(W$4:W1644,W$4:W1644&lt;=I1115),1)"&amp;",W$4:W1644))+(I1115-LARGE(FILTER(W$4:W1644,W$4:W1644&lt;=I1115),1))*INDEX(T$4:T1644,MATCH(LARGE(FILTER(W$4:W1644,W$4:W1644&lt;=I1115),1),W$4:W1644))-K1115),1,
ROUNDDOWN(Y1115-INDEX(K$4:K1644,MATCH(LARGE(FILTER(I$4:I1644,I$4:I1644&lt;=W1115),1),I$4:I1644))-(W1115-L"&amp;"ARGE(FILTER(I$4:I1644,I$4:I1644&lt;=W1115),1))*INDEX(F$4:F1644,MATCH(LARGE(FILTER(I$4:I1644,I$4:I1644&lt;=W1115),1),I$4:I1644))))"),"")</f>
        <v/>
      </c>
      <c r="N1115" s="60" t="str">
        <f t="shared" si="8"/>
        <v/>
      </c>
      <c r="O1115" s="61" t="str">
        <f t="shared" si="9"/>
        <v/>
      </c>
      <c r="P1115" s="56" t="str">
        <f t="shared" si="10"/>
        <v/>
      </c>
      <c r="Q1115" s="105"/>
      <c r="R1115" s="10"/>
      <c r="S1115" s="59" t="str">
        <f t="array" ref="S1115">IF(COUNTA(Q1115:Q1644)=0,"",SUM((COUNTIF(Q$4:Q1115,Upgrades!$B$3:$B$13)-COUNTIF(Q$4:Q1115,"Sell_"&amp;Upgrades!$B$3:$B$13))*Upgrades!$D$3:$D$13))</f>
        <v/>
      </c>
      <c r="T1115" s="66" t="str">
        <f>IFERROR(__xludf.DUMMYFUNCTION("IF(COUNTA(Q1115:Q1644)=0,"""",IF(REGEXMATCH(INDEX(FILTER(Q$4:Q1115,Q$4:Q1115&lt;&gt;""""),ROWS(FILTER(Q$4:Q1115,Q$4:Q1115&lt;&gt;""""))),""^Sell_""),INDEX(FILTER(T$4:T1114,Q$4:Q1114&lt;&gt;""""),ROWS(FILTER(Q$4:Q1114,Q$4:Q1114&lt;&gt;""""))),$AD$5+S1115))"),"")</f>
        <v/>
      </c>
      <c r="U1115" s="10" t="str">
        <f>IFERROR(__xludf.DUMMYFUNCTION("IF(COUNTA(Q1115:Q1644)=0,"""",IF(Q1115="""",0,IF(REGEXMATCH(Q1115,""^Sell_""),-ROUNDDOWN(ROUNDUP(INDEX(Upgrades!$C$3:$C$13,MATCH(SUBSTITUTE(Q1115,""Sell_"",""""),Upgrades!$B$3:$B$13,0))*1.15^(COUNTIF(Q$4:Q1114,SUBSTITUTE(Q1115,""Sell_"",""""))-COUNTIF(Q$4"&amp;":Q1114,""Sell_""&amp;SUBSTITUTE(Q1115,""Sell_"",""""))))/2),ROUNDUP(INDEX(Upgrades!$C$3:$C$13,MATCH(Q1115,Upgrades!$B$3:$B$13,0))*1.15^(COUNTIF(Q$4:Q1114,Q1115)-COUNTIF(Q$4:Q1114,""Sell_""&amp;Q1115))))))"),"")</f>
        <v/>
      </c>
      <c r="V1115" s="10" t="str">
        <f t="shared" si="11"/>
        <v/>
      </c>
      <c r="W1115" s="68" t="str">
        <f t="shared" si="12"/>
        <v/>
      </c>
      <c r="X1115" s="59" t="str">
        <f t="shared" si="13"/>
        <v/>
      </c>
      <c r="Y1115" s="69" t="str">
        <f t="shared" si="14"/>
        <v/>
      </c>
      <c r="Z1115" s="11"/>
      <c r="AG1115" s="59"/>
    </row>
    <row r="1116">
      <c r="A1116" s="8"/>
      <c r="B1116" s="56" t="str">
        <f t="shared" si="2"/>
        <v/>
      </c>
      <c r="C1116" s="105"/>
      <c r="D1116" s="10"/>
      <c r="E1116" s="59" t="str">
        <f t="array" ref="E1116">IF(COUNTA(C1116:C1644)=0,"",SUM((COUNTIF(C$4:C1116,Upgrades!$B$3:$B$13)-COUNTIF(C$4:C1116,"Sell_"&amp;Upgrades!$B$3:$B$13))*Upgrades!$D$3:$D$13))</f>
        <v/>
      </c>
      <c r="F1116" s="66" t="str">
        <f>IFERROR(__xludf.DUMMYFUNCTION("IF(COUNTA(C1116:C1644)=0,"""",IF(REGEXMATCH(INDEX(FILTER(C$4:C1116,C$4:C1116&lt;&gt;""""),ROWS(FILTER(C$4:C1116,C$4:C1116&lt;&gt;""""))),""^Sell_""),INDEX(FILTER(F$4:F1115,C$4:C1115&lt;&gt;""""),ROWS(FILTER(C$4:C1115,C$4:C1115&lt;&gt;""""))),$AC$5+E1116))"),"")</f>
        <v/>
      </c>
      <c r="G1116" s="10" t="str">
        <f>IFERROR(__xludf.DUMMYFUNCTION("IF(COUNTA(C1116:C1644)=0,"""",IF(C1116="""",0,IF(REGEXMATCH(C1116,""^Sell_""),-ROUNDDOWN(ROUNDUP(INDEX(Upgrades!$C$3:$C$13,MATCH(SUBSTITUTE(C1116,""Sell_"",""""),Upgrades!$B$3:$B$13,0))*1.15^(COUNTIF(C$4:C1115,SUBSTITUTE(C1116,""Sell_"",""""))-COUNTIF(C$4"&amp;":C1115,""Sell_""&amp;SUBSTITUTE(C1116,""Sell_"",""""))))/2),ROUNDUP(INDEX(Upgrades!$C$3:$C$13,MATCH(C1116,Upgrades!$B$3:$B$13,0))*1.15^(COUNTIF(C$4:C1115,C1116)-COUNTIF(C$4:C1115,""Sell_""&amp;C1116))))))"),"")</f>
        <v/>
      </c>
      <c r="H1116" s="10" t="str">
        <f t="shared" si="3"/>
        <v/>
      </c>
      <c r="I1116" s="68" t="str">
        <f t="shared" si="4"/>
        <v/>
      </c>
      <c r="J1116" s="59" t="str">
        <f t="shared" si="5"/>
        <v/>
      </c>
      <c r="K1116" s="69" t="str">
        <f t="shared" si="6"/>
        <v/>
      </c>
      <c r="L1116" s="60" t="str">
        <f t="shared" si="7"/>
        <v/>
      </c>
      <c r="M1116" s="61" t="str">
        <f>IFERROR(__xludf.DUMMYFUNCTION("IFS(AND(COUNTA(C1116:C1644)=0,COUNTA(Q1116:Q1644)=0),"""",OR(AND(K1116&gt;=1000000000,OR(Y1116&gt;=1000000000,COUNTA(Q1116:Q1644)=0)),OR(Y1116&gt;=1000000000,AND(COUNTA(C1116:C1644)=0,P$3=TRUE))),
ROUNDDOWN((AB$1-AC$1)*MAX(INDEX(T$4:T1644,MATCH(LARGE(FILTER(Y$4:Y1"&amp;"644,Y$4:Y1644&lt;1000000000),1),Y$4:Y1644)),INDEX(F$4:F1644,MATCH(LARGE(FILTER(K$4:K1644,K$4:K1644&lt;1000000000),1),K$4:K1644)))),AND(K1116&lt;1000000000,COUNTA(C1116:C1644)&gt;0,P$3=FALSE),
ROUNDDOWN(INDEX(Y$4:Y1644,MATCH(LARGE(FILTER(W$4:W1644,W$4:W1644&lt;=I1116),1)"&amp;",W$4:W1644))+(I1116-LARGE(FILTER(W$4:W1644,W$4:W1644&lt;=I1116),1))*INDEX(T$4:T1644,MATCH(LARGE(FILTER(W$4:W1644,W$4:W1644&lt;=I1116),1),W$4:W1644))-K1116),1,
ROUNDDOWN(Y1116-INDEX(K$4:K1644,MATCH(LARGE(FILTER(I$4:I1644,I$4:I1644&lt;=W1116),1),I$4:I1644))-(W1116-L"&amp;"ARGE(FILTER(I$4:I1644,I$4:I1644&lt;=W1116),1))*INDEX(F$4:F1644,MATCH(LARGE(FILTER(I$4:I1644,I$4:I1644&lt;=W1116),1),I$4:I1644))))"),"")</f>
        <v/>
      </c>
      <c r="N1116" s="60" t="str">
        <f t="shared" si="8"/>
        <v/>
      </c>
      <c r="O1116" s="61" t="str">
        <f t="shared" si="9"/>
        <v/>
      </c>
      <c r="P1116" s="56" t="str">
        <f t="shared" si="10"/>
        <v/>
      </c>
      <c r="Q1116" s="105"/>
      <c r="R1116" s="10"/>
      <c r="S1116" s="59" t="str">
        <f t="array" ref="S1116">IF(COUNTA(Q1116:Q1644)=0,"",SUM((COUNTIF(Q$4:Q1116,Upgrades!$B$3:$B$13)-COUNTIF(Q$4:Q1116,"Sell_"&amp;Upgrades!$B$3:$B$13))*Upgrades!$D$3:$D$13))</f>
        <v/>
      </c>
      <c r="T1116" s="66" t="str">
        <f>IFERROR(__xludf.DUMMYFUNCTION("IF(COUNTA(Q1116:Q1644)=0,"""",IF(REGEXMATCH(INDEX(FILTER(Q$4:Q1116,Q$4:Q1116&lt;&gt;""""),ROWS(FILTER(Q$4:Q1116,Q$4:Q1116&lt;&gt;""""))),""^Sell_""),INDEX(FILTER(T$4:T1115,Q$4:Q1115&lt;&gt;""""),ROWS(FILTER(Q$4:Q1115,Q$4:Q1115&lt;&gt;""""))),$AD$5+S1116))"),"")</f>
        <v/>
      </c>
      <c r="U1116" s="10" t="str">
        <f>IFERROR(__xludf.DUMMYFUNCTION("IF(COUNTA(Q1116:Q1644)=0,"""",IF(Q1116="""",0,IF(REGEXMATCH(Q1116,""^Sell_""),-ROUNDDOWN(ROUNDUP(INDEX(Upgrades!$C$3:$C$13,MATCH(SUBSTITUTE(Q1116,""Sell_"",""""),Upgrades!$B$3:$B$13,0))*1.15^(COUNTIF(Q$4:Q1115,SUBSTITUTE(Q1116,""Sell_"",""""))-COUNTIF(Q$4"&amp;":Q1115,""Sell_""&amp;SUBSTITUTE(Q1116,""Sell_"",""""))))/2),ROUNDUP(INDEX(Upgrades!$C$3:$C$13,MATCH(Q1116,Upgrades!$B$3:$B$13,0))*1.15^(COUNTIF(Q$4:Q1115,Q1116)-COUNTIF(Q$4:Q1115,""Sell_""&amp;Q1116))))))"),"")</f>
        <v/>
      </c>
      <c r="V1116" s="10" t="str">
        <f t="shared" si="11"/>
        <v/>
      </c>
      <c r="W1116" s="68" t="str">
        <f t="shared" si="12"/>
        <v/>
      </c>
      <c r="X1116" s="59" t="str">
        <f t="shared" si="13"/>
        <v/>
      </c>
      <c r="Y1116" s="69" t="str">
        <f t="shared" si="14"/>
        <v/>
      </c>
      <c r="Z1116" s="11"/>
      <c r="AG1116" s="59"/>
    </row>
    <row r="1117">
      <c r="A1117" s="8"/>
      <c r="B1117" s="56" t="str">
        <f t="shared" si="2"/>
        <v/>
      </c>
      <c r="C1117" s="105"/>
      <c r="D1117" s="10"/>
      <c r="E1117" s="59" t="str">
        <f t="array" ref="E1117">IF(COUNTA(C1117:C1644)=0,"",SUM((COUNTIF(C$4:C1117,Upgrades!$B$3:$B$13)-COUNTIF(C$4:C1117,"Sell_"&amp;Upgrades!$B$3:$B$13))*Upgrades!$D$3:$D$13))</f>
        <v/>
      </c>
      <c r="F1117" s="66" t="str">
        <f>IFERROR(__xludf.DUMMYFUNCTION("IF(COUNTA(C1117:C1644)=0,"""",IF(REGEXMATCH(INDEX(FILTER(C$4:C1117,C$4:C1117&lt;&gt;""""),ROWS(FILTER(C$4:C1117,C$4:C1117&lt;&gt;""""))),""^Sell_""),INDEX(FILTER(F$4:F1116,C$4:C1116&lt;&gt;""""),ROWS(FILTER(C$4:C1116,C$4:C1116&lt;&gt;""""))),$AC$5+E1117))"),"")</f>
        <v/>
      </c>
      <c r="G1117" s="10" t="str">
        <f>IFERROR(__xludf.DUMMYFUNCTION("IF(COUNTA(C1117:C1644)=0,"""",IF(C1117="""",0,IF(REGEXMATCH(C1117,""^Sell_""),-ROUNDDOWN(ROUNDUP(INDEX(Upgrades!$C$3:$C$13,MATCH(SUBSTITUTE(C1117,""Sell_"",""""),Upgrades!$B$3:$B$13,0))*1.15^(COUNTIF(C$4:C1116,SUBSTITUTE(C1117,""Sell_"",""""))-COUNTIF(C$4"&amp;":C1116,""Sell_""&amp;SUBSTITUTE(C1117,""Sell_"",""""))))/2),ROUNDUP(INDEX(Upgrades!$C$3:$C$13,MATCH(C1117,Upgrades!$B$3:$B$13,0))*1.15^(COUNTIF(C$4:C1116,C1117)-COUNTIF(C$4:C1116,""Sell_""&amp;C1117))))))"),"")</f>
        <v/>
      </c>
      <c r="H1117" s="10" t="str">
        <f t="shared" si="3"/>
        <v/>
      </c>
      <c r="I1117" s="68" t="str">
        <f t="shared" si="4"/>
        <v/>
      </c>
      <c r="J1117" s="59" t="str">
        <f t="shared" si="5"/>
        <v/>
      </c>
      <c r="K1117" s="69" t="str">
        <f t="shared" si="6"/>
        <v/>
      </c>
      <c r="L1117" s="60" t="str">
        <f t="shared" si="7"/>
        <v/>
      </c>
      <c r="M1117" s="61" t="str">
        <f>IFERROR(__xludf.DUMMYFUNCTION("IFS(AND(COUNTA(C1117:C1644)=0,COUNTA(Q1117:Q1644)=0),"""",OR(AND(K1117&gt;=1000000000,OR(Y1117&gt;=1000000000,COUNTA(Q1117:Q1644)=0)),OR(Y1117&gt;=1000000000,AND(COUNTA(C1117:C1644)=0,P$3=TRUE))),
ROUNDDOWN((AB$1-AC$1)*MAX(INDEX(T$4:T1644,MATCH(LARGE(FILTER(Y$4:Y1"&amp;"644,Y$4:Y1644&lt;1000000000),1),Y$4:Y1644)),INDEX(F$4:F1644,MATCH(LARGE(FILTER(K$4:K1644,K$4:K1644&lt;1000000000),1),K$4:K1644)))),AND(K1117&lt;1000000000,COUNTA(C1117:C1644)&gt;0,P$3=FALSE),
ROUNDDOWN(INDEX(Y$4:Y1644,MATCH(LARGE(FILTER(W$4:W1644,W$4:W1644&lt;=I1117),1)"&amp;",W$4:W1644))+(I1117-LARGE(FILTER(W$4:W1644,W$4:W1644&lt;=I1117),1))*INDEX(T$4:T1644,MATCH(LARGE(FILTER(W$4:W1644,W$4:W1644&lt;=I1117),1),W$4:W1644))-K1117),1,
ROUNDDOWN(Y1117-INDEX(K$4:K1644,MATCH(LARGE(FILTER(I$4:I1644,I$4:I1644&lt;=W1117),1),I$4:I1644))-(W1117-L"&amp;"ARGE(FILTER(I$4:I1644,I$4:I1644&lt;=W1117),1))*INDEX(F$4:F1644,MATCH(LARGE(FILTER(I$4:I1644,I$4:I1644&lt;=W1117),1),I$4:I1644))))"),"")</f>
        <v/>
      </c>
      <c r="N1117" s="60" t="str">
        <f t="shared" si="8"/>
        <v/>
      </c>
      <c r="O1117" s="61" t="str">
        <f t="shared" si="9"/>
        <v/>
      </c>
      <c r="P1117" s="56" t="str">
        <f t="shared" si="10"/>
        <v/>
      </c>
      <c r="Q1117" s="105"/>
      <c r="R1117" s="10"/>
      <c r="S1117" s="59" t="str">
        <f t="array" ref="S1117">IF(COUNTA(Q1117:Q1644)=0,"",SUM((COUNTIF(Q$4:Q1117,Upgrades!$B$3:$B$13)-COUNTIF(Q$4:Q1117,"Sell_"&amp;Upgrades!$B$3:$B$13))*Upgrades!$D$3:$D$13))</f>
        <v/>
      </c>
      <c r="T1117" s="66" t="str">
        <f>IFERROR(__xludf.DUMMYFUNCTION("IF(COUNTA(Q1117:Q1644)=0,"""",IF(REGEXMATCH(INDEX(FILTER(Q$4:Q1117,Q$4:Q1117&lt;&gt;""""),ROWS(FILTER(Q$4:Q1117,Q$4:Q1117&lt;&gt;""""))),""^Sell_""),INDEX(FILTER(T$4:T1116,Q$4:Q1116&lt;&gt;""""),ROWS(FILTER(Q$4:Q1116,Q$4:Q1116&lt;&gt;""""))),$AD$5+S1117))"),"")</f>
        <v/>
      </c>
      <c r="U1117" s="10" t="str">
        <f>IFERROR(__xludf.DUMMYFUNCTION("IF(COUNTA(Q1117:Q1644)=0,"""",IF(Q1117="""",0,IF(REGEXMATCH(Q1117,""^Sell_""),-ROUNDDOWN(ROUNDUP(INDEX(Upgrades!$C$3:$C$13,MATCH(SUBSTITUTE(Q1117,""Sell_"",""""),Upgrades!$B$3:$B$13,0))*1.15^(COUNTIF(Q$4:Q1116,SUBSTITUTE(Q1117,""Sell_"",""""))-COUNTIF(Q$4"&amp;":Q1116,""Sell_""&amp;SUBSTITUTE(Q1117,""Sell_"",""""))))/2),ROUNDUP(INDEX(Upgrades!$C$3:$C$13,MATCH(Q1117,Upgrades!$B$3:$B$13,0))*1.15^(COUNTIF(Q$4:Q1116,Q1117)-COUNTIF(Q$4:Q1116,""Sell_""&amp;Q1117))))))"),"")</f>
        <v/>
      </c>
      <c r="V1117" s="10" t="str">
        <f t="shared" si="11"/>
        <v/>
      </c>
      <c r="W1117" s="68" t="str">
        <f t="shared" si="12"/>
        <v/>
      </c>
      <c r="X1117" s="59" t="str">
        <f t="shared" si="13"/>
        <v/>
      </c>
      <c r="Y1117" s="69" t="str">
        <f t="shared" si="14"/>
        <v/>
      </c>
      <c r="Z1117" s="11"/>
      <c r="AG1117" s="59"/>
    </row>
    <row r="1118">
      <c r="A1118" s="8"/>
      <c r="B1118" s="56" t="str">
        <f t="shared" si="2"/>
        <v/>
      </c>
      <c r="C1118" s="105"/>
      <c r="D1118" s="10"/>
      <c r="E1118" s="59" t="str">
        <f t="array" ref="E1118">IF(COUNTA(C1118:C1644)=0,"",SUM((COUNTIF(C$4:C1118,Upgrades!$B$3:$B$13)-COUNTIF(C$4:C1118,"Sell_"&amp;Upgrades!$B$3:$B$13))*Upgrades!$D$3:$D$13))</f>
        <v/>
      </c>
      <c r="F1118" s="66" t="str">
        <f>IFERROR(__xludf.DUMMYFUNCTION("IF(COUNTA(C1118:C1644)=0,"""",IF(REGEXMATCH(INDEX(FILTER(C$4:C1118,C$4:C1118&lt;&gt;""""),ROWS(FILTER(C$4:C1118,C$4:C1118&lt;&gt;""""))),""^Sell_""),INDEX(FILTER(F$4:F1117,C$4:C1117&lt;&gt;""""),ROWS(FILTER(C$4:C1117,C$4:C1117&lt;&gt;""""))),$AC$5+E1118))"),"")</f>
        <v/>
      </c>
      <c r="G1118" s="10" t="str">
        <f>IFERROR(__xludf.DUMMYFUNCTION("IF(COUNTA(C1118:C1644)=0,"""",IF(C1118="""",0,IF(REGEXMATCH(C1118,""^Sell_""),-ROUNDDOWN(ROUNDUP(INDEX(Upgrades!$C$3:$C$13,MATCH(SUBSTITUTE(C1118,""Sell_"",""""),Upgrades!$B$3:$B$13,0))*1.15^(COUNTIF(C$4:C1117,SUBSTITUTE(C1118,""Sell_"",""""))-COUNTIF(C$4"&amp;":C1117,""Sell_""&amp;SUBSTITUTE(C1118,""Sell_"",""""))))/2),ROUNDUP(INDEX(Upgrades!$C$3:$C$13,MATCH(C1118,Upgrades!$B$3:$B$13,0))*1.15^(COUNTIF(C$4:C1117,C1118)-COUNTIF(C$4:C1117,""Sell_""&amp;C1118))))))"),"")</f>
        <v/>
      </c>
      <c r="H1118" s="10" t="str">
        <f t="shared" si="3"/>
        <v/>
      </c>
      <c r="I1118" s="68" t="str">
        <f t="shared" si="4"/>
        <v/>
      </c>
      <c r="J1118" s="59" t="str">
        <f t="shared" si="5"/>
        <v/>
      </c>
      <c r="K1118" s="69" t="str">
        <f t="shared" si="6"/>
        <v/>
      </c>
      <c r="L1118" s="60" t="str">
        <f t="shared" si="7"/>
        <v/>
      </c>
      <c r="M1118" s="61" t="str">
        <f>IFERROR(__xludf.DUMMYFUNCTION("IFS(AND(COUNTA(C1118:C1644)=0,COUNTA(Q1118:Q1644)=0),"""",OR(AND(K1118&gt;=1000000000,OR(Y1118&gt;=1000000000,COUNTA(Q1118:Q1644)=0)),OR(Y1118&gt;=1000000000,AND(COUNTA(C1118:C1644)=0,P$3=TRUE))),
ROUNDDOWN((AB$1-AC$1)*MAX(INDEX(T$4:T1644,MATCH(LARGE(FILTER(Y$4:Y1"&amp;"644,Y$4:Y1644&lt;1000000000),1),Y$4:Y1644)),INDEX(F$4:F1644,MATCH(LARGE(FILTER(K$4:K1644,K$4:K1644&lt;1000000000),1),K$4:K1644)))),AND(K1118&lt;1000000000,COUNTA(C1118:C1644)&gt;0,P$3=FALSE),
ROUNDDOWN(INDEX(Y$4:Y1644,MATCH(LARGE(FILTER(W$4:W1644,W$4:W1644&lt;=I1118),1)"&amp;",W$4:W1644))+(I1118-LARGE(FILTER(W$4:W1644,W$4:W1644&lt;=I1118),1))*INDEX(T$4:T1644,MATCH(LARGE(FILTER(W$4:W1644,W$4:W1644&lt;=I1118),1),W$4:W1644))-K1118),1,
ROUNDDOWN(Y1118-INDEX(K$4:K1644,MATCH(LARGE(FILTER(I$4:I1644,I$4:I1644&lt;=W1118),1),I$4:I1644))-(W1118-L"&amp;"ARGE(FILTER(I$4:I1644,I$4:I1644&lt;=W1118),1))*INDEX(F$4:F1644,MATCH(LARGE(FILTER(I$4:I1644,I$4:I1644&lt;=W1118),1),I$4:I1644))))"),"")</f>
        <v/>
      </c>
      <c r="N1118" s="60" t="str">
        <f t="shared" si="8"/>
        <v/>
      </c>
      <c r="O1118" s="61" t="str">
        <f t="shared" si="9"/>
        <v/>
      </c>
      <c r="P1118" s="56" t="str">
        <f t="shared" si="10"/>
        <v/>
      </c>
      <c r="Q1118" s="105"/>
      <c r="R1118" s="10"/>
      <c r="S1118" s="59" t="str">
        <f t="array" ref="S1118">IF(COUNTA(Q1118:Q1644)=0,"",SUM((COUNTIF(Q$4:Q1118,Upgrades!$B$3:$B$13)-COUNTIF(Q$4:Q1118,"Sell_"&amp;Upgrades!$B$3:$B$13))*Upgrades!$D$3:$D$13))</f>
        <v/>
      </c>
      <c r="T1118" s="66" t="str">
        <f>IFERROR(__xludf.DUMMYFUNCTION("IF(COUNTA(Q1118:Q1644)=0,"""",IF(REGEXMATCH(INDEX(FILTER(Q$4:Q1118,Q$4:Q1118&lt;&gt;""""),ROWS(FILTER(Q$4:Q1118,Q$4:Q1118&lt;&gt;""""))),""^Sell_""),INDEX(FILTER(T$4:T1117,Q$4:Q1117&lt;&gt;""""),ROWS(FILTER(Q$4:Q1117,Q$4:Q1117&lt;&gt;""""))),$AD$5+S1118))"),"")</f>
        <v/>
      </c>
      <c r="U1118" s="10" t="str">
        <f>IFERROR(__xludf.DUMMYFUNCTION("IF(COUNTA(Q1118:Q1644)=0,"""",IF(Q1118="""",0,IF(REGEXMATCH(Q1118,""^Sell_""),-ROUNDDOWN(ROUNDUP(INDEX(Upgrades!$C$3:$C$13,MATCH(SUBSTITUTE(Q1118,""Sell_"",""""),Upgrades!$B$3:$B$13,0))*1.15^(COUNTIF(Q$4:Q1117,SUBSTITUTE(Q1118,""Sell_"",""""))-COUNTIF(Q$4"&amp;":Q1117,""Sell_""&amp;SUBSTITUTE(Q1118,""Sell_"",""""))))/2),ROUNDUP(INDEX(Upgrades!$C$3:$C$13,MATCH(Q1118,Upgrades!$B$3:$B$13,0))*1.15^(COUNTIF(Q$4:Q1117,Q1118)-COUNTIF(Q$4:Q1117,""Sell_""&amp;Q1118))))))"),"")</f>
        <v/>
      </c>
      <c r="V1118" s="10" t="str">
        <f t="shared" si="11"/>
        <v/>
      </c>
      <c r="W1118" s="68" t="str">
        <f t="shared" si="12"/>
        <v/>
      </c>
      <c r="X1118" s="59" t="str">
        <f t="shared" si="13"/>
        <v/>
      </c>
      <c r="Y1118" s="69" t="str">
        <f t="shared" si="14"/>
        <v/>
      </c>
      <c r="Z1118" s="11"/>
      <c r="AG1118" s="59"/>
    </row>
    <row r="1119">
      <c r="A1119" s="8"/>
      <c r="B1119" s="56" t="str">
        <f t="shared" si="2"/>
        <v/>
      </c>
      <c r="C1119" s="105"/>
      <c r="D1119" s="10"/>
      <c r="E1119" s="59" t="str">
        <f t="array" ref="E1119">IF(COUNTA(C1119:C1644)=0,"",SUM((COUNTIF(C$4:C1119,Upgrades!$B$3:$B$13)-COUNTIF(C$4:C1119,"Sell_"&amp;Upgrades!$B$3:$B$13))*Upgrades!$D$3:$D$13))</f>
        <v/>
      </c>
      <c r="F1119" s="66" t="str">
        <f>IFERROR(__xludf.DUMMYFUNCTION("IF(COUNTA(C1119:C1644)=0,"""",IF(REGEXMATCH(INDEX(FILTER(C$4:C1119,C$4:C1119&lt;&gt;""""),ROWS(FILTER(C$4:C1119,C$4:C1119&lt;&gt;""""))),""^Sell_""),INDEX(FILTER(F$4:F1118,C$4:C1118&lt;&gt;""""),ROWS(FILTER(C$4:C1118,C$4:C1118&lt;&gt;""""))),$AC$5+E1119))"),"")</f>
        <v/>
      </c>
      <c r="G1119" s="10" t="str">
        <f>IFERROR(__xludf.DUMMYFUNCTION("IF(COUNTA(C1119:C1644)=0,"""",IF(C1119="""",0,IF(REGEXMATCH(C1119,""^Sell_""),-ROUNDDOWN(ROUNDUP(INDEX(Upgrades!$C$3:$C$13,MATCH(SUBSTITUTE(C1119,""Sell_"",""""),Upgrades!$B$3:$B$13,0))*1.15^(COUNTIF(C$4:C1118,SUBSTITUTE(C1119,""Sell_"",""""))-COUNTIF(C$4"&amp;":C1118,""Sell_""&amp;SUBSTITUTE(C1119,""Sell_"",""""))))/2),ROUNDUP(INDEX(Upgrades!$C$3:$C$13,MATCH(C1119,Upgrades!$B$3:$B$13,0))*1.15^(COUNTIF(C$4:C1118,C1119)-COUNTIF(C$4:C1118,""Sell_""&amp;C1119))))))"),"")</f>
        <v/>
      </c>
      <c r="H1119" s="10" t="str">
        <f t="shared" si="3"/>
        <v/>
      </c>
      <c r="I1119" s="68" t="str">
        <f t="shared" si="4"/>
        <v/>
      </c>
      <c r="J1119" s="59" t="str">
        <f t="shared" si="5"/>
        <v/>
      </c>
      <c r="K1119" s="69" t="str">
        <f t="shared" si="6"/>
        <v/>
      </c>
      <c r="L1119" s="60" t="str">
        <f t="shared" si="7"/>
        <v/>
      </c>
      <c r="M1119" s="61" t="str">
        <f>IFERROR(__xludf.DUMMYFUNCTION("IFS(AND(COUNTA(C1119:C1644)=0,COUNTA(Q1119:Q1644)=0),"""",OR(AND(K1119&gt;=1000000000,OR(Y1119&gt;=1000000000,COUNTA(Q1119:Q1644)=0)),OR(Y1119&gt;=1000000000,AND(COUNTA(C1119:C1644)=0,P$3=TRUE))),
ROUNDDOWN((AB$1-AC$1)*MAX(INDEX(T$4:T1644,MATCH(LARGE(FILTER(Y$4:Y1"&amp;"644,Y$4:Y1644&lt;1000000000),1),Y$4:Y1644)),INDEX(F$4:F1644,MATCH(LARGE(FILTER(K$4:K1644,K$4:K1644&lt;1000000000),1),K$4:K1644)))),AND(K1119&lt;1000000000,COUNTA(C1119:C1644)&gt;0,P$3=FALSE),
ROUNDDOWN(INDEX(Y$4:Y1644,MATCH(LARGE(FILTER(W$4:W1644,W$4:W1644&lt;=I1119),1)"&amp;",W$4:W1644))+(I1119-LARGE(FILTER(W$4:W1644,W$4:W1644&lt;=I1119),1))*INDEX(T$4:T1644,MATCH(LARGE(FILTER(W$4:W1644,W$4:W1644&lt;=I1119),1),W$4:W1644))-K1119),1,
ROUNDDOWN(Y1119-INDEX(K$4:K1644,MATCH(LARGE(FILTER(I$4:I1644,I$4:I1644&lt;=W1119),1),I$4:I1644))-(W1119-L"&amp;"ARGE(FILTER(I$4:I1644,I$4:I1644&lt;=W1119),1))*INDEX(F$4:F1644,MATCH(LARGE(FILTER(I$4:I1644,I$4:I1644&lt;=W1119),1),I$4:I1644))))"),"")</f>
        <v/>
      </c>
      <c r="N1119" s="60" t="str">
        <f t="shared" si="8"/>
        <v/>
      </c>
      <c r="O1119" s="61" t="str">
        <f t="shared" si="9"/>
        <v/>
      </c>
      <c r="P1119" s="56" t="str">
        <f t="shared" si="10"/>
        <v/>
      </c>
      <c r="Q1119" s="105"/>
      <c r="R1119" s="10"/>
      <c r="S1119" s="59" t="str">
        <f t="array" ref="S1119">IF(COUNTA(Q1119:Q1644)=0,"",SUM((COUNTIF(Q$4:Q1119,Upgrades!$B$3:$B$13)-COUNTIF(Q$4:Q1119,"Sell_"&amp;Upgrades!$B$3:$B$13))*Upgrades!$D$3:$D$13))</f>
        <v/>
      </c>
      <c r="T1119" s="66" t="str">
        <f>IFERROR(__xludf.DUMMYFUNCTION("IF(COUNTA(Q1119:Q1644)=0,"""",IF(REGEXMATCH(INDEX(FILTER(Q$4:Q1119,Q$4:Q1119&lt;&gt;""""),ROWS(FILTER(Q$4:Q1119,Q$4:Q1119&lt;&gt;""""))),""^Sell_""),INDEX(FILTER(T$4:T1118,Q$4:Q1118&lt;&gt;""""),ROWS(FILTER(Q$4:Q1118,Q$4:Q1118&lt;&gt;""""))),$AD$5+S1119))"),"")</f>
        <v/>
      </c>
      <c r="U1119" s="10" t="str">
        <f>IFERROR(__xludf.DUMMYFUNCTION("IF(COUNTA(Q1119:Q1644)=0,"""",IF(Q1119="""",0,IF(REGEXMATCH(Q1119,""^Sell_""),-ROUNDDOWN(ROUNDUP(INDEX(Upgrades!$C$3:$C$13,MATCH(SUBSTITUTE(Q1119,""Sell_"",""""),Upgrades!$B$3:$B$13,0))*1.15^(COUNTIF(Q$4:Q1118,SUBSTITUTE(Q1119,""Sell_"",""""))-COUNTIF(Q$4"&amp;":Q1118,""Sell_""&amp;SUBSTITUTE(Q1119,""Sell_"",""""))))/2),ROUNDUP(INDEX(Upgrades!$C$3:$C$13,MATCH(Q1119,Upgrades!$B$3:$B$13,0))*1.15^(COUNTIF(Q$4:Q1118,Q1119)-COUNTIF(Q$4:Q1118,""Sell_""&amp;Q1119))))))"),"")</f>
        <v/>
      </c>
      <c r="V1119" s="10" t="str">
        <f t="shared" si="11"/>
        <v/>
      </c>
      <c r="W1119" s="68" t="str">
        <f t="shared" si="12"/>
        <v/>
      </c>
      <c r="X1119" s="59" t="str">
        <f t="shared" si="13"/>
        <v/>
      </c>
      <c r="Y1119" s="69" t="str">
        <f t="shared" si="14"/>
        <v/>
      </c>
      <c r="Z1119" s="11"/>
      <c r="AG1119" s="59"/>
    </row>
    <row r="1120">
      <c r="A1120" s="8"/>
      <c r="B1120" s="56" t="str">
        <f t="shared" si="2"/>
        <v/>
      </c>
      <c r="C1120" s="105"/>
      <c r="D1120" s="10"/>
      <c r="E1120" s="59" t="str">
        <f t="array" ref="E1120">IF(COUNTA(C1120:C1644)=0,"",SUM((COUNTIF(C$4:C1120,Upgrades!$B$3:$B$13)-COUNTIF(C$4:C1120,"Sell_"&amp;Upgrades!$B$3:$B$13))*Upgrades!$D$3:$D$13))</f>
        <v/>
      </c>
      <c r="F1120" s="66" t="str">
        <f>IFERROR(__xludf.DUMMYFUNCTION("IF(COUNTA(C1120:C1644)=0,"""",IF(REGEXMATCH(INDEX(FILTER(C$4:C1120,C$4:C1120&lt;&gt;""""),ROWS(FILTER(C$4:C1120,C$4:C1120&lt;&gt;""""))),""^Sell_""),INDEX(FILTER(F$4:F1119,C$4:C1119&lt;&gt;""""),ROWS(FILTER(C$4:C1119,C$4:C1119&lt;&gt;""""))),$AC$5+E1120))"),"")</f>
        <v/>
      </c>
      <c r="G1120" s="10" t="str">
        <f>IFERROR(__xludf.DUMMYFUNCTION("IF(COUNTA(C1120:C1644)=0,"""",IF(C1120="""",0,IF(REGEXMATCH(C1120,""^Sell_""),-ROUNDDOWN(ROUNDUP(INDEX(Upgrades!$C$3:$C$13,MATCH(SUBSTITUTE(C1120,""Sell_"",""""),Upgrades!$B$3:$B$13,0))*1.15^(COUNTIF(C$4:C1119,SUBSTITUTE(C1120,""Sell_"",""""))-COUNTIF(C$4"&amp;":C1119,""Sell_""&amp;SUBSTITUTE(C1120,""Sell_"",""""))))/2),ROUNDUP(INDEX(Upgrades!$C$3:$C$13,MATCH(C1120,Upgrades!$B$3:$B$13,0))*1.15^(COUNTIF(C$4:C1119,C1120)-COUNTIF(C$4:C1119,""Sell_""&amp;C1120))))))"),"")</f>
        <v/>
      </c>
      <c r="H1120" s="10" t="str">
        <f t="shared" si="3"/>
        <v/>
      </c>
      <c r="I1120" s="68" t="str">
        <f t="shared" si="4"/>
        <v/>
      </c>
      <c r="J1120" s="59" t="str">
        <f t="shared" si="5"/>
        <v/>
      </c>
      <c r="K1120" s="69" t="str">
        <f t="shared" si="6"/>
        <v/>
      </c>
      <c r="L1120" s="60" t="str">
        <f t="shared" si="7"/>
        <v/>
      </c>
      <c r="M1120" s="61" t="str">
        <f>IFERROR(__xludf.DUMMYFUNCTION("IFS(AND(COUNTA(C1120:C1644)=0,COUNTA(Q1120:Q1644)=0),"""",OR(AND(K1120&gt;=1000000000,OR(Y1120&gt;=1000000000,COUNTA(Q1120:Q1644)=0)),OR(Y1120&gt;=1000000000,AND(COUNTA(C1120:C1644)=0,P$3=TRUE))),
ROUNDDOWN((AB$1-AC$1)*MAX(INDEX(T$4:T1644,MATCH(LARGE(FILTER(Y$4:Y1"&amp;"644,Y$4:Y1644&lt;1000000000),1),Y$4:Y1644)),INDEX(F$4:F1644,MATCH(LARGE(FILTER(K$4:K1644,K$4:K1644&lt;1000000000),1),K$4:K1644)))),AND(K1120&lt;1000000000,COUNTA(C1120:C1644)&gt;0,P$3=FALSE),
ROUNDDOWN(INDEX(Y$4:Y1644,MATCH(LARGE(FILTER(W$4:W1644,W$4:W1644&lt;=I1120),1)"&amp;",W$4:W1644))+(I1120-LARGE(FILTER(W$4:W1644,W$4:W1644&lt;=I1120),1))*INDEX(T$4:T1644,MATCH(LARGE(FILTER(W$4:W1644,W$4:W1644&lt;=I1120),1),W$4:W1644))-K1120),1,
ROUNDDOWN(Y1120-INDEX(K$4:K1644,MATCH(LARGE(FILTER(I$4:I1644,I$4:I1644&lt;=W1120),1),I$4:I1644))-(W1120-L"&amp;"ARGE(FILTER(I$4:I1644,I$4:I1644&lt;=W1120),1))*INDEX(F$4:F1644,MATCH(LARGE(FILTER(I$4:I1644,I$4:I1644&lt;=W1120),1),I$4:I1644))))"),"")</f>
        <v/>
      </c>
      <c r="N1120" s="60" t="str">
        <f t="shared" si="8"/>
        <v/>
      </c>
      <c r="O1120" s="61" t="str">
        <f t="shared" si="9"/>
        <v/>
      </c>
      <c r="P1120" s="56" t="str">
        <f t="shared" si="10"/>
        <v/>
      </c>
      <c r="Q1120" s="105"/>
      <c r="R1120" s="10"/>
      <c r="S1120" s="59" t="str">
        <f t="array" ref="S1120">IF(COUNTA(Q1120:Q1644)=0,"",SUM((COUNTIF(Q$4:Q1120,Upgrades!$B$3:$B$13)-COUNTIF(Q$4:Q1120,"Sell_"&amp;Upgrades!$B$3:$B$13))*Upgrades!$D$3:$D$13))</f>
        <v/>
      </c>
      <c r="T1120" s="66" t="str">
        <f>IFERROR(__xludf.DUMMYFUNCTION("IF(COUNTA(Q1120:Q1644)=0,"""",IF(REGEXMATCH(INDEX(FILTER(Q$4:Q1120,Q$4:Q1120&lt;&gt;""""),ROWS(FILTER(Q$4:Q1120,Q$4:Q1120&lt;&gt;""""))),""^Sell_""),INDEX(FILTER(T$4:T1119,Q$4:Q1119&lt;&gt;""""),ROWS(FILTER(Q$4:Q1119,Q$4:Q1119&lt;&gt;""""))),$AD$5+S1120))"),"")</f>
        <v/>
      </c>
      <c r="U1120" s="10" t="str">
        <f>IFERROR(__xludf.DUMMYFUNCTION("IF(COUNTA(Q1120:Q1644)=0,"""",IF(Q1120="""",0,IF(REGEXMATCH(Q1120,""^Sell_""),-ROUNDDOWN(ROUNDUP(INDEX(Upgrades!$C$3:$C$13,MATCH(SUBSTITUTE(Q1120,""Sell_"",""""),Upgrades!$B$3:$B$13,0))*1.15^(COUNTIF(Q$4:Q1119,SUBSTITUTE(Q1120,""Sell_"",""""))-COUNTIF(Q$4"&amp;":Q1119,""Sell_""&amp;SUBSTITUTE(Q1120,""Sell_"",""""))))/2),ROUNDUP(INDEX(Upgrades!$C$3:$C$13,MATCH(Q1120,Upgrades!$B$3:$B$13,0))*1.15^(COUNTIF(Q$4:Q1119,Q1120)-COUNTIF(Q$4:Q1119,""Sell_""&amp;Q1120))))))"),"")</f>
        <v/>
      </c>
      <c r="V1120" s="10" t="str">
        <f t="shared" si="11"/>
        <v/>
      </c>
      <c r="W1120" s="68" t="str">
        <f t="shared" si="12"/>
        <v/>
      </c>
      <c r="X1120" s="59" t="str">
        <f t="shared" si="13"/>
        <v/>
      </c>
      <c r="Y1120" s="69" t="str">
        <f t="shared" si="14"/>
        <v/>
      </c>
      <c r="Z1120" s="11"/>
      <c r="AG1120" s="59"/>
    </row>
    <row r="1121">
      <c r="A1121" s="8"/>
      <c r="B1121" s="56" t="str">
        <f t="shared" si="2"/>
        <v/>
      </c>
      <c r="C1121" s="105"/>
      <c r="D1121" s="10"/>
      <c r="E1121" s="59" t="str">
        <f t="array" ref="E1121">IF(COUNTA(C1121:C1644)=0,"",SUM((COUNTIF(C$4:C1121,Upgrades!$B$3:$B$13)-COUNTIF(C$4:C1121,"Sell_"&amp;Upgrades!$B$3:$B$13))*Upgrades!$D$3:$D$13))</f>
        <v/>
      </c>
      <c r="F1121" s="66" t="str">
        <f>IFERROR(__xludf.DUMMYFUNCTION("IF(COUNTA(C1121:C1644)=0,"""",IF(REGEXMATCH(INDEX(FILTER(C$4:C1121,C$4:C1121&lt;&gt;""""),ROWS(FILTER(C$4:C1121,C$4:C1121&lt;&gt;""""))),""^Sell_""),INDEX(FILTER(F$4:F1120,C$4:C1120&lt;&gt;""""),ROWS(FILTER(C$4:C1120,C$4:C1120&lt;&gt;""""))),$AC$5+E1121))"),"")</f>
        <v/>
      </c>
      <c r="G1121" s="10" t="str">
        <f>IFERROR(__xludf.DUMMYFUNCTION("IF(COUNTA(C1121:C1644)=0,"""",IF(C1121="""",0,IF(REGEXMATCH(C1121,""^Sell_""),-ROUNDDOWN(ROUNDUP(INDEX(Upgrades!$C$3:$C$13,MATCH(SUBSTITUTE(C1121,""Sell_"",""""),Upgrades!$B$3:$B$13,0))*1.15^(COUNTIF(C$4:C1120,SUBSTITUTE(C1121,""Sell_"",""""))-COUNTIF(C$4"&amp;":C1120,""Sell_""&amp;SUBSTITUTE(C1121,""Sell_"",""""))))/2),ROUNDUP(INDEX(Upgrades!$C$3:$C$13,MATCH(C1121,Upgrades!$B$3:$B$13,0))*1.15^(COUNTIF(C$4:C1120,C1121)-COUNTIF(C$4:C1120,""Sell_""&amp;C1121))))))"),"")</f>
        <v/>
      </c>
      <c r="H1121" s="10" t="str">
        <f t="shared" si="3"/>
        <v/>
      </c>
      <c r="I1121" s="68" t="str">
        <f t="shared" si="4"/>
        <v/>
      </c>
      <c r="J1121" s="59" t="str">
        <f t="shared" si="5"/>
        <v/>
      </c>
      <c r="K1121" s="69" t="str">
        <f t="shared" si="6"/>
        <v/>
      </c>
      <c r="L1121" s="60" t="str">
        <f t="shared" si="7"/>
        <v/>
      </c>
      <c r="M1121" s="61" t="str">
        <f>IFERROR(__xludf.DUMMYFUNCTION("IFS(AND(COUNTA(C1121:C1644)=0,COUNTA(Q1121:Q1644)=0),"""",OR(AND(K1121&gt;=1000000000,OR(Y1121&gt;=1000000000,COUNTA(Q1121:Q1644)=0)),OR(Y1121&gt;=1000000000,AND(COUNTA(C1121:C1644)=0,P$3=TRUE))),
ROUNDDOWN((AB$1-AC$1)*MAX(INDEX(T$4:T1644,MATCH(LARGE(FILTER(Y$4:Y1"&amp;"644,Y$4:Y1644&lt;1000000000),1),Y$4:Y1644)),INDEX(F$4:F1644,MATCH(LARGE(FILTER(K$4:K1644,K$4:K1644&lt;1000000000),1),K$4:K1644)))),AND(K1121&lt;1000000000,COUNTA(C1121:C1644)&gt;0,P$3=FALSE),
ROUNDDOWN(INDEX(Y$4:Y1644,MATCH(LARGE(FILTER(W$4:W1644,W$4:W1644&lt;=I1121),1)"&amp;",W$4:W1644))+(I1121-LARGE(FILTER(W$4:W1644,W$4:W1644&lt;=I1121),1))*INDEX(T$4:T1644,MATCH(LARGE(FILTER(W$4:W1644,W$4:W1644&lt;=I1121),1),W$4:W1644))-K1121),1,
ROUNDDOWN(Y1121-INDEX(K$4:K1644,MATCH(LARGE(FILTER(I$4:I1644,I$4:I1644&lt;=W1121),1),I$4:I1644))-(W1121-L"&amp;"ARGE(FILTER(I$4:I1644,I$4:I1644&lt;=W1121),1))*INDEX(F$4:F1644,MATCH(LARGE(FILTER(I$4:I1644,I$4:I1644&lt;=W1121),1),I$4:I1644))))"),"")</f>
        <v/>
      </c>
      <c r="N1121" s="60" t="str">
        <f t="shared" si="8"/>
        <v/>
      </c>
      <c r="O1121" s="61" t="str">
        <f t="shared" si="9"/>
        <v/>
      </c>
      <c r="P1121" s="56" t="str">
        <f t="shared" si="10"/>
        <v/>
      </c>
      <c r="Q1121" s="105"/>
      <c r="R1121" s="10"/>
      <c r="S1121" s="59" t="str">
        <f t="array" ref="S1121">IF(COUNTA(Q1121:Q1644)=0,"",SUM((COUNTIF(Q$4:Q1121,Upgrades!$B$3:$B$13)-COUNTIF(Q$4:Q1121,"Sell_"&amp;Upgrades!$B$3:$B$13))*Upgrades!$D$3:$D$13))</f>
        <v/>
      </c>
      <c r="T1121" s="66" t="str">
        <f>IFERROR(__xludf.DUMMYFUNCTION("IF(COUNTA(Q1121:Q1644)=0,"""",IF(REGEXMATCH(INDEX(FILTER(Q$4:Q1121,Q$4:Q1121&lt;&gt;""""),ROWS(FILTER(Q$4:Q1121,Q$4:Q1121&lt;&gt;""""))),""^Sell_""),INDEX(FILTER(T$4:T1120,Q$4:Q1120&lt;&gt;""""),ROWS(FILTER(Q$4:Q1120,Q$4:Q1120&lt;&gt;""""))),$AD$5+S1121))"),"")</f>
        <v/>
      </c>
      <c r="U1121" s="10" t="str">
        <f>IFERROR(__xludf.DUMMYFUNCTION("IF(COUNTA(Q1121:Q1644)=0,"""",IF(Q1121="""",0,IF(REGEXMATCH(Q1121,""^Sell_""),-ROUNDDOWN(ROUNDUP(INDEX(Upgrades!$C$3:$C$13,MATCH(SUBSTITUTE(Q1121,""Sell_"",""""),Upgrades!$B$3:$B$13,0))*1.15^(COUNTIF(Q$4:Q1120,SUBSTITUTE(Q1121,""Sell_"",""""))-COUNTIF(Q$4"&amp;":Q1120,""Sell_""&amp;SUBSTITUTE(Q1121,""Sell_"",""""))))/2),ROUNDUP(INDEX(Upgrades!$C$3:$C$13,MATCH(Q1121,Upgrades!$B$3:$B$13,0))*1.15^(COUNTIF(Q$4:Q1120,Q1121)-COUNTIF(Q$4:Q1120,""Sell_""&amp;Q1121))))))"),"")</f>
        <v/>
      </c>
      <c r="V1121" s="10" t="str">
        <f t="shared" si="11"/>
        <v/>
      </c>
      <c r="W1121" s="68" t="str">
        <f t="shared" si="12"/>
        <v/>
      </c>
      <c r="X1121" s="59" t="str">
        <f t="shared" si="13"/>
        <v/>
      </c>
      <c r="Y1121" s="69" t="str">
        <f t="shared" si="14"/>
        <v/>
      </c>
      <c r="Z1121" s="11"/>
      <c r="AG1121" s="59"/>
    </row>
    <row r="1122">
      <c r="A1122" s="8"/>
      <c r="B1122" s="56" t="str">
        <f t="shared" si="2"/>
        <v/>
      </c>
      <c r="C1122" s="105"/>
      <c r="D1122" s="10"/>
      <c r="E1122" s="59" t="str">
        <f t="array" ref="E1122">IF(COUNTA(C1122:C1644)=0,"",SUM((COUNTIF(C$4:C1122,Upgrades!$B$3:$B$13)-COUNTIF(C$4:C1122,"Sell_"&amp;Upgrades!$B$3:$B$13))*Upgrades!$D$3:$D$13))</f>
        <v/>
      </c>
      <c r="F1122" s="66" t="str">
        <f>IFERROR(__xludf.DUMMYFUNCTION("IF(COUNTA(C1122:C1644)=0,"""",IF(REGEXMATCH(INDEX(FILTER(C$4:C1122,C$4:C1122&lt;&gt;""""),ROWS(FILTER(C$4:C1122,C$4:C1122&lt;&gt;""""))),""^Sell_""),INDEX(FILTER(F$4:F1121,C$4:C1121&lt;&gt;""""),ROWS(FILTER(C$4:C1121,C$4:C1121&lt;&gt;""""))),$AC$5+E1122))"),"")</f>
        <v/>
      </c>
      <c r="G1122" s="10" t="str">
        <f>IFERROR(__xludf.DUMMYFUNCTION("IF(COUNTA(C1122:C1644)=0,"""",IF(C1122="""",0,IF(REGEXMATCH(C1122,""^Sell_""),-ROUNDDOWN(ROUNDUP(INDEX(Upgrades!$C$3:$C$13,MATCH(SUBSTITUTE(C1122,""Sell_"",""""),Upgrades!$B$3:$B$13,0))*1.15^(COUNTIF(C$4:C1121,SUBSTITUTE(C1122,""Sell_"",""""))-COUNTIF(C$4"&amp;":C1121,""Sell_""&amp;SUBSTITUTE(C1122,""Sell_"",""""))))/2),ROUNDUP(INDEX(Upgrades!$C$3:$C$13,MATCH(C1122,Upgrades!$B$3:$B$13,0))*1.15^(COUNTIF(C$4:C1121,C1122)-COUNTIF(C$4:C1121,""Sell_""&amp;C1122))))))"),"")</f>
        <v/>
      </c>
      <c r="H1122" s="10" t="str">
        <f t="shared" si="3"/>
        <v/>
      </c>
      <c r="I1122" s="68" t="str">
        <f t="shared" si="4"/>
        <v/>
      </c>
      <c r="J1122" s="59" t="str">
        <f t="shared" si="5"/>
        <v/>
      </c>
      <c r="K1122" s="69" t="str">
        <f t="shared" si="6"/>
        <v/>
      </c>
      <c r="L1122" s="60" t="str">
        <f t="shared" si="7"/>
        <v/>
      </c>
      <c r="M1122" s="61" t="str">
        <f>IFERROR(__xludf.DUMMYFUNCTION("IFS(AND(COUNTA(C1122:C1644)=0,COUNTA(Q1122:Q1644)=0),"""",OR(AND(K1122&gt;=1000000000,OR(Y1122&gt;=1000000000,COUNTA(Q1122:Q1644)=0)),OR(Y1122&gt;=1000000000,AND(COUNTA(C1122:C1644)=0,P$3=TRUE))),
ROUNDDOWN((AB$1-AC$1)*MAX(INDEX(T$4:T1644,MATCH(LARGE(FILTER(Y$4:Y1"&amp;"644,Y$4:Y1644&lt;1000000000),1),Y$4:Y1644)),INDEX(F$4:F1644,MATCH(LARGE(FILTER(K$4:K1644,K$4:K1644&lt;1000000000),1),K$4:K1644)))),AND(K1122&lt;1000000000,COUNTA(C1122:C1644)&gt;0,P$3=FALSE),
ROUNDDOWN(INDEX(Y$4:Y1644,MATCH(LARGE(FILTER(W$4:W1644,W$4:W1644&lt;=I1122),1)"&amp;",W$4:W1644))+(I1122-LARGE(FILTER(W$4:W1644,W$4:W1644&lt;=I1122),1))*INDEX(T$4:T1644,MATCH(LARGE(FILTER(W$4:W1644,W$4:W1644&lt;=I1122),1),W$4:W1644))-K1122),1,
ROUNDDOWN(Y1122-INDEX(K$4:K1644,MATCH(LARGE(FILTER(I$4:I1644,I$4:I1644&lt;=W1122),1),I$4:I1644))-(W1122-L"&amp;"ARGE(FILTER(I$4:I1644,I$4:I1644&lt;=W1122),1))*INDEX(F$4:F1644,MATCH(LARGE(FILTER(I$4:I1644,I$4:I1644&lt;=W1122),1),I$4:I1644))))"),"")</f>
        <v/>
      </c>
      <c r="N1122" s="60" t="str">
        <f t="shared" si="8"/>
        <v/>
      </c>
      <c r="O1122" s="61" t="str">
        <f t="shared" si="9"/>
        <v/>
      </c>
      <c r="P1122" s="56" t="str">
        <f t="shared" si="10"/>
        <v/>
      </c>
      <c r="Q1122" s="105"/>
      <c r="R1122" s="10"/>
      <c r="S1122" s="59" t="str">
        <f t="array" ref="S1122">IF(COUNTA(Q1122:Q1644)=0,"",SUM((COUNTIF(Q$4:Q1122,Upgrades!$B$3:$B$13)-COUNTIF(Q$4:Q1122,"Sell_"&amp;Upgrades!$B$3:$B$13))*Upgrades!$D$3:$D$13))</f>
        <v/>
      </c>
      <c r="T1122" s="66" t="str">
        <f>IFERROR(__xludf.DUMMYFUNCTION("IF(COUNTA(Q1122:Q1644)=0,"""",IF(REGEXMATCH(INDEX(FILTER(Q$4:Q1122,Q$4:Q1122&lt;&gt;""""),ROWS(FILTER(Q$4:Q1122,Q$4:Q1122&lt;&gt;""""))),""^Sell_""),INDEX(FILTER(T$4:T1121,Q$4:Q1121&lt;&gt;""""),ROWS(FILTER(Q$4:Q1121,Q$4:Q1121&lt;&gt;""""))),$AD$5+S1122))"),"")</f>
        <v/>
      </c>
      <c r="U1122" s="10" t="str">
        <f>IFERROR(__xludf.DUMMYFUNCTION("IF(COUNTA(Q1122:Q1644)=0,"""",IF(Q1122="""",0,IF(REGEXMATCH(Q1122,""^Sell_""),-ROUNDDOWN(ROUNDUP(INDEX(Upgrades!$C$3:$C$13,MATCH(SUBSTITUTE(Q1122,""Sell_"",""""),Upgrades!$B$3:$B$13,0))*1.15^(COUNTIF(Q$4:Q1121,SUBSTITUTE(Q1122,""Sell_"",""""))-COUNTIF(Q$4"&amp;":Q1121,""Sell_""&amp;SUBSTITUTE(Q1122,""Sell_"",""""))))/2),ROUNDUP(INDEX(Upgrades!$C$3:$C$13,MATCH(Q1122,Upgrades!$B$3:$B$13,0))*1.15^(COUNTIF(Q$4:Q1121,Q1122)-COUNTIF(Q$4:Q1121,""Sell_""&amp;Q1122))))))"),"")</f>
        <v/>
      </c>
      <c r="V1122" s="10" t="str">
        <f t="shared" si="11"/>
        <v/>
      </c>
      <c r="W1122" s="68" t="str">
        <f t="shared" si="12"/>
        <v/>
      </c>
      <c r="X1122" s="59" t="str">
        <f t="shared" si="13"/>
        <v/>
      </c>
      <c r="Y1122" s="69" t="str">
        <f t="shared" si="14"/>
        <v/>
      </c>
      <c r="Z1122" s="11"/>
      <c r="AG1122" s="59"/>
    </row>
    <row r="1123">
      <c r="A1123" s="8"/>
      <c r="B1123" s="56" t="str">
        <f t="shared" si="2"/>
        <v/>
      </c>
      <c r="C1123" s="105"/>
      <c r="D1123" s="10"/>
      <c r="E1123" s="59" t="str">
        <f t="array" ref="E1123">IF(COUNTA(C1123:C1644)=0,"",SUM((COUNTIF(C$4:C1123,Upgrades!$B$3:$B$13)-COUNTIF(C$4:C1123,"Sell_"&amp;Upgrades!$B$3:$B$13))*Upgrades!$D$3:$D$13))</f>
        <v/>
      </c>
      <c r="F1123" s="66" t="str">
        <f>IFERROR(__xludf.DUMMYFUNCTION("IF(COUNTA(C1123:C1644)=0,"""",IF(REGEXMATCH(INDEX(FILTER(C$4:C1123,C$4:C1123&lt;&gt;""""),ROWS(FILTER(C$4:C1123,C$4:C1123&lt;&gt;""""))),""^Sell_""),INDEX(FILTER(F$4:F1122,C$4:C1122&lt;&gt;""""),ROWS(FILTER(C$4:C1122,C$4:C1122&lt;&gt;""""))),$AC$5+E1123))"),"")</f>
        <v/>
      </c>
      <c r="G1123" s="10" t="str">
        <f>IFERROR(__xludf.DUMMYFUNCTION("IF(COUNTA(C1123:C1644)=0,"""",IF(C1123="""",0,IF(REGEXMATCH(C1123,""^Sell_""),-ROUNDDOWN(ROUNDUP(INDEX(Upgrades!$C$3:$C$13,MATCH(SUBSTITUTE(C1123,""Sell_"",""""),Upgrades!$B$3:$B$13,0))*1.15^(COUNTIF(C$4:C1122,SUBSTITUTE(C1123,""Sell_"",""""))-COUNTIF(C$4"&amp;":C1122,""Sell_""&amp;SUBSTITUTE(C1123,""Sell_"",""""))))/2),ROUNDUP(INDEX(Upgrades!$C$3:$C$13,MATCH(C1123,Upgrades!$B$3:$B$13,0))*1.15^(COUNTIF(C$4:C1122,C1123)-COUNTIF(C$4:C1122,""Sell_""&amp;C1123))))))"),"")</f>
        <v/>
      </c>
      <c r="H1123" s="10" t="str">
        <f t="shared" si="3"/>
        <v/>
      </c>
      <c r="I1123" s="68" t="str">
        <f t="shared" si="4"/>
        <v/>
      </c>
      <c r="J1123" s="59" t="str">
        <f t="shared" si="5"/>
        <v/>
      </c>
      <c r="K1123" s="69" t="str">
        <f t="shared" si="6"/>
        <v/>
      </c>
      <c r="L1123" s="60" t="str">
        <f t="shared" si="7"/>
        <v/>
      </c>
      <c r="M1123" s="61" t="str">
        <f>IFERROR(__xludf.DUMMYFUNCTION("IFS(AND(COUNTA(C1123:C1644)=0,COUNTA(Q1123:Q1644)=0),"""",OR(AND(K1123&gt;=1000000000,OR(Y1123&gt;=1000000000,COUNTA(Q1123:Q1644)=0)),OR(Y1123&gt;=1000000000,AND(COUNTA(C1123:C1644)=0,P$3=TRUE))),
ROUNDDOWN((AB$1-AC$1)*MAX(INDEX(T$4:T1644,MATCH(LARGE(FILTER(Y$4:Y1"&amp;"644,Y$4:Y1644&lt;1000000000),1),Y$4:Y1644)),INDEX(F$4:F1644,MATCH(LARGE(FILTER(K$4:K1644,K$4:K1644&lt;1000000000),1),K$4:K1644)))),AND(K1123&lt;1000000000,COUNTA(C1123:C1644)&gt;0,P$3=FALSE),
ROUNDDOWN(INDEX(Y$4:Y1644,MATCH(LARGE(FILTER(W$4:W1644,W$4:W1644&lt;=I1123),1)"&amp;",W$4:W1644))+(I1123-LARGE(FILTER(W$4:W1644,W$4:W1644&lt;=I1123),1))*INDEX(T$4:T1644,MATCH(LARGE(FILTER(W$4:W1644,W$4:W1644&lt;=I1123),1),W$4:W1644))-K1123),1,
ROUNDDOWN(Y1123-INDEX(K$4:K1644,MATCH(LARGE(FILTER(I$4:I1644,I$4:I1644&lt;=W1123),1),I$4:I1644))-(W1123-L"&amp;"ARGE(FILTER(I$4:I1644,I$4:I1644&lt;=W1123),1))*INDEX(F$4:F1644,MATCH(LARGE(FILTER(I$4:I1644,I$4:I1644&lt;=W1123),1),I$4:I1644))))"),"")</f>
        <v/>
      </c>
      <c r="N1123" s="60" t="str">
        <f t="shared" si="8"/>
        <v/>
      </c>
      <c r="O1123" s="61" t="str">
        <f t="shared" si="9"/>
        <v/>
      </c>
      <c r="P1123" s="56" t="str">
        <f t="shared" si="10"/>
        <v/>
      </c>
      <c r="Q1123" s="105"/>
      <c r="R1123" s="10"/>
      <c r="S1123" s="59" t="str">
        <f t="array" ref="S1123">IF(COUNTA(Q1123:Q1644)=0,"",SUM((COUNTIF(Q$4:Q1123,Upgrades!$B$3:$B$13)-COUNTIF(Q$4:Q1123,"Sell_"&amp;Upgrades!$B$3:$B$13))*Upgrades!$D$3:$D$13))</f>
        <v/>
      </c>
      <c r="T1123" s="66" t="str">
        <f>IFERROR(__xludf.DUMMYFUNCTION("IF(COUNTA(Q1123:Q1644)=0,"""",IF(REGEXMATCH(INDEX(FILTER(Q$4:Q1123,Q$4:Q1123&lt;&gt;""""),ROWS(FILTER(Q$4:Q1123,Q$4:Q1123&lt;&gt;""""))),""^Sell_""),INDEX(FILTER(T$4:T1122,Q$4:Q1122&lt;&gt;""""),ROWS(FILTER(Q$4:Q1122,Q$4:Q1122&lt;&gt;""""))),$AD$5+S1123))"),"")</f>
        <v/>
      </c>
      <c r="U1123" s="10" t="str">
        <f>IFERROR(__xludf.DUMMYFUNCTION("IF(COUNTA(Q1123:Q1644)=0,"""",IF(Q1123="""",0,IF(REGEXMATCH(Q1123,""^Sell_""),-ROUNDDOWN(ROUNDUP(INDEX(Upgrades!$C$3:$C$13,MATCH(SUBSTITUTE(Q1123,""Sell_"",""""),Upgrades!$B$3:$B$13,0))*1.15^(COUNTIF(Q$4:Q1122,SUBSTITUTE(Q1123,""Sell_"",""""))-COUNTIF(Q$4"&amp;":Q1122,""Sell_""&amp;SUBSTITUTE(Q1123,""Sell_"",""""))))/2),ROUNDUP(INDEX(Upgrades!$C$3:$C$13,MATCH(Q1123,Upgrades!$B$3:$B$13,0))*1.15^(COUNTIF(Q$4:Q1122,Q1123)-COUNTIF(Q$4:Q1122,""Sell_""&amp;Q1123))))))"),"")</f>
        <v/>
      </c>
      <c r="V1123" s="10" t="str">
        <f t="shared" si="11"/>
        <v/>
      </c>
      <c r="W1123" s="68" t="str">
        <f t="shared" si="12"/>
        <v/>
      </c>
      <c r="X1123" s="59" t="str">
        <f t="shared" si="13"/>
        <v/>
      </c>
      <c r="Y1123" s="69" t="str">
        <f t="shared" si="14"/>
        <v/>
      </c>
      <c r="Z1123" s="11"/>
      <c r="AG1123" s="59"/>
    </row>
    <row r="1124">
      <c r="A1124" s="8"/>
      <c r="B1124" s="56" t="str">
        <f t="shared" si="2"/>
        <v/>
      </c>
      <c r="C1124" s="105"/>
      <c r="D1124" s="10"/>
      <c r="E1124" s="59" t="str">
        <f t="array" ref="E1124">IF(COUNTA(C1124:C1644)=0,"",SUM((COUNTIF(C$4:C1124,Upgrades!$B$3:$B$13)-COUNTIF(C$4:C1124,"Sell_"&amp;Upgrades!$B$3:$B$13))*Upgrades!$D$3:$D$13))</f>
        <v/>
      </c>
      <c r="F1124" s="66" t="str">
        <f>IFERROR(__xludf.DUMMYFUNCTION("IF(COUNTA(C1124:C1644)=0,"""",IF(REGEXMATCH(INDEX(FILTER(C$4:C1124,C$4:C1124&lt;&gt;""""),ROWS(FILTER(C$4:C1124,C$4:C1124&lt;&gt;""""))),""^Sell_""),INDEX(FILTER(F$4:F1123,C$4:C1123&lt;&gt;""""),ROWS(FILTER(C$4:C1123,C$4:C1123&lt;&gt;""""))),$AC$5+E1124))"),"")</f>
        <v/>
      </c>
      <c r="G1124" s="10" t="str">
        <f>IFERROR(__xludf.DUMMYFUNCTION("IF(COUNTA(C1124:C1644)=0,"""",IF(C1124="""",0,IF(REGEXMATCH(C1124,""^Sell_""),-ROUNDDOWN(ROUNDUP(INDEX(Upgrades!$C$3:$C$13,MATCH(SUBSTITUTE(C1124,""Sell_"",""""),Upgrades!$B$3:$B$13,0))*1.15^(COUNTIF(C$4:C1123,SUBSTITUTE(C1124,""Sell_"",""""))-COUNTIF(C$4"&amp;":C1123,""Sell_""&amp;SUBSTITUTE(C1124,""Sell_"",""""))))/2),ROUNDUP(INDEX(Upgrades!$C$3:$C$13,MATCH(C1124,Upgrades!$B$3:$B$13,0))*1.15^(COUNTIF(C$4:C1123,C1124)-COUNTIF(C$4:C1123,""Sell_""&amp;C1124))))))"),"")</f>
        <v/>
      </c>
      <c r="H1124" s="10" t="str">
        <f t="shared" si="3"/>
        <v/>
      </c>
      <c r="I1124" s="68" t="str">
        <f t="shared" si="4"/>
        <v/>
      </c>
      <c r="J1124" s="59" t="str">
        <f t="shared" si="5"/>
        <v/>
      </c>
      <c r="K1124" s="69" t="str">
        <f t="shared" si="6"/>
        <v/>
      </c>
      <c r="L1124" s="60" t="str">
        <f t="shared" si="7"/>
        <v/>
      </c>
      <c r="M1124" s="61" t="str">
        <f>IFERROR(__xludf.DUMMYFUNCTION("IFS(AND(COUNTA(C1124:C1644)=0,COUNTA(Q1124:Q1644)=0),"""",OR(AND(K1124&gt;=1000000000,OR(Y1124&gt;=1000000000,COUNTA(Q1124:Q1644)=0)),OR(Y1124&gt;=1000000000,AND(COUNTA(C1124:C1644)=0,P$3=TRUE))),
ROUNDDOWN((AB$1-AC$1)*MAX(INDEX(T$4:T1644,MATCH(LARGE(FILTER(Y$4:Y1"&amp;"644,Y$4:Y1644&lt;1000000000),1),Y$4:Y1644)),INDEX(F$4:F1644,MATCH(LARGE(FILTER(K$4:K1644,K$4:K1644&lt;1000000000),1),K$4:K1644)))),AND(K1124&lt;1000000000,COUNTA(C1124:C1644)&gt;0,P$3=FALSE),
ROUNDDOWN(INDEX(Y$4:Y1644,MATCH(LARGE(FILTER(W$4:W1644,W$4:W1644&lt;=I1124),1)"&amp;",W$4:W1644))+(I1124-LARGE(FILTER(W$4:W1644,W$4:W1644&lt;=I1124),1))*INDEX(T$4:T1644,MATCH(LARGE(FILTER(W$4:W1644,W$4:W1644&lt;=I1124),1),W$4:W1644))-K1124),1,
ROUNDDOWN(Y1124-INDEX(K$4:K1644,MATCH(LARGE(FILTER(I$4:I1644,I$4:I1644&lt;=W1124),1),I$4:I1644))-(W1124-L"&amp;"ARGE(FILTER(I$4:I1644,I$4:I1644&lt;=W1124),1))*INDEX(F$4:F1644,MATCH(LARGE(FILTER(I$4:I1644,I$4:I1644&lt;=W1124),1),I$4:I1644))))"),"")</f>
        <v/>
      </c>
      <c r="N1124" s="60" t="str">
        <f t="shared" si="8"/>
        <v/>
      </c>
      <c r="O1124" s="61" t="str">
        <f t="shared" si="9"/>
        <v/>
      </c>
      <c r="P1124" s="56" t="str">
        <f t="shared" si="10"/>
        <v/>
      </c>
      <c r="Q1124" s="105"/>
      <c r="R1124" s="10"/>
      <c r="S1124" s="59" t="str">
        <f t="array" ref="S1124">IF(COUNTA(Q1124:Q1644)=0,"",SUM((COUNTIF(Q$4:Q1124,Upgrades!$B$3:$B$13)-COUNTIF(Q$4:Q1124,"Sell_"&amp;Upgrades!$B$3:$B$13))*Upgrades!$D$3:$D$13))</f>
        <v/>
      </c>
      <c r="T1124" s="66" t="str">
        <f>IFERROR(__xludf.DUMMYFUNCTION("IF(COUNTA(Q1124:Q1644)=0,"""",IF(REGEXMATCH(INDEX(FILTER(Q$4:Q1124,Q$4:Q1124&lt;&gt;""""),ROWS(FILTER(Q$4:Q1124,Q$4:Q1124&lt;&gt;""""))),""^Sell_""),INDEX(FILTER(T$4:T1123,Q$4:Q1123&lt;&gt;""""),ROWS(FILTER(Q$4:Q1123,Q$4:Q1123&lt;&gt;""""))),$AD$5+S1124))"),"")</f>
        <v/>
      </c>
      <c r="U1124" s="10" t="str">
        <f>IFERROR(__xludf.DUMMYFUNCTION("IF(COUNTA(Q1124:Q1644)=0,"""",IF(Q1124="""",0,IF(REGEXMATCH(Q1124,""^Sell_""),-ROUNDDOWN(ROUNDUP(INDEX(Upgrades!$C$3:$C$13,MATCH(SUBSTITUTE(Q1124,""Sell_"",""""),Upgrades!$B$3:$B$13,0))*1.15^(COUNTIF(Q$4:Q1123,SUBSTITUTE(Q1124,""Sell_"",""""))-COUNTIF(Q$4"&amp;":Q1123,""Sell_""&amp;SUBSTITUTE(Q1124,""Sell_"",""""))))/2),ROUNDUP(INDEX(Upgrades!$C$3:$C$13,MATCH(Q1124,Upgrades!$B$3:$B$13,0))*1.15^(COUNTIF(Q$4:Q1123,Q1124)-COUNTIF(Q$4:Q1123,""Sell_""&amp;Q1124))))))"),"")</f>
        <v/>
      </c>
      <c r="V1124" s="10" t="str">
        <f t="shared" si="11"/>
        <v/>
      </c>
      <c r="W1124" s="68" t="str">
        <f t="shared" si="12"/>
        <v/>
      </c>
      <c r="X1124" s="59" t="str">
        <f t="shared" si="13"/>
        <v/>
      </c>
      <c r="Y1124" s="69" t="str">
        <f t="shared" si="14"/>
        <v/>
      </c>
      <c r="Z1124" s="11"/>
      <c r="AG1124" s="59"/>
    </row>
    <row r="1125">
      <c r="A1125" s="8"/>
      <c r="B1125" s="56" t="str">
        <f t="shared" si="2"/>
        <v/>
      </c>
      <c r="C1125" s="105"/>
      <c r="D1125" s="10"/>
      <c r="E1125" s="59" t="str">
        <f t="array" ref="E1125">IF(COUNTA(C1125:C1644)=0,"",SUM((COUNTIF(C$4:C1125,Upgrades!$B$3:$B$13)-COUNTIF(C$4:C1125,"Sell_"&amp;Upgrades!$B$3:$B$13))*Upgrades!$D$3:$D$13))</f>
        <v/>
      </c>
      <c r="F1125" s="66" t="str">
        <f>IFERROR(__xludf.DUMMYFUNCTION("IF(COUNTA(C1125:C1644)=0,"""",IF(REGEXMATCH(INDEX(FILTER(C$4:C1125,C$4:C1125&lt;&gt;""""),ROWS(FILTER(C$4:C1125,C$4:C1125&lt;&gt;""""))),""^Sell_""),INDEX(FILTER(F$4:F1124,C$4:C1124&lt;&gt;""""),ROWS(FILTER(C$4:C1124,C$4:C1124&lt;&gt;""""))),$AC$5+E1125))"),"")</f>
        <v/>
      </c>
      <c r="G1125" s="10" t="str">
        <f>IFERROR(__xludf.DUMMYFUNCTION("IF(COUNTA(C1125:C1644)=0,"""",IF(C1125="""",0,IF(REGEXMATCH(C1125,""^Sell_""),-ROUNDDOWN(ROUNDUP(INDEX(Upgrades!$C$3:$C$13,MATCH(SUBSTITUTE(C1125,""Sell_"",""""),Upgrades!$B$3:$B$13,0))*1.15^(COUNTIF(C$4:C1124,SUBSTITUTE(C1125,""Sell_"",""""))-COUNTIF(C$4"&amp;":C1124,""Sell_""&amp;SUBSTITUTE(C1125,""Sell_"",""""))))/2),ROUNDUP(INDEX(Upgrades!$C$3:$C$13,MATCH(C1125,Upgrades!$B$3:$B$13,0))*1.15^(COUNTIF(C$4:C1124,C1125)-COUNTIF(C$4:C1124,""Sell_""&amp;C1125))))))"),"")</f>
        <v/>
      </c>
      <c r="H1125" s="10" t="str">
        <f t="shared" si="3"/>
        <v/>
      </c>
      <c r="I1125" s="68" t="str">
        <f t="shared" si="4"/>
        <v/>
      </c>
      <c r="J1125" s="59" t="str">
        <f t="shared" si="5"/>
        <v/>
      </c>
      <c r="K1125" s="69" t="str">
        <f t="shared" si="6"/>
        <v/>
      </c>
      <c r="L1125" s="60" t="str">
        <f t="shared" si="7"/>
        <v/>
      </c>
      <c r="M1125" s="61" t="str">
        <f>IFERROR(__xludf.DUMMYFUNCTION("IFS(AND(COUNTA(C1125:C1644)=0,COUNTA(Q1125:Q1644)=0),"""",OR(AND(K1125&gt;=1000000000,OR(Y1125&gt;=1000000000,COUNTA(Q1125:Q1644)=0)),OR(Y1125&gt;=1000000000,AND(COUNTA(C1125:C1644)=0,P$3=TRUE))),
ROUNDDOWN((AB$1-AC$1)*MAX(INDEX(T$4:T1644,MATCH(LARGE(FILTER(Y$4:Y1"&amp;"644,Y$4:Y1644&lt;1000000000),1),Y$4:Y1644)),INDEX(F$4:F1644,MATCH(LARGE(FILTER(K$4:K1644,K$4:K1644&lt;1000000000),1),K$4:K1644)))),AND(K1125&lt;1000000000,COUNTA(C1125:C1644)&gt;0,P$3=FALSE),
ROUNDDOWN(INDEX(Y$4:Y1644,MATCH(LARGE(FILTER(W$4:W1644,W$4:W1644&lt;=I1125),1)"&amp;",W$4:W1644))+(I1125-LARGE(FILTER(W$4:W1644,W$4:W1644&lt;=I1125),1))*INDEX(T$4:T1644,MATCH(LARGE(FILTER(W$4:W1644,W$4:W1644&lt;=I1125),1),W$4:W1644))-K1125),1,
ROUNDDOWN(Y1125-INDEX(K$4:K1644,MATCH(LARGE(FILTER(I$4:I1644,I$4:I1644&lt;=W1125),1),I$4:I1644))-(W1125-L"&amp;"ARGE(FILTER(I$4:I1644,I$4:I1644&lt;=W1125),1))*INDEX(F$4:F1644,MATCH(LARGE(FILTER(I$4:I1644,I$4:I1644&lt;=W1125),1),I$4:I1644))))"),"")</f>
        <v/>
      </c>
      <c r="N1125" s="60" t="str">
        <f t="shared" si="8"/>
        <v/>
      </c>
      <c r="O1125" s="61" t="str">
        <f t="shared" si="9"/>
        <v/>
      </c>
      <c r="P1125" s="56" t="str">
        <f t="shared" si="10"/>
        <v/>
      </c>
      <c r="Q1125" s="105"/>
      <c r="R1125" s="10"/>
      <c r="S1125" s="59" t="str">
        <f t="array" ref="S1125">IF(COUNTA(Q1125:Q1644)=0,"",SUM((COUNTIF(Q$4:Q1125,Upgrades!$B$3:$B$13)-COUNTIF(Q$4:Q1125,"Sell_"&amp;Upgrades!$B$3:$B$13))*Upgrades!$D$3:$D$13))</f>
        <v/>
      </c>
      <c r="T1125" s="66" t="str">
        <f>IFERROR(__xludf.DUMMYFUNCTION("IF(COUNTA(Q1125:Q1644)=0,"""",IF(REGEXMATCH(INDEX(FILTER(Q$4:Q1125,Q$4:Q1125&lt;&gt;""""),ROWS(FILTER(Q$4:Q1125,Q$4:Q1125&lt;&gt;""""))),""^Sell_""),INDEX(FILTER(T$4:T1124,Q$4:Q1124&lt;&gt;""""),ROWS(FILTER(Q$4:Q1124,Q$4:Q1124&lt;&gt;""""))),$AD$5+S1125))"),"")</f>
        <v/>
      </c>
      <c r="U1125" s="10" t="str">
        <f>IFERROR(__xludf.DUMMYFUNCTION("IF(COUNTA(Q1125:Q1644)=0,"""",IF(Q1125="""",0,IF(REGEXMATCH(Q1125,""^Sell_""),-ROUNDDOWN(ROUNDUP(INDEX(Upgrades!$C$3:$C$13,MATCH(SUBSTITUTE(Q1125,""Sell_"",""""),Upgrades!$B$3:$B$13,0))*1.15^(COUNTIF(Q$4:Q1124,SUBSTITUTE(Q1125,""Sell_"",""""))-COUNTIF(Q$4"&amp;":Q1124,""Sell_""&amp;SUBSTITUTE(Q1125,""Sell_"",""""))))/2),ROUNDUP(INDEX(Upgrades!$C$3:$C$13,MATCH(Q1125,Upgrades!$B$3:$B$13,0))*1.15^(COUNTIF(Q$4:Q1124,Q1125)-COUNTIF(Q$4:Q1124,""Sell_""&amp;Q1125))))))"),"")</f>
        <v/>
      </c>
      <c r="V1125" s="10" t="str">
        <f t="shared" si="11"/>
        <v/>
      </c>
      <c r="W1125" s="68" t="str">
        <f t="shared" si="12"/>
        <v/>
      </c>
      <c r="X1125" s="59" t="str">
        <f t="shared" si="13"/>
        <v/>
      </c>
      <c r="Y1125" s="69" t="str">
        <f t="shared" si="14"/>
        <v/>
      </c>
      <c r="Z1125" s="11"/>
      <c r="AG1125" s="59"/>
    </row>
    <row r="1126">
      <c r="A1126" s="8"/>
      <c r="B1126" s="56" t="str">
        <f t="shared" si="2"/>
        <v/>
      </c>
      <c r="C1126" s="105"/>
      <c r="D1126" s="10"/>
      <c r="E1126" s="59" t="str">
        <f t="array" ref="E1126">IF(COUNTA(C1126:C1644)=0,"",SUM((COUNTIF(C$4:C1126,Upgrades!$B$3:$B$13)-COUNTIF(C$4:C1126,"Sell_"&amp;Upgrades!$B$3:$B$13))*Upgrades!$D$3:$D$13))</f>
        <v/>
      </c>
      <c r="F1126" s="66" t="str">
        <f>IFERROR(__xludf.DUMMYFUNCTION("IF(COUNTA(C1126:C1644)=0,"""",IF(REGEXMATCH(INDEX(FILTER(C$4:C1126,C$4:C1126&lt;&gt;""""),ROWS(FILTER(C$4:C1126,C$4:C1126&lt;&gt;""""))),""^Sell_""),INDEX(FILTER(F$4:F1125,C$4:C1125&lt;&gt;""""),ROWS(FILTER(C$4:C1125,C$4:C1125&lt;&gt;""""))),$AC$5+E1126))"),"")</f>
        <v/>
      </c>
      <c r="G1126" s="10" t="str">
        <f>IFERROR(__xludf.DUMMYFUNCTION("IF(COUNTA(C1126:C1644)=0,"""",IF(C1126="""",0,IF(REGEXMATCH(C1126,""^Sell_""),-ROUNDDOWN(ROUNDUP(INDEX(Upgrades!$C$3:$C$13,MATCH(SUBSTITUTE(C1126,""Sell_"",""""),Upgrades!$B$3:$B$13,0))*1.15^(COUNTIF(C$4:C1125,SUBSTITUTE(C1126,""Sell_"",""""))-COUNTIF(C$4"&amp;":C1125,""Sell_""&amp;SUBSTITUTE(C1126,""Sell_"",""""))))/2),ROUNDUP(INDEX(Upgrades!$C$3:$C$13,MATCH(C1126,Upgrades!$B$3:$B$13,0))*1.15^(COUNTIF(C$4:C1125,C1126)-COUNTIF(C$4:C1125,""Sell_""&amp;C1126))))))"),"")</f>
        <v/>
      </c>
      <c r="H1126" s="10" t="str">
        <f t="shared" si="3"/>
        <v/>
      </c>
      <c r="I1126" s="68" t="str">
        <f t="shared" si="4"/>
        <v/>
      </c>
      <c r="J1126" s="59" t="str">
        <f t="shared" si="5"/>
        <v/>
      </c>
      <c r="K1126" s="69" t="str">
        <f t="shared" si="6"/>
        <v/>
      </c>
      <c r="L1126" s="60" t="str">
        <f t="shared" si="7"/>
        <v/>
      </c>
      <c r="M1126" s="61" t="str">
        <f>IFERROR(__xludf.DUMMYFUNCTION("IFS(AND(COUNTA(C1126:C1644)=0,COUNTA(Q1126:Q1644)=0),"""",OR(AND(K1126&gt;=1000000000,OR(Y1126&gt;=1000000000,COUNTA(Q1126:Q1644)=0)),OR(Y1126&gt;=1000000000,AND(COUNTA(C1126:C1644)=0,P$3=TRUE))),
ROUNDDOWN((AB$1-AC$1)*MAX(INDEX(T$4:T1644,MATCH(LARGE(FILTER(Y$4:Y1"&amp;"644,Y$4:Y1644&lt;1000000000),1),Y$4:Y1644)),INDEX(F$4:F1644,MATCH(LARGE(FILTER(K$4:K1644,K$4:K1644&lt;1000000000),1),K$4:K1644)))),AND(K1126&lt;1000000000,COUNTA(C1126:C1644)&gt;0,P$3=FALSE),
ROUNDDOWN(INDEX(Y$4:Y1644,MATCH(LARGE(FILTER(W$4:W1644,W$4:W1644&lt;=I1126),1)"&amp;",W$4:W1644))+(I1126-LARGE(FILTER(W$4:W1644,W$4:W1644&lt;=I1126),1))*INDEX(T$4:T1644,MATCH(LARGE(FILTER(W$4:W1644,W$4:W1644&lt;=I1126),1),W$4:W1644))-K1126),1,
ROUNDDOWN(Y1126-INDEX(K$4:K1644,MATCH(LARGE(FILTER(I$4:I1644,I$4:I1644&lt;=W1126),1),I$4:I1644))-(W1126-L"&amp;"ARGE(FILTER(I$4:I1644,I$4:I1644&lt;=W1126),1))*INDEX(F$4:F1644,MATCH(LARGE(FILTER(I$4:I1644,I$4:I1644&lt;=W1126),1),I$4:I1644))))"),"")</f>
        <v/>
      </c>
      <c r="N1126" s="60" t="str">
        <f t="shared" si="8"/>
        <v/>
      </c>
      <c r="O1126" s="61" t="str">
        <f t="shared" si="9"/>
        <v/>
      </c>
      <c r="P1126" s="56" t="str">
        <f t="shared" si="10"/>
        <v/>
      </c>
      <c r="Q1126" s="105"/>
      <c r="R1126" s="10"/>
      <c r="S1126" s="59" t="str">
        <f t="array" ref="S1126">IF(COUNTA(Q1126:Q1644)=0,"",SUM((COUNTIF(Q$4:Q1126,Upgrades!$B$3:$B$13)-COUNTIF(Q$4:Q1126,"Sell_"&amp;Upgrades!$B$3:$B$13))*Upgrades!$D$3:$D$13))</f>
        <v/>
      </c>
      <c r="T1126" s="66" t="str">
        <f>IFERROR(__xludf.DUMMYFUNCTION("IF(COUNTA(Q1126:Q1644)=0,"""",IF(REGEXMATCH(INDEX(FILTER(Q$4:Q1126,Q$4:Q1126&lt;&gt;""""),ROWS(FILTER(Q$4:Q1126,Q$4:Q1126&lt;&gt;""""))),""^Sell_""),INDEX(FILTER(T$4:T1125,Q$4:Q1125&lt;&gt;""""),ROWS(FILTER(Q$4:Q1125,Q$4:Q1125&lt;&gt;""""))),$AD$5+S1126))"),"")</f>
        <v/>
      </c>
      <c r="U1126" s="10" t="str">
        <f>IFERROR(__xludf.DUMMYFUNCTION("IF(COUNTA(Q1126:Q1644)=0,"""",IF(Q1126="""",0,IF(REGEXMATCH(Q1126,""^Sell_""),-ROUNDDOWN(ROUNDUP(INDEX(Upgrades!$C$3:$C$13,MATCH(SUBSTITUTE(Q1126,""Sell_"",""""),Upgrades!$B$3:$B$13,0))*1.15^(COUNTIF(Q$4:Q1125,SUBSTITUTE(Q1126,""Sell_"",""""))-COUNTIF(Q$4"&amp;":Q1125,""Sell_""&amp;SUBSTITUTE(Q1126,""Sell_"",""""))))/2),ROUNDUP(INDEX(Upgrades!$C$3:$C$13,MATCH(Q1126,Upgrades!$B$3:$B$13,0))*1.15^(COUNTIF(Q$4:Q1125,Q1126)-COUNTIF(Q$4:Q1125,""Sell_""&amp;Q1126))))))"),"")</f>
        <v/>
      </c>
      <c r="V1126" s="10" t="str">
        <f t="shared" si="11"/>
        <v/>
      </c>
      <c r="W1126" s="68" t="str">
        <f t="shared" si="12"/>
        <v/>
      </c>
      <c r="X1126" s="59" t="str">
        <f t="shared" si="13"/>
        <v/>
      </c>
      <c r="Y1126" s="69" t="str">
        <f t="shared" si="14"/>
        <v/>
      </c>
      <c r="Z1126" s="11"/>
      <c r="AG1126" s="59"/>
    </row>
    <row r="1127">
      <c r="A1127" s="8"/>
      <c r="B1127" s="56" t="str">
        <f t="shared" si="2"/>
        <v/>
      </c>
      <c r="C1127" s="105"/>
      <c r="D1127" s="10"/>
      <c r="E1127" s="59" t="str">
        <f t="array" ref="E1127">IF(COUNTA(C1127:C1644)=0,"",SUM((COUNTIF(C$4:C1127,Upgrades!$B$3:$B$13)-COUNTIF(C$4:C1127,"Sell_"&amp;Upgrades!$B$3:$B$13))*Upgrades!$D$3:$D$13))</f>
        <v/>
      </c>
      <c r="F1127" s="66" t="str">
        <f>IFERROR(__xludf.DUMMYFUNCTION("IF(COUNTA(C1127:C1644)=0,"""",IF(REGEXMATCH(INDEX(FILTER(C$4:C1127,C$4:C1127&lt;&gt;""""),ROWS(FILTER(C$4:C1127,C$4:C1127&lt;&gt;""""))),""^Sell_""),INDEX(FILTER(F$4:F1126,C$4:C1126&lt;&gt;""""),ROWS(FILTER(C$4:C1126,C$4:C1126&lt;&gt;""""))),$AC$5+E1127))"),"")</f>
        <v/>
      </c>
      <c r="G1127" s="10" t="str">
        <f>IFERROR(__xludf.DUMMYFUNCTION("IF(COUNTA(C1127:C1644)=0,"""",IF(C1127="""",0,IF(REGEXMATCH(C1127,""^Sell_""),-ROUNDDOWN(ROUNDUP(INDEX(Upgrades!$C$3:$C$13,MATCH(SUBSTITUTE(C1127,""Sell_"",""""),Upgrades!$B$3:$B$13,0))*1.15^(COUNTIF(C$4:C1126,SUBSTITUTE(C1127,""Sell_"",""""))-COUNTIF(C$4"&amp;":C1126,""Sell_""&amp;SUBSTITUTE(C1127,""Sell_"",""""))))/2),ROUNDUP(INDEX(Upgrades!$C$3:$C$13,MATCH(C1127,Upgrades!$B$3:$B$13,0))*1.15^(COUNTIF(C$4:C1126,C1127)-COUNTIF(C$4:C1126,""Sell_""&amp;C1127))))))"),"")</f>
        <v/>
      </c>
      <c r="H1127" s="10" t="str">
        <f t="shared" si="3"/>
        <v/>
      </c>
      <c r="I1127" s="68" t="str">
        <f t="shared" si="4"/>
        <v/>
      </c>
      <c r="J1127" s="59" t="str">
        <f t="shared" si="5"/>
        <v/>
      </c>
      <c r="K1127" s="69" t="str">
        <f t="shared" si="6"/>
        <v/>
      </c>
      <c r="L1127" s="60" t="str">
        <f t="shared" si="7"/>
        <v/>
      </c>
      <c r="M1127" s="61" t="str">
        <f>IFERROR(__xludf.DUMMYFUNCTION("IFS(AND(COUNTA(C1127:C1644)=0,COUNTA(Q1127:Q1644)=0),"""",OR(AND(K1127&gt;=1000000000,OR(Y1127&gt;=1000000000,COUNTA(Q1127:Q1644)=0)),OR(Y1127&gt;=1000000000,AND(COUNTA(C1127:C1644)=0,P$3=TRUE))),
ROUNDDOWN((AB$1-AC$1)*MAX(INDEX(T$4:T1644,MATCH(LARGE(FILTER(Y$4:Y1"&amp;"644,Y$4:Y1644&lt;1000000000),1),Y$4:Y1644)),INDEX(F$4:F1644,MATCH(LARGE(FILTER(K$4:K1644,K$4:K1644&lt;1000000000),1),K$4:K1644)))),AND(K1127&lt;1000000000,COUNTA(C1127:C1644)&gt;0,P$3=FALSE),
ROUNDDOWN(INDEX(Y$4:Y1644,MATCH(LARGE(FILTER(W$4:W1644,W$4:W1644&lt;=I1127),1)"&amp;",W$4:W1644))+(I1127-LARGE(FILTER(W$4:W1644,W$4:W1644&lt;=I1127),1))*INDEX(T$4:T1644,MATCH(LARGE(FILTER(W$4:W1644,W$4:W1644&lt;=I1127),1),W$4:W1644))-K1127),1,
ROUNDDOWN(Y1127-INDEX(K$4:K1644,MATCH(LARGE(FILTER(I$4:I1644,I$4:I1644&lt;=W1127),1),I$4:I1644))-(W1127-L"&amp;"ARGE(FILTER(I$4:I1644,I$4:I1644&lt;=W1127),1))*INDEX(F$4:F1644,MATCH(LARGE(FILTER(I$4:I1644,I$4:I1644&lt;=W1127),1),I$4:I1644))))"),"")</f>
        <v/>
      </c>
      <c r="N1127" s="60" t="str">
        <f t="shared" si="8"/>
        <v/>
      </c>
      <c r="O1127" s="61" t="str">
        <f t="shared" si="9"/>
        <v/>
      </c>
      <c r="P1127" s="56" t="str">
        <f t="shared" si="10"/>
        <v/>
      </c>
      <c r="Q1127" s="105"/>
      <c r="R1127" s="10"/>
      <c r="S1127" s="59" t="str">
        <f t="array" ref="S1127">IF(COUNTA(Q1127:Q1644)=0,"",SUM((COUNTIF(Q$4:Q1127,Upgrades!$B$3:$B$13)-COUNTIF(Q$4:Q1127,"Sell_"&amp;Upgrades!$B$3:$B$13))*Upgrades!$D$3:$D$13))</f>
        <v/>
      </c>
      <c r="T1127" s="66" t="str">
        <f>IFERROR(__xludf.DUMMYFUNCTION("IF(COUNTA(Q1127:Q1644)=0,"""",IF(REGEXMATCH(INDEX(FILTER(Q$4:Q1127,Q$4:Q1127&lt;&gt;""""),ROWS(FILTER(Q$4:Q1127,Q$4:Q1127&lt;&gt;""""))),""^Sell_""),INDEX(FILTER(T$4:T1126,Q$4:Q1126&lt;&gt;""""),ROWS(FILTER(Q$4:Q1126,Q$4:Q1126&lt;&gt;""""))),$AD$5+S1127))"),"")</f>
        <v/>
      </c>
      <c r="U1127" s="10" t="str">
        <f>IFERROR(__xludf.DUMMYFUNCTION("IF(COUNTA(Q1127:Q1644)=0,"""",IF(Q1127="""",0,IF(REGEXMATCH(Q1127,""^Sell_""),-ROUNDDOWN(ROUNDUP(INDEX(Upgrades!$C$3:$C$13,MATCH(SUBSTITUTE(Q1127,""Sell_"",""""),Upgrades!$B$3:$B$13,0))*1.15^(COUNTIF(Q$4:Q1126,SUBSTITUTE(Q1127,""Sell_"",""""))-COUNTIF(Q$4"&amp;":Q1126,""Sell_""&amp;SUBSTITUTE(Q1127,""Sell_"",""""))))/2),ROUNDUP(INDEX(Upgrades!$C$3:$C$13,MATCH(Q1127,Upgrades!$B$3:$B$13,0))*1.15^(COUNTIF(Q$4:Q1126,Q1127)-COUNTIF(Q$4:Q1126,""Sell_""&amp;Q1127))))))"),"")</f>
        <v/>
      </c>
      <c r="V1127" s="10" t="str">
        <f t="shared" si="11"/>
        <v/>
      </c>
      <c r="W1127" s="68" t="str">
        <f t="shared" si="12"/>
        <v/>
      </c>
      <c r="X1127" s="59" t="str">
        <f t="shared" si="13"/>
        <v/>
      </c>
      <c r="Y1127" s="69" t="str">
        <f t="shared" si="14"/>
        <v/>
      </c>
      <c r="Z1127" s="11"/>
      <c r="AG1127" s="59"/>
    </row>
    <row r="1128">
      <c r="A1128" s="8"/>
      <c r="B1128" s="56" t="str">
        <f t="shared" si="2"/>
        <v/>
      </c>
      <c r="C1128" s="105"/>
      <c r="D1128" s="10"/>
      <c r="E1128" s="59" t="str">
        <f t="array" ref="E1128">IF(COUNTA(C1128:C1644)=0,"",SUM((COUNTIF(C$4:C1128,Upgrades!$B$3:$B$13)-COUNTIF(C$4:C1128,"Sell_"&amp;Upgrades!$B$3:$B$13))*Upgrades!$D$3:$D$13))</f>
        <v/>
      </c>
      <c r="F1128" s="66" t="str">
        <f>IFERROR(__xludf.DUMMYFUNCTION("IF(COUNTA(C1128:C1644)=0,"""",IF(REGEXMATCH(INDEX(FILTER(C$4:C1128,C$4:C1128&lt;&gt;""""),ROWS(FILTER(C$4:C1128,C$4:C1128&lt;&gt;""""))),""^Sell_""),INDEX(FILTER(F$4:F1127,C$4:C1127&lt;&gt;""""),ROWS(FILTER(C$4:C1127,C$4:C1127&lt;&gt;""""))),$AC$5+E1128))"),"")</f>
        <v/>
      </c>
      <c r="G1128" s="10" t="str">
        <f>IFERROR(__xludf.DUMMYFUNCTION("IF(COUNTA(C1128:C1644)=0,"""",IF(C1128="""",0,IF(REGEXMATCH(C1128,""^Sell_""),-ROUNDDOWN(ROUNDUP(INDEX(Upgrades!$C$3:$C$13,MATCH(SUBSTITUTE(C1128,""Sell_"",""""),Upgrades!$B$3:$B$13,0))*1.15^(COUNTIF(C$4:C1127,SUBSTITUTE(C1128,""Sell_"",""""))-COUNTIF(C$4"&amp;":C1127,""Sell_""&amp;SUBSTITUTE(C1128,""Sell_"",""""))))/2),ROUNDUP(INDEX(Upgrades!$C$3:$C$13,MATCH(C1128,Upgrades!$B$3:$B$13,0))*1.15^(COUNTIF(C$4:C1127,C1128)-COUNTIF(C$4:C1127,""Sell_""&amp;C1128))))))"),"")</f>
        <v/>
      </c>
      <c r="H1128" s="10" t="str">
        <f t="shared" si="3"/>
        <v/>
      </c>
      <c r="I1128" s="68" t="str">
        <f t="shared" si="4"/>
        <v/>
      </c>
      <c r="J1128" s="59" t="str">
        <f t="shared" si="5"/>
        <v/>
      </c>
      <c r="K1128" s="69" t="str">
        <f t="shared" si="6"/>
        <v/>
      </c>
      <c r="L1128" s="60" t="str">
        <f t="shared" si="7"/>
        <v/>
      </c>
      <c r="M1128" s="61" t="str">
        <f>IFERROR(__xludf.DUMMYFUNCTION("IFS(AND(COUNTA(C1128:C1644)=0,COUNTA(Q1128:Q1644)=0),"""",OR(AND(K1128&gt;=1000000000,OR(Y1128&gt;=1000000000,COUNTA(Q1128:Q1644)=0)),OR(Y1128&gt;=1000000000,AND(COUNTA(C1128:C1644)=0,P$3=TRUE))),
ROUNDDOWN((AB$1-AC$1)*MAX(INDEX(T$4:T1644,MATCH(LARGE(FILTER(Y$4:Y1"&amp;"644,Y$4:Y1644&lt;1000000000),1),Y$4:Y1644)),INDEX(F$4:F1644,MATCH(LARGE(FILTER(K$4:K1644,K$4:K1644&lt;1000000000),1),K$4:K1644)))),AND(K1128&lt;1000000000,COUNTA(C1128:C1644)&gt;0,P$3=FALSE),
ROUNDDOWN(INDEX(Y$4:Y1644,MATCH(LARGE(FILTER(W$4:W1644,W$4:W1644&lt;=I1128),1)"&amp;",W$4:W1644))+(I1128-LARGE(FILTER(W$4:W1644,W$4:W1644&lt;=I1128),1))*INDEX(T$4:T1644,MATCH(LARGE(FILTER(W$4:W1644,W$4:W1644&lt;=I1128),1),W$4:W1644))-K1128),1,
ROUNDDOWN(Y1128-INDEX(K$4:K1644,MATCH(LARGE(FILTER(I$4:I1644,I$4:I1644&lt;=W1128),1),I$4:I1644))-(W1128-L"&amp;"ARGE(FILTER(I$4:I1644,I$4:I1644&lt;=W1128),1))*INDEX(F$4:F1644,MATCH(LARGE(FILTER(I$4:I1644,I$4:I1644&lt;=W1128),1),I$4:I1644))))"),"")</f>
        <v/>
      </c>
      <c r="N1128" s="60" t="str">
        <f t="shared" si="8"/>
        <v/>
      </c>
      <c r="O1128" s="61" t="str">
        <f t="shared" si="9"/>
        <v/>
      </c>
      <c r="P1128" s="56" t="str">
        <f t="shared" si="10"/>
        <v/>
      </c>
      <c r="Q1128" s="105"/>
      <c r="R1128" s="10"/>
      <c r="S1128" s="59" t="str">
        <f t="array" ref="S1128">IF(COUNTA(Q1128:Q1644)=0,"",SUM((COUNTIF(Q$4:Q1128,Upgrades!$B$3:$B$13)-COUNTIF(Q$4:Q1128,"Sell_"&amp;Upgrades!$B$3:$B$13))*Upgrades!$D$3:$D$13))</f>
        <v/>
      </c>
      <c r="T1128" s="66" t="str">
        <f>IFERROR(__xludf.DUMMYFUNCTION("IF(COUNTA(Q1128:Q1644)=0,"""",IF(REGEXMATCH(INDEX(FILTER(Q$4:Q1128,Q$4:Q1128&lt;&gt;""""),ROWS(FILTER(Q$4:Q1128,Q$4:Q1128&lt;&gt;""""))),""^Sell_""),INDEX(FILTER(T$4:T1127,Q$4:Q1127&lt;&gt;""""),ROWS(FILTER(Q$4:Q1127,Q$4:Q1127&lt;&gt;""""))),$AD$5+S1128))"),"")</f>
        <v/>
      </c>
      <c r="U1128" s="10" t="str">
        <f>IFERROR(__xludf.DUMMYFUNCTION("IF(COUNTA(Q1128:Q1644)=0,"""",IF(Q1128="""",0,IF(REGEXMATCH(Q1128,""^Sell_""),-ROUNDDOWN(ROUNDUP(INDEX(Upgrades!$C$3:$C$13,MATCH(SUBSTITUTE(Q1128,""Sell_"",""""),Upgrades!$B$3:$B$13,0))*1.15^(COUNTIF(Q$4:Q1127,SUBSTITUTE(Q1128,""Sell_"",""""))-COUNTIF(Q$4"&amp;":Q1127,""Sell_""&amp;SUBSTITUTE(Q1128,""Sell_"",""""))))/2),ROUNDUP(INDEX(Upgrades!$C$3:$C$13,MATCH(Q1128,Upgrades!$B$3:$B$13,0))*1.15^(COUNTIF(Q$4:Q1127,Q1128)-COUNTIF(Q$4:Q1127,""Sell_""&amp;Q1128))))))"),"")</f>
        <v/>
      </c>
      <c r="V1128" s="10" t="str">
        <f t="shared" si="11"/>
        <v/>
      </c>
      <c r="W1128" s="68" t="str">
        <f t="shared" si="12"/>
        <v/>
      </c>
      <c r="X1128" s="59" t="str">
        <f t="shared" si="13"/>
        <v/>
      </c>
      <c r="Y1128" s="69" t="str">
        <f t="shared" si="14"/>
        <v/>
      </c>
      <c r="Z1128" s="11"/>
      <c r="AG1128" s="59"/>
    </row>
    <row r="1129">
      <c r="A1129" s="8"/>
      <c r="B1129" s="56" t="str">
        <f t="shared" si="2"/>
        <v/>
      </c>
      <c r="C1129" s="105"/>
      <c r="D1129" s="10"/>
      <c r="E1129" s="59" t="str">
        <f t="array" ref="E1129">IF(COUNTA(C1129:C1644)=0,"",SUM((COUNTIF(C$4:C1129,Upgrades!$B$3:$B$13)-COUNTIF(C$4:C1129,"Sell_"&amp;Upgrades!$B$3:$B$13))*Upgrades!$D$3:$D$13))</f>
        <v/>
      </c>
      <c r="F1129" s="66" t="str">
        <f>IFERROR(__xludf.DUMMYFUNCTION("IF(COUNTA(C1129:C1644)=0,"""",IF(REGEXMATCH(INDEX(FILTER(C$4:C1129,C$4:C1129&lt;&gt;""""),ROWS(FILTER(C$4:C1129,C$4:C1129&lt;&gt;""""))),""^Sell_""),INDEX(FILTER(F$4:F1128,C$4:C1128&lt;&gt;""""),ROWS(FILTER(C$4:C1128,C$4:C1128&lt;&gt;""""))),$AC$5+E1129))"),"")</f>
        <v/>
      </c>
      <c r="G1129" s="10" t="str">
        <f>IFERROR(__xludf.DUMMYFUNCTION("IF(COUNTA(C1129:C1644)=0,"""",IF(C1129="""",0,IF(REGEXMATCH(C1129,""^Sell_""),-ROUNDDOWN(ROUNDUP(INDEX(Upgrades!$C$3:$C$13,MATCH(SUBSTITUTE(C1129,""Sell_"",""""),Upgrades!$B$3:$B$13,0))*1.15^(COUNTIF(C$4:C1128,SUBSTITUTE(C1129,""Sell_"",""""))-COUNTIF(C$4"&amp;":C1128,""Sell_""&amp;SUBSTITUTE(C1129,""Sell_"",""""))))/2),ROUNDUP(INDEX(Upgrades!$C$3:$C$13,MATCH(C1129,Upgrades!$B$3:$B$13,0))*1.15^(COUNTIF(C$4:C1128,C1129)-COUNTIF(C$4:C1128,""Sell_""&amp;C1129))))))"),"")</f>
        <v/>
      </c>
      <c r="H1129" s="10" t="str">
        <f t="shared" si="3"/>
        <v/>
      </c>
      <c r="I1129" s="68" t="str">
        <f t="shared" si="4"/>
        <v/>
      </c>
      <c r="J1129" s="59" t="str">
        <f t="shared" si="5"/>
        <v/>
      </c>
      <c r="K1129" s="69" t="str">
        <f t="shared" si="6"/>
        <v/>
      </c>
      <c r="L1129" s="60" t="str">
        <f t="shared" si="7"/>
        <v/>
      </c>
      <c r="M1129" s="61" t="str">
        <f>IFERROR(__xludf.DUMMYFUNCTION("IFS(AND(COUNTA(C1129:C1644)=0,COUNTA(Q1129:Q1644)=0),"""",OR(AND(K1129&gt;=1000000000,OR(Y1129&gt;=1000000000,COUNTA(Q1129:Q1644)=0)),OR(Y1129&gt;=1000000000,AND(COUNTA(C1129:C1644)=0,P$3=TRUE))),
ROUNDDOWN((AB$1-AC$1)*MAX(INDEX(T$4:T1644,MATCH(LARGE(FILTER(Y$4:Y1"&amp;"644,Y$4:Y1644&lt;1000000000),1),Y$4:Y1644)),INDEX(F$4:F1644,MATCH(LARGE(FILTER(K$4:K1644,K$4:K1644&lt;1000000000),1),K$4:K1644)))),AND(K1129&lt;1000000000,COUNTA(C1129:C1644)&gt;0,P$3=FALSE),
ROUNDDOWN(INDEX(Y$4:Y1644,MATCH(LARGE(FILTER(W$4:W1644,W$4:W1644&lt;=I1129),1)"&amp;",W$4:W1644))+(I1129-LARGE(FILTER(W$4:W1644,W$4:W1644&lt;=I1129),1))*INDEX(T$4:T1644,MATCH(LARGE(FILTER(W$4:W1644,W$4:W1644&lt;=I1129),1),W$4:W1644))-K1129),1,
ROUNDDOWN(Y1129-INDEX(K$4:K1644,MATCH(LARGE(FILTER(I$4:I1644,I$4:I1644&lt;=W1129),1),I$4:I1644))-(W1129-L"&amp;"ARGE(FILTER(I$4:I1644,I$4:I1644&lt;=W1129),1))*INDEX(F$4:F1644,MATCH(LARGE(FILTER(I$4:I1644,I$4:I1644&lt;=W1129),1),I$4:I1644))))"),"")</f>
        <v/>
      </c>
      <c r="N1129" s="60" t="str">
        <f t="shared" si="8"/>
        <v/>
      </c>
      <c r="O1129" s="61" t="str">
        <f t="shared" si="9"/>
        <v/>
      </c>
      <c r="P1129" s="56" t="str">
        <f t="shared" si="10"/>
        <v/>
      </c>
      <c r="Q1129" s="105"/>
      <c r="R1129" s="10"/>
      <c r="S1129" s="59" t="str">
        <f t="array" ref="S1129">IF(COUNTA(Q1129:Q1644)=0,"",SUM((COUNTIF(Q$4:Q1129,Upgrades!$B$3:$B$13)-COUNTIF(Q$4:Q1129,"Sell_"&amp;Upgrades!$B$3:$B$13))*Upgrades!$D$3:$D$13))</f>
        <v/>
      </c>
      <c r="T1129" s="66" t="str">
        <f>IFERROR(__xludf.DUMMYFUNCTION("IF(COUNTA(Q1129:Q1644)=0,"""",IF(REGEXMATCH(INDEX(FILTER(Q$4:Q1129,Q$4:Q1129&lt;&gt;""""),ROWS(FILTER(Q$4:Q1129,Q$4:Q1129&lt;&gt;""""))),""^Sell_""),INDEX(FILTER(T$4:T1128,Q$4:Q1128&lt;&gt;""""),ROWS(FILTER(Q$4:Q1128,Q$4:Q1128&lt;&gt;""""))),$AD$5+S1129))"),"")</f>
        <v/>
      </c>
      <c r="U1129" s="10" t="str">
        <f>IFERROR(__xludf.DUMMYFUNCTION("IF(COUNTA(Q1129:Q1644)=0,"""",IF(Q1129="""",0,IF(REGEXMATCH(Q1129,""^Sell_""),-ROUNDDOWN(ROUNDUP(INDEX(Upgrades!$C$3:$C$13,MATCH(SUBSTITUTE(Q1129,""Sell_"",""""),Upgrades!$B$3:$B$13,0))*1.15^(COUNTIF(Q$4:Q1128,SUBSTITUTE(Q1129,""Sell_"",""""))-COUNTIF(Q$4"&amp;":Q1128,""Sell_""&amp;SUBSTITUTE(Q1129,""Sell_"",""""))))/2),ROUNDUP(INDEX(Upgrades!$C$3:$C$13,MATCH(Q1129,Upgrades!$B$3:$B$13,0))*1.15^(COUNTIF(Q$4:Q1128,Q1129)-COUNTIF(Q$4:Q1128,""Sell_""&amp;Q1129))))))"),"")</f>
        <v/>
      </c>
      <c r="V1129" s="10" t="str">
        <f t="shared" si="11"/>
        <v/>
      </c>
      <c r="W1129" s="68" t="str">
        <f t="shared" si="12"/>
        <v/>
      </c>
      <c r="X1129" s="59" t="str">
        <f t="shared" si="13"/>
        <v/>
      </c>
      <c r="Y1129" s="69" t="str">
        <f t="shared" si="14"/>
        <v/>
      </c>
      <c r="Z1129" s="11"/>
      <c r="AG1129" s="59"/>
    </row>
    <row r="1130">
      <c r="A1130" s="8"/>
      <c r="B1130" s="56" t="str">
        <f t="shared" si="2"/>
        <v/>
      </c>
      <c r="C1130" s="105"/>
      <c r="D1130" s="10"/>
      <c r="E1130" s="59" t="str">
        <f t="array" ref="E1130">IF(COUNTA(C1130:C1644)=0,"",SUM((COUNTIF(C$4:C1130,Upgrades!$B$3:$B$13)-COUNTIF(C$4:C1130,"Sell_"&amp;Upgrades!$B$3:$B$13))*Upgrades!$D$3:$D$13))</f>
        <v/>
      </c>
      <c r="F1130" s="66" t="str">
        <f>IFERROR(__xludf.DUMMYFUNCTION("IF(COUNTA(C1130:C1644)=0,"""",IF(REGEXMATCH(INDEX(FILTER(C$4:C1130,C$4:C1130&lt;&gt;""""),ROWS(FILTER(C$4:C1130,C$4:C1130&lt;&gt;""""))),""^Sell_""),INDEX(FILTER(F$4:F1129,C$4:C1129&lt;&gt;""""),ROWS(FILTER(C$4:C1129,C$4:C1129&lt;&gt;""""))),$AC$5+E1130))"),"")</f>
        <v/>
      </c>
      <c r="G1130" s="10" t="str">
        <f>IFERROR(__xludf.DUMMYFUNCTION("IF(COUNTA(C1130:C1644)=0,"""",IF(C1130="""",0,IF(REGEXMATCH(C1130,""^Sell_""),-ROUNDDOWN(ROUNDUP(INDEX(Upgrades!$C$3:$C$13,MATCH(SUBSTITUTE(C1130,""Sell_"",""""),Upgrades!$B$3:$B$13,0))*1.15^(COUNTIF(C$4:C1129,SUBSTITUTE(C1130,""Sell_"",""""))-COUNTIF(C$4"&amp;":C1129,""Sell_""&amp;SUBSTITUTE(C1130,""Sell_"",""""))))/2),ROUNDUP(INDEX(Upgrades!$C$3:$C$13,MATCH(C1130,Upgrades!$B$3:$B$13,0))*1.15^(COUNTIF(C$4:C1129,C1130)-COUNTIF(C$4:C1129,""Sell_""&amp;C1130))))))"),"")</f>
        <v/>
      </c>
      <c r="H1130" s="10" t="str">
        <f t="shared" si="3"/>
        <v/>
      </c>
      <c r="I1130" s="68" t="str">
        <f t="shared" si="4"/>
        <v/>
      </c>
      <c r="J1130" s="59" t="str">
        <f t="shared" si="5"/>
        <v/>
      </c>
      <c r="K1130" s="69" t="str">
        <f t="shared" si="6"/>
        <v/>
      </c>
      <c r="L1130" s="60" t="str">
        <f t="shared" si="7"/>
        <v/>
      </c>
      <c r="M1130" s="61" t="str">
        <f>IFERROR(__xludf.DUMMYFUNCTION("IFS(AND(COUNTA(C1130:C1644)=0,COUNTA(Q1130:Q1644)=0),"""",OR(AND(K1130&gt;=1000000000,OR(Y1130&gt;=1000000000,COUNTA(Q1130:Q1644)=0)),OR(Y1130&gt;=1000000000,AND(COUNTA(C1130:C1644)=0,P$3=TRUE))),
ROUNDDOWN((AB$1-AC$1)*MAX(INDEX(T$4:T1644,MATCH(LARGE(FILTER(Y$4:Y1"&amp;"644,Y$4:Y1644&lt;1000000000),1),Y$4:Y1644)),INDEX(F$4:F1644,MATCH(LARGE(FILTER(K$4:K1644,K$4:K1644&lt;1000000000),1),K$4:K1644)))),AND(K1130&lt;1000000000,COUNTA(C1130:C1644)&gt;0,P$3=FALSE),
ROUNDDOWN(INDEX(Y$4:Y1644,MATCH(LARGE(FILTER(W$4:W1644,W$4:W1644&lt;=I1130),1)"&amp;",W$4:W1644))+(I1130-LARGE(FILTER(W$4:W1644,W$4:W1644&lt;=I1130),1))*INDEX(T$4:T1644,MATCH(LARGE(FILTER(W$4:W1644,W$4:W1644&lt;=I1130),1),W$4:W1644))-K1130),1,
ROUNDDOWN(Y1130-INDEX(K$4:K1644,MATCH(LARGE(FILTER(I$4:I1644,I$4:I1644&lt;=W1130),1),I$4:I1644))-(W1130-L"&amp;"ARGE(FILTER(I$4:I1644,I$4:I1644&lt;=W1130),1))*INDEX(F$4:F1644,MATCH(LARGE(FILTER(I$4:I1644,I$4:I1644&lt;=W1130),1),I$4:I1644))))"),"")</f>
        <v/>
      </c>
      <c r="N1130" s="60" t="str">
        <f t="shared" si="8"/>
        <v/>
      </c>
      <c r="O1130" s="61" t="str">
        <f t="shared" si="9"/>
        <v/>
      </c>
      <c r="P1130" s="56" t="str">
        <f t="shared" si="10"/>
        <v/>
      </c>
      <c r="Q1130" s="105"/>
      <c r="R1130" s="10"/>
      <c r="S1130" s="59" t="str">
        <f t="array" ref="S1130">IF(COUNTA(Q1130:Q1644)=0,"",SUM((COUNTIF(Q$4:Q1130,Upgrades!$B$3:$B$13)-COUNTIF(Q$4:Q1130,"Sell_"&amp;Upgrades!$B$3:$B$13))*Upgrades!$D$3:$D$13))</f>
        <v/>
      </c>
      <c r="T1130" s="66" t="str">
        <f>IFERROR(__xludf.DUMMYFUNCTION("IF(COUNTA(Q1130:Q1644)=0,"""",IF(REGEXMATCH(INDEX(FILTER(Q$4:Q1130,Q$4:Q1130&lt;&gt;""""),ROWS(FILTER(Q$4:Q1130,Q$4:Q1130&lt;&gt;""""))),""^Sell_""),INDEX(FILTER(T$4:T1129,Q$4:Q1129&lt;&gt;""""),ROWS(FILTER(Q$4:Q1129,Q$4:Q1129&lt;&gt;""""))),$AD$5+S1130))"),"")</f>
        <v/>
      </c>
      <c r="U1130" s="10" t="str">
        <f>IFERROR(__xludf.DUMMYFUNCTION("IF(COUNTA(Q1130:Q1644)=0,"""",IF(Q1130="""",0,IF(REGEXMATCH(Q1130,""^Sell_""),-ROUNDDOWN(ROUNDUP(INDEX(Upgrades!$C$3:$C$13,MATCH(SUBSTITUTE(Q1130,""Sell_"",""""),Upgrades!$B$3:$B$13,0))*1.15^(COUNTIF(Q$4:Q1129,SUBSTITUTE(Q1130,""Sell_"",""""))-COUNTIF(Q$4"&amp;":Q1129,""Sell_""&amp;SUBSTITUTE(Q1130,""Sell_"",""""))))/2),ROUNDUP(INDEX(Upgrades!$C$3:$C$13,MATCH(Q1130,Upgrades!$B$3:$B$13,0))*1.15^(COUNTIF(Q$4:Q1129,Q1130)-COUNTIF(Q$4:Q1129,""Sell_""&amp;Q1130))))))"),"")</f>
        <v/>
      </c>
      <c r="V1130" s="10" t="str">
        <f t="shared" si="11"/>
        <v/>
      </c>
      <c r="W1130" s="68" t="str">
        <f t="shared" si="12"/>
        <v/>
      </c>
      <c r="X1130" s="59" t="str">
        <f t="shared" si="13"/>
        <v/>
      </c>
      <c r="Y1130" s="69" t="str">
        <f t="shared" si="14"/>
        <v/>
      </c>
      <c r="Z1130" s="11"/>
      <c r="AG1130" s="59"/>
    </row>
    <row r="1131">
      <c r="A1131" s="8"/>
      <c r="B1131" s="56" t="str">
        <f t="shared" si="2"/>
        <v/>
      </c>
      <c r="C1131" s="105"/>
      <c r="D1131" s="10"/>
      <c r="E1131" s="59" t="str">
        <f t="array" ref="E1131">IF(COUNTA(C1131:C1644)=0,"",SUM((COUNTIF(C$4:C1131,Upgrades!$B$3:$B$13)-COUNTIF(C$4:C1131,"Sell_"&amp;Upgrades!$B$3:$B$13))*Upgrades!$D$3:$D$13))</f>
        <v/>
      </c>
      <c r="F1131" s="66" t="str">
        <f>IFERROR(__xludf.DUMMYFUNCTION("IF(COUNTA(C1131:C1644)=0,"""",IF(REGEXMATCH(INDEX(FILTER(C$4:C1131,C$4:C1131&lt;&gt;""""),ROWS(FILTER(C$4:C1131,C$4:C1131&lt;&gt;""""))),""^Sell_""),INDEX(FILTER(F$4:F1130,C$4:C1130&lt;&gt;""""),ROWS(FILTER(C$4:C1130,C$4:C1130&lt;&gt;""""))),$AC$5+E1131))"),"")</f>
        <v/>
      </c>
      <c r="G1131" s="10" t="str">
        <f>IFERROR(__xludf.DUMMYFUNCTION("IF(COUNTA(C1131:C1644)=0,"""",IF(C1131="""",0,IF(REGEXMATCH(C1131,""^Sell_""),-ROUNDDOWN(ROUNDUP(INDEX(Upgrades!$C$3:$C$13,MATCH(SUBSTITUTE(C1131,""Sell_"",""""),Upgrades!$B$3:$B$13,0))*1.15^(COUNTIF(C$4:C1130,SUBSTITUTE(C1131,""Sell_"",""""))-COUNTIF(C$4"&amp;":C1130,""Sell_""&amp;SUBSTITUTE(C1131,""Sell_"",""""))))/2),ROUNDUP(INDEX(Upgrades!$C$3:$C$13,MATCH(C1131,Upgrades!$B$3:$B$13,0))*1.15^(COUNTIF(C$4:C1130,C1131)-COUNTIF(C$4:C1130,""Sell_""&amp;C1131))))))"),"")</f>
        <v/>
      </c>
      <c r="H1131" s="10" t="str">
        <f t="shared" si="3"/>
        <v/>
      </c>
      <c r="I1131" s="68" t="str">
        <f t="shared" si="4"/>
        <v/>
      </c>
      <c r="J1131" s="59" t="str">
        <f t="shared" si="5"/>
        <v/>
      </c>
      <c r="K1131" s="69" t="str">
        <f t="shared" si="6"/>
        <v/>
      </c>
      <c r="L1131" s="60" t="str">
        <f t="shared" si="7"/>
        <v/>
      </c>
      <c r="M1131" s="61" t="str">
        <f>IFERROR(__xludf.DUMMYFUNCTION("IFS(AND(COUNTA(C1131:C1644)=0,COUNTA(Q1131:Q1644)=0),"""",OR(AND(K1131&gt;=1000000000,OR(Y1131&gt;=1000000000,COUNTA(Q1131:Q1644)=0)),OR(Y1131&gt;=1000000000,AND(COUNTA(C1131:C1644)=0,P$3=TRUE))),
ROUNDDOWN((AB$1-AC$1)*MAX(INDEX(T$4:T1644,MATCH(LARGE(FILTER(Y$4:Y1"&amp;"644,Y$4:Y1644&lt;1000000000),1),Y$4:Y1644)),INDEX(F$4:F1644,MATCH(LARGE(FILTER(K$4:K1644,K$4:K1644&lt;1000000000),1),K$4:K1644)))),AND(K1131&lt;1000000000,COUNTA(C1131:C1644)&gt;0,P$3=FALSE),
ROUNDDOWN(INDEX(Y$4:Y1644,MATCH(LARGE(FILTER(W$4:W1644,W$4:W1644&lt;=I1131),1)"&amp;",W$4:W1644))+(I1131-LARGE(FILTER(W$4:W1644,W$4:W1644&lt;=I1131),1))*INDEX(T$4:T1644,MATCH(LARGE(FILTER(W$4:W1644,W$4:W1644&lt;=I1131),1),W$4:W1644))-K1131),1,
ROUNDDOWN(Y1131-INDEX(K$4:K1644,MATCH(LARGE(FILTER(I$4:I1644,I$4:I1644&lt;=W1131),1),I$4:I1644))-(W1131-L"&amp;"ARGE(FILTER(I$4:I1644,I$4:I1644&lt;=W1131),1))*INDEX(F$4:F1644,MATCH(LARGE(FILTER(I$4:I1644,I$4:I1644&lt;=W1131),1),I$4:I1644))))"),"")</f>
        <v/>
      </c>
      <c r="N1131" s="60" t="str">
        <f t="shared" si="8"/>
        <v/>
      </c>
      <c r="O1131" s="61" t="str">
        <f t="shared" si="9"/>
        <v/>
      </c>
      <c r="P1131" s="56" t="str">
        <f t="shared" si="10"/>
        <v/>
      </c>
      <c r="Q1131" s="105"/>
      <c r="R1131" s="10"/>
      <c r="S1131" s="59" t="str">
        <f t="array" ref="S1131">IF(COUNTA(Q1131:Q1644)=0,"",SUM((COUNTIF(Q$4:Q1131,Upgrades!$B$3:$B$13)-COUNTIF(Q$4:Q1131,"Sell_"&amp;Upgrades!$B$3:$B$13))*Upgrades!$D$3:$D$13))</f>
        <v/>
      </c>
      <c r="T1131" s="66" t="str">
        <f>IFERROR(__xludf.DUMMYFUNCTION("IF(COUNTA(Q1131:Q1644)=0,"""",IF(REGEXMATCH(INDEX(FILTER(Q$4:Q1131,Q$4:Q1131&lt;&gt;""""),ROWS(FILTER(Q$4:Q1131,Q$4:Q1131&lt;&gt;""""))),""^Sell_""),INDEX(FILTER(T$4:T1130,Q$4:Q1130&lt;&gt;""""),ROWS(FILTER(Q$4:Q1130,Q$4:Q1130&lt;&gt;""""))),$AD$5+S1131))"),"")</f>
        <v/>
      </c>
      <c r="U1131" s="10" t="str">
        <f>IFERROR(__xludf.DUMMYFUNCTION("IF(COUNTA(Q1131:Q1644)=0,"""",IF(Q1131="""",0,IF(REGEXMATCH(Q1131,""^Sell_""),-ROUNDDOWN(ROUNDUP(INDEX(Upgrades!$C$3:$C$13,MATCH(SUBSTITUTE(Q1131,""Sell_"",""""),Upgrades!$B$3:$B$13,0))*1.15^(COUNTIF(Q$4:Q1130,SUBSTITUTE(Q1131,""Sell_"",""""))-COUNTIF(Q$4"&amp;":Q1130,""Sell_""&amp;SUBSTITUTE(Q1131,""Sell_"",""""))))/2),ROUNDUP(INDEX(Upgrades!$C$3:$C$13,MATCH(Q1131,Upgrades!$B$3:$B$13,0))*1.15^(COUNTIF(Q$4:Q1130,Q1131)-COUNTIF(Q$4:Q1130,""Sell_""&amp;Q1131))))))"),"")</f>
        <v/>
      </c>
      <c r="V1131" s="10" t="str">
        <f t="shared" si="11"/>
        <v/>
      </c>
      <c r="W1131" s="68" t="str">
        <f t="shared" si="12"/>
        <v/>
      </c>
      <c r="X1131" s="59" t="str">
        <f t="shared" si="13"/>
        <v/>
      </c>
      <c r="Y1131" s="69" t="str">
        <f t="shared" si="14"/>
        <v/>
      </c>
      <c r="Z1131" s="11"/>
      <c r="AG1131" s="59"/>
    </row>
    <row r="1132">
      <c r="A1132" s="8"/>
      <c r="B1132" s="56" t="str">
        <f t="shared" si="2"/>
        <v/>
      </c>
      <c r="C1132" s="105"/>
      <c r="D1132" s="10"/>
      <c r="E1132" s="59" t="str">
        <f t="array" ref="E1132">IF(COUNTA(C1132:C1644)=0,"",SUM((COUNTIF(C$4:C1132,Upgrades!$B$3:$B$13)-COUNTIF(C$4:C1132,"Sell_"&amp;Upgrades!$B$3:$B$13))*Upgrades!$D$3:$D$13))</f>
        <v/>
      </c>
      <c r="F1132" s="66" t="str">
        <f>IFERROR(__xludf.DUMMYFUNCTION("IF(COUNTA(C1132:C1644)=0,"""",IF(REGEXMATCH(INDEX(FILTER(C$4:C1132,C$4:C1132&lt;&gt;""""),ROWS(FILTER(C$4:C1132,C$4:C1132&lt;&gt;""""))),""^Sell_""),INDEX(FILTER(F$4:F1131,C$4:C1131&lt;&gt;""""),ROWS(FILTER(C$4:C1131,C$4:C1131&lt;&gt;""""))),$AC$5+E1132))"),"")</f>
        <v/>
      </c>
      <c r="G1132" s="10" t="str">
        <f>IFERROR(__xludf.DUMMYFUNCTION("IF(COUNTA(C1132:C1644)=0,"""",IF(C1132="""",0,IF(REGEXMATCH(C1132,""^Sell_""),-ROUNDDOWN(ROUNDUP(INDEX(Upgrades!$C$3:$C$13,MATCH(SUBSTITUTE(C1132,""Sell_"",""""),Upgrades!$B$3:$B$13,0))*1.15^(COUNTIF(C$4:C1131,SUBSTITUTE(C1132,""Sell_"",""""))-COUNTIF(C$4"&amp;":C1131,""Sell_""&amp;SUBSTITUTE(C1132,""Sell_"",""""))))/2),ROUNDUP(INDEX(Upgrades!$C$3:$C$13,MATCH(C1132,Upgrades!$B$3:$B$13,0))*1.15^(COUNTIF(C$4:C1131,C1132)-COUNTIF(C$4:C1131,""Sell_""&amp;C1132))))))"),"")</f>
        <v/>
      </c>
      <c r="H1132" s="10" t="str">
        <f t="shared" si="3"/>
        <v/>
      </c>
      <c r="I1132" s="68" t="str">
        <f t="shared" si="4"/>
        <v/>
      </c>
      <c r="J1132" s="59" t="str">
        <f t="shared" si="5"/>
        <v/>
      </c>
      <c r="K1132" s="69" t="str">
        <f t="shared" si="6"/>
        <v/>
      </c>
      <c r="L1132" s="60" t="str">
        <f t="shared" si="7"/>
        <v/>
      </c>
      <c r="M1132" s="61" t="str">
        <f>IFERROR(__xludf.DUMMYFUNCTION("IFS(AND(COUNTA(C1132:C1644)=0,COUNTA(Q1132:Q1644)=0),"""",OR(AND(K1132&gt;=1000000000,OR(Y1132&gt;=1000000000,COUNTA(Q1132:Q1644)=0)),OR(Y1132&gt;=1000000000,AND(COUNTA(C1132:C1644)=0,P$3=TRUE))),
ROUNDDOWN((AB$1-AC$1)*MAX(INDEX(T$4:T1644,MATCH(LARGE(FILTER(Y$4:Y1"&amp;"644,Y$4:Y1644&lt;1000000000),1),Y$4:Y1644)),INDEX(F$4:F1644,MATCH(LARGE(FILTER(K$4:K1644,K$4:K1644&lt;1000000000),1),K$4:K1644)))),AND(K1132&lt;1000000000,COUNTA(C1132:C1644)&gt;0,P$3=FALSE),
ROUNDDOWN(INDEX(Y$4:Y1644,MATCH(LARGE(FILTER(W$4:W1644,W$4:W1644&lt;=I1132),1)"&amp;",W$4:W1644))+(I1132-LARGE(FILTER(W$4:W1644,W$4:W1644&lt;=I1132),1))*INDEX(T$4:T1644,MATCH(LARGE(FILTER(W$4:W1644,W$4:W1644&lt;=I1132),1),W$4:W1644))-K1132),1,
ROUNDDOWN(Y1132-INDEX(K$4:K1644,MATCH(LARGE(FILTER(I$4:I1644,I$4:I1644&lt;=W1132),1),I$4:I1644))-(W1132-L"&amp;"ARGE(FILTER(I$4:I1644,I$4:I1644&lt;=W1132),1))*INDEX(F$4:F1644,MATCH(LARGE(FILTER(I$4:I1644,I$4:I1644&lt;=W1132),1),I$4:I1644))))"),"")</f>
        <v/>
      </c>
      <c r="N1132" s="60" t="str">
        <f t="shared" si="8"/>
        <v/>
      </c>
      <c r="O1132" s="61" t="str">
        <f t="shared" si="9"/>
        <v/>
      </c>
      <c r="P1132" s="56" t="str">
        <f t="shared" si="10"/>
        <v/>
      </c>
      <c r="Q1132" s="105"/>
      <c r="R1132" s="10"/>
      <c r="S1132" s="59" t="str">
        <f t="array" ref="S1132">IF(COUNTA(Q1132:Q1644)=0,"",SUM((COUNTIF(Q$4:Q1132,Upgrades!$B$3:$B$13)-COUNTIF(Q$4:Q1132,"Sell_"&amp;Upgrades!$B$3:$B$13))*Upgrades!$D$3:$D$13))</f>
        <v/>
      </c>
      <c r="T1132" s="66" t="str">
        <f>IFERROR(__xludf.DUMMYFUNCTION("IF(COUNTA(Q1132:Q1644)=0,"""",IF(REGEXMATCH(INDEX(FILTER(Q$4:Q1132,Q$4:Q1132&lt;&gt;""""),ROWS(FILTER(Q$4:Q1132,Q$4:Q1132&lt;&gt;""""))),""^Sell_""),INDEX(FILTER(T$4:T1131,Q$4:Q1131&lt;&gt;""""),ROWS(FILTER(Q$4:Q1131,Q$4:Q1131&lt;&gt;""""))),$AD$5+S1132))"),"")</f>
        <v/>
      </c>
      <c r="U1132" s="10" t="str">
        <f>IFERROR(__xludf.DUMMYFUNCTION("IF(COUNTA(Q1132:Q1644)=0,"""",IF(Q1132="""",0,IF(REGEXMATCH(Q1132,""^Sell_""),-ROUNDDOWN(ROUNDUP(INDEX(Upgrades!$C$3:$C$13,MATCH(SUBSTITUTE(Q1132,""Sell_"",""""),Upgrades!$B$3:$B$13,0))*1.15^(COUNTIF(Q$4:Q1131,SUBSTITUTE(Q1132,""Sell_"",""""))-COUNTIF(Q$4"&amp;":Q1131,""Sell_""&amp;SUBSTITUTE(Q1132,""Sell_"",""""))))/2),ROUNDUP(INDEX(Upgrades!$C$3:$C$13,MATCH(Q1132,Upgrades!$B$3:$B$13,0))*1.15^(COUNTIF(Q$4:Q1131,Q1132)-COUNTIF(Q$4:Q1131,""Sell_""&amp;Q1132))))))"),"")</f>
        <v/>
      </c>
      <c r="V1132" s="10" t="str">
        <f t="shared" si="11"/>
        <v/>
      </c>
      <c r="W1132" s="68" t="str">
        <f t="shared" si="12"/>
        <v/>
      </c>
      <c r="X1132" s="59" t="str">
        <f t="shared" si="13"/>
        <v/>
      </c>
      <c r="Y1132" s="69" t="str">
        <f t="shared" si="14"/>
        <v/>
      </c>
      <c r="Z1132" s="11"/>
      <c r="AG1132" s="59"/>
    </row>
    <row r="1133">
      <c r="A1133" s="8"/>
      <c r="B1133" s="56" t="str">
        <f t="shared" si="2"/>
        <v/>
      </c>
      <c r="C1133" s="105"/>
      <c r="D1133" s="10"/>
      <c r="E1133" s="59" t="str">
        <f t="array" ref="E1133">IF(COUNTA(C1133:C1644)=0,"",SUM((COUNTIF(C$4:C1133,Upgrades!$B$3:$B$13)-COUNTIF(C$4:C1133,"Sell_"&amp;Upgrades!$B$3:$B$13))*Upgrades!$D$3:$D$13))</f>
        <v/>
      </c>
      <c r="F1133" s="66" t="str">
        <f>IFERROR(__xludf.DUMMYFUNCTION("IF(COUNTA(C1133:C1644)=0,"""",IF(REGEXMATCH(INDEX(FILTER(C$4:C1133,C$4:C1133&lt;&gt;""""),ROWS(FILTER(C$4:C1133,C$4:C1133&lt;&gt;""""))),""^Sell_""),INDEX(FILTER(F$4:F1132,C$4:C1132&lt;&gt;""""),ROWS(FILTER(C$4:C1132,C$4:C1132&lt;&gt;""""))),$AC$5+E1133))"),"")</f>
        <v/>
      </c>
      <c r="G1133" s="10" t="str">
        <f>IFERROR(__xludf.DUMMYFUNCTION("IF(COUNTA(C1133:C1644)=0,"""",IF(C1133="""",0,IF(REGEXMATCH(C1133,""^Sell_""),-ROUNDDOWN(ROUNDUP(INDEX(Upgrades!$C$3:$C$13,MATCH(SUBSTITUTE(C1133,""Sell_"",""""),Upgrades!$B$3:$B$13,0))*1.15^(COUNTIF(C$4:C1132,SUBSTITUTE(C1133,""Sell_"",""""))-COUNTIF(C$4"&amp;":C1132,""Sell_""&amp;SUBSTITUTE(C1133,""Sell_"",""""))))/2),ROUNDUP(INDEX(Upgrades!$C$3:$C$13,MATCH(C1133,Upgrades!$B$3:$B$13,0))*1.15^(COUNTIF(C$4:C1132,C1133)-COUNTIF(C$4:C1132,""Sell_""&amp;C1133))))))"),"")</f>
        <v/>
      </c>
      <c r="H1133" s="10" t="str">
        <f t="shared" si="3"/>
        <v/>
      </c>
      <c r="I1133" s="68" t="str">
        <f t="shared" si="4"/>
        <v/>
      </c>
      <c r="J1133" s="59" t="str">
        <f t="shared" si="5"/>
        <v/>
      </c>
      <c r="K1133" s="69" t="str">
        <f t="shared" si="6"/>
        <v/>
      </c>
      <c r="L1133" s="60" t="str">
        <f t="shared" si="7"/>
        <v/>
      </c>
      <c r="M1133" s="61" t="str">
        <f>IFERROR(__xludf.DUMMYFUNCTION("IFS(AND(COUNTA(C1133:C1644)=0,COUNTA(Q1133:Q1644)=0),"""",OR(AND(K1133&gt;=1000000000,OR(Y1133&gt;=1000000000,COUNTA(Q1133:Q1644)=0)),OR(Y1133&gt;=1000000000,AND(COUNTA(C1133:C1644)=0,P$3=TRUE))),
ROUNDDOWN((AB$1-AC$1)*MAX(INDEX(T$4:T1644,MATCH(LARGE(FILTER(Y$4:Y1"&amp;"644,Y$4:Y1644&lt;1000000000),1),Y$4:Y1644)),INDEX(F$4:F1644,MATCH(LARGE(FILTER(K$4:K1644,K$4:K1644&lt;1000000000),1),K$4:K1644)))),AND(K1133&lt;1000000000,COUNTA(C1133:C1644)&gt;0,P$3=FALSE),
ROUNDDOWN(INDEX(Y$4:Y1644,MATCH(LARGE(FILTER(W$4:W1644,W$4:W1644&lt;=I1133),1)"&amp;",W$4:W1644))+(I1133-LARGE(FILTER(W$4:W1644,W$4:W1644&lt;=I1133),1))*INDEX(T$4:T1644,MATCH(LARGE(FILTER(W$4:W1644,W$4:W1644&lt;=I1133),1),W$4:W1644))-K1133),1,
ROUNDDOWN(Y1133-INDEX(K$4:K1644,MATCH(LARGE(FILTER(I$4:I1644,I$4:I1644&lt;=W1133),1),I$4:I1644))-(W1133-L"&amp;"ARGE(FILTER(I$4:I1644,I$4:I1644&lt;=W1133),1))*INDEX(F$4:F1644,MATCH(LARGE(FILTER(I$4:I1644,I$4:I1644&lt;=W1133),1),I$4:I1644))))"),"")</f>
        <v/>
      </c>
      <c r="N1133" s="60" t="str">
        <f t="shared" si="8"/>
        <v/>
      </c>
      <c r="O1133" s="61" t="str">
        <f t="shared" si="9"/>
        <v/>
      </c>
      <c r="P1133" s="56" t="str">
        <f t="shared" si="10"/>
        <v/>
      </c>
      <c r="Q1133" s="105"/>
      <c r="R1133" s="10"/>
      <c r="S1133" s="59" t="str">
        <f t="array" ref="S1133">IF(COUNTA(Q1133:Q1644)=0,"",SUM((COUNTIF(Q$4:Q1133,Upgrades!$B$3:$B$13)-COUNTIF(Q$4:Q1133,"Sell_"&amp;Upgrades!$B$3:$B$13))*Upgrades!$D$3:$D$13))</f>
        <v/>
      </c>
      <c r="T1133" s="66" t="str">
        <f>IFERROR(__xludf.DUMMYFUNCTION("IF(COUNTA(Q1133:Q1644)=0,"""",IF(REGEXMATCH(INDEX(FILTER(Q$4:Q1133,Q$4:Q1133&lt;&gt;""""),ROWS(FILTER(Q$4:Q1133,Q$4:Q1133&lt;&gt;""""))),""^Sell_""),INDEX(FILTER(T$4:T1132,Q$4:Q1132&lt;&gt;""""),ROWS(FILTER(Q$4:Q1132,Q$4:Q1132&lt;&gt;""""))),$AD$5+S1133))"),"")</f>
        <v/>
      </c>
      <c r="U1133" s="10" t="str">
        <f>IFERROR(__xludf.DUMMYFUNCTION("IF(COUNTA(Q1133:Q1644)=0,"""",IF(Q1133="""",0,IF(REGEXMATCH(Q1133,""^Sell_""),-ROUNDDOWN(ROUNDUP(INDEX(Upgrades!$C$3:$C$13,MATCH(SUBSTITUTE(Q1133,""Sell_"",""""),Upgrades!$B$3:$B$13,0))*1.15^(COUNTIF(Q$4:Q1132,SUBSTITUTE(Q1133,""Sell_"",""""))-COUNTIF(Q$4"&amp;":Q1132,""Sell_""&amp;SUBSTITUTE(Q1133,""Sell_"",""""))))/2),ROUNDUP(INDEX(Upgrades!$C$3:$C$13,MATCH(Q1133,Upgrades!$B$3:$B$13,0))*1.15^(COUNTIF(Q$4:Q1132,Q1133)-COUNTIF(Q$4:Q1132,""Sell_""&amp;Q1133))))))"),"")</f>
        <v/>
      </c>
      <c r="V1133" s="10" t="str">
        <f t="shared" si="11"/>
        <v/>
      </c>
      <c r="W1133" s="68" t="str">
        <f t="shared" si="12"/>
        <v/>
      </c>
      <c r="X1133" s="59" t="str">
        <f t="shared" si="13"/>
        <v/>
      </c>
      <c r="Y1133" s="69" t="str">
        <f t="shared" si="14"/>
        <v/>
      </c>
      <c r="Z1133" s="11"/>
      <c r="AG1133" s="59"/>
    </row>
    <row r="1134">
      <c r="A1134" s="8"/>
      <c r="B1134" s="56" t="str">
        <f t="shared" si="2"/>
        <v/>
      </c>
      <c r="C1134" s="105"/>
      <c r="D1134" s="10"/>
      <c r="E1134" s="59" t="str">
        <f t="array" ref="E1134">IF(COUNTA(C1134:C1644)=0,"",SUM((COUNTIF(C$4:C1134,Upgrades!$B$3:$B$13)-COUNTIF(C$4:C1134,"Sell_"&amp;Upgrades!$B$3:$B$13))*Upgrades!$D$3:$D$13))</f>
        <v/>
      </c>
      <c r="F1134" s="66" t="str">
        <f>IFERROR(__xludf.DUMMYFUNCTION("IF(COUNTA(C1134:C1644)=0,"""",IF(REGEXMATCH(INDEX(FILTER(C$4:C1134,C$4:C1134&lt;&gt;""""),ROWS(FILTER(C$4:C1134,C$4:C1134&lt;&gt;""""))),""^Sell_""),INDEX(FILTER(F$4:F1133,C$4:C1133&lt;&gt;""""),ROWS(FILTER(C$4:C1133,C$4:C1133&lt;&gt;""""))),$AC$5+E1134))"),"")</f>
        <v/>
      </c>
      <c r="G1134" s="10" t="str">
        <f>IFERROR(__xludf.DUMMYFUNCTION("IF(COUNTA(C1134:C1644)=0,"""",IF(C1134="""",0,IF(REGEXMATCH(C1134,""^Sell_""),-ROUNDDOWN(ROUNDUP(INDEX(Upgrades!$C$3:$C$13,MATCH(SUBSTITUTE(C1134,""Sell_"",""""),Upgrades!$B$3:$B$13,0))*1.15^(COUNTIF(C$4:C1133,SUBSTITUTE(C1134,""Sell_"",""""))-COUNTIF(C$4"&amp;":C1133,""Sell_""&amp;SUBSTITUTE(C1134,""Sell_"",""""))))/2),ROUNDUP(INDEX(Upgrades!$C$3:$C$13,MATCH(C1134,Upgrades!$B$3:$B$13,0))*1.15^(COUNTIF(C$4:C1133,C1134)-COUNTIF(C$4:C1133,""Sell_""&amp;C1134))))))"),"")</f>
        <v/>
      </c>
      <c r="H1134" s="10" t="str">
        <f t="shared" si="3"/>
        <v/>
      </c>
      <c r="I1134" s="68" t="str">
        <f t="shared" si="4"/>
        <v/>
      </c>
      <c r="J1134" s="59" t="str">
        <f t="shared" si="5"/>
        <v/>
      </c>
      <c r="K1134" s="69" t="str">
        <f t="shared" si="6"/>
        <v/>
      </c>
      <c r="L1134" s="60" t="str">
        <f t="shared" si="7"/>
        <v/>
      </c>
      <c r="M1134" s="61" t="str">
        <f>IFERROR(__xludf.DUMMYFUNCTION("IFS(AND(COUNTA(C1134:C1644)=0,COUNTA(Q1134:Q1644)=0),"""",OR(AND(K1134&gt;=1000000000,OR(Y1134&gt;=1000000000,COUNTA(Q1134:Q1644)=0)),OR(Y1134&gt;=1000000000,AND(COUNTA(C1134:C1644)=0,P$3=TRUE))),
ROUNDDOWN((AB$1-AC$1)*MAX(INDEX(T$4:T1644,MATCH(LARGE(FILTER(Y$4:Y1"&amp;"644,Y$4:Y1644&lt;1000000000),1),Y$4:Y1644)),INDEX(F$4:F1644,MATCH(LARGE(FILTER(K$4:K1644,K$4:K1644&lt;1000000000),1),K$4:K1644)))),AND(K1134&lt;1000000000,COUNTA(C1134:C1644)&gt;0,P$3=FALSE),
ROUNDDOWN(INDEX(Y$4:Y1644,MATCH(LARGE(FILTER(W$4:W1644,W$4:W1644&lt;=I1134),1)"&amp;",W$4:W1644))+(I1134-LARGE(FILTER(W$4:W1644,W$4:W1644&lt;=I1134),1))*INDEX(T$4:T1644,MATCH(LARGE(FILTER(W$4:W1644,W$4:W1644&lt;=I1134),1),W$4:W1644))-K1134),1,
ROUNDDOWN(Y1134-INDEX(K$4:K1644,MATCH(LARGE(FILTER(I$4:I1644,I$4:I1644&lt;=W1134),1),I$4:I1644))-(W1134-L"&amp;"ARGE(FILTER(I$4:I1644,I$4:I1644&lt;=W1134),1))*INDEX(F$4:F1644,MATCH(LARGE(FILTER(I$4:I1644,I$4:I1644&lt;=W1134),1),I$4:I1644))))"),"")</f>
        <v/>
      </c>
      <c r="N1134" s="60" t="str">
        <f t="shared" si="8"/>
        <v/>
      </c>
      <c r="O1134" s="61" t="str">
        <f t="shared" si="9"/>
        <v/>
      </c>
      <c r="P1134" s="56" t="str">
        <f t="shared" si="10"/>
        <v/>
      </c>
      <c r="Q1134" s="105"/>
      <c r="R1134" s="10"/>
      <c r="S1134" s="59" t="str">
        <f t="array" ref="S1134">IF(COUNTA(Q1134:Q1644)=0,"",SUM((COUNTIF(Q$4:Q1134,Upgrades!$B$3:$B$13)-COUNTIF(Q$4:Q1134,"Sell_"&amp;Upgrades!$B$3:$B$13))*Upgrades!$D$3:$D$13))</f>
        <v/>
      </c>
      <c r="T1134" s="66" t="str">
        <f>IFERROR(__xludf.DUMMYFUNCTION("IF(COUNTA(Q1134:Q1644)=0,"""",IF(REGEXMATCH(INDEX(FILTER(Q$4:Q1134,Q$4:Q1134&lt;&gt;""""),ROWS(FILTER(Q$4:Q1134,Q$4:Q1134&lt;&gt;""""))),""^Sell_""),INDEX(FILTER(T$4:T1133,Q$4:Q1133&lt;&gt;""""),ROWS(FILTER(Q$4:Q1133,Q$4:Q1133&lt;&gt;""""))),$AD$5+S1134))"),"")</f>
        <v/>
      </c>
      <c r="U1134" s="10" t="str">
        <f>IFERROR(__xludf.DUMMYFUNCTION("IF(COUNTA(Q1134:Q1644)=0,"""",IF(Q1134="""",0,IF(REGEXMATCH(Q1134,""^Sell_""),-ROUNDDOWN(ROUNDUP(INDEX(Upgrades!$C$3:$C$13,MATCH(SUBSTITUTE(Q1134,""Sell_"",""""),Upgrades!$B$3:$B$13,0))*1.15^(COUNTIF(Q$4:Q1133,SUBSTITUTE(Q1134,""Sell_"",""""))-COUNTIF(Q$4"&amp;":Q1133,""Sell_""&amp;SUBSTITUTE(Q1134,""Sell_"",""""))))/2),ROUNDUP(INDEX(Upgrades!$C$3:$C$13,MATCH(Q1134,Upgrades!$B$3:$B$13,0))*1.15^(COUNTIF(Q$4:Q1133,Q1134)-COUNTIF(Q$4:Q1133,""Sell_""&amp;Q1134))))))"),"")</f>
        <v/>
      </c>
      <c r="V1134" s="10" t="str">
        <f t="shared" si="11"/>
        <v/>
      </c>
      <c r="W1134" s="68" t="str">
        <f t="shared" si="12"/>
        <v/>
      </c>
      <c r="X1134" s="59" t="str">
        <f t="shared" si="13"/>
        <v/>
      </c>
      <c r="Y1134" s="69" t="str">
        <f t="shared" si="14"/>
        <v/>
      </c>
      <c r="Z1134" s="11"/>
      <c r="AG1134" s="59"/>
    </row>
    <row r="1135">
      <c r="A1135" s="8"/>
      <c r="B1135" s="56" t="str">
        <f t="shared" si="2"/>
        <v/>
      </c>
      <c r="C1135" s="105"/>
      <c r="D1135" s="10"/>
      <c r="E1135" s="59" t="str">
        <f t="array" ref="E1135">IF(COUNTA(C1135:C1644)=0,"",SUM((COUNTIF(C$4:C1135,Upgrades!$B$3:$B$13)-COUNTIF(C$4:C1135,"Sell_"&amp;Upgrades!$B$3:$B$13))*Upgrades!$D$3:$D$13))</f>
        <v/>
      </c>
      <c r="F1135" s="66" t="str">
        <f>IFERROR(__xludf.DUMMYFUNCTION("IF(COUNTA(C1135:C1644)=0,"""",IF(REGEXMATCH(INDEX(FILTER(C$4:C1135,C$4:C1135&lt;&gt;""""),ROWS(FILTER(C$4:C1135,C$4:C1135&lt;&gt;""""))),""^Sell_""),INDEX(FILTER(F$4:F1134,C$4:C1134&lt;&gt;""""),ROWS(FILTER(C$4:C1134,C$4:C1134&lt;&gt;""""))),$AC$5+E1135))"),"")</f>
        <v/>
      </c>
      <c r="G1135" s="10" t="str">
        <f>IFERROR(__xludf.DUMMYFUNCTION("IF(COUNTA(C1135:C1644)=0,"""",IF(C1135="""",0,IF(REGEXMATCH(C1135,""^Sell_""),-ROUNDDOWN(ROUNDUP(INDEX(Upgrades!$C$3:$C$13,MATCH(SUBSTITUTE(C1135,""Sell_"",""""),Upgrades!$B$3:$B$13,0))*1.15^(COUNTIF(C$4:C1134,SUBSTITUTE(C1135,""Sell_"",""""))-COUNTIF(C$4"&amp;":C1134,""Sell_""&amp;SUBSTITUTE(C1135,""Sell_"",""""))))/2),ROUNDUP(INDEX(Upgrades!$C$3:$C$13,MATCH(C1135,Upgrades!$B$3:$B$13,0))*1.15^(COUNTIF(C$4:C1134,C1135)-COUNTIF(C$4:C1134,""Sell_""&amp;C1135))))))"),"")</f>
        <v/>
      </c>
      <c r="H1135" s="10" t="str">
        <f t="shared" si="3"/>
        <v/>
      </c>
      <c r="I1135" s="68" t="str">
        <f t="shared" si="4"/>
        <v/>
      </c>
      <c r="J1135" s="59" t="str">
        <f t="shared" si="5"/>
        <v/>
      </c>
      <c r="K1135" s="69" t="str">
        <f t="shared" si="6"/>
        <v/>
      </c>
      <c r="L1135" s="60" t="str">
        <f t="shared" si="7"/>
        <v/>
      </c>
      <c r="M1135" s="61" t="str">
        <f>IFERROR(__xludf.DUMMYFUNCTION("IFS(AND(COUNTA(C1135:C1644)=0,COUNTA(Q1135:Q1644)=0),"""",OR(AND(K1135&gt;=1000000000,OR(Y1135&gt;=1000000000,COUNTA(Q1135:Q1644)=0)),OR(Y1135&gt;=1000000000,AND(COUNTA(C1135:C1644)=0,P$3=TRUE))),
ROUNDDOWN((AB$1-AC$1)*MAX(INDEX(T$4:T1644,MATCH(LARGE(FILTER(Y$4:Y1"&amp;"644,Y$4:Y1644&lt;1000000000),1),Y$4:Y1644)),INDEX(F$4:F1644,MATCH(LARGE(FILTER(K$4:K1644,K$4:K1644&lt;1000000000),1),K$4:K1644)))),AND(K1135&lt;1000000000,COUNTA(C1135:C1644)&gt;0,P$3=FALSE),
ROUNDDOWN(INDEX(Y$4:Y1644,MATCH(LARGE(FILTER(W$4:W1644,W$4:W1644&lt;=I1135),1)"&amp;",W$4:W1644))+(I1135-LARGE(FILTER(W$4:W1644,W$4:W1644&lt;=I1135),1))*INDEX(T$4:T1644,MATCH(LARGE(FILTER(W$4:W1644,W$4:W1644&lt;=I1135),1),W$4:W1644))-K1135),1,
ROUNDDOWN(Y1135-INDEX(K$4:K1644,MATCH(LARGE(FILTER(I$4:I1644,I$4:I1644&lt;=W1135),1),I$4:I1644))-(W1135-L"&amp;"ARGE(FILTER(I$4:I1644,I$4:I1644&lt;=W1135),1))*INDEX(F$4:F1644,MATCH(LARGE(FILTER(I$4:I1644,I$4:I1644&lt;=W1135),1),I$4:I1644))))"),"")</f>
        <v/>
      </c>
      <c r="N1135" s="60" t="str">
        <f t="shared" si="8"/>
        <v/>
      </c>
      <c r="O1135" s="61" t="str">
        <f t="shared" si="9"/>
        <v/>
      </c>
      <c r="P1135" s="56" t="str">
        <f t="shared" si="10"/>
        <v/>
      </c>
      <c r="Q1135" s="105"/>
      <c r="R1135" s="10"/>
      <c r="S1135" s="59" t="str">
        <f t="array" ref="S1135">IF(COUNTA(Q1135:Q1644)=0,"",SUM((COUNTIF(Q$4:Q1135,Upgrades!$B$3:$B$13)-COUNTIF(Q$4:Q1135,"Sell_"&amp;Upgrades!$B$3:$B$13))*Upgrades!$D$3:$D$13))</f>
        <v/>
      </c>
      <c r="T1135" s="66" t="str">
        <f>IFERROR(__xludf.DUMMYFUNCTION("IF(COUNTA(Q1135:Q1644)=0,"""",IF(REGEXMATCH(INDEX(FILTER(Q$4:Q1135,Q$4:Q1135&lt;&gt;""""),ROWS(FILTER(Q$4:Q1135,Q$4:Q1135&lt;&gt;""""))),""^Sell_""),INDEX(FILTER(T$4:T1134,Q$4:Q1134&lt;&gt;""""),ROWS(FILTER(Q$4:Q1134,Q$4:Q1134&lt;&gt;""""))),$AD$5+S1135))"),"")</f>
        <v/>
      </c>
      <c r="U1135" s="10" t="str">
        <f>IFERROR(__xludf.DUMMYFUNCTION("IF(COUNTA(Q1135:Q1644)=0,"""",IF(Q1135="""",0,IF(REGEXMATCH(Q1135,""^Sell_""),-ROUNDDOWN(ROUNDUP(INDEX(Upgrades!$C$3:$C$13,MATCH(SUBSTITUTE(Q1135,""Sell_"",""""),Upgrades!$B$3:$B$13,0))*1.15^(COUNTIF(Q$4:Q1134,SUBSTITUTE(Q1135,""Sell_"",""""))-COUNTIF(Q$4"&amp;":Q1134,""Sell_""&amp;SUBSTITUTE(Q1135,""Sell_"",""""))))/2),ROUNDUP(INDEX(Upgrades!$C$3:$C$13,MATCH(Q1135,Upgrades!$B$3:$B$13,0))*1.15^(COUNTIF(Q$4:Q1134,Q1135)-COUNTIF(Q$4:Q1134,""Sell_""&amp;Q1135))))))"),"")</f>
        <v/>
      </c>
      <c r="V1135" s="10" t="str">
        <f t="shared" si="11"/>
        <v/>
      </c>
      <c r="W1135" s="68" t="str">
        <f t="shared" si="12"/>
        <v/>
      </c>
      <c r="X1135" s="59" t="str">
        <f t="shared" si="13"/>
        <v/>
      </c>
      <c r="Y1135" s="69" t="str">
        <f t="shared" si="14"/>
        <v/>
      </c>
      <c r="Z1135" s="11"/>
      <c r="AG1135" s="59"/>
    </row>
    <row r="1136">
      <c r="A1136" s="8"/>
      <c r="B1136" s="56" t="str">
        <f t="shared" si="2"/>
        <v/>
      </c>
      <c r="C1136" s="105"/>
      <c r="D1136" s="10"/>
      <c r="E1136" s="59" t="str">
        <f t="array" ref="E1136">IF(COUNTA(C1136:C1644)=0,"",SUM((COUNTIF(C$4:C1136,Upgrades!$B$3:$B$13)-COUNTIF(C$4:C1136,"Sell_"&amp;Upgrades!$B$3:$B$13))*Upgrades!$D$3:$D$13))</f>
        <v/>
      </c>
      <c r="F1136" s="66" t="str">
        <f>IFERROR(__xludf.DUMMYFUNCTION("IF(COUNTA(C1136:C1644)=0,"""",IF(REGEXMATCH(INDEX(FILTER(C$4:C1136,C$4:C1136&lt;&gt;""""),ROWS(FILTER(C$4:C1136,C$4:C1136&lt;&gt;""""))),""^Sell_""),INDEX(FILTER(F$4:F1135,C$4:C1135&lt;&gt;""""),ROWS(FILTER(C$4:C1135,C$4:C1135&lt;&gt;""""))),$AC$5+E1136))"),"")</f>
        <v/>
      </c>
      <c r="G1136" s="10" t="str">
        <f>IFERROR(__xludf.DUMMYFUNCTION("IF(COUNTA(C1136:C1644)=0,"""",IF(C1136="""",0,IF(REGEXMATCH(C1136,""^Sell_""),-ROUNDDOWN(ROUNDUP(INDEX(Upgrades!$C$3:$C$13,MATCH(SUBSTITUTE(C1136,""Sell_"",""""),Upgrades!$B$3:$B$13,0))*1.15^(COUNTIF(C$4:C1135,SUBSTITUTE(C1136,""Sell_"",""""))-COUNTIF(C$4"&amp;":C1135,""Sell_""&amp;SUBSTITUTE(C1136,""Sell_"",""""))))/2),ROUNDUP(INDEX(Upgrades!$C$3:$C$13,MATCH(C1136,Upgrades!$B$3:$B$13,0))*1.15^(COUNTIF(C$4:C1135,C1136)-COUNTIF(C$4:C1135,""Sell_""&amp;C1136))))))"),"")</f>
        <v/>
      </c>
      <c r="H1136" s="10" t="str">
        <f t="shared" si="3"/>
        <v/>
      </c>
      <c r="I1136" s="68" t="str">
        <f t="shared" si="4"/>
        <v/>
      </c>
      <c r="J1136" s="59" t="str">
        <f t="shared" si="5"/>
        <v/>
      </c>
      <c r="K1136" s="69" t="str">
        <f t="shared" si="6"/>
        <v/>
      </c>
      <c r="L1136" s="60" t="str">
        <f t="shared" si="7"/>
        <v/>
      </c>
      <c r="M1136" s="61" t="str">
        <f>IFERROR(__xludf.DUMMYFUNCTION("IFS(AND(COUNTA(C1136:C1644)=0,COUNTA(Q1136:Q1644)=0),"""",OR(AND(K1136&gt;=1000000000,OR(Y1136&gt;=1000000000,COUNTA(Q1136:Q1644)=0)),OR(Y1136&gt;=1000000000,AND(COUNTA(C1136:C1644)=0,P$3=TRUE))),
ROUNDDOWN((AB$1-AC$1)*MAX(INDEX(T$4:T1644,MATCH(LARGE(FILTER(Y$4:Y1"&amp;"644,Y$4:Y1644&lt;1000000000),1),Y$4:Y1644)),INDEX(F$4:F1644,MATCH(LARGE(FILTER(K$4:K1644,K$4:K1644&lt;1000000000),1),K$4:K1644)))),AND(K1136&lt;1000000000,COUNTA(C1136:C1644)&gt;0,P$3=FALSE),
ROUNDDOWN(INDEX(Y$4:Y1644,MATCH(LARGE(FILTER(W$4:W1644,W$4:W1644&lt;=I1136),1)"&amp;",W$4:W1644))+(I1136-LARGE(FILTER(W$4:W1644,W$4:W1644&lt;=I1136),1))*INDEX(T$4:T1644,MATCH(LARGE(FILTER(W$4:W1644,W$4:W1644&lt;=I1136),1),W$4:W1644))-K1136),1,
ROUNDDOWN(Y1136-INDEX(K$4:K1644,MATCH(LARGE(FILTER(I$4:I1644,I$4:I1644&lt;=W1136),1),I$4:I1644))-(W1136-L"&amp;"ARGE(FILTER(I$4:I1644,I$4:I1644&lt;=W1136),1))*INDEX(F$4:F1644,MATCH(LARGE(FILTER(I$4:I1644,I$4:I1644&lt;=W1136),1),I$4:I1644))))"),"")</f>
        <v/>
      </c>
      <c r="N1136" s="60" t="str">
        <f t="shared" si="8"/>
        <v/>
      </c>
      <c r="O1136" s="61" t="str">
        <f t="shared" si="9"/>
        <v/>
      </c>
      <c r="P1136" s="56" t="str">
        <f t="shared" si="10"/>
        <v/>
      </c>
      <c r="Q1136" s="105"/>
      <c r="R1136" s="10"/>
      <c r="S1136" s="59" t="str">
        <f t="array" ref="S1136">IF(COUNTA(Q1136:Q1644)=0,"",SUM((COUNTIF(Q$4:Q1136,Upgrades!$B$3:$B$13)-COUNTIF(Q$4:Q1136,"Sell_"&amp;Upgrades!$B$3:$B$13))*Upgrades!$D$3:$D$13))</f>
        <v/>
      </c>
      <c r="T1136" s="66" t="str">
        <f>IFERROR(__xludf.DUMMYFUNCTION("IF(COUNTA(Q1136:Q1644)=0,"""",IF(REGEXMATCH(INDEX(FILTER(Q$4:Q1136,Q$4:Q1136&lt;&gt;""""),ROWS(FILTER(Q$4:Q1136,Q$4:Q1136&lt;&gt;""""))),""^Sell_""),INDEX(FILTER(T$4:T1135,Q$4:Q1135&lt;&gt;""""),ROWS(FILTER(Q$4:Q1135,Q$4:Q1135&lt;&gt;""""))),$AD$5+S1136))"),"")</f>
        <v/>
      </c>
      <c r="U1136" s="10" t="str">
        <f>IFERROR(__xludf.DUMMYFUNCTION("IF(COUNTA(Q1136:Q1644)=0,"""",IF(Q1136="""",0,IF(REGEXMATCH(Q1136,""^Sell_""),-ROUNDDOWN(ROUNDUP(INDEX(Upgrades!$C$3:$C$13,MATCH(SUBSTITUTE(Q1136,""Sell_"",""""),Upgrades!$B$3:$B$13,0))*1.15^(COUNTIF(Q$4:Q1135,SUBSTITUTE(Q1136,""Sell_"",""""))-COUNTIF(Q$4"&amp;":Q1135,""Sell_""&amp;SUBSTITUTE(Q1136,""Sell_"",""""))))/2),ROUNDUP(INDEX(Upgrades!$C$3:$C$13,MATCH(Q1136,Upgrades!$B$3:$B$13,0))*1.15^(COUNTIF(Q$4:Q1135,Q1136)-COUNTIF(Q$4:Q1135,""Sell_""&amp;Q1136))))))"),"")</f>
        <v/>
      </c>
      <c r="V1136" s="10" t="str">
        <f t="shared" si="11"/>
        <v/>
      </c>
      <c r="W1136" s="68" t="str">
        <f t="shared" si="12"/>
        <v/>
      </c>
      <c r="X1136" s="59" t="str">
        <f t="shared" si="13"/>
        <v/>
      </c>
      <c r="Y1136" s="69" t="str">
        <f t="shared" si="14"/>
        <v/>
      </c>
      <c r="Z1136" s="11"/>
      <c r="AG1136" s="59"/>
    </row>
    <row r="1137">
      <c r="A1137" s="8"/>
      <c r="B1137" s="56" t="str">
        <f t="shared" si="2"/>
        <v/>
      </c>
      <c r="C1137" s="105"/>
      <c r="D1137" s="10"/>
      <c r="E1137" s="59" t="str">
        <f t="array" ref="E1137">IF(COUNTA(C1137:C1644)=0,"",SUM((COUNTIF(C$4:C1137,Upgrades!$B$3:$B$13)-COUNTIF(C$4:C1137,"Sell_"&amp;Upgrades!$B$3:$B$13))*Upgrades!$D$3:$D$13))</f>
        <v/>
      </c>
      <c r="F1137" s="66" t="str">
        <f>IFERROR(__xludf.DUMMYFUNCTION("IF(COUNTA(C1137:C1644)=0,"""",IF(REGEXMATCH(INDEX(FILTER(C$4:C1137,C$4:C1137&lt;&gt;""""),ROWS(FILTER(C$4:C1137,C$4:C1137&lt;&gt;""""))),""^Sell_""),INDEX(FILTER(F$4:F1136,C$4:C1136&lt;&gt;""""),ROWS(FILTER(C$4:C1136,C$4:C1136&lt;&gt;""""))),$AC$5+E1137))"),"")</f>
        <v/>
      </c>
      <c r="G1137" s="10" t="str">
        <f>IFERROR(__xludf.DUMMYFUNCTION("IF(COUNTA(C1137:C1644)=0,"""",IF(C1137="""",0,IF(REGEXMATCH(C1137,""^Sell_""),-ROUNDDOWN(ROUNDUP(INDEX(Upgrades!$C$3:$C$13,MATCH(SUBSTITUTE(C1137,""Sell_"",""""),Upgrades!$B$3:$B$13,0))*1.15^(COUNTIF(C$4:C1136,SUBSTITUTE(C1137,""Sell_"",""""))-COUNTIF(C$4"&amp;":C1136,""Sell_""&amp;SUBSTITUTE(C1137,""Sell_"",""""))))/2),ROUNDUP(INDEX(Upgrades!$C$3:$C$13,MATCH(C1137,Upgrades!$B$3:$B$13,0))*1.15^(COUNTIF(C$4:C1136,C1137)-COUNTIF(C$4:C1136,""Sell_""&amp;C1137))))))"),"")</f>
        <v/>
      </c>
      <c r="H1137" s="10" t="str">
        <f t="shared" si="3"/>
        <v/>
      </c>
      <c r="I1137" s="68" t="str">
        <f t="shared" si="4"/>
        <v/>
      </c>
      <c r="J1137" s="59" t="str">
        <f t="shared" si="5"/>
        <v/>
      </c>
      <c r="K1137" s="69" t="str">
        <f t="shared" si="6"/>
        <v/>
      </c>
      <c r="L1137" s="60" t="str">
        <f t="shared" si="7"/>
        <v/>
      </c>
      <c r="M1137" s="61" t="str">
        <f>IFERROR(__xludf.DUMMYFUNCTION("IFS(AND(COUNTA(C1137:C1644)=0,COUNTA(Q1137:Q1644)=0),"""",OR(AND(K1137&gt;=1000000000,OR(Y1137&gt;=1000000000,COUNTA(Q1137:Q1644)=0)),OR(Y1137&gt;=1000000000,AND(COUNTA(C1137:C1644)=0,P$3=TRUE))),
ROUNDDOWN((AB$1-AC$1)*MAX(INDEX(T$4:T1644,MATCH(LARGE(FILTER(Y$4:Y1"&amp;"644,Y$4:Y1644&lt;1000000000),1),Y$4:Y1644)),INDEX(F$4:F1644,MATCH(LARGE(FILTER(K$4:K1644,K$4:K1644&lt;1000000000),1),K$4:K1644)))),AND(K1137&lt;1000000000,COUNTA(C1137:C1644)&gt;0,P$3=FALSE),
ROUNDDOWN(INDEX(Y$4:Y1644,MATCH(LARGE(FILTER(W$4:W1644,W$4:W1644&lt;=I1137),1)"&amp;",W$4:W1644))+(I1137-LARGE(FILTER(W$4:W1644,W$4:W1644&lt;=I1137),1))*INDEX(T$4:T1644,MATCH(LARGE(FILTER(W$4:W1644,W$4:W1644&lt;=I1137),1),W$4:W1644))-K1137),1,
ROUNDDOWN(Y1137-INDEX(K$4:K1644,MATCH(LARGE(FILTER(I$4:I1644,I$4:I1644&lt;=W1137),1),I$4:I1644))-(W1137-L"&amp;"ARGE(FILTER(I$4:I1644,I$4:I1644&lt;=W1137),1))*INDEX(F$4:F1644,MATCH(LARGE(FILTER(I$4:I1644,I$4:I1644&lt;=W1137),1),I$4:I1644))))"),"")</f>
        <v/>
      </c>
      <c r="N1137" s="60" t="str">
        <f t="shared" si="8"/>
        <v/>
      </c>
      <c r="O1137" s="61" t="str">
        <f t="shared" si="9"/>
        <v/>
      </c>
      <c r="P1137" s="56" t="str">
        <f t="shared" si="10"/>
        <v/>
      </c>
      <c r="Q1137" s="105"/>
      <c r="R1137" s="10"/>
      <c r="S1137" s="59" t="str">
        <f t="array" ref="S1137">IF(COUNTA(Q1137:Q1644)=0,"",SUM((COUNTIF(Q$4:Q1137,Upgrades!$B$3:$B$13)-COUNTIF(Q$4:Q1137,"Sell_"&amp;Upgrades!$B$3:$B$13))*Upgrades!$D$3:$D$13))</f>
        <v/>
      </c>
      <c r="T1137" s="66" t="str">
        <f>IFERROR(__xludf.DUMMYFUNCTION("IF(COUNTA(Q1137:Q1644)=0,"""",IF(REGEXMATCH(INDEX(FILTER(Q$4:Q1137,Q$4:Q1137&lt;&gt;""""),ROWS(FILTER(Q$4:Q1137,Q$4:Q1137&lt;&gt;""""))),""^Sell_""),INDEX(FILTER(T$4:T1136,Q$4:Q1136&lt;&gt;""""),ROWS(FILTER(Q$4:Q1136,Q$4:Q1136&lt;&gt;""""))),$AD$5+S1137))"),"")</f>
        <v/>
      </c>
      <c r="U1137" s="10" t="str">
        <f>IFERROR(__xludf.DUMMYFUNCTION("IF(COUNTA(Q1137:Q1644)=0,"""",IF(Q1137="""",0,IF(REGEXMATCH(Q1137,""^Sell_""),-ROUNDDOWN(ROUNDUP(INDEX(Upgrades!$C$3:$C$13,MATCH(SUBSTITUTE(Q1137,""Sell_"",""""),Upgrades!$B$3:$B$13,0))*1.15^(COUNTIF(Q$4:Q1136,SUBSTITUTE(Q1137,""Sell_"",""""))-COUNTIF(Q$4"&amp;":Q1136,""Sell_""&amp;SUBSTITUTE(Q1137,""Sell_"",""""))))/2),ROUNDUP(INDEX(Upgrades!$C$3:$C$13,MATCH(Q1137,Upgrades!$B$3:$B$13,0))*1.15^(COUNTIF(Q$4:Q1136,Q1137)-COUNTIF(Q$4:Q1136,""Sell_""&amp;Q1137))))))"),"")</f>
        <v/>
      </c>
      <c r="V1137" s="10" t="str">
        <f t="shared" si="11"/>
        <v/>
      </c>
      <c r="W1137" s="68" t="str">
        <f t="shared" si="12"/>
        <v/>
      </c>
      <c r="X1137" s="59" t="str">
        <f t="shared" si="13"/>
        <v/>
      </c>
      <c r="Y1137" s="69" t="str">
        <f t="shared" si="14"/>
        <v/>
      </c>
      <c r="Z1137" s="11"/>
      <c r="AG1137" s="59"/>
    </row>
    <row r="1138">
      <c r="A1138" s="8"/>
      <c r="B1138" s="56" t="str">
        <f t="shared" si="2"/>
        <v/>
      </c>
      <c r="C1138" s="105"/>
      <c r="D1138" s="10"/>
      <c r="E1138" s="59" t="str">
        <f t="array" ref="E1138">IF(COUNTA(C1138:C1644)=0,"",SUM((COUNTIF(C$4:C1138,Upgrades!$B$3:$B$13)-COUNTIF(C$4:C1138,"Sell_"&amp;Upgrades!$B$3:$B$13))*Upgrades!$D$3:$D$13))</f>
        <v/>
      </c>
      <c r="F1138" s="66" t="str">
        <f>IFERROR(__xludf.DUMMYFUNCTION("IF(COUNTA(C1138:C1644)=0,"""",IF(REGEXMATCH(INDEX(FILTER(C$4:C1138,C$4:C1138&lt;&gt;""""),ROWS(FILTER(C$4:C1138,C$4:C1138&lt;&gt;""""))),""^Sell_""),INDEX(FILTER(F$4:F1137,C$4:C1137&lt;&gt;""""),ROWS(FILTER(C$4:C1137,C$4:C1137&lt;&gt;""""))),$AC$5+E1138))"),"")</f>
        <v/>
      </c>
      <c r="G1138" s="10" t="str">
        <f>IFERROR(__xludf.DUMMYFUNCTION("IF(COUNTA(C1138:C1644)=0,"""",IF(C1138="""",0,IF(REGEXMATCH(C1138,""^Sell_""),-ROUNDDOWN(ROUNDUP(INDEX(Upgrades!$C$3:$C$13,MATCH(SUBSTITUTE(C1138,""Sell_"",""""),Upgrades!$B$3:$B$13,0))*1.15^(COUNTIF(C$4:C1137,SUBSTITUTE(C1138,""Sell_"",""""))-COUNTIF(C$4"&amp;":C1137,""Sell_""&amp;SUBSTITUTE(C1138,""Sell_"",""""))))/2),ROUNDUP(INDEX(Upgrades!$C$3:$C$13,MATCH(C1138,Upgrades!$B$3:$B$13,0))*1.15^(COUNTIF(C$4:C1137,C1138)-COUNTIF(C$4:C1137,""Sell_""&amp;C1138))))))"),"")</f>
        <v/>
      </c>
      <c r="H1138" s="10" t="str">
        <f t="shared" si="3"/>
        <v/>
      </c>
      <c r="I1138" s="68" t="str">
        <f t="shared" si="4"/>
        <v/>
      </c>
      <c r="J1138" s="59" t="str">
        <f t="shared" si="5"/>
        <v/>
      </c>
      <c r="K1138" s="69" t="str">
        <f t="shared" si="6"/>
        <v/>
      </c>
      <c r="L1138" s="60" t="str">
        <f t="shared" si="7"/>
        <v/>
      </c>
      <c r="M1138" s="61" t="str">
        <f>IFERROR(__xludf.DUMMYFUNCTION("IFS(AND(COUNTA(C1138:C1644)=0,COUNTA(Q1138:Q1644)=0),"""",OR(AND(K1138&gt;=1000000000,OR(Y1138&gt;=1000000000,COUNTA(Q1138:Q1644)=0)),OR(Y1138&gt;=1000000000,AND(COUNTA(C1138:C1644)=0,P$3=TRUE))),
ROUNDDOWN((AB$1-AC$1)*MAX(INDEX(T$4:T1644,MATCH(LARGE(FILTER(Y$4:Y1"&amp;"644,Y$4:Y1644&lt;1000000000),1),Y$4:Y1644)),INDEX(F$4:F1644,MATCH(LARGE(FILTER(K$4:K1644,K$4:K1644&lt;1000000000),1),K$4:K1644)))),AND(K1138&lt;1000000000,COUNTA(C1138:C1644)&gt;0,P$3=FALSE),
ROUNDDOWN(INDEX(Y$4:Y1644,MATCH(LARGE(FILTER(W$4:W1644,W$4:W1644&lt;=I1138),1)"&amp;",W$4:W1644))+(I1138-LARGE(FILTER(W$4:W1644,W$4:W1644&lt;=I1138),1))*INDEX(T$4:T1644,MATCH(LARGE(FILTER(W$4:W1644,W$4:W1644&lt;=I1138),1),W$4:W1644))-K1138),1,
ROUNDDOWN(Y1138-INDEX(K$4:K1644,MATCH(LARGE(FILTER(I$4:I1644,I$4:I1644&lt;=W1138),1),I$4:I1644))-(W1138-L"&amp;"ARGE(FILTER(I$4:I1644,I$4:I1644&lt;=W1138),1))*INDEX(F$4:F1644,MATCH(LARGE(FILTER(I$4:I1644,I$4:I1644&lt;=W1138),1),I$4:I1644))))"),"")</f>
        <v/>
      </c>
      <c r="N1138" s="60" t="str">
        <f t="shared" si="8"/>
        <v/>
      </c>
      <c r="O1138" s="61" t="str">
        <f t="shared" si="9"/>
        <v/>
      </c>
      <c r="P1138" s="56" t="str">
        <f t="shared" si="10"/>
        <v/>
      </c>
      <c r="Q1138" s="105"/>
      <c r="R1138" s="10"/>
      <c r="S1138" s="59" t="str">
        <f t="array" ref="S1138">IF(COUNTA(Q1138:Q1644)=0,"",SUM((COUNTIF(Q$4:Q1138,Upgrades!$B$3:$B$13)-COUNTIF(Q$4:Q1138,"Sell_"&amp;Upgrades!$B$3:$B$13))*Upgrades!$D$3:$D$13))</f>
        <v/>
      </c>
      <c r="T1138" s="66" t="str">
        <f>IFERROR(__xludf.DUMMYFUNCTION("IF(COUNTA(Q1138:Q1644)=0,"""",IF(REGEXMATCH(INDEX(FILTER(Q$4:Q1138,Q$4:Q1138&lt;&gt;""""),ROWS(FILTER(Q$4:Q1138,Q$4:Q1138&lt;&gt;""""))),""^Sell_""),INDEX(FILTER(T$4:T1137,Q$4:Q1137&lt;&gt;""""),ROWS(FILTER(Q$4:Q1137,Q$4:Q1137&lt;&gt;""""))),$AD$5+S1138))"),"")</f>
        <v/>
      </c>
      <c r="U1138" s="10" t="str">
        <f>IFERROR(__xludf.DUMMYFUNCTION("IF(COUNTA(Q1138:Q1644)=0,"""",IF(Q1138="""",0,IF(REGEXMATCH(Q1138,""^Sell_""),-ROUNDDOWN(ROUNDUP(INDEX(Upgrades!$C$3:$C$13,MATCH(SUBSTITUTE(Q1138,""Sell_"",""""),Upgrades!$B$3:$B$13,0))*1.15^(COUNTIF(Q$4:Q1137,SUBSTITUTE(Q1138,""Sell_"",""""))-COUNTIF(Q$4"&amp;":Q1137,""Sell_""&amp;SUBSTITUTE(Q1138,""Sell_"",""""))))/2),ROUNDUP(INDEX(Upgrades!$C$3:$C$13,MATCH(Q1138,Upgrades!$B$3:$B$13,0))*1.15^(COUNTIF(Q$4:Q1137,Q1138)-COUNTIF(Q$4:Q1137,""Sell_""&amp;Q1138))))))"),"")</f>
        <v/>
      </c>
      <c r="V1138" s="10" t="str">
        <f t="shared" si="11"/>
        <v/>
      </c>
      <c r="W1138" s="68" t="str">
        <f t="shared" si="12"/>
        <v/>
      </c>
      <c r="X1138" s="59" t="str">
        <f t="shared" si="13"/>
        <v/>
      </c>
      <c r="Y1138" s="69" t="str">
        <f t="shared" si="14"/>
        <v/>
      </c>
      <c r="Z1138" s="11"/>
      <c r="AG1138" s="59"/>
    </row>
    <row r="1139">
      <c r="A1139" s="8"/>
      <c r="B1139" s="56" t="str">
        <f t="shared" si="2"/>
        <v/>
      </c>
      <c r="C1139" s="105"/>
      <c r="D1139" s="10"/>
      <c r="E1139" s="59" t="str">
        <f t="array" ref="E1139">IF(COUNTA(C1139:C1644)=0,"",SUM((COUNTIF(C$4:C1139,Upgrades!$B$3:$B$13)-COUNTIF(C$4:C1139,"Sell_"&amp;Upgrades!$B$3:$B$13))*Upgrades!$D$3:$D$13))</f>
        <v/>
      </c>
      <c r="F1139" s="66" t="str">
        <f>IFERROR(__xludf.DUMMYFUNCTION("IF(COUNTA(C1139:C1644)=0,"""",IF(REGEXMATCH(INDEX(FILTER(C$4:C1139,C$4:C1139&lt;&gt;""""),ROWS(FILTER(C$4:C1139,C$4:C1139&lt;&gt;""""))),""^Sell_""),INDEX(FILTER(F$4:F1138,C$4:C1138&lt;&gt;""""),ROWS(FILTER(C$4:C1138,C$4:C1138&lt;&gt;""""))),$AC$5+E1139))"),"")</f>
        <v/>
      </c>
      <c r="G1139" s="10" t="str">
        <f>IFERROR(__xludf.DUMMYFUNCTION("IF(COUNTA(C1139:C1644)=0,"""",IF(C1139="""",0,IF(REGEXMATCH(C1139,""^Sell_""),-ROUNDDOWN(ROUNDUP(INDEX(Upgrades!$C$3:$C$13,MATCH(SUBSTITUTE(C1139,""Sell_"",""""),Upgrades!$B$3:$B$13,0))*1.15^(COUNTIF(C$4:C1138,SUBSTITUTE(C1139,""Sell_"",""""))-COUNTIF(C$4"&amp;":C1138,""Sell_""&amp;SUBSTITUTE(C1139,""Sell_"",""""))))/2),ROUNDUP(INDEX(Upgrades!$C$3:$C$13,MATCH(C1139,Upgrades!$B$3:$B$13,0))*1.15^(COUNTIF(C$4:C1138,C1139)-COUNTIF(C$4:C1138,""Sell_""&amp;C1139))))))"),"")</f>
        <v/>
      </c>
      <c r="H1139" s="10" t="str">
        <f t="shared" si="3"/>
        <v/>
      </c>
      <c r="I1139" s="68" t="str">
        <f t="shared" si="4"/>
        <v/>
      </c>
      <c r="J1139" s="59" t="str">
        <f t="shared" si="5"/>
        <v/>
      </c>
      <c r="K1139" s="69" t="str">
        <f t="shared" si="6"/>
        <v/>
      </c>
      <c r="L1139" s="60" t="str">
        <f t="shared" si="7"/>
        <v/>
      </c>
      <c r="M1139" s="61" t="str">
        <f>IFERROR(__xludf.DUMMYFUNCTION("IFS(AND(COUNTA(C1139:C1644)=0,COUNTA(Q1139:Q1644)=0),"""",OR(AND(K1139&gt;=1000000000,OR(Y1139&gt;=1000000000,COUNTA(Q1139:Q1644)=0)),OR(Y1139&gt;=1000000000,AND(COUNTA(C1139:C1644)=0,P$3=TRUE))),
ROUNDDOWN((AB$1-AC$1)*MAX(INDEX(T$4:T1644,MATCH(LARGE(FILTER(Y$4:Y1"&amp;"644,Y$4:Y1644&lt;1000000000),1),Y$4:Y1644)),INDEX(F$4:F1644,MATCH(LARGE(FILTER(K$4:K1644,K$4:K1644&lt;1000000000),1),K$4:K1644)))),AND(K1139&lt;1000000000,COUNTA(C1139:C1644)&gt;0,P$3=FALSE),
ROUNDDOWN(INDEX(Y$4:Y1644,MATCH(LARGE(FILTER(W$4:W1644,W$4:W1644&lt;=I1139),1)"&amp;",W$4:W1644))+(I1139-LARGE(FILTER(W$4:W1644,W$4:W1644&lt;=I1139),1))*INDEX(T$4:T1644,MATCH(LARGE(FILTER(W$4:W1644,W$4:W1644&lt;=I1139),1),W$4:W1644))-K1139),1,
ROUNDDOWN(Y1139-INDEX(K$4:K1644,MATCH(LARGE(FILTER(I$4:I1644,I$4:I1644&lt;=W1139),1),I$4:I1644))-(W1139-L"&amp;"ARGE(FILTER(I$4:I1644,I$4:I1644&lt;=W1139),1))*INDEX(F$4:F1644,MATCH(LARGE(FILTER(I$4:I1644,I$4:I1644&lt;=W1139),1),I$4:I1644))))"),"")</f>
        <v/>
      </c>
      <c r="N1139" s="60" t="str">
        <f t="shared" si="8"/>
        <v/>
      </c>
      <c r="O1139" s="61" t="str">
        <f t="shared" si="9"/>
        <v/>
      </c>
      <c r="P1139" s="56" t="str">
        <f t="shared" si="10"/>
        <v/>
      </c>
      <c r="Q1139" s="105"/>
      <c r="R1139" s="10"/>
      <c r="S1139" s="59" t="str">
        <f t="array" ref="S1139">IF(COUNTA(Q1139:Q1644)=0,"",SUM((COUNTIF(Q$4:Q1139,Upgrades!$B$3:$B$13)-COUNTIF(Q$4:Q1139,"Sell_"&amp;Upgrades!$B$3:$B$13))*Upgrades!$D$3:$D$13))</f>
        <v/>
      </c>
      <c r="T1139" s="66" t="str">
        <f>IFERROR(__xludf.DUMMYFUNCTION("IF(COUNTA(Q1139:Q1644)=0,"""",IF(REGEXMATCH(INDEX(FILTER(Q$4:Q1139,Q$4:Q1139&lt;&gt;""""),ROWS(FILTER(Q$4:Q1139,Q$4:Q1139&lt;&gt;""""))),""^Sell_""),INDEX(FILTER(T$4:T1138,Q$4:Q1138&lt;&gt;""""),ROWS(FILTER(Q$4:Q1138,Q$4:Q1138&lt;&gt;""""))),$AD$5+S1139))"),"")</f>
        <v/>
      </c>
      <c r="U1139" s="10" t="str">
        <f>IFERROR(__xludf.DUMMYFUNCTION("IF(COUNTA(Q1139:Q1644)=0,"""",IF(Q1139="""",0,IF(REGEXMATCH(Q1139,""^Sell_""),-ROUNDDOWN(ROUNDUP(INDEX(Upgrades!$C$3:$C$13,MATCH(SUBSTITUTE(Q1139,""Sell_"",""""),Upgrades!$B$3:$B$13,0))*1.15^(COUNTIF(Q$4:Q1138,SUBSTITUTE(Q1139,""Sell_"",""""))-COUNTIF(Q$4"&amp;":Q1138,""Sell_""&amp;SUBSTITUTE(Q1139,""Sell_"",""""))))/2),ROUNDUP(INDEX(Upgrades!$C$3:$C$13,MATCH(Q1139,Upgrades!$B$3:$B$13,0))*1.15^(COUNTIF(Q$4:Q1138,Q1139)-COUNTIF(Q$4:Q1138,""Sell_""&amp;Q1139))))))"),"")</f>
        <v/>
      </c>
      <c r="V1139" s="10" t="str">
        <f t="shared" si="11"/>
        <v/>
      </c>
      <c r="W1139" s="68" t="str">
        <f t="shared" si="12"/>
        <v/>
      </c>
      <c r="X1139" s="59" t="str">
        <f t="shared" si="13"/>
        <v/>
      </c>
      <c r="Y1139" s="69" t="str">
        <f t="shared" si="14"/>
        <v/>
      </c>
      <c r="Z1139" s="11"/>
      <c r="AG1139" s="59"/>
    </row>
    <row r="1140">
      <c r="A1140" s="8"/>
      <c r="B1140" s="56" t="str">
        <f t="shared" si="2"/>
        <v/>
      </c>
      <c r="C1140" s="105"/>
      <c r="D1140" s="10"/>
      <c r="E1140" s="59" t="str">
        <f t="array" ref="E1140">IF(COUNTA(C1140:C1644)=0,"",SUM((COUNTIF(C$4:C1140,Upgrades!$B$3:$B$13)-COUNTIF(C$4:C1140,"Sell_"&amp;Upgrades!$B$3:$B$13))*Upgrades!$D$3:$D$13))</f>
        <v/>
      </c>
      <c r="F1140" s="66" t="str">
        <f>IFERROR(__xludf.DUMMYFUNCTION("IF(COUNTA(C1140:C1644)=0,"""",IF(REGEXMATCH(INDEX(FILTER(C$4:C1140,C$4:C1140&lt;&gt;""""),ROWS(FILTER(C$4:C1140,C$4:C1140&lt;&gt;""""))),""^Sell_""),INDEX(FILTER(F$4:F1139,C$4:C1139&lt;&gt;""""),ROWS(FILTER(C$4:C1139,C$4:C1139&lt;&gt;""""))),$AC$5+E1140))"),"")</f>
        <v/>
      </c>
      <c r="G1140" s="10" t="str">
        <f>IFERROR(__xludf.DUMMYFUNCTION("IF(COUNTA(C1140:C1644)=0,"""",IF(C1140="""",0,IF(REGEXMATCH(C1140,""^Sell_""),-ROUNDDOWN(ROUNDUP(INDEX(Upgrades!$C$3:$C$13,MATCH(SUBSTITUTE(C1140,""Sell_"",""""),Upgrades!$B$3:$B$13,0))*1.15^(COUNTIF(C$4:C1139,SUBSTITUTE(C1140,""Sell_"",""""))-COUNTIF(C$4"&amp;":C1139,""Sell_""&amp;SUBSTITUTE(C1140,""Sell_"",""""))))/2),ROUNDUP(INDEX(Upgrades!$C$3:$C$13,MATCH(C1140,Upgrades!$B$3:$B$13,0))*1.15^(COUNTIF(C$4:C1139,C1140)-COUNTIF(C$4:C1139,""Sell_""&amp;C1140))))))"),"")</f>
        <v/>
      </c>
      <c r="H1140" s="10" t="str">
        <f t="shared" si="3"/>
        <v/>
      </c>
      <c r="I1140" s="68" t="str">
        <f t="shared" si="4"/>
        <v/>
      </c>
      <c r="J1140" s="59" t="str">
        <f t="shared" si="5"/>
        <v/>
      </c>
      <c r="K1140" s="69" t="str">
        <f t="shared" si="6"/>
        <v/>
      </c>
      <c r="L1140" s="60" t="str">
        <f t="shared" si="7"/>
        <v/>
      </c>
      <c r="M1140" s="61" t="str">
        <f>IFERROR(__xludf.DUMMYFUNCTION("IFS(AND(COUNTA(C1140:C1644)=0,COUNTA(Q1140:Q1644)=0),"""",OR(AND(K1140&gt;=1000000000,OR(Y1140&gt;=1000000000,COUNTA(Q1140:Q1644)=0)),OR(Y1140&gt;=1000000000,AND(COUNTA(C1140:C1644)=0,P$3=TRUE))),
ROUNDDOWN((AB$1-AC$1)*MAX(INDEX(T$4:T1644,MATCH(LARGE(FILTER(Y$4:Y1"&amp;"644,Y$4:Y1644&lt;1000000000),1),Y$4:Y1644)),INDEX(F$4:F1644,MATCH(LARGE(FILTER(K$4:K1644,K$4:K1644&lt;1000000000),1),K$4:K1644)))),AND(K1140&lt;1000000000,COUNTA(C1140:C1644)&gt;0,P$3=FALSE),
ROUNDDOWN(INDEX(Y$4:Y1644,MATCH(LARGE(FILTER(W$4:W1644,W$4:W1644&lt;=I1140),1)"&amp;",W$4:W1644))+(I1140-LARGE(FILTER(W$4:W1644,W$4:W1644&lt;=I1140),1))*INDEX(T$4:T1644,MATCH(LARGE(FILTER(W$4:W1644,W$4:W1644&lt;=I1140),1),W$4:W1644))-K1140),1,
ROUNDDOWN(Y1140-INDEX(K$4:K1644,MATCH(LARGE(FILTER(I$4:I1644,I$4:I1644&lt;=W1140),1),I$4:I1644))-(W1140-L"&amp;"ARGE(FILTER(I$4:I1644,I$4:I1644&lt;=W1140),1))*INDEX(F$4:F1644,MATCH(LARGE(FILTER(I$4:I1644,I$4:I1644&lt;=W1140),1),I$4:I1644))))"),"")</f>
        <v/>
      </c>
      <c r="N1140" s="60" t="str">
        <f t="shared" si="8"/>
        <v/>
      </c>
      <c r="O1140" s="61" t="str">
        <f t="shared" si="9"/>
        <v/>
      </c>
      <c r="P1140" s="56" t="str">
        <f t="shared" si="10"/>
        <v/>
      </c>
      <c r="Q1140" s="105"/>
      <c r="R1140" s="10"/>
      <c r="S1140" s="59" t="str">
        <f t="array" ref="S1140">IF(COUNTA(Q1140:Q1644)=0,"",SUM((COUNTIF(Q$4:Q1140,Upgrades!$B$3:$B$13)-COUNTIF(Q$4:Q1140,"Sell_"&amp;Upgrades!$B$3:$B$13))*Upgrades!$D$3:$D$13))</f>
        <v/>
      </c>
      <c r="T1140" s="66" t="str">
        <f>IFERROR(__xludf.DUMMYFUNCTION("IF(COUNTA(Q1140:Q1644)=0,"""",IF(REGEXMATCH(INDEX(FILTER(Q$4:Q1140,Q$4:Q1140&lt;&gt;""""),ROWS(FILTER(Q$4:Q1140,Q$4:Q1140&lt;&gt;""""))),""^Sell_""),INDEX(FILTER(T$4:T1139,Q$4:Q1139&lt;&gt;""""),ROWS(FILTER(Q$4:Q1139,Q$4:Q1139&lt;&gt;""""))),$AD$5+S1140))"),"")</f>
        <v/>
      </c>
      <c r="U1140" s="10" t="str">
        <f>IFERROR(__xludf.DUMMYFUNCTION("IF(COUNTA(Q1140:Q1644)=0,"""",IF(Q1140="""",0,IF(REGEXMATCH(Q1140,""^Sell_""),-ROUNDDOWN(ROUNDUP(INDEX(Upgrades!$C$3:$C$13,MATCH(SUBSTITUTE(Q1140,""Sell_"",""""),Upgrades!$B$3:$B$13,0))*1.15^(COUNTIF(Q$4:Q1139,SUBSTITUTE(Q1140,""Sell_"",""""))-COUNTIF(Q$4"&amp;":Q1139,""Sell_""&amp;SUBSTITUTE(Q1140,""Sell_"",""""))))/2),ROUNDUP(INDEX(Upgrades!$C$3:$C$13,MATCH(Q1140,Upgrades!$B$3:$B$13,0))*1.15^(COUNTIF(Q$4:Q1139,Q1140)-COUNTIF(Q$4:Q1139,""Sell_""&amp;Q1140))))))"),"")</f>
        <v/>
      </c>
      <c r="V1140" s="10" t="str">
        <f t="shared" si="11"/>
        <v/>
      </c>
      <c r="W1140" s="68" t="str">
        <f t="shared" si="12"/>
        <v/>
      </c>
      <c r="X1140" s="59" t="str">
        <f t="shared" si="13"/>
        <v/>
      </c>
      <c r="Y1140" s="69" t="str">
        <f t="shared" si="14"/>
        <v/>
      </c>
      <c r="Z1140" s="11"/>
      <c r="AG1140" s="59"/>
    </row>
    <row r="1141">
      <c r="A1141" s="8"/>
      <c r="B1141" s="56" t="str">
        <f t="shared" si="2"/>
        <v/>
      </c>
      <c r="C1141" s="105"/>
      <c r="D1141" s="10"/>
      <c r="E1141" s="59" t="str">
        <f t="array" ref="E1141">IF(COUNTA(C1141:C1644)=0,"",SUM((COUNTIF(C$4:C1141,Upgrades!$B$3:$B$13)-COUNTIF(C$4:C1141,"Sell_"&amp;Upgrades!$B$3:$B$13))*Upgrades!$D$3:$D$13))</f>
        <v/>
      </c>
      <c r="F1141" s="66" t="str">
        <f>IFERROR(__xludf.DUMMYFUNCTION("IF(COUNTA(C1141:C1644)=0,"""",IF(REGEXMATCH(INDEX(FILTER(C$4:C1141,C$4:C1141&lt;&gt;""""),ROWS(FILTER(C$4:C1141,C$4:C1141&lt;&gt;""""))),""^Sell_""),INDEX(FILTER(F$4:F1140,C$4:C1140&lt;&gt;""""),ROWS(FILTER(C$4:C1140,C$4:C1140&lt;&gt;""""))),$AC$5+E1141))"),"")</f>
        <v/>
      </c>
      <c r="G1141" s="10" t="str">
        <f>IFERROR(__xludf.DUMMYFUNCTION("IF(COUNTA(C1141:C1644)=0,"""",IF(C1141="""",0,IF(REGEXMATCH(C1141,""^Sell_""),-ROUNDDOWN(ROUNDUP(INDEX(Upgrades!$C$3:$C$13,MATCH(SUBSTITUTE(C1141,""Sell_"",""""),Upgrades!$B$3:$B$13,0))*1.15^(COUNTIF(C$4:C1140,SUBSTITUTE(C1141,""Sell_"",""""))-COUNTIF(C$4"&amp;":C1140,""Sell_""&amp;SUBSTITUTE(C1141,""Sell_"",""""))))/2),ROUNDUP(INDEX(Upgrades!$C$3:$C$13,MATCH(C1141,Upgrades!$B$3:$B$13,0))*1.15^(COUNTIF(C$4:C1140,C1141)-COUNTIF(C$4:C1140,""Sell_""&amp;C1141))))))"),"")</f>
        <v/>
      </c>
      <c r="H1141" s="10" t="str">
        <f t="shared" si="3"/>
        <v/>
      </c>
      <c r="I1141" s="68" t="str">
        <f t="shared" si="4"/>
        <v/>
      </c>
      <c r="J1141" s="59" t="str">
        <f t="shared" si="5"/>
        <v/>
      </c>
      <c r="K1141" s="69" t="str">
        <f t="shared" si="6"/>
        <v/>
      </c>
      <c r="L1141" s="60" t="str">
        <f t="shared" si="7"/>
        <v/>
      </c>
      <c r="M1141" s="61" t="str">
        <f>IFERROR(__xludf.DUMMYFUNCTION("IFS(AND(COUNTA(C1141:C1644)=0,COUNTA(Q1141:Q1644)=0),"""",OR(AND(K1141&gt;=1000000000,OR(Y1141&gt;=1000000000,COUNTA(Q1141:Q1644)=0)),OR(Y1141&gt;=1000000000,AND(COUNTA(C1141:C1644)=0,P$3=TRUE))),
ROUNDDOWN((AB$1-AC$1)*MAX(INDEX(T$4:T1644,MATCH(LARGE(FILTER(Y$4:Y1"&amp;"644,Y$4:Y1644&lt;1000000000),1),Y$4:Y1644)),INDEX(F$4:F1644,MATCH(LARGE(FILTER(K$4:K1644,K$4:K1644&lt;1000000000),1),K$4:K1644)))),AND(K1141&lt;1000000000,COUNTA(C1141:C1644)&gt;0,P$3=FALSE),
ROUNDDOWN(INDEX(Y$4:Y1644,MATCH(LARGE(FILTER(W$4:W1644,W$4:W1644&lt;=I1141),1)"&amp;",W$4:W1644))+(I1141-LARGE(FILTER(W$4:W1644,W$4:W1644&lt;=I1141),1))*INDEX(T$4:T1644,MATCH(LARGE(FILTER(W$4:W1644,W$4:W1644&lt;=I1141),1),W$4:W1644))-K1141),1,
ROUNDDOWN(Y1141-INDEX(K$4:K1644,MATCH(LARGE(FILTER(I$4:I1644,I$4:I1644&lt;=W1141),1),I$4:I1644))-(W1141-L"&amp;"ARGE(FILTER(I$4:I1644,I$4:I1644&lt;=W1141),1))*INDEX(F$4:F1644,MATCH(LARGE(FILTER(I$4:I1644,I$4:I1644&lt;=W1141),1),I$4:I1644))))"),"")</f>
        <v/>
      </c>
      <c r="N1141" s="60" t="str">
        <f t="shared" si="8"/>
        <v/>
      </c>
      <c r="O1141" s="61" t="str">
        <f t="shared" si="9"/>
        <v/>
      </c>
      <c r="P1141" s="56" t="str">
        <f t="shared" si="10"/>
        <v/>
      </c>
      <c r="Q1141" s="105"/>
      <c r="R1141" s="10"/>
      <c r="S1141" s="59" t="str">
        <f t="array" ref="S1141">IF(COUNTA(Q1141:Q1644)=0,"",SUM((COUNTIF(Q$4:Q1141,Upgrades!$B$3:$B$13)-COUNTIF(Q$4:Q1141,"Sell_"&amp;Upgrades!$B$3:$B$13))*Upgrades!$D$3:$D$13))</f>
        <v/>
      </c>
      <c r="T1141" s="66" t="str">
        <f>IFERROR(__xludf.DUMMYFUNCTION("IF(COUNTA(Q1141:Q1644)=0,"""",IF(REGEXMATCH(INDEX(FILTER(Q$4:Q1141,Q$4:Q1141&lt;&gt;""""),ROWS(FILTER(Q$4:Q1141,Q$4:Q1141&lt;&gt;""""))),""^Sell_""),INDEX(FILTER(T$4:T1140,Q$4:Q1140&lt;&gt;""""),ROWS(FILTER(Q$4:Q1140,Q$4:Q1140&lt;&gt;""""))),$AD$5+S1141))"),"")</f>
        <v/>
      </c>
      <c r="U1141" s="10" t="str">
        <f>IFERROR(__xludf.DUMMYFUNCTION("IF(COUNTA(Q1141:Q1644)=0,"""",IF(Q1141="""",0,IF(REGEXMATCH(Q1141,""^Sell_""),-ROUNDDOWN(ROUNDUP(INDEX(Upgrades!$C$3:$C$13,MATCH(SUBSTITUTE(Q1141,""Sell_"",""""),Upgrades!$B$3:$B$13,0))*1.15^(COUNTIF(Q$4:Q1140,SUBSTITUTE(Q1141,""Sell_"",""""))-COUNTIF(Q$4"&amp;":Q1140,""Sell_""&amp;SUBSTITUTE(Q1141,""Sell_"",""""))))/2),ROUNDUP(INDEX(Upgrades!$C$3:$C$13,MATCH(Q1141,Upgrades!$B$3:$B$13,0))*1.15^(COUNTIF(Q$4:Q1140,Q1141)-COUNTIF(Q$4:Q1140,""Sell_""&amp;Q1141))))))"),"")</f>
        <v/>
      </c>
      <c r="V1141" s="10" t="str">
        <f t="shared" si="11"/>
        <v/>
      </c>
      <c r="W1141" s="68" t="str">
        <f t="shared" si="12"/>
        <v/>
      </c>
      <c r="X1141" s="59" t="str">
        <f t="shared" si="13"/>
        <v/>
      </c>
      <c r="Y1141" s="69" t="str">
        <f t="shared" si="14"/>
        <v/>
      </c>
      <c r="Z1141" s="11"/>
      <c r="AG1141" s="59"/>
    </row>
    <row r="1142">
      <c r="A1142" s="8"/>
      <c r="B1142" s="56" t="str">
        <f t="shared" si="2"/>
        <v/>
      </c>
      <c r="C1142" s="105"/>
      <c r="D1142" s="10"/>
      <c r="E1142" s="59" t="str">
        <f t="array" ref="E1142">IF(COUNTA(C1142:C1644)=0,"",SUM((COUNTIF(C$4:C1142,Upgrades!$B$3:$B$13)-COUNTIF(C$4:C1142,"Sell_"&amp;Upgrades!$B$3:$B$13))*Upgrades!$D$3:$D$13))</f>
        <v/>
      </c>
      <c r="F1142" s="66" t="str">
        <f>IFERROR(__xludf.DUMMYFUNCTION("IF(COUNTA(C1142:C1644)=0,"""",IF(REGEXMATCH(INDEX(FILTER(C$4:C1142,C$4:C1142&lt;&gt;""""),ROWS(FILTER(C$4:C1142,C$4:C1142&lt;&gt;""""))),""^Sell_""),INDEX(FILTER(F$4:F1141,C$4:C1141&lt;&gt;""""),ROWS(FILTER(C$4:C1141,C$4:C1141&lt;&gt;""""))),$AC$5+E1142))"),"")</f>
        <v/>
      </c>
      <c r="G1142" s="10" t="str">
        <f>IFERROR(__xludf.DUMMYFUNCTION("IF(COUNTA(C1142:C1644)=0,"""",IF(C1142="""",0,IF(REGEXMATCH(C1142,""^Sell_""),-ROUNDDOWN(ROUNDUP(INDEX(Upgrades!$C$3:$C$13,MATCH(SUBSTITUTE(C1142,""Sell_"",""""),Upgrades!$B$3:$B$13,0))*1.15^(COUNTIF(C$4:C1141,SUBSTITUTE(C1142,""Sell_"",""""))-COUNTIF(C$4"&amp;":C1141,""Sell_""&amp;SUBSTITUTE(C1142,""Sell_"",""""))))/2),ROUNDUP(INDEX(Upgrades!$C$3:$C$13,MATCH(C1142,Upgrades!$B$3:$B$13,0))*1.15^(COUNTIF(C$4:C1141,C1142)-COUNTIF(C$4:C1141,""Sell_""&amp;C1142))))))"),"")</f>
        <v/>
      </c>
      <c r="H1142" s="10" t="str">
        <f t="shared" si="3"/>
        <v/>
      </c>
      <c r="I1142" s="68" t="str">
        <f t="shared" si="4"/>
        <v/>
      </c>
      <c r="J1142" s="59" t="str">
        <f t="shared" si="5"/>
        <v/>
      </c>
      <c r="K1142" s="69" t="str">
        <f t="shared" si="6"/>
        <v/>
      </c>
      <c r="L1142" s="60" t="str">
        <f t="shared" si="7"/>
        <v/>
      </c>
      <c r="M1142" s="61" t="str">
        <f>IFERROR(__xludf.DUMMYFUNCTION("IFS(AND(COUNTA(C1142:C1644)=0,COUNTA(Q1142:Q1644)=0),"""",OR(AND(K1142&gt;=1000000000,OR(Y1142&gt;=1000000000,COUNTA(Q1142:Q1644)=0)),OR(Y1142&gt;=1000000000,AND(COUNTA(C1142:C1644)=0,P$3=TRUE))),
ROUNDDOWN((AB$1-AC$1)*MAX(INDEX(T$4:T1644,MATCH(LARGE(FILTER(Y$4:Y1"&amp;"644,Y$4:Y1644&lt;1000000000),1),Y$4:Y1644)),INDEX(F$4:F1644,MATCH(LARGE(FILTER(K$4:K1644,K$4:K1644&lt;1000000000),1),K$4:K1644)))),AND(K1142&lt;1000000000,COUNTA(C1142:C1644)&gt;0,P$3=FALSE),
ROUNDDOWN(INDEX(Y$4:Y1644,MATCH(LARGE(FILTER(W$4:W1644,W$4:W1644&lt;=I1142),1)"&amp;",W$4:W1644))+(I1142-LARGE(FILTER(W$4:W1644,W$4:W1644&lt;=I1142),1))*INDEX(T$4:T1644,MATCH(LARGE(FILTER(W$4:W1644,W$4:W1644&lt;=I1142),1),W$4:W1644))-K1142),1,
ROUNDDOWN(Y1142-INDEX(K$4:K1644,MATCH(LARGE(FILTER(I$4:I1644,I$4:I1644&lt;=W1142),1),I$4:I1644))-(W1142-L"&amp;"ARGE(FILTER(I$4:I1644,I$4:I1644&lt;=W1142),1))*INDEX(F$4:F1644,MATCH(LARGE(FILTER(I$4:I1644,I$4:I1644&lt;=W1142),1),I$4:I1644))))"),"")</f>
        <v/>
      </c>
      <c r="N1142" s="60" t="str">
        <f t="shared" si="8"/>
        <v/>
      </c>
      <c r="O1142" s="61" t="str">
        <f t="shared" si="9"/>
        <v/>
      </c>
      <c r="P1142" s="56" t="str">
        <f t="shared" si="10"/>
        <v/>
      </c>
      <c r="Q1142" s="105"/>
      <c r="R1142" s="10"/>
      <c r="S1142" s="59" t="str">
        <f t="array" ref="S1142">IF(COUNTA(Q1142:Q1644)=0,"",SUM((COUNTIF(Q$4:Q1142,Upgrades!$B$3:$B$13)-COUNTIF(Q$4:Q1142,"Sell_"&amp;Upgrades!$B$3:$B$13))*Upgrades!$D$3:$D$13))</f>
        <v/>
      </c>
      <c r="T1142" s="66" t="str">
        <f>IFERROR(__xludf.DUMMYFUNCTION("IF(COUNTA(Q1142:Q1644)=0,"""",IF(REGEXMATCH(INDEX(FILTER(Q$4:Q1142,Q$4:Q1142&lt;&gt;""""),ROWS(FILTER(Q$4:Q1142,Q$4:Q1142&lt;&gt;""""))),""^Sell_""),INDEX(FILTER(T$4:T1141,Q$4:Q1141&lt;&gt;""""),ROWS(FILTER(Q$4:Q1141,Q$4:Q1141&lt;&gt;""""))),$AD$5+S1142))"),"")</f>
        <v/>
      </c>
      <c r="U1142" s="10" t="str">
        <f>IFERROR(__xludf.DUMMYFUNCTION("IF(COUNTA(Q1142:Q1644)=0,"""",IF(Q1142="""",0,IF(REGEXMATCH(Q1142,""^Sell_""),-ROUNDDOWN(ROUNDUP(INDEX(Upgrades!$C$3:$C$13,MATCH(SUBSTITUTE(Q1142,""Sell_"",""""),Upgrades!$B$3:$B$13,0))*1.15^(COUNTIF(Q$4:Q1141,SUBSTITUTE(Q1142,""Sell_"",""""))-COUNTIF(Q$4"&amp;":Q1141,""Sell_""&amp;SUBSTITUTE(Q1142,""Sell_"",""""))))/2),ROUNDUP(INDEX(Upgrades!$C$3:$C$13,MATCH(Q1142,Upgrades!$B$3:$B$13,0))*1.15^(COUNTIF(Q$4:Q1141,Q1142)-COUNTIF(Q$4:Q1141,""Sell_""&amp;Q1142))))))"),"")</f>
        <v/>
      </c>
      <c r="V1142" s="10" t="str">
        <f t="shared" si="11"/>
        <v/>
      </c>
      <c r="W1142" s="68" t="str">
        <f t="shared" si="12"/>
        <v/>
      </c>
      <c r="X1142" s="59" t="str">
        <f t="shared" si="13"/>
        <v/>
      </c>
      <c r="Y1142" s="69" t="str">
        <f t="shared" si="14"/>
        <v/>
      </c>
      <c r="Z1142" s="11"/>
      <c r="AG1142" s="59"/>
    </row>
    <row r="1143">
      <c r="A1143" s="8"/>
      <c r="B1143" s="56" t="str">
        <f t="shared" si="2"/>
        <v/>
      </c>
      <c r="C1143" s="105"/>
      <c r="D1143" s="10"/>
      <c r="E1143" s="59" t="str">
        <f t="array" ref="E1143">IF(COUNTA(C1143:C1644)=0,"",SUM((COUNTIF(C$4:C1143,Upgrades!$B$3:$B$13)-COUNTIF(C$4:C1143,"Sell_"&amp;Upgrades!$B$3:$B$13))*Upgrades!$D$3:$D$13))</f>
        <v/>
      </c>
      <c r="F1143" s="66" t="str">
        <f>IFERROR(__xludf.DUMMYFUNCTION("IF(COUNTA(C1143:C1644)=0,"""",IF(REGEXMATCH(INDEX(FILTER(C$4:C1143,C$4:C1143&lt;&gt;""""),ROWS(FILTER(C$4:C1143,C$4:C1143&lt;&gt;""""))),""^Sell_""),INDEX(FILTER(F$4:F1142,C$4:C1142&lt;&gt;""""),ROWS(FILTER(C$4:C1142,C$4:C1142&lt;&gt;""""))),$AC$5+E1143))"),"")</f>
        <v/>
      </c>
      <c r="G1143" s="10" t="str">
        <f>IFERROR(__xludf.DUMMYFUNCTION("IF(COUNTA(C1143:C1644)=0,"""",IF(C1143="""",0,IF(REGEXMATCH(C1143,""^Sell_""),-ROUNDDOWN(ROUNDUP(INDEX(Upgrades!$C$3:$C$13,MATCH(SUBSTITUTE(C1143,""Sell_"",""""),Upgrades!$B$3:$B$13,0))*1.15^(COUNTIF(C$4:C1142,SUBSTITUTE(C1143,""Sell_"",""""))-COUNTIF(C$4"&amp;":C1142,""Sell_""&amp;SUBSTITUTE(C1143,""Sell_"",""""))))/2),ROUNDUP(INDEX(Upgrades!$C$3:$C$13,MATCH(C1143,Upgrades!$B$3:$B$13,0))*1.15^(COUNTIF(C$4:C1142,C1143)-COUNTIF(C$4:C1142,""Sell_""&amp;C1143))))))"),"")</f>
        <v/>
      </c>
      <c r="H1143" s="10" t="str">
        <f t="shared" si="3"/>
        <v/>
      </c>
      <c r="I1143" s="68" t="str">
        <f t="shared" si="4"/>
        <v/>
      </c>
      <c r="J1143" s="59" t="str">
        <f t="shared" si="5"/>
        <v/>
      </c>
      <c r="K1143" s="69" t="str">
        <f t="shared" si="6"/>
        <v/>
      </c>
      <c r="L1143" s="60" t="str">
        <f t="shared" si="7"/>
        <v/>
      </c>
      <c r="M1143" s="61" t="str">
        <f>IFERROR(__xludf.DUMMYFUNCTION("IFS(AND(COUNTA(C1143:C1644)=0,COUNTA(Q1143:Q1644)=0),"""",OR(AND(K1143&gt;=1000000000,OR(Y1143&gt;=1000000000,COUNTA(Q1143:Q1644)=0)),OR(Y1143&gt;=1000000000,AND(COUNTA(C1143:C1644)=0,P$3=TRUE))),
ROUNDDOWN((AB$1-AC$1)*MAX(INDEX(T$4:T1644,MATCH(LARGE(FILTER(Y$4:Y1"&amp;"644,Y$4:Y1644&lt;1000000000),1),Y$4:Y1644)),INDEX(F$4:F1644,MATCH(LARGE(FILTER(K$4:K1644,K$4:K1644&lt;1000000000),1),K$4:K1644)))),AND(K1143&lt;1000000000,COUNTA(C1143:C1644)&gt;0,P$3=FALSE),
ROUNDDOWN(INDEX(Y$4:Y1644,MATCH(LARGE(FILTER(W$4:W1644,W$4:W1644&lt;=I1143),1)"&amp;",W$4:W1644))+(I1143-LARGE(FILTER(W$4:W1644,W$4:W1644&lt;=I1143),1))*INDEX(T$4:T1644,MATCH(LARGE(FILTER(W$4:W1644,W$4:W1644&lt;=I1143),1),W$4:W1644))-K1143),1,
ROUNDDOWN(Y1143-INDEX(K$4:K1644,MATCH(LARGE(FILTER(I$4:I1644,I$4:I1644&lt;=W1143),1),I$4:I1644))-(W1143-L"&amp;"ARGE(FILTER(I$4:I1644,I$4:I1644&lt;=W1143),1))*INDEX(F$4:F1644,MATCH(LARGE(FILTER(I$4:I1644,I$4:I1644&lt;=W1143),1),I$4:I1644))))"),"")</f>
        <v/>
      </c>
      <c r="N1143" s="60" t="str">
        <f t="shared" si="8"/>
        <v/>
      </c>
      <c r="O1143" s="61" t="str">
        <f t="shared" si="9"/>
        <v/>
      </c>
      <c r="P1143" s="56" t="str">
        <f t="shared" si="10"/>
        <v/>
      </c>
      <c r="Q1143" s="105"/>
      <c r="R1143" s="10"/>
      <c r="S1143" s="59" t="str">
        <f t="array" ref="S1143">IF(COUNTA(Q1143:Q1644)=0,"",SUM((COUNTIF(Q$4:Q1143,Upgrades!$B$3:$B$13)-COUNTIF(Q$4:Q1143,"Sell_"&amp;Upgrades!$B$3:$B$13))*Upgrades!$D$3:$D$13))</f>
        <v/>
      </c>
      <c r="T1143" s="66" t="str">
        <f>IFERROR(__xludf.DUMMYFUNCTION("IF(COUNTA(Q1143:Q1644)=0,"""",IF(REGEXMATCH(INDEX(FILTER(Q$4:Q1143,Q$4:Q1143&lt;&gt;""""),ROWS(FILTER(Q$4:Q1143,Q$4:Q1143&lt;&gt;""""))),""^Sell_""),INDEX(FILTER(T$4:T1142,Q$4:Q1142&lt;&gt;""""),ROWS(FILTER(Q$4:Q1142,Q$4:Q1142&lt;&gt;""""))),$AD$5+S1143))"),"")</f>
        <v/>
      </c>
      <c r="U1143" s="10" t="str">
        <f>IFERROR(__xludf.DUMMYFUNCTION("IF(COUNTA(Q1143:Q1644)=0,"""",IF(Q1143="""",0,IF(REGEXMATCH(Q1143,""^Sell_""),-ROUNDDOWN(ROUNDUP(INDEX(Upgrades!$C$3:$C$13,MATCH(SUBSTITUTE(Q1143,""Sell_"",""""),Upgrades!$B$3:$B$13,0))*1.15^(COUNTIF(Q$4:Q1142,SUBSTITUTE(Q1143,""Sell_"",""""))-COUNTIF(Q$4"&amp;":Q1142,""Sell_""&amp;SUBSTITUTE(Q1143,""Sell_"",""""))))/2),ROUNDUP(INDEX(Upgrades!$C$3:$C$13,MATCH(Q1143,Upgrades!$B$3:$B$13,0))*1.15^(COUNTIF(Q$4:Q1142,Q1143)-COUNTIF(Q$4:Q1142,""Sell_""&amp;Q1143))))))"),"")</f>
        <v/>
      </c>
      <c r="V1143" s="10" t="str">
        <f t="shared" si="11"/>
        <v/>
      </c>
      <c r="W1143" s="68" t="str">
        <f t="shared" si="12"/>
        <v/>
      </c>
      <c r="X1143" s="59" t="str">
        <f t="shared" si="13"/>
        <v/>
      </c>
      <c r="Y1143" s="69" t="str">
        <f t="shared" si="14"/>
        <v/>
      </c>
      <c r="Z1143" s="11"/>
      <c r="AG1143" s="59"/>
    </row>
    <row r="1144">
      <c r="A1144" s="8"/>
      <c r="B1144" s="56" t="str">
        <f t="shared" si="2"/>
        <v/>
      </c>
      <c r="C1144" s="105"/>
      <c r="D1144" s="10"/>
      <c r="E1144" s="59" t="str">
        <f t="array" ref="E1144">IF(COUNTA(C1144:C1644)=0,"",SUM((COUNTIF(C$4:C1144,Upgrades!$B$3:$B$13)-COUNTIF(C$4:C1144,"Sell_"&amp;Upgrades!$B$3:$B$13))*Upgrades!$D$3:$D$13))</f>
        <v/>
      </c>
      <c r="F1144" s="66" t="str">
        <f>IFERROR(__xludf.DUMMYFUNCTION("IF(COUNTA(C1144:C1644)=0,"""",IF(REGEXMATCH(INDEX(FILTER(C$4:C1144,C$4:C1144&lt;&gt;""""),ROWS(FILTER(C$4:C1144,C$4:C1144&lt;&gt;""""))),""^Sell_""),INDEX(FILTER(F$4:F1143,C$4:C1143&lt;&gt;""""),ROWS(FILTER(C$4:C1143,C$4:C1143&lt;&gt;""""))),$AC$5+E1144))"),"")</f>
        <v/>
      </c>
      <c r="G1144" s="10" t="str">
        <f>IFERROR(__xludf.DUMMYFUNCTION("IF(COUNTA(C1144:C1644)=0,"""",IF(C1144="""",0,IF(REGEXMATCH(C1144,""^Sell_""),-ROUNDDOWN(ROUNDUP(INDEX(Upgrades!$C$3:$C$13,MATCH(SUBSTITUTE(C1144,""Sell_"",""""),Upgrades!$B$3:$B$13,0))*1.15^(COUNTIF(C$4:C1143,SUBSTITUTE(C1144,""Sell_"",""""))-COUNTIF(C$4"&amp;":C1143,""Sell_""&amp;SUBSTITUTE(C1144,""Sell_"",""""))))/2),ROUNDUP(INDEX(Upgrades!$C$3:$C$13,MATCH(C1144,Upgrades!$B$3:$B$13,0))*1.15^(COUNTIF(C$4:C1143,C1144)-COUNTIF(C$4:C1143,""Sell_""&amp;C1144))))))"),"")</f>
        <v/>
      </c>
      <c r="H1144" s="10" t="str">
        <f t="shared" si="3"/>
        <v/>
      </c>
      <c r="I1144" s="68" t="str">
        <f t="shared" si="4"/>
        <v/>
      </c>
      <c r="J1144" s="59" t="str">
        <f t="shared" si="5"/>
        <v/>
      </c>
      <c r="K1144" s="69" t="str">
        <f t="shared" si="6"/>
        <v/>
      </c>
      <c r="L1144" s="60" t="str">
        <f t="shared" si="7"/>
        <v/>
      </c>
      <c r="M1144" s="61" t="str">
        <f>IFERROR(__xludf.DUMMYFUNCTION("IFS(AND(COUNTA(C1144:C1644)=0,COUNTA(Q1144:Q1644)=0),"""",OR(AND(K1144&gt;=1000000000,OR(Y1144&gt;=1000000000,COUNTA(Q1144:Q1644)=0)),OR(Y1144&gt;=1000000000,AND(COUNTA(C1144:C1644)=0,P$3=TRUE))),
ROUNDDOWN((AB$1-AC$1)*MAX(INDEX(T$4:T1644,MATCH(LARGE(FILTER(Y$4:Y1"&amp;"644,Y$4:Y1644&lt;1000000000),1),Y$4:Y1644)),INDEX(F$4:F1644,MATCH(LARGE(FILTER(K$4:K1644,K$4:K1644&lt;1000000000),1),K$4:K1644)))),AND(K1144&lt;1000000000,COUNTA(C1144:C1644)&gt;0,P$3=FALSE),
ROUNDDOWN(INDEX(Y$4:Y1644,MATCH(LARGE(FILTER(W$4:W1644,W$4:W1644&lt;=I1144),1)"&amp;",W$4:W1644))+(I1144-LARGE(FILTER(W$4:W1644,W$4:W1644&lt;=I1144),1))*INDEX(T$4:T1644,MATCH(LARGE(FILTER(W$4:W1644,W$4:W1644&lt;=I1144),1),W$4:W1644))-K1144),1,
ROUNDDOWN(Y1144-INDEX(K$4:K1644,MATCH(LARGE(FILTER(I$4:I1644,I$4:I1644&lt;=W1144),1),I$4:I1644))-(W1144-L"&amp;"ARGE(FILTER(I$4:I1644,I$4:I1644&lt;=W1144),1))*INDEX(F$4:F1644,MATCH(LARGE(FILTER(I$4:I1644,I$4:I1644&lt;=W1144),1),I$4:I1644))))"),"")</f>
        <v/>
      </c>
      <c r="N1144" s="60" t="str">
        <f t="shared" si="8"/>
        <v/>
      </c>
      <c r="O1144" s="61" t="str">
        <f t="shared" si="9"/>
        <v/>
      </c>
      <c r="P1144" s="56" t="str">
        <f t="shared" si="10"/>
        <v/>
      </c>
      <c r="Q1144" s="105"/>
      <c r="R1144" s="10"/>
      <c r="S1144" s="59" t="str">
        <f t="array" ref="S1144">IF(COUNTA(Q1144:Q1644)=0,"",SUM((COUNTIF(Q$4:Q1144,Upgrades!$B$3:$B$13)-COUNTIF(Q$4:Q1144,"Sell_"&amp;Upgrades!$B$3:$B$13))*Upgrades!$D$3:$D$13))</f>
        <v/>
      </c>
      <c r="T1144" s="66" t="str">
        <f>IFERROR(__xludf.DUMMYFUNCTION("IF(COUNTA(Q1144:Q1644)=0,"""",IF(REGEXMATCH(INDEX(FILTER(Q$4:Q1144,Q$4:Q1144&lt;&gt;""""),ROWS(FILTER(Q$4:Q1144,Q$4:Q1144&lt;&gt;""""))),""^Sell_""),INDEX(FILTER(T$4:T1143,Q$4:Q1143&lt;&gt;""""),ROWS(FILTER(Q$4:Q1143,Q$4:Q1143&lt;&gt;""""))),$AD$5+S1144))"),"")</f>
        <v/>
      </c>
      <c r="U1144" s="10" t="str">
        <f>IFERROR(__xludf.DUMMYFUNCTION("IF(COUNTA(Q1144:Q1644)=0,"""",IF(Q1144="""",0,IF(REGEXMATCH(Q1144,""^Sell_""),-ROUNDDOWN(ROUNDUP(INDEX(Upgrades!$C$3:$C$13,MATCH(SUBSTITUTE(Q1144,""Sell_"",""""),Upgrades!$B$3:$B$13,0))*1.15^(COUNTIF(Q$4:Q1143,SUBSTITUTE(Q1144,""Sell_"",""""))-COUNTIF(Q$4"&amp;":Q1143,""Sell_""&amp;SUBSTITUTE(Q1144,""Sell_"",""""))))/2),ROUNDUP(INDEX(Upgrades!$C$3:$C$13,MATCH(Q1144,Upgrades!$B$3:$B$13,0))*1.15^(COUNTIF(Q$4:Q1143,Q1144)-COUNTIF(Q$4:Q1143,""Sell_""&amp;Q1144))))))"),"")</f>
        <v/>
      </c>
      <c r="V1144" s="10" t="str">
        <f t="shared" si="11"/>
        <v/>
      </c>
      <c r="W1144" s="68" t="str">
        <f t="shared" si="12"/>
        <v/>
      </c>
      <c r="X1144" s="59" t="str">
        <f t="shared" si="13"/>
        <v/>
      </c>
      <c r="Y1144" s="69" t="str">
        <f t="shared" si="14"/>
        <v/>
      </c>
      <c r="Z1144" s="11"/>
      <c r="AG1144" s="59"/>
    </row>
    <row r="1145">
      <c r="A1145" s="8"/>
      <c r="B1145" s="56" t="str">
        <f t="shared" si="2"/>
        <v/>
      </c>
      <c r="C1145" s="105"/>
      <c r="D1145" s="10"/>
      <c r="E1145" s="59" t="str">
        <f t="array" ref="E1145">IF(COUNTA(C1145:C1644)=0,"",SUM((COUNTIF(C$4:C1145,Upgrades!$B$3:$B$13)-COUNTIF(C$4:C1145,"Sell_"&amp;Upgrades!$B$3:$B$13))*Upgrades!$D$3:$D$13))</f>
        <v/>
      </c>
      <c r="F1145" s="66" t="str">
        <f>IFERROR(__xludf.DUMMYFUNCTION("IF(COUNTA(C1145:C1644)=0,"""",IF(REGEXMATCH(INDEX(FILTER(C$4:C1145,C$4:C1145&lt;&gt;""""),ROWS(FILTER(C$4:C1145,C$4:C1145&lt;&gt;""""))),""^Sell_""),INDEX(FILTER(F$4:F1144,C$4:C1144&lt;&gt;""""),ROWS(FILTER(C$4:C1144,C$4:C1144&lt;&gt;""""))),$AC$5+E1145))"),"")</f>
        <v/>
      </c>
      <c r="G1145" s="10" t="str">
        <f>IFERROR(__xludf.DUMMYFUNCTION("IF(COUNTA(C1145:C1644)=0,"""",IF(C1145="""",0,IF(REGEXMATCH(C1145,""^Sell_""),-ROUNDDOWN(ROUNDUP(INDEX(Upgrades!$C$3:$C$13,MATCH(SUBSTITUTE(C1145,""Sell_"",""""),Upgrades!$B$3:$B$13,0))*1.15^(COUNTIF(C$4:C1144,SUBSTITUTE(C1145,""Sell_"",""""))-COUNTIF(C$4"&amp;":C1144,""Sell_""&amp;SUBSTITUTE(C1145,""Sell_"",""""))))/2),ROUNDUP(INDEX(Upgrades!$C$3:$C$13,MATCH(C1145,Upgrades!$B$3:$B$13,0))*1.15^(COUNTIF(C$4:C1144,C1145)-COUNTIF(C$4:C1144,""Sell_""&amp;C1145))))))"),"")</f>
        <v/>
      </c>
      <c r="H1145" s="10" t="str">
        <f t="shared" si="3"/>
        <v/>
      </c>
      <c r="I1145" s="68" t="str">
        <f t="shared" si="4"/>
        <v/>
      </c>
      <c r="J1145" s="59" t="str">
        <f t="shared" si="5"/>
        <v/>
      </c>
      <c r="K1145" s="69" t="str">
        <f t="shared" si="6"/>
        <v/>
      </c>
      <c r="L1145" s="60" t="str">
        <f t="shared" si="7"/>
        <v/>
      </c>
      <c r="M1145" s="61" t="str">
        <f>IFERROR(__xludf.DUMMYFUNCTION("IFS(AND(COUNTA(C1145:C1644)=0,COUNTA(Q1145:Q1644)=0),"""",OR(AND(K1145&gt;=1000000000,OR(Y1145&gt;=1000000000,COUNTA(Q1145:Q1644)=0)),OR(Y1145&gt;=1000000000,AND(COUNTA(C1145:C1644)=0,P$3=TRUE))),
ROUNDDOWN((AB$1-AC$1)*MAX(INDEX(T$4:T1644,MATCH(LARGE(FILTER(Y$4:Y1"&amp;"644,Y$4:Y1644&lt;1000000000),1),Y$4:Y1644)),INDEX(F$4:F1644,MATCH(LARGE(FILTER(K$4:K1644,K$4:K1644&lt;1000000000),1),K$4:K1644)))),AND(K1145&lt;1000000000,COUNTA(C1145:C1644)&gt;0,P$3=FALSE),
ROUNDDOWN(INDEX(Y$4:Y1644,MATCH(LARGE(FILTER(W$4:W1644,W$4:W1644&lt;=I1145),1)"&amp;",W$4:W1644))+(I1145-LARGE(FILTER(W$4:W1644,W$4:W1644&lt;=I1145),1))*INDEX(T$4:T1644,MATCH(LARGE(FILTER(W$4:W1644,W$4:W1644&lt;=I1145),1),W$4:W1644))-K1145),1,
ROUNDDOWN(Y1145-INDEX(K$4:K1644,MATCH(LARGE(FILTER(I$4:I1644,I$4:I1644&lt;=W1145),1),I$4:I1644))-(W1145-L"&amp;"ARGE(FILTER(I$4:I1644,I$4:I1644&lt;=W1145),1))*INDEX(F$4:F1644,MATCH(LARGE(FILTER(I$4:I1644,I$4:I1644&lt;=W1145),1),I$4:I1644))))"),"")</f>
        <v/>
      </c>
      <c r="N1145" s="60" t="str">
        <f t="shared" si="8"/>
        <v/>
      </c>
      <c r="O1145" s="61" t="str">
        <f t="shared" si="9"/>
        <v/>
      </c>
      <c r="P1145" s="56" t="str">
        <f t="shared" si="10"/>
        <v/>
      </c>
      <c r="Q1145" s="105"/>
      <c r="R1145" s="10"/>
      <c r="S1145" s="59" t="str">
        <f t="array" ref="S1145">IF(COUNTA(Q1145:Q1644)=0,"",SUM((COUNTIF(Q$4:Q1145,Upgrades!$B$3:$B$13)-COUNTIF(Q$4:Q1145,"Sell_"&amp;Upgrades!$B$3:$B$13))*Upgrades!$D$3:$D$13))</f>
        <v/>
      </c>
      <c r="T1145" s="66" t="str">
        <f>IFERROR(__xludf.DUMMYFUNCTION("IF(COUNTA(Q1145:Q1644)=0,"""",IF(REGEXMATCH(INDEX(FILTER(Q$4:Q1145,Q$4:Q1145&lt;&gt;""""),ROWS(FILTER(Q$4:Q1145,Q$4:Q1145&lt;&gt;""""))),""^Sell_""),INDEX(FILTER(T$4:T1144,Q$4:Q1144&lt;&gt;""""),ROWS(FILTER(Q$4:Q1144,Q$4:Q1144&lt;&gt;""""))),$AD$5+S1145))"),"")</f>
        <v/>
      </c>
      <c r="U1145" s="10" t="str">
        <f>IFERROR(__xludf.DUMMYFUNCTION("IF(COUNTA(Q1145:Q1644)=0,"""",IF(Q1145="""",0,IF(REGEXMATCH(Q1145,""^Sell_""),-ROUNDDOWN(ROUNDUP(INDEX(Upgrades!$C$3:$C$13,MATCH(SUBSTITUTE(Q1145,""Sell_"",""""),Upgrades!$B$3:$B$13,0))*1.15^(COUNTIF(Q$4:Q1144,SUBSTITUTE(Q1145,""Sell_"",""""))-COUNTIF(Q$4"&amp;":Q1144,""Sell_""&amp;SUBSTITUTE(Q1145,""Sell_"",""""))))/2),ROUNDUP(INDEX(Upgrades!$C$3:$C$13,MATCH(Q1145,Upgrades!$B$3:$B$13,0))*1.15^(COUNTIF(Q$4:Q1144,Q1145)-COUNTIF(Q$4:Q1144,""Sell_""&amp;Q1145))))))"),"")</f>
        <v/>
      </c>
      <c r="V1145" s="10" t="str">
        <f t="shared" si="11"/>
        <v/>
      </c>
      <c r="W1145" s="68" t="str">
        <f t="shared" si="12"/>
        <v/>
      </c>
      <c r="X1145" s="59" t="str">
        <f t="shared" si="13"/>
        <v/>
      </c>
      <c r="Y1145" s="69" t="str">
        <f t="shared" si="14"/>
        <v/>
      </c>
      <c r="Z1145" s="11"/>
      <c r="AG1145" s="59"/>
    </row>
    <row r="1146">
      <c r="A1146" s="8"/>
      <c r="B1146" s="56" t="str">
        <f t="shared" si="2"/>
        <v/>
      </c>
      <c r="C1146" s="105"/>
      <c r="D1146" s="10"/>
      <c r="E1146" s="59" t="str">
        <f t="array" ref="E1146">IF(COUNTA(C1146:C1644)=0,"",SUM((COUNTIF(C$4:C1146,Upgrades!$B$3:$B$13)-COUNTIF(C$4:C1146,"Sell_"&amp;Upgrades!$B$3:$B$13))*Upgrades!$D$3:$D$13))</f>
        <v/>
      </c>
      <c r="F1146" s="66" t="str">
        <f>IFERROR(__xludf.DUMMYFUNCTION("IF(COUNTA(C1146:C1644)=0,"""",IF(REGEXMATCH(INDEX(FILTER(C$4:C1146,C$4:C1146&lt;&gt;""""),ROWS(FILTER(C$4:C1146,C$4:C1146&lt;&gt;""""))),""^Sell_""),INDEX(FILTER(F$4:F1145,C$4:C1145&lt;&gt;""""),ROWS(FILTER(C$4:C1145,C$4:C1145&lt;&gt;""""))),$AC$5+E1146))"),"")</f>
        <v/>
      </c>
      <c r="G1146" s="10" t="str">
        <f>IFERROR(__xludf.DUMMYFUNCTION("IF(COUNTA(C1146:C1644)=0,"""",IF(C1146="""",0,IF(REGEXMATCH(C1146,""^Sell_""),-ROUNDDOWN(ROUNDUP(INDEX(Upgrades!$C$3:$C$13,MATCH(SUBSTITUTE(C1146,""Sell_"",""""),Upgrades!$B$3:$B$13,0))*1.15^(COUNTIF(C$4:C1145,SUBSTITUTE(C1146,""Sell_"",""""))-COUNTIF(C$4"&amp;":C1145,""Sell_""&amp;SUBSTITUTE(C1146,""Sell_"",""""))))/2),ROUNDUP(INDEX(Upgrades!$C$3:$C$13,MATCH(C1146,Upgrades!$B$3:$B$13,0))*1.15^(COUNTIF(C$4:C1145,C1146)-COUNTIF(C$4:C1145,""Sell_""&amp;C1146))))))"),"")</f>
        <v/>
      </c>
      <c r="H1146" s="10" t="str">
        <f t="shared" si="3"/>
        <v/>
      </c>
      <c r="I1146" s="68" t="str">
        <f t="shared" si="4"/>
        <v/>
      </c>
      <c r="J1146" s="59" t="str">
        <f t="shared" si="5"/>
        <v/>
      </c>
      <c r="K1146" s="69" t="str">
        <f t="shared" si="6"/>
        <v/>
      </c>
      <c r="L1146" s="60" t="str">
        <f t="shared" si="7"/>
        <v/>
      </c>
      <c r="M1146" s="61" t="str">
        <f>IFERROR(__xludf.DUMMYFUNCTION("IFS(AND(COUNTA(C1146:C1644)=0,COUNTA(Q1146:Q1644)=0),"""",OR(AND(K1146&gt;=1000000000,OR(Y1146&gt;=1000000000,COUNTA(Q1146:Q1644)=0)),OR(Y1146&gt;=1000000000,AND(COUNTA(C1146:C1644)=0,P$3=TRUE))),
ROUNDDOWN((AB$1-AC$1)*MAX(INDEX(T$4:T1644,MATCH(LARGE(FILTER(Y$4:Y1"&amp;"644,Y$4:Y1644&lt;1000000000),1),Y$4:Y1644)),INDEX(F$4:F1644,MATCH(LARGE(FILTER(K$4:K1644,K$4:K1644&lt;1000000000),1),K$4:K1644)))),AND(K1146&lt;1000000000,COUNTA(C1146:C1644)&gt;0,P$3=FALSE),
ROUNDDOWN(INDEX(Y$4:Y1644,MATCH(LARGE(FILTER(W$4:W1644,W$4:W1644&lt;=I1146),1)"&amp;",W$4:W1644))+(I1146-LARGE(FILTER(W$4:W1644,W$4:W1644&lt;=I1146),1))*INDEX(T$4:T1644,MATCH(LARGE(FILTER(W$4:W1644,W$4:W1644&lt;=I1146),1),W$4:W1644))-K1146),1,
ROUNDDOWN(Y1146-INDEX(K$4:K1644,MATCH(LARGE(FILTER(I$4:I1644,I$4:I1644&lt;=W1146),1),I$4:I1644))-(W1146-L"&amp;"ARGE(FILTER(I$4:I1644,I$4:I1644&lt;=W1146),1))*INDEX(F$4:F1644,MATCH(LARGE(FILTER(I$4:I1644,I$4:I1644&lt;=W1146),1),I$4:I1644))))"),"")</f>
        <v/>
      </c>
      <c r="N1146" s="60" t="str">
        <f t="shared" si="8"/>
        <v/>
      </c>
      <c r="O1146" s="61" t="str">
        <f t="shared" si="9"/>
        <v/>
      </c>
      <c r="P1146" s="56" t="str">
        <f t="shared" si="10"/>
        <v/>
      </c>
      <c r="Q1146" s="105"/>
      <c r="R1146" s="10"/>
      <c r="S1146" s="59" t="str">
        <f t="array" ref="S1146">IF(COUNTA(Q1146:Q1644)=0,"",SUM((COUNTIF(Q$4:Q1146,Upgrades!$B$3:$B$13)-COUNTIF(Q$4:Q1146,"Sell_"&amp;Upgrades!$B$3:$B$13))*Upgrades!$D$3:$D$13))</f>
        <v/>
      </c>
      <c r="T1146" s="66" t="str">
        <f>IFERROR(__xludf.DUMMYFUNCTION("IF(COUNTA(Q1146:Q1644)=0,"""",IF(REGEXMATCH(INDEX(FILTER(Q$4:Q1146,Q$4:Q1146&lt;&gt;""""),ROWS(FILTER(Q$4:Q1146,Q$4:Q1146&lt;&gt;""""))),""^Sell_""),INDEX(FILTER(T$4:T1145,Q$4:Q1145&lt;&gt;""""),ROWS(FILTER(Q$4:Q1145,Q$4:Q1145&lt;&gt;""""))),$AD$5+S1146))"),"")</f>
        <v/>
      </c>
      <c r="U1146" s="10" t="str">
        <f>IFERROR(__xludf.DUMMYFUNCTION("IF(COUNTA(Q1146:Q1644)=0,"""",IF(Q1146="""",0,IF(REGEXMATCH(Q1146,""^Sell_""),-ROUNDDOWN(ROUNDUP(INDEX(Upgrades!$C$3:$C$13,MATCH(SUBSTITUTE(Q1146,""Sell_"",""""),Upgrades!$B$3:$B$13,0))*1.15^(COUNTIF(Q$4:Q1145,SUBSTITUTE(Q1146,""Sell_"",""""))-COUNTIF(Q$4"&amp;":Q1145,""Sell_""&amp;SUBSTITUTE(Q1146,""Sell_"",""""))))/2),ROUNDUP(INDEX(Upgrades!$C$3:$C$13,MATCH(Q1146,Upgrades!$B$3:$B$13,0))*1.15^(COUNTIF(Q$4:Q1145,Q1146)-COUNTIF(Q$4:Q1145,""Sell_""&amp;Q1146))))))"),"")</f>
        <v/>
      </c>
      <c r="V1146" s="10" t="str">
        <f t="shared" si="11"/>
        <v/>
      </c>
      <c r="W1146" s="68" t="str">
        <f t="shared" si="12"/>
        <v/>
      </c>
      <c r="X1146" s="59" t="str">
        <f t="shared" si="13"/>
        <v/>
      </c>
      <c r="Y1146" s="69" t="str">
        <f t="shared" si="14"/>
        <v/>
      </c>
      <c r="Z1146" s="11"/>
      <c r="AG1146" s="59"/>
    </row>
    <row r="1147">
      <c r="A1147" s="8"/>
      <c r="B1147" s="56" t="str">
        <f t="shared" si="2"/>
        <v/>
      </c>
      <c r="C1147" s="105"/>
      <c r="D1147" s="10"/>
      <c r="E1147" s="59" t="str">
        <f t="array" ref="E1147">IF(COUNTA(C1147:C1644)=0,"",SUM((COUNTIF(C$4:C1147,Upgrades!$B$3:$B$13)-COUNTIF(C$4:C1147,"Sell_"&amp;Upgrades!$B$3:$B$13))*Upgrades!$D$3:$D$13))</f>
        <v/>
      </c>
      <c r="F1147" s="66" t="str">
        <f>IFERROR(__xludf.DUMMYFUNCTION("IF(COUNTA(C1147:C1644)=0,"""",IF(REGEXMATCH(INDEX(FILTER(C$4:C1147,C$4:C1147&lt;&gt;""""),ROWS(FILTER(C$4:C1147,C$4:C1147&lt;&gt;""""))),""^Sell_""),INDEX(FILTER(F$4:F1146,C$4:C1146&lt;&gt;""""),ROWS(FILTER(C$4:C1146,C$4:C1146&lt;&gt;""""))),$AC$5+E1147))"),"")</f>
        <v/>
      </c>
      <c r="G1147" s="10" t="str">
        <f>IFERROR(__xludf.DUMMYFUNCTION("IF(COUNTA(C1147:C1644)=0,"""",IF(C1147="""",0,IF(REGEXMATCH(C1147,""^Sell_""),-ROUNDDOWN(ROUNDUP(INDEX(Upgrades!$C$3:$C$13,MATCH(SUBSTITUTE(C1147,""Sell_"",""""),Upgrades!$B$3:$B$13,0))*1.15^(COUNTIF(C$4:C1146,SUBSTITUTE(C1147,""Sell_"",""""))-COUNTIF(C$4"&amp;":C1146,""Sell_""&amp;SUBSTITUTE(C1147,""Sell_"",""""))))/2),ROUNDUP(INDEX(Upgrades!$C$3:$C$13,MATCH(C1147,Upgrades!$B$3:$B$13,0))*1.15^(COUNTIF(C$4:C1146,C1147)-COUNTIF(C$4:C1146,""Sell_""&amp;C1147))))))"),"")</f>
        <v/>
      </c>
      <c r="H1147" s="10" t="str">
        <f t="shared" si="3"/>
        <v/>
      </c>
      <c r="I1147" s="68" t="str">
        <f t="shared" si="4"/>
        <v/>
      </c>
      <c r="J1147" s="59" t="str">
        <f t="shared" si="5"/>
        <v/>
      </c>
      <c r="K1147" s="69" t="str">
        <f t="shared" si="6"/>
        <v/>
      </c>
      <c r="L1147" s="60" t="str">
        <f t="shared" si="7"/>
        <v/>
      </c>
      <c r="M1147" s="61" t="str">
        <f>IFERROR(__xludf.DUMMYFUNCTION("IFS(AND(COUNTA(C1147:C1644)=0,COUNTA(Q1147:Q1644)=0),"""",OR(AND(K1147&gt;=1000000000,OR(Y1147&gt;=1000000000,COUNTA(Q1147:Q1644)=0)),OR(Y1147&gt;=1000000000,AND(COUNTA(C1147:C1644)=0,P$3=TRUE))),
ROUNDDOWN((AB$1-AC$1)*MAX(INDEX(T$4:T1644,MATCH(LARGE(FILTER(Y$4:Y1"&amp;"644,Y$4:Y1644&lt;1000000000),1),Y$4:Y1644)),INDEX(F$4:F1644,MATCH(LARGE(FILTER(K$4:K1644,K$4:K1644&lt;1000000000),1),K$4:K1644)))),AND(K1147&lt;1000000000,COUNTA(C1147:C1644)&gt;0,P$3=FALSE),
ROUNDDOWN(INDEX(Y$4:Y1644,MATCH(LARGE(FILTER(W$4:W1644,W$4:W1644&lt;=I1147),1)"&amp;",W$4:W1644))+(I1147-LARGE(FILTER(W$4:W1644,W$4:W1644&lt;=I1147),1))*INDEX(T$4:T1644,MATCH(LARGE(FILTER(W$4:W1644,W$4:W1644&lt;=I1147),1),W$4:W1644))-K1147),1,
ROUNDDOWN(Y1147-INDEX(K$4:K1644,MATCH(LARGE(FILTER(I$4:I1644,I$4:I1644&lt;=W1147),1),I$4:I1644))-(W1147-L"&amp;"ARGE(FILTER(I$4:I1644,I$4:I1644&lt;=W1147),1))*INDEX(F$4:F1644,MATCH(LARGE(FILTER(I$4:I1644,I$4:I1644&lt;=W1147),1),I$4:I1644))))"),"")</f>
        <v/>
      </c>
      <c r="N1147" s="60" t="str">
        <f t="shared" si="8"/>
        <v/>
      </c>
      <c r="O1147" s="61" t="str">
        <f t="shared" si="9"/>
        <v/>
      </c>
      <c r="P1147" s="56" t="str">
        <f t="shared" si="10"/>
        <v/>
      </c>
      <c r="Q1147" s="105"/>
      <c r="R1147" s="10"/>
      <c r="S1147" s="59" t="str">
        <f t="array" ref="S1147">IF(COUNTA(Q1147:Q1644)=0,"",SUM((COUNTIF(Q$4:Q1147,Upgrades!$B$3:$B$13)-COUNTIF(Q$4:Q1147,"Sell_"&amp;Upgrades!$B$3:$B$13))*Upgrades!$D$3:$D$13))</f>
        <v/>
      </c>
      <c r="T1147" s="66" t="str">
        <f>IFERROR(__xludf.DUMMYFUNCTION("IF(COUNTA(Q1147:Q1644)=0,"""",IF(REGEXMATCH(INDEX(FILTER(Q$4:Q1147,Q$4:Q1147&lt;&gt;""""),ROWS(FILTER(Q$4:Q1147,Q$4:Q1147&lt;&gt;""""))),""^Sell_""),INDEX(FILTER(T$4:T1146,Q$4:Q1146&lt;&gt;""""),ROWS(FILTER(Q$4:Q1146,Q$4:Q1146&lt;&gt;""""))),$AD$5+S1147))"),"")</f>
        <v/>
      </c>
      <c r="U1147" s="10" t="str">
        <f>IFERROR(__xludf.DUMMYFUNCTION("IF(COUNTA(Q1147:Q1644)=0,"""",IF(Q1147="""",0,IF(REGEXMATCH(Q1147,""^Sell_""),-ROUNDDOWN(ROUNDUP(INDEX(Upgrades!$C$3:$C$13,MATCH(SUBSTITUTE(Q1147,""Sell_"",""""),Upgrades!$B$3:$B$13,0))*1.15^(COUNTIF(Q$4:Q1146,SUBSTITUTE(Q1147,""Sell_"",""""))-COUNTIF(Q$4"&amp;":Q1146,""Sell_""&amp;SUBSTITUTE(Q1147,""Sell_"",""""))))/2),ROUNDUP(INDEX(Upgrades!$C$3:$C$13,MATCH(Q1147,Upgrades!$B$3:$B$13,0))*1.15^(COUNTIF(Q$4:Q1146,Q1147)-COUNTIF(Q$4:Q1146,""Sell_""&amp;Q1147))))))"),"")</f>
        <v/>
      </c>
      <c r="V1147" s="10" t="str">
        <f t="shared" si="11"/>
        <v/>
      </c>
      <c r="W1147" s="68" t="str">
        <f t="shared" si="12"/>
        <v/>
      </c>
      <c r="X1147" s="59" t="str">
        <f t="shared" si="13"/>
        <v/>
      </c>
      <c r="Y1147" s="69" t="str">
        <f t="shared" si="14"/>
        <v/>
      </c>
      <c r="Z1147" s="11"/>
      <c r="AG1147" s="59"/>
    </row>
    <row r="1148">
      <c r="A1148" s="8"/>
      <c r="B1148" s="56" t="str">
        <f t="shared" si="2"/>
        <v/>
      </c>
      <c r="C1148" s="105"/>
      <c r="D1148" s="10"/>
      <c r="E1148" s="59" t="str">
        <f t="array" ref="E1148">IF(COUNTA(C1148:C1644)=0,"",SUM((COUNTIF(C$4:C1148,Upgrades!$B$3:$B$13)-COUNTIF(C$4:C1148,"Sell_"&amp;Upgrades!$B$3:$B$13))*Upgrades!$D$3:$D$13))</f>
        <v/>
      </c>
      <c r="F1148" s="66" t="str">
        <f>IFERROR(__xludf.DUMMYFUNCTION("IF(COUNTA(C1148:C1644)=0,"""",IF(REGEXMATCH(INDEX(FILTER(C$4:C1148,C$4:C1148&lt;&gt;""""),ROWS(FILTER(C$4:C1148,C$4:C1148&lt;&gt;""""))),""^Sell_""),INDEX(FILTER(F$4:F1147,C$4:C1147&lt;&gt;""""),ROWS(FILTER(C$4:C1147,C$4:C1147&lt;&gt;""""))),$AC$5+E1148))"),"")</f>
        <v/>
      </c>
      <c r="G1148" s="10" t="str">
        <f>IFERROR(__xludf.DUMMYFUNCTION("IF(COUNTA(C1148:C1644)=0,"""",IF(C1148="""",0,IF(REGEXMATCH(C1148,""^Sell_""),-ROUNDDOWN(ROUNDUP(INDEX(Upgrades!$C$3:$C$13,MATCH(SUBSTITUTE(C1148,""Sell_"",""""),Upgrades!$B$3:$B$13,0))*1.15^(COUNTIF(C$4:C1147,SUBSTITUTE(C1148,""Sell_"",""""))-COUNTIF(C$4"&amp;":C1147,""Sell_""&amp;SUBSTITUTE(C1148,""Sell_"",""""))))/2),ROUNDUP(INDEX(Upgrades!$C$3:$C$13,MATCH(C1148,Upgrades!$B$3:$B$13,0))*1.15^(COUNTIF(C$4:C1147,C1148)-COUNTIF(C$4:C1147,""Sell_""&amp;C1148))))))"),"")</f>
        <v/>
      </c>
      <c r="H1148" s="10" t="str">
        <f t="shared" si="3"/>
        <v/>
      </c>
      <c r="I1148" s="68" t="str">
        <f t="shared" si="4"/>
        <v/>
      </c>
      <c r="J1148" s="59" t="str">
        <f t="shared" si="5"/>
        <v/>
      </c>
      <c r="K1148" s="69" t="str">
        <f t="shared" si="6"/>
        <v/>
      </c>
      <c r="L1148" s="60" t="str">
        <f t="shared" si="7"/>
        <v/>
      </c>
      <c r="M1148" s="61" t="str">
        <f>IFERROR(__xludf.DUMMYFUNCTION("IFS(AND(COUNTA(C1148:C1644)=0,COUNTA(Q1148:Q1644)=0),"""",OR(AND(K1148&gt;=1000000000,OR(Y1148&gt;=1000000000,COUNTA(Q1148:Q1644)=0)),OR(Y1148&gt;=1000000000,AND(COUNTA(C1148:C1644)=0,P$3=TRUE))),
ROUNDDOWN((AB$1-AC$1)*MAX(INDEX(T$4:T1644,MATCH(LARGE(FILTER(Y$4:Y1"&amp;"644,Y$4:Y1644&lt;1000000000),1),Y$4:Y1644)),INDEX(F$4:F1644,MATCH(LARGE(FILTER(K$4:K1644,K$4:K1644&lt;1000000000),1),K$4:K1644)))),AND(K1148&lt;1000000000,COUNTA(C1148:C1644)&gt;0,P$3=FALSE),
ROUNDDOWN(INDEX(Y$4:Y1644,MATCH(LARGE(FILTER(W$4:W1644,W$4:W1644&lt;=I1148),1)"&amp;",W$4:W1644))+(I1148-LARGE(FILTER(W$4:W1644,W$4:W1644&lt;=I1148),1))*INDEX(T$4:T1644,MATCH(LARGE(FILTER(W$4:W1644,W$4:W1644&lt;=I1148),1),W$4:W1644))-K1148),1,
ROUNDDOWN(Y1148-INDEX(K$4:K1644,MATCH(LARGE(FILTER(I$4:I1644,I$4:I1644&lt;=W1148),1),I$4:I1644))-(W1148-L"&amp;"ARGE(FILTER(I$4:I1644,I$4:I1644&lt;=W1148),1))*INDEX(F$4:F1644,MATCH(LARGE(FILTER(I$4:I1644,I$4:I1644&lt;=W1148),1),I$4:I1644))))"),"")</f>
        <v/>
      </c>
      <c r="N1148" s="60" t="str">
        <f t="shared" si="8"/>
        <v/>
      </c>
      <c r="O1148" s="61" t="str">
        <f t="shared" si="9"/>
        <v/>
      </c>
      <c r="P1148" s="56" t="str">
        <f t="shared" si="10"/>
        <v/>
      </c>
      <c r="Q1148" s="105"/>
      <c r="R1148" s="10"/>
      <c r="S1148" s="59" t="str">
        <f t="array" ref="S1148">IF(COUNTA(Q1148:Q1644)=0,"",SUM((COUNTIF(Q$4:Q1148,Upgrades!$B$3:$B$13)-COUNTIF(Q$4:Q1148,"Sell_"&amp;Upgrades!$B$3:$B$13))*Upgrades!$D$3:$D$13))</f>
        <v/>
      </c>
      <c r="T1148" s="66" t="str">
        <f>IFERROR(__xludf.DUMMYFUNCTION("IF(COUNTA(Q1148:Q1644)=0,"""",IF(REGEXMATCH(INDEX(FILTER(Q$4:Q1148,Q$4:Q1148&lt;&gt;""""),ROWS(FILTER(Q$4:Q1148,Q$4:Q1148&lt;&gt;""""))),""^Sell_""),INDEX(FILTER(T$4:T1147,Q$4:Q1147&lt;&gt;""""),ROWS(FILTER(Q$4:Q1147,Q$4:Q1147&lt;&gt;""""))),$AD$5+S1148))"),"")</f>
        <v/>
      </c>
      <c r="U1148" s="10" t="str">
        <f>IFERROR(__xludf.DUMMYFUNCTION("IF(COUNTA(Q1148:Q1644)=0,"""",IF(Q1148="""",0,IF(REGEXMATCH(Q1148,""^Sell_""),-ROUNDDOWN(ROUNDUP(INDEX(Upgrades!$C$3:$C$13,MATCH(SUBSTITUTE(Q1148,""Sell_"",""""),Upgrades!$B$3:$B$13,0))*1.15^(COUNTIF(Q$4:Q1147,SUBSTITUTE(Q1148,""Sell_"",""""))-COUNTIF(Q$4"&amp;":Q1147,""Sell_""&amp;SUBSTITUTE(Q1148,""Sell_"",""""))))/2),ROUNDUP(INDEX(Upgrades!$C$3:$C$13,MATCH(Q1148,Upgrades!$B$3:$B$13,0))*1.15^(COUNTIF(Q$4:Q1147,Q1148)-COUNTIF(Q$4:Q1147,""Sell_""&amp;Q1148))))))"),"")</f>
        <v/>
      </c>
      <c r="V1148" s="10" t="str">
        <f t="shared" si="11"/>
        <v/>
      </c>
      <c r="W1148" s="68" t="str">
        <f t="shared" si="12"/>
        <v/>
      </c>
      <c r="X1148" s="59" t="str">
        <f t="shared" si="13"/>
        <v/>
      </c>
      <c r="Y1148" s="69" t="str">
        <f t="shared" si="14"/>
        <v/>
      </c>
      <c r="Z1148" s="11"/>
      <c r="AG1148" s="59"/>
    </row>
    <row r="1149">
      <c r="A1149" s="8"/>
      <c r="B1149" s="56" t="str">
        <f t="shared" si="2"/>
        <v/>
      </c>
      <c r="C1149" s="105"/>
      <c r="D1149" s="10"/>
      <c r="E1149" s="59" t="str">
        <f t="array" ref="E1149">IF(COUNTA(C1149:C1644)=0,"",SUM((COUNTIF(C$4:C1149,Upgrades!$B$3:$B$13)-COUNTIF(C$4:C1149,"Sell_"&amp;Upgrades!$B$3:$B$13))*Upgrades!$D$3:$D$13))</f>
        <v/>
      </c>
      <c r="F1149" s="66" t="str">
        <f>IFERROR(__xludf.DUMMYFUNCTION("IF(COUNTA(C1149:C1644)=0,"""",IF(REGEXMATCH(INDEX(FILTER(C$4:C1149,C$4:C1149&lt;&gt;""""),ROWS(FILTER(C$4:C1149,C$4:C1149&lt;&gt;""""))),""^Sell_""),INDEX(FILTER(F$4:F1148,C$4:C1148&lt;&gt;""""),ROWS(FILTER(C$4:C1148,C$4:C1148&lt;&gt;""""))),$AC$5+E1149))"),"")</f>
        <v/>
      </c>
      <c r="G1149" s="10" t="str">
        <f>IFERROR(__xludf.DUMMYFUNCTION("IF(COUNTA(C1149:C1644)=0,"""",IF(C1149="""",0,IF(REGEXMATCH(C1149,""^Sell_""),-ROUNDDOWN(ROUNDUP(INDEX(Upgrades!$C$3:$C$13,MATCH(SUBSTITUTE(C1149,""Sell_"",""""),Upgrades!$B$3:$B$13,0))*1.15^(COUNTIF(C$4:C1148,SUBSTITUTE(C1149,""Sell_"",""""))-COUNTIF(C$4"&amp;":C1148,""Sell_""&amp;SUBSTITUTE(C1149,""Sell_"",""""))))/2),ROUNDUP(INDEX(Upgrades!$C$3:$C$13,MATCH(C1149,Upgrades!$B$3:$B$13,0))*1.15^(COUNTIF(C$4:C1148,C1149)-COUNTIF(C$4:C1148,""Sell_""&amp;C1149))))))"),"")</f>
        <v/>
      </c>
      <c r="H1149" s="10" t="str">
        <f t="shared" si="3"/>
        <v/>
      </c>
      <c r="I1149" s="68" t="str">
        <f t="shared" si="4"/>
        <v/>
      </c>
      <c r="J1149" s="59" t="str">
        <f t="shared" si="5"/>
        <v/>
      </c>
      <c r="K1149" s="69" t="str">
        <f t="shared" si="6"/>
        <v/>
      </c>
      <c r="L1149" s="60" t="str">
        <f t="shared" si="7"/>
        <v/>
      </c>
      <c r="M1149" s="61" t="str">
        <f>IFERROR(__xludf.DUMMYFUNCTION("IFS(AND(COUNTA(C1149:C1644)=0,COUNTA(Q1149:Q1644)=0),"""",OR(AND(K1149&gt;=1000000000,OR(Y1149&gt;=1000000000,COUNTA(Q1149:Q1644)=0)),OR(Y1149&gt;=1000000000,AND(COUNTA(C1149:C1644)=0,P$3=TRUE))),
ROUNDDOWN((AB$1-AC$1)*MAX(INDEX(T$4:T1644,MATCH(LARGE(FILTER(Y$4:Y1"&amp;"644,Y$4:Y1644&lt;1000000000),1),Y$4:Y1644)),INDEX(F$4:F1644,MATCH(LARGE(FILTER(K$4:K1644,K$4:K1644&lt;1000000000),1),K$4:K1644)))),AND(K1149&lt;1000000000,COUNTA(C1149:C1644)&gt;0,P$3=FALSE),
ROUNDDOWN(INDEX(Y$4:Y1644,MATCH(LARGE(FILTER(W$4:W1644,W$4:W1644&lt;=I1149),1)"&amp;",W$4:W1644))+(I1149-LARGE(FILTER(W$4:W1644,W$4:W1644&lt;=I1149),1))*INDEX(T$4:T1644,MATCH(LARGE(FILTER(W$4:W1644,W$4:W1644&lt;=I1149),1),W$4:W1644))-K1149),1,
ROUNDDOWN(Y1149-INDEX(K$4:K1644,MATCH(LARGE(FILTER(I$4:I1644,I$4:I1644&lt;=W1149),1),I$4:I1644))-(W1149-L"&amp;"ARGE(FILTER(I$4:I1644,I$4:I1644&lt;=W1149),1))*INDEX(F$4:F1644,MATCH(LARGE(FILTER(I$4:I1644,I$4:I1644&lt;=W1149),1),I$4:I1644))))"),"")</f>
        <v/>
      </c>
      <c r="N1149" s="60" t="str">
        <f t="shared" si="8"/>
        <v/>
      </c>
      <c r="O1149" s="61" t="str">
        <f t="shared" si="9"/>
        <v/>
      </c>
      <c r="P1149" s="56" t="str">
        <f t="shared" si="10"/>
        <v/>
      </c>
      <c r="Q1149" s="105"/>
      <c r="R1149" s="10"/>
      <c r="S1149" s="59" t="str">
        <f t="array" ref="S1149">IF(COUNTA(Q1149:Q1644)=0,"",SUM((COUNTIF(Q$4:Q1149,Upgrades!$B$3:$B$13)-COUNTIF(Q$4:Q1149,"Sell_"&amp;Upgrades!$B$3:$B$13))*Upgrades!$D$3:$D$13))</f>
        <v/>
      </c>
      <c r="T1149" s="66" t="str">
        <f>IFERROR(__xludf.DUMMYFUNCTION("IF(COUNTA(Q1149:Q1644)=0,"""",IF(REGEXMATCH(INDEX(FILTER(Q$4:Q1149,Q$4:Q1149&lt;&gt;""""),ROWS(FILTER(Q$4:Q1149,Q$4:Q1149&lt;&gt;""""))),""^Sell_""),INDEX(FILTER(T$4:T1148,Q$4:Q1148&lt;&gt;""""),ROWS(FILTER(Q$4:Q1148,Q$4:Q1148&lt;&gt;""""))),$AD$5+S1149))"),"")</f>
        <v/>
      </c>
      <c r="U1149" s="10" t="str">
        <f>IFERROR(__xludf.DUMMYFUNCTION("IF(COUNTA(Q1149:Q1644)=0,"""",IF(Q1149="""",0,IF(REGEXMATCH(Q1149,""^Sell_""),-ROUNDDOWN(ROUNDUP(INDEX(Upgrades!$C$3:$C$13,MATCH(SUBSTITUTE(Q1149,""Sell_"",""""),Upgrades!$B$3:$B$13,0))*1.15^(COUNTIF(Q$4:Q1148,SUBSTITUTE(Q1149,""Sell_"",""""))-COUNTIF(Q$4"&amp;":Q1148,""Sell_""&amp;SUBSTITUTE(Q1149,""Sell_"",""""))))/2),ROUNDUP(INDEX(Upgrades!$C$3:$C$13,MATCH(Q1149,Upgrades!$B$3:$B$13,0))*1.15^(COUNTIF(Q$4:Q1148,Q1149)-COUNTIF(Q$4:Q1148,""Sell_""&amp;Q1149))))))"),"")</f>
        <v/>
      </c>
      <c r="V1149" s="10" t="str">
        <f t="shared" si="11"/>
        <v/>
      </c>
      <c r="W1149" s="68" t="str">
        <f t="shared" si="12"/>
        <v/>
      </c>
      <c r="X1149" s="59" t="str">
        <f t="shared" si="13"/>
        <v/>
      </c>
      <c r="Y1149" s="69" t="str">
        <f t="shared" si="14"/>
        <v/>
      </c>
      <c r="Z1149" s="11"/>
      <c r="AG1149" s="59"/>
    </row>
    <row r="1150">
      <c r="A1150" s="8"/>
      <c r="B1150" s="56" t="str">
        <f t="shared" si="2"/>
        <v/>
      </c>
      <c r="C1150" s="105"/>
      <c r="D1150" s="10"/>
      <c r="E1150" s="59" t="str">
        <f t="array" ref="E1150">IF(COUNTA(C1150:C1644)=0,"",SUM((COUNTIF(C$4:C1150,Upgrades!$B$3:$B$13)-COUNTIF(C$4:C1150,"Sell_"&amp;Upgrades!$B$3:$B$13))*Upgrades!$D$3:$D$13))</f>
        <v/>
      </c>
      <c r="F1150" s="66" t="str">
        <f>IFERROR(__xludf.DUMMYFUNCTION("IF(COUNTA(C1150:C1644)=0,"""",IF(REGEXMATCH(INDEX(FILTER(C$4:C1150,C$4:C1150&lt;&gt;""""),ROWS(FILTER(C$4:C1150,C$4:C1150&lt;&gt;""""))),""^Sell_""),INDEX(FILTER(F$4:F1149,C$4:C1149&lt;&gt;""""),ROWS(FILTER(C$4:C1149,C$4:C1149&lt;&gt;""""))),$AC$5+E1150))"),"")</f>
        <v/>
      </c>
      <c r="G1150" s="10" t="str">
        <f>IFERROR(__xludf.DUMMYFUNCTION("IF(COUNTA(C1150:C1644)=0,"""",IF(C1150="""",0,IF(REGEXMATCH(C1150,""^Sell_""),-ROUNDDOWN(ROUNDUP(INDEX(Upgrades!$C$3:$C$13,MATCH(SUBSTITUTE(C1150,""Sell_"",""""),Upgrades!$B$3:$B$13,0))*1.15^(COUNTIF(C$4:C1149,SUBSTITUTE(C1150,""Sell_"",""""))-COUNTIF(C$4"&amp;":C1149,""Sell_""&amp;SUBSTITUTE(C1150,""Sell_"",""""))))/2),ROUNDUP(INDEX(Upgrades!$C$3:$C$13,MATCH(C1150,Upgrades!$B$3:$B$13,0))*1.15^(COUNTIF(C$4:C1149,C1150)-COUNTIF(C$4:C1149,""Sell_""&amp;C1150))))))"),"")</f>
        <v/>
      </c>
      <c r="H1150" s="10" t="str">
        <f t="shared" si="3"/>
        <v/>
      </c>
      <c r="I1150" s="68" t="str">
        <f t="shared" si="4"/>
        <v/>
      </c>
      <c r="J1150" s="59" t="str">
        <f t="shared" si="5"/>
        <v/>
      </c>
      <c r="K1150" s="69" t="str">
        <f t="shared" si="6"/>
        <v/>
      </c>
      <c r="L1150" s="60" t="str">
        <f t="shared" si="7"/>
        <v/>
      </c>
      <c r="M1150" s="61" t="str">
        <f>IFERROR(__xludf.DUMMYFUNCTION("IFS(AND(COUNTA(C1150:C1644)=0,COUNTA(Q1150:Q1644)=0),"""",OR(AND(K1150&gt;=1000000000,OR(Y1150&gt;=1000000000,COUNTA(Q1150:Q1644)=0)),OR(Y1150&gt;=1000000000,AND(COUNTA(C1150:C1644)=0,P$3=TRUE))),
ROUNDDOWN((AB$1-AC$1)*MAX(INDEX(T$4:T1644,MATCH(LARGE(FILTER(Y$4:Y1"&amp;"644,Y$4:Y1644&lt;1000000000),1),Y$4:Y1644)),INDEX(F$4:F1644,MATCH(LARGE(FILTER(K$4:K1644,K$4:K1644&lt;1000000000),1),K$4:K1644)))),AND(K1150&lt;1000000000,COUNTA(C1150:C1644)&gt;0,P$3=FALSE),
ROUNDDOWN(INDEX(Y$4:Y1644,MATCH(LARGE(FILTER(W$4:W1644,W$4:W1644&lt;=I1150),1)"&amp;",W$4:W1644))+(I1150-LARGE(FILTER(W$4:W1644,W$4:W1644&lt;=I1150),1))*INDEX(T$4:T1644,MATCH(LARGE(FILTER(W$4:W1644,W$4:W1644&lt;=I1150),1),W$4:W1644))-K1150),1,
ROUNDDOWN(Y1150-INDEX(K$4:K1644,MATCH(LARGE(FILTER(I$4:I1644,I$4:I1644&lt;=W1150),1),I$4:I1644))-(W1150-L"&amp;"ARGE(FILTER(I$4:I1644,I$4:I1644&lt;=W1150),1))*INDEX(F$4:F1644,MATCH(LARGE(FILTER(I$4:I1644,I$4:I1644&lt;=W1150),1),I$4:I1644))))"),"")</f>
        <v/>
      </c>
      <c r="N1150" s="60" t="str">
        <f t="shared" si="8"/>
        <v/>
      </c>
      <c r="O1150" s="61" t="str">
        <f t="shared" si="9"/>
        <v/>
      </c>
      <c r="P1150" s="56" t="str">
        <f t="shared" si="10"/>
        <v/>
      </c>
      <c r="Q1150" s="105"/>
      <c r="R1150" s="10"/>
      <c r="S1150" s="59" t="str">
        <f t="array" ref="S1150">IF(COUNTA(Q1150:Q1644)=0,"",SUM((COUNTIF(Q$4:Q1150,Upgrades!$B$3:$B$13)-COUNTIF(Q$4:Q1150,"Sell_"&amp;Upgrades!$B$3:$B$13))*Upgrades!$D$3:$D$13))</f>
        <v/>
      </c>
      <c r="T1150" s="66" t="str">
        <f>IFERROR(__xludf.DUMMYFUNCTION("IF(COUNTA(Q1150:Q1644)=0,"""",IF(REGEXMATCH(INDEX(FILTER(Q$4:Q1150,Q$4:Q1150&lt;&gt;""""),ROWS(FILTER(Q$4:Q1150,Q$4:Q1150&lt;&gt;""""))),""^Sell_""),INDEX(FILTER(T$4:T1149,Q$4:Q1149&lt;&gt;""""),ROWS(FILTER(Q$4:Q1149,Q$4:Q1149&lt;&gt;""""))),$AD$5+S1150))"),"")</f>
        <v/>
      </c>
      <c r="U1150" s="10" t="str">
        <f>IFERROR(__xludf.DUMMYFUNCTION("IF(COUNTA(Q1150:Q1644)=0,"""",IF(Q1150="""",0,IF(REGEXMATCH(Q1150,""^Sell_""),-ROUNDDOWN(ROUNDUP(INDEX(Upgrades!$C$3:$C$13,MATCH(SUBSTITUTE(Q1150,""Sell_"",""""),Upgrades!$B$3:$B$13,0))*1.15^(COUNTIF(Q$4:Q1149,SUBSTITUTE(Q1150,""Sell_"",""""))-COUNTIF(Q$4"&amp;":Q1149,""Sell_""&amp;SUBSTITUTE(Q1150,""Sell_"",""""))))/2),ROUNDUP(INDEX(Upgrades!$C$3:$C$13,MATCH(Q1150,Upgrades!$B$3:$B$13,0))*1.15^(COUNTIF(Q$4:Q1149,Q1150)-COUNTIF(Q$4:Q1149,""Sell_""&amp;Q1150))))))"),"")</f>
        <v/>
      </c>
      <c r="V1150" s="10" t="str">
        <f t="shared" si="11"/>
        <v/>
      </c>
      <c r="W1150" s="68" t="str">
        <f t="shared" si="12"/>
        <v/>
      </c>
      <c r="X1150" s="59" t="str">
        <f t="shared" si="13"/>
        <v/>
      </c>
      <c r="Y1150" s="69" t="str">
        <f t="shared" si="14"/>
        <v/>
      </c>
      <c r="Z1150" s="11"/>
      <c r="AG1150" s="59"/>
    </row>
    <row r="1151">
      <c r="A1151" s="8"/>
      <c r="B1151" s="56" t="str">
        <f t="shared" si="2"/>
        <v/>
      </c>
      <c r="C1151" s="105"/>
      <c r="D1151" s="10"/>
      <c r="E1151" s="59" t="str">
        <f t="array" ref="E1151">IF(COUNTA(C1151:C1644)=0,"",SUM((COUNTIF(C$4:C1151,Upgrades!$B$3:$B$13)-COUNTIF(C$4:C1151,"Sell_"&amp;Upgrades!$B$3:$B$13))*Upgrades!$D$3:$D$13))</f>
        <v/>
      </c>
      <c r="F1151" s="66" t="str">
        <f>IFERROR(__xludf.DUMMYFUNCTION("IF(COUNTA(C1151:C1644)=0,"""",IF(REGEXMATCH(INDEX(FILTER(C$4:C1151,C$4:C1151&lt;&gt;""""),ROWS(FILTER(C$4:C1151,C$4:C1151&lt;&gt;""""))),""^Sell_""),INDEX(FILTER(F$4:F1150,C$4:C1150&lt;&gt;""""),ROWS(FILTER(C$4:C1150,C$4:C1150&lt;&gt;""""))),$AC$5+E1151))"),"")</f>
        <v/>
      </c>
      <c r="G1151" s="10" t="str">
        <f>IFERROR(__xludf.DUMMYFUNCTION("IF(COUNTA(C1151:C1644)=0,"""",IF(C1151="""",0,IF(REGEXMATCH(C1151,""^Sell_""),-ROUNDDOWN(ROUNDUP(INDEX(Upgrades!$C$3:$C$13,MATCH(SUBSTITUTE(C1151,""Sell_"",""""),Upgrades!$B$3:$B$13,0))*1.15^(COUNTIF(C$4:C1150,SUBSTITUTE(C1151,""Sell_"",""""))-COUNTIF(C$4"&amp;":C1150,""Sell_""&amp;SUBSTITUTE(C1151,""Sell_"",""""))))/2),ROUNDUP(INDEX(Upgrades!$C$3:$C$13,MATCH(C1151,Upgrades!$B$3:$B$13,0))*1.15^(COUNTIF(C$4:C1150,C1151)-COUNTIF(C$4:C1150,""Sell_""&amp;C1151))))))"),"")</f>
        <v/>
      </c>
      <c r="H1151" s="10" t="str">
        <f t="shared" si="3"/>
        <v/>
      </c>
      <c r="I1151" s="68" t="str">
        <f t="shared" si="4"/>
        <v/>
      </c>
      <c r="J1151" s="59" t="str">
        <f t="shared" si="5"/>
        <v/>
      </c>
      <c r="K1151" s="69" t="str">
        <f t="shared" si="6"/>
        <v/>
      </c>
      <c r="L1151" s="60" t="str">
        <f t="shared" si="7"/>
        <v/>
      </c>
      <c r="M1151" s="61" t="str">
        <f>IFERROR(__xludf.DUMMYFUNCTION("IFS(AND(COUNTA(C1151:C1644)=0,COUNTA(Q1151:Q1644)=0),"""",OR(AND(K1151&gt;=1000000000,OR(Y1151&gt;=1000000000,COUNTA(Q1151:Q1644)=0)),OR(Y1151&gt;=1000000000,AND(COUNTA(C1151:C1644)=0,P$3=TRUE))),
ROUNDDOWN((AB$1-AC$1)*MAX(INDEX(T$4:T1644,MATCH(LARGE(FILTER(Y$4:Y1"&amp;"644,Y$4:Y1644&lt;1000000000),1),Y$4:Y1644)),INDEX(F$4:F1644,MATCH(LARGE(FILTER(K$4:K1644,K$4:K1644&lt;1000000000),1),K$4:K1644)))),AND(K1151&lt;1000000000,COUNTA(C1151:C1644)&gt;0,P$3=FALSE),
ROUNDDOWN(INDEX(Y$4:Y1644,MATCH(LARGE(FILTER(W$4:W1644,W$4:W1644&lt;=I1151),1)"&amp;",W$4:W1644))+(I1151-LARGE(FILTER(W$4:W1644,W$4:W1644&lt;=I1151),1))*INDEX(T$4:T1644,MATCH(LARGE(FILTER(W$4:W1644,W$4:W1644&lt;=I1151),1),W$4:W1644))-K1151),1,
ROUNDDOWN(Y1151-INDEX(K$4:K1644,MATCH(LARGE(FILTER(I$4:I1644,I$4:I1644&lt;=W1151),1),I$4:I1644))-(W1151-L"&amp;"ARGE(FILTER(I$4:I1644,I$4:I1644&lt;=W1151),1))*INDEX(F$4:F1644,MATCH(LARGE(FILTER(I$4:I1644,I$4:I1644&lt;=W1151),1),I$4:I1644))))"),"")</f>
        <v/>
      </c>
      <c r="N1151" s="60" t="str">
        <f t="shared" si="8"/>
        <v/>
      </c>
      <c r="O1151" s="61" t="str">
        <f t="shared" si="9"/>
        <v/>
      </c>
      <c r="P1151" s="56" t="str">
        <f t="shared" si="10"/>
        <v/>
      </c>
      <c r="Q1151" s="105"/>
      <c r="R1151" s="10"/>
      <c r="S1151" s="59" t="str">
        <f t="array" ref="S1151">IF(COUNTA(Q1151:Q1644)=0,"",SUM((COUNTIF(Q$4:Q1151,Upgrades!$B$3:$B$13)-COUNTIF(Q$4:Q1151,"Sell_"&amp;Upgrades!$B$3:$B$13))*Upgrades!$D$3:$D$13))</f>
        <v/>
      </c>
      <c r="T1151" s="66" t="str">
        <f>IFERROR(__xludf.DUMMYFUNCTION("IF(COUNTA(Q1151:Q1644)=0,"""",IF(REGEXMATCH(INDEX(FILTER(Q$4:Q1151,Q$4:Q1151&lt;&gt;""""),ROWS(FILTER(Q$4:Q1151,Q$4:Q1151&lt;&gt;""""))),""^Sell_""),INDEX(FILTER(T$4:T1150,Q$4:Q1150&lt;&gt;""""),ROWS(FILTER(Q$4:Q1150,Q$4:Q1150&lt;&gt;""""))),$AD$5+S1151))"),"")</f>
        <v/>
      </c>
      <c r="U1151" s="10" t="str">
        <f>IFERROR(__xludf.DUMMYFUNCTION("IF(COUNTA(Q1151:Q1644)=0,"""",IF(Q1151="""",0,IF(REGEXMATCH(Q1151,""^Sell_""),-ROUNDDOWN(ROUNDUP(INDEX(Upgrades!$C$3:$C$13,MATCH(SUBSTITUTE(Q1151,""Sell_"",""""),Upgrades!$B$3:$B$13,0))*1.15^(COUNTIF(Q$4:Q1150,SUBSTITUTE(Q1151,""Sell_"",""""))-COUNTIF(Q$4"&amp;":Q1150,""Sell_""&amp;SUBSTITUTE(Q1151,""Sell_"",""""))))/2),ROUNDUP(INDEX(Upgrades!$C$3:$C$13,MATCH(Q1151,Upgrades!$B$3:$B$13,0))*1.15^(COUNTIF(Q$4:Q1150,Q1151)-COUNTIF(Q$4:Q1150,""Sell_""&amp;Q1151))))))"),"")</f>
        <v/>
      </c>
      <c r="V1151" s="10" t="str">
        <f t="shared" si="11"/>
        <v/>
      </c>
      <c r="W1151" s="68" t="str">
        <f t="shared" si="12"/>
        <v/>
      </c>
      <c r="X1151" s="59" t="str">
        <f t="shared" si="13"/>
        <v/>
      </c>
      <c r="Y1151" s="69" t="str">
        <f t="shared" si="14"/>
        <v/>
      </c>
      <c r="Z1151" s="11"/>
      <c r="AG1151" s="59"/>
    </row>
    <row r="1152">
      <c r="A1152" s="8"/>
      <c r="B1152" s="56" t="str">
        <f t="shared" si="2"/>
        <v/>
      </c>
      <c r="C1152" s="105"/>
      <c r="D1152" s="10"/>
      <c r="E1152" s="59" t="str">
        <f t="array" ref="E1152">IF(COUNTA(C1152:C1644)=0,"",SUM((COUNTIF(C$4:C1152,Upgrades!$B$3:$B$13)-COUNTIF(C$4:C1152,"Sell_"&amp;Upgrades!$B$3:$B$13))*Upgrades!$D$3:$D$13))</f>
        <v/>
      </c>
      <c r="F1152" s="66" t="str">
        <f>IFERROR(__xludf.DUMMYFUNCTION("IF(COUNTA(C1152:C1644)=0,"""",IF(REGEXMATCH(INDEX(FILTER(C$4:C1152,C$4:C1152&lt;&gt;""""),ROWS(FILTER(C$4:C1152,C$4:C1152&lt;&gt;""""))),""^Sell_""),INDEX(FILTER(F$4:F1151,C$4:C1151&lt;&gt;""""),ROWS(FILTER(C$4:C1151,C$4:C1151&lt;&gt;""""))),$AC$5+E1152))"),"")</f>
        <v/>
      </c>
      <c r="G1152" s="10" t="str">
        <f>IFERROR(__xludf.DUMMYFUNCTION("IF(COUNTA(C1152:C1644)=0,"""",IF(C1152="""",0,IF(REGEXMATCH(C1152,""^Sell_""),-ROUNDDOWN(ROUNDUP(INDEX(Upgrades!$C$3:$C$13,MATCH(SUBSTITUTE(C1152,""Sell_"",""""),Upgrades!$B$3:$B$13,0))*1.15^(COUNTIF(C$4:C1151,SUBSTITUTE(C1152,""Sell_"",""""))-COUNTIF(C$4"&amp;":C1151,""Sell_""&amp;SUBSTITUTE(C1152,""Sell_"",""""))))/2),ROUNDUP(INDEX(Upgrades!$C$3:$C$13,MATCH(C1152,Upgrades!$B$3:$B$13,0))*1.15^(COUNTIF(C$4:C1151,C1152)-COUNTIF(C$4:C1151,""Sell_""&amp;C1152))))))"),"")</f>
        <v/>
      </c>
      <c r="H1152" s="10" t="str">
        <f t="shared" si="3"/>
        <v/>
      </c>
      <c r="I1152" s="68" t="str">
        <f t="shared" si="4"/>
        <v/>
      </c>
      <c r="J1152" s="59" t="str">
        <f t="shared" si="5"/>
        <v/>
      </c>
      <c r="K1152" s="69" t="str">
        <f t="shared" si="6"/>
        <v/>
      </c>
      <c r="L1152" s="60" t="str">
        <f t="shared" si="7"/>
        <v/>
      </c>
      <c r="M1152" s="61" t="str">
        <f>IFERROR(__xludf.DUMMYFUNCTION("IFS(AND(COUNTA(C1152:C1644)=0,COUNTA(Q1152:Q1644)=0),"""",OR(AND(K1152&gt;=1000000000,OR(Y1152&gt;=1000000000,COUNTA(Q1152:Q1644)=0)),OR(Y1152&gt;=1000000000,AND(COUNTA(C1152:C1644)=0,P$3=TRUE))),
ROUNDDOWN((AB$1-AC$1)*MAX(INDEX(T$4:T1644,MATCH(LARGE(FILTER(Y$4:Y1"&amp;"644,Y$4:Y1644&lt;1000000000),1),Y$4:Y1644)),INDEX(F$4:F1644,MATCH(LARGE(FILTER(K$4:K1644,K$4:K1644&lt;1000000000),1),K$4:K1644)))),AND(K1152&lt;1000000000,COUNTA(C1152:C1644)&gt;0,P$3=FALSE),
ROUNDDOWN(INDEX(Y$4:Y1644,MATCH(LARGE(FILTER(W$4:W1644,W$4:W1644&lt;=I1152),1)"&amp;",W$4:W1644))+(I1152-LARGE(FILTER(W$4:W1644,W$4:W1644&lt;=I1152),1))*INDEX(T$4:T1644,MATCH(LARGE(FILTER(W$4:W1644,W$4:W1644&lt;=I1152),1),W$4:W1644))-K1152),1,
ROUNDDOWN(Y1152-INDEX(K$4:K1644,MATCH(LARGE(FILTER(I$4:I1644,I$4:I1644&lt;=W1152),1),I$4:I1644))-(W1152-L"&amp;"ARGE(FILTER(I$4:I1644,I$4:I1644&lt;=W1152),1))*INDEX(F$4:F1644,MATCH(LARGE(FILTER(I$4:I1644,I$4:I1644&lt;=W1152),1),I$4:I1644))))"),"")</f>
        <v/>
      </c>
      <c r="N1152" s="60" t="str">
        <f t="shared" si="8"/>
        <v/>
      </c>
      <c r="O1152" s="61" t="str">
        <f t="shared" si="9"/>
        <v/>
      </c>
      <c r="P1152" s="56" t="str">
        <f t="shared" si="10"/>
        <v/>
      </c>
      <c r="Q1152" s="105"/>
      <c r="R1152" s="10"/>
      <c r="S1152" s="59" t="str">
        <f t="array" ref="S1152">IF(COUNTA(Q1152:Q1644)=0,"",SUM((COUNTIF(Q$4:Q1152,Upgrades!$B$3:$B$13)-COUNTIF(Q$4:Q1152,"Sell_"&amp;Upgrades!$B$3:$B$13))*Upgrades!$D$3:$D$13))</f>
        <v/>
      </c>
      <c r="T1152" s="66" t="str">
        <f>IFERROR(__xludf.DUMMYFUNCTION("IF(COUNTA(Q1152:Q1644)=0,"""",IF(REGEXMATCH(INDEX(FILTER(Q$4:Q1152,Q$4:Q1152&lt;&gt;""""),ROWS(FILTER(Q$4:Q1152,Q$4:Q1152&lt;&gt;""""))),""^Sell_""),INDEX(FILTER(T$4:T1151,Q$4:Q1151&lt;&gt;""""),ROWS(FILTER(Q$4:Q1151,Q$4:Q1151&lt;&gt;""""))),$AD$5+S1152))"),"")</f>
        <v/>
      </c>
      <c r="U1152" s="10" t="str">
        <f>IFERROR(__xludf.DUMMYFUNCTION("IF(COUNTA(Q1152:Q1644)=0,"""",IF(Q1152="""",0,IF(REGEXMATCH(Q1152,""^Sell_""),-ROUNDDOWN(ROUNDUP(INDEX(Upgrades!$C$3:$C$13,MATCH(SUBSTITUTE(Q1152,""Sell_"",""""),Upgrades!$B$3:$B$13,0))*1.15^(COUNTIF(Q$4:Q1151,SUBSTITUTE(Q1152,""Sell_"",""""))-COUNTIF(Q$4"&amp;":Q1151,""Sell_""&amp;SUBSTITUTE(Q1152,""Sell_"",""""))))/2),ROUNDUP(INDEX(Upgrades!$C$3:$C$13,MATCH(Q1152,Upgrades!$B$3:$B$13,0))*1.15^(COUNTIF(Q$4:Q1151,Q1152)-COUNTIF(Q$4:Q1151,""Sell_""&amp;Q1152))))))"),"")</f>
        <v/>
      </c>
      <c r="V1152" s="10" t="str">
        <f t="shared" si="11"/>
        <v/>
      </c>
      <c r="W1152" s="68" t="str">
        <f t="shared" si="12"/>
        <v/>
      </c>
      <c r="X1152" s="59" t="str">
        <f t="shared" si="13"/>
        <v/>
      </c>
      <c r="Y1152" s="69" t="str">
        <f t="shared" si="14"/>
        <v/>
      </c>
      <c r="Z1152" s="11"/>
      <c r="AG1152" s="59"/>
    </row>
    <row r="1153">
      <c r="A1153" s="8"/>
      <c r="B1153" s="56" t="str">
        <f t="shared" si="2"/>
        <v/>
      </c>
      <c r="C1153" s="105"/>
      <c r="D1153" s="10"/>
      <c r="E1153" s="59" t="str">
        <f t="array" ref="E1153">IF(COUNTA(C1153:C1644)=0,"",SUM((COUNTIF(C$4:C1153,Upgrades!$B$3:$B$13)-COUNTIF(C$4:C1153,"Sell_"&amp;Upgrades!$B$3:$B$13))*Upgrades!$D$3:$D$13))</f>
        <v/>
      </c>
      <c r="F1153" s="66" t="str">
        <f>IFERROR(__xludf.DUMMYFUNCTION("IF(COUNTA(C1153:C1644)=0,"""",IF(REGEXMATCH(INDEX(FILTER(C$4:C1153,C$4:C1153&lt;&gt;""""),ROWS(FILTER(C$4:C1153,C$4:C1153&lt;&gt;""""))),""^Sell_""),INDEX(FILTER(F$4:F1152,C$4:C1152&lt;&gt;""""),ROWS(FILTER(C$4:C1152,C$4:C1152&lt;&gt;""""))),$AC$5+E1153))"),"")</f>
        <v/>
      </c>
      <c r="G1153" s="10" t="str">
        <f>IFERROR(__xludf.DUMMYFUNCTION("IF(COUNTA(C1153:C1644)=0,"""",IF(C1153="""",0,IF(REGEXMATCH(C1153,""^Sell_""),-ROUNDDOWN(ROUNDUP(INDEX(Upgrades!$C$3:$C$13,MATCH(SUBSTITUTE(C1153,""Sell_"",""""),Upgrades!$B$3:$B$13,0))*1.15^(COUNTIF(C$4:C1152,SUBSTITUTE(C1153,""Sell_"",""""))-COUNTIF(C$4"&amp;":C1152,""Sell_""&amp;SUBSTITUTE(C1153,""Sell_"",""""))))/2),ROUNDUP(INDEX(Upgrades!$C$3:$C$13,MATCH(C1153,Upgrades!$B$3:$B$13,0))*1.15^(COUNTIF(C$4:C1152,C1153)-COUNTIF(C$4:C1152,""Sell_""&amp;C1153))))))"),"")</f>
        <v/>
      </c>
      <c r="H1153" s="10" t="str">
        <f t="shared" si="3"/>
        <v/>
      </c>
      <c r="I1153" s="68" t="str">
        <f t="shared" si="4"/>
        <v/>
      </c>
      <c r="J1153" s="59" t="str">
        <f t="shared" si="5"/>
        <v/>
      </c>
      <c r="K1153" s="69" t="str">
        <f t="shared" si="6"/>
        <v/>
      </c>
      <c r="L1153" s="60" t="str">
        <f t="shared" si="7"/>
        <v/>
      </c>
      <c r="M1153" s="61" t="str">
        <f>IFERROR(__xludf.DUMMYFUNCTION("IFS(AND(COUNTA(C1153:C1644)=0,COUNTA(Q1153:Q1644)=0),"""",OR(AND(K1153&gt;=1000000000,OR(Y1153&gt;=1000000000,COUNTA(Q1153:Q1644)=0)),OR(Y1153&gt;=1000000000,AND(COUNTA(C1153:C1644)=0,P$3=TRUE))),
ROUNDDOWN((AB$1-AC$1)*MAX(INDEX(T$4:T1644,MATCH(LARGE(FILTER(Y$4:Y1"&amp;"644,Y$4:Y1644&lt;1000000000),1),Y$4:Y1644)),INDEX(F$4:F1644,MATCH(LARGE(FILTER(K$4:K1644,K$4:K1644&lt;1000000000),1),K$4:K1644)))),AND(K1153&lt;1000000000,COUNTA(C1153:C1644)&gt;0,P$3=FALSE),
ROUNDDOWN(INDEX(Y$4:Y1644,MATCH(LARGE(FILTER(W$4:W1644,W$4:W1644&lt;=I1153),1)"&amp;",W$4:W1644))+(I1153-LARGE(FILTER(W$4:W1644,W$4:W1644&lt;=I1153),1))*INDEX(T$4:T1644,MATCH(LARGE(FILTER(W$4:W1644,W$4:W1644&lt;=I1153),1),W$4:W1644))-K1153),1,
ROUNDDOWN(Y1153-INDEX(K$4:K1644,MATCH(LARGE(FILTER(I$4:I1644,I$4:I1644&lt;=W1153),1),I$4:I1644))-(W1153-L"&amp;"ARGE(FILTER(I$4:I1644,I$4:I1644&lt;=W1153),1))*INDEX(F$4:F1644,MATCH(LARGE(FILTER(I$4:I1644,I$4:I1644&lt;=W1153),1),I$4:I1644))))"),"")</f>
        <v/>
      </c>
      <c r="N1153" s="60" t="str">
        <f t="shared" si="8"/>
        <v/>
      </c>
      <c r="O1153" s="61" t="str">
        <f t="shared" si="9"/>
        <v/>
      </c>
      <c r="P1153" s="56" t="str">
        <f t="shared" si="10"/>
        <v/>
      </c>
      <c r="Q1153" s="105"/>
      <c r="R1153" s="10"/>
      <c r="S1153" s="59" t="str">
        <f t="array" ref="S1153">IF(COUNTA(Q1153:Q1644)=0,"",SUM((COUNTIF(Q$4:Q1153,Upgrades!$B$3:$B$13)-COUNTIF(Q$4:Q1153,"Sell_"&amp;Upgrades!$B$3:$B$13))*Upgrades!$D$3:$D$13))</f>
        <v/>
      </c>
      <c r="T1153" s="66" t="str">
        <f>IFERROR(__xludf.DUMMYFUNCTION("IF(COUNTA(Q1153:Q1644)=0,"""",IF(REGEXMATCH(INDEX(FILTER(Q$4:Q1153,Q$4:Q1153&lt;&gt;""""),ROWS(FILTER(Q$4:Q1153,Q$4:Q1153&lt;&gt;""""))),""^Sell_""),INDEX(FILTER(T$4:T1152,Q$4:Q1152&lt;&gt;""""),ROWS(FILTER(Q$4:Q1152,Q$4:Q1152&lt;&gt;""""))),$AD$5+S1153))"),"")</f>
        <v/>
      </c>
      <c r="U1153" s="10" t="str">
        <f>IFERROR(__xludf.DUMMYFUNCTION("IF(COUNTA(Q1153:Q1644)=0,"""",IF(Q1153="""",0,IF(REGEXMATCH(Q1153,""^Sell_""),-ROUNDDOWN(ROUNDUP(INDEX(Upgrades!$C$3:$C$13,MATCH(SUBSTITUTE(Q1153,""Sell_"",""""),Upgrades!$B$3:$B$13,0))*1.15^(COUNTIF(Q$4:Q1152,SUBSTITUTE(Q1153,""Sell_"",""""))-COUNTIF(Q$4"&amp;":Q1152,""Sell_""&amp;SUBSTITUTE(Q1153,""Sell_"",""""))))/2),ROUNDUP(INDEX(Upgrades!$C$3:$C$13,MATCH(Q1153,Upgrades!$B$3:$B$13,0))*1.15^(COUNTIF(Q$4:Q1152,Q1153)-COUNTIF(Q$4:Q1152,""Sell_""&amp;Q1153))))))"),"")</f>
        <v/>
      </c>
      <c r="V1153" s="10" t="str">
        <f t="shared" si="11"/>
        <v/>
      </c>
      <c r="W1153" s="68" t="str">
        <f t="shared" si="12"/>
        <v/>
      </c>
      <c r="X1153" s="59" t="str">
        <f t="shared" si="13"/>
        <v/>
      </c>
      <c r="Y1153" s="69" t="str">
        <f t="shared" si="14"/>
        <v/>
      </c>
      <c r="Z1153" s="11"/>
      <c r="AG1153" s="59"/>
    </row>
    <row r="1154">
      <c r="A1154" s="8"/>
      <c r="B1154" s="56" t="str">
        <f t="shared" si="2"/>
        <v/>
      </c>
      <c r="C1154" s="105"/>
      <c r="D1154" s="10"/>
      <c r="E1154" s="59" t="str">
        <f t="array" ref="E1154">IF(COUNTA(C1154:C1644)=0,"",SUM((COUNTIF(C$4:C1154,Upgrades!$B$3:$B$13)-COUNTIF(C$4:C1154,"Sell_"&amp;Upgrades!$B$3:$B$13))*Upgrades!$D$3:$D$13))</f>
        <v/>
      </c>
      <c r="F1154" s="66" t="str">
        <f>IFERROR(__xludf.DUMMYFUNCTION("IF(COUNTA(C1154:C1644)=0,"""",IF(REGEXMATCH(INDEX(FILTER(C$4:C1154,C$4:C1154&lt;&gt;""""),ROWS(FILTER(C$4:C1154,C$4:C1154&lt;&gt;""""))),""^Sell_""),INDEX(FILTER(F$4:F1153,C$4:C1153&lt;&gt;""""),ROWS(FILTER(C$4:C1153,C$4:C1153&lt;&gt;""""))),$AC$5+E1154))"),"")</f>
        <v/>
      </c>
      <c r="G1154" s="10" t="str">
        <f>IFERROR(__xludf.DUMMYFUNCTION("IF(COUNTA(C1154:C1644)=0,"""",IF(C1154="""",0,IF(REGEXMATCH(C1154,""^Sell_""),-ROUNDDOWN(ROUNDUP(INDEX(Upgrades!$C$3:$C$13,MATCH(SUBSTITUTE(C1154,""Sell_"",""""),Upgrades!$B$3:$B$13,0))*1.15^(COUNTIF(C$4:C1153,SUBSTITUTE(C1154,""Sell_"",""""))-COUNTIF(C$4"&amp;":C1153,""Sell_""&amp;SUBSTITUTE(C1154,""Sell_"",""""))))/2),ROUNDUP(INDEX(Upgrades!$C$3:$C$13,MATCH(C1154,Upgrades!$B$3:$B$13,0))*1.15^(COUNTIF(C$4:C1153,C1154)-COUNTIF(C$4:C1153,""Sell_""&amp;C1154))))))"),"")</f>
        <v/>
      </c>
      <c r="H1154" s="10" t="str">
        <f t="shared" si="3"/>
        <v/>
      </c>
      <c r="I1154" s="68" t="str">
        <f t="shared" si="4"/>
        <v/>
      </c>
      <c r="J1154" s="59" t="str">
        <f t="shared" si="5"/>
        <v/>
      </c>
      <c r="K1154" s="69" t="str">
        <f t="shared" si="6"/>
        <v/>
      </c>
      <c r="L1154" s="60" t="str">
        <f t="shared" si="7"/>
        <v/>
      </c>
      <c r="M1154" s="61" t="str">
        <f>IFERROR(__xludf.DUMMYFUNCTION("IFS(AND(COUNTA(C1154:C1644)=0,COUNTA(Q1154:Q1644)=0),"""",OR(AND(K1154&gt;=1000000000,OR(Y1154&gt;=1000000000,COUNTA(Q1154:Q1644)=0)),OR(Y1154&gt;=1000000000,AND(COUNTA(C1154:C1644)=0,P$3=TRUE))),
ROUNDDOWN((AB$1-AC$1)*MAX(INDEX(T$4:T1644,MATCH(LARGE(FILTER(Y$4:Y1"&amp;"644,Y$4:Y1644&lt;1000000000),1),Y$4:Y1644)),INDEX(F$4:F1644,MATCH(LARGE(FILTER(K$4:K1644,K$4:K1644&lt;1000000000),1),K$4:K1644)))),AND(K1154&lt;1000000000,COUNTA(C1154:C1644)&gt;0,P$3=FALSE),
ROUNDDOWN(INDEX(Y$4:Y1644,MATCH(LARGE(FILTER(W$4:W1644,W$4:W1644&lt;=I1154),1)"&amp;",W$4:W1644))+(I1154-LARGE(FILTER(W$4:W1644,W$4:W1644&lt;=I1154),1))*INDEX(T$4:T1644,MATCH(LARGE(FILTER(W$4:W1644,W$4:W1644&lt;=I1154),1),W$4:W1644))-K1154),1,
ROUNDDOWN(Y1154-INDEX(K$4:K1644,MATCH(LARGE(FILTER(I$4:I1644,I$4:I1644&lt;=W1154),1),I$4:I1644))-(W1154-L"&amp;"ARGE(FILTER(I$4:I1644,I$4:I1644&lt;=W1154),1))*INDEX(F$4:F1644,MATCH(LARGE(FILTER(I$4:I1644,I$4:I1644&lt;=W1154),1),I$4:I1644))))"),"")</f>
        <v/>
      </c>
      <c r="N1154" s="60" t="str">
        <f t="shared" si="8"/>
        <v/>
      </c>
      <c r="O1154" s="61" t="str">
        <f t="shared" si="9"/>
        <v/>
      </c>
      <c r="P1154" s="56" t="str">
        <f t="shared" si="10"/>
        <v/>
      </c>
      <c r="Q1154" s="105"/>
      <c r="R1154" s="10"/>
      <c r="S1154" s="59" t="str">
        <f t="array" ref="S1154">IF(COUNTA(Q1154:Q1644)=0,"",SUM((COUNTIF(Q$4:Q1154,Upgrades!$B$3:$B$13)-COUNTIF(Q$4:Q1154,"Sell_"&amp;Upgrades!$B$3:$B$13))*Upgrades!$D$3:$D$13))</f>
        <v/>
      </c>
      <c r="T1154" s="66" t="str">
        <f>IFERROR(__xludf.DUMMYFUNCTION("IF(COUNTA(Q1154:Q1644)=0,"""",IF(REGEXMATCH(INDEX(FILTER(Q$4:Q1154,Q$4:Q1154&lt;&gt;""""),ROWS(FILTER(Q$4:Q1154,Q$4:Q1154&lt;&gt;""""))),""^Sell_""),INDEX(FILTER(T$4:T1153,Q$4:Q1153&lt;&gt;""""),ROWS(FILTER(Q$4:Q1153,Q$4:Q1153&lt;&gt;""""))),$AD$5+S1154))"),"")</f>
        <v/>
      </c>
      <c r="U1154" s="10" t="str">
        <f>IFERROR(__xludf.DUMMYFUNCTION("IF(COUNTA(Q1154:Q1644)=0,"""",IF(Q1154="""",0,IF(REGEXMATCH(Q1154,""^Sell_""),-ROUNDDOWN(ROUNDUP(INDEX(Upgrades!$C$3:$C$13,MATCH(SUBSTITUTE(Q1154,""Sell_"",""""),Upgrades!$B$3:$B$13,0))*1.15^(COUNTIF(Q$4:Q1153,SUBSTITUTE(Q1154,""Sell_"",""""))-COUNTIF(Q$4"&amp;":Q1153,""Sell_""&amp;SUBSTITUTE(Q1154,""Sell_"",""""))))/2),ROUNDUP(INDEX(Upgrades!$C$3:$C$13,MATCH(Q1154,Upgrades!$B$3:$B$13,0))*1.15^(COUNTIF(Q$4:Q1153,Q1154)-COUNTIF(Q$4:Q1153,""Sell_""&amp;Q1154))))))"),"")</f>
        <v/>
      </c>
      <c r="V1154" s="10" t="str">
        <f t="shared" si="11"/>
        <v/>
      </c>
      <c r="W1154" s="68" t="str">
        <f t="shared" si="12"/>
        <v/>
      </c>
      <c r="X1154" s="59" t="str">
        <f t="shared" si="13"/>
        <v/>
      </c>
      <c r="Y1154" s="69" t="str">
        <f t="shared" si="14"/>
        <v/>
      </c>
      <c r="Z1154" s="11"/>
      <c r="AG1154" s="59"/>
    </row>
    <row r="1155">
      <c r="A1155" s="8"/>
      <c r="B1155" s="56" t="str">
        <f t="shared" si="2"/>
        <v/>
      </c>
      <c r="C1155" s="105"/>
      <c r="D1155" s="10"/>
      <c r="E1155" s="59" t="str">
        <f t="array" ref="E1155">IF(COUNTA(C1155:C1644)=0,"",SUM((COUNTIF(C$4:C1155,Upgrades!$B$3:$B$13)-COUNTIF(C$4:C1155,"Sell_"&amp;Upgrades!$B$3:$B$13))*Upgrades!$D$3:$D$13))</f>
        <v/>
      </c>
      <c r="F1155" s="66" t="str">
        <f>IFERROR(__xludf.DUMMYFUNCTION("IF(COUNTA(C1155:C1644)=0,"""",IF(REGEXMATCH(INDEX(FILTER(C$4:C1155,C$4:C1155&lt;&gt;""""),ROWS(FILTER(C$4:C1155,C$4:C1155&lt;&gt;""""))),""^Sell_""),INDEX(FILTER(F$4:F1154,C$4:C1154&lt;&gt;""""),ROWS(FILTER(C$4:C1154,C$4:C1154&lt;&gt;""""))),$AC$5+E1155))"),"")</f>
        <v/>
      </c>
      <c r="G1155" s="10" t="str">
        <f>IFERROR(__xludf.DUMMYFUNCTION("IF(COUNTA(C1155:C1644)=0,"""",IF(C1155="""",0,IF(REGEXMATCH(C1155,""^Sell_""),-ROUNDDOWN(ROUNDUP(INDEX(Upgrades!$C$3:$C$13,MATCH(SUBSTITUTE(C1155,""Sell_"",""""),Upgrades!$B$3:$B$13,0))*1.15^(COUNTIF(C$4:C1154,SUBSTITUTE(C1155,""Sell_"",""""))-COUNTIF(C$4"&amp;":C1154,""Sell_""&amp;SUBSTITUTE(C1155,""Sell_"",""""))))/2),ROUNDUP(INDEX(Upgrades!$C$3:$C$13,MATCH(C1155,Upgrades!$B$3:$B$13,0))*1.15^(COUNTIF(C$4:C1154,C1155)-COUNTIF(C$4:C1154,""Sell_""&amp;C1155))))))"),"")</f>
        <v/>
      </c>
      <c r="H1155" s="10" t="str">
        <f t="shared" si="3"/>
        <v/>
      </c>
      <c r="I1155" s="68" t="str">
        <f t="shared" si="4"/>
        <v/>
      </c>
      <c r="J1155" s="59" t="str">
        <f t="shared" si="5"/>
        <v/>
      </c>
      <c r="K1155" s="69" t="str">
        <f t="shared" si="6"/>
        <v/>
      </c>
      <c r="L1155" s="60" t="str">
        <f t="shared" si="7"/>
        <v/>
      </c>
      <c r="M1155" s="61" t="str">
        <f>IFERROR(__xludf.DUMMYFUNCTION("IFS(AND(COUNTA(C1155:C1644)=0,COUNTA(Q1155:Q1644)=0),"""",OR(AND(K1155&gt;=1000000000,OR(Y1155&gt;=1000000000,COUNTA(Q1155:Q1644)=0)),OR(Y1155&gt;=1000000000,AND(COUNTA(C1155:C1644)=0,P$3=TRUE))),
ROUNDDOWN((AB$1-AC$1)*MAX(INDEX(T$4:T1644,MATCH(LARGE(FILTER(Y$4:Y1"&amp;"644,Y$4:Y1644&lt;1000000000),1),Y$4:Y1644)),INDEX(F$4:F1644,MATCH(LARGE(FILTER(K$4:K1644,K$4:K1644&lt;1000000000),1),K$4:K1644)))),AND(K1155&lt;1000000000,COUNTA(C1155:C1644)&gt;0,P$3=FALSE),
ROUNDDOWN(INDEX(Y$4:Y1644,MATCH(LARGE(FILTER(W$4:W1644,W$4:W1644&lt;=I1155),1)"&amp;",W$4:W1644))+(I1155-LARGE(FILTER(W$4:W1644,W$4:W1644&lt;=I1155),1))*INDEX(T$4:T1644,MATCH(LARGE(FILTER(W$4:W1644,W$4:W1644&lt;=I1155),1),W$4:W1644))-K1155),1,
ROUNDDOWN(Y1155-INDEX(K$4:K1644,MATCH(LARGE(FILTER(I$4:I1644,I$4:I1644&lt;=W1155),1),I$4:I1644))-(W1155-L"&amp;"ARGE(FILTER(I$4:I1644,I$4:I1644&lt;=W1155),1))*INDEX(F$4:F1644,MATCH(LARGE(FILTER(I$4:I1644,I$4:I1644&lt;=W1155),1),I$4:I1644))))"),"")</f>
        <v/>
      </c>
      <c r="N1155" s="60" t="str">
        <f t="shared" si="8"/>
        <v/>
      </c>
      <c r="O1155" s="61" t="str">
        <f t="shared" si="9"/>
        <v/>
      </c>
      <c r="P1155" s="56" t="str">
        <f t="shared" si="10"/>
        <v/>
      </c>
      <c r="Q1155" s="105"/>
      <c r="R1155" s="10"/>
      <c r="S1155" s="59" t="str">
        <f t="array" ref="S1155">IF(COUNTA(Q1155:Q1644)=0,"",SUM((COUNTIF(Q$4:Q1155,Upgrades!$B$3:$B$13)-COUNTIF(Q$4:Q1155,"Sell_"&amp;Upgrades!$B$3:$B$13))*Upgrades!$D$3:$D$13))</f>
        <v/>
      </c>
      <c r="T1155" s="66" t="str">
        <f>IFERROR(__xludf.DUMMYFUNCTION("IF(COUNTA(Q1155:Q1644)=0,"""",IF(REGEXMATCH(INDEX(FILTER(Q$4:Q1155,Q$4:Q1155&lt;&gt;""""),ROWS(FILTER(Q$4:Q1155,Q$4:Q1155&lt;&gt;""""))),""^Sell_""),INDEX(FILTER(T$4:T1154,Q$4:Q1154&lt;&gt;""""),ROWS(FILTER(Q$4:Q1154,Q$4:Q1154&lt;&gt;""""))),$AD$5+S1155))"),"")</f>
        <v/>
      </c>
      <c r="U1155" s="10" t="str">
        <f>IFERROR(__xludf.DUMMYFUNCTION("IF(COUNTA(Q1155:Q1644)=0,"""",IF(Q1155="""",0,IF(REGEXMATCH(Q1155,""^Sell_""),-ROUNDDOWN(ROUNDUP(INDEX(Upgrades!$C$3:$C$13,MATCH(SUBSTITUTE(Q1155,""Sell_"",""""),Upgrades!$B$3:$B$13,0))*1.15^(COUNTIF(Q$4:Q1154,SUBSTITUTE(Q1155,""Sell_"",""""))-COUNTIF(Q$4"&amp;":Q1154,""Sell_""&amp;SUBSTITUTE(Q1155,""Sell_"",""""))))/2),ROUNDUP(INDEX(Upgrades!$C$3:$C$13,MATCH(Q1155,Upgrades!$B$3:$B$13,0))*1.15^(COUNTIF(Q$4:Q1154,Q1155)-COUNTIF(Q$4:Q1154,""Sell_""&amp;Q1155))))))"),"")</f>
        <v/>
      </c>
      <c r="V1155" s="10" t="str">
        <f t="shared" si="11"/>
        <v/>
      </c>
      <c r="W1155" s="68" t="str">
        <f t="shared" si="12"/>
        <v/>
      </c>
      <c r="X1155" s="59" t="str">
        <f t="shared" si="13"/>
        <v/>
      </c>
      <c r="Y1155" s="69" t="str">
        <f t="shared" si="14"/>
        <v/>
      </c>
      <c r="Z1155" s="11"/>
      <c r="AG1155" s="59"/>
    </row>
    <row r="1156">
      <c r="A1156" s="8"/>
      <c r="B1156" s="56" t="str">
        <f t="shared" si="2"/>
        <v/>
      </c>
      <c r="C1156" s="105"/>
      <c r="D1156" s="10"/>
      <c r="E1156" s="59" t="str">
        <f t="array" ref="E1156">IF(COUNTA(C1156:C1644)=0,"",SUM((COUNTIF(C$4:C1156,Upgrades!$B$3:$B$13)-COUNTIF(C$4:C1156,"Sell_"&amp;Upgrades!$B$3:$B$13))*Upgrades!$D$3:$D$13))</f>
        <v/>
      </c>
      <c r="F1156" s="66" t="str">
        <f>IFERROR(__xludf.DUMMYFUNCTION("IF(COUNTA(C1156:C1644)=0,"""",IF(REGEXMATCH(INDEX(FILTER(C$4:C1156,C$4:C1156&lt;&gt;""""),ROWS(FILTER(C$4:C1156,C$4:C1156&lt;&gt;""""))),""^Sell_""),INDEX(FILTER(F$4:F1155,C$4:C1155&lt;&gt;""""),ROWS(FILTER(C$4:C1155,C$4:C1155&lt;&gt;""""))),$AC$5+E1156))"),"")</f>
        <v/>
      </c>
      <c r="G1156" s="10" t="str">
        <f>IFERROR(__xludf.DUMMYFUNCTION("IF(COUNTA(C1156:C1644)=0,"""",IF(C1156="""",0,IF(REGEXMATCH(C1156,""^Sell_""),-ROUNDDOWN(ROUNDUP(INDEX(Upgrades!$C$3:$C$13,MATCH(SUBSTITUTE(C1156,""Sell_"",""""),Upgrades!$B$3:$B$13,0))*1.15^(COUNTIF(C$4:C1155,SUBSTITUTE(C1156,""Sell_"",""""))-COUNTIF(C$4"&amp;":C1155,""Sell_""&amp;SUBSTITUTE(C1156,""Sell_"",""""))))/2),ROUNDUP(INDEX(Upgrades!$C$3:$C$13,MATCH(C1156,Upgrades!$B$3:$B$13,0))*1.15^(COUNTIF(C$4:C1155,C1156)-COUNTIF(C$4:C1155,""Sell_""&amp;C1156))))))"),"")</f>
        <v/>
      </c>
      <c r="H1156" s="10" t="str">
        <f t="shared" si="3"/>
        <v/>
      </c>
      <c r="I1156" s="68" t="str">
        <f t="shared" si="4"/>
        <v/>
      </c>
      <c r="J1156" s="59" t="str">
        <f t="shared" si="5"/>
        <v/>
      </c>
      <c r="K1156" s="69" t="str">
        <f t="shared" si="6"/>
        <v/>
      </c>
      <c r="L1156" s="60" t="str">
        <f t="shared" si="7"/>
        <v/>
      </c>
      <c r="M1156" s="61" t="str">
        <f>IFERROR(__xludf.DUMMYFUNCTION("IFS(AND(COUNTA(C1156:C1644)=0,COUNTA(Q1156:Q1644)=0),"""",OR(AND(K1156&gt;=1000000000,OR(Y1156&gt;=1000000000,COUNTA(Q1156:Q1644)=0)),OR(Y1156&gt;=1000000000,AND(COUNTA(C1156:C1644)=0,P$3=TRUE))),
ROUNDDOWN((AB$1-AC$1)*MAX(INDEX(T$4:T1644,MATCH(LARGE(FILTER(Y$4:Y1"&amp;"644,Y$4:Y1644&lt;1000000000),1),Y$4:Y1644)),INDEX(F$4:F1644,MATCH(LARGE(FILTER(K$4:K1644,K$4:K1644&lt;1000000000),1),K$4:K1644)))),AND(K1156&lt;1000000000,COUNTA(C1156:C1644)&gt;0,P$3=FALSE),
ROUNDDOWN(INDEX(Y$4:Y1644,MATCH(LARGE(FILTER(W$4:W1644,W$4:W1644&lt;=I1156),1)"&amp;",W$4:W1644))+(I1156-LARGE(FILTER(W$4:W1644,W$4:W1644&lt;=I1156),1))*INDEX(T$4:T1644,MATCH(LARGE(FILTER(W$4:W1644,W$4:W1644&lt;=I1156),1),W$4:W1644))-K1156),1,
ROUNDDOWN(Y1156-INDEX(K$4:K1644,MATCH(LARGE(FILTER(I$4:I1644,I$4:I1644&lt;=W1156),1),I$4:I1644))-(W1156-L"&amp;"ARGE(FILTER(I$4:I1644,I$4:I1644&lt;=W1156),1))*INDEX(F$4:F1644,MATCH(LARGE(FILTER(I$4:I1644,I$4:I1644&lt;=W1156),1),I$4:I1644))))"),"")</f>
        <v/>
      </c>
      <c r="N1156" s="60" t="str">
        <f t="shared" si="8"/>
        <v/>
      </c>
      <c r="O1156" s="61" t="str">
        <f t="shared" si="9"/>
        <v/>
      </c>
      <c r="P1156" s="56" t="str">
        <f t="shared" si="10"/>
        <v/>
      </c>
      <c r="Q1156" s="105"/>
      <c r="R1156" s="10"/>
      <c r="S1156" s="59" t="str">
        <f t="array" ref="S1156">IF(COUNTA(Q1156:Q1644)=0,"",SUM((COUNTIF(Q$4:Q1156,Upgrades!$B$3:$B$13)-COUNTIF(Q$4:Q1156,"Sell_"&amp;Upgrades!$B$3:$B$13))*Upgrades!$D$3:$D$13))</f>
        <v/>
      </c>
      <c r="T1156" s="66" t="str">
        <f>IFERROR(__xludf.DUMMYFUNCTION("IF(COUNTA(Q1156:Q1644)=0,"""",IF(REGEXMATCH(INDEX(FILTER(Q$4:Q1156,Q$4:Q1156&lt;&gt;""""),ROWS(FILTER(Q$4:Q1156,Q$4:Q1156&lt;&gt;""""))),""^Sell_""),INDEX(FILTER(T$4:T1155,Q$4:Q1155&lt;&gt;""""),ROWS(FILTER(Q$4:Q1155,Q$4:Q1155&lt;&gt;""""))),$AD$5+S1156))"),"")</f>
        <v/>
      </c>
      <c r="U1156" s="10" t="str">
        <f>IFERROR(__xludf.DUMMYFUNCTION("IF(COUNTA(Q1156:Q1644)=0,"""",IF(Q1156="""",0,IF(REGEXMATCH(Q1156,""^Sell_""),-ROUNDDOWN(ROUNDUP(INDEX(Upgrades!$C$3:$C$13,MATCH(SUBSTITUTE(Q1156,""Sell_"",""""),Upgrades!$B$3:$B$13,0))*1.15^(COUNTIF(Q$4:Q1155,SUBSTITUTE(Q1156,""Sell_"",""""))-COUNTIF(Q$4"&amp;":Q1155,""Sell_""&amp;SUBSTITUTE(Q1156,""Sell_"",""""))))/2),ROUNDUP(INDEX(Upgrades!$C$3:$C$13,MATCH(Q1156,Upgrades!$B$3:$B$13,0))*1.15^(COUNTIF(Q$4:Q1155,Q1156)-COUNTIF(Q$4:Q1155,""Sell_""&amp;Q1156))))))"),"")</f>
        <v/>
      </c>
      <c r="V1156" s="10" t="str">
        <f t="shared" si="11"/>
        <v/>
      </c>
      <c r="W1156" s="68" t="str">
        <f t="shared" si="12"/>
        <v/>
      </c>
      <c r="X1156" s="59" t="str">
        <f t="shared" si="13"/>
        <v/>
      </c>
      <c r="Y1156" s="69" t="str">
        <f t="shared" si="14"/>
        <v/>
      </c>
      <c r="Z1156" s="11"/>
      <c r="AG1156" s="59"/>
    </row>
    <row r="1157">
      <c r="A1157" s="8"/>
      <c r="B1157" s="56" t="str">
        <f t="shared" si="2"/>
        <v/>
      </c>
      <c r="C1157" s="105"/>
      <c r="D1157" s="10"/>
      <c r="E1157" s="59" t="str">
        <f t="array" ref="E1157">IF(COUNTA(C1157:C1644)=0,"",SUM((COUNTIF(C$4:C1157,Upgrades!$B$3:$B$13)-COUNTIF(C$4:C1157,"Sell_"&amp;Upgrades!$B$3:$B$13))*Upgrades!$D$3:$D$13))</f>
        <v/>
      </c>
      <c r="F1157" s="66" t="str">
        <f>IFERROR(__xludf.DUMMYFUNCTION("IF(COUNTA(C1157:C1644)=0,"""",IF(REGEXMATCH(INDEX(FILTER(C$4:C1157,C$4:C1157&lt;&gt;""""),ROWS(FILTER(C$4:C1157,C$4:C1157&lt;&gt;""""))),""^Sell_""),INDEX(FILTER(F$4:F1156,C$4:C1156&lt;&gt;""""),ROWS(FILTER(C$4:C1156,C$4:C1156&lt;&gt;""""))),$AC$5+E1157))"),"")</f>
        <v/>
      </c>
      <c r="G1157" s="10" t="str">
        <f>IFERROR(__xludf.DUMMYFUNCTION("IF(COUNTA(C1157:C1644)=0,"""",IF(C1157="""",0,IF(REGEXMATCH(C1157,""^Sell_""),-ROUNDDOWN(ROUNDUP(INDEX(Upgrades!$C$3:$C$13,MATCH(SUBSTITUTE(C1157,""Sell_"",""""),Upgrades!$B$3:$B$13,0))*1.15^(COUNTIF(C$4:C1156,SUBSTITUTE(C1157,""Sell_"",""""))-COUNTIF(C$4"&amp;":C1156,""Sell_""&amp;SUBSTITUTE(C1157,""Sell_"",""""))))/2),ROUNDUP(INDEX(Upgrades!$C$3:$C$13,MATCH(C1157,Upgrades!$B$3:$B$13,0))*1.15^(COUNTIF(C$4:C1156,C1157)-COUNTIF(C$4:C1156,""Sell_""&amp;C1157))))))"),"")</f>
        <v/>
      </c>
      <c r="H1157" s="10" t="str">
        <f t="shared" si="3"/>
        <v/>
      </c>
      <c r="I1157" s="68" t="str">
        <f t="shared" si="4"/>
        <v/>
      </c>
      <c r="J1157" s="59" t="str">
        <f t="shared" si="5"/>
        <v/>
      </c>
      <c r="K1157" s="69" t="str">
        <f t="shared" si="6"/>
        <v/>
      </c>
      <c r="L1157" s="60" t="str">
        <f t="shared" si="7"/>
        <v/>
      </c>
      <c r="M1157" s="61" t="str">
        <f>IFERROR(__xludf.DUMMYFUNCTION("IFS(AND(COUNTA(C1157:C1644)=0,COUNTA(Q1157:Q1644)=0),"""",OR(AND(K1157&gt;=1000000000,OR(Y1157&gt;=1000000000,COUNTA(Q1157:Q1644)=0)),OR(Y1157&gt;=1000000000,AND(COUNTA(C1157:C1644)=0,P$3=TRUE))),
ROUNDDOWN((AB$1-AC$1)*MAX(INDEX(T$4:T1644,MATCH(LARGE(FILTER(Y$4:Y1"&amp;"644,Y$4:Y1644&lt;1000000000),1),Y$4:Y1644)),INDEX(F$4:F1644,MATCH(LARGE(FILTER(K$4:K1644,K$4:K1644&lt;1000000000),1),K$4:K1644)))),AND(K1157&lt;1000000000,COUNTA(C1157:C1644)&gt;0,P$3=FALSE),
ROUNDDOWN(INDEX(Y$4:Y1644,MATCH(LARGE(FILTER(W$4:W1644,W$4:W1644&lt;=I1157),1)"&amp;",W$4:W1644))+(I1157-LARGE(FILTER(W$4:W1644,W$4:W1644&lt;=I1157),1))*INDEX(T$4:T1644,MATCH(LARGE(FILTER(W$4:W1644,W$4:W1644&lt;=I1157),1),W$4:W1644))-K1157),1,
ROUNDDOWN(Y1157-INDEX(K$4:K1644,MATCH(LARGE(FILTER(I$4:I1644,I$4:I1644&lt;=W1157),1),I$4:I1644))-(W1157-L"&amp;"ARGE(FILTER(I$4:I1644,I$4:I1644&lt;=W1157),1))*INDEX(F$4:F1644,MATCH(LARGE(FILTER(I$4:I1644,I$4:I1644&lt;=W1157),1),I$4:I1644))))"),"")</f>
        <v/>
      </c>
      <c r="N1157" s="60" t="str">
        <f t="shared" si="8"/>
        <v/>
      </c>
      <c r="O1157" s="61" t="str">
        <f t="shared" si="9"/>
        <v/>
      </c>
      <c r="P1157" s="56" t="str">
        <f t="shared" si="10"/>
        <v/>
      </c>
      <c r="Q1157" s="105"/>
      <c r="R1157" s="10"/>
      <c r="S1157" s="59" t="str">
        <f t="array" ref="S1157">IF(COUNTA(Q1157:Q1644)=0,"",SUM((COUNTIF(Q$4:Q1157,Upgrades!$B$3:$B$13)-COUNTIF(Q$4:Q1157,"Sell_"&amp;Upgrades!$B$3:$B$13))*Upgrades!$D$3:$D$13))</f>
        <v/>
      </c>
      <c r="T1157" s="66" t="str">
        <f>IFERROR(__xludf.DUMMYFUNCTION("IF(COUNTA(Q1157:Q1644)=0,"""",IF(REGEXMATCH(INDEX(FILTER(Q$4:Q1157,Q$4:Q1157&lt;&gt;""""),ROWS(FILTER(Q$4:Q1157,Q$4:Q1157&lt;&gt;""""))),""^Sell_""),INDEX(FILTER(T$4:T1156,Q$4:Q1156&lt;&gt;""""),ROWS(FILTER(Q$4:Q1156,Q$4:Q1156&lt;&gt;""""))),$AD$5+S1157))"),"")</f>
        <v/>
      </c>
      <c r="U1157" s="10" t="str">
        <f>IFERROR(__xludf.DUMMYFUNCTION("IF(COUNTA(Q1157:Q1644)=0,"""",IF(Q1157="""",0,IF(REGEXMATCH(Q1157,""^Sell_""),-ROUNDDOWN(ROUNDUP(INDEX(Upgrades!$C$3:$C$13,MATCH(SUBSTITUTE(Q1157,""Sell_"",""""),Upgrades!$B$3:$B$13,0))*1.15^(COUNTIF(Q$4:Q1156,SUBSTITUTE(Q1157,""Sell_"",""""))-COUNTIF(Q$4"&amp;":Q1156,""Sell_""&amp;SUBSTITUTE(Q1157,""Sell_"",""""))))/2),ROUNDUP(INDEX(Upgrades!$C$3:$C$13,MATCH(Q1157,Upgrades!$B$3:$B$13,0))*1.15^(COUNTIF(Q$4:Q1156,Q1157)-COUNTIF(Q$4:Q1156,""Sell_""&amp;Q1157))))))"),"")</f>
        <v/>
      </c>
      <c r="V1157" s="10" t="str">
        <f t="shared" si="11"/>
        <v/>
      </c>
      <c r="W1157" s="68" t="str">
        <f t="shared" si="12"/>
        <v/>
      </c>
      <c r="X1157" s="59" t="str">
        <f t="shared" si="13"/>
        <v/>
      </c>
      <c r="Y1157" s="69" t="str">
        <f t="shared" si="14"/>
        <v/>
      </c>
      <c r="Z1157" s="11"/>
      <c r="AG1157" s="59"/>
    </row>
    <row r="1158">
      <c r="A1158" s="8"/>
      <c r="B1158" s="56" t="str">
        <f t="shared" si="2"/>
        <v/>
      </c>
      <c r="C1158" s="105"/>
      <c r="D1158" s="10"/>
      <c r="E1158" s="59" t="str">
        <f t="array" ref="E1158">IF(COUNTA(C1158:C1644)=0,"",SUM((COUNTIF(C$4:C1158,Upgrades!$B$3:$B$13)-COUNTIF(C$4:C1158,"Sell_"&amp;Upgrades!$B$3:$B$13))*Upgrades!$D$3:$D$13))</f>
        <v/>
      </c>
      <c r="F1158" s="66" t="str">
        <f>IFERROR(__xludf.DUMMYFUNCTION("IF(COUNTA(C1158:C1644)=0,"""",IF(REGEXMATCH(INDEX(FILTER(C$4:C1158,C$4:C1158&lt;&gt;""""),ROWS(FILTER(C$4:C1158,C$4:C1158&lt;&gt;""""))),""^Sell_""),INDEX(FILTER(F$4:F1157,C$4:C1157&lt;&gt;""""),ROWS(FILTER(C$4:C1157,C$4:C1157&lt;&gt;""""))),$AC$5+E1158))"),"")</f>
        <v/>
      </c>
      <c r="G1158" s="10" t="str">
        <f>IFERROR(__xludf.DUMMYFUNCTION("IF(COUNTA(C1158:C1644)=0,"""",IF(C1158="""",0,IF(REGEXMATCH(C1158,""^Sell_""),-ROUNDDOWN(ROUNDUP(INDEX(Upgrades!$C$3:$C$13,MATCH(SUBSTITUTE(C1158,""Sell_"",""""),Upgrades!$B$3:$B$13,0))*1.15^(COUNTIF(C$4:C1157,SUBSTITUTE(C1158,""Sell_"",""""))-COUNTIF(C$4"&amp;":C1157,""Sell_""&amp;SUBSTITUTE(C1158,""Sell_"",""""))))/2),ROUNDUP(INDEX(Upgrades!$C$3:$C$13,MATCH(C1158,Upgrades!$B$3:$B$13,0))*1.15^(COUNTIF(C$4:C1157,C1158)-COUNTIF(C$4:C1157,""Sell_""&amp;C1158))))))"),"")</f>
        <v/>
      </c>
      <c r="H1158" s="10" t="str">
        <f t="shared" si="3"/>
        <v/>
      </c>
      <c r="I1158" s="68" t="str">
        <f t="shared" si="4"/>
        <v/>
      </c>
      <c r="J1158" s="59" t="str">
        <f t="shared" si="5"/>
        <v/>
      </c>
      <c r="K1158" s="69" t="str">
        <f t="shared" si="6"/>
        <v/>
      </c>
      <c r="L1158" s="60" t="str">
        <f t="shared" si="7"/>
        <v/>
      </c>
      <c r="M1158" s="61" t="str">
        <f>IFERROR(__xludf.DUMMYFUNCTION("IFS(AND(COUNTA(C1158:C1644)=0,COUNTA(Q1158:Q1644)=0),"""",OR(AND(K1158&gt;=1000000000,OR(Y1158&gt;=1000000000,COUNTA(Q1158:Q1644)=0)),OR(Y1158&gt;=1000000000,AND(COUNTA(C1158:C1644)=0,P$3=TRUE))),
ROUNDDOWN((AB$1-AC$1)*MAX(INDEX(T$4:T1644,MATCH(LARGE(FILTER(Y$4:Y1"&amp;"644,Y$4:Y1644&lt;1000000000),1),Y$4:Y1644)),INDEX(F$4:F1644,MATCH(LARGE(FILTER(K$4:K1644,K$4:K1644&lt;1000000000),1),K$4:K1644)))),AND(K1158&lt;1000000000,COUNTA(C1158:C1644)&gt;0,P$3=FALSE),
ROUNDDOWN(INDEX(Y$4:Y1644,MATCH(LARGE(FILTER(W$4:W1644,W$4:W1644&lt;=I1158),1)"&amp;",W$4:W1644))+(I1158-LARGE(FILTER(W$4:W1644,W$4:W1644&lt;=I1158),1))*INDEX(T$4:T1644,MATCH(LARGE(FILTER(W$4:W1644,W$4:W1644&lt;=I1158),1),W$4:W1644))-K1158),1,
ROUNDDOWN(Y1158-INDEX(K$4:K1644,MATCH(LARGE(FILTER(I$4:I1644,I$4:I1644&lt;=W1158),1),I$4:I1644))-(W1158-L"&amp;"ARGE(FILTER(I$4:I1644,I$4:I1644&lt;=W1158),1))*INDEX(F$4:F1644,MATCH(LARGE(FILTER(I$4:I1644,I$4:I1644&lt;=W1158),1),I$4:I1644))))"),"")</f>
        <v/>
      </c>
      <c r="N1158" s="60" t="str">
        <f t="shared" si="8"/>
        <v/>
      </c>
      <c r="O1158" s="61" t="str">
        <f t="shared" si="9"/>
        <v/>
      </c>
      <c r="P1158" s="56" t="str">
        <f t="shared" si="10"/>
        <v/>
      </c>
      <c r="Q1158" s="105"/>
      <c r="R1158" s="10"/>
      <c r="S1158" s="59" t="str">
        <f t="array" ref="S1158">IF(COUNTA(Q1158:Q1644)=0,"",SUM((COUNTIF(Q$4:Q1158,Upgrades!$B$3:$B$13)-COUNTIF(Q$4:Q1158,"Sell_"&amp;Upgrades!$B$3:$B$13))*Upgrades!$D$3:$D$13))</f>
        <v/>
      </c>
      <c r="T1158" s="66" t="str">
        <f>IFERROR(__xludf.DUMMYFUNCTION("IF(COUNTA(Q1158:Q1644)=0,"""",IF(REGEXMATCH(INDEX(FILTER(Q$4:Q1158,Q$4:Q1158&lt;&gt;""""),ROWS(FILTER(Q$4:Q1158,Q$4:Q1158&lt;&gt;""""))),""^Sell_""),INDEX(FILTER(T$4:T1157,Q$4:Q1157&lt;&gt;""""),ROWS(FILTER(Q$4:Q1157,Q$4:Q1157&lt;&gt;""""))),$AD$5+S1158))"),"")</f>
        <v/>
      </c>
      <c r="U1158" s="10" t="str">
        <f>IFERROR(__xludf.DUMMYFUNCTION("IF(COUNTA(Q1158:Q1644)=0,"""",IF(Q1158="""",0,IF(REGEXMATCH(Q1158,""^Sell_""),-ROUNDDOWN(ROUNDUP(INDEX(Upgrades!$C$3:$C$13,MATCH(SUBSTITUTE(Q1158,""Sell_"",""""),Upgrades!$B$3:$B$13,0))*1.15^(COUNTIF(Q$4:Q1157,SUBSTITUTE(Q1158,""Sell_"",""""))-COUNTIF(Q$4"&amp;":Q1157,""Sell_""&amp;SUBSTITUTE(Q1158,""Sell_"",""""))))/2),ROUNDUP(INDEX(Upgrades!$C$3:$C$13,MATCH(Q1158,Upgrades!$B$3:$B$13,0))*1.15^(COUNTIF(Q$4:Q1157,Q1158)-COUNTIF(Q$4:Q1157,""Sell_""&amp;Q1158))))))"),"")</f>
        <v/>
      </c>
      <c r="V1158" s="10" t="str">
        <f t="shared" si="11"/>
        <v/>
      </c>
      <c r="W1158" s="68" t="str">
        <f t="shared" si="12"/>
        <v/>
      </c>
      <c r="X1158" s="59" t="str">
        <f t="shared" si="13"/>
        <v/>
      </c>
      <c r="Y1158" s="69" t="str">
        <f t="shared" si="14"/>
        <v/>
      </c>
      <c r="Z1158" s="11"/>
      <c r="AG1158" s="59"/>
    </row>
    <row r="1159">
      <c r="A1159" s="8"/>
      <c r="B1159" s="56" t="str">
        <f t="shared" si="2"/>
        <v/>
      </c>
      <c r="C1159" s="105"/>
      <c r="D1159" s="10"/>
      <c r="E1159" s="59" t="str">
        <f t="array" ref="E1159">IF(COUNTA(C1159:C1644)=0,"",SUM((COUNTIF(C$4:C1159,Upgrades!$B$3:$B$13)-COUNTIF(C$4:C1159,"Sell_"&amp;Upgrades!$B$3:$B$13))*Upgrades!$D$3:$D$13))</f>
        <v/>
      </c>
      <c r="F1159" s="66" t="str">
        <f>IFERROR(__xludf.DUMMYFUNCTION("IF(COUNTA(C1159:C1644)=0,"""",IF(REGEXMATCH(INDEX(FILTER(C$4:C1159,C$4:C1159&lt;&gt;""""),ROWS(FILTER(C$4:C1159,C$4:C1159&lt;&gt;""""))),""^Sell_""),INDEX(FILTER(F$4:F1158,C$4:C1158&lt;&gt;""""),ROWS(FILTER(C$4:C1158,C$4:C1158&lt;&gt;""""))),$AC$5+E1159))"),"")</f>
        <v/>
      </c>
      <c r="G1159" s="10" t="str">
        <f>IFERROR(__xludf.DUMMYFUNCTION("IF(COUNTA(C1159:C1644)=0,"""",IF(C1159="""",0,IF(REGEXMATCH(C1159,""^Sell_""),-ROUNDDOWN(ROUNDUP(INDEX(Upgrades!$C$3:$C$13,MATCH(SUBSTITUTE(C1159,""Sell_"",""""),Upgrades!$B$3:$B$13,0))*1.15^(COUNTIF(C$4:C1158,SUBSTITUTE(C1159,""Sell_"",""""))-COUNTIF(C$4"&amp;":C1158,""Sell_""&amp;SUBSTITUTE(C1159,""Sell_"",""""))))/2),ROUNDUP(INDEX(Upgrades!$C$3:$C$13,MATCH(C1159,Upgrades!$B$3:$B$13,0))*1.15^(COUNTIF(C$4:C1158,C1159)-COUNTIF(C$4:C1158,""Sell_""&amp;C1159))))))"),"")</f>
        <v/>
      </c>
      <c r="H1159" s="10" t="str">
        <f t="shared" si="3"/>
        <v/>
      </c>
      <c r="I1159" s="68" t="str">
        <f t="shared" si="4"/>
        <v/>
      </c>
      <c r="J1159" s="59" t="str">
        <f t="shared" si="5"/>
        <v/>
      </c>
      <c r="K1159" s="69" t="str">
        <f t="shared" si="6"/>
        <v/>
      </c>
      <c r="L1159" s="60" t="str">
        <f t="shared" si="7"/>
        <v/>
      </c>
      <c r="M1159" s="61" t="str">
        <f>IFERROR(__xludf.DUMMYFUNCTION("IFS(AND(COUNTA(C1159:C1644)=0,COUNTA(Q1159:Q1644)=0),"""",OR(AND(K1159&gt;=1000000000,OR(Y1159&gt;=1000000000,COUNTA(Q1159:Q1644)=0)),OR(Y1159&gt;=1000000000,AND(COUNTA(C1159:C1644)=0,P$3=TRUE))),
ROUNDDOWN((AB$1-AC$1)*MAX(INDEX(T$4:T1644,MATCH(LARGE(FILTER(Y$4:Y1"&amp;"644,Y$4:Y1644&lt;1000000000),1),Y$4:Y1644)),INDEX(F$4:F1644,MATCH(LARGE(FILTER(K$4:K1644,K$4:K1644&lt;1000000000),1),K$4:K1644)))),AND(K1159&lt;1000000000,COUNTA(C1159:C1644)&gt;0,P$3=FALSE),
ROUNDDOWN(INDEX(Y$4:Y1644,MATCH(LARGE(FILTER(W$4:W1644,W$4:W1644&lt;=I1159),1)"&amp;",W$4:W1644))+(I1159-LARGE(FILTER(W$4:W1644,W$4:W1644&lt;=I1159),1))*INDEX(T$4:T1644,MATCH(LARGE(FILTER(W$4:W1644,W$4:W1644&lt;=I1159),1),W$4:W1644))-K1159),1,
ROUNDDOWN(Y1159-INDEX(K$4:K1644,MATCH(LARGE(FILTER(I$4:I1644,I$4:I1644&lt;=W1159),1),I$4:I1644))-(W1159-L"&amp;"ARGE(FILTER(I$4:I1644,I$4:I1644&lt;=W1159),1))*INDEX(F$4:F1644,MATCH(LARGE(FILTER(I$4:I1644,I$4:I1644&lt;=W1159),1),I$4:I1644))))"),"")</f>
        <v/>
      </c>
      <c r="N1159" s="60" t="str">
        <f t="shared" si="8"/>
        <v/>
      </c>
      <c r="O1159" s="61" t="str">
        <f t="shared" si="9"/>
        <v/>
      </c>
      <c r="P1159" s="56" t="str">
        <f t="shared" si="10"/>
        <v/>
      </c>
      <c r="Q1159" s="105"/>
      <c r="R1159" s="10"/>
      <c r="S1159" s="59" t="str">
        <f t="array" ref="S1159">IF(COUNTA(Q1159:Q1644)=0,"",SUM((COUNTIF(Q$4:Q1159,Upgrades!$B$3:$B$13)-COUNTIF(Q$4:Q1159,"Sell_"&amp;Upgrades!$B$3:$B$13))*Upgrades!$D$3:$D$13))</f>
        <v/>
      </c>
      <c r="T1159" s="66" t="str">
        <f>IFERROR(__xludf.DUMMYFUNCTION("IF(COUNTA(Q1159:Q1644)=0,"""",IF(REGEXMATCH(INDEX(FILTER(Q$4:Q1159,Q$4:Q1159&lt;&gt;""""),ROWS(FILTER(Q$4:Q1159,Q$4:Q1159&lt;&gt;""""))),""^Sell_""),INDEX(FILTER(T$4:T1158,Q$4:Q1158&lt;&gt;""""),ROWS(FILTER(Q$4:Q1158,Q$4:Q1158&lt;&gt;""""))),$AD$5+S1159))"),"")</f>
        <v/>
      </c>
      <c r="U1159" s="10" t="str">
        <f>IFERROR(__xludf.DUMMYFUNCTION("IF(COUNTA(Q1159:Q1644)=0,"""",IF(Q1159="""",0,IF(REGEXMATCH(Q1159,""^Sell_""),-ROUNDDOWN(ROUNDUP(INDEX(Upgrades!$C$3:$C$13,MATCH(SUBSTITUTE(Q1159,""Sell_"",""""),Upgrades!$B$3:$B$13,0))*1.15^(COUNTIF(Q$4:Q1158,SUBSTITUTE(Q1159,""Sell_"",""""))-COUNTIF(Q$4"&amp;":Q1158,""Sell_""&amp;SUBSTITUTE(Q1159,""Sell_"",""""))))/2),ROUNDUP(INDEX(Upgrades!$C$3:$C$13,MATCH(Q1159,Upgrades!$B$3:$B$13,0))*1.15^(COUNTIF(Q$4:Q1158,Q1159)-COUNTIF(Q$4:Q1158,""Sell_""&amp;Q1159))))))"),"")</f>
        <v/>
      </c>
      <c r="V1159" s="10" t="str">
        <f t="shared" si="11"/>
        <v/>
      </c>
      <c r="W1159" s="68" t="str">
        <f t="shared" si="12"/>
        <v/>
      </c>
      <c r="X1159" s="59" t="str">
        <f t="shared" si="13"/>
        <v/>
      </c>
      <c r="Y1159" s="69" t="str">
        <f t="shared" si="14"/>
        <v/>
      </c>
      <c r="Z1159" s="11"/>
      <c r="AG1159" s="59"/>
    </row>
    <row r="1160">
      <c r="A1160" s="8"/>
      <c r="B1160" s="56" t="str">
        <f t="shared" si="2"/>
        <v/>
      </c>
      <c r="C1160" s="105"/>
      <c r="D1160" s="10"/>
      <c r="E1160" s="59" t="str">
        <f t="array" ref="E1160">IF(COUNTA(C1160:C1644)=0,"",SUM((COUNTIF(C$4:C1160,Upgrades!$B$3:$B$13)-COUNTIF(C$4:C1160,"Sell_"&amp;Upgrades!$B$3:$B$13))*Upgrades!$D$3:$D$13))</f>
        <v/>
      </c>
      <c r="F1160" s="66" t="str">
        <f>IFERROR(__xludf.DUMMYFUNCTION("IF(COUNTA(C1160:C1644)=0,"""",IF(REGEXMATCH(INDEX(FILTER(C$4:C1160,C$4:C1160&lt;&gt;""""),ROWS(FILTER(C$4:C1160,C$4:C1160&lt;&gt;""""))),""^Sell_""),INDEX(FILTER(F$4:F1159,C$4:C1159&lt;&gt;""""),ROWS(FILTER(C$4:C1159,C$4:C1159&lt;&gt;""""))),$AC$5+E1160))"),"")</f>
        <v/>
      </c>
      <c r="G1160" s="10" t="str">
        <f>IFERROR(__xludf.DUMMYFUNCTION("IF(COUNTA(C1160:C1644)=0,"""",IF(C1160="""",0,IF(REGEXMATCH(C1160,""^Sell_""),-ROUNDDOWN(ROUNDUP(INDEX(Upgrades!$C$3:$C$13,MATCH(SUBSTITUTE(C1160,""Sell_"",""""),Upgrades!$B$3:$B$13,0))*1.15^(COUNTIF(C$4:C1159,SUBSTITUTE(C1160,""Sell_"",""""))-COUNTIF(C$4"&amp;":C1159,""Sell_""&amp;SUBSTITUTE(C1160,""Sell_"",""""))))/2),ROUNDUP(INDEX(Upgrades!$C$3:$C$13,MATCH(C1160,Upgrades!$B$3:$B$13,0))*1.15^(COUNTIF(C$4:C1159,C1160)-COUNTIF(C$4:C1159,""Sell_""&amp;C1160))))))"),"")</f>
        <v/>
      </c>
      <c r="H1160" s="10" t="str">
        <f t="shared" si="3"/>
        <v/>
      </c>
      <c r="I1160" s="68" t="str">
        <f t="shared" si="4"/>
        <v/>
      </c>
      <c r="J1160" s="59" t="str">
        <f t="shared" si="5"/>
        <v/>
      </c>
      <c r="K1160" s="69" t="str">
        <f t="shared" si="6"/>
        <v/>
      </c>
      <c r="L1160" s="60" t="str">
        <f t="shared" si="7"/>
        <v/>
      </c>
      <c r="M1160" s="61" t="str">
        <f>IFERROR(__xludf.DUMMYFUNCTION("IFS(AND(COUNTA(C1160:C1644)=0,COUNTA(Q1160:Q1644)=0),"""",OR(AND(K1160&gt;=1000000000,OR(Y1160&gt;=1000000000,COUNTA(Q1160:Q1644)=0)),OR(Y1160&gt;=1000000000,AND(COUNTA(C1160:C1644)=0,P$3=TRUE))),
ROUNDDOWN((AB$1-AC$1)*MAX(INDEX(T$4:T1644,MATCH(LARGE(FILTER(Y$4:Y1"&amp;"644,Y$4:Y1644&lt;1000000000),1),Y$4:Y1644)),INDEX(F$4:F1644,MATCH(LARGE(FILTER(K$4:K1644,K$4:K1644&lt;1000000000),1),K$4:K1644)))),AND(K1160&lt;1000000000,COUNTA(C1160:C1644)&gt;0,P$3=FALSE),
ROUNDDOWN(INDEX(Y$4:Y1644,MATCH(LARGE(FILTER(W$4:W1644,W$4:W1644&lt;=I1160),1)"&amp;",W$4:W1644))+(I1160-LARGE(FILTER(W$4:W1644,W$4:W1644&lt;=I1160),1))*INDEX(T$4:T1644,MATCH(LARGE(FILTER(W$4:W1644,W$4:W1644&lt;=I1160),1),W$4:W1644))-K1160),1,
ROUNDDOWN(Y1160-INDEX(K$4:K1644,MATCH(LARGE(FILTER(I$4:I1644,I$4:I1644&lt;=W1160),1),I$4:I1644))-(W1160-L"&amp;"ARGE(FILTER(I$4:I1644,I$4:I1644&lt;=W1160),1))*INDEX(F$4:F1644,MATCH(LARGE(FILTER(I$4:I1644,I$4:I1644&lt;=W1160),1),I$4:I1644))))"),"")</f>
        <v/>
      </c>
      <c r="N1160" s="60" t="str">
        <f t="shared" si="8"/>
        <v/>
      </c>
      <c r="O1160" s="61" t="str">
        <f t="shared" si="9"/>
        <v/>
      </c>
      <c r="P1160" s="56" t="str">
        <f t="shared" si="10"/>
        <v/>
      </c>
      <c r="Q1160" s="105"/>
      <c r="R1160" s="10"/>
      <c r="S1160" s="59" t="str">
        <f t="array" ref="S1160">IF(COUNTA(Q1160:Q1644)=0,"",SUM((COUNTIF(Q$4:Q1160,Upgrades!$B$3:$B$13)-COUNTIF(Q$4:Q1160,"Sell_"&amp;Upgrades!$B$3:$B$13))*Upgrades!$D$3:$D$13))</f>
        <v/>
      </c>
      <c r="T1160" s="66" t="str">
        <f>IFERROR(__xludf.DUMMYFUNCTION("IF(COUNTA(Q1160:Q1644)=0,"""",IF(REGEXMATCH(INDEX(FILTER(Q$4:Q1160,Q$4:Q1160&lt;&gt;""""),ROWS(FILTER(Q$4:Q1160,Q$4:Q1160&lt;&gt;""""))),""^Sell_""),INDEX(FILTER(T$4:T1159,Q$4:Q1159&lt;&gt;""""),ROWS(FILTER(Q$4:Q1159,Q$4:Q1159&lt;&gt;""""))),$AD$5+S1160))"),"")</f>
        <v/>
      </c>
      <c r="U1160" s="10" t="str">
        <f>IFERROR(__xludf.DUMMYFUNCTION("IF(COUNTA(Q1160:Q1644)=0,"""",IF(Q1160="""",0,IF(REGEXMATCH(Q1160,""^Sell_""),-ROUNDDOWN(ROUNDUP(INDEX(Upgrades!$C$3:$C$13,MATCH(SUBSTITUTE(Q1160,""Sell_"",""""),Upgrades!$B$3:$B$13,0))*1.15^(COUNTIF(Q$4:Q1159,SUBSTITUTE(Q1160,""Sell_"",""""))-COUNTIF(Q$4"&amp;":Q1159,""Sell_""&amp;SUBSTITUTE(Q1160,""Sell_"",""""))))/2),ROUNDUP(INDEX(Upgrades!$C$3:$C$13,MATCH(Q1160,Upgrades!$B$3:$B$13,0))*1.15^(COUNTIF(Q$4:Q1159,Q1160)-COUNTIF(Q$4:Q1159,""Sell_""&amp;Q1160))))))"),"")</f>
        <v/>
      </c>
      <c r="V1160" s="10" t="str">
        <f t="shared" si="11"/>
        <v/>
      </c>
      <c r="W1160" s="68" t="str">
        <f t="shared" si="12"/>
        <v/>
      </c>
      <c r="X1160" s="59" t="str">
        <f t="shared" si="13"/>
        <v/>
      </c>
      <c r="Y1160" s="69" t="str">
        <f t="shared" si="14"/>
        <v/>
      </c>
      <c r="Z1160" s="11"/>
      <c r="AG1160" s="59"/>
    </row>
    <row r="1161">
      <c r="A1161" s="8"/>
      <c r="B1161" s="56" t="str">
        <f t="shared" si="2"/>
        <v/>
      </c>
      <c r="C1161" s="105"/>
      <c r="D1161" s="10"/>
      <c r="E1161" s="59" t="str">
        <f t="array" ref="E1161">IF(COUNTA(C1161:C1644)=0,"",SUM((COUNTIF(C$4:C1161,Upgrades!$B$3:$B$13)-COUNTIF(C$4:C1161,"Sell_"&amp;Upgrades!$B$3:$B$13))*Upgrades!$D$3:$D$13))</f>
        <v/>
      </c>
      <c r="F1161" s="66" t="str">
        <f>IFERROR(__xludf.DUMMYFUNCTION("IF(COUNTA(C1161:C1644)=0,"""",IF(REGEXMATCH(INDEX(FILTER(C$4:C1161,C$4:C1161&lt;&gt;""""),ROWS(FILTER(C$4:C1161,C$4:C1161&lt;&gt;""""))),""^Sell_""),INDEX(FILTER(F$4:F1160,C$4:C1160&lt;&gt;""""),ROWS(FILTER(C$4:C1160,C$4:C1160&lt;&gt;""""))),$AC$5+E1161))"),"")</f>
        <v/>
      </c>
      <c r="G1161" s="10" t="str">
        <f>IFERROR(__xludf.DUMMYFUNCTION("IF(COUNTA(C1161:C1644)=0,"""",IF(C1161="""",0,IF(REGEXMATCH(C1161,""^Sell_""),-ROUNDDOWN(ROUNDUP(INDEX(Upgrades!$C$3:$C$13,MATCH(SUBSTITUTE(C1161,""Sell_"",""""),Upgrades!$B$3:$B$13,0))*1.15^(COUNTIF(C$4:C1160,SUBSTITUTE(C1161,""Sell_"",""""))-COUNTIF(C$4"&amp;":C1160,""Sell_""&amp;SUBSTITUTE(C1161,""Sell_"",""""))))/2),ROUNDUP(INDEX(Upgrades!$C$3:$C$13,MATCH(C1161,Upgrades!$B$3:$B$13,0))*1.15^(COUNTIF(C$4:C1160,C1161)-COUNTIF(C$4:C1160,""Sell_""&amp;C1161))))))"),"")</f>
        <v/>
      </c>
      <c r="H1161" s="10" t="str">
        <f t="shared" si="3"/>
        <v/>
      </c>
      <c r="I1161" s="68" t="str">
        <f t="shared" si="4"/>
        <v/>
      </c>
      <c r="J1161" s="59" t="str">
        <f t="shared" si="5"/>
        <v/>
      </c>
      <c r="K1161" s="69" t="str">
        <f t="shared" si="6"/>
        <v/>
      </c>
      <c r="L1161" s="60" t="str">
        <f t="shared" si="7"/>
        <v/>
      </c>
      <c r="M1161" s="61" t="str">
        <f>IFERROR(__xludf.DUMMYFUNCTION("IFS(AND(COUNTA(C1161:C1644)=0,COUNTA(Q1161:Q1644)=0),"""",OR(AND(K1161&gt;=1000000000,OR(Y1161&gt;=1000000000,COUNTA(Q1161:Q1644)=0)),OR(Y1161&gt;=1000000000,AND(COUNTA(C1161:C1644)=0,P$3=TRUE))),
ROUNDDOWN((AB$1-AC$1)*MAX(INDEX(T$4:T1644,MATCH(LARGE(FILTER(Y$4:Y1"&amp;"644,Y$4:Y1644&lt;1000000000),1),Y$4:Y1644)),INDEX(F$4:F1644,MATCH(LARGE(FILTER(K$4:K1644,K$4:K1644&lt;1000000000),1),K$4:K1644)))),AND(K1161&lt;1000000000,COUNTA(C1161:C1644)&gt;0,P$3=FALSE),
ROUNDDOWN(INDEX(Y$4:Y1644,MATCH(LARGE(FILTER(W$4:W1644,W$4:W1644&lt;=I1161),1)"&amp;",W$4:W1644))+(I1161-LARGE(FILTER(W$4:W1644,W$4:W1644&lt;=I1161),1))*INDEX(T$4:T1644,MATCH(LARGE(FILTER(W$4:W1644,W$4:W1644&lt;=I1161),1),W$4:W1644))-K1161),1,
ROUNDDOWN(Y1161-INDEX(K$4:K1644,MATCH(LARGE(FILTER(I$4:I1644,I$4:I1644&lt;=W1161),1),I$4:I1644))-(W1161-L"&amp;"ARGE(FILTER(I$4:I1644,I$4:I1644&lt;=W1161),1))*INDEX(F$4:F1644,MATCH(LARGE(FILTER(I$4:I1644,I$4:I1644&lt;=W1161),1),I$4:I1644))))"),"")</f>
        <v/>
      </c>
      <c r="N1161" s="60" t="str">
        <f t="shared" si="8"/>
        <v/>
      </c>
      <c r="O1161" s="61" t="str">
        <f t="shared" si="9"/>
        <v/>
      </c>
      <c r="P1161" s="56" t="str">
        <f t="shared" si="10"/>
        <v/>
      </c>
      <c r="Q1161" s="105"/>
      <c r="R1161" s="10"/>
      <c r="S1161" s="59" t="str">
        <f t="array" ref="S1161">IF(COUNTA(Q1161:Q1644)=0,"",SUM((COUNTIF(Q$4:Q1161,Upgrades!$B$3:$B$13)-COUNTIF(Q$4:Q1161,"Sell_"&amp;Upgrades!$B$3:$B$13))*Upgrades!$D$3:$D$13))</f>
        <v/>
      </c>
      <c r="T1161" s="66" t="str">
        <f>IFERROR(__xludf.DUMMYFUNCTION("IF(COUNTA(Q1161:Q1644)=0,"""",IF(REGEXMATCH(INDEX(FILTER(Q$4:Q1161,Q$4:Q1161&lt;&gt;""""),ROWS(FILTER(Q$4:Q1161,Q$4:Q1161&lt;&gt;""""))),""^Sell_""),INDEX(FILTER(T$4:T1160,Q$4:Q1160&lt;&gt;""""),ROWS(FILTER(Q$4:Q1160,Q$4:Q1160&lt;&gt;""""))),$AD$5+S1161))"),"")</f>
        <v/>
      </c>
      <c r="U1161" s="10" t="str">
        <f>IFERROR(__xludf.DUMMYFUNCTION("IF(COUNTA(Q1161:Q1644)=0,"""",IF(Q1161="""",0,IF(REGEXMATCH(Q1161,""^Sell_""),-ROUNDDOWN(ROUNDUP(INDEX(Upgrades!$C$3:$C$13,MATCH(SUBSTITUTE(Q1161,""Sell_"",""""),Upgrades!$B$3:$B$13,0))*1.15^(COUNTIF(Q$4:Q1160,SUBSTITUTE(Q1161,""Sell_"",""""))-COUNTIF(Q$4"&amp;":Q1160,""Sell_""&amp;SUBSTITUTE(Q1161,""Sell_"",""""))))/2),ROUNDUP(INDEX(Upgrades!$C$3:$C$13,MATCH(Q1161,Upgrades!$B$3:$B$13,0))*1.15^(COUNTIF(Q$4:Q1160,Q1161)-COUNTIF(Q$4:Q1160,""Sell_""&amp;Q1161))))))"),"")</f>
        <v/>
      </c>
      <c r="V1161" s="10" t="str">
        <f t="shared" si="11"/>
        <v/>
      </c>
      <c r="W1161" s="68" t="str">
        <f t="shared" si="12"/>
        <v/>
      </c>
      <c r="X1161" s="59" t="str">
        <f t="shared" si="13"/>
        <v/>
      </c>
      <c r="Y1161" s="69" t="str">
        <f t="shared" si="14"/>
        <v/>
      </c>
      <c r="Z1161" s="11"/>
      <c r="AG1161" s="59"/>
    </row>
    <row r="1162">
      <c r="A1162" s="8"/>
      <c r="B1162" s="56" t="str">
        <f t="shared" si="2"/>
        <v/>
      </c>
      <c r="C1162" s="105"/>
      <c r="D1162" s="10"/>
      <c r="E1162" s="59" t="str">
        <f t="array" ref="E1162">IF(COUNTA(C1162:C1644)=0,"",SUM((COUNTIF(C$4:C1162,Upgrades!$B$3:$B$13)-COUNTIF(C$4:C1162,"Sell_"&amp;Upgrades!$B$3:$B$13))*Upgrades!$D$3:$D$13))</f>
        <v/>
      </c>
      <c r="F1162" s="66" t="str">
        <f>IFERROR(__xludf.DUMMYFUNCTION("IF(COUNTA(C1162:C1644)=0,"""",IF(REGEXMATCH(INDEX(FILTER(C$4:C1162,C$4:C1162&lt;&gt;""""),ROWS(FILTER(C$4:C1162,C$4:C1162&lt;&gt;""""))),""^Sell_""),INDEX(FILTER(F$4:F1161,C$4:C1161&lt;&gt;""""),ROWS(FILTER(C$4:C1161,C$4:C1161&lt;&gt;""""))),$AC$5+E1162))"),"")</f>
        <v/>
      </c>
      <c r="G1162" s="10" t="str">
        <f>IFERROR(__xludf.DUMMYFUNCTION("IF(COUNTA(C1162:C1644)=0,"""",IF(C1162="""",0,IF(REGEXMATCH(C1162,""^Sell_""),-ROUNDDOWN(ROUNDUP(INDEX(Upgrades!$C$3:$C$13,MATCH(SUBSTITUTE(C1162,""Sell_"",""""),Upgrades!$B$3:$B$13,0))*1.15^(COUNTIF(C$4:C1161,SUBSTITUTE(C1162,""Sell_"",""""))-COUNTIF(C$4"&amp;":C1161,""Sell_""&amp;SUBSTITUTE(C1162,""Sell_"",""""))))/2),ROUNDUP(INDEX(Upgrades!$C$3:$C$13,MATCH(C1162,Upgrades!$B$3:$B$13,0))*1.15^(COUNTIF(C$4:C1161,C1162)-COUNTIF(C$4:C1161,""Sell_""&amp;C1162))))))"),"")</f>
        <v/>
      </c>
      <c r="H1162" s="10" t="str">
        <f t="shared" si="3"/>
        <v/>
      </c>
      <c r="I1162" s="68" t="str">
        <f t="shared" si="4"/>
        <v/>
      </c>
      <c r="J1162" s="59" t="str">
        <f t="shared" si="5"/>
        <v/>
      </c>
      <c r="K1162" s="69" t="str">
        <f t="shared" si="6"/>
        <v/>
      </c>
      <c r="L1162" s="60" t="str">
        <f t="shared" si="7"/>
        <v/>
      </c>
      <c r="M1162" s="61" t="str">
        <f>IFERROR(__xludf.DUMMYFUNCTION("IFS(AND(COUNTA(C1162:C1644)=0,COUNTA(Q1162:Q1644)=0),"""",OR(AND(K1162&gt;=1000000000,OR(Y1162&gt;=1000000000,COUNTA(Q1162:Q1644)=0)),OR(Y1162&gt;=1000000000,AND(COUNTA(C1162:C1644)=0,P$3=TRUE))),
ROUNDDOWN((AB$1-AC$1)*MAX(INDEX(T$4:T1644,MATCH(LARGE(FILTER(Y$4:Y1"&amp;"644,Y$4:Y1644&lt;1000000000),1),Y$4:Y1644)),INDEX(F$4:F1644,MATCH(LARGE(FILTER(K$4:K1644,K$4:K1644&lt;1000000000),1),K$4:K1644)))),AND(K1162&lt;1000000000,COUNTA(C1162:C1644)&gt;0,P$3=FALSE),
ROUNDDOWN(INDEX(Y$4:Y1644,MATCH(LARGE(FILTER(W$4:W1644,W$4:W1644&lt;=I1162),1)"&amp;",W$4:W1644))+(I1162-LARGE(FILTER(W$4:W1644,W$4:W1644&lt;=I1162),1))*INDEX(T$4:T1644,MATCH(LARGE(FILTER(W$4:W1644,W$4:W1644&lt;=I1162),1),W$4:W1644))-K1162),1,
ROUNDDOWN(Y1162-INDEX(K$4:K1644,MATCH(LARGE(FILTER(I$4:I1644,I$4:I1644&lt;=W1162),1),I$4:I1644))-(W1162-L"&amp;"ARGE(FILTER(I$4:I1644,I$4:I1644&lt;=W1162),1))*INDEX(F$4:F1644,MATCH(LARGE(FILTER(I$4:I1644,I$4:I1644&lt;=W1162),1),I$4:I1644))))"),"")</f>
        <v/>
      </c>
      <c r="N1162" s="60" t="str">
        <f t="shared" si="8"/>
        <v/>
      </c>
      <c r="O1162" s="61" t="str">
        <f t="shared" si="9"/>
        <v/>
      </c>
      <c r="P1162" s="56" t="str">
        <f t="shared" si="10"/>
        <v/>
      </c>
      <c r="Q1162" s="105"/>
      <c r="R1162" s="10"/>
      <c r="S1162" s="59" t="str">
        <f t="array" ref="S1162">IF(COUNTA(Q1162:Q1644)=0,"",SUM((COUNTIF(Q$4:Q1162,Upgrades!$B$3:$B$13)-COUNTIF(Q$4:Q1162,"Sell_"&amp;Upgrades!$B$3:$B$13))*Upgrades!$D$3:$D$13))</f>
        <v/>
      </c>
      <c r="T1162" s="66" t="str">
        <f>IFERROR(__xludf.DUMMYFUNCTION("IF(COUNTA(Q1162:Q1644)=0,"""",IF(REGEXMATCH(INDEX(FILTER(Q$4:Q1162,Q$4:Q1162&lt;&gt;""""),ROWS(FILTER(Q$4:Q1162,Q$4:Q1162&lt;&gt;""""))),""^Sell_""),INDEX(FILTER(T$4:T1161,Q$4:Q1161&lt;&gt;""""),ROWS(FILTER(Q$4:Q1161,Q$4:Q1161&lt;&gt;""""))),$AD$5+S1162))"),"")</f>
        <v/>
      </c>
      <c r="U1162" s="10" t="str">
        <f>IFERROR(__xludf.DUMMYFUNCTION("IF(COUNTA(Q1162:Q1644)=0,"""",IF(Q1162="""",0,IF(REGEXMATCH(Q1162,""^Sell_""),-ROUNDDOWN(ROUNDUP(INDEX(Upgrades!$C$3:$C$13,MATCH(SUBSTITUTE(Q1162,""Sell_"",""""),Upgrades!$B$3:$B$13,0))*1.15^(COUNTIF(Q$4:Q1161,SUBSTITUTE(Q1162,""Sell_"",""""))-COUNTIF(Q$4"&amp;":Q1161,""Sell_""&amp;SUBSTITUTE(Q1162,""Sell_"",""""))))/2),ROUNDUP(INDEX(Upgrades!$C$3:$C$13,MATCH(Q1162,Upgrades!$B$3:$B$13,0))*1.15^(COUNTIF(Q$4:Q1161,Q1162)-COUNTIF(Q$4:Q1161,""Sell_""&amp;Q1162))))))"),"")</f>
        <v/>
      </c>
      <c r="V1162" s="10" t="str">
        <f t="shared" si="11"/>
        <v/>
      </c>
      <c r="W1162" s="68" t="str">
        <f t="shared" si="12"/>
        <v/>
      </c>
      <c r="X1162" s="59" t="str">
        <f t="shared" si="13"/>
        <v/>
      </c>
      <c r="Y1162" s="69" t="str">
        <f t="shared" si="14"/>
        <v/>
      </c>
      <c r="Z1162" s="11"/>
      <c r="AG1162" s="59"/>
    </row>
    <row r="1163">
      <c r="A1163" s="8"/>
      <c r="B1163" s="56" t="str">
        <f t="shared" si="2"/>
        <v/>
      </c>
      <c r="C1163" s="105"/>
      <c r="D1163" s="10"/>
      <c r="E1163" s="59" t="str">
        <f t="array" ref="E1163">IF(COUNTA(C1163:C1644)=0,"",SUM((COUNTIF(C$4:C1163,Upgrades!$B$3:$B$13)-COUNTIF(C$4:C1163,"Sell_"&amp;Upgrades!$B$3:$B$13))*Upgrades!$D$3:$D$13))</f>
        <v/>
      </c>
      <c r="F1163" s="66" t="str">
        <f>IFERROR(__xludf.DUMMYFUNCTION("IF(COUNTA(C1163:C1644)=0,"""",IF(REGEXMATCH(INDEX(FILTER(C$4:C1163,C$4:C1163&lt;&gt;""""),ROWS(FILTER(C$4:C1163,C$4:C1163&lt;&gt;""""))),""^Sell_""),INDEX(FILTER(F$4:F1162,C$4:C1162&lt;&gt;""""),ROWS(FILTER(C$4:C1162,C$4:C1162&lt;&gt;""""))),$AC$5+E1163))"),"")</f>
        <v/>
      </c>
      <c r="G1163" s="10" t="str">
        <f>IFERROR(__xludf.DUMMYFUNCTION("IF(COUNTA(C1163:C1644)=0,"""",IF(C1163="""",0,IF(REGEXMATCH(C1163,""^Sell_""),-ROUNDDOWN(ROUNDUP(INDEX(Upgrades!$C$3:$C$13,MATCH(SUBSTITUTE(C1163,""Sell_"",""""),Upgrades!$B$3:$B$13,0))*1.15^(COUNTIF(C$4:C1162,SUBSTITUTE(C1163,""Sell_"",""""))-COUNTIF(C$4"&amp;":C1162,""Sell_""&amp;SUBSTITUTE(C1163,""Sell_"",""""))))/2),ROUNDUP(INDEX(Upgrades!$C$3:$C$13,MATCH(C1163,Upgrades!$B$3:$B$13,0))*1.15^(COUNTIF(C$4:C1162,C1163)-COUNTIF(C$4:C1162,""Sell_""&amp;C1163))))))"),"")</f>
        <v/>
      </c>
      <c r="H1163" s="10" t="str">
        <f t="shared" si="3"/>
        <v/>
      </c>
      <c r="I1163" s="68" t="str">
        <f t="shared" si="4"/>
        <v/>
      </c>
      <c r="J1163" s="59" t="str">
        <f t="shared" si="5"/>
        <v/>
      </c>
      <c r="K1163" s="69" t="str">
        <f t="shared" si="6"/>
        <v/>
      </c>
      <c r="L1163" s="60" t="str">
        <f t="shared" si="7"/>
        <v/>
      </c>
      <c r="M1163" s="61" t="str">
        <f>IFERROR(__xludf.DUMMYFUNCTION("IFS(AND(COUNTA(C1163:C1644)=0,COUNTA(Q1163:Q1644)=0),"""",OR(AND(K1163&gt;=1000000000,OR(Y1163&gt;=1000000000,COUNTA(Q1163:Q1644)=0)),OR(Y1163&gt;=1000000000,AND(COUNTA(C1163:C1644)=0,P$3=TRUE))),
ROUNDDOWN((AB$1-AC$1)*MAX(INDEX(T$4:T1644,MATCH(LARGE(FILTER(Y$4:Y1"&amp;"644,Y$4:Y1644&lt;1000000000),1),Y$4:Y1644)),INDEX(F$4:F1644,MATCH(LARGE(FILTER(K$4:K1644,K$4:K1644&lt;1000000000),1),K$4:K1644)))),AND(K1163&lt;1000000000,COUNTA(C1163:C1644)&gt;0,P$3=FALSE),
ROUNDDOWN(INDEX(Y$4:Y1644,MATCH(LARGE(FILTER(W$4:W1644,W$4:W1644&lt;=I1163),1)"&amp;",W$4:W1644))+(I1163-LARGE(FILTER(W$4:W1644,W$4:W1644&lt;=I1163),1))*INDEX(T$4:T1644,MATCH(LARGE(FILTER(W$4:W1644,W$4:W1644&lt;=I1163),1),W$4:W1644))-K1163),1,
ROUNDDOWN(Y1163-INDEX(K$4:K1644,MATCH(LARGE(FILTER(I$4:I1644,I$4:I1644&lt;=W1163),1),I$4:I1644))-(W1163-L"&amp;"ARGE(FILTER(I$4:I1644,I$4:I1644&lt;=W1163),1))*INDEX(F$4:F1644,MATCH(LARGE(FILTER(I$4:I1644,I$4:I1644&lt;=W1163),1),I$4:I1644))))"),"")</f>
        <v/>
      </c>
      <c r="N1163" s="60" t="str">
        <f t="shared" si="8"/>
        <v/>
      </c>
      <c r="O1163" s="61" t="str">
        <f t="shared" si="9"/>
        <v/>
      </c>
      <c r="P1163" s="56" t="str">
        <f t="shared" si="10"/>
        <v/>
      </c>
      <c r="Q1163" s="105"/>
      <c r="R1163" s="10"/>
      <c r="S1163" s="59" t="str">
        <f t="array" ref="S1163">IF(COUNTA(Q1163:Q1644)=0,"",SUM((COUNTIF(Q$4:Q1163,Upgrades!$B$3:$B$13)-COUNTIF(Q$4:Q1163,"Sell_"&amp;Upgrades!$B$3:$B$13))*Upgrades!$D$3:$D$13))</f>
        <v/>
      </c>
      <c r="T1163" s="66" t="str">
        <f>IFERROR(__xludf.DUMMYFUNCTION("IF(COUNTA(Q1163:Q1644)=0,"""",IF(REGEXMATCH(INDEX(FILTER(Q$4:Q1163,Q$4:Q1163&lt;&gt;""""),ROWS(FILTER(Q$4:Q1163,Q$4:Q1163&lt;&gt;""""))),""^Sell_""),INDEX(FILTER(T$4:T1162,Q$4:Q1162&lt;&gt;""""),ROWS(FILTER(Q$4:Q1162,Q$4:Q1162&lt;&gt;""""))),$AD$5+S1163))"),"")</f>
        <v/>
      </c>
      <c r="U1163" s="10" t="str">
        <f>IFERROR(__xludf.DUMMYFUNCTION("IF(COUNTA(Q1163:Q1644)=0,"""",IF(Q1163="""",0,IF(REGEXMATCH(Q1163,""^Sell_""),-ROUNDDOWN(ROUNDUP(INDEX(Upgrades!$C$3:$C$13,MATCH(SUBSTITUTE(Q1163,""Sell_"",""""),Upgrades!$B$3:$B$13,0))*1.15^(COUNTIF(Q$4:Q1162,SUBSTITUTE(Q1163,""Sell_"",""""))-COUNTIF(Q$4"&amp;":Q1162,""Sell_""&amp;SUBSTITUTE(Q1163,""Sell_"",""""))))/2),ROUNDUP(INDEX(Upgrades!$C$3:$C$13,MATCH(Q1163,Upgrades!$B$3:$B$13,0))*1.15^(COUNTIF(Q$4:Q1162,Q1163)-COUNTIF(Q$4:Q1162,""Sell_""&amp;Q1163))))))"),"")</f>
        <v/>
      </c>
      <c r="V1163" s="10" t="str">
        <f t="shared" si="11"/>
        <v/>
      </c>
      <c r="W1163" s="68" t="str">
        <f t="shared" si="12"/>
        <v/>
      </c>
      <c r="X1163" s="59" t="str">
        <f t="shared" si="13"/>
        <v/>
      </c>
      <c r="Y1163" s="69" t="str">
        <f t="shared" si="14"/>
        <v/>
      </c>
      <c r="Z1163" s="11"/>
      <c r="AG1163" s="59"/>
    </row>
    <row r="1164">
      <c r="A1164" s="8"/>
      <c r="B1164" s="56" t="str">
        <f t="shared" si="2"/>
        <v/>
      </c>
      <c r="C1164" s="105"/>
      <c r="D1164" s="10"/>
      <c r="E1164" s="59" t="str">
        <f t="array" ref="E1164">IF(COUNTA(C1164:C1644)=0,"",SUM((COUNTIF(C$4:C1164,Upgrades!$B$3:$B$13)-COUNTIF(C$4:C1164,"Sell_"&amp;Upgrades!$B$3:$B$13))*Upgrades!$D$3:$D$13))</f>
        <v/>
      </c>
      <c r="F1164" s="66" t="str">
        <f>IFERROR(__xludf.DUMMYFUNCTION("IF(COUNTA(C1164:C1644)=0,"""",IF(REGEXMATCH(INDEX(FILTER(C$4:C1164,C$4:C1164&lt;&gt;""""),ROWS(FILTER(C$4:C1164,C$4:C1164&lt;&gt;""""))),""^Sell_""),INDEX(FILTER(F$4:F1163,C$4:C1163&lt;&gt;""""),ROWS(FILTER(C$4:C1163,C$4:C1163&lt;&gt;""""))),$AC$5+E1164))"),"")</f>
        <v/>
      </c>
      <c r="G1164" s="10" t="str">
        <f>IFERROR(__xludf.DUMMYFUNCTION("IF(COUNTA(C1164:C1644)=0,"""",IF(C1164="""",0,IF(REGEXMATCH(C1164,""^Sell_""),-ROUNDDOWN(ROUNDUP(INDEX(Upgrades!$C$3:$C$13,MATCH(SUBSTITUTE(C1164,""Sell_"",""""),Upgrades!$B$3:$B$13,0))*1.15^(COUNTIF(C$4:C1163,SUBSTITUTE(C1164,""Sell_"",""""))-COUNTIF(C$4"&amp;":C1163,""Sell_""&amp;SUBSTITUTE(C1164,""Sell_"",""""))))/2),ROUNDUP(INDEX(Upgrades!$C$3:$C$13,MATCH(C1164,Upgrades!$B$3:$B$13,0))*1.15^(COUNTIF(C$4:C1163,C1164)-COUNTIF(C$4:C1163,""Sell_""&amp;C1164))))))"),"")</f>
        <v/>
      </c>
      <c r="H1164" s="10" t="str">
        <f t="shared" si="3"/>
        <v/>
      </c>
      <c r="I1164" s="68" t="str">
        <f t="shared" si="4"/>
        <v/>
      </c>
      <c r="J1164" s="59" t="str">
        <f t="shared" si="5"/>
        <v/>
      </c>
      <c r="K1164" s="69" t="str">
        <f t="shared" si="6"/>
        <v/>
      </c>
      <c r="L1164" s="60" t="str">
        <f t="shared" si="7"/>
        <v/>
      </c>
      <c r="M1164" s="61" t="str">
        <f>IFERROR(__xludf.DUMMYFUNCTION("IFS(AND(COUNTA(C1164:C1644)=0,COUNTA(Q1164:Q1644)=0),"""",OR(AND(K1164&gt;=1000000000,OR(Y1164&gt;=1000000000,COUNTA(Q1164:Q1644)=0)),OR(Y1164&gt;=1000000000,AND(COUNTA(C1164:C1644)=0,P$3=TRUE))),
ROUNDDOWN((AB$1-AC$1)*MAX(INDEX(T$4:T1644,MATCH(LARGE(FILTER(Y$4:Y1"&amp;"644,Y$4:Y1644&lt;1000000000),1),Y$4:Y1644)),INDEX(F$4:F1644,MATCH(LARGE(FILTER(K$4:K1644,K$4:K1644&lt;1000000000),1),K$4:K1644)))),AND(K1164&lt;1000000000,COUNTA(C1164:C1644)&gt;0,P$3=FALSE),
ROUNDDOWN(INDEX(Y$4:Y1644,MATCH(LARGE(FILTER(W$4:W1644,W$4:W1644&lt;=I1164),1)"&amp;",W$4:W1644))+(I1164-LARGE(FILTER(W$4:W1644,W$4:W1644&lt;=I1164),1))*INDEX(T$4:T1644,MATCH(LARGE(FILTER(W$4:W1644,W$4:W1644&lt;=I1164),1),W$4:W1644))-K1164),1,
ROUNDDOWN(Y1164-INDEX(K$4:K1644,MATCH(LARGE(FILTER(I$4:I1644,I$4:I1644&lt;=W1164),1),I$4:I1644))-(W1164-L"&amp;"ARGE(FILTER(I$4:I1644,I$4:I1644&lt;=W1164),1))*INDEX(F$4:F1644,MATCH(LARGE(FILTER(I$4:I1644,I$4:I1644&lt;=W1164),1),I$4:I1644))))"),"")</f>
        <v/>
      </c>
      <c r="N1164" s="60" t="str">
        <f t="shared" si="8"/>
        <v/>
      </c>
      <c r="O1164" s="61" t="str">
        <f t="shared" si="9"/>
        <v/>
      </c>
      <c r="P1164" s="56" t="str">
        <f t="shared" si="10"/>
        <v/>
      </c>
      <c r="Q1164" s="105"/>
      <c r="R1164" s="10"/>
      <c r="S1164" s="59" t="str">
        <f t="array" ref="S1164">IF(COUNTA(Q1164:Q1644)=0,"",SUM((COUNTIF(Q$4:Q1164,Upgrades!$B$3:$B$13)-COUNTIF(Q$4:Q1164,"Sell_"&amp;Upgrades!$B$3:$B$13))*Upgrades!$D$3:$D$13))</f>
        <v/>
      </c>
      <c r="T1164" s="66" t="str">
        <f>IFERROR(__xludf.DUMMYFUNCTION("IF(COUNTA(Q1164:Q1644)=0,"""",IF(REGEXMATCH(INDEX(FILTER(Q$4:Q1164,Q$4:Q1164&lt;&gt;""""),ROWS(FILTER(Q$4:Q1164,Q$4:Q1164&lt;&gt;""""))),""^Sell_""),INDEX(FILTER(T$4:T1163,Q$4:Q1163&lt;&gt;""""),ROWS(FILTER(Q$4:Q1163,Q$4:Q1163&lt;&gt;""""))),$AD$5+S1164))"),"")</f>
        <v/>
      </c>
      <c r="U1164" s="10" t="str">
        <f>IFERROR(__xludf.DUMMYFUNCTION("IF(COUNTA(Q1164:Q1644)=0,"""",IF(Q1164="""",0,IF(REGEXMATCH(Q1164,""^Sell_""),-ROUNDDOWN(ROUNDUP(INDEX(Upgrades!$C$3:$C$13,MATCH(SUBSTITUTE(Q1164,""Sell_"",""""),Upgrades!$B$3:$B$13,0))*1.15^(COUNTIF(Q$4:Q1163,SUBSTITUTE(Q1164,""Sell_"",""""))-COUNTIF(Q$4"&amp;":Q1163,""Sell_""&amp;SUBSTITUTE(Q1164,""Sell_"",""""))))/2),ROUNDUP(INDEX(Upgrades!$C$3:$C$13,MATCH(Q1164,Upgrades!$B$3:$B$13,0))*1.15^(COUNTIF(Q$4:Q1163,Q1164)-COUNTIF(Q$4:Q1163,""Sell_""&amp;Q1164))))))"),"")</f>
        <v/>
      </c>
      <c r="V1164" s="10" t="str">
        <f t="shared" si="11"/>
        <v/>
      </c>
      <c r="W1164" s="68" t="str">
        <f t="shared" si="12"/>
        <v/>
      </c>
      <c r="X1164" s="59" t="str">
        <f t="shared" si="13"/>
        <v/>
      </c>
      <c r="Y1164" s="69" t="str">
        <f t="shared" si="14"/>
        <v/>
      </c>
      <c r="Z1164" s="11"/>
      <c r="AG1164" s="59"/>
    </row>
    <row r="1165">
      <c r="A1165" s="8"/>
      <c r="B1165" s="56" t="str">
        <f t="shared" si="2"/>
        <v/>
      </c>
      <c r="C1165" s="105"/>
      <c r="D1165" s="10"/>
      <c r="E1165" s="59" t="str">
        <f t="array" ref="E1165">IF(COUNTA(C1165:C1644)=0,"",SUM((COUNTIF(C$4:C1165,Upgrades!$B$3:$B$13)-COUNTIF(C$4:C1165,"Sell_"&amp;Upgrades!$B$3:$B$13))*Upgrades!$D$3:$D$13))</f>
        <v/>
      </c>
      <c r="F1165" s="66" t="str">
        <f>IFERROR(__xludf.DUMMYFUNCTION("IF(COUNTA(C1165:C1644)=0,"""",IF(REGEXMATCH(INDEX(FILTER(C$4:C1165,C$4:C1165&lt;&gt;""""),ROWS(FILTER(C$4:C1165,C$4:C1165&lt;&gt;""""))),""^Sell_""),INDEX(FILTER(F$4:F1164,C$4:C1164&lt;&gt;""""),ROWS(FILTER(C$4:C1164,C$4:C1164&lt;&gt;""""))),$AC$5+E1165))"),"")</f>
        <v/>
      </c>
      <c r="G1165" s="10" t="str">
        <f>IFERROR(__xludf.DUMMYFUNCTION("IF(COUNTA(C1165:C1644)=0,"""",IF(C1165="""",0,IF(REGEXMATCH(C1165,""^Sell_""),-ROUNDDOWN(ROUNDUP(INDEX(Upgrades!$C$3:$C$13,MATCH(SUBSTITUTE(C1165,""Sell_"",""""),Upgrades!$B$3:$B$13,0))*1.15^(COUNTIF(C$4:C1164,SUBSTITUTE(C1165,""Sell_"",""""))-COUNTIF(C$4"&amp;":C1164,""Sell_""&amp;SUBSTITUTE(C1165,""Sell_"",""""))))/2),ROUNDUP(INDEX(Upgrades!$C$3:$C$13,MATCH(C1165,Upgrades!$B$3:$B$13,0))*1.15^(COUNTIF(C$4:C1164,C1165)-COUNTIF(C$4:C1164,""Sell_""&amp;C1165))))))"),"")</f>
        <v/>
      </c>
      <c r="H1165" s="10" t="str">
        <f t="shared" si="3"/>
        <v/>
      </c>
      <c r="I1165" s="68" t="str">
        <f t="shared" si="4"/>
        <v/>
      </c>
      <c r="J1165" s="59" t="str">
        <f t="shared" si="5"/>
        <v/>
      </c>
      <c r="K1165" s="69" t="str">
        <f t="shared" si="6"/>
        <v/>
      </c>
      <c r="L1165" s="60" t="str">
        <f t="shared" si="7"/>
        <v/>
      </c>
      <c r="M1165" s="61" t="str">
        <f>IFERROR(__xludf.DUMMYFUNCTION("IFS(AND(COUNTA(C1165:C1644)=0,COUNTA(Q1165:Q1644)=0),"""",OR(AND(K1165&gt;=1000000000,OR(Y1165&gt;=1000000000,COUNTA(Q1165:Q1644)=0)),OR(Y1165&gt;=1000000000,AND(COUNTA(C1165:C1644)=0,P$3=TRUE))),
ROUNDDOWN((AB$1-AC$1)*MAX(INDEX(T$4:T1644,MATCH(LARGE(FILTER(Y$4:Y1"&amp;"644,Y$4:Y1644&lt;1000000000),1),Y$4:Y1644)),INDEX(F$4:F1644,MATCH(LARGE(FILTER(K$4:K1644,K$4:K1644&lt;1000000000),1),K$4:K1644)))),AND(K1165&lt;1000000000,COUNTA(C1165:C1644)&gt;0,P$3=FALSE),
ROUNDDOWN(INDEX(Y$4:Y1644,MATCH(LARGE(FILTER(W$4:W1644,W$4:W1644&lt;=I1165),1)"&amp;",W$4:W1644))+(I1165-LARGE(FILTER(W$4:W1644,W$4:W1644&lt;=I1165),1))*INDEX(T$4:T1644,MATCH(LARGE(FILTER(W$4:W1644,W$4:W1644&lt;=I1165),1),W$4:W1644))-K1165),1,
ROUNDDOWN(Y1165-INDEX(K$4:K1644,MATCH(LARGE(FILTER(I$4:I1644,I$4:I1644&lt;=W1165),1),I$4:I1644))-(W1165-L"&amp;"ARGE(FILTER(I$4:I1644,I$4:I1644&lt;=W1165),1))*INDEX(F$4:F1644,MATCH(LARGE(FILTER(I$4:I1644,I$4:I1644&lt;=W1165),1),I$4:I1644))))"),"")</f>
        <v/>
      </c>
      <c r="N1165" s="60" t="str">
        <f t="shared" si="8"/>
        <v/>
      </c>
      <c r="O1165" s="61" t="str">
        <f t="shared" si="9"/>
        <v/>
      </c>
      <c r="P1165" s="56" t="str">
        <f t="shared" si="10"/>
        <v/>
      </c>
      <c r="Q1165" s="105"/>
      <c r="R1165" s="10"/>
      <c r="S1165" s="59" t="str">
        <f t="array" ref="S1165">IF(COUNTA(Q1165:Q1644)=0,"",SUM((COUNTIF(Q$4:Q1165,Upgrades!$B$3:$B$13)-COUNTIF(Q$4:Q1165,"Sell_"&amp;Upgrades!$B$3:$B$13))*Upgrades!$D$3:$D$13))</f>
        <v/>
      </c>
      <c r="T1165" s="66" t="str">
        <f>IFERROR(__xludf.DUMMYFUNCTION("IF(COUNTA(Q1165:Q1644)=0,"""",IF(REGEXMATCH(INDEX(FILTER(Q$4:Q1165,Q$4:Q1165&lt;&gt;""""),ROWS(FILTER(Q$4:Q1165,Q$4:Q1165&lt;&gt;""""))),""^Sell_""),INDEX(FILTER(T$4:T1164,Q$4:Q1164&lt;&gt;""""),ROWS(FILTER(Q$4:Q1164,Q$4:Q1164&lt;&gt;""""))),$AD$5+S1165))"),"")</f>
        <v/>
      </c>
      <c r="U1165" s="10" t="str">
        <f>IFERROR(__xludf.DUMMYFUNCTION("IF(COUNTA(Q1165:Q1644)=0,"""",IF(Q1165="""",0,IF(REGEXMATCH(Q1165,""^Sell_""),-ROUNDDOWN(ROUNDUP(INDEX(Upgrades!$C$3:$C$13,MATCH(SUBSTITUTE(Q1165,""Sell_"",""""),Upgrades!$B$3:$B$13,0))*1.15^(COUNTIF(Q$4:Q1164,SUBSTITUTE(Q1165,""Sell_"",""""))-COUNTIF(Q$4"&amp;":Q1164,""Sell_""&amp;SUBSTITUTE(Q1165,""Sell_"",""""))))/2),ROUNDUP(INDEX(Upgrades!$C$3:$C$13,MATCH(Q1165,Upgrades!$B$3:$B$13,0))*1.15^(COUNTIF(Q$4:Q1164,Q1165)-COUNTIF(Q$4:Q1164,""Sell_""&amp;Q1165))))))"),"")</f>
        <v/>
      </c>
      <c r="V1165" s="10" t="str">
        <f t="shared" si="11"/>
        <v/>
      </c>
      <c r="W1165" s="68" t="str">
        <f t="shared" si="12"/>
        <v/>
      </c>
      <c r="X1165" s="59" t="str">
        <f t="shared" si="13"/>
        <v/>
      </c>
      <c r="Y1165" s="69" t="str">
        <f t="shared" si="14"/>
        <v/>
      </c>
      <c r="Z1165" s="11"/>
      <c r="AG1165" s="59"/>
    </row>
    <row r="1166">
      <c r="A1166" s="8"/>
      <c r="B1166" s="56" t="str">
        <f t="shared" si="2"/>
        <v/>
      </c>
      <c r="C1166" s="105"/>
      <c r="D1166" s="10"/>
      <c r="E1166" s="59" t="str">
        <f t="array" ref="E1166">IF(COUNTA(C1166:C1644)=0,"",SUM((COUNTIF(C$4:C1166,Upgrades!$B$3:$B$13)-COUNTIF(C$4:C1166,"Sell_"&amp;Upgrades!$B$3:$B$13))*Upgrades!$D$3:$D$13))</f>
        <v/>
      </c>
      <c r="F1166" s="66" t="str">
        <f>IFERROR(__xludf.DUMMYFUNCTION("IF(COUNTA(C1166:C1644)=0,"""",IF(REGEXMATCH(INDEX(FILTER(C$4:C1166,C$4:C1166&lt;&gt;""""),ROWS(FILTER(C$4:C1166,C$4:C1166&lt;&gt;""""))),""^Sell_""),INDEX(FILTER(F$4:F1165,C$4:C1165&lt;&gt;""""),ROWS(FILTER(C$4:C1165,C$4:C1165&lt;&gt;""""))),$AC$5+E1166))"),"")</f>
        <v/>
      </c>
      <c r="G1166" s="10" t="str">
        <f>IFERROR(__xludf.DUMMYFUNCTION("IF(COUNTA(C1166:C1644)=0,"""",IF(C1166="""",0,IF(REGEXMATCH(C1166,""^Sell_""),-ROUNDDOWN(ROUNDUP(INDEX(Upgrades!$C$3:$C$13,MATCH(SUBSTITUTE(C1166,""Sell_"",""""),Upgrades!$B$3:$B$13,0))*1.15^(COUNTIF(C$4:C1165,SUBSTITUTE(C1166,""Sell_"",""""))-COUNTIF(C$4"&amp;":C1165,""Sell_""&amp;SUBSTITUTE(C1166,""Sell_"",""""))))/2),ROUNDUP(INDEX(Upgrades!$C$3:$C$13,MATCH(C1166,Upgrades!$B$3:$B$13,0))*1.15^(COUNTIF(C$4:C1165,C1166)-COUNTIF(C$4:C1165,""Sell_""&amp;C1166))))))"),"")</f>
        <v/>
      </c>
      <c r="H1166" s="10" t="str">
        <f t="shared" si="3"/>
        <v/>
      </c>
      <c r="I1166" s="68" t="str">
        <f t="shared" si="4"/>
        <v/>
      </c>
      <c r="J1166" s="59" t="str">
        <f t="shared" si="5"/>
        <v/>
      </c>
      <c r="K1166" s="69" t="str">
        <f t="shared" si="6"/>
        <v/>
      </c>
      <c r="L1166" s="60" t="str">
        <f t="shared" si="7"/>
        <v/>
      </c>
      <c r="M1166" s="61" t="str">
        <f>IFERROR(__xludf.DUMMYFUNCTION("IFS(AND(COUNTA(C1166:C1644)=0,COUNTA(Q1166:Q1644)=0),"""",OR(AND(K1166&gt;=1000000000,OR(Y1166&gt;=1000000000,COUNTA(Q1166:Q1644)=0)),OR(Y1166&gt;=1000000000,AND(COUNTA(C1166:C1644)=0,P$3=TRUE))),
ROUNDDOWN((AB$1-AC$1)*MAX(INDEX(T$4:T1644,MATCH(LARGE(FILTER(Y$4:Y1"&amp;"644,Y$4:Y1644&lt;1000000000),1),Y$4:Y1644)),INDEX(F$4:F1644,MATCH(LARGE(FILTER(K$4:K1644,K$4:K1644&lt;1000000000),1),K$4:K1644)))),AND(K1166&lt;1000000000,COUNTA(C1166:C1644)&gt;0,P$3=FALSE),
ROUNDDOWN(INDEX(Y$4:Y1644,MATCH(LARGE(FILTER(W$4:W1644,W$4:W1644&lt;=I1166),1)"&amp;",W$4:W1644))+(I1166-LARGE(FILTER(W$4:W1644,W$4:W1644&lt;=I1166),1))*INDEX(T$4:T1644,MATCH(LARGE(FILTER(W$4:W1644,W$4:W1644&lt;=I1166),1),W$4:W1644))-K1166),1,
ROUNDDOWN(Y1166-INDEX(K$4:K1644,MATCH(LARGE(FILTER(I$4:I1644,I$4:I1644&lt;=W1166),1),I$4:I1644))-(W1166-L"&amp;"ARGE(FILTER(I$4:I1644,I$4:I1644&lt;=W1166),1))*INDEX(F$4:F1644,MATCH(LARGE(FILTER(I$4:I1644,I$4:I1644&lt;=W1166),1),I$4:I1644))))"),"")</f>
        <v/>
      </c>
      <c r="N1166" s="60" t="str">
        <f t="shared" si="8"/>
        <v/>
      </c>
      <c r="O1166" s="61" t="str">
        <f t="shared" si="9"/>
        <v/>
      </c>
      <c r="P1166" s="56" t="str">
        <f t="shared" si="10"/>
        <v/>
      </c>
      <c r="Q1166" s="105"/>
      <c r="R1166" s="10"/>
      <c r="S1166" s="59" t="str">
        <f t="array" ref="S1166">IF(COUNTA(Q1166:Q1644)=0,"",SUM((COUNTIF(Q$4:Q1166,Upgrades!$B$3:$B$13)-COUNTIF(Q$4:Q1166,"Sell_"&amp;Upgrades!$B$3:$B$13))*Upgrades!$D$3:$D$13))</f>
        <v/>
      </c>
      <c r="T1166" s="66" t="str">
        <f>IFERROR(__xludf.DUMMYFUNCTION("IF(COUNTA(Q1166:Q1644)=0,"""",IF(REGEXMATCH(INDEX(FILTER(Q$4:Q1166,Q$4:Q1166&lt;&gt;""""),ROWS(FILTER(Q$4:Q1166,Q$4:Q1166&lt;&gt;""""))),""^Sell_""),INDEX(FILTER(T$4:T1165,Q$4:Q1165&lt;&gt;""""),ROWS(FILTER(Q$4:Q1165,Q$4:Q1165&lt;&gt;""""))),$AD$5+S1166))"),"")</f>
        <v/>
      </c>
      <c r="U1166" s="10" t="str">
        <f>IFERROR(__xludf.DUMMYFUNCTION("IF(COUNTA(Q1166:Q1644)=0,"""",IF(Q1166="""",0,IF(REGEXMATCH(Q1166,""^Sell_""),-ROUNDDOWN(ROUNDUP(INDEX(Upgrades!$C$3:$C$13,MATCH(SUBSTITUTE(Q1166,""Sell_"",""""),Upgrades!$B$3:$B$13,0))*1.15^(COUNTIF(Q$4:Q1165,SUBSTITUTE(Q1166,""Sell_"",""""))-COUNTIF(Q$4"&amp;":Q1165,""Sell_""&amp;SUBSTITUTE(Q1166,""Sell_"",""""))))/2),ROUNDUP(INDEX(Upgrades!$C$3:$C$13,MATCH(Q1166,Upgrades!$B$3:$B$13,0))*1.15^(COUNTIF(Q$4:Q1165,Q1166)-COUNTIF(Q$4:Q1165,""Sell_""&amp;Q1166))))))"),"")</f>
        <v/>
      </c>
      <c r="V1166" s="10" t="str">
        <f t="shared" si="11"/>
        <v/>
      </c>
      <c r="W1166" s="68" t="str">
        <f t="shared" si="12"/>
        <v/>
      </c>
      <c r="X1166" s="59" t="str">
        <f t="shared" si="13"/>
        <v/>
      </c>
      <c r="Y1166" s="69" t="str">
        <f t="shared" si="14"/>
        <v/>
      </c>
      <c r="Z1166" s="11"/>
      <c r="AG1166" s="59"/>
    </row>
    <row r="1167">
      <c r="A1167" s="8"/>
      <c r="B1167" s="56" t="str">
        <f t="shared" si="2"/>
        <v/>
      </c>
      <c r="C1167" s="105"/>
      <c r="D1167" s="10"/>
      <c r="E1167" s="59" t="str">
        <f t="array" ref="E1167">IF(COUNTA(C1167:C1644)=0,"",SUM((COUNTIF(C$4:C1167,Upgrades!$B$3:$B$13)-COUNTIF(C$4:C1167,"Sell_"&amp;Upgrades!$B$3:$B$13))*Upgrades!$D$3:$D$13))</f>
        <v/>
      </c>
      <c r="F1167" s="66" t="str">
        <f>IFERROR(__xludf.DUMMYFUNCTION("IF(COUNTA(C1167:C1644)=0,"""",IF(REGEXMATCH(INDEX(FILTER(C$4:C1167,C$4:C1167&lt;&gt;""""),ROWS(FILTER(C$4:C1167,C$4:C1167&lt;&gt;""""))),""^Sell_""),INDEX(FILTER(F$4:F1166,C$4:C1166&lt;&gt;""""),ROWS(FILTER(C$4:C1166,C$4:C1166&lt;&gt;""""))),$AC$5+E1167))"),"")</f>
        <v/>
      </c>
      <c r="G1167" s="10" t="str">
        <f>IFERROR(__xludf.DUMMYFUNCTION("IF(COUNTA(C1167:C1644)=0,"""",IF(C1167="""",0,IF(REGEXMATCH(C1167,""^Sell_""),-ROUNDDOWN(ROUNDUP(INDEX(Upgrades!$C$3:$C$13,MATCH(SUBSTITUTE(C1167,""Sell_"",""""),Upgrades!$B$3:$B$13,0))*1.15^(COUNTIF(C$4:C1166,SUBSTITUTE(C1167,""Sell_"",""""))-COUNTIF(C$4"&amp;":C1166,""Sell_""&amp;SUBSTITUTE(C1167,""Sell_"",""""))))/2),ROUNDUP(INDEX(Upgrades!$C$3:$C$13,MATCH(C1167,Upgrades!$B$3:$B$13,0))*1.15^(COUNTIF(C$4:C1166,C1167)-COUNTIF(C$4:C1166,""Sell_""&amp;C1167))))))"),"")</f>
        <v/>
      </c>
      <c r="H1167" s="10" t="str">
        <f t="shared" si="3"/>
        <v/>
      </c>
      <c r="I1167" s="68" t="str">
        <f t="shared" si="4"/>
        <v/>
      </c>
      <c r="J1167" s="59" t="str">
        <f t="shared" si="5"/>
        <v/>
      </c>
      <c r="K1167" s="69" t="str">
        <f t="shared" si="6"/>
        <v/>
      </c>
      <c r="L1167" s="60" t="str">
        <f t="shared" si="7"/>
        <v/>
      </c>
      <c r="M1167" s="61" t="str">
        <f>IFERROR(__xludf.DUMMYFUNCTION("IFS(AND(COUNTA(C1167:C1644)=0,COUNTA(Q1167:Q1644)=0),"""",OR(AND(K1167&gt;=1000000000,OR(Y1167&gt;=1000000000,COUNTA(Q1167:Q1644)=0)),OR(Y1167&gt;=1000000000,AND(COUNTA(C1167:C1644)=0,P$3=TRUE))),
ROUNDDOWN((AB$1-AC$1)*MAX(INDEX(T$4:T1644,MATCH(LARGE(FILTER(Y$4:Y1"&amp;"644,Y$4:Y1644&lt;1000000000),1),Y$4:Y1644)),INDEX(F$4:F1644,MATCH(LARGE(FILTER(K$4:K1644,K$4:K1644&lt;1000000000),1),K$4:K1644)))),AND(K1167&lt;1000000000,COUNTA(C1167:C1644)&gt;0,P$3=FALSE),
ROUNDDOWN(INDEX(Y$4:Y1644,MATCH(LARGE(FILTER(W$4:W1644,W$4:W1644&lt;=I1167),1)"&amp;",W$4:W1644))+(I1167-LARGE(FILTER(W$4:W1644,W$4:W1644&lt;=I1167),1))*INDEX(T$4:T1644,MATCH(LARGE(FILTER(W$4:W1644,W$4:W1644&lt;=I1167),1),W$4:W1644))-K1167),1,
ROUNDDOWN(Y1167-INDEX(K$4:K1644,MATCH(LARGE(FILTER(I$4:I1644,I$4:I1644&lt;=W1167),1),I$4:I1644))-(W1167-L"&amp;"ARGE(FILTER(I$4:I1644,I$4:I1644&lt;=W1167),1))*INDEX(F$4:F1644,MATCH(LARGE(FILTER(I$4:I1644,I$4:I1644&lt;=W1167),1),I$4:I1644))))"),"")</f>
        <v/>
      </c>
      <c r="N1167" s="60" t="str">
        <f t="shared" si="8"/>
        <v/>
      </c>
      <c r="O1167" s="61" t="str">
        <f t="shared" si="9"/>
        <v/>
      </c>
      <c r="P1167" s="56" t="str">
        <f t="shared" si="10"/>
        <v/>
      </c>
      <c r="Q1167" s="105"/>
      <c r="R1167" s="10"/>
      <c r="S1167" s="59" t="str">
        <f t="array" ref="S1167">IF(COUNTA(Q1167:Q1644)=0,"",SUM((COUNTIF(Q$4:Q1167,Upgrades!$B$3:$B$13)-COUNTIF(Q$4:Q1167,"Sell_"&amp;Upgrades!$B$3:$B$13))*Upgrades!$D$3:$D$13))</f>
        <v/>
      </c>
      <c r="T1167" s="66" t="str">
        <f>IFERROR(__xludf.DUMMYFUNCTION("IF(COUNTA(Q1167:Q1644)=0,"""",IF(REGEXMATCH(INDEX(FILTER(Q$4:Q1167,Q$4:Q1167&lt;&gt;""""),ROWS(FILTER(Q$4:Q1167,Q$4:Q1167&lt;&gt;""""))),""^Sell_""),INDEX(FILTER(T$4:T1166,Q$4:Q1166&lt;&gt;""""),ROWS(FILTER(Q$4:Q1166,Q$4:Q1166&lt;&gt;""""))),$AD$5+S1167))"),"")</f>
        <v/>
      </c>
      <c r="U1167" s="10" t="str">
        <f>IFERROR(__xludf.DUMMYFUNCTION("IF(COUNTA(Q1167:Q1644)=0,"""",IF(Q1167="""",0,IF(REGEXMATCH(Q1167,""^Sell_""),-ROUNDDOWN(ROUNDUP(INDEX(Upgrades!$C$3:$C$13,MATCH(SUBSTITUTE(Q1167,""Sell_"",""""),Upgrades!$B$3:$B$13,0))*1.15^(COUNTIF(Q$4:Q1166,SUBSTITUTE(Q1167,""Sell_"",""""))-COUNTIF(Q$4"&amp;":Q1166,""Sell_""&amp;SUBSTITUTE(Q1167,""Sell_"",""""))))/2),ROUNDUP(INDEX(Upgrades!$C$3:$C$13,MATCH(Q1167,Upgrades!$B$3:$B$13,0))*1.15^(COUNTIF(Q$4:Q1166,Q1167)-COUNTIF(Q$4:Q1166,""Sell_""&amp;Q1167))))))"),"")</f>
        <v/>
      </c>
      <c r="V1167" s="10" t="str">
        <f t="shared" si="11"/>
        <v/>
      </c>
      <c r="W1167" s="68" t="str">
        <f t="shared" si="12"/>
        <v/>
      </c>
      <c r="X1167" s="59" t="str">
        <f t="shared" si="13"/>
        <v/>
      </c>
      <c r="Y1167" s="69" t="str">
        <f t="shared" si="14"/>
        <v/>
      </c>
      <c r="Z1167" s="11"/>
      <c r="AG1167" s="59"/>
    </row>
    <row r="1168">
      <c r="A1168" s="8"/>
      <c r="B1168" s="56" t="str">
        <f t="shared" si="2"/>
        <v/>
      </c>
      <c r="C1168" s="105"/>
      <c r="D1168" s="10"/>
      <c r="E1168" s="59" t="str">
        <f t="array" ref="E1168">IF(COUNTA(C1168:C1644)=0,"",SUM((COUNTIF(C$4:C1168,Upgrades!$B$3:$B$13)-COUNTIF(C$4:C1168,"Sell_"&amp;Upgrades!$B$3:$B$13))*Upgrades!$D$3:$D$13))</f>
        <v/>
      </c>
      <c r="F1168" s="66" t="str">
        <f>IFERROR(__xludf.DUMMYFUNCTION("IF(COUNTA(C1168:C1644)=0,"""",IF(REGEXMATCH(INDEX(FILTER(C$4:C1168,C$4:C1168&lt;&gt;""""),ROWS(FILTER(C$4:C1168,C$4:C1168&lt;&gt;""""))),""^Sell_""),INDEX(FILTER(F$4:F1167,C$4:C1167&lt;&gt;""""),ROWS(FILTER(C$4:C1167,C$4:C1167&lt;&gt;""""))),$AC$5+E1168))"),"")</f>
        <v/>
      </c>
      <c r="G1168" s="10" t="str">
        <f>IFERROR(__xludf.DUMMYFUNCTION("IF(COUNTA(C1168:C1644)=0,"""",IF(C1168="""",0,IF(REGEXMATCH(C1168,""^Sell_""),-ROUNDDOWN(ROUNDUP(INDEX(Upgrades!$C$3:$C$13,MATCH(SUBSTITUTE(C1168,""Sell_"",""""),Upgrades!$B$3:$B$13,0))*1.15^(COUNTIF(C$4:C1167,SUBSTITUTE(C1168,""Sell_"",""""))-COUNTIF(C$4"&amp;":C1167,""Sell_""&amp;SUBSTITUTE(C1168,""Sell_"",""""))))/2),ROUNDUP(INDEX(Upgrades!$C$3:$C$13,MATCH(C1168,Upgrades!$B$3:$B$13,0))*1.15^(COUNTIF(C$4:C1167,C1168)-COUNTIF(C$4:C1167,""Sell_""&amp;C1168))))))"),"")</f>
        <v/>
      </c>
      <c r="H1168" s="10" t="str">
        <f t="shared" si="3"/>
        <v/>
      </c>
      <c r="I1168" s="68" t="str">
        <f t="shared" si="4"/>
        <v/>
      </c>
      <c r="J1168" s="59" t="str">
        <f t="shared" si="5"/>
        <v/>
      </c>
      <c r="K1168" s="69" t="str">
        <f t="shared" si="6"/>
        <v/>
      </c>
      <c r="L1168" s="60" t="str">
        <f t="shared" si="7"/>
        <v/>
      </c>
      <c r="M1168" s="61" t="str">
        <f>IFERROR(__xludf.DUMMYFUNCTION("IFS(AND(COUNTA(C1168:C1644)=0,COUNTA(Q1168:Q1644)=0),"""",OR(AND(K1168&gt;=1000000000,OR(Y1168&gt;=1000000000,COUNTA(Q1168:Q1644)=0)),OR(Y1168&gt;=1000000000,AND(COUNTA(C1168:C1644)=0,P$3=TRUE))),
ROUNDDOWN((AB$1-AC$1)*MAX(INDEX(T$4:T1644,MATCH(LARGE(FILTER(Y$4:Y1"&amp;"644,Y$4:Y1644&lt;1000000000),1),Y$4:Y1644)),INDEX(F$4:F1644,MATCH(LARGE(FILTER(K$4:K1644,K$4:K1644&lt;1000000000),1),K$4:K1644)))),AND(K1168&lt;1000000000,COUNTA(C1168:C1644)&gt;0,P$3=FALSE),
ROUNDDOWN(INDEX(Y$4:Y1644,MATCH(LARGE(FILTER(W$4:W1644,W$4:W1644&lt;=I1168),1)"&amp;",W$4:W1644))+(I1168-LARGE(FILTER(W$4:W1644,W$4:W1644&lt;=I1168),1))*INDEX(T$4:T1644,MATCH(LARGE(FILTER(W$4:W1644,W$4:W1644&lt;=I1168),1),W$4:W1644))-K1168),1,
ROUNDDOWN(Y1168-INDEX(K$4:K1644,MATCH(LARGE(FILTER(I$4:I1644,I$4:I1644&lt;=W1168),1),I$4:I1644))-(W1168-L"&amp;"ARGE(FILTER(I$4:I1644,I$4:I1644&lt;=W1168),1))*INDEX(F$4:F1644,MATCH(LARGE(FILTER(I$4:I1644,I$4:I1644&lt;=W1168),1),I$4:I1644))))"),"")</f>
        <v/>
      </c>
      <c r="N1168" s="60" t="str">
        <f t="shared" si="8"/>
        <v/>
      </c>
      <c r="O1168" s="61" t="str">
        <f t="shared" si="9"/>
        <v/>
      </c>
      <c r="P1168" s="56" t="str">
        <f t="shared" si="10"/>
        <v/>
      </c>
      <c r="Q1168" s="105"/>
      <c r="R1168" s="10"/>
      <c r="S1168" s="59" t="str">
        <f t="array" ref="S1168">IF(COUNTA(Q1168:Q1644)=0,"",SUM((COUNTIF(Q$4:Q1168,Upgrades!$B$3:$B$13)-COUNTIF(Q$4:Q1168,"Sell_"&amp;Upgrades!$B$3:$B$13))*Upgrades!$D$3:$D$13))</f>
        <v/>
      </c>
      <c r="T1168" s="66" t="str">
        <f>IFERROR(__xludf.DUMMYFUNCTION("IF(COUNTA(Q1168:Q1644)=0,"""",IF(REGEXMATCH(INDEX(FILTER(Q$4:Q1168,Q$4:Q1168&lt;&gt;""""),ROWS(FILTER(Q$4:Q1168,Q$4:Q1168&lt;&gt;""""))),""^Sell_""),INDEX(FILTER(T$4:T1167,Q$4:Q1167&lt;&gt;""""),ROWS(FILTER(Q$4:Q1167,Q$4:Q1167&lt;&gt;""""))),$AD$5+S1168))"),"")</f>
        <v/>
      </c>
      <c r="U1168" s="10" t="str">
        <f>IFERROR(__xludf.DUMMYFUNCTION("IF(COUNTA(Q1168:Q1644)=0,"""",IF(Q1168="""",0,IF(REGEXMATCH(Q1168,""^Sell_""),-ROUNDDOWN(ROUNDUP(INDEX(Upgrades!$C$3:$C$13,MATCH(SUBSTITUTE(Q1168,""Sell_"",""""),Upgrades!$B$3:$B$13,0))*1.15^(COUNTIF(Q$4:Q1167,SUBSTITUTE(Q1168,""Sell_"",""""))-COUNTIF(Q$4"&amp;":Q1167,""Sell_""&amp;SUBSTITUTE(Q1168,""Sell_"",""""))))/2),ROUNDUP(INDEX(Upgrades!$C$3:$C$13,MATCH(Q1168,Upgrades!$B$3:$B$13,0))*1.15^(COUNTIF(Q$4:Q1167,Q1168)-COUNTIF(Q$4:Q1167,""Sell_""&amp;Q1168))))))"),"")</f>
        <v/>
      </c>
      <c r="V1168" s="10" t="str">
        <f t="shared" si="11"/>
        <v/>
      </c>
      <c r="W1168" s="68" t="str">
        <f t="shared" si="12"/>
        <v/>
      </c>
      <c r="X1168" s="59" t="str">
        <f t="shared" si="13"/>
        <v/>
      </c>
      <c r="Y1168" s="69" t="str">
        <f t="shared" si="14"/>
        <v/>
      </c>
      <c r="Z1168" s="11"/>
      <c r="AG1168" s="59"/>
    </row>
    <row r="1169">
      <c r="A1169" s="8"/>
      <c r="B1169" s="56" t="str">
        <f t="shared" si="2"/>
        <v/>
      </c>
      <c r="C1169" s="105"/>
      <c r="D1169" s="10"/>
      <c r="E1169" s="59" t="str">
        <f t="array" ref="E1169">IF(COUNTA(C1169:C1644)=0,"",SUM((COUNTIF(C$4:C1169,Upgrades!$B$3:$B$13)-COUNTIF(C$4:C1169,"Sell_"&amp;Upgrades!$B$3:$B$13))*Upgrades!$D$3:$D$13))</f>
        <v/>
      </c>
      <c r="F1169" s="66" t="str">
        <f>IFERROR(__xludf.DUMMYFUNCTION("IF(COUNTA(C1169:C1644)=0,"""",IF(REGEXMATCH(INDEX(FILTER(C$4:C1169,C$4:C1169&lt;&gt;""""),ROWS(FILTER(C$4:C1169,C$4:C1169&lt;&gt;""""))),""^Sell_""),INDEX(FILTER(F$4:F1168,C$4:C1168&lt;&gt;""""),ROWS(FILTER(C$4:C1168,C$4:C1168&lt;&gt;""""))),$AC$5+E1169))"),"")</f>
        <v/>
      </c>
      <c r="G1169" s="10" t="str">
        <f>IFERROR(__xludf.DUMMYFUNCTION("IF(COUNTA(C1169:C1644)=0,"""",IF(C1169="""",0,IF(REGEXMATCH(C1169,""^Sell_""),-ROUNDDOWN(ROUNDUP(INDEX(Upgrades!$C$3:$C$13,MATCH(SUBSTITUTE(C1169,""Sell_"",""""),Upgrades!$B$3:$B$13,0))*1.15^(COUNTIF(C$4:C1168,SUBSTITUTE(C1169,""Sell_"",""""))-COUNTIF(C$4"&amp;":C1168,""Sell_""&amp;SUBSTITUTE(C1169,""Sell_"",""""))))/2),ROUNDUP(INDEX(Upgrades!$C$3:$C$13,MATCH(C1169,Upgrades!$B$3:$B$13,0))*1.15^(COUNTIF(C$4:C1168,C1169)-COUNTIF(C$4:C1168,""Sell_""&amp;C1169))))))"),"")</f>
        <v/>
      </c>
      <c r="H1169" s="10" t="str">
        <f t="shared" si="3"/>
        <v/>
      </c>
      <c r="I1169" s="68" t="str">
        <f t="shared" si="4"/>
        <v/>
      </c>
      <c r="J1169" s="59" t="str">
        <f t="shared" si="5"/>
        <v/>
      </c>
      <c r="K1169" s="69" t="str">
        <f t="shared" si="6"/>
        <v/>
      </c>
      <c r="L1169" s="60" t="str">
        <f t="shared" si="7"/>
        <v/>
      </c>
      <c r="M1169" s="61" t="str">
        <f>IFERROR(__xludf.DUMMYFUNCTION("IFS(AND(COUNTA(C1169:C1644)=0,COUNTA(Q1169:Q1644)=0),"""",OR(AND(K1169&gt;=1000000000,OR(Y1169&gt;=1000000000,COUNTA(Q1169:Q1644)=0)),OR(Y1169&gt;=1000000000,AND(COUNTA(C1169:C1644)=0,P$3=TRUE))),
ROUNDDOWN((AB$1-AC$1)*MAX(INDEX(T$4:T1644,MATCH(LARGE(FILTER(Y$4:Y1"&amp;"644,Y$4:Y1644&lt;1000000000),1),Y$4:Y1644)),INDEX(F$4:F1644,MATCH(LARGE(FILTER(K$4:K1644,K$4:K1644&lt;1000000000),1),K$4:K1644)))),AND(K1169&lt;1000000000,COUNTA(C1169:C1644)&gt;0,P$3=FALSE),
ROUNDDOWN(INDEX(Y$4:Y1644,MATCH(LARGE(FILTER(W$4:W1644,W$4:W1644&lt;=I1169),1)"&amp;",W$4:W1644))+(I1169-LARGE(FILTER(W$4:W1644,W$4:W1644&lt;=I1169),1))*INDEX(T$4:T1644,MATCH(LARGE(FILTER(W$4:W1644,W$4:W1644&lt;=I1169),1),W$4:W1644))-K1169),1,
ROUNDDOWN(Y1169-INDEX(K$4:K1644,MATCH(LARGE(FILTER(I$4:I1644,I$4:I1644&lt;=W1169),1),I$4:I1644))-(W1169-L"&amp;"ARGE(FILTER(I$4:I1644,I$4:I1644&lt;=W1169),1))*INDEX(F$4:F1644,MATCH(LARGE(FILTER(I$4:I1644,I$4:I1644&lt;=W1169),1),I$4:I1644))))"),"")</f>
        <v/>
      </c>
      <c r="N1169" s="60" t="str">
        <f t="shared" si="8"/>
        <v/>
      </c>
      <c r="O1169" s="61" t="str">
        <f t="shared" si="9"/>
        <v/>
      </c>
      <c r="P1169" s="56" t="str">
        <f t="shared" si="10"/>
        <v/>
      </c>
      <c r="Q1169" s="105"/>
      <c r="R1169" s="10"/>
      <c r="S1169" s="59" t="str">
        <f t="array" ref="S1169">IF(COUNTA(Q1169:Q1644)=0,"",SUM((COUNTIF(Q$4:Q1169,Upgrades!$B$3:$B$13)-COUNTIF(Q$4:Q1169,"Sell_"&amp;Upgrades!$B$3:$B$13))*Upgrades!$D$3:$D$13))</f>
        <v/>
      </c>
      <c r="T1169" s="66" t="str">
        <f>IFERROR(__xludf.DUMMYFUNCTION("IF(COUNTA(Q1169:Q1644)=0,"""",IF(REGEXMATCH(INDEX(FILTER(Q$4:Q1169,Q$4:Q1169&lt;&gt;""""),ROWS(FILTER(Q$4:Q1169,Q$4:Q1169&lt;&gt;""""))),""^Sell_""),INDEX(FILTER(T$4:T1168,Q$4:Q1168&lt;&gt;""""),ROWS(FILTER(Q$4:Q1168,Q$4:Q1168&lt;&gt;""""))),$AD$5+S1169))"),"")</f>
        <v/>
      </c>
      <c r="U1169" s="10" t="str">
        <f>IFERROR(__xludf.DUMMYFUNCTION("IF(COUNTA(Q1169:Q1644)=0,"""",IF(Q1169="""",0,IF(REGEXMATCH(Q1169,""^Sell_""),-ROUNDDOWN(ROUNDUP(INDEX(Upgrades!$C$3:$C$13,MATCH(SUBSTITUTE(Q1169,""Sell_"",""""),Upgrades!$B$3:$B$13,0))*1.15^(COUNTIF(Q$4:Q1168,SUBSTITUTE(Q1169,""Sell_"",""""))-COUNTIF(Q$4"&amp;":Q1168,""Sell_""&amp;SUBSTITUTE(Q1169,""Sell_"",""""))))/2),ROUNDUP(INDEX(Upgrades!$C$3:$C$13,MATCH(Q1169,Upgrades!$B$3:$B$13,0))*1.15^(COUNTIF(Q$4:Q1168,Q1169)-COUNTIF(Q$4:Q1168,""Sell_""&amp;Q1169))))))"),"")</f>
        <v/>
      </c>
      <c r="V1169" s="10" t="str">
        <f t="shared" si="11"/>
        <v/>
      </c>
      <c r="W1169" s="68" t="str">
        <f t="shared" si="12"/>
        <v/>
      </c>
      <c r="X1169" s="59" t="str">
        <f t="shared" si="13"/>
        <v/>
      </c>
      <c r="Y1169" s="69" t="str">
        <f t="shared" si="14"/>
        <v/>
      </c>
      <c r="Z1169" s="11"/>
      <c r="AG1169" s="59"/>
    </row>
    <row r="1170">
      <c r="A1170" s="8"/>
      <c r="B1170" s="56" t="str">
        <f t="shared" si="2"/>
        <v/>
      </c>
      <c r="C1170" s="105"/>
      <c r="D1170" s="10"/>
      <c r="E1170" s="59" t="str">
        <f t="array" ref="E1170">IF(COUNTA(C1170:C1644)=0,"",SUM((COUNTIF(C$4:C1170,Upgrades!$B$3:$B$13)-COUNTIF(C$4:C1170,"Sell_"&amp;Upgrades!$B$3:$B$13))*Upgrades!$D$3:$D$13))</f>
        <v/>
      </c>
      <c r="F1170" s="66" t="str">
        <f>IFERROR(__xludf.DUMMYFUNCTION("IF(COUNTA(C1170:C1644)=0,"""",IF(REGEXMATCH(INDEX(FILTER(C$4:C1170,C$4:C1170&lt;&gt;""""),ROWS(FILTER(C$4:C1170,C$4:C1170&lt;&gt;""""))),""^Sell_""),INDEX(FILTER(F$4:F1169,C$4:C1169&lt;&gt;""""),ROWS(FILTER(C$4:C1169,C$4:C1169&lt;&gt;""""))),$AC$5+E1170))"),"")</f>
        <v/>
      </c>
      <c r="G1170" s="10" t="str">
        <f>IFERROR(__xludf.DUMMYFUNCTION("IF(COUNTA(C1170:C1644)=0,"""",IF(C1170="""",0,IF(REGEXMATCH(C1170,""^Sell_""),-ROUNDDOWN(ROUNDUP(INDEX(Upgrades!$C$3:$C$13,MATCH(SUBSTITUTE(C1170,""Sell_"",""""),Upgrades!$B$3:$B$13,0))*1.15^(COUNTIF(C$4:C1169,SUBSTITUTE(C1170,""Sell_"",""""))-COUNTIF(C$4"&amp;":C1169,""Sell_""&amp;SUBSTITUTE(C1170,""Sell_"",""""))))/2),ROUNDUP(INDEX(Upgrades!$C$3:$C$13,MATCH(C1170,Upgrades!$B$3:$B$13,0))*1.15^(COUNTIF(C$4:C1169,C1170)-COUNTIF(C$4:C1169,""Sell_""&amp;C1170))))))"),"")</f>
        <v/>
      </c>
      <c r="H1170" s="10" t="str">
        <f t="shared" si="3"/>
        <v/>
      </c>
      <c r="I1170" s="68" t="str">
        <f t="shared" si="4"/>
        <v/>
      </c>
      <c r="J1170" s="59" t="str">
        <f t="shared" si="5"/>
        <v/>
      </c>
      <c r="K1170" s="69" t="str">
        <f t="shared" si="6"/>
        <v/>
      </c>
      <c r="L1170" s="60" t="str">
        <f t="shared" si="7"/>
        <v/>
      </c>
      <c r="M1170" s="61" t="str">
        <f>IFERROR(__xludf.DUMMYFUNCTION("IFS(AND(COUNTA(C1170:C1644)=0,COUNTA(Q1170:Q1644)=0),"""",OR(AND(K1170&gt;=1000000000,OR(Y1170&gt;=1000000000,COUNTA(Q1170:Q1644)=0)),OR(Y1170&gt;=1000000000,AND(COUNTA(C1170:C1644)=0,P$3=TRUE))),
ROUNDDOWN((AB$1-AC$1)*MAX(INDEX(T$4:T1644,MATCH(LARGE(FILTER(Y$4:Y1"&amp;"644,Y$4:Y1644&lt;1000000000),1),Y$4:Y1644)),INDEX(F$4:F1644,MATCH(LARGE(FILTER(K$4:K1644,K$4:K1644&lt;1000000000),1),K$4:K1644)))),AND(K1170&lt;1000000000,COUNTA(C1170:C1644)&gt;0,P$3=FALSE),
ROUNDDOWN(INDEX(Y$4:Y1644,MATCH(LARGE(FILTER(W$4:W1644,W$4:W1644&lt;=I1170),1)"&amp;",W$4:W1644))+(I1170-LARGE(FILTER(W$4:W1644,W$4:W1644&lt;=I1170),1))*INDEX(T$4:T1644,MATCH(LARGE(FILTER(W$4:W1644,W$4:W1644&lt;=I1170),1),W$4:W1644))-K1170),1,
ROUNDDOWN(Y1170-INDEX(K$4:K1644,MATCH(LARGE(FILTER(I$4:I1644,I$4:I1644&lt;=W1170),1),I$4:I1644))-(W1170-L"&amp;"ARGE(FILTER(I$4:I1644,I$4:I1644&lt;=W1170),1))*INDEX(F$4:F1644,MATCH(LARGE(FILTER(I$4:I1644,I$4:I1644&lt;=W1170),1),I$4:I1644))))"),"")</f>
        <v/>
      </c>
      <c r="N1170" s="60" t="str">
        <f t="shared" si="8"/>
        <v/>
      </c>
      <c r="O1170" s="61" t="str">
        <f t="shared" si="9"/>
        <v/>
      </c>
      <c r="P1170" s="56" t="str">
        <f t="shared" si="10"/>
        <v/>
      </c>
      <c r="Q1170" s="105"/>
      <c r="R1170" s="10"/>
      <c r="S1170" s="59" t="str">
        <f t="array" ref="S1170">IF(COUNTA(Q1170:Q1644)=0,"",SUM((COUNTIF(Q$4:Q1170,Upgrades!$B$3:$B$13)-COUNTIF(Q$4:Q1170,"Sell_"&amp;Upgrades!$B$3:$B$13))*Upgrades!$D$3:$D$13))</f>
        <v/>
      </c>
      <c r="T1170" s="66" t="str">
        <f>IFERROR(__xludf.DUMMYFUNCTION("IF(COUNTA(Q1170:Q1644)=0,"""",IF(REGEXMATCH(INDEX(FILTER(Q$4:Q1170,Q$4:Q1170&lt;&gt;""""),ROWS(FILTER(Q$4:Q1170,Q$4:Q1170&lt;&gt;""""))),""^Sell_""),INDEX(FILTER(T$4:T1169,Q$4:Q1169&lt;&gt;""""),ROWS(FILTER(Q$4:Q1169,Q$4:Q1169&lt;&gt;""""))),$AD$5+S1170))"),"")</f>
        <v/>
      </c>
      <c r="U1170" s="10" t="str">
        <f>IFERROR(__xludf.DUMMYFUNCTION("IF(COUNTA(Q1170:Q1644)=0,"""",IF(Q1170="""",0,IF(REGEXMATCH(Q1170,""^Sell_""),-ROUNDDOWN(ROUNDUP(INDEX(Upgrades!$C$3:$C$13,MATCH(SUBSTITUTE(Q1170,""Sell_"",""""),Upgrades!$B$3:$B$13,0))*1.15^(COUNTIF(Q$4:Q1169,SUBSTITUTE(Q1170,""Sell_"",""""))-COUNTIF(Q$4"&amp;":Q1169,""Sell_""&amp;SUBSTITUTE(Q1170,""Sell_"",""""))))/2),ROUNDUP(INDEX(Upgrades!$C$3:$C$13,MATCH(Q1170,Upgrades!$B$3:$B$13,0))*1.15^(COUNTIF(Q$4:Q1169,Q1170)-COUNTIF(Q$4:Q1169,""Sell_""&amp;Q1170))))))"),"")</f>
        <v/>
      </c>
      <c r="V1170" s="10" t="str">
        <f t="shared" si="11"/>
        <v/>
      </c>
      <c r="W1170" s="68" t="str">
        <f t="shared" si="12"/>
        <v/>
      </c>
      <c r="X1170" s="59" t="str">
        <f t="shared" si="13"/>
        <v/>
      </c>
      <c r="Y1170" s="69" t="str">
        <f t="shared" si="14"/>
        <v/>
      </c>
      <c r="Z1170" s="11"/>
      <c r="AG1170" s="59"/>
    </row>
    <row r="1171">
      <c r="A1171" s="8"/>
      <c r="B1171" s="56" t="str">
        <f t="shared" si="2"/>
        <v/>
      </c>
      <c r="C1171" s="105"/>
      <c r="D1171" s="10"/>
      <c r="E1171" s="59" t="str">
        <f t="array" ref="E1171">IF(COUNTA(C1171:C1644)=0,"",SUM((COUNTIF(C$4:C1171,Upgrades!$B$3:$B$13)-COUNTIF(C$4:C1171,"Sell_"&amp;Upgrades!$B$3:$B$13))*Upgrades!$D$3:$D$13))</f>
        <v/>
      </c>
      <c r="F1171" s="66" t="str">
        <f>IFERROR(__xludf.DUMMYFUNCTION("IF(COUNTA(C1171:C1644)=0,"""",IF(REGEXMATCH(INDEX(FILTER(C$4:C1171,C$4:C1171&lt;&gt;""""),ROWS(FILTER(C$4:C1171,C$4:C1171&lt;&gt;""""))),""^Sell_""),INDEX(FILTER(F$4:F1170,C$4:C1170&lt;&gt;""""),ROWS(FILTER(C$4:C1170,C$4:C1170&lt;&gt;""""))),$AC$5+E1171))"),"")</f>
        <v/>
      </c>
      <c r="G1171" s="10" t="str">
        <f>IFERROR(__xludf.DUMMYFUNCTION("IF(COUNTA(C1171:C1644)=0,"""",IF(C1171="""",0,IF(REGEXMATCH(C1171,""^Sell_""),-ROUNDDOWN(ROUNDUP(INDEX(Upgrades!$C$3:$C$13,MATCH(SUBSTITUTE(C1171,""Sell_"",""""),Upgrades!$B$3:$B$13,0))*1.15^(COUNTIF(C$4:C1170,SUBSTITUTE(C1171,""Sell_"",""""))-COUNTIF(C$4"&amp;":C1170,""Sell_""&amp;SUBSTITUTE(C1171,""Sell_"",""""))))/2),ROUNDUP(INDEX(Upgrades!$C$3:$C$13,MATCH(C1171,Upgrades!$B$3:$B$13,0))*1.15^(COUNTIF(C$4:C1170,C1171)-COUNTIF(C$4:C1170,""Sell_""&amp;C1171))))))"),"")</f>
        <v/>
      </c>
      <c r="H1171" s="10" t="str">
        <f t="shared" si="3"/>
        <v/>
      </c>
      <c r="I1171" s="68" t="str">
        <f t="shared" si="4"/>
        <v/>
      </c>
      <c r="J1171" s="59" t="str">
        <f t="shared" si="5"/>
        <v/>
      </c>
      <c r="K1171" s="69" t="str">
        <f t="shared" si="6"/>
        <v/>
      </c>
      <c r="L1171" s="60" t="str">
        <f t="shared" si="7"/>
        <v/>
      </c>
      <c r="M1171" s="61" t="str">
        <f>IFERROR(__xludf.DUMMYFUNCTION("IFS(AND(COUNTA(C1171:C1644)=0,COUNTA(Q1171:Q1644)=0),"""",OR(AND(K1171&gt;=1000000000,OR(Y1171&gt;=1000000000,COUNTA(Q1171:Q1644)=0)),OR(Y1171&gt;=1000000000,AND(COUNTA(C1171:C1644)=0,P$3=TRUE))),
ROUNDDOWN((AB$1-AC$1)*MAX(INDEX(T$4:T1644,MATCH(LARGE(FILTER(Y$4:Y1"&amp;"644,Y$4:Y1644&lt;1000000000),1),Y$4:Y1644)),INDEX(F$4:F1644,MATCH(LARGE(FILTER(K$4:K1644,K$4:K1644&lt;1000000000),1),K$4:K1644)))),AND(K1171&lt;1000000000,COUNTA(C1171:C1644)&gt;0,P$3=FALSE),
ROUNDDOWN(INDEX(Y$4:Y1644,MATCH(LARGE(FILTER(W$4:W1644,W$4:W1644&lt;=I1171),1)"&amp;",W$4:W1644))+(I1171-LARGE(FILTER(W$4:W1644,W$4:W1644&lt;=I1171),1))*INDEX(T$4:T1644,MATCH(LARGE(FILTER(W$4:W1644,W$4:W1644&lt;=I1171),1),W$4:W1644))-K1171),1,
ROUNDDOWN(Y1171-INDEX(K$4:K1644,MATCH(LARGE(FILTER(I$4:I1644,I$4:I1644&lt;=W1171),1),I$4:I1644))-(W1171-L"&amp;"ARGE(FILTER(I$4:I1644,I$4:I1644&lt;=W1171),1))*INDEX(F$4:F1644,MATCH(LARGE(FILTER(I$4:I1644,I$4:I1644&lt;=W1171),1),I$4:I1644))))"),"")</f>
        <v/>
      </c>
      <c r="N1171" s="60" t="str">
        <f t="shared" si="8"/>
        <v/>
      </c>
      <c r="O1171" s="61" t="str">
        <f t="shared" si="9"/>
        <v/>
      </c>
      <c r="P1171" s="56" t="str">
        <f t="shared" si="10"/>
        <v/>
      </c>
      <c r="Q1171" s="105"/>
      <c r="R1171" s="10"/>
      <c r="S1171" s="59" t="str">
        <f t="array" ref="S1171">IF(COUNTA(Q1171:Q1644)=0,"",SUM((COUNTIF(Q$4:Q1171,Upgrades!$B$3:$B$13)-COUNTIF(Q$4:Q1171,"Sell_"&amp;Upgrades!$B$3:$B$13))*Upgrades!$D$3:$D$13))</f>
        <v/>
      </c>
      <c r="T1171" s="66" t="str">
        <f>IFERROR(__xludf.DUMMYFUNCTION("IF(COUNTA(Q1171:Q1644)=0,"""",IF(REGEXMATCH(INDEX(FILTER(Q$4:Q1171,Q$4:Q1171&lt;&gt;""""),ROWS(FILTER(Q$4:Q1171,Q$4:Q1171&lt;&gt;""""))),""^Sell_""),INDEX(FILTER(T$4:T1170,Q$4:Q1170&lt;&gt;""""),ROWS(FILTER(Q$4:Q1170,Q$4:Q1170&lt;&gt;""""))),$AD$5+S1171))"),"")</f>
        <v/>
      </c>
      <c r="U1171" s="10" t="str">
        <f>IFERROR(__xludf.DUMMYFUNCTION("IF(COUNTA(Q1171:Q1644)=0,"""",IF(Q1171="""",0,IF(REGEXMATCH(Q1171,""^Sell_""),-ROUNDDOWN(ROUNDUP(INDEX(Upgrades!$C$3:$C$13,MATCH(SUBSTITUTE(Q1171,""Sell_"",""""),Upgrades!$B$3:$B$13,0))*1.15^(COUNTIF(Q$4:Q1170,SUBSTITUTE(Q1171,""Sell_"",""""))-COUNTIF(Q$4"&amp;":Q1170,""Sell_""&amp;SUBSTITUTE(Q1171,""Sell_"",""""))))/2),ROUNDUP(INDEX(Upgrades!$C$3:$C$13,MATCH(Q1171,Upgrades!$B$3:$B$13,0))*1.15^(COUNTIF(Q$4:Q1170,Q1171)-COUNTIF(Q$4:Q1170,""Sell_""&amp;Q1171))))))"),"")</f>
        <v/>
      </c>
      <c r="V1171" s="10" t="str">
        <f t="shared" si="11"/>
        <v/>
      </c>
      <c r="W1171" s="68" t="str">
        <f t="shared" si="12"/>
        <v/>
      </c>
      <c r="X1171" s="59" t="str">
        <f t="shared" si="13"/>
        <v/>
      </c>
      <c r="Y1171" s="69" t="str">
        <f t="shared" si="14"/>
        <v/>
      </c>
      <c r="Z1171" s="11"/>
      <c r="AG1171" s="59"/>
    </row>
    <row r="1172">
      <c r="A1172" s="8"/>
      <c r="B1172" s="56" t="str">
        <f t="shared" si="2"/>
        <v/>
      </c>
      <c r="C1172" s="105"/>
      <c r="D1172" s="10"/>
      <c r="E1172" s="59" t="str">
        <f t="array" ref="E1172">IF(COUNTA(C1172:C1644)=0,"",SUM((COUNTIF(C$4:C1172,Upgrades!$B$3:$B$13)-COUNTIF(C$4:C1172,"Sell_"&amp;Upgrades!$B$3:$B$13))*Upgrades!$D$3:$D$13))</f>
        <v/>
      </c>
      <c r="F1172" s="66" t="str">
        <f>IFERROR(__xludf.DUMMYFUNCTION("IF(COUNTA(C1172:C1644)=0,"""",IF(REGEXMATCH(INDEX(FILTER(C$4:C1172,C$4:C1172&lt;&gt;""""),ROWS(FILTER(C$4:C1172,C$4:C1172&lt;&gt;""""))),""^Sell_""),INDEX(FILTER(F$4:F1171,C$4:C1171&lt;&gt;""""),ROWS(FILTER(C$4:C1171,C$4:C1171&lt;&gt;""""))),$AC$5+E1172))"),"")</f>
        <v/>
      </c>
      <c r="G1172" s="10" t="str">
        <f>IFERROR(__xludf.DUMMYFUNCTION("IF(COUNTA(C1172:C1644)=0,"""",IF(C1172="""",0,IF(REGEXMATCH(C1172,""^Sell_""),-ROUNDDOWN(ROUNDUP(INDEX(Upgrades!$C$3:$C$13,MATCH(SUBSTITUTE(C1172,""Sell_"",""""),Upgrades!$B$3:$B$13,0))*1.15^(COUNTIF(C$4:C1171,SUBSTITUTE(C1172,""Sell_"",""""))-COUNTIF(C$4"&amp;":C1171,""Sell_""&amp;SUBSTITUTE(C1172,""Sell_"",""""))))/2),ROUNDUP(INDEX(Upgrades!$C$3:$C$13,MATCH(C1172,Upgrades!$B$3:$B$13,0))*1.15^(COUNTIF(C$4:C1171,C1172)-COUNTIF(C$4:C1171,""Sell_""&amp;C1172))))))"),"")</f>
        <v/>
      </c>
      <c r="H1172" s="10" t="str">
        <f t="shared" si="3"/>
        <v/>
      </c>
      <c r="I1172" s="68" t="str">
        <f t="shared" si="4"/>
        <v/>
      </c>
      <c r="J1172" s="59" t="str">
        <f t="shared" si="5"/>
        <v/>
      </c>
      <c r="K1172" s="69" t="str">
        <f t="shared" si="6"/>
        <v/>
      </c>
      <c r="L1172" s="60" t="str">
        <f t="shared" si="7"/>
        <v/>
      </c>
      <c r="M1172" s="61" t="str">
        <f>IFERROR(__xludf.DUMMYFUNCTION("IFS(AND(COUNTA(C1172:C1644)=0,COUNTA(Q1172:Q1644)=0),"""",OR(AND(K1172&gt;=1000000000,OR(Y1172&gt;=1000000000,COUNTA(Q1172:Q1644)=0)),OR(Y1172&gt;=1000000000,AND(COUNTA(C1172:C1644)=0,P$3=TRUE))),
ROUNDDOWN((AB$1-AC$1)*MAX(INDEX(T$4:T1644,MATCH(LARGE(FILTER(Y$4:Y1"&amp;"644,Y$4:Y1644&lt;1000000000),1),Y$4:Y1644)),INDEX(F$4:F1644,MATCH(LARGE(FILTER(K$4:K1644,K$4:K1644&lt;1000000000),1),K$4:K1644)))),AND(K1172&lt;1000000000,COUNTA(C1172:C1644)&gt;0,P$3=FALSE),
ROUNDDOWN(INDEX(Y$4:Y1644,MATCH(LARGE(FILTER(W$4:W1644,W$4:W1644&lt;=I1172),1)"&amp;",W$4:W1644))+(I1172-LARGE(FILTER(W$4:W1644,W$4:W1644&lt;=I1172),1))*INDEX(T$4:T1644,MATCH(LARGE(FILTER(W$4:W1644,W$4:W1644&lt;=I1172),1),W$4:W1644))-K1172),1,
ROUNDDOWN(Y1172-INDEX(K$4:K1644,MATCH(LARGE(FILTER(I$4:I1644,I$4:I1644&lt;=W1172),1),I$4:I1644))-(W1172-L"&amp;"ARGE(FILTER(I$4:I1644,I$4:I1644&lt;=W1172),1))*INDEX(F$4:F1644,MATCH(LARGE(FILTER(I$4:I1644,I$4:I1644&lt;=W1172),1),I$4:I1644))))"),"")</f>
        <v/>
      </c>
      <c r="N1172" s="60" t="str">
        <f t="shared" si="8"/>
        <v/>
      </c>
      <c r="O1172" s="61" t="str">
        <f t="shared" si="9"/>
        <v/>
      </c>
      <c r="P1172" s="56" t="str">
        <f t="shared" si="10"/>
        <v/>
      </c>
      <c r="Q1172" s="105"/>
      <c r="R1172" s="10"/>
      <c r="S1172" s="59" t="str">
        <f t="array" ref="S1172">IF(COUNTA(Q1172:Q1644)=0,"",SUM((COUNTIF(Q$4:Q1172,Upgrades!$B$3:$B$13)-COUNTIF(Q$4:Q1172,"Sell_"&amp;Upgrades!$B$3:$B$13))*Upgrades!$D$3:$D$13))</f>
        <v/>
      </c>
      <c r="T1172" s="66" t="str">
        <f>IFERROR(__xludf.DUMMYFUNCTION("IF(COUNTA(Q1172:Q1644)=0,"""",IF(REGEXMATCH(INDEX(FILTER(Q$4:Q1172,Q$4:Q1172&lt;&gt;""""),ROWS(FILTER(Q$4:Q1172,Q$4:Q1172&lt;&gt;""""))),""^Sell_""),INDEX(FILTER(T$4:T1171,Q$4:Q1171&lt;&gt;""""),ROWS(FILTER(Q$4:Q1171,Q$4:Q1171&lt;&gt;""""))),$AD$5+S1172))"),"")</f>
        <v/>
      </c>
      <c r="U1172" s="10" t="str">
        <f>IFERROR(__xludf.DUMMYFUNCTION("IF(COUNTA(Q1172:Q1644)=0,"""",IF(Q1172="""",0,IF(REGEXMATCH(Q1172,""^Sell_""),-ROUNDDOWN(ROUNDUP(INDEX(Upgrades!$C$3:$C$13,MATCH(SUBSTITUTE(Q1172,""Sell_"",""""),Upgrades!$B$3:$B$13,0))*1.15^(COUNTIF(Q$4:Q1171,SUBSTITUTE(Q1172,""Sell_"",""""))-COUNTIF(Q$4"&amp;":Q1171,""Sell_""&amp;SUBSTITUTE(Q1172,""Sell_"",""""))))/2),ROUNDUP(INDEX(Upgrades!$C$3:$C$13,MATCH(Q1172,Upgrades!$B$3:$B$13,0))*1.15^(COUNTIF(Q$4:Q1171,Q1172)-COUNTIF(Q$4:Q1171,""Sell_""&amp;Q1172))))))"),"")</f>
        <v/>
      </c>
      <c r="V1172" s="10" t="str">
        <f t="shared" si="11"/>
        <v/>
      </c>
      <c r="W1172" s="68" t="str">
        <f t="shared" si="12"/>
        <v/>
      </c>
      <c r="X1172" s="59" t="str">
        <f t="shared" si="13"/>
        <v/>
      </c>
      <c r="Y1172" s="69" t="str">
        <f t="shared" si="14"/>
        <v/>
      </c>
      <c r="Z1172" s="11"/>
      <c r="AG1172" s="59"/>
    </row>
    <row r="1173">
      <c r="A1173" s="8"/>
      <c r="B1173" s="56" t="str">
        <f t="shared" si="2"/>
        <v/>
      </c>
      <c r="C1173" s="105"/>
      <c r="D1173" s="10"/>
      <c r="E1173" s="59" t="str">
        <f t="array" ref="E1173">IF(COUNTA(C1173:C1644)=0,"",SUM((COUNTIF(C$4:C1173,Upgrades!$B$3:$B$13)-COUNTIF(C$4:C1173,"Sell_"&amp;Upgrades!$B$3:$B$13))*Upgrades!$D$3:$D$13))</f>
        <v/>
      </c>
      <c r="F1173" s="66" t="str">
        <f>IFERROR(__xludf.DUMMYFUNCTION("IF(COUNTA(C1173:C1644)=0,"""",IF(REGEXMATCH(INDEX(FILTER(C$4:C1173,C$4:C1173&lt;&gt;""""),ROWS(FILTER(C$4:C1173,C$4:C1173&lt;&gt;""""))),""^Sell_""),INDEX(FILTER(F$4:F1172,C$4:C1172&lt;&gt;""""),ROWS(FILTER(C$4:C1172,C$4:C1172&lt;&gt;""""))),$AC$5+E1173))"),"")</f>
        <v/>
      </c>
      <c r="G1173" s="10" t="str">
        <f>IFERROR(__xludf.DUMMYFUNCTION("IF(COUNTA(C1173:C1644)=0,"""",IF(C1173="""",0,IF(REGEXMATCH(C1173,""^Sell_""),-ROUNDDOWN(ROUNDUP(INDEX(Upgrades!$C$3:$C$13,MATCH(SUBSTITUTE(C1173,""Sell_"",""""),Upgrades!$B$3:$B$13,0))*1.15^(COUNTIF(C$4:C1172,SUBSTITUTE(C1173,""Sell_"",""""))-COUNTIF(C$4"&amp;":C1172,""Sell_""&amp;SUBSTITUTE(C1173,""Sell_"",""""))))/2),ROUNDUP(INDEX(Upgrades!$C$3:$C$13,MATCH(C1173,Upgrades!$B$3:$B$13,0))*1.15^(COUNTIF(C$4:C1172,C1173)-COUNTIF(C$4:C1172,""Sell_""&amp;C1173))))))"),"")</f>
        <v/>
      </c>
      <c r="H1173" s="10" t="str">
        <f t="shared" si="3"/>
        <v/>
      </c>
      <c r="I1173" s="68" t="str">
        <f t="shared" si="4"/>
        <v/>
      </c>
      <c r="J1173" s="59" t="str">
        <f t="shared" si="5"/>
        <v/>
      </c>
      <c r="K1173" s="69" t="str">
        <f t="shared" si="6"/>
        <v/>
      </c>
      <c r="L1173" s="60" t="str">
        <f t="shared" si="7"/>
        <v/>
      </c>
      <c r="M1173" s="61" t="str">
        <f>IFERROR(__xludf.DUMMYFUNCTION("IFS(AND(COUNTA(C1173:C1644)=0,COUNTA(Q1173:Q1644)=0),"""",OR(AND(K1173&gt;=1000000000,OR(Y1173&gt;=1000000000,COUNTA(Q1173:Q1644)=0)),OR(Y1173&gt;=1000000000,AND(COUNTA(C1173:C1644)=0,P$3=TRUE))),
ROUNDDOWN((AB$1-AC$1)*MAX(INDEX(T$4:T1644,MATCH(LARGE(FILTER(Y$4:Y1"&amp;"644,Y$4:Y1644&lt;1000000000),1),Y$4:Y1644)),INDEX(F$4:F1644,MATCH(LARGE(FILTER(K$4:K1644,K$4:K1644&lt;1000000000),1),K$4:K1644)))),AND(K1173&lt;1000000000,COUNTA(C1173:C1644)&gt;0,P$3=FALSE),
ROUNDDOWN(INDEX(Y$4:Y1644,MATCH(LARGE(FILTER(W$4:W1644,W$4:W1644&lt;=I1173),1)"&amp;",W$4:W1644))+(I1173-LARGE(FILTER(W$4:W1644,W$4:W1644&lt;=I1173),1))*INDEX(T$4:T1644,MATCH(LARGE(FILTER(W$4:W1644,W$4:W1644&lt;=I1173),1),W$4:W1644))-K1173),1,
ROUNDDOWN(Y1173-INDEX(K$4:K1644,MATCH(LARGE(FILTER(I$4:I1644,I$4:I1644&lt;=W1173),1),I$4:I1644))-(W1173-L"&amp;"ARGE(FILTER(I$4:I1644,I$4:I1644&lt;=W1173),1))*INDEX(F$4:F1644,MATCH(LARGE(FILTER(I$4:I1644,I$4:I1644&lt;=W1173),1),I$4:I1644))))"),"")</f>
        <v/>
      </c>
      <c r="N1173" s="60" t="str">
        <f t="shared" si="8"/>
        <v/>
      </c>
      <c r="O1173" s="61" t="str">
        <f t="shared" si="9"/>
        <v/>
      </c>
      <c r="P1173" s="56" t="str">
        <f t="shared" si="10"/>
        <v/>
      </c>
      <c r="Q1173" s="105"/>
      <c r="R1173" s="10"/>
      <c r="S1173" s="59" t="str">
        <f t="array" ref="S1173">IF(COUNTA(Q1173:Q1644)=0,"",SUM((COUNTIF(Q$4:Q1173,Upgrades!$B$3:$B$13)-COUNTIF(Q$4:Q1173,"Sell_"&amp;Upgrades!$B$3:$B$13))*Upgrades!$D$3:$D$13))</f>
        <v/>
      </c>
      <c r="T1173" s="66" t="str">
        <f>IFERROR(__xludf.DUMMYFUNCTION("IF(COUNTA(Q1173:Q1644)=0,"""",IF(REGEXMATCH(INDEX(FILTER(Q$4:Q1173,Q$4:Q1173&lt;&gt;""""),ROWS(FILTER(Q$4:Q1173,Q$4:Q1173&lt;&gt;""""))),""^Sell_""),INDEX(FILTER(T$4:T1172,Q$4:Q1172&lt;&gt;""""),ROWS(FILTER(Q$4:Q1172,Q$4:Q1172&lt;&gt;""""))),$AD$5+S1173))"),"")</f>
        <v/>
      </c>
      <c r="U1173" s="10" t="str">
        <f>IFERROR(__xludf.DUMMYFUNCTION("IF(COUNTA(Q1173:Q1644)=0,"""",IF(Q1173="""",0,IF(REGEXMATCH(Q1173,""^Sell_""),-ROUNDDOWN(ROUNDUP(INDEX(Upgrades!$C$3:$C$13,MATCH(SUBSTITUTE(Q1173,""Sell_"",""""),Upgrades!$B$3:$B$13,0))*1.15^(COUNTIF(Q$4:Q1172,SUBSTITUTE(Q1173,""Sell_"",""""))-COUNTIF(Q$4"&amp;":Q1172,""Sell_""&amp;SUBSTITUTE(Q1173,""Sell_"",""""))))/2),ROUNDUP(INDEX(Upgrades!$C$3:$C$13,MATCH(Q1173,Upgrades!$B$3:$B$13,0))*1.15^(COUNTIF(Q$4:Q1172,Q1173)-COUNTIF(Q$4:Q1172,""Sell_""&amp;Q1173))))))"),"")</f>
        <v/>
      </c>
      <c r="V1173" s="10" t="str">
        <f t="shared" si="11"/>
        <v/>
      </c>
      <c r="W1173" s="68" t="str">
        <f t="shared" si="12"/>
        <v/>
      </c>
      <c r="X1173" s="59" t="str">
        <f t="shared" si="13"/>
        <v/>
      </c>
      <c r="Y1173" s="69" t="str">
        <f t="shared" si="14"/>
        <v/>
      </c>
      <c r="Z1173" s="11"/>
      <c r="AG1173" s="59"/>
    </row>
    <row r="1174">
      <c r="A1174" s="8"/>
      <c r="B1174" s="56" t="str">
        <f t="shared" si="2"/>
        <v/>
      </c>
      <c r="C1174" s="105"/>
      <c r="D1174" s="10"/>
      <c r="E1174" s="59" t="str">
        <f t="array" ref="E1174">IF(COUNTA(C1174:C1644)=0,"",SUM((COUNTIF(C$4:C1174,Upgrades!$B$3:$B$13)-COUNTIF(C$4:C1174,"Sell_"&amp;Upgrades!$B$3:$B$13))*Upgrades!$D$3:$D$13))</f>
        <v/>
      </c>
      <c r="F1174" s="66" t="str">
        <f>IFERROR(__xludf.DUMMYFUNCTION("IF(COUNTA(C1174:C1644)=0,"""",IF(REGEXMATCH(INDEX(FILTER(C$4:C1174,C$4:C1174&lt;&gt;""""),ROWS(FILTER(C$4:C1174,C$4:C1174&lt;&gt;""""))),""^Sell_""),INDEX(FILTER(F$4:F1173,C$4:C1173&lt;&gt;""""),ROWS(FILTER(C$4:C1173,C$4:C1173&lt;&gt;""""))),$AC$5+E1174))"),"")</f>
        <v/>
      </c>
      <c r="G1174" s="10" t="str">
        <f>IFERROR(__xludf.DUMMYFUNCTION("IF(COUNTA(C1174:C1644)=0,"""",IF(C1174="""",0,IF(REGEXMATCH(C1174,""^Sell_""),-ROUNDDOWN(ROUNDUP(INDEX(Upgrades!$C$3:$C$13,MATCH(SUBSTITUTE(C1174,""Sell_"",""""),Upgrades!$B$3:$B$13,0))*1.15^(COUNTIF(C$4:C1173,SUBSTITUTE(C1174,""Sell_"",""""))-COUNTIF(C$4"&amp;":C1173,""Sell_""&amp;SUBSTITUTE(C1174,""Sell_"",""""))))/2),ROUNDUP(INDEX(Upgrades!$C$3:$C$13,MATCH(C1174,Upgrades!$B$3:$B$13,0))*1.15^(COUNTIF(C$4:C1173,C1174)-COUNTIF(C$4:C1173,""Sell_""&amp;C1174))))))"),"")</f>
        <v/>
      </c>
      <c r="H1174" s="10" t="str">
        <f t="shared" si="3"/>
        <v/>
      </c>
      <c r="I1174" s="68" t="str">
        <f t="shared" si="4"/>
        <v/>
      </c>
      <c r="J1174" s="59" t="str">
        <f t="shared" si="5"/>
        <v/>
      </c>
      <c r="K1174" s="69" t="str">
        <f t="shared" si="6"/>
        <v/>
      </c>
      <c r="L1174" s="60" t="str">
        <f t="shared" si="7"/>
        <v/>
      </c>
      <c r="M1174" s="61" t="str">
        <f>IFERROR(__xludf.DUMMYFUNCTION("IFS(AND(COUNTA(C1174:C1644)=0,COUNTA(Q1174:Q1644)=0),"""",OR(AND(K1174&gt;=1000000000,OR(Y1174&gt;=1000000000,COUNTA(Q1174:Q1644)=0)),OR(Y1174&gt;=1000000000,AND(COUNTA(C1174:C1644)=0,P$3=TRUE))),
ROUNDDOWN((AB$1-AC$1)*MAX(INDEX(T$4:T1644,MATCH(LARGE(FILTER(Y$4:Y1"&amp;"644,Y$4:Y1644&lt;1000000000),1),Y$4:Y1644)),INDEX(F$4:F1644,MATCH(LARGE(FILTER(K$4:K1644,K$4:K1644&lt;1000000000),1),K$4:K1644)))),AND(K1174&lt;1000000000,COUNTA(C1174:C1644)&gt;0,P$3=FALSE),
ROUNDDOWN(INDEX(Y$4:Y1644,MATCH(LARGE(FILTER(W$4:W1644,W$4:W1644&lt;=I1174),1)"&amp;",W$4:W1644))+(I1174-LARGE(FILTER(W$4:W1644,W$4:W1644&lt;=I1174),1))*INDEX(T$4:T1644,MATCH(LARGE(FILTER(W$4:W1644,W$4:W1644&lt;=I1174),1),W$4:W1644))-K1174),1,
ROUNDDOWN(Y1174-INDEX(K$4:K1644,MATCH(LARGE(FILTER(I$4:I1644,I$4:I1644&lt;=W1174),1),I$4:I1644))-(W1174-L"&amp;"ARGE(FILTER(I$4:I1644,I$4:I1644&lt;=W1174),1))*INDEX(F$4:F1644,MATCH(LARGE(FILTER(I$4:I1644,I$4:I1644&lt;=W1174),1),I$4:I1644))))"),"")</f>
        <v/>
      </c>
      <c r="N1174" s="60" t="str">
        <f t="shared" si="8"/>
        <v/>
      </c>
      <c r="O1174" s="61" t="str">
        <f t="shared" si="9"/>
        <v/>
      </c>
      <c r="P1174" s="56" t="str">
        <f t="shared" si="10"/>
        <v/>
      </c>
      <c r="Q1174" s="105"/>
      <c r="R1174" s="10"/>
      <c r="S1174" s="59" t="str">
        <f t="array" ref="S1174">IF(COUNTA(Q1174:Q1644)=0,"",SUM((COUNTIF(Q$4:Q1174,Upgrades!$B$3:$B$13)-COUNTIF(Q$4:Q1174,"Sell_"&amp;Upgrades!$B$3:$B$13))*Upgrades!$D$3:$D$13))</f>
        <v/>
      </c>
      <c r="T1174" s="66" t="str">
        <f>IFERROR(__xludf.DUMMYFUNCTION("IF(COUNTA(Q1174:Q1644)=0,"""",IF(REGEXMATCH(INDEX(FILTER(Q$4:Q1174,Q$4:Q1174&lt;&gt;""""),ROWS(FILTER(Q$4:Q1174,Q$4:Q1174&lt;&gt;""""))),""^Sell_""),INDEX(FILTER(T$4:T1173,Q$4:Q1173&lt;&gt;""""),ROWS(FILTER(Q$4:Q1173,Q$4:Q1173&lt;&gt;""""))),$AD$5+S1174))"),"")</f>
        <v/>
      </c>
      <c r="U1174" s="10" t="str">
        <f>IFERROR(__xludf.DUMMYFUNCTION("IF(COUNTA(Q1174:Q1644)=0,"""",IF(Q1174="""",0,IF(REGEXMATCH(Q1174,""^Sell_""),-ROUNDDOWN(ROUNDUP(INDEX(Upgrades!$C$3:$C$13,MATCH(SUBSTITUTE(Q1174,""Sell_"",""""),Upgrades!$B$3:$B$13,0))*1.15^(COUNTIF(Q$4:Q1173,SUBSTITUTE(Q1174,""Sell_"",""""))-COUNTIF(Q$4"&amp;":Q1173,""Sell_""&amp;SUBSTITUTE(Q1174,""Sell_"",""""))))/2),ROUNDUP(INDEX(Upgrades!$C$3:$C$13,MATCH(Q1174,Upgrades!$B$3:$B$13,0))*1.15^(COUNTIF(Q$4:Q1173,Q1174)-COUNTIF(Q$4:Q1173,""Sell_""&amp;Q1174))))))"),"")</f>
        <v/>
      </c>
      <c r="V1174" s="10" t="str">
        <f t="shared" si="11"/>
        <v/>
      </c>
      <c r="W1174" s="68" t="str">
        <f t="shared" si="12"/>
        <v/>
      </c>
      <c r="X1174" s="59" t="str">
        <f t="shared" si="13"/>
        <v/>
      </c>
      <c r="Y1174" s="69" t="str">
        <f t="shared" si="14"/>
        <v/>
      </c>
      <c r="Z1174" s="11"/>
      <c r="AG1174" s="59"/>
    </row>
    <row r="1175">
      <c r="A1175" s="8"/>
      <c r="B1175" s="56" t="str">
        <f t="shared" si="2"/>
        <v/>
      </c>
      <c r="C1175" s="105"/>
      <c r="D1175" s="10"/>
      <c r="E1175" s="59" t="str">
        <f t="array" ref="E1175">IF(COUNTA(C1175:C1644)=0,"",SUM((COUNTIF(C$4:C1175,Upgrades!$B$3:$B$13)-COUNTIF(C$4:C1175,"Sell_"&amp;Upgrades!$B$3:$B$13))*Upgrades!$D$3:$D$13))</f>
        <v/>
      </c>
      <c r="F1175" s="66" t="str">
        <f>IFERROR(__xludf.DUMMYFUNCTION("IF(COUNTA(C1175:C1644)=0,"""",IF(REGEXMATCH(INDEX(FILTER(C$4:C1175,C$4:C1175&lt;&gt;""""),ROWS(FILTER(C$4:C1175,C$4:C1175&lt;&gt;""""))),""^Sell_""),INDEX(FILTER(F$4:F1174,C$4:C1174&lt;&gt;""""),ROWS(FILTER(C$4:C1174,C$4:C1174&lt;&gt;""""))),$AC$5+E1175))"),"")</f>
        <v/>
      </c>
      <c r="G1175" s="10" t="str">
        <f>IFERROR(__xludf.DUMMYFUNCTION("IF(COUNTA(C1175:C1644)=0,"""",IF(C1175="""",0,IF(REGEXMATCH(C1175,""^Sell_""),-ROUNDDOWN(ROUNDUP(INDEX(Upgrades!$C$3:$C$13,MATCH(SUBSTITUTE(C1175,""Sell_"",""""),Upgrades!$B$3:$B$13,0))*1.15^(COUNTIF(C$4:C1174,SUBSTITUTE(C1175,""Sell_"",""""))-COUNTIF(C$4"&amp;":C1174,""Sell_""&amp;SUBSTITUTE(C1175,""Sell_"",""""))))/2),ROUNDUP(INDEX(Upgrades!$C$3:$C$13,MATCH(C1175,Upgrades!$B$3:$B$13,0))*1.15^(COUNTIF(C$4:C1174,C1175)-COUNTIF(C$4:C1174,""Sell_""&amp;C1175))))))"),"")</f>
        <v/>
      </c>
      <c r="H1175" s="10" t="str">
        <f t="shared" si="3"/>
        <v/>
      </c>
      <c r="I1175" s="68" t="str">
        <f t="shared" si="4"/>
        <v/>
      </c>
      <c r="J1175" s="59" t="str">
        <f t="shared" si="5"/>
        <v/>
      </c>
      <c r="K1175" s="69" t="str">
        <f t="shared" si="6"/>
        <v/>
      </c>
      <c r="L1175" s="60" t="str">
        <f t="shared" si="7"/>
        <v/>
      </c>
      <c r="M1175" s="61" t="str">
        <f>IFERROR(__xludf.DUMMYFUNCTION("IFS(AND(COUNTA(C1175:C1644)=0,COUNTA(Q1175:Q1644)=0),"""",OR(AND(K1175&gt;=1000000000,OR(Y1175&gt;=1000000000,COUNTA(Q1175:Q1644)=0)),OR(Y1175&gt;=1000000000,AND(COUNTA(C1175:C1644)=0,P$3=TRUE))),
ROUNDDOWN((AB$1-AC$1)*MAX(INDEX(T$4:T1644,MATCH(LARGE(FILTER(Y$4:Y1"&amp;"644,Y$4:Y1644&lt;1000000000),1),Y$4:Y1644)),INDEX(F$4:F1644,MATCH(LARGE(FILTER(K$4:K1644,K$4:K1644&lt;1000000000),1),K$4:K1644)))),AND(K1175&lt;1000000000,COUNTA(C1175:C1644)&gt;0,P$3=FALSE),
ROUNDDOWN(INDEX(Y$4:Y1644,MATCH(LARGE(FILTER(W$4:W1644,W$4:W1644&lt;=I1175),1)"&amp;",W$4:W1644))+(I1175-LARGE(FILTER(W$4:W1644,W$4:W1644&lt;=I1175),1))*INDEX(T$4:T1644,MATCH(LARGE(FILTER(W$4:W1644,W$4:W1644&lt;=I1175),1),W$4:W1644))-K1175),1,
ROUNDDOWN(Y1175-INDEX(K$4:K1644,MATCH(LARGE(FILTER(I$4:I1644,I$4:I1644&lt;=W1175),1),I$4:I1644))-(W1175-L"&amp;"ARGE(FILTER(I$4:I1644,I$4:I1644&lt;=W1175),1))*INDEX(F$4:F1644,MATCH(LARGE(FILTER(I$4:I1644,I$4:I1644&lt;=W1175),1),I$4:I1644))))"),"")</f>
        <v/>
      </c>
      <c r="N1175" s="60" t="str">
        <f t="shared" si="8"/>
        <v/>
      </c>
      <c r="O1175" s="61" t="str">
        <f t="shared" si="9"/>
        <v/>
      </c>
      <c r="P1175" s="56" t="str">
        <f t="shared" si="10"/>
        <v/>
      </c>
      <c r="Q1175" s="105"/>
      <c r="R1175" s="10"/>
      <c r="S1175" s="59" t="str">
        <f t="array" ref="S1175">IF(COUNTA(Q1175:Q1644)=0,"",SUM((COUNTIF(Q$4:Q1175,Upgrades!$B$3:$B$13)-COUNTIF(Q$4:Q1175,"Sell_"&amp;Upgrades!$B$3:$B$13))*Upgrades!$D$3:$D$13))</f>
        <v/>
      </c>
      <c r="T1175" s="66" t="str">
        <f>IFERROR(__xludf.DUMMYFUNCTION("IF(COUNTA(Q1175:Q1644)=0,"""",IF(REGEXMATCH(INDEX(FILTER(Q$4:Q1175,Q$4:Q1175&lt;&gt;""""),ROWS(FILTER(Q$4:Q1175,Q$4:Q1175&lt;&gt;""""))),""^Sell_""),INDEX(FILTER(T$4:T1174,Q$4:Q1174&lt;&gt;""""),ROWS(FILTER(Q$4:Q1174,Q$4:Q1174&lt;&gt;""""))),$AD$5+S1175))"),"")</f>
        <v/>
      </c>
      <c r="U1175" s="10" t="str">
        <f>IFERROR(__xludf.DUMMYFUNCTION("IF(COUNTA(Q1175:Q1644)=0,"""",IF(Q1175="""",0,IF(REGEXMATCH(Q1175,""^Sell_""),-ROUNDDOWN(ROUNDUP(INDEX(Upgrades!$C$3:$C$13,MATCH(SUBSTITUTE(Q1175,""Sell_"",""""),Upgrades!$B$3:$B$13,0))*1.15^(COUNTIF(Q$4:Q1174,SUBSTITUTE(Q1175,""Sell_"",""""))-COUNTIF(Q$4"&amp;":Q1174,""Sell_""&amp;SUBSTITUTE(Q1175,""Sell_"",""""))))/2),ROUNDUP(INDEX(Upgrades!$C$3:$C$13,MATCH(Q1175,Upgrades!$B$3:$B$13,0))*1.15^(COUNTIF(Q$4:Q1174,Q1175)-COUNTIF(Q$4:Q1174,""Sell_""&amp;Q1175))))))"),"")</f>
        <v/>
      </c>
      <c r="V1175" s="10" t="str">
        <f t="shared" si="11"/>
        <v/>
      </c>
      <c r="W1175" s="68" t="str">
        <f t="shared" si="12"/>
        <v/>
      </c>
      <c r="X1175" s="59" t="str">
        <f t="shared" si="13"/>
        <v/>
      </c>
      <c r="Y1175" s="69" t="str">
        <f t="shared" si="14"/>
        <v/>
      </c>
      <c r="Z1175" s="11"/>
      <c r="AG1175" s="59"/>
    </row>
    <row r="1176">
      <c r="A1176" s="8"/>
      <c r="B1176" s="56" t="str">
        <f t="shared" si="2"/>
        <v/>
      </c>
      <c r="C1176" s="105"/>
      <c r="D1176" s="10"/>
      <c r="E1176" s="59" t="str">
        <f t="array" ref="E1176">IF(COUNTA(C1176:C1644)=0,"",SUM((COUNTIF(C$4:C1176,Upgrades!$B$3:$B$13)-COUNTIF(C$4:C1176,"Sell_"&amp;Upgrades!$B$3:$B$13))*Upgrades!$D$3:$D$13))</f>
        <v/>
      </c>
      <c r="F1176" s="66" t="str">
        <f>IFERROR(__xludf.DUMMYFUNCTION("IF(COUNTA(C1176:C1644)=0,"""",IF(REGEXMATCH(INDEX(FILTER(C$4:C1176,C$4:C1176&lt;&gt;""""),ROWS(FILTER(C$4:C1176,C$4:C1176&lt;&gt;""""))),""^Sell_""),INDEX(FILTER(F$4:F1175,C$4:C1175&lt;&gt;""""),ROWS(FILTER(C$4:C1175,C$4:C1175&lt;&gt;""""))),$AC$5+E1176))"),"")</f>
        <v/>
      </c>
      <c r="G1176" s="10" t="str">
        <f>IFERROR(__xludf.DUMMYFUNCTION("IF(COUNTA(C1176:C1644)=0,"""",IF(C1176="""",0,IF(REGEXMATCH(C1176,""^Sell_""),-ROUNDDOWN(ROUNDUP(INDEX(Upgrades!$C$3:$C$13,MATCH(SUBSTITUTE(C1176,""Sell_"",""""),Upgrades!$B$3:$B$13,0))*1.15^(COUNTIF(C$4:C1175,SUBSTITUTE(C1176,""Sell_"",""""))-COUNTIF(C$4"&amp;":C1175,""Sell_""&amp;SUBSTITUTE(C1176,""Sell_"",""""))))/2),ROUNDUP(INDEX(Upgrades!$C$3:$C$13,MATCH(C1176,Upgrades!$B$3:$B$13,0))*1.15^(COUNTIF(C$4:C1175,C1176)-COUNTIF(C$4:C1175,""Sell_""&amp;C1176))))))"),"")</f>
        <v/>
      </c>
      <c r="H1176" s="10" t="str">
        <f t="shared" si="3"/>
        <v/>
      </c>
      <c r="I1176" s="68" t="str">
        <f t="shared" si="4"/>
        <v/>
      </c>
      <c r="J1176" s="59" t="str">
        <f t="shared" si="5"/>
        <v/>
      </c>
      <c r="K1176" s="69" t="str">
        <f t="shared" si="6"/>
        <v/>
      </c>
      <c r="L1176" s="60" t="str">
        <f t="shared" si="7"/>
        <v/>
      </c>
      <c r="M1176" s="61" t="str">
        <f>IFERROR(__xludf.DUMMYFUNCTION("IFS(AND(COUNTA(C1176:C1644)=0,COUNTA(Q1176:Q1644)=0),"""",OR(AND(K1176&gt;=1000000000,OR(Y1176&gt;=1000000000,COUNTA(Q1176:Q1644)=0)),OR(Y1176&gt;=1000000000,AND(COUNTA(C1176:C1644)=0,P$3=TRUE))),
ROUNDDOWN((AB$1-AC$1)*MAX(INDEX(T$4:T1644,MATCH(LARGE(FILTER(Y$4:Y1"&amp;"644,Y$4:Y1644&lt;1000000000),1),Y$4:Y1644)),INDEX(F$4:F1644,MATCH(LARGE(FILTER(K$4:K1644,K$4:K1644&lt;1000000000),1),K$4:K1644)))),AND(K1176&lt;1000000000,COUNTA(C1176:C1644)&gt;0,P$3=FALSE),
ROUNDDOWN(INDEX(Y$4:Y1644,MATCH(LARGE(FILTER(W$4:W1644,W$4:W1644&lt;=I1176),1)"&amp;",W$4:W1644))+(I1176-LARGE(FILTER(W$4:W1644,W$4:W1644&lt;=I1176),1))*INDEX(T$4:T1644,MATCH(LARGE(FILTER(W$4:W1644,W$4:W1644&lt;=I1176),1),W$4:W1644))-K1176),1,
ROUNDDOWN(Y1176-INDEX(K$4:K1644,MATCH(LARGE(FILTER(I$4:I1644,I$4:I1644&lt;=W1176),1),I$4:I1644))-(W1176-L"&amp;"ARGE(FILTER(I$4:I1644,I$4:I1644&lt;=W1176),1))*INDEX(F$4:F1644,MATCH(LARGE(FILTER(I$4:I1644,I$4:I1644&lt;=W1176),1),I$4:I1644))))"),"")</f>
        <v/>
      </c>
      <c r="N1176" s="60" t="str">
        <f t="shared" si="8"/>
        <v/>
      </c>
      <c r="O1176" s="61" t="str">
        <f t="shared" si="9"/>
        <v/>
      </c>
      <c r="P1176" s="56" t="str">
        <f t="shared" si="10"/>
        <v/>
      </c>
      <c r="Q1176" s="105"/>
      <c r="R1176" s="10"/>
      <c r="S1176" s="59" t="str">
        <f t="array" ref="S1176">IF(COUNTA(Q1176:Q1644)=0,"",SUM((COUNTIF(Q$4:Q1176,Upgrades!$B$3:$B$13)-COUNTIF(Q$4:Q1176,"Sell_"&amp;Upgrades!$B$3:$B$13))*Upgrades!$D$3:$D$13))</f>
        <v/>
      </c>
      <c r="T1176" s="66" t="str">
        <f>IFERROR(__xludf.DUMMYFUNCTION("IF(COUNTA(Q1176:Q1644)=0,"""",IF(REGEXMATCH(INDEX(FILTER(Q$4:Q1176,Q$4:Q1176&lt;&gt;""""),ROWS(FILTER(Q$4:Q1176,Q$4:Q1176&lt;&gt;""""))),""^Sell_""),INDEX(FILTER(T$4:T1175,Q$4:Q1175&lt;&gt;""""),ROWS(FILTER(Q$4:Q1175,Q$4:Q1175&lt;&gt;""""))),$AD$5+S1176))"),"")</f>
        <v/>
      </c>
      <c r="U1176" s="10" t="str">
        <f>IFERROR(__xludf.DUMMYFUNCTION("IF(COUNTA(Q1176:Q1644)=0,"""",IF(Q1176="""",0,IF(REGEXMATCH(Q1176,""^Sell_""),-ROUNDDOWN(ROUNDUP(INDEX(Upgrades!$C$3:$C$13,MATCH(SUBSTITUTE(Q1176,""Sell_"",""""),Upgrades!$B$3:$B$13,0))*1.15^(COUNTIF(Q$4:Q1175,SUBSTITUTE(Q1176,""Sell_"",""""))-COUNTIF(Q$4"&amp;":Q1175,""Sell_""&amp;SUBSTITUTE(Q1176,""Sell_"",""""))))/2),ROUNDUP(INDEX(Upgrades!$C$3:$C$13,MATCH(Q1176,Upgrades!$B$3:$B$13,0))*1.15^(COUNTIF(Q$4:Q1175,Q1176)-COUNTIF(Q$4:Q1175,""Sell_""&amp;Q1176))))))"),"")</f>
        <v/>
      </c>
      <c r="V1176" s="10" t="str">
        <f t="shared" si="11"/>
        <v/>
      </c>
      <c r="W1176" s="68" t="str">
        <f t="shared" si="12"/>
        <v/>
      </c>
      <c r="X1176" s="59" t="str">
        <f t="shared" si="13"/>
        <v/>
      </c>
      <c r="Y1176" s="69" t="str">
        <f t="shared" si="14"/>
        <v/>
      </c>
      <c r="Z1176" s="11"/>
      <c r="AG1176" s="59"/>
    </row>
    <row r="1177">
      <c r="A1177" s="8"/>
      <c r="B1177" s="56" t="str">
        <f t="shared" si="2"/>
        <v/>
      </c>
      <c r="C1177" s="105"/>
      <c r="D1177" s="10"/>
      <c r="E1177" s="59" t="str">
        <f t="array" ref="E1177">IF(COUNTA(C1177:C1644)=0,"",SUM((COUNTIF(C$4:C1177,Upgrades!$B$3:$B$13)-COUNTIF(C$4:C1177,"Sell_"&amp;Upgrades!$B$3:$B$13))*Upgrades!$D$3:$D$13))</f>
        <v/>
      </c>
      <c r="F1177" s="66" t="str">
        <f>IFERROR(__xludf.DUMMYFUNCTION("IF(COUNTA(C1177:C1644)=0,"""",IF(REGEXMATCH(INDEX(FILTER(C$4:C1177,C$4:C1177&lt;&gt;""""),ROWS(FILTER(C$4:C1177,C$4:C1177&lt;&gt;""""))),""^Sell_""),INDEX(FILTER(F$4:F1176,C$4:C1176&lt;&gt;""""),ROWS(FILTER(C$4:C1176,C$4:C1176&lt;&gt;""""))),$AC$5+E1177))"),"")</f>
        <v/>
      </c>
      <c r="G1177" s="10" t="str">
        <f>IFERROR(__xludf.DUMMYFUNCTION("IF(COUNTA(C1177:C1644)=0,"""",IF(C1177="""",0,IF(REGEXMATCH(C1177,""^Sell_""),-ROUNDDOWN(ROUNDUP(INDEX(Upgrades!$C$3:$C$13,MATCH(SUBSTITUTE(C1177,""Sell_"",""""),Upgrades!$B$3:$B$13,0))*1.15^(COUNTIF(C$4:C1176,SUBSTITUTE(C1177,""Sell_"",""""))-COUNTIF(C$4"&amp;":C1176,""Sell_""&amp;SUBSTITUTE(C1177,""Sell_"",""""))))/2),ROUNDUP(INDEX(Upgrades!$C$3:$C$13,MATCH(C1177,Upgrades!$B$3:$B$13,0))*1.15^(COUNTIF(C$4:C1176,C1177)-COUNTIF(C$4:C1176,""Sell_""&amp;C1177))))))"),"")</f>
        <v/>
      </c>
      <c r="H1177" s="10" t="str">
        <f t="shared" si="3"/>
        <v/>
      </c>
      <c r="I1177" s="68" t="str">
        <f t="shared" si="4"/>
        <v/>
      </c>
      <c r="J1177" s="59" t="str">
        <f t="shared" si="5"/>
        <v/>
      </c>
      <c r="K1177" s="69" t="str">
        <f t="shared" si="6"/>
        <v/>
      </c>
      <c r="L1177" s="60" t="str">
        <f t="shared" si="7"/>
        <v/>
      </c>
      <c r="M1177" s="61" t="str">
        <f>IFERROR(__xludf.DUMMYFUNCTION("IFS(AND(COUNTA(C1177:C1644)=0,COUNTA(Q1177:Q1644)=0),"""",OR(AND(K1177&gt;=1000000000,OR(Y1177&gt;=1000000000,COUNTA(Q1177:Q1644)=0)),OR(Y1177&gt;=1000000000,AND(COUNTA(C1177:C1644)=0,P$3=TRUE))),
ROUNDDOWN((AB$1-AC$1)*MAX(INDEX(T$4:T1644,MATCH(LARGE(FILTER(Y$4:Y1"&amp;"644,Y$4:Y1644&lt;1000000000),1),Y$4:Y1644)),INDEX(F$4:F1644,MATCH(LARGE(FILTER(K$4:K1644,K$4:K1644&lt;1000000000),1),K$4:K1644)))),AND(K1177&lt;1000000000,COUNTA(C1177:C1644)&gt;0,P$3=FALSE),
ROUNDDOWN(INDEX(Y$4:Y1644,MATCH(LARGE(FILTER(W$4:W1644,W$4:W1644&lt;=I1177),1)"&amp;",W$4:W1644))+(I1177-LARGE(FILTER(W$4:W1644,W$4:W1644&lt;=I1177),1))*INDEX(T$4:T1644,MATCH(LARGE(FILTER(W$4:W1644,W$4:W1644&lt;=I1177),1),W$4:W1644))-K1177),1,
ROUNDDOWN(Y1177-INDEX(K$4:K1644,MATCH(LARGE(FILTER(I$4:I1644,I$4:I1644&lt;=W1177),1),I$4:I1644))-(W1177-L"&amp;"ARGE(FILTER(I$4:I1644,I$4:I1644&lt;=W1177),1))*INDEX(F$4:F1644,MATCH(LARGE(FILTER(I$4:I1644,I$4:I1644&lt;=W1177),1),I$4:I1644))))"),"")</f>
        <v/>
      </c>
      <c r="N1177" s="60" t="str">
        <f t="shared" si="8"/>
        <v/>
      </c>
      <c r="O1177" s="61" t="str">
        <f t="shared" si="9"/>
        <v/>
      </c>
      <c r="P1177" s="56" t="str">
        <f t="shared" si="10"/>
        <v/>
      </c>
      <c r="Q1177" s="105"/>
      <c r="R1177" s="10"/>
      <c r="S1177" s="59" t="str">
        <f t="array" ref="S1177">IF(COUNTA(Q1177:Q1644)=0,"",SUM((COUNTIF(Q$4:Q1177,Upgrades!$B$3:$B$13)-COUNTIF(Q$4:Q1177,"Sell_"&amp;Upgrades!$B$3:$B$13))*Upgrades!$D$3:$D$13))</f>
        <v/>
      </c>
      <c r="T1177" s="66" t="str">
        <f>IFERROR(__xludf.DUMMYFUNCTION("IF(COUNTA(Q1177:Q1644)=0,"""",IF(REGEXMATCH(INDEX(FILTER(Q$4:Q1177,Q$4:Q1177&lt;&gt;""""),ROWS(FILTER(Q$4:Q1177,Q$4:Q1177&lt;&gt;""""))),""^Sell_""),INDEX(FILTER(T$4:T1176,Q$4:Q1176&lt;&gt;""""),ROWS(FILTER(Q$4:Q1176,Q$4:Q1176&lt;&gt;""""))),$AD$5+S1177))"),"")</f>
        <v/>
      </c>
      <c r="U1177" s="10" t="str">
        <f>IFERROR(__xludf.DUMMYFUNCTION("IF(COUNTA(Q1177:Q1644)=0,"""",IF(Q1177="""",0,IF(REGEXMATCH(Q1177,""^Sell_""),-ROUNDDOWN(ROUNDUP(INDEX(Upgrades!$C$3:$C$13,MATCH(SUBSTITUTE(Q1177,""Sell_"",""""),Upgrades!$B$3:$B$13,0))*1.15^(COUNTIF(Q$4:Q1176,SUBSTITUTE(Q1177,""Sell_"",""""))-COUNTIF(Q$4"&amp;":Q1176,""Sell_""&amp;SUBSTITUTE(Q1177,""Sell_"",""""))))/2),ROUNDUP(INDEX(Upgrades!$C$3:$C$13,MATCH(Q1177,Upgrades!$B$3:$B$13,0))*1.15^(COUNTIF(Q$4:Q1176,Q1177)-COUNTIF(Q$4:Q1176,""Sell_""&amp;Q1177))))))"),"")</f>
        <v/>
      </c>
      <c r="V1177" s="10" t="str">
        <f t="shared" si="11"/>
        <v/>
      </c>
      <c r="W1177" s="68" t="str">
        <f t="shared" si="12"/>
        <v/>
      </c>
      <c r="X1177" s="59" t="str">
        <f t="shared" si="13"/>
        <v/>
      </c>
      <c r="Y1177" s="69" t="str">
        <f t="shared" si="14"/>
        <v/>
      </c>
      <c r="Z1177" s="11"/>
      <c r="AG1177" s="59"/>
    </row>
    <row r="1178">
      <c r="A1178" s="8"/>
      <c r="B1178" s="56" t="str">
        <f t="shared" si="2"/>
        <v/>
      </c>
      <c r="C1178" s="105"/>
      <c r="D1178" s="10"/>
      <c r="E1178" s="59" t="str">
        <f t="array" ref="E1178">IF(COUNTA(C1178:C1644)=0,"",SUM((COUNTIF(C$4:C1178,Upgrades!$B$3:$B$13)-COUNTIF(C$4:C1178,"Sell_"&amp;Upgrades!$B$3:$B$13))*Upgrades!$D$3:$D$13))</f>
        <v/>
      </c>
      <c r="F1178" s="66" t="str">
        <f>IFERROR(__xludf.DUMMYFUNCTION("IF(COUNTA(C1178:C1644)=0,"""",IF(REGEXMATCH(INDEX(FILTER(C$4:C1178,C$4:C1178&lt;&gt;""""),ROWS(FILTER(C$4:C1178,C$4:C1178&lt;&gt;""""))),""^Sell_""),INDEX(FILTER(F$4:F1177,C$4:C1177&lt;&gt;""""),ROWS(FILTER(C$4:C1177,C$4:C1177&lt;&gt;""""))),$AC$5+E1178))"),"")</f>
        <v/>
      </c>
      <c r="G1178" s="10" t="str">
        <f>IFERROR(__xludf.DUMMYFUNCTION("IF(COUNTA(C1178:C1644)=0,"""",IF(C1178="""",0,IF(REGEXMATCH(C1178,""^Sell_""),-ROUNDDOWN(ROUNDUP(INDEX(Upgrades!$C$3:$C$13,MATCH(SUBSTITUTE(C1178,""Sell_"",""""),Upgrades!$B$3:$B$13,0))*1.15^(COUNTIF(C$4:C1177,SUBSTITUTE(C1178,""Sell_"",""""))-COUNTIF(C$4"&amp;":C1177,""Sell_""&amp;SUBSTITUTE(C1178,""Sell_"",""""))))/2),ROUNDUP(INDEX(Upgrades!$C$3:$C$13,MATCH(C1178,Upgrades!$B$3:$B$13,0))*1.15^(COUNTIF(C$4:C1177,C1178)-COUNTIF(C$4:C1177,""Sell_""&amp;C1178))))))"),"")</f>
        <v/>
      </c>
      <c r="H1178" s="10" t="str">
        <f t="shared" si="3"/>
        <v/>
      </c>
      <c r="I1178" s="68" t="str">
        <f t="shared" si="4"/>
        <v/>
      </c>
      <c r="J1178" s="59" t="str">
        <f t="shared" si="5"/>
        <v/>
      </c>
      <c r="K1178" s="69" t="str">
        <f t="shared" si="6"/>
        <v/>
      </c>
      <c r="L1178" s="60" t="str">
        <f t="shared" si="7"/>
        <v/>
      </c>
      <c r="M1178" s="61" t="str">
        <f>IFERROR(__xludf.DUMMYFUNCTION("IFS(AND(COUNTA(C1178:C1644)=0,COUNTA(Q1178:Q1644)=0),"""",OR(AND(K1178&gt;=1000000000,OR(Y1178&gt;=1000000000,COUNTA(Q1178:Q1644)=0)),OR(Y1178&gt;=1000000000,AND(COUNTA(C1178:C1644)=0,P$3=TRUE))),
ROUNDDOWN((AB$1-AC$1)*MAX(INDEX(T$4:T1644,MATCH(LARGE(FILTER(Y$4:Y1"&amp;"644,Y$4:Y1644&lt;1000000000),1),Y$4:Y1644)),INDEX(F$4:F1644,MATCH(LARGE(FILTER(K$4:K1644,K$4:K1644&lt;1000000000),1),K$4:K1644)))),AND(K1178&lt;1000000000,COUNTA(C1178:C1644)&gt;0,P$3=FALSE),
ROUNDDOWN(INDEX(Y$4:Y1644,MATCH(LARGE(FILTER(W$4:W1644,W$4:W1644&lt;=I1178),1)"&amp;",W$4:W1644))+(I1178-LARGE(FILTER(W$4:W1644,W$4:W1644&lt;=I1178),1))*INDEX(T$4:T1644,MATCH(LARGE(FILTER(W$4:W1644,W$4:W1644&lt;=I1178),1),W$4:W1644))-K1178),1,
ROUNDDOWN(Y1178-INDEX(K$4:K1644,MATCH(LARGE(FILTER(I$4:I1644,I$4:I1644&lt;=W1178),1),I$4:I1644))-(W1178-L"&amp;"ARGE(FILTER(I$4:I1644,I$4:I1644&lt;=W1178),1))*INDEX(F$4:F1644,MATCH(LARGE(FILTER(I$4:I1644,I$4:I1644&lt;=W1178),1),I$4:I1644))))"),"")</f>
        <v/>
      </c>
      <c r="N1178" s="60" t="str">
        <f t="shared" si="8"/>
        <v/>
      </c>
      <c r="O1178" s="61" t="str">
        <f t="shared" si="9"/>
        <v/>
      </c>
      <c r="P1178" s="56" t="str">
        <f t="shared" si="10"/>
        <v/>
      </c>
      <c r="Q1178" s="105"/>
      <c r="R1178" s="10"/>
      <c r="S1178" s="59" t="str">
        <f t="array" ref="S1178">IF(COUNTA(Q1178:Q1644)=0,"",SUM((COUNTIF(Q$4:Q1178,Upgrades!$B$3:$B$13)-COUNTIF(Q$4:Q1178,"Sell_"&amp;Upgrades!$B$3:$B$13))*Upgrades!$D$3:$D$13))</f>
        <v/>
      </c>
      <c r="T1178" s="66" t="str">
        <f>IFERROR(__xludf.DUMMYFUNCTION("IF(COUNTA(Q1178:Q1644)=0,"""",IF(REGEXMATCH(INDEX(FILTER(Q$4:Q1178,Q$4:Q1178&lt;&gt;""""),ROWS(FILTER(Q$4:Q1178,Q$4:Q1178&lt;&gt;""""))),""^Sell_""),INDEX(FILTER(T$4:T1177,Q$4:Q1177&lt;&gt;""""),ROWS(FILTER(Q$4:Q1177,Q$4:Q1177&lt;&gt;""""))),$AD$5+S1178))"),"")</f>
        <v/>
      </c>
      <c r="U1178" s="10" t="str">
        <f>IFERROR(__xludf.DUMMYFUNCTION("IF(COUNTA(Q1178:Q1644)=0,"""",IF(Q1178="""",0,IF(REGEXMATCH(Q1178,""^Sell_""),-ROUNDDOWN(ROUNDUP(INDEX(Upgrades!$C$3:$C$13,MATCH(SUBSTITUTE(Q1178,""Sell_"",""""),Upgrades!$B$3:$B$13,0))*1.15^(COUNTIF(Q$4:Q1177,SUBSTITUTE(Q1178,""Sell_"",""""))-COUNTIF(Q$4"&amp;":Q1177,""Sell_""&amp;SUBSTITUTE(Q1178,""Sell_"",""""))))/2),ROUNDUP(INDEX(Upgrades!$C$3:$C$13,MATCH(Q1178,Upgrades!$B$3:$B$13,0))*1.15^(COUNTIF(Q$4:Q1177,Q1178)-COUNTIF(Q$4:Q1177,""Sell_""&amp;Q1178))))))"),"")</f>
        <v/>
      </c>
      <c r="V1178" s="10" t="str">
        <f t="shared" si="11"/>
        <v/>
      </c>
      <c r="W1178" s="68" t="str">
        <f t="shared" si="12"/>
        <v/>
      </c>
      <c r="X1178" s="59" t="str">
        <f t="shared" si="13"/>
        <v/>
      </c>
      <c r="Y1178" s="69" t="str">
        <f t="shared" si="14"/>
        <v/>
      </c>
      <c r="Z1178" s="11"/>
      <c r="AG1178" s="59"/>
    </row>
    <row r="1179">
      <c r="A1179" s="8"/>
      <c r="B1179" s="56" t="str">
        <f t="shared" si="2"/>
        <v/>
      </c>
      <c r="C1179" s="105"/>
      <c r="D1179" s="10"/>
      <c r="E1179" s="59" t="str">
        <f t="array" ref="E1179">IF(COUNTA(C1179:C1644)=0,"",SUM((COUNTIF(C$4:C1179,Upgrades!$B$3:$B$13)-COUNTIF(C$4:C1179,"Sell_"&amp;Upgrades!$B$3:$B$13))*Upgrades!$D$3:$D$13))</f>
        <v/>
      </c>
      <c r="F1179" s="66" t="str">
        <f>IFERROR(__xludf.DUMMYFUNCTION("IF(COUNTA(C1179:C1644)=0,"""",IF(REGEXMATCH(INDEX(FILTER(C$4:C1179,C$4:C1179&lt;&gt;""""),ROWS(FILTER(C$4:C1179,C$4:C1179&lt;&gt;""""))),""^Sell_""),INDEX(FILTER(F$4:F1178,C$4:C1178&lt;&gt;""""),ROWS(FILTER(C$4:C1178,C$4:C1178&lt;&gt;""""))),$AC$5+E1179))"),"")</f>
        <v/>
      </c>
      <c r="G1179" s="10" t="str">
        <f>IFERROR(__xludf.DUMMYFUNCTION("IF(COUNTA(C1179:C1644)=0,"""",IF(C1179="""",0,IF(REGEXMATCH(C1179,""^Sell_""),-ROUNDDOWN(ROUNDUP(INDEX(Upgrades!$C$3:$C$13,MATCH(SUBSTITUTE(C1179,""Sell_"",""""),Upgrades!$B$3:$B$13,0))*1.15^(COUNTIF(C$4:C1178,SUBSTITUTE(C1179,""Sell_"",""""))-COUNTIF(C$4"&amp;":C1178,""Sell_""&amp;SUBSTITUTE(C1179,""Sell_"",""""))))/2),ROUNDUP(INDEX(Upgrades!$C$3:$C$13,MATCH(C1179,Upgrades!$B$3:$B$13,0))*1.15^(COUNTIF(C$4:C1178,C1179)-COUNTIF(C$4:C1178,""Sell_""&amp;C1179))))))"),"")</f>
        <v/>
      </c>
      <c r="H1179" s="10" t="str">
        <f t="shared" si="3"/>
        <v/>
      </c>
      <c r="I1179" s="68" t="str">
        <f t="shared" si="4"/>
        <v/>
      </c>
      <c r="J1179" s="59" t="str">
        <f t="shared" si="5"/>
        <v/>
      </c>
      <c r="K1179" s="69" t="str">
        <f t="shared" si="6"/>
        <v/>
      </c>
      <c r="L1179" s="60" t="str">
        <f t="shared" si="7"/>
        <v/>
      </c>
      <c r="M1179" s="61" t="str">
        <f>IFERROR(__xludf.DUMMYFUNCTION("IFS(AND(COUNTA(C1179:C1644)=0,COUNTA(Q1179:Q1644)=0),"""",OR(AND(K1179&gt;=1000000000,OR(Y1179&gt;=1000000000,COUNTA(Q1179:Q1644)=0)),OR(Y1179&gt;=1000000000,AND(COUNTA(C1179:C1644)=0,P$3=TRUE))),
ROUNDDOWN((AB$1-AC$1)*MAX(INDEX(T$4:T1644,MATCH(LARGE(FILTER(Y$4:Y1"&amp;"644,Y$4:Y1644&lt;1000000000),1),Y$4:Y1644)),INDEX(F$4:F1644,MATCH(LARGE(FILTER(K$4:K1644,K$4:K1644&lt;1000000000),1),K$4:K1644)))),AND(K1179&lt;1000000000,COUNTA(C1179:C1644)&gt;0,P$3=FALSE),
ROUNDDOWN(INDEX(Y$4:Y1644,MATCH(LARGE(FILTER(W$4:W1644,W$4:W1644&lt;=I1179),1)"&amp;",W$4:W1644))+(I1179-LARGE(FILTER(W$4:W1644,W$4:W1644&lt;=I1179),1))*INDEX(T$4:T1644,MATCH(LARGE(FILTER(W$4:W1644,W$4:W1644&lt;=I1179),1),W$4:W1644))-K1179),1,
ROUNDDOWN(Y1179-INDEX(K$4:K1644,MATCH(LARGE(FILTER(I$4:I1644,I$4:I1644&lt;=W1179),1),I$4:I1644))-(W1179-L"&amp;"ARGE(FILTER(I$4:I1644,I$4:I1644&lt;=W1179),1))*INDEX(F$4:F1644,MATCH(LARGE(FILTER(I$4:I1644,I$4:I1644&lt;=W1179),1),I$4:I1644))))"),"")</f>
        <v/>
      </c>
      <c r="N1179" s="60" t="str">
        <f t="shared" si="8"/>
        <v/>
      </c>
      <c r="O1179" s="61" t="str">
        <f t="shared" si="9"/>
        <v/>
      </c>
      <c r="P1179" s="56" t="str">
        <f t="shared" si="10"/>
        <v/>
      </c>
      <c r="Q1179" s="105"/>
      <c r="R1179" s="10"/>
      <c r="S1179" s="59" t="str">
        <f t="array" ref="S1179">IF(COUNTA(Q1179:Q1644)=0,"",SUM((COUNTIF(Q$4:Q1179,Upgrades!$B$3:$B$13)-COUNTIF(Q$4:Q1179,"Sell_"&amp;Upgrades!$B$3:$B$13))*Upgrades!$D$3:$D$13))</f>
        <v/>
      </c>
      <c r="T1179" s="66" t="str">
        <f>IFERROR(__xludf.DUMMYFUNCTION("IF(COUNTA(Q1179:Q1644)=0,"""",IF(REGEXMATCH(INDEX(FILTER(Q$4:Q1179,Q$4:Q1179&lt;&gt;""""),ROWS(FILTER(Q$4:Q1179,Q$4:Q1179&lt;&gt;""""))),""^Sell_""),INDEX(FILTER(T$4:T1178,Q$4:Q1178&lt;&gt;""""),ROWS(FILTER(Q$4:Q1178,Q$4:Q1178&lt;&gt;""""))),$AD$5+S1179))"),"")</f>
        <v/>
      </c>
      <c r="U1179" s="10" t="str">
        <f>IFERROR(__xludf.DUMMYFUNCTION("IF(COUNTA(Q1179:Q1644)=0,"""",IF(Q1179="""",0,IF(REGEXMATCH(Q1179,""^Sell_""),-ROUNDDOWN(ROUNDUP(INDEX(Upgrades!$C$3:$C$13,MATCH(SUBSTITUTE(Q1179,""Sell_"",""""),Upgrades!$B$3:$B$13,0))*1.15^(COUNTIF(Q$4:Q1178,SUBSTITUTE(Q1179,""Sell_"",""""))-COUNTIF(Q$4"&amp;":Q1178,""Sell_""&amp;SUBSTITUTE(Q1179,""Sell_"",""""))))/2),ROUNDUP(INDEX(Upgrades!$C$3:$C$13,MATCH(Q1179,Upgrades!$B$3:$B$13,0))*1.15^(COUNTIF(Q$4:Q1178,Q1179)-COUNTIF(Q$4:Q1178,""Sell_""&amp;Q1179))))))"),"")</f>
        <v/>
      </c>
      <c r="V1179" s="10" t="str">
        <f t="shared" si="11"/>
        <v/>
      </c>
      <c r="W1179" s="68" t="str">
        <f t="shared" si="12"/>
        <v/>
      </c>
      <c r="X1179" s="59" t="str">
        <f t="shared" si="13"/>
        <v/>
      </c>
      <c r="Y1179" s="69" t="str">
        <f t="shared" si="14"/>
        <v/>
      </c>
      <c r="Z1179" s="11"/>
      <c r="AG1179" s="59"/>
    </row>
    <row r="1180">
      <c r="A1180" s="8"/>
      <c r="B1180" s="56" t="str">
        <f t="shared" si="2"/>
        <v/>
      </c>
      <c r="C1180" s="105"/>
      <c r="D1180" s="10"/>
      <c r="E1180" s="59" t="str">
        <f t="array" ref="E1180">IF(COUNTA(C1180:C1644)=0,"",SUM((COUNTIF(C$4:C1180,Upgrades!$B$3:$B$13)-COUNTIF(C$4:C1180,"Sell_"&amp;Upgrades!$B$3:$B$13))*Upgrades!$D$3:$D$13))</f>
        <v/>
      </c>
      <c r="F1180" s="66" t="str">
        <f>IFERROR(__xludf.DUMMYFUNCTION("IF(COUNTA(C1180:C1644)=0,"""",IF(REGEXMATCH(INDEX(FILTER(C$4:C1180,C$4:C1180&lt;&gt;""""),ROWS(FILTER(C$4:C1180,C$4:C1180&lt;&gt;""""))),""^Sell_""),INDEX(FILTER(F$4:F1179,C$4:C1179&lt;&gt;""""),ROWS(FILTER(C$4:C1179,C$4:C1179&lt;&gt;""""))),$AC$5+E1180))"),"")</f>
        <v/>
      </c>
      <c r="G1180" s="10" t="str">
        <f>IFERROR(__xludf.DUMMYFUNCTION("IF(COUNTA(C1180:C1644)=0,"""",IF(C1180="""",0,IF(REGEXMATCH(C1180,""^Sell_""),-ROUNDDOWN(ROUNDUP(INDEX(Upgrades!$C$3:$C$13,MATCH(SUBSTITUTE(C1180,""Sell_"",""""),Upgrades!$B$3:$B$13,0))*1.15^(COUNTIF(C$4:C1179,SUBSTITUTE(C1180,""Sell_"",""""))-COUNTIF(C$4"&amp;":C1179,""Sell_""&amp;SUBSTITUTE(C1180,""Sell_"",""""))))/2),ROUNDUP(INDEX(Upgrades!$C$3:$C$13,MATCH(C1180,Upgrades!$B$3:$B$13,0))*1.15^(COUNTIF(C$4:C1179,C1180)-COUNTIF(C$4:C1179,""Sell_""&amp;C1180))))))"),"")</f>
        <v/>
      </c>
      <c r="H1180" s="10" t="str">
        <f t="shared" si="3"/>
        <v/>
      </c>
      <c r="I1180" s="68" t="str">
        <f t="shared" si="4"/>
        <v/>
      </c>
      <c r="J1180" s="59" t="str">
        <f t="shared" si="5"/>
        <v/>
      </c>
      <c r="K1180" s="69" t="str">
        <f t="shared" si="6"/>
        <v/>
      </c>
      <c r="L1180" s="60" t="str">
        <f t="shared" si="7"/>
        <v/>
      </c>
      <c r="M1180" s="61" t="str">
        <f>IFERROR(__xludf.DUMMYFUNCTION("IFS(AND(COUNTA(C1180:C1644)=0,COUNTA(Q1180:Q1644)=0),"""",OR(AND(K1180&gt;=1000000000,OR(Y1180&gt;=1000000000,COUNTA(Q1180:Q1644)=0)),OR(Y1180&gt;=1000000000,AND(COUNTA(C1180:C1644)=0,P$3=TRUE))),
ROUNDDOWN((AB$1-AC$1)*MAX(INDEX(T$4:T1644,MATCH(LARGE(FILTER(Y$4:Y1"&amp;"644,Y$4:Y1644&lt;1000000000),1),Y$4:Y1644)),INDEX(F$4:F1644,MATCH(LARGE(FILTER(K$4:K1644,K$4:K1644&lt;1000000000),1),K$4:K1644)))),AND(K1180&lt;1000000000,COUNTA(C1180:C1644)&gt;0,P$3=FALSE),
ROUNDDOWN(INDEX(Y$4:Y1644,MATCH(LARGE(FILTER(W$4:W1644,W$4:W1644&lt;=I1180),1)"&amp;",W$4:W1644))+(I1180-LARGE(FILTER(W$4:W1644,W$4:W1644&lt;=I1180),1))*INDEX(T$4:T1644,MATCH(LARGE(FILTER(W$4:W1644,W$4:W1644&lt;=I1180),1),W$4:W1644))-K1180),1,
ROUNDDOWN(Y1180-INDEX(K$4:K1644,MATCH(LARGE(FILTER(I$4:I1644,I$4:I1644&lt;=W1180),1),I$4:I1644))-(W1180-L"&amp;"ARGE(FILTER(I$4:I1644,I$4:I1644&lt;=W1180),1))*INDEX(F$4:F1644,MATCH(LARGE(FILTER(I$4:I1644,I$4:I1644&lt;=W1180),1),I$4:I1644))))"),"")</f>
        <v/>
      </c>
      <c r="N1180" s="60" t="str">
        <f t="shared" si="8"/>
        <v/>
      </c>
      <c r="O1180" s="61" t="str">
        <f t="shared" si="9"/>
        <v/>
      </c>
      <c r="P1180" s="56" t="str">
        <f t="shared" si="10"/>
        <v/>
      </c>
      <c r="Q1180" s="105"/>
      <c r="R1180" s="10"/>
      <c r="S1180" s="59" t="str">
        <f t="array" ref="S1180">IF(COUNTA(Q1180:Q1644)=0,"",SUM((COUNTIF(Q$4:Q1180,Upgrades!$B$3:$B$13)-COUNTIF(Q$4:Q1180,"Sell_"&amp;Upgrades!$B$3:$B$13))*Upgrades!$D$3:$D$13))</f>
        <v/>
      </c>
      <c r="T1180" s="66" t="str">
        <f>IFERROR(__xludf.DUMMYFUNCTION("IF(COUNTA(Q1180:Q1644)=0,"""",IF(REGEXMATCH(INDEX(FILTER(Q$4:Q1180,Q$4:Q1180&lt;&gt;""""),ROWS(FILTER(Q$4:Q1180,Q$4:Q1180&lt;&gt;""""))),""^Sell_""),INDEX(FILTER(T$4:T1179,Q$4:Q1179&lt;&gt;""""),ROWS(FILTER(Q$4:Q1179,Q$4:Q1179&lt;&gt;""""))),$AD$5+S1180))"),"")</f>
        <v/>
      </c>
      <c r="U1180" s="10" t="str">
        <f>IFERROR(__xludf.DUMMYFUNCTION("IF(COUNTA(Q1180:Q1644)=0,"""",IF(Q1180="""",0,IF(REGEXMATCH(Q1180,""^Sell_""),-ROUNDDOWN(ROUNDUP(INDEX(Upgrades!$C$3:$C$13,MATCH(SUBSTITUTE(Q1180,""Sell_"",""""),Upgrades!$B$3:$B$13,0))*1.15^(COUNTIF(Q$4:Q1179,SUBSTITUTE(Q1180,""Sell_"",""""))-COUNTIF(Q$4"&amp;":Q1179,""Sell_""&amp;SUBSTITUTE(Q1180,""Sell_"",""""))))/2),ROUNDUP(INDEX(Upgrades!$C$3:$C$13,MATCH(Q1180,Upgrades!$B$3:$B$13,0))*1.15^(COUNTIF(Q$4:Q1179,Q1180)-COUNTIF(Q$4:Q1179,""Sell_""&amp;Q1180))))))"),"")</f>
        <v/>
      </c>
      <c r="V1180" s="10" t="str">
        <f t="shared" si="11"/>
        <v/>
      </c>
      <c r="W1180" s="68" t="str">
        <f t="shared" si="12"/>
        <v/>
      </c>
      <c r="X1180" s="59" t="str">
        <f t="shared" si="13"/>
        <v/>
      </c>
      <c r="Y1180" s="69" t="str">
        <f t="shared" si="14"/>
        <v/>
      </c>
      <c r="Z1180" s="11"/>
      <c r="AG1180" s="59"/>
    </row>
    <row r="1181">
      <c r="A1181" s="8"/>
      <c r="B1181" s="56" t="str">
        <f t="shared" si="2"/>
        <v/>
      </c>
      <c r="C1181" s="105"/>
      <c r="D1181" s="10"/>
      <c r="E1181" s="59" t="str">
        <f t="array" ref="E1181">IF(COUNTA(C1181:C1644)=0,"",SUM((COUNTIF(C$4:C1181,Upgrades!$B$3:$B$13)-COUNTIF(C$4:C1181,"Sell_"&amp;Upgrades!$B$3:$B$13))*Upgrades!$D$3:$D$13))</f>
        <v/>
      </c>
      <c r="F1181" s="66" t="str">
        <f>IFERROR(__xludf.DUMMYFUNCTION("IF(COUNTA(C1181:C1644)=0,"""",IF(REGEXMATCH(INDEX(FILTER(C$4:C1181,C$4:C1181&lt;&gt;""""),ROWS(FILTER(C$4:C1181,C$4:C1181&lt;&gt;""""))),""^Sell_""),INDEX(FILTER(F$4:F1180,C$4:C1180&lt;&gt;""""),ROWS(FILTER(C$4:C1180,C$4:C1180&lt;&gt;""""))),$AC$5+E1181))"),"")</f>
        <v/>
      </c>
      <c r="G1181" s="10" t="str">
        <f>IFERROR(__xludf.DUMMYFUNCTION("IF(COUNTA(C1181:C1644)=0,"""",IF(C1181="""",0,IF(REGEXMATCH(C1181,""^Sell_""),-ROUNDDOWN(ROUNDUP(INDEX(Upgrades!$C$3:$C$13,MATCH(SUBSTITUTE(C1181,""Sell_"",""""),Upgrades!$B$3:$B$13,0))*1.15^(COUNTIF(C$4:C1180,SUBSTITUTE(C1181,""Sell_"",""""))-COUNTIF(C$4"&amp;":C1180,""Sell_""&amp;SUBSTITUTE(C1181,""Sell_"",""""))))/2),ROUNDUP(INDEX(Upgrades!$C$3:$C$13,MATCH(C1181,Upgrades!$B$3:$B$13,0))*1.15^(COUNTIF(C$4:C1180,C1181)-COUNTIF(C$4:C1180,""Sell_""&amp;C1181))))))"),"")</f>
        <v/>
      </c>
      <c r="H1181" s="10" t="str">
        <f t="shared" si="3"/>
        <v/>
      </c>
      <c r="I1181" s="68" t="str">
        <f t="shared" si="4"/>
        <v/>
      </c>
      <c r="J1181" s="59" t="str">
        <f t="shared" si="5"/>
        <v/>
      </c>
      <c r="K1181" s="69" t="str">
        <f t="shared" si="6"/>
        <v/>
      </c>
      <c r="L1181" s="60" t="str">
        <f t="shared" si="7"/>
        <v/>
      </c>
      <c r="M1181" s="61" t="str">
        <f>IFERROR(__xludf.DUMMYFUNCTION("IFS(AND(COUNTA(C1181:C1644)=0,COUNTA(Q1181:Q1644)=0),"""",OR(AND(K1181&gt;=1000000000,OR(Y1181&gt;=1000000000,COUNTA(Q1181:Q1644)=0)),OR(Y1181&gt;=1000000000,AND(COUNTA(C1181:C1644)=0,P$3=TRUE))),
ROUNDDOWN((AB$1-AC$1)*MAX(INDEX(T$4:T1644,MATCH(LARGE(FILTER(Y$4:Y1"&amp;"644,Y$4:Y1644&lt;1000000000),1),Y$4:Y1644)),INDEX(F$4:F1644,MATCH(LARGE(FILTER(K$4:K1644,K$4:K1644&lt;1000000000),1),K$4:K1644)))),AND(K1181&lt;1000000000,COUNTA(C1181:C1644)&gt;0,P$3=FALSE),
ROUNDDOWN(INDEX(Y$4:Y1644,MATCH(LARGE(FILTER(W$4:W1644,W$4:W1644&lt;=I1181),1)"&amp;",W$4:W1644))+(I1181-LARGE(FILTER(W$4:W1644,W$4:W1644&lt;=I1181),1))*INDEX(T$4:T1644,MATCH(LARGE(FILTER(W$4:W1644,W$4:W1644&lt;=I1181),1),W$4:W1644))-K1181),1,
ROUNDDOWN(Y1181-INDEX(K$4:K1644,MATCH(LARGE(FILTER(I$4:I1644,I$4:I1644&lt;=W1181),1),I$4:I1644))-(W1181-L"&amp;"ARGE(FILTER(I$4:I1644,I$4:I1644&lt;=W1181),1))*INDEX(F$4:F1644,MATCH(LARGE(FILTER(I$4:I1644,I$4:I1644&lt;=W1181),1),I$4:I1644))))"),"")</f>
        <v/>
      </c>
      <c r="N1181" s="60" t="str">
        <f t="shared" si="8"/>
        <v/>
      </c>
      <c r="O1181" s="61" t="str">
        <f t="shared" si="9"/>
        <v/>
      </c>
      <c r="P1181" s="56" t="str">
        <f t="shared" si="10"/>
        <v/>
      </c>
      <c r="Q1181" s="105"/>
      <c r="R1181" s="10"/>
      <c r="S1181" s="59" t="str">
        <f t="array" ref="S1181">IF(COUNTA(Q1181:Q1644)=0,"",SUM((COUNTIF(Q$4:Q1181,Upgrades!$B$3:$B$13)-COUNTIF(Q$4:Q1181,"Sell_"&amp;Upgrades!$B$3:$B$13))*Upgrades!$D$3:$D$13))</f>
        <v/>
      </c>
      <c r="T1181" s="66" t="str">
        <f>IFERROR(__xludf.DUMMYFUNCTION("IF(COUNTA(Q1181:Q1644)=0,"""",IF(REGEXMATCH(INDEX(FILTER(Q$4:Q1181,Q$4:Q1181&lt;&gt;""""),ROWS(FILTER(Q$4:Q1181,Q$4:Q1181&lt;&gt;""""))),""^Sell_""),INDEX(FILTER(T$4:T1180,Q$4:Q1180&lt;&gt;""""),ROWS(FILTER(Q$4:Q1180,Q$4:Q1180&lt;&gt;""""))),$AD$5+S1181))"),"")</f>
        <v/>
      </c>
      <c r="U1181" s="10" t="str">
        <f>IFERROR(__xludf.DUMMYFUNCTION("IF(COUNTA(Q1181:Q1644)=0,"""",IF(Q1181="""",0,IF(REGEXMATCH(Q1181,""^Sell_""),-ROUNDDOWN(ROUNDUP(INDEX(Upgrades!$C$3:$C$13,MATCH(SUBSTITUTE(Q1181,""Sell_"",""""),Upgrades!$B$3:$B$13,0))*1.15^(COUNTIF(Q$4:Q1180,SUBSTITUTE(Q1181,""Sell_"",""""))-COUNTIF(Q$4"&amp;":Q1180,""Sell_""&amp;SUBSTITUTE(Q1181,""Sell_"",""""))))/2),ROUNDUP(INDEX(Upgrades!$C$3:$C$13,MATCH(Q1181,Upgrades!$B$3:$B$13,0))*1.15^(COUNTIF(Q$4:Q1180,Q1181)-COUNTIF(Q$4:Q1180,""Sell_""&amp;Q1181))))))"),"")</f>
        <v/>
      </c>
      <c r="V1181" s="10" t="str">
        <f t="shared" si="11"/>
        <v/>
      </c>
      <c r="W1181" s="68" t="str">
        <f t="shared" si="12"/>
        <v/>
      </c>
      <c r="X1181" s="59" t="str">
        <f t="shared" si="13"/>
        <v/>
      </c>
      <c r="Y1181" s="69" t="str">
        <f t="shared" si="14"/>
        <v/>
      </c>
      <c r="Z1181" s="11"/>
      <c r="AG1181" s="59"/>
    </row>
    <row r="1182">
      <c r="A1182" s="8"/>
      <c r="B1182" s="56" t="str">
        <f t="shared" si="2"/>
        <v/>
      </c>
      <c r="C1182" s="105"/>
      <c r="D1182" s="10"/>
      <c r="E1182" s="59" t="str">
        <f t="array" ref="E1182">IF(COUNTA(C1182:C1644)=0,"",SUM((COUNTIF(C$4:C1182,Upgrades!$B$3:$B$13)-COUNTIF(C$4:C1182,"Sell_"&amp;Upgrades!$B$3:$B$13))*Upgrades!$D$3:$D$13))</f>
        <v/>
      </c>
      <c r="F1182" s="66" t="str">
        <f>IFERROR(__xludf.DUMMYFUNCTION("IF(COUNTA(C1182:C1644)=0,"""",IF(REGEXMATCH(INDEX(FILTER(C$4:C1182,C$4:C1182&lt;&gt;""""),ROWS(FILTER(C$4:C1182,C$4:C1182&lt;&gt;""""))),""^Sell_""),INDEX(FILTER(F$4:F1181,C$4:C1181&lt;&gt;""""),ROWS(FILTER(C$4:C1181,C$4:C1181&lt;&gt;""""))),$AC$5+E1182))"),"")</f>
        <v/>
      </c>
      <c r="G1182" s="10" t="str">
        <f>IFERROR(__xludf.DUMMYFUNCTION("IF(COUNTA(C1182:C1644)=0,"""",IF(C1182="""",0,IF(REGEXMATCH(C1182,""^Sell_""),-ROUNDDOWN(ROUNDUP(INDEX(Upgrades!$C$3:$C$13,MATCH(SUBSTITUTE(C1182,""Sell_"",""""),Upgrades!$B$3:$B$13,0))*1.15^(COUNTIF(C$4:C1181,SUBSTITUTE(C1182,""Sell_"",""""))-COUNTIF(C$4"&amp;":C1181,""Sell_""&amp;SUBSTITUTE(C1182,""Sell_"",""""))))/2),ROUNDUP(INDEX(Upgrades!$C$3:$C$13,MATCH(C1182,Upgrades!$B$3:$B$13,0))*1.15^(COUNTIF(C$4:C1181,C1182)-COUNTIF(C$4:C1181,""Sell_""&amp;C1182))))))"),"")</f>
        <v/>
      </c>
      <c r="H1182" s="10" t="str">
        <f t="shared" si="3"/>
        <v/>
      </c>
      <c r="I1182" s="68" t="str">
        <f t="shared" si="4"/>
        <v/>
      </c>
      <c r="J1182" s="59" t="str">
        <f t="shared" si="5"/>
        <v/>
      </c>
      <c r="K1182" s="69" t="str">
        <f t="shared" si="6"/>
        <v/>
      </c>
      <c r="L1182" s="60" t="str">
        <f t="shared" si="7"/>
        <v/>
      </c>
      <c r="M1182" s="61" t="str">
        <f>IFERROR(__xludf.DUMMYFUNCTION("IFS(AND(COUNTA(C1182:C1644)=0,COUNTA(Q1182:Q1644)=0),"""",OR(AND(K1182&gt;=1000000000,OR(Y1182&gt;=1000000000,COUNTA(Q1182:Q1644)=0)),OR(Y1182&gt;=1000000000,AND(COUNTA(C1182:C1644)=0,P$3=TRUE))),
ROUNDDOWN((AB$1-AC$1)*MAX(INDEX(T$4:T1644,MATCH(LARGE(FILTER(Y$4:Y1"&amp;"644,Y$4:Y1644&lt;1000000000),1),Y$4:Y1644)),INDEX(F$4:F1644,MATCH(LARGE(FILTER(K$4:K1644,K$4:K1644&lt;1000000000),1),K$4:K1644)))),AND(K1182&lt;1000000000,COUNTA(C1182:C1644)&gt;0,P$3=FALSE),
ROUNDDOWN(INDEX(Y$4:Y1644,MATCH(LARGE(FILTER(W$4:W1644,W$4:W1644&lt;=I1182),1)"&amp;",W$4:W1644))+(I1182-LARGE(FILTER(W$4:W1644,W$4:W1644&lt;=I1182),1))*INDEX(T$4:T1644,MATCH(LARGE(FILTER(W$4:W1644,W$4:W1644&lt;=I1182),1),W$4:W1644))-K1182),1,
ROUNDDOWN(Y1182-INDEX(K$4:K1644,MATCH(LARGE(FILTER(I$4:I1644,I$4:I1644&lt;=W1182),1),I$4:I1644))-(W1182-L"&amp;"ARGE(FILTER(I$4:I1644,I$4:I1644&lt;=W1182),1))*INDEX(F$4:F1644,MATCH(LARGE(FILTER(I$4:I1644,I$4:I1644&lt;=W1182),1),I$4:I1644))))"),"")</f>
        <v/>
      </c>
      <c r="N1182" s="60" t="str">
        <f t="shared" si="8"/>
        <v/>
      </c>
      <c r="O1182" s="61" t="str">
        <f t="shared" si="9"/>
        <v/>
      </c>
      <c r="P1182" s="56" t="str">
        <f t="shared" si="10"/>
        <v/>
      </c>
      <c r="Q1182" s="105"/>
      <c r="R1182" s="10"/>
      <c r="S1182" s="59" t="str">
        <f t="array" ref="S1182">IF(COUNTA(Q1182:Q1644)=0,"",SUM((COUNTIF(Q$4:Q1182,Upgrades!$B$3:$B$13)-COUNTIF(Q$4:Q1182,"Sell_"&amp;Upgrades!$B$3:$B$13))*Upgrades!$D$3:$D$13))</f>
        <v/>
      </c>
      <c r="T1182" s="66" t="str">
        <f>IFERROR(__xludf.DUMMYFUNCTION("IF(COUNTA(Q1182:Q1644)=0,"""",IF(REGEXMATCH(INDEX(FILTER(Q$4:Q1182,Q$4:Q1182&lt;&gt;""""),ROWS(FILTER(Q$4:Q1182,Q$4:Q1182&lt;&gt;""""))),""^Sell_""),INDEX(FILTER(T$4:T1181,Q$4:Q1181&lt;&gt;""""),ROWS(FILTER(Q$4:Q1181,Q$4:Q1181&lt;&gt;""""))),$AD$5+S1182))"),"")</f>
        <v/>
      </c>
      <c r="U1182" s="10" t="str">
        <f>IFERROR(__xludf.DUMMYFUNCTION("IF(COUNTA(Q1182:Q1644)=0,"""",IF(Q1182="""",0,IF(REGEXMATCH(Q1182,""^Sell_""),-ROUNDDOWN(ROUNDUP(INDEX(Upgrades!$C$3:$C$13,MATCH(SUBSTITUTE(Q1182,""Sell_"",""""),Upgrades!$B$3:$B$13,0))*1.15^(COUNTIF(Q$4:Q1181,SUBSTITUTE(Q1182,""Sell_"",""""))-COUNTIF(Q$4"&amp;":Q1181,""Sell_""&amp;SUBSTITUTE(Q1182,""Sell_"",""""))))/2),ROUNDUP(INDEX(Upgrades!$C$3:$C$13,MATCH(Q1182,Upgrades!$B$3:$B$13,0))*1.15^(COUNTIF(Q$4:Q1181,Q1182)-COUNTIF(Q$4:Q1181,""Sell_""&amp;Q1182))))))"),"")</f>
        <v/>
      </c>
      <c r="V1182" s="10" t="str">
        <f t="shared" si="11"/>
        <v/>
      </c>
      <c r="W1182" s="68" t="str">
        <f t="shared" si="12"/>
        <v/>
      </c>
      <c r="X1182" s="59" t="str">
        <f t="shared" si="13"/>
        <v/>
      </c>
      <c r="Y1182" s="69" t="str">
        <f t="shared" si="14"/>
        <v/>
      </c>
      <c r="Z1182" s="11"/>
      <c r="AG1182" s="59"/>
    </row>
    <row r="1183">
      <c r="A1183" s="8"/>
      <c r="B1183" s="56" t="str">
        <f t="shared" si="2"/>
        <v/>
      </c>
      <c r="C1183" s="105"/>
      <c r="D1183" s="10"/>
      <c r="E1183" s="59" t="str">
        <f t="array" ref="E1183">IF(COUNTA(C1183:C1644)=0,"",SUM((COUNTIF(C$4:C1183,Upgrades!$B$3:$B$13)-COUNTIF(C$4:C1183,"Sell_"&amp;Upgrades!$B$3:$B$13))*Upgrades!$D$3:$D$13))</f>
        <v/>
      </c>
      <c r="F1183" s="66" t="str">
        <f>IFERROR(__xludf.DUMMYFUNCTION("IF(COUNTA(C1183:C1644)=0,"""",IF(REGEXMATCH(INDEX(FILTER(C$4:C1183,C$4:C1183&lt;&gt;""""),ROWS(FILTER(C$4:C1183,C$4:C1183&lt;&gt;""""))),""^Sell_""),INDEX(FILTER(F$4:F1182,C$4:C1182&lt;&gt;""""),ROWS(FILTER(C$4:C1182,C$4:C1182&lt;&gt;""""))),$AC$5+E1183))"),"")</f>
        <v/>
      </c>
      <c r="G1183" s="10" t="str">
        <f>IFERROR(__xludf.DUMMYFUNCTION("IF(COUNTA(C1183:C1644)=0,"""",IF(C1183="""",0,IF(REGEXMATCH(C1183,""^Sell_""),-ROUNDDOWN(ROUNDUP(INDEX(Upgrades!$C$3:$C$13,MATCH(SUBSTITUTE(C1183,""Sell_"",""""),Upgrades!$B$3:$B$13,0))*1.15^(COUNTIF(C$4:C1182,SUBSTITUTE(C1183,""Sell_"",""""))-COUNTIF(C$4"&amp;":C1182,""Sell_""&amp;SUBSTITUTE(C1183,""Sell_"",""""))))/2),ROUNDUP(INDEX(Upgrades!$C$3:$C$13,MATCH(C1183,Upgrades!$B$3:$B$13,0))*1.15^(COUNTIF(C$4:C1182,C1183)-COUNTIF(C$4:C1182,""Sell_""&amp;C1183))))))"),"")</f>
        <v/>
      </c>
      <c r="H1183" s="10" t="str">
        <f t="shared" si="3"/>
        <v/>
      </c>
      <c r="I1183" s="68" t="str">
        <f t="shared" si="4"/>
        <v/>
      </c>
      <c r="J1183" s="59" t="str">
        <f t="shared" si="5"/>
        <v/>
      </c>
      <c r="K1183" s="69" t="str">
        <f t="shared" si="6"/>
        <v/>
      </c>
      <c r="L1183" s="60" t="str">
        <f t="shared" si="7"/>
        <v/>
      </c>
      <c r="M1183" s="61" t="str">
        <f>IFERROR(__xludf.DUMMYFUNCTION("IFS(AND(COUNTA(C1183:C1644)=0,COUNTA(Q1183:Q1644)=0),"""",OR(AND(K1183&gt;=1000000000,OR(Y1183&gt;=1000000000,COUNTA(Q1183:Q1644)=0)),OR(Y1183&gt;=1000000000,AND(COUNTA(C1183:C1644)=0,P$3=TRUE))),
ROUNDDOWN((AB$1-AC$1)*MAX(INDEX(T$4:T1644,MATCH(LARGE(FILTER(Y$4:Y1"&amp;"644,Y$4:Y1644&lt;1000000000),1),Y$4:Y1644)),INDEX(F$4:F1644,MATCH(LARGE(FILTER(K$4:K1644,K$4:K1644&lt;1000000000),1),K$4:K1644)))),AND(K1183&lt;1000000000,COUNTA(C1183:C1644)&gt;0,P$3=FALSE),
ROUNDDOWN(INDEX(Y$4:Y1644,MATCH(LARGE(FILTER(W$4:W1644,W$4:W1644&lt;=I1183),1)"&amp;",W$4:W1644))+(I1183-LARGE(FILTER(W$4:W1644,W$4:W1644&lt;=I1183),1))*INDEX(T$4:T1644,MATCH(LARGE(FILTER(W$4:W1644,W$4:W1644&lt;=I1183),1),W$4:W1644))-K1183),1,
ROUNDDOWN(Y1183-INDEX(K$4:K1644,MATCH(LARGE(FILTER(I$4:I1644,I$4:I1644&lt;=W1183),1),I$4:I1644))-(W1183-L"&amp;"ARGE(FILTER(I$4:I1644,I$4:I1644&lt;=W1183),1))*INDEX(F$4:F1644,MATCH(LARGE(FILTER(I$4:I1644,I$4:I1644&lt;=W1183),1),I$4:I1644))))"),"")</f>
        <v/>
      </c>
      <c r="N1183" s="60" t="str">
        <f t="shared" si="8"/>
        <v/>
      </c>
      <c r="O1183" s="61" t="str">
        <f t="shared" si="9"/>
        <v/>
      </c>
      <c r="P1183" s="56" t="str">
        <f t="shared" si="10"/>
        <v/>
      </c>
      <c r="Q1183" s="105"/>
      <c r="R1183" s="10"/>
      <c r="S1183" s="59" t="str">
        <f t="array" ref="S1183">IF(COUNTA(Q1183:Q1644)=0,"",SUM((COUNTIF(Q$4:Q1183,Upgrades!$B$3:$B$13)-COUNTIF(Q$4:Q1183,"Sell_"&amp;Upgrades!$B$3:$B$13))*Upgrades!$D$3:$D$13))</f>
        <v/>
      </c>
      <c r="T1183" s="66" t="str">
        <f>IFERROR(__xludf.DUMMYFUNCTION("IF(COUNTA(Q1183:Q1644)=0,"""",IF(REGEXMATCH(INDEX(FILTER(Q$4:Q1183,Q$4:Q1183&lt;&gt;""""),ROWS(FILTER(Q$4:Q1183,Q$4:Q1183&lt;&gt;""""))),""^Sell_""),INDEX(FILTER(T$4:T1182,Q$4:Q1182&lt;&gt;""""),ROWS(FILTER(Q$4:Q1182,Q$4:Q1182&lt;&gt;""""))),$AD$5+S1183))"),"")</f>
        <v/>
      </c>
      <c r="U1183" s="10" t="str">
        <f>IFERROR(__xludf.DUMMYFUNCTION("IF(COUNTA(Q1183:Q1644)=0,"""",IF(Q1183="""",0,IF(REGEXMATCH(Q1183,""^Sell_""),-ROUNDDOWN(ROUNDUP(INDEX(Upgrades!$C$3:$C$13,MATCH(SUBSTITUTE(Q1183,""Sell_"",""""),Upgrades!$B$3:$B$13,0))*1.15^(COUNTIF(Q$4:Q1182,SUBSTITUTE(Q1183,""Sell_"",""""))-COUNTIF(Q$4"&amp;":Q1182,""Sell_""&amp;SUBSTITUTE(Q1183,""Sell_"",""""))))/2),ROUNDUP(INDEX(Upgrades!$C$3:$C$13,MATCH(Q1183,Upgrades!$B$3:$B$13,0))*1.15^(COUNTIF(Q$4:Q1182,Q1183)-COUNTIF(Q$4:Q1182,""Sell_""&amp;Q1183))))))"),"")</f>
        <v/>
      </c>
      <c r="V1183" s="10" t="str">
        <f t="shared" si="11"/>
        <v/>
      </c>
      <c r="W1183" s="68" t="str">
        <f t="shared" si="12"/>
        <v/>
      </c>
      <c r="X1183" s="59" t="str">
        <f t="shared" si="13"/>
        <v/>
      </c>
      <c r="Y1183" s="69" t="str">
        <f t="shared" si="14"/>
        <v/>
      </c>
      <c r="Z1183" s="11"/>
      <c r="AG1183" s="59"/>
    </row>
    <row r="1184">
      <c r="A1184" s="8"/>
      <c r="B1184" s="56" t="str">
        <f t="shared" si="2"/>
        <v/>
      </c>
      <c r="C1184" s="105"/>
      <c r="D1184" s="10"/>
      <c r="E1184" s="59" t="str">
        <f t="array" ref="E1184">IF(COUNTA(C1184:C1644)=0,"",SUM((COUNTIF(C$4:C1184,Upgrades!$B$3:$B$13)-COUNTIF(C$4:C1184,"Sell_"&amp;Upgrades!$B$3:$B$13))*Upgrades!$D$3:$D$13))</f>
        <v/>
      </c>
      <c r="F1184" s="66" t="str">
        <f>IFERROR(__xludf.DUMMYFUNCTION("IF(COUNTA(C1184:C1644)=0,"""",IF(REGEXMATCH(INDEX(FILTER(C$4:C1184,C$4:C1184&lt;&gt;""""),ROWS(FILTER(C$4:C1184,C$4:C1184&lt;&gt;""""))),""^Sell_""),INDEX(FILTER(F$4:F1183,C$4:C1183&lt;&gt;""""),ROWS(FILTER(C$4:C1183,C$4:C1183&lt;&gt;""""))),$AC$5+E1184))"),"")</f>
        <v/>
      </c>
      <c r="G1184" s="10" t="str">
        <f>IFERROR(__xludf.DUMMYFUNCTION("IF(COUNTA(C1184:C1644)=0,"""",IF(C1184="""",0,IF(REGEXMATCH(C1184,""^Sell_""),-ROUNDDOWN(ROUNDUP(INDEX(Upgrades!$C$3:$C$13,MATCH(SUBSTITUTE(C1184,""Sell_"",""""),Upgrades!$B$3:$B$13,0))*1.15^(COUNTIF(C$4:C1183,SUBSTITUTE(C1184,""Sell_"",""""))-COUNTIF(C$4"&amp;":C1183,""Sell_""&amp;SUBSTITUTE(C1184,""Sell_"",""""))))/2),ROUNDUP(INDEX(Upgrades!$C$3:$C$13,MATCH(C1184,Upgrades!$B$3:$B$13,0))*1.15^(COUNTIF(C$4:C1183,C1184)-COUNTIF(C$4:C1183,""Sell_""&amp;C1184))))))"),"")</f>
        <v/>
      </c>
      <c r="H1184" s="10" t="str">
        <f t="shared" si="3"/>
        <v/>
      </c>
      <c r="I1184" s="68" t="str">
        <f t="shared" si="4"/>
        <v/>
      </c>
      <c r="J1184" s="59" t="str">
        <f t="shared" si="5"/>
        <v/>
      </c>
      <c r="K1184" s="69" t="str">
        <f t="shared" si="6"/>
        <v/>
      </c>
      <c r="L1184" s="60" t="str">
        <f t="shared" si="7"/>
        <v/>
      </c>
      <c r="M1184" s="61" t="str">
        <f>IFERROR(__xludf.DUMMYFUNCTION("IFS(AND(COUNTA(C1184:C1644)=0,COUNTA(Q1184:Q1644)=0),"""",OR(AND(K1184&gt;=1000000000,OR(Y1184&gt;=1000000000,COUNTA(Q1184:Q1644)=0)),OR(Y1184&gt;=1000000000,AND(COUNTA(C1184:C1644)=0,P$3=TRUE))),
ROUNDDOWN((AB$1-AC$1)*MAX(INDEX(T$4:T1644,MATCH(LARGE(FILTER(Y$4:Y1"&amp;"644,Y$4:Y1644&lt;1000000000),1),Y$4:Y1644)),INDEX(F$4:F1644,MATCH(LARGE(FILTER(K$4:K1644,K$4:K1644&lt;1000000000),1),K$4:K1644)))),AND(K1184&lt;1000000000,COUNTA(C1184:C1644)&gt;0,P$3=FALSE),
ROUNDDOWN(INDEX(Y$4:Y1644,MATCH(LARGE(FILTER(W$4:W1644,W$4:W1644&lt;=I1184),1)"&amp;",W$4:W1644))+(I1184-LARGE(FILTER(W$4:W1644,W$4:W1644&lt;=I1184),1))*INDEX(T$4:T1644,MATCH(LARGE(FILTER(W$4:W1644,W$4:W1644&lt;=I1184),1),W$4:W1644))-K1184),1,
ROUNDDOWN(Y1184-INDEX(K$4:K1644,MATCH(LARGE(FILTER(I$4:I1644,I$4:I1644&lt;=W1184),1),I$4:I1644))-(W1184-L"&amp;"ARGE(FILTER(I$4:I1644,I$4:I1644&lt;=W1184),1))*INDEX(F$4:F1644,MATCH(LARGE(FILTER(I$4:I1644,I$4:I1644&lt;=W1184),1),I$4:I1644))))"),"")</f>
        <v/>
      </c>
      <c r="N1184" s="60" t="str">
        <f t="shared" si="8"/>
        <v/>
      </c>
      <c r="O1184" s="61" t="str">
        <f t="shared" si="9"/>
        <v/>
      </c>
      <c r="P1184" s="56" t="str">
        <f t="shared" si="10"/>
        <v/>
      </c>
      <c r="Q1184" s="105"/>
      <c r="R1184" s="10"/>
      <c r="S1184" s="59" t="str">
        <f t="array" ref="S1184">IF(COUNTA(Q1184:Q1644)=0,"",SUM((COUNTIF(Q$4:Q1184,Upgrades!$B$3:$B$13)-COUNTIF(Q$4:Q1184,"Sell_"&amp;Upgrades!$B$3:$B$13))*Upgrades!$D$3:$D$13))</f>
        <v/>
      </c>
      <c r="T1184" s="66" t="str">
        <f>IFERROR(__xludf.DUMMYFUNCTION("IF(COUNTA(Q1184:Q1644)=0,"""",IF(REGEXMATCH(INDEX(FILTER(Q$4:Q1184,Q$4:Q1184&lt;&gt;""""),ROWS(FILTER(Q$4:Q1184,Q$4:Q1184&lt;&gt;""""))),""^Sell_""),INDEX(FILTER(T$4:T1183,Q$4:Q1183&lt;&gt;""""),ROWS(FILTER(Q$4:Q1183,Q$4:Q1183&lt;&gt;""""))),$AD$5+S1184))"),"")</f>
        <v/>
      </c>
      <c r="U1184" s="10" t="str">
        <f>IFERROR(__xludf.DUMMYFUNCTION("IF(COUNTA(Q1184:Q1644)=0,"""",IF(Q1184="""",0,IF(REGEXMATCH(Q1184,""^Sell_""),-ROUNDDOWN(ROUNDUP(INDEX(Upgrades!$C$3:$C$13,MATCH(SUBSTITUTE(Q1184,""Sell_"",""""),Upgrades!$B$3:$B$13,0))*1.15^(COUNTIF(Q$4:Q1183,SUBSTITUTE(Q1184,""Sell_"",""""))-COUNTIF(Q$4"&amp;":Q1183,""Sell_""&amp;SUBSTITUTE(Q1184,""Sell_"",""""))))/2),ROUNDUP(INDEX(Upgrades!$C$3:$C$13,MATCH(Q1184,Upgrades!$B$3:$B$13,0))*1.15^(COUNTIF(Q$4:Q1183,Q1184)-COUNTIF(Q$4:Q1183,""Sell_""&amp;Q1184))))))"),"")</f>
        <v/>
      </c>
      <c r="V1184" s="10" t="str">
        <f t="shared" si="11"/>
        <v/>
      </c>
      <c r="W1184" s="68" t="str">
        <f t="shared" si="12"/>
        <v/>
      </c>
      <c r="X1184" s="59" t="str">
        <f t="shared" si="13"/>
        <v/>
      </c>
      <c r="Y1184" s="69" t="str">
        <f t="shared" si="14"/>
        <v/>
      </c>
      <c r="Z1184" s="11"/>
      <c r="AG1184" s="59"/>
    </row>
    <row r="1185">
      <c r="A1185" s="8"/>
      <c r="B1185" s="56" t="str">
        <f t="shared" si="2"/>
        <v/>
      </c>
      <c r="C1185" s="105"/>
      <c r="D1185" s="10"/>
      <c r="E1185" s="59" t="str">
        <f t="array" ref="E1185">IF(COUNTA(C1185:C1644)=0,"",SUM((COUNTIF(C$4:C1185,Upgrades!$B$3:$B$13)-COUNTIF(C$4:C1185,"Sell_"&amp;Upgrades!$B$3:$B$13))*Upgrades!$D$3:$D$13))</f>
        <v/>
      </c>
      <c r="F1185" s="66" t="str">
        <f>IFERROR(__xludf.DUMMYFUNCTION("IF(COUNTA(C1185:C1644)=0,"""",IF(REGEXMATCH(INDEX(FILTER(C$4:C1185,C$4:C1185&lt;&gt;""""),ROWS(FILTER(C$4:C1185,C$4:C1185&lt;&gt;""""))),""^Sell_""),INDEX(FILTER(F$4:F1184,C$4:C1184&lt;&gt;""""),ROWS(FILTER(C$4:C1184,C$4:C1184&lt;&gt;""""))),$AC$5+E1185))"),"")</f>
        <v/>
      </c>
      <c r="G1185" s="10" t="str">
        <f>IFERROR(__xludf.DUMMYFUNCTION("IF(COUNTA(C1185:C1644)=0,"""",IF(C1185="""",0,IF(REGEXMATCH(C1185,""^Sell_""),-ROUNDDOWN(ROUNDUP(INDEX(Upgrades!$C$3:$C$13,MATCH(SUBSTITUTE(C1185,""Sell_"",""""),Upgrades!$B$3:$B$13,0))*1.15^(COUNTIF(C$4:C1184,SUBSTITUTE(C1185,""Sell_"",""""))-COUNTIF(C$4"&amp;":C1184,""Sell_""&amp;SUBSTITUTE(C1185,""Sell_"",""""))))/2),ROUNDUP(INDEX(Upgrades!$C$3:$C$13,MATCH(C1185,Upgrades!$B$3:$B$13,0))*1.15^(COUNTIF(C$4:C1184,C1185)-COUNTIF(C$4:C1184,""Sell_""&amp;C1185))))))"),"")</f>
        <v/>
      </c>
      <c r="H1185" s="10" t="str">
        <f t="shared" si="3"/>
        <v/>
      </c>
      <c r="I1185" s="68" t="str">
        <f t="shared" si="4"/>
        <v/>
      </c>
      <c r="J1185" s="59" t="str">
        <f t="shared" si="5"/>
        <v/>
      </c>
      <c r="K1185" s="69" t="str">
        <f t="shared" si="6"/>
        <v/>
      </c>
      <c r="L1185" s="60" t="str">
        <f t="shared" si="7"/>
        <v/>
      </c>
      <c r="M1185" s="61" t="str">
        <f>IFERROR(__xludf.DUMMYFUNCTION("IFS(AND(COUNTA(C1185:C1644)=0,COUNTA(Q1185:Q1644)=0),"""",OR(AND(K1185&gt;=1000000000,OR(Y1185&gt;=1000000000,COUNTA(Q1185:Q1644)=0)),OR(Y1185&gt;=1000000000,AND(COUNTA(C1185:C1644)=0,P$3=TRUE))),
ROUNDDOWN((AB$1-AC$1)*MAX(INDEX(T$4:T1644,MATCH(LARGE(FILTER(Y$4:Y1"&amp;"644,Y$4:Y1644&lt;1000000000),1),Y$4:Y1644)),INDEX(F$4:F1644,MATCH(LARGE(FILTER(K$4:K1644,K$4:K1644&lt;1000000000),1),K$4:K1644)))),AND(K1185&lt;1000000000,COUNTA(C1185:C1644)&gt;0,P$3=FALSE),
ROUNDDOWN(INDEX(Y$4:Y1644,MATCH(LARGE(FILTER(W$4:W1644,W$4:W1644&lt;=I1185),1)"&amp;",W$4:W1644))+(I1185-LARGE(FILTER(W$4:W1644,W$4:W1644&lt;=I1185),1))*INDEX(T$4:T1644,MATCH(LARGE(FILTER(W$4:W1644,W$4:W1644&lt;=I1185),1),W$4:W1644))-K1185),1,
ROUNDDOWN(Y1185-INDEX(K$4:K1644,MATCH(LARGE(FILTER(I$4:I1644,I$4:I1644&lt;=W1185),1),I$4:I1644))-(W1185-L"&amp;"ARGE(FILTER(I$4:I1644,I$4:I1644&lt;=W1185),1))*INDEX(F$4:F1644,MATCH(LARGE(FILTER(I$4:I1644,I$4:I1644&lt;=W1185),1),I$4:I1644))))"),"")</f>
        <v/>
      </c>
      <c r="N1185" s="60" t="str">
        <f t="shared" si="8"/>
        <v/>
      </c>
      <c r="O1185" s="61" t="str">
        <f t="shared" si="9"/>
        <v/>
      </c>
      <c r="P1185" s="56" t="str">
        <f t="shared" si="10"/>
        <v/>
      </c>
      <c r="Q1185" s="105"/>
      <c r="R1185" s="10"/>
      <c r="S1185" s="59" t="str">
        <f t="array" ref="S1185">IF(COUNTA(Q1185:Q1644)=0,"",SUM((COUNTIF(Q$4:Q1185,Upgrades!$B$3:$B$13)-COUNTIF(Q$4:Q1185,"Sell_"&amp;Upgrades!$B$3:$B$13))*Upgrades!$D$3:$D$13))</f>
        <v/>
      </c>
      <c r="T1185" s="66" t="str">
        <f>IFERROR(__xludf.DUMMYFUNCTION("IF(COUNTA(Q1185:Q1644)=0,"""",IF(REGEXMATCH(INDEX(FILTER(Q$4:Q1185,Q$4:Q1185&lt;&gt;""""),ROWS(FILTER(Q$4:Q1185,Q$4:Q1185&lt;&gt;""""))),""^Sell_""),INDEX(FILTER(T$4:T1184,Q$4:Q1184&lt;&gt;""""),ROWS(FILTER(Q$4:Q1184,Q$4:Q1184&lt;&gt;""""))),$AD$5+S1185))"),"")</f>
        <v/>
      </c>
      <c r="U1185" s="10" t="str">
        <f>IFERROR(__xludf.DUMMYFUNCTION("IF(COUNTA(Q1185:Q1644)=0,"""",IF(Q1185="""",0,IF(REGEXMATCH(Q1185,""^Sell_""),-ROUNDDOWN(ROUNDUP(INDEX(Upgrades!$C$3:$C$13,MATCH(SUBSTITUTE(Q1185,""Sell_"",""""),Upgrades!$B$3:$B$13,0))*1.15^(COUNTIF(Q$4:Q1184,SUBSTITUTE(Q1185,""Sell_"",""""))-COUNTIF(Q$4"&amp;":Q1184,""Sell_""&amp;SUBSTITUTE(Q1185,""Sell_"",""""))))/2),ROUNDUP(INDEX(Upgrades!$C$3:$C$13,MATCH(Q1185,Upgrades!$B$3:$B$13,0))*1.15^(COUNTIF(Q$4:Q1184,Q1185)-COUNTIF(Q$4:Q1184,""Sell_""&amp;Q1185))))))"),"")</f>
        <v/>
      </c>
      <c r="V1185" s="10" t="str">
        <f t="shared" si="11"/>
        <v/>
      </c>
      <c r="W1185" s="68" t="str">
        <f t="shared" si="12"/>
        <v/>
      </c>
      <c r="X1185" s="59" t="str">
        <f t="shared" si="13"/>
        <v/>
      </c>
      <c r="Y1185" s="69" t="str">
        <f t="shared" si="14"/>
        <v/>
      </c>
      <c r="Z1185" s="11"/>
      <c r="AG1185" s="59"/>
    </row>
    <row r="1186">
      <c r="A1186" s="8"/>
      <c r="B1186" s="56" t="str">
        <f t="shared" si="2"/>
        <v/>
      </c>
      <c r="C1186" s="105"/>
      <c r="D1186" s="10"/>
      <c r="E1186" s="59" t="str">
        <f t="array" ref="E1186">IF(COUNTA(C1186:C1644)=0,"",SUM((COUNTIF(C$4:C1186,Upgrades!$B$3:$B$13)-COUNTIF(C$4:C1186,"Sell_"&amp;Upgrades!$B$3:$B$13))*Upgrades!$D$3:$D$13))</f>
        <v/>
      </c>
      <c r="F1186" s="66" t="str">
        <f>IFERROR(__xludf.DUMMYFUNCTION("IF(COUNTA(C1186:C1644)=0,"""",IF(REGEXMATCH(INDEX(FILTER(C$4:C1186,C$4:C1186&lt;&gt;""""),ROWS(FILTER(C$4:C1186,C$4:C1186&lt;&gt;""""))),""^Sell_""),INDEX(FILTER(F$4:F1185,C$4:C1185&lt;&gt;""""),ROWS(FILTER(C$4:C1185,C$4:C1185&lt;&gt;""""))),$AC$5+E1186))"),"")</f>
        <v/>
      </c>
      <c r="G1186" s="10" t="str">
        <f>IFERROR(__xludf.DUMMYFUNCTION("IF(COUNTA(C1186:C1644)=0,"""",IF(C1186="""",0,IF(REGEXMATCH(C1186,""^Sell_""),-ROUNDDOWN(ROUNDUP(INDEX(Upgrades!$C$3:$C$13,MATCH(SUBSTITUTE(C1186,""Sell_"",""""),Upgrades!$B$3:$B$13,0))*1.15^(COUNTIF(C$4:C1185,SUBSTITUTE(C1186,""Sell_"",""""))-COUNTIF(C$4"&amp;":C1185,""Sell_""&amp;SUBSTITUTE(C1186,""Sell_"",""""))))/2),ROUNDUP(INDEX(Upgrades!$C$3:$C$13,MATCH(C1186,Upgrades!$B$3:$B$13,0))*1.15^(COUNTIF(C$4:C1185,C1186)-COUNTIF(C$4:C1185,""Sell_""&amp;C1186))))))"),"")</f>
        <v/>
      </c>
      <c r="H1186" s="10" t="str">
        <f t="shared" si="3"/>
        <v/>
      </c>
      <c r="I1186" s="68" t="str">
        <f t="shared" si="4"/>
        <v/>
      </c>
      <c r="J1186" s="59" t="str">
        <f t="shared" si="5"/>
        <v/>
      </c>
      <c r="K1186" s="69" t="str">
        <f t="shared" si="6"/>
        <v/>
      </c>
      <c r="L1186" s="60" t="str">
        <f t="shared" si="7"/>
        <v/>
      </c>
      <c r="M1186" s="61" t="str">
        <f>IFERROR(__xludf.DUMMYFUNCTION("IFS(AND(COUNTA(C1186:C1644)=0,COUNTA(Q1186:Q1644)=0),"""",OR(AND(K1186&gt;=1000000000,OR(Y1186&gt;=1000000000,COUNTA(Q1186:Q1644)=0)),OR(Y1186&gt;=1000000000,AND(COUNTA(C1186:C1644)=0,P$3=TRUE))),
ROUNDDOWN((AB$1-AC$1)*MAX(INDEX(T$4:T1644,MATCH(LARGE(FILTER(Y$4:Y1"&amp;"644,Y$4:Y1644&lt;1000000000),1),Y$4:Y1644)),INDEX(F$4:F1644,MATCH(LARGE(FILTER(K$4:K1644,K$4:K1644&lt;1000000000),1),K$4:K1644)))),AND(K1186&lt;1000000000,COUNTA(C1186:C1644)&gt;0,P$3=FALSE),
ROUNDDOWN(INDEX(Y$4:Y1644,MATCH(LARGE(FILTER(W$4:W1644,W$4:W1644&lt;=I1186),1)"&amp;",W$4:W1644))+(I1186-LARGE(FILTER(W$4:W1644,W$4:W1644&lt;=I1186),1))*INDEX(T$4:T1644,MATCH(LARGE(FILTER(W$4:W1644,W$4:W1644&lt;=I1186),1),W$4:W1644))-K1186),1,
ROUNDDOWN(Y1186-INDEX(K$4:K1644,MATCH(LARGE(FILTER(I$4:I1644,I$4:I1644&lt;=W1186),1),I$4:I1644))-(W1186-L"&amp;"ARGE(FILTER(I$4:I1644,I$4:I1644&lt;=W1186),1))*INDEX(F$4:F1644,MATCH(LARGE(FILTER(I$4:I1644,I$4:I1644&lt;=W1186),1),I$4:I1644))))"),"")</f>
        <v/>
      </c>
      <c r="N1186" s="60" t="str">
        <f t="shared" si="8"/>
        <v/>
      </c>
      <c r="O1186" s="61" t="str">
        <f t="shared" si="9"/>
        <v/>
      </c>
      <c r="P1186" s="56" t="str">
        <f t="shared" si="10"/>
        <v/>
      </c>
      <c r="Q1186" s="105"/>
      <c r="R1186" s="10"/>
      <c r="S1186" s="59" t="str">
        <f t="array" ref="S1186">IF(COUNTA(Q1186:Q1644)=0,"",SUM((COUNTIF(Q$4:Q1186,Upgrades!$B$3:$B$13)-COUNTIF(Q$4:Q1186,"Sell_"&amp;Upgrades!$B$3:$B$13))*Upgrades!$D$3:$D$13))</f>
        <v/>
      </c>
      <c r="T1186" s="66" t="str">
        <f>IFERROR(__xludf.DUMMYFUNCTION("IF(COUNTA(Q1186:Q1644)=0,"""",IF(REGEXMATCH(INDEX(FILTER(Q$4:Q1186,Q$4:Q1186&lt;&gt;""""),ROWS(FILTER(Q$4:Q1186,Q$4:Q1186&lt;&gt;""""))),""^Sell_""),INDEX(FILTER(T$4:T1185,Q$4:Q1185&lt;&gt;""""),ROWS(FILTER(Q$4:Q1185,Q$4:Q1185&lt;&gt;""""))),$AD$5+S1186))"),"")</f>
        <v/>
      </c>
      <c r="U1186" s="10" t="str">
        <f>IFERROR(__xludf.DUMMYFUNCTION("IF(COUNTA(Q1186:Q1644)=0,"""",IF(Q1186="""",0,IF(REGEXMATCH(Q1186,""^Sell_""),-ROUNDDOWN(ROUNDUP(INDEX(Upgrades!$C$3:$C$13,MATCH(SUBSTITUTE(Q1186,""Sell_"",""""),Upgrades!$B$3:$B$13,0))*1.15^(COUNTIF(Q$4:Q1185,SUBSTITUTE(Q1186,""Sell_"",""""))-COUNTIF(Q$4"&amp;":Q1185,""Sell_""&amp;SUBSTITUTE(Q1186,""Sell_"",""""))))/2),ROUNDUP(INDEX(Upgrades!$C$3:$C$13,MATCH(Q1186,Upgrades!$B$3:$B$13,0))*1.15^(COUNTIF(Q$4:Q1185,Q1186)-COUNTIF(Q$4:Q1185,""Sell_""&amp;Q1186))))))"),"")</f>
        <v/>
      </c>
      <c r="V1186" s="10" t="str">
        <f t="shared" si="11"/>
        <v/>
      </c>
      <c r="W1186" s="68" t="str">
        <f t="shared" si="12"/>
        <v/>
      </c>
      <c r="X1186" s="59" t="str">
        <f t="shared" si="13"/>
        <v/>
      </c>
      <c r="Y1186" s="69" t="str">
        <f t="shared" si="14"/>
        <v/>
      </c>
      <c r="Z1186" s="11"/>
      <c r="AG1186" s="59"/>
    </row>
    <row r="1187">
      <c r="A1187" s="8"/>
      <c r="B1187" s="56" t="str">
        <f t="shared" si="2"/>
        <v/>
      </c>
      <c r="C1187" s="105"/>
      <c r="D1187" s="10"/>
      <c r="E1187" s="59" t="str">
        <f t="array" ref="E1187">IF(COUNTA(C1187:C1644)=0,"",SUM((COUNTIF(C$4:C1187,Upgrades!$B$3:$B$13)-COUNTIF(C$4:C1187,"Sell_"&amp;Upgrades!$B$3:$B$13))*Upgrades!$D$3:$D$13))</f>
        <v/>
      </c>
      <c r="F1187" s="66" t="str">
        <f>IFERROR(__xludf.DUMMYFUNCTION("IF(COUNTA(C1187:C1644)=0,"""",IF(REGEXMATCH(INDEX(FILTER(C$4:C1187,C$4:C1187&lt;&gt;""""),ROWS(FILTER(C$4:C1187,C$4:C1187&lt;&gt;""""))),""^Sell_""),INDEX(FILTER(F$4:F1186,C$4:C1186&lt;&gt;""""),ROWS(FILTER(C$4:C1186,C$4:C1186&lt;&gt;""""))),$AC$5+E1187))"),"")</f>
        <v/>
      </c>
      <c r="G1187" s="10" t="str">
        <f>IFERROR(__xludf.DUMMYFUNCTION("IF(COUNTA(C1187:C1644)=0,"""",IF(C1187="""",0,IF(REGEXMATCH(C1187,""^Sell_""),-ROUNDDOWN(ROUNDUP(INDEX(Upgrades!$C$3:$C$13,MATCH(SUBSTITUTE(C1187,""Sell_"",""""),Upgrades!$B$3:$B$13,0))*1.15^(COUNTIF(C$4:C1186,SUBSTITUTE(C1187,""Sell_"",""""))-COUNTIF(C$4"&amp;":C1186,""Sell_""&amp;SUBSTITUTE(C1187,""Sell_"",""""))))/2),ROUNDUP(INDEX(Upgrades!$C$3:$C$13,MATCH(C1187,Upgrades!$B$3:$B$13,0))*1.15^(COUNTIF(C$4:C1186,C1187)-COUNTIF(C$4:C1186,""Sell_""&amp;C1187))))))"),"")</f>
        <v/>
      </c>
      <c r="H1187" s="10" t="str">
        <f t="shared" si="3"/>
        <v/>
      </c>
      <c r="I1187" s="68" t="str">
        <f t="shared" si="4"/>
        <v/>
      </c>
      <c r="J1187" s="59" t="str">
        <f t="shared" si="5"/>
        <v/>
      </c>
      <c r="K1187" s="69" t="str">
        <f t="shared" si="6"/>
        <v/>
      </c>
      <c r="L1187" s="60" t="str">
        <f t="shared" si="7"/>
        <v/>
      </c>
      <c r="M1187" s="61" t="str">
        <f>IFERROR(__xludf.DUMMYFUNCTION("IFS(AND(COUNTA(C1187:C1644)=0,COUNTA(Q1187:Q1644)=0),"""",OR(AND(K1187&gt;=1000000000,OR(Y1187&gt;=1000000000,COUNTA(Q1187:Q1644)=0)),OR(Y1187&gt;=1000000000,AND(COUNTA(C1187:C1644)=0,P$3=TRUE))),
ROUNDDOWN((AB$1-AC$1)*MAX(INDEX(T$4:T1644,MATCH(LARGE(FILTER(Y$4:Y1"&amp;"644,Y$4:Y1644&lt;1000000000),1),Y$4:Y1644)),INDEX(F$4:F1644,MATCH(LARGE(FILTER(K$4:K1644,K$4:K1644&lt;1000000000),1),K$4:K1644)))),AND(K1187&lt;1000000000,COUNTA(C1187:C1644)&gt;0,P$3=FALSE),
ROUNDDOWN(INDEX(Y$4:Y1644,MATCH(LARGE(FILTER(W$4:W1644,W$4:W1644&lt;=I1187),1)"&amp;",W$4:W1644))+(I1187-LARGE(FILTER(W$4:W1644,W$4:W1644&lt;=I1187),1))*INDEX(T$4:T1644,MATCH(LARGE(FILTER(W$4:W1644,W$4:W1644&lt;=I1187),1),W$4:W1644))-K1187),1,
ROUNDDOWN(Y1187-INDEX(K$4:K1644,MATCH(LARGE(FILTER(I$4:I1644,I$4:I1644&lt;=W1187),1),I$4:I1644))-(W1187-L"&amp;"ARGE(FILTER(I$4:I1644,I$4:I1644&lt;=W1187),1))*INDEX(F$4:F1644,MATCH(LARGE(FILTER(I$4:I1644,I$4:I1644&lt;=W1187),1),I$4:I1644))))"),"")</f>
        <v/>
      </c>
      <c r="N1187" s="60" t="str">
        <f t="shared" si="8"/>
        <v/>
      </c>
      <c r="O1187" s="61" t="str">
        <f t="shared" si="9"/>
        <v/>
      </c>
      <c r="P1187" s="56" t="str">
        <f t="shared" si="10"/>
        <v/>
      </c>
      <c r="Q1187" s="105"/>
      <c r="R1187" s="10"/>
      <c r="S1187" s="59" t="str">
        <f t="array" ref="S1187">IF(COUNTA(Q1187:Q1644)=0,"",SUM((COUNTIF(Q$4:Q1187,Upgrades!$B$3:$B$13)-COUNTIF(Q$4:Q1187,"Sell_"&amp;Upgrades!$B$3:$B$13))*Upgrades!$D$3:$D$13))</f>
        <v/>
      </c>
      <c r="T1187" s="66" t="str">
        <f>IFERROR(__xludf.DUMMYFUNCTION("IF(COUNTA(Q1187:Q1644)=0,"""",IF(REGEXMATCH(INDEX(FILTER(Q$4:Q1187,Q$4:Q1187&lt;&gt;""""),ROWS(FILTER(Q$4:Q1187,Q$4:Q1187&lt;&gt;""""))),""^Sell_""),INDEX(FILTER(T$4:T1186,Q$4:Q1186&lt;&gt;""""),ROWS(FILTER(Q$4:Q1186,Q$4:Q1186&lt;&gt;""""))),$AD$5+S1187))"),"")</f>
        <v/>
      </c>
      <c r="U1187" s="10" t="str">
        <f>IFERROR(__xludf.DUMMYFUNCTION("IF(COUNTA(Q1187:Q1644)=0,"""",IF(Q1187="""",0,IF(REGEXMATCH(Q1187,""^Sell_""),-ROUNDDOWN(ROUNDUP(INDEX(Upgrades!$C$3:$C$13,MATCH(SUBSTITUTE(Q1187,""Sell_"",""""),Upgrades!$B$3:$B$13,0))*1.15^(COUNTIF(Q$4:Q1186,SUBSTITUTE(Q1187,""Sell_"",""""))-COUNTIF(Q$4"&amp;":Q1186,""Sell_""&amp;SUBSTITUTE(Q1187,""Sell_"",""""))))/2),ROUNDUP(INDEX(Upgrades!$C$3:$C$13,MATCH(Q1187,Upgrades!$B$3:$B$13,0))*1.15^(COUNTIF(Q$4:Q1186,Q1187)-COUNTIF(Q$4:Q1186,""Sell_""&amp;Q1187))))))"),"")</f>
        <v/>
      </c>
      <c r="V1187" s="10" t="str">
        <f t="shared" si="11"/>
        <v/>
      </c>
      <c r="W1187" s="68" t="str">
        <f t="shared" si="12"/>
        <v/>
      </c>
      <c r="X1187" s="59" t="str">
        <f t="shared" si="13"/>
        <v/>
      </c>
      <c r="Y1187" s="69" t="str">
        <f t="shared" si="14"/>
        <v/>
      </c>
      <c r="Z1187" s="11"/>
      <c r="AG1187" s="59"/>
    </row>
    <row r="1188">
      <c r="A1188" s="8"/>
      <c r="B1188" s="56" t="str">
        <f t="shared" si="2"/>
        <v/>
      </c>
      <c r="C1188" s="105"/>
      <c r="D1188" s="10"/>
      <c r="E1188" s="59" t="str">
        <f t="array" ref="E1188">IF(COUNTA(C1188:C1644)=0,"",SUM((COUNTIF(C$4:C1188,Upgrades!$B$3:$B$13)-COUNTIF(C$4:C1188,"Sell_"&amp;Upgrades!$B$3:$B$13))*Upgrades!$D$3:$D$13))</f>
        <v/>
      </c>
      <c r="F1188" s="66" t="str">
        <f>IFERROR(__xludf.DUMMYFUNCTION("IF(COUNTA(C1188:C1644)=0,"""",IF(REGEXMATCH(INDEX(FILTER(C$4:C1188,C$4:C1188&lt;&gt;""""),ROWS(FILTER(C$4:C1188,C$4:C1188&lt;&gt;""""))),""^Sell_""),INDEX(FILTER(F$4:F1187,C$4:C1187&lt;&gt;""""),ROWS(FILTER(C$4:C1187,C$4:C1187&lt;&gt;""""))),$AC$5+E1188))"),"")</f>
        <v/>
      </c>
      <c r="G1188" s="10" t="str">
        <f>IFERROR(__xludf.DUMMYFUNCTION("IF(COUNTA(C1188:C1644)=0,"""",IF(C1188="""",0,IF(REGEXMATCH(C1188,""^Sell_""),-ROUNDDOWN(ROUNDUP(INDEX(Upgrades!$C$3:$C$13,MATCH(SUBSTITUTE(C1188,""Sell_"",""""),Upgrades!$B$3:$B$13,0))*1.15^(COUNTIF(C$4:C1187,SUBSTITUTE(C1188,""Sell_"",""""))-COUNTIF(C$4"&amp;":C1187,""Sell_""&amp;SUBSTITUTE(C1188,""Sell_"",""""))))/2),ROUNDUP(INDEX(Upgrades!$C$3:$C$13,MATCH(C1188,Upgrades!$B$3:$B$13,0))*1.15^(COUNTIF(C$4:C1187,C1188)-COUNTIF(C$4:C1187,""Sell_""&amp;C1188))))))"),"")</f>
        <v/>
      </c>
      <c r="H1188" s="10" t="str">
        <f t="shared" si="3"/>
        <v/>
      </c>
      <c r="I1188" s="68" t="str">
        <f t="shared" si="4"/>
        <v/>
      </c>
      <c r="J1188" s="59" t="str">
        <f t="shared" si="5"/>
        <v/>
      </c>
      <c r="K1188" s="69" t="str">
        <f t="shared" si="6"/>
        <v/>
      </c>
      <c r="L1188" s="60" t="str">
        <f t="shared" si="7"/>
        <v/>
      </c>
      <c r="M1188" s="61" t="str">
        <f>IFERROR(__xludf.DUMMYFUNCTION("IFS(AND(COUNTA(C1188:C1644)=0,COUNTA(Q1188:Q1644)=0),"""",OR(AND(K1188&gt;=1000000000,OR(Y1188&gt;=1000000000,COUNTA(Q1188:Q1644)=0)),OR(Y1188&gt;=1000000000,AND(COUNTA(C1188:C1644)=0,P$3=TRUE))),
ROUNDDOWN((AB$1-AC$1)*MAX(INDEX(T$4:T1644,MATCH(LARGE(FILTER(Y$4:Y1"&amp;"644,Y$4:Y1644&lt;1000000000),1),Y$4:Y1644)),INDEX(F$4:F1644,MATCH(LARGE(FILTER(K$4:K1644,K$4:K1644&lt;1000000000),1),K$4:K1644)))),AND(K1188&lt;1000000000,COUNTA(C1188:C1644)&gt;0,P$3=FALSE),
ROUNDDOWN(INDEX(Y$4:Y1644,MATCH(LARGE(FILTER(W$4:W1644,W$4:W1644&lt;=I1188),1)"&amp;",W$4:W1644))+(I1188-LARGE(FILTER(W$4:W1644,W$4:W1644&lt;=I1188),1))*INDEX(T$4:T1644,MATCH(LARGE(FILTER(W$4:W1644,W$4:W1644&lt;=I1188),1),W$4:W1644))-K1188),1,
ROUNDDOWN(Y1188-INDEX(K$4:K1644,MATCH(LARGE(FILTER(I$4:I1644,I$4:I1644&lt;=W1188),1),I$4:I1644))-(W1188-L"&amp;"ARGE(FILTER(I$4:I1644,I$4:I1644&lt;=W1188),1))*INDEX(F$4:F1644,MATCH(LARGE(FILTER(I$4:I1644,I$4:I1644&lt;=W1188),1),I$4:I1644))))"),"")</f>
        <v/>
      </c>
      <c r="N1188" s="60" t="str">
        <f t="shared" si="8"/>
        <v/>
      </c>
      <c r="O1188" s="61" t="str">
        <f t="shared" si="9"/>
        <v/>
      </c>
      <c r="P1188" s="56" t="str">
        <f t="shared" si="10"/>
        <v/>
      </c>
      <c r="Q1188" s="105"/>
      <c r="R1188" s="10"/>
      <c r="S1188" s="59" t="str">
        <f t="array" ref="S1188">IF(COUNTA(Q1188:Q1644)=0,"",SUM((COUNTIF(Q$4:Q1188,Upgrades!$B$3:$B$13)-COUNTIF(Q$4:Q1188,"Sell_"&amp;Upgrades!$B$3:$B$13))*Upgrades!$D$3:$D$13))</f>
        <v/>
      </c>
      <c r="T1188" s="66" t="str">
        <f>IFERROR(__xludf.DUMMYFUNCTION("IF(COUNTA(Q1188:Q1644)=0,"""",IF(REGEXMATCH(INDEX(FILTER(Q$4:Q1188,Q$4:Q1188&lt;&gt;""""),ROWS(FILTER(Q$4:Q1188,Q$4:Q1188&lt;&gt;""""))),""^Sell_""),INDEX(FILTER(T$4:T1187,Q$4:Q1187&lt;&gt;""""),ROWS(FILTER(Q$4:Q1187,Q$4:Q1187&lt;&gt;""""))),$AD$5+S1188))"),"")</f>
        <v/>
      </c>
      <c r="U1188" s="10" t="str">
        <f>IFERROR(__xludf.DUMMYFUNCTION("IF(COUNTA(Q1188:Q1644)=0,"""",IF(Q1188="""",0,IF(REGEXMATCH(Q1188,""^Sell_""),-ROUNDDOWN(ROUNDUP(INDEX(Upgrades!$C$3:$C$13,MATCH(SUBSTITUTE(Q1188,""Sell_"",""""),Upgrades!$B$3:$B$13,0))*1.15^(COUNTIF(Q$4:Q1187,SUBSTITUTE(Q1188,""Sell_"",""""))-COUNTIF(Q$4"&amp;":Q1187,""Sell_""&amp;SUBSTITUTE(Q1188,""Sell_"",""""))))/2),ROUNDUP(INDEX(Upgrades!$C$3:$C$13,MATCH(Q1188,Upgrades!$B$3:$B$13,0))*1.15^(COUNTIF(Q$4:Q1187,Q1188)-COUNTIF(Q$4:Q1187,""Sell_""&amp;Q1188))))))"),"")</f>
        <v/>
      </c>
      <c r="V1188" s="10" t="str">
        <f t="shared" si="11"/>
        <v/>
      </c>
      <c r="W1188" s="68" t="str">
        <f t="shared" si="12"/>
        <v/>
      </c>
      <c r="X1188" s="59" t="str">
        <f t="shared" si="13"/>
        <v/>
      </c>
      <c r="Y1188" s="69" t="str">
        <f t="shared" si="14"/>
        <v/>
      </c>
      <c r="Z1188" s="11"/>
      <c r="AG1188" s="59"/>
    </row>
    <row r="1189">
      <c r="A1189" s="8"/>
      <c r="B1189" s="56" t="str">
        <f t="shared" si="2"/>
        <v/>
      </c>
      <c r="C1189" s="105"/>
      <c r="D1189" s="10"/>
      <c r="E1189" s="59" t="str">
        <f t="array" ref="E1189">IF(COUNTA(C1189:C1644)=0,"",SUM((COUNTIF(C$4:C1189,Upgrades!$B$3:$B$13)-COUNTIF(C$4:C1189,"Sell_"&amp;Upgrades!$B$3:$B$13))*Upgrades!$D$3:$D$13))</f>
        <v/>
      </c>
      <c r="F1189" s="66" t="str">
        <f>IFERROR(__xludf.DUMMYFUNCTION("IF(COUNTA(C1189:C1644)=0,"""",IF(REGEXMATCH(INDEX(FILTER(C$4:C1189,C$4:C1189&lt;&gt;""""),ROWS(FILTER(C$4:C1189,C$4:C1189&lt;&gt;""""))),""^Sell_""),INDEX(FILTER(F$4:F1188,C$4:C1188&lt;&gt;""""),ROWS(FILTER(C$4:C1188,C$4:C1188&lt;&gt;""""))),$AC$5+E1189))"),"")</f>
        <v/>
      </c>
      <c r="G1189" s="10" t="str">
        <f>IFERROR(__xludf.DUMMYFUNCTION("IF(COUNTA(C1189:C1644)=0,"""",IF(C1189="""",0,IF(REGEXMATCH(C1189,""^Sell_""),-ROUNDDOWN(ROUNDUP(INDEX(Upgrades!$C$3:$C$13,MATCH(SUBSTITUTE(C1189,""Sell_"",""""),Upgrades!$B$3:$B$13,0))*1.15^(COUNTIF(C$4:C1188,SUBSTITUTE(C1189,""Sell_"",""""))-COUNTIF(C$4"&amp;":C1188,""Sell_""&amp;SUBSTITUTE(C1189,""Sell_"",""""))))/2),ROUNDUP(INDEX(Upgrades!$C$3:$C$13,MATCH(C1189,Upgrades!$B$3:$B$13,0))*1.15^(COUNTIF(C$4:C1188,C1189)-COUNTIF(C$4:C1188,""Sell_""&amp;C1189))))))"),"")</f>
        <v/>
      </c>
      <c r="H1189" s="10" t="str">
        <f t="shared" si="3"/>
        <v/>
      </c>
      <c r="I1189" s="68" t="str">
        <f t="shared" si="4"/>
        <v/>
      </c>
      <c r="J1189" s="59" t="str">
        <f t="shared" si="5"/>
        <v/>
      </c>
      <c r="K1189" s="69" t="str">
        <f t="shared" si="6"/>
        <v/>
      </c>
      <c r="L1189" s="60" t="str">
        <f t="shared" si="7"/>
        <v/>
      </c>
      <c r="M1189" s="61" t="str">
        <f>IFERROR(__xludf.DUMMYFUNCTION("IFS(AND(COUNTA(C1189:C1644)=0,COUNTA(Q1189:Q1644)=0),"""",OR(AND(K1189&gt;=1000000000,OR(Y1189&gt;=1000000000,COUNTA(Q1189:Q1644)=0)),OR(Y1189&gt;=1000000000,AND(COUNTA(C1189:C1644)=0,P$3=TRUE))),
ROUNDDOWN((AB$1-AC$1)*MAX(INDEX(T$4:T1644,MATCH(LARGE(FILTER(Y$4:Y1"&amp;"644,Y$4:Y1644&lt;1000000000),1),Y$4:Y1644)),INDEX(F$4:F1644,MATCH(LARGE(FILTER(K$4:K1644,K$4:K1644&lt;1000000000),1),K$4:K1644)))),AND(K1189&lt;1000000000,COUNTA(C1189:C1644)&gt;0,P$3=FALSE),
ROUNDDOWN(INDEX(Y$4:Y1644,MATCH(LARGE(FILTER(W$4:W1644,W$4:W1644&lt;=I1189),1)"&amp;",W$4:W1644))+(I1189-LARGE(FILTER(W$4:W1644,W$4:W1644&lt;=I1189),1))*INDEX(T$4:T1644,MATCH(LARGE(FILTER(W$4:W1644,W$4:W1644&lt;=I1189),1),W$4:W1644))-K1189),1,
ROUNDDOWN(Y1189-INDEX(K$4:K1644,MATCH(LARGE(FILTER(I$4:I1644,I$4:I1644&lt;=W1189),1),I$4:I1644))-(W1189-L"&amp;"ARGE(FILTER(I$4:I1644,I$4:I1644&lt;=W1189),1))*INDEX(F$4:F1644,MATCH(LARGE(FILTER(I$4:I1644,I$4:I1644&lt;=W1189),1),I$4:I1644))))"),"")</f>
        <v/>
      </c>
      <c r="N1189" s="60" t="str">
        <f t="shared" si="8"/>
        <v/>
      </c>
      <c r="O1189" s="61" t="str">
        <f t="shared" si="9"/>
        <v/>
      </c>
      <c r="P1189" s="56" t="str">
        <f t="shared" si="10"/>
        <v/>
      </c>
      <c r="Q1189" s="105"/>
      <c r="R1189" s="10"/>
      <c r="S1189" s="59" t="str">
        <f t="array" ref="S1189">IF(COUNTA(Q1189:Q1644)=0,"",SUM((COUNTIF(Q$4:Q1189,Upgrades!$B$3:$B$13)-COUNTIF(Q$4:Q1189,"Sell_"&amp;Upgrades!$B$3:$B$13))*Upgrades!$D$3:$D$13))</f>
        <v/>
      </c>
      <c r="T1189" s="66" t="str">
        <f>IFERROR(__xludf.DUMMYFUNCTION("IF(COUNTA(Q1189:Q1644)=0,"""",IF(REGEXMATCH(INDEX(FILTER(Q$4:Q1189,Q$4:Q1189&lt;&gt;""""),ROWS(FILTER(Q$4:Q1189,Q$4:Q1189&lt;&gt;""""))),""^Sell_""),INDEX(FILTER(T$4:T1188,Q$4:Q1188&lt;&gt;""""),ROWS(FILTER(Q$4:Q1188,Q$4:Q1188&lt;&gt;""""))),$AD$5+S1189))"),"")</f>
        <v/>
      </c>
      <c r="U1189" s="10" t="str">
        <f>IFERROR(__xludf.DUMMYFUNCTION("IF(COUNTA(Q1189:Q1644)=0,"""",IF(Q1189="""",0,IF(REGEXMATCH(Q1189,""^Sell_""),-ROUNDDOWN(ROUNDUP(INDEX(Upgrades!$C$3:$C$13,MATCH(SUBSTITUTE(Q1189,""Sell_"",""""),Upgrades!$B$3:$B$13,0))*1.15^(COUNTIF(Q$4:Q1188,SUBSTITUTE(Q1189,""Sell_"",""""))-COUNTIF(Q$4"&amp;":Q1188,""Sell_""&amp;SUBSTITUTE(Q1189,""Sell_"",""""))))/2),ROUNDUP(INDEX(Upgrades!$C$3:$C$13,MATCH(Q1189,Upgrades!$B$3:$B$13,0))*1.15^(COUNTIF(Q$4:Q1188,Q1189)-COUNTIF(Q$4:Q1188,""Sell_""&amp;Q1189))))))"),"")</f>
        <v/>
      </c>
      <c r="V1189" s="10" t="str">
        <f t="shared" si="11"/>
        <v/>
      </c>
      <c r="W1189" s="68" t="str">
        <f t="shared" si="12"/>
        <v/>
      </c>
      <c r="X1189" s="59" t="str">
        <f t="shared" si="13"/>
        <v/>
      </c>
      <c r="Y1189" s="69" t="str">
        <f t="shared" si="14"/>
        <v/>
      </c>
      <c r="Z1189" s="11"/>
      <c r="AG1189" s="59"/>
    </row>
    <row r="1190">
      <c r="A1190" s="8"/>
      <c r="B1190" s="56" t="str">
        <f t="shared" si="2"/>
        <v/>
      </c>
      <c r="C1190" s="105"/>
      <c r="D1190" s="10"/>
      <c r="E1190" s="59" t="str">
        <f t="array" ref="E1190">IF(COUNTA(C1190:C1644)=0,"",SUM((COUNTIF(C$4:C1190,Upgrades!$B$3:$B$13)-COUNTIF(C$4:C1190,"Sell_"&amp;Upgrades!$B$3:$B$13))*Upgrades!$D$3:$D$13))</f>
        <v/>
      </c>
      <c r="F1190" s="66" t="str">
        <f>IFERROR(__xludf.DUMMYFUNCTION("IF(COUNTA(C1190:C1644)=0,"""",IF(REGEXMATCH(INDEX(FILTER(C$4:C1190,C$4:C1190&lt;&gt;""""),ROWS(FILTER(C$4:C1190,C$4:C1190&lt;&gt;""""))),""^Sell_""),INDEX(FILTER(F$4:F1189,C$4:C1189&lt;&gt;""""),ROWS(FILTER(C$4:C1189,C$4:C1189&lt;&gt;""""))),$AC$5+E1190))"),"")</f>
        <v/>
      </c>
      <c r="G1190" s="10" t="str">
        <f>IFERROR(__xludf.DUMMYFUNCTION("IF(COUNTA(C1190:C1644)=0,"""",IF(C1190="""",0,IF(REGEXMATCH(C1190,""^Sell_""),-ROUNDDOWN(ROUNDUP(INDEX(Upgrades!$C$3:$C$13,MATCH(SUBSTITUTE(C1190,""Sell_"",""""),Upgrades!$B$3:$B$13,0))*1.15^(COUNTIF(C$4:C1189,SUBSTITUTE(C1190,""Sell_"",""""))-COUNTIF(C$4"&amp;":C1189,""Sell_""&amp;SUBSTITUTE(C1190,""Sell_"",""""))))/2),ROUNDUP(INDEX(Upgrades!$C$3:$C$13,MATCH(C1190,Upgrades!$B$3:$B$13,0))*1.15^(COUNTIF(C$4:C1189,C1190)-COUNTIF(C$4:C1189,""Sell_""&amp;C1190))))))"),"")</f>
        <v/>
      </c>
      <c r="H1190" s="10" t="str">
        <f t="shared" si="3"/>
        <v/>
      </c>
      <c r="I1190" s="68" t="str">
        <f t="shared" si="4"/>
        <v/>
      </c>
      <c r="J1190" s="59" t="str">
        <f t="shared" si="5"/>
        <v/>
      </c>
      <c r="K1190" s="69" t="str">
        <f t="shared" si="6"/>
        <v/>
      </c>
      <c r="L1190" s="60" t="str">
        <f t="shared" si="7"/>
        <v/>
      </c>
      <c r="M1190" s="61" t="str">
        <f>IFERROR(__xludf.DUMMYFUNCTION("IFS(AND(COUNTA(C1190:C1644)=0,COUNTA(Q1190:Q1644)=0),"""",OR(AND(K1190&gt;=1000000000,OR(Y1190&gt;=1000000000,COUNTA(Q1190:Q1644)=0)),OR(Y1190&gt;=1000000000,AND(COUNTA(C1190:C1644)=0,P$3=TRUE))),
ROUNDDOWN((AB$1-AC$1)*MAX(INDEX(T$4:T1644,MATCH(LARGE(FILTER(Y$4:Y1"&amp;"644,Y$4:Y1644&lt;1000000000),1),Y$4:Y1644)),INDEX(F$4:F1644,MATCH(LARGE(FILTER(K$4:K1644,K$4:K1644&lt;1000000000),1),K$4:K1644)))),AND(K1190&lt;1000000000,COUNTA(C1190:C1644)&gt;0,P$3=FALSE),
ROUNDDOWN(INDEX(Y$4:Y1644,MATCH(LARGE(FILTER(W$4:W1644,W$4:W1644&lt;=I1190),1)"&amp;",W$4:W1644))+(I1190-LARGE(FILTER(W$4:W1644,W$4:W1644&lt;=I1190),1))*INDEX(T$4:T1644,MATCH(LARGE(FILTER(W$4:W1644,W$4:W1644&lt;=I1190),1),W$4:W1644))-K1190),1,
ROUNDDOWN(Y1190-INDEX(K$4:K1644,MATCH(LARGE(FILTER(I$4:I1644,I$4:I1644&lt;=W1190),1),I$4:I1644))-(W1190-L"&amp;"ARGE(FILTER(I$4:I1644,I$4:I1644&lt;=W1190),1))*INDEX(F$4:F1644,MATCH(LARGE(FILTER(I$4:I1644,I$4:I1644&lt;=W1190),1),I$4:I1644))))"),"")</f>
        <v/>
      </c>
      <c r="N1190" s="60" t="str">
        <f t="shared" si="8"/>
        <v/>
      </c>
      <c r="O1190" s="61" t="str">
        <f t="shared" si="9"/>
        <v/>
      </c>
      <c r="P1190" s="56" t="str">
        <f t="shared" si="10"/>
        <v/>
      </c>
      <c r="Q1190" s="105"/>
      <c r="R1190" s="10"/>
      <c r="S1190" s="59" t="str">
        <f t="array" ref="S1190">IF(COUNTA(Q1190:Q1644)=0,"",SUM((COUNTIF(Q$4:Q1190,Upgrades!$B$3:$B$13)-COUNTIF(Q$4:Q1190,"Sell_"&amp;Upgrades!$B$3:$B$13))*Upgrades!$D$3:$D$13))</f>
        <v/>
      </c>
      <c r="T1190" s="66" t="str">
        <f>IFERROR(__xludf.DUMMYFUNCTION("IF(COUNTA(Q1190:Q1644)=0,"""",IF(REGEXMATCH(INDEX(FILTER(Q$4:Q1190,Q$4:Q1190&lt;&gt;""""),ROWS(FILTER(Q$4:Q1190,Q$4:Q1190&lt;&gt;""""))),""^Sell_""),INDEX(FILTER(T$4:T1189,Q$4:Q1189&lt;&gt;""""),ROWS(FILTER(Q$4:Q1189,Q$4:Q1189&lt;&gt;""""))),$AD$5+S1190))"),"")</f>
        <v/>
      </c>
      <c r="U1190" s="10" t="str">
        <f>IFERROR(__xludf.DUMMYFUNCTION("IF(COUNTA(Q1190:Q1644)=0,"""",IF(Q1190="""",0,IF(REGEXMATCH(Q1190,""^Sell_""),-ROUNDDOWN(ROUNDUP(INDEX(Upgrades!$C$3:$C$13,MATCH(SUBSTITUTE(Q1190,""Sell_"",""""),Upgrades!$B$3:$B$13,0))*1.15^(COUNTIF(Q$4:Q1189,SUBSTITUTE(Q1190,""Sell_"",""""))-COUNTIF(Q$4"&amp;":Q1189,""Sell_""&amp;SUBSTITUTE(Q1190,""Sell_"",""""))))/2),ROUNDUP(INDEX(Upgrades!$C$3:$C$13,MATCH(Q1190,Upgrades!$B$3:$B$13,0))*1.15^(COUNTIF(Q$4:Q1189,Q1190)-COUNTIF(Q$4:Q1189,""Sell_""&amp;Q1190))))))"),"")</f>
        <v/>
      </c>
      <c r="V1190" s="10" t="str">
        <f t="shared" si="11"/>
        <v/>
      </c>
      <c r="W1190" s="68" t="str">
        <f t="shared" si="12"/>
        <v/>
      </c>
      <c r="X1190" s="59" t="str">
        <f t="shared" si="13"/>
        <v/>
      </c>
      <c r="Y1190" s="69" t="str">
        <f t="shared" si="14"/>
        <v/>
      </c>
      <c r="Z1190" s="11"/>
      <c r="AG1190" s="59"/>
    </row>
    <row r="1191">
      <c r="A1191" s="8"/>
      <c r="B1191" s="56" t="str">
        <f t="shared" si="2"/>
        <v/>
      </c>
      <c r="C1191" s="105"/>
      <c r="D1191" s="10"/>
      <c r="E1191" s="59" t="str">
        <f t="array" ref="E1191">IF(COUNTA(C1191:C1644)=0,"",SUM((COUNTIF(C$4:C1191,Upgrades!$B$3:$B$13)-COUNTIF(C$4:C1191,"Sell_"&amp;Upgrades!$B$3:$B$13))*Upgrades!$D$3:$D$13))</f>
        <v/>
      </c>
      <c r="F1191" s="66" t="str">
        <f>IFERROR(__xludf.DUMMYFUNCTION("IF(COUNTA(C1191:C1644)=0,"""",IF(REGEXMATCH(INDEX(FILTER(C$4:C1191,C$4:C1191&lt;&gt;""""),ROWS(FILTER(C$4:C1191,C$4:C1191&lt;&gt;""""))),""^Sell_""),INDEX(FILTER(F$4:F1190,C$4:C1190&lt;&gt;""""),ROWS(FILTER(C$4:C1190,C$4:C1190&lt;&gt;""""))),$AC$5+E1191))"),"")</f>
        <v/>
      </c>
      <c r="G1191" s="10" t="str">
        <f>IFERROR(__xludf.DUMMYFUNCTION("IF(COUNTA(C1191:C1644)=0,"""",IF(C1191="""",0,IF(REGEXMATCH(C1191,""^Sell_""),-ROUNDDOWN(ROUNDUP(INDEX(Upgrades!$C$3:$C$13,MATCH(SUBSTITUTE(C1191,""Sell_"",""""),Upgrades!$B$3:$B$13,0))*1.15^(COUNTIF(C$4:C1190,SUBSTITUTE(C1191,""Sell_"",""""))-COUNTIF(C$4"&amp;":C1190,""Sell_""&amp;SUBSTITUTE(C1191,""Sell_"",""""))))/2),ROUNDUP(INDEX(Upgrades!$C$3:$C$13,MATCH(C1191,Upgrades!$B$3:$B$13,0))*1.15^(COUNTIF(C$4:C1190,C1191)-COUNTIF(C$4:C1190,""Sell_""&amp;C1191))))))"),"")</f>
        <v/>
      </c>
      <c r="H1191" s="10" t="str">
        <f t="shared" si="3"/>
        <v/>
      </c>
      <c r="I1191" s="68" t="str">
        <f t="shared" si="4"/>
        <v/>
      </c>
      <c r="J1191" s="59" t="str">
        <f t="shared" si="5"/>
        <v/>
      </c>
      <c r="K1191" s="69" t="str">
        <f t="shared" si="6"/>
        <v/>
      </c>
      <c r="L1191" s="60" t="str">
        <f t="shared" si="7"/>
        <v/>
      </c>
      <c r="M1191" s="61" t="str">
        <f>IFERROR(__xludf.DUMMYFUNCTION("IFS(AND(COUNTA(C1191:C1644)=0,COUNTA(Q1191:Q1644)=0),"""",OR(AND(K1191&gt;=1000000000,OR(Y1191&gt;=1000000000,COUNTA(Q1191:Q1644)=0)),OR(Y1191&gt;=1000000000,AND(COUNTA(C1191:C1644)=0,P$3=TRUE))),
ROUNDDOWN((AB$1-AC$1)*MAX(INDEX(T$4:T1644,MATCH(LARGE(FILTER(Y$4:Y1"&amp;"644,Y$4:Y1644&lt;1000000000),1),Y$4:Y1644)),INDEX(F$4:F1644,MATCH(LARGE(FILTER(K$4:K1644,K$4:K1644&lt;1000000000),1),K$4:K1644)))),AND(K1191&lt;1000000000,COUNTA(C1191:C1644)&gt;0,P$3=FALSE),
ROUNDDOWN(INDEX(Y$4:Y1644,MATCH(LARGE(FILTER(W$4:W1644,W$4:W1644&lt;=I1191),1)"&amp;",W$4:W1644))+(I1191-LARGE(FILTER(W$4:W1644,W$4:W1644&lt;=I1191),1))*INDEX(T$4:T1644,MATCH(LARGE(FILTER(W$4:W1644,W$4:W1644&lt;=I1191),1),W$4:W1644))-K1191),1,
ROUNDDOWN(Y1191-INDEX(K$4:K1644,MATCH(LARGE(FILTER(I$4:I1644,I$4:I1644&lt;=W1191),1),I$4:I1644))-(W1191-L"&amp;"ARGE(FILTER(I$4:I1644,I$4:I1644&lt;=W1191),1))*INDEX(F$4:F1644,MATCH(LARGE(FILTER(I$4:I1644,I$4:I1644&lt;=W1191),1),I$4:I1644))))"),"")</f>
        <v/>
      </c>
      <c r="N1191" s="60" t="str">
        <f t="shared" si="8"/>
        <v/>
      </c>
      <c r="O1191" s="61" t="str">
        <f t="shared" si="9"/>
        <v/>
      </c>
      <c r="P1191" s="56" t="str">
        <f t="shared" si="10"/>
        <v/>
      </c>
      <c r="Q1191" s="105"/>
      <c r="R1191" s="10"/>
      <c r="S1191" s="59" t="str">
        <f t="array" ref="S1191">IF(COUNTA(Q1191:Q1644)=0,"",SUM((COUNTIF(Q$4:Q1191,Upgrades!$B$3:$B$13)-COUNTIF(Q$4:Q1191,"Sell_"&amp;Upgrades!$B$3:$B$13))*Upgrades!$D$3:$D$13))</f>
        <v/>
      </c>
      <c r="T1191" s="66" t="str">
        <f>IFERROR(__xludf.DUMMYFUNCTION("IF(COUNTA(Q1191:Q1644)=0,"""",IF(REGEXMATCH(INDEX(FILTER(Q$4:Q1191,Q$4:Q1191&lt;&gt;""""),ROWS(FILTER(Q$4:Q1191,Q$4:Q1191&lt;&gt;""""))),""^Sell_""),INDEX(FILTER(T$4:T1190,Q$4:Q1190&lt;&gt;""""),ROWS(FILTER(Q$4:Q1190,Q$4:Q1190&lt;&gt;""""))),$AD$5+S1191))"),"")</f>
        <v/>
      </c>
      <c r="U1191" s="10" t="str">
        <f>IFERROR(__xludf.DUMMYFUNCTION("IF(COUNTA(Q1191:Q1644)=0,"""",IF(Q1191="""",0,IF(REGEXMATCH(Q1191,""^Sell_""),-ROUNDDOWN(ROUNDUP(INDEX(Upgrades!$C$3:$C$13,MATCH(SUBSTITUTE(Q1191,""Sell_"",""""),Upgrades!$B$3:$B$13,0))*1.15^(COUNTIF(Q$4:Q1190,SUBSTITUTE(Q1191,""Sell_"",""""))-COUNTIF(Q$4"&amp;":Q1190,""Sell_""&amp;SUBSTITUTE(Q1191,""Sell_"",""""))))/2),ROUNDUP(INDEX(Upgrades!$C$3:$C$13,MATCH(Q1191,Upgrades!$B$3:$B$13,0))*1.15^(COUNTIF(Q$4:Q1190,Q1191)-COUNTIF(Q$4:Q1190,""Sell_""&amp;Q1191))))))"),"")</f>
        <v/>
      </c>
      <c r="V1191" s="10" t="str">
        <f t="shared" si="11"/>
        <v/>
      </c>
      <c r="W1191" s="68" t="str">
        <f t="shared" si="12"/>
        <v/>
      </c>
      <c r="X1191" s="59" t="str">
        <f t="shared" si="13"/>
        <v/>
      </c>
      <c r="Y1191" s="69" t="str">
        <f t="shared" si="14"/>
        <v/>
      </c>
      <c r="Z1191" s="11"/>
      <c r="AG1191" s="59"/>
    </row>
    <row r="1192">
      <c r="A1192" s="8"/>
      <c r="B1192" s="56" t="str">
        <f t="shared" si="2"/>
        <v/>
      </c>
      <c r="C1192" s="105"/>
      <c r="D1192" s="10"/>
      <c r="E1192" s="59" t="str">
        <f t="array" ref="E1192">IF(COUNTA(C1192:C1644)=0,"",SUM((COUNTIF(C$4:C1192,Upgrades!$B$3:$B$13)-COUNTIF(C$4:C1192,"Sell_"&amp;Upgrades!$B$3:$B$13))*Upgrades!$D$3:$D$13))</f>
        <v/>
      </c>
      <c r="F1192" s="66" t="str">
        <f>IFERROR(__xludf.DUMMYFUNCTION("IF(COUNTA(C1192:C1644)=0,"""",IF(REGEXMATCH(INDEX(FILTER(C$4:C1192,C$4:C1192&lt;&gt;""""),ROWS(FILTER(C$4:C1192,C$4:C1192&lt;&gt;""""))),""^Sell_""),INDEX(FILTER(F$4:F1191,C$4:C1191&lt;&gt;""""),ROWS(FILTER(C$4:C1191,C$4:C1191&lt;&gt;""""))),$AC$5+E1192))"),"")</f>
        <v/>
      </c>
      <c r="G1192" s="10" t="str">
        <f>IFERROR(__xludf.DUMMYFUNCTION("IF(COUNTA(C1192:C1644)=0,"""",IF(C1192="""",0,IF(REGEXMATCH(C1192,""^Sell_""),-ROUNDDOWN(ROUNDUP(INDEX(Upgrades!$C$3:$C$13,MATCH(SUBSTITUTE(C1192,""Sell_"",""""),Upgrades!$B$3:$B$13,0))*1.15^(COUNTIF(C$4:C1191,SUBSTITUTE(C1192,""Sell_"",""""))-COUNTIF(C$4"&amp;":C1191,""Sell_""&amp;SUBSTITUTE(C1192,""Sell_"",""""))))/2),ROUNDUP(INDEX(Upgrades!$C$3:$C$13,MATCH(C1192,Upgrades!$B$3:$B$13,0))*1.15^(COUNTIF(C$4:C1191,C1192)-COUNTIF(C$4:C1191,""Sell_""&amp;C1192))))))"),"")</f>
        <v/>
      </c>
      <c r="H1192" s="10" t="str">
        <f t="shared" si="3"/>
        <v/>
      </c>
      <c r="I1192" s="68" t="str">
        <f t="shared" si="4"/>
        <v/>
      </c>
      <c r="J1192" s="59" t="str">
        <f t="shared" si="5"/>
        <v/>
      </c>
      <c r="K1192" s="69" t="str">
        <f t="shared" si="6"/>
        <v/>
      </c>
      <c r="L1192" s="60" t="str">
        <f t="shared" si="7"/>
        <v/>
      </c>
      <c r="M1192" s="61" t="str">
        <f>IFERROR(__xludf.DUMMYFUNCTION("IFS(AND(COUNTA(C1192:C1644)=0,COUNTA(Q1192:Q1644)=0),"""",OR(AND(K1192&gt;=1000000000,OR(Y1192&gt;=1000000000,COUNTA(Q1192:Q1644)=0)),OR(Y1192&gt;=1000000000,AND(COUNTA(C1192:C1644)=0,P$3=TRUE))),
ROUNDDOWN((AB$1-AC$1)*MAX(INDEX(T$4:T1644,MATCH(LARGE(FILTER(Y$4:Y1"&amp;"644,Y$4:Y1644&lt;1000000000),1),Y$4:Y1644)),INDEX(F$4:F1644,MATCH(LARGE(FILTER(K$4:K1644,K$4:K1644&lt;1000000000),1),K$4:K1644)))),AND(K1192&lt;1000000000,COUNTA(C1192:C1644)&gt;0,P$3=FALSE),
ROUNDDOWN(INDEX(Y$4:Y1644,MATCH(LARGE(FILTER(W$4:W1644,W$4:W1644&lt;=I1192),1)"&amp;",W$4:W1644))+(I1192-LARGE(FILTER(W$4:W1644,W$4:W1644&lt;=I1192),1))*INDEX(T$4:T1644,MATCH(LARGE(FILTER(W$4:W1644,W$4:W1644&lt;=I1192),1),W$4:W1644))-K1192),1,
ROUNDDOWN(Y1192-INDEX(K$4:K1644,MATCH(LARGE(FILTER(I$4:I1644,I$4:I1644&lt;=W1192),1),I$4:I1644))-(W1192-L"&amp;"ARGE(FILTER(I$4:I1644,I$4:I1644&lt;=W1192),1))*INDEX(F$4:F1644,MATCH(LARGE(FILTER(I$4:I1644,I$4:I1644&lt;=W1192),1),I$4:I1644))))"),"")</f>
        <v/>
      </c>
      <c r="N1192" s="60" t="str">
        <f t="shared" si="8"/>
        <v/>
      </c>
      <c r="O1192" s="61" t="str">
        <f t="shared" si="9"/>
        <v/>
      </c>
      <c r="P1192" s="56" t="str">
        <f t="shared" si="10"/>
        <v/>
      </c>
      <c r="Q1192" s="105"/>
      <c r="R1192" s="10"/>
      <c r="S1192" s="59" t="str">
        <f t="array" ref="S1192">IF(COUNTA(Q1192:Q1644)=0,"",SUM((COUNTIF(Q$4:Q1192,Upgrades!$B$3:$B$13)-COUNTIF(Q$4:Q1192,"Sell_"&amp;Upgrades!$B$3:$B$13))*Upgrades!$D$3:$D$13))</f>
        <v/>
      </c>
      <c r="T1192" s="66" t="str">
        <f>IFERROR(__xludf.DUMMYFUNCTION("IF(COUNTA(Q1192:Q1644)=0,"""",IF(REGEXMATCH(INDEX(FILTER(Q$4:Q1192,Q$4:Q1192&lt;&gt;""""),ROWS(FILTER(Q$4:Q1192,Q$4:Q1192&lt;&gt;""""))),""^Sell_""),INDEX(FILTER(T$4:T1191,Q$4:Q1191&lt;&gt;""""),ROWS(FILTER(Q$4:Q1191,Q$4:Q1191&lt;&gt;""""))),$AD$5+S1192))"),"")</f>
        <v/>
      </c>
      <c r="U1192" s="10" t="str">
        <f>IFERROR(__xludf.DUMMYFUNCTION("IF(COUNTA(Q1192:Q1644)=0,"""",IF(Q1192="""",0,IF(REGEXMATCH(Q1192,""^Sell_""),-ROUNDDOWN(ROUNDUP(INDEX(Upgrades!$C$3:$C$13,MATCH(SUBSTITUTE(Q1192,""Sell_"",""""),Upgrades!$B$3:$B$13,0))*1.15^(COUNTIF(Q$4:Q1191,SUBSTITUTE(Q1192,""Sell_"",""""))-COUNTIF(Q$4"&amp;":Q1191,""Sell_""&amp;SUBSTITUTE(Q1192,""Sell_"",""""))))/2),ROUNDUP(INDEX(Upgrades!$C$3:$C$13,MATCH(Q1192,Upgrades!$B$3:$B$13,0))*1.15^(COUNTIF(Q$4:Q1191,Q1192)-COUNTIF(Q$4:Q1191,""Sell_""&amp;Q1192))))))"),"")</f>
        <v/>
      </c>
      <c r="V1192" s="10" t="str">
        <f t="shared" si="11"/>
        <v/>
      </c>
      <c r="W1192" s="68" t="str">
        <f t="shared" si="12"/>
        <v/>
      </c>
      <c r="X1192" s="59" t="str">
        <f t="shared" si="13"/>
        <v/>
      </c>
      <c r="Y1192" s="69" t="str">
        <f t="shared" si="14"/>
        <v/>
      </c>
      <c r="Z1192" s="11"/>
      <c r="AG1192" s="59"/>
    </row>
    <row r="1193">
      <c r="A1193" s="8"/>
      <c r="B1193" s="56" t="str">
        <f t="shared" si="2"/>
        <v/>
      </c>
      <c r="C1193" s="105"/>
      <c r="D1193" s="10"/>
      <c r="E1193" s="59" t="str">
        <f t="array" ref="E1193">IF(COUNTA(C1193:C1644)=0,"",SUM((COUNTIF(C$4:C1193,Upgrades!$B$3:$B$13)-COUNTIF(C$4:C1193,"Sell_"&amp;Upgrades!$B$3:$B$13))*Upgrades!$D$3:$D$13))</f>
        <v/>
      </c>
      <c r="F1193" s="66" t="str">
        <f>IFERROR(__xludf.DUMMYFUNCTION("IF(COUNTA(C1193:C1644)=0,"""",IF(REGEXMATCH(INDEX(FILTER(C$4:C1193,C$4:C1193&lt;&gt;""""),ROWS(FILTER(C$4:C1193,C$4:C1193&lt;&gt;""""))),""^Sell_""),INDEX(FILTER(F$4:F1192,C$4:C1192&lt;&gt;""""),ROWS(FILTER(C$4:C1192,C$4:C1192&lt;&gt;""""))),$AC$5+E1193))"),"")</f>
        <v/>
      </c>
      <c r="G1193" s="10" t="str">
        <f>IFERROR(__xludf.DUMMYFUNCTION("IF(COUNTA(C1193:C1644)=0,"""",IF(C1193="""",0,IF(REGEXMATCH(C1193,""^Sell_""),-ROUNDDOWN(ROUNDUP(INDEX(Upgrades!$C$3:$C$13,MATCH(SUBSTITUTE(C1193,""Sell_"",""""),Upgrades!$B$3:$B$13,0))*1.15^(COUNTIF(C$4:C1192,SUBSTITUTE(C1193,""Sell_"",""""))-COUNTIF(C$4"&amp;":C1192,""Sell_""&amp;SUBSTITUTE(C1193,""Sell_"",""""))))/2),ROUNDUP(INDEX(Upgrades!$C$3:$C$13,MATCH(C1193,Upgrades!$B$3:$B$13,0))*1.15^(COUNTIF(C$4:C1192,C1193)-COUNTIF(C$4:C1192,""Sell_""&amp;C1193))))))"),"")</f>
        <v/>
      </c>
      <c r="H1193" s="10" t="str">
        <f t="shared" si="3"/>
        <v/>
      </c>
      <c r="I1193" s="68" t="str">
        <f t="shared" si="4"/>
        <v/>
      </c>
      <c r="J1193" s="59" t="str">
        <f t="shared" si="5"/>
        <v/>
      </c>
      <c r="K1193" s="69" t="str">
        <f t="shared" si="6"/>
        <v/>
      </c>
      <c r="L1193" s="60" t="str">
        <f t="shared" si="7"/>
        <v/>
      </c>
      <c r="M1193" s="61" t="str">
        <f>IFERROR(__xludf.DUMMYFUNCTION("IFS(AND(COUNTA(C1193:C1644)=0,COUNTA(Q1193:Q1644)=0),"""",OR(AND(K1193&gt;=1000000000,OR(Y1193&gt;=1000000000,COUNTA(Q1193:Q1644)=0)),OR(Y1193&gt;=1000000000,AND(COUNTA(C1193:C1644)=0,P$3=TRUE))),
ROUNDDOWN((AB$1-AC$1)*MAX(INDEX(T$4:T1644,MATCH(LARGE(FILTER(Y$4:Y1"&amp;"644,Y$4:Y1644&lt;1000000000),1),Y$4:Y1644)),INDEX(F$4:F1644,MATCH(LARGE(FILTER(K$4:K1644,K$4:K1644&lt;1000000000),1),K$4:K1644)))),AND(K1193&lt;1000000000,COUNTA(C1193:C1644)&gt;0,P$3=FALSE),
ROUNDDOWN(INDEX(Y$4:Y1644,MATCH(LARGE(FILTER(W$4:W1644,W$4:W1644&lt;=I1193),1)"&amp;",W$4:W1644))+(I1193-LARGE(FILTER(W$4:W1644,W$4:W1644&lt;=I1193),1))*INDEX(T$4:T1644,MATCH(LARGE(FILTER(W$4:W1644,W$4:W1644&lt;=I1193),1),W$4:W1644))-K1193),1,
ROUNDDOWN(Y1193-INDEX(K$4:K1644,MATCH(LARGE(FILTER(I$4:I1644,I$4:I1644&lt;=W1193),1),I$4:I1644))-(W1193-L"&amp;"ARGE(FILTER(I$4:I1644,I$4:I1644&lt;=W1193),1))*INDEX(F$4:F1644,MATCH(LARGE(FILTER(I$4:I1644,I$4:I1644&lt;=W1193),1),I$4:I1644))))"),"")</f>
        <v/>
      </c>
      <c r="N1193" s="60" t="str">
        <f t="shared" si="8"/>
        <v/>
      </c>
      <c r="O1193" s="61" t="str">
        <f t="shared" si="9"/>
        <v/>
      </c>
      <c r="P1193" s="56" t="str">
        <f t="shared" si="10"/>
        <v/>
      </c>
      <c r="Q1193" s="105"/>
      <c r="R1193" s="10"/>
      <c r="S1193" s="59" t="str">
        <f t="array" ref="S1193">IF(COUNTA(Q1193:Q1644)=0,"",SUM((COUNTIF(Q$4:Q1193,Upgrades!$B$3:$B$13)-COUNTIF(Q$4:Q1193,"Sell_"&amp;Upgrades!$B$3:$B$13))*Upgrades!$D$3:$D$13))</f>
        <v/>
      </c>
      <c r="T1193" s="66" t="str">
        <f>IFERROR(__xludf.DUMMYFUNCTION("IF(COUNTA(Q1193:Q1644)=0,"""",IF(REGEXMATCH(INDEX(FILTER(Q$4:Q1193,Q$4:Q1193&lt;&gt;""""),ROWS(FILTER(Q$4:Q1193,Q$4:Q1193&lt;&gt;""""))),""^Sell_""),INDEX(FILTER(T$4:T1192,Q$4:Q1192&lt;&gt;""""),ROWS(FILTER(Q$4:Q1192,Q$4:Q1192&lt;&gt;""""))),$AD$5+S1193))"),"")</f>
        <v/>
      </c>
      <c r="U1193" s="10" t="str">
        <f>IFERROR(__xludf.DUMMYFUNCTION("IF(COUNTA(Q1193:Q1644)=0,"""",IF(Q1193="""",0,IF(REGEXMATCH(Q1193,""^Sell_""),-ROUNDDOWN(ROUNDUP(INDEX(Upgrades!$C$3:$C$13,MATCH(SUBSTITUTE(Q1193,""Sell_"",""""),Upgrades!$B$3:$B$13,0))*1.15^(COUNTIF(Q$4:Q1192,SUBSTITUTE(Q1193,""Sell_"",""""))-COUNTIF(Q$4"&amp;":Q1192,""Sell_""&amp;SUBSTITUTE(Q1193,""Sell_"",""""))))/2),ROUNDUP(INDEX(Upgrades!$C$3:$C$13,MATCH(Q1193,Upgrades!$B$3:$B$13,0))*1.15^(COUNTIF(Q$4:Q1192,Q1193)-COUNTIF(Q$4:Q1192,""Sell_""&amp;Q1193))))))"),"")</f>
        <v/>
      </c>
      <c r="V1193" s="10" t="str">
        <f t="shared" si="11"/>
        <v/>
      </c>
      <c r="W1193" s="68" t="str">
        <f t="shared" si="12"/>
        <v/>
      </c>
      <c r="X1193" s="59" t="str">
        <f t="shared" si="13"/>
        <v/>
      </c>
      <c r="Y1193" s="69" t="str">
        <f t="shared" si="14"/>
        <v/>
      </c>
      <c r="Z1193" s="11"/>
      <c r="AG1193" s="59"/>
    </row>
    <row r="1194">
      <c r="A1194" s="8"/>
      <c r="B1194" s="56" t="str">
        <f t="shared" si="2"/>
        <v/>
      </c>
      <c r="C1194" s="105"/>
      <c r="D1194" s="10"/>
      <c r="E1194" s="59" t="str">
        <f t="array" ref="E1194">IF(COUNTA(C1194:C1644)=0,"",SUM((COUNTIF(C$4:C1194,Upgrades!$B$3:$B$13)-COUNTIF(C$4:C1194,"Sell_"&amp;Upgrades!$B$3:$B$13))*Upgrades!$D$3:$D$13))</f>
        <v/>
      </c>
      <c r="F1194" s="66" t="str">
        <f>IFERROR(__xludf.DUMMYFUNCTION("IF(COUNTA(C1194:C1644)=0,"""",IF(REGEXMATCH(INDEX(FILTER(C$4:C1194,C$4:C1194&lt;&gt;""""),ROWS(FILTER(C$4:C1194,C$4:C1194&lt;&gt;""""))),""^Sell_""),INDEX(FILTER(F$4:F1193,C$4:C1193&lt;&gt;""""),ROWS(FILTER(C$4:C1193,C$4:C1193&lt;&gt;""""))),$AC$5+E1194))"),"")</f>
        <v/>
      </c>
      <c r="G1194" s="10" t="str">
        <f>IFERROR(__xludf.DUMMYFUNCTION("IF(COUNTA(C1194:C1644)=0,"""",IF(C1194="""",0,IF(REGEXMATCH(C1194,""^Sell_""),-ROUNDDOWN(ROUNDUP(INDEX(Upgrades!$C$3:$C$13,MATCH(SUBSTITUTE(C1194,""Sell_"",""""),Upgrades!$B$3:$B$13,0))*1.15^(COUNTIF(C$4:C1193,SUBSTITUTE(C1194,""Sell_"",""""))-COUNTIF(C$4"&amp;":C1193,""Sell_""&amp;SUBSTITUTE(C1194,""Sell_"",""""))))/2),ROUNDUP(INDEX(Upgrades!$C$3:$C$13,MATCH(C1194,Upgrades!$B$3:$B$13,0))*1.15^(COUNTIF(C$4:C1193,C1194)-COUNTIF(C$4:C1193,""Sell_""&amp;C1194))))))"),"")</f>
        <v/>
      </c>
      <c r="H1194" s="10" t="str">
        <f t="shared" si="3"/>
        <v/>
      </c>
      <c r="I1194" s="68" t="str">
        <f t="shared" si="4"/>
        <v/>
      </c>
      <c r="J1194" s="59" t="str">
        <f t="shared" si="5"/>
        <v/>
      </c>
      <c r="K1194" s="69" t="str">
        <f t="shared" si="6"/>
        <v/>
      </c>
      <c r="L1194" s="60" t="str">
        <f t="shared" si="7"/>
        <v/>
      </c>
      <c r="M1194" s="61" t="str">
        <f>IFERROR(__xludf.DUMMYFUNCTION("IFS(AND(COUNTA(C1194:C1644)=0,COUNTA(Q1194:Q1644)=0),"""",OR(AND(K1194&gt;=1000000000,OR(Y1194&gt;=1000000000,COUNTA(Q1194:Q1644)=0)),OR(Y1194&gt;=1000000000,AND(COUNTA(C1194:C1644)=0,P$3=TRUE))),
ROUNDDOWN((AB$1-AC$1)*MAX(INDEX(T$4:T1644,MATCH(LARGE(FILTER(Y$4:Y1"&amp;"644,Y$4:Y1644&lt;1000000000),1),Y$4:Y1644)),INDEX(F$4:F1644,MATCH(LARGE(FILTER(K$4:K1644,K$4:K1644&lt;1000000000),1),K$4:K1644)))),AND(K1194&lt;1000000000,COUNTA(C1194:C1644)&gt;0,P$3=FALSE),
ROUNDDOWN(INDEX(Y$4:Y1644,MATCH(LARGE(FILTER(W$4:W1644,W$4:W1644&lt;=I1194),1)"&amp;",W$4:W1644))+(I1194-LARGE(FILTER(W$4:W1644,W$4:W1644&lt;=I1194),1))*INDEX(T$4:T1644,MATCH(LARGE(FILTER(W$4:W1644,W$4:W1644&lt;=I1194),1),W$4:W1644))-K1194),1,
ROUNDDOWN(Y1194-INDEX(K$4:K1644,MATCH(LARGE(FILTER(I$4:I1644,I$4:I1644&lt;=W1194),1),I$4:I1644))-(W1194-L"&amp;"ARGE(FILTER(I$4:I1644,I$4:I1644&lt;=W1194),1))*INDEX(F$4:F1644,MATCH(LARGE(FILTER(I$4:I1644,I$4:I1644&lt;=W1194),1),I$4:I1644))))"),"")</f>
        <v/>
      </c>
      <c r="N1194" s="60" t="str">
        <f t="shared" si="8"/>
        <v/>
      </c>
      <c r="O1194" s="61" t="str">
        <f t="shared" si="9"/>
        <v/>
      </c>
      <c r="P1194" s="56" t="str">
        <f t="shared" si="10"/>
        <v/>
      </c>
      <c r="Q1194" s="105"/>
      <c r="R1194" s="10"/>
      <c r="S1194" s="59" t="str">
        <f t="array" ref="S1194">IF(COUNTA(Q1194:Q1644)=0,"",SUM((COUNTIF(Q$4:Q1194,Upgrades!$B$3:$B$13)-COUNTIF(Q$4:Q1194,"Sell_"&amp;Upgrades!$B$3:$B$13))*Upgrades!$D$3:$D$13))</f>
        <v/>
      </c>
      <c r="T1194" s="66" t="str">
        <f>IFERROR(__xludf.DUMMYFUNCTION("IF(COUNTA(Q1194:Q1644)=0,"""",IF(REGEXMATCH(INDEX(FILTER(Q$4:Q1194,Q$4:Q1194&lt;&gt;""""),ROWS(FILTER(Q$4:Q1194,Q$4:Q1194&lt;&gt;""""))),""^Sell_""),INDEX(FILTER(T$4:T1193,Q$4:Q1193&lt;&gt;""""),ROWS(FILTER(Q$4:Q1193,Q$4:Q1193&lt;&gt;""""))),$AD$5+S1194))"),"")</f>
        <v/>
      </c>
      <c r="U1194" s="10" t="str">
        <f>IFERROR(__xludf.DUMMYFUNCTION("IF(COUNTA(Q1194:Q1644)=0,"""",IF(Q1194="""",0,IF(REGEXMATCH(Q1194,""^Sell_""),-ROUNDDOWN(ROUNDUP(INDEX(Upgrades!$C$3:$C$13,MATCH(SUBSTITUTE(Q1194,""Sell_"",""""),Upgrades!$B$3:$B$13,0))*1.15^(COUNTIF(Q$4:Q1193,SUBSTITUTE(Q1194,""Sell_"",""""))-COUNTIF(Q$4"&amp;":Q1193,""Sell_""&amp;SUBSTITUTE(Q1194,""Sell_"",""""))))/2),ROUNDUP(INDEX(Upgrades!$C$3:$C$13,MATCH(Q1194,Upgrades!$B$3:$B$13,0))*1.15^(COUNTIF(Q$4:Q1193,Q1194)-COUNTIF(Q$4:Q1193,""Sell_""&amp;Q1194))))))"),"")</f>
        <v/>
      </c>
      <c r="V1194" s="10" t="str">
        <f t="shared" si="11"/>
        <v/>
      </c>
      <c r="W1194" s="68" t="str">
        <f t="shared" si="12"/>
        <v/>
      </c>
      <c r="X1194" s="59" t="str">
        <f t="shared" si="13"/>
        <v/>
      </c>
      <c r="Y1194" s="69" t="str">
        <f t="shared" si="14"/>
        <v/>
      </c>
      <c r="Z1194" s="11"/>
      <c r="AG1194" s="59"/>
    </row>
    <row r="1195">
      <c r="A1195" s="8"/>
      <c r="B1195" s="56" t="str">
        <f t="shared" si="2"/>
        <v/>
      </c>
      <c r="C1195" s="105"/>
      <c r="D1195" s="10"/>
      <c r="E1195" s="59" t="str">
        <f t="array" ref="E1195">IF(COUNTA(C1195:C1644)=0,"",SUM((COUNTIF(C$4:C1195,Upgrades!$B$3:$B$13)-COUNTIF(C$4:C1195,"Sell_"&amp;Upgrades!$B$3:$B$13))*Upgrades!$D$3:$D$13))</f>
        <v/>
      </c>
      <c r="F1195" s="66" t="str">
        <f>IFERROR(__xludf.DUMMYFUNCTION("IF(COUNTA(C1195:C1644)=0,"""",IF(REGEXMATCH(INDEX(FILTER(C$4:C1195,C$4:C1195&lt;&gt;""""),ROWS(FILTER(C$4:C1195,C$4:C1195&lt;&gt;""""))),""^Sell_""),INDEX(FILTER(F$4:F1194,C$4:C1194&lt;&gt;""""),ROWS(FILTER(C$4:C1194,C$4:C1194&lt;&gt;""""))),$AC$5+E1195))"),"")</f>
        <v/>
      </c>
      <c r="G1195" s="10" t="str">
        <f>IFERROR(__xludf.DUMMYFUNCTION("IF(COUNTA(C1195:C1644)=0,"""",IF(C1195="""",0,IF(REGEXMATCH(C1195,""^Sell_""),-ROUNDDOWN(ROUNDUP(INDEX(Upgrades!$C$3:$C$13,MATCH(SUBSTITUTE(C1195,""Sell_"",""""),Upgrades!$B$3:$B$13,0))*1.15^(COUNTIF(C$4:C1194,SUBSTITUTE(C1195,""Sell_"",""""))-COUNTIF(C$4"&amp;":C1194,""Sell_""&amp;SUBSTITUTE(C1195,""Sell_"",""""))))/2),ROUNDUP(INDEX(Upgrades!$C$3:$C$13,MATCH(C1195,Upgrades!$B$3:$B$13,0))*1.15^(COUNTIF(C$4:C1194,C1195)-COUNTIF(C$4:C1194,""Sell_""&amp;C1195))))))"),"")</f>
        <v/>
      </c>
      <c r="H1195" s="10" t="str">
        <f t="shared" si="3"/>
        <v/>
      </c>
      <c r="I1195" s="68" t="str">
        <f t="shared" si="4"/>
        <v/>
      </c>
      <c r="J1195" s="59" t="str">
        <f t="shared" si="5"/>
        <v/>
      </c>
      <c r="K1195" s="69" t="str">
        <f t="shared" si="6"/>
        <v/>
      </c>
      <c r="L1195" s="60" t="str">
        <f t="shared" si="7"/>
        <v/>
      </c>
      <c r="M1195" s="61" t="str">
        <f>IFERROR(__xludf.DUMMYFUNCTION("IFS(AND(COUNTA(C1195:C1644)=0,COUNTA(Q1195:Q1644)=0),"""",OR(AND(K1195&gt;=1000000000,OR(Y1195&gt;=1000000000,COUNTA(Q1195:Q1644)=0)),OR(Y1195&gt;=1000000000,AND(COUNTA(C1195:C1644)=0,P$3=TRUE))),
ROUNDDOWN((AB$1-AC$1)*MAX(INDEX(T$4:T1644,MATCH(LARGE(FILTER(Y$4:Y1"&amp;"644,Y$4:Y1644&lt;1000000000),1),Y$4:Y1644)),INDEX(F$4:F1644,MATCH(LARGE(FILTER(K$4:K1644,K$4:K1644&lt;1000000000),1),K$4:K1644)))),AND(K1195&lt;1000000000,COUNTA(C1195:C1644)&gt;0,P$3=FALSE),
ROUNDDOWN(INDEX(Y$4:Y1644,MATCH(LARGE(FILTER(W$4:W1644,W$4:W1644&lt;=I1195),1)"&amp;",W$4:W1644))+(I1195-LARGE(FILTER(W$4:W1644,W$4:W1644&lt;=I1195),1))*INDEX(T$4:T1644,MATCH(LARGE(FILTER(W$4:W1644,W$4:W1644&lt;=I1195),1),W$4:W1644))-K1195),1,
ROUNDDOWN(Y1195-INDEX(K$4:K1644,MATCH(LARGE(FILTER(I$4:I1644,I$4:I1644&lt;=W1195),1),I$4:I1644))-(W1195-L"&amp;"ARGE(FILTER(I$4:I1644,I$4:I1644&lt;=W1195),1))*INDEX(F$4:F1644,MATCH(LARGE(FILTER(I$4:I1644,I$4:I1644&lt;=W1195),1),I$4:I1644))))"),"")</f>
        <v/>
      </c>
      <c r="N1195" s="60" t="str">
        <f t="shared" si="8"/>
        <v/>
      </c>
      <c r="O1195" s="61" t="str">
        <f t="shared" si="9"/>
        <v/>
      </c>
      <c r="P1195" s="56" t="str">
        <f t="shared" si="10"/>
        <v/>
      </c>
      <c r="Q1195" s="105"/>
      <c r="R1195" s="10"/>
      <c r="S1195" s="59" t="str">
        <f t="array" ref="S1195">IF(COUNTA(Q1195:Q1644)=0,"",SUM((COUNTIF(Q$4:Q1195,Upgrades!$B$3:$B$13)-COUNTIF(Q$4:Q1195,"Sell_"&amp;Upgrades!$B$3:$B$13))*Upgrades!$D$3:$D$13))</f>
        <v/>
      </c>
      <c r="T1195" s="66" t="str">
        <f>IFERROR(__xludf.DUMMYFUNCTION("IF(COUNTA(Q1195:Q1644)=0,"""",IF(REGEXMATCH(INDEX(FILTER(Q$4:Q1195,Q$4:Q1195&lt;&gt;""""),ROWS(FILTER(Q$4:Q1195,Q$4:Q1195&lt;&gt;""""))),""^Sell_""),INDEX(FILTER(T$4:T1194,Q$4:Q1194&lt;&gt;""""),ROWS(FILTER(Q$4:Q1194,Q$4:Q1194&lt;&gt;""""))),$AD$5+S1195))"),"")</f>
        <v/>
      </c>
      <c r="U1195" s="10" t="str">
        <f>IFERROR(__xludf.DUMMYFUNCTION("IF(COUNTA(Q1195:Q1644)=0,"""",IF(Q1195="""",0,IF(REGEXMATCH(Q1195,""^Sell_""),-ROUNDDOWN(ROUNDUP(INDEX(Upgrades!$C$3:$C$13,MATCH(SUBSTITUTE(Q1195,""Sell_"",""""),Upgrades!$B$3:$B$13,0))*1.15^(COUNTIF(Q$4:Q1194,SUBSTITUTE(Q1195,""Sell_"",""""))-COUNTIF(Q$4"&amp;":Q1194,""Sell_""&amp;SUBSTITUTE(Q1195,""Sell_"",""""))))/2),ROUNDUP(INDEX(Upgrades!$C$3:$C$13,MATCH(Q1195,Upgrades!$B$3:$B$13,0))*1.15^(COUNTIF(Q$4:Q1194,Q1195)-COUNTIF(Q$4:Q1194,""Sell_""&amp;Q1195))))))"),"")</f>
        <v/>
      </c>
      <c r="V1195" s="10" t="str">
        <f t="shared" si="11"/>
        <v/>
      </c>
      <c r="W1195" s="68" t="str">
        <f t="shared" si="12"/>
        <v/>
      </c>
      <c r="X1195" s="59" t="str">
        <f t="shared" si="13"/>
        <v/>
      </c>
      <c r="Y1195" s="69" t="str">
        <f t="shared" si="14"/>
        <v/>
      </c>
      <c r="Z1195" s="11"/>
      <c r="AG1195" s="59"/>
    </row>
    <row r="1196">
      <c r="A1196" s="8"/>
      <c r="B1196" s="56" t="str">
        <f t="shared" si="2"/>
        <v/>
      </c>
      <c r="C1196" s="105"/>
      <c r="D1196" s="10"/>
      <c r="E1196" s="59" t="str">
        <f t="array" ref="E1196">IF(COUNTA(C1196:C1644)=0,"",SUM((COUNTIF(C$4:C1196,Upgrades!$B$3:$B$13)-COUNTIF(C$4:C1196,"Sell_"&amp;Upgrades!$B$3:$B$13))*Upgrades!$D$3:$D$13))</f>
        <v/>
      </c>
      <c r="F1196" s="66" t="str">
        <f>IFERROR(__xludf.DUMMYFUNCTION("IF(COUNTA(C1196:C1644)=0,"""",IF(REGEXMATCH(INDEX(FILTER(C$4:C1196,C$4:C1196&lt;&gt;""""),ROWS(FILTER(C$4:C1196,C$4:C1196&lt;&gt;""""))),""^Sell_""),INDEX(FILTER(F$4:F1195,C$4:C1195&lt;&gt;""""),ROWS(FILTER(C$4:C1195,C$4:C1195&lt;&gt;""""))),$AC$5+E1196))"),"")</f>
        <v/>
      </c>
      <c r="G1196" s="10" t="str">
        <f>IFERROR(__xludf.DUMMYFUNCTION("IF(COUNTA(C1196:C1644)=0,"""",IF(C1196="""",0,IF(REGEXMATCH(C1196,""^Sell_""),-ROUNDDOWN(ROUNDUP(INDEX(Upgrades!$C$3:$C$13,MATCH(SUBSTITUTE(C1196,""Sell_"",""""),Upgrades!$B$3:$B$13,0))*1.15^(COUNTIF(C$4:C1195,SUBSTITUTE(C1196,""Sell_"",""""))-COUNTIF(C$4"&amp;":C1195,""Sell_""&amp;SUBSTITUTE(C1196,""Sell_"",""""))))/2),ROUNDUP(INDEX(Upgrades!$C$3:$C$13,MATCH(C1196,Upgrades!$B$3:$B$13,0))*1.15^(COUNTIF(C$4:C1195,C1196)-COUNTIF(C$4:C1195,""Sell_""&amp;C1196))))))"),"")</f>
        <v/>
      </c>
      <c r="H1196" s="10" t="str">
        <f t="shared" si="3"/>
        <v/>
      </c>
      <c r="I1196" s="68" t="str">
        <f t="shared" si="4"/>
        <v/>
      </c>
      <c r="J1196" s="59" t="str">
        <f t="shared" si="5"/>
        <v/>
      </c>
      <c r="K1196" s="69" t="str">
        <f t="shared" si="6"/>
        <v/>
      </c>
      <c r="L1196" s="60" t="str">
        <f t="shared" si="7"/>
        <v/>
      </c>
      <c r="M1196" s="61" t="str">
        <f>IFERROR(__xludf.DUMMYFUNCTION("IFS(AND(COUNTA(C1196:C1644)=0,COUNTA(Q1196:Q1644)=0),"""",OR(AND(K1196&gt;=1000000000,OR(Y1196&gt;=1000000000,COUNTA(Q1196:Q1644)=0)),OR(Y1196&gt;=1000000000,AND(COUNTA(C1196:C1644)=0,P$3=TRUE))),
ROUNDDOWN((AB$1-AC$1)*MAX(INDEX(T$4:T1644,MATCH(LARGE(FILTER(Y$4:Y1"&amp;"644,Y$4:Y1644&lt;1000000000),1),Y$4:Y1644)),INDEX(F$4:F1644,MATCH(LARGE(FILTER(K$4:K1644,K$4:K1644&lt;1000000000),1),K$4:K1644)))),AND(K1196&lt;1000000000,COUNTA(C1196:C1644)&gt;0,P$3=FALSE),
ROUNDDOWN(INDEX(Y$4:Y1644,MATCH(LARGE(FILTER(W$4:W1644,W$4:W1644&lt;=I1196),1)"&amp;",W$4:W1644))+(I1196-LARGE(FILTER(W$4:W1644,W$4:W1644&lt;=I1196),1))*INDEX(T$4:T1644,MATCH(LARGE(FILTER(W$4:W1644,W$4:W1644&lt;=I1196),1),W$4:W1644))-K1196),1,
ROUNDDOWN(Y1196-INDEX(K$4:K1644,MATCH(LARGE(FILTER(I$4:I1644,I$4:I1644&lt;=W1196),1),I$4:I1644))-(W1196-L"&amp;"ARGE(FILTER(I$4:I1644,I$4:I1644&lt;=W1196),1))*INDEX(F$4:F1644,MATCH(LARGE(FILTER(I$4:I1644,I$4:I1644&lt;=W1196),1),I$4:I1644))))"),"")</f>
        <v/>
      </c>
      <c r="N1196" s="60" t="str">
        <f t="shared" si="8"/>
        <v/>
      </c>
      <c r="O1196" s="61" t="str">
        <f t="shared" si="9"/>
        <v/>
      </c>
      <c r="P1196" s="56" t="str">
        <f t="shared" si="10"/>
        <v/>
      </c>
      <c r="Q1196" s="105"/>
      <c r="R1196" s="10"/>
      <c r="S1196" s="59" t="str">
        <f t="array" ref="S1196">IF(COUNTA(Q1196:Q1644)=0,"",SUM((COUNTIF(Q$4:Q1196,Upgrades!$B$3:$B$13)-COUNTIF(Q$4:Q1196,"Sell_"&amp;Upgrades!$B$3:$B$13))*Upgrades!$D$3:$D$13))</f>
        <v/>
      </c>
      <c r="T1196" s="66" t="str">
        <f>IFERROR(__xludf.DUMMYFUNCTION("IF(COUNTA(Q1196:Q1644)=0,"""",IF(REGEXMATCH(INDEX(FILTER(Q$4:Q1196,Q$4:Q1196&lt;&gt;""""),ROWS(FILTER(Q$4:Q1196,Q$4:Q1196&lt;&gt;""""))),""^Sell_""),INDEX(FILTER(T$4:T1195,Q$4:Q1195&lt;&gt;""""),ROWS(FILTER(Q$4:Q1195,Q$4:Q1195&lt;&gt;""""))),$AD$5+S1196))"),"")</f>
        <v/>
      </c>
      <c r="U1196" s="10" t="str">
        <f>IFERROR(__xludf.DUMMYFUNCTION("IF(COUNTA(Q1196:Q1644)=0,"""",IF(Q1196="""",0,IF(REGEXMATCH(Q1196,""^Sell_""),-ROUNDDOWN(ROUNDUP(INDEX(Upgrades!$C$3:$C$13,MATCH(SUBSTITUTE(Q1196,""Sell_"",""""),Upgrades!$B$3:$B$13,0))*1.15^(COUNTIF(Q$4:Q1195,SUBSTITUTE(Q1196,""Sell_"",""""))-COUNTIF(Q$4"&amp;":Q1195,""Sell_""&amp;SUBSTITUTE(Q1196,""Sell_"",""""))))/2),ROUNDUP(INDEX(Upgrades!$C$3:$C$13,MATCH(Q1196,Upgrades!$B$3:$B$13,0))*1.15^(COUNTIF(Q$4:Q1195,Q1196)-COUNTIF(Q$4:Q1195,""Sell_""&amp;Q1196))))))"),"")</f>
        <v/>
      </c>
      <c r="V1196" s="10" t="str">
        <f t="shared" si="11"/>
        <v/>
      </c>
      <c r="W1196" s="68" t="str">
        <f t="shared" si="12"/>
        <v/>
      </c>
      <c r="X1196" s="59" t="str">
        <f t="shared" si="13"/>
        <v/>
      </c>
      <c r="Y1196" s="69" t="str">
        <f t="shared" si="14"/>
        <v/>
      </c>
      <c r="Z1196" s="11"/>
      <c r="AG1196" s="59"/>
    </row>
    <row r="1197">
      <c r="A1197" s="8"/>
      <c r="B1197" s="56" t="str">
        <f t="shared" si="2"/>
        <v/>
      </c>
      <c r="C1197" s="105"/>
      <c r="D1197" s="10"/>
      <c r="E1197" s="59" t="str">
        <f t="array" ref="E1197">IF(COUNTA(C1197:C1644)=0,"",SUM((COUNTIF(C$4:C1197,Upgrades!$B$3:$B$13)-COUNTIF(C$4:C1197,"Sell_"&amp;Upgrades!$B$3:$B$13))*Upgrades!$D$3:$D$13))</f>
        <v/>
      </c>
      <c r="F1197" s="66" t="str">
        <f>IFERROR(__xludf.DUMMYFUNCTION("IF(COUNTA(C1197:C1644)=0,"""",IF(REGEXMATCH(INDEX(FILTER(C$4:C1197,C$4:C1197&lt;&gt;""""),ROWS(FILTER(C$4:C1197,C$4:C1197&lt;&gt;""""))),""^Sell_""),INDEX(FILTER(F$4:F1196,C$4:C1196&lt;&gt;""""),ROWS(FILTER(C$4:C1196,C$4:C1196&lt;&gt;""""))),$AC$5+E1197))"),"")</f>
        <v/>
      </c>
      <c r="G1197" s="10" t="str">
        <f>IFERROR(__xludf.DUMMYFUNCTION("IF(COUNTA(C1197:C1644)=0,"""",IF(C1197="""",0,IF(REGEXMATCH(C1197,""^Sell_""),-ROUNDDOWN(ROUNDUP(INDEX(Upgrades!$C$3:$C$13,MATCH(SUBSTITUTE(C1197,""Sell_"",""""),Upgrades!$B$3:$B$13,0))*1.15^(COUNTIF(C$4:C1196,SUBSTITUTE(C1197,""Sell_"",""""))-COUNTIF(C$4"&amp;":C1196,""Sell_""&amp;SUBSTITUTE(C1197,""Sell_"",""""))))/2),ROUNDUP(INDEX(Upgrades!$C$3:$C$13,MATCH(C1197,Upgrades!$B$3:$B$13,0))*1.15^(COUNTIF(C$4:C1196,C1197)-COUNTIF(C$4:C1196,""Sell_""&amp;C1197))))))"),"")</f>
        <v/>
      </c>
      <c r="H1197" s="10" t="str">
        <f t="shared" si="3"/>
        <v/>
      </c>
      <c r="I1197" s="68" t="str">
        <f t="shared" si="4"/>
        <v/>
      </c>
      <c r="J1197" s="59" t="str">
        <f t="shared" si="5"/>
        <v/>
      </c>
      <c r="K1197" s="69" t="str">
        <f t="shared" si="6"/>
        <v/>
      </c>
      <c r="L1197" s="60" t="str">
        <f t="shared" si="7"/>
        <v/>
      </c>
      <c r="M1197" s="61" t="str">
        <f>IFERROR(__xludf.DUMMYFUNCTION("IFS(AND(COUNTA(C1197:C1644)=0,COUNTA(Q1197:Q1644)=0),"""",OR(AND(K1197&gt;=1000000000,OR(Y1197&gt;=1000000000,COUNTA(Q1197:Q1644)=0)),OR(Y1197&gt;=1000000000,AND(COUNTA(C1197:C1644)=0,P$3=TRUE))),
ROUNDDOWN((AB$1-AC$1)*MAX(INDEX(T$4:T1644,MATCH(LARGE(FILTER(Y$4:Y1"&amp;"644,Y$4:Y1644&lt;1000000000),1),Y$4:Y1644)),INDEX(F$4:F1644,MATCH(LARGE(FILTER(K$4:K1644,K$4:K1644&lt;1000000000),1),K$4:K1644)))),AND(K1197&lt;1000000000,COUNTA(C1197:C1644)&gt;0,P$3=FALSE),
ROUNDDOWN(INDEX(Y$4:Y1644,MATCH(LARGE(FILTER(W$4:W1644,W$4:W1644&lt;=I1197),1)"&amp;",W$4:W1644))+(I1197-LARGE(FILTER(W$4:W1644,W$4:W1644&lt;=I1197),1))*INDEX(T$4:T1644,MATCH(LARGE(FILTER(W$4:W1644,W$4:W1644&lt;=I1197),1),W$4:W1644))-K1197),1,
ROUNDDOWN(Y1197-INDEX(K$4:K1644,MATCH(LARGE(FILTER(I$4:I1644,I$4:I1644&lt;=W1197),1),I$4:I1644))-(W1197-L"&amp;"ARGE(FILTER(I$4:I1644,I$4:I1644&lt;=W1197),1))*INDEX(F$4:F1644,MATCH(LARGE(FILTER(I$4:I1644,I$4:I1644&lt;=W1197),1),I$4:I1644))))"),"")</f>
        <v/>
      </c>
      <c r="N1197" s="60" t="str">
        <f t="shared" si="8"/>
        <v/>
      </c>
      <c r="O1197" s="61" t="str">
        <f t="shared" si="9"/>
        <v/>
      </c>
      <c r="P1197" s="56" t="str">
        <f t="shared" si="10"/>
        <v/>
      </c>
      <c r="Q1197" s="105"/>
      <c r="R1197" s="10"/>
      <c r="S1197" s="59" t="str">
        <f t="array" ref="S1197">IF(COUNTA(Q1197:Q1644)=0,"",SUM((COUNTIF(Q$4:Q1197,Upgrades!$B$3:$B$13)-COUNTIF(Q$4:Q1197,"Sell_"&amp;Upgrades!$B$3:$B$13))*Upgrades!$D$3:$D$13))</f>
        <v/>
      </c>
      <c r="T1197" s="66" t="str">
        <f>IFERROR(__xludf.DUMMYFUNCTION("IF(COUNTA(Q1197:Q1644)=0,"""",IF(REGEXMATCH(INDEX(FILTER(Q$4:Q1197,Q$4:Q1197&lt;&gt;""""),ROWS(FILTER(Q$4:Q1197,Q$4:Q1197&lt;&gt;""""))),""^Sell_""),INDEX(FILTER(T$4:T1196,Q$4:Q1196&lt;&gt;""""),ROWS(FILTER(Q$4:Q1196,Q$4:Q1196&lt;&gt;""""))),$AD$5+S1197))"),"")</f>
        <v/>
      </c>
      <c r="U1197" s="10" t="str">
        <f>IFERROR(__xludf.DUMMYFUNCTION("IF(COUNTA(Q1197:Q1644)=0,"""",IF(Q1197="""",0,IF(REGEXMATCH(Q1197,""^Sell_""),-ROUNDDOWN(ROUNDUP(INDEX(Upgrades!$C$3:$C$13,MATCH(SUBSTITUTE(Q1197,""Sell_"",""""),Upgrades!$B$3:$B$13,0))*1.15^(COUNTIF(Q$4:Q1196,SUBSTITUTE(Q1197,""Sell_"",""""))-COUNTIF(Q$4"&amp;":Q1196,""Sell_""&amp;SUBSTITUTE(Q1197,""Sell_"",""""))))/2),ROUNDUP(INDEX(Upgrades!$C$3:$C$13,MATCH(Q1197,Upgrades!$B$3:$B$13,0))*1.15^(COUNTIF(Q$4:Q1196,Q1197)-COUNTIF(Q$4:Q1196,""Sell_""&amp;Q1197))))))"),"")</f>
        <v/>
      </c>
      <c r="V1197" s="10" t="str">
        <f t="shared" si="11"/>
        <v/>
      </c>
      <c r="W1197" s="68" t="str">
        <f t="shared" si="12"/>
        <v/>
      </c>
      <c r="X1197" s="59" t="str">
        <f t="shared" si="13"/>
        <v/>
      </c>
      <c r="Y1197" s="69" t="str">
        <f t="shared" si="14"/>
        <v/>
      </c>
      <c r="Z1197" s="11"/>
      <c r="AG1197" s="59"/>
    </row>
    <row r="1198">
      <c r="A1198" s="8"/>
      <c r="B1198" s="56" t="str">
        <f t="shared" si="2"/>
        <v/>
      </c>
      <c r="C1198" s="105"/>
      <c r="D1198" s="10"/>
      <c r="E1198" s="59" t="str">
        <f t="array" ref="E1198">IF(COUNTA(C1198:C1644)=0,"",SUM((COUNTIF(C$4:C1198,Upgrades!$B$3:$B$13)-COUNTIF(C$4:C1198,"Sell_"&amp;Upgrades!$B$3:$B$13))*Upgrades!$D$3:$D$13))</f>
        <v/>
      </c>
      <c r="F1198" s="66" t="str">
        <f>IFERROR(__xludf.DUMMYFUNCTION("IF(COUNTA(C1198:C1644)=0,"""",IF(REGEXMATCH(INDEX(FILTER(C$4:C1198,C$4:C1198&lt;&gt;""""),ROWS(FILTER(C$4:C1198,C$4:C1198&lt;&gt;""""))),""^Sell_""),INDEX(FILTER(F$4:F1197,C$4:C1197&lt;&gt;""""),ROWS(FILTER(C$4:C1197,C$4:C1197&lt;&gt;""""))),$AC$5+E1198))"),"")</f>
        <v/>
      </c>
      <c r="G1198" s="10" t="str">
        <f>IFERROR(__xludf.DUMMYFUNCTION("IF(COUNTA(C1198:C1644)=0,"""",IF(C1198="""",0,IF(REGEXMATCH(C1198,""^Sell_""),-ROUNDDOWN(ROUNDUP(INDEX(Upgrades!$C$3:$C$13,MATCH(SUBSTITUTE(C1198,""Sell_"",""""),Upgrades!$B$3:$B$13,0))*1.15^(COUNTIF(C$4:C1197,SUBSTITUTE(C1198,""Sell_"",""""))-COUNTIF(C$4"&amp;":C1197,""Sell_""&amp;SUBSTITUTE(C1198,""Sell_"",""""))))/2),ROUNDUP(INDEX(Upgrades!$C$3:$C$13,MATCH(C1198,Upgrades!$B$3:$B$13,0))*1.15^(COUNTIF(C$4:C1197,C1198)-COUNTIF(C$4:C1197,""Sell_""&amp;C1198))))))"),"")</f>
        <v/>
      </c>
      <c r="H1198" s="10" t="str">
        <f t="shared" si="3"/>
        <v/>
      </c>
      <c r="I1198" s="68" t="str">
        <f t="shared" si="4"/>
        <v/>
      </c>
      <c r="J1198" s="59" t="str">
        <f t="shared" si="5"/>
        <v/>
      </c>
      <c r="K1198" s="69" t="str">
        <f t="shared" si="6"/>
        <v/>
      </c>
      <c r="L1198" s="60" t="str">
        <f t="shared" si="7"/>
        <v/>
      </c>
      <c r="M1198" s="61" t="str">
        <f>IFERROR(__xludf.DUMMYFUNCTION("IFS(AND(COUNTA(C1198:C1644)=0,COUNTA(Q1198:Q1644)=0),"""",OR(AND(K1198&gt;=1000000000,OR(Y1198&gt;=1000000000,COUNTA(Q1198:Q1644)=0)),OR(Y1198&gt;=1000000000,AND(COUNTA(C1198:C1644)=0,P$3=TRUE))),
ROUNDDOWN((AB$1-AC$1)*MAX(INDEX(T$4:T1644,MATCH(LARGE(FILTER(Y$4:Y1"&amp;"644,Y$4:Y1644&lt;1000000000),1),Y$4:Y1644)),INDEX(F$4:F1644,MATCH(LARGE(FILTER(K$4:K1644,K$4:K1644&lt;1000000000),1),K$4:K1644)))),AND(K1198&lt;1000000000,COUNTA(C1198:C1644)&gt;0,P$3=FALSE),
ROUNDDOWN(INDEX(Y$4:Y1644,MATCH(LARGE(FILTER(W$4:W1644,W$4:W1644&lt;=I1198),1)"&amp;",W$4:W1644))+(I1198-LARGE(FILTER(W$4:W1644,W$4:W1644&lt;=I1198),1))*INDEX(T$4:T1644,MATCH(LARGE(FILTER(W$4:W1644,W$4:W1644&lt;=I1198),1),W$4:W1644))-K1198),1,
ROUNDDOWN(Y1198-INDEX(K$4:K1644,MATCH(LARGE(FILTER(I$4:I1644,I$4:I1644&lt;=W1198),1),I$4:I1644))-(W1198-L"&amp;"ARGE(FILTER(I$4:I1644,I$4:I1644&lt;=W1198),1))*INDEX(F$4:F1644,MATCH(LARGE(FILTER(I$4:I1644,I$4:I1644&lt;=W1198),1),I$4:I1644))))"),"")</f>
        <v/>
      </c>
      <c r="N1198" s="60" t="str">
        <f t="shared" si="8"/>
        <v/>
      </c>
      <c r="O1198" s="61" t="str">
        <f t="shared" si="9"/>
        <v/>
      </c>
      <c r="P1198" s="56" t="str">
        <f t="shared" si="10"/>
        <v/>
      </c>
      <c r="Q1198" s="105"/>
      <c r="R1198" s="10"/>
      <c r="S1198" s="59" t="str">
        <f t="array" ref="S1198">IF(COUNTA(Q1198:Q1644)=0,"",SUM((COUNTIF(Q$4:Q1198,Upgrades!$B$3:$B$13)-COUNTIF(Q$4:Q1198,"Sell_"&amp;Upgrades!$B$3:$B$13))*Upgrades!$D$3:$D$13))</f>
        <v/>
      </c>
      <c r="T1198" s="66" t="str">
        <f>IFERROR(__xludf.DUMMYFUNCTION("IF(COUNTA(Q1198:Q1644)=0,"""",IF(REGEXMATCH(INDEX(FILTER(Q$4:Q1198,Q$4:Q1198&lt;&gt;""""),ROWS(FILTER(Q$4:Q1198,Q$4:Q1198&lt;&gt;""""))),""^Sell_""),INDEX(FILTER(T$4:T1197,Q$4:Q1197&lt;&gt;""""),ROWS(FILTER(Q$4:Q1197,Q$4:Q1197&lt;&gt;""""))),$AD$5+S1198))"),"")</f>
        <v/>
      </c>
      <c r="U1198" s="10" t="str">
        <f>IFERROR(__xludf.DUMMYFUNCTION("IF(COUNTA(Q1198:Q1644)=0,"""",IF(Q1198="""",0,IF(REGEXMATCH(Q1198,""^Sell_""),-ROUNDDOWN(ROUNDUP(INDEX(Upgrades!$C$3:$C$13,MATCH(SUBSTITUTE(Q1198,""Sell_"",""""),Upgrades!$B$3:$B$13,0))*1.15^(COUNTIF(Q$4:Q1197,SUBSTITUTE(Q1198,""Sell_"",""""))-COUNTIF(Q$4"&amp;":Q1197,""Sell_""&amp;SUBSTITUTE(Q1198,""Sell_"",""""))))/2),ROUNDUP(INDEX(Upgrades!$C$3:$C$13,MATCH(Q1198,Upgrades!$B$3:$B$13,0))*1.15^(COUNTIF(Q$4:Q1197,Q1198)-COUNTIF(Q$4:Q1197,""Sell_""&amp;Q1198))))))"),"")</f>
        <v/>
      </c>
      <c r="V1198" s="10" t="str">
        <f t="shared" si="11"/>
        <v/>
      </c>
      <c r="W1198" s="68" t="str">
        <f t="shared" si="12"/>
        <v/>
      </c>
      <c r="X1198" s="59" t="str">
        <f t="shared" si="13"/>
        <v/>
      </c>
      <c r="Y1198" s="69" t="str">
        <f t="shared" si="14"/>
        <v/>
      </c>
      <c r="Z1198" s="11"/>
      <c r="AG1198" s="59"/>
    </row>
    <row r="1199">
      <c r="A1199" s="8"/>
      <c r="B1199" s="56" t="str">
        <f t="shared" si="2"/>
        <v/>
      </c>
      <c r="C1199" s="105"/>
      <c r="D1199" s="10"/>
      <c r="E1199" s="59" t="str">
        <f t="array" ref="E1199">IF(COUNTA(C1199:C1644)=0,"",SUM((COUNTIF(C$4:C1199,Upgrades!$B$3:$B$13)-COUNTIF(C$4:C1199,"Sell_"&amp;Upgrades!$B$3:$B$13))*Upgrades!$D$3:$D$13))</f>
        <v/>
      </c>
      <c r="F1199" s="66" t="str">
        <f>IFERROR(__xludf.DUMMYFUNCTION("IF(COUNTA(C1199:C1644)=0,"""",IF(REGEXMATCH(INDEX(FILTER(C$4:C1199,C$4:C1199&lt;&gt;""""),ROWS(FILTER(C$4:C1199,C$4:C1199&lt;&gt;""""))),""^Sell_""),INDEX(FILTER(F$4:F1198,C$4:C1198&lt;&gt;""""),ROWS(FILTER(C$4:C1198,C$4:C1198&lt;&gt;""""))),$AC$5+E1199))"),"")</f>
        <v/>
      </c>
      <c r="G1199" s="10" t="str">
        <f>IFERROR(__xludf.DUMMYFUNCTION("IF(COUNTA(C1199:C1644)=0,"""",IF(C1199="""",0,IF(REGEXMATCH(C1199,""^Sell_""),-ROUNDDOWN(ROUNDUP(INDEX(Upgrades!$C$3:$C$13,MATCH(SUBSTITUTE(C1199,""Sell_"",""""),Upgrades!$B$3:$B$13,0))*1.15^(COUNTIF(C$4:C1198,SUBSTITUTE(C1199,""Sell_"",""""))-COUNTIF(C$4"&amp;":C1198,""Sell_""&amp;SUBSTITUTE(C1199,""Sell_"",""""))))/2),ROUNDUP(INDEX(Upgrades!$C$3:$C$13,MATCH(C1199,Upgrades!$B$3:$B$13,0))*1.15^(COUNTIF(C$4:C1198,C1199)-COUNTIF(C$4:C1198,""Sell_""&amp;C1199))))))"),"")</f>
        <v/>
      </c>
      <c r="H1199" s="10" t="str">
        <f t="shared" si="3"/>
        <v/>
      </c>
      <c r="I1199" s="68" t="str">
        <f t="shared" si="4"/>
        <v/>
      </c>
      <c r="J1199" s="59" t="str">
        <f t="shared" si="5"/>
        <v/>
      </c>
      <c r="K1199" s="69" t="str">
        <f t="shared" si="6"/>
        <v/>
      </c>
      <c r="L1199" s="60" t="str">
        <f t="shared" si="7"/>
        <v/>
      </c>
      <c r="M1199" s="61" t="str">
        <f>IFERROR(__xludf.DUMMYFUNCTION("IFS(AND(COUNTA(C1199:C1644)=0,COUNTA(Q1199:Q1644)=0),"""",OR(AND(K1199&gt;=1000000000,OR(Y1199&gt;=1000000000,COUNTA(Q1199:Q1644)=0)),OR(Y1199&gt;=1000000000,AND(COUNTA(C1199:C1644)=0,P$3=TRUE))),
ROUNDDOWN((AB$1-AC$1)*MAX(INDEX(T$4:T1644,MATCH(LARGE(FILTER(Y$4:Y1"&amp;"644,Y$4:Y1644&lt;1000000000),1),Y$4:Y1644)),INDEX(F$4:F1644,MATCH(LARGE(FILTER(K$4:K1644,K$4:K1644&lt;1000000000),1),K$4:K1644)))),AND(K1199&lt;1000000000,COUNTA(C1199:C1644)&gt;0,P$3=FALSE),
ROUNDDOWN(INDEX(Y$4:Y1644,MATCH(LARGE(FILTER(W$4:W1644,W$4:W1644&lt;=I1199),1)"&amp;",W$4:W1644))+(I1199-LARGE(FILTER(W$4:W1644,W$4:W1644&lt;=I1199),1))*INDEX(T$4:T1644,MATCH(LARGE(FILTER(W$4:W1644,W$4:W1644&lt;=I1199),1),W$4:W1644))-K1199),1,
ROUNDDOWN(Y1199-INDEX(K$4:K1644,MATCH(LARGE(FILTER(I$4:I1644,I$4:I1644&lt;=W1199),1),I$4:I1644))-(W1199-L"&amp;"ARGE(FILTER(I$4:I1644,I$4:I1644&lt;=W1199),1))*INDEX(F$4:F1644,MATCH(LARGE(FILTER(I$4:I1644,I$4:I1644&lt;=W1199),1),I$4:I1644))))"),"")</f>
        <v/>
      </c>
      <c r="N1199" s="60" t="str">
        <f t="shared" si="8"/>
        <v/>
      </c>
      <c r="O1199" s="61" t="str">
        <f t="shared" si="9"/>
        <v/>
      </c>
      <c r="P1199" s="56" t="str">
        <f t="shared" si="10"/>
        <v/>
      </c>
      <c r="Q1199" s="105"/>
      <c r="R1199" s="10"/>
      <c r="S1199" s="59" t="str">
        <f t="array" ref="S1199">IF(COUNTA(Q1199:Q1644)=0,"",SUM((COUNTIF(Q$4:Q1199,Upgrades!$B$3:$B$13)-COUNTIF(Q$4:Q1199,"Sell_"&amp;Upgrades!$B$3:$B$13))*Upgrades!$D$3:$D$13))</f>
        <v/>
      </c>
      <c r="T1199" s="66" t="str">
        <f>IFERROR(__xludf.DUMMYFUNCTION("IF(COUNTA(Q1199:Q1644)=0,"""",IF(REGEXMATCH(INDEX(FILTER(Q$4:Q1199,Q$4:Q1199&lt;&gt;""""),ROWS(FILTER(Q$4:Q1199,Q$4:Q1199&lt;&gt;""""))),""^Sell_""),INDEX(FILTER(T$4:T1198,Q$4:Q1198&lt;&gt;""""),ROWS(FILTER(Q$4:Q1198,Q$4:Q1198&lt;&gt;""""))),$AD$5+S1199))"),"")</f>
        <v/>
      </c>
      <c r="U1199" s="10" t="str">
        <f>IFERROR(__xludf.DUMMYFUNCTION("IF(COUNTA(Q1199:Q1644)=0,"""",IF(Q1199="""",0,IF(REGEXMATCH(Q1199,""^Sell_""),-ROUNDDOWN(ROUNDUP(INDEX(Upgrades!$C$3:$C$13,MATCH(SUBSTITUTE(Q1199,""Sell_"",""""),Upgrades!$B$3:$B$13,0))*1.15^(COUNTIF(Q$4:Q1198,SUBSTITUTE(Q1199,""Sell_"",""""))-COUNTIF(Q$4"&amp;":Q1198,""Sell_""&amp;SUBSTITUTE(Q1199,""Sell_"",""""))))/2),ROUNDUP(INDEX(Upgrades!$C$3:$C$13,MATCH(Q1199,Upgrades!$B$3:$B$13,0))*1.15^(COUNTIF(Q$4:Q1198,Q1199)-COUNTIF(Q$4:Q1198,""Sell_""&amp;Q1199))))))"),"")</f>
        <v/>
      </c>
      <c r="V1199" s="10" t="str">
        <f t="shared" si="11"/>
        <v/>
      </c>
      <c r="W1199" s="68" t="str">
        <f t="shared" si="12"/>
        <v/>
      </c>
      <c r="X1199" s="59" t="str">
        <f t="shared" si="13"/>
        <v/>
      </c>
      <c r="Y1199" s="69" t="str">
        <f t="shared" si="14"/>
        <v/>
      </c>
      <c r="Z1199" s="11"/>
      <c r="AG1199" s="59"/>
    </row>
    <row r="1200">
      <c r="A1200" s="8"/>
      <c r="B1200" s="56" t="str">
        <f t="shared" si="2"/>
        <v/>
      </c>
      <c r="C1200" s="105"/>
      <c r="D1200" s="10"/>
      <c r="E1200" s="59" t="str">
        <f t="array" ref="E1200">IF(COUNTA(C1200:C1644)=0,"",SUM((COUNTIF(C$4:C1200,Upgrades!$B$3:$B$13)-COUNTIF(C$4:C1200,"Sell_"&amp;Upgrades!$B$3:$B$13))*Upgrades!$D$3:$D$13))</f>
        <v/>
      </c>
      <c r="F1200" s="66" t="str">
        <f>IFERROR(__xludf.DUMMYFUNCTION("IF(COUNTA(C1200:C1644)=0,"""",IF(REGEXMATCH(INDEX(FILTER(C$4:C1200,C$4:C1200&lt;&gt;""""),ROWS(FILTER(C$4:C1200,C$4:C1200&lt;&gt;""""))),""^Sell_""),INDEX(FILTER(F$4:F1199,C$4:C1199&lt;&gt;""""),ROWS(FILTER(C$4:C1199,C$4:C1199&lt;&gt;""""))),$AC$5+E1200))"),"")</f>
        <v/>
      </c>
      <c r="G1200" s="10" t="str">
        <f>IFERROR(__xludf.DUMMYFUNCTION("IF(COUNTA(C1200:C1644)=0,"""",IF(C1200="""",0,IF(REGEXMATCH(C1200,""^Sell_""),-ROUNDDOWN(ROUNDUP(INDEX(Upgrades!$C$3:$C$13,MATCH(SUBSTITUTE(C1200,""Sell_"",""""),Upgrades!$B$3:$B$13,0))*1.15^(COUNTIF(C$4:C1199,SUBSTITUTE(C1200,""Sell_"",""""))-COUNTIF(C$4"&amp;":C1199,""Sell_""&amp;SUBSTITUTE(C1200,""Sell_"",""""))))/2),ROUNDUP(INDEX(Upgrades!$C$3:$C$13,MATCH(C1200,Upgrades!$B$3:$B$13,0))*1.15^(COUNTIF(C$4:C1199,C1200)-COUNTIF(C$4:C1199,""Sell_""&amp;C1200))))))"),"")</f>
        <v/>
      </c>
      <c r="H1200" s="10" t="str">
        <f t="shared" si="3"/>
        <v/>
      </c>
      <c r="I1200" s="68" t="str">
        <f t="shared" si="4"/>
        <v/>
      </c>
      <c r="J1200" s="59" t="str">
        <f t="shared" si="5"/>
        <v/>
      </c>
      <c r="K1200" s="69" t="str">
        <f t="shared" si="6"/>
        <v/>
      </c>
      <c r="L1200" s="60" t="str">
        <f t="shared" si="7"/>
        <v/>
      </c>
      <c r="M1200" s="61" t="str">
        <f>IFERROR(__xludf.DUMMYFUNCTION("IFS(AND(COUNTA(C1200:C1644)=0,COUNTA(Q1200:Q1644)=0),"""",OR(AND(K1200&gt;=1000000000,OR(Y1200&gt;=1000000000,COUNTA(Q1200:Q1644)=0)),OR(Y1200&gt;=1000000000,AND(COUNTA(C1200:C1644)=0,P$3=TRUE))),
ROUNDDOWN((AB$1-AC$1)*MAX(INDEX(T$4:T1644,MATCH(LARGE(FILTER(Y$4:Y1"&amp;"644,Y$4:Y1644&lt;1000000000),1),Y$4:Y1644)),INDEX(F$4:F1644,MATCH(LARGE(FILTER(K$4:K1644,K$4:K1644&lt;1000000000),1),K$4:K1644)))),AND(K1200&lt;1000000000,COUNTA(C1200:C1644)&gt;0,P$3=FALSE),
ROUNDDOWN(INDEX(Y$4:Y1644,MATCH(LARGE(FILTER(W$4:W1644,W$4:W1644&lt;=I1200),1)"&amp;",W$4:W1644))+(I1200-LARGE(FILTER(W$4:W1644,W$4:W1644&lt;=I1200),1))*INDEX(T$4:T1644,MATCH(LARGE(FILTER(W$4:W1644,W$4:W1644&lt;=I1200),1),W$4:W1644))-K1200),1,
ROUNDDOWN(Y1200-INDEX(K$4:K1644,MATCH(LARGE(FILTER(I$4:I1644,I$4:I1644&lt;=W1200),1),I$4:I1644))-(W1200-L"&amp;"ARGE(FILTER(I$4:I1644,I$4:I1644&lt;=W1200),1))*INDEX(F$4:F1644,MATCH(LARGE(FILTER(I$4:I1644,I$4:I1644&lt;=W1200),1),I$4:I1644))))"),"")</f>
        <v/>
      </c>
      <c r="N1200" s="60" t="str">
        <f t="shared" si="8"/>
        <v/>
      </c>
      <c r="O1200" s="61" t="str">
        <f t="shared" si="9"/>
        <v/>
      </c>
      <c r="P1200" s="56" t="str">
        <f t="shared" si="10"/>
        <v/>
      </c>
      <c r="Q1200" s="105"/>
      <c r="R1200" s="10"/>
      <c r="S1200" s="59" t="str">
        <f t="array" ref="S1200">IF(COUNTA(Q1200:Q1644)=0,"",SUM((COUNTIF(Q$4:Q1200,Upgrades!$B$3:$B$13)-COUNTIF(Q$4:Q1200,"Sell_"&amp;Upgrades!$B$3:$B$13))*Upgrades!$D$3:$D$13))</f>
        <v/>
      </c>
      <c r="T1200" s="66" t="str">
        <f>IFERROR(__xludf.DUMMYFUNCTION("IF(COUNTA(Q1200:Q1644)=0,"""",IF(REGEXMATCH(INDEX(FILTER(Q$4:Q1200,Q$4:Q1200&lt;&gt;""""),ROWS(FILTER(Q$4:Q1200,Q$4:Q1200&lt;&gt;""""))),""^Sell_""),INDEX(FILTER(T$4:T1199,Q$4:Q1199&lt;&gt;""""),ROWS(FILTER(Q$4:Q1199,Q$4:Q1199&lt;&gt;""""))),$AD$5+S1200))"),"")</f>
        <v/>
      </c>
      <c r="U1200" s="10" t="str">
        <f>IFERROR(__xludf.DUMMYFUNCTION("IF(COUNTA(Q1200:Q1644)=0,"""",IF(Q1200="""",0,IF(REGEXMATCH(Q1200,""^Sell_""),-ROUNDDOWN(ROUNDUP(INDEX(Upgrades!$C$3:$C$13,MATCH(SUBSTITUTE(Q1200,""Sell_"",""""),Upgrades!$B$3:$B$13,0))*1.15^(COUNTIF(Q$4:Q1199,SUBSTITUTE(Q1200,""Sell_"",""""))-COUNTIF(Q$4"&amp;":Q1199,""Sell_""&amp;SUBSTITUTE(Q1200,""Sell_"",""""))))/2),ROUNDUP(INDEX(Upgrades!$C$3:$C$13,MATCH(Q1200,Upgrades!$B$3:$B$13,0))*1.15^(COUNTIF(Q$4:Q1199,Q1200)-COUNTIF(Q$4:Q1199,""Sell_""&amp;Q1200))))))"),"")</f>
        <v/>
      </c>
      <c r="V1200" s="10" t="str">
        <f t="shared" si="11"/>
        <v/>
      </c>
      <c r="W1200" s="68" t="str">
        <f t="shared" si="12"/>
        <v/>
      </c>
      <c r="X1200" s="59" t="str">
        <f t="shared" si="13"/>
        <v/>
      </c>
      <c r="Y1200" s="69" t="str">
        <f t="shared" si="14"/>
        <v/>
      </c>
      <c r="Z1200" s="11"/>
      <c r="AG1200" s="59"/>
    </row>
    <row r="1201">
      <c r="A1201" s="8"/>
      <c r="B1201" s="56" t="str">
        <f t="shared" si="2"/>
        <v/>
      </c>
      <c r="C1201" s="105"/>
      <c r="D1201" s="10"/>
      <c r="E1201" s="59" t="str">
        <f t="array" ref="E1201">IF(COUNTA(C1201:C1644)=0,"",SUM((COUNTIF(C$4:C1201,Upgrades!$B$3:$B$13)-COUNTIF(C$4:C1201,"Sell_"&amp;Upgrades!$B$3:$B$13))*Upgrades!$D$3:$D$13))</f>
        <v/>
      </c>
      <c r="F1201" s="66" t="str">
        <f>IFERROR(__xludf.DUMMYFUNCTION("IF(COUNTA(C1201:C1644)=0,"""",IF(REGEXMATCH(INDEX(FILTER(C$4:C1201,C$4:C1201&lt;&gt;""""),ROWS(FILTER(C$4:C1201,C$4:C1201&lt;&gt;""""))),""^Sell_""),INDEX(FILTER(F$4:F1200,C$4:C1200&lt;&gt;""""),ROWS(FILTER(C$4:C1200,C$4:C1200&lt;&gt;""""))),$AC$5+E1201))"),"")</f>
        <v/>
      </c>
      <c r="G1201" s="10" t="str">
        <f>IFERROR(__xludf.DUMMYFUNCTION("IF(COUNTA(C1201:C1644)=0,"""",IF(C1201="""",0,IF(REGEXMATCH(C1201,""^Sell_""),-ROUNDDOWN(ROUNDUP(INDEX(Upgrades!$C$3:$C$13,MATCH(SUBSTITUTE(C1201,""Sell_"",""""),Upgrades!$B$3:$B$13,0))*1.15^(COUNTIF(C$4:C1200,SUBSTITUTE(C1201,""Sell_"",""""))-COUNTIF(C$4"&amp;":C1200,""Sell_""&amp;SUBSTITUTE(C1201,""Sell_"",""""))))/2),ROUNDUP(INDEX(Upgrades!$C$3:$C$13,MATCH(C1201,Upgrades!$B$3:$B$13,0))*1.15^(COUNTIF(C$4:C1200,C1201)-COUNTIF(C$4:C1200,""Sell_""&amp;C1201))))))"),"")</f>
        <v/>
      </c>
      <c r="H1201" s="10" t="str">
        <f t="shared" si="3"/>
        <v/>
      </c>
      <c r="I1201" s="68" t="str">
        <f t="shared" si="4"/>
        <v/>
      </c>
      <c r="J1201" s="59" t="str">
        <f t="shared" si="5"/>
        <v/>
      </c>
      <c r="K1201" s="69" t="str">
        <f t="shared" si="6"/>
        <v/>
      </c>
      <c r="L1201" s="60" t="str">
        <f t="shared" si="7"/>
        <v/>
      </c>
      <c r="M1201" s="61" t="str">
        <f>IFERROR(__xludf.DUMMYFUNCTION("IFS(AND(COUNTA(C1201:C1644)=0,COUNTA(Q1201:Q1644)=0),"""",OR(AND(K1201&gt;=1000000000,OR(Y1201&gt;=1000000000,COUNTA(Q1201:Q1644)=0)),OR(Y1201&gt;=1000000000,AND(COUNTA(C1201:C1644)=0,P$3=TRUE))),
ROUNDDOWN((AB$1-AC$1)*MAX(INDEX(T$4:T1644,MATCH(LARGE(FILTER(Y$4:Y1"&amp;"644,Y$4:Y1644&lt;1000000000),1),Y$4:Y1644)),INDEX(F$4:F1644,MATCH(LARGE(FILTER(K$4:K1644,K$4:K1644&lt;1000000000),1),K$4:K1644)))),AND(K1201&lt;1000000000,COUNTA(C1201:C1644)&gt;0,P$3=FALSE),
ROUNDDOWN(INDEX(Y$4:Y1644,MATCH(LARGE(FILTER(W$4:W1644,W$4:W1644&lt;=I1201),1)"&amp;",W$4:W1644))+(I1201-LARGE(FILTER(W$4:W1644,W$4:W1644&lt;=I1201),1))*INDEX(T$4:T1644,MATCH(LARGE(FILTER(W$4:W1644,W$4:W1644&lt;=I1201),1),W$4:W1644))-K1201),1,
ROUNDDOWN(Y1201-INDEX(K$4:K1644,MATCH(LARGE(FILTER(I$4:I1644,I$4:I1644&lt;=W1201),1),I$4:I1644))-(W1201-L"&amp;"ARGE(FILTER(I$4:I1644,I$4:I1644&lt;=W1201),1))*INDEX(F$4:F1644,MATCH(LARGE(FILTER(I$4:I1644,I$4:I1644&lt;=W1201),1),I$4:I1644))))"),"")</f>
        <v/>
      </c>
      <c r="N1201" s="60" t="str">
        <f t="shared" si="8"/>
        <v/>
      </c>
      <c r="O1201" s="61" t="str">
        <f t="shared" si="9"/>
        <v/>
      </c>
      <c r="P1201" s="56" t="str">
        <f t="shared" si="10"/>
        <v/>
      </c>
      <c r="Q1201" s="105"/>
      <c r="R1201" s="10"/>
      <c r="S1201" s="59" t="str">
        <f t="array" ref="S1201">IF(COUNTA(Q1201:Q1644)=0,"",SUM((COUNTIF(Q$4:Q1201,Upgrades!$B$3:$B$13)-COUNTIF(Q$4:Q1201,"Sell_"&amp;Upgrades!$B$3:$B$13))*Upgrades!$D$3:$D$13))</f>
        <v/>
      </c>
      <c r="T1201" s="66" t="str">
        <f>IFERROR(__xludf.DUMMYFUNCTION("IF(COUNTA(Q1201:Q1644)=0,"""",IF(REGEXMATCH(INDEX(FILTER(Q$4:Q1201,Q$4:Q1201&lt;&gt;""""),ROWS(FILTER(Q$4:Q1201,Q$4:Q1201&lt;&gt;""""))),""^Sell_""),INDEX(FILTER(T$4:T1200,Q$4:Q1200&lt;&gt;""""),ROWS(FILTER(Q$4:Q1200,Q$4:Q1200&lt;&gt;""""))),$AD$5+S1201))"),"")</f>
        <v/>
      </c>
      <c r="U1201" s="10" t="str">
        <f>IFERROR(__xludf.DUMMYFUNCTION("IF(COUNTA(Q1201:Q1644)=0,"""",IF(Q1201="""",0,IF(REGEXMATCH(Q1201,""^Sell_""),-ROUNDDOWN(ROUNDUP(INDEX(Upgrades!$C$3:$C$13,MATCH(SUBSTITUTE(Q1201,""Sell_"",""""),Upgrades!$B$3:$B$13,0))*1.15^(COUNTIF(Q$4:Q1200,SUBSTITUTE(Q1201,""Sell_"",""""))-COUNTIF(Q$4"&amp;":Q1200,""Sell_""&amp;SUBSTITUTE(Q1201,""Sell_"",""""))))/2),ROUNDUP(INDEX(Upgrades!$C$3:$C$13,MATCH(Q1201,Upgrades!$B$3:$B$13,0))*1.15^(COUNTIF(Q$4:Q1200,Q1201)-COUNTIF(Q$4:Q1200,""Sell_""&amp;Q1201))))))"),"")</f>
        <v/>
      </c>
      <c r="V1201" s="10" t="str">
        <f t="shared" si="11"/>
        <v/>
      </c>
      <c r="W1201" s="68" t="str">
        <f t="shared" si="12"/>
        <v/>
      </c>
      <c r="X1201" s="59" t="str">
        <f t="shared" si="13"/>
        <v/>
      </c>
      <c r="Y1201" s="69" t="str">
        <f t="shared" si="14"/>
        <v/>
      </c>
      <c r="Z1201" s="11"/>
      <c r="AG1201" s="59"/>
    </row>
    <row r="1202">
      <c r="A1202" s="8"/>
      <c r="B1202" s="56" t="str">
        <f t="shared" si="2"/>
        <v/>
      </c>
      <c r="C1202" s="105"/>
      <c r="D1202" s="10"/>
      <c r="E1202" s="59" t="str">
        <f t="array" ref="E1202">IF(COUNTA(C1202:C1644)=0,"",SUM((COUNTIF(C$4:C1202,Upgrades!$B$3:$B$13)-COUNTIF(C$4:C1202,"Sell_"&amp;Upgrades!$B$3:$B$13))*Upgrades!$D$3:$D$13))</f>
        <v/>
      </c>
      <c r="F1202" s="66" t="str">
        <f>IFERROR(__xludf.DUMMYFUNCTION("IF(COUNTA(C1202:C1644)=0,"""",IF(REGEXMATCH(INDEX(FILTER(C$4:C1202,C$4:C1202&lt;&gt;""""),ROWS(FILTER(C$4:C1202,C$4:C1202&lt;&gt;""""))),""^Sell_""),INDEX(FILTER(F$4:F1201,C$4:C1201&lt;&gt;""""),ROWS(FILTER(C$4:C1201,C$4:C1201&lt;&gt;""""))),$AC$5+E1202))"),"")</f>
        <v/>
      </c>
      <c r="G1202" s="10" t="str">
        <f>IFERROR(__xludf.DUMMYFUNCTION("IF(COUNTA(C1202:C1644)=0,"""",IF(C1202="""",0,IF(REGEXMATCH(C1202,""^Sell_""),-ROUNDDOWN(ROUNDUP(INDEX(Upgrades!$C$3:$C$13,MATCH(SUBSTITUTE(C1202,""Sell_"",""""),Upgrades!$B$3:$B$13,0))*1.15^(COUNTIF(C$4:C1201,SUBSTITUTE(C1202,""Sell_"",""""))-COUNTIF(C$4"&amp;":C1201,""Sell_""&amp;SUBSTITUTE(C1202,""Sell_"",""""))))/2),ROUNDUP(INDEX(Upgrades!$C$3:$C$13,MATCH(C1202,Upgrades!$B$3:$B$13,0))*1.15^(COUNTIF(C$4:C1201,C1202)-COUNTIF(C$4:C1201,""Sell_""&amp;C1202))))))"),"")</f>
        <v/>
      </c>
      <c r="H1202" s="10" t="str">
        <f t="shared" si="3"/>
        <v/>
      </c>
      <c r="I1202" s="68" t="str">
        <f t="shared" si="4"/>
        <v/>
      </c>
      <c r="J1202" s="59" t="str">
        <f t="shared" si="5"/>
        <v/>
      </c>
      <c r="K1202" s="69" t="str">
        <f t="shared" si="6"/>
        <v/>
      </c>
      <c r="L1202" s="60" t="str">
        <f t="shared" si="7"/>
        <v/>
      </c>
      <c r="M1202" s="61" t="str">
        <f>IFERROR(__xludf.DUMMYFUNCTION("IFS(AND(COUNTA(C1202:C1644)=0,COUNTA(Q1202:Q1644)=0),"""",OR(AND(K1202&gt;=1000000000,OR(Y1202&gt;=1000000000,COUNTA(Q1202:Q1644)=0)),OR(Y1202&gt;=1000000000,AND(COUNTA(C1202:C1644)=0,P$3=TRUE))),
ROUNDDOWN((AB$1-AC$1)*MAX(INDEX(T$4:T1644,MATCH(LARGE(FILTER(Y$4:Y1"&amp;"644,Y$4:Y1644&lt;1000000000),1),Y$4:Y1644)),INDEX(F$4:F1644,MATCH(LARGE(FILTER(K$4:K1644,K$4:K1644&lt;1000000000),1),K$4:K1644)))),AND(K1202&lt;1000000000,COUNTA(C1202:C1644)&gt;0,P$3=FALSE),
ROUNDDOWN(INDEX(Y$4:Y1644,MATCH(LARGE(FILTER(W$4:W1644,W$4:W1644&lt;=I1202),1)"&amp;",W$4:W1644))+(I1202-LARGE(FILTER(W$4:W1644,W$4:W1644&lt;=I1202),1))*INDEX(T$4:T1644,MATCH(LARGE(FILTER(W$4:W1644,W$4:W1644&lt;=I1202),1),W$4:W1644))-K1202),1,
ROUNDDOWN(Y1202-INDEX(K$4:K1644,MATCH(LARGE(FILTER(I$4:I1644,I$4:I1644&lt;=W1202),1),I$4:I1644))-(W1202-L"&amp;"ARGE(FILTER(I$4:I1644,I$4:I1644&lt;=W1202),1))*INDEX(F$4:F1644,MATCH(LARGE(FILTER(I$4:I1644,I$4:I1644&lt;=W1202),1),I$4:I1644))))"),"")</f>
        <v/>
      </c>
      <c r="N1202" s="60" t="str">
        <f t="shared" si="8"/>
        <v/>
      </c>
      <c r="O1202" s="61" t="str">
        <f t="shared" si="9"/>
        <v/>
      </c>
      <c r="P1202" s="56" t="str">
        <f t="shared" si="10"/>
        <v/>
      </c>
      <c r="Q1202" s="105"/>
      <c r="R1202" s="10"/>
      <c r="S1202" s="59" t="str">
        <f t="array" ref="S1202">IF(COUNTA(Q1202:Q1644)=0,"",SUM((COUNTIF(Q$4:Q1202,Upgrades!$B$3:$B$13)-COUNTIF(Q$4:Q1202,"Sell_"&amp;Upgrades!$B$3:$B$13))*Upgrades!$D$3:$D$13))</f>
        <v/>
      </c>
      <c r="T1202" s="66" t="str">
        <f>IFERROR(__xludf.DUMMYFUNCTION("IF(COUNTA(Q1202:Q1644)=0,"""",IF(REGEXMATCH(INDEX(FILTER(Q$4:Q1202,Q$4:Q1202&lt;&gt;""""),ROWS(FILTER(Q$4:Q1202,Q$4:Q1202&lt;&gt;""""))),""^Sell_""),INDEX(FILTER(T$4:T1201,Q$4:Q1201&lt;&gt;""""),ROWS(FILTER(Q$4:Q1201,Q$4:Q1201&lt;&gt;""""))),$AD$5+S1202))"),"")</f>
        <v/>
      </c>
      <c r="U1202" s="10" t="str">
        <f>IFERROR(__xludf.DUMMYFUNCTION("IF(COUNTA(Q1202:Q1644)=0,"""",IF(Q1202="""",0,IF(REGEXMATCH(Q1202,""^Sell_""),-ROUNDDOWN(ROUNDUP(INDEX(Upgrades!$C$3:$C$13,MATCH(SUBSTITUTE(Q1202,""Sell_"",""""),Upgrades!$B$3:$B$13,0))*1.15^(COUNTIF(Q$4:Q1201,SUBSTITUTE(Q1202,""Sell_"",""""))-COUNTIF(Q$4"&amp;":Q1201,""Sell_""&amp;SUBSTITUTE(Q1202,""Sell_"",""""))))/2),ROUNDUP(INDEX(Upgrades!$C$3:$C$13,MATCH(Q1202,Upgrades!$B$3:$B$13,0))*1.15^(COUNTIF(Q$4:Q1201,Q1202)-COUNTIF(Q$4:Q1201,""Sell_""&amp;Q1202))))))"),"")</f>
        <v/>
      </c>
      <c r="V1202" s="10" t="str">
        <f t="shared" si="11"/>
        <v/>
      </c>
      <c r="W1202" s="68" t="str">
        <f t="shared" si="12"/>
        <v/>
      </c>
      <c r="X1202" s="59" t="str">
        <f t="shared" si="13"/>
        <v/>
      </c>
      <c r="Y1202" s="69" t="str">
        <f t="shared" si="14"/>
        <v/>
      </c>
      <c r="Z1202" s="11"/>
      <c r="AG1202" s="59"/>
    </row>
    <row r="1203">
      <c r="A1203" s="8"/>
      <c r="B1203" s="56" t="str">
        <f t="shared" si="2"/>
        <v/>
      </c>
      <c r="C1203" s="105"/>
      <c r="D1203" s="10"/>
      <c r="E1203" s="59" t="str">
        <f t="array" ref="E1203">IF(COUNTA(C1203:C1644)=0,"",SUM((COUNTIF(C$4:C1203,Upgrades!$B$3:$B$13)-COUNTIF(C$4:C1203,"Sell_"&amp;Upgrades!$B$3:$B$13))*Upgrades!$D$3:$D$13))</f>
        <v/>
      </c>
      <c r="F1203" s="66" t="str">
        <f>IFERROR(__xludf.DUMMYFUNCTION("IF(COUNTA(C1203:C1644)=0,"""",IF(REGEXMATCH(INDEX(FILTER(C$4:C1203,C$4:C1203&lt;&gt;""""),ROWS(FILTER(C$4:C1203,C$4:C1203&lt;&gt;""""))),""^Sell_""),INDEX(FILTER(F$4:F1202,C$4:C1202&lt;&gt;""""),ROWS(FILTER(C$4:C1202,C$4:C1202&lt;&gt;""""))),$AC$5+E1203))"),"")</f>
        <v/>
      </c>
      <c r="G1203" s="10" t="str">
        <f>IFERROR(__xludf.DUMMYFUNCTION("IF(COUNTA(C1203:C1644)=0,"""",IF(C1203="""",0,IF(REGEXMATCH(C1203,""^Sell_""),-ROUNDDOWN(ROUNDUP(INDEX(Upgrades!$C$3:$C$13,MATCH(SUBSTITUTE(C1203,""Sell_"",""""),Upgrades!$B$3:$B$13,0))*1.15^(COUNTIF(C$4:C1202,SUBSTITUTE(C1203,""Sell_"",""""))-COUNTIF(C$4"&amp;":C1202,""Sell_""&amp;SUBSTITUTE(C1203,""Sell_"",""""))))/2),ROUNDUP(INDEX(Upgrades!$C$3:$C$13,MATCH(C1203,Upgrades!$B$3:$B$13,0))*1.15^(COUNTIF(C$4:C1202,C1203)-COUNTIF(C$4:C1202,""Sell_""&amp;C1203))))))"),"")</f>
        <v/>
      </c>
      <c r="H1203" s="10" t="str">
        <f t="shared" si="3"/>
        <v/>
      </c>
      <c r="I1203" s="68" t="str">
        <f t="shared" si="4"/>
        <v/>
      </c>
      <c r="J1203" s="59" t="str">
        <f t="shared" si="5"/>
        <v/>
      </c>
      <c r="K1203" s="69" t="str">
        <f t="shared" si="6"/>
        <v/>
      </c>
      <c r="L1203" s="60" t="str">
        <f t="shared" si="7"/>
        <v/>
      </c>
      <c r="M1203" s="61" t="str">
        <f>IFERROR(__xludf.DUMMYFUNCTION("IFS(AND(COUNTA(C1203:C1644)=0,COUNTA(Q1203:Q1644)=0),"""",OR(AND(K1203&gt;=1000000000,OR(Y1203&gt;=1000000000,COUNTA(Q1203:Q1644)=0)),OR(Y1203&gt;=1000000000,AND(COUNTA(C1203:C1644)=0,P$3=TRUE))),
ROUNDDOWN((AB$1-AC$1)*MAX(INDEX(T$4:T1644,MATCH(LARGE(FILTER(Y$4:Y1"&amp;"644,Y$4:Y1644&lt;1000000000),1),Y$4:Y1644)),INDEX(F$4:F1644,MATCH(LARGE(FILTER(K$4:K1644,K$4:K1644&lt;1000000000),1),K$4:K1644)))),AND(K1203&lt;1000000000,COUNTA(C1203:C1644)&gt;0,P$3=FALSE),
ROUNDDOWN(INDEX(Y$4:Y1644,MATCH(LARGE(FILTER(W$4:W1644,W$4:W1644&lt;=I1203),1)"&amp;",W$4:W1644))+(I1203-LARGE(FILTER(W$4:W1644,W$4:W1644&lt;=I1203),1))*INDEX(T$4:T1644,MATCH(LARGE(FILTER(W$4:W1644,W$4:W1644&lt;=I1203),1),W$4:W1644))-K1203),1,
ROUNDDOWN(Y1203-INDEX(K$4:K1644,MATCH(LARGE(FILTER(I$4:I1644,I$4:I1644&lt;=W1203),1),I$4:I1644))-(W1203-L"&amp;"ARGE(FILTER(I$4:I1644,I$4:I1644&lt;=W1203),1))*INDEX(F$4:F1644,MATCH(LARGE(FILTER(I$4:I1644,I$4:I1644&lt;=W1203),1),I$4:I1644))))"),"")</f>
        <v/>
      </c>
      <c r="N1203" s="60" t="str">
        <f t="shared" si="8"/>
        <v/>
      </c>
      <c r="O1203" s="61" t="str">
        <f t="shared" si="9"/>
        <v/>
      </c>
      <c r="P1203" s="56" t="str">
        <f t="shared" si="10"/>
        <v/>
      </c>
      <c r="Q1203" s="105"/>
      <c r="R1203" s="10"/>
      <c r="S1203" s="59" t="str">
        <f t="array" ref="S1203">IF(COUNTA(Q1203:Q1644)=0,"",SUM((COUNTIF(Q$4:Q1203,Upgrades!$B$3:$B$13)-COUNTIF(Q$4:Q1203,"Sell_"&amp;Upgrades!$B$3:$B$13))*Upgrades!$D$3:$D$13))</f>
        <v/>
      </c>
      <c r="T1203" s="66" t="str">
        <f>IFERROR(__xludf.DUMMYFUNCTION("IF(COUNTA(Q1203:Q1644)=0,"""",IF(REGEXMATCH(INDEX(FILTER(Q$4:Q1203,Q$4:Q1203&lt;&gt;""""),ROWS(FILTER(Q$4:Q1203,Q$4:Q1203&lt;&gt;""""))),""^Sell_""),INDEX(FILTER(T$4:T1202,Q$4:Q1202&lt;&gt;""""),ROWS(FILTER(Q$4:Q1202,Q$4:Q1202&lt;&gt;""""))),$AD$5+S1203))"),"")</f>
        <v/>
      </c>
      <c r="U1203" s="10" t="str">
        <f>IFERROR(__xludf.DUMMYFUNCTION("IF(COUNTA(Q1203:Q1644)=0,"""",IF(Q1203="""",0,IF(REGEXMATCH(Q1203,""^Sell_""),-ROUNDDOWN(ROUNDUP(INDEX(Upgrades!$C$3:$C$13,MATCH(SUBSTITUTE(Q1203,""Sell_"",""""),Upgrades!$B$3:$B$13,0))*1.15^(COUNTIF(Q$4:Q1202,SUBSTITUTE(Q1203,""Sell_"",""""))-COUNTIF(Q$4"&amp;":Q1202,""Sell_""&amp;SUBSTITUTE(Q1203,""Sell_"",""""))))/2),ROUNDUP(INDEX(Upgrades!$C$3:$C$13,MATCH(Q1203,Upgrades!$B$3:$B$13,0))*1.15^(COUNTIF(Q$4:Q1202,Q1203)-COUNTIF(Q$4:Q1202,""Sell_""&amp;Q1203))))))"),"")</f>
        <v/>
      </c>
      <c r="V1203" s="10" t="str">
        <f t="shared" si="11"/>
        <v/>
      </c>
      <c r="W1203" s="68" t="str">
        <f t="shared" si="12"/>
        <v/>
      </c>
      <c r="X1203" s="59" t="str">
        <f t="shared" si="13"/>
        <v/>
      </c>
      <c r="Y1203" s="69" t="str">
        <f t="shared" si="14"/>
        <v/>
      </c>
      <c r="Z1203" s="11"/>
      <c r="AG1203" s="59"/>
    </row>
    <row r="1204">
      <c r="A1204" s="8"/>
      <c r="B1204" s="56" t="str">
        <f t="shared" si="2"/>
        <v/>
      </c>
      <c r="C1204" s="105"/>
      <c r="D1204" s="10"/>
      <c r="E1204" s="59" t="str">
        <f t="array" ref="E1204">IF(COUNTA(C1204:C1644)=0,"",SUM((COUNTIF(C$4:C1204,Upgrades!$B$3:$B$13)-COUNTIF(C$4:C1204,"Sell_"&amp;Upgrades!$B$3:$B$13))*Upgrades!$D$3:$D$13))</f>
        <v/>
      </c>
      <c r="F1204" s="66" t="str">
        <f>IFERROR(__xludf.DUMMYFUNCTION("IF(COUNTA(C1204:C1644)=0,"""",IF(REGEXMATCH(INDEX(FILTER(C$4:C1204,C$4:C1204&lt;&gt;""""),ROWS(FILTER(C$4:C1204,C$4:C1204&lt;&gt;""""))),""^Sell_""),INDEX(FILTER(F$4:F1203,C$4:C1203&lt;&gt;""""),ROWS(FILTER(C$4:C1203,C$4:C1203&lt;&gt;""""))),$AC$5+E1204))"),"")</f>
        <v/>
      </c>
      <c r="G1204" s="10" t="str">
        <f>IFERROR(__xludf.DUMMYFUNCTION("IF(COUNTA(C1204:C1644)=0,"""",IF(C1204="""",0,IF(REGEXMATCH(C1204,""^Sell_""),-ROUNDDOWN(ROUNDUP(INDEX(Upgrades!$C$3:$C$13,MATCH(SUBSTITUTE(C1204,""Sell_"",""""),Upgrades!$B$3:$B$13,0))*1.15^(COUNTIF(C$4:C1203,SUBSTITUTE(C1204,""Sell_"",""""))-COUNTIF(C$4"&amp;":C1203,""Sell_""&amp;SUBSTITUTE(C1204,""Sell_"",""""))))/2),ROUNDUP(INDEX(Upgrades!$C$3:$C$13,MATCH(C1204,Upgrades!$B$3:$B$13,0))*1.15^(COUNTIF(C$4:C1203,C1204)-COUNTIF(C$4:C1203,""Sell_""&amp;C1204))))))"),"")</f>
        <v/>
      </c>
      <c r="H1204" s="10" t="str">
        <f t="shared" si="3"/>
        <v/>
      </c>
      <c r="I1204" s="68" t="str">
        <f t="shared" si="4"/>
        <v/>
      </c>
      <c r="J1204" s="59" t="str">
        <f t="shared" si="5"/>
        <v/>
      </c>
      <c r="K1204" s="69" t="str">
        <f t="shared" si="6"/>
        <v/>
      </c>
      <c r="L1204" s="60" t="str">
        <f t="shared" si="7"/>
        <v/>
      </c>
      <c r="M1204" s="61" t="str">
        <f>IFERROR(__xludf.DUMMYFUNCTION("IFS(AND(COUNTA(C1204:C1644)=0,COUNTA(Q1204:Q1644)=0),"""",OR(AND(K1204&gt;=1000000000,OR(Y1204&gt;=1000000000,COUNTA(Q1204:Q1644)=0)),OR(Y1204&gt;=1000000000,AND(COUNTA(C1204:C1644)=0,P$3=TRUE))),
ROUNDDOWN((AB$1-AC$1)*MAX(INDEX(T$4:T1644,MATCH(LARGE(FILTER(Y$4:Y1"&amp;"644,Y$4:Y1644&lt;1000000000),1),Y$4:Y1644)),INDEX(F$4:F1644,MATCH(LARGE(FILTER(K$4:K1644,K$4:K1644&lt;1000000000),1),K$4:K1644)))),AND(K1204&lt;1000000000,COUNTA(C1204:C1644)&gt;0,P$3=FALSE),
ROUNDDOWN(INDEX(Y$4:Y1644,MATCH(LARGE(FILTER(W$4:W1644,W$4:W1644&lt;=I1204),1)"&amp;",W$4:W1644))+(I1204-LARGE(FILTER(W$4:W1644,W$4:W1644&lt;=I1204),1))*INDEX(T$4:T1644,MATCH(LARGE(FILTER(W$4:W1644,W$4:W1644&lt;=I1204),1),W$4:W1644))-K1204),1,
ROUNDDOWN(Y1204-INDEX(K$4:K1644,MATCH(LARGE(FILTER(I$4:I1644,I$4:I1644&lt;=W1204),1),I$4:I1644))-(W1204-L"&amp;"ARGE(FILTER(I$4:I1644,I$4:I1644&lt;=W1204),1))*INDEX(F$4:F1644,MATCH(LARGE(FILTER(I$4:I1644,I$4:I1644&lt;=W1204),1),I$4:I1644))))"),"")</f>
        <v/>
      </c>
      <c r="N1204" s="60" t="str">
        <f t="shared" si="8"/>
        <v/>
      </c>
      <c r="O1204" s="61" t="str">
        <f t="shared" si="9"/>
        <v/>
      </c>
      <c r="P1204" s="56" t="str">
        <f t="shared" si="10"/>
        <v/>
      </c>
      <c r="Q1204" s="105"/>
      <c r="R1204" s="10"/>
      <c r="S1204" s="59" t="str">
        <f t="array" ref="S1204">IF(COUNTA(Q1204:Q1644)=0,"",SUM((COUNTIF(Q$4:Q1204,Upgrades!$B$3:$B$13)-COUNTIF(Q$4:Q1204,"Sell_"&amp;Upgrades!$B$3:$B$13))*Upgrades!$D$3:$D$13))</f>
        <v/>
      </c>
      <c r="T1204" s="66" t="str">
        <f>IFERROR(__xludf.DUMMYFUNCTION("IF(COUNTA(Q1204:Q1644)=0,"""",IF(REGEXMATCH(INDEX(FILTER(Q$4:Q1204,Q$4:Q1204&lt;&gt;""""),ROWS(FILTER(Q$4:Q1204,Q$4:Q1204&lt;&gt;""""))),""^Sell_""),INDEX(FILTER(T$4:T1203,Q$4:Q1203&lt;&gt;""""),ROWS(FILTER(Q$4:Q1203,Q$4:Q1203&lt;&gt;""""))),$AD$5+S1204))"),"")</f>
        <v/>
      </c>
      <c r="U1204" s="10" t="str">
        <f>IFERROR(__xludf.DUMMYFUNCTION("IF(COUNTA(Q1204:Q1644)=0,"""",IF(Q1204="""",0,IF(REGEXMATCH(Q1204,""^Sell_""),-ROUNDDOWN(ROUNDUP(INDEX(Upgrades!$C$3:$C$13,MATCH(SUBSTITUTE(Q1204,""Sell_"",""""),Upgrades!$B$3:$B$13,0))*1.15^(COUNTIF(Q$4:Q1203,SUBSTITUTE(Q1204,""Sell_"",""""))-COUNTIF(Q$4"&amp;":Q1203,""Sell_""&amp;SUBSTITUTE(Q1204,""Sell_"",""""))))/2),ROUNDUP(INDEX(Upgrades!$C$3:$C$13,MATCH(Q1204,Upgrades!$B$3:$B$13,0))*1.15^(COUNTIF(Q$4:Q1203,Q1204)-COUNTIF(Q$4:Q1203,""Sell_""&amp;Q1204))))))"),"")</f>
        <v/>
      </c>
      <c r="V1204" s="10" t="str">
        <f t="shared" si="11"/>
        <v/>
      </c>
      <c r="W1204" s="68" t="str">
        <f t="shared" si="12"/>
        <v/>
      </c>
      <c r="X1204" s="59" t="str">
        <f t="shared" si="13"/>
        <v/>
      </c>
      <c r="Y1204" s="69" t="str">
        <f t="shared" si="14"/>
        <v/>
      </c>
      <c r="Z1204" s="11"/>
      <c r="AG1204" s="59"/>
    </row>
    <row r="1205">
      <c r="A1205" s="8"/>
      <c r="B1205" s="56" t="str">
        <f t="shared" si="2"/>
        <v/>
      </c>
      <c r="C1205" s="105"/>
      <c r="D1205" s="10"/>
      <c r="E1205" s="59" t="str">
        <f t="array" ref="E1205">IF(COUNTA(C1205:C1644)=0,"",SUM((COUNTIF(C$4:C1205,Upgrades!$B$3:$B$13)-COUNTIF(C$4:C1205,"Sell_"&amp;Upgrades!$B$3:$B$13))*Upgrades!$D$3:$D$13))</f>
        <v/>
      </c>
      <c r="F1205" s="66" t="str">
        <f>IFERROR(__xludf.DUMMYFUNCTION("IF(COUNTA(C1205:C1644)=0,"""",IF(REGEXMATCH(INDEX(FILTER(C$4:C1205,C$4:C1205&lt;&gt;""""),ROWS(FILTER(C$4:C1205,C$4:C1205&lt;&gt;""""))),""^Sell_""),INDEX(FILTER(F$4:F1204,C$4:C1204&lt;&gt;""""),ROWS(FILTER(C$4:C1204,C$4:C1204&lt;&gt;""""))),$AC$5+E1205))"),"")</f>
        <v/>
      </c>
      <c r="G1205" s="10" t="str">
        <f>IFERROR(__xludf.DUMMYFUNCTION("IF(COUNTA(C1205:C1644)=0,"""",IF(C1205="""",0,IF(REGEXMATCH(C1205,""^Sell_""),-ROUNDDOWN(ROUNDUP(INDEX(Upgrades!$C$3:$C$13,MATCH(SUBSTITUTE(C1205,""Sell_"",""""),Upgrades!$B$3:$B$13,0))*1.15^(COUNTIF(C$4:C1204,SUBSTITUTE(C1205,""Sell_"",""""))-COUNTIF(C$4"&amp;":C1204,""Sell_""&amp;SUBSTITUTE(C1205,""Sell_"",""""))))/2),ROUNDUP(INDEX(Upgrades!$C$3:$C$13,MATCH(C1205,Upgrades!$B$3:$B$13,0))*1.15^(COUNTIF(C$4:C1204,C1205)-COUNTIF(C$4:C1204,""Sell_""&amp;C1205))))))"),"")</f>
        <v/>
      </c>
      <c r="H1205" s="10" t="str">
        <f t="shared" si="3"/>
        <v/>
      </c>
      <c r="I1205" s="68" t="str">
        <f t="shared" si="4"/>
        <v/>
      </c>
      <c r="J1205" s="59" t="str">
        <f t="shared" si="5"/>
        <v/>
      </c>
      <c r="K1205" s="69" t="str">
        <f t="shared" si="6"/>
        <v/>
      </c>
      <c r="L1205" s="60" t="str">
        <f t="shared" si="7"/>
        <v/>
      </c>
      <c r="M1205" s="61" t="str">
        <f>IFERROR(__xludf.DUMMYFUNCTION("IFS(AND(COUNTA(C1205:C1644)=0,COUNTA(Q1205:Q1644)=0),"""",OR(AND(K1205&gt;=1000000000,OR(Y1205&gt;=1000000000,COUNTA(Q1205:Q1644)=0)),OR(Y1205&gt;=1000000000,AND(COUNTA(C1205:C1644)=0,P$3=TRUE))),
ROUNDDOWN((AB$1-AC$1)*MAX(INDEX(T$4:T1644,MATCH(LARGE(FILTER(Y$4:Y1"&amp;"644,Y$4:Y1644&lt;1000000000),1),Y$4:Y1644)),INDEX(F$4:F1644,MATCH(LARGE(FILTER(K$4:K1644,K$4:K1644&lt;1000000000),1),K$4:K1644)))),AND(K1205&lt;1000000000,COUNTA(C1205:C1644)&gt;0,P$3=FALSE),
ROUNDDOWN(INDEX(Y$4:Y1644,MATCH(LARGE(FILTER(W$4:W1644,W$4:W1644&lt;=I1205),1)"&amp;",W$4:W1644))+(I1205-LARGE(FILTER(W$4:W1644,W$4:W1644&lt;=I1205),1))*INDEX(T$4:T1644,MATCH(LARGE(FILTER(W$4:W1644,W$4:W1644&lt;=I1205),1),W$4:W1644))-K1205),1,
ROUNDDOWN(Y1205-INDEX(K$4:K1644,MATCH(LARGE(FILTER(I$4:I1644,I$4:I1644&lt;=W1205),1),I$4:I1644))-(W1205-L"&amp;"ARGE(FILTER(I$4:I1644,I$4:I1644&lt;=W1205),1))*INDEX(F$4:F1644,MATCH(LARGE(FILTER(I$4:I1644,I$4:I1644&lt;=W1205),1),I$4:I1644))))"),"")</f>
        <v/>
      </c>
      <c r="N1205" s="60" t="str">
        <f t="shared" si="8"/>
        <v/>
      </c>
      <c r="O1205" s="61" t="str">
        <f t="shared" si="9"/>
        <v/>
      </c>
      <c r="P1205" s="56" t="str">
        <f t="shared" si="10"/>
        <v/>
      </c>
      <c r="Q1205" s="105"/>
      <c r="R1205" s="10"/>
      <c r="S1205" s="59" t="str">
        <f t="array" ref="S1205">IF(COUNTA(Q1205:Q1644)=0,"",SUM((COUNTIF(Q$4:Q1205,Upgrades!$B$3:$B$13)-COUNTIF(Q$4:Q1205,"Sell_"&amp;Upgrades!$B$3:$B$13))*Upgrades!$D$3:$D$13))</f>
        <v/>
      </c>
      <c r="T1205" s="66" t="str">
        <f>IFERROR(__xludf.DUMMYFUNCTION("IF(COUNTA(Q1205:Q1644)=0,"""",IF(REGEXMATCH(INDEX(FILTER(Q$4:Q1205,Q$4:Q1205&lt;&gt;""""),ROWS(FILTER(Q$4:Q1205,Q$4:Q1205&lt;&gt;""""))),""^Sell_""),INDEX(FILTER(T$4:T1204,Q$4:Q1204&lt;&gt;""""),ROWS(FILTER(Q$4:Q1204,Q$4:Q1204&lt;&gt;""""))),$AD$5+S1205))"),"")</f>
        <v/>
      </c>
      <c r="U1205" s="10" t="str">
        <f>IFERROR(__xludf.DUMMYFUNCTION("IF(COUNTA(Q1205:Q1644)=0,"""",IF(Q1205="""",0,IF(REGEXMATCH(Q1205,""^Sell_""),-ROUNDDOWN(ROUNDUP(INDEX(Upgrades!$C$3:$C$13,MATCH(SUBSTITUTE(Q1205,""Sell_"",""""),Upgrades!$B$3:$B$13,0))*1.15^(COUNTIF(Q$4:Q1204,SUBSTITUTE(Q1205,""Sell_"",""""))-COUNTIF(Q$4"&amp;":Q1204,""Sell_""&amp;SUBSTITUTE(Q1205,""Sell_"",""""))))/2),ROUNDUP(INDEX(Upgrades!$C$3:$C$13,MATCH(Q1205,Upgrades!$B$3:$B$13,0))*1.15^(COUNTIF(Q$4:Q1204,Q1205)-COUNTIF(Q$4:Q1204,""Sell_""&amp;Q1205))))))"),"")</f>
        <v/>
      </c>
      <c r="V1205" s="10" t="str">
        <f t="shared" si="11"/>
        <v/>
      </c>
      <c r="W1205" s="68" t="str">
        <f t="shared" si="12"/>
        <v/>
      </c>
      <c r="X1205" s="59" t="str">
        <f t="shared" si="13"/>
        <v/>
      </c>
      <c r="Y1205" s="69" t="str">
        <f t="shared" si="14"/>
        <v/>
      </c>
      <c r="Z1205" s="11"/>
      <c r="AG1205" s="59"/>
    </row>
    <row r="1206">
      <c r="A1206" s="8"/>
      <c r="B1206" s="56" t="str">
        <f t="shared" si="2"/>
        <v/>
      </c>
      <c r="C1206" s="105"/>
      <c r="D1206" s="10"/>
      <c r="E1206" s="59" t="str">
        <f t="array" ref="E1206">IF(COUNTA(C1206:C1644)=0,"",SUM((COUNTIF(C$4:C1206,Upgrades!$B$3:$B$13)-COUNTIF(C$4:C1206,"Sell_"&amp;Upgrades!$B$3:$B$13))*Upgrades!$D$3:$D$13))</f>
        <v/>
      </c>
      <c r="F1206" s="66" t="str">
        <f>IFERROR(__xludf.DUMMYFUNCTION("IF(COUNTA(C1206:C1644)=0,"""",IF(REGEXMATCH(INDEX(FILTER(C$4:C1206,C$4:C1206&lt;&gt;""""),ROWS(FILTER(C$4:C1206,C$4:C1206&lt;&gt;""""))),""^Sell_""),INDEX(FILTER(F$4:F1205,C$4:C1205&lt;&gt;""""),ROWS(FILTER(C$4:C1205,C$4:C1205&lt;&gt;""""))),$AC$5+E1206))"),"")</f>
        <v/>
      </c>
      <c r="G1206" s="10" t="str">
        <f>IFERROR(__xludf.DUMMYFUNCTION("IF(COUNTA(C1206:C1644)=0,"""",IF(C1206="""",0,IF(REGEXMATCH(C1206,""^Sell_""),-ROUNDDOWN(ROUNDUP(INDEX(Upgrades!$C$3:$C$13,MATCH(SUBSTITUTE(C1206,""Sell_"",""""),Upgrades!$B$3:$B$13,0))*1.15^(COUNTIF(C$4:C1205,SUBSTITUTE(C1206,""Sell_"",""""))-COUNTIF(C$4"&amp;":C1205,""Sell_""&amp;SUBSTITUTE(C1206,""Sell_"",""""))))/2),ROUNDUP(INDEX(Upgrades!$C$3:$C$13,MATCH(C1206,Upgrades!$B$3:$B$13,0))*1.15^(COUNTIF(C$4:C1205,C1206)-COUNTIF(C$4:C1205,""Sell_""&amp;C1206))))))"),"")</f>
        <v/>
      </c>
      <c r="H1206" s="10" t="str">
        <f t="shared" si="3"/>
        <v/>
      </c>
      <c r="I1206" s="68" t="str">
        <f t="shared" si="4"/>
        <v/>
      </c>
      <c r="J1206" s="59" t="str">
        <f t="shared" si="5"/>
        <v/>
      </c>
      <c r="K1206" s="69" t="str">
        <f t="shared" si="6"/>
        <v/>
      </c>
      <c r="L1206" s="60" t="str">
        <f t="shared" si="7"/>
        <v/>
      </c>
      <c r="M1206" s="61" t="str">
        <f>IFERROR(__xludf.DUMMYFUNCTION("IFS(AND(COUNTA(C1206:C1644)=0,COUNTA(Q1206:Q1644)=0),"""",OR(AND(K1206&gt;=1000000000,OR(Y1206&gt;=1000000000,COUNTA(Q1206:Q1644)=0)),OR(Y1206&gt;=1000000000,AND(COUNTA(C1206:C1644)=0,P$3=TRUE))),
ROUNDDOWN((AB$1-AC$1)*MAX(INDEX(T$4:T1644,MATCH(LARGE(FILTER(Y$4:Y1"&amp;"644,Y$4:Y1644&lt;1000000000),1),Y$4:Y1644)),INDEX(F$4:F1644,MATCH(LARGE(FILTER(K$4:K1644,K$4:K1644&lt;1000000000),1),K$4:K1644)))),AND(K1206&lt;1000000000,COUNTA(C1206:C1644)&gt;0,P$3=FALSE),
ROUNDDOWN(INDEX(Y$4:Y1644,MATCH(LARGE(FILTER(W$4:W1644,W$4:W1644&lt;=I1206),1)"&amp;",W$4:W1644))+(I1206-LARGE(FILTER(W$4:W1644,W$4:W1644&lt;=I1206),1))*INDEX(T$4:T1644,MATCH(LARGE(FILTER(W$4:W1644,W$4:W1644&lt;=I1206),1),W$4:W1644))-K1206),1,
ROUNDDOWN(Y1206-INDEX(K$4:K1644,MATCH(LARGE(FILTER(I$4:I1644,I$4:I1644&lt;=W1206),1),I$4:I1644))-(W1206-L"&amp;"ARGE(FILTER(I$4:I1644,I$4:I1644&lt;=W1206),1))*INDEX(F$4:F1644,MATCH(LARGE(FILTER(I$4:I1644,I$4:I1644&lt;=W1206),1),I$4:I1644))))"),"")</f>
        <v/>
      </c>
      <c r="N1206" s="60" t="str">
        <f t="shared" si="8"/>
        <v/>
      </c>
      <c r="O1206" s="61" t="str">
        <f t="shared" si="9"/>
        <v/>
      </c>
      <c r="P1206" s="56" t="str">
        <f t="shared" si="10"/>
        <v/>
      </c>
      <c r="Q1206" s="105"/>
      <c r="R1206" s="10"/>
      <c r="S1206" s="59" t="str">
        <f t="array" ref="S1206">IF(COUNTA(Q1206:Q1644)=0,"",SUM((COUNTIF(Q$4:Q1206,Upgrades!$B$3:$B$13)-COUNTIF(Q$4:Q1206,"Sell_"&amp;Upgrades!$B$3:$B$13))*Upgrades!$D$3:$D$13))</f>
        <v/>
      </c>
      <c r="T1206" s="66" t="str">
        <f>IFERROR(__xludf.DUMMYFUNCTION("IF(COUNTA(Q1206:Q1644)=0,"""",IF(REGEXMATCH(INDEX(FILTER(Q$4:Q1206,Q$4:Q1206&lt;&gt;""""),ROWS(FILTER(Q$4:Q1206,Q$4:Q1206&lt;&gt;""""))),""^Sell_""),INDEX(FILTER(T$4:T1205,Q$4:Q1205&lt;&gt;""""),ROWS(FILTER(Q$4:Q1205,Q$4:Q1205&lt;&gt;""""))),$AD$5+S1206))"),"")</f>
        <v/>
      </c>
      <c r="U1206" s="10" t="str">
        <f>IFERROR(__xludf.DUMMYFUNCTION("IF(COUNTA(Q1206:Q1644)=0,"""",IF(Q1206="""",0,IF(REGEXMATCH(Q1206,""^Sell_""),-ROUNDDOWN(ROUNDUP(INDEX(Upgrades!$C$3:$C$13,MATCH(SUBSTITUTE(Q1206,""Sell_"",""""),Upgrades!$B$3:$B$13,0))*1.15^(COUNTIF(Q$4:Q1205,SUBSTITUTE(Q1206,""Sell_"",""""))-COUNTIF(Q$4"&amp;":Q1205,""Sell_""&amp;SUBSTITUTE(Q1206,""Sell_"",""""))))/2),ROUNDUP(INDEX(Upgrades!$C$3:$C$13,MATCH(Q1206,Upgrades!$B$3:$B$13,0))*1.15^(COUNTIF(Q$4:Q1205,Q1206)-COUNTIF(Q$4:Q1205,""Sell_""&amp;Q1206))))))"),"")</f>
        <v/>
      </c>
      <c r="V1206" s="10" t="str">
        <f t="shared" si="11"/>
        <v/>
      </c>
      <c r="W1206" s="68" t="str">
        <f t="shared" si="12"/>
        <v/>
      </c>
      <c r="X1206" s="59" t="str">
        <f t="shared" si="13"/>
        <v/>
      </c>
      <c r="Y1206" s="69" t="str">
        <f t="shared" si="14"/>
        <v/>
      </c>
      <c r="Z1206" s="11"/>
      <c r="AG1206" s="59"/>
    </row>
    <row r="1207">
      <c r="A1207" s="8"/>
      <c r="B1207" s="56" t="str">
        <f t="shared" si="2"/>
        <v/>
      </c>
      <c r="C1207" s="105"/>
      <c r="D1207" s="10"/>
      <c r="E1207" s="59" t="str">
        <f t="array" ref="E1207">IF(COUNTA(C1207:C1644)=0,"",SUM((COUNTIF(C$4:C1207,Upgrades!$B$3:$B$13)-COUNTIF(C$4:C1207,"Sell_"&amp;Upgrades!$B$3:$B$13))*Upgrades!$D$3:$D$13))</f>
        <v/>
      </c>
      <c r="F1207" s="66" t="str">
        <f>IFERROR(__xludf.DUMMYFUNCTION("IF(COUNTA(C1207:C1644)=0,"""",IF(REGEXMATCH(INDEX(FILTER(C$4:C1207,C$4:C1207&lt;&gt;""""),ROWS(FILTER(C$4:C1207,C$4:C1207&lt;&gt;""""))),""^Sell_""),INDEX(FILTER(F$4:F1206,C$4:C1206&lt;&gt;""""),ROWS(FILTER(C$4:C1206,C$4:C1206&lt;&gt;""""))),$AC$5+E1207))"),"")</f>
        <v/>
      </c>
      <c r="G1207" s="10" t="str">
        <f>IFERROR(__xludf.DUMMYFUNCTION("IF(COUNTA(C1207:C1644)=0,"""",IF(C1207="""",0,IF(REGEXMATCH(C1207,""^Sell_""),-ROUNDDOWN(ROUNDUP(INDEX(Upgrades!$C$3:$C$13,MATCH(SUBSTITUTE(C1207,""Sell_"",""""),Upgrades!$B$3:$B$13,0))*1.15^(COUNTIF(C$4:C1206,SUBSTITUTE(C1207,""Sell_"",""""))-COUNTIF(C$4"&amp;":C1206,""Sell_""&amp;SUBSTITUTE(C1207,""Sell_"",""""))))/2),ROUNDUP(INDEX(Upgrades!$C$3:$C$13,MATCH(C1207,Upgrades!$B$3:$B$13,0))*1.15^(COUNTIF(C$4:C1206,C1207)-COUNTIF(C$4:C1206,""Sell_""&amp;C1207))))))"),"")</f>
        <v/>
      </c>
      <c r="H1207" s="10" t="str">
        <f t="shared" si="3"/>
        <v/>
      </c>
      <c r="I1207" s="68" t="str">
        <f t="shared" si="4"/>
        <v/>
      </c>
      <c r="J1207" s="59" t="str">
        <f t="shared" si="5"/>
        <v/>
      </c>
      <c r="K1207" s="69" t="str">
        <f t="shared" si="6"/>
        <v/>
      </c>
      <c r="L1207" s="60" t="str">
        <f t="shared" si="7"/>
        <v/>
      </c>
      <c r="M1207" s="61" t="str">
        <f>IFERROR(__xludf.DUMMYFUNCTION("IFS(AND(COUNTA(C1207:C1644)=0,COUNTA(Q1207:Q1644)=0),"""",OR(AND(K1207&gt;=1000000000,OR(Y1207&gt;=1000000000,COUNTA(Q1207:Q1644)=0)),OR(Y1207&gt;=1000000000,AND(COUNTA(C1207:C1644)=0,P$3=TRUE))),
ROUNDDOWN((AB$1-AC$1)*MAX(INDEX(T$4:T1644,MATCH(LARGE(FILTER(Y$4:Y1"&amp;"644,Y$4:Y1644&lt;1000000000),1),Y$4:Y1644)),INDEX(F$4:F1644,MATCH(LARGE(FILTER(K$4:K1644,K$4:K1644&lt;1000000000),1),K$4:K1644)))),AND(K1207&lt;1000000000,COUNTA(C1207:C1644)&gt;0,P$3=FALSE),
ROUNDDOWN(INDEX(Y$4:Y1644,MATCH(LARGE(FILTER(W$4:W1644,W$4:W1644&lt;=I1207),1)"&amp;",W$4:W1644))+(I1207-LARGE(FILTER(W$4:W1644,W$4:W1644&lt;=I1207),1))*INDEX(T$4:T1644,MATCH(LARGE(FILTER(W$4:W1644,W$4:W1644&lt;=I1207),1),W$4:W1644))-K1207),1,
ROUNDDOWN(Y1207-INDEX(K$4:K1644,MATCH(LARGE(FILTER(I$4:I1644,I$4:I1644&lt;=W1207),1),I$4:I1644))-(W1207-L"&amp;"ARGE(FILTER(I$4:I1644,I$4:I1644&lt;=W1207),1))*INDEX(F$4:F1644,MATCH(LARGE(FILTER(I$4:I1644,I$4:I1644&lt;=W1207),1),I$4:I1644))))"),"")</f>
        <v/>
      </c>
      <c r="N1207" s="60" t="str">
        <f t="shared" si="8"/>
        <v/>
      </c>
      <c r="O1207" s="61" t="str">
        <f t="shared" si="9"/>
        <v/>
      </c>
      <c r="P1207" s="56" t="str">
        <f t="shared" si="10"/>
        <v/>
      </c>
      <c r="Q1207" s="105"/>
      <c r="R1207" s="10"/>
      <c r="S1207" s="59" t="str">
        <f t="array" ref="S1207">IF(COUNTA(Q1207:Q1644)=0,"",SUM((COUNTIF(Q$4:Q1207,Upgrades!$B$3:$B$13)-COUNTIF(Q$4:Q1207,"Sell_"&amp;Upgrades!$B$3:$B$13))*Upgrades!$D$3:$D$13))</f>
        <v/>
      </c>
      <c r="T1207" s="66" t="str">
        <f>IFERROR(__xludf.DUMMYFUNCTION("IF(COUNTA(Q1207:Q1644)=0,"""",IF(REGEXMATCH(INDEX(FILTER(Q$4:Q1207,Q$4:Q1207&lt;&gt;""""),ROWS(FILTER(Q$4:Q1207,Q$4:Q1207&lt;&gt;""""))),""^Sell_""),INDEX(FILTER(T$4:T1206,Q$4:Q1206&lt;&gt;""""),ROWS(FILTER(Q$4:Q1206,Q$4:Q1206&lt;&gt;""""))),$AD$5+S1207))"),"")</f>
        <v/>
      </c>
      <c r="U1207" s="10" t="str">
        <f>IFERROR(__xludf.DUMMYFUNCTION("IF(COUNTA(Q1207:Q1644)=0,"""",IF(Q1207="""",0,IF(REGEXMATCH(Q1207,""^Sell_""),-ROUNDDOWN(ROUNDUP(INDEX(Upgrades!$C$3:$C$13,MATCH(SUBSTITUTE(Q1207,""Sell_"",""""),Upgrades!$B$3:$B$13,0))*1.15^(COUNTIF(Q$4:Q1206,SUBSTITUTE(Q1207,""Sell_"",""""))-COUNTIF(Q$4"&amp;":Q1206,""Sell_""&amp;SUBSTITUTE(Q1207,""Sell_"",""""))))/2),ROUNDUP(INDEX(Upgrades!$C$3:$C$13,MATCH(Q1207,Upgrades!$B$3:$B$13,0))*1.15^(COUNTIF(Q$4:Q1206,Q1207)-COUNTIF(Q$4:Q1206,""Sell_""&amp;Q1207))))))"),"")</f>
        <v/>
      </c>
      <c r="V1207" s="10" t="str">
        <f t="shared" si="11"/>
        <v/>
      </c>
      <c r="W1207" s="68" t="str">
        <f t="shared" si="12"/>
        <v/>
      </c>
      <c r="X1207" s="59" t="str">
        <f t="shared" si="13"/>
        <v/>
      </c>
      <c r="Y1207" s="69" t="str">
        <f t="shared" si="14"/>
        <v/>
      </c>
      <c r="Z1207" s="11"/>
      <c r="AG1207" s="59"/>
    </row>
    <row r="1208">
      <c r="A1208" s="8"/>
      <c r="B1208" s="56" t="str">
        <f t="shared" si="2"/>
        <v/>
      </c>
      <c r="C1208" s="105"/>
      <c r="D1208" s="10"/>
      <c r="E1208" s="59" t="str">
        <f t="array" ref="E1208">IF(COUNTA(C1208:C1644)=0,"",SUM((COUNTIF(C$4:C1208,Upgrades!$B$3:$B$13)-COUNTIF(C$4:C1208,"Sell_"&amp;Upgrades!$B$3:$B$13))*Upgrades!$D$3:$D$13))</f>
        <v/>
      </c>
      <c r="F1208" s="66" t="str">
        <f>IFERROR(__xludf.DUMMYFUNCTION("IF(COUNTA(C1208:C1644)=0,"""",IF(REGEXMATCH(INDEX(FILTER(C$4:C1208,C$4:C1208&lt;&gt;""""),ROWS(FILTER(C$4:C1208,C$4:C1208&lt;&gt;""""))),""^Sell_""),INDEX(FILTER(F$4:F1207,C$4:C1207&lt;&gt;""""),ROWS(FILTER(C$4:C1207,C$4:C1207&lt;&gt;""""))),$AC$5+E1208))"),"")</f>
        <v/>
      </c>
      <c r="G1208" s="10" t="str">
        <f>IFERROR(__xludf.DUMMYFUNCTION("IF(COUNTA(C1208:C1644)=0,"""",IF(C1208="""",0,IF(REGEXMATCH(C1208,""^Sell_""),-ROUNDDOWN(ROUNDUP(INDEX(Upgrades!$C$3:$C$13,MATCH(SUBSTITUTE(C1208,""Sell_"",""""),Upgrades!$B$3:$B$13,0))*1.15^(COUNTIF(C$4:C1207,SUBSTITUTE(C1208,""Sell_"",""""))-COUNTIF(C$4"&amp;":C1207,""Sell_""&amp;SUBSTITUTE(C1208,""Sell_"",""""))))/2),ROUNDUP(INDEX(Upgrades!$C$3:$C$13,MATCH(C1208,Upgrades!$B$3:$B$13,0))*1.15^(COUNTIF(C$4:C1207,C1208)-COUNTIF(C$4:C1207,""Sell_""&amp;C1208))))))"),"")</f>
        <v/>
      </c>
      <c r="H1208" s="10" t="str">
        <f t="shared" si="3"/>
        <v/>
      </c>
      <c r="I1208" s="68" t="str">
        <f t="shared" si="4"/>
        <v/>
      </c>
      <c r="J1208" s="59" t="str">
        <f t="shared" si="5"/>
        <v/>
      </c>
      <c r="K1208" s="69" t="str">
        <f t="shared" si="6"/>
        <v/>
      </c>
      <c r="L1208" s="60" t="str">
        <f t="shared" si="7"/>
        <v/>
      </c>
      <c r="M1208" s="61" t="str">
        <f>IFERROR(__xludf.DUMMYFUNCTION("IFS(AND(COUNTA(C1208:C1644)=0,COUNTA(Q1208:Q1644)=0),"""",OR(AND(K1208&gt;=1000000000,OR(Y1208&gt;=1000000000,COUNTA(Q1208:Q1644)=0)),OR(Y1208&gt;=1000000000,AND(COUNTA(C1208:C1644)=0,P$3=TRUE))),
ROUNDDOWN((AB$1-AC$1)*MAX(INDEX(T$4:T1644,MATCH(LARGE(FILTER(Y$4:Y1"&amp;"644,Y$4:Y1644&lt;1000000000),1),Y$4:Y1644)),INDEX(F$4:F1644,MATCH(LARGE(FILTER(K$4:K1644,K$4:K1644&lt;1000000000),1),K$4:K1644)))),AND(K1208&lt;1000000000,COUNTA(C1208:C1644)&gt;0,P$3=FALSE),
ROUNDDOWN(INDEX(Y$4:Y1644,MATCH(LARGE(FILTER(W$4:W1644,W$4:W1644&lt;=I1208),1)"&amp;",W$4:W1644))+(I1208-LARGE(FILTER(W$4:W1644,W$4:W1644&lt;=I1208),1))*INDEX(T$4:T1644,MATCH(LARGE(FILTER(W$4:W1644,W$4:W1644&lt;=I1208),1),W$4:W1644))-K1208),1,
ROUNDDOWN(Y1208-INDEX(K$4:K1644,MATCH(LARGE(FILTER(I$4:I1644,I$4:I1644&lt;=W1208),1),I$4:I1644))-(W1208-L"&amp;"ARGE(FILTER(I$4:I1644,I$4:I1644&lt;=W1208),1))*INDEX(F$4:F1644,MATCH(LARGE(FILTER(I$4:I1644,I$4:I1644&lt;=W1208),1),I$4:I1644))))"),"")</f>
        <v/>
      </c>
      <c r="N1208" s="60" t="str">
        <f t="shared" si="8"/>
        <v/>
      </c>
      <c r="O1208" s="61" t="str">
        <f t="shared" si="9"/>
        <v/>
      </c>
      <c r="P1208" s="56" t="str">
        <f t="shared" si="10"/>
        <v/>
      </c>
      <c r="Q1208" s="105"/>
      <c r="R1208" s="10"/>
      <c r="S1208" s="59" t="str">
        <f t="array" ref="S1208">IF(COUNTA(Q1208:Q1644)=0,"",SUM((COUNTIF(Q$4:Q1208,Upgrades!$B$3:$B$13)-COUNTIF(Q$4:Q1208,"Sell_"&amp;Upgrades!$B$3:$B$13))*Upgrades!$D$3:$D$13))</f>
        <v/>
      </c>
      <c r="T1208" s="66" t="str">
        <f>IFERROR(__xludf.DUMMYFUNCTION("IF(COUNTA(Q1208:Q1644)=0,"""",IF(REGEXMATCH(INDEX(FILTER(Q$4:Q1208,Q$4:Q1208&lt;&gt;""""),ROWS(FILTER(Q$4:Q1208,Q$4:Q1208&lt;&gt;""""))),""^Sell_""),INDEX(FILTER(T$4:T1207,Q$4:Q1207&lt;&gt;""""),ROWS(FILTER(Q$4:Q1207,Q$4:Q1207&lt;&gt;""""))),$AD$5+S1208))"),"")</f>
        <v/>
      </c>
      <c r="U1208" s="10" t="str">
        <f>IFERROR(__xludf.DUMMYFUNCTION("IF(COUNTA(Q1208:Q1644)=0,"""",IF(Q1208="""",0,IF(REGEXMATCH(Q1208,""^Sell_""),-ROUNDDOWN(ROUNDUP(INDEX(Upgrades!$C$3:$C$13,MATCH(SUBSTITUTE(Q1208,""Sell_"",""""),Upgrades!$B$3:$B$13,0))*1.15^(COUNTIF(Q$4:Q1207,SUBSTITUTE(Q1208,""Sell_"",""""))-COUNTIF(Q$4"&amp;":Q1207,""Sell_""&amp;SUBSTITUTE(Q1208,""Sell_"",""""))))/2),ROUNDUP(INDEX(Upgrades!$C$3:$C$13,MATCH(Q1208,Upgrades!$B$3:$B$13,0))*1.15^(COUNTIF(Q$4:Q1207,Q1208)-COUNTIF(Q$4:Q1207,""Sell_""&amp;Q1208))))))"),"")</f>
        <v/>
      </c>
      <c r="V1208" s="10" t="str">
        <f t="shared" si="11"/>
        <v/>
      </c>
      <c r="W1208" s="68" t="str">
        <f t="shared" si="12"/>
        <v/>
      </c>
      <c r="X1208" s="59" t="str">
        <f t="shared" si="13"/>
        <v/>
      </c>
      <c r="Y1208" s="69" t="str">
        <f t="shared" si="14"/>
        <v/>
      </c>
      <c r="Z1208" s="11"/>
      <c r="AG1208" s="59"/>
    </row>
    <row r="1209">
      <c r="A1209" s="8"/>
      <c r="B1209" s="56" t="str">
        <f t="shared" si="2"/>
        <v/>
      </c>
      <c r="C1209" s="105"/>
      <c r="D1209" s="10"/>
      <c r="E1209" s="59" t="str">
        <f t="array" ref="E1209">IF(COUNTA(C1209:C1644)=0,"",SUM((COUNTIF(C$4:C1209,Upgrades!$B$3:$B$13)-COUNTIF(C$4:C1209,"Sell_"&amp;Upgrades!$B$3:$B$13))*Upgrades!$D$3:$D$13))</f>
        <v/>
      </c>
      <c r="F1209" s="66" t="str">
        <f>IFERROR(__xludf.DUMMYFUNCTION("IF(COUNTA(C1209:C1644)=0,"""",IF(REGEXMATCH(INDEX(FILTER(C$4:C1209,C$4:C1209&lt;&gt;""""),ROWS(FILTER(C$4:C1209,C$4:C1209&lt;&gt;""""))),""^Sell_""),INDEX(FILTER(F$4:F1208,C$4:C1208&lt;&gt;""""),ROWS(FILTER(C$4:C1208,C$4:C1208&lt;&gt;""""))),$AC$5+E1209))"),"")</f>
        <v/>
      </c>
      <c r="G1209" s="10" t="str">
        <f>IFERROR(__xludf.DUMMYFUNCTION("IF(COUNTA(C1209:C1644)=0,"""",IF(C1209="""",0,IF(REGEXMATCH(C1209,""^Sell_""),-ROUNDDOWN(ROUNDUP(INDEX(Upgrades!$C$3:$C$13,MATCH(SUBSTITUTE(C1209,""Sell_"",""""),Upgrades!$B$3:$B$13,0))*1.15^(COUNTIF(C$4:C1208,SUBSTITUTE(C1209,""Sell_"",""""))-COUNTIF(C$4"&amp;":C1208,""Sell_""&amp;SUBSTITUTE(C1209,""Sell_"",""""))))/2),ROUNDUP(INDEX(Upgrades!$C$3:$C$13,MATCH(C1209,Upgrades!$B$3:$B$13,0))*1.15^(COUNTIF(C$4:C1208,C1209)-COUNTIF(C$4:C1208,""Sell_""&amp;C1209))))))"),"")</f>
        <v/>
      </c>
      <c r="H1209" s="10" t="str">
        <f t="shared" si="3"/>
        <v/>
      </c>
      <c r="I1209" s="68" t="str">
        <f t="shared" si="4"/>
        <v/>
      </c>
      <c r="J1209" s="59" t="str">
        <f t="shared" si="5"/>
        <v/>
      </c>
      <c r="K1209" s="69" t="str">
        <f t="shared" si="6"/>
        <v/>
      </c>
      <c r="L1209" s="60" t="str">
        <f t="shared" si="7"/>
        <v/>
      </c>
      <c r="M1209" s="61" t="str">
        <f>IFERROR(__xludf.DUMMYFUNCTION("IFS(AND(COUNTA(C1209:C1644)=0,COUNTA(Q1209:Q1644)=0),"""",OR(AND(K1209&gt;=1000000000,OR(Y1209&gt;=1000000000,COUNTA(Q1209:Q1644)=0)),OR(Y1209&gt;=1000000000,AND(COUNTA(C1209:C1644)=0,P$3=TRUE))),
ROUNDDOWN((AB$1-AC$1)*MAX(INDEX(T$4:T1644,MATCH(LARGE(FILTER(Y$4:Y1"&amp;"644,Y$4:Y1644&lt;1000000000),1),Y$4:Y1644)),INDEX(F$4:F1644,MATCH(LARGE(FILTER(K$4:K1644,K$4:K1644&lt;1000000000),1),K$4:K1644)))),AND(K1209&lt;1000000000,COUNTA(C1209:C1644)&gt;0,P$3=FALSE),
ROUNDDOWN(INDEX(Y$4:Y1644,MATCH(LARGE(FILTER(W$4:W1644,W$4:W1644&lt;=I1209),1)"&amp;",W$4:W1644))+(I1209-LARGE(FILTER(W$4:W1644,W$4:W1644&lt;=I1209),1))*INDEX(T$4:T1644,MATCH(LARGE(FILTER(W$4:W1644,W$4:W1644&lt;=I1209),1),W$4:W1644))-K1209),1,
ROUNDDOWN(Y1209-INDEX(K$4:K1644,MATCH(LARGE(FILTER(I$4:I1644,I$4:I1644&lt;=W1209),1),I$4:I1644))-(W1209-L"&amp;"ARGE(FILTER(I$4:I1644,I$4:I1644&lt;=W1209),1))*INDEX(F$4:F1644,MATCH(LARGE(FILTER(I$4:I1644,I$4:I1644&lt;=W1209),1),I$4:I1644))))"),"")</f>
        <v/>
      </c>
      <c r="N1209" s="60" t="str">
        <f t="shared" si="8"/>
        <v/>
      </c>
      <c r="O1209" s="61" t="str">
        <f t="shared" si="9"/>
        <v/>
      </c>
      <c r="P1209" s="56" t="str">
        <f t="shared" si="10"/>
        <v/>
      </c>
      <c r="Q1209" s="105"/>
      <c r="R1209" s="10"/>
      <c r="S1209" s="59" t="str">
        <f t="array" ref="S1209">IF(COUNTA(Q1209:Q1644)=0,"",SUM((COUNTIF(Q$4:Q1209,Upgrades!$B$3:$B$13)-COUNTIF(Q$4:Q1209,"Sell_"&amp;Upgrades!$B$3:$B$13))*Upgrades!$D$3:$D$13))</f>
        <v/>
      </c>
      <c r="T1209" s="66" t="str">
        <f>IFERROR(__xludf.DUMMYFUNCTION("IF(COUNTA(Q1209:Q1644)=0,"""",IF(REGEXMATCH(INDEX(FILTER(Q$4:Q1209,Q$4:Q1209&lt;&gt;""""),ROWS(FILTER(Q$4:Q1209,Q$4:Q1209&lt;&gt;""""))),""^Sell_""),INDEX(FILTER(T$4:T1208,Q$4:Q1208&lt;&gt;""""),ROWS(FILTER(Q$4:Q1208,Q$4:Q1208&lt;&gt;""""))),$AD$5+S1209))"),"")</f>
        <v/>
      </c>
      <c r="U1209" s="10" t="str">
        <f>IFERROR(__xludf.DUMMYFUNCTION("IF(COUNTA(Q1209:Q1644)=0,"""",IF(Q1209="""",0,IF(REGEXMATCH(Q1209,""^Sell_""),-ROUNDDOWN(ROUNDUP(INDEX(Upgrades!$C$3:$C$13,MATCH(SUBSTITUTE(Q1209,""Sell_"",""""),Upgrades!$B$3:$B$13,0))*1.15^(COUNTIF(Q$4:Q1208,SUBSTITUTE(Q1209,""Sell_"",""""))-COUNTIF(Q$4"&amp;":Q1208,""Sell_""&amp;SUBSTITUTE(Q1209,""Sell_"",""""))))/2),ROUNDUP(INDEX(Upgrades!$C$3:$C$13,MATCH(Q1209,Upgrades!$B$3:$B$13,0))*1.15^(COUNTIF(Q$4:Q1208,Q1209)-COUNTIF(Q$4:Q1208,""Sell_""&amp;Q1209))))))"),"")</f>
        <v/>
      </c>
      <c r="V1209" s="10" t="str">
        <f t="shared" si="11"/>
        <v/>
      </c>
      <c r="W1209" s="68" t="str">
        <f t="shared" si="12"/>
        <v/>
      </c>
      <c r="X1209" s="59" t="str">
        <f t="shared" si="13"/>
        <v/>
      </c>
      <c r="Y1209" s="69" t="str">
        <f t="shared" si="14"/>
        <v/>
      </c>
      <c r="Z1209" s="11"/>
      <c r="AG1209" s="59"/>
    </row>
    <row r="1210">
      <c r="A1210" s="8"/>
      <c r="B1210" s="56" t="str">
        <f t="shared" si="2"/>
        <v/>
      </c>
      <c r="C1210" s="105"/>
      <c r="D1210" s="10"/>
      <c r="E1210" s="59" t="str">
        <f t="array" ref="E1210">IF(COUNTA(C1210:C1644)=0,"",SUM((COUNTIF(C$4:C1210,Upgrades!$B$3:$B$13)-COUNTIF(C$4:C1210,"Sell_"&amp;Upgrades!$B$3:$B$13))*Upgrades!$D$3:$D$13))</f>
        <v/>
      </c>
      <c r="F1210" s="66" t="str">
        <f>IFERROR(__xludf.DUMMYFUNCTION("IF(COUNTA(C1210:C1644)=0,"""",IF(REGEXMATCH(INDEX(FILTER(C$4:C1210,C$4:C1210&lt;&gt;""""),ROWS(FILTER(C$4:C1210,C$4:C1210&lt;&gt;""""))),""^Sell_""),INDEX(FILTER(F$4:F1209,C$4:C1209&lt;&gt;""""),ROWS(FILTER(C$4:C1209,C$4:C1209&lt;&gt;""""))),$AC$5+E1210))"),"")</f>
        <v/>
      </c>
      <c r="G1210" s="10" t="str">
        <f>IFERROR(__xludf.DUMMYFUNCTION("IF(COUNTA(C1210:C1644)=0,"""",IF(C1210="""",0,IF(REGEXMATCH(C1210,""^Sell_""),-ROUNDDOWN(ROUNDUP(INDEX(Upgrades!$C$3:$C$13,MATCH(SUBSTITUTE(C1210,""Sell_"",""""),Upgrades!$B$3:$B$13,0))*1.15^(COUNTIF(C$4:C1209,SUBSTITUTE(C1210,""Sell_"",""""))-COUNTIF(C$4"&amp;":C1209,""Sell_""&amp;SUBSTITUTE(C1210,""Sell_"",""""))))/2),ROUNDUP(INDEX(Upgrades!$C$3:$C$13,MATCH(C1210,Upgrades!$B$3:$B$13,0))*1.15^(COUNTIF(C$4:C1209,C1210)-COUNTIF(C$4:C1209,""Sell_""&amp;C1210))))))"),"")</f>
        <v/>
      </c>
      <c r="H1210" s="10" t="str">
        <f t="shared" si="3"/>
        <v/>
      </c>
      <c r="I1210" s="68" t="str">
        <f t="shared" si="4"/>
        <v/>
      </c>
      <c r="J1210" s="59" t="str">
        <f t="shared" si="5"/>
        <v/>
      </c>
      <c r="K1210" s="69" t="str">
        <f t="shared" si="6"/>
        <v/>
      </c>
      <c r="L1210" s="60" t="str">
        <f t="shared" si="7"/>
        <v/>
      </c>
      <c r="M1210" s="61" t="str">
        <f>IFERROR(__xludf.DUMMYFUNCTION("IFS(AND(COUNTA(C1210:C1644)=0,COUNTA(Q1210:Q1644)=0),"""",OR(AND(K1210&gt;=1000000000,OR(Y1210&gt;=1000000000,COUNTA(Q1210:Q1644)=0)),OR(Y1210&gt;=1000000000,AND(COUNTA(C1210:C1644)=0,P$3=TRUE))),
ROUNDDOWN((AB$1-AC$1)*MAX(INDEX(T$4:T1644,MATCH(LARGE(FILTER(Y$4:Y1"&amp;"644,Y$4:Y1644&lt;1000000000),1),Y$4:Y1644)),INDEX(F$4:F1644,MATCH(LARGE(FILTER(K$4:K1644,K$4:K1644&lt;1000000000),1),K$4:K1644)))),AND(K1210&lt;1000000000,COUNTA(C1210:C1644)&gt;0,P$3=FALSE),
ROUNDDOWN(INDEX(Y$4:Y1644,MATCH(LARGE(FILTER(W$4:W1644,W$4:W1644&lt;=I1210),1)"&amp;",W$4:W1644))+(I1210-LARGE(FILTER(W$4:W1644,W$4:W1644&lt;=I1210),1))*INDEX(T$4:T1644,MATCH(LARGE(FILTER(W$4:W1644,W$4:W1644&lt;=I1210),1),W$4:W1644))-K1210),1,
ROUNDDOWN(Y1210-INDEX(K$4:K1644,MATCH(LARGE(FILTER(I$4:I1644,I$4:I1644&lt;=W1210),1),I$4:I1644))-(W1210-L"&amp;"ARGE(FILTER(I$4:I1644,I$4:I1644&lt;=W1210),1))*INDEX(F$4:F1644,MATCH(LARGE(FILTER(I$4:I1644,I$4:I1644&lt;=W1210),1),I$4:I1644))))"),"")</f>
        <v/>
      </c>
      <c r="N1210" s="60" t="str">
        <f t="shared" si="8"/>
        <v/>
      </c>
      <c r="O1210" s="61" t="str">
        <f t="shared" si="9"/>
        <v/>
      </c>
      <c r="P1210" s="56" t="str">
        <f t="shared" si="10"/>
        <v/>
      </c>
      <c r="Q1210" s="105"/>
      <c r="R1210" s="10"/>
      <c r="S1210" s="59" t="str">
        <f t="array" ref="S1210">IF(COUNTA(Q1210:Q1644)=0,"",SUM((COUNTIF(Q$4:Q1210,Upgrades!$B$3:$B$13)-COUNTIF(Q$4:Q1210,"Sell_"&amp;Upgrades!$B$3:$B$13))*Upgrades!$D$3:$D$13))</f>
        <v/>
      </c>
      <c r="T1210" s="66" t="str">
        <f>IFERROR(__xludf.DUMMYFUNCTION("IF(COUNTA(Q1210:Q1644)=0,"""",IF(REGEXMATCH(INDEX(FILTER(Q$4:Q1210,Q$4:Q1210&lt;&gt;""""),ROWS(FILTER(Q$4:Q1210,Q$4:Q1210&lt;&gt;""""))),""^Sell_""),INDEX(FILTER(T$4:T1209,Q$4:Q1209&lt;&gt;""""),ROWS(FILTER(Q$4:Q1209,Q$4:Q1209&lt;&gt;""""))),$AD$5+S1210))"),"")</f>
        <v/>
      </c>
      <c r="U1210" s="10" t="str">
        <f>IFERROR(__xludf.DUMMYFUNCTION("IF(COUNTA(Q1210:Q1644)=0,"""",IF(Q1210="""",0,IF(REGEXMATCH(Q1210,""^Sell_""),-ROUNDDOWN(ROUNDUP(INDEX(Upgrades!$C$3:$C$13,MATCH(SUBSTITUTE(Q1210,""Sell_"",""""),Upgrades!$B$3:$B$13,0))*1.15^(COUNTIF(Q$4:Q1209,SUBSTITUTE(Q1210,""Sell_"",""""))-COUNTIF(Q$4"&amp;":Q1209,""Sell_""&amp;SUBSTITUTE(Q1210,""Sell_"",""""))))/2),ROUNDUP(INDEX(Upgrades!$C$3:$C$13,MATCH(Q1210,Upgrades!$B$3:$B$13,0))*1.15^(COUNTIF(Q$4:Q1209,Q1210)-COUNTIF(Q$4:Q1209,""Sell_""&amp;Q1210))))))"),"")</f>
        <v/>
      </c>
      <c r="V1210" s="10" t="str">
        <f t="shared" si="11"/>
        <v/>
      </c>
      <c r="W1210" s="68" t="str">
        <f t="shared" si="12"/>
        <v/>
      </c>
      <c r="X1210" s="59" t="str">
        <f t="shared" si="13"/>
        <v/>
      </c>
      <c r="Y1210" s="69" t="str">
        <f t="shared" si="14"/>
        <v/>
      </c>
      <c r="Z1210" s="11"/>
      <c r="AG1210" s="59"/>
    </row>
    <row r="1211">
      <c r="A1211" s="8"/>
      <c r="B1211" s="56" t="str">
        <f t="shared" si="2"/>
        <v/>
      </c>
      <c r="C1211" s="105"/>
      <c r="D1211" s="10"/>
      <c r="E1211" s="59" t="str">
        <f t="array" ref="E1211">IF(COUNTA(C1211:C1644)=0,"",SUM((COUNTIF(C$4:C1211,Upgrades!$B$3:$B$13)-COUNTIF(C$4:C1211,"Sell_"&amp;Upgrades!$B$3:$B$13))*Upgrades!$D$3:$D$13))</f>
        <v/>
      </c>
      <c r="F1211" s="66" t="str">
        <f>IFERROR(__xludf.DUMMYFUNCTION("IF(COUNTA(C1211:C1644)=0,"""",IF(REGEXMATCH(INDEX(FILTER(C$4:C1211,C$4:C1211&lt;&gt;""""),ROWS(FILTER(C$4:C1211,C$4:C1211&lt;&gt;""""))),""^Sell_""),INDEX(FILTER(F$4:F1210,C$4:C1210&lt;&gt;""""),ROWS(FILTER(C$4:C1210,C$4:C1210&lt;&gt;""""))),$AC$5+E1211))"),"")</f>
        <v/>
      </c>
      <c r="G1211" s="10" t="str">
        <f>IFERROR(__xludf.DUMMYFUNCTION("IF(COUNTA(C1211:C1644)=0,"""",IF(C1211="""",0,IF(REGEXMATCH(C1211,""^Sell_""),-ROUNDDOWN(ROUNDUP(INDEX(Upgrades!$C$3:$C$13,MATCH(SUBSTITUTE(C1211,""Sell_"",""""),Upgrades!$B$3:$B$13,0))*1.15^(COUNTIF(C$4:C1210,SUBSTITUTE(C1211,""Sell_"",""""))-COUNTIF(C$4"&amp;":C1210,""Sell_""&amp;SUBSTITUTE(C1211,""Sell_"",""""))))/2),ROUNDUP(INDEX(Upgrades!$C$3:$C$13,MATCH(C1211,Upgrades!$B$3:$B$13,0))*1.15^(COUNTIF(C$4:C1210,C1211)-COUNTIF(C$4:C1210,""Sell_""&amp;C1211))))))"),"")</f>
        <v/>
      </c>
      <c r="H1211" s="10" t="str">
        <f t="shared" si="3"/>
        <v/>
      </c>
      <c r="I1211" s="68" t="str">
        <f t="shared" si="4"/>
        <v/>
      </c>
      <c r="J1211" s="59" t="str">
        <f t="shared" si="5"/>
        <v/>
      </c>
      <c r="K1211" s="69" t="str">
        <f t="shared" si="6"/>
        <v/>
      </c>
      <c r="L1211" s="60" t="str">
        <f t="shared" si="7"/>
        <v/>
      </c>
      <c r="M1211" s="61" t="str">
        <f>IFERROR(__xludf.DUMMYFUNCTION("IFS(AND(COUNTA(C1211:C1644)=0,COUNTA(Q1211:Q1644)=0),"""",OR(AND(K1211&gt;=1000000000,OR(Y1211&gt;=1000000000,COUNTA(Q1211:Q1644)=0)),OR(Y1211&gt;=1000000000,AND(COUNTA(C1211:C1644)=0,P$3=TRUE))),
ROUNDDOWN((AB$1-AC$1)*MAX(INDEX(T$4:T1644,MATCH(LARGE(FILTER(Y$4:Y1"&amp;"644,Y$4:Y1644&lt;1000000000),1),Y$4:Y1644)),INDEX(F$4:F1644,MATCH(LARGE(FILTER(K$4:K1644,K$4:K1644&lt;1000000000),1),K$4:K1644)))),AND(K1211&lt;1000000000,COUNTA(C1211:C1644)&gt;0,P$3=FALSE),
ROUNDDOWN(INDEX(Y$4:Y1644,MATCH(LARGE(FILTER(W$4:W1644,W$4:W1644&lt;=I1211),1)"&amp;",W$4:W1644))+(I1211-LARGE(FILTER(W$4:W1644,W$4:W1644&lt;=I1211),1))*INDEX(T$4:T1644,MATCH(LARGE(FILTER(W$4:W1644,W$4:W1644&lt;=I1211),1),W$4:W1644))-K1211),1,
ROUNDDOWN(Y1211-INDEX(K$4:K1644,MATCH(LARGE(FILTER(I$4:I1644,I$4:I1644&lt;=W1211),1),I$4:I1644))-(W1211-L"&amp;"ARGE(FILTER(I$4:I1644,I$4:I1644&lt;=W1211),1))*INDEX(F$4:F1644,MATCH(LARGE(FILTER(I$4:I1644,I$4:I1644&lt;=W1211),1),I$4:I1644))))"),"")</f>
        <v/>
      </c>
      <c r="N1211" s="60" t="str">
        <f t="shared" si="8"/>
        <v/>
      </c>
      <c r="O1211" s="61" t="str">
        <f t="shared" si="9"/>
        <v/>
      </c>
      <c r="P1211" s="56" t="str">
        <f t="shared" si="10"/>
        <v/>
      </c>
      <c r="Q1211" s="105"/>
      <c r="R1211" s="10"/>
      <c r="S1211" s="59" t="str">
        <f t="array" ref="S1211">IF(COUNTA(Q1211:Q1644)=0,"",SUM((COUNTIF(Q$4:Q1211,Upgrades!$B$3:$B$13)-COUNTIF(Q$4:Q1211,"Sell_"&amp;Upgrades!$B$3:$B$13))*Upgrades!$D$3:$D$13))</f>
        <v/>
      </c>
      <c r="T1211" s="66" t="str">
        <f>IFERROR(__xludf.DUMMYFUNCTION("IF(COUNTA(Q1211:Q1644)=0,"""",IF(REGEXMATCH(INDEX(FILTER(Q$4:Q1211,Q$4:Q1211&lt;&gt;""""),ROWS(FILTER(Q$4:Q1211,Q$4:Q1211&lt;&gt;""""))),""^Sell_""),INDEX(FILTER(T$4:T1210,Q$4:Q1210&lt;&gt;""""),ROWS(FILTER(Q$4:Q1210,Q$4:Q1210&lt;&gt;""""))),$AD$5+S1211))"),"")</f>
        <v/>
      </c>
      <c r="U1211" s="10" t="str">
        <f>IFERROR(__xludf.DUMMYFUNCTION("IF(COUNTA(Q1211:Q1644)=0,"""",IF(Q1211="""",0,IF(REGEXMATCH(Q1211,""^Sell_""),-ROUNDDOWN(ROUNDUP(INDEX(Upgrades!$C$3:$C$13,MATCH(SUBSTITUTE(Q1211,""Sell_"",""""),Upgrades!$B$3:$B$13,0))*1.15^(COUNTIF(Q$4:Q1210,SUBSTITUTE(Q1211,""Sell_"",""""))-COUNTIF(Q$4"&amp;":Q1210,""Sell_""&amp;SUBSTITUTE(Q1211,""Sell_"",""""))))/2),ROUNDUP(INDEX(Upgrades!$C$3:$C$13,MATCH(Q1211,Upgrades!$B$3:$B$13,0))*1.15^(COUNTIF(Q$4:Q1210,Q1211)-COUNTIF(Q$4:Q1210,""Sell_""&amp;Q1211))))))"),"")</f>
        <v/>
      </c>
      <c r="V1211" s="10" t="str">
        <f t="shared" si="11"/>
        <v/>
      </c>
      <c r="W1211" s="68" t="str">
        <f t="shared" si="12"/>
        <v/>
      </c>
      <c r="X1211" s="59" t="str">
        <f t="shared" si="13"/>
        <v/>
      </c>
      <c r="Y1211" s="69" t="str">
        <f t="shared" si="14"/>
        <v/>
      </c>
      <c r="Z1211" s="11"/>
      <c r="AG1211" s="59"/>
    </row>
    <row r="1212">
      <c r="A1212" s="8"/>
      <c r="B1212" s="56" t="str">
        <f t="shared" si="2"/>
        <v/>
      </c>
      <c r="C1212" s="105"/>
      <c r="D1212" s="10"/>
      <c r="E1212" s="59" t="str">
        <f t="array" ref="E1212">IF(COUNTA(C1212:C1644)=0,"",SUM((COUNTIF(C$4:C1212,Upgrades!$B$3:$B$13)-COUNTIF(C$4:C1212,"Sell_"&amp;Upgrades!$B$3:$B$13))*Upgrades!$D$3:$D$13))</f>
        <v/>
      </c>
      <c r="F1212" s="66" t="str">
        <f>IFERROR(__xludf.DUMMYFUNCTION("IF(COUNTA(C1212:C1644)=0,"""",IF(REGEXMATCH(INDEX(FILTER(C$4:C1212,C$4:C1212&lt;&gt;""""),ROWS(FILTER(C$4:C1212,C$4:C1212&lt;&gt;""""))),""^Sell_""),INDEX(FILTER(F$4:F1211,C$4:C1211&lt;&gt;""""),ROWS(FILTER(C$4:C1211,C$4:C1211&lt;&gt;""""))),$AC$5+E1212))"),"")</f>
        <v/>
      </c>
      <c r="G1212" s="10" t="str">
        <f>IFERROR(__xludf.DUMMYFUNCTION("IF(COUNTA(C1212:C1644)=0,"""",IF(C1212="""",0,IF(REGEXMATCH(C1212,""^Sell_""),-ROUNDDOWN(ROUNDUP(INDEX(Upgrades!$C$3:$C$13,MATCH(SUBSTITUTE(C1212,""Sell_"",""""),Upgrades!$B$3:$B$13,0))*1.15^(COUNTIF(C$4:C1211,SUBSTITUTE(C1212,""Sell_"",""""))-COUNTIF(C$4"&amp;":C1211,""Sell_""&amp;SUBSTITUTE(C1212,""Sell_"",""""))))/2),ROUNDUP(INDEX(Upgrades!$C$3:$C$13,MATCH(C1212,Upgrades!$B$3:$B$13,0))*1.15^(COUNTIF(C$4:C1211,C1212)-COUNTIF(C$4:C1211,""Sell_""&amp;C1212))))))"),"")</f>
        <v/>
      </c>
      <c r="H1212" s="10" t="str">
        <f t="shared" si="3"/>
        <v/>
      </c>
      <c r="I1212" s="68" t="str">
        <f t="shared" si="4"/>
        <v/>
      </c>
      <c r="J1212" s="59" t="str">
        <f t="shared" si="5"/>
        <v/>
      </c>
      <c r="K1212" s="69" t="str">
        <f t="shared" si="6"/>
        <v/>
      </c>
      <c r="L1212" s="60" t="str">
        <f t="shared" si="7"/>
        <v/>
      </c>
      <c r="M1212" s="61" t="str">
        <f>IFERROR(__xludf.DUMMYFUNCTION("IFS(AND(COUNTA(C1212:C1644)=0,COUNTA(Q1212:Q1644)=0),"""",OR(AND(K1212&gt;=1000000000,OR(Y1212&gt;=1000000000,COUNTA(Q1212:Q1644)=0)),OR(Y1212&gt;=1000000000,AND(COUNTA(C1212:C1644)=0,P$3=TRUE))),
ROUNDDOWN((AB$1-AC$1)*MAX(INDEX(T$4:T1644,MATCH(LARGE(FILTER(Y$4:Y1"&amp;"644,Y$4:Y1644&lt;1000000000),1),Y$4:Y1644)),INDEX(F$4:F1644,MATCH(LARGE(FILTER(K$4:K1644,K$4:K1644&lt;1000000000),1),K$4:K1644)))),AND(K1212&lt;1000000000,COUNTA(C1212:C1644)&gt;0,P$3=FALSE),
ROUNDDOWN(INDEX(Y$4:Y1644,MATCH(LARGE(FILTER(W$4:W1644,W$4:W1644&lt;=I1212),1)"&amp;",W$4:W1644))+(I1212-LARGE(FILTER(W$4:W1644,W$4:W1644&lt;=I1212),1))*INDEX(T$4:T1644,MATCH(LARGE(FILTER(W$4:W1644,W$4:W1644&lt;=I1212),1),W$4:W1644))-K1212),1,
ROUNDDOWN(Y1212-INDEX(K$4:K1644,MATCH(LARGE(FILTER(I$4:I1644,I$4:I1644&lt;=W1212),1),I$4:I1644))-(W1212-L"&amp;"ARGE(FILTER(I$4:I1644,I$4:I1644&lt;=W1212),1))*INDEX(F$4:F1644,MATCH(LARGE(FILTER(I$4:I1644,I$4:I1644&lt;=W1212),1),I$4:I1644))))"),"")</f>
        <v/>
      </c>
      <c r="N1212" s="60" t="str">
        <f t="shared" si="8"/>
        <v/>
      </c>
      <c r="O1212" s="61" t="str">
        <f t="shared" si="9"/>
        <v/>
      </c>
      <c r="P1212" s="56" t="str">
        <f t="shared" si="10"/>
        <v/>
      </c>
      <c r="Q1212" s="105"/>
      <c r="R1212" s="10"/>
      <c r="S1212" s="59" t="str">
        <f t="array" ref="S1212">IF(COUNTA(Q1212:Q1644)=0,"",SUM((COUNTIF(Q$4:Q1212,Upgrades!$B$3:$B$13)-COUNTIF(Q$4:Q1212,"Sell_"&amp;Upgrades!$B$3:$B$13))*Upgrades!$D$3:$D$13))</f>
        <v/>
      </c>
      <c r="T1212" s="66" t="str">
        <f>IFERROR(__xludf.DUMMYFUNCTION("IF(COUNTA(Q1212:Q1644)=0,"""",IF(REGEXMATCH(INDEX(FILTER(Q$4:Q1212,Q$4:Q1212&lt;&gt;""""),ROWS(FILTER(Q$4:Q1212,Q$4:Q1212&lt;&gt;""""))),""^Sell_""),INDEX(FILTER(T$4:T1211,Q$4:Q1211&lt;&gt;""""),ROWS(FILTER(Q$4:Q1211,Q$4:Q1211&lt;&gt;""""))),$AD$5+S1212))"),"")</f>
        <v/>
      </c>
      <c r="U1212" s="10" t="str">
        <f>IFERROR(__xludf.DUMMYFUNCTION("IF(COUNTA(Q1212:Q1644)=0,"""",IF(Q1212="""",0,IF(REGEXMATCH(Q1212,""^Sell_""),-ROUNDDOWN(ROUNDUP(INDEX(Upgrades!$C$3:$C$13,MATCH(SUBSTITUTE(Q1212,""Sell_"",""""),Upgrades!$B$3:$B$13,0))*1.15^(COUNTIF(Q$4:Q1211,SUBSTITUTE(Q1212,""Sell_"",""""))-COUNTIF(Q$4"&amp;":Q1211,""Sell_""&amp;SUBSTITUTE(Q1212,""Sell_"",""""))))/2),ROUNDUP(INDEX(Upgrades!$C$3:$C$13,MATCH(Q1212,Upgrades!$B$3:$B$13,0))*1.15^(COUNTIF(Q$4:Q1211,Q1212)-COUNTIF(Q$4:Q1211,""Sell_""&amp;Q1212))))))"),"")</f>
        <v/>
      </c>
      <c r="V1212" s="10" t="str">
        <f t="shared" si="11"/>
        <v/>
      </c>
      <c r="W1212" s="68" t="str">
        <f t="shared" si="12"/>
        <v/>
      </c>
      <c r="X1212" s="59" t="str">
        <f t="shared" si="13"/>
        <v/>
      </c>
      <c r="Y1212" s="69" t="str">
        <f t="shared" si="14"/>
        <v/>
      </c>
      <c r="Z1212" s="11"/>
      <c r="AG1212" s="59"/>
    </row>
    <row r="1213">
      <c r="A1213" s="8"/>
      <c r="B1213" s="56" t="str">
        <f t="shared" si="2"/>
        <v/>
      </c>
      <c r="C1213" s="105"/>
      <c r="D1213" s="10"/>
      <c r="E1213" s="59" t="str">
        <f t="array" ref="E1213">IF(COUNTA(C1213:C1644)=0,"",SUM((COUNTIF(C$4:C1213,Upgrades!$B$3:$B$13)-COUNTIF(C$4:C1213,"Sell_"&amp;Upgrades!$B$3:$B$13))*Upgrades!$D$3:$D$13))</f>
        <v/>
      </c>
      <c r="F1213" s="66" t="str">
        <f>IFERROR(__xludf.DUMMYFUNCTION("IF(COUNTA(C1213:C1644)=0,"""",IF(REGEXMATCH(INDEX(FILTER(C$4:C1213,C$4:C1213&lt;&gt;""""),ROWS(FILTER(C$4:C1213,C$4:C1213&lt;&gt;""""))),""^Sell_""),INDEX(FILTER(F$4:F1212,C$4:C1212&lt;&gt;""""),ROWS(FILTER(C$4:C1212,C$4:C1212&lt;&gt;""""))),$AC$5+E1213))"),"")</f>
        <v/>
      </c>
      <c r="G1213" s="10" t="str">
        <f>IFERROR(__xludf.DUMMYFUNCTION("IF(COUNTA(C1213:C1644)=0,"""",IF(C1213="""",0,IF(REGEXMATCH(C1213,""^Sell_""),-ROUNDDOWN(ROUNDUP(INDEX(Upgrades!$C$3:$C$13,MATCH(SUBSTITUTE(C1213,""Sell_"",""""),Upgrades!$B$3:$B$13,0))*1.15^(COUNTIF(C$4:C1212,SUBSTITUTE(C1213,""Sell_"",""""))-COUNTIF(C$4"&amp;":C1212,""Sell_""&amp;SUBSTITUTE(C1213,""Sell_"",""""))))/2),ROUNDUP(INDEX(Upgrades!$C$3:$C$13,MATCH(C1213,Upgrades!$B$3:$B$13,0))*1.15^(COUNTIF(C$4:C1212,C1213)-COUNTIF(C$4:C1212,""Sell_""&amp;C1213))))))"),"")</f>
        <v/>
      </c>
      <c r="H1213" s="10" t="str">
        <f t="shared" si="3"/>
        <v/>
      </c>
      <c r="I1213" s="68" t="str">
        <f t="shared" si="4"/>
        <v/>
      </c>
      <c r="J1213" s="59" t="str">
        <f t="shared" si="5"/>
        <v/>
      </c>
      <c r="K1213" s="69" t="str">
        <f t="shared" si="6"/>
        <v/>
      </c>
      <c r="L1213" s="60" t="str">
        <f t="shared" si="7"/>
        <v/>
      </c>
      <c r="M1213" s="61" t="str">
        <f>IFERROR(__xludf.DUMMYFUNCTION("IFS(AND(COUNTA(C1213:C1644)=0,COUNTA(Q1213:Q1644)=0),"""",OR(AND(K1213&gt;=1000000000,OR(Y1213&gt;=1000000000,COUNTA(Q1213:Q1644)=0)),OR(Y1213&gt;=1000000000,AND(COUNTA(C1213:C1644)=0,P$3=TRUE))),
ROUNDDOWN((AB$1-AC$1)*MAX(INDEX(T$4:T1644,MATCH(LARGE(FILTER(Y$4:Y1"&amp;"644,Y$4:Y1644&lt;1000000000),1),Y$4:Y1644)),INDEX(F$4:F1644,MATCH(LARGE(FILTER(K$4:K1644,K$4:K1644&lt;1000000000),1),K$4:K1644)))),AND(K1213&lt;1000000000,COUNTA(C1213:C1644)&gt;0,P$3=FALSE),
ROUNDDOWN(INDEX(Y$4:Y1644,MATCH(LARGE(FILTER(W$4:W1644,W$4:W1644&lt;=I1213),1)"&amp;",W$4:W1644))+(I1213-LARGE(FILTER(W$4:W1644,W$4:W1644&lt;=I1213),1))*INDEX(T$4:T1644,MATCH(LARGE(FILTER(W$4:W1644,W$4:W1644&lt;=I1213),1),W$4:W1644))-K1213),1,
ROUNDDOWN(Y1213-INDEX(K$4:K1644,MATCH(LARGE(FILTER(I$4:I1644,I$4:I1644&lt;=W1213),1),I$4:I1644))-(W1213-L"&amp;"ARGE(FILTER(I$4:I1644,I$4:I1644&lt;=W1213),1))*INDEX(F$4:F1644,MATCH(LARGE(FILTER(I$4:I1644,I$4:I1644&lt;=W1213),1),I$4:I1644))))"),"")</f>
        <v/>
      </c>
      <c r="N1213" s="60" t="str">
        <f t="shared" si="8"/>
        <v/>
      </c>
      <c r="O1213" s="61" t="str">
        <f t="shared" si="9"/>
        <v/>
      </c>
      <c r="P1213" s="56" t="str">
        <f t="shared" si="10"/>
        <v/>
      </c>
      <c r="Q1213" s="105"/>
      <c r="R1213" s="10"/>
      <c r="S1213" s="59" t="str">
        <f t="array" ref="S1213">IF(COUNTA(Q1213:Q1644)=0,"",SUM((COUNTIF(Q$4:Q1213,Upgrades!$B$3:$B$13)-COUNTIF(Q$4:Q1213,"Sell_"&amp;Upgrades!$B$3:$B$13))*Upgrades!$D$3:$D$13))</f>
        <v/>
      </c>
      <c r="T1213" s="66" t="str">
        <f>IFERROR(__xludf.DUMMYFUNCTION("IF(COUNTA(Q1213:Q1644)=0,"""",IF(REGEXMATCH(INDEX(FILTER(Q$4:Q1213,Q$4:Q1213&lt;&gt;""""),ROWS(FILTER(Q$4:Q1213,Q$4:Q1213&lt;&gt;""""))),""^Sell_""),INDEX(FILTER(T$4:T1212,Q$4:Q1212&lt;&gt;""""),ROWS(FILTER(Q$4:Q1212,Q$4:Q1212&lt;&gt;""""))),$AD$5+S1213))"),"")</f>
        <v/>
      </c>
      <c r="U1213" s="10" t="str">
        <f>IFERROR(__xludf.DUMMYFUNCTION("IF(COUNTA(Q1213:Q1644)=0,"""",IF(Q1213="""",0,IF(REGEXMATCH(Q1213,""^Sell_""),-ROUNDDOWN(ROUNDUP(INDEX(Upgrades!$C$3:$C$13,MATCH(SUBSTITUTE(Q1213,""Sell_"",""""),Upgrades!$B$3:$B$13,0))*1.15^(COUNTIF(Q$4:Q1212,SUBSTITUTE(Q1213,""Sell_"",""""))-COUNTIF(Q$4"&amp;":Q1212,""Sell_""&amp;SUBSTITUTE(Q1213,""Sell_"",""""))))/2),ROUNDUP(INDEX(Upgrades!$C$3:$C$13,MATCH(Q1213,Upgrades!$B$3:$B$13,0))*1.15^(COUNTIF(Q$4:Q1212,Q1213)-COUNTIF(Q$4:Q1212,""Sell_""&amp;Q1213))))))"),"")</f>
        <v/>
      </c>
      <c r="V1213" s="10" t="str">
        <f t="shared" si="11"/>
        <v/>
      </c>
      <c r="W1213" s="68" t="str">
        <f t="shared" si="12"/>
        <v/>
      </c>
      <c r="X1213" s="59" t="str">
        <f t="shared" si="13"/>
        <v/>
      </c>
      <c r="Y1213" s="69" t="str">
        <f t="shared" si="14"/>
        <v/>
      </c>
      <c r="Z1213" s="11"/>
      <c r="AG1213" s="59"/>
    </row>
    <row r="1214">
      <c r="A1214" s="8"/>
      <c r="B1214" s="56" t="str">
        <f t="shared" si="2"/>
        <v/>
      </c>
      <c r="C1214" s="105"/>
      <c r="D1214" s="10"/>
      <c r="E1214" s="59" t="str">
        <f t="array" ref="E1214">IF(COUNTA(C1214:C1644)=0,"",SUM((COUNTIF(C$4:C1214,Upgrades!$B$3:$B$13)-COUNTIF(C$4:C1214,"Sell_"&amp;Upgrades!$B$3:$B$13))*Upgrades!$D$3:$D$13))</f>
        <v/>
      </c>
      <c r="F1214" s="66" t="str">
        <f>IFERROR(__xludf.DUMMYFUNCTION("IF(COUNTA(C1214:C1644)=0,"""",IF(REGEXMATCH(INDEX(FILTER(C$4:C1214,C$4:C1214&lt;&gt;""""),ROWS(FILTER(C$4:C1214,C$4:C1214&lt;&gt;""""))),""^Sell_""),INDEX(FILTER(F$4:F1213,C$4:C1213&lt;&gt;""""),ROWS(FILTER(C$4:C1213,C$4:C1213&lt;&gt;""""))),$AC$5+E1214))"),"")</f>
        <v/>
      </c>
      <c r="G1214" s="10" t="str">
        <f>IFERROR(__xludf.DUMMYFUNCTION("IF(COUNTA(C1214:C1644)=0,"""",IF(C1214="""",0,IF(REGEXMATCH(C1214,""^Sell_""),-ROUNDDOWN(ROUNDUP(INDEX(Upgrades!$C$3:$C$13,MATCH(SUBSTITUTE(C1214,""Sell_"",""""),Upgrades!$B$3:$B$13,0))*1.15^(COUNTIF(C$4:C1213,SUBSTITUTE(C1214,""Sell_"",""""))-COUNTIF(C$4"&amp;":C1213,""Sell_""&amp;SUBSTITUTE(C1214,""Sell_"",""""))))/2),ROUNDUP(INDEX(Upgrades!$C$3:$C$13,MATCH(C1214,Upgrades!$B$3:$B$13,0))*1.15^(COUNTIF(C$4:C1213,C1214)-COUNTIF(C$4:C1213,""Sell_""&amp;C1214))))))"),"")</f>
        <v/>
      </c>
      <c r="H1214" s="10" t="str">
        <f t="shared" si="3"/>
        <v/>
      </c>
      <c r="I1214" s="68" t="str">
        <f t="shared" si="4"/>
        <v/>
      </c>
      <c r="J1214" s="59" t="str">
        <f t="shared" si="5"/>
        <v/>
      </c>
      <c r="K1214" s="69" t="str">
        <f t="shared" si="6"/>
        <v/>
      </c>
      <c r="L1214" s="60" t="str">
        <f t="shared" si="7"/>
        <v/>
      </c>
      <c r="M1214" s="61" t="str">
        <f>IFERROR(__xludf.DUMMYFUNCTION("IFS(AND(COUNTA(C1214:C1644)=0,COUNTA(Q1214:Q1644)=0),"""",OR(AND(K1214&gt;=1000000000,OR(Y1214&gt;=1000000000,COUNTA(Q1214:Q1644)=0)),OR(Y1214&gt;=1000000000,AND(COUNTA(C1214:C1644)=0,P$3=TRUE))),
ROUNDDOWN((AB$1-AC$1)*MAX(INDEX(T$4:T1644,MATCH(LARGE(FILTER(Y$4:Y1"&amp;"644,Y$4:Y1644&lt;1000000000),1),Y$4:Y1644)),INDEX(F$4:F1644,MATCH(LARGE(FILTER(K$4:K1644,K$4:K1644&lt;1000000000),1),K$4:K1644)))),AND(K1214&lt;1000000000,COUNTA(C1214:C1644)&gt;0,P$3=FALSE),
ROUNDDOWN(INDEX(Y$4:Y1644,MATCH(LARGE(FILTER(W$4:W1644,W$4:W1644&lt;=I1214),1)"&amp;",W$4:W1644))+(I1214-LARGE(FILTER(W$4:W1644,W$4:W1644&lt;=I1214),1))*INDEX(T$4:T1644,MATCH(LARGE(FILTER(W$4:W1644,W$4:W1644&lt;=I1214),1),W$4:W1644))-K1214),1,
ROUNDDOWN(Y1214-INDEX(K$4:K1644,MATCH(LARGE(FILTER(I$4:I1644,I$4:I1644&lt;=W1214),1),I$4:I1644))-(W1214-L"&amp;"ARGE(FILTER(I$4:I1644,I$4:I1644&lt;=W1214),1))*INDEX(F$4:F1644,MATCH(LARGE(FILTER(I$4:I1644,I$4:I1644&lt;=W1214),1),I$4:I1644))))"),"")</f>
        <v/>
      </c>
      <c r="N1214" s="60" t="str">
        <f t="shared" si="8"/>
        <v/>
      </c>
      <c r="O1214" s="61" t="str">
        <f t="shared" si="9"/>
        <v/>
      </c>
      <c r="P1214" s="56" t="str">
        <f t="shared" si="10"/>
        <v/>
      </c>
      <c r="Q1214" s="105"/>
      <c r="R1214" s="10"/>
      <c r="S1214" s="59" t="str">
        <f t="array" ref="S1214">IF(COUNTA(Q1214:Q1644)=0,"",SUM((COUNTIF(Q$4:Q1214,Upgrades!$B$3:$B$13)-COUNTIF(Q$4:Q1214,"Sell_"&amp;Upgrades!$B$3:$B$13))*Upgrades!$D$3:$D$13))</f>
        <v/>
      </c>
      <c r="T1214" s="66" t="str">
        <f>IFERROR(__xludf.DUMMYFUNCTION("IF(COUNTA(Q1214:Q1644)=0,"""",IF(REGEXMATCH(INDEX(FILTER(Q$4:Q1214,Q$4:Q1214&lt;&gt;""""),ROWS(FILTER(Q$4:Q1214,Q$4:Q1214&lt;&gt;""""))),""^Sell_""),INDEX(FILTER(T$4:T1213,Q$4:Q1213&lt;&gt;""""),ROWS(FILTER(Q$4:Q1213,Q$4:Q1213&lt;&gt;""""))),$AD$5+S1214))"),"")</f>
        <v/>
      </c>
      <c r="U1214" s="10" t="str">
        <f>IFERROR(__xludf.DUMMYFUNCTION("IF(COUNTA(Q1214:Q1644)=0,"""",IF(Q1214="""",0,IF(REGEXMATCH(Q1214,""^Sell_""),-ROUNDDOWN(ROUNDUP(INDEX(Upgrades!$C$3:$C$13,MATCH(SUBSTITUTE(Q1214,""Sell_"",""""),Upgrades!$B$3:$B$13,0))*1.15^(COUNTIF(Q$4:Q1213,SUBSTITUTE(Q1214,""Sell_"",""""))-COUNTIF(Q$4"&amp;":Q1213,""Sell_""&amp;SUBSTITUTE(Q1214,""Sell_"",""""))))/2),ROUNDUP(INDEX(Upgrades!$C$3:$C$13,MATCH(Q1214,Upgrades!$B$3:$B$13,0))*1.15^(COUNTIF(Q$4:Q1213,Q1214)-COUNTIF(Q$4:Q1213,""Sell_""&amp;Q1214))))))"),"")</f>
        <v/>
      </c>
      <c r="V1214" s="10" t="str">
        <f t="shared" si="11"/>
        <v/>
      </c>
      <c r="W1214" s="68" t="str">
        <f t="shared" si="12"/>
        <v/>
      </c>
      <c r="X1214" s="59" t="str">
        <f t="shared" si="13"/>
        <v/>
      </c>
      <c r="Y1214" s="69" t="str">
        <f t="shared" si="14"/>
        <v/>
      </c>
      <c r="Z1214" s="11"/>
      <c r="AG1214" s="59"/>
    </row>
    <row r="1215">
      <c r="A1215" s="8"/>
      <c r="B1215" s="56" t="str">
        <f t="shared" si="2"/>
        <v/>
      </c>
      <c r="C1215" s="105"/>
      <c r="D1215" s="10"/>
      <c r="E1215" s="59" t="str">
        <f t="array" ref="E1215">IF(COUNTA(C1215:C1644)=0,"",SUM((COUNTIF(C$4:C1215,Upgrades!$B$3:$B$13)-COUNTIF(C$4:C1215,"Sell_"&amp;Upgrades!$B$3:$B$13))*Upgrades!$D$3:$D$13))</f>
        <v/>
      </c>
      <c r="F1215" s="66" t="str">
        <f>IFERROR(__xludf.DUMMYFUNCTION("IF(COUNTA(C1215:C1644)=0,"""",IF(REGEXMATCH(INDEX(FILTER(C$4:C1215,C$4:C1215&lt;&gt;""""),ROWS(FILTER(C$4:C1215,C$4:C1215&lt;&gt;""""))),""^Sell_""),INDEX(FILTER(F$4:F1214,C$4:C1214&lt;&gt;""""),ROWS(FILTER(C$4:C1214,C$4:C1214&lt;&gt;""""))),$AC$5+E1215))"),"")</f>
        <v/>
      </c>
      <c r="G1215" s="10" t="str">
        <f>IFERROR(__xludf.DUMMYFUNCTION("IF(COUNTA(C1215:C1644)=0,"""",IF(C1215="""",0,IF(REGEXMATCH(C1215,""^Sell_""),-ROUNDDOWN(ROUNDUP(INDEX(Upgrades!$C$3:$C$13,MATCH(SUBSTITUTE(C1215,""Sell_"",""""),Upgrades!$B$3:$B$13,0))*1.15^(COUNTIF(C$4:C1214,SUBSTITUTE(C1215,""Sell_"",""""))-COUNTIF(C$4"&amp;":C1214,""Sell_""&amp;SUBSTITUTE(C1215,""Sell_"",""""))))/2),ROUNDUP(INDEX(Upgrades!$C$3:$C$13,MATCH(C1215,Upgrades!$B$3:$B$13,0))*1.15^(COUNTIF(C$4:C1214,C1215)-COUNTIF(C$4:C1214,""Sell_""&amp;C1215))))))"),"")</f>
        <v/>
      </c>
      <c r="H1215" s="10" t="str">
        <f t="shared" si="3"/>
        <v/>
      </c>
      <c r="I1215" s="68" t="str">
        <f t="shared" si="4"/>
        <v/>
      </c>
      <c r="J1215" s="59" t="str">
        <f t="shared" si="5"/>
        <v/>
      </c>
      <c r="K1215" s="69" t="str">
        <f t="shared" si="6"/>
        <v/>
      </c>
      <c r="L1215" s="60" t="str">
        <f t="shared" si="7"/>
        <v/>
      </c>
      <c r="M1215" s="61" t="str">
        <f>IFERROR(__xludf.DUMMYFUNCTION("IFS(AND(COUNTA(C1215:C1644)=0,COUNTA(Q1215:Q1644)=0),"""",OR(AND(K1215&gt;=1000000000,OR(Y1215&gt;=1000000000,COUNTA(Q1215:Q1644)=0)),OR(Y1215&gt;=1000000000,AND(COUNTA(C1215:C1644)=0,P$3=TRUE))),
ROUNDDOWN((AB$1-AC$1)*MAX(INDEX(T$4:T1644,MATCH(LARGE(FILTER(Y$4:Y1"&amp;"644,Y$4:Y1644&lt;1000000000),1),Y$4:Y1644)),INDEX(F$4:F1644,MATCH(LARGE(FILTER(K$4:K1644,K$4:K1644&lt;1000000000),1),K$4:K1644)))),AND(K1215&lt;1000000000,COUNTA(C1215:C1644)&gt;0,P$3=FALSE),
ROUNDDOWN(INDEX(Y$4:Y1644,MATCH(LARGE(FILTER(W$4:W1644,W$4:W1644&lt;=I1215),1)"&amp;",W$4:W1644))+(I1215-LARGE(FILTER(W$4:W1644,W$4:W1644&lt;=I1215),1))*INDEX(T$4:T1644,MATCH(LARGE(FILTER(W$4:W1644,W$4:W1644&lt;=I1215),1),W$4:W1644))-K1215),1,
ROUNDDOWN(Y1215-INDEX(K$4:K1644,MATCH(LARGE(FILTER(I$4:I1644,I$4:I1644&lt;=W1215),1),I$4:I1644))-(W1215-L"&amp;"ARGE(FILTER(I$4:I1644,I$4:I1644&lt;=W1215),1))*INDEX(F$4:F1644,MATCH(LARGE(FILTER(I$4:I1644,I$4:I1644&lt;=W1215),1),I$4:I1644))))"),"")</f>
        <v/>
      </c>
      <c r="N1215" s="60" t="str">
        <f t="shared" si="8"/>
        <v/>
      </c>
      <c r="O1215" s="61" t="str">
        <f t="shared" si="9"/>
        <v/>
      </c>
      <c r="P1215" s="56" t="str">
        <f t="shared" si="10"/>
        <v/>
      </c>
      <c r="Q1215" s="105"/>
      <c r="R1215" s="10"/>
      <c r="S1215" s="59" t="str">
        <f t="array" ref="S1215">IF(COUNTA(Q1215:Q1644)=0,"",SUM((COUNTIF(Q$4:Q1215,Upgrades!$B$3:$B$13)-COUNTIF(Q$4:Q1215,"Sell_"&amp;Upgrades!$B$3:$B$13))*Upgrades!$D$3:$D$13))</f>
        <v/>
      </c>
      <c r="T1215" s="66" t="str">
        <f>IFERROR(__xludf.DUMMYFUNCTION("IF(COUNTA(Q1215:Q1644)=0,"""",IF(REGEXMATCH(INDEX(FILTER(Q$4:Q1215,Q$4:Q1215&lt;&gt;""""),ROWS(FILTER(Q$4:Q1215,Q$4:Q1215&lt;&gt;""""))),""^Sell_""),INDEX(FILTER(T$4:T1214,Q$4:Q1214&lt;&gt;""""),ROWS(FILTER(Q$4:Q1214,Q$4:Q1214&lt;&gt;""""))),$AD$5+S1215))"),"")</f>
        <v/>
      </c>
      <c r="U1215" s="10" t="str">
        <f>IFERROR(__xludf.DUMMYFUNCTION("IF(COUNTA(Q1215:Q1644)=0,"""",IF(Q1215="""",0,IF(REGEXMATCH(Q1215,""^Sell_""),-ROUNDDOWN(ROUNDUP(INDEX(Upgrades!$C$3:$C$13,MATCH(SUBSTITUTE(Q1215,""Sell_"",""""),Upgrades!$B$3:$B$13,0))*1.15^(COUNTIF(Q$4:Q1214,SUBSTITUTE(Q1215,""Sell_"",""""))-COUNTIF(Q$4"&amp;":Q1214,""Sell_""&amp;SUBSTITUTE(Q1215,""Sell_"",""""))))/2),ROUNDUP(INDEX(Upgrades!$C$3:$C$13,MATCH(Q1215,Upgrades!$B$3:$B$13,0))*1.15^(COUNTIF(Q$4:Q1214,Q1215)-COUNTIF(Q$4:Q1214,""Sell_""&amp;Q1215))))))"),"")</f>
        <v/>
      </c>
      <c r="V1215" s="10" t="str">
        <f t="shared" si="11"/>
        <v/>
      </c>
      <c r="W1215" s="68" t="str">
        <f t="shared" si="12"/>
        <v/>
      </c>
      <c r="X1215" s="59" t="str">
        <f t="shared" si="13"/>
        <v/>
      </c>
      <c r="Y1215" s="69" t="str">
        <f t="shared" si="14"/>
        <v/>
      </c>
      <c r="Z1215" s="11"/>
      <c r="AG1215" s="59"/>
    </row>
    <row r="1216">
      <c r="A1216" s="8"/>
      <c r="B1216" s="56" t="str">
        <f t="shared" si="2"/>
        <v/>
      </c>
      <c r="C1216" s="105"/>
      <c r="D1216" s="10"/>
      <c r="E1216" s="59" t="str">
        <f t="array" ref="E1216">IF(COUNTA(C1216:C1644)=0,"",SUM((COUNTIF(C$4:C1216,Upgrades!$B$3:$B$13)-COUNTIF(C$4:C1216,"Sell_"&amp;Upgrades!$B$3:$B$13))*Upgrades!$D$3:$D$13))</f>
        <v/>
      </c>
      <c r="F1216" s="66" t="str">
        <f>IFERROR(__xludf.DUMMYFUNCTION("IF(COUNTA(C1216:C1644)=0,"""",IF(REGEXMATCH(INDEX(FILTER(C$4:C1216,C$4:C1216&lt;&gt;""""),ROWS(FILTER(C$4:C1216,C$4:C1216&lt;&gt;""""))),""^Sell_""),INDEX(FILTER(F$4:F1215,C$4:C1215&lt;&gt;""""),ROWS(FILTER(C$4:C1215,C$4:C1215&lt;&gt;""""))),$AC$5+E1216))"),"")</f>
        <v/>
      </c>
      <c r="G1216" s="10" t="str">
        <f>IFERROR(__xludf.DUMMYFUNCTION("IF(COUNTA(C1216:C1644)=0,"""",IF(C1216="""",0,IF(REGEXMATCH(C1216,""^Sell_""),-ROUNDDOWN(ROUNDUP(INDEX(Upgrades!$C$3:$C$13,MATCH(SUBSTITUTE(C1216,""Sell_"",""""),Upgrades!$B$3:$B$13,0))*1.15^(COUNTIF(C$4:C1215,SUBSTITUTE(C1216,""Sell_"",""""))-COUNTIF(C$4"&amp;":C1215,""Sell_""&amp;SUBSTITUTE(C1216,""Sell_"",""""))))/2),ROUNDUP(INDEX(Upgrades!$C$3:$C$13,MATCH(C1216,Upgrades!$B$3:$B$13,0))*1.15^(COUNTIF(C$4:C1215,C1216)-COUNTIF(C$4:C1215,""Sell_""&amp;C1216))))))"),"")</f>
        <v/>
      </c>
      <c r="H1216" s="10" t="str">
        <f t="shared" si="3"/>
        <v/>
      </c>
      <c r="I1216" s="68" t="str">
        <f t="shared" si="4"/>
        <v/>
      </c>
      <c r="J1216" s="59" t="str">
        <f t="shared" si="5"/>
        <v/>
      </c>
      <c r="K1216" s="69" t="str">
        <f t="shared" si="6"/>
        <v/>
      </c>
      <c r="L1216" s="60" t="str">
        <f t="shared" si="7"/>
        <v/>
      </c>
      <c r="M1216" s="61" t="str">
        <f>IFERROR(__xludf.DUMMYFUNCTION("IFS(AND(COUNTA(C1216:C1644)=0,COUNTA(Q1216:Q1644)=0),"""",OR(AND(K1216&gt;=1000000000,OR(Y1216&gt;=1000000000,COUNTA(Q1216:Q1644)=0)),OR(Y1216&gt;=1000000000,AND(COUNTA(C1216:C1644)=0,P$3=TRUE))),
ROUNDDOWN((AB$1-AC$1)*MAX(INDEX(T$4:T1644,MATCH(LARGE(FILTER(Y$4:Y1"&amp;"644,Y$4:Y1644&lt;1000000000),1),Y$4:Y1644)),INDEX(F$4:F1644,MATCH(LARGE(FILTER(K$4:K1644,K$4:K1644&lt;1000000000),1),K$4:K1644)))),AND(K1216&lt;1000000000,COUNTA(C1216:C1644)&gt;0,P$3=FALSE),
ROUNDDOWN(INDEX(Y$4:Y1644,MATCH(LARGE(FILTER(W$4:W1644,W$4:W1644&lt;=I1216),1)"&amp;",W$4:W1644))+(I1216-LARGE(FILTER(W$4:W1644,W$4:W1644&lt;=I1216),1))*INDEX(T$4:T1644,MATCH(LARGE(FILTER(W$4:W1644,W$4:W1644&lt;=I1216),1),W$4:W1644))-K1216),1,
ROUNDDOWN(Y1216-INDEX(K$4:K1644,MATCH(LARGE(FILTER(I$4:I1644,I$4:I1644&lt;=W1216),1),I$4:I1644))-(W1216-L"&amp;"ARGE(FILTER(I$4:I1644,I$4:I1644&lt;=W1216),1))*INDEX(F$4:F1644,MATCH(LARGE(FILTER(I$4:I1644,I$4:I1644&lt;=W1216),1),I$4:I1644))))"),"")</f>
        <v/>
      </c>
      <c r="N1216" s="60" t="str">
        <f t="shared" si="8"/>
        <v/>
      </c>
      <c r="O1216" s="61" t="str">
        <f t="shared" si="9"/>
        <v/>
      </c>
      <c r="P1216" s="56" t="str">
        <f t="shared" si="10"/>
        <v/>
      </c>
      <c r="Q1216" s="105"/>
      <c r="R1216" s="10"/>
      <c r="S1216" s="59" t="str">
        <f t="array" ref="S1216">IF(COUNTA(Q1216:Q1644)=0,"",SUM((COUNTIF(Q$4:Q1216,Upgrades!$B$3:$B$13)-COUNTIF(Q$4:Q1216,"Sell_"&amp;Upgrades!$B$3:$B$13))*Upgrades!$D$3:$D$13))</f>
        <v/>
      </c>
      <c r="T1216" s="66" t="str">
        <f>IFERROR(__xludf.DUMMYFUNCTION("IF(COUNTA(Q1216:Q1644)=0,"""",IF(REGEXMATCH(INDEX(FILTER(Q$4:Q1216,Q$4:Q1216&lt;&gt;""""),ROWS(FILTER(Q$4:Q1216,Q$4:Q1216&lt;&gt;""""))),""^Sell_""),INDEX(FILTER(T$4:T1215,Q$4:Q1215&lt;&gt;""""),ROWS(FILTER(Q$4:Q1215,Q$4:Q1215&lt;&gt;""""))),$AD$5+S1216))"),"")</f>
        <v/>
      </c>
      <c r="U1216" s="10" t="str">
        <f>IFERROR(__xludf.DUMMYFUNCTION("IF(COUNTA(Q1216:Q1644)=0,"""",IF(Q1216="""",0,IF(REGEXMATCH(Q1216,""^Sell_""),-ROUNDDOWN(ROUNDUP(INDEX(Upgrades!$C$3:$C$13,MATCH(SUBSTITUTE(Q1216,""Sell_"",""""),Upgrades!$B$3:$B$13,0))*1.15^(COUNTIF(Q$4:Q1215,SUBSTITUTE(Q1216,""Sell_"",""""))-COUNTIF(Q$4"&amp;":Q1215,""Sell_""&amp;SUBSTITUTE(Q1216,""Sell_"",""""))))/2),ROUNDUP(INDEX(Upgrades!$C$3:$C$13,MATCH(Q1216,Upgrades!$B$3:$B$13,0))*1.15^(COUNTIF(Q$4:Q1215,Q1216)-COUNTIF(Q$4:Q1215,""Sell_""&amp;Q1216))))))"),"")</f>
        <v/>
      </c>
      <c r="V1216" s="10" t="str">
        <f t="shared" si="11"/>
        <v/>
      </c>
      <c r="W1216" s="68" t="str">
        <f t="shared" si="12"/>
        <v/>
      </c>
      <c r="X1216" s="59" t="str">
        <f t="shared" si="13"/>
        <v/>
      </c>
      <c r="Y1216" s="69" t="str">
        <f t="shared" si="14"/>
        <v/>
      </c>
      <c r="Z1216" s="11"/>
      <c r="AG1216" s="59"/>
    </row>
    <row r="1217">
      <c r="A1217" s="8"/>
      <c r="B1217" s="56" t="str">
        <f t="shared" si="2"/>
        <v/>
      </c>
      <c r="C1217" s="105"/>
      <c r="D1217" s="10"/>
      <c r="E1217" s="59" t="str">
        <f t="array" ref="E1217">IF(COUNTA(C1217:C1644)=0,"",SUM((COUNTIF(C$4:C1217,Upgrades!$B$3:$B$13)-COUNTIF(C$4:C1217,"Sell_"&amp;Upgrades!$B$3:$B$13))*Upgrades!$D$3:$D$13))</f>
        <v/>
      </c>
      <c r="F1217" s="66" t="str">
        <f>IFERROR(__xludf.DUMMYFUNCTION("IF(COUNTA(C1217:C1644)=0,"""",IF(REGEXMATCH(INDEX(FILTER(C$4:C1217,C$4:C1217&lt;&gt;""""),ROWS(FILTER(C$4:C1217,C$4:C1217&lt;&gt;""""))),""^Sell_""),INDEX(FILTER(F$4:F1216,C$4:C1216&lt;&gt;""""),ROWS(FILTER(C$4:C1216,C$4:C1216&lt;&gt;""""))),$AC$5+E1217))"),"")</f>
        <v/>
      </c>
      <c r="G1217" s="10" t="str">
        <f>IFERROR(__xludf.DUMMYFUNCTION("IF(COUNTA(C1217:C1644)=0,"""",IF(C1217="""",0,IF(REGEXMATCH(C1217,""^Sell_""),-ROUNDDOWN(ROUNDUP(INDEX(Upgrades!$C$3:$C$13,MATCH(SUBSTITUTE(C1217,""Sell_"",""""),Upgrades!$B$3:$B$13,0))*1.15^(COUNTIF(C$4:C1216,SUBSTITUTE(C1217,""Sell_"",""""))-COUNTIF(C$4"&amp;":C1216,""Sell_""&amp;SUBSTITUTE(C1217,""Sell_"",""""))))/2),ROUNDUP(INDEX(Upgrades!$C$3:$C$13,MATCH(C1217,Upgrades!$B$3:$B$13,0))*1.15^(COUNTIF(C$4:C1216,C1217)-COUNTIF(C$4:C1216,""Sell_""&amp;C1217))))))"),"")</f>
        <v/>
      </c>
      <c r="H1217" s="10" t="str">
        <f t="shared" si="3"/>
        <v/>
      </c>
      <c r="I1217" s="68" t="str">
        <f t="shared" si="4"/>
        <v/>
      </c>
      <c r="J1217" s="59" t="str">
        <f t="shared" si="5"/>
        <v/>
      </c>
      <c r="K1217" s="69" t="str">
        <f t="shared" si="6"/>
        <v/>
      </c>
      <c r="L1217" s="60" t="str">
        <f t="shared" si="7"/>
        <v/>
      </c>
      <c r="M1217" s="61" t="str">
        <f>IFERROR(__xludf.DUMMYFUNCTION("IFS(AND(COUNTA(C1217:C1644)=0,COUNTA(Q1217:Q1644)=0),"""",OR(AND(K1217&gt;=1000000000,OR(Y1217&gt;=1000000000,COUNTA(Q1217:Q1644)=0)),OR(Y1217&gt;=1000000000,AND(COUNTA(C1217:C1644)=0,P$3=TRUE))),
ROUNDDOWN((AB$1-AC$1)*MAX(INDEX(T$4:T1644,MATCH(LARGE(FILTER(Y$4:Y1"&amp;"644,Y$4:Y1644&lt;1000000000),1),Y$4:Y1644)),INDEX(F$4:F1644,MATCH(LARGE(FILTER(K$4:K1644,K$4:K1644&lt;1000000000),1),K$4:K1644)))),AND(K1217&lt;1000000000,COUNTA(C1217:C1644)&gt;0,P$3=FALSE),
ROUNDDOWN(INDEX(Y$4:Y1644,MATCH(LARGE(FILTER(W$4:W1644,W$4:W1644&lt;=I1217),1)"&amp;",W$4:W1644))+(I1217-LARGE(FILTER(W$4:W1644,W$4:W1644&lt;=I1217),1))*INDEX(T$4:T1644,MATCH(LARGE(FILTER(W$4:W1644,W$4:W1644&lt;=I1217),1),W$4:W1644))-K1217),1,
ROUNDDOWN(Y1217-INDEX(K$4:K1644,MATCH(LARGE(FILTER(I$4:I1644,I$4:I1644&lt;=W1217),1),I$4:I1644))-(W1217-L"&amp;"ARGE(FILTER(I$4:I1644,I$4:I1644&lt;=W1217),1))*INDEX(F$4:F1644,MATCH(LARGE(FILTER(I$4:I1644,I$4:I1644&lt;=W1217),1),I$4:I1644))))"),"")</f>
        <v/>
      </c>
      <c r="N1217" s="60" t="str">
        <f t="shared" si="8"/>
        <v/>
      </c>
      <c r="O1217" s="61" t="str">
        <f t="shared" si="9"/>
        <v/>
      </c>
      <c r="P1217" s="56" t="str">
        <f t="shared" si="10"/>
        <v/>
      </c>
      <c r="Q1217" s="105"/>
      <c r="R1217" s="10"/>
      <c r="S1217" s="59" t="str">
        <f t="array" ref="S1217">IF(COUNTA(Q1217:Q1644)=0,"",SUM((COUNTIF(Q$4:Q1217,Upgrades!$B$3:$B$13)-COUNTIF(Q$4:Q1217,"Sell_"&amp;Upgrades!$B$3:$B$13))*Upgrades!$D$3:$D$13))</f>
        <v/>
      </c>
      <c r="T1217" s="66" t="str">
        <f>IFERROR(__xludf.DUMMYFUNCTION("IF(COUNTA(Q1217:Q1644)=0,"""",IF(REGEXMATCH(INDEX(FILTER(Q$4:Q1217,Q$4:Q1217&lt;&gt;""""),ROWS(FILTER(Q$4:Q1217,Q$4:Q1217&lt;&gt;""""))),""^Sell_""),INDEX(FILTER(T$4:T1216,Q$4:Q1216&lt;&gt;""""),ROWS(FILTER(Q$4:Q1216,Q$4:Q1216&lt;&gt;""""))),$AD$5+S1217))"),"")</f>
        <v/>
      </c>
      <c r="U1217" s="10" t="str">
        <f>IFERROR(__xludf.DUMMYFUNCTION("IF(COUNTA(Q1217:Q1644)=0,"""",IF(Q1217="""",0,IF(REGEXMATCH(Q1217,""^Sell_""),-ROUNDDOWN(ROUNDUP(INDEX(Upgrades!$C$3:$C$13,MATCH(SUBSTITUTE(Q1217,""Sell_"",""""),Upgrades!$B$3:$B$13,0))*1.15^(COUNTIF(Q$4:Q1216,SUBSTITUTE(Q1217,""Sell_"",""""))-COUNTIF(Q$4"&amp;":Q1216,""Sell_""&amp;SUBSTITUTE(Q1217,""Sell_"",""""))))/2),ROUNDUP(INDEX(Upgrades!$C$3:$C$13,MATCH(Q1217,Upgrades!$B$3:$B$13,0))*1.15^(COUNTIF(Q$4:Q1216,Q1217)-COUNTIF(Q$4:Q1216,""Sell_""&amp;Q1217))))))"),"")</f>
        <v/>
      </c>
      <c r="V1217" s="10" t="str">
        <f t="shared" si="11"/>
        <v/>
      </c>
      <c r="W1217" s="68" t="str">
        <f t="shared" si="12"/>
        <v/>
      </c>
      <c r="X1217" s="59" t="str">
        <f t="shared" si="13"/>
        <v/>
      </c>
      <c r="Y1217" s="69" t="str">
        <f t="shared" si="14"/>
        <v/>
      </c>
      <c r="Z1217" s="11"/>
      <c r="AG1217" s="59"/>
    </row>
    <row r="1218">
      <c r="A1218" s="8"/>
      <c r="B1218" s="56" t="str">
        <f t="shared" si="2"/>
        <v/>
      </c>
      <c r="C1218" s="105"/>
      <c r="D1218" s="10"/>
      <c r="E1218" s="59" t="str">
        <f t="array" ref="E1218">IF(COUNTA(C1218:C1644)=0,"",SUM((COUNTIF(C$4:C1218,Upgrades!$B$3:$B$13)-COUNTIF(C$4:C1218,"Sell_"&amp;Upgrades!$B$3:$B$13))*Upgrades!$D$3:$D$13))</f>
        <v/>
      </c>
      <c r="F1218" s="66" t="str">
        <f>IFERROR(__xludf.DUMMYFUNCTION("IF(COUNTA(C1218:C1644)=0,"""",IF(REGEXMATCH(INDEX(FILTER(C$4:C1218,C$4:C1218&lt;&gt;""""),ROWS(FILTER(C$4:C1218,C$4:C1218&lt;&gt;""""))),""^Sell_""),INDEX(FILTER(F$4:F1217,C$4:C1217&lt;&gt;""""),ROWS(FILTER(C$4:C1217,C$4:C1217&lt;&gt;""""))),$AC$5+E1218))"),"")</f>
        <v/>
      </c>
      <c r="G1218" s="10" t="str">
        <f>IFERROR(__xludf.DUMMYFUNCTION("IF(COUNTA(C1218:C1644)=0,"""",IF(C1218="""",0,IF(REGEXMATCH(C1218,""^Sell_""),-ROUNDDOWN(ROUNDUP(INDEX(Upgrades!$C$3:$C$13,MATCH(SUBSTITUTE(C1218,""Sell_"",""""),Upgrades!$B$3:$B$13,0))*1.15^(COUNTIF(C$4:C1217,SUBSTITUTE(C1218,""Sell_"",""""))-COUNTIF(C$4"&amp;":C1217,""Sell_""&amp;SUBSTITUTE(C1218,""Sell_"",""""))))/2),ROUNDUP(INDEX(Upgrades!$C$3:$C$13,MATCH(C1218,Upgrades!$B$3:$B$13,0))*1.15^(COUNTIF(C$4:C1217,C1218)-COUNTIF(C$4:C1217,""Sell_""&amp;C1218))))))"),"")</f>
        <v/>
      </c>
      <c r="H1218" s="10" t="str">
        <f t="shared" si="3"/>
        <v/>
      </c>
      <c r="I1218" s="68" t="str">
        <f t="shared" si="4"/>
        <v/>
      </c>
      <c r="J1218" s="59" t="str">
        <f t="shared" si="5"/>
        <v/>
      </c>
      <c r="K1218" s="69" t="str">
        <f t="shared" si="6"/>
        <v/>
      </c>
      <c r="L1218" s="60" t="str">
        <f t="shared" si="7"/>
        <v/>
      </c>
      <c r="M1218" s="61" t="str">
        <f>IFERROR(__xludf.DUMMYFUNCTION("IFS(AND(COUNTA(C1218:C1644)=0,COUNTA(Q1218:Q1644)=0),"""",OR(AND(K1218&gt;=1000000000,OR(Y1218&gt;=1000000000,COUNTA(Q1218:Q1644)=0)),OR(Y1218&gt;=1000000000,AND(COUNTA(C1218:C1644)=0,P$3=TRUE))),
ROUNDDOWN((AB$1-AC$1)*MAX(INDEX(T$4:T1644,MATCH(LARGE(FILTER(Y$4:Y1"&amp;"644,Y$4:Y1644&lt;1000000000),1),Y$4:Y1644)),INDEX(F$4:F1644,MATCH(LARGE(FILTER(K$4:K1644,K$4:K1644&lt;1000000000),1),K$4:K1644)))),AND(K1218&lt;1000000000,COUNTA(C1218:C1644)&gt;0,P$3=FALSE),
ROUNDDOWN(INDEX(Y$4:Y1644,MATCH(LARGE(FILTER(W$4:W1644,W$4:W1644&lt;=I1218),1)"&amp;",W$4:W1644))+(I1218-LARGE(FILTER(W$4:W1644,W$4:W1644&lt;=I1218),1))*INDEX(T$4:T1644,MATCH(LARGE(FILTER(W$4:W1644,W$4:W1644&lt;=I1218),1),W$4:W1644))-K1218),1,
ROUNDDOWN(Y1218-INDEX(K$4:K1644,MATCH(LARGE(FILTER(I$4:I1644,I$4:I1644&lt;=W1218),1),I$4:I1644))-(W1218-L"&amp;"ARGE(FILTER(I$4:I1644,I$4:I1644&lt;=W1218),1))*INDEX(F$4:F1644,MATCH(LARGE(FILTER(I$4:I1644,I$4:I1644&lt;=W1218),1),I$4:I1644))))"),"")</f>
        <v/>
      </c>
      <c r="N1218" s="60" t="str">
        <f t="shared" si="8"/>
        <v/>
      </c>
      <c r="O1218" s="61" t="str">
        <f t="shared" si="9"/>
        <v/>
      </c>
      <c r="P1218" s="56" t="str">
        <f t="shared" si="10"/>
        <v/>
      </c>
      <c r="Q1218" s="105"/>
      <c r="R1218" s="10"/>
      <c r="S1218" s="59" t="str">
        <f t="array" ref="S1218">IF(COUNTA(Q1218:Q1644)=0,"",SUM((COUNTIF(Q$4:Q1218,Upgrades!$B$3:$B$13)-COUNTIF(Q$4:Q1218,"Sell_"&amp;Upgrades!$B$3:$B$13))*Upgrades!$D$3:$D$13))</f>
        <v/>
      </c>
      <c r="T1218" s="66" t="str">
        <f>IFERROR(__xludf.DUMMYFUNCTION("IF(COUNTA(Q1218:Q1644)=0,"""",IF(REGEXMATCH(INDEX(FILTER(Q$4:Q1218,Q$4:Q1218&lt;&gt;""""),ROWS(FILTER(Q$4:Q1218,Q$4:Q1218&lt;&gt;""""))),""^Sell_""),INDEX(FILTER(T$4:T1217,Q$4:Q1217&lt;&gt;""""),ROWS(FILTER(Q$4:Q1217,Q$4:Q1217&lt;&gt;""""))),$AD$5+S1218))"),"")</f>
        <v/>
      </c>
      <c r="U1218" s="10" t="str">
        <f>IFERROR(__xludf.DUMMYFUNCTION("IF(COUNTA(Q1218:Q1644)=0,"""",IF(Q1218="""",0,IF(REGEXMATCH(Q1218,""^Sell_""),-ROUNDDOWN(ROUNDUP(INDEX(Upgrades!$C$3:$C$13,MATCH(SUBSTITUTE(Q1218,""Sell_"",""""),Upgrades!$B$3:$B$13,0))*1.15^(COUNTIF(Q$4:Q1217,SUBSTITUTE(Q1218,""Sell_"",""""))-COUNTIF(Q$4"&amp;":Q1217,""Sell_""&amp;SUBSTITUTE(Q1218,""Sell_"",""""))))/2),ROUNDUP(INDEX(Upgrades!$C$3:$C$13,MATCH(Q1218,Upgrades!$B$3:$B$13,0))*1.15^(COUNTIF(Q$4:Q1217,Q1218)-COUNTIF(Q$4:Q1217,""Sell_""&amp;Q1218))))))"),"")</f>
        <v/>
      </c>
      <c r="V1218" s="10" t="str">
        <f t="shared" si="11"/>
        <v/>
      </c>
      <c r="W1218" s="68" t="str">
        <f t="shared" si="12"/>
        <v/>
      </c>
      <c r="X1218" s="59" t="str">
        <f t="shared" si="13"/>
        <v/>
      </c>
      <c r="Y1218" s="69" t="str">
        <f t="shared" si="14"/>
        <v/>
      </c>
      <c r="Z1218" s="11"/>
      <c r="AG1218" s="59"/>
    </row>
    <row r="1219">
      <c r="A1219" s="8"/>
      <c r="B1219" s="56" t="str">
        <f t="shared" si="2"/>
        <v/>
      </c>
      <c r="C1219" s="105"/>
      <c r="D1219" s="10"/>
      <c r="E1219" s="59" t="str">
        <f t="array" ref="E1219">IF(COUNTA(C1219:C1644)=0,"",SUM((COUNTIF(C$4:C1219,Upgrades!$B$3:$B$13)-COUNTIF(C$4:C1219,"Sell_"&amp;Upgrades!$B$3:$B$13))*Upgrades!$D$3:$D$13))</f>
        <v/>
      </c>
      <c r="F1219" s="66" t="str">
        <f>IFERROR(__xludf.DUMMYFUNCTION("IF(COUNTA(C1219:C1644)=0,"""",IF(REGEXMATCH(INDEX(FILTER(C$4:C1219,C$4:C1219&lt;&gt;""""),ROWS(FILTER(C$4:C1219,C$4:C1219&lt;&gt;""""))),""^Sell_""),INDEX(FILTER(F$4:F1218,C$4:C1218&lt;&gt;""""),ROWS(FILTER(C$4:C1218,C$4:C1218&lt;&gt;""""))),$AC$5+E1219))"),"")</f>
        <v/>
      </c>
      <c r="G1219" s="10" t="str">
        <f>IFERROR(__xludf.DUMMYFUNCTION("IF(COUNTA(C1219:C1644)=0,"""",IF(C1219="""",0,IF(REGEXMATCH(C1219,""^Sell_""),-ROUNDDOWN(ROUNDUP(INDEX(Upgrades!$C$3:$C$13,MATCH(SUBSTITUTE(C1219,""Sell_"",""""),Upgrades!$B$3:$B$13,0))*1.15^(COUNTIF(C$4:C1218,SUBSTITUTE(C1219,""Sell_"",""""))-COUNTIF(C$4"&amp;":C1218,""Sell_""&amp;SUBSTITUTE(C1219,""Sell_"",""""))))/2),ROUNDUP(INDEX(Upgrades!$C$3:$C$13,MATCH(C1219,Upgrades!$B$3:$B$13,0))*1.15^(COUNTIF(C$4:C1218,C1219)-COUNTIF(C$4:C1218,""Sell_""&amp;C1219))))))"),"")</f>
        <v/>
      </c>
      <c r="H1219" s="10" t="str">
        <f t="shared" si="3"/>
        <v/>
      </c>
      <c r="I1219" s="68" t="str">
        <f t="shared" si="4"/>
        <v/>
      </c>
      <c r="J1219" s="59" t="str">
        <f t="shared" si="5"/>
        <v/>
      </c>
      <c r="K1219" s="69" t="str">
        <f t="shared" si="6"/>
        <v/>
      </c>
      <c r="L1219" s="60" t="str">
        <f t="shared" si="7"/>
        <v/>
      </c>
      <c r="M1219" s="61" t="str">
        <f>IFERROR(__xludf.DUMMYFUNCTION("IFS(AND(COUNTA(C1219:C1644)=0,COUNTA(Q1219:Q1644)=0),"""",OR(AND(K1219&gt;=1000000000,OR(Y1219&gt;=1000000000,COUNTA(Q1219:Q1644)=0)),OR(Y1219&gt;=1000000000,AND(COUNTA(C1219:C1644)=0,P$3=TRUE))),
ROUNDDOWN((AB$1-AC$1)*MAX(INDEX(T$4:T1644,MATCH(LARGE(FILTER(Y$4:Y1"&amp;"644,Y$4:Y1644&lt;1000000000),1),Y$4:Y1644)),INDEX(F$4:F1644,MATCH(LARGE(FILTER(K$4:K1644,K$4:K1644&lt;1000000000),1),K$4:K1644)))),AND(K1219&lt;1000000000,COUNTA(C1219:C1644)&gt;0,P$3=FALSE),
ROUNDDOWN(INDEX(Y$4:Y1644,MATCH(LARGE(FILTER(W$4:W1644,W$4:W1644&lt;=I1219),1)"&amp;",W$4:W1644))+(I1219-LARGE(FILTER(W$4:W1644,W$4:W1644&lt;=I1219),1))*INDEX(T$4:T1644,MATCH(LARGE(FILTER(W$4:W1644,W$4:W1644&lt;=I1219),1),W$4:W1644))-K1219),1,
ROUNDDOWN(Y1219-INDEX(K$4:K1644,MATCH(LARGE(FILTER(I$4:I1644,I$4:I1644&lt;=W1219),1),I$4:I1644))-(W1219-L"&amp;"ARGE(FILTER(I$4:I1644,I$4:I1644&lt;=W1219),1))*INDEX(F$4:F1644,MATCH(LARGE(FILTER(I$4:I1644,I$4:I1644&lt;=W1219),1),I$4:I1644))))"),"")</f>
        <v/>
      </c>
      <c r="N1219" s="60" t="str">
        <f t="shared" si="8"/>
        <v/>
      </c>
      <c r="O1219" s="61" t="str">
        <f t="shared" si="9"/>
        <v/>
      </c>
      <c r="P1219" s="56" t="str">
        <f t="shared" si="10"/>
        <v/>
      </c>
      <c r="Q1219" s="105"/>
      <c r="R1219" s="10"/>
      <c r="S1219" s="59" t="str">
        <f t="array" ref="S1219">IF(COUNTA(Q1219:Q1644)=0,"",SUM((COUNTIF(Q$4:Q1219,Upgrades!$B$3:$B$13)-COUNTIF(Q$4:Q1219,"Sell_"&amp;Upgrades!$B$3:$B$13))*Upgrades!$D$3:$D$13))</f>
        <v/>
      </c>
      <c r="T1219" s="66" t="str">
        <f>IFERROR(__xludf.DUMMYFUNCTION("IF(COUNTA(Q1219:Q1644)=0,"""",IF(REGEXMATCH(INDEX(FILTER(Q$4:Q1219,Q$4:Q1219&lt;&gt;""""),ROWS(FILTER(Q$4:Q1219,Q$4:Q1219&lt;&gt;""""))),""^Sell_""),INDEX(FILTER(T$4:T1218,Q$4:Q1218&lt;&gt;""""),ROWS(FILTER(Q$4:Q1218,Q$4:Q1218&lt;&gt;""""))),$AD$5+S1219))"),"")</f>
        <v/>
      </c>
      <c r="U1219" s="10" t="str">
        <f>IFERROR(__xludf.DUMMYFUNCTION("IF(COUNTA(Q1219:Q1644)=0,"""",IF(Q1219="""",0,IF(REGEXMATCH(Q1219,""^Sell_""),-ROUNDDOWN(ROUNDUP(INDEX(Upgrades!$C$3:$C$13,MATCH(SUBSTITUTE(Q1219,""Sell_"",""""),Upgrades!$B$3:$B$13,0))*1.15^(COUNTIF(Q$4:Q1218,SUBSTITUTE(Q1219,""Sell_"",""""))-COUNTIF(Q$4"&amp;":Q1218,""Sell_""&amp;SUBSTITUTE(Q1219,""Sell_"",""""))))/2),ROUNDUP(INDEX(Upgrades!$C$3:$C$13,MATCH(Q1219,Upgrades!$B$3:$B$13,0))*1.15^(COUNTIF(Q$4:Q1218,Q1219)-COUNTIF(Q$4:Q1218,""Sell_""&amp;Q1219))))))"),"")</f>
        <v/>
      </c>
      <c r="V1219" s="10" t="str">
        <f t="shared" si="11"/>
        <v/>
      </c>
      <c r="W1219" s="68" t="str">
        <f t="shared" si="12"/>
        <v/>
      </c>
      <c r="X1219" s="59" t="str">
        <f t="shared" si="13"/>
        <v/>
      </c>
      <c r="Y1219" s="69" t="str">
        <f t="shared" si="14"/>
        <v/>
      </c>
      <c r="Z1219" s="11"/>
      <c r="AG1219" s="59"/>
    </row>
    <row r="1220">
      <c r="A1220" s="8"/>
      <c r="B1220" s="56" t="str">
        <f t="shared" si="2"/>
        <v/>
      </c>
      <c r="C1220" s="105"/>
      <c r="D1220" s="10"/>
      <c r="E1220" s="59" t="str">
        <f t="array" ref="E1220">IF(COUNTA(C1220:C1644)=0,"",SUM((COUNTIF(C$4:C1220,Upgrades!$B$3:$B$13)-COUNTIF(C$4:C1220,"Sell_"&amp;Upgrades!$B$3:$B$13))*Upgrades!$D$3:$D$13))</f>
        <v/>
      </c>
      <c r="F1220" s="66" t="str">
        <f>IFERROR(__xludf.DUMMYFUNCTION("IF(COUNTA(C1220:C1644)=0,"""",IF(REGEXMATCH(INDEX(FILTER(C$4:C1220,C$4:C1220&lt;&gt;""""),ROWS(FILTER(C$4:C1220,C$4:C1220&lt;&gt;""""))),""^Sell_""),INDEX(FILTER(F$4:F1219,C$4:C1219&lt;&gt;""""),ROWS(FILTER(C$4:C1219,C$4:C1219&lt;&gt;""""))),$AC$5+E1220))"),"")</f>
        <v/>
      </c>
      <c r="G1220" s="10" t="str">
        <f>IFERROR(__xludf.DUMMYFUNCTION("IF(COUNTA(C1220:C1644)=0,"""",IF(C1220="""",0,IF(REGEXMATCH(C1220,""^Sell_""),-ROUNDDOWN(ROUNDUP(INDEX(Upgrades!$C$3:$C$13,MATCH(SUBSTITUTE(C1220,""Sell_"",""""),Upgrades!$B$3:$B$13,0))*1.15^(COUNTIF(C$4:C1219,SUBSTITUTE(C1220,""Sell_"",""""))-COUNTIF(C$4"&amp;":C1219,""Sell_""&amp;SUBSTITUTE(C1220,""Sell_"",""""))))/2),ROUNDUP(INDEX(Upgrades!$C$3:$C$13,MATCH(C1220,Upgrades!$B$3:$B$13,0))*1.15^(COUNTIF(C$4:C1219,C1220)-COUNTIF(C$4:C1219,""Sell_""&amp;C1220))))))"),"")</f>
        <v/>
      </c>
      <c r="H1220" s="10" t="str">
        <f t="shared" si="3"/>
        <v/>
      </c>
      <c r="I1220" s="68" t="str">
        <f t="shared" si="4"/>
        <v/>
      </c>
      <c r="J1220" s="59" t="str">
        <f t="shared" si="5"/>
        <v/>
      </c>
      <c r="K1220" s="69" t="str">
        <f t="shared" si="6"/>
        <v/>
      </c>
      <c r="L1220" s="60" t="str">
        <f t="shared" si="7"/>
        <v/>
      </c>
      <c r="M1220" s="61" t="str">
        <f>IFERROR(__xludf.DUMMYFUNCTION("IFS(AND(COUNTA(C1220:C1644)=0,COUNTA(Q1220:Q1644)=0),"""",OR(AND(K1220&gt;=1000000000,OR(Y1220&gt;=1000000000,COUNTA(Q1220:Q1644)=0)),OR(Y1220&gt;=1000000000,AND(COUNTA(C1220:C1644)=0,P$3=TRUE))),
ROUNDDOWN((AB$1-AC$1)*MAX(INDEX(T$4:T1644,MATCH(LARGE(FILTER(Y$4:Y1"&amp;"644,Y$4:Y1644&lt;1000000000),1),Y$4:Y1644)),INDEX(F$4:F1644,MATCH(LARGE(FILTER(K$4:K1644,K$4:K1644&lt;1000000000),1),K$4:K1644)))),AND(K1220&lt;1000000000,COUNTA(C1220:C1644)&gt;0,P$3=FALSE),
ROUNDDOWN(INDEX(Y$4:Y1644,MATCH(LARGE(FILTER(W$4:W1644,W$4:W1644&lt;=I1220),1)"&amp;",W$4:W1644))+(I1220-LARGE(FILTER(W$4:W1644,W$4:W1644&lt;=I1220),1))*INDEX(T$4:T1644,MATCH(LARGE(FILTER(W$4:W1644,W$4:W1644&lt;=I1220),1),W$4:W1644))-K1220),1,
ROUNDDOWN(Y1220-INDEX(K$4:K1644,MATCH(LARGE(FILTER(I$4:I1644,I$4:I1644&lt;=W1220),1),I$4:I1644))-(W1220-L"&amp;"ARGE(FILTER(I$4:I1644,I$4:I1644&lt;=W1220),1))*INDEX(F$4:F1644,MATCH(LARGE(FILTER(I$4:I1644,I$4:I1644&lt;=W1220),1),I$4:I1644))))"),"")</f>
        <v/>
      </c>
      <c r="N1220" s="60" t="str">
        <f t="shared" si="8"/>
        <v/>
      </c>
      <c r="O1220" s="61" t="str">
        <f t="shared" si="9"/>
        <v/>
      </c>
      <c r="P1220" s="56" t="str">
        <f t="shared" si="10"/>
        <v/>
      </c>
      <c r="Q1220" s="105"/>
      <c r="R1220" s="10"/>
      <c r="S1220" s="59" t="str">
        <f t="array" ref="S1220">IF(COUNTA(Q1220:Q1644)=0,"",SUM((COUNTIF(Q$4:Q1220,Upgrades!$B$3:$B$13)-COUNTIF(Q$4:Q1220,"Sell_"&amp;Upgrades!$B$3:$B$13))*Upgrades!$D$3:$D$13))</f>
        <v/>
      </c>
      <c r="T1220" s="66" t="str">
        <f>IFERROR(__xludf.DUMMYFUNCTION("IF(COUNTA(Q1220:Q1644)=0,"""",IF(REGEXMATCH(INDEX(FILTER(Q$4:Q1220,Q$4:Q1220&lt;&gt;""""),ROWS(FILTER(Q$4:Q1220,Q$4:Q1220&lt;&gt;""""))),""^Sell_""),INDEX(FILTER(T$4:T1219,Q$4:Q1219&lt;&gt;""""),ROWS(FILTER(Q$4:Q1219,Q$4:Q1219&lt;&gt;""""))),$AD$5+S1220))"),"")</f>
        <v/>
      </c>
      <c r="U1220" s="10" t="str">
        <f>IFERROR(__xludf.DUMMYFUNCTION("IF(COUNTA(Q1220:Q1644)=0,"""",IF(Q1220="""",0,IF(REGEXMATCH(Q1220,""^Sell_""),-ROUNDDOWN(ROUNDUP(INDEX(Upgrades!$C$3:$C$13,MATCH(SUBSTITUTE(Q1220,""Sell_"",""""),Upgrades!$B$3:$B$13,0))*1.15^(COUNTIF(Q$4:Q1219,SUBSTITUTE(Q1220,""Sell_"",""""))-COUNTIF(Q$4"&amp;":Q1219,""Sell_""&amp;SUBSTITUTE(Q1220,""Sell_"",""""))))/2),ROUNDUP(INDEX(Upgrades!$C$3:$C$13,MATCH(Q1220,Upgrades!$B$3:$B$13,0))*1.15^(COUNTIF(Q$4:Q1219,Q1220)-COUNTIF(Q$4:Q1219,""Sell_""&amp;Q1220))))))"),"")</f>
        <v/>
      </c>
      <c r="V1220" s="10" t="str">
        <f t="shared" si="11"/>
        <v/>
      </c>
      <c r="W1220" s="68" t="str">
        <f t="shared" si="12"/>
        <v/>
      </c>
      <c r="X1220" s="59" t="str">
        <f t="shared" si="13"/>
        <v/>
      </c>
      <c r="Y1220" s="69" t="str">
        <f t="shared" si="14"/>
        <v/>
      </c>
      <c r="Z1220" s="11"/>
      <c r="AG1220" s="59"/>
    </row>
    <row r="1221">
      <c r="A1221" s="8"/>
      <c r="B1221" s="56" t="str">
        <f t="shared" si="2"/>
        <v/>
      </c>
      <c r="C1221" s="105"/>
      <c r="D1221" s="10"/>
      <c r="E1221" s="59" t="str">
        <f t="array" ref="E1221">IF(COUNTA(C1221:C1644)=0,"",SUM((COUNTIF(C$4:C1221,Upgrades!$B$3:$B$13)-COUNTIF(C$4:C1221,"Sell_"&amp;Upgrades!$B$3:$B$13))*Upgrades!$D$3:$D$13))</f>
        <v/>
      </c>
      <c r="F1221" s="66" t="str">
        <f>IFERROR(__xludf.DUMMYFUNCTION("IF(COUNTA(C1221:C1644)=0,"""",IF(REGEXMATCH(INDEX(FILTER(C$4:C1221,C$4:C1221&lt;&gt;""""),ROWS(FILTER(C$4:C1221,C$4:C1221&lt;&gt;""""))),""^Sell_""),INDEX(FILTER(F$4:F1220,C$4:C1220&lt;&gt;""""),ROWS(FILTER(C$4:C1220,C$4:C1220&lt;&gt;""""))),$AC$5+E1221))"),"")</f>
        <v/>
      </c>
      <c r="G1221" s="10" t="str">
        <f>IFERROR(__xludf.DUMMYFUNCTION("IF(COUNTA(C1221:C1644)=0,"""",IF(C1221="""",0,IF(REGEXMATCH(C1221,""^Sell_""),-ROUNDDOWN(ROUNDUP(INDEX(Upgrades!$C$3:$C$13,MATCH(SUBSTITUTE(C1221,""Sell_"",""""),Upgrades!$B$3:$B$13,0))*1.15^(COUNTIF(C$4:C1220,SUBSTITUTE(C1221,""Sell_"",""""))-COUNTIF(C$4"&amp;":C1220,""Sell_""&amp;SUBSTITUTE(C1221,""Sell_"",""""))))/2),ROUNDUP(INDEX(Upgrades!$C$3:$C$13,MATCH(C1221,Upgrades!$B$3:$B$13,0))*1.15^(COUNTIF(C$4:C1220,C1221)-COUNTIF(C$4:C1220,""Sell_""&amp;C1221))))))"),"")</f>
        <v/>
      </c>
      <c r="H1221" s="10" t="str">
        <f t="shared" si="3"/>
        <v/>
      </c>
      <c r="I1221" s="68" t="str">
        <f t="shared" si="4"/>
        <v/>
      </c>
      <c r="J1221" s="59" t="str">
        <f t="shared" si="5"/>
        <v/>
      </c>
      <c r="K1221" s="69" t="str">
        <f t="shared" si="6"/>
        <v/>
      </c>
      <c r="L1221" s="60" t="str">
        <f t="shared" si="7"/>
        <v/>
      </c>
      <c r="M1221" s="61" t="str">
        <f>IFERROR(__xludf.DUMMYFUNCTION("IFS(AND(COUNTA(C1221:C1644)=0,COUNTA(Q1221:Q1644)=0),"""",OR(AND(K1221&gt;=1000000000,OR(Y1221&gt;=1000000000,COUNTA(Q1221:Q1644)=0)),OR(Y1221&gt;=1000000000,AND(COUNTA(C1221:C1644)=0,P$3=TRUE))),
ROUNDDOWN((AB$1-AC$1)*MAX(INDEX(T$4:T1644,MATCH(LARGE(FILTER(Y$4:Y1"&amp;"644,Y$4:Y1644&lt;1000000000),1),Y$4:Y1644)),INDEX(F$4:F1644,MATCH(LARGE(FILTER(K$4:K1644,K$4:K1644&lt;1000000000),1),K$4:K1644)))),AND(K1221&lt;1000000000,COUNTA(C1221:C1644)&gt;0,P$3=FALSE),
ROUNDDOWN(INDEX(Y$4:Y1644,MATCH(LARGE(FILTER(W$4:W1644,W$4:W1644&lt;=I1221),1)"&amp;",W$4:W1644))+(I1221-LARGE(FILTER(W$4:W1644,W$4:W1644&lt;=I1221),1))*INDEX(T$4:T1644,MATCH(LARGE(FILTER(W$4:W1644,W$4:W1644&lt;=I1221),1),W$4:W1644))-K1221),1,
ROUNDDOWN(Y1221-INDEX(K$4:K1644,MATCH(LARGE(FILTER(I$4:I1644,I$4:I1644&lt;=W1221),1),I$4:I1644))-(W1221-L"&amp;"ARGE(FILTER(I$4:I1644,I$4:I1644&lt;=W1221),1))*INDEX(F$4:F1644,MATCH(LARGE(FILTER(I$4:I1644,I$4:I1644&lt;=W1221),1),I$4:I1644))))"),"")</f>
        <v/>
      </c>
      <c r="N1221" s="60" t="str">
        <f t="shared" si="8"/>
        <v/>
      </c>
      <c r="O1221" s="61" t="str">
        <f t="shared" si="9"/>
        <v/>
      </c>
      <c r="P1221" s="56" t="str">
        <f t="shared" si="10"/>
        <v/>
      </c>
      <c r="Q1221" s="105"/>
      <c r="R1221" s="10"/>
      <c r="S1221" s="59" t="str">
        <f t="array" ref="S1221">IF(COUNTA(Q1221:Q1644)=0,"",SUM((COUNTIF(Q$4:Q1221,Upgrades!$B$3:$B$13)-COUNTIF(Q$4:Q1221,"Sell_"&amp;Upgrades!$B$3:$B$13))*Upgrades!$D$3:$D$13))</f>
        <v/>
      </c>
      <c r="T1221" s="66" t="str">
        <f>IFERROR(__xludf.DUMMYFUNCTION("IF(COUNTA(Q1221:Q1644)=0,"""",IF(REGEXMATCH(INDEX(FILTER(Q$4:Q1221,Q$4:Q1221&lt;&gt;""""),ROWS(FILTER(Q$4:Q1221,Q$4:Q1221&lt;&gt;""""))),""^Sell_""),INDEX(FILTER(T$4:T1220,Q$4:Q1220&lt;&gt;""""),ROWS(FILTER(Q$4:Q1220,Q$4:Q1220&lt;&gt;""""))),$AD$5+S1221))"),"")</f>
        <v/>
      </c>
      <c r="U1221" s="10" t="str">
        <f>IFERROR(__xludf.DUMMYFUNCTION("IF(COUNTA(Q1221:Q1644)=0,"""",IF(Q1221="""",0,IF(REGEXMATCH(Q1221,""^Sell_""),-ROUNDDOWN(ROUNDUP(INDEX(Upgrades!$C$3:$C$13,MATCH(SUBSTITUTE(Q1221,""Sell_"",""""),Upgrades!$B$3:$B$13,0))*1.15^(COUNTIF(Q$4:Q1220,SUBSTITUTE(Q1221,""Sell_"",""""))-COUNTIF(Q$4"&amp;":Q1220,""Sell_""&amp;SUBSTITUTE(Q1221,""Sell_"",""""))))/2),ROUNDUP(INDEX(Upgrades!$C$3:$C$13,MATCH(Q1221,Upgrades!$B$3:$B$13,0))*1.15^(COUNTIF(Q$4:Q1220,Q1221)-COUNTIF(Q$4:Q1220,""Sell_""&amp;Q1221))))))"),"")</f>
        <v/>
      </c>
      <c r="V1221" s="10" t="str">
        <f t="shared" si="11"/>
        <v/>
      </c>
      <c r="W1221" s="68" t="str">
        <f t="shared" si="12"/>
        <v/>
      </c>
      <c r="X1221" s="59" t="str">
        <f t="shared" si="13"/>
        <v/>
      </c>
      <c r="Y1221" s="69" t="str">
        <f t="shared" si="14"/>
        <v/>
      </c>
      <c r="Z1221" s="11"/>
      <c r="AG1221" s="59"/>
    </row>
    <row r="1222">
      <c r="A1222" s="8"/>
      <c r="B1222" s="56" t="str">
        <f t="shared" si="2"/>
        <v/>
      </c>
      <c r="C1222" s="105"/>
      <c r="D1222" s="10"/>
      <c r="E1222" s="59" t="str">
        <f t="array" ref="E1222">IF(COUNTA(C1222:C1644)=0,"",SUM((COUNTIF(C$4:C1222,Upgrades!$B$3:$B$13)-COUNTIF(C$4:C1222,"Sell_"&amp;Upgrades!$B$3:$B$13))*Upgrades!$D$3:$D$13))</f>
        <v/>
      </c>
      <c r="F1222" s="66" t="str">
        <f>IFERROR(__xludf.DUMMYFUNCTION("IF(COUNTA(C1222:C1644)=0,"""",IF(REGEXMATCH(INDEX(FILTER(C$4:C1222,C$4:C1222&lt;&gt;""""),ROWS(FILTER(C$4:C1222,C$4:C1222&lt;&gt;""""))),""^Sell_""),INDEX(FILTER(F$4:F1221,C$4:C1221&lt;&gt;""""),ROWS(FILTER(C$4:C1221,C$4:C1221&lt;&gt;""""))),$AC$5+E1222))"),"")</f>
        <v/>
      </c>
      <c r="G1222" s="10" t="str">
        <f>IFERROR(__xludf.DUMMYFUNCTION("IF(COUNTA(C1222:C1644)=0,"""",IF(C1222="""",0,IF(REGEXMATCH(C1222,""^Sell_""),-ROUNDDOWN(ROUNDUP(INDEX(Upgrades!$C$3:$C$13,MATCH(SUBSTITUTE(C1222,""Sell_"",""""),Upgrades!$B$3:$B$13,0))*1.15^(COUNTIF(C$4:C1221,SUBSTITUTE(C1222,""Sell_"",""""))-COUNTIF(C$4"&amp;":C1221,""Sell_""&amp;SUBSTITUTE(C1222,""Sell_"",""""))))/2),ROUNDUP(INDEX(Upgrades!$C$3:$C$13,MATCH(C1222,Upgrades!$B$3:$B$13,0))*1.15^(COUNTIF(C$4:C1221,C1222)-COUNTIF(C$4:C1221,""Sell_""&amp;C1222))))))"),"")</f>
        <v/>
      </c>
      <c r="H1222" s="10" t="str">
        <f t="shared" si="3"/>
        <v/>
      </c>
      <c r="I1222" s="68" t="str">
        <f t="shared" si="4"/>
        <v/>
      </c>
      <c r="J1222" s="59" t="str">
        <f t="shared" si="5"/>
        <v/>
      </c>
      <c r="K1222" s="69" t="str">
        <f t="shared" si="6"/>
        <v/>
      </c>
      <c r="L1222" s="60" t="str">
        <f t="shared" si="7"/>
        <v/>
      </c>
      <c r="M1222" s="61" t="str">
        <f>IFERROR(__xludf.DUMMYFUNCTION("IFS(AND(COUNTA(C1222:C1644)=0,COUNTA(Q1222:Q1644)=0),"""",OR(AND(K1222&gt;=1000000000,OR(Y1222&gt;=1000000000,COUNTA(Q1222:Q1644)=0)),OR(Y1222&gt;=1000000000,AND(COUNTA(C1222:C1644)=0,P$3=TRUE))),
ROUNDDOWN((AB$1-AC$1)*MAX(INDEX(T$4:T1644,MATCH(LARGE(FILTER(Y$4:Y1"&amp;"644,Y$4:Y1644&lt;1000000000),1),Y$4:Y1644)),INDEX(F$4:F1644,MATCH(LARGE(FILTER(K$4:K1644,K$4:K1644&lt;1000000000),1),K$4:K1644)))),AND(K1222&lt;1000000000,COUNTA(C1222:C1644)&gt;0,P$3=FALSE),
ROUNDDOWN(INDEX(Y$4:Y1644,MATCH(LARGE(FILTER(W$4:W1644,W$4:W1644&lt;=I1222),1)"&amp;",W$4:W1644))+(I1222-LARGE(FILTER(W$4:W1644,W$4:W1644&lt;=I1222),1))*INDEX(T$4:T1644,MATCH(LARGE(FILTER(W$4:W1644,W$4:W1644&lt;=I1222),1),W$4:W1644))-K1222),1,
ROUNDDOWN(Y1222-INDEX(K$4:K1644,MATCH(LARGE(FILTER(I$4:I1644,I$4:I1644&lt;=W1222),1),I$4:I1644))-(W1222-L"&amp;"ARGE(FILTER(I$4:I1644,I$4:I1644&lt;=W1222),1))*INDEX(F$4:F1644,MATCH(LARGE(FILTER(I$4:I1644,I$4:I1644&lt;=W1222),1),I$4:I1644))))"),"")</f>
        <v/>
      </c>
      <c r="N1222" s="60" t="str">
        <f t="shared" si="8"/>
        <v/>
      </c>
      <c r="O1222" s="61" t="str">
        <f t="shared" si="9"/>
        <v/>
      </c>
      <c r="P1222" s="56" t="str">
        <f t="shared" si="10"/>
        <v/>
      </c>
      <c r="Q1222" s="105"/>
      <c r="R1222" s="10"/>
      <c r="S1222" s="59" t="str">
        <f t="array" ref="S1222">IF(COUNTA(Q1222:Q1644)=0,"",SUM((COUNTIF(Q$4:Q1222,Upgrades!$B$3:$B$13)-COUNTIF(Q$4:Q1222,"Sell_"&amp;Upgrades!$B$3:$B$13))*Upgrades!$D$3:$D$13))</f>
        <v/>
      </c>
      <c r="T1222" s="66" t="str">
        <f>IFERROR(__xludf.DUMMYFUNCTION("IF(COUNTA(Q1222:Q1644)=0,"""",IF(REGEXMATCH(INDEX(FILTER(Q$4:Q1222,Q$4:Q1222&lt;&gt;""""),ROWS(FILTER(Q$4:Q1222,Q$4:Q1222&lt;&gt;""""))),""^Sell_""),INDEX(FILTER(T$4:T1221,Q$4:Q1221&lt;&gt;""""),ROWS(FILTER(Q$4:Q1221,Q$4:Q1221&lt;&gt;""""))),$AD$5+S1222))"),"")</f>
        <v/>
      </c>
      <c r="U1222" s="10" t="str">
        <f>IFERROR(__xludf.DUMMYFUNCTION("IF(COUNTA(Q1222:Q1644)=0,"""",IF(Q1222="""",0,IF(REGEXMATCH(Q1222,""^Sell_""),-ROUNDDOWN(ROUNDUP(INDEX(Upgrades!$C$3:$C$13,MATCH(SUBSTITUTE(Q1222,""Sell_"",""""),Upgrades!$B$3:$B$13,0))*1.15^(COUNTIF(Q$4:Q1221,SUBSTITUTE(Q1222,""Sell_"",""""))-COUNTIF(Q$4"&amp;":Q1221,""Sell_""&amp;SUBSTITUTE(Q1222,""Sell_"",""""))))/2),ROUNDUP(INDEX(Upgrades!$C$3:$C$13,MATCH(Q1222,Upgrades!$B$3:$B$13,0))*1.15^(COUNTIF(Q$4:Q1221,Q1222)-COUNTIF(Q$4:Q1221,""Sell_""&amp;Q1222))))))"),"")</f>
        <v/>
      </c>
      <c r="V1222" s="10" t="str">
        <f t="shared" si="11"/>
        <v/>
      </c>
      <c r="W1222" s="68" t="str">
        <f t="shared" si="12"/>
        <v/>
      </c>
      <c r="X1222" s="59" t="str">
        <f t="shared" si="13"/>
        <v/>
      </c>
      <c r="Y1222" s="69" t="str">
        <f t="shared" si="14"/>
        <v/>
      </c>
      <c r="Z1222" s="11"/>
      <c r="AG1222" s="59"/>
    </row>
    <row r="1223">
      <c r="A1223" s="8"/>
      <c r="B1223" s="56" t="str">
        <f t="shared" si="2"/>
        <v/>
      </c>
      <c r="C1223" s="105"/>
      <c r="D1223" s="10"/>
      <c r="E1223" s="59" t="str">
        <f t="array" ref="E1223">IF(COUNTA(C1223:C1644)=0,"",SUM((COUNTIF(C$4:C1223,Upgrades!$B$3:$B$13)-COUNTIF(C$4:C1223,"Sell_"&amp;Upgrades!$B$3:$B$13))*Upgrades!$D$3:$D$13))</f>
        <v/>
      </c>
      <c r="F1223" s="66" t="str">
        <f>IFERROR(__xludf.DUMMYFUNCTION("IF(COUNTA(C1223:C1644)=0,"""",IF(REGEXMATCH(INDEX(FILTER(C$4:C1223,C$4:C1223&lt;&gt;""""),ROWS(FILTER(C$4:C1223,C$4:C1223&lt;&gt;""""))),""^Sell_""),INDEX(FILTER(F$4:F1222,C$4:C1222&lt;&gt;""""),ROWS(FILTER(C$4:C1222,C$4:C1222&lt;&gt;""""))),$AC$5+E1223))"),"")</f>
        <v/>
      </c>
      <c r="G1223" s="10" t="str">
        <f>IFERROR(__xludf.DUMMYFUNCTION("IF(COUNTA(C1223:C1644)=0,"""",IF(C1223="""",0,IF(REGEXMATCH(C1223,""^Sell_""),-ROUNDDOWN(ROUNDUP(INDEX(Upgrades!$C$3:$C$13,MATCH(SUBSTITUTE(C1223,""Sell_"",""""),Upgrades!$B$3:$B$13,0))*1.15^(COUNTIF(C$4:C1222,SUBSTITUTE(C1223,""Sell_"",""""))-COUNTIF(C$4"&amp;":C1222,""Sell_""&amp;SUBSTITUTE(C1223,""Sell_"",""""))))/2),ROUNDUP(INDEX(Upgrades!$C$3:$C$13,MATCH(C1223,Upgrades!$B$3:$B$13,0))*1.15^(COUNTIF(C$4:C1222,C1223)-COUNTIF(C$4:C1222,""Sell_""&amp;C1223))))))"),"")</f>
        <v/>
      </c>
      <c r="H1223" s="10" t="str">
        <f t="shared" si="3"/>
        <v/>
      </c>
      <c r="I1223" s="68" t="str">
        <f t="shared" si="4"/>
        <v/>
      </c>
      <c r="J1223" s="59" t="str">
        <f t="shared" si="5"/>
        <v/>
      </c>
      <c r="K1223" s="69" t="str">
        <f t="shared" si="6"/>
        <v/>
      </c>
      <c r="L1223" s="60" t="str">
        <f t="shared" si="7"/>
        <v/>
      </c>
      <c r="M1223" s="61" t="str">
        <f>IFERROR(__xludf.DUMMYFUNCTION("IFS(AND(COUNTA(C1223:C1644)=0,COUNTA(Q1223:Q1644)=0),"""",OR(AND(K1223&gt;=1000000000,OR(Y1223&gt;=1000000000,COUNTA(Q1223:Q1644)=0)),OR(Y1223&gt;=1000000000,AND(COUNTA(C1223:C1644)=0,P$3=TRUE))),
ROUNDDOWN((AB$1-AC$1)*MAX(INDEX(T$4:T1644,MATCH(LARGE(FILTER(Y$4:Y1"&amp;"644,Y$4:Y1644&lt;1000000000),1),Y$4:Y1644)),INDEX(F$4:F1644,MATCH(LARGE(FILTER(K$4:K1644,K$4:K1644&lt;1000000000),1),K$4:K1644)))),AND(K1223&lt;1000000000,COUNTA(C1223:C1644)&gt;0,P$3=FALSE),
ROUNDDOWN(INDEX(Y$4:Y1644,MATCH(LARGE(FILTER(W$4:W1644,W$4:W1644&lt;=I1223),1)"&amp;",W$4:W1644))+(I1223-LARGE(FILTER(W$4:W1644,W$4:W1644&lt;=I1223),1))*INDEX(T$4:T1644,MATCH(LARGE(FILTER(W$4:W1644,W$4:W1644&lt;=I1223),1),W$4:W1644))-K1223),1,
ROUNDDOWN(Y1223-INDEX(K$4:K1644,MATCH(LARGE(FILTER(I$4:I1644,I$4:I1644&lt;=W1223),1),I$4:I1644))-(W1223-L"&amp;"ARGE(FILTER(I$4:I1644,I$4:I1644&lt;=W1223),1))*INDEX(F$4:F1644,MATCH(LARGE(FILTER(I$4:I1644,I$4:I1644&lt;=W1223),1),I$4:I1644))))"),"")</f>
        <v/>
      </c>
      <c r="N1223" s="60" t="str">
        <f t="shared" si="8"/>
        <v/>
      </c>
      <c r="O1223" s="61" t="str">
        <f t="shared" si="9"/>
        <v/>
      </c>
      <c r="P1223" s="56" t="str">
        <f t="shared" si="10"/>
        <v/>
      </c>
      <c r="Q1223" s="105"/>
      <c r="R1223" s="10"/>
      <c r="S1223" s="59" t="str">
        <f t="array" ref="S1223">IF(COUNTA(Q1223:Q1644)=0,"",SUM((COUNTIF(Q$4:Q1223,Upgrades!$B$3:$B$13)-COUNTIF(Q$4:Q1223,"Sell_"&amp;Upgrades!$B$3:$B$13))*Upgrades!$D$3:$D$13))</f>
        <v/>
      </c>
      <c r="T1223" s="66" t="str">
        <f>IFERROR(__xludf.DUMMYFUNCTION("IF(COUNTA(Q1223:Q1644)=0,"""",IF(REGEXMATCH(INDEX(FILTER(Q$4:Q1223,Q$4:Q1223&lt;&gt;""""),ROWS(FILTER(Q$4:Q1223,Q$4:Q1223&lt;&gt;""""))),""^Sell_""),INDEX(FILTER(T$4:T1222,Q$4:Q1222&lt;&gt;""""),ROWS(FILTER(Q$4:Q1222,Q$4:Q1222&lt;&gt;""""))),$AD$5+S1223))"),"")</f>
        <v/>
      </c>
      <c r="U1223" s="10" t="str">
        <f>IFERROR(__xludf.DUMMYFUNCTION("IF(COUNTA(Q1223:Q1644)=0,"""",IF(Q1223="""",0,IF(REGEXMATCH(Q1223,""^Sell_""),-ROUNDDOWN(ROUNDUP(INDEX(Upgrades!$C$3:$C$13,MATCH(SUBSTITUTE(Q1223,""Sell_"",""""),Upgrades!$B$3:$B$13,0))*1.15^(COUNTIF(Q$4:Q1222,SUBSTITUTE(Q1223,""Sell_"",""""))-COUNTIF(Q$4"&amp;":Q1222,""Sell_""&amp;SUBSTITUTE(Q1223,""Sell_"",""""))))/2),ROUNDUP(INDEX(Upgrades!$C$3:$C$13,MATCH(Q1223,Upgrades!$B$3:$B$13,0))*1.15^(COUNTIF(Q$4:Q1222,Q1223)-COUNTIF(Q$4:Q1222,""Sell_""&amp;Q1223))))))"),"")</f>
        <v/>
      </c>
      <c r="V1223" s="10" t="str">
        <f t="shared" si="11"/>
        <v/>
      </c>
      <c r="W1223" s="68" t="str">
        <f t="shared" si="12"/>
        <v/>
      </c>
      <c r="X1223" s="59" t="str">
        <f t="shared" si="13"/>
        <v/>
      </c>
      <c r="Y1223" s="69" t="str">
        <f t="shared" si="14"/>
        <v/>
      </c>
      <c r="Z1223" s="11"/>
      <c r="AG1223" s="59"/>
    </row>
    <row r="1224">
      <c r="A1224" s="8"/>
      <c r="B1224" s="56" t="str">
        <f t="shared" si="2"/>
        <v/>
      </c>
      <c r="C1224" s="105"/>
      <c r="D1224" s="10"/>
      <c r="E1224" s="59" t="str">
        <f t="array" ref="E1224">IF(COUNTA(C1224:C1644)=0,"",SUM((COUNTIF(C$4:C1224,Upgrades!$B$3:$B$13)-COUNTIF(C$4:C1224,"Sell_"&amp;Upgrades!$B$3:$B$13))*Upgrades!$D$3:$D$13))</f>
        <v/>
      </c>
      <c r="F1224" s="66" t="str">
        <f>IFERROR(__xludf.DUMMYFUNCTION("IF(COUNTA(C1224:C1644)=0,"""",IF(REGEXMATCH(INDEX(FILTER(C$4:C1224,C$4:C1224&lt;&gt;""""),ROWS(FILTER(C$4:C1224,C$4:C1224&lt;&gt;""""))),""^Sell_""),INDEX(FILTER(F$4:F1223,C$4:C1223&lt;&gt;""""),ROWS(FILTER(C$4:C1223,C$4:C1223&lt;&gt;""""))),$AC$5+E1224))"),"")</f>
        <v/>
      </c>
      <c r="G1224" s="10" t="str">
        <f>IFERROR(__xludf.DUMMYFUNCTION("IF(COUNTA(C1224:C1644)=0,"""",IF(C1224="""",0,IF(REGEXMATCH(C1224,""^Sell_""),-ROUNDDOWN(ROUNDUP(INDEX(Upgrades!$C$3:$C$13,MATCH(SUBSTITUTE(C1224,""Sell_"",""""),Upgrades!$B$3:$B$13,0))*1.15^(COUNTIF(C$4:C1223,SUBSTITUTE(C1224,""Sell_"",""""))-COUNTIF(C$4"&amp;":C1223,""Sell_""&amp;SUBSTITUTE(C1224,""Sell_"",""""))))/2),ROUNDUP(INDEX(Upgrades!$C$3:$C$13,MATCH(C1224,Upgrades!$B$3:$B$13,0))*1.15^(COUNTIF(C$4:C1223,C1224)-COUNTIF(C$4:C1223,""Sell_""&amp;C1224))))))"),"")</f>
        <v/>
      </c>
      <c r="H1224" s="10" t="str">
        <f t="shared" si="3"/>
        <v/>
      </c>
      <c r="I1224" s="68" t="str">
        <f t="shared" si="4"/>
        <v/>
      </c>
      <c r="J1224" s="59" t="str">
        <f t="shared" si="5"/>
        <v/>
      </c>
      <c r="K1224" s="69" t="str">
        <f t="shared" si="6"/>
        <v/>
      </c>
      <c r="L1224" s="60" t="str">
        <f t="shared" si="7"/>
        <v/>
      </c>
      <c r="M1224" s="61" t="str">
        <f>IFERROR(__xludf.DUMMYFUNCTION("IFS(AND(COUNTA(C1224:C1644)=0,COUNTA(Q1224:Q1644)=0),"""",OR(AND(K1224&gt;=1000000000,OR(Y1224&gt;=1000000000,COUNTA(Q1224:Q1644)=0)),OR(Y1224&gt;=1000000000,AND(COUNTA(C1224:C1644)=0,P$3=TRUE))),
ROUNDDOWN((AB$1-AC$1)*MAX(INDEX(T$4:T1644,MATCH(LARGE(FILTER(Y$4:Y1"&amp;"644,Y$4:Y1644&lt;1000000000),1),Y$4:Y1644)),INDEX(F$4:F1644,MATCH(LARGE(FILTER(K$4:K1644,K$4:K1644&lt;1000000000),1),K$4:K1644)))),AND(K1224&lt;1000000000,COUNTA(C1224:C1644)&gt;0,P$3=FALSE),
ROUNDDOWN(INDEX(Y$4:Y1644,MATCH(LARGE(FILTER(W$4:W1644,W$4:W1644&lt;=I1224),1)"&amp;",W$4:W1644))+(I1224-LARGE(FILTER(W$4:W1644,W$4:W1644&lt;=I1224),1))*INDEX(T$4:T1644,MATCH(LARGE(FILTER(W$4:W1644,W$4:W1644&lt;=I1224),1),W$4:W1644))-K1224),1,
ROUNDDOWN(Y1224-INDEX(K$4:K1644,MATCH(LARGE(FILTER(I$4:I1644,I$4:I1644&lt;=W1224),1),I$4:I1644))-(W1224-L"&amp;"ARGE(FILTER(I$4:I1644,I$4:I1644&lt;=W1224),1))*INDEX(F$4:F1644,MATCH(LARGE(FILTER(I$4:I1644,I$4:I1644&lt;=W1224),1),I$4:I1644))))"),"")</f>
        <v/>
      </c>
      <c r="N1224" s="60" t="str">
        <f t="shared" si="8"/>
        <v/>
      </c>
      <c r="O1224" s="61" t="str">
        <f t="shared" si="9"/>
        <v/>
      </c>
      <c r="P1224" s="56" t="str">
        <f t="shared" si="10"/>
        <v/>
      </c>
      <c r="Q1224" s="105"/>
      <c r="R1224" s="10"/>
      <c r="S1224" s="59" t="str">
        <f t="array" ref="S1224">IF(COUNTA(Q1224:Q1644)=0,"",SUM((COUNTIF(Q$4:Q1224,Upgrades!$B$3:$B$13)-COUNTIF(Q$4:Q1224,"Sell_"&amp;Upgrades!$B$3:$B$13))*Upgrades!$D$3:$D$13))</f>
        <v/>
      </c>
      <c r="T1224" s="66" t="str">
        <f>IFERROR(__xludf.DUMMYFUNCTION("IF(COUNTA(Q1224:Q1644)=0,"""",IF(REGEXMATCH(INDEX(FILTER(Q$4:Q1224,Q$4:Q1224&lt;&gt;""""),ROWS(FILTER(Q$4:Q1224,Q$4:Q1224&lt;&gt;""""))),""^Sell_""),INDEX(FILTER(T$4:T1223,Q$4:Q1223&lt;&gt;""""),ROWS(FILTER(Q$4:Q1223,Q$4:Q1223&lt;&gt;""""))),$AD$5+S1224))"),"")</f>
        <v/>
      </c>
      <c r="U1224" s="10" t="str">
        <f>IFERROR(__xludf.DUMMYFUNCTION("IF(COUNTA(Q1224:Q1644)=0,"""",IF(Q1224="""",0,IF(REGEXMATCH(Q1224,""^Sell_""),-ROUNDDOWN(ROUNDUP(INDEX(Upgrades!$C$3:$C$13,MATCH(SUBSTITUTE(Q1224,""Sell_"",""""),Upgrades!$B$3:$B$13,0))*1.15^(COUNTIF(Q$4:Q1223,SUBSTITUTE(Q1224,""Sell_"",""""))-COUNTIF(Q$4"&amp;":Q1223,""Sell_""&amp;SUBSTITUTE(Q1224,""Sell_"",""""))))/2),ROUNDUP(INDEX(Upgrades!$C$3:$C$13,MATCH(Q1224,Upgrades!$B$3:$B$13,0))*1.15^(COUNTIF(Q$4:Q1223,Q1224)-COUNTIF(Q$4:Q1223,""Sell_""&amp;Q1224))))))"),"")</f>
        <v/>
      </c>
      <c r="V1224" s="10" t="str">
        <f t="shared" si="11"/>
        <v/>
      </c>
      <c r="W1224" s="68" t="str">
        <f t="shared" si="12"/>
        <v/>
      </c>
      <c r="X1224" s="59" t="str">
        <f t="shared" si="13"/>
        <v/>
      </c>
      <c r="Y1224" s="69" t="str">
        <f t="shared" si="14"/>
        <v/>
      </c>
      <c r="Z1224" s="11"/>
      <c r="AG1224" s="59"/>
    </row>
    <row r="1225">
      <c r="A1225" s="8"/>
      <c r="B1225" s="56" t="str">
        <f t="shared" si="2"/>
        <v/>
      </c>
      <c r="C1225" s="105"/>
      <c r="D1225" s="10"/>
      <c r="E1225" s="59" t="str">
        <f t="array" ref="E1225">IF(COUNTA(C1225:C1644)=0,"",SUM((COUNTIF(C$4:C1225,Upgrades!$B$3:$B$13)-COUNTIF(C$4:C1225,"Sell_"&amp;Upgrades!$B$3:$B$13))*Upgrades!$D$3:$D$13))</f>
        <v/>
      </c>
      <c r="F1225" s="66" t="str">
        <f>IFERROR(__xludf.DUMMYFUNCTION("IF(COUNTA(C1225:C1644)=0,"""",IF(REGEXMATCH(INDEX(FILTER(C$4:C1225,C$4:C1225&lt;&gt;""""),ROWS(FILTER(C$4:C1225,C$4:C1225&lt;&gt;""""))),""^Sell_""),INDEX(FILTER(F$4:F1224,C$4:C1224&lt;&gt;""""),ROWS(FILTER(C$4:C1224,C$4:C1224&lt;&gt;""""))),$AC$5+E1225))"),"")</f>
        <v/>
      </c>
      <c r="G1225" s="10" t="str">
        <f>IFERROR(__xludf.DUMMYFUNCTION("IF(COUNTA(C1225:C1644)=0,"""",IF(C1225="""",0,IF(REGEXMATCH(C1225,""^Sell_""),-ROUNDDOWN(ROUNDUP(INDEX(Upgrades!$C$3:$C$13,MATCH(SUBSTITUTE(C1225,""Sell_"",""""),Upgrades!$B$3:$B$13,0))*1.15^(COUNTIF(C$4:C1224,SUBSTITUTE(C1225,""Sell_"",""""))-COUNTIF(C$4"&amp;":C1224,""Sell_""&amp;SUBSTITUTE(C1225,""Sell_"",""""))))/2),ROUNDUP(INDEX(Upgrades!$C$3:$C$13,MATCH(C1225,Upgrades!$B$3:$B$13,0))*1.15^(COUNTIF(C$4:C1224,C1225)-COUNTIF(C$4:C1224,""Sell_""&amp;C1225))))))"),"")</f>
        <v/>
      </c>
      <c r="H1225" s="10" t="str">
        <f t="shared" si="3"/>
        <v/>
      </c>
      <c r="I1225" s="68" t="str">
        <f t="shared" si="4"/>
        <v/>
      </c>
      <c r="J1225" s="59" t="str">
        <f t="shared" si="5"/>
        <v/>
      </c>
      <c r="K1225" s="69" t="str">
        <f t="shared" si="6"/>
        <v/>
      </c>
      <c r="L1225" s="60" t="str">
        <f t="shared" si="7"/>
        <v/>
      </c>
      <c r="M1225" s="61" t="str">
        <f>IFERROR(__xludf.DUMMYFUNCTION("IFS(AND(COUNTA(C1225:C1644)=0,COUNTA(Q1225:Q1644)=0),"""",OR(AND(K1225&gt;=1000000000,OR(Y1225&gt;=1000000000,COUNTA(Q1225:Q1644)=0)),OR(Y1225&gt;=1000000000,AND(COUNTA(C1225:C1644)=0,P$3=TRUE))),
ROUNDDOWN((AB$1-AC$1)*MAX(INDEX(T$4:T1644,MATCH(LARGE(FILTER(Y$4:Y1"&amp;"644,Y$4:Y1644&lt;1000000000),1),Y$4:Y1644)),INDEX(F$4:F1644,MATCH(LARGE(FILTER(K$4:K1644,K$4:K1644&lt;1000000000),1),K$4:K1644)))),AND(K1225&lt;1000000000,COUNTA(C1225:C1644)&gt;0,P$3=FALSE),
ROUNDDOWN(INDEX(Y$4:Y1644,MATCH(LARGE(FILTER(W$4:W1644,W$4:W1644&lt;=I1225),1)"&amp;",W$4:W1644))+(I1225-LARGE(FILTER(W$4:W1644,W$4:W1644&lt;=I1225),1))*INDEX(T$4:T1644,MATCH(LARGE(FILTER(W$4:W1644,W$4:W1644&lt;=I1225),1),W$4:W1644))-K1225),1,
ROUNDDOWN(Y1225-INDEX(K$4:K1644,MATCH(LARGE(FILTER(I$4:I1644,I$4:I1644&lt;=W1225),1),I$4:I1644))-(W1225-L"&amp;"ARGE(FILTER(I$4:I1644,I$4:I1644&lt;=W1225),1))*INDEX(F$4:F1644,MATCH(LARGE(FILTER(I$4:I1644,I$4:I1644&lt;=W1225),1),I$4:I1644))))"),"")</f>
        <v/>
      </c>
      <c r="N1225" s="60" t="str">
        <f t="shared" si="8"/>
        <v/>
      </c>
      <c r="O1225" s="61" t="str">
        <f t="shared" si="9"/>
        <v/>
      </c>
      <c r="P1225" s="56" t="str">
        <f t="shared" si="10"/>
        <v/>
      </c>
      <c r="Q1225" s="105"/>
      <c r="R1225" s="10"/>
      <c r="S1225" s="59" t="str">
        <f t="array" ref="S1225">IF(COUNTA(Q1225:Q1644)=0,"",SUM((COUNTIF(Q$4:Q1225,Upgrades!$B$3:$B$13)-COUNTIF(Q$4:Q1225,"Sell_"&amp;Upgrades!$B$3:$B$13))*Upgrades!$D$3:$D$13))</f>
        <v/>
      </c>
      <c r="T1225" s="66" t="str">
        <f>IFERROR(__xludf.DUMMYFUNCTION("IF(COUNTA(Q1225:Q1644)=0,"""",IF(REGEXMATCH(INDEX(FILTER(Q$4:Q1225,Q$4:Q1225&lt;&gt;""""),ROWS(FILTER(Q$4:Q1225,Q$4:Q1225&lt;&gt;""""))),""^Sell_""),INDEX(FILTER(T$4:T1224,Q$4:Q1224&lt;&gt;""""),ROWS(FILTER(Q$4:Q1224,Q$4:Q1224&lt;&gt;""""))),$AD$5+S1225))"),"")</f>
        <v/>
      </c>
      <c r="U1225" s="10" t="str">
        <f>IFERROR(__xludf.DUMMYFUNCTION("IF(COUNTA(Q1225:Q1644)=0,"""",IF(Q1225="""",0,IF(REGEXMATCH(Q1225,""^Sell_""),-ROUNDDOWN(ROUNDUP(INDEX(Upgrades!$C$3:$C$13,MATCH(SUBSTITUTE(Q1225,""Sell_"",""""),Upgrades!$B$3:$B$13,0))*1.15^(COUNTIF(Q$4:Q1224,SUBSTITUTE(Q1225,""Sell_"",""""))-COUNTIF(Q$4"&amp;":Q1224,""Sell_""&amp;SUBSTITUTE(Q1225,""Sell_"",""""))))/2),ROUNDUP(INDEX(Upgrades!$C$3:$C$13,MATCH(Q1225,Upgrades!$B$3:$B$13,0))*1.15^(COUNTIF(Q$4:Q1224,Q1225)-COUNTIF(Q$4:Q1224,""Sell_""&amp;Q1225))))))"),"")</f>
        <v/>
      </c>
      <c r="V1225" s="10" t="str">
        <f t="shared" si="11"/>
        <v/>
      </c>
      <c r="W1225" s="68" t="str">
        <f t="shared" si="12"/>
        <v/>
      </c>
      <c r="X1225" s="59" t="str">
        <f t="shared" si="13"/>
        <v/>
      </c>
      <c r="Y1225" s="69" t="str">
        <f t="shared" si="14"/>
        <v/>
      </c>
      <c r="Z1225" s="11"/>
      <c r="AG1225" s="59"/>
    </row>
    <row r="1226">
      <c r="A1226" s="8"/>
      <c r="B1226" s="56" t="str">
        <f t="shared" si="2"/>
        <v/>
      </c>
      <c r="C1226" s="105"/>
      <c r="D1226" s="10"/>
      <c r="E1226" s="59" t="str">
        <f t="array" ref="E1226">IF(COUNTA(C1226:C1644)=0,"",SUM((COUNTIF(C$4:C1226,Upgrades!$B$3:$B$13)-COUNTIF(C$4:C1226,"Sell_"&amp;Upgrades!$B$3:$B$13))*Upgrades!$D$3:$D$13))</f>
        <v/>
      </c>
      <c r="F1226" s="66" t="str">
        <f>IFERROR(__xludf.DUMMYFUNCTION("IF(COUNTA(C1226:C1644)=0,"""",IF(REGEXMATCH(INDEX(FILTER(C$4:C1226,C$4:C1226&lt;&gt;""""),ROWS(FILTER(C$4:C1226,C$4:C1226&lt;&gt;""""))),""^Sell_""),INDEX(FILTER(F$4:F1225,C$4:C1225&lt;&gt;""""),ROWS(FILTER(C$4:C1225,C$4:C1225&lt;&gt;""""))),$AC$5+E1226))"),"")</f>
        <v/>
      </c>
      <c r="G1226" s="10" t="str">
        <f>IFERROR(__xludf.DUMMYFUNCTION("IF(COUNTA(C1226:C1644)=0,"""",IF(C1226="""",0,IF(REGEXMATCH(C1226,""^Sell_""),-ROUNDDOWN(ROUNDUP(INDEX(Upgrades!$C$3:$C$13,MATCH(SUBSTITUTE(C1226,""Sell_"",""""),Upgrades!$B$3:$B$13,0))*1.15^(COUNTIF(C$4:C1225,SUBSTITUTE(C1226,""Sell_"",""""))-COUNTIF(C$4"&amp;":C1225,""Sell_""&amp;SUBSTITUTE(C1226,""Sell_"",""""))))/2),ROUNDUP(INDEX(Upgrades!$C$3:$C$13,MATCH(C1226,Upgrades!$B$3:$B$13,0))*1.15^(COUNTIF(C$4:C1225,C1226)-COUNTIF(C$4:C1225,""Sell_""&amp;C1226))))))"),"")</f>
        <v/>
      </c>
      <c r="H1226" s="10" t="str">
        <f t="shared" si="3"/>
        <v/>
      </c>
      <c r="I1226" s="68" t="str">
        <f t="shared" si="4"/>
        <v/>
      </c>
      <c r="J1226" s="59" t="str">
        <f t="shared" si="5"/>
        <v/>
      </c>
      <c r="K1226" s="69" t="str">
        <f t="shared" si="6"/>
        <v/>
      </c>
      <c r="L1226" s="60" t="str">
        <f t="shared" si="7"/>
        <v/>
      </c>
      <c r="M1226" s="61" t="str">
        <f>IFERROR(__xludf.DUMMYFUNCTION("IFS(AND(COUNTA(C1226:C1644)=0,COUNTA(Q1226:Q1644)=0),"""",OR(AND(K1226&gt;=1000000000,OR(Y1226&gt;=1000000000,COUNTA(Q1226:Q1644)=0)),OR(Y1226&gt;=1000000000,AND(COUNTA(C1226:C1644)=0,P$3=TRUE))),
ROUNDDOWN((AB$1-AC$1)*MAX(INDEX(T$4:T1644,MATCH(LARGE(FILTER(Y$4:Y1"&amp;"644,Y$4:Y1644&lt;1000000000),1),Y$4:Y1644)),INDEX(F$4:F1644,MATCH(LARGE(FILTER(K$4:K1644,K$4:K1644&lt;1000000000),1),K$4:K1644)))),AND(K1226&lt;1000000000,COUNTA(C1226:C1644)&gt;0,P$3=FALSE),
ROUNDDOWN(INDEX(Y$4:Y1644,MATCH(LARGE(FILTER(W$4:W1644,W$4:W1644&lt;=I1226),1)"&amp;",W$4:W1644))+(I1226-LARGE(FILTER(W$4:W1644,W$4:W1644&lt;=I1226),1))*INDEX(T$4:T1644,MATCH(LARGE(FILTER(W$4:W1644,W$4:W1644&lt;=I1226),1),W$4:W1644))-K1226),1,
ROUNDDOWN(Y1226-INDEX(K$4:K1644,MATCH(LARGE(FILTER(I$4:I1644,I$4:I1644&lt;=W1226),1),I$4:I1644))-(W1226-L"&amp;"ARGE(FILTER(I$4:I1644,I$4:I1644&lt;=W1226),1))*INDEX(F$4:F1644,MATCH(LARGE(FILTER(I$4:I1644,I$4:I1644&lt;=W1226),1),I$4:I1644))))"),"")</f>
        <v/>
      </c>
      <c r="N1226" s="60" t="str">
        <f t="shared" si="8"/>
        <v/>
      </c>
      <c r="O1226" s="61" t="str">
        <f t="shared" si="9"/>
        <v/>
      </c>
      <c r="P1226" s="56" t="str">
        <f t="shared" si="10"/>
        <v/>
      </c>
      <c r="Q1226" s="105"/>
      <c r="R1226" s="10"/>
      <c r="S1226" s="59" t="str">
        <f t="array" ref="S1226">IF(COUNTA(Q1226:Q1644)=0,"",SUM((COUNTIF(Q$4:Q1226,Upgrades!$B$3:$B$13)-COUNTIF(Q$4:Q1226,"Sell_"&amp;Upgrades!$B$3:$B$13))*Upgrades!$D$3:$D$13))</f>
        <v/>
      </c>
      <c r="T1226" s="66" t="str">
        <f>IFERROR(__xludf.DUMMYFUNCTION("IF(COUNTA(Q1226:Q1644)=0,"""",IF(REGEXMATCH(INDEX(FILTER(Q$4:Q1226,Q$4:Q1226&lt;&gt;""""),ROWS(FILTER(Q$4:Q1226,Q$4:Q1226&lt;&gt;""""))),""^Sell_""),INDEX(FILTER(T$4:T1225,Q$4:Q1225&lt;&gt;""""),ROWS(FILTER(Q$4:Q1225,Q$4:Q1225&lt;&gt;""""))),$AD$5+S1226))"),"")</f>
        <v/>
      </c>
      <c r="U1226" s="10" t="str">
        <f>IFERROR(__xludf.DUMMYFUNCTION("IF(COUNTA(Q1226:Q1644)=0,"""",IF(Q1226="""",0,IF(REGEXMATCH(Q1226,""^Sell_""),-ROUNDDOWN(ROUNDUP(INDEX(Upgrades!$C$3:$C$13,MATCH(SUBSTITUTE(Q1226,""Sell_"",""""),Upgrades!$B$3:$B$13,0))*1.15^(COUNTIF(Q$4:Q1225,SUBSTITUTE(Q1226,""Sell_"",""""))-COUNTIF(Q$4"&amp;":Q1225,""Sell_""&amp;SUBSTITUTE(Q1226,""Sell_"",""""))))/2),ROUNDUP(INDEX(Upgrades!$C$3:$C$13,MATCH(Q1226,Upgrades!$B$3:$B$13,0))*1.15^(COUNTIF(Q$4:Q1225,Q1226)-COUNTIF(Q$4:Q1225,""Sell_""&amp;Q1226))))))"),"")</f>
        <v/>
      </c>
      <c r="V1226" s="10" t="str">
        <f t="shared" si="11"/>
        <v/>
      </c>
      <c r="W1226" s="68" t="str">
        <f t="shared" si="12"/>
        <v/>
      </c>
      <c r="X1226" s="59" t="str">
        <f t="shared" si="13"/>
        <v/>
      </c>
      <c r="Y1226" s="69" t="str">
        <f t="shared" si="14"/>
        <v/>
      </c>
      <c r="Z1226" s="11"/>
      <c r="AG1226" s="59"/>
    </row>
    <row r="1227">
      <c r="A1227" s="8"/>
      <c r="B1227" s="56" t="str">
        <f t="shared" si="2"/>
        <v/>
      </c>
      <c r="C1227" s="105"/>
      <c r="D1227" s="10"/>
      <c r="E1227" s="59" t="str">
        <f t="array" ref="E1227">IF(COUNTA(C1227:C1644)=0,"",SUM((COUNTIF(C$4:C1227,Upgrades!$B$3:$B$13)-COUNTIF(C$4:C1227,"Sell_"&amp;Upgrades!$B$3:$B$13))*Upgrades!$D$3:$D$13))</f>
        <v/>
      </c>
      <c r="F1227" s="66" t="str">
        <f>IFERROR(__xludf.DUMMYFUNCTION("IF(COUNTA(C1227:C1644)=0,"""",IF(REGEXMATCH(INDEX(FILTER(C$4:C1227,C$4:C1227&lt;&gt;""""),ROWS(FILTER(C$4:C1227,C$4:C1227&lt;&gt;""""))),""^Sell_""),INDEX(FILTER(F$4:F1226,C$4:C1226&lt;&gt;""""),ROWS(FILTER(C$4:C1226,C$4:C1226&lt;&gt;""""))),$AC$5+E1227))"),"")</f>
        <v/>
      </c>
      <c r="G1227" s="10" t="str">
        <f>IFERROR(__xludf.DUMMYFUNCTION("IF(COUNTA(C1227:C1644)=0,"""",IF(C1227="""",0,IF(REGEXMATCH(C1227,""^Sell_""),-ROUNDDOWN(ROUNDUP(INDEX(Upgrades!$C$3:$C$13,MATCH(SUBSTITUTE(C1227,""Sell_"",""""),Upgrades!$B$3:$B$13,0))*1.15^(COUNTIF(C$4:C1226,SUBSTITUTE(C1227,""Sell_"",""""))-COUNTIF(C$4"&amp;":C1226,""Sell_""&amp;SUBSTITUTE(C1227,""Sell_"",""""))))/2),ROUNDUP(INDEX(Upgrades!$C$3:$C$13,MATCH(C1227,Upgrades!$B$3:$B$13,0))*1.15^(COUNTIF(C$4:C1226,C1227)-COUNTIF(C$4:C1226,""Sell_""&amp;C1227))))))"),"")</f>
        <v/>
      </c>
      <c r="H1227" s="10" t="str">
        <f t="shared" si="3"/>
        <v/>
      </c>
      <c r="I1227" s="68" t="str">
        <f t="shared" si="4"/>
        <v/>
      </c>
      <c r="J1227" s="59" t="str">
        <f t="shared" si="5"/>
        <v/>
      </c>
      <c r="K1227" s="69" t="str">
        <f t="shared" si="6"/>
        <v/>
      </c>
      <c r="L1227" s="60" t="str">
        <f t="shared" si="7"/>
        <v/>
      </c>
      <c r="M1227" s="61" t="str">
        <f>IFERROR(__xludf.DUMMYFUNCTION("IFS(AND(COUNTA(C1227:C1644)=0,COUNTA(Q1227:Q1644)=0),"""",OR(AND(K1227&gt;=1000000000,OR(Y1227&gt;=1000000000,COUNTA(Q1227:Q1644)=0)),OR(Y1227&gt;=1000000000,AND(COUNTA(C1227:C1644)=0,P$3=TRUE))),
ROUNDDOWN((AB$1-AC$1)*MAX(INDEX(T$4:T1644,MATCH(LARGE(FILTER(Y$4:Y1"&amp;"644,Y$4:Y1644&lt;1000000000),1),Y$4:Y1644)),INDEX(F$4:F1644,MATCH(LARGE(FILTER(K$4:K1644,K$4:K1644&lt;1000000000),1),K$4:K1644)))),AND(K1227&lt;1000000000,COUNTA(C1227:C1644)&gt;0,P$3=FALSE),
ROUNDDOWN(INDEX(Y$4:Y1644,MATCH(LARGE(FILTER(W$4:W1644,W$4:W1644&lt;=I1227),1)"&amp;",W$4:W1644))+(I1227-LARGE(FILTER(W$4:W1644,W$4:W1644&lt;=I1227),1))*INDEX(T$4:T1644,MATCH(LARGE(FILTER(W$4:W1644,W$4:W1644&lt;=I1227),1),W$4:W1644))-K1227),1,
ROUNDDOWN(Y1227-INDEX(K$4:K1644,MATCH(LARGE(FILTER(I$4:I1644,I$4:I1644&lt;=W1227),1),I$4:I1644))-(W1227-L"&amp;"ARGE(FILTER(I$4:I1644,I$4:I1644&lt;=W1227),1))*INDEX(F$4:F1644,MATCH(LARGE(FILTER(I$4:I1644,I$4:I1644&lt;=W1227),1),I$4:I1644))))"),"")</f>
        <v/>
      </c>
      <c r="N1227" s="60" t="str">
        <f t="shared" si="8"/>
        <v/>
      </c>
      <c r="O1227" s="61" t="str">
        <f t="shared" si="9"/>
        <v/>
      </c>
      <c r="P1227" s="56" t="str">
        <f t="shared" si="10"/>
        <v/>
      </c>
      <c r="Q1227" s="105"/>
      <c r="R1227" s="10"/>
      <c r="S1227" s="59" t="str">
        <f t="array" ref="S1227">IF(COUNTA(Q1227:Q1644)=0,"",SUM((COUNTIF(Q$4:Q1227,Upgrades!$B$3:$B$13)-COUNTIF(Q$4:Q1227,"Sell_"&amp;Upgrades!$B$3:$B$13))*Upgrades!$D$3:$D$13))</f>
        <v/>
      </c>
      <c r="T1227" s="66" t="str">
        <f>IFERROR(__xludf.DUMMYFUNCTION("IF(COUNTA(Q1227:Q1644)=0,"""",IF(REGEXMATCH(INDEX(FILTER(Q$4:Q1227,Q$4:Q1227&lt;&gt;""""),ROWS(FILTER(Q$4:Q1227,Q$4:Q1227&lt;&gt;""""))),""^Sell_""),INDEX(FILTER(T$4:T1226,Q$4:Q1226&lt;&gt;""""),ROWS(FILTER(Q$4:Q1226,Q$4:Q1226&lt;&gt;""""))),$AD$5+S1227))"),"")</f>
        <v/>
      </c>
      <c r="U1227" s="10" t="str">
        <f>IFERROR(__xludf.DUMMYFUNCTION("IF(COUNTA(Q1227:Q1644)=0,"""",IF(Q1227="""",0,IF(REGEXMATCH(Q1227,""^Sell_""),-ROUNDDOWN(ROUNDUP(INDEX(Upgrades!$C$3:$C$13,MATCH(SUBSTITUTE(Q1227,""Sell_"",""""),Upgrades!$B$3:$B$13,0))*1.15^(COUNTIF(Q$4:Q1226,SUBSTITUTE(Q1227,""Sell_"",""""))-COUNTIF(Q$4"&amp;":Q1226,""Sell_""&amp;SUBSTITUTE(Q1227,""Sell_"",""""))))/2),ROUNDUP(INDEX(Upgrades!$C$3:$C$13,MATCH(Q1227,Upgrades!$B$3:$B$13,0))*1.15^(COUNTIF(Q$4:Q1226,Q1227)-COUNTIF(Q$4:Q1226,""Sell_""&amp;Q1227))))))"),"")</f>
        <v/>
      </c>
      <c r="V1227" s="10" t="str">
        <f t="shared" si="11"/>
        <v/>
      </c>
      <c r="W1227" s="68" t="str">
        <f t="shared" si="12"/>
        <v/>
      </c>
      <c r="X1227" s="59" t="str">
        <f t="shared" si="13"/>
        <v/>
      </c>
      <c r="Y1227" s="69" t="str">
        <f t="shared" si="14"/>
        <v/>
      </c>
      <c r="Z1227" s="11"/>
      <c r="AG1227" s="59"/>
    </row>
    <row r="1228">
      <c r="A1228" s="8"/>
      <c r="B1228" s="56" t="str">
        <f t="shared" si="2"/>
        <v/>
      </c>
      <c r="C1228" s="105"/>
      <c r="D1228" s="10"/>
      <c r="E1228" s="59" t="str">
        <f t="array" ref="E1228">IF(COUNTA(C1228:C1644)=0,"",SUM((COUNTIF(C$4:C1228,Upgrades!$B$3:$B$13)-COUNTIF(C$4:C1228,"Sell_"&amp;Upgrades!$B$3:$B$13))*Upgrades!$D$3:$D$13))</f>
        <v/>
      </c>
      <c r="F1228" s="66" t="str">
        <f>IFERROR(__xludf.DUMMYFUNCTION("IF(COUNTA(C1228:C1644)=0,"""",IF(REGEXMATCH(INDEX(FILTER(C$4:C1228,C$4:C1228&lt;&gt;""""),ROWS(FILTER(C$4:C1228,C$4:C1228&lt;&gt;""""))),""^Sell_""),INDEX(FILTER(F$4:F1227,C$4:C1227&lt;&gt;""""),ROWS(FILTER(C$4:C1227,C$4:C1227&lt;&gt;""""))),$AC$5+E1228))"),"")</f>
        <v/>
      </c>
      <c r="G1228" s="10" t="str">
        <f>IFERROR(__xludf.DUMMYFUNCTION("IF(COUNTA(C1228:C1644)=0,"""",IF(C1228="""",0,IF(REGEXMATCH(C1228,""^Sell_""),-ROUNDDOWN(ROUNDUP(INDEX(Upgrades!$C$3:$C$13,MATCH(SUBSTITUTE(C1228,""Sell_"",""""),Upgrades!$B$3:$B$13,0))*1.15^(COUNTIF(C$4:C1227,SUBSTITUTE(C1228,""Sell_"",""""))-COUNTIF(C$4"&amp;":C1227,""Sell_""&amp;SUBSTITUTE(C1228,""Sell_"",""""))))/2),ROUNDUP(INDEX(Upgrades!$C$3:$C$13,MATCH(C1228,Upgrades!$B$3:$B$13,0))*1.15^(COUNTIF(C$4:C1227,C1228)-COUNTIF(C$4:C1227,""Sell_""&amp;C1228))))))"),"")</f>
        <v/>
      </c>
      <c r="H1228" s="10" t="str">
        <f t="shared" si="3"/>
        <v/>
      </c>
      <c r="I1228" s="68" t="str">
        <f t="shared" si="4"/>
        <v/>
      </c>
      <c r="J1228" s="59" t="str">
        <f t="shared" si="5"/>
        <v/>
      </c>
      <c r="K1228" s="69" t="str">
        <f t="shared" si="6"/>
        <v/>
      </c>
      <c r="L1228" s="60" t="str">
        <f t="shared" si="7"/>
        <v/>
      </c>
      <c r="M1228" s="61" t="str">
        <f>IFERROR(__xludf.DUMMYFUNCTION("IFS(AND(COUNTA(C1228:C1644)=0,COUNTA(Q1228:Q1644)=0),"""",OR(AND(K1228&gt;=1000000000,OR(Y1228&gt;=1000000000,COUNTA(Q1228:Q1644)=0)),OR(Y1228&gt;=1000000000,AND(COUNTA(C1228:C1644)=0,P$3=TRUE))),
ROUNDDOWN((AB$1-AC$1)*MAX(INDEX(T$4:T1644,MATCH(LARGE(FILTER(Y$4:Y1"&amp;"644,Y$4:Y1644&lt;1000000000),1),Y$4:Y1644)),INDEX(F$4:F1644,MATCH(LARGE(FILTER(K$4:K1644,K$4:K1644&lt;1000000000),1),K$4:K1644)))),AND(K1228&lt;1000000000,COUNTA(C1228:C1644)&gt;0,P$3=FALSE),
ROUNDDOWN(INDEX(Y$4:Y1644,MATCH(LARGE(FILTER(W$4:W1644,W$4:W1644&lt;=I1228),1)"&amp;",W$4:W1644))+(I1228-LARGE(FILTER(W$4:W1644,W$4:W1644&lt;=I1228),1))*INDEX(T$4:T1644,MATCH(LARGE(FILTER(W$4:W1644,W$4:W1644&lt;=I1228),1),W$4:W1644))-K1228),1,
ROUNDDOWN(Y1228-INDEX(K$4:K1644,MATCH(LARGE(FILTER(I$4:I1644,I$4:I1644&lt;=W1228),1),I$4:I1644))-(W1228-L"&amp;"ARGE(FILTER(I$4:I1644,I$4:I1644&lt;=W1228),1))*INDEX(F$4:F1644,MATCH(LARGE(FILTER(I$4:I1644,I$4:I1644&lt;=W1228),1),I$4:I1644))))"),"")</f>
        <v/>
      </c>
      <c r="N1228" s="60" t="str">
        <f t="shared" si="8"/>
        <v/>
      </c>
      <c r="O1228" s="61" t="str">
        <f t="shared" si="9"/>
        <v/>
      </c>
      <c r="P1228" s="56" t="str">
        <f t="shared" si="10"/>
        <v/>
      </c>
      <c r="Q1228" s="105"/>
      <c r="R1228" s="10"/>
      <c r="S1228" s="59" t="str">
        <f t="array" ref="S1228">IF(COUNTA(Q1228:Q1644)=0,"",SUM((COUNTIF(Q$4:Q1228,Upgrades!$B$3:$B$13)-COUNTIF(Q$4:Q1228,"Sell_"&amp;Upgrades!$B$3:$B$13))*Upgrades!$D$3:$D$13))</f>
        <v/>
      </c>
      <c r="T1228" s="66" t="str">
        <f>IFERROR(__xludf.DUMMYFUNCTION("IF(COUNTA(Q1228:Q1644)=0,"""",IF(REGEXMATCH(INDEX(FILTER(Q$4:Q1228,Q$4:Q1228&lt;&gt;""""),ROWS(FILTER(Q$4:Q1228,Q$4:Q1228&lt;&gt;""""))),""^Sell_""),INDEX(FILTER(T$4:T1227,Q$4:Q1227&lt;&gt;""""),ROWS(FILTER(Q$4:Q1227,Q$4:Q1227&lt;&gt;""""))),$AD$5+S1228))"),"")</f>
        <v/>
      </c>
      <c r="U1228" s="10" t="str">
        <f>IFERROR(__xludf.DUMMYFUNCTION("IF(COUNTA(Q1228:Q1644)=0,"""",IF(Q1228="""",0,IF(REGEXMATCH(Q1228,""^Sell_""),-ROUNDDOWN(ROUNDUP(INDEX(Upgrades!$C$3:$C$13,MATCH(SUBSTITUTE(Q1228,""Sell_"",""""),Upgrades!$B$3:$B$13,0))*1.15^(COUNTIF(Q$4:Q1227,SUBSTITUTE(Q1228,""Sell_"",""""))-COUNTIF(Q$4"&amp;":Q1227,""Sell_""&amp;SUBSTITUTE(Q1228,""Sell_"",""""))))/2),ROUNDUP(INDEX(Upgrades!$C$3:$C$13,MATCH(Q1228,Upgrades!$B$3:$B$13,0))*1.15^(COUNTIF(Q$4:Q1227,Q1228)-COUNTIF(Q$4:Q1227,""Sell_""&amp;Q1228))))))"),"")</f>
        <v/>
      </c>
      <c r="V1228" s="10" t="str">
        <f t="shared" si="11"/>
        <v/>
      </c>
      <c r="W1228" s="68" t="str">
        <f t="shared" si="12"/>
        <v/>
      </c>
      <c r="X1228" s="59" t="str">
        <f t="shared" si="13"/>
        <v/>
      </c>
      <c r="Y1228" s="69" t="str">
        <f t="shared" si="14"/>
        <v/>
      </c>
      <c r="Z1228" s="11"/>
      <c r="AG1228" s="59"/>
    </row>
    <row r="1229">
      <c r="A1229" s="8"/>
      <c r="B1229" s="56" t="str">
        <f t="shared" si="2"/>
        <v/>
      </c>
      <c r="C1229" s="105"/>
      <c r="D1229" s="10"/>
      <c r="E1229" s="59" t="str">
        <f t="array" ref="E1229">IF(COUNTA(C1229:C1644)=0,"",SUM((COUNTIF(C$4:C1229,Upgrades!$B$3:$B$13)-COUNTIF(C$4:C1229,"Sell_"&amp;Upgrades!$B$3:$B$13))*Upgrades!$D$3:$D$13))</f>
        <v/>
      </c>
      <c r="F1229" s="66" t="str">
        <f>IFERROR(__xludf.DUMMYFUNCTION("IF(COUNTA(C1229:C1644)=0,"""",IF(REGEXMATCH(INDEX(FILTER(C$4:C1229,C$4:C1229&lt;&gt;""""),ROWS(FILTER(C$4:C1229,C$4:C1229&lt;&gt;""""))),""^Sell_""),INDEX(FILTER(F$4:F1228,C$4:C1228&lt;&gt;""""),ROWS(FILTER(C$4:C1228,C$4:C1228&lt;&gt;""""))),$AC$5+E1229))"),"")</f>
        <v/>
      </c>
      <c r="G1229" s="10" t="str">
        <f>IFERROR(__xludf.DUMMYFUNCTION("IF(COUNTA(C1229:C1644)=0,"""",IF(C1229="""",0,IF(REGEXMATCH(C1229,""^Sell_""),-ROUNDDOWN(ROUNDUP(INDEX(Upgrades!$C$3:$C$13,MATCH(SUBSTITUTE(C1229,""Sell_"",""""),Upgrades!$B$3:$B$13,0))*1.15^(COUNTIF(C$4:C1228,SUBSTITUTE(C1229,""Sell_"",""""))-COUNTIF(C$4"&amp;":C1228,""Sell_""&amp;SUBSTITUTE(C1229,""Sell_"",""""))))/2),ROUNDUP(INDEX(Upgrades!$C$3:$C$13,MATCH(C1229,Upgrades!$B$3:$B$13,0))*1.15^(COUNTIF(C$4:C1228,C1229)-COUNTIF(C$4:C1228,""Sell_""&amp;C1229))))))"),"")</f>
        <v/>
      </c>
      <c r="H1229" s="10" t="str">
        <f t="shared" si="3"/>
        <v/>
      </c>
      <c r="I1229" s="68" t="str">
        <f t="shared" si="4"/>
        <v/>
      </c>
      <c r="J1229" s="59" t="str">
        <f t="shared" si="5"/>
        <v/>
      </c>
      <c r="K1229" s="69" t="str">
        <f t="shared" si="6"/>
        <v/>
      </c>
      <c r="L1229" s="60" t="str">
        <f t="shared" si="7"/>
        <v/>
      </c>
      <c r="M1229" s="61" t="str">
        <f>IFERROR(__xludf.DUMMYFUNCTION("IFS(AND(COUNTA(C1229:C1644)=0,COUNTA(Q1229:Q1644)=0),"""",OR(AND(K1229&gt;=1000000000,OR(Y1229&gt;=1000000000,COUNTA(Q1229:Q1644)=0)),OR(Y1229&gt;=1000000000,AND(COUNTA(C1229:C1644)=0,P$3=TRUE))),
ROUNDDOWN((AB$1-AC$1)*MAX(INDEX(T$4:T1644,MATCH(LARGE(FILTER(Y$4:Y1"&amp;"644,Y$4:Y1644&lt;1000000000),1),Y$4:Y1644)),INDEX(F$4:F1644,MATCH(LARGE(FILTER(K$4:K1644,K$4:K1644&lt;1000000000),1),K$4:K1644)))),AND(K1229&lt;1000000000,COUNTA(C1229:C1644)&gt;0,P$3=FALSE),
ROUNDDOWN(INDEX(Y$4:Y1644,MATCH(LARGE(FILTER(W$4:W1644,W$4:W1644&lt;=I1229),1)"&amp;",W$4:W1644))+(I1229-LARGE(FILTER(W$4:W1644,W$4:W1644&lt;=I1229),1))*INDEX(T$4:T1644,MATCH(LARGE(FILTER(W$4:W1644,W$4:W1644&lt;=I1229),1),W$4:W1644))-K1229),1,
ROUNDDOWN(Y1229-INDEX(K$4:K1644,MATCH(LARGE(FILTER(I$4:I1644,I$4:I1644&lt;=W1229),1),I$4:I1644))-(W1229-L"&amp;"ARGE(FILTER(I$4:I1644,I$4:I1644&lt;=W1229),1))*INDEX(F$4:F1644,MATCH(LARGE(FILTER(I$4:I1644,I$4:I1644&lt;=W1229),1),I$4:I1644))))"),"")</f>
        <v/>
      </c>
      <c r="N1229" s="60" t="str">
        <f t="shared" si="8"/>
        <v/>
      </c>
      <c r="O1229" s="61" t="str">
        <f t="shared" si="9"/>
        <v/>
      </c>
      <c r="P1229" s="56" t="str">
        <f t="shared" si="10"/>
        <v/>
      </c>
      <c r="Q1229" s="105"/>
      <c r="R1229" s="10"/>
      <c r="S1229" s="59" t="str">
        <f t="array" ref="S1229">IF(COUNTA(Q1229:Q1644)=0,"",SUM((COUNTIF(Q$4:Q1229,Upgrades!$B$3:$B$13)-COUNTIF(Q$4:Q1229,"Sell_"&amp;Upgrades!$B$3:$B$13))*Upgrades!$D$3:$D$13))</f>
        <v/>
      </c>
      <c r="T1229" s="66" t="str">
        <f>IFERROR(__xludf.DUMMYFUNCTION("IF(COUNTA(Q1229:Q1644)=0,"""",IF(REGEXMATCH(INDEX(FILTER(Q$4:Q1229,Q$4:Q1229&lt;&gt;""""),ROWS(FILTER(Q$4:Q1229,Q$4:Q1229&lt;&gt;""""))),""^Sell_""),INDEX(FILTER(T$4:T1228,Q$4:Q1228&lt;&gt;""""),ROWS(FILTER(Q$4:Q1228,Q$4:Q1228&lt;&gt;""""))),$AD$5+S1229))"),"")</f>
        <v/>
      </c>
      <c r="U1229" s="10" t="str">
        <f>IFERROR(__xludf.DUMMYFUNCTION("IF(COUNTA(Q1229:Q1644)=0,"""",IF(Q1229="""",0,IF(REGEXMATCH(Q1229,""^Sell_""),-ROUNDDOWN(ROUNDUP(INDEX(Upgrades!$C$3:$C$13,MATCH(SUBSTITUTE(Q1229,""Sell_"",""""),Upgrades!$B$3:$B$13,0))*1.15^(COUNTIF(Q$4:Q1228,SUBSTITUTE(Q1229,""Sell_"",""""))-COUNTIF(Q$4"&amp;":Q1228,""Sell_""&amp;SUBSTITUTE(Q1229,""Sell_"",""""))))/2),ROUNDUP(INDEX(Upgrades!$C$3:$C$13,MATCH(Q1229,Upgrades!$B$3:$B$13,0))*1.15^(COUNTIF(Q$4:Q1228,Q1229)-COUNTIF(Q$4:Q1228,""Sell_""&amp;Q1229))))))"),"")</f>
        <v/>
      </c>
      <c r="V1229" s="10" t="str">
        <f t="shared" si="11"/>
        <v/>
      </c>
      <c r="W1229" s="68" t="str">
        <f t="shared" si="12"/>
        <v/>
      </c>
      <c r="X1229" s="59" t="str">
        <f t="shared" si="13"/>
        <v/>
      </c>
      <c r="Y1229" s="69" t="str">
        <f t="shared" si="14"/>
        <v/>
      </c>
      <c r="Z1229" s="11"/>
      <c r="AG1229" s="59"/>
    </row>
    <row r="1230">
      <c r="A1230" s="8"/>
      <c r="B1230" s="56" t="str">
        <f t="shared" si="2"/>
        <v/>
      </c>
      <c r="C1230" s="105"/>
      <c r="D1230" s="10"/>
      <c r="E1230" s="59" t="str">
        <f t="array" ref="E1230">IF(COUNTA(C1230:C1644)=0,"",SUM((COUNTIF(C$4:C1230,Upgrades!$B$3:$B$13)-COUNTIF(C$4:C1230,"Sell_"&amp;Upgrades!$B$3:$B$13))*Upgrades!$D$3:$D$13))</f>
        <v/>
      </c>
      <c r="F1230" s="66" t="str">
        <f>IFERROR(__xludf.DUMMYFUNCTION("IF(COUNTA(C1230:C1644)=0,"""",IF(REGEXMATCH(INDEX(FILTER(C$4:C1230,C$4:C1230&lt;&gt;""""),ROWS(FILTER(C$4:C1230,C$4:C1230&lt;&gt;""""))),""^Sell_""),INDEX(FILTER(F$4:F1229,C$4:C1229&lt;&gt;""""),ROWS(FILTER(C$4:C1229,C$4:C1229&lt;&gt;""""))),$AC$5+E1230))"),"")</f>
        <v/>
      </c>
      <c r="G1230" s="10" t="str">
        <f>IFERROR(__xludf.DUMMYFUNCTION("IF(COUNTA(C1230:C1644)=0,"""",IF(C1230="""",0,IF(REGEXMATCH(C1230,""^Sell_""),-ROUNDDOWN(ROUNDUP(INDEX(Upgrades!$C$3:$C$13,MATCH(SUBSTITUTE(C1230,""Sell_"",""""),Upgrades!$B$3:$B$13,0))*1.15^(COUNTIF(C$4:C1229,SUBSTITUTE(C1230,""Sell_"",""""))-COUNTIF(C$4"&amp;":C1229,""Sell_""&amp;SUBSTITUTE(C1230,""Sell_"",""""))))/2),ROUNDUP(INDEX(Upgrades!$C$3:$C$13,MATCH(C1230,Upgrades!$B$3:$B$13,0))*1.15^(COUNTIF(C$4:C1229,C1230)-COUNTIF(C$4:C1229,""Sell_""&amp;C1230))))))"),"")</f>
        <v/>
      </c>
      <c r="H1230" s="10" t="str">
        <f t="shared" si="3"/>
        <v/>
      </c>
      <c r="I1230" s="68" t="str">
        <f t="shared" si="4"/>
        <v/>
      </c>
      <c r="J1230" s="59" t="str">
        <f t="shared" si="5"/>
        <v/>
      </c>
      <c r="K1230" s="69" t="str">
        <f t="shared" si="6"/>
        <v/>
      </c>
      <c r="L1230" s="60" t="str">
        <f t="shared" si="7"/>
        <v/>
      </c>
      <c r="M1230" s="61" t="str">
        <f>IFERROR(__xludf.DUMMYFUNCTION("IFS(AND(COUNTA(C1230:C1644)=0,COUNTA(Q1230:Q1644)=0),"""",OR(AND(K1230&gt;=1000000000,OR(Y1230&gt;=1000000000,COUNTA(Q1230:Q1644)=0)),OR(Y1230&gt;=1000000000,AND(COUNTA(C1230:C1644)=0,P$3=TRUE))),
ROUNDDOWN((AB$1-AC$1)*MAX(INDEX(T$4:T1644,MATCH(LARGE(FILTER(Y$4:Y1"&amp;"644,Y$4:Y1644&lt;1000000000),1),Y$4:Y1644)),INDEX(F$4:F1644,MATCH(LARGE(FILTER(K$4:K1644,K$4:K1644&lt;1000000000),1),K$4:K1644)))),AND(K1230&lt;1000000000,COUNTA(C1230:C1644)&gt;0,P$3=FALSE),
ROUNDDOWN(INDEX(Y$4:Y1644,MATCH(LARGE(FILTER(W$4:W1644,W$4:W1644&lt;=I1230),1)"&amp;",W$4:W1644))+(I1230-LARGE(FILTER(W$4:W1644,W$4:W1644&lt;=I1230),1))*INDEX(T$4:T1644,MATCH(LARGE(FILTER(W$4:W1644,W$4:W1644&lt;=I1230),1),W$4:W1644))-K1230),1,
ROUNDDOWN(Y1230-INDEX(K$4:K1644,MATCH(LARGE(FILTER(I$4:I1644,I$4:I1644&lt;=W1230),1),I$4:I1644))-(W1230-L"&amp;"ARGE(FILTER(I$4:I1644,I$4:I1644&lt;=W1230),1))*INDEX(F$4:F1644,MATCH(LARGE(FILTER(I$4:I1644,I$4:I1644&lt;=W1230),1),I$4:I1644))))"),"")</f>
        <v/>
      </c>
      <c r="N1230" s="60" t="str">
        <f t="shared" si="8"/>
        <v/>
      </c>
      <c r="O1230" s="61" t="str">
        <f t="shared" si="9"/>
        <v/>
      </c>
      <c r="P1230" s="56" t="str">
        <f t="shared" si="10"/>
        <v/>
      </c>
      <c r="Q1230" s="105"/>
      <c r="R1230" s="10"/>
      <c r="S1230" s="59" t="str">
        <f t="array" ref="S1230">IF(COUNTA(Q1230:Q1644)=0,"",SUM((COUNTIF(Q$4:Q1230,Upgrades!$B$3:$B$13)-COUNTIF(Q$4:Q1230,"Sell_"&amp;Upgrades!$B$3:$B$13))*Upgrades!$D$3:$D$13))</f>
        <v/>
      </c>
      <c r="T1230" s="66" t="str">
        <f>IFERROR(__xludf.DUMMYFUNCTION("IF(COUNTA(Q1230:Q1644)=0,"""",IF(REGEXMATCH(INDEX(FILTER(Q$4:Q1230,Q$4:Q1230&lt;&gt;""""),ROWS(FILTER(Q$4:Q1230,Q$4:Q1230&lt;&gt;""""))),""^Sell_""),INDEX(FILTER(T$4:T1229,Q$4:Q1229&lt;&gt;""""),ROWS(FILTER(Q$4:Q1229,Q$4:Q1229&lt;&gt;""""))),$AD$5+S1230))"),"")</f>
        <v/>
      </c>
      <c r="U1230" s="10" t="str">
        <f>IFERROR(__xludf.DUMMYFUNCTION("IF(COUNTA(Q1230:Q1644)=0,"""",IF(Q1230="""",0,IF(REGEXMATCH(Q1230,""^Sell_""),-ROUNDDOWN(ROUNDUP(INDEX(Upgrades!$C$3:$C$13,MATCH(SUBSTITUTE(Q1230,""Sell_"",""""),Upgrades!$B$3:$B$13,0))*1.15^(COUNTIF(Q$4:Q1229,SUBSTITUTE(Q1230,""Sell_"",""""))-COUNTIF(Q$4"&amp;":Q1229,""Sell_""&amp;SUBSTITUTE(Q1230,""Sell_"",""""))))/2),ROUNDUP(INDEX(Upgrades!$C$3:$C$13,MATCH(Q1230,Upgrades!$B$3:$B$13,0))*1.15^(COUNTIF(Q$4:Q1229,Q1230)-COUNTIF(Q$4:Q1229,""Sell_""&amp;Q1230))))))"),"")</f>
        <v/>
      </c>
      <c r="V1230" s="10" t="str">
        <f t="shared" si="11"/>
        <v/>
      </c>
      <c r="W1230" s="68" t="str">
        <f t="shared" si="12"/>
        <v/>
      </c>
      <c r="X1230" s="59" t="str">
        <f t="shared" si="13"/>
        <v/>
      </c>
      <c r="Y1230" s="69" t="str">
        <f t="shared" si="14"/>
        <v/>
      </c>
      <c r="Z1230" s="11"/>
      <c r="AG1230" s="59"/>
    </row>
    <row r="1231">
      <c r="A1231" s="8"/>
      <c r="B1231" s="56" t="str">
        <f t="shared" si="2"/>
        <v/>
      </c>
      <c r="C1231" s="105"/>
      <c r="D1231" s="10"/>
      <c r="E1231" s="59" t="str">
        <f t="array" ref="E1231">IF(COUNTA(C1231:C1644)=0,"",SUM((COUNTIF(C$4:C1231,Upgrades!$B$3:$B$13)-COUNTIF(C$4:C1231,"Sell_"&amp;Upgrades!$B$3:$B$13))*Upgrades!$D$3:$D$13))</f>
        <v/>
      </c>
      <c r="F1231" s="66" t="str">
        <f>IFERROR(__xludf.DUMMYFUNCTION("IF(COUNTA(C1231:C1644)=0,"""",IF(REGEXMATCH(INDEX(FILTER(C$4:C1231,C$4:C1231&lt;&gt;""""),ROWS(FILTER(C$4:C1231,C$4:C1231&lt;&gt;""""))),""^Sell_""),INDEX(FILTER(F$4:F1230,C$4:C1230&lt;&gt;""""),ROWS(FILTER(C$4:C1230,C$4:C1230&lt;&gt;""""))),$AC$5+E1231))"),"")</f>
        <v/>
      </c>
      <c r="G1231" s="10" t="str">
        <f>IFERROR(__xludf.DUMMYFUNCTION("IF(COUNTA(C1231:C1644)=0,"""",IF(C1231="""",0,IF(REGEXMATCH(C1231,""^Sell_""),-ROUNDDOWN(ROUNDUP(INDEX(Upgrades!$C$3:$C$13,MATCH(SUBSTITUTE(C1231,""Sell_"",""""),Upgrades!$B$3:$B$13,0))*1.15^(COUNTIF(C$4:C1230,SUBSTITUTE(C1231,""Sell_"",""""))-COUNTIF(C$4"&amp;":C1230,""Sell_""&amp;SUBSTITUTE(C1231,""Sell_"",""""))))/2),ROUNDUP(INDEX(Upgrades!$C$3:$C$13,MATCH(C1231,Upgrades!$B$3:$B$13,0))*1.15^(COUNTIF(C$4:C1230,C1231)-COUNTIF(C$4:C1230,""Sell_""&amp;C1231))))))"),"")</f>
        <v/>
      </c>
      <c r="H1231" s="10" t="str">
        <f t="shared" si="3"/>
        <v/>
      </c>
      <c r="I1231" s="68" t="str">
        <f t="shared" si="4"/>
        <v/>
      </c>
      <c r="J1231" s="59" t="str">
        <f t="shared" si="5"/>
        <v/>
      </c>
      <c r="K1231" s="69" t="str">
        <f t="shared" si="6"/>
        <v/>
      </c>
      <c r="L1231" s="60" t="str">
        <f t="shared" si="7"/>
        <v/>
      </c>
      <c r="M1231" s="61" t="str">
        <f>IFERROR(__xludf.DUMMYFUNCTION("IFS(AND(COUNTA(C1231:C1644)=0,COUNTA(Q1231:Q1644)=0),"""",OR(AND(K1231&gt;=1000000000,OR(Y1231&gt;=1000000000,COUNTA(Q1231:Q1644)=0)),OR(Y1231&gt;=1000000000,AND(COUNTA(C1231:C1644)=0,P$3=TRUE))),
ROUNDDOWN((AB$1-AC$1)*MAX(INDEX(T$4:T1644,MATCH(LARGE(FILTER(Y$4:Y1"&amp;"644,Y$4:Y1644&lt;1000000000),1),Y$4:Y1644)),INDEX(F$4:F1644,MATCH(LARGE(FILTER(K$4:K1644,K$4:K1644&lt;1000000000),1),K$4:K1644)))),AND(K1231&lt;1000000000,COUNTA(C1231:C1644)&gt;0,P$3=FALSE),
ROUNDDOWN(INDEX(Y$4:Y1644,MATCH(LARGE(FILTER(W$4:W1644,W$4:W1644&lt;=I1231),1)"&amp;",W$4:W1644))+(I1231-LARGE(FILTER(W$4:W1644,W$4:W1644&lt;=I1231),1))*INDEX(T$4:T1644,MATCH(LARGE(FILTER(W$4:W1644,W$4:W1644&lt;=I1231),1),W$4:W1644))-K1231),1,
ROUNDDOWN(Y1231-INDEX(K$4:K1644,MATCH(LARGE(FILTER(I$4:I1644,I$4:I1644&lt;=W1231),1),I$4:I1644))-(W1231-L"&amp;"ARGE(FILTER(I$4:I1644,I$4:I1644&lt;=W1231),1))*INDEX(F$4:F1644,MATCH(LARGE(FILTER(I$4:I1644,I$4:I1644&lt;=W1231),1),I$4:I1644))))"),"")</f>
        <v/>
      </c>
      <c r="N1231" s="60" t="str">
        <f t="shared" si="8"/>
        <v/>
      </c>
      <c r="O1231" s="61" t="str">
        <f t="shared" si="9"/>
        <v/>
      </c>
      <c r="P1231" s="56" t="str">
        <f t="shared" si="10"/>
        <v/>
      </c>
      <c r="Q1231" s="105"/>
      <c r="R1231" s="10"/>
      <c r="S1231" s="59" t="str">
        <f t="array" ref="S1231">IF(COUNTA(Q1231:Q1644)=0,"",SUM((COUNTIF(Q$4:Q1231,Upgrades!$B$3:$B$13)-COUNTIF(Q$4:Q1231,"Sell_"&amp;Upgrades!$B$3:$B$13))*Upgrades!$D$3:$D$13))</f>
        <v/>
      </c>
      <c r="T1231" s="66" t="str">
        <f>IFERROR(__xludf.DUMMYFUNCTION("IF(COUNTA(Q1231:Q1644)=0,"""",IF(REGEXMATCH(INDEX(FILTER(Q$4:Q1231,Q$4:Q1231&lt;&gt;""""),ROWS(FILTER(Q$4:Q1231,Q$4:Q1231&lt;&gt;""""))),""^Sell_""),INDEX(FILTER(T$4:T1230,Q$4:Q1230&lt;&gt;""""),ROWS(FILTER(Q$4:Q1230,Q$4:Q1230&lt;&gt;""""))),$AD$5+S1231))"),"")</f>
        <v/>
      </c>
      <c r="U1231" s="10" t="str">
        <f>IFERROR(__xludf.DUMMYFUNCTION("IF(COUNTA(Q1231:Q1644)=0,"""",IF(Q1231="""",0,IF(REGEXMATCH(Q1231,""^Sell_""),-ROUNDDOWN(ROUNDUP(INDEX(Upgrades!$C$3:$C$13,MATCH(SUBSTITUTE(Q1231,""Sell_"",""""),Upgrades!$B$3:$B$13,0))*1.15^(COUNTIF(Q$4:Q1230,SUBSTITUTE(Q1231,""Sell_"",""""))-COUNTIF(Q$4"&amp;":Q1230,""Sell_""&amp;SUBSTITUTE(Q1231,""Sell_"",""""))))/2),ROUNDUP(INDEX(Upgrades!$C$3:$C$13,MATCH(Q1231,Upgrades!$B$3:$B$13,0))*1.15^(COUNTIF(Q$4:Q1230,Q1231)-COUNTIF(Q$4:Q1230,""Sell_""&amp;Q1231))))))"),"")</f>
        <v/>
      </c>
      <c r="V1231" s="10" t="str">
        <f t="shared" si="11"/>
        <v/>
      </c>
      <c r="W1231" s="68" t="str">
        <f t="shared" si="12"/>
        <v/>
      </c>
      <c r="X1231" s="59" t="str">
        <f t="shared" si="13"/>
        <v/>
      </c>
      <c r="Y1231" s="69" t="str">
        <f t="shared" si="14"/>
        <v/>
      </c>
      <c r="Z1231" s="11"/>
      <c r="AG1231" s="59"/>
    </row>
    <row r="1232">
      <c r="A1232" s="8"/>
      <c r="B1232" s="56" t="str">
        <f t="shared" si="2"/>
        <v/>
      </c>
      <c r="C1232" s="105"/>
      <c r="D1232" s="10"/>
      <c r="E1232" s="59" t="str">
        <f t="array" ref="E1232">IF(COUNTA(C1232:C1644)=0,"",SUM((COUNTIF(C$4:C1232,Upgrades!$B$3:$B$13)-COUNTIF(C$4:C1232,"Sell_"&amp;Upgrades!$B$3:$B$13))*Upgrades!$D$3:$D$13))</f>
        <v/>
      </c>
      <c r="F1232" s="66" t="str">
        <f>IFERROR(__xludf.DUMMYFUNCTION("IF(COUNTA(C1232:C1644)=0,"""",IF(REGEXMATCH(INDEX(FILTER(C$4:C1232,C$4:C1232&lt;&gt;""""),ROWS(FILTER(C$4:C1232,C$4:C1232&lt;&gt;""""))),""^Sell_""),INDEX(FILTER(F$4:F1231,C$4:C1231&lt;&gt;""""),ROWS(FILTER(C$4:C1231,C$4:C1231&lt;&gt;""""))),$AC$5+E1232))"),"")</f>
        <v/>
      </c>
      <c r="G1232" s="10" t="str">
        <f>IFERROR(__xludf.DUMMYFUNCTION("IF(COUNTA(C1232:C1644)=0,"""",IF(C1232="""",0,IF(REGEXMATCH(C1232,""^Sell_""),-ROUNDDOWN(ROUNDUP(INDEX(Upgrades!$C$3:$C$13,MATCH(SUBSTITUTE(C1232,""Sell_"",""""),Upgrades!$B$3:$B$13,0))*1.15^(COUNTIF(C$4:C1231,SUBSTITUTE(C1232,""Sell_"",""""))-COUNTIF(C$4"&amp;":C1231,""Sell_""&amp;SUBSTITUTE(C1232,""Sell_"",""""))))/2),ROUNDUP(INDEX(Upgrades!$C$3:$C$13,MATCH(C1232,Upgrades!$B$3:$B$13,0))*1.15^(COUNTIF(C$4:C1231,C1232)-COUNTIF(C$4:C1231,""Sell_""&amp;C1232))))))"),"")</f>
        <v/>
      </c>
      <c r="H1232" s="10" t="str">
        <f t="shared" si="3"/>
        <v/>
      </c>
      <c r="I1232" s="68" t="str">
        <f t="shared" si="4"/>
        <v/>
      </c>
      <c r="J1232" s="59" t="str">
        <f t="shared" si="5"/>
        <v/>
      </c>
      <c r="K1232" s="69" t="str">
        <f t="shared" si="6"/>
        <v/>
      </c>
      <c r="L1232" s="60" t="str">
        <f t="shared" si="7"/>
        <v/>
      </c>
      <c r="M1232" s="61" t="str">
        <f>IFERROR(__xludf.DUMMYFUNCTION("IFS(AND(COUNTA(C1232:C1644)=0,COUNTA(Q1232:Q1644)=0),"""",OR(AND(K1232&gt;=1000000000,OR(Y1232&gt;=1000000000,COUNTA(Q1232:Q1644)=0)),OR(Y1232&gt;=1000000000,AND(COUNTA(C1232:C1644)=0,P$3=TRUE))),
ROUNDDOWN((AB$1-AC$1)*MAX(INDEX(T$4:T1644,MATCH(LARGE(FILTER(Y$4:Y1"&amp;"644,Y$4:Y1644&lt;1000000000),1),Y$4:Y1644)),INDEX(F$4:F1644,MATCH(LARGE(FILTER(K$4:K1644,K$4:K1644&lt;1000000000),1),K$4:K1644)))),AND(K1232&lt;1000000000,COUNTA(C1232:C1644)&gt;0,P$3=FALSE),
ROUNDDOWN(INDEX(Y$4:Y1644,MATCH(LARGE(FILTER(W$4:W1644,W$4:W1644&lt;=I1232),1)"&amp;",W$4:W1644))+(I1232-LARGE(FILTER(W$4:W1644,W$4:W1644&lt;=I1232),1))*INDEX(T$4:T1644,MATCH(LARGE(FILTER(W$4:W1644,W$4:W1644&lt;=I1232),1),W$4:W1644))-K1232),1,
ROUNDDOWN(Y1232-INDEX(K$4:K1644,MATCH(LARGE(FILTER(I$4:I1644,I$4:I1644&lt;=W1232),1),I$4:I1644))-(W1232-L"&amp;"ARGE(FILTER(I$4:I1644,I$4:I1644&lt;=W1232),1))*INDEX(F$4:F1644,MATCH(LARGE(FILTER(I$4:I1644,I$4:I1644&lt;=W1232),1),I$4:I1644))))"),"")</f>
        <v/>
      </c>
      <c r="N1232" s="60" t="str">
        <f t="shared" si="8"/>
        <v/>
      </c>
      <c r="O1232" s="61" t="str">
        <f t="shared" si="9"/>
        <v/>
      </c>
      <c r="P1232" s="56" t="str">
        <f t="shared" si="10"/>
        <v/>
      </c>
      <c r="Q1232" s="105"/>
      <c r="R1232" s="10"/>
      <c r="S1232" s="59" t="str">
        <f t="array" ref="S1232">IF(COUNTA(Q1232:Q1644)=0,"",SUM((COUNTIF(Q$4:Q1232,Upgrades!$B$3:$B$13)-COUNTIF(Q$4:Q1232,"Sell_"&amp;Upgrades!$B$3:$B$13))*Upgrades!$D$3:$D$13))</f>
        <v/>
      </c>
      <c r="T1232" s="66" t="str">
        <f>IFERROR(__xludf.DUMMYFUNCTION("IF(COUNTA(Q1232:Q1644)=0,"""",IF(REGEXMATCH(INDEX(FILTER(Q$4:Q1232,Q$4:Q1232&lt;&gt;""""),ROWS(FILTER(Q$4:Q1232,Q$4:Q1232&lt;&gt;""""))),""^Sell_""),INDEX(FILTER(T$4:T1231,Q$4:Q1231&lt;&gt;""""),ROWS(FILTER(Q$4:Q1231,Q$4:Q1231&lt;&gt;""""))),$AD$5+S1232))"),"")</f>
        <v/>
      </c>
      <c r="U1232" s="10" t="str">
        <f>IFERROR(__xludf.DUMMYFUNCTION("IF(COUNTA(Q1232:Q1644)=0,"""",IF(Q1232="""",0,IF(REGEXMATCH(Q1232,""^Sell_""),-ROUNDDOWN(ROUNDUP(INDEX(Upgrades!$C$3:$C$13,MATCH(SUBSTITUTE(Q1232,""Sell_"",""""),Upgrades!$B$3:$B$13,0))*1.15^(COUNTIF(Q$4:Q1231,SUBSTITUTE(Q1232,""Sell_"",""""))-COUNTIF(Q$4"&amp;":Q1231,""Sell_""&amp;SUBSTITUTE(Q1232,""Sell_"",""""))))/2),ROUNDUP(INDEX(Upgrades!$C$3:$C$13,MATCH(Q1232,Upgrades!$B$3:$B$13,0))*1.15^(COUNTIF(Q$4:Q1231,Q1232)-COUNTIF(Q$4:Q1231,""Sell_""&amp;Q1232))))))"),"")</f>
        <v/>
      </c>
      <c r="V1232" s="10" t="str">
        <f t="shared" si="11"/>
        <v/>
      </c>
      <c r="W1232" s="68" t="str">
        <f t="shared" si="12"/>
        <v/>
      </c>
      <c r="X1232" s="59" t="str">
        <f t="shared" si="13"/>
        <v/>
      </c>
      <c r="Y1232" s="69" t="str">
        <f t="shared" si="14"/>
        <v/>
      </c>
      <c r="Z1232" s="11"/>
      <c r="AG1232" s="59"/>
    </row>
    <row r="1233">
      <c r="A1233" s="8"/>
      <c r="B1233" s="56" t="str">
        <f t="shared" si="2"/>
        <v/>
      </c>
      <c r="C1233" s="105"/>
      <c r="D1233" s="10"/>
      <c r="E1233" s="59" t="str">
        <f t="array" ref="E1233">IF(COUNTA(C1233:C1644)=0,"",SUM((COUNTIF(C$4:C1233,Upgrades!$B$3:$B$13)-COUNTIF(C$4:C1233,"Sell_"&amp;Upgrades!$B$3:$B$13))*Upgrades!$D$3:$D$13))</f>
        <v/>
      </c>
      <c r="F1233" s="66" t="str">
        <f>IFERROR(__xludf.DUMMYFUNCTION("IF(COUNTA(C1233:C1644)=0,"""",IF(REGEXMATCH(INDEX(FILTER(C$4:C1233,C$4:C1233&lt;&gt;""""),ROWS(FILTER(C$4:C1233,C$4:C1233&lt;&gt;""""))),""^Sell_""),INDEX(FILTER(F$4:F1232,C$4:C1232&lt;&gt;""""),ROWS(FILTER(C$4:C1232,C$4:C1232&lt;&gt;""""))),$AC$5+E1233))"),"")</f>
        <v/>
      </c>
      <c r="G1233" s="10" t="str">
        <f>IFERROR(__xludf.DUMMYFUNCTION("IF(COUNTA(C1233:C1644)=0,"""",IF(C1233="""",0,IF(REGEXMATCH(C1233,""^Sell_""),-ROUNDDOWN(ROUNDUP(INDEX(Upgrades!$C$3:$C$13,MATCH(SUBSTITUTE(C1233,""Sell_"",""""),Upgrades!$B$3:$B$13,0))*1.15^(COUNTIF(C$4:C1232,SUBSTITUTE(C1233,""Sell_"",""""))-COUNTIF(C$4"&amp;":C1232,""Sell_""&amp;SUBSTITUTE(C1233,""Sell_"",""""))))/2),ROUNDUP(INDEX(Upgrades!$C$3:$C$13,MATCH(C1233,Upgrades!$B$3:$B$13,0))*1.15^(COUNTIF(C$4:C1232,C1233)-COUNTIF(C$4:C1232,""Sell_""&amp;C1233))))))"),"")</f>
        <v/>
      </c>
      <c r="H1233" s="10" t="str">
        <f t="shared" si="3"/>
        <v/>
      </c>
      <c r="I1233" s="68" t="str">
        <f t="shared" si="4"/>
        <v/>
      </c>
      <c r="J1233" s="59" t="str">
        <f t="shared" si="5"/>
        <v/>
      </c>
      <c r="K1233" s="69" t="str">
        <f t="shared" si="6"/>
        <v/>
      </c>
      <c r="L1233" s="60" t="str">
        <f t="shared" si="7"/>
        <v/>
      </c>
      <c r="M1233" s="61" t="str">
        <f>IFERROR(__xludf.DUMMYFUNCTION("IFS(AND(COUNTA(C1233:C1644)=0,COUNTA(Q1233:Q1644)=0),"""",OR(AND(K1233&gt;=1000000000,OR(Y1233&gt;=1000000000,COUNTA(Q1233:Q1644)=0)),OR(Y1233&gt;=1000000000,AND(COUNTA(C1233:C1644)=0,P$3=TRUE))),
ROUNDDOWN((AB$1-AC$1)*MAX(INDEX(T$4:T1644,MATCH(LARGE(FILTER(Y$4:Y1"&amp;"644,Y$4:Y1644&lt;1000000000),1),Y$4:Y1644)),INDEX(F$4:F1644,MATCH(LARGE(FILTER(K$4:K1644,K$4:K1644&lt;1000000000),1),K$4:K1644)))),AND(K1233&lt;1000000000,COUNTA(C1233:C1644)&gt;0,P$3=FALSE),
ROUNDDOWN(INDEX(Y$4:Y1644,MATCH(LARGE(FILTER(W$4:W1644,W$4:W1644&lt;=I1233),1)"&amp;",W$4:W1644))+(I1233-LARGE(FILTER(W$4:W1644,W$4:W1644&lt;=I1233),1))*INDEX(T$4:T1644,MATCH(LARGE(FILTER(W$4:W1644,W$4:W1644&lt;=I1233),1),W$4:W1644))-K1233),1,
ROUNDDOWN(Y1233-INDEX(K$4:K1644,MATCH(LARGE(FILTER(I$4:I1644,I$4:I1644&lt;=W1233),1),I$4:I1644))-(W1233-L"&amp;"ARGE(FILTER(I$4:I1644,I$4:I1644&lt;=W1233),1))*INDEX(F$4:F1644,MATCH(LARGE(FILTER(I$4:I1644,I$4:I1644&lt;=W1233),1),I$4:I1644))))"),"")</f>
        <v/>
      </c>
      <c r="N1233" s="60" t="str">
        <f t="shared" si="8"/>
        <v/>
      </c>
      <c r="O1233" s="61" t="str">
        <f t="shared" si="9"/>
        <v/>
      </c>
      <c r="P1233" s="56" t="str">
        <f t="shared" si="10"/>
        <v/>
      </c>
      <c r="Q1233" s="105"/>
      <c r="R1233" s="10"/>
      <c r="S1233" s="59" t="str">
        <f t="array" ref="S1233">IF(COUNTA(Q1233:Q1644)=0,"",SUM((COUNTIF(Q$4:Q1233,Upgrades!$B$3:$B$13)-COUNTIF(Q$4:Q1233,"Sell_"&amp;Upgrades!$B$3:$B$13))*Upgrades!$D$3:$D$13))</f>
        <v/>
      </c>
      <c r="T1233" s="66" t="str">
        <f>IFERROR(__xludf.DUMMYFUNCTION("IF(COUNTA(Q1233:Q1644)=0,"""",IF(REGEXMATCH(INDEX(FILTER(Q$4:Q1233,Q$4:Q1233&lt;&gt;""""),ROWS(FILTER(Q$4:Q1233,Q$4:Q1233&lt;&gt;""""))),""^Sell_""),INDEX(FILTER(T$4:T1232,Q$4:Q1232&lt;&gt;""""),ROWS(FILTER(Q$4:Q1232,Q$4:Q1232&lt;&gt;""""))),$AD$5+S1233))"),"")</f>
        <v/>
      </c>
      <c r="U1233" s="10" t="str">
        <f>IFERROR(__xludf.DUMMYFUNCTION("IF(COUNTA(Q1233:Q1644)=0,"""",IF(Q1233="""",0,IF(REGEXMATCH(Q1233,""^Sell_""),-ROUNDDOWN(ROUNDUP(INDEX(Upgrades!$C$3:$C$13,MATCH(SUBSTITUTE(Q1233,""Sell_"",""""),Upgrades!$B$3:$B$13,0))*1.15^(COUNTIF(Q$4:Q1232,SUBSTITUTE(Q1233,""Sell_"",""""))-COUNTIF(Q$4"&amp;":Q1232,""Sell_""&amp;SUBSTITUTE(Q1233,""Sell_"",""""))))/2),ROUNDUP(INDEX(Upgrades!$C$3:$C$13,MATCH(Q1233,Upgrades!$B$3:$B$13,0))*1.15^(COUNTIF(Q$4:Q1232,Q1233)-COUNTIF(Q$4:Q1232,""Sell_""&amp;Q1233))))))"),"")</f>
        <v/>
      </c>
      <c r="V1233" s="10" t="str">
        <f t="shared" si="11"/>
        <v/>
      </c>
      <c r="W1233" s="68" t="str">
        <f t="shared" si="12"/>
        <v/>
      </c>
      <c r="X1233" s="59" t="str">
        <f t="shared" si="13"/>
        <v/>
      </c>
      <c r="Y1233" s="69" t="str">
        <f t="shared" si="14"/>
        <v/>
      </c>
      <c r="Z1233" s="11"/>
      <c r="AG1233" s="59"/>
    </row>
    <row r="1234">
      <c r="A1234" s="8"/>
      <c r="B1234" s="56" t="str">
        <f t="shared" si="2"/>
        <v/>
      </c>
      <c r="C1234" s="105"/>
      <c r="D1234" s="10"/>
      <c r="E1234" s="59" t="str">
        <f t="array" ref="E1234">IF(COUNTA(C1234:C1644)=0,"",SUM((COUNTIF(C$4:C1234,Upgrades!$B$3:$B$13)-COUNTIF(C$4:C1234,"Sell_"&amp;Upgrades!$B$3:$B$13))*Upgrades!$D$3:$D$13))</f>
        <v/>
      </c>
      <c r="F1234" s="66" t="str">
        <f>IFERROR(__xludf.DUMMYFUNCTION("IF(COUNTA(C1234:C1644)=0,"""",IF(REGEXMATCH(INDEX(FILTER(C$4:C1234,C$4:C1234&lt;&gt;""""),ROWS(FILTER(C$4:C1234,C$4:C1234&lt;&gt;""""))),""^Sell_""),INDEX(FILTER(F$4:F1233,C$4:C1233&lt;&gt;""""),ROWS(FILTER(C$4:C1233,C$4:C1233&lt;&gt;""""))),$AC$5+E1234))"),"")</f>
        <v/>
      </c>
      <c r="G1234" s="10" t="str">
        <f>IFERROR(__xludf.DUMMYFUNCTION("IF(COUNTA(C1234:C1644)=0,"""",IF(C1234="""",0,IF(REGEXMATCH(C1234,""^Sell_""),-ROUNDDOWN(ROUNDUP(INDEX(Upgrades!$C$3:$C$13,MATCH(SUBSTITUTE(C1234,""Sell_"",""""),Upgrades!$B$3:$B$13,0))*1.15^(COUNTIF(C$4:C1233,SUBSTITUTE(C1234,""Sell_"",""""))-COUNTIF(C$4"&amp;":C1233,""Sell_""&amp;SUBSTITUTE(C1234,""Sell_"",""""))))/2),ROUNDUP(INDEX(Upgrades!$C$3:$C$13,MATCH(C1234,Upgrades!$B$3:$B$13,0))*1.15^(COUNTIF(C$4:C1233,C1234)-COUNTIF(C$4:C1233,""Sell_""&amp;C1234))))))"),"")</f>
        <v/>
      </c>
      <c r="H1234" s="10" t="str">
        <f t="shared" si="3"/>
        <v/>
      </c>
      <c r="I1234" s="68" t="str">
        <f t="shared" si="4"/>
        <v/>
      </c>
      <c r="J1234" s="59" t="str">
        <f t="shared" si="5"/>
        <v/>
      </c>
      <c r="K1234" s="69" t="str">
        <f t="shared" si="6"/>
        <v/>
      </c>
      <c r="L1234" s="60" t="str">
        <f t="shared" si="7"/>
        <v/>
      </c>
      <c r="M1234" s="61" t="str">
        <f>IFERROR(__xludf.DUMMYFUNCTION("IFS(AND(COUNTA(C1234:C1644)=0,COUNTA(Q1234:Q1644)=0),"""",OR(AND(K1234&gt;=1000000000,OR(Y1234&gt;=1000000000,COUNTA(Q1234:Q1644)=0)),OR(Y1234&gt;=1000000000,AND(COUNTA(C1234:C1644)=0,P$3=TRUE))),
ROUNDDOWN((AB$1-AC$1)*MAX(INDEX(T$4:T1644,MATCH(LARGE(FILTER(Y$4:Y1"&amp;"644,Y$4:Y1644&lt;1000000000),1),Y$4:Y1644)),INDEX(F$4:F1644,MATCH(LARGE(FILTER(K$4:K1644,K$4:K1644&lt;1000000000),1),K$4:K1644)))),AND(K1234&lt;1000000000,COUNTA(C1234:C1644)&gt;0,P$3=FALSE),
ROUNDDOWN(INDEX(Y$4:Y1644,MATCH(LARGE(FILTER(W$4:W1644,W$4:W1644&lt;=I1234),1)"&amp;",W$4:W1644))+(I1234-LARGE(FILTER(W$4:W1644,W$4:W1644&lt;=I1234),1))*INDEX(T$4:T1644,MATCH(LARGE(FILTER(W$4:W1644,W$4:W1644&lt;=I1234),1),W$4:W1644))-K1234),1,
ROUNDDOWN(Y1234-INDEX(K$4:K1644,MATCH(LARGE(FILTER(I$4:I1644,I$4:I1644&lt;=W1234),1),I$4:I1644))-(W1234-L"&amp;"ARGE(FILTER(I$4:I1644,I$4:I1644&lt;=W1234),1))*INDEX(F$4:F1644,MATCH(LARGE(FILTER(I$4:I1644,I$4:I1644&lt;=W1234),1),I$4:I1644))))"),"")</f>
        <v/>
      </c>
      <c r="N1234" s="60" t="str">
        <f t="shared" si="8"/>
        <v/>
      </c>
      <c r="O1234" s="61" t="str">
        <f t="shared" si="9"/>
        <v/>
      </c>
      <c r="P1234" s="56" t="str">
        <f t="shared" si="10"/>
        <v/>
      </c>
      <c r="Q1234" s="105"/>
      <c r="R1234" s="10"/>
      <c r="S1234" s="59" t="str">
        <f t="array" ref="S1234">IF(COUNTA(Q1234:Q1644)=0,"",SUM((COUNTIF(Q$4:Q1234,Upgrades!$B$3:$B$13)-COUNTIF(Q$4:Q1234,"Sell_"&amp;Upgrades!$B$3:$B$13))*Upgrades!$D$3:$D$13))</f>
        <v/>
      </c>
      <c r="T1234" s="66" t="str">
        <f>IFERROR(__xludf.DUMMYFUNCTION("IF(COUNTA(Q1234:Q1644)=0,"""",IF(REGEXMATCH(INDEX(FILTER(Q$4:Q1234,Q$4:Q1234&lt;&gt;""""),ROWS(FILTER(Q$4:Q1234,Q$4:Q1234&lt;&gt;""""))),""^Sell_""),INDEX(FILTER(T$4:T1233,Q$4:Q1233&lt;&gt;""""),ROWS(FILTER(Q$4:Q1233,Q$4:Q1233&lt;&gt;""""))),$AD$5+S1234))"),"")</f>
        <v/>
      </c>
      <c r="U1234" s="10" t="str">
        <f>IFERROR(__xludf.DUMMYFUNCTION("IF(COUNTA(Q1234:Q1644)=0,"""",IF(Q1234="""",0,IF(REGEXMATCH(Q1234,""^Sell_""),-ROUNDDOWN(ROUNDUP(INDEX(Upgrades!$C$3:$C$13,MATCH(SUBSTITUTE(Q1234,""Sell_"",""""),Upgrades!$B$3:$B$13,0))*1.15^(COUNTIF(Q$4:Q1233,SUBSTITUTE(Q1234,""Sell_"",""""))-COUNTIF(Q$4"&amp;":Q1233,""Sell_""&amp;SUBSTITUTE(Q1234,""Sell_"",""""))))/2),ROUNDUP(INDEX(Upgrades!$C$3:$C$13,MATCH(Q1234,Upgrades!$B$3:$B$13,0))*1.15^(COUNTIF(Q$4:Q1233,Q1234)-COUNTIF(Q$4:Q1233,""Sell_""&amp;Q1234))))))"),"")</f>
        <v/>
      </c>
      <c r="V1234" s="10" t="str">
        <f t="shared" si="11"/>
        <v/>
      </c>
      <c r="W1234" s="68" t="str">
        <f t="shared" si="12"/>
        <v/>
      </c>
      <c r="X1234" s="59" t="str">
        <f t="shared" si="13"/>
        <v/>
      </c>
      <c r="Y1234" s="69" t="str">
        <f t="shared" si="14"/>
        <v/>
      </c>
      <c r="Z1234" s="11"/>
      <c r="AG1234" s="59"/>
    </row>
    <row r="1235">
      <c r="A1235" s="8"/>
      <c r="B1235" s="56" t="str">
        <f t="shared" si="2"/>
        <v/>
      </c>
      <c r="C1235" s="105"/>
      <c r="D1235" s="10"/>
      <c r="E1235" s="59" t="str">
        <f t="array" ref="E1235">IF(COUNTA(C1235:C1644)=0,"",SUM((COUNTIF(C$4:C1235,Upgrades!$B$3:$B$13)-COUNTIF(C$4:C1235,"Sell_"&amp;Upgrades!$B$3:$B$13))*Upgrades!$D$3:$D$13))</f>
        <v/>
      </c>
      <c r="F1235" s="66" t="str">
        <f>IFERROR(__xludf.DUMMYFUNCTION("IF(COUNTA(C1235:C1644)=0,"""",IF(REGEXMATCH(INDEX(FILTER(C$4:C1235,C$4:C1235&lt;&gt;""""),ROWS(FILTER(C$4:C1235,C$4:C1235&lt;&gt;""""))),""^Sell_""),INDEX(FILTER(F$4:F1234,C$4:C1234&lt;&gt;""""),ROWS(FILTER(C$4:C1234,C$4:C1234&lt;&gt;""""))),$AC$5+E1235))"),"")</f>
        <v/>
      </c>
      <c r="G1235" s="10" t="str">
        <f>IFERROR(__xludf.DUMMYFUNCTION("IF(COUNTA(C1235:C1644)=0,"""",IF(C1235="""",0,IF(REGEXMATCH(C1235,""^Sell_""),-ROUNDDOWN(ROUNDUP(INDEX(Upgrades!$C$3:$C$13,MATCH(SUBSTITUTE(C1235,""Sell_"",""""),Upgrades!$B$3:$B$13,0))*1.15^(COUNTIF(C$4:C1234,SUBSTITUTE(C1235,""Sell_"",""""))-COUNTIF(C$4"&amp;":C1234,""Sell_""&amp;SUBSTITUTE(C1235,""Sell_"",""""))))/2),ROUNDUP(INDEX(Upgrades!$C$3:$C$13,MATCH(C1235,Upgrades!$B$3:$B$13,0))*1.15^(COUNTIF(C$4:C1234,C1235)-COUNTIF(C$4:C1234,""Sell_""&amp;C1235))))))"),"")</f>
        <v/>
      </c>
      <c r="H1235" s="10" t="str">
        <f t="shared" si="3"/>
        <v/>
      </c>
      <c r="I1235" s="68" t="str">
        <f t="shared" si="4"/>
        <v/>
      </c>
      <c r="J1235" s="59" t="str">
        <f t="shared" si="5"/>
        <v/>
      </c>
      <c r="K1235" s="69" t="str">
        <f t="shared" si="6"/>
        <v/>
      </c>
      <c r="L1235" s="60" t="str">
        <f t="shared" si="7"/>
        <v/>
      </c>
      <c r="M1235" s="61" t="str">
        <f>IFERROR(__xludf.DUMMYFUNCTION("IFS(AND(COUNTA(C1235:C1644)=0,COUNTA(Q1235:Q1644)=0),"""",OR(AND(K1235&gt;=1000000000,OR(Y1235&gt;=1000000000,COUNTA(Q1235:Q1644)=0)),OR(Y1235&gt;=1000000000,AND(COUNTA(C1235:C1644)=0,P$3=TRUE))),
ROUNDDOWN((AB$1-AC$1)*MAX(INDEX(T$4:T1644,MATCH(LARGE(FILTER(Y$4:Y1"&amp;"644,Y$4:Y1644&lt;1000000000),1),Y$4:Y1644)),INDEX(F$4:F1644,MATCH(LARGE(FILTER(K$4:K1644,K$4:K1644&lt;1000000000),1),K$4:K1644)))),AND(K1235&lt;1000000000,COUNTA(C1235:C1644)&gt;0,P$3=FALSE),
ROUNDDOWN(INDEX(Y$4:Y1644,MATCH(LARGE(FILTER(W$4:W1644,W$4:W1644&lt;=I1235),1)"&amp;",W$4:W1644))+(I1235-LARGE(FILTER(W$4:W1644,W$4:W1644&lt;=I1235),1))*INDEX(T$4:T1644,MATCH(LARGE(FILTER(W$4:W1644,W$4:W1644&lt;=I1235),1),W$4:W1644))-K1235),1,
ROUNDDOWN(Y1235-INDEX(K$4:K1644,MATCH(LARGE(FILTER(I$4:I1644,I$4:I1644&lt;=W1235),1),I$4:I1644))-(W1235-L"&amp;"ARGE(FILTER(I$4:I1644,I$4:I1644&lt;=W1235),1))*INDEX(F$4:F1644,MATCH(LARGE(FILTER(I$4:I1644,I$4:I1644&lt;=W1235),1),I$4:I1644))))"),"")</f>
        <v/>
      </c>
      <c r="N1235" s="60" t="str">
        <f t="shared" si="8"/>
        <v/>
      </c>
      <c r="O1235" s="61" t="str">
        <f t="shared" si="9"/>
        <v/>
      </c>
      <c r="P1235" s="56" t="str">
        <f t="shared" si="10"/>
        <v/>
      </c>
      <c r="Q1235" s="105"/>
      <c r="R1235" s="10"/>
      <c r="S1235" s="59" t="str">
        <f t="array" ref="S1235">IF(COUNTA(Q1235:Q1644)=0,"",SUM((COUNTIF(Q$4:Q1235,Upgrades!$B$3:$B$13)-COUNTIF(Q$4:Q1235,"Sell_"&amp;Upgrades!$B$3:$B$13))*Upgrades!$D$3:$D$13))</f>
        <v/>
      </c>
      <c r="T1235" s="66" t="str">
        <f>IFERROR(__xludf.DUMMYFUNCTION("IF(COUNTA(Q1235:Q1644)=0,"""",IF(REGEXMATCH(INDEX(FILTER(Q$4:Q1235,Q$4:Q1235&lt;&gt;""""),ROWS(FILTER(Q$4:Q1235,Q$4:Q1235&lt;&gt;""""))),""^Sell_""),INDEX(FILTER(T$4:T1234,Q$4:Q1234&lt;&gt;""""),ROWS(FILTER(Q$4:Q1234,Q$4:Q1234&lt;&gt;""""))),$AD$5+S1235))"),"")</f>
        <v/>
      </c>
      <c r="U1235" s="10" t="str">
        <f>IFERROR(__xludf.DUMMYFUNCTION("IF(COUNTA(Q1235:Q1644)=0,"""",IF(Q1235="""",0,IF(REGEXMATCH(Q1235,""^Sell_""),-ROUNDDOWN(ROUNDUP(INDEX(Upgrades!$C$3:$C$13,MATCH(SUBSTITUTE(Q1235,""Sell_"",""""),Upgrades!$B$3:$B$13,0))*1.15^(COUNTIF(Q$4:Q1234,SUBSTITUTE(Q1235,""Sell_"",""""))-COUNTIF(Q$4"&amp;":Q1234,""Sell_""&amp;SUBSTITUTE(Q1235,""Sell_"",""""))))/2),ROUNDUP(INDEX(Upgrades!$C$3:$C$13,MATCH(Q1235,Upgrades!$B$3:$B$13,0))*1.15^(COUNTIF(Q$4:Q1234,Q1235)-COUNTIF(Q$4:Q1234,""Sell_""&amp;Q1235))))))"),"")</f>
        <v/>
      </c>
      <c r="V1235" s="10" t="str">
        <f t="shared" si="11"/>
        <v/>
      </c>
      <c r="W1235" s="68" t="str">
        <f t="shared" si="12"/>
        <v/>
      </c>
      <c r="X1235" s="59" t="str">
        <f t="shared" si="13"/>
        <v/>
      </c>
      <c r="Y1235" s="69" t="str">
        <f t="shared" si="14"/>
        <v/>
      </c>
      <c r="Z1235" s="11"/>
      <c r="AG1235" s="59"/>
    </row>
    <row r="1236">
      <c r="A1236" s="8"/>
      <c r="B1236" s="56" t="str">
        <f t="shared" si="2"/>
        <v/>
      </c>
      <c r="C1236" s="105"/>
      <c r="D1236" s="10"/>
      <c r="E1236" s="59" t="str">
        <f t="array" ref="E1236">IF(COUNTA(C1236:C1644)=0,"",SUM((COUNTIF(C$4:C1236,Upgrades!$B$3:$B$13)-COUNTIF(C$4:C1236,"Sell_"&amp;Upgrades!$B$3:$B$13))*Upgrades!$D$3:$D$13))</f>
        <v/>
      </c>
      <c r="F1236" s="66" t="str">
        <f>IFERROR(__xludf.DUMMYFUNCTION("IF(COUNTA(C1236:C1644)=0,"""",IF(REGEXMATCH(INDEX(FILTER(C$4:C1236,C$4:C1236&lt;&gt;""""),ROWS(FILTER(C$4:C1236,C$4:C1236&lt;&gt;""""))),""^Sell_""),INDEX(FILTER(F$4:F1235,C$4:C1235&lt;&gt;""""),ROWS(FILTER(C$4:C1235,C$4:C1235&lt;&gt;""""))),$AC$5+E1236))"),"")</f>
        <v/>
      </c>
      <c r="G1236" s="10" t="str">
        <f>IFERROR(__xludf.DUMMYFUNCTION("IF(COUNTA(C1236:C1644)=0,"""",IF(C1236="""",0,IF(REGEXMATCH(C1236,""^Sell_""),-ROUNDDOWN(ROUNDUP(INDEX(Upgrades!$C$3:$C$13,MATCH(SUBSTITUTE(C1236,""Sell_"",""""),Upgrades!$B$3:$B$13,0))*1.15^(COUNTIF(C$4:C1235,SUBSTITUTE(C1236,""Sell_"",""""))-COUNTIF(C$4"&amp;":C1235,""Sell_""&amp;SUBSTITUTE(C1236,""Sell_"",""""))))/2),ROUNDUP(INDEX(Upgrades!$C$3:$C$13,MATCH(C1236,Upgrades!$B$3:$B$13,0))*1.15^(COUNTIF(C$4:C1235,C1236)-COUNTIF(C$4:C1235,""Sell_""&amp;C1236))))))"),"")</f>
        <v/>
      </c>
      <c r="H1236" s="10" t="str">
        <f t="shared" si="3"/>
        <v/>
      </c>
      <c r="I1236" s="68" t="str">
        <f t="shared" si="4"/>
        <v/>
      </c>
      <c r="J1236" s="59" t="str">
        <f t="shared" si="5"/>
        <v/>
      </c>
      <c r="K1236" s="69" t="str">
        <f t="shared" si="6"/>
        <v/>
      </c>
      <c r="L1236" s="60" t="str">
        <f t="shared" si="7"/>
        <v/>
      </c>
      <c r="M1236" s="61" t="str">
        <f>IFERROR(__xludf.DUMMYFUNCTION("IFS(AND(COUNTA(C1236:C1644)=0,COUNTA(Q1236:Q1644)=0),"""",OR(AND(K1236&gt;=1000000000,OR(Y1236&gt;=1000000000,COUNTA(Q1236:Q1644)=0)),OR(Y1236&gt;=1000000000,AND(COUNTA(C1236:C1644)=0,P$3=TRUE))),
ROUNDDOWN((AB$1-AC$1)*MAX(INDEX(T$4:T1644,MATCH(LARGE(FILTER(Y$4:Y1"&amp;"644,Y$4:Y1644&lt;1000000000),1),Y$4:Y1644)),INDEX(F$4:F1644,MATCH(LARGE(FILTER(K$4:K1644,K$4:K1644&lt;1000000000),1),K$4:K1644)))),AND(K1236&lt;1000000000,COUNTA(C1236:C1644)&gt;0,P$3=FALSE),
ROUNDDOWN(INDEX(Y$4:Y1644,MATCH(LARGE(FILTER(W$4:W1644,W$4:W1644&lt;=I1236),1)"&amp;",W$4:W1644))+(I1236-LARGE(FILTER(W$4:W1644,W$4:W1644&lt;=I1236),1))*INDEX(T$4:T1644,MATCH(LARGE(FILTER(W$4:W1644,W$4:W1644&lt;=I1236),1),W$4:W1644))-K1236),1,
ROUNDDOWN(Y1236-INDEX(K$4:K1644,MATCH(LARGE(FILTER(I$4:I1644,I$4:I1644&lt;=W1236),1),I$4:I1644))-(W1236-L"&amp;"ARGE(FILTER(I$4:I1644,I$4:I1644&lt;=W1236),1))*INDEX(F$4:F1644,MATCH(LARGE(FILTER(I$4:I1644,I$4:I1644&lt;=W1236),1),I$4:I1644))))"),"")</f>
        <v/>
      </c>
      <c r="N1236" s="60" t="str">
        <f t="shared" si="8"/>
        <v/>
      </c>
      <c r="O1236" s="61" t="str">
        <f t="shared" si="9"/>
        <v/>
      </c>
      <c r="P1236" s="56" t="str">
        <f t="shared" si="10"/>
        <v/>
      </c>
      <c r="Q1236" s="105"/>
      <c r="R1236" s="10"/>
      <c r="S1236" s="59" t="str">
        <f t="array" ref="S1236">IF(COUNTA(Q1236:Q1644)=0,"",SUM((COUNTIF(Q$4:Q1236,Upgrades!$B$3:$B$13)-COUNTIF(Q$4:Q1236,"Sell_"&amp;Upgrades!$B$3:$B$13))*Upgrades!$D$3:$D$13))</f>
        <v/>
      </c>
      <c r="T1236" s="66" t="str">
        <f>IFERROR(__xludf.DUMMYFUNCTION("IF(COUNTA(Q1236:Q1644)=0,"""",IF(REGEXMATCH(INDEX(FILTER(Q$4:Q1236,Q$4:Q1236&lt;&gt;""""),ROWS(FILTER(Q$4:Q1236,Q$4:Q1236&lt;&gt;""""))),""^Sell_""),INDEX(FILTER(T$4:T1235,Q$4:Q1235&lt;&gt;""""),ROWS(FILTER(Q$4:Q1235,Q$4:Q1235&lt;&gt;""""))),$AD$5+S1236))"),"")</f>
        <v/>
      </c>
      <c r="U1236" s="10" t="str">
        <f>IFERROR(__xludf.DUMMYFUNCTION("IF(COUNTA(Q1236:Q1644)=0,"""",IF(Q1236="""",0,IF(REGEXMATCH(Q1236,""^Sell_""),-ROUNDDOWN(ROUNDUP(INDEX(Upgrades!$C$3:$C$13,MATCH(SUBSTITUTE(Q1236,""Sell_"",""""),Upgrades!$B$3:$B$13,0))*1.15^(COUNTIF(Q$4:Q1235,SUBSTITUTE(Q1236,""Sell_"",""""))-COUNTIF(Q$4"&amp;":Q1235,""Sell_""&amp;SUBSTITUTE(Q1236,""Sell_"",""""))))/2),ROUNDUP(INDEX(Upgrades!$C$3:$C$13,MATCH(Q1236,Upgrades!$B$3:$B$13,0))*1.15^(COUNTIF(Q$4:Q1235,Q1236)-COUNTIF(Q$4:Q1235,""Sell_""&amp;Q1236))))))"),"")</f>
        <v/>
      </c>
      <c r="V1236" s="10" t="str">
        <f t="shared" si="11"/>
        <v/>
      </c>
      <c r="W1236" s="68" t="str">
        <f t="shared" si="12"/>
        <v/>
      </c>
      <c r="X1236" s="59" t="str">
        <f t="shared" si="13"/>
        <v/>
      </c>
      <c r="Y1236" s="69" t="str">
        <f t="shared" si="14"/>
        <v/>
      </c>
      <c r="Z1236" s="11"/>
      <c r="AG1236" s="59"/>
    </row>
    <row r="1237">
      <c r="A1237" s="8"/>
      <c r="B1237" s="56" t="str">
        <f t="shared" si="2"/>
        <v/>
      </c>
      <c r="C1237" s="105"/>
      <c r="D1237" s="10"/>
      <c r="E1237" s="59" t="str">
        <f t="array" ref="E1237">IF(COUNTA(C1237:C1644)=0,"",SUM((COUNTIF(C$4:C1237,Upgrades!$B$3:$B$13)-COUNTIF(C$4:C1237,"Sell_"&amp;Upgrades!$B$3:$B$13))*Upgrades!$D$3:$D$13))</f>
        <v/>
      </c>
      <c r="F1237" s="66" t="str">
        <f>IFERROR(__xludf.DUMMYFUNCTION("IF(COUNTA(C1237:C1644)=0,"""",IF(REGEXMATCH(INDEX(FILTER(C$4:C1237,C$4:C1237&lt;&gt;""""),ROWS(FILTER(C$4:C1237,C$4:C1237&lt;&gt;""""))),""^Sell_""),INDEX(FILTER(F$4:F1236,C$4:C1236&lt;&gt;""""),ROWS(FILTER(C$4:C1236,C$4:C1236&lt;&gt;""""))),$AC$5+E1237))"),"")</f>
        <v/>
      </c>
      <c r="G1237" s="10" t="str">
        <f>IFERROR(__xludf.DUMMYFUNCTION("IF(COUNTA(C1237:C1644)=0,"""",IF(C1237="""",0,IF(REGEXMATCH(C1237,""^Sell_""),-ROUNDDOWN(ROUNDUP(INDEX(Upgrades!$C$3:$C$13,MATCH(SUBSTITUTE(C1237,""Sell_"",""""),Upgrades!$B$3:$B$13,0))*1.15^(COUNTIF(C$4:C1236,SUBSTITUTE(C1237,""Sell_"",""""))-COUNTIF(C$4"&amp;":C1236,""Sell_""&amp;SUBSTITUTE(C1237,""Sell_"",""""))))/2),ROUNDUP(INDEX(Upgrades!$C$3:$C$13,MATCH(C1237,Upgrades!$B$3:$B$13,0))*1.15^(COUNTIF(C$4:C1236,C1237)-COUNTIF(C$4:C1236,""Sell_""&amp;C1237))))))"),"")</f>
        <v/>
      </c>
      <c r="H1237" s="10" t="str">
        <f t="shared" si="3"/>
        <v/>
      </c>
      <c r="I1237" s="68" t="str">
        <f t="shared" si="4"/>
        <v/>
      </c>
      <c r="J1237" s="59" t="str">
        <f t="shared" si="5"/>
        <v/>
      </c>
      <c r="K1237" s="69" t="str">
        <f t="shared" si="6"/>
        <v/>
      </c>
      <c r="L1237" s="60" t="str">
        <f t="shared" si="7"/>
        <v/>
      </c>
      <c r="M1237" s="61" t="str">
        <f>IFERROR(__xludf.DUMMYFUNCTION("IFS(AND(COUNTA(C1237:C1644)=0,COUNTA(Q1237:Q1644)=0),"""",OR(AND(K1237&gt;=1000000000,OR(Y1237&gt;=1000000000,COUNTA(Q1237:Q1644)=0)),OR(Y1237&gt;=1000000000,AND(COUNTA(C1237:C1644)=0,P$3=TRUE))),
ROUNDDOWN((AB$1-AC$1)*MAX(INDEX(T$4:T1644,MATCH(LARGE(FILTER(Y$4:Y1"&amp;"644,Y$4:Y1644&lt;1000000000),1),Y$4:Y1644)),INDEX(F$4:F1644,MATCH(LARGE(FILTER(K$4:K1644,K$4:K1644&lt;1000000000),1),K$4:K1644)))),AND(K1237&lt;1000000000,COUNTA(C1237:C1644)&gt;0,P$3=FALSE),
ROUNDDOWN(INDEX(Y$4:Y1644,MATCH(LARGE(FILTER(W$4:W1644,W$4:W1644&lt;=I1237),1)"&amp;",W$4:W1644))+(I1237-LARGE(FILTER(W$4:W1644,W$4:W1644&lt;=I1237),1))*INDEX(T$4:T1644,MATCH(LARGE(FILTER(W$4:W1644,W$4:W1644&lt;=I1237),1),W$4:W1644))-K1237),1,
ROUNDDOWN(Y1237-INDEX(K$4:K1644,MATCH(LARGE(FILTER(I$4:I1644,I$4:I1644&lt;=W1237),1),I$4:I1644))-(W1237-L"&amp;"ARGE(FILTER(I$4:I1644,I$4:I1644&lt;=W1237),1))*INDEX(F$4:F1644,MATCH(LARGE(FILTER(I$4:I1644,I$4:I1644&lt;=W1237),1),I$4:I1644))))"),"")</f>
        <v/>
      </c>
      <c r="N1237" s="60" t="str">
        <f t="shared" si="8"/>
        <v/>
      </c>
      <c r="O1237" s="61" t="str">
        <f t="shared" si="9"/>
        <v/>
      </c>
      <c r="P1237" s="56" t="str">
        <f t="shared" si="10"/>
        <v/>
      </c>
      <c r="Q1237" s="105"/>
      <c r="R1237" s="10"/>
      <c r="S1237" s="59" t="str">
        <f t="array" ref="S1237">IF(COUNTA(Q1237:Q1644)=0,"",SUM((COUNTIF(Q$4:Q1237,Upgrades!$B$3:$B$13)-COUNTIF(Q$4:Q1237,"Sell_"&amp;Upgrades!$B$3:$B$13))*Upgrades!$D$3:$D$13))</f>
        <v/>
      </c>
      <c r="T1237" s="66" t="str">
        <f>IFERROR(__xludf.DUMMYFUNCTION("IF(COUNTA(Q1237:Q1644)=0,"""",IF(REGEXMATCH(INDEX(FILTER(Q$4:Q1237,Q$4:Q1237&lt;&gt;""""),ROWS(FILTER(Q$4:Q1237,Q$4:Q1237&lt;&gt;""""))),""^Sell_""),INDEX(FILTER(T$4:T1236,Q$4:Q1236&lt;&gt;""""),ROWS(FILTER(Q$4:Q1236,Q$4:Q1236&lt;&gt;""""))),$AD$5+S1237))"),"")</f>
        <v/>
      </c>
      <c r="U1237" s="10" t="str">
        <f>IFERROR(__xludf.DUMMYFUNCTION("IF(COUNTA(Q1237:Q1644)=0,"""",IF(Q1237="""",0,IF(REGEXMATCH(Q1237,""^Sell_""),-ROUNDDOWN(ROUNDUP(INDEX(Upgrades!$C$3:$C$13,MATCH(SUBSTITUTE(Q1237,""Sell_"",""""),Upgrades!$B$3:$B$13,0))*1.15^(COUNTIF(Q$4:Q1236,SUBSTITUTE(Q1237,""Sell_"",""""))-COUNTIF(Q$4"&amp;":Q1236,""Sell_""&amp;SUBSTITUTE(Q1237,""Sell_"",""""))))/2),ROUNDUP(INDEX(Upgrades!$C$3:$C$13,MATCH(Q1237,Upgrades!$B$3:$B$13,0))*1.15^(COUNTIF(Q$4:Q1236,Q1237)-COUNTIF(Q$4:Q1236,""Sell_""&amp;Q1237))))))"),"")</f>
        <v/>
      </c>
      <c r="V1237" s="10" t="str">
        <f t="shared" si="11"/>
        <v/>
      </c>
      <c r="W1237" s="68" t="str">
        <f t="shared" si="12"/>
        <v/>
      </c>
      <c r="X1237" s="59" t="str">
        <f t="shared" si="13"/>
        <v/>
      </c>
      <c r="Y1237" s="69" t="str">
        <f t="shared" si="14"/>
        <v/>
      </c>
      <c r="Z1237" s="11"/>
      <c r="AG1237" s="59"/>
    </row>
    <row r="1238">
      <c r="A1238" s="8"/>
      <c r="B1238" s="56" t="str">
        <f t="shared" si="2"/>
        <v/>
      </c>
      <c r="C1238" s="105"/>
      <c r="D1238" s="10"/>
      <c r="E1238" s="59" t="str">
        <f t="array" ref="E1238">IF(COUNTA(C1238:C1644)=0,"",SUM((COUNTIF(C$4:C1238,Upgrades!$B$3:$B$13)-COUNTIF(C$4:C1238,"Sell_"&amp;Upgrades!$B$3:$B$13))*Upgrades!$D$3:$D$13))</f>
        <v/>
      </c>
      <c r="F1238" s="66" t="str">
        <f>IFERROR(__xludf.DUMMYFUNCTION("IF(COUNTA(C1238:C1644)=0,"""",IF(REGEXMATCH(INDEX(FILTER(C$4:C1238,C$4:C1238&lt;&gt;""""),ROWS(FILTER(C$4:C1238,C$4:C1238&lt;&gt;""""))),""^Sell_""),INDEX(FILTER(F$4:F1237,C$4:C1237&lt;&gt;""""),ROWS(FILTER(C$4:C1237,C$4:C1237&lt;&gt;""""))),$AC$5+E1238))"),"")</f>
        <v/>
      </c>
      <c r="G1238" s="10" t="str">
        <f>IFERROR(__xludf.DUMMYFUNCTION("IF(COUNTA(C1238:C1644)=0,"""",IF(C1238="""",0,IF(REGEXMATCH(C1238,""^Sell_""),-ROUNDDOWN(ROUNDUP(INDEX(Upgrades!$C$3:$C$13,MATCH(SUBSTITUTE(C1238,""Sell_"",""""),Upgrades!$B$3:$B$13,0))*1.15^(COUNTIF(C$4:C1237,SUBSTITUTE(C1238,""Sell_"",""""))-COUNTIF(C$4"&amp;":C1237,""Sell_""&amp;SUBSTITUTE(C1238,""Sell_"",""""))))/2),ROUNDUP(INDEX(Upgrades!$C$3:$C$13,MATCH(C1238,Upgrades!$B$3:$B$13,0))*1.15^(COUNTIF(C$4:C1237,C1238)-COUNTIF(C$4:C1237,""Sell_""&amp;C1238))))))"),"")</f>
        <v/>
      </c>
      <c r="H1238" s="10" t="str">
        <f t="shared" si="3"/>
        <v/>
      </c>
      <c r="I1238" s="68" t="str">
        <f t="shared" si="4"/>
        <v/>
      </c>
      <c r="J1238" s="59" t="str">
        <f t="shared" si="5"/>
        <v/>
      </c>
      <c r="K1238" s="69" t="str">
        <f t="shared" si="6"/>
        <v/>
      </c>
      <c r="L1238" s="60" t="str">
        <f t="shared" si="7"/>
        <v/>
      </c>
      <c r="M1238" s="61" t="str">
        <f>IFERROR(__xludf.DUMMYFUNCTION("IFS(AND(COUNTA(C1238:C1644)=0,COUNTA(Q1238:Q1644)=0),"""",OR(AND(K1238&gt;=1000000000,OR(Y1238&gt;=1000000000,COUNTA(Q1238:Q1644)=0)),OR(Y1238&gt;=1000000000,AND(COUNTA(C1238:C1644)=0,P$3=TRUE))),
ROUNDDOWN((AB$1-AC$1)*MAX(INDEX(T$4:T1644,MATCH(LARGE(FILTER(Y$4:Y1"&amp;"644,Y$4:Y1644&lt;1000000000),1),Y$4:Y1644)),INDEX(F$4:F1644,MATCH(LARGE(FILTER(K$4:K1644,K$4:K1644&lt;1000000000),1),K$4:K1644)))),AND(K1238&lt;1000000000,COUNTA(C1238:C1644)&gt;0,P$3=FALSE),
ROUNDDOWN(INDEX(Y$4:Y1644,MATCH(LARGE(FILTER(W$4:W1644,W$4:W1644&lt;=I1238),1)"&amp;",W$4:W1644))+(I1238-LARGE(FILTER(W$4:W1644,W$4:W1644&lt;=I1238),1))*INDEX(T$4:T1644,MATCH(LARGE(FILTER(W$4:W1644,W$4:W1644&lt;=I1238),1),W$4:W1644))-K1238),1,
ROUNDDOWN(Y1238-INDEX(K$4:K1644,MATCH(LARGE(FILTER(I$4:I1644,I$4:I1644&lt;=W1238),1),I$4:I1644))-(W1238-L"&amp;"ARGE(FILTER(I$4:I1644,I$4:I1644&lt;=W1238),1))*INDEX(F$4:F1644,MATCH(LARGE(FILTER(I$4:I1644,I$4:I1644&lt;=W1238),1),I$4:I1644))))"),"")</f>
        <v/>
      </c>
      <c r="N1238" s="60" t="str">
        <f t="shared" si="8"/>
        <v/>
      </c>
      <c r="O1238" s="61" t="str">
        <f t="shared" si="9"/>
        <v/>
      </c>
      <c r="P1238" s="56" t="str">
        <f t="shared" si="10"/>
        <v/>
      </c>
      <c r="Q1238" s="105"/>
      <c r="R1238" s="10"/>
      <c r="S1238" s="59" t="str">
        <f t="array" ref="S1238">IF(COUNTA(Q1238:Q1644)=0,"",SUM((COUNTIF(Q$4:Q1238,Upgrades!$B$3:$B$13)-COUNTIF(Q$4:Q1238,"Sell_"&amp;Upgrades!$B$3:$B$13))*Upgrades!$D$3:$D$13))</f>
        <v/>
      </c>
      <c r="T1238" s="66" t="str">
        <f>IFERROR(__xludf.DUMMYFUNCTION("IF(COUNTA(Q1238:Q1644)=0,"""",IF(REGEXMATCH(INDEX(FILTER(Q$4:Q1238,Q$4:Q1238&lt;&gt;""""),ROWS(FILTER(Q$4:Q1238,Q$4:Q1238&lt;&gt;""""))),""^Sell_""),INDEX(FILTER(T$4:T1237,Q$4:Q1237&lt;&gt;""""),ROWS(FILTER(Q$4:Q1237,Q$4:Q1237&lt;&gt;""""))),$AD$5+S1238))"),"")</f>
        <v/>
      </c>
      <c r="U1238" s="10" t="str">
        <f>IFERROR(__xludf.DUMMYFUNCTION("IF(COUNTA(Q1238:Q1644)=0,"""",IF(Q1238="""",0,IF(REGEXMATCH(Q1238,""^Sell_""),-ROUNDDOWN(ROUNDUP(INDEX(Upgrades!$C$3:$C$13,MATCH(SUBSTITUTE(Q1238,""Sell_"",""""),Upgrades!$B$3:$B$13,0))*1.15^(COUNTIF(Q$4:Q1237,SUBSTITUTE(Q1238,""Sell_"",""""))-COUNTIF(Q$4"&amp;":Q1237,""Sell_""&amp;SUBSTITUTE(Q1238,""Sell_"",""""))))/2),ROUNDUP(INDEX(Upgrades!$C$3:$C$13,MATCH(Q1238,Upgrades!$B$3:$B$13,0))*1.15^(COUNTIF(Q$4:Q1237,Q1238)-COUNTIF(Q$4:Q1237,""Sell_""&amp;Q1238))))))"),"")</f>
        <v/>
      </c>
      <c r="V1238" s="10" t="str">
        <f t="shared" si="11"/>
        <v/>
      </c>
      <c r="W1238" s="68" t="str">
        <f t="shared" si="12"/>
        <v/>
      </c>
      <c r="X1238" s="59" t="str">
        <f t="shared" si="13"/>
        <v/>
      </c>
      <c r="Y1238" s="69" t="str">
        <f t="shared" si="14"/>
        <v/>
      </c>
      <c r="Z1238" s="11"/>
      <c r="AG1238" s="59"/>
    </row>
    <row r="1239">
      <c r="A1239" s="8"/>
      <c r="B1239" s="56" t="str">
        <f t="shared" si="2"/>
        <v/>
      </c>
      <c r="C1239" s="105"/>
      <c r="D1239" s="10"/>
      <c r="E1239" s="59" t="str">
        <f t="array" ref="E1239">IF(COUNTA(C1239:C1644)=0,"",SUM((COUNTIF(C$4:C1239,Upgrades!$B$3:$B$13)-COUNTIF(C$4:C1239,"Sell_"&amp;Upgrades!$B$3:$B$13))*Upgrades!$D$3:$D$13))</f>
        <v/>
      </c>
      <c r="F1239" s="66" t="str">
        <f>IFERROR(__xludf.DUMMYFUNCTION("IF(COUNTA(C1239:C1644)=0,"""",IF(REGEXMATCH(INDEX(FILTER(C$4:C1239,C$4:C1239&lt;&gt;""""),ROWS(FILTER(C$4:C1239,C$4:C1239&lt;&gt;""""))),""^Sell_""),INDEX(FILTER(F$4:F1238,C$4:C1238&lt;&gt;""""),ROWS(FILTER(C$4:C1238,C$4:C1238&lt;&gt;""""))),$AC$5+E1239))"),"")</f>
        <v/>
      </c>
      <c r="G1239" s="10" t="str">
        <f>IFERROR(__xludf.DUMMYFUNCTION("IF(COUNTA(C1239:C1644)=0,"""",IF(C1239="""",0,IF(REGEXMATCH(C1239,""^Sell_""),-ROUNDDOWN(ROUNDUP(INDEX(Upgrades!$C$3:$C$13,MATCH(SUBSTITUTE(C1239,""Sell_"",""""),Upgrades!$B$3:$B$13,0))*1.15^(COUNTIF(C$4:C1238,SUBSTITUTE(C1239,""Sell_"",""""))-COUNTIF(C$4"&amp;":C1238,""Sell_""&amp;SUBSTITUTE(C1239,""Sell_"",""""))))/2),ROUNDUP(INDEX(Upgrades!$C$3:$C$13,MATCH(C1239,Upgrades!$B$3:$B$13,0))*1.15^(COUNTIF(C$4:C1238,C1239)-COUNTIF(C$4:C1238,""Sell_""&amp;C1239))))))"),"")</f>
        <v/>
      </c>
      <c r="H1239" s="10" t="str">
        <f t="shared" si="3"/>
        <v/>
      </c>
      <c r="I1239" s="68" t="str">
        <f t="shared" si="4"/>
        <v/>
      </c>
      <c r="J1239" s="59" t="str">
        <f t="shared" si="5"/>
        <v/>
      </c>
      <c r="K1239" s="69" t="str">
        <f t="shared" si="6"/>
        <v/>
      </c>
      <c r="L1239" s="60" t="str">
        <f t="shared" si="7"/>
        <v/>
      </c>
      <c r="M1239" s="61" t="str">
        <f>IFERROR(__xludf.DUMMYFUNCTION("IFS(AND(COUNTA(C1239:C1644)=0,COUNTA(Q1239:Q1644)=0),"""",OR(AND(K1239&gt;=1000000000,OR(Y1239&gt;=1000000000,COUNTA(Q1239:Q1644)=0)),OR(Y1239&gt;=1000000000,AND(COUNTA(C1239:C1644)=0,P$3=TRUE))),
ROUNDDOWN((AB$1-AC$1)*MAX(INDEX(T$4:T1644,MATCH(LARGE(FILTER(Y$4:Y1"&amp;"644,Y$4:Y1644&lt;1000000000),1),Y$4:Y1644)),INDEX(F$4:F1644,MATCH(LARGE(FILTER(K$4:K1644,K$4:K1644&lt;1000000000),1),K$4:K1644)))),AND(K1239&lt;1000000000,COUNTA(C1239:C1644)&gt;0,P$3=FALSE),
ROUNDDOWN(INDEX(Y$4:Y1644,MATCH(LARGE(FILTER(W$4:W1644,W$4:W1644&lt;=I1239),1)"&amp;",W$4:W1644))+(I1239-LARGE(FILTER(W$4:W1644,W$4:W1644&lt;=I1239),1))*INDEX(T$4:T1644,MATCH(LARGE(FILTER(W$4:W1644,W$4:W1644&lt;=I1239),1),W$4:W1644))-K1239),1,
ROUNDDOWN(Y1239-INDEX(K$4:K1644,MATCH(LARGE(FILTER(I$4:I1644,I$4:I1644&lt;=W1239),1),I$4:I1644))-(W1239-L"&amp;"ARGE(FILTER(I$4:I1644,I$4:I1644&lt;=W1239),1))*INDEX(F$4:F1644,MATCH(LARGE(FILTER(I$4:I1644,I$4:I1644&lt;=W1239),1),I$4:I1644))))"),"")</f>
        <v/>
      </c>
      <c r="N1239" s="60" t="str">
        <f t="shared" si="8"/>
        <v/>
      </c>
      <c r="O1239" s="61" t="str">
        <f t="shared" si="9"/>
        <v/>
      </c>
      <c r="P1239" s="56" t="str">
        <f t="shared" si="10"/>
        <v/>
      </c>
      <c r="Q1239" s="105"/>
      <c r="R1239" s="10"/>
      <c r="S1239" s="59" t="str">
        <f t="array" ref="S1239">IF(COUNTA(Q1239:Q1644)=0,"",SUM((COUNTIF(Q$4:Q1239,Upgrades!$B$3:$B$13)-COUNTIF(Q$4:Q1239,"Sell_"&amp;Upgrades!$B$3:$B$13))*Upgrades!$D$3:$D$13))</f>
        <v/>
      </c>
      <c r="T1239" s="66" t="str">
        <f>IFERROR(__xludf.DUMMYFUNCTION("IF(COUNTA(Q1239:Q1644)=0,"""",IF(REGEXMATCH(INDEX(FILTER(Q$4:Q1239,Q$4:Q1239&lt;&gt;""""),ROWS(FILTER(Q$4:Q1239,Q$4:Q1239&lt;&gt;""""))),""^Sell_""),INDEX(FILTER(T$4:T1238,Q$4:Q1238&lt;&gt;""""),ROWS(FILTER(Q$4:Q1238,Q$4:Q1238&lt;&gt;""""))),$AD$5+S1239))"),"")</f>
        <v/>
      </c>
      <c r="U1239" s="10" t="str">
        <f>IFERROR(__xludf.DUMMYFUNCTION("IF(COUNTA(Q1239:Q1644)=0,"""",IF(Q1239="""",0,IF(REGEXMATCH(Q1239,""^Sell_""),-ROUNDDOWN(ROUNDUP(INDEX(Upgrades!$C$3:$C$13,MATCH(SUBSTITUTE(Q1239,""Sell_"",""""),Upgrades!$B$3:$B$13,0))*1.15^(COUNTIF(Q$4:Q1238,SUBSTITUTE(Q1239,""Sell_"",""""))-COUNTIF(Q$4"&amp;":Q1238,""Sell_""&amp;SUBSTITUTE(Q1239,""Sell_"",""""))))/2),ROUNDUP(INDEX(Upgrades!$C$3:$C$13,MATCH(Q1239,Upgrades!$B$3:$B$13,0))*1.15^(COUNTIF(Q$4:Q1238,Q1239)-COUNTIF(Q$4:Q1238,""Sell_""&amp;Q1239))))))"),"")</f>
        <v/>
      </c>
      <c r="V1239" s="10" t="str">
        <f t="shared" si="11"/>
        <v/>
      </c>
      <c r="W1239" s="68" t="str">
        <f t="shared" si="12"/>
        <v/>
      </c>
      <c r="X1239" s="59" t="str">
        <f t="shared" si="13"/>
        <v/>
      </c>
      <c r="Y1239" s="69" t="str">
        <f t="shared" si="14"/>
        <v/>
      </c>
      <c r="Z1239" s="11"/>
      <c r="AG1239" s="59"/>
    </row>
    <row r="1240">
      <c r="A1240" s="8"/>
      <c r="B1240" s="56" t="str">
        <f t="shared" si="2"/>
        <v/>
      </c>
      <c r="C1240" s="105"/>
      <c r="D1240" s="10"/>
      <c r="E1240" s="59" t="str">
        <f t="array" ref="E1240">IF(COUNTA(C1240:C1644)=0,"",SUM((COUNTIF(C$4:C1240,Upgrades!$B$3:$B$13)-COUNTIF(C$4:C1240,"Sell_"&amp;Upgrades!$B$3:$B$13))*Upgrades!$D$3:$D$13))</f>
        <v/>
      </c>
      <c r="F1240" s="66" t="str">
        <f>IFERROR(__xludf.DUMMYFUNCTION("IF(COUNTA(C1240:C1644)=0,"""",IF(REGEXMATCH(INDEX(FILTER(C$4:C1240,C$4:C1240&lt;&gt;""""),ROWS(FILTER(C$4:C1240,C$4:C1240&lt;&gt;""""))),""^Sell_""),INDEX(FILTER(F$4:F1239,C$4:C1239&lt;&gt;""""),ROWS(FILTER(C$4:C1239,C$4:C1239&lt;&gt;""""))),$AC$5+E1240))"),"")</f>
        <v/>
      </c>
      <c r="G1240" s="10" t="str">
        <f>IFERROR(__xludf.DUMMYFUNCTION("IF(COUNTA(C1240:C1644)=0,"""",IF(C1240="""",0,IF(REGEXMATCH(C1240,""^Sell_""),-ROUNDDOWN(ROUNDUP(INDEX(Upgrades!$C$3:$C$13,MATCH(SUBSTITUTE(C1240,""Sell_"",""""),Upgrades!$B$3:$B$13,0))*1.15^(COUNTIF(C$4:C1239,SUBSTITUTE(C1240,""Sell_"",""""))-COUNTIF(C$4"&amp;":C1239,""Sell_""&amp;SUBSTITUTE(C1240,""Sell_"",""""))))/2),ROUNDUP(INDEX(Upgrades!$C$3:$C$13,MATCH(C1240,Upgrades!$B$3:$B$13,0))*1.15^(COUNTIF(C$4:C1239,C1240)-COUNTIF(C$4:C1239,""Sell_""&amp;C1240))))))"),"")</f>
        <v/>
      </c>
      <c r="H1240" s="10" t="str">
        <f t="shared" si="3"/>
        <v/>
      </c>
      <c r="I1240" s="68" t="str">
        <f t="shared" si="4"/>
        <v/>
      </c>
      <c r="J1240" s="59" t="str">
        <f t="shared" si="5"/>
        <v/>
      </c>
      <c r="K1240" s="69" t="str">
        <f t="shared" si="6"/>
        <v/>
      </c>
      <c r="L1240" s="60" t="str">
        <f t="shared" si="7"/>
        <v/>
      </c>
      <c r="M1240" s="61" t="str">
        <f>IFERROR(__xludf.DUMMYFUNCTION("IFS(AND(COUNTA(C1240:C1644)=0,COUNTA(Q1240:Q1644)=0),"""",OR(AND(K1240&gt;=1000000000,OR(Y1240&gt;=1000000000,COUNTA(Q1240:Q1644)=0)),OR(Y1240&gt;=1000000000,AND(COUNTA(C1240:C1644)=0,P$3=TRUE))),
ROUNDDOWN((AB$1-AC$1)*MAX(INDEX(T$4:T1644,MATCH(LARGE(FILTER(Y$4:Y1"&amp;"644,Y$4:Y1644&lt;1000000000),1),Y$4:Y1644)),INDEX(F$4:F1644,MATCH(LARGE(FILTER(K$4:K1644,K$4:K1644&lt;1000000000),1),K$4:K1644)))),AND(K1240&lt;1000000000,COUNTA(C1240:C1644)&gt;0,P$3=FALSE),
ROUNDDOWN(INDEX(Y$4:Y1644,MATCH(LARGE(FILTER(W$4:W1644,W$4:W1644&lt;=I1240),1)"&amp;",W$4:W1644))+(I1240-LARGE(FILTER(W$4:W1644,W$4:W1644&lt;=I1240),1))*INDEX(T$4:T1644,MATCH(LARGE(FILTER(W$4:W1644,W$4:W1644&lt;=I1240),1),W$4:W1644))-K1240),1,
ROUNDDOWN(Y1240-INDEX(K$4:K1644,MATCH(LARGE(FILTER(I$4:I1644,I$4:I1644&lt;=W1240),1),I$4:I1644))-(W1240-L"&amp;"ARGE(FILTER(I$4:I1644,I$4:I1644&lt;=W1240),1))*INDEX(F$4:F1644,MATCH(LARGE(FILTER(I$4:I1644,I$4:I1644&lt;=W1240),1),I$4:I1644))))"),"")</f>
        <v/>
      </c>
      <c r="N1240" s="60" t="str">
        <f t="shared" si="8"/>
        <v/>
      </c>
      <c r="O1240" s="61" t="str">
        <f t="shared" si="9"/>
        <v/>
      </c>
      <c r="P1240" s="56" t="str">
        <f t="shared" si="10"/>
        <v/>
      </c>
      <c r="Q1240" s="105"/>
      <c r="R1240" s="10"/>
      <c r="S1240" s="59" t="str">
        <f t="array" ref="S1240">IF(COUNTA(Q1240:Q1644)=0,"",SUM((COUNTIF(Q$4:Q1240,Upgrades!$B$3:$B$13)-COUNTIF(Q$4:Q1240,"Sell_"&amp;Upgrades!$B$3:$B$13))*Upgrades!$D$3:$D$13))</f>
        <v/>
      </c>
      <c r="T1240" s="66" t="str">
        <f>IFERROR(__xludf.DUMMYFUNCTION("IF(COUNTA(Q1240:Q1644)=0,"""",IF(REGEXMATCH(INDEX(FILTER(Q$4:Q1240,Q$4:Q1240&lt;&gt;""""),ROWS(FILTER(Q$4:Q1240,Q$4:Q1240&lt;&gt;""""))),""^Sell_""),INDEX(FILTER(T$4:T1239,Q$4:Q1239&lt;&gt;""""),ROWS(FILTER(Q$4:Q1239,Q$4:Q1239&lt;&gt;""""))),$AD$5+S1240))"),"")</f>
        <v/>
      </c>
      <c r="U1240" s="10" t="str">
        <f>IFERROR(__xludf.DUMMYFUNCTION("IF(COUNTA(Q1240:Q1644)=0,"""",IF(Q1240="""",0,IF(REGEXMATCH(Q1240,""^Sell_""),-ROUNDDOWN(ROUNDUP(INDEX(Upgrades!$C$3:$C$13,MATCH(SUBSTITUTE(Q1240,""Sell_"",""""),Upgrades!$B$3:$B$13,0))*1.15^(COUNTIF(Q$4:Q1239,SUBSTITUTE(Q1240,""Sell_"",""""))-COUNTIF(Q$4"&amp;":Q1239,""Sell_""&amp;SUBSTITUTE(Q1240,""Sell_"",""""))))/2),ROUNDUP(INDEX(Upgrades!$C$3:$C$13,MATCH(Q1240,Upgrades!$B$3:$B$13,0))*1.15^(COUNTIF(Q$4:Q1239,Q1240)-COUNTIF(Q$4:Q1239,""Sell_""&amp;Q1240))))))"),"")</f>
        <v/>
      </c>
      <c r="V1240" s="10" t="str">
        <f t="shared" si="11"/>
        <v/>
      </c>
      <c r="W1240" s="68" t="str">
        <f t="shared" si="12"/>
        <v/>
      </c>
      <c r="X1240" s="59" t="str">
        <f t="shared" si="13"/>
        <v/>
      </c>
      <c r="Y1240" s="69" t="str">
        <f t="shared" si="14"/>
        <v/>
      </c>
      <c r="Z1240" s="11"/>
      <c r="AG1240" s="59"/>
    </row>
    <row r="1241">
      <c r="A1241" s="8"/>
      <c r="B1241" s="56" t="str">
        <f t="shared" si="2"/>
        <v/>
      </c>
      <c r="C1241" s="105"/>
      <c r="D1241" s="10"/>
      <c r="E1241" s="59" t="str">
        <f t="array" ref="E1241">IF(COUNTA(C1241:C1644)=0,"",SUM((COUNTIF(C$4:C1241,Upgrades!$B$3:$B$13)-COUNTIF(C$4:C1241,"Sell_"&amp;Upgrades!$B$3:$B$13))*Upgrades!$D$3:$D$13))</f>
        <v/>
      </c>
      <c r="F1241" s="66" t="str">
        <f>IFERROR(__xludf.DUMMYFUNCTION("IF(COUNTA(C1241:C1644)=0,"""",IF(REGEXMATCH(INDEX(FILTER(C$4:C1241,C$4:C1241&lt;&gt;""""),ROWS(FILTER(C$4:C1241,C$4:C1241&lt;&gt;""""))),""^Sell_""),INDEX(FILTER(F$4:F1240,C$4:C1240&lt;&gt;""""),ROWS(FILTER(C$4:C1240,C$4:C1240&lt;&gt;""""))),$AC$5+E1241))"),"")</f>
        <v/>
      </c>
      <c r="G1241" s="10" t="str">
        <f>IFERROR(__xludf.DUMMYFUNCTION("IF(COUNTA(C1241:C1644)=0,"""",IF(C1241="""",0,IF(REGEXMATCH(C1241,""^Sell_""),-ROUNDDOWN(ROUNDUP(INDEX(Upgrades!$C$3:$C$13,MATCH(SUBSTITUTE(C1241,""Sell_"",""""),Upgrades!$B$3:$B$13,0))*1.15^(COUNTIF(C$4:C1240,SUBSTITUTE(C1241,""Sell_"",""""))-COUNTIF(C$4"&amp;":C1240,""Sell_""&amp;SUBSTITUTE(C1241,""Sell_"",""""))))/2),ROUNDUP(INDEX(Upgrades!$C$3:$C$13,MATCH(C1241,Upgrades!$B$3:$B$13,0))*1.15^(COUNTIF(C$4:C1240,C1241)-COUNTIF(C$4:C1240,""Sell_""&amp;C1241))))))"),"")</f>
        <v/>
      </c>
      <c r="H1241" s="10" t="str">
        <f t="shared" si="3"/>
        <v/>
      </c>
      <c r="I1241" s="68" t="str">
        <f t="shared" si="4"/>
        <v/>
      </c>
      <c r="J1241" s="59" t="str">
        <f t="shared" si="5"/>
        <v/>
      </c>
      <c r="K1241" s="69" t="str">
        <f t="shared" si="6"/>
        <v/>
      </c>
      <c r="L1241" s="60" t="str">
        <f t="shared" si="7"/>
        <v/>
      </c>
      <c r="M1241" s="61" t="str">
        <f>IFERROR(__xludf.DUMMYFUNCTION("IFS(AND(COUNTA(C1241:C1644)=0,COUNTA(Q1241:Q1644)=0),"""",OR(AND(K1241&gt;=1000000000,OR(Y1241&gt;=1000000000,COUNTA(Q1241:Q1644)=0)),OR(Y1241&gt;=1000000000,AND(COUNTA(C1241:C1644)=0,P$3=TRUE))),
ROUNDDOWN((AB$1-AC$1)*MAX(INDEX(T$4:T1644,MATCH(LARGE(FILTER(Y$4:Y1"&amp;"644,Y$4:Y1644&lt;1000000000),1),Y$4:Y1644)),INDEX(F$4:F1644,MATCH(LARGE(FILTER(K$4:K1644,K$4:K1644&lt;1000000000),1),K$4:K1644)))),AND(K1241&lt;1000000000,COUNTA(C1241:C1644)&gt;0,P$3=FALSE),
ROUNDDOWN(INDEX(Y$4:Y1644,MATCH(LARGE(FILTER(W$4:W1644,W$4:W1644&lt;=I1241),1)"&amp;",W$4:W1644))+(I1241-LARGE(FILTER(W$4:W1644,W$4:W1644&lt;=I1241),1))*INDEX(T$4:T1644,MATCH(LARGE(FILTER(W$4:W1644,W$4:W1644&lt;=I1241),1),W$4:W1644))-K1241),1,
ROUNDDOWN(Y1241-INDEX(K$4:K1644,MATCH(LARGE(FILTER(I$4:I1644,I$4:I1644&lt;=W1241),1),I$4:I1644))-(W1241-L"&amp;"ARGE(FILTER(I$4:I1644,I$4:I1644&lt;=W1241),1))*INDEX(F$4:F1644,MATCH(LARGE(FILTER(I$4:I1644,I$4:I1644&lt;=W1241),1),I$4:I1644))))"),"")</f>
        <v/>
      </c>
      <c r="N1241" s="60" t="str">
        <f t="shared" si="8"/>
        <v/>
      </c>
      <c r="O1241" s="61" t="str">
        <f t="shared" si="9"/>
        <v/>
      </c>
      <c r="P1241" s="56" t="str">
        <f t="shared" si="10"/>
        <v/>
      </c>
      <c r="Q1241" s="105"/>
      <c r="R1241" s="10"/>
      <c r="S1241" s="59" t="str">
        <f t="array" ref="S1241">IF(COUNTA(Q1241:Q1644)=0,"",SUM((COUNTIF(Q$4:Q1241,Upgrades!$B$3:$B$13)-COUNTIF(Q$4:Q1241,"Sell_"&amp;Upgrades!$B$3:$B$13))*Upgrades!$D$3:$D$13))</f>
        <v/>
      </c>
      <c r="T1241" s="66" t="str">
        <f>IFERROR(__xludf.DUMMYFUNCTION("IF(COUNTA(Q1241:Q1644)=0,"""",IF(REGEXMATCH(INDEX(FILTER(Q$4:Q1241,Q$4:Q1241&lt;&gt;""""),ROWS(FILTER(Q$4:Q1241,Q$4:Q1241&lt;&gt;""""))),""^Sell_""),INDEX(FILTER(T$4:T1240,Q$4:Q1240&lt;&gt;""""),ROWS(FILTER(Q$4:Q1240,Q$4:Q1240&lt;&gt;""""))),$AD$5+S1241))"),"")</f>
        <v/>
      </c>
      <c r="U1241" s="10" t="str">
        <f>IFERROR(__xludf.DUMMYFUNCTION("IF(COUNTA(Q1241:Q1644)=0,"""",IF(Q1241="""",0,IF(REGEXMATCH(Q1241,""^Sell_""),-ROUNDDOWN(ROUNDUP(INDEX(Upgrades!$C$3:$C$13,MATCH(SUBSTITUTE(Q1241,""Sell_"",""""),Upgrades!$B$3:$B$13,0))*1.15^(COUNTIF(Q$4:Q1240,SUBSTITUTE(Q1241,""Sell_"",""""))-COUNTIF(Q$4"&amp;":Q1240,""Sell_""&amp;SUBSTITUTE(Q1241,""Sell_"",""""))))/2),ROUNDUP(INDEX(Upgrades!$C$3:$C$13,MATCH(Q1241,Upgrades!$B$3:$B$13,0))*1.15^(COUNTIF(Q$4:Q1240,Q1241)-COUNTIF(Q$4:Q1240,""Sell_""&amp;Q1241))))))"),"")</f>
        <v/>
      </c>
      <c r="V1241" s="10" t="str">
        <f t="shared" si="11"/>
        <v/>
      </c>
      <c r="W1241" s="68" t="str">
        <f t="shared" si="12"/>
        <v/>
      </c>
      <c r="X1241" s="59" t="str">
        <f t="shared" si="13"/>
        <v/>
      </c>
      <c r="Y1241" s="69" t="str">
        <f t="shared" si="14"/>
        <v/>
      </c>
      <c r="Z1241" s="11"/>
      <c r="AG1241" s="59"/>
    </row>
    <row r="1242">
      <c r="A1242" s="8"/>
      <c r="B1242" s="56" t="str">
        <f t="shared" si="2"/>
        <v/>
      </c>
      <c r="C1242" s="105"/>
      <c r="D1242" s="10"/>
      <c r="E1242" s="59" t="str">
        <f t="array" ref="E1242">IF(COUNTA(C1242:C1644)=0,"",SUM((COUNTIF(C$4:C1242,Upgrades!$B$3:$B$13)-COUNTIF(C$4:C1242,"Sell_"&amp;Upgrades!$B$3:$B$13))*Upgrades!$D$3:$D$13))</f>
        <v/>
      </c>
      <c r="F1242" s="66" t="str">
        <f>IFERROR(__xludf.DUMMYFUNCTION("IF(COUNTA(C1242:C1644)=0,"""",IF(REGEXMATCH(INDEX(FILTER(C$4:C1242,C$4:C1242&lt;&gt;""""),ROWS(FILTER(C$4:C1242,C$4:C1242&lt;&gt;""""))),""^Sell_""),INDEX(FILTER(F$4:F1241,C$4:C1241&lt;&gt;""""),ROWS(FILTER(C$4:C1241,C$4:C1241&lt;&gt;""""))),$AC$5+E1242))"),"")</f>
        <v/>
      </c>
      <c r="G1242" s="10" t="str">
        <f>IFERROR(__xludf.DUMMYFUNCTION("IF(COUNTA(C1242:C1644)=0,"""",IF(C1242="""",0,IF(REGEXMATCH(C1242,""^Sell_""),-ROUNDDOWN(ROUNDUP(INDEX(Upgrades!$C$3:$C$13,MATCH(SUBSTITUTE(C1242,""Sell_"",""""),Upgrades!$B$3:$B$13,0))*1.15^(COUNTIF(C$4:C1241,SUBSTITUTE(C1242,""Sell_"",""""))-COUNTIF(C$4"&amp;":C1241,""Sell_""&amp;SUBSTITUTE(C1242,""Sell_"",""""))))/2),ROUNDUP(INDEX(Upgrades!$C$3:$C$13,MATCH(C1242,Upgrades!$B$3:$B$13,0))*1.15^(COUNTIF(C$4:C1241,C1242)-COUNTIF(C$4:C1241,""Sell_""&amp;C1242))))))"),"")</f>
        <v/>
      </c>
      <c r="H1242" s="10" t="str">
        <f t="shared" si="3"/>
        <v/>
      </c>
      <c r="I1242" s="68" t="str">
        <f t="shared" si="4"/>
        <v/>
      </c>
      <c r="J1242" s="59" t="str">
        <f t="shared" si="5"/>
        <v/>
      </c>
      <c r="K1242" s="69" t="str">
        <f t="shared" si="6"/>
        <v/>
      </c>
      <c r="L1242" s="60" t="str">
        <f t="shared" si="7"/>
        <v/>
      </c>
      <c r="M1242" s="61" t="str">
        <f>IFERROR(__xludf.DUMMYFUNCTION("IFS(AND(COUNTA(C1242:C1644)=0,COUNTA(Q1242:Q1644)=0),"""",OR(AND(K1242&gt;=1000000000,OR(Y1242&gt;=1000000000,COUNTA(Q1242:Q1644)=0)),OR(Y1242&gt;=1000000000,AND(COUNTA(C1242:C1644)=0,P$3=TRUE))),
ROUNDDOWN((AB$1-AC$1)*MAX(INDEX(T$4:T1644,MATCH(LARGE(FILTER(Y$4:Y1"&amp;"644,Y$4:Y1644&lt;1000000000),1),Y$4:Y1644)),INDEX(F$4:F1644,MATCH(LARGE(FILTER(K$4:K1644,K$4:K1644&lt;1000000000),1),K$4:K1644)))),AND(K1242&lt;1000000000,COUNTA(C1242:C1644)&gt;0,P$3=FALSE),
ROUNDDOWN(INDEX(Y$4:Y1644,MATCH(LARGE(FILTER(W$4:W1644,W$4:W1644&lt;=I1242),1)"&amp;",W$4:W1644))+(I1242-LARGE(FILTER(W$4:W1644,W$4:W1644&lt;=I1242),1))*INDEX(T$4:T1644,MATCH(LARGE(FILTER(W$4:W1644,W$4:W1644&lt;=I1242),1),W$4:W1644))-K1242),1,
ROUNDDOWN(Y1242-INDEX(K$4:K1644,MATCH(LARGE(FILTER(I$4:I1644,I$4:I1644&lt;=W1242),1),I$4:I1644))-(W1242-L"&amp;"ARGE(FILTER(I$4:I1644,I$4:I1644&lt;=W1242),1))*INDEX(F$4:F1644,MATCH(LARGE(FILTER(I$4:I1644,I$4:I1644&lt;=W1242),1),I$4:I1644))))"),"")</f>
        <v/>
      </c>
      <c r="N1242" s="60" t="str">
        <f t="shared" si="8"/>
        <v/>
      </c>
      <c r="O1242" s="61" t="str">
        <f t="shared" si="9"/>
        <v/>
      </c>
      <c r="P1242" s="56" t="str">
        <f t="shared" si="10"/>
        <v/>
      </c>
      <c r="Q1242" s="105"/>
      <c r="R1242" s="10"/>
      <c r="S1242" s="59" t="str">
        <f t="array" ref="S1242">IF(COUNTA(Q1242:Q1644)=0,"",SUM((COUNTIF(Q$4:Q1242,Upgrades!$B$3:$B$13)-COUNTIF(Q$4:Q1242,"Sell_"&amp;Upgrades!$B$3:$B$13))*Upgrades!$D$3:$D$13))</f>
        <v/>
      </c>
      <c r="T1242" s="66" t="str">
        <f>IFERROR(__xludf.DUMMYFUNCTION("IF(COUNTA(Q1242:Q1644)=0,"""",IF(REGEXMATCH(INDEX(FILTER(Q$4:Q1242,Q$4:Q1242&lt;&gt;""""),ROWS(FILTER(Q$4:Q1242,Q$4:Q1242&lt;&gt;""""))),""^Sell_""),INDEX(FILTER(T$4:T1241,Q$4:Q1241&lt;&gt;""""),ROWS(FILTER(Q$4:Q1241,Q$4:Q1241&lt;&gt;""""))),$AD$5+S1242))"),"")</f>
        <v/>
      </c>
      <c r="U1242" s="10" t="str">
        <f>IFERROR(__xludf.DUMMYFUNCTION("IF(COUNTA(Q1242:Q1644)=0,"""",IF(Q1242="""",0,IF(REGEXMATCH(Q1242,""^Sell_""),-ROUNDDOWN(ROUNDUP(INDEX(Upgrades!$C$3:$C$13,MATCH(SUBSTITUTE(Q1242,""Sell_"",""""),Upgrades!$B$3:$B$13,0))*1.15^(COUNTIF(Q$4:Q1241,SUBSTITUTE(Q1242,""Sell_"",""""))-COUNTIF(Q$4"&amp;":Q1241,""Sell_""&amp;SUBSTITUTE(Q1242,""Sell_"",""""))))/2),ROUNDUP(INDEX(Upgrades!$C$3:$C$13,MATCH(Q1242,Upgrades!$B$3:$B$13,0))*1.15^(COUNTIF(Q$4:Q1241,Q1242)-COUNTIF(Q$4:Q1241,""Sell_""&amp;Q1242))))))"),"")</f>
        <v/>
      </c>
      <c r="V1242" s="10" t="str">
        <f t="shared" si="11"/>
        <v/>
      </c>
      <c r="W1242" s="68" t="str">
        <f t="shared" si="12"/>
        <v/>
      </c>
      <c r="X1242" s="59" t="str">
        <f t="shared" si="13"/>
        <v/>
      </c>
      <c r="Y1242" s="69" t="str">
        <f t="shared" si="14"/>
        <v/>
      </c>
      <c r="Z1242" s="11"/>
      <c r="AG1242" s="59"/>
    </row>
    <row r="1243">
      <c r="A1243" s="8"/>
      <c r="B1243" s="56" t="str">
        <f t="shared" si="2"/>
        <v/>
      </c>
      <c r="C1243" s="105"/>
      <c r="D1243" s="10"/>
      <c r="E1243" s="59" t="str">
        <f t="array" ref="E1243">IF(COUNTA(C1243:C1644)=0,"",SUM((COUNTIF(C$4:C1243,Upgrades!$B$3:$B$13)-COUNTIF(C$4:C1243,"Sell_"&amp;Upgrades!$B$3:$B$13))*Upgrades!$D$3:$D$13))</f>
        <v/>
      </c>
      <c r="F1243" s="66" t="str">
        <f>IFERROR(__xludf.DUMMYFUNCTION("IF(COUNTA(C1243:C1644)=0,"""",IF(REGEXMATCH(INDEX(FILTER(C$4:C1243,C$4:C1243&lt;&gt;""""),ROWS(FILTER(C$4:C1243,C$4:C1243&lt;&gt;""""))),""^Sell_""),INDEX(FILTER(F$4:F1242,C$4:C1242&lt;&gt;""""),ROWS(FILTER(C$4:C1242,C$4:C1242&lt;&gt;""""))),$AC$5+E1243))"),"")</f>
        <v/>
      </c>
      <c r="G1243" s="10" t="str">
        <f>IFERROR(__xludf.DUMMYFUNCTION("IF(COUNTA(C1243:C1644)=0,"""",IF(C1243="""",0,IF(REGEXMATCH(C1243,""^Sell_""),-ROUNDDOWN(ROUNDUP(INDEX(Upgrades!$C$3:$C$13,MATCH(SUBSTITUTE(C1243,""Sell_"",""""),Upgrades!$B$3:$B$13,0))*1.15^(COUNTIF(C$4:C1242,SUBSTITUTE(C1243,""Sell_"",""""))-COUNTIF(C$4"&amp;":C1242,""Sell_""&amp;SUBSTITUTE(C1243,""Sell_"",""""))))/2),ROUNDUP(INDEX(Upgrades!$C$3:$C$13,MATCH(C1243,Upgrades!$B$3:$B$13,0))*1.15^(COUNTIF(C$4:C1242,C1243)-COUNTIF(C$4:C1242,""Sell_""&amp;C1243))))))"),"")</f>
        <v/>
      </c>
      <c r="H1243" s="10" t="str">
        <f t="shared" si="3"/>
        <v/>
      </c>
      <c r="I1243" s="68" t="str">
        <f t="shared" si="4"/>
        <v/>
      </c>
      <c r="J1243" s="59" t="str">
        <f t="shared" si="5"/>
        <v/>
      </c>
      <c r="K1243" s="69" t="str">
        <f t="shared" si="6"/>
        <v/>
      </c>
      <c r="L1243" s="60" t="str">
        <f t="shared" si="7"/>
        <v/>
      </c>
      <c r="M1243" s="61" t="str">
        <f>IFERROR(__xludf.DUMMYFUNCTION("IFS(AND(COUNTA(C1243:C1644)=0,COUNTA(Q1243:Q1644)=0),"""",OR(AND(K1243&gt;=1000000000,OR(Y1243&gt;=1000000000,COUNTA(Q1243:Q1644)=0)),OR(Y1243&gt;=1000000000,AND(COUNTA(C1243:C1644)=0,P$3=TRUE))),
ROUNDDOWN((AB$1-AC$1)*MAX(INDEX(T$4:T1644,MATCH(LARGE(FILTER(Y$4:Y1"&amp;"644,Y$4:Y1644&lt;1000000000),1),Y$4:Y1644)),INDEX(F$4:F1644,MATCH(LARGE(FILTER(K$4:K1644,K$4:K1644&lt;1000000000),1),K$4:K1644)))),AND(K1243&lt;1000000000,COUNTA(C1243:C1644)&gt;0,P$3=FALSE),
ROUNDDOWN(INDEX(Y$4:Y1644,MATCH(LARGE(FILTER(W$4:W1644,W$4:W1644&lt;=I1243),1)"&amp;",W$4:W1644))+(I1243-LARGE(FILTER(W$4:W1644,W$4:W1644&lt;=I1243),1))*INDEX(T$4:T1644,MATCH(LARGE(FILTER(W$4:W1644,W$4:W1644&lt;=I1243),1),W$4:W1644))-K1243),1,
ROUNDDOWN(Y1243-INDEX(K$4:K1644,MATCH(LARGE(FILTER(I$4:I1644,I$4:I1644&lt;=W1243),1),I$4:I1644))-(W1243-L"&amp;"ARGE(FILTER(I$4:I1644,I$4:I1644&lt;=W1243),1))*INDEX(F$4:F1644,MATCH(LARGE(FILTER(I$4:I1644,I$4:I1644&lt;=W1243),1),I$4:I1644))))"),"")</f>
        <v/>
      </c>
      <c r="N1243" s="60" t="str">
        <f t="shared" si="8"/>
        <v/>
      </c>
      <c r="O1243" s="61" t="str">
        <f t="shared" si="9"/>
        <v/>
      </c>
      <c r="P1243" s="56" t="str">
        <f t="shared" si="10"/>
        <v/>
      </c>
      <c r="Q1243" s="105"/>
      <c r="R1243" s="10"/>
      <c r="S1243" s="59" t="str">
        <f t="array" ref="S1243">IF(COUNTA(Q1243:Q1644)=0,"",SUM((COUNTIF(Q$4:Q1243,Upgrades!$B$3:$B$13)-COUNTIF(Q$4:Q1243,"Sell_"&amp;Upgrades!$B$3:$B$13))*Upgrades!$D$3:$D$13))</f>
        <v/>
      </c>
      <c r="T1243" s="66" t="str">
        <f>IFERROR(__xludf.DUMMYFUNCTION("IF(COUNTA(Q1243:Q1644)=0,"""",IF(REGEXMATCH(INDEX(FILTER(Q$4:Q1243,Q$4:Q1243&lt;&gt;""""),ROWS(FILTER(Q$4:Q1243,Q$4:Q1243&lt;&gt;""""))),""^Sell_""),INDEX(FILTER(T$4:T1242,Q$4:Q1242&lt;&gt;""""),ROWS(FILTER(Q$4:Q1242,Q$4:Q1242&lt;&gt;""""))),$AD$5+S1243))"),"")</f>
        <v/>
      </c>
      <c r="U1243" s="10" t="str">
        <f>IFERROR(__xludf.DUMMYFUNCTION("IF(COUNTA(Q1243:Q1644)=0,"""",IF(Q1243="""",0,IF(REGEXMATCH(Q1243,""^Sell_""),-ROUNDDOWN(ROUNDUP(INDEX(Upgrades!$C$3:$C$13,MATCH(SUBSTITUTE(Q1243,""Sell_"",""""),Upgrades!$B$3:$B$13,0))*1.15^(COUNTIF(Q$4:Q1242,SUBSTITUTE(Q1243,""Sell_"",""""))-COUNTIF(Q$4"&amp;":Q1242,""Sell_""&amp;SUBSTITUTE(Q1243,""Sell_"",""""))))/2),ROUNDUP(INDEX(Upgrades!$C$3:$C$13,MATCH(Q1243,Upgrades!$B$3:$B$13,0))*1.15^(COUNTIF(Q$4:Q1242,Q1243)-COUNTIF(Q$4:Q1242,""Sell_""&amp;Q1243))))))"),"")</f>
        <v/>
      </c>
      <c r="V1243" s="10" t="str">
        <f t="shared" si="11"/>
        <v/>
      </c>
      <c r="W1243" s="68" t="str">
        <f t="shared" si="12"/>
        <v/>
      </c>
      <c r="X1243" s="59" t="str">
        <f t="shared" si="13"/>
        <v/>
      </c>
      <c r="Y1243" s="69" t="str">
        <f t="shared" si="14"/>
        <v/>
      </c>
      <c r="Z1243" s="11"/>
      <c r="AG1243" s="59"/>
    </row>
    <row r="1244">
      <c r="A1244" s="8"/>
      <c r="B1244" s="56" t="str">
        <f t="shared" si="2"/>
        <v/>
      </c>
      <c r="C1244" s="105"/>
      <c r="D1244" s="10"/>
      <c r="E1244" s="59" t="str">
        <f t="array" ref="E1244">IF(COUNTA(C1244:C1644)=0,"",SUM((COUNTIF(C$4:C1244,Upgrades!$B$3:$B$13)-COUNTIF(C$4:C1244,"Sell_"&amp;Upgrades!$B$3:$B$13))*Upgrades!$D$3:$D$13))</f>
        <v/>
      </c>
      <c r="F1244" s="66" t="str">
        <f>IFERROR(__xludf.DUMMYFUNCTION("IF(COUNTA(C1244:C1644)=0,"""",IF(REGEXMATCH(INDEX(FILTER(C$4:C1244,C$4:C1244&lt;&gt;""""),ROWS(FILTER(C$4:C1244,C$4:C1244&lt;&gt;""""))),""^Sell_""),INDEX(FILTER(F$4:F1243,C$4:C1243&lt;&gt;""""),ROWS(FILTER(C$4:C1243,C$4:C1243&lt;&gt;""""))),$AC$5+E1244))"),"")</f>
        <v/>
      </c>
      <c r="G1244" s="10" t="str">
        <f>IFERROR(__xludf.DUMMYFUNCTION("IF(COUNTA(C1244:C1644)=0,"""",IF(C1244="""",0,IF(REGEXMATCH(C1244,""^Sell_""),-ROUNDDOWN(ROUNDUP(INDEX(Upgrades!$C$3:$C$13,MATCH(SUBSTITUTE(C1244,""Sell_"",""""),Upgrades!$B$3:$B$13,0))*1.15^(COUNTIF(C$4:C1243,SUBSTITUTE(C1244,""Sell_"",""""))-COUNTIF(C$4"&amp;":C1243,""Sell_""&amp;SUBSTITUTE(C1244,""Sell_"",""""))))/2),ROUNDUP(INDEX(Upgrades!$C$3:$C$13,MATCH(C1244,Upgrades!$B$3:$B$13,0))*1.15^(COUNTIF(C$4:C1243,C1244)-COUNTIF(C$4:C1243,""Sell_""&amp;C1244))))))"),"")</f>
        <v/>
      </c>
      <c r="H1244" s="10" t="str">
        <f t="shared" si="3"/>
        <v/>
      </c>
      <c r="I1244" s="68" t="str">
        <f t="shared" si="4"/>
        <v/>
      </c>
      <c r="J1244" s="59" t="str">
        <f t="shared" si="5"/>
        <v/>
      </c>
      <c r="K1244" s="69" t="str">
        <f t="shared" si="6"/>
        <v/>
      </c>
      <c r="L1244" s="60" t="str">
        <f t="shared" si="7"/>
        <v/>
      </c>
      <c r="M1244" s="61" t="str">
        <f>IFERROR(__xludf.DUMMYFUNCTION("IFS(AND(COUNTA(C1244:C1644)=0,COUNTA(Q1244:Q1644)=0),"""",OR(AND(K1244&gt;=1000000000,OR(Y1244&gt;=1000000000,COUNTA(Q1244:Q1644)=0)),OR(Y1244&gt;=1000000000,AND(COUNTA(C1244:C1644)=0,P$3=TRUE))),
ROUNDDOWN((AB$1-AC$1)*MAX(INDEX(T$4:T1644,MATCH(LARGE(FILTER(Y$4:Y1"&amp;"644,Y$4:Y1644&lt;1000000000),1),Y$4:Y1644)),INDEX(F$4:F1644,MATCH(LARGE(FILTER(K$4:K1644,K$4:K1644&lt;1000000000),1),K$4:K1644)))),AND(K1244&lt;1000000000,COUNTA(C1244:C1644)&gt;0,P$3=FALSE),
ROUNDDOWN(INDEX(Y$4:Y1644,MATCH(LARGE(FILTER(W$4:W1644,W$4:W1644&lt;=I1244),1)"&amp;",W$4:W1644))+(I1244-LARGE(FILTER(W$4:W1644,W$4:W1644&lt;=I1244),1))*INDEX(T$4:T1644,MATCH(LARGE(FILTER(W$4:W1644,W$4:W1644&lt;=I1244),1),W$4:W1644))-K1244),1,
ROUNDDOWN(Y1244-INDEX(K$4:K1644,MATCH(LARGE(FILTER(I$4:I1644,I$4:I1644&lt;=W1244),1),I$4:I1644))-(W1244-L"&amp;"ARGE(FILTER(I$4:I1644,I$4:I1644&lt;=W1244),1))*INDEX(F$4:F1644,MATCH(LARGE(FILTER(I$4:I1644,I$4:I1644&lt;=W1244),1),I$4:I1644))))"),"")</f>
        <v/>
      </c>
      <c r="N1244" s="60" t="str">
        <f t="shared" si="8"/>
        <v/>
      </c>
      <c r="O1244" s="61" t="str">
        <f t="shared" si="9"/>
        <v/>
      </c>
      <c r="P1244" s="56" t="str">
        <f t="shared" si="10"/>
        <v/>
      </c>
      <c r="Q1244" s="105"/>
      <c r="R1244" s="10"/>
      <c r="S1244" s="59" t="str">
        <f t="array" ref="S1244">IF(COUNTA(Q1244:Q1644)=0,"",SUM((COUNTIF(Q$4:Q1244,Upgrades!$B$3:$B$13)-COUNTIF(Q$4:Q1244,"Sell_"&amp;Upgrades!$B$3:$B$13))*Upgrades!$D$3:$D$13))</f>
        <v/>
      </c>
      <c r="T1244" s="66" t="str">
        <f>IFERROR(__xludf.DUMMYFUNCTION("IF(COUNTA(Q1244:Q1644)=0,"""",IF(REGEXMATCH(INDEX(FILTER(Q$4:Q1244,Q$4:Q1244&lt;&gt;""""),ROWS(FILTER(Q$4:Q1244,Q$4:Q1244&lt;&gt;""""))),""^Sell_""),INDEX(FILTER(T$4:T1243,Q$4:Q1243&lt;&gt;""""),ROWS(FILTER(Q$4:Q1243,Q$4:Q1243&lt;&gt;""""))),$AD$5+S1244))"),"")</f>
        <v/>
      </c>
      <c r="U1244" s="10" t="str">
        <f>IFERROR(__xludf.DUMMYFUNCTION("IF(COUNTA(Q1244:Q1644)=0,"""",IF(Q1244="""",0,IF(REGEXMATCH(Q1244,""^Sell_""),-ROUNDDOWN(ROUNDUP(INDEX(Upgrades!$C$3:$C$13,MATCH(SUBSTITUTE(Q1244,""Sell_"",""""),Upgrades!$B$3:$B$13,0))*1.15^(COUNTIF(Q$4:Q1243,SUBSTITUTE(Q1244,""Sell_"",""""))-COUNTIF(Q$4"&amp;":Q1243,""Sell_""&amp;SUBSTITUTE(Q1244,""Sell_"",""""))))/2),ROUNDUP(INDEX(Upgrades!$C$3:$C$13,MATCH(Q1244,Upgrades!$B$3:$B$13,0))*1.15^(COUNTIF(Q$4:Q1243,Q1244)-COUNTIF(Q$4:Q1243,""Sell_""&amp;Q1244))))))"),"")</f>
        <v/>
      </c>
      <c r="V1244" s="10" t="str">
        <f t="shared" si="11"/>
        <v/>
      </c>
      <c r="W1244" s="68" t="str">
        <f t="shared" si="12"/>
        <v/>
      </c>
      <c r="X1244" s="59" t="str">
        <f t="shared" si="13"/>
        <v/>
      </c>
      <c r="Y1244" s="69" t="str">
        <f t="shared" si="14"/>
        <v/>
      </c>
      <c r="Z1244" s="11"/>
      <c r="AG1244" s="59"/>
    </row>
    <row r="1245">
      <c r="A1245" s="8"/>
      <c r="B1245" s="56" t="str">
        <f t="shared" si="2"/>
        <v/>
      </c>
      <c r="C1245" s="105"/>
      <c r="D1245" s="10"/>
      <c r="E1245" s="59" t="str">
        <f t="array" ref="E1245">IF(COUNTA(C1245:C1644)=0,"",SUM((COUNTIF(C$4:C1245,Upgrades!$B$3:$B$13)-COUNTIF(C$4:C1245,"Sell_"&amp;Upgrades!$B$3:$B$13))*Upgrades!$D$3:$D$13))</f>
        <v/>
      </c>
      <c r="F1245" s="66" t="str">
        <f>IFERROR(__xludf.DUMMYFUNCTION("IF(COUNTA(C1245:C1644)=0,"""",IF(REGEXMATCH(INDEX(FILTER(C$4:C1245,C$4:C1245&lt;&gt;""""),ROWS(FILTER(C$4:C1245,C$4:C1245&lt;&gt;""""))),""^Sell_""),INDEX(FILTER(F$4:F1244,C$4:C1244&lt;&gt;""""),ROWS(FILTER(C$4:C1244,C$4:C1244&lt;&gt;""""))),$AC$5+E1245))"),"")</f>
        <v/>
      </c>
      <c r="G1245" s="10" t="str">
        <f>IFERROR(__xludf.DUMMYFUNCTION("IF(COUNTA(C1245:C1644)=0,"""",IF(C1245="""",0,IF(REGEXMATCH(C1245,""^Sell_""),-ROUNDDOWN(ROUNDUP(INDEX(Upgrades!$C$3:$C$13,MATCH(SUBSTITUTE(C1245,""Sell_"",""""),Upgrades!$B$3:$B$13,0))*1.15^(COUNTIF(C$4:C1244,SUBSTITUTE(C1245,""Sell_"",""""))-COUNTIF(C$4"&amp;":C1244,""Sell_""&amp;SUBSTITUTE(C1245,""Sell_"",""""))))/2),ROUNDUP(INDEX(Upgrades!$C$3:$C$13,MATCH(C1245,Upgrades!$B$3:$B$13,0))*1.15^(COUNTIF(C$4:C1244,C1245)-COUNTIF(C$4:C1244,""Sell_""&amp;C1245))))))"),"")</f>
        <v/>
      </c>
      <c r="H1245" s="10" t="str">
        <f t="shared" si="3"/>
        <v/>
      </c>
      <c r="I1245" s="68" t="str">
        <f t="shared" si="4"/>
        <v/>
      </c>
      <c r="J1245" s="59" t="str">
        <f t="shared" si="5"/>
        <v/>
      </c>
      <c r="K1245" s="69" t="str">
        <f t="shared" si="6"/>
        <v/>
      </c>
      <c r="L1245" s="60" t="str">
        <f t="shared" si="7"/>
        <v/>
      </c>
      <c r="M1245" s="61" t="str">
        <f>IFERROR(__xludf.DUMMYFUNCTION("IFS(AND(COUNTA(C1245:C1644)=0,COUNTA(Q1245:Q1644)=0),"""",OR(AND(K1245&gt;=1000000000,OR(Y1245&gt;=1000000000,COUNTA(Q1245:Q1644)=0)),OR(Y1245&gt;=1000000000,AND(COUNTA(C1245:C1644)=0,P$3=TRUE))),
ROUNDDOWN((AB$1-AC$1)*MAX(INDEX(T$4:T1644,MATCH(LARGE(FILTER(Y$4:Y1"&amp;"644,Y$4:Y1644&lt;1000000000),1),Y$4:Y1644)),INDEX(F$4:F1644,MATCH(LARGE(FILTER(K$4:K1644,K$4:K1644&lt;1000000000),1),K$4:K1644)))),AND(K1245&lt;1000000000,COUNTA(C1245:C1644)&gt;0,P$3=FALSE),
ROUNDDOWN(INDEX(Y$4:Y1644,MATCH(LARGE(FILTER(W$4:W1644,W$4:W1644&lt;=I1245),1)"&amp;",W$4:W1644))+(I1245-LARGE(FILTER(W$4:W1644,W$4:W1644&lt;=I1245),1))*INDEX(T$4:T1644,MATCH(LARGE(FILTER(W$4:W1644,W$4:W1644&lt;=I1245),1),W$4:W1644))-K1245),1,
ROUNDDOWN(Y1245-INDEX(K$4:K1644,MATCH(LARGE(FILTER(I$4:I1644,I$4:I1644&lt;=W1245),1),I$4:I1644))-(W1245-L"&amp;"ARGE(FILTER(I$4:I1644,I$4:I1644&lt;=W1245),1))*INDEX(F$4:F1644,MATCH(LARGE(FILTER(I$4:I1644,I$4:I1644&lt;=W1245),1),I$4:I1644))))"),"")</f>
        <v/>
      </c>
      <c r="N1245" s="60" t="str">
        <f t="shared" si="8"/>
        <v/>
      </c>
      <c r="O1245" s="61" t="str">
        <f t="shared" si="9"/>
        <v/>
      </c>
      <c r="P1245" s="56" t="str">
        <f t="shared" si="10"/>
        <v/>
      </c>
      <c r="Q1245" s="105"/>
      <c r="R1245" s="10"/>
      <c r="S1245" s="59" t="str">
        <f t="array" ref="S1245">IF(COUNTA(Q1245:Q1644)=0,"",SUM((COUNTIF(Q$4:Q1245,Upgrades!$B$3:$B$13)-COUNTIF(Q$4:Q1245,"Sell_"&amp;Upgrades!$B$3:$B$13))*Upgrades!$D$3:$D$13))</f>
        <v/>
      </c>
      <c r="T1245" s="66" t="str">
        <f>IFERROR(__xludf.DUMMYFUNCTION("IF(COUNTA(Q1245:Q1644)=0,"""",IF(REGEXMATCH(INDEX(FILTER(Q$4:Q1245,Q$4:Q1245&lt;&gt;""""),ROWS(FILTER(Q$4:Q1245,Q$4:Q1245&lt;&gt;""""))),""^Sell_""),INDEX(FILTER(T$4:T1244,Q$4:Q1244&lt;&gt;""""),ROWS(FILTER(Q$4:Q1244,Q$4:Q1244&lt;&gt;""""))),$AD$5+S1245))"),"")</f>
        <v/>
      </c>
      <c r="U1245" s="10" t="str">
        <f>IFERROR(__xludf.DUMMYFUNCTION("IF(COUNTA(Q1245:Q1644)=0,"""",IF(Q1245="""",0,IF(REGEXMATCH(Q1245,""^Sell_""),-ROUNDDOWN(ROUNDUP(INDEX(Upgrades!$C$3:$C$13,MATCH(SUBSTITUTE(Q1245,""Sell_"",""""),Upgrades!$B$3:$B$13,0))*1.15^(COUNTIF(Q$4:Q1244,SUBSTITUTE(Q1245,""Sell_"",""""))-COUNTIF(Q$4"&amp;":Q1244,""Sell_""&amp;SUBSTITUTE(Q1245,""Sell_"",""""))))/2),ROUNDUP(INDEX(Upgrades!$C$3:$C$13,MATCH(Q1245,Upgrades!$B$3:$B$13,0))*1.15^(COUNTIF(Q$4:Q1244,Q1245)-COUNTIF(Q$4:Q1244,""Sell_""&amp;Q1245))))))"),"")</f>
        <v/>
      </c>
      <c r="V1245" s="10" t="str">
        <f t="shared" si="11"/>
        <v/>
      </c>
      <c r="W1245" s="68" t="str">
        <f t="shared" si="12"/>
        <v/>
      </c>
      <c r="X1245" s="59" t="str">
        <f t="shared" si="13"/>
        <v/>
      </c>
      <c r="Y1245" s="69" t="str">
        <f t="shared" si="14"/>
        <v/>
      </c>
      <c r="Z1245" s="11"/>
      <c r="AG1245" s="59"/>
    </row>
    <row r="1246">
      <c r="A1246" s="8"/>
      <c r="B1246" s="56" t="str">
        <f t="shared" si="2"/>
        <v/>
      </c>
      <c r="C1246" s="105"/>
      <c r="D1246" s="10"/>
      <c r="E1246" s="59" t="str">
        <f t="array" ref="E1246">IF(COUNTA(C1246:C1644)=0,"",SUM((COUNTIF(C$4:C1246,Upgrades!$B$3:$B$13)-COUNTIF(C$4:C1246,"Sell_"&amp;Upgrades!$B$3:$B$13))*Upgrades!$D$3:$D$13))</f>
        <v/>
      </c>
      <c r="F1246" s="66" t="str">
        <f>IFERROR(__xludf.DUMMYFUNCTION("IF(COUNTA(C1246:C1644)=0,"""",IF(REGEXMATCH(INDEX(FILTER(C$4:C1246,C$4:C1246&lt;&gt;""""),ROWS(FILTER(C$4:C1246,C$4:C1246&lt;&gt;""""))),""^Sell_""),INDEX(FILTER(F$4:F1245,C$4:C1245&lt;&gt;""""),ROWS(FILTER(C$4:C1245,C$4:C1245&lt;&gt;""""))),$AC$5+E1246))"),"")</f>
        <v/>
      </c>
      <c r="G1246" s="10" t="str">
        <f>IFERROR(__xludf.DUMMYFUNCTION("IF(COUNTA(C1246:C1644)=0,"""",IF(C1246="""",0,IF(REGEXMATCH(C1246,""^Sell_""),-ROUNDDOWN(ROUNDUP(INDEX(Upgrades!$C$3:$C$13,MATCH(SUBSTITUTE(C1246,""Sell_"",""""),Upgrades!$B$3:$B$13,0))*1.15^(COUNTIF(C$4:C1245,SUBSTITUTE(C1246,""Sell_"",""""))-COUNTIF(C$4"&amp;":C1245,""Sell_""&amp;SUBSTITUTE(C1246,""Sell_"",""""))))/2),ROUNDUP(INDEX(Upgrades!$C$3:$C$13,MATCH(C1246,Upgrades!$B$3:$B$13,0))*1.15^(COUNTIF(C$4:C1245,C1246)-COUNTIF(C$4:C1245,""Sell_""&amp;C1246))))))"),"")</f>
        <v/>
      </c>
      <c r="H1246" s="10" t="str">
        <f t="shared" si="3"/>
        <v/>
      </c>
      <c r="I1246" s="68" t="str">
        <f t="shared" si="4"/>
        <v/>
      </c>
      <c r="J1246" s="59" t="str">
        <f t="shared" si="5"/>
        <v/>
      </c>
      <c r="K1246" s="69" t="str">
        <f t="shared" si="6"/>
        <v/>
      </c>
      <c r="L1246" s="60" t="str">
        <f t="shared" si="7"/>
        <v/>
      </c>
      <c r="M1246" s="61" t="str">
        <f>IFERROR(__xludf.DUMMYFUNCTION("IFS(AND(COUNTA(C1246:C1644)=0,COUNTA(Q1246:Q1644)=0),"""",OR(AND(K1246&gt;=1000000000,OR(Y1246&gt;=1000000000,COUNTA(Q1246:Q1644)=0)),OR(Y1246&gt;=1000000000,AND(COUNTA(C1246:C1644)=0,P$3=TRUE))),
ROUNDDOWN((AB$1-AC$1)*MAX(INDEX(T$4:T1644,MATCH(LARGE(FILTER(Y$4:Y1"&amp;"644,Y$4:Y1644&lt;1000000000),1),Y$4:Y1644)),INDEX(F$4:F1644,MATCH(LARGE(FILTER(K$4:K1644,K$4:K1644&lt;1000000000),1),K$4:K1644)))),AND(K1246&lt;1000000000,COUNTA(C1246:C1644)&gt;0,P$3=FALSE),
ROUNDDOWN(INDEX(Y$4:Y1644,MATCH(LARGE(FILTER(W$4:W1644,W$4:W1644&lt;=I1246),1)"&amp;",W$4:W1644))+(I1246-LARGE(FILTER(W$4:W1644,W$4:W1644&lt;=I1246),1))*INDEX(T$4:T1644,MATCH(LARGE(FILTER(W$4:W1644,W$4:W1644&lt;=I1246),1),W$4:W1644))-K1246),1,
ROUNDDOWN(Y1246-INDEX(K$4:K1644,MATCH(LARGE(FILTER(I$4:I1644,I$4:I1644&lt;=W1246),1),I$4:I1644))-(W1246-L"&amp;"ARGE(FILTER(I$4:I1644,I$4:I1644&lt;=W1246),1))*INDEX(F$4:F1644,MATCH(LARGE(FILTER(I$4:I1644,I$4:I1644&lt;=W1246),1),I$4:I1644))))"),"")</f>
        <v/>
      </c>
      <c r="N1246" s="60" t="str">
        <f t="shared" si="8"/>
        <v/>
      </c>
      <c r="O1246" s="61" t="str">
        <f t="shared" si="9"/>
        <v/>
      </c>
      <c r="P1246" s="56" t="str">
        <f t="shared" si="10"/>
        <v/>
      </c>
      <c r="Q1246" s="105"/>
      <c r="R1246" s="10"/>
      <c r="S1246" s="59" t="str">
        <f t="array" ref="S1246">IF(COUNTA(Q1246:Q1644)=0,"",SUM((COUNTIF(Q$4:Q1246,Upgrades!$B$3:$B$13)-COUNTIF(Q$4:Q1246,"Sell_"&amp;Upgrades!$B$3:$B$13))*Upgrades!$D$3:$D$13))</f>
        <v/>
      </c>
      <c r="T1246" s="66" t="str">
        <f>IFERROR(__xludf.DUMMYFUNCTION("IF(COUNTA(Q1246:Q1644)=0,"""",IF(REGEXMATCH(INDEX(FILTER(Q$4:Q1246,Q$4:Q1246&lt;&gt;""""),ROWS(FILTER(Q$4:Q1246,Q$4:Q1246&lt;&gt;""""))),""^Sell_""),INDEX(FILTER(T$4:T1245,Q$4:Q1245&lt;&gt;""""),ROWS(FILTER(Q$4:Q1245,Q$4:Q1245&lt;&gt;""""))),$AD$5+S1246))"),"")</f>
        <v/>
      </c>
      <c r="U1246" s="10" t="str">
        <f>IFERROR(__xludf.DUMMYFUNCTION("IF(COUNTA(Q1246:Q1644)=0,"""",IF(Q1246="""",0,IF(REGEXMATCH(Q1246,""^Sell_""),-ROUNDDOWN(ROUNDUP(INDEX(Upgrades!$C$3:$C$13,MATCH(SUBSTITUTE(Q1246,""Sell_"",""""),Upgrades!$B$3:$B$13,0))*1.15^(COUNTIF(Q$4:Q1245,SUBSTITUTE(Q1246,""Sell_"",""""))-COUNTIF(Q$4"&amp;":Q1245,""Sell_""&amp;SUBSTITUTE(Q1246,""Sell_"",""""))))/2),ROUNDUP(INDEX(Upgrades!$C$3:$C$13,MATCH(Q1246,Upgrades!$B$3:$B$13,0))*1.15^(COUNTIF(Q$4:Q1245,Q1246)-COUNTIF(Q$4:Q1245,""Sell_""&amp;Q1246))))))"),"")</f>
        <v/>
      </c>
      <c r="V1246" s="10" t="str">
        <f t="shared" si="11"/>
        <v/>
      </c>
      <c r="W1246" s="68" t="str">
        <f t="shared" si="12"/>
        <v/>
      </c>
      <c r="X1246" s="59" t="str">
        <f t="shared" si="13"/>
        <v/>
      </c>
      <c r="Y1246" s="69" t="str">
        <f t="shared" si="14"/>
        <v/>
      </c>
      <c r="Z1246" s="11"/>
      <c r="AG1246" s="59"/>
    </row>
    <row r="1247">
      <c r="A1247" s="8"/>
      <c r="B1247" s="56" t="str">
        <f t="shared" si="2"/>
        <v/>
      </c>
      <c r="C1247" s="105"/>
      <c r="D1247" s="10"/>
      <c r="E1247" s="59" t="str">
        <f t="array" ref="E1247">IF(COUNTA(C1247:C1644)=0,"",SUM((COUNTIF(C$4:C1247,Upgrades!$B$3:$B$13)-COUNTIF(C$4:C1247,"Sell_"&amp;Upgrades!$B$3:$B$13))*Upgrades!$D$3:$D$13))</f>
        <v/>
      </c>
      <c r="F1247" s="66" t="str">
        <f>IFERROR(__xludf.DUMMYFUNCTION("IF(COUNTA(C1247:C1644)=0,"""",IF(REGEXMATCH(INDEX(FILTER(C$4:C1247,C$4:C1247&lt;&gt;""""),ROWS(FILTER(C$4:C1247,C$4:C1247&lt;&gt;""""))),""^Sell_""),INDEX(FILTER(F$4:F1246,C$4:C1246&lt;&gt;""""),ROWS(FILTER(C$4:C1246,C$4:C1246&lt;&gt;""""))),$AC$5+E1247))"),"")</f>
        <v/>
      </c>
      <c r="G1247" s="10" t="str">
        <f>IFERROR(__xludf.DUMMYFUNCTION("IF(COUNTA(C1247:C1644)=0,"""",IF(C1247="""",0,IF(REGEXMATCH(C1247,""^Sell_""),-ROUNDDOWN(ROUNDUP(INDEX(Upgrades!$C$3:$C$13,MATCH(SUBSTITUTE(C1247,""Sell_"",""""),Upgrades!$B$3:$B$13,0))*1.15^(COUNTIF(C$4:C1246,SUBSTITUTE(C1247,""Sell_"",""""))-COUNTIF(C$4"&amp;":C1246,""Sell_""&amp;SUBSTITUTE(C1247,""Sell_"",""""))))/2),ROUNDUP(INDEX(Upgrades!$C$3:$C$13,MATCH(C1247,Upgrades!$B$3:$B$13,0))*1.15^(COUNTIF(C$4:C1246,C1247)-COUNTIF(C$4:C1246,""Sell_""&amp;C1247))))))"),"")</f>
        <v/>
      </c>
      <c r="H1247" s="10" t="str">
        <f t="shared" si="3"/>
        <v/>
      </c>
      <c r="I1247" s="68" t="str">
        <f t="shared" si="4"/>
        <v/>
      </c>
      <c r="J1247" s="59" t="str">
        <f t="shared" si="5"/>
        <v/>
      </c>
      <c r="K1247" s="69" t="str">
        <f t="shared" si="6"/>
        <v/>
      </c>
      <c r="L1247" s="60" t="str">
        <f t="shared" si="7"/>
        <v/>
      </c>
      <c r="M1247" s="61" t="str">
        <f>IFERROR(__xludf.DUMMYFUNCTION("IFS(AND(COUNTA(C1247:C1644)=0,COUNTA(Q1247:Q1644)=0),"""",OR(AND(K1247&gt;=1000000000,OR(Y1247&gt;=1000000000,COUNTA(Q1247:Q1644)=0)),OR(Y1247&gt;=1000000000,AND(COUNTA(C1247:C1644)=0,P$3=TRUE))),
ROUNDDOWN((AB$1-AC$1)*MAX(INDEX(T$4:T1644,MATCH(LARGE(FILTER(Y$4:Y1"&amp;"644,Y$4:Y1644&lt;1000000000),1),Y$4:Y1644)),INDEX(F$4:F1644,MATCH(LARGE(FILTER(K$4:K1644,K$4:K1644&lt;1000000000),1),K$4:K1644)))),AND(K1247&lt;1000000000,COUNTA(C1247:C1644)&gt;0,P$3=FALSE),
ROUNDDOWN(INDEX(Y$4:Y1644,MATCH(LARGE(FILTER(W$4:W1644,W$4:W1644&lt;=I1247),1)"&amp;",W$4:W1644))+(I1247-LARGE(FILTER(W$4:W1644,W$4:W1644&lt;=I1247),1))*INDEX(T$4:T1644,MATCH(LARGE(FILTER(W$4:W1644,W$4:W1644&lt;=I1247),1),W$4:W1644))-K1247),1,
ROUNDDOWN(Y1247-INDEX(K$4:K1644,MATCH(LARGE(FILTER(I$4:I1644,I$4:I1644&lt;=W1247),1),I$4:I1644))-(W1247-L"&amp;"ARGE(FILTER(I$4:I1644,I$4:I1644&lt;=W1247),1))*INDEX(F$4:F1644,MATCH(LARGE(FILTER(I$4:I1644,I$4:I1644&lt;=W1247),1),I$4:I1644))))"),"")</f>
        <v/>
      </c>
      <c r="N1247" s="60" t="str">
        <f t="shared" si="8"/>
        <v/>
      </c>
      <c r="O1247" s="61" t="str">
        <f t="shared" si="9"/>
        <v/>
      </c>
      <c r="P1247" s="56" t="str">
        <f t="shared" si="10"/>
        <v/>
      </c>
      <c r="Q1247" s="105"/>
      <c r="R1247" s="10"/>
      <c r="S1247" s="59" t="str">
        <f t="array" ref="S1247">IF(COUNTA(Q1247:Q1644)=0,"",SUM((COUNTIF(Q$4:Q1247,Upgrades!$B$3:$B$13)-COUNTIF(Q$4:Q1247,"Sell_"&amp;Upgrades!$B$3:$B$13))*Upgrades!$D$3:$D$13))</f>
        <v/>
      </c>
      <c r="T1247" s="66" t="str">
        <f>IFERROR(__xludf.DUMMYFUNCTION("IF(COUNTA(Q1247:Q1644)=0,"""",IF(REGEXMATCH(INDEX(FILTER(Q$4:Q1247,Q$4:Q1247&lt;&gt;""""),ROWS(FILTER(Q$4:Q1247,Q$4:Q1247&lt;&gt;""""))),""^Sell_""),INDEX(FILTER(T$4:T1246,Q$4:Q1246&lt;&gt;""""),ROWS(FILTER(Q$4:Q1246,Q$4:Q1246&lt;&gt;""""))),$AD$5+S1247))"),"")</f>
        <v/>
      </c>
      <c r="U1247" s="10" t="str">
        <f>IFERROR(__xludf.DUMMYFUNCTION("IF(COUNTA(Q1247:Q1644)=0,"""",IF(Q1247="""",0,IF(REGEXMATCH(Q1247,""^Sell_""),-ROUNDDOWN(ROUNDUP(INDEX(Upgrades!$C$3:$C$13,MATCH(SUBSTITUTE(Q1247,""Sell_"",""""),Upgrades!$B$3:$B$13,0))*1.15^(COUNTIF(Q$4:Q1246,SUBSTITUTE(Q1247,""Sell_"",""""))-COUNTIF(Q$4"&amp;":Q1246,""Sell_""&amp;SUBSTITUTE(Q1247,""Sell_"",""""))))/2),ROUNDUP(INDEX(Upgrades!$C$3:$C$13,MATCH(Q1247,Upgrades!$B$3:$B$13,0))*1.15^(COUNTIF(Q$4:Q1246,Q1247)-COUNTIF(Q$4:Q1246,""Sell_""&amp;Q1247))))))"),"")</f>
        <v/>
      </c>
      <c r="V1247" s="10" t="str">
        <f t="shared" si="11"/>
        <v/>
      </c>
      <c r="W1247" s="68" t="str">
        <f t="shared" si="12"/>
        <v/>
      </c>
      <c r="X1247" s="59" t="str">
        <f t="shared" si="13"/>
        <v/>
      </c>
      <c r="Y1247" s="69" t="str">
        <f t="shared" si="14"/>
        <v/>
      </c>
      <c r="Z1247" s="11"/>
      <c r="AG1247" s="59"/>
    </row>
    <row r="1248">
      <c r="A1248" s="8"/>
      <c r="B1248" s="56" t="str">
        <f t="shared" si="2"/>
        <v/>
      </c>
      <c r="C1248" s="105"/>
      <c r="D1248" s="10"/>
      <c r="E1248" s="59" t="str">
        <f t="array" ref="E1248">IF(COUNTA(C1248:C1644)=0,"",SUM((COUNTIF(C$4:C1248,Upgrades!$B$3:$B$13)-COUNTIF(C$4:C1248,"Sell_"&amp;Upgrades!$B$3:$B$13))*Upgrades!$D$3:$D$13))</f>
        <v/>
      </c>
      <c r="F1248" s="66" t="str">
        <f>IFERROR(__xludf.DUMMYFUNCTION("IF(COUNTA(C1248:C1644)=0,"""",IF(REGEXMATCH(INDEX(FILTER(C$4:C1248,C$4:C1248&lt;&gt;""""),ROWS(FILTER(C$4:C1248,C$4:C1248&lt;&gt;""""))),""^Sell_""),INDEX(FILTER(F$4:F1247,C$4:C1247&lt;&gt;""""),ROWS(FILTER(C$4:C1247,C$4:C1247&lt;&gt;""""))),$AC$5+E1248))"),"")</f>
        <v/>
      </c>
      <c r="G1248" s="10" t="str">
        <f>IFERROR(__xludf.DUMMYFUNCTION("IF(COUNTA(C1248:C1644)=0,"""",IF(C1248="""",0,IF(REGEXMATCH(C1248,""^Sell_""),-ROUNDDOWN(ROUNDUP(INDEX(Upgrades!$C$3:$C$13,MATCH(SUBSTITUTE(C1248,""Sell_"",""""),Upgrades!$B$3:$B$13,0))*1.15^(COUNTIF(C$4:C1247,SUBSTITUTE(C1248,""Sell_"",""""))-COUNTIF(C$4"&amp;":C1247,""Sell_""&amp;SUBSTITUTE(C1248,""Sell_"",""""))))/2),ROUNDUP(INDEX(Upgrades!$C$3:$C$13,MATCH(C1248,Upgrades!$B$3:$B$13,0))*1.15^(COUNTIF(C$4:C1247,C1248)-COUNTIF(C$4:C1247,""Sell_""&amp;C1248))))))"),"")</f>
        <v/>
      </c>
      <c r="H1248" s="10" t="str">
        <f t="shared" si="3"/>
        <v/>
      </c>
      <c r="I1248" s="68" t="str">
        <f t="shared" si="4"/>
        <v/>
      </c>
      <c r="J1248" s="59" t="str">
        <f t="shared" si="5"/>
        <v/>
      </c>
      <c r="K1248" s="69" t="str">
        <f t="shared" si="6"/>
        <v/>
      </c>
      <c r="L1248" s="60" t="str">
        <f t="shared" si="7"/>
        <v/>
      </c>
      <c r="M1248" s="61" t="str">
        <f>IFERROR(__xludf.DUMMYFUNCTION("IFS(AND(COUNTA(C1248:C1644)=0,COUNTA(Q1248:Q1644)=0),"""",OR(AND(K1248&gt;=1000000000,OR(Y1248&gt;=1000000000,COUNTA(Q1248:Q1644)=0)),OR(Y1248&gt;=1000000000,AND(COUNTA(C1248:C1644)=0,P$3=TRUE))),
ROUNDDOWN((AB$1-AC$1)*MAX(INDEX(T$4:T1644,MATCH(LARGE(FILTER(Y$4:Y1"&amp;"644,Y$4:Y1644&lt;1000000000),1),Y$4:Y1644)),INDEX(F$4:F1644,MATCH(LARGE(FILTER(K$4:K1644,K$4:K1644&lt;1000000000),1),K$4:K1644)))),AND(K1248&lt;1000000000,COUNTA(C1248:C1644)&gt;0,P$3=FALSE),
ROUNDDOWN(INDEX(Y$4:Y1644,MATCH(LARGE(FILTER(W$4:W1644,W$4:W1644&lt;=I1248),1)"&amp;",W$4:W1644))+(I1248-LARGE(FILTER(W$4:W1644,W$4:W1644&lt;=I1248),1))*INDEX(T$4:T1644,MATCH(LARGE(FILTER(W$4:W1644,W$4:W1644&lt;=I1248),1),W$4:W1644))-K1248),1,
ROUNDDOWN(Y1248-INDEX(K$4:K1644,MATCH(LARGE(FILTER(I$4:I1644,I$4:I1644&lt;=W1248),1),I$4:I1644))-(W1248-L"&amp;"ARGE(FILTER(I$4:I1644,I$4:I1644&lt;=W1248),1))*INDEX(F$4:F1644,MATCH(LARGE(FILTER(I$4:I1644,I$4:I1644&lt;=W1248),1),I$4:I1644))))"),"")</f>
        <v/>
      </c>
      <c r="N1248" s="60" t="str">
        <f t="shared" si="8"/>
        <v/>
      </c>
      <c r="O1248" s="61" t="str">
        <f t="shared" si="9"/>
        <v/>
      </c>
      <c r="P1248" s="56" t="str">
        <f t="shared" si="10"/>
        <v/>
      </c>
      <c r="Q1248" s="105"/>
      <c r="R1248" s="10"/>
      <c r="S1248" s="59" t="str">
        <f t="array" ref="S1248">IF(COUNTA(Q1248:Q1644)=0,"",SUM((COUNTIF(Q$4:Q1248,Upgrades!$B$3:$B$13)-COUNTIF(Q$4:Q1248,"Sell_"&amp;Upgrades!$B$3:$B$13))*Upgrades!$D$3:$D$13))</f>
        <v/>
      </c>
      <c r="T1248" s="66" t="str">
        <f>IFERROR(__xludf.DUMMYFUNCTION("IF(COUNTA(Q1248:Q1644)=0,"""",IF(REGEXMATCH(INDEX(FILTER(Q$4:Q1248,Q$4:Q1248&lt;&gt;""""),ROWS(FILTER(Q$4:Q1248,Q$4:Q1248&lt;&gt;""""))),""^Sell_""),INDEX(FILTER(T$4:T1247,Q$4:Q1247&lt;&gt;""""),ROWS(FILTER(Q$4:Q1247,Q$4:Q1247&lt;&gt;""""))),$AD$5+S1248))"),"")</f>
        <v/>
      </c>
      <c r="U1248" s="10" t="str">
        <f>IFERROR(__xludf.DUMMYFUNCTION("IF(COUNTA(Q1248:Q1644)=0,"""",IF(Q1248="""",0,IF(REGEXMATCH(Q1248,""^Sell_""),-ROUNDDOWN(ROUNDUP(INDEX(Upgrades!$C$3:$C$13,MATCH(SUBSTITUTE(Q1248,""Sell_"",""""),Upgrades!$B$3:$B$13,0))*1.15^(COUNTIF(Q$4:Q1247,SUBSTITUTE(Q1248,""Sell_"",""""))-COUNTIF(Q$4"&amp;":Q1247,""Sell_""&amp;SUBSTITUTE(Q1248,""Sell_"",""""))))/2),ROUNDUP(INDEX(Upgrades!$C$3:$C$13,MATCH(Q1248,Upgrades!$B$3:$B$13,0))*1.15^(COUNTIF(Q$4:Q1247,Q1248)-COUNTIF(Q$4:Q1247,""Sell_""&amp;Q1248))))))"),"")</f>
        <v/>
      </c>
      <c r="V1248" s="10" t="str">
        <f t="shared" si="11"/>
        <v/>
      </c>
      <c r="W1248" s="68" t="str">
        <f t="shared" si="12"/>
        <v/>
      </c>
      <c r="X1248" s="59" t="str">
        <f t="shared" si="13"/>
        <v/>
      </c>
      <c r="Y1248" s="69" t="str">
        <f t="shared" si="14"/>
        <v/>
      </c>
      <c r="Z1248" s="11"/>
      <c r="AG1248" s="59"/>
    </row>
    <row r="1249">
      <c r="A1249" s="8"/>
      <c r="B1249" s="56" t="str">
        <f t="shared" si="2"/>
        <v/>
      </c>
      <c r="C1249" s="105"/>
      <c r="D1249" s="10"/>
      <c r="E1249" s="59" t="str">
        <f t="array" ref="E1249">IF(COUNTA(C1249:C1644)=0,"",SUM((COUNTIF(C$4:C1249,Upgrades!$B$3:$B$13)-COUNTIF(C$4:C1249,"Sell_"&amp;Upgrades!$B$3:$B$13))*Upgrades!$D$3:$D$13))</f>
        <v/>
      </c>
      <c r="F1249" s="66" t="str">
        <f>IFERROR(__xludf.DUMMYFUNCTION("IF(COUNTA(C1249:C1644)=0,"""",IF(REGEXMATCH(INDEX(FILTER(C$4:C1249,C$4:C1249&lt;&gt;""""),ROWS(FILTER(C$4:C1249,C$4:C1249&lt;&gt;""""))),""^Sell_""),INDEX(FILTER(F$4:F1248,C$4:C1248&lt;&gt;""""),ROWS(FILTER(C$4:C1248,C$4:C1248&lt;&gt;""""))),$AC$5+E1249))"),"")</f>
        <v/>
      </c>
      <c r="G1249" s="10" t="str">
        <f>IFERROR(__xludf.DUMMYFUNCTION("IF(COUNTA(C1249:C1644)=0,"""",IF(C1249="""",0,IF(REGEXMATCH(C1249,""^Sell_""),-ROUNDDOWN(ROUNDUP(INDEX(Upgrades!$C$3:$C$13,MATCH(SUBSTITUTE(C1249,""Sell_"",""""),Upgrades!$B$3:$B$13,0))*1.15^(COUNTIF(C$4:C1248,SUBSTITUTE(C1249,""Sell_"",""""))-COUNTIF(C$4"&amp;":C1248,""Sell_""&amp;SUBSTITUTE(C1249,""Sell_"",""""))))/2),ROUNDUP(INDEX(Upgrades!$C$3:$C$13,MATCH(C1249,Upgrades!$B$3:$B$13,0))*1.15^(COUNTIF(C$4:C1248,C1249)-COUNTIF(C$4:C1248,""Sell_""&amp;C1249))))))"),"")</f>
        <v/>
      </c>
      <c r="H1249" s="10" t="str">
        <f t="shared" si="3"/>
        <v/>
      </c>
      <c r="I1249" s="68" t="str">
        <f t="shared" si="4"/>
        <v/>
      </c>
      <c r="J1249" s="59" t="str">
        <f t="shared" si="5"/>
        <v/>
      </c>
      <c r="K1249" s="69" t="str">
        <f t="shared" si="6"/>
        <v/>
      </c>
      <c r="L1249" s="60" t="str">
        <f t="shared" si="7"/>
        <v/>
      </c>
      <c r="M1249" s="61" t="str">
        <f>IFERROR(__xludf.DUMMYFUNCTION("IFS(AND(COUNTA(C1249:C1644)=0,COUNTA(Q1249:Q1644)=0),"""",OR(AND(K1249&gt;=1000000000,OR(Y1249&gt;=1000000000,COUNTA(Q1249:Q1644)=0)),OR(Y1249&gt;=1000000000,AND(COUNTA(C1249:C1644)=0,P$3=TRUE))),
ROUNDDOWN((AB$1-AC$1)*MAX(INDEX(T$4:T1644,MATCH(LARGE(FILTER(Y$4:Y1"&amp;"644,Y$4:Y1644&lt;1000000000),1),Y$4:Y1644)),INDEX(F$4:F1644,MATCH(LARGE(FILTER(K$4:K1644,K$4:K1644&lt;1000000000),1),K$4:K1644)))),AND(K1249&lt;1000000000,COUNTA(C1249:C1644)&gt;0,P$3=FALSE),
ROUNDDOWN(INDEX(Y$4:Y1644,MATCH(LARGE(FILTER(W$4:W1644,W$4:W1644&lt;=I1249),1)"&amp;",W$4:W1644))+(I1249-LARGE(FILTER(W$4:W1644,W$4:W1644&lt;=I1249),1))*INDEX(T$4:T1644,MATCH(LARGE(FILTER(W$4:W1644,W$4:W1644&lt;=I1249),1),W$4:W1644))-K1249),1,
ROUNDDOWN(Y1249-INDEX(K$4:K1644,MATCH(LARGE(FILTER(I$4:I1644,I$4:I1644&lt;=W1249),1),I$4:I1644))-(W1249-L"&amp;"ARGE(FILTER(I$4:I1644,I$4:I1644&lt;=W1249),1))*INDEX(F$4:F1644,MATCH(LARGE(FILTER(I$4:I1644,I$4:I1644&lt;=W1249),1),I$4:I1644))))"),"")</f>
        <v/>
      </c>
      <c r="N1249" s="60" t="str">
        <f t="shared" si="8"/>
        <v/>
      </c>
      <c r="O1249" s="61" t="str">
        <f t="shared" si="9"/>
        <v/>
      </c>
      <c r="P1249" s="56" t="str">
        <f t="shared" si="10"/>
        <v/>
      </c>
      <c r="Q1249" s="105"/>
      <c r="R1249" s="10"/>
      <c r="S1249" s="59" t="str">
        <f t="array" ref="S1249">IF(COUNTA(Q1249:Q1644)=0,"",SUM((COUNTIF(Q$4:Q1249,Upgrades!$B$3:$B$13)-COUNTIF(Q$4:Q1249,"Sell_"&amp;Upgrades!$B$3:$B$13))*Upgrades!$D$3:$D$13))</f>
        <v/>
      </c>
      <c r="T1249" s="66" t="str">
        <f>IFERROR(__xludf.DUMMYFUNCTION("IF(COUNTA(Q1249:Q1644)=0,"""",IF(REGEXMATCH(INDEX(FILTER(Q$4:Q1249,Q$4:Q1249&lt;&gt;""""),ROWS(FILTER(Q$4:Q1249,Q$4:Q1249&lt;&gt;""""))),""^Sell_""),INDEX(FILTER(T$4:T1248,Q$4:Q1248&lt;&gt;""""),ROWS(FILTER(Q$4:Q1248,Q$4:Q1248&lt;&gt;""""))),$AD$5+S1249))"),"")</f>
        <v/>
      </c>
      <c r="U1249" s="10" t="str">
        <f>IFERROR(__xludf.DUMMYFUNCTION("IF(COUNTA(Q1249:Q1644)=0,"""",IF(Q1249="""",0,IF(REGEXMATCH(Q1249,""^Sell_""),-ROUNDDOWN(ROUNDUP(INDEX(Upgrades!$C$3:$C$13,MATCH(SUBSTITUTE(Q1249,""Sell_"",""""),Upgrades!$B$3:$B$13,0))*1.15^(COUNTIF(Q$4:Q1248,SUBSTITUTE(Q1249,""Sell_"",""""))-COUNTIF(Q$4"&amp;":Q1248,""Sell_""&amp;SUBSTITUTE(Q1249,""Sell_"",""""))))/2),ROUNDUP(INDEX(Upgrades!$C$3:$C$13,MATCH(Q1249,Upgrades!$B$3:$B$13,0))*1.15^(COUNTIF(Q$4:Q1248,Q1249)-COUNTIF(Q$4:Q1248,""Sell_""&amp;Q1249))))))"),"")</f>
        <v/>
      </c>
      <c r="V1249" s="10" t="str">
        <f t="shared" si="11"/>
        <v/>
      </c>
      <c r="W1249" s="68" t="str">
        <f t="shared" si="12"/>
        <v/>
      </c>
      <c r="X1249" s="59" t="str">
        <f t="shared" si="13"/>
        <v/>
      </c>
      <c r="Y1249" s="69" t="str">
        <f t="shared" si="14"/>
        <v/>
      </c>
      <c r="Z1249" s="11"/>
      <c r="AG1249" s="59"/>
    </row>
    <row r="1250">
      <c r="A1250" s="8"/>
      <c r="B1250" s="56" t="str">
        <f t="shared" si="2"/>
        <v/>
      </c>
      <c r="C1250" s="105"/>
      <c r="D1250" s="10"/>
      <c r="E1250" s="59" t="str">
        <f t="array" ref="E1250">IF(COUNTA(C1250:C1644)=0,"",SUM((COUNTIF(C$4:C1250,Upgrades!$B$3:$B$13)-COUNTIF(C$4:C1250,"Sell_"&amp;Upgrades!$B$3:$B$13))*Upgrades!$D$3:$D$13))</f>
        <v/>
      </c>
      <c r="F1250" s="66" t="str">
        <f>IFERROR(__xludf.DUMMYFUNCTION("IF(COUNTA(C1250:C1644)=0,"""",IF(REGEXMATCH(INDEX(FILTER(C$4:C1250,C$4:C1250&lt;&gt;""""),ROWS(FILTER(C$4:C1250,C$4:C1250&lt;&gt;""""))),""^Sell_""),INDEX(FILTER(F$4:F1249,C$4:C1249&lt;&gt;""""),ROWS(FILTER(C$4:C1249,C$4:C1249&lt;&gt;""""))),$AC$5+E1250))"),"")</f>
        <v/>
      </c>
      <c r="G1250" s="10" t="str">
        <f>IFERROR(__xludf.DUMMYFUNCTION("IF(COUNTA(C1250:C1644)=0,"""",IF(C1250="""",0,IF(REGEXMATCH(C1250,""^Sell_""),-ROUNDDOWN(ROUNDUP(INDEX(Upgrades!$C$3:$C$13,MATCH(SUBSTITUTE(C1250,""Sell_"",""""),Upgrades!$B$3:$B$13,0))*1.15^(COUNTIF(C$4:C1249,SUBSTITUTE(C1250,""Sell_"",""""))-COUNTIF(C$4"&amp;":C1249,""Sell_""&amp;SUBSTITUTE(C1250,""Sell_"",""""))))/2),ROUNDUP(INDEX(Upgrades!$C$3:$C$13,MATCH(C1250,Upgrades!$B$3:$B$13,0))*1.15^(COUNTIF(C$4:C1249,C1250)-COUNTIF(C$4:C1249,""Sell_""&amp;C1250))))))"),"")</f>
        <v/>
      </c>
      <c r="H1250" s="10" t="str">
        <f t="shared" si="3"/>
        <v/>
      </c>
      <c r="I1250" s="68" t="str">
        <f t="shared" si="4"/>
        <v/>
      </c>
      <c r="J1250" s="59" t="str">
        <f t="shared" si="5"/>
        <v/>
      </c>
      <c r="K1250" s="69" t="str">
        <f t="shared" si="6"/>
        <v/>
      </c>
      <c r="L1250" s="60" t="str">
        <f t="shared" si="7"/>
        <v/>
      </c>
      <c r="M1250" s="61" t="str">
        <f>IFERROR(__xludf.DUMMYFUNCTION("IFS(AND(COUNTA(C1250:C1644)=0,COUNTA(Q1250:Q1644)=0),"""",OR(AND(K1250&gt;=1000000000,OR(Y1250&gt;=1000000000,COUNTA(Q1250:Q1644)=0)),OR(Y1250&gt;=1000000000,AND(COUNTA(C1250:C1644)=0,P$3=TRUE))),
ROUNDDOWN((AB$1-AC$1)*MAX(INDEX(T$4:T1644,MATCH(LARGE(FILTER(Y$4:Y1"&amp;"644,Y$4:Y1644&lt;1000000000),1),Y$4:Y1644)),INDEX(F$4:F1644,MATCH(LARGE(FILTER(K$4:K1644,K$4:K1644&lt;1000000000),1),K$4:K1644)))),AND(K1250&lt;1000000000,COUNTA(C1250:C1644)&gt;0,P$3=FALSE),
ROUNDDOWN(INDEX(Y$4:Y1644,MATCH(LARGE(FILTER(W$4:W1644,W$4:W1644&lt;=I1250),1)"&amp;",W$4:W1644))+(I1250-LARGE(FILTER(W$4:W1644,W$4:W1644&lt;=I1250),1))*INDEX(T$4:T1644,MATCH(LARGE(FILTER(W$4:W1644,W$4:W1644&lt;=I1250),1),W$4:W1644))-K1250),1,
ROUNDDOWN(Y1250-INDEX(K$4:K1644,MATCH(LARGE(FILTER(I$4:I1644,I$4:I1644&lt;=W1250),1),I$4:I1644))-(W1250-L"&amp;"ARGE(FILTER(I$4:I1644,I$4:I1644&lt;=W1250),1))*INDEX(F$4:F1644,MATCH(LARGE(FILTER(I$4:I1644,I$4:I1644&lt;=W1250),1),I$4:I1644))))"),"")</f>
        <v/>
      </c>
      <c r="N1250" s="60" t="str">
        <f t="shared" si="8"/>
        <v/>
      </c>
      <c r="O1250" s="61" t="str">
        <f t="shared" si="9"/>
        <v/>
      </c>
      <c r="P1250" s="56" t="str">
        <f t="shared" si="10"/>
        <v/>
      </c>
      <c r="Q1250" s="105"/>
      <c r="R1250" s="10"/>
      <c r="S1250" s="59" t="str">
        <f t="array" ref="S1250">IF(COUNTA(Q1250:Q1644)=0,"",SUM((COUNTIF(Q$4:Q1250,Upgrades!$B$3:$B$13)-COUNTIF(Q$4:Q1250,"Sell_"&amp;Upgrades!$B$3:$B$13))*Upgrades!$D$3:$D$13))</f>
        <v/>
      </c>
      <c r="T1250" s="66" t="str">
        <f>IFERROR(__xludf.DUMMYFUNCTION("IF(COUNTA(Q1250:Q1644)=0,"""",IF(REGEXMATCH(INDEX(FILTER(Q$4:Q1250,Q$4:Q1250&lt;&gt;""""),ROWS(FILTER(Q$4:Q1250,Q$4:Q1250&lt;&gt;""""))),""^Sell_""),INDEX(FILTER(T$4:T1249,Q$4:Q1249&lt;&gt;""""),ROWS(FILTER(Q$4:Q1249,Q$4:Q1249&lt;&gt;""""))),$AD$5+S1250))"),"")</f>
        <v/>
      </c>
      <c r="U1250" s="10" t="str">
        <f>IFERROR(__xludf.DUMMYFUNCTION("IF(COUNTA(Q1250:Q1644)=0,"""",IF(Q1250="""",0,IF(REGEXMATCH(Q1250,""^Sell_""),-ROUNDDOWN(ROUNDUP(INDEX(Upgrades!$C$3:$C$13,MATCH(SUBSTITUTE(Q1250,""Sell_"",""""),Upgrades!$B$3:$B$13,0))*1.15^(COUNTIF(Q$4:Q1249,SUBSTITUTE(Q1250,""Sell_"",""""))-COUNTIF(Q$4"&amp;":Q1249,""Sell_""&amp;SUBSTITUTE(Q1250,""Sell_"",""""))))/2),ROUNDUP(INDEX(Upgrades!$C$3:$C$13,MATCH(Q1250,Upgrades!$B$3:$B$13,0))*1.15^(COUNTIF(Q$4:Q1249,Q1250)-COUNTIF(Q$4:Q1249,""Sell_""&amp;Q1250))))))"),"")</f>
        <v/>
      </c>
      <c r="V1250" s="10" t="str">
        <f t="shared" si="11"/>
        <v/>
      </c>
      <c r="W1250" s="68" t="str">
        <f t="shared" si="12"/>
        <v/>
      </c>
      <c r="X1250" s="59" t="str">
        <f t="shared" si="13"/>
        <v/>
      </c>
      <c r="Y1250" s="69" t="str">
        <f t="shared" si="14"/>
        <v/>
      </c>
      <c r="Z1250" s="11"/>
      <c r="AG1250" s="59"/>
    </row>
    <row r="1251">
      <c r="A1251" s="8"/>
      <c r="B1251" s="56" t="str">
        <f t="shared" si="2"/>
        <v/>
      </c>
      <c r="C1251" s="105"/>
      <c r="D1251" s="10"/>
      <c r="E1251" s="59" t="str">
        <f t="array" ref="E1251">IF(COUNTA(C1251:C1644)=0,"",SUM((COUNTIF(C$4:C1251,Upgrades!$B$3:$B$13)-COUNTIF(C$4:C1251,"Sell_"&amp;Upgrades!$B$3:$B$13))*Upgrades!$D$3:$D$13))</f>
        <v/>
      </c>
      <c r="F1251" s="66" t="str">
        <f>IFERROR(__xludf.DUMMYFUNCTION("IF(COUNTA(C1251:C1644)=0,"""",IF(REGEXMATCH(INDEX(FILTER(C$4:C1251,C$4:C1251&lt;&gt;""""),ROWS(FILTER(C$4:C1251,C$4:C1251&lt;&gt;""""))),""^Sell_""),INDEX(FILTER(F$4:F1250,C$4:C1250&lt;&gt;""""),ROWS(FILTER(C$4:C1250,C$4:C1250&lt;&gt;""""))),$AC$5+E1251))"),"")</f>
        <v/>
      </c>
      <c r="G1251" s="10" t="str">
        <f>IFERROR(__xludf.DUMMYFUNCTION("IF(COUNTA(C1251:C1644)=0,"""",IF(C1251="""",0,IF(REGEXMATCH(C1251,""^Sell_""),-ROUNDDOWN(ROUNDUP(INDEX(Upgrades!$C$3:$C$13,MATCH(SUBSTITUTE(C1251,""Sell_"",""""),Upgrades!$B$3:$B$13,0))*1.15^(COUNTIF(C$4:C1250,SUBSTITUTE(C1251,""Sell_"",""""))-COUNTIF(C$4"&amp;":C1250,""Sell_""&amp;SUBSTITUTE(C1251,""Sell_"",""""))))/2),ROUNDUP(INDEX(Upgrades!$C$3:$C$13,MATCH(C1251,Upgrades!$B$3:$B$13,0))*1.15^(COUNTIF(C$4:C1250,C1251)-COUNTIF(C$4:C1250,""Sell_""&amp;C1251))))))"),"")</f>
        <v/>
      </c>
      <c r="H1251" s="10" t="str">
        <f t="shared" si="3"/>
        <v/>
      </c>
      <c r="I1251" s="68" t="str">
        <f t="shared" si="4"/>
        <v/>
      </c>
      <c r="J1251" s="59" t="str">
        <f t="shared" si="5"/>
        <v/>
      </c>
      <c r="K1251" s="69" t="str">
        <f t="shared" si="6"/>
        <v/>
      </c>
      <c r="L1251" s="60" t="str">
        <f t="shared" si="7"/>
        <v/>
      </c>
      <c r="M1251" s="61" t="str">
        <f>IFERROR(__xludf.DUMMYFUNCTION("IFS(AND(COUNTA(C1251:C1644)=0,COUNTA(Q1251:Q1644)=0),"""",OR(AND(K1251&gt;=1000000000,OR(Y1251&gt;=1000000000,COUNTA(Q1251:Q1644)=0)),OR(Y1251&gt;=1000000000,AND(COUNTA(C1251:C1644)=0,P$3=TRUE))),
ROUNDDOWN((AB$1-AC$1)*MAX(INDEX(T$4:T1644,MATCH(LARGE(FILTER(Y$4:Y1"&amp;"644,Y$4:Y1644&lt;1000000000),1),Y$4:Y1644)),INDEX(F$4:F1644,MATCH(LARGE(FILTER(K$4:K1644,K$4:K1644&lt;1000000000),1),K$4:K1644)))),AND(K1251&lt;1000000000,COUNTA(C1251:C1644)&gt;0,P$3=FALSE),
ROUNDDOWN(INDEX(Y$4:Y1644,MATCH(LARGE(FILTER(W$4:W1644,W$4:W1644&lt;=I1251),1)"&amp;",W$4:W1644))+(I1251-LARGE(FILTER(W$4:W1644,W$4:W1644&lt;=I1251),1))*INDEX(T$4:T1644,MATCH(LARGE(FILTER(W$4:W1644,W$4:W1644&lt;=I1251),1),W$4:W1644))-K1251),1,
ROUNDDOWN(Y1251-INDEX(K$4:K1644,MATCH(LARGE(FILTER(I$4:I1644,I$4:I1644&lt;=W1251),1),I$4:I1644))-(W1251-L"&amp;"ARGE(FILTER(I$4:I1644,I$4:I1644&lt;=W1251),1))*INDEX(F$4:F1644,MATCH(LARGE(FILTER(I$4:I1644,I$4:I1644&lt;=W1251),1),I$4:I1644))))"),"")</f>
        <v/>
      </c>
      <c r="N1251" s="60" t="str">
        <f t="shared" si="8"/>
        <v/>
      </c>
      <c r="O1251" s="61" t="str">
        <f t="shared" si="9"/>
        <v/>
      </c>
      <c r="P1251" s="56" t="str">
        <f t="shared" si="10"/>
        <v/>
      </c>
      <c r="Q1251" s="105"/>
      <c r="R1251" s="10"/>
      <c r="S1251" s="59" t="str">
        <f t="array" ref="S1251">IF(COUNTA(Q1251:Q1644)=0,"",SUM((COUNTIF(Q$4:Q1251,Upgrades!$B$3:$B$13)-COUNTIF(Q$4:Q1251,"Sell_"&amp;Upgrades!$B$3:$B$13))*Upgrades!$D$3:$D$13))</f>
        <v/>
      </c>
      <c r="T1251" s="66" t="str">
        <f>IFERROR(__xludf.DUMMYFUNCTION("IF(COUNTA(Q1251:Q1644)=0,"""",IF(REGEXMATCH(INDEX(FILTER(Q$4:Q1251,Q$4:Q1251&lt;&gt;""""),ROWS(FILTER(Q$4:Q1251,Q$4:Q1251&lt;&gt;""""))),""^Sell_""),INDEX(FILTER(T$4:T1250,Q$4:Q1250&lt;&gt;""""),ROWS(FILTER(Q$4:Q1250,Q$4:Q1250&lt;&gt;""""))),$AD$5+S1251))"),"")</f>
        <v/>
      </c>
      <c r="U1251" s="10" t="str">
        <f>IFERROR(__xludf.DUMMYFUNCTION("IF(COUNTA(Q1251:Q1644)=0,"""",IF(Q1251="""",0,IF(REGEXMATCH(Q1251,""^Sell_""),-ROUNDDOWN(ROUNDUP(INDEX(Upgrades!$C$3:$C$13,MATCH(SUBSTITUTE(Q1251,""Sell_"",""""),Upgrades!$B$3:$B$13,0))*1.15^(COUNTIF(Q$4:Q1250,SUBSTITUTE(Q1251,""Sell_"",""""))-COUNTIF(Q$4"&amp;":Q1250,""Sell_""&amp;SUBSTITUTE(Q1251,""Sell_"",""""))))/2),ROUNDUP(INDEX(Upgrades!$C$3:$C$13,MATCH(Q1251,Upgrades!$B$3:$B$13,0))*1.15^(COUNTIF(Q$4:Q1250,Q1251)-COUNTIF(Q$4:Q1250,""Sell_""&amp;Q1251))))))"),"")</f>
        <v/>
      </c>
      <c r="V1251" s="10" t="str">
        <f t="shared" si="11"/>
        <v/>
      </c>
      <c r="W1251" s="68" t="str">
        <f t="shared" si="12"/>
        <v/>
      </c>
      <c r="X1251" s="59" t="str">
        <f t="shared" si="13"/>
        <v/>
      </c>
      <c r="Y1251" s="69" t="str">
        <f t="shared" si="14"/>
        <v/>
      </c>
      <c r="Z1251" s="11"/>
      <c r="AG1251" s="59"/>
    </row>
    <row r="1252">
      <c r="A1252" s="8"/>
      <c r="B1252" s="56" t="str">
        <f t="shared" si="2"/>
        <v/>
      </c>
      <c r="C1252" s="105"/>
      <c r="D1252" s="10"/>
      <c r="E1252" s="59" t="str">
        <f t="array" ref="E1252">IF(COUNTA(C1252:C1644)=0,"",SUM((COUNTIF(C$4:C1252,Upgrades!$B$3:$B$13)-COUNTIF(C$4:C1252,"Sell_"&amp;Upgrades!$B$3:$B$13))*Upgrades!$D$3:$D$13))</f>
        <v/>
      </c>
      <c r="F1252" s="66" t="str">
        <f>IFERROR(__xludf.DUMMYFUNCTION("IF(COUNTA(C1252:C1644)=0,"""",IF(REGEXMATCH(INDEX(FILTER(C$4:C1252,C$4:C1252&lt;&gt;""""),ROWS(FILTER(C$4:C1252,C$4:C1252&lt;&gt;""""))),""^Sell_""),INDEX(FILTER(F$4:F1251,C$4:C1251&lt;&gt;""""),ROWS(FILTER(C$4:C1251,C$4:C1251&lt;&gt;""""))),$AC$5+E1252))"),"")</f>
        <v/>
      </c>
      <c r="G1252" s="10" t="str">
        <f>IFERROR(__xludf.DUMMYFUNCTION("IF(COUNTA(C1252:C1644)=0,"""",IF(C1252="""",0,IF(REGEXMATCH(C1252,""^Sell_""),-ROUNDDOWN(ROUNDUP(INDEX(Upgrades!$C$3:$C$13,MATCH(SUBSTITUTE(C1252,""Sell_"",""""),Upgrades!$B$3:$B$13,0))*1.15^(COUNTIF(C$4:C1251,SUBSTITUTE(C1252,""Sell_"",""""))-COUNTIF(C$4"&amp;":C1251,""Sell_""&amp;SUBSTITUTE(C1252,""Sell_"",""""))))/2),ROUNDUP(INDEX(Upgrades!$C$3:$C$13,MATCH(C1252,Upgrades!$B$3:$B$13,0))*1.15^(COUNTIF(C$4:C1251,C1252)-COUNTIF(C$4:C1251,""Sell_""&amp;C1252))))))"),"")</f>
        <v/>
      </c>
      <c r="H1252" s="10" t="str">
        <f t="shared" si="3"/>
        <v/>
      </c>
      <c r="I1252" s="68" t="str">
        <f t="shared" si="4"/>
        <v/>
      </c>
      <c r="J1252" s="59" t="str">
        <f t="shared" si="5"/>
        <v/>
      </c>
      <c r="K1252" s="69" t="str">
        <f t="shared" si="6"/>
        <v/>
      </c>
      <c r="L1252" s="60" t="str">
        <f t="shared" si="7"/>
        <v/>
      </c>
      <c r="M1252" s="61" t="str">
        <f>IFERROR(__xludf.DUMMYFUNCTION("IFS(AND(COUNTA(C1252:C1644)=0,COUNTA(Q1252:Q1644)=0),"""",OR(AND(K1252&gt;=1000000000,OR(Y1252&gt;=1000000000,COUNTA(Q1252:Q1644)=0)),OR(Y1252&gt;=1000000000,AND(COUNTA(C1252:C1644)=0,P$3=TRUE))),
ROUNDDOWN((AB$1-AC$1)*MAX(INDEX(T$4:T1644,MATCH(LARGE(FILTER(Y$4:Y1"&amp;"644,Y$4:Y1644&lt;1000000000),1),Y$4:Y1644)),INDEX(F$4:F1644,MATCH(LARGE(FILTER(K$4:K1644,K$4:K1644&lt;1000000000),1),K$4:K1644)))),AND(K1252&lt;1000000000,COUNTA(C1252:C1644)&gt;0,P$3=FALSE),
ROUNDDOWN(INDEX(Y$4:Y1644,MATCH(LARGE(FILTER(W$4:W1644,W$4:W1644&lt;=I1252),1)"&amp;",W$4:W1644))+(I1252-LARGE(FILTER(W$4:W1644,W$4:W1644&lt;=I1252),1))*INDEX(T$4:T1644,MATCH(LARGE(FILTER(W$4:W1644,W$4:W1644&lt;=I1252),1),W$4:W1644))-K1252),1,
ROUNDDOWN(Y1252-INDEX(K$4:K1644,MATCH(LARGE(FILTER(I$4:I1644,I$4:I1644&lt;=W1252),1),I$4:I1644))-(W1252-L"&amp;"ARGE(FILTER(I$4:I1644,I$4:I1644&lt;=W1252),1))*INDEX(F$4:F1644,MATCH(LARGE(FILTER(I$4:I1644,I$4:I1644&lt;=W1252),1),I$4:I1644))))"),"")</f>
        <v/>
      </c>
      <c r="N1252" s="60" t="str">
        <f t="shared" si="8"/>
        <v/>
      </c>
      <c r="O1252" s="61" t="str">
        <f t="shared" si="9"/>
        <v/>
      </c>
      <c r="P1252" s="56" t="str">
        <f t="shared" si="10"/>
        <v/>
      </c>
      <c r="Q1252" s="105"/>
      <c r="R1252" s="10"/>
      <c r="S1252" s="59" t="str">
        <f t="array" ref="S1252">IF(COUNTA(Q1252:Q1644)=0,"",SUM((COUNTIF(Q$4:Q1252,Upgrades!$B$3:$B$13)-COUNTIF(Q$4:Q1252,"Sell_"&amp;Upgrades!$B$3:$B$13))*Upgrades!$D$3:$D$13))</f>
        <v/>
      </c>
      <c r="T1252" s="66" t="str">
        <f>IFERROR(__xludf.DUMMYFUNCTION("IF(COUNTA(Q1252:Q1644)=0,"""",IF(REGEXMATCH(INDEX(FILTER(Q$4:Q1252,Q$4:Q1252&lt;&gt;""""),ROWS(FILTER(Q$4:Q1252,Q$4:Q1252&lt;&gt;""""))),""^Sell_""),INDEX(FILTER(T$4:T1251,Q$4:Q1251&lt;&gt;""""),ROWS(FILTER(Q$4:Q1251,Q$4:Q1251&lt;&gt;""""))),$AD$5+S1252))"),"")</f>
        <v/>
      </c>
      <c r="U1252" s="10" t="str">
        <f>IFERROR(__xludf.DUMMYFUNCTION("IF(COUNTA(Q1252:Q1644)=0,"""",IF(Q1252="""",0,IF(REGEXMATCH(Q1252,""^Sell_""),-ROUNDDOWN(ROUNDUP(INDEX(Upgrades!$C$3:$C$13,MATCH(SUBSTITUTE(Q1252,""Sell_"",""""),Upgrades!$B$3:$B$13,0))*1.15^(COUNTIF(Q$4:Q1251,SUBSTITUTE(Q1252,""Sell_"",""""))-COUNTIF(Q$4"&amp;":Q1251,""Sell_""&amp;SUBSTITUTE(Q1252,""Sell_"",""""))))/2),ROUNDUP(INDEX(Upgrades!$C$3:$C$13,MATCH(Q1252,Upgrades!$B$3:$B$13,0))*1.15^(COUNTIF(Q$4:Q1251,Q1252)-COUNTIF(Q$4:Q1251,""Sell_""&amp;Q1252))))))"),"")</f>
        <v/>
      </c>
      <c r="V1252" s="10" t="str">
        <f t="shared" si="11"/>
        <v/>
      </c>
      <c r="W1252" s="68" t="str">
        <f t="shared" si="12"/>
        <v/>
      </c>
      <c r="X1252" s="59" t="str">
        <f t="shared" si="13"/>
        <v/>
      </c>
      <c r="Y1252" s="69" t="str">
        <f t="shared" si="14"/>
        <v/>
      </c>
      <c r="Z1252" s="11"/>
      <c r="AG1252" s="59"/>
    </row>
    <row r="1253">
      <c r="A1253" s="8"/>
      <c r="B1253" s="56" t="str">
        <f t="shared" si="2"/>
        <v/>
      </c>
      <c r="C1253" s="105"/>
      <c r="D1253" s="10"/>
      <c r="E1253" s="59" t="str">
        <f t="array" ref="E1253">IF(COUNTA(C1253:C1644)=0,"",SUM((COUNTIF(C$4:C1253,Upgrades!$B$3:$B$13)-COUNTIF(C$4:C1253,"Sell_"&amp;Upgrades!$B$3:$B$13))*Upgrades!$D$3:$D$13))</f>
        <v/>
      </c>
      <c r="F1253" s="66" t="str">
        <f>IFERROR(__xludf.DUMMYFUNCTION("IF(COUNTA(C1253:C1644)=0,"""",IF(REGEXMATCH(INDEX(FILTER(C$4:C1253,C$4:C1253&lt;&gt;""""),ROWS(FILTER(C$4:C1253,C$4:C1253&lt;&gt;""""))),""^Sell_""),INDEX(FILTER(F$4:F1252,C$4:C1252&lt;&gt;""""),ROWS(FILTER(C$4:C1252,C$4:C1252&lt;&gt;""""))),$AC$5+E1253))"),"")</f>
        <v/>
      </c>
      <c r="G1253" s="10" t="str">
        <f>IFERROR(__xludf.DUMMYFUNCTION("IF(COUNTA(C1253:C1644)=0,"""",IF(C1253="""",0,IF(REGEXMATCH(C1253,""^Sell_""),-ROUNDDOWN(ROUNDUP(INDEX(Upgrades!$C$3:$C$13,MATCH(SUBSTITUTE(C1253,""Sell_"",""""),Upgrades!$B$3:$B$13,0))*1.15^(COUNTIF(C$4:C1252,SUBSTITUTE(C1253,""Sell_"",""""))-COUNTIF(C$4"&amp;":C1252,""Sell_""&amp;SUBSTITUTE(C1253,""Sell_"",""""))))/2),ROUNDUP(INDEX(Upgrades!$C$3:$C$13,MATCH(C1253,Upgrades!$B$3:$B$13,0))*1.15^(COUNTIF(C$4:C1252,C1253)-COUNTIF(C$4:C1252,""Sell_""&amp;C1253))))))"),"")</f>
        <v/>
      </c>
      <c r="H1253" s="10" t="str">
        <f t="shared" si="3"/>
        <v/>
      </c>
      <c r="I1253" s="68" t="str">
        <f t="shared" si="4"/>
        <v/>
      </c>
      <c r="J1253" s="59" t="str">
        <f t="shared" si="5"/>
        <v/>
      </c>
      <c r="K1253" s="69" t="str">
        <f t="shared" si="6"/>
        <v/>
      </c>
      <c r="L1253" s="60" t="str">
        <f t="shared" si="7"/>
        <v/>
      </c>
      <c r="M1253" s="61" t="str">
        <f>IFERROR(__xludf.DUMMYFUNCTION("IFS(AND(COUNTA(C1253:C1644)=0,COUNTA(Q1253:Q1644)=0),"""",OR(AND(K1253&gt;=1000000000,OR(Y1253&gt;=1000000000,COUNTA(Q1253:Q1644)=0)),OR(Y1253&gt;=1000000000,AND(COUNTA(C1253:C1644)=0,P$3=TRUE))),
ROUNDDOWN((AB$1-AC$1)*MAX(INDEX(T$4:T1644,MATCH(LARGE(FILTER(Y$4:Y1"&amp;"644,Y$4:Y1644&lt;1000000000),1),Y$4:Y1644)),INDEX(F$4:F1644,MATCH(LARGE(FILTER(K$4:K1644,K$4:K1644&lt;1000000000),1),K$4:K1644)))),AND(K1253&lt;1000000000,COUNTA(C1253:C1644)&gt;0,P$3=FALSE),
ROUNDDOWN(INDEX(Y$4:Y1644,MATCH(LARGE(FILTER(W$4:W1644,W$4:W1644&lt;=I1253),1)"&amp;",W$4:W1644))+(I1253-LARGE(FILTER(W$4:W1644,W$4:W1644&lt;=I1253),1))*INDEX(T$4:T1644,MATCH(LARGE(FILTER(W$4:W1644,W$4:W1644&lt;=I1253),1),W$4:W1644))-K1253),1,
ROUNDDOWN(Y1253-INDEX(K$4:K1644,MATCH(LARGE(FILTER(I$4:I1644,I$4:I1644&lt;=W1253),1),I$4:I1644))-(W1253-L"&amp;"ARGE(FILTER(I$4:I1644,I$4:I1644&lt;=W1253),1))*INDEX(F$4:F1644,MATCH(LARGE(FILTER(I$4:I1644,I$4:I1644&lt;=W1253),1),I$4:I1644))))"),"")</f>
        <v/>
      </c>
      <c r="N1253" s="60" t="str">
        <f t="shared" si="8"/>
        <v/>
      </c>
      <c r="O1253" s="61" t="str">
        <f t="shared" si="9"/>
        <v/>
      </c>
      <c r="P1253" s="56" t="str">
        <f t="shared" si="10"/>
        <v/>
      </c>
      <c r="Q1253" s="105"/>
      <c r="R1253" s="10"/>
      <c r="S1253" s="59" t="str">
        <f t="array" ref="S1253">IF(COUNTA(Q1253:Q1644)=0,"",SUM((COUNTIF(Q$4:Q1253,Upgrades!$B$3:$B$13)-COUNTIF(Q$4:Q1253,"Sell_"&amp;Upgrades!$B$3:$B$13))*Upgrades!$D$3:$D$13))</f>
        <v/>
      </c>
      <c r="T1253" s="66" t="str">
        <f>IFERROR(__xludf.DUMMYFUNCTION("IF(COUNTA(Q1253:Q1644)=0,"""",IF(REGEXMATCH(INDEX(FILTER(Q$4:Q1253,Q$4:Q1253&lt;&gt;""""),ROWS(FILTER(Q$4:Q1253,Q$4:Q1253&lt;&gt;""""))),""^Sell_""),INDEX(FILTER(T$4:T1252,Q$4:Q1252&lt;&gt;""""),ROWS(FILTER(Q$4:Q1252,Q$4:Q1252&lt;&gt;""""))),$AD$5+S1253))"),"")</f>
        <v/>
      </c>
      <c r="U1253" s="10" t="str">
        <f>IFERROR(__xludf.DUMMYFUNCTION("IF(COUNTA(Q1253:Q1644)=0,"""",IF(Q1253="""",0,IF(REGEXMATCH(Q1253,""^Sell_""),-ROUNDDOWN(ROUNDUP(INDEX(Upgrades!$C$3:$C$13,MATCH(SUBSTITUTE(Q1253,""Sell_"",""""),Upgrades!$B$3:$B$13,0))*1.15^(COUNTIF(Q$4:Q1252,SUBSTITUTE(Q1253,""Sell_"",""""))-COUNTIF(Q$4"&amp;":Q1252,""Sell_""&amp;SUBSTITUTE(Q1253,""Sell_"",""""))))/2),ROUNDUP(INDEX(Upgrades!$C$3:$C$13,MATCH(Q1253,Upgrades!$B$3:$B$13,0))*1.15^(COUNTIF(Q$4:Q1252,Q1253)-COUNTIF(Q$4:Q1252,""Sell_""&amp;Q1253))))))"),"")</f>
        <v/>
      </c>
      <c r="V1253" s="10" t="str">
        <f t="shared" si="11"/>
        <v/>
      </c>
      <c r="W1253" s="68" t="str">
        <f t="shared" si="12"/>
        <v/>
      </c>
      <c r="X1253" s="59" t="str">
        <f t="shared" si="13"/>
        <v/>
      </c>
      <c r="Y1253" s="69" t="str">
        <f t="shared" si="14"/>
        <v/>
      </c>
      <c r="Z1253" s="11"/>
      <c r="AG1253" s="59"/>
    </row>
    <row r="1254">
      <c r="A1254" s="8"/>
      <c r="B1254" s="56" t="str">
        <f t="shared" si="2"/>
        <v/>
      </c>
      <c r="C1254" s="105"/>
      <c r="D1254" s="10"/>
      <c r="E1254" s="59" t="str">
        <f t="array" ref="E1254">IF(COUNTA(C1254:C1644)=0,"",SUM((COUNTIF(C$4:C1254,Upgrades!$B$3:$B$13)-COUNTIF(C$4:C1254,"Sell_"&amp;Upgrades!$B$3:$B$13))*Upgrades!$D$3:$D$13))</f>
        <v/>
      </c>
      <c r="F1254" s="66" t="str">
        <f>IFERROR(__xludf.DUMMYFUNCTION("IF(COUNTA(C1254:C1644)=0,"""",IF(REGEXMATCH(INDEX(FILTER(C$4:C1254,C$4:C1254&lt;&gt;""""),ROWS(FILTER(C$4:C1254,C$4:C1254&lt;&gt;""""))),""^Sell_""),INDEX(FILTER(F$4:F1253,C$4:C1253&lt;&gt;""""),ROWS(FILTER(C$4:C1253,C$4:C1253&lt;&gt;""""))),$AC$5+E1254))"),"")</f>
        <v/>
      </c>
      <c r="G1254" s="10" t="str">
        <f>IFERROR(__xludf.DUMMYFUNCTION("IF(COUNTA(C1254:C1644)=0,"""",IF(C1254="""",0,IF(REGEXMATCH(C1254,""^Sell_""),-ROUNDDOWN(ROUNDUP(INDEX(Upgrades!$C$3:$C$13,MATCH(SUBSTITUTE(C1254,""Sell_"",""""),Upgrades!$B$3:$B$13,0))*1.15^(COUNTIF(C$4:C1253,SUBSTITUTE(C1254,""Sell_"",""""))-COUNTIF(C$4"&amp;":C1253,""Sell_""&amp;SUBSTITUTE(C1254,""Sell_"",""""))))/2),ROUNDUP(INDEX(Upgrades!$C$3:$C$13,MATCH(C1254,Upgrades!$B$3:$B$13,0))*1.15^(COUNTIF(C$4:C1253,C1254)-COUNTIF(C$4:C1253,""Sell_""&amp;C1254))))))"),"")</f>
        <v/>
      </c>
      <c r="H1254" s="10" t="str">
        <f t="shared" si="3"/>
        <v/>
      </c>
      <c r="I1254" s="68" t="str">
        <f t="shared" si="4"/>
        <v/>
      </c>
      <c r="J1254" s="59" t="str">
        <f t="shared" si="5"/>
        <v/>
      </c>
      <c r="K1254" s="69" t="str">
        <f t="shared" si="6"/>
        <v/>
      </c>
      <c r="L1254" s="60" t="str">
        <f t="shared" si="7"/>
        <v/>
      </c>
      <c r="M1254" s="61" t="str">
        <f>IFERROR(__xludf.DUMMYFUNCTION("IFS(AND(COUNTA(C1254:C1644)=0,COUNTA(Q1254:Q1644)=0),"""",OR(AND(K1254&gt;=1000000000,OR(Y1254&gt;=1000000000,COUNTA(Q1254:Q1644)=0)),OR(Y1254&gt;=1000000000,AND(COUNTA(C1254:C1644)=0,P$3=TRUE))),
ROUNDDOWN((AB$1-AC$1)*MAX(INDEX(T$4:T1644,MATCH(LARGE(FILTER(Y$4:Y1"&amp;"644,Y$4:Y1644&lt;1000000000),1),Y$4:Y1644)),INDEX(F$4:F1644,MATCH(LARGE(FILTER(K$4:K1644,K$4:K1644&lt;1000000000),1),K$4:K1644)))),AND(K1254&lt;1000000000,COUNTA(C1254:C1644)&gt;0,P$3=FALSE),
ROUNDDOWN(INDEX(Y$4:Y1644,MATCH(LARGE(FILTER(W$4:W1644,W$4:W1644&lt;=I1254),1)"&amp;",W$4:W1644))+(I1254-LARGE(FILTER(W$4:W1644,W$4:W1644&lt;=I1254),1))*INDEX(T$4:T1644,MATCH(LARGE(FILTER(W$4:W1644,W$4:W1644&lt;=I1254),1),W$4:W1644))-K1254),1,
ROUNDDOWN(Y1254-INDEX(K$4:K1644,MATCH(LARGE(FILTER(I$4:I1644,I$4:I1644&lt;=W1254),1),I$4:I1644))-(W1254-L"&amp;"ARGE(FILTER(I$4:I1644,I$4:I1644&lt;=W1254),1))*INDEX(F$4:F1644,MATCH(LARGE(FILTER(I$4:I1644,I$4:I1644&lt;=W1254),1),I$4:I1644))))"),"")</f>
        <v/>
      </c>
      <c r="N1254" s="60" t="str">
        <f t="shared" si="8"/>
        <v/>
      </c>
      <c r="O1254" s="61" t="str">
        <f t="shared" si="9"/>
        <v/>
      </c>
      <c r="P1254" s="56" t="str">
        <f t="shared" si="10"/>
        <v/>
      </c>
      <c r="Q1254" s="105"/>
      <c r="R1254" s="10"/>
      <c r="S1254" s="59" t="str">
        <f t="array" ref="S1254">IF(COUNTA(Q1254:Q1644)=0,"",SUM((COUNTIF(Q$4:Q1254,Upgrades!$B$3:$B$13)-COUNTIF(Q$4:Q1254,"Sell_"&amp;Upgrades!$B$3:$B$13))*Upgrades!$D$3:$D$13))</f>
        <v/>
      </c>
      <c r="T1254" s="66" t="str">
        <f>IFERROR(__xludf.DUMMYFUNCTION("IF(COUNTA(Q1254:Q1644)=0,"""",IF(REGEXMATCH(INDEX(FILTER(Q$4:Q1254,Q$4:Q1254&lt;&gt;""""),ROWS(FILTER(Q$4:Q1254,Q$4:Q1254&lt;&gt;""""))),""^Sell_""),INDEX(FILTER(T$4:T1253,Q$4:Q1253&lt;&gt;""""),ROWS(FILTER(Q$4:Q1253,Q$4:Q1253&lt;&gt;""""))),$AD$5+S1254))"),"")</f>
        <v/>
      </c>
      <c r="U1254" s="10" t="str">
        <f>IFERROR(__xludf.DUMMYFUNCTION("IF(COUNTA(Q1254:Q1644)=0,"""",IF(Q1254="""",0,IF(REGEXMATCH(Q1254,""^Sell_""),-ROUNDDOWN(ROUNDUP(INDEX(Upgrades!$C$3:$C$13,MATCH(SUBSTITUTE(Q1254,""Sell_"",""""),Upgrades!$B$3:$B$13,0))*1.15^(COUNTIF(Q$4:Q1253,SUBSTITUTE(Q1254,""Sell_"",""""))-COUNTIF(Q$4"&amp;":Q1253,""Sell_""&amp;SUBSTITUTE(Q1254,""Sell_"",""""))))/2),ROUNDUP(INDEX(Upgrades!$C$3:$C$13,MATCH(Q1254,Upgrades!$B$3:$B$13,0))*1.15^(COUNTIF(Q$4:Q1253,Q1254)-COUNTIF(Q$4:Q1253,""Sell_""&amp;Q1254))))))"),"")</f>
        <v/>
      </c>
      <c r="V1254" s="10" t="str">
        <f t="shared" si="11"/>
        <v/>
      </c>
      <c r="W1254" s="68" t="str">
        <f t="shared" si="12"/>
        <v/>
      </c>
      <c r="X1254" s="59" t="str">
        <f t="shared" si="13"/>
        <v/>
      </c>
      <c r="Y1254" s="69" t="str">
        <f t="shared" si="14"/>
        <v/>
      </c>
      <c r="Z1254" s="11"/>
      <c r="AG1254" s="59"/>
    </row>
    <row r="1255">
      <c r="A1255" s="8"/>
      <c r="B1255" s="56" t="str">
        <f t="shared" si="2"/>
        <v/>
      </c>
      <c r="C1255" s="105"/>
      <c r="D1255" s="10"/>
      <c r="E1255" s="59" t="str">
        <f t="array" ref="E1255">IF(COUNTA(C1255:C1644)=0,"",SUM((COUNTIF(C$4:C1255,Upgrades!$B$3:$B$13)-COUNTIF(C$4:C1255,"Sell_"&amp;Upgrades!$B$3:$B$13))*Upgrades!$D$3:$D$13))</f>
        <v/>
      </c>
      <c r="F1255" s="66" t="str">
        <f>IFERROR(__xludf.DUMMYFUNCTION("IF(COUNTA(C1255:C1644)=0,"""",IF(REGEXMATCH(INDEX(FILTER(C$4:C1255,C$4:C1255&lt;&gt;""""),ROWS(FILTER(C$4:C1255,C$4:C1255&lt;&gt;""""))),""^Sell_""),INDEX(FILTER(F$4:F1254,C$4:C1254&lt;&gt;""""),ROWS(FILTER(C$4:C1254,C$4:C1254&lt;&gt;""""))),$AC$5+E1255))"),"")</f>
        <v/>
      </c>
      <c r="G1255" s="10" t="str">
        <f>IFERROR(__xludf.DUMMYFUNCTION("IF(COUNTA(C1255:C1644)=0,"""",IF(C1255="""",0,IF(REGEXMATCH(C1255,""^Sell_""),-ROUNDDOWN(ROUNDUP(INDEX(Upgrades!$C$3:$C$13,MATCH(SUBSTITUTE(C1255,""Sell_"",""""),Upgrades!$B$3:$B$13,0))*1.15^(COUNTIF(C$4:C1254,SUBSTITUTE(C1255,""Sell_"",""""))-COUNTIF(C$4"&amp;":C1254,""Sell_""&amp;SUBSTITUTE(C1255,""Sell_"",""""))))/2),ROUNDUP(INDEX(Upgrades!$C$3:$C$13,MATCH(C1255,Upgrades!$B$3:$B$13,0))*1.15^(COUNTIF(C$4:C1254,C1255)-COUNTIF(C$4:C1254,""Sell_""&amp;C1255))))))"),"")</f>
        <v/>
      </c>
      <c r="H1255" s="10" t="str">
        <f t="shared" si="3"/>
        <v/>
      </c>
      <c r="I1255" s="68" t="str">
        <f t="shared" si="4"/>
        <v/>
      </c>
      <c r="J1255" s="59" t="str">
        <f t="shared" si="5"/>
        <v/>
      </c>
      <c r="K1255" s="69" t="str">
        <f t="shared" si="6"/>
        <v/>
      </c>
      <c r="L1255" s="60" t="str">
        <f t="shared" si="7"/>
        <v/>
      </c>
      <c r="M1255" s="61" t="str">
        <f>IFERROR(__xludf.DUMMYFUNCTION("IFS(AND(COUNTA(C1255:C1644)=0,COUNTA(Q1255:Q1644)=0),"""",OR(AND(K1255&gt;=1000000000,OR(Y1255&gt;=1000000000,COUNTA(Q1255:Q1644)=0)),OR(Y1255&gt;=1000000000,AND(COUNTA(C1255:C1644)=0,P$3=TRUE))),
ROUNDDOWN((AB$1-AC$1)*MAX(INDEX(T$4:T1644,MATCH(LARGE(FILTER(Y$4:Y1"&amp;"644,Y$4:Y1644&lt;1000000000),1),Y$4:Y1644)),INDEX(F$4:F1644,MATCH(LARGE(FILTER(K$4:K1644,K$4:K1644&lt;1000000000),1),K$4:K1644)))),AND(K1255&lt;1000000000,COUNTA(C1255:C1644)&gt;0,P$3=FALSE),
ROUNDDOWN(INDEX(Y$4:Y1644,MATCH(LARGE(FILTER(W$4:W1644,W$4:W1644&lt;=I1255),1)"&amp;",W$4:W1644))+(I1255-LARGE(FILTER(W$4:W1644,W$4:W1644&lt;=I1255),1))*INDEX(T$4:T1644,MATCH(LARGE(FILTER(W$4:W1644,W$4:W1644&lt;=I1255),1),W$4:W1644))-K1255),1,
ROUNDDOWN(Y1255-INDEX(K$4:K1644,MATCH(LARGE(FILTER(I$4:I1644,I$4:I1644&lt;=W1255),1),I$4:I1644))-(W1255-L"&amp;"ARGE(FILTER(I$4:I1644,I$4:I1644&lt;=W1255),1))*INDEX(F$4:F1644,MATCH(LARGE(FILTER(I$4:I1644,I$4:I1644&lt;=W1255),1),I$4:I1644))))"),"")</f>
        <v/>
      </c>
      <c r="N1255" s="60" t="str">
        <f t="shared" si="8"/>
        <v/>
      </c>
      <c r="O1255" s="61" t="str">
        <f t="shared" si="9"/>
        <v/>
      </c>
      <c r="P1255" s="56" t="str">
        <f t="shared" si="10"/>
        <v/>
      </c>
      <c r="Q1255" s="105"/>
      <c r="R1255" s="10"/>
      <c r="S1255" s="59" t="str">
        <f t="array" ref="S1255">IF(COUNTA(Q1255:Q1644)=0,"",SUM((COUNTIF(Q$4:Q1255,Upgrades!$B$3:$B$13)-COUNTIF(Q$4:Q1255,"Sell_"&amp;Upgrades!$B$3:$B$13))*Upgrades!$D$3:$D$13))</f>
        <v/>
      </c>
      <c r="T1255" s="66" t="str">
        <f>IFERROR(__xludf.DUMMYFUNCTION("IF(COUNTA(Q1255:Q1644)=0,"""",IF(REGEXMATCH(INDEX(FILTER(Q$4:Q1255,Q$4:Q1255&lt;&gt;""""),ROWS(FILTER(Q$4:Q1255,Q$4:Q1255&lt;&gt;""""))),""^Sell_""),INDEX(FILTER(T$4:T1254,Q$4:Q1254&lt;&gt;""""),ROWS(FILTER(Q$4:Q1254,Q$4:Q1254&lt;&gt;""""))),$AD$5+S1255))"),"")</f>
        <v/>
      </c>
      <c r="U1255" s="10" t="str">
        <f>IFERROR(__xludf.DUMMYFUNCTION("IF(COUNTA(Q1255:Q1644)=0,"""",IF(Q1255="""",0,IF(REGEXMATCH(Q1255,""^Sell_""),-ROUNDDOWN(ROUNDUP(INDEX(Upgrades!$C$3:$C$13,MATCH(SUBSTITUTE(Q1255,""Sell_"",""""),Upgrades!$B$3:$B$13,0))*1.15^(COUNTIF(Q$4:Q1254,SUBSTITUTE(Q1255,""Sell_"",""""))-COUNTIF(Q$4"&amp;":Q1254,""Sell_""&amp;SUBSTITUTE(Q1255,""Sell_"",""""))))/2),ROUNDUP(INDEX(Upgrades!$C$3:$C$13,MATCH(Q1255,Upgrades!$B$3:$B$13,0))*1.15^(COUNTIF(Q$4:Q1254,Q1255)-COUNTIF(Q$4:Q1254,""Sell_""&amp;Q1255))))))"),"")</f>
        <v/>
      </c>
      <c r="V1255" s="10" t="str">
        <f t="shared" si="11"/>
        <v/>
      </c>
      <c r="W1255" s="68" t="str">
        <f t="shared" si="12"/>
        <v/>
      </c>
      <c r="X1255" s="59" t="str">
        <f t="shared" si="13"/>
        <v/>
      </c>
      <c r="Y1255" s="69" t="str">
        <f t="shared" si="14"/>
        <v/>
      </c>
      <c r="Z1255" s="11"/>
      <c r="AG1255" s="59"/>
    </row>
    <row r="1256">
      <c r="A1256" s="8"/>
      <c r="B1256" s="56" t="str">
        <f t="shared" si="2"/>
        <v/>
      </c>
      <c r="C1256" s="105"/>
      <c r="D1256" s="10"/>
      <c r="E1256" s="59" t="str">
        <f t="array" ref="E1256">IF(COUNTA(C1256:C1644)=0,"",SUM((COUNTIF(C$4:C1256,Upgrades!$B$3:$B$13)-COUNTIF(C$4:C1256,"Sell_"&amp;Upgrades!$B$3:$B$13))*Upgrades!$D$3:$D$13))</f>
        <v/>
      </c>
      <c r="F1256" s="66" t="str">
        <f>IFERROR(__xludf.DUMMYFUNCTION("IF(COUNTA(C1256:C1644)=0,"""",IF(REGEXMATCH(INDEX(FILTER(C$4:C1256,C$4:C1256&lt;&gt;""""),ROWS(FILTER(C$4:C1256,C$4:C1256&lt;&gt;""""))),""^Sell_""),INDEX(FILTER(F$4:F1255,C$4:C1255&lt;&gt;""""),ROWS(FILTER(C$4:C1255,C$4:C1255&lt;&gt;""""))),$AC$5+E1256))"),"")</f>
        <v/>
      </c>
      <c r="G1256" s="10" t="str">
        <f>IFERROR(__xludf.DUMMYFUNCTION("IF(COUNTA(C1256:C1644)=0,"""",IF(C1256="""",0,IF(REGEXMATCH(C1256,""^Sell_""),-ROUNDDOWN(ROUNDUP(INDEX(Upgrades!$C$3:$C$13,MATCH(SUBSTITUTE(C1256,""Sell_"",""""),Upgrades!$B$3:$B$13,0))*1.15^(COUNTIF(C$4:C1255,SUBSTITUTE(C1256,""Sell_"",""""))-COUNTIF(C$4"&amp;":C1255,""Sell_""&amp;SUBSTITUTE(C1256,""Sell_"",""""))))/2),ROUNDUP(INDEX(Upgrades!$C$3:$C$13,MATCH(C1256,Upgrades!$B$3:$B$13,0))*1.15^(COUNTIF(C$4:C1255,C1256)-COUNTIF(C$4:C1255,""Sell_""&amp;C1256))))))"),"")</f>
        <v/>
      </c>
      <c r="H1256" s="10" t="str">
        <f t="shared" si="3"/>
        <v/>
      </c>
      <c r="I1256" s="68" t="str">
        <f t="shared" si="4"/>
        <v/>
      </c>
      <c r="J1256" s="59" t="str">
        <f t="shared" si="5"/>
        <v/>
      </c>
      <c r="K1256" s="69" t="str">
        <f t="shared" si="6"/>
        <v/>
      </c>
      <c r="L1256" s="60" t="str">
        <f t="shared" si="7"/>
        <v/>
      </c>
      <c r="M1256" s="61" t="str">
        <f>IFERROR(__xludf.DUMMYFUNCTION("IFS(AND(COUNTA(C1256:C1644)=0,COUNTA(Q1256:Q1644)=0),"""",OR(AND(K1256&gt;=1000000000,OR(Y1256&gt;=1000000000,COUNTA(Q1256:Q1644)=0)),OR(Y1256&gt;=1000000000,AND(COUNTA(C1256:C1644)=0,P$3=TRUE))),
ROUNDDOWN((AB$1-AC$1)*MAX(INDEX(T$4:T1644,MATCH(LARGE(FILTER(Y$4:Y1"&amp;"644,Y$4:Y1644&lt;1000000000),1),Y$4:Y1644)),INDEX(F$4:F1644,MATCH(LARGE(FILTER(K$4:K1644,K$4:K1644&lt;1000000000),1),K$4:K1644)))),AND(K1256&lt;1000000000,COUNTA(C1256:C1644)&gt;0,P$3=FALSE),
ROUNDDOWN(INDEX(Y$4:Y1644,MATCH(LARGE(FILTER(W$4:W1644,W$4:W1644&lt;=I1256),1)"&amp;",W$4:W1644))+(I1256-LARGE(FILTER(W$4:W1644,W$4:W1644&lt;=I1256),1))*INDEX(T$4:T1644,MATCH(LARGE(FILTER(W$4:W1644,W$4:W1644&lt;=I1256),1),W$4:W1644))-K1256),1,
ROUNDDOWN(Y1256-INDEX(K$4:K1644,MATCH(LARGE(FILTER(I$4:I1644,I$4:I1644&lt;=W1256),1),I$4:I1644))-(W1256-L"&amp;"ARGE(FILTER(I$4:I1644,I$4:I1644&lt;=W1256),1))*INDEX(F$4:F1644,MATCH(LARGE(FILTER(I$4:I1644,I$4:I1644&lt;=W1256),1),I$4:I1644))))"),"")</f>
        <v/>
      </c>
      <c r="N1256" s="60" t="str">
        <f t="shared" si="8"/>
        <v/>
      </c>
      <c r="O1256" s="61" t="str">
        <f t="shared" si="9"/>
        <v/>
      </c>
      <c r="P1256" s="56" t="str">
        <f t="shared" si="10"/>
        <v/>
      </c>
      <c r="Q1256" s="105"/>
      <c r="R1256" s="10"/>
      <c r="S1256" s="59" t="str">
        <f t="array" ref="S1256">IF(COUNTA(Q1256:Q1644)=0,"",SUM((COUNTIF(Q$4:Q1256,Upgrades!$B$3:$B$13)-COUNTIF(Q$4:Q1256,"Sell_"&amp;Upgrades!$B$3:$B$13))*Upgrades!$D$3:$D$13))</f>
        <v/>
      </c>
      <c r="T1256" s="66" t="str">
        <f>IFERROR(__xludf.DUMMYFUNCTION("IF(COUNTA(Q1256:Q1644)=0,"""",IF(REGEXMATCH(INDEX(FILTER(Q$4:Q1256,Q$4:Q1256&lt;&gt;""""),ROWS(FILTER(Q$4:Q1256,Q$4:Q1256&lt;&gt;""""))),""^Sell_""),INDEX(FILTER(T$4:T1255,Q$4:Q1255&lt;&gt;""""),ROWS(FILTER(Q$4:Q1255,Q$4:Q1255&lt;&gt;""""))),$AD$5+S1256))"),"")</f>
        <v/>
      </c>
      <c r="U1256" s="10" t="str">
        <f>IFERROR(__xludf.DUMMYFUNCTION("IF(COUNTA(Q1256:Q1644)=0,"""",IF(Q1256="""",0,IF(REGEXMATCH(Q1256,""^Sell_""),-ROUNDDOWN(ROUNDUP(INDEX(Upgrades!$C$3:$C$13,MATCH(SUBSTITUTE(Q1256,""Sell_"",""""),Upgrades!$B$3:$B$13,0))*1.15^(COUNTIF(Q$4:Q1255,SUBSTITUTE(Q1256,""Sell_"",""""))-COUNTIF(Q$4"&amp;":Q1255,""Sell_""&amp;SUBSTITUTE(Q1256,""Sell_"",""""))))/2),ROUNDUP(INDEX(Upgrades!$C$3:$C$13,MATCH(Q1256,Upgrades!$B$3:$B$13,0))*1.15^(COUNTIF(Q$4:Q1255,Q1256)-COUNTIF(Q$4:Q1255,""Sell_""&amp;Q1256))))))"),"")</f>
        <v/>
      </c>
      <c r="V1256" s="10" t="str">
        <f t="shared" si="11"/>
        <v/>
      </c>
      <c r="W1256" s="68" t="str">
        <f t="shared" si="12"/>
        <v/>
      </c>
      <c r="X1256" s="59" t="str">
        <f t="shared" si="13"/>
        <v/>
      </c>
      <c r="Y1256" s="69" t="str">
        <f t="shared" si="14"/>
        <v/>
      </c>
      <c r="Z1256" s="11"/>
      <c r="AG1256" s="59"/>
    </row>
    <row r="1257">
      <c r="A1257" s="8"/>
      <c r="B1257" s="56" t="str">
        <f t="shared" si="2"/>
        <v/>
      </c>
      <c r="C1257" s="105"/>
      <c r="D1257" s="10"/>
      <c r="E1257" s="59" t="str">
        <f t="array" ref="E1257">IF(COUNTA(C1257:C1644)=0,"",SUM((COUNTIF(C$4:C1257,Upgrades!$B$3:$B$13)-COUNTIF(C$4:C1257,"Sell_"&amp;Upgrades!$B$3:$B$13))*Upgrades!$D$3:$D$13))</f>
        <v/>
      </c>
      <c r="F1257" s="66" t="str">
        <f>IFERROR(__xludf.DUMMYFUNCTION("IF(COUNTA(C1257:C1644)=0,"""",IF(REGEXMATCH(INDEX(FILTER(C$4:C1257,C$4:C1257&lt;&gt;""""),ROWS(FILTER(C$4:C1257,C$4:C1257&lt;&gt;""""))),""^Sell_""),INDEX(FILTER(F$4:F1256,C$4:C1256&lt;&gt;""""),ROWS(FILTER(C$4:C1256,C$4:C1256&lt;&gt;""""))),$AC$5+E1257))"),"")</f>
        <v/>
      </c>
      <c r="G1257" s="10" t="str">
        <f>IFERROR(__xludf.DUMMYFUNCTION("IF(COUNTA(C1257:C1644)=0,"""",IF(C1257="""",0,IF(REGEXMATCH(C1257,""^Sell_""),-ROUNDDOWN(ROUNDUP(INDEX(Upgrades!$C$3:$C$13,MATCH(SUBSTITUTE(C1257,""Sell_"",""""),Upgrades!$B$3:$B$13,0))*1.15^(COUNTIF(C$4:C1256,SUBSTITUTE(C1257,""Sell_"",""""))-COUNTIF(C$4"&amp;":C1256,""Sell_""&amp;SUBSTITUTE(C1257,""Sell_"",""""))))/2),ROUNDUP(INDEX(Upgrades!$C$3:$C$13,MATCH(C1257,Upgrades!$B$3:$B$13,0))*1.15^(COUNTIF(C$4:C1256,C1257)-COUNTIF(C$4:C1256,""Sell_""&amp;C1257))))))"),"")</f>
        <v/>
      </c>
      <c r="H1257" s="10" t="str">
        <f t="shared" si="3"/>
        <v/>
      </c>
      <c r="I1257" s="68" t="str">
        <f t="shared" si="4"/>
        <v/>
      </c>
      <c r="J1257" s="59" t="str">
        <f t="shared" si="5"/>
        <v/>
      </c>
      <c r="K1257" s="69" t="str">
        <f t="shared" si="6"/>
        <v/>
      </c>
      <c r="L1257" s="60" t="str">
        <f t="shared" si="7"/>
        <v/>
      </c>
      <c r="M1257" s="61" t="str">
        <f>IFERROR(__xludf.DUMMYFUNCTION("IFS(AND(COUNTA(C1257:C1644)=0,COUNTA(Q1257:Q1644)=0),"""",OR(AND(K1257&gt;=1000000000,OR(Y1257&gt;=1000000000,COUNTA(Q1257:Q1644)=0)),OR(Y1257&gt;=1000000000,AND(COUNTA(C1257:C1644)=0,P$3=TRUE))),
ROUNDDOWN((AB$1-AC$1)*MAX(INDEX(T$4:T1644,MATCH(LARGE(FILTER(Y$4:Y1"&amp;"644,Y$4:Y1644&lt;1000000000),1),Y$4:Y1644)),INDEX(F$4:F1644,MATCH(LARGE(FILTER(K$4:K1644,K$4:K1644&lt;1000000000),1),K$4:K1644)))),AND(K1257&lt;1000000000,COUNTA(C1257:C1644)&gt;0,P$3=FALSE),
ROUNDDOWN(INDEX(Y$4:Y1644,MATCH(LARGE(FILTER(W$4:W1644,W$4:W1644&lt;=I1257),1)"&amp;",W$4:W1644))+(I1257-LARGE(FILTER(W$4:W1644,W$4:W1644&lt;=I1257),1))*INDEX(T$4:T1644,MATCH(LARGE(FILTER(W$4:W1644,W$4:W1644&lt;=I1257),1),W$4:W1644))-K1257),1,
ROUNDDOWN(Y1257-INDEX(K$4:K1644,MATCH(LARGE(FILTER(I$4:I1644,I$4:I1644&lt;=W1257),1),I$4:I1644))-(W1257-L"&amp;"ARGE(FILTER(I$4:I1644,I$4:I1644&lt;=W1257),1))*INDEX(F$4:F1644,MATCH(LARGE(FILTER(I$4:I1644,I$4:I1644&lt;=W1257),1),I$4:I1644))))"),"")</f>
        <v/>
      </c>
      <c r="N1257" s="60" t="str">
        <f t="shared" si="8"/>
        <v/>
      </c>
      <c r="O1257" s="61" t="str">
        <f t="shared" si="9"/>
        <v/>
      </c>
      <c r="P1257" s="56" t="str">
        <f t="shared" si="10"/>
        <v/>
      </c>
      <c r="Q1257" s="105"/>
      <c r="R1257" s="10"/>
      <c r="S1257" s="59" t="str">
        <f t="array" ref="S1257">IF(COUNTA(Q1257:Q1644)=0,"",SUM((COUNTIF(Q$4:Q1257,Upgrades!$B$3:$B$13)-COUNTIF(Q$4:Q1257,"Sell_"&amp;Upgrades!$B$3:$B$13))*Upgrades!$D$3:$D$13))</f>
        <v/>
      </c>
      <c r="T1257" s="66" t="str">
        <f>IFERROR(__xludf.DUMMYFUNCTION("IF(COUNTA(Q1257:Q1644)=0,"""",IF(REGEXMATCH(INDEX(FILTER(Q$4:Q1257,Q$4:Q1257&lt;&gt;""""),ROWS(FILTER(Q$4:Q1257,Q$4:Q1257&lt;&gt;""""))),""^Sell_""),INDEX(FILTER(T$4:T1256,Q$4:Q1256&lt;&gt;""""),ROWS(FILTER(Q$4:Q1256,Q$4:Q1256&lt;&gt;""""))),$AD$5+S1257))"),"")</f>
        <v/>
      </c>
      <c r="U1257" s="10" t="str">
        <f>IFERROR(__xludf.DUMMYFUNCTION("IF(COUNTA(Q1257:Q1644)=0,"""",IF(Q1257="""",0,IF(REGEXMATCH(Q1257,""^Sell_""),-ROUNDDOWN(ROUNDUP(INDEX(Upgrades!$C$3:$C$13,MATCH(SUBSTITUTE(Q1257,""Sell_"",""""),Upgrades!$B$3:$B$13,0))*1.15^(COUNTIF(Q$4:Q1256,SUBSTITUTE(Q1257,""Sell_"",""""))-COUNTIF(Q$4"&amp;":Q1256,""Sell_""&amp;SUBSTITUTE(Q1257,""Sell_"",""""))))/2),ROUNDUP(INDEX(Upgrades!$C$3:$C$13,MATCH(Q1257,Upgrades!$B$3:$B$13,0))*1.15^(COUNTIF(Q$4:Q1256,Q1257)-COUNTIF(Q$4:Q1256,""Sell_""&amp;Q1257))))))"),"")</f>
        <v/>
      </c>
      <c r="V1257" s="10" t="str">
        <f t="shared" si="11"/>
        <v/>
      </c>
      <c r="W1257" s="68" t="str">
        <f t="shared" si="12"/>
        <v/>
      </c>
      <c r="X1257" s="59" t="str">
        <f t="shared" si="13"/>
        <v/>
      </c>
      <c r="Y1257" s="69" t="str">
        <f t="shared" si="14"/>
        <v/>
      </c>
      <c r="Z1257" s="11"/>
      <c r="AG1257" s="59"/>
    </row>
    <row r="1258">
      <c r="A1258" s="8"/>
      <c r="B1258" s="56" t="str">
        <f t="shared" si="2"/>
        <v/>
      </c>
      <c r="C1258" s="105"/>
      <c r="D1258" s="10"/>
      <c r="E1258" s="59" t="str">
        <f t="array" ref="E1258">IF(COUNTA(C1258:C1644)=0,"",SUM((COUNTIF(C$4:C1258,Upgrades!$B$3:$B$13)-COUNTIF(C$4:C1258,"Sell_"&amp;Upgrades!$B$3:$B$13))*Upgrades!$D$3:$D$13))</f>
        <v/>
      </c>
      <c r="F1258" s="66" t="str">
        <f>IFERROR(__xludf.DUMMYFUNCTION("IF(COUNTA(C1258:C1644)=0,"""",IF(REGEXMATCH(INDEX(FILTER(C$4:C1258,C$4:C1258&lt;&gt;""""),ROWS(FILTER(C$4:C1258,C$4:C1258&lt;&gt;""""))),""^Sell_""),INDEX(FILTER(F$4:F1257,C$4:C1257&lt;&gt;""""),ROWS(FILTER(C$4:C1257,C$4:C1257&lt;&gt;""""))),$AC$5+E1258))"),"")</f>
        <v/>
      </c>
      <c r="G1258" s="10" t="str">
        <f>IFERROR(__xludf.DUMMYFUNCTION("IF(COUNTA(C1258:C1644)=0,"""",IF(C1258="""",0,IF(REGEXMATCH(C1258,""^Sell_""),-ROUNDDOWN(ROUNDUP(INDEX(Upgrades!$C$3:$C$13,MATCH(SUBSTITUTE(C1258,""Sell_"",""""),Upgrades!$B$3:$B$13,0))*1.15^(COUNTIF(C$4:C1257,SUBSTITUTE(C1258,""Sell_"",""""))-COUNTIF(C$4"&amp;":C1257,""Sell_""&amp;SUBSTITUTE(C1258,""Sell_"",""""))))/2),ROUNDUP(INDEX(Upgrades!$C$3:$C$13,MATCH(C1258,Upgrades!$B$3:$B$13,0))*1.15^(COUNTIF(C$4:C1257,C1258)-COUNTIF(C$4:C1257,""Sell_""&amp;C1258))))))"),"")</f>
        <v/>
      </c>
      <c r="H1258" s="10" t="str">
        <f t="shared" si="3"/>
        <v/>
      </c>
      <c r="I1258" s="68" t="str">
        <f t="shared" si="4"/>
        <v/>
      </c>
      <c r="J1258" s="59" t="str">
        <f t="shared" si="5"/>
        <v/>
      </c>
      <c r="K1258" s="69" t="str">
        <f t="shared" si="6"/>
        <v/>
      </c>
      <c r="L1258" s="60" t="str">
        <f t="shared" si="7"/>
        <v/>
      </c>
      <c r="M1258" s="61" t="str">
        <f>IFERROR(__xludf.DUMMYFUNCTION("IFS(AND(COUNTA(C1258:C1644)=0,COUNTA(Q1258:Q1644)=0),"""",OR(AND(K1258&gt;=1000000000,OR(Y1258&gt;=1000000000,COUNTA(Q1258:Q1644)=0)),OR(Y1258&gt;=1000000000,AND(COUNTA(C1258:C1644)=0,P$3=TRUE))),
ROUNDDOWN((AB$1-AC$1)*MAX(INDEX(T$4:T1644,MATCH(LARGE(FILTER(Y$4:Y1"&amp;"644,Y$4:Y1644&lt;1000000000),1),Y$4:Y1644)),INDEX(F$4:F1644,MATCH(LARGE(FILTER(K$4:K1644,K$4:K1644&lt;1000000000),1),K$4:K1644)))),AND(K1258&lt;1000000000,COUNTA(C1258:C1644)&gt;0,P$3=FALSE),
ROUNDDOWN(INDEX(Y$4:Y1644,MATCH(LARGE(FILTER(W$4:W1644,W$4:W1644&lt;=I1258),1)"&amp;",W$4:W1644))+(I1258-LARGE(FILTER(W$4:W1644,W$4:W1644&lt;=I1258),1))*INDEX(T$4:T1644,MATCH(LARGE(FILTER(W$4:W1644,W$4:W1644&lt;=I1258),1),W$4:W1644))-K1258),1,
ROUNDDOWN(Y1258-INDEX(K$4:K1644,MATCH(LARGE(FILTER(I$4:I1644,I$4:I1644&lt;=W1258),1),I$4:I1644))-(W1258-L"&amp;"ARGE(FILTER(I$4:I1644,I$4:I1644&lt;=W1258),1))*INDEX(F$4:F1644,MATCH(LARGE(FILTER(I$4:I1644,I$4:I1644&lt;=W1258),1),I$4:I1644))))"),"")</f>
        <v/>
      </c>
      <c r="N1258" s="60" t="str">
        <f t="shared" si="8"/>
        <v/>
      </c>
      <c r="O1258" s="61" t="str">
        <f t="shared" si="9"/>
        <v/>
      </c>
      <c r="P1258" s="56" t="str">
        <f t="shared" si="10"/>
        <v/>
      </c>
      <c r="Q1258" s="105"/>
      <c r="R1258" s="10"/>
      <c r="S1258" s="59" t="str">
        <f t="array" ref="S1258">IF(COUNTA(Q1258:Q1644)=0,"",SUM((COUNTIF(Q$4:Q1258,Upgrades!$B$3:$B$13)-COUNTIF(Q$4:Q1258,"Sell_"&amp;Upgrades!$B$3:$B$13))*Upgrades!$D$3:$D$13))</f>
        <v/>
      </c>
      <c r="T1258" s="66" t="str">
        <f>IFERROR(__xludf.DUMMYFUNCTION("IF(COUNTA(Q1258:Q1644)=0,"""",IF(REGEXMATCH(INDEX(FILTER(Q$4:Q1258,Q$4:Q1258&lt;&gt;""""),ROWS(FILTER(Q$4:Q1258,Q$4:Q1258&lt;&gt;""""))),""^Sell_""),INDEX(FILTER(T$4:T1257,Q$4:Q1257&lt;&gt;""""),ROWS(FILTER(Q$4:Q1257,Q$4:Q1257&lt;&gt;""""))),$AD$5+S1258))"),"")</f>
        <v/>
      </c>
      <c r="U1258" s="10" t="str">
        <f>IFERROR(__xludf.DUMMYFUNCTION("IF(COUNTA(Q1258:Q1644)=0,"""",IF(Q1258="""",0,IF(REGEXMATCH(Q1258,""^Sell_""),-ROUNDDOWN(ROUNDUP(INDEX(Upgrades!$C$3:$C$13,MATCH(SUBSTITUTE(Q1258,""Sell_"",""""),Upgrades!$B$3:$B$13,0))*1.15^(COUNTIF(Q$4:Q1257,SUBSTITUTE(Q1258,""Sell_"",""""))-COUNTIF(Q$4"&amp;":Q1257,""Sell_""&amp;SUBSTITUTE(Q1258,""Sell_"",""""))))/2),ROUNDUP(INDEX(Upgrades!$C$3:$C$13,MATCH(Q1258,Upgrades!$B$3:$B$13,0))*1.15^(COUNTIF(Q$4:Q1257,Q1258)-COUNTIF(Q$4:Q1257,""Sell_""&amp;Q1258))))))"),"")</f>
        <v/>
      </c>
      <c r="V1258" s="10" t="str">
        <f t="shared" si="11"/>
        <v/>
      </c>
      <c r="W1258" s="68" t="str">
        <f t="shared" si="12"/>
        <v/>
      </c>
      <c r="X1258" s="59" t="str">
        <f t="shared" si="13"/>
        <v/>
      </c>
      <c r="Y1258" s="69" t="str">
        <f t="shared" si="14"/>
        <v/>
      </c>
      <c r="Z1258" s="11"/>
      <c r="AG1258" s="59"/>
    </row>
    <row r="1259">
      <c r="A1259" s="8"/>
      <c r="B1259" s="56" t="str">
        <f t="shared" si="2"/>
        <v/>
      </c>
      <c r="C1259" s="105"/>
      <c r="D1259" s="10"/>
      <c r="E1259" s="59" t="str">
        <f t="array" ref="E1259">IF(COUNTA(C1259:C1644)=0,"",SUM((COUNTIF(C$4:C1259,Upgrades!$B$3:$B$13)-COUNTIF(C$4:C1259,"Sell_"&amp;Upgrades!$B$3:$B$13))*Upgrades!$D$3:$D$13))</f>
        <v/>
      </c>
      <c r="F1259" s="66" t="str">
        <f>IFERROR(__xludf.DUMMYFUNCTION("IF(COUNTA(C1259:C1644)=0,"""",IF(REGEXMATCH(INDEX(FILTER(C$4:C1259,C$4:C1259&lt;&gt;""""),ROWS(FILTER(C$4:C1259,C$4:C1259&lt;&gt;""""))),""^Sell_""),INDEX(FILTER(F$4:F1258,C$4:C1258&lt;&gt;""""),ROWS(FILTER(C$4:C1258,C$4:C1258&lt;&gt;""""))),$AC$5+E1259))"),"")</f>
        <v/>
      </c>
      <c r="G1259" s="10" t="str">
        <f>IFERROR(__xludf.DUMMYFUNCTION("IF(COUNTA(C1259:C1644)=0,"""",IF(C1259="""",0,IF(REGEXMATCH(C1259,""^Sell_""),-ROUNDDOWN(ROUNDUP(INDEX(Upgrades!$C$3:$C$13,MATCH(SUBSTITUTE(C1259,""Sell_"",""""),Upgrades!$B$3:$B$13,0))*1.15^(COUNTIF(C$4:C1258,SUBSTITUTE(C1259,""Sell_"",""""))-COUNTIF(C$4"&amp;":C1258,""Sell_""&amp;SUBSTITUTE(C1259,""Sell_"",""""))))/2),ROUNDUP(INDEX(Upgrades!$C$3:$C$13,MATCH(C1259,Upgrades!$B$3:$B$13,0))*1.15^(COUNTIF(C$4:C1258,C1259)-COUNTIF(C$4:C1258,""Sell_""&amp;C1259))))))"),"")</f>
        <v/>
      </c>
      <c r="H1259" s="10" t="str">
        <f t="shared" si="3"/>
        <v/>
      </c>
      <c r="I1259" s="68" t="str">
        <f t="shared" si="4"/>
        <v/>
      </c>
      <c r="J1259" s="59" t="str">
        <f t="shared" si="5"/>
        <v/>
      </c>
      <c r="K1259" s="69" t="str">
        <f t="shared" si="6"/>
        <v/>
      </c>
      <c r="L1259" s="60" t="str">
        <f t="shared" si="7"/>
        <v/>
      </c>
      <c r="M1259" s="61" t="str">
        <f>IFERROR(__xludf.DUMMYFUNCTION("IFS(AND(COUNTA(C1259:C1644)=0,COUNTA(Q1259:Q1644)=0),"""",OR(AND(K1259&gt;=1000000000,OR(Y1259&gt;=1000000000,COUNTA(Q1259:Q1644)=0)),OR(Y1259&gt;=1000000000,AND(COUNTA(C1259:C1644)=0,P$3=TRUE))),
ROUNDDOWN((AB$1-AC$1)*MAX(INDEX(T$4:T1644,MATCH(LARGE(FILTER(Y$4:Y1"&amp;"644,Y$4:Y1644&lt;1000000000),1),Y$4:Y1644)),INDEX(F$4:F1644,MATCH(LARGE(FILTER(K$4:K1644,K$4:K1644&lt;1000000000),1),K$4:K1644)))),AND(K1259&lt;1000000000,COUNTA(C1259:C1644)&gt;0,P$3=FALSE),
ROUNDDOWN(INDEX(Y$4:Y1644,MATCH(LARGE(FILTER(W$4:W1644,W$4:W1644&lt;=I1259),1)"&amp;",W$4:W1644))+(I1259-LARGE(FILTER(W$4:W1644,W$4:W1644&lt;=I1259),1))*INDEX(T$4:T1644,MATCH(LARGE(FILTER(W$4:W1644,W$4:W1644&lt;=I1259),1),W$4:W1644))-K1259),1,
ROUNDDOWN(Y1259-INDEX(K$4:K1644,MATCH(LARGE(FILTER(I$4:I1644,I$4:I1644&lt;=W1259),1),I$4:I1644))-(W1259-L"&amp;"ARGE(FILTER(I$4:I1644,I$4:I1644&lt;=W1259),1))*INDEX(F$4:F1644,MATCH(LARGE(FILTER(I$4:I1644,I$4:I1644&lt;=W1259),1),I$4:I1644))))"),"")</f>
        <v/>
      </c>
      <c r="N1259" s="60" t="str">
        <f t="shared" si="8"/>
        <v/>
      </c>
      <c r="O1259" s="61" t="str">
        <f t="shared" si="9"/>
        <v/>
      </c>
      <c r="P1259" s="56" t="str">
        <f t="shared" si="10"/>
        <v/>
      </c>
      <c r="Q1259" s="105"/>
      <c r="R1259" s="10"/>
      <c r="S1259" s="59" t="str">
        <f t="array" ref="S1259">IF(COUNTA(Q1259:Q1644)=0,"",SUM((COUNTIF(Q$4:Q1259,Upgrades!$B$3:$B$13)-COUNTIF(Q$4:Q1259,"Sell_"&amp;Upgrades!$B$3:$B$13))*Upgrades!$D$3:$D$13))</f>
        <v/>
      </c>
      <c r="T1259" s="66" t="str">
        <f>IFERROR(__xludf.DUMMYFUNCTION("IF(COUNTA(Q1259:Q1644)=0,"""",IF(REGEXMATCH(INDEX(FILTER(Q$4:Q1259,Q$4:Q1259&lt;&gt;""""),ROWS(FILTER(Q$4:Q1259,Q$4:Q1259&lt;&gt;""""))),""^Sell_""),INDEX(FILTER(T$4:T1258,Q$4:Q1258&lt;&gt;""""),ROWS(FILTER(Q$4:Q1258,Q$4:Q1258&lt;&gt;""""))),$AD$5+S1259))"),"")</f>
        <v/>
      </c>
      <c r="U1259" s="10" t="str">
        <f>IFERROR(__xludf.DUMMYFUNCTION("IF(COUNTA(Q1259:Q1644)=0,"""",IF(Q1259="""",0,IF(REGEXMATCH(Q1259,""^Sell_""),-ROUNDDOWN(ROUNDUP(INDEX(Upgrades!$C$3:$C$13,MATCH(SUBSTITUTE(Q1259,""Sell_"",""""),Upgrades!$B$3:$B$13,0))*1.15^(COUNTIF(Q$4:Q1258,SUBSTITUTE(Q1259,""Sell_"",""""))-COUNTIF(Q$4"&amp;":Q1258,""Sell_""&amp;SUBSTITUTE(Q1259,""Sell_"",""""))))/2),ROUNDUP(INDEX(Upgrades!$C$3:$C$13,MATCH(Q1259,Upgrades!$B$3:$B$13,0))*1.15^(COUNTIF(Q$4:Q1258,Q1259)-COUNTIF(Q$4:Q1258,""Sell_""&amp;Q1259))))))"),"")</f>
        <v/>
      </c>
      <c r="V1259" s="10" t="str">
        <f t="shared" si="11"/>
        <v/>
      </c>
      <c r="W1259" s="68" t="str">
        <f t="shared" si="12"/>
        <v/>
      </c>
      <c r="X1259" s="59" t="str">
        <f t="shared" si="13"/>
        <v/>
      </c>
      <c r="Y1259" s="69" t="str">
        <f t="shared" si="14"/>
        <v/>
      </c>
      <c r="Z1259" s="11"/>
      <c r="AG1259" s="59"/>
    </row>
    <row r="1260">
      <c r="A1260" s="8"/>
      <c r="B1260" s="56" t="str">
        <f t="shared" si="2"/>
        <v/>
      </c>
      <c r="C1260" s="105"/>
      <c r="D1260" s="10"/>
      <c r="E1260" s="59" t="str">
        <f t="array" ref="E1260">IF(COUNTA(C1260:C1644)=0,"",SUM((COUNTIF(C$4:C1260,Upgrades!$B$3:$B$13)-COUNTIF(C$4:C1260,"Sell_"&amp;Upgrades!$B$3:$B$13))*Upgrades!$D$3:$D$13))</f>
        <v/>
      </c>
      <c r="F1260" s="66" t="str">
        <f>IFERROR(__xludf.DUMMYFUNCTION("IF(COUNTA(C1260:C1644)=0,"""",IF(REGEXMATCH(INDEX(FILTER(C$4:C1260,C$4:C1260&lt;&gt;""""),ROWS(FILTER(C$4:C1260,C$4:C1260&lt;&gt;""""))),""^Sell_""),INDEX(FILTER(F$4:F1259,C$4:C1259&lt;&gt;""""),ROWS(FILTER(C$4:C1259,C$4:C1259&lt;&gt;""""))),$AC$5+E1260))"),"")</f>
        <v/>
      </c>
      <c r="G1260" s="10" t="str">
        <f>IFERROR(__xludf.DUMMYFUNCTION("IF(COUNTA(C1260:C1644)=0,"""",IF(C1260="""",0,IF(REGEXMATCH(C1260,""^Sell_""),-ROUNDDOWN(ROUNDUP(INDEX(Upgrades!$C$3:$C$13,MATCH(SUBSTITUTE(C1260,""Sell_"",""""),Upgrades!$B$3:$B$13,0))*1.15^(COUNTIF(C$4:C1259,SUBSTITUTE(C1260,""Sell_"",""""))-COUNTIF(C$4"&amp;":C1259,""Sell_""&amp;SUBSTITUTE(C1260,""Sell_"",""""))))/2),ROUNDUP(INDEX(Upgrades!$C$3:$C$13,MATCH(C1260,Upgrades!$B$3:$B$13,0))*1.15^(COUNTIF(C$4:C1259,C1260)-COUNTIF(C$4:C1259,""Sell_""&amp;C1260))))))"),"")</f>
        <v/>
      </c>
      <c r="H1260" s="10" t="str">
        <f t="shared" si="3"/>
        <v/>
      </c>
      <c r="I1260" s="68" t="str">
        <f t="shared" si="4"/>
        <v/>
      </c>
      <c r="J1260" s="59" t="str">
        <f t="shared" si="5"/>
        <v/>
      </c>
      <c r="K1260" s="69" t="str">
        <f t="shared" si="6"/>
        <v/>
      </c>
      <c r="L1260" s="60" t="str">
        <f t="shared" si="7"/>
        <v/>
      </c>
      <c r="M1260" s="61" t="str">
        <f>IFERROR(__xludf.DUMMYFUNCTION("IFS(AND(COUNTA(C1260:C1644)=0,COUNTA(Q1260:Q1644)=0),"""",OR(AND(K1260&gt;=1000000000,OR(Y1260&gt;=1000000000,COUNTA(Q1260:Q1644)=0)),OR(Y1260&gt;=1000000000,AND(COUNTA(C1260:C1644)=0,P$3=TRUE))),
ROUNDDOWN((AB$1-AC$1)*MAX(INDEX(T$4:T1644,MATCH(LARGE(FILTER(Y$4:Y1"&amp;"644,Y$4:Y1644&lt;1000000000),1),Y$4:Y1644)),INDEX(F$4:F1644,MATCH(LARGE(FILTER(K$4:K1644,K$4:K1644&lt;1000000000),1),K$4:K1644)))),AND(K1260&lt;1000000000,COUNTA(C1260:C1644)&gt;0,P$3=FALSE),
ROUNDDOWN(INDEX(Y$4:Y1644,MATCH(LARGE(FILTER(W$4:W1644,W$4:W1644&lt;=I1260),1)"&amp;",W$4:W1644))+(I1260-LARGE(FILTER(W$4:W1644,W$4:W1644&lt;=I1260),1))*INDEX(T$4:T1644,MATCH(LARGE(FILTER(W$4:W1644,W$4:W1644&lt;=I1260),1),W$4:W1644))-K1260),1,
ROUNDDOWN(Y1260-INDEX(K$4:K1644,MATCH(LARGE(FILTER(I$4:I1644,I$4:I1644&lt;=W1260),1),I$4:I1644))-(W1260-L"&amp;"ARGE(FILTER(I$4:I1644,I$4:I1644&lt;=W1260),1))*INDEX(F$4:F1644,MATCH(LARGE(FILTER(I$4:I1644,I$4:I1644&lt;=W1260),1),I$4:I1644))))"),"")</f>
        <v/>
      </c>
      <c r="N1260" s="60" t="str">
        <f t="shared" si="8"/>
        <v/>
      </c>
      <c r="O1260" s="61" t="str">
        <f t="shared" si="9"/>
        <v/>
      </c>
      <c r="P1260" s="56" t="str">
        <f t="shared" si="10"/>
        <v/>
      </c>
      <c r="Q1260" s="105"/>
      <c r="R1260" s="10"/>
      <c r="S1260" s="59" t="str">
        <f t="array" ref="S1260">IF(COUNTA(Q1260:Q1644)=0,"",SUM((COUNTIF(Q$4:Q1260,Upgrades!$B$3:$B$13)-COUNTIF(Q$4:Q1260,"Sell_"&amp;Upgrades!$B$3:$B$13))*Upgrades!$D$3:$D$13))</f>
        <v/>
      </c>
      <c r="T1260" s="66" t="str">
        <f>IFERROR(__xludf.DUMMYFUNCTION("IF(COUNTA(Q1260:Q1644)=0,"""",IF(REGEXMATCH(INDEX(FILTER(Q$4:Q1260,Q$4:Q1260&lt;&gt;""""),ROWS(FILTER(Q$4:Q1260,Q$4:Q1260&lt;&gt;""""))),""^Sell_""),INDEX(FILTER(T$4:T1259,Q$4:Q1259&lt;&gt;""""),ROWS(FILTER(Q$4:Q1259,Q$4:Q1259&lt;&gt;""""))),$AD$5+S1260))"),"")</f>
        <v/>
      </c>
      <c r="U1260" s="10" t="str">
        <f>IFERROR(__xludf.DUMMYFUNCTION("IF(COUNTA(Q1260:Q1644)=0,"""",IF(Q1260="""",0,IF(REGEXMATCH(Q1260,""^Sell_""),-ROUNDDOWN(ROUNDUP(INDEX(Upgrades!$C$3:$C$13,MATCH(SUBSTITUTE(Q1260,""Sell_"",""""),Upgrades!$B$3:$B$13,0))*1.15^(COUNTIF(Q$4:Q1259,SUBSTITUTE(Q1260,""Sell_"",""""))-COUNTIF(Q$4"&amp;":Q1259,""Sell_""&amp;SUBSTITUTE(Q1260,""Sell_"",""""))))/2),ROUNDUP(INDEX(Upgrades!$C$3:$C$13,MATCH(Q1260,Upgrades!$B$3:$B$13,0))*1.15^(COUNTIF(Q$4:Q1259,Q1260)-COUNTIF(Q$4:Q1259,""Sell_""&amp;Q1260))))))"),"")</f>
        <v/>
      </c>
      <c r="V1260" s="10" t="str">
        <f t="shared" si="11"/>
        <v/>
      </c>
      <c r="W1260" s="68" t="str">
        <f t="shared" si="12"/>
        <v/>
      </c>
      <c r="X1260" s="59" t="str">
        <f t="shared" si="13"/>
        <v/>
      </c>
      <c r="Y1260" s="69" t="str">
        <f t="shared" si="14"/>
        <v/>
      </c>
      <c r="Z1260" s="11"/>
      <c r="AG1260" s="59"/>
    </row>
    <row r="1261">
      <c r="A1261" s="8"/>
      <c r="B1261" s="56" t="str">
        <f t="shared" si="2"/>
        <v/>
      </c>
      <c r="C1261" s="105"/>
      <c r="D1261" s="10"/>
      <c r="E1261" s="59" t="str">
        <f t="array" ref="E1261">IF(COUNTA(C1261:C1644)=0,"",SUM((COUNTIF(C$4:C1261,Upgrades!$B$3:$B$13)-COUNTIF(C$4:C1261,"Sell_"&amp;Upgrades!$B$3:$B$13))*Upgrades!$D$3:$D$13))</f>
        <v/>
      </c>
      <c r="F1261" s="66" t="str">
        <f>IFERROR(__xludf.DUMMYFUNCTION("IF(COUNTA(C1261:C1644)=0,"""",IF(REGEXMATCH(INDEX(FILTER(C$4:C1261,C$4:C1261&lt;&gt;""""),ROWS(FILTER(C$4:C1261,C$4:C1261&lt;&gt;""""))),""^Sell_""),INDEX(FILTER(F$4:F1260,C$4:C1260&lt;&gt;""""),ROWS(FILTER(C$4:C1260,C$4:C1260&lt;&gt;""""))),$AC$5+E1261))"),"")</f>
        <v/>
      </c>
      <c r="G1261" s="10" t="str">
        <f>IFERROR(__xludf.DUMMYFUNCTION("IF(COUNTA(C1261:C1644)=0,"""",IF(C1261="""",0,IF(REGEXMATCH(C1261,""^Sell_""),-ROUNDDOWN(ROUNDUP(INDEX(Upgrades!$C$3:$C$13,MATCH(SUBSTITUTE(C1261,""Sell_"",""""),Upgrades!$B$3:$B$13,0))*1.15^(COUNTIF(C$4:C1260,SUBSTITUTE(C1261,""Sell_"",""""))-COUNTIF(C$4"&amp;":C1260,""Sell_""&amp;SUBSTITUTE(C1261,""Sell_"",""""))))/2),ROUNDUP(INDEX(Upgrades!$C$3:$C$13,MATCH(C1261,Upgrades!$B$3:$B$13,0))*1.15^(COUNTIF(C$4:C1260,C1261)-COUNTIF(C$4:C1260,""Sell_""&amp;C1261))))))"),"")</f>
        <v/>
      </c>
      <c r="H1261" s="10" t="str">
        <f t="shared" si="3"/>
        <v/>
      </c>
      <c r="I1261" s="68" t="str">
        <f t="shared" si="4"/>
        <v/>
      </c>
      <c r="J1261" s="59" t="str">
        <f t="shared" si="5"/>
        <v/>
      </c>
      <c r="K1261" s="69" t="str">
        <f t="shared" si="6"/>
        <v/>
      </c>
      <c r="L1261" s="60" t="str">
        <f t="shared" si="7"/>
        <v/>
      </c>
      <c r="M1261" s="61" t="str">
        <f>IFERROR(__xludf.DUMMYFUNCTION("IFS(AND(COUNTA(C1261:C1644)=0,COUNTA(Q1261:Q1644)=0),"""",OR(AND(K1261&gt;=1000000000,OR(Y1261&gt;=1000000000,COUNTA(Q1261:Q1644)=0)),OR(Y1261&gt;=1000000000,AND(COUNTA(C1261:C1644)=0,P$3=TRUE))),
ROUNDDOWN((AB$1-AC$1)*MAX(INDEX(T$4:T1644,MATCH(LARGE(FILTER(Y$4:Y1"&amp;"644,Y$4:Y1644&lt;1000000000),1),Y$4:Y1644)),INDEX(F$4:F1644,MATCH(LARGE(FILTER(K$4:K1644,K$4:K1644&lt;1000000000),1),K$4:K1644)))),AND(K1261&lt;1000000000,COUNTA(C1261:C1644)&gt;0,P$3=FALSE),
ROUNDDOWN(INDEX(Y$4:Y1644,MATCH(LARGE(FILTER(W$4:W1644,W$4:W1644&lt;=I1261),1)"&amp;",W$4:W1644))+(I1261-LARGE(FILTER(W$4:W1644,W$4:W1644&lt;=I1261),1))*INDEX(T$4:T1644,MATCH(LARGE(FILTER(W$4:W1644,W$4:W1644&lt;=I1261),1),W$4:W1644))-K1261),1,
ROUNDDOWN(Y1261-INDEX(K$4:K1644,MATCH(LARGE(FILTER(I$4:I1644,I$4:I1644&lt;=W1261),1),I$4:I1644))-(W1261-L"&amp;"ARGE(FILTER(I$4:I1644,I$4:I1644&lt;=W1261),1))*INDEX(F$4:F1644,MATCH(LARGE(FILTER(I$4:I1644,I$4:I1644&lt;=W1261),1),I$4:I1644))))"),"")</f>
        <v/>
      </c>
      <c r="N1261" s="60" t="str">
        <f t="shared" si="8"/>
        <v/>
      </c>
      <c r="O1261" s="61" t="str">
        <f t="shared" si="9"/>
        <v/>
      </c>
      <c r="P1261" s="56" t="str">
        <f t="shared" si="10"/>
        <v/>
      </c>
      <c r="Q1261" s="105"/>
      <c r="R1261" s="10"/>
      <c r="S1261" s="59" t="str">
        <f t="array" ref="S1261">IF(COUNTA(Q1261:Q1644)=0,"",SUM((COUNTIF(Q$4:Q1261,Upgrades!$B$3:$B$13)-COUNTIF(Q$4:Q1261,"Sell_"&amp;Upgrades!$B$3:$B$13))*Upgrades!$D$3:$D$13))</f>
        <v/>
      </c>
      <c r="T1261" s="66" t="str">
        <f>IFERROR(__xludf.DUMMYFUNCTION("IF(COUNTA(Q1261:Q1644)=0,"""",IF(REGEXMATCH(INDEX(FILTER(Q$4:Q1261,Q$4:Q1261&lt;&gt;""""),ROWS(FILTER(Q$4:Q1261,Q$4:Q1261&lt;&gt;""""))),""^Sell_""),INDEX(FILTER(T$4:T1260,Q$4:Q1260&lt;&gt;""""),ROWS(FILTER(Q$4:Q1260,Q$4:Q1260&lt;&gt;""""))),$AD$5+S1261))"),"")</f>
        <v/>
      </c>
      <c r="U1261" s="10" t="str">
        <f>IFERROR(__xludf.DUMMYFUNCTION("IF(COUNTA(Q1261:Q1644)=0,"""",IF(Q1261="""",0,IF(REGEXMATCH(Q1261,""^Sell_""),-ROUNDDOWN(ROUNDUP(INDEX(Upgrades!$C$3:$C$13,MATCH(SUBSTITUTE(Q1261,""Sell_"",""""),Upgrades!$B$3:$B$13,0))*1.15^(COUNTIF(Q$4:Q1260,SUBSTITUTE(Q1261,""Sell_"",""""))-COUNTIF(Q$4"&amp;":Q1260,""Sell_""&amp;SUBSTITUTE(Q1261,""Sell_"",""""))))/2),ROUNDUP(INDEX(Upgrades!$C$3:$C$13,MATCH(Q1261,Upgrades!$B$3:$B$13,0))*1.15^(COUNTIF(Q$4:Q1260,Q1261)-COUNTIF(Q$4:Q1260,""Sell_""&amp;Q1261))))))"),"")</f>
        <v/>
      </c>
      <c r="V1261" s="10" t="str">
        <f t="shared" si="11"/>
        <v/>
      </c>
      <c r="W1261" s="68" t="str">
        <f t="shared" si="12"/>
        <v/>
      </c>
      <c r="X1261" s="59" t="str">
        <f t="shared" si="13"/>
        <v/>
      </c>
      <c r="Y1261" s="69" t="str">
        <f t="shared" si="14"/>
        <v/>
      </c>
      <c r="Z1261" s="11"/>
      <c r="AG1261" s="59"/>
    </row>
    <row r="1262">
      <c r="A1262" s="8"/>
      <c r="B1262" s="56" t="str">
        <f t="shared" si="2"/>
        <v/>
      </c>
      <c r="C1262" s="105"/>
      <c r="D1262" s="10"/>
      <c r="E1262" s="59" t="str">
        <f t="array" ref="E1262">IF(COUNTA(C1262:C1644)=0,"",SUM((COUNTIF(C$4:C1262,Upgrades!$B$3:$B$13)-COUNTIF(C$4:C1262,"Sell_"&amp;Upgrades!$B$3:$B$13))*Upgrades!$D$3:$D$13))</f>
        <v/>
      </c>
      <c r="F1262" s="66" t="str">
        <f>IFERROR(__xludf.DUMMYFUNCTION("IF(COUNTA(C1262:C1644)=0,"""",IF(REGEXMATCH(INDEX(FILTER(C$4:C1262,C$4:C1262&lt;&gt;""""),ROWS(FILTER(C$4:C1262,C$4:C1262&lt;&gt;""""))),""^Sell_""),INDEX(FILTER(F$4:F1261,C$4:C1261&lt;&gt;""""),ROWS(FILTER(C$4:C1261,C$4:C1261&lt;&gt;""""))),$AC$5+E1262))"),"")</f>
        <v/>
      </c>
      <c r="G1262" s="10" t="str">
        <f>IFERROR(__xludf.DUMMYFUNCTION("IF(COUNTA(C1262:C1644)=0,"""",IF(C1262="""",0,IF(REGEXMATCH(C1262,""^Sell_""),-ROUNDDOWN(ROUNDUP(INDEX(Upgrades!$C$3:$C$13,MATCH(SUBSTITUTE(C1262,""Sell_"",""""),Upgrades!$B$3:$B$13,0))*1.15^(COUNTIF(C$4:C1261,SUBSTITUTE(C1262,""Sell_"",""""))-COUNTIF(C$4"&amp;":C1261,""Sell_""&amp;SUBSTITUTE(C1262,""Sell_"",""""))))/2),ROUNDUP(INDEX(Upgrades!$C$3:$C$13,MATCH(C1262,Upgrades!$B$3:$B$13,0))*1.15^(COUNTIF(C$4:C1261,C1262)-COUNTIF(C$4:C1261,""Sell_""&amp;C1262))))))"),"")</f>
        <v/>
      </c>
      <c r="H1262" s="10" t="str">
        <f t="shared" si="3"/>
        <v/>
      </c>
      <c r="I1262" s="68" t="str">
        <f t="shared" si="4"/>
        <v/>
      </c>
      <c r="J1262" s="59" t="str">
        <f t="shared" si="5"/>
        <v/>
      </c>
      <c r="K1262" s="69" t="str">
        <f t="shared" si="6"/>
        <v/>
      </c>
      <c r="L1262" s="60" t="str">
        <f t="shared" si="7"/>
        <v/>
      </c>
      <c r="M1262" s="61" t="str">
        <f>IFERROR(__xludf.DUMMYFUNCTION("IFS(AND(COUNTA(C1262:C1644)=0,COUNTA(Q1262:Q1644)=0),"""",OR(AND(K1262&gt;=1000000000,OR(Y1262&gt;=1000000000,COUNTA(Q1262:Q1644)=0)),OR(Y1262&gt;=1000000000,AND(COUNTA(C1262:C1644)=0,P$3=TRUE))),
ROUNDDOWN((AB$1-AC$1)*MAX(INDEX(T$4:T1644,MATCH(LARGE(FILTER(Y$4:Y1"&amp;"644,Y$4:Y1644&lt;1000000000),1),Y$4:Y1644)),INDEX(F$4:F1644,MATCH(LARGE(FILTER(K$4:K1644,K$4:K1644&lt;1000000000),1),K$4:K1644)))),AND(K1262&lt;1000000000,COUNTA(C1262:C1644)&gt;0,P$3=FALSE),
ROUNDDOWN(INDEX(Y$4:Y1644,MATCH(LARGE(FILTER(W$4:W1644,W$4:W1644&lt;=I1262),1)"&amp;",W$4:W1644))+(I1262-LARGE(FILTER(W$4:W1644,W$4:W1644&lt;=I1262),1))*INDEX(T$4:T1644,MATCH(LARGE(FILTER(W$4:W1644,W$4:W1644&lt;=I1262),1),W$4:W1644))-K1262),1,
ROUNDDOWN(Y1262-INDEX(K$4:K1644,MATCH(LARGE(FILTER(I$4:I1644,I$4:I1644&lt;=W1262),1),I$4:I1644))-(W1262-L"&amp;"ARGE(FILTER(I$4:I1644,I$4:I1644&lt;=W1262),1))*INDEX(F$4:F1644,MATCH(LARGE(FILTER(I$4:I1644,I$4:I1644&lt;=W1262),1),I$4:I1644))))"),"")</f>
        <v/>
      </c>
      <c r="N1262" s="60" t="str">
        <f t="shared" si="8"/>
        <v/>
      </c>
      <c r="O1262" s="61" t="str">
        <f t="shared" si="9"/>
        <v/>
      </c>
      <c r="P1262" s="56" t="str">
        <f t="shared" si="10"/>
        <v/>
      </c>
      <c r="Q1262" s="105"/>
      <c r="R1262" s="10"/>
      <c r="S1262" s="59" t="str">
        <f t="array" ref="S1262">IF(COUNTA(Q1262:Q1644)=0,"",SUM((COUNTIF(Q$4:Q1262,Upgrades!$B$3:$B$13)-COUNTIF(Q$4:Q1262,"Sell_"&amp;Upgrades!$B$3:$B$13))*Upgrades!$D$3:$D$13))</f>
        <v/>
      </c>
      <c r="T1262" s="66" t="str">
        <f>IFERROR(__xludf.DUMMYFUNCTION("IF(COUNTA(Q1262:Q1644)=0,"""",IF(REGEXMATCH(INDEX(FILTER(Q$4:Q1262,Q$4:Q1262&lt;&gt;""""),ROWS(FILTER(Q$4:Q1262,Q$4:Q1262&lt;&gt;""""))),""^Sell_""),INDEX(FILTER(T$4:T1261,Q$4:Q1261&lt;&gt;""""),ROWS(FILTER(Q$4:Q1261,Q$4:Q1261&lt;&gt;""""))),$AD$5+S1262))"),"")</f>
        <v/>
      </c>
      <c r="U1262" s="10" t="str">
        <f>IFERROR(__xludf.DUMMYFUNCTION("IF(COUNTA(Q1262:Q1644)=0,"""",IF(Q1262="""",0,IF(REGEXMATCH(Q1262,""^Sell_""),-ROUNDDOWN(ROUNDUP(INDEX(Upgrades!$C$3:$C$13,MATCH(SUBSTITUTE(Q1262,""Sell_"",""""),Upgrades!$B$3:$B$13,0))*1.15^(COUNTIF(Q$4:Q1261,SUBSTITUTE(Q1262,""Sell_"",""""))-COUNTIF(Q$4"&amp;":Q1261,""Sell_""&amp;SUBSTITUTE(Q1262,""Sell_"",""""))))/2),ROUNDUP(INDEX(Upgrades!$C$3:$C$13,MATCH(Q1262,Upgrades!$B$3:$B$13,0))*1.15^(COUNTIF(Q$4:Q1261,Q1262)-COUNTIF(Q$4:Q1261,""Sell_""&amp;Q1262))))))"),"")</f>
        <v/>
      </c>
      <c r="V1262" s="10" t="str">
        <f t="shared" si="11"/>
        <v/>
      </c>
      <c r="W1262" s="68" t="str">
        <f t="shared" si="12"/>
        <v/>
      </c>
      <c r="X1262" s="59" t="str">
        <f t="shared" si="13"/>
        <v/>
      </c>
      <c r="Y1262" s="69" t="str">
        <f t="shared" si="14"/>
        <v/>
      </c>
      <c r="Z1262" s="11"/>
      <c r="AG1262" s="59"/>
    </row>
    <row r="1263">
      <c r="A1263" s="8"/>
      <c r="B1263" s="56" t="str">
        <f t="shared" si="2"/>
        <v/>
      </c>
      <c r="C1263" s="105"/>
      <c r="D1263" s="10"/>
      <c r="E1263" s="59" t="str">
        <f t="array" ref="E1263">IF(COUNTA(C1263:C1644)=0,"",SUM((COUNTIF(C$4:C1263,Upgrades!$B$3:$B$13)-COUNTIF(C$4:C1263,"Sell_"&amp;Upgrades!$B$3:$B$13))*Upgrades!$D$3:$D$13))</f>
        <v/>
      </c>
      <c r="F1263" s="66" t="str">
        <f>IFERROR(__xludf.DUMMYFUNCTION("IF(COUNTA(C1263:C1644)=0,"""",IF(REGEXMATCH(INDEX(FILTER(C$4:C1263,C$4:C1263&lt;&gt;""""),ROWS(FILTER(C$4:C1263,C$4:C1263&lt;&gt;""""))),""^Sell_""),INDEX(FILTER(F$4:F1262,C$4:C1262&lt;&gt;""""),ROWS(FILTER(C$4:C1262,C$4:C1262&lt;&gt;""""))),$AC$5+E1263))"),"")</f>
        <v/>
      </c>
      <c r="G1263" s="10" t="str">
        <f>IFERROR(__xludf.DUMMYFUNCTION("IF(COUNTA(C1263:C1644)=0,"""",IF(C1263="""",0,IF(REGEXMATCH(C1263,""^Sell_""),-ROUNDDOWN(ROUNDUP(INDEX(Upgrades!$C$3:$C$13,MATCH(SUBSTITUTE(C1263,""Sell_"",""""),Upgrades!$B$3:$B$13,0))*1.15^(COUNTIF(C$4:C1262,SUBSTITUTE(C1263,""Sell_"",""""))-COUNTIF(C$4"&amp;":C1262,""Sell_""&amp;SUBSTITUTE(C1263,""Sell_"",""""))))/2),ROUNDUP(INDEX(Upgrades!$C$3:$C$13,MATCH(C1263,Upgrades!$B$3:$B$13,0))*1.15^(COUNTIF(C$4:C1262,C1263)-COUNTIF(C$4:C1262,""Sell_""&amp;C1263))))))"),"")</f>
        <v/>
      </c>
      <c r="H1263" s="10" t="str">
        <f t="shared" si="3"/>
        <v/>
      </c>
      <c r="I1263" s="68" t="str">
        <f t="shared" si="4"/>
        <v/>
      </c>
      <c r="J1263" s="59" t="str">
        <f t="shared" si="5"/>
        <v/>
      </c>
      <c r="K1263" s="69" t="str">
        <f t="shared" si="6"/>
        <v/>
      </c>
      <c r="L1263" s="60" t="str">
        <f t="shared" si="7"/>
        <v/>
      </c>
      <c r="M1263" s="61" t="str">
        <f>IFERROR(__xludf.DUMMYFUNCTION("IFS(AND(COUNTA(C1263:C1644)=0,COUNTA(Q1263:Q1644)=0),"""",OR(AND(K1263&gt;=1000000000,OR(Y1263&gt;=1000000000,COUNTA(Q1263:Q1644)=0)),OR(Y1263&gt;=1000000000,AND(COUNTA(C1263:C1644)=0,P$3=TRUE))),
ROUNDDOWN((AB$1-AC$1)*MAX(INDEX(T$4:T1644,MATCH(LARGE(FILTER(Y$4:Y1"&amp;"644,Y$4:Y1644&lt;1000000000),1),Y$4:Y1644)),INDEX(F$4:F1644,MATCH(LARGE(FILTER(K$4:K1644,K$4:K1644&lt;1000000000),1),K$4:K1644)))),AND(K1263&lt;1000000000,COUNTA(C1263:C1644)&gt;0,P$3=FALSE),
ROUNDDOWN(INDEX(Y$4:Y1644,MATCH(LARGE(FILTER(W$4:W1644,W$4:W1644&lt;=I1263),1)"&amp;",W$4:W1644))+(I1263-LARGE(FILTER(W$4:W1644,W$4:W1644&lt;=I1263),1))*INDEX(T$4:T1644,MATCH(LARGE(FILTER(W$4:W1644,W$4:W1644&lt;=I1263),1),W$4:W1644))-K1263),1,
ROUNDDOWN(Y1263-INDEX(K$4:K1644,MATCH(LARGE(FILTER(I$4:I1644,I$4:I1644&lt;=W1263),1),I$4:I1644))-(W1263-L"&amp;"ARGE(FILTER(I$4:I1644,I$4:I1644&lt;=W1263),1))*INDEX(F$4:F1644,MATCH(LARGE(FILTER(I$4:I1644,I$4:I1644&lt;=W1263),1),I$4:I1644))))"),"")</f>
        <v/>
      </c>
      <c r="N1263" s="60" t="str">
        <f t="shared" si="8"/>
        <v/>
      </c>
      <c r="O1263" s="61" t="str">
        <f t="shared" si="9"/>
        <v/>
      </c>
      <c r="P1263" s="56" t="str">
        <f t="shared" si="10"/>
        <v/>
      </c>
      <c r="Q1263" s="105"/>
      <c r="R1263" s="10"/>
      <c r="S1263" s="59" t="str">
        <f t="array" ref="S1263">IF(COUNTA(Q1263:Q1644)=0,"",SUM((COUNTIF(Q$4:Q1263,Upgrades!$B$3:$B$13)-COUNTIF(Q$4:Q1263,"Sell_"&amp;Upgrades!$B$3:$B$13))*Upgrades!$D$3:$D$13))</f>
        <v/>
      </c>
      <c r="T1263" s="66" t="str">
        <f>IFERROR(__xludf.DUMMYFUNCTION("IF(COUNTA(Q1263:Q1644)=0,"""",IF(REGEXMATCH(INDEX(FILTER(Q$4:Q1263,Q$4:Q1263&lt;&gt;""""),ROWS(FILTER(Q$4:Q1263,Q$4:Q1263&lt;&gt;""""))),""^Sell_""),INDEX(FILTER(T$4:T1262,Q$4:Q1262&lt;&gt;""""),ROWS(FILTER(Q$4:Q1262,Q$4:Q1262&lt;&gt;""""))),$AD$5+S1263))"),"")</f>
        <v/>
      </c>
      <c r="U1263" s="10" t="str">
        <f>IFERROR(__xludf.DUMMYFUNCTION("IF(COUNTA(Q1263:Q1644)=0,"""",IF(Q1263="""",0,IF(REGEXMATCH(Q1263,""^Sell_""),-ROUNDDOWN(ROUNDUP(INDEX(Upgrades!$C$3:$C$13,MATCH(SUBSTITUTE(Q1263,""Sell_"",""""),Upgrades!$B$3:$B$13,0))*1.15^(COUNTIF(Q$4:Q1262,SUBSTITUTE(Q1263,""Sell_"",""""))-COUNTIF(Q$4"&amp;":Q1262,""Sell_""&amp;SUBSTITUTE(Q1263,""Sell_"",""""))))/2),ROUNDUP(INDEX(Upgrades!$C$3:$C$13,MATCH(Q1263,Upgrades!$B$3:$B$13,0))*1.15^(COUNTIF(Q$4:Q1262,Q1263)-COUNTIF(Q$4:Q1262,""Sell_""&amp;Q1263))))))"),"")</f>
        <v/>
      </c>
      <c r="V1263" s="10" t="str">
        <f t="shared" si="11"/>
        <v/>
      </c>
      <c r="W1263" s="68" t="str">
        <f t="shared" si="12"/>
        <v/>
      </c>
      <c r="X1263" s="59" t="str">
        <f t="shared" si="13"/>
        <v/>
      </c>
      <c r="Y1263" s="69" t="str">
        <f t="shared" si="14"/>
        <v/>
      </c>
      <c r="Z1263" s="11"/>
      <c r="AG1263" s="59"/>
    </row>
    <row r="1264">
      <c r="A1264" s="8"/>
      <c r="B1264" s="56" t="str">
        <f t="shared" si="2"/>
        <v/>
      </c>
      <c r="C1264" s="105"/>
      <c r="D1264" s="10"/>
      <c r="E1264" s="59" t="str">
        <f t="array" ref="E1264">IF(COUNTA(C1264:C1644)=0,"",SUM((COUNTIF(C$4:C1264,Upgrades!$B$3:$B$13)-COUNTIF(C$4:C1264,"Sell_"&amp;Upgrades!$B$3:$B$13))*Upgrades!$D$3:$D$13))</f>
        <v/>
      </c>
      <c r="F1264" s="66" t="str">
        <f>IFERROR(__xludf.DUMMYFUNCTION("IF(COUNTA(C1264:C1644)=0,"""",IF(REGEXMATCH(INDEX(FILTER(C$4:C1264,C$4:C1264&lt;&gt;""""),ROWS(FILTER(C$4:C1264,C$4:C1264&lt;&gt;""""))),""^Sell_""),INDEX(FILTER(F$4:F1263,C$4:C1263&lt;&gt;""""),ROWS(FILTER(C$4:C1263,C$4:C1263&lt;&gt;""""))),$AC$5+E1264))"),"")</f>
        <v/>
      </c>
      <c r="G1264" s="10" t="str">
        <f>IFERROR(__xludf.DUMMYFUNCTION("IF(COUNTA(C1264:C1644)=0,"""",IF(C1264="""",0,IF(REGEXMATCH(C1264,""^Sell_""),-ROUNDDOWN(ROUNDUP(INDEX(Upgrades!$C$3:$C$13,MATCH(SUBSTITUTE(C1264,""Sell_"",""""),Upgrades!$B$3:$B$13,0))*1.15^(COUNTIF(C$4:C1263,SUBSTITUTE(C1264,""Sell_"",""""))-COUNTIF(C$4"&amp;":C1263,""Sell_""&amp;SUBSTITUTE(C1264,""Sell_"",""""))))/2),ROUNDUP(INDEX(Upgrades!$C$3:$C$13,MATCH(C1264,Upgrades!$B$3:$B$13,0))*1.15^(COUNTIF(C$4:C1263,C1264)-COUNTIF(C$4:C1263,""Sell_""&amp;C1264))))))"),"")</f>
        <v/>
      </c>
      <c r="H1264" s="10" t="str">
        <f t="shared" si="3"/>
        <v/>
      </c>
      <c r="I1264" s="68" t="str">
        <f t="shared" si="4"/>
        <v/>
      </c>
      <c r="J1264" s="59" t="str">
        <f t="shared" si="5"/>
        <v/>
      </c>
      <c r="K1264" s="69" t="str">
        <f t="shared" si="6"/>
        <v/>
      </c>
      <c r="L1264" s="60" t="str">
        <f t="shared" si="7"/>
        <v/>
      </c>
      <c r="M1264" s="61" t="str">
        <f>IFERROR(__xludf.DUMMYFUNCTION("IFS(AND(COUNTA(C1264:C1644)=0,COUNTA(Q1264:Q1644)=0),"""",OR(AND(K1264&gt;=1000000000,OR(Y1264&gt;=1000000000,COUNTA(Q1264:Q1644)=0)),OR(Y1264&gt;=1000000000,AND(COUNTA(C1264:C1644)=0,P$3=TRUE))),
ROUNDDOWN((AB$1-AC$1)*MAX(INDEX(T$4:T1644,MATCH(LARGE(FILTER(Y$4:Y1"&amp;"644,Y$4:Y1644&lt;1000000000),1),Y$4:Y1644)),INDEX(F$4:F1644,MATCH(LARGE(FILTER(K$4:K1644,K$4:K1644&lt;1000000000),1),K$4:K1644)))),AND(K1264&lt;1000000000,COUNTA(C1264:C1644)&gt;0,P$3=FALSE),
ROUNDDOWN(INDEX(Y$4:Y1644,MATCH(LARGE(FILTER(W$4:W1644,W$4:W1644&lt;=I1264),1)"&amp;",W$4:W1644))+(I1264-LARGE(FILTER(W$4:W1644,W$4:W1644&lt;=I1264),1))*INDEX(T$4:T1644,MATCH(LARGE(FILTER(W$4:W1644,W$4:W1644&lt;=I1264),1),W$4:W1644))-K1264),1,
ROUNDDOWN(Y1264-INDEX(K$4:K1644,MATCH(LARGE(FILTER(I$4:I1644,I$4:I1644&lt;=W1264),1),I$4:I1644))-(W1264-L"&amp;"ARGE(FILTER(I$4:I1644,I$4:I1644&lt;=W1264),1))*INDEX(F$4:F1644,MATCH(LARGE(FILTER(I$4:I1644,I$4:I1644&lt;=W1264),1),I$4:I1644))))"),"")</f>
        <v/>
      </c>
      <c r="N1264" s="60" t="str">
        <f t="shared" si="8"/>
        <v/>
      </c>
      <c r="O1264" s="61" t="str">
        <f t="shared" si="9"/>
        <v/>
      </c>
      <c r="P1264" s="56" t="str">
        <f t="shared" si="10"/>
        <v/>
      </c>
      <c r="Q1264" s="105"/>
      <c r="R1264" s="10"/>
      <c r="S1264" s="59" t="str">
        <f t="array" ref="S1264">IF(COUNTA(Q1264:Q1644)=0,"",SUM((COUNTIF(Q$4:Q1264,Upgrades!$B$3:$B$13)-COUNTIF(Q$4:Q1264,"Sell_"&amp;Upgrades!$B$3:$B$13))*Upgrades!$D$3:$D$13))</f>
        <v/>
      </c>
      <c r="T1264" s="66" t="str">
        <f>IFERROR(__xludf.DUMMYFUNCTION("IF(COUNTA(Q1264:Q1644)=0,"""",IF(REGEXMATCH(INDEX(FILTER(Q$4:Q1264,Q$4:Q1264&lt;&gt;""""),ROWS(FILTER(Q$4:Q1264,Q$4:Q1264&lt;&gt;""""))),""^Sell_""),INDEX(FILTER(T$4:T1263,Q$4:Q1263&lt;&gt;""""),ROWS(FILTER(Q$4:Q1263,Q$4:Q1263&lt;&gt;""""))),$AD$5+S1264))"),"")</f>
        <v/>
      </c>
      <c r="U1264" s="10" t="str">
        <f>IFERROR(__xludf.DUMMYFUNCTION("IF(COUNTA(Q1264:Q1644)=0,"""",IF(Q1264="""",0,IF(REGEXMATCH(Q1264,""^Sell_""),-ROUNDDOWN(ROUNDUP(INDEX(Upgrades!$C$3:$C$13,MATCH(SUBSTITUTE(Q1264,""Sell_"",""""),Upgrades!$B$3:$B$13,0))*1.15^(COUNTIF(Q$4:Q1263,SUBSTITUTE(Q1264,""Sell_"",""""))-COUNTIF(Q$4"&amp;":Q1263,""Sell_""&amp;SUBSTITUTE(Q1264,""Sell_"",""""))))/2),ROUNDUP(INDEX(Upgrades!$C$3:$C$13,MATCH(Q1264,Upgrades!$B$3:$B$13,0))*1.15^(COUNTIF(Q$4:Q1263,Q1264)-COUNTIF(Q$4:Q1263,""Sell_""&amp;Q1264))))))"),"")</f>
        <v/>
      </c>
      <c r="V1264" s="10" t="str">
        <f t="shared" si="11"/>
        <v/>
      </c>
      <c r="W1264" s="68" t="str">
        <f t="shared" si="12"/>
        <v/>
      </c>
      <c r="X1264" s="59" t="str">
        <f t="shared" si="13"/>
        <v/>
      </c>
      <c r="Y1264" s="69" t="str">
        <f t="shared" si="14"/>
        <v/>
      </c>
      <c r="Z1264" s="11"/>
      <c r="AG1264" s="59"/>
    </row>
    <row r="1265">
      <c r="A1265" s="8"/>
      <c r="B1265" s="56" t="str">
        <f t="shared" si="2"/>
        <v/>
      </c>
      <c r="C1265" s="105"/>
      <c r="D1265" s="10"/>
      <c r="E1265" s="59" t="str">
        <f t="array" ref="E1265">IF(COUNTA(C1265:C1644)=0,"",SUM((COUNTIF(C$4:C1265,Upgrades!$B$3:$B$13)-COUNTIF(C$4:C1265,"Sell_"&amp;Upgrades!$B$3:$B$13))*Upgrades!$D$3:$D$13))</f>
        <v/>
      </c>
      <c r="F1265" s="66" t="str">
        <f>IFERROR(__xludf.DUMMYFUNCTION("IF(COUNTA(C1265:C1644)=0,"""",IF(REGEXMATCH(INDEX(FILTER(C$4:C1265,C$4:C1265&lt;&gt;""""),ROWS(FILTER(C$4:C1265,C$4:C1265&lt;&gt;""""))),""^Sell_""),INDEX(FILTER(F$4:F1264,C$4:C1264&lt;&gt;""""),ROWS(FILTER(C$4:C1264,C$4:C1264&lt;&gt;""""))),$AC$5+E1265))"),"")</f>
        <v/>
      </c>
      <c r="G1265" s="10" t="str">
        <f>IFERROR(__xludf.DUMMYFUNCTION("IF(COUNTA(C1265:C1644)=0,"""",IF(C1265="""",0,IF(REGEXMATCH(C1265,""^Sell_""),-ROUNDDOWN(ROUNDUP(INDEX(Upgrades!$C$3:$C$13,MATCH(SUBSTITUTE(C1265,""Sell_"",""""),Upgrades!$B$3:$B$13,0))*1.15^(COUNTIF(C$4:C1264,SUBSTITUTE(C1265,""Sell_"",""""))-COUNTIF(C$4"&amp;":C1264,""Sell_""&amp;SUBSTITUTE(C1265,""Sell_"",""""))))/2),ROUNDUP(INDEX(Upgrades!$C$3:$C$13,MATCH(C1265,Upgrades!$B$3:$B$13,0))*1.15^(COUNTIF(C$4:C1264,C1265)-COUNTIF(C$4:C1264,""Sell_""&amp;C1265))))))"),"")</f>
        <v/>
      </c>
      <c r="H1265" s="10" t="str">
        <f t="shared" si="3"/>
        <v/>
      </c>
      <c r="I1265" s="68" t="str">
        <f t="shared" si="4"/>
        <v/>
      </c>
      <c r="J1265" s="59" t="str">
        <f t="shared" si="5"/>
        <v/>
      </c>
      <c r="K1265" s="69" t="str">
        <f t="shared" si="6"/>
        <v/>
      </c>
      <c r="L1265" s="60" t="str">
        <f t="shared" si="7"/>
        <v/>
      </c>
      <c r="M1265" s="61" t="str">
        <f>IFERROR(__xludf.DUMMYFUNCTION("IFS(AND(COUNTA(C1265:C1644)=0,COUNTA(Q1265:Q1644)=0),"""",OR(AND(K1265&gt;=1000000000,OR(Y1265&gt;=1000000000,COUNTA(Q1265:Q1644)=0)),OR(Y1265&gt;=1000000000,AND(COUNTA(C1265:C1644)=0,P$3=TRUE))),
ROUNDDOWN((AB$1-AC$1)*MAX(INDEX(T$4:T1644,MATCH(LARGE(FILTER(Y$4:Y1"&amp;"644,Y$4:Y1644&lt;1000000000),1),Y$4:Y1644)),INDEX(F$4:F1644,MATCH(LARGE(FILTER(K$4:K1644,K$4:K1644&lt;1000000000),1),K$4:K1644)))),AND(K1265&lt;1000000000,COUNTA(C1265:C1644)&gt;0,P$3=FALSE),
ROUNDDOWN(INDEX(Y$4:Y1644,MATCH(LARGE(FILTER(W$4:W1644,W$4:W1644&lt;=I1265),1)"&amp;",W$4:W1644))+(I1265-LARGE(FILTER(W$4:W1644,W$4:W1644&lt;=I1265),1))*INDEX(T$4:T1644,MATCH(LARGE(FILTER(W$4:W1644,W$4:W1644&lt;=I1265),1),W$4:W1644))-K1265),1,
ROUNDDOWN(Y1265-INDEX(K$4:K1644,MATCH(LARGE(FILTER(I$4:I1644,I$4:I1644&lt;=W1265),1),I$4:I1644))-(W1265-L"&amp;"ARGE(FILTER(I$4:I1644,I$4:I1644&lt;=W1265),1))*INDEX(F$4:F1644,MATCH(LARGE(FILTER(I$4:I1644,I$4:I1644&lt;=W1265),1),I$4:I1644))))"),"")</f>
        <v/>
      </c>
      <c r="N1265" s="60" t="str">
        <f t="shared" si="8"/>
        <v/>
      </c>
      <c r="O1265" s="61" t="str">
        <f t="shared" si="9"/>
        <v/>
      </c>
      <c r="P1265" s="56" t="str">
        <f t="shared" si="10"/>
        <v/>
      </c>
      <c r="Q1265" s="105"/>
      <c r="R1265" s="10"/>
      <c r="S1265" s="59" t="str">
        <f t="array" ref="S1265">IF(COUNTA(Q1265:Q1644)=0,"",SUM((COUNTIF(Q$4:Q1265,Upgrades!$B$3:$B$13)-COUNTIF(Q$4:Q1265,"Sell_"&amp;Upgrades!$B$3:$B$13))*Upgrades!$D$3:$D$13))</f>
        <v/>
      </c>
      <c r="T1265" s="66" t="str">
        <f>IFERROR(__xludf.DUMMYFUNCTION("IF(COUNTA(Q1265:Q1644)=0,"""",IF(REGEXMATCH(INDEX(FILTER(Q$4:Q1265,Q$4:Q1265&lt;&gt;""""),ROWS(FILTER(Q$4:Q1265,Q$4:Q1265&lt;&gt;""""))),""^Sell_""),INDEX(FILTER(T$4:T1264,Q$4:Q1264&lt;&gt;""""),ROWS(FILTER(Q$4:Q1264,Q$4:Q1264&lt;&gt;""""))),$AD$5+S1265))"),"")</f>
        <v/>
      </c>
      <c r="U1265" s="10" t="str">
        <f>IFERROR(__xludf.DUMMYFUNCTION("IF(COUNTA(Q1265:Q1644)=0,"""",IF(Q1265="""",0,IF(REGEXMATCH(Q1265,""^Sell_""),-ROUNDDOWN(ROUNDUP(INDEX(Upgrades!$C$3:$C$13,MATCH(SUBSTITUTE(Q1265,""Sell_"",""""),Upgrades!$B$3:$B$13,0))*1.15^(COUNTIF(Q$4:Q1264,SUBSTITUTE(Q1265,""Sell_"",""""))-COUNTIF(Q$4"&amp;":Q1264,""Sell_""&amp;SUBSTITUTE(Q1265,""Sell_"",""""))))/2),ROUNDUP(INDEX(Upgrades!$C$3:$C$13,MATCH(Q1265,Upgrades!$B$3:$B$13,0))*1.15^(COUNTIF(Q$4:Q1264,Q1265)-COUNTIF(Q$4:Q1264,""Sell_""&amp;Q1265))))))"),"")</f>
        <v/>
      </c>
      <c r="V1265" s="10" t="str">
        <f t="shared" si="11"/>
        <v/>
      </c>
      <c r="W1265" s="68" t="str">
        <f t="shared" si="12"/>
        <v/>
      </c>
      <c r="X1265" s="59" t="str">
        <f t="shared" si="13"/>
        <v/>
      </c>
      <c r="Y1265" s="69" t="str">
        <f t="shared" si="14"/>
        <v/>
      </c>
      <c r="Z1265" s="11"/>
      <c r="AG1265" s="59"/>
    </row>
    <row r="1266">
      <c r="A1266" s="8"/>
      <c r="B1266" s="56" t="str">
        <f t="shared" si="2"/>
        <v/>
      </c>
      <c r="C1266" s="105"/>
      <c r="D1266" s="10"/>
      <c r="E1266" s="59" t="str">
        <f t="array" ref="E1266">IF(COUNTA(C1266:C1644)=0,"",SUM((COUNTIF(C$4:C1266,Upgrades!$B$3:$B$13)-COUNTIF(C$4:C1266,"Sell_"&amp;Upgrades!$B$3:$B$13))*Upgrades!$D$3:$D$13))</f>
        <v/>
      </c>
      <c r="F1266" s="66" t="str">
        <f>IFERROR(__xludf.DUMMYFUNCTION("IF(COUNTA(C1266:C1644)=0,"""",IF(REGEXMATCH(INDEX(FILTER(C$4:C1266,C$4:C1266&lt;&gt;""""),ROWS(FILTER(C$4:C1266,C$4:C1266&lt;&gt;""""))),""^Sell_""),INDEX(FILTER(F$4:F1265,C$4:C1265&lt;&gt;""""),ROWS(FILTER(C$4:C1265,C$4:C1265&lt;&gt;""""))),$AC$5+E1266))"),"")</f>
        <v/>
      </c>
      <c r="G1266" s="10" t="str">
        <f>IFERROR(__xludf.DUMMYFUNCTION("IF(COUNTA(C1266:C1644)=0,"""",IF(C1266="""",0,IF(REGEXMATCH(C1266,""^Sell_""),-ROUNDDOWN(ROUNDUP(INDEX(Upgrades!$C$3:$C$13,MATCH(SUBSTITUTE(C1266,""Sell_"",""""),Upgrades!$B$3:$B$13,0))*1.15^(COUNTIF(C$4:C1265,SUBSTITUTE(C1266,""Sell_"",""""))-COUNTIF(C$4"&amp;":C1265,""Sell_""&amp;SUBSTITUTE(C1266,""Sell_"",""""))))/2),ROUNDUP(INDEX(Upgrades!$C$3:$C$13,MATCH(C1266,Upgrades!$B$3:$B$13,0))*1.15^(COUNTIF(C$4:C1265,C1266)-COUNTIF(C$4:C1265,""Sell_""&amp;C1266))))))"),"")</f>
        <v/>
      </c>
      <c r="H1266" s="10" t="str">
        <f t="shared" si="3"/>
        <v/>
      </c>
      <c r="I1266" s="68" t="str">
        <f t="shared" si="4"/>
        <v/>
      </c>
      <c r="J1266" s="59" t="str">
        <f t="shared" si="5"/>
        <v/>
      </c>
      <c r="K1266" s="69" t="str">
        <f t="shared" si="6"/>
        <v/>
      </c>
      <c r="L1266" s="60" t="str">
        <f t="shared" si="7"/>
        <v/>
      </c>
      <c r="M1266" s="61" t="str">
        <f>IFERROR(__xludf.DUMMYFUNCTION("IFS(AND(COUNTA(C1266:C1644)=0,COUNTA(Q1266:Q1644)=0),"""",OR(AND(K1266&gt;=1000000000,OR(Y1266&gt;=1000000000,COUNTA(Q1266:Q1644)=0)),OR(Y1266&gt;=1000000000,AND(COUNTA(C1266:C1644)=0,P$3=TRUE))),
ROUNDDOWN((AB$1-AC$1)*MAX(INDEX(T$4:T1644,MATCH(LARGE(FILTER(Y$4:Y1"&amp;"644,Y$4:Y1644&lt;1000000000),1),Y$4:Y1644)),INDEX(F$4:F1644,MATCH(LARGE(FILTER(K$4:K1644,K$4:K1644&lt;1000000000),1),K$4:K1644)))),AND(K1266&lt;1000000000,COUNTA(C1266:C1644)&gt;0,P$3=FALSE),
ROUNDDOWN(INDEX(Y$4:Y1644,MATCH(LARGE(FILTER(W$4:W1644,W$4:W1644&lt;=I1266),1)"&amp;",W$4:W1644))+(I1266-LARGE(FILTER(W$4:W1644,W$4:W1644&lt;=I1266),1))*INDEX(T$4:T1644,MATCH(LARGE(FILTER(W$4:W1644,W$4:W1644&lt;=I1266),1),W$4:W1644))-K1266),1,
ROUNDDOWN(Y1266-INDEX(K$4:K1644,MATCH(LARGE(FILTER(I$4:I1644,I$4:I1644&lt;=W1266),1),I$4:I1644))-(W1266-L"&amp;"ARGE(FILTER(I$4:I1644,I$4:I1644&lt;=W1266),1))*INDEX(F$4:F1644,MATCH(LARGE(FILTER(I$4:I1644,I$4:I1644&lt;=W1266),1),I$4:I1644))))"),"")</f>
        <v/>
      </c>
      <c r="N1266" s="60" t="str">
        <f t="shared" si="8"/>
        <v/>
      </c>
      <c r="O1266" s="61" t="str">
        <f t="shared" si="9"/>
        <v/>
      </c>
      <c r="P1266" s="56" t="str">
        <f t="shared" si="10"/>
        <v/>
      </c>
      <c r="Q1266" s="105"/>
      <c r="R1266" s="10"/>
      <c r="S1266" s="59" t="str">
        <f t="array" ref="S1266">IF(COUNTA(Q1266:Q1644)=0,"",SUM((COUNTIF(Q$4:Q1266,Upgrades!$B$3:$B$13)-COUNTIF(Q$4:Q1266,"Sell_"&amp;Upgrades!$B$3:$B$13))*Upgrades!$D$3:$D$13))</f>
        <v/>
      </c>
      <c r="T1266" s="66" t="str">
        <f>IFERROR(__xludf.DUMMYFUNCTION("IF(COUNTA(Q1266:Q1644)=0,"""",IF(REGEXMATCH(INDEX(FILTER(Q$4:Q1266,Q$4:Q1266&lt;&gt;""""),ROWS(FILTER(Q$4:Q1266,Q$4:Q1266&lt;&gt;""""))),""^Sell_""),INDEX(FILTER(T$4:T1265,Q$4:Q1265&lt;&gt;""""),ROWS(FILTER(Q$4:Q1265,Q$4:Q1265&lt;&gt;""""))),$AD$5+S1266))"),"")</f>
        <v/>
      </c>
      <c r="U1266" s="10" t="str">
        <f>IFERROR(__xludf.DUMMYFUNCTION("IF(COUNTA(Q1266:Q1644)=0,"""",IF(Q1266="""",0,IF(REGEXMATCH(Q1266,""^Sell_""),-ROUNDDOWN(ROUNDUP(INDEX(Upgrades!$C$3:$C$13,MATCH(SUBSTITUTE(Q1266,""Sell_"",""""),Upgrades!$B$3:$B$13,0))*1.15^(COUNTIF(Q$4:Q1265,SUBSTITUTE(Q1266,""Sell_"",""""))-COUNTIF(Q$4"&amp;":Q1265,""Sell_""&amp;SUBSTITUTE(Q1266,""Sell_"",""""))))/2),ROUNDUP(INDEX(Upgrades!$C$3:$C$13,MATCH(Q1266,Upgrades!$B$3:$B$13,0))*1.15^(COUNTIF(Q$4:Q1265,Q1266)-COUNTIF(Q$4:Q1265,""Sell_""&amp;Q1266))))))"),"")</f>
        <v/>
      </c>
      <c r="V1266" s="10" t="str">
        <f t="shared" si="11"/>
        <v/>
      </c>
      <c r="W1266" s="68" t="str">
        <f t="shared" si="12"/>
        <v/>
      </c>
      <c r="X1266" s="59" t="str">
        <f t="shared" si="13"/>
        <v/>
      </c>
      <c r="Y1266" s="69" t="str">
        <f t="shared" si="14"/>
        <v/>
      </c>
      <c r="Z1266" s="11"/>
      <c r="AG1266" s="59"/>
    </row>
    <row r="1267">
      <c r="A1267" s="8"/>
      <c r="B1267" s="56" t="str">
        <f t="shared" si="2"/>
        <v/>
      </c>
      <c r="C1267" s="105"/>
      <c r="D1267" s="10"/>
      <c r="E1267" s="59" t="str">
        <f t="array" ref="E1267">IF(COUNTA(C1267:C1644)=0,"",SUM((COUNTIF(C$4:C1267,Upgrades!$B$3:$B$13)-COUNTIF(C$4:C1267,"Sell_"&amp;Upgrades!$B$3:$B$13))*Upgrades!$D$3:$D$13))</f>
        <v/>
      </c>
      <c r="F1267" s="66" t="str">
        <f>IFERROR(__xludf.DUMMYFUNCTION("IF(COUNTA(C1267:C1644)=0,"""",IF(REGEXMATCH(INDEX(FILTER(C$4:C1267,C$4:C1267&lt;&gt;""""),ROWS(FILTER(C$4:C1267,C$4:C1267&lt;&gt;""""))),""^Sell_""),INDEX(FILTER(F$4:F1266,C$4:C1266&lt;&gt;""""),ROWS(FILTER(C$4:C1266,C$4:C1266&lt;&gt;""""))),$AC$5+E1267))"),"")</f>
        <v/>
      </c>
      <c r="G1267" s="10" t="str">
        <f>IFERROR(__xludf.DUMMYFUNCTION("IF(COUNTA(C1267:C1644)=0,"""",IF(C1267="""",0,IF(REGEXMATCH(C1267,""^Sell_""),-ROUNDDOWN(ROUNDUP(INDEX(Upgrades!$C$3:$C$13,MATCH(SUBSTITUTE(C1267,""Sell_"",""""),Upgrades!$B$3:$B$13,0))*1.15^(COUNTIF(C$4:C1266,SUBSTITUTE(C1267,""Sell_"",""""))-COUNTIF(C$4"&amp;":C1266,""Sell_""&amp;SUBSTITUTE(C1267,""Sell_"",""""))))/2),ROUNDUP(INDEX(Upgrades!$C$3:$C$13,MATCH(C1267,Upgrades!$B$3:$B$13,0))*1.15^(COUNTIF(C$4:C1266,C1267)-COUNTIF(C$4:C1266,""Sell_""&amp;C1267))))))"),"")</f>
        <v/>
      </c>
      <c r="H1267" s="10" t="str">
        <f t="shared" si="3"/>
        <v/>
      </c>
      <c r="I1267" s="68" t="str">
        <f t="shared" si="4"/>
        <v/>
      </c>
      <c r="J1267" s="59" t="str">
        <f t="shared" si="5"/>
        <v/>
      </c>
      <c r="K1267" s="69" t="str">
        <f t="shared" si="6"/>
        <v/>
      </c>
      <c r="L1267" s="60" t="str">
        <f t="shared" si="7"/>
        <v/>
      </c>
      <c r="M1267" s="61" t="str">
        <f>IFERROR(__xludf.DUMMYFUNCTION("IFS(AND(COUNTA(C1267:C1644)=0,COUNTA(Q1267:Q1644)=0),"""",OR(AND(K1267&gt;=1000000000,OR(Y1267&gt;=1000000000,COUNTA(Q1267:Q1644)=0)),OR(Y1267&gt;=1000000000,AND(COUNTA(C1267:C1644)=0,P$3=TRUE))),
ROUNDDOWN((AB$1-AC$1)*MAX(INDEX(T$4:T1644,MATCH(LARGE(FILTER(Y$4:Y1"&amp;"644,Y$4:Y1644&lt;1000000000),1),Y$4:Y1644)),INDEX(F$4:F1644,MATCH(LARGE(FILTER(K$4:K1644,K$4:K1644&lt;1000000000),1),K$4:K1644)))),AND(K1267&lt;1000000000,COUNTA(C1267:C1644)&gt;0,P$3=FALSE),
ROUNDDOWN(INDEX(Y$4:Y1644,MATCH(LARGE(FILTER(W$4:W1644,W$4:W1644&lt;=I1267),1)"&amp;",W$4:W1644))+(I1267-LARGE(FILTER(W$4:W1644,W$4:W1644&lt;=I1267),1))*INDEX(T$4:T1644,MATCH(LARGE(FILTER(W$4:W1644,W$4:W1644&lt;=I1267),1),W$4:W1644))-K1267),1,
ROUNDDOWN(Y1267-INDEX(K$4:K1644,MATCH(LARGE(FILTER(I$4:I1644,I$4:I1644&lt;=W1267),1),I$4:I1644))-(W1267-L"&amp;"ARGE(FILTER(I$4:I1644,I$4:I1644&lt;=W1267),1))*INDEX(F$4:F1644,MATCH(LARGE(FILTER(I$4:I1644,I$4:I1644&lt;=W1267),1),I$4:I1644))))"),"")</f>
        <v/>
      </c>
      <c r="N1267" s="60" t="str">
        <f t="shared" si="8"/>
        <v/>
      </c>
      <c r="O1267" s="61" t="str">
        <f t="shared" si="9"/>
        <v/>
      </c>
      <c r="P1267" s="56" t="str">
        <f t="shared" si="10"/>
        <v/>
      </c>
      <c r="Q1267" s="105"/>
      <c r="R1267" s="10"/>
      <c r="S1267" s="59" t="str">
        <f t="array" ref="S1267">IF(COUNTA(Q1267:Q1644)=0,"",SUM((COUNTIF(Q$4:Q1267,Upgrades!$B$3:$B$13)-COUNTIF(Q$4:Q1267,"Sell_"&amp;Upgrades!$B$3:$B$13))*Upgrades!$D$3:$D$13))</f>
        <v/>
      </c>
      <c r="T1267" s="66" t="str">
        <f>IFERROR(__xludf.DUMMYFUNCTION("IF(COUNTA(Q1267:Q1644)=0,"""",IF(REGEXMATCH(INDEX(FILTER(Q$4:Q1267,Q$4:Q1267&lt;&gt;""""),ROWS(FILTER(Q$4:Q1267,Q$4:Q1267&lt;&gt;""""))),""^Sell_""),INDEX(FILTER(T$4:T1266,Q$4:Q1266&lt;&gt;""""),ROWS(FILTER(Q$4:Q1266,Q$4:Q1266&lt;&gt;""""))),$AD$5+S1267))"),"")</f>
        <v/>
      </c>
      <c r="U1267" s="10" t="str">
        <f>IFERROR(__xludf.DUMMYFUNCTION("IF(COUNTA(Q1267:Q1644)=0,"""",IF(Q1267="""",0,IF(REGEXMATCH(Q1267,""^Sell_""),-ROUNDDOWN(ROUNDUP(INDEX(Upgrades!$C$3:$C$13,MATCH(SUBSTITUTE(Q1267,""Sell_"",""""),Upgrades!$B$3:$B$13,0))*1.15^(COUNTIF(Q$4:Q1266,SUBSTITUTE(Q1267,""Sell_"",""""))-COUNTIF(Q$4"&amp;":Q1266,""Sell_""&amp;SUBSTITUTE(Q1267,""Sell_"",""""))))/2),ROUNDUP(INDEX(Upgrades!$C$3:$C$13,MATCH(Q1267,Upgrades!$B$3:$B$13,0))*1.15^(COUNTIF(Q$4:Q1266,Q1267)-COUNTIF(Q$4:Q1266,""Sell_""&amp;Q1267))))))"),"")</f>
        <v/>
      </c>
      <c r="V1267" s="10" t="str">
        <f t="shared" si="11"/>
        <v/>
      </c>
      <c r="W1267" s="68" t="str">
        <f t="shared" si="12"/>
        <v/>
      </c>
      <c r="X1267" s="59" t="str">
        <f t="shared" si="13"/>
        <v/>
      </c>
      <c r="Y1267" s="69" t="str">
        <f t="shared" si="14"/>
        <v/>
      </c>
      <c r="Z1267" s="11"/>
      <c r="AG1267" s="59"/>
    </row>
    <row r="1268">
      <c r="A1268" s="8"/>
      <c r="B1268" s="56" t="str">
        <f t="shared" si="2"/>
        <v/>
      </c>
      <c r="C1268" s="105"/>
      <c r="D1268" s="10"/>
      <c r="E1268" s="59" t="str">
        <f t="array" ref="E1268">IF(COUNTA(C1268:C1644)=0,"",SUM((COUNTIF(C$4:C1268,Upgrades!$B$3:$B$13)-COUNTIF(C$4:C1268,"Sell_"&amp;Upgrades!$B$3:$B$13))*Upgrades!$D$3:$D$13))</f>
        <v/>
      </c>
      <c r="F1268" s="66" t="str">
        <f>IFERROR(__xludf.DUMMYFUNCTION("IF(COUNTA(C1268:C1644)=0,"""",IF(REGEXMATCH(INDEX(FILTER(C$4:C1268,C$4:C1268&lt;&gt;""""),ROWS(FILTER(C$4:C1268,C$4:C1268&lt;&gt;""""))),""^Sell_""),INDEX(FILTER(F$4:F1267,C$4:C1267&lt;&gt;""""),ROWS(FILTER(C$4:C1267,C$4:C1267&lt;&gt;""""))),$AC$5+E1268))"),"")</f>
        <v/>
      </c>
      <c r="G1268" s="10" t="str">
        <f>IFERROR(__xludf.DUMMYFUNCTION("IF(COUNTA(C1268:C1644)=0,"""",IF(C1268="""",0,IF(REGEXMATCH(C1268,""^Sell_""),-ROUNDDOWN(ROUNDUP(INDEX(Upgrades!$C$3:$C$13,MATCH(SUBSTITUTE(C1268,""Sell_"",""""),Upgrades!$B$3:$B$13,0))*1.15^(COUNTIF(C$4:C1267,SUBSTITUTE(C1268,""Sell_"",""""))-COUNTIF(C$4"&amp;":C1267,""Sell_""&amp;SUBSTITUTE(C1268,""Sell_"",""""))))/2),ROUNDUP(INDEX(Upgrades!$C$3:$C$13,MATCH(C1268,Upgrades!$B$3:$B$13,0))*1.15^(COUNTIF(C$4:C1267,C1268)-COUNTIF(C$4:C1267,""Sell_""&amp;C1268))))))"),"")</f>
        <v/>
      </c>
      <c r="H1268" s="10" t="str">
        <f t="shared" si="3"/>
        <v/>
      </c>
      <c r="I1268" s="68" t="str">
        <f t="shared" si="4"/>
        <v/>
      </c>
      <c r="J1268" s="59" t="str">
        <f t="shared" si="5"/>
        <v/>
      </c>
      <c r="K1268" s="69" t="str">
        <f t="shared" si="6"/>
        <v/>
      </c>
      <c r="L1268" s="60" t="str">
        <f t="shared" si="7"/>
        <v/>
      </c>
      <c r="M1268" s="61" t="str">
        <f>IFERROR(__xludf.DUMMYFUNCTION("IFS(AND(COUNTA(C1268:C1644)=0,COUNTA(Q1268:Q1644)=0),"""",OR(AND(K1268&gt;=1000000000,OR(Y1268&gt;=1000000000,COUNTA(Q1268:Q1644)=0)),OR(Y1268&gt;=1000000000,AND(COUNTA(C1268:C1644)=0,P$3=TRUE))),
ROUNDDOWN((AB$1-AC$1)*MAX(INDEX(T$4:T1644,MATCH(LARGE(FILTER(Y$4:Y1"&amp;"644,Y$4:Y1644&lt;1000000000),1),Y$4:Y1644)),INDEX(F$4:F1644,MATCH(LARGE(FILTER(K$4:K1644,K$4:K1644&lt;1000000000),1),K$4:K1644)))),AND(K1268&lt;1000000000,COUNTA(C1268:C1644)&gt;0,P$3=FALSE),
ROUNDDOWN(INDEX(Y$4:Y1644,MATCH(LARGE(FILTER(W$4:W1644,W$4:W1644&lt;=I1268),1)"&amp;",W$4:W1644))+(I1268-LARGE(FILTER(W$4:W1644,W$4:W1644&lt;=I1268),1))*INDEX(T$4:T1644,MATCH(LARGE(FILTER(W$4:W1644,W$4:W1644&lt;=I1268),1),W$4:W1644))-K1268),1,
ROUNDDOWN(Y1268-INDEX(K$4:K1644,MATCH(LARGE(FILTER(I$4:I1644,I$4:I1644&lt;=W1268),1),I$4:I1644))-(W1268-L"&amp;"ARGE(FILTER(I$4:I1644,I$4:I1644&lt;=W1268),1))*INDEX(F$4:F1644,MATCH(LARGE(FILTER(I$4:I1644,I$4:I1644&lt;=W1268),1),I$4:I1644))))"),"")</f>
        <v/>
      </c>
      <c r="N1268" s="60" t="str">
        <f t="shared" si="8"/>
        <v/>
      </c>
      <c r="O1268" s="61" t="str">
        <f t="shared" si="9"/>
        <v/>
      </c>
      <c r="P1268" s="56" t="str">
        <f t="shared" si="10"/>
        <v/>
      </c>
      <c r="Q1268" s="105"/>
      <c r="R1268" s="10"/>
      <c r="S1268" s="59" t="str">
        <f t="array" ref="S1268">IF(COUNTA(Q1268:Q1644)=0,"",SUM((COUNTIF(Q$4:Q1268,Upgrades!$B$3:$B$13)-COUNTIF(Q$4:Q1268,"Sell_"&amp;Upgrades!$B$3:$B$13))*Upgrades!$D$3:$D$13))</f>
        <v/>
      </c>
      <c r="T1268" s="66" t="str">
        <f>IFERROR(__xludf.DUMMYFUNCTION("IF(COUNTA(Q1268:Q1644)=0,"""",IF(REGEXMATCH(INDEX(FILTER(Q$4:Q1268,Q$4:Q1268&lt;&gt;""""),ROWS(FILTER(Q$4:Q1268,Q$4:Q1268&lt;&gt;""""))),""^Sell_""),INDEX(FILTER(T$4:T1267,Q$4:Q1267&lt;&gt;""""),ROWS(FILTER(Q$4:Q1267,Q$4:Q1267&lt;&gt;""""))),$AD$5+S1268))"),"")</f>
        <v/>
      </c>
      <c r="U1268" s="10" t="str">
        <f>IFERROR(__xludf.DUMMYFUNCTION("IF(COUNTA(Q1268:Q1644)=0,"""",IF(Q1268="""",0,IF(REGEXMATCH(Q1268,""^Sell_""),-ROUNDDOWN(ROUNDUP(INDEX(Upgrades!$C$3:$C$13,MATCH(SUBSTITUTE(Q1268,""Sell_"",""""),Upgrades!$B$3:$B$13,0))*1.15^(COUNTIF(Q$4:Q1267,SUBSTITUTE(Q1268,""Sell_"",""""))-COUNTIF(Q$4"&amp;":Q1267,""Sell_""&amp;SUBSTITUTE(Q1268,""Sell_"",""""))))/2),ROUNDUP(INDEX(Upgrades!$C$3:$C$13,MATCH(Q1268,Upgrades!$B$3:$B$13,0))*1.15^(COUNTIF(Q$4:Q1267,Q1268)-COUNTIF(Q$4:Q1267,""Sell_""&amp;Q1268))))))"),"")</f>
        <v/>
      </c>
      <c r="V1268" s="10" t="str">
        <f t="shared" si="11"/>
        <v/>
      </c>
      <c r="W1268" s="68" t="str">
        <f t="shared" si="12"/>
        <v/>
      </c>
      <c r="X1268" s="59" t="str">
        <f t="shared" si="13"/>
        <v/>
      </c>
      <c r="Y1268" s="69" t="str">
        <f t="shared" si="14"/>
        <v/>
      </c>
      <c r="Z1268" s="11"/>
      <c r="AG1268" s="59"/>
    </row>
    <row r="1269">
      <c r="A1269" s="8"/>
      <c r="B1269" s="56" t="str">
        <f t="shared" si="2"/>
        <v/>
      </c>
      <c r="C1269" s="105"/>
      <c r="D1269" s="10"/>
      <c r="E1269" s="59" t="str">
        <f t="array" ref="E1269">IF(COUNTA(C1269:C1644)=0,"",SUM((COUNTIF(C$4:C1269,Upgrades!$B$3:$B$13)-COUNTIF(C$4:C1269,"Sell_"&amp;Upgrades!$B$3:$B$13))*Upgrades!$D$3:$D$13))</f>
        <v/>
      </c>
      <c r="F1269" s="66" t="str">
        <f>IFERROR(__xludf.DUMMYFUNCTION("IF(COUNTA(C1269:C1644)=0,"""",IF(REGEXMATCH(INDEX(FILTER(C$4:C1269,C$4:C1269&lt;&gt;""""),ROWS(FILTER(C$4:C1269,C$4:C1269&lt;&gt;""""))),""^Sell_""),INDEX(FILTER(F$4:F1268,C$4:C1268&lt;&gt;""""),ROWS(FILTER(C$4:C1268,C$4:C1268&lt;&gt;""""))),$AC$5+E1269))"),"")</f>
        <v/>
      </c>
      <c r="G1269" s="10" t="str">
        <f>IFERROR(__xludf.DUMMYFUNCTION("IF(COUNTA(C1269:C1644)=0,"""",IF(C1269="""",0,IF(REGEXMATCH(C1269,""^Sell_""),-ROUNDDOWN(ROUNDUP(INDEX(Upgrades!$C$3:$C$13,MATCH(SUBSTITUTE(C1269,""Sell_"",""""),Upgrades!$B$3:$B$13,0))*1.15^(COUNTIF(C$4:C1268,SUBSTITUTE(C1269,""Sell_"",""""))-COUNTIF(C$4"&amp;":C1268,""Sell_""&amp;SUBSTITUTE(C1269,""Sell_"",""""))))/2),ROUNDUP(INDEX(Upgrades!$C$3:$C$13,MATCH(C1269,Upgrades!$B$3:$B$13,0))*1.15^(COUNTIF(C$4:C1268,C1269)-COUNTIF(C$4:C1268,""Sell_""&amp;C1269))))))"),"")</f>
        <v/>
      </c>
      <c r="H1269" s="10" t="str">
        <f t="shared" si="3"/>
        <v/>
      </c>
      <c r="I1269" s="68" t="str">
        <f t="shared" si="4"/>
        <v/>
      </c>
      <c r="J1269" s="59" t="str">
        <f t="shared" si="5"/>
        <v/>
      </c>
      <c r="K1269" s="69" t="str">
        <f t="shared" si="6"/>
        <v/>
      </c>
      <c r="L1269" s="60" t="str">
        <f t="shared" si="7"/>
        <v/>
      </c>
      <c r="M1269" s="61" t="str">
        <f>IFERROR(__xludf.DUMMYFUNCTION("IFS(AND(COUNTA(C1269:C1644)=0,COUNTA(Q1269:Q1644)=0),"""",OR(AND(K1269&gt;=1000000000,OR(Y1269&gt;=1000000000,COUNTA(Q1269:Q1644)=0)),OR(Y1269&gt;=1000000000,AND(COUNTA(C1269:C1644)=0,P$3=TRUE))),
ROUNDDOWN((AB$1-AC$1)*MAX(INDEX(T$4:T1644,MATCH(LARGE(FILTER(Y$4:Y1"&amp;"644,Y$4:Y1644&lt;1000000000),1),Y$4:Y1644)),INDEX(F$4:F1644,MATCH(LARGE(FILTER(K$4:K1644,K$4:K1644&lt;1000000000),1),K$4:K1644)))),AND(K1269&lt;1000000000,COUNTA(C1269:C1644)&gt;0,P$3=FALSE),
ROUNDDOWN(INDEX(Y$4:Y1644,MATCH(LARGE(FILTER(W$4:W1644,W$4:W1644&lt;=I1269),1)"&amp;",W$4:W1644))+(I1269-LARGE(FILTER(W$4:W1644,W$4:W1644&lt;=I1269),1))*INDEX(T$4:T1644,MATCH(LARGE(FILTER(W$4:W1644,W$4:W1644&lt;=I1269),1),W$4:W1644))-K1269),1,
ROUNDDOWN(Y1269-INDEX(K$4:K1644,MATCH(LARGE(FILTER(I$4:I1644,I$4:I1644&lt;=W1269),1),I$4:I1644))-(W1269-L"&amp;"ARGE(FILTER(I$4:I1644,I$4:I1644&lt;=W1269),1))*INDEX(F$4:F1644,MATCH(LARGE(FILTER(I$4:I1644,I$4:I1644&lt;=W1269),1),I$4:I1644))))"),"")</f>
        <v/>
      </c>
      <c r="N1269" s="60" t="str">
        <f t="shared" si="8"/>
        <v/>
      </c>
      <c r="O1269" s="61" t="str">
        <f t="shared" si="9"/>
        <v/>
      </c>
      <c r="P1269" s="56" t="str">
        <f t="shared" si="10"/>
        <v/>
      </c>
      <c r="Q1269" s="105"/>
      <c r="R1269" s="10"/>
      <c r="S1269" s="59" t="str">
        <f t="array" ref="S1269">IF(COUNTA(Q1269:Q1644)=0,"",SUM((COUNTIF(Q$4:Q1269,Upgrades!$B$3:$B$13)-COUNTIF(Q$4:Q1269,"Sell_"&amp;Upgrades!$B$3:$B$13))*Upgrades!$D$3:$D$13))</f>
        <v/>
      </c>
      <c r="T1269" s="66" t="str">
        <f>IFERROR(__xludf.DUMMYFUNCTION("IF(COUNTA(Q1269:Q1644)=0,"""",IF(REGEXMATCH(INDEX(FILTER(Q$4:Q1269,Q$4:Q1269&lt;&gt;""""),ROWS(FILTER(Q$4:Q1269,Q$4:Q1269&lt;&gt;""""))),""^Sell_""),INDEX(FILTER(T$4:T1268,Q$4:Q1268&lt;&gt;""""),ROWS(FILTER(Q$4:Q1268,Q$4:Q1268&lt;&gt;""""))),$AD$5+S1269))"),"")</f>
        <v/>
      </c>
      <c r="U1269" s="10" t="str">
        <f>IFERROR(__xludf.DUMMYFUNCTION("IF(COUNTA(Q1269:Q1644)=0,"""",IF(Q1269="""",0,IF(REGEXMATCH(Q1269,""^Sell_""),-ROUNDDOWN(ROUNDUP(INDEX(Upgrades!$C$3:$C$13,MATCH(SUBSTITUTE(Q1269,""Sell_"",""""),Upgrades!$B$3:$B$13,0))*1.15^(COUNTIF(Q$4:Q1268,SUBSTITUTE(Q1269,""Sell_"",""""))-COUNTIF(Q$4"&amp;":Q1268,""Sell_""&amp;SUBSTITUTE(Q1269,""Sell_"",""""))))/2),ROUNDUP(INDEX(Upgrades!$C$3:$C$13,MATCH(Q1269,Upgrades!$B$3:$B$13,0))*1.15^(COUNTIF(Q$4:Q1268,Q1269)-COUNTIF(Q$4:Q1268,""Sell_""&amp;Q1269))))))"),"")</f>
        <v/>
      </c>
      <c r="V1269" s="10" t="str">
        <f t="shared" si="11"/>
        <v/>
      </c>
      <c r="W1269" s="68" t="str">
        <f t="shared" si="12"/>
        <v/>
      </c>
      <c r="X1269" s="59" t="str">
        <f t="shared" si="13"/>
        <v/>
      </c>
      <c r="Y1269" s="69" t="str">
        <f t="shared" si="14"/>
        <v/>
      </c>
      <c r="Z1269" s="11"/>
      <c r="AG1269" s="59"/>
    </row>
    <row r="1270">
      <c r="A1270" s="8"/>
      <c r="B1270" s="56" t="str">
        <f t="shared" si="2"/>
        <v/>
      </c>
      <c r="C1270" s="105"/>
      <c r="D1270" s="10"/>
      <c r="E1270" s="59" t="str">
        <f t="array" ref="E1270">IF(COUNTA(C1270:C1644)=0,"",SUM((COUNTIF(C$4:C1270,Upgrades!$B$3:$B$13)-COUNTIF(C$4:C1270,"Sell_"&amp;Upgrades!$B$3:$B$13))*Upgrades!$D$3:$D$13))</f>
        <v/>
      </c>
      <c r="F1270" s="66" t="str">
        <f>IFERROR(__xludf.DUMMYFUNCTION("IF(COUNTA(C1270:C1644)=0,"""",IF(REGEXMATCH(INDEX(FILTER(C$4:C1270,C$4:C1270&lt;&gt;""""),ROWS(FILTER(C$4:C1270,C$4:C1270&lt;&gt;""""))),""^Sell_""),INDEX(FILTER(F$4:F1269,C$4:C1269&lt;&gt;""""),ROWS(FILTER(C$4:C1269,C$4:C1269&lt;&gt;""""))),$AC$5+E1270))"),"")</f>
        <v/>
      </c>
      <c r="G1270" s="10" t="str">
        <f>IFERROR(__xludf.DUMMYFUNCTION("IF(COUNTA(C1270:C1644)=0,"""",IF(C1270="""",0,IF(REGEXMATCH(C1270,""^Sell_""),-ROUNDDOWN(ROUNDUP(INDEX(Upgrades!$C$3:$C$13,MATCH(SUBSTITUTE(C1270,""Sell_"",""""),Upgrades!$B$3:$B$13,0))*1.15^(COUNTIF(C$4:C1269,SUBSTITUTE(C1270,""Sell_"",""""))-COUNTIF(C$4"&amp;":C1269,""Sell_""&amp;SUBSTITUTE(C1270,""Sell_"",""""))))/2),ROUNDUP(INDEX(Upgrades!$C$3:$C$13,MATCH(C1270,Upgrades!$B$3:$B$13,0))*1.15^(COUNTIF(C$4:C1269,C1270)-COUNTIF(C$4:C1269,""Sell_""&amp;C1270))))))"),"")</f>
        <v/>
      </c>
      <c r="H1270" s="10" t="str">
        <f t="shared" si="3"/>
        <v/>
      </c>
      <c r="I1270" s="68" t="str">
        <f t="shared" si="4"/>
        <v/>
      </c>
      <c r="J1270" s="59" t="str">
        <f t="shared" si="5"/>
        <v/>
      </c>
      <c r="K1270" s="69" t="str">
        <f t="shared" si="6"/>
        <v/>
      </c>
      <c r="L1270" s="60" t="str">
        <f t="shared" si="7"/>
        <v/>
      </c>
      <c r="M1270" s="61" t="str">
        <f>IFERROR(__xludf.DUMMYFUNCTION("IFS(AND(COUNTA(C1270:C1644)=0,COUNTA(Q1270:Q1644)=0),"""",OR(AND(K1270&gt;=1000000000,OR(Y1270&gt;=1000000000,COUNTA(Q1270:Q1644)=0)),OR(Y1270&gt;=1000000000,AND(COUNTA(C1270:C1644)=0,P$3=TRUE))),
ROUNDDOWN((AB$1-AC$1)*MAX(INDEX(T$4:T1644,MATCH(LARGE(FILTER(Y$4:Y1"&amp;"644,Y$4:Y1644&lt;1000000000),1),Y$4:Y1644)),INDEX(F$4:F1644,MATCH(LARGE(FILTER(K$4:K1644,K$4:K1644&lt;1000000000),1),K$4:K1644)))),AND(K1270&lt;1000000000,COUNTA(C1270:C1644)&gt;0,P$3=FALSE),
ROUNDDOWN(INDEX(Y$4:Y1644,MATCH(LARGE(FILTER(W$4:W1644,W$4:W1644&lt;=I1270),1)"&amp;",W$4:W1644))+(I1270-LARGE(FILTER(W$4:W1644,W$4:W1644&lt;=I1270),1))*INDEX(T$4:T1644,MATCH(LARGE(FILTER(W$4:W1644,W$4:W1644&lt;=I1270),1),W$4:W1644))-K1270),1,
ROUNDDOWN(Y1270-INDEX(K$4:K1644,MATCH(LARGE(FILTER(I$4:I1644,I$4:I1644&lt;=W1270),1),I$4:I1644))-(W1270-L"&amp;"ARGE(FILTER(I$4:I1644,I$4:I1644&lt;=W1270),1))*INDEX(F$4:F1644,MATCH(LARGE(FILTER(I$4:I1644,I$4:I1644&lt;=W1270),1),I$4:I1644))))"),"")</f>
        <v/>
      </c>
      <c r="N1270" s="60" t="str">
        <f t="shared" si="8"/>
        <v/>
      </c>
      <c r="O1270" s="61" t="str">
        <f t="shared" si="9"/>
        <v/>
      </c>
      <c r="P1270" s="56" t="str">
        <f t="shared" si="10"/>
        <v/>
      </c>
      <c r="Q1270" s="105"/>
      <c r="R1270" s="10"/>
      <c r="S1270" s="59" t="str">
        <f t="array" ref="S1270">IF(COUNTA(Q1270:Q1644)=0,"",SUM((COUNTIF(Q$4:Q1270,Upgrades!$B$3:$B$13)-COUNTIF(Q$4:Q1270,"Sell_"&amp;Upgrades!$B$3:$B$13))*Upgrades!$D$3:$D$13))</f>
        <v/>
      </c>
      <c r="T1270" s="66" t="str">
        <f>IFERROR(__xludf.DUMMYFUNCTION("IF(COUNTA(Q1270:Q1644)=0,"""",IF(REGEXMATCH(INDEX(FILTER(Q$4:Q1270,Q$4:Q1270&lt;&gt;""""),ROWS(FILTER(Q$4:Q1270,Q$4:Q1270&lt;&gt;""""))),""^Sell_""),INDEX(FILTER(T$4:T1269,Q$4:Q1269&lt;&gt;""""),ROWS(FILTER(Q$4:Q1269,Q$4:Q1269&lt;&gt;""""))),$AD$5+S1270))"),"")</f>
        <v/>
      </c>
      <c r="U1270" s="10" t="str">
        <f>IFERROR(__xludf.DUMMYFUNCTION("IF(COUNTA(Q1270:Q1644)=0,"""",IF(Q1270="""",0,IF(REGEXMATCH(Q1270,""^Sell_""),-ROUNDDOWN(ROUNDUP(INDEX(Upgrades!$C$3:$C$13,MATCH(SUBSTITUTE(Q1270,""Sell_"",""""),Upgrades!$B$3:$B$13,0))*1.15^(COUNTIF(Q$4:Q1269,SUBSTITUTE(Q1270,""Sell_"",""""))-COUNTIF(Q$4"&amp;":Q1269,""Sell_""&amp;SUBSTITUTE(Q1270,""Sell_"",""""))))/2),ROUNDUP(INDEX(Upgrades!$C$3:$C$13,MATCH(Q1270,Upgrades!$B$3:$B$13,0))*1.15^(COUNTIF(Q$4:Q1269,Q1270)-COUNTIF(Q$4:Q1269,""Sell_""&amp;Q1270))))))"),"")</f>
        <v/>
      </c>
      <c r="V1270" s="10" t="str">
        <f t="shared" si="11"/>
        <v/>
      </c>
      <c r="W1270" s="68" t="str">
        <f t="shared" si="12"/>
        <v/>
      </c>
      <c r="X1270" s="59" t="str">
        <f t="shared" si="13"/>
        <v/>
      </c>
      <c r="Y1270" s="69" t="str">
        <f t="shared" si="14"/>
        <v/>
      </c>
      <c r="Z1270" s="11"/>
      <c r="AG1270" s="59"/>
    </row>
    <row r="1271">
      <c r="A1271" s="8"/>
      <c r="B1271" s="56" t="str">
        <f t="shared" si="2"/>
        <v/>
      </c>
      <c r="C1271" s="105"/>
      <c r="D1271" s="10"/>
      <c r="E1271" s="59" t="str">
        <f t="array" ref="E1271">IF(COUNTA(C1271:C1644)=0,"",SUM((COUNTIF(C$4:C1271,Upgrades!$B$3:$B$13)-COUNTIF(C$4:C1271,"Sell_"&amp;Upgrades!$B$3:$B$13))*Upgrades!$D$3:$D$13))</f>
        <v/>
      </c>
      <c r="F1271" s="66" t="str">
        <f>IFERROR(__xludf.DUMMYFUNCTION("IF(COUNTA(C1271:C1644)=0,"""",IF(REGEXMATCH(INDEX(FILTER(C$4:C1271,C$4:C1271&lt;&gt;""""),ROWS(FILTER(C$4:C1271,C$4:C1271&lt;&gt;""""))),""^Sell_""),INDEX(FILTER(F$4:F1270,C$4:C1270&lt;&gt;""""),ROWS(FILTER(C$4:C1270,C$4:C1270&lt;&gt;""""))),$AC$5+E1271))"),"")</f>
        <v/>
      </c>
      <c r="G1271" s="10" t="str">
        <f>IFERROR(__xludf.DUMMYFUNCTION("IF(COUNTA(C1271:C1644)=0,"""",IF(C1271="""",0,IF(REGEXMATCH(C1271,""^Sell_""),-ROUNDDOWN(ROUNDUP(INDEX(Upgrades!$C$3:$C$13,MATCH(SUBSTITUTE(C1271,""Sell_"",""""),Upgrades!$B$3:$B$13,0))*1.15^(COUNTIF(C$4:C1270,SUBSTITUTE(C1271,""Sell_"",""""))-COUNTIF(C$4"&amp;":C1270,""Sell_""&amp;SUBSTITUTE(C1271,""Sell_"",""""))))/2),ROUNDUP(INDEX(Upgrades!$C$3:$C$13,MATCH(C1271,Upgrades!$B$3:$B$13,0))*1.15^(COUNTIF(C$4:C1270,C1271)-COUNTIF(C$4:C1270,""Sell_""&amp;C1271))))))"),"")</f>
        <v/>
      </c>
      <c r="H1271" s="10" t="str">
        <f t="shared" si="3"/>
        <v/>
      </c>
      <c r="I1271" s="68" t="str">
        <f t="shared" si="4"/>
        <v/>
      </c>
      <c r="J1271" s="59" t="str">
        <f t="shared" si="5"/>
        <v/>
      </c>
      <c r="K1271" s="69" t="str">
        <f t="shared" si="6"/>
        <v/>
      </c>
      <c r="L1271" s="60" t="str">
        <f t="shared" si="7"/>
        <v/>
      </c>
      <c r="M1271" s="61" t="str">
        <f>IFERROR(__xludf.DUMMYFUNCTION("IFS(AND(COUNTA(C1271:C1644)=0,COUNTA(Q1271:Q1644)=0),"""",OR(AND(K1271&gt;=1000000000,OR(Y1271&gt;=1000000000,COUNTA(Q1271:Q1644)=0)),OR(Y1271&gt;=1000000000,AND(COUNTA(C1271:C1644)=0,P$3=TRUE))),
ROUNDDOWN((AB$1-AC$1)*MAX(INDEX(T$4:T1644,MATCH(LARGE(FILTER(Y$4:Y1"&amp;"644,Y$4:Y1644&lt;1000000000),1),Y$4:Y1644)),INDEX(F$4:F1644,MATCH(LARGE(FILTER(K$4:K1644,K$4:K1644&lt;1000000000),1),K$4:K1644)))),AND(K1271&lt;1000000000,COUNTA(C1271:C1644)&gt;0,P$3=FALSE),
ROUNDDOWN(INDEX(Y$4:Y1644,MATCH(LARGE(FILTER(W$4:W1644,W$4:W1644&lt;=I1271),1)"&amp;",W$4:W1644))+(I1271-LARGE(FILTER(W$4:W1644,W$4:W1644&lt;=I1271),1))*INDEX(T$4:T1644,MATCH(LARGE(FILTER(W$4:W1644,W$4:W1644&lt;=I1271),1),W$4:W1644))-K1271),1,
ROUNDDOWN(Y1271-INDEX(K$4:K1644,MATCH(LARGE(FILTER(I$4:I1644,I$4:I1644&lt;=W1271),1),I$4:I1644))-(W1271-L"&amp;"ARGE(FILTER(I$4:I1644,I$4:I1644&lt;=W1271),1))*INDEX(F$4:F1644,MATCH(LARGE(FILTER(I$4:I1644,I$4:I1644&lt;=W1271),1),I$4:I1644))))"),"")</f>
        <v/>
      </c>
      <c r="N1271" s="60" t="str">
        <f t="shared" si="8"/>
        <v/>
      </c>
      <c r="O1271" s="61" t="str">
        <f t="shared" si="9"/>
        <v/>
      </c>
      <c r="P1271" s="56" t="str">
        <f t="shared" si="10"/>
        <v/>
      </c>
      <c r="Q1271" s="105"/>
      <c r="R1271" s="10"/>
      <c r="S1271" s="59" t="str">
        <f t="array" ref="S1271">IF(COUNTA(Q1271:Q1644)=0,"",SUM((COUNTIF(Q$4:Q1271,Upgrades!$B$3:$B$13)-COUNTIF(Q$4:Q1271,"Sell_"&amp;Upgrades!$B$3:$B$13))*Upgrades!$D$3:$D$13))</f>
        <v/>
      </c>
      <c r="T1271" s="66" t="str">
        <f>IFERROR(__xludf.DUMMYFUNCTION("IF(COUNTA(Q1271:Q1644)=0,"""",IF(REGEXMATCH(INDEX(FILTER(Q$4:Q1271,Q$4:Q1271&lt;&gt;""""),ROWS(FILTER(Q$4:Q1271,Q$4:Q1271&lt;&gt;""""))),""^Sell_""),INDEX(FILTER(T$4:T1270,Q$4:Q1270&lt;&gt;""""),ROWS(FILTER(Q$4:Q1270,Q$4:Q1270&lt;&gt;""""))),$AD$5+S1271))"),"")</f>
        <v/>
      </c>
      <c r="U1271" s="10" t="str">
        <f>IFERROR(__xludf.DUMMYFUNCTION("IF(COUNTA(Q1271:Q1644)=0,"""",IF(Q1271="""",0,IF(REGEXMATCH(Q1271,""^Sell_""),-ROUNDDOWN(ROUNDUP(INDEX(Upgrades!$C$3:$C$13,MATCH(SUBSTITUTE(Q1271,""Sell_"",""""),Upgrades!$B$3:$B$13,0))*1.15^(COUNTIF(Q$4:Q1270,SUBSTITUTE(Q1271,""Sell_"",""""))-COUNTIF(Q$4"&amp;":Q1270,""Sell_""&amp;SUBSTITUTE(Q1271,""Sell_"",""""))))/2),ROUNDUP(INDEX(Upgrades!$C$3:$C$13,MATCH(Q1271,Upgrades!$B$3:$B$13,0))*1.15^(COUNTIF(Q$4:Q1270,Q1271)-COUNTIF(Q$4:Q1270,""Sell_""&amp;Q1271))))))"),"")</f>
        <v/>
      </c>
      <c r="V1271" s="10" t="str">
        <f t="shared" si="11"/>
        <v/>
      </c>
      <c r="W1271" s="68" t="str">
        <f t="shared" si="12"/>
        <v/>
      </c>
      <c r="X1271" s="59" t="str">
        <f t="shared" si="13"/>
        <v/>
      </c>
      <c r="Y1271" s="69" t="str">
        <f t="shared" si="14"/>
        <v/>
      </c>
      <c r="Z1271" s="11"/>
      <c r="AG1271" s="59"/>
    </row>
    <row r="1272">
      <c r="A1272" s="8"/>
      <c r="B1272" s="56" t="str">
        <f t="shared" si="2"/>
        <v/>
      </c>
      <c r="C1272" s="105"/>
      <c r="D1272" s="10"/>
      <c r="E1272" s="59" t="str">
        <f t="array" ref="E1272">IF(COUNTA(C1272:C1644)=0,"",SUM((COUNTIF(C$4:C1272,Upgrades!$B$3:$B$13)-COUNTIF(C$4:C1272,"Sell_"&amp;Upgrades!$B$3:$B$13))*Upgrades!$D$3:$D$13))</f>
        <v/>
      </c>
      <c r="F1272" s="66" t="str">
        <f>IFERROR(__xludf.DUMMYFUNCTION("IF(COUNTA(C1272:C1644)=0,"""",IF(REGEXMATCH(INDEX(FILTER(C$4:C1272,C$4:C1272&lt;&gt;""""),ROWS(FILTER(C$4:C1272,C$4:C1272&lt;&gt;""""))),""^Sell_""),INDEX(FILTER(F$4:F1271,C$4:C1271&lt;&gt;""""),ROWS(FILTER(C$4:C1271,C$4:C1271&lt;&gt;""""))),$AC$5+E1272))"),"")</f>
        <v/>
      </c>
      <c r="G1272" s="10" t="str">
        <f>IFERROR(__xludf.DUMMYFUNCTION("IF(COUNTA(C1272:C1644)=0,"""",IF(C1272="""",0,IF(REGEXMATCH(C1272,""^Sell_""),-ROUNDDOWN(ROUNDUP(INDEX(Upgrades!$C$3:$C$13,MATCH(SUBSTITUTE(C1272,""Sell_"",""""),Upgrades!$B$3:$B$13,0))*1.15^(COUNTIF(C$4:C1271,SUBSTITUTE(C1272,""Sell_"",""""))-COUNTIF(C$4"&amp;":C1271,""Sell_""&amp;SUBSTITUTE(C1272,""Sell_"",""""))))/2),ROUNDUP(INDEX(Upgrades!$C$3:$C$13,MATCH(C1272,Upgrades!$B$3:$B$13,0))*1.15^(COUNTIF(C$4:C1271,C1272)-COUNTIF(C$4:C1271,""Sell_""&amp;C1272))))))"),"")</f>
        <v/>
      </c>
      <c r="H1272" s="10" t="str">
        <f t="shared" si="3"/>
        <v/>
      </c>
      <c r="I1272" s="68" t="str">
        <f t="shared" si="4"/>
        <v/>
      </c>
      <c r="J1272" s="59" t="str">
        <f t="shared" si="5"/>
        <v/>
      </c>
      <c r="K1272" s="69" t="str">
        <f t="shared" si="6"/>
        <v/>
      </c>
      <c r="L1272" s="60" t="str">
        <f t="shared" si="7"/>
        <v/>
      </c>
      <c r="M1272" s="61" t="str">
        <f>IFERROR(__xludf.DUMMYFUNCTION("IFS(AND(COUNTA(C1272:C1644)=0,COUNTA(Q1272:Q1644)=0),"""",OR(AND(K1272&gt;=1000000000,OR(Y1272&gt;=1000000000,COUNTA(Q1272:Q1644)=0)),OR(Y1272&gt;=1000000000,AND(COUNTA(C1272:C1644)=0,P$3=TRUE))),
ROUNDDOWN((AB$1-AC$1)*MAX(INDEX(T$4:T1644,MATCH(LARGE(FILTER(Y$4:Y1"&amp;"644,Y$4:Y1644&lt;1000000000),1),Y$4:Y1644)),INDEX(F$4:F1644,MATCH(LARGE(FILTER(K$4:K1644,K$4:K1644&lt;1000000000),1),K$4:K1644)))),AND(K1272&lt;1000000000,COUNTA(C1272:C1644)&gt;0,P$3=FALSE),
ROUNDDOWN(INDEX(Y$4:Y1644,MATCH(LARGE(FILTER(W$4:W1644,W$4:W1644&lt;=I1272),1)"&amp;",W$4:W1644))+(I1272-LARGE(FILTER(W$4:W1644,W$4:W1644&lt;=I1272),1))*INDEX(T$4:T1644,MATCH(LARGE(FILTER(W$4:W1644,W$4:W1644&lt;=I1272),1),W$4:W1644))-K1272),1,
ROUNDDOWN(Y1272-INDEX(K$4:K1644,MATCH(LARGE(FILTER(I$4:I1644,I$4:I1644&lt;=W1272),1),I$4:I1644))-(W1272-L"&amp;"ARGE(FILTER(I$4:I1644,I$4:I1644&lt;=W1272),1))*INDEX(F$4:F1644,MATCH(LARGE(FILTER(I$4:I1644,I$4:I1644&lt;=W1272),1),I$4:I1644))))"),"")</f>
        <v/>
      </c>
      <c r="N1272" s="60" t="str">
        <f t="shared" si="8"/>
        <v/>
      </c>
      <c r="O1272" s="61" t="str">
        <f t="shared" si="9"/>
        <v/>
      </c>
      <c r="P1272" s="56" t="str">
        <f t="shared" si="10"/>
        <v/>
      </c>
      <c r="Q1272" s="105"/>
      <c r="R1272" s="10"/>
      <c r="S1272" s="59" t="str">
        <f t="array" ref="S1272">IF(COUNTA(Q1272:Q1644)=0,"",SUM((COUNTIF(Q$4:Q1272,Upgrades!$B$3:$B$13)-COUNTIF(Q$4:Q1272,"Sell_"&amp;Upgrades!$B$3:$B$13))*Upgrades!$D$3:$D$13))</f>
        <v/>
      </c>
      <c r="T1272" s="66" t="str">
        <f>IFERROR(__xludf.DUMMYFUNCTION("IF(COUNTA(Q1272:Q1644)=0,"""",IF(REGEXMATCH(INDEX(FILTER(Q$4:Q1272,Q$4:Q1272&lt;&gt;""""),ROWS(FILTER(Q$4:Q1272,Q$4:Q1272&lt;&gt;""""))),""^Sell_""),INDEX(FILTER(T$4:T1271,Q$4:Q1271&lt;&gt;""""),ROWS(FILTER(Q$4:Q1271,Q$4:Q1271&lt;&gt;""""))),$AD$5+S1272))"),"")</f>
        <v/>
      </c>
      <c r="U1272" s="10" t="str">
        <f>IFERROR(__xludf.DUMMYFUNCTION("IF(COUNTA(Q1272:Q1644)=0,"""",IF(Q1272="""",0,IF(REGEXMATCH(Q1272,""^Sell_""),-ROUNDDOWN(ROUNDUP(INDEX(Upgrades!$C$3:$C$13,MATCH(SUBSTITUTE(Q1272,""Sell_"",""""),Upgrades!$B$3:$B$13,0))*1.15^(COUNTIF(Q$4:Q1271,SUBSTITUTE(Q1272,""Sell_"",""""))-COUNTIF(Q$4"&amp;":Q1271,""Sell_""&amp;SUBSTITUTE(Q1272,""Sell_"",""""))))/2),ROUNDUP(INDEX(Upgrades!$C$3:$C$13,MATCH(Q1272,Upgrades!$B$3:$B$13,0))*1.15^(COUNTIF(Q$4:Q1271,Q1272)-COUNTIF(Q$4:Q1271,""Sell_""&amp;Q1272))))))"),"")</f>
        <v/>
      </c>
      <c r="V1272" s="10" t="str">
        <f t="shared" si="11"/>
        <v/>
      </c>
      <c r="W1272" s="68" t="str">
        <f t="shared" si="12"/>
        <v/>
      </c>
      <c r="X1272" s="59" t="str">
        <f t="shared" si="13"/>
        <v/>
      </c>
      <c r="Y1272" s="69" t="str">
        <f t="shared" si="14"/>
        <v/>
      </c>
      <c r="Z1272" s="11"/>
      <c r="AG1272" s="59"/>
    </row>
    <row r="1273">
      <c r="A1273" s="8"/>
      <c r="B1273" s="56" t="str">
        <f t="shared" si="2"/>
        <v/>
      </c>
      <c r="C1273" s="105"/>
      <c r="D1273" s="10"/>
      <c r="E1273" s="59" t="str">
        <f t="array" ref="E1273">IF(COUNTA(C1273:C1644)=0,"",SUM((COUNTIF(C$4:C1273,Upgrades!$B$3:$B$13)-COUNTIF(C$4:C1273,"Sell_"&amp;Upgrades!$B$3:$B$13))*Upgrades!$D$3:$D$13))</f>
        <v/>
      </c>
      <c r="F1273" s="66" t="str">
        <f>IFERROR(__xludf.DUMMYFUNCTION("IF(COUNTA(C1273:C1644)=0,"""",IF(REGEXMATCH(INDEX(FILTER(C$4:C1273,C$4:C1273&lt;&gt;""""),ROWS(FILTER(C$4:C1273,C$4:C1273&lt;&gt;""""))),""^Sell_""),INDEX(FILTER(F$4:F1272,C$4:C1272&lt;&gt;""""),ROWS(FILTER(C$4:C1272,C$4:C1272&lt;&gt;""""))),$AC$5+E1273))"),"")</f>
        <v/>
      </c>
      <c r="G1273" s="10" t="str">
        <f>IFERROR(__xludf.DUMMYFUNCTION("IF(COUNTA(C1273:C1644)=0,"""",IF(C1273="""",0,IF(REGEXMATCH(C1273,""^Sell_""),-ROUNDDOWN(ROUNDUP(INDEX(Upgrades!$C$3:$C$13,MATCH(SUBSTITUTE(C1273,""Sell_"",""""),Upgrades!$B$3:$B$13,0))*1.15^(COUNTIF(C$4:C1272,SUBSTITUTE(C1273,""Sell_"",""""))-COUNTIF(C$4"&amp;":C1272,""Sell_""&amp;SUBSTITUTE(C1273,""Sell_"",""""))))/2),ROUNDUP(INDEX(Upgrades!$C$3:$C$13,MATCH(C1273,Upgrades!$B$3:$B$13,0))*1.15^(COUNTIF(C$4:C1272,C1273)-COUNTIF(C$4:C1272,""Sell_""&amp;C1273))))))"),"")</f>
        <v/>
      </c>
      <c r="H1273" s="10" t="str">
        <f t="shared" si="3"/>
        <v/>
      </c>
      <c r="I1273" s="68" t="str">
        <f t="shared" si="4"/>
        <v/>
      </c>
      <c r="J1273" s="59" t="str">
        <f t="shared" si="5"/>
        <v/>
      </c>
      <c r="K1273" s="69" t="str">
        <f t="shared" si="6"/>
        <v/>
      </c>
      <c r="L1273" s="60" t="str">
        <f t="shared" si="7"/>
        <v/>
      </c>
      <c r="M1273" s="61" t="str">
        <f>IFERROR(__xludf.DUMMYFUNCTION("IFS(AND(COUNTA(C1273:C1644)=0,COUNTA(Q1273:Q1644)=0),"""",OR(AND(K1273&gt;=1000000000,OR(Y1273&gt;=1000000000,COUNTA(Q1273:Q1644)=0)),OR(Y1273&gt;=1000000000,AND(COUNTA(C1273:C1644)=0,P$3=TRUE))),
ROUNDDOWN((AB$1-AC$1)*MAX(INDEX(T$4:T1644,MATCH(LARGE(FILTER(Y$4:Y1"&amp;"644,Y$4:Y1644&lt;1000000000),1),Y$4:Y1644)),INDEX(F$4:F1644,MATCH(LARGE(FILTER(K$4:K1644,K$4:K1644&lt;1000000000),1),K$4:K1644)))),AND(K1273&lt;1000000000,COUNTA(C1273:C1644)&gt;0,P$3=FALSE),
ROUNDDOWN(INDEX(Y$4:Y1644,MATCH(LARGE(FILTER(W$4:W1644,W$4:W1644&lt;=I1273),1)"&amp;",W$4:W1644))+(I1273-LARGE(FILTER(W$4:W1644,W$4:W1644&lt;=I1273),1))*INDEX(T$4:T1644,MATCH(LARGE(FILTER(W$4:W1644,W$4:W1644&lt;=I1273),1),W$4:W1644))-K1273),1,
ROUNDDOWN(Y1273-INDEX(K$4:K1644,MATCH(LARGE(FILTER(I$4:I1644,I$4:I1644&lt;=W1273),1),I$4:I1644))-(W1273-L"&amp;"ARGE(FILTER(I$4:I1644,I$4:I1644&lt;=W1273),1))*INDEX(F$4:F1644,MATCH(LARGE(FILTER(I$4:I1644,I$4:I1644&lt;=W1273),1),I$4:I1644))))"),"")</f>
        <v/>
      </c>
      <c r="N1273" s="60" t="str">
        <f t="shared" si="8"/>
        <v/>
      </c>
      <c r="O1273" s="61" t="str">
        <f t="shared" si="9"/>
        <v/>
      </c>
      <c r="P1273" s="56" t="str">
        <f t="shared" si="10"/>
        <v/>
      </c>
      <c r="Q1273" s="105"/>
      <c r="R1273" s="10"/>
      <c r="S1273" s="59" t="str">
        <f t="array" ref="S1273">IF(COUNTA(Q1273:Q1644)=0,"",SUM((COUNTIF(Q$4:Q1273,Upgrades!$B$3:$B$13)-COUNTIF(Q$4:Q1273,"Sell_"&amp;Upgrades!$B$3:$B$13))*Upgrades!$D$3:$D$13))</f>
        <v/>
      </c>
      <c r="T1273" s="66" t="str">
        <f>IFERROR(__xludf.DUMMYFUNCTION("IF(COUNTA(Q1273:Q1644)=0,"""",IF(REGEXMATCH(INDEX(FILTER(Q$4:Q1273,Q$4:Q1273&lt;&gt;""""),ROWS(FILTER(Q$4:Q1273,Q$4:Q1273&lt;&gt;""""))),""^Sell_""),INDEX(FILTER(T$4:T1272,Q$4:Q1272&lt;&gt;""""),ROWS(FILTER(Q$4:Q1272,Q$4:Q1272&lt;&gt;""""))),$AD$5+S1273))"),"")</f>
        <v/>
      </c>
      <c r="U1273" s="10" t="str">
        <f>IFERROR(__xludf.DUMMYFUNCTION("IF(COUNTA(Q1273:Q1644)=0,"""",IF(Q1273="""",0,IF(REGEXMATCH(Q1273,""^Sell_""),-ROUNDDOWN(ROUNDUP(INDEX(Upgrades!$C$3:$C$13,MATCH(SUBSTITUTE(Q1273,""Sell_"",""""),Upgrades!$B$3:$B$13,0))*1.15^(COUNTIF(Q$4:Q1272,SUBSTITUTE(Q1273,""Sell_"",""""))-COUNTIF(Q$4"&amp;":Q1272,""Sell_""&amp;SUBSTITUTE(Q1273,""Sell_"",""""))))/2),ROUNDUP(INDEX(Upgrades!$C$3:$C$13,MATCH(Q1273,Upgrades!$B$3:$B$13,0))*1.15^(COUNTIF(Q$4:Q1272,Q1273)-COUNTIF(Q$4:Q1272,""Sell_""&amp;Q1273))))))"),"")</f>
        <v/>
      </c>
      <c r="V1273" s="10" t="str">
        <f t="shared" si="11"/>
        <v/>
      </c>
      <c r="W1273" s="68" t="str">
        <f t="shared" si="12"/>
        <v/>
      </c>
      <c r="X1273" s="59" t="str">
        <f t="shared" si="13"/>
        <v/>
      </c>
      <c r="Y1273" s="69" t="str">
        <f t="shared" si="14"/>
        <v/>
      </c>
      <c r="Z1273" s="11"/>
      <c r="AG1273" s="59"/>
    </row>
    <row r="1274">
      <c r="A1274" s="8"/>
      <c r="B1274" s="56" t="str">
        <f t="shared" si="2"/>
        <v/>
      </c>
      <c r="C1274" s="105"/>
      <c r="D1274" s="10"/>
      <c r="E1274" s="59" t="str">
        <f t="array" ref="E1274">IF(COUNTA(C1274:C1644)=0,"",SUM((COUNTIF(C$4:C1274,Upgrades!$B$3:$B$13)-COUNTIF(C$4:C1274,"Sell_"&amp;Upgrades!$B$3:$B$13))*Upgrades!$D$3:$D$13))</f>
        <v/>
      </c>
      <c r="F1274" s="66" t="str">
        <f>IFERROR(__xludf.DUMMYFUNCTION("IF(COUNTA(C1274:C1644)=0,"""",IF(REGEXMATCH(INDEX(FILTER(C$4:C1274,C$4:C1274&lt;&gt;""""),ROWS(FILTER(C$4:C1274,C$4:C1274&lt;&gt;""""))),""^Sell_""),INDEX(FILTER(F$4:F1273,C$4:C1273&lt;&gt;""""),ROWS(FILTER(C$4:C1273,C$4:C1273&lt;&gt;""""))),$AC$5+E1274))"),"")</f>
        <v/>
      </c>
      <c r="G1274" s="10" t="str">
        <f>IFERROR(__xludf.DUMMYFUNCTION("IF(COUNTA(C1274:C1644)=0,"""",IF(C1274="""",0,IF(REGEXMATCH(C1274,""^Sell_""),-ROUNDDOWN(ROUNDUP(INDEX(Upgrades!$C$3:$C$13,MATCH(SUBSTITUTE(C1274,""Sell_"",""""),Upgrades!$B$3:$B$13,0))*1.15^(COUNTIF(C$4:C1273,SUBSTITUTE(C1274,""Sell_"",""""))-COUNTIF(C$4"&amp;":C1273,""Sell_""&amp;SUBSTITUTE(C1274,""Sell_"",""""))))/2),ROUNDUP(INDEX(Upgrades!$C$3:$C$13,MATCH(C1274,Upgrades!$B$3:$B$13,0))*1.15^(COUNTIF(C$4:C1273,C1274)-COUNTIF(C$4:C1273,""Sell_""&amp;C1274))))))"),"")</f>
        <v/>
      </c>
      <c r="H1274" s="10" t="str">
        <f t="shared" si="3"/>
        <v/>
      </c>
      <c r="I1274" s="68" t="str">
        <f t="shared" si="4"/>
        <v/>
      </c>
      <c r="J1274" s="59" t="str">
        <f t="shared" si="5"/>
        <v/>
      </c>
      <c r="K1274" s="69" t="str">
        <f t="shared" si="6"/>
        <v/>
      </c>
      <c r="L1274" s="60" t="str">
        <f t="shared" si="7"/>
        <v/>
      </c>
      <c r="M1274" s="61" t="str">
        <f>IFERROR(__xludf.DUMMYFUNCTION("IFS(AND(COUNTA(C1274:C1644)=0,COUNTA(Q1274:Q1644)=0),"""",OR(AND(K1274&gt;=1000000000,OR(Y1274&gt;=1000000000,COUNTA(Q1274:Q1644)=0)),OR(Y1274&gt;=1000000000,AND(COUNTA(C1274:C1644)=0,P$3=TRUE))),
ROUNDDOWN((AB$1-AC$1)*MAX(INDEX(T$4:T1644,MATCH(LARGE(FILTER(Y$4:Y1"&amp;"644,Y$4:Y1644&lt;1000000000),1),Y$4:Y1644)),INDEX(F$4:F1644,MATCH(LARGE(FILTER(K$4:K1644,K$4:K1644&lt;1000000000),1),K$4:K1644)))),AND(K1274&lt;1000000000,COUNTA(C1274:C1644)&gt;0,P$3=FALSE),
ROUNDDOWN(INDEX(Y$4:Y1644,MATCH(LARGE(FILTER(W$4:W1644,W$4:W1644&lt;=I1274),1)"&amp;",W$4:W1644))+(I1274-LARGE(FILTER(W$4:W1644,W$4:W1644&lt;=I1274),1))*INDEX(T$4:T1644,MATCH(LARGE(FILTER(W$4:W1644,W$4:W1644&lt;=I1274),1),W$4:W1644))-K1274),1,
ROUNDDOWN(Y1274-INDEX(K$4:K1644,MATCH(LARGE(FILTER(I$4:I1644,I$4:I1644&lt;=W1274),1),I$4:I1644))-(W1274-L"&amp;"ARGE(FILTER(I$4:I1644,I$4:I1644&lt;=W1274),1))*INDEX(F$4:F1644,MATCH(LARGE(FILTER(I$4:I1644,I$4:I1644&lt;=W1274),1),I$4:I1644))))"),"")</f>
        <v/>
      </c>
      <c r="N1274" s="60" t="str">
        <f t="shared" si="8"/>
        <v/>
      </c>
      <c r="O1274" s="61" t="str">
        <f t="shared" si="9"/>
        <v/>
      </c>
      <c r="P1274" s="56" t="str">
        <f t="shared" si="10"/>
        <v/>
      </c>
      <c r="Q1274" s="105"/>
      <c r="R1274" s="10"/>
      <c r="S1274" s="59" t="str">
        <f t="array" ref="S1274">IF(COUNTA(Q1274:Q1644)=0,"",SUM((COUNTIF(Q$4:Q1274,Upgrades!$B$3:$B$13)-COUNTIF(Q$4:Q1274,"Sell_"&amp;Upgrades!$B$3:$B$13))*Upgrades!$D$3:$D$13))</f>
        <v/>
      </c>
      <c r="T1274" s="66" t="str">
        <f>IFERROR(__xludf.DUMMYFUNCTION("IF(COUNTA(Q1274:Q1644)=0,"""",IF(REGEXMATCH(INDEX(FILTER(Q$4:Q1274,Q$4:Q1274&lt;&gt;""""),ROWS(FILTER(Q$4:Q1274,Q$4:Q1274&lt;&gt;""""))),""^Sell_""),INDEX(FILTER(T$4:T1273,Q$4:Q1273&lt;&gt;""""),ROWS(FILTER(Q$4:Q1273,Q$4:Q1273&lt;&gt;""""))),$AD$5+S1274))"),"")</f>
        <v/>
      </c>
      <c r="U1274" s="10" t="str">
        <f>IFERROR(__xludf.DUMMYFUNCTION("IF(COUNTA(Q1274:Q1644)=0,"""",IF(Q1274="""",0,IF(REGEXMATCH(Q1274,""^Sell_""),-ROUNDDOWN(ROUNDUP(INDEX(Upgrades!$C$3:$C$13,MATCH(SUBSTITUTE(Q1274,""Sell_"",""""),Upgrades!$B$3:$B$13,0))*1.15^(COUNTIF(Q$4:Q1273,SUBSTITUTE(Q1274,""Sell_"",""""))-COUNTIF(Q$4"&amp;":Q1273,""Sell_""&amp;SUBSTITUTE(Q1274,""Sell_"",""""))))/2),ROUNDUP(INDEX(Upgrades!$C$3:$C$13,MATCH(Q1274,Upgrades!$B$3:$B$13,0))*1.15^(COUNTIF(Q$4:Q1273,Q1274)-COUNTIF(Q$4:Q1273,""Sell_""&amp;Q1274))))))"),"")</f>
        <v/>
      </c>
      <c r="V1274" s="10" t="str">
        <f t="shared" si="11"/>
        <v/>
      </c>
      <c r="W1274" s="68" t="str">
        <f t="shared" si="12"/>
        <v/>
      </c>
      <c r="X1274" s="59" t="str">
        <f t="shared" si="13"/>
        <v/>
      </c>
      <c r="Y1274" s="69" t="str">
        <f t="shared" si="14"/>
        <v/>
      </c>
      <c r="Z1274" s="11"/>
      <c r="AG1274" s="59"/>
    </row>
    <row r="1275">
      <c r="A1275" s="8"/>
      <c r="B1275" s="56" t="str">
        <f t="shared" si="2"/>
        <v/>
      </c>
      <c r="C1275" s="105"/>
      <c r="D1275" s="10"/>
      <c r="E1275" s="59" t="str">
        <f t="array" ref="E1275">IF(COUNTA(C1275:C1644)=0,"",SUM((COUNTIF(C$4:C1275,Upgrades!$B$3:$B$13)-COUNTIF(C$4:C1275,"Sell_"&amp;Upgrades!$B$3:$B$13))*Upgrades!$D$3:$D$13))</f>
        <v/>
      </c>
      <c r="F1275" s="66" t="str">
        <f>IFERROR(__xludf.DUMMYFUNCTION("IF(COUNTA(C1275:C1644)=0,"""",IF(REGEXMATCH(INDEX(FILTER(C$4:C1275,C$4:C1275&lt;&gt;""""),ROWS(FILTER(C$4:C1275,C$4:C1275&lt;&gt;""""))),""^Sell_""),INDEX(FILTER(F$4:F1274,C$4:C1274&lt;&gt;""""),ROWS(FILTER(C$4:C1274,C$4:C1274&lt;&gt;""""))),$AC$5+E1275))"),"")</f>
        <v/>
      </c>
      <c r="G1275" s="10" t="str">
        <f>IFERROR(__xludf.DUMMYFUNCTION("IF(COUNTA(C1275:C1644)=0,"""",IF(C1275="""",0,IF(REGEXMATCH(C1275,""^Sell_""),-ROUNDDOWN(ROUNDUP(INDEX(Upgrades!$C$3:$C$13,MATCH(SUBSTITUTE(C1275,""Sell_"",""""),Upgrades!$B$3:$B$13,0))*1.15^(COUNTIF(C$4:C1274,SUBSTITUTE(C1275,""Sell_"",""""))-COUNTIF(C$4"&amp;":C1274,""Sell_""&amp;SUBSTITUTE(C1275,""Sell_"",""""))))/2),ROUNDUP(INDEX(Upgrades!$C$3:$C$13,MATCH(C1275,Upgrades!$B$3:$B$13,0))*1.15^(COUNTIF(C$4:C1274,C1275)-COUNTIF(C$4:C1274,""Sell_""&amp;C1275))))))"),"")</f>
        <v/>
      </c>
      <c r="H1275" s="10" t="str">
        <f t="shared" si="3"/>
        <v/>
      </c>
      <c r="I1275" s="68" t="str">
        <f t="shared" si="4"/>
        <v/>
      </c>
      <c r="J1275" s="59" t="str">
        <f t="shared" si="5"/>
        <v/>
      </c>
      <c r="K1275" s="69" t="str">
        <f t="shared" si="6"/>
        <v/>
      </c>
      <c r="L1275" s="60" t="str">
        <f t="shared" si="7"/>
        <v/>
      </c>
      <c r="M1275" s="61" t="str">
        <f>IFERROR(__xludf.DUMMYFUNCTION("IFS(AND(COUNTA(C1275:C1644)=0,COUNTA(Q1275:Q1644)=0),"""",OR(AND(K1275&gt;=1000000000,OR(Y1275&gt;=1000000000,COUNTA(Q1275:Q1644)=0)),OR(Y1275&gt;=1000000000,AND(COUNTA(C1275:C1644)=0,P$3=TRUE))),
ROUNDDOWN((AB$1-AC$1)*MAX(INDEX(T$4:T1644,MATCH(LARGE(FILTER(Y$4:Y1"&amp;"644,Y$4:Y1644&lt;1000000000),1),Y$4:Y1644)),INDEX(F$4:F1644,MATCH(LARGE(FILTER(K$4:K1644,K$4:K1644&lt;1000000000),1),K$4:K1644)))),AND(K1275&lt;1000000000,COUNTA(C1275:C1644)&gt;0,P$3=FALSE),
ROUNDDOWN(INDEX(Y$4:Y1644,MATCH(LARGE(FILTER(W$4:W1644,W$4:W1644&lt;=I1275),1)"&amp;",W$4:W1644))+(I1275-LARGE(FILTER(W$4:W1644,W$4:W1644&lt;=I1275),1))*INDEX(T$4:T1644,MATCH(LARGE(FILTER(W$4:W1644,W$4:W1644&lt;=I1275),1),W$4:W1644))-K1275),1,
ROUNDDOWN(Y1275-INDEX(K$4:K1644,MATCH(LARGE(FILTER(I$4:I1644,I$4:I1644&lt;=W1275),1),I$4:I1644))-(W1275-L"&amp;"ARGE(FILTER(I$4:I1644,I$4:I1644&lt;=W1275),1))*INDEX(F$4:F1644,MATCH(LARGE(FILTER(I$4:I1644,I$4:I1644&lt;=W1275),1),I$4:I1644))))"),"")</f>
        <v/>
      </c>
      <c r="N1275" s="60" t="str">
        <f t="shared" si="8"/>
        <v/>
      </c>
      <c r="O1275" s="61" t="str">
        <f t="shared" si="9"/>
        <v/>
      </c>
      <c r="P1275" s="56" t="str">
        <f t="shared" si="10"/>
        <v/>
      </c>
      <c r="Q1275" s="105"/>
      <c r="R1275" s="10"/>
      <c r="S1275" s="59" t="str">
        <f t="array" ref="S1275">IF(COUNTA(Q1275:Q1644)=0,"",SUM((COUNTIF(Q$4:Q1275,Upgrades!$B$3:$B$13)-COUNTIF(Q$4:Q1275,"Sell_"&amp;Upgrades!$B$3:$B$13))*Upgrades!$D$3:$D$13))</f>
        <v/>
      </c>
      <c r="T1275" s="66" t="str">
        <f>IFERROR(__xludf.DUMMYFUNCTION("IF(COUNTA(Q1275:Q1644)=0,"""",IF(REGEXMATCH(INDEX(FILTER(Q$4:Q1275,Q$4:Q1275&lt;&gt;""""),ROWS(FILTER(Q$4:Q1275,Q$4:Q1275&lt;&gt;""""))),""^Sell_""),INDEX(FILTER(T$4:T1274,Q$4:Q1274&lt;&gt;""""),ROWS(FILTER(Q$4:Q1274,Q$4:Q1274&lt;&gt;""""))),$AD$5+S1275))"),"")</f>
        <v/>
      </c>
      <c r="U1275" s="10" t="str">
        <f>IFERROR(__xludf.DUMMYFUNCTION("IF(COUNTA(Q1275:Q1644)=0,"""",IF(Q1275="""",0,IF(REGEXMATCH(Q1275,""^Sell_""),-ROUNDDOWN(ROUNDUP(INDEX(Upgrades!$C$3:$C$13,MATCH(SUBSTITUTE(Q1275,""Sell_"",""""),Upgrades!$B$3:$B$13,0))*1.15^(COUNTIF(Q$4:Q1274,SUBSTITUTE(Q1275,""Sell_"",""""))-COUNTIF(Q$4"&amp;":Q1274,""Sell_""&amp;SUBSTITUTE(Q1275,""Sell_"",""""))))/2),ROUNDUP(INDEX(Upgrades!$C$3:$C$13,MATCH(Q1275,Upgrades!$B$3:$B$13,0))*1.15^(COUNTIF(Q$4:Q1274,Q1275)-COUNTIF(Q$4:Q1274,""Sell_""&amp;Q1275))))))"),"")</f>
        <v/>
      </c>
      <c r="V1275" s="10" t="str">
        <f t="shared" si="11"/>
        <v/>
      </c>
      <c r="W1275" s="68" t="str">
        <f t="shared" si="12"/>
        <v/>
      </c>
      <c r="X1275" s="59" t="str">
        <f t="shared" si="13"/>
        <v/>
      </c>
      <c r="Y1275" s="69" t="str">
        <f t="shared" si="14"/>
        <v/>
      </c>
      <c r="Z1275" s="11"/>
      <c r="AG1275" s="59"/>
    </row>
    <row r="1276">
      <c r="A1276" s="8"/>
      <c r="B1276" s="56" t="str">
        <f t="shared" si="2"/>
        <v/>
      </c>
      <c r="C1276" s="105"/>
      <c r="D1276" s="10"/>
      <c r="E1276" s="59" t="str">
        <f t="array" ref="E1276">IF(COUNTA(C1276:C1644)=0,"",SUM((COUNTIF(C$4:C1276,Upgrades!$B$3:$B$13)-COUNTIF(C$4:C1276,"Sell_"&amp;Upgrades!$B$3:$B$13))*Upgrades!$D$3:$D$13))</f>
        <v/>
      </c>
      <c r="F1276" s="66" t="str">
        <f>IFERROR(__xludf.DUMMYFUNCTION("IF(COUNTA(C1276:C1644)=0,"""",IF(REGEXMATCH(INDEX(FILTER(C$4:C1276,C$4:C1276&lt;&gt;""""),ROWS(FILTER(C$4:C1276,C$4:C1276&lt;&gt;""""))),""^Sell_""),INDEX(FILTER(F$4:F1275,C$4:C1275&lt;&gt;""""),ROWS(FILTER(C$4:C1275,C$4:C1275&lt;&gt;""""))),$AC$5+E1276))"),"")</f>
        <v/>
      </c>
      <c r="G1276" s="10" t="str">
        <f>IFERROR(__xludf.DUMMYFUNCTION("IF(COUNTA(C1276:C1644)=0,"""",IF(C1276="""",0,IF(REGEXMATCH(C1276,""^Sell_""),-ROUNDDOWN(ROUNDUP(INDEX(Upgrades!$C$3:$C$13,MATCH(SUBSTITUTE(C1276,""Sell_"",""""),Upgrades!$B$3:$B$13,0))*1.15^(COUNTIF(C$4:C1275,SUBSTITUTE(C1276,""Sell_"",""""))-COUNTIF(C$4"&amp;":C1275,""Sell_""&amp;SUBSTITUTE(C1276,""Sell_"",""""))))/2),ROUNDUP(INDEX(Upgrades!$C$3:$C$13,MATCH(C1276,Upgrades!$B$3:$B$13,0))*1.15^(COUNTIF(C$4:C1275,C1276)-COUNTIF(C$4:C1275,""Sell_""&amp;C1276))))))"),"")</f>
        <v/>
      </c>
      <c r="H1276" s="10" t="str">
        <f t="shared" si="3"/>
        <v/>
      </c>
      <c r="I1276" s="68" t="str">
        <f t="shared" si="4"/>
        <v/>
      </c>
      <c r="J1276" s="59" t="str">
        <f t="shared" si="5"/>
        <v/>
      </c>
      <c r="K1276" s="69" t="str">
        <f t="shared" si="6"/>
        <v/>
      </c>
      <c r="L1276" s="60" t="str">
        <f t="shared" si="7"/>
        <v/>
      </c>
      <c r="M1276" s="61" t="str">
        <f>IFERROR(__xludf.DUMMYFUNCTION("IFS(AND(COUNTA(C1276:C1644)=0,COUNTA(Q1276:Q1644)=0),"""",OR(AND(K1276&gt;=1000000000,OR(Y1276&gt;=1000000000,COUNTA(Q1276:Q1644)=0)),OR(Y1276&gt;=1000000000,AND(COUNTA(C1276:C1644)=0,P$3=TRUE))),
ROUNDDOWN((AB$1-AC$1)*MAX(INDEX(T$4:T1644,MATCH(LARGE(FILTER(Y$4:Y1"&amp;"644,Y$4:Y1644&lt;1000000000),1),Y$4:Y1644)),INDEX(F$4:F1644,MATCH(LARGE(FILTER(K$4:K1644,K$4:K1644&lt;1000000000),1),K$4:K1644)))),AND(K1276&lt;1000000000,COUNTA(C1276:C1644)&gt;0,P$3=FALSE),
ROUNDDOWN(INDEX(Y$4:Y1644,MATCH(LARGE(FILTER(W$4:W1644,W$4:W1644&lt;=I1276),1)"&amp;",W$4:W1644))+(I1276-LARGE(FILTER(W$4:W1644,W$4:W1644&lt;=I1276),1))*INDEX(T$4:T1644,MATCH(LARGE(FILTER(W$4:W1644,W$4:W1644&lt;=I1276),1),W$4:W1644))-K1276),1,
ROUNDDOWN(Y1276-INDEX(K$4:K1644,MATCH(LARGE(FILTER(I$4:I1644,I$4:I1644&lt;=W1276),1),I$4:I1644))-(W1276-L"&amp;"ARGE(FILTER(I$4:I1644,I$4:I1644&lt;=W1276),1))*INDEX(F$4:F1644,MATCH(LARGE(FILTER(I$4:I1644,I$4:I1644&lt;=W1276),1),I$4:I1644))))"),"")</f>
        <v/>
      </c>
      <c r="N1276" s="60" t="str">
        <f t="shared" si="8"/>
        <v/>
      </c>
      <c r="O1276" s="61" t="str">
        <f t="shared" si="9"/>
        <v/>
      </c>
      <c r="P1276" s="56" t="str">
        <f t="shared" si="10"/>
        <v/>
      </c>
      <c r="Q1276" s="105"/>
      <c r="R1276" s="10"/>
      <c r="S1276" s="59" t="str">
        <f t="array" ref="S1276">IF(COUNTA(Q1276:Q1644)=0,"",SUM((COUNTIF(Q$4:Q1276,Upgrades!$B$3:$B$13)-COUNTIF(Q$4:Q1276,"Sell_"&amp;Upgrades!$B$3:$B$13))*Upgrades!$D$3:$D$13))</f>
        <v/>
      </c>
      <c r="T1276" s="66" t="str">
        <f>IFERROR(__xludf.DUMMYFUNCTION("IF(COUNTA(Q1276:Q1644)=0,"""",IF(REGEXMATCH(INDEX(FILTER(Q$4:Q1276,Q$4:Q1276&lt;&gt;""""),ROWS(FILTER(Q$4:Q1276,Q$4:Q1276&lt;&gt;""""))),""^Sell_""),INDEX(FILTER(T$4:T1275,Q$4:Q1275&lt;&gt;""""),ROWS(FILTER(Q$4:Q1275,Q$4:Q1275&lt;&gt;""""))),$AD$5+S1276))"),"")</f>
        <v/>
      </c>
      <c r="U1276" s="10" t="str">
        <f>IFERROR(__xludf.DUMMYFUNCTION("IF(COUNTA(Q1276:Q1644)=0,"""",IF(Q1276="""",0,IF(REGEXMATCH(Q1276,""^Sell_""),-ROUNDDOWN(ROUNDUP(INDEX(Upgrades!$C$3:$C$13,MATCH(SUBSTITUTE(Q1276,""Sell_"",""""),Upgrades!$B$3:$B$13,0))*1.15^(COUNTIF(Q$4:Q1275,SUBSTITUTE(Q1276,""Sell_"",""""))-COUNTIF(Q$4"&amp;":Q1275,""Sell_""&amp;SUBSTITUTE(Q1276,""Sell_"",""""))))/2),ROUNDUP(INDEX(Upgrades!$C$3:$C$13,MATCH(Q1276,Upgrades!$B$3:$B$13,0))*1.15^(COUNTIF(Q$4:Q1275,Q1276)-COUNTIF(Q$4:Q1275,""Sell_""&amp;Q1276))))))"),"")</f>
        <v/>
      </c>
      <c r="V1276" s="10" t="str">
        <f t="shared" si="11"/>
        <v/>
      </c>
      <c r="W1276" s="68" t="str">
        <f t="shared" si="12"/>
        <v/>
      </c>
      <c r="X1276" s="59" t="str">
        <f t="shared" si="13"/>
        <v/>
      </c>
      <c r="Y1276" s="69" t="str">
        <f t="shared" si="14"/>
        <v/>
      </c>
      <c r="Z1276" s="11"/>
      <c r="AG1276" s="59"/>
    </row>
    <row r="1277">
      <c r="A1277" s="8"/>
      <c r="B1277" s="56" t="str">
        <f t="shared" si="2"/>
        <v/>
      </c>
      <c r="C1277" s="105"/>
      <c r="D1277" s="10"/>
      <c r="E1277" s="59" t="str">
        <f t="array" ref="E1277">IF(COUNTA(C1277:C1644)=0,"",SUM((COUNTIF(C$4:C1277,Upgrades!$B$3:$B$13)-COUNTIF(C$4:C1277,"Sell_"&amp;Upgrades!$B$3:$B$13))*Upgrades!$D$3:$D$13))</f>
        <v/>
      </c>
      <c r="F1277" s="66" t="str">
        <f>IFERROR(__xludf.DUMMYFUNCTION("IF(COUNTA(C1277:C1644)=0,"""",IF(REGEXMATCH(INDEX(FILTER(C$4:C1277,C$4:C1277&lt;&gt;""""),ROWS(FILTER(C$4:C1277,C$4:C1277&lt;&gt;""""))),""^Sell_""),INDEX(FILTER(F$4:F1276,C$4:C1276&lt;&gt;""""),ROWS(FILTER(C$4:C1276,C$4:C1276&lt;&gt;""""))),$AC$5+E1277))"),"")</f>
        <v/>
      </c>
      <c r="G1277" s="10" t="str">
        <f>IFERROR(__xludf.DUMMYFUNCTION("IF(COUNTA(C1277:C1644)=0,"""",IF(C1277="""",0,IF(REGEXMATCH(C1277,""^Sell_""),-ROUNDDOWN(ROUNDUP(INDEX(Upgrades!$C$3:$C$13,MATCH(SUBSTITUTE(C1277,""Sell_"",""""),Upgrades!$B$3:$B$13,0))*1.15^(COUNTIF(C$4:C1276,SUBSTITUTE(C1277,""Sell_"",""""))-COUNTIF(C$4"&amp;":C1276,""Sell_""&amp;SUBSTITUTE(C1277,""Sell_"",""""))))/2),ROUNDUP(INDEX(Upgrades!$C$3:$C$13,MATCH(C1277,Upgrades!$B$3:$B$13,0))*1.15^(COUNTIF(C$4:C1276,C1277)-COUNTIF(C$4:C1276,""Sell_""&amp;C1277))))))"),"")</f>
        <v/>
      </c>
      <c r="H1277" s="10" t="str">
        <f t="shared" si="3"/>
        <v/>
      </c>
      <c r="I1277" s="68" t="str">
        <f t="shared" si="4"/>
        <v/>
      </c>
      <c r="J1277" s="59" t="str">
        <f t="shared" si="5"/>
        <v/>
      </c>
      <c r="K1277" s="69" t="str">
        <f t="shared" si="6"/>
        <v/>
      </c>
      <c r="L1277" s="60" t="str">
        <f t="shared" si="7"/>
        <v/>
      </c>
      <c r="M1277" s="61" t="str">
        <f>IFERROR(__xludf.DUMMYFUNCTION("IFS(AND(COUNTA(C1277:C1644)=0,COUNTA(Q1277:Q1644)=0),"""",OR(AND(K1277&gt;=1000000000,OR(Y1277&gt;=1000000000,COUNTA(Q1277:Q1644)=0)),OR(Y1277&gt;=1000000000,AND(COUNTA(C1277:C1644)=0,P$3=TRUE))),
ROUNDDOWN((AB$1-AC$1)*MAX(INDEX(T$4:T1644,MATCH(LARGE(FILTER(Y$4:Y1"&amp;"644,Y$4:Y1644&lt;1000000000),1),Y$4:Y1644)),INDEX(F$4:F1644,MATCH(LARGE(FILTER(K$4:K1644,K$4:K1644&lt;1000000000),1),K$4:K1644)))),AND(K1277&lt;1000000000,COUNTA(C1277:C1644)&gt;0,P$3=FALSE),
ROUNDDOWN(INDEX(Y$4:Y1644,MATCH(LARGE(FILTER(W$4:W1644,W$4:W1644&lt;=I1277),1)"&amp;",W$4:W1644))+(I1277-LARGE(FILTER(W$4:W1644,W$4:W1644&lt;=I1277),1))*INDEX(T$4:T1644,MATCH(LARGE(FILTER(W$4:W1644,W$4:W1644&lt;=I1277),1),W$4:W1644))-K1277),1,
ROUNDDOWN(Y1277-INDEX(K$4:K1644,MATCH(LARGE(FILTER(I$4:I1644,I$4:I1644&lt;=W1277),1),I$4:I1644))-(W1277-L"&amp;"ARGE(FILTER(I$4:I1644,I$4:I1644&lt;=W1277),1))*INDEX(F$4:F1644,MATCH(LARGE(FILTER(I$4:I1644,I$4:I1644&lt;=W1277),1),I$4:I1644))))"),"")</f>
        <v/>
      </c>
      <c r="N1277" s="60" t="str">
        <f t="shared" si="8"/>
        <v/>
      </c>
      <c r="O1277" s="61" t="str">
        <f t="shared" si="9"/>
        <v/>
      </c>
      <c r="P1277" s="56" t="str">
        <f t="shared" si="10"/>
        <v/>
      </c>
      <c r="Q1277" s="105"/>
      <c r="R1277" s="10"/>
      <c r="S1277" s="59" t="str">
        <f t="array" ref="S1277">IF(COUNTA(Q1277:Q1644)=0,"",SUM((COUNTIF(Q$4:Q1277,Upgrades!$B$3:$B$13)-COUNTIF(Q$4:Q1277,"Sell_"&amp;Upgrades!$B$3:$B$13))*Upgrades!$D$3:$D$13))</f>
        <v/>
      </c>
      <c r="T1277" s="66" t="str">
        <f>IFERROR(__xludf.DUMMYFUNCTION("IF(COUNTA(Q1277:Q1644)=0,"""",IF(REGEXMATCH(INDEX(FILTER(Q$4:Q1277,Q$4:Q1277&lt;&gt;""""),ROWS(FILTER(Q$4:Q1277,Q$4:Q1277&lt;&gt;""""))),""^Sell_""),INDEX(FILTER(T$4:T1276,Q$4:Q1276&lt;&gt;""""),ROWS(FILTER(Q$4:Q1276,Q$4:Q1276&lt;&gt;""""))),$AD$5+S1277))"),"")</f>
        <v/>
      </c>
      <c r="U1277" s="10" t="str">
        <f>IFERROR(__xludf.DUMMYFUNCTION("IF(COUNTA(Q1277:Q1644)=0,"""",IF(Q1277="""",0,IF(REGEXMATCH(Q1277,""^Sell_""),-ROUNDDOWN(ROUNDUP(INDEX(Upgrades!$C$3:$C$13,MATCH(SUBSTITUTE(Q1277,""Sell_"",""""),Upgrades!$B$3:$B$13,0))*1.15^(COUNTIF(Q$4:Q1276,SUBSTITUTE(Q1277,""Sell_"",""""))-COUNTIF(Q$4"&amp;":Q1276,""Sell_""&amp;SUBSTITUTE(Q1277,""Sell_"",""""))))/2),ROUNDUP(INDEX(Upgrades!$C$3:$C$13,MATCH(Q1277,Upgrades!$B$3:$B$13,0))*1.15^(COUNTIF(Q$4:Q1276,Q1277)-COUNTIF(Q$4:Q1276,""Sell_""&amp;Q1277))))))"),"")</f>
        <v/>
      </c>
      <c r="V1277" s="10" t="str">
        <f t="shared" si="11"/>
        <v/>
      </c>
      <c r="W1277" s="68" t="str">
        <f t="shared" si="12"/>
        <v/>
      </c>
      <c r="X1277" s="59" t="str">
        <f t="shared" si="13"/>
        <v/>
      </c>
      <c r="Y1277" s="69" t="str">
        <f t="shared" si="14"/>
        <v/>
      </c>
      <c r="Z1277" s="11"/>
      <c r="AG1277" s="59"/>
    </row>
    <row r="1278">
      <c r="A1278" s="8"/>
      <c r="B1278" s="56" t="str">
        <f t="shared" si="2"/>
        <v/>
      </c>
      <c r="C1278" s="105"/>
      <c r="D1278" s="10"/>
      <c r="E1278" s="59" t="str">
        <f t="array" ref="E1278">IF(COUNTA(C1278:C1644)=0,"",SUM((COUNTIF(C$4:C1278,Upgrades!$B$3:$B$13)-COUNTIF(C$4:C1278,"Sell_"&amp;Upgrades!$B$3:$B$13))*Upgrades!$D$3:$D$13))</f>
        <v/>
      </c>
      <c r="F1278" s="66" t="str">
        <f>IFERROR(__xludf.DUMMYFUNCTION("IF(COUNTA(C1278:C1644)=0,"""",IF(REGEXMATCH(INDEX(FILTER(C$4:C1278,C$4:C1278&lt;&gt;""""),ROWS(FILTER(C$4:C1278,C$4:C1278&lt;&gt;""""))),""^Sell_""),INDEX(FILTER(F$4:F1277,C$4:C1277&lt;&gt;""""),ROWS(FILTER(C$4:C1277,C$4:C1277&lt;&gt;""""))),$AC$5+E1278))"),"")</f>
        <v/>
      </c>
      <c r="G1278" s="10" t="str">
        <f>IFERROR(__xludf.DUMMYFUNCTION("IF(COUNTA(C1278:C1644)=0,"""",IF(C1278="""",0,IF(REGEXMATCH(C1278,""^Sell_""),-ROUNDDOWN(ROUNDUP(INDEX(Upgrades!$C$3:$C$13,MATCH(SUBSTITUTE(C1278,""Sell_"",""""),Upgrades!$B$3:$B$13,0))*1.15^(COUNTIF(C$4:C1277,SUBSTITUTE(C1278,""Sell_"",""""))-COUNTIF(C$4"&amp;":C1277,""Sell_""&amp;SUBSTITUTE(C1278,""Sell_"",""""))))/2),ROUNDUP(INDEX(Upgrades!$C$3:$C$13,MATCH(C1278,Upgrades!$B$3:$B$13,0))*1.15^(COUNTIF(C$4:C1277,C1278)-COUNTIF(C$4:C1277,""Sell_""&amp;C1278))))))"),"")</f>
        <v/>
      </c>
      <c r="H1278" s="10" t="str">
        <f t="shared" si="3"/>
        <v/>
      </c>
      <c r="I1278" s="68" t="str">
        <f t="shared" si="4"/>
        <v/>
      </c>
      <c r="J1278" s="59" t="str">
        <f t="shared" si="5"/>
        <v/>
      </c>
      <c r="K1278" s="69" t="str">
        <f t="shared" si="6"/>
        <v/>
      </c>
      <c r="L1278" s="60" t="str">
        <f t="shared" si="7"/>
        <v/>
      </c>
      <c r="M1278" s="61" t="str">
        <f>IFERROR(__xludf.DUMMYFUNCTION("IFS(AND(COUNTA(C1278:C1644)=0,COUNTA(Q1278:Q1644)=0),"""",OR(AND(K1278&gt;=1000000000,OR(Y1278&gt;=1000000000,COUNTA(Q1278:Q1644)=0)),OR(Y1278&gt;=1000000000,AND(COUNTA(C1278:C1644)=0,P$3=TRUE))),
ROUNDDOWN((AB$1-AC$1)*MAX(INDEX(T$4:T1644,MATCH(LARGE(FILTER(Y$4:Y1"&amp;"644,Y$4:Y1644&lt;1000000000),1),Y$4:Y1644)),INDEX(F$4:F1644,MATCH(LARGE(FILTER(K$4:K1644,K$4:K1644&lt;1000000000),1),K$4:K1644)))),AND(K1278&lt;1000000000,COUNTA(C1278:C1644)&gt;0,P$3=FALSE),
ROUNDDOWN(INDEX(Y$4:Y1644,MATCH(LARGE(FILTER(W$4:W1644,W$4:W1644&lt;=I1278),1)"&amp;",W$4:W1644))+(I1278-LARGE(FILTER(W$4:W1644,W$4:W1644&lt;=I1278),1))*INDEX(T$4:T1644,MATCH(LARGE(FILTER(W$4:W1644,W$4:W1644&lt;=I1278),1),W$4:W1644))-K1278),1,
ROUNDDOWN(Y1278-INDEX(K$4:K1644,MATCH(LARGE(FILTER(I$4:I1644,I$4:I1644&lt;=W1278),1),I$4:I1644))-(W1278-L"&amp;"ARGE(FILTER(I$4:I1644,I$4:I1644&lt;=W1278),1))*INDEX(F$4:F1644,MATCH(LARGE(FILTER(I$4:I1644,I$4:I1644&lt;=W1278),1),I$4:I1644))))"),"")</f>
        <v/>
      </c>
      <c r="N1278" s="60" t="str">
        <f t="shared" si="8"/>
        <v/>
      </c>
      <c r="O1278" s="61" t="str">
        <f t="shared" si="9"/>
        <v/>
      </c>
      <c r="P1278" s="56" t="str">
        <f t="shared" si="10"/>
        <v/>
      </c>
      <c r="Q1278" s="105"/>
      <c r="R1278" s="10"/>
      <c r="S1278" s="59" t="str">
        <f t="array" ref="S1278">IF(COUNTA(Q1278:Q1644)=0,"",SUM((COUNTIF(Q$4:Q1278,Upgrades!$B$3:$B$13)-COUNTIF(Q$4:Q1278,"Sell_"&amp;Upgrades!$B$3:$B$13))*Upgrades!$D$3:$D$13))</f>
        <v/>
      </c>
      <c r="T1278" s="66" t="str">
        <f>IFERROR(__xludf.DUMMYFUNCTION("IF(COUNTA(Q1278:Q1644)=0,"""",IF(REGEXMATCH(INDEX(FILTER(Q$4:Q1278,Q$4:Q1278&lt;&gt;""""),ROWS(FILTER(Q$4:Q1278,Q$4:Q1278&lt;&gt;""""))),""^Sell_""),INDEX(FILTER(T$4:T1277,Q$4:Q1277&lt;&gt;""""),ROWS(FILTER(Q$4:Q1277,Q$4:Q1277&lt;&gt;""""))),$AD$5+S1278))"),"")</f>
        <v/>
      </c>
      <c r="U1278" s="10" t="str">
        <f>IFERROR(__xludf.DUMMYFUNCTION("IF(COUNTA(Q1278:Q1644)=0,"""",IF(Q1278="""",0,IF(REGEXMATCH(Q1278,""^Sell_""),-ROUNDDOWN(ROUNDUP(INDEX(Upgrades!$C$3:$C$13,MATCH(SUBSTITUTE(Q1278,""Sell_"",""""),Upgrades!$B$3:$B$13,0))*1.15^(COUNTIF(Q$4:Q1277,SUBSTITUTE(Q1278,""Sell_"",""""))-COUNTIF(Q$4"&amp;":Q1277,""Sell_""&amp;SUBSTITUTE(Q1278,""Sell_"",""""))))/2),ROUNDUP(INDEX(Upgrades!$C$3:$C$13,MATCH(Q1278,Upgrades!$B$3:$B$13,0))*1.15^(COUNTIF(Q$4:Q1277,Q1278)-COUNTIF(Q$4:Q1277,""Sell_""&amp;Q1278))))))"),"")</f>
        <v/>
      </c>
      <c r="V1278" s="10" t="str">
        <f t="shared" si="11"/>
        <v/>
      </c>
      <c r="W1278" s="68" t="str">
        <f t="shared" si="12"/>
        <v/>
      </c>
      <c r="X1278" s="59" t="str">
        <f t="shared" si="13"/>
        <v/>
      </c>
      <c r="Y1278" s="69" t="str">
        <f t="shared" si="14"/>
        <v/>
      </c>
      <c r="Z1278" s="11"/>
      <c r="AG1278" s="59"/>
    </row>
    <row r="1279">
      <c r="A1279" s="8"/>
      <c r="B1279" s="56" t="str">
        <f t="shared" si="2"/>
        <v/>
      </c>
      <c r="C1279" s="105"/>
      <c r="D1279" s="10"/>
      <c r="E1279" s="59" t="str">
        <f t="array" ref="E1279">IF(COUNTA(C1279:C1644)=0,"",SUM((COUNTIF(C$4:C1279,Upgrades!$B$3:$B$13)-COUNTIF(C$4:C1279,"Sell_"&amp;Upgrades!$B$3:$B$13))*Upgrades!$D$3:$D$13))</f>
        <v/>
      </c>
      <c r="F1279" s="66" t="str">
        <f>IFERROR(__xludf.DUMMYFUNCTION("IF(COUNTA(C1279:C1644)=0,"""",IF(REGEXMATCH(INDEX(FILTER(C$4:C1279,C$4:C1279&lt;&gt;""""),ROWS(FILTER(C$4:C1279,C$4:C1279&lt;&gt;""""))),""^Sell_""),INDEX(FILTER(F$4:F1278,C$4:C1278&lt;&gt;""""),ROWS(FILTER(C$4:C1278,C$4:C1278&lt;&gt;""""))),$AC$5+E1279))"),"")</f>
        <v/>
      </c>
      <c r="G1279" s="10" t="str">
        <f>IFERROR(__xludf.DUMMYFUNCTION("IF(COUNTA(C1279:C1644)=0,"""",IF(C1279="""",0,IF(REGEXMATCH(C1279,""^Sell_""),-ROUNDDOWN(ROUNDUP(INDEX(Upgrades!$C$3:$C$13,MATCH(SUBSTITUTE(C1279,""Sell_"",""""),Upgrades!$B$3:$B$13,0))*1.15^(COUNTIF(C$4:C1278,SUBSTITUTE(C1279,""Sell_"",""""))-COUNTIF(C$4"&amp;":C1278,""Sell_""&amp;SUBSTITUTE(C1279,""Sell_"",""""))))/2),ROUNDUP(INDEX(Upgrades!$C$3:$C$13,MATCH(C1279,Upgrades!$B$3:$B$13,0))*1.15^(COUNTIF(C$4:C1278,C1279)-COUNTIF(C$4:C1278,""Sell_""&amp;C1279))))))"),"")</f>
        <v/>
      </c>
      <c r="H1279" s="10" t="str">
        <f t="shared" si="3"/>
        <v/>
      </c>
      <c r="I1279" s="68" t="str">
        <f t="shared" si="4"/>
        <v/>
      </c>
      <c r="J1279" s="59" t="str">
        <f t="shared" si="5"/>
        <v/>
      </c>
      <c r="K1279" s="69" t="str">
        <f t="shared" si="6"/>
        <v/>
      </c>
      <c r="L1279" s="60" t="str">
        <f t="shared" si="7"/>
        <v/>
      </c>
      <c r="M1279" s="61" t="str">
        <f>IFERROR(__xludf.DUMMYFUNCTION("IFS(AND(COUNTA(C1279:C1644)=0,COUNTA(Q1279:Q1644)=0),"""",OR(AND(K1279&gt;=1000000000,OR(Y1279&gt;=1000000000,COUNTA(Q1279:Q1644)=0)),OR(Y1279&gt;=1000000000,AND(COUNTA(C1279:C1644)=0,P$3=TRUE))),
ROUNDDOWN((AB$1-AC$1)*MAX(INDEX(T$4:T1644,MATCH(LARGE(FILTER(Y$4:Y1"&amp;"644,Y$4:Y1644&lt;1000000000),1),Y$4:Y1644)),INDEX(F$4:F1644,MATCH(LARGE(FILTER(K$4:K1644,K$4:K1644&lt;1000000000),1),K$4:K1644)))),AND(K1279&lt;1000000000,COUNTA(C1279:C1644)&gt;0,P$3=FALSE),
ROUNDDOWN(INDEX(Y$4:Y1644,MATCH(LARGE(FILTER(W$4:W1644,W$4:W1644&lt;=I1279),1)"&amp;",W$4:W1644))+(I1279-LARGE(FILTER(W$4:W1644,W$4:W1644&lt;=I1279),1))*INDEX(T$4:T1644,MATCH(LARGE(FILTER(W$4:W1644,W$4:W1644&lt;=I1279),1),W$4:W1644))-K1279),1,
ROUNDDOWN(Y1279-INDEX(K$4:K1644,MATCH(LARGE(FILTER(I$4:I1644,I$4:I1644&lt;=W1279),1),I$4:I1644))-(W1279-L"&amp;"ARGE(FILTER(I$4:I1644,I$4:I1644&lt;=W1279),1))*INDEX(F$4:F1644,MATCH(LARGE(FILTER(I$4:I1644,I$4:I1644&lt;=W1279),1),I$4:I1644))))"),"")</f>
        <v/>
      </c>
      <c r="N1279" s="60" t="str">
        <f t="shared" si="8"/>
        <v/>
      </c>
      <c r="O1279" s="61" t="str">
        <f t="shared" si="9"/>
        <v/>
      </c>
      <c r="P1279" s="56" t="str">
        <f t="shared" si="10"/>
        <v/>
      </c>
      <c r="Q1279" s="105"/>
      <c r="R1279" s="10"/>
      <c r="S1279" s="59" t="str">
        <f t="array" ref="S1279">IF(COUNTA(Q1279:Q1644)=0,"",SUM((COUNTIF(Q$4:Q1279,Upgrades!$B$3:$B$13)-COUNTIF(Q$4:Q1279,"Sell_"&amp;Upgrades!$B$3:$B$13))*Upgrades!$D$3:$D$13))</f>
        <v/>
      </c>
      <c r="T1279" s="66" t="str">
        <f>IFERROR(__xludf.DUMMYFUNCTION("IF(COUNTA(Q1279:Q1644)=0,"""",IF(REGEXMATCH(INDEX(FILTER(Q$4:Q1279,Q$4:Q1279&lt;&gt;""""),ROWS(FILTER(Q$4:Q1279,Q$4:Q1279&lt;&gt;""""))),""^Sell_""),INDEX(FILTER(T$4:T1278,Q$4:Q1278&lt;&gt;""""),ROWS(FILTER(Q$4:Q1278,Q$4:Q1278&lt;&gt;""""))),$AD$5+S1279))"),"")</f>
        <v/>
      </c>
      <c r="U1279" s="10" t="str">
        <f>IFERROR(__xludf.DUMMYFUNCTION("IF(COUNTA(Q1279:Q1644)=0,"""",IF(Q1279="""",0,IF(REGEXMATCH(Q1279,""^Sell_""),-ROUNDDOWN(ROUNDUP(INDEX(Upgrades!$C$3:$C$13,MATCH(SUBSTITUTE(Q1279,""Sell_"",""""),Upgrades!$B$3:$B$13,0))*1.15^(COUNTIF(Q$4:Q1278,SUBSTITUTE(Q1279,""Sell_"",""""))-COUNTIF(Q$4"&amp;":Q1278,""Sell_""&amp;SUBSTITUTE(Q1279,""Sell_"",""""))))/2),ROUNDUP(INDEX(Upgrades!$C$3:$C$13,MATCH(Q1279,Upgrades!$B$3:$B$13,0))*1.15^(COUNTIF(Q$4:Q1278,Q1279)-COUNTIF(Q$4:Q1278,""Sell_""&amp;Q1279))))))"),"")</f>
        <v/>
      </c>
      <c r="V1279" s="10" t="str">
        <f t="shared" si="11"/>
        <v/>
      </c>
      <c r="W1279" s="68" t="str">
        <f t="shared" si="12"/>
        <v/>
      </c>
      <c r="X1279" s="59" t="str">
        <f t="shared" si="13"/>
        <v/>
      </c>
      <c r="Y1279" s="69" t="str">
        <f t="shared" si="14"/>
        <v/>
      </c>
      <c r="Z1279" s="11"/>
      <c r="AG1279" s="59"/>
    </row>
    <row r="1280">
      <c r="A1280" s="8"/>
      <c r="B1280" s="56" t="str">
        <f t="shared" si="2"/>
        <v/>
      </c>
      <c r="C1280" s="105"/>
      <c r="D1280" s="10"/>
      <c r="E1280" s="59" t="str">
        <f t="array" ref="E1280">IF(COUNTA(C1280:C1644)=0,"",SUM((COUNTIF(C$4:C1280,Upgrades!$B$3:$B$13)-COUNTIF(C$4:C1280,"Sell_"&amp;Upgrades!$B$3:$B$13))*Upgrades!$D$3:$D$13))</f>
        <v/>
      </c>
      <c r="F1280" s="66" t="str">
        <f>IFERROR(__xludf.DUMMYFUNCTION("IF(COUNTA(C1280:C1644)=0,"""",IF(REGEXMATCH(INDEX(FILTER(C$4:C1280,C$4:C1280&lt;&gt;""""),ROWS(FILTER(C$4:C1280,C$4:C1280&lt;&gt;""""))),""^Sell_""),INDEX(FILTER(F$4:F1279,C$4:C1279&lt;&gt;""""),ROWS(FILTER(C$4:C1279,C$4:C1279&lt;&gt;""""))),$AC$5+E1280))"),"")</f>
        <v/>
      </c>
      <c r="G1280" s="10" t="str">
        <f>IFERROR(__xludf.DUMMYFUNCTION("IF(COUNTA(C1280:C1644)=0,"""",IF(C1280="""",0,IF(REGEXMATCH(C1280,""^Sell_""),-ROUNDDOWN(ROUNDUP(INDEX(Upgrades!$C$3:$C$13,MATCH(SUBSTITUTE(C1280,""Sell_"",""""),Upgrades!$B$3:$B$13,0))*1.15^(COUNTIF(C$4:C1279,SUBSTITUTE(C1280,""Sell_"",""""))-COUNTIF(C$4"&amp;":C1279,""Sell_""&amp;SUBSTITUTE(C1280,""Sell_"",""""))))/2),ROUNDUP(INDEX(Upgrades!$C$3:$C$13,MATCH(C1280,Upgrades!$B$3:$B$13,0))*1.15^(COUNTIF(C$4:C1279,C1280)-COUNTIF(C$4:C1279,""Sell_""&amp;C1280))))))"),"")</f>
        <v/>
      </c>
      <c r="H1280" s="10" t="str">
        <f t="shared" si="3"/>
        <v/>
      </c>
      <c r="I1280" s="68" t="str">
        <f t="shared" si="4"/>
        <v/>
      </c>
      <c r="J1280" s="59" t="str">
        <f t="shared" si="5"/>
        <v/>
      </c>
      <c r="K1280" s="69" t="str">
        <f t="shared" si="6"/>
        <v/>
      </c>
      <c r="L1280" s="60" t="str">
        <f t="shared" si="7"/>
        <v/>
      </c>
      <c r="M1280" s="61" t="str">
        <f>IFERROR(__xludf.DUMMYFUNCTION("IFS(AND(COUNTA(C1280:C1644)=0,COUNTA(Q1280:Q1644)=0),"""",OR(AND(K1280&gt;=1000000000,OR(Y1280&gt;=1000000000,COUNTA(Q1280:Q1644)=0)),OR(Y1280&gt;=1000000000,AND(COUNTA(C1280:C1644)=0,P$3=TRUE))),
ROUNDDOWN((AB$1-AC$1)*MAX(INDEX(T$4:T1644,MATCH(LARGE(FILTER(Y$4:Y1"&amp;"644,Y$4:Y1644&lt;1000000000),1),Y$4:Y1644)),INDEX(F$4:F1644,MATCH(LARGE(FILTER(K$4:K1644,K$4:K1644&lt;1000000000),1),K$4:K1644)))),AND(K1280&lt;1000000000,COUNTA(C1280:C1644)&gt;0,P$3=FALSE),
ROUNDDOWN(INDEX(Y$4:Y1644,MATCH(LARGE(FILTER(W$4:W1644,W$4:W1644&lt;=I1280),1)"&amp;",W$4:W1644))+(I1280-LARGE(FILTER(W$4:W1644,W$4:W1644&lt;=I1280),1))*INDEX(T$4:T1644,MATCH(LARGE(FILTER(W$4:W1644,W$4:W1644&lt;=I1280),1),W$4:W1644))-K1280),1,
ROUNDDOWN(Y1280-INDEX(K$4:K1644,MATCH(LARGE(FILTER(I$4:I1644,I$4:I1644&lt;=W1280),1),I$4:I1644))-(W1280-L"&amp;"ARGE(FILTER(I$4:I1644,I$4:I1644&lt;=W1280),1))*INDEX(F$4:F1644,MATCH(LARGE(FILTER(I$4:I1644,I$4:I1644&lt;=W1280),1),I$4:I1644))))"),"")</f>
        <v/>
      </c>
      <c r="N1280" s="60" t="str">
        <f t="shared" si="8"/>
        <v/>
      </c>
      <c r="O1280" s="61" t="str">
        <f t="shared" si="9"/>
        <v/>
      </c>
      <c r="P1280" s="56" t="str">
        <f t="shared" si="10"/>
        <v/>
      </c>
      <c r="Q1280" s="105"/>
      <c r="R1280" s="10"/>
      <c r="S1280" s="59" t="str">
        <f t="array" ref="S1280">IF(COUNTA(Q1280:Q1644)=0,"",SUM((COUNTIF(Q$4:Q1280,Upgrades!$B$3:$B$13)-COUNTIF(Q$4:Q1280,"Sell_"&amp;Upgrades!$B$3:$B$13))*Upgrades!$D$3:$D$13))</f>
        <v/>
      </c>
      <c r="T1280" s="66" t="str">
        <f>IFERROR(__xludf.DUMMYFUNCTION("IF(COUNTA(Q1280:Q1644)=0,"""",IF(REGEXMATCH(INDEX(FILTER(Q$4:Q1280,Q$4:Q1280&lt;&gt;""""),ROWS(FILTER(Q$4:Q1280,Q$4:Q1280&lt;&gt;""""))),""^Sell_""),INDEX(FILTER(T$4:T1279,Q$4:Q1279&lt;&gt;""""),ROWS(FILTER(Q$4:Q1279,Q$4:Q1279&lt;&gt;""""))),$AD$5+S1280))"),"")</f>
        <v/>
      </c>
      <c r="U1280" s="10" t="str">
        <f>IFERROR(__xludf.DUMMYFUNCTION("IF(COUNTA(Q1280:Q1644)=0,"""",IF(Q1280="""",0,IF(REGEXMATCH(Q1280,""^Sell_""),-ROUNDDOWN(ROUNDUP(INDEX(Upgrades!$C$3:$C$13,MATCH(SUBSTITUTE(Q1280,""Sell_"",""""),Upgrades!$B$3:$B$13,0))*1.15^(COUNTIF(Q$4:Q1279,SUBSTITUTE(Q1280,""Sell_"",""""))-COUNTIF(Q$4"&amp;":Q1279,""Sell_""&amp;SUBSTITUTE(Q1280,""Sell_"",""""))))/2),ROUNDUP(INDEX(Upgrades!$C$3:$C$13,MATCH(Q1280,Upgrades!$B$3:$B$13,0))*1.15^(COUNTIF(Q$4:Q1279,Q1280)-COUNTIF(Q$4:Q1279,""Sell_""&amp;Q1280))))))"),"")</f>
        <v/>
      </c>
      <c r="V1280" s="10" t="str">
        <f t="shared" si="11"/>
        <v/>
      </c>
      <c r="W1280" s="68" t="str">
        <f t="shared" si="12"/>
        <v/>
      </c>
      <c r="X1280" s="59" t="str">
        <f t="shared" si="13"/>
        <v/>
      </c>
      <c r="Y1280" s="69" t="str">
        <f t="shared" si="14"/>
        <v/>
      </c>
      <c r="Z1280" s="11"/>
      <c r="AG1280" s="59"/>
    </row>
    <row r="1281">
      <c r="A1281" s="8"/>
      <c r="B1281" s="56" t="str">
        <f t="shared" si="2"/>
        <v/>
      </c>
      <c r="C1281" s="105"/>
      <c r="D1281" s="10"/>
      <c r="E1281" s="59" t="str">
        <f t="array" ref="E1281">IF(COUNTA(C1281:C1644)=0,"",SUM((COUNTIF(C$4:C1281,Upgrades!$B$3:$B$13)-COUNTIF(C$4:C1281,"Sell_"&amp;Upgrades!$B$3:$B$13))*Upgrades!$D$3:$D$13))</f>
        <v/>
      </c>
      <c r="F1281" s="66" t="str">
        <f>IFERROR(__xludf.DUMMYFUNCTION("IF(COUNTA(C1281:C1644)=0,"""",IF(REGEXMATCH(INDEX(FILTER(C$4:C1281,C$4:C1281&lt;&gt;""""),ROWS(FILTER(C$4:C1281,C$4:C1281&lt;&gt;""""))),""^Sell_""),INDEX(FILTER(F$4:F1280,C$4:C1280&lt;&gt;""""),ROWS(FILTER(C$4:C1280,C$4:C1280&lt;&gt;""""))),$AC$5+E1281))"),"")</f>
        <v/>
      </c>
      <c r="G1281" s="10" t="str">
        <f>IFERROR(__xludf.DUMMYFUNCTION("IF(COUNTA(C1281:C1644)=0,"""",IF(C1281="""",0,IF(REGEXMATCH(C1281,""^Sell_""),-ROUNDDOWN(ROUNDUP(INDEX(Upgrades!$C$3:$C$13,MATCH(SUBSTITUTE(C1281,""Sell_"",""""),Upgrades!$B$3:$B$13,0))*1.15^(COUNTIF(C$4:C1280,SUBSTITUTE(C1281,""Sell_"",""""))-COUNTIF(C$4"&amp;":C1280,""Sell_""&amp;SUBSTITUTE(C1281,""Sell_"",""""))))/2),ROUNDUP(INDEX(Upgrades!$C$3:$C$13,MATCH(C1281,Upgrades!$B$3:$B$13,0))*1.15^(COUNTIF(C$4:C1280,C1281)-COUNTIF(C$4:C1280,""Sell_""&amp;C1281))))))"),"")</f>
        <v/>
      </c>
      <c r="H1281" s="10" t="str">
        <f t="shared" si="3"/>
        <v/>
      </c>
      <c r="I1281" s="68" t="str">
        <f t="shared" si="4"/>
        <v/>
      </c>
      <c r="J1281" s="59" t="str">
        <f t="shared" si="5"/>
        <v/>
      </c>
      <c r="K1281" s="69" t="str">
        <f t="shared" si="6"/>
        <v/>
      </c>
      <c r="L1281" s="60" t="str">
        <f t="shared" si="7"/>
        <v/>
      </c>
      <c r="M1281" s="61" t="str">
        <f>IFERROR(__xludf.DUMMYFUNCTION("IFS(AND(COUNTA(C1281:C1644)=0,COUNTA(Q1281:Q1644)=0),"""",OR(AND(K1281&gt;=1000000000,OR(Y1281&gt;=1000000000,COUNTA(Q1281:Q1644)=0)),OR(Y1281&gt;=1000000000,AND(COUNTA(C1281:C1644)=0,P$3=TRUE))),
ROUNDDOWN((AB$1-AC$1)*MAX(INDEX(T$4:T1644,MATCH(LARGE(FILTER(Y$4:Y1"&amp;"644,Y$4:Y1644&lt;1000000000),1),Y$4:Y1644)),INDEX(F$4:F1644,MATCH(LARGE(FILTER(K$4:K1644,K$4:K1644&lt;1000000000),1),K$4:K1644)))),AND(K1281&lt;1000000000,COUNTA(C1281:C1644)&gt;0,P$3=FALSE),
ROUNDDOWN(INDEX(Y$4:Y1644,MATCH(LARGE(FILTER(W$4:W1644,W$4:W1644&lt;=I1281),1)"&amp;",W$4:W1644))+(I1281-LARGE(FILTER(W$4:W1644,W$4:W1644&lt;=I1281),1))*INDEX(T$4:T1644,MATCH(LARGE(FILTER(W$4:W1644,W$4:W1644&lt;=I1281),1),W$4:W1644))-K1281),1,
ROUNDDOWN(Y1281-INDEX(K$4:K1644,MATCH(LARGE(FILTER(I$4:I1644,I$4:I1644&lt;=W1281),1),I$4:I1644))-(W1281-L"&amp;"ARGE(FILTER(I$4:I1644,I$4:I1644&lt;=W1281),1))*INDEX(F$4:F1644,MATCH(LARGE(FILTER(I$4:I1644,I$4:I1644&lt;=W1281),1),I$4:I1644))))"),"")</f>
        <v/>
      </c>
      <c r="N1281" s="60" t="str">
        <f t="shared" si="8"/>
        <v/>
      </c>
      <c r="O1281" s="61" t="str">
        <f t="shared" si="9"/>
        <v/>
      </c>
      <c r="P1281" s="56" t="str">
        <f t="shared" si="10"/>
        <v/>
      </c>
      <c r="Q1281" s="105"/>
      <c r="R1281" s="10"/>
      <c r="S1281" s="59" t="str">
        <f t="array" ref="S1281">IF(COUNTA(Q1281:Q1644)=0,"",SUM((COUNTIF(Q$4:Q1281,Upgrades!$B$3:$B$13)-COUNTIF(Q$4:Q1281,"Sell_"&amp;Upgrades!$B$3:$B$13))*Upgrades!$D$3:$D$13))</f>
        <v/>
      </c>
      <c r="T1281" s="66" t="str">
        <f>IFERROR(__xludf.DUMMYFUNCTION("IF(COUNTA(Q1281:Q1644)=0,"""",IF(REGEXMATCH(INDEX(FILTER(Q$4:Q1281,Q$4:Q1281&lt;&gt;""""),ROWS(FILTER(Q$4:Q1281,Q$4:Q1281&lt;&gt;""""))),""^Sell_""),INDEX(FILTER(T$4:T1280,Q$4:Q1280&lt;&gt;""""),ROWS(FILTER(Q$4:Q1280,Q$4:Q1280&lt;&gt;""""))),$AD$5+S1281))"),"")</f>
        <v/>
      </c>
      <c r="U1281" s="10" t="str">
        <f>IFERROR(__xludf.DUMMYFUNCTION("IF(COUNTA(Q1281:Q1644)=0,"""",IF(Q1281="""",0,IF(REGEXMATCH(Q1281,""^Sell_""),-ROUNDDOWN(ROUNDUP(INDEX(Upgrades!$C$3:$C$13,MATCH(SUBSTITUTE(Q1281,""Sell_"",""""),Upgrades!$B$3:$B$13,0))*1.15^(COUNTIF(Q$4:Q1280,SUBSTITUTE(Q1281,""Sell_"",""""))-COUNTIF(Q$4"&amp;":Q1280,""Sell_""&amp;SUBSTITUTE(Q1281,""Sell_"",""""))))/2),ROUNDUP(INDEX(Upgrades!$C$3:$C$13,MATCH(Q1281,Upgrades!$B$3:$B$13,0))*1.15^(COUNTIF(Q$4:Q1280,Q1281)-COUNTIF(Q$4:Q1280,""Sell_""&amp;Q1281))))))"),"")</f>
        <v/>
      </c>
      <c r="V1281" s="10" t="str">
        <f t="shared" si="11"/>
        <v/>
      </c>
      <c r="W1281" s="68" t="str">
        <f t="shared" si="12"/>
        <v/>
      </c>
      <c r="X1281" s="59" t="str">
        <f t="shared" si="13"/>
        <v/>
      </c>
      <c r="Y1281" s="69" t="str">
        <f t="shared" si="14"/>
        <v/>
      </c>
      <c r="Z1281" s="11"/>
      <c r="AG1281" s="59"/>
    </row>
    <row r="1282">
      <c r="A1282" s="8"/>
      <c r="B1282" s="56" t="str">
        <f t="shared" si="2"/>
        <v/>
      </c>
      <c r="C1282" s="105"/>
      <c r="D1282" s="10"/>
      <c r="E1282" s="59" t="str">
        <f t="array" ref="E1282">IF(COUNTA(C1282:C1644)=0,"",SUM((COUNTIF(C$4:C1282,Upgrades!$B$3:$B$13)-COUNTIF(C$4:C1282,"Sell_"&amp;Upgrades!$B$3:$B$13))*Upgrades!$D$3:$D$13))</f>
        <v/>
      </c>
      <c r="F1282" s="66" t="str">
        <f>IFERROR(__xludf.DUMMYFUNCTION("IF(COUNTA(C1282:C1644)=0,"""",IF(REGEXMATCH(INDEX(FILTER(C$4:C1282,C$4:C1282&lt;&gt;""""),ROWS(FILTER(C$4:C1282,C$4:C1282&lt;&gt;""""))),""^Sell_""),INDEX(FILTER(F$4:F1281,C$4:C1281&lt;&gt;""""),ROWS(FILTER(C$4:C1281,C$4:C1281&lt;&gt;""""))),$AC$5+E1282))"),"")</f>
        <v/>
      </c>
      <c r="G1282" s="10" t="str">
        <f>IFERROR(__xludf.DUMMYFUNCTION("IF(COUNTA(C1282:C1644)=0,"""",IF(C1282="""",0,IF(REGEXMATCH(C1282,""^Sell_""),-ROUNDDOWN(ROUNDUP(INDEX(Upgrades!$C$3:$C$13,MATCH(SUBSTITUTE(C1282,""Sell_"",""""),Upgrades!$B$3:$B$13,0))*1.15^(COUNTIF(C$4:C1281,SUBSTITUTE(C1282,""Sell_"",""""))-COUNTIF(C$4"&amp;":C1281,""Sell_""&amp;SUBSTITUTE(C1282,""Sell_"",""""))))/2),ROUNDUP(INDEX(Upgrades!$C$3:$C$13,MATCH(C1282,Upgrades!$B$3:$B$13,0))*1.15^(COUNTIF(C$4:C1281,C1282)-COUNTIF(C$4:C1281,""Sell_""&amp;C1282))))))"),"")</f>
        <v/>
      </c>
      <c r="H1282" s="10" t="str">
        <f t="shared" si="3"/>
        <v/>
      </c>
      <c r="I1282" s="68" t="str">
        <f t="shared" si="4"/>
        <v/>
      </c>
      <c r="J1282" s="59" t="str">
        <f t="shared" si="5"/>
        <v/>
      </c>
      <c r="K1282" s="69" t="str">
        <f t="shared" si="6"/>
        <v/>
      </c>
      <c r="L1282" s="60" t="str">
        <f t="shared" si="7"/>
        <v/>
      </c>
      <c r="M1282" s="61" t="str">
        <f>IFERROR(__xludf.DUMMYFUNCTION("IFS(AND(COUNTA(C1282:C1644)=0,COUNTA(Q1282:Q1644)=0),"""",OR(AND(K1282&gt;=1000000000,OR(Y1282&gt;=1000000000,COUNTA(Q1282:Q1644)=0)),OR(Y1282&gt;=1000000000,AND(COUNTA(C1282:C1644)=0,P$3=TRUE))),
ROUNDDOWN((AB$1-AC$1)*MAX(INDEX(T$4:T1644,MATCH(LARGE(FILTER(Y$4:Y1"&amp;"644,Y$4:Y1644&lt;1000000000),1),Y$4:Y1644)),INDEX(F$4:F1644,MATCH(LARGE(FILTER(K$4:K1644,K$4:K1644&lt;1000000000),1),K$4:K1644)))),AND(K1282&lt;1000000000,COUNTA(C1282:C1644)&gt;0,P$3=FALSE),
ROUNDDOWN(INDEX(Y$4:Y1644,MATCH(LARGE(FILTER(W$4:W1644,W$4:W1644&lt;=I1282),1)"&amp;",W$4:W1644))+(I1282-LARGE(FILTER(W$4:W1644,W$4:W1644&lt;=I1282),1))*INDEX(T$4:T1644,MATCH(LARGE(FILTER(W$4:W1644,W$4:W1644&lt;=I1282),1),W$4:W1644))-K1282),1,
ROUNDDOWN(Y1282-INDEX(K$4:K1644,MATCH(LARGE(FILTER(I$4:I1644,I$4:I1644&lt;=W1282),1),I$4:I1644))-(W1282-L"&amp;"ARGE(FILTER(I$4:I1644,I$4:I1644&lt;=W1282),1))*INDEX(F$4:F1644,MATCH(LARGE(FILTER(I$4:I1644,I$4:I1644&lt;=W1282),1),I$4:I1644))))"),"")</f>
        <v/>
      </c>
      <c r="N1282" s="60" t="str">
        <f t="shared" si="8"/>
        <v/>
      </c>
      <c r="O1282" s="61" t="str">
        <f t="shared" si="9"/>
        <v/>
      </c>
      <c r="P1282" s="56" t="str">
        <f t="shared" si="10"/>
        <v/>
      </c>
      <c r="Q1282" s="105"/>
      <c r="R1282" s="10"/>
      <c r="S1282" s="59" t="str">
        <f t="array" ref="S1282">IF(COUNTA(Q1282:Q1644)=0,"",SUM((COUNTIF(Q$4:Q1282,Upgrades!$B$3:$B$13)-COUNTIF(Q$4:Q1282,"Sell_"&amp;Upgrades!$B$3:$B$13))*Upgrades!$D$3:$D$13))</f>
        <v/>
      </c>
      <c r="T1282" s="66" t="str">
        <f>IFERROR(__xludf.DUMMYFUNCTION("IF(COUNTA(Q1282:Q1644)=0,"""",IF(REGEXMATCH(INDEX(FILTER(Q$4:Q1282,Q$4:Q1282&lt;&gt;""""),ROWS(FILTER(Q$4:Q1282,Q$4:Q1282&lt;&gt;""""))),""^Sell_""),INDEX(FILTER(T$4:T1281,Q$4:Q1281&lt;&gt;""""),ROWS(FILTER(Q$4:Q1281,Q$4:Q1281&lt;&gt;""""))),$AD$5+S1282))"),"")</f>
        <v/>
      </c>
      <c r="U1282" s="10" t="str">
        <f>IFERROR(__xludf.DUMMYFUNCTION("IF(COUNTA(Q1282:Q1644)=0,"""",IF(Q1282="""",0,IF(REGEXMATCH(Q1282,""^Sell_""),-ROUNDDOWN(ROUNDUP(INDEX(Upgrades!$C$3:$C$13,MATCH(SUBSTITUTE(Q1282,""Sell_"",""""),Upgrades!$B$3:$B$13,0))*1.15^(COUNTIF(Q$4:Q1281,SUBSTITUTE(Q1282,""Sell_"",""""))-COUNTIF(Q$4"&amp;":Q1281,""Sell_""&amp;SUBSTITUTE(Q1282,""Sell_"",""""))))/2),ROUNDUP(INDEX(Upgrades!$C$3:$C$13,MATCH(Q1282,Upgrades!$B$3:$B$13,0))*1.15^(COUNTIF(Q$4:Q1281,Q1282)-COUNTIF(Q$4:Q1281,""Sell_""&amp;Q1282))))))"),"")</f>
        <v/>
      </c>
      <c r="V1282" s="10" t="str">
        <f t="shared" si="11"/>
        <v/>
      </c>
      <c r="W1282" s="68" t="str">
        <f t="shared" si="12"/>
        <v/>
      </c>
      <c r="X1282" s="59" t="str">
        <f t="shared" si="13"/>
        <v/>
      </c>
      <c r="Y1282" s="69" t="str">
        <f t="shared" si="14"/>
        <v/>
      </c>
      <c r="Z1282" s="11"/>
      <c r="AG1282" s="59"/>
    </row>
    <row r="1283">
      <c r="A1283" s="8"/>
      <c r="B1283" s="56" t="str">
        <f t="shared" si="2"/>
        <v/>
      </c>
      <c r="C1283" s="105"/>
      <c r="D1283" s="10"/>
      <c r="E1283" s="59" t="str">
        <f t="array" ref="E1283">IF(COUNTA(C1283:C1644)=0,"",SUM((COUNTIF(C$4:C1283,Upgrades!$B$3:$B$13)-COUNTIF(C$4:C1283,"Sell_"&amp;Upgrades!$B$3:$B$13))*Upgrades!$D$3:$D$13))</f>
        <v/>
      </c>
      <c r="F1283" s="66" t="str">
        <f>IFERROR(__xludf.DUMMYFUNCTION("IF(COUNTA(C1283:C1644)=0,"""",IF(REGEXMATCH(INDEX(FILTER(C$4:C1283,C$4:C1283&lt;&gt;""""),ROWS(FILTER(C$4:C1283,C$4:C1283&lt;&gt;""""))),""^Sell_""),INDEX(FILTER(F$4:F1282,C$4:C1282&lt;&gt;""""),ROWS(FILTER(C$4:C1282,C$4:C1282&lt;&gt;""""))),$AC$5+E1283))"),"")</f>
        <v/>
      </c>
      <c r="G1283" s="10" t="str">
        <f>IFERROR(__xludf.DUMMYFUNCTION("IF(COUNTA(C1283:C1644)=0,"""",IF(C1283="""",0,IF(REGEXMATCH(C1283,""^Sell_""),-ROUNDDOWN(ROUNDUP(INDEX(Upgrades!$C$3:$C$13,MATCH(SUBSTITUTE(C1283,""Sell_"",""""),Upgrades!$B$3:$B$13,0))*1.15^(COUNTIF(C$4:C1282,SUBSTITUTE(C1283,""Sell_"",""""))-COUNTIF(C$4"&amp;":C1282,""Sell_""&amp;SUBSTITUTE(C1283,""Sell_"",""""))))/2),ROUNDUP(INDEX(Upgrades!$C$3:$C$13,MATCH(C1283,Upgrades!$B$3:$B$13,0))*1.15^(COUNTIF(C$4:C1282,C1283)-COUNTIF(C$4:C1282,""Sell_""&amp;C1283))))))"),"")</f>
        <v/>
      </c>
      <c r="H1283" s="10" t="str">
        <f t="shared" si="3"/>
        <v/>
      </c>
      <c r="I1283" s="68" t="str">
        <f t="shared" si="4"/>
        <v/>
      </c>
      <c r="J1283" s="59" t="str">
        <f t="shared" si="5"/>
        <v/>
      </c>
      <c r="K1283" s="69" t="str">
        <f t="shared" si="6"/>
        <v/>
      </c>
      <c r="L1283" s="60" t="str">
        <f t="shared" si="7"/>
        <v/>
      </c>
      <c r="M1283" s="61" t="str">
        <f>IFERROR(__xludf.DUMMYFUNCTION("IFS(AND(COUNTA(C1283:C1644)=0,COUNTA(Q1283:Q1644)=0),"""",OR(AND(K1283&gt;=1000000000,OR(Y1283&gt;=1000000000,COUNTA(Q1283:Q1644)=0)),OR(Y1283&gt;=1000000000,AND(COUNTA(C1283:C1644)=0,P$3=TRUE))),
ROUNDDOWN((AB$1-AC$1)*MAX(INDEX(T$4:T1644,MATCH(LARGE(FILTER(Y$4:Y1"&amp;"644,Y$4:Y1644&lt;1000000000),1),Y$4:Y1644)),INDEX(F$4:F1644,MATCH(LARGE(FILTER(K$4:K1644,K$4:K1644&lt;1000000000),1),K$4:K1644)))),AND(K1283&lt;1000000000,COUNTA(C1283:C1644)&gt;0,P$3=FALSE),
ROUNDDOWN(INDEX(Y$4:Y1644,MATCH(LARGE(FILTER(W$4:W1644,W$4:W1644&lt;=I1283),1)"&amp;",W$4:W1644))+(I1283-LARGE(FILTER(W$4:W1644,W$4:W1644&lt;=I1283),1))*INDEX(T$4:T1644,MATCH(LARGE(FILTER(W$4:W1644,W$4:W1644&lt;=I1283),1),W$4:W1644))-K1283),1,
ROUNDDOWN(Y1283-INDEX(K$4:K1644,MATCH(LARGE(FILTER(I$4:I1644,I$4:I1644&lt;=W1283),1),I$4:I1644))-(W1283-L"&amp;"ARGE(FILTER(I$4:I1644,I$4:I1644&lt;=W1283),1))*INDEX(F$4:F1644,MATCH(LARGE(FILTER(I$4:I1644,I$4:I1644&lt;=W1283),1),I$4:I1644))))"),"")</f>
        <v/>
      </c>
      <c r="N1283" s="60" t="str">
        <f t="shared" si="8"/>
        <v/>
      </c>
      <c r="O1283" s="61" t="str">
        <f t="shared" si="9"/>
        <v/>
      </c>
      <c r="P1283" s="56" t="str">
        <f t="shared" si="10"/>
        <v/>
      </c>
      <c r="Q1283" s="105"/>
      <c r="R1283" s="10"/>
      <c r="S1283" s="59" t="str">
        <f t="array" ref="S1283">IF(COUNTA(Q1283:Q1644)=0,"",SUM((COUNTIF(Q$4:Q1283,Upgrades!$B$3:$B$13)-COUNTIF(Q$4:Q1283,"Sell_"&amp;Upgrades!$B$3:$B$13))*Upgrades!$D$3:$D$13))</f>
        <v/>
      </c>
      <c r="T1283" s="66" t="str">
        <f>IFERROR(__xludf.DUMMYFUNCTION("IF(COUNTA(Q1283:Q1644)=0,"""",IF(REGEXMATCH(INDEX(FILTER(Q$4:Q1283,Q$4:Q1283&lt;&gt;""""),ROWS(FILTER(Q$4:Q1283,Q$4:Q1283&lt;&gt;""""))),""^Sell_""),INDEX(FILTER(T$4:T1282,Q$4:Q1282&lt;&gt;""""),ROWS(FILTER(Q$4:Q1282,Q$4:Q1282&lt;&gt;""""))),$AD$5+S1283))"),"")</f>
        <v/>
      </c>
      <c r="U1283" s="10" t="str">
        <f>IFERROR(__xludf.DUMMYFUNCTION("IF(COUNTA(Q1283:Q1644)=0,"""",IF(Q1283="""",0,IF(REGEXMATCH(Q1283,""^Sell_""),-ROUNDDOWN(ROUNDUP(INDEX(Upgrades!$C$3:$C$13,MATCH(SUBSTITUTE(Q1283,""Sell_"",""""),Upgrades!$B$3:$B$13,0))*1.15^(COUNTIF(Q$4:Q1282,SUBSTITUTE(Q1283,""Sell_"",""""))-COUNTIF(Q$4"&amp;":Q1282,""Sell_""&amp;SUBSTITUTE(Q1283,""Sell_"",""""))))/2),ROUNDUP(INDEX(Upgrades!$C$3:$C$13,MATCH(Q1283,Upgrades!$B$3:$B$13,0))*1.15^(COUNTIF(Q$4:Q1282,Q1283)-COUNTIF(Q$4:Q1282,""Sell_""&amp;Q1283))))))"),"")</f>
        <v/>
      </c>
      <c r="V1283" s="10" t="str">
        <f t="shared" si="11"/>
        <v/>
      </c>
      <c r="W1283" s="68" t="str">
        <f t="shared" si="12"/>
        <v/>
      </c>
      <c r="X1283" s="59" t="str">
        <f t="shared" si="13"/>
        <v/>
      </c>
      <c r="Y1283" s="69" t="str">
        <f t="shared" si="14"/>
        <v/>
      </c>
      <c r="Z1283" s="11"/>
      <c r="AG1283" s="59"/>
    </row>
    <row r="1284">
      <c r="A1284" s="8"/>
      <c r="B1284" s="56" t="str">
        <f t="shared" si="2"/>
        <v/>
      </c>
      <c r="C1284" s="105"/>
      <c r="D1284" s="10"/>
      <c r="E1284" s="59" t="str">
        <f t="array" ref="E1284">IF(COUNTA(C1284:C1644)=0,"",SUM((COUNTIF(C$4:C1284,Upgrades!$B$3:$B$13)-COUNTIF(C$4:C1284,"Sell_"&amp;Upgrades!$B$3:$B$13))*Upgrades!$D$3:$D$13))</f>
        <v/>
      </c>
      <c r="F1284" s="66" t="str">
        <f>IFERROR(__xludf.DUMMYFUNCTION("IF(COUNTA(C1284:C1644)=0,"""",IF(REGEXMATCH(INDEX(FILTER(C$4:C1284,C$4:C1284&lt;&gt;""""),ROWS(FILTER(C$4:C1284,C$4:C1284&lt;&gt;""""))),""^Sell_""),INDEX(FILTER(F$4:F1283,C$4:C1283&lt;&gt;""""),ROWS(FILTER(C$4:C1283,C$4:C1283&lt;&gt;""""))),$AC$5+E1284))"),"")</f>
        <v/>
      </c>
      <c r="G1284" s="10" t="str">
        <f>IFERROR(__xludf.DUMMYFUNCTION("IF(COUNTA(C1284:C1644)=0,"""",IF(C1284="""",0,IF(REGEXMATCH(C1284,""^Sell_""),-ROUNDDOWN(ROUNDUP(INDEX(Upgrades!$C$3:$C$13,MATCH(SUBSTITUTE(C1284,""Sell_"",""""),Upgrades!$B$3:$B$13,0))*1.15^(COUNTIF(C$4:C1283,SUBSTITUTE(C1284,""Sell_"",""""))-COUNTIF(C$4"&amp;":C1283,""Sell_""&amp;SUBSTITUTE(C1284,""Sell_"",""""))))/2),ROUNDUP(INDEX(Upgrades!$C$3:$C$13,MATCH(C1284,Upgrades!$B$3:$B$13,0))*1.15^(COUNTIF(C$4:C1283,C1284)-COUNTIF(C$4:C1283,""Sell_""&amp;C1284))))))"),"")</f>
        <v/>
      </c>
      <c r="H1284" s="10" t="str">
        <f t="shared" si="3"/>
        <v/>
      </c>
      <c r="I1284" s="68" t="str">
        <f t="shared" si="4"/>
        <v/>
      </c>
      <c r="J1284" s="59" t="str">
        <f t="shared" si="5"/>
        <v/>
      </c>
      <c r="K1284" s="69" t="str">
        <f t="shared" si="6"/>
        <v/>
      </c>
      <c r="L1284" s="60" t="str">
        <f t="shared" si="7"/>
        <v/>
      </c>
      <c r="M1284" s="61" t="str">
        <f>IFERROR(__xludf.DUMMYFUNCTION("IFS(AND(COUNTA(C1284:C1644)=0,COUNTA(Q1284:Q1644)=0),"""",OR(AND(K1284&gt;=1000000000,OR(Y1284&gt;=1000000000,COUNTA(Q1284:Q1644)=0)),OR(Y1284&gt;=1000000000,AND(COUNTA(C1284:C1644)=0,P$3=TRUE))),
ROUNDDOWN((AB$1-AC$1)*MAX(INDEX(T$4:T1644,MATCH(LARGE(FILTER(Y$4:Y1"&amp;"644,Y$4:Y1644&lt;1000000000),1),Y$4:Y1644)),INDEX(F$4:F1644,MATCH(LARGE(FILTER(K$4:K1644,K$4:K1644&lt;1000000000),1),K$4:K1644)))),AND(K1284&lt;1000000000,COUNTA(C1284:C1644)&gt;0,P$3=FALSE),
ROUNDDOWN(INDEX(Y$4:Y1644,MATCH(LARGE(FILTER(W$4:W1644,W$4:W1644&lt;=I1284),1)"&amp;",W$4:W1644))+(I1284-LARGE(FILTER(W$4:W1644,W$4:W1644&lt;=I1284),1))*INDEX(T$4:T1644,MATCH(LARGE(FILTER(W$4:W1644,W$4:W1644&lt;=I1284),1),W$4:W1644))-K1284),1,
ROUNDDOWN(Y1284-INDEX(K$4:K1644,MATCH(LARGE(FILTER(I$4:I1644,I$4:I1644&lt;=W1284),1),I$4:I1644))-(W1284-L"&amp;"ARGE(FILTER(I$4:I1644,I$4:I1644&lt;=W1284),1))*INDEX(F$4:F1644,MATCH(LARGE(FILTER(I$4:I1644,I$4:I1644&lt;=W1284),1),I$4:I1644))))"),"")</f>
        <v/>
      </c>
      <c r="N1284" s="60" t="str">
        <f t="shared" si="8"/>
        <v/>
      </c>
      <c r="O1284" s="61" t="str">
        <f t="shared" si="9"/>
        <v/>
      </c>
      <c r="P1284" s="56" t="str">
        <f t="shared" si="10"/>
        <v/>
      </c>
      <c r="Q1284" s="105"/>
      <c r="R1284" s="10"/>
      <c r="S1284" s="59" t="str">
        <f t="array" ref="S1284">IF(COUNTA(Q1284:Q1644)=0,"",SUM((COUNTIF(Q$4:Q1284,Upgrades!$B$3:$B$13)-COUNTIF(Q$4:Q1284,"Sell_"&amp;Upgrades!$B$3:$B$13))*Upgrades!$D$3:$D$13))</f>
        <v/>
      </c>
      <c r="T1284" s="66" t="str">
        <f>IFERROR(__xludf.DUMMYFUNCTION("IF(COUNTA(Q1284:Q1644)=0,"""",IF(REGEXMATCH(INDEX(FILTER(Q$4:Q1284,Q$4:Q1284&lt;&gt;""""),ROWS(FILTER(Q$4:Q1284,Q$4:Q1284&lt;&gt;""""))),""^Sell_""),INDEX(FILTER(T$4:T1283,Q$4:Q1283&lt;&gt;""""),ROWS(FILTER(Q$4:Q1283,Q$4:Q1283&lt;&gt;""""))),$AD$5+S1284))"),"")</f>
        <v/>
      </c>
      <c r="U1284" s="10" t="str">
        <f>IFERROR(__xludf.DUMMYFUNCTION("IF(COUNTA(Q1284:Q1644)=0,"""",IF(Q1284="""",0,IF(REGEXMATCH(Q1284,""^Sell_""),-ROUNDDOWN(ROUNDUP(INDEX(Upgrades!$C$3:$C$13,MATCH(SUBSTITUTE(Q1284,""Sell_"",""""),Upgrades!$B$3:$B$13,0))*1.15^(COUNTIF(Q$4:Q1283,SUBSTITUTE(Q1284,""Sell_"",""""))-COUNTIF(Q$4"&amp;":Q1283,""Sell_""&amp;SUBSTITUTE(Q1284,""Sell_"",""""))))/2),ROUNDUP(INDEX(Upgrades!$C$3:$C$13,MATCH(Q1284,Upgrades!$B$3:$B$13,0))*1.15^(COUNTIF(Q$4:Q1283,Q1284)-COUNTIF(Q$4:Q1283,""Sell_""&amp;Q1284))))))"),"")</f>
        <v/>
      </c>
      <c r="V1284" s="10" t="str">
        <f t="shared" si="11"/>
        <v/>
      </c>
      <c r="W1284" s="68" t="str">
        <f t="shared" si="12"/>
        <v/>
      </c>
      <c r="X1284" s="59" t="str">
        <f t="shared" si="13"/>
        <v/>
      </c>
      <c r="Y1284" s="69" t="str">
        <f t="shared" si="14"/>
        <v/>
      </c>
      <c r="Z1284" s="11"/>
      <c r="AG1284" s="59"/>
    </row>
    <row r="1285">
      <c r="A1285" s="8"/>
      <c r="B1285" s="56" t="str">
        <f t="shared" si="2"/>
        <v/>
      </c>
      <c r="C1285" s="105"/>
      <c r="D1285" s="10"/>
      <c r="E1285" s="59" t="str">
        <f t="array" ref="E1285">IF(COUNTA(C1285:C1644)=0,"",SUM((COUNTIF(C$4:C1285,Upgrades!$B$3:$B$13)-COUNTIF(C$4:C1285,"Sell_"&amp;Upgrades!$B$3:$B$13))*Upgrades!$D$3:$D$13))</f>
        <v/>
      </c>
      <c r="F1285" s="66" t="str">
        <f>IFERROR(__xludf.DUMMYFUNCTION("IF(COUNTA(C1285:C1644)=0,"""",IF(REGEXMATCH(INDEX(FILTER(C$4:C1285,C$4:C1285&lt;&gt;""""),ROWS(FILTER(C$4:C1285,C$4:C1285&lt;&gt;""""))),""^Sell_""),INDEX(FILTER(F$4:F1284,C$4:C1284&lt;&gt;""""),ROWS(FILTER(C$4:C1284,C$4:C1284&lt;&gt;""""))),$AC$5+E1285))"),"")</f>
        <v/>
      </c>
      <c r="G1285" s="10" t="str">
        <f>IFERROR(__xludf.DUMMYFUNCTION("IF(COUNTA(C1285:C1644)=0,"""",IF(C1285="""",0,IF(REGEXMATCH(C1285,""^Sell_""),-ROUNDDOWN(ROUNDUP(INDEX(Upgrades!$C$3:$C$13,MATCH(SUBSTITUTE(C1285,""Sell_"",""""),Upgrades!$B$3:$B$13,0))*1.15^(COUNTIF(C$4:C1284,SUBSTITUTE(C1285,""Sell_"",""""))-COUNTIF(C$4"&amp;":C1284,""Sell_""&amp;SUBSTITUTE(C1285,""Sell_"",""""))))/2),ROUNDUP(INDEX(Upgrades!$C$3:$C$13,MATCH(C1285,Upgrades!$B$3:$B$13,0))*1.15^(COUNTIF(C$4:C1284,C1285)-COUNTIF(C$4:C1284,""Sell_""&amp;C1285))))))"),"")</f>
        <v/>
      </c>
      <c r="H1285" s="10" t="str">
        <f t="shared" si="3"/>
        <v/>
      </c>
      <c r="I1285" s="68" t="str">
        <f t="shared" si="4"/>
        <v/>
      </c>
      <c r="J1285" s="59" t="str">
        <f t="shared" si="5"/>
        <v/>
      </c>
      <c r="K1285" s="69" t="str">
        <f t="shared" si="6"/>
        <v/>
      </c>
      <c r="L1285" s="60" t="str">
        <f t="shared" si="7"/>
        <v/>
      </c>
      <c r="M1285" s="61" t="str">
        <f>IFERROR(__xludf.DUMMYFUNCTION("IFS(AND(COUNTA(C1285:C1644)=0,COUNTA(Q1285:Q1644)=0),"""",OR(AND(K1285&gt;=1000000000,OR(Y1285&gt;=1000000000,COUNTA(Q1285:Q1644)=0)),OR(Y1285&gt;=1000000000,AND(COUNTA(C1285:C1644)=0,P$3=TRUE))),
ROUNDDOWN((AB$1-AC$1)*MAX(INDEX(T$4:T1644,MATCH(LARGE(FILTER(Y$4:Y1"&amp;"644,Y$4:Y1644&lt;1000000000),1),Y$4:Y1644)),INDEX(F$4:F1644,MATCH(LARGE(FILTER(K$4:K1644,K$4:K1644&lt;1000000000),1),K$4:K1644)))),AND(K1285&lt;1000000000,COUNTA(C1285:C1644)&gt;0,P$3=FALSE),
ROUNDDOWN(INDEX(Y$4:Y1644,MATCH(LARGE(FILTER(W$4:W1644,W$4:W1644&lt;=I1285),1)"&amp;",W$4:W1644))+(I1285-LARGE(FILTER(W$4:W1644,W$4:W1644&lt;=I1285),1))*INDEX(T$4:T1644,MATCH(LARGE(FILTER(W$4:W1644,W$4:W1644&lt;=I1285),1),W$4:W1644))-K1285),1,
ROUNDDOWN(Y1285-INDEX(K$4:K1644,MATCH(LARGE(FILTER(I$4:I1644,I$4:I1644&lt;=W1285),1),I$4:I1644))-(W1285-L"&amp;"ARGE(FILTER(I$4:I1644,I$4:I1644&lt;=W1285),1))*INDEX(F$4:F1644,MATCH(LARGE(FILTER(I$4:I1644,I$4:I1644&lt;=W1285),1),I$4:I1644))))"),"")</f>
        <v/>
      </c>
      <c r="N1285" s="60" t="str">
        <f t="shared" si="8"/>
        <v/>
      </c>
      <c r="O1285" s="61" t="str">
        <f t="shared" si="9"/>
        <v/>
      </c>
      <c r="P1285" s="56" t="str">
        <f t="shared" si="10"/>
        <v/>
      </c>
      <c r="Q1285" s="105"/>
      <c r="R1285" s="10"/>
      <c r="S1285" s="59" t="str">
        <f t="array" ref="S1285">IF(COUNTA(Q1285:Q1644)=0,"",SUM((COUNTIF(Q$4:Q1285,Upgrades!$B$3:$B$13)-COUNTIF(Q$4:Q1285,"Sell_"&amp;Upgrades!$B$3:$B$13))*Upgrades!$D$3:$D$13))</f>
        <v/>
      </c>
      <c r="T1285" s="66" t="str">
        <f>IFERROR(__xludf.DUMMYFUNCTION("IF(COUNTA(Q1285:Q1644)=0,"""",IF(REGEXMATCH(INDEX(FILTER(Q$4:Q1285,Q$4:Q1285&lt;&gt;""""),ROWS(FILTER(Q$4:Q1285,Q$4:Q1285&lt;&gt;""""))),""^Sell_""),INDEX(FILTER(T$4:T1284,Q$4:Q1284&lt;&gt;""""),ROWS(FILTER(Q$4:Q1284,Q$4:Q1284&lt;&gt;""""))),$AD$5+S1285))"),"")</f>
        <v/>
      </c>
      <c r="U1285" s="10" t="str">
        <f>IFERROR(__xludf.DUMMYFUNCTION("IF(COUNTA(Q1285:Q1644)=0,"""",IF(Q1285="""",0,IF(REGEXMATCH(Q1285,""^Sell_""),-ROUNDDOWN(ROUNDUP(INDEX(Upgrades!$C$3:$C$13,MATCH(SUBSTITUTE(Q1285,""Sell_"",""""),Upgrades!$B$3:$B$13,0))*1.15^(COUNTIF(Q$4:Q1284,SUBSTITUTE(Q1285,""Sell_"",""""))-COUNTIF(Q$4"&amp;":Q1284,""Sell_""&amp;SUBSTITUTE(Q1285,""Sell_"",""""))))/2),ROUNDUP(INDEX(Upgrades!$C$3:$C$13,MATCH(Q1285,Upgrades!$B$3:$B$13,0))*1.15^(COUNTIF(Q$4:Q1284,Q1285)-COUNTIF(Q$4:Q1284,""Sell_""&amp;Q1285))))))"),"")</f>
        <v/>
      </c>
      <c r="V1285" s="10" t="str">
        <f t="shared" si="11"/>
        <v/>
      </c>
      <c r="W1285" s="68" t="str">
        <f t="shared" si="12"/>
        <v/>
      </c>
      <c r="X1285" s="59" t="str">
        <f t="shared" si="13"/>
        <v/>
      </c>
      <c r="Y1285" s="69" t="str">
        <f t="shared" si="14"/>
        <v/>
      </c>
      <c r="Z1285" s="11"/>
      <c r="AG1285" s="59"/>
    </row>
    <row r="1286">
      <c r="A1286" s="8"/>
      <c r="B1286" s="56" t="str">
        <f t="shared" si="2"/>
        <v/>
      </c>
      <c r="C1286" s="105"/>
      <c r="D1286" s="10"/>
      <c r="E1286" s="59" t="str">
        <f t="array" ref="E1286">IF(COUNTA(C1286:C1644)=0,"",SUM((COUNTIF(C$4:C1286,Upgrades!$B$3:$B$13)-COUNTIF(C$4:C1286,"Sell_"&amp;Upgrades!$B$3:$B$13))*Upgrades!$D$3:$D$13))</f>
        <v/>
      </c>
      <c r="F1286" s="66" t="str">
        <f>IFERROR(__xludf.DUMMYFUNCTION("IF(COUNTA(C1286:C1644)=0,"""",IF(REGEXMATCH(INDEX(FILTER(C$4:C1286,C$4:C1286&lt;&gt;""""),ROWS(FILTER(C$4:C1286,C$4:C1286&lt;&gt;""""))),""^Sell_""),INDEX(FILTER(F$4:F1285,C$4:C1285&lt;&gt;""""),ROWS(FILTER(C$4:C1285,C$4:C1285&lt;&gt;""""))),$AC$5+E1286))"),"")</f>
        <v/>
      </c>
      <c r="G1286" s="10" t="str">
        <f>IFERROR(__xludf.DUMMYFUNCTION("IF(COUNTA(C1286:C1644)=0,"""",IF(C1286="""",0,IF(REGEXMATCH(C1286,""^Sell_""),-ROUNDDOWN(ROUNDUP(INDEX(Upgrades!$C$3:$C$13,MATCH(SUBSTITUTE(C1286,""Sell_"",""""),Upgrades!$B$3:$B$13,0))*1.15^(COUNTIF(C$4:C1285,SUBSTITUTE(C1286,""Sell_"",""""))-COUNTIF(C$4"&amp;":C1285,""Sell_""&amp;SUBSTITUTE(C1286,""Sell_"",""""))))/2),ROUNDUP(INDEX(Upgrades!$C$3:$C$13,MATCH(C1286,Upgrades!$B$3:$B$13,0))*1.15^(COUNTIF(C$4:C1285,C1286)-COUNTIF(C$4:C1285,""Sell_""&amp;C1286))))))"),"")</f>
        <v/>
      </c>
      <c r="H1286" s="10" t="str">
        <f t="shared" si="3"/>
        <v/>
      </c>
      <c r="I1286" s="68" t="str">
        <f t="shared" si="4"/>
        <v/>
      </c>
      <c r="J1286" s="59" t="str">
        <f t="shared" si="5"/>
        <v/>
      </c>
      <c r="K1286" s="69" t="str">
        <f t="shared" si="6"/>
        <v/>
      </c>
      <c r="L1286" s="60" t="str">
        <f t="shared" si="7"/>
        <v/>
      </c>
      <c r="M1286" s="61" t="str">
        <f>IFERROR(__xludf.DUMMYFUNCTION("IFS(AND(COUNTA(C1286:C1644)=0,COUNTA(Q1286:Q1644)=0),"""",OR(AND(K1286&gt;=1000000000,OR(Y1286&gt;=1000000000,COUNTA(Q1286:Q1644)=0)),OR(Y1286&gt;=1000000000,AND(COUNTA(C1286:C1644)=0,P$3=TRUE))),
ROUNDDOWN((AB$1-AC$1)*MAX(INDEX(T$4:T1644,MATCH(LARGE(FILTER(Y$4:Y1"&amp;"644,Y$4:Y1644&lt;1000000000),1),Y$4:Y1644)),INDEX(F$4:F1644,MATCH(LARGE(FILTER(K$4:K1644,K$4:K1644&lt;1000000000),1),K$4:K1644)))),AND(K1286&lt;1000000000,COUNTA(C1286:C1644)&gt;0,P$3=FALSE),
ROUNDDOWN(INDEX(Y$4:Y1644,MATCH(LARGE(FILTER(W$4:W1644,W$4:W1644&lt;=I1286),1)"&amp;",W$4:W1644))+(I1286-LARGE(FILTER(W$4:W1644,W$4:W1644&lt;=I1286),1))*INDEX(T$4:T1644,MATCH(LARGE(FILTER(W$4:W1644,W$4:W1644&lt;=I1286),1),W$4:W1644))-K1286),1,
ROUNDDOWN(Y1286-INDEX(K$4:K1644,MATCH(LARGE(FILTER(I$4:I1644,I$4:I1644&lt;=W1286),1),I$4:I1644))-(W1286-L"&amp;"ARGE(FILTER(I$4:I1644,I$4:I1644&lt;=W1286),1))*INDEX(F$4:F1644,MATCH(LARGE(FILTER(I$4:I1644,I$4:I1644&lt;=W1286),1),I$4:I1644))))"),"")</f>
        <v/>
      </c>
      <c r="N1286" s="60" t="str">
        <f t="shared" si="8"/>
        <v/>
      </c>
      <c r="O1286" s="61" t="str">
        <f t="shared" si="9"/>
        <v/>
      </c>
      <c r="P1286" s="56" t="str">
        <f t="shared" si="10"/>
        <v/>
      </c>
      <c r="Q1286" s="105"/>
      <c r="R1286" s="10"/>
      <c r="S1286" s="59" t="str">
        <f t="array" ref="S1286">IF(COUNTA(Q1286:Q1644)=0,"",SUM((COUNTIF(Q$4:Q1286,Upgrades!$B$3:$B$13)-COUNTIF(Q$4:Q1286,"Sell_"&amp;Upgrades!$B$3:$B$13))*Upgrades!$D$3:$D$13))</f>
        <v/>
      </c>
      <c r="T1286" s="66" t="str">
        <f>IFERROR(__xludf.DUMMYFUNCTION("IF(COUNTA(Q1286:Q1644)=0,"""",IF(REGEXMATCH(INDEX(FILTER(Q$4:Q1286,Q$4:Q1286&lt;&gt;""""),ROWS(FILTER(Q$4:Q1286,Q$4:Q1286&lt;&gt;""""))),""^Sell_""),INDEX(FILTER(T$4:T1285,Q$4:Q1285&lt;&gt;""""),ROWS(FILTER(Q$4:Q1285,Q$4:Q1285&lt;&gt;""""))),$AD$5+S1286))"),"")</f>
        <v/>
      </c>
      <c r="U1286" s="10" t="str">
        <f>IFERROR(__xludf.DUMMYFUNCTION("IF(COUNTA(Q1286:Q1644)=0,"""",IF(Q1286="""",0,IF(REGEXMATCH(Q1286,""^Sell_""),-ROUNDDOWN(ROUNDUP(INDEX(Upgrades!$C$3:$C$13,MATCH(SUBSTITUTE(Q1286,""Sell_"",""""),Upgrades!$B$3:$B$13,0))*1.15^(COUNTIF(Q$4:Q1285,SUBSTITUTE(Q1286,""Sell_"",""""))-COUNTIF(Q$4"&amp;":Q1285,""Sell_""&amp;SUBSTITUTE(Q1286,""Sell_"",""""))))/2),ROUNDUP(INDEX(Upgrades!$C$3:$C$13,MATCH(Q1286,Upgrades!$B$3:$B$13,0))*1.15^(COUNTIF(Q$4:Q1285,Q1286)-COUNTIF(Q$4:Q1285,""Sell_""&amp;Q1286))))))"),"")</f>
        <v/>
      </c>
      <c r="V1286" s="10" t="str">
        <f t="shared" si="11"/>
        <v/>
      </c>
      <c r="W1286" s="68" t="str">
        <f t="shared" si="12"/>
        <v/>
      </c>
      <c r="X1286" s="59" t="str">
        <f t="shared" si="13"/>
        <v/>
      </c>
      <c r="Y1286" s="69" t="str">
        <f t="shared" si="14"/>
        <v/>
      </c>
      <c r="Z1286" s="11"/>
      <c r="AG1286" s="59"/>
    </row>
    <row r="1287">
      <c r="A1287" s="8"/>
      <c r="B1287" s="56" t="str">
        <f t="shared" si="2"/>
        <v/>
      </c>
      <c r="C1287" s="105"/>
      <c r="D1287" s="10"/>
      <c r="E1287" s="59" t="str">
        <f t="array" ref="E1287">IF(COUNTA(C1287:C1644)=0,"",SUM((COUNTIF(C$4:C1287,Upgrades!$B$3:$B$13)-COUNTIF(C$4:C1287,"Sell_"&amp;Upgrades!$B$3:$B$13))*Upgrades!$D$3:$D$13))</f>
        <v/>
      </c>
      <c r="F1287" s="66" t="str">
        <f>IFERROR(__xludf.DUMMYFUNCTION("IF(COUNTA(C1287:C1644)=0,"""",IF(REGEXMATCH(INDEX(FILTER(C$4:C1287,C$4:C1287&lt;&gt;""""),ROWS(FILTER(C$4:C1287,C$4:C1287&lt;&gt;""""))),""^Sell_""),INDEX(FILTER(F$4:F1286,C$4:C1286&lt;&gt;""""),ROWS(FILTER(C$4:C1286,C$4:C1286&lt;&gt;""""))),$AC$5+E1287))"),"")</f>
        <v/>
      </c>
      <c r="G1287" s="10" t="str">
        <f>IFERROR(__xludf.DUMMYFUNCTION("IF(COUNTA(C1287:C1644)=0,"""",IF(C1287="""",0,IF(REGEXMATCH(C1287,""^Sell_""),-ROUNDDOWN(ROUNDUP(INDEX(Upgrades!$C$3:$C$13,MATCH(SUBSTITUTE(C1287,""Sell_"",""""),Upgrades!$B$3:$B$13,0))*1.15^(COUNTIF(C$4:C1286,SUBSTITUTE(C1287,""Sell_"",""""))-COUNTIF(C$4"&amp;":C1286,""Sell_""&amp;SUBSTITUTE(C1287,""Sell_"",""""))))/2),ROUNDUP(INDEX(Upgrades!$C$3:$C$13,MATCH(C1287,Upgrades!$B$3:$B$13,0))*1.15^(COUNTIF(C$4:C1286,C1287)-COUNTIF(C$4:C1286,""Sell_""&amp;C1287))))))"),"")</f>
        <v/>
      </c>
      <c r="H1287" s="10" t="str">
        <f t="shared" si="3"/>
        <v/>
      </c>
      <c r="I1287" s="68" t="str">
        <f t="shared" si="4"/>
        <v/>
      </c>
      <c r="J1287" s="59" t="str">
        <f t="shared" si="5"/>
        <v/>
      </c>
      <c r="K1287" s="69" t="str">
        <f t="shared" si="6"/>
        <v/>
      </c>
      <c r="L1287" s="60" t="str">
        <f t="shared" si="7"/>
        <v/>
      </c>
      <c r="M1287" s="61" t="str">
        <f>IFERROR(__xludf.DUMMYFUNCTION("IFS(AND(COUNTA(C1287:C1644)=0,COUNTA(Q1287:Q1644)=0),"""",OR(AND(K1287&gt;=1000000000,OR(Y1287&gt;=1000000000,COUNTA(Q1287:Q1644)=0)),OR(Y1287&gt;=1000000000,AND(COUNTA(C1287:C1644)=0,P$3=TRUE))),
ROUNDDOWN((AB$1-AC$1)*MAX(INDEX(T$4:T1644,MATCH(LARGE(FILTER(Y$4:Y1"&amp;"644,Y$4:Y1644&lt;1000000000),1),Y$4:Y1644)),INDEX(F$4:F1644,MATCH(LARGE(FILTER(K$4:K1644,K$4:K1644&lt;1000000000),1),K$4:K1644)))),AND(K1287&lt;1000000000,COUNTA(C1287:C1644)&gt;0,P$3=FALSE),
ROUNDDOWN(INDEX(Y$4:Y1644,MATCH(LARGE(FILTER(W$4:W1644,W$4:W1644&lt;=I1287),1)"&amp;",W$4:W1644))+(I1287-LARGE(FILTER(W$4:W1644,W$4:W1644&lt;=I1287),1))*INDEX(T$4:T1644,MATCH(LARGE(FILTER(W$4:W1644,W$4:W1644&lt;=I1287),1),W$4:W1644))-K1287),1,
ROUNDDOWN(Y1287-INDEX(K$4:K1644,MATCH(LARGE(FILTER(I$4:I1644,I$4:I1644&lt;=W1287),1),I$4:I1644))-(W1287-L"&amp;"ARGE(FILTER(I$4:I1644,I$4:I1644&lt;=W1287),1))*INDEX(F$4:F1644,MATCH(LARGE(FILTER(I$4:I1644,I$4:I1644&lt;=W1287),1),I$4:I1644))))"),"")</f>
        <v/>
      </c>
      <c r="N1287" s="60" t="str">
        <f t="shared" si="8"/>
        <v/>
      </c>
      <c r="O1287" s="61" t="str">
        <f t="shared" si="9"/>
        <v/>
      </c>
      <c r="P1287" s="56" t="str">
        <f t="shared" si="10"/>
        <v/>
      </c>
      <c r="Q1287" s="105"/>
      <c r="R1287" s="10"/>
      <c r="S1287" s="59" t="str">
        <f t="array" ref="S1287">IF(COUNTA(Q1287:Q1644)=0,"",SUM((COUNTIF(Q$4:Q1287,Upgrades!$B$3:$B$13)-COUNTIF(Q$4:Q1287,"Sell_"&amp;Upgrades!$B$3:$B$13))*Upgrades!$D$3:$D$13))</f>
        <v/>
      </c>
      <c r="T1287" s="66" t="str">
        <f>IFERROR(__xludf.DUMMYFUNCTION("IF(COUNTA(Q1287:Q1644)=0,"""",IF(REGEXMATCH(INDEX(FILTER(Q$4:Q1287,Q$4:Q1287&lt;&gt;""""),ROWS(FILTER(Q$4:Q1287,Q$4:Q1287&lt;&gt;""""))),""^Sell_""),INDEX(FILTER(T$4:T1286,Q$4:Q1286&lt;&gt;""""),ROWS(FILTER(Q$4:Q1286,Q$4:Q1286&lt;&gt;""""))),$AD$5+S1287))"),"")</f>
        <v/>
      </c>
      <c r="U1287" s="10" t="str">
        <f>IFERROR(__xludf.DUMMYFUNCTION("IF(COUNTA(Q1287:Q1644)=0,"""",IF(Q1287="""",0,IF(REGEXMATCH(Q1287,""^Sell_""),-ROUNDDOWN(ROUNDUP(INDEX(Upgrades!$C$3:$C$13,MATCH(SUBSTITUTE(Q1287,""Sell_"",""""),Upgrades!$B$3:$B$13,0))*1.15^(COUNTIF(Q$4:Q1286,SUBSTITUTE(Q1287,""Sell_"",""""))-COUNTIF(Q$4"&amp;":Q1286,""Sell_""&amp;SUBSTITUTE(Q1287,""Sell_"",""""))))/2),ROUNDUP(INDEX(Upgrades!$C$3:$C$13,MATCH(Q1287,Upgrades!$B$3:$B$13,0))*1.15^(COUNTIF(Q$4:Q1286,Q1287)-COUNTIF(Q$4:Q1286,""Sell_""&amp;Q1287))))))"),"")</f>
        <v/>
      </c>
      <c r="V1287" s="10" t="str">
        <f t="shared" si="11"/>
        <v/>
      </c>
      <c r="W1287" s="68" t="str">
        <f t="shared" si="12"/>
        <v/>
      </c>
      <c r="X1287" s="59" t="str">
        <f t="shared" si="13"/>
        <v/>
      </c>
      <c r="Y1287" s="69" t="str">
        <f t="shared" si="14"/>
        <v/>
      </c>
      <c r="Z1287" s="11"/>
      <c r="AG1287" s="59"/>
    </row>
    <row r="1288">
      <c r="A1288" s="8"/>
      <c r="B1288" s="56" t="str">
        <f t="shared" si="2"/>
        <v/>
      </c>
      <c r="C1288" s="105"/>
      <c r="D1288" s="10"/>
      <c r="E1288" s="59" t="str">
        <f t="array" ref="E1288">IF(COUNTA(C1288:C1644)=0,"",SUM((COUNTIF(C$4:C1288,Upgrades!$B$3:$B$13)-COUNTIF(C$4:C1288,"Sell_"&amp;Upgrades!$B$3:$B$13))*Upgrades!$D$3:$D$13))</f>
        <v/>
      </c>
      <c r="F1288" s="66" t="str">
        <f>IFERROR(__xludf.DUMMYFUNCTION("IF(COUNTA(C1288:C1644)=0,"""",IF(REGEXMATCH(INDEX(FILTER(C$4:C1288,C$4:C1288&lt;&gt;""""),ROWS(FILTER(C$4:C1288,C$4:C1288&lt;&gt;""""))),""^Sell_""),INDEX(FILTER(F$4:F1287,C$4:C1287&lt;&gt;""""),ROWS(FILTER(C$4:C1287,C$4:C1287&lt;&gt;""""))),$AC$5+E1288))"),"")</f>
        <v/>
      </c>
      <c r="G1288" s="10" t="str">
        <f>IFERROR(__xludf.DUMMYFUNCTION("IF(COUNTA(C1288:C1644)=0,"""",IF(C1288="""",0,IF(REGEXMATCH(C1288,""^Sell_""),-ROUNDDOWN(ROUNDUP(INDEX(Upgrades!$C$3:$C$13,MATCH(SUBSTITUTE(C1288,""Sell_"",""""),Upgrades!$B$3:$B$13,0))*1.15^(COUNTIF(C$4:C1287,SUBSTITUTE(C1288,""Sell_"",""""))-COUNTIF(C$4"&amp;":C1287,""Sell_""&amp;SUBSTITUTE(C1288,""Sell_"",""""))))/2),ROUNDUP(INDEX(Upgrades!$C$3:$C$13,MATCH(C1288,Upgrades!$B$3:$B$13,0))*1.15^(COUNTIF(C$4:C1287,C1288)-COUNTIF(C$4:C1287,""Sell_""&amp;C1288))))))"),"")</f>
        <v/>
      </c>
      <c r="H1288" s="10" t="str">
        <f t="shared" si="3"/>
        <v/>
      </c>
      <c r="I1288" s="68" t="str">
        <f t="shared" si="4"/>
        <v/>
      </c>
      <c r="J1288" s="59" t="str">
        <f t="shared" si="5"/>
        <v/>
      </c>
      <c r="K1288" s="69" t="str">
        <f t="shared" si="6"/>
        <v/>
      </c>
      <c r="L1288" s="60" t="str">
        <f t="shared" si="7"/>
        <v/>
      </c>
      <c r="M1288" s="61" t="str">
        <f>IFERROR(__xludf.DUMMYFUNCTION("IFS(AND(COUNTA(C1288:C1644)=0,COUNTA(Q1288:Q1644)=0),"""",OR(AND(K1288&gt;=1000000000,OR(Y1288&gt;=1000000000,COUNTA(Q1288:Q1644)=0)),OR(Y1288&gt;=1000000000,AND(COUNTA(C1288:C1644)=0,P$3=TRUE))),
ROUNDDOWN((AB$1-AC$1)*MAX(INDEX(T$4:T1644,MATCH(LARGE(FILTER(Y$4:Y1"&amp;"644,Y$4:Y1644&lt;1000000000),1),Y$4:Y1644)),INDEX(F$4:F1644,MATCH(LARGE(FILTER(K$4:K1644,K$4:K1644&lt;1000000000),1),K$4:K1644)))),AND(K1288&lt;1000000000,COUNTA(C1288:C1644)&gt;0,P$3=FALSE),
ROUNDDOWN(INDEX(Y$4:Y1644,MATCH(LARGE(FILTER(W$4:W1644,W$4:W1644&lt;=I1288),1)"&amp;",W$4:W1644))+(I1288-LARGE(FILTER(W$4:W1644,W$4:W1644&lt;=I1288),1))*INDEX(T$4:T1644,MATCH(LARGE(FILTER(W$4:W1644,W$4:W1644&lt;=I1288),1),W$4:W1644))-K1288),1,
ROUNDDOWN(Y1288-INDEX(K$4:K1644,MATCH(LARGE(FILTER(I$4:I1644,I$4:I1644&lt;=W1288),1),I$4:I1644))-(W1288-L"&amp;"ARGE(FILTER(I$4:I1644,I$4:I1644&lt;=W1288),1))*INDEX(F$4:F1644,MATCH(LARGE(FILTER(I$4:I1644,I$4:I1644&lt;=W1288),1),I$4:I1644))))"),"")</f>
        <v/>
      </c>
      <c r="N1288" s="60" t="str">
        <f t="shared" si="8"/>
        <v/>
      </c>
      <c r="O1288" s="61" t="str">
        <f t="shared" si="9"/>
        <v/>
      </c>
      <c r="P1288" s="56" t="str">
        <f t="shared" si="10"/>
        <v/>
      </c>
      <c r="Q1288" s="105"/>
      <c r="R1288" s="10"/>
      <c r="S1288" s="59" t="str">
        <f t="array" ref="S1288">IF(COUNTA(Q1288:Q1644)=0,"",SUM((COUNTIF(Q$4:Q1288,Upgrades!$B$3:$B$13)-COUNTIF(Q$4:Q1288,"Sell_"&amp;Upgrades!$B$3:$B$13))*Upgrades!$D$3:$D$13))</f>
        <v/>
      </c>
      <c r="T1288" s="66" t="str">
        <f>IFERROR(__xludf.DUMMYFUNCTION("IF(COUNTA(Q1288:Q1644)=0,"""",IF(REGEXMATCH(INDEX(FILTER(Q$4:Q1288,Q$4:Q1288&lt;&gt;""""),ROWS(FILTER(Q$4:Q1288,Q$4:Q1288&lt;&gt;""""))),""^Sell_""),INDEX(FILTER(T$4:T1287,Q$4:Q1287&lt;&gt;""""),ROWS(FILTER(Q$4:Q1287,Q$4:Q1287&lt;&gt;""""))),$AD$5+S1288))"),"")</f>
        <v/>
      </c>
      <c r="U1288" s="10" t="str">
        <f>IFERROR(__xludf.DUMMYFUNCTION("IF(COUNTA(Q1288:Q1644)=0,"""",IF(Q1288="""",0,IF(REGEXMATCH(Q1288,""^Sell_""),-ROUNDDOWN(ROUNDUP(INDEX(Upgrades!$C$3:$C$13,MATCH(SUBSTITUTE(Q1288,""Sell_"",""""),Upgrades!$B$3:$B$13,0))*1.15^(COUNTIF(Q$4:Q1287,SUBSTITUTE(Q1288,""Sell_"",""""))-COUNTIF(Q$4"&amp;":Q1287,""Sell_""&amp;SUBSTITUTE(Q1288,""Sell_"",""""))))/2),ROUNDUP(INDEX(Upgrades!$C$3:$C$13,MATCH(Q1288,Upgrades!$B$3:$B$13,0))*1.15^(COUNTIF(Q$4:Q1287,Q1288)-COUNTIF(Q$4:Q1287,""Sell_""&amp;Q1288))))))"),"")</f>
        <v/>
      </c>
      <c r="V1288" s="10" t="str">
        <f t="shared" si="11"/>
        <v/>
      </c>
      <c r="W1288" s="68" t="str">
        <f t="shared" si="12"/>
        <v/>
      </c>
      <c r="X1288" s="59" t="str">
        <f t="shared" si="13"/>
        <v/>
      </c>
      <c r="Y1288" s="69" t="str">
        <f t="shared" si="14"/>
        <v/>
      </c>
      <c r="Z1288" s="11"/>
      <c r="AG1288" s="59"/>
    </row>
    <row r="1289">
      <c r="A1289" s="8"/>
      <c r="B1289" s="56" t="str">
        <f t="shared" si="2"/>
        <v/>
      </c>
      <c r="C1289" s="105"/>
      <c r="D1289" s="10"/>
      <c r="E1289" s="59" t="str">
        <f t="array" ref="E1289">IF(COUNTA(C1289:C1644)=0,"",SUM((COUNTIF(C$4:C1289,Upgrades!$B$3:$B$13)-COUNTIF(C$4:C1289,"Sell_"&amp;Upgrades!$B$3:$B$13))*Upgrades!$D$3:$D$13))</f>
        <v/>
      </c>
      <c r="F1289" s="66" t="str">
        <f>IFERROR(__xludf.DUMMYFUNCTION("IF(COUNTA(C1289:C1644)=0,"""",IF(REGEXMATCH(INDEX(FILTER(C$4:C1289,C$4:C1289&lt;&gt;""""),ROWS(FILTER(C$4:C1289,C$4:C1289&lt;&gt;""""))),""^Sell_""),INDEX(FILTER(F$4:F1288,C$4:C1288&lt;&gt;""""),ROWS(FILTER(C$4:C1288,C$4:C1288&lt;&gt;""""))),$AC$5+E1289))"),"")</f>
        <v/>
      </c>
      <c r="G1289" s="10" t="str">
        <f>IFERROR(__xludf.DUMMYFUNCTION("IF(COUNTA(C1289:C1644)=0,"""",IF(C1289="""",0,IF(REGEXMATCH(C1289,""^Sell_""),-ROUNDDOWN(ROUNDUP(INDEX(Upgrades!$C$3:$C$13,MATCH(SUBSTITUTE(C1289,""Sell_"",""""),Upgrades!$B$3:$B$13,0))*1.15^(COUNTIF(C$4:C1288,SUBSTITUTE(C1289,""Sell_"",""""))-COUNTIF(C$4"&amp;":C1288,""Sell_""&amp;SUBSTITUTE(C1289,""Sell_"",""""))))/2),ROUNDUP(INDEX(Upgrades!$C$3:$C$13,MATCH(C1289,Upgrades!$B$3:$B$13,0))*1.15^(COUNTIF(C$4:C1288,C1289)-COUNTIF(C$4:C1288,""Sell_""&amp;C1289))))))"),"")</f>
        <v/>
      </c>
      <c r="H1289" s="10" t="str">
        <f t="shared" si="3"/>
        <v/>
      </c>
      <c r="I1289" s="68" t="str">
        <f t="shared" si="4"/>
        <v/>
      </c>
      <c r="J1289" s="59" t="str">
        <f t="shared" si="5"/>
        <v/>
      </c>
      <c r="K1289" s="69" t="str">
        <f t="shared" si="6"/>
        <v/>
      </c>
      <c r="L1289" s="60" t="str">
        <f t="shared" si="7"/>
        <v/>
      </c>
      <c r="M1289" s="61" t="str">
        <f>IFERROR(__xludf.DUMMYFUNCTION("IFS(AND(COUNTA(C1289:C1644)=0,COUNTA(Q1289:Q1644)=0),"""",OR(AND(K1289&gt;=1000000000,OR(Y1289&gt;=1000000000,COUNTA(Q1289:Q1644)=0)),OR(Y1289&gt;=1000000000,AND(COUNTA(C1289:C1644)=0,P$3=TRUE))),
ROUNDDOWN((AB$1-AC$1)*MAX(INDEX(T$4:T1644,MATCH(LARGE(FILTER(Y$4:Y1"&amp;"644,Y$4:Y1644&lt;1000000000),1),Y$4:Y1644)),INDEX(F$4:F1644,MATCH(LARGE(FILTER(K$4:K1644,K$4:K1644&lt;1000000000),1),K$4:K1644)))),AND(K1289&lt;1000000000,COUNTA(C1289:C1644)&gt;0,P$3=FALSE),
ROUNDDOWN(INDEX(Y$4:Y1644,MATCH(LARGE(FILTER(W$4:W1644,W$4:W1644&lt;=I1289),1)"&amp;",W$4:W1644))+(I1289-LARGE(FILTER(W$4:W1644,W$4:W1644&lt;=I1289),1))*INDEX(T$4:T1644,MATCH(LARGE(FILTER(W$4:W1644,W$4:W1644&lt;=I1289),1),W$4:W1644))-K1289),1,
ROUNDDOWN(Y1289-INDEX(K$4:K1644,MATCH(LARGE(FILTER(I$4:I1644,I$4:I1644&lt;=W1289),1),I$4:I1644))-(W1289-L"&amp;"ARGE(FILTER(I$4:I1644,I$4:I1644&lt;=W1289),1))*INDEX(F$4:F1644,MATCH(LARGE(FILTER(I$4:I1644,I$4:I1644&lt;=W1289),1),I$4:I1644))))"),"")</f>
        <v/>
      </c>
      <c r="N1289" s="60" t="str">
        <f t="shared" si="8"/>
        <v/>
      </c>
      <c r="O1289" s="61" t="str">
        <f t="shared" si="9"/>
        <v/>
      </c>
      <c r="P1289" s="56" t="str">
        <f t="shared" si="10"/>
        <v/>
      </c>
      <c r="Q1289" s="105"/>
      <c r="R1289" s="10"/>
      <c r="S1289" s="59" t="str">
        <f t="array" ref="S1289">IF(COUNTA(Q1289:Q1644)=0,"",SUM((COUNTIF(Q$4:Q1289,Upgrades!$B$3:$B$13)-COUNTIF(Q$4:Q1289,"Sell_"&amp;Upgrades!$B$3:$B$13))*Upgrades!$D$3:$D$13))</f>
        <v/>
      </c>
      <c r="T1289" s="66" t="str">
        <f>IFERROR(__xludf.DUMMYFUNCTION("IF(COUNTA(Q1289:Q1644)=0,"""",IF(REGEXMATCH(INDEX(FILTER(Q$4:Q1289,Q$4:Q1289&lt;&gt;""""),ROWS(FILTER(Q$4:Q1289,Q$4:Q1289&lt;&gt;""""))),""^Sell_""),INDEX(FILTER(T$4:T1288,Q$4:Q1288&lt;&gt;""""),ROWS(FILTER(Q$4:Q1288,Q$4:Q1288&lt;&gt;""""))),$AD$5+S1289))"),"")</f>
        <v/>
      </c>
      <c r="U1289" s="10" t="str">
        <f>IFERROR(__xludf.DUMMYFUNCTION("IF(COUNTA(Q1289:Q1644)=0,"""",IF(Q1289="""",0,IF(REGEXMATCH(Q1289,""^Sell_""),-ROUNDDOWN(ROUNDUP(INDEX(Upgrades!$C$3:$C$13,MATCH(SUBSTITUTE(Q1289,""Sell_"",""""),Upgrades!$B$3:$B$13,0))*1.15^(COUNTIF(Q$4:Q1288,SUBSTITUTE(Q1289,""Sell_"",""""))-COUNTIF(Q$4"&amp;":Q1288,""Sell_""&amp;SUBSTITUTE(Q1289,""Sell_"",""""))))/2),ROUNDUP(INDEX(Upgrades!$C$3:$C$13,MATCH(Q1289,Upgrades!$B$3:$B$13,0))*1.15^(COUNTIF(Q$4:Q1288,Q1289)-COUNTIF(Q$4:Q1288,""Sell_""&amp;Q1289))))))"),"")</f>
        <v/>
      </c>
      <c r="V1289" s="10" t="str">
        <f t="shared" si="11"/>
        <v/>
      </c>
      <c r="W1289" s="68" t="str">
        <f t="shared" si="12"/>
        <v/>
      </c>
      <c r="X1289" s="59" t="str">
        <f t="shared" si="13"/>
        <v/>
      </c>
      <c r="Y1289" s="69" t="str">
        <f t="shared" si="14"/>
        <v/>
      </c>
      <c r="Z1289" s="11"/>
      <c r="AG1289" s="59"/>
    </row>
    <row r="1290">
      <c r="A1290" s="8"/>
      <c r="B1290" s="56" t="str">
        <f t="shared" si="2"/>
        <v/>
      </c>
      <c r="C1290" s="105"/>
      <c r="D1290" s="10"/>
      <c r="E1290" s="59" t="str">
        <f t="array" ref="E1290">IF(COUNTA(C1290:C1644)=0,"",SUM((COUNTIF(C$4:C1290,Upgrades!$B$3:$B$13)-COUNTIF(C$4:C1290,"Sell_"&amp;Upgrades!$B$3:$B$13))*Upgrades!$D$3:$D$13))</f>
        <v/>
      </c>
      <c r="F1290" s="66" t="str">
        <f>IFERROR(__xludf.DUMMYFUNCTION("IF(COUNTA(C1290:C1644)=0,"""",IF(REGEXMATCH(INDEX(FILTER(C$4:C1290,C$4:C1290&lt;&gt;""""),ROWS(FILTER(C$4:C1290,C$4:C1290&lt;&gt;""""))),""^Sell_""),INDEX(FILTER(F$4:F1289,C$4:C1289&lt;&gt;""""),ROWS(FILTER(C$4:C1289,C$4:C1289&lt;&gt;""""))),$AC$5+E1290))"),"")</f>
        <v/>
      </c>
      <c r="G1290" s="10" t="str">
        <f>IFERROR(__xludf.DUMMYFUNCTION("IF(COUNTA(C1290:C1644)=0,"""",IF(C1290="""",0,IF(REGEXMATCH(C1290,""^Sell_""),-ROUNDDOWN(ROUNDUP(INDEX(Upgrades!$C$3:$C$13,MATCH(SUBSTITUTE(C1290,""Sell_"",""""),Upgrades!$B$3:$B$13,0))*1.15^(COUNTIF(C$4:C1289,SUBSTITUTE(C1290,""Sell_"",""""))-COUNTIF(C$4"&amp;":C1289,""Sell_""&amp;SUBSTITUTE(C1290,""Sell_"",""""))))/2),ROUNDUP(INDEX(Upgrades!$C$3:$C$13,MATCH(C1290,Upgrades!$B$3:$B$13,0))*1.15^(COUNTIF(C$4:C1289,C1290)-COUNTIF(C$4:C1289,""Sell_""&amp;C1290))))))"),"")</f>
        <v/>
      </c>
      <c r="H1290" s="10" t="str">
        <f t="shared" si="3"/>
        <v/>
      </c>
      <c r="I1290" s="68" t="str">
        <f t="shared" si="4"/>
        <v/>
      </c>
      <c r="J1290" s="59" t="str">
        <f t="shared" si="5"/>
        <v/>
      </c>
      <c r="K1290" s="69" t="str">
        <f t="shared" si="6"/>
        <v/>
      </c>
      <c r="L1290" s="60" t="str">
        <f t="shared" si="7"/>
        <v/>
      </c>
      <c r="M1290" s="61" t="str">
        <f>IFERROR(__xludf.DUMMYFUNCTION("IFS(AND(COUNTA(C1290:C1644)=0,COUNTA(Q1290:Q1644)=0),"""",OR(AND(K1290&gt;=1000000000,OR(Y1290&gt;=1000000000,COUNTA(Q1290:Q1644)=0)),OR(Y1290&gt;=1000000000,AND(COUNTA(C1290:C1644)=0,P$3=TRUE))),
ROUNDDOWN((AB$1-AC$1)*MAX(INDEX(T$4:T1644,MATCH(LARGE(FILTER(Y$4:Y1"&amp;"644,Y$4:Y1644&lt;1000000000),1),Y$4:Y1644)),INDEX(F$4:F1644,MATCH(LARGE(FILTER(K$4:K1644,K$4:K1644&lt;1000000000),1),K$4:K1644)))),AND(K1290&lt;1000000000,COUNTA(C1290:C1644)&gt;0,P$3=FALSE),
ROUNDDOWN(INDEX(Y$4:Y1644,MATCH(LARGE(FILTER(W$4:W1644,W$4:W1644&lt;=I1290),1)"&amp;",W$4:W1644))+(I1290-LARGE(FILTER(W$4:W1644,W$4:W1644&lt;=I1290),1))*INDEX(T$4:T1644,MATCH(LARGE(FILTER(W$4:W1644,W$4:W1644&lt;=I1290),1),W$4:W1644))-K1290),1,
ROUNDDOWN(Y1290-INDEX(K$4:K1644,MATCH(LARGE(FILTER(I$4:I1644,I$4:I1644&lt;=W1290),1),I$4:I1644))-(W1290-L"&amp;"ARGE(FILTER(I$4:I1644,I$4:I1644&lt;=W1290),1))*INDEX(F$4:F1644,MATCH(LARGE(FILTER(I$4:I1644,I$4:I1644&lt;=W1290),1),I$4:I1644))))"),"")</f>
        <v/>
      </c>
      <c r="N1290" s="60" t="str">
        <f t="shared" si="8"/>
        <v/>
      </c>
      <c r="O1290" s="61" t="str">
        <f t="shared" si="9"/>
        <v/>
      </c>
      <c r="P1290" s="56" t="str">
        <f t="shared" si="10"/>
        <v/>
      </c>
      <c r="Q1290" s="105"/>
      <c r="R1290" s="10"/>
      <c r="S1290" s="59" t="str">
        <f t="array" ref="S1290">IF(COUNTA(Q1290:Q1644)=0,"",SUM((COUNTIF(Q$4:Q1290,Upgrades!$B$3:$B$13)-COUNTIF(Q$4:Q1290,"Sell_"&amp;Upgrades!$B$3:$B$13))*Upgrades!$D$3:$D$13))</f>
        <v/>
      </c>
      <c r="T1290" s="66" t="str">
        <f>IFERROR(__xludf.DUMMYFUNCTION("IF(COUNTA(Q1290:Q1644)=0,"""",IF(REGEXMATCH(INDEX(FILTER(Q$4:Q1290,Q$4:Q1290&lt;&gt;""""),ROWS(FILTER(Q$4:Q1290,Q$4:Q1290&lt;&gt;""""))),""^Sell_""),INDEX(FILTER(T$4:T1289,Q$4:Q1289&lt;&gt;""""),ROWS(FILTER(Q$4:Q1289,Q$4:Q1289&lt;&gt;""""))),$AD$5+S1290))"),"")</f>
        <v/>
      </c>
      <c r="U1290" s="10" t="str">
        <f>IFERROR(__xludf.DUMMYFUNCTION("IF(COUNTA(Q1290:Q1644)=0,"""",IF(Q1290="""",0,IF(REGEXMATCH(Q1290,""^Sell_""),-ROUNDDOWN(ROUNDUP(INDEX(Upgrades!$C$3:$C$13,MATCH(SUBSTITUTE(Q1290,""Sell_"",""""),Upgrades!$B$3:$B$13,0))*1.15^(COUNTIF(Q$4:Q1289,SUBSTITUTE(Q1290,""Sell_"",""""))-COUNTIF(Q$4"&amp;":Q1289,""Sell_""&amp;SUBSTITUTE(Q1290,""Sell_"",""""))))/2),ROUNDUP(INDEX(Upgrades!$C$3:$C$13,MATCH(Q1290,Upgrades!$B$3:$B$13,0))*1.15^(COUNTIF(Q$4:Q1289,Q1290)-COUNTIF(Q$4:Q1289,""Sell_""&amp;Q1290))))))"),"")</f>
        <v/>
      </c>
      <c r="V1290" s="10" t="str">
        <f t="shared" si="11"/>
        <v/>
      </c>
      <c r="W1290" s="68" t="str">
        <f t="shared" si="12"/>
        <v/>
      </c>
      <c r="X1290" s="59" t="str">
        <f t="shared" si="13"/>
        <v/>
      </c>
      <c r="Y1290" s="69" t="str">
        <f t="shared" si="14"/>
        <v/>
      </c>
      <c r="Z1290" s="11"/>
      <c r="AG1290" s="59"/>
    </row>
    <row r="1291">
      <c r="A1291" s="8"/>
      <c r="B1291" s="56" t="str">
        <f t="shared" si="2"/>
        <v/>
      </c>
      <c r="C1291" s="105"/>
      <c r="D1291" s="10"/>
      <c r="E1291" s="59" t="str">
        <f t="array" ref="E1291">IF(COUNTA(C1291:C1644)=0,"",SUM((COUNTIF(C$4:C1291,Upgrades!$B$3:$B$13)-COUNTIF(C$4:C1291,"Sell_"&amp;Upgrades!$B$3:$B$13))*Upgrades!$D$3:$D$13))</f>
        <v/>
      </c>
      <c r="F1291" s="66" t="str">
        <f>IFERROR(__xludf.DUMMYFUNCTION("IF(COUNTA(C1291:C1644)=0,"""",IF(REGEXMATCH(INDEX(FILTER(C$4:C1291,C$4:C1291&lt;&gt;""""),ROWS(FILTER(C$4:C1291,C$4:C1291&lt;&gt;""""))),""^Sell_""),INDEX(FILTER(F$4:F1290,C$4:C1290&lt;&gt;""""),ROWS(FILTER(C$4:C1290,C$4:C1290&lt;&gt;""""))),$AC$5+E1291))"),"")</f>
        <v/>
      </c>
      <c r="G1291" s="10" t="str">
        <f>IFERROR(__xludf.DUMMYFUNCTION("IF(COUNTA(C1291:C1644)=0,"""",IF(C1291="""",0,IF(REGEXMATCH(C1291,""^Sell_""),-ROUNDDOWN(ROUNDUP(INDEX(Upgrades!$C$3:$C$13,MATCH(SUBSTITUTE(C1291,""Sell_"",""""),Upgrades!$B$3:$B$13,0))*1.15^(COUNTIF(C$4:C1290,SUBSTITUTE(C1291,""Sell_"",""""))-COUNTIF(C$4"&amp;":C1290,""Sell_""&amp;SUBSTITUTE(C1291,""Sell_"",""""))))/2),ROUNDUP(INDEX(Upgrades!$C$3:$C$13,MATCH(C1291,Upgrades!$B$3:$B$13,0))*1.15^(COUNTIF(C$4:C1290,C1291)-COUNTIF(C$4:C1290,""Sell_""&amp;C1291))))))"),"")</f>
        <v/>
      </c>
      <c r="H1291" s="10" t="str">
        <f t="shared" si="3"/>
        <v/>
      </c>
      <c r="I1291" s="68" t="str">
        <f t="shared" si="4"/>
        <v/>
      </c>
      <c r="J1291" s="59" t="str">
        <f t="shared" si="5"/>
        <v/>
      </c>
      <c r="K1291" s="69" t="str">
        <f t="shared" si="6"/>
        <v/>
      </c>
      <c r="L1291" s="60" t="str">
        <f t="shared" si="7"/>
        <v/>
      </c>
      <c r="M1291" s="61" t="str">
        <f>IFERROR(__xludf.DUMMYFUNCTION("IFS(AND(COUNTA(C1291:C1644)=0,COUNTA(Q1291:Q1644)=0),"""",OR(AND(K1291&gt;=1000000000,OR(Y1291&gt;=1000000000,COUNTA(Q1291:Q1644)=0)),OR(Y1291&gt;=1000000000,AND(COUNTA(C1291:C1644)=0,P$3=TRUE))),
ROUNDDOWN((AB$1-AC$1)*MAX(INDEX(T$4:T1644,MATCH(LARGE(FILTER(Y$4:Y1"&amp;"644,Y$4:Y1644&lt;1000000000),1),Y$4:Y1644)),INDEX(F$4:F1644,MATCH(LARGE(FILTER(K$4:K1644,K$4:K1644&lt;1000000000),1),K$4:K1644)))),AND(K1291&lt;1000000000,COUNTA(C1291:C1644)&gt;0,P$3=FALSE),
ROUNDDOWN(INDEX(Y$4:Y1644,MATCH(LARGE(FILTER(W$4:W1644,W$4:W1644&lt;=I1291),1)"&amp;",W$4:W1644))+(I1291-LARGE(FILTER(W$4:W1644,W$4:W1644&lt;=I1291),1))*INDEX(T$4:T1644,MATCH(LARGE(FILTER(W$4:W1644,W$4:W1644&lt;=I1291),1),W$4:W1644))-K1291),1,
ROUNDDOWN(Y1291-INDEX(K$4:K1644,MATCH(LARGE(FILTER(I$4:I1644,I$4:I1644&lt;=W1291),1),I$4:I1644))-(W1291-L"&amp;"ARGE(FILTER(I$4:I1644,I$4:I1644&lt;=W1291),1))*INDEX(F$4:F1644,MATCH(LARGE(FILTER(I$4:I1644,I$4:I1644&lt;=W1291),1),I$4:I1644))))"),"")</f>
        <v/>
      </c>
      <c r="N1291" s="60" t="str">
        <f t="shared" si="8"/>
        <v/>
      </c>
      <c r="O1291" s="61" t="str">
        <f t="shared" si="9"/>
        <v/>
      </c>
      <c r="P1291" s="56" t="str">
        <f t="shared" si="10"/>
        <v/>
      </c>
      <c r="Q1291" s="105"/>
      <c r="R1291" s="10"/>
      <c r="S1291" s="59" t="str">
        <f t="array" ref="S1291">IF(COUNTA(Q1291:Q1644)=0,"",SUM((COUNTIF(Q$4:Q1291,Upgrades!$B$3:$B$13)-COUNTIF(Q$4:Q1291,"Sell_"&amp;Upgrades!$B$3:$B$13))*Upgrades!$D$3:$D$13))</f>
        <v/>
      </c>
      <c r="T1291" s="66" t="str">
        <f>IFERROR(__xludf.DUMMYFUNCTION("IF(COUNTA(Q1291:Q1644)=0,"""",IF(REGEXMATCH(INDEX(FILTER(Q$4:Q1291,Q$4:Q1291&lt;&gt;""""),ROWS(FILTER(Q$4:Q1291,Q$4:Q1291&lt;&gt;""""))),""^Sell_""),INDEX(FILTER(T$4:T1290,Q$4:Q1290&lt;&gt;""""),ROWS(FILTER(Q$4:Q1290,Q$4:Q1290&lt;&gt;""""))),$AD$5+S1291))"),"")</f>
        <v/>
      </c>
      <c r="U1291" s="10" t="str">
        <f>IFERROR(__xludf.DUMMYFUNCTION("IF(COUNTA(Q1291:Q1644)=0,"""",IF(Q1291="""",0,IF(REGEXMATCH(Q1291,""^Sell_""),-ROUNDDOWN(ROUNDUP(INDEX(Upgrades!$C$3:$C$13,MATCH(SUBSTITUTE(Q1291,""Sell_"",""""),Upgrades!$B$3:$B$13,0))*1.15^(COUNTIF(Q$4:Q1290,SUBSTITUTE(Q1291,""Sell_"",""""))-COUNTIF(Q$4"&amp;":Q1290,""Sell_""&amp;SUBSTITUTE(Q1291,""Sell_"",""""))))/2),ROUNDUP(INDEX(Upgrades!$C$3:$C$13,MATCH(Q1291,Upgrades!$B$3:$B$13,0))*1.15^(COUNTIF(Q$4:Q1290,Q1291)-COUNTIF(Q$4:Q1290,""Sell_""&amp;Q1291))))))"),"")</f>
        <v/>
      </c>
      <c r="V1291" s="10" t="str">
        <f t="shared" si="11"/>
        <v/>
      </c>
      <c r="W1291" s="68" t="str">
        <f t="shared" si="12"/>
        <v/>
      </c>
      <c r="X1291" s="59" t="str">
        <f t="shared" si="13"/>
        <v/>
      </c>
      <c r="Y1291" s="69" t="str">
        <f t="shared" si="14"/>
        <v/>
      </c>
      <c r="Z1291" s="11"/>
      <c r="AG1291" s="59"/>
    </row>
    <row r="1292">
      <c r="A1292" s="8"/>
      <c r="B1292" s="56" t="str">
        <f t="shared" si="2"/>
        <v/>
      </c>
      <c r="C1292" s="105"/>
      <c r="D1292" s="10"/>
      <c r="E1292" s="59" t="str">
        <f t="array" ref="E1292">IF(COUNTA(C1292:C1644)=0,"",SUM((COUNTIF(C$4:C1292,Upgrades!$B$3:$B$13)-COUNTIF(C$4:C1292,"Sell_"&amp;Upgrades!$B$3:$B$13))*Upgrades!$D$3:$D$13))</f>
        <v/>
      </c>
      <c r="F1292" s="66" t="str">
        <f>IFERROR(__xludf.DUMMYFUNCTION("IF(COUNTA(C1292:C1644)=0,"""",IF(REGEXMATCH(INDEX(FILTER(C$4:C1292,C$4:C1292&lt;&gt;""""),ROWS(FILTER(C$4:C1292,C$4:C1292&lt;&gt;""""))),""^Sell_""),INDEX(FILTER(F$4:F1291,C$4:C1291&lt;&gt;""""),ROWS(FILTER(C$4:C1291,C$4:C1291&lt;&gt;""""))),$AC$5+E1292))"),"")</f>
        <v/>
      </c>
      <c r="G1292" s="10" t="str">
        <f>IFERROR(__xludf.DUMMYFUNCTION("IF(COUNTA(C1292:C1644)=0,"""",IF(C1292="""",0,IF(REGEXMATCH(C1292,""^Sell_""),-ROUNDDOWN(ROUNDUP(INDEX(Upgrades!$C$3:$C$13,MATCH(SUBSTITUTE(C1292,""Sell_"",""""),Upgrades!$B$3:$B$13,0))*1.15^(COUNTIF(C$4:C1291,SUBSTITUTE(C1292,""Sell_"",""""))-COUNTIF(C$4"&amp;":C1291,""Sell_""&amp;SUBSTITUTE(C1292,""Sell_"",""""))))/2),ROUNDUP(INDEX(Upgrades!$C$3:$C$13,MATCH(C1292,Upgrades!$B$3:$B$13,0))*1.15^(COUNTIF(C$4:C1291,C1292)-COUNTIF(C$4:C1291,""Sell_""&amp;C1292))))))"),"")</f>
        <v/>
      </c>
      <c r="H1292" s="10" t="str">
        <f t="shared" si="3"/>
        <v/>
      </c>
      <c r="I1292" s="68" t="str">
        <f t="shared" si="4"/>
        <v/>
      </c>
      <c r="J1292" s="59" t="str">
        <f t="shared" si="5"/>
        <v/>
      </c>
      <c r="K1292" s="69" t="str">
        <f t="shared" si="6"/>
        <v/>
      </c>
      <c r="L1292" s="60" t="str">
        <f t="shared" si="7"/>
        <v/>
      </c>
      <c r="M1292" s="61" t="str">
        <f>IFERROR(__xludf.DUMMYFUNCTION("IFS(AND(COUNTA(C1292:C1644)=0,COUNTA(Q1292:Q1644)=0),"""",OR(AND(K1292&gt;=1000000000,OR(Y1292&gt;=1000000000,COUNTA(Q1292:Q1644)=0)),OR(Y1292&gt;=1000000000,AND(COUNTA(C1292:C1644)=0,P$3=TRUE))),
ROUNDDOWN((AB$1-AC$1)*MAX(INDEX(T$4:T1644,MATCH(LARGE(FILTER(Y$4:Y1"&amp;"644,Y$4:Y1644&lt;1000000000),1),Y$4:Y1644)),INDEX(F$4:F1644,MATCH(LARGE(FILTER(K$4:K1644,K$4:K1644&lt;1000000000),1),K$4:K1644)))),AND(K1292&lt;1000000000,COUNTA(C1292:C1644)&gt;0,P$3=FALSE),
ROUNDDOWN(INDEX(Y$4:Y1644,MATCH(LARGE(FILTER(W$4:W1644,W$4:W1644&lt;=I1292),1)"&amp;",W$4:W1644))+(I1292-LARGE(FILTER(W$4:W1644,W$4:W1644&lt;=I1292),1))*INDEX(T$4:T1644,MATCH(LARGE(FILTER(W$4:W1644,W$4:W1644&lt;=I1292),1),W$4:W1644))-K1292),1,
ROUNDDOWN(Y1292-INDEX(K$4:K1644,MATCH(LARGE(FILTER(I$4:I1644,I$4:I1644&lt;=W1292),1),I$4:I1644))-(W1292-L"&amp;"ARGE(FILTER(I$4:I1644,I$4:I1644&lt;=W1292),1))*INDEX(F$4:F1644,MATCH(LARGE(FILTER(I$4:I1644,I$4:I1644&lt;=W1292),1),I$4:I1644))))"),"")</f>
        <v/>
      </c>
      <c r="N1292" s="60" t="str">
        <f t="shared" si="8"/>
        <v/>
      </c>
      <c r="O1292" s="61" t="str">
        <f t="shared" si="9"/>
        <v/>
      </c>
      <c r="P1292" s="56" t="str">
        <f t="shared" si="10"/>
        <v/>
      </c>
      <c r="Q1292" s="105"/>
      <c r="R1292" s="10"/>
      <c r="S1292" s="59" t="str">
        <f t="array" ref="S1292">IF(COUNTA(Q1292:Q1644)=0,"",SUM((COUNTIF(Q$4:Q1292,Upgrades!$B$3:$B$13)-COUNTIF(Q$4:Q1292,"Sell_"&amp;Upgrades!$B$3:$B$13))*Upgrades!$D$3:$D$13))</f>
        <v/>
      </c>
      <c r="T1292" s="66" t="str">
        <f>IFERROR(__xludf.DUMMYFUNCTION("IF(COUNTA(Q1292:Q1644)=0,"""",IF(REGEXMATCH(INDEX(FILTER(Q$4:Q1292,Q$4:Q1292&lt;&gt;""""),ROWS(FILTER(Q$4:Q1292,Q$4:Q1292&lt;&gt;""""))),""^Sell_""),INDEX(FILTER(T$4:T1291,Q$4:Q1291&lt;&gt;""""),ROWS(FILTER(Q$4:Q1291,Q$4:Q1291&lt;&gt;""""))),$AD$5+S1292))"),"")</f>
        <v/>
      </c>
      <c r="U1292" s="10" t="str">
        <f>IFERROR(__xludf.DUMMYFUNCTION("IF(COUNTA(Q1292:Q1644)=0,"""",IF(Q1292="""",0,IF(REGEXMATCH(Q1292,""^Sell_""),-ROUNDDOWN(ROUNDUP(INDEX(Upgrades!$C$3:$C$13,MATCH(SUBSTITUTE(Q1292,""Sell_"",""""),Upgrades!$B$3:$B$13,0))*1.15^(COUNTIF(Q$4:Q1291,SUBSTITUTE(Q1292,""Sell_"",""""))-COUNTIF(Q$4"&amp;":Q1291,""Sell_""&amp;SUBSTITUTE(Q1292,""Sell_"",""""))))/2),ROUNDUP(INDEX(Upgrades!$C$3:$C$13,MATCH(Q1292,Upgrades!$B$3:$B$13,0))*1.15^(COUNTIF(Q$4:Q1291,Q1292)-COUNTIF(Q$4:Q1291,""Sell_""&amp;Q1292))))))"),"")</f>
        <v/>
      </c>
      <c r="V1292" s="10" t="str">
        <f t="shared" si="11"/>
        <v/>
      </c>
      <c r="W1292" s="68" t="str">
        <f t="shared" si="12"/>
        <v/>
      </c>
      <c r="X1292" s="59" t="str">
        <f t="shared" si="13"/>
        <v/>
      </c>
      <c r="Y1292" s="69" t="str">
        <f t="shared" si="14"/>
        <v/>
      </c>
      <c r="Z1292" s="11"/>
      <c r="AG1292" s="59"/>
    </row>
    <row r="1293">
      <c r="A1293" s="8"/>
      <c r="B1293" s="56" t="str">
        <f t="shared" si="2"/>
        <v/>
      </c>
      <c r="C1293" s="105"/>
      <c r="D1293" s="10"/>
      <c r="E1293" s="59" t="str">
        <f t="array" ref="E1293">IF(COUNTA(C1293:C1644)=0,"",SUM((COUNTIF(C$4:C1293,Upgrades!$B$3:$B$13)-COUNTIF(C$4:C1293,"Sell_"&amp;Upgrades!$B$3:$B$13))*Upgrades!$D$3:$D$13))</f>
        <v/>
      </c>
      <c r="F1293" s="66" t="str">
        <f>IFERROR(__xludf.DUMMYFUNCTION("IF(COUNTA(C1293:C1644)=0,"""",IF(REGEXMATCH(INDEX(FILTER(C$4:C1293,C$4:C1293&lt;&gt;""""),ROWS(FILTER(C$4:C1293,C$4:C1293&lt;&gt;""""))),""^Sell_""),INDEX(FILTER(F$4:F1292,C$4:C1292&lt;&gt;""""),ROWS(FILTER(C$4:C1292,C$4:C1292&lt;&gt;""""))),$AC$5+E1293))"),"")</f>
        <v/>
      </c>
      <c r="G1293" s="10" t="str">
        <f>IFERROR(__xludf.DUMMYFUNCTION("IF(COUNTA(C1293:C1644)=0,"""",IF(C1293="""",0,IF(REGEXMATCH(C1293,""^Sell_""),-ROUNDDOWN(ROUNDUP(INDEX(Upgrades!$C$3:$C$13,MATCH(SUBSTITUTE(C1293,""Sell_"",""""),Upgrades!$B$3:$B$13,0))*1.15^(COUNTIF(C$4:C1292,SUBSTITUTE(C1293,""Sell_"",""""))-COUNTIF(C$4"&amp;":C1292,""Sell_""&amp;SUBSTITUTE(C1293,""Sell_"",""""))))/2),ROUNDUP(INDEX(Upgrades!$C$3:$C$13,MATCH(C1293,Upgrades!$B$3:$B$13,0))*1.15^(COUNTIF(C$4:C1292,C1293)-COUNTIF(C$4:C1292,""Sell_""&amp;C1293))))))"),"")</f>
        <v/>
      </c>
      <c r="H1293" s="10" t="str">
        <f t="shared" si="3"/>
        <v/>
      </c>
      <c r="I1293" s="68" t="str">
        <f t="shared" si="4"/>
        <v/>
      </c>
      <c r="J1293" s="59" t="str">
        <f t="shared" si="5"/>
        <v/>
      </c>
      <c r="K1293" s="69" t="str">
        <f t="shared" si="6"/>
        <v/>
      </c>
      <c r="L1293" s="60" t="str">
        <f t="shared" si="7"/>
        <v/>
      </c>
      <c r="M1293" s="61" t="str">
        <f>IFERROR(__xludf.DUMMYFUNCTION("IFS(AND(COUNTA(C1293:C1644)=0,COUNTA(Q1293:Q1644)=0),"""",OR(AND(K1293&gt;=1000000000,OR(Y1293&gt;=1000000000,COUNTA(Q1293:Q1644)=0)),OR(Y1293&gt;=1000000000,AND(COUNTA(C1293:C1644)=0,P$3=TRUE))),
ROUNDDOWN((AB$1-AC$1)*MAX(INDEX(T$4:T1644,MATCH(LARGE(FILTER(Y$4:Y1"&amp;"644,Y$4:Y1644&lt;1000000000),1),Y$4:Y1644)),INDEX(F$4:F1644,MATCH(LARGE(FILTER(K$4:K1644,K$4:K1644&lt;1000000000),1),K$4:K1644)))),AND(K1293&lt;1000000000,COUNTA(C1293:C1644)&gt;0,P$3=FALSE),
ROUNDDOWN(INDEX(Y$4:Y1644,MATCH(LARGE(FILTER(W$4:W1644,W$4:W1644&lt;=I1293),1)"&amp;",W$4:W1644))+(I1293-LARGE(FILTER(W$4:W1644,W$4:W1644&lt;=I1293),1))*INDEX(T$4:T1644,MATCH(LARGE(FILTER(W$4:W1644,W$4:W1644&lt;=I1293),1),W$4:W1644))-K1293),1,
ROUNDDOWN(Y1293-INDEX(K$4:K1644,MATCH(LARGE(FILTER(I$4:I1644,I$4:I1644&lt;=W1293),1),I$4:I1644))-(W1293-L"&amp;"ARGE(FILTER(I$4:I1644,I$4:I1644&lt;=W1293),1))*INDEX(F$4:F1644,MATCH(LARGE(FILTER(I$4:I1644,I$4:I1644&lt;=W1293),1),I$4:I1644))))"),"")</f>
        <v/>
      </c>
      <c r="N1293" s="60" t="str">
        <f t="shared" si="8"/>
        <v/>
      </c>
      <c r="O1293" s="61" t="str">
        <f t="shared" si="9"/>
        <v/>
      </c>
      <c r="P1293" s="56" t="str">
        <f t="shared" si="10"/>
        <v/>
      </c>
      <c r="Q1293" s="105"/>
      <c r="R1293" s="10"/>
      <c r="S1293" s="59" t="str">
        <f t="array" ref="S1293">IF(COUNTA(Q1293:Q1644)=0,"",SUM((COUNTIF(Q$4:Q1293,Upgrades!$B$3:$B$13)-COUNTIF(Q$4:Q1293,"Sell_"&amp;Upgrades!$B$3:$B$13))*Upgrades!$D$3:$D$13))</f>
        <v/>
      </c>
      <c r="T1293" s="66" t="str">
        <f>IFERROR(__xludf.DUMMYFUNCTION("IF(COUNTA(Q1293:Q1644)=0,"""",IF(REGEXMATCH(INDEX(FILTER(Q$4:Q1293,Q$4:Q1293&lt;&gt;""""),ROWS(FILTER(Q$4:Q1293,Q$4:Q1293&lt;&gt;""""))),""^Sell_""),INDEX(FILTER(T$4:T1292,Q$4:Q1292&lt;&gt;""""),ROWS(FILTER(Q$4:Q1292,Q$4:Q1292&lt;&gt;""""))),$AD$5+S1293))"),"")</f>
        <v/>
      </c>
      <c r="U1293" s="10" t="str">
        <f>IFERROR(__xludf.DUMMYFUNCTION("IF(COUNTA(Q1293:Q1644)=0,"""",IF(Q1293="""",0,IF(REGEXMATCH(Q1293,""^Sell_""),-ROUNDDOWN(ROUNDUP(INDEX(Upgrades!$C$3:$C$13,MATCH(SUBSTITUTE(Q1293,""Sell_"",""""),Upgrades!$B$3:$B$13,0))*1.15^(COUNTIF(Q$4:Q1292,SUBSTITUTE(Q1293,""Sell_"",""""))-COUNTIF(Q$4"&amp;":Q1292,""Sell_""&amp;SUBSTITUTE(Q1293,""Sell_"",""""))))/2),ROUNDUP(INDEX(Upgrades!$C$3:$C$13,MATCH(Q1293,Upgrades!$B$3:$B$13,0))*1.15^(COUNTIF(Q$4:Q1292,Q1293)-COUNTIF(Q$4:Q1292,""Sell_""&amp;Q1293))))))"),"")</f>
        <v/>
      </c>
      <c r="V1293" s="10" t="str">
        <f t="shared" si="11"/>
        <v/>
      </c>
      <c r="W1293" s="68" t="str">
        <f t="shared" si="12"/>
        <v/>
      </c>
      <c r="X1293" s="59" t="str">
        <f t="shared" si="13"/>
        <v/>
      </c>
      <c r="Y1293" s="69" t="str">
        <f t="shared" si="14"/>
        <v/>
      </c>
      <c r="Z1293" s="11"/>
      <c r="AG1293" s="59"/>
    </row>
    <row r="1294">
      <c r="A1294" s="8"/>
      <c r="B1294" s="56" t="str">
        <f t="shared" si="2"/>
        <v/>
      </c>
      <c r="C1294" s="105"/>
      <c r="D1294" s="10"/>
      <c r="E1294" s="59" t="str">
        <f t="array" ref="E1294">IF(COUNTA(C1294:C1644)=0,"",SUM((COUNTIF(C$4:C1294,Upgrades!$B$3:$B$13)-COUNTIF(C$4:C1294,"Sell_"&amp;Upgrades!$B$3:$B$13))*Upgrades!$D$3:$D$13))</f>
        <v/>
      </c>
      <c r="F1294" s="66" t="str">
        <f>IFERROR(__xludf.DUMMYFUNCTION("IF(COUNTA(C1294:C1644)=0,"""",IF(REGEXMATCH(INDEX(FILTER(C$4:C1294,C$4:C1294&lt;&gt;""""),ROWS(FILTER(C$4:C1294,C$4:C1294&lt;&gt;""""))),""^Sell_""),INDEX(FILTER(F$4:F1293,C$4:C1293&lt;&gt;""""),ROWS(FILTER(C$4:C1293,C$4:C1293&lt;&gt;""""))),$AC$5+E1294))"),"")</f>
        <v/>
      </c>
      <c r="G1294" s="10" t="str">
        <f>IFERROR(__xludf.DUMMYFUNCTION("IF(COUNTA(C1294:C1644)=0,"""",IF(C1294="""",0,IF(REGEXMATCH(C1294,""^Sell_""),-ROUNDDOWN(ROUNDUP(INDEX(Upgrades!$C$3:$C$13,MATCH(SUBSTITUTE(C1294,""Sell_"",""""),Upgrades!$B$3:$B$13,0))*1.15^(COUNTIF(C$4:C1293,SUBSTITUTE(C1294,""Sell_"",""""))-COUNTIF(C$4"&amp;":C1293,""Sell_""&amp;SUBSTITUTE(C1294,""Sell_"",""""))))/2),ROUNDUP(INDEX(Upgrades!$C$3:$C$13,MATCH(C1294,Upgrades!$B$3:$B$13,0))*1.15^(COUNTIF(C$4:C1293,C1294)-COUNTIF(C$4:C1293,""Sell_""&amp;C1294))))))"),"")</f>
        <v/>
      </c>
      <c r="H1294" s="10" t="str">
        <f t="shared" si="3"/>
        <v/>
      </c>
      <c r="I1294" s="68" t="str">
        <f t="shared" si="4"/>
        <v/>
      </c>
      <c r="J1294" s="59" t="str">
        <f t="shared" si="5"/>
        <v/>
      </c>
      <c r="K1294" s="69" t="str">
        <f t="shared" si="6"/>
        <v/>
      </c>
      <c r="L1294" s="60" t="str">
        <f t="shared" si="7"/>
        <v/>
      </c>
      <c r="M1294" s="61" t="str">
        <f>IFERROR(__xludf.DUMMYFUNCTION("IFS(AND(COUNTA(C1294:C1644)=0,COUNTA(Q1294:Q1644)=0),"""",OR(AND(K1294&gt;=1000000000,OR(Y1294&gt;=1000000000,COUNTA(Q1294:Q1644)=0)),OR(Y1294&gt;=1000000000,AND(COUNTA(C1294:C1644)=0,P$3=TRUE))),
ROUNDDOWN((AB$1-AC$1)*MAX(INDEX(T$4:T1644,MATCH(LARGE(FILTER(Y$4:Y1"&amp;"644,Y$4:Y1644&lt;1000000000),1),Y$4:Y1644)),INDEX(F$4:F1644,MATCH(LARGE(FILTER(K$4:K1644,K$4:K1644&lt;1000000000),1),K$4:K1644)))),AND(K1294&lt;1000000000,COUNTA(C1294:C1644)&gt;0,P$3=FALSE),
ROUNDDOWN(INDEX(Y$4:Y1644,MATCH(LARGE(FILTER(W$4:W1644,W$4:W1644&lt;=I1294),1)"&amp;",W$4:W1644))+(I1294-LARGE(FILTER(W$4:W1644,W$4:W1644&lt;=I1294),1))*INDEX(T$4:T1644,MATCH(LARGE(FILTER(W$4:W1644,W$4:W1644&lt;=I1294),1),W$4:W1644))-K1294),1,
ROUNDDOWN(Y1294-INDEX(K$4:K1644,MATCH(LARGE(FILTER(I$4:I1644,I$4:I1644&lt;=W1294),1),I$4:I1644))-(W1294-L"&amp;"ARGE(FILTER(I$4:I1644,I$4:I1644&lt;=W1294),1))*INDEX(F$4:F1644,MATCH(LARGE(FILTER(I$4:I1644,I$4:I1644&lt;=W1294),1),I$4:I1644))))"),"")</f>
        <v/>
      </c>
      <c r="N1294" s="60" t="str">
        <f t="shared" si="8"/>
        <v/>
      </c>
      <c r="O1294" s="61" t="str">
        <f t="shared" si="9"/>
        <v/>
      </c>
      <c r="P1294" s="56" t="str">
        <f t="shared" si="10"/>
        <v/>
      </c>
      <c r="Q1294" s="105"/>
      <c r="R1294" s="10"/>
      <c r="S1294" s="59" t="str">
        <f t="array" ref="S1294">IF(COUNTA(Q1294:Q1644)=0,"",SUM((COUNTIF(Q$4:Q1294,Upgrades!$B$3:$B$13)-COUNTIF(Q$4:Q1294,"Sell_"&amp;Upgrades!$B$3:$B$13))*Upgrades!$D$3:$D$13))</f>
        <v/>
      </c>
      <c r="T1294" s="66" t="str">
        <f>IFERROR(__xludf.DUMMYFUNCTION("IF(COUNTA(Q1294:Q1644)=0,"""",IF(REGEXMATCH(INDEX(FILTER(Q$4:Q1294,Q$4:Q1294&lt;&gt;""""),ROWS(FILTER(Q$4:Q1294,Q$4:Q1294&lt;&gt;""""))),""^Sell_""),INDEX(FILTER(T$4:T1293,Q$4:Q1293&lt;&gt;""""),ROWS(FILTER(Q$4:Q1293,Q$4:Q1293&lt;&gt;""""))),$AD$5+S1294))"),"")</f>
        <v/>
      </c>
      <c r="U1294" s="10" t="str">
        <f>IFERROR(__xludf.DUMMYFUNCTION("IF(COUNTA(Q1294:Q1644)=0,"""",IF(Q1294="""",0,IF(REGEXMATCH(Q1294,""^Sell_""),-ROUNDDOWN(ROUNDUP(INDEX(Upgrades!$C$3:$C$13,MATCH(SUBSTITUTE(Q1294,""Sell_"",""""),Upgrades!$B$3:$B$13,0))*1.15^(COUNTIF(Q$4:Q1293,SUBSTITUTE(Q1294,""Sell_"",""""))-COUNTIF(Q$4"&amp;":Q1293,""Sell_""&amp;SUBSTITUTE(Q1294,""Sell_"",""""))))/2),ROUNDUP(INDEX(Upgrades!$C$3:$C$13,MATCH(Q1294,Upgrades!$B$3:$B$13,0))*1.15^(COUNTIF(Q$4:Q1293,Q1294)-COUNTIF(Q$4:Q1293,""Sell_""&amp;Q1294))))))"),"")</f>
        <v/>
      </c>
      <c r="V1294" s="10" t="str">
        <f t="shared" si="11"/>
        <v/>
      </c>
      <c r="W1294" s="68" t="str">
        <f t="shared" si="12"/>
        <v/>
      </c>
      <c r="X1294" s="59" t="str">
        <f t="shared" si="13"/>
        <v/>
      </c>
      <c r="Y1294" s="69" t="str">
        <f t="shared" si="14"/>
        <v/>
      </c>
      <c r="Z1294" s="11"/>
      <c r="AG1294" s="59"/>
    </row>
    <row r="1295">
      <c r="A1295" s="8"/>
      <c r="B1295" s="56" t="str">
        <f t="shared" si="2"/>
        <v/>
      </c>
      <c r="C1295" s="105"/>
      <c r="D1295" s="10"/>
      <c r="E1295" s="59" t="str">
        <f t="array" ref="E1295">IF(COUNTA(C1295:C1644)=0,"",SUM((COUNTIF(C$4:C1295,Upgrades!$B$3:$B$13)-COUNTIF(C$4:C1295,"Sell_"&amp;Upgrades!$B$3:$B$13))*Upgrades!$D$3:$D$13))</f>
        <v/>
      </c>
      <c r="F1295" s="66" t="str">
        <f>IFERROR(__xludf.DUMMYFUNCTION("IF(COUNTA(C1295:C1644)=0,"""",IF(REGEXMATCH(INDEX(FILTER(C$4:C1295,C$4:C1295&lt;&gt;""""),ROWS(FILTER(C$4:C1295,C$4:C1295&lt;&gt;""""))),""^Sell_""),INDEX(FILTER(F$4:F1294,C$4:C1294&lt;&gt;""""),ROWS(FILTER(C$4:C1294,C$4:C1294&lt;&gt;""""))),$AC$5+E1295))"),"")</f>
        <v/>
      </c>
      <c r="G1295" s="10" t="str">
        <f>IFERROR(__xludf.DUMMYFUNCTION("IF(COUNTA(C1295:C1644)=0,"""",IF(C1295="""",0,IF(REGEXMATCH(C1295,""^Sell_""),-ROUNDDOWN(ROUNDUP(INDEX(Upgrades!$C$3:$C$13,MATCH(SUBSTITUTE(C1295,""Sell_"",""""),Upgrades!$B$3:$B$13,0))*1.15^(COUNTIF(C$4:C1294,SUBSTITUTE(C1295,""Sell_"",""""))-COUNTIF(C$4"&amp;":C1294,""Sell_""&amp;SUBSTITUTE(C1295,""Sell_"",""""))))/2),ROUNDUP(INDEX(Upgrades!$C$3:$C$13,MATCH(C1295,Upgrades!$B$3:$B$13,0))*1.15^(COUNTIF(C$4:C1294,C1295)-COUNTIF(C$4:C1294,""Sell_""&amp;C1295))))))"),"")</f>
        <v/>
      </c>
      <c r="H1295" s="10" t="str">
        <f t="shared" si="3"/>
        <v/>
      </c>
      <c r="I1295" s="68" t="str">
        <f t="shared" si="4"/>
        <v/>
      </c>
      <c r="J1295" s="59" t="str">
        <f t="shared" si="5"/>
        <v/>
      </c>
      <c r="K1295" s="69" t="str">
        <f t="shared" si="6"/>
        <v/>
      </c>
      <c r="L1295" s="60" t="str">
        <f t="shared" si="7"/>
        <v/>
      </c>
      <c r="M1295" s="61" t="str">
        <f>IFERROR(__xludf.DUMMYFUNCTION("IFS(AND(COUNTA(C1295:C1644)=0,COUNTA(Q1295:Q1644)=0),"""",OR(AND(K1295&gt;=1000000000,OR(Y1295&gt;=1000000000,COUNTA(Q1295:Q1644)=0)),OR(Y1295&gt;=1000000000,AND(COUNTA(C1295:C1644)=0,P$3=TRUE))),
ROUNDDOWN((AB$1-AC$1)*MAX(INDEX(T$4:T1644,MATCH(LARGE(FILTER(Y$4:Y1"&amp;"644,Y$4:Y1644&lt;1000000000),1),Y$4:Y1644)),INDEX(F$4:F1644,MATCH(LARGE(FILTER(K$4:K1644,K$4:K1644&lt;1000000000),1),K$4:K1644)))),AND(K1295&lt;1000000000,COUNTA(C1295:C1644)&gt;0,P$3=FALSE),
ROUNDDOWN(INDEX(Y$4:Y1644,MATCH(LARGE(FILTER(W$4:W1644,W$4:W1644&lt;=I1295),1)"&amp;",W$4:W1644))+(I1295-LARGE(FILTER(W$4:W1644,W$4:W1644&lt;=I1295),1))*INDEX(T$4:T1644,MATCH(LARGE(FILTER(W$4:W1644,W$4:W1644&lt;=I1295),1),W$4:W1644))-K1295),1,
ROUNDDOWN(Y1295-INDEX(K$4:K1644,MATCH(LARGE(FILTER(I$4:I1644,I$4:I1644&lt;=W1295),1),I$4:I1644))-(W1295-L"&amp;"ARGE(FILTER(I$4:I1644,I$4:I1644&lt;=W1295),1))*INDEX(F$4:F1644,MATCH(LARGE(FILTER(I$4:I1644,I$4:I1644&lt;=W1295),1),I$4:I1644))))"),"")</f>
        <v/>
      </c>
      <c r="N1295" s="60" t="str">
        <f t="shared" si="8"/>
        <v/>
      </c>
      <c r="O1295" s="61" t="str">
        <f t="shared" si="9"/>
        <v/>
      </c>
      <c r="P1295" s="56" t="str">
        <f t="shared" si="10"/>
        <v/>
      </c>
      <c r="Q1295" s="105"/>
      <c r="R1295" s="10"/>
      <c r="S1295" s="59" t="str">
        <f t="array" ref="S1295">IF(COUNTA(Q1295:Q1644)=0,"",SUM((COUNTIF(Q$4:Q1295,Upgrades!$B$3:$B$13)-COUNTIF(Q$4:Q1295,"Sell_"&amp;Upgrades!$B$3:$B$13))*Upgrades!$D$3:$D$13))</f>
        <v/>
      </c>
      <c r="T1295" s="66" t="str">
        <f>IFERROR(__xludf.DUMMYFUNCTION("IF(COUNTA(Q1295:Q1644)=0,"""",IF(REGEXMATCH(INDEX(FILTER(Q$4:Q1295,Q$4:Q1295&lt;&gt;""""),ROWS(FILTER(Q$4:Q1295,Q$4:Q1295&lt;&gt;""""))),""^Sell_""),INDEX(FILTER(T$4:T1294,Q$4:Q1294&lt;&gt;""""),ROWS(FILTER(Q$4:Q1294,Q$4:Q1294&lt;&gt;""""))),$AD$5+S1295))"),"")</f>
        <v/>
      </c>
      <c r="U1295" s="10" t="str">
        <f>IFERROR(__xludf.DUMMYFUNCTION("IF(COUNTA(Q1295:Q1644)=0,"""",IF(Q1295="""",0,IF(REGEXMATCH(Q1295,""^Sell_""),-ROUNDDOWN(ROUNDUP(INDEX(Upgrades!$C$3:$C$13,MATCH(SUBSTITUTE(Q1295,""Sell_"",""""),Upgrades!$B$3:$B$13,0))*1.15^(COUNTIF(Q$4:Q1294,SUBSTITUTE(Q1295,""Sell_"",""""))-COUNTIF(Q$4"&amp;":Q1294,""Sell_""&amp;SUBSTITUTE(Q1295,""Sell_"",""""))))/2),ROUNDUP(INDEX(Upgrades!$C$3:$C$13,MATCH(Q1295,Upgrades!$B$3:$B$13,0))*1.15^(COUNTIF(Q$4:Q1294,Q1295)-COUNTIF(Q$4:Q1294,""Sell_""&amp;Q1295))))))"),"")</f>
        <v/>
      </c>
      <c r="V1295" s="10" t="str">
        <f t="shared" si="11"/>
        <v/>
      </c>
      <c r="W1295" s="68" t="str">
        <f t="shared" si="12"/>
        <v/>
      </c>
      <c r="X1295" s="59" t="str">
        <f t="shared" si="13"/>
        <v/>
      </c>
      <c r="Y1295" s="69" t="str">
        <f t="shared" si="14"/>
        <v/>
      </c>
      <c r="Z1295" s="11"/>
      <c r="AG1295" s="59"/>
    </row>
    <row r="1296">
      <c r="A1296" s="8"/>
      <c r="B1296" s="56" t="str">
        <f t="shared" si="2"/>
        <v/>
      </c>
      <c r="C1296" s="105"/>
      <c r="D1296" s="10"/>
      <c r="E1296" s="59" t="str">
        <f t="array" ref="E1296">IF(COUNTA(C1296:C1644)=0,"",SUM((COUNTIF(C$4:C1296,Upgrades!$B$3:$B$13)-COUNTIF(C$4:C1296,"Sell_"&amp;Upgrades!$B$3:$B$13))*Upgrades!$D$3:$D$13))</f>
        <v/>
      </c>
      <c r="F1296" s="66" t="str">
        <f>IFERROR(__xludf.DUMMYFUNCTION("IF(COUNTA(C1296:C1644)=0,"""",IF(REGEXMATCH(INDEX(FILTER(C$4:C1296,C$4:C1296&lt;&gt;""""),ROWS(FILTER(C$4:C1296,C$4:C1296&lt;&gt;""""))),""^Sell_""),INDEX(FILTER(F$4:F1295,C$4:C1295&lt;&gt;""""),ROWS(FILTER(C$4:C1295,C$4:C1295&lt;&gt;""""))),$AC$5+E1296))"),"")</f>
        <v/>
      </c>
      <c r="G1296" s="10" t="str">
        <f>IFERROR(__xludf.DUMMYFUNCTION("IF(COUNTA(C1296:C1644)=0,"""",IF(C1296="""",0,IF(REGEXMATCH(C1296,""^Sell_""),-ROUNDDOWN(ROUNDUP(INDEX(Upgrades!$C$3:$C$13,MATCH(SUBSTITUTE(C1296,""Sell_"",""""),Upgrades!$B$3:$B$13,0))*1.15^(COUNTIF(C$4:C1295,SUBSTITUTE(C1296,""Sell_"",""""))-COUNTIF(C$4"&amp;":C1295,""Sell_""&amp;SUBSTITUTE(C1296,""Sell_"",""""))))/2),ROUNDUP(INDEX(Upgrades!$C$3:$C$13,MATCH(C1296,Upgrades!$B$3:$B$13,0))*1.15^(COUNTIF(C$4:C1295,C1296)-COUNTIF(C$4:C1295,""Sell_""&amp;C1296))))))"),"")</f>
        <v/>
      </c>
      <c r="H1296" s="10" t="str">
        <f t="shared" si="3"/>
        <v/>
      </c>
      <c r="I1296" s="68" t="str">
        <f t="shared" si="4"/>
        <v/>
      </c>
      <c r="J1296" s="59" t="str">
        <f t="shared" si="5"/>
        <v/>
      </c>
      <c r="K1296" s="69" t="str">
        <f t="shared" si="6"/>
        <v/>
      </c>
      <c r="L1296" s="60" t="str">
        <f t="shared" si="7"/>
        <v/>
      </c>
      <c r="M1296" s="61" t="str">
        <f>IFERROR(__xludf.DUMMYFUNCTION("IFS(AND(COUNTA(C1296:C1644)=0,COUNTA(Q1296:Q1644)=0),"""",OR(AND(K1296&gt;=1000000000,OR(Y1296&gt;=1000000000,COUNTA(Q1296:Q1644)=0)),OR(Y1296&gt;=1000000000,AND(COUNTA(C1296:C1644)=0,P$3=TRUE))),
ROUNDDOWN((AB$1-AC$1)*MAX(INDEX(T$4:T1644,MATCH(LARGE(FILTER(Y$4:Y1"&amp;"644,Y$4:Y1644&lt;1000000000),1),Y$4:Y1644)),INDEX(F$4:F1644,MATCH(LARGE(FILTER(K$4:K1644,K$4:K1644&lt;1000000000),1),K$4:K1644)))),AND(K1296&lt;1000000000,COUNTA(C1296:C1644)&gt;0,P$3=FALSE),
ROUNDDOWN(INDEX(Y$4:Y1644,MATCH(LARGE(FILTER(W$4:W1644,W$4:W1644&lt;=I1296),1)"&amp;",W$4:W1644))+(I1296-LARGE(FILTER(W$4:W1644,W$4:W1644&lt;=I1296),1))*INDEX(T$4:T1644,MATCH(LARGE(FILTER(W$4:W1644,W$4:W1644&lt;=I1296),1),W$4:W1644))-K1296),1,
ROUNDDOWN(Y1296-INDEX(K$4:K1644,MATCH(LARGE(FILTER(I$4:I1644,I$4:I1644&lt;=W1296),1),I$4:I1644))-(W1296-L"&amp;"ARGE(FILTER(I$4:I1644,I$4:I1644&lt;=W1296),1))*INDEX(F$4:F1644,MATCH(LARGE(FILTER(I$4:I1644,I$4:I1644&lt;=W1296),1),I$4:I1644))))"),"")</f>
        <v/>
      </c>
      <c r="N1296" s="60" t="str">
        <f t="shared" si="8"/>
        <v/>
      </c>
      <c r="O1296" s="61" t="str">
        <f t="shared" si="9"/>
        <v/>
      </c>
      <c r="P1296" s="56" t="str">
        <f t="shared" si="10"/>
        <v/>
      </c>
      <c r="Q1296" s="105"/>
      <c r="R1296" s="10"/>
      <c r="S1296" s="59" t="str">
        <f t="array" ref="S1296">IF(COUNTA(Q1296:Q1644)=0,"",SUM((COUNTIF(Q$4:Q1296,Upgrades!$B$3:$B$13)-COUNTIF(Q$4:Q1296,"Sell_"&amp;Upgrades!$B$3:$B$13))*Upgrades!$D$3:$D$13))</f>
        <v/>
      </c>
      <c r="T1296" s="66" t="str">
        <f>IFERROR(__xludf.DUMMYFUNCTION("IF(COUNTA(Q1296:Q1644)=0,"""",IF(REGEXMATCH(INDEX(FILTER(Q$4:Q1296,Q$4:Q1296&lt;&gt;""""),ROWS(FILTER(Q$4:Q1296,Q$4:Q1296&lt;&gt;""""))),""^Sell_""),INDEX(FILTER(T$4:T1295,Q$4:Q1295&lt;&gt;""""),ROWS(FILTER(Q$4:Q1295,Q$4:Q1295&lt;&gt;""""))),$AD$5+S1296))"),"")</f>
        <v/>
      </c>
      <c r="U1296" s="10" t="str">
        <f>IFERROR(__xludf.DUMMYFUNCTION("IF(COUNTA(Q1296:Q1644)=0,"""",IF(Q1296="""",0,IF(REGEXMATCH(Q1296,""^Sell_""),-ROUNDDOWN(ROUNDUP(INDEX(Upgrades!$C$3:$C$13,MATCH(SUBSTITUTE(Q1296,""Sell_"",""""),Upgrades!$B$3:$B$13,0))*1.15^(COUNTIF(Q$4:Q1295,SUBSTITUTE(Q1296,""Sell_"",""""))-COUNTIF(Q$4"&amp;":Q1295,""Sell_""&amp;SUBSTITUTE(Q1296,""Sell_"",""""))))/2),ROUNDUP(INDEX(Upgrades!$C$3:$C$13,MATCH(Q1296,Upgrades!$B$3:$B$13,0))*1.15^(COUNTIF(Q$4:Q1295,Q1296)-COUNTIF(Q$4:Q1295,""Sell_""&amp;Q1296))))))"),"")</f>
        <v/>
      </c>
      <c r="V1296" s="10" t="str">
        <f t="shared" si="11"/>
        <v/>
      </c>
      <c r="W1296" s="68" t="str">
        <f t="shared" si="12"/>
        <v/>
      </c>
      <c r="X1296" s="59" t="str">
        <f t="shared" si="13"/>
        <v/>
      </c>
      <c r="Y1296" s="69" t="str">
        <f t="shared" si="14"/>
        <v/>
      </c>
      <c r="Z1296" s="11"/>
      <c r="AG1296" s="59"/>
    </row>
    <row r="1297">
      <c r="A1297" s="8"/>
      <c r="B1297" s="56" t="str">
        <f t="shared" si="2"/>
        <v/>
      </c>
      <c r="C1297" s="105"/>
      <c r="D1297" s="10"/>
      <c r="E1297" s="59" t="str">
        <f t="array" ref="E1297">IF(COUNTA(C1297:C1644)=0,"",SUM((COUNTIF(C$4:C1297,Upgrades!$B$3:$B$13)-COUNTIF(C$4:C1297,"Sell_"&amp;Upgrades!$B$3:$B$13))*Upgrades!$D$3:$D$13))</f>
        <v/>
      </c>
      <c r="F1297" s="66" t="str">
        <f>IFERROR(__xludf.DUMMYFUNCTION("IF(COUNTA(C1297:C1644)=0,"""",IF(REGEXMATCH(INDEX(FILTER(C$4:C1297,C$4:C1297&lt;&gt;""""),ROWS(FILTER(C$4:C1297,C$4:C1297&lt;&gt;""""))),""^Sell_""),INDEX(FILTER(F$4:F1296,C$4:C1296&lt;&gt;""""),ROWS(FILTER(C$4:C1296,C$4:C1296&lt;&gt;""""))),$AC$5+E1297))"),"")</f>
        <v/>
      </c>
      <c r="G1297" s="10" t="str">
        <f>IFERROR(__xludf.DUMMYFUNCTION("IF(COUNTA(C1297:C1644)=0,"""",IF(C1297="""",0,IF(REGEXMATCH(C1297,""^Sell_""),-ROUNDDOWN(ROUNDUP(INDEX(Upgrades!$C$3:$C$13,MATCH(SUBSTITUTE(C1297,""Sell_"",""""),Upgrades!$B$3:$B$13,0))*1.15^(COUNTIF(C$4:C1296,SUBSTITUTE(C1297,""Sell_"",""""))-COUNTIF(C$4"&amp;":C1296,""Sell_""&amp;SUBSTITUTE(C1297,""Sell_"",""""))))/2),ROUNDUP(INDEX(Upgrades!$C$3:$C$13,MATCH(C1297,Upgrades!$B$3:$B$13,0))*1.15^(COUNTIF(C$4:C1296,C1297)-COUNTIF(C$4:C1296,""Sell_""&amp;C1297))))))"),"")</f>
        <v/>
      </c>
      <c r="H1297" s="10" t="str">
        <f t="shared" si="3"/>
        <v/>
      </c>
      <c r="I1297" s="68" t="str">
        <f t="shared" si="4"/>
        <v/>
      </c>
      <c r="J1297" s="59" t="str">
        <f t="shared" si="5"/>
        <v/>
      </c>
      <c r="K1297" s="69" t="str">
        <f t="shared" si="6"/>
        <v/>
      </c>
      <c r="L1297" s="60" t="str">
        <f t="shared" si="7"/>
        <v/>
      </c>
      <c r="M1297" s="61" t="str">
        <f>IFERROR(__xludf.DUMMYFUNCTION("IFS(AND(COUNTA(C1297:C1644)=0,COUNTA(Q1297:Q1644)=0),"""",OR(AND(K1297&gt;=1000000000,OR(Y1297&gt;=1000000000,COUNTA(Q1297:Q1644)=0)),OR(Y1297&gt;=1000000000,AND(COUNTA(C1297:C1644)=0,P$3=TRUE))),
ROUNDDOWN((AB$1-AC$1)*MAX(INDEX(T$4:T1644,MATCH(LARGE(FILTER(Y$4:Y1"&amp;"644,Y$4:Y1644&lt;1000000000),1),Y$4:Y1644)),INDEX(F$4:F1644,MATCH(LARGE(FILTER(K$4:K1644,K$4:K1644&lt;1000000000),1),K$4:K1644)))),AND(K1297&lt;1000000000,COUNTA(C1297:C1644)&gt;0,P$3=FALSE),
ROUNDDOWN(INDEX(Y$4:Y1644,MATCH(LARGE(FILTER(W$4:W1644,W$4:W1644&lt;=I1297),1)"&amp;",W$4:W1644))+(I1297-LARGE(FILTER(W$4:W1644,W$4:W1644&lt;=I1297),1))*INDEX(T$4:T1644,MATCH(LARGE(FILTER(W$4:W1644,W$4:W1644&lt;=I1297),1),W$4:W1644))-K1297),1,
ROUNDDOWN(Y1297-INDEX(K$4:K1644,MATCH(LARGE(FILTER(I$4:I1644,I$4:I1644&lt;=W1297),1),I$4:I1644))-(W1297-L"&amp;"ARGE(FILTER(I$4:I1644,I$4:I1644&lt;=W1297),1))*INDEX(F$4:F1644,MATCH(LARGE(FILTER(I$4:I1644,I$4:I1644&lt;=W1297),1),I$4:I1644))))"),"")</f>
        <v/>
      </c>
      <c r="N1297" s="60" t="str">
        <f t="shared" si="8"/>
        <v/>
      </c>
      <c r="O1297" s="61" t="str">
        <f t="shared" si="9"/>
        <v/>
      </c>
      <c r="P1297" s="56" t="str">
        <f t="shared" si="10"/>
        <v/>
      </c>
      <c r="Q1297" s="105"/>
      <c r="R1297" s="10"/>
      <c r="S1297" s="59" t="str">
        <f t="array" ref="S1297">IF(COUNTA(Q1297:Q1644)=0,"",SUM((COUNTIF(Q$4:Q1297,Upgrades!$B$3:$B$13)-COUNTIF(Q$4:Q1297,"Sell_"&amp;Upgrades!$B$3:$B$13))*Upgrades!$D$3:$D$13))</f>
        <v/>
      </c>
      <c r="T1297" s="66" t="str">
        <f>IFERROR(__xludf.DUMMYFUNCTION("IF(COUNTA(Q1297:Q1644)=0,"""",IF(REGEXMATCH(INDEX(FILTER(Q$4:Q1297,Q$4:Q1297&lt;&gt;""""),ROWS(FILTER(Q$4:Q1297,Q$4:Q1297&lt;&gt;""""))),""^Sell_""),INDEX(FILTER(T$4:T1296,Q$4:Q1296&lt;&gt;""""),ROWS(FILTER(Q$4:Q1296,Q$4:Q1296&lt;&gt;""""))),$AD$5+S1297))"),"")</f>
        <v/>
      </c>
      <c r="U1297" s="10" t="str">
        <f>IFERROR(__xludf.DUMMYFUNCTION("IF(COUNTA(Q1297:Q1644)=0,"""",IF(Q1297="""",0,IF(REGEXMATCH(Q1297,""^Sell_""),-ROUNDDOWN(ROUNDUP(INDEX(Upgrades!$C$3:$C$13,MATCH(SUBSTITUTE(Q1297,""Sell_"",""""),Upgrades!$B$3:$B$13,0))*1.15^(COUNTIF(Q$4:Q1296,SUBSTITUTE(Q1297,""Sell_"",""""))-COUNTIF(Q$4"&amp;":Q1296,""Sell_""&amp;SUBSTITUTE(Q1297,""Sell_"",""""))))/2),ROUNDUP(INDEX(Upgrades!$C$3:$C$13,MATCH(Q1297,Upgrades!$B$3:$B$13,0))*1.15^(COUNTIF(Q$4:Q1296,Q1297)-COUNTIF(Q$4:Q1296,""Sell_""&amp;Q1297))))))"),"")</f>
        <v/>
      </c>
      <c r="V1297" s="10" t="str">
        <f t="shared" si="11"/>
        <v/>
      </c>
      <c r="W1297" s="68" t="str">
        <f t="shared" si="12"/>
        <v/>
      </c>
      <c r="X1297" s="59" t="str">
        <f t="shared" si="13"/>
        <v/>
      </c>
      <c r="Y1297" s="69" t="str">
        <f t="shared" si="14"/>
        <v/>
      </c>
      <c r="Z1297" s="11"/>
      <c r="AG1297" s="59"/>
    </row>
    <row r="1298">
      <c r="A1298" s="8"/>
      <c r="B1298" s="56" t="str">
        <f t="shared" si="2"/>
        <v/>
      </c>
      <c r="C1298" s="105"/>
      <c r="D1298" s="10"/>
      <c r="E1298" s="59" t="str">
        <f t="array" ref="E1298">IF(COUNTA(C1298:C1644)=0,"",SUM((COUNTIF(C$4:C1298,Upgrades!$B$3:$B$13)-COUNTIF(C$4:C1298,"Sell_"&amp;Upgrades!$B$3:$B$13))*Upgrades!$D$3:$D$13))</f>
        <v/>
      </c>
      <c r="F1298" s="66" t="str">
        <f>IFERROR(__xludf.DUMMYFUNCTION("IF(COUNTA(C1298:C1644)=0,"""",IF(REGEXMATCH(INDEX(FILTER(C$4:C1298,C$4:C1298&lt;&gt;""""),ROWS(FILTER(C$4:C1298,C$4:C1298&lt;&gt;""""))),""^Sell_""),INDEX(FILTER(F$4:F1297,C$4:C1297&lt;&gt;""""),ROWS(FILTER(C$4:C1297,C$4:C1297&lt;&gt;""""))),$AC$5+E1298))"),"")</f>
        <v/>
      </c>
      <c r="G1298" s="10" t="str">
        <f>IFERROR(__xludf.DUMMYFUNCTION("IF(COUNTA(C1298:C1644)=0,"""",IF(C1298="""",0,IF(REGEXMATCH(C1298,""^Sell_""),-ROUNDDOWN(ROUNDUP(INDEX(Upgrades!$C$3:$C$13,MATCH(SUBSTITUTE(C1298,""Sell_"",""""),Upgrades!$B$3:$B$13,0))*1.15^(COUNTIF(C$4:C1297,SUBSTITUTE(C1298,""Sell_"",""""))-COUNTIF(C$4"&amp;":C1297,""Sell_""&amp;SUBSTITUTE(C1298,""Sell_"",""""))))/2),ROUNDUP(INDEX(Upgrades!$C$3:$C$13,MATCH(C1298,Upgrades!$B$3:$B$13,0))*1.15^(COUNTIF(C$4:C1297,C1298)-COUNTIF(C$4:C1297,""Sell_""&amp;C1298))))))"),"")</f>
        <v/>
      </c>
      <c r="H1298" s="10" t="str">
        <f t="shared" si="3"/>
        <v/>
      </c>
      <c r="I1298" s="68" t="str">
        <f t="shared" si="4"/>
        <v/>
      </c>
      <c r="J1298" s="59" t="str">
        <f t="shared" si="5"/>
        <v/>
      </c>
      <c r="K1298" s="69" t="str">
        <f t="shared" si="6"/>
        <v/>
      </c>
      <c r="L1298" s="60" t="str">
        <f t="shared" si="7"/>
        <v/>
      </c>
      <c r="M1298" s="61" t="str">
        <f>IFERROR(__xludf.DUMMYFUNCTION("IFS(AND(COUNTA(C1298:C1644)=0,COUNTA(Q1298:Q1644)=0),"""",OR(AND(K1298&gt;=1000000000,OR(Y1298&gt;=1000000000,COUNTA(Q1298:Q1644)=0)),OR(Y1298&gt;=1000000000,AND(COUNTA(C1298:C1644)=0,P$3=TRUE))),
ROUNDDOWN((AB$1-AC$1)*MAX(INDEX(T$4:T1644,MATCH(LARGE(FILTER(Y$4:Y1"&amp;"644,Y$4:Y1644&lt;1000000000),1),Y$4:Y1644)),INDEX(F$4:F1644,MATCH(LARGE(FILTER(K$4:K1644,K$4:K1644&lt;1000000000),1),K$4:K1644)))),AND(K1298&lt;1000000000,COUNTA(C1298:C1644)&gt;0,P$3=FALSE),
ROUNDDOWN(INDEX(Y$4:Y1644,MATCH(LARGE(FILTER(W$4:W1644,W$4:W1644&lt;=I1298),1)"&amp;",W$4:W1644))+(I1298-LARGE(FILTER(W$4:W1644,W$4:W1644&lt;=I1298),1))*INDEX(T$4:T1644,MATCH(LARGE(FILTER(W$4:W1644,W$4:W1644&lt;=I1298),1),W$4:W1644))-K1298),1,
ROUNDDOWN(Y1298-INDEX(K$4:K1644,MATCH(LARGE(FILTER(I$4:I1644,I$4:I1644&lt;=W1298),1),I$4:I1644))-(W1298-L"&amp;"ARGE(FILTER(I$4:I1644,I$4:I1644&lt;=W1298),1))*INDEX(F$4:F1644,MATCH(LARGE(FILTER(I$4:I1644,I$4:I1644&lt;=W1298),1),I$4:I1644))))"),"")</f>
        <v/>
      </c>
      <c r="N1298" s="60" t="str">
        <f t="shared" si="8"/>
        <v/>
      </c>
      <c r="O1298" s="61" t="str">
        <f t="shared" si="9"/>
        <v/>
      </c>
      <c r="P1298" s="56" t="str">
        <f t="shared" si="10"/>
        <v/>
      </c>
      <c r="Q1298" s="105"/>
      <c r="R1298" s="10"/>
      <c r="S1298" s="59" t="str">
        <f t="array" ref="S1298">IF(COUNTA(Q1298:Q1644)=0,"",SUM((COUNTIF(Q$4:Q1298,Upgrades!$B$3:$B$13)-COUNTIF(Q$4:Q1298,"Sell_"&amp;Upgrades!$B$3:$B$13))*Upgrades!$D$3:$D$13))</f>
        <v/>
      </c>
      <c r="T1298" s="66" t="str">
        <f>IFERROR(__xludf.DUMMYFUNCTION("IF(COUNTA(Q1298:Q1644)=0,"""",IF(REGEXMATCH(INDEX(FILTER(Q$4:Q1298,Q$4:Q1298&lt;&gt;""""),ROWS(FILTER(Q$4:Q1298,Q$4:Q1298&lt;&gt;""""))),""^Sell_""),INDEX(FILTER(T$4:T1297,Q$4:Q1297&lt;&gt;""""),ROWS(FILTER(Q$4:Q1297,Q$4:Q1297&lt;&gt;""""))),$AD$5+S1298))"),"")</f>
        <v/>
      </c>
      <c r="U1298" s="10" t="str">
        <f>IFERROR(__xludf.DUMMYFUNCTION("IF(COUNTA(Q1298:Q1644)=0,"""",IF(Q1298="""",0,IF(REGEXMATCH(Q1298,""^Sell_""),-ROUNDDOWN(ROUNDUP(INDEX(Upgrades!$C$3:$C$13,MATCH(SUBSTITUTE(Q1298,""Sell_"",""""),Upgrades!$B$3:$B$13,0))*1.15^(COUNTIF(Q$4:Q1297,SUBSTITUTE(Q1298,""Sell_"",""""))-COUNTIF(Q$4"&amp;":Q1297,""Sell_""&amp;SUBSTITUTE(Q1298,""Sell_"",""""))))/2),ROUNDUP(INDEX(Upgrades!$C$3:$C$13,MATCH(Q1298,Upgrades!$B$3:$B$13,0))*1.15^(COUNTIF(Q$4:Q1297,Q1298)-COUNTIF(Q$4:Q1297,""Sell_""&amp;Q1298))))))"),"")</f>
        <v/>
      </c>
      <c r="V1298" s="10" t="str">
        <f t="shared" si="11"/>
        <v/>
      </c>
      <c r="W1298" s="68" t="str">
        <f t="shared" si="12"/>
        <v/>
      </c>
      <c r="X1298" s="59" t="str">
        <f t="shared" si="13"/>
        <v/>
      </c>
      <c r="Y1298" s="69" t="str">
        <f t="shared" si="14"/>
        <v/>
      </c>
      <c r="Z1298" s="11"/>
      <c r="AG1298" s="59"/>
    </row>
    <row r="1299">
      <c r="A1299" s="8"/>
      <c r="B1299" s="56" t="str">
        <f t="shared" si="2"/>
        <v/>
      </c>
      <c r="C1299" s="105"/>
      <c r="D1299" s="10"/>
      <c r="E1299" s="59" t="str">
        <f t="array" ref="E1299">IF(COUNTA(C1299:C1644)=0,"",SUM((COUNTIF(C$4:C1299,Upgrades!$B$3:$B$13)-COUNTIF(C$4:C1299,"Sell_"&amp;Upgrades!$B$3:$B$13))*Upgrades!$D$3:$D$13))</f>
        <v/>
      </c>
      <c r="F1299" s="66" t="str">
        <f>IFERROR(__xludf.DUMMYFUNCTION("IF(COUNTA(C1299:C1644)=0,"""",IF(REGEXMATCH(INDEX(FILTER(C$4:C1299,C$4:C1299&lt;&gt;""""),ROWS(FILTER(C$4:C1299,C$4:C1299&lt;&gt;""""))),""^Sell_""),INDEX(FILTER(F$4:F1298,C$4:C1298&lt;&gt;""""),ROWS(FILTER(C$4:C1298,C$4:C1298&lt;&gt;""""))),$AC$5+E1299))"),"")</f>
        <v/>
      </c>
      <c r="G1299" s="10" t="str">
        <f>IFERROR(__xludf.DUMMYFUNCTION("IF(COUNTA(C1299:C1644)=0,"""",IF(C1299="""",0,IF(REGEXMATCH(C1299,""^Sell_""),-ROUNDDOWN(ROUNDUP(INDEX(Upgrades!$C$3:$C$13,MATCH(SUBSTITUTE(C1299,""Sell_"",""""),Upgrades!$B$3:$B$13,0))*1.15^(COUNTIF(C$4:C1298,SUBSTITUTE(C1299,""Sell_"",""""))-COUNTIF(C$4"&amp;":C1298,""Sell_""&amp;SUBSTITUTE(C1299,""Sell_"",""""))))/2),ROUNDUP(INDEX(Upgrades!$C$3:$C$13,MATCH(C1299,Upgrades!$B$3:$B$13,0))*1.15^(COUNTIF(C$4:C1298,C1299)-COUNTIF(C$4:C1298,""Sell_""&amp;C1299))))))"),"")</f>
        <v/>
      </c>
      <c r="H1299" s="10" t="str">
        <f t="shared" si="3"/>
        <v/>
      </c>
      <c r="I1299" s="68" t="str">
        <f t="shared" si="4"/>
        <v/>
      </c>
      <c r="J1299" s="59" t="str">
        <f t="shared" si="5"/>
        <v/>
      </c>
      <c r="K1299" s="69" t="str">
        <f t="shared" si="6"/>
        <v/>
      </c>
      <c r="L1299" s="60" t="str">
        <f t="shared" si="7"/>
        <v/>
      </c>
      <c r="M1299" s="61" t="str">
        <f>IFERROR(__xludf.DUMMYFUNCTION("IFS(AND(COUNTA(C1299:C1644)=0,COUNTA(Q1299:Q1644)=0),"""",OR(AND(K1299&gt;=1000000000,OR(Y1299&gt;=1000000000,COUNTA(Q1299:Q1644)=0)),OR(Y1299&gt;=1000000000,AND(COUNTA(C1299:C1644)=0,P$3=TRUE))),
ROUNDDOWN((AB$1-AC$1)*MAX(INDEX(T$4:T1644,MATCH(LARGE(FILTER(Y$4:Y1"&amp;"644,Y$4:Y1644&lt;1000000000),1),Y$4:Y1644)),INDEX(F$4:F1644,MATCH(LARGE(FILTER(K$4:K1644,K$4:K1644&lt;1000000000),1),K$4:K1644)))),AND(K1299&lt;1000000000,COUNTA(C1299:C1644)&gt;0,P$3=FALSE),
ROUNDDOWN(INDEX(Y$4:Y1644,MATCH(LARGE(FILTER(W$4:W1644,W$4:W1644&lt;=I1299),1)"&amp;",W$4:W1644))+(I1299-LARGE(FILTER(W$4:W1644,W$4:W1644&lt;=I1299),1))*INDEX(T$4:T1644,MATCH(LARGE(FILTER(W$4:W1644,W$4:W1644&lt;=I1299),1),W$4:W1644))-K1299),1,
ROUNDDOWN(Y1299-INDEX(K$4:K1644,MATCH(LARGE(FILTER(I$4:I1644,I$4:I1644&lt;=W1299),1),I$4:I1644))-(W1299-L"&amp;"ARGE(FILTER(I$4:I1644,I$4:I1644&lt;=W1299),1))*INDEX(F$4:F1644,MATCH(LARGE(FILTER(I$4:I1644,I$4:I1644&lt;=W1299),1),I$4:I1644))))"),"")</f>
        <v/>
      </c>
      <c r="N1299" s="60" t="str">
        <f t="shared" si="8"/>
        <v/>
      </c>
      <c r="O1299" s="61" t="str">
        <f t="shared" si="9"/>
        <v/>
      </c>
      <c r="P1299" s="56" t="str">
        <f t="shared" si="10"/>
        <v/>
      </c>
      <c r="Q1299" s="105"/>
      <c r="R1299" s="10"/>
      <c r="S1299" s="59" t="str">
        <f t="array" ref="S1299">IF(COUNTA(Q1299:Q1644)=0,"",SUM((COUNTIF(Q$4:Q1299,Upgrades!$B$3:$B$13)-COUNTIF(Q$4:Q1299,"Sell_"&amp;Upgrades!$B$3:$B$13))*Upgrades!$D$3:$D$13))</f>
        <v/>
      </c>
      <c r="T1299" s="66" t="str">
        <f>IFERROR(__xludf.DUMMYFUNCTION("IF(COUNTA(Q1299:Q1644)=0,"""",IF(REGEXMATCH(INDEX(FILTER(Q$4:Q1299,Q$4:Q1299&lt;&gt;""""),ROWS(FILTER(Q$4:Q1299,Q$4:Q1299&lt;&gt;""""))),""^Sell_""),INDEX(FILTER(T$4:T1298,Q$4:Q1298&lt;&gt;""""),ROWS(FILTER(Q$4:Q1298,Q$4:Q1298&lt;&gt;""""))),$AD$5+S1299))"),"")</f>
        <v/>
      </c>
      <c r="U1299" s="10" t="str">
        <f>IFERROR(__xludf.DUMMYFUNCTION("IF(COUNTA(Q1299:Q1644)=0,"""",IF(Q1299="""",0,IF(REGEXMATCH(Q1299,""^Sell_""),-ROUNDDOWN(ROUNDUP(INDEX(Upgrades!$C$3:$C$13,MATCH(SUBSTITUTE(Q1299,""Sell_"",""""),Upgrades!$B$3:$B$13,0))*1.15^(COUNTIF(Q$4:Q1298,SUBSTITUTE(Q1299,""Sell_"",""""))-COUNTIF(Q$4"&amp;":Q1298,""Sell_""&amp;SUBSTITUTE(Q1299,""Sell_"",""""))))/2),ROUNDUP(INDEX(Upgrades!$C$3:$C$13,MATCH(Q1299,Upgrades!$B$3:$B$13,0))*1.15^(COUNTIF(Q$4:Q1298,Q1299)-COUNTIF(Q$4:Q1298,""Sell_""&amp;Q1299))))))"),"")</f>
        <v/>
      </c>
      <c r="V1299" s="10" t="str">
        <f t="shared" si="11"/>
        <v/>
      </c>
      <c r="W1299" s="68" t="str">
        <f t="shared" si="12"/>
        <v/>
      </c>
      <c r="X1299" s="59" t="str">
        <f t="shared" si="13"/>
        <v/>
      </c>
      <c r="Y1299" s="69" t="str">
        <f t="shared" si="14"/>
        <v/>
      </c>
      <c r="Z1299" s="11"/>
      <c r="AG1299" s="59"/>
    </row>
    <row r="1300">
      <c r="A1300" s="8"/>
      <c r="B1300" s="56" t="str">
        <f t="shared" si="2"/>
        <v/>
      </c>
      <c r="C1300" s="105"/>
      <c r="D1300" s="10"/>
      <c r="E1300" s="59" t="str">
        <f t="array" ref="E1300">IF(COUNTA(C1300:C1644)=0,"",SUM((COUNTIF(C$4:C1300,Upgrades!$B$3:$B$13)-COUNTIF(C$4:C1300,"Sell_"&amp;Upgrades!$B$3:$B$13))*Upgrades!$D$3:$D$13))</f>
        <v/>
      </c>
      <c r="F1300" s="66" t="str">
        <f>IFERROR(__xludf.DUMMYFUNCTION("IF(COUNTA(C1300:C1644)=0,"""",IF(REGEXMATCH(INDEX(FILTER(C$4:C1300,C$4:C1300&lt;&gt;""""),ROWS(FILTER(C$4:C1300,C$4:C1300&lt;&gt;""""))),""^Sell_""),INDEX(FILTER(F$4:F1299,C$4:C1299&lt;&gt;""""),ROWS(FILTER(C$4:C1299,C$4:C1299&lt;&gt;""""))),$AC$5+E1300))"),"")</f>
        <v/>
      </c>
      <c r="G1300" s="10" t="str">
        <f>IFERROR(__xludf.DUMMYFUNCTION("IF(COUNTA(C1300:C1644)=0,"""",IF(C1300="""",0,IF(REGEXMATCH(C1300,""^Sell_""),-ROUNDDOWN(ROUNDUP(INDEX(Upgrades!$C$3:$C$13,MATCH(SUBSTITUTE(C1300,""Sell_"",""""),Upgrades!$B$3:$B$13,0))*1.15^(COUNTIF(C$4:C1299,SUBSTITUTE(C1300,""Sell_"",""""))-COUNTIF(C$4"&amp;":C1299,""Sell_""&amp;SUBSTITUTE(C1300,""Sell_"",""""))))/2),ROUNDUP(INDEX(Upgrades!$C$3:$C$13,MATCH(C1300,Upgrades!$B$3:$B$13,0))*1.15^(COUNTIF(C$4:C1299,C1300)-COUNTIF(C$4:C1299,""Sell_""&amp;C1300))))))"),"")</f>
        <v/>
      </c>
      <c r="H1300" s="10" t="str">
        <f t="shared" si="3"/>
        <v/>
      </c>
      <c r="I1300" s="68" t="str">
        <f t="shared" si="4"/>
        <v/>
      </c>
      <c r="J1300" s="59" t="str">
        <f t="shared" si="5"/>
        <v/>
      </c>
      <c r="K1300" s="69" t="str">
        <f t="shared" si="6"/>
        <v/>
      </c>
      <c r="L1300" s="60" t="str">
        <f t="shared" si="7"/>
        <v/>
      </c>
      <c r="M1300" s="61" t="str">
        <f>IFERROR(__xludf.DUMMYFUNCTION("IFS(AND(COUNTA(C1300:C1644)=0,COUNTA(Q1300:Q1644)=0),"""",OR(AND(K1300&gt;=1000000000,OR(Y1300&gt;=1000000000,COUNTA(Q1300:Q1644)=0)),OR(Y1300&gt;=1000000000,AND(COUNTA(C1300:C1644)=0,P$3=TRUE))),
ROUNDDOWN((AB$1-AC$1)*MAX(INDEX(T$4:T1644,MATCH(LARGE(FILTER(Y$4:Y1"&amp;"644,Y$4:Y1644&lt;1000000000),1),Y$4:Y1644)),INDEX(F$4:F1644,MATCH(LARGE(FILTER(K$4:K1644,K$4:K1644&lt;1000000000),1),K$4:K1644)))),AND(K1300&lt;1000000000,COUNTA(C1300:C1644)&gt;0,P$3=FALSE),
ROUNDDOWN(INDEX(Y$4:Y1644,MATCH(LARGE(FILTER(W$4:W1644,W$4:W1644&lt;=I1300),1)"&amp;",W$4:W1644))+(I1300-LARGE(FILTER(W$4:W1644,W$4:W1644&lt;=I1300),1))*INDEX(T$4:T1644,MATCH(LARGE(FILTER(W$4:W1644,W$4:W1644&lt;=I1300),1),W$4:W1644))-K1300),1,
ROUNDDOWN(Y1300-INDEX(K$4:K1644,MATCH(LARGE(FILTER(I$4:I1644,I$4:I1644&lt;=W1300),1),I$4:I1644))-(W1300-L"&amp;"ARGE(FILTER(I$4:I1644,I$4:I1644&lt;=W1300),1))*INDEX(F$4:F1644,MATCH(LARGE(FILTER(I$4:I1644,I$4:I1644&lt;=W1300),1),I$4:I1644))))"),"")</f>
        <v/>
      </c>
      <c r="N1300" s="60" t="str">
        <f t="shared" si="8"/>
        <v/>
      </c>
      <c r="O1300" s="61" t="str">
        <f t="shared" si="9"/>
        <v/>
      </c>
      <c r="P1300" s="56" t="str">
        <f t="shared" si="10"/>
        <v/>
      </c>
      <c r="Q1300" s="105"/>
      <c r="R1300" s="10"/>
      <c r="S1300" s="59" t="str">
        <f t="array" ref="S1300">IF(COUNTA(Q1300:Q1644)=0,"",SUM((COUNTIF(Q$4:Q1300,Upgrades!$B$3:$B$13)-COUNTIF(Q$4:Q1300,"Sell_"&amp;Upgrades!$B$3:$B$13))*Upgrades!$D$3:$D$13))</f>
        <v/>
      </c>
      <c r="T1300" s="66" t="str">
        <f>IFERROR(__xludf.DUMMYFUNCTION("IF(COUNTA(Q1300:Q1644)=0,"""",IF(REGEXMATCH(INDEX(FILTER(Q$4:Q1300,Q$4:Q1300&lt;&gt;""""),ROWS(FILTER(Q$4:Q1300,Q$4:Q1300&lt;&gt;""""))),""^Sell_""),INDEX(FILTER(T$4:T1299,Q$4:Q1299&lt;&gt;""""),ROWS(FILTER(Q$4:Q1299,Q$4:Q1299&lt;&gt;""""))),$AD$5+S1300))"),"")</f>
        <v/>
      </c>
      <c r="U1300" s="10" t="str">
        <f>IFERROR(__xludf.DUMMYFUNCTION("IF(COUNTA(Q1300:Q1644)=0,"""",IF(Q1300="""",0,IF(REGEXMATCH(Q1300,""^Sell_""),-ROUNDDOWN(ROUNDUP(INDEX(Upgrades!$C$3:$C$13,MATCH(SUBSTITUTE(Q1300,""Sell_"",""""),Upgrades!$B$3:$B$13,0))*1.15^(COUNTIF(Q$4:Q1299,SUBSTITUTE(Q1300,""Sell_"",""""))-COUNTIF(Q$4"&amp;":Q1299,""Sell_""&amp;SUBSTITUTE(Q1300,""Sell_"",""""))))/2),ROUNDUP(INDEX(Upgrades!$C$3:$C$13,MATCH(Q1300,Upgrades!$B$3:$B$13,0))*1.15^(COUNTIF(Q$4:Q1299,Q1300)-COUNTIF(Q$4:Q1299,""Sell_""&amp;Q1300))))))"),"")</f>
        <v/>
      </c>
      <c r="V1300" s="10" t="str">
        <f t="shared" si="11"/>
        <v/>
      </c>
      <c r="W1300" s="68" t="str">
        <f t="shared" si="12"/>
        <v/>
      </c>
      <c r="X1300" s="59" t="str">
        <f t="shared" si="13"/>
        <v/>
      </c>
      <c r="Y1300" s="69" t="str">
        <f t="shared" si="14"/>
        <v/>
      </c>
      <c r="Z1300" s="11"/>
      <c r="AG1300" s="59"/>
    </row>
    <row r="1301">
      <c r="A1301" s="8"/>
      <c r="B1301" s="56" t="str">
        <f t="shared" si="2"/>
        <v/>
      </c>
      <c r="C1301" s="105"/>
      <c r="D1301" s="10"/>
      <c r="E1301" s="59" t="str">
        <f t="array" ref="E1301">IF(COUNTA(C1301:C1644)=0,"",SUM((COUNTIF(C$4:C1301,Upgrades!$B$3:$B$13)-COUNTIF(C$4:C1301,"Sell_"&amp;Upgrades!$B$3:$B$13))*Upgrades!$D$3:$D$13))</f>
        <v/>
      </c>
      <c r="F1301" s="66" t="str">
        <f>IFERROR(__xludf.DUMMYFUNCTION("IF(COUNTA(C1301:C1644)=0,"""",IF(REGEXMATCH(INDEX(FILTER(C$4:C1301,C$4:C1301&lt;&gt;""""),ROWS(FILTER(C$4:C1301,C$4:C1301&lt;&gt;""""))),""^Sell_""),INDEX(FILTER(F$4:F1300,C$4:C1300&lt;&gt;""""),ROWS(FILTER(C$4:C1300,C$4:C1300&lt;&gt;""""))),$AC$5+E1301))"),"")</f>
        <v/>
      </c>
      <c r="G1301" s="10" t="str">
        <f>IFERROR(__xludf.DUMMYFUNCTION("IF(COUNTA(C1301:C1644)=0,"""",IF(C1301="""",0,IF(REGEXMATCH(C1301,""^Sell_""),-ROUNDDOWN(ROUNDUP(INDEX(Upgrades!$C$3:$C$13,MATCH(SUBSTITUTE(C1301,""Sell_"",""""),Upgrades!$B$3:$B$13,0))*1.15^(COUNTIF(C$4:C1300,SUBSTITUTE(C1301,""Sell_"",""""))-COUNTIF(C$4"&amp;":C1300,""Sell_""&amp;SUBSTITUTE(C1301,""Sell_"",""""))))/2),ROUNDUP(INDEX(Upgrades!$C$3:$C$13,MATCH(C1301,Upgrades!$B$3:$B$13,0))*1.15^(COUNTIF(C$4:C1300,C1301)-COUNTIF(C$4:C1300,""Sell_""&amp;C1301))))))"),"")</f>
        <v/>
      </c>
      <c r="H1301" s="10" t="str">
        <f t="shared" si="3"/>
        <v/>
      </c>
      <c r="I1301" s="68" t="str">
        <f t="shared" si="4"/>
        <v/>
      </c>
      <c r="J1301" s="59" t="str">
        <f t="shared" si="5"/>
        <v/>
      </c>
      <c r="K1301" s="69" t="str">
        <f t="shared" si="6"/>
        <v/>
      </c>
      <c r="L1301" s="60" t="str">
        <f t="shared" si="7"/>
        <v/>
      </c>
      <c r="M1301" s="61" t="str">
        <f>IFERROR(__xludf.DUMMYFUNCTION("IFS(AND(COUNTA(C1301:C1644)=0,COUNTA(Q1301:Q1644)=0),"""",OR(AND(K1301&gt;=1000000000,OR(Y1301&gt;=1000000000,COUNTA(Q1301:Q1644)=0)),OR(Y1301&gt;=1000000000,AND(COUNTA(C1301:C1644)=0,P$3=TRUE))),
ROUNDDOWN((AB$1-AC$1)*MAX(INDEX(T$4:T1644,MATCH(LARGE(FILTER(Y$4:Y1"&amp;"644,Y$4:Y1644&lt;1000000000),1),Y$4:Y1644)),INDEX(F$4:F1644,MATCH(LARGE(FILTER(K$4:K1644,K$4:K1644&lt;1000000000),1),K$4:K1644)))),AND(K1301&lt;1000000000,COUNTA(C1301:C1644)&gt;0,P$3=FALSE),
ROUNDDOWN(INDEX(Y$4:Y1644,MATCH(LARGE(FILTER(W$4:W1644,W$4:W1644&lt;=I1301),1)"&amp;",W$4:W1644))+(I1301-LARGE(FILTER(W$4:W1644,W$4:W1644&lt;=I1301),1))*INDEX(T$4:T1644,MATCH(LARGE(FILTER(W$4:W1644,W$4:W1644&lt;=I1301),1),W$4:W1644))-K1301),1,
ROUNDDOWN(Y1301-INDEX(K$4:K1644,MATCH(LARGE(FILTER(I$4:I1644,I$4:I1644&lt;=W1301),1),I$4:I1644))-(W1301-L"&amp;"ARGE(FILTER(I$4:I1644,I$4:I1644&lt;=W1301),1))*INDEX(F$4:F1644,MATCH(LARGE(FILTER(I$4:I1644,I$4:I1644&lt;=W1301),1),I$4:I1644))))"),"")</f>
        <v/>
      </c>
      <c r="N1301" s="60" t="str">
        <f t="shared" si="8"/>
        <v/>
      </c>
      <c r="O1301" s="61" t="str">
        <f t="shared" si="9"/>
        <v/>
      </c>
      <c r="P1301" s="56" t="str">
        <f t="shared" si="10"/>
        <v/>
      </c>
      <c r="Q1301" s="105"/>
      <c r="R1301" s="10"/>
      <c r="S1301" s="59" t="str">
        <f t="array" ref="S1301">IF(COUNTA(Q1301:Q1644)=0,"",SUM((COUNTIF(Q$4:Q1301,Upgrades!$B$3:$B$13)-COUNTIF(Q$4:Q1301,"Sell_"&amp;Upgrades!$B$3:$B$13))*Upgrades!$D$3:$D$13))</f>
        <v/>
      </c>
      <c r="T1301" s="66" t="str">
        <f>IFERROR(__xludf.DUMMYFUNCTION("IF(COUNTA(Q1301:Q1644)=0,"""",IF(REGEXMATCH(INDEX(FILTER(Q$4:Q1301,Q$4:Q1301&lt;&gt;""""),ROWS(FILTER(Q$4:Q1301,Q$4:Q1301&lt;&gt;""""))),""^Sell_""),INDEX(FILTER(T$4:T1300,Q$4:Q1300&lt;&gt;""""),ROWS(FILTER(Q$4:Q1300,Q$4:Q1300&lt;&gt;""""))),$AD$5+S1301))"),"")</f>
        <v/>
      </c>
      <c r="U1301" s="10" t="str">
        <f>IFERROR(__xludf.DUMMYFUNCTION("IF(COUNTA(Q1301:Q1644)=0,"""",IF(Q1301="""",0,IF(REGEXMATCH(Q1301,""^Sell_""),-ROUNDDOWN(ROUNDUP(INDEX(Upgrades!$C$3:$C$13,MATCH(SUBSTITUTE(Q1301,""Sell_"",""""),Upgrades!$B$3:$B$13,0))*1.15^(COUNTIF(Q$4:Q1300,SUBSTITUTE(Q1301,""Sell_"",""""))-COUNTIF(Q$4"&amp;":Q1300,""Sell_""&amp;SUBSTITUTE(Q1301,""Sell_"",""""))))/2),ROUNDUP(INDEX(Upgrades!$C$3:$C$13,MATCH(Q1301,Upgrades!$B$3:$B$13,0))*1.15^(COUNTIF(Q$4:Q1300,Q1301)-COUNTIF(Q$4:Q1300,""Sell_""&amp;Q1301))))))"),"")</f>
        <v/>
      </c>
      <c r="V1301" s="10" t="str">
        <f t="shared" si="11"/>
        <v/>
      </c>
      <c r="W1301" s="68" t="str">
        <f t="shared" si="12"/>
        <v/>
      </c>
      <c r="X1301" s="59" t="str">
        <f t="shared" si="13"/>
        <v/>
      </c>
      <c r="Y1301" s="69" t="str">
        <f t="shared" si="14"/>
        <v/>
      </c>
      <c r="Z1301" s="11"/>
      <c r="AG1301" s="59"/>
    </row>
    <row r="1302">
      <c r="A1302" s="8"/>
      <c r="B1302" s="56" t="str">
        <f t="shared" si="2"/>
        <v/>
      </c>
      <c r="C1302" s="105"/>
      <c r="D1302" s="10"/>
      <c r="E1302" s="59" t="str">
        <f t="array" ref="E1302">IF(COUNTA(C1302:C1644)=0,"",SUM((COUNTIF(C$4:C1302,Upgrades!$B$3:$B$13)-COUNTIF(C$4:C1302,"Sell_"&amp;Upgrades!$B$3:$B$13))*Upgrades!$D$3:$D$13))</f>
        <v/>
      </c>
      <c r="F1302" s="66" t="str">
        <f>IFERROR(__xludf.DUMMYFUNCTION("IF(COUNTA(C1302:C1644)=0,"""",IF(REGEXMATCH(INDEX(FILTER(C$4:C1302,C$4:C1302&lt;&gt;""""),ROWS(FILTER(C$4:C1302,C$4:C1302&lt;&gt;""""))),""^Sell_""),INDEX(FILTER(F$4:F1301,C$4:C1301&lt;&gt;""""),ROWS(FILTER(C$4:C1301,C$4:C1301&lt;&gt;""""))),$AC$5+E1302))"),"")</f>
        <v/>
      </c>
      <c r="G1302" s="10" t="str">
        <f>IFERROR(__xludf.DUMMYFUNCTION("IF(COUNTA(C1302:C1644)=0,"""",IF(C1302="""",0,IF(REGEXMATCH(C1302,""^Sell_""),-ROUNDDOWN(ROUNDUP(INDEX(Upgrades!$C$3:$C$13,MATCH(SUBSTITUTE(C1302,""Sell_"",""""),Upgrades!$B$3:$B$13,0))*1.15^(COUNTIF(C$4:C1301,SUBSTITUTE(C1302,""Sell_"",""""))-COUNTIF(C$4"&amp;":C1301,""Sell_""&amp;SUBSTITUTE(C1302,""Sell_"",""""))))/2),ROUNDUP(INDEX(Upgrades!$C$3:$C$13,MATCH(C1302,Upgrades!$B$3:$B$13,0))*1.15^(COUNTIF(C$4:C1301,C1302)-COUNTIF(C$4:C1301,""Sell_""&amp;C1302))))))"),"")</f>
        <v/>
      </c>
      <c r="H1302" s="10" t="str">
        <f t="shared" si="3"/>
        <v/>
      </c>
      <c r="I1302" s="68" t="str">
        <f t="shared" si="4"/>
        <v/>
      </c>
      <c r="J1302" s="59" t="str">
        <f t="shared" si="5"/>
        <v/>
      </c>
      <c r="K1302" s="69" t="str">
        <f t="shared" si="6"/>
        <v/>
      </c>
      <c r="L1302" s="60" t="str">
        <f t="shared" si="7"/>
        <v/>
      </c>
      <c r="M1302" s="61" t="str">
        <f>IFERROR(__xludf.DUMMYFUNCTION("IFS(AND(COUNTA(C1302:C1644)=0,COUNTA(Q1302:Q1644)=0),"""",OR(AND(K1302&gt;=1000000000,OR(Y1302&gt;=1000000000,COUNTA(Q1302:Q1644)=0)),OR(Y1302&gt;=1000000000,AND(COUNTA(C1302:C1644)=0,P$3=TRUE))),
ROUNDDOWN((AB$1-AC$1)*MAX(INDEX(T$4:T1644,MATCH(LARGE(FILTER(Y$4:Y1"&amp;"644,Y$4:Y1644&lt;1000000000),1),Y$4:Y1644)),INDEX(F$4:F1644,MATCH(LARGE(FILTER(K$4:K1644,K$4:K1644&lt;1000000000),1),K$4:K1644)))),AND(K1302&lt;1000000000,COUNTA(C1302:C1644)&gt;0,P$3=FALSE),
ROUNDDOWN(INDEX(Y$4:Y1644,MATCH(LARGE(FILTER(W$4:W1644,W$4:W1644&lt;=I1302),1)"&amp;",W$4:W1644))+(I1302-LARGE(FILTER(W$4:W1644,W$4:W1644&lt;=I1302),1))*INDEX(T$4:T1644,MATCH(LARGE(FILTER(W$4:W1644,W$4:W1644&lt;=I1302),1),W$4:W1644))-K1302),1,
ROUNDDOWN(Y1302-INDEX(K$4:K1644,MATCH(LARGE(FILTER(I$4:I1644,I$4:I1644&lt;=W1302),1),I$4:I1644))-(W1302-L"&amp;"ARGE(FILTER(I$4:I1644,I$4:I1644&lt;=W1302),1))*INDEX(F$4:F1644,MATCH(LARGE(FILTER(I$4:I1644,I$4:I1644&lt;=W1302),1),I$4:I1644))))"),"")</f>
        <v/>
      </c>
      <c r="N1302" s="60" t="str">
        <f t="shared" si="8"/>
        <v/>
      </c>
      <c r="O1302" s="61" t="str">
        <f t="shared" si="9"/>
        <v/>
      </c>
      <c r="P1302" s="56" t="str">
        <f t="shared" si="10"/>
        <v/>
      </c>
      <c r="Q1302" s="105"/>
      <c r="R1302" s="10"/>
      <c r="S1302" s="59" t="str">
        <f t="array" ref="S1302">IF(COUNTA(Q1302:Q1644)=0,"",SUM((COUNTIF(Q$4:Q1302,Upgrades!$B$3:$B$13)-COUNTIF(Q$4:Q1302,"Sell_"&amp;Upgrades!$B$3:$B$13))*Upgrades!$D$3:$D$13))</f>
        <v/>
      </c>
      <c r="T1302" s="66" t="str">
        <f>IFERROR(__xludf.DUMMYFUNCTION("IF(COUNTA(Q1302:Q1644)=0,"""",IF(REGEXMATCH(INDEX(FILTER(Q$4:Q1302,Q$4:Q1302&lt;&gt;""""),ROWS(FILTER(Q$4:Q1302,Q$4:Q1302&lt;&gt;""""))),""^Sell_""),INDEX(FILTER(T$4:T1301,Q$4:Q1301&lt;&gt;""""),ROWS(FILTER(Q$4:Q1301,Q$4:Q1301&lt;&gt;""""))),$AD$5+S1302))"),"")</f>
        <v/>
      </c>
      <c r="U1302" s="10" t="str">
        <f>IFERROR(__xludf.DUMMYFUNCTION("IF(COUNTA(Q1302:Q1644)=0,"""",IF(Q1302="""",0,IF(REGEXMATCH(Q1302,""^Sell_""),-ROUNDDOWN(ROUNDUP(INDEX(Upgrades!$C$3:$C$13,MATCH(SUBSTITUTE(Q1302,""Sell_"",""""),Upgrades!$B$3:$B$13,0))*1.15^(COUNTIF(Q$4:Q1301,SUBSTITUTE(Q1302,""Sell_"",""""))-COUNTIF(Q$4"&amp;":Q1301,""Sell_""&amp;SUBSTITUTE(Q1302,""Sell_"",""""))))/2),ROUNDUP(INDEX(Upgrades!$C$3:$C$13,MATCH(Q1302,Upgrades!$B$3:$B$13,0))*1.15^(COUNTIF(Q$4:Q1301,Q1302)-COUNTIF(Q$4:Q1301,""Sell_""&amp;Q1302))))))"),"")</f>
        <v/>
      </c>
      <c r="V1302" s="10" t="str">
        <f t="shared" si="11"/>
        <v/>
      </c>
      <c r="W1302" s="68" t="str">
        <f t="shared" si="12"/>
        <v/>
      </c>
      <c r="X1302" s="59" t="str">
        <f t="shared" si="13"/>
        <v/>
      </c>
      <c r="Y1302" s="69" t="str">
        <f t="shared" si="14"/>
        <v/>
      </c>
      <c r="Z1302" s="11"/>
      <c r="AG1302" s="59"/>
    </row>
    <row r="1303">
      <c r="A1303" s="8"/>
      <c r="B1303" s="56" t="str">
        <f t="shared" si="2"/>
        <v/>
      </c>
      <c r="C1303" s="105"/>
      <c r="D1303" s="10"/>
      <c r="E1303" s="59" t="str">
        <f t="array" ref="E1303">IF(COUNTA(C1303:C1644)=0,"",SUM((COUNTIF(C$4:C1303,Upgrades!$B$3:$B$13)-COUNTIF(C$4:C1303,"Sell_"&amp;Upgrades!$B$3:$B$13))*Upgrades!$D$3:$D$13))</f>
        <v/>
      </c>
      <c r="F1303" s="66" t="str">
        <f>IFERROR(__xludf.DUMMYFUNCTION("IF(COUNTA(C1303:C1644)=0,"""",IF(REGEXMATCH(INDEX(FILTER(C$4:C1303,C$4:C1303&lt;&gt;""""),ROWS(FILTER(C$4:C1303,C$4:C1303&lt;&gt;""""))),""^Sell_""),INDEX(FILTER(F$4:F1302,C$4:C1302&lt;&gt;""""),ROWS(FILTER(C$4:C1302,C$4:C1302&lt;&gt;""""))),$AC$5+E1303))"),"")</f>
        <v/>
      </c>
      <c r="G1303" s="10" t="str">
        <f>IFERROR(__xludf.DUMMYFUNCTION("IF(COUNTA(C1303:C1644)=0,"""",IF(C1303="""",0,IF(REGEXMATCH(C1303,""^Sell_""),-ROUNDDOWN(ROUNDUP(INDEX(Upgrades!$C$3:$C$13,MATCH(SUBSTITUTE(C1303,""Sell_"",""""),Upgrades!$B$3:$B$13,0))*1.15^(COUNTIF(C$4:C1302,SUBSTITUTE(C1303,""Sell_"",""""))-COUNTIF(C$4"&amp;":C1302,""Sell_""&amp;SUBSTITUTE(C1303,""Sell_"",""""))))/2),ROUNDUP(INDEX(Upgrades!$C$3:$C$13,MATCH(C1303,Upgrades!$B$3:$B$13,0))*1.15^(COUNTIF(C$4:C1302,C1303)-COUNTIF(C$4:C1302,""Sell_""&amp;C1303))))))"),"")</f>
        <v/>
      </c>
      <c r="H1303" s="10" t="str">
        <f t="shared" si="3"/>
        <v/>
      </c>
      <c r="I1303" s="68" t="str">
        <f t="shared" si="4"/>
        <v/>
      </c>
      <c r="J1303" s="59" t="str">
        <f t="shared" si="5"/>
        <v/>
      </c>
      <c r="K1303" s="69" t="str">
        <f t="shared" si="6"/>
        <v/>
      </c>
      <c r="L1303" s="60" t="str">
        <f t="shared" si="7"/>
        <v/>
      </c>
      <c r="M1303" s="61" t="str">
        <f>IFERROR(__xludf.DUMMYFUNCTION("IFS(AND(COUNTA(C1303:C1644)=0,COUNTA(Q1303:Q1644)=0),"""",OR(AND(K1303&gt;=1000000000,OR(Y1303&gt;=1000000000,COUNTA(Q1303:Q1644)=0)),OR(Y1303&gt;=1000000000,AND(COUNTA(C1303:C1644)=0,P$3=TRUE))),
ROUNDDOWN((AB$1-AC$1)*MAX(INDEX(T$4:T1644,MATCH(LARGE(FILTER(Y$4:Y1"&amp;"644,Y$4:Y1644&lt;1000000000),1),Y$4:Y1644)),INDEX(F$4:F1644,MATCH(LARGE(FILTER(K$4:K1644,K$4:K1644&lt;1000000000),1),K$4:K1644)))),AND(K1303&lt;1000000000,COUNTA(C1303:C1644)&gt;0,P$3=FALSE),
ROUNDDOWN(INDEX(Y$4:Y1644,MATCH(LARGE(FILTER(W$4:W1644,W$4:W1644&lt;=I1303),1)"&amp;",W$4:W1644))+(I1303-LARGE(FILTER(W$4:W1644,W$4:W1644&lt;=I1303),1))*INDEX(T$4:T1644,MATCH(LARGE(FILTER(W$4:W1644,W$4:W1644&lt;=I1303),1),W$4:W1644))-K1303),1,
ROUNDDOWN(Y1303-INDEX(K$4:K1644,MATCH(LARGE(FILTER(I$4:I1644,I$4:I1644&lt;=W1303),1),I$4:I1644))-(W1303-L"&amp;"ARGE(FILTER(I$4:I1644,I$4:I1644&lt;=W1303),1))*INDEX(F$4:F1644,MATCH(LARGE(FILTER(I$4:I1644,I$4:I1644&lt;=W1303),1),I$4:I1644))))"),"")</f>
        <v/>
      </c>
      <c r="N1303" s="60" t="str">
        <f t="shared" si="8"/>
        <v/>
      </c>
      <c r="O1303" s="61" t="str">
        <f t="shared" si="9"/>
        <v/>
      </c>
      <c r="P1303" s="56" t="str">
        <f t="shared" si="10"/>
        <v/>
      </c>
      <c r="Q1303" s="105"/>
      <c r="R1303" s="10"/>
      <c r="S1303" s="59" t="str">
        <f t="array" ref="S1303">IF(COUNTA(Q1303:Q1644)=0,"",SUM((COUNTIF(Q$4:Q1303,Upgrades!$B$3:$B$13)-COUNTIF(Q$4:Q1303,"Sell_"&amp;Upgrades!$B$3:$B$13))*Upgrades!$D$3:$D$13))</f>
        <v/>
      </c>
      <c r="T1303" s="66" t="str">
        <f>IFERROR(__xludf.DUMMYFUNCTION("IF(COUNTA(Q1303:Q1644)=0,"""",IF(REGEXMATCH(INDEX(FILTER(Q$4:Q1303,Q$4:Q1303&lt;&gt;""""),ROWS(FILTER(Q$4:Q1303,Q$4:Q1303&lt;&gt;""""))),""^Sell_""),INDEX(FILTER(T$4:T1302,Q$4:Q1302&lt;&gt;""""),ROWS(FILTER(Q$4:Q1302,Q$4:Q1302&lt;&gt;""""))),$AD$5+S1303))"),"")</f>
        <v/>
      </c>
      <c r="U1303" s="10" t="str">
        <f>IFERROR(__xludf.DUMMYFUNCTION("IF(COUNTA(Q1303:Q1644)=0,"""",IF(Q1303="""",0,IF(REGEXMATCH(Q1303,""^Sell_""),-ROUNDDOWN(ROUNDUP(INDEX(Upgrades!$C$3:$C$13,MATCH(SUBSTITUTE(Q1303,""Sell_"",""""),Upgrades!$B$3:$B$13,0))*1.15^(COUNTIF(Q$4:Q1302,SUBSTITUTE(Q1303,""Sell_"",""""))-COUNTIF(Q$4"&amp;":Q1302,""Sell_""&amp;SUBSTITUTE(Q1303,""Sell_"",""""))))/2),ROUNDUP(INDEX(Upgrades!$C$3:$C$13,MATCH(Q1303,Upgrades!$B$3:$B$13,0))*1.15^(COUNTIF(Q$4:Q1302,Q1303)-COUNTIF(Q$4:Q1302,""Sell_""&amp;Q1303))))))"),"")</f>
        <v/>
      </c>
      <c r="V1303" s="10" t="str">
        <f t="shared" si="11"/>
        <v/>
      </c>
      <c r="W1303" s="68" t="str">
        <f t="shared" si="12"/>
        <v/>
      </c>
      <c r="X1303" s="59" t="str">
        <f t="shared" si="13"/>
        <v/>
      </c>
      <c r="Y1303" s="69" t="str">
        <f t="shared" si="14"/>
        <v/>
      </c>
      <c r="Z1303" s="11"/>
      <c r="AG1303" s="59"/>
    </row>
    <row r="1304">
      <c r="A1304" s="8"/>
      <c r="B1304" s="56" t="str">
        <f t="shared" si="2"/>
        <v/>
      </c>
      <c r="C1304" s="105"/>
      <c r="D1304" s="10"/>
      <c r="E1304" s="59" t="str">
        <f t="array" ref="E1304">IF(COUNTA(C1304:C1644)=0,"",SUM((COUNTIF(C$4:C1304,Upgrades!$B$3:$B$13)-COUNTIF(C$4:C1304,"Sell_"&amp;Upgrades!$B$3:$B$13))*Upgrades!$D$3:$D$13))</f>
        <v/>
      </c>
      <c r="F1304" s="66" t="str">
        <f>IFERROR(__xludf.DUMMYFUNCTION("IF(COUNTA(C1304:C1644)=0,"""",IF(REGEXMATCH(INDEX(FILTER(C$4:C1304,C$4:C1304&lt;&gt;""""),ROWS(FILTER(C$4:C1304,C$4:C1304&lt;&gt;""""))),""^Sell_""),INDEX(FILTER(F$4:F1303,C$4:C1303&lt;&gt;""""),ROWS(FILTER(C$4:C1303,C$4:C1303&lt;&gt;""""))),$AC$5+E1304))"),"")</f>
        <v/>
      </c>
      <c r="G1304" s="10" t="str">
        <f>IFERROR(__xludf.DUMMYFUNCTION("IF(COUNTA(C1304:C1644)=0,"""",IF(C1304="""",0,IF(REGEXMATCH(C1304,""^Sell_""),-ROUNDDOWN(ROUNDUP(INDEX(Upgrades!$C$3:$C$13,MATCH(SUBSTITUTE(C1304,""Sell_"",""""),Upgrades!$B$3:$B$13,0))*1.15^(COUNTIF(C$4:C1303,SUBSTITUTE(C1304,""Sell_"",""""))-COUNTIF(C$4"&amp;":C1303,""Sell_""&amp;SUBSTITUTE(C1304,""Sell_"",""""))))/2),ROUNDUP(INDEX(Upgrades!$C$3:$C$13,MATCH(C1304,Upgrades!$B$3:$B$13,0))*1.15^(COUNTIF(C$4:C1303,C1304)-COUNTIF(C$4:C1303,""Sell_""&amp;C1304))))))"),"")</f>
        <v/>
      </c>
      <c r="H1304" s="10" t="str">
        <f t="shared" si="3"/>
        <v/>
      </c>
      <c r="I1304" s="68" t="str">
        <f t="shared" si="4"/>
        <v/>
      </c>
      <c r="J1304" s="59" t="str">
        <f t="shared" si="5"/>
        <v/>
      </c>
      <c r="K1304" s="69" t="str">
        <f t="shared" si="6"/>
        <v/>
      </c>
      <c r="L1304" s="60" t="str">
        <f t="shared" si="7"/>
        <v/>
      </c>
      <c r="M1304" s="61" t="str">
        <f>IFERROR(__xludf.DUMMYFUNCTION("IFS(AND(COUNTA(C1304:C1644)=0,COUNTA(Q1304:Q1644)=0),"""",OR(AND(K1304&gt;=1000000000,OR(Y1304&gt;=1000000000,COUNTA(Q1304:Q1644)=0)),OR(Y1304&gt;=1000000000,AND(COUNTA(C1304:C1644)=0,P$3=TRUE))),
ROUNDDOWN((AB$1-AC$1)*MAX(INDEX(T$4:T1644,MATCH(LARGE(FILTER(Y$4:Y1"&amp;"644,Y$4:Y1644&lt;1000000000),1),Y$4:Y1644)),INDEX(F$4:F1644,MATCH(LARGE(FILTER(K$4:K1644,K$4:K1644&lt;1000000000),1),K$4:K1644)))),AND(K1304&lt;1000000000,COUNTA(C1304:C1644)&gt;0,P$3=FALSE),
ROUNDDOWN(INDEX(Y$4:Y1644,MATCH(LARGE(FILTER(W$4:W1644,W$4:W1644&lt;=I1304),1)"&amp;",W$4:W1644))+(I1304-LARGE(FILTER(W$4:W1644,W$4:W1644&lt;=I1304),1))*INDEX(T$4:T1644,MATCH(LARGE(FILTER(W$4:W1644,W$4:W1644&lt;=I1304),1),W$4:W1644))-K1304),1,
ROUNDDOWN(Y1304-INDEX(K$4:K1644,MATCH(LARGE(FILTER(I$4:I1644,I$4:I1644&lt;=W1304),1),I$4:I1644))-(W1304-L"&amp;"ARGE(FILTER(I$4:I1644,I$4:I1644&lt;=W1304),1))*INDEX(F$4:F1644,MATCH(LARGE(FILTER(I$4:I1644,I$4:I1644&lt;=W1304),1),I$4:I1644))))"),"")</f>
        <v/>
      </c>
      <c r="N1304" s="60" t="str">
        <f t="shared" si="8"/>
        <v/>
      </c>
      <c r="O1304" s="61" t="str">
        <f t="shared" si="9"/>
        <v/>
      </c>
      <c r="P1304" s="56" t="str">
        <f t="shared" si="10"/>
        <v/>
      </c>
      <c r="Q1304" s="105"/>
      <c r="R1304" s="10"/>
      <c r="S1304" s="59" t="str">
        <f t="array" ref="S1304">IF(COUNTA(Q1304:Q1644)=0,"",SUM((COUNTIF(Q$4:Q1304,Upgrades!$B$3:$B$13)-COUNTIF(Q$4:Q1304,"Sell_"&amp;Upgrades!$B$3:$B$13))*Upgrades!$D$3:$D$13))</f>
        <v/>
      </c>
      <c r="T1304" s="66" t="str">
        <f>IFERROR(__xludf.DUMMYFUNCTION("IF(COUNTA(Q1304:Q1644)=0,"""",IF(REGEXMATCH(INDEX(FILTER(Q$4:Q1304,Q$4:Q1304&lt;&gt;""""),ROWS(FILTER(Q$4:Q1304,Q$4:Q1304&lt;&gt;""""))),""^Sell_""),INDEX(FILTER(T$4:T1303,Q$4:Q1303&lt;&gt;""""),ROWS(FILTER(Q$4:Q1303,Q$4:Q1303&lt;&gt;""""))),$AD$5+S1304))"),"")</f>
        <v/>
      </c>
      <c r="U1304" s="10" t="str">
        <f>IFERROR(__xludf.DUMMYFUNCTION("IF(COUNTA(Q1304:Q1644)=0,"""",IF(Q1304="""",0,IF(REGEXMATCH(Q1304,""^Sell_""),-ROUNDDOWN(ROUNDUP(INDEX(Upgrades!$C$3:$C$13,MATCH(SUBSTITUTE(Q1304,""Sell_"",""""),Upgrades!$B$3:$B$13,0))*1.15^(COUNTIF(Q$4:Q1303,SUBSTITUTE(Q1304,""Sell_"",""""))-COUNTIF(Q$4"&amp;":Q1303,""Sell_""&amp;SUBSTITUTE(Q1304,""Sell_"",""""))))/2),ROUNDUP(INDEX(Upgrades!$C$3:$C$13,MATCH(Q1304,Upgrades!$B$3:$B$13,0))*1.15^(COUNTIF(Q$4:Q1303,Q1304)-COUNTIF(Q$4:Q1303,""Sell_""&amp;Q1304))))))"),"")</f>
        <v/>
      </c>
      <c r="V1304" s="10" t="str">
        <f t="shared" si="11"/>
        <v/>
      </c>
      <c r="W1304" s="68" t="str">
        <f t="shared" si="12"/>
        <v/>
      </c>
      <c r="X1304" s="59" t="str">
        <f t="shared" si="13"/>
        <v/>
      </c>
      <c r="Y1304" s="69" t="str">
        <f t="shared" si="14"/>
        <v/>
      </c>
      <c r="Z1304" s="11"/>
      <c r="AG1304" s="59"/>
    </row>
    <row r="1305">
      <c r="A1305" s="8"/>
      <c r="B1305" s="56" t="str">
        <f t="shared" si="2"/>
        <v/>
      </c>
      <c r="C1305" s="105"/>
      <c r="D1305" s="10"/>
      <c r="E1305" s="59" t="str">
        <f t="array" ref="E1305">IF(COUNTA(C1305:C1644)=0,"",SUM((COUNTIF(C$4:C1305,Upgrades!$B$3:$B$13)-COUNTIF(C$4:C1305,"Sell_"&amp;Upgrades!$B$3:$B$13))*Upgrades!$D$3:$D$13))</f>
        <v/>
      </c>
      <c r="F1305" s="66" t="str">
        <f>IFERROR(__xludf.DUMMYFUNCTION("IF(COUNTA(C1305:C1644)=0,"""",IF(REGEXMATCH(INDEX(FILTER(C$4:C1305,C$4:C1305&lt;&gt;""""),ROWS(FILTER(C$4:C1305,C$4:C1305&lt;&gt;""""))),""^Sell_""),INDEX(FILTER(F$4:F1304,C$4:C1304&lt;&gt;""""),ROWS(FILTER(C$4:C1304,C$4:C1304&lt;&gt;""""))),$AC$5+E1305))"),"")</f>
        <v/>
      </c>
      <c r="G1305" s="10" t="str">
        <f>IFERROR(__xludf.DUMMYFUNCTION("IF(COUNTA(C1305:C1644)=0,"""",IF(C1305="""",0,IF(REGEXMATCH(C1305,""^Sell_""),-ROUNDDOWN(ROUNDUP(INDEX(Upgrades!$C$3:$C$13,MATCH(SUBSTITUTE(C1305,""Sell_"",""""),Upgrades!$B$3:$B$13,0))*1.15^(COUNTIF(C$4:C1304,SUBSTITUTE(C1305,""Sell_"",""""))-COUNTIF(C$4"&amp;":C1304,""Sell_""&amp;SUBSTITUTE(C1305,""Sell_"",""""))))/2),ROUNDUP(INDEX(Upgrades!$C$3:$C$13,MATCH(C1305,Upgrades!$B$3:$B$13,0))*1.15^(COUNTIF(C$4:C1304,C1305)-COUNTIF(C$4:C1304,""Sell_""&amp;C1305))))))"),"")</f>
        <v/>
      </c>
      <c r="H1305" s="10" t="str">
        <f t="shared" si="3"/>
        <v/>
      </c>
      <c r="I1305" s="68" t="str">
        <f t="shared" si="4"/>
        <v/>
      </c>
      <c r="J1305" s="59" t="str">
        <f t="shared" si="5"/>
        <v/>
      </c>
      <c r="K1305" s="69" t="str">
        <f t="shared" si="6"/>
        <v/>
      </c>
      <c r="L1305" s="60" t="str">
        <f t="shared" si="7"/>
        <v/>
      </c>
      <c r="M1305" s="61" t="str">
        <f>IFERROR(__xludf.DUMMYFUNCTION("IFS(AND(COUNTA(C1305:C1644)=0,COUNTA(Q1305:Q1644)=0),"""",OR(AND(K1305&gt;=1000000000,OR(Y1305&gt;=1000000000,COUNTA(Q1305:Q1644)=0)),OR(Y1305&gt;=1000000000,AND(COUNTA(C1305:C1644)=0,P$3=TRUE))),
ROUNDDOWN((AB$1-AC$1)*MAX(INDEX(T$4:T1644,MATCH(LARGE(FILTER(Y$4:Y1"&amp;"644,Y$4:Y1644&lt;1000000000),1),Y$4:Y1644)),INDEX(F$4:F1644,MATCH(LARGE(FILTER(K$4:K1644,K$4:K1644&lt;1000000000),1),K$4:K1644)))),AND(K1305&lt;1000000000,COUNTA(C1305:C1644)&gt;0,P$3=FALSE),
ROUNDDOWN(INDEX(Y$4:Y1644,MATCH(LARGE(FILTER(W$4:W1644,W$4:W1644&lt;=I1305),1)"&amp;",W$4:W1644))+(I1305-LARGE(FILTER(W$4:W1644,W$4:W1644&lt;=I1305),1))*INDEX(T$4:T1644,MATCH(LARGE(FILTER(W$4:W1644,W$4:W1644&lt;=I1305),1),W$4:W1644))-K1305),1,
ROUNDDOWN(Y1305-INDEX(K$4:K1644,MATCH(LARGE(FILTER(I$4:I1644,I$4:I1644&lt;=W1305),1),I$4:I1644))-(W1305-L"&amp;"ARGE(FILTER(I$4:I1644,I$4:I1644&lt;=W1305),1))*INDEX(F$4:F1644,MATCH(LARGE(FILTER(I$4:I1644,I$4:I1644&lt;=W1305),1),I$4:I1644))))"),"")</f>
        <v/>
      </c>
      <c r="N1305" s="60" t="str">
        <f t="shared" si="8"/>
        <v/>
      </c>
      <c r="O1305" s="61" t="str">
        <f t="shared" si="9"/>
        <v/>
      </c>
      <c r="P1305" s="56" t="str">
        <f t="shared" si="10"/>
        <v/>
      </c>
      <c r="Q1305" s="105"/>
      <c r="R1305" s="10"/>
      <c r="S1305" s="59" t="str">
        <f t="array" ref="S1305">IF(COUNTA(Q1305:Q1644)=0,"",SUM((COUNTIF(Q$4:Q1305,Upgrades!$B$3:$B$13)-COUNTIF(Q$4:Q1305,"Sell_"&amp;Upgrades!$B$3:$B$13))*Upgrades!$D$3:$D$13))</f>
        <v/>
      </c>
      <c r="T1305" s="66" t="str">
        <f>IFERROR(__xludf.DUMMYFUNCTION("IF(COUNTA(Q1305:Q1644)=0,"""",IF(REGEXMATCH(INDEX(FILTER(Q$4:Q1305,Q$4:Q1305&lt;&gt;""""),ROWS(FILTER(Q$4:Q1305,Q$4:Q1305&lt;&gt;""""))),""^Sell_""),INDEX(FILTER(T$4:T1304,Q$4:Q1304&lt;&gt;""""),ROWS(FILTER(Q$4:Q1304,Q$4:Q1304&lt;&gt;""""))),$AD$5+S1305))"),"")</f>
        <v/>
      </c>
      <c r="U1305" s="10" t="str">
        <f>IFERROR(__xludf.DUMMYFUNCTION("IF(COUNTA(Q1305:Q1644)=0,"""",IF(Q1305="""",0,IF(REGEXMATCH(Q1305,""^Sell_""),-ROUNDDOWN(ROUNDUP(INDEX(Upgrades!$C$3:$C$13,MATCH(SUBSTITUTE(Q1305,""Sell_"",""""),Upgrades!$B$3:$B$13,0))*1.15^(COUNTIF(Q$4:Q1304,SUBSTITUTE(Q1305,""Sell_"",""""))-COUNTIF(Q$4"&amp;":Q1304,""Sell_""&amp;SUBSTITUTE(Q1305,""Sell_"",""""))))/2),ROUNDUP(INDEX(Upgrades!$C$3:$C$13,MATCH(Q1305,Upgrades!$B$3:$B$13,0))*1.15^(COUNTIF(Q$4:Q1304,Q1305)-COUNTIF(Q$4:Q1304,""Sell_""&amp;Q1305))))))"),"")</f>
        <v/>
      </c>
      <c r="V1305" s="10" t="str">
        <f t="shared" si="11"/>
        <v/>
      </c>
      <c r="W1305" s="68" t="str">
        <f t="shared" si="12"/>
        <v/>
      </c>
      <c r="X1305" s="59" t="str">
        <f t="shared" si="13"/>
        <v/>
      </c>
      <c r="Y1305" s="69" t="str">
        <f t="shared" si="14"/>
        <v/>
      </c>
      <c r="Z1305" s="11"/>
      <c r="AG1305" s="59"/>
    </row>
    <row r="1306">
      <c r="A1306" s="8"/>
      <c r="B1306" s="56" t="str">
        <f t="shared" si="2"/>
        <v/>
      </c>
      <c r="C1306" s="105"/>
      <c r="D1306" s="10"/>
      <c r="E1306" s="59" t="str">
        <f t="array" ref="E1306">IF(COUNTA(C1306:C1644)=0,"",SUM((COUNTIF(C$4:C1306,Upgrades!$B$3:$B$13)-COUNTIF(C$4:C1306,"Sell_"&amp;Upgrades!$B$3:$B$13))*Upgrades!$D$3:$D$13))</f>
        <v/>
      </c>
      <c r="F1306" s="66" t="str">
        <f>IFERROR(__xludf.DUMMYFUNCTION("IF(COUNTA(C1306:C1644)=0,"""",IF(REGEXMATCH(INDEX(FILTER(C$4:C1306,C$4:C1306&lt;&gt;""""),ROWS(FILTER(C$4:C1306,C$4:C1306&lt;&gt;""""))),""^Sell_""),INDEX(FILTER(F$4:F1305,C$4:C1305&lt;&gt;""""),ROWS(FILTER(C$4:C1305,C$4:C1305&lt;&gt;""""))),$AC$5+E1306))"),"")</f>
        <v/>
      </c>
      <c r="G1306" s="10" t="str">
        <f>IFERROR(__xludf.DUMMYFUNCTION("IF(COUNTA(C1306:C1644)=0,"""",IF(C1306="""",0,IF(REGEXMATCH(C1306,""^Sell_""),-ROUNDDOWN(ROUNDUP(INDEX(Upgrades!$C$3:$C$13,MATCH(SUBSTITUTE(C1306,""Sell_"",""""),Upgrades!$B$3:$B$13,0))*1.15^(COUNTIF(C$4:C1305,SUBSTITUTE(C1306,""Sell_"",""""))-COUNTIF(C$4"&amp;":C1305,""Sell_""&amp;SUBSTITUTE(C1306,""Sell_"",""""))))/2),ROUNDUP(INDEX(Upgrades!$C$3:$C$13,MATCH(C1306,Upgrades!$B$3:$B$13,0))*1.15^(COUNTIF(C$4:C1305,C1306)-COUNTIF(C$4:C1305,""Sell_""&amp;C1306))))))"),"")</f>
        <v/>
      </c>
      <c r="H1306" s="10" t="str">
        <f t="shared" si="3"/>
        <v/>
      </c>
      <c r="I1306" s="68" t="str">
        <f t="shared" si="4"/>
        <v/>
      </c>
      <c r="J1306" s="59" t="str">
        <f t="shared" si="5"/>
        <v/>
      </c>
      <c r="K1306" s="69" t="str">
        <f t="shared" si="6"/>
        <v/>
      </c>
      <c r="L1306" s="60" t="str">
        <f t="shared" si="7"/>
        <v/>
      </c>
      <c r="M1306" s="61" t="str">
        <f>IFERROR(__xludf.DUMMYFUNCTION("IFS(AND(COUNTA(C1306:C1644)=0,COUNTA(Q1306:Q1644)=0),"""",OR(AND(K1306&gt;=1000000000,OR(Y1306&gt;=1000000000,COUNTA(Q1306:Q1644)=0)),OR(Y1306&gt;=1000000000,AND(COUNTA(C1306:C1644)=0,P$3=TRUE))),
ROUNDDOWN((AB$1-AC$1)*MAX(INDEX(T$4:T1644,MATCH(LARGE(FILTER(Y$4:Y1"&amp;"644,Y$4:Y1644&lt;1000000000),1),Y$4:Y1644)),INDEX(F$4:F1644,MATCH(LARGE(FILTER(K$4:K1644,K$4:K1644&lt;1000000000),1),K$4:K1644)))),AND(K1306&lt;1000000000,COUNTA(C1306:C1644)&gt;0,P$3=FALSE),
ROUNDDOWN(INDEX(Y$4:Y1644,MATCH(LARGE(FILTER(W$4:W1644,W$4:W1644&lt;=I1306),1)"&amp;",W$4:W1644))+(I1306-LARGE(FILTER(W$4:W1644,W$4:W1644&lt;=I1306),1))*INDEX(T$4:T1644,MATCH(LARGE(FILTER(W$4:W1644,W$4:W1644&lt;=I1306),1),W$4:W1644))-K1306),1,
ROUNDDOWN(Y1306-INDEX(K$4:K1644,MATCH(LARGE(FILTER(I$4:I1644,I$4:I1644&lt;=W1306),1),I$4:I1644))-(W1306-L"&amp;"ARGE(FILTER(I$4:I1644,I$4:I1644&lt;=W1306),1))*INDEX(F$4:F1644,MATCH(LARGE(FILTER(I$4:I1644,I$4:I1644&lt;=W1306),1),I$4:I1644))))"),"")</f>
        <v/>
      </c>
      <c r="N1306" s="60" t="str">
        <f t="shared" si="8"/>
        <v/>
      </c>
      <c r="O1306" s="61" t="str">
        <f t="shared" si="9"/>
        <v/>
      </c>
      <c r="P1306" s="56" t="str">
        <f t="shared" si="10"/>
        <v/>
      </c>
      <c r="Q1306" s="105"/>
      <c r="R1306" s="10"/>
      <c r="S1306" s="59" t="str">
        <f t="array" ref="S1306">IF(COUNTA(Q1306:Q1644)=0,"",SUM((COUNTIF(Q$4:Q1306,Upgrades!$B$3:$B$13)-COUNTIF(Q$4:Q1306,"Sell_"&amp;Upgrades!$B$3:$B$13))*Upgrades!$D$3:$D$13))</f>
        <v/>
      </c>
      <c r="T1306" s="66" t="str">
        <f>IFERROR(__xludf.DUMMYFUNCTION("IF(COUNTA(Q1306:Q1644)=0,"""",IF(REGEXMATCH(INDEX(FILTER(Q$4:Q1306,Q$4:Q1306&lt;&gt;""""),ROWS(FILTER(Q$4:Q1306,Q$4:Q1306&lt;&gt;""""))),""^Sell_""),INDEX(FILTER(T$4:T1305,Q$4:Q1305&lt;&gt;""""),ROWS(FILTER(Q$4:Q1305,Q$4:Q1305&lt;&gt;""""))),$AD$5+S1306))"),"")</f>
        <v/>
      </c>
      <c r="U1306" s="10" t="str">
        <f>IFERROR(__xludf.DUMMYFUNCTION("IF(COUNTA(Q1306:Q1644)=0,"""",IF(Q1306="""",0,IF(REGEXMATCH(Q1306,""^Sell_""),-ROUNDDOWN(ROUNDUP(INDEX(Upgrades!$C$3:$C$13,MATCH(SUBSTITUTE(Q1306,""Sell_"",""""),Upgrades!$B$3:$B$13,0))*1.15^(COUNTIF(Q$4:Q1305,SUBSTITUTE(Q1306,""Sell_"",""""))-COUNTIF(Q$4"&amp;":Q1305,""Sell_""&amp;SUBSTITUTE(Q1306,""Sell_"",""""))))/2),ROUNDUP(INDEX(Upgrades!$C$3:$C$13,MATCH(Q1306,Upgrades!$B$3:$B$13,0))*1.15^(COUNTIF(Q$4:Q1305,Q1306)-COUNTIF(Q$4:Q1305,""Sell_""&amp;Q1306))))))"),"")</f>
        <v/>
      </c>
      <c r="V1306" s="10" t="str">
        <f t="shared" si="11"/>
        <v/>
      </c>
      <c r="W1306" s="68" t="str">
        <f t="shared" si="12"/>
        <v/>
      </c>
      <c r="X1306" s="59" t="str">
        <f t="shared" si="13"/>
        <v/>
      </c>
      <c r="Y1306" s="69" t="str">
        <f t="shared" si="14"/>
        <v/>
      </c>
      <c r="Z1306" s="11"/>
      <c r="AG1306" s="59"/>
    </row>
    <row r="1307">
      <c r="A1307" s="8"/>
      <c r="B1307" s="56" t="str">
        <f t="shared" si="2"/>
        <v/>
      </c>
      <c r="C1307" s="105"/>
      <c r="D1307" s="10"/>
      <c r="E1307" s="59" t="str">
        <f t="array" ref="E1307">IF(COUNTA(C1307:C1644)=0,"",SUM((COUNTIF(C$4:C1307,Upgrades!$B$3:$B$13)-COUNTIF(C$4:C1307,"Sell_"&amp;Upgrades!$B$3:$B$13))*Upgrades!$D$3:$D$13))</f>
        <v/>
      </c>
      <c r="F1307" s="66" t="str">
        <f>IFERROR(__xludf.DUMMYFUNCTION("IF(COUNTA(C1307:C1644)=0,"""",IF(REGEXMATCH(INDEX(FILTER(C$4:C1307,C$4:C1307&lt;&gt;""""),ROWS(FILTER(C$4:C1307,C$4:C1307&lt;&gt;""""))),""^Sell_""),INDEX(FILTER(F$4:F1306,C$4:C1306&lt;&gt;""""),ROWS(FILTER(C$4:C1306,C$4:C1306&lt;&gt;""""))),$AC$5+E1307))"),"")</f>
        <v/>
      </c>
      <c r="G1307" s="10" t="str">
        <f>IFERROR(__xludf.DUMMYFUNCTION("IF(COUNTA(C1307:C1644)=0,"""",IF(C1307="""",0,IF(REGEXMATCH(C1307,""^Sell_""),-ROUNDDOWN(ROUNDUP(INDEX(Upgrades!$C$3:$C$13,MATCH(SUBSTITUTE(C1307,""Sell_"",""""),Upgrades!$B$3:$B$13,0))*1.15^(COUNTIF(C$4:C1306,SUBSTITUTE(C1307,""Sell_"",""""))-COUNTIF(C$4"&amp;":C1306,""Sell_""&amp;SUBSTITUTE(C1307,""Sell_"",""""))))/2),ROUNDUP(INDEX(Upgrades!$C$3:$C$13,MATCH(C1307,Upgrades!$B$3:$B$13,0))*1.15^(COUNTIF(C$4:C1306,C1307)-COUNTIF(C$4:C1306,""Sell_""&amp;C1307))))))"),"")</f>
        <v/>
      </c>
      <c r="H1307" s="10" t="str">
        <f t="shared" si="3"/>
        <v/>
      </c>
      <c r="I1307" s="68" t="str">
        <f t="shared" si="4"/>
        <v/>
      </c>
      <c r="J1307" s="59" t="str">
        <f t="shared" si="5"/>
        <v/>
      </c>
      <c r="K1307" s="69" t="str">
        <f t="shared" si="6"/>
        <v/>
      </c>
      <c r="L1307" s="60" t="str">
        <f t="shared" si="7"/>
        <v/>
      </c>
      <c r="M1307" s="61" t="str">
        <f>IFERROR(__xludf.DUMMYFUNCTION("IFS(AND(COUNTA(C1307:C1644)=0,COUNTA(Q1307:Q1644)=0),"""",OR(AND(K1307&gt;=1000000000,OR(Y1307&gt;=1000000000,COUNTA(Q1307:Q1644)=0)),OR(Y1307&gt;=1000000000,AND(COUNTA(C1307:C1644)=0,P$3=TRUE))),
ROUNDDOWN((AB$1-AC$1)*MAX(INDEX(T$4:T1644,MATCH(LARGE(FILTER(Y$4:Y1"&amp;"644,Y$4:Y1644&lt;1000000000),1),Y$4:Y1644)),INDEX(F$4:F1644,MATCH(LARGE(FILTER(K$4:K1644,K$4:K1644&lt;1000000000),1),K$4:K1644)))),AND(K1307&lt;1000000000,COUNTA(C1307:C1644)&gt;0,P$3=FALSE),
ROUNDDOWN(INDEX(Y$4:Y1644,MATCH(LARGE(FILTER(W$4:W1644,W$4:W1644&lt;=I1307),1)"&amp;",W$4:W1644))+(I1307-LARGE(FILTER(W$4:W1644,W$4:W1644&lt;=I1307),1))*INDEX(T$4:T1644,MATCH(LARGE(FILTER(W$4:W1644,W$4:W1644&lt;=I1307),1),W$4:W1644))-K1307),1,
ROUNDDOWN(Y1307-INDEX(K$4:K1644,MATCH(LARGE(FILTER(I$4:I1644,I$4:I1644&lt;=W1307),1),I$4:I1644))-(W1307-L"&amp;"ARGE(FILTER(I$4:I1644,I$4:I1644&lt;=W1307),1))*INDEX(F$4:F1644,MATCH(LARGE(FILTER(I$4:I1644,I$4:I1644&lt;=W1307),1),I$4:I1644))))"),"")</f>
        <v/>
      </c>
      <c r="N1307" s="60" t="str">
        <f t="shared" si="8"/>
        <v/>
      </c>
      <c r="O1307" s="61" t="str">
        <f t="shared" si="9"/>
        <v/>
      </c>
      <c r="P1307" s="56" t="str">
        <f t="shared" si="10"/>
        <v/>
      </c>
      <c r="Q1307" s="105"/>
      <c r="R1307" s="10"/>
      <c r="S1307" s="59" t="str">
        <f t="array" ref="S1307">IF(COUNTA(Q1307:Q1644)=0,"",SUM((COUNTIF(Q$4:Q1307,Upgrades!$B$3:$B$13)-COUNTIF(Q$4:Q1307,"Sell_"&amp;Upgrades!$B$3:$B$13))*Upgrades!$D$3:$D$13))</f>
        <v/>
      </c>
      <c r="T1307" s="66" t="str">
        <f>IFERROR(__xludf.DUMMYFUNCTION("IF(COUNTA(Q1307:Q1644)=0,"""",IF(REGEXMATCH(INDEX(FILTER(Q$4:Q1307,Q$4:Q1307&lt;&gt;""""),ROWS(FILTER(Q$4:Q1307,Q$4:Q1307&lt;&gt;""""))),""^Sell_""),INDEX(FILTER(T$4:T1306,Q$4:Q1306&lt;&gt;""""),ROWS(FILTER(Q$4:Q1306,Q$4:Q1306&lt;&gt;""""))),$AD$5+S1307))"),"")</f>
        <v/>
      </c>
      <c r="U1307" s="10" t="str">
        <f>IFERROR(__xludf.DUMMYFUNCTION("IF(COUNTA(Q1307:Q1644)=0,"""",IF(Q1307="""",0,IF(REGEXMATCH(Q1307,""^Sell_""),-ROUNDDOWN(ROUNDUP(INDEX(Upgrades!$C$3:$C$13,MATCH(SUBSTITUTE(Q1307,""Sell_"",""""),Upgrades!$B$3:$B$13,0))*1.15^(COUNTIF(Q$4:Q1306,SUBSTITUTE(Q1307,""Sell_"",""""))-COUNTIF(Q$4"&amp;":Q1306,""Sell_""&amp;SUBSTITUTE(Q1307,""Sell_"",""""))))/2),ROUNDUP(INDEX(Upgrades!$C$3:$C$13,MATCH(Q1307,Upgrades!$B$3:$B$13,0))*1.15^(COUNTIF(Q$4:Q1306,Q1307)-COUNTIF(Q$4:Q1306,""Sell_""&amp;Q1307))))))"),"")</f>
        <v/>
      </c>
      <c r="V1307" s="10" t="str">
        <f t="shared" si="11"/>
        <v/>
      </c>
      <c r="W1307" s="68" t="str">
        <f t="shared" si="12"/>
        <v/>
      </c>
      <c r="X1307" s="59" t="str">
        <f t="shared" si="13"/>
        <v/>
      </c>
      <c r="Y1307" s="69" t="str">
        <f t="shared" si="14"/>
        <v/>
      </c>
      <c r="Z1307" s="11"/>
      <c r="AG1307" s="59"/>
    </row>
    <row r="1308">
      <c r="A1308" s="8"/>
      <c r="B1308" s="56" t="str">
        <f t="shared" si="2"/>
        <v/>
      </c>
      <c r="C1308" s="105"/>
      <c r="D1308" s="10"/>
      <c r="E1308" s="59" t="str">
        <f t="array" ref="E1308">IF(COUNTA(C1308:C1644)=0,"",SUM((COUNTIF(C$4:C1308,Upgrades!$B$3:$B$13)-COUNTIF(C$4:C1308,"Sell_"&amp;Upgrades!$B$3:$B$13))*Upgrades!$D$3:$D$13))</f>
        <v/>
      </c>
      <c r="F1308" s="66" t="str">
        <f>IFERROR(__xludf.DUMMYFUNCTION("IF(COUNTA(C1308:C1644)=0,"""",IF(REGEXMATCH(INDEX(FILTER(C$4:C1308,C$4:C1308&lt;&gt;""""),ROWS(FILTER(C$4:C1308,C$4:C1308&lt;&gt;""""))),""^Sell_""),INDEX(FILTER(F$4:F1307,C$4:C1307&lt;&gt;""""),ROWS(FILTER(C$4:C1307,C$4:C1307&lt;&gt;""""))),$AC$5+E1308))"),"")</f>
        <v/>
      </c>
      <c r="G1308" s="10" t="str">
        <f>IFERROR(__xludf.DUMMYFUNCTION("IF(COUNTA(C1308:C1644)=0,"""",IF(C1308="""",0,IF(REGEXMATCH(C1308,""^Sell_""),-ROUNDDOWN(ROUNDUP(INDEX(Upgrades!$C$3:$C$13,MATCH(SUBSTITUTE(C1308,""Sell_"",""""),Upgrades!$B$3:$B$13,0))*1.15^(COUNTIF(C$4:C1307,SUBSTITUTE(C1308,""Sell_"",""""))-COUNTIF(C$4"&amp;":C1307,""Sell_""&amp;SUBSTITUTE(C1308,""Sell_"",""""))))/2),ROUNDUP(INDEX(Upgrades!$C$3:$C$13,MATCH(C1308,Upgrades!$B$3:$B$13,0))*1.15^(COUNTIF(C$4:C1307,C1308)-COUNTIF(C$4:C1307,""Sell_""&amp;C1308))))))"),"")</f>
        <v/>
      </c>
      <c r="H1308" s="10" t="str">
        <f t="shared" si="3"/>
        <v/>
      </c>
      <c r="I1308" s="68" t="str">
        <f t="shared" si="4"/>
        <v/>
      </c>
      <c r="J1308" s="59" t="str">
        <f t="shared" si="5"/>
        <v/>
      </c>
      <c r="K1308" s="69" t="str">
        <f t="shared" si="6"/>
        <v/>
      </c>
      <c r="L1308" s="60" t="str">
        <f t="shared" si="7"/>
        <v/>
      </c>
      <c r="M1308" s="61" t="str">
        <f>IFERROR(__xludf.DUMMYFUNCTION("IFS(AND(COUNTA(C1308:C1644)=0,COUNTA(Q1308:Q1644)=0),"""",OR(AND(K1308&gt;=1000000000,OR(Y1308&gt;=1000000000,COUNTA(Q1308:Q1644)=0)),OR(Y1308&gt;=1000000000,AND(COUNTA(C1308:C1644)=0,P$3=TRUE))),
ROUNDDOWN((AB$1-AC$1)*MAX(INDEX(T$4:T1644,MATCH(LARGE(FILTER(Y$4:Y1"&amp;"644,Y$4:Y1644&lt;1000000000),1),Y$4:Y1644)),INDEX(F$4:F1644,MATCH(LARGE(FILTER(K$4:K1644,K$4:K1644&lt;1000000000),1),K$4:K1644)))),AND(K1308&lt;1000000000,COUNTA(C1308:C1644)&gt;0,P$3=FALSE),
ROUNDDOWN(INDEX(Y$4:Y1644,MATCH(LARGE(FILTER(W$4:W1644,W$4:W1644&lt;=I1308),1)"&amp;",W$4:W1644))+(I1308-LARGE(FILTER(W$4:W1644,W$4:W1644&lt;=I1308),1))*INDEX(T$4:T1644,MATCH(LARGE(FILTER(W$4:W1644,W$4:W1644&lt;=I1308),1),W$4:W1644))-K1308),1,
ROUNDDOWN(Y1308-INDEX(K$4:K1644,MATCH(LARGE(FILTER(I$4:I1644,I$4:I1644&lt;=W1308),1),I$4:I1644))-(W1308-L"&amp;"ARGE(FILTER(I$4:I1644,I$4:I1644&lt;=W1308),1))*INDEX(F$4:F1644,MATCH(LARGE(FILTER(I$4:I1644,I$4:I1644&lt;=W1308),1),I$4:I1644))))"),"")</f>
        <v/>
      </c>
      <c r="N1308" s="60" t="str">
        <f t="shared" si="8"/>
        <v/>
      </c>
      <c r="O1308" s="61" t="str">
        <f t="shared" si="9"/>
        <v/>
      </c>
      <c r="P1308" s="56" t="str">
        <f t="shared" si="10"/>
        <v/>
      </c>
      <c r="Q1308" s="105"/>
      <c r="R1308" s="10"/>
      <c r="S1308" s="59" t="str">
        <f t="array" ref="S1308">IF(COUNTA(Q1308:Q1644)=0,"",SUM((COUNTIF(Q$4:Q1308,Upgrades!$B$3:$B$13)-COUNTIF(Q$4:Q1308,"Sell_"&amp;Upgrades!$B$3:$B$13))*Upgrades!$D$3:$D$13))</f>
        <v/>
      </c>
      <c r="T1308" s="66" t="str">
        <f>IFERROR(__xludf.DUMMYFUNCTION("IF(COUNTA(Q1308:Q1644)=0,"""",IF(REGEXMATCH(INDEX(FILTER(Q$4:Q1308,Q$4:Q1308&lt;&gt;""""),ROWS(FILTER(Q$4:Q1308,Q$4:Q1308&lt;&gt;""""))),""^Sell_""),INDEX(FILTER(T$4:T1307,Q$4:Q1307&lt;&gt;""""),ROWS(FILTER(Q$4:Q1307,Q$4:Q1307&lt;&gt;""""))),$AD$5+S1308))"),"")</f>
        <v/>
      </c>
      <c r="U1308" s="10" t="str">
        <f>IFERROR(__xludf.DUMMYFUNCTION("IF(COUNTA(Q1308:Q1644)=0,"""",IF(Q1308="""",0,IF(REGEXMATCH(Q1308,""^Sell_""),-ROUNDDOWN(ROUNDUP(INDEX(Upgrades!$C$3:$C$13,MATCH(SUBSTITUTE(Q1308,""Sell_"",""""),Upgrades!$B$3:$B$13,0))*1.15^(COUNTIF(Q$4:Q1307,SUBSTITUTE(Q1308,""Sell_"",""""))-COUNTIF(Q$4"&amp;":Q1307,""Sell_""&amp;SUBSTITUTE(Q1308,""Sell_"",""""))))/2),ROUNDUP(INDEX(Upgrades!$C$3:$C$13,MATCH(Q1308,Upgrades!$B$3:$B$13,0))*1.15^(COUNTIF(Q$4:Q1307,Q1308)-COUNTIF(Q$4:Q1307,""Sell_""&amp;Q1308))))))"),"")</f>
        <v/>
      </c>
      <c r="V1308" s="10" t="str">
        <f t="shared" si="11"/>
        <v/>
      </c>
      <c r="W1308" s="68" t="str">
        <f t="shared" si="12"/>
        <v/>
      </c>
      <c r="X1308" s="59" t="str">
        <f t="shared" si="13"/>
        <v/>
      </c>
      <c r="Y1308" s="69" t="str">
        <f t="shared" si="14"/>
        <v/>
      </c>
      <c r="Z1308" s="11"/>
      <c r="AG1308" s="59"/>
    </row>
    <row r="1309">
      <c r="A1309" s="8"/>
      <c r="B1309" s="56" t="str">
        <f t="shared" si="2"/>
        <v/>
      </c>
      <c r="C1309" s="105"/>
      <c r="D1309" s="10"/>
      <c r="E1309" s="59" t="str">
        <f t="array" ref="E1309">IF(COUNTA(C1309:C1644)=0,"",SUM((COUNTIF(C$4:C1309,Upgrades!$B$3:$B$13)-COUNTIF(C$4:C1309,"Sell_"&amp;Upgrades!$B$3:$B$13))*Upgrades!$D$3:$D$13))</f>
        <v/>
      </c>
      <c r="F1309" s="66" t="str">
        <f>IFERROR(__xludf.DUMMYFUNCTION("IF(COUNTA(C1309:C1644)=0,"""",IF(REGEXMATCH(INDEX(FILTER(C$4:C1309,C$4:C1309&lt;&gt;""""),ROWS(FILTER(C$4:C1309,C$4:C1309&lt;&gt;""""))),""^Sell_""),INDEX(FILTER(F$4:F1308,C$4:C1308&lt;&gt;""""),ROWS(FILTER(C$4:C1308,C$4:C1308&lt;&gt;""""))),$AC$5+E1309))"),"")</f>
        <v/>
      </c>
      <c r="G1309" s="10" t="str">
        <f>IFERROR(__xludf.DUMMYFUNCTION("IF(COUNTA(C1309:C1644)=0,"""",IF(C1309="""",0,IF(REGEXMATCH(C1309,""^Sell_""),-ROUNDDOWN(ROUNDUP(INDEX(Upgrades!$C$3:$C$13,MATCH(SUBSTITUTE(C1309,""Sell_"",""""),Upgrades!$B$3:$B$13,0))*1.15^(COUNTIF(C$4:C1308,SUBSTITUTE(C1309,""Sell_"",""""))-COUNTIF(C$4"&amp;":C1308,""Sell_""&amp;SUBSTITUTE(C1309,""Sell_"",""""))))/2),ROUNDUP(INDEX(Upgrades!$C$3:$C$13,MATCH(C1309,Upgrades!$B$3:$B$13,0))*1.15^(COUNTIF(C$4:C1308,C1309)-COUNTIF(C$4:C1308,""Sell_""&amp;C1309))))))"),"")</f>
        <v/>
      </c>
      <c r="H1309" s="10" t="str">
        <f t="shared" si="3"/>
        <v/>
      </c>
      <c r="I1309" s="68" t="str">
        <f t="shared" si="4"/>
        <v/>
      </c>
      <c r="J1309" s="59" t="str">
        <f t="shared" si="5"/>
        <v/>
      </c>
      <c r="K1309" s="69" t="str">
        <f t="shared" si="6"/>
        <v/>
      </c>
      <c r="L1309" s="60" t="str">
        <f t="shared" si="7"/>
        <v/>
      </c>
      <c r="M1309" s="61" t="str">
        <f>IFERROR(__xludf.DUMMYFUNCTION("IFS(AND(COUNTA(C1309:C1644)=0,COUNTA(Q1309:Q1644)=0),"""",OR(AND(K1309&gt;=1000000000,OR(Y1309&gt;=1000000000,COUNTA(Q1309:Q1644)=0)),OR(Y1309&gt;=1000000000,AND(COUNTA(C1309:C1644)=0,P$3=TRUE))),
ROUNDDOWN((AB$1-AC$1)*MAX(INDEX(T$4:T1644,MATCH(LARGE(FILTER(Y$4:Y1"&amp;"644,Y$4:Y1644&lt;1000000000),1),Y$4:Y1644)),INDEX(F$4:F1644,MATCH(LARGE(FILTER(K$4:K1644,K$4:K1644&lt;1000000000),1),K$4:K1644)))),AND(K1309&lt;1000000000,COUNTA(C1309:C1644)&gt;0,P$3=FALSE),
ROUNDDOWN(INDEX(Y$4:Y1644,MATCH(LARGE(FILTER(W$4:W1644,W$4:W1644&lt;=I1309),1)"&amp;",W$4:W1644))+(I1309-LARGE(FILTER(W$4:W1644,W$4:W1644&lt;=I1309),1))*INDEX(T$4:T1644,MATCH(LARGE(FILTER(W$4:W1644,W$4:W1644&lt;=I1309),1),W$4:W1644))-K1309),1,
ROUNDDOWN(Y1309-INDEX(K$4:K1644,MATCH(LARGE(FILTER(I$4:I1644,I$4:I1644&lt;=W1309),1),I$4:I1644))-(W1309-L"&amp;"ARGE(FILTER(I$4:I1644,I$4:I1644&lt;=W1309),1))*INDEX(F$4:F1644,MATCH(LARGE(FILTER(I$4:I1644,I$4:I1644&lt;=W1309),1),I$4:I1644))))"),"")</f>
        <v/>
      </c>
      <c r="N1309" s="60" t="str">
        <f t="shared" si="8"/>
        <v/>
      </c>
      <c r="O1309" s="61" t="str">
        <f t="shared" si="9"/>
        <v/>
      </c>
      <c r="P1309" s="56" t="str">
        <f t="shared" si="10"/>
        <v/>
      </c>
      <c r="Q1309" s="105"/>
      <c r="R1309" s="10"/>
      <c r="S1309" s="59" t="str">
        <f t="array" ref="S1309">IF(COUNTA(Q1309:Q1644)=0,"",SUM((COUNTIF(Q$4:Q1309,Upgrades!$B$3:$B$13)-COUNTIF(Q$4:Q1309,"Sell_"&amp;Upgrades!$B$3:$B$13))*Upgrades!$D$3:$D$13))</f>
        <v/>
      </c>
      <c r="T1309" s="66" t="str">
        <f>IFERROR(__xludf.DUMMYFUNCTION("IF(COUNTA(Q1309:Q1644)=0,"""",IF(REGEXMATCH(INDEX(FILTER(Q$4:Q1309,Q$4:Q1309&lt;&gt;""""),ROWS(FILTER(Q$4:Q1309,Q$4:Q1309&lt;&gt;""""))),""^Sell_""),INDEX(FILTER(T$4:T1308,Q$4:Q1308&lt;&gt;""""),ROWS(FILTER(Q$4:Q1308,Q$4:Q1308&lt;&gt;""""))),$AD$5+S1309))"),"")</f>
        <v/>
      </c>
      <c r="U1309" s="10" t="str">
        <f>IFERROR(__xludf.DUMMYFUNCTION("IF(COUNTA(Q1309:Q1644)=0,"""",IF(Q1309="""",0,IF(REGEXMATCH(Q1309,""^Sell_""),-ROUNDDOWN(ROUNDUP(INDEX(Upgrades!$C$3:$C$13,MATCH(SUBSTITUTE(Q1309,""Sell_"",""""),Upgrades!$B$3:$B$13,0))*1.15^(COUNTIF(Q$4:Q1308,SUBSTITUTE(Q1309,""Sell_"",""""))-COUNTIF(Q$4"&amp;":Q1308,""Sell_""&amp;SUBSTITUTE(Q1309,""Sell_"",""""))))/2),ROUNDUP(INDEX(Upgrades!$C$3:$C$13,MATCH(Q1309,Upgrades!$B$3:$B$13,0))*1.15^(COUNTIF(Q$4:Q1308,Q1309)-COUNTIF(Q$4:Q1308,""Sell_""&amp;Q1309))))))"),"")</f>
        <v/>
      </c>
      <c r="V1309" s="10" t="str">
        <f t="shared" si="11"/>
        <v/>
      </c>
      <c r="W1309" s="68" t="str">
        <f t="shared" si="12"/>
        <v/>
      </c>
      <c r="X1309" s="59" t="str">
        <f t="shared" si="13"/>
        <v/>
      </c>
      <c r="Y1309" s="69" t="str">
        <f t="shared" si="14"/>
        <v/>
      </c>
      <c r="Z1309" s="11"/>
      <c r="AG1309" s="59"/>
    </row>
    <row r="1310">
      <c r="A1310" s="8"/>
      <c r="B1310" s="56" t="str">
        <f t="shared" si="2"/>
        <v/>
      </c>
      <c r="C1310" s="105"/>
      <c r="D1310" s="10"/>
      <c r="E1310" s="59" t="str">
        <f t="array" ref="E1310">IF(COUNTA(C1310:C1644)=0,"",SUM((COUNTIF(C$4:C1310,Upgrades!$B$3:$B$13)-COUNTIF(C$4:C1310,"Sell_"&amp;Upgrades!$B$3:$B$13))*Upgrades!$D$3:$D$13))</f>
        <v/>
      </c>
      <c r="F1310" s="66" t="str">
        <f>IFERROR(__xludf.DUMMYFUNCTION("IF(COUNTA(C1310:C1644)=0,"""",IF(REGEXMATCH(INDEX(FILTER(C$4:C1310,C$4:C1310&lt;&gt;""""),ROWS(FILTER(C$4:C1310,C$4:C1310&lt;&gt;""""))),""^Sell_""),INDEX(FILTER(F$4:F1309,C$4:C1309&lt;&gt;""""),ROWS(FILTER(C$4:C1309,C$4:C1309&lt;&gt;""""))),$AC$5+E1310))"),"")</f>
        <v/>
      </c>
      <c r="G1310" s="10" t="str">
        <f>IFERROR(__xludf.DUMMYFUNCTION("IF(COUNTA(C1310:C1644)=0,"""",IF(C1310="""",0,IF(REGEXMATCH(C1310,""^Sell_""),-ROUNDDOWN(ROUNDUP(INDEX(Upgrades!$C$3:$C$13,MATCH(SUBSTITUTE(C1310,""Sell_"",""""),Upgrades!$B$3:$B$13,0))*1.15^(COUNTIF(C$4:C1309,SUBSTITUTE(C1310,""Sell_"",""""))-COUNTIF(C$4"&amp;":C1309,""Sell_""&amp;SUBSTITUTE(C1310,""Sell_"",""""))))/2),ROUNDUP(INDEX(Upgrades!$C$3:$C$13,MATCH(C1310,Upgrades!$B$3:$B$13,0))*1.15^(COUNTIF(C$4:C1309,C1310)-COUNTIF(C$4:C1309,""Sell_""&amp;C1310))))))"),"")</f>
        <v/>
      </c>
      <c r="H1310" s="10" t="str">
        <f t="shared" si="3"/>
        <v/>
      </c>
      <c r="I1310" s="68" t="str">
        <f t="shared" si="4"/>
        <v/>
      </c>
      <c r="J1310" s="59" t="str">
        <f t="shared" si="5"/>
        <v/>
      </c>
      <c r="K1310" s="69" t="str">
        <f t="shared" si="6"/>
        <v/>
      </c>
      <c r="L1310" s="60" t="str">
        <f t="shared" si="7"/>
        <v/>
      </c>
      <c r="M1310" s="61" t="str">
        <f>IFERROR(__xludf.DUMMYFUNCTION("IFS(AND(COUNTA(C1310:C1644)=0,COUNTA(Q1310:Q1644)=0),"""",OR(AND(K1310&gt;=1000000000,OR(Y1310&gt;=1000000000,COUNTA(Q1310:Q1644)=0)),OR(Y1310&gt;=1000000000,AND(COUNTA(C1310:C1644)=0,P$3=TRUE))),
ROUNDDOWN((AB$1-AC$1)*MAX(INDEX(T$4:T1644,MATCH(LARGE(FILTER(Y$4:Y1"&amp;"644,Y$4:Y1644&lt;1000000000),1),Y$4:Y1644)),INDEX(F$4:F1644,MATCH(LARGE(FILTER(K$4:K1644,K$4:K1644&lt;1000000000),1),K$4:K1644)))),AND(K1310&lt;1000000000,COUNTA(C1310:C1644)&gt;0,P$3=FALSE),
ROUNDDOWN(INDEX(Y$4:Y1644,MATCH(LARGE(FILTER(W$4:W1644,W$4:W1644&lt;=I1310),1)"&amp;",W$4:W1644))+(I1310-LARGE(FILTER(W$4:W1644,W$4:W1644&lt;=I1310),1))*INDEX(T$4:T1644,MATCH(LARGE(FILTER(W$4:W1644,W$4:W1644&lt;=I1310),1),W$4:W1644))-K1310),1,
ROUNDDOWN(Y1310-INDEX(K$4:K1644,MATCH(LARGE(FILTER(I$4:I1644,I$4:I1644&lt;=W1310),1),I$4:I1644))-(W1310-L"&amp;"ARGE(FILTER(I$4:I1644,I$4:I1644&lt;=W1310),1))*INDEX(F$4:F1644,MATCH(LARGE(FILTER(I$4:I1644,I$4:I1644&lt;=W1310),1),I$4:I1644))))"),"")</f>
        <v/>
      </c>
      <c r="N1310" s="60" t="str">
        <f t="shared" si="8"/>
        <v/>
      </c>
      <c r="O1310" s="61" t="str">
        <f t="shared" si="9"/>
        <v/>
      </c>
      <c r="P1310" s="56" t="str">
        <f t="shared" si="10"/>
        <v/>
      </c>
      <c r="Q1310" s="105"/>
      <c r="R1310" s="10"/>
      <c r="S1310" s="59" t="str">
        <f t="array" ref="S1310">IF(COUNTA(Q1310:Q1644)=0,"",SUM((COUNTIF(Q$4:Q1310,Upgrades!$B$3:$B$13)-COUNTIF(Q$4:Q1310,"Sell_"&amp;Upgrades!$B$3:$B$13))*Upgrades!$D$3:$D$13))</f>
        <v/>
      </c>
      <c r="T1310" s="66" t="str">
        <f>IFERROR(__xludf.DUMMYFUNCTION("IF(COUNTA(Q1310:Q1644)=0,"""",IF(REGEXMATCH(INDEX(FILTER(Q$4:Q1310,Q$4:Q1310&lt;&gt;""""),ROWS(FILTER(Q$4:Q1310,Q$4:Q1310&lt;&gt;""""))),""^Sell_""),INDEX(FILTER(T$4:T1309,Q$4:Q1309&lt;&gt;""""),ROWS(FILTER(Q$4:Q1309,Q$4:Q1309&lt;&gt;""""))),$AD$5+S1310))"),"")</f>
        <v/>
      </c>
      <c r="U1310" s="10" t="str">
        <f>IFERROR(__xludf.DUMMYFUNCTION("IF(COUNTA(Q1310:Q1644)=0,"""",IF(Q1310="""",0,IF(REGEXMATCH(Q1310,""^Sell_""),-ROUNDDOWN(ROUNDUP(INDEX(Upgrades!$C$3:$C$13,MATCH(SUBSTITUTE(Q1310,""Sell_"",""""),Upgrades!$B$3:$B$13,0))*1.15^(COUNTIF(Q$4:Q1309,SUBSTITUTE(Q1310,""Sell_"",""""))-COUNTIF(Q$4"&amp;":Q1309,""Sell_""&amp;SUBSTITUTE(Q1310,""Sell_"",""""))))/2),ROUNDUP(INDEX(Upgrades!$C$3:$C$13,MATCH(Q1310,Upgrades!$B$3:$B$13,0))*1.15^(COUNTIF(Q$4:Q1309,Q1310)-COUNTIF(Q$4:Q1309,""Sell_""&amp;Q1310))))))"),"")</f>
        <v/>
      </c>
      <c r="V1310" s="10" t="str">
        <f t="shared" si="11"/>
        <v/>
      </c>
      <c r="W1310" s="68" t="str">
        <f t="shared" si="12"/>
        <v/>
      </c>
      <c r="X1310" s="59" t="str">
        <f t="shared" si="13"/>
        <v/>
      </c>
      <c r="Y1310" s="69" t="str">
        <f t="shared" si="14"/>
        <v/>
      </c>
      <c r="Z1310" s="11"/>
      <c r="AG1310" s="59"/>
    </row>
    <row r="1311">
      <c r="A1311" s="8"/>
      <c r="B1311" s="56" t="str">
        <f t="shared" si="2"/>
        <v/>
      </c>
      <c r="C1311" s="105"/>
      <c r="D1311" s="10"/>
      <c r="E1311" s="59" t="str">
        <f t="array" ref="E1311">IF(COUNTA(C1311:C1644)=0,"",SUM((COUNTIF(C$4:C1311,Upgrades!$B$3:$B$13)-COUNTIF(C$4:C1311,"Sell_"&amp;Upgrades!$B$3:$B$13))*Upgrades!$D$3:$D$13))</f>
        <v/>
      </c>
      <c r="F1311" s="66" t="str">
        <f>IFERROR(__xludf.DUMMYFUNCTION("IF(COUNTA(C1311:C1644)=0,"""",IF(REGEXMATCH(INDEX(FILTER(C$4:C1311,C$4:C1311&lt;&gt;""""),ROWS(FILTER(C$4:C1311,C$4:C1311&lt;&gt;""""))),""^Sell_""),INDEX(FILTER(F$4:F1310,C$4:C1310&lt;&gt;""""),ROWS(FILTER(C$4:C1310,C$4:C1310&lt;&gt;""""))),$AC$5+E1311))"),"")</f>
        <v/>
      </c>
      <c r="G1311" s="10" t="str">
        <f>IFERROR(__xludf.DUMMYFUNCTION("IF(COUNTA(C1311:C1644)=0,"""",IF(C1311="""",0,IF(REGEXMATCH(C1311,""^Sell_""),-ROUNDDOWN(ROUNDUP(INDEX(Upgrades!$C$3:$C$13,MATCH(SUBSTITUTE(C1311,""Sell_"",""""),Upgrades!$B$3:$B$13,0))*1.15^(COUNTIF(C$4:C1310,SUBSTITUTE(C1311,""Sell_"",""""))-COUNTIF(C$4"&amp;":C1310,""Sell_""&amp;SUBSTITUTE(C1311,""Sell_"",""""))))/2),ROUNDUP(INDEX(Upgrades!$C$3:$C$13,MATCH(C1311,Upgrades!$B$3:$B$13,0))*1.15^(COUNTIF(C$4:C1310,C1311)-COUNTIF(C$4:C1310,""Sell_""&amp;C1311))))))"),"")</f>
        <v/>
      </c>
      <c r="H1311" s="10" t="str">
        <f t="shared" si="3"/>
        <v/>
      </c>
      <c r="I1311" s="68" t="str">
        <f t="shared" si="4"/>
        <v/>
      </c>
      <c r="J1311" s="59" t="str">
        <f t="shared" si="5"/>
        <v/>
      </c>
      <c r="K1311" s="69" t="str">
        <f t="shared" si="6"/>
        <v/>
      </c>
      <c r="L1311" s="60" t="str">
        <f t="shared" si="7"/>
        <v/>
      </c>
      <c r="M1311" s="61" t="str">
        <f>IFERROR(__xludf.DUMMYFUNCTION("IFS(AND(COUNTA(C1311:C1644)=0,COUNTA(Q1311:Q1644)=0),"""",OR(AND(K1311&gt;=1000000000,OR(Y1311&gt;=1000000000,COUNTA(Q1311:Q1644)=0)),OR(Y1311&gt;=1000000000,AND(COUNTA(C1311:C1644)=0,P$3=TRUE))),
ROUNDDOWN((AB$1-AC$1)*MAX(INDEX(T$4:T1644,MATCH(LARGE(FILTER(Y$4:Y1"&amp;"644,Y$4:Y1644&lt;1000000000),1),Y$4:Y1644)),INDEX(F$4:F1644,MATCH(LARGE(FILTER(K$4:K1644,K$4:K1644&lt;1000000000),1),K$4:K1644)))),AND(K1311&lt;1000000000,COUNTA(C1311:C1644)&gt;0,P$3=FALSE),
ROUNDDOWN(INDEX(Y$4:Y1644,MATCH(LARGE(FILTER(W$4:W1644,W$4:W1644&lt;=I1311),1)"&amp;",W$4:W1644))+(I1311-LARGE(FILTER(W$4:W1644,W$4:W1644&lt;=I1311),1))*INDEX(T$4:T1644,MATCH(LARGE(FILTER(W$4:W1644,W$4:W1644&lt;=I1311),1),W$4:W1644))-K1311),1,
ROUNDDOWN(Y1311-INDEX(K$4:K1644,MATCH(LARGE(FILTER(I$4:I1644,I$4:I1644&lt;=W1311),1),I$4:I1644))-(W1311-L"&amp;"ARGE(FILTER(I$4:I1644,I$4:I1644&lt;=W1311),1))*INDEX(F$4:F1644,MATCH(LARGE(FILTER(I$4:I1644,I$4:I1644&lt;=W1311),1),I$4:I1644))))"),"")</f>
        <v/>
      </c>
      <c r="N1311" s="60" t="str">
        <f t="shared" si="8"/>
        <v/>
      </c>
      <c r="O1311" s="61" t="str">
        <f t="shared" si="9"/>
        <v/>
      </c>
      <c r="P1311" s="56" t="str">
        <f t="shared" si="10"/>
        <v/>
      </c>
      <c r="Q1311" s="105"/>
      <c r="R1311" s="10"/>
      <c r="S1311" s="59" t="str">
        <f t="array" ref="S1311">IF(COUNTA(Q1311:Q1644)=0,"",SUM((COUNTIF(Q$4:Q1311,Upgrades!$B$3:$B$13)-COUNTIF(Q$4:Q1311,"Sell_"&amp;Upgrades!$B$3:$B$13))*Upgrades!$D$3:$D$13))</f>
        <v/>
      </c>
      <c r="T1311" s="66" t="str">
        <f>IFERROR(__xludf.DUMMYFUNCTION("IF(COUNTA(Q1311:Q1644)=0,"""",IF(REGEXMATCH(INDEX(FILTER(Q$4:Q1311,Q$4:Q1311&lt;&gt;""""),ROWS(FILTER(Q$4:Q1311,Q$4:Q1311&lt;&gt;""""))),""^Sell_""),INDEX(FILTER(T$4:T1310,Q$4:Q1310&lt;&gt;""""),ROWS(FILTER(Q$4:Q1310,Q$4:Q1310&lt;&gt;""""))),$AD$5+S1311))"),"")</f>
        <v/>
      </c>
      <c r="U1311" s="10" t="str">
        <f>IFERROR(__xludf.DUMMYFUNCTION("IF(COUNTA(Q1311:Q1644)=0,"""",IF(Q1311="""",0,IF(REGEXMATCH(Q1311,""^Sell_""),-ROUNDDOWN(ROUNDUP(INDEX(Upgrades!$C$3:$C$13,MATCH(SUBSTITUTE(Q1311,""Sell_"",""""),Upgrades!$B$3:$B$13,0))*1.15^(COUNTIF(Q$4:Q1310,SUBSTITUTE(Q1311,""Sell_"",""""))-COUNTIF(Q$4"&amp;":Q1310,""Sell_""&amp;SUBSTITUTE(Q1311,""Sell_"",""""))))/2),ROUNDUP(INDEX(Upgrades!$C$3:$C$13,MATCH(Q1311,Upgrades!$B$3:$B$13,0))*1.15^(COUNTIF(Q$4:Q1310,Q1311)-COUNTIF(Q$4:Q1310,""Sell_""&amp;Q1311))))))"),"")</f>
        <v/>
      </c>
      <c r="V1311" s="10" t="str">
        <f t="shared" si="11"/>
        <v/>
      </c>
      <c r="W1311" s="68" t="str">
        <f t="shared" si="12"/>
        <v/>
      </c>
      <c r="X1311" s="59" t="str">
        <f t="shared" si="13"/>
        <v/>
      </c>
      <c r="Y1311" s="69" t="str">
        <f t="shared" si="14"/>
        <v/>
      </c>
      <c r="Z1311" s="11"/>
      <c r="AG1311" s="59"/>
    </row>
    <row r="1312">
      <c r="A1312" s="8"/>
      <c r="B1312" s="56" t="str">
        <f t="shared" si="2"/>
        <v/>
      </c>
      <c r="C1312" s="105"/>
      <c r="D1312" s="10"/>
      <c r="E1312" s="59" t="str">
        <f t="array" ref="E1312">IF(COUNTA(C1312:C1644)=0,"",SUM((COUNTIF(C$4:C1312,Upgrades!$B$3:$B$13)-COUNTIF(C$4:C1312,"Sell_"&amp;Upgrades!$B$3:$B$13))*Upgrades!$D$3:$D$13))</f>
        <v/>
      </c>
      <c r="F1312" s="66" t="str">
        <f>IFERROR(__xludf.DUMMYFUNCTION("IF(COUNTA(C1312:C1644)=0,"""",IF(REGEXMATCH(INDEX(FILTER(C$4:C1312,C$4:C1312&lt;&gt;""""),ROWS(FILTER(C$4:C1312,C$4:C1312&lt;&gt;""""))),""^Sell_""),INDEX(FILTER(F$4:F1311,C$4:C1311&lt;&gt;""""),ROWS(FILTER(C$4:C1311,C$4:C1311&lt;&gt;""""))),$AC$5+E1312))"),"")</f>
        <v/>
      </c>
      <c r="G1312" s="10" t="str">
        <f>IFERROR(__xludf.DUMMYFUNCTION("IF(COUNTA(C1312:C1644)=0,"""",IF(C1312="""",0,IF(REGEXMATCH(C1312,""^Sell_""),-ROUNDDOWN(ROUNDUP(INDEX(Upgrades!$C$3:$C$13,MATCH(SUBSTITUTE(C1312,""Sell_"",""""),Upgrades!$B$3:$B$13,0))*1.15^(COUNTIF(C$4:C1311,SUBSTITUTE(C1312,""Sell_"",""""))-COUNTIF(C$4"&amp;":C1311,""Sell_""&amp;SUBSTITUTE(C1312,""Sell_"",""""))))/2),ROUNDUP(INDEX(Upgrades!$C$3:$C$13,MATCH(C1312,Upgrades!$B$3:$B$13,0))*1.15^(COUNTIF(C$4:C1311,C1312)-COUNTIF(C$4:C1311,""Sell_""&amp;C1312))))))"),"")</f>
        <v/>
      </c>
      <c r="H1312" s="10" t="str">
        <f t="shared" si="3"/>
        <v/>
      </c>
      <c r="I1312" s="68" t="str">
        <f t="shared" si="4"/>
        <v/>
      </c>
      <c r="J1312" s="59" t="str">
        <f t="shared" si="5"/>
        <v/>
      </c>
      <c r="K1312" s="69" t="str">
        <f t="shared" si="6"/>
        <v/>
      </c>
      <c r="L1312" s="60" t="str">
        <f t="shared" si="7"/>
        <v/>
      </c>
      <c r="M1312" s="61" t="str">
        <f>IFERROR(__xludf.DUMMYFUNCTION("IFS(AND(COUNTA(C1312:C1644)=0,COUNTA(Q1312:Q1644)=0),"""",OR(AND(K1312&gt;=1000000000,OR(Y1312&gt;=1000000000,COUNTA(Q1312:Q1644)=0)),OR(Y1312&gt;=1000000000,AND(COUNTA(C1312:C1644)=0,P$3=TRUE))),
ROUNDDOWN((AB$1-AC$1)*MAX(INDEX(T$4:T1644,MATCH(LARGE(FILTER(Y$4:Y1"&amp;"644,Y$4:Y1644&lt;1000000000),1),Y$4:Y1644)),INDEX(F$4:F1644,MATCH(LARGE(FILTER(K$4:K1644,K$4:K1644&lt;1000000000),1),K$4:K1644)))),AND(K1312&lt;1000000000,COUNTA(C1312:C1644)&gt;0,P$3=FALSE),
ROUNDDOWN(INDEX(Y$4:Y1644,MATCH(LARGE(FILTER(W$4:W1644,W$4:W1644&lt;=I1312),1)"&amp;",W$4:W1644))+(I1312-LARGE(FILTER(W$4:W1644,W$4:W1644&lt;=I1312),1))*INDEX(T$4:T1644,MATCH(LARGE(FILTER(W$4:W1644,W$4:W1644&lt;=I1312),1),W$4:W1644))-K1312),1,
ROUNDDOWN(Y1312-INDEX(K$4:K1644,MATCH(LARGE(FILTER(I$4:I1644,I$4:I1644&lt;=W1312),1),I$4:I1644))-(W1312-L"&amp;"ARGE(FILTER(I$4:I1644,I$4:I1644&lt;=W1312),1))*INDEX(F$4:F1644,MATCH(LARGE(FILTER(I$4:I1644,I$4:I1644&lt;=W1312),1),I$4:I1644))))"),"")</f>
        <v/>
      </c>
      <c r="N1312" s="60" t="str">
        <f t="shared" si="8"/>
        <v/>
      </c>
      <c r="O1312" s="61" t="str">
        <f t="shared" si="9"/>
        <v/>
      </c>
      <c r="P1312" s="56" t="str">
        <f t="shared" si="10"/>
        <v/>
      </c>
      <c r="Q1312" s="105"/>
      <c r="R1312" s="10"/>
      <c r="S1312" s="59" t="str">
        <f t="array" ref="S1312">IF(COUNTA(Q1312:Q1644)=0,"",SUM((COUNTIF(Q$4:Q1312,Upgrades!$B$3:$B$13)-COUNTIF(Q$4:Q1312,"Sell_"&amp;Upgrades!$B$3:$B$13))*Upgrades!$D$3:$D$13))</f>
        <v/>
      </c>
      <c r="T1312" s="66" t="str">
        <f>IFERROR(__xludf.DUMMYFUNCTION("IF(COUNTA(Q1312:Q1644)=0,"""",IF(REGEXMATCH(INDEX(FILTER(Q$4:Q1312,Q$4:Q1312&lt;&gt;""""),ROWS(FILTER(Q$4:Q1312,Q$4:Q1312&lt;&gt;""""))),""^Sell_""),INDEX(FILTER(T$4:T1311,Q$4:Q1311&lt;&gt;""""),ROWS(FILTER(Q$4:Q1311,Q$4:Q1311&lt;&gt;""""))),$AD$5+S1312))"),"")</f>
        <v/>
      </c>
      <c r="U1312" s="10" t="str">
        <f>IFERROR(__xludf.DUMMYFUNCTION("IF(COUNTA(Q1312:Q1644)=0,"""",IF(Q1312="""",0,IF(REGEXMATCH(Q1312,""^Sell_""),-ROUNDDOWN(ROUNDUP(INDEX(Upgrades!$C$3:$C$13,MATCH(SUBSTITUTE(Q1312,""Sell_"",""""),Upgrades!$B$3:$B$13,0))*1.15^(COUNTIF(Q$4:Q1311,SUBSTITUTE(Q1312,""Sell_"",""""))-COUNTIF(Q$4"&amp;":Q1311,""Sell_""&amp;SUBSTITUTE(Q1312,""Sell_"",""""))))/2),ROUNDUP(INDEX(Upgrades!$C$3:$C$13,MATCH(Q1312,Upgrades!$B$3:$B$13,0))*1.15^(COUNTIF(Q$4:Q1311,Q1312)-COUNTIF(Q$4:Q1311,""Sell_""&amp;Q1312))))))"),"")</f>
        <v/>
      </c>
      <c r="V1312" s="10" t="str">
        <f t="shared" si="11"/>
        <v/>
      </c>
      <c r="W1312" s="68" t="str">
        <f t="shared" si="12"/>
        <v/>
      </c>
      <c r="X1312" s="59" t="str">
        <f t="shared" si="13"/>
        <v/>
      </c>
      <c r="Y1312" s="69" t="str">
        <f t="shared" si="14"/>
        <v/>
      </c>
      <c r="Z1312" s="11"/>
      <c r="AG1312" s="59"/>
    </row>
    <row r="1313">
      <c r="A1313" s="8"/>
      <c r="B1313" s="56" t="str">
        <f t="shared" si="2"/>
        <v/>
      </c>
      <c r="C1313" s="105"/>
      <c r="D1313" s="10"/>
      <c r="E1313" s="59" t="str">
        <f t="array" ref="E1313">IF(COUNTA(C1313:C1644)=0,"",SUM((COUNTIF(C$4:C1313,Upgrades!$B$3:$B$13)-COUNTIF(C$4:C1313,"Sell_"&amp;Upgrades!$B$3:$B$13))*Upgrades!$D$3:$D$13))</f>
        <v/>
      </c>
      <c r="F1313" s="66" t="str">
        <f>IFERROR(__xludf.DUMMYFUNCTION("IF(COUNTA(C1313:C1644)=0,"""",IF(REGEXMATCH(INDEX(FILTER(C$4:C1313,C$4:C1313&lt;&gt;""""),ROWS(FILTER(C$4:C1313,C$4:C1313&lt;&gt;""""))),""^Sell_""),INDEX(FILTER(F$4:F1312,C$4:C1312&lt;&gt;""""),ROWS(FILTER(C$4:C1312,C$4:C1312&lt;&gt;""""))),$AC$5+E1313))"),"")</f>
        <v/>
      </c>
      <c r="G1313" s="10" t="str">
        <f>IFERROR(__xludf.DUMMYFUNCTION("IF(COUNTA(C1313:C1644)=0,"""",IF(C1313="""",0,IF(REGEXMATCH(C1313,""^Sell_""),-ROUNDDOWN(ROUNDUP(INDEX(Upgrades!$C$3:$C$13,MATCH(SUBSTITUTE(C1313,""Sell_"",""""),Upgrades!$B$3:$B$13,0))*1.15^(COUNTIF(C$4:C1312,SUBSTITUTE(C1313,""Sell_"",""""))-COUNTIF(C$4"&amp;":C1312,""Sell_""&amp;SUBSTITUTE(C1313,""Sell_"",""""))))/2),ROUNDUP(INDEX(Upgrades!$C$3:$C$13,MATCH(C1313,Upgrades!$B$3:$B$13,0))*1.15^(COUNTIF(C$4:C1312,C1313)-COUNTIF(C$4:C1312,""Sell_""&amp;C1313))))))"),"")</f>
        <v/>
      </c>
      <c r="H1313" s="10" t="str">
        <f t="shared" si="3"/>
        <v/>
      </c>
      <c r="I1313" s="68" t="str">
        <f t="shared" si="4"/>
        <v/>
      </c>
      <c r="J1313" s="59" t="str">
        <f t="shared" si="5"/>
        <v/>
      </c>
      <c r="K1313" s="69" t="str">
        <f t="shared" si="6"/>
        <v/>
      </c>
      <c r="L1313" s="60" t="str">
        <f t="shared" si="7"/>
        <v/>
      </c>
      <c r="M1313" s="61" t="str">
        <f>IFERROR(__xludf.DUMMYFUNCTION("IFS(AND(COUNTA(C1313:C1644)=0,COUNTA(Q1313:Q1644)=0),"""",OR(AND(K1313&gt;=1000000000,OR(Y1313&gt;=1000000000,COUNTA(Q1313:Q1644)=0)),OR(Y1313&gt;=1000000000,AND(COUNTA(C1313:C1644)=0,P$3=TRUE))),
ROUNDDOWN((AB$1-AC$1)*MAX(INDEX(T$4:T1644,MATCH(LARGE(FILTER(Y$4:Y1"&amp;"644,Y$4:Y1644&lt;1000000000),1),Y$4:Y1644)),INDEX(F$4:F1644,MATCH(LARGE(FILTER(K$4:K1644,K$4:K1644&lt;1000000000),1),K$4:K1644)))),AND(K1313&lt;1000000000,COUNTA(C1313:C1644)&gt;0,P$3=FALSE),
ROUNDDOWN(INDEX(Y$4:Y1644,MATCH(LARGE(FILTER(W$4:W1644,W$4:W1644&lt;=I1313),1)"&amp;",W$4:W1644))+(I1313-LARGE(FILTER(W$4:W1644,W$4:W1644&lt;=I1313),1))*INDEX(T$4:T1644,MATCH(LARGE(FILTER(W$4:W1644,W$4:W1644&lt;=I1313),1),W$4:W1644))-K1313),1,
ROUNDDOWN(Y1313-INDEX(K$4:K1644,MATCH(LARGE(FILTER(I$4:I1644,I$4:I1644&lt;=W1313),1),I$4:I1644))-(W1313-L"&amp;"ARGE(FILTER(I$4:I1644,I$4:I1644&lt;=W1313),1))*INDEX(F$4:F1644,MATCH(LARGE(FILTER(I$4:I1644,I$4:I1644&lt;=W1313),1),I$4:I1644))))"),"")</f>
        <v/>
      </c>
      <c r="N1313" s="60" t="str">
        <f t="shared" si="8"/>
        <v/>
      </c>
      <c r="O1313" s="61" t="str">
        <f t="shared" si="9"/>
        <v/>
      </c>
      <c r="P1313" s="56" t="str">
        <f t="shared" si="10"/>
        <v/>
      </c>
      <c r="Q1313" s="105"/>
      <c r="R1313" s="10"/>
      <c r="S1313" s="59" t="str">
        <f t="array" ref="S1313">IF(COUNTA(Q1313:Q1644)=0,"",SUM((COUNTIF(Q$4:Q1313,Upgrades!$B$3:$B$13)-COUNTIF(Q$4:Q1313,"Sell_"&amp;Upgrades!$B$3:$B$13))*Upgrades!$D$3:$D$13))</f>
        <v/>
      </c>
      <c r="T1313" s="66" t="str">
        <f>IFERROR(__xludf.DUMMYFUNCTION("IF(COUNTA(Q1313:Q1644)=0,"""",IF(REGEXMATCH(INDEX(FILTER(Q$4:Q1313,Q$4:Q1313&lt;&gt;""""),ROWS(FILTER(Q$4:Q1313,Q$4:Q1313&lt;&gt;""""))),""^Sell_""),INDEX(FILTER(T$4:T1312,Q$4:Q1312&lt;&gt;""""),ROWS(FILTER(Q$4:Q1312,Q$4:Q1312&lt;&gt;""""))),$AD$5+S1313))"),"")</f>
        <v/>
      </c>
      <c r="U1313" s="10" t="str">
        <f>IFERROR(__xludf.DUMMYFUNCTION("IF(COUNTA(Q1313:Q1644)=0,"""",IF(Q1313="""",0,IF(REGEXMATCH(Q1313,""^Sell_""),-ROUNDDOWN(ROUNDUP(INDEX(Upgrades!$C$3:$C$13,MATCH(SUBSTITUTE(Q1313,""Sell_"",""""),Upgrades!$B$3:$B$13,0))*1.15^(COUNTIF(Q$4:Q1312,SUBSTITUTE(Q1313,""Sell_"",""""))-COUNTIF(Q$4"&amp;":Q1312,""Sell_""&amp;SUBSTITUTE(Q1313,""Sell_"",""""))))/2),ROUNDUP(INDEX(Upgrades!$C$3:$C$13,MATCH(Q1313,Upgrades!$B$3:$B$13,0))*1.15^(COUNTIF(Q$4:Q1312,Q1313)-COUNTIF(Q$4:Q1312,""Sell_""&amp;Q1313))))))"),"")</f>
        <v/>
      </c>
      <c r="V1313" s="10" t="str">
        <f t="shared" si="11"/>
        <v/>
      </c>
      <c r="W1313" s="68" t="str">
        <f t="shared" si="12"/>
        <v/>
      </c>
      <c r="X1313" s="59" t="str">
        <f t="shared" si="13"/>
        <v/>
      </c>
      <c r="Y1313" s="69" t="str">
        <f t="shared" si="14"/>
        <v/>
      </c>
      <c r="Z1313" s="11"/>
      <c r="AG1313" s="59"/>
    </row>
    <row r="1314">
      <c r="A1314" s="8"/>
      <c r="B1314" s="56" t="str">
        <f t="shared" si="2"/>
        <v/>
      </c>
      <c r="C1314" s="105"/>
      <c r="D1314" s="10"/>
      <c r="E1314" s="59" t="str">
        <f t="array" ref="E1314">IF(COUNTA(C1314:C1644)=0,"",SUM((COUNTIF(C$4:C1314,Upgrades!$B$3:$B$13)-COUNTIF(C$4:C1314,"Sell_"&amp;Upgrades!$B$3:$B$13))*Upgrades!$D$3:$D$13))</f>
        <v/>
      </c>
      <c r="F1314" s="66" t="str">
        <f>IFERROR(__xludf.DUMMYFUNCTION("IF(COUNTA(C1314:C1644)=0,"""",IF(REGEXMATCH(INDEX(FILTER(C$4:C1314,C$4:C1314&lt;&gt;""""),ROWS(FILTER(C$4:C1314,C$4:C1314&lt;&gt;""""))),""^Sell_""),INDEX(FILTER(F$4:F1313,C$4:C1313&lt;&gt;""""),ROWS(FILTER(C$4:C1313,C$4:C1313&lt;&gt;""""))),$AC$5+E1314))"),"")</f>
        <v/>
      </c>
      <c r="G1314" s="10" t="str">
        <f>IFERROR(__xludf.DUMMYFUNCTION("IF(COUNTA(C1314:C1644)=0,"""",IF(C1314="""",0,IF(REGEXMATCH(C1314,""^Sell_""),-ROUNDDOWN(ROUNDUP(INDEX(Upgrades!$C$3:$C$13,MATCH(SUBSTITUTE(C1314,""Sell_"",""""),Upgrades!$B$3:$B$13,0))*1.15^(COUNTIF(C$4:C1313,SUBSTITUTE(C1314,""Sell_"",""""))-COUNTIF(C$4"&amp;":C1313,""Sell_""&amp;SUBSTITUTE(C1314,""Sell_"",""""))))/2),ROUNDUP(INDEX(Upgrades!$C$3:$C$13,MATCH(C1314,Upgrades!$B$3:$B$13,0))*1.15^(COUNTIF(C$4:C1313,C1314)-COUNTIF(C$4:C1313,""Sell_""&amp;C1314))))))"),"")</f>
        <v/>
      </c>
      <c r="H1314" s="10" t="str">
        <f t="shared" si="3"/>
        <v/>
      </c>
      <c r="I1314" s="68" t="str">
        <f t="shared" si="4"/>
        <v/>
      </c>
      <c r="J1314" s="59" t="str">
        <f t="shared" si="5"/>
        <v/>
      </c>
      <c r="K1314" s="69" t="str">
        <f t="shared" si="6"/>
        <v/>
      </c>
      <c r="L1314" s="60" t="str">
        <f t="shared" si="7"/>
        <v/>
      </c>
      <c r="M1314" s="61" t="str">
        <f>IFERROR(__xludf.DUMMYFUNCTION("IFS(AND(COUNTA(C1314:C1644)=0,COUNTA(Q1314:Q1644)=0),"""",OR(AND(K1314&gt;=1000000000,OR(Y1314&gt;=1000000000,COUNTA(Q1314:Q1644)=0)),OR(Y1314&gt;=1000000000,AND(COUNTA(C1314:C1644)=0,P$3=TRUE))),
ROUNDDOWN((AB$1-AC$1)*MAX(INDEX(T$4:T1644,MATCH(LARGE(FILTER(Y$4:Y1"&amp;"644,Y$4:Y1644&lt;1000000000),1),Y$4:Y1644)),INDEX(F$4:F1644,MATCH(LARGE(FILTER(K$4:K1644,K$4:K1644&lt;1000000000),1),K$4:K1644)))),AND(K1314&lt;1000000000,COUNTA(C1314:C1644)&gt;0,P$3=FALSE),
ROUNDDOWN(INDEX(Y$4:Y1644,MATCH(LARGE(FILTER(W$4:W1644,W$4:W1644&lt;=I1314),1)"&amp;",W$4:W1644))+(I1314-LARGE(FILTER(W$4:W1644,W$4:W1644&lt;=I1314),1))*INDEX(T$4:T1644,MATCH(LARGE(FILTER(W$4:W1644,W$4:W1644&lt;=I1314),1),W$4:W1644))-K1314),1,
ROUNDDOWN(Y1314-INDEX(K$4:K1644,MATCH(LARGE(FILTER(I$4:I1644,I$4:I1644&lt;=W1314),1),I$4:I1644))-(W1314-L"&amp;"ARGE(FILTER(I$4:I1644,I$4:I1644&lt;=W1314),1))*INDEX(F$4:F1644,MATCH(LARGE(FILTER(I$4:I1644,I$4:I1644&lt;=W1314),1),I$4:I1644))))"),"")</f>
        <v/>
      </c>
      <c r="N1314" s="60" t="str">
        <f t="shared" si="8"/>
        <v/>
      </c>
      <c r="O1314" s="61" t="str">
        <f t="shared" si="9"/>
        <v/>
      </c>
      <c r="P1314" s="56" t="str">
        <f t="shared" si="10"/>
        <v/>
      </c>
      <c r="Q1314" s="105"/>
      <c r="R1314" s="10"/>
      <c r="S1314" s="59" t="str">
        <f t="array" ref="S1314">IF(COUNTA(Q1314:Q1644)=0,"",SUM((COUNTIF(Q$4:Q1314,Upgrades!$B$3:$B$13)-COUNTIF(Q$4:Q1314,"Sell_"&amp;Upgrades!$B$3:$B$13))*Upgrades!$D$3:$D$13))</f>
        <v/>
      </c>
      <c r="T1314" s="66" t="str">
        <f>IFERROR(__xludf.DUMMYFUNCTION("IF(COUNTA(Q1314:Q1644)=0,"""",IF(REGEXMATCH(INDEX(FILTER(Q$4:Q1314,Q$4:Q1314&lt;&gt;""""),ROWS(FILTER(Q$4:Q1314,Q$4:Q1314&lt;&gt;""""))),""^Sell_""),INDEX(FILTER(T$4:T1313,Q$4:Q1313&lt;&gt;""""),ROWS(FILTER(Q$4:Q1313,Q$4:Q1313&lt;&gt;""""))),$AD$5+S1314))"),"")</f>
        <v/>
      </c>
      <c r="U1314" s="10" t="str">
        <f>IFERROR(__xludf.DUMMYFUNCTION("IF(COUNTA(Q1314:Q1644)=0,"""",IF(Q1314="""",0,IF(REGEXMATCH(Q1314,""^Sell_""),-ROUNDDOWN(ROUNDUP(INDEX(Upgrades!$C$3:$C$13,MATCH(SUBSTITUTE(Q1314,""Sell_"",""""),Upgrades!$B$3:$B$13,0))*1.15^(COUNTIF(Q$4:Q1313,SUBSTITUTE(Q1314,""Sell_"",""""))-COUNTIF(Q$4"&amp;":Q1313,""Sell_""&amp;SUBSTITUTE(Q1314,""Sell_"",""""))))/2),ROUNDUP(INDEX(Upgrades!$C$3:$C$13,MATCH(Q1314,Upgrades!$B$3:$B$13,0))*1.15^(COUNTIF(Q$4:Q1313,Q1314)-COUNTIF(Q$4:Q1313,""Sell_""&amp;Q1314))))))"),"")</f>
        <v/>
      </c>
      <c r="V1314" s="10" t="str">
        <f t="shared" si="11"/>
        <v/>
      </c>
      <c r="W1314" s="68" t="str">
        <f t="shared" si="12"/>
        <v/>
      </c>
      <c r="X1314" s="59" t="str">
        <f t="shared" si="13"/>
        <v/>
      </c>
      <c r="Y1314" s="69" t="str">
        <f t="shared" si="14"/>
        <v/>
      </c>
      <c r="Z1314" s="11"/>
      <c r="AG1314" s="59"/>
    </row>
    <row r="1315">
      <c r="A1315" s="8"/>
      <c r="B1315" s="56" t="str">
        <f t="shared" si="2"/>
        <v/>
      </c>
      <c r="C1315" s="105"/>
      <c r="D1315" s="10"/>
      <c r="E1315" s="59" t="str">
        <f t="array" ref="E1315">IF(COUNTA(C1315:C1644)=0,"",SUM((COUNTIF(C$4:C1315,Upgrades!$B$3:$B$13)-COUNTIF(C$4:C1315,"Sell_"&amp;Upgrades!$B$3:$B$13))*Upgrades!$D$3:$D$13))</f>
        <v/>
      </c>
      <c r="F1315" s="66" t="str">
        <f>IFERROR(__xludf.DUMMYFUNCTION("IF(COUNTA(C1315:C1644)=0,"""",IF(REGEXMATCH(INDEX(FILTER(C$4:C1315,C$4:C1315&lt;&gt;""""),ROWS(FILTER(C$4:C1315,C$4:C1315&lt;&gt;""""))),""^Sell_""),INDEX(FILTER(F$4:F1314,C$4:C1314&lt;&gt;""""),ROWS(FILTER(C$4:C1314,C$4:C1314&lt;&gt;""""))),$AC$5+E1315))"),"")</f>
        <v/>
      </c>
      <c r="G1315" s="10" t="str">
        <f>IFERROR(__xludf.DUMMYFUNCTION("IF(COUNTA(C1315:C1644)=0,"""",IF(C1315="""",0,IF(REGEXMATCH(C1315,""^Sell_""),-ROUNDDOWN(ROUNDUP(INDEX(Upgrades!$C$3:$C$13,MATCH(SUBSTITUTE(C1315,""Sell_"",""""),Upgrades!$B$3:$B$13,0))*1.15^(COUNTIF(C$4:C1314,SUBSTITUTE(C1315,""Sell_"",""""))-COUNTIF(C$4"&amp;":C1314,""Sell_""&amp;SUBSTITUTE(C1315,""Sell_"",""""))))/2),ROUNDUP(INDEX(Upgrades!$C$3:$C$13,MATCH(C1315,Upgrades!$B$3:$B$13,0))*1.15^(COUNTIF(C$4:C1314,C1315)-COUNTIF(C$4:C1314,""Sell_""&amp;C1315))))))"),"")</f>
        <v/>
      </c>
      <c r="H1315" s="10" t="str">
        <f t="shared" si="3"/>
        <v/>
      </c>
      <c r="I1315" s="68" t="str">
        <f t="shared" si="4"/>
        <v/>
      </c>
      <c r="J1315" s="59" t="str">
        <f t="shared" si="5"/>
        <v/>
      </c>
      <c r="K1315" s="69" t="str">
        <f t="shared" si="6"/>
        <v/>
      </c>
      <c r="L1315" s="60" t="str">
        <f t="shared" si="7"/>
        <v/>
      </c>
      <c r="M1315" s="61" t="str">
        <f>IFERROR(__xludf.DUMMYFUNCTION("IFS(AND(COUNTA(C1315:C1644)=0,COUNTA(Q1315:Q1644)=0),"""",OR(AND(K1315&gt;=1000000000,OR(Y1315&gt;=1000000000,COUNTA(Q1315:Q1644)=0)),OR(Y1315&gt;=1000000000,AND(COUNTA(C1315:C1644)=0,P$3=TRUE))),
ROUNDDOWN((AB$1-AC$1)*MAX(INDEX(T$4:T1644,MATCH(LARGE(FILTER(Y$4:Y1"&amp;"644,Y$4:Y1644&lt;1000000000),1),Y$4:Y1644)),INDEX(F$4:F1644,MATCH(LARGE(FILTER(K$4:K1644,K$4:K1644&lt;1000000000),1),K$4:K1644)))),AND(K1315&lt;1000000000,COUNTA(C1315:C1644)&gt;0,P$3=FALSE),
ROUNDDOWN(INDEX(Y$4:Y1644,MATCH(LARGE(FILTER(W$4:W1644,W$4:W1644&lt;=I1315),1)"&amp;",W$4:W1644))+(I1315-LARGE(FILTER(W$4:W1644,W$4:W1644&lt;=I1315),1))*INDEX(T$4:T1644,MATCH(LARGE(FILTER(W$4:W1644,W$4:W1644&lt;=I1315),1),W$4:W1644))-K1315),1,
ROUNDDOWN(Y1315-INDEX(K$4:K1644,MATCH(LARGE(FILTER(I$4:I1644,I$4:I1644&lt;=W1315),1),I$4:I1644))-(W1315-L"&amp;"ARGE(FILTER(I$4:I1644,I$4:I1644&lt;=W1315),1))*INDEX(F$4:F1644,MATCH(LARGE(FILTER(I$4:I1644,I$4:I1644&lt;=W1315),1),I$4:I1644))))"),"")</f>
        <v/>
      </c>
      <c r="N1315" s="60" t="str">
        <f t="shared" si="8"/>
        <v/>
      </c>
      <c r="O1315" s="61" t="str">
        <f t="shared" si="9"/>
        <v/>
      </c>
      <c r="P1315" s="56" t="str">
        <f t="shared" si="10"/>
        <v/>
      </c>
      <c r="Q1315" s="105"/>
      <c r="R1315" s="10"/>
      <c r="S1315" s="59" t="str">
        <f t="array" ref="S1315">IF(COUNTA(Q1315:Q1644)=0,"",SUM((COUNTIF(Q$4:Q1315,Upgrades!$B$3:$B$13)-COUNTIF(Q$4:Q1315,"Sell_"&amp;Upgrades!$B$3:$B$13))*Upgrades!$D$3:$D$13))</f>
        <v/>
      </c>
      <c r="T1315" s="66" t="str">
        <f>IFERROR(__xludf.DUMMYFUNCTION("IF(COUNTA(Q1315:Q1644)=0,"""",IF(REGEXMATCH(INDEX(FILTER(Q$4:Q1315,Q$4:Q1315&lt;&gt;""""),ROWS(FILTER(Q$4:Q1315,Q$4:Q1315&lt;&gt;""""))),""^Sell_""),INDEX(FILTER(T$4:T1314,Q$4:Q1314&lt;&gt;""""),ROWS(FILTER(Q$4:Q1314,Q$4:Q1314&lt;&gt;""""))),$AD$5+S1315))"),"")</f>
        <v/>
      </c>
      <c r="U1315" s="10" t="str">
        <f>IFERROR(__xludf.DUMMYFUNCTION("IF(COUNTA(Q1315:Q1644)=0,"""",IF(Q1315="""",0,IF(REGEXMATCH(Q1315,""^Sell_""),-ROUNDDOWN(ROUNDUP(INDEX(Upgrades!$C$3:$C$13,MATCH(SUBSTITUTE(Q1315,""Sell_"",""""),Upgrades!$B$3:$B$13,0))*1.15^(COUNTIF(Q$4:Q1314,SUBSTITUTE(Q1315,""Sell_"",""""))-COUNTIF(Q$4"&amp;":Q1314,""Sell_""&amp;SUBSTITUTE(Q1315,""Sell_"",""""))))/2),ROUNDUP(INDEX(Upgrades!$C$3:$C$13,MATCH(Q1315,Upgrades!$B$3:$B$13,0))*1.15^(COUNTIF(Q$4:Q1314,Q1315)-COUNTIF(Q$4:Q1314,""Sell_""&amp;Q1315))))))"),"")</f>
        <v/>
      </c>
      <c r="V1315" s="10" t="str">
        <f t="shared" si="11"/>
        <v/>
      </c>
      <c r="W1315" s="68" t="str">
        <f t="shared" si="12"/>
        <v/>
      </c>
      <c r="X1315" s="59" t="str">
        <f t="shared" si="13"/>
        <v/>
      </c>
      <c r="Y1315" s="69" t="str">
        <f t="shared" si="14"/>
        <v/>
      </c>
      <c r="Z1315" s="11"/>
      <c r="AG1315" s="59"/>
    </row>
    <row r="1316">
      <c r="A1316" s="8"/>
      <c r="B1316" s="56" t="str">
        <f t="shared" si="2"/>
        <v/>
      </c>
      <c r="C1316" s="105"/>
      <c r="D1316" s="10"/>
      <c r="E1316" s="59" t="str">
        <f t="array" ref="E1316">IF(COUNTA(C1316:C1644)=0,"",SUM((COUNTIF(C$4:C1316,Upgrades!$B$3:$B$13)-COUNTIF(C$4:C1316,"Sell_"&amp;Upgrades!$B$3:$B$13))*Upgrades!$D$3:$D$13))</f>
        <v/>
      </c>
      <c r="F1316" s="66" t="str">
        <f>IFERROR(__xludf.DUMMYFUNCTION("IF(COUNTA(C1316:C1644)=0,"""",IF(REGEXMATCH(INDEX(FILTER(C$4:C1316,C$4:C1316&lt;&gt;""""),ROWS(FILTER(C$4:C1316,C$4:C1316&lt;&gt;""""))),""^Sell_""),INDEX(FILTER(F$4:F1315,C$4:C1315&lt;&gt;""""),ROWS(FILTER(C$4:C1315,C$4:C1315&lt;&gt;""""))),$AC$5+E1316))"),"")</f>
        <v/>
      </c>
      <c r="G1316" s="10" t="str">
        <f>IFERROR(__xludf.DUMMYFUNCTION("IF(COUNTA(C1316:C1644)=0,"""",IF(C1316="""",0,IF(REGEXMATCH(C1316,""^Sell_""),-ROUNDDOWN(ROUNDUP(INDEX(Upgrades!$C$3:$C$13,MATCH(SUBSTITUTE(C1316,""Sell_"",""""),Upgrades!$B$3:$B$13,0))*1.15^(COUNTIF(C$4:C1315,SUBSTITUTE(C1316,""Sell_"",""""))-COUNTIF(C$4"&amp;":C1315,""Sell_""&amp;SUBSTITUTE(C1316,""Sell_"",""""))))/2),ROUNDUP(INDEX(Upgrades!$C$3:$C$13,MATCH(C1316,Upgrades!$B$3:$B$13,0))*1.15^(COUNTIF(C$4:C1315,C1316)-COUNTIF(C$4:C1315,""Sell_""&amp;C1316))))))"),"")</f>
        <v/>
      </c>
      <c r="H1316" s="10" t="str">
        <f t="shared" si="3"/>
        <v/>
      </c>
      <c r="I1316" s="68" t="str">
        <f t="shared" si="4"/>
        <v/>
      </c>
      <c r="J1316" s="59" t="str">
        <f t="shared" si="5"/>
        <v/>
      </c>
      <c r="K1316" s="69" t="str">
        <f t="shared" si="6"/>
        <v/>
      </c>
      <c r="L1316" s="60" t="str">
        <f t="shared" si="7"/>
        <v/>
      </c>
      <c r="M1316" s="61" t="str">
        <f>IFERROR(__xludf.DUMMYFUNCTION("IFS(AND(COUNTA(C1316:C1644)=0,COUNTA(Q1316:Q1644)=0),"""",OR(AND(K1316&gt;=1000000000,OR(Y1316&gt;=1000000000,COUNTA(Q1316:Q1644)=0)),OR(Y1316&gt;=1000000000,AND(COUNTA(C1316:C1644)=0,P$3=TRUE))),
ROUNDDOWN((AB$1-AC$1)*MAX(INDEX(T$4:T1644,MATCH(LARGE(FILTER(Y$4:Y1"&amp;"644,Y$4:Y1644&lt;1000000000),1),Y$4:Y1644)),INDEX(F$4:F1644,MATCH(LARGE(FILTER(K$4:K1644,K$4:K1644&lt;1000000000),1),K$4:K1644)))),AND(K1316&lt;1000000000,COUNTA(C1316:C1644)&gt;0,P$3=FALSE),
ROUNDDOWN(INDEX(Y$4:Y1644,MATCH(LARGE(FILTER(W$4:W1644,W$4:W1644&lt;=I1316),1)"&amp;",W$4:W1644))+(I1316-LARGE(FILTER(W$4:W1644,W$4:W1644&lt;=I1316),1))*INDEX(T$4:T1644,MATCH(LARGE(FILTER(W$4:W1644,W$4:W1644&lt;=I1316),1),W$4:W1644))-K1316),1,
ROUNDDOWN(Y1316-INDEX(K$4:K1644,MATCH(LARGE(FILTER(I$4:I1644,I$4:I1644&lt;=W1316),1),I$4:I1644))-(W1316-L"&amp;"ARGE(FILTER(I$4:I1644,I$4:I1644&lt;=W1316),1))*INDEX(F$4:F1644,MATCH(LARGE(FILTER(I$4:I1644,I$4:I1644&lt;=W1316),1),I$4:I1644))))"),"")</f>
        <v/>
      </c>
      <c r="N1316" s="60" t="str">
        <f t="shared" si="8"/>
        <v/>
      </c>
      <c r="O1316" s="61" t="str">
        <f t="shared" si="9"/>
        <v/>
      </c>
      <c r="P1316" s="56" t="str">
        <f t="shared" si="10"/>
        <v/>
      </c>
      <c r="Q1316" s="105"/>
      <c r="R1316" s="10"/>
      <c r="S1316" s="59" t="str">
        <f t="array" ref="S1316">IF(COUNTA(Q1316:Q1644)=0,"",SUM((COUNTIF(Q$4:Q1316,Upgrades!$B$3:$B$13)-COUNTIF(Q$4:Q1316,"Sell_"&amp;Upgrades!$B$3:$B$13))*Upgrades!$D$3:$D$13))</f>
        <v/>
      </c>
      <c r="T1316" s="66" t="str">
        <f>IFERROR(__xludf.DUMMYFUNCTION("IF(COUNTA(Q1316:Q1644)=0,"""",IF(REGEXMATCH(INDEX(FILTER(Q$4:Q1316,Q$4:Q1316&lt;&gt;""""),ROWS(FILTER(Q$4:Q1316,Q$4:Q1316&lt;&gt;""""))),""^Sell_""),INDEX(FILTER(T$4:T1315,Q$4:Q1315&lt;&gt;""""),ROWS(FILTER(Q$4:Q1315,Q$4:Q1315&lt;&gt;""""))),$AD$5+S1316))"),"")</f>
        <v/>
      </c>
      <c r="U1316" s="10" t="str">
        <f>IFERROR(__xludf.DUMMYFUNCTION("IF(COUNTA(Q1316:Q1644)=0,"""",IF(Q1316="""",0,IF(REGEXMATCH(Q1316,""^Sell_""),-ROUNDDOWN(ROUNDUP(INDEX(Upgrades!$C$3:$C$13,MATCH(SUBSTITUTE(Q1316,""Sell_"",""""),Upgrades!$B$3:$B$13,0))*1.15^(COUNTIF(Q$4:Q1315,SUBSTITUTE(Q1316,""Sell_"",""""))-COUNTIF(Q$4"&amp;":Q1315,""Sell_""&amp;SUBSTITUTE(Q1316,""Sell_"",""""))))/2),ROUNDUP(INDEX(Upgrades!$C$3:$C$13,MATCH(Q1316,Upgrades!$B$3:$B$13,0))*1.15^(COUNTIF(Q$4:Q1315,Q1316)-COUNTIF(Q$4:Q1315,""Sell_""&amp;Q1316))))))"),"")</f>
        <v/>
      </c>
      <c r="V1316" s="10" t="str">
        <f t="shared" si="11"/>
        <v/>
      </c>
      <c r="W1316" s="68" t="str">
        <f t="shared" si="12"/>
        <v/>
      </c>
      <c r="X1316" s="59" t="str">
        <f t="shared" si="13"/>
        <v/>
      </c>
      <c r="Y1316" s="69" t="str">
        <f t="shared" si="14"/>
        <v/>
      </c>
      <c r="Z1316" s="11"/>
      <c r="AG1316" s="59"/>
    </row>
    <row r="1317">
      <c r="A1317" s="8"/>
      <c r="B1317" s="56" t="str">
        <f t="shared" si="2"/>
        <v/>
      </c>
      <c r="C1317" s="105"/>
      <c r="D1317" s="10"/>
      <c r="E1317" s="59" t="str">
        <f t="array" ref="E1317">IF(COUNTA(C1317:C1644)=0,"",SUM((COUNTIF(C$4:C1317,Upgrades!$B$3:$B$13)-COUNTIF(C$4:C1317,"Sell_"&amp;Upgrades!$B$3:$B$13))*Upgrades!$D$3:$D$13))</f>
        <v/>
      </c>
      <c r="F1317" s="66" t="str">
        <f>IFERROR(__xludf.DUMMYFUNCTION("IF(COUNTA(C1317:C1644)=0,"""",IF(REGEXMATCH(INDEX(FILTER(C$4:C1317,C$4:C1317&lt;&gt;""""),ROWS(FILTER(C$4:C1317,C$4:C1317&lt;&gt;""""))),""^Sell_""),INDEX(FILTER(F$4:F1316,C$4:C1316&lt;&gt;""""),ROWS(FILTER(C$4:C1316,C$4:C1316&lt;&gt;""""))),$AC$5+E1317))"),"")</f>
        <v/>
      </c>
      <c r="G1317" s="10" t="str">
        <f>IFERROR(__xludf.DUMMYFUNCTION("IF(COUNTA(C1317:C1644)=0,"""",IF(C1317="""",0,IF(REGEXMATCH(C1317,""^Sell_""),-ROUNDDOWN(ROUNDUP(INDEX(Upgrades!$C$3:$C$13,MATCH(SUBSTITUTE(C1317,""Sell_"",""""),Upgrades!$B$3:$B$13,0))*1.15^(COUNTIF(C$4:C1316,SUBSTITUTE(C1317,""Sell_"",""""))-COUNTIF(C$4"&amp;":C1316,""Sell_""&amp;SUBSTITUTE(C1317,""Sell_"",""""))))/2),ROUNDUP(INDEX(Upgrades!$C$3:$C$13,MATCH(C1317,Upgrades!$B$3:$B$13,0))*1.15^(COUNTIF(C$4:C1316,C1317)-COUNTIF(C$4:C1316,""Sell_""&amp;C1317))))))"),"")</f>
        <v/>
      </c>
      <c r="H1317" s="10" t="str">
        <f t="shared" si="3"/>
        <v/>
      </c>
      <c r="I1317" s="68" t="str">
        <f t="shared" si="4"/>
        <v/>
      </c>
      <c r="J1317" s="59" t="str">
        <f t="shared" si="5"/>
        <v/>
      </c>
      <c r="K1317" s="69" t="str">
        <f t="shared" si="6"/>
        <v/>
      </c>
      <c r="L1317" s="60" t="str">
        <f t="shared" si="7"/>
        <v/>
      </c>
      <c r="M1317" s="61" t="str">
        <f>IFERROR(__xludf.DUMMYFUNCTION("IFS(AND(COUNTA(C1317:C1644)=0,COUNTA(Q1317:Q1644)=0),"""",OR(AND(K1317&gt;=1000000000,OR(Y1317&gt;=1000000000,COUNTA(Q1317:Q1644)=0)),OR(Y1317&gt;=1000000000,AND(COUNTA(C1317:C1644)=0,P$3=TRUE))),
ROUNDDOWN((AB$1-AC$1)*MAX(INDEX(T$4:T1644,MATCH(LARGE(FILTER(Y$4:Y1"&amp;"644,Y$4:Y1644&lt;1000000000),1),Y$4:Y1644)),INDEX(F$4:F1644,MATCH(LARGE(FILTER(K$4:K1644,K$4:K1644&lt;1000000000),1),K$4:K1644)))),AND(K1317&lt;1000000000,COUNTA(C1317:C1644)&gt;0,P$3=FALSE),
ROUNDDOWN(INDEX(Y$4:Y1644,MATCH(LARGE(FILTER(W$4:W1644,W$4:W1644&lt;=I1317),1)"&amp;",W$4:W1644))+(I1317-LARGE(FILTER(W$4:W1644,W$4:W1644&lt;=I1317),1))*INDEX(T$4:T1644,MATCH(LARGE(FILTER(W$4:W1644,W$4:W1644&lt;=I1317),1),W$4:W1644))-K1317),1,
ROUNDDOWN(Y1317-INDEX(K$4:K1644,MATCH(LARGE(FILTER(I$4:I1644,I$4:I1644&lt;=W1317),1),I$4:I1644))-(W1317-L"&amp;"ARGE(FILTER(I$4:I1644,I$4:I1644&lt;=W1317),1))*INDEX(F$4:F1644,MATCH(LARGE(FILTER(I$4:I1644,I$4:I1644&lt;=W1317),1),I$4:I1644))))"),"")</f>
        <v/>
      </c>
      <c r="N1317" s="60" t="str">
        <f t="shared" si="8"/>
        <v/>
      </c>
      <c r="O1317" s="61" t="str">
        <f t="shared" si="9"/>
        <v/>
      </c>
      <c r="P1317" s="56" t="str">
        <f t="shared" si="10"/>
        <v/>
      </c>
      <c r="Q1317" s="105"/>
      <c r="R1317" s="10"/>
      <c r="S1317" s="59" t="str">
        <f t="array" ref="S1317">IF(COUNTA(Q1317:Q1644)=0,"",SUM((COUNTIF(Q$4:Q1317,Upgrades!$B$3:$B$13)-COUNTIF(Q$4:Q1317,"Sell_"&amp;Upgrades!$B$3:$B$13))*Upgrades!$D$3:$D$13))</f>
        <v/>
      </c>
      <c r="T1317" s="66" t="str">
        <f>IFERROR(__xludf.DUMMYFUNCTION("IF(COUNTA(Q1317:Q1644)=0,"""",IF(REGEXMATCH(INDEX(FILTER(Q$4:Q1317,Q$4:Q1317&lt;&gt;""""),ROWS(FILTER(Q$4:Q1317,Q$4:Q1317&lt;&gt;""""))),""^Sell_""),INDEX(FILTER(T$4:T1316,Q$4:Q1316&lt;&gt;""""),ROWS(FILTER(Q$4:Q1316,Q$4:Q1316&lt;&gt;""""))),$AD$5+S1317))"),"")</f>
        <v/>
      </c>
      <c r="U1317" s="10" t="str">
        <f>IFERROR(__xludf.DUMMYFUNCTION("IF(COUNTA(Q1317:Q1644)=0,"""",IF(Q1317="""",0,IF(REGEXMATCH(Q1317,""^Sell_""),-ROUNDDOWN(ROUNDUP(INDEX(Upgrades!$C$3:$C$13,MATCH(SUBSTITUTE(Q1317,""Sell_"",""""),Upgrades!$B$3:$B$13,0))*1.15^(COUNTIF(Q$4:Q1316,SUBSTITUTE(Q1317,""Sell_"",""""))-COUNTIF(Q$4"&amp;":Q1316,""Sell_""&amp;SUBSTITUTE(Q1317,""Sell_"",""""))))/2),ROUNDUP(INDEX(Upgrades!$C$3:$C$13,MATCH(Q1317,Upgrades!$B$3:$B$13,0))*1.15^(COUNTIF(Q$4:Q1316,Q1317)-COUNTIF(Q$4:Q1316,""Sell_""&amp;Q1317))))))"),"")</f>
        <v/>
      </c>
      <c r="V1317" s="10" t="str">
        <f t="shared" si="11"/>
        <v/>
      </c>
      <c r="W1317" s="68" t="str">
        <f t="shared" si="12"/>
        <v/>
      </c>
      <c r="X1317" s="59" t="str">
        <f t="shared" si="13"/>
        <v/>
      </c>
      <c r="Y1317" s="69" t="str">
        <f t="shared" si="14"/>
        <v/>
      </c>
      <c r="Z1317" s="11"/>
      <c r="AG1317" s="59"/>
    </row>
    <row r="1318">
      <c r="A1318" s="8"/>
      <c r="B1318" s="56" t="str">
        <f t="shared" si="2"/>
        <v/>
      </c>
      <c r="C1318" s="105"/>
      <c r="D1318" s="10"/>
      <c r="E1318" s="59" t="str">
        <f t="array" ref="E1318">IF(COUNTA(C1318:C1644)=0,"",SUM((COUNTIF(C$4:C1318,Upgrades!$B$3:$B$13)-COUNTIF(C$4:C1318,"Sell_"&amp;Upgrades!$B$3:$B$13))*Upgrades!$D$3:$D$13))</f>
        <v/>
      </c>
      <c r="F1318" s="66" t="str">
        <f>IFERROR(__xludf.DUMMYFUNCTION("IF(COUNTA(C1318:C1644)=0,"""",IF(REGEXMATCH(INDEX(FILTER(C$4:C1318,C$4:C1318&lt;&gt;""""),ROWS(FILTER(C$4:C1318,C$4:C1318&lt;&gt;""""))),""^Sell_""),INDEX(FILTER(F$4:F1317,C$4:C1317&lt;&gt;""""),ROWS(FILTER(C$4:C1317,C$4:C1317&lt;&gt;""""))),$AC$5+E1318))"),"")</f>
        <v/>
      </c>
      <c r="G1318" s="10" t="str">
        <f>IFERROR(__xludf.DUMMYFUNCTION("IF(COUNTA(C1318:C1644)=0,"""",IF(C1318="""",0,IF(REGEXMATCH(C1318,""^Sell_""),-ROUNDDOWN(ROUNDUP(INDEX(Upgrades!$C$3:$C$13,MATCH(SUBSTITUTE(C1318,""Sell_"",""""),Upgrades!$B$3:$B$13,0))*1.15^(COUNTIF(C$4:C1317,SUBSTITUTE(C1318,""Sell_"",""""))-COUNTIF(C$4"&amp;":C1317,""Sell_""&amp;SUBSTITUTE(C1318,""Sell_"",""""))))/2),ROUNDUP(INDEX(Upgrades!$C$3:$C$13,MATCH(C1318,Upgrades!$B$3:$B$13,0))*1.15^(COUNTIF(C$4:C1317,C1318)-COUNTIF(C$4:C1317,""Sell_""&amp;C1318))))))"),"")</f>
        <v/>
      </c>
      <c r="H1318" s="10" t="str">
        <f t="shared" si="3"/>
        <v/>
      </c>
      <c r="I1318" s="68" t="str">
        <f t="shared" si="4"/>
        <v/>
      </c>
      <c r="J1318" s="59" t="str">
        <f t="shared" si="5"/>
        <v/>
      </c>
      <c r="K1318" s="69" t="str">
        <f t="shared" si="6"/>
        <v/>
      </c>
      <c r="L1318" s="60" t="str">
        <f t="shared" si="7"/>
        <v/>
      </c>
      <c r="M1318" s="61" t="str">
        <f>IFERROR(__xludf.DUMMYFUNCTION("IFS(AND(COUNTA(C1318:C1644)=0,COUNTA(Q1318:Q1644)=0),"""",OR(AND(K1318&gt;=1000000000,OR(Y1318&gt;=1000000000,COUNTA(Q1318:Q1644)=0)),OR(Y1318&gt;=1000000000,AND(COUNTA(C1318:C1644)=0,P$3=TRUE))),
ROUNDDOWN((AB$1-AC$1)*MAX(INDEX(T$4:T1644,MATCH(LARGE(FILTER(Y$4:Y1"&amp;"644,Y$4:Y1644&lt;1000000000),1),Y$4:Y1644)),INDEX(F$4:F1644,MATCH(LARGE(FILTER(K$4:K1644,K$4:K1644&lt;1000000000),1),K$4:K1644)))),AND(K1318&lt;1000000000,COUNTA(C1318:C1644)&gt;0,P$3=FALSE),
ROUNDDOWN(INDEX(Y$4:Y1644,MATCH(LARGE(FILTER(W$4:W1644,W$4:W1644&lt;=I1318),1)"&amp;",W$4:W1644))+(I1318-LARGE(FILTER(W$4:W1644,W$4:W1644&lt;=I1318),1))*INDEX(T$4:T1644,MATCH(LARGE(FILTER(W$4:W1644,W$4:W1644&lt;=I1318),1),W$4:W1644))-K1318),1,
ROUNDDOWN(Y1318-INDEX(K$4:K1644,MATCH(LARGE(FILTER(I$4:I1644,I$4:I1644&lt;=W1318),1),I$4:I1644))-(W1318-L"&amp;"ARGE(FILTER(I$4:I1644,I$4:I1644&lt;=W1318),1))*INDEX(F$4:F1644,MATCH(LARGE(FILTER(I$4:I1644,I$4:I1644&lt;=W1318),1),I$4:I1644))))"),"")</f>
        <v/>
      </c>
      <c r="N1318" s="60" t="str">
        <f t="shared" si="8"/>
        <v/>
      </c>
      <c r="O1318" s="61" t="str">
        <f t="shared" si="9"/>
        <v/>
      </c>
      <c r="P1318" s="56" t="str">
        <f t="shared" si="10"/>
        <v/>
      </c>
      <c r="Q1318" s="105"/>
      <c r="R1318" s="10"/>
      <c r="S1318" s="59" t="str">
        <f t="array" ref="S1318">IF(COUNTA(Q1318:Q1644)=0,"",SUM((COUNTIF(Q$4:Q1318,Upgrades!$B$3:$B$13)-COUNTIF(Q$4:Q1318,"Sell_"&amp;Upgrades!$B$3:$B$13))*Upgrades!$D$3:$D$13))</f>
        <v/>
      </c>
      <c r="T1318" s="66" t="str">
        <f>IFERROR(__xludf.DUMMYFUNCTION("IF(COUNTA(Q1318:Q1644)=0,"""",IF(REGEXMATCH(INDEX(FILTER(Q$4:Q1318,Q$4:Q1318&lt;&gt;""""),ROWS(FILTER(Q$4:Q1318,Q$4:Q1318&lt;&gt;""""))),""^Sell_""),INDEX(FILTER(T$4:T1317,Q$4:Q1317&lt;&gt;""""),ROWS(FILTER(Q$4:Q1317,Q$4:Q1317&lt;&gt;""""))),$AD$5+S1318))"),"")</f>
        <v/>
      </c>
      <c r="U1318" s="10" t="str">
        <f>IFERROR(__xludf.DUMMYFUNCTION("IF(COUNTA(Q1318:Q1644)=0,"""",IF(Q1318="""",0,IF(REGEXMATCH(Q1318,""^Sell_""),-ROUNDDOWN(ROUNDUP(INDEX(Upgrades!$C$3:$C$13,MATCH(SUBSTITUTE(Q1318,""Sell_"",""""),Upgrades!$B$3:$B$13,0))*1.15^(COUNTIF(Q$4:Q1317,SUBSTITUTE(Q1318,""Sell_"",""""))-COUNTIF(Q$4"&amp;":Q1317,""Sell_""&amp;SUBSTITUTE(Q1318,""Sell_"",""""))))/2),ROUNDUP(INDEX(Upgrades!$C$3:$C$13,MATCH(Q1318,Upgrades!$B$3:$B$13,0))*1.15^(COUNTIF(Q$4:Q1317,Q1318)-COUNTIF(Q$4:Q1317,""Sell_""&amp;Q1318))))))"),"")</f>
        <v/>
      </c>
      <c r="V1318" s="10" t="str">
        <f t="shared" si="11"/>
        <v/>
      </c>
      <c r="W1318" s="68" t="str">
        <f t="shared" si="12"/>
        <v/>
      </c>
      <c r="X1318" s="59" t="str">
        <f t="shared" si="13"/>
        <v/>
      </c>
      <c r="Y1318" s="69" t="str">
        <f t="shared" si="14"/>
        <v/>
      </c>
      <c r="Z1318" s="11"/>
      <c r="AG1318" s="59"/>
    </row>
    <row r="1319">
      <c r="A1319" s="8"/>
      <c r="B1319" s="56" t="str">
        <f t="shared" si="2"/>
        <v/>
      </c>
      <c r="C1319" s="105"/>
      <c r="D1319" s="10"/>
      <c r="E1319" s="59" t="str">
        <f t="array" ref="E1319">IF(COUNTA(C1319:C1644)=0,"",SUM((COUNTIF(C$4:C1319,Upgrades!$B$3:$B$13)-COUNTIF(C$4:C1319,"Sell_"&amp;Upgrades!$B$3:$B$13))*Upgrades!$D$3:$D$13))</f>
        <v/>
      </c>
      <c r="F1319" s="66" t="str">
        <f>IFERROR(__xludf.DUMMYFUNCTION("IF(COUNTA(C1319:C1644)=0,"""",IF(REGEXMATCH(INDEX(FILTER(C$4:C1319,C$4:C1319&lt;&gt;""""),ROWS(FILTER(C$4:C1319,C$4:C1319&lt;&gt;""""))),""^Sell_""),INDEX(FILTER(F$4:F1318,C$4:C1318&lt;&gt;""""),ROWS(FILTER(C$4:C1318,C$4:C1318&lt;&gt;""""))),$AC$5+E1319))"),"")</f>
        <v/>
      </c>
      <c r="G1319" s="10" t="str">
        <f>IFERROR(__xludf.DUMMYFUNCTION("IF(COUNTA(C1319:C1644)=0,"""",IF(C1319="""",0,IF(REGEXMATCH(C1319,""^Sell_""),-ROUNDDOWN(ROUNDUP(INDEX(Upgrades!$C$3:$C$13,MATCH(SUBSTITUTE(C1319,""Sell_"",""""),Upgrades!$B$3:$B$13,0))*1.15^(COUNTIF(C$4:C1318,SUBSTITUTE(C1319,""Sell_"",""""))-COUNTIF(C$4"&amp;":C1318,""Sell_""&amp;SUBSTITUTE(C1319,""Sell_"",""""))))/2),ROUNDUP(INDEX(Upgrades!$C$3:$C$13,MATCH(C1319,Upgrades!$B$3:$B$13,0))*1.15^(COUNTIF(C$4:C1318,C1319)-COUNTIF(C$4:C1318,""Sell_""&amp;C1319))))))"),"")</f>
        <v/>
      </c>
      <c r="H1319" s="10" t="str">
        <f t="shared" si="3"/>
        <v/>
      </c>
      <c r="I1319" s="68" t="str">
        <f t="shared" si="4"/>
        <v/>
      </c>
      <c r="J1319" s="59" t="str">
        <f t="shared" si="5"/>
        <v/>
      </c>
      <c r="K1319" s="69" t="str">
        <f t="shared" si="6"/>
        <v/>
      </c>
      <c r="L1319" s="60" t="str">
        <f t="shared" si="7"/>
        <v/>
      </c>
      <c r="M1319" s="61" t="str">
        <f>IFERROR(__xludf.DUMMYFUNCTION("IFS(AND(COUNTA(C1319:C1644)=0,COUNTA(Q1319:Q1644)=0),"""",OR(AND(K1319&gt;=1000000000,OR(Y1319&gt;=1000000000,COUNTA(Q1319:Q1644)=0)),OR(Y1319&gt;=1000000000,AND(COUNTA(C1319:C1644)=0,P$3=TRUE))),
ROUNDDOWN((AB$1-AC$1)*MAX(INDEX(T$4:T1644,MATCH(LARGE(FILTER(Y$4:Y1"&amp;"644,Y$4:Y1644&lt;1000000000),1),Y$4:Y1644)),INDEX(F$4:F1644,MATCH(LARGE(FILTER(K$4:K1644,K$4:K1644&lt;1000000000),1),K$4:K1644)))),AND(K1319&lt;1000000000,COUNTA(C1319:C1644)&gt;0,P$3=FALSE),
ROUNDDOWN(INDEX(Y$4:Y1644,MATCH(LARGE(FILTER(W$4:W1644,W$4:W1644&lt;=I1319),1)"&amp;",W$4:W1644))+(I1319-LARGE(FILTER(W$4:W1644,W$4:W1644&lt;=I1319),1))*INDEX(T$4:T1644,MATCH(LARGE(FILTER(W$4:W1644,W$4:W1644&lt;=I1319),1),W$4:W1644))-K1319),1,
ROUNDDOWN(Y1319-INDEX(K$4:K1644,MATCH(LARGE(FILTER(I$4:I1644,I$4:I1644&lt;=W1319),1),I$4:I1644))-(W1319-L"&amp;"ARGE(FILTER(I$4:I1644,I$4:I1644&lt;=W1319),1))*INDEX(F$4:F1644,MATCH(LARGE(FILTER(I$4:I1644,I$4:I1644&lt;=W1319),1),I$4:I1644))))"),"")</f>
        <v/>
      </c>
      <c r="N1319" s="60" t="str">
        <f t="shared" si="8"/>
        <v/>
      </c>
      <c r="O1319" s="61" t="str">
        <f t="shared" si="9"/>
        <v/>
      </c>
      <c r="P1319" s="56" t="str">
        <f t="shared" si="10"/>
        <v/>
      </c>
      <c r="Q1319" s="105"/>
      <c r="R1319" s="10"/>
      <c r="S1319" s="59" t="str">
        <f t="array" ref="S1319">IF(COUNTA(Q1319:Q1644)=0,"",SUM((COUNTIF(Q$4:Q1319,Upgrades!$B$3:$B$13)-COUNTIF(Q$4:Q1319,"Sell_"&amp;Upgrades!$B$3:$B$13))*Upgrades!$D$3:$D$13))</f>
        <v/>
      </c>
      <c r="T1319" s="66" t="str">
        <f>IFERROR(__xludf.DUMMYFUNCTION("IF(COUNTA(Q1319:Q1644)=0,"""",IF(REGEXMATCH(INDEX(FILTER(Q$4:Q1319,Q$4:Q1319&lt;&gt;""""),ROWS(FILTER(Q$4:Q1319,Q$4:Q1319&lt;&gt;""""))),""^Sell_""),INDEX(FILTER(T$4:T1318,Q$4:Q1318&lt;&gt;""""),ROWS(FILTER(Q$4:Q1318,Q$4:Q1318&lt;&gt;""""))),$AD$5+S1319))"),"")</f>
        <v/>
      </c>
      <c r="U1319" s="10" t="str">
        <f>IFERROR(__xludf.DUMMYFUNCTION("IF(COUNTA(Q1319:Q1644)=0,"""",IF(Q1319="""",0,IF(REGEXMATCH(Q1319,""^Sell_""),-ROUNDDOWN(ROUNDUP(INDEX(Upgrades!$C$3:$C$13,MATCH(SUBSTITUTE(Q1319,""Sell_"",""""),Upgrades!$B$3:$B$13,0))*1.15^(COUNTIF(Q$4:Q1318,SUBSTITUTE(Q1319,""Sell_"",""""))-COUNTIF(Q$4"&amp;":Q1318,""Sell_""&amp;SUBSTITUTE(Q1319,""Sell_"",""""))))/2),ROUNDUP(INDEX(Upgrades!$C$3:$C$13,MATCH(Q1319,Upgrades!$B$3:$B$13,0))*1.15^(COUNTIF(Q$4:Q1318,Q1319)-COUNTIF(Q$4:Q1318,""Sell_""&amp;Q1319))))))"),"")</f>
        <v/>
      </c>
      <c r="V1319" s="10" t="str">
        <f t="shared" si="11"/>
        <v/>
      </c>
      <c r="W1319" s="68" t="str">
        <f t="shared" si="12"/>
        <v/>
      </c>
      <c r="X1319" s="59" t="str">
        <f t="shared" si="13"/>
        <v/>
      </c>
      <c r="Y1319" s="69" t="str">
        <f t="shared" si="14"/>
        <v/>
      </c>
      <c r="Z1319" s="11"/>
      <c r="AG1319" s="59"/>
    </row>
    <row r="1320">
      <c r="A1320" s="8"/>
      <c r="B1320" s="56" t="str">
        <f t="shared" si="2"/>
        <v/>
      </c>
      <c r="C1320" s="105"/>
      <c r="D1320" s="10"/>
      <c r="E1320" s="59" t="str">
        <f t="array" ref="E1320">IF(COUNTA(C1320:C1644)=0,"",SUM((COUNTIF(C$4:C1320,Upgrades!$B$3:$B$13)-COUNTIF(C$4:C1320,"Sell_"&amp;Upgrades!$B$3:$B$13))*Upgrades!$D$3:$D$13))</f>
        <v/>
      </c>
      <c r="F1320" s="66" t="str">
        <f>IFERROR(__xludf.DUMMYFUNCTION("IF(COUNTA(C1320:C1644)=0,"""",IF(REGEXMATCH(INDEX(FILTER(C$4:C1320,C$4:C1320&lt;&gt;""""),ROWS(FILTER(C$4:C1320,C$4:C1320&lt;&gt;""""))),""^Sell_""),INDEX(FILTER(F$4:F1319,C$4:C1319&lt;&gt;""""),ROWS(FILTER(C$4:C1319,C$4:C1319&lt;&gt;""""))),$AC$5+E1320))"),"")</f>
        <v/>
      </c>
      <c r="G1320" s="10" t="str">
        <f>IFERROR(__xludf.DUMMYFUNCTION("IF(COUNTA(C1320:C1644)=0,"""",IF(C1320="""",0,IF(REGEXMATCH(C1320,""^Sell_""),-ROUNDDOWN(ROUNDUP(INDEX(Upgrades!$C$3:$C$13,MATCH(SUBSTITUTE(C1320,""Sell_"",""""),Upgrades!$B$3:$B$13,0))*1.15^(COUNTIF(C$4:C1319,SUBSTITUTE(C1320,""Sell_"",""""))-COUNTIF(C$4"&amp;":C1319,""Sell_""&amp;SUBSTITUTE(C1320,""Sell_"",""""))))/2),ROUNDUP(INDEX(Upgrades!$C$3:$C$13,MATCH(C1320,Upgrades!$B$3:$B$13,0))*1.15^(COUNTIF(C$4:C1319,C1320)-COUNTIF(C$4:C1319,""Sell_""&amp;C1320))))))"),"")</f>
        <v/>
      </c>
      <c r="H1320" s="10" t="str">
        <f t="shared" si="3"/>
        <v/>
      </c>
      <c r="I1320" s="68" t="str">
        <f t="shared" si="4"/>
        <v/>
      </c>
      <c r="J1320" s="59" t="str">
        <f t="shared" si="5"/>
        <v/>
      </c>
      <c r="K1320" s="69" t="str">
        <f t="shared" si="6"/>
        <v/>
      </c>
      <c r="L1320" s="60" t="str">
        <f t="shared" si="7"/>
        <v/>
      </c>
      <c r="M1320" s="61" t="str">
        <f>IFERROR(__xludf.DUMMYFUNCTION("IFS(AND(COUNTA(C1320:C1644)=0,COUNTA(Q1320:Q1644)=0),"""",OR(AND(K1320&gt;=1000000000,OR(Y1320&gt;=1000000000,COUNTA(Q1320:Q1644)=0)),OR(Y1320&gt;=1000000000,AND(COUNTA(C1320:C1644)=0,P$3=TRUE))),
ROUNDDOWN((AB$1-AC$1)*MAX(INDEX(T$4:T1644,MATCH(LARGE(FILTER(Y$4:Y1"&amp;"644,Y$4:Y1644&lt;1000000000),1),Y$4:Y1644)),INDEX(F$4:F1644,MATCH(LARGE(FILTER(K$4:K1644,K$4:K1644&lt;1000000000),1),K$4:K1644)))),AND(K1320&lt;1000000000,COUNTA(C1320:C1644)&gt;0,P$3=FALSE),
ROUNDDOWN(INDEX(Y$4:Y1644,MATCH(LARGE(FILTER(W$4:W1644,W$4:W1644&lt;=I1320),1)"&amp;",W$4:W1644))+(I1320-LARGE(FILTER(W$4:W1644,W$4:W1644&lt;=I1320),1))*INDEX(T$4:T1644,MATCH(LARGE(FILTER(W$4:W1644,W$4:W1644&lt;=I1320),1),W$4:W1644))-K1320),1,
ROUNDDOWN(Y1320-INDEX(K$4:K1644,MATCH(LARGE(FILTER(I$4:I1644,I$4:I1644&lt;=W1320),1),I$4:I1644))-(W1320-L"&amp;"ARGE(FILTER(I$4:I1644,I$4:I1644&lt;=W1320),1))*INDEX(F$4:F1644,MATCH(LARGE(FILTER(I$4:I1644,I$4:I1644&lt;=W1320),1),I$4:I1644))))"),"")</f>
        <v/>
      </c>
      <c r="N1320" s="60" t="str">
        <f t="shared" si="8"/>
        <v/>
      </c>
      <c r="O1320" s="61" t="str">
        <f t="shared" si="9"/>
        <v/>
      </c>
      <c r="P1320" s="56" t="str">
        <f t="shared" si="10"/>
        <v/>
      </c>
      <c r="Q1320" s="105"/>
      <c r="R1320" s="10"/>
      <c r="S1320" s="59" t="str">
        <f t="array" ref="S1320">IF(COUNTA(Q1320:Q1644)=0,"",SUM((COUNTIF(Q$4:Q1320,Upgrades!$B$3:$B$13)-COUNTIF(Q$4:Q1320,"Sell_"&amp;Upgrades!$B$3:$B$13))*Upgrades!$D$3:$D$13))</f>
        <v/>
      </c>
      <c r="T1320" s="66" t="str">
        <f>IFERROR(__xludf.DUMMYFUNCTION("IF(COUNTA(Q1320:Q1644)=0,"""",IF(REGEXMATCH(INDEX(FILTER(Q$4:Q1320,Q$4:Q1320&lt;&gt;""""),ROWS(FILTER(Q$4:Q1320,Q$4:Q1320&lt;&gt;""""))),""^Sell_""),INDEX(FILTER(T$4:T1319,Q$4:Q1319&lt;&gt;""""),ROWS(FILTER(Q$4:Q1319,Q$4:Q1319&lt;&gt;""""))),$AD$5+S1320))"),"")</f>
        <v/>
      </c>
      <c r="U1320" s="10" t="str">
        <f>IFERROR(__xludf.DUMMYFUNCTION("IF(COUNTA(Q1320:Q1644)=0,"""",IF(Q1320="""",0,IF(REGEXMATCH(Q1320,""^Sell_""),-ROUNDDOWN(ROUNDUP(INDEX(Upgrades!$C$3:$C$13,MATCH(SUBSTITUTE(Q1320,""Sell_"",""""),Upgrades!$B$3:$B$13,0))*1.15^(COUNTIF(Q$4:Q1319,SUBSTITUTE(Q1320,""Sell_"",""""))-COUNTIF(Q$4"&amp;":Q1319,""Sell_""&amp;SUBSTITUTE(Q1320,""Sell_"",""""))))/2),ROUNDUP(INDEX(Upgrades!$C$3:$C$13,MATCH(Q1320,Upgrades!$B$3:$B$13,0))*1.15^(COUNTIF(Q$4:Q1319,Q1320)-COUNTIF(Q$4:Q1319,""Sell_""&amp;Q1320))))))"),"")</f>
        <v/>
      </c>
      <c r="V1320" s="10" t="str">
        <f t="shared" si="11"/>
        <v/>
      </c>
      <c r="W1320" s="68" t="str">
        <f t="shared" si="12"/>
        <v/>
      </c>
      <c r="X1320" s="59" t="str">
        <f t="shared" si="13"/>
        <v/>
      </c>
      <c r="Y1320" s="69" t="str">
        <f t="shared" si="14"/>
        <v/>
      </c>
      <c r="Z1320" s="11"/>
      <c r="AG1320" s="59"/>
    </row>
    <row r="1321">
      <c r="A1321" s="8"/>
      <c r="B1321" s="56" t="str">
        <f t="shared" si="2"/>
        <v/>
      </c>
      <c r="C1321" s="105"/>
      <c r="D1321" s="10"/>
      <c r="E1321" s="59" t="str">
        <f t="array" ref="E1321">IF(COUNTA(C1321:C1644)=0,"",SUM((COUNTIF(C$4:C1321,Upgrades!$B$3:$B$13)-COUNTIF(C$4:C1321,"Sell_"&amp;Upgrades!$B$3:$B$13))*Upgrades!$D$3:$D$13))</f>
        <v/>
      </c>
      <c r="F1321" s="66" t="str">
        <f>IFERROR(__xludf.DUMMYFUNCTION("IF(COUNTA(C1321:C1644)=0,"""",IF(REGEXMATCH(INDEX(FILTER(C$4:C1321,C$4:C1321&lt;&gt;""""),ROWS(FILTER(C$4:C1321,C$4:C1321&lt;&gt;""""))),""^Sell_""),INDEX(FILTER(F$4:F1320,C$4:C1320&lt;&gt;""""),ROWS(FILTER(C$4:C1320,C$4:C1320&lt;&gt;""""))),$AC$5+E1321))"),"")</f>
        <v/>
      </c>
      <c r="G1321" s="10" t="str">
        <f>IFERROR(__xludf.DUMMYFUNCTION("IF(COUNTA(C1321:C1644)=0,"""",IF(C1321="""",0,IF(REGEXMATCH(C1321,""^Sell_""),-ROUNDDOWN(ROUNDUP(INDEX(Upgrades!$C$3:$C$13,MATCH(SUBSTITUTE(C1321,""Sell_"",""""),Upgrades!$B$3:$B$13,0))*1.15^(COUNTIF(C$4:C1320,SUBSTITUTE(C1321,""Sell_"",""""))-COUNTIF(C$4"&amp;":C1320,""Sell_""&amp;SUBSTITUTE(C1321,""Sell_"",""""))))/2),ROUNDUP(INDEX(Upgrades!$C$3:$C$13,MATCH(C1321,Upgrades!$B$3:$B$13,0))*1.15^(COUNTIF(C$4:C1320,C1321)-COUNTIF(C$4:C1320,""Sell_""&amp;C1321))))))"),"")</f>
        <v/>
      </c>
      <c r="H1321" s="10" t="str">
        <f t="shared" si="3"/>
        <v/>
      </c>
      <c r="I1321" s="68" t="str">
        <f t="shared" si="4"/>
        <v/>
      </c>
      <c r="J1321" s="59" t="str">
        <f t="shared" si="5"/>
        <v/>
      </c>
      <c r="K1321" s="69" t="str">
        <f t="shared" si="6"/>
        <v/>
      </c>
      <c r="L1321" s="60" t="str">
        <f t="shared" si="7"/>
        <v/>
      </c>
      <c r="M1321" s="61" t="str">
        <f>IFERROR(__xludf.DUMMYFUNCTION("IFS(AND(COUNTA(C1321:C1644)=0,COUNTA(Q1321:Q1644)=0),"""",OR(AND(K1321&gt;=1000000000,OR(Y1321&gt;=1000000000,COUNTA(Q1321:Q1644)=0)),OR(Y1321&gt;=1000000000,AND(COUNTA(C1321:C1644)=0,P$3=TRUE))),
ROUNDDOWN((AB$1-AC$1)*MAX(INDEX(T$4:T1644,MATCH(LARGE(FILTER(Y$4:Y1"&amp;"644,Y$4:Y1644&lt;1000000000),1),Y$4:Y1644)),INDEX(F$4:F1644,MATCH(LARGE(FILTER(K$4:K1644,K$4:K1644&lt;1000000000),1),K$4:K1644)))),AND(K1321&lt;1000000000,COUNTA(C1321:C1644)&gt;0,P$3=FALSE),
ROUNDDOWN(INDEX(Y$4:Y1644,MATCH(LARGE(FILTER(W$4:W1644,W$4:W1644&lt;=I1321),1)"&amp;",W$4:W1644))+(I1321-LARGE(FILTER(W$4:W1644,W$4:W1644&lt;=I1321),1))*INDEX(T$4:T1644,MATCH(LARGE(FILTER(W$4:W1644,W$4:W1644&lt;=I1321),1),W$4:W1644))-K1321),1,
ROUNDDOWN(Y1321-INDEX(K$4:K1644,MATCH(LARGE(FILTER(I$4:I1644,I$4:I1644&lt;=W1321),1),I$4:I1644))-(W1321-L"&amp;"ARGE(FILTER(I$4:I1644,I$4:I1644&lt;=W1321),1))*INDEX(F$4:F1644,MATCH(LARGE(FILTER(I$4:I1644,I$4:I1644&lt;=W1321),1),I$4:I1644))))"),"")</f>
        <v/>
      </c>
      <c r="N1321" s="60" t="str">
        <f t="shared" si="8"/>
        <v/>
      </c>
      <c r="O1321" s="61" t="str">
        <f t="shared" si="9"/>
        <v/>
      </c>
      <c r="P1321" s="56" t="str">
        <f t="shared" si="10"/>
        <v/>
      </c>
      <c r="Q1321" s="105"/>
      <c r="R1321" s="10"/>
      <c r="S1321" s="59" t="str">
        <f t="array" ref="S1321">IF(COUNTA(Q1321:Q1644)=0,"",SUM((COUNTIF(Q$4:Q1321,Upgrades!$B$3:$B$13)-COUNTIF(Q$4:Q1321,"Sell_"&amp;Upgrades!$B$3:$B$13))*Upgrades!$D$3:$D$13))</f>
        <v/>
      </c>
      <c r="T1321" s="66" t="str">
        <f>IFERROR(__xludf.DUMMYFUNCTION("IF(COUNTA(Q1321:Q1644)=0,"""",IF(REGEXMATCH(INDEX(FILTER(Q$4:Q1321,Q$4:Q1321&lt;&gt;""""),ROWS(FILTER(Q$4:Q1321,Q$4:Q1321&lt;&gt;""""))),""^Sell_""),INDEX(FILTER(T$4:T1320,Q$4:Q1320&lt;&gt;""""),ROWS(FILTER(Q$4:Q1320,Q$4:Q1320&lt;&gt;""""))),$AD$5+S1321))"),"")</f>
        <v/>
      </c>
      <c r="U1321" s="10" t="str">
        <f>IFERROR(__xludf.DUMMYFUNCTION("IF(COUNTA(Q1321:Q1644)=0,"""",IF(Q1321="""",0,IF(REGEXMATCH(Q1321,""^Sell_""),-ROUNDDOWN(ROUNDUP(INDEX(Upgrades!$C$3:$C$13,MATCH(SUBSTITUTE(Q1321,""Sell_"",""""),Upgrades!$B$3:$B$13,0))*1.15^(COUNTIF(Q$4:Q1320,SUBSTITUTE(Q1321,""Sell_"",""""))-COUNTIF(Q$4"&amp;":Q1320,""Sell_""&amp;SUBSTITUTE(Q1321,""Sell_"",""""))))/2),ROUNDUP(INDEX(Upgrades!$C$3:$C$13,MATCH(Q1321,Upgrades!$B$3:$B$13,0))*1.15^(COUNTIF(Q$4:Q1320,Q1321)-COUNTIF(Q$4:Q1320,""Sell_""&amp;Q1321))))))"),"")</f>
        <v/>
      </c>
      <c r="V1321" s="10" t="str">
        <f t="shared" si="11"/>
        <v/>
      </c>
      <c r="W1321" s="68" t="str">
        <f t="shared" si="12"/>
        <v/>
      </c>
      <c r="X1321" s="59" t="str">
        <f t="shared" si="13"/>
        <v/>
      </c>
      <c r="Y1321" s="69" t="str">
        <f t="shared" si="14"/>
        <v/>
      </c>
      <c r="Z1321" s="11"/>
      <c r="AG1321" s="59"/>
    </row>
    <row r="1322">
      <c r="A1322" s="8"/>
      <c r="B1322" s="56" t="str">
        <f t="shared" si="2"/>
        <v/>
      </c>
      <c r="C1322" s="105"/>
      <c r="D1322" s="10"/>
      <c r="E1322" s="59" t="str">
        <f t="array" ref="E1322">IF(COUNTA(C1322:C1644)=0,"",SUM((COUNTIF(C$4:C1322,Upgrades!$B$3:$B$13)-COUNTIF(C$4:C1322,"Sell_"&amp;Upgrades!$B$3:$B$13))*Upgrades!$D$3:$D$13))</f>
        <v/>
      </c>
      <c r="F1322" s="66" t="str">
        <f>IFERROR(__xludf.DUMMYFUNCTION("IF(COUNTA(C1322:C1644)=0,"""",IF(REGEXMATCH(INDEX(FILTER(C$4:C1322,C$4:C1322&lt;&gt;""""),ROWS(FILTER(C$4:C1322,C$4:C1322&lt;&gt;""""))),""^Sell_""),INDEX(FILTER(F$4:F1321,C$4:C1321&lt;&gt;""""),ROWS(FILTER(C$4:C1321,C$4:C1321&lt;&gt;""""))),$AC$5+E1322))"),"")</f>
        <v/>
      </c>
      <c r="G1322" s="10" t="str">
        <f>IFERROR(__xludf.DUMMYFUNCTION("IF(COUNTA(C1322:C1644)=0,"""",IF(C1322="""",0,IF(REGEXMATCH(C1322,""^Sell_""),-ROUNDDOWN(ROUNDUP(INDEX(Upgrades!$C$3:$C$13,MATCH(SUBSTITUTE(C1322,""Sell_"",""""),Upgrades!$B$3:$B$13,0))*1.15^(COUNTIF(C$4:C1321,SUBSTITUTE(C1322,""Sell_"",""""))-COUNTIF(C$4"&amp;":C1321,""Sell_""&amp;SUBSTITUTE(C1322,""Sell_"",""""))))/2),ROUNDUP(INDEX(Upgrades!$C$3:$C$13,MATCH(C1322,Upgrades!$B$3:$B$13,0))*1.15^(COUNTIF(C$4:C1321,C1322)-COUNTIF(C$4:C1321,""Sell_""&amp;C1322))))))"),"")</f>
        <v/>
      </c>
      <c r="H1322" s="10" t="str">
        <f t="shared" si="3"/>
        <v/>
      </c>
      <c r="I1322" s="68" t="str">
        <f t="shared" si="4"/>
        <v/>
      </c>
      <c r="J1322" s="59" t="str">
        <f t="shared" si="5"/>
        <v/>
      </c>
      <c r="K1322" s="69" t="str">
        <f t="shared" si="6"/>
        <v/>
      </c>
      <c r="L1322" s="60" t="str">
        <f t="shared" si="7"/>
        <v/>
      </c>
      <c r="M1322" s="61" t="str">
        <f>IFERROR(__xludf.DUMMYFUNCTION("IFS(AND(COUNTA(C1322:C1644)=0,COUNTA(Q1322:Q1644)=0),"""",OR(AND(K1322&gt;=1000000000,OR(Y1322&gt;=1000000000,COUNTA(Q1322:Q1644)=0)),OR(Y1322&gt;=1000000000,AND(COUNTA(C1322:C1644)=0,P$3=TRUE))),
ROUNDDOWN((AB$1-AC$1)*MAX(INDEX(T$4:T1644,MATCH(LARGE(FILTER(Y$4:Y1"&amp;"644,Y$4:Y1644&lt;1000000000),1),Y$4:Y1644)),INDEX(F$4:F1644,MATCH(LARGE(FILTER(K$4:K1644,K$4:K1644&lt;1000000000),1),K$4:K1644)))),AND(K1322&lt;1000000000,COUNTA(C1322:C1644)&gt;0,P$3=FALSE),
ROUNDDOWN(INDEX(Y$4:Y1644,MATCH(LARGE(FILTER(W$4:W1644,W$4:W1644&lt;=I1322),1)"&amp;",W$4:W1644))+(I1322-LARGE(FILTER(W$4:W1644,W$4:W1644&lt;=I1322),1))*INDEX(T$4:T1644,MATCH(LARGE(FILTER(W$4:W1644,W$4:W1644&lt;=I1322),1),W$4:W1644))-K1322),1,
ROUNDDOWN(Y1322-INDEX(K$4:K1644,MATCH(LARGE(FILTER(I$4:I1644,I$4:I1644&lt;=W1322),1),I$4:I1644))-(W1322-L"&amp;"ARGE(FILTER(I$4:I1644,I$4:I1644&lt;=W1322),1))*INDEX(F$4:F1644,MATCH(LARGE(FILTER(I$4:I1644,I$4:I1644&lt;=W1322),1),I$4:I1644))))"),"")</f>
        <v/>
      </c>
      <c r="N1322" s="60" t="str">
        <f t="shared" si="8"/>
        <v/>
      </c>
      <c r="O1322" s="61" t="str">
        <f t="shared" si="9"/>
        <v/>
      </c>
      <c r="P1322" s="56" t="str">
        <f t="shared" si="10"/>
        <v/>
      </c>
      <c r="Q1322" s="105"/>
      <c r="R1322" s="10"/>
      <c r="S1322" s="59" t="str">
        <f t="array" ref="S1322">IF(COUNTA(Q1322:Q1644)=0,"",SUM((COUNTIF(Q$4:Q1322,Upgrades!$B$3:$B$13)-COUNTIF(Q$4:Q1322,"Sell_"&amp;Upgrades!$B$3:$B$13))*Upgrades!$D$3:$D$13))</f>
        <v/>
      </c>
      <c r="T1322" s="66" t="str">
        <f>IFERROR(__xludf.DUMMYFUNCTION("IF(COUNTA(Q1322:Q1644)=0,"""",IF(REGEXMATCH(INDEX(FILTER(Q$4:Q1322,Q$4:Q1322&lt;&gt;""""),ROWS(FILTER(Q$4:Q1322,Q$4:Q1322&lt;&gt;""""))),""^Sell_""),INDEX(FILTER(T$4:T1321,Q$4:Q1321&lt;&gt;""""),ROWS(FILTER(Q$4:Q1321,Q$4:Q1321&lt;&gt;""""))),$AD$5+S1322))"),"")</f>
        <v/>
      </c>
      <c r="U1322" s="10" t="str">
        <f>IFERROR(__xludf.DUMMYFUNCTION("IF(COUNTA(Q1322:Q1644)=0,"""",IF(Q1322="""",0,IF(REGEXMATCH(Q1322,""^Sell_""),-ROUNDDOWN(ROUNDUP(INDEX(Upgrades!$C$3:$C$13,MATCH(SUBSTITUTE(Q1322,""Sell_"",""""),Upgrades!$B$3:$B$13,0))*1.15^(COUNTIF(Q$4:Q1321,SUBSTITUTE(Q1322,""Sell_"",""""))-COUNTIF(Q$4"&amp;":Q1321,""Sell_""&amp;SUBSTITUTE(Q1322,""Sell_"",""""))))/2),ROUNDUP(INDEX(Upgrades!$C$3:$C$13,MATCH(Q1322,Upgrades!$B$3:$B$13,0))*1.15^(COUNTIF(Q$4:Q1321,Q1322)-COUNTIF(Q$4:Q1321,""Sell_""&amp;Q1322))))))"),"")</f>
        <v/>
      </c>
      <c r="V1322" s="10" t="str">
        <f t="shared" si="11"/>
        <v/>
      </c>
      <c r="W1322" s="68" t="str">
        <f t="shared" si="12"/>
        <v/>
      </c>
      <c r="X1322" s="59" t="str">
        <f t="shared" si="13"/>
        <v/>
      </c>
      <c r="Y1322" s="69" t="str">
        <f t="shared" si="14"/>
        <v/>
      </c>
      <c r="Z1322" s="11"/>
      <c r="AG1322" s="59"/>
    </row>
    <row r="1323">
      <c r="A1323" s="8"/>
      <c r="B1323" s="56" t="str">
        <f t="shared" si="2"/>
        <v/>
      </c>
      <c r="C1323" s="105"/>
      <c r="D1323" s="10"/>
      <c r="E1323" s="59" t="str">
        <f t="array" ref="E1323">IF(COUNTA(C1323:C1644)=0,"",SUM((COUNTIF(C$4:C1323,Upgrades!$B$3:$B$13)-COUNTIF(C$4:C1323,"Sell_"&amp;Upgrades!$B$3:$B$13))*Upgrades!$D$3:$D$13))</f>
        <v/>
      </c>
      <c r="F1323" s="66" t="str">
        <f>IFERROR(__xludf.DUMMYFUNCTION("IF(COUNTA(C1323:C1644)=0,"""",IF(REGEXMATCH(INDEX(FILTER(C$4:C1323,C$4:C1323&lt;&gt;""""),ROWS(FILTER(C$4:C1323,C$4:C1323&lt;&gt;""""))),""^Sell_""),INDEX(FILTER(F$4:F1322,C$4:C1322&lt;&gt;""""),ROWS(FILTER(C$4:C1322,C$4:C1322&lt;&gt;""""))),$AC$5+E1323))"),"")</f>
        <v/>
      </c>
      <c r="G1323" s="10" t="str">
        <f>IFERROR(__xludf.DUMMYFUNCTION("IF(COUNTA(C1323:C1644)=0,"""",IF(C1323="""",0,IF(REGEXMATCH(C1323,""^Sell_""),-ROUNDDOWN(ROUNDUP(INDEX(Upgrades!$C$3:$C$13,MATCH(SUBSTITUTE(C1323,""Sell_"",""""),Upgrades!$B$3:$B$13,0))*1.15^(COUNTIF(C$4:C1322,SUBSTITUTE(C1323,""Sell_"",""""))-COUNTIF(C$4"&amp;":C1322,""Sell_""&amp;SUBSTITUTE(C1323,""Sell_"",""""))))/2),ROUNDUP(INDEX(Upgrades!$C$3:$C$13,MATCH(C1323,Upgrades!$B$3:$B$13,0))*1.15^(COUNTIF(C$4:C1322,C1323)-COUNTIF(C$4:C1322,""Sell_""&amp;C1323))))))"),"")</f>
        <v/>
      </c>
      <c r="H1323" s="10" t="str">
        <f t="shared" si="3"/>
        <v/>
      </c>
      <c r="I1323" s="68" t="str">
        <f t="shared" si="4"/>
        <v/>
      </c>
      <c r="J1323" s="59" t="str">
        <f t="shared" si="5"/>
        <v/>
      </c>
      <c r="K1323" s="69" t="str">
        <f t="shared" si="6"/>
        <v/>
      </c>
      <c r="L1323" s="60" t="str">
        <f t="shared" si="7"/>
        <v/>
      </c>
      <c r="M1323" s="61" t="str">
        <f>IFERROR(__xludf.DUMMYFUNCTION("IFS(AND(COUNTA(C1323:C1644)=0,COUNTA(Q1323:Q1644)=0),"""",OR(AND(K1323&gt;=1000000000,OR(Y1323&gt;=1000000000,COUNTA(Q1323:Q1644)=0)),OR(Y1323&gt;=1000000000,AND(COUNTA(C1323:C1644)=0,P$3=TRUE))),
ROUNDDOWN((AB$1-AC$1)*MAX(INDEX(T$4:T1644,MATCH(LARGE(FILTER(Y$4:Y1"&amp;"644,Y$4:Y1644&lt;1000000000),1),Y$4:Y1644)),INDEX(F$4:F1644,MATCH(LARGE(FILTER(K$4:K1644,K$4:K1644&lt;1000000000),1),K$4:K1644)))),AND(K1323&lt;1000000000,COUNTA(C1323:C1644)&gt;0,P$3=FALSE),
ROUNDDOWN(INDEX(Y$4:Y1644,MATCH(LARGE(FILTER(W$4:W1644,W$4:W1644&lt;=I1323),1)"&amp;",W$4:W1644))+(I1323-LARGE(FILTER(W$4:W1644,W$4:W1644&lt;=I1323),1))*INDEX(T$4:T1644,MATCH(LARGE(FILTER(W$4:W1644,W$4:W1644&lt;=I1323),1),W$4:W1644))-K1323),1,
ROUNDDOWN(Y1323-INDEX(K$4:K1644,MATCH(LARGE(FILTER(I$4:I1644,I$4:I1644&lt;=W1323),1),I$4:I1644))-(W1323-L"&amp;"ARGE(FILTER(I$4:I1644,I$4:I1644&lt;=W1323),1))*INDEX(F$4:F1644,MATCH(LARGE(FILTER(I$4:I1644,I$4:I1644&lt;=W1323),1),I$4:I1644))))"),"")</f>
        <v/>
      </c>
      <c r="N1323" s="60" t="str">
        <f t="shared" si="8"/>
        <v/>
      </c>
      <c r="O1323" s="61" t="str">
        <f t="shared" si="9"/>
        <v/>
      </c>
      <c r="P1323" s="56" t="str">
        <f t="shared" si="10"/>
        <v/>
      </c>
      <c r="Q1323" s="105"/>
      <c r="R1323" s="10"/>
      <c r="S1323" s="59" t="str">
        <f t="array" ref="S1323">IF(COUNTA(Q1323:Q1644)=0,"",SUM((COUNTIF(Q$4:Q1323,Upgrades!$B$3:$B$13)-COUNTIF(Q$4:Q1323,"Sell_"&amp;Upgrades!$B$3:$B$13))*Upgrades!$D$3:$D$13))</f>
        <v/>
      </c>
      <c r="T1323" s="66" t="str">
        <f>IFERROR(__xludf.DUMMYFUNCTION("IF(COUNTA(Q1323:Q1644)=0,"""",IF(REGEXMATCH(INDEX(FILTER(Q$4:Q1323,Q$4:Q1323&lt;&gt;""""),ROWS(FILTER(Q$4:Q1323,Q$4:Q1323&lt;&gt;""""))),""^Sell_""),INDEX(FILTER(T$4:T1322,Q$4:Q1322&lt;&gt;""""),ROWS(FILTER(Q$4:Q1322,Q$4:Q1322&lt;&gt;""""))),$AD$5+S1323))"),"")</f>
        <v/>
      </c>
      <c r="U1323" s="10" t="str">
        <f>IFERROR(__xludf.DUMMYFUNCTION("IF(COUNTA(Q1323:Q1644)=0,"""",IF(Q1323="""",0,IF(REGEXMATCH(Q1323,""^Sell_""),-ROUNDDOWN(ROUNDUP(INDEX(Upgrades!$C$3:$C$13,MATCH(SUBSTITUTE(Q1323,""Sell_"",""""),Upgrades!$B$3:$B$13,0))*1.15^(COUNTIF(Q$4:Q1322,SUBSTITUTE(Q1323,""Sell_"",""""))-COUNTIF(Q$4"&amp;":Q1322,""Sell_""&amp;SUBSTITUTE(Q1323,""Sell_"",""""))))/2),ROUNDUP(INDEX(Upgrades!$C$3:$C$13,MATCH(Q1323,Upgrades!$B$3:$B$13,0))*1.15^(COUNTIF(Q$4:Q1322,Q1323)-COUNTIF(Q$4:Q1322,""Sell_""&amp;Q1323))))))"),"")</f>
        <v/>
      </c>
      <c r="V1323" s="10" t="str">
        <f t="shared" si="11"/>
        <v/>
      </c>
      <c r="W1323" s="68" t="str">
        <f t="shared" si="12"/>
        <v/>
      </c>
      <c r="X1323" s="59" t="str">
        <f t="shared" si="13"/>
        <v/>
      </c>
      <c r="Y1323" s="69" t="str">
        <f t="shared" si="14"/>
        <v/>
      </c>
      <c r="Z1323" s="11"/>
      <c r="AG1323" s="59"/>
    </row>
    <row r="1324">
      <c r="A1324" s="8"/>
      <c r="B1324" s="56" t="str">
        <f t="shared" si="2"/>
        <v/>
      </c>
      <c r="C1324" s="105"/>
      <c r="D1324" s="10"/>
      <c r="E1324" s="59" t="str">
        <f t="array" ref="E1324">IF(COUNTA(C1324:C1644)=0,"",SUM((COUNTIF(C$4:C1324,Upgrades!$B$3:$B$13)-COUNTIF(C$4:C1324,"Sell_"&amp;Upgrades!$B$3:$B$13))*Upgrades!$D$3:$D$13))</f>
        <v/>
      </c>
      <c r="F1324" s="66" t="str">
        <f>IFERROR(__xludf.DUMMYFUNCTION("IF(COUNTA(C1324:C1644)=0,"""",IF(REGEXMATCH(INDEX(FILTER(C$4:C1324,C$4:C1324&lt;&gt;""""),ROWS(FILTER(C$4:C1324,C$4:C1324&lt;&gt;""""))),""^Sell_""),INDEX(FILTER(F$4:F1323,C$4:C1323&lt;&gt;""""),ROWS(FILTER(C$4:C1323,C$4:C1323&lt;&gt;""""))),$AC$5+E1324))"),"")</f>
        <v/>
      </c>
      <c r="G1324" s="10" t="str">
        <f>IFERROR(__xludf.DUMMYFUNCTION("IF(COUNTA(C1324:C1644)=0,"""",IF(C1324="""",0,IF(REGEXMATCH(C1324,""^Sell_""),-ROUNDDOWN(ROUNDUP(INDEX(Upgrades!$C$3:$C$13,MATCH(SUBSTITUTE(C1324,""Sell_"",""""),Upgrades!$B$3:$B$13,0))*1.15^(COUNTIF(C$4:C1323,SUBSTITUTE(C1324,""Sell_"",""""))-COUNTIF(C$4"&amp;":C1323,""Sell_""&amp;SUBSTITUTE(C1324,""Sell_"",""""))))/2),ROUNDUP(INDEX(Upgrades!$C$3:$C$13,MATCH(C1324,Upgrades!$B$3:$B$13,0))*1.15^(COUNTIF(C$4:C1323,C1324)-COUNTIF(C$4:C1323,""Sell_""&amp;C1324))))))"),"")</f>
        <v/>
      </c>
      <c r="H1324" s="10" t="str">
        <f t="shared" si="3"/>
        <v/>
      </c>
      <c r="I1324" s="68" t="str">
        <f t="shared" si="4"/>
        <v/>
      </c>
      <c r="J1324" s="59" t="str">
        <f t="shared" si="5"/>
        <v/>
      </c>
      <c r="K1324" s="69" t="str">
        <f t="shared" si="6"/>
        <v/>
      </c>
      <c r="L1324" s="60" t="str">
        <f t="shared" si="7"/>
        <v/>
      </c>
      <c r="M1324" s="61" t="str">
        <f>IFERROR(__xludf.DUMMYFUNCTION("IFS(AND(COUNTA(C1324:C1644)=0,COUNTA(Q1324:Q1644)=0),"""",OR(AND(K1324&gt;=1000000000,OR(Y1324&gt;=1000000000,COUNTA(Q1324:Q1644)=0)),OR(Y1324&gt;=1000000000,AND(COUNTA(C1324:C1644)=0,P$3=TRUE))),
ROUNDDOWN((AB$1-AC$1)*MAX(INDEX(T$4:T1644,MATCH(LARGE(FILTER(Y$4:Y1"&amp;"644,Y$4:Y1644&lt;1000000000),1),Y$4:Y1644)),INDEX(F$4:F1644,MATCH(LARGE(FILTER(K$4:K1644,K$4:K1644&lt;1000000000),1),K$4:K1644)))),AND(K1324&lt;1000000000,COUNTA(C1324:C1644)&gt;0,P$3=FALSE),
ROUNDDOWN(INDEX(Y$4:Y1644,MATCH(LARGE(FILTER(W$4:W1644,W$4:W1644&lt;=I1324),1)"&amp;",W$4:W1644))+(I1324-LARGE(FILTER(W$4:W1644,W$4:W1644&lt;=I1324),1))*INDEX(T$4:T1644,MATCH(LARGE(FILTER(W$4:W1644,W$4:W1644&lt;=I1324),1),W$4:W1644))-K1324),1,
ROUNDDOWN(Y1324-INDEX(K$4:K1644,MATCH(LARGE(FILTER(I$4:I1644,I$4:I1644&lt;=W1324),1),I$4:I1644))-(W1324-L"&amp;"ARGE(FILTER(I$4:I1644,I$4:I1644&lt;=W1324),1))*INDEX(F$4:F1644,MATCH(LARGE(FILTER(I$4:I1644,I$4:I1644&lt;=W1324),1),I$4:I1644))))"),"")</f>
        <v/>
      </c>
      <c r="N1324" s="60" t="str">
        <f t="shared" si="8"/>
        <v/>
      </c>
      <c r="O1324" s="61" t="str">
        <f t="shared" si="9"/>
        <v/>
      </c>
      <c r="P1324" s="56" t="str">
        <f t="shared" si="10"/>
        <v/>
      </c>
      <c r="Q1324" s="105"/>
      <c r="R1324" s="10"/>
      <c r="S1324" s="59" t="str">
        <f t="array" ref="S1324">IF(COUNTA(Q1324:Q1644)=0,"",SUM((COUNTIF(Q$4:Q1324,Upgrades!$B$3:$B$13)-COUNTIF(Q$4:Q1324,"Sell_"&amp;Upgrades!$B$3:$B$13))*Upgrades!$D$3:$D$13))</f>
        <v/>
      </c>
      <c r="T1324" s="66" t="str">
        <f>IFERROR(__xludf.DUMMYFUNCTION("IF(COUNTA(Q1324:Q1644)=0,"""",IF(REGEXMATCH(INDEX(FILTER(Q$4:Q1324,Q$4:Q1324&lt;&gt;""""),ROWS(FILTER(Q$4:Q1324,Q$4:Q1324&lt;&gt;""""))),""^Sell_""),INDEX(FILTER(T$4:T1323,Q$4:Q1323&lt;&gt;""""),ROWS(FILTER(Q$4:Q1323,Q$4:Q1323&lt;&gt;""""))),$AD$5+S1324))"),"")</f>
        <v/>
      </c>
      <c r="U1324" s="10" t="str">
        <f>IFERROR(__xludf.DUMMYFUNCTION("IF(COUNTA(Q1324:Q1644)=0,"""",IF(Q1324="""",0,IF(REGEXMATCH(Q1324,""^Sell_""),-ROUNDDOWN(ROUNDUP(INDEX(Upgrades!$C$3:$C$13,MATCH(SUBSTITUTE(Q1324,""Sell_"",""""),Upgrades!$B$3:$B$13,0))*1.15^(COUNTIF(Q$4:Q1323,SUBSTITUTE(Q1324,""Sell_"",""""))-COUNTIF(Q$4"&amp;":Q1323,""Sell_""&amp;SUBSTITUTE(Q1324,""Sell_"",""""))))/2),ROUNDUP(INDEX(Upgrades!$C$3:$C$13,MATCH(Q1324,Upgrades!$B$3:$B$13,0))*1.15^(COUNTIF(Q$4:Q1323,Q1324)-COUNTIF(Q$4:Q1323,""Sell_""&amp;Q1324))))))"),"")</f>
        <v/>
      </c>
      <c r="V1324" s="10" t="str">
        <f t="shared" si="11"/>
        <v/>
      </c>
      <c r="W1324" s="68" t="str">
        <f t="shared" si="12"/>
        <v/>
      </c>
      <c r="X1324" s="59" t="str">
        <f t="shared" si="13"/>
        <v/>
      </c>
      <c r="Y1324" s="69" t="str">
        <f t="shared" si="14"/>
        <v/>
      </c>
      <c r="Z1324" s="11"/>
      <c r="AG1324" s="59"/>
    </row>
    <row r="1325">
      <c r="A1325" s="8"/>
      <c r="B1325" s="56" t="str">
        <f t="shared" si="2"/>
        <v/>
      </c>
      <c r="C1325" s="105"/>
      <c r="D1325" s="10"/>
      <c r="E1325" s="59" t="str">
        <f t="array" ref="E1325">IF(COUNTA(C1325:C1644)=0,"",SUM((COUNTIF(C$4:C1325,Upgrades!$B$3:$B$13)-COUNTIF(C$4:C1325,"Sell_"&amp;Upgrades!$B$3:$B$13))*Upgrades!$D$3:$D$13))</f>
        <v/>
      </c>
      <c r="F1325" s="66" t="str">
        <f>IFERROR(__xludf.DUMMYFUNCTION("IF(COUNTA(C1325:C1644)=0,"""",IF(REGEXMATCH(INDEX(FILTER(C$4:C1325,C$4:C1325&lt;&gt;""""),ROWS(FILTER(C$4:C1325,C$4:C1325&lt;&gt;""""))),""^Sell_""),INDEX(FILTER(F$4:F1324,C$4:C1324&lt;&gt;""""),ROWS(FILTER(C$4:C1324,C$4:C1324&lt;&gt;""""))),$AC$5+E1325))"),"")</f>
        <v/>
      </c>
      <c r="G1325" s="10" t="str">
        <f>IFERROR(__xludf.DUMMYFUNCTION("IF(COUNTA(C1325:C1644)=0,"""",IF(C1325="""",0,IF(REGEXMATCH(C1325,""^Sell_""),-ROUNDDOWN(ROUNDUP(INDEX(Upgrades!$C$3:$C$13,MATCH(SUBSTITUTE(C1325,""Sell_"",""""),Upgrades!$B$3:$B$13,0))*1.15^(COUNTIF(C$4:C1324,SUBSTITUTE(C1325,""Sell_"",""""))-COUNTIF(C$4"&amp;":C1324,""Sell_""&amp;SUBSTITUTE(C1325,""Sell_"",""""))))/2),ROUNDUP(INDEX(Upgrades!$C$3:$C$13,MATCH(C1325,Upgrades!$B$3:$B$13,0))*1.15^(COUNTIF(C$4:C1324,C1325)-COUNTIF(C$4:C1324,""Sell_""&amp;C1325))))))"),"")</f>
        <v/>
      </c>
      <c r="H1325" s="10" t="str">
        <f t="shared" si="3"/>
        <v/>
      </c>
      <c r="I1325" s="68" t="str">
        <f t="shared" si="4"/>
        <v/>
      </c>
      <c r="J1325" s="59" t="str">
        <f t="shared" si="5"/>
        <v/>
      </c>
      <c r="K1325" s="69" t="str">
        <f t="shared" si="6"/>
        <v/>
      </c>
      <c r="L1325" s="60" t="str">
        <f t="shared" si="7"/>
        <v/>
      </c>
      <c r="M1325" s="61" t="str">
        <f>IFERROR(__xludf.DUMMYFUNCTION("IFS(AND(COUNTA(C1325:C1644)=0,COUNTA(Q1325:Q1644)=0),"""",OR(AND(K1325&gt;=1000000000,OR(Y1325&gt;=1000000000,COUNTA(Q1325:Q1644)=0)),OR(Y1325&gt;=1000000000,AND(COUNTA(C1325:C1644)=0,P$3=TRUE))),
ROUNDDOWN((AB$1-AC$1)*MAX(INDEX(T$4:T1644,MATCH(LARGE(FILTER(Y$4:Y1"&amp;"644,Y$4:Y1644&lt;1000000000),1),Y$4:Y1644)),INDEX(F$4:F1644,MATCH(LARGE(FILTER(K$4:K1644,K$4:K1644&lt;1000000000),1),K$4:K1644)))),AND(K1325&lt;1000000000,COUNTA(C1325:C1644)&gt;0,P$3=FALSE),
ROUNDDOWN(INDEX(Y$4:Y1644,MATCH(LARGE(FILTER(W$4:W1644,W$4:W1644&lt;=I1325),1)"&amp;",W$4:W1644))+(I1325-LARGE(FILTER(W$4:W1644,W$4:W1644&lt;=I1325),1))*INDEX(T$4:T1644,MATCH(LARGE(FILTER(W$4:W1644,W$4:W1644&lt;=I1325),1),W$4:W1644))-K1325),1,
ROUNDDOWN(Y1325-INDEX(K$4:K1644,MATCH(LARGE(FILTER(I$4:I1644,I$4:I1644&lt;=W1325),1),I$4:I1644))-(W1325-L"&amp;"ARGE(FILTER(I$4:I1644,I$4:I1644&lt;=W1325),1))*INDEX(F$4:F1644,MATCH(LARGE(FILTER(I$4:I1644,I$4:I1644&lt;=W1325),1),I$4:I1644))))"),"")</f>
        <v/>
      </c>
      <c r="N1325" s="60" t="str">
        <f t="shared" si="8"/>
        <v/>
      </c>
      <c r="O1325" s="61" t="str">
        <f t="shared" si="9"/>
        <v/>
      </c>
      <c r="P1325" s="56" t="str">
        <f t="shared" si="10"/>
        <v/>
      </c>
      <c r="Q1325" s="105"/>
      <c r="R1325" s="10"/>
      <c r="S1325" s="59" t="str">
        <f t="array" ref="S1325">IF(COUNTA(Q1325:Q1644)=0,"",SUM((COUNTIF(Q$4:Q1325,Upgrades!$B$3:$B$13)-COUNTIF(Q$4:Q1325,"Sell_"&amp;Upgrades!$B$3:$B$13))*Upgrades!$D$3:$D$13))</f>
        <v/>
      </c>
      <c r="T1325" s="66" t="str">
        <f>IFERROR(__xludf.DUMMYFUNCTION("IF(COUNTA(Q1325:Q1644)=0,"""",IF(REGEXMATCH(INDEX(FILTER(Q$4:Q1325,Q$4:Q1325&lt;&gt;""""),ROWS(FILTER(Q$4:Q1325,Q$4:Q1325&lt;&gt;""""))),""^Sell_""),INDEX(FILTER(T$4:T1324,Q$4:Q1324&lt;&gt;""""),ROWS(FILTER(Q$4:Q1324,Q$4:Q1324&lt;&gt;""""))),$AD$5+S1325))"),"")</f>
        <v/>
      </c>
      <c r="U1325" s="10" t="str">
        <f>IFERROR(__xludf.DUMMYFUNCTION("IF(COUNTA(Q1325:Q1644)=0,"""",IF(Q1325="""",0,IF(REGEXMATCH(Q1325,""^Sell_""),-ROUNDDOWN(ROUNDUP(INDEX(Upgrades!$C$3:$C$13,MATCH(SUBSTITUTE(Q1325,""Sell_"",""""),Upgrades!$B$3:$B$13,0))*1.15^(COUNTIF(Q$4:Q1324,SUBSTITUTE(Q1325,""Sell_"",""""))-COUNTIF(Q$4"&amp;":Q1324,""Sell_""&amp;SUBSTITUTE(Q1325,""Sell_"",""""))))/2),ROUNDUP(INDEX(Upgrades!$C$3:$C$13,MATCH(Q1325,Upgrades!$B$3:$B$13,0))*1.15^(COUNTIF(Q$4:Q1324,Q1325)-COUNTIF(Q$4:Q1324,""Sell_""&amp;Q1325))))))"),"")</f>
        <v/>
      </c>
      <c r="V1325" s="10" t="str">
        <f t="shared" si="11"/>
        <v/>
      </c>
      <c r="W1325" s="68" t="str">
        <f t="shared" si="12"/>
        <v/>
      </c>
      <c r="X1325" s="59" t="str">
        <f t="shared" si="13"/>
        <v/>
      </c>
      <c r="Y1325" s="69" t="str">
        <f t="shared" si="14"/>
        <v/>
      </c>
      <c r="Z1325" s="11"/>
      <c r="AG1325" s="59"/>
    </row>
    <row r="1326">
      <c r="A1326" s="8"/>
      <c r="B1326" s="56" t="str">
        <f t="shared" si="2"/>
        <v/>
      </c>
      <c r="C1326" s="105"/>
      <c r="D1326" s="10"/>
      <c r="E1326" s="59" t="str">
        <f t="array" ref="E1326">IF(COUNTA(C1326:C1644)=0,"",SUM((COUNTIF(C$4:C1326,Upgrades!$B$3:$B$13)-COUNTIF(C$4:C1326,"Sell_"&amp;Upgrades!$B$3:$B$13))*Upgrades!$D$3:$D$13))</f>
        <v/>
      </c>
      <c r="F1326" s="66" t="str">
        <f>IFERROR(__xludf.DUMMYFUNCTION("IF(COUNTA(C1326:C1644)=0,"""",IF(REGEXMATCH(INDEX(FILTER(C$4:C1326,C$4:C1326&lt;&gt;""""),ROWS(FILTER(C$4:C1326,C$4:C1326&lt;&gt;""""))),""^Sell_""),INDEX(FILTER(F$4:F1325,C$4:C1325&lt;&gt;""""),ROWS(FILTER(C$4:C1325,C$4:C1325&lt;&gt;""""))),$AC$5+E1326))"),"")</f>
        <v/>
      </c>
      <c r="G1326" s="10" t="str">
        <f>IFERROR(__xludf.DUMMYFUNCTION("IF(COUNTA(C1326:C1644)=0,"""",IF(C1326="""",0,IF(REGEXMATCH(C1326,""^Sell_""),-ROUNDDOWN(ROUNDUP(INDEX(Upgrades!$C$3:$C$13,MATCH(SUBSTITUTE(C1326,""Sell_"",""""),Upgrades!$B$3:$B$13,0))*1.15^(COUNTIF(C$4:C1325,SUBSTITUTE(C1326,""Sell_"",""""))-COUNTIF(C$4"&amp;":C1325,""Sell_""&amp;SUBSTITUTE(C1326,""Sell_"",""""))))/2),ROUNDUP(INDEX(Upgrades!$C$3:$C$13,MATCH(C1326,Upgrades!$B$3:$B$13,0))*1.15^(COUNTIF(C$4:C1325,C1326)-COUNTIF(C$4:C1325,""Sell_""&amp;C1326))))))"),"")</f>
        <v/>
      </c>
      <c r="H1326" s="10" t="str">
        <f t="shared" si="3"/>
        <v/>
      </c>
      <c r="I1326" s="68" t="str">
        <f t="shared" si="4"/>
        <v/>
      </c>
      <c r="J1326" s="59" t="str">
        <f t="shared" si="5"/>
        <v/>
      </c>
      <c r="K1326" s="69" t="str">
        <f t="shared" si="6"/>
        <v/>
      </c>
      <c r="L1326" s="60" t="str">
        <f t="shared" si="7"/>
        <v/>
      </c>
      <c r="M1326" s="61" t="str">
        <f>IFERROR(__xludf.DUMMYFUNCTION("IFS(AND(COUNTA(C1326:C1644)=0,COUNTA(Q1326:Q1644)=0),"""",OR(AND(K1326&gt;=1000000000,OR(Y1326&gt;=1000000000,COUNTA(Q1326:Q1644)=0)),OR(Y1326&gt;=1000000000,AND(COUNTA(C1326:C1644)=0,P$3=TRUE))),
ROUNDDOWN((AB$1-AC$1)*MAX(INDEX(T$4:T1644,MATCH(LARGE(FILTER(Y$4:Y1"&amp;"644,Y$4:Y1644&lt;1000000000),1),Y$4:Y1644)),INDEX(F$4:F1644,MATCH(LARGE(FILTER(K$4:K1644,K$4:K1644&lt;1000000000),1),K$4:K1644)))),AND(K1326&lt;1000000000,COUNTA(C1326:C1644)&gt;0,P$3=FALSE),
ROUNDDOWN(INDEX(Y$4:Y1644,MATCH(LARGE(FILTER(W$4:W1644,W$4:W1644&lt;=I1326),1)"&amp;",W$4:W1644))+(I1326-LARGE(FILTER(W$4:W1644,W$4:W1644&lt;=I1326),1))*INDEX(T$4:T1644,MATCH(LARGE(FILTER(W$4:W1644,W$4:W1644&lt;=I1326),1),W$4:W1644))-K1326),1,
ROUNDDOWN(Y1326-INDEX(K$4:K1644,MATCH(LARGE(FILTER(I$4:I1644,I$4:I1644&lt;=W1326),1),I$4:I1644))-(W1326-L"&amp;"ARGE(FILTER(I$4:I1644,I$4:I1644&lt;=W1326),1))*INDEX(F$4:F1644,MATCH(LARGE(FILTER(I$4:I1644,I$4:I1644&lt;=W1326),1),I$4:I1644))))"),"")</f>
        <v/>
      </c>
      <c r="N1326" s="60" t="str">
        <f t="shared" si="8"/>
        <v/>
      </c>
      <c r="O1326" s="61" t="str">
        <f t="shared" si="9"/>
        <v/>
      </c>
      <c r="P1326" s="56" t="str">
        <f t="shared" si="10"/>
        <v/>
      </c>
      <c r="Q1326" s="105"/>
      <c r="R1326" s="10"/>
      <c r="S1326" s="59" t="str">
        <f t="array" ref="S1326">IF(COUNTA(Q1326:Q1644)=0,"",SUM((COUNTIF(Q$4:Q1326,Upgrades!$B$3:$B$13)-COUNTIF(Q$4:Q1326,"Sell_"&amp;Upgrades!$B$3:$B$13))*Upgrades!$D$3:$D$13))</f>
        <v/>
      </c>
      <c r="T1326" s="66" t="str">
        <f>IFERROR(__xludf.DUMMYFUNCTION("IF(COUNTA(Q1326:Q1644)=0,"""",IF(REGEXMATCH(INDEX(FILTER(Q$4:Q1326,Q$4:Q1326&lt;&gt;""""),ROWS(FILTER(Q$4:Q1326,Q$4:Q1326&lt;&gt;""""))),""^Sell_""),INDEX(FILTER(T$4:T1325,Q$4:Q1325&lt;&gt;""""),ROWS(FILTER(Q$4:Q1325,Q$4:Q1325&lt;&gt;""""))),$AD$5+S1326))"),"")</f>
        <v/>
      </c>
      <c r="U1326" s="10" t="str">
        <f>IFERROR(__xludf.DUMMYFUNCTION("IF(COUNTA(Q1326:Q1644)=0,"""",IF(Q1326="""",0,IF(REGEXMATCH(Q1326,""^Sell_""),-ROUNDDOWN(ROUNDUP(INDEX(Upgrades!$C$3:$C$13,MATCH(SUBSTITUTE(Q1326,""Sell_"",""""),Upgrades!$B$3:$B$13,0))*1.15^(COUNTIF(Q$4:Q1325,SUBSTITUTE(Q1326,""Sell_"",""""))-COUNTIF(Q$4"&amp;":Q1325,""Sell_""&amp;SUBSTITUTE(Q1326,""Sell_"",""""))))/2),ROUNDUP(INDEX(Upgrades!$C$3:$C$13,MATCH(Q1326,Upgrades!$B$3:$B$13,0))*1.15^(COUNTIF(Q$4:Q1325,Q1326)-COUNTIF(Q$4:Q1325,""Sell_""&amp;Q1326))))))"),"")</f>
        <v/>
      </c>
      <c r="V1326" s="10" t="str">
        <f t="shared" si="11"/>
        <v/>
      </c>
      <c r="W1326" s="68" t="str">
        <f t="shared" si="12"/>
        <v/>
      </c>
      <c r="X1326" s="59" t="str">
        <f t="shared" si="13"/>
        <v/>
      </c>
      <c r="Y1326" s="69" t="str">
        <f t="shared" si="14"/>
        <v/>
      </c>
      <c r="Z1326" s="11"/>
      <c r="AG1326" s="59"/>
    </row>
    <row r="1327">
      <c r="A1327" s="8"/>
      <c r="B1327" s="56" t="str">
        <f t="shared" si="2"/>
        <v/>
      </c>
      <c r="C1327" s="105"/>
      <c r="D1327" s="10"/>
      <c r="E1327" s="59" t="str">
        <f t="array" ref="E1327">IF(COUNTA(C1327:C1644)=0,"",SUM((COUNTIF(C$4:C1327,Upgrades!$B$3:$B$13)-COUNTIF(C$4:C1327,"Sell_"&amp;Upgrades!$B$3:$B$13))*Upgrades!$D$3:$D$13))</f>
        <v/>
      </c>
      <c r="F1327" s="66" t="str">
        <f>IFERROR(__xludf.DUMMYFUNCTION("IF(COUNTA(C1327:C1644)=0,"""",IF(REGEXMATCH(INDEX(FILTER(C$4:C1327,C$4:C1327&lt;&gt;""""),ROWS(FILTER(C$4:C1327,C$4:C1327&lt;&gt;""""))),""^Sell_""),INDEX(FILTER(F$4:F1326,C$4:C1326&lt;&gt;""""),ROWS(FILTER(C$4:C1326,C$4:C1326&lt;&gt;""""))),$AC$5+E1327))"),"")</f>
        <v/>
      </c>
      <c r="G1327" s="10" t="str">
        <f>IFERROR(__xludf.DUMMYFUNCTION("IF(COUNTA(C1327:C1644)=0,"""",IF(C1327="""",0,IF(REGEXMATCH(C1327,""^Sell_""),-ROUNDDOWN(ROUNDUP(INDEX(Upgrades!$C$3:$C$13,MATCH(SUBSTITUTE(C1327,""Sell_"",""""),Upgrades!$B$3:$B$13,0))*1.15^(COUNTIF(C$4:C1326,SUBSTITUTE(C1327,""Sell_"",""""))-COUNTIF(C$4"&amp;":C1326,""Sell_""&amp;SUBSTITUTE(C1327,""Sell_"",""""))))/2),ROUNDUP(INDEX(Upgrades!$C$3:$C$13,MATCH(C1327,Upgrades!$B$3:$B$13,0))*1.15^(COUNTIF(C$4:C1326,C1327)-COUNTIF(C$4:C1326,""Sell_""&amp;C1327))))))"),"")</f>
        <v/>
      </c>
      <c r="H1327" s="10" t="str">
        <f t="shared" si="3"/>
        <v/>
      </c>
      <c r="I1327" s="68" t="str">
        <f t="shared" si="4"/>
        <v/>
      </c>
      <c r="J1327" s="59" t="str">
        <f t="shared" si="5"/>
        <v/>
      </c>
      <c r="K1327" s="69" t="str">
        <f t="shared" si="6"/>
        <v/>
      </c>
      <c r="L1327" s="60" t="str">
        <f t="shared" si="7"/>
        <v/>
      </c>
      <c r="M1327" s="61" t="str">
        <f>IFERROR(__xludf.DUMMYFUNCTION("IFS(AND(COUNTA(C1327:C1644)=0,COUNTA(Q1327:Q1644)=0),"""",OR(AND(K1327&gt;=1000000000,OR(Y1327&gt;=1000000000,COUNTA(Q1327:Q1644)=0)),OR(Y1327&gt;=1000000000,AND(COUNTA(C1327:C1644)=0,P$3=TRUE))),
ROUNDDOWN((AB$1-AC$1)*MAX(INDEX(T$4:T1644,MATCH(LARGE(FILTER(Y$4:Y1"&amp;"644,Y$4:Y1644&lt;1000000000),1),Y$4:Y1644)),INDEX(F$4:F1644,MATCH(LARGE(FILTER(K$4:K1644,K$4:K1644&lt;1000000000),1),K$4:K1644)))),AND(K1327&lt;1000000000,COUNTA(C1327:C1644)&gt;0,P$3=FALSE),
ROUNDDOWN(INDEX(Y$4:Y1644,MATCH(LARGE(FILTER(W$4:W1644,W$4:W1644&lt;=I1327),1)"&amp;",W$4:W1644))+(I1327-LARGE(FILTER(W$4:W1644,W$4:W1644&lt;=I1327),1))*INDEX(T$4:T1644,MATCH(LARGE(FILTER(W$4:W1644,W$4:W1644&lt;=I1327),1),W$4:W1644))-K1327),1,
ROUNDDOWN(Y1327-INDEX(K$4:K1644,MATCH(LARGE(FILTER(I$4:I1644,I$4:I1644&lt;=W1327),1),I$4:I1644))-(W1327-L"&amp;"ARGE(FILTER(I$4:I1644,I$4:I1644&lt;=W1327),1))*INDEX(F$4:F1644,MATCH(LARGE(FILTER(I$4:I1644,I$4:I1644&lt;=W1327),1),I$4:I1644))))"),"")</f>
        <v/>
      </c>
      <c r="N1327" s="60" t="str">
        <f t="shared" si="8"/>
        <v/>
      </c>
      <c r="O1327" s="61" t="str">
        <f t="shared" si="9"/>
        <v/>
      </c>
      <c r="P1327" s="56" t="str">
        <f t="shared" si="10"/>
        <v/>
      </c>
      <c r="Q1327" s="105"/>
      <c r="R1327" s="10"/>
      <c r="S1327" s="59" t="str">
        <f t="array" ref="S1327">IF(COUNTA(Q1327:Q1644)=0,"",SUM((COUNTIF(Q$4:Q1327,Upgrades!$B$3:$B$13)-COUNTIF(Q$4:Q1327,"Sell_"&amp;Upgrades!$B$3:$B$13))*Upgrades!$D$3:$D$13))</f>
        <v/>
      </c>
      <c r="T1327" s="66" t="str">
        <f>IFERROR(__xludf.DUMMYFUNCTION("IF(COUNTA(Q1327:Q1644)=0,"""",IF(REGEXMATCH(INDEX(FILTER(Q$4:Q1327,Q$4:Q1327&lt;&gt;""""),ROWS(FILTER(Q$4:Q1327,Q$4:Q1327&lt;&gt;""""))),""^Sell_""),INDEX(FILTER(T$4:T1326,Q$4:Q1326&lt;&gt;""""),ROWS(FILTER(Q$4:Q1326,Q$4:Q1326&lt;&gt;""""))),$AD$5+S1327))"),"")</f>
        <v/>
      </c>
      <c r="U1327" s="10" t="str">
        <f>IFERROR(__xludf.DUMMYFUNCTION("IF(COUNTA(Q1327:Q1644)=0,"""",IF(Q1327="""",0,IF(REGEXMATCH(Q1327,""^Sell_""),-ROUNDDOWN(ROUNDUP(INDEX(Upgrades!$C$3:$C$13,MATCH(SUBSTITUTE(Q1327,""Sell_"",""""),Upgrades!$B$3:$B$13,0))*1.15^(COUNTIF(Q$4:Q1326,SUBSTITUTE(Q1327,""Sell_"",""""))-COUNTIF(Q$4"&amp;":Q1326,""Sell_""&amp;SUBSTITUTE(Q1327,""Sell_"",""""))))/2),ROUNDUP(INDEX(Upgrades!$C$3:$C$13,MATCH(Q1327,Upgrades!$B$3:$B$13,0))*1.15^(COUNTIF(Q$4:Q1326,Q1327)-COUNTIF(Q$4:Q1326,""Sell_""&amp;Q1327))))))"),"")</f>
        <v/>
      </c>
      <c r="V1327" s="10" t="str">
        <f t="shared" si="11"/>
        <v/>
      </c>
      <c r="W1327" s="68" t="str">
        <f t="shared" si="12"/>
        <v/>
      </c>
      <c r="X1327" s="59" t="str">
        <f t="shared" si="13"/>
        <v/>
      </c>
      <c r="Y1327" s="69" t="str">
        <f t="shared" si="14"/>
        <v/>
      </c>
      <c r="Z1327" s="11"/>
      <c r="AG1327" s="59"/>
    </row>
    <row r="1328">
      <c r="A1328" s="8"/>
      <c r="B1328" s="56" t="str">
        <f t="shared" si="2"/>
        <v/>
      </c>
      <c r="C1328" s="105"/>
      <c r="D1328" s="10"/>
      <c r="E1328" s="59" t="str">
        <f t="array" ref="E1328">IF(COUNTA(C1328:C1644)=0,"",SUM((COUNTIF(C$4:C1328,Upgrades!$B$3:$B$13)-COUNTIF(C$4:C1328,"Sell_"&amp;Upgrades!$B$3:$B$13))*Upgrades!$D$3:$D$13))</f>
        <v/>
      </c>
      <c r="F1328" s="66" t="str">
        <f>IFERROR(__xludf.DUMMYFUNCTION("IF(COUNTA(C1328:C1644)=0,"""",IF(REGEXMATCH(INDEX(FILTER(C$4:C1328,C$4:C1328&lt;&gt;""""),ROWS(FILTER(C$4:C1328,C$4:C1328&lt;&gt;""""))),""^Sell_""),INDEX(FILTER(F$4:F1327,C$4:C1327&lt;&gt;""""),ROWS(FILTER(C$4:C1327,C$4:C1327&lt;&gt;""""))),$AC$5+E1328))"),"")</f>
        <v/>
      </c>
      <c r="G1328" s="10" t="str">
        <f>IFERROR(__xludf.DUMMYFUNCTION("IF(COUNTA(C1328:C1644)=0,"""",IF(C1328="""",0,IF(REGEXMATCH(C1328,""^Sell_""),-ROUNDDOWN(ROUNDUP(INDEX(Upgrades!$C$3:$C$13,MATCH(SUBSTITUTE(C1328,""Sell_"",""""),Upgrades!$B$3:$B$13,0))*1.15^(COUNTIF(C$4:C1327,SUBSTITUTE(C1328,""Sell_"",""""))-COUNTIF(C$4"&amp;":C1327,""Sell_""&amp;SUBSTITUTE(C1328,""Sell_"",""""))))/2),ROUNDUP(INDEX(Upgrades!$C$3:$C$13,MATCH(C1328,Upgrades!$B$3:$B$13,0))*1.15^(COUNTIF(C$4:C1327,C1328)-COUNTIF(C$4:C1327,""Sell_""&amp;C1328))))))"),"")</f>
        <v/>
      </c>
      <c r="H1328" s="10" t="str">
        <f t="shared" si="3"/>
        <v/>
      </c>
      <c r="I1328" s="68" t="str">
        <f t="shared" si="4"/>
        <v/>
      </c>
      <c r="J1328" s="59" t="str">
        <f t="shared" si="5"/>
        <v/>
      </c>
      <c r="K1328" s="69" t="str">
        <f t="shared" si="6"/>
        <v/>
      </c>
      <c r="L1328" s="60" t="str">
        <f t="shared" si="7"/>
        <v/>
      </c>
      <c r="M1328" s="61" t="str">
        <f>IFERROR(__xludf.DUMMYFUNCTION("IFS(AND(COUNTA(C1328:C1644)=0,COUNTA(Q1328:Q1644)=0),"""",OR(AND(K1328&gt;=1000000000,OR(Y1328&gt;=1000000000,COUNTA(Q1328:Q1644)=0)),OR(Y1328&gt;=1000000000,AND(COUNTA(C1328:C1644)=0,P$3=TRUE))),
ROUNDDOWN((AB$1-AC$1)*MAX(INDEX(T$4:T1644,MATCH(LARGE(FILTER(Y$4:Y1"&amp;"644,Y$4:Y1644&lt;1000000000),1),Y$4:Y1644)),INDEX(F$4:F1644,MATCH(LARGE(FILTER(K$4:K1644,K$4:K1644&lt;1000000000),1),K$4:K1644)))),AND(K1328&lt;1000000000,COUNTA(C1328:C1644)&gt;0,P$3=FALSE),
ROUNDDOWN(INDEX(Y$4:Y1644,MATCH(LARGE(FILTER(W$4:W1644,W$4:W1644&lt;=I1328),1)"&amp;",W$4:W1644))+(I1328-LARGE(FILTER(W$4:W1644,W$4:W1644&lt;=I1328),1))*INDEX(T$4:T1644,MATCH(LARGE(FILTER(W$4:W1644,W$4:W1644&lt;=I1328),1),W$4:W1644))-K1328),1,
ROUNDDOWN(Y1328-INDEX(K$4:K1644,MATCH(LARGE(FILTER(I$4:I1644,I$4:I1644&lt;=W1328),1),I$4:I1644))-(W1328-L"&amp;"ARGE(FILTER(I$4:I1644,I$4:I1644&lt;=W1328),1))*INDEX(F$4:F1644,MATCH(LARGE(FILTER(I$4:I1644,I$4:I1644&lt;=W1328),1),I$4:I1644))))"),"")</f>
        <v/>
      </c>
      <c r="N1328" s="60" t="str">
        <f t="shared" si="8"/>
        <v/>
      </c>
      <c r="O1328" s="61" t="str">
        <f t="shared" si="9"/>
        <v/>
      </c>
      <c r="P1328" s="56" t="str">
        <f t="shared" si="10"/>
        <v/>
      </c>
      <c r="Q1328" s="105"/>
      <c r="R1328" s="10"/>
      <c r="S1328" s="59" t="str">
        <f t="array" ref="S1328">IF(COUNTA(Q1328:Q1644)=0,"",SUM((COUNTIF(Q$4:Q1328,Upgrades!$B$3:$B$13)-COUNTIF(Q$4:Q1328,"Sell_"&amp;Upgrades!$B$3:$B$13))*Upgrades!$D$3:$D$13))</f>
        <v/>
      </c>
      <c r="T1328" s="66" t="str">
        <f>IFERROR(__xludf.DUMMYFUNCTION("IF(COUNTA(Q1328:Q1644)=0,"""",IF(REGEXMATCH(INDEX(FILTER(Q$4:Q1328,Q$4:Q1328&lt;&gt;""""),ROWS(FILTER(Q$4:Q1328,Q$4:Q1328&lt;&gt;""""))),""^Sell_""),INDEX(FILTER(T$4:T1327,Q$4:Q1327&lt;&gt;""""),ROWS(FILTER(Q$4:Q1327,Q$4:Q1327&lt;&gt;""""))),$AD$5+S1328))"),"")</f>
        <v/>
      </c>
      <c r="U1328" s="10" t="str">
        <f>IFERROR(__xludf.DUMMYFUNCTION("IF(COUNTA(Q1328:Q1644)=0,"""",IF(Q1328="""",0,IF(REGEXMATCH(Q1328,""^Sell_""),-ROUNDDOWN(ROUNDUP(INDEX(Upgrades!$C$3:$C$13,MATCH(SUBSTITUTE(Q1328,""Sell_"",""""),Upgrades!$B$3:$B$13,0))*1.15^(COUNTIF(Q$4:Q1327,SUBSTITUTE(Q1328,""Sell_"",""""))-COUNTIF(Q$4"&amp;":Q1327,""Sell_""&amp;SUBSTITUTE(Q1328,""Sell_"",""""))))/2),ROUNDUP(INDEX(Upgrades!$C$3:$C$13,MATCH(Q1328,Upgrades!$B$3:$B$13,0))*1.15^(COUNTIF(Q$4:Q1327,Q1328)-COUNTIF(Q$4:Q1327,""Sell_""&amp;Q1328))))))"),"")</f>
        <v/>
      </c>
      <c r="V1328" s="10" t="str">
        <f t="shared" si="11"/>
        <v/>
      </c>
      <c r="W1328" s="68" t="str">
        <f t="shared" si="12"/>
        <v/>
      </c>
      <c r="X1328" s="59" t="str">
        <f t="shared" si="13"/>
        <v/>
      </c>
      <c r="Y1328" s="69" t="str">
        <f t="shared" si="14"/>
        <v/>
      </c>
      <c r="Z1328" s="11"/>
      <c r="AG1328" s="59"/>
    </row>
    <row r="1329">
      <c r="A1329" s="8"/>
      <c r="B1329" s="56" t="str">
        <f t="shared" si="2"/>
        <v/>
      </c>
      <c r="C1329" s="105"/>
      <c r="D1329" s="10"/>
      <c r="E1329" s="59" t="str">
        <f t="array" ref="E1329">IF(COUNTA(C1329:C1644)=0,"",SUM((COUNTIF(C$4:C1329,Upgrades!$B$3:$B$13)-COUNTIF(C$4:C1329,"Sell_"&amp;Upgrades!$B$3:$B$13))*Upgrades!$D$3:$D$13))</f>
        <v/>
      </c>
      <c r="F1329" s="66" t="str">
        <f>IFERROR(__xludf.DUMMYFUNCTION("IF(COUNTA(C1329:C1644)=0,"""",IF(REGEXMATCH(INDEX(FILTER(C$4:C1329,C$4:C1329&lt;&gt;""""),ROWS(FILTER(C$4:C1329,C$4:C1329&lt;&gt;""""))),""^Sell_""),INDEX(FILTER(F$4:F1328,C$4:C1328&lt;&gt;""""),ROWS(FILTER(C$4:C1328,C$4:C1328&lt;&gt;""""))),$AC$5+E1329))"),"")</f>
        <v/>
      </c>
      <c r="G1329" s="10" t="str">
        <f>IFERROR(__xludf.DUMMYFUNCTION("IF(COUNTA(C1329:C1644)=0,"""",IF(C1329="""",0,IF(REGEXMATCH(C1329,""^Sell_""),-ROUNDDOWN(ROUNDUP(INDEX(Upgrades!$C$3:$C$13,MATCH(SUBSTITUTE(C1329,""Sell_"",""""),Upgrades!$B$3:$B$13,0))*1.15^(COUNTIF(C$4:C1328,SUBSTITUTE(C1329,""Sell_"",""""))-COUNTIF(C$4"&amp;":C1328,""Sell_""&amp;SUBSTITUTE(C1329,""Sell_"",""""))))/2),ROUNDUP(INDEX(Upgrades!$C$3:$C$13,MATCH(C1329,Upgrades!$B$3:$B$13,0))*1.15^(COUNTIF(C$4:C1328,C1329)-COUNTIF(C$4:C1328,""Sell_""&amp;C1329))))))"),"")</f>
        <v/>
      </c>
      <c r="H1329" s="10" t="str">
        <f t="shared" si="3"/>
        <v/>
      </c>
      <c r="I1329" s="68" t="str">
        <f t="shared" si="4"/>
        <v/>
      </c>
      <c r="J1329" s="59" t="str">
        <f t="shared" si="5"/>
        <v/>
      </c>
      <c r="K1329" s="69" t="str">
        <f t="shared" si="6"/>
        <v/>
      </c>
      <c r="L1329" s="60" t="str">
        <f t="shared" si="7"/>
        <v/>
      </c>
      <c r="M1329" s="61" t="str">
        <f>IFERROR(__xludf.DUMMYFUNCTION("IFS(AND(COUNTA(C1329:C1644)=0,COUNTA(Q1329:Q1644)=0),"""",OR(AND(K1329&gt;=1000000000,OR(Y1329&gt;=1000000000,COUNTA(Q1329:Q1644)=0)),OR(Y1329&gt;=1000000000,AND(COUNTA(C1329:C1644)=0,P$3=TRUE))),
ROUNDDOWN((AB$1-AC$1)*MAX(INDEX(T$4:T1644,MATCH(LARGE(FILTER(Y$4:Y1"&amp;"644,Y$4:Y1644&lt;1000000000),1),Y$4:Y1644)),INDEX(F$4:F1644,MATCH(LARGE(FILTER(K$4:K1644,K$4:K1644&lt;1000000000),1),K$4:K1644)))),AND(K1329&lt;1000000000,COUNTA(C1329:C1644)&gt;0,P$3=FALSE),
ROUNDDOWN(INDEX(Y$4:Y1644,MATCH(LARGE(FILTER(W$4:W1644,W$4:W1644&lt;=I1329),1)"&amp;",W$4:W1644))+(I1329-LARGE(FILTER(W$4:W1644,W$4:W1644&lt;=I1329),1))*INDEX(T$4:T1644,MATCH(LARGE(FILTER(W$4:W1644,W$4:W1644&lt;=I1329),1),W$4:W1644))-K1329),1,
ROUNDDOWN(Y1329-INDEX(K$4:K1644,MATCH(LARGE(FILTER(I$4:I1644,I$4:I1644&lt;=W1329),1),I$4:I1644))-(W1329-L"&amp;"ARGE(FILTER(I$4:I1644,I$4:I1644&lt;=W1329),1))*INDEX(F$4:F1644,MATCH(LARGE(FILTER(I$4:I1644,I$4:I1644&lt;=W1329),1),I$4:I1644))))"),"")</f>
        <v/>
      </c>
      <c r="N1329" s="60" t="str">
        <f t="shared" si="8"/>
        <v/>
      </c>
      <c r="O1329" s="61" t="str">
        <f t="shared" si="9"/>
        <v/>
      </c>
      <c r="P1329" s="56" t="str">
        <f t="shared" si="10"/>
        <v/>
      </c>
      <c r="Q1329" s="105"/>
      <c r="R1329" s="10"/>
      <c r="S1329" s="59" t="str">
        <f t="array" ref="S1329">IF(COUNTA(Q1329:Q1644)=0,"",SUM((COUNTIF(Q$4:Q1329,Upgrades!$B$3:$B$13)-COUNTIF(Q$4:Q1329,"Sell_"&amp;Upgrades!$B$3:$B$13))*Upgrades!$D$3:$D$13))</f>
        <v/>
      </c>
      <c r="T1329" s="66" t="str">
        <f>IFERROR(__xludf.DUMMYFUNCTION("IF(COUNTA(Q1329:Q1644)=0,"""",IF(REGEXMATCH(INDEX(FILTER(Q$4:Q1329,Q$4:Q1329&lt;&gt;""""),ROWS(FILTER(Q$4:Q1329,Q$4:Q1329&lt;&gt;""""))),""^Sell_""),INDEX(FILTER(T$4:T1328,Q$4:Q1328&lt;&gt;""""),ROWS(FILTER(Q$4:Q1328,Q$4:Q1328&lt;&gt;""""))),$AD$5+S1329))"),"")</f>
        <v/>
      </c>
      <c r="U1329" s="10" t="str">
        <f>IFERROR(__xludf.DUMMYFUNCTION("IF(COUNTA(Q1329:Q1644)=0,"""",IF(Q1329="""",0,IF(REGEXMATCH(Q1329,""^Sell_""),-ROUNDDOWN(ROUNDUP(INDEX(Upgrades!$C$3:$C$13,MATCH(SUBSTITUTE(Q1329,""Sell_"",""""),Upgrades!$B$3:$B$13,0))*1.15^(COUNTIF(Q$4:Q1328,SUBSTITUTE(Q1329,""Sell_"",""""))-COUNTIF(Q$4"&amp;":Q1328,""Sell_""&amp;SUBSTITUTE(Q1329,""Sell_"",""""))))/2),ROUNDUP(INDEX(Upgrades!$C$3:$C$13,MATCH(Q1329,Upgrades!$B$3:$B$13,0))*1.15^(COUNTIF(Q$4:Q1328,Q1329)-COUNTIF(Q$4:Q1328,""Sell_""&amp;Q1329))))))"),"")</f>
        <v/>
      </c>
      <c r="V1329" s="10" t="str">
        <f t="shared" si="11"/>
        <v/>
      </c>
      <c r="W1329" s="68" t="str">
        <f t="shared" si="12"/>
        <v/>
      </c>
      <c r="X1329" s="59" t="str">
        <f t="shared" si="13"/>
        <v/>
      </c>
      <c r="Y1329" s="69" t="str">
        <f t="shared" si="14"/>
        <v/>
      </c>
      <c r="Z1329" s="11"/>
      <c r="AG1329" s="59"/>
    </row>
    <row r="1330">
      <c r="A1330" s="8"/>
      <c r="B1330" s="56" t="str">
        <f t="shared" si="2"/>
        <v/>
      </c>
      <c r="C1330" s="105"/>
      <c r="D1330" s="10"/>
      <c r="E1330" s="59" t="str">
        <f t="array" ref="E1330">IF(COUNTA(C1330:C1644)=0,"",SUM((COUNTIF(C$4:C1330,Upgrades!$B$3:$B$13)-COUNTIF(C$4:C1330,"Sell_"&amp;Upgrades!$B$3:$B$13))*Upgrades!$D$3:$D$13))</f>
        <v/>
      </c>
      <c r="F1330" s="66" t="str">
        <f>IFERROR(__xludf.DUMMYFUNCTION("IF(COUNTA(C1330:C1644)=0,"""",IF(REGEXMATCH(INDEX(FILTER(C$4:C1330,C$4:C1330&lt;&gt;""""),ROWS(FILTER(C$4:C1330,C$4:C1330&lt;&gt;""""))),""^Sell_""),INDEX(FILTER(F$4:F1329,C$4:C1329&lt;&gt;""""),ROWS(FILTER(C$4:C1329,C$4:C1329&lt;&gt;""""))),$AC$5+E1330))"),"")</f>
        <v/>
      </c>
      <c r="G1330" s="10" t="str">
        <f>IFERROR(__xludf.DUMMYFUNCTION("IF(COUNTA(C1330:C1644)=0,"""",IF(C1330="""",0,IF(REGEXMATCH(C1330,""^Sell_""),-ROUNDDOWN(ROUNDUP(INDEX(Upgrades!$C$3:$C$13,MATCH(SUBSTITUTE(C1330,""Sell_"",""""),Upgrades!$B$3:$B$13,0))*1.15^(COUNTIF(C$4:C1329,SUBSTITUTE(C1330,""Sell_"",""""))-COUNTIF(C$4"&amp;":C1329,""Sell_""&amp;SUBSTITUTE(C1330,""Sell_"",""""))))/2),ROUNDUP(INDEX(Upgrades!$C$3:$C$13,MATCH(C1330,Upgrades!$B$3:$B$13,0))*1.15^(COUNTIF(C$4:C1329,C1330)-COUNTIF(C$4:C1329,""Sell_""&amp;C1330))))))"),"")</f>
        <v/>
      </c>
      <c r="H1330" s="10" t="str">
        <f t="shared" si="3"/>
        <v/>
      </c>
      <c r="I1330" s="68" t="str">
        <f t="shared" si="4"/>
        <v/>
      </c>
      <c r="J1330" s="59" t="str">
        <f t="shared" si="5"/>
        <v/>
      </c>
      <c r="K1330" s="69" t="str">
        <f t="shared" si="6"/>
        <v/>
      </c>
      <c r="L1330" s="60" t="str">
        <f t="shared" si="7"/>
        <v/>
      </c>
      <c r="M1330" s="61" t="str">
        <f>IFERROR(__xludf.DUMMYFUNCTION("IFS(AND(COUNTA(C1330:C1644)=0,COUNTA(Q1330:Q1644)=0),"""",OR(AND(K1330&gt;=1000000000,OR(Y1330&gt;=1000000000,COUNTA(Q1330:Q1644)=0)),OR(Y1330&gt;=1000000000,AND(COUNTA(C1330:C1644)=0,P$3=TRUE))),
ROUNDDOWN((AB$1-AC$1)*MAX(INDEX(T$4:T1644,MATCH(LARGE(FILTER(Y$4:Y1"&amp;"644,Y$4:Y1644&lt;1000000000),1),Y$4:Y1644)),INDEX(F$4:F1644,MATCH(LARGE(FILTER(K$4:K1644,K$4:K1644&lt;1000000000),1),K$4:K1644)))),AND(K1330&lt;1000000000,COUNTA(C1330:C1644)&gt;0,P$3=FALSE),
ROUNDDOWN(INDEX(Y$4:Y1644,MATCH(LARGE(FILTER(W$4:W1644,W$4:W1644&lt;=I1330),1)"&amp;",W$4:W1644))+(I1330-LARGE(FILTER(W$4:W1644,W$4:W1644&lt;=I1330),1))*INDEX(T$4:T1644,MATCH(LARGE(FILTER(W$4:W1644,W$4:W1644&lt;=I1330),1),W$4:W1644))-K1330),1,
ROUNDDOWN(Y1330-INDEX(K$4:K1644,MATCH(LARGE(FILTER(I$4:I1644,I$4:I1644&lt;=W1330),1),I$4:I1644))-(W1330-L"&amp;"ARGE(FILTER(I$4:I1644,I$4:I1644&lt;=W1330),1))*INDEX(F$4:F1644,MATCH(LARGE(FILTER(I$4:I1644,I$4:I1644&lt;=W1330),1),I$4:I1644))))"),"")</f>
        <v/>
      </c>
      <c r="N1330" s="60" t="str">
        <f t="shared" si="8"/>
        <v/>
      </c>
      <c r="O1330" s="61" t="str">
        <f t="shared" si="9"/>
        <v/>
      </c>
      <c r="P1330" s="56" t="str">
        <f t="shared" si="10"/>
        <v/>
      </c>
      <c r="Q1330" s="105"/>
      <c r="R1330" s="10"/>
      <c r="S1330" s="59" t="str">
        <f t="array" ref="S1330">IF(COUNTA(Q1330:Q1644)=0,"",SUM((COUNTIF(Q$4:Q1330,Upgrades!$B$3:$B$13)-COUNTIF(Q$4:Q1330,"Sell_"&amp;Upgrades!$B$3:$B$13))*Upgrades!$D$3:$D$13))</f>
        <v/>
      </c>
      <c r="T1330" s="66" t="str">
        <f>IFERROR(__xludf.DUMMYFUNCTION("IF(COUNTA(Q1330:Q1644)=0,"""",IF(REGEXMATCH(INDEX(FILTER(Q$4:Q1330,Q$4:Q1330&lt;&gt;""""),ROWS(FILTER(Q$4:Q1330,Q$4:Q1330&lt;&gt;""""))),""^Sell_""),INDEX(FILTER(T$4:T1329,Q$4:Q1329&lt;&gt;""""),ROWS(FILTER(Q$4:Q1329,Q$4:Q1329&lt;&gt;""""))),$AD$5+S1330))"),"")</f>
        <v/>
      </c>
      <c r="U1330" s="10" t="str">
        <f>IFERROR(__xludf.DUMMYFUNCTION("IF(COUNTA(Q1330:Q1644)=0,"""",IF(Q1330="""",0,IF(REGEXMATCH(Q1330,""^Sell_""),-ROUNDDOWN(ROUNDUP(INDEX(Upgrades!$C$3:$C$13,MATCH(SUBSTITUTE(Q1330,""Sell_"",""""),Upgrades!$B$3:$B$13,0))*1.15^(COUNTIF(Q$4:Q1329,SUBSTITUTE(Q1330,""Sell_"",""""))-COUNTIF(Q$4"&amp;":Q1329,""Sell_""&amp;SUBSTITUTE(Q1330,""Sell_"",""""))))/2),ROUNDUP(INDEX(Upgrades!$C$3:$C$13,MATCH(Q1330,Upgrades!$B$3:$B$13,0))*1.15^(COUNTIF(Q$4:Q1329,Q1330)-COUNTIF(Q$4:Q1329,""Sell_""&amp;Q1330))))))"),"")</f>
        <v/>
      </c>
      <c r="V1330" s="10" t="str">
        <f t="shared" si="11"/>
        <v/>
      </c>
      <c r="W1330" s="68" t="str">
        <f t="shared" si="12"/>
        <v/>
      </c>
      <c r="X1330" s="59" t="str">
        <f t="shared" si="13"/>
        <v/>
      </c>
      <c r="Y1330" s="69" t="str">
        <f t="shared" si="14"/>
        <v/>
      </c>
      <c r="Z1330" s="11"/>
      <c r="AG1330" s="59"/>
    </row>
    <row r="1331">
      <c r="A1331" s="8"/>
      <c r="B1331" s="56" t="str">
        <f t="shared" si="2"/>
        <v/>
      </c>
      <c r="C1331" s="105"/>
      <c r="D1331" s="10"/>
      <c r="E1331" s="59" t="str">
        <f t="array" ref="E1331">IF(COUNTA(C1331:C1644)=0,"",SUM((COUNTIF(C$4:C1331,Upgrades!$B$3:$B$13)-COUNTIF(C$4:C1331,"Sell_"&amp;Upgrades!$B$3:$B$13))*Upgrades!$D$3:$D$13))</f>
        <v/>
      </c>
      <c r="F1331" s="66" t="str">
        <f>IFERROR(__xludf.DUMMYFUNCTION("IF(COUNTA(C1331:C1644)=0,"""",IF(REGEXMATCH(INDEX(FILTER(C$4:C1331,C$4:C1331&lt;&gt;""""),ROWS(FILTER(C$4:C1331,C$4:C1331&lt;&gt;""""))),""^Sell_""),INDEX(FILTER(F$4:F1330,C$4:C1330&lt;&gt;""""),ROWS(FILTER(C$4:C1330,C$4:C1330&lt;&gt;""""))),$AC$5+E1331))"),"")</f>
        <v/>
      </c>
      <c r="G1331" s="10" t="str">
        <f>IFERROR(__xludf.DUMMYFUNCTION("IF(COUNTA(C1331:C1644)=0,"""",IF(C1331="""",0,IF(REGEXMATCH(C1331,""^Sell_""),-ROUNDDOWN(ROUNDUP(INDEX(Upgrades!$C$3:$C$13,MATCH(SUBSTITUTE(C1331,""Sell_"",""""),Upgrades!$B$3:$B$13,0))*1.15^(COUNTIF(C$4:C1330,SUBSTITUTE(C1331,""Sell_"",""""))-COUNTIF(C$4"&amp;":C1330,""Sell_""&amp;SUBSTITUTE(C1331,""Sell_"",""""))))/2),ROUNDUP(INDEX(Upgrades!$C$3:$C$13,MATCH(C1331,Upgrades!$B$3:$B$13,0))*1.15^(COUNTIF(C$4:C1330,C1331)-COUNTIF(C$4:C1330,""Sell_""&amp;C1331))))))"),"")</f>
        <v/>
      </c>
      <c r="H1331" s="10" t="str">
        <f t="shared" si="3"/>
        <v/>
      </c>
      <c r="I1331" s="68" t="str">
        <f t="shared" si="4"/>
        <v/>
      </c>
      <c r="J1331" s="59" t="str">
        <f t="shared" si="5"/>
        <v/>
      </c>
      <c r="K1331" s="69" t="str">
        <f t="shared" si="6"/>
        <v/>
      </c>
      <c r="L1331" s="60" t="str">
        <f t="shared" si="7"/>
        <v/>
      </c>
      <c r="M1331" s="61" t="str">
        <f>IFERROR(__xludf.DUMMYFUNCTION("IFS(AND(COUNTA(C1331:C1644)=0,COUNTA(Q1331:Q1644)=0),"""",OR(AND(K1331&gt;=1000000000,OR(Y1331&gt;=1000000000,COUNTA(Q1331:Q1644)=0)),OR(Y1331&gt;=1000000000,AND(COUNTA(C1331:C1644)=0,P$3=TRUE))),
ROUNDDOWN((AB$1-AC$1)*MAX(INDEX(T$4:T1644,MATCH(LARGE(FILTER(Y$4:Y1"&amp;"644,Y$4:Y1644&lt;1000000000),1),Y$4:Y1644)),INDEX(F$4:F1644,MATCH(LARGE(FILTER(K$4:K1644,K$4:K1644&lt;1000000000),1),K$4:K1644)))),AND(K1331&lt;1000000000,COUNTA(C1331:C1644)&gt;0,P$3=FALSE),
ROUNDDOWN(INDEX(Y$4:Y1644,MATCH(LARGE(FILTER(W$4:W1644,W$4:W1644&lt;=I1331),1)"&amp;",W$4:W1644))+(I1331-LARGE(FILTER(W$4:W1644,W$4:W1644&lt;=I1331),1))*INDEX(T$4:T1644,MATCH(LARGE(FILTER(W$4:W1644,W$4:W1644&lt;=I1331),1),W$4:W1644))-K1331),1,
ROUNDDOWN(Y1331-INDEX(K$4:K1644,MATCH(LARGE(FILTER(I$4:I1644,I$4:I1644&lt;=W1331),1),I$4:I1644))-(W1331-L"&amp;"ARGE(FILTER(I$4:I1644,I$4:I1644&lt;=W1331),1))*INDEX(F$4:F1644,MATCH(LARGE(FILTER(I$4:I1644,I$4:I1644&lt;=W1331),1),I$4:I1644))))"),"")</f>
        <v/>
      </c>
      <c r="N1331" s="60" t="str">
        <f t="shared" si="8"/>
        <v/>
      </c>
      <c r="O1331" s="61" t="str">
        <f t="shared" si="9"/>
        <v/>
      </c>
      <c r="P1331" s="56" t="str">
        <f t="shared" si="10"/>
        <v/>
      </c>
      <c r="Q1331" s="105"/>
      <c r="R1331" s="10"/>
      <c r="S1331" s="59" t="str">
        <f t="array" ref="S1331">IF(COUNTA(Q1331:Q1644)=0,"",SUM((COUNTIF(Q$4:Q1331,Upgrades!$B$3:$B$13)-COUNTIF(Q$4:Q1331,"Sell_"&amp;Upgrades!$B$3:$B$13))*Upgrades!$D$3:$D$13))</f>
        <v/>
      </c>
      <c r="T1331" s="66" t="str">
        <f>IFERROR(__xludf.DUMMYFUNCTION("IF(COUNTA(Q1331:Q1644)=0,"""",IF(REGEXMATCH(INDEX(FILTER(Q$4:Q1331,Q$4:Q1331&lt;&gt;""""),ROWS(FILTER(Q$4:Q1331,Q$4:Q1331&lt;&gt;""""))),""^Sell_""),INDEX(FILTER(T$4:T1330,Q$4:Q1330&lt;&gt;""""),ROWS(FILTER(Q$4:Q1330,Q$4:Q1330&lt;&gt;""""))),$AD$5+S1331))"),"")</f>
        <v/>
      </c>
      <c r="U1331" s="10" t="str">
        <f>IFERROR(__xludf.DUMMYFUNCTION("IF(COUNTA(Q1331:Q1644)=0,"""",IF(Q1331="""",0,IF(REGEXMATCH(Q1331,""^Sell_""),-ROUNDDOWN(ROUNDUP(INDEX(Upgrades!$C$3:$C$13,MATCH(SUBSTITUTE(Q1331,""Sell_"",""""),Upgrades!$B$3:$B$13,0))*1.15^(COUNTIF(Q$4:Q1330,SUBSTITUTE(Q1331,""Sell_"",""""))-COUNTIF(Q$4"&amp;":Q1330,""Sell_""&amp;SUBSTITUTE(Q1331,""Sell_"",""""))))/2),ROUNDUP(INDEX(Upgrades!$C$3:$C$13,MATCH(Q1331,Upgrades!$B$3:$B$13,0))*1.15^(COUNTIF(Q$4:Q1330,Q1331)-COUNTIF(Q$4:Q1330,""Sell_""&amp;Q1331))))))"),"")</f>
        <v/>
      </c>
      <c r="V1331" s="10" t="str">
        <f t="shared" si="11"/>
        <v/>
      </c>
      <c r="W1331" s="68" t="str">
        <f t="shared" si="12"/>
        <v/>
      </c>
      <c r="X1331" s="59" t="str">
        <f t="shared" si="13"/>
        <v/>
      </c>
      <c r="Y1331" s="69" t="str">
        <f t="shared" si="14"/>
        <v/>
      </c>
      <c r="Z1331" s="11"/>
      <c r="AG1331" s="59"/>
    </row>
    <row r="1332">
      <c r="A1332" s="8"/>
      <c r="B1332" s="56" t="str">
        <f t="shared" si="2"/>
        <v/>
      </c>
      <c r="C1332" s="105"/>
      <c r="D1332" s="10"/>
      <c r="E1332" s="59" t="str">
        <f t="array" ref="E1332">IF(COUNTA(C1332:C1644)=0,"",SUM((COUNTIF(C$4:C1332,Upgrades!$B$3:$B$13)-COUNTIF(C$4:C1332,"Sell_"&amp;Upgrades!$B$3:$B$13))*Upgrades!$D$3:$D$13))</f>
        <v/>
      </c>
      <c r="F1332" s="66" t="str">
        <f>IFERROR(__xludf.DUMMYFUNCTION("IF(COUNTA(C1332:C1644)=0,"""",IF(REGEXMATCH(INDEX(FILTER(C$4:C1332,C$4:C1332&lt;&gt;""""),ROWS(FILTER(C$4:C1332,C$4:C1332&lt;&gt;""""))),""^Sell_""),INDEX(FILTER(F$4:F1331,C$4:C1331&lt;&gt;""""),ROWS(FILTER(C$4:C1331,C$4:C1331&lt;&gt;""""))),$AC$5+E1332))"),"")</f>
        <v/>
      </c>
      <c r="G1332" s="10" t="str">
        <f>IFERROR(__xludf.DUMMYFUNCTION("IF(COUNTA(C1332:C1644)=0,"""",IF(C1332="""",0,IF(REGEXMATCH(C1332,""^Sell_""),-ROUNDDOWN(ROUNDUP(INDEX(Upgrades!$C$3:$C$13,MATCH(SUBSTITUTE(C1332,""Sell_"",""""),Upgrades!$B$3:$B$13,0))*1.15^(COUNTIF(C$4:C1331,SUBSTITUTE(C1332,""Sell_"",""""))-COUNTIF(C$4"&amp;":C1331,""Sell_""&amp;SUBSTITUTE(C1332,""Sell_"",""""))))/2),ROUNDUP(INDEX(Upgrades!$C$3:$C$13,MATCH(C1332,Upgrades!$B$3:$B$13,0))*1.15^(COUNTIF(C$4:C1331,C1332)-COUNTIF(C$4:C1331,""Sell_""&amp;C1332))))))"),"")</f>
        <v/>
      </c>
      <c r="H1332" s="10" t="str">
        <f t="shared" si="3"/>
        <v/>
      </c>
      <c r="I1332" s="68" t="str">
        <f t="shared" si="4"/>
        <v/>
      </c>
      <c r="J1332" s="59" t="str">
        <f t="shared" si="5"/>
        <v/>
      </c>
      <c r="K1332" s="69" t="str">
        <f t="shared" si="6"/>
        <v/>
      </c>
      <c r="L1332" s="60" t="str">
        <f t="shared" si="7"/>
        <v/>
      </c>
      <c r="M1332" s="61" t="str">
        <f>IFERROR(__xludf.DUMMYFUNCTION("IFS(AND(COUNTA(C1332:C1644)=0,COUNTA(Q1332:Q1644)=0),"""",OR(AND(K1332&gt;=1000000000,OR(Y1332&gt;=1000000000,COUNTA(Q1332:Q1644)=0)),OR(Y1332&gt;=1000000000,AND(COUNTA(C1332:C1644)=0,P$3=TRUE))),
ROUNDDOWN((AB$1-AC$1)*MAX(INDEX(T$4:T1644,MATCH(LARGE(FILTER(Y$4:Y1"&amp;"644,Y$4:Y1644&lt;1000000000),1),Y$4:Y1644)),INDEX(F$4:F1644,MATCH(LARGE(FILTER(K$4:K1644,K$4:K1644&lt;1000000000),1),K$4:K1644)))),AND(K1332&lt;1000000000,COUNTA(C1332:C1644)&gt;0,P$3=FALSE),
ROUNDDOWN(INDEX(Y$4:Y1644,MATCH(LARGE(FILTER(W$4:W1644,W$4:W1644&lt;=I1332),1)"&amp;",W$4:W1644))+(I1332-LARGE(FILTER(W$4:W1644,W$4:W1644&lt;=I1332),1))*INDEX(T$4:T1644,MATCH(LARGE(FILTER(W$4:W1644,W$4:W1644&lt;=I1332),1),W$4:W1644))-K1332),1,
ROUNDDOWN(Y1332-INDEX(K$4:K1644,MATCH(LARGE(FILTER(I$4:I1644,I$4:I1644&lt;=W1332),1),I$4:I1644))-(W1332-L"&amp;"ARGE(FILTER(I$4:I1644,I$4:I1644&lt;=W1332),1))*INDEX(F$4:F1644,MATCH(LARGE(FILTER(I$4:I1644,I$4:I1644&lt;=W1332),1),I$4:I1644))))"),"")</f>
        <v/>
      </c>
      <c r="N1332" s="60" t="str">
        <f t="shared" si="8"/>
        <v/>
      </c>
      <c r="O1332" s="61" t="str">
        <f t="shared" si="9"/>
        <v/>
      </c>
      <c r="P1332" s="56" t="str">
        <f t="shared" si="10"/>
        <v/>
      </c>
      <c r="Q1332" s="105"/>
      <c r="R1332" s="10"/>
      <c r="S1332" s="59" t="str">
        <f t="array" ref="S1332">IF(COUNTA(Q1332:Q1644)=0,"",SUM((COUNTIF(Q$4:Q1332,Upgrades!$B$3:$B$13)-COUNTIF(Q$4:Q1332,"Sell_"&amp;Upgrades!$B$3:$B$13))*Upgrades!$D$3:$D$13))</f>
        <v/>
      </c>
      <c r="T1332" s="66" t="str">
        <f>IFERROR(__xludf.DUMMYFUNCTION("IF(COUNTA(Q1332:Q1644)=0,"""",IF(REGEXMATCH(INDEX(FILTER(Q$4:Q1332,Q$4:Q1332&lt;&gt;""""),ROWS(FILTER(Q$4:Q1332,Q$4:Q1332&lt;&gt;""""))),""^Sell_""),INDEX(FILTER(T$4:T1331,Q$4:Q1331&lt;&gt;""""),ROWS(FILTER(Q$4:Q1331,Q$4:Q1331&lt;&gt;""""))),$AD$5+S1332))"),"")</f>
        <v/>
      </c>
      <c r="U1332" s="10" t="str">
        <f>IFERROR(__xludf.DUMMYFUNCTION("IF(COUNTA(Q1332:Q1644)=0,"""",IF(Q1332="""",0,IF(REGEXMATCH(Q1332,""^Sell_""),-ROUNDDOWN(ROUNDUP(INDEX(Upgrades!$C$3:$C$13,MATCH(SUBSTITUTE(Q1332,""Sell_"",""""),Upgrades!$B$3:$B$13,0))*1.15^(COUNTIF(Q$4:Q1331,SUBSTITUTE(Q1332,""Sell_"",""""))-COUNTIF(Q$4"&amp;":Q1331,""Sell_""&amp;SUBSTITUTE(Q1332,""Sell_"",""""))))/2),ROUNDUP(INDEX(Upgrades!$C$3:$C$13,MATCH(Q1332,Upgrades!$B$3:$B$13,0))*1.15^(COUNTIF(Q$4:Q1331,Q1332)-COUNTIF(Q$4:Q1331,""Sell_""&amp;Q1332))))))"),"")</f>
        <v/>
      </c>
      <c r="V1332" s="10" t="str">
        <f t="shared" si="11"/>
        <v/>
      </c>
      <c r="W1332" s="68" t="str">
        <f t="shared" si="12"/>
        <v/>
      </c>
      <c r="X1332" s="59" t="str">
        <f t="shared" si="13"/>
        <v/>
      </c>
      <c r="Y1332" s="69" t="str">
        <f t="shared" si="14"/>
        <v/>
      </c>
      <c r="Z1332" s="11"/>
      <c r="AG1332" s="59"/>
    </row>
    <row r="1333">
      <c r="A1333" s="8"/>
      <c r="B1333" s="56" t="str">
        <f t="shared" si="2"/>
        <v/>
      </c>
      <c r="C1333" s="105"/>
      <c r="D1333" s="10"/>
      <c r="E1333" s="59" t="str">
        <f t="array" ref="E1333">IF(COUNTA(C1333:C1644)=0,"",SUM((COUNTIF(C$4:C1333,Upgrades!$B$3:$B$13)-COUNTIF(C$4:C1333,"Sell_"&amp;Upgrades!$B$3:$B$13))*Upgrades!$D$3:$D$13))</f>
        <v/>
      </c>
      <c r="F1333" s="66" t="str">
        <f>IFERROR(__xludf.DUMMYFUNCTION("IF(COUNTA(C1333:C1644)=0,"""",IF(REGEXMATCH(INDEX(FILTER(C$4:C1333,C$4:C1333&lt;&gt;""""),ROWS(FILTER(C$4:C1333,C$4:C1333&lt;&gt;""""))),""^Sell_""),INDEX(FILTER(F$4:F1332,C$4:C1332&lt;&gt;""""),ROWS(FILTER(C$4:C1332,C$4:C1332&lt;&gt;""""))),$AC$5+E1333))"),"")</f>
        <v/>
      </c>
      <c r="G1333" s="10" t="str">
        <f>IFERROR(__xludf.DUMMYFUNCTION("IF(COUNTA(C1333:C1644)=0,"""",IF(C1333="""",0,IF(REGEXMATCH(C1333,""^Sell_""),-ROUNDDOWN(ROUNDUP(INDEX(Upgrades!$C$3:$C$13,MATCH(SUBSTITUTE(C1333,""Sell_"",""""),Upgrades!$B$3:$B$13,0))*1.15^(COUNTIF(C$4:C1332,SUBSTITUTE(C1333,""Sell_"",""""))-COUNTIF(C$4"&amp;":C1332,""Sell_""&amp;SUBSTITUTE(C1333,""Sell_"",""""))))/2),ROUNDUP(INDEX(Upgrades!$C$3:$C$13,MATCH(C1333,Upgrades!$B$3:$B$13,0))*1.15^(COUNTIF(C$4:C1332,C1333)-COUNTIF(C$4:C1332,""Sell_""&amp;C1333))))))"),"")</f>
        <v/>
      </c>
      <c r="H1333" s="10" t="str">
        <f t="shared" si="3"/>
        <v/>
      </c>
      <c r="I1333" s="68" t="str">
        <f t="shared" si="4"/>
        <v/>
      </c>
      <c r="J1333" s="59" t="str">
        <f t="shared" si="5"/>
        <v/>
      </c>
      <c r="K1333" s="69" t="str">
        <f t="shared" si="6"/>
        <v/>
      </c>
      <c r="L1333" s="60" t="str">
        <f t="shared" si="7"/>
        <v/>
      </c>
      <c r="M1333" s="61" t="str">
        <f>IFERROR(__xludf.DUMMYFUNCTION("IFS(AND(COUNTA(C1333:C1644)=0,COUNTA(Q1333:Q1644)=0),"""",OR(AND(K1333&gt;=1000000000,OR(Y1333&gt;=1000000000,COUNTA(Q1333:Q1644)=0)),OR(Y1333&gt;=1000000000,AND(COUNTA(C1333:C1644)=0,P$3=TRUE))),
ROUNDDOWN((AB$1-AC$1)*MAX(INDEX(T$4:T1644,MATCH(LARGE(FILTER(Y$4:Y1"&amp;"644,Y$4:Y1644&lt;1000000000),1),Y$4:Y1644)),INDEX(F$4:F1644,MATCH(LARGE(FILTER(K$4:K1644,K$4:K1644&lt;1000000000),1),K$4:K1644)))),AND(K1333&lt;1000000000,COUNTA(C1333:C1644)&gt;0,P$3=FALSE),
ROUNDDOWN(INDEX(Y$4:Y1644,MATCH(LARGE(FILTER(W$4:W1644,W$4:W1644&lt;=I1333),1)"&amp;",W$4:W1644))+(I1333-LARGE(FILTER(W$4:W1644,W$4:W1644&lt;=I1333),1))*INDEX(T$4:T1644,MATCH(LARGE(FILTER(W$4:W1644,W$4:W1644&lt;=I1333),1),W$4:W1644))-K1333),1,
ROUNDDOWN(Y1333-INDEX(K$4:K1644,MATCH(LARGE(FILTER(I$4:I1644,I$4:I1644&lt;=W1333),1),I$4:I1644))-(W1333-L"&amp;"ARGE(FILTER(I$4:I1644,I$4:I1644&lt;=W1333),1))*INDEX(F$4:F1644,MATCH(LARGE(FILTER(I$4:I1644,I$4:I1644&lt;=W1333),1),I$4:I1644))))"),"")</f>
        <v/>
      </c>
      <c r="N1333" s="60" t="str">
        <f t="shared" si="8"/>
        <v/>
      </c>
      <c r="O1333" s="61" t="str">
        <f t="shared" si="9"/>
        <v/>
      </c>
      <c r="P1333" s="56" t="str">
        <f t="shared" si="10"/>
        <v/>
      </c>
      <c r="Q1333" s="105"/>
      <c r="R1333" s="10"/>
      <c r="S1333" s="59" t="str">
        <f t="array" ref="S1333">IF(COUNTA(Q1333:Q1644)=0,"",SUM((COUNTIF(Q$4:Q1333,Upgrades!$B$3:$B$13)-COUNTIF(Q$4:Q1333,"Sell_"&amp;Upgrades!$B$3:$B$13))*Upgrades!$D$3:$D$13))</f>
        <v/>
      </c>
      <c r="T1333" s="66" t="str">
        <f>IFERROR(__xludf.DUMMYFUNCTION("IF(COUNTA(Q1333:Q1644)=0,"""",IF(REGEXMATCH(INDEX(FILTER(Q$4:Q1333,Q$4:Q1333&lt;&gt;""""),ROWS(FILTER(Q$4:Q1333,Q$4:Q1333&lt;&gt;""""))),""^Sell_""),INDEX(FILTER(T$4:T1332,Q$4:Q1332&lt;&gt;""""),ROWS(FILTER(Q$4:Q1332,Q$4:Q1332&lt;&gt;""""))),$AD$5+S1333))"),"")</f>
        <v/>
      </c>
      <c r="U1333" s="10" t="str">
        <f>IFERROR(__xludf.DUMMYFUNCTION("IF(COUNTA(Q1333:Q1644)=0,"""",IF(Q1333="""",0,IF(REGEXMATCH(Q1333,""^Sell_""),-ROUNDDOWN(ROUNDUP(INDEX(Upgrades!$C$3:$C$13,MATCH(SUBSTITUTE(Q1333,""Sell_"",""""),Upgrades!$B$3:$B$13,0))*1.15^(COUNTIF(Q$4:Q1332,SUBSTITUTE(Q1333,""Sell_"",""""))-COUNTIF(Q$4"&amp;":Q1332,""Sell_""&amp;SUBSTITUTE(Q1333,""Sell_"",""""))))/2),ROUNDUP(INDEX(Upgrades!$C$3:$C$13,MATCH(Q1333,Upgrades!$B$3:$B$13,0))*1.15^(COUNTIF(Q$4:Q1332,Q1333)-COUNTIF(Q$4:Q1332,""Sell_""&amp;Q1333))))))"),"")</f>
        <v/>
      </c>
      <c r="V1333" s="10" t="str">
        <f t="shared" si="11"/>
        <v/>
      </c>
      <c r="W1333" s="68" t="str">
        <f t="shared" si="12"/>
        <v/>
      </c>
      <c r="X1333" s="59" t="str">
        <f t="shared" si="13"/>
        <v/>
      </c>
      <c r="Y1333" s="69" t="str">
        <f t="shared" si="14"/>
        <v/>
      </c>
      <c r="Z1333" s="11"/>
      <c r="AG1333" s="59"/>
    </row>
    <row r="1334">
      <c r="A1334" s="8"/>
      <c r="B1334" s="56" t="str">
        <f t="shared" si="2"/>
        <v/>
      </c>
      <c r="C1334" s="105"/>
      <c r="D1334" s="10"/>
      <c r="E1334" s="59" t="str">
        <f t="array" ref="E1334">IF(COUNTA(C1334:C1644)=0,"",SUM((COUNTIF(C$4:C1334,Upgrades!$B$3:$B$13)-COUNTIF(C$4:C1334,"Sell_"&amp;Upgrades!$B$3:$B$13))*Upgrades!$D$3:$D$13))</f>
        <v/>
      </c>
      <c r="F1334" s="66" t="str">
        <f>IFERROR(__xludf.DUMMYFUNCTION("IF(COUNTA(C1334:C1644)=0,"""",IF(REGEXMATCH(INDEX(FILTER(C$4:C1334,C$4:C1334&lt;&gt;""""),ROWS(FILTER(C$4:C1334,C$4:C1334&lt;&gt;""""))),""^Sell_""),INDEX(FILTER(F$4:F1333,C$4:C1333&lt;&gt;""""),ROWS(FILTER(C$4:C1333,C$4:C1333&lt;&gt;""""))),$AC$5+E1334))"),"")</f>
        <v/>
      </c>
      <c r="G1334" s="10" t="str">
        <f>IFERROR(__xludf.DUMMYFUNCTION("IF(COUNTA(C1334:C1644)=0,"""",IF(C1334="""",0,IF(REGEXMATCH(C1334,""^Sell_""),-ROUNDDOWN(ROUNDUP(INDEX(Upgrades!$C$3:$C$13,MATCH(SUBSTITUTE(C1334,""Sell_"",""""),Upgrades!$B$3:$B$13,0))*1.15^(COUNTIF(C$4:C1333,SUBSTITUTE(C1334,""Sell_"",""""))-COUNTIF(C$4"&amp;":C1333,""Sell_""&amp;SUBSTITUTE(C1334,""Sell_"",""""))))/2),ROUNDUP(INDEX(Upgrades!$C$3:$C$13,MATCH(C1334,Upgrades!$B$3:$B$13,0))*1.15^(COUNTIF(C$4:C1333,C1334)-COUNTIF(C$4:C1333,""Sell_""&amp;C1334))))))"),"")</f>
        <v/>
      </c>
      <c r="H1334" s="10" t="str">
        <f t="shared" si="3"/>
        <v/>
      </c>
      <c r="I1334" s="68" t="str">
        <f t="shared" si="4"/>
        <v/>
      </c>
      <c r="J1334" s="59" t="str">
        <f t="shared" si="5"/>
        <v/>
      </c>
      <c r="K1334" s="69" t="str">
        <f t="shared" si="6"/>
        <v/>
      </c>
      <c r="L1334" s="60" t="str">
        <f t="shared" si="7"/>
        <v/>
      </c>
      <c r="M1334" s="61" t="str">
        <f>IFERROR(__xludf.DUMMYFUNCTION("IFS(AND(COUNTA(C1334:C1644)=0,COUNTA(Q1334:Q1644)=0),"""",OR(AND(K1334&gt;=1000000000,OR(Y1334&gt;=1000000000,COUNTA(Q1334:Q1644)=0)),OR(Y1334&gt;=1000000000,AND(COUNTA(C1334:C1644)=0,P$3=TRUE))),
ROUNDDOWN((AB$1-AC$1)*MAX(INDEX(T$4:T1644,MATCH(LARGE(FILTER(Y$4:Y1"&amp;"644,Y$4:Y1644&lt;1000000000),1),Y$4:Y1644)),INDEX(F$4:F1644,MATCH(LARGE(FILTER(K$4:K1644,K$4:K1644&lt;1000000000),1),K$4:K1644)))),AND(K1334&lt;1000000000,COUNTA(C1334:C1644)&gt;0,P$3=FALSE),
ROUNDDOWN(INDEX(Y$4:Y1644,MATCH(LARGE(FILTER(W$4:W1644,W$4:W1644&lt;=I1334),1)"&amp;",W$4:W1644))+(I1334-LARGE(FILTER(W$4:W1644,W$4:W1644&lt;=I1334),1))*INDEX(T$4:T1644,MATCH(LARGE(FILTER(W$4:W1644,W$4:W1644&lt;=I1334),1),W$4:W1644))-K1334),1,
ROUNDDOWN(Y1334-INDEX(K$4:K1644,MATCH(LARGE(FILTER(I$4:I1644,I$4:I1644&lt;=W1334),1),I$4:I1644))-(W1334-L"&amp;"ARGE(FILTER(I$4:I1644,I$4:I1644&lt;=W1334),1))*INDEX(F$4:F1644,MATCH(LARGE(FILTER(I$4:I1644,I$4:I1644&lt;=W1334),1),I$4:I1644))))"),"")</f>
        <v/>
      </c>
      <c r="N1334" s="60" t="str">
        <f t="shared" si="8"/>
        <v/>
      </c>
      <c r="O1334" s="61" t="str">
        <f t="shared" si="9"/>
        <v/>
      </c>
      <c r="P1334" s="56" t="str">
        <f t="shared" si="10"/>
        <v/>
      </c>
      <c r="Q1334" s="105"/>
      <c r="R1334" s="10"/>
      <c r="S1334" s="59" t="str">
        <f t="array" ref="S1334">IF(COUNTA(Q1334:Q1644)=0,"",SUM((COUNTIF(Q$4:Q1334,Upgrades!$B$3:$B$13)-COUNTIF(Q$4:Q1334,"Sell_"&amp;Upgrades!$B$3:$B$13))*Upgrades!$D$3:$D$13))</f>
        <v/>
      </c>
      <c r="T1334" s="66" t="str">
        <f>IFERROR(__xludf.DUMMYFUNCTION("IF(COUNTA(Q1334:Q1644)=0,"""",IF(REGEXMATCH(INDEX(FILTER(Q$4:Q1334,Q$4:Q1334&lt;&gt;""""),ROWS(FILTER(Q$4:Q1334,Q$4:Q1334&lt;&gt;""""))),""^Sell_""),INDEX(FILTER(T$4:T1333,Q$4:Q1333&lt;&gt;""""),ROWS(FILTER(Q$4:Q1333,Q$4:Q1333&lt;&gt;""""))),$AD$5+S1334))"),"")</f>
        <v/>
      </c>
      <c r="U1334" s="10" t="str">
        <f>IFERROR(__xludf.DUMMYFUNCTION("IF(COUNTA(Q1334:Q1644)=0,"""",IF(Q1334="""",0,IF(REGEXMATCH(Q1334,""^Sell_""),-ROUNDDOWN(ROUNDUP(INDEX(Upgrades!$C$3:$C$13,MATCH(SUBSTITUTE(Q1334,""Sell_"",""""),Upgrades!$B$3:$B$13,0))*1.15^(COUNTIF(Q$4:Q1333,SUBSTITUTE(Q1334,""Sell_"",""""))-COUNTIF(Q$4"&amp;":Q1333,""Sell_""&amp;SUBSTITUTE(Q1334,""Sell_"",""""))))/2),ROUNDUP(INDEX(Upgrades!$C$3:$C$13,MATCH(Q1334,Upgrades!$B$3:$B$13,0))*1.15^(COUNTIF(Q$4:Q1333,Q1334)-COUNTIF(Q$4:Q1333,""Sell_""&amp;Q1334))))))"),"")</f>
        <v/>
      </c>
      <c r="V1334" s="10" t="str">
        <f t="shared" si="11"/>
        <v/>
      </c>
      <c r="W1334" s="68" t="str">
        <f t="shared" si="12"/>
        <v/>
      </c>
      <c r="X1334" s="59" t="str">
        <f t="shared" si="13"/>
        <v/>
      </c>
      <c r="Y1334" s="69" t="str">
        <f t="shared" si="14"/>
        <v/>
      </c>
      <c r="Z1334" s="11"/>
      <c r="AG1334" s="59"/>
    </row>
    <row r="1335">
      <c r="A1335" s="8"/>
      <c r="B1335" s="56" t="str">
        <f t="shared" si="2"/>
        <v/>
      </c>
      <c r="C1335" s="105"/>
      <c r="D1335" s="10"/>
      <c r="E1335" s="59" t="str">
        <f t="array" ref="E1335">IF(COUNTA(C1335:C1644)=0,"",SUM((COUNTIF(C$4:C1335,Upgrades!$B$3:$B$13)-COUNTIF(C$4:C1335,"Sell_"&amp;Upgrades!$B$3:$B$13))*Upgrades!$D$3:$D$13))</f>
        <v/>
      </c>
      <c r="F1335" s="66" t="str">
        <f>IFERROR(__xludf.DUMMYFUNCTION("IF(COUNTA(C1335:C1644)=0,"""",IF(REGEXMATCH(INDEX(FILTER(C$4:C1335,C$4:C1335&lt;&gt;""""),ROWS(FILTER(C$4:C1335,C$4:C1335&lt;&gt;""""))),""^Sell_""),INDEX(FILTER(F$4:F1334,C$4:C1334&lt;&gt;""""),ROWS(FILTER(C$4:C1334,C$4:C1334&lt;&gt;""""))),$AC$5+E1335))"),"")</f>
        <v/>
      </c>
      <c r="G1335" s="10" t="str">
        <f>IFERROR(__xludf.DUMMYFUNCTION("IF(COUNTA(C1335:C1644)=0,"""",IF(C1335="""",0,IF(REGEXMATCH(C1335,""^Sell_""),-ROUNDDOWN(ROUNDUP(INDEX(Upgrades!$C$3:$C$13,MATCH(SUBSTITUTE(C1335,""Sell_"",""""),Upgrades!$B$3:$B$13,0))*1.15^(COUNTIF(C$4:C1334,SUBSTITUTE(C1335,""Sell_"",""""))-COUNTIF(C$4"&amp;":C1334,""Sell_""&amp;SUBSTITUTE(C1335,""Sell_"",""""))))/2),ROUNDUP(INDEX(Upgrades!$C$3:$C$13,MATCH(C1335,Upgrades!$B$3:$B$13,0))*1.15^(COUNTIF(C$4:C1334,C1335)-COUNTIF(C$4:C1334,""Sell_""&amp;C1335))))))"),"")</f>
        <v/>
      </c>
      <c r="H1335" s="10" t="str">
        <f t="shared" si="3"/>
        <v/>
      </c>
      <c r="I1335" s="68" t="str">
        <f t="shared" si="4"/>
        <v/>
      </c>
      <c r="J1335" s="59" t="str">
        <f t="shared" si="5"/>
        <v/>
      </c>
      <c r="K1335" s="69" t="str">
        <f t="shared" si="6"/>
        <v/>
      </c>
      <c r="L1335" s="60" t="str">
        <f t="shared" si="7"/>
        <v/>
      </c>
      <c r="M1335" s="61" t="str">
        <f>IFERROR(__xludf.DUMMYFUNCTION("IFS(AND(COUNTA(C1335:C1644)=0,COUNTA(Q1335:Q1644)=0),"""",OR(AND(K1335&gt;=1000000000,OR(Y1335&gt;=1000000000,COUNTA(Q1335:Q1644)=0)),OR(Y1335&gt;=1000000000,AND(COUNTA(C1335:C1644)=0,P$3=TRUE))),
ROUNDDOWN((AB$1-AC$1)*MAX(INDEX(T$4:T1644,MATCH(LARGE(FILTER(Y$4:Y1"&amp;"644,Y$4:Y1644&lt;1000000000),1),Y$4:Y1644)),INDEX(F$4:F1644,MATCH(LARGE(FILTER(K$4:K1644,K$4:K1644&lt;1000000000),1),K$4:K1644)))),AND(K1335&lt;1000000000,COUNTA(C1335:C1644)&gt;0,P$3=FALSE),
ROUNDDOWN(INDEX(Y$4:Y1644,MATCH(LARGE(FILTER(W$4:W1644,W$4:W1644&lt;=I1335),1)"&amp;",W$4:W1644))+(I1335-LARGE(FILTER(W$4:W1644,W$4:W1644&lt;=I1335),1))*INDEX(T$4:T1644,MATCH(LARGE(FILTER(W$4:W1644,W$4:W1644&lt;=I1335),1),W$4:W1644))-K1335),1,
ROUNDDOWN(Y1335-INDEX(K$4:K1644,MATCH(LARGE(FILTER(I$4:I1644,I$4:I1644&lt;=W1335),1),I$4:I1644))-(W1335-L"&amp;"ARGE(FILTER(I$4:I1644,I$4:I1644&lt;=W1335),1))*INDEX(F$4:F1644,MATCH(LARGE(FILTER(I$4:I1644,I$4:I1644&lt;=W1335),1),I$4:I1644))))"),"")</f>
        <v/>
      </c>
      <c r="N1335" s="60" t="str">
        <f t="shared" si="8"/>
        <v/>
      </c>
      <c r="O1335" s="61" t="str">
        <f t="shared" si="9"/>
        <v/>
      </c>
      <c r="P1335" s="56" t="str">
        <f t="shared" si="10"/>
        <v/>
      </c>
      <c r="Q1335" s="105"/>
      <c r="R1335" s="10"/>
      <c r="S1335" s="59" t="str">
        <f t="array" ref="S1335">IF(COUNTA(Q1335:Q1644)=0,"",SUM((COUNTIF(Q$4:Q1335,Upgrades!$B$3:$B$13)-COUNTIF(Q$4:Q1335,"Sell_"&amp;Upgrades!$B$3:$B$13))*Upgrades!$D$3:$D$13))</f>
        <v/>
      </c>
      <c r="T1335" s="66" t="str">
        <f>IFERROR(__xludf.DUMMYFUNCTION("IF(COUNTA(Q1335:Q1644)=0,"""",IF(REGEXMATCH(INDEX(FILTER(Q$4:Q1335,Q$4:Q1335&lt;&gt;""""),ROWS(FILTER(Q$4:Q1335,Q$4:Q1335&lt;&gt;""""))),""^Sell_""),INDEX(FILTER(T$4:T1334,Q$4:Q1334&lt;&gt;""""),ROWS(FILTER(Q$4:Q1334,Q$4:Q1334&lt;&gt;""""))),$AD$5+S1335))"),"")</f>
        <v/>
      </c>
      <c r="U1335" s="10" t="str">
        <f>IFERROR(__xludf.DUMMYFUNCTION("IF(COUNTA(Q1335:Q1644)=0,"""",IF(Q1335="""",0,IF(REGEXMATCH(Q1335,""^Sell_""),-ROUNDDOWN(ROUNDUP(INDEX(Upgrades!$C$3:$C$13,MATCH(SUBSTITUTE(Q1335,""Sell_"",""""),Upgrades!$B$3:$B$13,0))*1.15^(COUNTIF(Q$4:Q1334,SUBSTITUTE(Q1335,""Sell_"",""""))-COUNTIF(Q$4"&amp;":Q1334,""Sell_""&amp;SUBSTITUTE(Q1335,""Sell_"",""""))))/2),ROUNDUP(INDEX(Upgrades!$C$3:$C$13,MATCH(Q1335,Upgrades!$B$3:$B$13,0))*1.15^(COUNTIF(Q$4:Q1334,Q1335)-COUNTIF(Q$4:Q1334,""Sell_""&amp;Q1335))))))"),"")</f>
        <v/>
      </c>
      <c r="V1335" s="10" t="str">
        <f t="shared" si="11"/>
        <v/>
      </c>
      <c r="W1335" s="68" t="str">
        <f t="shared" si="12"/>
        <v/>
      </c>
      <c r="X1335" s="59" t="str">
        <f t="shared" si="13"/>
        <v/>
      </c>
      <c r="Y1335" s="69" t="str">
        <f t="shared" si="14"/>
        <v/>
      </c>
      <c r="Z1335" s="11"/>
      <c r="AG1335" s="59"/>
    </row>
    <row r="1336">
      <c r="A1336" s="8"/>
      <c r="B1336" s="56" t="str">
        <f t="shared" si="2"/>
        <v/>
      </c>
      <c r="C1336" s="105"/>
      <c r="D1336" s="10"/>
      <c r="E1336" s="59" t="str">
        <f t="array" ref="E1336">IF(COUNTA(C1336:C1644)=0,"",SUM((COUNTIF(C$4:C1336,Upgrades!$B$3:$B$13)-COUNTIF(C$4:C1336,"Sell_"&amp;Upgrades!$B$3:$B$13))*Upgrades!$D$3:$D$13))</f>
        <v/>
      </c>
      <c r="F1336" s="66" t="str">
        <f>IFERROR(__xludf.DUMMYFUNCTION("IF(COUNTA(C1336:C1644)=0,"""",IF(REGEXMATCH(INDEX(FILTER(C$4:C1336,C$4:C1336&lt;&gt;""""),ROWS(FILTER(C$4:C1336,C$4:C1336&lt;&gt;""""))),""^Sell_""),INDEX(FILTER(F$4:F1335,C$4:C1335&lt;&gt;""""),ROWS(FILTER(C$4:C1335,C$4:C1335&lt;&gt;""""))),$AC$5+E1336))"),"")</f>
        <v/>
      </c>
      <c r="G1336" s="10" t="str">
        <f>IFERROR(__xludf.DUMMYFUNCTION("IF(COUNTA(C1336:C1644)=0,"""",IF(C1336="""",0,IF(REGEXMATCH(C1336,""^Sell_""),-ROUNDDOWN(ROUNDUP(INDEX(Upgrades!$C$3:$C$13,MATCH(SUBSTITUTE(C1336,""Sell_"",""""),Upgrades!$B$3:$B$13,0))*1.15^(COUNTIF(C$4:C1335,SUBSTITUTE(C1336,""Sell_"",""""))-COUNTIF(C$4"&amp;":C1335,""Sell_""&amp;SUBSTITUTE(C1336,""Sell_"",""""))))/2),ROUNDUP(INDEX(Upgrades!$C$3:$C$13,MATCH(C1336,Upgrades!$B$3:$B$13,0))*1.15^(COUNTIF(C$4:C1335,C1336)-COUNTIF(C$4:C1335,""Sell_""&amp;C1336))))))"),"")</f>
        <v/>
      </c>
      <c r="H1336" s="10" t="str">
        <f t="shared" si="3"/>
        <v/>
      </c>
      <c r="I1336" s="68" t="str">
        <f t="shared" si="4"/>
        <v/>
      </c>
      <c r="J1336" s="59" t="str">
        <f t="shared" si="5"/>
        <v/>
      </c>
      <c r="K1336" s="69" t="str">
        <f t="shared" si="6"/>
        <v/>
      </c>
      <c r="L1336" s="60" t="str">
        <f t="shared" si="7"/>
        <v/>
      </c>
      <c r="M1336" s="61" t="str">
        <f>IFERROR(__xludf.DUMMYFUNCTION("IFS(AND(COUNTA(C1336:C1644)=0,COUNTA(Q1336:Q1644)=0),"""",OR(AND(K1336&gt;=1000000000,OR(Y1336&gt;=1000000000,COUNTA(Q1336:Q1644)=0)),OR(Y1336&gt;=1000000000,AND(COUNTA(C1336:C1644)=0,P$3=TRUE))),
ROUNDDOWN((AB$1-AC$1)*MAX(INDEX(T$4:T1644,MATCH(LARGE(FILTER(Y$4:Y1"&amp;"644,Y$4:Y1644&lt;1000000000),1),Y$4:Y1644)),INDEX(F$4:F1644,MATCH(LARGE(FILTER(K$4:K1644,K$4:K1644&lt;1000000000),1),K$4:K1644)))),AND(K1336&lt;1000000000,COUNTA(C1336:C1644)&gt;0,P$3=FALSE),
ROUNDDOWN(INDEX(Y$4:Y1644,MATCH(LARGE(FILTER(W$4:W1644,W$4:W1644&lt;=I1336),1)"&amp;",W$4:W1644))+(I1336-LARGE(FILTER(W$4:W1644,W$4:W1644&lt;=I1336),1))*INDEX(T$4:T1644,MATCH(LARGE(FILTER(W$4:W1644,W$4:W1644&lt;=I1336),1),W$4:W1644))-K1336),1,
ROUNDDOWN(Y1336-INDEX(K$4:K1644,MATCH(LARGE(FILTER(I$4:I1644,I$4:I1644&lt;=W1336),1),I$4:I1644))-(W1336-L"&amp;"ARGE(FILTER(I$4:I1644,I$4:I1644&lt;=W1336),1))*INDEX(F$4:F1644,MATCH(LARGE(FILTER(I$4:I1644,I$4:I1644&lt;=W1336),1),I$4:I1644))))"),"")</f>
        <v/>
      </c>
      <c r="N1336" s="60" t="str">
        <f t="shared" si="8"/>
        <v/>
      </c>
      <c r="O1336" s="61" t="str">
        <f t="shared" si="9"/>
        <v/>
      </c>
      <c r="P1336" s="56" t="str">
        <f t="shared" si="10"/>
        <v/>
      </c>
      <c r="Q1336" s="105"/>
      <c r="R1336" s="10"/>
      <c r="S1336" s="59" t="str">
        <f t="array" ref="S1336">IF(COUNTA(Q1336:Q1644)=0,"",SUM((COUNTIF(Q$4:Q1336,Upgrades!$B$3:$B$13)-COUNTIF(Q$4:Q1336,"Sell_"&amp;Upgrades!$B$3:$B$13))*Upgrades!$D$3:$D$13))</f>
        <v/>
      </c>
      <c r="T1336" s="66" t="str">
        <f>IFERROR(__xludf.DUMMYFUNCTION("IF(COUNTA(Q1336:Q1644)=0,"""",IF(REGEXMATCH(INDEX(FILTER(Q$4:Q1336,Q$4:Q1336&lt;&gt;""""),ROWS(FILTER(Q$4:Q1336,Q$4:Q1336&lt;&gt;""""))),""^Sell_""),INDEX(FILTER(T$4:T1335,Q$4:Q1335&lt;&gt;""""),ROWS(FILTER(Q$4:Q1335,Q$4:Q1335&lt;&gt;""""))),$AD$5+S1336))"),"")</f>
        <v/>
      </c>
      <c r="U1336" s="10" t="str">
        <f>IFERROR(__xludf.DUMMYFUNCTION("IF(COUNTA(Q1336:Q1644)=0,"""",IF(Q1336="""",0,IF(REGEXMATCH(Q1336,""^Sell_""),-ROUNDDOWN(ROUNDUP(INDEX(Upgrades!$C$3:$C$13,MATCH(SUBSTITUTE(Q1336,""Sell_"",""""),Upgrades!$B$3:$B$13,0))*1.15^(COUNTIF(Q$4:Q1335,SUBSTITUTE(Q1336,""Sell_"",""""))-COUNTIF(Q$4"&amp;":Q1335,""Sell_""&amp;SUBSTITUTE(Q1336,""Sell_"",""""))))/2),ROUNDUP(INDEX(Upgrades!$C$3:$C$13,MATCH(Q1336,Upgrades!$B$3:$B$13,0))*1.15^(COUNTIF(Q$4:Q1335,Q1336)-COUNTIF(Q$4:Q1335,""Sell_""&amp;Q1336))))))"),"")</f>
        <v/>
      </c>
      <c r="V1336" s="10" t="str">
        <f t="shared" si="11"/>
        <v/>
      </c>
      <c r="W1336" s="68" t="str">
        <f t="shared" si="12"/>
        <v/>
      </c>
      <c r="X1336" s="59" t="str">
        <f t="shared" si="13"/>
        <v/>
      </c>
      <c r="Y1336" s="69" t="str">
        <f t="shared" si="14"/>
        <v/>
      </c>
      <c r="Z1336" s="11"/>
      <c r="AG1336" s="59"/>
    </row>
    <row r="1337">
      <c r="A1337" s="8"/>
      <c r="B1337" s="56" t="str">
        <f t="shared" si="2"/>
        <v/>
      </c>
      <c r="C1337" s="105"/>
      <c r="D1337" s="10"/>
      <c r="E1337" s="59" t="str">
        <f t="array" ref="E1337">IF(COUNTA(C1337:C1644)=0,"",SUM((COUNTIF(C$4:C1337,Upgrades!$B$3:$B$13)-COUNTIF(C$4:C1337,"Sell_"&amp;Upgrades!$B$3:$B$13))*Upgrades!$D$3:$D$13))</f>
        <v/>
      </c>
      <c r="F1337" s="66" t="str">
        <f>IFERROR(__xludf.DUMMYFUNCTION("IF(COUNTA(C1337:C1644)=0,"""",IF(REGEXMATCH(INDEX(FILTER(C$4:C1337,C$4:C1337&lt;&gt;""""),ROWS(FILTER(C$4:C1337,C$4:C1337&lt;&gt;""""))),""^Sell_""),INDEX(FILTER(F$4:F1336,C$4:C1336&lt;&gt;""""),ROWS(FILTER(C$4:C1336,C$4:C1336&lt;&gt;""""))),$AC$5+E1337))"),"")</f>
        <v/>
      </c>
      <c r="G1337" s="10" t="str">
        <f>IFERROR(__xludf.DUMMYFUNCTION("IF(COUNTA(C1337:C1644)=0,"""",IF(C1337="""",0,IF(REGEXMATCH(C1337,""^Sell_""),-ROUNDDOWN(ROUNDUP(INDEX(Upgrades!$C$3:$C$13,MATCH(SUBSTITUTE(C1337,""Sell_"",""""),Upgrades!$B$3:$B$13,0))*1.15^(COUNTIF(C$4:C1336,SUBSTITUTE(C1337,""Sell_"",""""))-COUNTIF(C$4"&amp;":C1336,""Sell_""&amp;SUBSTITUTE(C1337,""Sell_"",""""))))/2),ROUNDUP(INDEX(Upgrades!$C$3:$C$13,MATCH(C1337,Upgrades!$B$3:$B$13,0))*1.15^(COUNTIF(C$4:C1336,C1337)-COUNTIF(C$4:C1336,""Sell_""&amp;C1337))))))"),"")</f>
        <v/>
      </c>
      <c r="H1337" s="10" t="str">
        <f t="shared" si="3"/>
        <v/>
      </c>
      <c r="I1337" s="68" t="str">
        <f t="shared" si="4"/>
        <v/>
      </c>
      <c r="J1337" s="59" t="str">
        <f t="shared" si="5"/>
        <v/>
      </c>
      <c r="K1337" s="69" t="str">
        <f t="shared" si="6"/>
        <v/>
      </c>
      <c r="L1337" s="60" t="str">
        <f t="shared" si="7"/>
        <v/>
      </c>
      <c r="M1337" s="61" t="str">
        <f>IFERROR(__xludf.DUMMYFUNCTION("IFS(AND(COUNTA(C1337:C1644)=0,COUNTA(Q1337:Q1644)=0),"""",OR(AND(K1337&gt;=1000000000,OR(Y1337&gt;=1000000000,COUNTA(Q1337:Q1644)=0)),OR(Y1337&gt;=1000000000,AND(COUNTA(C1337:C1644)=0,P$3=TRUE))),
ROUNDDOWN((AB$1-AC$1)*MAX(INDEX(T$4:T1644,MATCH(LARGE(FILTER(Y$4:Y1"&amp;"644,Y$4:Y1644&lt;1000000000),1),Y$4:Y1644)),INDEX(F$4:F1644,MATCH(LARGE(FILTER(K$4:K1644,K$4:K1644&lt;1000000000),1),K$4:K1644)))),AND(K1337&lt;1000000000,COUNTA(C1337:C1644)&gt;0,P$3=FALSE),
ROUNDDOWN(INDEX(Y$4:Y1644,MATCH(LARGE(FILTER(W$4:W1644,W$4:W1644&lt;=I1337),1)"&amp;",W$4:W1644))+(I1337-LARGE(FILTER(W$4:W1644,W$4:W1644&lt;=I1337),1))*INDEX(T$4:T1644,MATCH(LARGE(FILTER(W$4:W1644,W$4:W1644&lt;=I1337),1),W$4:W1644))-K1337),1,
ROUNDDOWN(Y1337-INDEX(K$4:K1644,MATCH(LARGE(FILTER(I$4:I1644,I$4:I1644&lt;=W1337),1),I$4:I1644))-(W1337-L"&amp;"ARGE(FILTER(I$4:I1644,I$4:I1644&lt;=W1337),1))*INDEX(F$4:F1644,MATCH(LARGE(FILTER(I$4:I1644,I$4:I1644&lt;=W1337),1),I$4:I1644))))"),"")</f>
        <v/>
      </c>
      <c r="N1337" s="60" t="str">
        <f t="shared" si="8"/>
        <v/>
      </c>
      <c r="O1337" s="61" t="str">
        <f t="shared" si="9"/>
        <v/>
      </c>
      <c r="P1337" s="56" t="str">
        <f t="shared" si="10"/>
        <v/>
      </c>
      <c r="Q1337" s="105"/>
      <c r="R1337" s="10"/>
      <c r="S1337" s="59" t="str">
        <f t="array" ref="S1337">IF(COUNTA(Q1337:Q1644)=0,"",SUM((COUNTIF(Q$4:Q1337,Upgrades!$B$3:$B$13)-COUNTIF(Q$4:Q1337,"Sell_"&amp;Upgrades!$B$3:$B$13))*Upgrades!$D$3:$D$13))</f>
        <v/>
      </c>
      <c r="T1337" s="66" t="str">
        <f>IFERROR(__xludf.DUMMYFUNCTION("IF(COUNTA(Q1337:Q1644)=0,"""",IF(REGEXMATCH(INDEX(FILTER(Q$4:Q1337,Q$4:Q1337&lt;&gt;""""),ROWS(FILTER(Q$4:Q1337,Q$4:Q1337&lt;&gt;""""))),""^Sell_""),INDEX(FILTER(T$4:T1336,Q$4:Q1336&lt;&gt;""""),ROWS(FILTER(Q$4:Q1336,Q$4:Q1336&lt;&gt;""""))),$AD$5+S1337))"),"")</f>
        <v/>
      </c>
      <c r="U1337" s="10" t="str">
        <f>IFERROR(__xludf.DUMMYFUNCTION("IF(COUNTA(Q1337:Q1644)=0,"""",IF(Q1337="""",0,IF(REGEXMATCH(Q1337,""^Sell_""),-ROUNDDOWN(ROUNDUP(INDEX(Upgrades!$C$3:$C$13,MATCH(SUBSTITUTE(Q1337,""Sell_"",""""),Upgrades!$B$3:$B$13,0))*1.15^(COUNTIF(Q$4:Q1336,SUBSTITUTE(Q1337,""Sell_"",""""))-COUNTIF(Q$4"&amp;":Q1336,""Sell_""&amp;SUBSTITUTE(Q1337,""Sell_"",""""))))/2),ROUNDUP(INDEX(Upgrades!$C$3:$C$13,MATCH(Q1337,Upgrades!$B$3:$B$13,0))*1.15^(COUNTIF(Q$4:Q1336,Q1337)-COUNTIF(Q$4:Q1336,""Sell_""&amp;Q1337))))))"),"")</f>
        <v/>
      </c>
      <c r="V1337" s="10" t="str">
        <f t="shared" si="11"/>
        <v/>
      </c>
      <c r="W1337" s="68" t="str">
        <f t="shared" si="12"/>
        <v/>
      </c>
      <c r="X1337" s="59" t="str">
        <f t="shared" si="13"/>
        <v/>
      </c>
      <c r="Y1337" s="69" t="str">
        <f t="shared" si="14"/>
        <v/>
      </c>
      <c r="Z1337" s="11"/>
      <c r="AG1337" s="59"/>
    </row>
    <row r="1338">
      <c r="A1338" s="8"/>
      <c r="B1338" s="56" t="str">
        <f t="shared" si="2"/>
        <v/>
      </c>
      <c r="C1338" s="105"/>
      <c r="D1338" s="10"/>
      <c r="E1338" s="59" t="str">
        <f t="array" ref="E1338">IF(COUNTA(C1338:C1644)=0,"",SUM((COUNTIF(C$4:C1338,Upgrades!$B$3:$B$13)-COUNTIF(C$4:C1338,"Sell_"&amp;Upgrades!$B$3:$B$13))*Upgrades!$D$3:$D$13))</f>
        <v/>
      </c>
      <c r="F1338" s="66" t="str">
        <f>IFERROR(__xludf.DUMMYFUNCTION("IF(COUNTA(C1338:C1644)=0,"""",IF(REGEXMATCH(INDEX(FILTER(C$4:C1338,C$4:C1338&lt;&gt;""""),ROWS(FILTER(C$4:C1338,C$4:C1338&lt;&gt;""""))),""^Sell_""),INDEX(FILTER(F$4:F1337,C$4:C1337&lt;&gt;""""),ROWS(FILTER(C$4:C1337,C$4:C1337&lt;&gt;""""))),$AC$5+E1338))"),"")</f>
        <v/>
      </c>
      <c r="G1338" s="10" t="str">
        <f>IFERROR(__xludf.DUMMYFUNCTION("IF(COUNTA(C1338:C1644)=0,"""",IF(C1338="""",0,IF(REGEXMATCH(C1338,""^Sell_""),-ROUNDDOWN(ROUNDUP(INDEX(Upgrades!$C$3:$C$13,MATCH(SUBSTITUTE(C1338,""Sell_"",""""),Upgrades!$B$3:$B$13,0))*1.15^(COUNTIF(C$4:C1337,SUBSTITUTE(C1338,""Sell_"",""""))-COUNTIF(C$4"&amp;":C1337,""Sell_""&amp;SUBSTITUTE(C1338,""Sell_"",""""))))/2),ROUNDUP(INDEX(Upgrades!$C$3:$C$13,MATCH(C1338,Upgrades!$B$3:$B$13,0))*1.15^(COUNTIF(C$4:C1337,C1338)-COUNTIF(C$4:C1337,""Sell_""&amp;C1338))))))"),"")</f>
        <v/>
      </c>
      <c r="H1338" s="10" t="str">
        <f t="shared" si="3"/>
        <v/>
      </c>
      <c r="I1338" s="68" t="str">
        <f t="shared" si="4"/>
        <v/>
      </c>
      <c r="J1338" s="59" t="str">
        <f t="shared" si="5"/>
        <v/>
      </c>
      <c r="K1338" s="69" t="str">
        <f t="shared" si="6"/>
        <v/>
      </c>
      <c r="L1338" s="60" t="str">
        <f t="shared" si="7"/>
        <v/>
      </c>
      <c r="M1338" s="61" t="str">
        <f>IFERROR(__xludf.DUMMYFUNCTION("IFS(AND(COUNTA(C1338:C1644)=0,COUNTA(Q1338:Q1644)=0),"""",OR(AND(K1338&gt;=1000000000,OR(Y1338&gt;=1000000000,COUNTA(Q1338:Q1644)=0)),OR(Y1338&gt;=1000000000,AND(COUNTA(C1338:C1644)=0,P$3=TRUE))),
ROUNDDOWN((AB$1-AC$1)*MAX(INDEX(T$4:T1644,MATCH(LARGE(FILTER(Y$4:Y1"&amp;"644,Y$4:Y1644&lt;1000000000),1),Y$4:Y1644)),INDEX(F$4:F1644,MATCH(LARGE(FILTER(K$4:K1644,K$4:K1644&lt;1000000000),1),K$4:K1644)))),AND(K1338&lt;1000000000,COUNTA(C1338:C1644)&gt;0,P$3=FALSE),
ROUNDDOWN(INDEX(Y$4:Y1644,MATCH(LARGE(FILTER(W$4:W1644,W$4:W1644&lt;=I1338),1)"&amp;",W$4:W1644))+(I1338-LARGE(FILTER(W$4:W1644,W$4:W1644&lt;=I1338),1))*INDEX(T$4:T1644,MATCH(LARGE(FILTER(W$4:W1644,W$4:W1644&lt;=I1338),1),W$4:W1644))-K1338),1,
ROUNDDOWN(Y1338-INDEX(K$4:K1644,MATCH(LARGE(FILTER(I$4:I1644,I$4:I1644&lt;=W1338),1),I$4:I1644))-(W1338-L"&amp;"ARGE(FILTER(I$4:I1644,I$4:I1644&lt;=W1338),1))*INDEX(F$4:F1644,MATCH(LARGE(FILTER(I$4:I1644,I$4:I1644&lt;=W1338),1),I$4:I1644))))"),"")</f>
        <v/>
      </c>
      <c r="N1338" s="60" t="str">
        <f t="shared" si="8"/>
        <v/>
      </c>
      <c r="O1338" s="61" t="str">
        <f t="shared" si="9"/>
        <v/>
      </c>
      <c r="P1338" s="56" t="str">
        <f t="shared" si="10"/>
        <v/>
      </c>
      <c r="Q1338" s="105"/>
      <c r="R1338" s="10"/>
      <c r="S1338" s="59" t="str">
        <f t="array" ref="S1338">IF(COUNTA(Q1338:Q1644)=0,"",SUM((COUNTIF(Q$4:Q1338,Upgrades!$B$3:$B$13)-COUNTIF(Q$4:Q1338,"Sell_"&amp;Upgrades!$B$3:$B$13))*Upgrades!$D$3:$D$13))</f>
        <v/>
      </c>
      <c r="T1338" s="66" t="str">
        <f>IFERROR(__xludf.DUMMYFUNCTION("IF(COUNTA(Q1338:Q1644)=0,"""",IF(REGEXMATCH(INDEX(FILTER(Q$4:Q1338,Q$4:Q1338&lt;&gt;""""),ROWS(FILTER(Q$4:Q1338,Q$4:Q1338&lt;&gt;""""))),""^Sell_""),INDEX(FILTER(T$4:T1337,Q$4:Q1337&lt;&gt;""""),ROWS(FILTER(Q$4:Q1337,Q$4:Q1337&lt;&gt;""""))),$AD$5+S1338))"),"")</f>
        <v/>
      </c>
      <c r="U1338" s="10" t="str">
        <f>IFERROR(__xludf.DUMMYFUNCTION("IF(COUNTA(Q1338:Q1644)=0,"""",IF(Q1338="""",0,IF(REGEXMATCH(Q1338,""^Sell_""),-ROUNDDOWN(ROUNDUP(INDEX(Upgrades!$C$3:$C$13,MATCH(SUBSTITUTE(Q1338,""Sell_"",""""),Upgrades!$B$3:$B$13,0))*1.15^(COUNTIF(Q$4:Q1337,SUBSTITUTE(Q1338,""Sell_"",""""))-COUNTIF(Q$4"&amp;":Q1337,""Sell_""&amp;SUBSTITUTE(Q1338,""Sell_"",""""))))/2),ROUNDUP(INDEX(Upgrades!$C$3:$C$13,MATCH(Q1338,Upgrades!$B$3:$B$13,0))*1.15^(COUNTIF(Q$4:Q1337,Q1338)-COUNTIF(Q$4:Q1337,""Sell_""&amp;Q1338))))))"),"")</f>
        <v/>
      </c>
      <c r="V1338" s="10" t="str">
        <f t="shared" si="11"/>
        <v/>
      </c>
      <c r="W1338" s="68" t="str">
        <f t="shared" si="12"/>
        <v/>
      </c>
      <c r="X1338" s="59" t="str">
        <f t="shared" si="13"/>
        <v/>
      </c>
      <c r="Y1338" s="69" t="str">
        <f t="shared" si="14"/>
        <v/>
      </c>
      <c r="Z1338" s="11"/>
      <c r="AG1338" s="59"/>
    </row>
    <row r="1339">
      <c r="A1339" s="8"/>
      <c r="B1339" s="56" t="str">
        <f t="shared" si="2"/>
        <v/>
      </c>
      <c r="C1339" s="105"/>
      <c r="D1339" s="10"/>
      <c r="E1339" s="59" t="str">
        <f t="array" ref="E1339">IF(COUNTA(C1339:C1644)=0,"",SUM((COUNTIF(C$4:C1339,Upgrades!$B$3:$B$13)-COUNTIF(C$4:C1339,"Sell_"&amp;Upgrades!$B$3:$B$13))*Upgrades!$D$3:$D$13))</f>
        <v/>
      </c>
      <c r="F1339" s="66" t="str">
        <f>IFERROR(__xludf.DUMMYFUNCTION("IF(COUNTA(C1339:C1644)=0,"""",IF(REGEXMATCH(INDEX(FILTER(C$4:C1339,C$4:C1339&lt;&gt;""""),ROWS(FILTER(C$4:C1339,C$4:C1339&lt;&gt;""""))),""^Sell_""),INDEX(FILTER(F$4:F1338,C$4:C1338&lt;&gt;""""),ROWS(FILTER(C$4:C1338,C$4:C1338&lt;&gt;""""))),$AC$5+E1339))"),"")</f>
        <v/>
      </c>
      <c r="G1339" s="10" t="str">
        <f>IFERROR(__xludf.DUMMYFUNCTION("IF(COUNTA(C1339:C1644)=0,"""",IF(C1339="""",0,IF(REGEXMATCH(C1339,""^Sell_""),-ROUNDDOWN(ROUNDUP(INDEX(Upgrades!$C$3:$C$13,MATCH(SUBSTITUTE(C1339,""Sell_"",""""),Upgrades!$B$3:$B$13,0))*1.15^(COUNTIF(C$4:C1338,SUBSTITUTE(C1339,""Sell_"",""""))-COUNTIF(C$4"&amp;":C1338,""Sell_""&amp;SUBSTITUTE(C1339,""Sell_"",""""))))/2),ROUNDUP(INDEX(Upgrades!$C$3:$C$13,MATCH(C1339,Upgrades!$B$3:$B$13,0))*1.15^(COUNTIF(C$4:C1338,C1339)-COUNTIF(C$4:C1338,""Sell_""&amp;C1339))))))"),"")</f>
        <v/>
      </c>
      <c r="H1339" s="10" t="str">
        <f t="shared" si="3"/>
        <v/>
      </c>
      <c r="I1339" s="68" t="str">
        <f t="shared" si="4"/>
        <v/>
      </c>
      <c r="J1339" s="59" t="str">
        <f t="shared" si="5"/>
        <v/>
      </c>
      <c r="K1339" s="69" t="str">
        <f t="shared" si="6"/>
        <v/>
      </c>
      <c r="L1339" s="60" t="str">
        <f t="shared" si="7"/>
        <v/>
      </c>
      <c r="M1339" s="61" t="str">
        <f>IFERROR(__xludf.DUMMYFUNCTION("IFS(AND(COUNTA(C1339:C1644)=0,COUNTA(Q1339:Q1644)=0),"""",OR(AND(K1339&gt;=1000000000,OR(Y1339&gt;=1000000000,COUNTA(Q1339:Q1644)=0)),OR(Y1339&gt;=1000000000,AND(COUNTA(C1339:C1644)=0,P$3=TRUE))),
ROUNDDOWN((AB$1-AC$1)*MAX(INDEX(T$4:T1644,MATCH(LARGE(FILTER(Y$4:Y1"&amp;"644,Y$4:Y1644&lt;1000000000),1),Y$4:Y1644)),INDEX(F$4:F1644,MATCH(LARGE(FILTER(K$4:K1644,K$4:K1644&lt;1000000000),1),K$4:K1644)))),AND(K1339&lt;1000000000,COUNTA(C1339:C1644)&gt;0,P$3=FALSE),
ROUNDDOWN(INDEX(Y$4:Y1644,MATCH(LARGE(FILTER(W$4:W1644,W$4:W1644&lt;=I1339),1)"&amp;",W$4:W1644))+(I1339-LARGE(FILTER(W$4:W1644,W$4:W1644&lt;=I1339),1))*INDEX(T$4:T1644,MATCH(LARGE(FILTER(W$4:W1644,W$4:W1644&lt;=I1339),1),W$4:W1644))-K1339),1,
ROUNDDOWN(Y1339-INDEX(K$4:K1644,MATCH(LARGE(FILTER(I$4:I1644,I$4:I1644&lt;=W1339),1),I$4:I1644))-(W1339-L"&amp;"ARGE(FILTER(I$4:I1644,I$4:I1644&lt;=W1339),1))*INDEX(F$4:F1644,MATCH(LARGE(FILTER(I$4:I1644,I$4:I1644&lt;=W1339),1),I$4:I1644))))"),"")</f>
        <v/>
      </c>
      <c r="N1339" s="60" t="str">
        <f t="shared" si="8"/>
        <v/>
      </c>
      <c r="O1339" s="61" t="str">
        <f t="shared" si="9"/>
        <v/>
      </c>
      <c r="P1339" s="56" t="str">
        <f t="shared" si="10"/>
        <v/>
      </c>
      <c r="Q1339" s="105"/>
      <c r="R1339" s="10"/>
      <c r="S1339" s="59" t="str">
        <f t="array" ref="S1339">IF(COUNTA(Q1339:Q1644)=0,"",SUM((COUNTIF(Q$4:Q1339,Upgrades!$B$3:$B$13)-COUNTIF(Q$4:Q1339,"Sell_"&amp;Upgrades!$B$3:$B$13))*Upgrades!$D$3:$D$13))</f>
        <v/>
      </c>
      <c r="T1339" s="66" t="str">
        <f>IFERROR(__xludf.DUMMYFUNCTION("IF(COUNTA(Q1339:Q1644)=0,"""",IF(REGEXMATCH(INDEX(FILTER(Q$4:Q1339,Q$4:Q1339&lt;&gt;""""),ROWS(FILTER(Q$4:Q1339,Q$4:Q1339&lt;&gt;""""))),""^Sell_""),INDEX(FILTER(T$4:T1338,Q$4:Q1338&lt;&gt;""""),ROWS(FILTER(Q$4:Q1338,Q$4:Q1338&lt;&gt;""""))),$AD$5+S1339))"),"")</f>
        <v/>
      </c>
      <c r="U1339" s="10" t="str">
        <f>IFERROR(__xludf.DUMMYFUNCTION("IF(COUNTA(Q1339:Q1644)=0,"""",IF(Q1339="""",0,IF(REGEXMATCH(Q1339,""^Sell_""),-ROUNDDOWN(ROUNDUP(INDEX(Upgrades!$C$3:$C$13,MATCH(SUBSTITUTE(Q1339,""Sell_"",""""),Upgrades!$B$3:$B$13,0))*1.15^(COUNTIF(Q$4:Q1338,SUBSTITUTE(Q1339,""Sell_"",""""))-COUNTIF(Q$4"&amp;":Q1338,""Sell_""&amp;SUBSTITUTE(Q1339,""Sell_"",""""))))/2),ROUNDUP(INDEX(Upgrades!$C$3:$C$13,MATCH(Q1339,Upgrades!$B$3:$B$13,0))*1.15^(COUNTIF(Q$4:Q1338,Q1339)-COUNTIF(Q$4:Q1338,""Sell_""&amp;Q1339))))))"),"")</f>
        <v/>
      </c>
      <c r="V1339" s="10" t="str">
        <f t="shared" si="11"/>
        <v/>
      </c>
      <c r="W1339" s="68" t="str">
        <f t="shared" si="12"/>
        <v/>
      </c>
      <c r="X1339" s="59" t="str">
        <f t="shared" si="13"/>
        <v/>
      </c>
      <c r="Y1339" s="69" t="str">
        <f t="shared" si="14"/>
        <v/>
      </c>
      <c r="Z1339" s="11"/>
      <c r="AG1339" s="59"/>
    </row>
    <row r="1340">
      <c r="A1340" s="8"/>
      <c r="B1340" s="56" t="str">
        <f t="shared" si="2"/>
        <v/>
      </c>
      <c r="C1340" s="105"/>
      <c r="D1340" s="10"/>
      <c r="E1340" s="59" t="str">
        <f t="array" ref="E1340">IF(COUNTA(C1340:C1644)=0,"",SUM((COUNTIF(C$4:C1340,Upgrades!$B$3:$B$13)-COUNTIF(C$4:C1340,"Sell_"&amp;Upgrades!$B$3:$B$13))*Upgrades!$D$3:$D$13))</f>
        <v/>
      </c>
      <c r="F1340" s="66" t="str">
        <f>IFERROR(__xludf.DUMMYFUNCTION("IF(COUNTA(C1340:C1644)=0,"""",IF(REGEXMATCH(INDEX(FILTER(C$4:C1340,C$4:C1340&lt;&gt;""""),ROWS(FILTER(C$4:C1340,C$4:C1340&lt;&gt;""""))),""^Sell_""),INDEX(FILTER(F$4:F1339,C$4:C1339&lt;&gt;""""),ROWS(FILTER(C$4:C1339,C$4:C1339&lt;&gt;""""))),$AC$5+E1340))"),"")</f>
        <v/>
      </c>
      <c r="G1340" s="10" t="str">
        <f>IFERROR(__xludf.DUMMYFUNCTION("IF(COUNTA(C1340:C1644)=0,"""",IF(C1340="""",0,IF(REGEXMATCH(C1340,""^Sell_""),-ROUNDDOWN(ROUNDUP(INDEX(Upgrades!$C$3:$C$13,MATCH(SUBSTITUTE(C1340,""Sell_"",""""),Upgrades!$B$3:$B$13,0))*1.15^(COUNTIF(C$4:C1339,SUBSTITUTE(C1340,""Sell_"",""""))-COUNTIF(C$4"&amp;":C1339,""Sell_""&amp;SUBSTITUTE(C1340,""Sell_"",""""))))/2),ROUNDUP(INDEX(Upgrades!$C$3:$C$13,MATCH(C1340,Upgrades!$B$3:$B$13,0))*1.15^(COUNTIF(C$4:C1339,C1340)-COUNTIF(C$4:C1339,""Sell_""&amp;C1340))))))"),"")</f>
        <v/>
      </c>
      <c r="H1340" s="10" t="str">
        <f t="shared" si="3"/>
        <v/>
      </c>
      <c r="I1340" s="68" t="str">
        <f t="shared" si="4"/>
        <v/>
      </c>
      <c r="J1340" s="59" t="str">
        <f t="shared" si="5"/>
        <v/>
      </c>
      <c r="K1340" s="69" t="str">
        <f t="shared" si="6"/>
        <v/>
      </c>
      <c r="L1340" s="60" t="str">
        <f t="shared" si="7"/>
        <v/>
      </c>
      <c r="M1340" s="61" t="str">
        <f>IFERROR(__xludf.DUMMYFUNCTION("IFS(AND(COUNTA(C1340:C1644)=0,COUNTA(Q1340:Q1644)=0),"""",OR(AND(K1340&gt;=1000000000,OR(Y1340&gt;=1000000000,COUNTA(Q1340:Q1644)=0)),OR(Y1340&gt;=1000000000,AND(COUNTA(C1340:C1644)=0,P$3=TRUE))),
ROUNDDOWN((AB$1-AC$1)*MAX(INDEX(T$4:T1644,MATCH(LARGE(FILTER(Y$4:Y1"&amp;"644,Y$4:Y1644&lt;1000000000),1),Y$4:Y1644)),INDEX(F$4:F1644,MATCH(LARGE(FILTER(K$4:K1644,K$4:K1644&lt;1000000000),1),K$4:K1644)))),AND(K1340&lt;1000000000,COUNTA(C1340:C1644)&gt;0,P$3=FALSE),
ROUNDDOWN(INDEX(Y$4:Y1644,MATCH(LARGE(FILTER(W$4:W1644,W$4:W1644&lt;=I1340),1)"&amp;",W$4:W1644))+(I1340-LARGE(FILTER(W$4:W1644,W$4:W1644&lt;=I1340),1))*INDEX(T$4:T1644,MATCH(LARGE(FILTER(W$4:W1644,W$4:W1644&lt;=I1340),1),W$4:W1644))-K1340),1,
ROUNDDOWN(Y1340-INDEX(K$4:K1644,MATCH(LARGE(FILTER(I$4:I1644,I$4:I1644&lt;=W1340),1),I$4:I1644))-(W1340-L"&amp;"ARGE(FILTER(I$4:I1644,I$4:I1644&lt;=W1340),1))*INDEX(F$4:F1644,MATCH(LARGE(FILTER(I$4:I1644,I$4:I1644&lt;=W1340),1),I$4:I1644))))"),"")</f>
        <v/>
      </c>
      <c r="N1340" s="60" t="str">
        <f t="shared" si="8"/>
        <v/>
      </c>
      <c r="O1340" s="61" t="str">
        <f t="shared" si="9"/>
        <v/>
      </c>
      <c r="P1340" s="56" t="str">
        <f t="shared" si="10"/>
        <v/>
      </c>
      <c r="Q1340" s="105"/>
      <c r="R1340" s="10"/>
      <c r="S1340" s="59" t="str">
        <f t="array" ref="S1340">IF(COUNTA(Q1340:Q1644)=0,"",SUM((COUNTIF(Q$4:Q1340,Upgrades!$B$3:$B$13)-COUNTIF(Q$4:Q1340,"Sell_"&amp;Upgrades!$B$3:$B$13))*Upgrades!$D$3:$D$13))</f>
        <v/>
      </c>
      <c r="T1340" s="66" t="str">
        <f>IFERROR(__xludf.DUMMYFUNCTION("IF(COUNTA(Q1340:Q1644)=0,"""",IF(REGEXMATCH(INDEX(FILTER(Q$4:Q1340,Q$4:Q1340&lt;&gt;""""),ROWS(FILTER(Q$4:Q1340,Q$4:Q1340&lt;&gt;""""))),""^Sell_""),INDEX(FILTER(T$4:T1339,Q$4:Q1339&lt;&gt;""""),ROWS(FILTER(Q$4:Q1339,Q$4:Q1339&lt;&gt;""""))),$AD$5+S1340))"),"")</f>
        <v/>
      </c>
      <c r="U1340" s="10" t="str">
        <f>IFERROR(__xludf.DUMMYFUNCTION("IF(COUNTA(Q1340:Q1644)=0,"""",IF(Q1340="""",0,IF(REGEXMATCH(Q1340,""^Sell_""),-ROUNDDOWN(ROUNDUP(INDEX(Upgrades!$C$3:$C$13,MATCH(SUBSTITUTE(Q1340,""Sell_"",""""),Upgrades!$B$3:$B$13,0))*1.15^(COUNTIF(Q$4:Q1339,SUBSTITUTE(Q1340,""Sell_"",""""))-COUNTIF(Q$4"&amp;":Q1339,""Sell_""&amp;SUBSTITUTE(Q1340,""Sell_"",""""))))/2),ROUNDUP(INDEX(Upgrades!$C$3:$C$13,MATCH(Q1340,Upgrades!$B$3:$B$13,0))*1.15^(COUNTIF(Q$4:Q1339,Q1340)-COUNTIF(Q$4:Q1339,""Sell_""&amp;Q1340))))))"),"")</f>
        <v/>
      </c>
      <c r="V1340" s="10" t="str">
        <f t="shared" si="11"/>
        <v/>
      </c>
      <c r="W1340" s="68" t="str">
        <f t="shared" si="12"/>
        <v/>
      </c>
      <c r="X1340" s="59" t="str">
        <f t="shared" si="13"/>
        <v/>
      </c>
      <c r="Y1340" s="69" t="str">
        <f t="shared" si="14"/>
        <v/>
      </c>
      <c r="Z1340" s="11"/>
      <c r="AG1340" s="59"/>
    </row>
    <row r="1341">
      <c r="A1341" s="8"/>
      <c r="B1341" s="56" t="str">
        <f t="shared" si="2"/>
        <v/>
      </c>
      <c r="C1341" s="105"/>
      <c r="D1341" s="10"/>
      <c r="E1341" s="59" t="str">
        <f t="array" ref="E1341">IF(COUNTA(C1341:C1644)=0,"",SUM((COUNTIF(C$4:C1341,Upgrades!$B$3:$B$13)-COUNTIF(C$4:C1341,"Sell_"&amp;Upgrades!$B$3:$B$13))*Upgrades!$D$3:$D$13))</f>
        <v/>
      </c>
      <c r="F1341" s="66" t="str">
        <f>IFERROR(__xludf.DUMMYFUNCTION("IF(COUNTA(C1341:C1644)=0,"""",IF(REGEXMATCH(INDEX(FILTER(C$4:C1341,C$4:C1341&lt;&gt;""""),ROWS(FILTER(C$4:C1341,C$4:C1341&lt;&gt;""""))),""^Sell_""),INDEX(FILTER(F$4:F1340,C$4:C1340&lt;&gt;""""),ROWS(FILTER(C$4:C1340,C$4:C1340&lt;&gt;""""))),$AC$5+E1341))"),"")</f>
        <v/>
      </c>
      <c r="G1341" s="10" t="str">
        <f>IFERROR(__xludf.DUMMYFUNCTION("IF(COUNTA(C1341:C1644)=0,"""",IF(C1341="""",0,IF(REGEXMATCH(C1341,""^Sell_""),-ROUNDDOWN(ROUNDUP(INDEX(Upgrades!$C$3:$C$13,MATCH(SUBSTITUTE(C1341,""Sell_"",""""),Upgrades!$B$3:$B$13,0))*1.15^(COUNTIF(C$4:C1340,SUBSTITUTE(C1341,""Sell_"",""""))-COUNTIF(C$4"&amp;":C1340,""Sell_""&amp;SUBSTITUTE(C1341,""Sell_"",""""))))/2),ROUNDUP(INDEX(Upgrades!$C$3:$C$13,MATCH(C1341,Upgrades!$B$3:$B$13,0))*1.15^(COUNTIF(C$4:C1340,C1341)-COUNTIF(C$4:C1340,""Sell_""&amp;C1341))))))"),"")</f>
        <v/>
      </c>
      <c r="H1341" s="10" t="str">
        <f t="shared" si="3"/>
        <v/>
      </c>
      <c r="I1341" s="68" t="str">
        <f t="shared" si="4"/>
        <v/>
      </c>
      <c r="J1341" s="59" t="str">
        <f t="shared" si="5"/>
        <v/>
      </c>
      <c r="K1341" s="69" t="str">
        <f t="shared" si="6"/>
        <v/>
      </c>
      <c r="L1341" s="60" t="str">
        <f t="shared" si="7"/>
        <v/>
      </c>
      <c r="M1341" s="61" t="str">
        <f>IFERROR(__xludf.DUMMYFUNCTION("IFS(AND(COUNTA(C1341:C1644)=0,COUNTA(Q1341:Q1644)=0),"""",OR(AND(K1341&gt;=1000000000,OR(Y1341&gt;=1000000000,COUNTA(Q1341:Q1644)=0)),OR(Y1341&gt;=1000000000,AND(COUNTA(C1341:C1644)=0,P$3=TRUE))),
ROUNDDOWN((AB$1-AC$1)*MAX(INDEX(T$4:T1644,MATCH(LARGE(FILTER(Y$4:Y1"&amp;"644,Y$4:Y1644&lt;1000000000),1),Y$4:Y1644)),INDEX(F$4:F1644,MATCH(LARGE(FILTER(K$4:K1644,K$4:K1644&lt;1000000000),1),K$4:K1644)))),AND(K1341&lt;1000000000,COUNTA(C1341:C1644)&gt;0,P$3=FALSE),
ROUNDDOWN(INDEX(Y$4:Y1644,MATCH(LARGE(FILTER(W$4:W1644,W$4:W1644&lt;=I1341),1)"&amp;",W$4:W1644))+(I1341-LARGE(FILTER(W$4:W1644,W$4:W1644&lt;=I1341),1))*INDEX(T$4:T1644,MATCH(LARGE(FILTER(W$4:W1644,W$4:W1644&lt;=I1341),1),W$4:W1644))-K1341),1,
ROUNDDOWN(Y1341-INDEX(K$4:K1644,MATCH(LARGE(FILTER(I$4:I1644,I$4:I1644&lt;=W1341),1),I$4:I1644))-(W1341-L"&amp;"ARGE(FILTER(I$4:I1644,I$4:I1644&lt;=W1341),1))*INDEX(F$4:F1644,MATCH(LARGE(FILTER(I$4:I1644,I$4:I1644&lt;=W1341),1),I$4:I1644))))"),"")</f>
        <v/>
      </c>
      <c r="N1341" s="60" t="str">
        <f t="shared" si="8"/>
        <v/>
      </c>
      <c r="O1341" s="61" t="str">
        <f t="shared" si="9"/>
        <v/>
      </c>
      <c r="P1341" s="56" t="str">
        <f t="shared" si="10"/>
        <v/>
      </c>
      <c r="Q1341" s="105"/>
      <c r="R1341" s="10"/>
      <c r="S1341" s="59" t="str">
        <f t="array" ref="S1341">IF(COUNTA(Q1341:Q1644)=0,"",SUM((COUNTIF(Q$4:Q1341,Upgrades!$B$3:$B$13)-COUNTIF(Q$4:Q1341,"Sell_"&amp;Upgrades!$B$3:$B$13))*Upgrades!$D$3:$D$13))</f>
        <v/>
      </c>
      <c r="T1341" s="66" t="str">
        <f>IFERROR(__xludf.DUMMYFUNCTION("IF(COUNTA(Q1341:Q1644)=0,"""",IF(REGEXMATCH(INDEX(FILTER(Q$4:Q1341,Q$4:Q1341&lt;&gt;""""),ROWS(FILTER(Q$4:Q1341,Q$4:Q1341&lt;&gt;""""))),""^Sell_""),INDEX(FILTER(T$4:T1340,Q$4:Q1340&lt;&gt;""""),ROWS(FILTER(Q$4:Q1340,Q$4:Q1340&lt;&gt;""""))),$AD$5+S1341))"),"")</f>
        <v/>
      </c>
      <c r="U1341" s="10" t="str">
        <f>IFERROR(__xludf.DUMMYFUNCTION("IF(COUNTA(Q1341:Q1644)=0,"""",IF(Q1341="""",0,IF(REGEXMATCH(Q1341,""^Sell_""),-ROUNDDOWN(ROUNDUP(INDEX(Upgrades!$C$3:$C$13,MATCH(SUBSTITUTE(Q1341,""Sell_"",""""),Upgrades!$B$3:$B$13,0))*1.15^(COUNTIF(Q$4:Q1340,SUBSTITUTE(Q1341,""Sell_"",""""))-COUNTIF(Q$4"&amp;":Q1340,""Sell_""&amp;SUBSTITUTE(Q1341,""Sell_"",""""))))/2),ROUNDUP(INDEX(Upgrades!$C$3:$C$13,MATCH(Q1341,Upgrades!$B$3:$B$13,0))*1.15^(COUNTIF(Q$4:Q1340,Q1341)-COUNTIF(Q$4:Q1340,""Sell_""&amp;Q1341))))))"),"")</f>
        <v/>
      </c>
      <c r="V1341" s="10" t="str">
        <f t="shared" si="11"/>
        <v/>
      </c>
      <c r="W1341" s="68" t="str">
        <f t="shared" si="12"/>
        <v/>
      </c>
      <c r="X1341" s="59" t="str">
        <f t="shared" si="13"/>
        <v/>
      </c>
      <c r="Y1341" s="69" t="str">
        <f t="shared" si="14"/>
        <v/>
      </c>
      <c r="Z1341" s="11"/>
      <c r="AG1341" s="59"/>
    </row>
    <row r="1342">
      <c r="A1342" s="8"/>
      <c r="B1342" s="56" t="str">
        <f t="shared" si="2"/>
        <v/>
      </c>
      <c r="C1342" s="105"/>
      <c r="D1342" s="10"/>
      <c r="E1342" s="59" t="str">
        <f t="array" ref="E1342">IF(COUNTA(C1342:C1644)=0,"",SUM((COUNTIF(C$4:C1342,Upgrades!$B$3:$B$13)-COUNTIF(C$4:C1342,"Sell_"&amp;Upgrades!$B$3:$B$13))*Upgrades!$D$3:$D$13))</f>
        <v/>
      </c>
      <c r="F1342" s="66" t="str">
        <f>IFERROR(__xludf.DUMMYFUNCTION("IF(COUNTA(C1342:C1644)=0,"""",IF(REGEXMATCH(INDEX(FILTER(C$4:C1342,C$4:C1342&lt;&gt;""""),ROWS(FILTER(C$4:C1342,C$4:C1342&lt;&gt;""""))),""^Sell_""),INDEX(FILTER(F$4:F1341,C$4:C1341&lt;&gt;""""),ROWS(FILTER(C$4:C1341,C$4:C1341&lt;&gt;""""))),$AC$5+E1342))"),"")</f>
        <v/>
      </c>
      <c r="G1342" s="10" t="str">
        <f>IFERROR(__xludf.DUMMYFUNCTION("IF(COUNTA(C1342:C1644)=0,"""",IF(C1342="""",0,IF(REGEXMATCH(C1342,""^Sell_""),-ROUNDDOWN(ROUNDUP(INDEX(Upgrades!$C$3:$C$13,MATCH(SUBSTITUTE(C1342,""Sell_"",""""),Upgrades!$B$3:$B$13,0))*1.15^(COUNTIF(C$4:C1341,SUBSTITUTE(C1342,""Sell_"",""""))-COUNTIF(C$4"&amp;":C1341,""Sell_""&amp;SUBSTITUTE(C1342,""Sell_"",""""))))/2),ROUNDUP(INDEX(Upgrades!$C$3:$C$13,MATCH(C1342,Upgrades!$B$3:$B$13,0))*1.15^(COUNTIF(C$4:C1341,C1342)-COUNTIF(C$4:C1341,""Sell_""&amp;C1342))))))"),"")</f>
        <v/>
      </c>
      <c r="H1342" s="10" t="str">
        <f t="shared" si="3"/>
        <v/>
      </c>
      <c r="I1342" s="68" t="str">
        <f t="shared" si="4"/>
        <v/>
      </c>
      <c r="J1342" s="59" t="str">
        <f t="shared" si="5"/>
        <v/>
      </c>
      <c r="K1342" s="69" t="str">
        <f t="shared" si="6"/>
        <v/>
      </c>
      <c r="L1342" s="60" t="str">
        <f t="shared" si="7"/>
        <v/>
      </c>
      <c r="M1342" s="61" t="str">
        <f>IFERROR(__xludf.DUMMYFUNCTION("IFS(AND(COUNTA(C1342:C1644)=0,COUNTA(Q1342:Q1644)=0),"""",OR(AND(K1342&gt;=1000000000,OR(Y1342&gt;=1000000000,COUNTA(Q1342:Q1644)=0)),OR(Y1342&gt;=1000000000,AND(COUNTA(C1342:C1644)=0,P$3=TRUE))),
ROUNDDOWN((AB$1-AC$1)*MAX(INDEX(T$4:T1644,MATCH(LARGE(FILTER(Y$4:Y1"&amp;"644,Y$4:Y1644&lt;1000000000),1),Y$4:Y1644)),INDEX(F$4:F1644,MATCH(LARGE(FILTER(K$4:K1644,K$4:K1644&lt;1000000000),1),K$4:K1644)))),AND(K1342&lt;1000000000,COUNTA(C1342:C1644)&gt;0,P$3=FALSE),
ROUNDDOWN(INDEX(Y$4:Y1644,MATCH(LARGE(FILTER(W$4:W1644,W$4:W1644&lt;=I1342),1)"&amp;",W$4:W1644))+(I1342-LARGE(FILTER(W$4:W1644,W$4:W1644&lt;=I1342),1))*INDEX(T$4:T1644,MATCH(LARGE(FILTER(W$4:W1644,W$4:W1644&lt;=I1342),1),W$4:W1644))-K1342),1,
ROUNDDOWN(Y1342-INDEX(K$4:K1644,MATCH(LARGE(FILTER(I$4:I1644,I$4:I1644&lt;=W1342),1),I$4:I1644))-(W1342-L"&amp;"ARGE(FILTER(I$4:I1644,I$4:I1644&lt;=W1342),1))*INDEX(F$4:F1644,MATCH(LARGE(FILTER(I$4:I1644,I$4:I1644&lt;=W1342),1),I$4:I1644))))"),"")</f>
        <v/>
      </c>
      <c r="N1342" s="60" t="str">
        <f t="shared" si="8"/>
        <v/>
      </c>
      <c r="O1342" s="61" t="str">
        <f t="shared" si="9"/>
        <v/>
      </c>
      <c r="P1342" s="56" t="str">
        <f t="shared" si="10"/>
        <v/>
      </c>
      <c r="Q1342" s="105"/>
      <c r="R1342" s="10"/>
      <c r="S1342" s="59" t="str">
        <f t="array" ref="S1342">IF(COUNTA(Q1342:Q1644)=0,"",SUM((COUNTIF(Q$4:Q1342,Upgrades!$B$3:$B$13)-COUNTIF(Q$4:Q1342,"Sell_"&amp;Upgrades!$B$3:$B$13))*Upgrades!$D$3:$D$13))</f>
        <v/>
      </c>
      <c r="T1342" s="66" t="str">
        <f>IFERROR(__xludf.DUMMYFUNCTION("IF(COUNTA(Q1342:Q1644)=0,"""",IF(REGEXMATCH(INDEX(FILTER(Q$4:Q1342,Q$4:Q1342&lt;&gt;""""),ROWS(FILTER(Q$4:Q1342,Q$4:Q1342&lt;&gt;""""))),""^Sell_""),INDEX(FILTER(T$4:T1341,Q$4:Q1341&lt;&gt;""""),ROWS(FILTER(Q$4:Q1341,Q$4:Q1341&lt;&gt;""""))),$AD$5+S1342))"),"")</f>
        <v/>
      </c>
      <c r="U1342" s="10" t="str">
        <f>IFERROR(__xludf.DUMMYFUNCTION("IF(COUNTA(Q1342:Q1644)=0,"""",IF(Q1342="""",0,IF(REGEXMATCH(Q1342,""^Sell_""),-ROUNDDOWN(ROUNDUP(INDEX(Upgrades!$C$3:$C$13,MATCH(SUBSTITUTE(Q1342,""Sell_"",""""),Upgrades!$B$3:$B$13,0))*1.15^(COUNTIF(Q$4:Q1341,SUBSTITUTE(Q1342,""Sell_"",""""))-COUNTIF(Q$4"&amp;":Q1341,""Sell_""&amp;SUBSTITUTE(Q1342,""Sell_"",""""))))/2),ROUNDUP(INDEX(Upgrades!$C$3:$C$13,MATCH(Q1342,Upgrades!$B$3:$B$13,0))*1.15^(COUNTIF(Q$4:Q1341,Q1342)-COUNTIF(Q$4:Q1341,""Sell_""&amp;Q1342))))))"),"")</f>
        <v/>
      </c>
      <c r="V1342" s="10" t="str">
        <f t="shared" si="11"/>
        <v/>
      </c>
      <c r="W1342" s="68" t="str">
        <f t="shared" si="12"/>
        <v/>
      </c>
      <c r="X1342" s="59" t="str">
        <f t="shared" si="13"/>
        <v/>
      </c>
      <c r="Y1342" s="69" t="str">
        <f t="shared" si="14"/>
        <v/>
      </c>
      <c r="Z1342" s="11"/>
      <c r="AG1342" s="59"/>
    </row>
    <row r="1343">
      <c r="A1343" s="8"/>
      <c r="B1343" s="56" t="str">
        <f t="shared" si="2"/>
        <v/>
      </c>
      <c r="C1343" s="105"/>
      <c r="D1343" s="10"/>
      <c r="E1343" s="59" t="str">
        <f t="array" ref="E1343">IF(COUNTA(C1343:C1644)=0,"",SUM((COUNTIF(C$4:C1343,Upgrades!$B$3:$B$13)-COUNTIF(C$4:C1343,"Sell_"&amp;Upgrades!$B$3:$B$13))*Upgrades!$D$3:$D$13))</f>
        <v/>
      </c>
      <c r="F1343" s="66" t="str">
        <f>IFERROR(__xludf.DUMMYFUNCTION("IF(COUNTA(C1343:C1644)=0,"""",IF(REGEXMATCH(INDEX(FILTER(C$4:C1343,C$4:C1343&lt;&gt;""""),ROWS(FILTER(C$4:C1343,C$4:C1343&lt;&gt;""""))),""^Sell_""),INDEX(FILTER(F$4:F1342,C$4:C1342&lt;&gt;""""),ROWS(FILTER(C$4:C1342,C$4:C1342&lt;&gt;""""))),$AC$5+E1343))"),"")</f>
        <v/>
      </c>
      <c r="G1343" s="10" t="str">
        <f>IFERROR(__xludf.DUMMYFUNCTION("IF(COUNTA(C1343:C1644)=0,"""",IF(C1343="""",0,IF(REGEXMATCH(C1343,""^Sell_""),-ROUNDDOWN(ROUNDUP(INDEX(Upgrades!$C$3:$C$13,MATCH(SUBSTITUTE(C1343,""Sell_"",""""),Upgrades!$B$3:$B$13,0))*1.15^(COUNTIF(C$4:C1342,SUBSTITUTE(C1343,""Sell_"",""""))-COUNTIF(C$4"&amp;":C1342,""Sell_""&amp;SUBSTITUTE(C1343,""Sell_"",""""))))/2),ROUNDUP(INDEX(Upgrades!$C$3:$C$13,MATCH(C1343,Upgrades!$B$3:$B$13,0))*1.15^(COUNTIF(C$4:C1342,C1343)-COUNTIF(C$4:C1342,""Sell_""&amp;C1343))))))"),"")</f>
        <v/>
      </c>
      <c r="H1343" s="10" t="str">
        <f t="shared" si="3"/>
        <v/>
      </c>
      <c r="I1343" s="68" t="str">
        <f t="shared" si="4"/>
        <v/>
      </c>
      <c r="J1343" s="59" t="str">
        <f t="shared" si="5"/>
        <v/>
      </c>
      <c r="K1343" s="69" t="str">
        <f t="shared" si="6"/>
        <v/>
      </c>
      <c r="L1343" s="60" t="str">
        <f t="shared" si="7"/>
        <v/>
      </c>
      <c r="M1343" s="61" t="str">
        <f>IFERROR(__xludf.DUMMYFUNCTION("IFS(AND(COUNTA(C1343:C1644)=0,COUNTA(Q1343:Q1644)=0),"""",OR(AND(K1343&gt;=1000000000,OR(Y1343&gt;=1000000000,COUNTA(Q1343:Q1644)=0)),OR(Y1343&gt;=1000000000,AND(COUNTA(C1343:C1644)=0,P$3=TRUE))),
ROUNDDOWN((AB$1-AC$1)*MAX(INDEX(T$4:T1644,MATCH(LARGE(FILTER(Y$4:Y1"&amp;"644,Y$4:Y1644&lt;1000000000),1),Y$4:Y1644)),INDEX(F$4:F1644,MATCH(LARGE(FILTER(K$4:K1644,K$4:K1644&lt;1000000000),1),K$4:K1644)))),AND(K1343&lt;1000000000,COUNTA(C1343:C1644)&gt;0,P$3=FALSE),
ROUNDDOWN(INDEX(Y$4:Y1644,MATCH(LARGE(FILTER(W$4:W1644,W$4:W1644&lt;=I1343),1)"&amp;",W$4:W1644))+(I1343-LARGE(FILTER(W$4:W1644,W$4:W1644&lt;=I1343),1))*INDEX(T$4:T1644,MATCH(LARGE(FILTER(W$4:W1644,W$4:W1644&lt;=I1343),1),W$4:W1644))-K1343),1,
ROUNDDOWN(Y1343-INDEX(K$4:K1644,MATCH(LARGE(FILTER(I$4:I1644,I$4:I1644&lt;=W1343),1),I$4:I1644))-(W1343-L"&amp;"ARGE(FILTER(I$4:I1644,I$4:I1644&lt;=W1343),1))*INDEX(F$4:F1644,MATCH(LARGE(FILTER(I$4:I1644,I$4:I1644&lt;=W1343),1),I$4:I1644))))"),"")</f>
        <v/>
      </c>
      <c r="N1343" s="60" t="str">
        <f t="shared" si="8"/>
        <v/>
      </c>
      <c r="O1343" s="61" t="str">
        <f t="shared" si="9"/>
        <v/>
      </c>
      <c r="P1343" s="56" t="str">
        <f t="shared" si="10"/>
        <v/>
      </c>
      <c r="Q1343" s="105"/>
      <c r="R1343" s="10"/>
      <c r="S1343" s="59" t="str">
        <f t="array" ref="S1343">IF(COUNTA(Q1343:Q1644)=0,"",SUM((COUNTIF(Q$4:Q1343,Upgrades!$B$3:$B$13)-COUNTIF(Q$4:Q1343,"Sell_"&amp;Upgrades!$B$3:$B$13))*Upgrades!$D$3:$D$13))</f>
        <v/>
      </c>
      <c r="T1343" s="66" t="str">
        <f>IFERROR(__xludf.DUMMYFUNCTION("IF(COUNTA(Q1343:Q1644)=0,"""",IF(REGEXMATCH(INDEX(FILTER(Q$4:Q1343,Q$4:Q1343&lt;&gt;""""),ROWS(FILTER(Q$4:Q1343,Q$4:Q1343&lt;&gt;""""))),""^Sell_""),INDEX(FILTER(T$4:T1342,Q$4:Q1342&lt;&gt;""""),ROWS(FILTER(Q$4:Q1342,Q$4:Q1342&lt;&gt;""""))),$AD$5+S1343))"),"")</f>
        <v/>
      </c>
      <c r="U1343" s="10" t="str">
        <f>IFERROR(__xludf.DUMMYFUNCTION("IF(COUNTA(Q1343:Q1644)=0,"""",IF(Q1343="""",0,IF(REGEXMATCH(Q1343,""^Sell_""),-ROUNDDOWN(ROUNDUP(INDEX(Upgrades!$C$3:$C$13,MATCH(SUBSTITUTE(Q1343,""Sell_"",""""),Upgrades!$B$3:$B$13,0))*1.15^(COUNTIF(Q$4:Q1342,SUBSTITUTE(Q1343,""Sell_"",""""))-COUNTIF(Q$4"&amp;":Q1342,""Sell_""&amp;SUBSTITUTE(Q1343,""Sell_"",""""))))/2),ROUNDUP(INDEX(Upgrades!$C$3:$C$13,MATCH(Q1343,Upgrades!$B$3:$B$13,0))*1.15^(COUNTIF(Q$4:Q1342,Q1343)-COUNTIF(Q$4:Q1342,""Sell_""&amp;Q1343))))))"),"")</f>
        <v/>
      </c>
      <c r="V1343" s="10" t="str">
        <f t="shared" si="11"/>
        <v/>
      </c>
      <c r="W1343" s="68" t="str">
        <f t="shared" si="12"/>
        <v/>
      </c>
      <c r="X1343" s="59" t="str">
        <f t="shared" si="13"/>
        <v/>
      </c>
      <c r="Y1343" s="69" t="str">
        <f t="shared" si="14"/>
        <v/>
      </c>
      <c r="Z1343" s="11"/>
      <c r="AG1343" s="59"/>
    </row>
    <row r="1344">
      <c r="A1344" s="8"/>
      <c r="B1344" s="56" t="str">
        <f t="shared" si="2"/>
        <v/>
      </c>
      <c r="C1344" s="105"/>
      <c r="D1344" s="10"/>
      <c r="E1344" s="59" t="str">
        <f t="array" ref="E1344">IF(COUNTA(C1344:C1644)=0,"",SUM((COUNTIF(C$4:C1344,Upgrades!$B$3:$B$13)-COUNTIF(C$4:C1344,"Sell_"&amp;Upgrades!$B$3:$B$13))*Upgrades!$D$3:$D$13))</f>
        <v/>
      </c>
      <c r="F1344" s="66" t="str">
        <f>IFERROR(__xludf.DUMMYFUNCTION("IF(COUNTA(C1344:C1644)=0,"""",IF(REGEXMATCH(INDEX(FILTER(C$4:C1344,C$4:C1344&lt;&gt;""""),ROWS(FILTER(C$4:C1344,C$4:C1344&lt;&gt;""""))),""^Sell_""),INDEX(FILTER(F$4:F1343,C$4:C1343&lt;&gt;""""),ROWS(FILTER(C$4:C1343,C$4:C1343&lt;&gt;""""))),$AC$5+E1344))"),"")</f>
        <v/>
      </c>
      <c r="G1344" s="10" t="str">
        <f>IFERROR(__xludf.DUMMYFUNCTION("IF(COUNTA(C1344:C1644)=0,"""",IF(C1344="""",0,IF(REGEXMATCH(C1344,""^Sell_""),-ROUNDDOWN(ROUNDUP(INDEX(Upgrades!$C$3:$C$13,MATCH(SUBSTITUTE(C1344,""Sell_"",""""),Upgrades!$B$3:$B$13,0))*1.15^(COUNTIF(C$4:C1343,SUBSTITUTE(C1344,""Sell_"",""""))-COUNTIF(C$4"&amp;":C1343,""Sell_""&amp;SUBSTITUTE(C1344,""Sell_"",""""))))/2),ROUNDUP(INDEX(Upgrades!$C$3:$C$13,MATCH(C1344,Upgrades!$B$3:$B$13,0))*1.15^(COUNTIF(C$4:C1343,C1344)-COUNTIF(C$4:C1343,""Sell_""&amp;C1344))))))"),"")</f>
        <v/>
      </c>
      <c r="H1344" s="10" t="str">
        <f t="shared" si="3"/>
        <v/>
      </c>
      <c r="I1344" s="68" t="str">
        <f t="shared" si="4"/>
        <v/>
      </c>
      <c r="J1344" s="59" t="str">
        <f t="shared" si="5"/>
        <v/>
      </c>
      <c r="K1344" s="69" t="str">
        <f t="shared" si="6"/>
        <v/>
      </c>
      <c r="L1344" s="60" t="str">
        <f t="shared" si="7"/>
        <v/>
      </c>
      <c r="M1344" s="61" t="str">
        <f>IFERROR(__xludf.DUMMYFUNCTION("IFS(AND(COUNTA(C1344:C1644)=0,COUNTA(Q1344:Q1644)=0),"""",OR(AND(K1344&gt;=1000000000,OR(Y1344&gt;=1000000000,COUNTA(Q1344:Q1644)=0)),OR(Y1344&gt;=1000000000,AND(COUNTA(C1344:C1644)=0,P$3=TRUE))),
ROUNDDOWN((AB$1-AC$1)*MAX(INDEX(T$4:T1644,MATCH(LARGE(FILTER(Y$4:Y1"&amp;"644,Y$4:Y1644&lt;1000000000),1),Y$4:Y1644)),INDEX(F$4:F1644,MATCH(LARGE(FILTER(K$4:K1644,K$4:K1644&lt;1000000000),1),K$4:K1644)))),AND(K1344&lt;1000000000,COUNTA(C1344:C1644)&gt;0,P$3=FALSE),
ROUNDDOWN(INDEX(Y$4:Y1644,MATCH(LARGE(FILTER(W$4:W1644,W$4:W1644&lt;=I1344),1)"&amp;",W$4:W1644))+(I1344-LARGE(FILTER(W$4:W1644,W$4:W1644&lt;=I1344),1))*INDEX(T$4:T1644,MATCH(LARGE(FILTER(W$4:W1644,W$4:W1644&lt;=I1344),1),W$4:W1644))-K1344),1,
ROUNDDOWN(Y1344-INDEX(K$4:K1644,MATCH(LARGE(FILTER(I$4:I1644,I$4:I1644&lt;=W1344),1),I$4:I1644))-(W1344-L"&amp;"ARGE(FILTER(I$4:I1644,I$4:I1644&lt;=W1344),1))*INDEX(F$4:F1644,MATCH(LARGE(FILTER(I$4:I1644,I$4:I1644&lt;=W1344),1),I$4:I1644))))"),"")</f>
        <v/>
      </c>
      <c r="N1344" s="60" t="str">
        <f t="shared" si="8"/>
        <v/>
      </c>
      <c r="O1344" s="61" t="str">
        <f t="shared" si="9"/>
        <v/>
      </c>
      <c r="P1344" s="56" t="str">
        <f t="shared" si="10"/>
        <v/>
      </c>
      <c r="Q1344" s="105"/>
      <c r="R1344" s="10"/>
      <c r="S1344" s="59" t="str">
        <f t="array" ref="S1344">IF(COUNTA(Q1344:Q1644)=0,"",SUM((COUNTIF(Q$4:Q1344,Upgrades!$B$3:$B$13)-COUNTIF(Q$4:Q1344,"Sell_"&amp;Upgrades!$B$3:$B$13))*Upgrades!$D$3:$D$13))</f>
        <v/>
      </c>
      <c r="T1344" s="66" t="str">
        <f>IFERROR(__xludf.DUMMYFUNCTION("IF(COUNTA(Q1344:Q1644)=0,"""",IF(REGEXMATCH(INDEX(FILTER(Q$4:Q1344,Q$4:Q1344&lt;&gt;""""),ROWS(FILTER(Q$4:Q1344,Q$4:Q1344&lt;&gt;""""))),""^Sell_""),INDEX(FILTER(T$4:T1343,Q$4:Q1343&lt;&gt;""""),ROWS(FILTER(Q$4:Q1343,Q$4:Q1343&lt;&gt;""""))),$AD$5+S1344))"),"")</f>
        <v/>
      </c>
      <c r="U1344" s="10" t="str">
        <f>IFERROR(__xludf.DUMMYFUNCTION("IF(COUNTA(Q1344:Q1644)=0,"""",IF(Q1344="""",0,IF(REGEXMATCH(Q1344,""^Sell_""),-ROUNDDOWN(ROUNDUP(INDEX(Upgrades!$C$3:$C$13,MATCH(SUBSTITUTE(Q1344,""Sell_"",""""),Upgrades!$B$3:$B$13,0))*1.15^(COUNTIF(Q$4:Q1343,SUBSTITUTE(Q1344,""Sell_"",""""))-COUNTIF(Q$4"&amp;":Q1343,""Sell_""&amp;SUBSTITUTE(Q1344,""Sell_"",""""))))/2),ROUNDUP(INDEX(Upgrades!$C$3:$C$13,MATCH(Q1344,Upgrades!$B$3:$B$13,0))*1.15^(COUNTIF(Q$4:Q1343,Q1344)-COUNTIF(Q$4:Q1343,""Sell_""&amp;Q1344))))))"),"")</f>
        <v/>
      </c>
      <c r="V1344" s="10" t="str">
        <f t="shared" si="11"/>
        <v/>
      </c>
      <c r="W1344" s="68" t="str">
        <f t="shared" si="12"/>
        <v/>
      </c>
      <c r="X1344" s="59" t="str">
        <f t="shared" si="13"/>
        <v/>
      </c>
      <c r="Y1344" s="69" t="str">
        <f t="shared" si="14"/>
        <v/>
      </c>
      <c r="Z1344" s="11"/>
      <c r="AG1344" s="59"/>
    </row>
    <row r="1345">
      <c r="A1345" s="8"/>
      <c r="B1345" s="56" t="str">
        <f t="shared" si="2"/>
        <v/>
      </c>
      <c r="C1345" s="105"/>
      <c r="D1345" s="10"/>
      <c r="E1345" s="59" t="str">
        <f t="array" ref="E1345">IF(COUNTA(C1345:C1644)=0,"",SUM((COUNTIF(C$4:C1345,Upgrades!$B$3:$B$13)-COUNTIF(C$4:C1345,"Sell_"&amp;Upgrades!$B$3:$B$13))*Upgrades!$D$3:$D$13))</f>
        <v/>
      </c>
      <c r="F1345" s="66" t="str">
        <f>IFERROR(__xludf.DUMMYFUNCTION("IF(COUNTA(C1345:C1644)=0,"""",IF(REGEXMATCH(INDEX(FILTER(C$4:C1345,C$4:C1345&lt;&gt;""""),ROWS(FILTER(C$4:C1345,C$4:C1345&lt;&gt;""""))),""^Sell_""),INDEX(FILTER(F$4:F1344,C$4:C1344&lt;&gt;""""),ROWS(FILTER(C$4:C1344,C$4:C1344&lt;&gt;""""))),$AC$5+E1345))"),"")</f>
        <v/>
      </c>
      <c r="G1345" s="10" t="str">
        <f>IFERROR(__xludf.DUMMYFUNCTION("IF(COUNTA(C1345:C1644)=0,"""",IF(C1345="""",0,IF(REGEXMATCH(C1345,""^Sell_""),-ROUNDDOWN(ROUNDUP(INDEX(Upgrades!$C$3:$C$13,MATCH(SUBSTITUTE(C1345,""Sell_"",""""),Upgrades!$B$3:$B$13,0))*1.15^(COUNTIF(C$4:C1344,SUBSTITUTE(C1345,""Sell_"",""""))-COUNTIF(C$4"&amp;":C1344,""Sell_""&amp;SUBSTITUTE(C1345,""Sell_"",""""))))/2),ROUNDUP(INDEX(Upgrades!$C$3:$C$13,MATCH(C1345,Upgrades!$B$3:$B$13,0))*1.15^(COUNTIF(C$4:C1344,C1345)-COUNTIF(C$4:C1344,""Sell_""&amp;C1345))))))"),"")</f>
        <v/>
      </c>
      <c r="H1345" s="10" t="str">
        <f t="shared" si="3"/>
        <v/>
      </c>
      <c r="I1345" s="68" t="str">
        <f t="shared" si="4"/>
        <v/>
      </c>
      <c r="J1345" s="59" t="str">
        <f t="shared" si="5"/>
        <v/>
      </c>
      <c r="K1345" s="69" t="str">
        <f t="shared" si="6"/>
        <v/>
      </c>
      <c r="L1345" s="60" t="str">
        <f t="shared" si="7"/>
        <v/>
      </c>
      <c r="M1345" s="61" t="str">
        <f>IFERROR(__xludf.DUMMYFUNCTION("IFS(AND(COUNTA(C1345:C1644)=0,COUNTA(Q1345:Q1644)=0),"""",OR(AND(K1345&gt;=1000000000,OR(Y1345&gt;=1000000000,COUNTA(Q1345:Q1644)=0)),OR(Y1345&gt;=1000000000,AND(COUNTA(C1345:C1644)=0,P$3=TRUE))),
ROUNDDOWN((AB$1-AC$1)*MAX(INDEX(T$4:T1644,MATCH(LARGE(FILTER(Y$4:Y1"&amp;"644,Y$4:Y1644&lt;1000000000),1),Y$4:Y1644)),INDEX(F$4:F1644,MATCH(LARGE(FILTER(K$4:K1644,K$4:K1644&lt;1000000000),1),K$4:K1644)))),AND(K1345&lt;1000000000,COUNTA(C1345:C1644)&gt;0,P$3=FALSE),
ROUNDDOWN(INDEX(Y$4:Y1644,MATCH(LARGE(FILTER(W$4:W1644,W$4:W1644&lt;=I1345),1)"&amp;",W$4:W1644))+(I1345-LARGE(FILTER(W$4:W1644,W$4:W1644&lt;=I1345),1))*INDEX(T$4:T1644,MATCH(LARGE(FILTER(W$4:W1644,W$4:W1644&lt;=I1345),1),W$4:W1644))-K1345),1,
ROUNDDOWN(Y1345-INDEX(K$4:K1644,MATCH(LARGE(FILTER(I$4:I1644,I$4:I1644&lt;=W1345),1),I$4:I1644))-(W1345-L"&amp;"ARGE(FILTER(I$4:I1644,I$4:I1644&lt;=W1345),1))*INDEX(F$4:F1644,MATCH(LARGE(FILTER(I$4:I1644,I$4:I1644&lt;=W1345),1),I$4:I1644))))"),"")</f>
        <v/>
      </c>
      <c r="N1345" s="60" t="str">
        <f t="shared" si="8"/>
        <v/>
      </c>
      <c r="O1345" s="61" t="str">
        <f t="shared" si="9"/>
        <v/>
      </c>
      <c r="P1345" s="56" t="str">
        <f t="shared" si="10"/>
        <v/>
      </c>
      <c r="Q1345" s="105"/>
      <c r="R1345" s="10"/>
      <c r="S1345" s="59" t="str">
        <f t="array" ref="S1345">IF(COUNTA(Q1345:Q1644)=0,"",SUM((COUNTIF(Q$4:Q1345,Upgrades!$B$3:$B$13)-COUNTIF(Q$4:Q1345,"Sell_"&amp;Upgrades!$B$3:$B$13))*Upgrades!$D$3:$D$13))</f>
        <v/>
      </c>
      <c r="T1345" s="66" t="str">
        <f>IFERROR(__xludf.DUMMYFUNCTION("IF(COUNTA(Q1345:Q1644)=0,"""",IF(REGEXMATCH(INDEX(FILTER(Q$4:Q1345,Q$4:Q1345&lt;&gt;""""),ROWS(FILTER(Q$4:Q1345,Q$4:Q1345&lt;&gt;""""))),""^Sell_""),INDEX(FILTER(T$4:T1344,Q$4:Q1344&lt;&gt;""""),ROWS(FILTER(Q$4:Q1344,Q$4:Q1344&lt;&gt;""""))),$AD$5+S1345))"),"")</f>
        <v/>
      </c>
      <c r="U1345" s="10" t="str">
        <f>IFERROR(__xludf.DUMMYFUNCTION("IF(COUNTA(Q1345:Q1644)=0,"""",IF(Q1345="""",0,IF(REGEXMATCH(Q1345,""^Sell_""),-ROUNDDOWN(ROUNDUP(INDEX(Upgrades!$C$3:$C$13,MATCH(SUBSTITUTE(Q1345,""Sell_"",""""),Upgrades!$B$3:$B$13,0))*1.15^(COUNTIF(Q$4:Q1344,SUBSTITUTE(Q1345,""Sell_"",""""))-COUNTIF(Q$4"&amp;":Q1344,""Sell_""&amp;SUBSTITUTE(Q1345,""Sell_"",""""))))/2),ROUNDUP(INDEX(Upgrades!$C$3:$C$13,MATCH(Q1345,Upgrades!$B$3:$B$13,0))*1.15^(COUNTIF(Q$4:Q1344,Q1345)-COUNTIF(Q$4:Q1344,""Sell_""&amp;Q1345))))))"),"")</f>
        <v/>
      </c>
      <c r="V1345" s="10" t="str">
        <f t="shared" si="11"/>
        <v/>
      </c>
      <c r="W1345" s="68" t="str">
        <f t="shared" si="12"/>
        <v/>
      </c>
      <c r="X1345" s="59" t="str">
        <f t="shared" si="13"/>
        <v/>
      </c>
      <c r="Y1345" s="69" t="str">
        <f t="shared" si="14"/>
        <v/>
      </c>
      <c r="Z1345" s="11"/>
      <c r="AG1345" s="59"/>
    </row>
    <row r="1346">
      <c r="A1346" s="8"/>
      <c r="B1346" s="56" t="str">
        <f t="shared" si="2"/>
        <v/>
      </c>
      <c r="C1346" s="105"/>
      <c r="D1346" s="10"/>
      <c r="E1346" s="59" t="str">
        <f t="array" ref="E1346">IF(COUNTA(C1346:C1644)=0,"",SUM((COUNTIF(C$4:C1346,Upgrades!$B$3:$B$13)-COUNTIF(C$4:C1346,"Sell_"&amp;Upgrades!$B$3:$B$13))*Upgrades!$D$3:$D$13))</f>
        <v/>
      </c>
      <c r="F1346" s="66" t="str">
        <f>IFERROR(__xludf.DUMMYFUNCTION("IF(COUNTA(C1346:C1644)=0,"""",IF(REGEXMATCH(INDEX(FILTER(C$4:C1346,C$4:C1346&lt;&gt;""""),ROWS(FILTER(C$4:C1346,C$4:C1346&lt;&gt;""""))),""^Sell_""),INDEX(FILTER(F$4:F1345,C$4:C1345&lt;&gt;""""),ROWS(FILTER(C$4:C1345,C$4:C1345&lt;&gt;""""))),$AC$5+E1346))"),"")</f>
        <v/>
      </c>
      <c r="G1346" s="10" t="str">
        <f>IFERROR(__xludf.DUMMYFUNCTION("IF(COUNTA(C1346:C1644)=0,"""",IF(C1346="""",0,IF(REGEXMATCH(C1346,""^Sell_""),-ROUNDDOWN(ROUNDUP(INDEX(Upgrades!$C$3:$C$13,MATCH(SUBSTITUTE(C1346,""Sell_"",""""),Upgrades!$B$3:$B$13,0))*1.15^(COUNTIF(C$4:C1345,SUBSTITUTE(C1346,""Sell_"",""""))-COUNTIF(C$4"&amp;":C1345,""Sell_""&amp;SUBSTITUTE(C1346,""Sell_"",""""))))/2),ROUNDUP(INDEX(Upgrades!$C$3:$C$13,MATCH(C1346,Upgrades!$B$3:$B$13,0))*1.15^(COUNTIF(C$4:C1345,C1346)-COUNTIF(C$4:C1345,""Sell_""&amp;C1346))))))"),"")</f>
        <v/>
      </c>
      <c r="H1346" s="10" t="str">
        <f t="shared" si="3"/>
        <v/>
      </c>
      <c r="I1346" s="68" t="str">
        <f t="shared" si="4"/>
        <v/>
      </c>
      <c r="J1346" s="59" t="str">
        <f t="shared" si="5"/>
        <v/>
      </c>
      <c r="K1346" s="69" t="str">
        <f t="shared" si="6"/>
        <v/>
      </c>
      <c r="L1346" s="60" t="str">
        <f t="shared" si="7"/>
        <v/>
      </c>
      <c r="M1346" s="61" t="str">
        <f>IFERROR(__xludf.DUMMYFUNCTION("IFS(AND(COUNTA(C1346:C1644)=0,COUNTA(Q1346:Q1644)=0),"""",OR(AND(K1346&gt;=1000000000,OR(Y1346&gt;=1000000000,COUNTA(Q1346:Q1644)=0)),OR(Y1346&gt;=1000000000,AND(COUNTA(C1346:C1644)=0,P$3=TRUE))),
ROUNDDOWN((AB$1-AC$1)*MAX(INDEX(T$4:T1644,MATCH(LARGE(FILTER(Y$4:Y1"&amp;"644,Y$4:Y1644&lt;1000000000),1),Y$4:Y1644)),INDEX(F$4:F1644,MATCH(LARGE(FILTER(K$4:K1644,K$4:K1644&lt;1000000000),1),K$4:K1644)))),AND(K1346&lt;1000000000,COUNTA(C1346:C1644)&gt;0,P$3=FALSE),
ROUNDDOWN(INDEX(Y$4:Y1644,MATCH(LARGE(FILTER(W$4:W1644,W$4:W1644&lt;=I1346),1)"&amp;",W$4:W1644))+(I1346-LARGE(FILTER(W$4:W1644,W$4:W1644&lt;=I1346),1))*INDEX(T$4:T1644,MATCH(LARGE(FILTER(W$4:W1644,W$4:W1644&lt;=I1346),1),W$4:W1644))-K1346),1,
ROUNDDOWN(Y1346-INDEX(K$4:K1644,MATCH(LARGE(FILTER(I$4:I1644,I$4:I1644&lt;=W1346),1),I$4:I1644))-(W1346-L"&amp;"ARGE(FILTER(I$4:I1644,I$4:I1644&lt;=W1346),1))*INDEX(F$4:F1644,MATCH(LARGE(FILTER(I$4:I1644,I$4:I1644&lt;=W1346),1),I$4:I1644))))"),"")</f>
        <v/>
      </c>
      <c r="N1346" s="60" t="str">
        <f t="shared" si="8"/>
        <v/>
      </c>
      <c r="O1346" s="61" t="str">
        <f t="shared" si="9"/>
        <v/>
      </c>
      <c r="P1346" s="56" t="str">
        <f t="shared" si="10"/>
        <v/>
      </c>
      <c r="Q1346" s="105"/>
      <c r="R1346" s="10"/>
      <c r="S1346" s="59" t="str">
        <f t="array" ref="S1346">IF(COUNTA(Q1346:Q1644)=0,"",SUM((COUNTIF(Q$4:Q1346,Upgrades!$B$3:$B$13)-COUNTIF(Q$4:Q1346,"Sell_"&amp;Upgrades!$B$3:$B$13))*Upgrades!$D$3:$D$13))</f>
        <v/>
      </c>
      <c r="T1346" s="66" t="str">
        <f>IFERROR(__xludf.DUMMYFUNCTION("IF(COUNTA(Q1346:Q1644)=0,"""",IF(REGEXMATCH(INDEX(FILTER(Q$4:Q1346,Q$4:Q1346&lt;&gt;""""),ROWS(FILTER(Q$4:Q1346,Q$4:Q1346&lt;&gt;""""))),""^Sell_""),INDEX(FILTER(T$4:T1345,Q$4:Q1345&lt;&gt;""""),ROWS(FILTER(Q$4:Q1345,Q$4:Q1345&lt;&gt;""""))),$AD$5+S1346))"),"")</f>
        <v/>
      </c>
      <c r="U1346" s="10" t="str">
        <f>IFERROR(__xludf.DUMMYFUNCTION("IF(COUNTA(Q1346:Q1644)=0,"""",IF(Q1346="""",0,IF(REGEXMATCH(Q1346,""^Sell_""),-ROUNDDOWN(ROUNDUP(INDEX(Upgrades!$C$3:$C$13,MATCH(SUBSTITUTE(Q1346,""Sell_"",""""),Upgrades!$B$3:$B$13,0))*1.15^(COUNTIF(Q$4:Q1345,SUBSTITUTE(Q1346,""Sell_"",""""))-COUNTIF(Q$4"&amp;":Q1345,""Sell_""&amp;SUBSTITUTE(Q1346,""Sell_"",""""))))/2),ROUNDUP(INDEX(Upgrades!$C$3:$C$13,MATCH(Q1346,Upgrades!$B$3:$B$13,0))*1.15^(COUNTIF(Q$4:Q1345,Q1346)-COUNTIF(Q$4:Q1345,""Sell_""&amp;Q1346))))))"),"")</f>
        <v/>
      </c>
      <c r="V1346" s="10" t="str">
        <f t="shared" si="11"/>
        <v/>
      </c>
      <c r="W1346" s="68" t="str">
        <f t="shared" si="12"/>
        <v/>
      </c>
      <c r="X1346" s="59" t="str">
        <f t="shared" si="13"/>
        <v/>
      </c>
      <c r="Y1346" s="69" t="str">
        <f t="shared" si="14"/>
        <v/>
      </c>
      <c r="Z1346" s="11"/>
      <c r="AG1346" s="59"/>
    </row>
    <row r="1347">
      <c r="A1347" s="8"/>
      <c r="B1347" s="56" t="str">
        <f t="shared" si="2"/>
        <v/>
      </c>
      <c r="C1347" s="105"/>
      <c r="D1347" s="10"/>
      <c r="E1347" s="59" t="str">
        <f t="array" ref="E1347">IF(COUNTA(C1347:C1644)=0,"",SUM((COUNTIF(C$4:C1347,Upgrades!$B$3:$B$13)-COUNTIF(C$4:C1347,"Sell_"&amp;Upgrades!$B$3:$B$13))*Upgrades!$D$3:$D$13))</f>
        <v/>
      </c>
      <c r="F1347" s="66" t="str">
        <f>IFERROR(__xludf.DUMMYFUNCTION("IF(COUNTA(C1347:C1644)=0,"""",IF(REGEXMATCH(INDEX(FILTER(C$4:C1347,C$4:C1347&lt;&gt;""""),ROWS(FILTER(C$4:C1347,C$4:C1347&lt;&gt;""""))),""^Sell_""),INDEX(FILTER(F$4:F1346,C$4:C1346&lt;&gt;""""),ROWS(FILTER(C$4:C1346,C$4:C1346&lt;&gt;""""))),$AC$5+E1347))"),"")</f>
        <v/>
      </c>
      <c r="G1347" s="10" t="str">
        <f>IFERROR(__xludf.DUMMYFUNCTION("IF(COUNTA(C1347:C1644)=0,"""",IF(C1347="""",0,IF(REGEXMATCH(C1347,""^Sell_""),-ROUNDDOWN(ROUNDUP(INDEX(Upgrades!$C$3:$C$13,MATCH(SUBSTITUTE(C1347,""Sell_"",""""),Upgrades!$B$3:$B$13,0))*1.15^(COUNTIF(C$4:C1346,SUBSTITUTE(C1347,""Sell_"",""""))-COUNTIF(C$4"&amp;":C1346,""Sell_""&amp;SUBSTITUTE(C1347,""Sell_"",""""))))/2),ROUNDUP(INDEX(Upgrades!$C$3:$C$13,MATCH(C1347,Upgrades!$B$3:$B$13,0))*1.15^(COUNTIF(C$4:C1346,C1347)-COUNTIF(C$4:C1346,""Sell_""&amp;C1347))))))"),"")</f>
        <v/>
      </c>
      <c r="H1347" s="10" t="str">
        <f t="shared" si="3"/>
        <v/>
      </c>
      <c r="I1347" s="68" t="str">
        <f t="shared" si="4"/>
        <v/>
      </c>
      <c r="J1347" s="59" t="str">
        <f t="shared" si="5"/>
        <v/>
      </c>
      <c r="K1347" s="69" t="str">
        <f t="shared" si="6"/>
        <v/>
      </c>
      <c r="L1347" s="60" t="str">
        <f t="shared" si="7"/>
        <v/>
      </c>
      <c r="M1347" s="61" t="str">
        <f>IFERROR(__xludf.DUMMYFUNCTION("IFS(AND(COUNTA(C1347:C1644)=0,COUNTA(Q1347:Q1644)=0),"""",OR(AND(K1347&gt;=1000000000,OR(Y1347&gt;=1000000000,COUNTA(Q1347:Q1644)=0)),OR(Y1347&gt;=1000000000,AND(COUNTA(C1347:C1644)=0,P$3=TRUE))),
ROUNDDOWN((AB$1-AC$1)*MAX(INDEX(T$4:T1644,MATCH(LARGE(FILTER(Y$4:Y1"&amp;"644,Y$4:Y1644&lt;1000000000),1),Y$4:Y1644)),INDEX(F$4:F1644,MATCH(LARGE(FILTER(K$4:K1644,K$4:K1644&lt;1000000000),1),K$4:K1644)))),AND(K1347&lt;1000000000,COUNTA(C1347:C1644)&gt;0,P$3=FALSE),
ROUNDDOWN(INDEX(Y$4:Y1644,MATCH(LARGE(FILTER(W$4:W1644,W$4:W1644&lt;=I1347),1)"&amp;",W$4:W1644))+(I1347-LARGE(FILTER(W$4:W1644,W$4:W1644&lt;=I1347),1))*INDEX(T$4:T1644,MATCH(LARGE(FILTER(W$4:W1644,W$4:W1644&lt;=I1347),1),W$4:W1644))-K1347),1,
ROUNDDOWN(Y1347-INDEX(K$4:K1644,MATCH(LARGE(FILTER(I$4:I1644,I$4:I1644&lt;=W1347),1),I$4:I1644))-(W1347-L"&amp;"ARGE(FILTER(I$4:I1644,I$4:I1644&lt;=W1347),1))*INDEX(F$4:F1644,MATCH(LARGE(FILTER(I$4:I1644,I$4:I1644&lt;=W1347),1),I$4:I1644))))"),"")</f>
        <v/>
      </c>
      <c r="N1347" s="60" t="str">
        <f t="shared" si="8"/>
        <v/>
      </c>
      <c r="O1347" s="61" t="str">
        <f t="shared" si="9"/>
        <v/>
      </c>
      <c r="P1347" s="56" t="str">
        <f t="shared" si="10"/>
        <v/>
      </c>
      <c r="Q1347" s="105"/>
      <c r="R1347" s="10"/>
      <c r="S1347" s="59" t="str">
        <f t="array" ref="S1347">IF(COUNTA(Q1347:Q1644)=0,"",SUM((COUNTIF(Q$4:Q1347,Upgrades!$B$3:$B$13)-COUNTIF(Q$4:Q1347,"Sell_"&amp;Upgrades!$B$3:$B$13))*Upgrades!$D$3:$D$13))</f>
        <v/>
      </c>
      <c r="T1347" s="66" t="str">
        <f>IFERROR(__xludf.DUMMYFUNCTION("IF(COUNTA(Q1347:Q1644)=0,"""",IF(REGEXMATCH(INDEX(FILTER(Q$4:Q1347,Q$4:Q1347&lt;&gt;""""),ROWS(FILTER(Q$4:Q1347,Q$4:Q1347&lt;&gt;""""))),""^Sell_""),INDEX(FILTER(T$4:T1346,Q$4:Q1346&lt;&gt;""""),ROWS(FILTER(Q$4:Q1346,Q$4:Q1346&lt;&gt;""""))),$AD$5+S1347))"),"")</f>
        <v/>
      </c>
      <c r="U1347" s="10" t="str">
        <f>IFERROR(__xludf.DUMMYFUNCTION("IF(COUNTA(Q1347:Q1644)=0,"""",IF(Q1347="""",0,IF(REGEXMATCH(Q1347,""^Sell_""),-ROUNDDOWN(ROUNDUP(INDEX(Upgrades!$C$3:$C$13,MATCH(SUBSTITUTE(Q1347,""Sell_"",""""),Upgrades!$B$3:$B$13,0))*1.15^(COUNTIF(Q$4:Q1346,SUBSTITUTE(Q1347,""Sell_"",""""))-COUNTIF(Q$4"&amp;":Q1346,""Sell_""&amp;SUBSTITUTE(Q1347,""Sell_"",""""))))/2),ROUNDUP(INDEX(Upgrades!$C$3:$C$13,MATCH(Q1347,Upgrades!$B$3:$B$13,0))*1.15^(COUNTIF(Q$4:Q1346,Q1347)-COUNTIF(Q$4:Q1346,""Sell_""&amp;Q1347))))))"),"")</f>
        <v/>
      </c>
      <c r="V1347" s="10" t="str">
        <f t="shared" si="11"/>
        <v/>
      </c>
      <c r="W1347" s="68" t="str">
        <f t="shared" si="12"/>
        <v/>
      </c>
      <c r="X1347" s="59" t="str">
        <f t="shared" si="13"/>
        <v/>
      </c>
      <c r="Y1347" s="69" t="str">
        <f t="shared" si="14"/>
        <v/>
      </c>
      <c r="Z1347" s="11"/>
      <c r="AG1347" s="59"/>
    </row>
    <row r="1348">
      <c r="A1348" s="8"/>
      <c r="B1348" s="56" t="str">
        <f t="shared" si="2"/>
        <v/>
      </c>
      <c r="C1348" s="105"/>
      <c r="D1348" s="10"/>
      <c r="E1348" s="59" t="str">
        <f t="array" ref="E1348">IF(COUNTA(C1348:C1644)=0,"",SUM((COUNTIF(C$4:C1348,Upgrades!$B$3:$B$13)-COUNTIF(C$4:C1348,"Sell_"&amp;Upgrades!$B$3:$B$13))*Upgrades!$D$3:$D$13))</f>
        <v/>
      </c>
      <c r="F1348" s="66" t="str">
        <f>IFERROR(__xludf.DUMMYFUNCTION("IF(COUNTA(C1348:C1644)=0,"""",IF(REGEXMATCH(INDEX(FILTER(C$4:C1348,C$4:C1348&lt;&gt;""""),ROWS(FILTER(C$4:C1348,C$4:C1348&lt;&gt;""""))),""^Sell_""),INDEX(FILTER(F$4:F1347,C$4:C1347&lt;&gt;""""),ROWS(FILTER(C$4:C1347,C$4:C1347&lt;&gt;""""))),$AC$5+E1348))"),"")</f>
        <v/>
      </c>
      <c r="G1348" s="10" t="str">
        <f>IFERROR(__xludf.DUMMYFUNCTION("IF(COUNTA(C1348:C1644)=0,"""",IF(C1348="""",0,IF(REGEXMATCH(C1348,""^Sell_""),-ROUNDDOWN(ROUNDUP(INDEX(Upgrades!$C$3:$C$13,MATCH(SUBSTITUTE(C1348,""Sell_"",""""),Upgrades!$B$3:$B$13,0))*1.15^(COUNTIF(C$4:C1347,SUBSTITUTE(C1348,""Sell_"",""""))-COUNTIF(C$4"&amp;":C1347,""Sell_""&amp;SUBSTITUTE(C1348,""Sell_"",""""))))/2),ROUNDUP(INDEX(Upgrades!$C$3:$C$13,MATCH(C1348,Upgrades!$B$3:$B$13,0))*1.15^(COUNTIF(C$4:C1347,C1348)-COUNTIF(C$4:C1347,""Sell_""&amp;C1348))))))"),"")</f>
        <v/>
      </c>
      <c r="H1348" s="10" t="str">
        <f t="shared" si="3"/>
        <v/>
      </c>
      <c r="I1348" s="68" t="str">
        <f t="shared" si="4"/>
        <v/>
      </c>
      <c r="J1348" s="59" t="str">
        <f t="shared" si="5"/>
        <v/>
      </c>
      <c r="K1348" s="69" t="str">
        <f t="shared" si="6"/>
        <v/>
      </c>
      <c r="L1348" s="60" t="str">
        <f t="shared" si="7"/>
        <v/>
      </c>
      <c r="M1348" s="61" t="str">
        <f>IFERROR(__xludf.DUMMYFUNCTION("IFS(AND(COUNTA(C1348:C1644)=0,COUNTA(Q1348:Q1644)=0),"""",OR(AND(K1348&gt;=1000000000,OR(Y1348&gt;=1000000000,COUNTA(Q1348:Q1644)=0)),OR(Y1348&gt;=1000000000,AND(COUNTA(C1348:C1644)=0,P$3=TRUE))),
ROUNDDOWN((AB$1-AC$1)*MAX(INDEX(T$4:T1644,MATCH(LARGE(FILTER(Y$4:Y1"&amp;"644,Y$4:Y1644&lt;1000000000),1),Y$4:Y1644)),INDEX(F$4:F1644,MATCH(LARGE(FILTER(K$4:K1644,K$4:K1644&lt;1000000000),1),K$4:K1644)))),AND(K1348&lt;1000000000,COUNTA(C1348:C1644)&gt;0,P$3=FALSE),
ROUNDDOWN(INDEX(Y$4:Y1644,MATCH(LARGE(FILTER(W$4:W1644,W$4:W1644&lt;=I1348),1)"&amp;",W$4:W1644))+(I1348-LARGE(FILTER(W$4:W1644,W$4:W1644&lt;=I1348),1))*INDEX(T$4:T1644,MATCH(LARGE(FILTER(W$4:W1644,W$4:W1644&lt;=I1348),1),W$4:W1644))-K1348),1,
ROUNDDOWN(Y1348-INDEX(K$4:K1644,MATCH(LARGE(FILTER(I$4:I1644,I$4:I1644&lt;=W1348),1),I$4:I1644))-(W1348-L"&amp;"ARGE(FILTER(I$4:I1644,I$4:I1644&lt;=W1348),1))*INDEX(F$4:F1644,MATCH(LARGE(FILTER(I$4:I1644,I$4:I1644&lt;=W1348),1),I$4:I1644))))"),"")</f>
        <v/>
      </c>
      <c r="N1348" s="60" t="str">
        <f t="shared" si="8"/>
        <v/>
      </c>
      <c r="O1348" s="61" t="str">
        <f t="shared" si="9"/>
        <v/>
      </c>
      <c r="P1348" s="56" t="str">
        <f t="shared" si="10"/>
        <v/>
      </c>
      <c r="Q1348" s="105"/>
      <c r="R1348" s="10"/>
      <c r="S1348" s="59" t="str">
        <f t="array" ref="S1348">IF(COUNTA(Q1348:Q1644)=0,"",SUM((COUNTIF(Q$4:Q1348,Upgrades!$B$3:$B$13)-COUNTIF(Q$4:Q1348,"Sell_"&amp;Upgrades!$B$3:$B$13))*Upgrades!$D$3:$D$13))</f>
        <v/>
      </c>
      <c r="T1348" s="66" t="str">
        <f>IFERROR(__xludf.DUMMYFUNCTION("IF(COUNTA(Q1348:Q1644)=0,"""",IF(REGEXMATCH(INDEX(FILTER(Q$4:Q1348,Q$4:Q1348&lt;&gt;""""),ROWS(FILTER(Q$4:Q1348,Q$4:Q1348&lt;&gt;""""))),""^Sell_""),INDEX(FILTER(T$4:T1347,Q$4:Q1347&lt;&gt;""""),ROWS(FILTER(Q$4:Q1347,Q$4:Q1347&lt;&gt;""""))),$AD$5+S1348))"),"")</f>
        <v/>
      </c>
      <c r="U1348" s="10" t="str">
        <f>IFERROR(__xludf.DUMMYFUNCTION("IF(COUNTA(Q1348:Q1644)=0,"""",IF(Q1348="""",0,IF(REGEXMATCH(Q1348,""^Sell_""),-ROUNDDOWN(ROUNDUP(INDEX(Upgrades!$C$3:$C$13,MATCH(SUBSTITUTE(Q1348,""Sell_"",""""),Upgrades!$B$3:$B$13,0))*1.15^(COUNTIF(Q$4:Q1347,SUBSTITUTE(Q1348,""Sell_"",""""))-COUNTIF(Q$4"&amp;":Q1347,""Sell_""&amp;SUBSTITUTE(Q1348,""Sell_"",""""))))/2),ROUNDUP(INDEX(Upgrades!$C$3:$C$13,MATCH(Q1348,Upgrades!$B$3:$B$13,0))*1.15^(COUNTIF(Q$4:Q1347,Q1348)-COUNTIF(Q$4:Q1347,""Sell_""&amp;Q1348))))))"),"")</f>
        <v/>
      </c>
      <c r="V1348" s="10" t="str">
        <f t="shared" si="11"/>
        <v/>
      </c>
      <c r="W1348" s="68" t="str">
        <f t="shared" si="12"/>
        <v/>
      </c>
      <c r="X1348" s="59" t="str">
        <f t="shared" si="13"/>
        <v/>
      </c>
      <c r="Y1348" s="69" t="str">
        <f t="shared" si="14"/>
        <v/>
      </c>
      <c r="Z1348" s="11"/>
      <c r="AG1348" s="59"/>
    </row>
    <row r="1349">
      <c r="A1349" s="8"/>
      <c r="B1349" s="56" t="str">
        <f t="shared" si="2"/>
        <v/>
      </c>
      <c r="C1349" s="105"/>
      <c r="D1349" s="10"/>
      <c r="E1349" s="59" t="str">
        <f t="array" ref="E1349">IF(COUNTA(C1349:C1644)=0,"",SUM((COUNTIF(C$4:C1349,Upgrades!$B$3:$B$13)-COUNTIF(C$4:C1349,"Sell_"&amp;Upgrades!$B$3:$B$13))*Upgrades!$D$3:$D$13))</f>
        <v/>
      </c>
      <c r="F1349" s="66" t="str">
        <f>IFERROR(__xludf.DUMMYFUNCTION("IF(COUNTA(C1349:C1644)=0,"""",IF(REGEXMATCH(INDEX(FILTER(C$4:C1349,C$4:C1349&lt;&gt;""""),ROWS(FILTER(C$4:C1349,C$4:C1349&lt;&gt;""""))),""^Sell_""),INDEX(FILTER(F$4:F1348,C$4:C1348&lt;&gt;""""),ROWS(FILTER(C$4:C1348,C$4:C1348&lt;&gt;""""))),$AC$5+E1349))"),"")</f>
        <v/>
      </c>
      <c r="G1349" s="10" t="str">
        <f>IFERROR(__xludf.DUMMYFUNCTION("IF(COUNTA(C1349:C1644)=0,"""",IF(C1349="""",0,IF(REGEXMATCH(C1349,""^Sell_""),-ROUNDDOWN(ROUNDUP(INDEX(Upgrades!$C$3:$C$13,MATCH(SUBSTITUTE(C1349,""Sell_"",""""),Upgrades!$B$3:$B$13,0))*1.15^(COUNTIF(C$4:C1348,SUBSTITUTE(C1349,""Sell_"",""""))-COUNTIF(C$4"&amp;":C1348,""Sell_""&amp;SUBSTITUTE(C1349,""Sell_"",""""))))/2),ROUNDUP(INDEX(Upgrades!$C$3:$C$13,MATCH(C1349,Upgrades!$B$3:$B$13,0))*1.15^(COUNTIF(C$4:C1348,C1349)-COUNTIF(C$4:C1348,""Sell_""&amp;C1349))))))"),"")</f>
        <v/>
      </c>
      <c r="H1349" s="10" t="str">
        <f t="shared" si="3"/>
        <v/>
      </c>
      <c r="I1349" s="68" t="str">
        <f t="shared" si="4"/>
        <v/>
      </c>
      <c r="J1349" s="59" t="str">
        <f t="shared" si="5"/>
        <v/>
      </c>
      <c r="K1349" s="69" t="str">
        <f t="shared" si="6"/>
        <v/>
      </c>
      <c r="L1349" s="60" t="str">
        <f t="shared" si="7"/>
        <v/>
      </c>
      <c r="M1349" s="61" t="str">
        <f>IFERROR(__xludf.DUMMYFUNCTION("IFS(AND(COUNTA(C1349:C1644)=0,COUNTA(Q1349:Q1644)=0),"""",OR(AND(K1349&gt;=1000000000,OR(Y1349&gt;=1000000000,COUNTA(Q1349:Q1644)=0)),OR(Y1349&gt;=1000000000,AND(COUNTA(C1349:C1644)=0,P$3=TRUE))),
ROUNDDOWN((AB$1-AC$1)*MAX(INDEX(T$4:T1644,MATCH(LARGE(FILTER(Y$4:Y1"&amp;"644,Y$4:Y1644&lt;1000000000),1),Y$4:Y1644)),INDEX(F$4:F1644,MATCH(LARGE(FILTER(K$4:K1644,K$4:K1644&lt;1000000000),1),K$4:K1644)))),AND(K1349&lt;1000000000,COUNTA(C1349:C1644)&gt;0,P$3=FALSE),
ROUNDDOWN(INDEX(Y$4:Y1644,MATCH(LARGE(FILTER(W$4:W1644,W$4:W1644&lt;=I1349),1)"&amp;",W$4:W1644))+(I1349-LARGE(FILTER(W$4:W1644,W$4:W1644&lt;=I1349),1))*INDEX(T$4:T1644,MATCH(LARGE(FILTER(W$4:W1644,W$4:W1644&lt;=I1349),1),W$4:W1644))-K1349),1,
ROUNDDOWN(Y1349-INDEX(K$4:K1644,MATCH(LARGE(FILTER(I$4:I1644,I$4:I1644&lt;=W1349),1),I$4:I1644))-(W1349-L"&amp;"ARGE(FILTER(I$4:I1644,I$4:I1644&lt;=W1349),1))*INDEX(F$4:F1644,MATCH(LARGE(FILTER(I$4:I1644,I$4:I1644&lt;=W1349),1),I$4:I1644))))"),"")</f>
        <v/>
      </c>
      <c r="N1349" s="60" t="str">
        <f t="shared" si="8"/>
        <v/>
      </c>
      <c r="O1349" s="61" t="str">
        <f t="shared" si="9"/>
        <v/>
      </c>
      <c r="P1349" s="56" t="str">
        <f t="shared" si="10"/>
        <v/>
      </c>
      <c r="Q1349" s="105"/>
      <c r="R1349" s="10"/>
      <c r="S1349" s="59" t="str">
        <f t="array" ref="S1349">IF(COUNTA(Q1349:Q1644)=0,"",SUM((COUNTIF(Q$4:Q1349,Upgrades!$B$3:$B$13)-COUNTIF(Q$4:Q1349,"Sell_"&amp;Upgrades!$B$3:$B$13))*Upgrades!$D$3:$D$13))</f>
        <v/>
      </c>
      <c r="T1349" s="66" t="str">
        <f>IFERROR(__xludf.DUMMYFUNCTION("IF(COUNTA(Q1349:Q1644)=0,"""",IF(REGEXMATCH(INDEX(FILTER(Q$4:Q1349,Q$4:Q1349&lt;&gt;""""),ROWS(FILTER(Q$4:Q1349,Q$4:Q1349&lt;&gt;""""))),""^Sell_""),INDEX(FILTER(T$4:T1348,Q$4:Q1348&lt;&gt;""""),ROWS(FILTER(Q$4:Q1348,Q$4:Q1348&lt;&gt;""""))),$AD$5+S1349))"),"")</f>
        <v/>
      </c>
      <c r="U1349" s="10" t="str">
        <f>IFERROR(__xludf.DUMMYFUNCTION("IF(COUNTA(Q1349:Q1644)=0,"""",IF(Q1349="""",0,IF(REGEXMATCH(Q1349,""^Sell_""),-ROUNDDOWN(ROUNDUP(INDEX(Upgrades!$C$3:$C$13,MATCH(SUBSTITUTE(Q1349,""Sell_"",""""),Upgrades!$B$3:$B$13,0))*1.15^(COUNTIF(Q$4:Q1348,SUBSTITUTE(Q1349,""Sell_"",""""))-COUNTIF(Q$4"&amp;":Q1348,""Sell_""&amp;SUBSTITUTE(Q1349,""Sell_"",""""))))/2),ROUNDUP(INDEX(Upgrades!$C$3:$C$13,MATCH(Q1349,Upgrades!$B$3:$B$13,0))*1.15^(COUNTIF(Q$4:Q1348,Q1349)-COUNTIF(Q$4:Q1348,""Sell_""&amp;Q1349))))))"),"")</f>
        <v/>
      </c>
      <c r="V1349" s="10" t="str">
        <f t="shared" si="11"/>
        <v/>
      </c>
      <c r="W1349" s="68" t="str">
        <f t="shared" si="12"/>
        <v/>
      </c>
      <c r="X1349" s="59" t="str">
        <f t="shared" si="13"/>
        <v/>
      </c>
      <c r="Y1349" s="69" t="str">
        <f t="shared" si="14"/>
        <v/>
      </c>
      <c r="Z1349" s="11"/>
      <c r="AG1349" s="59"/>
    </row>
    <row r="1350">
      <c r="A1350" s="8"/>
      <c r="B1350" s="56" t="str">
        <f t="shared" si="2"/>
        <v/>
      </c>
      <c r="C1350" s="105"/>
      <c r="D1350" s="10"/>
      <c r="E1350" s="59" t="str">
        <f t="array" ref="E1350">IF(COUNTA(C1350:C1644)=0,"",SUM((COUNTIF(C$4:C1350,Upgrades!$B$3:$B$13)-COUNTIF(C$4:C1350,"Sell_"&amp;Upgrades!$B$3:$B$13))*Upgrades!$D$3:$D$13))</f>
        <v/>
      </c>
      <c r="F1350" s="66" t="str">
        <f>IFERROR(__xludf.DUMMYFUNCTION("IF(COUNTA(C1350:C1644)=0,"""",IF(REGEXMATCH(INDEX(FILTER(C$4:C1350,C$4:C1350&lt;&gt;""""),ROWS(FILTER(C$4:C1350,C$4:C1350&lt;&gt;""""))),""^Sell_""),INDEX(FILTER(F$4:F1349,C$4:C1349&lt;&gt;""""),ROWS(FILTER(C$4:C1349,C$4:C1349&lt;&gt;""""))),$AC$5+E1350))"),"")</f>
        <v/>
      </c>
      <c r="G1350" s="10" t="str">
        <f>IFERROR(__xludf.DUMMYFUNCTION("IF(COUNTA(C1350:C1644)=0,"""",IF(C1350="""",0,IF(REGEXMATCH(C1350,""^Sell_""),-ROUNDDOWN(ROUNDUP(INDEX(Upgrades!$C$3:$C$13,MATCH(SUBSTITUTE(C1350,""Sell_"",""""),Upgrades!$B$3:$B$13,0))*1.15^(COUNTIF(C$4:C1349,SUBSTITUTE(C1350,""Sell_"",""""))-COUNTIF(C$4"&amp;":C1349,""Sell_""&amp;SUBSTITUTE(C1350,""Sell_"",""""))))/2),ROUNDUP(INDEX(Upgrades!$C$3:$C$13,MATCH(C1350,Upgrades!$B$3:$B$13,0))*1.15^(COUNTIF(C$4:C1349,C1350)-COUNTIF(C$4:C1349,""Sell_""&amp;C1350))))))"),"")</f>
        <v/>
      </c>
      <c r="H1350" s="10" t="str">
        <f t="shared" si="3"/>
        <v/>
      </c>
      <c r="I1350" s="68" t="str">
        <f t="shared" si="4"/>
        <v/>
      </c>
      <c r="J1350" s="59" t="str">
        <f t="shared" si="5"/>
        <v/>
      </c>
      <c r="K1350" s="69" t="str">
        <f t="shared" si="6"/>
        <v/>
      </c>
      <c r="L1350" s="60" t="str">
        <f t="shared" si="7"/>
        <v/>
      </c>
      <c r="M1350" s="61" t="str">
        <f>IFERROR(__xludf.DUMMYFUNCTION("IFS(AND(COUNTA(C1350:C1644)=0,COUNTA(Q1350:Q1644)=0),"""",OR(AND(K1350&gt;=1000000000,OR(Y1350&gt;=1000000000,COUNTA(Q1350:Q1644)=0)),OR(Y1350&gt;=1000000000,AND(COUNTA(C1350:C1644)=0,P$3=TRUE))),
ROUNDDOWN((AB$1-AC$1)*MAX(INDEX(T$4:T1644,MATCH(LARGE(FILTER(Y$4:Y1"&amp;"644,Y$4:Y1644&lt;1000000000),1),Y$4:Y1644)),INDEX(F$4:F1644,MATCH(LARGE(FILTER(K$4:K1644,K$4:K1644&lt;1000000000),1),K$4:K1644)))),AND(K1350&lt;1000000000,COUNTA(C1350:C1644)&gt;0,P$3=FALSE),
ROUNDDOWN(INDEX(Y$4:Y1644,MATCH(LARGE(FILTER(W$4:W1644,W$4:W1644&lt;=I1350),1)"&amp;",W$4:W1644))+(I1350-LARGE(FILTER(W$4:W1644,W$4:W1644&lt;=I1350),1))*INDEX(T$4:T1644,MATCH(LARGE(FILTER(W$4:W1644,W$4:W1644&lt;=I1350),1),W$4:W1644))-K1350),1,
ROUNDDOWN(Y1350-INDEX(K$4:K1644,MATCH(LARGE(FILTER(I$4:I1644,I$4:I1644&lt;=W1350),1),I$4:I1644))-(W1350-L"&amp;"ARGE(FILTER(I$4:I1644,I$4:I1644&lt;=W1350),1))*INDEX(F$4:F1644,MATCH(LARGE(FILTER(I$4:I1644,I$4:I1644&lt;=W1350),1),I$4:I1644))))"),"")</f>
        <v/>
      </c>
      <c r="N1350" s="60" t="str">
        <f t="shared" si="8"/>
        <v/>
      </c>
      <c r="O1350" s="61" t="str">
        <f t="shared" si="9"/>
        <v/>
      </c>
      <c r="P1350" s="56" t="str">
        <f t="shared" si="10"/>
        <v/>
      </c>
      <c r="Q1350" s="105"/>
      <c r="R1350" s="10"/>
      <c r="S1350" s="59" t="str">
        <f t="array" ref="S1350">IF(COUNTA(Q1350:Q1644)=0,"",SUM((COUNTIF(Q$4:Q1350,Upgrades!$B$3:$B$13)-COUNTIF(Q$4:Q1350,"Sell_"&amp;Upgrades!$B$3:$B$13))*Upgrades!$D$3:$D$13))</f>
        <v/>
      </c>
      <c r="T1350" s="66" t="str">
        <f>IFERROR(__xludf.DUMMYFUNCTION("IF(COUNTA(Q1350:Q1644)=0,"""",IF(REGEXMATCH(INDEX(FILTER(Q$4:Q1350,Q$4:Q1350&lt;&gt;""""),ROWS(FILTER(Q$4:Q1350,Q$4:Q1350&lt;&gt;""""))),""^Sell_""),INDEX(FILTER(T$4:T1349,Q$4:Q1349&lt;&gt;""""),ROWS(FILTER(Q$4:Q1349,Q$4:Q1349&lt;&gt;""""))),$AD$5+S1350))"),"")</f>
        <v/>
      </c>
      <c r="U1350" s="10" t="str">
        <f>IFERROR(__xludf.DUMMYFUNCTION("IF(COUNTA(Q1350:Q1644)=0,"""",IF(Q1350="""",0,IF(REGEXMATCH(Q1350,""^Sell_""),-ROUNDDOWN(ROUNDUP(INDEX(Upgrades!$C$3:$C$13,MATCH(SUBSTITUTE(Q1350,""Sell_"",""""),Upgrades!$B$3:$B$13,0))*1.15^(COUNTIF(Q$4:Q1349,SUBSTITUTE(Q1350,""Sell_"",""""))-COUNTIF(Q$4"&amp;":Q1349,""Sell_""&amp;SUBSTITUTE(Q1350,""Sell_"",""""))))/2),ROUNDUP(INDEX(Upgrades!$C$3:$C$13,MATCH(Q1350,Upgrades!$B$3:$B$13,0))*1.15^(COUNTIF(Q$4:Q1349,Q1350)-COUNTIF(Q$4:Q1349,""Sell_""&amp;Q1350))))))"),"")</f>
        <v/>
      </c>
      <c r="V1350" s="10" t="str">
        <f t="shared" si="11"/>
        <v/>
      </c>
      <c r="W1350" s="68" t="str">
        <f t="shared" si="12"/>
        <v/>
      </c>
      <c r="X1350" s="59" t="str">
        <f t="shared" si="13"/>
        <v/>
      </c>
      <c r="Y1350" s="69" t="str">
        <f t="shared" si="14"/>
        <v/>
      </c>
      <c r="Z1350" s="11"/>
      <c r="AG1350" s="59"/>
    </row>
    <row r="1351">
      <c r="A1351" s="8"/>
      <c r="B1351" s="56" t="str">
        <f t="shared" si="2"/>
        <v/>
      </c>
      <c r="C1351" s="105"/>
      <c r="D1351" s="10"/>
      <c r="E1351" s="59" t="str">
        <f t="array" ref="E1351">IF(COUNTA(C1351:C1644)=0,"",SUM((COUNTIF(C$4:C1351,Upgrades!$B$3:$B$13)-COUNTIF(C$4:C1351,"Sell_"&amp;Upgrades!$B$3:$B$13))*Upgrades!$D$3:$D$13))</f>
        <v/>
      </c>
      <c r="F1351" s="66" t="str">
        <f>IFERROR(__xludf.DUMMYFUNCTION("IF(COUNTA(C1351:C1644)=0,"""",IF(REGEXMATCH(INDEX(FILTER(C$4:C1351,C$4:C1351&lt;&gt;""""),ROWS(FILTER(C$4:C1351,C$4:C1351&lt;&gt;""""))),""^Sell_""),INDEX(FILTER(F$4:F1350,C$4:C1350&lt;&gt;""""),ROWS(FILTER(C$4:C1350,C$4:C1350&lt;&gt;""""))),$AC$5+E1351))"),"")</f>
        <v/>
      </c>
      <c r="G1351" s="10" t="str">
        <f>IFERROR(__xludf.DUMMYFUNCTION("IF(COUNTA(C1351:C1644)=0,"""",IF(C1351="""",0,IF(REGEXMATCH(C1351,""^Sell_""),-ROUNDDOWN(ROUNDUP(INDEX(Upgrades!$C$3:$C$13,MATCH(SUBSTITUTE(C1351,""Sell_"",""""),Upgrades!$B$3:$B$13,0))*1.15^(COUNTIF(C$4:C1350,SUBSTITUTE(C1351,""Sell_"",""""))-COUNTIF(C$4"&amp;":C1350,""Sell_""&amp;SUBSTITUTE(C1351,""Sell_"",""""))))/2),ROUNDUP(INDEX(Upgrades!$C$3:$C$13,MATCH(C1351,Upgrades!$B$3:$B$13,0))*1.15^(COUNTIF(C$4:C1350,C1351)-COUNTIF(C$4:C1350,""Sell_""&amp;C1351))))))"),"")</f>
        <v/>
      </c>
      <c r="H1351" s="10" t="str">
        <f t="shared" si="3"/>
        <v/>
      </c>
      <c r="I1351" s="68" t="str">
        <f t="shared" si="4"/>
        <v/>
      </c>
      <c r="J1351" s="59" t="str">
        <f t="shared" si="5"/>
        <v/>
      </c>
      <c r="K1351" s="69" t="str">
        <f t="shared" si="6"/>
        <v/>
      </c>
      <c r="L1351" s="60" t="str">
        <f t="shared" si="7"/>
        <v/>
      </c>
      <c r="M1351" s="61" t="str">
        <f>IFERROR(__xludf.DUMMYFUNCTION("IFS(AND(COUNTA(C1351:C1644)=0,COUNTA(Q1351:Q1644)=0),"""",OR(AND(K1351&gt;=1000000000,OR(Y1351&gt;=1000000000,COUNTA(Q1351:Q1644)=0)),OR(Y1351&gt;=1000000000,AND(COUNTA(C1351:C1644)=0,P$3=TRUE))),
ROUNDDOWN((AB$1-AC$1)*MAX(INDEX(T$4:T1644,MATCH(LARGE(FILTER(Y$4:Y1"&amp;"644,Y$4:Y1644&lt;1000000000),1),Y$4:Y1644)),INDEX(F$4:F1644,MATCH(LARGE(FILTER(K$4:K1644,K$4:K1644&lt;1000000000),1),K$4:K1644)))),AND(K1351&lt;1000000000,COUNTA(C1351:C1644)&gt;0,P$3=FALSE),
ROUNDDOWN(INDEX(Y$4:Y1644,MATCH(LARGE(FILTER(W$4:W1644,W$4:W1644&lt;=I1351),1)"&amp;",W$4:W1644))+(I1351-LARGE(FILTER(W$4:W1644,W$4:W1644&lt;=I1351),1))*INDEX(T$4:T1644,MATCH(LARGE(FILTER(W$4:W1644,W$4:W1644&lt;=I1351),1),W$4:W1644))-K1351),1,
ROUNDDOWN(Y1351-INDEX(K$4:K1644,MATCH(LARGE(FILTER(I$4:I1644,I$4:I1644&lt;=W1351),1),I$4:I1644))-(W1351-L"&amp;"ARGE(FILTER(I$4:I1644,I$4:I1644&lt;=W1351),1))*INDEX(F$4:F1644,MATCH(LARGE(FILTER(I$4:I1644,I$4:I1644&lt;=W1351),1),I$4:I1644))))"),"")</f>
        <v/>
      </c>
      <c r="N1351" s="60" t="str">
        <f t="shared" si="8"/>
        <v/>
      </c>
      <c r="O1351" s="61" t="str">
        <f t="shared" si="9"/>
        <v/>
      </c>
      <c r="P1351" s="56" t="str">
        <f t="shared" si="10"/>
        <v/>
      </c>
      <c r="Q1351" s="105"/>
      <c r="R1351" s="10"/>
      <c r="S1351" s="59" t="str">
        <f t="array" ref="S1351">IF(COUNTA(Q1351:Q1644)=0,"",SUM((COUNTIF(Q$4:Q1351,Upgrades!$B$3:$B$13)-COUNTIF(Q$4:Q1351,"Sell_"&amp;Upgrades!$B$3:$B$13))*Upgrades!$D$3:$D$13))</f>
        <v/>
      </c>
      <c r="T1351" s="66" t="str">
        <f>IFERROR(__xludf.DUMMYFUNCTION("IF(COUNTA(Q1351:Q1644)=0,"""",IF(REGEXMATCH(INDEX(FILTER(Q$4:Q1351,Q$4:Q1351&lt;&gt;""""),ROWS(FILTER(Q$4:Q1351,Q$4:Q1351&lt;&gt;""""))),""^Sell_""),INDEX(FILTER(T$4:T1350,Q$4:Q1350&lt;&gt;""""),ROWS(FILTER(Q$4:Q1350,Q$4:Q1350&lt;&gt;""""))),$AD$5+S1351))"),"")</f>
        <v/>
      </c>
      <c r="U1351" s="10" t="str">
        <f>IFERROR(__xludf.DUMMYFUNCTION("IF(COUNTA(Q1351:Q1644)=0,"""",IF(Q1351="""",0,IF(REGEXMATCH(Q1351,""^Sell_""),-ROUNDDOWN(ROUNDUP(INDEX(Upgrades!$C$3:$C$13,MATCH(SUBSTITUTE(Q1351,""Sell_"",""""),Upgrades!$B$3:$B$13,0))*1.15^(COUNTIF(Q$4:Q1350,SUBSTITUTE(Q1351,""Sell_"",""""))-COUNTIF(Q$4"&amp;":Q1350,""Sell_""&amp;SUBSTITUTE(Q1351,""Sell_"",""""))))/2),ROUNDUP(INDEX(Upgrades!$C$3:$C$13,MATCH(Q1351,Upgrades!$B$3:$B$13,0))*1.15^(COUNTIF(Q$4:Q1350,Q1351)-COUNTIF(Q$4:Q1350,""Sell_""&amp;Q1351))))))"),"")</f>
        <v/>
      </c>
      <c r="V1351" s="10" t="str">
        <f t="shared" si="11"/>
        <v/>
      </c>
      <c r="W1351" s="68" t="str">
        <f t="shared" si="12"/>
        <v/>
      </c>
      <c r="X1351" s="59" t="str">
        <f t="shared" si="13"/>
        <v/>
      </c>
      <c r="Y1351" s="69" t="str">
        <f t="shared" si="14"/>
        <v/>
      </c>
      <c r="Z1351" s="11"/>
      <c r="AG1351" s="59"/>
    </row>
    <row r="1352">
      <c r="A1352" s="8"/>
      <c r="B1352" s="56" t="str">
        <f t="shared" si="2"/>
        <v/>
      </c>
      <c r="C1352" s="105"/>
      <c r="D1352" s="10"/>
      <c r="E1352" s="59" t="str">
        <f t="array" ref="E1352">IF(COUNTA(C1352:C1644)=0,"",SUM((COUNTIF(C$4:C1352,Upgrades!$B$3:$B$13)-COUNTIF(C$4:C1352,"Sell_"&amp;Upgrades!$B$3:$B$13))*Upgrades!$D$3:$D$13))</f>
        <v/>
      </c>
      <c r="F1352" s="66" t="str">
        <f>IFERROR(__xludf.DUMMYFUNCTION("IF(COUNTA(C1352:C1644)=0,"""",IF(REGEXMATCH(INDEX(FILTER(C$4:C1352,C$4:C1352&lt;&gt;""""),ROWS(FILTER(C$4:C1352,C$4:C1352&lt;&gt;""""))),""^Sell_""),INDEX(FILTER(F$4:F1351,C$4:C1351&lt;&gt;""""),ROWS(FILTER(C$4:C1351,C$4:C1351&lt;&gt;""""))),$AC$5+E1352))"),"")</f>
        <v/>
      </c>
      <c r="G1352" s="10" t="str">
        <f>IFERROR(__xludf.DUMMYFUNCTION("IF(COUNTA(C1352:C1644)=0,"""",IF(C1352="""",0,IF(REGEXMATCH(C1352,""^Sell_""),-ROUNDDOWN(ROUNDUP(INDEX(Upgrades!$C$3:$C$13,MATCH(SUBSTITUTE(C1352,""Sell_"",""""),Upgrades!$B$3:$B$13,0))*1.15^(COUNTIF(C$4:C1351,SUBSTITUTE(C1352,""Sell_"",""""))-COUNTIF(C$4"&amp;":C1351,""Sell_""&amp;SUBSTITUTE(C1352,""Sell_"",""""))))/2),ROUNDUP(INDEX(Upgrades!$C$3:$C$13,MATCH(C1352,Upgrades!$B$3:$B$13,0))*1.15^(COUNTIF(C$4:C1351,C1352)-COUNTIF(C$4:C1351,""Sell_""&amp;C1352))))))"),"")</f>
        <v/>
      </c>
      <c r="H1352" s="10" t="str">
        <f t="shared" si="3"/>
        <v/>
      </c>
      <c r="I1352" s="68" t="str">
        <f t="shared" si="4"/>
        <v/>
      </c>
      <c r="J1352" s="59" t="str">
        <f t="shared" si="5"/>
        <v/>
      </c>
      <c r="K1352" s="69" t="str">
        <f t="shared" si="6"/>
        <v/>
      </c>
      <c r="L1352" s="60" t="str">
        <f t="shared" si="7"/>
        <v/>
      </c>
      <c r="M1352" s="61" t="str">
        <f>IFERROR(__xludf.DUMMYFUNCTION("IFS(AND(COUNTA(C1352:C1644)=0,COUNTA(Q1352:Q1644)=0),"""",OR(AND(K1352&gt;=1000000000,OR(Y1352&gt;=1000000000,COUNTA(Q1352:Q1644)=0)),OR(Y1352&gt;=1000000000,AND(COUNTA(C1352:C1644)=0,P$3=TRUE))),
ROUNDDOWN((AB$1-AC$1)*MAX(INDEX(T$4:T1644,MATCH(LARGE(FILTER(Y$4:Y1"&amp;"644,Y$4:Y1644&lt;1000000000),1),Y$4:Y1644)),INDEX(F$4:F1644,MATCH(LARGE(FILTER(K$4:K1644,K$4:K1644&lt;1000000000),1),K$4:K1644)))),AND(K1352&lt;1000000000,COUNTA(C1352:C1644)&gt;0,P$3=FALSE),
ROUNDDOWN(INDEX(Y$4:Y1644,MATCH(LARGE(FILTER(W$4:W1644,W$4:W1644&lt;=I1352),1)"&amp;",W$4:W1644))+(I1352-LARGE(FILTER(W$4:W1644,W$4:W1644&lt;=I1352),1))*INDEX(T$4:T1644,MATCH(LARGE(FILTER(W$4:W1644,W$4:W1644&lt;=I1352),1),W$4:W1644))-K1352),1,
ROUNDDOWN(Y1352-INDEX(K$4:K1644,MATCH(LARGE(FILTER(I$4:I1644,I$4:I1644&lt;=W1352),1),I$4:I1644))-(W1352-L"&amp;"ARGE(FILTER(I$4:I1644,I$4:I1644&lt;=W1352),1))*INDEX(F$4:F1644,MATCH(LARGE(FILTER(I$4:I1644,I$4:I1644&lt;=W1352),1),I$4:I1644))))"),"")</f>
        <v/>
      </c>
      <c r="N1352" s="60" t="str">
        <f t="shared" si="8"/>
        <v/>
      </c>
      <c r="O1352" s="61" t="str">
        <f t="shared" si="9"/>
        <v/>
      </c>
      <c r="P1352" s="56" t="str">
        <f t="shared" si="10"/>
        <v/>
      </c>
      <c r="Q1352" s="105"/>
      <c r="R1352" s="10"/>
      <c r="S1352" s="59" t="str">
        <f t="array" ref="S1352">IF(COUNTA(Q1352:Q1644)=0,"",SUM((COUNTIF(Q$4:Q1352,Upgrades!$B$3:$B$13)-COUNTIF(Q$4:Q1352,"Sell_"&amp;Upgrades!$B$3:$B$13))*Upgrades!$D$3:$D$13))</f>
        <v/>
      </c>
      <c r="T1352" s="66" t="str">
        <f>IFERROR(__xludf.DUMMYFUNCTION("IF(COUNTA(Q1352:Q1644)=0,"""",IF(REGEXMATCH(INDEX(FILTER(Q$4:Q1352,Q$4:Q1352&lt;&gt;""""),ROWS(FILTER(Q$4:Q1352,Q$4:Q1352&lt;&gt;""""))),""^Sell_""),INDEX(FILTER(T$4:T1351,Q$4:Q1351&lt;&gt;""""),ROWS(FILTER(Q$4:Q1351,Q$4:Q1351&lt;&gt;""""))),$AD$5+S1352))"),"")</f>
        <v/>
      </c>
      <c r="U1352" s="10" t="str">
        <f>IFERROR(__xludf.DUMMYFUNCTION("IF(COUNTA(Q1352:Q1644)=0,"""",IF(Q1352="""",0,IF(REGEXMATCH(Q1352,""^Sell_""),-ROUNDDOWN(ROUNDUP(INDEX(Upgrades!$C$3:$C$13,MATCH(SUBSTITUTE(Q1352,""Sell_"",""""),Upgrades!$B$3:$B$13,0))*1.15^(COUNTIF(Q$4:Q1351,SUBSTITUTE(Q1352,""Sell_"",""""))-COUNTIF(Q$4"&amp;":Q1351,""Sell_""&amp;SUBSTITUTE(Q1352,""Sell_"",""""))))/2),ROUNDUP(INDEX(Upgrades!$C$3:$C$13,MATCH(Q1352,Upgrades!$B$3:$B$13,0))*1.15^(COUNTIF(Q$4:Q1351,Q1352)-COUNTIF(Q$4:Q1351,""Sell_""&amp;Q1352))))))"),"")</f>
        <v/>
      </c>
      <c r="V1352" s="10" t="str">
        <f t="shared" si="11"/>
        <v/>
      </c>
      <c r="W1352" s="68" t="str">
        <f t="shared" si="12"/>
        <v/>
      </c>
      <c r="X1352" s="59" t="str">
        <f t="shared" si="13"/>
        <v/>
      </c>
      <c r="Y1352" s="69" t="str">
        <f t="shared" si="14"/>
        <v/>
      </c>
      <c r="Z1352" s="11"/>
      <c r="AG1352" s="59"/>
    </row>
    <row r="1353">
      <c r="A1353" s="8"/>
      <c r="B1353" s="56" t="str">
        <f t="shared" si="2"/>
        <v/>
      </c>
      <c r="C1353" s="105"/>
      <c r="D1353" s="10"/>
      <c r="E1353" s="59" t="str">
        <f t="array" ref="E1353">IF(COUNTA(C1353:C1644)=0,"",SUM((COUNTIF(C$4:C1353,Upgrades!$B$3:$B$13)-COUNTIF(C$4:C1353,"Sell_"&amp;Upgrades!$B$3:$B$13))*Upgrades!$D$3:$D$13))</f>
        <v/>
      </c>
      <c r="F1353" s="66" t="str">
        <f>IFERROR(__xludf.DUMMYFUNCTION("IF(COUNTA(C1353:C1644)=0,"""",IF(REGEXMATCH(INDEX(FILTER(C$4:C1353,C$4:C1353&lt;&gt;""""),ROWS(FILTER(C$4:C1353,C$4:C1353&lt;&gt;""""))),""^Sell_""),INDEX(FILTER(F$4:F1352,C$4:C1352&lt;&gt;""""),ROWS(FILTER(C$4:C1352,C$4:C1352&lt;&gt;""""))),$AC$5+E1353))"),"")</f>
        <v/>
      </c>
      <c r="G1353" s="10" t="str">
        <f>IFERROR(__xludf.DUMMYFUNCTION("IF(COUNTA(C1353:C1644)=0,"""",IF(C1353="""",0,IF(REGEXMATCH(C1353,""^Sell_""),-ROUNDDOWN(ROUNDUP(INDEX(Upgrades!$C$3:$C$13,MATCH(SUBSTITUTE(C1353,""Sell_"",""""),Upgrades!$B$3:$B$13,0))*1.15^(COUNTIF(C$4:C1352,SUBSTITUTE(C1353,""Sell_"",""""))-COUNTIF(C$4"&amp;":C1352,""Sell_""&amp;SUBSTITUTE(C1353,""Sell_"",""""))))/2),ROUNDUP(INDEX(Upgrades!$C$3:$C$13,MATCH(C1353,Upgrades!$B$3:$B$13,0))*1.15^(COUNTIF(C$4:C1352,C1353)-COUNTIF(C$4:C1352,""Sell_""&amp;C1353))))))"),"")</f>
        <v/>
      </c>
      <c r="H1353" s="10" t="str">
        <f t="shared" si="3"/>
        <v/>
      </c>
      <c r="I1353" s="68" t="str">
        <f t="shared" si="4"/>
        <v/>
      </c>
      <c r="J1353" s="59" t="str">
        <f t="shared" si="5"/>
        <v/>
      </c>
      <c r="K1353" s="69" t="str">
        <f t="shared" si="6"/>
        <v/>
      </c>
      <c r="L1353" s="60" t="str">
        <f t="shared" si="7"/>
        <v/>
      </c>
      <c r="M1353" s="61" t="str">
        <f>IFERROR(__xludf.DUMMYFUNCTION("IFS(AND(COUNTA(C1353:C1644)=0,COUNTA(Q1353:Q1644)=0),"""",OR(AND(K1353&gt;=1000000000,OR(Y1353&gt;=1000000000,COUNTA(Q1353:Q1644)=0)),OR(Y1353&gt;=1000000000,AND(COUNTA(C1353:C1644)=0,P$3=TRUE))),
ROUNDDOWN((AB$1-AC$1)*MAX(INDEX(T$4:T1644,MATCH(LARGE(FILTER(Y$4:Y1"&amp;"644,Y$4:Y1644&lt;1000000000),1),Y$4:Y1644)),INDEX(F$4:F1644,MATCH(LARGE(FILTER(K$4:K1644,K$4:K1644&lt;1000000000),1),K$4:K1644)))),AND(K1353&lt;1000000000,COUNTA(C1353:C1644)&gt;0,P$3=FALSE),
ROUNDDOWN(INDEX(Y$4:Y1644,MATCH(LARGE(FILTER(W$4:W1644,W$4:W1644&lt;=I1353),1)"&amp;",W$4:W1644))+(I1353-LARGE(FILTER(W$4:W1644,W$4:W1644&lt;=I1353),1))*INDEX(T$4:T1644,MATCH(LARGE(FILTER(W$4:W1644,W$4:W1644&lt;=I1353),1),W$4:W1644))-K1353),1,
ROUNDDOWN(Y1353-INDEX(K$4:K1644,MATCH(LARGE(FILTER(I$4:I1644,I$4:I1644&lt;=W1353),1),I$4:I1644))-(W1353-L"&amp;"ARGE(FILTER(I$4:I1644,I$4:I1644&lt;=W1353),1))*INDEX(F$4:F1644,MATCH(LARGE(FILTER(I$4:I1644,I$4:I1644&lt;=W1353),1),I$4:I1644))))"),"")</f>
        <v/>
      </c>
      <c r="N1353" s="60" t="str">
        <f t="shared" si="8"/>
        <v/>
      </c>
      <c r="O1353" s="61" t="str">
        <f t="shared" si="9"/>
        <v/>
      </c>
      <c r="P1353" s="56" t="str">
        <f t="shared" si="10"/>
        <v/>
      </c>
      <c r="Q1353" s="105"/>
      <c r="R1353" s="10"/>
      <c r="S1353" s="59" t="str">
        <f t="array" ref="S1353">IF(COUNTA(Q1353:Q1644)=0,"",SUM((COUNTIF(Q$4:Q1353,Upgrades!$B$3:$B$13)-COUNTIF(Q$4:Q1353,"Sell_"&amp;Upgrades!$B$3:$B$13))*Upgrades!$D$3:$D$13))</f>
        <v/>
      </c>
      <c r="T1353" s="66" t="str">
        <f>IFERROR(__xludf.DUMMYFUNCTION("IF(COUNTA(Q1353:Q1644)=0,"""",IF(REGEXMATCH(INDEX(FILTER(Q$4:Q1353,Q$4:Q1353&lt;&gt;""""),ROWS(FILTER(Q$4:Q1353,Q$4:Q1353&lt;&gt;""""))),""^Sell_""),INDEX(FILTER(T$4:T1352,Q$4:Q1352&lt;&gt;""""),ROWS(FILTER(Q$4:Q1352,Q$4:Q1352&lt;&gt;""""))),$AD$5+S1353))"),"")</f>
        <v/>
      </c>
      <c r="U1353" s="10" t="str">
        <f>IFERROR(__xludf.DUMMYFUNCTION("IF(COUNTA(Q1353:Q1644)=0,"""",IF(Q1353="""",0,IF(REGEXMATCH(Q1353,""^Sell_""),-ROUNDDOWN(ROUNDUP(INDEX(Upgrades!$C$3:$C$13,MATCH(SUBSTITUTE(Q1353,""Sell_"",""""),Upgrades!$B$3:$B$13,0))*1.15^(COUNTIF(Q$4:Q1352,SUBSTITUTE(Q1353,""Sell_"",""""))-COUNTIF(Q$4"&amp;":Q1352,""Sell_""&amp;SUBSTITUTE(Q1353,""Sell_"",""""))))/2),ROUNDUP(INDEX(Upgrades!$C$3:$C$13,MATCH(Q1353,Upgrades!$B$3:$B$13,0))*1.15^(COUNTIF(Q$4:Q1352,Q1353)-COUNTIF(Q$4:Q1352,""Sell_""&amp;Q1353))))))"),"")</f>
        <v/>
      </c>
      <c r="V1353" s="10" t="str">
        <f t="shared" si="11"/>
        <v/>
      </c>
      <c r="W1353" s="68" t="str">
        <f t="shared" si="12"/>
        <v/>
      </c>
      <c r="X1353" s="59" t="str">
        <f t="shared" si="13"/>
        <v/>
      </c>
      <c r="Y1353" s="69" t="str">
        <f t="shared" si="14"/>
        <v/>
      </c>
      <c r="Z1353" s="11"/>
      <c r="AG1353" s="59"/>
    </row>
    <row r="1354">
      <c r="A1354" s="8"/>
      <c r="B1354" s="56" t="str">
        <f t="shared" si="2"/>
        <v/>
      </c>
      <c r="C1354" s="105"/>
      <c r="D1354" s="10"/>
      <c r="E1354" s="59" t="str">
        <f t="array" ref="E1354">IF(COUNTA(C1354:C1644)=0,"",SUM((COUNTIF(C$4:C1354,Upgrades!$B$3:$B$13)-COUNTIF(C$4:C1354,"Sell_"&amp;Upgrades!$B$3:$B$13))*Upgrades!$D$3:$D$13))</f>
        <v/>
      </c>
      <c r="F1354" s="66" t="str">
        <f>IFERROR(__xludf.DUMMYFUNCTION("IF(COUNTA(C1354:C1644)=0,"""",IF(REGEXMATCH(INDEX(FILTER(C$4:C1354,C$4:C1354&lt;&gt;""""),ROWS(FILTER(C$4:C1354,C$4:C1354&lt;&gt;""""))),""^Sell_""),INDEX(FILTER(F$4:F1353,C$4:C1353&lt;&gt;""""),ROWS(FILTER(C$4:C1353,C$4:C1353&lt;&gt;""""))),$AC$5+E1354))"),"")</f>
        <v/>
      </c>
      <c r="G1354" s="10" t="str">
        <f>IFERROR(__xludf.DUMMYFUNCTION("IF(COUNTA(C1354:C1644)=0,"""",IF(C1354="""",0,IF(REGEXMATCH(C1354,""^Sell_""),-ROUNDDOWN(ROUNDUP(INDEX(Upgrades!$C$3:$C$13,MATCH(SUBSTITUTE(C1354,""Sell_"",""""),Upgrades!$B$3:$B$13,0))*1.15^(COUNTIF(C$4:C1353,SUBSTITUTE(C1354,""Sell_"",""""))-COUNTIF(C$4"&amp;":C1353,""Sell_""&amp;SUBSTITUTE(C1354,""Sell_"",""""))))/2),ROUNDUP(INDEX(Upgrades!$C$3:$C$13,MATCH(C1354,Upgrades!$B$3:$B$13,0))*1.15^(COUNTIF(C$4:C1353,C1354)-COUNTIF(C$4:C1353,""Sell_""&amp;C1354))))))"),"")</f>
        <v/>
      </c>
      <c r="H1354" s="10" t="str">
        <f t="shared" si="3"/>
        <v/>
      </c>
      <c r="I1354" s="68" t="str">
        <f t="shared" si="4"/>
        <v/>
      </c>
      <c r="J1354" s="59" t="str">
        <f t="shared" si="5"/>
        <v/>
      </c>
      <c r="K1354" s="69" t="str">
        <f t="shared" si="6"/>
        <v/>
      </c>
      <c r="L1354" s="60" t="str">
        <f t="shared" si="7"/>
        <v/>
      </c>
      <c r="M1354" s="61" t="str">
        <f>IFERROR(__xludf.DUMMYFUNCTION("IFS(AND(COUNTA(C1354:C1644)=0,COUNTA(Q1354:Q1644)=0),"""",OR(AND(K1354&gt;=1000000000,OR(Y1354&gt;=1000000000,COUNTA(Q1354:Q1644)=0)),OR(Y1354&gt;=1000000000,AND(COUNTA(C1354:C1644)=0,P$3=TRUE))),
ROUNDDOWN((AB$1-AC$1)*MAX(INDEX(T$4:T1644,MATCH(LARGE(FILTER(Y$4:Y1"&amp;"644,Y$4:Y1644&lt;1000000000),1),Y$4:Y1644)),INDEX(F$4:F1644,MATCH(LARGE(FILTER(K$4:K1644,K$4:K1644&lt;1000000000),1),K$4:K1644)))),AND(K1354&lt;1000000000,COUNTA(C1354:C1644)&gt;0,P$3=FALSE),
ROUNDDOWN(INDEX(Y$4:Y1644,MATCH(LARGE(FILTER(W$4:W1644,W$4:W1644&lt;=I1354),1)"&amp;",W$4:W1644))+(I1354-LARGE(FILTER(W$4:W1644,W$4:W1644&lt;=I1354),1))*INDEX(T$4:T1644,MATCH(LARGE(FILTER(W$4:W1644,W$4:W1644&lt;=I1354),1),W$4:W1644))-K1354),1,
ROUNDDOWN(Y1354-INDEX(K$4:K1644,MATCH(LARGE(FILTER(I$4:I1644,I$4:I1644&lt;=W1354),1),I$4:I1644))-(W1354-L"&amp;"ARGE(FILTER(I$4:I1644,I$4:I1644&lt;=W1354),1))*INDEX(F$4:F1644,MATCH(LARGE(FILTER(I$4:I1644,I$4:I1644&lt;=W1354),1),I$4:I1644))))"),"")</f>
        <v/>
      </c>
      <c r="N1354" s="60" t="str">
        <f t="shared" si="8"/>
        <v/>
      </c>
      <c r="O1354" s="61" t="str">
        <f t="shared" si="9"/>
        <v/>
      </c>
      <c r="P1354" s="56" t="str">
        <f t="shared" si="10"/>
        <v/>
      </c>
      <c r="Q1354" s="105"/>
      <c r="R1354" s="10"/>
      <c r="S1354" s="59" t="str">
        <f t="array" ref="S1354">IF(COUNTA(Q1354:Q1644)=0,"",SUM((COUNTIF(Q$4:Q1354,Upgrades!$B$3:$B$13)-COUNTIF(Q$4:Q1354,"Sell_"&amp;Upgrades!$B$3:$B$13))*Upgrades!$D$3:$D$13))</f>
        <v/>
      </c>
      <c r="T1354" s="66" t="str">
        <f>IFERROR(__xludf.DUMMYFUNCTION("IF(COUNTA(Q1354:Q1644)=0,"""",IF(REGEXMATCH(INDEX(FILTER(Q$4:Q1354,Q$4:Q1354&lt;&gt;""""),ROWS(FILTER(Q$4:Q1354,Q$4:Q1354&lt;&gt;""""))),""^Sell_""),INDEX(FILTER(T$4:T1353,Q$4:Q1353&lt;&gt;""""),ROWS(FILTER(Q$4:Q1353,Q$4:Q1353&lt;&gt;""""))),$AD$5+S1354))"),"")</f>
        <v/>
      </c>
      <c r="U1354" s="10" t="str">
        <f>IFERROR(__xludf.DUMMYFUNCTION("IF(COUNTA(Q1354:Q1644)=0,"""",IF(Q1354="""",0,IF(REGEXMATCH(Q1354,""^Sell_""),-ROUNDDOWN(ROUNDUP(INDEX(Upgrades!$C$3:$C$13,MATCH(SUBSTITUTE(Q1354,""Sell_"",""""),Upgrades!$B$3:$B$13,0))*1.15^(COUNTIF(Q$4:Q1353,SUBSTITUTE(Q1354,""Sell_"",""""))-COUNTIF(Q$4"&amp;":Q1353,""Sell_""&amp;SUBSTITUTE(Q1354,""Sell_"",""""))))/2),ROUNDUP(INDEX(Upgrades!$C$3:$C$13,MATCH(Q1354,Upgrades!$B$3:$B$13,0))*1.15^(COUNTIF(Q$4:Q1353,Q1354)-COUNTIF(Q$4:Q1353,""Sell_""&amp;Q1354))))))"),"")</f>
        <v/>
      </c>
      <c r="V1354" s="10" t="str">
        <f t="shared" si="11"/>
        <v/>
      </c>
      <c r="W1354" s="68" t="str">
        <f t="shared" si="12"/>
        <v/>
      </c>
      <c r="X1354" s="59" t="str">
        <f t="shared" si="13"/>
        <v/>
      </c>
      <c r="Y1354" s="69" t="str">
        <f t="shared" si="14"/>
        <v/>
      </c>
      <c r="Z1354" s="11"/>
      <c r="AG1354" s="59"/>
    </row>
    <row r="1355">
      <c r="A1355" s="8"/>
      <c r="B1355" s="56" t="str">
        <f t="shared" si="2"/>
        <v/>
      </c>
      <c r="C1355" s="105"/>
      <c r="D1355" s="10"/>
      <c r="E1355" s="59" t="str">
        <f t="array" ref="E1355">IF(COUNTA(C1355:C1644)=0,"",SUM((COUNTIF(C$4:C1355,Upgrades!$B$3:$B$13)-COUNTIF(C$4:C1355,"Sell_"&amp;Upgrades!$B$3:$B$13))*Upgrades!$D$3:$D$13))</f>
        <v/>
      </c>
      <c r="F1355" s="66" t="str">
        <f>IFERROR(__xludf.DUMMYFUNCTION("IF(COUNTA(C1355:C1644)=0,"""",IF(REGEXMATCH(INDEX(FILTER(C$4:C1355,C$4:C1355&lt;&gt;""""),ROWS(FILTER(C$4:C1355,C$4:C1355&lt;&gt;""""))),""^Sell_""),INDEX(FILTER(F$4:F1354,C$4:C1354&lt;&gt;""""),ROWS(FILTER(C$4:C1354,C$4:C1354&lt;&gt;""""))),$AC$5+E1355))"),"")</f>
        <v/>
      </c>
      <c r="G1355" s="10" t="str">
        <f>IFERROR(__xludf.DUMMYFUNCTION("IF(COUNTA(C1355:C1644)=0,"""",IF(C1355="""",0,IF(REGEXMATCH(C1355,""^Sell_""),-ROUNDDOWN(ROUNDUP(INDEX(Upgrades!$C$3:$C$13,MATCH(SUBSTITUTE(C1355,""Sell_"",""""),Upgrades!$B$3:$B$13,0))*1.15^(COUNTIF(C$4:C1354,SUBSTITUTE(C1355,""Sell_"",""""))-COUNTIF(C$4"&amp;":C1354,""Sell_""&amp;SUBSTITUTE(C1355,""Sell_"",""""))))/2),ROUNDUP(INDEX(Upgrades!$C$3:$C$13,MATCH(C1355,Upgrades!$B$3:$B$13,0))*1.15^(COUNTIF(C$4:C1354,C1355)-COUNTIF(C$4:C1354,""Sell_""&amp;C1355))))))"),"")</f>
        <v/>
      </c>
      <c r="H1355" s="10" t="str">
        <f t="shared" si="3"/>
        <v/>
      </c>
      <c r="I1355" s="68" t="str">
        <f t="shared" si="4"/>
        <v/>
      </c>
      <c r="J1355" s="59" t="str">
        <f t="shared" si="5"/>
        <v/>
      </c>
      <c r="K1355" s="69" t="str">
        <f t="shared" si="6"/>
        <v/>
      </c>
      <c r="L1355" s="60" t="str">
        <f t="shared" si="7"/>
        <v/>
      </c>
      <c r="M1355" s="61" t="str">
        <f>IFERROR(__xludf.DUMMYFUNCTION("IFS(AND(COUNTA(C1355:C1644)=0,COUNTA(Q1355:Q1644)=0),"""",OR(AND(K1355&gt;=1000000000,OR(Y1355&gt;=1000000000,COUNTA(Q1355:Q1644)=0)),OR(Y1355&gt;=1000000000,AND(COUNTA(C1355:C1644)=0,P$3=TRUE))),
ROUNDDOWN((AB$1-AC$1)*MAX(INDEX(T$4:T1644,MATCH(LARGE(FILTER(Y$4:Y1"&amp;"644,Y$4:Y1644&lt;1000000000),1),Y$4:Y1644)),INDEX(F$4:F1644,MATCH(LARGE(FILTER(K$4:K1644,K$4:K1644&lt;1000000000),1),K$4:K1644)))),AND(K1355&lt;1000000000,COUNTA(C1355:C1644)&gt;0,P$3=FALSE),
ROUNDDOWN(INDEX(Y$4:Y1644,MATCH(LARGE(FILTER(W$4:W1644,W$4:W1644&lt;=I1355),1)"&amp;",W$4:W1644))+(I1355-LARGE(FILTER(W$4:W1644,W$4:W1644&lt;=I1355),1))*INDEX(T$4:T1644,MATCH(LARGE(FILTER(W$4:W1644,W$4:W1644&lt;=I1355),1),W$4:W1644))-K1355),1,
ROUNDDOWN(Y1355-INDEX(K$4:K1644,MATCH(LARGE(FILTER(I$4:I1644,I$4:I1644&lt;=W1355),1),I$4:I1644))-(W1355-L"&amp;"ARGE(FILTER(I$4:I1644,I$4:I1644&lt;=W1355),1))*INDEX(F$4:F1644,MATCH(LARGE(FILTER(I$4:I1644,I$4:I1644&lt;=W1355),1),I$4:I1644))))"),"")</f>
        <v/>
      </c>
      <c r="N1355" s="60" t="str">
        <f t="shared" si="8"/>
        <v/>
      </c>
      <c r="O1355" s="61" t="str">
        <f t="shared" si="9"/>
        <v/>
      </c>
      <c r="P1355" s="56" t="str">
        <f t="shared" si="10"/>
        <v/>
      </c>
      <c r="Q1355" s="105"/>
      <c r="R1355" s="10"/>
      <c r="S1355" s="59" t="str">
        <f t="array" ref="S1355">IF(COUNTA(Q1355:Q1644)=0,"",SUM((COUNTIF(Q$4:Q1355,Upgrades!$B$3:$B$13)-COUNTIF(Q$4:Q1355,"Sell_"&amp;Upgrades!$B$3:$B$13))*Upgrades!$D$3:$D$13))</f>
        <v/>
      </c>
      <c r="T1355" s="66" t="str">
        <f>IFERROR(__xludf.DUMMYFUNCTION("IF(COUNTA(Q1355:Q1644)=0,"""",IF(REGEXMATCH(INDEX(FILTER(Q$4:Q1355,Q$4:Q1355&lt;&gt;""""),ROWS(FILTER(Q$4:Q1355,Q$4:Q1355&lt;&gt;""""))),""^Sell_""),INDEX(FILTER(T$4:T1354,Q$4:Q1354&lt;&gt;""""),ROWS(FILTER(Q$4:Q1354,Q$4:Q1354&lt;&gt;""""))),$AD$5+S1355))"),"")</f>
        <v/>
      </c>
      <c r="U1355" s="10" t="str">
        <f>IFERROR(__xludf.DUMMYFUNCTION("IF(COUNTA(Q1355:Q1644)=0,"""",IF(Q1355="""",0,IF(REGEXMATCH(Q1355,""^Sell_""),-ROUNDDOWN(ROUNDUP(INDEX(Upgrades!$C$3:$C$13,MATCH(SUBSTITUTE(Q1355,""Sell_"",""""),Upgrades!$B$3:$B$13,0))*1.15^(COUNTIF(Q$4:Q1354,SUBSTITUTE(Q1355,""Sell_"",""""))-COUNTIF(Q$4"&amp;":Q1354,""Sell_""&amp;SUBSTITUTE(Q1355,""Sell_"",""""))))/2),ROUNDUP(INDEX(Upgrades!$C$3:$C$13,MATCH(Q1355,Upgrades!$B$3:$B$13,0))*1.15^(COUNTIF(Q$4:Q1354,Q1355)-COUNTIF(Q$4:Q1354,""Sell_""&amp;Q1355))))))"),"")</f>
        <v/>
      </c>
      <c r="V1355" s="10" t="str">
        <f t="shared" si="11"/>
        <v/>
      </c>
      <c r="W1355" s="68" t="str">
        <f t="shared" si="12"/>
        <v/>
      </c>
      <c r="X1355" s="59" t="str">
        <f t="shared" si="13"/>
        <v/>
      </c>
      <c r="Y1355" s="69" t="str">
        <f t="shared" si="14"/>
        <v/>
      </c>
      <c r="Z1355" s="11"/>
      <c r="AG1355" s="59"/>
    </row>
    <row r="1356">
      <c r="A1356" s="8"/>
      <c r="B1356" s="56" t="str">
        <f t="shared" si="2"/>
        <v/>
      </c>
      <c r="C1356" s="105"/>
      <c r="D1356" s="10"/>
      <c r="E1356" s="59" t="str">
        <f t="array" ref="E1356">IF(COUNTA(C1356:C1644)=0,"",SUM((COUNTIF(C$4:C1356,Upgrades!$B$3:$B$13)-COUNTIF(C$4:C1356,"Sell_"&amp;Upgrades!$B$3:$B$13))*Upgrades!$D$3:$D$13))</f>
        <v/>
      </c>
      <c r="F1356" s="66" t="str">
        <f>IFERROR(__xludf.DUMMYFUNCTION("IF(COUNTA(C1356:C1644)=0,"""",IF(REGEXMATCH(INDEX(FILTER(C$4:C1356,C$4:C1356&lt;&gt;""""),ROWS(FILTER(C$4:C1356,C$4:C1356&lt;&gt;""""))),""^Sell_""),INDEX(FILTER(F$4:F1355,C$4:C1355&lt;&gt;""""),ROWS(FILTER(C$4:C1355,C$4:C1355&lt;&gt;""""))),$AC$5+E1356))"),"")</f>
        <v/>
      </c>
      <c r="G1356" s="10" t="str">
        <f>IFERROR(__xludf.DUMMYFUNCTION("IF(COUNTA(C1356:C1644)=0,"""",IF(C1356="""",0,IF(REGEXMATCH(C1356,""^Sell_""),-ROUNDDOWN(ROUNDUP(INDEX(Upgrades!$C$3:$C$13,MATCH(SUBSTITUTE(C1356,""Sell_"",""""),Upgrades!$B$3:$B$13,0))*1.15^(COUNTIF(C$4:C1355,SUBSTITUTE(C1356,""Sell_"",""""))-COUNTIF(C$4"&amp;":C1355,""Sell_""&amp;SUBSTITUTE(C1356,""Sell_"",""""))))/2),ROUNDUP(INDEX(Upgrades!$C$3:$C$13,MATCH(C1356,Upgrades!$B$3:$B$13,0))*1.15^(COUNTIF(C$4:C1355,C1356)-COUNTIF(C$4:C1355,""Sell_""&amp;C1356))))))"),"")</f>
        <v/>
      </c>
      <c r="H1356" s="10" t="str">
        <f t="shared" si="3"/>
        <v/>
      </c>
      <c r="I1356" s="68" t="str">
        <f t="shared" si="4"/>
        <v/>
      </c>
      <c r="J1356" s="59" t="str">
        <f t="shared" si="5"/>
        <v/>
      </c>
      <c r="K1356" s="69" t="str">
        <f t="shared" si="6"/>
        <v/>
      </c>
      <c r="L1356" s="60" t="str">
        <f t="shared" si="7"/>
        <v/>
      </c>
      <c r="M1356" s="61" t="str">
        <f>IFERROR(__xludf.DUMMYFUNCTION("IFS(AND(COUNTA(C1356:C1644)=0,COUNTA(Q1356:Q1644)=0),"""",OR(AND(K1356&gt;=1000000000,OR(Y1356&gt;=1000000000,COUNTA(Q1356:Q1644)=0)),OR(Y1356&gt;=1000000000,AND(COUNTA(C1356:C1644)=0,P$3=TRUE))),
ROUNDDOWN((AB$1-AC$1)*MAX(INDEX(T$4:T1644,MATCH(LARGE(FILTER(Y$4:Y1"&amp;"644,Y$4:Y1644&lt;1000000000),1),Y$4:Y1644)),INDEX(F$4:F1644,MATCH(LARGE(FILTER(K$4:K1644,K$4:K1644&lt;1000000000),1),K$4:K1644)))),AND(K1356&lt;1000000000,COUNTA(C1356:C1644)&gt;0,P$3=FALSE),
ROUNDDOWN(INDEX(Y$4:Y1644,MATCH(LARGE(FILTER(W$4:W1644,W$4:W1644&lt;=I1356),1)"&amp;",W$4:W1644))+(I1356-LARGE(FILTER(W$4:W1644,W$4:W1644&lt;=I1356),1))*INDEX(T$4:T1644,MATCH(LARGE(FILTER(W$4:W1644,W$4:W1644&lt;=I1356),1),W$4:W1644))-K1356),1,
ROUNDDOWN(Y1356-INDEX(K$4:K1644,MATCH(LARGE(FILTER(I$4:I1644,I$4:I1644&lt;=W1356),1),I$4:I1644))-(W1356-L"&amp;"ARGE(FILTER(I$4:I1644,I$4:I1644&lt;=W1356),1))*INDEX(F$4:F1644,MATCH(LARGE(FILTER(I$4:I1644,I$4:I1644&lt;=W1356),1),I$4:I1644))))"),"")</f>
        <v/>
      </c>
      <c r="N1356" s="60" t="str">
        <f t="shared" si="8"/>
        <v/>
      </c>
      <c r="O1356" s="61" t="str">
        <f t="shared" si="9"/>
        <v/>
      </c>
      <c r="P1356" s="56" t="str">
        <f t="shared" si="10"/>
        <v/>
      </c>
      <c r="Q1356" s="105"/>
      <c r="R1356" s="10"/>
      <c r="S1356" s="59" t="str">
        <f t="array" ref="S1356">IF(COUNTA(Q1356:Q1644)=0,"",SUM((COUNTIF(Q$4:Q1356,Upgrades!$B$3:$B$13)-COUNTIF(Q$4:Q1356,"Sell_"&amp;Upgrades!$B$3:$B$13))*Upgrades!$D$3:$D$13))</f>
        <v/>
      </c>
      <c r="T1356" s="66" t="str">
        <f>IFERROR(__xludf.DUMMYFUNCTION("IF(COUNTA(Q1356:Q1644)=0,"""",IF(REGEXMATCH(INDEX(FILTER(Q$4:Q1356,Q$4:Q1356&lt;&gt;""""),ROWS(FILTER(Q$4:Q1356,Q$4:Q1356&lt;&gt;""""))),""^Sell_""),INDEX(FILTER(T$4:T1355,Q$4:Q1355&lt;&gt;""""),ROWS(FILTER(Q$4:Q1355,Q$4:Q1355&lt;&gt;""""))),$AD$5+S1356))"),"")</f>
        <v/>
      </c>
      <c r="U1356" s="10" t="str">
        <f>IFERROR(__xludf.DUMMYFUNCTION("IF(COUNTA(Q1356:Q1644)=0,"""",IF(Q1356="""",0,IF(REGEXMATCH(Q1356,""^Sell_""),-ROUNDDOWN(ROUNDUP(INDEX(Upgrades!$C$3:$C$13,MATCH(SUBSTITUTE(Q1356,""Sell_"",""""),Upgrades!$B$3:$B$13,0))*1.15^(COUNTIF(Q$4:Q1355,SUBSTITUTE(Q1356,""Sell_"",""""))-COUNTIF(Q$4"&amp;":Q1355,""Sell_""&amp;SUBSTITUTE(Q1356,""Sell_"",""""))))/2),ROUNDUP(INDEX(Upgrades!$C$3:$C$13,MATCH(Q1356,Upgrades!$B$3:$B$13,0))*1.15^(COUNTIF(Q$4:Q1355,Q1356)-COUNTIF(Q$4:Q1355,""Sell_""&amp;Q1356))))))"),"")</f>
        <v/>
      </c>
      <c r="V1356" s="10" t="str">
        <f t="shared" si="11"/>
        <v/>
      </c>
      <c r="W1356" s="68" t="str">
        <f t="shared" si="12"/>
        <v/>
      </c>
      <c r="X1356" s="59" t="str">
        <f t="shared" si="13"/>
        <v/>
      </c>
      <c r="Y1356" s="69" t="str">
        <f t="shared" si="14"/>
        <v/>
      </c>
      <c r="Z1356" s="11"/>
      <c r="AG1356" s="59"/>
    </row>
    <row r="1357">
      <c r="A1357" s="8"/>
      <c r="B1357" s="56" t="str">
        <f t="shared" si="2"/>
        <v/>
      </c>
      <c r="C1357" s="105"/>
      <c r="D1357" s="10"/>
      <c r="E1357" s="59" t="str">
        <f t="array" ref="E1357">IF(COUNTA(C1357:C1644)=0,"",SUM((COUNTIF(C$4:C1357,Upgrades!$B$3:$B$13)-COUNTIF(C$4:C1357,"Sell_"&amp;Upgrades!$B$3:$B$13))*Upgrades!$D$3:$D$13))</f>
        <v/>
      </c>
      <c r="F1357" s="66" t="str">
        <f>IFERROR(__xludf.DUMMYFUNCTION("IF(COUNTA(C1357:C1644)=0,"""",IF(REGEXMATCH(INDEX(FILTER(C$4:C1357,C$4:C1357&lt;&gt;""""),ROWS(FILTER(C$4:C1357,C$4:C1357&lt;&gt;""""))),""^Sell_""),INDEX(FILTER(F$4:F1356,C$4:C1356&lt;&gt;""""),ROWS(FILTER(C$4:C1356,C$4:C1356&lt;&gt;""""))),$AC$5+E1357))"),"")</f>
        <v/>
      </c>
      <c r="G1357" s="10" t="str">
        <f>IFERROR(__xludf.DUMMYFUNCTION("IF(COUNTA(C1357:C1644)=0,"""",IF(C1357="""",0,IF(REGEXMATCH(C1357,""^Sell_""),-ROUNDDOWN(ROUNDUP(INDEX(Upgrades!$C$3:$C$13,MATCH(SUBSTITUTE(C1357,""Sell_"",""""),Upgrades!$B$3:$B$13,0))*1.15^(COUNTIF(C$4:C1356,SUBSTITUTE(C1357,""Sell_"",""""))-COUNTIF(C$4"&amp;":C1356,""Sell_""&amp;SUBSTITUTE(C1357,""Sell_"",""""))))/2),ROUNDUP(INDEX(Upgrades!$C$3:$C$13,MATCH(C1357,Upgrades!$B$3:$B$13,0))*1.15^(COUNTIF(C$4:C1356,C1357)-COUNTIF(C$4:C1356,""Sell_""&amp;C1357))))))"),"")</f>
        <v/>
      </c>
      <c r="H1357" s="10" t="str">
        <f t="shared" si="3"/>
        <v/>
      </c>
      <c r="I1357" s="68" t="str">
        <f t="shared" si="4"/>
        <v/>
      </c>
      <c r="J1357" s="59" t="str">
        <f t="shared" si="5"/>
        <v/>
      </c>
      <c r="K1357" s="69" t="str">
        <f t="shared" si="6"/>
        <v/>
      </c>
      <c r="L1357" s="60" t="str">
        <f t="shared" si="7"/>
        <v/>
      </c>
      <c r="M1357" s="61" t="str">
        <f>IFERROR(__xludf.DUMMYFUNCTION("IFS(AND(COUNTA(C1357:C1644)=0,COUNTA(Q1357:Q1644)=0),"""",OR(AND(K1357&gt;=1000000000,OR(Y1357&gt;=1000000000,COUNTA(Q1357:Q1644)=0)),OR(Y1357&gt;=1000000000,AND(COUNTA(C1357:C1644)=0,P$3=TRUE))),
ROUNDDOWN((AB$1-AC$1)*MAX(INDEX(T$4:T1644,MATCH(LARGE(FILTER(Y$4:Y1"&amp;"644,Y$4:Y1644&lt;1000000000),1),Y$4:Y1644)),INDEX(F$4:F1644,MATCH(LARGE(FILTER(K$4:K1644,K$4:K1644&lt;1000000000),1),K$4:K1644)))),AND(K1357&lt;1000000000,COUNTA(C1357:C1644)&gt;0,P$3=FALSE),
ROUNDDOWN(INDEX(Y$4:Y1644,MATCH(LARGE(FILTER(W$4:W1644,W$4:W1644&lt;=I1357),1)"&amp;",W$4:W1644))+(I1357-LARGE(FILTER(W$4:W1644,W$4:W1644&lt;=I1357),1))*INDEX(T$4:T1644,MATCH(LARGE(FILTER(W$4:W1644,W$4:W1644&lt;=I1357),1),W$4:W1644))-K1357),1,
ROUNDDOWN(Y1357-INDEX(K$4:K1644,MATCH(LARGE(FILTER(I$4:I1644,I$4:I1644&lt;=W1357),1),I$4:I1644))-(W1357-L"&amp;"ARGE(FILTER(I$4:I1644,I$4:I1644&lt;=W1357),1))*INDEX(F$4:F1644,MATCH(LARGE(FILTER(I$4:I1644,I$4:I1644&lt;=W1357),1),I$4:I1644))))"),"")</f>
        <v/>
      </c>
      <c r="N1357" s="60" t="str">
        <f t="shared" si="8"/>
        <v/>
      </c>
      <c r="O1357" s="61" t="str">
        <f t="shared" si="9"/>
        <v/>
      </c>
      <c r="P1357" s="56" t="str">
        <f t="shared" si="10"/>
        <v/>
      </c>
      <c r="Q1357" s="105"/>
      <c r="R1357" s="10"/>
      <c r="S1357" s="59" t="str">
        <f t="array" ref="S1357">IF(COUNTA(Q1357:Q1644)=0,"",SUM((COUNTIF(Q$4:Q1357,Upgrades!$B$3:$B$13)-COUNTIF(Q$4:Q1357,"Sell_"&amp;Upgrades!$B$3:$B$13))*Upgrades!$D$3:$D$13))</f>
        <v/>
      </c>
      <c r="T1357" s="66" t="str">
        <f>IFERROR(__xludf.DUMMYFUNCTION("IF(COUNTA(Q1357:Q1644)=0,"""",IF(REGEXMATCH(INDEX(FILTER(Q$4:Q1357,Q$4:Q1357&lt;&gt;""""),ROWS(FILTER(Q$4:Q1357,Q$4:Q1357&lt;&gt;""""))),""^Sell_""),INDEX(FILTER(T$4:T1356,Q$4:Q1356&lt;&gt;""""),ROWS(FILTER(Q$4:Q1356,Q$4:Q1356&lt;&gt;""""))),$AD$5+S1357))"),"")</f>
        <v/>
      </c>
      <c r="U1357" s="10" t="str">
        <f>IFERROR(__xludf.DUMMYFUNCTION("IF(COUNTA(Q1357:Q1644)=0,"""",IF(Q1357="""",0,IF(REGEXMATCH(Q1357,""^Sell_""),-ROUNDDOWN(ROUNDUP(INDEX(Upgrades!$C$3:$C$13,MATCH(SUBSTITUTE(Q1357,""Sell_"",""""),Upgrades!$B$3:$B$13,0))*1.15^(COUNTIF(Q$4:Q1356,SUBSTITUTE(Q1357,""Sell_"",""""))-COUNTIF(Q$4"&amp;":Q1356,""Sell_""&amp;SUBSTITUTE(Q1357,""Sell_"",""""))))/2),ROUNDUP(INDEX(Upgrades!$C$3:$C$13,MATCH(Q1357,Upgrades!$B$3:$B$13,0))*1.15^(COUNTIF(Q$4:Q1356,Q1357)-COUNTIF(Q$4:Q1356,""Sell_""&amp;Q1357))))))"),"")</f>
        <v/>
      </c>
      <c r="V1357" s="10" t="str">
        <f t="shared" si="11"/>
        <v/>
      </c>
      <c r="W1357" s="68" t="str">
        <f t="shared" si="12"/>
        <v/>
      </c>
      <c r="X1357" s="59" t="str">
        <f t="shared" si="13"/>
        <v/>
      </c>
      <c r="Y1357" s="69" t="str">
        <f t="shared" si="14"/>
        <v/>
      </c>
      <c r="Z1357" s="11"/>
      <c r="AG1357" s="59"/>
    </row>
    <row r="1358">
      <c r="A1358" s="8"/>
      <c r="B1358" s="56" t="str">
        <f t="shared" si="2"/>
        <v/>
      </c>
      <c r="C1358" s="105"/>
      <c r="D1358" s="10"/>
      <c r="E1358" s="59" t="str">
        <f t="array" ref="E1358">IF(COUNTA(C1358:C1644)=0,"",SUM((COUNTIF(C$4:C1358,Upgrades!$B$3:$B$13)-COUNTIF(C$4:C1358,"Sell_"&amp;Upgrades!$B$3:$B$13))*Upgrades!$D$3:$D$13))</f>
        <v/>
      </c>
      <c r="F1358" s="66" t="str">
        <f>IFERROR(__xludf.DUMMYFUNCTION("IF(COUNTA(C1358:C1644)=0,"""",IF(REGEXMATCH(INDEX(FILTER(C$4:C1358,C$4:C1358&lt;&gt;""""),ROWS(FILTER(C$4:C1358,C$4:C1358&lt;&gt;""""))),""^Sell_""),INDEX(FILTER(F$4:F1357,C$4:C1357&lt;&gt;""""),ROWS(FILTER(C$4:C1357,C$4:C1357&lt;&gt;""""))),$AC$5+E1358))"),"")</f>
        <v/>
      </c>
      <c r="G1358" s="10" t="str">
        <f>IFERROR(__xludf.DUMMYFUNCTION("IF(COUNTA(C1358:C1644)=0,"""",IF(C1358="""",0,IF(REGEXMATCH(C1358,""^Sell_""),-ROUNDDOWN(ROUNDUP(INDEX(Upgrades!$C$3:$C$13,MATCH(SUBSTITUTE(C1358,""Sell_"",""""),Upgrades!$B$3:$B$13,0))*1.15^(COUNTIF(C$4:C1357,SUBSTITUTE(C1358,""Sell_"",""""))-COUNTIF(C$4"&amp;":C1357,""Sell_""&amp;SUBSTITUTE(C1358,""Sell_"",""""))))/2),ROUNDUP(INDEX(Upgrades!$C$3:$C$13,MATCH(C1358,Upgrades!$B$3:$B$13,0))*1.15^(COUNTIF(C$4:C1357,C1358)-COUNTIF(C$4:C1357,""Sell_""&amp;C1358))))))"),"")</f>
        <v/>
      </c>
      <c r="H1358" s="10" t="str">
        <f t="shared" si="3"/>
        <v/>
      </c>
      <c r="I1358" s="68" t="str">
        <f t="shared" si="4"/>
        <v/>
      </c>
      <c r="J1358" s="59" t="str">
        <f t="shared" si="5"/>
        <v/>
      </c>
      <c r="K1358" s="69" t="str">
        <f t="shared" si="6"/>
        <v/>
      </c>
      <c r="L1358" s="60" t="str">
        <f t="shared" si="7"/>
        <v/>
      </c>
      <c r="M1358" s="61" t="str">
        <f>IFERROR(__xludf.DUMMYFUNCTION("IFS(AND(COUNTA(C1358:C1644)=0,COUNTA(Q1358:Q1644)=0),"""",OR(AND(K1358&gt;=1000000000,OR(Y1358&gt;=1000000000,COUNTA(Q1358:Q1644)=0)),OR(Y1358&gt;=1000000000,AND(COUNTA(C1358:C1644)=0,P$3=TRUE))),
ROUNDDOWN((AB$1-AC$1)*MAX(INDEX(T$4:T1644,MATCH(LARGE(FILTER(Y$4:Y1"&amp;"644,Y$4:Y1644&lt;1000000000),1),Y$4:Y1644)),INDEX(F$4:F1644,MATCH(LARGE(FILTER(K$4:K1644,K$4:K1644&lt;1000000000),1),K$4:K1644)))),AND(K1358&lt;1000000000,COUNTA(C1358:C1644)&gt;0,P$3=FALSE),
ROUNDDOWN(INDEX(Y$4:Y1644,MATCH(LARGE(FILTER(W$4:W1644,W$4:W1644&lt;=I1358),1)"&amp;",W$4:W1644))+(I1358-LARGE(FILTER(W$4:W1644,W$4:W1644&lt;=I1358),1))*INDEX(T$4:T1644,MATCH(LARGE(FILTER(W$4:W1644,W$4:W1644&lt;=I1358),1),W$4:W1644))-K1358),1,
ROUNDDOWN(Y1358-INDEX(K$4:K1644,MATCH(LARGE(FILTER(I$4:I1644,I$4:I1644&lt;=W1358),1),I$4:I1644))-(W1358-L"&amp;"ARGE(FILTER(I$4:I1644,I$4:I1644&lt;=W1358),1))*INDEX(F$4:F1644,MATCH(LARGE(FILTER(I$4:I1644,I$4:I1644&lt;=W1358),1),I$4:I1644))))"),"")</f>
        <v/>
      </c>
      <c r="N1358" s="60" t="str">
        <f t="shared" si="8"/>
        <v/>
      </c>
      <c r="O1358" s="61" t="str">
        <f t="shared" si="9"/>
        <v/>
      </c>
      <c r="P1358" s="56" t="str">
        <f t="shared" si="10"/>
        <v/>
      </c>
      <c r="Q1358" s="105"/>
      <c r="R1358" s="10"/>
      <c r="S1358" s="59" t="str">
        <f t="array" ref="S1358">IF(COUNTA(Q1358:Q1644)=0,"",SUM((COUNTIF(Q$4:Q1358,Upgrades!$B$3:$B$13)-COUNTIF(Q$4:Q1358,"Sell_"&amp;Upgrades!$B$3:$B$13))*Upgrades!$D$3:$D$13))</f>
        <v/>
      </c>
      <c r="T1358" s="66" t="str">
        <f>IFERROR(__xludf.DUMMYFUNCTION("IF(COUNTA(Q1358:Q1644)=0,"""",IF(REGEXMATCH(INDEX(FILTER(Q$4:Q1358,Q$4:Q1358&lt;&gt;""""),ROWS(FILTER(Q$4:Q1358,Q$4:Q1358&lt;&gt;""""))),""^Sell_""),INDEX(FILTER(T$4:T1357,Q$4:Q1357&lt;&gt;""""),ROWS(FILTER(Q$4:Q1357,Q$4:Q1357&lt;&gt;""""))),$AD$5+S1358))"),"")</f>
        <v/>
      </c>
      <c r="U1358" s="10" t="str">
        <f>IFERROR(__xludf.DUMMYFUNCTION("IF(COUNTA(Q1358:Q1644)=0,"""",IF(Q1358="""",0,IF(REGEXMATCH(Q1358,""^Sell_""),-ROUNDDOWN(ROUNDUP(INDEX(Upgrades!$C$3:$C$13,MATCH(SUBSTITUTE(Q1358,""Sell_"",""""),Upgrades!$B$3:$B$13,0))*1.15^(COUNTIF(Q$4:Q1357,SUBSTITUTE(Q1358,""Sell_"",""""))-COUNTIF(Q$4"&amp;":Q1357,""Sell_""&amp;SUBSTITUTE(Q1358,""Sell_"",""""))))/2),ROUNDUP(INDEX(Upgrades!$C$3:$C$13,MATCH(Q1358,Upgrades!$B$3:$B$13,0))*1.15^(COUNTIF(Q$4:Q1357,Q1358)-COUNTIF(Q$4:Q1357,""Sell_""&amp;Q1358))))))"),"")</f>
        <v/>
      </c>
      <c r="V1358" s="10" t="str">
        <f t="shared" si="11"/>
        <v/>
      </c>
      <c r="W1358" s="68" t="str">
        <f t="shared" si="12"/>
        <v/>
      </c>
      <c r="X1358" s="59" t="str">
        <f t="shared" si="13"/>
        <v/>
      </c>
      <c r="Y1358" s="69" t="str">
        <f t="shared" si="14"/>
        <v/>
      </c>
      <c r="Z1358" s="11"/>
      <c r="AG1358" s="59"/>
    </row>
    <row r="1359">
      <c r="A1359" s="8"/>
      <c r="B1359" s="56" t="str">
        <f t="shared" si="2"/>
        <v/>
      </c>
      <c r="C1359" s="105"/>
      <c r="D1359" s="10"/>
      <c r="E1359" s="59" t="str">
        <f t="array" ref="E1359">IF(COUNTA(C1359:C1644)=0,"",SUM((COUNTIF(C$4:C1359,Upgrades!$B$3:$B$13)-COUNTIF(C$4:C1359,"Sell_"&amp;Upgrades!$B$3:$B$13))*Upgrades!$D$3:$D$13))</f>
        <v/>
      </c>
      <c r="F1359" s="66" t="str">
        <f>IFERROR(__xludf.DUMMYFUNCTION("IF(COUNTA(C1359:C1644)=0,"""",IF(REGEXMATCH(INDEX(FILTER(C$4:C1359,C$4:C1359&lt;&gt;""""),ROWS(FILTER(C$4:C1359,C$4:C1359&lt;&gt;""""))),""^Sell_""),INDEX(FILTER(F$4:F1358,C$4:C1358&lt;&gt;""""),ROWS(FILTER(C$4:C1358,C$4:C1358&lt;&gt;""""))),$AC$5+E1359))"),"")</f>
        <v/>
      </c>
      <c r="G1359" s="10" t="str">
        <f>IFERROR(__xludf.DUMMYFUNCTION("IF(COUNTA(C1359:C1644)=0,"""",IF(C1359="""",0,IF(REGEXMATCH(C1359,""^Sell_""),-ROUNDDOWN(ROUNDUP(INDEX(Upgrades!$C$3:$C$13,MATCH(SUBSTITUTE(C1359,""Sell_"",""""),Upgrades!$B$3:$B$13,0))*1.15^(COUNTIF(C$4:C1358,SUBSTITUTE(C1359,""Sell_"",""""))-COUNTIF(C$4"&amp;":C1358,""Sell_""&amp;SUBSTITUTE(C1359,""Sell_"",""""))))/2),ROUNDUP(INDEX(Upgrades!$C$3:$C$13,MATCH(C1359,Upgrades!$B$3:$B$13,0))*1.15^(COUNTIF(C$4:C1358,C1359)-COUNTIF(C$4:C1358,""Sell_""&amp;C1359))))))"),"")</f>
        <v/>
      </c>
      <c r="H1359" s="10" t="str">
        <f t="shared" si="3"/>
        <v/>
      </c>
      <c r="I1359" s="68" t="str">
        <f t="shared" si="4"/>
        <v/>
      </c>
      <c r="J1359" s="59" t="str">
        <f t="shared" si="5"/>
        <v/>
      </c>
      <c r="K1359" s="69" t="str">
        <f t="shared" si="6"/>
        <v/>
      </c>
      <c r="L1359" s="60" t="str">
        <f t="shared" si="7"/>
        <v/>
      </c>
      <c r="M1359" s="61" t="str">
        <f>IFERROR(__xludf.DUMMYFUNCTION("IFS(AND(COUNTA(C1359:C1644)=0,COUNTA(Q1359:Q1644)=0),"""",OR(AND(K1359&gt;=1000000000,OR(Y1359&gt;=1000000000,COUNTA(Q1359:Q1644)=0)),OR(Y1359&gt;=1000000000,AND(COUNTA(C1359:C1644)=0,P$3=TRUE))),
ROUNDDOWN((AB$1-AC$1)*MAX(INDEX(T$4:T1644,MATCH(LARGE(FILTER(Y$4:Y1"&amp;"644,Y$4:Y1644&lt;1000000000),1),Y$4:Y1644)),INDEX(F$4:F1644,MATCH(LARGE(FILTER(K$4:K1644,K$4:K1644&lt;1000000000),1),K$4:K1644)))),AND(K1359&lt;1000000000,COUNTA(C1359:C1644)&gt;0,P$3=FALSE),
ROUNDDOWN(INDEX(Y$4:Y1644,MATCH(LARGE(FILTER(W$4:W1644,W$4:W1644&lt;=I1359),1)"&amp;",W$4:W1644))+(I1359-LARGE(FILTER(W$4:W1644,W$4:W1644&lt;=I1359),1))*INDEX(T$4:T1644,MATCH(LARGE(FILTER(W$4:W1644,W$4:W1644&lt;=I1359),1),W$4:W1644))-K1359),1,
ROUNDDOWN(Y1359-INDEX(K$4:K1644,MATCH(LARGE(FILTER(I$4:I1644,I$4:I1644&lt;=W1359),1),I$4:I1644))-(W1359-L"&amp;"ARGE(FILTER(I$4:I1644,I$4:I1644&lt;=W1359),1))*INDEX(F$4:F1644,MATCH(LARGE(FILTER(I$4:I1644,I$4:I1644&lt;=W1359),1),I$4:I1644))))"),"")</f>
        <v/>
      </c>
      <c r="N1359" s="60" t="str">
        <f t="shared" si="8"/>
        <v/>
      </c>
      <c r="O1359" s="61" t="str">
        <f t="shared" si="9"/>
        <v/>
      </c>
      <c r="P1359" s="56" t="str">
        <f t="shared" si="10"/>
        <v/>
      </c>
      <c r="Q1359" s="105"/>
      <c r="R1359" s="10"/>
      <c r="S1359" s="59" t="str">
        <f t="array" ref="S1359">IF(COUNTA(Q1359:Q1644)=0,"",SUM((COUNTIF(Q$4:Q1359,Upgrades!$B$3:$B$13)-COUNTIF(Q$4:Q1359,"Sell_"&amp;Upgrades!$B$3:$B$13))*Upgrades!$D$3:$D$13))</f>
        <v/>
      </c>
      <c r="T1359" s="66" t="str">
        <f>IFERROR(__xludf.DUMMYFUNCTION("IF(COUNTA(Q1359:Q1644)=0,"""",IF(REGEXMATCH(INDEX(FILTER(Q$4:Q1359,Q$4:Q1359&lt;&gt;""""),ROWS(FILTER(Q$4:Q1359,Q$4:Q1359&lt;&gt;""""))),""^Sell_""),INDEX(FILTER(T$4:T1358,Q$4:Q1358&lt;&gt;""""),ROWS(FILTER(Q$4:Q1358,Q$4:Q1358&lt;&gt;""""))),$AD$5+S1359))"),"")</f>
        <v/>
      </c>
      <c r="U1359" s="10" t="str">
        <f>IFERROR(__xludf.DUMMYFUNCTION("IF(COUNTA(Q1359:Q1644)=0,"""",IF(Q1359="""",0,IF(REGEXMATCH(Q1359,""^Sell_""),-ROUNDDOWN(ROUNDUP(INDEX(Upgrades!$C$3:$C$13,MATCH(SUBSTITUTE(Q1359,""Sell_"",""""),Upgrades!$B$3:$B$13,0))*1.15^(COUNTIF(Q$4:Q1358,SUBSTITUTE(Q1359,""Sell_"",""""))-COUNTIF(Q$4"&amp;":Q1358,""Sell_""&amp;SUBSTITUTE(Q1359,""Sell_"",""""))))/2),ROUNDUP(INDEX(Upgrades!$C$3:$C$13,MATCH(Q1359,Upgrades!$B$3:$B$13,0))*1.15^(COUNTIF(Q$4:Q1358,Q1359)-COUNTIF(Q$4:Q1358,""Sell_""&amp;Q1359))))))"),"")</f>
        <v/>
      </c>
      <c r="V1359" s="10" t="str">
        <f t="shared" si="11"/>
        <v/>
      </c>
      <c r="W1359" s="68" t="str">
        <f t="shared" si="12"/>
        <v/>
      </c>
      <c r="X1359" s="59" t="str">
        <f t="shared" si="13"/>
        <v/>
      </c>
      <c r="Y1359" s="69" t="str">
        <f t="shared" si="14"/>
        <v/>
      </c>
      <c r="Z1359" s="11"/>
      <c r="AG1359" s="59"/>
    </row>
    <row r="1360">
      <c r="A1360" s="8"/>
      <c r="B1360" s="56" t="str">
        <f t="shared" si="2"/>
        <v/>
      </c>
      <c r="C1360" s="105"/>
      <c r="D1360" s="10"/>
      <c r="E1360" s="59" t="str">
        <f t="array" ref="E1360">IF(COUNTA(C1360:C1644)=0,"",SUM((COUNTIF(C$4:C1360,Upgrades!$B$3:$B$13)-COUNTIF(C$4:C1360,"Sell_"&amp;Upgrades!$B$3:$B$13))*Upgrades!$D$3:$D$13))</f>
        <v/>
      </c>
      <c r="F1360" s="66" t="str">
        <f>IFERROR(__xludf.DUMMYFUNCTION("IF(COUNTA(C1360:C1644)=0,"""",IF(REGEXMATCH(INDEX(FILTER(C$4:C1360,C$4:C1360&lt;&gt;""""),ROWS(FILTER(C$4:C1360,C$4:C1360&lt;&gt;""""))),""^Sell_""),INDEX(FILTER(F$4:F1359,C$4:C1359&lt;&gt;""""),ROWS(FILTER(C$4:C1359,C$4:C1359&lt;&gt;""""))),$AC$5+E1360))"),"")</f>
        <v/>
      </c>
      <c r="G1360" s="10" t="str">
        <f>IFERROR(__xludf.DUMMYFUNCTION("IF(COUNTA(C1360:C1644)=0,"""",IF(C1360="""",0,IF(REGEXMATCH(C1360,""^Sell_""),-ROUNDDOWN(ROUNDUP(INDEX(Upgrades!$C$3:$C$13,MATCH(SUBSTITUTE(C1360,""Sell_"",""""),Upgrades!$B$3:$B$13,0))*1.15^(COUNTIF(C$4:C1359,SUBSTITUTE(C1360,""Sell_"",""""))-COUNTIF(C$4"&amp;":C1359,""Sell_""&amp;SUBSTITUTE(C1360,""Sell_"",""""))))/2),ROUNDUP(INDEX(Upgrades!$C$3:$C$13,MATCH(C1360,Upgrades!$B$3:$B$13,0))*1.15^(COUNTIF(C$4:C1359,C1360)-COUNTIF(C$4:C1359,""Sell_""&amp;C1360))))))"),"")</f>
        <v/>
      </c>
      <c r="H1360" s="10" t="str">
        <f t="shared" si="3"/>
        <v/>
      </c>
      <c r="I1360" s="68" t="str">
        <f t="shared" si="4"/>
        <v/>
      </c>
      <c r="J1360" s="59" t="str">
        <f t="shared" si="5"/>
        <v/>
      </c>
      <c r="K1360" s="69" t="str">
        <f t="shared" si="6"/>
        <v/>
      </c>
      <c r="L1360" s="60" t="str">
        <f t="shared" si="7"/>
        <v/>
      </c>
      <c r="M1360" s="61" t="str">
        <f>IFERROR(__xludf.DUMMYFUNCTION("IFS(AND(COUNTA(C1360:C1644)=0,COUNTA(Q1360:Q1644)=0),"""",OR(AND(K1360&gt;=1000000000,OR(Y1360&gt;=1000000000,COUNTA(Q1360:Q1644)=0)),OR(Y1360&gt;=1000000000,AND(COUNTA(C1360:C1644)=0,P$3=TRUE))),
ROUNDDOWN((AB$1-AC$1)*MAX(INDEX(T$4:T1644,MATCH(LARGE(FILTER(Y$4:Y1"&amp;"644,Y$4:Y1644&lt;1000000000),1),Y$4:Y1644)),INDEX(F$4:F1644,MATCH(LARGE(FILTER(K$4:K1644,K$4:K1644&lt;1000000000),1),K$4:K1644)))),AND(K1360&lt;1000000000,COUNTA(C1360:C1644)&gt;0,P$3=FALSE),
ROUNDDOWN(INDEX(Y$4:Y1644,MATCH(LARGE(FILTER(W$4:W1644,W$4:W1644&lt;=I1360),1)"&amp;",W$4:W1644))+(I1360-LARGE(FILTER(W$4:W1644,W$4:W1644&lt;=I1360),1))*INDEX(T$4:T1644,MATCH(LARGE(FILTER(W$4:W1644,W$4:W1644&lt;=I1360),1),W$4:W1644))-K1360),1,
ROUNDDOWN(Y1360-INDEX(K$4:K1644,MATCH(LARGE(FILTER(I$4:I1644,I$4:I1644&lt;=W1360),1),I$4:I1644))-(W1360-L"&amp;"ARGE(FILTER(I$4:I1644,I$4:I1644&lt;=W1360),1))*INDEX(F$4:F1644,MATCH(LARGE(FILTER(I$4:I1644,I$4:I1644&lt;=W1360),1),I$4:I1644))))"),"")</f>
        <v/>
      </c>
      <c r="N1360" s="60" t="str">
        <f t="shared" si="8"/>
        <v/>
      </c>
      <c r="O1360" s="61" t="str">
        <f t="shared" si="9"/>
        <v/>
      </c>
      <c r="P1360" s="56" t="str">
        <f t="shared" si="10"/>
        <v/>
      </c>
      <c r="Q1360" s="105"/>
      <c r="R1360" s="10"/>
      <c r="S1360" s="59" t="str">
        <f t="array" ref="S1360">IF(COUNTA(Q1360:Q1644)=0,"",SUM((COUNTIF(Q$4:Q1360,Upgrades!$B$3:$B$13)-COUNTIF(Q$4:Q1360,"Sell_"&amp;Upgrades!$B$3:$B$13))*Upgrades!$D$3:$D$13))</f>
        <v/>
      </c>
      <c r="T1360" s="66" t="str">
        <f>IFERROR(__xludf.DUMMYFUNCTION("IF(COUNTA(Q1360:Q1644)=0,"""",IF(REGEXMATCH(INDEX(FILTER(Q$4:Q1360,Q$4:Q1360&lt;&gt;""""),ROWS(FILTER(Q$4:Q1360,Q$4:Q1360&lt;&gt;""""))),""^Sell_""),INDEX(FILTER(T$4:T1359,Q$4:Q1359&lt;&gt;""""),ROWS(FILTER(Q$4:Q1359,Q$4:Q1359&lt;&gt;""""))),$AD$5+S1360))"),"")</f>
        <v/>
      </c>
      <c r="U1360" s="10" t="str">
        <f>IFERROR(__xludf.DUMMYFUNCTION("IF(COUNTA(Q1360:Q1644)=0,"""",IF(Q1360="""",0,IF(REGEXMATCH(Q1360,""^Sell_""),-ROUNDDOWN(ROUNDUP(INDEX(Upgrades!$C$3:$C$13,MATCH(SUBSTITUTE(Q1360,""Sell_"",""""),Upgrades!$B$3:$B$13,0))*1.15^(COUNTIF(Q$4:Q1359,SUBSTITUTE(Q1360,""Sell_"",""""))-COUNTIF(Q$4"&amp;":Q1359,""Sell_""&amp;SUBSTITUTE(Q1360,""Sell_"",""""))))/2),ROUNDUP(INDEX(Upgrades!$C$3:$C$13,MATCH(Q1360,Upgrades!$B$3:$B$13,0))*1.15^(COUNTIF(Q$4:Q1359,Q1360)-COUNTIF(Q$4:Q1359,""Sell_""&amp;Q1360))))))"),"")</f>
        <v/>
      </c>
      <c r="V1360" s="10" t="str">
        <f t="shared" si="11"/>
        <v/>
      </c>
      <c r="W1360" s="68" t="str">
        <f t="shared" si="12"/>
        <v/>
      </c>
      <c r="X1360" s="59" t="str">
        <f t="shared" si="13"/>
        <v/>
      </c>
      <c r="Y1360" s="69" t="str">
        <f t="shared" si="14"/>
        <v/>
      </c>
      <c r="Z1360" s="11"/>
      <c r="AG1360" s="59"/>
    </row>
    <row r="1361">
      <c r="A1361" s="8"/>
      <c r="B1361" s="56" t="str">
        <f t="shared" si="2"/>
        <v/>
      </c>
      <c r="C1361" s="105"/>
      <c r="D1361" s="10"/>
      <c r="E1361" s="59" t="str">
        <f t="array" ref="E1361">IF(COUNTA(C1361:C1644)=0,"",SUM((COUNTIF(C$4:C1361,Upgrades!$B$3:$B$13)-COUNTIF(C$4:C1361,"Sell_"&amp;Upgrades!$B$3:$B$13))*Upgrades!$D$3:$D$13))</f>
        <v/>
      </c>
      <c r="F1361" s="66" t="str">
        <f>IFERROR(__xludf.DUMMYFUNCTION("IF(COUNTA(C1361:C1644)=0,"""",IF(REGEXMATCH(INDEX(FILTER(C$4:C1361,C$4:C1361&lt;&gt;""""),ROWS(FILTER(C$4:C1361,C$4:C1361&lt;&gt;""""))),""^Sell_""),INDEX(FILTER(F$4:F1360,C$4:C1360&lt;&gt;""""),ROWS(FILTER(C$4:C1360,C$4:C1360&lt;&gt;""""))),$AC$5+E1361))"),"")</f>
        <v/>
      </c>
      <c r="G1361" s="10" t="str">
        <f>IFERROR(__xludf.DUMMYFUNCTION("IF(COUNTA(C1361:C1644)=0,"""",IF(C1361="""",0,IF(REGEXMATCH(C1361,""^Sell_""),-ROUNDDOWN(ROUNDUP(INDEX(Upgrades!$C$3:$C$13,MATCH(SUBSTITUTE(C1361,""Sell_"",""""),Upgrades!$B$3:$B$13,0))*1.15^(COUNTIF(C$4:C1360,SUBSTITUTE(C1361,""Sell_"",""""))-COUNTIF(C$4"&amp;":C1360,""Sell_""&amp;SUBSTITUTE(C1361,""Sell_"",""""))))/2),ROUNDUP(INDEX(Upgrades!$C$3:$C$13,MATCH(C1361,Upgrades!$B$3:$B$13,0))*1.15^(COUNTIF(C$4:C1360,C1361)-COUNTIF(C$4:C1360,""Sell_""&amp;C1361))))))"),"")</f>
        <v/>
      </c>
      <c r="H1361" s="10" t="str">
        <f t="shared" si="3"/>
        <v/>
      </c>
      <c r="I1361" s="68" t="str">
        <f t="shared" si="4"/>
        <v/>
      </c>
      <c r="J1361" s="59" t="str">
        <f t="shared" si="5"/>
        <v/>
      </c>
      <c r="K1361" s="69" t="str">
        <f t="shared" si="6"/>
        <v/>
      </c>
      <c r="L1361" s="60" t="str">
        <f t="shared" si="7"/>
        <v/>
      </c>
      <c r="M1361" s="61" t="str">
        <f>IFERROR(__xludf.DUMMYFUNCTION("IFS(AND(COUNTA(C1361:C1644)=0,COUNTA(Q1361:Q1644)=0),"""",OR(AND(K1361&gt;=1000000000,OR(Y1361&gt;=1000000000,COUNTA(Q1361:Q1644)=0)),OR(Y1361&gt;=1000000000,AND(COUNTA(C1361:C1644)=0,P$3=TRUE))),
ROUNDDOWN((AB$1-AC$1)*MAX(INDEX(T$4:T1644,MATCH(LARGE(FILTER(Y$4:Y1"&amp;"644,Y$4:Y1644&lt;1000000000),1),Y$4:Y1644)),INDEX(F$4:F1644,MATCH(LARGE(FILTER(K$4:K1644,K$4:K1644&lt;1000000000),1),K$4:K1644)))),AND(K1361&lt;1000000000,COUNTA(C1361:C1644)&gt;0,P$3=FALSE),
ROUNDDOWN(INDEX(Y$4:Y1644,MATCH(LARGE(FILTER(W$4:W1644,W$4:W1644&lt;=I1361),1)"&amp;",W$4:W1644))+(I1361-LARGE(FILTER(W$4:W1644,W$4:W1644&lt;=I1361),1))*INDEX(T$4:T1644,MATCH(LARGE(FILTER(W$4:W1644,W$4:W1644&lt;=I1361),1),W$4:W1644))-K1361),1,
ROUNDDOWN(Y1361-INDEX(K$4:K1644,MATCH(LARGE(FILTER(I$4:I1644,I$4:I1644&lt;=W1361),1),I$4:I1644))-(W1361-L"&amp;"ARGE(FILTER(I$4:I1644,I$4:I1644&lt;=W1361),1))*INDEX(F$4:F1644,MATCH(LARGE(FILTER(I$4:I1644,I$4:I1644&lt;=W1361),1),I$4:I1644))))"),"")</f>
        <v/>
      </c>
      <c r="N1361" s="60" t="str">
        <f t="shared" si="8"/>
        <v/>
      </c>
      <c r="O1361" s="61" t="str">
        <f t="shared" si="9"/>
        <v/>
      </c>
      <c r="P1361" s="56" t="str">
        <f t="shared" si="10"/>
        <v/>
      </c>
      <c r="Q1361" s="105"/>
      <c r="R1361" s="10"/>
      <c r="S1361" s="59" t="str">
        <f t="array" ref="S1361">IF(COUNTA(Q1361:Q1644)=0,"",SUM((COUNTIF(Q$4:Q1361,Upgrades!$B$3:$B$13)-COUNTIF(Q$4:Q1361,"Sell_"&amp;Upgrades!$B$3:$B$13))*Upgrades!$D$3:$D$13))</f>
        <v/>
      </c>
      <c r="T1361" s="66" t="str">
        <f>IFERROR(__xludf.DUMMYFUNCTION("IF(COUNTA(Q1361:Q1644)=0,"""",IF(REGEXMATCH(INDEX(FILTER(Q$4:Q1361,Q$4:Q1361&lt;&gt;""""),ROWS(FILTER(Q$4:Q1361,Q$4:Q1361&lt;&gt;""""))),""^Sell_""),INDEX(FILTER(T$4:T1360,Q$4:Q1360&lt;&gt;""""),ROWS(FILTER(Q$4:Q1360,Q$4:Q1360&lt;&gt;""""))),$AD$5+S1361))"),"")</f>
        <v/>
      </c>
      <c r="U1361" s="10" t="str">
        <f>IFERROR(__xludf.DUMMYFUNCTION("IF(COUNTA(Q1361:Q1644)=0,"""",IF(Q1361="""",0,IF(REGEXMATCH(Q1361,""^Sell_""),-ROUNDDOWN(ROUNDUP(INDEX(Upgrades!$C$3:$C$13,MATCH(SUBSTITUTE(Q1361,""Sell_"",""""),Upgrades!$B$3:$B$13,0))*1.15^(COUNTIF(Q$4:Q1360,SUBSTITUTE(Q1361,""Sell_"",""""))-COUNTIF(Q$4"&amp;":Q1360,""Sell_""&amp;SUBSTITUTE(Q1361,""Sell_"",""""))))/2),ROUNDUP(INDEX(Upgrades!$C$3:$C$13,MATCH(Q1361,Upgrades!$B$3:$B$13,0))*1.15^(COUNTIF(Q$4:Q1360,Q1361)-COUNTIF(Q$4:Q1360,""Sell_""&amp;Q1361))))))"),"")</f>
        <v/>
      </c>
      <c r="V1361" s="10" t="str">
        <f t="shared" si="11"/>
        <v/>
      </c>
      <c r="W1361" s="68" t="str">
        <f t="shared" si="12"/>
        <v/>
      </c>
      <c r="X1361" s="59" t="str">
        <f t="shared" si="13"/>
        <v/>
      </c>
      <c r="Y1361" s="69" t="str">
        <f t="shared" si="14"/>
        <v/>
      </c>
      <c r="Z1361" s="11"/>
      <c r="AG1361" s="59"/>
    </row>
    <row r="1362">
      <c r="A1362" s="8"/>
      <c r="B1362" s="56" t="str">
        <f t="shared" si="2"/>
        <v/>
      </c>
      <c r="C1362" s="105"/>
      <c r="D1362" s="10"/>
      <c r="E1362" s="59" t="str">
        <f t="array" ref="E1362">IF(COUNTA(C1362:C1644)=0,"",SUM((COUNTIF(C$4:C1362,Upgrades!$B$3:$B$13)-COUNTIF(C$4:C1362,"Sell_"&amp;Upgrades!$B$3:$B$13))*Upgrades!$D$3:$D$13))</f>
        <v/>
      </c>
      <c r="F1362" s="66" t="str">
        <f>IFERROR(__xludf.DUMMYFUNCTION("IF(COUNTA(C1362:C1644)=0,"""",IF(REGEXMATCH(INDEX(FILTER(C$4:C1362,C$4:C1362&lt;&gt;""""),ROWS(FILTER(C$4:C1362,C$4:C1362&lt;&gt;""""))),""^Sell_""),INDEX(FILTER(F$4:F1361,C$4:C1361&lt;&gt;""""),ROWS(FILTER(C$4:C1361,C$4:C1361&lt;&gt;""""))),$AC$5+E1362))"),"")</f>
        <v/>
      </c>
      <c r="G1362" s="10" t="str">
        <f>IFERROR(__xludf.DUMMYFUNCTION("IF(COUNTA(C1362:C1644)=0,"""",IF(C1362="""",0,IF(REGEXMATCH(C1362,""^Sell_""),-ROUNDDOWN(ROUNDUP(INDEX(Upgrades!$C$3:$C$13,MATCH(SUBSTITUTE(C1362,""Sell_"",""""),Upgrades!$B$3:$B$13,0))*1.15^(COUNTIF(C$4:C1361,SUBSTITUTE(C1362,""Sell_"",""""))-COUNTIF(C$4"&amp;":C1361,""Sell_""&amp;SUBSTITUTE(C1362,""Sell_"",""""))))/2),ROUNDUP(INDEX(Upgrades!$C$3:$C$13,MATCH(C1362,Upgrades!$B$3:$B$13,0))*1.15^(COUNTIF(C$4:C1361,C1362)-COUNTIF(C$4:C1361,""Sell_""&amp;C1362))))))"),"")</f>
        <v/>
      </c>
      <c r="H1362" s="10" t="str">
        <f t="shared" si="3"/>
        <v/>
      </c>
      <c r="I1362" s="68" t="str">
        <f t="shared" si="4"/>
        <v/>
      </c>
      <c r="J1362" s="59" t="str">
        <f t="shared" si="5"/>
        <v/>
      </c>
      <c r="K1362" s="69" t="str">
        <f t="shared" si="6"/>
        <v/>
      </c>
      <c r="L1362" s="60" t="str">
        <f t="shared" si="7"/>
        <v/>
      </c>
      <c r="M1362" s="61" t="str">
        <f>IFERROR(__xludf.DUMMYFUNCTION("IFS(AND(COUNTA(C1362:C1644)=0,COUNTA(Q1362:Q1644)=0),"""",OR(AND(K1362&gt;=1000000000,OR(Y1362&gt;=1000000000,COUNTA(Q1362:Q1644)=0)),OR(Y1362&gt;=1000000000,AND(COUNTA(C1362:C1644)=0,P$3=TRUE))),
ROUNDDOWN((AB$1-AC$1)*MAX(INDEX(T$4:T1644,MATCH(LARGE(FILTER(Y$4:Y1"&amp;"644,Y$4:Y1644&lt;1000000000),1),Y$4:Y1644)),INDEX(F$4:F1644,MATCH(LARGE(FILTER(K$4:K1644,K$4:K1644&lt;1000000000),1),K$4:K1644)))),AND(K1362&lt;1000000000,COUNTA(C1362:C1644)&gt;0,P$3=FALSE),
ROUNDDOWN(INDEX(Y$4:Y1644,MATCH(LARGE(FILTER(W$4:W1644,W$4:W1644&lt;=I1362),1)"&amp;",W$4:W1644))+(I1362-LARGE(FILTER(W$4:W1644,W$4:W1644&lt;=I1362),1))*INDEX(T$4:T1644,MATCH(LARGE(FILTER(W$4:W1644,W$4:W1644&lt;=I1362),1),W$4:W1644))-K1362),1,
ROUNDDOWN(Y1362-INDEX(K$4:K1644,MATCH(LARGE(FILTER(I$4:I1644,I$4:I1644&lt;=W1362),1),I$4:I1644))-(W1362-L"&amp;"ARGE(FILTER(I$4:I1644,I$4:I1644&lt;=W1362),1))*INDEX(F$4:F1644,MATCH(LARGE(FILTER(I$4:I1644,I$4:I1644&lt;=W1362),1),I$4:I1644))))"),"")</f>
        <v/>
      </c>
      <c r="N1362" s="60" t="str">
        <f t="shared" si="8"/>
        <v/>
      </c>
      <c r="O1362" s="61" t="str">
        <f t="shared" si="9"/>
        <v/>
      </c>
      <c r="P1362" s="56" t="str">
        <f t="shared" si="10"/>
        <v/>
      </c>
      <c r="Q1362" s="105"/>
      <c r="R1362" s="10"/>
      <c r="S1362" s="59" t="str">
        <f t="array" ref="S1362">IF(COUNTA(Q1362:Q1644)=0,"",SUM((COUNTIF(Q$4:Q1362,Upgrades!$B$3:$B$13)-COUNTIF(Q$4:Q1362,"Sell_"&amp;Upgrades!$B$3:$B$13))*Upgrades!$D$3:$D$13))</f>
        <v/>
      </c>
      <c r="T1362" s="66" t="str">
        <f>IFERROR(__xludf.DUMMYFUNCTION("IF(COUNTA(Q1362:Q1644)=0,"""",IF(REGEXMATCH(INDEX(FILTER(Q$4:Q1362,Q$4:Q1362&lt;&gt;""""),ROWS(FILTER(Q$4:Q1362,Q$4:Q1362&lt;&gt;""""))),""^Sell_""),INDEX(FILTER(T$4:T1361,Q$4:Q1361&lt;&gt;""""),ROWS(FILTER(Q$4:Q1361,Q$4:Q1361&lt;&gt;""""))),$AD$5+S1362))"),"")</f>
        <v/>
      </c>
      <c r="U1362" s="10" t="str">
        <f>IFERROR(__xludf.DUMMYFUNCTION("IF(COUNTA(Q1362:Q1644)=0,"""",IF(Q1362="""",0,IF(REGEXMATCH(Q1362,""^Sell_""),-ROUNDDOWN(ROUNDUP(INDEX(Upgrades!$C$3:$C$13,MATCH(SUBSTITUTE(Q1362,""Sell_"",""""),Upgrades!$B$3:$B$13,0))*1.15^(COUNTIF(Q$4:Q1361,SUBSTITUTE(Q1362,""Sell_"",""""))-COUNTIF(Q$4"&amp;":Q1361,""Sell_""&amp;SUBSTITUTE(Q1362,""Sell_"",""""))))/2),ROUNDUP(INDEX(Upgrades!$C$3:$C$13,MATCH(Q1362,Upgrades!$B$3:$B$13,0))*1.15^(COUNTIF(Q$4:Q1361,Q1362)-COUNTIF(Q$4:Q1361,""Sell_""&amp;Q1362))))))"),"")</f>
        <v/>
      </c>
      <c r="V1362" s="10" t="str">
        <f t="shared" si="11"/>
        <v/>
      </c>
      <c r="W1362" s="68" t="str">
        <f t="shared" si="12"/>
        <v/>
      </c>
      <c r="X1362" s="59" t="str">
        <f t="shared" si="13"/>
        <v/>
      </c>
      <c r="Y1362" s="69" t="str">
        <f t="shared" si="14"/>
        <v/>
      </c>
      <c r="Z1362" s="11"/>
      <c r="AG1362" s="59"/>
    </row>
    <row r="1363">
      <c r="A1363" s="8"/>
      <c r="B1363" s="56" t="str">
        <f t="shared" si="2"/>
        <v/>
      </c>
      <c r="C1363" s="105"/>
      <c r="D1363" s="10"/>
      <c r="E1363" s="59" t="str">
        <f t="array" ref="E1363">IF(COUNTA(C1363:C1644)=0,"",SUM((COUNTIF(C$4:C1363,Upgrades!$B$3:$B$13)-COUNTIF(C$4:C1363,"Sell_"&amp;Upgrades!$B$3:$B$13))*Upgrades!$D$3:$D$13))</f>
        <v/>
      </c>
      <c r="F1363" s="66" t="str">
        <f>IFERROR(__xludf.DUMMYFUNCTION("IF(COUNTA(C1363:C1644)=0,"""",IF(REGEXMATCH(INDEX(FILTER(C$4:C1363,C$4:C1363&lt;&gt;""""),ROWS(FILTER(C$4:C1363,C$4:C1363&lt;&gt;""""))),""^Sell_""),INDEX(FILTER(F$4:F1362,C$4:C1362&lt;&gt;""""),ROWS(FILTER(C$4:C1362,C$4:C1362&lt;&gt;""""))),$AC$5+E1363))"),"")</f>
        <v/>
      </c>
      <c r="G1363" s="10" t="str">
        <f>IFERROR(__xludf.DUMMYFUNCTION("IF(COUNTA(C1363:C1644)=0,"""",IF(C1363="""",0,IF(REGEXMATCH(C1363,""^Sell_""),-ROUNDDOWN(ROUNDUP(INDEX(Upgrades!$C$3:$C$13,MATCH(SUBSTITUTE(C1363,""Sell_"",""""),Upgrades!$B$3:$B$13,0))*1.15^(COUNTIF(C$4:C1362,SUBSTITUTE(C1363,""Sell_"",""""))-COUNTIF(C$4"&amp;":C1362,""Sell_""&amp;SUBSTITUTE(C1363,""Sell_"",""""))))/2),ROUNDUP(INDEX(Upgrades!$C$3:$C$13,MATCH(C1363,Upgrades!$B$3:$B$13,0))*1.15^(COUNTIF(C$4:C1362,C1363)-COUNTIF(C$4:C1362,""Sell_""&amp;C1363))))))"),"")</f>
        <v/>
      </c>
      <c r="H1363" s="10" t="str">
        <f t="shared" si="3"/>
        <v/>
      </c>
      <c r="I1363" s="68" t="str">
        <f t="shared" si="4"/>
        <v/>
      </c>
      <c r="J1363" s="59" t="str">
        <f t="shared" si="5"/>
        <v/>
      </c>
      <c r="K1363" s="69" t="str">
        <f t="shared" si="6"/>
        <v/>
      </c>
      <c r="L1363" s="60" t="str">
        <f t="shared" si="7"/>
        <v/>
      </c>
      <c r="M1363" s="61" t="str">
        <f>IFERROR(__xludf.DUMMYFUNCTION("IFS(AND(COUNTA(C1363:C1644)=0,COUNTA(Q1363:Q1644)=0),"""",OR(AND(K1363&gt;=1000000000,OR(Y1363&gt;=1000000000,COUNTA(Q1363:Q1644)=0)),OR(Y1363&gt;=1000000000,AND(COUNTA(C1363:C1644)=0,P$3=TRUE))),
ROUNDDOWN((AB$1-AC$1)*MAX(INDEX(T$4:T1644,MATCH(LARGE(FILTER(Y$4:Y1"&amp;"644,Y$4:Y1644&lt;1000000000),1),Y$4:Y1644)),INDEX(F$4:F1644,MATCH(LARGE(FILTER(K$4:K1644,K$4:K1644&lt;1000000000),1),K$4:K1644)))),AND(K1363&lt;1000000000,COUNTA(C1363:C1644)&gt;0,P$3=FALSE),
ROUNDDOWN(INDEX(Y$4:Y1644,MATCH(LARGE(FILTER(W$4:W1644,W$4:W1644&lt;=I1363),1)"&amp;",W$4:W1644))+(I1363-LARGE(FILTER(W$4:W1644,W$4:W1644&lt;=I1363),1))*INDEX(T$4:T1644,MATCH(LARGE(FILTER(W$4:W1644,W$4:W1644&lt;=I1363),1),W$4:W1644))-K1363),1,
ROUNDDOWN(Y1363-INDEX(K$4:K1644,MATCH(LARGE(FILTER(I$4:I1644,I$4:I1644&lt;=W1363),1),I$4:I1644))-(W1363-L"&amp;"ARGE(FILTER(I$4:I1644,I$4:I1644&lt;=W1363),1))*INDEX(F$4:F1644,MATCH(LARGE(FILTER(I$4:I1644,I$4:I1644&lt;=W1363),1),I$4:I1644))))"),"")</f>
        <v/>
      </c>
      <c r="N1363" s="60" t="str">
        <f t="shared" si="8"/>
        <v/>
      </c>
      <c r="O1363" s="61" t="str">
        <f t="shared" si="9"/>
        <v/>
      </c>
      <c r="P1363" s="56" t="str">
        <f t="shared" si="10"/>
        <v/>
      </c>
      <c r="Q1363" s="105"/>
      <c r="R1363" s="10"/>
      <c r="S1363" s="59" t="str">
        <f t="array" ref="S1363">IF(COUNTA(Q1363:Q1644)=0,"",SUM((COUNTIF(Q$4:Q1363,Upgrades!$B$3:$B$13)-COUNTIF(Q$4:Q1363,"Sell_"&amp;Upgrades!$B$3:$B$13))*Upgrades!$D$3:$D$13))</f>
        <v/>
      </c>
      <c r="T1363" s="66" t="str">
        <f>IFERROR(__xludf.DUMMYFUNCTION("IF(COUNTA(Q1363:Q1644)=0,"""",IF(REGEXMATCH(INDEX(FILTER(Q$4:Q1363,Q$4:Q1363&lt;&gt;""""),ROWS(FILTER(Q$4:Q1363,Q$4:Q1363&lt;&gt;""""))),""^Sell_""),INDEX(FILTER(T$4:T1362,Q$4:Q1362&lt;&gt;""""),ROWS(FILTER(Q$4:Q1362,Q$4:Q1362&lt;&gt;""""))),$AD$5+S1363))"),"")</f>
        <v/>
      </c>
      <c r="U1363" s="10" t="str">
        <f>IFERROR(__xludf.DUMMYFUNCTION("IF(COUNTA(Q1363:Q1644)=0,"""",IF(Q1363="""",0,IF(REGEXMATCH(Q1363,""^Sell_""),-ROUNDDOWN(ROUNDUP(INDEX(Upgrades!$C$3:$C$13,MATCH(SUBSTITUTE(Q1363,""Sell_"",""""),Upgrades!$B$3:$B$13,0))*1.15^(COUNTIF(Q$4:Q1362,SUBSTITUTE(Q1363,""Sell_"",""""))-COUNTIF(Q$4"&amp;":Q1362,""Sell_""&amp;SUBSTITUTE(Q1363,""Sell_"",""""))))/2),ROUNDUP(INDEX(Upgrades!$C$3:$C$13,MATCH(Q1363,Upgrades!$B$3:$B$13,0))*1.15^(COUNTIF(Q$4:Q1362,Q1363)-COUNTIF(Q$4:Q1362,""Sell_""&amp;Q1363))))))"),"")</f>
        <v/>
      </c>
      <c r="V1363" s="10" t="str">
        <f t="shared" si="11"/>
        <v/>
      </c>
      <c r="W1363" s="68" t="str">
        <f t="shared" si="12"/>
        <v/>
      </c>
      <c r="X1363" s="59" t="str">
        <f t="shared" si="13"/>
        <v/>
      </c>
      <c r="Y1363" s="69" t="str">
        <f t="shared" si="14"/>
        <v/>
      </c>
      <c r="Z1363" s="11"/>
      <c r="AG1363" s="59"/>
    </row>
    <row r="1364">
      <c r="A1364" s="8"/>
      <c r="B1364" s="56" t="str">
        <f t="shared" si="2"/>
        <v/>
      </c>
      <c r="C1364" s="105"/>
      <c r="D1364" s="10"/>
      <c r="E1364" s="59" t="str">
        <f t="array" ref="E1364">IF(COUNTA(C1364:C1644)=0,"",SUM((COUNTIF(C$4:C1364,Upgrades!$B$3:$B$13)-COUNTIF(C$4:C1364,"Sell_"&amp;Upgrades!$B$3:$B$13))*Upgrades!$D$3:$D$13))</f>
        <v/>
      </c>
      <c r="F1364" s="66" t="str">
        <f>IFERROR(__xludf.DUMMYFUNCTION("IF(COUNTA(C1364:C1644)=0,"""",IF(REGEXMATCH(INDEX(FILTER(C$4:C1364,C$4:C1364&lt;&gt;""""),ROWS(FILTER(C$4:C1364,C$4:C1364&lt;&gt;""""))),""^Sell_""),INDEX(FILTER(F$4:F1363,C$4:C1363&lt;&gt;""""),ROWS(FILTER(C$4:C1363,C$4:C1363&lt;&gt;""""))),$AC$5+E1364))"),"")</f>
        <v/>
      </c>
      <c r="G1364" s="10" t="str">
        <f>IFERROR(__xludf.DUMMYFUNCTION("IF(COUNTA(C1364:C1644)=0,"""",IF(C1364="""",0,IF(REGEXMATCH(C1364,""^Sell_""),-ROUNDDOWN(ROUNDUP(INDEX(Upgrades!$C$3:$C$13,MATCH(SUBSTITUTE(C1364,""Sell_"",""""),Upgrades!$B$3:$B$13,0))*1.15^(COUNTIF(C$4:C1363,SUBSTITUTE(C1364,""Sell_"",""""))-COUNTIF(C$4"&amp;":C1363,""Sell_""&amp;SUBSTITUTE(C1364,""Sell_"",""""))))/2),ROUNDUP(INDEX(Upgrades!$C$3:$C$13,MATCH(C1364,Upgrades!$B$3:$B$13,0))*1.15^(COUNTIF(C$4:C1363,C1364)-COUNTIF(C$4:C1363,""Sell_""&amp;C1364))))))"),"")</f>
        <v/>
      </c>
      <c r="H1364" s="10" t="str">
        <f t="shared" si="3"/>
        <v/>
      </c>
      <c r="I1364" s="68" t="str">
        <f t="shared" si="4"/>
        <v/>
      </c>
      <c r="J1364" s="59" t="str">
        <f t="shared" si="5"/>
        <v/>
      </c>
      <c r="K1364" s="69" t="str">
        <f t="shared" si="6"/>
        <v/>
      </c>
      <c r="L1364" s="60" t="str">
        <f t="shared" si="7"/>
        <v/>
      </c>
      <c r="M1364" s="61" t="str">
        <f>IFERROR(__xludf.DUMMYFUNCTION("IFS(AND(COUNTA(C1364:C1644)=0,COUNTA(Q1364:Q1644)=0),"""",OR(AND(K1364&gt;=1000000000,OR(Y1364&gt;=1000000000,COUNTA(Q1364:Q1644)=0)),OR(Y1364&gt;=1000000000,AND(COUNTA(C1364:C1644)=0,P$3=TRUE))),
ROUNDDOWN((AB$1-AC$1)*MAX(INDEX(T$4:T1644,MATCH(LARGE(FILTER(Y$4:Y1"&amp;"644,Y$4:Y1644&lt;1000000000),1),Y$4:Y1644)),INDEX(F$4:F1644,MATCH(LARGE(FILTER(K$4:K1644,K$4:K1644&lt;1000000000),1),K$4:K1644)))),AND(K1364&lt;1000000000,COUNTA(C1364:C1644)&gt;0,P$3=FALSE),
ROUNDDOWN(INDEX(Y$4:Y1644,MATCH(LARGE(FILTER(W$4:W1644,W$4:W1644&lt;=I1364),1)"&amp;",W$4:W1644))+(I1364-LARGE(FILTER(W$4:W1644,W$4:W1644&lt;=I1364),1))*INDEX(T$4:T1644,MATCH(LARGE(FILTER(W$4:W1644,W$4:W1644&lt;=I1364),1),W$4:W1644))-K1364),1,
ROUNDDOWN(Y1364-INDEX(K$4:K1644,MATCH(LARGE(FILTER(I$4:I1644,I$4:I1644&lt;=W1364),1),I$4:I1644))-(W1364-L"&amp;"ARGE(FILTER(I$4:I1644,I$4:I1644&lt;=W1364),1))*INDEX(F$4:F1644,MATCH(LARGE(FILTER(I$4:I1644,I$4:I1644&lt;=W1364),1),I$4:I1644))))"),"")</f>
        <v/>
      </c>
      <c r="N1364" s="60" t="str">
        <f t="shared" si="8"/>
        <v/>
      </c>
      <c r="O1364" s="61" t="str">
        <f t="shared" si="9"/>
        <v/>
      </c>
      <c r="P1364" s="56" t="str">
        <f t="shared" si="10"/>
        <v/>
      </c>
      <c r="Q1364" s="105"/>
      <c r="R1364" s="10"/>
      <c r="S1364" s="59" t="str">
        <f t="array" ref="S1364">IF(COUNTA(Q1364:Q1644)=0,"",SUM((COUNTIF(Q$4:Q1364,Upgrades!$B$3:$B$13)-COUNTIF(Q$4:Q1364,"Sell_"&amp;Upgrades!$B$3:$B$13))*Upgrades!$D$3:$D$13))</f>
        <v/>
      </c>
      <c r="T1364" s="66" t="str">
        <f>IFERROR(__xludf.DUMMYFUNCTION("IF(COUNTA(Q1364:Q1644)=0,"""",IF(REGEXMATCH(INDEX(FILTER(Q$4:Q1364,Q$4:Q1364&lt;&gt;""""),ROWS(FILTER(Q$4:Q1364,Q$4:Q1364&lt;&gt;""""))),""^Sell_""),INDEX(FILTER(T$4:T1363,Q$4:Q1363&lt;&gt;""""),ROWS(FILTER(Q$4:Q1363,Q$4:Q1363&lt;&gt;""""))),$AD$5+S1364))"),"")</f>
        <v/>
      </c>
      <c r="U1364" s="10" t="str">
        <f>IFERROR(__xludf.DUMMYFUNCTION("IF(COUNTA(Q1364:Q1644)=0,"""",IF(Q1364="""",0,IF(REGEXMATCH(Q1364,""^Sell_""),-ROUNDDOWN(ROUNDUP(INDEX(Upgrades!$C$3:$C$13,MATCH(SUBSTITUTE(Q1364,""Sell_"",""""),Upgrades!$B$3:$B$13,0))*1.15^(COUNTIF(Q$4:Q1363,SUBSTITUTE(Q1364,""Sell_"",""""))-COUNTIF(Q$4"&amp;":Q1363,""Sell_""&amp;SUBSTITUTE(Q1364,""Sell_"",""""))))/2),ROUNDUP(INDEX(Upgrades!$C$3:$C$13,MATCH(Q1364,Upgrades!$B$3:$B$13,0))*1.15^(COUNTIF(Q$4:Q1363,Q1364)-COUNTIF(Q$4:Q1363,""Sell_""&amp;Q1364))))))"),"")</f>
        <v/>
      </c>
      <c r="V1364" s="10" t="str">
        <f t="shared" si="11"/>
        <v/>
      </c>
      <c r="W1364" s="68" t="str">
        <f t="shared" si="12"/>
        <v/>
      </c>
      <c r="X1364" s="59" t="str">
        <f t="shared" si="13"/>
        <v/>
      </c>
      <c r="Y1364" s="69" t="str">
        <f t="shared" si="14"/>
        <v/>
      </c>
      <c r="Z1364" s="11"/>
      <c r="AG1364" s="59"/>
    </row>
    <row r="1365">
      <c r="A1365" s="8"/>
      <c r="B1365" s="56" t="str">
        <f t="shared" si="2"/>
        <v/>
      </c>
      <c r="C1365" s="105"/>
      <c r="D1365" s="10"/>
      <c r="E1365" s="59" t="str">
        <f t="array" ref="E1365">IF(COUNTA(C1365:C1644)=0,"",SUM((COUNTIF(C$4:C1365,Upgrades!$B$3:$B$13)-COUNTIF(C$4:C1365,"Sell_"&amp;Upgrades!$B$3:$B$13))*Upgrades!$D$3:$D$13))</f>
        <v/>
      </c>
      <c r="F1365" s="66" t="str">
        <f>IFERROR(__xludf.DUMMYFUNCTION("IF(COUNTA(C1365:C1644)=0,"""",IF(REGEXMATCH(INDEX(FILTER(C$4:C1365,C$4:C1365&lt;&gt;""""),ROWS(FILTER(C$4:C1365,C$4:C1365&lt;&gt;""""))),""^Sell_""),INDEX(FILTER(F$4:F1364,C$4:C1364&lt;&gt;""""),ROWS(FILTER(C$4:C1364,C$4:C1364&lt;&gt;""""))),$AC$5+E1365))"),"")</f>
        <v/>
      </c>
      <c r="G1365" s="10" t="str">
        <f>IFERROR(__xludf.DUMMYFUNCTION("IF(COUNTA(C1365:C1644)=0,"""",IF(C1365="""",0,IF(REGEXMATCH(C1365,""^Sell_""),-ROUNDDOWN(ROUNDUP(INDEX(Upgrades!$C$3:$C$13,MATCH(SUBSTITUTE(C1365,""Sell_"",""""),Upgrades!$B$3:$B$13,0))*1.15^(COUNTIF(C$4:C1364,SUBSTITUTE(C1365,""Sell_"",""""))-COUNTIF(C$4"&amp;":C1364,""Sell_""&amp;SUBSTITUTE(C1365,""Sell_"",""""))))/2),ROUNDUP(INDEX(Upgrades!$C$3:$C$13,MATCH(C1365,Upgrades!$B$3:$B$13,0))*1.15^(COUNTIF(C$4:C1364,C1365)-COUNTIF(C$4:C1364,""Sell_""&amp;C1365))))))"),"")</f>
        <v/>
      </c>
      <c r="H1365" s="10" t="str">
        <f t="shared" si="3"/>
        <v/>
      </c>
      <c r="I1365" s="68" t="str">
        <f t="shared" si="4"/>
        <v/>
      </c>
      <c r="J1365" s="59" t="str">
        <f t="shared" si="5"/>
        <v/>
      </c>
      <c r="K1365" s="69" t="str">
        <f t="shared" si="6"/>
        <v/>
      </c>
      <c r="L1365" s="60" t="str">
        <f t="shared" si="7"/>
        <v/>
      </c>
      <c r="M1365" s="61" t="str">
        <f>IFERROR(__xludf.DUMMYFUNCTION("IFS(AND(COUNTA(C1365:C1644)=0,COUNTA(Q1365:Q1644)=0),"""",OR(AND(K1365&gt;=1000000000,OR(Y1365&gt;=1000000000,COUNTA(Q1365:Q1644)=0)),OR(Y1365&gt;=1000000000,AND(COUNTA(C1365:C1644)=0,P$3=TRUE))),
ROUNDDOWN((AB$1-AC$1)*MAX(INDEX(T$4:T1644,MATCH(LARGE(FILTER(Y$4:Y1"&amp;"644,Y$4:Y1644&lt;1000000000),1),Y$4:Y1644)),INDEX(F$4:F1644,MATCH(LARGE(FILTER(K$4:K1644,K$4:K1644&lt;1000000000),1),K$4:K1644)))),AND(K1365&lt;1000000000,COUNTA(C1365:C1644)&gt;0,P$3=FALSE),
ROUNDDOWN(INDEX(Y$4:Y1644,MATCH(LARGE(FILTER(W$4:W1644,W$4:W1644&lt;=I1365),1)"&amp;",W$4:W1644))+(I1365-LARGE(FILTER(W$4:W1644,W$4:W1644&lt;=I1365),1))*INDEX(T$4:T1644,MATCH(LARGE(FILTER(W$4:W1644,W$4:W1644&lt;=I1365),1),W$4:W1644))-K1365),1,
ROUNDDOWN(Y1365-INDEX(K$4:K1644,MATCH(LARGE(FILTER(I$4:I1644,I$4:I1644&lt;=W1365),1),I$4:I1644))-(W1365-L"&amp;"ARGE(FILTER(I$4:I1644,I$4:I1644&lt;=W1365),1))*INDEX(F$4:F1644,MATCH(LARGE(FILTER(I$4:I1644,I$4:I1644&lt;=W1365),1),I$4:I1644))))"),"")</f>
        <v/>
      </c>
      <c r="N1365" s="60" t="str">
        <f t="shared" si="8"/>
        <v/>
      </c>
      <c r="O1365" s="61" t="str">
        <f t="shared" si="9"/>
        <v/>
      </c>
      <c r="P1365" s="56" t="str">
        <f t="shared" si="10"/>
        <v/>
      </c>
      <c r="Q1365" s="105"/>
      <c r="R1365" s="10"/>
      <c r="S1365" s="59" t="str">
        <f t="array" ref="S1365">IF(COUNTA(Q1365:Q1644)=0,"",SUM((COUNTIF(Q$4:Q1365,Upgrades!$B$3:$B$13)-COUNTIF(Q$4:Q1365,"Sell_"&amp;Upgrades!$B$3:$B$13))*Upgrades!$D$3:$D$13))</f>
        <v/>
      </c>
      <c r="T1365" s="66" t="str">
        <f>IFERROR(__xludf.DUMMYFUNCTION("IF(COUNTA(Q1365:Q1644)=0,"""",IF(REGEXMATCH(INDEX(FILTER(Q$4:Q1365,Q$4:Q1365&lt;&gt;""""),ROWS(FILTER(Q$4:Q1365,Q$4:Q1365&lt;&gt;""""))),""^Sell_""),INDEX(FILTER(T$4:T1364,Q$4:Q1364&lt;&gt;""""),ROWS(FILTER(Q$4:Q1364,Q$4:Q1364&lt;&gt;""""))),$AD$5+S1365))"),"")</f>
        <v/>
      </c>
      <c r="U1365" s="10" t="str">
        <f>IFERROR(__xludf.DUMMYFUNCTION("IF(COUNTA(Q1365:Q1644)=0,"""",IF(Q1365="""",0,IF(REGEXMATCH(Q1365,""^Sell_""),-ROUNDDOWN(ROUNDUP(INDEX(Upgrades!$C$3:$C$13,MATCH(SUBSTITUTE(Q1365,""Sell_"",""""),Upgrades!$B$3:$B$13,0))*1.15^(COUNTIF(Q$4:Q1364,SUBSTITUTE(Q1365,""Sell_"",""""))-COUNTIF(Q$4"&amp;":Q1364,""Sell_""&amp;SUBSTITUTE(Q1365,""Sell_"",""""))))/2),ROUNDUP(INDEX(Upgrades!$C$3:$C$13,MATCH(Q1365,Upgrades!$B$3:$B$13,0))*1.15^(COUNTIF(Q$4:Q1364,Q1365)-COUNTIF(Q$4:Q1364,""Sell_""&amp;Q1365))))))"),"")</f>
        <v/>
      </c>
      <c r="V1365" s="10" t="str">
        <f t="shared" si="11"/>
        <v/>
      </c>
      <c r="W1365" s="68" t="str">
        <f t="shared" si="12"/>
        <v/>
      </c>
      <c r="X1365" s="59" t="str">
        <f t="shared" si="13"/>
        <v/>
      </c>
      <c r="Y1365" s="69" t="str">
        <f t="shared" si="14"/>
        <v/>
      </c>
      <c r="Z1365" s="11"/>
      <c r="AG1365" s="59"/>
    </row>
    <row r="1366">
      <c r="A1366" s="8"/>
      <c r="B1366" s="56" t="str">
        <f t="shared" si="2"/>
        <v/>
      </c>
      <c r="C1366" s="105"/>
      <c r="D1366" s="10"/>
      <c r="E1366" s="59" t="str">
        <f t="array" ref="E1366">IF(COUNTA(C1366:C1644)=0,"",SUM((COUNTIF(C$4:C1366,Upgrades!$B$3:$B$13)-COUNTIF(C$4:C1366,"Sell_"&amp;Upgrades!$B$3:$B$13))*Upgrades!$D$3:$D$13))</f>
        <v/>
      </c>
      <c r="F1366" s="66" t="str">
        <f>IFERROR(__xludf.DUMMYFUNCTION("IF(COUNTA(C1366:C1644)=0,"""",IF(REGEXMATCH(INDEX(FILTER(C$4:C1366,C$4:C1366&lt;&gt;""""),ROWS(FILTER(C$4:C1366,C$4:C1366&lt;&gt;""""))),""^Sell_""),INDEX(FILTER(F$4:F1365,C$4:C1365&lt;&gt;""""),ROWS(FILTER(C$4:C1365,C$4:C1365&lt;&gt;""""))),$AC$5+E1366))"),"")</f>
        <v/>
      </c>
      <c r="G1366" s="10" t="str">
        <f>IFERROR(__xludf.DUMMYFUNCTION("IF(COUNTA(C1366:C1644)=0,"""",IF(C1366="""",0,IF(REGEXMATCH(C1366,""^Sell_""),-ROUNDDOWN(ROUNDUP(INDEX(Upgrades!$C$3:$C$13,MATCH(SUBSTITUTE(C1366,""Sell_"",""""),Upgrades!$B$3:$B$13,0))*1.15^(COUNTIF(C$4:C1365,SUBSTITUTE(C1366,""Sell_"",""""))-COUNTIF(C$4"&amp;":C1365,""Sell_""&amp;SUBSTITUTE(C1366,""Sell_"",""""))))/2),ROUNDUP(INDEX(Upgrades!$C$3:$C$13,MATCH(C1366,Upgrades!$B$3:$B$13,0))*1.15^(COUNTIF(C$4:C1365,C1366)-COUNTIF(C$4:C1365,""Sell_""&amp;C1366))))))"),"")</f>
        <v/>
      </c>
      <c r="H1366" s="10" t="str">
        <f t="shared" si="3"/>
        <v/>
      </c>
      <c r="I1366" s="68" t="str">
        <f t="shared" si="4"/>
        <v/>
      </c>
      <c r="J1366" s="59" t="str">
        <f t="shared" si="5"/>
        <v/>
      </c>
      <c r="K1366" s="69" t="str">
        <f t="shared" si="6"/>
        <v/>
      </c>
      <c r="L1366" s="60" t="str">
        <f t="shared" si="7"/>
        <v/>
      </c>
      <c r="M1366" s="61" t="str">
        <f>IFERROR(__xludf.DUMMYFUNCTION("IFS(AND(COUNTA(C1366:C1644)=0,COUNTA(Q1366:Q1644)=0),"""",OR(AND(K1366&gt;=1000000000,OR(Y1366&gt;=1000000000,COUNTA(Q1366:Q1644)=0)),OR(Y1366&gt;=1000000000,AND(COUNTA(C1366:C1644)=0,P$3=TRUE))),
ROUNDDOWN((AB$1-AC$1)*MAX(INDEX(T$4:T1644,MATCH(LARGE(FILTER(Y$4:Y1"&amp;"644,Y$4:Y1644&lt;1000000000),1),Y$4:Y1644)),INDEX(F$4:F1644,MATCH(LARGE(FILTER(K$4:K1644,K$4:K1644&lt;1000000000),1),K$4:K1644)))),AND(K1366&lt;1000000000,COUNTA(C1366:C1644)&gt;0,P$3=FALSE),
ROUNDDOWN(INDEX(Y$4:Y1644,MATCH(LARGE(FILTER(W$4:W1644,W$4:W1644&lt;=I1366),1)"&amp;",W$4:W1644))+(I1366-LARGE(FILTER(W$4:W1644,W$4:W1644&lt;=I1366),1))*INDEX(T$4:T1644,MATCH(LARGE(FILTER(W$4:W1644,W$4:W1644&lt;=I1366),1),W$4:W1644))-K1366),1,
ROUNDDOWN(Y1366-INDEX(K$4:K1644,MATCH(LARGE(FILTER(I$4:I1644,I$4:I1644&lt;=W1366),1),I$4:I1644))-(W1366-L"&amp;"ARGE(FILTER(I$4:I1644,I$4:I1644&lt;=W1366),1))*INDEX(F$4:F1644,MATCH(LARGE(FILTER(I$4:I1644,I$4:I1644&lt;=W1366),1),I$4:I1644))))"),"")</f>
        <v/>
      </c>
      <c r="N1366" s="60" t="str">
        <f t="shared" si="8"/>
        <v/>
      </c>
      <c r="O1366" s="61" t="str">
        <f t="shared" si="9"/>
        <v/>
      </c>
      <c r="P1366" s="56" t="str">
        <f t="shared" si="10"/>
        <v/>
      </c>
      <c r="Q1366" s="105"/>
      <c r="R1366" s="10"/>
      <c r="S1366" s="59" t="str">
        <f t="array" ref="S1366">IF(COUNTA(Q1366:Q1644)=0,"",SUM((COUNTIF(Q$4:Q1366,Upgrades!$B$3:$B$13)-COUNTIF(Q$4:Q1366,"Sell_"&amp;Upgrades!$B$3:$B$13))*Upgrades!$D$3:$D$13))</f>
        <v/>
      </c>
      <c r="T1366" s="66" t="str">
        <f>IFERROR(__xludf.DUMMYFUNCTION("IF(COUNTA(Q1366:Q1644)=0,"""",IF(REGEXMATCH(INDEX(FILTER(Q$4:Q1366,Q$4:Q1366&lt;&gt;""""),ROWS(FILTER(Q$4:Q1366,Q$4:Q1366&lt;&gt;""""))),""^Sell_""),INDEX(FILTER(T$4:T1365,Q$4:Q1365&lt;&gt;""""),ROWS(FILTER(Q$4:Q1365,Q$4:Q1365&lt;&gt;""""))),$AD$5+S1366))"),"")</f>
        <v/>
      </c>
      <c r="U1366" s="10" t="str">
        <f>IFERROR(__xludf.DUMMYFUNCTION("IF(COUNTA(Q1366:Q1644)=0,"""",IF(Q1366="""",0,IF(REGEXMATCH(Q1366,""^Sell_""),-ROUNDDOWN(ROUNDUP(INDEX(Upgrades!$C$3:$C$13,MATCH(SUBSTITUTE(Q1366,""Sell_"",""""),Upgrades!$B$3:$B$13,0))*1.15^(COUNTIF(Q$4:Q1365,SUBSTITUTE(Q1366,""Sell_"",""""))-COUNTIF(Q$4"&amp;":Q1365,""Sell_""&amp;SUBSTITUTE(Q1366,""Sell_"",""""))))/2),ROUNDUP(INDEX(Upgrades!$C$3:$C$13,MATCH(Q1366,Upgrades!$B$3:$B$13,0))*1.15^(COUNTIF(Q$4:Q1365,Q1366)-COUNTIF(Q$4:Q1365,""Sell_""&amp;Q1366))))))"),"")</f>
        <v/>
      </c>
      <c r="V1366" s="10" t="str">
        <f t="shared" si="11"/>
        <v/>
      </c>
      <c r="W1366" s="68" t="str">
        <f t="shared" si="12"/>
        <v/>
      </c>
      <c r="X1366" s="59" t="str">
        <f t="shared" si="13"/>
        <v/>
      </c>
      <c r="Y1366" s="69" t="str">
        <f t="shared" si="14"/>
        <v/>
      </c>
      <c r="Z1366" s="11"/>
      <c r="AG1366" s="59"/>
    </row>
    <row r="1367">
      <c r="A1367" s="8"/>
      <c r="B1367" s="56" t="str">
        <f t="shared" si="2"/>
        <v/>
      </c>
      <c r="C1367" s="105"/>
      <c r="D1367" s="10"/>
      <c r="E1367" s="59" t="str">
        <f t="array" ref="E1367">IF(COUNTA(C1367:C1644)=0,"",SUM((COUNTIF(C$4:C1367,Upgrades!$B$3:$B$13)-COUNTIF(C$4:C1367,"Sell_"&amp;Upgrades!$B$3:$B$13))*Upgrades!$D$3:$D$13))</f>
        <v/>
      </c>
      <c r="F1367" s="66" t="str">
        <f>IFERROR(__xludf.DUMMYFUNCTION("IF(COUNTA(C1367:C1644)=0,"""",IF(REGEXMATCH(INDEX(FILTER(C$4:C1367,C$4:C1367&lt;&gt;""""),ROWS(FILTER(C$4:C1367,C$4:C1367&lt;&gt;""""))),""^Sell_""),INDEX(FILTER(F$4:F1366,C$4:C1366&lt;&gt;""""),ROWS(FILTER(C$4:C1366,C$4:C1366&lt;&gt;""""))),$AC$5+E1367))"),"")</f>
        <v/>
      </c>
      <c r="G1367" s="10" t="str">
        <f>IFERROR(__xludf.DUMMYFUNCTION("IF(COUNTA(C1367:C1644)=0,"""",IF(C1367="""",0,IF(REGEXMATCH(C1367,""^Sell_""),-ROUNDDOWN(ROUNDUP(INDEX(Upgrades!$C$3:$C$13,MATCH(SUBSTITUTE(C1367,""Sell_"",""""),Upgrades!$B$3:$B$13,0))*1.15^(COUNTIF(C$4:C1366,SUBSTITUTE(C1367,""Sell_"",""""))-COUNTIF(C$4"&amp;":C1366,""Sell_""&amp;SUBSTITUTE(C1367,""Sell_"",""""))))/2),ROUNDUP(INDEX(Upgrades!$C$3:$C$13,MATCH(C1367,Upgrades!$B$3:$B$13,0))*1.15^(COUNTIF(C$4:C1366,C1367)-COUNTIF(C$4:C1366,""Sell_""&amp;C1367))))))"),"")</f>
        <v/>
      </c>
      <c r="H1367" s="10" t="str">
        <f t="shared" si="3"/>
        <v/>
      </c>
      <c r="I1367" s="68" t="str">
        <f t="shared" si="4"/>
        <v/>
      </c>
      <c r="J1367" s="59" t="str">
        <f t="shared" si="5"/>
        <v/>
      </c>
      <c r="K1367" s="69" t="str">
        <f t="shared" si="6"/>
        <v/>
      </c>
      <c r="L1367" s="60" t="str">
        <f t="shared" si="7"/>
        <v/>
      </c>
      <c r="M1367" s="61" t="str">
        <f>IFERROR(__xludf.DUMMYFUNCTION("IFS(AND(COUNTA(C1367:C1644)=0,COUNTA(Q1367:Q1644)=0),"""",OR(AND(K1367&gt;=1000000000,OR(Y1367&gt;=1000000000,COUNTA(Q1367:Q1644)=0)),OR(Y1367&gt;=1000000000,AND(COUNTA(C1367:C1644)=0,P$3=TRUE))),
ROUNDDOWN((AB$1-AC$1)*MAX(INDEX(T$4:T1644,MATCH(LARGE(FILTER(Y$4:Y1"&amp;"644,Y$4:Y1644&lt;1000000000),1),Y$4:Y1644)),INDEX(F$4:F1644,MATCH(LARGE(FILTER(K$4:K1644,K$4:K1644&lt;1000000000),1),K$4:K1644)))),AND(K1367&lt;1000000000,COUNTA(C1367:C1644)&gt;0,P$3=FALSE),
ROUNDDOWN(INDEX(Y$4:Y1644,MATCH(LARGE(FILTER(W$4:W1644,W$4:W1644&lt;=I1367),1)"&amp;",W$4:W1644))+(I1367-LARGE(FILTER(W$4:W1644,W$4:W1644&lt;=I1367),1))*INDEX(T$4:T1644,MATCH(LARGE(FILTER(W$4:W1644,W$4:W1644&lt;=I1367),1),W$4:W1644))-K1367),1,
ROUNDDOWN(Y1367-INDEX(K$4:K1644,MATCH(LARGE(FILTER(I$4:I1644,I$4:I1644&lt;=W1367),1),I$4:I1644))-(W1367-L"&amp;"ARGE(FILTER(I$4:I1644,I$4:I1644&lt;=W1367),1))*INDEX(F$4:F1644,MATCH(LARGE(FILTER(I$4:I1644,I$4:I1644&lt;=W1367),1),I$4:I1644))))"),"")</f>
        <v/>
      </c>
      <c r="N1367" s="60" t="str">
        <f t="shared" si="8"/>
        <v/>
      </c>
      <c r="O1367" s="61" t="str">
        <f t="shared" si="9"/>
        <v/>
      </c>
      <c r="P1367" s="56" t="str">
        <f t="shared" si="10"/>
        <v/>
      </c>
      <c r="Q1367" s="105"/>
      <c r="R1367" s="10"/>
      <c r="S1367" s="59" t="str">
        <f t="array" ref="S1367">IF(COUNTA(Q1367:Q1644)=0,"",SUM((COUNTIF(Q$4:Q1367,Upgrades!$B$3:$B$13)-COUNTIF(Q$4:Q1367,"Sell_"&amp;Upgrades!$B$3:$B$13))*Upgrades!$D$3:$D$13))</f>
        <v/>
      </c>
      <c r="T1367" s="66" t="str">
        <f>IFERROR(__xludf.DUMMYFUNCTION("IF(COUNTA(Q1367:Q1644)=0,"""",IF(REGEXMATCH(INDEX(FILTER(Q$4:Q1367,Q$4:Q1367&lt;&gt;""""),ROWS(FILTER(Q$4:Q1367,Q$4:Q1367&lt;&gt;""""))),""^Sell_""),INDEX(FILTER(T$4:T1366,Q$4:Q1366&lt;&gt;""""),ROWS(FILTER(Q$4:Q1366,Q$4:Q1366&lt;&gt;""""))),$AD$5+S1367))"),"")</f>
        <v/>
      </c>
      <c r="U1367" s="10" t="str">
        <f>IFERROR(__xludf.DUMMYFUNCTION("IF(COUNTA(Q1367:Q1644)=0,"""",IF(Q1367="""",0,IF(REGEXMATCH(Q1367,""^Sell_""),-ROUNDDOWN(ROUNDUP(INDEX(Upgrades!$C$3:$C$13,MATCH(SUBSTITUTE(Q1367,""Sell_"",""""),Upgrades!$B$3:$B$13,0))*1.15^(COUNTIF(Q$4:Q1366,SUBSTITUTE(Q1367,""Sell_"",""""))-COUNTIF(Q$4"&amp;":Q1366,""Sell_""&amp;SUBSTITUTE(Q1367,""Sell_"",""""))))/2),ROUNDUP(INDEX(Upgrades!$C$3:$C$13,MATCH(Q1367,Upgrades!$B$3:$B$13,0))*1.15^(COUNTIF(Q$4:Q1366,Q1367)-COUNTIF(Q$4:Q1366,""Sell_""&amp;Q1367))))))"),"")</f>
        <v/>
      </c>
      <c r="V1367" s="10" t="str">
        <f t="shared" si="11"/>
        <v/>
      </c>
      <c r="W1367" s="68" t="str">
        <f t="shared" si="12"/>
        <v/>
      </c>
      <c r="X1367" s="59" t="str">
        <f t="shared" si="13"/>
        <v/>
      </c>
      <c r="Y1367" s="69" t="str">
        <f t="shared" si="14"/>
        <v/>
      </c>
      <c r="Z1367" s="11"/>
      <c r="AG1367" s="59"/>
    </row>
    <row r="1368">
      <c r="A1368" s="8"/>
      <c r="B1368" s="56" t="str">
        <f t="shared" si="2"/>
        <v/>
      </c>
      <c r="C1368" s="105"/>
      <c r="D1368" s="10"/>
      <c r="E1368" s="59" t="str">
        <f t="array" ref="E1368">IF(COUNTA(C1368:C1644)=0,"",SUM((COUNTIF(C$4:C1368,Upgrades!$B$3:$B$13)-COUNTIF(C$4:C1368,"Sell_"&amp;Upgrades!$B$3:$B$13))*Upgrades!$D$3:$D$13))</f>
        <v/>
      </c>
      <c r="F1368" s="66" t="str">
        <f>IFERROR(__xludf.DUMMYFUNCTION("IF(COUNTA(C1368:C1644)=0,"""",IF(REGEXMATCH(INDEX(FILTER(C$4:C1368,C$4:C1368&lt;&gt;""""),ROWS(FILTER(C$4:C1368,C$4:C1368&lt;&gt;""""))),""^Sell_""),INDEX(FILTER(F$4:F1367,C$4:C1367&lt;&gt;""""),ROWS(FILTER(C$4:C1367,C$4:C1367&lt;&gt;""""))),$AC$5+E1368))"),"")</f>
        <v/>
      </c>
      <c r="G1368" s="10" t="str">
        <f>IFERROR(__xludf.DUMMYFUNCTION("IF(COUNTA(C1368:C1644)=0,"""",IF(C1368="""",0,IF(REGEXMATCH(C1368,""^Sell_""),-ROUNDDOWN(ROUNDUP(INDEX(Upgrades!$C$3:$C$13,MATCH(SUBSTITUTE(C1368,""Sell_"",""""),Upgrades!$B$3:$B$13,0))*1.15^(COUNTIF(C$4:C1367,SUBSTITUTE(C1368,""Sell_"",""""))-COUNTIF(C$4"&amp;":C1367,""Sell_""&amp;SUBSTITUTE(C1368,""Sell_"",""""))))/2),ROUNDUP(INDEX(Upgrades!$C$3:$C$13,MATCH(C1368,Upgrades!$B$3:$B$13,0))*1.15^(COUNTIF(C$4:C1367,C1368)-COUNTIF(C$4:C1367,""Sell_""&amp;C1368))))))"),"")</f>
        <v/>
      </c>
      <c r="H1368" s="10" t="str">
        <f t="shared" si="3"/>
        <v/>
      </c>
      <c r="I1368" s="68" t="str">
        <f t="shared" si="4"/>
        <v/>
      </c>
      <c r="J1368" s="59" t="str">
        <f t="shared" si="5"/>
        <v/>
      </c>
      <c r="K1368" s="69" t="str">
        <f t="shared" si="6"/>
        <v/>
      </c>
      <c r="L1368" s="60" t="str">
        <f t="shared" si="7"/>
        <v/>
      </c>
      <c r="M1368" s="61" t="str">
        <f>IFERROR(__xludf.DUMMYFUNCTION("IFS(AND(COUNTA(C1368:C1644)=0,COUNTA(Q1368:Q1644)=0),"""",OR(AND(K1368&gt;=1000000000,OR(Y1368&gt;=1000000000,COUNTA(Q1368:Q1644)=0)),OR(Y1368&gt;=1000000000,AND(COUNTA(C1368:C1644)=0,P$3=TRUE))),
ROUNDDOWN((AB$1-AC$1)*MAX(INDEX(T$4:T1644,MATCH(LARGE(FILTER(Y$4:Y1"&amp;"644,Y$4:Y1644&lt;1000000000),1),Y$4:Y1644)),INDEX(F$4:F1644,MATCH(LARGE(FILTER(K$4:K1644,K$4:K1644&lt;1000000000),1),K$4:K1644)))),AND(K1368&lt;1000000000,COUNTA(C1368:C1644)&gt;0,P$3=FALSE),
ROUNDDOWN(INDEX(Y$4:Y1644,MATCH(LARGE(FILTER(W$4:W1644,W$4:W1644&lt;=I1368),1)"&amp;",W$4:W1644))+(I1368-LARGE(FILTER(W$4:W1644,W$4:W1644&lt;=I1368),1))*INDEX(T$4:T1644,MATCH(LARGE(FILTER(W$4:W1644,W$4:W1644&lt;=I1368),1),W$4:W1644))-K1368),1,
ROUNDDOWN(Y1368-INDEX(K$4:K1644,MATCH(LARGE(FILTER(I$4:I1644,I$4:I1644&lt;=W1368),1),I$4:I1644))-(W1368-L"&amp;"ARGE(FILTER(I$4:I1644,I$4:I1644&lt;=W1368),1))*INDEX(F$4:F1644,MATCH(LARGE(FILTER(I$4:I1644,I$4:I1644&lt;=W1368),1),I$4:I1644))))"),"")</f>
        <v/>
      </c>
      <c r="N1368" s="60" t="str">
        <f t="shared" si="8"/>
        <v/>
      </c>
      <c r="O1368" s="61" t="str">
        <f t="shared" si="9"/>
        <v/>
      </c>
      <c r="P1368" s="56" t="str">
        <f t="shared" si="10"/>
        <v/>
      </c>
      <c r="Q1368" s="105"/>
      <c r="R1368" s="10"/>
      <c r="S1368" s="59" t="str">
        <f t="array" ref="S1368">IF(COUNTA(Q1368:Q1644)=0,"",SUM((COUNTIF(Q$4:Q1368,Upgrades!$B$3:$B$13)-COUNTIF(Q$4:Q1368,"Sell_"&amp;Upgrades!$B$3:$B$13))*Upgrades!$D$3:$D$13))</f>
        <v/>
      </c>
      <c r="T1368" s="66" t="str">
        <f>IFERROR(__xludf.DUMMYFUNCTION("IF(COUNTA(Q1368:Q1644)=0,"""",IF(REGEXMATCH(INDEX(FILTER(Q$4:Q1368,Q$4:Q1368&lt;&gt;""""),ROWS(FILTER(Q$4:Q1368,Q$4:Q1368&lt;&gt;""""))),""^Sell_""),INDEX(FILTER(T$4:T1367,Q$4:Q1367&lt;&gt;""""),ROWS(FILTER(Q$4:Q1367,Q$4:Q1367&lt;&gt;""""))),$AD$5+S1368))"),"")</f>
        <v/>
      </c>
      <c r="U1368" s="10" t="str">
        <f>IFERROR(__xludf.DUMMYFUNCTION("IF(COUNTA(Q1368:Q1644)=0,"""",IF(Q1368="""",0,IF(REGEXMATCH(Q1368,""^Sell_""),-ROUNDDOWN(ROUNDUP(INDEX(Upgrades!$C$3:$C$13,MATCH(SUBSTITUTE(Q1368,""Sell_"",""""),Upgrades!$B$3:$B$13,0))*1.15^(COUNTIF(Q$4:Q1367,SUBSTITUTE(Q1368,""Sell_"",""""))-COUNTIF(Q$4"&amp;":Q1367,""Sell_""&amp;SUBSTITUTE(Q1368,""Sell_"",""""))))/2),ROUNDUP(INDEX(Upgrades!$C$3:$C$13,MATCH(Q1368,Upgrades!$B$3:$B$13,0))*1.15^(COUNTIF(Q$4:Q1367,Q1368)-COUNTIF(Q$4:Q1367,""Sell_""&amp;Q1368))))))"),"")</f>
        <v/>
      </c>
      <c r="V1368" s="10" t="str">
        <f t="shared" si="11"/>
        <v/>
      </c>
      <c r="W1368" s="68" t="str">
        <f t="shared" si="12"/>
        <v/>
      </c>
      <c r="X1368" s="59" t="str">
        <f t="shared" si="13"/>
        <v/>
      </c>
      <c r="Y1368" s="69" t="str">
        <f t="shared" si="14"/>
        <v/>
      </c>
      <c r="Z1368" s="11"/>
      <c r="AG1368" s="59"/>
    </row>
    <row r="1369">
      <c r="A1369" s="8"/>
      <c r="B1369" s="56" t="str">
        <f t="shared" si="2"/>
        <v/>
      </c>
      <c r="C1369" s="105"/>
      <c r="D1369" s="10"/>
      <c r="E1369" s="59" t="str">
        <f t="array" ref="E1369">IF(COUNTA(C1369:C1644)=0,"",SUM((COUNTIF(C$4:C1369,Upgrades!$B$3:$B$13)-COUNTIF(C$4:C1369,"Sell_"&amp;Upgrades!$B$3:$B$13))*Upgrades!$D$3:$D$13))</f>
        <v/>
      </c>
      <c r="F1369" s="66" t="str">
        <f>IFERROR(__xludf.DUMMYFUNCTION("IF(COUNTA(C1369:C1644)=0,"""",IF(REGEXMATCH(INDEX(FILTER(C$4:C1369,C$4:C1369&lt;&gt;""""),ROWS(FILTER(C$4:C1369,C$4:C1369&lt;&gt;""""))),""^Sell_""),INDEX(FILTER(F$4:F1368,C$4:C1368&lt;&gt;""""),ROWS(FILTER(C$4:C1368,C$4:C1368&lt;&gt;""""))),$AC$5+E1369))"),"")</f>
        <v/>
      </c>
      <c r="G1369" s="10" t="str">
        <f>IFERROR(__xludf.DUMMYFUNCTION("IF(COUNTA(C1369:C1644)=0,"""",IF(C1369="""",0,IF(REGEXMATCH(C1369,""^Sell_""),-ROUNDDOWN(ROUNDUP(INDEX(Upgrades!$C$3:$C$13,MATCH(SUBSTITUTE(C1369,""Sell_"",""""),Upgrades!$B$3:$B$13,0))*1.15^(COUNTIF(C$4:C1368,SUBSTITUTE(C1369,""Sell_"",""""))-COUNTIF(C$4"&amp;":C1368,""Sell_""&amp;SUBSTITUTE(C1369,""Sell_"",""""))))/2),ROUNDUP(INDEX(Upgrades!$C$3:$C$13,MATCH(C1369,Upgrades!$B$3:$B$13,0))*1.15^(COUNTIF(C$4:C1368,C1369)-COUNTIF(C$4:C1368,""Sell_""&amp;C1369))))))"),"")</f>
        <v/>
      </c>
      <c r="H1369" s="10" t="str">
        <f t="shared" si="3"/>
        <v/>
      </c>
      <c r="I1369" s="68" t="str">
        <f t="shared" si="4"/>
        <v/>
      </c>
      <c r="J1369" s="59" t="str">
        <f t="shared" si="5"/>
        <v/>
      </c>
      <c r="K1369" s="69" t="str">
        <f t="shared" si="6"/>
        <v/>
      </c>
      <c r="L1369" s="60" t="str">
        <f t="shared" si="7"/>
        <v/>
      </c>
      <c r="M1369" s="61" t="str">
        <f>IFERROR(__xludf.DUMMYFUNCTION("IFS(AND(COUNTA(C1369:C1644)=0,COUNTA(Q1369:Q1644)=0),"""",OR(AND(K1369&gt;=1000000000,OR(Y1369&gt;=1000000000,COUNTA(Q1369:Q1644)=0)),OR(Y1369&gt;=1000000000,AND(COUNTA(C1369:C1644)=0,P$3=TRUE))),
ROUNDDOWN((AB$1-AC$1)*MAX(INDEX(T$4:T1644,MATCH(LARGE(FILTER(Y$4:Y1"&amp;"644,Y$4:Y1644&lt;1000000000),1),Y$4:Y1644)),INDEX(F$4:F1644,MATCH(LARGE(FILTER(K$4:K1644,K$4:K1644&lt;1000000000),1),K$4:K1644)))),AND(K1369&lt;1000000000,COUNTA(C1369:C1644)&gt;0,P$3=FALSE),
ROUNDDOWN(INDEX(Y$4:Y1644,MATCH(LARGE(FILTER(W$4:W1644,W$4:W1644&lt;=I1369),1)"&amp;",W$4:W1644))+(I1369-LARGE(FILTER(W$4:W1644,W$4:W1644&lt;=I1369),1))*INDEX(T$4:T1644,MATCH(LARGE(FILTER(W$4:W1644,W$4:W1644&lt;=I1369),1),W$4:W1644))-K1369),1,
ROUNDDOWN(Y1369-INDEX(K$4:K1644,MATCH(LARGE(FILTER(I$4:I1644,I$4:I1644&lt;=W1369),1),I$4:I1644))-(W1369-L"&amp;"ARGE(FILTER(I$4:I1644,I$4:I1644&lt;=W1369),1))*INDEX(F$4:F1644,MATCH(LARGE(FILTER(I$4:I1644,I$4:I1644&lt;=W1369),1),I$4:I1644))))"),"")</f>
        <v/>
      </c>
      <c r="N1369" s="60" t="str">
        <f t="shared" si="8"/>
        <v/>
      </c>
      <c r="O1369" s="61" t="str">
        <f t="shared" si="9"/>
        <v/>
      </c>
      <c r="P1369" s="56" t="str">
        <f t="shared" si="10"/>
        <v/>
      </c>
      <c r="Q1369" s="105"/>
      <c r="R1369" s="10"/>
      <c r="S1369" s="59" t="str">
        <f t="array" ref="S1369">IF(COUNTA(Q1369:Q1644)=0,"",SUM((COUNTIF(Q$4:Q1369,Upgrades!$B$3:$B$13)-COUNTIF(Q$4:Q1369,"Sell_"&amp;Upgrades!$B$3:$B$13))*Upgrades!$D$3:$D$13))</f>
        <v/>
      </c>
      <c r="T1369" s="66" t="str">
        <f>IFERROR(__xludf.DUMMYFUNCTION("IF(COUNTA(Q1369:Q1644)=0,"""",IF(REGEXMATCH(INDEX(FILTER(Q$4:Q1369,Q$4:Q1369&lt;&gt;""""),ROWS(FILTER(Q$4:Q1369,Q$4:Q1369&lt;&gt;""""))),""^Sell_""),INDEX(FILTER(T$4:T1368,Q$4:Q1368&lt;&gt;""""),ROWS(FILTER(Q$4:Q1368,Q$4:Q1368&lt;&gt;""""))),$AD$5+S1369))"),"")</f>
        <v/>
      </c>
      <c r="U1369" s="10" t="str">
        <f>IFERROR(__xludf.DUMMYFUNCTION("IF(COUNTA(Q1369:Q1644)=0,"""",IF(Q1369="""",0,IF(REGEXMATCH(Q1369,""^Sell_""),-ROUNDDOWN(ROUNDUP(INDEX(Upgrades!$C$3:$C$13,MATCH(SUBSTITUTE(Q1369,""Sell_"",""""),Upgrades!$B$3:$B$13,0))*1.15^(COUNTIF(Q$4:Q1368,SUBSTITUTE(Q1369,""Sell_"",""""))-COUNTIF(Q$4"&amp;":Q1368,""Sell_""&amp;SUBSTITUTE(Q1369,""Sell_"",""""))))/2),ROUNDUP(INDEX(Upgrades!$C$3:$C$13,MATCH(Q1369,Upgrades!$B$3:$B$13,0))*1.15^(COUNTIF(Q$4:Q1368,Q1369)-COUNTIF(Q$4:Q1368,""Sell_""&amp;Q1369))))))"),"")</f>
        <v/>
      </c>
      <c r="V1369" s="10" t="str">
        <f t="shared" si="11"/>
        <v/>
      </c>
      <c r="W1369" s="68" t="str">
        <f t="shared" si="12"/>
        <v/>
      </c>
      <c r="X1369" s="59" t="str">
        <f t="shared" si="13"/>
        <v/>
      </c>
      <c r="Y1369" s="69" t="str">
        <f t="shared" si="14"/>
        <v/>
      </c>
      <c r="Z1369" s="11"/>
      <c r="AG1369" s="59"/>
    </row>
    <row r="1370">
      <c r="A1370" s="8"/>
      <c r="B1370" s="56" t="str">
        <f t="shared" si="2"/>
        <v/>
      </c>
      <c r="C1370" s="105"/>
      <c r="D1370" s="10"/>
      <c r="E1370" s="59" t="str">
        <f t="array" ref="E1370">IF(COUNTA(C1370:C1644)=0,"",SUM((COUNTIF(C$4:C1370,Upgrades!$B$3:$B$13)-COUNTIF(C$4:C1370,"Sell_"&amp;Upgrades!$B$3:$B$13))*Upgrades!$D$3:$D$13))</f>
        <v/>
      </c>
      <c r="F1370" s="66" t="str">
        <f>IFERROR(__xludf.DUMMYFUNCTION("IF(COUNTA(C1370:C1644)=0,"""",IF(REGEXMATCH(INDEX(FILTER(C$4:C1370,C$4:C1370&lt;&gt;""""),ROWS(FILTER(C$4:C1370,C$4:C1370&lt;&gt;""""))),""^Sell_""),INDEX(FILTER(F$4:F1369,C$4:C1369&lt;&gt;""""),ROWS(FILTER(C$4:C1369,C$4:C1369&lt;&gt;""""))),$AC$5+E1370))"),"")</f>
        <v/>
      </c>
      <c r="G1370" s="10" t="str">
        <f>IFERROR(__xludf.DUMMYFUNCTION("IF(COUNTA(C1370:C1644)=0,"""",IF(C1370="""",0,IF(REGEXMATCH(C1370,""^Sell_""),-ROUNDDOWN(ROUNDUP(INDEX(Upgrades!$C$3:$C$13,MATCH(SUBSTITUTE(C1370,""Sell_"",""""),Upgrades!$B$3:$B$13,0))*1.15^(COUNTIF(C$4:C1369,SUBSTITUTE(C1370,""Sell_"",""""))-COUNTIF(C$4"&amp;":C1369,""Sell_""&amp;SUBSTITUTE(C1370,""Sell_"",""""))))/2),ROUNDUP(INDEX(Upgrades!$C$3:$C$13,MATCH(C1370,Upgrades!$B$3:$B$13,0))*1.15^(COUNTIF(C$4:C1369,C1370)-COUNTIF(C$4:C1369,""Sell_""&amp;C1370))))))"),"")</f>
        <v/>
      </c>
      <c r="H1370" s="10" t="str">
        <f t="shared" si="3"/>
        <v/>
      </c>
      <c r="I1370" s="68" t="str">
        <f t="shared" si="4"/>
        <v/>
      </c>
      <c r="J1370" s="59" t="str">
        <f t="shared" si="5"/>
        <v/>
      </c>
      <c r="K1370" s="69" t="str">
        <f t="shared" si="6"/>
        <v/>
      </c>
      <c r="L1370" s="60" t="str">
        <f t="shared" si="7"/>
        <v/>
      </c>
      <c r="M1370" s="61" t="str">
        <f>IFERROR(__xludf.DUMMYFUNCTION("IFS(AND(COUNTA(C1370:C1644)=0,COUNTA(Q1370:Q1644)=0),"""",OR(AND(K1370&gt;=1000000000,OR(Y1370&gt;=1000000000,COUNTA(Q1370:Q1644)=0)),OR(Y1370&gt;=1000000000,AND(COUNTA(C1370:C1644)=0,P$3=TRUE))),
ROUNDDOWN((AB$1-AC$1)*MAX(INDEX(T$4:T1644,MATCH(LARGE(FILTER(Y$4:Y1"&amp;"644,Y$4:Y1644&lt;1000000000),1),Y$4:Y1644)),INDEX(F$4:F1644,MATCH(LARGE(FILTER(K$4:K1644,K$4:K1644&lt;1000000000),1),K$4:K1644)))),AND(K1370&lt;1000000000,COUNTA(C1370:C1644)&gt;0,P$3=FALSE),
ROUNDDOWN(INDEX(Y$4:Y1644,MATCH(LARGE(FILTER(W$4:W1644,W$4:W1644&lt;=I1370),1)"&amp;",W$4:W1644))+(I1370-LARGE(FILTER(W$4:W1644,W$4:W1644&lt;=I1370),1))*INDEX(T$4:T1644,MATCH(LARGE(FILTER(W$4:W1644,W$4:W1644&lt;=I1370),1),W$4:W1644))-K1370),1,
ROUNDDOWN(Y1370-INDEX(K$4:K1644,MATCH(LARGE(FILTER(I$4:I1644,I$4:I1644&lt;=W1370),1),I$4:I1644))-(W1370-L"&amp;"ARGE(FILTER(I$4:I1644,I$4:I1644&lt;=W1370),1))*INDEX(F$4:F1644,MATCH(LARGE(FILTER(I$4:I1644,I$4:I1644&lt;=W1370),1),I$4:I1644))))"),"")</f>
        <v/>
      </c>
      <c r="N1370" s="60" t="str">
        <f t="shared" si="8"/>
        <v/>
      </c>
      <c r="O1370" s="61" t="str">
        <f t="shared" si="9"/>
        <v/>
      </c>
      <c r="P1370" s="56" t="str">
        <f t="shared" si="10"/>
        <v/>
      </c>
      <c r="Q1370" s="105"/>
      <c r="R1370" s="10"/>
      <c r="S1370" s="59" t="str">
        <f t="array" ref="S1370">IF(COUNTA(Q1370:Q1644)=0,"",SUM((COUNTIF(Q$4:Q1370,Upgrades!$B$3:$B$13)-COUNTIF(Q$4:Q1370,"Sell_"&amp;Upgrades!$B$3:$B$13))*Upgrades!$D$3:$D$13))</f>
        <v/>
      </c>
      <c r="T1370" s="66" t="str">
        <f>IFERROR(__xludf.DUMMYFUNCTION("IF(COUNTA(Q1370:Q1644)=0,"""",IF(REGEXMATCH(INDEX(FILTER(Q$4:Q1370,Q$4:Q1370&lt;&gt;""""),ROWS(FILTER(Q$4:Q1370,Q$4:Q1370&lt;&gt;""""))),""^Sell_""),INDEX(FILTER(T$4:T1369,Q$4:Q1369&lt;&gt;""""),ROWS(FILTER(Q$4:Q1369,Q$4:Q1369&lt;&gt;""""))),$AD$5+S1370))"),"")</f>
        <v/>
      </c>
      <c r="U1370" s="10" t="str">
        <f>IFERROR(__xludf.DUMMYFUNCTION("IF(COUNTA(Q1370:Q1644)=0,"""",IF(Q1370="""",0,IF(REGEXMATCH(Q1370,""^Sell_""),-ROUNDDOWN(ROUNDUP(INDEX(Upgrades!$C$3:$C$13,MATCH(SUBSTITUTE(Q1370,""Sell_"",""""),Upgrades!$B$3:$B$13,0))*1.15^(COUNTIF(Q$4:Q1369,SUBSTITUTE(Q1370,""Sell_"",""""))-COUNTIF(Q$4"&amp;":Q1369,""Sell_""&amp;SUBSTITUTE(Q1370,""Sell_"",""""))))/2),ROUNDUP(INDEX(Upgrades!$C$3:$C$13,MATCH(Q1370,Upgrades!$B$3:$B$13,0))*1.15^(COUNTIF(Q$4:Q1369,Q1370)-COUNTIF(Q$4:Q1369,""Sell_""&amp;Q1370))))))"),"")</f>
        <v/>
      </c>
      <c r="V1370" s="10" t="str">
        <f t="shared" si="11"/>
        <v/>
      </c>
      <c r="W1370" s="68" t="str">
        <f t="shared" si="12"/>
        <v/>
      </c>
      <c r="X1370" s="59" t="str">
        <f t="shared" si="13"/>
        <v/>
      </c>
      <c r="Y1370" s="69" t="str">
        <f t="shared" si="14"/>
        <v/>
      </c>
      <c r="Z1370" s="11"/>
      <c r="AG1370" s="59"/>
    </row>
    <row r="1371">
      <c r="A1371" s="8"/>
      <c r="B1371" s="56" t="str">
        <f t="shared" si="2"/>
        <v/>
      </c>
      <c r="C1371" s="105"/>
      <c r="D1371" s="10"/>
      <c r="E1371" s="59" t="str">
        <f t="array" ref="E1371">IF(COUNTA(C1371:C1644)=0,"",SUM((COUNTIF(C$4:C1371,Upgrades!$B$3:$B$13)-COUNTIF(C$4:C1371,"Sell_"&amp;Upgrades!$B$3:$B$13))*Upgrades!$D$3:$D$13))</f>
        <v/>
      </c>
      <c r="F1371" s="66" t="str">
        <f>IFERROR(__xludf.DUMMYFUNCTION("IF(COUNTA(C1371:C1644)=0,"""",IF(REGEXMATCH(INDEX(FILTER(C$4:C1371,C$4:C1371&lt;&gt;""""),ROWS(FILTER(C$4:C1371,C$4:C1371&lt;&gt;""""))),""^Sell_""),INDEX(FILTER(F$4:F1370,C$4:C1370&lt;&gt;""""),ROWS(FILTER(C$4:C1370,C$4:C1370&lt;&gt;""""))),$AC$5+E1371))"),"")</f>
        <v/>
      </c>
      <c r="G1371" s="10" t="str">
        <f>IFERROR(__xludf.DUMMYFUNCTION("IF(COUNTA(C1371:C1644)=0,"""",IF(C1371="""",0,IF(REGEXMATCH(C1371,""^Sell_""),-ROUNDDOWN(ROUNDUP(INDEX(Upgrades!$C$3:$C$13,MATCH(SUBSTITUTE(C1371,""Sell_"",""""),Upgrades!$B$3:$B$13,0))*1.15^(COUNTIF(C$4:C1370,SUBSTITUTE(C1371,""Sell_"",""""))-COUNTIF(C$4"&amp;":C1370,""Sell_""&amp;SUBSTITUTE(C1371,""Sell_"",""""))))/2),ROUNDUP(INDEX(Upgrades!$C$3:$C$13,MATCH(C1371,Upgrades!$B$3:$B$13,0))*1.15^(COUNTIF(C$4:C1370,C1371)-COUNTIF(C$4:C1370,""Sell_""&amp;C1371))))))"),"")</f>
        <v/>
      </c>
      <c r="H1371" s="10" t="str">
        <f t="shared" si="3"/>
        <v/>
      </c>
      <c r="I1371" s="68" t="str">
        <f t="shared" si="4"/>
        <v/>
      </c>
      <c r="J1371" s="59" t="str">
        <f t="shared" si="5"/>
        <v/>
      </c>
      <c r="K1371" s="69" t="str">
        <f t="shared" si="6"/>
        <v/>
      </c>
      <c r="L1371" s="60" t="str">
        <f t="shared" si="7"/>
        <v/>
      </c>
      <c r="M1371" s="61" t="str">
        <f>IFERROR(__xludf.DUMMYFUNCTION("IFS(AND(COUNTA(C1371:C1644)=0,COUNTA(Q1371:Q1644)=0),"""",OR(AND(K1371&gt;=1000000000,OR(Y1371&gt;=1000000000,COUNTA(Q1371:Q1644)=0)),OR(Y1371&gt;=1000000000,AND(COUNTA(C1371:C1644)=0,P$3=TRUE))),
ROUNDDOWN((AB$1-AC$1)*MAX(INDEX(T$4:T1644,MATCH(LARGE(FILTER(Y$4:Y1"&amp;"644,Y$4:Y1644&lt;1000000000),1),Y$4:Y1644)),INDEX(F$4:F1644,MATCH(LARGE(FILTER(K$4:K1644,K$4:K1644&lt;1000000000),1),K$4:K1644)))),AND(K1371&lt;1000000000,COUNTA(C1371:C1644)&gt;0,P$3=FALSE),
ROUNDDOWN(INDEX(Y$4:Y1644,MATCH(LARGE(FILTER(W$4:W1644,W$4:W1644&lt;=I1371),1)"&amp;",W$4:W1644))+(I1371-LARGE(FILTER(W$4:W1644,W$4:W1644&lt;=I1371),1))*INDEX(T$4:T1644,MATCH(LARGE(FILTER(W$4:W1644,W$4:W1644&lt;=I1371),1),W$4:W1644))-K1371),1,
ROUNDDOWN(Y1371-INDEX(K$4:K1644,MATCH(LARGE(FILTER(I$4:I1644,I$4:I1644&lt;=W1371),1),I$4:I1644))-(W1371-L"&amp;"ARGE(FILTER(I$4:I1644,I$4:I1644&lt;=W1371),1))*INDEX(F$4:F1644,MATCH(LARGE(FILTER(I$4:I1644,I$4:I1644&lt;=W1371),1),I$4:I1644))))"),"")</f>
        <v/>
      </c>
      <c r="N1371" s="60" t="str">
        <f t="shared" si="8"/>
        <v/>
      </c>
      <c r="O1371" s="61" t="str">
        <f t="shared" si="9"/>
        <v/>
      </c>
      <c r="P1371" s="56" t="str">
        <f t="shared" si="10"/>
        <v/>
      </c>
      <c r="Q1371" s="105"/>
      <c r="R1371" s="10"/>
      <c r="S1371" s="59" t="str">
        <f t="array" ref="S1371">IF(COUNTA(Q1371:Q1644)=0,"",SUM((COUNTIF(Q$4:Q1371,Upgrades!$B$3:$B$13)-COUNTIF(Q$4:Q1371,"Sell_"&amp;Upgrades!$B$3:$B$13))*Upgrades!$D$3:$D$13))</f>
        <v/>
      </c>
      <c r="T1371" s="66" t="str">
        <f>IFERROR(__xludf.DUMMYFUNCTION("IF(COUNTA(Q1371:Q1644)=0,"""",IF(REGEXMATCH(INDEX(FILTER(Q$4:Q1371,Q$4:Q1371&lt;&gt;""""),ROWS(FILTER(Q$4:Q1371,Q$4:Q1371&lt;&gt;""""))),""^Sell_""),INDEX(FILTER(T$4:T1370,Q$4:Q1370&lt;&gt;""""),ROWS(FILTER(Q$4:Q1370,Q$4:Q1370&lt;&gt;""""))),$AD$5+S1371))"),"")</f>
        <v/>
      </c>
      <c r="U1371" s="10" t="str">
        <f>IFERROR(__xludf.DUMMYFUNCTION("IF(COUNTA(Q1371:Q1644)=0,"""",IF(Q1371="""",0,IF(REGEXMATCH(Q1371,""^Sell_""),-ROUNDDOWN(ROUNDUP(INDEX(Upgrades!$C$3:$C$13,MATCH(SUBSTITUTE(Q1371,""Sell_"",""""),Upgrades!$B$3:$B$13,0))*1.15^(COUNTIF(Q$4:Q1370,SUBSTITUTE(Q1371,""Sell_"",""""))-COUNTIF(Q$4"&amp;":Q1370,""Sell_""&amp;SUBSTITUTE(Q1371,""Sell_"",""""))))/2),ROUNDUP(INDEX(Upgrades!$C$3:$C$13,MATCH(Q1371,Upgrades!$B$3:$B$13,0))*1.15^(COUNTIF(Q$4:Q1370,Q1371)-COUNTIF(Q$4:Q1370,""Sell_""&amp;Q1371))))))"),"")</f>
        <v/>
      </c>
      <c r="V1371" s="10" t="str">
        <f t="shared" si="11"/>
        <v/>
      </c>
      <c r="W1371" s="68" t="str">
        <f t="shared" si="12"/>
        <v/>
      </c>
      <c r="X1371" s="59" t="str">
        <f t="shared" si="13"/>
        <v/>
      </c>
      <c r="Y1371" s="69" t="str">
        <f t="shared" si="14"/>
        <v/>
      </c>
      <c r="Z1371" s="11"/>
      <c r="AG1371" s="59"/>
    </row>
    <row r="1372">
      <c r="A1372" s="8"/>
      <c r="B1372" s="56" t="str">
        <f t="shared" si="2"/>
        <v/>
      </c>
      <c r="C1372" s="105"/>
      <c r="D1372" s="10"/>
      <c r="E1372" s="59" t="str">
        <f t="array" ref="E1372">IF(COUNTA(C1372:C1644)=0,"",SUM((COUNTIF(C$4:C1372,Upgrades!$B$3:$B$13)-COUNTIF(C$4:C1372,"Sell_"&amp;Upgrades!$B$3:$B$13))*Upgrades!$D$3:$D$13))</f>
        <v/>
      </c>
      <c r="F1372" s="66" t="str">
        <f>IFERROR(__xludf.DUMMYFUNCTION("IF(COUNTA(C1372:C1644)=0,"""",IF(REGEXMATCH(INDEX(FILTER(C$4:C1372,C$4:C1372&lt;&gt;""""),ROWS(FILTER(C$4:C1372,C$4:C1372&lt;&gt;""""))),""^Sell_""),INDEX(FILTER(F$4:F1371,C$4:C1371&lt;&gt;""""),ROWS(FILTER(C$4:C1371,C$4:C1371&lt;&gt;""""))),$AC$5+E1372))"),"")</f>
        <v/>
      </c>
      <c r="G1372" s="10" t="str">
        <f>IFERROR(__xludf.DUMMYFUNCTION("IF(COUNTA(C1372:C1644)=0,"""",IF(C1372="""",0,IF(REGEXMATCH(C1372,""^Sell_""),-ROUNDDOWN(ROUNDUP(INDEX(Upgrades!$C$3:$C$13,MATCH(SUBSTITUTE(C1372,""Sell_"",""""),Upgrades!$B$3:$B$13,0))*1.15^(COUNTIF(C$4:C1371,SUBSTITUTE(C1372,""Sell_"",""""))-COUNTIF(C$4"&amp;":C1371,""Sell_""&amp;SUBSTITUTE(C1372,""Sell_"",""""))))/2),ROUNDUP(INDEX(Upgrades!$C$3:$C$13,MATCH(C1372,Upgrades!$B$3:$B$13,0))*1.15^(COUNTIF(C$4:C1371,C1372)-COUNTIF(C$4:C1371,""Sell_""&amp;C1372))))))"),"")</f>
        <v/>
      </c>
      <c r="H1372" s="10" t="str">
        <f t="shared" si="3"/>
        <v/>
      </c>
      <c r="I1372" s="68" t="str">
        <f t="shared" si="4"/>
        <v/>
      </c>
      <c r="J1372" s="59" t="str">
        <f t="shared" si="5"/>
        <v/>
      </c>
      <c r="K1372" s="69" t="str">
        <f t="shared" si="6"/>
        <v/>
      </c>
      <c r="L1372" s="60" t="str">
        <f t="shared" si="7"/>
        <v/>
      </c>
      <c r="M1372" s="61" t="str">
        <f>IFERROR(__xludf.DUMMYFUNCTION("IFS(AND(COUNTA(C1372:C1644)=0,COUNTA(Q1372:Q1644)=0),"""",OR(AND(K1372&gt;=1000000000,OR(Y1372&gt;=1000000000,COUNTA(Q1372:Q1644)=0)),OR(Y1372&gt;=1000000000,AND(COUNTA(C1372:C1644)=0,P$3=TRUE))),
ROUNDDOWN((AB$1-AC$1)*MAX(INDEX(T$4:T1644,MATCH(LARGE(FILTER(Y$4:Y1"&amp;"644,Y$4:Y1644&lt;1000000000),1),Y$4:Y1644)),INDEX(F$4:F1644,MATCH(LARGE(FILTER(K$4:K1644,K$4:K1644&lt;1000000000),1),K$4:K1644)))),AND(K1372&lt;1000000000,COUNTA(C1372:C1644)&gt;0,P$3=FALSE),
ROUNDDOWN(INDEX(Y$4:Y1644,MATCH(LARGE(FILTER(W$4:W1644,W$4:W1644&lt;=I1372),1)"&amp;",W$4:W1644))+(I1372-LARGE(FILTER(W$4:W1644,W$4:W1644&lt;=I1372),1))*INDEX(T$4:T1644,MATCH(LARGE(FILTER(W$4:W1644,W$4:W1644&lt;=I1372),1),W$4:W1644))-K1372),1,
ROUNDDOWN(Y1372-INDEX(K$4:K1644,MATCH(LARGE(FILTER(I$4:I1644,I$4:I1644&lt;=W1372),1),I$4:I1644))-(W1372-L"&amp;"ARGE(FILTER(I$4:I1644,I$4:I1644&lt;=W1372),1))*INDEX(F$4:F1644,MATCH(LARGE(FILTER(I$4:I1644,I$4:I1644&lt;=W1372),1),I$4:I1644))))"),"")</f>
        <v/>
      </c>
      <c r="N1372" s="60" t="str">
        <f t="shared" si="8"/>
        <v/>
      </c>
      <c r="O1372" s="61" t="str">
        <f t="shared" si="9"/>
        <v/>
      </c>
      <c r="P1372" s="56" t="str">
        <f t="shared" si="10"/>
        <v/>
      </c>
      <c r="Q1372" s="105"/>
      <c r="R1372" s="10"/>
      <c r="S1372" s="59" t="str">
        <f t="array" ref="S1372">IF(COUNTA(Q1372:Q1644)=0,"",SUM((COUNTIF(Q$4:Q1372,Upgrades!$B$3:$B$13)-COUNTIF(Q$4:Q1372,"Sell_"&amp;Upgrades!$B$3:$B$13))*Upgrades!$D$3:$D$13))</f>
        <v/>
      </c>
      <c r="T1372" s="66" t="str">
        <f>IFERROR(__xludf.DUMMYFUNCTION("IF(COUNTA(Q1372:Q1644)=0,"""",IF(REGEXMATCH(INDEX(FILTER(Q$4:Q1372,Q$4:Q1372&lt;&gt;""""),ROWS(FILTER(Q$4:Q1372,Q$4:Q1372&lt;&gt;""""))),""^Sell_""),INDEX(FILTER(T$4:T1371,Q$4:Q1371&lt;&gt;""""),ROWS(FILTER(Q$4:Q1371,Q$4:Q1371&lt;&gt;""""))),$AD$5+S1372))"),"")</f>
        <v/>
      </c>
      <c r="U1372" s="10" t="str">
        <f>IFERROR(__xludf.DUMMYFUNCTION("IF(COUNTA(Q1372:Q1644)=0,"""",IF(Q1372="""",0,IF(REGEXMATCH(Q1372,""^Sell_""),-ROUNDDOWN(ROUNDUP(INDEX(Upgrades!$C$3:$C$13,MATCH(SUBSTITUTE(Q1372,""Sell_"",""""),Upgrades!$B$3:$B$13,0))*1.15^(COUNTIF(Q$4:Q1371,SUBSTITUTE(Q1372,""Sell_"",""""))-COUNTIF(Q$4"&amp;":Q1371,""Sell_""&amp;SUBSTITUTE(Q1372,""Sell_"",""""))))/2),ROUNDUP(INDEX(Upgrades!$C$3:$C$13,MATCH(Q1372,Upgrades!$B$3:$B$13,0))*1.15^(COUNTIF(Q$4:Q1371,Q1372)-COUNTIF(Q$4:Q1371,""Sell_""&amp;Q1372))))))"),"")</f>
        <v/>
      </c>
      <c r="V1372" s="10" t="str">
        <f t="shared" si="11"/>
        <v/>
      </c>
      <c r="W1372" s="68" t="str">
        <f t="shared" si="12"/>
        <v/>
      </c>
      <c r="X1372" s="59" t="str">
        <f t="shared" si="13"/>
        <v/>
      </c>
      <c r="Y1372" s="69" t="str">
        <f t="shared" si="14"/>
        <v/>
      </c>
      <c r="Z1372" s="11"/>
      <c r="AG1372" s="59"/>
    </row>
    <row r="1373">
      <c r="A1373" s="8"/>
      <c r="B1373" s="56" t="str">
        <f t="shared" si="2"/>
        <v/>
      </c>
      <c r="C1373" s="105"/>
      <c r="D1373" s="10"/>
      <c r="E1373" s="59" t="str">
        <f t="array" ref="E1373">IF(COUNTA(C1373:C1644)=0,"",SUM((COUNTIF(C$4:C1373,Upgrades!$B$3:$B$13)-COUNTIF(C$4:C1373,"Sell_"&amp;Upgrades!$B$3:$B$13))*Upgrades!$D$3:$D$13))</f>
        <v/>
      </c>
      <c r="F1373" s="66" t="str">
        <f>IFERROR(__xludf.DUMMYFUNCTION("IF(COUNTA(C1373:C1644)=0,"""",IF(REGEXMATCH(INDEX(FILTER(C$4:C1373,C$4:C1373&lt;&gt;""""),ROWS(FILTER(C$4:C1373,C$4:C1373&lt;&gt;""""))),""^Sell_""),INDEX(FILTER(F$4:F1372,C$4:C1372&lt;&gt;""""),ROWS(FILTER(C$4:C1372,C$4:C1372&lt;&gt;""""))),$AC$5+E1373))"),"")</f>
        <v/>
      </c>
      <c r="G1373" s="10" t="str">
        <f>IFERROR(__xludf.DUMMYFUNCTION("IF(COUNTA(C1373:C1644)=0,"""",IF(C1373="""",0,IF(REGEXMATCH(C1373,""^Sell_""),-ROUNDDOWN(ROUNDUP(INDEX(Upgrades!$C$3:$C$13,MATCH(SUBSTITUTE(C1373,""Sell_"",""""),Upgrades!$B$3:$B$13,0))*1.15^(COUNTIF(C$4:C1372,SUBSTITUTE(C1373,""Sell_"",""""))-COUNTIF(C$4"&amp;":C1372,""Sell_""&amp;SUBSTITUTE(C1373,""Sell_"",""""))))/2),ROUNDUP(INDEX(Upgrades!$C$3:$C$13,MATCH(C1373,Upgrades!$B$3:$B$13,0))*1.15^(COUNTIF(C$4:C1372,C1373)-COUNTIF(C$4:C1372,""Sell_""&amp;C1373))))))"),"")</f>
        <v/>
      </c>
      <c r="H1373" s="10" t="str">
        <f t="shared" si="3"/>
        <v/>
      </c>
      <c r="I1373" s="68" t="str">
        <f t="shared" si="4"/>
        <v/>
      </c>
      <c r="J1373" s="59" t="str">
        <f t="shared" si="5"/>
        <v/>
      </c>
      <c r="K1373" s="69" t="str">
        <f t="shared" si="6"/>
        <v/>
      </c>
      <c r="L1373" s="60" t="str">
        <f t="shared" si="7"/>
        <v/>
      </c>
      <c r="M1373" s="61" t="str">
        <f>IFERROR(__xludf.DUMMYFUNCTION("IFS(AND(COUNTA(C1373:C1644)=0,COUNTA(Q1373:Q1644)=0),"""",OR(AND(K1373&gt;=1000000000,OR(Y1373&gt;=1000000000,COUNTA(Q1373:Q1644)=0)),OR(Y1373&gt;=1000000000,AND(COUNTA(C1373:C1644)=0,P$3=TRUE))),
ROUNDDOWN((AB$1-AC$1)*MAX(INDEX(T$4:T1644,MATCH(LARGE(FILTER(Y$4:Y1"&amp;"644,Y$4:Y1644&lt;1000000000),1),Y$4:Y1644)),INDEX(F$4:F1644,MATCH(LARGE(FILTER(K$4:K1644,K$4:K1644&lt;1000000000),1),K$4:K1644)))),AND(K1373&lt;1000000000,COUNTA(C1373:C1644)&gt;0,P$3=FALSE),
ROUNDDOWN(INDEX(Y$4:Y1644,MATCH(LARGE(FILTER(W$4:W1644,W$4:W1644&lt;=I1373),1)"&amp;",W$4:W1644))+(I1373-LARGE(FILTER(W$4:W1644,W$4:W1644&lt;=I1373),1))*INDEX(T$4:T1644,MATCH(LARGE(FILTER(W$4:W1644,W$4:W1644&lt;=I1373),1),W$4:W1644))-K1373),1,
ROUNDDOWN(Y1373-INDEX(K$4:K1644,MATCH(LARGE(FILTER(I$4:I1644,I$4:I1644&lt;=W1373),1),I$4:I1644))-(W1373-L"&amp;"ARGE(FILTER(I$4:I1644,I$4:I1644&lt;=W1373),1))*INDEX(F$4:F1644,MATCH(LARGE(FILTER(I$4:I1644,I$4:I1644&lt;=W1373),1),I$4:I1644))))"),"")</f>
        <v/>
      </c>
      <c r="N1373" s="60" t="str">
        <f t="shared" si="8"/>
        <v/>
      </c>
      <c r="O1373" s="61" t="str">
        <f t="shared" si="9"/>
        <v/>
      </c>
      <c r="P1373" s="56" t="str">
        <f t="shared" si="10"/>
        <v/>
      </c>
      <c r="Q1373" s="105"/>
      <c r="R1373" s="10"/>
      <c r="S1373" s="59" t="str">
        <f t="array" ref="S1373">IF(COUNTA(Q1373:Q1644)=0,"",SUM((COUNTIF(Q$4:Q1373,Upgrades!$B$3:$B$13)-COUNTIF(Q$4:Q1373,"Sell_"&amp;Upgrades!$B$3:$B$13))*Upgrades!$D$3:$D$13))</f>
        <v/>
      </c>
      <c r="T1373" s="66" t="str">
        <f>IFERROR(__xludf.DUMMYFUNCTION("IF(COUNTA(Q1373:Q1644)=0,"""",IF(REGEXMATCH(INDEX(FILTER(Q$4:Q1373,Q$4:Q1373&lt;&gt;""""),ROWS(FILTER(Q$4:Q1373,Q$4:Q1373&lt;&gt;""""))),""^Sell_""),INDEX(FILTER(T$4:T1372,Q$4:Q1372&lt;&gt;""""),ROWS(FILTER(Q$4:Q1372,Q$4:Q1372&lt;&gt;""""))),$AD$5+S1373))"),"")</f>
        <v/>
      </c>
      <c r="U1373" s="10" t="str">
        <f>IFERROR(__xludf.DUMMYFUNCTION("IF(COUNTA(Q1373:Q1644)=0,"""",IF(Q1373="""",0,IF(REGEXMATCH(Q1373,""^Sell_""),-ROUNDDOWN(ROUNDUP(INDEX(Upgrades!$C$3:$C$13,MATCH(SUBSTITUTE(Q1373,""Sell_"",""""),Upgrades!$B$3:$B$13,0))*1.15^(COUNTIF(Q$4:Q1372,SUBSTITUTE(Q1373,""Sell_"",""""))-COUNTIF(Q$4"&amp;":Q1372,""Sell_""&amp;SUBSTITUTE(Q1373,""Sell_"",""""))))/2),ROUNDUP(INDEX(Upgrades!$C$3:$C$13,MATCH(Q1373,Upgrades!$B$3:$B$13,0))*1.15^(COUNTIF(Q$4:Q1372,Q1373)-COUNTIF(Q$4:Q1372,""Sell_""&amp;Q1373))))))"),"")</f>
        <v/>
      </c>
      <c r="V1373" s="10" t="str">
        <f t="shared" si="11"/>
        <v/>
      </c>
      <c r="W1373" s="68" t="str">
        <f t="shared" si="12"/>
        <v/>
      </c>
      <c r="X1373" s="59" t="str">
        <f t="shared" si="13"/>
        <v/>
      </c>
      <c r="Y1373" s="69" t="str">
        <f t="shared" si="14"/>
        <v/>
      </c>
      <c r="Z1373" s="11"/>
      <c r="AG1373" s="59"/>
    </row>
    <row r="1374">
      <c r="A1374" s="8"/>
      <c r="B1374" s="56" t="str">
        <f t="shared" si="2"/>
        <v/>
      </c>
      <c r="C1374" s="105"/>
      <c r="D1374" s="10"/>
      <c r="E1374" s="59" t="str">
        <f t="array" ref="E1374">IF(COUNTA(C1374:C1644)=0,"",SUM((COUNTIF(C$4:C1374,Upgrades!$B$3:$B$13)-COUNTIF(C$4:C1374,"Sell_"&amp;Upgrades!$B$3:$B$13))*Upgrades!$D$3:$D$13))</f>
        <v/>
      </c>
      <c r="F1374" s="66" t="str">
        <f>IFERROR(__xludf.DUMMYFUNCTION("IF(COUNTA(C1374:C1644)=0,"""",IF(REGEXMATCH(INDEX(FILTER(C$4:C1374,C$4:C1374&lt;&gt;""""),ROWS(FILTER(C$4:C1374,C$4:C1374&lt;&gt;""""))),""^Sell_""),INDEX(FILTER(F$4:F1373,C$4:C1373&lt;&gt;""""),ROWS(FILTER(C$4:C1373,C$4:C1373&lt;&gt;""""))),$AC$5+E1374))"),"")</f>
        <v/>
      </c>
      <c r="G1374" s="10" t="str">
        <f>IFERROR(__xludf.DUMMYFUNCTION("IF(COUNTA(C1374:C1644)=0,"""",IF(C1374="""",0,IF(REGEXMATCH(C1374,""^Sell_""),-ROUNDDOWN(ROUNDUP(INDEX(Upgrades!$C$3:$C$13,MATCH(SUBSTITUTE(C1374,""Sell_"",""""),Upgrades!$B$3:$B$13,0))*1.15^(COUNTIF(C$4:C1373,SUBSTITUTE(C1374,""Sell_"",""""))-COUNTIF(C$4"&amp;":C1373,""Sell_""&amp;SUBSTITUTE(C1374,""Sell_"",""""))))/2),ROUNDUP(INDEX(Upgrades!$C$3:$C$13,MATCH(C1374,Upgrades!$B$3:$B$13,0))*1.15^(COUNTIF(C$4:C1373,C1374)-COUNTIF(C$4:C1373,""Sell_""&amp;C1374))))))"),"")</f>
        <v/>
      </c>
      <c r="H1374" s="10" t="str">
        <f t="shared" si="3"/>
        <v/>
      </c>
      <c r="I1374" s="68" t="str">
        <f t="shared" si="4"/>
        <v/>
      </c>
      <c r="J1374" s="59" t="str">
        <f t="shared" si="5"/>
        <v/>
      </c>
      <c r="K1374" s="69" t="str">
        <f t="shared" si="6"/>
        <v/>
      </c>
      <c r="L1374" s="60" t="str">
        <f t="shared" si="7"/>
        <v/>
      </c>
      <c r="M1374" s="61" t="str">
        <f>IFERROR(__xludf.DUMMYFUNCTION("IFS(AND(COUNTA(C1374:C1644)=0,COUNTA(Q1374:Q1644)=0),"""",OR(AND(K1374&gt;=1000000000,OR(Y1374&gt;=1000000000,COUNTA(Q1374:Q1644)=0)),OR(Y1374&gt;=1000000000,AND(COUNTA(C1374:C1644)=0,P$3=TRUE))),
ROUNDDOWN((AB$1-AC$1)*MAX(INDEX(T$4:T1644,MATCH(LARGE(FILTER(Y$4:Y1"&amp;"644,Y$4:Y1644&lt;1000000000),1),Y$4:Y1644)),INDEX(F$4:F1644,MATCH(LARGE(FILTER(K$4:K1644,K$4:K1644&lt;1000000000),1),K$4:K1644)))),AND(K1374&lt;1000000000,COUNTA(C1374:C1644)&gt;0,P$3=FALSE),
ROUNDDOWN(INDEX(Y$4:Y1644,MATCH(LARGE(FILTER(W$4:W1644,W$4:W1644&lt;=I1374),1)"&amp;",W$4:W1644))+(I1374-LARGE(FILTER(W$4:W1644,W$4:W1644&lt;=I1374),1))*INDEX(T$4:T1644,MATCH(LARGE(FILTER(W$4:W1644,W$4:W1644&lt;=I1374),1),W$4:W1644))-K1374),1,
ROUNDDOWN(Y1374-INDEX(K$4:K1644,MATCH(LARGE(FILTER(I$4:I1644,I$4:I1644&lt;=W1374),1),I$4:I1644))-(W1374-L"&amp;"ARGE(FILTER(I$4:I1644,I$4:I1644&lt;=W1374),1))*INDEX(F$4:F1644,MATCH(LARGE(FILTER(I$4:I1644,I$4:I1644&lt;=W1374),1),I$4:I1644))))"),"")</f>
        <v/>
      </c>
      <c r="N1374" s="60" t="str">
        <f t="shared" si="8"/>
        <v/>
      </c>
      <c r="O1374" s="61" t="str">
        <f t="shared" si="9"/>
        <v/>
      </c>
      <c r="P1374" s="56" t="str">
        <f t="shared" si="10"/>
        <v/>
      </c>
      <c r="Q1374" s="105"/>
      <c r="R1374" s="10"/>
      <c r="S1374" s="59" t="str">
        <f t="array" ref="S1374">IF(COUNTA(Q1374:Q1644)=0,"",SUM((COUNTIF(Q$4:Q1374,Upgrades!$B$3:$B$13)-COUNTIF(Q$4:Q1374,"Sell_"&amp;Upgrades!$B$3:$B$13))*Upgrades!$D$3:$D$13))</f>
        <v/>
      </c>
      <c r="T1374" s="66" t="str">
        <f>IFERROR(__xludf.DUMMYFUNCTION("IF(COUNTA(Q1374:Q1644)=0,"""",IF(REGEXMATCH(INDEX(FILTER(Q$4:Q1374,Q$4:Q1374&lt;&gt;""""),ROWS(FILTER(Q$4:Q1374,Q$4:Q1374&lt;&gt;""""))),""^Sell_""),INDEX(FILTER(T$4:T1373,Q$4:Q1373&lt;&gt;""""),ROWS(FILTER(Q$4:Q1373,Q$4:Q1373&lt;&gt;""""))),$AD$5+S1374))"),"")</f>
        <v/>
      </c>
      <c r="U1374" s="10" t="str">
        <f>IFERROR(__xludf.DUMMYFUNCTION("IF(COUNTA(Q1374:Q1644)=0,"""",IF(Q1374="""",0,IF(REGEXMATCH(Q1374,""^Sell_""),-ROUNDDOWN(ROUNDUP(INDEX(Upgrades!$C$3:$C$13,MATCH(SUBSTITUTE(Q1374,""Sell_"",""""),Upgrades!$B$3:$B$13,0))*1.15^(COUNTIF(Q$4:Q1373,SUBSTITUTE(Q1374,""Sell_"",""""))-COUNTIF(Q$4"&amp;":Q1373,""Sell_""&amp;SUBSTITUTE(Q1374,""Sell_"",""""))))/2),ROUNDUP(INDEX(Upgrades!$C$3:$C$13,MATCH(Q1374,Upgrades!$B$3:$B$13,0))*1.15^(COUNTIF(Q$4:Q1373,Q1374)-COUNTIF(Q$4:Q1373,""Sell_""&amp;Q1374))))))"),"")</f>
        <v/>
      </c>
      <c r="V1374" s="10" t="str">
        <f t="shared" si="11"/>
        <v/>
      </c>
      <c r="W1374" s="68" t="str">
        <f t="shared" si="12"/>
        <v/>
      </c>
      <c r="X1374" s="59" t="str">
        <f t="shared" si="13"/>
        <v/>
      </c>
      <c r="Y1374" s="69" t="str">
        <f t="shared" si="14"/>
        <v/>
      </c>
      <c r="Z1374" s="11"/>
      <c r="AG1374" s="59"/>
    </row>
    <row r="1375">
      <c r="A1375" s="8"/>
      <c r="B1375" s="56" t="str">
        <f t="shared" si="2"/>
        <v/>
      </c>
      <c r="C1375" s="105"/>
      <c r="D1375" s="10"/>
      <c r="E1375" s="59" t="str">
        <f t="array" ref="E1375">IF(COUNTA(C1375:C1644)=0,"",SUM((COUNTIF(C$4:C1375,Upgrades!$B$3:$B$13)-COUNTIF(C$4:C1375,"Sell_"&amp;Upgrades!$B$3:$B$13))*Upgrades!$D$3:$D$13))</f>
        <v/>
      </c>
      <c r="F1375" s="66" t="str">
        <f>IFERROR(__xludf.DUMMYFUNCTION("IF(COUNTA(C1375:C1644)=0,"""",IF(REGEXMATCH(INDEX(FILTER(C$4:C1375,C$4:C1375&lt;&gt;""""),ROWS(FILTER(C$4:C1375,C$4:C1375&lt;&gt;""""))),""^Sell_""),INDEX(FILTER(F$4:F1374,C$4:C1374&lt;&gt;""""),ROWS(FILTER(C$4:C1374,C$4:C1374&lt;&gt;""""))),$AC$5+E1375))"),"")</f>
        <v/>
      </c>
      <c r="G1375" s="10" t="str">
        <f>IFERROR(__xludf.DUMMYFUNCTION("IF(COUNTA(C1375:C1644)=0,"""",IF(C1375="""",0,IF(REGEXMATCH(C1375,""^Sell_""),-ROUNDDOWN(ROUNDUP(INDEX(Upgrades!$C$3:$C$13,MATCH(SUBSTITUTE(C1375,""Sell_"",""""),Upgrades!$B$3:$B$13,0))*1.15^(COUNTIF(C$4:C1374,SUBSTITUTE(C1375,""Sell_"",""""))-COUNTIF(C$4"&amp;":C1374,""Sell_""&amp;SUBSTITUTE(C1375,""Sell_"",""""))))/2),ROUNDUP(INDEX(Upgrades!$C$3:$C$13,MATCH(C1375,Upgrades!$B$3:$B$13,0))*1.15^(COUNTIF(C$4:C1374,C1375)-COUNTIF(C$4:C1374,""Sell_""&amp;C1375))))))"),"")</f>
        <v/>
      </c>
      <c r="H1375" s="10" t="str">
        <f t="shared" si="3"/>
        <v/>
      </c>
      <c r="I1375" s="68" t="str">
        <f t="shared" si="4"/>
        <v/>
      </c>
      <c r="J1375" s="59" t="str">
        <f t="shared" si="5"/>
        <v/>
      </c>
      <c r="K1375" s="69" t="str">
        <f t="shared" si="6"/>
        <v/>
      </c>
      <c r="L1375" s="60" t="str">
        <f t="shared" si="7"/>
        <v/>
      </c>
      <c r="M1375" s="61" t="str">
        <f>IFERROR(__xludf.DUMMYFUNCTION("IFS(AND(COUNTA(C1375:C1644)=0,COUNTA(Q1375:Q1644)=0),"""",OR(AND(K1375&gt;=1000000000,OR(Y1375&gt;=1000000000,COUNTA(Q1375:Q1644)=0)),OR(Y1375&gt;=1000000000,AND(COUNTA(C1375:C1644)=0,P$3=TRUE))),
ROUNDDOWN((AB$1-AC$1)*MAX(INDEX(T$4:T1644,MATCH(LARGE(FILTER(Y$4:Y1"&amp;"644,Y$4:Y1644&lt;1000000000),1),Y$4:Y1644)),INDEX(F$4:F1644,MATCH(LARGE(FILTER(K$4:K1644,K$4:K1644&lt;1000000000),1),K$4:K1644)))),AND(K1375&lt;1000000000,COUNTA(C1375:C1644)&gt;0,P$3=FALSE),
ROUNDDOWN(INDEX(Y$4:Y1644,MATCH(LARGE(FILTER(W$4:W1644,W$4:W1644&lt;=I1375),1)"&amp;",W$4:W1644))+(I1375-LARGE(FILTER(W$4:W1644,W$4:W1644&lt;=I1375),1))*INDEX(T$4:T1644,MATCH(LARGE(FILTER(W$4:W1644,W$4:W1644&lt;=I1375),1),W$4:W1644))-K1375),1,
ROUNDDOWN(Y1375-INDEX(K$4:K1644,MATCH(LARGE(FILTER(I$4:I1644,I$4:I1644&lt;=W1375),1),I$4:I1644))-(W1375-L"&amp;"ARGE(FILTER(I$4:I1644,I$4:I1644&lt;=W1375),1))*INDEX(F$4:F1644,MATCH(LARGE(FILTER(I$4:I1644,I$4:I1644&lt;=W1375),1),I$4:I1644))))"),"")</f>
        <v/>
      </c>
      <c r="N1375" s="60" t="str">
        <f t="shared" si="8"/>
        <v/>
      </c>
      <c r="O1375" s="61" t="str">
        <f t="shared" si="9"/>
        <v/>
      </c>
      <c r="P1375" s="56" t="str">
        <f t="shared" si="10"/>
        <v/>
      </c>
      <c r="Q1375" s="105"/>
      <c r="R1375" s="10"/>
      <c r="S1375" s="59" t="str">
        <f t="array" ref="S1375">IF(COUNTA(Q1375:Q1644)=0,"",SUM((COUNTIF(Q$4:Q1375,Upgrades!$B$3:$B$13)-COUNTIF(Q$4:Q1375,"Sell_"&amp;Upgrades!$B$3:$B$13))*Upgrades!$D$3:$D$13))</f>
        <v/>
      </c>
      <c r="T1375" s="66" t="str">
        <f>IFERROR(__xludf.DUMMYFUNCTION("IF(COUNTA(Q1375:Q1644)=0,"""",IF(REGEXMATCH(INDEX(FILTER(Q$4:Q1375,Q$4:Q1375&lt;&gt;""""),ROWS(FILTER(Q$4:Q1375,Q$4:Q1375&lt;&gt;""""))),""^Sell_""),INDEX(FILTER(T$4:T1374,Q$4:Q1374&lt;&gt;""""),ROWS(FILTER(Q$4:Q1374,Q$4:Q1374&lt;&gt;""""))),$AD$5+S1375))"),"")</f>
        <v/>
      </c>
      <c r="U1375" s="10" t="str">
        <f>IFERROR(__xludf.DUMMYFUNCTION("IF(COUNTA(Q1375:Q1644)=0,"""",IF(Q1375="""",0,IF(REGEXMATCH(Q1375,""^Sell_""),-ROUNDDOWN(ROUNDUP(INDEX(Upgrades!$C$3:$C$13,MATCH(SUBSTITUTE(Q1375,""Sell_"",""""),Upgrades!$B$3:$B$13,0))*1.15^(COUNTIF(Q$4:Q1374,SUBSTITUTE(Q1375,""Sell_"",""""))-COUNTIF(Q$4"&amp;":Q1374,""Sell_""&amp;SUBSTITUTE(Q1375,""Sell_"",""""))))/2),ROUNDUP(INDEX(Upgrades!$C$3:$C$13,MATCH(Q1375,Upgrades!$B$3:$B$13,0))*1.15^(COUNTIF(Q$4:Q1374,Q1375)-COUNTIF(Q$4:Q1374,""Sell_""&amp;Q1375))))))"),"")</f>
        <v/>
      </c>
      <c r="V1375" s="10" t="str">
        <f t="shared" si="11"/>
        <v/>
      </c>
      <c r="W1375" s="68" t="str">
        <f t="shared" si="12"/>
        <v/>
      </c>
      <c r="X1375" s="59" t="str">
        <f t="shared" si="13"/>
        <v/>
      </c>
      <c r="Y1375" s="69" t="str">
        <f t="shared" si="14"/>
        <v/>
      </c>
      <c r="Z1375" s="11"/>
      <c r="AG1375" s="59"/>
    </row>
    <row r="1376">
      <c r="A1376" s="8"/>
      <c r="B1376" s="56" t="str">
        <f t="shared" si="2"/>
        <v/>
      </c>
      <c r="C1376" s="105"/>
      <c r="D1376" s="10"/>
      <c r="E1376" s="59" t="str">
        <f t="array" ref="E1376">IF(COUNTA(C1376:C1644)=0,"",SUM((COUNTIF(C$4:C1376,Upgrades!$B$3:$B$13)-COUNTIF(C$4:C1376,"Sell_"&amp;Upgrades!$B$3:$B$13))*Upgrades!$D$3:$D$13))</f>
        <v/>
      </c>
      <c r="F1376" s="66" t="str">
        <f>IFERROR(__xludf.DUMMYFUNCTION("IF(COUNTA(C1376:C1644)=0,"""",IF(REGEXMATCH(INDEX(FILTER(C$4:C1376,C$4:C1376&lt;&gt;""""),ROWS(FILTER(C$4:C1376,C$4:C1376&lt;&gt;""""))),""^Sell_""),INDEX(FILTER(F$4:F1375,C$4:C1375&lt;&gt;""""),ROWS(FILTER(C$4:C1375,C$4:C1375&lt;&gt;""""))),$AC$5+E1376))"),"")</f>
        <v/>
      </c>
      <c r="G1376" s="10" t="str">
        <f>IFERROR(__xludf.DUMMYFUNCTION("IF(COUNTA(C1376:C1644)=0,"""",IF(C1376="""",0,IF(REGEXMATCH(C1376,""^Sell_""),-ROUNDDOWN(ROUNDUP(INDEX(Upgrades!$C$3:$C$13,MATCH(SUBSTITUTE(C1376,""Sell_"",""""),Upgrades!$B$3:$B$13,0))*1.15^(COUNTIF(C$4:C1375,SUBSTITUTE(C1376,""Sell_"",""""))-COUNTIF(C$4"&amp;":C1375,""Sell_""&amp;SUBSTITUTE(C1376,""Sell_"",""""))))/2),ROUNDUP(INDEX(Upgrades!$C$3:$C$13,MATCH(C1376,Upgrades!$B$3:$B$13,0))*1.15^(COUNTIF(C$4:C1375,C1376)-COUNTIF(C$4:C1375,""Sell_""&amp;C1376))))))"),"")</f>
        <v/>
      </c>
      <c r="H1376" s="10" t="str">
        <f t="shared" si="3"/>
        <v/>
      </c>
      <c r="I1376" s="68" t="str">
        <f t="shared" si="4"/>
        <v/>
      </c>
      <c r="J1376" s="59" t="str">
        <f t="shared" si="5"/>
        <v/>
      </c>
      <c r="K1376" s="69" t="str">
        <f t="shared" si="6"/>
        <v/>
      </c>
      <c r="L1376" s="60" t="str">
        <f t="shared" si="7"/>
        <v/>
      </c>
      <c r="M1376" s="61" t="str">
        <f>IFERROR(__xludf.DUMMYFUNCTION("IFS(AND(COUNTA(C1376:C1644)=0,COUNTA(Q1376:Q1644)=0),"""",OR(AND(K1376&gt;=1000000000,OR(Y1376&gt;=1000000000,COUNTA(Q1376:Q1644)=0)),OR(Y1376&gt;=1000000000,AND(COUNTA(C1376:C1644)=0,P$3=TRUE))),
ROUNDDOWN((AB$1-AC$1)*MAX(INDEX(T$4:T1644,MATCH(LARGE(FILTER(Y$4:Y1"&amp;"644,Y$4:Y1644&lt;1000000000),1),Y$4:Y1644)),INDEX(F$4:F1644,MATCH(LARGE(FILTER(K$4:K1644,K$4:K1644&lt;1000000000),1),K$4:K1644)))),AND(K1376&lt;1000000000,COUNTA(C1376:C1644)&gt;0,P$3=FALSE),
ROUNDDOWN(INDEX(Y$4:Y1644,MATCH(LARGE(FILTER(W$4:W1644,W$4:W1644&lt;=I1376),1)"&amp;",W$4:W1644))+(I1376-LARGE(FILTER(W$4:W1644,W$4:W1644&lt;=I1376),1))*INDEX(T$4:T1644,MATCH(LARGE(FILTER(W$4:W1644,W$4:W1644&lt;=I1376),1),W$4:W1644))-K1376),1,
ROUNDDOWN(Y1376-INDEX(K$4:K1644,MATCH(LARGE(FILTER(I$4:I1644,I$4:I1644&lt;=W1376),1),I$4:I1644))-(W1376-L"&amp;"ARGE(FILTER(I$4:I1644,I$4:I1644&lt;=W1376),1))*INDEX(F$4:F1644,MATCH(LARGE(FILTER(I$4:I1644,I$4:I1644&lt;=W1376),1),I$4:I1644))))"),"")</f>
        <v/>
      </c>
      <c r="N1376" s="60" t="str">
        <f t="shared" si="8"/>
        <v/>
      </c>
      <c r="O1376" s="61" t="str">
        <f t="shared" si="9"/>
        <v/>
      </c>
      <c r="P1376" s="56" t="str">
        <f t="shared" si="10"/>
        <v/>
      </c>
      <c r="Q1376" s="105"/>
      <c r="R1376" s="10"/>
      <c r="S1376" s="59" t="str">
        <f t="array" ref="S1376">IF(COUNTA(Q1376:Q1644)=0,"",SUM((COUNTIF(Q$4:Q1376,Upgrades!$B$3:$B$13)-COUNTIF(Q$4:Q1376,"Sell_"&amp;Upgrades!$B$3:$B$13))*Upgrades!$D$3:$D$13))</f>
        <v/>
      </c>
      <c r="T1376" s="66" t="str">
        <f>IFERROR(__xludf.DUMMYFUNCTION("IF(COUNTA(Q1376:Q1644)=0,"""",IF(REGEXMATCH(INDEX(FILTER(Q$4:Q1376,Q$4:Q1376&lt;&gt;""""),ROWS(FILTER(Q$4:Q1376,Q$4:Q1376&lt;&gt;""""))),""^Sell_""),INDEX(FILTER(T$4:T1375,Q$4:Q1375&lt;&gt;""""),ROWS(FILTER(Q$4:Q1375,Q$4:Q1375&lt;&gt;""""))),$AD$5+S1376))"),"")</f>
        <v/>
      </c>
      <c r="U1376" s="10" t="str">
        <f>IFERROR(__xludf.DUMMYFUNCTION("IF(COUNTA(Q1376:Q1644)=0,"""",IF(Q1376="""",0,IF(REGEXMATCH(Q1376,""^Sell_""),-ROUNDDOWN(ROUNDUP(INDEX(Upgrades!$C$3:$C$13,MATCH(SUBSTITUTE(Q1376,""Sell_"",""""),Upgrades!$B$3:$B$13,0))*1.15^(COUNTIF(Q$4:Q1375,SUBSTITUTE(Q1376,""Sell_"",""""))-COUNTIF(Q$4"&amp;":Q1375,""Sell_""&amp;SUBSTITUTE(Q1376,""Sell_"",""""))))/2),ROUNDUP(INDEX(Upgrades!$C$3:$C$13,MATCH(Q1376,Upgrades!$B$3:$B$13,0))*1.15^(COUNTIF(Q$4:Q1375,Q1376)-COUNTIF(Q$4:Q1375,""Sell_""&amp;Q1376))))))"),"")</f>
        <v/>
      </c>
      <c r="V1376" s="10" t="str">
        <f t="shared" si="11"/>
        <v/>
      </c>
      <c r="W1376" s="68" t="str">
        <f t="shared" si="12"/>
        <v/>
      </c>
      <c r="X1376" s="59" t="str">
        <f t="shared" si="13"/>
        <v/>
      </c>
      <c r="Y1376" s="69" t="str">
        <f t="shared" si="14"/>
        <v/>
      </c>
      <c r="Z1376" s="11"/>
      <c r="AG1376" s="59"/>
    </row>
    <row r="1377">
      <c r="A1377" s="8"/>
      <c r="B1377" s="56" t="str">
        <f t="shared" si="2"/>
        <v/>
      </c>
      <c r="C1377" s="105"/>
      <c r="D1377" s="10"/>
      <c r="E1377" s="59" t="str">
        <f t="array" ref="E1377">IF(COUNTA(C1377:C1644)=0,"",SUM((COUNTIF(C$4:C1377,Upgrades!$B$3:$B$13)-COUNTIF(C$4:C1377,"Sell_"&amp;Upgrades!$B$3:$B$13))*Upgrades!$D$3:$D$13))</f>
        <v/>
      </c>
      <c r="F1377" s="66" t="str">
        <f>IFERROR(__xludf.DUMMYFUNCTION("IF(COUNTA(C1377:C1644)=0,"""",IF(REGEXMATCH(INDEX(FILTER(C$4:C1377,C$4:C1377&lt;&gt;""""),ROWS(FILTER(C$4:C1377,C$4:C1377&lt;&gt;""""))),""^Sell_""),INDEX(FILTER(F$4:F1376,C$4:C1376&lt;&gt;""""),ROWS(FILTER(C$4:C1376,C$4:C1376&lt;&gt;""""))),$AC$5+E1377))"),"")</f>
        <v/>
      </c>
      <c r="G1377" s="10" t="str">
        <f>IFERROR(__xludf.DUMMYFUNCTION("IF(COUNTA(C1377:C1644)=0,"""",IF(C1377="""",0,IF(REGEXMATCH(C1377,""^Sell_""),-ROUNDDOWN(ROUNDUP(INDEX(Upgrades!$C$3:$C$13,MATCH(SUBSTITUTE(C1377,""Sell_"",""""),Upgrades!$B$3:$B$13,0))*1.15^(COUNTIF(C$4:C1376,SUBSTITUTE(C1377,""Sell_"",""""))-COUNTIF(C$4"&amp;":C1376,""Sell_""&amp;SUBSTITUTE(C1377,""Sell_"",""""))))/2),ROUNDUP(INDEX(Upgrades!$C$3:$C$13,MATCH(C1377,Upgrades!$B$3:$B$13,0))*1.15^(COUNTIF(C$4:C1376,C1377)-COUNTIF(C$4:C1376,""Sell_""&amp;C1377))))))"),"")</f>
        <v/>
      </c>
      <c r="H1377" s="10" t="str">
        <f t="shared" si="3"/>
        <v/>
      </c>
      <c r="I1377" s="68" t="str">
        <f t="shared" si="4"/>
        <v/>
      </c>
      <c r="J1377" s="59" t="str">
        <f t="shared" si="5"/>
        <v/>
      </c>
      <c r="K1377" s="69" t="str">
        <f t="shared" si="6"/>
        <v/>
      </c>
      <c r="L1377" s="60" t="str">
        <f t="shared" si="7"/>
        <v/>
      </c>
      <c r="M1377" s="61" t="str">
        <f>IFERROR(__xludf.DUMMYFUNCTION("IFS(AND(COUNTA(C1377:C1644)=0,COUNTA(Q1377:Q1644)=0),"""",OR(AND(K1377&gt;=1000000000,OR(Y1377&gt;=1000000000,COUNTA(Q1377:Q1644)=0)),OR(Y1377&gt;=1000000000,AND(COUNTA(C1377:C1644)=0,P$3=TRUE))),
ROUNDDOWN((AB$1-AC$1)*MAX(INDEX(T$4:T1644,MATCH(LARGE(FILTER(Y$4:Y1"&amp;"644,Y$4:Y1644&lt;1000000000),1),Y$4:Y1644)),INDEX(F$4:F1644,MATCH(LARGE(FILTER(K$4:K1644,K$4:K1644&lt;1000000000),1),K$4:K1644)))),AND(K1377&lt;1000000000,COUNTA(C1377:C1644)&gt;0,P$3=FALSE),
ROUNDDOWN(INDEX(Y$4:Y1644,MATCH(LARGE(FILTER(W$4:W1644,W$4:W1644&lt;=I1377),1)"&amp;",W$4:W1644))+(I1377-LARGE(FILTER(W$4:W1644,W$4:W1644&lt;=I1377),1))*INDEX(T$4:T1644,MATCH(LARGE(FILTER(W$4:W1644,W$4:W1644&lt;=I1377),1),W$4:W1644))-K1377),1,
ROUNDDOWN(Y1377-INDEX(K$4:K1644,MATCH(LARGE(FILTER(I$4:I1644,I$4:I1644&lt;=W1377),1),I$4:I1644))-(W1377-L"&amp;"ARGE(FILTER(I$4:I1644,I$4:I1644&lt;=W1377),1))*INDEX(F$4:F1644,MATCH(LARGE(FILTER(I$4:I1644,I$4:I1644&lt;=W1377),1),I$4:I1644))))"),"")</f>
        <v/>
      </c>
      <c r="N1377" s="60" t="str">
        <f t="shared" si="8"/>
        <v/>
      </c>
      <c r="O1377" s="61" t="str">
        <f t="shared" si="9"/>
        <v/>
      </c>
      <c r="P1377" s="56" t="str">
        <f t="shared" si="10"/>
        <v/>
      </c>
      <c r="Q1377" s="105"/>
      <c r="R1377" s="10"/>
      <c r="S1377" s="59" t="str">
        <f t="array" ref="S1377">IF(COUNTA(Q1377:Q1644)=0,"",SUM((COUNTIF(Q$4:Q1377,Upgrades!$B$3:$B$13)-COUNTIF(Q$4:Q1377,"Sell_"&amp;Upgrades!$B$3:$B$13))*Upgrades!$D$3:$D$13))</f>
        <v/>
      </c>
      <c r="T1377" s="66" t="str">
        <f>IFERROR(__xludf.DUMMYFUNCTION("IF(COUNTA(Q1377:Q1644)=0,"""",IF(REGEXMATCH(INDEX(FILTER(Q$4:Q1377,Q$4:Q1377&lt;&gt;""""),ROWS(FILTER(Q$4:Q1377,Q$4:Q1377&lt;&gt;""""))),""^Sell_""),INDEX(FILTER(T$4:T1376,Q$4:Q1376&lt;&gt;""""),ROWS(FILTER(Q$4:Q1376,Q$4:Q1376&lt;&gt;""""))),$AD$5+S1377))"),"")</f>
        <v/>
      </c>
      <c r="U1377" s="10" t="str">
        <f>IFERROR(__xludf.DUMMYFUNCTION("IF(COUNTA(Q1377:Q1644)=0,"""",IF(Q1377="""",0,IF(REGEXMATCH(Q1377,""^Sell_""),-ROUNDDOWN(ROUNDUP(INDEX(Upgrades!$C$3:$C$13,MATCH(SUBSTITUTE(Q1377,""Sell_"",""""),Upgrades!$B$3:$B$13,0))*1.15^(COUNTIF(Q$4:Q1376,SUBSTITUTE(Q1377,""Sell_"",""""))-COUNTIF(Q$4"&amp;":Q1376,""Sell_""&amp;SUBSTITUTE(Q1377,""Sell_"",""""))))/2),ROUNDUP(INDEX(Upgrades!$C$3:$C$13,MATCH(Q1377,Upgrades!$B$3:$B$13,0))*1.15^(COUNTIF(Q$4:Q1376,Q1377)-COUNTIF(Q$4:Q1376,""Sell_""&amp;Q1377))))))"),"")</f>
        <v/>
      </c>
      <c r="V1377" s="10" t="str">
        <f t="shared" si="11"/>
        <v/>
      </c>
      <c r="W1377" s="68" t="str">
        <f t="shared" si="12"/>
        <v/>
      </c>
      <c r="X1377" s="59" t="str">
        <f t="shared" si="13"/>
        <v/>
      </c>
      <c r="Y1377" s="69" t="str">
        <f t="shared" si="14"/>
        <v/>
      </c>
      <c r="Z1377" s="11"/>
      <c r="AG1377" s="59"/>
    </row>
    <row r="1378">
      <c r="A1378" s="8"/>
      <c r="B1378" s="56" t="str">
        <f t="shared" si="2"/>
        <v/>
      </c>
      <c r="C1378" s="105"/>
      <c r="D1378" s="10"/>
      <c r="E1378" s="59" t="str">
        <f t="array" ref="E1378">IF(COUNTA(C1378:C1644)=0,"",SUM((COUNTIF(C$4:C1378,Upgrades!$B$3:$B$13)-COUNTIF(C$4:C1378,"Sell_"&amp;Upgrades!$B$3:$B$13))*Upgrades!$D$3:$D$13))</f>
        <v/>
      </c>
      <c r="F1378" s="66" t="str">
        <f>IFERROR(__xludf.DUMMYFUNCTION("IF(COUNTA(C1378:C1644)=0,"""",IF(REGEXMATCH(INDEX(FILTER(C$4:C1378,C$4:C1378&lt;&gt;""""),ROWS(FILTER(C$4:C1378,C$4:C1378&lt;&gt;""""))),""^Sell_""),INDEX(FILTER(F$4:F1377,C$4:C1377&lt;&gt;""""),ROWS(FILTER(C$4:C1377,C$4:C1377&lt;&gt;""""))),$AC$5+E1378))"),"")</f>
        <v/>
      </c>
      <c r="G1378" s="10" t="str">
        <f>IFERROR(__xludf.DUMMYFUNCTION("IF(COUNTA(C1378:C1644)=0,"""",IF(C1378="""",0,IF(REGEXMATCH(C1378,""^Sell_""),-ROUNDDOWN(ROUNDUP(INDEX(Upgrades!$C$3:$C$13,MATCH(SUBSTITUTE(C1378,""Sell_"",""""),Upgrades!$B$3:$B$13,0))*1.15^(COUNTIF(C$4:C1377,SUBSTITUTE(C1378,""Sell_"",""""))-COUNTIF(C$4"&amp;":C1377,""Sell_""&amp;SUBSTITUTE(C1378,""Sell_"",""""))))/2),ROUNDUP(INDEX(Upgrades!$C$3:$C$13,MATCH(C1378,Upgrades!$B$3:$B$13,0))*1.15^(COUNTIF(C$4:C1377,C1378)-COUNTIF(C$4:C1377,""Sell_""&amp;C1378))))))"),"")</f>
        <v/>
      </c>
      <c r="H1378" s="10" t="str">
        <f t="shared" si="3"/>
        <v/>
      </c>
      <c r="I1378" s="68" t="str">
        <f t="shared" si="4"/>
        <v/>
      </c>
      <c r="J1378" s="59" t="str">
        <f t="shared" si="5"/>
        <v/>
      </c>
      <c r="K1378" s="69" t="str">
        <f t="shared" si="6"/>
        <v/>
      </c>
      <c r="L1378" s="60" t="str">
        <f t="shared" si="7"/>
        <v/>
      </c>
      <c r="M1378" s="61" t="str">
        <f>IFERROR(__xludf.DUMMYFUNCTION("IFS(AND(COUNTA(C1378:C1644)=0,COUNTA(Q1378:Q1644)=0),"""",OR(AND(K1378&gt;=1000000000,OR(Y1378&gt;=1000000000,COUNTA(Q1378:Q1644)=0)),OR(Y1378&gt;=1000000000,AND(COUNTA(C1378:C1644)=0,P$3=TRUE))),
ROUNDDOWN((AB$1-AC$1)*MAX(INDEX(T$4:T1644,MATCH(LARGE(FILTER(Y$4:Y1"&amp;"644,Y$4:Y1644&lt;1000000000),1),Y$4:Y1644)),INDEX(F$4:F1644,MATCH(LARGE(FILTER(K$4:K1644,K$4:K1644&lt;1000000000),1),K$4:K1644)))),AND(K1378&lt;1000000000,COUNTA(C1378:C1644)&gt;0,P$3=FALSE),
ROUNDDOWN(INDEX(Y$4:Y1644,MATCH(LARGE(FILTER(W$4:W1644,W$4:W1644&lt;=I1378),1)"&amp;",W$4:W1644))+(I1378-LARGE(FILTER(W$4:W1644,W$4:W1644&lt;=I1378),1))*INDEX(T$4:T1644,MATCH(LARGE(FILTER(W$4:W1644,W$4:W1644&lt;=I1378),1),W$4:W1644))-K1378),1,
ROUNDDOWN(Y1378-INDEX(K$4:K1644,MATCH(LARGE(FILTER(I$4:I1644,I$4:I1644&lt;=W1378),1),I$4:I1644))-(W1378-L"&amp;"ARGE(FILTER(I$4:I1644,I$4:I1644&lt;=W1378),1))*INDEX(F$4:F1644,MATCH(LARGE(FILTER(I$4:I1644,I$4:I1644&lt;=W1378),1),I$4:I1644))))"),"")</f>
        <v/>
      </c>
      <c r="N1378" s="60" t="str">
        <f t="shared" si="8"/>
        <v/>
      </c>
      <c r="O1378" s="61" t="str">
        <f t="shared" si="9"/>
        <v/>
      </c>
      <c r="P1378" s="56" t="str">
        <f t="shared" si="10"/>
        <v/>
      </c>
      <c r="Q1378" s="105"/>
      <c r="R1378" s="10"/>
      <c r="S1378" s="59" t="str">
        <f t="array" ref="S1378">IF(COUNTA(Q1378:Q1644)=0,"",SUM((COUNTIF(Q$4:Q1378,Upgrades!$B$3:$B$13)-COUNTIF(Q$4:Q1378,"Sell_"&amp;Upgrades!$B$3:$B$13))*Upgrades!$D$3:$D$13))</f>
        <v/>
      </c>
      <c r="T1378" s="66" t="str">
        <f>IFERROR(__xludf.DUMMYFUNCTION("IF(COUNTA(Q1378:Q1644)=0,"""",IF(REGEXMATCH(INDEX(FILTER(Q$4:Q1378,Q$4:Q1378&lt;&gt;""""),ROWS(FILTER(Q$4:Q1378,Q$4:Q1378&lt;&gt;""""))),""^Sell_""),INDEX(FILTER(T$4:T1377,Q$4:Q1377&lt;&gt;""""),ROWS(FILTER(Q$4:Q1377,Q$4:Q1377&lt;&gt;""""))),$AD$5+S1378))"),"")</f>
        <v/>
      </c>
      <c r="U1378" s="10" t="str">
        <f>IFERROR(__xludf.DUMMYFUNCTION("IF(COUNTA(Q1378:Q1644)=0,"""",IF(Q1378="""",0,IF(REGEXMATCH(Q1378,""^Sell_""),-ROUNDDOWN(ROUNDUP(INDEX(Upgrades!$C$3:$C$13,MATCH(SUBSTITUTE(Q1378,""Sell_"",""""),Upgrades!$B$3:$B$13,0))*1.15^(COUNTIF(Q$4:Q1377,SUBSTITUTE(Q1378,""Sell_"",""""))-COUNTIF(Q$4"&amp;":Q1377,""Sell_""&amp;SUBSTITUTE(Q1378,""Sell_"",""""))))/2),ROUNDUP(INDEX(Upgrades!$C$3:$C$13,MATCH(Q1378,Upgrades!$B$3:$B$13,0))*1.15^(COUNTIF(Q$4:Q1377,Q1378)-COUNTIF(Q$4:Q1377,""Sell_""&amp;Q1378))))))"),"")</f>
        <v/>
      </c>
      <c r="V1378" s="10" t="str">
        <f t="shared" si="11"/>
        <v/>
      </c>
      <c r="W1378" s="68" t="str">
        <f t="shared" si="12"/>
        <v/>
      </c>
      <c r="X1378" s="59" t="str">
        <f t="shared" si="13"/>
        <v/>
      </c>
      <c r="Y1378" s="69" t="str">
        <f t="shared" si="14"/>
        <v/>
      </c>
      <c r="Z1378" s="11"/>
      <c r="AG1378" s="59"/>
    </row>
    <row r="1379">
      <c r="A1379" s="8"/>
      <c r="B1379" s="56" t="str">
        <f t="shared" si="2"/>
        <v/>
      </c>
      <c r="C1379" s="105"/>
      <c r="D1379" s="10"/>
      <c r="E1379" s="59" t="str">
        <f t="array" ref="E1379">IF(COUNTA(C1379:C1644)=0,"",SUM((COUNTIF(C$4:C1379,Upgrades!$B$3:$B$13)-COUNTIF(C$4:C1379,"Sell_"&amp;Upgrades!$B$3:$B$13))*Upgrades!$D$3:$D$13))</f>
        <v/>
      </c>
      <c r="F1379" s="66" t="str">
        <f>IFERROR(__xludf.DUMMYFUNCTION("IF(COUNTA(C1379:C1644)=0,"""",IF(REGEXMATCH(INDEX(FILTER(C$4:C1379,C$4:C1379&lt;&gt;""""),ROWS(FILTER(C$4:C1379,C$4:C1379&lt;&gt;""""))),""^Sell_""),INDEX(FILTER(F$4:F1378,C$4:C1378&lt;&gt;""""),ROWS(FILTER(C$4:C1378,C$4:C1378&lt;&gt;""""))),$AC$5+E1379))"),"")</f>
        <v/>
      </c>
      <c r="G1379" s="10" t="str">
        <f>IFERROR(__xludf.DUMMYFUNCTION("IF(COUNTA(C1379:C1644)=0,"""",IF(C1379="""",0,IF(REGEXMATCH(C1379,""^Sell_""),-ROUNDDOWN(ROUNDUP(INDEX(Upgrades!$C$3:$C$13,MATCH(SUBSTITUTE(C1379,""Sell_"",""""),Upgrades!$B$3:$B$13,0))*1.15^(COUNTIF(C$4:C1378,SUBSTITUTE(C1379,""Sell_"",""""))-COUNTIF(C$4"&amp;":C1378,""Sell_""&amp;SUBSTITUTE(C1379,""Sell_"",""""))))/2),ROUNDUP(INDEX(Upgrades!$C$3:$C$13,MATCH(C1379,Upgrades!$B$3:$B$13,0))*1.15^(COUNTIF(C$4:C1378,C1379)-COUNTIF(C$4:C1378,""Sell_""&amp;C1379))))))"),"")</f>
        <v/>
      </c>
      <c r="H1379" s="10" t="str">
        <f t="shared" si="3"/>
        <v/>
      </c>
      <c r="I1379" s="68" t="str">
        <f t="shared" si="4"/>
        <v/>
      </c>
      <c r="J1379" s="59" t="str">
        <f t="shared" si="5"/>
        <v/>
      </c>
      <c r="K1379" s="69" t="str">
        <f t="shared" si="6"/>
        <v/>
      </c>
      <c r="L1379" s="60" t="str">
        <f t="shared" si="7"/>
        <v/>
      </c>
      <c r="M1379" s="61" t="str">
        <f>IFERROR(__xludf.DUMMYFUNCTION("IFS(AND(COUNTA(C1379:C1644)=0,COUNTA(Q1379:Q1644)=0),"""",OR(AND(K1379&gt;=1000000000,OR(Y1379&gt;=1000000000,COUNTA(Q1379:Q1644)=0)),OR(Y1379&gt;=1000000000,AND(COUNTA(C1379:C1644)=0,P$3=TRUE))),
ROUNDDOWN((AB$1-AC$1)*MAX(INDEX(T$4:T1644,MATCH(LARGE(FILTER(Y$4:Y1"&amp;"644,Y$4:Y1644&lt;1000000000),1),Y$4:Y1644)),INDEX(F$4:F1644,MATCH(LARGE(FILTER(K$4:K1644,K$4:K1644&lt;1000000000),1),K$4:K1644)))),AND(K1379&lt;1000000000,COUNTA(C1379:C1644)&gt;0,P$3=FALSE),
ROUNDDOWN(INDEX(Y$4:Y1644,MATCH(LARGE(FILTER(W$4:W1644,W$4:W1644&lt;=I1379),1)"&amp;",W$4:W1644))+(I1379-LARGE(FILTER(W$4:W1644,W$4:W1644&lt;=I1379),1))*INDEX(T$4:T1644,MATCH(LARGE(FILTER(W$4:W1644,W$4:W1644&lt;=I1379),1),W$4:W1644))-K1379),1,
ROUNDDOWN(Y1379-INDEX(K$4:K1644,MATCH(LARGE(FILTER(I$4:I1644,I$4:I1644&lt;=W1379),1),I$4:I1644))-(W1379-L"&amp;"ARGE(FILTER(I$4:I1644,I$4:I1644&lt;=W1379),1))*INDEX(F$4:F1644,MATCH(LARGE(FILTER(I$4:I1644,I$4:I1644&lt;=W1379),1),I$4:I1644))))"),"")</f>
        <v/>
      </c>
      <c r="N1379" s="60" t="str">
        <f t="shared" si="8"/>
        <v/>
      </c>
      <c r="O1379" s="61" t="str">
        <f t="shared" si="9"/>
        <v/>
      </c>
      <c r="P1379" s="56" t="str">
        <f t="shared" si="10"/>
        <v/>
      </c>
      <c r="Q1379" s="105"/>
      <c r="R1379" s="10"/>
      <c r="S1379" s="59" t="str">
        <f t="array" ref="S1379">IF(COUNTA(Q1379:Q1644)=0,"",SUM((COUNTIF(Q$4:Q1379,Upgrades!$B$3:$B$13)-COUNTIF(Q$4:Q1379,"Sell_"&amp;Upgrades!$B$3:$B$13))*Upgrades!$D$3:$D$13))</f>
        <v/>
      </c>
      <c r="T1379" s="66" t="str">
        <f>IFERROR(__xludf.DUMMYFUNCTION("IF(COUNTA(Q1379:Q1644)=0,"""",IF(REGEXMATCH(INDEX(FILTER(Q$4:Q1379,Q$4:Q1379&lt;&gt;""""),ROWS(FILTER(Q$4:Q1379,Q$4:Q1379&lt;&gt;""""))),""^Sell_""),INDEX(FILTER(T$4:T1378,Q$4:Q1378&lt;&gt;""""),ROWS(FILTER(Q$4:Q1378,Q$4:Q1378&lt;&gt;""""))),$AD$5+S1379))"),"")</f>
        <v/>
      </c>
      <c r="U1379" s="10" t="str">
        <f>IFERROR(__xludf.DUMMYFUNCTION("IF(COUNTA(Q1379:Q1644)=0,"""",IF(Q1379="""",0,IF(REGEXMATCH(Q1379,""^Sell_""),-ROUNDDOWN(ROUNDUP(INDEX(Upgrades!$C$3:$C$13,MATCH(SUBSTITUTE(Q1379,""Sell_"",""""),Upgrades!$B$3:$B$13,0))*1.15^(COUNTIF(Q$4:Q1378,SUBSTITUTE(Q1379,""Sell_"",""""))-COUNTIF(Q$4"&amp;":Q1378,""Sell_""&amp;SUBSTITUTE(Q1379,""Sell_"",""""))))/2),ROUNDUP(INDEX(Upgrades!$C$3:$C$13,MATCH(Q1379,Upgrades!$B$3:$B$13,0))*1.15^(COUNTIF(Q$4:Q1378,Q1379)-COUNTIF(Q$4:Q1378,""Sell_""&amp;Q1379))))))"),"")</f>
        <v/>
      </c>
      <c r="V1379" s="10" t="str">
        <f t="shared" si="11"/>
        <v/>
      </c>
      <c r="W1379" s="68" t="str">
        <f t="shared" si="12"/>
        <v/>
      </c>
      <c r="X1379" s="59" t="str">
        <f t="shared" si="13"/>
        <v/>
      </c>
      <c r="Y1379" s="69" t="str">
        <f t="shared" si="14"/>
        <v/>
      </c>
      <c r="Z1379" s="11"/>
      <c r="AG1379" s="59"/>
    </row>
    <row r="1380">
      <c r="A1380" s="8"/>
      <c r="B1380" s="56" t="str">
        <f t="shared" si="2"/>
        <v/>
      </c>
      <c r="C1380" s="105"/>
      <c r="D1380" s="10"/>
      <c r="E1380" s="59" t="str">
        <f t="array" ref="E1380">IF(COUNTA(C1380:C1644)=0,"",SUM((COUNTIF(C$4:C1380,Upgrades!$B$3:$B$13)-COUNTIF(C$4:C1380,"Sell_"&amp;Upgrades!$B$3:$B$13))*Upgrades!$D$3:$D$13))</f>
        <v/>
      </c>
      <c r="F1380" s="66" t="str">
        <f>IFERROR(__xludf.DUMMYFUNCTION("IF(COUNTA(C1380:C1644)=0,"""",IF(REGEXMATCH(INDEX(FILTER(C$4:C1380,C$4:C1380&lt;&gt;""""),ROWS(FILTER(C$4:C1380,C$4:C1380&lt;&gt;""""))),""^Sell_""),INDEX(FILTER(F$4:F1379,C$4:C1379&lt;&gt;""""),ROWS(FILTER(C$4:C1379,C$4:C1379&lt;&gt;""""))),$AC$5+E1380))"),"")</f>
        <v/>
      </c>
      <c r="G1380" s="10" t="str">
        <f>IFERROR(__xludf.DUMMYFUNCTION("IF(COUNTA(C1380:C1644)=0,"""",IF(C1380="""",0,IF(REGEXMATCH(C1380,""^Sell_""),-ROUNDDOWN(ROUNDUP(INDEX(Upgrades!$C$3:$C$13,MATCH(SUBSTITUTE(C1380,""Sell_"",""""),Upgrades!$B$3:$B$13,0))*1.15^(COUNTIF(C$4:C1379,SUBSTITUTE(C1380,""Sell_"",""""))-COUNTIF(C$4"&amp;":C1379,""Sell_""&amp;SUBSTITUTE(C1380,""Sell_"",""""))))/2),ROUNDUP(INDEX(Upgrades!$C$3:$C$13,MATCH(C1380,Upgrades!$B$3:$B$13,0))*1.15^(COUNTIF(C$4:C1379,C1380)-COUNTIF(C$4:C1379,""Sell_""&amp;C1380))))))"),"")</f>
        <v/>
      </c>
      <c r="H1380" s="10" t="str">
        <f t="shared" si="3"/>
        <v/>
      </c>
      <c r="I1380" s="68" t="str">
        <f t="shared" si="4"/>
        <v/>
      </c>
      <c r="J1380" s="59" t="str">
        <f t="shared" si="5"/>
        <v/>
      </c>
      <c r="K1380" s="69" t="str">
        <f t="shared" si="6"/>
        <v/>
      </c>
      <c r="L1380" s="60" t="str">
        <f t="shared" si="7"/>
        <v/>
      </c>
      <c r="M1380" s="61" t="str">
        <f>IFERROR(__xludf.DUMMYFUNCTION("IFS(AND(COUNTA(C1380:C1644)=0,COUNTA(Q1380:Q1644)=0),"""",OR(AND(K1380&gt;=1000000000,OR(Y1380&gt;=1000000000,COUNTA(Q1380:Q1644)=0)),OR(Y1380&gt;=1000000000,AND(COUNTA(C1380:C1644)=0,P$3=TRUE))),
ROUNDDOWN((AB$1-AC$1)*MAX(INDEX(T$4:T1644,MATCH(LARGE(FILTER(Y$4:Y1"&amp;"644,Y$4:Y1644&lt;1000000000),1),Y$4:Y1644)),INDEX(F$4:F1644,MATCH(LARGE(FILTER(K$4:K1644,K$4:K1644&lt;1000000000),1),K$4:K1644)))),AND(K1380&lt;1000000000,COUNTA(C1380:C1644)&gt;0,P$3=FALSE),
ROUNDDOWN(INDEX(Y$4:Y1644,MATCH(LARGE(FILTER(W$4:W1644,W$4:W1644&lt;=I1380),1)"&amp;",W$4:W1644))+(I1380-LARGE(FILTER(W$4:W1644,W$4:W1644&lt;=I1380),1))*INDEX(T$4:T1644,MATCH(LARGE(FILTER(W$4:W1644,W$4:W1644&lt;=I1380),1),W$4:W1644))-K1380),1,
ROUNDDOWN(Y1380-INDEX(K$4:K1644,MATCH(LARGE(FILTER(I$4:I1644,I$4:I1644&lt;=W1380),1),I$4:I1644))-(W1380-L"&amp;"ARGE(FILTER(I$4:I1644,I$4:I1644&lt;=W1380),1))*INDEX(F$4:F1644,MATCH(LARGE(FILTER(I$4:I1644,I$4:I1644&lt;=W1380),1),I$4:I1644))))"),"")</f>
        <v/>
      </c>
      <c r="N1380" s="60" t="str">
        <f t="shared" si="8"/>
        <v/>
      </c>
      <c r="O1380" s="61" t="str">
        <f t="shared" si="9"/>
        <v/>
      </c>
      <c r="P1380" s="56" t="str">
        <f t="shared" si="10"/>
        <v/>
      </c>
      <c r="Q1380" s="105"/>
      <c r="R1380" s="10"/>
      <c r="S1380" s="59" t="str">
        <f t="array" ref="S1380">IF(COUNTA(Q1380:Q1644)=0,"",SUM((COUNTIF(Q$4:Q1380,Upgrades!$B$3:$B$13)-COUNTIF(Q$4:Q1380,"Sell_"&amp;Upgrades!$B$3:$B$13))*Upgrades!$D$3:$D$13))</f>
        <v/>
      </c>
      <c r="T1380" s="66" t="str">
        <f>IFERROR(__xludf.DUMMYFUNCTION("IF(COUNTA(Q1380:Q1644)=0,"""",IF(REGEXMATCH(INDEX(FILTER(Q$4:Q1380,Q$4:Q1380&lt;&gt;""""),ROWS(FILTER(Q$4:Q1380,Q$4:Q1380&lt;&gt;""""))),""^Sell_""),INDEX(FILTER(T$4:T1379,Q$4:Q1379&lt;&gt;""""),ROWS(FILTER(Q$4:Q1379,Q$4:Q1379&lt;&gt;""""))),$AD$5+S1380))"),"")</f>
        <v/>
      </c>
      <c r="U1380" s="10" t="str">
        <f>IFERROR(__xludf.DUMMYFUNCTION("IF(COUNTA(Q1380:Q1644)=0,"""",IF(Q1380="""",0,IF(REGEXMATCH(Q1380,""^Sell_""),-ROUNDDOWN(ROUNDUP(INDEX(Upgrades!$C$3:$C$13,MATCH(SUBSTITUTE(Q1380,""Sell_"",""""),Upgrades!$B$3:$B$13,0))*1.15^(COUNTIF(Q$4:Q1379,SUBSTITUTE(Q1380,""Sell_"",""""))-COUNTIF(Q$4"&amp;":Q1379,""Sell_""&amp;SUBSTITUTE(Q1380,""Sell_"",""""))))/2),ROUNDUP(INDEX(Upgrades!$C$3:$C$13,MATCH(Q1380,Upgrades!$B$3:$B$13,0))*1.15^(COUNTIF(Q$4:Q1379,Q1380)-COUNTIF(Q$4:Q1379,""Sell_""&amp;Q1380))))))"),"")</f>
        <v/>
      </c>
      <c r="V1380" s="10" t="str">
        <f t="shared" si="11"/>
        <v/>
      </c>
      <c r="W1380" s="68" t="str">
        <f t="shared" si="12"/>
        <v/>
      </c>
      <c r="X1380" s="59" t="str">
        <f t="shared" si="13"/>
        <v/>
      </c>
      <c r="Y1380" s="69" t="str">
        <f t="shared" si="14"/>
        <v/>
      </c>
      <c r="Z1380" s="11"/>
      <c r="AG1380" s="59"/>
    </row>
    <row r="1381">
      <c r="A1381" s="8"/>
      <c r="B1381" s="56" t="str">
        <f t="shared" si="2"/>
        <v/>
      </c>
      <c r="C1381" s="105"/>
      <c r="D1381" s="10"/>
      <c r="E1381" s="59" t="str">
        <f t="array" ref="E1381">IF(COUNTA(C1381:C1644)=0,"",SUM((COUNTIF(C$4:C1381,Upgrades!$B$3:$B$13)-COUNTIF(C$4:C1381,"Sell_"&amp;Upgrades!$B$3:$B$13))*Upgrades!$D$3:$D$13))</f>
        <v/>
      </c>
      <c r="F1381" s="66" t="str">
        <f>IFERROR(__xludf.DUMMYFUNCTION("IF(COUNTA(C1381:C1644)=0,"""",IF(REGEXMATCH(INDEX(FILTER(C$4:C1381,C$4:C1381&lt;&gt;""""),ROWS(FILTER(C$4:C1381,C$4:C1381&lt;&gt;""""))),""^Sell_""),INDEX(FILTER(F$4:F1380,C$4:C1380&lt;&gt;""""),ROWS(FILTER(C$4:C1380,C$4:C1380&lt;&gt;""""))),$AC$5+E1381))"),"")</f>
        <v/>
      </c>
      <c r="G1381" s="10" t="str">
        <f>IFERROR(__xludf.DUMMYFUNCTION("IF(COUNTA(C1381:C1644)=0,"""",IF(C1381="""",0,IF(REGEXMATCH(C1381,""^Sell_""),-ROUNDDOWN(ROUNDUP(INDEX(Upgrades!$C$3:$C$13,MATCH(SUBSTITUTE(C1381,""Sell_"",""""),Upgrades!$B$3:$B$13,0))*1.15^(COUNTIF(C$4:C1380,SUBSTITUTE(C1381,""Sell_"",""""))-COUNTIF(C$4"&amp;":C1380,""Sell_""&amp;SUBSTITUTE(C1381,""Sell_"",""""))))/2),ROUNDUP(INDEX(Upgrades!$C$3:$C$13,MATCH(C1381,Upgrades!$B$3:$B$13,0))*1.15^(COUNTIF(C$4:C1380,C1381)-COUNTIF(C$4:C1380,""Sell_""&amp;C1381))))))"),"")</f>
        <v/>
      </c>
      <c r="H1381" s="10" t="str">
        <f t="shared" si="3"/>
        <v/>
      </c>
      <c r="I1381" s="68" t="str">
        <f t="shared" si="4"/>
        <v/>
      </c>
      <c r="J1381" s="59" t="str">
        <f t="shared" si="5"/>
        <v/>
      </c>
      <c r="K1381" s="69" t="str">
        <f t="shared" si="6"/>
        <v/>
      </c>
      <c r="L1381" s="60" t="str">
        <f t="shared" si="7"/>
        <v/>
      </c>
      <c r="M1381" s="61" t="str">
        <f>IFERROR(__xludf.DUMMYFUNCTION("IFS(AND(COUNTA(C1381:C1644)=0,COUNTA(Q1381:Q1644)=0),"""",OR(AND(K1381&gt;=1000000000,OR(Y1381&gt;=1000000000,COUNTA(Q1381:Q1644)=0)),OR(Y1381&gt;=1000000000,AND(COUNTA(C1381:C1644)=0,P$3=TRUE))),
ROUNDDOWN((AB$1-AC$1)*MAX(INDEX(T$4:T1644,MATCH(LARGE(FILTER(Y$4:Y1"&amp;"644,Y$4:Y1644&lt;1000000000),1),Y$4:Y1644)),INDEX(F$4:F1644,MATCH(LARGE(FILTER(K$4:K1644,K$4:K1644&lt;1000000000),1),K$4:K1644)))),AND(K1381&lt;1000000000,COUNTA(C1381:C1644)&gt;0,P$3=FALSE),
ROUNDDOWN(INDEX(Y$4:Y1644,MATCH(LARGE(FILTER(W$4:W1644,W$4:W1644&lt;=I1381),1)"&amp;",W$4:W1644))+(I1381-LARGE(FILTER(W$4:W1644,W$4:W1644&lt;=I1381),1))*INDEX(T$4:T1644,MATCH(LARGE(FILTER(W$4:W1644,W$4:W1644&lt;=I1381),1),W$4:W1644))-K1381),1,
ROUNDDOWN(Y1381-INDEX(K$4:K1644,MATCH(LARGE(FILTER(I$4:I1644,I$4:I1644&lt;=W1381),1),I$4:I1644))-(W1381-L"&amp;"ARGE(FILTER(I$4:I1644,I$4:I1644&lt;=W1381),1))*INDEX(F$4:F1644,MATCH(LARGE(FILTER(I$4:I1644,I$4:I1644&lt;=W1381),1),I$4:I1644))))"),"")</f>
        <v/>
      </c>
      <c r="N1381" s="60" t="str">
        <f t="shared" si="8"/>
        <v/>
      </c>
      <c r="O1381" s="61" t="str">
        <f t="shared" si="9"/>
        <v/>
      </c>
      <c r="P1381" s="56" t="str">
        <f t="shared" si="10"/>
        <v/>
      </c>
      <c r="Q1381" s="105"/>
      <c r="R1381" s="10"/>
      <c r="S1381" s="59" t="str">
        <f t="array" ref="S1381">IF(COUNTA(Q1381:Q1644)=0,"",SUM((COUNTIF(Q$4:Q1381,Upgrades!$B$3:$B$13)-COUNTIF(Q$4:Q1381,"Sell_"&amp;Upgrades!$B$3:$B$13))*Upgrades!$D$3:$D$13))</f>
        <v/>
      </c>
      <c r="T1381" s="66" t="str">
        <f>IFERROR(__xludf.DUMMYFUNCTION("IF(COUNTA(Q1381:Q1644)=0,"""",IF(REGEXMATCH(INDEX(FILTER(Q$4:Q1381,Q$4:Q1381&lt;&gt;""""),ROWS(FILTER(Q$4:Q1381,Q$4:Q1381&lt;&gt;""""))),""^Sell_""),INDEX(FILTER(T$4:T1380,Q$4:Q1380&lt;&gt;""""),ROWS(FILTER(Q$4:Q1380,Q$4:Q1380&lt;&gt;""""))),$AD$5+S1381))"),"")</f>
        <v/>
      </c>
      <c r="U1381" s="10" t="str">
        <f>IFERROR(__xludf.DUMMYFUNCTION("IF(COUNTA(Q1381:Q1644)=0,"""",IF(Q1381="""",0,IF(REGEXMATCH(Q1381,""^Sell_""),-ROUNDDOWN(ROUNDUP(INDEX(Upgrades!$C$3:$C$13,MATCH(SUBSTITUTE(Q1381,""Sell_"",""""),Upgrades!$B$3:$B$13,0))*1.15^(COUNTIF(Q$4:Q1380,SUBSTITUTE(Q1381,""Sell_"",""""))-COUNTIF(Q$4"&amp;":Q1380,""Sell_""&amp;SUBSTITUTE(Q1381,""Sell_"",""""))))/2),ROUNDUP(INDEX(Upgrades!$C$3:$C$13,MATCH(Q1381,Upgrades!$B$3:$B$13,0))*1.15^(COUNTIF(Q$4:Q1380,Q1381)-COUNTIF(Q$4:Q1380,""Sell_""&amp;Q1381))))))"),"")</f>
        <v/>
      </c>
      <c r="V1381" s="10" t="str">
        <f t="shared" si="11"/>
        <v/>
      </c>
      <c r="W1381" s="68" t="str">
        <f t="shared" si="12"/>
        <v/>
      </c>
      <c r="X1381" s="59" t="str">
        <f t="shared" si="13"/>
        <v/>
      </c>
      <c r="Y1381" s="69" t="str">
        <f t="shared" si="14"/>
        <v/>
      </c>
      <c r="Z1381" s="11"/>
      <c r="AG1381" s="59"/>
    </row>
    <row r="1382">
      <c r="A1382" s="8"/>
      <c r="B1382" s="56" t="str">
        <f t="shared" si="2"/>
        <v/>
      </c>
      <c r="C1382" s="105"/>
      <c r="D1382" s="10"/>
      <c r="E1382" s="59" t="str">
        <f t="array" ref="E1382">IF(COUNTA(C1382:C1644)=0,"",SUM((COUNTIF(C$4:C1382,Upgrades!$B$3:$B$13)-COUNTIF(C$4:C1382,"Sell_"&amp;Upgrades!$B$3:$B$13))*Upgrades!$D$3:$D$13))</f>
        <v/>
      </c>
      <c r="F1382" s="66" t="str">
        <f>IFERROR(__xludf.DUMMYFUNCTION("IF(COUNTA(C1382:C1644)=0,"""",IF(REGEXMATCH(INDEX(FILTER(C$4:C1382,C$4:C1382&lt;&gt;""""),ROWS(FILTER(C$4:C1382,C$4:C1382&lt;&gt;""""))),""^Sell_""),INDEX(FILTER(F$4:F1381,C$4:C1381&lt;&gt;""""),ROWS(FILTER(C$4:C1381,C$4:C1381&lt;&gt;""""))),$AC$5+E1382))"),"")</f>
        <v/>
      </c>
      <c r="G1382" s="10" t="str">
        <f>IFERROR(__xludf.DUMMYFUNCTION("IF(COUNTA(C1382:C1644)=0,"""",IF(C1382="""",0,IF(REGEXMATCH(C1382,""^Sell_""),-ROUNDDOWN(ROUNDUP(INDEX(Upgrades!$C$3:$C$13,MATCH(SUBSTITUTE(C1382,""Sell_"",""""),Upgrades!$B$3:$B$13,0))*1.15^(COUNTIF(C$4:C1381,SUBSTITUTE(C1382,""Sell_"",""""))-COUNTIF(C$4"&amp;":C1381,""Sell_""&amp;SUBSTITUTE(C1382,""Sell_"",""""))))/2),ROUNDUP(INDEX(Upgrades!$C$3:$C$13,MATCH(C1382,Upgrades!$B$3:$B$13,0))*1.15^(COUNTIF(C$4:C1381,C1382)-COUNTIF(C$4:C1381,""Sell_""&amp;C1382))))))"),"")</f>
        <v/>
      </c>
      <c r="H1382" s="10" t="str">
        <f t="shared" si="3"/>
        <v/>
      </c>
      <c r="I1382" s="68" t="str">
        <f t="shared" si="4"/>
        <v/>
      </c>
      <c r="J1382" s="59" t="str">
        <f t="shared" si="5"/>
        <v/>
      </c>
      <c r="K1382" s="69" t="str">
        <f t="shared" si="6"/>
        <v/>
      </c>
      <c r="L1382" s="60" t="str">
        <f t="shared" si="7"/>
        <v/>
      </c>
      <c r="M1382" s="61" t="str">
        <f>IFERROR(__xludf.DUMMYFUNCTION("IFS(AND(COUNTA(C1382:C1644)=0,COUNTA(Q1382:Q1644)=0),"""",OR(AND(K1382&gt;=1000000000,OR(Y1382&gt;=1000000000,COUNTA(Q1382:Q1644)=0)),OR(Y1382&gt;=1000000000,AND(COUNTA(C1382:C1644)=0,P$3=TRUE))),
ROUNDDOWN((AB$1-AC$1)*MAX(INDEX(T$4:T1644,MATCH(LARGE(FILTER(Y$4:Y1"&amp;"644,Y$4:Y1644&lt;1000000000),1),Y$4:Y1644)),INDEX(F$4:F1644,MATCH(LARGE(FILTER(K$4:K1644,K$4:K1644&lt;1000000000),1),K$4:K1644)))),AND(K1382&lt;1000000000,COUNTA(C1382:C1644)&gt;0,P$3=FALSE),
ROUNDDOWN(INDEX(Y$4:Y1644,MATCH(LARGE(FILTER(W$4:W1644,W$4:W1644&lt;=I1382),1)"&amp;",W$4:W1644))+(I1382-LARGE(FILTER(W$4:W1644,W$4:W1644&lt;=I1382),1))*INDEX(T$4:T1644,MATCH(LARGE(FILTER(W$4:W1644,W$4:W1644&lt;=I1382),1),W$4:W1644))-K1382),1,
ROUNDDOWN(Y1382-INDEX(K$4:K1644,MATCH(LARGE(FILTER(I$4:I1644,I$4:I1644&lt;=W1382),1),I$4:I1644))-(W1382-L"&amp;"ARGE(FILTER(I$4:I1644,I$4:I1644&lt;=W1382),1))*INDEX(F$4:F1644,MATCH(LARGE(FILTER(I$4:I1644,I$4:I1644&lt;=W1382),1),I$4:I1644))))"),"")</f>
        <v/>
      </c>
      <c r="N1382" s="60" t="str">
        <f t="shared" si="8"/>
        <v/>
      </c>
      <c r="O1382" s="61" t="str">
        <f t="shared" si="9"/>
        <v/>
      </c>
      <c r="P1382" s="56" t="str">
        <f t="shared" si="10"/>
        <v/>
      </c>
      <c r="Q1382" s="105"/>
      <c r="R1382" s="10"/>
      <c r="S1382" s="59" t="str">
        <f t="array" ref="S1382">IF(COUNTA(Q1382:Q1644)=0,"",SUM((COUNTIF(Q$4:Q1382,Upgrades!$B$3:$B$13)-COUNTIF(Q$4:Q1382,"Sell_"&amp;Upgrades!$B$3:$B$13))*Upgrades!$D$3:$D$13))</f>
        <v/>
      </c>
      <c r="T1382" s="66" t="str">
        <f>IFERROR(__xludf.DUMMYFUNCTION("IF(COUNTA(Q1382:Q1644)=0,"""",IF(REGEXMATCH(INDEX(FILTER(Q$4:Q1382,Q$4:Q1382&lt;&gt;""""),ROWS(FILTER(Q$4:Q1382,Q$4:Q1382&lt;&gt;""""))),""^Sell_""),INDEX(FILTER(T$4:T1381,Q$4:Q1381&lt;&gt;""""),ROWS(FILTER(Q$4:Q1381,Q$4:Q1381&lt;&gt;""""))),$AD$5+S1382))"),"")</f>
        <v/>
      </c>
      <c r="U1382" s="10" t="str">
        <f>IFERROR(__xludf.DUMMYFUNCTION("IF(COUNTA(Q1382:Q1644)=0,"""",IF(Q1382="""",0,IF(REGEXMATCH(Q1382,""^Sell_""),-ROUNDDOWN(ROUNDUP(INDEX(Upgrades!$C$3:$C$13,MATCH(SUBSTITUTE(Q1382,""Sell_"",""""),Upgrades!$B$3:$B$13,0))*1.15^(COUNTIF(Q$4:Q1381,SUBSTITUTE(Q1382,""Sell_"",""""))-COUNTIF(Q$4"&amp;":Q1381,""Sell_""&amp;SUBSTITUTE(Q1382,""Sell_"",""""))))/2),ROUNDUP(INDEX(Upgrades!$C$3:$C$13,MATCH(Q1382,Upgrades!$B$3:$B$13,0))*1.15^(COUNTIF(Q$4:Q1381,Q1382)-COUNTIF(Q$4:Q1381,""Sell_""&amp;Q1382))))))"),"")</f>
        <v/>
      </c>
      <c r="V1382" s="10" t="str">
        <f t="shared" si="11"/>
        <v/>
      </c>
      <c r="W1382" s="68" t="str">
        <f t="shared" si="12"/>
        <v/>
      </c>
      <c r="X1382" s="59" t="str">
        <f t="shared" si="13"/>
        <v/>
      </c>
      <c r="Y1382" s="69" t="str">
        <f t="shared" si="14"/>
        <v/>
      </c>
      <c r="Z1382" s="11"/>
      <c r="AG1382" s="59"/>
    </row>
    <row r="1383">
      <c r="A1383" s="8"/>
      <c r="B1383" s="56" t="str">
        <f t="shared" si="2"/>
        <v/>
      </c>
      <c r="C1383" s="105"/>
      <c r="D1383" s="10"/>
      <c r="E1383" s="59" t="str">
        <f t="array" ref="E1383">IF(COUNTA(C1383:C1644)=0,"",SUM((COUNTIF(C$4:C1383,Upgrades!$B$3:$B$13)-COUNTIF(C$4:C1383,"Sell_"&amp;Upgrades!$B$3:$B$13))*Upgrades!$D$3:$D$13))</f>
        <v/>
      </c>
      <c r="F1383" s="66" t="str">
        <f>IFERROR(__xludf.DUMMYFUNCTION("IF(COUNTA(C1383:C1644)=0,"""",IF(REGEXMATCH(INDEX(FILTER(C$4:C1383,C$4:C1383&lt;&gt;""""),ROWS(FILTER(C$4:C1383,C$4:C1383&lt;&gt;""""))),""^Sell_""),INDEX(FILTER(F$4:F1382,C$4:C1382&lt;&gt;""""),ROWS(FILTER(C$4:C1382,C$4:C1382&lt;&gt;""""))),$AC$5+E1383))"),"")</f>
        <v/>
      </c>
      <c r="G1383" s="10" t="str">
        <f>IFERROR(__xludf.DUMMYFUNCTION("IF(COUNTA(C1383:C1644)=0,"""",IF(C1383="""",0,IF(REGEXMATCH(C1383,""^Sell_""),-ROUNDDOWN(ROUNDUP(INDEX(Upgrades!$C$3:$C$13,MATCH(SUBSTITUTE(C1383,""Sell_"",""""),Upgrades!$B$3:$B$13,0))*1.15^(COUNTIF(C$4:C1382,SUBSTITUTE(C1383,""Sell_"",""""))-COUNTIF(C$4"&amp;":C1382,""Sell_""&amp;SUBSTITUTE(C1383,""Sell_"",""""))))/2),ROUNDUP(INDEX(Upgrades!$C$3:$C$13,MATCH(C1383,Upgrades!$B$3:$B$13,0))*1.15^(COUNTIF(C$4:C1382,C1383)-COUNTIF(C$4:C1382,""Sell_""&amp;C1383))))))"),"")</f>
        <v/>
      </c>
      <c r="H1383" s="10" t="str">
        <f t="shared" si="3"/>
        <v/>
      </c>
      <c r="I1383" s="68" t="str">
        <f t="shared" si="4"/>
        <v/>
      </c>
      <c r="J1383" s="59" t="str">
        <f t="shared" si="5"/>
        <v/>
      </c>
      <c r="K1383" s="69" t="str">
        <f t="shared" si="6"/>
        <v/>
      </c>
      <c r="L1383" s="60" t="str">
        <f t="shared" si="7"/>
        <v/>
      </c>
      <c r="M1383" s="61" t="str">
        <f>IFERROR(__xludf.DUMMYFUNCTION("IFS(AND(COUNTA(C1383:C1644)=0,COUNTA(Q1383:Q1644)=0),"""",OR(AND(K1383&gt;=1000000000,OR(Y1383&gt;=1000000000,COUNTA(Q1383:Q1644)=0)),OR(Y1383&gt;=1000000000,AND(COUNTA(C1383:C1644)=0,P$3=TRUE))),
ROUNDDOWN((AB$1-AC$1)*MAX(INDEX(T$4:T1644,MATCH(LARGE(FILTER(Y$4:Y1"&amp;"644,Y$4:Y1644&lt;1000000000),1),Y$4:Y1644)),INDEX(F$4:F1644,MATCH(LARGE(FILTER(K$4:K1644,K$4:K1644&lt;1000000000),1),K$4:K1644)))),AND(K1383&lt;1000000000,COUNTA(C1383:C1644)&gt;0,P$3=FALSE),
ROUNDDOWN(INDEX(Y$4:Y1644,MATCH(LARGE(FILTER(W$4:W1644,W$4:W1644&lt;=I1383),1)"&amp;",W$4:W1644))+(I1383-LARGE(FILTER(W$4:W1644,W$4:W1644&lt;=I1383),1))*INDEX(T$4:T1644,MATCH(LARGE(FILTER(W$4:W1644,W$4:W1644&lt;=I1383),1),W$4:W1644))-K1383),1,
ROUNDDOWN(Y1383-INDEX(K$4:K1644,MATCH(LARGE(FILTER(I$4:I1644,I$4:I1644&lt;=W1383),1),I$4:I1644))-(W1383-L"&amp;"ARGE(FILTER(I$4:I1644,I$4:I1644&lt;=W1383),1))*INDEX(F$4:F1644,MATCH(LARGE(FILTER(I$4:I1644,I$4:I1644&lt;=W1383),1),I$4:I1644))))"),"")</f>
        <v/>
      </c>
      <c r="N1383" s="60" t="str">
        <f t="shared" si="8"/>
        <v/>
      </c>
      <c r="O1383" s="61" t="str">
        <f t="shared" si="9"/>
        <v/>
      </c>
      <c r="P1383" s="56" t="str">
        <f t="shared" si="10"/>
        <v/>
      </c>
      <c r="Q1383" s="105"/>
      <c r="R1383" s="10"/>
      <c r="S1383" s="59" t="str">
        <f t="array" ref="S1383">IF(COUNTA(Q1383:Q1644)=0,"",SUM((COUNTIF(Q$4:Q1383,Upgrades!$B$3:$B$13)-COUNTIF(Q$4:Q1383,"Sell_"&amp;Upgrades!$B$3:$B$13))*Upgrades!$D$3:$D$13))</f>
        <v/>
      </c>
      <c r="T1383" s="66" t="str">
        <f>IFERROR(__xludf.DUMMYFUNCTION("IF(COUNTA(Q1383:Q1644)=0,"""",IF(REGEXMATCH(INDEX(FILTER(Q$4:Q1383,Q$4:Q1383&lt;&gt;""""),ROWS(FILTER(Q$4:Q1383,Q$4:Q1383&lt;&gt;""""))),""^Sell_""),INDEX(FILTER(T$4:T1382,Q$4:Q1382&lt;&gt;""""),ROWS(FILTER(Q$4:Q1382,Q$4:Q1382&lt;&gt;""""))),$AD$5+S1383))"),"")</f>
        <v/>
      </c>
      <c r="U1383" s="10" t="str">
        <f>IFERROR(__xludf.DUMMYFUNCTION("IF(COUNTA(Q1383:Q1644)=0,"""",IF(Q1383="""",0,IF(REGEXMATCH(Q1383,""^Sell_""),-ROUNDDOWN(ROUNDUP(INDEX(Upgrades!$C$3:$C$13,MATCH(SUBSTITUTE(Q1383,""Sell_"",""""),Upgrades!$B$3:$B$13,0))*1.15^(COUNTIF(Q$4:Q1382,SUBSTITUTE(Q1383,""Sell_"",""""))-COUNTIF(Q$4"&amp;":Q1382,""Sell_""&amp;SUBSTITUTE(Q1383,""Sell_"",""""))))/2),ROUNDUP(INDEX(Upgrades!$C$3:$C$13,MATCH(Q1383,Upgrades!$B$3:$B$13,0))*1.15^(COUNTIF(Q$4:Q1382,Q1383)-COUNTIF(Q$4:Q1382,""Sell_""&amp;Q1383))))))"),"")</f>
        <v/>
      </c>
      <c r="V1383" s="10" t="str">
        <f t="shared" si="11"/>
        <v/>
      </c>
      <c r="W1383" s="68" t="str">
        <f t="shared" si="12"/>
        <v/>
      </c>
      <c r="X1383" s="59" t="str">
        <f t="shared" si="13"/>
        <v/>
      </c>
      <c r="Y1383" s="69" t="str">
        <f t="shared" si="14"/>
        <v/>
      </c>
      <c r="Z1383" s="11"/>
      <c r="AG1383" s="59"/>
    </row>
    <row r="1384">
      <c r="A1384" s="8"/>
      <c r="B1384" s="56" t="str">
        <f t="shared" si="2"/>
        <v/>
      </c>
      <c r="C1384" s="105"/>
      <c r="D1384" s="10"/>
      <c r="E1384" s="59" t="str">
        <f t="array" ref="E1384">IF(COUNTA(C1384:C1644)=0,"",SUM((COUNTIF(C$4:C1384,Upgrades!$B$3:$B$13)-COUNTIF(C$4:C1384,"Sell_"&amp;Upgrades!$B$3:$B$13))*Upgrades!$D$3:$D$13))</f>
        <v/>
      </c>
      <c r="F1384" s="66" t="str">
        <f>IFERROR(__xludf.DUMMYFUNCTION("IF(COUNTA(C1384:C1644)=0,"""",IF(REGEXMATCH(INDEX(FILTER(C$4:C1384,C$4:C1384&lt;&gt;""""),ROWS(FILTER(C$4:C1384,C$4:C1384&lt;&gt;""""))),""^Sell_""),INDEX(FILTER(F$4:F1383,C$4:C1383&lt;&gt;""""),ROWS(FILTER(C$4:C1383,C$4:C1383&lt;&gt;""""))),$AC$5+E1384))"),"")</f>
        <v/>
      </c>
      <c r="G1384" s="10" t="str">
        <f>IFERROR(__xludf.DUMMYFUNCTION("IF(COUNTA(C1384:C1644)=0,"""",IF(C1384="""",0,IF(REGEXMATCH(C1384,""^Sell_""),-ROUNDDOWN(ROUNDUP(INDEX(Upgrades!$C$3:$C$13,MATCH(SUBSTITUTE(C1384,""Sell_"",""""),Upgrades!$B$3:$B$13,0))*1.15^(COUNTIF(C$4:C1383,SUBSTITUTE(C1384,""Sell_"",""""))-COUNTIF(C$4"&amp;":C1383,""Sell_""&amp;SUBSTITUTE(C1384,""Sell_"",""""))))/2),ROUNDUP(INDEX(Upgrades!$C$3:$C$13,MATCH(C1384,Upgrades!$B$3:$B$13,0))*1.15^(COUNTIF(C$4:C1383,C1384)-COUNTIF(C$4:C1383,""Sell_""&amp;C1384))))))"),"")</f>
        <v/>
      </c>
      <c r="H1384" s="10" t="str">
        <f t="shared" si="3"/>
        <v/>
      </c>
      <c r="I1384" s="68" t="str">
        <f t="shared" si="4"/>
        <v/>
      </c>
      <c r="J1384" s="59" t="str">
        <f t="shared" si="5"/>
        <v/>
      </c>
      <c r="K1384" s="69" t="str">
        <f t="shared" si="6"/>
        <v/>
      </c>
      <c r="L1384" s="60" t="str">
        <f t="shared" si="7"/>
        <v/>
      </c>
      <c r="M1384" s="61" t="str">
        <f>IFERROR(__xludf.DUMMYFUNCTION("IFS(AND(COUNTA(C1384:C1644)=0,COUNTA(Q1384:Q1644)=0),"""",OR(AND(K1384&gt;=1000000000,OR(Y1384&gt;=1000000000,COUNTA(Q1384:Q1644)=0)),OR(Y1384&gt;=1000000000,AND(COUNTA(C1384:C1644)=0,P$3=TRUE))),
ROUNDDOWN((AB$1-AC$1)*MAX(INDEX(T$4:T1644,MATCH(LARGE(FILTER(Y$4:Y1"&amp;"644,Y$4:Y1644&lt;1000000000),1),Y$4:Y1644)),INDEX(F$4:F1644,MATCH(LARGE(FILTER(K$4:K1644,K$4:K1644&lt;1000000000),1),K$4:K1644)))),AND(K1384&lt;1000000000,COUNTA(C1384:C1644)&gt;0,P$3=FALSE),
ROUNDDOWN(INDEX(Y$4:Y1644,MATCH(LARGE(FILTER(W$4:W1644,W$4:W1644&lt;=I1384),1)"&amp;",W$4:W1644))+(I1384-LARGE(FILTER(W$4:W1644,W$4:W1644&lt;=I1384),1))*INDEX(T$4:T1644,MATCH(LARGE(FILTER(W$4:W1644,W$4:W1644&lt;=I1384),1),W$4:W1644))-K1384),1,
ROUNDDOWN(Y1384-INDEX(K$4:K1644,MATCH(LARGE(FILTER(I$4:I1644,I$4:I1644&lt;=W1384),1),I$4:I1644))-(W1384-L"&amp;"ARGE(FILTER(I$4:I1644,I$4:I1644&lt;=W1384),1))*INDEX(F$4:F1644,MATCH(LARGE(FILTER(I$4:I1644,I$4:I1644&lt;=W1384),1),I$4:I1644))))"),"")</f>
        <v/>
      </c>
      <c r="N1384" s="60" t="str">
        <f t="shared" si="8"/>
        <v/>
      </c>
      <c r="O1384" s="61" t="str">
        <f t="shared" si="9"/>
        <v/>
      </c>
      <c r="P1384" s="56" t="str">
        <f t="shared" si="10"/>
        <v/>
      </c>
      <c r="Q1384" s="105"/>
      <c r="R1384" s="10"/>
      <c r="S1384" s="59" t="str">
        <f t="array" ref="S1384">IF(COUNTA(Q1384:Q1644)=0,"",SUM((COUNTIF(Q$4:Q1384,Upgrades!$B$3:$B$13)-COUNTIF(Q$4:Q1384,"Sell_"&amp;Upgrades!$B$3:$B$13))*Upgrades!$D$3:$D$13))</f>
        <v/>
      </c>
      <c r="T1384" s="66" t="str">
        <f>IFERROR(__xludf.DUMMYFUNCTION("IF(COUNTA(Q1384:Q1644)=0,"""",IF(REGEXMATCH(INDEX(FILTER(Q$4:Q1384,Q$4:Q1384&lt;&gt;""""),ROWS(FILTER(Q$4:Q1384,Q$4:Q1384&lt;&gt;""""))),""^Sell_""),INDEX(FILTER(T$4:T1383,Q$4:Q1383&lt;&gt;""""),ROWS(FILTER(Q$4:Q1383,Q$4:Q1383&lt;&gt;""""))),$AD$5+S1384))"),"")</f>
        <v/>
      </c>
      <c r="U1384" s="10" t="str">
        <f>IFERROR(__xludf.DUMMYFUNCTION("IF(COUNTA(Q1384:Q1644)=0,"""",IF(Q1384="""",0,IF(REGEXMATCH(Q1384,""^Sell_""),-ROUNDDOWN(ROUNDUP(INDEX(Upgrades!$C$3:$C$13,MATCH(SUBSTITUTE(Q1384,""Sell_"",""""),Upgrades!$B$3:$B$13,0))*1.15^(COUNTIF(Q$4:Q1383,SUBSTITUTE(Q1384,""Sell_"",""""))-COUNTIF(Q$4"&amp;":Q1383,""Sell_""&amp;SUBSTITUTE(Q1384,""Sell_"",""""))))/2),ROUNDUP(INDEX(Upgrades!$C$3:$C$13,MATCH(Q1384,Upgrades!$B$3:$B$13,0))*1.15^(COUNTIF(Q$4:Q1383,Q1384)-COUNTIF(Q$4:Q1383,""Sell_""&amp;Q1384))))))"),"")</f>
        <v/>
      </c>
      <c r="V1384" s="10" t="str">
        <f t="shared" si="11"/>
        <v/>
      </c>
      <c r="W1384" s="68" t="str">
        <f t="shared" si="12"/>
        <v/>
      </c>
      <c r="X1384" s="59" t="str">
        <f t="shared" si="13"/>
        <v/>
      </c>
      <c r="Y1384" s="69" t="str">
        <f t="shared" si="14"/>
        <v/>
      </c>
      <c r="Z1384" s="11"/>
      <c r="AG1384" s="59"/>
    </row>
    <row r="1385">
      <c r="A1385" s="8"/>
      <c r="B1385" s="56" t="str">
        <f t="shared" si="2"/>
        <v/>
      </c>
      <c r="C1385" s="105"/>
      <c r="D1385" s="10"/>
      <c r="E1385" s="59" t="str">
        <f t="array" ref="E1385">IF(COUNTA(C1385:C1644)=0,"",SUM((COUNTIF(C$4:C1385,Upgrades!$B$3:$B$13)-COUNTIF(C$4:C1385,"Sell_"&amp;Upgrades!$B$3:$B$13))*Upgrades!$D$3:$D$13))</f>
        <v/>
      </c>
      <c r="F1385" s="66" t="str">
        <f>IFERROR(__xludf.DUMMYFUNCTION("IF(COUNTA(C1385:C1644)=0,"""",IF(REGEXMATCH(INDEX(FILTER(C$4:C1385,C$4:C1385&lt;&gt;""""),ROWS(FILTER(C$4:C1385,C$4:C1385&lt;&gt;""""))),""^Sell_""),INDEX(FILTER(F$4:F1384,C$4:C1384&lt;&gt;""""),ROWS(FILTER(C$4:C1384,C$4:C1384&lt;&gt;""""))),$AC$5+E1385))"),"")</f>
        <v/>
      </c>
      <c r="G1385" s="10" t="str">
        <f>IFERROR(__xludf.DUMMYFUNCTION("IF(COUNTA(C1385:C1644)=0,"""",IF(C1385="""",0,IF(REGEXMATCH(C1385,""^Sell_""),-ROUNDDOWN(ROUNDUP(INDEX(Upgrades!$C$3:$C$13,MATCH(SUBSTITUTE(C1385,""Sell_"",""""),Upgrades!$B$3:$B$13,0))*1.15^(COUNTIF(C$4:C1384,SUBSTITUTE(C1385,""Sell_"",""""))-COUNTIF(C$4"&amp;":C1384,""Sell_""&amp;SUBSTITUTE(C1385,""Sell_"",""""))))/2),ROUNDUP(INDEX(Upgrades!$C$3:$C$13,MATCH(C1385,Upgrades!$B$3:$B$13,0))*1.15^(COUNTIF(C$4:C1384,C1385)-COUNTIF(C$4:C1384,""Sell_""&amp;C1385))))))"),"")</f>
        <v/>
      </c>
      <c r="H1385" s="10" t="str">
        <f t="shared" si="3"/>
        <v/>
      </c>
      <c r="I1385" s="68" t="str">
        <f t="shared" si="4"/>
        <v/>
      </c>
      <c r="J1385" s="59" t="str">
        <f t="shared" si="5"/>
        <v/>
      </c>
      <c r="K1385" s="69" t="str">
        <f t="shared" si="6"/>
        <v/>
      </c>
      <c r="L1385" s="60" t="str">
        <f t="shared" si="7"/>
        <v/>
      </c>
      <c r="M1385" s="61" t="str">
        <f>IFERROR(__xludf.DUMMYFUNCTION("IFS(AND(COUNTA(C1385:C1644)=0,COUNTA(Q1385:Q1644)=0),"""",OR(AND(K1385&gt;=1000000000,OR(Y1385&gt;=1000000000,COUNTA(Q1385:Q1644)=0)),OR(Y1385&gt;=1000000000,AND(COUNTA(C1385:C1644)=0,P$3=TRUE))),
ROUNDDOWN((AB$1-AC$1)*MAX(INDEX(T$4:T1644,MATCH(LARGE(FILTER(Y$4:Y1"&amp;"644,Y$4:Y1644&lt;1000000000),1),Y$4:Y1644)),INDEX(F$4:F1644,MATCH(LARGE(FILTER(K$4:K1644,K$4:K1644&lt;1000000000),1),K$4:K1644)))),AND(K1385&lt;1000000000,COUNTA(C1385:C1644)&gt;0,P$3=FALSE),
ROUNDDOWN(INDEX(Y$4:Y1644,MATCH(LARGE(FILTER(W$4:W1644,W$4:W1644&lt;=I1385),1)"&amp;",W$4:W1644))+(I1385-LARGE(FILTER(W$4:W1644,W$4:W1644&lt;=I1385),1))*INDEX(T$4:T1644,MATCH(LARGE(FILTER(W$4:W1644,W$4:W1644&lt;=I1385),1),W$4:W1644))-K1385),1,
ROUNDDOWN(Y1385-INDEX(K$4:K1644,MATCH(LARGE(FILTER(I$4:I1644,I$4:I1644&lt;=W1385),1),I$4:I1644))-(W1385-L"&amp;"ARGE(FILTER(I$4:I1644,I$4:I1644&lt;=W1385),1))*INDEX(F$4:F1644,MATCH(LARGE(FILTER(I$4:I1644,I$4:I1644&lt;=W1385),1),I$4:I1644))))"),"")</f>
        <v/>
      </c>
      <c r="N1385" s="60" t="str">
        <f t="shared" si="8"/>
        <v/>
      </c>
      <c r="O1385" s="61" t="str">
        <f t="shared" si="9"/>
        <v/>
      </c>
      <c r="P1385" s="56" t="str">
        <f t="shared" si="10"/>
        <v/>
      </c>
      <c r="Q1385" s="105"/>
      <c r="R1385" s="10"/>
      <c r="S1385" s="59" t="str">
        <f t="array" ref="S1385">IF(COUNTA(Q1385:Q1644)=0,"",SUM((COUNTIF(Q$4:Q1385,Upgrades!$B$3:$B$13)-COUNTIF(Q$4:Q1385,"Sell_"&amp;Upgrades!$B$3:$B$13))*Upgrades!$D$3:$D$13))</f>
        <v/>
      </c>
      <c r="T1385" s="66" t="str">
        <f>IFERROR(__xludf.DUMMYFUNCTION("IF(COUNTA(Q1385:Q1644)=0,"""",IF(REGEXMATCH(INDEX(FILTER(Q$4:Q1385,Q$4:Q1385&lt;&gt;""""),ROWS(FILTER(Q$4:Q1385,Q$4:Q1385&lt;&gt;""""))),""^Sell_""),INDEX(FILTER(T$4:T1384,Q$4:Q1384&lt;&gt;""""),ROWS(FILTER(Q$4:Q1384,Q$4:Q1384&lt;&gt;""""))),$AD$5+S1385))"),"")</f>
        <v/>
      </c>
      <c r="U1385" s="10" t="str">
        <f>IFERROR(__xludf.DUMMYFUNCTION("IF(COUNTA(Q1385:Q1644)=0,"""",IF(Q1385="""",0,IF(REGEXMATCH(Q1385,""^Sell_""),-ROUNDDOWN(ROUNDUP(INDEX(Upgrades!$C$3:$C$13,MATCH(SUBSTITUTE(Q1385,""Sell_"",""""),Upgrades!$B$3:$B$13,0))*1.15^(COUNTIF(Q$4:Q1384,SUBSTITUTE(Q1385,""Sell_"",""""))-COUNTIF(Q$4"&amp;":Q1384,""Sell_""&amp;SUBSTITUTE(Q1385,""Sell_"",""""))))/2),ROUNDUP(INDEX(Upgrades!$C$3:$C$13,MATCH(Q1385,Upgrades!$B$3:$B$13,0))*1.15^(COUNTIF(Q$4:Q1384,Q1385)-COUNTIF(Q$4:Q1384,""Sell_""&amp;Q1385))))))"),"")</f>
        <v/>
      </c>
      <c r="V1385" s="10" t="str">
        <f t="shared" si="11"/>
        <v/>
      </c>
      <c r="W1385" s="68" t="str">
        <f t="shared" si="12"/>
        <v/>
      </c>
      <c r="X1385" s="59" t="str">
        <f t="shared" si="13"/>
        <v/>
      </c>
      <c r="Y1385" s="69" t="str">
        <f t="shared" si="14"/>
        <v/>
      </c>
      <c r="Z1385" s="11"/>
      <c r="AG1385" s="59"/>
    </row>
    <row r="1386">
      <c r="A1386" s="8"/>
      <c r="B1386" s="56" t="str">
        <f t="shared" si="2"/>
        <v/>
      </c>
      <c r="C1386" s="105"/>
      <c r="D1386" s="10"/>
      <c r="E1386" s="59" t="str">
        <f t="array" ref="E1386">IF(COUNTA(C1386:C1644)=0,"",SUM((COUNTIF(C$4:C1386,Upgrades!$B$3:$B$13)-COUNTIF(C$4:C1386,"Sell_"&amp;Upgrades!$B$3:$B$13))*Upgrades!$D$3:$D$13))</f>
        <v/>
      </c>
      <c r="F1386" s="66" t="str">
        <f>IFERROR(__xludf.DUMMYFUNCTION("IF(COUNTA(C1386:C1644)=0,"""",IF(REGEXMATCH(INDEX(FILTER(C$4:C1386,C$4:C1386&lt;&gt;""""),ROWS(FILTER(C$4:C1386,C$4:C1386&lt;&gt;""""))),""^Sell_""),INDEX(FILTER(F$4:F1385,C$4:C1385&lt;&gt;""""),ROWS(FILTER(C$4:C1385,C$4:C1385&lt;&gt;""""))),$AC$5+E1386))"),"")</f>
        <v/>
      </c>
      <c r="G1386" s="10" t="str">
        <f>IFERROR(__xludf.DUMMYFUNCTION("IF(COUNTA(C1386:C1644)=0,"""",IF(C1386="""",0,IF(REGEXMATCH(C1386,""^Sell_""),-ROUNDDOWN(ROUNDUP(INDEX(Upgrades!$C$3:$C$13,MATCH(SUBSTITUTE(C1386,""Sell_"",""""),Upgrades!$B$3:$B$13,0))*1.15^(COUNTIF(C$4:C1385,SUBSTITUTE(C1386,""Sell_"",""""))-COUNTIF(C$4"&amp;":C1385,""Sell_""&amp;SUBSTITUTE(C1386,""Sell_"",""""))))/2),ROUNDUP(INDEX(Upgrades!$C$3:$C$13,MATCH(C1386,Upgrades!$B$3:$B$13,0))*1.15^(COUNTIF(C$4:C1385,C1386)-COUNTIF(C$4:C1385,""Sell_""&amp;C1386))))))"),"")</f>
        <v/>
      </c>
      <c r="H1386" s="10" t="str">
        <f t="shared" si="3"/>
        <v/>
      </c>
      <c r="I1386" s="68" t="str">
        <f t="shared" si="4"/>
        <v/>
      </c>
      <c r="J1386" s="59" t="str">
        <f t="shared" si="5"/>
        <v/>
      </c>
      <c r="K1386" s="69" t="str">
        <f t="shared" si="6"/>
        <v/>
      </c>
      <c r="L1386" s="60" t="str">
        <f t="shared" si="7"/>
        <v/>
      </c>
      <c r="M1386" s="61" t="str">
        <f>IFERROR(__xludf.DUMMYFUNCTION("IFS(AND(COUNTA(C1386:C1644)=0,COUNTA(Q1386:Q1644)=0),"""",OR(AND(K1386&gt;=1000000000,OR(Y1386&gt;=1000000000,COUNTA(Q1386:Q1644)=0)),OR(Y1386&gt;=1000000000,AND(COUNTA(C1386:C1644)=0,P$3=TRUE))),
ROUNDDOWN((AB$1-AC$1)*MAX(INDEX(T$4:T1644,MATCH(LARGE(FILTER(Y$4:Y1"&amp;"644,Y$4:Y1644&lt;1000000000),1),Y$4:Y1644)),INDEX(F$4:F1644,MATCH(LARGE(FILTER(K$4:K1644,K$4:K1644&lt;1000000000),1),K$4:K1644)))),AND(K1386&lt;1000000000,COUNTA(C1386:C1644)&gt;0,P$3=FALSE),
ROUNDDOWN(INDEX(Y$4:Y1644,MATCH(LARGE(FILTER(W$4:W1644,W$4:W1644&lt;=I1386),1)"&amp;",W$4:W1644))+(I1386-LARGE(FILTER(W$4:W1644,W$4:W1644&lt;=I1386),1))*INDEX(T$4:T1644,MATCH(LARGE(FILTER(W$4:W1644,W$4:W1644&lt;=I1386),1),W$4:W1644))-K1386),1,
ROUNDDOWN(Y1386-INDEX(K$4:K1644,MATCH(LARGE(FILTER(I$4:I1644,I$4:I1644&lt;=W1386),1),I$4:I1644))-(W1386-L"&amp;"ARGE(FILTER(I$4:I1644,I$4:I1644&lt;=W1386),1))*INDEX(F$4:F1644,MATCH(LARGE(FILTER(I$4:I1644,I$4:I1644&lt;=W1386),1),I$4:I1644))))"),"")</f>
        <v/>
      </c>
      <c r="N1386" s="60" t="str">
        <f t="shared" si="8"/>
        <v/>
      </c>
      <c r="O1386" s="61" t="str">
        <f t="shared" si="9"/>
        <v/>
      </c>
      <c r="P1386" s="56" t="str">
        <f t="shared" si="10"/>
        <v/>
      </c>
      <c r="Q1386" s="105"/>
      <c r="R1386" s="10"/>
      <c r="S1386" s="59" t="str">
        <f t="array" ref="S1386">IF(COUNTA(Q1386:Q1644)=0,"",SUM((COUNTIF(Q$4:Q1386,Upgrades!$B$3:$B$13)-COUNTIF(Q$4:Q1386,"Sell_"&amp;Upgrades!$B$3:$B$13))*Upgrades!$D$3:$D$13))</f>
        <v/>
      </c>
      <c r="T1386" s="66" t="str">
        <f>IFERROR(__xludf.DUMMYFUNCTION("IF(COUNTA(Q1386:Q1644)=0,"""",IF(REGEXMATCH(INDEX(FILTER(Q$4:Q1386,Q$4:Q1386&lt;&gt;""""),ROWS(FILTER(Q$4:Q1386,Q$4:Q1386&lt;&gt;""""))),""^Sell_""),INDEX(FILTER(T$4:T1385,Q$4:Q1385&lt;&gt;""""),ROWS(FILTER(Q$4:Q1385,Q$4:Q1385&lt;&gt;""""))),$AD$5+S1386))"),"")</f>
        <v/>
      </c>
      <c r="U1386" s="10" t="str">
        <f>IFERROR(__xludf.DUMMYFUNCTION("IF(COUNTA(Q1386:Q1644)=0,"""",IF(Q1386="""",0,IF(REGEXMATCH(Q1386,""^Sell_""),-ROUNDDOWN(ROUNDUP(INDEX(Upgrades!$C$3:$C$13,MATCH(SUBSTITUTE(Q1386,""Sell_"",""""),Upgrades!$B$3:$B$13,0))*1.15^(COUNTIF(Q$4:Q1385,SUBSTITUTE(Q1386,""Sell_"",""""))-COUNTIF(Q$4"&amp;":Q1385,""Sell_""&amp;SUBSTITUTE(Q1386,""Sell_"",""""))))/2),ROUNDUP(INDEX(Upgrades!$C$3:$C$13,MATCH(Q1386,Upgrades!$B$3:$B$13,0))*1.15^(COUNTIF(Q$4:Q1385,Q1386)-COUNTIF(Q$4:Q1385,""Sell_""&amp;Q1386))))))"),"")</f>
        <v/>
      </c>
      <c r="V1386" s="10" t="str">
        <f t="shared" si="11"/>
        <v/>
      </c>
      <c r="W1386" s="68" t="str">
        <f t="shared" si="12"/>
        <v/>
      </c>
      <c r="X1386" s="59" t="str">
        <f t="shared" si="13"/>
        <v/>
      </c>
      <c r="Y1386" s="69" t="str">
        <f t="shared" si="14"/>
        <v/>
      </c>
      <c r="Z1386" s="11"/>
      <c r="AG1386" s="59"/>
    </row>
    <row r="1387">
      <c r="A1387" s="8"/>
      <c r="B1387" s="56" t="str">
        <f t="shared" si="2"/>
        <v/>
      </c>
      <c r="C1387" s="105"/>
      <c r="D1387" s="10"/>
      <c r="E1387" s="59" t="str">
        <f t="array" ref="E1387">IF(COUNTA(C1387:C1644)=0,"",SUM((COUNTIF(C$4:C1387,Upgrades!$B$3:$B$13)-COUNTIF(C$4:C1387,"Sell_"&amp;Upgrades!$B$3:$B$13))*Upgrades!$D$3:$D$13))</f>
        <v/>
      </c>
      <c r="F1387" s="66" t="str">
        <f>IFERROR(__xludf.DUMMYFUNCTION("IF(COUNTA(C1387:C1644)=0,"""",IF(REGEXMATCH(INDEX(FILTER(C$4:C1387,C$4:C1387&lt;&gt;""""),ROWS(FILTER(C$4:C1387,C$4:C1387&lt;&gt;""""))),""^Sell_""),INDEX(FILTER(F$4:F1386,C$4:C1386&lt;&gt;""""),ROWS(FILTER(C$4:C1386,C$4:C1386&lt;&gt;""""))),$AC$5+E1387))"),"")</f>
        <v/>
      </c>
      <c r="G1387" s="10" t="str">
        <f>IFERROR(__xludf.DUMMYFUNCTION("IF(COUNTA(C1387:C1644)=0,"""",IF(C1387="""",0,IF(REGEXMATCH(C1387,""^Sell_""),-ROUNDDOWN(ROUNDUP(INDEX(Upgrades!$C$3:$C$13,MATCH(SUBSTITUTE(C1387,""Sell_"",""""),Upgrades!$B$3:$B$13,0))*1.15^(COUNTIF(C$4:C1386,SUBSTITUTE(C1387,""Sell_"",""""))-COUNTIF(C$4"&amp;":C1386,""Sell_""&amp;SUBSTITUTE(C1387,""Sell_"",""""))))/2),ROUNDUP(INDEX(Upgrades!$C$3:$C$13,MATCH(C1387,Upgrades!$B$3:$B$13,0))*1.15^(COUNTIF(C$4:C1386,C1387)-COUNTIF(C$4:C1386,""Sell_""&amp;C1387))))))"),"")</f>
        <v/>
      </c>
      <c r="H1387" s="10" t="str">
        <f t="shared" si="3"/>
        <v/>
      </c>
      <c r="I1387" s="68" t="str">
        <f t="shared" si="4"/>
        <v/>
      </c>
      <c r="J1387" s="59" t="str">
        <f t="shared" si="5"/>
        <v/>
      </c>
      <c r="K1387" s="69" t="str">
        <f t="shared" si="6"/>
        <v/>
      </c>
      <c r="L1387" s="60" t="str">
        <f t="shared" si="7"/>
        <v/>
      </c>
      <c r="M1387" s="61" t="str">
        <f>IFERROR(__xludf.DUMMYFUNCTION("IFS(AND(COUNTA(C1387:C1644)=0,COUNTA(Q1387:Q1644)=0),"""",OR(AND(K1387&gt;=1000000000,OR(Y1387&gt;=1000000000,COUNTA(Q1387:Q1644)=0)),OR(Y1387&gt;=1000000000,AND(COUNTA(C1387:C1644)=0,P$3=TRUE))),
ROUNDDOWN((AB$1-AC$1)*MAX(INDEX(T$4:T1644,MATCH(LARGE(FILTER(Y$4:Y1"&amp;"644,Y$4:Y1644&lt;1000000000),1),Y$4:Y1644)),INDEX(F$4:F1644,MATCH(LARGE(FILTER(K$4:K1644,K$4:K1644&lt;1000000000),1),K$4:K1644)))),AND(K1387&lt;1000000000,COUNTA(C1387:C1644)&gt;0,P$3=FALSE),
ROUNDDOWN(INDEX(Y$4:Y1644,MATCH(LARGE(FILTER(W$4:W1644,W$4:W1644&lt;=I1387),1)"&amp;",W$4:W1644))+(I1387-LARGE(FILTER(W$4:W1644,W$4:W1644&lt;=I1387),1))*INDEX(T$4:T1644,MATCH(LARGE(FILTER(W$4:W1644,W$4:W1644&lt;=I1387),1),W$4:W1644))-K1387),1,
ROUNDDOWN(Y1387-INDEX(K$4:K1644,MATCH(LARGE(FILTER(I$4:I1644,I$4:I1644&lt;=W1387),1),I$4:I1644))-(W1387-L"&amp;"ARGE(FILTER(I$4:I1644,I$4:I1644&lt;=W1387),1))*INDEX(F$4:F1644,MATCH(LARGE(FILTER(I$4:I1644,I$4:I1644&lt;=W1387),1),I$4:I1644))))"),"")</f>
        <v/>
      </c>
      <c r="N1387" s="60" t="str">
        <f t="shared" si="8"/>
        <v/>
      </c>
      <c r="O1387" s="61" t="str">
        <f t="shared" si="9"/>
        <v/>
      </c>
      <c r="P1387" s="56" t="str">
        <f t="shared" si="10"/>
        <v/>
      </c>
      <c r="Q1387" s="105"/>
      <c r="R1387" s="10"/>
      <c r="S1387" s="59" t="str">
        <f t="array" ref="S1387">IF(COUNTA(Q1387:Q1644)=0,"",SUM((COUNTIF(Q$4:Q1387,Upgrades!$B$3:$B$13)-COUNTIF(Q$4:Q1387,"Sell_"&amp;Upgrades!$B$3:$B$13))*Upgrades!$D$3:$D$13))</f>
        <v/>
      </c>
      <c r="T1387" s="66" t="str">
        <f>IFERROR(__xludf.DUMMYFUNCTION("IF(COUNTA(Q1387:Q1644)=0,"""",IF(REGEXMATCH(INDEX(FILTER(Q$4:Q1387,Q$4:Q1387&lt;&gt;""""),ROWS(FILTER(Q$4:Q1387,Q$4:Q1387&lt;&gt;""""))),""^Sell_""),INDEX(FILTER(T$4:T1386,Q$4:Q1386&lt;&gt;""""),ROWS(FILTER(Q$4:Q1386,Q$4:Q1386&lt;&gt;""""))),$AD$5+S1387))"),"")</f>
        <v/>
      </c>
      <c r="U1387" s="10" t="str">
        <f>IFERROR(__xludf.DUMMYFUNCTION("IF(COUNTA(Q1387:Q1644)=0,"""",IF(Q1387="""",0,IF(REGEXMATCH(Q1387,""^Sell_""),-ROUNDDOWN(ROUNDUP(INDEX(Upgrades!$C$3:$C$13,MATCH(SUBSTITUTE(Q1387,""Sell_"",""""),Upgrades!$B$3:$B$13,0))*1.15^(COUNTIF(Q$4:Q1386,SUBSTITUTE(Q1387,""Sell_"",""""))-COUNTIF(Q$4"&amp;":Q1386,""Sell_""&amp;SUBSTITUTE(Q1387,""Sell_"",""""))))/2),ROUNDUP(INDEX(Upgrades!$C$3:$C$13,MATCH(Q1387,Upgrades!$B$3:$B$13,0))*1.15^(COUNTIF(Q$4:Q1386,Q1387)-COUNTIF(Q$4:Q1386,""Sell_""&amp;Q1387))))))"),"")</f>
        <v/>
      </c>
      <c r="V1387" s="10" t="str">
        <f t="shared" si="11"/>
        <v/>
      </c>
      <c r="W1387" s="68" t="str">
        <f t="shared" si="12"/>
        <v/>
      </c>
      <c r="X1387" s="59" t="str">
        <f t="shared" si="13"/>
        <v/>
      </c>
      <c r="Y1387" s="69" t="str">
        <f t="shared" si="14"/>
        <v/>
      </c>
      <c r="Z1387" s="11"/>
      <c r="AG1387" s="59"/>
    </row>
    <row r="1388">
      <c r="A1388" s="8"/>
      <c r="B1388" s="56" t="str">
        <f t="shared" si="2"/>
        <v/>
      </c>
      <c r="C1388" s="105"/>
      <c r="D1388" s="10"/>
      <c r="E1388" s="59" t="str">
        <f t="array" ref="E1388">IF(COUNTA(C1388:C1644)=0,"",SUM((COUNTIF(C$4:C1388,Upgrades!$B$3:$B$13)-COUNTIF(C$4:C1388,"Sell_"&amp;Upgrades!$B$3:$B$13))*Upgrades!$D$3:$D$13))</f>
        <v/>
      </c>
      <c r="F1388" s="66" t="str">
        <f>IFERROR(__xludf.DUMMYFUNCTION("IF(COUNTA(C1388:C1644)=0,"""",IF(REGEXMATCH(INDEX(FILTER(C$4:C1388,C$4:C1388&lt;&gt;""""),ROWS(FILTER(C$4:C1388,C$4:C1388&lt;&gt;""""))),""^Sell_""),INDEX(FILTER(F$4:F1387,C$4:C1387&lt;&gt;""""),ROWS(FILTER(C$4:C1387,C$4:C1387&lt;&gt;""""))),$AC$5+E1388))"),"")</f>
        <v/>
      </c>
      <c r="G1388" s="10" t="str">
        <f>IFERROR(__xludf.DUMMYFUNCTION("IF(COUNTA(C1388:C1644)=0,"""",IF(C1388="""",0,IF(REGEXMATCH(C1388,""^Sell_""),-ROUNDDOWN(ROUNDUP(INDEX(Upgrades!$C$3:$C$13,MATCH(SUBSTITUTE(C1388,""Sell_"",""""),Upgrades!$B$3:$B$13,0))*1.15^(COUNTIF(C$4:C1387,SUBSTITUTE(C1388,""Sell_"",""""))-COUNTIF(C$4"&amp;":C1387,""Sell_""&amp;SUBSTITUTE(C1388,""Sell_"",""""))))/2),ROUNDUP(INDEX(Upgrades!$C$3:$C$13,MATCH(C1388,Upgrades!$B$3:$B$13,0))*1.15^(COUNTIF(C$4:C1387,C1388)-COUNTIF(C$4:C1387,""Sell_""&amp;C1388))))))"),"")</f>
        <v/>
      </c>
      <c r="H1388" s="10" t="str">
        <f t="shared" si="3"/>
        <v/>
      </c>
      <c r="I1388" s="68" t="str">
        <f t="shared" si="4"/>
        <v/>
      </c>
      <c r="J1388" s="59" t="str">
        <f t="shared" si="5"/>
        <v/>
      </c>
      <c r="K1388" s="69" t="str">
        <f t="shared" si="6"/>
        <v/>
      </c>
      <c r="L1388" s="60" t="str">
        <f t="shared" si="7"/>
        <v/>
      </c>
      <c r="M1388" s="61" t="str">
        <f>IFERROR(__xludf.DUMMYFUNCTION("IFS(AND(COUNTA(C1388:C1644)=0,COUNTA(Q1388:Q1644)=0),"""",OR(AND(K1388&gt;=1000000000,OR(Y1388&gt;=1000000000,COUNTA(Q1388:Q1644)=0)),OR(Y1388&gt;=1000000000,AND(COUNTA(C1388:C1644)=0,P$3=TRUE))),
ROUNDDOWN((AB$1-AC$1)*MAX(INDEX(T$4:T1644,MATCH(LARGE(FILTER(Y$4:Y1"&amp;"644,Y$4:Y1644&lt;1000000000),1),Y$4:Y1644)),INDEX(F$4:F1644,MATCH(LARGE(FILTER(K$4:K1644,K$4:K1644&lt;1000000000),1),K$4:K1644)))),AND(K1388&lt;1000000000,COUNTA(C1388:C1644)&gt;0,P$3=FALSE),
ROUNDDOWN(INDEX(Y$4:Y1644,MATCH(LARGE(FILTER(W$4:W1644,W$4:W1644&lt;=I1388),1)"&amp;",W$4:W1644))+(I1388-LARGE(FILTER(W$4:W1644,W$4:W1644&lt;=I1388),1))*INDEX(T$4:T1644,MATCH(LARGE(FILTER(W$4:W1644,W$4:W1644&lt;=I1388),1),W$4:W1644))-K1388),1,
ROUNDDOWN(Y1388-INDEX(K$4:K1644,MATCH(LARGE(FILTER(I$4:I1644,I$4:I1644&lt;=W1388),1),I$4:I1644))-(W1388-L"&amp;"ARGE(FILTER(I$4:I1644,I$4:I1644&lt;=W1388),1))*INDEX(F$4:F1644,MATCH(LARGE(FILTER(I$4:I1644,I$4:I1644&lt;=W1388),1),I$4:I1644))))"),"")</f>
        <v/>
      </c>
      <c r="N1388" s="60" t="str">
        <f t="shared" si="8"/>
        <v/>
      </c>
      <c r="O1388" s="61" t="str">
        <f t="shared" si="9"/>
        <v/>
      </c>
      <c r="P1388" s="56" t="str">
        <f t="shared" si="10"/>
        <v/>
      </c>
      <c r="Q1388" s="105"/>
      <c r="R1388" s="10"/>
      <c r="S1388" s="59" t="str">
        <f t="array" ref="S1388">IF(COUNTA(Q1388:Q1644)=0,"",SUM((COUNTIF(Q$4:Q1388,Upgrades!$B$3:$B$13)-COUNTIF(Q$4:Q1388,"Sell_"&amp;Upgrades!$B$3:$B$13))*Upgrades!$D$3:$D$13))</f>
        <v/>
      </c>
      <c r="T1388" s="66" t="str">
        <f>IFERROR(__xludf.DUMMYFUNCTION("IF(COUNTA(Q1388:Q1644)=0,"""",IF(REGEXMATCH(INDEX(FILTER(Q$4:Q1388,Q$4:Q1388&lt;&gt;""""),ROWS(FILTER(Q$4:Q1388,Q$4:Q1388&lt;&gt;""""))),""^Sell_""),INDEX(FILTER(T$4:T1387,Q$4:Q1387&lt;&gt;""""),ROWS(FILTER(Q$4:Q1387,Q$4:Q1387&lt;&gt;""""))),$AD$5+S1388))"),"")</f>
        <v/>
      </c>
      <c r="U1388" s="10" t="str">
        <f>IFERROR(__xludf.DUMMYFUNCTION("IF(COUNTA(Q1388:Q1644)=0,"""",IF(Q1388="""",0,IF(REGEXMATCH(Q1388,""^Sell_""),-ROUNDDOWN(ROUNDUP(INDEX(Upgrades!$C$3:$C$13,MATCH(SUBSTITUTE(Q1388,""Sell_"",""""),Upgrades!$B$3:$B$13,0))*1.15^(COUNTIF(Q$4:Q1387,SUBSTITUTE(Q1388,""Sell_"",""""))-COUNTIF(Q$4"&amp;":Q1387,""Sell_""&amp;SUBSTITUTE(Q1388,""Sell_"",""""))))/2),ROUNDUP(INDEX(Upgrades!$C$3:$C$13,MATCH(Q1388,Upgrades!$B$3:$B$13,0))*1.15^(COUNTIF(Q$4:Q1387,Q1388)-COUNTIF(Q$4:Q1387,""Sell_""&amp;Q1388))))))"),"")</f>
        <v/>
      </c>
      <c r="V1388" s="10" t="str">
        <f t="shared" si="11"/>
        <v/>
      </c>
      <c r="W1388" s="68" t="str">
        <f t="shared" si="12"/>
        <v/>
      </c>
      <c r="X1388" s="59" t="str">
        <f t="shared" si="13"/>
        <v/>
      </c>
      <c r="Y1388" s="69" t="str">
        <f t="shared" si="14"/>
        <v/>
      </c>
      <c r="Z1388" s="11"/>
      <c r="AG1388" s="59"/>
    </row>
    <row r="1389">
      <c r="A1389" s="8"/>
      <c r="B1389" s="56" t="str">
        <f t="shared" si="2"/>
        <v/>
      </c>
      <c r="C1389" s="105"/>
      <c r="D1389" s="10"/>
      <c r="E1389" s="59" t="str">
        <f t="array" ref="E1389">IF(COUNTA(C1389:C1644)=0,"",SUM((COUNTIF(C$4:C1389,Upgrades!$B$3:$B$13)-COUNTIF(C$4:C1389,"Sell_"&amp;Upgrades!$B$3:$B$13))*Upgrades!$D$3:$D$13))</f>
        <v/>
      </c>
      <c r="F1389" s="66" t="str">
        <f>IFERROR(__xludf.DUMMYFUNCTION("IF(COUNTA(C1389:C1644)=0,"""",IF(REGEXMATCH(INDEX(FILTER(C$4:C1389,C$4:C1389&lt;&gt;""""),ROWS(FILTER(C$4:C1389,C$4:C1389&lt;&gt;""""))),""^Sell_""),INDEX(FILTER(F$4:F1388,C$4:C1388&lt;&gt;""""),ROWS(FILTER(C$4:C1388,C$4:C1388&lt;&gt;""""))),$AC$5+E1389))"),"")</f>
        <v/>
      </c>
      <c r="G1389" s="10" t="str">
        <f>IFERROR(__xludf.DUMMYFUNCTION("IF(COUNTA(C1389:C1644)=0,"""",IF(C1389="""",0,IF(REGEXMATCH(C1389,""^Sell_""),-ROUNDDOWN(ROUNDUP(INDEX(Upgrades!$C$3:$C$13,MATCH(SUBSTITUTE(C1389,""Sell_"",""""),Upgrades!$B$3:$B$13,0))*1.15^(COUNTIF(C$4:C1388,SUBSTITUTE(C1389,""Sell_"",""""))-COUNTIF(C$4"&amp;":C1388,""Sell_""&amp;SUBSTITUTE(C1389,""Sell_"",""""))))/2),ROUNDUP(INDEX(Upgrades!$C$3:$C$13,MATCH(C1389,Upgrades!$B$3:$B$13,0))*1.15^(COUNTIF(C$4:C1388,C1389)-COUNTIF(C$4:C1388,""Sell_""&amp;C1389))))))"),"")</f>
        <v/>
      </c>
      <c r="H1389" s="10" t="str">
        <f t="shared" si="3"/>
        <v/>
      </c>
      <c r="I1389" s="68" t="str">
        <f t="shared" si="4"/>
        <v/>
      </c>
      <c r="J1389" s="59" t="str">
        <f t="shared" si="5"/>
        <v/>
      </c>
      <c r="K1389" s="69" t="str">
        <f t="shared" si="6"/>
        <v/>
      </c>
      <c r="L1389" s="60" t="str">
        <f t="shared" si="7"/>
        <v/>
      </c>
      <c r="M1389" s="61" t="str">
        <f>IFERROR(__xludf.DUMMYFUNCTION("IFS(AND(COUNTA(C1389:C1644)=0,COUNTA(Q1389:Q1644)=0),"""",OR(AND(K1389&gt;=1000000000,OR(Y1389&gt;=1000000000,COUNTA(Q1389:Q1644)=0)),OR(Y1389&gt;=1000000000,AND(COUNTA(C1389:C1644)=0,P$3=TRUE))),
ROUNDDOWN((AB$1-AC$1)*MAX(INDEX(T$4:T1644,MATCH(LARGE(FILTER(Y$4:Y1"&amp;"644,Y$4:Y1644&lt;1000000000),1),Y$4:Y1644)),INDEX(F$4:F1644,MATCH(LARGE(FILTER(K$4:K1644,K$4:K1644&lt;1000000000),1),K$4:K1644)))),AND(K1389&lt;1000000000,COUNTA(C1389:C1644)&gt;0,P$3=FALSE),
ROUNDDOWN(INDEX(Y$4:Y1644,MATCH(LARGE(FILTER(W$4:W1644,W$4:W1644&lt;=I1389),1)"&amp;",W$4:W1644))+(I1389-LARGE(FILTER(W$4:W1644,W$4:W1644&lt;=I1389),1))*INDEX(T$4:T1644,MATCH(LARGE(FILTER(W$4:W1644,W$4:W1644&lt;=I1389),1),W$4:W1644))-K1389),1,
ROUNDDOWN(Y1389-INDEX(K$4:K1644,MATCH(LARGE(FILTER(I$4:I1644,I$4:I1644&lt;=W1389),1),I$4:I1644))-(W1389-L"&amp;"ARGE(FILTER(I$4:I1644,I$4:I1644&lt;=W1389),1))*INDEX(F$4:F1644,MATCH(LARGE(FILTER(I$4:I1644,I$4:I1644&lt;=W1389),1),I$4:I1644))))"),"")</f>
        <v/>
      </c>
      <c r="N1389" s="60" t="str">
        <f t="shared" si="8"/>
        <v/>
      </c>
      <c r="O1389" s="61" t="str">
        <f t="shared" si="9"/>
        <v/>
      </c>
      <c r="P1389" s="56" t="str">
        <f t="shared" si="10"/>
        <v/>
      </c>
      <c r="Q1389" s="105"/>
      <c r="R1389" s="10"/>
      <c r="S1389" s="59" t="str">
        <f t="array" ref="S1389">IF(COUNTA(Q1389:Q1644)=0,"",SUM((COUNTIF(Q$4:Q1389,Upgrades!$B$3:$B$13)-COUNTIF(Q$4:Q1389,"Sell_"&amp;Upgrades!$B$3:$B$13))*Upgrades!$D$3:$D$13))</f>
        <v/>
      </c>
      <c r="T1389" s="66" t="str">
        <f>IFERROR(__xludf.DUMMYFUNCTION("IF(COUNTA(Q1389:Q1644)=0,"""",IF(REGEXMATCH(INDEX(FILTER(Q$4:Q1389,Q$4:Q1389&lt;&gt;""""),ROWS(FILTER(Q$4:Q1389,Q$4:Q1389&lt;&gt;""""))),""^Sell_""),INDEX(FILTER(T$4:T1388,Q$4:Q1388&lt;&gt;""""),ROWS(FILTER(Q$4:Q1388,Q$4:Q1388&lt;&gt;""""))),$AD$5+S1389))"),"")</f>
        <v/>
      </c>
      <c r="U1389" s="10" t="str">
        <f>IFERROR(__xludf.DUMMYFUNCTION("IF(COUNTA(Q1389:Q1644)=0,"""",IF(Q1389="""",0,IF(REGEXMATCH(Q1389,""^Sell_""),-ROUNDDOWN(ROUNDUP(INDEX(Upgrades!$C$3:$C$13,MATCH(SUBSTITUTE(Q1389,""Sell_"",""""),Upgrades!$B$3:$B$13,0))*1.15^(COUNTIF(Q$4:Q1388,SUBSTITUTE(Q1389,""Sell_"",""""))-COUNTIF(Q$4"&amp;":Q1388,""Sell_""&amp;SUBSTITUTE(Q1389,""Sell_"",""""))))/2),ROUNDUP(INDEX(Upgrades!$C$3:$C$13,MATCH(Q1389,Upgrades!$B$3:$B$13,0))*1.15^(COUNTIF(Q$4:Q1388,Q1389)-COUNTIF(Q$4:Q1388,""Sell_""&amp;Q1389))))))"),"")</f>
        <v/>
      </c>
      <c r="V1389" s="10" t="str">
        <f t="shared" si="11"/>
        <v/>
      </c>
      <c r="W1389" s="68" t="str">
        <f t="shared" si="12"/>
        <v/>
      </c>
      <c r="X1389" s="59" t="str">
        <f t="shared" si="13"/>
        <v/>
      </c>
      <c r="Y1389" s="69" t="str">
        <f t="shared" si="14"/>
        <v/>
      </c>
      <c r="Z1389" s="11"/>
      <c r="AG1389" s="59"/>
    </row>
    <row r="1390">
      <c r="A1390" s="8"/>
      <c r="B1390" s="56" t="str">
        <f t="shared" si="2"/>
        <v/>
      </c>
      <c r="C1390" s="105"/>
      <c r="D1390" s="10"/>
      <c r="E1390" s="59" t="str">
        <f t="array" ref="E1390">IF(COUNTA(C1390:C1644)=0,"",SUM((COUNTIF(C$4:C1390,Upgrades!$B$3:$B$13)-COUNTIF(C$4:C1390,"Sell_"&amp;Upgrades!$B$3:$B$13))*Upgrades!$D$3:$D$13))</f>
        <v/>
      </c>
      <c r="F1390" s="66" t="str">
        <f>IFERROR(__xludf.DUMMYFUNCTION("IF(COUNTA(C1390:C1644)=0,"""",IF(REGEXMATCH(INDEX(FILTER(C$4:C1390,C$4:C1390&lt;&gt;""""),ROWS(FILTER(C$4:C1390,C$4:C1390&lt;&gt;""""))),""^Sell_""),INDEX(FILTER(F$4:F1389,C$4:C1389&lt;&gt;""""),ROWS(FILTER(C$4:C1389,C$4:C1389&lt;&gt;""""))),$AC$5+E1390))"),"")</f>
        <v/>
      </c>
      <c r="G1390" s="10" t="str">
        <f>IFERROR(__xludf.DUMMYFUNCTION("IF(COUNTA(C1390:C1644)=0,"""",IF(C1390="""",0,IF(REGEXMATCH(C1390,""^Sell_""),-ROUNDDOWN(ROUNDUP(INDEX(Upgrades!$C$3:$C$13,MATCH(SUBSTITUTE(C1390,""Sell_"",""""),Upgrades!$B$3:$B$13,0))*1.15^(COUNTIF(C$4:C1389,SUBSTITUTE(C1390,""Sell_"",""""))-COUNTIF(C$4"&amp;":C1389,""Sell_""&amp;SUBSTITUTE(C1390,""Sell_"",""""))))/2),ROUNDUP(INDEX(Upgrades!$C$3:$C$13,MATCH(C1390,Upgrades!$B$3:$B$13,0))*1.15^(COUNTIF(C$4:C1389,C1390)-COUNTIF(C$4:C1389,""Sell_""&amp;C1390))))))"),"")</f>
        <v/>
      </c>
      <c r="H1390" s="10" t="str">
        <f t="shared" si="3"/>
        <v/>
      </c>
      <c r="I1390" s="68" t="str">
        <f t="shared" si="4"/>
        <v/>
      </c>
      <c r="J1390" s="59" t="str">
        <f t="shared" si="5"/>
        <v/>
      </c>
      <c r="K1390" s="69" t="str">
        <f t="shared" si="6"/>
        <v/>
      </c>
      <c r="L1390" s="60" t="str">
        <f t="shared" si="7"/>
        <v/>
      </c>
      <c r="M1390" s="61" t="str">
        <f>IFERROR(__xludf.DUMMYFUNCTION("IFS(AND(COUNTA(C1390:C1644)=0,COUNTA(Q1390:Q1644)=0),"""",OR(AND(K1390&gt;=1000000000,OR(Y1390&gt;=1000000000,COUNTA(Q1390:Q1644)=0)),OR(Y1390&gt;=1000000000,AND(COUNTA(C1390:C1644)=0,P$3=TRUE))),
ROUNDDOWN((AB$1-AC$1)*MAX(INDEX(T$4:T1644,MATCH(LARGE(FILTER(Y$4:Y1"&amp;"644,Y$4:Y1644&lt;1000000000),1),Y$4:Y1644)),INDEX(F$4:F1644,MATCH(LARGE(FILTER(K$4:K1644,K$4:K1644&lt;1000000000),1),K$4:K1644)))),AND(K1390&lt;1000000000,COUNTA(C1390:C1644)&gt;0,P$3=FALSE),
ROUNDDOWN(INDEX(Y$4:Y1644,MATCH(LARGE(FILTER(W$4:W1644,W$4:W1644&lt;=I1390),1)"&amp;",W$4:W1644))+(I1390-LARGE(FILTER(W$4:W1644,W$4:W1644&lt;=I1390),1))*INDEX(T$4:T1644,MATCH(LARGE(FILTER(W$4:W1644,W$4:W1644&lt;=I1390),1),W$4:W1644))-K1390),1,
ROUNDDOWN(Y1390-INDEX(K$4:K1644,MATCH(LARGE(FILTER(I$4:I1644,I$4:I1644&lt;=W1390),1),I$4:I1644))-(W1390-L"&amp;"ARGE(FILTER(I$4:I1644,I$4:I1644&lt;=W1390),1))*INDEX(F$4:F1644,MATCH(LARGE(FILTER(I$4:I1644,I$4:I1644&lt;=W1390),1),I$4:I1644))))"),"")</f>
        <v/>
      </c>
      <c r="N1390" s="60" t="str">
        <f t="shared" si="8"/>
        <v/>
      </c>
      <c r="O1390" s="61" t="str">
        <f t="shared" si="9"/>
        <v/>
      </c>
      <c r="P1390" s="56" t="str">
        <f t="shared" si="10"/>
        <v/>
      </c>
      <c r="Q1390" s="105"/>
      <c r="R1390" s="10"/>
      <c r="S1390" s="59" t="str">
        <f t="array" ref="S1390">IF(COUNTA(Q1390:Q1644)=0,"",SUM((COUNTIF(Q$4:Q1390,Upgrades!$B$3:$B$13)-COUNTIF(Q$4:Q1390,"Sell_"&amp;Upgrades!$B$3:$B$13))*Upgrades!$D$3:$D$13))</f>
        <v/>
      </c>
      <c r="T1390" s="66" t="str">
        <f>IFERROR(__xludf.DUMMYFUNCTION("IF(COUNTA(Q1390:Q1644)=0,"""",IF(REGEXMATCH(INDEX(FILTER(Q$4:Q1390,Q$4:Q1390&lt;&gt;""""),ROWS(FILTER(Q$4:Q1390,Q$4:Q1390&lt;&gt;""""))),""^Sell_""),INDEX(FILTER(T$4:T1389,Q$4:Q1389&lt;&gt;""""),ROWS(FILTER(Q$4:Q1389,Q$4:Q1389&lt;&gt;""""))),$AD$5+S1390))"),"")</f>
        <v/>
      </c>
      <c r="U1390" s="10" t="str">
        <f>IFERROR(__xludf.DUMMYFUNCTION("IF(COUNTA(Q1390:Q1644)=0,"""",IF(Q1390="""",0,IF(REGEXMATCH(Q1390,""^Sell_""),-ROUNDDOWN(ROUNDUP(INDEX(Upgrades!$C$3:$C$13,MATCH(SUBSTITUTE(Q1390,""Sell_"",""""),Upgrades!$B$3:$B$13,0))*1.15^(COUNTIF(Q$4:Q1389,SUBSTITUTE(Q1390,""Sell_"",""""))-COUNTIF(Q$4"&amp;":Q1389,""Sell_""&amp;SUBSTITUTE(Q1390,""Sell_"",""""))))/2),ROUNDUP(INDEX(Upgrades!$C$3:$C$13,MATCH(Q1390,Upgrades!$B$3:$B$13,0))*1.15^(COUNTIF(Q$4:Q1389,Q1390)-COUNTIF(Q$4:Q1389,""Sell_""&amp;Q1390))))))"),"")</f>
        <v/>
      </c>
      <c r="V1390" s="10" t="str">
        <f t="shared" si="11"/>
        <v/>
      </c>
      <c r="W1390" s="68" t="str">
        <f t="shared" si="12"/>
        <v/>
      </c>
      <c r="X1390" s="59" t="str">
        <f t="shared" si="13"/>
        <v/>
      </c>
      <c r="Y1390" s="69" t="str">
        <f t="shared" si="14"/>
        <v/>
      </c>
      <c r="Z1390" s="11"/>
      <c r="AG1390" s="59"/>
    </row>
    <row r="1391">
      <c r="A1391" s="8"/>
      <c r="B1391" s="56" t="str">
        <f t="shared" si="2"/>
        <v/>
      </c>
      <c r="C1391" s="105"/>
      <c r="D1391" s="10"/>
      <c r="E1391" s="59" t="str">
        <f t="array" ref="E1391">IF(COUNTA(C1391:C1644)=0,"",SUM((COUNTIF(C$4:C1391,Upgrades!$B$3:$B$13)-COUNTIF(C$4:C1391,"Sell_"&amp;Upgrades!$B$3:$B$13))*Upgrades!$D$3:$D$13))</f>
        <v/>
      </c>
      <c r="F1391" s="66" t="str">
        <f>IFERROR(__xludf.DUMMYFUNCTION("IF(COUNTA(C1391:C1644)=0,"""",IF(REGEXMATCH(INDEX(FILTER(C$4:C1391,C$4:C1391&lt;&gt;""""),ROWS(FILTER(C$4:C1391,C$4:C1391&lt;&gt;""""))),""^Sell_""),INDEX(FILTER(F$4:F1390,C$4:C1390&lt;&gt;""""),ROWS(FILTER(C$4:C1390,C$4:C1390&lt;&gt;""""))),$AC$5+E1391))"),"")</f>
        <v/>
      </c>
      <c r="G1391" s="10" t="str">
        <f>IFERROR(__xludf.DUMMYFUNCTION("IF(COUNTA(C1391:C1644)=0,"""",IF(C1391="""",0,IF(REGEXMATCH(C1391,""^Sell_""),-ROUNDDOWN(ROUNDUP(INDEX(Upgrades!$C$3:$C$13,MATCH(SUBSTITUTE(C1391,""Sell_"",""""),Upgrades!$B$3:$B$13,0))*1.15^(COUNTIF(C$4:C1390,SUBSTITUTE(C1391,""Sell_"",""""))-COUNTIF(C$4"&amp;":C1390,""Sell_""&amp;SUBSTITUTE(C1391,""Sell_"",""""))))/2),ROUNDUP(INDEX(Upgrades!$C$3:$C$13,MATCH(C1391,Upgrades!$B$3:$B$13,0))*1.15^(COUNTIF(C$4:C1390,C1391)-COUNTIF(C$4:C1390,""Sell_""&amp;C1391))))))"),"")</f>
        <v/>
      </c>
      <c r="H1391" s="10" t="str">
        <f t="shared" si="3"/>
        <v/>
      </c>
      <c r="I1391" s="68" t="str">
        <f t="shared" si="4"/>
        <v/>
      </c>
      <c r="J1391" s="59" t="str">
        <f t="shared" si="5"/>
        <v/>
      </c>
      <c r="K1391" s="69" t="str">
        <f t="shared" si="6"/>
        <v/>
      </c>
      <c r="L1391" s="60" t="str">
        <f t="shared" si="7"/>
        <v/>
      </c>
      <c r="M1391" s="61" t="str">
        <f>IFERROR(__xludf.DUMMYFUNCTION("IFS(AND(COUNTA(C1391:C1644)=0,COUNTA(Q1391:Q1644)=0),"""",OR(AND(K1391&gt;=1000000000,OR(Y1391&gt;=1000000000,COUNTA(Q1391:Q1644)=0)),OR(Y1391&gt;=1000000000,AND(COUNTA(C1391:C1644)=0,P$3=TRUE))),
ROUNDDOWN((AB$1-AC$1)*MAX(INDEX(T$4:T1644,MATCH(LARGE(FILTER(Y$4:Y1"&amp;"644,Y$4:Y1644&lt;1000000000),1),Y$4:Y1644)),INDEX(F$4:F1644,MATCH(LARGE(FILTER(K$4:K1644,K$4:K1644&lt;1000000000),1),K$4:K1644)))),AND(K1391&lt;1000000000,COUNTA(C1391:C1644)&gt;0,P$3=FALSE),
ROUNDDOWN(INDEX(Y$4:Y1644,MATCH(LARGE(FILTER(W$4:W1644,W$4:W1644&lt;=I1391),1)"&amp;",W$4:W1644))+(I1391-LARGE(FILTER(W$4:W1644,W$4:W1644&lt;=I1391),1))*INDEX(T$4:T1644,MATCH(LARGE(FILTER(W$4:W1644,W$4:W1644&lt;=I1391),1),W$4:W1644))-K1391),1,
ROUNDDOWN(Y1391-INDEX(K$4:K1644,MATCH(LARGE(FILTER(I$4:I1644,I$4:I1644&lt;=W1391),1),I$4:I1644))-(W1391-L"&amp;"ARGE(FILTER(I$4:I1644,I$4:I1644&lt;=W1391),1))*INDEX(F$4:F1644,MATCH(LARGE(FILTER(I$4:I1644,I$4:I1644&lt;=W1391),1),I$4:I1644))))"),"")</f>
        <v/>
      </c>
      <c r="N1391" s="60" t="str">
        <f t="shared" si="8"/>
        <v/>
      </c>
      <c r="O1391" s="61" t="str">
        <f t="shared" si="9"/>
        <v/>
      </c>
      <c r="P1391" s="56" t="str">
        <f t="shared" si="10"/>
        <v/>
      </c>
      <c r="Q1391" s="105"/>
      <c r="R1391" s="10"/>
      <c r="S1391" s="59" t="str">
        <f t="array" ref="S1391">IF(COUNTA(Q1391:Q1644)=0,"",SUM((COUNTIF(Q$4:Q1391,Upgrades!$B$3:$B$13)-COUNTIF(Q$4:Q1391,"Sell_"&amp;Upgrades!$B$3:$B$13))*Upgrades!$D$3:$D$13))</f>
        <v/>
      </c>
      <c r="T1391" s="66" t="str">
        <f>IFERROR(__xludf.DUMMYFUNCTION("IF(COUNTA(Q1391:Q1644)=0,"""",IF(REGEXMATCH(INDEX(FILTER(Q$4:Q1391,Q$4:Q1391&lt;&gt;""""),ROWS(FILTER(Q$4:Q1391,Q$4:Q1391&lt;&gt;""""))),""^Sell_""),INDEX(FILTER(T$4:T1390,Q$4:Q1390&lt;&gt;""""),ROWS(FILTER(Q$4:Q1390,Q$4:Q1390&lt;&gt;""""))),$AD$5+S1391))"),"")</f>
        <v/>
      </c>
      <c r="U1391" s="10" t="str">
        <f>IFERROR(__xludf.DUMMYFUNCTION("IF(COUNTA(Q1391:Q1644)=0,"""",IF(Q1391="""",0,IF(REGEXMATCH(Q1391,""^Sell_""),-ROUNDDOWN(ROUNDUP(INDEX(Upgrades!$C$3:$C$13,MATCH(SUBSTITUTE(Q1391,""Sell_"",""""),Upgrades!$B$3:$B$13,0))*1.15^(COUNTIF(Q$4:Q1390,SUBSTITUTE(Q1391,""Sell_"",""""))-COUNTIF(Q$4"&amp;":Q1390,""Sell_""&amp;SUBSTITUTE(Q1391,""Sell_"",""""))))/2),ROUNDUP(INDEX(Upgrades!$C$3:$C$13,MATCH(Q1391,Upgrades!$B$3:$B$13,0))*1.15^(COUNTIF(Q$4:Q1390,Q1391)-COUNTIF(Q$4:Q1390,""Sell_""&amp;Q1391))))))"),"")</f>
        <v/>
      </c>
      <c r="V1391" s="10" t="str">
        <f t="shared" si="11"/>
        <v/>
      </c>
      <c r="W1391" s="68" t="str">
        <f t="shared" si="12"/>
        <v/>
      </c>
      <c r="X1391" s="59" t="str">
        <f t="shared" si="13"/>
        <v/>
      </c>
      <c r="Y1391" s="69" t="str">
        <f t="shared" si="14"/>
        <v/>
      </c>
      <c r="Z1391" s="11"/>
      <c r="AG1391" s="59"/>
    </row>
    <row r="1392">
      <c r="A1392" s="8"/>
      <c r="B1392" s="56" t="str">
        <f t="shared" si="2"/>
        <v/>
      </c>
      <c r="C1392" s="105"/>
      <c r="D1392" s="10"/>
      <c r="E1392" s="59" t="str">
        <f t="array" ref="E1392">IF(COUNTA(C1392:C1644)=0,"",SUM((COUNTIF(C$4:C1392,Upgrades!$B$3:$B$13)-COUNTIF(C$4:C1392,"Sell_"&amp;Upgrades!$B$3:$B$13))*Upgrades!$D$3:$D$13))</f>
        <v/>
      </c>
      <c r="F1392" s="66" t="str">
        <f>IFERROR(__xludf.DUMMYFUNCTION("IF(COUNTA(C1392:C1644)=0,"""",IF(REGEXMATCH(INDEX(FILTER(C$4:C1392,C$4:C1392&lt;&gt;""""),ROWS(FILTER(C$4:C1392,C$4:C1392&lt;&gt;""""))),""^Sell_""),INDEX(FILTER(F$4:F1391,C$4:C1391&lt;&gt;""""),ROWS(FILTER(C$4:C1391,C$4:C1391&lt;&gt;""""))),$AC$5+E1392))"),"")</f>
        <v/>
      </c>
      <c r="G1392" s="10" t="str">
        <f>IFERROR(__xludf.DUMMYFUNCTION("IF(COUNTA(C1392:C1644)=0,"""",IF(C1392="""",0,IF(REGEXMATCH(C1392,""^Sell_""),-ROUNDDOWN(ROUNDUP(INDEX(Upgrades!$C$3:$C$13,MATCH(SUBSTITUTE(C1392,""Sell_"",""""),Upgrades!$B$3:$B$13,0))*1.15^(COUNTIF(C$4:C1391,SUBSTITUTE(C1392,""Sell_"",""""))-COUNTIF(C$4"&amp;":C1391,""Sell_""&amp;SUBSTITUTE(C1392,""Sell_"",""""))))/2),ROUNDUP(INDEX(Upgrades!$C$3:$C$13,MATCH(C1392,Upgrades!$B$3:$B$13,0))*1.15^(COUNTIF(C$4:C1391,C1392)-COUNTIF(C$4:C1391,""Sell_""&amp;C1392))))))"),"")</f>
        <v/>
      </c>
      <c r="H1392" s="10" t="str">
        <f t="shared" si="3"/>
        <v/>
      </c>
      <c r="I1392" s="68" t="str">
        <f t="shared" si="4"/>
        <v/>
      </c>
      <c r="J1392" s="59" t="str">
        <f t="shared" si="5"/>
        <v/>
      </c>
      <c r="K1392" s="69" t="str">
        <f t="shared" si="6"/>
        <v/>
      </c>
      <c r="L1392" s="60" t="str">
        <f t="shared" si="7"/>
        <v/>
      </c>
      <c r="M1392" s="61" t="str">
        <f>IFERROR(__xludf.DUMMYFUNCTION("IFS(AND(COUNTA(C1392:C1644)=0,COUNTA(Q1392:Q1644)=0),"""",OR(AND(K1392&gt;=1000000000,OR(Y1392&gt;=1000000000,COUNTA(Q1392:Q1644)=0)),OR(Y1392&gt;=1000000000,AND(COUNTA(C1392:C1644)=0,P$3=TRUE))),
ROUNDDOWN((AB$1-AC$1)*MAX(INDEX(T$4:T1644,MATCH(LARGE(FILTER(Y$4:Y1"&amp;"644,Y$4:Y1644&lt;1000000000),1),Y$4:Y1644)),INDEX(F$4:F1644,MATCH(LARGE(FILTER(K$4:K1644,K$4:K1644&lt;1000000000),1),K$4:K1644)))),AND(K1392&lt;1000000000,COUNTA(C1392:C1644)&gt;0,P$3=FALSE),
ROUNDDOWN(INDEX(Y$4:Y1644,MATCH(LARGE(FILTER(W$4:W1644,W$4:W1644&lt;=I1392),1)"&amp;",W$4:W1644))+(I1392-LARGE(FILTER(W$4:W1644,W$4:W1644&lt;=I1392),1))*INDEX(T$4:T1644,MATCH(LARGE(FILTER(W$4:W1644,W$4:W1644&lt;=I1392),1),W$4:W1644))-K1392),1,
ROUNDDOWN(Y1392-INDEX(K$4:K1644,MATCH(LARGE(FILTER(I$4:I1644,I$4:I1644&lt;=W1392),1),I$4:I1644))-(W1392-L"&amp;"ARGE(FILTER(I$4:I1644,I$4:I1644&lt;=W1392),1))*INDEX(F$4:F1644,MATCH(LARGE(FILTER(I$4:I1644,I$4:I1644&lt;=W1392),1),I$4:I1644))))"),"")</f>
        <v/>
      </c>
      <c r="N1392" s="60" t="str">
        <f t="shared" si="8"/>
        <v/>
      </c>
      <c r="O1392" s="61" t="str">
        <f t="shared" si="9"/>
        <v/>
      </c>
      <c r="P1392" s="56" t="str">
        <f t="shared" si="10"/>
        <v/>
      </c>
      <c r="Q1392" s="105"/>
      <c r="R1392" s="10"/>
      <c r="S1392" s="59" t="str">
        <f t="array" ref="S1392">IF(COUNTA(Q1392:Q1644)=0,"",SUM((COUNTIF(Q$4:Q1392,Upgrades!$B$3:$B$13)-COUNTIF(Q$4:Q1392,"Sell_"&amp;Upgrades!$B$3:$B$13))*Upgrades!$D$3:$D$13))</f>
        <v/>
      </c>
      <c r="T1392" s="66" t="str">
        <f>IFERROR(__xludf.DUMMYFUNCTION("IF(COUNTA(Q1392:Q1644)=0,"""",IF(REGEXMATCH(INDEX(FILTER(Q$4:Q1392,Q$4:Q1392&lt;&gt;""""),ROWS(FILTER(Q$4:Q1392,Q$4:Q1392&lt;&gt;""""))),""^Sell_""),INDEX(FILTER(T$4:T1391,Q$4:Q1391&lt;&gt;""""),ROWS(FILTER(Q$4:Q1391,Q$4:Q1391&lt;&gt;""""))),$AD$5+S1392))"),"")</f>
        <v/>
      </c>
      <c r="U1392" s="10" t="str">
        <f>IFERROR(__xludf.DUMMYFUNCTION("IF(COUNTA(Q1392:Q1644)=0,"""",IF(Q1392="""",0,IF(REGEXMATCH(Q1392,""^Sell_""),-ROUNDDOWN(ROUNDUP(INDEX(Upgrades!$C$3:$C$13,MATCH(SUBSTITUTE(Q1392,""Sell_"",""""),Upgrades!$B$3:$B$13,0))*1.15^(COUNTIF(Q$4:Q1391,SUBSTITUTE(Q1392,""Sell_"",""""))-COUNTIF(Q$4"&amp;":Q1391,""Sell_""&amp;SUBSTITUTE(Q1392,""Sell_"",""""))))/2),ROUNDUP(INDEX(Upgrades!$C$3:$C$13,MATCH(Q1392,Upgrades!$B$3:$B$13,0))*1.15^(COUNTIF(Q$4:Q1391,Q1392)-COUNTIF(Q$4:Q1391,""Sell_""&amp;Q1392))))))"),"")</f>
        <v/>
      </c>
      <c r="V1392" s="10" t="str">
        <f t="shared" si="11"/>
        <v/>
      </c>
      <c r="W1392" s="68" t="str">
        <f t="shared" si="12"/>
        <v/>
      </c>
      <c r="X1392" s="59" t="str">
        <f t="shared" si="13"/>
        <v/>
      </c>
      <c r="Y1392" s="69" t="str">
        <f t="shared" si="14"/>
        <v/>
      </c>
      <c r="Z1392" s="11"/>
      <c r="AG1392" s="59"/>
    </row>
    <row r="1393">
      <c r="A1393" s="8"/>
      <c r="B1393" s="56" t="str">
        <f t="shared" si="2"/>
        <v/>
      </c>
      <c r="C1393" s="105"/>
      <c r="D1393" s="10"/>
      <c r="E1393" s="59" t="str">
        <f t="array" ref="E1393">IF(COUNTA(C1393:C1644)=0,"",SUM((COUNTIF(C$4:C1393,Upgrades!$B$3:$B$13)-COUNTIF(C$4:C1393,"Sell_"&amp;Upgrades!$B$3:$B$13))*Upgrades!$D$3:$D$13))</f>
        <v/>
      </c>
      <c r="F1393" s="66" t="str">
        <f>IFERROR(__xludf.DUMMYFUNCTION("IF(COUNTA(C1393:C1644)=0,"""",IF(REGEXMATCH(INDEX(FILTER(C$4:C1393,C$4:C1393&lt;&gt;""""),ROWS(FILTER(C$4:C1393,C$4:C1393&lt;&gt;""""))),""^Sell_""),INDEX(FILTER(F$4:F1392,C$4:C1392&lt;&gt;""""),ROWS(FILTER(C$4:C1392,C$4:C1392&lt;&gt;""""))),$AC$5+E1393))"),"")</f>
        <v/>
      </c>
      <c r="G1393" s="10" t="str">
        <f>IFERROR(__xludf.DUMMYFUNCTION("IF(COUNTA(C1393:C1644)=0,"""",IF(C1393="""",0,IF(REGEXMATCH(C1393,""^Sell_""),-ROUNDDOWN(ROUNDUP(INDEX(Upgrades!$C$3:$C$13,MATCH(SUBSTITUTE(C1393,""Sell_"",""""),Upgrades!$B$3:$B$13,0))*1.15^(COUNTIF(C$4:C1392,SUBSTITUTE(C1393,""Sell_"",""""))-COUNTIF(C$4"&amp;":C1392,""Sell_""&amp;SUBSTITUTE(C1393,""Sell_"",""""))))/2),ROUNDUP(INDEX(Upgrades!$C$3:$C$13,MATCH(C1393,Upgrades!$B$3:$B$13,0))*1.15^(COUNTIF(C$4:C1392,C1393)-COUNTIF(C$4:C1392,""Sell_""&amp;C1393))))))"),"")</f>
        <v/>
      </c>
      <c r="H1393" s="10" t="str">
        <f t="shared" si="3"/>
        <v/>
      </c>
      <c r="I1393" s="68" t="str">
        <f t="shared" si="4"/>
        <v/>
      </c>
      <c r="J1393" s="59" t="str">
        <f t="shared" si="5"/>
        <v/>
      </c>
      <c r="K1393" s="69" t="str">
        <f t="shared" si="6"/>
        <v/>
      </c>
      <c r="L1393" s="60" t="str">
        <f t="shared" si="7"/>
        <v/>
      </c>
      <c r="M1393" s="61" t="str">
        <f>IFERROR(__xludf.DUMMYFUNCTION("IFS(AND(COUNTA(C1393:C1644)=0,COUNTA(Q1393:Q1644)=0),"""",OR(AND(K1393&gt;=1000000000,OR(Y1393&gt;=1000000000,COUNTA(Q1393:Q1644)=0)),OR(Y1393&gt;=1000000000,AND(COUNTA(C1393:C1644)=0,P$3=TRUE))),
ROUNDDOWN((AB$1-AC$1)*MAX(INDEX(T$4:T1644,MATCH(LARGE(FILTER(Y$4:Y1"&amp;"644,Y$4:Y1644&lt;1000000000),1),Y$4:Y1644)),INDEX(F$4:F1644,MATCH(LARGE(FILTER(K$4:K1644,K$4:K1644&lt;1000000000),1),K$4:K1644)))),AND(K1393&lt;1000000000,COUNTA(C1393:C1644)&gt;0,P$3=FALSE),
ROUNDDOWN(INDEX(Y$4:Y1644,MATCH(LARGE(FILTER(W$4:W1644,W$4:W1644&lt;=I1393),1)"&amp;",W$4:W1644))+(I1393-LARGE(FILTER(W$4:W1644,W$4:W1644&lt;=I1393),1))*INDEX(T$4:T1644,MATCH(LARGE(FILTER(W$4:W1644,W$4:W1644&lt;=I1393),1),W$4:W1644))-K1393),1,
ROUNDDOWN(Y1393-INDEX(K$4:K1644,MATCH(LARGE(FILTER(I$4:I1644,I$4:I1644&lt;=W1393),1),I$4:I1644))-(W1393-L"&amp;"ARGE(FILTER(I$4:I1644,I$4:I1644&lt;=W1393),1))*INDEX(F$4:F1644,MATCH(LARGE(FILTER(I$4:I1644,I$4:I1644&lt;=W1393),1),I$4:I1644))))"),"")</f>
        <v/>
      </c>
      <c r="N1393" s="60" t="str">
        <f t="shared" si="8"/>
        <v/>
      </c>
      <c r="O1393" s="61" t="str">
        <f t="shared" si="9"/>
        <v/>
      </c>
      <c r="P1393" s="56" t="str">
        <f t="shared" si="10"/>
        <v/>
      </c>
      <c r="Q1393" s="105"/>
      <c r="R1393" s="10"/>
      <c r="S1393" s="59" t="str">
        <f t="array" ref="S1393">IF(COUNTA(Q1393:Q1644)=0,"",SUM((COUNTIF(Q$4:Q1393,Upgrades!$B$3:$B$13)-COUNTIF(Q$4:Q1393,"Sell_"&amp;Upgrades!$B$3:$B$13))*Upgrades!$D$3:$D$13))</f>
        <v/>
      </c>
      <c r="T1393" s="66" t="str">
        <f>IFERROR(__xludf.DUMMYFUNCTION("IF(COUNTA(Q1393:Q1644)=0,"""",IF(REGEXMATCH(INDEX(FILTER(Q$4:Q1393,Q$4:Q1393&lt;&gt;""""),ROWS(FILTER(Q$4:Q1393,Q$4:Q1393&lt;&gt;""""))),""^Sell_""),INDEX(FILTER(T$4:T1392,Q$4:Q1392&lt;&gt;""""),ROWS(FILTER(Q$4:Q1392,Q$4:Q1392&lt;&gt;""""))),$AD$5+S1393))"),"")</f>
        <v/>
      </c>
      <c r="U1393" s="10" t="str">
        <f>IFERROR(__xludf.DUMMYFUNCTION("IF(COUNTA(Q1393:Q1644)=0,"""",IF(Q1393="""",0,IF(REGEXMATCH(Q1393,""^Sell_""),-ROUNDDOWN(ROUNDUP(INDEX(Upgrades!$C$3:$C$13,MATCH(SUBSTITUTE(Q1393,""Sell_"",""""),Upgrades!$B$3:$B$13,0))*1.15^(COUNTIF(Q$4:Q1392,SUBSTITUTE(Q1393,""Sell_"",""""))-COUNTIF(Q$4"&amp;":Q1392,""Sell_""&amp;SUBSTITUTE(Q1393,""Sell_"",""""))))/2),ROUNDUP(INDEX(Upgrades!$C$3:$C$13,MATCH(Q1393,Upgrades!$B$3:$B$13,0))*1.15^(COUNTIF(Q$4:Q1392,Q1393)-COUNTIF(Q$4:Q1392,""Sell_""&amp;Q1393))))))"),"")</f>
        <v/>
      </c>
      <c r="V1393" s="10" t="str">
        <f t="shared" si="11"/>
        <v/>
      </c>
      <c r="W1393" s="68" t="str">
        <f t="shared" si="12"/>
        <v/>
      </c>
      <c r="X1393" s="59" t="str">
        <f t="shared" si="13"/>
        <v/>
      </c>
      <c r="Y1393" s="69" t="str">
        <f t="shared" si="14"/>
        <v/>
      </c>
      <c r="Z1393" s="11"/>
      <c r="AG1393" s="59"/>
    </row>
    <row r="1394">
      <c r="A1394" s="8"/>
      <c r="B1394" s="56" t="str">
        <f t="shared" si="2"/>
        <v/>
      </c>
      <c r="C1394" s="105"/>
      <c r="D1394" s="10"/>
      <c r="E1394" s="59" t="str">
        <f t="array" ref="E1394">IF(COUNTA(C1394:C1644)=0,"",SUM((COUNTIF(C$4:C1394,Upgrades!$B$3:$B$13)-COUNTIF(C$4:C1394,"Sell_"&amp;Upgrades!$B$3:$B$13))*Upgrades!$D$3:$D$13))</f>
        <v/>
      </c>
      <c r="F1394" s="66" t="str">
        <f>IFERROR(__xludf.DUMMYFUNCTION("IF(COUNTA(C1394:C1644)=0,"""",IF(REGEXMATCH(INDEX(FILTER(C$4:C1394,C$4:C1394&lt;&gt;""""),ROWS(FILTER(C$4:C1394,C$4:C1394&lt;&gt;""""))),""^Sell_""),INDEX(FILTER(F$4:F1393,C$4:C1393&lt;&gt;""""),ROWS(FILTER(C$4:C1393,C$4:C1393&lt;&gt;""""))),$AC$5+E1394))"),"")</f>
        <v/>
      </c>
      <c r="G1394" s="10" t="str">
        <f>IFERROR(__xludf.DUMMYFUNCTION("IF(COUNTA(C1394:C1644)=0,"""",IF(C1394="""",0,IF(REGEXMATCH(C1394,""^Sell_""),-ROUNDDOWN(ROUNDUP(INDEX(Upgrades!$C$3:$C$13,MATCH(SUBSTITUTE(C1394,""Sell_"",""""),Upgrades!$B$3:$B$13,0))*1.15^(COUNTIF(C$4:C1393,SUBSTITUTE(C1394,""Sell_"",""""))-COUNTIF(C$4"&amp;":C1393,""Sell_""&amp;SUBSTITUTE(C1394,""Sell_"",""""))))/2),ROUNDUP(INDEX(Upgrades!$C$3:$C$13,MATCH(C1394,Upgrades!$B$3:$B$13,0))*1.15^(COUNTIF(C$4:C1393,C1394)-COUNTIF(C$4:C1393,""Sell_""&amp;C1394))))))"),"")</f>
        <v/>
      </c>
      <c r="H1394" s="10" t="str">
        <f t="shared" si="3"/>
        <v/>
      </c>
      <c r="I1394" s="68" t="str">
        <f t="shared" si="4"/>
        <v/>
      </c>
      <c r="J1394" s="59" t="str">
        <f t="shared" si="5"/>
        <v/>
      </c>
      <c r="K1394" s="69" t="str">
        <f t="shared" si="6"/>
        <v/>
      </c>
      <c r="L1394" s="60" t="str">
        <f t="shared" si="7"/>
        <v/>
      </c>
      <c r="M1394" s="61" t="str">
        <f>IFERROR(__xludf.DUMMYFUNCTION("IFS(AND(COUNTA(C1394:C1644)=0,COUNTA(Q1394:Q1644)=0),"""",OR(AND(K1394&gt;=1000000000,OR(Y1394&gt;=1000000000,COUNTA(Q1394:Q1644)=0)),OR(Y1394&gt;=1000000000,AND(COUNTA(C1394:C1644)=0,P$3=TRUE))),
ROUNDDOWN((AB$1-AC$1)*MAX(INDEX(T$4:T1644,MATCH(LARGE(FILTER(Y$4:Y1"&amp;"644,Y$4:Y1644&lt;1000000000),1),Y$4:Y1644)),INDEX(F$4:F1644,MATCH(LARGE(FILTER(K$4:K1644,K$4:K1644&lt;1000000000),1),K$4:K1644)))),AND(K1394&lt;1000000000,COUNTA(C1394:C1644)&gt;0,P$3=FALSE),
ROUNDDOWN(INDEX(Y$4:Y1644,MATCH(LARGE(FILTER(W$4:W1644,W$4:W1644&lt;=I1394),1)"&amp;",W$4:W1644))+(I1394-LARGE(FILTER(W$4:W1644,W$4:W1644&lt;=I1394),1))*INDEX(T$4:T1644,MATCH(LARGE(FILTER(W$4:W1644,W$4:W1644&lt;=I1394),1),W$4:W1644))-K1394),1,
ROUNDDOWN(Y1394-INDEX(K$4:K1644,MATCH(LARGE(FILTER(I$4:I1644,I$4:I1644&lt;=W1394),1),I$4:I1644))-(W1394-L"&amp;"ARGE(FILTER(I$4:I1644,I$4:I1644&lt;=W1394),1))*INDEX(F$4:F1644,MATCH(LARGE(FILTER(I$4:I1644,I$4:I1644&lt;=W1394),1),I$4:I1644))))"),"")</f>
        <v/>
      </c>
      <c r="N1394" s="60" t="str">
        <f t="shared" si="8"/>
        <v/>
      </c>
      <c r="O1394" s="61" t="str">
        <f t="shared" si="9"/>
        <v/>
      </c>
      <c r="P1394" s="56" t="str">
        <f t="shared" si="10"/>
        <v/>
      </c>
      <c r="Q1394" s="105"/>
      <c r="R1394" s="10"/>
      <c r="S1394" s="59" t="str">
        <f t="array" ref="S1394">IF(COUNTA(Q1394:Q1644)=0,"",SUM((COUNTIF(Q$4:Q1394,Upgrades!$B$3:$B$13)-COUNTIF(Q$4:Q1394,"Sell_"&amp;Upgrades!$B$3:$B$13))*Upgrades!$D$3:$D$13))</f>
        <v/>
      </c>
      <c r="T1394" s="66" t="str">
        <f>IFERROR(__xludf.DUMMYFUNCTION("IF(COUNTA(Q1394:Q1644)=0,"""",IF(REGEXMATCH(INDEX(FILTER(Q$4:Q1394,Q$4:Q1394&lt;&gt;""""),ROWS(FILTER(Q$4:Q1394,Q$4:Q1394&lt;&gt;""""))),""^Sell_""),INDEX(FILTER(T$4:T1393,Q$4:Q1393&lt;&gt;""""),ROWS(FILTER(Q$4:Q1393,Q$4:Q1393&lt;&gt;""""))),$AD$5+S1394))"),"")</f>
        <v/>
      </c>
      <c r="U1394" s="10" t="str">
        <f>IFERROR(__xludf.DUMMYFUNCTION("IF(COUNTA(Q1394:Q1644)=0,"""",IF(Q1394="""",0,IF(REGEXMATCH(Q1394,""^Sell_""),-ROUNDDOWN(ROUNDUP(INDEX(Upgrades!$C$3:$C$13,MATCH(SUBSTITUTE(Q1394,""Sell_"",""""),Upgrades!$B$3:$B$13,0))*1.15^(COUNTIF(Q$4:Q1393,SUBSTITUTE(Q1394,""Sell_"",""""))-COUNTIF(Q$4"&amp;":Q1393,""Sell_""&amp;SUBSTITUTE(Q1394,""Sell_"",""""))))/2),ROUNDUP(INDEX(Upgrades!$C$3:$C$13,MATCH(Q1394,Upgrades!$B$3:$B$13,0))*1.15^(COUNTIF(Q$4:Q1393,Q1394)-COUNTIF(Q$4:Q1393,""Sell_""&amp;Q1394))))))"),"")</f>
        <v/>
      </c>
      <c r="V1394" s="10" t="str">
        <f t="shared" si="11"/>
        <v/>
      </c>
      <c r="W1394" s="68" t="str">
        <f t="shared" si="12"/>
        <v/>
      </c>
      <c r="X1394" s="59" t="str">
        <f t="shared" si="13"/>
        <v/>
      </c>
      <c r="Y1394" s="69" t="str">
        <f t="shared" si="14"/>
        <v/>
      </c>
      <c r="Z1394" s="11"/>
      <c r="AG1394" s="59"/>
    </row>
    <row r="1395">
      <c r="A1395" s="8"/>
      <c r="B1395" s="56" t="str">
        <f t="shared" si="2"/>
        <v/>
      </c>
      <c r="C1395" s="105"/>
      <c r="D1395" s="10"/>
      <c r="E1395" s="59" t="str">
        <f t="array" ref="E1395">IF(COUNTA(C1395:C1644)=0,"",SUM((COUNTIF(C$4:C1395,Upgrades!$B$3:$B$13)-COUNTIF(C$4:C1395,"Sell_"&amp;Upgrades!$B$3:$B$13))*Upgrades!$D$3:$D$13))</f>
        <v/>
      </c>
      <c r="F1395" s="66" t="str">
        <f>IFERROR(__xludf.DUMMYFUNCTION("IF(COUNTA(C1395:C1644)=0,"""",IF(REGEXMATCH(INDEX(FILTER(C$4:C1395,C$4:C1395&lt;&gt;""""),ROWS(FILTER(C$4:C1395,C$4:C1395&lt;&gt;""""))),""^Sell_""),INDEX(FILTER(F$4:F1394,C$4:C1394&lt;&gt;""""),ROWS(FILTER(C$4:C1394,C$4:C1394&lt;&gt;""""))),$AC$5+E1395))"),"")</f>
        <v/>
      </c>
      <c r="G1395" s="10" t="str">
        <f>IFERROR(__xludf.DUMMYFUNCTION("IF(COUNTA(C1395:C1644)=0,"""",IF(C1395="""",0,IF(REGEXMATCH(C1395,""^Sell_""),-ROUNDDOWN(ROUNDUP(INDEX(Upgrades!$C$3:$C$13,MATCH(SUBSTITUTE(C1395,""Sell_"",""""),Upgrades!$B$3:$B$13,0))*1.15^(COUNTIF(C$4:C1394,SUBSTITUTE(C1395,""Sell_"",""""))-COUNTIF(C$4"&amp;":C1394,""Sell_""&amp;SUBSTITUTE(C1395,""Sell_"",""""))))/2),ROUNDUP(INDEX(Upgrades!$C$3:$C$13,MATCH(C1395,Upgrades!$B$3:$B$13,0))*1.15^(COUNTIF(C$4:C1394,C1395)-COUNTIF(C$4:C1394,""Sell_""&amp;C1395))))))"),"")</f>
        <v/>
      </c>
      <c r="H1395" s="10" t="str">
        <f t="shared" si="3"/>
        <v/>
      </c>
      <c r="I1395" s="68" t="str">
        <f t="shared" si="4"/>
        <v/>
      </c>
      <c r="J1395" s="59" t="str">
        <f t="shared" si="5"/>
        <v/>
      </c>
      <c r="K1395" s="69" t="str">
        <f t="shared" si="6"/>
        <v/>
      </c>
      <c r="L1395" s="60" t="str">
        <f t="shared" si="7"/>
        <v/>
      </c>
      <c r="M1395" s="61" t="str">
        <f>IFERROR(__xludf.DUMMYFUNCTION("IFS(AND(COUNTA(C1395:C1644)=0,COUNTA(Q1395:Q1644)=0),"""",OR(AND(K1395&gt;=1000000000,OR(Y1395&gt;=1000000000,COUNTA(Q1395:Q1644)=0)),OR(Y1395&gt;=1000000000,AND(COUNTA(C1395:C1644)=0,P$3=TRUE))),
ROUNDDOWN((AB$1-AC$1)*MAX(INDEX(T$4:T1644,MATCH(LARGE(FILTER(Y$4:Y1"&amp;"644,Y$4:Y1644&lt;1000000000),1),Y$4:Y1644)),INDEX(F$4:F1644,MATCH(LARGE(FILTER(K$4:K1644,K$4:K1644&lt;1000000000),1),K$4:K1644)))),AND(K1395&lt;1000000000,COUNTA(C1395:C1644)&gt;0,P$3=FALSE),
ROUNDDOWN(INDEX(Y$4:Y1644,MATCH(LARGE(FILTER(W$4:W1644,W$4:W1644&lt;=I1395),1)"&amp;",W$4:W1644))+(I1395-LARGE(FILTER(W$4:W1644,W$4:W1644&lt;=I1395),1))*INDEX(T$4:T1644,MATCH(LARGE(FILTER(W$4:W1644,W$4:W1644&lt;=I1395),1),W$4:W1644))-K1395),1,
ROUNDDOWN(Y1395-INDEX(K$4:K1644,MATCH(LARGE(FILTER(I$4:I1644,I$4:I1644&lt;=W1395),1),I$4:I1644))-(W1395-L"&amp;"ARGE(FILTER(I$4:I1644,I$4:I1644&lt;=W1395),1))*INDEX(F$4:F1644,MATCH(LARGE(FILTER(I$4:I1644,I$4:I1644&lt;=W1395),1),I$4:I1644))))"),"")</f>
        <v/>
      </c>
      <c r="N1395" s="60" t="str">
        <f t="shared" si="8"/>
        <v/>
      </c>
      <c r="O1395" s="61" t="str">
        <f t="shared" si="9"/>
        <v/>
      </c>
      <c r="P1395" s="56" t="str">
        <f t="shared" si="10"/>
        <v/>
      </c>
      <c r="Q1395" s="105"/>
      <c r="R1395" s="10"/>
      <c r="S1395" s="59" t="str">
        <f t="array" ref="S1395">IF(COUNTA(Q1395:Q1644)=0,"",SUM((COUNTIF(Q$4:Q1395,Upgrades!$B$3:$B$13)-COUNTIF(Q$4:Q1395,"Sell_"&amp;Upgrades!$B$3:$B$13))*Upgrades!$D$3:$D$13))</f>
        <v/>
      </c>
      <c r="T1395" s="66" t="str">
        <f>IFERROR(__xludf.DUMMYFUNCTION("IF(COUNTA(Q1395:Q1644)=0,"""",IF(REGEXMATCH(INDEX(FILTER(Q$4:Q1395,Q$4:Q1395&lt;&gt;""""),ROWS(FILTER(Q$4:Q1395,Q$4:Q1395&lt;&gt;""""))),""^Sell_""),INDEX(FILTER(T$4:T1394,Q$4:Q1394&lt;&gt;""""),ROWS(FILTER(Q$4:Q1394,Q$4:Q1394&lt;&gt;""""))),$AD$5+S1395))"),"")</f>
        <v/>
      </c>
      <c r="U1395" s="10" t="str">
        <f>IFERROR(__xludf.DUMMYFUNCTION("IF(COUNTA(Q1395:Q1644)=0,"""",IF(Q1395="""",0,IF(REGEXMATCH(Q1395,""^Sell_""),-ROUNDDOWN(ROUNDUP(INDEX(Upgrades!$C$3:$C$13,MATCH(SUBSTITUTE(Q1395,""Sell_"",""""),Upgrades!$B$3:$B$13,0))*1.15^(COUNTIF(Q$4:Q1394,SUBSTITUTE(Q1395,""Sell_"",""""))-COUNTIF(Q$4"&amp;":Q1394,""Sell_""&amp;SUBSTITUTE(Q1395,""Sell_"",""""))))/2),ROUNDUP(INDEX(Upgrades!$C$3:$C$13,MATCH(Q1395,Upgrades!$B$3:$B$13,0))*1.15^(COUNTIF(Q$4:Q1394,Q1395)-COUNTIF(Q$4:Q1394,""Sell_""&amp;Q1395))))))"),"")</f>
        <v/>
      </c>
      <c r="V1395" s="10" t="str">
        <f t="shared" si="11"/>
        <v/>
      </c>
      <c r="W1395" s="68" t="str">
        <f t="shared" si="12"/>
        <v/>
      </c>
      <c r="X1395" s="59" t="str">
        <f t="shared" si="13"/>
        <v/>
      </c>
      <c r="Y1395" s="69" t="str">
        <f t="shared" si="14"/>
        <v/>
      </c>
      <c r="Z1395" s="11"/>
      <c r="AG1395" s="59"/>
    </row>
    <row r="1396">
      <c r="A1396" s="8"/>
      <c r="B1396" s="56" t="str">
        <f t="shared" si="2"/>
        <v/>
      </c>
      <c r="C1396" s="105"/>
      <c r="D1396" s="10"/>
      <c r="E1396" s="59" t="str">
        <f t="array" ref="E1396">IF(COUNTA(C1396:C1644)=0,"",SUM((COUNTIF(C$4:C1396,Upgrades!$B$3:$B$13)-COUNTIF(C$4:C1396,"Sell_"&amp;Upgrades!$B$3:$B$13))*Upgrades!$D$3:$D$13))</f>
        <v/>
      </c>
      <c r="F1396" s="66" t="str">
        <f>IFERROR(__xludf.DUMMYFUNCTION("IF(COUNTA(C1396:C1644)=0,"""",IF(REGEXMATCH(INDEX(FILTER(C$4:C1396,C$4:C1396&lt;&gt;""""),ROWS(FILTER(C$4:C1396,C$4:C1396&lt;&gt;""""))),""^Sell_""),INDEX(FILTER(F$4:F1395,C$4:C1395&lt;&gt;""""),ROWS(FILTER(C$4:C1395,C$4:C1395&lt;&gt;""""))),$AC$5+E1396))"),"")</f>
        <v/>
      </c>
      <c r="G1396" s="10" t="str">
        <f>IFERROR(__xludf.DUMMYFUNCTION("IF(COUNTA(C1396:C1644)=0,"""",IF(C1396="""",0,IF(REGEXMATCH(C1396,""^Sell_""),-ROUNDDOWN(ROUNDUP(INDEX(Upgrades!$C$3:$C$13,MATCH(SUBSTITUTE(C1396,""Sell_"",""""),Upgrades!$B$3:$B$13,0))*1.15^(COUNTIF(C$4:C1395,SUBSTITUTE(C1396,""Sell_"",""""))-COUNTIF(C$4"&amp;":C1395,""Sell_""&amp;SUBSTITUTE(C1396,""Sell_"",""""))))/2),ROUNDUP(INDEX(Upgrades!$C$3:$C$13,MATCH(C1396,Upgrades!$B$3:$B$13,0))*1.15^(COUNTIF(C$4:C1395,C1396)-COUNTIF(C$4:C1395,""Sell_""&amp;C1396))))))"),"")</f>
        <v/>
      </c>
      <c r="H1396" s="10" t="str">
        <f t="shared" si="3"/>
        <v/>
      </c>
      <c r="I1396" s="68" t="str">
        <f t="shared" si="4"/>
        <v/>
      </c>
      <c r="J1396" s="59" t="str">
        <f t="shared" si="5"/>
        <v/>
      </c>
      <c r="K1396" s="69" t="str">
        <f t="shared" si="6"/>
        <v/>
      </c>
      <c r="L1396" s="60" t="str">
        <f t="shared" si="7"/>
        <v/>
      </c>
      <c r="M1396" s="61" t="str">
        <f>IFERROR(__xludf.DUMMYFUNCTION("IFS(AND(COUNTA(C1396:C1644)=0,COUNTA(Q1396:Q1644)=0),"""",OR(AND(K1396&gt;=1000000000,OR(Y1396&gt;=1000000000,COUNTA(Q1396:Q1644)=0)),OR(Y1396&gt;=1000000000,AND(COUNTA(C1396:C1644)=0,P$3=TRUE))),
ROUNDDOWN((AB$1-AC$1)*MAX(INDEX(T$4:T1644,MATCH(LARGE(FILTER(Y$4:Y1"&amp;"644,Y$4:Y1644&lt;1000000000),1),Y$4:Y1644)),INDEX(F$4:F1644,MATCH(LARGE(FILTER(K$4:K1644,K$4:K1644&lt;1000000000),1),K$4:K1644)))),AND(K1396&lt;1000000000,COUNTA(C1396:C1644)&gt;0,P$3=FALSE),
ROUNDDOWN(INDEX(Y$4:Y1644,MATCH(LARGE(FILTER(W$4:W1644,W$4:W1644&lt;=I1396),1)"&amp;",W$4:W1644))+(I1396-LARGE(FILTER(W$4:W1644,W$4:W1644&lt;=I1396),1))*INDEX(T$4:T1644,MATCH(LARGE(FILTER(W$4:W1644,W$4:W1644&lt;=I1396),1),W$4:W1644))-K1396),1,
ROUNDDOWN(Y1396-INDEX(K$4:K1644,MATCH(LARGE(FILTER(I$4:I1644,I$4:I1644&lt;=W1396),1),I$4:I1644))-(W1396-L"&amp;"ARGE(FILTER(I$4:I1644,I$4:I1644&lt;=W1396),1))*INDEX(F$4:F1644,MATCH(LARGE(FILTER(I$4:I1644,I$4:I1644&lt;=W1396),1),I$4:I1644))))"),"")</f>
        <v/>
      </c>
      <c r="N1396" s="60" t="str">
        <f t="shared" si="8"/>
        <v/>
      </c>
      <c r="O1396" s="61" t="str">
        <f t="shared" si="9"/>
        <v/>
      </c>
      <c r="P1396" s="56" t="str">
        <f t="shared" si="10"/>
        <v/>
      </c>
      <c r="Q1396" s="105"/>
      <c r="R1396" s="10"/>
      <c r="S1396" s="59" t="str">
        <f t="array" ref="S1396">IF(COUNTA(Q1396:Q1644)=0,"",SUM((COUNTIF(Q$4:Q1396,Upgrades!$B$3:$B$13)-COUNTIF(Q$4:Q1396,"Sell_"&amp;Upgrades!$B$3:$B$13))*Upgrades!$D$3:$D$13))</f>
        <v/>
      </c>
      <c r="T1396" s="66" t="str">
        <f>IFERROR(__xludf.DUMMYFUNCTION("IF(COUNTA(Q1396:Q1644)=0,"""",IF(REGEXMATCH(INDEX(FILTER(Q$4:Q1396,Q$4:Q1396&lt;&gt;""""),ROWS(FILTER(Q$4:Q1396,Q$4:Q1396&lt;&gt;""""))),""^Sell_""),INDEX(FILTER(T$4:T1395,Q$4:Q1395&lt;&gt;""""),ROWS(FILTER(Q$4:Q1395,Q$4:Q1395&lt;&gt;""""))),$AD$5+S1396))"),"")</f>
        <v/>
      </c>
      <c r="U1396" s="10" t="str">
        <f>IFERROR(__xludf.DUMMYFUNCTION("IF(COUNTA(Q1396:Q1644)=0,"""",IF(Q1396="""",0,IF(REGEXMATCH(Q1396,""^Sell_""),-ROUNDDOWN(ROUNDUP(INDEX(Upgrades!$C$3:$C$13,MATCH(SUBSTITUTE(Q1396,""Sell_"",""""),Upgrades!$B$3:$B$13,0))*1.15^(COUNTIF(Q$4:Q1395,SUBSTITUTE(Q1396,""Sell_"",""""))-COUNTIF(Q$4"&amp;":Q1395,""Sell_""&amp;SUBSTITUTE(Q1396,""Sell_"",""""))))/2),ROUNDUP(INDEX(Upgrades!$C$3:$C$13,MATCH(Q1396,Upgrades!$B$3:$B$13,0))*1.15^(COUNTIF(Q$4:Q1395,Q1396)-COUNTIF(Q$4:Q1395,""Sell_""&amp;Q1396))))))"),"")</f>
        <v/>
      </c>
      <c r="V1396" s="10" t="str">
        <f t="shared" si="11"/>
        <v/>
      </c>
      <c r="W1396" s="68" t="str">
        <f t="shared" si="12"/>
        <v/>
      </c>
      <c r="X1396" s="59" t="str">
        <f t="shared" si="13"/>
        <v/>
      </c>
      <c r="Y1396" s="69" t="str">
        <f t="shared" si="14"/>
        <v/>
      </c>
      <c r="Z1396" s="11"/>
      <c r="AG1396" s="59"/>
    </row>
    <row r="1397">
      <c r="A1397" s="8"/>
      <c r="B1397" s="56" t="str">
        <f t="shared" si="2"/>
        <v/>
      </c>
      <c r="C1397" s="105"/>
      <c r="D1397" s="10"/>
      <c r="E1397" s="59" t="str">
        <f t="array" ref="E1397">IF(COUNTA(C1397:C1644)=0,"",SUM((COUNTIF(C$4:C1397,Upgrades!$B$3:$B$13)-COUNTIF(C$4:C1397,"Sell_"&amp;Upgrades!$B$3:$B$13))*Upgrades!$D$3:$D$13))</f>
        <v/>
      </c>
      <c r="F1397" s="66" t="str">
        <f>IFERROR(__xludf.DUMMYFUNCTION("IF(COUNTA(C1397:C1644)=0,"""",IF(REGEXMATCH(INDEX(FILTER(C$4:C1397,C$4:C1397&lt;&gt;""""),ROWS(FILTER(C$4:C1397,C$4:C1397&lt;&gt;""""))),""^Sell_""),INDEX(FILTER(F$4:F1396,C$4:C1396&lt;&gt;""""),ROWS(FILTER(C$4:C1396,C$4:C1396&lt;&gt;""""))),$AC$5+E1397))"),"")</f>
        <v/>
      </c>
      <c r="G1397" s="10" t="str">
        <f>IFERROR(__xludf.DUMMYFUNCTION("IF(COUNTA(C1397:C1644)=0,"""",IF(C1397="""",0,IF(REGEXMATCH(C1397,""^Sell_""),-ROUNDDOWN(ROUNDUP(INDEX(Upgrades!$C$3:$C$13,MATCH(SUBSTITUTE(C1397,""Sell_"",""""),Upgrades!$B$3:$B$13,0))*1.15^(COUNTIF(C$4:C1396,SUBSTITUTE(C1397,""Sell_"",""""))-COUNTIF(C$4"&amp;":C1396,""Sell_""&amp;SUBSTITUTE(C1397,""Sell_"",""""))))/2),ROUNDUP(INDEX(Upgrades!$C$3:$C$13,MATCH(C1397,Upgrades!$B$3:$B$13,0))*1.15^(COUNTIF(C$4:C1396,C1397)-COUNTIF(C$4:C1396,""Sell_""&amp;C1397))))))"),"")</f>
        <v/>
      </c>
      <c r="H1397" s="10" t="str">
        <f t="shared" si="3"/>
        <v/>
      </c>
      <c r="I1397" s="68" t="str">
        <f t="shared" si="4"/>
        <v/>
      </c>
      <c r="J1397" s="59" t="str">
        <f t="shared" si="5"/>
        <v/>
      </c>
      <c r="K1397" s="69" t="str">
        <f t="shared" si="6"/>
        <v/>
      </c>
      <c r="L1397" s="60" t="str">
        <f t="shared" si="7"/>
        <v/>
      </c>
      <c r="M1397" s="61" t="str">
        <f>IFERROR(__xludf.DUMMYFUNCTION("IFS(AND(COUNTA(C1397:C1644)=0,COUNTA(Q1397:Q1644)=0),"""",OR(AND(K1397&gt;=1000000000,OR(Y1397&gt;=1000000000,COUNTA(Q1397:Q1644)=0)),OR(Y1397&gt;=1000000000,AND(COUNTA(C1397:C1644)=0,P$3=TRUE))),
ROUNDDOWN((AB$1-AC$1)*MAX(INDEX(T$4:T1644,MATCH(LARGE(FILTER(Y$4:Y1"&amp;"644,Y$4:Y1644&lt;1000000000),1),Y$4:Y1644)),INDEX(F$4:F1644,MATCH(LARGE(FILTER(K$4:K1644,K$4:K1644&lt;1000000000),1),K$4:K1644)))),AND(K1397&lt;1000000000,COUNTA(C1397:C1644)&gt;0,P$3=FALSE),
ROUNDDOWN(INDEX(Y$4:Y1644,MATCH(LARGE(FILTER(W$4:W1644,W$4:W1644&lt;=I1397),1)"&amp;",W$4:W1644))+(I1397-LARGE(FILTER(W$4:W1644,W$4:W1644&lt;=I1397),1))*INDEX(T$4:T1644,MATCH(LARGE(FILTER(W$4:W1644,W$4:W1644&lt;=I1397),1),W$4:W1644))-K1397),1,
ROUNDDOWN(Y1397-INDEX(K$4:K1644,MATCH(LARGE(FILTER(I$4:I1644,I$4:I1644&lt;=W1397),1),I$4:I1644))-(W1397-L"&amp;"ARGE(FILTER(I$4:I1644,I$4:I1644&lt;=W1397),1))*INDEX(F$4:F1644,MATCH(LARGE(FILTER(I$4:I1644,I$4:I1644&lt;=W1397),1),I$4:I1644))))"),"")</f>
        <v/>
      </c>
      <c r="N1397" s="60" t="str">
        <f t="shared" si="8"/>
        <v/>
      </c>
      <c r="O1397" s="61" t="str">
        <f t="shared" si="9"/>
        <v/>
      </c>
      <c r="P1397" s="56" t="str">
        <f t="shared" si="10"/>
        <v/>
      </c>
      <c r="Q1397" s="105"/>
      <c r="R1397" s="10"/>
      <c r="S1397" s="59" t="str">
        <f t="array" ref="S1397">IF(COUNTA(Q1397:Q1644)=0,"",SUM((COUNTIF(Q$4:Q1397,Upgrades!$B$3:$B$13)-COUNTIF(Q$4:Q1397,"Sell_"&amp;Upgrades!$B$3:$B$13))*Upgrades!$D$3:$D$13))</f>
        <v/>
      </c>
      <c r="T1397" s="66" t="str">
        <f>IFERROR(__xludf.DUMMYFUNCTION("IF(COUNTA(Q1397:Q1644)=0,"""",IF(REGEXMATCH(INDEX(FILTER(Q$4:Q1397,Q$4:Q1397&lt;&gt;""""),ROWS(FILTER(Q$4:Q1397,Q$4:Q1397&lt;&gt;""""))),""^Sell_""),INDEX(FILTER(T$4:T1396,Q$4:Q1396&lt;&gt;""""),ROWS(FILTER(Q$4:Q1396,Q$4:Q1396&lt;&gt;""""))),$AD$5+S1397))"),"")</f>
        <v/>
      </c>
      <c r="U1397" s="10" t="str">
        <f>IFERROR(__xludf.DUMMYFUNCTION("IF(COUNTA(Q1397:Q1644)=0,"""",IF(Q1397="""",0,IF(REGEXMATCH(Q1397,""^Sell_""),-ROUNDDOWN(ROUNDUP(INDEX(Upgrades!$C$3:$C$13,MATCH(SUBSTITUTE(Q1397,""Sell_"",""""),Upgrades!$B$3:$B$13,0))*1.15^(COUNTIF(Q$4:Q1396,SUBSTITUTE(Q1397,""Sell_"",""""))-COUNTIF(Q$4"&amp;":Q1396,""Sell_""&amp;SUBSTITUTE(Q1397,""Sell_"",""""))))/2),ROUNDUP(INDEX(Upgrades!$C$3:$C$13,MATCH(Q1397,Upgrades!$B$3:$B$13,0))*1.15^(COUNTIF(Q$4:Q1396,Q1397)-COUNTIF(Q$4:Q1396,""Sell_""&amp;Q1397))))))"),"")</f>
        <v/>
      </c>
      <c r="V1397" s="10" t="str">
        <f t="shared" si="11"/>
        <v/>
      </c>
      <c r="W1397" s="68" t="str">
        <f t="shared" si="12"/>
        <v/>
      </c>
      <c r="X1397" s="59" t="str">
        <f t="shared" si="13"/>
        <v/>
      </c>
      <c r="Y1397" s="69" t="str">
        <f t="shared" si="14"/>
        <v/>
      </c>
      <c r="Z1397" s="11"/>
      <c r="AG1397" s="59"/>
    </row>
    <row r="1398">
      <c r="A1398" s="8"/>
      <c r="B1398" s="56" t="str">
        <f t="shared" si="2"/>
        <v/>
      </c>
      <c r="C1398" s="105"/>
      <c r="D1398" s="10"/>
      <c r="E1398" s="59" t="str">
        <f t="array" ref="E1398">IF(COUNTA(C1398:C1644)=0,"",SUM((COUNTIF(C$4:C1398,Upgrades!$B$3:$B$13)-COUNTIF(C$4:C1398,"Sell_"&amp;Upgrades!$B$3:$B$13))*Upgrades!$D$3:$D$13))</f>
        <v/>
      </c>
      <c r="F1398" s="66" t="str">
        <f>IFERROR(__xludf.DUMMYFUNCTION("IF(COUNTA(C1398:C1644)=0,"""",IF(REGEXMATCH(INDEX(FILTER(C$4:C1398,C$4:C1398&lt;&gt;""""),ROWS(FILTER(C$4:C1398,C$4:C1398&lt;&gt;""""))),""^Sell_""),INDEX(FILTER(F$4:F1397,C$4:C1397&lt;&gt;""""),ROWS(FILTER(C$4:C1397,C$4:C1397&lt;&gt;""""))),$AC$5+E1398))"),"")</f>
        <v/>
      </c>
      <c r="G1398" s="10" t="str">
        <f>IFERROR(__xludf.DUMMYFUNCTION("IF(COUNTA(C1398:C1644)=0,"""",IF(C1398="""",0,IF(REGEXMATCH(C1398,""^Sell_""),-ROUNDDOWN(ROUNDUP(INDEX(Upgrades!$C$3:$C$13,MATCH(SUBSTITUTE(C1398,""Sell_"",""""),Upgrades!$B$3:$B$13,0))*1.15^(COUNTIF(C$4:C1397,SUBSTITUTE(C1398,""Sell_"",""""))-COUNTIF(C$4"&amp;":C1397,""Sell_""&amp;SUBSTITUTE(C1398,""Sell_"",""""))))/2),ROUNDUP(INDEX(Upgrades!$C$3:$C$13,MATCH(C1398,Upgrades!$B$3:$B$13,0))*1.15^(COUNTIF(C$4:C1397,C1398)-COUNTIF(C$4:C1397,""Sell_""&amp;C1398))))))"),"")</f>
        <v/>
      </c>
      <c r="H1398" s="10" t="str">
        <f t="shared" si="3"/>
        <v/>
      </c>
      <c r="I1398" s="68" t="str">
        <f t="shared" si="4"/>
        <v/>
      </c>
      <c r="J1398" s="59" t="str">
        <f t="shared" si="5"/>
        <v/>
      </c>
      <c r="K1398" s="69" t="str">
        <f t="shared" si="6"/>
        <v/>
      </c>
      <c r="L1398" s="60" t="str">
        <f t="shared" si="7"/>
        <v/>
      </c>
      <c r="M1398" s="61" t="str">
        <f>IFERROR(__xludf.DUMMYFUNCTION("IFS(AND(COUNTA(C1398:C1644)=0,COUNTA(Q1398:Q1644)=0),"""",OR(AND(K1398&gt;=1000000000,OR(Y1398&gt;=1000000000,COUNTA(Q1398:Q1644)=0)),OR(Y1398&gt;=1000000000,AND(COUNTA(C1398:C1644)=0,P$3=TRUE))),
ROUNDDOWN((AB$1-AC$1)*MAX(INDEX(T$4:T1644,MATCH(LARGE(FILTER(Y$4:Y1"&amp;"644,Y$4:Y1644&lt;1000000000),1),Y$4:Y1644)),INDEX(F$4:F1644,MATCH(LARGE(FILTER(K$4:K1644,K$4:K1644&lt;1000000000),1),K$4:K1644)))),AND(K1398&lt;1000000000,COUNTA(C1398:C1644)&gt;0,P$3=FALSE),
ROUNDDOWN(INDEX(Y$4:Y1644,MATCH(LARGE(FILTER(W$4:W1644,W$4:W1644&lt;=I1398),1)"&amp;",W$4:W1644))+(I1398-LARGE(FILTER(W$4:W1644,W$4:W1644&lt;=I1398),1))*INDEX(T$4:T1644,MATCH(LARGE(FILTER(W$4:W1644,W$4:W1644&lt;=I1398),1),W$4:W1644))-K1398),1,
ROUNDDOWN(Y1398-INDEX(K$4:K1644,MATCH(LARGE(FILTER(I$4:I1644,I$4:I1644&lt;=W1398),1),I$4:I1644))-(W1398-L"&amp;"ARGE(FILTER(I$4:I1644,I$4:I1644&lt;=W1398),1))*INDEX(F$4:F1644,MATCH(LARGE(FILTER(I$4:I1644,I$4:I1644&lt;=W1398),1),I$4:I1644))))"),"")</f>
        <v/>
      </c>
      <c r="N1398" s="60" t="str">
        <f t="shared" si="8"/>
        <v/>
      </c>
      <c r="O1398" s="61" t="str">
        <f t="shared" si="9"/>
        <v/>
      </c>
      <c r="P1398" s="56" t="str">
        <f t="shared" si="10"/>
        <v/>
      </c>
      <c r="Q1398" s="105"/>
      <c r="R1398" s="10"/>
      <c r="S1398" s="59" t="str">
        <f t="array" ref="S1398">IF(COUNTA(Q1398:Q1644)=0,"",SUM((COUNTIF(Q$4:Q1398,Upgrades!$B$3:$B$13)-COUNTIF(Q$4:Q1398,"Sell_"&amp;Upgrades!$B$3:$B$13))*Upgrades!$D$3:$D$13))</f>
        <v/>
      </c>
      <c r="T1398" s="66" t="str">
        <f>IFERROR(__xludf.DUMMYFUNCTION("IF(COUNTA(Q1398:Q1644)=0,"""",IF(REGEXMATCH(INDEX(FILTER(Q$4:Q1398,Q$4:Q1398&lt;&gt;""""),ROWS(FILTER(Q$4:Q1398,Q$4:Q1398&lt;&gt;""""))),""^Sell_""),INDEX(FILTER(T$4:T1397,Q$4:Q1397&lt;&gt;""""),ROWS(FILTER(Q$4:Q1397,Q$4:Q1397&lt;&gt;""""))),$AD$5+S1398))"),"")</f>
        <v/>
      </c>
      <c r="U1398" s="10" t="str">
        <f>IFERROR(__xludf.DUMMYFUNCTION("IF(COUNTA(Q1398:Q1644)=0,"""",IF(Q1398="""",0,IF(REGEXMATCH(Q1398,""^Sell_""),-ROUNDDOWN(ROUNDUP(INDEX(Upgrades!$C$3:$C$13,MATCH(SUBSTITUTE(Q1398,""Sell_"",""""),Upgrades!$B$3:$B$13,0))*1.15^(COUNTIF(Q$4:Q1397,SUBSTITUTE(Q1398,""Sell_"",""""))-COUNTIF(Q$4"&amp;":Q1397,""Sell_""&amp;SUBSTITUTE(Q1398,""Sell_"",""""))))/2),ROUNDUP(INDEX(Upgrades!$C$3:$C$13,MATCH(Q1398,Upgrades!$B$3:$B$13,0))*1.15^(COUNTIF(Q$4:Q1397,Q1398)-COUNTIF(Q$4:Q1397,""Sell_""&amp;Q1398))))))"),"")</f>
        <v/>
      </c>
      <c r="V1398" s="10" t="str">
        <f t="shared" si="11"/>
        <v/>
      </c>
      <c r="W1398" s="68" t="str">
        <f t="shared" si="12"/>
        <v/>
      </c>
      <c r="X1398" s="59" t="str">
        <f t="shared" si="13"/>
        <v/>
      </c>
      <c r="Y1398" s="69" t="str">
        <f t="shared" si="14"/>
        <v/>
      </c>
      <c r="Z1398" s="11"/>
      <c r="AG1398" s="59"/>
    </row>
    <row r="1399">
      <c r="A1399" s="8"/>
      <c r="B1399" s="56" t="str">
        <f t="shared" si="2"/>
        <v/>
      </c>
      <c r="C1399" s="105"/>
      <c r="D1399" s="10"/>
      <c r="E1399" s="59" t="str">
        <f t="array" ref="E1399">IF(COUNTA(C1399:C1644)=0,"",SUM((COUNTIF(C$4:C1399,Upgrades!$B$3:$B$13)-COUNTIF(C$4:C1399,"Sell_"&amp;Upgrades!$B$3:$B$13))*Upgrades!$D$3:$D$13))</f>
        <v/>
      </c>
      <c r="F1399" s="66" t="str">
        <f>IFERROR(__xludf.DUMMYFUNCTION("IF(COUNTA(C1399:C1644)=0,"""",IF(REGEXMATCH(INDEX(FILTER(C$4:C1399,C$4:C1399&lt;&gt;""""),ROWS(FILTER(C$4:C1399,C$4:C1399&lt;&gt;""""))),""^Sell_""),INDEX(FILTER(F$4:F1398,C$4:C1398&lt;&gt;""""),ROWS(FILTER(C$4:C1398,C$4:C1398&lt;&gt;""""))),$AC$5+E1399))"),"")</f>
        <v/>
      </c>
      <c r="G1399" s="10" t="str">
        <f>IFERROR(__xludf.DUMMYFUNCTION("IF(COUNTA(C1399:C1644)=0,"""",IF(C1399="""",0,IF(REGEXMATCH(C1399,""^Sell_""),-ROUNDDOWN(ROUNDUP(INDEX(Upgrades!$C$3:$C$13,MATCH(SUBSTITUTE(C1399,""Sell_"",""""),Upgrades!$B$3:$B$13,0))*1.15^(COUNTIF(C$4:C1398,SUBSTITUTE(C1399,""Sell_"",""""))-COUNTIF(C$4"&amp;":C1398,""Sell_""&amp;SUBSTITUTE(C1399,""Sell_"",""""))))/2),ROUNDUP(INDEX(Upgrades!$C$3:$C$13,MATCH(C1399,Upgrades!$B$3:$B$13,0))*1.15^(COUNTIF(C$4:C1398,C1399)-COUNTIF(C$4:C1398,""Sell_""&amp;C1399))))))"),"")</f>
        <v/>
      </c>
      <c r="H1399" s="10" t="str">
        <f t="shared" si="3"/>
        <v/>
      </c>
      <c r="I1399" s="68" t="str">
        <f t="shared" si="4"/>
        <v/>
      </c>
      <c r="J1399" s="59" t="str">
        <f t="shared" si="5"/>
        <v/>
      </c>
      <c r="K1399" s="69" t="str">
        <f t="shared" si="6"/>
        <v/>
      </c>
      <c r="L1399" s="60" t="str">
        <f t="shared" si="7"/>
        <v/>
      </c>
      <c r="M1399" s="61" t="str">
        <f>IFERROR(__xludf.DUMMYFUNCTION("IFS(AND(COUNTA(C1399:C1644)=0,COUNTA(Q1399:Q1644)=0),"""",OR(AND(K1399&gt;=1000000000,OR(Y1399&gt;=1000000000,COUNTA(Q1399:Q1644)=0)),OR(Y1399&gt;=1000000000,AND(COUNTA(C1399:C1644)=0,P$3=TRUE))),
ROUNDDOWN((AB$1-AC$1)*MAX(INDEX(T$4:T1644,MATCH(LARGE(FILTER(Y$4:Y1"&amp;"644,Y$4:Y1644&lt;1000000000),1),Y$4:Y1644)),INDEX(F$4:F1644,MATCH(LARGE(FILTER(K$4:K1644,K$4:K1644&lt;1000000000),1),K$4:K1644)))),AND(K1399&lt;1000000000,COUNTA(C1399:C1644)&gt;0,P$3=FALSE),
ROUNDDOWN(INDEX(Y$4:Y1644,MATCH(LARGE(FILTER(W$4:W1644,W$4:W1644&lt;=I1399),1)"&amp;",W$4:W1644))+(I1399-LARGE(FILTER(W$4:W1644,W$4:W1644&lt;=I1399),1))*INDEX(T$4:T1644,MATCH(LARGE(FILTER(W$4:W1644,W$4:W1644&lt;=I1399),1),W$4:W1644))-K1399),1,
ROUNDDOWN(Y1399-INDEX(K$4:K1644,MATCH(LARGE(FILTER(I$4:I1644,I$4:I1644&lt;=W1399),1),I$4:I1644))-(W1399-L"&amp;"ARGE(FILTER(I$4:I1644,I$4:I1644&lt;=W1399),1))*INDEX(F$4:F1644,MATCH(LARGE(FILTER(I$4:I1644,I$4:I1644&lt;=W1399),1),I$4:I1644))))"),"")</f>
        <v/>
      </c>
      <c r="N1399" s="60" t="str">
        <f t="shared" si="8"/>
        <v/>
      </c>
      <c r="O1399" s="61" t="str">
        <f t="shared" si="9"/>
        <v/>
      </c>
      <c r="P1399" s="56" t="str">
        <f t="shared" si="10"/>
        <v/>
      </c>
      <c r="Q1399" s="105"/>
      <c r="R1399" s="10"/>
      <c r="S1399" s="59" t="str">
        <f t="array" ref="S1399">IF(COUNTA(Q1399:Q1644)=0,"",SUM((COUNTIF(Q$4:Q1399,Upgrades!$B$3:$B$13)-COUNTIF(Q$4:Q1399,"Sell_"&amp;Upgrades!$B$3:$B$13))*Upgrades!$D$3:$D$13))</f>
        <v/>
      </c>
      <c r="T1399" s="66" t="str">
        <f>IFERROR(__xludf.DUMMYFUNCTION("IF(COUNTA(Q1399:Q1644)=0,"""",IF(REGEXMATCH(INDEX(FILTER(Q$4:Q1399,Q$4:Q1399&lt;&gt;""""),ROWS(FILTER(Q$4:Q1399,Q$4:Q1399&lt;&gt;""""))),""^Sell_""),INDEX(FILTER(T$4:T1398,Q$4:Q1398&lt;&gt;""""),ROWS(FILTER(Q$4:Q1398,Q$4:Q1398&lt;&gt;""""))),$AD$5+S1399))"),"")</f>
        <v/>
      </c>
      <c r="U1399" s="10" t="str">
        <f>IFERROR(__xludf.DUMMYFUNCTION("IF(COUNTA(Q1399:Q1644)=0,"""",IF(Q1399="""",0,IF(REGEXMATCH(Q1399,""^Sell_""),-ROUNDDOWN(ROUNDUP(INDEX(Upgrades!$C$3:$C$13,MATCH(SUBSTITUTE(Q1399,""Sell_"",""""),Upgrades!$B$3:$B$13,0))*1.15^(COUNTIF(Q$4:Q1398,SUBSTITUTE(Q1399,""Sell_"",""""))-COUNTIF(Q$4"&amp;":Q1398,""Sell_""&amp;SUBSTITUTE(Q1399,""Sell_"",""""))))/2),ROUNDUP(INDEX(Upgrades!$C$3:$C$13,MATCH(Q1399,Upgrades!$B$3:$B$13,0))*1.15^(COUNTIF(Q$4:Q1398,Q1399)-COUNTIF(Q$4:Q1398,""Sell_""&amp;Q1399))))))"),"")</f>
        <v/>
      </c>
      <c r="V1399" s="10" t="str">
        <f t="shared" si="11"/>
        <v/>
      </c>
      <c r="W1399" s="68" t="str">
        <f t="shared" si="12"/>
        <v/>
      </c>
      <c r="X1399" s="59" t="str">
        <f t="shared" si="13"/>
        <v/>
      </c>
      <c r="Y1399" s="69" t="str">
        <f t="shared" si="14"/>
        <v/>
      </c>
      <c r="Z1399" s="11"/>
      <c r="AG1399" s="59"/>
    </row>
    <row r="1400">
      <c r="A1400" s="8"/>
      <c r="B1400" s="56" t="str">
        <f t="shared" si="2"/>
        <v/>
      </c>
      <c r="C1400" s="105"/>
      <c r="D1400" s="10"/>
      <c r="E1400" s="59" t="str">
        <f t="array" ref="E1400">IF(COUNTA(C1400:C1644)=0,"",SUM((COUNTIF(C$4:C1400,Upgrades!$B$3:$B$13)-COUNTIF(C$4:C1400,"Sell_"&amp;Upgrades!$B$3:$B$13))*Upgrades!$D$3:$D$13))</f>
        <v/>
      </c>
      <c r="F1400" s="66" t="str">
        <f>IFERROR(__xludf.DUMMYFUNCTION("IF(COUNTA(C1400:C1644)=0,"""",IF(REGEXMATCH(INDEX(FILTER(C$4:C1400,C$4:C1400&lt;&gt;""""),ROWS(FILTER(C$4:C1400,C$4:C1400&lt;&gt;""""))),""^Sell_""),INDEX(FILTER(F$4:F1399,C$4:C1399&lt;&gt;""""),ROWS(FILTER(C$4:C1399,C$4:C1399&lt;&gt;""""))),$AC$5+E1400))"),"")</f>
        <v/>
      </c>
      <c r="G1400" s="10" t="str">
        <f>IFERROR(__xludf.DUMMYFUNCTION("IF(COUNTA(C1400:C1644)=0,"""",IF(C1400="""",0,IF(REGEXMATCH(C1400,""^Sell_""),-ROUNDDOWN(ROUNDUP(INDEX(Upgrades!$C$3:$C$13,MATCH(SUBSTITUTE(C1400,""Sell_"",""""),Upgrades!$B$3:$B$13,0))*1.15^(COUNTIF(C$4:C1399,SUBSTITUTE(C1400,""Sell_"",""""))-COUNTIF(C$4"&amp;":C1399,""Sell_""&amp;SUBSTITUTE(C1400,""Sell_"",""""))))/2),ROUNDUP(INDEX(Upgrades!$C$3:$C$13,MATCH(C1400,Upgrades!$B$3:$B$13,0))*1.15^(COUNTIF(C$4:C1399,C1400)-COUNTIF(C$4:C1399,""Sell_""&amp;C1400))))))"),"")</f>
        <v/>
      </c>
      <c r="H1400" s="10" t="str">
        <f t="shared" si="3"/>
        <v/>
      </c>
      <c r="I1400" s="68" t="str">
        <f t="shared" si="4"/>
        <v/>
      </c>
      <c r="J1400" s="59" t="str">
        <f t="shared" si="5"/>
        <v/>
      </c>
      <c r="K1400" s="69" t="str">
        <f t="shared" si="6"/>
        <v/>
      </c>
      <c r="L1400" s="60" t="str">
        <f t="shared" si="7"/>
        <v/>
      </c>
      <c r="M1400" s="61" t="str">
        <f>IFERROR(__xludf.DUMMYFUNCTION("IFS(AND(COUNTA(C1400:C1644)=0,COUNTA(Q1400:Q1644)=0),"""",OR(AND(K1400&gt;=1000000000,OR(Y1400&gt;=1000000000,COUNTA(Q1400:Q1644)=0)),OR(Y1400&gt;=1000000000,AND(COUNTA(C1400:C1644)=0,P$3=TRUE))),
ROUNDDOWN((AB$1-AC$1)*MAX(INDEX(T$4:T1644,MATCH(LARGE(FILTER(Y$4:Y1"&amp;"644,Y$4:Y1644&lt;1000000000),1),Y$4:Y1644)),INDEX(F$4:F1644,MATCH(LARGE(FILTER(K$4:K1644,K$4:K1644&lt;1000000000),1),K$4:K1644)))),AND(K1400&lt;1000000000,COUNTA(C1400:C1644)&gt;0,P$3=FALSE),
ROUNDDOWN(INDEX(Y$4:Y1644,MATCH(LARGE(FILTER(W$4:W1644,W$4:W1644&lt;=I1400),1)"&amp;",W$4:W1644))+(I1400-LARGE(FILTER(W$4:W1644,W$4:W1644&lt;=I1400),1))*INDEX(T$4:T1644,MATCH(LARGE(FILTER(W$4:W1644,W$4:W1644&lt;=I1400),1),W$4:W1644))-K1400),1,
ROUNDDOWN(Y1400-INDEX(K$4:K1644,MATCH(LARGE(FILTER(I$4:I1644,I$4:I1644&lt;=W1400),1),I$4:I1644))-(W1400-L"&amp;"ARGE(FILTER(I$4:I1644,I$4:I1644&lt;=W1400),1))*INDEX(F$4:F1644,MATCH(LARGE(FILTER(I$4:I1644,I$4:I1644&lt;=W1400),1),I$4:I1644))))"),"")</f>
        <v/>
      </c>
      <c r="N1400" s="60" t="str">
        <f t="shared" si="8"/>
        <v/>
      </c>
      <c r="O1400" s="61" t="str">
        <f t="shared" si="9"/>
        <v/>
      </c>
      <c r="P1400" s="56" t="str">
        <f t="shared" si="10"/>
        <v/>
      </c>
      <c r="Q1400" s="105"/>
      <c r="R1400" s="10"/>
      <c r="S1400" s="59" t="str">
        <f t="array" ref="S1400">IF(COUNTA(Q1400:Q1644)=0,"",SUM((COUNTIF(Q$4:Q1400,Upgrades!$B$3:$B$13)-COUNTIF(Q$4:Q1400,"Sell_"&amp;Upgrades!$B$3:$B$13))*Upgrades!$D$3:$D$13))</f>
        <v/>
      </c>
      <c r="T1400" s="66" t="str">
        <f>IFERROR(__xludf.DUMMYFUNCTION("IF(COUNTA(Q1400:Q1644)=0,"""",IF(REGEXMATCH(INDEX(FILTER(Q$4:Q1400,Q$4:Q1400&lt;&gt;""""),ROWS(FILTER(Q$4:Q1400,Q$4:Q1400&lt;&gt;""""))),""^Sell_""),INDEX(FILTER(T$4:T1399,Q$4:Q1399&lt;&gt;""""),ROWS(FILTER(Q$4:Q1399,Q$4:Q1399&lt;&gt;""""))),$AD$5+S1400))"),"")</f>
        <v/>
      </c>
      <c r="U1400" s="10" t="str">
        <f>IFERROR(__xludf.DUMMYFUNCTION("IF(COUNTA(Q1400:Q1644)=0,"""",IF(Q1400="""",0,IF(REGEXMATCH(Q1400,""^Sell_""),-ROUNDDOWN(ROUNDUP(INDEX(Upgrades!$C$3:$C$13,MATCH(SUBSTITUTE(Q1400,""Sell_"",""""),Upgrades!$B$3:$B$13,0))*1.15^(COUNTIF(Q$4:Q1399,SUBSTITUTE(Q1400,""Sell_"",""""))-COUNTIF(Q$4"&amp;":Q1399,""Sell_""&amp;SUBSTITUTE(Q1400,""Sell_"",""""))))/2),ROUNDUP(INDEX(Upgrades!$C$3:$C$13,MATCH(Q1400,Upgrades!$B$3:$B$13,0))*1.15^(COUNTIF(Q$4:Q1399,Q1400)-COUNTIF(Q$4:Q1399,""Sell_""&amp;Q1400))))))"),"")</f>
        <v/>
      </c>
      <c r="V1400" s="10" t="str">
        <f t="shared" si="11"/>
        <v/>
      </c>
      <c r="W1400" s="68" t="str">
        <f t="shared" si="12"/>
        <v/>
      </c>
      <c r="X1400" s="59" t="str">
        <f t="shared" si="13"/>
        <v/>
      </c>
      <c r="Y1400" s="69" t="str">
        <f t="shared" si="14"/>
        <v/>
      </c>
      <c r="Z1400" s="11"/>
      <c r="AG1400" s="59"/>
    </row>
    <row r="1401">
      <c r="A1401" s="8"/>
      <c r="B1401" s="56" t="str">
        <f t="shared" si="2"/>
        <v/>
      </c>
      <c r="C1401" s="105"/>
      <c r="D1401" s="10"/>
      <c r="E1401" s="59" t="str">
        <f t="array" ref="E1401">IF(COUNTA(C1401:C1644)=0,"",SUM((COUNTIF(C$4:C1401,Upgrades!$B$3:$B$13)-COUNTIF(C$4:C1401,"Sell_"&amp;Upgrades!$B$3:$B$13))*Upgrades!$D$3:$D$13))</f>
        <v/>
      </c>
      <c r="F1401" s="66" t="str">
        <f>IFERROR(__xludf.DUMMYFUNCTION("IF(COUNTA(C1401:C1644)=0,"""",IF(REGEXMATCH(INDEX(FILTER(C$4:C1401,C$4:C1401&lt;&gt;""""),ROWS(FILTER(C$4:C1401,C$4:C1401&lt;&gt;""""))),""^Sell_""),INDEX(FILTER(F$4:F1400,C$4:C1400&lt;&gt;""""),ROWS(FILTER(C$4:C1400,C$4:C1400&lt;&gt;""""))),$AC$5+E1401))"),"")</f>
        <v/>
      </c>
      <c r="G1401" s="10" t="str">
        <f>IFERROR(__xludf.DUMMYFUNCTION("IF(COUNTA(C1401:C1644)=0,"""",IF(C1401="""",0,IF(REGEXMATCH(C1401,""^Sell_""),-ROUNDDOWN(ROUNDUP(INDEX(Upgrades!$C$3:$C$13,MATCH(SUBSTITUTE(C1401,""Sell_"",""""),Upgrades!$B$3:$B$13,0))*1.15^(COUNTIF(C$4:C1400,SUBSTITUTE(C1401,""Sell_"",""""))-COUNTIF(C$4"&amp;":C1400,""Sell_""&amp;SUBSTITUTE(C1401,""Sell_"",""""))))/2),ROUNDUP(INDEX(Upgrades!$C$3:$C$13,MATCH(C1401,Upgrades!$B$3:$B$13,0))*1.15^(COUNTIF(C$4:C1400,C1401)-COUNTIF(C$4:C1400,""Sell_""&amp;C1401))))))"),"")</f>
        <v/>
      </c>
      <c r="H1401" s="10" t="str">
        <f t="shared" si="3"/>
        <v/>
      </c>
      <c r="I1401" s="68" t="str">
        <f t="shared" si="4"/>
        <v/>
      </c>
      <c r="J1401" s="59" t="str">
        <f t="shared" si="5"/>
        <v/>
      </c>
      <c r="K1401" s="69" t="str">
        <f t="shared" si="6"/>
        <v/>
      </c>
      <c r="L1401" s="60" t="str">
        <f t="shared" si="7"/>
        <v/>
      </c>
      <c r="M1401" s="61" t="str">
        <f>IFERROR(__xludf.DUMMYFUNCTION("IFS(AND(COUNTA(C1401:C1644)=0,COUNTA(Q1401:Q1644)=0),"""",OR(AND(K1401&gt;=1000000000,OR(Y1401&gt;=1000000000,COUNTA(Q1401:Q1644)=0)),OR(Y1401&gt;=1000000000,AND(COUNTA(C1401:C1644)=0,P$3=TRUE))),
ROUNDDOWN((AB$1-AC$1)*MAX(INDEX(T$4:T1644,MATCH(LARGE(FILTER(Y$4:Y1"&amp;"644,Y$4:Y1644&lt;1000000000),1),Y$4:Y1644)),INDEX(F$4:F1644,MATCH(LARGE(FILTER(K$4:K1644,K$4:K1644&lt;1000000000),1),K$4:K1644)))),AND(K1401&lt;1000000000,COUNTA(C1401:C1644)&gt;0,P$3=FALSE),
ROUNDDOWN(INDEX(Y$4:Y1644,MATCH(LARGE(FILTER(W$4:W1644,W$4:W1644&lt;=I1401),1)"&amp;",W$4:W1644))+(I1401-LARGE(FILTER(W$4:W1644,W$4:W1644&lt;=I1401),1))*INDEX(T$4:T1644,MATCH(LARGE(FILTER(W$4:W1644,W$4:W1644&lt;=I1401),1),W$4:W1644))-K1401),1,
ROUNDDOWN(Y1401-INDEX(K$4:K1644,MATCH(LARGE(FILTER(I$4:I1644,I$4:I1644&lt;=W1401),1),I$4:I1644))-(W1401-L"&amp;"ARGE(FILTER(I$4:I1644,I$4:I1644&lt;=W1401),1))*INDEX(F$4:F1644,MATCH(LARGE(FILTER(I$4:I1644,I$4:I1644&lt;=W1401),1),I$4:I1644))))"),"")</f>
        <v/>
      </c>
      <c r="N1401" s="60" t="str">
        <f t="shared" si="8"/>
        <v/>
      </c>
      <c r="O1401" s="61" t="str">
        <f t="shared" si="9"/>
        <v/>
      </c>
      <c r="P1401" s="56" t="str">
        <f t="shared" si="10"/>
        <v/>
      </c>
      <c r="Q1401" s="105"/>
      <c r="R1401" s="10"/>
      <c r="S1401" s="59" t="str">
        <f t="array" ref="S1401">IF(COUNTA(Q1401:Q1644)=0,"",SUM((COUNTIF(Q$4:Q1401,Upgrades!$B$3:$B$13)-COUNTIF(Q$4:Q1401,"Sell_"&amp;Upgrades!$B$3:$B$13))*Upgrades!$D$3:$D$13))</f>
        <v/>
      </c>
      <c r="T1401" s="66" t="str">
        <f>IFERROR(__xludf.DUMMYFUNCTION("IF(COUNTA(Q1401:Q1644)=0,"""",IF(REGEXMATCH(INDEX(FILTER(Q$4:Q1401,Q$4:Q1401&lt;&gt;""""),ROWS(FILTER(Q$4:Q1401,Q$4:Q1401&lt;&gt;""""))),""^Sell_""),INDEX(FILTER(T$4:T1400,Q$4:Q1400&lt;&gt;""""),ROWS(FILTER(Q$4:Q1400,Q$4:Q1400&lt;&gt;""""))),$AD$5+S1401))"),"")</f>
        <v/>
      </c>
      <c r="U1401" s="10" t="str">
        <f>IFERROR(__xludf.DUMMYFUNCTION("IF(COUNTA(Q1401:Q1644)=0,"""",IF(Q1401="""",0,IF(REGEXMATCH(Q1401,""^Sell_""),-ROUNDDOWN(ROUNDUP(INDEX(Upgrades!$C$3:$C$13,MATCH(SUBSTITUTE(Q1401,""Sell_"",""""),Upgrades!$B$3:$B$13,0))*1.15^(COUNTIF(Q$4:Q1400,SUBSTITUTE(Q1401,""Sell_"",""""))-COUNTIF(Q$4"&amp;":Q1400,""Sell_""&amp;SUBSTITUTE(Q1401,""Sell_"",""""))))/2),ROUNDUP(INDEX(Upgrades!$C$3:$C$13,MATCH(Q1401,Upgrades!$B$3:$B$13,0))*1.15^(COUNTIF(Q$4:Q1400,Q1401)-COUNTIF(Q$4:Q1400,""Sell_""&amp;Q1401))))))"),"")</f>
        <v/>
      </c>
      <c r="V1401" s="10" t="str">
        <f t="shared" si="11"/>
        <v/>
      </c>
      <c r="W1401" s="68" t="str">
        <f t="shared" si="12"/>
        <v/>
      </c>
      <c r="X1401" s="59" t="str">
        <f t="shared" si="13"/>
        <v/>
      </c>
      <c r="Y1401" s="69" t="str">
        <f t="shared" si="14"/>
        <v/>
      </c>
      <c r="Z1401" s="11"/>
      <c r="AG1401" s="59"/>
    </row>
    <row r="1402">
      <c r="A1402" s="8"/>
      <c r="B1402" s="56" t="str">
        <f t="shared" si="2"/>
        <v/>
      </c>
      <c r="C1402" s="105"/>
      <c r="D1402" s="10"/>
      <c r="E1402" s="59" t="str">
        <f t="array" ref="E1402">IF(COUNTA(C1402:C1644)=0,"",SUM((COUNTIF(C$4:C1402,Upgrades!$B$3:$B$13)-COUNTIF(C$4:C1402,"Sell_"&amp;Upgrades!$B$3:$B$13))*Upgrades!$D$3:$D$13))</f>
        <v/>
      </c>
      <c r="F1402" s="66" t="str">
        <f>IFERROR(__xludf.DUMMYFUNCTION("IF(COUNTA(C1402:C1644)=0,"""",IF(REGEXMATCH(INDEX(FILTER(C$4:C1402,C$4:C1402&lt;&gt;""""),ROWS(FILTER(C$4:C1402,C$4:C1402&lt;&gt;""""))),""^Sell_""),INDEX(FILTER(F$4:F1401,C$4:C1401&lt;&gt;""""),ROWS(FILTER(C$4:C1401,C$4:C1401&lt;&gt;""""))),$AC$5+E1402))"),"")</f>
        <v/>
      </c>
      <c r="G1402" s="10" t="str">
        <f>IFERROR(__xludf.DUMMYFUNCTION("IF(COUNTA(C1402:C1644)=0,"""",IF(C1402="""",0,IF(REGEXMATCH(C1402,""^Sell_""),-ROUNDDOWN(ROUNDUP(INDEX(Upgrades!$C$3:$C$13,MATCH(SUBSTITUTE(C1402,""Sell_"",""""),Upgrades!$B$3:$B$13,0))*1.15^(COUNTIF(C$4:C1401,SUBSTITUTE(C1402,""Sell_"",""""))-COUNTIF(C$4"&amp;":C1401,""Sell_""&amp;SUBSTITUTE(C1402,""Sell_"",""""))))/2),ROUNDUP(INDEX(Upgrades!$C$3:$C$13,MATCH(C1402,Upgrades!$B$3:$B$13,0))*1.15^(COUNTIF(C$4:C1401,C1402)-COUNTIF(C$4:C1401,""Sell_""&amp;C1402))))))"),"")</f>
        <v/>
      </c>
      <c r="H1402" s="10" t="str">
        <f t="shared" si="3"/>
        <v/>
      </c>
      <c r="I1402" s="68" t="str">
        <f t="shared" si="4"/>
        <v/>
      </c>
      <c r="J1402" s="59" t="str">
        <f t="shared" si="5"/>
        <v/>
      </c>
      <c r="K1402" s="69" t="str">
        <f t="shared" si="6"/>
        <v/>
      </c>
      <c r="L1402" s="60" t="str">
        <f t="shared" si="7"/>
        <v/>
      </c>
      <c r="M1402" s="61" t="str">
        <f>IFERROR(__xludf.DUMMYFUNCTION("IFS(AND(COUNTA(C1402:C1644)=0,COUNTA(Q1402:Q1644)=0),"""",OR(AND(K1402&gt;=1000000000,OR(Y1402&gt;=1000000000,COUNTA(Q1402:Q1644)=0)),OR(Y1402&gt;=1000000000,AND(COUNTA(C1402:C1644)=0,P$3=TRUE))),
ROUNDDOWN((AB$1-AC$1)*MAX(INDEX(T$4:T1644,MATCH(LARGE(FILTER(Y$4:Y1"&amp;"644,Y$4:Y1644&lt;1000000000),1),Y$4:Y1644)),INDEX(F$4:F1644,MATCH(LARGE(FILTER(K$4:K1644,K$4:K1644&lt;1000000000),1),K$4:K1644)))),AND(K1402&lt;1000000000,COUNTA(C1402:C1644)&gt;0,P$3=FALSE),
ROUNDDOWN(INDEX(Y$4:Y1644,MATCH(LARGE(FILTER(W$4:W1644,W$4:W1644&lt;=I1402),1)"&amp;",W$4:W1644))+(I1402-LARGE(FILTER(W$4:W1644,W$4:W1644&lt;=I1402),1))*INDEX(T$4:T1644,MATCH(LARGE(FILTER(W$4:W1644,W$4:W1644&lt;=I1402),1),W$4:W1644))-K1402),1,
ROUNDDOWN(Y1402-INDEX(K$4:K1644,MATCH(LARGE(FILTER(I$4:I1644,I$4:I1644&lt;=W1402),1),I$4:I1644))-(W1402-L"&amp;"ARGE(FILTER(I$4:I1644,I$4:I1644&lt;=W1402),1))*INDEX(F$4:F1644,MATCH(LARGE(FILTER(I$4:I1644,I$4:I1644&lt;=W1402),1),I$4:I1644))))"),"")</f>
        <v/>
      </c>
      <c r="N1402" s="60" t="str">
        <f t="shared" si="8"/>
        <v/>
      </c>
      <c r="O1402" s="61" t="str">
        <f t="shared" si="9"/>
        <v/>
      </c>
      <c r="P1402" s="56" t="str">
        <f t="shared" si="10"/>
        <v/>
      </c>
      <c r="Q1402" s="105"/>
      <c r="R1402" s="10"/>
      <c r="S1402" s="59" t="str">
        <f t="array" ref="S1402">IF(COUNTA(Q1402:Q1644)=0,"",SUM((COUNTIF(Q$4:Q1402,Upgrades!$B$3:$B$13)-COUNTIF(Q$4:Q1402,"Sell_"&amp;Upgrades!$B$3:$B$13))*Upgrades!$D$3:$D$13))</f>
        <v/>
      </c>
      <c r="T1402" s="66" t="str">
        <f>IFERROR(__xludf.DUMMYFUNCTION("IF(COUNTA(Q1402:Q1644)=0,"""",IF(REGEXMATCH(INDEX(FILTER(Q$4:Q1402,Q$4:Q1402&lt;&gt;""""),ROWS(FILTER(Q$4:Q1402,Q$4:Q1402&lt;&gt;""""))),""^Sell_""),INDEX(FILTER(T$4:T1401,Q$4:Q1401&lt;&gt;""""),ROWS(FILTER(Q$4:Q1401,Q$4:Q1401&lt;&gt;""""))),$AD$5+S1402))"),"")</f>
        <v/>
      </c>
      <c r="U1402" s="10" t="str">
        <f>IFERROR(__xludf.DUMMYFUNCTION("IF(COUNTA(Q1402:Q1644)=0,"""",IF(Q1402="""",0,IF(REGEXMATCH(Q1402,""^Sell_""),-ROUNDDOWN(ROUNDUP(INDEX(Upgrades!$C$3:$C$13,MATCH(SUBSTITUTE(Q1402,""Sell_"",""""),Upgrades!$B$3:$B$13,0))*1.15^(COUNTIF(Q$4:Q1401,SUBSTITUTE(Q1402,""Sell_"",""""))-COUNTIF(Q$4"&amp;":Q1401,""Sell_""&amp;SUBSTITUTE(Q1402,""Sell_"",""""))))/2),ROUNDUP(INDEX(Upgrades!$C$3:$C$13,MATCH(Q1402,Upgrades!$B$3:$B$13,0))*1.15^(COUNTIF(Q$4:Q1401,Q1402)-COUNTIF(Q$4:Q1401,""Sell_""&amp;Q1402))))))"),"")</f>
        <v/>
      </c>
      <c r="V1402" s="10" t="str">
        <f t="shared" si="11"/>
        <v/>
      </c>
      <c r="W1402" s="68" t="str">
        <f t="shared" si="12"/>
        <v/>
      </c>
      <c r="X1402" s="59" t="str">
        <f t="shared" si="13"/>
        <v/>
      </c>
      <c r="Y1402" s="69" t="str">
        <f t="shared" si="14"/>
        <v/>
      </c>
      <c r="Z1402" s="11"/>
      <c r="AG1402" s="59"/>
    </row>
    <row r="1403">
      <c r="A1403" s="8"/>
      <c r="B1403" s="56" t="str">
        <f t="shared" si="2"/>
        <v/>
      </c>
      <c r="C1403" s="105"/>
      <c r="D1403" s="10"/>
      <c r="E1403" s="59" t="str">
        <f t="array" ref="E1403">IF(COUNTA(C1403:C1644)=0,"",SUM((COUNTIF(C$4:C1403,Upgrades!$B$3:$B$13)-COUNTIF(C$4:C1403,"Sell_"&amp;Upgrades!$B$3:$B$13))*Upgrades!$D$3:$D$13))</f>
        <v/>
      </c>
      <c r="F1403" s="66" t="str">
        <f>IFERROR(__xludf.DUMMYFUNCTION("IF(COUNTA(C1403:C1644)=0,"""",IF(REGEXMATCH(INDEX(FILTER(C$4:C1403,C$4:C1403&lt;&gt;""""),ROWS(FILTER(C$4:C1403,C$4:C1403&lt;&gt;""""))),""^Sell_""),INDEX(FILTER(F$4:F1402,C$4:C1402&lt;&gt;""""),ROWS(FILTER(C$4:C1402,C$4:C1402&lt;&gt;""""))),$AC$5+E1403))"),"")</f>
        <v/>
      </c>
      <c r="G1403" s="10" t="str">
        <f>IFERROR(__xludf.DUMMYFUNCTION("IF(COUNTA(C1403:C1644)=0,"""",IF(C1403="""",0,IF(REGEXMATCH(C1403,""^Sell_""),-ROUNDDOWN(ROUNDUP(INDEX(Upgrades!$C$3:$C$13,MATCH(SUBSTITUTE(C1403,""Sell_"",""""),Upgrades!$B$3:$B$13,0))*1.15^(COUNTIF(C$4:C1402,SUBSTITUTE(C1403,""Sell_"",""""))-COUNTIF(C$4"&amp;":C1402,""Sell_""&amp;SUBSTITUTE(C1403,""Sell_"",""""))))/2),ROUNDUP(INDEX(Upgrades!$C$3:$C$13,MATCH(C1403,Upgrades!$B$3:$B$13,0))*1.15^(COUNTIF(C$4:C1402,C1403)-COUNTIF(C$4:C1402,""Sell_""&amp;C1403))))))"),"")</f>
        <v/>
      </c>
      <c r="H1403" s="10" t="str">
        <f t="shared" si="3"/>
        <v/>
      </c>
      <c r="I1403" s="68" t="str">
        <f t="shared" si="4"/>
        <v/>
      </c>
      <c r="J1403" s="59" t="str">
        <f t="shared" si="5"/>
        <v/>
      </c>
      <c r="K1403" s="69" t="str">
        <f t="shared" si="6"/>
        <v/>
      </c>
      <c r="L1403" s="60" t="str">
        <f t="shared" si="7"/>
        <v/>
      </c>
      <c r="M1403" s="61" t="str">
        <f>IFERROR(__xludf.DUMMYFUNCTION("IFS(AND(COUNTA(C1403:C1644)=0,COUNTA(Q1403:Q1644)=0),"""",OR(AND(K1403&gt;=1000000000,OR(Y1403&gt;=1000000000,COUNTA(Q1403:Q1644)=0)),OR(Y1403&gt;=1000000000,AND(COUNTA(C1403:C1644)=0,P$3=TRUE))),
ROUNDDOWN((AB$1-AC$1)*MAX(INDEX(T$4:T1644,MATCH(LARGE(FILTER(Y$4:Y1"&amp;"644,Y$4:Y1644&lt;1000000000),1),Y$4:Y1644)),INDEX(F$4:F1644,MATCH(LARGE(FILTER(K$4:K1644,K$4:K1644&lt;1000000000),1),K$4:K1644)))),AND(K1403&lt;1000000000,COUNTA(C1403:C1644)&gt;0,P$3=FALSE),
ROUNDDOWN(INDEX(Y$4:Y1644,MATCH(LARGE(FILTER(W$4:W1644,W$4:W1644&lt;=I1403),1)"&amp;",W$4:W1644))+(I1403-LARGE(FILTER(W$4:W1644,W$4:W1644&lt;=I1403),1))*INDEX(T$4:T1644,MATCH(LARGE(FILTER(W$4:W1644,W$4:W1644&lt;=I1403),1),W$4:W1644))-K1403),1,
ROUNDDOWN(Y1403-INDEX(K$4:K1644,MATCH(LARGE(FILTER(I$4:I1644,I$4:I1644&lt;=W1403),1),I$4:I1644))-(W1403-L"&amp;"ARGE(FILTER(I$4:I1644,I$4:I1644&lt;=W1403),1))*INDEX(F$4:F1644,MATCH(LARGE(FILTER(I$4:I1644,I$4:I1644&lt;=W1403),1),I$4:I1644))))"),"")</f>
        <v/>
      </c>
      <c r="N1403" s="60" t="str">
        <f t="shared" si="8"/>
        <v/>
      </c>
      <c r="O1403" s="61" t="str">
        <f t="shared" si="9"/>
        <v/>
      </c>
      <c r="P1403" s="56" t="str">
        <f t="shared" si="10"/>
        <v/>
      </c>
      <c r="Q1403" s="105"/>
      <c r="R1403" s="10"/>
      <c r="S1403" s="59" t="str">
        <f t="array" ref="S1403">IF(COUNTA(Q1403:Q1644)=0,"",SUM((COUNTIF(Q$4:Q1403,Upgrades!$B$3:$B$13)-COUNTIF(Q$4:Q1403,"Sell_"&amp;Upgrades!$B$3:$B$13))*Upgrades!$D$3:$D$13))</f>
        <v/>
      </c>
      <c r="T1403" s="66" t="str">
        <f>IFERROR(__xludf.DUMMYFUNCTION("IF(COUNTA(Q1403:Q1644)=0,"""",IF(REGEXMATCH(INDEX(FILTER(Q$4:Q1403,Q$4:Q1403&lt;&gt;""""),ROWS(FILTER(Q$4:Q1403,Q$4:Q1403&lt;&gt;""""))),""^Sell_""),INDEX(FILTER(T$4:T1402,Q$4:Q1402&lt;&gt;""""),ROWS(FILTER(Q$4:Q1402,Q$4:Q1402&lt;&gt;""""))),$AD$5+S1403))"),"")</f>
        <v/>
      </c>
      <c r="U1403" s="10" t="str">
        <f>IFERROR(__xludf.DUMMYFUNCTION("IF(COUNTA(Q1403:Q1644)=0,"""",IF(Q1403="""",0,IF(REGEXMATCH(Q1403,""^Sell_""),-ROUNDDOWN(ROUNDUP(INDEX(Upgrades!$C$3:$C$13,MATCH(SUBSTITUTE(Q1403,""Sell_"",""""),Upgrades!$B$3:$B$13,0))*1.15^(COUNTIF(Q$4:Q1402,SUBSTITUTE(Q1403,""Sell_"",""""))-COUNTIF(Q$4"&amp;":Q1402,""Sell_""&amp;SUBSTITUTE(Q1403,""Sell_"",""""))))/2),ROUNDUP(INDEX(Upgrades!$C$3:$C$13,MATCH(Q1403,Upgrades!$B$3:$B$13,0))*1.15^(COUNTIF(Q$4:Q1402,Q1403)-COUNTIF(Q$4:Q1402,""Sell_""&amp;Q1403))))))"),"")</f>
        <v/>
      </c>
      <c r="V1403" s="10" t="str">
        <f t="shared" si="11"/>
        <v/>
      </c>
      <c r="W1403" s="68" t="str">
        <f t="shared" si="12"/>
        <v/>
      </c>
      <c r="X1403" s="59" t="str">
        <f t="shared" si="13"/>
        <v/>
      </c>
      <c r="Y1403" s="69" t="str">
        <f t="shared" si="14"/>
        <v/>
      </c>
      <c r="Z1403" s="11"/>
      <c r="AG1403" s="59"/>
    </row>
    <row r="1404">
      <c r="A1404" s="8"/>
      <c r="B1404" s="56" t="str">
        <f t="shared" si="2"/>
        <v/>
      </c>
      <c r="C1404" s="105"/>
      <c r="D1404" s="10"/>
      <c r="E1404" s="59" t="str">
        <f t="array" ref="E1404">IF(COUNTA(C1404:C1644)=0,"",SUM((COUNTIF(C$4:C1404,Upgrades!$B$3:$B$13)-COUNTIF(C$4:C1404,"Sell_"&amp;Upgrades!$B$3:$B$13))*Upgrades!$D$3:$D$13))</f>
        <v/>
      </c>
      <c r="F1404" s="66" t="str">
        <f>IFERROR(__xludf.DUMMYFUNCTION("IF(COUNTA(C1404:C1644)=0,"""",IF(REGEXMATCH(INDEX(FILTER(C$4:C1404,C$4:C1404&lt;&gt;""""),ROWS(FILTER(C$4:C1404,C$4:C1404&lt;&gt;""""))),""^Sell_""),INDEX(FILTER(F$4:F1403,C$4:C1403&lt;&gt;""""),ROWS(FILTER(C$4:C1403,C$4:C1403&lt;&gt;""""))),$AC$5+E1404))"),"")</f>
        <v/>
      </c>
      <c r="G1404" s="10" t="str">
        <f>IFERROR(__xludf.DUMMYFUNCTION("IF(COUNTA(C1404:C1644)=0,"""",IF(C1404="""",0,IF(REGEXMATCH(C1404,""^Sell_""),-ROUNDDOWN(ROUNDUP(INDEX(Upgrades!$C$3:$C$13,MATCH(SUBSTITUTE(C1404,""Sell_"",""""),Upgrades!$B$3:$B$13,0))*1.15^(COUNTIF(C$4:C1403,SUBSTITUTE(C1404,""Sell_"",""""))-COUNTIF(C$4"&amp;":C1403,""Sell_""&amp;SUBSTITUTE(C1404,""Sell_"",""""))))/2),ROUNDUP(INDEX(Upgrades!$C$3:$C$13,MATCH(C1404,Upgrades!$B$3:$B$13,0))*1.15^(COUNTIF(C$4:C1403,C1404)-COUNTIF(C$4:C1403,""Sell_""&amp;C1404))))))"),"")</f>
        <v/>
      </c>
      <c r="H1404" s="10" t="str">
        <f t="shared" si="3"/>
        <v/>
      </c>
      <c r="I1404" s="68" t="str">
        <f t="shared" si="4"/>
        <v/>
      </c>
      <c r="J1404" s="59" t="str">
        <f t="shared" si="5"/>
        <v/>
      </c>
      <c r="K1404" s="69" t="str">
        <f t="shared" si="6"/>
        <v/>
      </c>
      <c r="L1404" s="60" t="str">
        <f t="shared" si="7"/>
        <v/>
      </c>
      <c r="M1404" s="61" t="str">
        <f>IFERROR(__xludf.DUMMYFUNCTION("IFS(AND(COUNTA(C1404:C1644)=0,COUNTA(Q1404:Q1644)=0),"""",OR(AND(K1404&gt;=1000000000,OR(Y1404&gt;=1000000000,COUNTA(Q1404:Q1644)=0)),OR(Y1404&gt;=1000000000,AND(COUNTA(C1404:C1644)=0,P$3=TRUE))),
ROUNDDOWN((AB$1-AC$1)*MAX(INDEX(T$4:T1644,MATCH(LARGE(FILTER(Y$4:Y1"&amp;"644,Y$4:Y1644&lt;1000000000),1),Y$4:Y1644)),INDEX(F$4:F1644,MATCH(LARGE(FILTER(K$4:K1644,K$4:K1644&lt;1000000000),1),K$4:K1644)))),AND(K1404&lt;1000000000,COUNTA(C1404:C1644)&gt;0,P$3=FALSE),
ROUNDDOWN(INDEX(Y$4:Y1644,MATCH(LARGE(FILTER(W$4:W1644,W$4:W1644&lt;=I1404),1)"&amp;",W$4:W1644))+(I1404-LARGE(FILTER(W$4:W1644,W$4:W1644&lt;=I1404),1))*INDEX(T$4:T1644,MATCH(LARGE(FILTER(W$4:W1644,W$4:W1644&lt;=I1404),1),W$4:W1644))-K1404),1,
ROUNDDOWN(Y1404-INDEX(K$4:K1644,MATCH(LARGE(FILTER(I$4:I1644,I$4:I1644&lt;=W1404),1),I$4:I1644))-(W1404-L"&amp;"ARGE(FILTER(I$4:I1644,I$4:I1644&lt;=W1404),1))*INDEX(F$4:F1644,MATCH(LARGE(FILTER(I$4:I1644,I$4:I1644&lt;=W1404),1),I$4:I1644))))"),"")</f>
        <v/>
      </c>
      <c r="N1404" s="60" t="str">
        <f t="shared" si="8"/>
        <v/>
      </c>
      <c r="O1404" s="61" t="str">
        <f t="shared" si="9"/>
        <v/>
      </c>
      <c r="P1404" s="56" t="str">
        <f t="shared" si="10"/>
        <v/>
      </c>
      <c r="Q1404" s="105"/>
      <c r="R1404" s="10"/>
      <c r="S1404" s="59" t="str">
        <f t="array" ref="S1404">IF(COUNTA(Q1404:Q1644)=0,"",SUM((COUNTIF(Q$4:Q1404,Upgrades!$B$3:$B$13)-COUNTIF(Q$4:Q1404,"Sell_"&amp;Upgrades!$B$3:$B$13))*Upgrades!$D$3:$D$13))</f>
        <v/>
      </c>
      <c r="T1404" s="66" t="str">
        <f>IFERROR(__xludf.DUMMYFUNCTION("IF(COUNTA(Q1404:Q1644)=0,"""",IF(REGEXMATCH(INDEX(FILTER(Q$4:Q1404,Q$4:Q1404&lt;&gt;""""),ROWS(FILTER(Q$4:Q1404,Q$4:Q1404&lt;&gt;""""))),""^Sell_""),INDEX(FILTER(T$4:T1403,Q$4:Q1403&lt;&gt;""""),ROWS(FILTER(Q$4:Q1403,Q$4:Q1403&lt;&gt;""""))),$AD$5+S1404))"),"")</f>
        <v/>
      </c>
      <c r="U1404" s="10" t="str">
        <f>IFERROR(__xludf.DUMMYFUNCTION("IF(COUNTA(Q1404:Q1644)=0,"""",IF(Q1404="""",0,IF(REGEXMATCH(Q1404,""^Sell_""),-ROUNDDOWN(ROUNDUP(INDEX(Upgrades!$C$3:$C$13,MATCH(SUBSTITUTE(Q1404,""Sell_"",""""),Upgrades!$B$3:$B$13,0))*1.15^(COUNTIF(Q$4:Q1403,SUBSTITUTE(Q1404,""Sell_"",""""))-COUNTIF(Q$4"&amp;":Q1403,""Sell_""&amp;SUBSTITUTE(Q1404,""Sell_"",""""))))/2),ROUNDUP(INDEX(Upgrades!$C$3:$C$13,MATCH(Q1404,Upgrades!$B$3:$B$13,0))*1.15^(COUNTIF(Q$4:Q1403,Q1404)-COUNTIF(Q$4:Q1403,""Sell_""&amp;Q1404))))))"),"")</f>
        <v/>
      </c>
      <c r="V1404" s="10" t="str">
        <f t="shared" si="11"/>
        <v/>
      </c>
      <c r="W1404" s="68" t="str">
        <f t="shared" si="12"/>
        <v/>
      </c>
      <c r="X1404" s="59" t="str">
        <f t="shared" si="13"/>
        <v/>
      </c>
      <c r="Y1404" s="69" t="str">
        <f t="shared" si="14"/>
        <v/>
      </c>
      <c r="Z1404" s="11"/>
      <c r="AG1404" s="59"/>
    </row>
    <row r="1405">
      <c r="A1405" s="8"/>
      <c r="B1405" s="56" t="str">
        <f t="shared" si="2"/>
        <v/>
      </c>
      <c r="C1405" s="105"/>
      <c r="D1405" s="10"/>
      <c r="E1405" s="59" t="str">
        <f t="array" ref="E1405">IF(COUNTA(C1405:C1644)=0,"",SUM((COUNTIF(C$4:C1405,Upgrades!$B$3:$B$13)-COUNTIF(C$4:C1405,"Sell_"&amp;Upgrades!$B$3:$B$13))*Upgrades!$D$3:$D$13))</f>
        <v/>
      </c>
      <c r="F1405" s="66" t="str">
        <f>IFERROR(__xludf.DUMMYFUNCTION("IF(COUNTA(C1405:C1644)=0,"""",IF(REGEXMATCH(INDEX(FILTER(C$4:C1405,C$4:C1405&lt;&gt;""""),ROWS(FILTER(C$4:C1405,C$4:C1405&lt;&gt;""""))),""^Sell_""),INDEX(FILTER(F$4:F1404,C$4:C1404&lt;&gt;""""),ROWS(FILTER(C$4:C1404,C$4:C1404&lt;&gt;""""))),$AC$5+E1405))"),"")</f>
        <v/>
      </c>
      <c r="G1405" s="10" t="str">
        <f>IFERROR(__xludf.DUMMYFUNCTION("IF(COUNTA(C1405:C1644)=0,"""",IF(C1405="""",0,IF(REGEXMATCH(C1405,""^Sell_""),-ROUNDDOWN(ROUNDUP(INDEX(Upgrades!$C$3:$C$13,MATCH(SUBSTITUTE(C1405,""Sell_"",""""),Upgrades!$B$3:$B$13,0))*1.15^(COUNTIF(C$4:C1404,SUBSTITUTE(C1405,""Sell_"",""""))-COUNTIF(C$4"&amp;":C1404,""Sell_""&amp;SUBSTITUTE(C1405,""Sell_"",""""))))/2),ROUNDUP(INDEX(Upgrades!$C$3:$C$13,MATCH(C1405,Upgrades!$B$3:$B$13,0))*1.15^(COUNTIF(C$4:C1404,C1405)-COUNTIF(C$4:C1404,""Sell_""&amp;C1405))))))"),"")</f>
        <v/>
      </c>
      <c r="H1405" s="10" t="str">
        <f t="shared" si="3"/>
        <v/>
      </c>
      <c r="I1405" s="68" t="str">
        <f t="shared" si="4"/>
        <v/>
      </c>
      <c r="J1405" s="59" t="str">
        <f t="shared" si="5"/>
        <v/>
      </c>
      <c r="K1405" s="69" t="str">
        <f t="shared" si="6"/>
        <v/>
      </c>
      <c r="L1405" s="60" t="str">
        <f t="shared" si="7"/>
        <v/>
      </c>
      <c r="M1405" s="61" t="str">
        <f>IFERROR(__xludf.DUMMYFUNCTION("IFS(AND(COUNTA(C1405:C1644)=0,COUNTA(Q1405:Q1644)=0),"""",OR(AND(K1405&gt;=1000000000,OR(Y1405&gt;=1000000000,COUNTA(Q1405:Q1644)=0)),OR(Y1405&gt;=1000000000,AND(COUNTA(C1405:C1644)=0,P$3=TRUE))),
ROUNDDOWN((AB$1-AC$1)*MAX(INDEX(T$4:T1644,MATCH(LARGE(FILTER(Y$4:Y1"&amp;"644,Y$4:Y1644&lt;1000000000),1),Y$4:Y1644)),INDEX(F$4:F1644,MATCH(LARGE(FILTER(K$4:K1644,K$4:K1644&lt;1000000000),1),K$4:K1644)))),AND(K1405&lt;1000000000,COUNTA(C1405:C1644)&gt;0,P$3=FALSE),
ROUNDDOWN(INDEX(Y$4:Y1644,MATCH(LARGE(FILTER(W$4:W1644,W$4:W1644&lt;=I1405),1)"&amp;",W$4:W1644))+(I1405-LARGE(FILTER(W$4:W1644,W$4:W1644&lt;=I1405),1))*INDEX(T$4:T1644,MATCH(LARGE(FILTER(W$4:W1644,W$4:W1644&lt;=I1405),1),W$4:W1644))-K1405),1,
ROUNDDOWN(Y1405-INDEX(K$4:K1644,MATCH(LARGE(FILTER(I$4:I1644,I$4:I1644&lt;=W1405),1),I$4:I1644))-(W1405-L"&amp;"ARGE(FILTER(I$4:I1644,I$4:I1644&lt;=W1405),1))*INDEX(F$4:F1644,MATCH(LARGE(FILTER(I$4:I1644,I$4:I1644&lt;=W1405),1),I$4:I1644))))"),"")</f>
        <v/>
      </c>
      <c r="N1405" s="60" t="str">
        <f t="shared" si="8"/>
        <v/>
      </c>
      <c r="O1405" s="61" t="str">
        <f t="shared" si="9"/>
        <v/>
      </c>
      <c r="P1405" s="56" t="str">
        <f t="shared" si="10"/>
        <v/>
      </c>
      <c r="Q1405" s="105"/>
      <c r="R1405" s="10"/>
      <c r="S1405" s="59" t="str">
        <f t="array" ref="S1405">IF(COUNTA(Q1405:Q1644)=0,"",SUM((COUNTIF(Q$4:Q1405,Upgrades!$B$3:$B$13)-COUNTIF(Q$4:Q1405,"Sell_"&amp;Upgrades!$B$3:$B$13))*Upgrades!$D$3:$D$13))</f>
        <v/>
      </c>
      <c r="T1405" s="66" t="str">
        <f>IFERROR(__xludf.DUMMYFUNCTION("IF(COUNTA(Q1405:Q1644)=0,"""",IF(REGEXMATCH(INDEX(FILTER(Q$4:Q1405,Q$4:Q1405&lt;&gt;""""),ROWS(FILTER(Q$4:Q1405,Q$4:Q1405&lt;&gt;""""))),""^Sell_""),INDEX(FILTER(T$4:T1404,Q$4:Q1404&lt;&gt;""""),ROWS(FILTER(Q$4:Q1404,Q$4:Q1404&lt;&gt;""""))),$AD$5+S1405))"),"")</f>
        <v/>
      </c>
      <c r="U1405" s="10" t="str">
        <f>IFERROR(__xludf.DUMMYFUNCTION("IF(COUNTA(Q1405:Q1644)=0,"""",IF(Q1405="""",0,IF(REGEXMATCH(Q1405,""^Sell_""),-ROUNDDOWN(ROUNDUP(INDEX(Upgrades!$C$3:$C$13,MATCH(SUBSTITUTE(Q1405,""Sell_"",""""),Upgrades!$B$3:$B$13,0))*1.15^(COUNTIF(Q$4:Q1404,SUBSTITUTE(Q1405,""Sell_"",""""))-COUNTIF(Q$4"&amp;":Q1404,""Sell_""&amp;SUBSTITUTE(Q1405,""Sell_"",""""))))/2),ROUNDUP(INDEX(Upgrades!$C$3:$C$13,MATCH(Q1405,Upgrades!$B$3:$B$13,0))*1.15^(COUNTIF(Q$4:Q1404,Q1405)-COUNTIF(Q$4:Q1404,""Sell_""&amp;Q1405))))))"),"")</f>
        <v/>
      </c>
      <c r="V1405" s="10" t="str">
        <f t="shared" si="11"/>
        <v/>
      </c>
      <c r="W1405" s="68" t="str">
        <f t="shared" si="12"/>
        <v/>
      </c>
      <c r="X1405" s="59" t="str">
        <f t="shared" si="13"/>
        <v/>
      </c>
      <c r="Y1405" s="69" t="str">
        <f t="shared" si="14"/>
        <v/>
      </c>
      <c r="Z1405" s="11"/>
      <c r="AG1405" s="59"/>
    </row>
    <row r="1406">
      <c r="A1406" s="8"/>
      <c r="B1406" s="56" t="str">
        <f t="shared" si="2"/>
        <v/>
      </c>
      <c r="C1406" s="105"/>
      <c r="D1406" s="10"/>
      <c r="E1406" s="59" t="str">
        <f t="array" ref="E1406">IF(COUNTA(C1406:C1644)=0,"",SUM((COUNTIF(C$4:C1406,Upgrades!$B$3:$B$13)-COUNTIF(C$4:C1406,"Sell_"&amp;Upgrades!$B$3:$B$13))*Upgrades!$D$3:$D$13))</f>
        <v/>
      </c>
      <c r="F1406" s="66" t="str">
        <f>IFERROR(__xludf.DUMMYFUNCTION("IF(COUNTA(C1406:C1644)=0,"""",IF(REGEXMATCH(INDEX(FILTER(C$4:C1406,C$4:C1406&lt;&gt;""""),ROWS(FILTER(C$4:C1406,C$4:C1406&lt;&gt;""""))),""^Sell_""),INDEX(FILTER(F$4:F1405,C$4:C1405&lt;&gt;""""),ROWS(FILTER(C$4:C1405,C$4:C1405&lt;&gt;""""))),$AC$5+E1406))"),"")</f>
        <v/>
      </c>
      <c r="G1406" s="10" t="str">
        <f>IFERROR(__xludf.DUMMYFUNCTION("IF(COUNTA(C1406:C1644)=0,"""",IF(C1406="""",0,IF(REGEXMATCH(C1406,""^Sell_""),-ROUNDDOWN(ROUNDUP(INDEX(Upgrades!$C$3:$C$13,MATCH(SUBSTITUTE(C1406,""Sell_"",""""),Upgrades!$B$3:$B$13,0))*1.15^(COUNTIF(C$4:C1405,SUBSTITUTE(C1406,""Sell_"",""""))-COUNTIF(C$4"&amp;":C1405,""Sell_""&amp;SUBSTITUTE(C1406,""Sell_"",""""))))/2),ROUNDUP(INDEX(Upgrades!$C$3:$C$13,MATCH(C1406,Upgrades!$B$3:$B$13,0))*1.15^(COUNTIF(C$4:C1405,C1406)-COUNTIF(C$4:C1405,""Sell_""&amp;C1406))))))"),"")</f>
        <v/>
      </c>
      <c r="H1406" s="10" t="str">
        <f t="shared" si="3"/>
        <v/>
      </c>
      <c r="I1406" s="68" t="str">
        <f t="shared" si="4"/>
        <v/>
      </c>
      <c r="J1406" s="59" t="str">
        <f t="shared" si="5"/>
        <v/>
      </c>
      <c r="K1406" s="69" t="str">
        <f t="shared" si="6"/>
        <v/>
      </c>
      <c r="L1406" s="60" t="str">
        <f t="shared" si="7"/>
        <v/>
      </c>
      <c r="M1406" s="61" t="str">
        <f>IFERROR(__xludf.DUMMYFUNCTION("IFS(AND(COUNTA(C1406:C1644)=0,COUNTA(Q1406:Q1644)=0),"""",OR(AND(K1406&gt;=1000000000,OR(Y1406&gt;=1000000000,COUNTA(Q1406:Q1644)=0)),OR(Y1406&gt;=1000000000,AND(COUNTA(C1406:C1644)=0,P$3=TRUE))),
ROUNDDOWN((AB$1-AC$1)*MAX(INDEX(T$4:T1644,MATCH(LARGE(FILTER(Y$4:Y1"&amp;"644,Y$4:Y1644&lt;1000000000),1),Y$4:Y1644)),INDEX(F$4:F1644,MATCH(LARGE(FILTER(K$4:K1644,K$4:K1644&lt;1000000000),1),K$4:K1644)))),AND(K1406&lt;1000000000,COUNTA(C1406:C1644)&gt;0,P$3=FALSE),
ROUNDDOWN(INDEX(Y$4:Y1644,MATCH(LARGE(FILTER(W$4:W1644,W$4:W1644&lt;=I1406),1)"&amp;",W$4:W1644))+(I1406-LARGE(FILTER(W$4:W1644,W$4:W1644&lt;=I1406),1))*INDEX(T$4:T1644,MATCH(LARGE(FILTER(W$4:W1644,W$4:W1644&lt;=I1406),1),W$4:W1644))-K1406),1,
ROUNDDOWN(Y1406-INDEX(K$4:K1644,MATCH(LARGE(FILTER(I$4:I1644,I$4:I1644&lt;=W1406),1),I$4:I1644))-(W1406-L"&amp;"ARGE(FILTER(I$4:I1644,I$4:I1644&lt;=W1406),1))*INDEX(F$4:F1644,MATCH(LARGE(FILTER(I$4:I1644,I$4:I1644&lt;=W1406),1),I$4:I1644))))"),"")</f>
        <v/>
      </c>
      <c r="N1406" s="60" t="str">
        <f t="shared" si="8"/>
        <v/>
      </c>
      <c r="O1406" s="61" t="str">
        <f t="shared" si="9"/>
        <v/>
      </c>
      <c r="P1406" s="56" t="str">
        <f t="shared" si="10"/>
        <v/>
      </c>
      <c r="Q1406" s="105"/>
      <c r="R1406" s="10"/>
      <c r="S1406" s="59" t="str">
        <f t="array" ref="S1406">IF(COUNTA(Q1406:Q1644)=0,"",SUM((COUNTIF(Q$4:Q1406,Upgrades!$B$3:$B$13)-COUNTIF(Q$4:Q1406,"Sell_"&amp;Upgrades!$B$3:$B$13))*Upgrades!$D$3:$D$13))</f>
        <v/>
      </c>
      <c r="T1406" s="66" t="str">
        <f>IFERROR(__xludf.DUMMYFUNCTION("IF(COUNTA(Q1406:Q1644)=0,"""",IF(REGEXMATCH(INDEX(FILTER(Q$4:Q1406,Q$4:Q1406&lt;&gt;""""),ROWS(FILTER(Q$4:Q1406,Q$4:Q1406&lt;&gt;""""))),""^Sell_""),INDEX(FILTER(T$4:T1405,Q$4:Q1405&lt;&gt;""""),ROWS(FILTER(Q$4:Q1405,Q$4:Q1405&lt;&gt;""""))),$AD$5+S1406))"),"")</f>
        <v/>
      </c>
      <c r="U1406" s="10" t="str">
        <f>IFERROR(__xludf.DUMMYFUNCTION("IF(COUNTA(Q1406:Q1644)=0,"""",IF(Q1406="""",0,IF(REGEXMATCH(Q1406,""^Sell_""),-ROUNDDOWN(ROUNDUP(INDEX(Upgrades!$C$3:$C$13,MATCH(SUBSTITUTE(Q1406,""Sell_"",""""),Upgrades!$B$3:$B$13,0))*1.15^(COUNTIF(Q$4:Q1405,SUBSTITUTE(Q1406,""Sell_"",""""))-COUNTIF(Q$4"&amp;":Q1405,""Sell_""&amp;SUBSTITUTE(Q1406,""Sell_"",""""))))/2),ROUNDUP(INDEX(Upgrades!$C$3:$C$13,MATCH(Q1406,Upgrades!$B$3:$B$13,0))*1.15^(COUNTIF(Q$4:Q1405,Q1406)-COUNTIF(Q$4:Q1405,""Sell_""&amp;Q1406))))))"),"")</f>
        <v/>
      </c>
      <c r="V1406" s="10" t="str">
        <f t="shared" si="11"/>
        <v/>
      </c>
      <c r="W1406" s="68" t="str">
        <f t="shared" si="12"/>
        <v/>
      </c>
      <c r="X1406" s="59" t="str">
        <f t="shared" si="13"/>
        <v/>
      </c>
      <c r="Y1406" s="69" t="str">
        <f t="shared" si="14"/>
        <v/>
      </c>
      <c r="Z1406" s="11"/>
      <c r="AG1406" s="59"/>
    </row>
    <row r="1407">
      <c r="A1407" s="8"/>
      <c r="B1407" s="56" t="str">
        <f t="shared" si="2"/>
        <v/>
      </c>
      <c r="C1407" s="105"/>
      <c r="D1407" s="10"/>
      <c r="E1407" s="59" t="str">
        <f t="array" ref="E1407">IF(COUNTA(C1407:C1644)=0,"",SUM((COUNTIF(C$4:C1407,Upgrades!$B$3:$B$13)-COUNTIF(C$4:C1407,"Sell_"&amp;Upgrades!$B$3:$B$13))*Upgrades!$D$3:$D$13))</f>
        <v/>
      </c>
      <c r="F1407" s="66" t="str">
        <f>IFERROR(__xludf.DUMMYFUNCTION("IF(COUNTA(C1407:C1644)=0,"""",IF(REGEXMATCH(INDEX(FILTER(C$4:C1407,C$4:C1407&lt;&gt;""""),ROWS(FILTER(C$4:C1407,C$4:C1407&lt;&gt;""""))),""^Sell_""),INDEX(FILTER(F$4:F1406,C$4:C1406&lt;&gt;""""),ROWS(FILTER(C$4:C1406,C$4:C1406&lt;&gt;""""))),$AC$5+E1407))"),"")</f>
        <v/>
      </c>
      <c r="G1407" s="10" t="str">
        <f>IFERROR(__xludf.DUMMYFUNCTION("IF(COUNTA(C1407:C1644)=0,"""",IF(C1407="""",0,IF(REGEXMATCH(C1407,""^Sell_""),-ROUNDDOWN(ROUNDUP(INDEX(Upgrades!$C$3:$C$13,MATCH(SUBSTITUTE(C1407,""Sell_"",""""),Upgrades!$B$3:$B$13,0))*1.15^(COUNTIF(C$4:C1406,SUBSTITUTE(C1407,""Sell_"",""""))-COUNTIF(C$4"&amp;":C1406,""Sell_""&amp;SUBSTITUTE(C1407,""Sell_"",""""))))/2),ROUNDUP(INDEX(Upgrades!$C$3:$C$13,MATCH(C1407,Upgrades!$B$3:$B$13,0))*1.15^(COUNTIF(C$4:C1406,C1407)-COUNTIF(C$4:C1406,""Sell_""&amp;C1407))))))"),"")</f>
        <v/>
      </c>
      <c r="H1407" s="10" t="str">
        <f t="shared" si="3"/>
        <v/>
      </c>
      <c r="I1407" s="68" t="str">
        <f t="shared" si="4"/>
        <v/>
      </c>
      <c r="J1407" s="59" t="str">
        <f t="shared" si="5"/>
        <v/>
      </c>
      <c r="K1407" s="69" t="str">
        <f t="shared" si="6"/>
        <v/>
      </c>
      <c r="L1407" s="60" t="str">
        <f t="shared" si="7"/>
        <v/>
      </c>
      <c r="M1407" s="61" t="str">
        <f>IFERROR(__xludf.DUMMYFUNCTION("IFS(AND(COUNTA(C1407:C1644)=0,COUNTA(Q1407:Q1644)=0),"""",OR(AND(K1407&gt;=1000000000,OR(Y1407&gt;=1000000000,COUNTA(Q1407:Q1644)=0)),OR(Y1407&gt;=1000000000,AND(COUNTA(C1407:C1644)=0,P$3=TRUE))),
ROUNDDOWN((AB$1-AC$1)*MAX(INDEX(T$4:T1644,MATCH(LARGE(FILTER(Y$4:Y1"&amp;"644,Y$4:Y1644&lt;1000000000),1),Y$4:Y1644)),INDEX(F$4:F1644,MATCH(LARGE(FILTER(K$4:K1644,K$4:K1644&lt;1000000000),1),K$4:K1644)))),AND(K1407&lt;1000000000,COUNTA(C1407:C1644)&gt;0,P$3=FALSE),
ROUNDDOWN(INDEX(Y$4:Y1644,MATCH(LARGE(FILTER(W$4:W1644,W$4:W1644&lt;=I1407),1)"&amp;",W$4:W1644))+(I1407-LARGE(FILTER(W$4:W1644,W$4:W1644&lt;=I1407),1))*INDEX(T$4:T1644,MATCH(LARGE(FILTER(W$4:W1644,W$4:W1644&lt;=I1407),1),W$4:W1644))-K1407),1,
ROUNDDOWN(Y1407-INDEX(K$4:K1644,MATCH(LARGE(FILTER(I$4:I1644,I$4:I1644&lt;=W1407),1),I$4:I1644))-(W1407-L"&amp;"ARGE(FILTER(I$4:I1644,I$4:I1644&lt;=W1407),1))*INDEX(F$4:F1644,MATCH(LARGE(FILTER(I$4:I1644,I$4:I1644&lt;=W1407),1),I$4:I1644))))"),"")</f>
        <v/>
      </c>
      <c r="N1407" s="60" t="str">
        <f t="shared" si="8"/>
        <v/>
      </c>
      <c r="O1407" s="61" t="str">
        <f t="shared" si="9"/>
        <v/>
      </c>
      <c r="P1407" s="56" t="str">
        <f t="shared" si="10"/>
        <v/>
      </c>
      <c r="Q1407" s="105"/>
      <c r="R1407" s="10"/>
      <c r="S1407" s="59" t="str">
        <f t="array" ref="S1407">IF(COUNTA(Q1407:Q1644)=0,"",SUM((COUNTIF(Q$4:Q1407,Upgrades!$B$3:$B$13)-COUNTIF(Q$4:Q1407,"Sell_"&amp;Upgrades!$B$3:$B$13))*Upgrades!$D$3:$D$13))</f>
        <v/>
      </c>
      <c r="T1407" s="66" t="str">
        <f>IFERROR(__xludf.DUMMYFUNCTION("IF(COUNTA(Q1407:Q1644)=0,"""",IF(REGEXMATCH(INDEX(FILTER(Q$4:Q1407,Q$4:Q1407&lt;&gt;""""),ROWS(FILTER(Q$4:Q1407,Q$4:Q1407&lt;&gt;""""))),""^Sell_""),INDEX(FILTER(T$4:T1406,Q$4:Q1406&lt;&gt;""""),ROWS(FILTER(Q$4:Q1406,Q$4:Q1406&lt;&gt;""""))),$AD$5+S1407))"),"")</f>
        <v/>
      </c>
      <c r="U1407" s="10" t="str">
        <f>IFERROR(__xludf.DUMMYFUNCTION("IF(COUNTA(Q1407:Q1644)=0,"""",IF(Q1407="""",0,IF(REGEXMATCH(Q1407,""^Sell_""),-ROUNDDOWN(ROUNDUP(INDEX(Upgrades!$C$3:$C$13,MATCH(SUBSTITUTE(Q1407,""Sell_"",""""),Upgrades!$B$3:$B$13,0))*1.15^(COUNTIF(Q$4:Q1406,SUBSTITUTE(Q1407,""Sell_"",""""))-COUNTIF(Q$4"&amp;":Q1406,""Sell_""&amp;SUBSTITUTE(Q1407,""Sell_"",""""))))/2),ROUNDUP(INDEX(Upgrades!$C$3:$C$13,MATCH(Q1407,Upgrades!$B$3:$B$13,0))*1.15^(COUNTIF(Q$4:Q1406,Q1407)-COUNTIF(Q$4:Q1406,""Sell_""&amp;Q1407))))))"),"")</f>
        <v/>
      </c>
      <c r="V1407" s="10" t="str">
        <f t="shared" si="11"/>
        <v/>
      </c>
      <c r="W1407" s="68" t="str">
        <f t="shared" si="12"/>
        <v/>
      </c>
      <c r="X1407" s="59" t="str">
        <f t="shared" si="13"/>
        <v/>
      </c>
      <c r="Y1407" s="69" t="str">
        <f t="shared" si="14"/>
        <v/>
      </c>
      <c r="Z1407" s="11"/>
      <c r="AG1407" s="59"/>
    </row>
    <row r="1408">
      <c r="A1408" s="8"/>
      <c r="B1408" s="56" t="str">
        <f t="shared" si="2"/>
        <v/>
      </c>
      <c r="C1408" s="105"/>
      <c r="D1408" s="10"/>
      <c r="E1408" s="59" t="str">
        <f t="array" ref="E1408">IF(COUNTA(C1408:C1644)=0,"",SUM((COUNTIF(C$4:C1408,Upgrades!$B$3:$B$13)-COUNTIF(C$4:C1408,"Sell_"&amp;Upgrades!$B$3:$B$13))*Upgrades!$D$3:$D$13))</f>
        <v/>
      </c>
      <c r="F1408" s="66" t="str">
        <f>IFERROR(__xludf.DUMMYFUNCTION("IF(COUNTA(C1408:C1644)=0,"""",IF(REGEXMATCH(INDEX(FILTER(C$4:C1408,C$4:C1408&lt;&gt;""""),ROWS(FILTER(C$4:C1408,C$4:C1408&lt;&gt;""""))),""^Sell_""),INDEX(FILTER(F$4:F1407,C$4:C1407&lt;&gt;""""),ROWS(FILTER(C$4:C1407,C$4:C1407&lt;&gt;""""))),$AC$5+E1408))"),"")</f>
        <v/>
      </c>
      <c r="G1408" s="10" t="str">
        <f>IFERROR(__xludf.DUMMYFUNCTION("IF(COUNTA(C1408:C1644)=0,"""",IF(C1408="""",0,IF(REGEXMATCH(C1408,""^Sell_""),-ROUNDDOWN(ROUNDUP(INDEX(Upgrades!$C$3:$C$13,MATCH(SUBSTITUTE(C1408,""Sell_"",""""),Upgrades!$B$3:$B$13,0))*1.15^(COUNTIF(C$4:C1407,SUBSTITUTE(C1408,""Sell_"",""""))-COUNTIF(C$4"&amp;":C1407,""Sell_""&amp;SUBSTITUTE(C1408,""Sell_"",""""))))/2),ROUNDUP(INDEX(Upgrades!$C$3:$C$13,MATCH(C1408,Upgrades!$B$3:$B$13,0))*1.15^(COUNTIF(C$4:C1407,C1408)-COUNTIF(C$4:C1407,""Sell_""&amp;C1408))))))"),"")</f>
        <v/>
      </c>
      <c r="H1408" s="10" t="str">
        <f t="shared" si="3"/>
        <v/>
      </c>
      <c r="I1408" s="68" t="str">
        <f t="shared" si="4"/>
        <v/>
      </c>
      <c r="J1408" s="59" t="str">
        <f t="shared" si="5"/>
        <v/>
      </c>
      <c r="K1408" s="69" t="str">
        <f t="shared" si="6"/>
        <v/>
      </c>
      <c r="L1408" s="60" t="str">
        <f t="shared" si="7"/>
        <v/>
      </c>
      <c r="M1408" s="61" t="str">
        <f>IFERROR(__xludf.DUMMYFUNCTION("IFS(AND(COUNTA(C1408:C1644)=0,COUNTA(Q1408:Q1644)=0),"""",OR(AND(K1408&gt;=1000000000,OR(Y1408&gt;=1000000000,COUNTA(Q1408:Q1644)=0)),OR(Y1408&gt;=1000000000,AND(COUNTA(C1408:C1644)=0,P$3=TRUE))),
ROUNDDOWN((AB$1-AC$1)*MAX(INDEX(T$4:T1644,MATCH(LARGE(FILTER(Y$4:Y1"&amp;"644,Y$4:Y1644&lt;1000000000),1),Y$4:Y1644)),INDEX(F$4:F1644,MATCH(LARGE(FILTER(K$4:K1644,K$4:K1644&lt;1000000000),1),K$4:K1644)))),AND(K1408&lt;1000000000,COUNTA(C1408:C1644)&gt;0,P$3=FALSE),
ROUNDDOWN(INDEX(Y$4:Y1644,MATCH(LARGE(FILTER(W$4:W1644,W$4:W1644&lt;=I1408),1)"&amp;",W$4:W1644))+(I1408-LARGE(FILTER(W$4:W1644,W$4:W1644&lt;=I1408),1))*INDEX(T$4:T1644,MATCH(LARGE(FILTER(W$4:W1644,W$4:W1644&lt;=I1408),1),W$4:W1644))-K1408),1,
ROUNDDOWN(Y1408-INDEX(K$4:K1644,MATCH(LARGE(FILTER(I$4:I1644,I$4:I1644&lt;=W1408),1),I$4:I1644))-(W1408-L"&amp;"ARGE(FILTER(I$4:I1644,I$4:I1644&lt;=W1408),1))*INDEX(F$4:F1644,MATCH(LARGE(FILTER(I$4:I1644,I$4:I1644&lt;=W1408),1),I$4:I1644))))"),"")</f>
        <v/>
      </c>
      <c r="N1408" s="60" t="str">
        <f t="shared" si="8"/>
        <v/>
      </c>
      <c r="O1408" s="61" t="str">
        <f t="shared" si="9"/>
        <v/>
      </c>
      <c r="P1408" s="56" t="str">
        <f t="shared" si="10"/>
        <v/>
      </c>
      <c r="Q1408" s="105"/>
      <c r="R1408" s="10"/>
      <c r="S1408" s="59" t="str">
        <f t="array" ref="S1408">IF(COUNTA(Q1408:Q1644)=0,"",SUM((COUNTIF(Q$4:Q1408,Upgrades!$B$3:$B$13)-COUNTIF(Q$4:Q1408,"Sell_"&amp;Upgrades!$B$3:$B$13))*Upgrades!$D$3:$D$13))</f>
        <v/>
      </c>
      <c r="T1408" s="66" t="str">
        <f>IFERROR(__xludf.DUMMYFUNCTION("IF(COUNTA(Q1408:Q1644)=0,"""",IF(REGEXMATCH(INDEX(FILTER(Q$4:Q1408,Q$4:Q1408&lt;&gt;""""),ROWS(FILTER(Q$4:Q1408,Q$4:Q1408&lt;&gt;""""))),""^Sell_""),INDEX(FILTER(T$4:T1407,Q$4:Q1407&lt;&gt;""""),ROWS(FILTER(Q$4:Q1407,Q$4:Q1407&lt;&gt;""""))),$AD$5+S1408))"),"")</f>
        <v/>
      </c>
      <c r="U1408" s="10" t="str">
        <f>IFERROR(__xludf.DUMMYFUNCTION("IF(COUNTA(Q1408:Q1644)=0,"""",IF(Q1408="""",0,IF(REGEXMATCH(Q1408,""^Sell_""),-ROUNDDOWN(ROUNDUP(INDEX(Upgrades!$C$3:$C$13,MATCH(SUBSTITUTE(Q1408,""Sell_"",""""),Upgrades!$B$3:$B$13,0))*1.15^(COUNTIF(Q$4:Q1407,SUBSTITUTE(Q1408,""Sell_"",""""))-COUNTIF(Q$4"&amp;":Q1407,""Sell_""&amp;SUBSTITUTE(Q1408,""Sell_"",""""))))/2),ROUNDUP(INDEX(Upgrades!$C$3:$C$13,MATCH(Q1408,Upgrades!$B$3:$B$13,0))*1.15^(COUNTIF(Q$4:Q1407,Q1408)-COUNTIF(Q$4:Q1407,""Sell_""&amp;Q1408))))))"),"")</f>
        <v/>
      </c>
      <c r="V1408" s="10" t="str">
        <f t="shared" si="11"/>
        <v/>
      </c>
      <c r="W1408" s="68" t="str">
        <f t="shared" si="12"/>
        <v/>
      </c>
      <c r="X1408" s="59" t="str">
        <f t="shared" si="13"/>
        <v/>
      </c>
      <c r="Y1408" s="69" t="str">
        <f t="shared" si="14"/>
        <v/>
      </c>
      <c r="Z1408" s="11"/>
      <c r="AG1408" s="59"/>
    </row>
    <row r="1409">
      <c r="A1409" s="8"/>
      <c r="B1409" s="56" t="str">
        <f t="shared" si="2"/>
        <v/>
      </c>
      <c r="C1409" s="105"/>
      <c r="D1409" s="10"/>
      <c r="E1409" s="59" t="str">
        <f t="array" ref="E1409">IF(COUNTA(C1409:C1644)=0,"",SUM((COUNTIF(C$4:C1409,Upgrades!$B$3:$B$13)-COUNTIF(C$4:C1409,"Sell_"&amp;Upgrades!$B$3:$B$13))*Upgrades!$D$3:$D$13))</f>
        <v/>
      </c>
      <c r="F1409" s="66" t="str">
        <f>IFERROR(__xludf.DUMMYFUNCTION("IF(COUNTA(C1409:C1644)=0,"""",IF(REGEXMATCH(INDEX(FILTER(C$4:C1409,C$4:C1409&lt;&gt;""""),ROWS(FILTER(C$4:C1409,C$4:C1409&lt;&gt;""""))),""^Sell_""),INDEX(FILTER(F$4:F1408,C$4:C1408&lt;&gt;""""),ROWS(FILTER(C$4:C1408,C$4:C1408&lt;&gt;""""))),$AC$5+E1409))"),"")</f>
        <v/>
      </c>
      <c r="G1409" s="10" t="str">
        <f>IFERROR(__xludf.DUMMYFUNCTION("IF(COUNTA(C1409:C1644)=0,"""",IF(C1409="""",0,IF(REGEXMATCH(C1409,""^Sell_""),-ROUNDDOWN(ROUNDUP(INDEX(Upgrades!$C$3:$C$13,MATCH(SUBSTITUTE(C1409,""Sell_"",""""),Upgrades!$B$3:$B$13,0))*1.15^(COUNTIF(C$4:C1408,SUBSTITUTE(C1409,""Sell_"",""""))-COUNTIF(C$4"&amp;":C1408,""Sell_""&amp;SUBSTITUTE(C1409,""Sell_"",""""))))/2),ROUNDUP(INDEX(Upgrades!$C$3:$C$13,MATCH(C1409,Upgrades!$B$3:$B$13,0))*1.15^(COUNTIF(C$4:C1408,C1409)-COUNTIF(C$4:C1408,""Sell_""&amp;C1409))))))"),"")</f>
        <v/>
      </c>
      <c r="H1409" s="10" t="str">
        <f t="shared" si="3"/>
        <v/>
      </c>
      <c r="I1409" s="68" t="str">
        <f t="shared" si="4"/>
        <v/>
      </c>
      <c r="J1409" s="59" t="str">
        <f t="shared" si="5"/>
        <v/>
      </c>
      <c r="K1409" s="69" t="str">
        <f t="shared" si="6"/>
        <v/>
      </c>
      <c r="L1409" s="60" t="str">
        <f t="shared" si="7"/>
        <v/>
      </c>
      <c r="M1409" s="61" t="str">
        <f>IFERROR(__xludf.DUMMYFUNCTION("IFS(AND(COUNTA(C1409:C1644)=0,COUNTA(Q1409:Q1644)=0),"""",OR(AND(K1409&gt;=1000000000,OR(Y1409&gt;=1000000000,COUNTA(Q1409:Q1644)=0)),OR(Y1409&gt;=1000000000,AND(COUNTA(C1409:C1644)=0,P$3=TRUE))),
ROUNDDOWN((AB$1-AC$1)*MAX(INDEX(T$4:T1644,MATCH(LARGE(FILTER(Y$4:Y1"&amp;"644,Y$4:Y1644&lt;1000000000),1),Y$4:Y1644)),INDEX(F$4:F1644,MATCH(LARGE(FILTER(K$4:K1644,K$4:K1644&lt;1000000000),1),K$4:K1644)))),AND(K1409&lt;1000000000,COUNTA(C1409:C1644)&gt;0,P$3=FALSE),
ROUNDDOWN(INDEX(Y$4:Y1644,MATCH(LARGE(FILTER(W$4:W1644,W$4:W1644&lt;=I1409),1)"&amp;",W$4:W1644))+(I1409-LARGE(FILTER(W$4:W1644,W$4:W1644&lt;=I1409),1))*INDEX(T$4:T1644,MATCH(LARGE(FILTER(W$4:W1644,W$4:W1644&lt;=I1409),1),W$4:W1644))-K1409),1,
ROUNDDOWN(Y1409-INDEX(K$4:K1644,MATCH(LARGE(FILTER(I$4:I1644,I$4:I1644&lt;=W1409),1),I$4:I1644))-(W1409-L"&amp;"ARGE(FILTER(I$4:I1644,I$4:I1644&lt;=W1409),1))*INDEX(F$4:F1644,MATCH(LARGE(FILTER(I$4:I1644,I$4:I1644&lt;=W1409),1),I$4:I1644))))"),"")</f>
        <v/>
      </c>
      <c r="N1409" s="60" t="str">
        <f t="shared" si="8"/>
        <v/>
      </c>
      <c r="O1409" s="61" t="str">
        <f t="shared" si="9"/>
        <v/>
      </c>
      <c r="P1409" s="56" t="str">
        <f t="shared" si="10"/>
        <v/>
      </c>
      <c r="Q1409" s="105"/>
      <c r="R1409" s="10"/>
      <c r="S1409" s="59" t="str">
        <f t="array" ref="S1409">IF(COUNTA(Q1409:Q1644)=0,"",SUM((COUNTIF(Q$4:Q1409,Upgrades!$B$3:$B$13)-COUNTIF(Q$4:Q1409,"Sell_"&amp;Upgrades!$B$3:$B$13))*Upgrades!$D$3:$D$13))</f>
        <v/>
      </c>
      <c r="T1409" s="66" t="str">
        <f>IFERROR(__xludf.DUMMYFUNCTION("IF(COUNTA(Q1409:Q1644)=0,"""",IF(REGEXMATCH(INDEX(FILTER(Q$4:Q1409,Q$4:Q1409&lt;&gt;""""),ROWS(FILTER(Q$4:Q1409,Q$4:Q1409&lt;&gt;""""))),""^Sell_""),INDEX(FILTER(T$4:T1408,Q$4:Q1408&lt;&gt;""""),ROWS(FILTER(Q$4:Q1408,Q$4:Q1408&lt;&gt;""""))),$AD$5+S1409))"),"")</f>
        <v/>
      </c>
      <c r="U1409" s="10" t="str">
        <f>IFERROR(__xludf.DUMMYFUNCTION("IF(COUNTA(Q1409:Q1644)=0,"""",IF(Q1409="""",0,IF(REGEXMATCH(Q1409,""^Sell_""),-ROUNDDOWN(ROUNDUP(INDEX(Upgrades!$C$3:$C$13,MATCH(SUBSTITUTE(Q1409,""Sell_"",""""),Upgrades!$B$3:$B$13,0))*1.15^(COUNTIF(Q$4:Q1408,SUBSTITUTE(Q1409,""Sell_"",""""))-COUNTIF(Q$4"&amp;":Q1408,""Sell_""&amp;SUBSTITUTE(Q1409,""Sell_"",""""))))/2),ROUNDUP(INDEX(Upgrades!$C$3:$C$13,MATCH(Q1409,Upgrades!$B$3:$B$13,0))*1.15^(COUNTIF(Q$4:Q1408,Q1409)-COUNTIF(Q$4:Q1408,""Sell_""&amp;Q1409))))))"),"")</f>
        <v/>
      </c>
      <c r="V1409" s="10" t="str">
        <f t="shared" si="11"/>
        <v/>
      </c>
      <c r="W1409" s="68" t="str">
        <f t="shared" si="12"/>
        <v/>
      </c>
      <c r="X1409" s="59" t="str">
        <f t="shared" si="13"/>
        <v/>
      </c>
      <c r="Y1409" s="69" t="str">
        <f t="shared" si="14"/>
        <v/>
      </c>
      <c r="Z1409" s="11"/>
      <c r="AG1409" s="59"/>
    </row>
    <row r="1410">
      <c r="A1410" s="8"/>
      <c r="B1410" s="56" t="str">
        <f t="shared" si="2"/>
        <v/>
      </c>
      <c r="C1410" s="105"/>
      <c r="D1410" s="10"/>
      <c r="E1410" s="59" t="str">
        <f t="array" ref="E1410">IF(COUNTA(C1410:C1644)=0,"",SUM((COUNTIF(C$4:C1410,Upgrades!$B$3:$B$13)-COUNTIF(C$4:C1410,"Sell_"&amp;Upgrades!$B$3:$B$13))*Upgrades!$D$3:$D$13))</f>
        <v/>
      </c>
      <c r="F1410" s="66" t="str">
        <f>IFERROR(__xludf.DUMMYFUNCTION("IF(COUNTA(C1410:C1644)=0,"""",IF(REGEXMATCH(INDEX(FILTER(C$4:C1410,C$4:C1410&lt;&gt;""""),ROWS(FILTER(C$4:C1410,C$4:C1410&lt;&gt;""""))),""^Sell_""),INDEX(FILTER(F$4:F1409,C$4:C1409&lt;&gt;""""),ROWS(FILTER(C$4:C1409,C$4:C1409&lt;&gt;""""))),$AC$5+E1410))"),"")</f>
        <v/>
      </c>
      <c r="G1410" s="10" t="str">
        <f>IFERROR(__xludf.DUMMYFUNCTION("IF(COUNTA(C1410:C1644)=0,"""",IF(C1410="""",0,IF(REGEXMATCH(C1410,""^Sell_""),-ROUNDDOWN(ROUNDUP(INDEX(Upgrades!$C$3:$C$13,MATCH(SUBSTITUTE(C1410,""Sell_"",""""),Upgrades!$B$3:$B$13,0))*1.15^(COUNTIF(C$4:C1409,SUBSTITUTE(C1410,""Sell_"",""""))-COUNTIF(C$4"&amp;":C1409,""Sell_""&amp;SUBSTITUTE(C1410,""Sell_"",""""))))/2),ROUNDUP(INDEX(Upgrades!$C$3:$C$13,MATCH(C1410,Upgrades!$B$3:$B$13,0))*1.15^(COUNTIF(C$4:C1409,C1410)-COUNTIF(C$4:C1409,""Sell_""&amp;C1410))))))"),"")</f>
        <v/>
      </c>
      <c r="H1410" s="10" t="str">
        <f t="shared" si="3"/>
        <v/>
      </c>
      <c r="I1410" s="68" t="str">
        <f t="shared" si="4"/>
        <v/>
      </c>
      <c r="J1410" s="59" t="str">
        <f t="shared" si="5"/>
        <v/>
      </c>
      <c r="K1410" s="69" t="str">
        <f t="shared" si="6"/>
        <v/>
      </c>
      <c r="L1410" s="60" t="str">
        <f t="shared" si="7"/>
        <v/>
      </c>
      <c r="M1410" s="61" t="str">
        <f>IFERROR(__xludf.DUMMYFUNCTION("IFS(AND(COUNTA(C1410:C1644)=0,COUNTA(Q1410:Q1644)=0),"""",OR(AND(K1410&gt;=1000000000,OR(Y1410&gt;=1000000000,COUNTA(Q1410:Q1644)=0)),OR(Y1410&gt;=1000000000,AND(COUNTA(C1410:C1644)=0,P$3=TRUE))),
ROUNDDOWN((AB$1-AC$1)*MAX(INDEX(T$4:T1644,MATCH(LARGE(FILTER(Y$4:Y1"&amp;"644,Y$4:Y1644&lt;1000000000),1),Y$4:Y1644)),INDEX(F$4:F1644,MATCH(LARGE(FILTER(K$4:K1644,K$4:K1644&lt;1000000000),1),K$4:K1644)))),AND(K1410&lt;1000000000,COUNTA(C1410:C1644)&gt;0,P$3=FALSE),
ROUNDDOWN(INDEX(Y$4:Y1644,MATCH(LARGE(FILTER(W$4:W1644,W$4:W1644&lt;=I1410),1)"&amp;",W$4:W1644))+(I1410-LARGE(FILTER(W$4:W1644,W$4:W1644&lt;=I1410),1))*INDEX(T$4:T1644,MATCH(LARGE(FILTER(W$4:W1644,W$4:W1644&lt;=I1410),1),W$4:W1644))-K1410),1,
ROUNDDOWN(Y1410-INDEX(K$4:K1644,MATCH(LARGE(FILTER(I$4:I1644,I$4:I1644&lt;=W1410),1),I$4:I1644))-(W1410-L"&amp;"ARGE(FILTER(I$4:I1644,I$4:I1644&lt;=W1410),1))*INDEX(F$4:F1644,MATCH(LARGE(FILTER(I$4:I1644,I$4:I1644&lt;=W1410),1),I$4:I1644))))"),"")</f>
        <v/>
      </c>
      <c r="N1410" s="60" t="str">
        <f t="shared" si="8"/>
        <v/>
      </c>
      <c r="O1410" s="61" t="str">
        <f t="shared" si="9"/>
        <v/>
      </c>
      <c r="P1410" s="56" t="str">
        <f t="shared" si="10"/>
        <v/>
      </c>
      <c r="Q1410" s="105"/>
      <c r="R1410" s="10"/>
      <c r="S1410" s="59" t="str">
        <f t="array" ref="S1410">IF(COUNTA(Q1410:Q1644)=0,"",SUM((COUNTIF(Q$4:Q1410,Upgrades!$B$3:$B$13)-COUNTIF(Q$4:Q1410,"Sell_"&amp;Upgrades!$B$3:$B$13))*Upgrades!$D$3:$D$13))</f>
        <v/>
      </c>
      <c r="T1410" s="66" t="str">
        <f>IFERROR(__xludf.DUMMYFUNCTION("IF(COUNTA(Q1410:Q1644)=0,"""",IF(REGEXMATCH(INDEX(FILTER(Q$4:Q1410,Q$4:Q1410&lt;&gt;""""),ROWS(FILTER(Q$4:Q1410,Q$4:Q1410&lt;&gt;""""))),""^Sell_""),INDEX(FILTER(T$4:T1409,Q$4:Q1409&lt;&gt;""""),ROWS(FILTER(Q$4:Q1409,Q$4:Q1409&lt;&gt;""""))),$AD$5+S1410))"),"")</f>
        <v/>
      </c>
      <c r="U1410" s="10" t="str">
        <f>IFERROR(__xludf.DUMMYFUNCTION("IF(COUNTA(Q1410:Q1644)=0,"""",IF(Q1410="""",0,IF(REGEXMATCH(Q1410,""^Sell_""),-ROUNDDOWN(ROUNDUP(INDEX(Upgrades!$C$3:$C$13,MATCH(SUBSTITUTE(Q1410,""Sell_"",""""),Upgrades!$B$3:$B$13,0))*1.15^(COUNTIF(Q$4:Q1409,SUBSTITUTE(Q1410,""Sell_"",""""))-COUNTIF(Q$4"&amp;":Q1409,""Sell_""&amp;SUBSTITUTE(Q1410,""Sell_"",""""))))/2),ROUNDUP(INDEX(Upgrades!$C$3:$C$13,MATCH(Q1410,Upgrades!$B$3:$B$13,0))*1.15^(COUNTIF(Q$4:Q1409,Q1410)-COUNTIF(Q$4:Q1409,""Sell_""&amp;Q1410))))))"),"")</f>
        <v/>
      </c>
      <c r="V1410" s="10" t="str">
        <f t="shared" si="11"/>
        <v/>
      </c>
      <c r="W1410" s="68" t="str">
        <f t="shared" si="12"/>
        <v/>
      </c>
      <c r="X1410" s="59" t="str">
        <f t="shared" si="13"/>
        <v/>
      </c>
      <c r="Y1410" s="69" t="str">
        <f t="shared" si="14"/>
        <v/>
      </c>
      <c r="Z1410" s="11"/>
      <c r="AG1410" s="59"/>
    </row>
    <row r="1411">
      <c r="A1411" s="8"/>
      <c r="B1411" s="56" t="str">
        <f t="shared" si="2"/>
        <v/>
      </c>
      <c r="C1411" s="105"/>
      <c r="D1411" s="10"/>
      <c r="E1411" s="59" t="str">
        <f t="array" ref="E1411">IF(COUNTA(C1411:C1644)=0,"",SUM((COUNTIF(C$4:C1411,Upgrades!$B$3:$B$13)-COUNTIF(C$4:C1411,"Sell_"&amp;Upgrades!$B$3:$B$13))*Upgrades!$D$3:$D$13))</f>
        <v/>
      </c>
      <c r="F1411" s="66" t="str">
        <f>IFERROR(__xludf.DUMMYFUNCTION("IF(COUNTA(C1411:C1644)=0,"""",IF(REGEXMATCH(INDEX(FILTER(C$4:C1411,C$4:C1411&lt;&gt;""""),ROWS(FILTER(C$4:C1411,C$4:C1411&lt;&gt;""""))),""^Sell_""),INDEX(FILTER(F$4:F1410,C$4:C1410&lt;&gt;""""),ROWS(FILTER(C$4:C1410,C$4:C1410&lt;&gt;""""))),$AC$5+E1411))"),"")</f>
        <v/>
      </c>
      <c r="G1411" s="10" t="str">
        <f>IFERROR(__xludf.DUMMYFUNCTION("IF(COUNTA(C1411:C1644)=0,"""",IF(C1411="""",0,IF(REGEXMATCH(C1411,""^Sell_""),-ROUNDDOWN(ROUNDUP(INDEX(Upgrades!$C$3:$C$13,MATCH(SUBSTITUTE(C1411,""Sell_"",""""),Upgrades!$B$3:$B$13,0))*1.15^(COUNTIF(C$4:C1410,SUBSTITUTE(C1411,""Sell_"",""""))-COUNTIF(C$4"&amp;":C1410,""Sell_""&amp;SUBSTITUTE(C1411,""Sell_"",""""))))/2),ROUNDUP(INDEX(Upgrades!$C$3:$C$13,MATCH(C1411,Upgrades!$B$3:$B$13,0))*1.15^(COUNTIF(C$4:C1410,C1411)-COUNTIF(C$4:C1410,""Sell_""&amp;C1411))))))"),"")</f>
        <v/>
      </c>
      <c r="H1411" s="10" t="str">
        <f t="shared" si="3"/>
        <v/>
      </c>
      <c r="I1411" s="68" t="str">
        <f t="shared" si="4"/>
        <v/>
      </c>
      <c r="J1411" s="59" t="str">
        <f t="shared" si="5"/>
        <v/>
      </c>
      <c r="K1411" s="69" t="str">
        <f t="shared" si="6"/>
        <v/>
      </c>
      <c r="L1411" s="60" t="str">
        <f t="shared" si="7"/>
        <v/>
      </c>
      <c r="M1411" s="61" t="str">
        <f>IFERROR(__xludf.DUMMYFUNCTION("IFS(AND(COUNTA(C1411:C1644)=0,COUNTA(Q1411:Q1644)=0),"""",OR(AND(K1411&gt;=1000000000,OR(Y1411&gt;=1000000000,COUNTA(Q1411:Q1644)=0)),OR(Y1411&gt;=1000000000,AND(COUNTA(C1411:C1644)=0,P$3=TRUE))),
ROUNDDOWN((AB$1-AC$1)*MAX(INDEX(T$4:T1644,MATCH(LARGE(FILTER(Y$4:Y1"&amp;"644,Y$4:Y1644&lt;1000000000),1),Y$4:Y1644)),INDEX(F$4:F1644,MATCH(LARGE(FILTER(K$4:K1644,K$4:K1644&lt;1000000000),1),K$4:K1644)))),AND(K1411&lt;1000000000,COUNTA(C1411:C1644)&gt;0,P$3=FALSE),
ROUNDDOWN(INDEX(Y$4:Y1644,MATCH(LARGE(FILTER(W$4:W1644,W$4:W1644&lt;=I1411),1)"&amp;",W$4:W1644))+(I1411-LARGE(FILTER(W$4:W1644,W$4:W1644&lt;=I1411),1))*INDEX(T$4:T1644,MATCH(LARGE(FILTER(W$4:W1644,W$4:W1644&lt;=I1411),1),W$4:W1644))-K1411),1,
ROUNDDOWN(Y1411-INDEX(K$4:K1644,MATCH(LARGE(FILTER(I$4:I1644,I$4:I1644&lt;=W1411),1),I$4:I1644))-(W1411-L"&amp;"ARGE(FILTER(I$4:I1644,I$4:I1644&lt;=W1411),1))*INDEX(F$4:F1644,MATCH(LARGE(FILTER(I$4:I1644,I$4:I1644&lt;=W1411),1),I$4:I1644))))"),"")</f>
        <v/>
      </c>
      <c r="N1411" s="60" t="str">
        <f t="shared" si="8"/>
        <v/>
      </c>
      <c r="O1411" s="61" t="str">
        <f t="shared" si="9"/>
        <v/>
      </c>
      <c r="P1411" s="56" t="str">
        <f t="shared" si="10"/>
        <v/>
      </c>
      <c r="Q1411" s="105"/>
      <c r="R1411" s="10"/>
      <c r="S1411" s="59" t="str">
        <f t="array" ref="S1411">IF(COUNTA(Q1411:Q1644)=0,"",SUM((COUNTIF(Q$4:Q1411,Upgrades!$B$3:$B$13)-COUNTIF(Q$4:Q1411,"Sell_"&amp;Upgrades!$B$3:$B$13))*Upgrades!$D$3:$D$13))</f>
        <v/>
      </c>
      <c r="T1411" s="66" t="str">
        <f>IFERROR(__xludf.DUMMYFUNCTION("IF(COUNTA(Q1411:Q1644)=0,"""",IF(REGEXMATCH(INDEX(FILTER(Q$4:Q1411,Q$4:Q1411&lt;&gt;""""),ROWS(FILTER(Q$4:Q1411,Q$4:Q1411&lt;&gt;""""))),""^Sell_""),INDEX(FILTER(T$4:T1410,Q$4:Q1410&lt;&gt;""""),ROWS(FILTER(Q$4:Q1410,Q$4:Q1410&lt;&gt;""""))),$AD$5+S1411))"),"")</f>
        <v/>
      </c>
      <c r="U1411" s="10" t="str">
        <f>IFERROR(__xludf.DUMMYFUNCTION("IF(COUNTA(Q1411:Q1644)=0,"""",IF(Q1411="""",0,IF(REGEXMATCH(Q1411,""^Sell_""),-ROUNDDOWN(ROUNDUP(INDEX(Upgrades!$C$3:$C$13,MATCH(SUBSTITUTE(Q1411,""Sell_"",""""),Upgrades!$B$3:$B$13,0))*1.15^(COUNTIF(Q$4:Q1410,SUBSTITUTE(Q1411,""Sell_"",""""))-COUNTIF(Q$4"&amp;":Q1410,""Sell_""&amp;SUBSTITUTE(Q1411,""Sell_"",""""))))/2),ROUNDUP(INDEX(Upgrades!$C$3:$C$13,MATCH(Q1411,Upgrades!$B$3:$B$13,0))*1.15^(COUNTIF(Q$4:Q1410,Q1411)-COUNTIF(Q$4:Q1410,""Sell_""&amp;Q1411))))))"),"")</f>
        <v/>
      </c>
      <c r="V1411" s="10" t="str">
        <f t="shared" si="11"/>
        <v/>
      </c>
      <c r="W1411" s="68" t="str">
        <f t="shared" si="12"/>
        <v/>
      </c>
      <c r="X1411" s="59" t="str">
        <f t="shared" si="13"/>
        <v/>
      </c>
      <c r="Y1411" s="69" t="str">
        <f t="shared" si="14"/>
        <v/>
      </c>
      <c r="Z1411" s="11"/>
      <c r="AG1411" s="59"/>
    </row>
    <row r="1412">
      <c r="A1412" s="8"/>
      <c r="B1412" s="56" t="str">
        <f t="shared" si="2"/>
        <v/>
      </c>
      <c r="C1412" s="105"/>
      <c r="D1412" s="10"/>
      <c r="E1412" s="59" t="str">
        <f t="array" ref="E1412">IF(COUNTA(C1412:C1644)=0,"",SUM((COUNTIF(C$4:C1412,Upgrades!$B$3:$B$13)-COUNTIF(C$4:C1412,"Sell_"&amp;Upgrades!$B$3:$B$13))*Upgrades!$D$3:$D$13))</f>
        <v/>
      </c>
      <c r="F1412" s="66" t="str">
        <f>IFERROR(__xludf.DUMMYFUNCTION("IF(COUNTA(C1412:C1644)=0,"""",IF(REGEXMATCH(INDEX(FILTER(C$4:C1412,C$4:C1412&lt;&gt;""""),ROWS(FILTER(C$4:C1412,C$4:C1412&lt;&gt;""""))),""^Sell_""),INDEX(FILTER(F$4:F1411,C$4:C1411&lt;&gt;""""),ROWS(FILTER(C$4:C1411,C$4:C1411&lt;&gt;""""))),$AC$5+E1412))"),"")</f>
        <v/>
      </c>
      <c r="G1412" s="10" t="str">
        <f>IFERROR(__xludf.DUMMYFUNCTION("IF(COUNTA(C1412:C1644)=0,"""",IF(C1412="""",0,IF(REGEXMATCH(C1412,""^Sell_""),-ROUNDDOWN(ROUNDUP(INDEX(Upgrades!$C$3:$C$13,MATCH(SUBSTITUTE(C1412,""Sell_"",""""),Upgrades!$B$3:$B$13,0))*1.15^(COUNTIF(C$4:C1411,SUBSTITUTE(C1412,""Sell_"",""""))-COUNTIF(C$4"&amp;":C1411,""Sell_""&amp;SUBSTITUTE(C1412,""Sell_"",""""))))/2),ROUNDUP(INDEX(Upgrades!$C$3:$C$13,MATCH(C1412,Upgrades!$B$3:$B$13,0))*1.15^(COUNTIF(C$4:C1411,C1412)-COUNTIF(C$4:C1411,""Sell_""&amp;C1412))))))"),"")</f>
        <v/>
      </c>
      <c r="H1412" s="10" t="str">
        <f t="shared" si="3"/>
        <v/>
      </c>
      <c r="I1412" s="68" t="str">
        <f t="shared" si="4"/>
        <v/>
      </c>
      <c r="J1412" s="59" t="str">
        <f t="shared" si="5"/>
        <v/>
      </c>
      <c r="K1412" s="69" t="str">
        <f t="shared" si="6"/>
        <v/>
      </c>
      <c r="L1412" s="60" t="str">
        <f t="shared" si="7"/>
        <v/>
      </c>
      <c r="M1412" s="61" t="str">
        <f>IFERROR(__xludf.DUMMYFUNCTION("IFS(AND(COUNTA(C1412:C1644)=0,COUNTA(Q1412:Q1644)=0),"""",OR(AND(K1412&gt;=1000000000,OR(Y1412&gt;=1000000000,COUNTA(Q1412:Q1644)=0)),OR(Y1412&gt;=1000000000,AND(COUNTA(C1412:C1644)=0,P$3=TRUE))),
ROUNDDOWN((AB$1-AC$1)*MAX(INDEX(T$4:T1644,MATCH(LARGE(FILTER(Y$4:Y1"&amp;"644,Y$4:Y1644&lt;1000000000),1),Y$4:Y1644)),INDEX(F$4:F1644,MATCH(LARGE(FILTER(K$4:K1644,K$4:K1644&lt;1000000000),1),K$4:K1644)))),AND(K1412&lt;1000000000,COUNTA(C1412:C1644)&gt;0,P$3=FALSE),
ROUNDDOWN(INDEX(Y$4:Y1644,MATCH(LARGE(FILTER(W$4:W1644,W$4:W1644&lt;=I1412),1)"&amp;",W$4:W1644))+(I1412-LARGE(FILTER(W$4:W1644,W$4:W1644&lt;=I1412),1))*INDEX(T$4:T1644,MATCH(LARGE(FILTER(W$4:W1644,W$4:W1644&lt;=I1412),1),W$4:W1644))-K1412),1,
ROUNDDOWN(Y1412-INDEX(K$4:K1644,MATCH(LARGE(FILTER(I$4:I1644,I$4:I1644&lt;=W1412),1),I$4:I1644))-(W1412-L"&amp;"ARGE(FILTER(I$4:I1644,I$4:I1644&lt;=W1412),1))*INDEX(F$4:F1644,MATCH(LARGE(FILTER(I$4:I1644,I$4:I1644&lt;=W1412),1),I$4:I1644))))"),"")</f>
        <v/>
      </c>
      <c r="N1412" s="60" t="str">
        <f t="shared" si="8"/>
        <v/>
      </c>
      <c r="O1412" s="61" t="str">
        <f t="shared" si="9"/>
        <v/>
      </c>
      <c r="P1412" s="56" t="str">
        <f t="shared" si="10"/>
        <v/>
      </c>
      <c r="Q1412" s="105"/>
      <c r="R1412" s="10"/>
      <c r="S1412" s="59" t="str">
        <f t="array" ref="S1412">IF(COUNTA(Q1412:Q1644)=0,"",SUM((COUNTIF(Q$4:Q1412,Upgrades!$B$3:$B$13)-COUNTIF(Q$4:Q1412,"Sell_"&amp;Upgrades!$B$3:$B$13))*Upgrades!$D$3:$D$13))</f>
        <v/>
      </c>
      <c r="T1412" s="66" t="str">
        <f>IFERROR(__xludf.DUMMYFUNCTION("IF(COUNTA(Q1412:Q1644)=0,"""",IF(REGEXMATCH(INDEX(FILTER(Q$4:Q1412,Q$4:Q1412&lt;&gt;""""),ROWS(FILTER(Q$4:Q1412,Q$4:Q1412&lt;&gt;""""))),""^Sell_""),INDEX(FILTER(T$4:T1411,Q$4:Q1411&lt;&gt;""""),ROWS(FILTER(Q$4:Q1411,Q$4:Q1411&lt;&gt;""""))),$AD$5+S1412))"),"")</f>
        <v/>
      </c>
      <c r="U1412" s="10" t="str">
        <f>IFERROR(__xludf.DUMMYFUNCTION("IF(COUNTA(Q1412:Q1644)=0,"""",IF(Q1412="""",0,IF(REGEXMATCH(Q1412,""^Sell_""),-ROUNDDOWN(ROUNDUP(INDEX(Upgrades!$C$3:$C$13,MATCH(SUBSTITUTE(Q1412,""Sell_"",""""),Upgrades!$B$3:$B$13,0))*1.15^(COUNTIF(Q$4:Q1411,SUBSTITUTE(Q1412,""Sell_"",""""))-COUNTIF(Q$4"&amp;":Q1411,""Sell_""&amp;SUBSTITUTE(Q1412,""Sell_"",""""))))/2),ROUNDUP(INDEX(Upgrades!$C$3:$C$13,MATCH(Q1412,Upgrades!$B$3:$B$13,0))*1.15^(COUNTIF(Q$4:Q1411,Q1412)-COUNTIF(Q$4:Q1411,""Sell_""&amp;Q1412))))))"),"")</f>
        <v/>
      </c>
      <c r="V1412" s="10" t="str">
        <f t="shared" si="11"/>
        <v/>
      </c>
      <c r="W1412" s="68" t="str">
        <f t="shared" si="12"/>
        <v/>
      </c>
      <c r="X1412" s="59" t="str">
        <f t="shared" si="13"/>
        <v/>
      </c>
      <c r="Y1412" s="69" t="str">
        <f t="shared" si="14"/>
        <v/>
      </c>
      <c r="Z1412" s="11"/>
      <c r="AG1412" s="59"/>
    </row>
    <row r="1413">
      <c r="A1413" s="8"/>
      <c r="B1413" s="56" t="str">
        <f t="shared" si="2"/>
        <v/>
      </c>
      <c r="C1413" s="105"/>
      <c r="D1413" s="10"/>
      <c r="E1413" s="59" t="str">
        <f t="array" ref="E1413">IF(COUNTA(C1413:C1644)=0,"",SUM((COUNTIF(C$4:C1413,Upgrades!$B$3:$B$13)-COUNTIF(C$4:C1413,"Sell_"&amp;Upgrades!$B$3:$B$13))*Upgrades!$D$3:$D$13))</f>
        <v/>
      </c>
      <c r="F1413" s="66" t="str">
        <f>IFERROR(__xludf.DUMMYFUNCTION("IF(COUNTA(C1413:C1644)=0,"""",IF(REGEXMATCH(INDEX(FILTER(C$4:C1413,C$4:C1413&lt;&gt;""""),ROWS(FILTER(C$4:C1413,C$4:C1413&lt;&gt;""""))),""^Sell_""),INDEX(FILTER(F$4:F1412,C$4:C1412&lt;&gt;""""),ROWS(FILTER(C$4:C1412,C$4:C1412&lt;&gt;""""))),$AC$5+E1413))"),"")</f>
        <v/>
      </c>
      <c r="G1413" s="10" t="str">
        <f>IFERROR(__xludf.DUMMYFUNCTION("IF(COUNTA(C1413:C1644)=0,"""",IF(C1413="""",0,IF(REGEXMATCH(C1413,""^Sell_""),-ROUNDDOWN(ROUNDUP(INDEX(Upgrades!$C$3:$C$13,MATCH(SUBSTITUTE(C1413,""Sell_"",""""),Upgrades!$B$3:$B$13,0))*1.15^(COUNTIF(C$4:C1412,SUBSTITUTE(C1413,""Sell_"",""""))-COUNTIF(C$4"&amp;":C1412,""Sell_""&amp;SUBSTITUTE(C1413,""Sell_"",""""))))/2),ROUNDUP(INDEX(Upgrades!$C$3:$C$13,MATCH(C1413,Upgrades!$B$3:$B$13,0))*1.15^(COUNTIF(C$4:C1412,C1413)-COUNTIF(C$4:C1412,""Sell_""&amp;C1413))))))"),"")</f>
        <v/>
      </c>
      <c r="H1413" s="10" t="str">
        <f t="shared" si="3"/>
        <v/>
      </c>
      <c r="I1413" s="68" t="str">
        <f t="shared" si="4"/>
        <v/>
      </c>
      <c r="J1413" s="59" t="str">
        <f t="shared" si="5"/>
        <v/>
      </c>
      <c r="K1413" s="69" t="str">
        <f t="shared" si="6"/>
        <v/>
      </c>
      <c r="L1413" s="60" t="str">
        <f t="shared" si="7"/>
        <v/>
      </c>
      <c r="M1413" s="61" t="str">
        <f>IFERROR(__xludf.DUMMYFUNCTION("IFS(AND(COUNTA(C1413:C1644)=0,COUNTA(Q1413:Q1644)=0),"""",OR(AND(K1413&gt;=1000000000,OR(Y1413&gt;=1000000000,COUNTA(Q1413:Q1644)=0)),OR(Y1413&gt;=1000000000,AND(COUNTA(C1413:C1644)=0,P$3=TRUE))),
ROUNDDOWN((AB$1-AC$1)*MAX(INDEX(T$4:T1644,MATCH(LARGE(FILTER(Y$4:Y1"&amp;"644,Y$4:Y1644&lt;1000000000),1),Y$4:Y1644)),INDEX(F$4:F1644,MATCH(LARGE(FILTER(K$4:K1644,K$4:K1644&lt;1000000000),1),K$4:K1644)))),AND(K1413&lt;1000000000,COUNTA(C1413:C1644)&gt;0,P$3=FALSE),
ROUNDDOWN(INDEX(Y$4:Y1644,MATCH(LARGE(FILTER(W$4:W1644,W$4:W1644&lt;=I1413),1)"&amp;",W$4:W1644))+(I1413-LARGE(FILTER(W$4:W1644,W$4:W1644&lt;=I1413),1))*INDEX(T$4:T1644,MATCH(LARGE(FILTER(W$4:W1644,W$4:W1644&lt;=I1413),1),W$4:W1644))-K1413),1,
ROUNDDOWN(Y1413-INDEX(K$4:K1644,MATCH(LARGE(FILTER(I$4:I1644,I$4:I1644&lt;=W1413),1),I$4:I1644))-(W1413-L"&amp;"ARGE(FILTER(I$4:I1644,I$4:I1644&lt;=W1413),1))*INDEX(F$4:F1644,MATCH(LARGE(FILTER(I$4:I1644,I$4:I1644&lt;=W1413),1),I$4:I1644))))"),"")</f>
        <v/>
      </c>
      <c r="N1413" s="60" t="str">
        <f t="shared" si="8"/>
        <v/>
      </c>
      <c r="O1413" s="61" t="str">
        <f t="shared" si="9"/>
        <v/>
      </c>
      <c r="P1413" s="56" t="str">
        <f t="shared" si="10"/>
        <v/>
      </c>
      <c r="Q1413" s="105"/>
      <c r="R1413" s="10"/>
      <c r="S1413" s="59" t="str">
        <f t="array" ref="S1413">IF(COUNTA(Q1413:Q1644)=0,"",SUM((COUNTIF(Q$4:Q1413,Upgrades!$B$3:$B$13)-COUNTIF(Q$4:Q1413,"Sell_"&amp;Upgrades!$B$3:$B$13))*Upgrades!$D$3:$D$13))</f>
        <v/>
      </c>
      <c r="T1413" s="66" t="str">
        <f>IFERROR(__xludf.DUMMYFUNCTION("IF(COUNTA(Q1413:Q1644)=0,"""",IF(REGEXMATCH(INDEX(FILTER(Q$4:Q1413,Q$4:Q1413&lt;&gt;""""),ROWS(FILTER(Q$4:Q1413,Q$4:Q1413&lt;&gt;""""))),""^Sell_""),INDEX(FILTER(T$4:T1412,Q$4:Q1412&lt;&gt;""""),ROWS(FILTER(Q$4:Q1412,Q$4:Q1412&lt;&gt;""""))),$AD$5+S1413))"),"")</f>
        <v/>
      </c>
      <c r="U1413" s="10" t="str">
        <f>IFERROR(__xludf.DUMMYFUNCTION("IF(COUNTA(Q1413:Q1644)=0,"""",IF(Q1413="""",0,IF(REGEXMATCH(Q1413,""^Sell_""),-ROUNDDOWN(ROUNDUP(INDEX(Upgrades!$C$3:$C$13,MATCH(SUBSTITUTE(Q1413,""Sell_"",""""),Upgrades!$B$3:$B$13,0))*1.15^(COUNTIF(Q$4:Q1412,SUBSTITUTE(Q1413,""Sell_"",""""))-COUNTIF(Q$4"&amp;":Q1412,""Sell_""&amp;SUBSTITUTE(Q1413,""Sell_"",""""))))/2),ROUNDUP(INDEX(Upgrades!$C$3:$C$13,MATCH(Q1413,Upgrades!$B$3:$B$13,0))*1.15^(COUNTIF(Q$4:Q1412,Q1413)-COUNTIF(Q$4:Q1412,""Sell_""&amp;Q1413))))))"),"")</f>
        <v/>
      </c>
      <c r="V1413" s="10" t="str">
        <f t="shared" si="11"/>
        <v/>
      </c>
      <c r="W1413" s="68" t="str">
        <f t="shared" si="12"/>
        <v/>
      </c>
      <c r="X1413" s="59" t="str">
        <f t="shared" si="13"/>
        <v/>
      </c>
      <c r="Y1413" s="69" t="str">
        <f t="shared" si="14"/>
        <v/>
      </c>
      <c r="Z1413" s="11"/>
      <c r="AG1413" s="59"/>
    </row>
    <row r="1414">
      <c r="A1414" s="8"/>
      <c r="B1414" s="56" t="str">
        <f t="shared" si="2"/>
        <v/>
      </c>
      <c r="C1414" s="105"/>
      <c r="D1414" s="10"/>
      <c r="E1414" s="59" t="str">
        <f t="array" ref="E1414">IF(COUNTA(C1414:C1644)=0,"",SUM((COUNTIF(C$4:C1414,Upgrades!$B$3:$B$13)-COUNTIF(C$4:C1414,"Sell_"&amp;Upgrades!$B$3:$B$13))*Upgrades!$D$3:$D$13))</f>
        <v/>
      </c>
      <c r="F1414" s="66" t="str">
        <f>IFERROR(__xludf.DUMMYFUNCTION("IF(COUNTA(C1414:C1644)=0,"""",IF(REGEXMATCH(INDEX(FILTER(C$4:C1414,C$4:C1414&lt;&gt;""""),ROWS(FILTER(C$4:C1414,C$4:C1414&lt;&gt;""""))),""^Sell_""),INDEX(FILTER(F$4:F1413,C$4:C1413&lt;&gt;""""),ROWS(FILTER(C$4:C1413,C$4:C1413&lt;&gt;""""))),$AC$5+E1414))"),"")</f>
        <v/>
      </c>
      <c r="G1414" s="10" t="str">
        <f>IFERROR(__xludf.DUMMYFUNCTION("IF(COUNTA(C1414:C1644)=0,"""",IF(C1414="""",0,IF(REGEXMATCH(C1414,""^Sell_""),-ROUNDDOWN(ROUNDUP(INDEX(Upgrades!$C$3:$C$13,MATCH(SUBSTITUTE(C1414,""Sell_"",""""),Upgrades!$B$3:$B$13,0))*1.15^(COUNTIF(C$4:C1413,SUBSTITUTE(C1414,""Sell_"",""""))-COUNTIF(C$4"&amp;":C1413,""Sell_""&amp;SUBSTITUTE(C1414,""Sell_"",""""))))/2),ROUNDUP(INDEX(Upgrades!$C$3:$C$13,MATCH(C1414,Upgrades!$B$3:$B$13,0))*1.15^(COUNTIF(C$4:C1413,C1414)-COUNTIF(C$4:C1413,""Sell_""&amp;C1414))))))"),"")</f>
        <v/>
      </c>
      <c r="H1414" s="10" t="str">
        <f t="shared" si="3"/>
        <v/>
      </c>
      <c r="I1414" s="68" t="str">
        <f t="shared" si="4"/>
        <v/>
      </c>
      <c r="J1414" s="59" t="str">
        <f t="shared" si="5"/>
        <v/>
      </c>
      <c r="K1414" s="69" t="str">
        <f t="shared" si="6"/>
        <v/>
      </c>
      <c r="L1414" s="60" t="str">
        <f t="shared" si="7"/>
        <v/>
      </c>
      <c r="M1414" s="61" t="str">
        <f>IFERROR(__xludf.DUMMYFUNCTION("IFS(AND(COUNTA(C1414:C1644)=0,COUNTA(Q1414:Q1644)=0),"""",OR(AND(K1414&gt;=1000000000,OR(Y1414&gt;=1000000000,COUNTA(Q1414:Q1644)=0)),OR(Y1414&gt;=1000000000,AND(COUNTA(C1414:C1644)=0,P$3=TRUE))),
ROUNDDOWN((AB$1-AC$1)*MAX(INDEX(T$4:T1644,MATCH(LARGE(FILTER(Y$4:Y1"&amp;"644,Y$4:Y1644&lt;1000000000),1),Y$4:Y1644)),INDEX(F$4:F1644,MATCH(LARGE(FILTER(K$4:K1644,K$4:K1644&lt;1000000000),1),K$4:K1644)))),AND(K1414&lt;1000000000,COUNTA(C1414:C1644)&gt;0,P$3=FALSE),
ROUNDDOWN(INDEX(Y$4:Y1644,MATCH(LARGE(FILTER(W$4:W1644,W$4:W1644&lt;=I1414),1)"&amp;",W$4:W1644))+(I1414-LARGE(FILTER(W$4:W1644,W$4:W1644&lt;=I1414),1))*INDEX(T$4:T1644,MATCH(LARGE(FILTER(W$4:W1644,W$4:W1644&lt;=I1414),1),W$4:W1644))-K1414),1,
ROUNDDOWN(Y1414-INDEX(K$4:K1644,MATCH(LARGE(FILTER(I$4:I1644,I$4:I1644&lt;=W1414),1),I$4:I1644))-(W1414-L"&amp;"ARGE(FILTER(I$4:I1644,I$4:I1644&lt;=W1414),1))*INDEX(F$4:F1644,MATCH(LARGE(FILTER(I$4:I1644,I$4:I1644&lt;=W1414),1),I$4:I1644))))"),"")</f>
        <v/>
      </c>
      <c r="N1414" s="60" t="str">
        <f t="shared" si="8"/>
        <v/>
      </c>
      <c r="O1414" s="61" t="str">
        <f t="shared" si="9"/>
        <v/>
      </c>
      <c r="P1414" s="56" t="str">
        <f t="shared" si="10"/>
        <v/>
      </c>
      <c r="Q1414" s="105"/>
      <c r="R1414" s="10"/>
      <c r="S1414" s="59" t="str">
        <f t="array" ref="S1414">IF(COUNTA(Q1414:Q1644)=0,"",SUM((COUNTIF(Q$4:Q1414,Upgrades!$B$3:$B$13)-COUNTIF(Q$4:Q1414,"Sell_"&amp;Upgrades!$B$3:$B$13))*Upgrades!$D$3:$D$13))</f>
        <v/>
      </c>
      <c r="T1414" s="66" t="str">
        <f>IFERROR(__xludf.DUMMYFUNCTION("IF(COUNTA(Q1414:Q1644)=0,"""",IF(REGEXMATCH(INDEX(FILTER(Q$4:Q1414,Q$4:Q1414&lt;&gt;""""),ROWS(FILTER(Q$4:Q1414,Q$4:Q1414&lt;&gt;""""))),""^Sell_""),INDEX(FILTER(T$4:T1413,Q$4:Q1413&lt;&gt;""""),ROWS(FILTER(Q$4:Q1413,Q$4:Q1413&lt;&gt;""""))),$AD$5+S1414))"),"")</f>
        <v/>
      </c>
      <c r="U1414" s="10" t="str">
        <f>IFERROR(__xludf.DUMMYFUNCTION("IF(COUNTA(Q1414:Q1644)=0,"""",IF(Q1414="""",0,IF(REGEXMATCH(Q1414,""^Sell_""),-ROUNDDOWN(ROUNDUP(INDEX(Upgrades!$C$3:$C$13,MATCH(SUBSTITUTE(Q1414,""Sell_"",""""),Upgrades!$B$3:$B$13,0))*1.15^(COUNTIF(Q$4:Q1413,SUBSTITUTE(Q1414,""Sell_"",""""))-COUNTIF(Q$4"&amp;":Q1413,""Sell_""&amp;SUBSTITUTE(Q1414,""Sell_"",""""))))/2),ROUNDUP(INDEX(Upgrades!$C$3:$C$13,MATCH(Q1414,Upgrades!$B$3:$B$13,0))*1.15^(COUNTIF(Q$4:Q1413,Q1414)-COUNTIF(Q$4:Q1413,""Sell_""&amp;Q1414))))))"),"")</f>
        <v/>
      </c>
      <c r="V1414" s="10" t="str">
        <f t="shared" si="11"/>
        <v/>
      </c>
      <c r="W1414" s="68" t="str">
        <f t="shared" si="12"/>
        <v/>
      </c>
      <c r="X1414" s="59" t="str">
        <f t="shared" si="13"/>
        <v/>
      </c>
      <c r="Y1414" s="69" t="str">
        <f t="shared" si="14"/>
        <v/>
      </c>
      <c r="Z1414" s="11"/>
      <c r="AG1414" s="59"/>
    </row>
    <row r="1415">
      <c r="A1415" s="8"/>
      <c r="B1415" s="56" t="str">
        <f t="shared" si="2"/>
        <v/>
      </c>
      <c r="C1415" s="105"/>
      <c r="D1415" s="10"/>
      <c r="E1415" s="59" t="str">
        <f t="array" ref="E1415">IF(COUNTA(C1415:C1644)=0,"",SUM((COUNTIF(C$4:C1415,Upgrades!$B$3:$B$13)-COUNTIF(C$4:C1415,"Sell_"&amp;Upgrades!$B$3:$B$13))*Upgrades!$D$3:$D$13))</f>
        <v/>
      </c>
      <c r="F1415" s="66" t="str">
        <f>IFERROR(__xludf.DUMMYFUNCTION("IF(COUNTA(C1415:C1644)=0,"""",IF(REGEXMATCH(INDEX(FILTER(C$4:C1415,C$4:C1415&lt;&gt;""""),ROWS(FILTER(C$4:C1415,C$4:C1415&lt;&gt;""""))),""^Sell_""),INDEX(FILTER(F$4:F1414,C$4:C1414&lt;&gt;""""),ROWS(FILTER(C$4:C1414,C$4:C1414&lt;&gt;""""))),$AC$5+E1415))"),"")</f>
        <v/>
      </c>
      <c r="G1415" s="10" t="str">
        <f>IFERROR(__xludf.DUMMYFUNCTION("IF(COUNTA(C1415:C1644)=0,"""",IF(C1415="""",0,IF(REGEXMATCH(C1415,""^Sell_""),-ROUNDDOWN(ROUNDUP(INDEX(Upgrades!$C$3:$C$13,MATCH(SUBSTITUTE(C1415,""Sell_"",""""),Upgrades!$B$3:$B$13,0))*1.15^(COUNTIF(C$4:C1414,SUBSTITUTE(C1415,""Sell_"",""""))-COUNTIF(C$4"&amp;":C1414,""Sell_""&amp;SUBSTITUTE(C1415,""Sell_"",""""))))/2),ROUNDUP(INDEX(Upgrades!$C$3:$C$13,MATCH(C1415,Upgrades!$B$3:$B$13,0))*1.15^(COUNTIF(C$4:C1414,C1415)-COUNTIF(C$4:C1414,""Sell_""&amp;C1415))))))"),"")</f>
        <v/>
      </c>
      <c r="H1415" s="10" t="str">
        <f t="shared" si="3"/>
        <v/>
      </c>
      <c r="I1415" s="68" t="str">
        <f t="shared" si="4"/>
        <v/>
      </c>
      <c r="J1415" s="59" t="str">
        <f t="shared" si="5"/>
        <v/>
      </c>
      <c r="K1415" s="69" t="str">
        <f t="shared" si="6"/>
        <v/>
      </c>
      <c r="L1415" s="60" t="str">
        <f t="shared" si="7"/>
        <v/>
      </c>
      <c r="M1415" s="61" t="str">
        <f>IFERROR(__xludf.DUMMYFUNCTION("IFS(AND(COUNTA(C1415:C1644)=0,COUNTA(Q1415:Q1644)=0),"""",OR(AND(K1415&gt;=1000000000,OR(Y1415&gt;=1000000000,COUNTA(Q1415:Q1644)=0)),OR(Y1415&gt;=1000000000,AND(COUNTA(C1415:C1644)=0,P$3=TRUE))),
ROUNDDOWN((AB$1-AC$1)*MAX(INDEX(T$4:T1644,MATCH(LARGE(FILTER(Y$4:Y1"&amp;"644,Y$4:Y1644&lt;1000000000),1),Y$4:Y1644)),INDEX(F$4:F1644,MATCH(LARGE(FILTER(K$4:K1644,K$4:K1644&lt;1000000000),1),K$4:K1644)))),AND(K1415&lt;1000000000,COUNTA(C1415:C1644)&gt;0,P$3=FALSE),
ROUNDDOWN(INDEX(Y$4:Y1644,MATCH(LARGE(FILTER(W$4:W1644,W$4:W1644&lt;=I1415),1)"&amp;",W$4:W1644))+(I1415-LARGE(FILTER(W$4:W1644,W$4:W1644&lt;=I1415),1))*INDEX(T$4:T1644,MATCH(LARGE(FILTER(W$4:W1644,W$4:W1644&lt;=I1415),1),W$4:W1644))-K1415),1,
ROUNDDOWN(Y1415-INDEX(K$4:K1644,MATCH(LARGE(FILTER(I$4:I1644,I$4:I1644&lt;=W1415),1),I$4:I1644))-(W1415-L"&amp;"ARGE(FILTER(I$4:I1644,I$4:I1644&lt;=W1415),1))*INDEX(F$4:F1644,MATCH(LARGE(FILTER(I$4:I1644,I$4:I1644&lt;=W1415),1),I$4:I1644))))"),"")</f>
        <v/>
      </c>
      <c r="N1415" s="60" t="str">
        <f t="shared" si="8"/>
        <v/>
      </c>
      <c r="O1415" s="61" t="str">
        <f t="shared" si="9"/>
        <v/>
      </c>
      <c r="P1415" s="56" t="str">
        <f t="shared" si="10"/>
        <v/>
      </c>
      <c r="Q1415" s="105"/>
      <c r="R1415" s="10"/>
      <c r="S1415" s="59" t="str">
        <f t="array" ref="S1415">IF(COUNTA(Q1415:Q1644)=0,"",SUM((COUNTIF(Q$4:Q1415,Upgrades!$B$3:$B$13)-COUNTIF(Q$4:Q1415,"Sell_"&amp;Upgrades!$B$3:$B$13))*Upgrades!$D$3:$D$13))</f>
        <v/>
      </c>
      <c r="T1415" s="66" t="str">
        <f>IFERROR(__xludf.DUMMYFUNCTION("IF(COUNTA(Q1415:Q1644)=0,"""",IF(REGEXMATCH(INDEX(FILTER(Q$4:Q1415,Q$4:Q1415&lt;&gt;""""),ROWS(FILTER(Q$4:Q1415,Q$4:Q1415&lt;&gt;""""))),""^Sell_""),INDEX(FILTER(T$4:T1414,Q$4:Q1414&lt;&gt;""""),ROWS(FILTER(Q$4:Q1414,Q$4:Q1414&lt;&gt;""""))),$AD$5+S1415))"),"")</f>
        <v/>
      </c>
      <c r="U1415" s="10" t="str">
        <f>IFERROR(__xludf.DUMMYFUNCTION("IF(COUNTA(Q1415:Q1644)=0,"""",IF(Q1415="""",0,IF(REGEXMATCH(Q1415,""^Sell_""),-ROUNDDOWN(ROUNDUP(INDEX(Upgrades!$C$3:$C$13,MATCH(SUBSTITUTE(Q1415,""Sell_"",""""),Upgrades!$B$3:$B$13,0))*1.15^(COUNTIF(Q$4:Q1414,SUBSTITUTE(Q1415,""Sell_"",""""))-COUNTIF(Q$4"&amp;":Q1414,""Sell_""&amp;SUBSTITUTE(Q1415,""Sell_"",""""))))/2),ROUNDUP(INDEX(Upgrades!$C$3:$C$13,MATCH(Q1415,Upgrades!$B$3:$B$13,0))*1.15^(COUNTIF(Q$4:Q1414,Q1415)-COUNTIF(Q$4:Q1414,""Sell_""&amp;Q1415))))))"),"")</f>
        <v/>
      </c>
      <c r="V1415" s="10" t="str">
        <f t="shared" si="11"/>
        <v/>
      </c>
      <c r="W1415" s="68" t="str">
        <f t="shared" si="12"/>
        <v/>
      </c>
      <c r="X1415" s="59" t="str">
        <f t="shared" si="13"/>
        <v/>
      </c>
      <c r="Y1415" s="69" t="str">
        <f t="shared" si="14"/>
        <v/>
      </c>
      <c r="Z1415" s="11"/>
      <c r="AG1415" s="59"/>
    </row>
    <row r="1416">
      <c r="A1416" s="8"/>
      <c r="B1416" s="56" t="str">
        <f t="shared" si="2"/>
        <v/>
      </c>
      <c r="C1416" s="105"/>
      <c r="D1416" s="10"/>
      <c r="E1416" s="59" t="str">
        <f t="array" ref="E1416">IF(COUNTA(C1416:C1644)=0,"",SUM((COUNTIF(C$4:C1416,Upgrades!$B$3:$B$13)-COUNTIF(C$4:C1416,"Sell_"&amp;Upgrades!$B$3:$B$13))*Upgrades!$D$3:$D$13))</f>
        <v/>
      </c>
      <c r="F1416" s="66" t="str">
        <f>IFERROR(__xludf.DUMMYFUNCTION("IF(COUNTA(C1416:C1644)=0,"""",IF(REGEXMATCH(INDEX(FILTER(C$4:C1416,C$4:C1416&lt;&gt;""""),ROWS(FILTER(C$4:C1416,C$4:C1416&lt;&gt;""""))),""^Sell_""),INDEX(FILTER(F$4:F1415,C$4:C1415&lt;&gt;""""),ROWS(FILTER(C$4:C1415,C$4:C1415&lt;&gt;""""))),$AC$5+E1416))"),"")</f>
        <v/>
      </c>
      <c r="G1416" s="10" t="str">
        <f>IFERROR(__xludf.DUMMYFUNCTION("IF(COUNTA(C1416:C1644)=0,"""",IF(C1416="""",0,IF(REGEXMATCH(C1416,""^Sell_""),-ROUNDDOWN(ROUNDUP(INDEX(Upgrades!$C$3:$C$13,MATCH(SUBSTITUTE(C1416,""Sell_"",""""),Upgrades!$B$3:$B$13,0))*1.15^(COUNTIF(C$4:C1415,SUBSTITUTE(C1416,""Sell_"",""""))-COUNTIF(C$4"&amp;":C1415,""Sell_""&amp;SUBSTITUTE(C1416,""Sell_"",""""))))/2),ROUNDUP(INDEX(Upgrades!$C$3:$C$13,MATCH(C1416,Upgrades!$B$3:$B$13,0))*1.15^(COUNTIF(C$4:C1415,C1416)-COUNTIF(C$4:C1415,""Sell_""&amp;C1416))))))"),"")</f>
        <v/>
      </c>
      <c r="H1416" s="10" t="str">
        <f t="shared" si="3"/>
        <v/>
      </c>
      <c r="I1416" s="68" t="str">
        <f t="shared" si="4"/>
        <v/>
      </c>
      <c r="J1416" s="59" t="str">
        <f t="shared" si="5"/>
        <v/>
      </c>
      <c r="K1416" s="69" t="str">
        <f t="shared" si="6"/>
        <v/>
      </c>
      <c r="L1416" s="60" t="str">
        <f t="shared" si="7"/>
        <v/>
      </c>
      <c r="M1416" s="61" t="str">
        <f>IFERROR(__xludf.DUMMYFUNCTION("IFS(AND(COUNTA(C1416:C1644)=0,COUNTA(Q1416:Q1644)=0),"""",OR(AND(K1416&gt;=1000000000,OR(Y1416&gt;=1000000000,COUNTA(Q1416:Q1644)=0)),OR(Y1416&gt;=1000000000,AND(COUNTA(C1416:C1644)=0,P$3=TRUE))),
ROUNDDOWN((AB$1-AC$1)*MAX(INDEX(T$4:T1644,MATCH(LARGE(FILTER(Y$4:Y1"&amp;"644,Y$4:Y1644&lt;1000000000),1),Y$4:Y1644)),INDEX(F$4:F1644,MATCH(LARGE(FILTER(K$4:K1644,K$4:K1644&lt;1000000000),1),K$4:K1644)))),AND(K1416&lt;1000000000,COUNTA(C1416:C1644)&gt;0,P$3=FALSE),
ROUNDDOWN(INDEX(Y$4:Y1644,MATCH(LARGE(FILTER(W$4:W1644,W$4:W1644&lt;=I1416),1)"&amp;",W$4:W1644))+(I1416-LARGE(FILTER(W$4:W1644,W$4:W1644&lt;=I1416),1))*INDEX(T$4:T1644,MATCH(LARGE(FILTER(W$4:W1644,W$4:W1644&lt;=I1416),1),W$4:W1644))-K1416),1,
ROUNDDOWN(Y1416-INDEX(K$4:K1644,MATCH(LARGE(FILTER(I$4:I1644,I$4:I1644&lt;=W1416),1),I$4:I1644))-(W1416-L"&amp;"ARGE(FILTER(I$4:I1644,I$4:I1644&lt;=W1416),1))*INDEX(F$4:F1644,MATCH(LARGE(FILTER(I$4:I1644,I$4:I1644&lt;=W1416),1),I$4:I1644))))"),"")</f>
        <v/>
      </c>
      <c r="N1416" s="60" t="str">
        <f t="shared" si="8"/>
        <v/>
      </c>
      <c r="O1416" s="61" t="str">
        <f t="shared" si="9"/>
        <v/>
      </c>
      <c r="P1416" s="56" t="str">
        <f t="shared" si="10"/>
        <v/>
      </c>
      <c r="Q1416" s="105"/>
      <c r="R1416" s="10"/>
      <c r="S1416" s="59" t="str">
        <f t="array" ref="S1416">IF(COUNTA(Q1416:Q1644)=0,"",SUM((COUNTIF(Q$4:Q1416,Upgrades!$B$3:$B$13)-COUNTIF(Q$4:Q1416,"Sell_"&amp;Upgrades!$B$3:$B$13))*Upgrades!$D$3:$D$13))</f>
        <v/>
      </c>
      <c r="T1416" s="66" t="str">
        <f>IFERROR(__xludf.DUMMYFUNCTION("IF(COUNTA(Q1416:Q1644)=0,"""",IF(REGEXMATCH(INDEX(FILTER(Q$4:Q1416,Q$4:Q1416&lt;&gt;""""),ROWS(FILTER(Q$4:Q1416,Q$4:Q1416&lt;&gt;""""))),""^Sell_""),INDEX(FILTER(T$4:T1415,Q$4:Q1415&lt;&gt;""""),ROWS(FILTER(Q$4:Q1415,Q$4:Q1415&lt;&gt;""""))),$AD$5+S1416))"),"")</f>
        <v/>
      </c>
      <c r="U1416" s="10" t="str">
        <f>IFERROR(__xludf.DUMMYFUNCTION("IF(COUNTA(Q1416:Q1644)=0,"""",IF(Q1416="""",0,IF(REGEXMATCH(Q1416,""^Sell_""),-ROUNDDOWN(ROUNDUP(INDEX(Upgrades!$C$3:$C$13,MATCH(SUBSTITUTE(Q1416,""Sell_"",""""),Upgrades!$B$3:$B$13,0))*1.15^(COUNTIF(Q$4:Q1415,SUBSTITUTE(Q1416,""Sell_"",""""))-COUNTIF(Q$4"&amp;":Q1415,""Sell_""&amp;SUBSTITUTE(Q1416,""Sell_"",""""))))/2),ROUNDUP(INDEX(Upgrades!$C$3:$C$13,MATCH(Q1416,Upgrades!$B$3:$B$13,0))*1.15^(COUNTIF(Q$4:Q1415,Q1416)-COUNTIF(Q$4:Q1415,""Sell_""&amp;Q1416))))))"),"")</f>
        <v/>
      </c>
      <c r="V1416" s="10" t="str">
        <f t="shared" si="11"/>
        <v/>
      </c>
      <c r="W1416" s="68" t="str">
        <f t="shared" si="12"/>
        <v/>
      </c>
      <c r="X1416" s="59" t="str">
        <f t="shared" si="13"/>
        <v/>
      </c>
      <c r="Y1416" s="69" t="str">
        <f t="shared" si="14"/>
        <v/>
      </c>
      <c r="Z1416" s="11"/>
      <c r="AG1416" s="59"/>
    </row>
    <row r="1417">
      <c r="A1417" s="8"/>
      <c r="B1417" s="56" t="str">
        <f t="shared" si="2"/>
        <v/>
      </c>
      <c r="C1417" s="105"/>
      <c r="D1417" s="10"/>
      <c r="E1417" s="59" t="str">
        <f t="array" ref="E1417">IF(COUNTA(C1417:C1644)=0,"",SUM((COUNTIF(C$4:C1417,Upgrades!$B$3:$B$13)-COUNTIF(C$4:C1417,"Sell_"&amp;Upgrades!$B$3:$B$13))*Upgrades!$D$3:$D$13))</f>
        <v/>
      </c>
      <c r="F1417" s="66" t="str">
        <f>IFERROR(__xludf.DUMMYFUNCTION("IF(COUNTA(C1417:C1644)=0,"""",IF(REGEXMATCH(INDEX(FILTER(C$4:C1417,C$4:C1417&lt;&gt;""""),ROWS(FILTER(C$4:C1417,C$4:C1417&lt;&gt;""""))),""^Sell_""),INDEX(FILTER(F$4:F1416,C$4:C1416&lt;&gt;""""),ROWS(FILTER(C$4:C1416,C$4:C1416&lt;&gt;""""))),$AC$5+E1417))"),"")</f>
        <v/>
      </c>
      <c r="G1417" s="10" t="str">
        <f>IFERROR(__xludf.DUMMYFUNCTION("IF(COUNTA(C1417:C1644)=0,"""",IF(C1417="""",0,IF(REGEXMATCH(C1417,""^Sell_""),-ROUNDDOWN(ROUNDUP(INDEX(Upgrades!$C$3:$C$13,MATCH(SUBSTITUTE(C1417,""Sell_"",""""),Upgrades!$B$3:$B$13,0))*1.15^(COUNTIF(C$4:C1416,SUBSTITUTE(C1417,""Sell_"",""""))-COUNTIF(C$4"&amp;":C1416,""Sell_""&amp;SUBSTITUTE(C1417,""Sell_"",""""))))/2),ROUNDUP(INDEX(Upgrades!$C$3:$C$13,MATCH(C1417,Upgrades!$B$3:$B$13,0))*1.15^(COUNTIF(C$4:C1416,C1417)-COUNTIF(C$4:C1416,""Sell_""&amp;C1417))))))"),"")</f>
        <v/>
      </c>
      <c r="H1417" s="10" t="str">
        <f t="shared" si="3"/>
        <v/>
      </c>
      <c r="I1417" s="68" t="str">
        <f t="shared" si="4"/>
        <v/>
      </c>
      <c r="J1417" s="59" t="str">
        <f t="shared" si="5"/>
        <v/>
      </c>
      <c r="K1417" s="69" t="str">
        <f t="shared" si="6"/>
        <v/>
      </c>
      <c r="L1417" s="60" t="str">
        <f t="shared" si="7"/>
        <v/>
      </c>
      <c r="M1417" s="61" t="str">
        <f>IFERROR(__xludf.DUMMYFUNCTION("IFS(AND(COUNTA(C1417:C1644)=0,COUNTA(Q1417:Q1644)=0),"""",OR(AND(K1417&gt;=1000000000,OR(Y1417&gt;=1000000000,COUNTA(Q1417:Q1644)=0)),OR(Y1417&gt;=1000000000,AND(COUNTA(C1417:C1644)=0,P$3=TRUE))),
ROUNDDOWN((AB$1-AC$1)*MAX(INDEX(T$4:T1644,MATCH(LARGE(FILTER(Y$4:Y1"&amp;"644,Y$4:Y1644&lt;1000000000),1),Y$4:Y1644)),INDEX(F$4:F1644,MATCH(LARGE(FILTER(K$4:K1644,K$4:K1644&lt;1000000000),1),K$4:K1644)))),AND(K1417&lt;1000000000,COUNTA(C1417:C1644)&gt;0,P$3=FALSE),
ROUNDDOWN(INDEX(Y$4:Y1644,MATCH(LARGE(FILTER(W$4:W1644,W$4:W1644&lt;=I1417),1)"&amp;",W$4:W1644))+(I1417-LARGE(FILTER(W$4:W1644,W$4:W1644&lt;=I1417),1))*INDEX(T$4:T1644,MATCH(LARGE(FILTER(W$4:W1644,W$4:W1644&lt;=I1417),1),W$4:W1644))-K1417),1,
ROUNDDOWN(Y1417-INDEX(K$4:K1644,MATCH(LARGE(FILTER(I$4:I1644,I$4:I1644&lt;=W1417),1),I$4:I1644))-(W1417-L"&amp;"ARGE(FILTER(I$4:I1644,I$4:I1644&lt;=W1417),1))*INDEX(F$4:F1644,MATCH(LARGE(FILTER(I$4:I1644,I$4:I1644&lt;=W1417),1),I$4:I1644))))"),"")</f>
        <v/>
      </c>
      <c r="N1417" s="60" t="str">
        <f t="shared" si="8"/>
        <v/>
      </c>
      <c r="O1417" s="61" t="str">
        <f t="shared" si="9"/>
        <v/>
      </c>
      <c r="P1417" s="56" t="str">
        <f t="shared" si="10"/>
        <v/>
      </c>
      <c r="Q1417" s="105"/>
      <c r="R1417" s="10"/>
      <c r="S1417" s="59" t="str">
        <f t="array" ref="S1417">IF(COUNTA(Q1417:Q1644)=0,"",SUM((COUNTIF(Q$4:Q1417,Upgrades!$B$3:$B$13)-COUNTIF(Q$4:Q1417,"Sell_"&amp;Upgrades!$B$3:$B$13))*Upgrades!$D$3:$D$13))</f>
        <v/>
      </c>
      <c r="T1417" s="66" t="str">
        <f>IFERROR(__xludf.DUMMYFUNCTION("IF(COUNTA(Q1417:Q1644)=0,"""",IF(REGEXMATCH(INDEX(FILTER(Q$4:Q1417,Q$4:Q1417&lt;&gt;""""),ROWS(FILTER(Q$4:Q1417,Q$4:Q1417&lt;&gt;""""))),""^Sell_""),INDEX(FILTER(T$4:T1416,Q$4:Q1416&lt;&gt;""""),ROWS(FILTER(Q$4:Q1416,Q$4:Q1416&lt;&gt;""""))),$AD$5+S1417))"),"")</f>
        <v/>
      </c>
      <c r="U1417" s="10" t="str">
        <f>IFERROR(__xludf.DUMMYFUNCTION("IF(COUNTA(Q1417:Q1644)=0,"""",IF(Q1417="""",0,IF(REGEXMATCH(Q1417,""^Sell_""),-ROUNDDOWN(ROUNDUP(INDEX(Upgrades!$C$3:$C$13,MATCH(SUBSTITUTE(Q1417,""Sell_"",""""),Upgrades!$B$3:$B$13,0))*1.15^(COUNTIF(Q$4:Q1416,SUBSTITUTE(Q1417,""Sell_"",""""))-COUNTIF(Q$4"&amp;":Q1416,""Sell_""&amp;SUBSTITUTE(Q1417,""Sell_"",""""))))/2),ROUNDUP(INDEX(Upgrades!$C$3:$C$13,MATCH(Q1417,Upgrades!$B$3:$B$13,0))*1.15^(COUNTIF(Q$4:Q1416,Q1417)-COUNTIF(Q$4:Q1416,""Sell_""&amp;Q1417))))))"),"")</f>
        <v/>
      </c>
      <c r="V1417" s="10" t="str">
        <f t="shared" si="11"/>
        <v/>
      </c>
      <c r="W1417" s="68" t="str">
        <f t="shared" si="12"/>
        <v/>
      </c>
      <c r="X1417" s="59" t="str">
        <f t="shared" si="13"/>
        <v/>
      </c>
      <c r="Y1417" s="69" t="str">
        <f t="shared" si="14"/>
        <v/>
      </c>
      <c r="Z1417" s="11"/>
      <c r="AG1417" s="59"/>
    </row>
    <row r="1418">
      <c r="A1418" s="8"/>
      <c r="B1418" s="56" t="str">
        <f t="shared" si="2"/>
        <v/>
      </c>
      <c r="C1418" s="105"/>
      <c r="D1418" s="10"/>
      <c r="E1418" s="59" t="str">
        <f t="array" ref="E1418">IF(COUNTA(C1418:C1644)=0,"",SUM((COUNTIF(C$4:C1418,Upgrades!$B$3:$B$13)-COUNTIF(C$4:C1418,"Sell_"&amp;Upgrades!$B$3:$B$13))*Upgrades!$D$3:$D$13))</f>
        <v/>
      </c>
      <c r="F1418" s="66" t="str">
        <f>IFERROR(__xludf.DUMMYFUNCTION("IF(COUNTA(C1418:C1644)=0,"""",IF(REGEXMATCH(INDEX(FILTER(C$4:C1418,C$4:C1418&lt;&gt;""""),ROWS(FILTER(C$4:C1418,C$4:C1418&lt;&gt;""""))),""^Sell_""),INDEX(FILTER(F$4:F1417,C$4:C1417&lt;&gt;""""),ROWS(FILTER(C$4:C1417,C$4:C1417&lt;&gt;""""))),$AC$5+E1418))"),"")</f>
        <v/>
      </c>
      <c r="G1418" s="10" t="str">
        <f>IFERROR(__xludf.DUMMYFUNCTION("IF(COUNTA(C1418:C1644)=0,"""",IF(C1418="""",0,IF(REGEXMATCH(C1418,""^Sell_""),-ROUNDDOWN(ROUNDUP(INDEX(Upgrades!$C$3:$C$13,MATCH(SUBSTITUTE(C1418,""Sell_"",""""),Upgrades!$B$3:$B$13,0))*1.15^(COUNTIF(C$4:C1417,SUBSTITUTE(C1418,""Sell_"",""""))-COUNTIF(C$4"&amp;":C1417,""Sell_""&amp;SUBSTITUTE(C1418,""Sell_"",""""))))/2),ROUNDUP(INDEX(Upgrades!$C$3:$C$13,MATCH(C1418,Upgrades!$B$3:$B$13,0))*1.15^(COUNTIF(C$4:C1417,C1418)-COUNTIF(C$4:C1417,""Sell_""&amp;C1418))))))"),"")</f>
        <v/>
      </c>
      <c r="H1418" s="10" t="str">
        <f t="shared" si="3"/>
        <v/>
      </c>
      <c r="I1418" s="68" t="str">
        <f t="shared" si="4"/>
        <v/>
      </c>
      <c r="J1418" s="59" t="str">
        <f t="shared" si="5"/>
        <v/>
      </c>
      <c r="K1418" s="69" t="str">
        <f t="shared" si="6"/>
        <v/>
      </c>
      <c r="L1418" s="60" t="str">
        <f t="shared" si="7"/>
        <v/>
      </c>
      <c r="M1418" s="61" t="str">
        <f>IFERROR(__xludf.DUMMYFUNCTION("IFS(AND(COUNTA(C1418:C1644)=0,COUNTA(Q1418:Q1644)=0),"""",OR(AND(K1418&gt;=1000000000,OR(Y1418&gt;=1000000000,COUNTA(Q1418:Q1644)=0)),OR(Y1418&gt;=1000000000,AND(COUNTA(C1418:C1644)=0,P$3=TRUE))),
ROUNDDOWN((AB$1-AC$1)*MAX(INDEX(T$4:T1644,MATCH(LARGE(FILTER(Y$4:Y1"&amp;"644,Y$4:Y1644&lt;1000000000),1),Y$4:Y1644)),INDEX(F$4:F1644,MATCH(LARGE(FILTER(K$4:K1644,K$4:K1644&lt;1000000000),1),K$4:K1644)))),AND(K1418&lt;1000000000,COUNTA(C1418:C1644)&gt;0,P$3=FALSE),
ROUNDDOWN(INDEX(Y$4:Y1644,MATCH(LARGE(FILTER(W$4:W1644,W$4:W1644&lt;=I1418),1)"&amp;",W$4:W1644))+(I1418-LARGE(FILTER(W$4:W1644,W$4:W1644&lt;=I1418),1))*INDEX(T$4:T1644,MATCH(LARGE(FILTER(W$4:W1644,W$4:W1644&lt;=I1418),1),W$4:W1644))-K1418),1,
ROUNDDOWN(Y1418-INDEX(K$4:K1644,MATCH(LARGE(FILTER(I$4:I1644,I$4:I1644&lt;=W1418),1),I$4:I1644))-(W1418-L"&amp;"ARGE(FILTER(I$4:I1644,I$4:I1644&lt;=W1418),1))*INDEX(F$4:F1644,MATCH(LARGE(FILTER(I$4:I1644,I$4:I1644&lt;=W1418),1),I$4:I1644))))"),"")</f>
        <v/>
      </c>
      <c r="N1418" s="60" t="str">
        <f t="shared" si="8"/>
        <v/>
      </c>
      <c r="O1418" s="61" t="str">
        <f t="shared" si="9"/>
        <v/>
      </c>
      <c r="P1418" s="56" t="str">
        <f t="shared" si="10"/>
        <v/>
      </c>
      <c r="Q1418" s="105"/>
      <c r="R1418" s="10"/>
      <c r="S1418" s="59" t="str">
        <f t="array" ref="S1418">IF(COUNTA(Q1418:Q1644)=0,"",SUM((COUNTIF(Q$4:Q1418,Upgrades!$B$3:$B$13)-COUNTIF(Q$4:Q1418,"Sell_"&amp;Upgrades!$B$3:$B$13))*Upgrades!$D$3:$D$13))</f>
        <v/>
      </c>
      <c r="T1418" s="66" t="str">
        <f>IFERROR(__xludf.DUMMYFUNCTION("IF(COUNTA(Q1418:Q1644)=0,"""",IF(REGEXMATCH(INDEX(FILTER(Q$4:Q1418,Q$4:Q1418&lt;&gt;""""),ROWS(FILTER(Q$4:Q1418,Q$4:Q1418&lt;&gt;""""))),""^Sell_""),INDEX(FILTER(T$4:T1417,Q$4:Q1417&lt;&gt;""""),ROWS(FILTER(Q$4:Q1417,Q$4:Q1417&lt;&gt;""""))),$AD$5+S1418))"),"")</f>
        <v/>
      </c>
      <c r="U1418" s="10" t="str">
        <f>IFERROR(__xludf.DUMMYFUNCTION("IF(COUNTA(Q1418:Q1644)=0,"""",IF(Q1418="""",0,IF(REGEXMATCH(Q1418,""^Sell_""),-ROUNDDOWN(ROUNDUP(INDEX(Upgrades!$C$3:$C$13,MATCH(SUBSTITUTE(Q1418,""Sell_"",""""),Upgrades!$B$3:$B$13,0))*1.15^(COUNTIF(Q$4:Q1417,SUBSTITUTE(Q1418,""Sell_"",""""))-COUNTIF(Q$4"&amp;":Q1417,""Sell_""&amp;SUBSTITUTE(Q1418,""Sell_"",""""))))/2),ROUNDUP(INDEX(Upgrades!$C$3:$C$13,MATCH(Q1418,Upgrades!$B$3:$B$13,0))*1.15^(COUNTIF(Q$4:Q1417,Q1418)-COUNTIF(Q$4:Q1417,""Sell_""&amp;Q1418))))))"),"")</f>
        <v/>
      </c>
      <c r="V1418" s="10" t="str">
        <f t="shared" si="11"/>
        <v/>
      </c>
      <c r="W1418" s="68" t="str">
        <f t="shared" si="12"/>
        <v/>
      </c>
      <c r="X1418" s="59" t="str">
        <f t="shared" si="13"/>
        <v/>
      </c>
      <c r="Y1418" s="69" t="str">
        <f t="shared" si="14"/>
        <v/>
      </c>
      <c r="Z1418" s="11"/>
      <c r="AG1418" s="59"/>
    </row>
    <row r="1419">
      <c r="A1419" s="8"/>
      <c r="B1419" s="56" t="str">
        <f t="shared" si="2"/>
        <v/>
      </c>
      <c r="C1419" s="105"/>
      <c r="D1419" s="10"/>
      <c r="E1419" s="59" t="str">
        <f t="array" ref="E1419">IF(COUNTA(C1419:C1644)=0,"",SUM((COUNTIF(C$4:C1419,Upgrades!$B$3:$B$13)-COUNTIF(C$4:C1419,"Sell_"&amp;Upgrades!$B$3:$B$13))*Upgrades!$D$3:$D$13))</f>
        <v/>
      </c>
      <c r="F1419" s="66" t="str">
        <f>IFERROR(__xludf.DUMMYFUNCTION("IF(COUNTA(C1419:C1644)=0,"""",IF(REGEXMATCH(INDEX(FILTER(C$4:C1419,C$4:C1419&lt;&gt;""""),ROWS(FILTER(C$4:C1419,C$4:C1419&lt;&gt;""""))),""^Sell_""),INDEX(FILTER(F$4:F1418,C$4:C1418&lt;&gt;""""),ROWS(FILTER(C$4:C1418,C$4:C1418&lt;&gt;""""))),$AC$5+E1419))"),"")</f>
        <v/>
      </c>
      <c r="G1419" s="10" t="str">
        <f>IFERROR(__xludf.DUMMYFUNCTION("IF(COUNTA(C1419:C1644)=0,"""",IF(C1419="""",0,IF(REGEXMATCH(C1419,""^Sell_""),-ROUNDDOWN(ROUNDUP(INDEX(Upgrades!$C$3:$C$13,MATCH(SUBSTITUTE(C1419,""Sell_"",""""),Upgrades!$B$3:$B$13,0))*1.15^(COUNTIF(C$4:C1418,SUBSTITUTE(C1419,""Sell_"",""""))-COUNTIF(C$4"&amp;":C1418,""Sell_""&amp;SUBSTITUTE(C1419,""Sell_"",""""))))/2),ROUNDUP(INDEX(Upgrades!$C$3:$C$13,MATCH(C1419,Upgrades!$B$3:$B$13,0))*1.15^(COUNTIF(C$4:C1418,C1419)-COUNTIF(C$4:C1418,""Sell_""&amp;C1419))))))"),"")</f>
        <v/>
      </c>
      <c r="H1419" s="10" t="str">
        <f t="shared" si="3"/>
        <v/>
      </c>
      <c r="I1419" s="68" t="str">
        <f t="shared" si="4"/>
        <v/>
      </c>
      <c r="J1419" s="59" t="str">
        <f t="shared" si="5"/>
        <v/>
      </c>
      <c r="K1419" s="69" t="str">
        <f t="shared" si="6"/>
        <v/>
      </c>
      <c r="L1419" s="60" t="str">
        <f t="shared" si="7"/>
        <v/>
      </c>
      <c r="M1419" s="61" t="str">
        <f>IFERROR(__xludf.DUMMYFUNCTION("IFS(AND(COUNTA(C1419:C1644)=0,COUNTA(Q1419:Q1644)=0),"""",OR(AND(K1419&gt;=1000000000,OR(Y1419&gt;=1000000000,COUNTA(Q1419:Q1644)=0)),OR(Y1419&gt;=1000000000,AND(COUNTA(C1419:C1644)=0,P$3=TRUE))),
ROUNDDOWN((AB$1-AC$1)*MAX(INDEX(T$4:T1644,MATCH(LARGE(FILTER(Y$4:Y1"&amp;"644,Y$4:Y1644&lt;1000000000),1),Y$4:Y1644)),INDEX(F$4:F1644,MATCH(LARGE(FILTER(K$4:K1644,K$4:K1644&lt;1000000000),1),K$4:K1644)))),AND(K1419&lt;1000000000,COUNTA(C1419:C1644)&gt;0,P$3=FALSE),
ROUNDDOWN(INDEX(Y$4:Y1644,MATCH(LARGE(FILTER(W$4:W1644,W$4:W1644&lt;=I1419),1)"&amp;",W$4:W1644))+(I1419-LARGE(FILTER(W$4:W1644,W$4:W1644&lt;=I1419),1))*INDEX(T$4:T1644,MATCH(LARGE(FILTER(W$4:W1644,W$4:W1644&lt;=I1419),1),W$4:W1644))-K1419),1,
ROUNDDOWN(Y1419-INDEX(K$4:K1644,MATCH(LARGE(FILTER(I$4:I1644,I$4:I1644&lt;=W1419),1),I$4:I1644))-(W1419-L"&amp;"ARGE(FILTER(I$4:I1644,I$4:I1644&lt;=W1419),1))*INDEX(F$4:F1644,MATCH(LARGE(FILTER(I$4:I1644,I$4:I1644&lt;=W1419),1),I$4:I1644))))"),"")</f>
        <v/>
      </c>
      <c r="N1419" s="60" t="str">
        <f t="shared" si="8"/>
        <v/>
      </c>
      <c r="O1419" s="61" t="str">
        <f t="shared" si="9"/>
        <v/>
      </c>
      <c r="P1419" s="56" t="str">
        <f t="shared" si="10"/>
        <v/>
      </c>
      <c r="Q1419" s="105"/>
      <c r="R1419" s="10"/>
      <c r="S1419" s="59" t="str">
        <f t="array" ref="S1419">IF(COUNTA(Q1419:Q1644)=0,"",SUM((COUNTIF(Q$4:Q1419,Upgrades!$B$3:$B$13)-COUNTIF(Q$4:Q1419,"Sell_"&amp;Upgrades!$B$3:$B$13))*Upgrades!$D$3:$D$13))</f>
        <v/>
      </c>
      <c r="T1419" s="66" t="str">
        <f>IFERROR(__xludf.DUMMYFUNCTION("IF(COUNTA(Q1419:Q1644)=0,"""",IF(REGEXMATCH(INDEX(FILTER(Q$4:Q1419,Q$4:Q1419&lt;&gt;""""),ROWS(FILTER(Q$4:Q1419,Q$4:Q1419&lt;&gt;""""))),""^Sell_""),INDEX(FILTER(T$4:T1418,Q$4:Q1418&lt;&gt;""""),ROWS(FILTER(Q$4:Q1418,Q$4:Q1418&lt;&gt;""""))),$AD$5+S1419))"),"")</f>
        <v/>
      </c>
      <c r="U1419" s="10" t="str">
        <f>IFERROR(__xludf.DUMMYFUNCTION("IF(COUNTA(Q1419:Q1644)=0,"""",IF(Q1419="""",0,IF(REGEXMATCH(Q1419,""^Sell_""),-ROUNDDOWN(ROUNDUP(INDEX(Upgrades!$C$3:$C$13,MATCH(SUBSTITUTE(Q1419,""Sell_"",""""),Upgrades!$B$3:$B$13,0))*1.15^(COUNTIF(Q$4:Q1418,SUBSTITUTE(Q1419,""Sell_"",""""))-COUNTIF(Q$4"&amp;":Q1418,""Sell_""&amp;SUBSTITUTE(Q1419,""Sell_"",""""))))/2),ROUNDUP(INDEX(Upgrades!$C$3:$C$13,MATCH(Q1419,Upgrades!$B$3:$B$13,0))*1.15^(COUNTIF(Q$4:Q1418,Q1419)-COUNTIF(Q$4:Q1418,""Sell_""&amp;Q1419))))))"),"")</f>
        <v/>
      </c>
      <c r="V1419" s="10" t="str">
        <f t="shared" si="11"/>
        <v/>
      </c>
      <c r="W1419" s="68" t="str">
        <f t="shared" si="12"/>
        <v/>
      </c>
      <c r="X1419" s="59" t="str">
        <f t="shared" si="13"/>
        <v/>
      </c>
      <c r="Y1419" s="69" t="str">
        <f t="shared" si="14"/>
        <v/>
      </c>
      <c r="Z1419" s="11"/>
      <c r="AG1419" s="59"/>
    </row>
    <row r="1420">
      <c r="A1420" s="8"/>
      <c r="B1420" s="56" t="str">
        <f t="shared" si="2"/>
        <v/>
      </c>
      <c r="C1420" s="105"/>
      <c r="D1420" s="10"/>
      <c r="E1420" s="59" t="str">
        <f t="array" ref="E1420">IF(COUNTA(C1420:C1644)=0,"",SUM((COUNTIF(C$4:C1420,Upgrades!$B$3:$B$13)-COUNTIF(C$4:C1420,"Sell_"&amp;Upgrades!$B$3:$B$13))*Upgrades!$D$3:$D$13))</f>
        <v/>
      </c>
      <c r="F1420" s="66" t="str">
        <f>IFERROR(__xludf.DUMMYFUNCTION("IF(COUNTA(C1420:C1644)=0,"""",IF(REGEXMATCH(INDEX(FILTER(C$4:C1420,C$4:C1420&lt;&gt;""""),ROWS(FILTER(C$4:C1420,C$4:C1420&lt;&gt;""""))),""^Sell_""),INDEX(FILTER(F$4:F1419,C$4:C1419&lt;&gt;""""),ROWS(FILTER(C$4:C1419,C$4:C1419&lt;&gt;""""))),$AC$5+E1420))"),"")</f>
        <v/>
      </c>
      <c r="G1420" s="10" t="str">
        <f>IFERROR(__xludf.DUMMYFUNCTION("IF(COUNTA(C1420:C1644)=0,"""",IF(C1420="""",0,IF(REGEXMATCH(C1420,""^Sell_""),-ROUNDDOWN(ROUNDUP(INDEX(Upgrades!$C$3:$C$13,MATCH(SUBSTITUTE(C1420,""Sell_"",""""),Upgrades!$B$3:$B$13,0))*1.15^(COUNTIF(C$4:C1419,SUBSTITUTE(C1420,""Sell_"",""""))-COUNTIF(C$4"&amp;":C1419,""Sell_""&amp;SUBSTITUTE(C1420,""Sell_"",""""))))/2),ROUNDUP(INDEX(Upgrades!$C$3:$C$13,MATCH(C1420,Upgrades!$B$3:$B$13,0))*1.15^(COUNTIF(C$4:C1419,C1420)-COUNTIF(C$4:C1419,""Sell_""&amp;C1420))))))"),"")</f>
        <v/>
      </c>
      <c r="H1420" s="10" t="str">
        <f t="shared" si="3"/>
        <v/>
      </c>
      <c r="I1420" s="68" t="str">
        <f t="shared" si="4"/>
        <v/>
      </c>
      <c r="J1420" s="59" t="str">
        <f t="shared" si="5"/>
        <v/>
      </c>
      <c r="K1420" s="69" t="str">
        <f t="shared" si="6"/>
        <v/>
      </c>
      <c r="L1420" s="60" t="str">
        <f t="shared" si="7"/>
        <v/>
      </c>
      <c r="M1420" s="61" t="str">
        <f>IFERROR(__xludf.DUMMYFUNCTION("IFS(AND(COUNTA(C1420:C1644)=0,COUNTA(Q1420:Q1644)=0),"""",OR(AND(K1420&gt;=1000000000,OR(Y1420&gt;=1000000000,COUNTA(Q1420:Q1644)=0)),OR(Y1420&gt;=1000000000,AND(COUNTA(C1420:C1644)=0,P$3=TRUE))),
ROUNDDOWN((AB$1-AC$1)*MAX(INDEX(T$4:T1644,MATCH(LARGE(FILTER(Y$4:Y1"&amp;"644,Y$4:Y1644&lt;1000000000),1),Y$4:Y1644)),INDEX(F$4:F1644,MATCH(LARGE(FILTER(K$4:K1644,K$4:K1644&lt;1000000000),1),K$4:K1644)))),AND(K1420&lt;1000000000,COUNTA(C1420:C1644)&gt;0,P$3=FALSE),
ROUNDDOWN(INDEX(Y$4:Y1644,MATCH(LARGE(FILTER(W$4:W1644,W$4:W1644&lt;=I1420),1)"&amp;",W$4:W1644))+(I1420-LARGE(FILTER(W$4:W1644,W$4:W1644&lt;=I1420),1))*INDEX(T$4:T1644,MATCH(LARGE(FILTER(W$4:W1644,W$4:W1644&lt;=I1420),1),W$4:W1644))-K1420),1,
ROUNDDOWN(Y1420-INDEX(K$4:K1644,MATCH(LARGE(FILTER(I$4:I1644,I$4:I1644&lt;=W1420),1),I$4:I1644))-(W1420-L"&amp;"ARGE(FILTER(I$4:I1644,I$4:I1644&lt;=W1420),1))*INDEX(F$4:F1644,MATCH(LARGE(FILTER(I$4:I1644,I$4:I1644&lt;=W1420),1),I$4:I1644))))"),"")</f>
        <v/>
      </c>
      <c r="N1420" s="60" t="str">
        <f t="shared" si="8"/>
        <v/>
      </c>
      <c r="O1420" s="61" t="str">
        <f t="shared" si="9"/>
        <v/>
      </c>
      <c r="P1420" s="56" t="str">
        <f t="shared" si="10"/>
        <v/>
      </c>
      <c r="Q1420" s="105"/>
      <c r="R1420" s="10"/>
      <c r="S1420" s="59" t="str">
        <f t="array" ref="S1420">IF(COUNTA(Q1420:Q1644)=0,"",SUM((COUNTIF(Q$4:Q1420,Upgrades!$B$3:$B$13)-COUNTIF(Q$4:Q1420,"Sell_"&amp;Upgrades!$B$3:$B$13))*Upgrades!$D$3:$D$13))</f>
        <v/>
      </c>
      <c r="T1420" s="66" t="str">
        <f>IFERROR(__xludf.DUMMYFUNCTION("IF(COUNTA(Q1420:Q1644)=0,"""",IF(REGEXMATCH(INDEX(FILTER(Q$4:Q1420,Q$4:Q1420&lt;&gt;""""),ROWS(FILTER(Q$4:Q1420,Q$4:Q1420&lt;&gt;""""))),""^Sell_""),INDEX(FILTER(T$4:T1419,Q$4:Q1419&lt;&gt;""""),ROWS(FILTER(Q$4:Q1419,Q$4:Q1419&lt;&gt;""""))),$AD$5+S1420))"),"")</f>
        <v/>
      </c>
      <c r="U1420" s="10" t="str">
        <f>IFERROR(__xludf.DUMMYFUNCTION("IF(COUNTA(Q1420:Q1644)=0,"""",IF(Q1420="""",0,IF(REGEXMATCH(Q1420,""^Sell_""),-ROUNDDOWN(ROUNDUP(INDEX(Upgrades!$C$3:$C$13,MATCH(SUBSTITUTE(Q1420,""Sell_"",""""),Upgrades!$B$3:$B$13,0))*1.15^(COUNTIF(Q$4:Q1419,SUBSTITUTE(Q1420,""Sell_"",""""))-COUNTIF(Q$4"&amp;":Q1419,""Sell_""&amp;SUBSTITUTE(Q1420,""Sell_"",""""))))/2),ROUNDUP(INDEX(Upgrades!$C$3:$C$13,MATCH(Q1420,Upgrades!$B$3:$B$13,0))*1.15^(COUNTIF(Q$4:Q1419,Q1420)-COUNTIF(Q$4:Q1419,""Sell_""&amp;Q1420))))))"),"")</f>
        <v/>
      </c>
      <c r="V1420" s="10" t="str">
        <f t="shared" si="11"/>
        <v/>
      </c>
      <c r="W1420" s="68" t="str">
        <f t="shared" si="12"/>
        <v/>
      </c>
      <c r="X1420" s="59" t="str">
        <f t="shared" si="13"/>
        <v/>
      </c>
      <c r="Y1420" s="69" t="str">
        <f t="shared" si="14"/>
        <v/>
      </c>
      <c r="Z1420" s="11"/>
      <c r="AG1420" s="59"/>
    </row>
    <row r="1421">
      <c r="A1421" s="8"/>
      <c r="B1421" s="56" t="str">
        <f t="shared" si="2"/>
        <v/>
      </c>
      <c r="C1421" s="105"/>
      <c r="D1421" s="10"/>
      <c r="E1421" s="59" t="str">
        <f t="array" ref="E1421">IF(COUNTA(C1421:C1644)=0,"",SUM((COUNTIF(C$4:C1421,Upgrades!$B$3:$B$13)-COUNTIF(C$4:C1421,"Sell_"&amp;Upgrades!$B$3:$B$13))*Upgrades!$D$3:$D$13))</f>
        <v/>
      </c>
      <c r="F1421" s="66" t="str">
        <f>IFERROR(__xludf.DUMMYFUNCTION("IF(COUNTA(C1421:C1644)=0,"""",IF(REGEXMATCH(INDEX(FILTER(C$4:C1421,C$4:C1421&lt;&gt;""""),ROWS(FILTER(C$4:C1421,C$4:C1421&lt;&gt;""""))),""^Sell_""),INDEX(FILTER(F$4:F1420,C$4:C1420&lt;&gt;""""),ROWS(FILTER(C$4:C1420,C$4:C1420&lt;&gt;""""))),$AC$5+E1421))"),"")</f>
        <v/>
      </c>
      <c r="G1421" s="10" t="str">
        <f>IFERROR(__xludf.DUMMYFUNCTION("IF(COUNTA(C1421:C1644)=0,"""",IF(C1421="""",0,IF(REGEXMATCH(C1421,""^Sell_""),-ROUNDDOWN(ROUNDUP(INDEX(Upgrades!$C$3:$C$13,MATCH(SUBSTITUTE(C1421,""Sell_"",""""),Upgrades!$B$3:$B$13,0))*1.15^(COUNTIF(C$4:C1420,SUBSTITUTE(C1421,""Sell_"",""""))-COUNTIF(C$4"&amp;":C1420,""Sell_""&amp;SUBSTITUTE(C1421,""Sell_"",""""))))/2),ROUNDUP(INDEX(Upgrades!$C$3:$C$13,MATCH(C1421,Upgrades!$B$3:$B$13,0))*1.15^(COUNTIF(C$4:C1420,C1421)-COUNTIF(C$4:C1420,""Sell_""&amp;C1421))))))"),"")</f>
        <v/>
      </c>
      <c r="H1421" s="10" t="str">
        <f t="shared" si="3"/>
        <v/>
      </c>
      <c r="I1421" s="68" t="str">
        <f t="shared" si="4"/>
        <v/>
      </c>
      <c r="J1421" s="59" t="str">
        <f t="shared" si="5"/>
        <v/>
      </c>
      <c r="K1421" s="69" t="str">
        <f t="shared" si="6"/>
        <v/>
      </c>
      <c r="L1421" s="60" t="str">
        <f t="shared" si="7"/>
        <v/>
      </c>
      <c r="M1421" s="61" t="str">
        <f>IFERROR(__xludf.DUMMYFUNCTION("IFS(AND(COUNTA(C1421:C1644)=0,COUNTA(Q1421:Q1644)=0),"""",OR(AND(K1421&gt;=1000000000,OR(Y1421&gt;=1000000000,COUNTA(Q1421:Q1644)=0)),OR(Y1421&gt;=1000000000,AND(COUNTA(C1421:C1644)=0,P$3=TRUE))),
ROUNDDOWN((AB$1-AC$1)*MAX(INDEX(T$4:T1644,MATCH(LARGE(FILTER(Y$4:Y1"&amp;"644,Y$4:Y1644&lt;1000000000),1),Y$4:Y1644)),INDEX(F$4:F1644,MATCH(LARGE(FILTER(K$4:K1644,K$4:K1644&lt;1000000000),1),K$4:K1644)))),AND(K1421&lt;1000000000,COUNTA(C1421:C1644)&gt;0,P$3=FALSE),
ROUNDDOWN(INDEX(Y$4:Y1644,MATCH(LARGE(FILTER(W$4:W1644,W$4:W1644&lt;=I1421),1)"&amp;",W$4:W1644))+(I1421-LARGE(FILTER(W$4:W1644,W$4:W1644&lt;=I1421),1))*INDEX(T$4:T1644,MATCH(LARGE(FILTER(W$4:W1644,W$4:W1644&lt;=I1421),1),W$4:W1644))-K1421),1,
ROUNDDOWN(Y1421-INDEX(K$4:K1644,MATCH(LARGE(FILTER(I$4:I1644,I$4:I1644&lt;=W1421),1),I$4:I1644))-(W1421-L"&amp;"ARGE(FILTER(I$4:I1644,I$4:I1644&lt;=W1421),1))*INDEX(F$4:F1644,MATCH(LARGE(FILTER(I$4:I1644,I$4:I1644&lt;=W1421),1),I$4:I1644))))"),"")</f>
        <v/>
      </c>
      <c r="N1421" s="60" t="str">
        <f t="shared" si="8"/>
        <v/>
      </c>
      <c r="O1421" s="61" t="str">
        <f t="shared" si="9"/>
        <v/>
      </c>
      <c r="P1421" s="56" t="str">
        <f t="shared" si="10"/>
        <v/>
      </c>
      <c r="Q1421" s="105"/>
      <c r="R1421" s="10"/>
      <c r="S1421" s="59" t="str">
        <f t="array" ref="S1421">IF(COUNTA(Q1421:Q1644)=0,"",SUM((COUNTIF(Q$4:Q1421,Upgrades!$B$3:$B$13)-COUNTIF(Q$4:Q1421,"Sell_"&amp;Upgrades!$B$3:$B$13))*Upgrades!$D$3:$D$13))</f>
        <v/>
      </c>
      <c r="T1421" s="66" t="str">
        <f>IFERROR(__xludf.DUMMYFUNCTION("IF(COUNTA(Q1421:Q1644)=0,"""",IF(REGEXMATCH(INDEX(FILTER(Q$4:Q1421,Q$4:Q1421&lt;&gt;""""),ROWS(FILTER(Q$4:Q1421,Q$4:Q1421&lt;&gt;""""))),""^Sell_""),INDEX(FILTER(T$4:T1420,Q$4:Q1420&lt;&gt;""""),ROWS(FILTER(Q$4:Q1420,Q$4:Q1420&lt;&gt;""""))),$AD$5+S1421))"),"")</f>
        <v/>
      </c>
      <c r="U1421" s="10" t="str">
        <f>IFERROR(__xludf.DUMMYFUNCTION("IF(COUNTA(Q1421:Q1644)=0,"""",IF(Q1421="""",0,IF(REGEXMATCH(Q1421,""^Sell_""),-ROUNDDOWN(ROUNDUP(INDEX(Upgrades!$C$3:$C$13,MATCH(SUBSTITUTE(Q1421,""Sell_"",""""),Upgrades!$B$3:$B$13,0))*1.15^(COUNTIF(Q$4:Q1420,SUBSTITUTE(Q1421,""Sell_"",""""))-COUNTIF(Q$4"&amp;":Q1420,""Sell_""&amp;SUBSTITUTE(Q1421,""Sell_"",""""))))/2),ROUNDUP(INDEX(Upgrades!$C$3:$C$13,MATCH(Q1421,Upgrades!$B$3:$B$13,0))*1.15^(COUNTIF(Q$4:Q1420,Q1421)-COUNTIF(Q$4:Q1420,""Sell_""&amp;Q1421))))))"),"")</f>
        <v/>
      </c>
      <c r="V1421" s="10" t="str">
        <f t="shared" si="11"/>
        <v/>
      </c>
      <c r="W1421" s="68" t="str">
        <f t="shared" si="12"/>
        <v/>
      </c>
      <c r="X1421" s="59" t="str">
        <f t="shared" si="13"/>
        <v/>
      </c>
      <c r="Y1421" s="69" t="str">
        <f t="shared" si="14"/>
        <v/>
      </c>
      <c r="Z1421" s="11"/>
      <c r="AG1421" s="59"/>
    </row>
    <row r="1422">
      <c r="A1422" s="8"/>
      <c r="B1422" s="56" t="str">
        <f t="shared" si="2"/>
        <v/>
      </c>
      <c r="C1422" s="105"/>
      <c r="D1422" s="10"/>
      <c r="E1422" s="59" t="str">
        <f t="array" ref="E1422">IF(COUNTA(C1422:C1644)=0,"",SUM((COUNTIF(C$4:C1422,Upgrades!$B$3:$B$13)-COUNTIF(C$4:C1422,"Sell_"&amp;Upgrades!$B$3:$B$13))*Upgrades!$D$3:$D$13))</f>
        <v/>
      </c>
      <c r="F1422" s="66" t="str">
        <f>IFERROR(__xludf.DUMMYFUNCTION("IF(COUNTA(C1422:C1644)=0,"""",IF(REGEXMATCH(INDEX(FILTER(C$4:C1422,C$4:C1422&lt;&gt;""""),ROWS(FILTER(C$4:C1422,C$4:C1422&lt;&gt;""""))),""^Sell_""),INDEX(FILTER(F$4:F1421,C$4:C1421&lt;&gt;""""),ROWS(FILTER(C$4:C1421,C$4:C1421&lt;&gt;""""))),$AC$5+E1422))"),"")</f>
        <v/>
      </c>
      <c r="G1422" s="10" t="str">
        <f>IFERROR(__xludf.DUMMYFUNCTION("IF(COUNTA(C1422:C1644)=0,"""",IF(C1422="""",0,IF(REGEXMATCH(C1422,""^Sell_""),-ROUNDDOWN(ROUNDUP(INDEX(Upgrades!$C$3:$C$13,MATCH(SUBSTITUTE(C1422,""Sell_"",""""),Upgrades!$B$3:$B$13,0))*1.15^(COUNTIF(C$4:C1421,SUBSTITUTE(C1422,""Sell_"",""""))-COUNTIF(C$4"&amp;":C1421,""Sell_""&amp;SUBSTITUTE(C1422,""Sell_"",""""))))/2),ROUNDUP(INDEX(Upgrades!$C$3:$C$13,MATCH(C1422,Upgrades!$B$3:$B$13,0))*1.15^(COUNTIF(C$4:C1421,C1422)-COUNTIF(C$4:C1421,""Sell_""&amp;C1422))))))"),"")</f>
        <v/>
      </c>
      <c r="H1422" s="10" t="str">
        <f t="shared" si="3"/>
        <v/>
      </c>
      <c r="I1422" s="68" t="str">
        <f t="shared" si="4"/>
        <v/>
      </c>
      <c r="J1422" s="59" t="str">
        <f t="shared" si="5"/>
        <v/>
      </c>
      <c r="K1422" s="69" t="str">
        <f t="shared" si="6"/>
        <v/>
      </c>
      <c r="L1422" s="60" t="str">
        <f t="shared" si="7"/>
        <v/>
      </c>
      <c r="M1422" s="61" t="str">
        <f>IFERROR(__xludf.DUMMYFUNCTION("IFS(AND(COUNTA(C1422:C1644)=0,COUNTA(Q1422:Q1644)=0),"""",OR(AND(K1422&gt;=1000000000,OR(Y1422&gt;=1000000000,COUNTA(Q1422:Q1644)=0)),OR(Y1422&gt;=1000000000,AND(COUNTA(C1422:C1644)=0,P$3=TRUE))),
ROUNDDOWN((AB$1-AC$1)*MAX(INDEX(T$4:T1644,MATCH(LARGE(FILTER(Y$4:Y1"&amp;"644,Y$4:Y1644&lt;1000000000),1),Y$4:Y1644)),INDEX(F$4:F1644,MATCH(LARGE(FILTER(K$4:K1644,K$4:K1644&lt;1000000000),1),K$4:K1644)))),AND(K1422&lt;1000000000,COUNTA(C1422:C1644)&gt;0,P$3=FALSE),
ROUNDDOWN(INDEX(Y$4:Y1644,MATCH(LARGE(FILTER(W$4:W1644,W$4:W1644&lt;=I1422),1)"&amp;",W$4:W1644))+(I1422-LARGE(FILTER(W$4:W1644,W$4:W1644&lt;=I1422),1))*INDEX(T$4:T1644,MATCH(LARGE(FILTER(W$4:W1644,W$4:W1644&lt;=I1422),1),W$4:W1644))-K1422),1,
ROUNDDOWN(Y1422-INDEX(K$4:K1644,MATCH(LARGE(FILTER(I$4:I1644,I$4:I1644&lt;=W1422),1),I$4:I1644))-(W1422-L"&amp;"ARGE(FILTER(I$4:I1644,I$4:I1644&lt;=W1422),1))*INDEX(F$4:F1644,MATCH(LARGE(FILTER(I$4:I1644,I$4:I1644&lt;=W1422),1),I$4:I1644))))"),"")</f>
        <v/>
      </c>
      <c r="N1422" s="60" t="str">
        <f t="shared" si="8"/>
        <v/>
      </c>
      <c r="O1422" s="61" t="str">
        <f t="shared" si="9"/>
        <v/>
      </c>
      <c r="P1422" s="56" t="str">
        <f t="shared" si="10"/>
        <v/>
      </c>
      <c r="Q1422" s="105"/>
      <c r="R1422" s="10"/>
      <c r="S1422" s="59" t="str">
        <f t="array" ref="S1422">IF(COUNTA(Q1422:Q1644)=0,"",SUM((COUNTIF(Q$4:Q1422,Upgrades!$B$3:$B$13)-COUNTIF(Q$4:Q1422,"Sell_"&amp;Upgrades!$B$3:$B$13))*Upgrades!$D$3:$D$13))</f>
        <v/>
      </c>
      <c r="T1422" s="66" t="str">
        <f>IFERROR(__xludf.DUMMYFUNCTION("IF(COUNTA(Q1422:Q1644)=0,"""",IF(REGEXMATCH(INDEX(FILTER(Q$4:Q1422,Q$4:Q1422&lt;&gt;""""),ROWS(FILTER(Q$4:Q1422,Q$4:Q1422&lt;&gt;""""))),""^Sell_""),INDEX(FILTER(T$4:T1421,Q$4:Q1421&lt;&gt;""""),ROWS(FILTER(Q$4:Q1421,Q$4:Q1421&lt;&gt;""""))),$AD$5+S1422))"),"")</f>
        <v/>
      </c>
      <c r="U1422" s="10" t="str">
        <f>IFERROR(__xludf.DUMMYFUNCTION("IF(COUNTA(Q1422:Q1644)=0,"""",IF(Q1422="""",0,IF(REGEXMATCH(Q1422,""^Sell_""),-ROUNDDOWN(ROUNDUP(INDEX(Upgrades!$C$3:$C$13,MATCH(SUBSTITUTE(Q1422,""Sell_"",""""),Upgrades!$B$3:$B$13,0))*1.15^(COUNTIF(Q$4:Q1421,SUBSTITUTE(Q1422,""Sell_"",""""))-COUNTIF(Q$4"&amp;":Q1421,""Sell_""&amp;SUBSTITUTE(Q1422,""Sell_"",""""))))/2),ROUNDUP(INDEX(Upgrades!$C$3:$C$13,MATCH(Q1422,Upgrades!$B$3:$B$13,0))*1.15^(COUNTIF(Q$4:Q1421,Q1422)-COUNTIF(Q$4:Q1421,""Sell_""&amp;Q1422))))))"),"")</f>
        <v/>
      </c>
      <c r="V1422" s="10" t="str">
        <f t="shared" si="11"/>
        <v/>
      </c>
      <c r="W1422" s="68" t="str">
        <f t="shared" si="12"/>
        <v/>
      </c>
      <c r="X1422" s="59" t="str">
        <f t="shared" si="13"/>
        <v/>
      </c>
      <c r="Y1422" s="69" t="str">
        <f t="shared" si="14"/>
        <v/>
      </c>
      <c r="Z1422" s="11"/>
      <c r="AG1422" s="59"/>
    </row>
    <row r="1423">
      <c r="A1423" s="8"/>
      <c r="B1423" s="56" t="str">
        <f t="shared" si="2"/>
        <v/>
      </c>
      <c r="C1423" s="105"/>
      <c r="D1423" s="10"/>
      <c r="E1423" s="59" t="str">
        <f t="array" ref="E1423">IF(COUNTA(C1423:C1644)=0,"",SUM((COUNTIF(C$4:C1423,Upgrades!$B$3:$B$13)-COUNTIF(C$4:C1423,"Sell_"&amp;Upgrades!$B$3:$B$13))*Upgrades!$D$3:$D$13))</f>
        <v/>
      </c>
      <c r="F1423" s="66" t="str">
        <f>IFERROR(__xludf.DUMMYFUNCTION("IF(COUNTA(C1423:C1644)=0,"""",IF(REGEXMATCH(INDEX(FILTER(C$4:C1423,C$4:C1423&lt;&gt;""""),ROWS(FILTER(C$4:C1423,C$4:C1423&lt;&gt;""""))),""^Sell_""),INDEX(FILTER(F$4:F1422,C$4:C1422&lt;&gt;""""),ROWS(FILTER(C$4:C1422,C$4:C1422&lt;&gt;""""))),$AC$5+E1423))"),"")</f>
        <v/>
      </c>
      <c r="G1423" s="10" t="str">
        <f>IFERROR(__xludf.DUMMYFUNCTION("IF(COUNTA(C1423:C1644)=0,"""",IF(C1423="""",0,IF(REGEXMATCH(C1423,""^Sell_""),-ROUNDDOWN(ROUNDUP(INDEX(Upgrades!$C$3:$C$13,MATCH(SUBSTITUTE(C1423,""Sell_"",""""),Upgrades!$B$3:$B$13,0))*1.15^(COUNTIF(C$4:C1422,SUBSTITUTE(C1423,""Sell_"",""""))-COUNTIF(C$4"&amp;":C1422,""Sell_""&amp;SUBSTITUTE(C1423,""Sell_"",""""))))/2),ROUNDUP(INDEX(Upgrades!$C$3:$C$13,MATCH(C1423,Upgrades!$B$3:$B$13,0))*1.15^(COUNTIF(C$4:C1422,C1423)-COUNTIF(C$4:C1422,""Sell_""&amp;C1423))))))"),"")</f>
        <v/>
      </c>
      <c r="H1423" s="10" t="str">
        <f t="shared" si="3"/>
        <v/>
      </c>
      <c r="I1423" s="68" t="str">
        <f t="shared" si="4"/>
        <v/>
      </c>
      <c r="J1423" s="59" t="str">
        <f t="shared" si="5"/>
        <v/>
      </c>
      <c r="K1423" s="69" t="str">
        <f t="shared" si="6"/>
        <v/>
      </c>
      <c r="L1423" s="60" t="str">
        <f t="shared" si="7"/>
        <v/>
      </c>
      <c r="M1423" s="61" t="str">
        <f>IFERROR(__xludf.DUMMYFUNCTION("IFS(AND(COUNTA(C1423:C1644)=0,COUNTA(Q1423:Q1644)=0),"""",OR(AND(K1423&gt;=1000000000,OR(Y1423&gt;=1000000000,COUNTA(Q1423:Q1644)=0)),OR(Y1423&gt;=1000000000,AND(COUNTA(C1423:C1644)=0,P$3=TRUE))),
ROUNDDOWN((AB$1-AC$1)*MAX(INDEX(T$4:T1644,MATCH(LARGE(FILTER(Y$4:Y1"&amp;"644,Y$4:Y1644&lt;1000000000),1),Y$4:Y1644)),INDEX(F$4:F1644,MATCH(LARGE(FILTER(K$4:K1644,K$4:K1644&lt;1000000000),1),K$4:K1644)))),AND(K1423&lt;1000000000,COUNTA(C1423:C1644)&gt;0,P$3=FALSE),
ROUNDDOWN(INDEX(Y$4:Y1644,MATCH(LARGE(FILTER(W$4:W1644,W$4:W1644&lt;=I1423),1)"&amp;",W$4:W1644))+(I1423-LARGE(FILTER(W$4:W1644,W$4:W1644&lt;=I1423),1))*INDEX(T$4:T1644,MATCH(LARGE(FILTER(W$4:W1644,W$4:W1644&lt;=I1423),1),W$4:W1644))-K1423),1,
ROUNDDOWN(Y1423-INDEX(K$4:K1644,MATCH(LARGE(FILTER(I$4:I1644,I$4:I1644&lt;=W1423),1),I$4:I1644))-(W1423-L"&amp;"ARGE(FILTER(I$4:I1644,I$4:I1644&lt;=W1423),1))*INDEX(F$4:F1644,MATCH(LARGE(FILTER(I$4:I1644,I$4:I1644&lt;=W1423),1),I$4:I1644))))"),"")</f>
        <v/>
      </c>
      <c r="N1423" s="60" t="str">
        <f t="shared" si="8"/>
        <v/>
      </c>
      <c r="O1423" s="61" t="str">
        <f t="shared" si="9"/>
        <v/>
      </c>
      <c r="P1423" s="56" t="str">
        <f t="shared" si="10"/>
        <v/>
      </c>
      <c r="Q1423" s="105"/>
      <c r="R1423" s="10"/>
      <c r="S1423" s="59" t="str">
        <f t="array" ref="S1423">IF(COUNTA(Q1423:Q1644)=0,"",SUM((COUNTIF(Q$4:Q1423,Upgrades!$B$3:$B$13)-COUNTIF(Q$4:Q1423,"Sell_"&amp;Upgrades!$B$3:$B$13))*Upgrades!$D$3:$D$13))</f>
        <v/>
      </c>
      <c r="T1423" s="66" t="str">
        <f>IFERROR(__xludf.DUMMYFUNCTION("IF(COUNTA(Q1423:Q1644)=0,"""",IF(REGEXMATCH(INDEX(FILTER(Q$4:Q1423,Q$4:Q1423&lt;&gt;""""),ROWS(FILTER(Q$4:Q1423,Q$4:Q1423&lt;&gt;""""))),""^Sell_""),INDEX(FILTER(T$4:T1422,Q$4:Q1422&lt;&gt;""""),ROWS(FILTER(Q$4:Q1422,Q$4:Q1422&lt;&gt;""""))),$AD$5+S1423))"),"")</f>
        <v/>
      </c>
      <c r="U1423" s="10" t="str">
        <f>IFERROR(__xludf.DUMMYFUNCTION("IF(COUNTA(Q1423:Q1644)=0,"""",IF(Q1423="""",0,IF(REGEXMATCH(Q1423,""^Sell_""),-ROUNDDOWN(ROUNDUP(INDEX(Upgrades!$C$3:$C$13,MATCH(SUBSTITUTE(Q1423,""Sell_"",""""),Upgrades!$B$3:$B$13,0))*1.15^(COUNTIF(Q$4:Q1422,SUBSTITUTE(Q1423,""Sell_"",""""))-COUNTIF(Q$4"&amp;":Q1422,""Sell_""&amp;SUBSTITUTE(Q1423,""Sell_"",""""))))/2),ROUNDUP(INDEX(Upgrades!$C$3:$C$13,MATCH(Q1423,Upgrades!$B$3:$B$13,0))*1.15^(COUNTIF(Q$4:Q1422,Q1423)-COUNTIF(Q$4:Q1422,""Sell_""&amp;Q1423))))))"),"")</f>
        <v/>
      </c>
      <c r="V1423" s="10" t="str">
        <f t="shared" si="11"/>
        <v/>
      </c>
      <c r="W1423" s="68" t="str">
        <f t="shared" si="12"/>
        <v/>
      </c>
      <c r="X1423" s="59" t="str">
        <f t="shared" si="13"/>
        <v/>
      </c>
      <c r="Y1423" s="69" t="str">
        <f t="shared" si="14"/>
        <v/>
      </c>
      <c r="Z1423" s="11"/>
      <c r="AG1423" s="59"/>
    </row>
    <row r="1424">
      <c r="A1424" s="8"/>
      <c r="B1424" s="56" t="str">
        <f t="shared" si="2"/>
        <v/>
      </c>
      <c r="C1424" s="105"/>
      <c r="D1424" s="10"/>
      <c r="E1424" s="59" t="str">
        <f t="array" ref="E1424">IF(COUNTA(C1424:C1644)=0,"",SUM((COUNTIF(C$4:C1424,Upgrades!$B$3:$B$13)-COUNTIF(C$4:C1424,"Sell_"&amp;Upgrades!$B$3:$B$13))*Upgrades!$D$3:$D$13))</f>
        <v/>
      </c>
      <c r="F1424" s="66" t="str">
        <f>IFERROR(__xludf.DUMMYFUNCTION("IF(COUNTA(C1424:C1644)=0,"""",IF(REGEXMATCH(INDEX(FILTER(C$4:C1424,C$4:C1424&lt;&gt;""""),ROWS(FILTER(C$4:C1424,C$4:C1424&lt;&gt;""""))),""^Sell_""),INDEX(FILTER(F$4:F1423,C$4:C1423&lt;&gt;""""),ROWS(FILTER(C$4:C1423,C$4:C1423&lt;&gt;""""))),$AC$5+E1424))"),"")</f>
        <v/>
      </c>
      <c r="G1424" s="10" t="str">
        <f>IFERROR(__xludf.DUMMYFUNCTION("IF(COUNTA(C1424:C1644)=0,"""",IF(C1424="""",0,IF(REGEXMATCH(C1424,""^Sell_""),-ROUNDDOWN(ROUNDUP(INDEX(Upgrades!$C$3:$C$13,MATCH(SUBSTITUTE(C1424,""Sell_"",""""),Upgrades!$B$3:$B$13,0))*1.15^(COUNTIF(C$4:C1423,SUBSTITUTE(C1424,""Sell_"",""""))-COUNTIF(C$4"&amp;":C1423,""Sell_""&amp;SUBSTITUTE(C1424,""Sell_"",""""))))/2),ROUNDUP(INDEX(Upgrades!$C$3:$C$13,MATCH(C1424,Upgrades!$B$3:$B$13,0))*1.15^(COUNTIF(C$4:C1423,C1424)-COUNTIF(C$4:C1423,""Sell_""&amp;C1424))))))"),"")</f>
        <v/>
      </c>
      <c r="H1424" s="10" t="str">
        <f t="shared" si="3"/>
        <v/>
      </c>
      <c r="I1424" s="68" t="str">
        <f t="shared" si="4"/>
        <v/>
      </c>
      <c r="J1424" s="59" t="str">
        <f t="shared" si="5"/>
        <v/>
      </c>
      <c r="K1424" s="69" t="str">
        <f t="shared" si="6"/>
        <v/>
      </c>
      <c r="L1424" s="60" t="str">
        <f t="shared" si="7"/>
        <v/>
      </c>
      <c r="M1424" s="61" t="str">
        <f>IFERROR(__xludf.DUMMYFUNCTION("IFS(AND(COUNTA(C1424:C1644)=0,COUNTA(Q1424:Q1644)=0),"""",OR(AND(K1424&gt;=1000000000,OR(Y1424&gt;=1000000000,COUNTA(Q1424:Q1644)=0)),OR(Y1424&gt;=1000000000,AND(COUNTA(C1424:C1644)=0,P$3=TRUE))),
ROUNDDOWN((AB$1-AC$1)*MAX(INDEX(T$4:T1644,MATCH(LARGE(FILTER(Y$4:Y1"&amp;"644,Y$4:Y1644&lt;1000000000),1),Y$4:Y1644)),INDEX(F$4:F1644,MATCH(LARGE(FILTER(K$4:K1644,K$4:K1644&lt;1000000000),1),K$4:K1644)))),AND(K1424&lt;1000000000,COUNTA(C1424:C1644)&gt;0,P$3=FALSE),
ROUNDDOWN(INDEX(Y$4:Y1644,MATCH(LARGE(FILTER(W$4:W1644,W$4:W1644&lt;=I1424),1)"&amp;",W$4:W1644))+(I1424-LARGE(FILTER(W$4:W1644,W$4:W1644&lt;=I1424),1))*INDEX(T$4:T1644,MATCH(LARGE(FILTER(W$4:W1644,W$4:W1644&lt;=I1424),1),W$4:W1644))-K1424),1,
ROUNDDOWN(Y1424-INDEX(K$4:K1644,MATCH(LARGE(FILTER(I$4:I1644,I$4:I1644&lt;=W1424),1),I$4:I1644))-(W1424-L"&amp;"ARGE(FILTER(I$4:I1644,I$4:I1644&lt;=W1424),1))*INDEX(F$4:F1644,MATCH(LARGE(FILTER(I$4:I1644,I$4:I1644&lt;=W1424),1),I$4:I1644))))"),"")</f>
        <v/>
      </c>
      <c r="N1424" s="60" t="str">
        <f t="shared" si="8"/>
        <v/>
      </c>
      <c r="O1424" s="61" t="str">
        <f t="shared" si="9"/>
        <v/>
      </c>
      <c r="P1424" s="56" t="str">
        <f t="shared" si="10"/>
        <v/>
      </c>
      <c r="Q1424" s="105"/>
      <c r="R1424" s="10"/>
      <c r="S1424" s="59" t="str">
        <f t="array" ref="S1424">IF(COUNTA(Q1424:Q1644)=0,"",SUM((COUNTIF(Q$4:Q1424,Upgrades!$B$3:$B$13)-COUNTIF(Q$4:Q1424,"Sell_"&amp;Upgrades!$B$3:$B$13))*Upgrades!$D$3:$D$13))</f>
        <v/>
      </c>
      <c r="T1424" s="66" t="str">
        <f>IFERROR(__xludf.DUMMYFUNCTION("IF(COUNTA(Q1424:Q1644)=0,"""",IF(REGEXMATCH(INDEX(FILTER(Q$4:Q1424,Q$4:Q1424&lt;&gt;""""),ROWS(FILTER(Q$4:Q1424,Q$4:Q1424&lt;&gt;""""))),""^Sell_""),INDEX(FILTER(T$4:T1423,Q$4:Q1423&lt;&gt;""""),ROWS(FILTER(Q$4:Q1423,Q$4:Q1423&lt;&gt;""""))),$AD$5+S1424))"),"")</f>
        <v/>
      </c>
      <c r="U1424" s="10" t="str">
        <f>IFERROR(__xludf.DUMMYFUNCTION("IF(COUNTA(Q1424:Q1644)=0,"""",IF(Q1424="""",0,IF(REGEXMATCH(Q1424,""^Sell_""),-ROUNDDOWN(ROUNDUP(INDEX(Upgrades!$C$3:$C$13,MATCH(SUBSTITUTE(Q1424,""Sell_"",""""),Upgrades!$B$3:$B$13,0))*1.15^(COUNTIF(Q$4:Q1423,SUBSTITUTE(Q1424,""Sell_"",""""))-COUNTIF(Q$4"&amp;":Q1423,""Sell_""&amp;SUBSTITUTE(Q1424,""Sell_"",""""))))/2),ROUNDUP(INDEX(Upgrades!$C$3:$C$13,MATCH(Q1424,Upgrades!$B$3:$B$13,0))*1.15^(COUNTIF(Q$4:Q1423,Q1424)-COUNTIF(Q$4:Q1423,""Sell_""&amp;Q1424))))))"),"")</f>
        <v/>
      </c>
      <c r="V1424" s="10" t="str">
        <f t="shared" si="11"/>
        <v/>
      </c>
      <c r="W1424" s="68" t="str">
        <f t="shared" si="12"/>
        <v/>
      </c>
      <c r="X1424" s="59" t="str">
        <f t="shared" si="13"/>
        <v/>
      </c>
      <c r="Y1424" s="69" t="str">
        <f t="shared" si="14"/>
        <v/>
      </c>
      <c r="Z1424" s="11"/>
      <c r="AG1424" s="59"/>
    </row>
    <row r="1425">
      <c r="A1425" s="8"/>
      <c r="B1425" s="56" t="str">
        <f t="shared" si="2"/>
        <v/>
      </c>
      <c r="C1425" s="105"/>
      <c r="D1425" s="10"/>
      <c r="E1425" s="59" t="str">
        <f t="array" ref="E1425">IF(COUNTA(C1425:C1644)=0,"",SUM((COUNTIF(C$4:C1425,Upgrades!$B$3:$B$13)-COUNTIF(C$4:C1425,"Sell_"&amp;Upgrades!$B$3:$B$13))*Upgrades!$D$3:$D$13))</f>
        <v/>
      </c>
      <c r="F1425" s="66" t="str">
        <f>IFERROR(__xludf.DUMMYFUNCTION("IF(COUNTA(C1425:C1644)=0,"""",IF(REGEXMATCH(INDEX(FILTER(C$4:C1425,C$4:C1425&lt;&gt;""""),ROWS(FILTER(C$4:C1425,C$4:C1425&lt;&gt;""""))),""^Sell_""),INDEX(FILTER(F$4:F1424,C$4:C1424&lt;&gt;""""),ROWS(FILTER(C$4:C1424,C$4:C1424&lt;&gt;""""))),$AC$5+E1425))"),"")</f>
        <v/>
      </c>
      <c r="G1425" s="10" t="str">
        <f>IFERROR(__xludf.DUMMYFUNCTION("IF(COUNTA(C1425:C1644)=0,"""",IF(C1425="""",0,IF(REGEXMATCH(C1425,""^Sell_""),-ROUNDDOWN(ROUNDUP(INDEX(Upgrades!$C$3:$C$13,MATCH(SUBSTITUTE(C1425,""Sell_"",""""),Upgrades!$B$3:$B$13,0))*1.15^(COUNTIF(C$4:C1424,SUBSTITUTE(C1425,""Sell_"",""""))-COUNTIF(C$4"&amp;":C1424,""Sell_""&amp;SUBSTITUTE(C1425,""Sell_"",""""))))/2),ROUNDUP(INDEX(Upgrades!$C$3:$C$13,MATCH(C1425,Upgrades!$B$3:$B$13,0))*1.15^(COUNTIF(C$4:C1424,C1425)-COUNTIF(C$4:C1424,""Sell_""&amp;C1425))))))"),"")</f>
        <v/>
      </c>
      <c r="H1425" s="10" t="str">
        <f t="shared" si="3"/>
        <v/>
      </c>
      <c r="I1425" s="68" t="str">
        <f t="shared" si="4"/>
        <v/>
      </c>
      <c r="J1425" s="59" t="str">
        <f t="shared" si="5"/>
        <v/>
      </c>
      <c r="K1425" s="69" t="str">
        <f t="shared" si="6"/>
        <v/>
      </c>
      <c r="L1425" s="60" t="str">
        <f t="shared" si="7"/>
        <v/>
      </c>
      <c r="M1425" s="61" t="str">
        <f>IFERROR(__xludf.DUMMYFUNCTION("IFS(AND(COUNTA(C1425:C1644)=0,COUNTA(Q1425:Q1644)=0),"""",OR(AND(K1425&gt;=1000000000,OR(Y1425&gt;=1000000000,COUNTA(Q1425:Q1644)=0)),OR(Y1425&gt;=1000000000,AND(COUNTA(C1425:C1644)=0,P$3=TRUE))),
ROUNDDOWN((AB$1-AC$1)*MAX(INDEX(T$4:T1644,MATCH(LARGE(FILTER(Y$4:Y1"&amp;"644,Y$4:Y1644&lt;1000000000),1),Y$4:Y1644)),INDEX(F$4:F1644,MATCH(LARGE(FILTER(K$4:K1644,K$4:K1644&lt;1000000000),1),K$4:K1644)))),AND(K1425&lt;1000000000,COUNTA(C1425:C1644)&gt;0,P$3=FALSE),
ROUNDDOWN(INDEX(Y$4:Y1644,MATCH(LARGE(FILTER(W$4:W1644,W$4:W1644&lt;=I1425),1)"&amp;",W$4:W1644))+(I1425-LARGE(FILTER(W$4:W1644,W$4:W1644&lt;=I1425),1))*INDEX(T$4:T1644,MATCH(LARGE(FILTER(W$4:W1644,W$4:W1644&lt;=I1425),1),W$4:W1644))-K1425),1,
ROUNDDOWN(Y1425-INDEX(K$4:K1644,MATCH(LARGE(FILTER(I$4:I1644,I$4:I1644&lt;=W1425),1),I$4:I1644))-(W1425-L"&amp;"ARGE(FILTER(I$4:I1644,I$4:I1644&lt;=W1425),1))*INDEX(F$4:F1644,MATCH(LARGE(FILTER(I$4:I1644,I$4:I1644&lt;=W1425),1),I$4:I1644))))"),"")</f>
        <v/>
      </c>
      <c r="N1425" s="60" t="str">
        <f t="shared" si="8"/>
        <v/>
      </c>
      <c r="O1425" s="61" t="str">
        <f t="shared" si="9"/>
        <v/>
      </c>
      <c r="P1425" s="56" t="str">
        <f t="shared" si="10"/>
        <v/>
      </c>
      <c r="Q1425" s="105"/>
      <c r="R1425" s="10"/>
      <c r="S1425" s="59" t="str">
        <f t="array" ref="S1425">IF(COUNTA(Q1425:Q1644)=0,"",SUM((COUNTIF(Q$4:Q1425,Upgrades!$B$3:$B$13)-COUNTIF(Q$4:Q1425,"Sell_"&amp;Upgrades!$B$3:$B$13))*Upgrades!$D$3:$D$13))</f>
        <v/>
      </c>
      <c r="T1425" s="66" t="str">
        <f>IFERROR(__xludf.DUMMYFUNCTION("IF(COUNTA(Q1425:Q1644)=0,"""",IF(REGEXMATCH(INDEX(FILTER(Q$4:Q1425,Q$4:Q1425&lt;&gt;""""),ROWS(FILTER(Q$4:Q1425,Q$4:Q1425&lt;&gt;""""))),""^Sell_""),INDEX(FILTER(T$4:T1424,Q$4:Q1424&lt;&gt;""""),ROWS(FILTER(Q$4:Q1424,Q$4:Q1424&lt;&gt;""""))),$AD$5+S1425))"),"")</f>
        <v/>
      </c>
      <c r="U1425" s="10" t="str">
        <f>IFERROR(__xludf.DUMMYFUNCTION("IF(COUNTA(Q1425:Q1644)=0,"""",IF(Q1425="""",0,IF(REGEXMATCH(Q1425,""^Sell_""),-ROUNDDOWN(ROUNDUP(INDEX(Upgrades!$C$3:$C$13,MATCH(SUBSTITUTE(Q1425,""Sell_"",""""),Upgrades!$B$3:$B$13,0))*1.15^(COUNTIF(Q$4:Q1424,SUBSTITUTE(Q1425,""Sell_"",""""))-COUNTIF(Q$4"&amp;":Q1424,""Sell_""&amp;SUBSTITUTE(Q1425,""Sell_"",""""))))/2),ROUNDUP(INDEX(Upgrades!$C$3:$C$13,MATCH(Q1425,Upgrades!$B$3:$B$13,0))*1.15^(COUNTIF(Q$4:Q1424,Q1425)-COUNTIF(Q$4:Q1424,""Sell_""&amp;Q1425))))))"),"")</f>
        <v/>
      </c>
      <c r="V1425" s="10" t="str">
        <f t="shared" si="11"/>
        <v/>
      </c>
      <c r="W1425" s="68" t="str">
        <f t="shared" si="12"/>
        <v/>
      </c>
      <c r="X1425" s="59" t="str">
        <f t="shared" si="13"/>
        <v/>
      </c>
      <c r="Y1425" s="69" t="str">
        <f t="shared" si="14"/>
        <v/>
      </c>
      <c r="Z1425" s="11"/>
      <c r="AG1425" s="59"/>
    </row>
    <row r="1426">
      <c r="A1426" s="8"/>
      <c r="B1426" s="56" t="str">
        <f t="shared" si="2"/>
        <v/>
      </c>
      <c r="C1426" s="105"/>
      <c r="D1426" s="10"/>
      <c r="E1426" s="59" t="str">
        <f t="array" ref="E1426">IF(COUNTA(C1426:C1644)=0,"",SUM((COUNTIF(C$4:C1426,Upgrades!$B$3:$B$13)-COUNTIF(C$4:C1426,"Sell_"&amp;Upgrades!$B$3:$B$13))*Upgrades!$D$3:$D$13))</f>
        <v/>
      </c>
      <c r="F1426" s="66" t="str">
        <f>IFERROR(__xludf.DUMMYFUNCTION("IF(COUNTA(C1426:C1644)=0,"""",IF(REGEXMATCH(INDEX(FILTER(C$4:C1426,C$4:C1426&lt;&gt;""""),ROWS(FILTER(C$4:C1426,C$4:C1426&lt;&gt;""""))),""^Sell_""),INDEX(FILTER(F$4:F1425,C$4:C1425&lt;&gt;""""),ROWS(FILTER(C$4:C1425,C$4:C1425&lt;&gt;""""))),$AC$5+E1426))"),"")</f>
        <v/>
      </c>
      <c r="G1426" s="10" t="str">
        <f>IFERROR(__xludf.DUMMYFUNCTION("IF(COUNTA(C1426:C1644)=0,"""",IF(C1426="""",0,IF(REGEXMATCH(C1426,""^Sell_""),-ROUNDDOWN(ROUNDUP(INDEX(Upgrades!$C$3:$C$13,MATCH(SUBSTITUTE(C1426,""Sell_"",""""),Upgrades!$B$3:$B$13,0))*1.15^(COUNTIF(C$4:C1425,SUBSTITUTE(C1426,""Sell_"",""""))-COUNTIF(C$4"&amp;":C1425,""Sell_""&amp;SUBSTITUTE(C1426,""Sell_"",""""))))/2),ROUNDUP(INDEX(Upgrades!$C$3:$C$13,MATCH(C1426,Upgrades!$B$3:$B$13,0))*1.15^(COUNTIF(C$4:C1425,C1426)-COUNTIF(C$4:C1425,""Sell_""&amp;C1426))))))"),"")</f>
        <v/>
      </c>
      <c r="H1426" s="10" t="str">
        <f t="shared" si="3"/>
        <v/>
      </c>
      <c r="I1426" s="68" t="str">
        <f t="shared" si="4"/>
        <v/>
      </c>
      <c r="J1426" s="59" t="str">
        <f t="shared" si="5"/>
        <v/>
      </c>
      <c r="K1426" s="69" t="str">
        <f t="shared" si="6"/>
        <v/>
      </c>
      <c r="L1426" s="60" t="str">
        <f t="shared" si="7"/>
        <v/>
      </c>
      <c r="M1426" s="61" t="str">
        <f>IFERROR(__xludf.DUMMYFUNCTION("IFS(AND(COUNTA(C1426:C1644)=0,COUNTA(Q1426:Q1644)=0),"""",OR(AND(K1426&gt;=1000000000,OR(Y1426&gt;=1000000000,COUNTA(Q1426:Q1644)=0)),OR(Y1426&gt;=1000000000,AND(COUNTA(C1426:C1644)=0,P$3=TRUE))),
ROUNDDOWN((AB$1-AC$1)*MAX(INDEX(T$4:T1644,MATCH(LARGE(FILTER(Y$4:Y1"&amp;"644,Y$4:Y1644&lt;1000000000),1),Y$4:Y1644)),INDEX(F$4:F1644,MATCH(LARGE(FILTER(K$4:K1644,K$4:K1644&lt;1000000000),1),K$4:K1644)))),AND(K1426&lt;1000000000,COUNTA(C1426:C1644)&gt;0,P$3=FALSE),
ROUNDDOWN(INDEX(Y$4:Y1644,MATCH(LARGE(FILTER(W$4:W1644,W$4:W1644&lt;=I1426),1)"&amp;",W$4:W1644))+(I1426-LARGE(FILTER(W$4:W1644,W$4:W1644&lt;=I1426),1))*INDEX(T$4:T1644,MATCH(LARGE(FILTER(W$4:W1644,W$4:W1644&lt;=I1426),1),W$4:W1644))-K1426),1,
ROUNDDOWN(Y1426-INDEX(K$4:K1644,MATCH(LARGE(FILTER(I$4:I1644,I$4:I1644&lt;=W1426),1),I$4:I1644))-(W1426-L"&amp;"ARGE(FILTER(I$4:I1644,I$4:I1644&lt;=W1426),1))*INDEX(F$4:F1644,MATCH(LARGE(FILTER(I$4:I1644,I$4:I1644&lt;=W1426),1),I$4:I1644))))"),"")</f>
        <v/>
      </c>
      <c r="N1426" s="60" t="str">
        <f t="shared" si="8"/>
        <v/>
      </c>
      <c r="O1426" s="61" t="str">
        <f t="shared" si="9"/>
        <v/>
      </c>
      <c r="P1426" s="56" t="str">
        <f t="shared" si="10"/>
        <v/>
      </c>
      <c r="Q1426" s="105"/>
      <c r="R1426" s="10"/>
      <c r="S1426" s="59" t="str">
        <f t="array" ref="S1426">IF(COUNTA(Q1426:Q1644)=0,"",SUM((COUNTIF(Q$4:Q1426,Upgrades!$B$3:$B$13)-COUNTIF(Q$4:Q1426,"Sell_"&amp;Upgrades!$B$3:$B$13))*Upgrades!$D$3:$D$13))</f>
        <v/>
      </c>
      <c r="T1426" s="66" t="str">
        <f>IFERROR(__xludf.DUMMYFUNCTION("IF(COUNTA(Q1426:Q1644)=0,"""",IF(REGEXMATCH(INDEX(FILTER(Q$4:Q1426,Q$4:Q1426&lt;&gt;""""),ROWS(FILTER(Q$4:Q1426,Q$4:Q1426&lt;&gt;""""))),""^Sell_""),INDEX(FILTER(T$4:T1425,Q$4:Q1425&lt;&gt;""""),ROWS(FILTER(Q$4:Q1425,Q$4:Q1425&lt;&gt;""""))),$AD$5+S1426))"),"")</f>
        <v/>
      </c>
      <c r="U1426" s="10" t="str">
        <f>IFERROR(__xludf.DUMMYFUNCTION("IF(COUNTA(Q1426:Q1644)=0,"""",IF(Q1426="""",0,IF(REGEXMATCH(Q1426,""^Sell_""),-ROUNDDOWN(ROUNDUP(INDEX(Upgrades!$C$3:$C$13,MATCH(SUBSTITUTE(Q1426,""Sell_"",""""),Upgrades!$B$3:$B$13,0))*1.15^(COUNTIF(Q$4:Q1425,SUBSTITUTE(Q1426,""Sell_"",""""))-COUNTIF(Q$4"&amp;":Q1425,""Sell_""&amp;SUBSTITUTE(Q1426,""Sell_"",""""))))/2),ROUNDUP(INDEX(Upgrades!$C$3:$C$13,MATCH(Q1426,Upgrades!$B$3:$B$13,0))*1.15^(COUNTIF(Q$4:Q1425,Q1426)-COUNTIF(Q$4:Q1425,""Sell_""&amp;Q1426))))))"),"")</f>
        <v/>
      </c>
      <c r="V1426" s="10" t="str">
        <f t="shared" si="11"/>
        <v/>
      </c>
      <c r="W1426" s="68" t="str">
        <f t="shared" si="12"/>
        <v/>
      </c>
      <c r="X1426" s="59" t="str">
        <f t="shared" si="13"/>
        <v/>
      </c>
      <c r="Y1426" s="69" t="str">
        <f t="shared" si="14"/>
        <v/>
      </c>
      <c r="Z1426" s="11"/>
      <c r="AG1426" s="59"/>
    </row>
    <row r="1427">
      <c r="A1427" s="8"/>
      <c r="B1427" s="56" t="str">
        <f t="shared" si="2"/>
        <v/>
      </c>
      <c r="C1427" s="105"/>
      <c r="D1427" s="10"/>
      <c r="E1427" s="59" t="str">
        <f t="array" ref="E1427">IF(COUNTA(C1427:C1644)=0,"",SUM((COUNTIF(C$4:C1427,Upgrades!$B$3:$B$13)-COUNTIF(C$4:C1427,"Sell_"&amp;Upgrades!$B$3:$B$13))*Upgrades!$D$3:$D$13))</f>
        <v/>
      </c>
      <c r="F1427" s="66" t="str">
        <f>IFERROR(__xludf.DUMMYFUNCTION("IF(COUNTA(C1427:C1644)=0,"""",IF(REGEXMATCH(INDEX(FILTER(C$4:C1427,C$4:C1427&lt;&gt;""""),ROWS(FILTER(C$4:C1427,C$4:C1427&lt;&gt;""""))),""^Sell_""),INDEX(FILTER(F$4:F1426,C$4:C1426&lt;&gt;""""),ROWS(FILTER(C$4:C1426,C$4:C1426&lt;&gt;""""))),$AC$5+E1427))"),"")</f>
        <v/>
      </c>
      <c r="G1427" s="10" t="str">
        <f>IFERROR(__xludf.DUMMYFUNCTION("IF(COUNTA(C1427:C1644)=0,"""",IF(C1427="""",0,IF(REGEXMATCH(C1427,""^Sell_""),-ROUNDDOWN(ROUNDUP(INDEX(Upgrades!$C$3:$C$13,MATCH(SUBSTITUTE(C1427,""Sell_"",""""),Upgrades!$B$3:$B$13,0))*1.15^(COUNTIF(C$4:C1426,SUBSTITUTE(C1427,""Sell_"",""""))-COUNTIF(C$4"&amp;":C1426,""Sell_""&amp;SUBSTITUTE(C1427,""Sell_"",""""))))/2),ROUNDUP(INDEX(Upgrades!$C$3:$C$13,MATCH(C1427,Upgrades!$B$3:$B$13,0))*1.15^(COUNTIF(C$4:C1426,C1427)-COUNTIF(C$4:C1426,""Sell_""&amp;C1427))))))"),"")</f>
        <v/>
      </c>
      <c r="H1427" s="10" t="str">
        <f t="shared" si="3"/>
        <v/>
      </c>
      <c r="I1427" s="68" t="str">
        <f t="shared" si="4"/>
        <v/>
      </c>
      <c r="J1427" s="59" t="str">
        <f t="shared" si="5"/>
        <v/>
      </c>
      <c r="K1427" s="69" t="str">
        <f t="shared" si="6"/>
        <v/>
      </c>
      <c r="L1427" s="60" t="str">
        <f t="shared" si="7"/>
        <v/>
      </c>
      <c r="M1427" s="61" t="str">
        <f>IFERROR(__xludf.DUMMYFUNCTION("IFS(AND(COUNTA(C1427:C1644)=0,COUNTA(Q1427:Q1644)=0),"""",OR(AND(K1427&gt;=1000000000,OR(Y1427&gt;=1000000000,COUNTA(Q1427:Q1644)=0)),OR(Y1427&gt;=1000000000,AND(COUNTA(C1427:C1644)=0,P$3=TRUE))),
ROUNDDOWN((AB$1-AC$1)*MAX(INDEX(T$4:T1644,MATCH(LARGE(FILTER(Y$4:Y1"&amp;"644,Y$4:Y1644&lt;1000000000),1),Y$4:Y1644)),INDEX(F$4:F1644,MATCH(LARGE(FILTER(K$4:K1644,K$4:K1644&lt;1000000000),1),K$4:K1644)))),AND(K1427&lt;1000000000,COUNTA(C1427:C1644)&gt;0,P$3=FALSE),
ROUNDDOWN(INDEX(Y$4:Y1644,MATCH(LARGE(FILTER(W$4:W1644,W$4:W1644&lt;=I1427),1)"&amp;",W$4:W1644))+(I1427-LARGE(FILTER(W$4:W1644,W$4:W1644&lt;=I1427),1))*INDEX(T$4:T1644,MATCH(LARGE(FILTER(W$4:W1644,W$4:W1644&lt;=I1427),1),W$4:W1644))-K1427),1,
ROUNDDOWN(Y1427-INDEX(K$4:K1644,MATCH(LARGE(FILTER(I$4:I1644,I$4:I1644&lt;=W1427),1),I$4:I1644))-(W1427-L"&amp;"ARGE(FILTER(I$4:I1644,I$4:I1644&lt;=W1427),1))*INDEX(F$4:F1644,MATCH(LARGE(FILTER(I$4:I1644,I$4:I1644&lt;=W1427),1),I$4:I1644))))"),"")</f>
        <v/>
      </c>
      <c r="N1427" s="60" t="str">
        <f t="shared" si="8"/>
        <v/>
      </c>
      <c r="O1427" s="61" t="str">
        <f t="shared" si="9"/>
        <v/>
      </c>
      <c r="P1427" s="56" t="str">
        <f t="shared" si="10"/>
        <v/>
      </c>
      <c r="Q1427" s="105"/>
      <c r="R1427" s="10"/>
      <c r="S1427" s="59" t="str">
        <f t="array" ref="S1427">IF(COUNTA(Q1427:Q1644)=0,"",SUM((COUNTIF(Q$4:Q1427,Upgrades!$B$3:$B$13)-COUNTIF(Q$4:Q1427,"Sell_"&amp;Upgrades!$B$3:$B$13))*Upgrades!$D$3:$D$13))</f>
        <v/>
      </c>
      <c r="T1427" s="66" t="str">
        <f>IFERROR(__xludf.DUMMYFUNCTION("IF(COUNTA(Q1427:Q1644)=0,"""",IF(REGEXMATCH(INDEX(FILTER(Q$4:Q1427,Q$4:Q1427&lt;&gt;""""),ROWS(FILTER(Q$4:Q1427,Q$4:Q1427&lt;&gt;""""))),""^Sell_""),INDEX(FILTER(T$4:T1426,Q$4:Q1426&lt;&gt;""""),ROWS(FILTER(Q$4:Q1426,Q$4:Q1426&lt;&gt;""""))),$AD$5+S1427))"),"")</f>
        <v/>
      </c>
      <c r="U1427" s="10" t="str">
        <f>IFERROR(__xludf.DUMMYFUNCTION("IF(COUNTA(Q1427:Q1644)=0,"""",IF(Q1427="""",0,IF(REGEXMATCH(Q1427,""^Sell_""),-ROUNDDOWN(ROUNDUP(INDEX(Upgrades!$C$3:$C$13,MATCH(SUBSTITUTE(Q1427,""Sell_"",""""),Upgrades!$B$3:$B$13,0))*1.15^(COUNTIF(Q$4:Q1426,SUBSTITUTE(Q1427,""Sell_"",""""))-COUNTIF(Q$4"&amp;":Q1426,""Sell_""&amp;SUBSTITUTE(Q1427,""Sell_"",""""))))/2),ROUNDUP(INDEX(Upgrades!$C$3:$C$13,MATCH(Q1427,Upgrades!$B$3:$B$13,0))*1.15^(COUNTIF(Q$4:Q1426,Q1427)-COUNTIF(Q$4:Q1426,""Sell_""&amp;Q1427))))))"),"")</f>
        <v/>
      </c>
      <c r="V1427" s="10" t="str">
        <f t="shared" si="11"/>
        <v/>
      </c>
      <c r="W1427" s="68" t="str">
        <f t="shared" si="12"/>
        <v/>
      </c>
      <c r="X1427" s="59" t="str">
        <f t="shared" si="13"/>
        <v/>
      </c>
      <c r="Y1427" s="69" t="str">
        <f t="shared" si="14"/>
        <v/>
      </c>
      <c r="Z1427" s="11"/>
      <c r="AG1427" s="59"/>
    </row>
    <row r="1428">
      <c r="A1428" s="8"/>
      <c r="B1428" s="56" t="str">
        <f t="shared" si="2"/>
        <v/>
      </c>
      <c r="C1428" s="105"/>
      <c r="D1428" s="10"/>
      <c r="E1428" s="59" t="str">
        <f t="array" ref="E1428">IF(COUNTA(C1428:C1644)=0,"",SUM((COUNTIF(C$4:C1428,Upgrades!$B$3:$B$13)-COUNTIF(C$4:C1428,"Sell_"&amp;Upgrades!$B$3:$B$13))*Upgrades!$D$3:$D$13))</f>
        <v/>
      </c>
      <c r="F1428" s="66" t="str">
        <f>IFERROR(__xludf.DUMMYFUNCTION("IF(COUNTA(C1428:C1644)=0,"""",IF(REGEXMATCH(INDEX(FILTER(C$4:C1428,C$4:C1428&lt;&gt;""""),ROWS(FILTER(C$4:C1428,C$4:C1428&lt;&gt;""""))),""^Sell_""),INDEX(FILTER(F$4:F1427,C$4:C1427&lt;&gt;""""),ROWS(FILTER(C$4:C1427,C$4:C1427&lt;&gt;""""))),$AC$5+E1428))"),"")</f>
        <v/>
      </c>
      <c r="G1428" s="10" t="str">
        <f>IFERROR(__xludf.DUMMYFUNCTION("IF(COUNTA(C1428:C1644)=0,"""",IF(C1428="""",0,IF(REGEXMATCH(C1428,""^Sell_""),-ROUNDDOWN(ROUNDUP(INDEX(Upgrades!$C$3:$C$13,MATCH(SUBSTITUTE(C1428,""Sell_"",""""),Upgrades!$B$3:$B$13,0))*1.15^(COUNTIF(C$4:C1427,SUBSTITUTE(C1428,""Sell_"",""""))-COUNTIF(C$4"&amp;":C1427,""Sell_""&amp;SUBSTITUTE(C1428,""Sell_"",""""))))/2),ROUNDUP(INDEX(Upgrades!$C$3:$C$13,MATCH(C1428,Upgrades!$B$3:$B$13,0))*1.15^(COUNTIF(C$4:C1427,C1428)-COUNTIF(C$4:C1427,""Sell_""&amp;C1428))))))"),"")</f>
        <v/>
      </c>
      <c r="H1428" s="10" t="str">
        <f t="shared" si="3"/>
        <v/>
      </c>
      <c r="I1428" s="68" t="str">
        <f t="shared" si="4"/>
        <v/>
      </c>
      <c r="J1428" s="59" t="str">
        <f t="shared" si="5"/>
        <v/>
      </c>
      <c r="K1428" s="69" t="str">
        <f t="shared" si="6"/>
        <v/>
      </c>
      <c r="L1428" s="60" t="str">
        <f t="shared" si="7"/>
        <v/>
      </c>
      <c r="M1428" s="61" t="str">
        <f>IFERROR(__xludf.DUMMYFUNCTION("IFS(AND(COUNTA(C1428:C1644)=0,COUNTA(Q1428:Q1644)=0),"""",OR(AND(K1428&gt;=1000000000,OR(Y1428&gt;=1000000000,COUNTA(Q1428:Q1644)=0)),OR(Y1428&gt;=1000000000,AND(COUNTA(C1428:C1644)=0,P$3=TRUE))),
ROUNDDOWN((AB$1-AC$1)*MAX(INDEX(T$4:T1644,MATCH(LARGE(FILTER(Y$4:Y1"&amp;"644,Y$4:Y1644&lt;1000000000),1),Y$4:Y1644)),INDEX(F$4:F1644,MATCH(LARGE(FILTER(K$4:K1644,K$4:K1644&lt;1000000000),1),K$4:K1644)))),AND(K1428&lt;1000000000,COUNTA(C1428:C1644)&gt;0,P$3=FALSE),
ROUNDDOWN(INDEX(Y$4:Y1644,MATCH(LARGE(FILTER(W$4:W1644,W$4:W1644&lt;=I1428),1)"&amp;",W$4:W1644))+(I1428-LARGE(FILTER(W$4:W1644,W$4:W1644&lt;=I1428),1))*INDEX(T$4:T1644,MATCH(LARGE(FILTER(W$4:W1644,W$4:W1644&lt;=I1428),1),W$4:W1644))-K1428),1,
ROUNDDOWN(Y1428-INDEX(K$4:K1644,MATCH(LARGE(FILTER(I$4:I1644,I$4:I1644&lt;=W1428),1),I$4:I1644))-(W1428-L"&amp;"ARGE(FILTER(I$4:I1644,I$4:I1644&lt;=W1428),1))*INDEX(F$4:F1644,MATCH(LARGE(FILTER(I$4:I1644,I$4:I1644&lt;=W1428),1),I$4:I1644))))"),"")</f>
        <v/>
      </c>
      <c r="N1428" s="60" t="str">
        <f t="shared" si="8"/>
        <v/>
      </c>
      <c r="O1428" s="61" t="str">
        <f t="shared" si="9"/>
        <v/>
      </c>
      <c r="P1428" s="56" t="str">
        <f t="shared" si="10"/>
        <v/>
      </c>
      <c r="Q1428" s="105"/>
      <c r="R1428" s="10"/>
      <c r="S1428" s="59" t="str">
        <f t="array" ref="S1428">IF(COUNTA(Q1428:Q1644)=0,"",SUM((COUNTIF(Q$4:Q1428,Upgrades!$B$3:$B$13)-COUNTIF(Q$4:Q1428,"Sell_"&amp;Upgrades!$B$3:$B$13))*Upgrades!$D$3:$D$13))</f>
        <v/>
      </c>
      <c r="T1428" s="66" t="str">
        <f>IFERROR(__xludf.DUMMYFUNCTION("IF(COUNTA(Q1428:Q1644)=0,"""",IF(REGEXMATCH(INDEX(FILTER(Q$4:Q1428,Q$4:Q1428&lt;&gt;""""),ROWS(FILTER(Q$4:Q1428,Q$4:Q1428&lt;&gt;""""))),""^Sell_""),INDEX(FILTER(T$4:T1427,Q$4:Q1427&lt;&gt;""""),ROWS(FILTER(Q$4:Q1427,Q$4:Q1427&lt;&gt;""""))),$AD$5+S1428))"),"")</f>
        <v/>
      </c>
      <c r="U1428" s="10" t="str">
        <f>IFERROR(__xludf.DUMMYFUNCTION("IF(COUNTA(Q1428:Q1644)=0,"""",IF(Q1428="""",0,IF(REGEXMATCH(Q1428,""^Sell_""),-ROUNDDOWN(ROUNDUP(INDEX(Upgrades!$C$3:$C$13,MATCH(SUBSTITUTE(Q1428,""Sell_"",""""),Upgrades!$B$3:$B$13,0))*1.15^(COUNTIF(Q$4:Q1427,SUBSTITUTE(Q1428,""Sell_"",""""))-COUNTIF(Q$4"&amp;":Q1427,""Sell_""&amp;SUBSTITUTE(Q1428,""Sell_"",""""))))/2),ROUNDUP(INDEX(Upgrades!$C$3:$C$13,MATCH(Q1428,Upgrades!$B$3:$B$13,0))*1.15^(COUNTIF(Q$4:Q1427,Q1428)-COUNTIF(Q$4:Q1427,""Sell_""&amp;Q1428))))))"),"")</f>
        <v/>
      </c>
      <c r="V1428" s="10" t="str">
        <f t="shared" si="11"/>
        <v/>
      </c>
      <c r="W1428" s="68" t="str">
        <f t="shared" si="12"/>
        <v/>
      </c>
      <c r="X1428" s="59" t="str">
        <f t="shared" si="13"/>
        <v/>
      </c>
      <c r="Y1428" s="69" t="str">
        <f t="shared" si="14"/>
        <v/>
      </c>
      <c r="Z1428" s="11"/>
      <c r="AG1428" s="59"/>
    </row>
    <row r="1429">
      <c r="A1429" s="8"/>
      <c r="B1429" s="56" t="str">
        <f t="shared" si="2"/>
        <v/>
      </c>
      <c r="C1429" s="105"/>
      <c r="D1429" s="10"/>
      <c r="E1429" s="59" t="str">
        <f t="array" ref="E1429">IF(COUNTA(C1429:C1644)=0,"",SUM((COUNTIF(C$4:C1429,Upgrades!$B$3:$B$13)-COUNTIF(C$4:C1429,"Sell_"&amp;Upgrades!$B$3:$B$13))*Upgrades!$D$3:$D$13))</f>
        <v/>
      </c>
      <c r="F1429" s="66" t="str">
        <f>IFERROR(__xludf.DUMMYFUNCTION("IF(COUNTA(C1429:C1644)=0,"""",IF(REGEXMATCH(INDEX(FILTER(C$4:C1429,C$4:C1429&lt;&gt;""""),ROWS(FILTER(C$4:C1429,C$4:C1429&lt;&gt;""""))),""^Sell_""),INDEX(FILTER(F$4:F1428,C$4:C1428&lt;&gt;""""),ROWS(FILTER(C$4:C1428,C$4:C1428&lt;&gt;""""))),$AC$5+E1429))"),"")</f>
        <v/>
      </c>
      <c r="G1429" s="10" t="str">
        <f>IFERROR(__xludf.DUMMYFUNCTION("IF(COUNTA(C1429:C1644)=0,"""",IF(C1429="""",0,IF(REGEXMATCH(C1429,""^Sell_""),-ROUNDDOWN(ROUNDUP(INDEX(Upgrades!$C$3:$C$13,MATCH(SUBSTITUTE(C1429,""Sell_"",""""),Upgrades!$B$3:$B$13,0))*1.15^(COUNTIF(C$4:C1428,SUBSTITUTE(C1429,""Sell_"",""""))-COUNTIF(C$4"&amp;":C1428,""Sell_""&amp;SUBSTITUTE(C1429,""Sell_"",""""))))/2),ROUNDUP(INDEX(Upgrades!$C$3:$C$13,MATCH(C1429,Upgrades!$B$3:$B$13,0))*1.15^(COUNTIF(C$4:C1428,C1429)-COUNTIF(C$4:C1428,""Sell_""&amp;C1429))))))"),"")</f>
        <v/>
      </c>
      <c r="H1429" s="10" t="str">
        <f t="shared" si="3"/>
        <v/>
      </c>
      <c r="I1429" s="68" t="str">
        <f t="shared" si="4"/>
        <v/>
      </c>
      <c r="J1429" s="59" t="str">
        <f t="shared" si="5"/>
        <v/>
      </c>
      <c r="K1429" s="69" t="str">
        <f t="shared" si="6"/>
        <v/>
      </c>
      <c r="L1429" s="60" t="str">
        <f t="shared" si="7"/>
        <v/>
      </c>
      <c r="M1429" s="61" t="str">
        <f>IFERROR(__xludf.DUMMYFUNCTION("IFS(AND(COUNTA(C1429:C1644)=0,COUNTA(Q1429:Q1644)=0),"""",OR(AND(K1429&gt;=1000000000,OR(Y1429&gt;=1000000000,COUNTA(Q1429:Q1644)=0)),OR(Y1429&gt;=1000000000,AND(COUNTA(C1429:C1644)=0,P$3=TRUE))),
ROUNDDOWN((AB$1-AC$1)*MAX(INDEX(T$4:T1644,MATCH(LARGE(FILTER(Y$4:Y1"&amp;"644,Y$4:Y1644&lt;1000000000),1),Y$4:Y1644)),INDEX(F$4:F1644,MATCH(LARGE(FILTER(K$4:K1644,K$4:K1644&lt;1000000000),1),K$4:K1644)))),AND(K1429&lt;1000000000,COUNTA(C1429:C1644)&gt;0,P$3=FALSE),
ROUNDDOWN(INDEX(Y$4:Y1644,MATCH(LARGE(FILTER(W$4:W1644,W$4:W1644&lt;=I1429),1)"&amp;",W$4:W1644))+(I1429-LARGE(FILTER(W$4:W1644,W$4:W1644&lt;=I1429),1))*INDEX(T$4:T1644,MATCH(LARGE(FILTER(W$4:W1644,W$4:W1644&lt;=I1429),1),W$4:W1644))-K1429),1,
ROUNDDOWN(Y1429-INDEX(K$4:K1644,MATCH(LARGE(FILTER(I$4:I1644,I$4:I1644&lt;=W1429),1),I$4:I1644))-(W1429-L"&amp;"ARGE(FILTER(I$4:I1644,I$4:I1644&lt;=W1429),1))*INDEX(F$4:F1644,MATCH(LARGE(FILTER(I$4:I1644,I$4:I1644&lt;=W1429),1),I$4:I1644))))"),"")</f>
        <v/>
      </c>
      <c r="N1429" s="60" t="str">
        <f t="shared" si="8"/>
        <v/>
      </c>
      <c r="O1429" s="61" t="str">
        <f t="shared" si="9"/>
        <v/>
      </c>
      <c r="P1429" s="56" t="str">
        <f t="shared" si="10"/>
        <v/>
      </c>
      <c r="Q1429" s="105"/>
      <c r="R1429" s="10"/>
      <c r="S1429" s="59" t="str">
        <f t="array" ref="S1429">IF(COUNTA(Q1429:Q1644)=0,"",SUM((COUNTIF(Q$4:Q1429,Upgrades!$B$3:$B$13)-COUNTIF(Q$4:Q1429,"Sell_"&amp;Upgrades!$B$3:$B$13))*Upgrades!$D$3:$D$13))</f>
        <v/>
      </c>
      <c r="T1429" s="66" t="str">
        <f>IFERROR(__xludf.DUMMYFUNCTION("IF(COUNTA(Q1429:Q1644)=0,"""",IF(REGEXMATCH(INDEX(FILTER(Q$4:Q1429,Q$4:Q1429&lt;&gt;""""),ROWS(FILTER(Q$4:Q1429,Q$4:Q1429&lt;&gt;""""))),""^Sell_""),INDEX(FILTER(T$4:T1428,Q$4:Q1428&lt;&gt;""""),ROWS(FILTER(Q$4:Q1428,Q$4:Q1428&lt;&gt;""""))),$AD$5+S1429))"),"")</f>
        <v/>
      </c>
      <c r="U1429" s="10" t="str">
        <f>IFERROR(__xludf.DUMMYFUNCTION("IF(COUNTA(Q1429:Q1644)=0,"""",IF(Q1429="""",0,IF(REGEXMATCH(Q1429,""^Sell_""),-ROUNDDOWN(ROUNDUP(INDEX(Upgrades!$C$3:$C$13,MATCH(SUBSTITUTE(Q1429,""Sell_"",""""),Upgrades!$B$3:$B$13,0))*1.15^(COUNTIF(Q$4:Q1428,SUBSTITUTE(Q1429,""Sell_"",""""))-COUNTIF(Q$4"&amp;":Q1428,""Sell_""&amp;SUBSTITUTE(Q1429,""Sell_"",""""))))/2),ROUNDUP(INDEX(Upgrades!$C$3:$C$13,MATCH(Q1429,Upgrades!$B$3:$B$13,0))*1.15^(COUNTIF(Q$4:Q1428,Q1429)-COUNTIF(Q$4:Q1428,""Sell_""&amp;Q1429))))))"),"")</f>
        <v/>
      </c>
      <c r="V1429" s="10" t="str">
        <f t="shared" si="11"/>
        <v/>
      </c>
      <c r="W1429" s="68" t="str">
        <f t="shared" si="12"/>
        <v/>
      </c>
      <c r="X1429" s="59" t="str">
        <f t="shared" si="13"/>
        <v/>
      </c>
      <c r="Y1429" s="69" t="str">
        <f t="shared" si="14"/>
        <v/>
      </c>
      <c r="Z1429" s="11"/>
      <c r="AG1429" s="59"/>
    </row>
    <row r="1430">
      <c r="A1430" s="8"/>
      <c r="B1430" s="56" t="str">
        <f t="shared" si="2"/>
        <v/>
      </c>
      <c r="C1430" s="105"/>
      <c r="D1430" s="10"/>
      <c r="E1430" s="59" t="str">
        <f t="array" ref="E1430">IF(COUNTA(C1430:C1644)=0,"",SUM((COUNTIF(C$4:C1430,Upgrades!$B$3:$B$13)-COUNTIF(C$4:C1430,"Sell_"&amp;Upgrades!$B$3:$B$13))*Upgrades!$D$3:$D$13))</f>
        <v/>
      </c>
      <c r="F1430" s="66" t="str">
        <f>IFERROR(__xludf.DUMMYFUNCTION("IF(COUNTA(C1430:C1644)=0,"""",IF(REGEXMATCH(INDEX(FILTER(C$4:C1430,C$4:C1430&lt;&gt;""""),ROWS(FILTER(C$4:C1430,C$4:C1430&lt;&gt;""""))),""^Sell_""),INDEX(FILTER(F$4:F1429,C$4:C1429&lt;&gt;""""),ROWS(FILTER(C$4:C1429,C$4:C1429&lt;&gt;""""))),$AC$5+E1430))"),"")</f>
        <v/>
      </c>
      <c r="G1430" s="10" t="str">
        <f>IFERROR(__xludf.DUMMYFUNCTION("IF(COUNTA(C1430:C1644)=0,"""",IF(C1430="""",0,IF(REGEXMATCH(C1430,""^Sell_""),-ROUNDDOWN(ROUNDUP(INDEX(Upgrades!$C$3:$C$13,MATCH(SUBSTITUTE(C1430,""Sell_"",""""),Upgrades!$B$3:$B$13,0))*1.15^(COUNTIF(C$4:C1429,SUBSTITUTE(C1430,""Sell_"",""""))-COUNTIF(C$4"&amp;":C1429,""Sell_""&amp;SUBSTITUTE(C1430,""Sell_"",""""))))/2),ROUNDUP(INDEX(Upgrades!$C$3:$C$13,MATCH(C1430,Upgrades!$B$3:$B$13,0))*1.15^(COUNTIF(C$4:C1429,C1430)-COUNTIF(C$4:C1429,""Sell_""&amp;C1430))))))"),"")</f>
        <v/>
      </c>
      <c r="H1430" s="10" t="str">
        <f t="shared" si="3"/>
        <v/>
      </c>
      <c r="I1430" s="68" t="str">
        <f t="shared" si="4"/>
        <v/>
      </c>
      <c r="J1430" s="59" t="str">
        <f t="shared" si="5"/>
        <v/>
      </c>
      <c r="K1430" s="69" t="str">
        <f t="shared" si="6"/>
        <v/>
      </c>
      <c r="L1430" s="60" t="str">
        <f t="shared" si="7"/>
        <v/>
      </c>
      <c r="M1430" s="61" t="str">
        <f>IFERROR(__xludf.DUMMYFUNCTION("IFS(AND(COUNTA(C1430:C1644)=0,COUNTA(Q1430:Q1644)=0),"""",OR(AND(K1430&gt;=1000000000,OR(Y1430&gt;=1000000000,COUNTA(Q1430:Q1644)=0)),OR(Y1430&gt;=1000000000,AND(COUNTA(C1430:C1644)=0,P$3=TRUE))),
ROUNDDOWN((AB$1-AC$1)*MAX(INDEX(T$4:T1644,MATCH(LARGE(FILTER(Y$4:Y1"&amp;"644,Y$4:Y1644&lt;1000000000),1),Y$4:Y1644)),INDEX(F$4:F1644,MATCH(LARGE(FILTER(K$4:K1644,K$4:K1644&lt;1000000000),1),K$4:K1644)))),AND(K1430&lt;1000000000,COUNTA(C1430:C1644)&gt;0,P$3=FALSE),
ROUNDDOWN(INDEX(Y$4:Y1644,MATCH(LARGE(FILTER(W$4:W1644,W$4:W1644&lt;=I1430),1)"&amp;",W$4:W1644))+(I1430-LARGE(FILTER(W$4:W1644,W$4:W1644&lt;=I1430),1))*INDEX(T$4:T1644,MATCH(LARGE(FILTER(W$4:W1644,W$4:W1644&lt;=I1430),1),W$4:W1644))-K1430),1,
ROUNDDOWN(Y1430-INDEX(K$4:K1644,MATCH(LARGE(FILTER(I$4:I1644,I$4:I1644&lt;=W1430),1),I$4:I1644))-(W1430-L"&amp;"ARGE(FILTER(I$4:I1644,I$4:I1644&lt;=W1430),1))*INDEX(F$4:F1644,MATCH(LARGE(FILTER(I$4:I1644,I$4:I1644&lt;=W1430),1),I$4:I1644))))"),"")</f>
        <v/>
      </c>
      <c r="N1430" s="60" t="str">
        <f t="shared" si="8"/>
        <v/>
      </c>
      <c r="O1430" s="61" t="str">
        <f t="shared" si="9"/>
        <v/>
      </c>
      <c r="P1430" s="56" t="str">
        <f t="shared" si="10"/>
        <v/>
      </c>
      <c r="Q1430" s="105"/>
      <c r="R1430" s="10"/>
      <c r="S1430" s="59" t="str">
        <f t="array" ref="S1430">IF(COUNTA(Q1430:Q1644)=0,"",SUM((COUNTIF(Q$4:Q1430,Upgrades!$B$3:$B$13)-COUNTIF(Q$4:Q1430,"Sell_"&amp;Upgrades!$B$3:$B$13))*Upgrades!$D$3:$D$13))</f>
        <v/>
      </c>
      <c r="T1430" s="66" t="str">
        <f>IFERROR(__xludf.DUMMYFUNCTION("IF(COUNTA(Q1430:Q1644)=0,"""",IF(REGEXMATCH(INDEX(FILTER(Q$4:Q1430,Q$4:Q1430&lt;&gt;""""),ROWS(FILTER(Q$4:Q1430,Q$4:Q1430&lt;&gt;""""))),""^Sell_""),INDEX(FILTER(T$4:T1429,Q$4:Q1429&lt;&gt;""""),ROWS(FILTER(Q$4:Q1429,Q$4:Q1429&lt;&gt;""""))),$AD$5+S1430))"),"")</f>
        <v/>
      </c>
      <c r="U1430" s="10" t="str">
        <f>IFERROR(__xludf.DUMMYFUNCTION("IF(COUNTA(Q1430:Q1644)=0,"""",IF(Q1430="""",0,IF(REGEXMATCH(Q1430,""^Sell_""),-ROUNDDOWN(ROUNDUP(INDEX(Upgrades!$C$3:$C$13,MATCH(SUBSTITUTE(Q1430,""Sell_"",""""),Upgrades!$B$3:$B$13,0))*1.15^(COUNTIF(Q$4:Q1429,SUBSTITUTE(Q1430,""Sell_"",""""))-COUNTIF(Q$4"&amp;":Q1429,""Sell_""&amp;SUBSTITUTE(Q1430,""Sell_"",""""))))/2),ROUNDUP(INDEX(Upgrades!$C$3:$C$13,MATCH(Q1430,Upgrades!$B$3:$B$13,0))*1.15^(COUNTIF(Q$4:Q1429,Q1430)-COUNTIF(Q$4:Q1429,""Sell_""&amp;Q1430))))))"),"")</f>
        <v/>
      </c>
      <c r="V1430" s="10" t="str">
        <f t="shared" si="11"/>
        <v/>
      </c>
      <c r="W1430" s="68" t="str">
        <f t="shared" si="12"/>
        <v/>
      </c>
      <c r="X1430" s="59" t="str">
        <f t="shared" si="13"/>
        <v/>
      </c>
      <c r="Y1430" s="69" t="str">
        <f t="shared" si="14"/>
        <v/>
      </c>
      <c r="Z1430" s="11"/>
      <c r="AG1430" s="59"/>
    </row>
    <row r="1431">
      <c r="A1431" s="8"/>
      <c r="B1431" s="56" t="str">
        <f t="shared" si="2"/>
        <v/>
      </c>
      <c r="C1431" s="105"/>
      <c r="D1431" s="10"/>
      <c r="E1431" s="59" t="str">
        <f t="array" ref="E1431">IF(COUNTA(C1431:C1644)=0,"",SUM((COUNTIF(C$4:C1431,Upgrades!$B$3:$B$13)-COUNTIF(C$4:C1431,"Sell_"&amp;Upgrades!$B$3:$B$13))*Upgrades!$D$3:$D$13))</f>
        <v/>
      </c>
      <c r="F1431" s="66" t="str">
        <f>IFERROR(__xludf.DUMMYFUNCTION("IF(COUNTA(C1431:C1644)=0,"""",IF(REGEXMATCH(INDEX(FILTER(C$4:C1431,C$4:C1431&lt;&gt;""""),ROWS(FILTER(C$4:C1431,C$4:C1431&lt;&gt;""""))),""^Sell_""),INDEX(FILTER(F$4:F1430,C$4:C1430&lt;&gt;""""),ROWS(FILTER(C$4:C1430,C$4:C1430&lt;&gt;""""))),$AC$5+E1431))"),"")</f>
        <v/>
      </c>
      <c r="G1431" s="10" t="str">
        <f>IFERROR(__xludf.DUMMYFUNCTION("IF(COUNTA(C1431:C1644)=0,"""",IF(C1431="""",0,IF(REGEXMATCH(C1431,""^Sell_""),-ROUNDDOWN(ROUNDUP(INDEX(Upgrades!$C$3:$C$13,MATCH(SUBSTITUTE(C1431,""Sell_"",""""),Upgrades!$B$3:$B$13,0))*1.15^(COUNTIF(C$4:C1430,SUBSTITUTE(C1431,""Sell_"",""""))-COUNTIF(C$4"&amp;":C1430,""Sell_""&amp;SUBSTITUTE(C1431,""Sell_"",""""))))/2),ROUNDUP(INDEX(Upgrades!$C$3:$C$13,MATCH(C1431,Upgrades!$B$3:$B$13,0))*1.15^(COUNTIF(C$4:C1430,C1431)-COUNTIF(C$4:C1430,""Sell_""&amp;C1431))))))"),"")</f>
        <v/>
      </c>
      <c r="H1431" s="10" t="str">
        <f t="shared" si="3"/>
        <v/>
      </c>
      <c r="I1431" s="68" t="str">
        <f t="shared" si="4"/>
        <v/>
      </c>
      <c r="J1431" s="59" t="str">
        <f t="shared" si="5"/>
        <v/>
      </c>
      <c r="K1431" s="69" t="str">
        <f t="shared" si="6"/>
        <v/>
      </c>
      <c r="L1431" s="60" t="str">
        <f t="shared" si="7"/>
        <v/>
      </c>
      <c r="M1431" s="61" t="str">
        <f>IFERROR(__xludf.DUMMYFUNCTION("IFS(AND(COUNTA(C1431:C1644)=0,COUNTA(Q1431:Q1644)=0),"""",OR(AND(K1431&gt;=1000000000,OR(Y1431&gt;=1000000000,COUNTA(Q1431:Q1644)=0)),OR(Y1431&gt;=1000000000,AND(COUNTA(C1431:C1644)=0,P$3=TRUE))),
ROUNDDOWN((AB$1-AC$1)*MAX(INDEX(T$4:T1644,MATCH(LARGE(FILTER(Y$4:Y1"&amp;"644,Y$4:Y1644&lt;1000000000),1),Y$4:Y1644)),INDEX(F$4:F1644,MATCH(LARGE(FILTER(K$4:K1644,K$4:K1644&lt;1000000000),1),K$4:K1644)))),AND(K1431&lt;1000000000,COUNTA(C1431:C1644)&gt;0,P$3=FALSE),
ROUNDDOWN(INDEX(Y$4:Y1644,MATCH(LARGE(FILTER(W$4:W1644,W$4:W1644&lt;=I1431),1)"&amp;",W$4:W1644))+(I1431-LARGE(FILTER(W$4:W1644,W$4:W1644&lt;=I1431),1))*INDEX(T$4:T1644,MATCH(LARGE(FILTER(W$4:W1644,W$4:W1644&lt;=I1431),1),W$4:W1644))-K1431),1,
ROUNDDOWN(Y1431-INDEX(K$4:K1644,MATCH(LARGE(FILTER(I$4:I1644,I$4:I1644&lt;=W1431),1),I$4:I1644))-(W1431-L"&amp;"ARGE(FILTER(I$4:I1644,I$4:I1644&lt;=W1431),1))*INDEX(F$4:F1644,MATCH(LARGE(FILTER(I$4:I1644,I$4:I1644&lt;=W1431),1),I$4:I1644))))"),"")</f>
        <v/>
      </c>
      <c r="N1431" s="60" t="str">
        <f t="shared" si="8"/>
        <v/>
      </c>
      <c r="O1431" s="61" t="str">
        <f t="shared" si="9"/>
        <v/>
      </c>
      <c r="P1431" s="56" t="str">
        <f t="shared" si="10"/>
        <v/>
      </c>
      <c r="Q1431" s="105"/>
      <c r="R1431" s="10"/>
      <c r="S1431" s="59" t="str">
        <f t="array" ref="S1431">IF(COUNTA(Q1431:Q1644)=0,"",SUM((COUNTIF(Q$4:Q1431,Upgrades!$B$3:$B$13)-COUNTIF(Q$4:Q1431,"Sell_"&amp;Upgrades!$B$3:$B$13))*Upgrades!$D$3:$D$13))</f>
        <v/>
      </c>
      <c r="T1431" s="66" t="str">
        <f>IFERROR(__xludf.DUMMYFUNCTION("IF(COUNTA(Q1431:Q1644)=0,"""",IF(REGEXMATCH(INDEX(FILTER(Q$4:Q1431,Q$4:Q1431&lt;&gt;""""),ROWS(FILTER(Q$4:Q1431,Q$4:Q1431&lt;&gt;""""))),""^Sell_""),INDEX(FILTER(T$4:T1430,Q$4:Q1430&lt;&gt;""""),ROWS(FILTER(Q$4:Q1430,Q$4:Q1430&lt;&gt;""""))),$AD$5+S1431))"),"")</f>
        <v/>
      </c>
      <c r="U1431" s="10" t="str">
        <f>IFERROR(__xludf.DUMMYFUNCTION("IF(COUNTA(Q1431:Q1644)=0,"""",IF(Q1431="""",0,IF(REGEXMATCH(Q1431,""^Sell_""),-ROUNDDOWN(ROUNDUP(INDEX(Upgrades!$C$3:$C$13,MATCH(SUBSTITUTE(Q1431,""Sell_"",""""),Upgrades!$B$3:$B$13,0))*1.15^(COUNTIF(Q$4:Q1430,SUBSTITUTE(Q1431,""Sell_"",""""))-COUNTIF(Q$4"&amp;":Q1430,""Sell_""&amp;SUBSTITUTE(Q1431,""Sell_"",""""))))/2),ROUNDUP(INDEX(Upgrades!$C$3:$C$13,MATCH(Q1431,Upgrades!$B$3:$B$13,0))*1.15^(COUNTIF(Q$4:Q1430,Q1431)-COUNTIF(Q$4:Q1430,""Sell_""&amp;Q1431))))))"),"")</f>
        <v/>
      </c>
      <c r="V1431" s="10" t="str">
        <f t="shared" si="11"/>
        <v/>
      </c>
      <c r="W1431" s="68" t="str">
        <f t="shared" si="12"/>
        <v/>
      </c>
      <c r="X1431" s="59" t="str">
        <f t="shared" si="13"/>
        <v/>
      </c>
      <c r="Y1431" s="69" t="str">
        <f t="shared" si="14"/>
        <v/>
      </c>
      <c r="Z1431" s="11"/>
      <c r="AG1431" s="59"/>
    </row>
    <row r="1432">
      <c r="A1432" s="8"/>
      <c r="B1432" s="56" t="str">
        <f t="shared" si="2"/>
        <v/>
      </c>
      <c r="C1432" s="105"/>
      <c r="D1432" s="10"/>
      <c r="E1432" s="59" t="str">
        <f t="array" ref="E1432">IF(COUNTA(C1432:C1644)=0,"",SUM((COUNTIF(C$4:C1432,Upgrades!$B$3:$B$13)-COUNTIF(C$4:C1432,"Sell_"&amp;Upgrades!$B$3:$B$13))*Upgrades!$D$3:$D$13))</f>
        <v/>
      </c>
      <c r="F1432" s="66" t="str">
        <f>IFERROR(__xludf.DUMMYFUNCTION("IF(COUNTA(C1432:C1644)=0,"""",IF(REGEXMATCH(INDEX(FILTER(C$4:C1432,C$4:C1432&lt;&gt;""""),ROWS(FILTER(C$4:C1432,C$4:C1432&lt;&gt;""""))),""^Sell_""),INDEX(FILTER(F$4:F1431,C$4:C1431&lt;&gt;""""),ROWS(FILTER(C$4:C1431,C$4:C1431&lt;&gt;""""))),$AC$5+E1432))"),"")</f>
        <v/>
      </c>
      <c r="G1432" s="10" t="str">
        <f>IFERROR(__xludf.DUMMYFUNCTION("IF(COUNTA(C1432:C1644)=0,"""",IF(C1432="""",0,IF(REGEXMATCH(C1432,""^Sell_""),-ROUNDDOWN(ROUNDUP(INDEX(Upgrades!$C$3:$C$13,MATCH(SUBSTITUTE(C1432,""Sell_"",""""),Upgrades!$B$3:$B$13,0))*1.15^(COUNTIF(C$4:C1431,SUBSTITUTE(C1432,""Sell_"",""""))-COUNTIF(C$4"&amp;":C1431,""Sell_""&amp;SUBSTITUTE(C1432,""Sell_"",""""))))/2),ROUNDUP(INDEX(Upgrades!$C$3:$C$13,MATCH(C1432,Upgrades!$B$3:$B$13,0))*1.15^(COUNTIF(C$4:C1431,C1432)-COUNTIF(C$4:C1431,""Sell_""&amp;C1432))))))"),"")</f>
        <v/>
      </c>
      <c r="H1432" s="10" t="str">
        <f t="shared" si="3"/>
        <v/>
      </c>
      <c r="I1432" s="68" t="str">
        <f t="shared" si="4"/>
        <v/>
      </c>
      <c r="J1432" s="59" t="str">
        <f t="shared" si="5"/>
        <v/>
      </c>
      <c r="K1432" s="69" t="str">
        <f t="shared" si="6"/>
        <v/>
      </c>
      <c r="L1432" s="60" t="str">
        <f t="shared" si="7"/>
        <v/>
      </c>
      <c r="M1432" s="61" t="str">
        <f>IFERROR(__xludf.DUMMYFUNCTION("IFS(AND(COUNTA(C1432:C1644)=0,COUNTA(Q1432:Q1644)=0),"""",OR(AND(K1432&gt;=1000000000,OR(Y1432&gt;=1000000000,COUNTA(Q1432:Q1644)=0)),OR(Y1432&gt;=1000000000,AND(COUNTA(C1432:C1644)=0,P$3=TRUE))),
ROUNDDOWN((AB$1-AC$1)*MAX(INDEX(T$4:T1644,MATCH(LARGE(FILTER(Y$4:Y1"&amp;"644,Y$4:Y1644&lt;1000000000),1),Y$4:Y1644)),INDEX(F$4:F1644,MATCH(LARGE(FILTER(K$4:K1644,K$4:K1644&lt;1000000000),1),K$4:K1644)))),AND(K1432&lt;1000000000,COUNTA(C1432:C1644)&gt;0,P$3=FALSE),
ROUNDDOWN(INDEX(Y$4:Y1644,MATCH(LARGE(FILTER(W$4:W1644,W$4:W1644&lt;=I1432),1)"&amp;",W$4:W1644))+(I1432-LARGE(FILTER(W$4:W1644,W$4:W1644&lt;=I1432),1))*INDEX(T$4:T1644,MATCH(LARGE(FILTER(W$4:W1644,W$4:W1644&lt;=I1432),1),W$4:W1644))-K1432),1,
ROUNDDOWN(Y1432-INDEX(K$4:K1644,MATCH(LARGE(FILTER(I$4:I1644,I$4:I1644&lt;=W1432),1),I$4:I1644))-(W1432-L"&amp;"ARGE(FILTER(I$4:I1644,I$4:I1644&lt;=W1432),1))*INDEX(F$4:F1644,MATCH(LARGE(FILTER(I$4:I1644,I$4:I1644&lt;=W1432),1),I$4:I1644))))"),"")</f>
        <v/>
      </c>
      <c r="N1432" s="60" t="str">
        <f t="shared" si="8"/>
        <v/>
      </c>
      <c r="O1432" s="61" t="str">
        <f t="shared" si="9"/>
        <v/>
      </c>
      <c r="P1432" s="56" t="str">
        <f t="shared" si="10"/>
        <v/>
      </c>
      <c r="Q1432" s="105"/>
      <c r="R1432" s="10"/>
      <c r="S1432" s="59" t="str">
        <f t="array" ref="S1432">IF(COUNTA(Q1432:Q1644)=0,"",SUM((COUNTIF(Q$4:Q1432,Upgrades!$B$3:$B$13)-COUNTIF(Q$4:Q1432,"Sell_"&amp;Upgrades!$B$3:$B$13))*Upgrades!$D$3:$D$13))</f>
        <v/>
      </c>
      <c r="T1432" s="66" t="str">
        <f>IFERROR(__xludf.DUMMYFUNCTION("IF(COUNTA(Q1432:Q1644)=0,"""",IF(REGEXMATCH(INDEX(FILTER(Q$4:Q1432,Q$4:Q1432&lt;&gt;""""),ROWS(FILTER(Q$4:Q1432,Q$4:Q1432&lt;&gt;""""))),""^Sell_""),INDEX(FILTER(T$4:T1431,Q$4:Q1431&lt;&gt;""""),ROWS(FILTER(Q$4:Q1431,Q$4:Q1431&lt;&gt;""""))),$AD$5+S1432))"),"")</f>
        <v/>
      </c>
      <c r="U1432" s="10" t="str">
        <f>IFERROR(__xludf.DUMMYFUNCTION("IF(COUNTA(Q1432:Q1644)=0,"""",IF(Q1432="""",0,IF(REGEXMATCH(Q1432,""^Sell_""),-ROUNDDOWN(ROUNDUP(INDEX(Upgrades!$C$3:$C$13,MATCH(SUBSTITUTE(Q1432,""Sell_"",""""),Upgrades!$B$3:$B$13,0))*1.15^(COUNTIF(Q$4:Q1431,SUBSTITUTE(Q1432,""Sell_"",""""))-COUNTIF(Q$4"&amp;":Q1431,""Sell_""&amp;SUBSTITUTE(Q1432,""Sell_"",""""))))/2),ROUNDUP(INDEX(Upgrades!$C$3:$C$13,MATCH(Q1432,Upgrades!$B$3:$B$13,0))*1.15^(COUNTIF(Q$4:Q1431,Q1432)-COUNTIF(Q$4:Q1431,""Sell_""&amp;Q1432))))))"),"")</f>
        <v/>
      </c>
      <c r="V1432" s="10" t="str">
        <f t="shared" si="11"/>
        <v/>
      </c>
      <c r="W1432" s="68" t="str">
        <f t="shared" si="12"/>
        <v/>
      </c>
      <c r="X1432" s="59" t="str">
        <f t="shared" si="13"/>
        <v/>
      </c>
      <c r="Y1432" s="69" t="str">
        <f t="shared" si="14"/>
        <v/>
      </c>
      <c r="Z1432" s="11"/>
      <c r="AG1432" s="59"/>
    </row>
    <row r="1433">
      <c r="A1433" s="8"/>
      <c r="B1433" s="56" t="str">
        <f t="shared" si="2"/>
        <v/>
      </c>
      <c r="C1433" s="105"/>
      <c r="D1433" s="10"/>
      <c r="E1433" s="59" t="str">
        <f t="array" ref="E1433">IF(COUNTA(C1433:C1644)=0,"",SUM((COUNTIF(C$4:C1433,Upgrades!$B$3:$B$13)-COUNTIF(C$4:C1433,"Sell_"&amp;Upgrades!$B$3:$B$13))*Upgrades!$D$3:$D$13))</f>
        <v/>
      </c>
      <c r="F1433" s="66" t="str">
        <f>IFERROR(__xludf.DUMMYFUNCTION("IF(COUNTA(C1433:C1644)=0,"""",IF(REGEXMATCH(INDEX(FILTER(C$4:C1433,C$4:C1433&lt;&gt;""""),ROWS(FILTER(C$4:C1433,C$4:C1433&lt;&gt;""""))),""^Sell_""),INDEX(FILTER(F$4:F1432,C$4:C1432&lt;&gt;""""),ROWS(FILTER(C$4:C1432,C$4:C1432&lt;&gt;""""))),$AC$5+E1433))"),"")</f>
        <v/>
      </c>
      <c r="G1433" s="10" t="str">
        <f>IFERROR(__xludf.DUMMYFUNCTION("IF(COUNTA(C1433:C1644)=0,"""",IF(C1433="""",0,IF(REGEXMATCH(C1433,""^Sell_""),-ROUNDDOWN(ROUNDUP(INDEX(Upgrades!$C$3:$C$13,MATCH(SUBSTITUTE(C1433,""Sell_"",""""),Upgrades!$B$3:$B$13,0))*1.15^(COUNTIF(C$4:C1432,SUBSTITUTE(C1433,""Sell_"",""""))-COUNTIF(C$4"&amp;":C1432,""Sell_""&amp;SUBSTITUTE(C1433,""Sell_"",""""))))/2),ROUNDUP(INDEX(Upgrades!$C$3:$C$13,MATCH(C1433,Upgrades!$B$3:$B$13,0))*1.15^(COUNTIF(C$4:C1432,C1433)-COUNTIF(C$4:C1432,""Sell_""&amp;C1433))))))"),"")</f>
        <v/>
      </c>
      <c r="H1433" s="10" t="str">
        <f t="shared" si="3"/>
        <v/>
      </c>
      <c r="I1433" s="68" t="str">
        <f t="shared" si="4"/>
        <v/>
      </c>
      <c r="J1433" s="59" t="str">
        <f t="shared" si="5"/>
        <v/>
      </c>
      <c r="K1433" s="69" t="str">
        <f t="shared" si="6"/>
        <v/>
      </c>
      <c r="L1433" s="60" t="str">
        <f t="shared" si="7"/>
        <v/>
      </c>
      <c r="M1433" s="61" t="str">
        <f>IFERROR(__xludf.DUMMYFUNCTION("IFS(AND(COUNTA(C1433:C1644)=0,COUNTA(Q1433:Q1644)=0),"""",OR(AND(K1433&gt;=1000000000,OR(Y1433&gt;=1000000000,COUNTA(Q1433:Q1644)=0)),OR(Y1433&gt;=1000000000,AND(COUNTA(C1433:C1644)=0,P$3=TRUE))),
ROUNDDOWN((AB$1-AC$1)*MAX(INDEX(T$4:T1644,MATCH(LARGE(FILTER(Y$4:Y1"&amp;"644,Y$4:Y1644&lt;1000000000),1),Y$4:Y1644)),INDEX(F$4:F1644,MATCH(LARGE(FILTER(K$4:K1644,K$4:K1644&lt;1000000000),1),K$4:K1644)))),AND(K1433&lt;1000000000,COUNTA(C1433:C1644)&gt;0,P$3=FALSE),
ROUNDDOWN(INDEX(Y$4:Y1644,MATCH(LARGE(FILTER(W$4:W1644,W$4:W1644&lt;=I1433),1)"&amp;",W$4:W1644))+(I1433-LARGE(FILTER(W$4:W1644,W$4:W1644&lt;=I1433),1))*INDEX(T$4:T1644,MATCH(LARGE(FILTER(W$4:W1644,W$4:W1644&lt;=I1433),1),W$4:W1644))-K1433),1,
ROUNDDOWN(Y1433-INDEX(K$4:K1644,MATCH(LARGE(FILTER(I$4:I1644,I$4:I1644&lt;=W1433),1),I$4:I1644))-(W1433-L"&amp;"ARGE(FILTER(I$4:I1644,I$4:I1644&lt;=W1433),1))*INDEX(F$4:F1644,MATCH(LARGE(FILTER(I$4:I1644,I$4:I1644&lt;=W1433),1),I$4:I1644))))"),"")</f>
        <v/>
      </c>
      <c r="N1433" s="60" t="str">
        <f t="shared" si="8"/>
        <v/>
      </c>
      <c r="O1433" s="61" t="str">
        <f t="shared" si="9"/>
        <v/>
      </c>
      <c r="P1433" s="56" t="str">
        <f t="shared" si="10"/>
        <v/>
      </c>
      <c r="Q1433" s="105"/>
      <c r="R1433" s="10"/>
      <c r="S1433" s="59" t="str">
        <f t="array" ref="S1433">IF(COUNTA(Q1433:Q1644)=0,"",SUM((COUNTIF(Q$4:Q1433,Upgrades!$B$3:$B$13)-COUNTIF(Q$4:Q1433,"Sell_"&amp;Upgrades!$B$3:$B$13))*Upgrades!$D$3:$D$13))</f>
        <v/>
      </c>
      <c r="T1433" s="66" t="str">
        <f>IFERROR(__xludf.DUMMYFUNCTION("IF(COUNTA(Q1433:Q1644)=0,"""",IF(REGEXMATCH(INDEX(FILTER(Q$4:Q1433,Q$4:Q1433&lt;&gt;""""),ROWS(FILTER(Q$4:Q1433,Q$4:Q1433&lt;&gt;""""))),""^Sell_""),INDEX(FILTER(T$4:T1432,Q$4:Q1432&lt;&gt;""""),ROWS(FILTER(Q$4:Q1432,Q$4:Q1432&lt;&gt;""""))),$AD$5+S1433))"),"")</f>
        <v/>
      </c>
      <c r="U1433" s="10" t="str">
        <f>IFERROR(__xludf.DUMMYFUNCTION("IF(COUNTA(Q1433:Q1644)=0,"""",IF(Q1433="""",0,IF(REGEXMATCH(Q1433,""^Sell_""),-ROUNDDOWN(ROUNDUP(INDEX(Upgrades!$C$3:$C$13,MATCH(SUBSTITUTE(Q1433,""Sell_"",""""),Upgrades!$B$3:$B$13,0))*1.15^(COUNTIF(Q$4:Q1432,SUBSTITUTE(Q1433,""Sell_"",""""))-COUNTIF(Q$4"&amp;":Q1432,""Sell_""&amp;SUBSTITUTE(Q1433,""Sell_"",""""))))/2),ROUNDUP(INDEX(Upgrades!$C$3:$C$13,MATCH(Q1433,Upgrades!$B$3:$B$13,0))*1.15^(COUNTIF(Q$4:Q1432,Q1433)-COUNTIF(Q$4:Q1432,""Sell_""&amp;Q1433))))))"),"")</f>
        <v/>
      </c>
      <c r="V1433" s="10" t="str">
        <f t="shared" si="11"/>
        <v/>
      </c>
      <c r="W1433" s="68" t="str">
        <f t="shared" si="12"/>
        <v/>
      </c>
      <c r="X1433" s="59" t="str">
        <f t="shared" si="13"/>
        <v/>
      </c>
      <c r="Y1433" s="69" t="str">
        <f t="shared" si="14"/>
        <v/>
      </c>
      <c r="Z1433" s="11"/>
      <c r="AG1433" s="59"/>
    </row>
    <row r="1434">
      <c r="A1434" s="8"/>
      <c r="B1434" s="56" t="str">
        <f t="shared" si="2"/>
        <v/>
      </c>
      <c r="C1434" s="105"/>
      <c r="D1434" s="10"/>
      <c r="E1434" s="59" t="str">
        <f t="array" ref="E1434">IF(COUNTA(C1434:C1644)=0,"",SUM((COUNTIF(C$4:C1434,Upgrades!$B$3:$B$13)-COUNTIF(C$4:C1434,"Sell_"&amp;Upgrades!$B$3:$B$13))*Upgrades!$D$3:$D$13))</f>
        <v/>
      </c>
      <c r="F1434" s="66" t="str">
        <f>IFERROR(__xludf.DUMMYFUNCTION("IF(COUNTA(C1434:C1644)=0,"""",IF(REGEXMATCH(INDEX(FILTER(C$4:C1434,C$4:C1434&lt;&gt;""""),ROWS(FILTER(C$4:C1434,C$4:C1434&lt;&gt;""""))),""^Sell_""),INDEX(FILTER(F$4:F1433,C$4:C1433&lt;&gt;""""),ROWS(FILTER(C$4:C1433,C$4:C1433&lt;&gt;""""))),$AC$5+E1434))"),"")</f>
        <v/>
      </c>
      <c r="G1434" s="10" t="str">
        <f>IFERROR(__xludf.DUMMYFUNCTION("IF(COUNTA(C1434:C1644)=0,"""",IF(C1434="""",0,IF(REGEXMATCH(C1434,""^Sell_""),-ROUNDDOWN(ROUNDUP(INDEX(Upgrades!$C$3:$C$13,MATCH(SUBSTITUTE(C1434,""Sell_"",""""),Upgrades!$B$3:$B$13,0))*1.15^(COUNTIF(C$4:C1433,SUBSTITUTE(C1434,""Sell_"",""""))-COUNTIF(C$4"&amp;":C1433,""Sell_""&amp;SUBSTITUTE(C1434,""Sell_"",""""))))/2),ROUNDUP(INDEX(Upgrades!$C$3:$C$13,MATCH(C1434,Upgrades!$B$3:$B$13,0))*1.15^(COUNTIF(C$4:C1433,C1434)-COUNTIF(C$4:C1433,""Sell_""&amp;C1434))))))"),"")</f>
        <v/>
      </c>
      <c r="H1434" s="10" t="str">
        <f t="shared" si="3"/>
        <v/>
      </c>
      <c r="I1434" s="68" t="str">
        <f t="shared" si="4"/>
        <v/>
      </c>
      <c r="J1434" s="59" t="str">
        <f t="shared" si="5"/>
        <v/>
      </c>
      <c r="K1434" s="69" t="str">
        <f t="shared" si="6"/>
        <v/>
      </c>
      <c r="L1434" s="60" t="str">
        <f t="shared" si="7"/>
        <v/>
      </c>
      <c r="M1434" s="61" t="str">
        <f>IFERROR(__xludf.DUMMYFUNCTION("IFS(AND(COUNTA(C1434:C1644)=0,COUNTA(Q1434:Q1644)=0),"""",OR(AND(K1434&gt;=1000000000,OR(Y1434&gt;=1000000000,COUNTA(Q1434:Q1644)=0)),OR(Y1434&gt;=1000000000,AND(COUNTA(C1434:C1644)=0,P$3=TRUE))),
ROUNDDOWN((AB$1-AC$1)*MAX(INDEX(T$4:T1644,MATCH(LARGE(FILTER(Y$4:Y1"&amp;"644,Y$4:Y1644&lt;1000000000),1),Y$4:Y1644)),INDEX(F$4:F1644,MATCH(LARGE(FILTER(K$4:K1644,K$4:K1644&lt;1000000000),1),K$4:K1644)))),AND(K1434&lt;1000000000,COUNTA(C1434:C1644)&gt;0,P$3=FALSE),
ROUNDDOWN(INDEX(Y$4:Y1644,MATCH(LARGE(FILTER(W$4:W1644,W$4:W1644&lt;=I1434),1)"&amp;",W$4:W1644))+(I1434-LARGE(FILTER(W$4:W1644,W$4:W1644&lt;=I1434),1))*INDEX(T$4:T1644,MATCH(LARGE(FILTER(W$4:W1644,W$4:W1644&lt;=I1434),1),W$4:W1644))-K1434),1,
ROUNDDOWN(Y1434-INDEX(K$4:K1644,MATCH(LARGE(FILTER(I$4:I1644,I$4:I1644&lt;=W1434),1),I$4:I1644))-(W1434-L"&amp;"ARGE(FILTER(I$4:I1644,I$4:I1644&lt;=W1434),1))*INDEX(F$4:F1644,MATCH(LARGE(FILTER(I$4:I1644,I$4:I1644&lt;=W1434),1),I$4:I1644))))"),"")</f>
        <v/>
      </c>
      <c r="N1434" s="60" t="str">
        <f t="shared" si="8"/>
        <v/>
      </c>
      <c r="O1434" s="61" t="str">
        <f t="shared" si="9"/>
        <v/>
      </c>
      <c r="P1434" s="56" t="str">
        <f t="shared" si="10"/>
        <v/>
      </c>
      <c r="Q1434" s="105"/>
      <c r="R1434" s="10"/>
      <c r="S1434" s="59" t="str">
        <f t="array" ref="S1434">IF(COUNTA(Q1434:Q1644)=0,"",SUM((COUNTIF(Q$4:Q1434,Upgrades!$B$3:$B$13)-COUNTIF(Q$4:Q1434,"Sell_"&amp;Upgrades!$B$3:$B$13))*Upgrades!$D$3:$D$13))</f>
        <v/>
      </c>
      <c r="T1434" s="66" t="str">
        <f>IFERROR(__xludf.DUMMYFUNCTION("IF(COUNTA(Q1434:Q1644)=0,"""",IF(REGEXMATCH(INDEX(FILTER(Q$4:Q1434,Q$4:Q1434&lt;&gt;""""),ROWS(FILTER(Q$4:Q1434,Q$4:Q1434&lt;&gt;""""))),""^Sell_""),INDEX(FILTER(T$4:T1433,Q$4:Q1433&lt;&gt;""""),ROWS(FILTER(Q$4:Q1433,Q$4:Q1433&lt;&gt;""""))),$AD$5+S1434))"),"")</f>
        <v/>
      </c>
      <c r="U1434" s="10" t="str">
        <f>IFERROR(__xludf.DUMMYFUNCTION("IF(COUNTA(Q1434:Q1644)=0,"""",IF(Q1434="""",0,IF(REGEXMATCH(Q1434,""^Sell_""),-ROUNDDOWN(ROUNDUP(INDEX(Upgrades!$C$3:$C$13,MATCH(SUBSTITUTE(Q1434,""Sell_"",""""),Upgrades!$B$3:$B$13,0))*1.15^(COUNTIF(Q$4:Q1433,SUBSTITUTE(Q1434,""Sell_"",""""))-COUNTIF(Q$4"&amp;":Q1433,""Sell_""&amp;SUBSTITUTE(Q1434,""Sell_"",""""))))/2),ROUNDUP(INDEX(Upgrades!$C$3:$C$13,MATCH(Q1434,Upgrades!$B$3:$B$13,0))*1.15^(COUNTIF(Q$4:Q1433,Q1434)-COUNTIF(Q$4:Q1433,""Sell_""&amp;Q1434))))))"),"")</f>
        <v/>
      </c>
      <c r="V1434" s="10" t="str">
        <f t="shared" si="11"/>
        <v/>
      </c>
      <c r="W1434" s="68" t="str">
        <f t="shared" si="12"/>
        <v/>
      </c>
      <c r="X1434" s="59" t="str">
        <f t="shared" si="13"/>
        <v/>
      </c>
      <c r="Y1434" s="69" t="str">
        <f t="shared" si="14"/>
        <v/>
      </c>
      <c r="Z1434" s="11"/>
      <c r="AG1434" s="59"/>
    </row>
    <row r="1435">
      <c r="A1435" s="8"/>
      <c r="B1435" s="56" t="str">
        <f t="shared" si="2"/>
        <v/>
      </c>
      <c r="C1435" s="105"/>
      <c r="D1435" s="10"/>
      <c r="E1435" s="59" t="str">
        <f t="array" ref="E1435">IF(COUNTA(C1435:C1644)=0,"",SUM((COUNTIF(C$4:C1435,Upgrades!$B$3:$B$13)-COUNTIF(C$4:C1435,"Sell_"&amp;Upgrades!$B$3:$B$13))*Upgrades!$D$3:$D$13))</f>
        <v/>
      </c>
      <c r="F1435" s="66" t="str">
        <f>IFERROR(__xludf.DUMMYFUNCTION("IF(COUNTA(C1435:C1644)=0,"""",IF(REGEXMATCH(INDEX(FILTER(C$4:C1435,C$4:C1435&lt;&gt;""""),ROWS(FILTER(C$4:C1435,C$4:C1435&lt;&gt;""""))),""^Sell_""),INDEX(FILTER(F$4:F1434,C$4:C1434&lt;&gt;""""),ROWS(FILTER(C$4:C1434,C$4:C1434&lt;&gt;""""))),$AC$5+E1435))"),"")</f>
        <v/>
      </c>
      <c r="G1435" s="10" t="str">
        <f>IFERROR(__xludf.DUMMYFUNCTION("IF(COUNTA(C1435:C1644)=0,"""",IF(C1435="""",0,IF(REGEXMATCH(C1435,""^Sell_""),-ROUNDDOWN(ROUNDUP(INDEX(Upgrades!$C$3:$C$13,MATCH(SUBSTITUTE(C1435,""Sell_"",""""),Upgrades!$B$3:$B$13,0))*1.15^(COUNTIF(C$4:C1434,SUBSTITUTE(C1435,""Sell_"",""""))-COUNTIF(C$4"&amp;":C1434,""Sell_""&amp;SUBSTITUTE(C1435,""Sell_"",""""))))/2),ROUNDUP(INDEX(Upgrades!$C$3:$C$13,MATCH(C1435,Upgrades!$B$3:$B$13,0))*1.15^(COUNTIF(C$4:C1434,C1435)-COUNTIF(C$4:C1434,""Sell_""&amp;C1435))))))"),"")</f>
        <v/>
      </c>
      <c r="H1435" s="10" t="str">
        <f t="shared" si="3"/>
        <v/>
      </c>
      <c r="I1435" s="68" t="str">
        <f t="shared" si="4"/>
        <v/>
      </c>
      <c r="J1435" s="59" t="str">
        <f t="shared" si="5"/>
        <v/>
      </c>
      <c r="K1435" s="69" t="str">
        <f t="shared" si="6"/>
        <v/>
      </c>
      <c r="L1435" s="60" t="str">
        <f t="shared" si="7"/>
        <v/>
      </c>
      <c r="M1435" s="61" t="str">
        <f>IFERROR(__xludf.DUMMYFUNCTION("IFS(AND(COUNTA(C1435:C1644)=0,COUNTA(Q1435:Q1644)=0),"""",OR(AND(K1435&gt;=1000000000,OR(Y1435&gt;=1000000000,COUNTA(Q1435:Q1644)=0)),OR(Y1435&gt;=1000000000,AND(COUNTA(C1435:C1644)=0,P$3=TRUE))),
ROUNDDOWN((AB$1-AC$1)*MAX(INDEX(T$4:T1644,MATCH(LARGE(FILTER(Y$4:Y1"&amp;"644,Y$4:Y1644&lt;1000000000),1),Y$4:Y1644)),INDEX(F$4:F1644,MATCH(LARGE(FILTER(K$4:K1644,K$4:K1644&lt;1000000000),1),K$4:K1644)))),AND(K1435&lt;1000000000,COUNTA(C1435:C1644)&gt;0,P$3=FALSE),
ROUNDDOWN(INDEX(Y$4:Y1644,MATCH(LARGE(FILTER(W$4:W1644,W$4:W1644&lt;=I1435),1)"&amp;",W$4:W1644))+(I1435-LARGE(FILTER(W$4:W1644,W$4:W1644&lt;=I1435),1))*INDEX(T$4:T1644,MATCH(LARGE(FILTER(W$4:W1644,W$4:W1644&lt;=I1435),1),W$4:W1644))-K1435),1,
ROUNDDOWN(Y1435-INDEX(K$4:K1644,MATCH(LARGE(FILTER(I$4:I1644,I$4:I1644&lt;=W1435),1),I$4:I1644))-(W1435-L"&amp;"ARGE(FILTER(I$4:I1644,I$4:I1644&lt;=W1435),1))*INDEX(F$4:F1644,MATCH(LARGE(FILTER(I$4:I1644,I$4:I1644&lt;=W1435),1),I$4:I1644))))"),"")</f>
        <v/>
      </c>
      <c r="N1435" s="60" t="str">
        <f t="shared" si="8"/>
        <v/>
      </c>
      <c r="O1435" s="61" t="str">
        <f t="shared" si="9"/>
        <v/>
      </c>
      <c r="P1435" s="56" t="str">
        <f t="shared" si="10"/>
        <v/>
      </c>
      <c r="Q1435" s="105"/>
      <c r="R1435" s="10"/>
      <c r="S1435" s="59" t="str">
        <f t="array" ref="S1435">IF(COUNTA(Q1435:Q1644)=0,"",SUM((COUNTIF(Q$4:Q1435,Upgrades!$B$3:$B$13)-COUNTIF(Q$4:Q1435,"Sell_"&amp;Upgrades!$B$3:$B$13))*Upgrades!$D$3:$D$13))</f>
        <v/>
      </c>
      <c r="T1435" s="66" t="str">
        <f>IFERROR(__xludf.DUMMYFUNCTION("IF(COUNTA(Q1435:Q1644)=0,"""",IF(REGEXMATCH(INDEX(FILTER(Q$4:Q1435,Q$4:Q1435&lt;&gt;""""),ROWS(FILTER(Q$4:Q1435,Q$4:Q1435&lt;&gt;""""))),""^Sell_""),INDEX(FILTER(T$4:T1434,Q$4:Q1434&lt;&gt;""""),ROWS(FILTER(Q$4:Q1434,Q$4:Q1434&lt;&gt;""""))),$AD$5+S1435))"),"")</f>
        <v/>
      </c>
      <c r="U1435" s="10" t="str">
        <f>IFERROR(__xludf.DUMMYFUNCTION("IF(COUNTA(Q1435:Q1644)=0,"""",IF(Q1435="""",0,IF(REGEXMATCH(Q1435,""^Sell_""),-ROUNDDOWN(ROUNDUP(INDEX(Upgrades!$C$3:$C$13,MATCH(SUBSTITUTE(Q1435,""Sell_"",""""),Upgrades!$B$3:$B$13,0))*1.15^(COUNTIF(Q$4:Q1434,SUBSTITUTE(Q1435,""Sell_"",""""))-COUNTIF(Q$4"&amp;":Q1434,""Sell_""&amp;SUBSTITUTE(Q1435,""Sell_"",""""))))/2),ROUNDUP(INDEX(Upgrades!$C$3:$C$13,MATCH(Q1435,Upgrades!$B$3:$B$13,0))*1.15^(COUNTIF(Q$4:Q1434,Q1435)-COUNTIF(Q$4:Q1434,""Sell_""&amp;Q1435))))))"),"")</f>
        <v/>
      </c>
      <c r="V1435" s="10" t="str">
        <f t="shared" si="11"/>
        <v/>
      </c>
      <c r="W1435" s="68" t="str">
        <f t="shared" si="12"/>
        <v/>
      </c>
      <c r="X1435" s="59" t="str">
        <f t="shared" si="13"/>
        <v/>
      </c>
      <c r="Y1435" s="69" t="str">
        <f t="shared" si="14"/>
        <v/>
      </c>
      <c r="Z1435" s="11"/>
      <c r="AG1435" s="59"/>
    </row>
    <row r="1436">
      <c r="A1436" s="8"/>
      <c r="B1436" s="56" t="str">
        <f t="shared" si="2"/>
        <v/>
      </c>
      <c r="C1436" s="105"/>
      <c r="D1436" s="10"/>
      <c r="E1436" s="59" t="str">
        <f t="array" ref="E1436">IF(COUNTA(C1436:C1644)=0,"",SUM((COUNTIF(C$4:C1436,Upgrades!$B$3:$B$13)-COUNTIF(C$4:C1436,"Sell_"&amp;Upgrades!$B$3:$B$13))*Upgrades!$D$3:$D$13))</f>
        <v/>
      </c>
      <c r="F1436" s="66" t="str">
        <f>IFERROR(__xludf.DUMMYFUNCTION("IF(COUNTA(C1436:C1644)=0,"""",IF(REGEXMATCH(INDEX(FILTER(C$4:C1436,C$4:C1436&lt;&gt;""""),ROWS(FILTER(C$4:C1436,C$4:C1436&lt;&gt;""""))),""^Sell_""),INDEX(FILTER(F$4:F1435,C$4:C1435&lt;&gt;""""),ROWS(FILTER(C$4:C1435,C$4:C1435&lt;&gt;""""))),$AC$5+E1436))"),"")</f>
        <v/>
      </c>
      <c r="G1436" s="10" t="str">
        <f>IFERROR(__xludf.DUMMYFUNCTION("IF(COUNTA(C1436:C1644)=0,"""",IF(C1436="""",0,IF(REGEXMATCH(C1436,""^Sell_""),-ROUNDDOWN(ROUNDUP(INDEX(Upgrades!$C$3:$C$13,MATCH(SUBSTITUTE(C1436,""Sell_"",""""),Upgrades!$B$3:$B$13,0))*1.15^(COUNTIF(C$4:C1435,SUBSTITUTE(C1436,""Sell_"",""""))-COUNTIF(C$4"&amp;":C1435,""Sell_""&amp;SUBSTITUTE(C1436,""Sell_"",""""))))/2),ROUNDUP(INDEX(Upgrades!$C$3:$C$13,MATCH(C1436,Upgrades!$B$3:$B$13,0))*1.15^(COUNTIF(C$4:C1435,C1436)-COUNTIF(C$4:C1435,""Sell_""&amp;C1436))))))"),"")</f>
        <v/>
      </c>
      <c r="H1436" s="10" t="str">
        <f t="shared" si="3"/>
        <v/>
      </c>
      <c r="I1436" s="68" t="str">
        <f t="shared" si="4"/>
        <v/>
      </c>
      <c r="J1436" s="59" t="str">
        <f t="shared" si="5"/>
        <v/>
      </c>
      <c r="K1436" s="69" t="str">
        <f t="shared" si="6"/>
        <v/>
      </c>
      <c r="L1436" s="60" t="str">
        <f t="shared" si="7"/>
        <v/>
      </c>
      <c r="M1436" s="61" t="str">
        <f>IFERROR(__xludf.DUMMYFUNCTION("IFS(AND(COUNTA(C1436:C1644)=0,COUNTA(Q1436:Q1644)=0),"""",OR(AND(K1436&gt;=1000000000,OR(Y1436&gt;=1000000000,COUNTA(Q1436:Q1644)=0)),OR(Y1436&gt;=1000000000,AND(COUNTA(C1436:C1644)=0,P$3=TRUE))),
ROUNDDOWN((AB$1-AC$1)*MAX(INDEX(T$4:T1644,MATCH(LARGE(FILTER(Y$4:Y1"&amp;"644,Y$4:Y1644&lt;1000000000),1),Y$4:Y1644)),INDEX(F$4:F1644,MATCH(LARGE(FILTER(K$4:K1644,K$4:K1644&lt;1000000000),1),K$4:K1644)))),AND(K1436&lt;1000000000,COUNTA(C1436:C1644)&gt;0,P$3=FALSE),
ROUNDDOWN(INDEX(Y$4:Y1644,MATCH(LARGE(FILTER(W$4:W1644,W$4:W1644&lt;=I1436),1)"&amp;",W$4:W1644))+(I1436-LARGE(FILTER(W$4:W1644,W$4:W1644&lt;=I1436),1))*INDEX(T$4:T1644,MATCH(LARGE(FILTER(W$4:W1644,W$4:W1644&lt;=I1436),1),W$4:W1644))-K1436),1,
ROUNDDOWN(Y1436-INDEX(K$4:K1644,MATCH(LARGE(FILTER(I$4:I1644,I$4:I1644&lt;=W1436),1),I$4:I1644))-(W1436-L"&amp;"ARGE(FILTER(I$4:I1644,I$4:I1644&lt;=W1436),1))*INDEX(F$4:F1644,MATCH(LARGE(FILTER(I$4:I1644,I$4:I1644&lt;=W1436),1),I$4:I1644))))"),"")</f>
        <v/>
      </c>
      <c r="N1436" s="60" t="str">
        <f t="shared" si="8"/>
        <v/>
      </c>
      <c r="O1436" s="61" t="str">
        <f t="shared" si="9"/>
        <v/>
      </c>
      <c r="P1436" s="56" t="str">
        <f t="shared" si="10"/>
        <v/>
      </c>
      <c r="Q1436" s="105"/>
      <c r="R1436" s="10"/>
      <c r="S1436" s="59" t="str">
        <f t="array" ref="S1436">IF(COUNTA(Q1436:Q1644)=0,"",SUM((COUNTIF(Q$4:Q1436,Upgrades!$B$3:$B$13)-COUNTIF(Q$4:Q1436,"Sell_"&amp;Upgrades!$B$3:$B$13))*Upgrades!$D$3:$D$13))</f>
        <v/>
      </c>
      <c r="T1436" s="66" t="str">
        <f>IFERROR(__xludf.DUMMYFUNCTION("IF(COUNTA(Q1436:Q1644)=0,"""",IF(REGEXMATCH(INDEX(FILTER(Q$4:Q1436,Q$4:Q1436&lt;&gt;""""),ROWS(FILTER(Q$4:Q1436,Q$4:Q1436&lt;&gt;""""))),""^Sell_""),INDEX(FILTER(T$4:T1435,Q$4:Q1435&lt;&gt;""""),ROWS(FILTER(Q$4:Q1435,Q$4:Q1435&lt;&gt;""""))),$AD$5+S1436))"),"")</f>
        <v/>
      </c>
      <c r="U1436" s="10" t="str">
        <f>IFERROR(__xludf.DUMMYFUNCTION("IF(COUNTA(Q1436:Q1644)=0,"""",IF(Q1436="""",0,IF(REGEXMATCH(Q1436,""^Sell_""),-ROUNDDOWN(ROUNDUP(INDEX(Upgrades!$C$3:$C$13,MATCH(SUBSTITUTE(Q1436,""Sell_"",""""),Upgrades!$B$3:$B$13,0))*1.15^(COUNTIF(Q$4:Q1435,SUBSTITUTE(Q1436,""Sell_"",""""))-COUNTIF(Q$4"&amp;":Q1435,""Sell_""&amp;SUBSTITUTE(Q1436,""Sell_"",""""))))/2),ROUNDUP(INDEX(Upgrades!$C$3:$C$13,MATCH(Q1436,Upgrades!$B$3:$B$13,0))*1.15^(COUNTIF(Q$4:Q1435,Q1436)-COUNTIF(Q$4:Q1435,""Sell_""&amp;Q1436))))))"),"")</f>
        <v/>
      </c>
      <c r="V1436" s="10" t="str">
        <f t="shared" si="11"/>
        <v/>
      </c>
      <c r="W1436" s="68" t="str">
        <f t="shared" si="12"/>
        <v/>
      </c>
      <c r="X1436" s="59" t="str">
        <f t="shared" si="13"/>
        <v/>
      </c>
      <c r="Y1436" s="69" t="str">
        <f t="shared" si="14"/>
        <v/>
      </c>
      <c r="Z1436" s="11"/>
      <c r="AG1436" s="59"/>
    </row>
    <row r="1437">
      <c r="A1437" s="8"/>
      <c r="B1437" s="56" t="str">
        <f t="shared" si="2"/>
        <v/>
      </c>
      <c r="C1437" s="105"/>
      <c r="D1437" s="10"/>
      <c r="E1437" s="59" t="str">
        <f t="array" ref="E1437">IF(COUNTA(C1437:C1644)=0,"",SUM((COUNTIF(C$4:C1437,Upgrades!$B$3:$B$13)-COUNTIF(C$4:C1437,"Sell_"&amp;Upgrades!$B$3:$B$13))*Upgrades!$D$3:$D$13))</f>
        <v/>
      </c>
      <c r="F1437" s="66" t="str">
        <f>IFERROR(__xludf.DUMMYFUNCTION("IF(COUNTA(C1437:C1644)=0,"""",IF(REGEXMATCH(INDEX(FILTER(C$4:C1437,C$4:C1437&lt;&gt;""""),ROWS(FILTER(C$4:C1437,C$4:C1437&lt;&gt;""""))),""^Sell_""),INDEX(FILTER(F$4:F1436,C$4:C1436&lt;&gt;""""),ROWS(FILTER(C$4:C1436,C$4:C1436&lt;&gt;""""))),$AC$5+E1437))"),"")</f>
        <v/>
      </c>
      <c r="G1437" s="10" t="str">
        <f>IFERROR(__xludf.DUMMYFUNCTION("IF(COUNTA(C1437:C1644)=0,"""",IF(C1437="""",0,IF(REGEXMATCH(C1437,""^Sell_""),-ROUNDDOWN(ROUNDUP(INDEX(Upgrades!$C$3:$C$13,MATCH(SUBSTITUTE(C1437,""Sell_"",""""),Upgrades!$B$3:$B$13,0))*1.15^(COUNTIF(C$4:C1436,SUBSTITUTE(C1437,""Sell_"",""""))-COUNTIF(C$4"&amp;":C1436,""Sell_""&amp;SUBSTITUTE(C1437,""Sell_"",""""))))/2),ROUNDUP(INDEX(Upgrades!$C$3:$C$13,MATCH(C1437,Upgrades!$B$3:$B$13,0))*1.15^(COUNTIF(C$4:C1436,C1437)-COUNTIF(C$4:C1436,""Sell_""&amp;C1437))))))"),"")</f>
        <v/>
      </c>
      <c r="H1437" s="10" t="str">
        <f t="shared" si="3"/>
        <v/>
      </c>
      <c r="I1437" s="68" t="str">
        <f t="shared" si="4"/>
        <v/>
      </c>
      <c r="J1437" s="59" t="str">
        <f t="shared" si="5"/>
        <v/>
      </c>
      <c r="K1437" s="69" t="str">
        <f t="shared" si="6"/>
        <v/>
      </c>
      <c r="L1437" s="60" t="str">
        <f t="shared" si="7"/>
        <v/>
      </c>
      <c r="M1437" s="61" t="str">
        <f>IFERROR(__xludf.DUMMYFUNCTION("IFS(AND(COUNTA(C1437:C1644)=0,COUNTA(Q1437:Q1644)=0),"""",OR(AND(K1437&gt;=1000000000,OR(Y1437&gt;=1000000000,COUNTA(Q1437:Q1644)=0)),OR(Y1437&gt;=1000000000,AND(COUNTA(C1437:C1644)=0,P$3=TRUE))),
ROUNDDOWN((AB$1-AC$1)*MAX(INDEX(T$4:T1644,MATCH(LARGE(FILTER(Y$4:Y1"&amp;"644,Y$4:Y1644&lt;1000000000),1),Y$4:Y1644)),INDEX(F$4:F1644,MATCH(LARGE(FILTER(K$4:K1644,K$4:K1644&lt;1000000000),1),K$4:K1644)))),AND(K1437&lt;1000000000,COUNTA(C1437:C1644)&gt;0,P$3=FALSE),
ROUNDDOWN(INDEX(Y$4:Y1644,MATCH(LARGE(FILTER(W$4:W1644,W$4:W1644&lt;=I1437),1)"&amp;",W$4:W1644))+(I1437-LARGE(FILTER(W$4:W1644,W$4:W1644&lt;=I1437),1))*INDEX(T$4:T1644,MATCH(LARGE(FILTER(W$4:W1644,W$4:W1644&lt;=I1437),1),W$4:W1644))-K1437),1,
ROUNDDOWN(Y1437-INDEX(K$4:K1644,MATCH(LARGE(FILTER(I$4:I1644,I$4:I1644&lt;=W1437),1),I$4:I1644))-(W1437-L"&amp;"ARGE(FILTER(I$4:I1644,I$4:I1644&lt;=W1437),1))*INDEX(F$4:F1644,MATCH(LARGE(FILTER(I$4:I1644,I$4:I1644&lt;=W1437),1),I$4:I1644))))"),"")</f>
        <v/>
      </c>
      <c r="N1437" s="60" t="str">
        <f t="shared" si="8"/>
        <v/>
      </c>
      <c r="O1437" s="61" t="str">
        <f t="shared" si="9"/>
        <v/>
      </c>
      <c r="P1437" s="56" t="str">
        <f t="shared" si="10"/>
        <v/>
      </c>
      <c r="Q1437" s="105"/>
      <c r="R1437" s="10"/>
      <c r="S1437" s="59" t="str">
        <f t="array" ref="S1437">IF(COUNTA(Q1437:Q1644)=0,"",SUM((COUNTIF(Q$4:Q1437,Upgrades!$B$3:$B$13)-COUNTIF(Q$4:Q1437,"Sell_"&amp;Upgrades!$B$3:$B$13))*Upgrades!$D$3:$D$13))</f>
        <v/>
      </c>
      <c r="T1437" s="66" t="str">
        <f>IFERROR(__xludf.DUMMYFUNCTION("IF(COUNTA(Q1437:Q1644)=0,"""",IF(REGEXMATCH(INDEX(FILTER(Q$4:Q1437,Q$4:Q1437&lt;&gt;""""),ROWS(FILTER(Q$4:Q1437,Q$4:Q1437&lt;&gt;""""))),""^Sell_""),INDEX(FILTER(T$4:T1436,Q$4:Q1436&lt;&gt;""""),ROWS(FILTER(Q$4:Q1436,Q$4:Q1436&lt;&gt;""""))),$AD$5+S1437))"),"")</f>
        <v/>
      </c>
      <c r="U1437" s="10" t="str">
        <f>IFERROR(__xludf.DUMMYFUNCTION("IF(COUNTA(Q1437:Q1644)=0,"""",IF(Q1437="""",0,IF(REGEXMATCH(Q1437,""^Sell_""),-ROUNDDOWN(ROUNDUP(INDEX(Upgrades!$C$3:$C$13,MATCH(SUBSTITUTE(Q1437,""Sell_"",""""),Upgrades!$B$3:$B$13,0))*1.15^(COUNTIF(Q$4:Q1436,SUBSTITUTE(Q1437,""Sell_"",""""))-COUNTIF(Q$4"&amp;":Q1436,""Sell_""&amp;SUBSTITUTE(Q1437,""Sell_"",""""))))/2),ROUNDUP(INDEX(Upgrades!$C$3:$C$13,MATCH(Q1437,Upgrades!$B$3:$B$13,0))*1.15^(COUNTIF(Q$4:Q1436,Q1437)-COUNTIF(Q$4:Q1436,""Sell_""&amp;Q1437))))))"),"")</f>
        <v/>
      </c>
      <c r="V1437" s="10" t="str">
        <f t="shared" si="11"/>
        <v/>
      </c>
      <c r="W1437" s="68" t="str">
        <f t="shared" si="12"/>
        <v/>
      </c>
      <c r="X1437" s="59" t="str">
        <f t="shared" si="13"/>
        <v/>
      </c>
      <c r="Y1437" s="69" t="str">
        <f t="shared" si="14"/>
        <v/>
      </c>
      <c r="Z1437" s="11"/>
      <c r="AG1437" s="59"/>
    </row>
    <row r="1438">
      <c r="A1438" s="8"/>
      <c r="B1438" s="56" t="str">
        <f t="shared" si="2"/>
        <v/>
      </c>
      <c r="C1438" s="105"/>
      <c r="D1438" s="10"/>
      <c r="E1438" s="59" t="str">
        <f t="array" ref="E1438">IF(COUNTA(C1438:C1644)=0,"",SUM((COUNTIF(C$4:C1438,Upgrades!$B$3:$B$13)-COUNTIF(C$4:C1438,"Sell_"&amp;Upgrades!$B$3:$B$13))*Upgrades!$D$3:$D$13))</f>
        <v/>
      </c>
      <c r="F1438" s="66" t="str">
        <f>IFERROR(__xludf.DUMMYFUNCTION("IF(COUNTA(C1438:C1644)=0,"""",IF(REGEXMATCH(INDEX(FILTER(C$4:C1438,C$4:C1438&lt;&gt;""""),ROWS(FILTER(C$4:C1438,C$4:C1438&lt;&gt;""""))),""^Sell_""),INDEX(FILTER(F$4:F1437,C$4:C1437&lt;&gt;""""),ROWS(FILTER(C$4:C1437,C$4:C1437&lt;&gt;""""))),$AC$5+E1438))"),"")</f>
        <v/>
      </c>
      <c r="G1438" s="10" t="str">
        <f>IFERROR(__xludf.DUMMYFUNCTION("IF(COUNTA(C1438:C1644)=0,"""",IF(C1438="""",0,IF(REGEXMATCH(C1438,""^Sell_""),-ROUNDDOWN(ROUNDUP(INDEX(Upgrades!$C$3:$C$13,MATCH(SUBSTITUTE(C1438,""Sell_"",""""),Upgrades!$B$3:$B$13,0))*1.15^(COUNTIF(C$4:C1437,SUBSTITUTE(C1438,""Sell_"",""""))-COUNTIF(C$4"&amp;":C1437,""Sell_""&amp;SUBSTITUTE(C1438,""Sell_"",""""))))/2),ROUNDUP(INDEX(Upgrades!$C$3:$C$13,MATCH(C1438,Upgrades!$B$3:$B$13,0))*1.15^(COUNTIF(C$4:C1437,C1438)-COUNTIF(C$4:C1437,""Sell_""&amp;C1438))))))"),"")</f>
        <v/>
      </c>
      <c r="H1438" s="10" t="str">
        <f t="shared" si="3"/>
        <v/>
      </c>
      <c r="I1438" s="68" t="str">
        <f t="shared" si="4"/>
        <v/>
      </c>
      <c r="J1438" s="59" t="str">
        <f t="shared" si="5"/>
        <v/>
      </c>
      <c r="K1438" s="69" t="str">
        <f t="shared" si="6"/>
        <v/>
      </c>
      <c r="L1438" s="60" t="str">
        <f t="shared" si="7"/>
        <v/>
      </c>
      <c r="M1438" s="61" t="str">
        <f>IFERROR(__xludf.DUMMYFUNCTION("IFS(AND(COUNTA(C1438:C1644)=0,COUNTA(Q1438:Q1644)=0),"""",OR(AND(K1438&gt;=1000000000,OR(Y1438&gt;=1000000000,COUNTA(Q1438:Q1644)=0)),OR(Y1438&gt;=1000000000,AND(COUNTA(C1438:C1644)=0,P$3=TRUE))),
ROUNDDOWN((AB$1-AC$1)*MAX(INDEX(T$4:T1644,MATCH(LARGE(FILTER(Y$4:Y1"&amp;"644,Y$4:Y1644&lt;1000000000),1),Y$4:Y1644)),INDEX(F$4:F1644,MATCH(LARGE(FILTER(K$4:K1644,K$4:K1644&lt;1000000000),1),K$4:K1644)))),AND(K1438&lt;1000000000,COUNTA(C1438:C1644)&gt;0,P$3=FALSE),
ROUNDDOWN(INDEX(Y$4:Y1644,MATCH(LARGE(FILTER(W$4:W1644,W$4:W1644&lt;=I1438),1)"&amp;",W$4:W1644))+(I1438-LARGE(FILTER(W$4:W1644,W$4:W1644&lt;=I1438),1))*INDEX(T$4:T1644,MATCH(LARGE(FILTER(W$4:W1644,W$4:W1644&lt;=I1438),1),W$4:W1644))-K1438),1,
ROUNDDOWN(Y1438-INDEX(K$4:K1644,MATCH(LARGE(FILTER(I$4:I1644,I$4:I1644&lt;=W1438),1),I$4:I1644))-(W1438-L"&amp;"ARGE(FILTER(I$4:I1644,I$4:I1644&lt;=W1438),1))*INDEX(F$4:F1644,MATCH(LARGE(FILTER(I$4:I1644,I$4:I1644&lt;=W1438),1),I$4:I1644))))"),"")</f>
        <v/>
      </c>
      <c r="N1438" s="60" t="str">
        <f t="shared" si="8"/>
        <v/>
      </c>
      <c r="O1438" s="61" t="str">
        <f t="shared" si="9"/>
        <v/>
      </c>
      <c r="P1438" s="56" t="str">
        <f t="shared" si="10"/>
        <v/>
      </c>
      <c r="Q1438" s="105"/>
      <c r="R1438" s="10"/>
      <c r="S1438" s="59" t="str">
        <f t="array" ref="S1438">IF(COUNTA(Q1438:Q1644)=0,"",SUM((COUNTIF(Q$4:Q1438,Upgrades!$B$3:$B$13)-COUNTIF(Q$4:Q1438,"Sell_"&amp;Upgrades!$B$3:$B$13))*Upgrades!$D$3:$D$13))</f>
        <v/>
      </c>
      <c r="T1438" s="66" t="str">
        <f>IFERROR(__xludf.DUMMYFUNCTION("IF(COUNTA(Q1438:Q1644)=0,"""",IF(REGEXMATCH(INDEX(FILTER(Q$4:Q1438,Q$4:Q1438&lt;&gt;""""),ROWS(FILTER(Q$4:Q1438,Q$4:Q1438&lt;&gt;""""))),""^Sell_""),INDEX(FILTER(T$4:T1437,Q$4:Q1437&lt;&gt;""""),ROWS(FILTER(Q$4:Q1437,Q$4:Q1437&lt;&gt;""""))),$AD$5+S1438))"),"")</f>
        <v/>
      </c>
      <c r="U1438" s="10" t="str">
        <f>IFERROR(__xludf.DUMMYFUNCTION("IF(COUNTA(Q1438:Q1644)=0,"""",IF(Q1438="""",0,IF(REGEXMATCH(Q1438,""^Sell_""),-ROUNDDOWN(ROUNDUP(INDEX(Upgrades!$C$3:$C$13,MATCH(SUBSTITUTE(Q1438,""Sell_"",""""),Upgrades!$B$3:$B$13,0))*1.15^(COUNTIF(Q$4:Q1437,SUBSTITUTE(Q1438,""Sell_"",""""))-COUNTIF(Q$4"&amp;":Q1437,""Sell_""&amp;SUBSTITUTE(Q1438,""Sell_"",""""))))/2),ROUNDUP(INDEX(Upgrades!$C$3:$C$13,MATCH(Q1438,Upgrades!$B$3:$B$13,0))*1.15^(COUNTIF(Q$4:Q1437,Q1438)-COUNTIF(Q$4:Q1437,""Sell_""&amp;Q1438))))))"),"")</f>
        <v/>
      </c>
      <c r="V1438" s="10" t="str">
        <f t="shared" si="11"/>
        <v/>
      </c>
      <c r="W1438" s="68" t="str">
        <f t="shared" si="12"/>
        <v/>
      </c>
      <c r="X1438" s="59" t="str">
        <f t="shared" si="13"/>
        <v/>
      </c>
      <c r="Y1438" s="69" t="str">
        <f t="shared" si="14"/>
        <v/>
      </c>
      <c r="Z1438" s="11"/>
      <c r="AG1438" s="59"/>
    </row>
    <row r="1439">
      <c r="A1439" s="8"/>
      <c r="B1439" s="56" t="str">
        <f t="shared" si="2"/>
        <v/>
      </c>
      <c r="C1439" s="105"/>
      <c r="D1439" s="10"/>
      <c r="E1439" s="59" t="str">
        <f t="array" ref="E1439">IF(COUNTA(C1439:C1644)=0,"",SUM((COUNTIF(C$4:C1439,Upgrades!$B$3:$B$13)-COUNTIF(C$4:C1439,"Sell_"&amp;Upgrades!$B$3:$B$13))*Upgrades!$D$3:$D$13))</f>
        <v/>
      </c>
      <c r="F1439" s="66" t="str">
        <f>IFERROR(__xludf.DUMMYFUNCTION("IF(COUNTA(C1439:C1644)=0,"""",IF(REGEXMATCH(INDEX(FILTER(C$4:C1439,C$4:C1439&lt;&gt;""""),ROWS(FILTER(C$4:C1439,C$4:C1439&lt;&gt;""""))),""^Sell_""),INDEX(FILTER(F$4:F1438,C$4:C1438&lt;&gt;""""),ROWS(FILTER(C$4:C1438,C$4:C1438&lt;&gt;""""))),$AC$5+E1439))"),"")</f>
        <v/>
      </c>
      <c r="G1439" s="10" t="str">
        <f>IFERROR(__xludf.DUMMYFUNCTION("IF(COUNTA(C1439:C1644)=0,"""",IF(C1439="""",0,IF(REGEXMATCH(C1439,""^Sell_""),-ROUNDDOWN(ROUNDUP(INDEX(Upgrades!$C$3:$C$13,MATCH(SUBSTITUTE(C1439,""Sell_"",""""),Upgrades!$B$3:$B$13,0))*1.15^(COUNTIF(C$4:C1438,SUBSTITUTE(C1439,""Sell_"",""""))-COUNTIF(C$4"&amp;":C1438,""Sell_""&amp;SUBSTITUTE(C1439,""Sell_"",""""))))/2),ROUNDUP(INDEX(Upgrades!$C$3:$C$13,MATCH(C1439,Upgrades!$B$3:$B$13,0))*1.15^(COUNTIF(C$4:C1438,C1439)-COUNTIF(C$4:C1438,""Sell_""&amp;C1439))))))"),"")</f>
        <v/>
      </c>
      <c r="H1439" s="10" t="str">
        <f t="shared" si="3"/>
        <v/>
      </c>
      <c r="I1439" s="68" t="str">
        <f t="shared" si="4"/>
        <v/>
      </c>
      <c r="J1439" s="59" t="str">
        <f t="shared" si="5"/>
        <v/>
      </c>
      <c r="K1439" s="69" t="str">
        <f t="shared" si="6"/>
        <v/>
      </c>
      <c r="L1439" s="60" t="str">
        <f t="shared" si="7"/>
        <v/>
      </c>
      <c r="M1439" s="61" t="str">
        <f>IFERROR(__xludf.DUMMYFUNCTION("IFS(AND(COUNTA(C1439:C1644)=0,COUNTA(Q1439:Q1644)=0),"""",OR(AND(K1439&gt;=1000000000,OR(Y1439&gt;=1000000000,COUNTA(Q1439:Q1644)=0)),OR(Y1439&gt;=1000000000,AND(COUNTA(C1439:C1644)=0,P$3=TRUE))),
ROUNDDOWN((AB$1-AC$1)*MAX(INDEX(T$4:T1644,MATCH(LARGE(FILTER(Y$4:Y1"&amp;"644,Y$4:Y1644&lt;1000000000),1),Y$4:Y1644)),INDEX(F$4:F1644,MATCH(LARGE(FILTER(K$4:K1644,K$4:K1644&lt;1000000000),1),K$4:K1644)))),AND(K1439&lt;1000000000,COUNTA(C1439:C1644)&gt;0,P$3=FALSE),
ROUNDDOWN(INDEX(Y$4:Y1644,MATCH(LARGE(FILTER(W$4:W1644,W$4:W1644&lt;=I1439),1)"&amp;",W$4:W1644))+(I1439-LARGE(FILTER(W$4:W1644,W$4:W1644&lt;=I1439),1))*INDEX(T$4:T1644,MATCH(LARGE(FILTER(W$4:W1644,W$4:W1644&lt;=I1439),1),W$4:W1644))-K1439),1,
ROUNDDOWN(Y1439-INDEX(K$4:K1644,MATCH(LARGE(FILTER(I$4:I1644,I$4:I1644&lt;=W1439),1),I$4:I1644))-(W1439-L"&amp;"ARGE(FILTER(I$4:I1644,I$4:I1644&lt;=W1439),1))*INDEX(F$4:F1644,MATCH(LARGE(FILTER(I$4:I1644,I$4:I1644&lt;=W1439),1),I$4:I1644))))"),"")</f>
        <v/>
      </c>
      <c r="N1439" s="60" t="str">
        <f t="shared" si="8"/>
        <v/>
      </c>
      <c r="O1439" s="61" t="str">
        <f t="shared" si="9"/>
        <v/>
      </c>
      <c r="P1439" s="56" t="str">
        <f t="shared" si="10"/>
        <v/>
      </c>
      <c r="Q1439" s="105"/>
      <c r="R1439" s="10"/>
      <c r="S1439" s="59" t="str">
        <f t="array" ref="S1439">IF(COUNTA(Q1439:Q1644)=0,"",SUM((COUNTIF(Q$4:Q1439,Upgrades!$B$3:$B$13)-COUNTIF(Q$4:Q1439,"Sell_"&amp;Upgrades!$B$3:$B$13))*Upgrades!$D$3:$D$13))</f>
        <v/>
      </c>
      <c r="T1439" s="66" t="str">
        <f>IFERROR(__xludf.DUMMYFUNCTION("IF(COUNTA(Q1439:Q1644)=0,"""",IF(REGEXMATCH(INDEX(FILTER(Q$4:Q1439,Q$4:Q1439&lt;&gt;""""),ROWS(FILTER(Q$4:Q1439,Q$4:Q1439&lt;&gt;""""))),""^Sell_""),INDEX(FILTER(T$4:T1438,Q$4:Q1438&lt;&gt;""""),ROWS(FILTER(Q$4:Q1438,Q$4:Q1438&lt;&gt;""""))),$AD$5+S1439))"),"")</f>
        <v/>
      </c>
      <c r="U1439" s="10" t="str">
        <f>IFERROR(__xludf.DUMMYFUNCTION("IF(COUNTA(Q1439:Q1644)=0,"""",IF(Q1439="""",0,IF(REGEXMATCH(Q1439,""^Sell_""),-ROUNDDOWN(ROUNDUP(INDEX(Upgrades!$C$3:$C$13,MATCH(SUBSTITUTE(Q1439,""Sell_"",""""),Upgrades!$B$3:$B$13,0))*1.15^(COUNTIF(Q$4:Q1438,SUBSTITUTE(Q1439,""Sell_"",""""))-COUNTIF(Q$4"&amp;":Q1438,""Sell_""&amp;SUBSTITUTE(Q1439,""Sell_"",""""))))/2),ROUNDUP(INDEX(Upgrades!$C$3:$C$13,MATCH(Q1439,Upgrades!$B$3:$B$13,0))*1.15^(COUNTIF(Q$4:Q1438,Q1439)-COUNTIF(Q$4:Q1438,""Sell_""&amp;Q1439))))))"),"")</f>
        <v/>
      </c>
      <c r="V1439" s="10" t="str">
        <f t="shared" si="11"/>
        <v/>
      </c>
      <c r="W1439" s="68" t="str">
        <f t="shared" si="12"/>
        <v/>
      </c>
      <c r="X1439" s="59" t="str">
        <f t="shared" si="13"/>
        <v/>
      </c>
      <c r="Y1439" s="69" t="str">
        <f t="shared" si="14"/>
        <v/>
      </c>
      <c r="Z1439" s="11"/>
      <c r="AG1439" s="59"/>
    </row>
    <row r="1440">
      <c r="A1440" s="8"/>
      <c r="B1440" s="56" t="str">
        <f t="shared" si="2"/>
        <v/>
      </c>
      <c r="C1440" s="105"/>
      <c r="D1440" s="10"/>
      <c r="E1440" s="59" t="str">
        <f t="array" ref="E1440">IF(COUNTA(C1440:C1644)=0,"",SUM((COUNTIF(C$4:C1440,Upgrades!$B$3:$B$13)-COUNTIF(C$4:C1440,"Sell_"&amp;Upgrades!$B$3:$B$13))*Upgrades!$D$3:$D$13))</f>
        <v/>
      </c>
      <c r="F1440" s="66" t="str">
        <f>IFERROR(__xludf.DUMMYFUNCTION("IF(COUNTA(C1440:C1644)=0,"""",IF(REGEXMATCH(INDEX(FILTER(C$4:C1440,C$4:C1440&lt;&gt;""""),ROWS(FILTER(C$4:C1440,C$4:C1440&lt;&gt;""""))),""^Sell_""),INDEX(FILTER(F$4:F1439,C$4:C1439&lt;&gt;""""),ROWS(FILTER(C$4:C1439,C$4:C1439&lt;&gt;""""))),$AC$5+E1440))"),"")</f>
        <v/>
      </c>
      <c r="G1440" s="10" t="str">
        <f>IFERROR(__xludf.DUMMYFUNCTION("IF(COUNTA(C1440:C1644)=0,"""",IF(C1440="""",0,IF(REGEXMATCH(C1440,""^Sell_""),-ROUNDDOWN(ROUNDUP(INDEX(Upgrades!$C$3:$C$13,MATCH(SUBSTITUTE(C1440,""Sell_"",""""),Upgrades!$B$3:$B$13,0))*1.15^(COUNTIF(C$4:C1439,SUBSTITUTE(C1440,""Sell_"",""""))-COUNTIF(C$4"&amp;":C1439,""Sell_""&amp;SUBSTITUTE(C1440,""Sell_"",""""))))/2),ROUNDUP(INDEX(Upgrades!$C$3:$C$13,MATCH(C1440,Upgrades!$B$3:$B$13,0))*1.15^(COUNTIF(C$4:C1439,C1440)-COUNTIF(C$4:C1439,""Sell_""&amp;C1440))))))"),"")</f>
        <v/>
      </c>
      <c r="H1440" s="10" t="str">
        <f t="shared" si="3"/>
        <v/>
      </c>
      <c r="I1440" s="68" t="str">
        <f t="shared" si="4"/>
        <v/>
      </c>
      <c r="J1440" s="59" t="str">
        <f t="shared" si="5"/>
        <v/>
      </c>
      <c r="K1440" s="69" t="str">
        <f t="shared" si="6"/>
        <v/>
      </c>
      <c r="L1440" s="60" t="str">
        <f t="shared" si="7"/>
        <v/>
      </c>
      <c r="M1440" s="61" t="str">
        <f>IFERROR(__xludf.DUMMYFUNCTION("IFS(AND(COUNTA(C1440:C1644)=0,COUNTA(Q1440:Q1644)=0),"""",OR(AND(K1440&gt;=1000000000,OR(Y1440&gt;=1000000000,COUNTA(Q1440:Q1644)=0)),OR(Y1440&gt;=1000000000,AND(COUNTA(C1440:C1644)=0,P$3=TRUE))),
ROUNDDOWN((AB$1-AC$1)*MAX(INDEX(T$4:T1644,MATCH(LARGE(FILTER(Y$4:Y1"&amp;"644,Y$4:Y1644&lt;1000000000),1),Y$4:Y1644)),INDEX(F$4:F1644,MATCH(LARGE(FILTER(K$4:K1644,K$4:K1644&lt;1000000000),1),K$4:K1644)))),AND(K1440&lt;1000000000,COUNTA(C1440:C1644)&gt;0,P$3=FALSE),
ROUNDDOWN(INDEX(Y$4:Y1644,MATCH(LARGE(FILTER(W$4:W1644,W$4:W1644&lt;=I1440),1)"&amp;",W$4:W1644))+(I1440-LARGE(FILTER(W$4:W1644,W$4:W1644&lt;=I1440),1))*INDEX(T$4:T1644,MATCH(LARGE(FILTER(W$4:W1644,W$4:W1644&lt;=I1440),1),W$4:W1644))-K1440),1,
ROUNDDOWN(Y1440-INDEX(K$4:K1644,MATCH(LARGE(FILTER(I$4:I1644,I$4:I1644&lt;=W1440),1),I$4:I1644))-(W1440-L"&amp;"ARGE(FILTER(I$4:I1644,I$4:I1644&lt;=W1440),1))*INDEX(F$4:F1644,MATCH(LARGE(FILTER(I$4:I1644,I$4:I1644&lt;=W1440),1),I$4:I1644))))"),"")</f>
        <v/>
      </c>
      <c r="N1440" s="60" t="str">
        <f t="shared" si="8"/>
        <v/>
      </c>
      <c r="O1440" s="61" t="str">
        <f t="shared" si="9"/>
        <v/>
      </c>
      <c r="P1440" s="56" t="str">
        <f t="shared" si="10"/>
        <v/>
      </c>
      <c r="Q1440" s="105"/>
      <c r="R1440" s="10"/>
      <c r="S1440" s="59" t="str">
        <f t="array" ref="S1440">IF(COUNTA(Q1440:Q1644)=0,"",SUM((COUNTIF(Q$4:Q1440,Upgrades!$B$3:$B$13)-COUNTIF(Q$4:Q1440,"Sell_"&amp;Upgrades!$B$3:$B$13))*Upgrades!$D$3:$D$13))</f>
        <v/>
      </c>
      <c r="T1440" s="66" t="str">
        <f>IFERROR(__xludf.DUMMYFUNCTION("IF(COUNTA(Q1440:Q1644)=0,"""",IF(REGEXMATCH(INDEX(FILTER(Q$4:Q1440,Q$4:Q1440&lt;&gt;""""),ROWS(FILTER(Q$4:Q1440,Q$4:Q1440&lt;&gt;""""))),""^Sell_""),INDEX(FILTER(T$4:T1439,Q$4:Q1439&lt;&gt;""""),ROWS(FILTER(Q$4:Q1439,Q$4:Q1439&lt;&gt;""""))),$AD$5+S1440))"),"")</f>
        <v/>
      </c>
      <c r="U1440" s="10" t="str">
        <f>IFERROR(__xludf.DUMMYFUNCTION("IF(COUNTA(Q1440:Q1644)=0,"""",IF(Q1440="""",0,IF(REGEXMATCH(Q1440,""^Sell_""),-ROUNDDOWN(ROUNDUP(INDEX(Upgrades!$C$3:$C$13,MATCH(SUBSTITUTE(Q1440,""Sell_"",""""),Upgrades!$B$3:$B$13,0))*1.15^(COUNTIF(Q$4:Q1439,SUBSTITUTE(Q1440,""Sell_"",""""))-COUNTIF(Q$4"&amp;":Q1439,""Sell_""&amp;SUBSTITUTE(Q1440,""Sell_"",""""))))/2),ROUNDUP(INDEX(Upgrades!$C$3:$C$13,MATCH(Q1440,Upgrades!$B$3:$B$13,0))*1.15^(COUNTIF(Q$4:Q1439,Q1440)-COUNTIF(Q$4:Q1439,""Sell_""&amp;Q1440))))))"),"")</f>
        <v/>
      </c>
      <c r="V1440" s="10" t="str">
        <f t="shared" si="11"/>
        <v/>
      </c>
      <c r="W1440" s="68" t="str">
        <f t="shared" si="12"/>
        <v/>
      </c>
      <c r="X1440" s="59" t="str">
        <f t="shared" si="13"/>
        <v/>
      </c>
      <c r="Y1440" s="69" t="str">
        <f t="shared" si="14"/>
        <v/>
      </c>
      <c r="Z1440" s="11"/>
      <c r="AG1440" s="59"/>
    </row>
    <row r="1441">
      <c r="A1441" s="8"/>
      <c r="B1441" s="56" t="str">
        <f t="shared" si="2"/>
        <v/>
      </c>
      <c r="C1441" s="105"/>
      <c r="D1441" s="10"/>
      <c r="E1441" s="59" t="str">
        <f t="array" ref="E1441">IF(COUNTA(C1441:C1644)=0,"",SUM((COUNTIF(C$4:C1441,Upgrades!$B$3:$B$13)-COUNTIF(C$4:C1441,"Sell_"&amp;Upgrades!$B$3:$B$13))*Upgrades!$D$3:$D$13))</f>
        <v/>
      </c>
      <c r="F1441" s="66" t="str">
        <f>IFERROR(__xludf.DUMMYFUNCTION("IF(COUNTA(C1441:C1644)=0,"""",IF(REGEXMATCH(INDEX(FILTER(C$4:C1441,C$4:C1441&lt;&gt;""""),ROWS(FILTER(C$4:C1441,C$4:C1441&lt;&gt;""""))),""^Sell_""),INDEX(FILTER(F$4:F1440,C$4:C1440&lt;&gt;""""),ROWS(FILTER(C$4:C1440,C$4:C1440&lt;&gt;""""))),$AC$5+E1441))"),"")</f>
        <v/>
      </c>
      <c r="G1441" s="10" t="str">
        <f>IFERROR(__xludf.DUMMYFUNCTION("IF(COUNTA(C1441:C1644)=0,"""",IF(C1441="""",0,IF(REGEXMATCH(C1441,""^Sell_""),-ROUNDDOWN(ROUNDUP(INDEX(Upgrades!$C$3:$C$13,MATCH(SUBSTITUTE(C1441,""Sell_"",""""),Upgrades!$B$3:$B$13,0))*1.15^(COUNTIF(C$4:C1440,SUBSTITUTE(C1441,""Sell_"",""""))-COUNTIF(C$4"&amp;":C1440,""Sell_""&amp;SUBSTITUTE(C1441,""Sell_"",""""))))/2),ROUNDUP(INDEX(Upgrades!$C$3:$C$13,MATCH(C1441,Upgrades!$B$3:$B$13,0))*1.15^(COUNTIF(C$4:C1440,C1441)-COUNTIF(C$4:C1440,""Sell_""&amp;C1441))))))"),"")</f>
        <v/>
      </c>
      <c r="H1441" s="10" t="str">
        <f t="shared" si="3"/>
        <v/>
      </c>
      <c r="I1441" s="68" t="str">
        <f t="shared" si="4"/>
        <v/>
      </c>
      <c r="J1441" s="59" t="str">
        <f t="shared" si="5"/>
        <v/>
      </c>
      <c r="K1441" s="69" t="str">
        <f t="shared" si="6"/>
        <v/>
      </c>
      <c r="L1441" s="60" t="str">
        <f t="shared" si="7"/>
        <v/>
      </c>
      <c r="M1441" s="61" t="str">
        <f>IFERROR(__xludf.DUMMYFUNCTION("IFS(AND(COUNTA(C1441:C1644)=0,COUNTA(Q1441:Q1644)=0),"""",OR(AND(K1441&gt;=1000000000,OR(Y1441&gt;=1000000000,COUNTA(Q1441:Q1644)=0)),OR(Y1441&gt;=1000000000,AND(COUNTA(C1441:C1644)=0,P$3=TRUE))),
ROUNDDOWN((AB$1-AC$1)*MAX(INDEX(T$4:T1644,MATCH(LARGE(FILTER(Y$4:Y1"&amp;"644,Y$4:Y1644&lt;1000000000),1),Y$4:Y1644)),INDEX(F$4:F1644,MATCH(LARGE(FILTER(K$4:K1644,K$4:K1644&lt;1000000000),1),K$4:K1644)))),AND(K1441&lt;1000000000,COUNTA(C1441:C1644)&gt;0,P$3=FALSE),
ROUNDDOWN(INDEX(Y$4:Y1644,MATCH(LARGE(FILTER(W$4:W1644,W$4:W1644&lt;=I1441),1)"&amp;",W$4:W1644))+(I1441-LARGE(FILTER(W$4:W1644,W$4:W1644&lt;=I1441),1))*INDEX(T$4:T1644,MATCH(LARGE(FILTER(W$4:W1644,W$4:W1644&lt;=I1441),1),W$4:W1644))-K1441),1,
ROUNDDOWN(Y1441-INDEX(K$4:K1644,MATCH(LARGE(FILTER(I$4:I1644,I$4:I1644&lt;=W1441),1),I$4:I1644))-(W1441-L"&amp;"ARGE(FILTER(I$4:I1644,I$4:I1644&lt;=W1441),1))*INDEX(F$4:F1644,MATCH(LARGE(FILTER(I$4:I1644,I$4:I1644&lt;=W1441),1),I$4:I1644))))"),"")</f>
        <v/>
      </c>
      <c r="N1441" s="60" t="str">
        <f t="shared" si="8"/>
        <v/>
      </c>
      <c r="O1441" s="61" t="str">
        <f t="shared" si="9"/>
        <v/>
      </c>
      <c r="P1441" s="56" t="str">
        <f t="shared" si="10"/>
        <v/>
      </c>
      <c r="Q1441" s="105"/>
      <c r="R1441" s="10"/>
      <c r="S1441" s="59" t="str">
        <f t="array" ref="S1441">IF(COUNTA(Q1441:Q1644)=0,"",SUM((COUNTIF(Q$4:Q1441,Upgrades!$B$3:$B$13)-COUNTIF(Q$4:Q1441,"Sell_"&amp;Upgrades!$B$3:$B$13))*Upgrades!$D$3:$D$13))</f>
        <v/>
      </c>
      <c r="T1441" s="66" t="str">
        <f>IFERROR(__xludf.DUMMYFUNCTION("IF(COUNTA(Q1441:Q1644)=0,"""",IF(REGEXMATCH(INDEX(FILTER(Q$4:Q1441,Q$4:Q1441&lt;&gt;""""),ROWS(FILTER(Q$4:Q1441,Q$4:Q1441&lt;&gt;""""))),""^Sell_""),INDEX(FILTER(T$4:T1440,Q$4:Q1440&lt;&gt;""""),ROWS(FILTER(Q$4:Q1440,Q$4:Q1440&lt;&gt;""""))),$AD$5+S1441))"),"")</f>
        <v/>
      </c>
      <c r="U1441" s="10" t="str">
        <f>IFERROR(__xludf.DUMMYFUNCTION("IF(COUNTA(Q1441:Q1644)=0,"""",IF(Q1441="""",0,IF(REGEXMATCH(Q1441,""^Sell_""),-ROUNDDOWN(ROUNDUP(INDEX(Upgrades!$C$3:$C$13,MATCH(SUBSTITUTE(Q1441,""Sell_"",""""),Upgrades!$B$3:$B$13,0))*1.15^(COUNTIF(Q$4:Q1440,SUBSTITUTE(Q1441,""Sell_"",""""))-COUNTIF(Q$4"&amp;":Q1440,""Sell_""&amp;SUBSTITUTE(Q1441,""Sell_"",""""))))/2),ROUNDUP(INDEX(Upgrades!$C$3:$C$13,MATCH(Q1441,Upgrades!$B$3:$B$13,0))*1.15^(COUNTIF(Q$4:Q1440,Q1441)-COUNTIF(Q$4:Q1440,""Sell_""&amp;Q1441))))))"),"")</f>
        <v/>
      </c>
      <c r="V1441" s="10" t="str">
        <f t="shared" si="11"/>
        <v/>
      </c>
      <c r="W1441" s="68" t="str">
        <f t="shared" si="12"/>
        <v/>
      </c>
      <c r="X1441" s="59" t="str">
        <f t="shared" si="13"/>
        <v/>
      </c>
      <c r="Y1441" s="69" t="str">
        <f t="shared" si="14"/>
        <v/>
      </c>
      <c r="Z1441" s="11"/>
      <c r="AG1441" s="59"/>
    </row>
    <row r="1442">
      <c r="A1442" s="8"/>
      <c r="B1442" s="56" t="str">
        <f t="shared" si="2"/>
        <v/>
      </c>
      <c r="C1442" s="105"/>
      <c r="D1442" s="10"/>
      <c r="E1442" s="59" t="str">
        <f t="array" ref="E1442">IF(COUNTA(C1442:C1644)=0,"",SUM((COUNTIF(C$4:C1442,Upgrades!$B$3:$B$13)-COUNTIF(C$4:C1442,"Sell_"&amp;Upgrades!$B$3:$B$13))*Upgrades!$D$3:$D$13))</f>
        <v/>
      </c>
      <c r="F1442" s="66" t="str">
        <f>IFERROR(__xludf.DUMMYFUNCTION("IF(COUNTA(C1442:C1644)=0,"""",IF(REGEXMATCH(INDEX(FILTER(C$4:C1442,C$4:C1442&lt;&gt;""""),ROWS(FILTER(C$4:C1442,C$4:C1442&lt;&gt;""""))),""^Sell_""),INDEX(FILTER(F$4:F1441,C$4:C1441&lt;&gt;""""),ROWS(FILTER(C$4:C1441,C$4:C1441&lt;&gt;""""))),$AC$5+E1442))"),"")</f>
        <v/>
      </c>
      <c r="G1442" s="10" t="str">
        <f>IFERROR(__xludf.DUMMYFUNCTION("IF(COUNTA(C1442:C1644)=0,"""",IF(C1442="""",0,IF(REGEXMATCH(C1442,""^Sell_""),-ROUNDDOWN(ROUNDUP(INDEX(Upgrades!$C$3:$C$13,MATCH(SUBSTITUTE(C1442,""Sell_"",""""),Upgrades!$B$3:$B$13,0))*1.15^(COUNTIF(C$4:C1441,SUBSTITUTE(C1442,""Sell_"",""""))-COUNTIF(C$4"&amp;":C1441,""Sell_""&amp;SUBSTITUTE(C1442,""Sell_"",""""))))/2),ROUNDUP(INDEX(Upgrades!$C$3:$C$13,MATCH(C1442,Upgrades!$B$3:$B$13,0))*1.15^(COUNTIF(C$4:C1441,C1442)-COUNTIF(C$4:C1441,""Sell_""&amp;C1442))))))"),"")</f>
        <v/>
      </c>
      <c r="H1442" s="10" t="str">
        <f t="shared" si="3"/>
        <v/>
      </c>
      <c r="I1442" s="68" t="str">
        <f t="shared" si="4"/>
        <v/>
      </c>
      <c r="J1442" s="59" t="str">
        <f t="shared" si="5"/>
        <v/>
      </c>
      <c r="K1442" s="69" t="str">
        <f t="shared" si="6"/>
        <v/>
      </c>
      <c r="L1442" s="60" t="str">
        <f t="shared" si="7"/>
        <v/>
      </c>
      <c r="M1442" s="61" t="str">
        <f>IFERROR(__xludf.DUMMYFUNCTION("IFS(AND(COUNTA(C1442:C1644)=0,COUNTA(Q1442:Q1644)=0),"""",OR(AND(K1442&gt;=1000000000,OR(Y1442&gt;=1000000000,COUNTA(Q1442:Q1644)=0)),OR(Y1442&gt;=1000000000,AND(COUNTA(C1442:C1644)=0,P$3=TRUE))),
ROUNDDOWN((AB$1-AC$1)*MAX(INDEX(T$4:T1644,MATCH(LARGE(FILTER(Y$4:Y1"&amp;"644,Y$4:Y1644&lt;1000000000),1),Y$4:Y1644)),INDEX(F$4:F1644,MATCH(LARGE(FILTER(K$4:K1644,K$4:K1644&lt;1000000000),1),K$4:K1644)))),AND(K1442&lt;1000000000,COUNTA(C1442:C1644)&gt;0,P$3=FALSE),
ROUNDDOWN(INDEX(Y$4:Y1644,MATCH(LARGE(FILTER(W$4:W1644,W$4:W1644&lt;=I1442),1)"&amp;",W$4:W1644))+(I1442-LARGE(FILTER(W$4:W1644,W$4:W1644&lt;=I1442),1))*INDEX(T$4:T1644,MATCH(LARGE(FILTER(W$4:W1644,W$4:W1644&lt;=I1442),1),W$4:W1644))-K1442),1,
ROUNDDOWN(Y1442-INDEX(K$4:K1644,MATCH(LARGE(FILTER(I$4:I1644,I$4:I1644&lt;=W1442),1),I$4:I1644))-(W1442-L"&amp;"ARGE(FILTER(I$4:I1644,I$4:I1644&lt;=W1442),1))*INDEX(F$4:F1644,MATCH(LARGE(FILTER(I$4:I1644,I$4:I1644&lt;=W1442),1),I$4:I1644))))"),"")</f>
        <v/>
      </c>
      <c r="N1442" s="60" t="str">
        <f t="shared" si="8"/>
        <v/>
      </c>
      <c r="O1442" s="61" t="str">
        <f t="shared" si="9"/>
        <v/>
      </c>
      <c r="P1442" s="56" t="str">
        <f t="shared" si="10"/>
        <v/>
      </c>
      <c r="Q1442" s="105"/>
      <c r="R1442" s="10"/>
      <c r="S1442" s="59" t="str">
        <f t="array" ref="S1442">IF(COUNTA(Q1442:Q1644)=0,"",SUM((COUNTIF(Q$4:Q1442,Upgrades!$B$3:$B$13)-COUNTIF(Q$4:Q1442,"Sell_"&amp;Upgrades!$B$3:$B$13))*Upgrades!$D$3:$D$13))</f>
        <v/>
      </c>
      <c r="T1442" s="66" t="str">
        <f>IFERROR(__xludf.DUMMYFUNCTION("IF(COUNTA(Q1442:Q1644)=0,"""",IF(REGEXMATCH(INDEX(FILTER(Q$4:Q1442,Q$4:Q1442&lt;&gt;""""),ROWS(FILTER(Q$4:Q1442,Q$4:Q1442&lt;&gt;""""))),""^Sell_""),INDEX(FILTER(T$4:T1441,Q$4:Q1441&lt;&gt;""""),ROWS(FILTER(Q$4:Q1441,Q$4:Q1441&lt;&gt;""""))),$AD$5+S1442))"),"")</f>
        <v/>
      </c>
      <c r="U1442" s="10" t="str">
        <f>IFERROR(__xludf.DUMMYFUNCTION("IF(COUNTA(Q1442:Q1644)=0,"""",IF(Q1442="""",0,IF(REGEXMATCH(Q1442,""^Sell_""),-ROUNDDOWN(ROUNDUP(INDEX(Upgrades!$C$3:$C$13,MATCH(SUBSTITUTE(Q1442,""Sell_"",""""),Upgrades!$B$3:$B$13,0))*1.15^(COUNTIF(Q$4:Q1441,SUBSTITUTE(Q1442,""Sell_"",""""))-COUNTIF(Q$4"&amp;":Q1441,""Sell_""&amp;SUBSTITUTE(Q1442,""Sell_"",""""))))/2),ROUNDUP(INDEX(Upgrades!$C$3:$C$13,MATCH(Q1442,Upgrades!$B$3:$B$13,0))*1.15^(COUNTIF(Q$4:Q1441,Q1442)-COUNTIF(Q$4:Q1441,""Sell_""&amp;Q1442))))))"),"")</f>
        <v/>
      </c>
      <c r="V1442" s="10" t="str">
        <f t="shared" si="11"/>
        <v/>
      </c>
      <c r="W1442" s="68" t="str">
        <f t="shared" si="12"/>
        <v/>
      </c>
      <c r="X1442" s="59" t="str">
        <f t="shared" si="13"/>
        <v/>
      </c>
      <c r="Y1442" s="69" t="str">
        <f t="shared" si="14"/>
        <v/>
      </c>
      <c r="Z1442" s="11"/>
      <c r="AG1442" s="59"/>
    </row>
    <row r="1443">
      <c r="A1443" s="8"/>
      <c r="B1443" s="56" t="str">
        <f t="shared" si="2"/>
        <v/>
      </c>
      <c r="C1443" s="105"/>
      <c r="D1443" s="10"/>
      <c r="E1443" s="59" t="str">
        <f t="array" ref="E1443">IF(COUNTA(C1443:C1644)=0,"",SUM((COUNTIF(C$4:C1443,Upgrades!$B$3:$B$13)-COUNTIF(C$4:C1443,"Sell_"&amp;Upgrades!$B$3:$B$13))*Upgrades!$D$3:$D$13))</f>
        <v/>
      </c>
      <c r="F1443" s="66" t="str">
        <f>IFERROR(__xludf.DUMMYFUNCTION("IF(COUNTA(C1443:C1644)=0,"""",IF(REGEXMATCH(INDEX(FILTER(C$4:C1443,C$4:C1443&lt;&gt;""""),ROWS(FILTER(C$4:C1443,C$4:C1443&lt;&gt;""""))),""^Sell_""),INDEX(FILTER(F$4:F1442,C$4:C1442&lt;&gt;""""),ROWS(FILTER(C$4:C1442,C$4:C1442&lt;&gt;""""))),$AC$5+E1443))"),"")</f>
        <v/>
      </c>
      <c r="G1443" s="10" t="str">
        <f>IFERROR(__xludf.DUMMYFUNCTION("IF(COUNTA(C1443:C1644)=0,"""",IF(C1443="""",0,IF(REGEXMATCH(C1443,""^Sell_""),-ROUNDDOWN(ROUNDUP(INDEX(Upgrades!$C$3:$C$13,MATCH(SUBSTITUTE(C1443,""Sell_"",""""),Upgrades!$B$3:$B$13,0))*1.15^(COUNTIF(C$4:C1442,SUBSTITUTE(C1443,""Sell_"",""""))-COUNTIF(C$4"&amp;":C1442,""Sell_""&amp;SUBSTITUTE(C1443,""Sell_"",""""))))/2),ROUNDUP(INDEX(Upgrades!$C$3:$C$13,MATCH(C1443,Upgrades!$B$3:$B$13,0))*1.15^(COUNTIF(C$4:C1442,C1443)-COUNTIF(C$4:C1442,""Sell_""&amp;C1443))))))"),"")</f>
        <v/>
      </c>
      <c r="H1443" s="10" t="str">
        <f t="shared" si="3"/>
        <v/>
      </c>
      <c r="I1443" s="68" t="str">
        <f t="shared" si="4"/>
        <v/>
      </c>
      <c r="J1443" s="59" t="str">
        <f t="shared" si="5"/>
        <v/>
      </c>
      <c r="K1443" s="69" t="str">
        <f t="shared" si="6"/>
        <v/>
      </c>
      <c r="L1443" s="60" t="str">
        <f t="shared" si="7"/>
        <v/>
      </c>
      <c r="M1443" s="61" t="str">
        <f>IFERROR(__xludf.DUMMYFUNCTION("IFS(AND(COUNTA(C1443:C1644)=0,COUNTA(Q1443:Q1644)=0),"""",OR(AND(K1443&gt;=1000000000,OR(Y1443&gt;=1000000000,COUNTA(Q1443:Q1644)=0)),OR(Y1443&gt;=1000000000,AND(COUNTA(C1443:C1644)=0,P$3=TRUE))),
ROUNDDOWN((AB$1-AC$1)*MAX(INDEX(T$4:T1644,MATCH(LARGE(FILTER(Y$4:Y1"&amp;"644,Y$4:Y1644&lt;1000000000),1),Y$4:Y1644)),INDEX(F$4:F1644,MATCH(LARGE(FILTER(K$4:K1644,K$4:K1644&lt;1000000000),1),K$4:K1644)))),AND(K1443&lt;1000000000,COUNTA(C1443:C1644)&gt;0,P$3=FALSE),
ROUNDDOWN(INDEX(Y$4:Y1644,MATCH(LARGE(FILTER(W$4:W1644,W$4:W1644&lt;=I1443),1)"&amp;",W$4:W1644))+(I1443-LARGE(FILTER(W$4:W1644,W$4:W1644&lt;=I1443),1))*INDEX(T$4:T1644,MATCH(LARGE(FILTER(W$4:W1644,W$4:W1644&lt;=I1443),1),W$4:W1644))-K1443),1,
ROUNDDOWN(Y1443-INDEX(K$4:K1644,MATCH(LARGE(FILTER(I$4:I1644,I$4:I1644&lt;=W1443),1),I$4:I1644))-(W1443-L"&amp;"ARGE(FILTER(I$4:I1644,I$4:I1644&lt;=W1443),1))*INDEX(F$4:F1644,MATCH(LARGE(FILTER(I$4:I1644,I$4:I1644&lt;=W1443),1),I$4:I1644))))"),"")</f>
        <v/>
      </c>
      <c r="N1443" s="60" t="str">
        <f t="shared" si="8"/>
        <v/>
      </c>
      <c r="O1443" s="61" t="str">
        <f t="shared" si="9"/>
        <v/>
      </c>
      <c r="P1443" s="56" t="str">
        <f t="shared" si="10"/>
        <v/>
      </c>
      <c r="Q1443" s="105"/>
      <c r="R1443" s="10"/>
      <c r="S1443" s="59" t="str">
        <f t="array" ref="S1443">IF(COUNTA(Q1443:Q1644)=0,"",SUM((COUNTIF(Q$4:Q1443,Upgrades!$B$3:$B$13)-COUNTIF(Q$4:Q1443,"Sell_"&amp;Upgrades!$B$3:$B$13))*Upgrades!$D$3:$D$13))</f>
        <v/>
      </c>
      <c r="T1443" s="66" t="str">
        <f>IFERROR(__xludf.DUMMYFUNCTION("IF(COUNTA(Q1443:Q1644)=0,"""",IF(REGEXMATCH(INDEX(FILTER(Q$4:Q1443,Q$4:Q1443&lt;&gt;""""),ROWS(FILTER(Q$4:Q1443,Q$4:Q1443&lt;&gt;""""))),""^Sell_""),INDEX(FILTER(T$4:T1442,Q$4:Q1442&lt;&gt;""""),ROWS(FILTER(Q$4:Q1442,Q$4:Q1442&lt;&gt;""""))),$AD$5+S1443))"),"")</f>
        <v/>
      </c>
      <c r="U1443" s="10" t="str">
        <f>IFERROR(__xludf.DUMMYFUNCTION("IF(COUNTA(Q1443:Q1644)=0,"""",IF(Q1443="""",0,IF(REGEXMATCH(Q1443,""^Sell_""),-ROUNDDOWN(ROUNDUP(INDEX(Upgrades!$C$3:$C$13,MATCH(SUBSTITUTE(Q1443,""Sell_"",""""),Upgrades!$B$3:$B$13,0))*1.15^(COUNTIF(Q$4:Q1442,SUBSTITUTE(Q1443,""Sell_"",""""))-COUNTIF(Q$4"&amp;":Q1442,""Sell_""&amp;SUBSTITUTE(Q1443,""Sell_"",""""))))/2),ROUNDUP(INDEX(Upgrades!$C$3:$C$13,MATCH(Q1443,Upgrades!$B$3:$B$13,0))*1.15^(COUNTIF(Q$4:Q1442,Q1443)-COUNTIF(Q$4:Q1442,""Sell_""&amp;Q1443))))))"),"")</f>
        <v/>
      </c>
      <c r="V1443" s="10" t="str">
        <f t="shared" si="11"/>
        <v/>
      </c>
      <c r="W1443" s="68" t="str">
        <f t="shared" si="12"/>
        <v/>
      </c>
      <c r="X1443" s="59" t="str">
        <f t="shared" si="13"/>
        <v/>
      </c>
      <c r="Y1443" s="69" t="str">
        <f t="shared" si="14"/>
        <v/>
      </c>
      <c r="Z1443" s="11"/>
      <c r="AG1443" s="59"/>
    </row>
    <row r="1444">
      <c r="A1444" s="8"/>
      <c r="B1444" s="56" t="str">
        <f t="shared" si="2"/>
        <v/>
      </c>
      <c r="C1444" s="105"/>
      <c r="D1444" s="10"/>
      <c r="E1444" s="59" t="str">
        <f t="array" ref="E1444">IF(COUNTA(C1444:C1644)=0,"",SUM((COUNTIF(C$4:C1444,Upgrades!$B$3:$B$13)-COUNTIF(C$4:C1444,"Sell_"&amp;Upgrades!$B$3:$B$13))*Upgrades!$D$3:$D$13))</f>
        <v/>
      </c>
      <c r="F1444" s="66" t="str">
        <f>IFERROR(__xludf.DUMMYFUNCTION("IF(COUNTA(C1444:C1644)=0,"""",IF(REGEXMATCH(INDEX(FILTER(C$4:C1444,C$4:C1444&lt;&gt;""""),ROWS(FILTER(C$4:C1444,C$4:C1444&lt;&gt;""""))),""^Sell_""),INDEX(FILTER(F$4:F1443,C$4:C1443&lt;&gt;""""),ROWS(FILTER(C$4:C1443,C$4:C1443&lt;&gt;""""))),$AC$5+E1444))"),"")</f>
        <v/>
      </c>
      <c r="G1444" s="10" t="str">
        <f>IFERROR(__xludf.DUMMYFUNCTION("IF(COUNTA(C1444:C1644)=0,"""",IF(C1444="""",0,IF(REGEXMATCH(C1444,""^Sell_""),-ROUNDDOWN(ROUNDUP(INDEX(Upgrades!$C$3:$C$13,MATCH(SUBSTITUTE(C1444,""Sell_"",""""),Upgrades!$B$3:$B$13,0))*1.15^(COUNTIF(C$4:C1443,SUBSTITUTE(C1444,""Sell_"",""""))-COUNTIF(C$4"&amp;":C1443,""Sell_""&amp;SUBSTITUTE(C1444,""Sell_"",""""))))/2),ROUNDUP(INDEX(Upgrades!$C$3:$C$13,MATCH(C1444,Upgrades!$B$3:$B$13,0))*1.15^(COUNTIF(C$4:C1443,C1444)-COUNTIF(C$4:C1443,""Sell_""&amp;C1444))))))"),"")</f>
        <v/>
      </c>
      <c r="H1444" s="10" t="str">
        <f t="shared" si="3"/>
        <v/>
      </c>
      <c r="I1444" s="68" t="str">
        <f t="shared" si="4"/>
        <v/>
      </c>
      <c r="J1444" s="59" t="str">
        <f t="shared" si="5"/>
        <v/>
      </c>
      <c r="K1444" s="69" t="str">
        <f t="shared" si="6"/>
        <v/>
      </c>
      <c r="L1444" s="60" t="str">
        <f t="shared" si="7"/>
        <v/>
      </c>
      <c r="M1444" s="61" t="str">
        <f>IFERROR(__xludf.DUMMYFUNCTION("IFS(AND(COUNTA(C1444:C1644)=0,COUNTA(Q1444:Q1644)=0),"""",OR(AND(K1444&gt;=1000000000,OR(Y1444&gt;=1000000000,COUNTA(Q1444:Q1644)=0)),OR(Y1444&gt;=1000000000,AND(COUNTA(C1444:C1644)=0,P$3=TRUE))),
ROUNDDOWN((AB$1-AC$1)*MAX(INDEX(T$4:T1644,MATCH(LARGE(FILTER(Y$4:Y1"&amp;"644,Y$4:Y1644&lt;1000000000),1),Y$4:Y1644)),INDEX(F$4:F1644,MATCH(LARGE(FILTER(K$4:K1644,K$4:K1644&lt;1000000000),1),K$4:K1644)))),AND(K1444&lt;1000000000,COUNTA(C1444:C1644)&gt;0,P$3=FALSE),
ROUNDDOWN(INDEX(Y$4:Y1644,MATCH(LARGE(FILTER(W$4:W1644,W$4:W1644&lt;=I1444),1)"&amp;",W$4:W1644))+(I1444-LARGE(FILTER(W$4:W1644,W$4:W1644&lt;=I1444),1))*INDEX(T$4:T1644,MATCH(LARGE(FILTER(W$4:W1644,W$4:W1644&lt;=I1444),1),W$4:W1644))-K1444),1,
ROUNDDOWN(Y1444-INDEX(K$4:K1644,MATCH(LARGE(FILTER(I$4:I1644,I$4:I1644&lt;=W1444),1),I$4:I1644))-(W1444-L"&amp;"ARGE(FILTER(I$4:I1644,I$4:I1644&lt;=W1444),1))*INDEX(F$4:F1644,MATCH(LARGE(FILTER(I$4:I1644,I$4:I1644&lt;=W1444),1),I$4:I1644))))"),"")</f>
        <v/>
      </c>
      <c r="N1444" s="60" t="str">
        <f t="shared" si="8"/>
        <v/>
      </c>
      <c r="O1444" s="61" t="str">
        <f t="shared" si="9"/>
        <v/>
      </c>
      <c r="P1444" s="56" t="str">
        <f t="shared" si="10"/>
        <v/>
      </c>
      <c r="Q1444" s="105"/>
      <c r="R1444" s="10"/>
      <c r="S1444" s="59" t="str">
        <f t="array" ref="S1444">IF(COUNTA(Q1444:Q1644)=0,"",SUM((COUNTIF(Q$4:Q1444,Upgrades!$B$3:$B$13)-COUNTIF(Q$4:Q1444,"Sell_"&amp;Upgrades!$B$3:$B$13))*Upgrades!$D$3:$D$13))</f>
        <v/>
      </c>
      <c r="T1444" s="66" t="str">
        <f>IFERROR(__xludf.DUMMYFUNCTION("IF(COUNTA(Q1444:Q1644)=0,"""",IF(REGEXMATCH(INDEX(FILTER(Q$4:Q1444,Q$4:Q1444&lt;&gt;""""),ROWS(FILTER(Q$4:Q1444,Q$4:Q1444&lt;&gt;""""))),""^Sell_""),INDEX(FILTER(T$4:T1443,Q$4:Q1443&lt;&gt;""""),ROWS(FILTER(Q$4:Q1443,Q$4:Q1443&lt;&gt;""""))),$AD$5+S1444))"),"")</f>
        <v/>
      </c>
      <c r="U1444" s="10" t="str">
        <f>IFERROR(__xludf.DUMMYFUNCTION("IF(COUNTA(Q1444:Q1644)=0,"""",IF(Q1444="""",0,IF(REGEXMATCH(Q1444,""^Sell_""),-ROUNDDOWN(ROUNDUP(INDEX(Upgrades!$C$3:$C$13,MATCH(SUBSTITUTE(Q1444,""Sell_"",""""),Upgrades!$B$3:$B$13,0))*1.15^(COUNTIF(Q$4:Q1443,SUBSTITUTE(Q1444,""Sell_"",""""))-COUNTIF(Q$4"&amp;":Q1443,""Sell_""&amp;SUBSTITUTE(Q1444,""Sell_"",""""))))/2),ROUNDUP(INDEX(Upgrades!$C$3:$C$13,MATCH(Q1444,Upgrades!$B$3:$B$13,0))*1.15^(COUNTIF(Q$4:Q1443,Q1444)-COUNTIF(Q$4:Q1443,""Sell_""&amp;Q1444))))))"),"")</f>
        <v/>
      </c>
      <c r="V1444" s="10" t="str">
        <f t="shared" si="11"/>
        <v/>
      </c>
      <c r="W1444" s="68" t="str">
        <f t="shared" si="12"/>
        <v/>
      </c>
      <c r="X1444" s="59" t="str">
        <f t="shared" si="13"/>
        <v/>
      </c>
      <c r="Y1444" s="69" t="str">
        <f t="shared" si="14"/>
        <v/>
      </c>
      <c r="Z1444" s="11"/>
      <c r="AG1444" s="59"/>
    </row>
    <row r="1445">
      <c r="A1445" s="8"/>
      <c r="B1445" s="56" t="str">
        <f t="shared" si="2"/>
        <v/>
      </c>
      <c r="C1445" s="105"/>
      <c r="D1445" s="10"/>
      <c r="E1445" s="59" t="str">
        <f t="array" ref="E1445">IF(COUNTA(C1445:C1644)=0,"",SUM((COUNTIF(C$4:C1445,Upgrades!$B$3:$B$13)-COUNTIF(C$4:C1445,"Sell_"&amp;Upgrades!$B$3:$B$13))*Upgrades!$D$3:$D$13))</f>
        <v/>
      </c>
      <c r="F1445" s="66" t="str">
        <f>IFERROR(__xludf.DUMMYFUNCTION("IF(COUNTA(C1445:C1644)=0,"""",IF(REGEXMATCH(INDEX(FILTER(C$4:C1445,C$4:C1445&lt;&gt;""""),ROWS(FILTER(C$4:C1445,C$4:C1445&lt;&gt;""""))),""^Sell_""),INDEX(FILTER(F$4:F1444,C$4:C1444&lt;&gt;""""),ROWS(FILTER(C$4:C1444,C$4:C1444&lt;&gt;""""))),$AC$5+E1445))"),"")</f>
        <v/>
      </c>
      <c r="G1445" s="10" t="str">
        <f>IFERROR(__xludf.DUMMYFUNCTION("IF(COUNTA(C1445:C1644)=0,"""",IF(C1445="""",0,IF(REGEXMATCH(C1445,""^Sell_""),-ROUNDDOWN(ROUNDUP(INDEX(Upgrades!$C$3:$C$13,MATCH(SUBSTITUTE(C1445,""Sell_"",""""),Upgrades!$B$3:$B$13,0))*1.15^(COUNTIF(C$4:C1444,SUBSTITUTE(C1445,""Sell_"",""""))-COUNTIF(C$4"&amp;":C1444,""Sell_""&amp;SUBSTITUTE(C1445,""Sell_"",""""))))/2),ROUNDUP(INDEX(Upgrades!$C$3:$C$13,MATCH(C1445,Upgrades!$B$3:$B$13,0))*1.15^(COUNTIF(C$4:C1444,C1445)-COUNTIF(C$4:C1444,""Sell_""&amp;C1445))))))"),"")</f>
        <v/>
      </c>
      <c r="H1445" s="10" t="str">
        <f t="shared" si="3"/>
        <v/>
      </c>
      <c r="I1445" s="68" t="str">
        <f t="shared" si="4"/>
        <v/>
      </c>
      <c r="J1445" s="59" t="str">
        <f t="shared" si="5"/>
        <v/>
      </c>
      <c r="K1445" s="69" t="str">
        <f t="shared" si="6"/>
        <v/>
      </c>
      <c r="L1445" s="60" t="str">
        <f t="shared" si="7"/>
        <v/>
      </c>
      <c r="M1445" s="61" t="str">
        <f>IFERROR(__xludf.DUMMYFUNCTION("IFS(AND(COUNTA(C1445:C1644)=0,COUNTA(Q1445:Q1644)=0),"""",OR(AND(K1445&gt;=1000000000,OR(Y1445&gt;=1000000000,COUNTA(Q1445:Q1644)=0)),OR(Y1445&gt;=1000000000,AND(COUNTA(C1445:C1644)=0,P$3=TRUE))),
ROUNDDOWN((AB$1-AC$1)*MAX(INDEX(T$4:T1644,MATCH(LARGE(FILTER(Y$4:Y1"&amp;"644,Y$4:Y1644&lt;1000000000),1),Y$4:Y1644)),INDEX(F$4:F1644,MATCH(LARGE(FILTER(K$4:K1644,K$4:K1644&lt;1000000000),1),K$4:K1644)))),AND(K1445&lt;1000000000,COUNTA(C1445:C1644)&gt;0,P$3=FALSE),
ROUNDDOWN(INDEX(Y$4:Y1644,MATCH(LARGE(FILTER(W$4:W1644,W$4:W1644&lt;=I1445),1)"&amp;",W$4:W1644))+(I1445-LARGE(FILTER(W$4:W1644,W$4:W1644&lt;=I1445),1))*INDEX(T$4:T1644,MATCH(LARGE(FILTER(W$4:W1644,W$4:W1644&lt;=I1445),1),W$4:W1644))-K1445),1,
ROUNDDOWN(Y1445-INDEX(K$4:K1644,MATCH(LARGE(FILTER(I$4:I1644,I$4:I1644&lt;=W1445),1),I$4:I1644))-(W1445-L"&amp;"ARGE(FILTER(I$4:I1644,I$4:I1644&lt;=W1445),1))*INDEX(F$4:F1644,MATCH(LARGE(FILTER(I$4:I1644,I$4:I1644&lt;=W1445),1),I$4:I1644))))"),"")</f>
        <v/>
      </c>
      <c r="N1445" s="60" t="str">
        <f t="shared" si="8"/>
        <v/>
      </c>
      <c r="O1445" s="61" t="str">
        <f t="shared" si="9"/>
        <v/>
      </c>
      <c r="P1445" s="56" t="str">
        <f t="shared" si="10"/>
        <v/>
      </c>
      <c r="Q1445" s="105"/>
      <c r="R1445" s="10"/>
      <c r="S1445" s="59" t="str">
        <f t="array" ref="S1445">IF(COUNTA(Q1445:Q1644)=0,"",SUM((COUNTIF(Q$4:Q1445,Upgrades!$B$3:$B$13)-COUNTIF(Q$4:Q1445,"Sell_"&amp;Upgrades!$B$3:$B$13))*Upgrades!$D$3:$D$13))</f>
        <v/>
      </c>
      <c r="T1445" s="66" t="str">
        <f>IFERROR(__xludf.DUMMYFUNCTION("IF(COUNTA(Q1445:Q1644)=0,"""",IF(REGEXMATCH(INDEX(FILTER(Q$4:Q1445,Q$4:Q1445&lt;&gt;""""),ROWS(FILTER(Q$4:Q1445,Q$4:Q1445&lt;&gt;""""))),""^Sell_""),INDEX(FILTER(T$4:T1444,Q$4:Q1444&lt;&gt;""""),ROWS(FILTER(Q$4:Q1444,Q$4:Q1444&lt;&gt;""""))),$AD$5+S1445))"),"")</f>
        <v/>
      </c>
      <c r="U1445" s="10" t="str">
        <f>IFERROR(__xludf.DUMMYFUNCTION("IF(COUNTA(Q1445:Q1644)=0,"""",IF(Q1445="""",0,IF(REGEXMATCH(Q1445,""^Sell_""),-ROUNDDOWN(ROUNDUP(INDEX(Upgrades!$C$3:$C$13,MATCH(SUBSTITUTE(Q1445,""Sell_"",""""),Upgrades!$B$3:$B$13,0))*1.15^(COUNTIF(Q$4:Q1444,SUBSTITUTE(Q1445,""Sell_"",""""))-COUNTIF(Q$4"&amp;":Q1444,""Sell_""&amp;SUBSTITUTE(Q1445,""Sell_"",""""))))/2),ROUNDUP(INDEX(Upgrades!$C$3:$C$13,MATCH(Q1445,Upgrades!$B$3:$B$13,0))*1.15^(COUNTIF(Q$4:Q1444,Q1445)-COUNTIF(Q$4:Q1444,""Sell_""&amp;Q1445))))))"),"")</f>
        <v/>
      </c>
      <c r="V1445" s="10" t="str">
        <f t="shared" si="11"/>
        <v/>
      </c>
      <c r="W1445" s="68" t="str">
        <f t="shared" si="12"/>
        <v/>
      </c>
      <c r="X1445" s="59" t="str">
        <f t="shared" si="13"/>
        <v/>
      </c>
      <c r="Y1445" s="69" t="str">
        <f t="shared" si="14"/>
        <v/>
      </c>
      <c r="Z1445" s="11"/>
      <c r="AG1445" s="59"/>
    </row>
    <row r="1446">
      <c r="A1446" s="8"/>
      <c r="B1446" s="56" t="str">
        <f t="shared" si="2"/>
        <v/>
      </c>
      <c r="C1446" s="105"/>
      <c r="D1446" s="10"/>
      <c r="E1446" s="59" t="str">
        <f t="array" ref="E1446">IF(COUNTA(C1446:C1644)=0,"",SUM((COUNTIF(C$4:C1446,Upgrades!$B$3:$B$13)-COUNTIF(C$4:C1446,"Sell_"&amp;Upgrades!$B$3:$B$13))*Upgrades!$D$3:$D$13))</f>
        <v/>
      </c>
      <c r="F1446" s="66" t="str">
        <f>IFERROR(__xludf.DUMMYFUNCTION("IF(COUNTA(C1446:C1644)=0,"""",IF(REGEXMATCH(INDEX(FILTER(C$4:C1446,C$4:C1446&lt;&gt;""""),ROWS(FILTER(C$4:C1446,C$4:C1446&lt;&gt;""""))),""^Sell_""),INDEX(FILTER(F$4:F1445,C$4:C1445&lt;&gt;""""),ROWS(FILTER(C$4:C1445,C$4:C1445&lt;&gt;""""))),$AC$5+E1446))"),"")</f>
        <v/>
      </c>
      <c r="G1446" s="10" t="str">
        <f>IFERROR(__xludf.DUMMYFUNCTION("IF(COUNTA(C1446:C1644)=0,"""",IF(C1446="""",0,IF(REGEXMATCH(C1446,""^Sell_""),-ROUNDDOWN(ROUNDUP(INDEX(Upgrades!$C$3:$C$13,MATCH(SUBSTITUTE(C1446,""Sell_"",""""),Upgrades!$B$3:$B$13,0))*1.15^(COUNTIF(C$4:C1445,SUBSTITUTE(C1446,""Sell_"",""""))-COUNTIF(C$4"&amp;":C1445,""Sell_""&amp;SUBSTITUTE(C1446,""Sell_"",""""))))/2),ROUNDUP(INDEX(Upgrades!$C$3:$C$13,MATCH(C1446,Upgrades!$B$3:$B$13,0))*1.15^(COUNTIF(C$4:C1445,C1446)-COUNTIF(C$4:C1445,""Sell_""&amp;C1446))))))"),"")</f>
        <v/>
      </c>
      <c r="H1446" s="10" t="str">
        <f t="shared" si="3"/>
        <v/>
      </c>
      <c r="I1446" s="68" t="str">
        <f t="shared" si="4"/>
        <v/>
      </c>
      <c r="J1446" s="59" t="str">
        <f t="shared" si="5"/>
        <v/>
      </c>
      <c r="K1446" s="69" t="str">
        <f t="shared" si="6"/>
        <v/>
      </c>
      <c r="L1446" s="60" t="str">
        <f t="shared" si="7"/>
        <v/>
      </c>
      <c r="M1446" s="61" t="str">
        <f>IFERROR(__xludf.DUMMYFUNCTION("IFS(AND(COUNTA(C1446:C1644)=0,COUNTA(Q1446:Q1644)=0),"""",OR(AND(K1446&gt;=1000000000,OR(Y1446&gt;=1000000000,COUNTA(Q1446:Q1644)=0)),OR(Y1446&gt;=1000000000,AND(COUNTA(C1446:C1644)=0,P$3=TRUE))),
ROUNDDOWN((AB$1-AC$1)*MAX(INDEX(T$4:T1644,MATCH(LARGE(FILTER(Y$4:Y1"&amp;"644,Y$4:Y1644&lt;1000000000),1),Y$4:Y1644)),INDEX(F$4:F1644,MATCH(LARGE(FILTER(K$4:K1644,K$4:K1644&lt;1000000000),1),K$4:K1644)))),AND(K1446&lt;1000000000,COUNTA(C1446:C1644)&gt;0,P$3=FALSE),
ROUNDDOWN(INDEX(Y$4:Y1644,MATCH(LARGE(FILTER(W$4:W1644,W$4:W1644&lt;=I1446),1)"&amp;",W$4:W1644))+(I1446-LARGE(FILTER(W$4:W1644,W$4:W1644&lt;=I1446),1))*INDEX(T$4:T1644,MATCH(LARGE(FILTER(W$4:W1644,W$4:W1644&lt;=I1446),1),W$4:W1644))-K1446),1,
ROUNDDOWN(Y1446-INDEX(K$4:K1644,MATCH(LARGE(FILTER(I$4:I1644,I$4:I1644&lt;=W1446),1),I$4:I1644))-(W1446-L"&amp;"ARGE(FILTER(I$4:I1644,I$4:I1644&lt;=W1446),1))*INDEX(F$4:F1644,MATCH(LARGE(FILTER(I$4:I1644,I$4:I1644&lt;=W1446),1),I$4:I1644))))"),"")</f>
        <v/>
      </c>
      <c r="N1446" s="60" t="str">
        <f t="shared" si="8"/>
        <v/>
      </c>
      <c r="O1446" s="61" t="str">
        <f t="shared" si="9"/>
        <v/>
      </c>
      <c r="P1446" s="56" t="str">
        <f t="shared" si="10"/>
        <v/>
      </c>
      <c r="Q1446" s="105"/>
      <c r="R1446" s="10"/>
      <c r="S1446" s="59" t="str">
        <f t="array" ref="S1446">IF(COUNTA(Q1446:Q1644)=0,"",SUM((COUNTIF(Q$4:Q1446,Upgrades!$B$3:$B$13)-COUNTIF(Q$4:Q1446,"Sell_"&amp;Upgrades!$B$3:$B$13))*Upgrades!$D$3:$D$13))</f>
        <v/>
      </c>
      <c r="T1446" s="66" t="str">
        <f>IFERROR(__xludf.DUMMYFUNCTION("IF(COUNTA(Q1446:Q1644)=0,"""",IF(REGEXMATCH(INDEX(FILTER(Q$4:Q1446,Q$4:Q1446&lt;&gt;""""),ROWS(FILTER(Q$4:Q1446,Q$4:Q1446&lt;&gt;""""))),""^Sell_""),INDEX(FILTER(T$4:T1445,Q$4:Q1445&lt;&gt;""""),ROWS(FILTER(Q$4:Q1445,Q$4:Q1445&lt;&gt;""""))),$AD$5+S1446))"),"")</f>
        <v/>
      </c>
      <c r="U1446" s="10" t="str">
        <f>IFERROR(__xludf.DUMMYFUNCTION("IF(COUNTA(Q1446:Q1644)=0,"""",IF(Q1446="""",0,IF(REGEXMATCH(Q1446,""^Sell_""),-ROUNDDOWN(ROUNDUP(INDEX(Upgrades!$C$3:$C$13,MATCH(SUBSTITUTE(Q1446,""Sell_"",""""),Upgrades!$B$3:$B$13,0))*1.15^(COUNTIF(Q$4:Q1445,SUBSTITUTE(Q1446,""Sell_"",""""))-COUNTIF(Q$4"&amp;":Q1445,""Sell_""&amp;SUBSTITUTE(Q1446,""Sell_"",""""))))/2),ROUNDUP(INDEX(Upgrades!$C$3:$C$13,MATCH(Q1446,Upgrades!$B$3:$B$13,0))*1.15^(COUNTIF(Q$4:Q1445,Q1446)-COUNTIF(Q$4:Q1445,""Sell_""&amp;Q1446))))))"),"")</f>
        <v/>
      </c>
      <c r="V1446" s="10" t="str">
        <f t="shared" si="11"/>
        <v/>
      </c>
      <c r="W1446" s="68" t="str">
        <f t="shared" si="12"/>
        <v/>
      </c>
      <c r="X1446" s="59" t="str">
        <f t="shared" si="13"/>
        <v/>
      </c>
      <c r="Y1446" s="69" t="str">
        <f t="shared" si="14"/>
        <v/>
      </c>
      <c r="Z1446" s="11"/>
      <c r="AG1446" s="59"/>
    </row>
    <row r="1447">
      <c r="A1447" s="8"/>
      <c r="B1447" s="56" t="str">
        <f t="shared" si="2"/>
        <v/>
      </c>
      <c r="C1447" s="105"/>
      <c r="D1447" s="10"/>
      <c r="E1447" s="59" t="str">
        <f t="array" ref="E1447">IF(COUNTA(C1447:C1644)=0,"",SUM((COUNTIF(C$4:C1447,Upgrades!$B$3:$B$13)-COUNTIF(C$4:C1447,"Sell_"&amp;Upgrades!$B$3:$B$13))*Upgrades!$D$3:$D$13))</f>
        <v/>
      </c>
      <c r="F1447" s="66" t="str">
        <f>IFERROR(__xludf.DUMMYFUNCTION("IF(COUNTA(C1447:C1644)=0,"""",IF(REGEXMATCH(INDEX(FILTER(C$4:C1447,C$4:C1447&lt;&gt;""""),ROWS(FILTER(C$4:C1447,C$4:C1447&lt;&gt;""""))),""^Sell_""),INDEX(FILTER(F$4:F1446,C$4:C1446&lt;&gt;""""),ROWS(FILTER(C$4:C1446,C$4:C1446&lt;&gt;""""))),$AC$5+E1447))"),"")</f>
        <v/>
      </c>
      <c r="G1447" s="10" t="str">
        <f>IFERROR(__xludf.DUMMYFUNCTION("IF(COUNTA(C1447:C1644)=0,"""",IF(C1447="""",0,IF(REGEXMATCH(C1447,""^Sell_""),-ROUNDDOWN(ROUNDUP(INDEX(Upgrades!$C$3:$C$13,MATCH(SUBSTITUTE(C1447,""Sell_"",""""),Upgrades!$B$3:$B$13,0))*1.15^(COUNTIF(C$4:C1446,SUBSTITUTE(C1447,""Sell_"",""""))-COUNTIF(C$4"&amp;":C1446,""Sell_""&amp;SUBSTITUTE(C1447,""Sell_"",""""))))/2),ROUNDUP(INDEX(Upgrades!$C$3:$C$13,MATCH(C1447,Upgrades!$B$3:$B$13,0))*1.15^(COUNTIF(C$4:C1446,C1447)-COUNTIF(C$4:C1446,""Sell_""&amp;C1447))))))"),"")</f>
        <v/>
      </c>
      <c r="H1447" s="10" t="str">
        <f t="shared" si="3"/>
        <v/>
      </c>
      <c r="I1447" s="68" t="str">
        <f t="shared" si="4"/>
        <v/>
      </c>
      <c r="J1447" s="59" t="str">
        <f t="shared" si="5"/>
        <v/>
      </c>
      <c r="K1447" s="69" t="str">
        <f t="shared" si="6"/>
        <v/>
      </c>
      <c r="L1447" s="60" t="str">
        <f t="shared" si="7"/>
        <v/>
      </c>
      <c r="M1447" s="61" t="str">
        <f>IFERROR(__xludf.DUMMYFUNCTION("IFS(AND(COUNTA(C1447:C1644)=0,COUNTA(Q1447:Q1644)=0),"""",OR(AND(K1447&gt;=1000000000,OR(Y1447&gt;=1000000000,COUNTA(Q1447:Q1644)=0)),OR(Y1447&gt;=1000000000,AND(COUNTA(C1447:C1644)=0,P$3=TRUE))),
ROUNDDOWN((AB$1-AC$1)*MAX(INDEX(T$4:T1644,MATCH(LARGE(FILTER(Y$4:Y1"&amp;"644,Y$4:Y1644&lt;1000000000),1),Y$4:Y1644)),INDEX(F$4:F1644,MATCH(LARGE(FILTER(K$4:K1644,K$4:K1644&lt;1000000000),1),K$4:K1644)))),AND(K1447&lt;1000000000,COUNTA(C1447:C1644)&gt;0,P$3=FALSE),
ROUNDDOWN(INDEX(Y$4:Y1644,MATCH(LARGE(FILTER(W$4:W1644,W$4:W1644&lt;=I1447),1)"&amp;",W$4:W1644))+(I1447-LARGE(FILTER(W$4:W1644,W$4:W1644&lt;=I1447),1))*INDEX(T$4:T1644,MATCH(LARGE(FILTER(W$4:W1644,W$4:W1644&lt;=I1447),1),W$4:W1644))-K1447),1,
ROUNDDOWN(Y1447-INDEX(K$4:K1644,MATCH(LARGE(FILTER(I$4:I1644,I$4:I1644&lt;=W1447),1),I$4:I1644))-(W1447-L"&amp;"ARGE(FILTER(I$4:I1644,I$4:I1644&lt;=W1447),1))*INDEX(F$4:F1644,MATCH(LARGE(FILTER(I$4:I1644,I$4:I1644&lt;=W1447),1),I$4:I1644))))"),"")</f>
        <v/>
      </c>
      <c r="N1447" s="60" t="str">
        <f t="shared" si="8"/>
        <v/>
      </c>
      <c r="O1447" s="61" t="str">
        <f t="shared" si="9"/>
        <v/>
      </c>
      <c r="P1447" s="56" t="str">
        <f t="shared" si="10"/>
        <v/>
      </c>
      <c r="Q1447" s="105"/>
      <c r="R1447" s="10"/>
      <c r="S1447" s="59" t="str">
        <f t="array" ref="S1447">IF(COUNTA(Q1447:Q1644)=0,"",SUM((COUNTIF(Q$4:Q1447,Upgrades!$B$3:$B$13)-COUNTIF(Q$4:Q1447,"Sell_"&amp;Upgrades!$B$3:$B$13))*Upgrades!$D$3:$D$13))</f>
        <v/>
      </c>
      <c r="T1447" s="66" t="str">
        <f>IFERROR(__xludf.DUMMYFUNCTION("IF(COUNTA(Q1447:Q1644)=0,"""",IF(REGEXMATCH(INDEX(FILTER(Q$4:Q1447,Q$4:Q1447&lt;&gt;""""),ROWS(FILTER(Q$4:Q1447,Q$4:Q1447&lt;&gt;""""))),""^Sell_""),INDEX(FILTER(T$4:T1446,Q$4:Q1446&lt;&gt;""""),ROWS(FILTER(Q$4:Q1446,Q$4:Q1446&lt;&gt;""""))),$AD$5+S1447))"),"")</f>
        <v/>
      </c>
      <c r="U1447" s="10" t="str">
        <f>IFERROR(__xludf.DUMMYFUNCTION("IF(COUNTA(Q1447:Q1644)=0,"""",IF(Q1447="""",0,IF(REGEXMATCH(Q1447,""^Sell_""),-ROUNDDOWN(ROUNDUP(INDEX(Upgrades!$C$3:$C$13,MATCH(SUBSTITUTE(Q1447,""Sell_"",""""),Upgrades!$B$3:$B$13,0))*1.15^(COUNTIF(Q$4:Q1446,SUBSTITUTE(Q1447,""Sell_"",""""))-COUNTIF(Q$4"&amp;":Q1446,""Sell_""&amp;SUBSTITUTE(Q1447,""Sell_"",""""))))/2),ROUNDUP(INDEX(Upgrades!$C$3:$C$13,MATCH(Q1447,Upgrades!$B$3:$B$13,0))*1.15^(COUNTIF(Q$4:Q1446,Q1447)-COUNTIF(Q$4:Q1446,""Sell_""&amp;Q1447))))))"),"")</f>
        <v/>
      </c>
      <c r="V1447" s="10" t="str">
        <f t="shared" si="11"/>
        <v/>
      </c>
      <c r="W1447" s="68" t="str">
        <f t="shared" si="12"/>
        <v/>
      </c>
      <c r="X1447" s="59" t="str">
        <f t="shared" si="13"/>
        <v/>
      </c>
      <c r="Y1447" s="69" t="str">
        <f t="shared" si="14"/>
        <v/>
      </c>
      <c r="Z1447" s="11"/>
      <c r="AG1447" s="59"/>
    </row>
    <row r="1448">
      <c r="A1448" s="8"/>
      <c r="B1448" s="56" t="str">
        <f t="shared" si="2"/>
        <v/>
      </c>
      <c r="C1448" s="105"/>
      <c r="D1448" s="10"/>
      <c r="E1448" s="59" t="str">
        <f t="array" ref="E1448">IF(COUNTA(C1448:C1644)=0,"",SUM((COUNTIF(C$4:C1448,Upgrades!$B$3:$B$13)-COUNTIF(C$4:C1448,"Sell_"&amp;Upgrades!$B$3:$B$13))*Upgrades!$D$3:$D$13))</f>
        <v/>
      </c>
      <c r="F1448" s="66" t="str">
        <f>IFERROR(__xludf.DUMMYFUNCTION("IF(COUNTA(C1448:C1644)=0,"""",IF(REGEXMATCH(INDEX(FILTER(C$4:C1448,C$4:C1448&lt;&gt;""""),ROWS(FILTER(C$4:C1448,C$4:C1448&lt;&gt;""""))),""^Sell_""),INDEX(FILTER(F$4:F1447,C$4:C1447&lt;&gt;""""),ROWS(FILTER(C$4:C1447,C$4:C1447&lt;&gt;""""))),$AC$5+E1448))"),"")</f>
        <v/>
      </c>
      <c r="G1448" s="10" t="str">
        <f>IFERROR(__xludf.DUMMYFUNCTION("IF(COUNTA(C1448:C1644)=0,"""",IF(C1448="""",0,IF(REGEXMATCH(C1448,""^Sell_""),-ROUNDDOWN(ROUNDUP(INDEX(Upgrades!$C$3:$C$13,MATCH(SUBSTITUTE(C1448,""Sell_"",""""),Upgrades!$B$3:$B$13,0))*1.15^(COUNTIF(C$4:C1447,SUBSTITUTE(C1448,""Sell_"",""""))-COUNTIF(C$4"&amp;":C1447,""Sell_""&amp;SUBSTITUTE(C1448,""Sell_"",""""))))/2),ROUNDUP(INDEX(Upgrades!$C$3:$C$13,MATCH(C1448,Upgrades!$B$3:$B$13,0))*1.15^(COUNTIF(C$4:C1447,C1448)-COUNTIF(C$4:C1447,""Sell_""&amp;C1448))))))"),"")</f>
        <v/>
      </c>
      <c r="H1448" s="10" t="str">
        <f t="shared" si="3"/>
        <v/>
      </c>
      <c r="I1448" s="68" t="str">
        <f t="shared" si="4"/>
        <v/>
      </c>
      <c r="J1448" s="59" t="str">
        <f t="shared" si="5"/>
        <v/>
      </c>
      <c r="K1448" s="69" t="str">
        <f t="shared" si="6"/>
        <v/>
      </c>
      <c r="L1448" s="60" t="str">
        <f t="shared" si="7"/>
        <v/>
      </c>
      <c r="M1448" s="61" t="str">
        <f>IFERROR(__xludf.DUMMYFUNCTION("IFS(AND(COUNTA(C1448:C1644)=0,COUNTA(Q1448:Q1644)=0),"""",OR(AND(K1448&gt;=1000000000,OR(Y1448&gt;=1000000000,COUNTA(Q1448:Q1644)=0)),OR(Y1448&gt;=1000000000,AND(COUNTA(C1448:C1644)=0,P$3=TRUE))),
ROUNDDOWN((AB$1-AC$1)*MAX(INDEX(T$4:T1644,MATCH(LARGE(FILTER(Y$4:Y1"&amp;"644,Y$4:Y1644&lt;1000000000),1),Y$4:Y1644)),INDEX(F$4:F1644,MATCH(LARGE(FILTER(K$4:K1644,K$4:K1644&lt;1000000000),1),K$4:K1644)))),AND(K1448&lt;1000000000,COUNTA(C1448:C1644)&gt;0,P$3=FALSE),
ROUNDDOWN(INDEX(Y$4:Y1644,MATCH(LARGE(FILTER(W$4:W1644,W$4:W1644&lt;=I1448),1)"&amp;",W$4:W1644))+(I1448-LARGE(FILTER(W$4:W1644,W$4:W1644&lt;=I1448),1))*INDEX(T$4:T1644,MATCH(LARGE(FILTER(W$4:W1644,W$4:W1644&lt;=I1448),1),W$4:W1644))-K1448),1,
ROUNDDOWN(Y1448-INDEX(K$4:K1644,MATCH(LARGE(FILTER(I$4:I1644,I$4:I1644&lt;=W1448),1),I$4:I1644))-(W1448-L"&amp;"ARGE(FILTER(I$4:I1644,I$4:I1644&lt;=W1448),1))*INDEX(F$4:F1644,MATCH(LARGE(FILTER(I$4:I1644,I$4:I1644&lt;=W1448),1),I$4:I1644))))"),"")</f>
        <v/>
      </c>
      <c r="N1448" s="60" t="str">
        <f t="shared" si="8"/>
        <v/>
      </c>
      <c r="O1448" s="61" t="str">
        <f t="shared" si="9"/>
        <v/>
      </c>
      <c r="P1448" s="56" t="str">
        <f t="shared" si="10"/>
        <v/>
      </c>
      <c r="Q1448" s="105"/>
      <c r="R1448" s="10"/>
      <c r="S1448" s="59" t="str">
        <f t="array" ref="S1448">IF(COUNTA(Q1448:Q1644)=0,"",SUM((COUNTIF(Q$4:Q1448,Upgrades!$B$3:$B$13)-COUNTIF(Q$4:Q1448,"Sell_"&amp;Upgrades!$B$3:$B$13))*Upgrades!$D$3:$D$13))</f>
        <v/>
      </c>
      <c r="T1448" s="66" t="str">
        <f>IFERROR(__xludf.DUMMYFUNCTION("IF(COUNTA(Q1448:Q1644)=0,"""",IF(REGEXMATCH(INDEX(FILTER(Q$4:Q1448,Q$4:Q1448&lt;&gt;""""),ROWS(FILTER(Q$4:Q1448,Q$4:Q1448&lt;&gt;""""))),""^Sell_""),INDEX(FILTER(T$4:T1447,Q$4:Q1447&lt;&gt;""""),ROWS(FILTER(Q$4:Q1447,Q$4:Q1447&lt;&gt;""""))),$AD$5+S1448))"),"")</f>
        <v/>
      </c>
      <c r="U1448" s="10" t="str">
        <f>IFERROR(__xludf.DUMMYFUNCTION("IF(COUNTA(Q1448:Q1644)=0,"""",IF(Q1448="""",0,IF(REGEXMATCH(Q1448,""^Sell_""),-ROUNDDOWN(ROUNDUP(INDEX(Upgrades!$C$3:$C$13,MATCH(SUBSTITUTE(Q1448,""Sell_"",""""),Upgrades!$B$3:$B$13,0))*1.15^(COUNTIF(Q$4:Q1447,SUBSTITUTE(Q1448,""Sell_"",""""))-COUNTIF(Q$4"&amp;":Q1447,""Sell_""&amp;SUBSTITUTE(Q1448,""Sell_"",""""))))/2),ROUNDUP(INDEX(Upgrades!$C$3:$C$13,MATCH(Q1448,Upgrades!$B$3:$B$13,0))*1.15^(COUNTIF(Q$4:Q1447,Q1448)-COUNTIF(Q$4:Q1447,""Sell_""&amp;Q1448))))))"),"")</f>
        <v/>
      </c>
      <c r="V1448" s="10" t="str">
        <f t="shared" si="11"/>
        <v/>
      </c>
      <c r="W1448" s="68" t="str">
        <f t="shared" si="12"/>
        <v/>
      </c>
      <c r="X1448" s="59" t="str">
        <f t="shared" si="13"/>
        <v/>
      </c>
      <c r="Y1448" s="69" t="str">
        <f t="shared" si="14"/>
        <v/>
      </c>
      <c r="Z1448" s="11"/>
      <c r="AG1448" s="59"/>
    </row>
    <row r="1449">
      <c r="A1449" s="8"/>
      <c r="B1449" s="56" t="str">
        <f t="shared" si="2"/>
        <v/>
      </c>
      <c r="C1449" s="105"/>
      <c r="D1449" s="10"/>
      <c r="E1449" s="59" t="str">
        <f t="array" ref="E1449">IF(COUNTA(C1449:C1644)=0,"",SUM((COUNTIF(C$4:C1449,Upgrades!$B$3:$B$13)-COUNTIF(C$4:C1449,"Sell_"&amp;Upgrades!$B$3:$B$13))*Upgrades!$D$3:$D$13))</f>
        <v/>
      </c>
      <c r="F1449" s="66" t="str">
        <f>IFERROR(__xludf.DUMMYFUNCTION("IF(COUNTA(C1449:C1644)=0,"""",IF(REGEXMATCH(INDEX(FILTER(C$4:C1449,C$4:C1449&lt;&gt;""""),ROWS(FILTER(C$4:C1449,C$4:C1449&lt;&gt;""""))),""^Sell_""),INDEX(FILTER(F$4:F1448,C$4:C1448&lt;&gt;""""),ROWS(FILTER(C$4:C1448,C$4:C1448&lt;&gt;""""))),$AC$5+E1449))"),"")</f>
        <v/>
      </c>
      <c r="G1449" s="10" t="str">
        <f>IFERROR(__xludf.DUMMYFUNCTION("IF(COUNTA(C1449:C1644)=0,"""",IF(C1449="""",0,IF(REGEXMATCH(C1449,""^Sell_""),-ROUNDDOWN(ROUNDUP(INDEX(Upgrades!$C$3:$C$13,MATCH(SUBSTITUTE(C1449,""Sell_"",""""),Upgrades!$B$3:$B$13,0))*1.15^(COUNTIF(C$4:C1448,SUBSTITUTE(C1449,""Sell_"",""""))-COUNTIF(C$4"&amp;":C1448,""Sell_""&amp;SUBSTITUTE(C1449,""Sell_"",""""))))/2),ROUNDUP(INDEX(Upgrades!$C$3:$C$13,MATCH(C1449,Upgrades!$B$3:$B$13,0))*1.15^(COUNTIF(C$4:C1448,C1449)-COUNTIF(C$4:C1448,""Sell_""&amp;C1449))))))"),"")</f>
        <v/>
      </c>
      <c r="H1449" s="10" t="str">
        <f t="shared" si="3"/>
        <v/>
      </c>
      <c r="I1449" s="68" t="str">
        <f t="shared" si="4"/>
        <v/>
      </c>
      <c r="J1449" s="59" t="str">
        <f t="shared" si="5"/>
        <v/>
      </c>
      <c r="K1449" s="69" t="str">
        <f t="shared" si="6"/>
        <v/>
      </c>
      <c r="L1449" s="60" t="str">
        <f t="shared" si="7"/>
        <v/>
      </c>
      <c r="M1449" s="61" t="str">
        <f>IFERROR(__xludf.DUMMYFUNCTION("IFS(AND(COUNTA(C1449:C1644)=0,COUNTA(Q1449:Q1644)=0),"""",OR(AND(K1449&gt;=1000000000,OR(Y1449&gt;=1000000000,COUNTA(Q1449:Q1644)=0)),OR(Y1449&gt;=1000000000,AND(COUNTA(C1449:C1644)=0,P$3=TRUE))),
ROUNDDOWN((AB$1-AC$1)*MAX(INDEX(T$4:T1644,MATCH(LARGE(FILTER(Y$4:Y1"&amp;"644,Y$4:Y1644&lt;1000000000),1),Y$4:Y1644)),INDEX(F$4:F1644,MATCH(LARGE(FILTER(K$4:K1644,K$4:K1644&lt;1000000000),1),K$4:K1644)))),AND(K1449&lt;1000000000,COUNTA(C1449:C1644)&gt;0,P$3=FALSE),
ROUNDDOWN(INDEX(Y$4:Y1644,MATCH(LARGE(FILTER(W$4:W1644,W$4:W1644&lt;=I1449),1)"&amp;",W$4:W1644))+(I1449-LARGE(FILTER(W$4:W1644,W$4:W1644&lt;=I1449),1))*INDEX(T$4:T1644,MATCH(LARGE(FILTER(W$4:W1644,W$4:W1644&lt;=I1449),1),W$4:W1644))-K1449),1,
ROUNDDOWN(Y1449-INDEX(K$4:K1644,MATCH(LARGE(FILTER(I$4:I1644,I$4:I1644&lt;=W1449),1),I$4:I1644))-(W1449-L"&amp;"ARGE(FILTER(I$4:I1644,I$4:I1644&lt;=W1449),1))*INDEX(F$4:F1644,MATCH(LARGE(FILTER(I$4:I1644,I$4:I1644&lt;=W1449),1),I$4:I1644))))"),"")</f>
        <v/>
      </c>
      <c r="N1449" s="60" t="str">
        <f t="shared" si="8"/>
        <v/>
      </c>
      <c r="O1449" s="61" t="str">
        <f t="shared" si="9"/>
        <v/>
      </c>
      <c r="P1449" s="56" t="str">
        <f t="shared" si="10"/>
        <v/>
      </c>
      <c r="Q1449" s="105"/>
      <c r="R1449" s="10"/>
      <c r="S1449" s="59" t="str">
        <f t="array" ref="S1449">IF(COUNTA(Q1449:Q1644)=0,"",SUM((COUNTIF(Q$4:Q1449,Upgrades!$B$3:$B$13)-COUNTIF(Q$4:Q1449,"Sell_"&amp;Upgrades!$B$3:$B$13))*Upgrades!$D$3:$D$13))</f>
        <v/>
      </c>
      <c r="T1449" s="66" t="str">
        <f>IFERROR(__xludf.DUMMYFUNCTION("IF(COUNTA(Q1449:Q1644)=0,"""",IF(REGEXMATCH(INDEX(FILTER(Q$4:Q1449,Q$4:Q1449&lt;&gt;""""),ROWS(FILTER(Q$4:Q1449,Q$4:Q1449&lt;&gt;""""))),""^Sell_""),INDEX(FILTER(T$4:T1448,Q$4:Q1448&lt;&gt;""""),ROWS(FILTER(Q$4:Q1448,Q$4:Q1448&lt;&gt;""""))),$AD$5+S1449))"),"")</f>
        <v/>
      </c>
      <c r="U1449" s="10" t="str">
        <f>IFERROR(__xludf.DUMMYFUNCTION("IF(COUNTA(Q1449:Q1644)=0,"""",IF(Q1449="""",0,IF(REGEXMATCH(Q1449,""^Sell_""),-ROUNDDOWN(ROUNDUP(INDEX(Upgrades!$C$3:$C$13,MATCH(SUBSTITUTE(Q1449,""Sell_"",""""),Upgrades!$B$3:$B$13,0))*1.15^(COUNTIF(Q$4:Q1448,SUBSTITUTE(Q1449,""Sell_"",""""))-COUNTIF(Q$4"&amp;":Q1448,""Sell_""&amp;SUBSTITUTE(Q1449,""Sell_"",""""))))/2),ROUNDUP(INDEX(Upgrades!$C$3:$C$13,MATCH(Q1449,Upgrades!$B$3:$B$13,0))*1.15^(COUNTIF(Q$4:Q1448,Q1449)-COUNTIF(Q$4:Q1448,""Sell_""&amp;Q1449))))))"),"")</f>
        <v/>
      </c>
      <c r="V1449" s="10" t="str">
        <f t="shared" si="11"/>
        <v/>
      </c>
      <c r="W1449" s="68" t="str">
        <f t="shared" si="12"/>
        <v/>
      </c>
      <c r="X1449" s="59" t="str">
        <f t="shared" si="13"/>
        <v/>
      </c>
      <c r="Y1449" s="69" t="str">
        <f t="shared" si="14"/>
        <v/>
      </c>
      <c r="Z1449" s="11"/>
      <c r="AG1449" s="59"/>
    </row>
    <row r="1450">
      <c r="A1450" s="8"/>
      <c r="B1450" s="56" t="str">
        <f t="shared" si="2"/>
        <v/>
      </c>
      <c r="C1450" s="105"/>
      <c r="D1450" s="10"/>
      <c r="E1450" s="59" t="str">
        <f t="array" ref="E1450">IF(COUNTA(C1450:C1644)=0,"",SUM((COUNTIF(C$4:C1450,Upgrades!$B$3:$B$13)-COUNTIF(C$4:C1450,"Sell_"&amp;Upgrades!$B$3:$B$13))*Upgrades!$D$3:$D$13))</f>
        <v/>
      </c>
      <c r="F1450" s="66" t="str">
        <f>IFERROR(__xludf.DUMMYFUNCTION("IF(COUNTA(C1450:C1644)=0,"""",IF(REGEXMATCH(INDEX(FILTER(C$4:C1450,C$4:C1450&lt;&gt;""""),ROWS(FILTER(C$4:C1450,C$4:C1450&lt;&gt;""""))),""^Sell_""),INDEX(FILTER(F$4:F1449,C$4:C1449&lt;&gt;""""),ROWS(FILTER(C$4:C1449,C$4:C1449&lt;&gt;""""))),$AC$5+E1450))"),"")</f>
        <v/>
      </c>
      <c r="G1450" s="10" t="str">
        <f>IFERROR(__xludf.DUMMYFUNCTION("IF(COUNTA(C1450:C1644)=0,"""",IF(C1450="""",0,IF(REGEXMATCH(C1450,""^Sell_""),-ROUNDDOWN(ROUNDUP(INDEX(Upgrades!$C$3:$C$13,MATCH(SUBSTITUTE(C1450,""Sell_"",""""),Upgrades!$B$3:$B$13,0))*1.15^(COUNTIF(C$4:C1449,SUBSTITUTE(C1450,""Sell_"",""""))-COUNTIF(C$4"&amp;":C1449,""Sell_""&amp;SUBSTITUTE(C1450,""Sell_"",""""))))/2),ROUNDUP(INDEX(Upgrades!$C$3:$C$13,MATCH(C1450,Upgrades!$B$3:$B$13,0))*1.15^(COUNTIF(C$4:C1449,C1450)-COUNTIF(C$4:C1449,""Sell_""&amp;C1450))))))"),"")</f>
        <v/>
      </c>
      <c r="H1450" s="10" t="str">
        <f t="shared" si="3"/>
        <v/>
      </c>
      <c r="I1450" s="68" t="str">
        <f t="shared" si="4"/>
        <v/>
      </c>
      <c r="J1450" s="59" t="str">
        <f t="shared" si="5"/>
        <v/>
      </c>
      <c r="K1450" s="69" t="str">
        <f t="shared" si="6"/>
        <v/>
      </c>
      <c r="L1450" s="60" t="str">
        <f t="shared" si="7"/>
        <v/>
      </c>
      <c r="M1450" s="61" t="str">
        <f>IFERROR(__xludf.DUMMYFUNCTION("IFS(AND(COUNTA(C1450:C1644)=0,COUNTA(Q1450:Q1644)=0),"""",OR(AND(K1450&gt;=1000000000,OR(Y1450&gt;=1000000000,COUNTA(Q1450:Q1644)=0)),OR(Y1450&gt;=1000000000,AND(COUNTA(C1450:C1644)=0,P$3=TRUE))),
ROUNDDOWN((AB$1-AC$1)*MAX(INDEX(T$4:T1644,MATCH(LARGE(FILTER(Y$4:Y1"&amp;"644,Y$4:Y1644&lt;1000000000),1),Y$4:Y1644)),INDEX(F$4:F1644,MATCH(LARGE(FILTER(K$4:K1644,K$4:K1644&lt;1000000000),1),K$4:K1644)))),AND(K1450&lt;1000000000,COUNTA(C1450:C1644)&gt;0,P$3=FALSE),
ROUNDDOWN(INDEX(Y$4:Y1644,MATCH(LARGE(FILTER(W$4:W1644,W$4:W1644&lt;=I1450),1)"&amp;",W$4:W1644))+(I1450-LARGE(FILTER(W$4:W1644,W$4:W1644&lt;=I1450),1))*INDEX(T$4:T1644,MATCH(LARGE(FILTER(W$4:W1644,W$4:W1644&lt;=I1450),1),W$4:W1644))-K1450),1,
ROUNDDOWN(Y1450-INDEX(K$4:K1644,MATCH(LARGE(FILTER(I$4:I1644,I$4:I1644&lt;=W1450),1),I$4:I1644))-(W1450-L"&amp;"ARGE(FILTER(I$4:I1644,I$4:I1644&lt;=W1450),1))*INDEX(F$4:F1644,MATCH(LARGE(FILTER(I$4:I1644,I$4:I1644&lt;=W1450),1),I$4:I1644))))"),"")</f>
        <v/>
      </c>
      <c r="N1450" s="60" t="str">
        <f t="shared" si="8"/>
        <v/>
      </c>
      <c r="O1450" s="61" t="str">
        <f t="shared" si="9"/>
        <v/>
      </c>
      <c r="P1450" s="56" t="str">
        <f t="shared" si="10"/>
        <v/>
      </c>
      <c r="Q1450" s="105"/>
      <c r="R1450" s="10"/>
      <c r="S1450" s="59" t="str">
        <f t="array" ref="S1450">IF(COUNTA(Q1450:Q1644)=0,"",SUM((COUNTIF(Q$4:Q1450,Upgrades!$B$3:$B$13)-COUNTIF(Q$4:Q1450,"Sell_"&amp;Upgrades!$B$3:$B$13))*Upgrades!$D$3:$D$13))</f>
        <v/>
      </c>
      <c r="T1450" s="66" t="str">
        <f>IFERROR(__xludf.DUMMYFUNCTION("IF(COUNTA(Q1450:Q1644)=0,"""",IF(REGEXMATCH(INDEX(FILTER(Q$4:Q1450,Q$4:Q1450&lt;&gt;""""),ROWS(FILTER(Q$4:Q1450,Q$4:Q1450&lt;&gt;""""))),""^Sell_""),INDEX(FILTER(T$4:T1449,Q$4:Q1449&lt;&gt;""""),ROWS(FILTER(Q$4:Q1449,Q$4:Q1449&lt;&gt;""""))),$AD$5+S1450))"),"")</f>
        <v/>
      </c>
      <c r="U1450" s="10" t="str">
        <f>IFERROR(__xludf.DUMMYFUNCTION("IF(COUNTA(Q1450:Q1644)=0,"""",IF(Q1450="""",0,IF(REGEXMATCH(Q1450,""^Sell_""),-ROUNDDOWN(ROUNDUP(INDEX(Upgrades!$C$3:$C$13,MATCH(SUBSTITUTE(Q1450,""Sell_"",""""),Upgrades!$B$3:$B$13,0))*1.15^(COUNTIF(Q$4:Q1449,SUBSTITUTE(Q1450,""Sell_"",""""))-COUNTIF(Q$4"&amp;":Q1449,""Sell_""&amp;SUBSTITUTE(Q1450,""Sell_"",""""))))/2),ROUNDUP(INDEX(Upgrades!$C$3:$C$13,MATCH(Q1450,Upgrades!$B$3:$B$13,0))*1.15^(COUNTIF(Q$4:Q1449,Q1450)-COUNTIF(Q$4:Q1449,""Sell_""&amp;Q1450))))))"),"")</f>
        <v/>
      </c>
      <c r="V1450" s="10" t="str">
        <f t="shared" si="11"/>
        <v/>
      </c>
      <c r="W1450" s="68" t="str">
        <f t="shared" si="12"/>
        <v/>
      </c>
      <c r="X1450" s="59" t="str">
        <f t="shared" si="13"/>
        <v/>
      </c>
      <c r="Y1450" s="69" t="str">
        <f t="shared" si="14"/>
        <v/>
      </c>
      <c r="Z1450" s="11"/>
      <c r="AG1450" s="59"/>
    </row>
    <row r="1451">
      <c r="A1451" s="8"/>
      <c r="B1451" s="56" t="str">
        <f t="shared" si="2"/>
        <v/>
      </c>
      <c r="C1451" s="105"/>
      <c r="D1451" s="10"/>
      <c r="E1451" s="59" t="str">
        <f t="array" ref="E1451">IF(COUNTA(C1451:C1644)=0,"",SUM((COUNTIF(C$4:C1451,Upgrades!$B$3:$B$13)-COUNTIF(C$4:C1451,"Sell_"&amp;Upgrades!$B$3:$B$13))*Upgrades!$D$3:$D$13))</f>
        <v/>
      </c>
      <c r="F1451" s="66" t="str">
        <f>IFERROR(__xludf.DUMMYFUNCTION("IF(COUNTA(C1451:C1644)=0,"""",IF(REGEXMATCH(INDEX(FILTER(C$4:C1451,C$4:C1451&lt;&gt;""""),ROWS(FILTER(C$4:C1451,C$4:C1451&lt;&gt;""""))),""^Sell_""),INDEX(FILTER(F$4:F1450,C$4:C1450&lt;&gt;""""),ROWS(FILTER(C$4:C1450,C$4:C1450&lt;&gt;""""))),$AC$5+E1451))"),"")</f>
        <v/>
      </c>
      <c r="G1451" s="10" t="str">
        <f>IFERROR(__xludf.DUMMYFUNCTION("IF(COUNTA(C1451:C1644)=0,"""",IF(C1451="""",0,IF(REGEXMATCH(C1451,""^Sell_""),-ROUNDDOWN(ROUNDUP(INDEX(Upgrades!$C$3:$C$13,MATCH(SUBSTITUTE(C1451,""Sell_"",""""),Upgrades!$B$3:$B$13,0))*1.15^(COUNTIF(C$4:C1450,SUBSTITUTE(C1451,""Sell_"",""""))-COUNTIF(C$4"&amp;":C1450,""Sell_""&amp;SUBSTITUTE(C1451,""Sell_"",""""))))/2),ROUNDUP(INDEX(Upgrades!$C$3:$C$13,MATCH(C1451,Upgrades!$B$3:$B$13,0))*1.15^(COUNTIF(C$4:C1450,C1451)-COUNTIF(C$4:C1450,""Sell_""&amp;C1451))))))"),"")</f>
        <v/>
      </c>
      <c r="H1451" s="10" t="str">
        <f t="shared" si="3"/>
        <v/>
      </c>
      <c r="I1451" s="68" t="str">
        <f t="shared" si="4"/>
        <v/>
      </c>
      <c r="J1451" s="59" t="str">
        <f t="shared" si="5"/>
        <v/>
      </c>
      <c r="K1451" s="69" t="str">
        <f t="shared" si="6"/>
        <v/>
      </c>
      <c r="L1451" s="60" t="str">
        <f t="shared" si="7"/>
        <v/>
      </c>
      <c r="M1451" s="61" t="str">
        <f>IFERROR(__xludf.DUMMYFUNCTION("IFS(AND(COUNTA(C1451:C1644)=0,COUNTA(Q1451:Q1644)=0),"""",OR(AND(K1451&gt;=1000000000,OR(Y1451&gt;=1000000000,COUNTA(Q1451:Q1644)=0)),OR(Y1451&gt;=1000000000,AND(COUNTA(C1451:C1644)=0,P$3=TRUE))),
ROUNDDOWN((AB$1-AC$1)*MAX(INDEX(T$4:T1644,MATCH(LARGE(FILTER(Y$4:Y1"&amp;"644,Y$4:Y1644&lt;1000000000),1),Y$4:Y1644)),INDEX(F$4:F1644,MATCH(LARGE(FILTER(K$4:K1644,K$4:K1644&lt;1000000000),1),K$4:K1644)))),AND(K1451&lt;1000000000,COUNTA(C1451:C1644)&gt;0,P$3=FALSE),
ROUNDDOWN(INDEX(Y$4:Y1644,MATCH(LARGE(FILTER(W$4:W1644,W$4:W1644&lt;=I1451),1)"&amp;",W$4:W1644))+(I1451-LARGE(FILTER(W$4:W1644,W$4:W1644&lt;=I1451),1))*INDEX(T$4:T1644,MATCH(LARGE(FILTER(W$4:W1644,W$4:W1644&lt;=I1451),1),W$4:W1644))-K1451),1,
ROUNDDOWN(Y1451-INDEX(K$4:K1644,MATCH(LARGE(FILTER(I$4:I1644,I$4:I1644&lt;=W1451),1),I$4:I1644))-(W1451-L"&amp;"ARGE(FILTER(I$4:I1644,I$4:I1644&lt;=W1451),1))*INDEX(F$4:F1644,MATCH(LARGE(FILTER(I$4:I1644,I$4:I1644&lt;=W1451),1),I$4:I1644))))"),"")</f>
        <v/>
      </c>
      <c r="N1451" s="60" t="str">
        <f t="shared" si="8"/>
        <v/>
      </c>
      <c r="O1451" s="61" t="str">
        <f t="shared" si="9"/>
        <v/>
      </c>
      <c r="P1451" s="56" t="str">
        <f t="shared" si="10"/>
        <v/>
      </c>
      <c r="Q1451" s="105"/>
      <c r="R1451" s="10"/>
      <c r="S1451" s="59" t="str">
        <f t="array" ref="S1451">IF(COUNTA(Q1451:Q1644)=0,"",SUM((COUNTIF(Q$4:Q1451,Upgrades!$B$3:$B$13)-COUNTIF(Q$4:Q1451,"Sell_"&amp;Upgrades!$B$3:$B$13))*Upgrades!$D$3:$D$13))</f>
        <v/>
      </c>
      <c r="T1451" s="66" t="str">
        <f>IFERROR(__xludf.DUMMYFUNCTION("IF(COUNTA(Q1451:Q1644)=0,"""",IF(REGEXMATCH(INDEX(FILTER(Q$4:Q1451,Q$4:Q1451&lt;&gt;""""),ROWS(FILTER(Q$4:Q1451,Q$4:Q1451&lt;&gt;""""))),""^Sell_""),INDEX(FILTER(T$4:T1450,Q$4:Q1450&lt;&gt;""""),ROWS(FILTER(Q$4:Q1450,Q$4:Q1450&lt;&gt;""""))),$AD$5+S1451))"),"")</f>
        <v/>
      </c>
      <c r="U1451" s="10" t="str">
        <f>IFERROR(__xludf.DUMMYFUNCTION("IF(COUNTA(Q1451:Q1644)=0,"""",IF(Q1451="""",0,IF(REGEXMATCH(Q1451,""^Sell_""),-ROUNDDOWN(ROUNDUP(INDEX(Upgrades!$C$3:$C$13,MATCH(SUBSTITUTE(Q1451,""Sell_"",""""),Upgrades!$B$3:$B$13,0))*1.15^(COUNTIF(Q$4:Q1450,SUBSTITUTE(Q1451,""Sell_"",""""))-COUNTIF(Q$4"&amp;":Q1450,""Sell_""&amp;SUBSTITUTE(Q1451,""Sell_"",""""))))/2),ROUNDUP(INDEX(Upgrades!$C$3:$C$13,MATCH(Q1451,Upgrades!$B$3:$B$13,0))*1.15^(COUNTIF(Q$4:Q1450,Q1451)-COUNTIF(Q$4:Q1450,""Sell_""&amp;Q1451))))))"),"")</f>
        <v/>
      </c>
      <c r="V1451" s="10" t="str">
        <f t="shared" si="11"/>
        <v/>
      </c>
      <c r="W1451" s="68" t="str">
        <f t="shared" si="12"/>
        <v/>
      </c>
      <c r="X1451" s="59" t="str">
        <f t="shared" si="13"/>
        <v/>
      </c>
      <c r="Y1451" s="69" t="str">
        <f t="shared" si="14"/>
        <v/>
      </c>
      <c r="Z1451" s="11"/>
      <c r="AG1451" s="59"/>
    </row>
    <row r="1452">
      <c r="A1452" s="8"/>
      <c r="B1452" s="56" t="str">
        <f t="shared" si="2"/>
        <v/>
      </c>
      <c r="C1452" s="105"/>
      <c r="D1452" s="10"/>
      <c r="E1452" s="59" t="str">
        <f t="array" ref="E1452">IF(COUNTA(C1452:C1644)=0,"",SUM((COUNTIF(C$4:C1452,Upgrades!$B$3:$B$13)-COUNTIF(C$4:C1452,"Sell_"&amp;Upgrades!$B$3:$B$13))*Upgrades!$D$3:$D$13))</f>
        <v/>
      </c>
      <c r="F1452" s="66" t="str">
        <f>IFERROR(__xludf.DUMMYFUNCTION("IF(COUNTA(C1452:C1644)=0,"""",IF(REGEXMATCH(INDEX(FILTER(C$4:C1452,C$4:C1452&lt;&gt;""""),ROWS(FILTER(C$4:C1452,C$4:C1452&lt;&gt;""""))),""^Sell_""),INDEX(FILTER(F$4:F1451,C$4:C1451&lt;&gt;""""),ROWS(FILTER(C$4:C1451,C$4:C1451&lt;&gt;""""))),$AC$5+E1452))"),"")</f>
        <v/>
      </c>
      <c r="G1452" s="10" t="str">
        <f>IFERROR(__xludf.DUMMYFUNCTION("IF(COUNTA(C1452:C1644)=0,"""",IF(C1452="""",0,IF(REGEXMATCH(C1452,""^Sell_""),-ROUNDDOWN(ROUNDUP(INDEX(Upgrades!$C$3:$C$13,MATCH(SUBSTITUTE(C1452,""Sell_"",""""),Upgrades!$B$3:$B$13,0))*1.15^(COUNTIF(C$4:C1451,SUBSTITUTE(C1452,""Sell_"",""""))-COUNTIF(C$4"&amp;":C1451,""Sell_""&amp;SUBSTITUTE(C1452,""Sell_"",""""))))/2),ROUNDUP(INDEX(Upgrades!$C$3:$C$13,MATCH(C1452,Upgrades!$B$3:$B$13,0))*1.15^(COUNTIF(C$4:C1451,C1452)-COUNTIF(C$4:C1451,""Sell_""&amp;C1452))))))"),"")</f>
        <v/>
      </c>
      <c r="H1452" s="10" t="str">
        <f t="shared" si="3"/>
        <v/>
      </c>
      <c r="I1452" s="68" t="str">
        <f t="shared" si="4"/>
        <v/>
      </c>
      <c r="J1452" s="59" t="str">
        <f t="shared" si="5"/>
        <v/>
      </c>
      <c r="K1452" s="69" t="str">
        <f t="shared" si="6"/>
        <v/>
      </c>
      <c r="L1452" s="60" t="str">
        <f t="shared" si="7"/>
        <v/>
      </c>
      <c r="M1452" s="61" t="str">
        <f>IFERROR(__xludf.DUMMYFUNCTION("IFS(AND(COUNTA(C1452:C1644)=0,COUNTA(Q1452:Q1644)=0),"""",OR(AND(K1452&gt;=1000000000,OR(Y1452&gt;=1000000000,COUNTA(Q1452:Q1644)=0)),OR(Y1452&gt;=1000000000,AND(COUNTA(C1452:C1644)=0,P$3=TRUE))),
ROUNDDOWN((AB$1-AC$1)*MAX(INDEX(T$4:T1644,MATCH(LARGE(FILTER(Y$4:Y1"&amp;"644,Y$4:Y1644&lt;1000000000),1),Y$4:Y1644)),INDEX(F$4:F1644,MATCH(LARGE(FILTER(K$4:K1644,K$4:K1644&lt;1000000000),1),K$4:K1644)))),AND(K1452&lt;1000000000,COUNTA(C1452:C1644)&gt;0,P$3=FALSE),
ROUNDDOWN(INDEX(Y$4:Y1644,MATCH(LARGE(FILTER(W$4:W1644,W$4:W1644&lt;=I1452),1)"&amp;",W$4:W1644))+(I1452-LARGE(FILTER(W$4:W1644,W$4:W1644&lt;=I1452),1))*INDEX(T$4:T1644,MATCH(LARGE(FILTER(W$4:W1644,W$4:W1644&lt;=I1452),1),W$4:W1644))-K1452),1,
ROUNDDOWN(Y1452-INDEX(K$4:K1644,MATCH(LARGE(FILTER(I$4:I1644,I$4:I1644&lt;=W1452),1),I$4:I1644))-(W1452-L"&amp;"ARGE(FILTER(I$4:I1644,I$4:I1644&lt;=W1452),1))*INDEX(F$4:F1644,MATCH(LARGE(FILTER(I$4:I1644,I$4:I1644&lt;=W1452),1),I$4:I1644))))"),"")</f>
        <v/>
      </c>
      <c r="N1452" s="60" t="str">
        <f t="shared" si="8"/>
        <v/>
      </c>
      <c r="O1452" s="61" t="str">
        <f t="shared" si="9"/>
        <v/>
      </c>
      <c r="P1452" s="56" t="str">
        <f t="shared" si="10"/>
        <v/>
      </c>
      <c r="Q1452" s="105"/>
      <c r="R1452" s="10"/>
      <c r="S1452" s="59" t="str">
        <f t="array" ref="S1452">IF(COUNTA(Q1452:Q1644)=0,"",SUM((COUNTIF(Q$4:Q1452,Upgrades!$B$3:$B$13)-COUNTIF(Q$4:Q1452,"Sell_"&amp;Upgrades!$B$3:$B$13))*Upgrades!$D$3:$D$13))</f>
        <v/>
      </c>
      <c r="T1452" s="66" t="str">
        <f>IFERROR(__xludf.DUMMYFUNCTION("IF(COUNTA(Q1452:Q1644)=0,"""",IF(REGEXMATCH(INDEX(FILTER(Q$4:Q1452,Q$4:Q1452&lt;&gt;""""),ROWS(FILTER(Q$4:Q1452,Q$4:Q1452&lt;&gt;""""))),""^Sell_""),INDEX(FILTER(T$4:T1451,Q$4:Q1451&lt;&gt;""""),ROWS(FILTER(Q$4:Q1451,Q$4:Q1451&lt;&gt;""""))),$AD$5+S1452))"),"")</f>
        <v/>
      </c>
      <c r="U1452" s="10" t="str">
        <f>IFERROR(__xludf.DUMMYFUNCTION("IF(COUNTA(Q1452:Q1644)=0,"""",IF(Q1452="""",0,IF(REGEXMATCH(Q1452,""^Sell_""),-ROUNDDOWN(ROUNDUP(INDEX(Upgrades!$C$3:$C$13,MATCH(SUBSTITUTE(Q1452,""Sell_"",""""),Upgrades!$B$3:$B$13,0))*1.15^(COUNTIF(Q$4:Q1451,SUBSTITUTE(Q1452,""Sell_"",""""))-COUNTIF(Q$4"&amp;":Q1451,""Sell_""&amp;SUBSTITUTE(Q1452,""Sell_"",""""))))/2),ROUNDUP(INDEX(Upgrades!$C$3:$C$13,MATCH(Q1452,Upgrades!$B$3:$B$13,0))*1.15^(COUNTIF(Q$4:Q1451,Q1452)-COUNTIF(Q$4:Q1451,""Sell_""&amp;Q1452))))))"),"")</f>
        <v/>
      </c>
      <c r="V1452" s="10" t="str">
        <f t="shared" si="11"/>
        <v/>
      </c>
      <c r="W1452" s="68" t="str">
        <f t="shared" si="12"/>
        <v/>
      </c>
      <c r="X1452" s="59" t="str">
        <f t="shared" si="13"/>
        <v/>
      </c>
      <c r="Y1452" s="69" t="str">
        <f t="shared" si="14"/>
        <v/>
      </c>
      <c r="Z1452" s="11"/>
      <c r="AG1452" s="59"/>
    </row>
    <row r="1453">
      <c r="A1453" s="8"/>
      <c r="B1453" s="56" t="str">
        <f t="shared" si="2"/>
        <v/>
      </c>
      <c r="C1453" s="105"/>
      <c r="D1453" s="10"/>
      <c r="E1453" s="59" t="str">
        <f t="array" ref="E1453">IF(COUNTA(C1453:C1644)=0,"",SUM((COUNTIF(C$4:C1453,Upgrades!$B$3:$B$13)-COUNTIF(C$4:C1453,"Sell_"&amp;Upgrades!$B$3:$B$13))*Upgrades!$D$3:$D$13))</f>
        <v/>
      </c>
      <c r="F1453" s="66" t="str">
        <f>IFERROR(__xludf.DUMMYFUNCTION("IF(COUNTA(C1453:C1644)=0,"""",IF(REGEXMATCH(INDEX(FILTER(C$4:C1453,C$4:C1453&lt;&gt;""""),ROWS(FILTER(C$4:C1453,C$4:C1453&lt;&gt;""""))),""^Sell_""),INDEX(FILTER(F$4:F1452,C$4:C1452&lt;&gt;""""),ROWS(FILTER(C$4:C1452,C$4:C1452&lt;&gt;""""))),$AC$5+E1453))"),"")</f>
        <v/>
      </c>
      <c r="G1453" s="10" t="str">
        <f>IFERROR(__xludf.DUMMYFUNCTION("IF(COUNTA(C1453:C1644)=0,"""",IF(C1453="""",0,IF(REGEXMATCH(C1453,""^Sell_""),-ROUNDDOWN(ROUNDUP(INDEX(Upgrades!$C$3:$C$13,MATCH(SUBSTITUTE(C1453,""Sell_"",""""),Upgrades!$B$3:$B$13,0))*1.15^(COUNTIF(C$4:C1452,SUBSTITUTE(C1453,""Sell_"",""""))-COUNTIF(C$4"&amp;":C1452,""Sell_""&amp;SUBSTITUTE(C1453,""Sell_"",""""))))/2),ROUNDUP(INDEX(Upgrades!$C$3:$C$13,MATCH(C1453,Upgrades!$B$3:$B$13,0))*1.15^(COUNTIF(C$4:C1452,C1453)-COUNTIF(C$4:C1452,""Sell_""&amp;C1453))))))"),"")</f>
        <v/>
      </c>
      <c r="H1453" s="10" t="str">
        <f t="shared" si="3"/>
        <v/>
      </c>
      <c r="I1453" s="68" t="str">
        <f t="shared" si="4"/>
        <v/>
      </c>
      <c r="J1453" s="59" t="str">
        <f t="shared" si="5"/>
        <v/>
      </c>
      <c r="K1453" s="69" t="str">
        <f t="shared" si="6"/>
        <v/>
      </c>
      <c r="L1453" s="60" t="str">
        <f t="shared" si="7"/>
        <v/>
      </c>
      <c r="M1453" s="61" t="str">
        <f>IFERROR(__xludf.DUMMYFUNCTION("IFS(AND(COUNTA(C1453:C1644)=0,COUNTA(Q1453:Q1644)=0),"""",OR(AND(K1453&gt;=1000000000,OR(Y1453&gt;=1000000000,COUNTA(Q1453:Q1644)=0)),OR(Y1453&gt;=1000000000,AND(COUNTA(C1453:C1644)=0,P$3=TRUE))),
ROUNDDOWN((AB$1-AC$1)*MAX(INDEX(T$4:T1644,MATCH(LARGE(FILTER(Y$4:Y1"&amp;"644,Y$4:Y1644&lt;1000000000),1),Y$4:Y1644)),INDEX(F$4:F1644,MATCH(LARGE(FILTER(K$4:K1644,K$4:K1644&lt;1000000000),1),K$4:K1644)))),AND(K1453&lt;1000000000,COUNTA(C1453:C1644)&gt;0,P$3=FALSE),
ROUNDDOWN(INDEX(Y$4:Y1644,MATCH(LARGE(FILTER(W$4:W1644,W$4:W1644&lt;=I1453),1)"&amp;",W$4:W1644))+(I1453-LARGE(FILTER(W$4:W1644,W$4:W1644&lt;=I1453),1))*INDEX(T$4:T1644,MATCH(LARGE(FILTER(W$4:W1644,W$4:W1644&lt;=I1453),1),W$4:W1644))-K1453),1,
ROUNDDOWN(Y1453-INDEX(K$4:K1644,MATCH(LARGE(FILTER(I$4:I1644,I$4:I1644&lt;=W1453),1),I$4:I1644))-(W1453-L"&amp;"ARGE(FILTER(I$4:I1644,I$4:I1644&lt;=W1453),1))*INDEX(F$4:F1644,MATCH(LARGE(FILTER(I$4:I1644,I$4:I1644&lt;=W1453),1),I$4:I1644))))"),"")</f>
        <v/>
      </c>
      <c r="N1453" s="60" t="str">
        <f t="shared" si="8"/>
        <v/>
      </c>
      <c r="O1453" s="61" t="str">
        <f t="shared" si="9"/>
        <v/>
      </c>
      <c r="P1453" s="56" t="str">
        <f t="shared" si="10"/>
        <v/>
      </c>
      <c r="Q1453" s="105"/>
      <c r="R1453" s="10"/>
      <c r="S1453" s="59" t="str">
        <f t="array" ref="S1453">IF(COUNTA(Q1453:Q1644)=0,"",SUM((COUNTIF(Q$4:Q1453,Upgrades!$B$3:$B$13)-COUNTIF(Q$4:Q1453,"Sell_"&amp;Upgrades!$B$3:$B$13))*Upgrades!$D$3:$D$13))</f>
        <v/>
      </c>
      <c r="T1453" s="66" t="str">
        <f>IFERROR(__xludf.DUMMYFUNCTION("IF(COUNTA(Q1453:Q1644)=0,"""",IF(REGEXMATCH(INDEX(FILTER(Q$4:Q1453,Q$4:Q1453&lt;&gt;""""),ROWS(FILTER(Q$4:Q1453,Q$4:Q1453&lt;&gt;""""))),""^Sell_""),INDEX(FILTER(T$4:T1452,Q$4:Q1452&lt;&gt;""""),ROWS(FILTER(Q$4:Q1452,Q$4:Q1452&lt;&gt;""""))),$AD$5+S1453))"),"")</f>
        <v/>
      </c>
      <c r="U1453" s="10" t="str">
        <f>IFERROR(__xludf.DUMMYFUNCTION("IF(COUNTA(Q1453:Q1644)=0,"""",IF(Q1453="""",0,IF(REGEXMATCH(Q1453,""^Sell_""),-ROUNDDOWN(ROUNDUP(INDEX(Upgrades!$C$3:$C$13,MATCH(SUBSTITUTE(Q1453,""Sell_"",""""),Upgrades!$B$3:$B$13,0))*1.15^(COUNTIF(Q$4:Q1452,SUBSTITUTE(Q1453,""Sell_"",""""))-COUNTIF(Q$4"&amp;":Q1452,""Sell_""&amp;SUBSTITUTE(Q1453,""Sell_"",""""))))/2),ROUNDUP(INDEX(Upgrades!$C$3:$C$13,MATCH(Q1453,Upgrades!$B$3:$B$13,0))*1.15^(COUNTIF(Q$4:Q1452,Q1453)-COUNTIF(Q$4:Q1452,""Sell_""&amp;Q1453))))))"),"")</f>
        <v/>
      </c>
      <c r="V1453" s="10" t="str">
        <f t="shared" si="11"/>
        <v/>
      </c>
      <c r="W1453" s="68" t="str">
        <f t="shared" si="12"/>
        <v/>
      </c>
      <c r="X1453" s="59" t="str">
        <f t="shared" si="13"/>
        <v/>
      </c>
      <c r="Y1453" s="69" t="str">
        <f t="shared" si="14"/>
        <v/>
      </c>
      <c r="Z1453" s="11"/>
      <c r="AG1453" s="59"/>
    </row>
    <row r="1454">
      <c r="A1454" s="8"/>
      <c r="B1454" s="56" t="str">
        <f t="shared" si="2"/>
        <v/>
      </c>
      <c r="C1454" s="105"/>
      <c r="D1454" s="10"/>
      <c r="E1454" s="59" t="str">
        <f t="array" ref="E1454">IF(COUNTA(C1454:C1644)=0,"",SUM((COUNTIF(C$4:C1454,Upgrades!$B$3:$B$13)-COUNTIF(C$4:C1454,"Sell_"&amp;Upgrades!$B$3:$B$13))*Upgrades!$D$3:$D$13))</f>
        <v/>
      </c>
      <c r="F1454" s="66" t="str">
        <f>IFERROR(__xludf.DUMMYFUNCTION("IF(COUNTA(C1454:C1644)=0,"""",IF(REGEXMATCH(INDEX(FILTER(C$4:C1454,C$4:C1454&lt;&gt;""""),ROWS(FILTER(C$4:C1454,C$4:C1454&lt;&gt;""""))),""^Sell_""),INDEX(FILTER(F$4:F1453,C$4:C1453&lt;&gt;""""),ROWS(FILTER(C$4:C1453,C$4:C1453&lt;&gt;""""))),$AC$5+E1454))"),"")</f>
        <v/>
      </c>
      <c r="G1454" s="10" t="str">
        <f>IFERROR(__xludf.DUMMYFUNCTION("IF(COUNTA(C1454:C1644)=0,"""",IF(C1454="""",0,IF(REGEXMATCH(C1454,""^Sell_""),-ROUNDDOWN(ROUNDUP(INDEX(Upgrades!$C$3:$C$13,MATCH(SUBSTITUTE(C1454,""Sell_"",""""),Upgrades!$B$3:$B$13,0))*1.15^(COUNTIF(C$4:C1453,SUBSTITUTE(C1454,""Sell_"",""""))-COUNTIF(C$4"&amp;":C1453,""Sell_""&amp;SUBSTITUTE(C1454,""Sell_"",""""))))/2),ROUNDUP(INDEX(Upgrades!$C$3:$C$13,MATCH(C1454,Upgrades!$B$3:$B$13,0))*1.15^(COUNTIF(C$4:C1453,C1454)-COUNTIF(C$4:C1453,""Sell_""&amp;C1454))))))"),"")</f>
        <v/>
      </c>
      <c r="H1454" s="10" t="str">
        <f t="shared" si="3"/>
        <v/>
      </c>
      <c r="I1454" s="68" t="str">
        <f t="shared" si="4"/>
        <v/>
      </c>
      <c r="J1454" s="59" t="str">
        <f t="shared" si="5"/>
        <v/>
      </c>
      <c r="K1454" s="69" t="str">
        <f t="shared" si="6"/>
        <v/>
      </c>
      <c r="L1454" s="60" t="str">
        <f t="shared" si="7"/>
        <v/>
      </c>
      <c r="M1454" s="61" t="str">
        <f>IFERROR(__xludf.DUMMYFUNCTION("IFS(AND(COUNTA(C1454:C1644)=0,COUNTA(Q1454:Q1644)=0),"""",OR(AND(K1454&gt;=1000000000,OR(Y1454&gt;=1000000000,COUNTA(Q1454:Q1644)=0)),OR(Y1454&gt;=1000000000,AND(COUNTA(C1454:C1644)=0,P$3=TRUE))),
ROUNDDOWN((AB$1-AC$1)*MAX(INDEX(T$4:T1644,MATCH(LARGE(FILTER(Y$4:Y1"&amp;"644,Y$4:Y1644&lt;1000000000),1),Y$4:Y1644)),INDEX(F$4:F1644,MATCH(LARGE(FILTER(K$4:K1644,K$4:K1644&lt;1000000000),1),K$4:K1644)))),AND(K1454&lt;1000000000,COUNTA(C1454:C1644)&gt;0,P$3=FALSE),
ROUNDDOWN(INDEX(Y$4:Y1644,MATCH(LARGE(FILTER(W$4:W1644,W$4:W1644&lt;=I1454),1)"&amp;",W$4:W1644))+(I1454-LARGE(FILTER(W$4:W1644,W$4:W1644&lt;=I1454),1))*INDEX(T$4:T1644,MATCH(LARGE(FILTER(W$4:W1644,W$4:W1644&lt;=I1454),1),W$4:W1644))-K1454),1,
ROUNDDOWN(Y1454-INDEX(K$4:K1644,MATCH(LARGE(FILTER(I$4:I1644,I$4:I1644&lt;=W1454),1),I$4:I1644))-(W1454-L"&amp;"ARGE(FILTER(I$4:I1644,I$4:I1644&lt;=W1454),1))*INDEX(F$4:F1644,MATCH(LARGE(FILTER(I$4:I1644,I$4:I1644&lt;=W1454),1),I$4:I1644))))"),"")</f>
        <v/>
      </c>
      <c r="N1454" s="60" t="str">
        <f t="shared" si="8"/>
        <v/>
      </c>
      <c r="O1454" s="61" t="str">
        <f t="shared" si="9"/>
        <v/>
      </c>
      <c r="P1454" s="56" t="str">
        <f t="shared" si="10"/>
        <v/>
      </c>
      <c r="Q1454" s="105"/>
      <c r="R1454" s="10"/>
      <c r="S1454" s="59" t="str">
        <f t="array" ref="S1454">IF(COUNTA(Q1454:Q1644)=0,"",SUM((COUNTIF(Q$4:Q1454,Upgrades!$B$3:$B$13)-COUNTIF(Q$4:Q1454,"Sell_"&amp;Upgrades!$B$3:$B$13))*Upgrades!$D$3:$D$13))</f>
        <v/>
      </c>
      <c r="T1454" s="66" t="str">
        <f>IFERROR(__xludf.DUMMYFUNCTION("IF(COUNTA(Q1454:Q1644)=0,"""",IF(REGEXMATCH(INDEX(FILTER(Q$4:Q1454,Q$4:Q1454&lt;&gt;""""),ROWS(FILTER(Q$4:Q1454,Q$4:Q1454&lt;&gt;""""))),""^Sell_""),INDEX(FILTER(T$4:T1453,Q$4:Q1453&lt;&gt;""""),ROWS(FILTER(Q$4:Q1453,Q$4:Q1453&lt;&gt;""""))),$AD$5+S1454))"),"")</f>
        <v/>
      </c>
      <c r="U1454" s="10" t="str">
        <f>IFERROR(__xludf.DUMMYFUNCTION("IF(COUNTA(Q1454:Q1644)=0,"""",IF(Q1454="""",0,IF(REGEXMATCH(Q1454,""^Sell_""),-ROUNDDOWN(ROUNDUP(INDEX(Upgrades!$C$3:$C$13,MATCH(SUBSTITUTE(Q1454,""Sell_"",""""),Upgrades!$B$3:$B$13,0))*1.15^(COUNTIF(Q$4:Q1453,SUBSTITUTE(Q1454,""Sell_"",""""))-COUNTIF(Q$4"&amp;":Q1453,""Sell_""&amp;SUBSTITUTE(Q1454,""Sell_"",""""))))/2),ROUNDUP(INDEX(Upgrades!$C$3:$C$13,MATCH(Q1454,Upgrades!$B$3:$B$13,0))*1.15^(COUNTIF(Q$4:Q1453,Q1454)-COUNTIF(Q$4:Q1453,""Sell_""&amp;Q1454))))))"),"")</f>
        <v/>
      </c>
      <c r="V1454" s="10" t="str">
        <f t="shared" si="11"/>
        <v/>
      </c>
      <c r="W1454" s="68" t="str">
        <f t="shared" si="12"/>
        <v/>
      </c>
      <c r="X1454" s="59" t="str">
        <f t="shared" si="13"/>
        <v/>
      </c>
      <c r="Y1454" s="69" t="str">
        <f t="shared" si="14"/>
        <v/>
      </c>
      <c r="Z1454" s="11"/>
      <c r="AG1454" s="59"/>
    </row>
    <row r="1455">
      <c r="A1455" s="8"/>
      <c r="B1455" s="56" t="str">
        <f t="shared" si="2"/>
        <v/>
      </c>
      <c r="C1455" s="105"/>
      <c r="D1455" s="10"/>
      <c r="E1455" s="59" t="str">
        <f t="array" ref="E1455">IF(COUNTA(C1455:C1644)=0,"",SUM((COUNTIF(C$4:C1455,Upgrades!$B$3:$B$13)-COUNTIF(C$4:C1455,"Sell_"&amp;Upgrades!$B$3:$B$13))*Upgrades!$D$3:$D$13))</f>
        <v/>
      </c>
      <c r="F1455" s="66" t="str">
        <f>IFERROR(__xludf.DUMMYFUNCTION("IF(COUNTA(C1455:C1644)=0,"""",IF(REGEXMATCH(INDEX(FILTER(C$4:C1455,C$4:C1455&lt;&gt;""""),ROWS(FILTER(C$4:C1455,C$4:C1455&lt;&gt;""""))),""^Sell_""),INDEX(FILTER(F$4:F1454,C$4:C1454&lt;&gt;""""),ROWS(FILTER(C$4:C1454,C$4:C1454&lt;&gt;""""))),$AC$5+E1455))"),"")</f>
        <v/>
      </c>
      <c r="G1455" s="10" t="str">
        <f>IFERROR(__xludf.DUMMYFUNCTION("IF(COUNTA(C1455:C1644)=0,"""",IF(C1455="""",0,IF(REGEXMATCH(C1455,""^Sell_""),-ROUNDDOWN(ROUNDUP(INDEX(Upgrades!$C$3:$C$13,MATCH(SUBSTITUTE(C1455,""Sell_"",""""),Upgrades!$B$3:$B$13,0))*1.15^(COUNTIF(C$4:C1454,SUBSTITUTE(C1455,""Sell_"",""""))-COUNTIF(C$4"&amp;":C1454,""Sell_""&amp;SUBSTITUTE(C1455,""Sell_"",""""))))/2),ROUNDUP(INDEX(Upgrades!$C$3:$C$13,MATCH(C1455,Upgrades!$B$3:$B$13,0))*1.15^(COUNTIF(C$4:C1454,C1455)-COUNTIF(C$4:C1454,""Sell_""&amp;C1455))))))"),"")</f>
        <v/>
      </c>
      <c r="H1455" s="10" t="str">
        <f t="shared" si="3"/>
        <v/>
      </c>
      <c r="I1455" s="68" t="str">
        <f t="shared" si="4"/>
        <v/>
      </c>
      <c r="J1455" s="59" t="str">
        <f t="shared" si="5"/>
        <v/>
      </c>
      <c r="K1455" s="69" t="str">
        <f t="shared" si="6"/>
        <v/>
      </c>
      <c r="L1455" s="60" t="str">
        <f t="shared" si="7"/>
        <v/>
      </c>
      <c r="M1455" s="61" t="str">
        <f>IFERROR(__xludf.DUMMYFUNCTION("IFS(AND(COUNTA(C1455:C1644)=0,COUNTA(Q1455:Q1644)=0),"""",OR(AND(K1455&gt;=1000000000,OR(Y1455&gt;=1000000000,COUNTA(Q1455:Q1644)=0)),OR(Y1455&gt;=1000000000,AND(COUNTA(C1455:C1644)=0,P$3=TRUE))),
ROUNDDOWN((AB$1-AC$1)*MAX(INDEX(T$4:T1644,MATCH(LARGE(FILTER(Y$4:Y1"&amp;"644,Y$4:Y1644&lt;1000000000),1),Y$4:Y1644)),INDEX(F$4:F1644,MATCH(LARGE(FILTER(K$4:K1644,K$4:K1644&lt;1000000000),1),K$4:K1644)))),AND(K1455&lt;1000000000,COUNTA(C1455:C1644)&gt;0,P$3=FALSE),
ROUNDDOWN(INDEX(Y$4:Y1644,MATCH(LARGE(FILTER(W$4:W1644,W$4:W1644&lt;=I1455),1)"&amp;",W$4:W1644))+(I1455-LARGE(FILTER(W$4:W1644,W$4:W1644&lt;=I1455),1))*INDEX(T$4:T1644,MATCH(LARGE(FILTER(W$4:W1644,W$4:W1644&lt;=I1455),1),W$4:W1644))-K1455),1,
ROUNDDOWN(Y1455-INDEX(K$4:K1644,MATCH(LARGE(FILTER(I$4:I1644,I$4:I1644&lt;=W1455),1),I$4:I1644))-(W1455-L"&amp;"ARGE(FILTER(I$4:I1644,I$4:I1644&lt;=W1455),1))*INDEX(F$4:F1644,MATCH(LARGE(FILTER(I$4:I1644,I$4:I1644&lt;=W1455),1),I$4:I1644))))"),"")</f>
        <v/>
      </c>
      <c r="N1455" s="60" t="str">
        <f t="shared" si="8"/>
        <v/>
      </c>
      <c r="O1455" s="61" t="str">
        <f t="shared" si="9"/>
        <v/>
      </c>
      <c r="P1455" s="56" t="str">
        <f t="shared" si="10"/>
        <v/>
      </c>
      <c r="Q1455" s="105"/>
      <c r="R1455" s="10"/>
      <c r="S1455" s="59" t="str">
        <f t="array" ref="S1455">IF(COUNTA(Q1455:Q1644)=0,"",SUM((COUNTIF(Q$4:Q1455,Upgrades!$B$3:$B$13)-COUNTIF(Q$4:Q1455,"Sell_"&amp;Upgrades!$B$3:$B$13))*Upgrades!$D$3:$D$13))</f>
        <v/>
      </c>
      <c r="T1455" s="66" t="str">
        <f>IFERROR(__xludf.DUMMYFUNCTION("IF(COUNTA(Q1455:Q1644)=0,"""",IF(REGEXMATCH(INDEX(FILTER(Q$4:Q1455,Q$4:Q1455&lt;&gt;""""),ROWS(FILTER(Q$4:Q1455,Q$4:Q1455&lt;&gt;""""))),""^Sell_""),INDEX(FILTER(T$4:T1454,Q$4:Q1454&lt;&gt;""""),ROWS(FILTER(Q$4:Q1454,Q$4:Q1454&lt;&gt;""""))),$AD$5+S1455))"),"")</f>
        <v/>
      </c>
      <c r="U1455" s="10" t="str">
        <f>IFERROR(__xludf.DUMMYFUNCTION("IF(COUNTA(Q1455:Q1644)=0,"""",IF(Q1455="""",0,IF(REGEXMATCH(Q1455,""^Sell_""),-ROUNDDOWN(ROUNDUP(INDEX(Upgrades!$C$3:$C$13,MATCH(SUBSTITUTE(Q1455,""Sell_"",""""),Upgrades!$B$3:$B$13,0))*1.15^(COUNTIF(Q$4:Q1454,SUBSTITUTE(Q1455,""Sell_"",""""))-COUNTIF(Q$4"&amp;":Q1454,""Sell_""&amp;SUBSTITUTE(Q1455,""Sell_"",""""))))/2),ROUNDUP(INDEX(Upgrades!$C$3:$C$13,MATCH(Q1455,Upgrades!$B$3:$B$13,0))*1.15^(COUNTIF(Q$4:Q1454,Q1455)-COUNTIF(Q$4:Q1454,""Sell_""&amp;Q1455))))))"),"")</f>
        <v/>
      </c>
      <c r="V1455" s="10" t="str">
        <f t="shared" si="11"/>
        <v/>
      </c>
      <c r="W1455" s="68" t="str">
        <f t="shared" si="12"/>
        <v/>
      </c>
      <c r="X1455" s="59" t="str">
        <f t="shared" si="13"/>
        <v/>
      </c>
      <c r="Y1455" s="69" t="str">
        <f t="shared" si="14"/>
        <v/>
      </c>
      <c r="Z1455" s="11"/>
      <c r="AG1455" s="59"/>
    </row>
    <row r="1456">
      <c r="A1456" s="8"/>
      <c r="B1456" s="56" t="str">
        <f t="shared" si="2"/>
        <v/>
      </c>
      <c r="C1456" s="105"/>
      <c r="D1456" s="10"/>
      <c r="E1456" s="59" t="str">
        <f t="array" ref="E1456">IF(COUNTA(C1456:C1644)=0,"",SUM((COUNTIF(C$4:C1456,Upgrades!$B$3:$B$13)-COUNTIF(C$4:C1456,"Sell_"&amp;Upgrades!$B$3:$B$13))*Upgrades!$D$3:$D$13))</f>
        <v/>
      </c>
      <c r="F1456" s="66" t="str">
        <f>IFERROR(__xludf.DUMMYFUNCTION("IF(COUNTA(C1456:C1644)=0,"""",IF(REGEXMATCH(INDEX(FILTER(C$4:C1456,C$4:C1456&lt;&gt;""""),ROWS(FILTER(C$4:C1456,C$4:C1456&lt;&gt;""""))),""^Sell_""),INDEX(FILTER(F$4:F1455,C$4:C1455&lt;&gt;""""),ROWS(FILTER(C$4:C1455,C$4:C1455&lt;&gt;""""))),$AC$5+E1456))"),"")</f>
        <v/>
      </c>
      <c r="G1456" s="10" t="str">
        <f>IFERROR(__xludf.DUMMYFUNCTION("IF(COUNTA(C1456:C1644)=0,"""",IF(C1456="""",0,IF(REGEXMATCH(C1456,""^Sell_""),-ROUNDDOWN(ROUNDUP(INDEX(Upgrades!$C$3:$C$13,MATCH(SUBSTITUTE(C1456,""Sell_"",""""),Upgrades!$B$3:$B$13,0))*1.15^(COUNTIF(C$4:C1455,SUBSTITUTE(C1456,""Sell_"",""""))-COUNTIF(C$4"&amp;":C1455,""Sell_""&amp;SUBSTITUTE(C1456,""Sell_"",""""))))/2),ROUNDUP(INDEX(Upgrades!$C$3:$C$13,MATCH(C1456,Upgrades!$B$3:$B$13,0))*1.15^(COUNTIF(C$4:C1455,C1456)-COUNTIF(C$4:C1455,""Sell_""&amp;C1456))))))"),"")</f>
        <v/>
      </c>
      <c r="H1456" s="10" t="str">
        <f t="shared" si="3"/>
        <v/>
      </c>
      <c r="I1456" s="68" t="str">
        <f t="shared" si="4"/>
        <v/>
      </c>
      <c r="J1456" s="59" t="str">
        <f t="shared" si="5"/>
        <v/>
      </c>
      <c r="K1456" s="69" t="str">
        <f t="shared" si="6"/>
        <v/>
      </c>
      <c r="L1456" s="60" t="str">
        <f t="shared" si="7"/>
        <v/>
      </c>
      <c r="M1456" s="61" t="str">
        <f>IFERROR(__xludf.DUMMYFUNCTION("IFS(AND(COUNTA(C1456:C1644)=0,COUNTA(Q1456:Q1644)=0),"""",OR(AND(K1456&gt;=1000000000,OR(Y1456&gt;=1000000000,COUNTA(Q1456:Q1644)=0)),OR(Y1456&gt;=1000000000,AND(COUNTA(C1456:C1644)=0,P$3=TRUE))),
ROUNDDOWN((AB$1-AC$1)*MAX(INDEX(T$4:T1644,MATCH(LARGE(FILTER(Y$4:Y1"&amp;"644,Y$4:Y1644&lt;1000000000),1),Y$4:Y1644)),INDEX(F$4:F1644,MATCH(LARGE(FILTER(K$4:K1644,K$4:K1644&lt;1000000000),1),K$4:K1644)))),AND(K1456&lt;1000000000,COUNTA(C1456:C1644)&gt;0,P$3=FALSE),
ROUNDDOWN(INDEX(Y$4:Y1644,MATCH(LARGE(FILTER(W$4:W1644,W$4:W1644&lt;=I1456),1)"&amp;",W$4:W1644))+(I1456-LARGE(FILTER(W$4:W1644,W$4:W1644&lt;=I1456),1))*INDEX(T$4:T1644,MATCH(LARGE(FILTER(W$4:W1644,W$4:W1644&lt;=I1456),1),W$4:W1644))-K1456),1,
ROUNDDOWN(Y1456-INDEX(K$4:K1644,MATCH(LARGE(FILTER(I$4:I1644,I$4:I1644&lt;=W1456),1),I$4:I1644))-(W1456-L"&amp;"ARGE(FILTER(I$4:I1644,I$4:I1644&lt;=W1456),1))*INDEX(F$4:F1644,MATCH(LARGE(FILTER(I$4:I1644,I$4:I1644&lt;=W1456),1),I$4:I1644))))"),"")</f>
        <v/>
      </c>
      <c r="N1456" s="60" t="str">
        <f t="shared" si="8"/>
        <v/>
      </c>
      <c r="O1456" s="61" t="str">
        <f t="shared" si="9"/>
        <v/>
      </c>
      <c r="P1456" s="56" t="str">
        <f t="shared" si="10"/>
        <v/>
      </c>
      <c r="Q1456" s="105"/>
      <c r="R1456" s="10"/>
      <c r="S1456" s="59" t="str">
        <f t="array" ref="S1456">IF(COUNTA(Q1456:Q1644)=0,"",SUM((COUNTIF(Q$4:Q1456,Upgrades!$B$3:$B$13)-COUNTIF(Q$4:Q1456,"Sell_"&amp;Upgrades!$B$3:$B$13))*Upgrades!$D$3:$D$13))</f>
        <v/>
      </c>
      <c r="T1456" s="66" t="str">
        <f>IFERROR(__xludf.DUMMYFUNCTION("IF(COUNTA(Q1456:Q1644)=0,"""",IF(REGEXMATCH(INDEX(FILTER(Q$4:Q1456,Q$4:Q1456&lt;&gt;""""),ROWS(FILTER(Q$4:Q1456,Q$4:Q1456&lt;&gt;""""))),""^Sell_""),INDEX(FILTER(T$4:T1455,Q$4:Q1455&lt;&gt;""""),ROWS(FILTER(Q$4:Q1455,Q$4:Q1455&lt;&gt;""""))),$AD$5+S1456))"),"")</f>
        <v/>
      </c>
      <c r="U1456" s="10" t="str">
        <f>IFERROR(__xludf.DUMMYFUNCTION("IF(COUNTA(Q1456:Q1644)=0,"""",IF(Q1456="""",0,IF(REGEXMATCH(Q1456,""^Sell_""),-ROUNDDOWN(ROUNDUP(INDEX(Upgrades!$C$3:$C$13,MATCH(SUBSTITUTE(Q1456,""Sell_"",""""),Upgrades!$B$3:$B$13,0))*1.15^(COUNTIF(Q$4:Q1455,SUBSTITUTE(Q1456,""Sell_"",""""))-COUNTIF(Q$4"&amp;":Q1455,""Sell_""&amp;SUBSTITUTE(Q1456,""Sell_"",""""))))/2),ROUNDUP(INDEX(Upgrades!$C$3:$C$13,MATCH(Q1456,Upgrades!$B$3:$B$13,0))*1.15^(COUNTIF(Q$4:Q1455,Q1456)-COUNTIF(Q$4:Q1455,""Sell_""&amp;Q1456))))))"),"")</f>
        <v/>
      </c>
      <c r="V1456" s="10" t="str">
        <f t="shared" si="11"/>
        <v/>
      </c>
      <c r="W1456" s="68" t="str">
        <f t="shared" si="12"/>
        <v/>
      </c>
      <c r="X1456" s="59" t="str">
        <f t="shared" si="13"/>
        <v/>
      </c>
      <c r="Y1456" s="69" t="str">
        <f t="shared" si="14"/>
        <v/>
      </c>
      <c r="Z1456" s="11"/>
      <c r="AG1456" s="59"/>
    </row>
    <row r="1457">
      <c r="A1457" s="8"/>
      <c r="B1457" s="56" t="str">
        <f t="shared" si="2"/>
        <v/>
      </c>
      <c r="C1457" s="105"/>
      <c r="D1457" s="10"/>
      <c r="E1457" s="59" t="str">
        <f t="array" ref="E1457">IF(COUNTA(C1457:C1644)=0,"",SUM((COUNTIF(C$4:C1457,Upgrades!$B$3:$B$13)-COUNTIF(C$4:C1457,"Sell_"&amp;Upgrades!$B$3:$B$13))*Upgrades!$D$3:$D$13))</f>
        <v/>
      </c>
      <c r="F1457" s="66" t="str">
        <f>IFERROR(__xludf.DUMMYFUNCTION("IF(COUNTA(C1457:C1644)=0,"""",IF(REGEXMATCH(INDEX(FILTER(C$4:C1457,C$4:C1457&lt;&gt;""""),ROWS(FILTER(C$4:C1457,C$4:C1457&lt;&gt;""""))),""^Sell_""),INDEX(FILTER(F$4:F1456,C$4:C1456&lt;&gt;""""),ROWS(FILTER(C$4:C1456,C$4:C1456&lt;&gt;""""))),$AC$5+E1457))"),"")</f>
        <v/>
      </c>
      <c r="G1457" s="10" t="str">
        <f>IFERROR(__xludf.DUMMYFUNCTION("IF(COUNTA(C1457:C1644)=0,"""",IF(C1457="""",0,IF(REGEXMATCH(C1457,""^Sell_""),-ROUNDDOWN(ROUNDUP(INDEX(Upgrades!$C$3:$C$13,MATCH(SUBSTITUTE(C1457,""Sell_"",""""),Upgrades!$B$3:$B$13,0))*1.15^(COUNTIF(C$4:C1456,SUBSTITUTE(C1457,""Sell_"",""""))-COUNTIF(C$4"&amp;":C1456,""Sell_""&amp;SUBSTITUTE(C1457,""Sell_"",""""))))/2),ROUNDUP(INDEX(Upgrades!$C$3:$C$13,MATCH(C1457,Upgrades!$B$3:$B$13,0))*1.15^(COUNTIF(C$4:C1456,C1457)-COUNTIF(C$4:C1456,""Sell_""&amp;C1457))))))"),"")</f>
        <v/>
      </c>
      <c r="H1457" s="10" t="str">
        <f t="shared" si="3"/>
        <v/>
      </c>
      <c r="I1457" s="68" t="str">
        <f t="shared" si="4"/>
        <v/>
      </c>
      <c r="J1457" s="59" t="str">
        <f t="shared" si="5"/>
        <v/>
      </c>
      <c r="K1457" s="69" t="str">
        <f t="shared" si="6"/>
        <v/>
      </c>
      <c r="L1457" s="60" t="str">
        <f t="shared" si="7"/>
        <v/>
      </c>
      <c r="M1457" s="61" t="str">
        <f>IFERROR(__xludf.DUMMYFUNCTION("IFS(AND(COUNTA(C1457:C1644)=0,COUNTA(Q1457:Q1644)=0),"""",OR(AND(K1457&gt;=1000000000,OR(Y1457&gt;=1000000000,COUNTA(Q1457:Q1644)=0)),OR(Y1457&gt;=1000000000,AND(COUNTA(C1457:C1644)=0,P$3=TRUE))),
ROUNDDOWN((AB$1-AC$1)*MAX(INDEX(T$4:T1644,MATCH(LARGE(FILTER(Y$4:Y1"&amp;"644,Y$4:Y1644&lt;1000000000),1),Y$4:Y1644)),INDEX(F$4:F1644,MATCH(LARGE(FILTER(K$4:K1644,K$4:K1644&lt;1000000000),1),K$4:K1644)))),AND(K1457&lt;1000000000,COUNTA(C1457:C1644)&gt;0,P$3=FALSE),
ROUNDDOWN(INDEX(Y$4:Y1644,MATCH(LARGE(FILTER(W$4:W1644,W$4:W1644&lt;=I1457),1)"&amp;",W$4:W1644))+(I1457-LARGE(FILTER(W$4:W1644,W$4:W1644&lt;=I1457),1))*INDEX(T$4:T1644,MATCH(LARGE(FILTER(W$4:W1644,W$4:W1644&lt;=I1457),1),W$4:W1644))-K1457),1,
ROUNDDOWN(Y1457-INDEX(K$4:K1644,MATCH(LARGE(FILTER(I$4:I1644,I$4:I1644&lt;=W1457),1),I$4:I1644))-(W1457-L"&amp;"ARGE(FILTER(I$4:I1644,I$4:I1644&lt;=W1457),1))*INDEX(F$4:F1644,MATCH(LARGE(FILTER(I$4:I1644,I$4:I1644&lt;=W1457),1),I$4:I1644))))"),"")</f>
        <v/>
      </c>
      <c r="N1457" s="60" t="str">
        <f t="shared" si="8"/>
        <v/>
      </c>
      <c r="O1457" s="61" t="str">
        <f t="shared" si="9"/>
        <v/>
      </c>
      <c r="P1457" s="56" t="str">
        <f t="shared" si="10"/>
        <v/>
      </c>
      <c r="Q1457" s="105"/>
      <c r="R1457" s="10"/>
      <c r="S1457" s="59" t="str">
        <f t="array" ref="S1457">IF(COUNTA(Q1457:Q1644)=0,"",SUM((COUNTIF(Q$4:Q1457,Upgrades!$B$3:$B$13)-COUNTIF(Q$4:Q1457,"Sell_"&amp;Upgrades!$B$3:$B$13))*Upgrades!$D$3:$D$13))</f>
        <v/>
      </c>
      <c r="T1457" s="66" t="str">
        <f>IFERROR(__xludf.DUMMYFUNCTION("IF(COUNTA(Q1457:Q1644)=0,"""",IF(REGEXMATCH(INDEX(FILTER(Q$4:Q1457,Q$4:Q1457&lt;&gt;""""),ROWS(FILTER(Q$4:Q1457,Q$4:Q1457&lt;&gt;""""))),""^Sell_""),INDEX(FILTER(T$4:T1456,Q$4:Q1456&lt;&gt;""""),ROWS(FILTER(Q$4:Q1456,Q$4:Q1456&lt;&gt;""""))),$AD$5+S1457))"),"")</f>
        <v/>
      </c>
      <c r="U1457" s="10" t="str">
        <f>IFERROR(__xludf.DUMMYFUNCTION("IF(COUNTA(Q1457:Q1644)=0,"""",IF(Q1457="""",0,IF(REGEXMATCH(Q1457,""^Sell_""),-ROUNDDOWN(ROUNDUP(INDEX(Upgrades!$C$3:$C$13,MATCH(SUBSTITUTE(Q1457,""Sell_"",""""),Upgrades!$B$3:$B$13,0))*1.15^(COUNTIF(Q$4:Q1456,SUBSTITUTE(Q1457,""Sell_"",""""))-COUNTIF(Q$4"&amp;":Q1456,""Sell_""&amp;SUBSTITUTE(Q1457,""Sell_"",""""))))/2),ROUNDUP(INDEX(Upgrades!$C$3:$C$13,MATCH(Q1457,Upgrades!$B$3:$B$13,0))*1.15^(COUNTIF(Q$4:Q1456,Q1457)-COUNTIF(Q$4:Q1456,""Sell_""&amp;Q1457))))))"),"")</f>
        <v/>
      </c>
      <c r="V1457" s="10" t="str">
        <f t="shared" si="11"/>
        <v/>
      </c>
      <c r="W1457" s="68" t="str">
        <f t="shared" si="12"/>
        <v/>
      </c>
      <c r="X1457" s="59" t="str">
        <f t="shared" si="13"/>
        <v/>
      </c>
      <c r="Y1457" s="69" t="str">
        <f t="shared" si="14"/>
        <v/>
      </c>
      <c r="Z1457" s="11"/>
      <c r="AG1457" s="59"/>
    </row>
    <row r="1458">
      <c r="A1458" s="8"/>
      <c r="B1458" s="56" t="str">
        <f t="shared" si="2"/>
        <v/>
      </c>
      <c r="C1458" s="105"/>
      <c r="D1458" s="10"/>
      <c r="E1458" s="59" t="str">
        <f t="array" ref="E1458">IF(COUNTA(C1458:C1644)=0,"",SUM((COUNTIF(C$4:C1458,Upgrades!$B$3:$B$13)-COUNTIF(C$4:C1458,"Sell_"&amp;Upgrades!$B$3:$B$13))*Upgrades!$D$3:$D$13))</f>
        <v/>
      </c>
      <c r="F1458" s="66" t="str">
        <f>IFERROR(__xludf.DUMMYFUNCTION("IF(COUNTA(C1458:C1644)=0,"""",IF(REGEXMATCH(INDEX(FILTER(C$4:C1458,C$4:C1458&lt;&gt;""""),ROWS(FILTER(C$4:C1458,C$4:C1458&lt;&gt;""""))),""^Sell_""),INDEX(FILTER(F$4:F1457,C$4:C1457&lt;&gt;""""),ROWS(FILTER(C$4:C1457,C$4:C1457&lt;&gt;""""))),$AC$5+E1458))"),"")</f>
        <v/>
      </c>
      <c r="G1458" s="10" t="str">
        <f>IFERROR(__xludf.DUMMYFUNCTION("IF(COUNTA(C1458:C1644)=0,"""",IF(C1458="""",0,IF(REGEXMATCH(C1458,""^Sell_""),-ROUNDDOWN(ROUNDUP(INDEX(Upgrades!$C$3:$C$13,MATCH(SUBSTITUTE(C1458,""Sell_"",""""),Upgrades!$B$3:$B$13,0))*1.15^(COUNTIF(C$4:C1457,SUBSTITUTE(C1458,""Sell_"",""""))-COUNTIF(C$4"&amp;":C1457,""Sell_""&amp;SUBSTITUTE(C1458,""Sell_"",""""))))/2),ROUNDUP(INDEX(Upgrades!$C$3:$C$13,MATCH(C1458,Upgrades!$B$3:$B$13,0))*1.15^(COUNTIF(C$4:C1457,C1458)-COUNTIF(C$4:C1457,""Sell_""&amp;C1458))))))"),"")</f>
        <v/>
      </c>
      <c r="H1458" s="10" t="str">
        <f t="shared" si="3"/>
        <v/>
      </c>
      <c r="I1458" s="68" t="str">
        <f t="shared" si="4"/>
        <v/>
      </c>
      <c r="J1458" s="59" t="str">
        <f t="shared" si="5"/>
        <v/>
      </c>
      <c r="K1458" s="69" t="str">
        <f t="shared" si="6"/>
        <v/>
      </c>
      <c r="L1458" s="60" t="str">
        <f t="shared" si="7"/>
        <v/>
      </c>
      <c r="M1458" s="61" t="str">
        <f>IFERROR(__xludf.DUMMYFUNCTION("IFS(AND(COUNTA(C1458:C1644)=0,COUNTA(Q1458:Q1644)=0),"""",OR(AND(K1458&gt;=1000000000,OR(Y1458&gt;=1000000000,COUNTA(Q1458:Q1644)=0)),OR(Y1458&gt;=1000000000,AND(COUNTA(C1458:C1644)=0,P$3=TRUE))),
ROUNDDOWN((AB$1-AC$1)*MAX(INDEX(T$4:T1644,MATCH(LARGE(FILTER(Y$4:Y1"&amp;"644,Y$4:Y1644&lt;1000000000),1),Y$4:Y1644)),INDEX(F$4:F1644,MATCH(LARGE(FILTER(K$4:K1644,K$4:K1644&lt;1000000000),1),K$4:K1644)))),AND(K1458&lt;1000000000,COUNTA(C1458:C1644)&gt;0,P$3=FALSE),
ROUNDDOWN(INDEX(Y$4:Y1644,MATCH(LARGE(FILTER(W$4:W1644,W$4:W1644&lt;=I1458),1)"&amp;",W$4:W1644))+(I1458-LARGE(FILTER(W$4:W1644,W$4:W1644&lt;=I1458),1))*INDEX(T$4:T1644,MATCH(LARGE(FILTER(W$4:W1644,W$4:W1644&lt;=I1458),1),W$4:W1644))-K1458),1,
ROUNDDOWN(Y1458-INDEX(K$4:K1644,MATCH(LARGE(FILTER(I$4:I1644,I$4:I1644&lt;=W1458),1),I$4:I1644))-(W1458-L"&amp;"ARGE(FILTER(I$4:I1644,I$4:I1644&lt;=W1458),1))*INDEX(F$4:F1644,MATCH(LARGE(FILTER(I$4:I1644,I$4:I1644&lt;=W1458),1),I$4:I1644))))"),"")</f>
        <v/>
      </c>
      <c r="N1458" s="60" t="str">
        <f t="shared" si="8"/>
        <v/>
      </c>
      <c r="O1458" s="61" t="str">
        <f t="shared" si="9"/>
        <v/>
      </c>
      <c r="P1458" s="56" t="str">
        <f t="shared" si="10"/>
        <v/>
      </c>
      <c r="Q1458" s="105"/>
      <c r="R1458" s="10"/>
      <c r="S1458" s="59" t="str">
        <f t="array" ref="S1458">IF(COUNTA(Q1458:Q1644)=0,"",SUM((COUNTIF(Q$4:Q1458,Upgrades!$B$3:$B$13)-COUNTIF(Q$4:Q1458,"Sell_"&amp;Upgrades!$B$3:$B$13))*Upgrades!$D$3:$D$13))</f>
        <v/>
      </c>
      <c r="T1458" s="66" t="str">
        <f>IFERROR(__xludf.DUMMYFUNCTION("IF(COUNTA(Q1458:Q1644)=0,"""",IF(REGEXMATCH(INDEX(FILTER(Q$4:Q1458,Q$4:Q1458&lt;&gt;""""),ROWS(FILTER(Q$4:Q1458,Q$4:Q1458&lt;&gt;""""))),""^Sell_""),INDEX(FILTER(T$4:T1457,Q$4:Q1457&lt;&gt;""""),ROWS(FILTER(Q$4:Q1457,Q$4:Q1457&lt;&gt;""""))),$AD$5+S1458))"),"")</f>
        <v/>
      </c>
      <c r="U1458" s="10" t="str">
        <f>IFERROR(__xludf.DUMMYFUNCTION("IF(COUNTA(Q1458:Q1644)=0,"""",IF(Q1458="""",0,IF(REGEXMATCH(Q1458,""^Sell_""),-ROUNDDOWN(ROUNDUP(INDEX(Upgrades!$C$3:$C$13,MATCH(SUBSTITUTE(Q1458,""Sell_"",""""),Upgrades!$B$3:$B$13,0))*1.15^(COUNTIF(Q$4:Q1457,SUBSTITUTE(Q1458,""Sell_"",""""))-COUNTIF(Q$4"&amp;":Q1457,""Sell_""&amp;SUBSTITUTE(Q1458,""Sell_"",""""))))/2),ROUNDUP(INDEX(Upgrades!$C$3:$C$13,MATCH(Q1458,Upgrades!$B$3:$B$13,0))*1.15^(COUNTIF(Q$4:Q1457,Q1458)-COUNTIF(Q$4:Q1457,""Sell_""&amp;Q1458))))))"),"")</f>
        <v/>
      </c>
      <c r="V1458" s="10" t="str">
        <f t="shared" si="11"/>
        <v/>
      </c>
      <c r="W1458" s="68" t="str">
        <f t="shared" si="12"/>
        <v/>
      </c>
      <c r="X1458" s="59" t="str">
        <f t="shared" si="13"/>
        <v/>
      </c>
      <c r="Y1458" s="69" t="str">
        <f t="shared" si="14"/>
        <v/>
      </c>
      <c r="Z1458" s="11"/>
      <c r="AG1458" s="59"/>
    </row>
    <row r="1459">
      <c r="A1459" s="8"/>
      <c r="B1459" s="56" t="str">
        <f t="shared" si="2"/>
        <v/>
      </c>
      <c r="C1459" s="105"/>
      <c r="D1459" s="10"/>
      <c r="E1459" s="59" t="str">
        <f t="array" ref="E1459">IF(COUNTA(C1459:C1644)=0,"",SUM((COUNTIF(C$4:C1459,Upgrades!$B$3:$B$13)-COUNTIF(C$4:C1459,"Sell_"&amp;Upgrades!$B$3:$B$13))*Upgrades!$D$3:$D$13))</f>
        <v/>
      </c>
      <c r="F1459" s="66" t="str">
        <f>IFERROR(__xludf.DUMMYFUNCTION("IF(COUNTA(C1459:C1644)=0,"""",IF(REGEXMATCH(INDEX(FILTER(C$4:C1459,C$4:C1459&lt;&gt;""""),ROWS(FILTER(C$4:C1459,C$4:C1459&lt;&gt;""""))),""^Sell_""),INDEX(FILTER(F$4:F1458,C$4:C1458&lt;&gt;""""),ROWS(FILTER(C$4:C1458,C$4:C1458&lt;&gt;""""))),$AC$5+E1459))"),"")</f>
        <v/>
      </c>
      <c r="G1459" s="10" t="str">
        <f>IFERROR(__xludf.DUMMYFUNCTION("IF(COUNTA(C1459:C1644)=0,"""",IF(C1459="""",0,IF(REGEXMATCH(C1459,""^Sell_""),-ROUNDDOWN(ROUNDUP(INDEX(Upgrades!$C$3:$C$13,MATCH(SUBSTITUTE(C1459,""Sell_"",""""),Upgrades!$B$3:$B$13,0))*1.15^(COUNTIF(C$4:C1458,SUBSTITUTE(C1459,""Sell_"",""""))-COUNTIF(C$4"&amp;":C1458,""Sell_""&amp;SUBSTITUTE(C1459,""Sell_"",""""))))/2),ROUNDUP(INDEX(Upgrades!$C$3:$C$13,MATCH(C1459,Upgrades!$B$3:$B$13,0))*1.15^(COUNTIF(C$4:C1458,C1459)-COUNTIF(C$4:C1458,""Sell_""&amp;C1459))))))"),"")</f>
        <v/>
      </c>
      <c r="H1459" s="10" t="str">
        <f t="shared" si="3"/>
        <v/>
      </c>
      <c r="I1459" s="68" t="str">
        <f t="shared" si="4"/>
        <v/>
      </c>
      <c r="J1459" s="59" t="str">
        <f t="shared" si="5"/>
        <v/>
      </c>
      <c r="K1459" s="69" t="str">
        <f t="shared" si="6"/>
        <v/>
      </c>
      <c r="L1459" s="60" t="str">
        <f t="shared" si="7"/>
        <v/>
      </c>
      <c r="M1459" s="61" t="str">
        <f>IFERROR(__xludf.DUMMYFUNCTION("IFS(AND(COUNTA(C1459:C1644)=0,COUNTA(Q1459:Q1644)=0),"""",OR(AND(K1459&gt;=1000000000,OR(Y1459&gt;=1000000000,COUNTA(Q1459:Q1644)=0)),OR(Y1459&gt;=1000000000,AND(COUNTA(C1459:C1644)=0,P$3=TRUE))),
ROUNDDOWN((AB$1-AC$1)*MAX(INDEX(T$4:T1644,MATCH(LARGE(FILTER(Y$4:Y1"&amp;"644,Y$4:Y1644&lt;1000000000),1),Y$4:Y1644)),INDEX(F$4:F1644,MATCH(LARGE(FILTER(K$4:K1644,K$4:K1644&lt;1000000000),1),K$4:K1644)))),AND(K1459&lt;1000000000,COUNTA(C1459:C1644)&gt;0,P$3=FALSE),
ROUNDDOWN(INDEX(Y$4:Y1644,MATCH(LARGE(FILTER(W$4:W1644,W$4:W1644&lt;=I1459),1)"&amp;",W$4:W1644))+(I1459-LARGE(FILTER(W$4:W1644,W$4:W1644&lt;=I1459),1))*INDEX(T$4:T1644,MATCH(LARGE(FILTER(W$4:W1644,W$4:W1644&lt;=I1459),1),W$4:W1644))-K1459),1,
ROUNDDOWN(Y1459-INDEX(K$4:K1644,MATCH(LARGE(FILTER(I$4:I1644,I$4:I1644&lt;=W1459),1),I$4:I1644))-(W1459-L"&amp;"ARGE(FILTER(I$4:I1644,I$4:I1644&lt;=W1459),1))*INDEX(F$4:F1644,MATCH(LARGE(FILTER(I$4:I1644,I$4:I1644&lt;=W1459),1),I$4:I1644))))"),"")</f>
        <v/>
      </c>
      <c r="N1459" s="60" t="str">
        <f t="shared" si="8"/>
        <v/>
      </c>
      <c r="O1459" s="61" t="str">
        <f t="shared" si="9"/>
        <v/>
      </c>
      <c r="P1459" s="56" t="str">
        <f t="shared" si="10"/>
        <v/>
      </c>
      <c r="Q1459" s="105"/>
      <c r="R1459" s="10"/>
      <c r="S1459" s="59" t="str">
        <f t="array" ref="S1459">IF(COUNTA(Q1459:Q1644)=0,"",SUM((COUNTIF(Q$4:Q1459,Upgrades!$B$3:$B$13)-COUNTIF(Q$4:Q1459,"Sell_"&amp;Upgrades!$B$3:$B$13))*Upgrades!$D$3:$D$13))</f>
        <v/>
      </c>
      <c r="T1459" s="66" t="str">
        <f>IFERROR(__xludf.DUMMYFUNCTION("IF(COUNTA(Q1459:Q1644)=0,"""",IF(REGEXMATCH(INDEX(FILTER(Q$4:Q1459,Q$4:Q1459&lt;&gt;""""),ROWS(FILTER(Q$4:Q1459,Q$4:Q1459&lt;&gt;""""))),""^Sell_""),INDEX(FILTER(T$4:T1458,Q$4:Q1458&lt;&gt;""""),ROWS(FILTER(Q$4:Q1458,Q$4:Q1458&lt;&gt;""""))),$AD$5+S1459))"),"")</f>
        <v/>
      </c>
      <c r="U1459" s="10" t="str">
        <f>IFERROR(__xludf.DUMMYFUNCTION("IF(COUNTA(Q1459:Q1644)=0,"""",IF(Q1459="""",0,IF(REGEXMATCH(Q1459,""^Sell_""),-ROUNDDOWN(ROUNDUP(INDEX(Upgrades!$C$3:$C$13,MATCH(SUBSTITUTE(Q1459,""Sell_"",""""),Upgrades!$B$3:$B$13,0))*1.15^(COUNTIF(Q$4:Q1458,SUBSTITUTE(Q1459,""Sell_"",""""))-COUNTIF(Q$4"&amp;":Q1458,""Sell_""&amp;SUBSTITUTE(Q1459,""Sell_"",""""))))/2),ROUNDUP(INDEX(Upgrades!$C$3:$C$13,MATCH(Q1459,Upgrades!$B$3:$B$13,0))*1.15^(COUNTIF(Q$4:Q1458,Q1459)-COUNTIF(Q$4:Q1458,""Sell_""&amp;Q1459))))))"),"")</f>
        <v/>
      </c>
      <c r="V1459" s="10" t="str">
        <f t="shared" si="11"/>
        <v/>
      </c>
      <c r="W1459" s="68" t="str">
        <f t="shared" si="12"/>
        <v/>
      </c>
      <c r="X1459" s="59" t="str">
        <f t="shared" si="13"/>
        <v/>
      </c>
      <c r="Y1459" s="69" t="str">
        <f t="shared" si="14"/>
        <v/>
      </c>
      <c r="Z1459" s="11"/>
      <c r="AG1459" s="59"/>
    </row>
    <row r="1460">
      <c r="A1460" s="8"/>
      <c r="B1460" s="56" t="str">
        <f t="shared" si="2"/>
        <v/>
      </c>
      <c r="C1460" s="105"/>
      <c r="D1460" s="10"/>
      <c r="E1460" s="59" t="str">
        <f t="array" ref="E1460">IF(COUNTA(C1460:C1644)=0,"",SUM((COUNTIF(C$4:C1460,Upgrades!$B$3:$B$13)-COUNTIF(C$4:C1460,"Sell_"&amp;Upgrades!$B$3:$B$13))*Upgrades!$D$3:$D$13))</f>
        <v/>
      </c>
      <c r="F1460" s="66" t="str">
        <f>IFERROR(__xludf.DUMMYFUNCTION("IF(COUNTA(C1460:C1644)=0,"""",IF(REGEXMATCH(INDEX(FILTER(C$4:C1460,C$4:C1460&lt;&gt;""""),ROWS(FILTER(C$4:C1460,C$4:C1460&lt;&gt;""""))),""^Sell_""),INDEX(FILTER(F$4:F1459,C$4:C1459&lt;&gt;""""),ROWS(FILTER(C$4:C1459,C$4:C1459&lt;&gt;""""))),$AC$5+E1460))"),"")</f>
        <v/>
      </c>
      <c r="G1460" s="10" t="str">
        <f>IFERROR(__xludf.DUMMYFUNCTION("IF(COUNTA(C1460:C1644)=0,"""",IF(C1460="""",0,IF(REGEXMATCH(C1460,""^Sell_""),-ROUNDDOWN(ROUNDUP(INDEX(Upgrades!$C$3:$C$13,MATCH(SUBSTITUTE(C1460,""Sell_"",""""),Upgrades!$B$3:$B$13,0))*1.15^(COUNTIF(C$4:C1459,SUBSTITUTE(C1460,""Sell_"",""""))-COUNTIF(C$4"&amp;":C1459,""Sell_""&amp;SUBSTITUTE(C1460,""Sell_"",""""))))/2),ROUNDUP(INDEX(Upgrades!$C$3:$C$13,MATCH(C1460,Upgrades!$B$3:$B$13,0))*1.15^(COUNTIF(C$4:C1459,C1460)-COUNTIF(C$4:C1459,""Sell_""&amp;C1460))))))"),"")</f>
        <v/>
      </c>
      <c r="H1460" s="10" t="str">
        <f t="shared" si="3"/>
        <v/>
      </c>
      <c r="I1460" s="68" t="str">
        <f t="shared" si="4"/>
        <v/>
      </c>
      <c r="J1460" s="59" t="str">
        <f t="shared" si="5"/>
        <v/>
      </c>
      <c r="K1460" s="69" t="str">
        <f t="shared" si="6"/>
        <v/>
      </c>
      <c r="L1460" s="60" t="str">
        <f t="shared" si="7"/>
        <v/>
      </c>
      <c r="M1460" s="61" t="str">
        <f>IFERROR(__xludf.DUMMYFUNCTION("IFS(AND(COUNTA(C1460:C1644)=0,COUNTA(Q1460:Q1644)=0),"""",OR(AND(K1460&gt;=1000000000,OR(Y1460&gt;=1000000000,COUNTA(Q1460:Q1644)=0)),OR(Y1460&gt;=1000000000,AND(COUNTA(C1460:C1644)=0,P$3=TRUE))),
ROUNDDOWN((AB$1-AC$1)*MAX(INDEX(T$4:T1644,MATCH(LARGE(FILTER(Y$4:Y1"&amp;"644,Y$4:Y1644&lt;1000000000),1),Y$4:Y1644)),INDEX(F$4:F1644,MATCH(LARGE(FILTER(K$4:K1644,K$4:K1644&lt;1000000000),1),K$4:K1644)))),AND(K1460&lt;1000000000,COUNTA(C1460:C1644)&gt;0,P$3=FALSE),
ROUNDDOWN(INDEX(Y$4:Y1644,MATCH(LARGE(FILTER(W$4:W1644,W$4:W1644&lt;=I1460),1)"&amp;",W$4:W1644))+(I1460-LARGE(FILTER(W$4:W1644,W$4:W1644&lt;=I1460),1))*INDEX(T$4:T1644,MATCH(LARGE(FILTER(W$4:W1644,W$4:W1644&lt;=I1460),1),W$4:W1644))-K1460),1,
ROUNDDOWN(Y1460-INDEX(K$4:K1644,MATCH(LARGE(FILTER(I$4:I1644,I$4:I1644&lt;=W1460),1),I$4:I1644))-(W1460-L"&amp;"ARGE(FILTER(I$4:I1644,I$4:I1644&lt;=W1460),1))*INDEX(F$4:F1644,MATCH(LARGE(FILTER(I$4:I1644,I$4:I1644&lt;=W1460),1),I$4:I1644))))"),"")</f>
        <v/>
      </c>
      <c r="N1460" s="60" t="str">
        <f t="shared" si="8"/>
        <v/>
      </c>
      <c r="O1460" s="61" t="str">
        <f t="shared" si="9"/>
        <v/>
      </c>
      <c r="P1460" s="56" t="str">
        <f t="shared" si="10"/>
        <v/>
      </c>
      <c r="Q1460" s="105"/>
      <c r="R1460" s="10"/>
      <c r="S1460" s="59" t="str">
        <f t="array" ref="S1460">IF(COUNTA(Q1460:Q1644)=0,"",SUM((COUNTIF(Q$4:Q1460,Upgrades!$B$3:$B$13)-COUNTIF(Q$4:Q1460,"Sell_"&amp;Upgrades!$B$3:$B$13))*Upgrades!$D$3:$D$13))</f>
        <v/>
      </c>
      <c r="T1460" s="66" t="str">
        <f>IFERROR(__xludf.DUMMYFUNCTION("IF(COUNTA(Q1460:Q1644)=0,"""",IF(REGEXMATCH(INDEX(FILTER(Q$4:Q1460,Q$4:Q1460&lt;&gt;""""),ROWS(FILTER(Q$4:Q1460,Q$4:Q1460&lt;&gt;""""))),""^Sell_""),INDEX(FILTER(T$4:T1459,Q$4:Q1459&lt;&gt;""""),ROWS(FILTER(Q$4:Q1459,Q$4:Q1459&lt;&gt;""""))),$AD$5+S1460))"),"")</f>
        <v/>
      </c>
      <c r="U1460" s="10" t="str">
        <f>IFERROR(__xludf.DUMMYFUNCTION("IF(COUNTA(Q1460:Q1644)=0,"""",IF(Q1460="""",0,IF(REGEXMATCH(Q1460,""^Sell_""),-ROUNDDOWN(ROUNDUP(INDEX(Upgrades!$C$3:$C$13,MATCH(SUBSTITUTE(Q1460,""Sell_"",""""),Upgrades!$B$3:$B$13,0))*1.15^(COUNTIF(Q$4:Q1459,SUBSTITUTE(Q1460,""Sell_"",""""))-COUNTIF(Q$4"&amp;":Q1459,""Sell_""&amp;SUBSTITUTE(Q1460,""Sell_"",""""))))/2),ROUNDUP(INDEX(Upgrades!$C$3:$C$13,MATCH(Q1460,Upgrades!$B$3:$B$13,0))*1.15^(COUNTIF(Q$4:Q1459,Q1460)-COUNTIF(Q$4:Q1459,""Sell_""&amp;Q1460))))))"),"")</f>
        <v/>
      </c>
      <c r="V1460" s="10" t="str">
        <f t="shared" si="11"/>
        <v/>
      </c>
      <c r="W1460" s="68" t="str">
        <f t="shared" si="12"/>
        <v/>
      </c>
      <c r="X1460" s="59" t="str">
        <f t="shared" si="13"/>
        <v/>
      </c>
      <c r="Y1460" s="69" t="str">
        <f t="shared" si="14"/>
        <v/>
      </c>
      <c r="Z1460" s="11"/>
      <c r="AG1460" s="59"/>
    </row>
    <row r="1461">
      <c r="A1461" s="8"/>
      <c r="B1461" s="56" t="str">
        <f t="shared" si="2"/>
        <v/>
      </c>
      <c r="C1461" s="105"/>
      <c r="D1461" s="10"/>
      <c r="E1461" s="59" t="str">
        <f t="array" ref="E1461">IF(COUNTA(C1461:C1644)=0,"",SUM((COUNTIF(C$4:C1461,Upgrades!$B$3:$B$13)-COUNTIF(C$4:C1461,"Sell_"&amp;Upgrades!$B$3:$B$13))*Upgrades!$D$3:$D$13))</f>
        <v/>
      </c>
      <c r="F1461" s="66" t="str">
        <f>IFERROR(__xludf.DUMMYFUNCTION("IF(COUNTA(C1461:C1644)=0,"""",IF(REGEXMATCH(INDEX(FILTER(C$4:C1461,C$4:C1461&lt;&gt;""""),ROWS(FILTER(C$4:C1461,C$4:C1461&lt;&gt;""""))),""^Sell_""),INDEX(FILTER(F$4:F1460,C$4:C1460&lt;&gt;""""),ROWS(FILTER(C$4:C1460,C$4:C1460&lt;&gt;""""))),$AC$5+E1461))"),"")</f>
        <v/>
      </c>
      <c r="G1461" s="10" t="str">
        <f>IFERROR(__xludf.DUMMYFUNCTION("IF(COUNTA(C1461:C1644)=0,"""",IF(C1461="""",0,IF(REGEXMATCH(C1461,""^Sell_""),-ROUNDDOWN(ROUNDUP(INDEX(Upgrades!$C$3:$C$13,MATCH(SUBSTITUTE(C1461,""Sell_"",""""),Upgrades!$B$3:$B$13,0))*1.15^(COUNTIF(C$4:C1460,SUBSTITUTE(C1461,""Sell_"",""""))-COUNTIF(C$4"&amp;":C1460,""Sell_""&amp;SUBSTITUTE(C1461,""Sell_"",""""))))/2),ROUNDUP(INDEX(Upgrades!$C$3:$C$13,MATCH(C1461,Upgrades!$B$3:$B$13,0))*1.15^(COUNTIF(C$4:C1460,C1461)-COUNTIF(C$4:C1460,""Sell_""&amp;C1461))))))"),"")</f>
        <v/>
      </c>
      <c r="H1461" s="10" t="str">
        <f t="shared" si="3"/>
        <v/>
      </c>
      <c r="I1461" s="68" t="str">
        <f t="shared" si="4"/>
        <v/>
      </c>
      <c r="J1461" s="59" t="str">
        <f t="shared" si="5"/>
        <v/>
      </c>
      <c r="K1461" s="69" t="str">
        <f t="shared" si="6"/>
        <v/>
      </c>
      <c r="L1461" s="60" t="str">
        <f t="shared" si="7"/>
        <v/>
      </c>
      <c r="M1461" s="61" t="str">
        <f>IFERROR(__xludf.DUMMYFUNCTION("IFS(AND(COUNTA(C1461:C1644)=0,COUNTA(Q1461:Q1644)=0),"""",OR(AND(K1461&gt;=1000000000,OR(Y1461&gt;=1000000000,COUNTA(Q1461:Q1644)=0)),OR(Y1461&gt;=1000000000,AND(COUNTA(C1461:C1644)=0,P$3=TRUE))),
ROUNDDOWN((AB$1-AC$1)*MAX(INDEX(T$4:T1644,MATCH(LARGE(FILTER(Y$4:Y1"&amp;"644,Y$4:Y1644&lt;1000000000),1),Y$4:Y1644)),INDEX(F$4:F1644,MATCH(LARGE(FILTER(K$4:K1644,K$4:K1644&lt;1000000000),1),K$4:K1644)))),AND(K1461&lt;1000000000,COUNTA(C1461:C1644)&gt;0,P$3=FALSE),
ROUNDDOWN(INDEX(Y$4:Y1644,MATCH(LARGE(FILTER(W$4:W1644,W$4:W1644&lt;=I1461),1)"&amp;",W$4:W1644))+(I1461-LARGE(FILTER(W$4:W1644,W$4:W1644&lt;=I1461),1))*INDEX(T$4:T1644,MATCH(LARGE(FILTER(W$4:W1644,W$4:W1644&lt;=I1461),1),W$4:W1644))-K1461),1,
ROUNDDOWN(Y1461-INDEX(K$4:K1644,MATCH(LARGE(FILTER(I$4:I1644,I$4:I1644&lt;=W1461),1),I$4:I1644))-(W1461-L"&amp;"ARGE(FILTER(I$4:I1644,I$4:I1644&lt;=W1461),1))*INDEX(F$4:F1644,MATCH(LARGE(FILTER(I$4:I1644,I$4:I1644&lt;=W1461),1),I$4:I1644))))"),"")</f>
        <v/>
      </c>
      <c r="N1461" s="60" t="str">
        <f t="shared" si="8"/>
        <v/>
      </c>
      <c r="O1461" s="61" t="str">
        <f t="shared" si="9"/>
        <v/>
      </c>
      <c r="P1461" s="56" t="str">
        <f t="shared" si="10"/>
        <v/>
      </c>
      <c r="Q1461" s="105"/>
      <c r="R1461" s="10"/>
      <c r="S1461" s="59" t="str">
        <f t="array" ref="S1461">IF(COUNTA(Q1461:Q1644)=0,"",SUM((COUNTIF(Q$4:Q1461,Upgrades!$B$3:$B$13)-COUNTIF(Q$4:Q1461,"Sell_"&amp;Upgrades!$B$3:$B$13))*Upgrades!$D$3:$D$13))</f>
        <v/>
      </c>
      <c r="T1461" s="66" t="str">
        <f>IFERROR(__xludf.DUMMYFUNCTION("IF(COUNTA(Q1461:Q1644)=0,"""",IF(REGEXMATCH(INDEX(FILTER(Q$4:Q1461,Q$4:Q1461&lt;&gt;""""),ROWS(FILTER(Q$4:Q1461,Q$4:Q1461&lt;&gt;""""))),""^Sell_""),INDEX(FILTER(T$4:T1460,Q$4:Q1460&lt;&gt;""""),ROWS(FILTER(Q$4:Q1460,Q$4:Q1460&lt;&gt;""""))),$AD$5+S1461))"),"")</f>
        <v/>
      </c>
      <c r="U1461" s="10" t="str">
        <f>IFERROR(__xludf.DUMMYFUNCTION("IF(COUNTA(Q1461:Q1644)=0,"""",IF(Q1461="""",0,IF(REGEXMATCH(Q1461,""^Sell_""),-ROUNDDOWN(ROUNDUP(INDEX(Upgrades!$C$3:$C$13,MATCH(SUBSTITUTE(Q1461,""Sell_"",""""),Upgrades!$B$3:$B$13,0))*1.15^(COUNTIF(Q$4:Q1460,SUBSTITUTE(Q1461,""Sell_"",""""))-COUNTIF(Q$4"&amp;":Q1460,""Sell_""&amp;SUBSTITUTE(Q1461,""Sell_"",""""))))/2),ROUNDUP(INDEX(Upgrades!$C$3:$C$13,MATCH(Q1461,Upgrades!$B$3:$B$13,0))*1.15^(COUNTIF(Q$4:Q1460,Q1461)-COUNTIF(Q$4:Q1460,""Sell_""&amp;Q1461))))))"),"")</f>
        <v/>
      </c>
      <c r="V1461" s="10" t="str">
        <f t="shared" si="11"/>
        <v/>
      </c>
      <c r="W1461" s="68" t="str">
        <f t="shared" si="12"/>
        <v/>
      </c>
      <c r="X1461" s="59" t="str">
        <f t="shared" si="13"/>
        <v/>
      </c>
      <c r="Y1461" s="69" t="str">
        <f t="shared" si="14"/>
        <v/>
      </c>
      <c r="Z1461" s="11"/>
      <c r="AG1461" s="59"/>
    </row>
    <row r="1462">
      <c r="A1462" s="8"/>
      <c r="B1462" s="56" t="str">
        <f t="shared" si="2"/>
        <v/>
      </c>
      <c r="C1462" s="105"/>
      <c r="D1462" s="10"/>
      <c r="E1462" s="59" t="str">
        <f t="array" ref="E1462">IF(COUNTA(C1462:C1644)=0,"",SUM((COUNTIF(C$4:C1462,Upgrades!$B$3:$B$13)-COUNTIF(C$4:C1462,"Sell_"&amp;Upgrades!$B$3:$B$13))*Upgrades!$D$3:$D$13))</f>
        <v/>
      </c>
      <c r="F1462" s="66" t="str">
        <f>IFERROR(__xludf.DUMMYFUNCTION("IF(COUNTA(C1462:C1644)=0,"""",IF(REGEXMATCH(INDEX(FILTER(C$4:C1462,C$4:C1462&lt;&gt;""""),ROWS(FILTER(C$4:C1462,C$4:C1462&lt;&gt;""""))),""^Sell_""),INDEX(FILTER(F$4:F1461,C$4:C1461&lt;&gt;""""),ROWS(FILTER(C$4:C1461,C$4:C1461&lt;&gt;""""))),$AC$5+E1462))"),"")</f>
        <v/>
      </c>
      <c r="G1462" s="10" t="str">
        <f>IFERROR(__xludf.DUMMYFUNCTION("IF(COUNTA(C1462:C1644)=0,"""",IF(C1462="""",0,IF(REGEXMATCH(C1462,""^Sell_""),-ROUNDDOWN(ROUNDUP(INDEX(Upgrades!$C$3:$C$13,MATCH(SUBSTITUTE(C1462,""Sell_"",""""),Upgrades!$B$3:$B$13,0))*1.15^(COUNTIF(C$4:C1461,SUBSTITUTE(C1462,""Sell_"",""""))-COUNTIF(C$4"&amp;":C1461,""Sell_""&amp;SUBSTITUTE(C1462,""Sell_"",""""))))/2),ROUNDUP(INDEX(Upgrades!$C$3:$C$13,MATCH(C1462,Upgrades!$B$3:$B$13,0))*1.15^(COUNTIF(C$4:C1461,C1462)-COUNTIF(C$4:C1461,""Sell_""&amp;C1462))))))"),"")</f>
        <v/>
      </c>
      <c r="H1462" s="10" t="str">
        <f t="shared" si="3"/>
        <v/>
      </c>
      <c r="I1462" s="68" t="str">
        <f t="shared" si="4"/>
        <v/>
      </c>
      <c r="J1462" s="59" t="str">
        <f t="shared" si="5"/>
        <v/>
      </c>
      <c r="K1462" s="69" t="str">
        <f t="shared" si="6"/>
        <v/>
      </c>
      <c r="L1462" s="60" t="str">
        <f t="shared" si="7"/>
        <v/>
      </c>
      <c r="M1462" s="61" t="str">
        <f>IFERROR(__xludf.DUMMYFUNCTION("IFS(AND(COUNTA(C1462:C1644)=0,COUNTA(Q1462:Q1644)=0),"""",OR(AND(K1462&gt;=1000000000,OR(Y1462&gt;=1000000000,COUNTA(Q1462:Q1644)=0)),OR(Y1462&gt;=1000000000,AND(COUNTA(C1462:C1644)=0,P$3=TRUE))),
ROUNDDOWN((AB$1-AC$1)*MAX(INDEX(T$4:T1644,MATCH(LARGE(FILTER(Y$4:Y1"&amp;"644,Y$4:Y1644&lt;1000000000),1),Y$4:Y1644)),INDEX(F$4:F1644,MATCH(LARGE(FILTER(K$4:K1644,K$4:K1644&lt;1000000000),1),K$4:K1644)))),AND(K1462&lt;1000000000,COUNTA(C1462:C1644)&gt;0,P$3=FALSE),
ROUNDDOWN(INDEX(Y$4:Y1644,MATCH(LARGE(FILTER(W$4:W1644,W$4:W1644&lt;=I1462),1)"&amp;",W$4:W1644))+(I1462-LARGE(FILTER(W$4:W1644,W$4:W1644&lt;=I1462),1))*INDEX(T$4:T1644,MATCH(LARGE(FILTER(W$4:W1644,W$4:W1644&lt;=I1462),1),W$4:W1644))-K1462),1,
ROUNDDOWN(Y1462-INDEX(K$4:K1644,MATCH(LARGE(FILTER(I$4:I1644,I$4:I1644&lt;=W1462),1),I$4:I1644))-(W1462-L"&amp;"ARGE(FILTER(I$4:I1644,I$4:I1644&lt;=W1462),1))*INDEX(F$4:F1644,MATCH(LARGE(FILTER(I$4:I1644,I$4:I1644&lt;=W1462),1),I$4:I1644))))"),"")</f>
        <v/>
      </c>
      <c r="N1462" s="60" t="str">
        <f t="shared" si="8"/>
        <v/>
      </c>
      <c r="O1462" s="61" t="str">
        <f t="shared" si="9"/>
        <v/>
      </c>
      <c r="P1462" s="56" t="str">
        <f t="shared" si="10"/>
        <v/>
      </c>
      <c r="Q1462" s="105"/>
      <c r="R1462" s="10"/>
      <c r="S1462" s="59" t="str">
        <f t="array" ref="S1462">IF(COUNTA(Q1462:Q1644)=0,"",SUM((COUNTIF(Q$4:Q1462,Upgrades!$B$3:$B$13)-COUNTIF(Q$4:Q1462,"Sell_"&amp;Upgrades!$B$3:$B$13))*Upgrades!$D$3:$D$13))</f>
        <v/>
      </c>
      <c r="T1462" s="66" t="str">
        <f>IFERROR(__xludf.DUMMYFUNCTION("IF(COUNTA(Q1462:Q1644)=0,"""",IF(REGEXMATCH(INDEX(FILTER(Q$4:Q1462,Q$4:Q1462&lt;&gt;""""),ROWS(FILTER(Q$4:Q1462,Q$4:Q1462&lt;&gt;""""))),""^Sell_""),INDEX(FILTER(T$4:T1461,Q$4:Q1461&lt;&gt;""""),ROWS(FILTER(Q$4:Q1461,Q$4:Q1461&lt;&gt;""""))),$AD$5+S1462))"),"")</f>
        <v/>
      </c>
      <c r="U1462" s="10" t="str">
        <f>IFERROR(__xludf.DUMMYFUNCTION("IF(COUNTA(Q1462:Q1644)=0,"""",IF(Q1462="""",0,IF(REGEXMATCH(Q1462,""^Sell_""),-ROUNDDOWN(ROUNDUP(INDEX(Upgrades!$C$3:$C$13,MATCH(SUBSTITUTE(Q1462,""Sell_"",""""),Upgrades!$B$3:$B$13,0))*1.15^(COUNTIF(Q$4:Q1461,SUBSTITUTE(Q1462,""Sell_"",""""))-COUNTIF(Q$4"&amp;":Q1461,""Sell_""&amp;SUBSTITUTE(Q1462,""Sell_"",""""))))/2),ROUNDUP(INDEX(Upgrades!$C$3:$C$13,MATCH(Q1462,Upgrades!$B$3:$B$13,0))*1.15^(COUNTIF(Q$4:Q1461,Q1462)-COUNTIF(Q$4:Q1461,""Sell_""&amp;Q1462))))))"),"")</f>
        <v/>
      </c>
      <c r="V1462" s="10" t="str">
        <f t="shared" si="11"/>
        <v/>
      </c>
      <c r="W1462" s="68" t="str">
        <f t="shared" si="12"/>
        <v/>
      </c>
      <c r="X1462" s="59" t="str">
        <f t="shared" si="13"/>
        <v/>
      </c>
      <c r="Y1462" s="69" t="str">
        <f t="shared" si="14"/>
        <v/>
      </c>
      <c r="Z1462" s="11"/>
      <c r="AG1462" s="59"/>
    </row>
    <row r="1463">
      <c r="A1463" s="8"/>
      <c r="B1463" s="56" t="str">
        <f t="shared" si="2"/>
        <v/>
      </c>
      <c r="C1463" s="105"/>
      <c r="D1463" s="10"/>
      <c r="E1463" s="59" t="str">
        <f t="array" ref="E1463">IF(COUNTA(C1463:C1644)=0,"",SUM((COUNTIF(C$4:C1463,Upgrades!$B$3:$B$13)-COUNTIF(C$4:C1463,"Sell_"&amp;Upgrades!$B$3:$B$13))*Upgrades!$D$3:$D$13))</f>
        <v/>
      </c>
      <c r="F1463" s="66" t="str">
        <f>IFERROR(__xludf.DUMMYFUNCTION("IF(COUNTA(C1463:C1644)=0,"""",IF(REGEXMATCH(INDEX(FILTER(C$4:C1463,C$4:C1463&lt;&gt;""""),ROWS(FILTER(C$4:C1463,C$4:C1463&lt;&gt;""""))),""^Sell_""),INDEX(FILTER(F$4:F1462,C$4:C1462&lt;&gt;""""),ROWS(FILTER(C$4:C1462,C$4:C1462&lt;&gt;""""))),$AC$5+E1463))"),"")</f>
        <v/>
      </c>
      <c r="G1463" s="10" t="str">
        <f>IFERROR(__xludf.DUMMYFUNCTION("IF(COUNTA(C1463:C1644)=0,"""",IF(C1463="""",0,IF(REGEXMATCH(C1463,""^Sell_""),-ROUNDDOWN(ROUNDUP(INDEX(Upgrades!$C$3:$C$13,MATCH(SUBSTITUTE(C1463,""Sell_"",""""),Upgrades!$B$3:$B$13,0))*1.15^(COUNTIF(C$4:C1462,SUBSTITUTE(C1463,""Sell_"",""""))-COUNTIF(C$4"&amp;":C1462,""Sell_""&amp;SUBSTITUTE(C1463,""Sell_"",""""))))/2),ROUNDUP(INDEX(Upgrades!$C$3:$C$13,MATCH(C1463,Upgrades!$B$3:$B$13,0))*1.15^(COUNTIF(C$4:C1462,C1463)-COUNTIF(C$4:C1462,""Sell_""&amp;C1463))))))"),"")</f>
        <v/>
      </c>
      <c r="H1463" s="10" t="str">
        <f t="shared" si="3"/>
        <v/>
      </c>
      <c r="I1463" s="68" t="str">
        <f t="shared" si="4"/>
        <v/>
      </c>
      <c r="J1463" s="59" t="str">
        <f t="shared" si="5"/>
        <v/>
      </c>
      <c r="K1463" s="69" t="str">
        <f t="shared" si="6"/>
        <v/>
      </c>
      <c r="L1463" s="60" t="str">
        <f t="shared" si="7"/>
        <v/>
      </c>
      <c r="M1463" s="61" t="str">
        <f>IFERROR(__xludf.DUMMYFUNCTION("IFS(AND(COUNTA(C1463:C1644)=0,COUNTA(Q1463:Q1644)=0),"""",OR(AND(K1463&gt;=1000000000,OR(Y1463&gt;=1000000000,COUNTA(Q1463:Q1644)=0)),OR(Y1463&gt;=1000000000,AND(COUNTA(C1463:C1644)=0,P$3=TRUE))),
ROUNDDOWN((AB$1-AC$1)*MAX(INDEX(T$4:T1644,MATCH(LARGE(FILTER(Y$4:Y1"&amp;"644,Y$4:Y1644&lt;1000000000),1),Y$4:Y1644)),INDEX(F$4:F1644,MATCH(LARGE(FILTER(K$4:K1644,K$4:K1644&lt;1000000000),1),K$4:K1644)))),AND(K1463&lt;1000000000,COUNTA(C1463:C1644)&gt;0,P$3=FALSE),
ROUNDDOWN(INDEX(Y$4:Y1644,MATCH(LARGE(FILTER(W$4:W1644,W$4:W1644&lt;=I1463),1)"&amp;",W$4:W1644))+(I1463-LARGE(FILTER(W$4:W1644,W$4:W1644&lt;=I1463),1))*INDEX(T$4:T1644,MATCH(LARGE(FILTER(W$4:W1644,W$4:W1644&lt;=I1463),1),W$4:W1644))-K1463),1,
ROUNDDOWN(Y1463-INDEX(K$4:K1644,MATCH(LARGE(FILTER(I$4:I1644,I$4:I1644&lt;=W1463),1),I$4:I1644))-(W1463-L"&amp;"ARGE(FILTER(I$4:I1644,I$4:I1644&lt;=W1463),1))*INDEX(F$4:F1644,MATCH(LARGE(FILTER(I$4:I1644,I$4:I1644&lt;=W1463),1),I$4:I1644))))"),"")</f>
        <v/>
      </c>
      <c r="N1463" s="60" t="str">
        <f t="shared" si="8"/>
        <v/>
      </c>
      <c r="O1463" s="61" t="str">
        <f t="shared" si="9"/>
        <v/>
      </c>
      <c r="P1463" s="56" t="str">
        <f t="shared" si="10"/>
        <v/>
      </c>
      <c r="Q1463" s="105"/>
      <c r="R1463" s="10"/>
      <c r="S1463" s="59" t="str">
        <f t="array" ref="S1463">IF(COUNTA(Q1463:Q1644)=0,"",SUM((COUNTIF(Q$4:Q1463,Upgrades!$B$3:$B$13)-COUNTIF(Q$4:Q1463,"Sell_"&amp;Upgrades!$B$3:$B$13))*Upgrades!$D$3:$D$13))</f>
        <v/>
      </c>
      <c r="T1463" s="66" t="str">
        <f>IFERROR(__xludf.DUMMYFUNCTION("IF(COUNTA(Q1463:Q1644)=0,"""",IF(REGEXMATCH(INDEX(FILTER(Q$4:Q1463,Q$4:Q1463&lt;&gt;""""),ROWS(FILTER(Q$4:Q1463,Q$4:Q1463&lt;&gt;""""))),""^Sell_""),INDEX(FILTER(T$4:T1462,Q$4:Q1462&lt;&gt;""""),ROWS(FILTER(Q$4:Q1462,Q$4:Q1462&lt;&gt;""""))),$AD$5+S1463))"),"")</f>
        <v/>
      </c>
      <c r="U1463" s="10" t="str">
        <f>IFERROR(__xludf.DUMMYFUNCTION("IF(COUNTA(Q1463:Q1644)=0,"""",IF(Q1463="""",0,IF(REGEXMATCH(Q1463,""^Sell_""),-ROUNDDOWN(ROUNDUP(INDEX(Upgrades!$C$3:$C$13,MATCH(SUBSTITUTE(Q1463,""Sell_"",""""),Upgrades!$B$3:$B$13,0))*1.15^(COUNTIF(Q$4:Q1462,SUBSTITUTE(Q1463,""Sell_"",""""))-COUNTIF(Q$4"&amp;":Q1462,""Sell_""&amp;SUBSTITUTE(Q1463,""Sell_"",""""))))/2),ROUNDUP(INDEX(Upgrades!$C$3:$C$13,MATCH(Q1463,Upgrades!$B$3:$B$13,0))*1.15^(COUNTIF(Q$4:Q1462,Q1463)-COUNTIF(Q$4:Q1462,""Sell_""&amp;Q1463))))))"),"")</f>
        <v/>
      </c>
      <c r="V1463" s="10" t="str">
        <f t="shared" si="11"/>
        <v/>
      </c>
      <c r="W1463" s="68" t="str">
        <f t="shared" si="12"/>
        <v/>
      </c>
      <c r="X1463" s="59" t="str">
        <f t="shared" si="13"/>
        <v/>
      </c>
      <c r="Y1463" s="69" t="str">
        <f t="shared" si="14"/>
        <v/>
      </c>
      <c r="Z1463" s="11"/>
      <c r="AG1463" s="59"/>
    </row>
    <row r="1464">
      <c r="A1464" s="8"/>
      <c r="B1464" s="56" t="str">
        <f t="shared" si="2"/>
        <v/>
      </c>
      <c r="C1464" s="105"/>
      <c r="D1464" s="10"/>
      <c r="E1464" s="59" t="str">
        <f t="array" ref="E1464">IF(COUNTA(C1464:C1644)=0,"",SUM((COUNTIF(C$4:C1464,Upgrades!$B$3:$B$13)-COUNTIF(C$4:C1464,"Sell_"&amp;Upgrades!$B$3:$B$13))*Upgrades!$D$3:$D$13))</f>
        <v/>
      </c>
      <c r="F1464" s="66" t="str">
        <f>IFERROR(__xludf.DUMMYFUNCTION("IF(COUNTA(C1464:C1644)=0,"""",IF(REGEXMATCH(INDEX(FILTER(C$4:C1464,C$4:C1464&lt;&gt;""""),ROWS(FILTER(C$4:C1464,C$4:C1464&lt;&gt;""""))),""^Sell_""),INDEX(FILTER(F$4:F1463,C$4:C1463&lt;&gt;""""),ROWS(FILTER(C$4:C1463,C$4:C1463&lt;&gt;""""))),$AC$5+E1464))"),"")</f>
        <v/>
      </c>
      <c r="G1464" s="10" t="str">
        <f>IFERROR(__xludf.DUMMYFUNCTION("IF(COUNTA(C1464:C1644)=0,"""",IF(C1464="""",0,IF(REGEXMATCH(C1464,""^Sell_""),-ROUNDDOWN(ROUNDUP(INDEX(Upgrades!$C$3:$C$13,MATCH(SUBSTITUTE(C1464,""Sell_"",""""),Upgrades!$B$3:$B$13,0))*1.15^(COUNTIF(C$4:C1463,SUBSTITUTE(C1464,""Sell_"",""""))-COUNTIF(C$4"&amp;":C1463,""Sell_""&amp;SUBSTITUTE(C1464,""Sell_"",""""))))/2),ROUNDUP(INDEX(Upgrades!$C$3:$C$13,MATCH(C1464,Upgrades!$B$3:$B$13,0))*1.15^(COUNTIF(C$4:C1463,C1464)-COUNTIF(C$4:C1463,""Sell_""&amp;C1464))))))"),"")</f>
        <v/>
      </c>
      <c r="H1464" s="10" t="str">
        <f t="shared" si="3"/>
        <v/>
      </c>
      <c r="I1464" s="68" t="str">
        <f t="shared" si="4"/>
        <v/>
      </c>
      <c r="J1464" s="59" t="str">
        <f t="shared" si="5"/>
        <v/>
      </c>
      <c r="K1464" s="69" t="str">
        <f t="shared" si="6"/>
        <v/>
      </c>
      <c r="L1464" s="60" t="str">
        <f t="shared" si="7"/>
        <v/>
      </c>
      <c r="M1464" s="61" t="str">
        <f>IFERROR(__xludf.DUMMYFUNCTION("IFS(AND(COUNTA(C1464:C1644)=0,COUNTA(Q1464:Q1644)=0),"""",OR(AND(K1464&gt;=1000000000,OR(Y1464&gt;=1000000000,COUNTA(Q1464:Q1644)=0)),OR(Y1464&gt;=1000000000,AND(COUNTA(C1464:C1644)=0,P$3=TRUE))),
ROUNDDOWN((AB$1-AC$1)*MAX(INDEX(T$4:T1644,MATCH(LARGE(FILTER(Y$4:Y1"&amp;"644,Y$4:Y1644&lt;1000000000),1),Y$4:Y1644)),INDEX(F$4:F1644,MATCH(LARGE(FILTER(K$4:K1644,K$4:K1644&lt;1000000000),1),K$4:K1644)))),AND(K1464&lt;1000000000,COUNTA(C1464:C1644)&gt;0,P$3=FALSE),
ROUNDDOWN(INDEX(Y$4:Y1644,MATCH(LARGE(FILTER(W$4:W1644,W$4:W1644&lt;=I1464),1)"&amp;",W$4:W1644))+(I1464-LARGE(FILTER(W$4:W1644,W$4:W1644&lt;=I1464),1))*INDEX(T$4:T1644,MATCH(LARGE(FILTER(W$4:W1644,W$4:W1644&lt;=I1464),1),W$4:W1644))-K1464),1,
ROUNDDOWN(Y1464-INDEX(K$4:K1644,MATCH(LARGE(FILTER(I$4:I1644,I$4:I1644&lt;=W1464),1),I$4:I1644))-(W1464-L"&amp;"ARGE(FILTER(I$4:I1644,I$4:I1644&lt;=W1464),1))*INDEX(F$4:F1644,MATCH(LARGE(FILTER(I$4:I1644,I$4:I1644&lt;=W1464),1),I$4:I1644))))"),"")</f>
        <v/>
      </c>
      <c r="N1464" s="60" t="str">
        <f t="shared" si="8"/>
        <v/>
      </c>
      <c r="O1464" s="61" t="str">
        <f t="shared" si="9"/>
        <v/>
      </c>
      <c r="P1464" s="56" t="str">
        <f t="shared" si="10"/>
        <v/>
      </c>
      <c r="Q1464" s="105"/>
      <c r="R1464" s="10"/>
      <c r="S1464" s="59" t="str">
        <f t="array" ref="S1464">IF(COUNTA(Q1464:Q1644)=0,"",SUM((COUNTIF(Q$4:Q1464,Upgrades!$B$3:$B$13)-COUNTIF(Q$4:Q1464,"Sell_"&amp;Upgrades!$B$3:$B$13))*Upgrades!$D$3:$D$13))</f>
        <v/>
      </c>
      <c r="T1464" s="66" t="str">
        <f>IFERROR(__xludf.DUMMYFUNCTION("IF(COUNTA(Q1464:Q1644)=0,"""",IF(REGEXMATCH(INDEX(FILTER(Q$4:Q1464,Q$4:Q1464&lt;&gt;""""),ROWS(FILTER(Q$4:Q1464,Q$4:Q1464&lt;&gt;""""))),""^Sell_""),INDEX(FILTER(T$4:T1463,Q$4:Q1463&lt;&gt;""""),ROWS(FILTER(Q$4:Q1463,Q$4:Q1463&lt;&gt;""""))),$AD$5+S1464))"),"")</f>
        <v/>
      </c>
      <c r="U1464" s="10" t="str">
        <f>IFERROR(__xludf.DUMMYFUNCTION("IF(COUNTA(Q1464:Q1644)=0,"""",IF(Q1464="""",0,IF(REGEXMATCH(Q1464,""^Sell_""),-ROUNDDOWN(ROUNDUP(INDEX(Upgrades!$C$3:$C$13,MATCH(SUBSTITUTE(Q1464,""Sell_"",""""),Upgrades!$B$3:$B$13,0))*1.15^(COUNTIF(Q$4:Q1463,SUBSTITUTE(Q1464,""Sell_"",""""))-COUNTIF(Q$4"&amp;":Q1463,""Sell_""&amp;SUBSTITUTE(Q1464,""Sell_"",""""))))/2),ROUNDUP(INDEX(Upgrades!$C$3:$C$13,MATCH(Q1464,Upgrades!$B$3:$B$13,0))*1.15^(COUNTIF(Q$4:Q1463,Q1464)-COUNTIF(Q$4:Q1463,""Sell_""&amp;Q1464))))))"),"")</f>
        <v/>
      </c>
      <c r="V1464" s="10" t="str">
        <f t="shared" si="11"/>
        <v/>
      </c>
      <c r="W1464" s="68" t="str">
        <f t="shared" si="12"/>
        <v/>
      </c>
      <c r="X1464" s="59" t="str">
        <f t="shared" si="13"/>
        <v/>
      </c>
      <c r="Y1464" s="69" t="str">
        <f t="shared" si="14"/>
        <v/>
      </c>
      <c r="Z1464" s="11"/>
      <c r="AG1464" s="59"/>
    </row>
    <row r="1465">
      <c r="A1465" s="8"/>
      <c r="B1465" s="56" t="str">
        <f t="shared" si="2"/>
        <v/>
      </c>
      <c r="C1465" s="105"/>
      <c r="D1465" s="10"/>
      <c r="E1465" s="59" t="str">
        <f t="array" ref="E1465">IF(COUNTA(C1465:C1644)=0,"",SUM((COUNTIF(C$4:C1465,Upgrades!$B$3:$B$13)-COUNTIF(C$4:C1465,"Sell_"&amp;Upgrades!$B$3:$B$13))*Upgrades!$D$3:$D$13))</f>
        <v/>
      </c>
      <c r="F1465" s="66" t="str">
        <f>IFERROR(__xludf.DUMMYFUNCTION("IF(COUNTA(C1465:C1644)=0,"""",IF(REGEXMATCH(INDEX(FILTER(C$4:C1465,C$4:C1465&lt;&gt;""""),ROWS(FILTER(C$4:C1465,C$4:C1465&lt;&gt;""""))),""^Sell_""),INDEX(FILTER(F$4:F1464,C$4:C1464&lt;&gt;""""),ROWS(FILTER(C$4:C1464,C$4:C1464&lt;&gt;""""))),$AC$5+E1465))"),"")</f>
        <v/>
      </c>
      <c r="G1465" s="10" t="str">
        <f>IFERROR(__xludf.DUMMYFUNCTION("IF(COUNTA(C1465:C1644)=0,"""",IF(C1465="""",0,IF(REGEXMATCH(C1465,""^Sell_""),-ROUNDDOWN(ROUNDUP(INDEX(Upgrades!$C$3:$C$13,MATCH(SUBSTITUTE(C1465,""Sell_"",""""),Upgrades!$B$3:$B$13,0))*1.15^(COUNTIF(C$4:C1464,SUBSTITUTE(C1465,""Sell_"",""""))-COUNTIF(C$4"&amp;":C1464,""Sell_""&amp;SUBSTITUTE(C1465,""Sell_"",""""))))/2),ROUNDUP(INDEX(Upgrades!$C$3:$C$13,MATCH(C1465,Upgrades!$B$3:$B$13,0))*1.15^(COUNTIF(C$4:C1464,C1465)-COUNTIF(C$4:C1464,""Sell_""&amp;C1465))))))"),"")</f>
        <v/>
      </c>
      <c r="H1465" s="10" t="str">
        <f t="shared" si="3"/>
        <v/>
      </c>
      <c r="I1465" s="68" t="str">
        <f t="shared" si="4"/>
        <v/>
      </c>
      <c r="J1465" s="59" t="str">
        <f t="shared" si="5"/>
        <v/>
      </c>
      <c r="K1465" s="69" t="str">
        <f t="shared" si="6"/>
        <v/>
      </c>
      <c r="L1465" s="60" t="str">
        <f t="shared" si="7"/>
        <v/>
      </c>
      <c r="M1465" s="61" t="str">
        <f>IFERROR(__xludf.DUMMYFUNCTION("IFS(AND(COUNTA(C1465:C1644)=0,COUNTA(Q1465:Q1644)=0),"""",OR(AND(K1465&gt;=1000000000,OR(Y1465&gt;=1000000000,COUNTA(Q1465:Q1644)=0)),OR(Y1465&gt;=1000000000,AND(COUNTA(C1465:C1644)=0,P$3=TRUE))),
ROUNDDOWN((AB$1-AC$1)*MAX(INDEX(T$4:T1644,MATCH(LARGE(FILTER(Y$4:Y1"&amp;"644,Y$4:Y1644&lt;1000000000),1),Y$4:Y1644)),INDEX(F$4:F1644,MATCH(LARGE(FILTER(K$4:K1644,K$4:K1644&lt;1000000000),1),K$4:K1644)))),AND(K1465&lt;1000000000,COUNTA(C1465:C1644)&gt;0,P$3=FALSE),
ROUNDDOWN(INDEX(Y$4:Y1644,MATCH(LARGE(FILTER(W$4:W1644,W$4:W1644&lt;=I1465),1)"&amp;",W$4:W1644))+(I1465-LARGE(FILTER(W$4:W1644,W$4:W1644&lt;=I1465),1))*INDEX(T$4:T1644,MATCH(LARGE(FILTER(W$4:W1644,W$4:W1644&lt;=I1465),1),W$4:W1644))-K1465),1,
ROUNDDOWN(Y1465-INDEX(K$4:K1644,MATCH(LARGE(FILTER(I$4:I1644,I$4:I1644&lt;=W1465),1),I$4:I1644))-(W1465-L"&amp;"ARGE(FILTER(I$4:I1644,I$4:I1644&lt;=W1465),1))*INDEX(F$4:F1644,MATCH(LARGE(FILTER(I$4:I1644,I$4:I1644&lt;=W1465),1),I$4:I1644))))"),"")</f>
        <v/>
      </c>
      <c r="N1465" s="60" t="str">
        <f t="shared" si="8"/>
        <v/>
      </c>
      <c r="O1465" s="61" t="str">
        <f t="shared" si="9"/>
        <v/>
      </c>
      <c r="P1465" s="56" t="str">
        <f t="shared" si="10"/>
        <v/>
      </c>
      <c r="Q1465" s="105"/>
      <c r="R1465" s="10"/>
      <c r="S1465" s="59" t="str">
        <f t="array" ref="S1465">IF(COUNTA(Q1465:Q1644)=0,"",SUM((COUNTIF(Q$4:Q1465,Upgrades!$B$3:$B$13)-COUNTIF(Q$4:Q1465,"Sell_"&amp;Upgrades!$B$3:$B$13))*Upgrades!$D$3:$D$13))</f>
        <v/>
      </c>
      <c r="T1465" s="66" t="str">
        <f>IFERROR(__xludf.DUMMYFUNCTION("IF(COUNTA(Q1465:Q1644)=0,"""",IF(REGEXMATCH(INDEX(FILTER(Q$4:Q1465,Q$4:Q1465&lt;&gt;""""),ROWS(FILTER(Q$4:Q1465,Q$4:Q1465&lt;&gt;""""))),""^Sell_""),INDEX(FILTER(T$4:T1464,Q$4:Q1464&lt;&gt;""""),ROWS(FILTER(Q$4:Q1464,Q$4:Q1464&lt;&gt;""""))),$AD$5+S1465))"),"")</f>
        <v/>
      </c>
      <c r="U1465" s="10" t="str">
        <f>IFERROR(__xludf.DUMMYFUNCTION("IF(COUNTA(Q1465:Q1644)=0,"""",IF(Q1465="""",0,IF(REGEXMATCH(Q1465,""^Sell_""),-ROUNDDOWN(ROUNDUP(INDEX(Upgrades!$C$3:$C$13,MATCH(SUBSTITUTE(Q1465,""Sell_"",""""),Upgrades!$B$3:$B$13,0))*1.15^(COUNTIF(Q$4:Q1464,SUBSTITUTE(Q1465,""Sell_"",""""))-COUNTIF(Q$4"&amp;":Q1464,""Sell_""&amp;SUBSTITUTE(Q1465,""Sell_"",""""))))/2),ROUNDUP(INDEX(Upgrades!$C$3:$C$13,MATCH(Q1465,Upgrades!$B$3:$B$13,0))*1.15^(COUNTIF(Q$4:Q1464,Q1465)-COUNTIF(Q$4:Q1464,""Sell_""&amp;Q1465))))))"),"")</f>
        <v/>
      </c>
      <c r="V1465" s="10" t="str">
        <f t="shared" si="11"/>
        <v/>
      </c>
      <c r="W1465" s="68" t="str">
        <f t="shared" si="12"/>
        <v/>
      </c>
      <c r="X1465" s="59" t="str">
        <f t="shared" si="13"/>
        <v/>
      </c>
      <c r="Y1465" s="69" t="str">
        <f t="shared" si="14"/>
        <v/>
      </c>
      <c r="Z1465" s="11"/>
      <c r="AG1465" s="59"/>
    </row>
    <row r="1466">
      <c r="A1466" s="8"/>
      <c r="B1466" s="56" t="str">
        <f t="shared" si="2"/>
        <v/>
      </c>
      <c r="C1466" s="105"/>
      <c r="D1466" s="10"/>
      <c r="E1466" s="59" t="str">
        <f t="array" ref="E1466">IF(COUNTA(C1466:C1644)=0,"",SUM((COUNTIF(C$4:C1466,Upgrades!$B$3:$B$13)-COUNTIF(C$4:C1466,"Sell_"&amp;Upgrades!$B$3:$B$13))*Upgrades!$D$3:$D$13))</f>
        <v/>
      </c>
      <c r="F1466" s="66" t="str">
        <f>IFERROR(__xludf.DUMMYFUNCTION("IF(COUNTA(C1466:C1644)=0,"""",IF(REGEXMATCH(INDEX(FILTER(C$4:C1466,C$4:C1466&lt;&gt;""""),ROWS(FILTER(C$4:C1466,C$4:C1466&lt;&gt;""""))),""^Sell_""),INDEX(FILTER(F$4:F1465,C$4:C1465&lt;&gt;""""),ROWS(FILTER(C$4:C1465,C$4:C1465&lt;&gt;""""))),$AC$5+E1466))"),"")</f>
        <v/>
      </c>
      <c r="G1466" s="10" t="str">
        <f>IFERROR(__xludf.DUMMYFUNCTION("IF(COUNTA(C1466:C1644)=0,"""",IF(C1466="""",0,IF(REGEXMATCH(C1466,""^Sell_""),-ROUNDDOWN(ROUNDUP(INDEX(Upgrades!$C$3:$C$13,MATCH(SUBSTITUTE(C1466,""Sell_"",""""),Upgrades!$B$3:$B$13,0))*1.15^(COUNTIF(C$4:C1465,SUBSTITUTE(C1466,""Sell_"",""""))-COUNTIF(C$4"&amp;":C1465,""Sell_""&amp;SUBSTITUTE(C1466,""Sell_"",""""))))/2),ROUNDUP(INDEX(Upgrades!$C$3:$C$13,MATCH(C1466,Upgrades!$B$3:$B$13,0))*1.15^(COUNTIF(C$4:C1465,C1466)-COUNTIF(C$4:C1465,""Sell_""&amp;C1466))))))"),"")</f>
        <v/>
      </c>
      <c r="H1466" s="10" t="str">
        <f t="shared" si="3"/>
        <v/>
      </c>
      <c r="I1466" s="68" t="str">
        <f t="shared" si="4"/>
        <v/>
      </c>
      <c r="J1466" s="59" t="str">
        <f t="shared" si="5"/>
        <v/>
      </c>
      <c r="K1466" s="69" t="str">
        <f t="shared" si="6"/>
        <v/>
      </c>
      <c r="L1466" s="60" t="str">
        <f t="shared" si="7"/>
        <v/>
      </c>
      <c r="M1466" s="61" t="str">
        <f>IFERROR(__xludf.DUMMYFUNCTION("IFS(AND(COUNTA(C1466:C1644)=0,COUNTA(Q1466:Q1644)=0),"""",OR(AND(K1466&gt;=1000000000,OR(Y1466&gt;=1000000000,COUNTA(Q1466:Q1644)=0)),OR(Y1466&gt;=1000000000,AND(COUNTA(C1466:C1644)=0,P$3=TRUE))),
ROUNDDOWN((AB$1-AC$1)*MAX(INDEX(T$4:T1644,MATCH(LARGE(FILTER(Y$4:Y1"&amp;"644,Y$4:Y1644&lt;1000000000),1),Y$4:Y1644)),INDEX(F$4:F1644,MATCH(LARGE(FILTER(K$4:K1644,K$4:K1644&lt;1000000000),1),K$4:K1644)))),AND(K1466&lt;1000000000,COUNTA(C1466:C1644)&gt;0,P$3=FALSE),
ROUNDDOWN(INDEX(Y$4:Y1644,MATCH(LARGE(FILTER(W$4:W1644,W$4:W1644&lt;=I1466),1)"&amp;",W$4:W1644))+(I1466-LARGE(FILTER(W$4:W1644,W$4:W1644&lt;=I1466),1))*INDEX(T$4:T1644,MATCH(LARGE(FILTER(W$4:W1644,W$4:W1644&lt;=I1466),1),W$4:W1644))-K1466),1,
ROUNDDOWN(Y1466-INDEX(K$4:K1644,MATCH(LARGE(FILTER(I$4:I1644,I$4:I1644&lt;=W1466),1),I$4:I1644))-(W1466-L"&amp;"ARGE(FILTER(I$4:I1644,I$4:I1644&lt;=W1466),1))*INDEX(F$4:F1644,MATCH(LARGE(FILTER(I$4:I1644,I$4:I1644&lt;=W1466),1),I$4:I1644))))"),"")</f>
        <v/>
      </c>
      <c r="N1466" s="60" t="str">
        <f t="shared" si="8"/>
        <v/>
      </c>
      <c r="O1466" s="61" t="str">
        <f t="shared" si="9"/>
        <v/>
      </c>
      <c r="P1466" s="56" t="str">
        <f t="shared" si="10"/>
        <v/>
      </c>
      <c r="Q1466" s="105"/>
      <c r="R1466" s="10"/>
      <c r="S1466" s="59" t="str">
        <f t="array" ref="S1466">IF(COUNTA(Q1466:Q1644)=0,"",SUM((COUNTIF(Q$4:Q1466,Upgrades!$B$3:$B$13)-COUNTIF(Q$4:Q1466,"Sell_"&amp;Upgrades!$B$3:$B$13))*Upgrades!$D$3:$D$13))</f>
        <v/>
      </c>
      <c r="T1466" s="66" t="str">
        <f>IFERROR(__xludf.DUMMYFUNCTION("IF(COUNTA(Q1466:Q1644)=0,"""",IF(REGEXMATCH(INDEX(FILTER(Q$4:Q1466,Q$4:Q1466&lt;&gt;""""),ROWS(FILTER(Q$4:Q1466,Q$4:Q1466&lt;&gt;""""))),""^Sell_""),INDEX(FILTER(T$4:T1465,Q$4:Q1465&lt;&gt;""""),ROWS(FILTER(Q$4:Q1465,Q$4:Q1465&lt;&gt;""""))),$AD$5+S1466))"),"")</f>
        <v/>
      </c>
      <c r="U1466" s="10" t="str">
        <f>IFERROR(__xludf.DUMMYFUNCTION("IF(COUNTA(Q1466:Q1644)=0,"""",IF(Q1466="""",0,IF(REGEXMATCH(Q1466,""^Sell_""),-ROUNDDOWN(ROUNDUP(INDEX(Upgrades!$C$3:$C$13,MATCH(SUBSTITUTE(Q1466,""Sell_"",""""),Upgrades!$B$3:$B$13,0))*1.15^(COUNTIF(Q$4:Q1465,SUBSTITUTE(Q1466,""Sell_"",""""))-COUNTIF(Q$4"&amp;":Q1465,""Sell_""&amp;SUBSTITUTE(Q1466,""Sell_"",""""))))/2),ROUNDUP(INDEX(Upgrades!$C$3:$C$13,MATCH(Q1466,Upgrades!$B$3:$B$13,0))*1.15^(COUNTIF(Q$4:Q1465,Q1466)-COUNTIF(Q$4:Q1465,""Sell_""&amp;Q1466))))))"),"")</f>
        <v/>
      </c>
      <c r="V1466" s="10" t="str">
        <f t="shared" si="11"/>
        <v/>
      </c>
      <c r="W1466" s="68" t="str">
        <f t="shared" si="12"/>
        <v/>
      </c>
      <c r="X1466" s="59" t="str">
        <f t="shared" si="13"/>
        <v/>
      </c>
      <c r="Y1466" s="69" t="str">
        <f t="shared" si="14"/>
        <v/>
      </c>
      <c r="Z1466" s="11"/>
      <c r="AG1466" s="59"/>
    </row>
    <row r="1467">
      <c r="A1467" s="8"/>
      <c r="B1467" s="56" t="str">
        <f t="shared" si="2"/>
        <v/>
      </c>
      <c r="C1467" s="105"/>
      <c r="D1467" s="10"/>
      <c r="E1467" s="59" t="str">
        <f t="array" ref="E1467">IF(COUNTA(C1467:C1644)=0,"",SUM((COUNTIF(C$4:C1467,Upgrades!$B$3:$B$13)-COUNTIF(C$4:C1467,"Sell_"&amp;Upgrades!$B$3:$B$13))*Upgrades!$D$3:$D$13))</f>
        <v/>
      </c>
      <c r="F1467" s="66" t="str">
        <f>IFERROR(__xludf.DUMMYFUNCTION("IF(COUNTA(C1467:C1644)=0,"""",IF(REGEXMATCH(INDEX(FILTER(C$4:C1467,C$4:C1467&lt;&gt;""""),ROWS(FILTER(C$4:C1467,C$4:C1467&lt;&gt;""""))),""^Sell_""),INDEX(FILTER(F$4:F1466,C$4:C1466&lt;&gt;""""),ROWS(FILTER(C$4:C1466,C$4:C1466&lt;&gt;""""))),$AC$5+E1467))"),"")</f>
        <v/>
      </c>
      <c r="G1467" s="10" t="str">
        <f>IFERROR(__xludf.DUMMYFUNCTION("IF(COUNTA(C1467:C1644)=0,"""",IF(C1467="""",0,IF(REGEXMATCH(C1467,""^Sell_""),-ROUNDDOWN(ROUNDUP(INDEX(Upgrades!$C$3:$C$13,MATCH(SUBSTITUTE(C1467,""Sell_"",""""),Upgrades!$B$3:$B$13,0))*1.15^(COUNTIF(C$4:C1466,SUBSTITUTE(C1467,""Sell_"",""""))-COUNTIF(C$4"&amp;":C1466,""Sell_""&amp;SUBSTITUTE(C1467,""Sell_"",""""))))/2),ROUNDUP(INDEX(Upgrades!$C$3:$C$13,MATCH(C1467,Upgrades!$B$3:$B$13,0))*1.15^(COUNTIF(C$4:C1466,C1467)-COUNTIF(C$4:C1466,""Sell_""&amp;C1467))))))"),"")</f>
        <v/>
      </c>
      <c r="H1467" s="10" t="str">
        <f t="shared" si="3"/>
        <v/>
      </c>
      <c r="I1467" s="68" t="str">
        <f t="shared" si="4"/>
        <v/>
      </c>
      <c r="J1467" s="59" t="str">
        <f t="shared" si="5"/>
        <v/>
      </c>
      <c r="K1467" s="69" t="str">
        <f t="shared" si="6"/>
        <v/>
      </c>
      <c r="L1467" s="60" t="str">
        <f t="shared" si="7"/>
        <v/>
      </c>
      <c r="M1467" s="61" t="str">
        <f>IFERROR(__xludf.DUMMYFUNCTION("IFS(AND(COUNTA(C1467:C1644)=0,COUNTA(Q1467:Q1644)=0),"""",OR(AND(K1467&gt;=1000000000,OR(Y1467&gt;=1000000000,COUNTA(Q1467:Q1644)=0)),OR(Y1467&gt;=1000000000,AND(COUNTA(C1467:C1644)=0,P$3=TRUE))),
ROUNDDOWN((AB$1-AC$1)*MAX(INDEX(T$4:T1644,MATCH(LARGE(FILTER(Y$4:Y1"&amp;"644,Y$4:Y1644&lt;1000000000),1),Y$4:Y1644)),INDEX(F$4:F1644,MATCH(LARGE(FILTER(K$4:K1644,K$4:K1644&lt;1000000000),1),K$4:K1644)))),AND(K1467&lt;1000000000,COUNTA(C1467:C1644)&gt;0,P$3=FALSE),
ROUNDDOWN(INDEX(Y$4:Y1644,MATCH(LARGE(FILTER(W$4:W1644,W$4:W1644&lt;=I1467),1)"&amp;",W$4:W1644))+(I1467-LARGE(FILTER(W$4:W1644,W$4:W1644&lt;=I1467),1))*INDEX(T$4:T1644,MATCH(LARGE(FILTER(W$4:W1644,W$4:W1644&lt;=I1467),1),W$4:W1644))-K1467),1,
ROUNDDOWN(Y1467-INDEX(K$4:K1644,MATCH(LARGE(FILTER(I$4:I1644,I$4:I1644&lt;=W1467),1),I$4:I1644))-(W1467-L"&amp;"ARGE(FILTER(I$4:I1644,I$4:I1644&lt;=W1467),1))*INDEX(F$4:F1644,MATCH(LARGE(FILTER(I$4:I1644,I$4:I1644&lt;=W1467),1),I$4:I1644))))"),"")</f>
        <v/>
      </c>
      <c r="N1467" s="60" t="str">
        <f t="shared" si="8"/>
        <v/>
      </c>
      <c r="O1467" s="61" t="str">
        <f t="shared" si="9"/>
        <v/>
      </c>
      <c r="P1467" s="56" t="str">
        <f t="shared" si="10"/>
        <v/>
      </c>
      <c r="Q1467" s="105"/>
      <c r="R1467" s="10"/>
      <c r="S1467" s="59" t="str">
        <f t="array" ref="S1467">IF(COUNTA(Q1467:Q1644)=0,"",SUM((COUNTIF(Q$4:Q1467,Upgrades!$B$3:$B$13)-COUNTIF(Q$4:Q1467,"Sell_"&amp;Upgrades!$B$3:$B$13))*Upgrades!$D$3:$D$13))</f>
        <v/>
      </c>
      <c r="T1467" s="66" t="str">
        <f>IFERROR(__xludf.DUMMYFUNCTION("IF(COUNTA(Q1467:Q1644)=0,"""",IF(REGEXMATCH(INDEX(FILTER(Q$4:Q1467,Q$4:Q1467&lt;&gt;""""),ROWS(FILTER(Q$4:Q1467,Q$4:Q1467&lt;&gt;""""))),""^Sell_""),INDEX(FILTER(T$4:T1466,Q$4:Q1466&lt;&gt;""""),ROWS(FILTER(Q$4:Q1466,Q$4:Q1466&lt;&gt;""""))),$AD$5+S1467))"),"")</f>
        <v/>
      </c>
      <c r="U1467" s="10" t="str">
        <f>IFERROR(__xludf.DUMMYFUNCTION("IF(COUNTA(Q1467:Q1644)=0,"""",IF(Q1467="""",0,IF(REGEXMATCH(Q1467,""^Sell_""),-ROUNDDOWN(ROUNDUP(INDEX(Upgrades!$C$3:$C$13,MATCH(SUBSTITUTE(Q1467,""Sell_"",""""),Upgrades!$B$3:$B$13,0))*1.15^(COUNTIF(Q$4:Q1466,SUBSTITUTE(Q1467,""Sell_"",""""))-COUNTIF(Q$4"&amp;":Q1466,""Sell_""&amp;SUBSTITUTE(Q1467,""Sell_"",""""))))/2),ROUNDUP(INDEX(Upgrades!$C$3:$C$13,MATCH(Q1467,Upgrades!$B$3:$B$13,0))*1.15^(COUNTIF(Q$4:Q1466,Q1467)-COUNTIF(Q$4:Q1466,""Sell_""&amp;Q1467))))))"),"")</f>
        <v/>
      </c>
      <c r="V1467" s="10" t="str">
        <f t="shared" si="11"/>
        <v/>
      </c>
      <c r="W1467" s="68" t="str">
        <f t="shared" si="12"/>
        <v/>
      </c>
      <c r="X1467" s="59" t="str">
        <f t="shared" si="13"/>
        <v/>
      </c>
      <c r="Y1467" s="69" t="str">
        <f t="shared" si="14"/>
        <v/>
      </c>
      <c r="Z1467" s="11"/>
      <c r="AG1467" s="59"/>
    </row>
    <row r="1468">
      <c r="A1468" s="8"/>
      <c r="B1468" s="56" t="str">
        <f t="shared" si="2"/>
        <v/>
      </c>
      <c r="C1468" s="105"/>
      <c r="D1468" s="10"/>
      <c r="E1468" s="59" t="str">
        <f t="array" ref="E1468">IF(COUNTA(C1468:C1644)=0,"",SUM((COUNTIF(C$4:C1468,Upgrades!$B$3:$B$13)-COUNTIF(C$4:C1468,"Sell_"&amp;Upgrades!$B$3:$B$13))*Upgrades!$D$3:$D$13))</f>
        <v/>
      </c>
      <c r="F1468" s="66" t="str">
        <f>IFERROR(__xludf.DUMMYFUNCTION("IF(COUNTA(C1468:C1644)=0,"""",IF(REGEXMATCH(INDEX(FILTER(C$4:C1468,C$4:C1468&lt;&gt;""""),ROWS(FILTER(C$4:C1468,C$4:C1468&lt;&gt;""""))),""^Sell_""),INDEX(FILTER(F$4:F1467,C$4:C1467&lt;&gt;""""),ROWS(FILTER(C$4:C1467,C$4:C1467&lt;&gt;""""))),$AC$5+E1468))"),"")</f>
        <v/>
      </c>
      <c r="G1468" s="10" t="str">
        <f>IFERROR(__xludf.DUMMYFUNCTION("IF(COUNTA(C1468:C1644)=0,"""",IF(C1468="""",0,IF(REGEXMATCH(C1468,""^Sell_""),-ROUNDDOWN(ROUNDUP(INDEX(Upgrades!$C$3:$C$13,MATCH(SUBSTITUTE(C1468,""Sell_"",""""),Upgrades!$B$3:$B$13,0))*1.15^(COUNTIF(C$4:C1467,SUBSTITUTE(C1468,""Sell_"",""""))-COUNTIF(C$4"&amp;":C1467,""Sell_""&amp;SUBSTITUTE(C1468,""Sell_"",""""))))/2),ROUNDUP(INDEX(Upgrades!$C$3:$C$13,MATCH(C1468,Upgrades!$B$3:$B$13,0))*1.15^(COUNTIF(C$4:C1467,C1468)-COUNTIF(C$4:C1467,""Sell_""&amp;C1468))))))"),"")</f>
        <v/>
      </c>
      <c r="H1468" s="10" t="str">
        <f t="shared" si="3"/>
        <v/>
      </c>
      <c r="I1468" s="68" t="str">
        <f t="shared" si="4"/>
        <v/>
      </c>
      <c r="J1468" s="59" t="str">
        <f t="shared" si="5"/>
        <v/>
      </c>
      <c r="K1468" s="69" t="str">
        <f t="shared" si="6"/>
        <v/>
      </c>
      <c r="L1468" s="60" t="str">
        <f t="shared" si="7"/>
        <v/>
      </c>
      <c r="M1468" s="61" t="str">
        <f>IFERROR(__xludf.DUMMYFUNCTION("IFS(AND(COUNTA(C1468:C1644)=0,COUNTA(Q1468:Q1644)=0),"""",OR(AND(K1468&gt;=1000000000,OR(Y1468&gt;=1000000000,COUNTA(Q1468:Q1644)=0)),OR(Y1468&gt;=1000000000,AND(COUNTA(C1468:C1644)=0,P$3=TRUE))),
ROUNDDOWN((AB$1-AC$1)*MAX(INDEX(T$4:T1644,MATCH(LARGE(FILTER(Y$4:Y1"&amp;"644,Y$4:Y1644&lt;1000000000),1),Y$4:Y1644)),INDEX(F$4:F1644,MATCH(LARGE(FILTER(K$4:K1644,K$4:K1644&lt;1000000000),1),K$4:K1644)))),AND(K1468&lt;1000000000,COUNTA(C1468:C1644)&gt;0,P$3=FALSE),
ROUNDDOWN(INDEX(Y$4:Y1644,MATCH(LARGE(FILTER(W$4:W1644,W$4:W1644&lt;=I1468),1)"&amp;",W$4:W1644))+(I1468-LARGE(FILTER(W$4:W1644,W$4:W1644&lt;=I1468),1))*INDEX(T$4:T1644,MATCH(LARGE(FILTER(W$4:W1644,W$4:W1644&lt;=I1468),1),W$4:W1644))-K1468),1,
ROUNDDOWN(Y1468-INDEX(K$4:K1644,MATCH(LARGE(FILTER(I$4:I1644,I$4:I1644&lt;=W1468),1),I$4:I1644))-(W1468-L"&amp;"ARGE(FILTER(I$4:I1644,I$4:I1644&lt;=W1468),1))*INDEX(F$4:F1644,MATCH(LARGE(FILTER(I$4:I1644,I$4:I1644&lt;=W1468),1),I$4:I1644))))"),"")</f>
        <v/>
      </c>
      <c r="N1468" s="60" t="str">
        <f t="shared" si="8"/>
        <v/>
      </c>
      <c r="O1468" s="61" t="str">
        <f t="shared" si="9"/>
        <v/>
      </c>
      <c r="P1468" s="56" t="str">
        <f t="shared" si="10"/>
        <v/>
      </c>
      <c r="Q1468" s="105"/>
      <c r="R1468" s="10"/>
      <c r="S1468" s="59" t="str">
        <f t="array" ref="S1468">IF(COUNTA(Q1468:Q1644)=0,"",SUM((COUNTIF(Q$4:Q1468,Upgrades!$B$3:$B$13)-COUNTIF(Q$4:Q1468,"Sell_"&amp;Upgrades!$B$3:$B$13))*Upgrades!$D$3:$D$13))</f>
        <v/>
      </c>
      <c r="T1468" s="66" t="str">
        <f>IFERROR(__xludf.DUMMYFUNCTION("IF(COUNTA(Q1468:Q1644)=0,"""",IF(REGEXMATCH(INDEX(FILTER(Q$4:Q1468,Q$4:Q1468&lt;&gt;""""),ROWS(FILTER(Q$4:Q1468,Q$4:Q1468&lt;&gt;""""))),""^Sell_""),INDEX(FILTER(T$4:T1467,Q$4:Q1467&lt;&gt;""""),ROWS(FILTER(Q$4:Q1467,Q$4:Q1467&lt;&gt;""""))),$AD$5+S1468))"),"")</f>
        <v/>
      </c>
      <c r="U1468" s="10" t="str">
        <f>IFERROR(__xludf.DUMMYFUNCTION("IF(COUNTA(Q1468:Q1644)=0,"""",IF(Q1468="""",0,IF(REGEXMATCH(Q1468,""^Sell_""),-ROUNDDOWN(ROUNDUP(INDEX(Upgrades!$C$3:$C$13,MATCH(SUBSTITUTE(Q1468,""Sell_"",""""),Upgrades!$B$3:$B$13,0))*1.15^(COUNTIF(Q$4:Q1467,SUBSTITUTE(Q1468,""Sell_"",""""))-COUNTIF(Q$4"&amp;":Q1467,""Sell_""&amp;SUBSTITUTE(Q1468,""Sell_"",""""))))/2),ROUNDUP(INDEX(Upgrades!$C$3:$C$13,MATCH(Q1468,Upgrades!$B$3:$B$13,0))*1.15^(COUNTIF(Q$4:Q1467,Q1468)-COUNTIF(Q$4:Q1467,""Sell_""&amp;Q1468))))))"),"")</f>
        <v/>
      </c>
      <c r="V1468" s="10" t="str">
        <f t="shared" si="11"/>
        <v/>
      </c>
      <c r="W1468" s="68" t="str">
        <f t="shared" si="12"/>
        <v/>
      </c>
      <c r="X1468" s="59" t="str">
        <f t="shared" si="13"/>
        <v/>
      </c>
      <c r="Y1468" s="69" t="str">
        <f t="shared" si="14"/>
        <v/>
      </c>
      <c r="Z1468" s="11"/>
      <c r="AG1468" s="59"/>
    </row>
    <row r="1469">
      <c r="A1469" s="8"/>
      <c r="B1469" s="56" t="str">
        <f t="shared" si="2"/>
        <v/>
      </c>
      <c r="C1469" s="105"/>
      <c r="D1469" s="10"/>
      <c r="E1469" s="59" t="str">
        <f t="array" ref="E1469">IF(COUNTA(C1469:C1644)=0,"",SUM((COUNTIF(C$4:C1469,Upgrades!$B$3:$B$13)-COUNTIF(C$4:C1469,"Sell_"&amp;Upgrades!$B$3:$B$13))*Upgrades!$D$3:$D$13))</f>
        <v/>
      </c>
      <c r="F1469" s="66" t="str">
        <f>IFERROR(__xludf.DUMMYFUNCTION("IF(COUNTA(C1469:C1644)=0,"""",IF(REGEXMATCH(INDEX(FILTER(C$4:C1469,C$4:C1469&lt;&gt;""""),ROWS(FILTER(C$4:C1469,C$4:C1469&lt;&gt;""""))),""^Sell_""),INDEX(FILTER(F$4:F1468,C$4:C1468&lt;&gt;""""),ROWS(FILTER(C$4:C1468,C$4:C1468&lt;&gt;""""))),$AC$5+E1469))"),"")</f>
        <v/>
      </c>
      <c r="G1469" s="10" t="str">
        <f>IFERROR(__xludf.DUMMYFUNCTION("IF(COUNTA(C1469:C1644)=0,"""",IF(C1469="""",0,IF(REGEXMATCH(C1469,""^Sell_""),-ROUNDDOWN(ROUNDUP(INDEX(Upgrades!$C$3:$C$13,MATCH(SUBSTITUTE(C1469,""Sell_"",""""),Upgrades!$B$3:$B$13,0))*1.15^(COUNTIF(C$4:C1468,SUBSTITUTE(C1469,""Sell_"",""""))-COUNTIF(C$4"&amp;":C1468,""Sell_""&amp;SUBSTITUTE(C1469,""Sell_"",""""))))/2),ROUNDUP(INDEX(Upgrades!$C$3:$C$13,MATCH(C1469,Upgrades!$B$3:$B$13,0))*1.15^(COUNTIF(C$4:C1468,C1469)-COUNTIF(C$4:C1468,""Sell_""&amp;C1469))))))"),"")</f>
        <v/>
      </c>
      <c r="H1469" s="10" t="str">
        <f t="shared" si="3"/>
        <v/>
      </c>
      <c r="I1469" s="68" t="str">
        <f t="shared" si="4"/>
        <v/>
      </c>
      <c r="J1469" s="59" t="str">
        <f t="shared" si="5"/>
        <v/>
      </c>
      <c r="K1469" s="69" t="str">
        <f t="shared" si="6"/>
        <v/>
      </c>
      <c r="L1469" s="60" t="str">
        <f t="shared" si="7"/>
        <v/>
      </c>
      <c r="M1469" s="61" t="str">
        <f>IFERROR(__xludf.DUMMYFUNCTION("IFS(AND(COUNTA(C1469:C1644)=0,COUNTA(Q1469:Q1644)=0),"""",OR(AND(K1469&gt;=1000000000,OR(Y1469&gt;=1000000000,COUNTA(Q1469:Q1644)=0)),OR(Y1469&gt;=1000000000,AND(COUNTA(C1469:C1644)=0,P$3=TRUE))),
ROUNDDOWN((AB$1-AC$1)*MAX(INDEX(T$4:T1644,MATCH(LARGE(FILTER(Y$4:Y1"&amp;"644,Y$4:Y1644&lt;1000000000),1),Y$4:Y1644)),INDEX(F$4:F1644,MATCH(LARGE(FILTER(K$4:K1644,K$4:K1644&lt;1000000000),1),K$4:K1644)))),AND(K1469&lt;1000000000,COUNTA(C1469:C1644)&gt;0,P$3=FALSE),
ROUNDDOWN(INDEX(Y$4:Y1644,MATCH(LARGE(FILTER(W$4:W1644,W$4:W1644&lt;=I1469),1)"&amp;",W$4:W1644))+(I1469-LARGE(FILTER(W$4:W1644,W$4:W1644&lt;=I1469),1))*INDEX(T$4:T1644,MATCH(LARGE(FILTER(W$4:W1644,W$4:W1644&lt;=I1469),1),W$4:W1644))-K1469),1,
ROUNDDOWN(Y1469-INDEX(K$4:K1644,MATCH(LARGE(FILTER(I$4:I1644,I$4:I1644&lt;=W1469),1),I$4:I1644))-(W1469-L"&amp;"ARGE(FILTER(I$4:I1644,I$4:I1644&lt;=W1469),1))*INDEX(F$4:F1644,MATCH(LARGE(FILTER(I$4:I1644,I$4:I1644&lt;=W1469),1),I$4:I1644))))"),"")</f>
        <v/>
      </c>
      <c r="N1469" s="60" t="str">
        <f t="shared" si="8"/>
        <v/>
      </c>
      <c r="O1469" s="61" t="str">
        <f t="shared" si="9"/>
        <v/>
      </c>
      <c r="P1469" s="56" t="str">
        <f t="shared" si="10"/>
        <v/>
      </c>
      <c r="Q1469" s="105"/>
      <c r="R1469" s="10"/>
      <c r="S1469" s="59" t="str">
        <f t="array" ref="S1469">IF(COUNTA(Q1469:Q1644)=0,"",SUM((COUNTIF(Q$4:Q1469,Upgrades!$B$3:$B$13)-COUNTIF(Q$4:Q1469,"Sell_"&amp;Upgrades!$B$3:$B$13))*Upgrades!$D$3:$D$13))</f>
        <v/>
      </c>
      <c r="T1469" s="66" t="str">
        <f>IFERROR(__xludf.DUMMYFUNCTION("IF(COUNTA(Q1469:Q1644)=0,"""",IF(REGEXMATCH(INDEX(FILTER(Q$4:Q1469,Q$4:Q1469&lt;&gt;""""),ROWS(FILTER(Q$4:Q1469,Q$4:Q1469&lt;&gt;""""))),""^Sell_""),INDEX(FILTER(T$4:T1468,Q$4:Q1468&lt;&gt;""""),ROWS(FILTER(Q$4:Q1468,Q$4:Q1468&lt;&gt;""""))),$AD$5+S1469))"),"")</f>
        <v/>
      </c>
      <c r="U1469" s="10" t="str">
        <f>IFERROR(__xludf.DUMMYFUNCTION("IF(COUNTA(Q1469:Q1644)=0,"""",IF(Q1469="""",0,IF(REGEXMATCH(Q1469,""^Sell_""),-ROUNDDOWN(ROUNDUP(INDEX(Upgrades!$C$3:$C$13,MATCH(SUBSTITUTE(Q1469,""Sell_"",""""),Upgrades!$B$3:$B$13,0))*1.15^(COUNTIF(Q$4:Q1468,SUBSTITUTE(Q1469,""Sell_"",""""))-COUNTIF(Q$4"&amp;":Q1468,""Sell_""&amp;SUBSTITUTE(Q1469,""Sell_"",""""))))/2),ROUNDUP(INDEX(Upgrades!$C$3:$C$13,MATCH(Q1469,Upgrades!$B$3:$B$13,0))*1.15^(COUNTIF(Q$4:Q1468,Q1469)-COUNTIF(Q$4:Q1468,""Sell_""&amp;Q1469))))))"),"")</f>
        <v/>
      </c>
      <c r="V1469" s="10" t="str">
        <f t="shared" si="11"/>
        <v/>
      </c>
      <c r="W1469" s="68" t="str">
        <f t="shared" si="12"/>
        <v/>
      </c>
      <c r="X1469" s="59" t="str">
        <f t="shared" si="13"/>
        <v/>
      </c>
      <c r="Y1469" s="69" t="str">
        <f t="shared" si="14"/>
        <v/>
      </c>
      <c r="Z1469" s="11"/>
      <c r="AG1469" s="59"/>
    </row>
    <row r="1470">
      <c r="A1470" s="8"/>
      <c r="B1470" s="56" t="str">
        <f t="shared" si="2"/>
        <v/>
      </c>
      <c r="C1470" s="105"/>
      <c r="D1470" s="10"/>
      <c r="E1470" s="59" t="str">
        <f t="array" ref="E1470">IF(COUNTA(C1470:C1644)=0,"",SUM((COUNTIF(C$4:C1470,Upgrades!$B$3:$B$13)-COUNTIF(C$4:C1470,"Sell_"&amp;Upgrades!$B$3:$B$13))*Upgrades!$D$3:$D$13))</f>
        <v/>
      </c>
      <c r="F1470" s="66" t="str">
        <f>IFERROR(__xludf.DUMMYFUNCTION("IF(COUNTA(C1470:C1644)=0,"""",IF(REGEXMATCH(INDEX(FILTER(C$4:C1470,C$4:C1470&lt;&gt;""""),ROWS(FILTER(C$4:C1470,C$4:C1470&lt;&gt;""""))),""^Sell_""),INDEX(FILTER(F$4:F1469,C$4:C1469&lt;&gt;""""),ROWS(FILTER(C$4:C1469,C$4:C1469&lt;&gt;""""))),$AC$5+E1470))"),"")</f>
        <v/>
      </c>
      <c r="G1470" s="10" t="str">
        <f>IFERROR(__xludf.DUMMYFUNCTION("IF(COUNTA(C1470:C1644)=0,"""",IF(C1470="""",0,IF(REGEXMATCH(C1470,""^Sell_""),-ROUNDDOWN(ROUNDUP(INDEX(Upgrades!$C$3:$C$13,MATCH(SUBSTITUTE(C1470,""Sell_"",""""),Upgrades!$B$3:$B$13,0))*1.15^(COUNTIF(C$4:C1469,SUBSTITUTE(C1470,""Sell_"",""""))-COUNTIF(C$4"&amp;":C1469,""Sell_""&amp;SUBSTITUTE(C1470,""Sell_"",""""))))/2),ROUNDUP(INDEX(Upgrades!$C$3:$C$13,MATCH(C1470,Upgrades!$B$3:$B$13,0))*1.15^(COUNTIF(C$4:C1469,C1470)-COUNTIF(C$4:C1469,""Sell_""&amp;C1470))))))"),"")</f>
        <v/>
      </c>
      <c r="H1470" s="10" t="str">
        <f t="shared" si="3"/>
        <v/>
      </c>
      <c r="I1470" s="68" t="str">
        <f t="shared" si="4"/>
        <v/>
      </c>
      <c r="J1470" s="59" t="str">
        <f t="shared" si="5"/>
        <v/>
      </c>
      <c r="K1470" s="69" t="str">
        <f t="shared" si="6"/>
        <v/>
      </c>
      <c r="L1470" s="60" t="str">
        <f t="shared" si="7"/>
        <v/>
      </c>
      <c r="M1470" s="61" t="str">
        <f>IFERROR(__xludf.DUMMYFUNCTION("IFS(AND(COUNTA(C1470:C1644)=0,COUNTA(Q1470:Q1644)=0),"""",OR(AND(K1470&gt;=1000000000,OR(Y1470&gt;=1000000000,COUNTA(Q1470:Q1644)=0)),OR(Y1470&gt;=1000000000,AND(COUNTA(C1470:C1644)=0,P$3=TRUE))),
ROUNDDOWN((AB$1-AC$1)*MAX(INDEX(T$4:T1644,MATCH(LARGE(FILTER(Y$4:Y1"&amp;"644,Y$4:Y1644&lt;1000000000),1),Y$4:Y1644)),INDEX(F$4:F1644,MATCH(LARGE(FILTER(K$4:K1644,K$4:K1644&lt;1000000000),1),K$4:K1644)))),AND(K1470&lt;1000000000,COUNTA(C1470:C1644)&gt;0,P$3=FALSE),
ROUNDDOWN(INDEX(Y$4:Y1644,MATCH(LARGE(FILTER(W$4:W1644,W$4:W1644&lt;=I1470),1)"&amp;",W$4:W1644))+(I1470-LARGE(FILTER(W$4:W1644,W$4:W1644&lt;=I1470),1))*INDEX(T$4:T1644,MATCH(LARGE(FILTER(W$4:W1644,W$4:W1644&lt;=I1470),1),W$4:W1644))-K1470),1,
ROUNDDOWN(Y1470-INDEX(K$4:K1644,MATCH(LARGE(FILTER(I$4:I1644,I$4:I1644&lt;=W1470),1),I$4:I1644))-(W1470-L"&amp;"ARGE(FILTER(I$4:I1644,I$4:I1644&lt;=W1470),1))*INDEX(F$4:F1644,MATCH(LARGE(FILTER(I$4:I1644,I$4:I1644&lt;=W1470),1),I$4:I1644))))"),"")</f>
        <v/>
      </c>
      <c r="N1470" s="60" t="str">
        <f t="shared" si="8"/>
        <v/>
      </c>
      <c r="O1470" s="61" t="str">
        <f t="shared" si="9"/>
        <v/>
      </c>
      <c r="P1470" s="56" t="str">
        <f t="shared" si="10"/>
        <v/>
      </c>
      <c r="Q1470" s="105"/>
      <c r="R1470" s="10"/>
      <c r="S1470" s="59" t="str">
        <f t="array" ref="S1470">IF(COUNTA(Q1470:Q1644)=0,"",SUM((COUNTIF(Q$4:Q1470,Upgrades!$B$3:$B$13)-COUNTIF(Q$4:Q1470,"Sell_"&amp;Upgrades!$B$3:$B$13))*Upgrades!$D$3:$D$13))</f>
        <v/>
      </c>
      <c r="T1470" s="66" t="str">
        <f>IFERROR(__xludf.DUMMYFUNCTION("IF(COUNTA(Q1470:Q1644)=0,"""",IF(REGEXMATCH(INDEX(FILTER(Q$4:Q1470,Q$4:Q1470&lt;&gt;""""),ROWS(FILTER(Q$4:Q1470,Q$4:Q1470&lt;&gt;""""))),""^Sell_""),INDEX(FILTER(T$4:T1469,Q$4:Q1469&lt;&gt;""""),ROWS(FILTER(Q$4:Q1469,Q$4:Q1469&lt;&gt;""""))),$AD$5+S1470))"),"")</f>
        <v/>
      </c>
      <c r="U1470" s="10" t="str">
        <f>IFERROR(__xludf.DUMMYFUNCTION("IF(COUNTA(Q1470:Q1644)=0,"""",IF(Q1470="""",0,IF(REGEXMATCH(Q1470,""^Sell_""),-ROUNDDOWN(ROUNDUP(INDEX(Upgrades!$C$3:$C$13,MATCH(SUBSTITUTE(Q1470,""Sell_"",""""),Upgrades!$B$3:$B$13,0))*1.15^(COUNTIF(Q$4:Q1469,SUBSTITUTE(Q1470,""Sell_"",""""))-COUNTIF(Q$4"&amp;":Q1469,""Sell_""&amp;SUBSTITUTE(Q1470,""Sell_"",""""))))/2),ROUNDUP(INDEX(Upgrades!$C$3:$C$13,MATCH(Q1470,Upgrades!$B$3:$B$13,0))*1.15^(COUNTIF(Q$4:Q1469,Q1470)-COUNTIF(Q$4:Q1469,""Sell_""&amp;Q1470))))))"),"")</f>
        <v/>
      </c>
      <c r="V1470" s="10" t="str">
        <f t="shared" si="11"/>
        <v/>
      </c>
      <c r="W1470" s="68" t="str">
        <f t="shared" si="12"/>
        <v/>
      </c>
      <c r="X1470" s="59" t="str">
        <f t="shared" si="13"/>
        <v/>
      </c>
      <c r="Y1470" s="69" t="str">
        <f t="shared" si="14"/>
        <v/>
      </c>
      <c r="Z1470" s="11"/>
      <c r="AG1470" s="59"/>
    </row>
    <row r="1471">
      <c r="A1471" s="8"/>
      <c r="B1471" s="56" t="str">
        <f t="shared" si="2"/>
        <v/>
      </c>
      <c r="C1471" s="105"/>
      <c r="D1471" s="10"/>
      <c r="E1471" s="59" t="str">
        <f t="array" ref="E1471">IF(COUNTA(C1471:C1644)=0,"",SUM((COUNTIF(C$4:C1471,Upgrades!$B$3:$B$13)-COUNTIF(C$4:C1471,"Sell_"&amp;Upgrades!$B$3:$B$13))*Upgrades!$D$3:$D$13))</f>
        <v/>
      </c>
      <c r="F1471" s="66" t="str">
        <f>IFERROR(__xludf.DUMMYFUNCTION("IF(COUNTA(C1471:C1644)=0,"""",IF(REGEXMATCH(INDEX(FILTER(C$4:C1471,C$4:C1471&lt;&gt;""""),ROWS(FILTER(C$4:C1471,C$4:C1471&lt;&gt;""""))),""^Sell_""),INDEX(FILTER(F$4:F1470,C$4:C1470&lt;&gt;""""),ROWS(FILTER(C$4:C1470,C$4:C1470&lt;&gt;""""))),$AC$5+E1471))"),"")</f>
        <v/>
      </c>
      <c r="G1471" s="10" t="str">
        <f>IFERROR(__xludf.DUMMYFUNCTION("IF(COUNTA(C1471:C1644)=0,"""",IF(C1471="""",0,IF(REGEXMATCH(C1471,""^Sell_""),-ROUNDDOWN(ROUNDUP(INDEX(Upgrades!$C$3:$C$13,MATCH(SUBSTITUTE(C1471,""Sell_"",""""),Upgrades!$B$3:$B$13,0))*1.15^(COUNTIF(C$4:C1470,SUBSTITUTE(C1471,""Sell_"",""""))-COUNTIF(C$4"&amp;":C1470,""Sell_""&amp;SUBSTITUTE(C1471,""Sell_"",""""))))/2),ROUNDUP(INDEX(Upgrades!$C$3:$C$13,MATCH(C1471,Upgrades!$B$3:$B$13,0))*1.15^(COUNTIF(C$4:C1470,C1471)-COUNTIF(C$4:C1470,""Sell_""&amp;C1471))))))"),"")</f>
        <v/>
      </c>
      <c r="H1471" s="10" t="str">
        <f t="shared" si="3"/>
        <v/>
      </c>
      <c r="I1471" s="68" t="str">
        <f t="shared" si="4"/>
        <v/>
      </c>
      <c r="J1471" s="59" t="str">
        <f t="shared" si="5"/>
        <v/>
      </c>
      <c r="K1471" s="69" t="str">
        <f t="shared" si="6"/>
        <v/>
      </c>
      <c r="L1471" s="60" t="str">
        <f t="shared" si="7"/>
        <v/>
      </c>
      <c r="M1471" s="61" t="str">
        <f>IFERROR(__xludf.DUMMYFUNCTION("IFS(AND(COUNTA(C1471:C1644)=0,COUNTA(Q1471:Q1644)=0),"""",OR(AND(K1471&gt;=1000000000,OR(Y1471&gt;=1000000000,COUNTA(Q1471:Q1644)=0)),OR(Y1471&gt;=1000000000,AND(COUNTA(C1471:C1644)=0,P$3=TRUE))),
ROUNDDOWN((AB$1-AC$1)*MAX(INDEX(T$4:T1644,MATCH(LARGE(FILTER(Y$4:Y1"&amp;"644,Y$4:Y1644&lt;1000000000),1),Y$4:Y1644)),INDEX(F$4:F1644,MATCH(LARGE(FILTER(K$4:K1644,K$4:K1644&lt;1000000000),1),K$4:K1644)))),AND(K1471&lt;1000000000,COUNTA(C1471:C1644)&gt;0,P$3=FALSE),
ROUNDDOWN(INDEX(Y$4:Y1644,MATCH(LARGE(FILTER(W$4:W1644,W$4:W1644&lt;=I1471),1)"&amp;",W$4:W1644))+(I1471-LARGE(FILTER(W$4:W1644,W$4:W1644&lt;=I1471),1))*INDEX(T$4:T1644,MATCH(LARGE(FILTER(W$4:W1644,W$4:W1644&lt;=I1471),1),W$4:W1644))-K1471),1,
ROUNDDOWN(Y1471-INDEX(K$4:K1644,MATCH(LARGE(FILTER(I$4:I1644,I$4:I1644&lt;=W1471),1),I$4:I1644))-(W1471-L"&amp;"ARGE(FILTER(I$4:I1644,I$4:I1644&lt;=W1471),1))*INDEX(F$4:F1644,MATCH(LARGE(FILTER(I$4:I1644,I$4:I1644&lt;=W1471),1),I$4:I1644))))"),"")</f>
        <v/>
      </c>
      <c r="N1471" s="60" t="str">
        <f t="shared" si="8"/>
        <v/>
      </c>
      <c r="O1471" s="61" t="str">
        <f t="shared" si="9"/>
        <v/>
      </c>
      <c r="P1471" s="56" t="str">
        <f t="shared" si="10"/>
        <v/>
      </c>
      <c r="Q1471" s="105"/>
      <c r="R1471" s="10"/>
      <c r="S1471" s="59" t="str">
        <f t="array" ref="S1471">IF(COUNTA(Q1471:Q1644)=0,"",SUM((COUNTIF(Q$4:Q1471,Upgrades!$B$3:$B$13)-COUNTIF(Q$4:Q1471,"Sell_"&amp;Upgrades!$B$3:$B$13))*Upgrades!$D$3:$D$13))</f>
        <v/>
      </c>
      <c r="T1471" s="66" t="str">
        <f>IFERROR(__xludf.DUMMYFUNCTION("IF(COUNTA(Q1471:Q1644)=0,"""",IF(REGEXMATCH(INDEX(FILTER(Q$4:Q1471,Q$4:Q1471&lt;&gt;""""),ROWS(FILTER(Q$4:Q1471,Q$4:Q1471&lt;&gt;""""))),""^Sell_""),INDEX(FILTER(T$4:T1470,Q$4:Q1470&lt;&gt;""""),ROWS(FILTER(Q$4:Q1470,Q$4:Q1470&lt;&gt;""""))),$AD$5+S1471))"),"")</f>
        <v/>
      </c>
      <c r="U1471" s="10" t="str">
        <f>IFERROR(__xludf.DUMMYFUNCTION("IF(COUNTA(Q1471:Q1644)=0,"""",IF(Q1471="""",0,IF(REGEXMATCH(Q1471,""^Sell_""),-ROUNDDOWN(ROUNDUP(INDEX(Upgrades!$C$3:$C$13,MATCH(SUBSTITUTE(Q1471,""Sell_"",""""),Upgrades!$B$3:$B$13,0))*1.15^(COUNTIF(Q$4:Q1470,SUBSTITUTE(Q1471,""Sell_"",""""))-COUNTIF(Q$4"&amp;":Q1470,""Sell_""&amp;SUBSTITUTE(Q1471,""Sell_"",""""))))/2),ROUNDUP(INDEX(Upgrades!$C$3:$C$13,MATCH(Q1471,Upgrades!$B$3:$B$13,0))*1.15^(COUNTIF(Q$4:Q1470,Q1471)-COUNTIF(Q$4:Q1470,""Sell_""&amp;Q1471))))))"),"")</f>
        <v/>
      </c>
      <c r="V1471" s="10" t="str">
        <f t="shared" si="11"/>
        <v/>
      </c>
      <c r="W1471" s="68" t="str">
        <f t="shared" si="12"/>
        <v/>
      </c>
      <c r="X1471" s="59" t="str">
        <f t="shared" si="13"/>
        <v/>
      </c>
      <c r="Y1471" s="69" t="str">
        <f t="shared" si="14"/>
        <v/>
      </c>
      <c r="Z1471" s="11"/>
      <c r="AG1471" s="59"/>
    </row>
    <row r="1472">
      <c r="A1472" s="8"/>
      <c r="B1472" s="56" t="str">
        <f t="shared" si="2"/>
        <v/>
      </c>
      <c r="C1472" s="105"/>
      <c r="D1472" s="10"/>
      <c r="E1472" s="59" t="str">
        <f t="array" ref="E1472">IF(COUNTA(C1472:C1644)=0,"",SUM((COUNTIF(C$4:C1472,Upgrades!$B$3:$B$13)-COUNTIF(C$4:C1472,"Sell_"&amp;Upgrades!$B$3:$B$13))*Upgrades!$D$3:$D$13))</f>
        <v/>
      </c>
      <c r="F1472" s="66" t="str">
        <f>IFERROR(__xludf.DUMMYFUNCTION("IF(COUNTA(C1472:C1644)=0,"""",IF(REGEXMATCH(INDEX(FILTER(C$4:C1472,C$4:C1472&lt;&gt;""""),ROWS(FILTER(C$4:C1472,C$4:C1472&lt;&gt;""""))),""^Sell_""),INDEX(FILTER(F$4:F1471,C$4:C1471&lt;&gt;""""),ROWS(FILTER(C$4:C1471,C$4:C1471&lt;&gt;""""))),$AC$5+E1472))"),"")</f>
        <v/>
      </c>
      <c r="G1472" s="10" t="str">
        <f>IFERROR(__xludf.DUMMYFUNCTION("IF(COUNTA(C1472:C1644)=0,"""",IF(C1472="""",0,IF(REGEXMATCH(C1472,""^Sell_""),-ROUNDDOWN(ROUNDUP(INDEX(Upgrades!$C$3:$C$13,MATCH(SUBSTITUTE(C1472,""Sell_"",""""),Upgrades!$B$3:$B$13,0))*1.15^(COUNTIF(C$4:C1471,SUBSTITUTE(C1472,""Sell_"",""""))-COUNTIF(C$4"&amp;":C1471,""Sell_""&amp;SUBSTITUTE(C1472,""Sell_"",""""))))/2),ROUNDUP(INDEX(Upgrades!$C$3:$C$13,MATCH(C1472,Upgrades!$B$3:$B$13,0))*1.15^(COUNTIF(C$4:C1471,C1472)-COUNTIF(C$4:C1471,""Sell_""&amp;C1472))))))"),"")</f>
        <v/>
      </c>
      <c r="H1472" s="10" t="str">
        <f t="shared" si="3"/>
        <v/>
      </c>
      <c r="I1472" s="68" t="str">
        <f t="shared" si="4"/>
        <v/>
      </c>
      <c r="J1472" s="59" t="str">
        <f t="shared" si="5"/>
        <v/>
      </c>
      <c r="K1472" s="69" t="str">
        <f t="shared" si="6"/>
        <v/>
      </c>
      <c r="L1472" s="60" t="str">
        <f t="shared" si="7"/>
        <v/>
      </c>
      <c r="M1472" s="61" t="str">
        <f>IFERROR(__xludf.DUMMYFUNCTION("IFS(AND(COUNTA(C1472:C1644)=0,COUNTA(Q1472:Q1644)=0),"""",OR(AND(K1472&gt;=1000000000,OR(Y1472&gt;=1000000000,COUNTA(Q1472:Q1644)=0)),OR(Y1472&gt;=1000000000,AND(COUNTA(C1472:C1644)=0,P$3=TRUE))),
ROUNDDOWN((AB$1-AC$1)*MAX(INDEX(T$4:T1644,MATCH(LARGE(FILTER(Y$4:Y1"&amp;"644,Y$4:Y1644&lt;1000000000),1),Y$4:Y1644)),INDEX(F$4:F1644,MATCH(LARGE(FILTER(K$4:K1644,K$4:K1644&lt;1000000000),1),K$4:K1644)))),AND(K1472&lt;1000000000,COUNTA(C1472:C1644)&gt;0,P$3=FALSE),
ROUNDDOWN(INDEX(Y$4:Y1644,MATCH(LARGE(FILTER(W$4:W1644,W$4:W1644&lt;=I1472),1)"&amp;",W$4:W1644))+(I1472-LARGE(FILTER(W$4:W1644,W$4:W1644&lt;=I1472),1))*INDEX(T$4:T1644,MATCH(LARGE(FILTER(W$4:W1644,W$4:W1644&lt;=I1472),1),W$4:W1644))-K1472),1,
ROUNDDOWN(Y1472-INDEX(K$4:K1644,MATCH(LARGE(FILTER(I$4:I1644,I$4:I1644&lt;=W1472),1),I$4:I1644))-(W1472-L"&amp;"ARGE(FILTER(I$4:I1644,I$4:I1644&lt;=W1472),1))*INDEX(F$4:F1644,MATCH(LARGE(FILTER(I$4:I1644,I$4:I1644&lt;=W1472),1),I$4:I1644))))"),"")</f>
        <v/>
      </c>
      <c r="N1472" s="60" t="str">
        <f t="shared" si="8"/>
        <v/>
      </c>
      <c r="O1472" s="61" t="str">
        <f t="shared" si="9"/>
        <v/>
      </c>
      <c r="P1472" s="56" t="str">
        <f t="shared" si="10"/>
        <v/>
      </c>
      <c r="Q1472" s="105"/>
      <c r="R1472" s="10"/>
      <c r="S1472" s="59" t="str">
        <f t="array" ref="S1472">IF(COUNTA(Q1472:Q1644)=0,"",SUM((COUNTIF(Q$4:Q1472,Upgrades!$B$3:$B$13)-COUNTIF(Q$4:Q1472,"Sell_"&amp;Upgrades!$B$3:$B$13))*Upgrades!$D$3:$D$13))</f>
        <v/>
      </c>
      <c r="T1472" s="66" t="str">
        <f>IFERROR(__xludf.DUMMYFUNCTION("IF(COUNTA(Q1472:Q1644)=0,"""",IF(REGEXMATCH(INDEX(FILTER(Q$4:Q1472,Q$4:Q1472&lt;&gt;""""),ROWS(FILTER(Q$4:Q1472,Q$4:Q1472&lt;&gt;""""))),""^Sell_""),INDEX(FILTER(T$4:T1471,Q$4:Q1471&lt;&gt;""""),ROWS(FILTER(Q$4:Q1471,Q$4:Q1471&lt;&gt;""""))),$AD$5+S1472))"),"")</f>
        <v/>
      </c>
      <c r="U1472" s="10" t="str">
        <f>IFERROR(__xludf.DUMMYFUNCTION("IF(COUNTA(Q1472:Q1644)=0,"""",IF(Q1472="""",0,IF(REGEXMATCH(Q1472,""^Sell_""),-ROUNDDOWN(ROUNDUP(INDEX(Upgrades!$C$3:$C$13,MATCH(SUBSTITUTE(Q1472,""Sell_"",""""),Upgrades!$B$3:$B$13,0))*1.15^(COUNTIF(Q$4:Q1471,SUBSTITUTE(Q1472,""Sell_"",""""))-COUNTIF(Q$4"&amp;":Q1471,""Sell_""&amp;SUBSTITUTE(Q1472,""Sell_"",""""))))/2),ROUNDUP(INDEX(Upgrades!$C$3:$C$13,MATCH(Q1472,Upgrades!$B$3:$B$13,0))*1.15^(COUNTIF(Q$4:Q1471,Q1472)-COUNTIF(Q$4:Q1471,""Sell_""&amp;Q1472))))))"),"")</f>
        <v/>
      </c>
      <c r="V1472" s="10" t="str">
        <f t="shared" si="11"/>
        <v/>
      </c>
      <c r="W1472" s="68" t="str">
        <f t="shared" si="12"/>
        <v/>
      </c>
      <c r="X1472" s="59" t="str">
        <f t="shared" si="13"/>
        <v/>
      </c>
      <c r="Y1472" s="69" t="str">
        <f t="shared" si="14"/>
        <v/>
      </c>
      <c r="Z1472" s="11"/>
      <c r="AG1472" s="59"/>
    </row>
    <row r="1473">
      <c r="A1473" s="8"/>
      <c r="B1473" s="56" t="str">
        <f t="shared" si="2"/>
        <v/>
      </c>
      <c r="C1473" s="105"/>
      <c r="D1473" s="10"/>
      <c r="E1473" s="59" t="str">
        <f t="array" ref="E1473">IF(COUNTA(C1473:C1644)=0,"",SUM((COUNTIF(C$4:C1473,Upgrades!$B$3:$B$13)-COUNTIF(C$4:C1473,"Sell_"&amp;Upgrades!$B$3:$B$13))*Upgrades!$D$3:$D$13))</f>
        <v/>
      </c>
      <c r="F1473" s="66" t="str">
        <f>IFERROR(__xludf.DUMMYFUNCTION("IF(COUNTA(C1473:C1644)=0,"""",IF(REGEXMATCH(INDEX(FILTER(C$4:C1473,C$4:C1473&lt;&gt;""""),ROWS(FILTER(C$4:C1473,C$4:C1473&lt;&gt;""""))),""^Sell_""),INDEX(FILTER(F$4:F1472,C$4:C1472&lt;&gt;""""),ROWS(FILTER(C$4:C1472,C$4:C1472&lt;&gt;""""))),$AC$5+E1473))"),"")</f>
        <v/>
      </c>
      <c r="G1473" s="10" t="str">
        <f>IFERROR(__xludf.DUMMYFUNCTION("IF(COUNTA(C1473:C1644)=0,"""",IF(C1473="""",0,IF(REGEXMATCH(C1473,""^Sell_""),-ROUNDDOWN(ROUNDUP(INDEX(Upgrades!$C$3:$C$13,MATCH(SUBSTITUTE(C1473,""Sell_"",""""),Upgrades!$B$3:$B$13,0))*1.15^(COUNTIF(C$4:C1472,SUBSTITUTE(C1473,""Sell_"",""""))-COUNTIF(C$4"&amp;":C1472,""Sell_""&amp;SUBSTITUTE(C1473,""Sell_"",""""))))/2),ROUNDUP(INDEX(Upgrades!$C$3:$C$13,MATCH(C1473,Upgrades!$B$3:$B$13,0))*1.15^(COUNTIF(C$4:C1472,C1473)-COUNTIF(C$4:C1472,""Sell_""&amp;C1473))))))"),"")</f>
        <v/>
      </c>
      <c r="H1473" s="10" t="str">
        <f t="shared" si="3"/>
        <v/>
      </c>
      <c r="I1473" s="68" t="str">
        <f t="shared" si="4"/>
        <v/>
      </c>
      <c r="J1473" s="59" t="str">
        <f t="shared" si="5"/>
        <v/>
      </c>
      <c r="K1473" s="69" t="str">
        <f t="shared" si="6"/>
        <v/>
      </c>
      <c r="L1473" s="60" t="str">
        <f t="shared" si="7"/>
        <v/>
      </c>
      <c r="M1473" s="61" t="str">
        <f>IFERROR(__xludf.DUMMYFUNCTION("IFS(AND(COUNTA(C1473:C1644)=0,COUNTA(Q1473:Q1644)=0),"""",OR(AND(K1473&gt;=1000000000,OR(Y1473&gt;=1000000000,COUNTA(Q1473:Q1644)=0)),OR(Y1473&gt;=1000000000,AND(COUNTA(C1473:C1644)=0,P$3=TRUE))),
ROUNDDOWN((AB$1-AC$1)*MAX(INDEX(T$4:T1644,MATCH(LARGE(FILTER(Y$4:Y1"&amp;"644,Y$4:Y1644&lt;1000000000),1),Y$4:Y1644)),INDEX(F$4:F1644,MATCH(LARGE(FILTER(K$4:K1644,K$4:K1644&lt;1000000000),1),K$4:K1644)))),AND(K1473&lt;1000000000,COUNTA(C1473:C1644)&gt;0,P$3=FALSE),
ROUNDDOWN(INDEX(Y$4:Y1644,MATCH(LARGE(FILTER(W$4:W1644,W$4:W1644&lt;=I1473),1)"&amp;",W$4:W1644))+(I1473-LARGE(FILTER(W$4:W1644,W$4:W1644&lt;=I1473),1))*INDEX(T$4:T1644,MATCH(LARGE(FILTER(W$4:W1644,W$4:W1644&lt;=I1473),1),W$4:W1644))-K1473),1,
ROUNDDOWN(Y1473-INDEX(K$4:K1644,MATCH(LARGE(FILTER(I$4:I1644,I$4:I1644&lt;=W1473),1),I$4:I1644))-(W1473-L"&amp;"ARGE(FILTER(I$4:I1644,I$4:I1644&lt;=W1473),1))*INDEX(F$4:F1644,MATCH(LARGE(FILTER(I$4:I1644,I$4:I1644&lt;=W1473),1),I$4:I1644))))"),"")</f>
        <v/>
      </c>
      <c r="N1473" s="60" t="str">
        <f t="shared" si="8"/>
        <v/>
      </c>
      <c r="O1473" s="61" t="str">
        <f t="shared" si="9"/>
        <v/>
      </c>
      <c r="P1473" s="56" t="str">
        <f t="shared" si="10"/>
        <v/>
      </c>
      <c r="Q1473" s="105"/>
      <c r="R1473" s="10"/>
      <c r="S1473" s="59" t="str">
        <f t="array" ref="S1473">IF(COUNTA(Q1473:Q1644)=0,"",SUM((COUNTIF(Q$4:Q1473,Upgrades!$B$3:$B$13)-COUNTIF(Q$4:Q1473,"Sell_"&amp;Upgrades!$B$3:$B$13))*Upgrades!$D$3:$D$13))</f>
        <v/>
      </c>
      <c r="T1473" s="66" t="str">
        <f>IFERROR(__xludf.DUMMYFUNCTION("IF(COUNTA(Q1473:Q1644)=0,"""",IF(REGEXMATCH(INDEX(FILTER(Q$4:Q1473,Q$4:Q1473&lt;&gt;""""),ROWS(FILTER(Q$4:Q1473,Q$4:Q1473&lt;&gt;""""))),""^Sell_""),INDEX(FILTER(T$4:T1472,Q$4:Q1472&lt;&gt;""""),ROWS(FILTER(Q$4:Q1472,Q$4:Q1472&lt;&gt;""""))),$AD$5+S1473))"),"")</f>
        <v/>
      </c>
      <c r="U1473" s="10" t="str">
        <f>IFERROR(__xludf.DUMMYFUNCTION("IF(COUNTA(Q1473:Q1644)=0,"""",IF(Q1473="""",0,IF(REGEXMATCH(Q1473,""^Sell_""),-ROUNDDOWN(ROUNDUP(INDEX(Upgrades!$C$3:$C$13,MATCH(SUBSTITUTE(Q1473,""Sell_"",""""),Upgrades!$B$3:$B$13,0))*1.15^(COUNTIF(Q$4:Q1472,SUBSTITUTE(Q1473,""Sell_"",""""))-COUNTIF(Q$4"&amp;":Q1472,""Sell_""&amp;SUBSTITUTE(Q1473,""Sell_"",""""))))/2),ROUNDUP(INDEX(Upgrades!$C$3:$C$13,MATCH(Q1473,Upgrades!$B$3:$B$13,0))*1.15^(COUNTIF(Q$4:Q1472,Q1473)-COUNTIF(Q$4:Q1472,""Sell_""&amp;Q1473))))))"),"")</f>
        <v/>
      </c>
      <c r="V1473" s="10" t="str">
        <f t="shared" si="11"/>
        <v/>
      </c>
      <c r="W1473" s="68" t="str">
        <f t="shared" si="12"/>
        <v/>
      </c>
      <c r="X1473" s="59" t="str">
        <f t="shared" si="13"/>
        <v/>
      </c>
      <c r="Y1473" s="69" t="str">
        <f t="shared" si="14"/>
        <v/>
      </c>
      <c r="Z1473" s="11"/>
      <c r="AG1473" s="59"/>
    </row>
    <row r="1474">
      <c r="A1474" s="8"/>
      <c r="B1474" s="56" t="str">
        <f t="shared" si="2"/>
        <v/>
      </c>
      <c r="C1474" s="105"/>
      <c r="D1474" s="10"/>
      <c r="E1474" s="59" t="str">
        <f t="array" ref="E1474">IF(COUNTA(C1474:C1644)=0,"",SUM((COUNTIF(C$4:C1474,Upgrades!$B$3:$B$13)-COUNTIF(C$4:C1474,"Sell_"&amp;Upgrades!$B$3:$B$13))*Upgrades!$D$3:$D$13))</f>
        <v/>
      </c>
      <c r="F1474" s="66" t="str">
        <f>IFERROR(__xludf.DUMMYFUNCTION("IF(COUNTA(C1474:C1644)=0,"""",IF(REGEXMATCH(INDEX(FILTER(C$4:C1474,C$4:C1474&lt;&gt;""""),ROWS(FILTER(C$4:C1474,C$4:C1474&lt;&gt;""""))),""^Sell_""),INDEX(FILTER(F$4:F1473,C$4:C1473&lt;&gt;""""),ROWS(FILTER(C$4:C1473,C$4:C1473&lt;&gt;""""))),$AC$5+E1474))"),"")</f>
        <v/>
      </c>
      <c r="G1474" s="10" t="str">
        <f>IFERROR(__xludf.DUMMYFUNCTION("IF(COUNTA(C1474:C1644)=0,"""",IF(C1474="""",0,IF(REGEXMATCH(C1474,""^Sell_""),-ROUNDDOWN(ROUNDUP(INDEX(Upgrades!$C$3:$C$13,MATCH(SUBSTITUTE(C1474,""Sell_"",""""),Upgrades!$B$3:$B$13,0))*1.15^(COUNTIF(C$4:C1473,SUBSTITUTE(C1474,""Sell_"",""""))-COUNTIF(C$4"&amp;":C1473,""Sell_""&amp;SUBSTITUTE(C1474,""Sell_"",""""))))/2),ROUNDUP(INDEX(Upgrades!$C$3:$C$13,MATCH(C1474,Upgrades!$B$3:$B$13,0))*1.15^(COUNTIF(C$4:C1473,C1474)-COUNTIF(C$4:C1473,""Sell_""&amp;C1474))))))"),"")</f>
        <v/>
      </c>
      <c r="H1474" s="10" t="str">
        <f t="shared" si="3"/>
        <v/>
      </c>
      <c r="I1474" s="68" t="str">
        <f t="shared" si="4"/>
        <v/>
      </c>
      <c r="J1474" s="59" t="str">
        <f t="shared" si="5"/>
        <v/>
      </c>
      <c r="K1474" s="69" t="str">
        <f t="shared" si="6"/>
        <v/>
      </c>
      <c r="L1474" s="60" t="str">
        <f t="shared" si="7"/>
        <v/>
      </c>
      <c r="M1474" s="61" t="str">
        <f>IFERROR(__xludf.DUMMYFUNCTION("IFS(AND(COUNTA(C1474:C1644)=0,COUNTA(Q1474:Q1644)=0),"""",OR(AND(K1474&gt;=1000000000,OR(Y1474&gt;=1000000000,COUNTA(Q1474:Q1644)=0)),OR(Y1474&gt;=1000000000,AND(COUNTA(C1474:C1644)=0,P$3=TRUE))),
ROUNDDOWN((AB$1-AC$1)*MAX(INDEX(T$4:T1644,MATCH(LARGE(FILTER(Y$4:Y1"&amp;"644,Y$4:Y1644&lt;1000000000),1),Y$4:Y1644)),INDEX(F$4:F1644,MATCH(LARGE(FILTER(K$4:K1644,K$4:K1644&lt;1000000000),1),K$4:K1644)))),AND(K1474&lt;1000000000,COUNTA(C1474:C1644)&gt;0,P$3=FALSE),
ROUNDDOWN(INDEX(Y$4:Y1644,MATCH(LARGE(FILTER(W$4:W1644,W$4:W1644&lt;=I1474),1)"&amp;",W$4:W1644))+(I1474-LARGE(FILTER(W$4:W1644,W$4:W1644&lt;=I1474),1))*INDEX(T$4:T1644,MATCH(LARGE(FILTER(W$4:W1644,W$4:W1644&lt;=I1474),1),W$4:W1644))-K1474),1,
ROUNDDOWN(Y1474-INDEX(K$4:K1644,MATCH(LARGE(FILTER(I$4:I1644,I$4:I1644&lt;=W1474),1),I$4:I1644))-(W1474-L"&amp;"ARGE(FILTER(I$4:I1644,I$4:I1644&lt;=W1474),1))*INDEX(F$4:F1644,MATCH(LARGE(FILTER(I$4:I1644,I$4:I1644&lt;=W1474),1),I$4:I1644))))"),"")</f>
        <v/>
      </c>
      <c r="N1474" s="60" t="str">
        <f t="shared" si="8"/>
        <v/>
      </c>
      <c r="O1474" s="61" t="str">
        <f t="shared" si="9"/>
        <v/>
      </c>
      <c r="P1474" s="56" t="str">
        <f t="shared" si="10"/>
        <v/>
      </c>
      <c r="Q1474" s="105"/>
      <c r="R1474" s="10"/>
      <c r="S1474" s="59" t="str">
        <f t="array" ref="S1474">IF(COUNTA(Q1474:Q1644)=0,"",SUM((COUNTIF(Q$4:Q1474,Upgrades!$B$3:$B$13)-COUNTIF(Q$4:Q1474,"Sell_"&amp;Upgrades!$B$3:$B$13))*Upgrades!$D$3:$D$13))</f>
        <v/>
      </c>
      <c r="T1474" s="66" t="str">
        <f>IFERROR(__xludf.DUMMYFUNCTION("IF(COUNTA(Q1474:Q1644)=0,"""",IF(REGEXMATCH(INDEX(FILTER(Q$4:Q1474,Q$4:Q1474&lt;&gt;""""),ROWS(FILTER(Q$4:Q1474,Q$4:Q1474&lt;&gt;""""))),""^Sell_""),INDEX(FILTER(T$4:T1473,Q$4:Q1473&lt;&gt;""""),ROWS(FILTER(Q$4:Q1473,Q$4:Q1473&lt;&gt;""""))),$AD$5+S1474))"),"")</f>
        <v/>
      </c>
      <c r="U1474" s="10" t="str">
        <f>IFERROR(__xludf.DUMMYFUNCTION("IF(COUNTA(Q1474:Q1644)=0,"""",IF(Q1474="""",0,IF(REGEXMATCH(Q1474,""^Sell_""),-ROUNDDOWN(ROUNDUP(INDEX(Upgrades!$C$3:$C$13,MATCH(SUBSTITUTE(Q1474,""Sell_"",""""),Upgrades!$B$3:$B$13,0))*1.15^(COUNTIF(Q$4:Q1473,SUBSTITUTE(Q1474,""Sell_"",""""))-COUNTIF(Q$4"&amp;":Q1473,""Sell_""&amp;SUBSTITUTE(Q1474,""Sell_"",""""))))/2),ROUNDUP(INDEX(Upgrades!$C$3:$C$13,MATCH(Q1474,Upgrades!$B$3:$B$13,0))*1.15^(COUNTIF(Q$4:Q1473,Q1474)-COUNTIF(Q$4:Q1473,""Sell_""&amp;Q1474))))))"),"")</f>
        <v/>
      </c>
      <c r="V1474" s="10" t="str">
        <f t="shared" si="11"/>
        <v/>
      </c>
      <c r="W1474" s="68" t="str">
        <f t="shared" si="12"/>
        <v/>
      </c>
      <c r="X1474" s="59" t="str">
        <f t="shared" si="13"/>
        <v/>
      </c>
      <c r="Y1474" s="69" t="str">
        <f t="shared" si="14"/>
        <v/>
      </c>
      <c r="Z1474" s="11"/>
      <c r="AG1474" s="59"/>
    </row>
    <row r="1475">
      <c r="A1475" s="8"/>
      <c r="B1475" s="56" t="str">
        <f t="shared" si="2"/>
        <v/>
      </c>
      <c r="C1475" s="105"/>
      <c r="D1475" s="10"/>
      <c r="E1475" s="59" t="str">
        <f t="array" ref="E1475">IF(COUNTA(C1475:C1644)=0,"",SUM((COUNTIF(C$4:C1475,Upgrades!$B$3:$B$13)-COUNTIF(C$4:C1475,"Sell_"&amp;Upgrades!$B$3:$B$13))*Upgrades!$D$3:$D$13))</f>
        <v/>
      </c>
      <c r="F1475" s="66" t="str">
        <f>IFERROR(__xludf.DUMMYFUNCTION("IF(COUNTA(C1475:C1644)=0,"""",IF(REGEXMATCH(INDEX(FILTER(C$4:C1475,C$4:C1475&lt;&gt;""""),ROWS(FILTER(C$4:C1475,C$4:C1475&lt;&gt;""""))),""^Sell_""),INDEX(FILTER(F$4:F1474,C$4:C1474&lt;&gt;""""),ROWS(FILTER(C$4:C1474,C$4:C1474&lt;&gt;""""))),$AC$5+E1475))"),"")</f>
        <v/>
      </c>
      <c r="G1475" s="10" t="str">
        <f>IFERROR(__xludf.DUMMYFUNCTION("IF(COUNTA(C1475:C1644)=0,"""",IF(C1475="""",0,IF(REGEXMATCH(C1475,""^Sell_""),-ROUNDDOWN(ROUNDUP(INDEX(Upgrades!$C$3:$C$13,MATCH(SUBSTITUTE(C1475,""Sell_"",""""),Upgrades!$B$3:$B$13,0))*1.15^(COUNTIF(C$4:C1474,SUBSTITUTE(C1475,""Sell_"",""""))-COUNTIF(C$4"&amp;":C1474,""Sell_""&amp;SUBSTITUTE(C1475,""Sell_"",""""))))/2),ROUNDUP(INDEX(Upgrades!$C$3:$C$13,MATCH(C1475,Upgrades!$B$3:$B$13,0))*1.15^(COUNTIF(C$4:C1474,C1475)-COUNTIF(C$4:C1474,""Sell_""&amp;C1475))))))"),"")</f>
        <v/>
      </c>
      <c r="H1475" s="10" t="str">
        <f t="shared" si="3"/>
        <v/>
      </c>
      <c r="I1475" s="68" t="str">
        <f t="shared" si="4"/>
        <v/>
      </c>
      <c r="J1475" s="59" t="str">
        <f t="shared" si="5"/>
        <v/>
      </c>
      <c r="K1475" s="69" t="str">
        <f t="shared" si="6"/>
        <v/>
      </c>
      <c r="L1475" s="60" t="str">
        <f t="shared" si="7"/>
        <v/>
      </c>
      <c r="M1475" s="61" t="str">
        <f>IFERROR(__xludf.DUMMYFUNCTION("IFS(AND(COUNTA(C1475:C1644)=0,COUNTA(Q1475:Q1644)=0),"""",OR(AND(K1475&gt;=1000000000,OR(Y1475&gt;=1000000000,COUNTA(Q1475:Q1644)=0)),OR(Y1475&gt;=1000000000,AND(COUNTA(C1475:C1644)=0,P$3=TRUE))),
ROUNDDOWN((AB$1-AC$1)*MAX(INDEX(T$4:T1644,MATCH(LARGE(FILTER(Y$4:Y1"&amp;"644,Y$4:Y1644&lt;1000000000),1),Y$4:Y1644)),INDEX(F$4:F1644,MATCH(LARGE(FILTER(K$4:K1644,K$4:K1644&lt;1000000000),1),K$4:K1644)))),AND(K1475&lt;1000000000,COUNTA(C1475:C1644)&gt;0,P$3=FALSE),
ROUNDDOWN(INDEX(Y$4:Y1644,MATCH(LARGE(FILTER(W$4:W1644,W$4:W1644&lt;=I1475),1)"&amp;",W$4:W1644))+(I1475-LARGE(FILTER(W$4:W1644,W$4:W1644&lt;=I1475),1))*INDEX(T$4:T1644,MATCH(LARGE(FILTER(W$4:W1644,W$4:W1644&lt;=I1475),1),W$4:W1644))-K1475),1,
ROUNDDOWN(Y1475-INDEX(K$4:K1644,MATCH(LARGE(FILTER(I$4:I1644,I$4:I1644&lt;=W1475),1),I$4:I1644))-(W1475-L"&amp;"ARGE(FILTER(I$4:I1644,I$4:I1644&lt;=W1475),1))*INDEX(F$4:F1644,MATCH(LARGE(FILTER(I$4:I1644,I$4:I1644&lt;=W1475),1),I$4:I1644))))"),"")</f>
        <v/>
      </c>
      <c r="N1475" s="60" t="str">
        <f t="shared" si="8"/>
        <v/>
      </c>
      <c r="O1475" s="61" t="str">
        <f t="shared" si="9"/>
        <v/>
      </c>
      <c r="P1475" s="56" t="str">
        <f t="shared" si="10"/>
        <v/>
      </c>
      <c r="Q1475" s="105"/>
      <c r="R1475" s="10"/>
      <c r="S1475" s="59" t="str">
        <f t="array" ref="S1475">IF(COUNTA(Q1475:Q1644)=0,"",SUM((COUNTIF(Q$4:Q1475,Upgrades!$B$3:$B$13)-COUNTIF(Q$4:Q1475,"Sell_"&amp;Upgrades!$B$3:$B$13))*Upgrades!$D$3:$D$13))</f>
        <v/>
      </c>
      <c r="T1475" s="66" t="str">
        <f>IFERROR(__xludf.DUMMYFUNCTION("IF(COUNTA(Q1475:Q1644)=0,"""",IF(REGEXMATCH(INDEX(FILTER(Q$4:Q1475,Q$4:Q1475&lt;&gt;""""),ROWS(FILTER(Q$4:Q1475,Q$4:Q1475&lt;&gt;""""))),""^Sell_""),INDEX(FILTER(T$4:T1474,Q$4:Q1474&lt;&gt;""""),ROWS(FILTER(Q$4:Q1474,Q$4:Q1474&lt;&gt;""""))),$AD$5+S1475))"),"")</f>
        <v/>
      </c>
      <c r="U1475" s="10" t="str">
        <f>IFERROR(__xludf.DUMMYFUNCTION("IF(COUNTA(Q1475:Q1644)=0,"""",IF(Q1475="""",0,IF(REGEXMATCH(Q1475,""^Sell_""),-ROUNDDOWN(ROUNDUP(INDEX(Upgrades!$C$3:$C$13,MATCH(SUBSTITUTE(Q1475,""Sell_"",""""),Upgrades!$B$3:$B$13,0))*1.15^(COUNTIF(Q$4:Q1474,SUBSTITUTE(Q1475,""Sell_"",""""))-COUNTIF(Q$4"&amp;":Q1474,""Sell_""&amp;SUBSTITUTE(Q1475,""Sell_"",""""))))/2),ROUNDUP(INDEX(Upgrades!$C$3:$C$13,MATCH(Q1475,Upgrades!$B$3:$B$13,0))*1.15^(COUNTIF(Q$4:Q1474,Q1475)-COUNTIF(Q$4:Q1474,""Sell_""&amp;Q1475))))))"),"")</f>
        <v/>
      </c>
      <c r="V1475" s="10" t="str">
        <f t="shared" si="11"/>
        <v/>
      </c>
      <c r="W1475" s="68" t="str">
        <f t="shared" si="12"/>
        <v/>
      </c>
      <c r="X1475" s="59" t="str">
        <f t="shared" si="13"/>
        <v/>
      </c>
      <c r="Y1475" s="69" t="str">
        <f t="shared" si="14"/>
        <v/>
      </c>
      <c r="Z1475" s="11"/>
      <c r="AG1475" s="59"/>
    </row>
    <row r="1476">
      <c r="A1476" s="8"/>
      <c r="B1476" s="56" t="str">
        <f t="shared" si="2"/>
        <v/>
      </c>
      <c r="C1476" s="105"/>
      <c r="D1476" s="10"/>
      <c r="E1476" s="59" t="str">
        <f t="array" ref="E1476">IF(COUNTA(C1476:C1644)=0,"",SUM((COUNTIF(C$4:C1476,Upgrades!$B$3:$B$13)-COUNTIF(C$4:C1476,"Sell_"&amp;Upgrades!$B$3:$B$13))*Upgrades!$D$3:$D$13))</f>
        <v/>
      </c>
      <c r="F1476" s="66" t="str">
        <f>IFERROR(__xludf.DUMMYFUNCTION("IF(COUNTA(C1476:C1644)=0,"""",IF(REGEXMATCH(INDEX(FILTER(C$4:C1476,C$4:C1476&lt;&gt;""""),ROWS(FILTER(C$4:C1476,C$4:C1476&lt;&gt;""""))),""^Sell_""),INDEX(FILTER(F$4:F1475,C$4:C1475&lt;&gt;""""),ROWS(FILTER(C$4:C1475,C$4:C1475&lt;&gt;""""))),$AC$5+E1476))"),"")</f>
        <v/>
      </c>
      <c r="G1476" s="10" t="str">
        <f>IFERROR(__xludf.DUMMYFUNCTION("IF(COUNTA(C1476:C1644)=0,"""",IF(C1476="""",0,IF(REGEXMATCH(C1476,""^Sell_""),-ROUNDDOWN(ROUNDUP(INDEX(Upgrades!$C$3:$C$13,MATCH(SUBSTITUTE(C1476,""Sell_"",""""),Upgrades!$B$3:$B$13,0))*1.15^(COUNTIF(C$4:C1475,SUBSTITUTE(C1476,""Sell_"",""""))-COUNTIF(C$4"&amp;":C1475,""Sell_""&amp;SUBSTITUTE(C1476,""Sell_"",""""))))/2),ROUNDUP(INDEX(Upgrades!$C$3:$C$13,MATCH(C1476,Upgrades!$B$3:$B$13,0))*1.15^(COUNTIF(C$4:C1475,C1476)-COUNTIF(C$4:C1475,""Sell_""&amp;C1476))))))"),"")</f>
        <v/>
      </c>
      <c r="H1476" s="10" t="str">
        <f t="shared" si="3"/>
        <v/>
      </c>
      <c r="I1476" s="68" t="str">
        <f t="shared" si="4"/>
        <v/>
      </c>
      <c r="J1476" s="59" t="str">
        <f t="shared" si="5"/>
        <v/>
      </c>
      <c r="K1476" s="69" t="str">
        <f t="shared" si="6"/>
        <v/>
      </c>
      <c r="L1476" s="60" t="str">
        <f t="shared" si="7"/>
        <v/>
      </c>
      <c r="M1476" s="61" t="str">
        <f>IFERROR(__xludf.DUMMYFUNCTION("IFS(AND(COUNTA(C1476:C1644)=0,COUNTA(Q1476:Q1644)=0),"""",OR(AND(K1476&gt;=1000000000,OR(Y1476&gt;=1000000000,COUNTA(Q1476:Q1644)=0)),OR(Y1476&gt;=1000000000,AND(COUNTA(C1476:C1644)=0,P$3=TRUE))),
ROUNDDOWN((AB$1-AC$1)*MAX(INDEX(T$4:T1644,MATCH(LARGE(FILTER(Y$4:Y1"&amp;"644,Y$4:Y1644&lt;1000000000),1),Y$4:Y1644)),INDEX(F$4:F1644,MATCH(LARGE(FILTER(K$4:K1644,K$4:K1644&lt;1000000000),1),K$4:K1644)))),AND(K1476&lt;1000000000,COUNTA(C1476:C1644)&gt;0,P$3=FALSE),
ROUNDDOWN(INDEX(Y$4:Y1644,MATCH(LARGE(FILTER(W$4:W1644,W$4:W1644&lt;=I1476),1)"&amp;",W$4:W1644))+(I1476-LARGE(FILTER(W$4:W1644,W$4:W1644&lt;=I1476),1))*INDEX(T$4:T1644,MATCH(LARGE(FILTER(W$4:W1644,W$4:W1644&lt;=I1476),1),W$4:W1644))-K1476),1,
ROUNDDOWN(Y1476-INDEX(K$4:K1644,MATCH(LARGE(FILTER(I$4:I1644,I$4:I1644&lt;=W1476),1),I$4:I1644))-(W1476-L"&amp;"ARGE(FILTER(I$4:I1644,I$4:I1644&lt;=W1476),1))*INDEX(F$4:F1644,MATCH(LARGE(FILTER(I$4:I1644,I$4:I1644&lt;=W1476),1),I$4:I1644))))"),"")</f>
        <v/>
      </c>
      <c r="N1476" s="60" t="str">
        <f t="shared" si="8"/>
        <v/>
      </c>
      <c r="O1476" s="61" t="str">
        <f t="shared" si="9"/>
        <v/>
      </c>
      <c r="P1476" s="56" t="str">
        <f t="shared" si="10"/>
        <v/>
      </c>
      <c r="Q1476" s="105"/>
      <c r="R1476" s="10"/>
      <c r="S1476" s="59" t="str">
        <f t="array" ref="S1476">IF(COUNTA(Q1476:Q1644)=0,"",SUM((COUNTIF(Q$4:Q1476,Upgrades!$B$3:$B$13)-COUNTIF(Q$4:Q1476,"Sell_"&amp;Upgrades!$B$3:$B$13))*Upgrades!$D$3:$D$13))</f>
        <v/>
      </c>
      <c r="T1476" s="66" t="str">
        <f>IFERROR(__xludf.DUMMYFUNCTION("IF(COUNTA(Q1476:Q1644)=0,"""",IF(REGEXMATCH(INDEX(FILTER(Q$4:Q1476,Q$4:Q1476&lt;&gt;""""),ROWS(FILTER(Q$4:Q1476,Q$4:Q1476&lt;&gt;""""))),""^Sell_""),INDEX(FILTER(T$4:T1475,Q$4:Q1475&lt;&gt;""""),ROWS(FILTER(Q$4:Q1475,Q$4:Q1475&lt;&gt;""""))),$AD$5+S1476))"),"")</f>
        <v/>
      </c>
      <c r="U1476" s="10" t="str">
        <f>IFERROR(__xludf.DUMMYFUNCTION("IF(COUNTA(Q1476:Q1644)=0,"""",IF(Q1476="""",0,IF(REGEXMATCH(Q1476,""^Sell_""),-ROUNDDOWN(ROUNDUP(INDEX(Upgrades!$C$3:$C$13,MATCH(SUBSTITUTE(Q1476,""Sell_"",""""),Upgrades!$B$3:$B$13,0))*1.15^(COUNTIF(Q$4:Q1475,SUBSTITUTE(Q1476,""Sell_"",""""))-COUNTIF(Q$4"&amp;":Q1475,""Sell_""&amp;SUBSTITUTE(Q1476,""Sell_"",""""))))/2),ROUNDUP(INDEX(Upgrades!$C$3:$C$13,MATCH(Q1476,Upgrades!$B$3:$B$13,0))*1.15^(COUNTIF(Q$4:Q1475,Q1476)-COUNTIF(Q$4:Q1475,""Sell_""&amp;Q1476))))))"),"")</f>
        <v/>
      </c>
      <c r="V1476" s="10" t="str">
        <f t="shared" si="11"/>
        <v/>
      </c>
      <c r="W1476" s="68" t="str">
        <f t="shared" si="12"/>
        <v/>
      </c>
      <c r="X1476" s="59" t="str">
        <f t="shared" si="13"/>
        <v/>
      </c>
      <c r="Y1476" s="69" t="str">
        <f t="shared" si="14"/>
        <v/>
      </c>
      <c r="Z1476" s="11"/>
      <c r="AG1476" s="59"/>
    </row>
    <row r="1477">
      <c r="A1477" s="8"/>
      <c r="B1477" s="56" t="str">
        <f t="shared" si="2"/>
        <v/>
      </c>
      <c r="C1477" s="105"/>
      <c r="D1477" s="10"/>
      <c r="E1477" s="59" t="str">
        <f t="array" ref="E1477">IF(COUNTA(C1477:C1644)=0,"",SUM((COUNTIF(C$4:C1477,Upgrades!$B$3:$B$13)-COUNTIF(C$4:C1477,"Sell_"&amp;Upgrades!$B$3:$B$13))*Upgrades!$D$3:$D$13))</f>
        <v/>
      </c>
      <c r="F1477" s="66" t="str">
        <f>IFERROR(__xludf.DUMMYFUNCTION("IF(COUNTA(C1477:C1644)=0,"""",IF(REGEXMATCH(INDEX(FILTER(C$4:C1477,C$4:C1477&lt;&gt;""""),ROWS(FILTER(C$4:C1477,C$4:C1477&lt;&gt;""""))),""^Sell_""),INDEX(FILTER(F$4:F1476,C$4:C1476&lt;&gt;""""),ROWS(FILTER(C$4:C1476,C$4:C1476&lt;&gt;""""))),$AC$5+E1477))"),"")</f>
        <v/>
      </c>
      <c r="G1477" s="10" t="str">
        <f>IFERROR(__xludf.DUMMYFUNCTION("IF(COUNTA(C1477:C1644)=0,"""",IF(C1477="""",0,IF(REGEXMATCH(C1477,""^Sell_""),-ROUNDDOWN(ROUNDUP(INDEX(Upgrades!$C$3:$C$13,MATCH(SUBSTITUTE(C1477,""Sell_"",""""),Upgrades!$B$3:$B$13,0))*1.15^(COUNTIF(C$4:C1476,SUBSTITUTE(C1477,""Sell_"",""""))-COUNTIF(C$4"&amp;":C1476,""Sell_""&amp;SUBSTITUTE(C1477,""Sell_"",""""))))/2),ROUNDUP(INDEX(Upgrades!$C$3:$C$13,MATCH(C1477,Upgrades!$B$3:$B$13,0))*1.15^(COUNTIF(C$4:C1476,C1477)-COUNTIF(C$4:C1476,""Sell_""&amp;C1477))))))"),"")</f>
        <v/>
      </c>
      <c r="H1477" s="10" t="str">
        <f t="shared" si="3"/>
        <v/>
      </c>
      <c r="I1477" s="68" t="str">
        <f t="shared" si="4"/>
        <v/>
      </c>
      <c r="J1477" s="59" t="str">
        <f t="shared" si="5"/>
        <v/>
      </c>
      <c r="K1477" s="69" t="str">
        <f t="shared" si="6"/>
        <v/>
      </c>
      <c r="L1477" s="60" t="str">
        <f t="shared" si="7"/>
        <v/>
      </c>
      <c r="M1477" s="61" t="str">
        <f>IFERROR(__xludf.DUMMYFUNCTION("IFS(AND(COUNTA(C1477:C1644)=0,COUNTA(Q1477:Q1644)=0),"""",OR(AND(K1477&gt;=1000000000,OR(Y1477&gt;=1000000000,COUNTA(Q1477:Q1644)=0)),OR(Y1477&gt;=1000000000,AND(COUNTA(C1477:C1644)=0,P$3=TRUE))),
ROUNDDOWN((AB$1-AC$1)*MAX(INDEX(T$4:T1644,MATCH(LARGE(FILTER(Y$4:Y1"&amp;"644,Y$4:Y1644&lt;1000000000),1),Y$4:Y1644)),INDEX(F$4:F1644,MATCH(LARGE(FILTER(K$4:K1644,K$4:K1644&lt;1000000000),1),K$4:K1644)))),AND(K1477&lt;1000000000,COUNTA(C1477:C1644)&gt;0,P$3=FALSE),
ROUNDDOWN(INDEX(Y$4:Y1644,MATCH(LARGE(FILTER(W$4:W1644,W$4:W1644&lt;=I1477),1)"&amp;",W$4:W1644))+(I1477-LARGE(FILTER(W$4:W1644,W$4:W1644&lt;=I1477),1))*INDEX(T$4:T1644,MATCH(LARGE(FILTER(W$4:W1644,W$4:W1644&lt;=I1477),1),W$4:W1644))-K1477),1,
ROUNDDOWN(Y1477-INDEX(K$4:K1644,MATCH(LARGE(FILTER(I$4:I1644,I$4:I1644&lt;=W1477),1),I$4:I1644))-(W1477-L"&amp;"ARGE(FILTER(I$4:I1644,I$4:I1644&lt;=W1477),1))*INDEX(F$4:F1644,MATCH(LARGE(FILTER(I$4:I1644,I$4:I1644&lt;=W1477),1),I$4:I1644))))"),"")</f>
        <v/>
      </c>
      <c r="N1477" s="60" t="str">
        <f t="shared" si="8"/>
        <v/>
      </c>
      <c r="O1477" s="61" t="str">
        <f t="shared" si="9"/>
        <v/>
      </c>
      <c r="P1477" s="56" t="str">
        <f t="shared" si="10"/>
        <v/>
      </c>
      <c r="Q1477" s="105"/>
      <c r="R1477" s="10"/>
      <c r="S1477" s="59" t="str">
        <f t="array" ref="S1477">IF(COUNTA(Q1477:Q1644)=0,"",SUM((COUNTIF(Q$4:Q1477,Upgrades!$B$3:$B$13)-COUNTIF(Q$4:Q1477,"Sell_"&amp;Upgrades!$B$3:$B$13))*Upgrades!$D$3:$D$13))</f>
        <v/>
      </c>
      <c r="T1477" s="66" t="str">
        <f>IFERROR(__xludf.DUMMYFUNCTION("IF(COUNTA(Q1477:Q1644)=0,"""",IF(REGEXMATCH(INDEX(FILTER(Q$4:Q1477,Q$4:Q1477&lt;&gt;""""),ROWS(FILTER(Q$4:Q1477,Q$4:Q1477&lt;&gt;""""))),""^Sell_""),INDEX(FILTER(T$4:T1476,Q$4:Q1476&lt;&gt;""""),ROWS(FILTER(Q$4:Q1476,Q$4:Q1476&lt;&gt;""""))),$AD$5+S1477))"),"")</f>
        <v/>
      </c>
      <c r="U1477" s="10" t="str">
        <f>IFERROR(__xludf.DUMMYFUNCTION("IF(COUNTA(Q1477:Q1644)=0,"""",IF(Q1477="""",0,IF(REGEXMATCH(Q1477,""^Sell_""),-ROUNDDOWN(ROUNDUP(INDEX(Upgrades!$C$3:$C$13,MATCH(SUBSTITUTE(Q1477,""Sell_"",""""),Upgrades!$B$3:$B$13,0))*1.15^(COUNTIF(Q$4:Q1476,SUBSTITUTE(Q1477,""Sell_"",""""))-COUNTIF(Q$4"&amp;":Q1476,""Sell_""&amp;SUBSTITUTE(Q1477,""Sell_"",""""))))/2),ROUNDUP(INDEX(Upgrades!$C$3:$C$13,MATCH(Q1477,Upgrades!$B$3:$B$13,0))*1.15^(COUNTIF(Q$4:Q1476,Q1477)-COUNTIF(Q$4:Q1476,""Sell_""&amp;Q1477))))))"),"")</f>
        <v/>
      </c>
      <c r="V1477" s="10" t="str">
        <f t="shared" si="11"/>
        <v/>
      </c>
      <c r="W1477" s="68" t="str">
        <f t="shared" si="12"/>
        <v/>
      </c>
      <c r="X1477" s="59" t="str">
        <f t="shared" si="13"/>
        <v/>
      </c>
      <c r="Y1477" s="69" t="str">
        <f t="shared" si="14"/>
        <v/>
      </c>
      <c r="Z1477" s="11"/>
      <c r="AG1477" s="59"/>
    </row>
    <row r="1478">
      <c r="A1478" s="8"/>
      <c r="B1478" s="56" t="str">
        <f t="shared" si="2"/>
        <v/>
      </c>
      <c r="C1478" s="105"/>
      <c r="D1478" s="10"/>
      <c r="E1478" s="59" t="str">
        <f t="array" ref="E1478">IF(COUNTA(C1478:C1644)=0,"",SUM((COUNTIF(C$4:C1478,Upgrades!$B$3:$B$13)-COUNTIF(C$4:C1478,"Sell_"&amp;Upgrades!$B$3:$B$13))*Upgrades!$D$3:$D$13))</f>
        <v/>
      </c>
      <c r="F1478" s="66" t="str">
        <f>IFERROR(__xludf.DUMMYFUNCTION("IF(COUNTA(C1478:C1644)=0,"""",IF(REGEXMATCH(INDEX(FILTER(C$4:C1478,C$4:C1478&lt;&gt;""""),ROWS(FILTER(C$4:C1478,C$4:C1478&lt;&gt;""""))),""^Sell_""),INDEX(FILTER(F$4:F1477,C$4:C1477&lt;&gt;""""),ROWS(FILTER(C$4:C1477,C$4:C1477&lt;&gt;""""))),$AC$5+E1478))"),"")</f>
        <v/>
      </c>
      <c r="G1478" s="10" t="str">
        <f>IFERROR(__xludf.DUMMYFUNCTION("IF(COUNTA(C1478:C1644)=0,"""",IF(C1478="""",0,IF(REGEXMATCH(C1478,""^Sell_""),-ROUNDDOWN(ROUNDUP(INDEX(Upgrades!$C$3:$C$13,MATCH(SUBSTITUTE(C1478,""Sell_"",""""),Upgrades!$B$3:$B$13,0))*1.15^(COUNTIF(C$4:C1477,SUBSTITUTE(C1478,""Sell_"",""""))-COUNTIF(C$4"&amp;":C1477,""Sell_""&amp;SUBSTITUTE(C1478,""Sell_"",""""))))/2),ROUNDUP(INDEX(Upgrades!$C$3:$C$13,MATCH(C1478,Upgrades!$B$3:$B$13,0))*1.15^(COUNTIF(C$4:C1477,C1478)-COUNTIF(C$4:C1477,""Sell_""&amp;C1478))))))"),"")</f>
        <v/>
      </c>
      <c r="H1478" s="10" t="str">
        <f t="shared" si="3"/>
        <v/>
      </c>
      <c r="I1478" s="68" t="str">
        <f t="shared" si="4"/>
        <v/>
      </c>
      <c r="J1478" s="59" t="str">
        <f t="shared" si="5"/>
        <v/>
      </c>
      <c r="K1478" s="69" t="str">
        <f t="shared" si="6"/>
        <v/>
      </c>
      <c r="L1478" s="60" t="str">
        <f t="shared" si="7"/>
        <v/>
      </c>
      <c r="M1478" s="61" t="str">
        <f>IFERROR(__xludf.DUMMYFUNCTION("IFS(AND(COUNTA(C1478:C1644)=0,COUNTA(Q1478:Q1644)=0),"""",OR(AND(K1478&gt;=1000000000,OR(Y1478&gt;=1000000000,COUNTA(Q1478:Q1644)=0)),OR(Y1478&gt;=1000000000,AND(COUNTA(C1478:C1644)=0,P$3=TRUE))),
ROUNDDOWN((AB$1-AC$1)*MAX(INDEX(T$4:T1644,MATCH(LARGE(FILTER(Y$4:Y1"&amp;"644,Y$4:Y1644&lt;1000000000),1),Y$4:Y1644)),INDEX(F$4:F1644,MATCH(LARGE(FILTER(K$4:K1644,K$4:K1644&lt;1000000000),1),K$4:K1644)))),AND(K1478&lt;1000000000,COUNTA(C1478:C1644)&gt;0,P$3=FALSE),
ROUNDDOWN(INDEX(Y$4:Y1644,MATCH(LARGE(FILTER(W$4:W1644,W$4:W1644&lt;=I1478),1)"&amp;",W$4:W1644))+(I1478-LARGE(FILTER(W$4:W1644,W$4:W1644&lt;=I1478),1))*INDEX(T$4:T1644,MATCH(LARGE(FILTER(W$4:W1644,W$4:W1644&lt;=I1478),1),W$4:W1644))-K1478),1,
ROUNDDOWN(Y1478-INDEX(K$4:K1644,MATCH(LARGE(FILTER(I$4:I1644,I$4:I1644&lt;=W1478),1),I$4:I1644))-(W1478-L"&amp;"ARGE(FILTER(I$4:I1644,I$4:I1644&lt;=W1478),1))*INDEX(F$4:F1644,MATCH(LARGE(FILTER(I$4:I1644,I$4:I1644&lt;=W1478),1),I$4:I1644))))"),"")</f>
        <v/>
      </c>
      <c r="N1478" s="60" t="str">
        <f t="shared" si="8"/>
        <v/>
      </c>
      <c r="O1478" s="61" t="str">
        <f t="shared" si="9"/>
        <v/>
      </c>
      <c r="P1478" s="56" t="str">
        <f t="shared" si="10"/>
        <v/>
      </c>
      <c r="Q1478" s="105"/>
      <c r="R1478" s="10"/>
      <c r="S1478" s="59" t="str">
        <f t="array" ref="S1478">IF(COUNTA(Q1478:Q1644)=0,"",SUM((COUNTIF(Q$4:Q1478,Upgrades!$B$3:$B$13)-COUNTIF(Q$4:Q1478,"Sell_"&amp;Upgrades!$B$3:$B$13))*Upgrades!$D$3:$D$13))</f>
        <v/>
      </c>
      <c r="T1478" s="66" t="str">
        <f>IFERROR(__xludf.DUMMYFUNCTION("IF(COUNTA(Q1478:Q1644)=0,"""",IF(REGEXMATCH(INDEX(FILTER(Q$4:Q1478,Q$4:Q1478&lt;&gt;""""),ROWS(FILTER(Q$4:Q1478,Q$4:Q1478&lt;&gt;""""))),""^Sell_""),INDEX(FILTER(T$4:T1477,Q$4:Q1477&lt;&gt;""""),ROWS(FILTER(Q$4:Q1477,Q$4:Q1477&lt;&gt;""""))),$AD$5+S1478))"),"")</f>
        <v/>
      </c>
      <c r="U1478" s="10" t="str">
        <f>IFERROR(__xludf.DUMMYFUNCTION("IF(COUNTA(Q1478:Q1644)=0,"""",IF(Q1478="""",0,IF(REGEXMATCH(Q1478,""^Sell_""),-ROUNDDOWN(ROUNDUP(INDEX(Upgrades!$C$3:$C$13,MATCH(SUBSTITUTE(Q1478,""Sell_"",""""),Upgrades!$B$3:$B$13,0))*1.15^(COUNTIF(Q$4:Q1477,SUBSTITUTE(Q1478,""Sell_"",""""))-COUNTIF(Q$4"&amp;":Q1477,""Sell_""&amp;SUBSTITUTE(Q1478,""Sell_"",""""))))/2),ROUNDUP(INDEX(Upgrades!$C$3:$C$13,MATCH(Q1478,Upgrades!$B$3:$B$13,0))*1.15^(COUNTIF(Q$4:Q1477,Q1478)-COUNTIF(Q$4:Q1477,""Sell_""&amp;Q1478))))))"),"")</f>
        <v/>
      </c>
      <c r="V1478" s="10" t="str">
        <f t="shared" si="11"/>
        <v/>
      </c>
      <c r="W1478" s="68" t="str">
        <f t="shared" si="12"/>
        <v/>
      </c>
      <c r="X1478" s="59" t="str">
        <f t="shared" si="13"/>
        <v/>
      </c>
      <c r="Y1478" s="69" t="str">
        <f t="shared" si="14"/>
        <v/>
      </c>
      <c r="Z1478" s="11"/>
      <c r="AG1478" s="59"/>
    </row>
    <row r="1479">
      <c r="A1479" s="8"/>
      <c r="B1479" s="56" t="str">
        <f t="shared" si="2"/>
        <v/>
      </c>
      <c r="C1479" s="105"/>
      <c r="D1479" s="10"/>
      <c r="E1479" s="59" t="str">
        <f t="array" ref="E1479">IF(COUNTA(C1479:C1644)=0,"",SUM((COUNTIF(C$4:C1479,Upgrades!$B$3:$B$13)-COUNTIF(C$4:C1479,"Sell_"&amp;Upgrades!$B$3:$B$13))*Upgrades!$D$3:$D$13))</f>
        <v/>
      </c>
      <c r="F1479" s="66" t="str">
        <f>IFERROR(__xludf.DUMMYFUNCTION("IF(COUNTA(C1479:C1644)=0,"""",IF(REGEXMATCH(INDEX(FILTER(C$4:C1479,C$4:C1479&lt;&gt;""""),ROWS(FILTER(C$4:C1479,C$4:C1479&lt;&gt;""""))),""^Sell_""),INDEX(FILTER(F$4:F1478,C$4:C1478&lt;&gt;""""),ROWS(FILTER(C$4:C1478,C$4:C1478&lt;&gt;""""))),$AC$5+E1479))"),"")</f>
        <v/>
      </c>
      <c r="G1479" s="10" t="str">
        <f>IFERROR(__xludf.DUMMYFUNCTION("IF(COUNTA(C1479:C1644)=0,"""",IF(C1479="""",0,IF(REGEXMATCH(C1479,""^Sell_""),-ROUNDDOWN(ROUNDUP(INDEX(Upgrades!$C$3:$C$13,MATCH(SUBSTITUTE(C1479,""Sell_"",""""),Upgrades!$B$3:$B$13,0))*1.15^(COUNTIF(C$4:C1478,SUBSTITUTE(C1479,""Sell_"",""""))-COUNTIF(C$4"&amp;":C1478,""Sell_""&amp;SUBSTITUTE(C1479,""Sell_"",""""))))/2),ROUNDUP(INDEX(Upgrades!$C$3:$C$13,MATCH(C1479,Upgrades!$B$3:$B$13,0))*1.15^(COUNTIF(C$4:C1478,C1479)-COUNTIF(C$4:C1478,""Sell_""&amp;C1479))))))"),"")</f>
        <v/>
      </c>
      <c r="H1479" s="10" t="str">
        <f t="shared" si="3"/>
        <v/>
      </c>
      <c r="I1479" s="68" t="str">
        <f t="shared" si="4"/>
        <v/>
      </c>
      <c r="J1479" s="59" t="str">
        <f t="shared" si="5"/>
        <v/>
      </c>
      <c r="K1479" s="69" t="str">
        <f t="shared" si="6"/>
        <v/>
      </c>
      <c r="L1479" s="60" t="str">
        <f t="shared" si="7"/>
        <v/>
      </c>
      <c r="M1479" s="61" t="str">
        <f>IFERROR(__xludf.DUMMYFUNCTION("IFS(AND(COUNTA(C1479:C1644)=0,COUNTA(Q1479:Q1644)=0),"""",OR(AND(K1479&gt;=1000000000,OR(Y1479&gt;=1000000000,COUNTA(Q1479:Q1644)=0)),OR(Y1479&gt;=1000000000,AND(COUNTA(C1479:C1644)=0,P$3=TRUE))),
ROUNDDOWN((AB$1-AC$1)*MAX(INDEX(T$4:T1644,MATCH(LARGE(FILTER(Y$4:Y1"&amp;"644,Y$4:Y1644&lt;1000000000),1),Y$4:Y1644)),INDEX(F$4:F1644,MATCH(LARGE(FILTER(K$4:K1644,K$4:K1644&lt;1000000000),1),K$4:K1644)))),AND(K1479&lt;1000000000,COUNTA(C1479:C1644)&gt;0,P$3=FALSE),
ROUNDDOWN(INDEX(Y$4:Y1644,MATCH(LARGE(FILTER(W$4:W1644,W$4:W1644&lt;=I1479),1)"&amp;",W$4:W1644))+(I1479-LARGE(FILTER(W$4:W1644,W$4:W1644&lt;=I1479),1))*INDEX(T$4:T1644,MATCH(LARGE(FILTER(W$4:W1644,W$4:W1644&lt;=I1479),1),W$4:W1644))-K1479),1,
ROUNDDOWN(Y1479-INDEX(K$4:K1644,MATCH(LARGE(FILTER(I$4:I1644,I$4:I1644&lt;=W1479),1),I$4:I1644))-(W1479-L"&amp;"ARGE(FILTER(I$4:I1644,I$4:I1644&lt;=W1479),1))*INDEX(F$4:F1644,MATCH(LARGE(FILTER(I$4:I1644,I$4:I1644&lt;=W1479),1),I$4:I1644))))"),"")</f>
        <v/>
      </c>
      <c r="N1479" s="60" t="str">
        <f t="shared" si="8"/>
        <v/>
      </c>
      <c r="O1479" s="61" t="str">
        <f t="shared" si="9"/>
        <v/>
      </c>
      <c r="P1479" s="56" t="str">
        <f t="shared" si="10"/>
        <v/>
      </c>
      <c r="Q1479" s="105"/>
      <c r="R1479" s="10"/>
      <c r="S1479" s="59" t="str">
        <f t="array" ref="S1479">IF(COUNTA(Q1479:Q1644)=0,"",SUM((COUNTIF(Q$4:Q1479,Upgrades!$B$3:$B$13)-COUNTIF(Q$4:Q1479,"Sell_"&amp;Upgrades!$B$3:$B$13))*Upgrades!$D$3:$D$13))</f>
        <v/>
      </c>
      <c r="T1479" s="66" t="str">
        <f>IFERROR(__xludf.DUMMYFUNCTION("IF(COUNTA(Q1479:Q1644)=0,"""",IF(REGEXMATCH(INDEX(FILTER(Q$4:Q1479,Q$4:Q1479&lt;&gt;""""),ROWS(FILTER(Q$4:Q1479,Q$4:Q1479&lt;&gt;""""))),""^Sell_""),INDEX(FILTER(T$4:T1478,Q$4:Q1478&lt;&gt;""""),ROWS(FILTER(Q$4:Q1478,Q$4:Q1478&lt;&gt;""""))),$AD$5+S1479))"),"")</f>
        <v/>
      </c>
      <c r="U1479" s="10" t="str">
        <f>IFERROR(__xludf.DUMMYFUNCTION("IF(COUNTA(Q1479:Q1644)=0,"""",IF(Q1479="""",0,IF(REGEXMATCH(Q1479,""^Sell_""),-ROUNDDOWN(ROUNDUP(INDEX(Upgrades!$C$3:$C$13,MATCH(SUBSTITUTE(Q1479,""Sell_"",""""),Upgrades!$B$3:$B$13,0))*1.15^(COUNTIF(Q$4:Q1478,SUBSTITUTE(Q1479,""Sell_"",""""))-COUNTIF(Q$4"&amp;":Q1478,""Sell_""&amp;SUBSTITUTE(Q1479,""Sell_"",""""))))/2),ROUNDUP(INDEX(Upgrades!$C$3:$C$13,MATCH(Q1479,Upgrades!$B$3:$B$13,0))*1.15^(COUNTIF(Q$4:Q1478,Q1479)-COUNTIF(Q$4:Q1478,""Sell_""&amp;Q1479))))))"),"")</f>
        <v/>
      </c>
      <c r="V1479" s="10" t="str">
        <f t="shared" si="11"/>
        <v/>
      </c>
      <c r="W1479" s="68" t="str">
        <f t="shared" si="12"/>
        <v/>
      </c>
      <c r="X1479" s="59" t="str">
        <f t="shared" si="13"/>
        <v/>
      </c>
      <c r="Y1479" s="69" t="str">
        <f t="shared" si="14"/>
        <v/>
      </c>
      <c r="Z1479" s="11"/>
      <c r="AG1479" s="59"/>
    </row>
    <row r="1480">
      <c r="A1480" s="8"/>
      <c r="B1480" s="56" t="str">
        <f t="shared" si="2"/>
        <v/>
      </c>
      <c r="C1480" s="105"/>
      <c r="D1480" s="10"/>
      <c r="E1480" s="59" t="str">
        <f t="array" ref="E1480">IF(COUNTA(C1480:C1644)=0,"",SUM((COUNTIF(C$4:C1480,Upgrades!$B$3:$B$13)-COUNTIF(C$4:C1480,"Sell_"&amp;Upgrades!$B$3:$B$13))*Upgrades!$D$3:$D$13))</f>
        <v/>
      </c>
      <c r="F1480" s="66" t="str">
        <f>IFERROR(__xludf.DUMMYFUNCTION("IF(COUNTA(C1480:C1644)=0,"""",IF(REGEXMATCH(INDEX(FILTER(C$4:C1480,C$4:C1480&lt;&gt;""""),ROWS(FILTER(C$4:C1480,C$4:C1480&lt;&gt;""""))),""^Sell_""),INDEX(FILTER(F$4:F1479,C$4:C1479&lt;&gt;""""),ROWS(FILTER(C$4:C1479,C$4:C1479&lt;&gt;""""))),$AC$5+E1480))"),"")</f>
        <v/>
      </c>
      <c r="G1480" s="10" t="str">
        <f>IFERROR(__xludf.DUMMYFUNCTION("IF(COUNTA(C1480:C1644)=0,"""",IF(C1480="""",0,IF(REGEXMATCH(C1480,""^Sell_""),-ROUNDDOWN(ROUNDUP(INDEX(Upgrades!$C$3:$C$13,MATCH(SUBSTITUTE(C1480,""Sell_"",""""),Upgrades!$B$3:$B$13,0))*1.15^(COUNTIF(C$4:C1479,SUBSTITUTE(C1480,""Sell_"",""""))-COUNTIF(C$4"&amp;":C1479,""Sell_""&amp;SUBSTITUTE(C1480,""Sell_"",""""))))/2),ROUNDUP(INDEX(Upgrades!$C$3:$C$13,MATCH(C1480,Upgrades!$B$3:$B$13,0))*1.15^(COUNTIF(C$4:C1479,C1480)-COUNTIF(C$4:C1479,""Sell_""&amp;C1480))))))"),"")</f>
        <v/>
      </c>
      <c r="H1480" s="10" t="str">
        <f t="shared" si="3"/>
        <v/>
      </c>
      <c r="I1480" s="68" t="str">
        <f t="shared" si="4"/>
        <v/>
      </c>
      <c r="J1480" s="59" t="str">
        <f t="shared" si="5"/>
        <v/>
      </c>
      <c r="K1480" s="69" t="str">
        <f t="shared" si="6"/>
        <v/>
      </c>
      <c r="L1480" s="60" t="str">
        <f t="shared" si="7"/>
        <v/>
      </c>
      <c r="M1480" s="61" t="str">
        <f>IFERROR(__xludf.DUMMYFUNCTION("IFS(AND(COUNTA(C1480:C1644)=0,COUNTA(Q1480:Q1644)=0),"""",OR(AND(K1480&gt;=1000000000,OR(Y1480&gt;=1000000000,COUNTA(Q1480:Q1644)=0)),OR(Y1480&gt;=1000000000,AND(COUNTA(C1480:C1644)=0,P$3=TRUE))),
ROUNDDOWN((AB$1-AC$1)*MAX(INDEX(T$4:T1644,MATCH(LARGE(FILTER(Y$4:Y1"&amp;"644,Y$4:Y1644&lt;1000000000),1),Y$4:Y1644)),INDEX(F$4:F1644,MATCH(LARGE(FILTER(K$4:K1644,K$4:K1644&lt;1000000000),1),K$4:K1644)))),AND(K1480&lt;1000000000,COUNTA(C1480:C1644)&gt;0,P$3=FALSE),
ROUNDDOWN(INDEX(Y$4:Y1644,MATCH(LARGE(FILTER(W$4:W1644,W$4:W1644&lt;=I1480),1)"&amp;",W$4:W1644))+(I1480-LARGE(FILTER(W$4:W1644,W$4:W1644&lt;=I1480),1))*INDEX(T$4:T1644,MATCH(LARGE(FILTER(W$4:W1644,W$4:W1644&lt;=I1480),1),W$4:W1644))-K1480),1,
ROUNDDOWN(Y1480-INDEX(K$4:K1644,MATCH(LARGE(FILTER(I$4:I1644,I$4:I1644&lt;=W1480),1),I$4:I1644))-(W1480-L"&amp;"ARGE(FILTER(I$4:I1644,I$4:I1644&lt;=W1480),1))*INDEX(F$4:F1644,MATCH(LARGE(FILTER(I$4:I1644,I$4:I1644&lt;=W1480),1),I$4:I1644))))"),"")</f>
        <v/>
      </c>
      <c r="N1480" s="60" t="str">
        <f t="shared" si="8"/>
        <v/>
      </c>
      <c r="O1480" s="61" t="str">
        <f t="shared" si="9"/>
        <v/>
      </c>
      <c r="P1480" s="56" t="str">
        <f t="shared" si="10"/>
        <v/>
      </c>
      <c r="Q1480" s="105"/>
      <c r="R1480" s="10"/>
      <c r="S1480" s="59" t="str">
        <f t="array" ref="S1480">IF(COUNTA(Q1480:Q1644)=0,"",SUM((COUNTIF(Q$4:Q1480,Upgrades!$B$3:$B$13)-COUNTIF(Q$4:Q1480,"Sell_"&amp;Upgrades!$B$3:$B$13))*Upgrades!$D$3:$D$13))</f>
        <v/>
      </c>
      <c r="T1480" s="66" t="str">
        <f>IFERROR(__xludf.DUMMYFUNCTION("IF(COUNTA(Q1480:Q1644)=0,"""",IF(REGEXMATCH(INDEX(FILTER(Q$4:Q1480,Q$4:Q1480&lt;&gt;""""),ROWS(FILTER(Q$4:Q1480,Q$4:Q1480&lt;&gt;""""))),""^Sell_""),INDEX(FILTER(T$4:T1479,Q$4:Q1479&lt;&gt;""""),ROWS(FILTER(Q$4:Q1479,Q$4:Q1479&lt;&gt;""""))),$AD$5+S1480))"),"")</f>
        <v/>
      </c>
      <c r="U1480" s="10" t="str">
        <f>IFERROR(__xludf.DUMMYFUNCTION("IF(COUNTA(Q1480:Q1644)=0,"""",IF(Q1480="""",0,IF(REGEXMATCH(Q1480,""^Sell_""),-ROUNDDOWN(ROUNDUP(INDEX(Upgrades!$C$3:$C$13,MATCH(SUBSTITUTE(Q1480,""Sell_"",""""),Upgrades!$B$3:$B$13,0))*1.15^(COUNTIF(Q$4:Q1479,SUBSTITUTE(Q1480,""Sell_"",""""))-COUNTIF(Q$4"&amp;":Q1479,""Sell_""&amp;SUBSTITUTE(Q1480,""Sell_"",""""))))/2),ROUNDUP(INDEX(Upgrades!$C$3:$C$13,MATCH(Q1480,Upgrades!$B$3:$B$13,0))*1.15^(COUNTIF(Q$4:Q1479,Q1480)-COUNTIF(Q$4:Q1479,""Sell_""&amp;Q1480))))))"),"")</f>
        <v/>
      </c>
      <c r="V1480" s="10" t="str">
        <f t="shared" si="11"/>
        <v/>
      </c>
      <c r="W1480" s="68" t="str">
        <f t="shared" si="12"/>
        <v/>
      </c>
      <c r="X1480" s="59" t="str">
        <f t="shared" si="13"/>
        <v/>
      </c>
      <c r="Y1480" s="69" t="str">
        <f t="shared" si="14"/>
        <v/>
      </c>
      <c r="Z1480" s="11"/>
      <c r="AG1480" s="59"/>
    </row>
    <row r="1481">
      <c r="A1481" s="8"/>
      <c r="B1481" s="56" t="str">
        <f t="shared" si="2"/>
        <v/>
      </c>
      <c r="C1481" s="105"/>
      <c r="D1481" s="10"/>
      <c r="E1481" s="59" t="str">
        <f t="array" ref="E1481">IF(COUNTA(C1481:C1644)=0,"",SUM((COUNTIF(C$4:C1481,Upgrades!$B$3:$B$13)-COUNTIF(C$4:C1481,"Sell_"&amp;Upgrades!$B$3:$B$13))*Upgrades!$D$3:$D$13))</f>
        <v/>
      </c>
      <c r="F1481" s="66" t="str">
        <f>IFERROR(__xludf.DUMMYFUNCTION("IF(COUNTA(C1481:C1644)=0,"""",IF(REGEXMATCH(INDEX(FILTER(C$4:C1481,C$4:C1481&lt;&gt;""""),ROWS(FILTER(C$4:C1481,C$4:C1481&lt;&gt;""""))),""^Sell_""),INDEX(FILTER(F$4:F1480,C$4:C1480&lt;&gt;""""),ROWS(FILTER(C$4:C1480,C$4:C1480&lt;&gt;""""))),$AC$5+E1481))"),"")</f>
        <v/>
      </c>
      <c r="G1481" s="10" t="str">
        <f>IFERROR(__xludf.DUMMYFUNCTION("IF(COUNTA(C1481:C1644)=0,"""",IF(C1481="""",0,IF(REGEXMATCH(C1481,""^Sell_""),-ROUNDDOWN(ROUNDUP(INDEX(Upgrades!$C$3:$C$13,MATCH(SUBSTITUTE(C1481,""Sell_"",""""),Upgrades!$B$3:$B$13,0))*1.15^(COUNTIF(C$4:C1480,SUBSTITUTE(C1481,""Sell_"",""""))-COUNTIF(C$4"&amp;":C1480,""Sell_""&amp;SUBSTITUTE(C1481,""Sell_"",""""))))/2),ROUNDUP(INDEX(Upgrades!$C$3:$C$13,MATCH(C1481,Upgrades!$B$3:$B$13,0))*1.15^(COUNTIF(C$4:C1480,C1481)-COUNTIF(C$4:C1480,""Sell_""&amp;C1481))))))"),"")</f>
        <v/>
      </c>
      <c r="H1481" s="10" t="str">
        <f t="shared" si="3"/>
        <v/>
      </c>
      <c r="I1481" s="68" t="str">
        <f t="shared" si="4"/>
        <v/>
      </c>
      <c r="J1481" s="59" t="str">
        <f t="shared" si="5"/>
        <v/>
      </c>
      <c r="K1481" s="69" t="str">
        <f t="shared" si="6"/>
        <v/>
      </c>
      <c r="L1481" s="60" t="str">
        <f t="shared" si="7"/>
        <v/>
      </c>
      <c r="M1481" s="61" t="str">
        <f>IFERROR(__xludf.DUMMYFUNCTION("IFS(AND(COUNTA(C1481:C1644)=0,COUNTA(Q1481:Q1644)=0),"""",OR(AND(K1481&gt;=1000000000,OR(Y1481&gt;=1000000000,COUNTA(Q1481:Q1644)=0)),OR(Y1481&gt;=1000000000,AND(COUNTA(C1481:C1644)=0,P$3=TRUE))),
ROUNDDOWN((AB$1-AC$1)*MAX(INDEX(T$4:T1644,MATCH(LARGE(FILTER(Y$4:Y1"&amp;"644,Y$4:Y1644&lt;1000000000),1),Y$4:Y1644)),INDEX(F$4:F1644,MATCH(LARGE(FILTER(K$4:K1644,K$4:K1644&lt;1000000000),1),K$4:K1644)))),AND(K1481&lt;1000000000,COUNTA(C1481:C1644)&gt;0,P$3=FALSE),
ROUNDDOWN(INDEX(Y$4:Y1644,MATCH(LARGE(FILTER(W$4:W1644,W$4:W1644&lt;=I1481),1)"&amp;",W$4:W1644))+(I1481-LARGE(FILTER(W$4:W1644,W$4:W1644&lt;=I1481),1))*INDEX(T$4:T1644,MATCH(LARGE(FILTER(W$4:W1644,W$4:W1644&lt;=I1481),1),W$4:W1644))-K1481),1,
ROUNDDOWN(Y1481-INDEX(K$4:K1644,MATCH(LARGE(FILTER(I$4:I1644,I$4:I1644&lt;=W1481),1),I$4:I1644))-(W1481-L"&amp;"ARGE(FILTER(I$4:I1644,I$4:I1644&lt;=W1481),1))*INDEX(F$4:F1644,MATCH(LARGE(FILTER(I$4:I1644,I$4:I1644&lt;=W1481),1),I$4:I1644))))"),"")</f>
        <v/>
      </c>
      <c r="N1481" s="60" t="str">
        <f t="shared" si="8"/>
        <v/>
      </c>
      <c r="O1481" s="61" t="str">
        <f t="shared" si="9"/>
        <v/>
      </c>
      <c r="P1481" s="56" t="str">
        <f t="shared" si="10"/>
        <v/>
      </c>
      <c r="Q1481" s="105"/>
      <c r="R1481" s="10"/>
      <c r="S1481" s="59" t="str">
        <f t="array" ref="S1481">IF(COUNTA(Q1481:Q1644)=0,"",SUM((COUNTIF(Q$4:Q1481,Upgrades!$B$3:$B$13)-COUNTIF(Q$4:Q1481,"Sell_"&amp;Upgrades!$B$3:$B$13))*Upgrades!$D$3:$D$13))</f>
        <v/>
      </c>
      <c r="T1481" s="66" t="str">
        <f>IFERROR(__xludf.DUMMYFUNCTION("IF(COUNTA(Q1481:Q1644)=0,"""",IF(REGEXMATCH(INDEX(FILTER(Q$4:Q1481,Q$4:Q1481&lt;&gt;""""),ROWS(FILTER(Q$4:Q1481,Q$4:Q1481&lt;&gt;""""))),""^Sell_""),INDEX(FILTER(T$4:T1480,Q$4:Q1480&lt;&gt;""""),ROWS(FILTER(Q$4:Q1480,Q$4:Q1480&lt;&gt;""""))),$AD$5+S1481))"),"")</f>
        <v/>
      </c>
      <c r="U1481" s="10" t="str">
        <f>IFERROR(__xludf.DUMMYFUNCTION("IF(COUNTA(Q1481:Q1644)=0,"""",IF(Q1481="""",0,IF(REGEXMATCH(Q1481,""^Sell_""),-ROUNDDOWN(ROUNDUP(INDEX(Upgrades!$C$3:$C$13,MATCH(SUBSTITUTE(Q1481,""Sell_"",""""),Upgrades!$B$3:$B$13,0))*1.15^(COUNTIF(Q$4:Q1480,SUBSTITUTE(Q1481,""Sell_"",""""))-COUNTIF(Q$4"&amp;":Q1480,""Sell_""&amp;SUBSTITUTE(Q1481,""Sell_"",""""))))/2),ROUNDUP(INDEX(Upgrades!$C$3:$C$13,MATCH(Q1481,Upgrades!$B$3:$B$13,0))*1.15^(COUNTIF(Q$4:Q1480,Q1481)-COUNTIF(Q$4:Q1480,""Sell_""&amp;Q1481))))))"),"")</f>
        <v/>
      </c>
      <c r="V1481" s="10" t="str">
        <f t="shared" si="11"/>
        <v/>
      </c>
      <c r="W1481" s="68" t="str">
        <f t="shared" si="12"/>
        <v/>
      </c>
      <c r="X1481" s="59" t="str">
        <f t="shared" si="13"/>
        <v/>
      </c>
      <c r="Y1481" s="69" t="str">
        <f t="shared" si="14"/>
        <v/>
      </c>
      <c r="Z1481" s="11"/>
      <c r="AG1481" s="59"/>
    </row>
    <row r="1482">
      <c r="A1482" s="8"/>
      <c r="B1482" s="56" t="str">
        <f t="shared" si="2"/>
        <v/>
      </c>
      <c r="C1482" s="105"/>
      <c r="D1482" s="10"/>
      <c r="E1482" s="59" t="str">
        <f t="array" ref="E1482">IF(COUNTA(C1482:C1644)=0,"",SUM((COUNTIF(C$4:C1482,Upgrades!$B$3:$B$13)-COUNTIF(C$4:C1482,"Sell_"&amp;Upgrades!$B$3:$B$13))*Upgrades!$D$3:$D$13))</f>
        <v/>
      </c>
      <c r="F1482" s="66" t="str">
        <f>IFERROR(__xludf.DUMMYFUNCTION("IF(COUNTA(C1482:C1644)=0,"""",IF(REGEXMATCH(INDEX(FILTER(C$4:C1482,C$4:C1482&lt;&gt;""""),ROWS(FILTER(C$4:C1482,C$4:C1482&lt;&gt;""""))),""^Sell_""),INDEX(FILTER(F$4:F1481,C$4:C1481&lt;&gt;""""),ROWS(FILTER(C$4:C1481,C$4:C1481&lt;&gt;""""))),$AC$5+E1482))"),"")</f>
        <v/>
      </c>
      <c r="G1482" s="10" t="str">
        <f>IFERROR(__xludf.DUMMYFUNCTION("IF(COUNTA(C1482:C1644)=0,"""",IF(C1482="""",0,IF(REGEXMATCH(C1482,""^Sell_""),-ROUNDDOWN(ROUNDUP(INDEX(Upgrades!$C$3:$C$13,MATCH(SUBSTITUTE(C1482,""Sell_"",""""),Upgrades!$B$3:$B$13,0))*1.15^(COUNTIF(C$4:C1481,SUBSTITUTE(C1482,""Sell_"",""""))-COUNTIF(C$4"&amp;":C1481,""Sell_""&amp;SUBSTITUTE(C1482,""Sell_"",""""))))/2),ROUNDUP(INDEX(Upgrades!$C$3:$C$13,MATCH(C1482,Upgrades!$B$3:$B$13,0))*1.15^(COUNTIF(C$4:C1481,C1482)-COUNTIF(C$4:C1481,""Sell_""&amp;C1482))))))"),"")</f>
        <v/>
      </c>
      <c r="H1482" s="10" t="str">
        <f t="shared" si="3"/>
        <v/>
      </c>
      <c r="I1482" s="68" t="str">
        <f t="shared" si="4"/>
        <v/>
      </c>
      <c r="J1482" s="59" t="str">
        <f t="shared" si="5"/>
        <v/>
      </c>
      <c r="K1482" s="69" t="str">
        <f t="shared" si="6"/>
        <v/>
      </c>
      <c r="L1482" s="60" t="str">
        <f t="shared" si="7"/>
        <v/>
      </c>
      <c r="M1482" s="61" t="str">
        <f>IFERROR(__xludf.DUMMYFUNCTION("IFS(AND(COUNTA(C1482:C1644)=0,COUNTA(Q1482:Q1644)=0),"""",OR(AND(K1482&gt;=1000000000,OR(Y1482&gt;=1000000000,COUNTA(Q1482:Q1644)=0)),OR(Y1482&gt;=1000000000,AND(COUNTA(C1482:C1644)=0,P$3=TRUE))),
ROUNDDOWN((AB$1-AC$1)*MAX(INDEX(T$4:T1644,MATCH(LARGE(FILTER(Y$4:Y1"&amp;"644,Y$4:Y1644&lt;1000000000),1),Y$4:Y1644)),INDEX(F$4:F1644,MATCH(LARGE(FILTER(K$4:K1644,K$4:K1644&lt;1000000000),1),K$4:K1644)))),AND(K1482&lt;1000000000,COUNTA(C1482:C1644)&gt;0,P$3=FALSE),
ROUNDDOWN(INDEX(Y$4:Y1644,MATCH(LARGE(FILTER(W$4:W1644,W$4:W1644&lt;=I1482),1)"&amp;",W$4:W1644))+(I1482-LARGE(FILTER(W$4:W1644,W$4:W1644&lt;=I1482),1))*INDEX(T$4:T1644,MATCH(LARGE(FILTER(W$4:W1644,W$4:W1644&lt;=I1482),1),W$4:W1644))-K1482),1,
ROUNDDOWN(Y1482-INDEX(K$4:K1644,MATCH(LARGE(FILTER(I$4:I1644,I$4:I1644&lt;=W1482),1),I$4:I1644))-(W1482-L"&amp;"ARGE(FILTER(I$4:I1644,I$4:I1644&lt;=W1482),1))*INDEX(F$4:F1644,MATCH(LARGE(FILTER(I$4:I1644,I$4:I1644&lt;=W1482),1),I$4:I1644))))"),"")</f>
        <v/>
      </c>
      <c r="N1482" s="60" t="str">
        <f t="shared" si="8"/>
        <v/>
      </c>
      <c r="O1482" s="61" t="str">
        <f t="shared" si="9"/>
        <v/>
      </c>
      <c r="P1482" s="56" t="str">
        <f t="shared" si="10"/>
        <v/>
      </c>
      <c r="Q1482" s="105"/>
      <c r="R1482" s="10"/>
      <c r="S1482" s="59" t="str">
        <f t="array" ref="S1482">IF(COUNTA(Q1482:Q1644)=0,"",SUM((COUNTIF(Q$4:Q1482,Upgrades!$B$3:$B$13)-COUNTIF(Q$4:Q1482,"Sell_"&amp;Upgrades!$B$3:$B$13))*Upgrades!$D$3:$D$13))</f>
        <v/>
      </c>
      <c r="T1482" s="66" t="str">
        <f>IFERROR(__xludf.DUMMYFUNCTION("IF(COUNTA(Q1482:Q1644)=0,"""",IF(REGEXMATCH(INDEX(FILTER(Q$4:Q1482,Q$4:Q1482&lt;&gt;""""),ROWS(FILTER(Q$4:Q1482,Q$4:Q1482&lt;&gt;""""))),""^Sell_""),INDEX(FILTER(T$4:T1481,Q$4:Q1481&lt;&gt;""""),ROWS(FILTER(Q$4:Q1481,Q$4:Q1481&lt;&gt;""""))),$AD$5+S1482))"),"")</f>
        <v/>
      </c>
      <c r="U1482" s="10" t="str">
        <f>IFERROR(__xludf.DUMMYFUNCTION("IF(COUNTA(Q1482:Q1644)=0,"""",IF(Q1482="""",0,IF(REGEXMATCH(Q1482,""^Sell_""),-ROUNDDOWN(ROUNDUP(INDEX(Upgrades!$C$3:$C$13,MATCH(SUBSTITUTE(Q1482,""Sell_"",""""),Upgrades!$B$3:$B$13,0))*1.15^(COUNTIF(Q$4:Q1481,SUBSTITUTE(Q1482,""Sell_"",""""))-COUNTIF(Q$4"&amp;":Q1481,""Sell_""&amp;SUBSTITUTE(Q1482,""Sell_"",""""))))/2),ROUNDUP(INDEX(Upgrades!$C$3:$C$13,MATCH(Q1482,Upgrades!$B$3:$B$13,0))*1.15^(COUNTIF(Q$4:Q1481,Q1482)-COUNTIF(Q$4:Q1481,""Sell_""&amp;Q1482))))))"),"")</f>
        <v/>
      </c>
      <c r="V1482" s="10" t="str">
        <f t="shared" si="11"/>
        <v/>
      </c>
      <c r="W1482" s="68" t="str">
        <f t="shared" si="12"/>
        <v/>
      </c>
      <c r="X1482" s="59" t="str">
        <f t="shared" si="13"/>
        <v/>
      </c>
      <c r="Y1482" s="69" t="str">
        <f t="shared" si="14"/>
        <v/>
      </c>
      <c r="Z1482" s="11"/>
      <c r="AG1482" s="59"/>
    </row>
    <row r="1483">
      <c r="A1483" s="8"/>
      <c r="B1483" s="56" t="str">
        <f t="shared" si="2"/>
        <v/>
      </c>
      <c r="C1483" s="105"/>
      <c r="D1483" s="10"/>
      <c r="E1483" s="59" t="str">
        <f t="array" ref="E1483">IF(COUNTA(C1483:C1644)=0,"",SUM((COUNTIF(C$4:C1483,Upgrades!$B$3:$B$13)-COUNTIF(C$4:C1483,"Sell_"&amp;Upgrades!$B$3:$B$13))*Upgrades!$D$3:$D$13))</f>
        <v/>
      </c>
      <c r="F1483" s="66" t="str">
        <f>IFERROR(__xludf.DUMMYFUNCTION("IF(COUNTA(C1483:C1644)=0,"""",IF(REGEXMATCH(INDEX(FILTER(C$4:C1483,C$4:C1483&lt;&gt;""""),ROWS(FILTER(C$4:C1483,C$4:C1483&lt;&gt;""""))),""^Sell_""),INDEX(FILTER(F$4:F1482,C$4:C1482&lt;&gt;""""),ROWS(FILTER(C$4:C1482,C$4:C1482&lt;&gt;""""))),$AC$5+E1483))"),"")</f>
        <v/>
      </c>
      <c r="G1483" s="10" t="str">
        <f>IFERROR(__xludf.DUMMYFUNCTION("IF(COUNTA(C1483:C1644)=0,"""",IF(C1483="""",0,IF(REGEXMATCH(C1483,""^Sell_""),-ROUNDDOWN(ROUNDUP(INDEX(Upgrades!$C$3:$C$13,MATCH(SUBSTITUTE(C1483,""Sell_"",""""),Upgrades!$B$3:$B$13,0))*1.15^(COUNTIF(C$4:C1482,SUBSTITUTE(C1483,""Sell_"",""""))-COUNTIF(C$4"&amp;":C1482,""Sell_""&amp;SUBSTITUTE(C1483,""Sell_"",""""))))/2),ROUNDUP(INDEX(Upgrades!$C$3:$C$13,MATCH(C1483,Upgrades!$B$3:$B$13,0))*1.15^(COUNTIF(C$4:C1482,C1483)-COUNTIF(C$4:C1482,""Sell_""&amp;C1483))))))"),"")</f>
        <v/>
      </c>
      <c r="H1483" s="10" t="str">
        <f t="shared" si="3"/>
        <v/>
      </c>
      <c r="I1483" s="68" t="str">
        <f t="shared" si="4"/>
        <v/>
      </c>
      <c r="J1483" s="59" t="str">
        <f t="shared" si="5"/>
        <v/>
      </c>
      <c r="K1483" s="69" t="str">
        <f t="shared" si="6"/>
        <v/>
      </c>
      <c r="L1483" s="60" t="str">
        <f t="shared" si="7"/>
        <v/>
      </c>
      <c r="M1483" s="61" t="str">
        <f>IFERROR(__xludf.DUMMYFUNCTION("IFS(AND(COUNTA(C1483:C1644)=0,COUNTA(Q1483:Q1644)=0),"""",OR(AND(K1483&gt;=1000000000,OR(Y1483&gt;=1000000000,COUNTA(Q1483:Q1644)=0)),OR(Y1483&gt;=1000000000,AND(COUNTA(C1483:C1644)=0,P$3=TRUE))),
ROUNDDOWN((AB$1-AC$1)*MAX(INDEX(T$4:T1644,MATCH(LARGE(FILTER(Y$4:Y1"&amp;"644,Y$4:Y1644&lt;1000000000),1),Y$4:Y1644)),INDEX(F$4:F1644,MATCH(LARGE(FILTER(K$4:K1644,K$4:K1644&lt;1000000000),1),K$4:K1644)))),AND(K1483&lt;1000000000,COUNTA(C1483:C1644)&gt;0,P$3=FALSE),
ROUNDDOWN(INDEX(Y$4:Y1644,MATCH(LARGE(FILTER(W$4:W1644,W$4:W1644&lt;=I1483),1)"&amp;",W$4:W1644))+(I1483-LARGE(FILTER(W$4:W1644,W$4:W1644&lt;=I1483),1))*INDEX(T$4:T1644,MATCH(LARGE(FILTER(W$4:W1644,W$4:W1644&lt;=I1483),1),W$4:W1644))-K1483),1,
ROUNDDOWN(Y1483-INDEX(K$4:K1644,MATCH(LARGE(FILTER(I$4:I1644,I$4:I1644&lt;=W1483),1),I$4:I1644))-(W1483-L"&amp;"ARGE(FILTER(I$4:I1644,I$4:I1644&lt;=W1483),1))*INDEX(F$4:F1644,MATCH(LARGE(FILTER(I$4:I1644,I$4:I1644&lt;=W1483),1),I$4:I1644))))"),"")</f>
        <v/>
      </c>
      <c r="N1483" s="60" t="str">
        <f t="shared" si="8"/>
        <v/>
      </c>
      <c r="O1483" s="61" t="str">
        <f t="shared" si="9"/>
        <v/>
      </c>
      <c r="P1483" s="56" t="str">
        <f t="shared" si="10"/>
        <v/>
      </c>
      <c r="Q1483" s="105"/>
      <c r="R1483" s="10"/>
      <c r="S1483" s="59" t="str">
        <f t="array" ref="S1483">IF(COUNTA(Q1483:Q1644)=0,"",SUM((COUNTIF(Q$4:Q1483,Upgrades!$B$3:$B$13)-COUNTIF(Q$4:Q1483,"Sell_"&amp;Upgrades!$B$3:$B$13))*Upgrades!$D$3:$D$13))</f>
        <v/>
      </c>
      <c r="T1483" s="66" t="str">
        <f>IFERROR(__xludf.DUMMYFUNCTION("IF(COUNTA(Q1483:Q1644)=0,"""",IF(REGEXMATCH(INDEX(FILTER(Q$4:Q1483,Q$4:Q1483&lt;&gt;""""),ROWS(FILTER(Q$4:Q1483,Q$4:Q1483&lt;&gt;""""))),""^Sell_""),INDEX(FILTER(T$4:T1482,Q$4:Q1482&lt;&gt;""""),ROWS(FILTER(Q$4:Q1482,Q$4:Q1482&lt;&gt;""""))),$AD$5+S1483))"),"")</f>
        <v/>
      </c>
      <c r="U1483" s="10" t="str">
        <f>IFERROR(__xludf.DUMMYFUNCTION("IF(COUNTA(Q1483:Q1644)=0,"""",IF(Q1483="""",0,IF(REGEXMATCH(Q1483,""^Sell_""),-ROUNDDOWN(ROUNDUP(INDEX(Upgrades!$C$3:$C$13,MATCH(SUBSTITUTE(Q1483,""Sell_"",""""),Upgrades!$B$3:$B$13,0))*1.15^(COUNTIF(Q$4:Q1482,SUBSTITUTE(Q1483,""Sell_"",""""))-COUNTIF(Q$4"&amp;":Q1482,""Sell_""&amp;SUBSTITUTE(Q1483,""Sell_"",""""))))/2),ROUNDUP(INDEX(Upgrades!$C$3:$C$13,MATCH(Q1483,Upgrades!$B$3:$B$13,0))*1.15^(COUNTIF(Q$4:Q1482,Q1483)-COUNTIF(Q$4:Q1482,""Sell_""&amp;Q1483))))))"),"")</f>
        <v/>
      </c>
      <c r="V1483" s="10" t="str">
        <f t="shared" si="11"/>
        <v/>
      </c>
      <c r="W1483" s="68" t="str">
        <f t="shared" si="12"/>
        <v/>
      </c>
      <c r="X1483" s="59" t="str">
        <f t="shared" si="13"/>
        <v/>
      </c>
      <c r="Y1483" s="69" t="str">
        <f t="shared" si="14"/>
        <v/>
      </c>
      <c r="Z1483" s="11"/>
      <c r="AG1483" s="59"/>
    </row>
    <row r="1484">
      <c r="A1484" s="8"/>
      <c r="B1484" s="56" t="str">
        <f t="shared" si="2"/>
        <v/>
      </c>
      <c r="C1484" s="105"/>
      <c r="D1484" s="10"/>
      <c r="E1484" s="59" t="str">
        <f t="array" ref="E1484">IF(COUNTA(C1484:C1644)=0,"",SUM((COUNTIF(C$4:C1484,Upgrades!$B$3:$B$13)-COUNTIF(C$4:C1484,"Sell_"&amp;Upgrades!$B$3:$B$13))*Upgrades!$D$3:$D$13))</f>
        <v/>
      </c>
      <c r="F1484" s="66" t="str">
        <f>IFERROR(__xludf.DUMMYFUNCTION("IF(COUNTA(C1484:C1644)=0,"""",IF(REGEXMATCH(INDEX(FILTER(C$4:C1484,C$4:C1484&lt;&gt;""""),ROWS(FILTER(C$4:C1484,C$4:C1484&lt;&gt;""""))),""^Sell_""),INDEX(FILTER(F$4:F1483,C$4:C1483&lt;&gt;""""),ROWS(FILTER(C$4:C1483,C$4:C1483&lt;&gt;""""))),$AC$5+E1484))"),"")</f>
        <v/>
      </c>
      <c r="G1484" s="10" t="str">
        <f>IFERROR(__xludf.DUMMYFUNCTION("IF(COUNTA(C1484:C1644)=0,"""",IF(C1484="""",0,IF(REGEXMATCH(C1484,""^Sell_""),-ROUNDDOWN(ROUNDUP(INDEX(Upgrades!$C$3:$C$13,MATCH(SUBSTITUTE(C1484,""Sell_"",""""),Upgrades!$B$3:$B$13,0))*1.15^(COUNTIF(C$4:C1483,SUBSTITUTE(C1484,""Sell_"",""""))-COUNTIF(C$4"&amp;":C1483,""Sell_""&amp;SUBSTITUTE(C1484,""Sell_"",""""))))/2),ROUNDUP(INDEX(Upgrades!$C$3:$C$13,MATCH(C1484,Upgrades!$B$3:$B$13,0))*1.15^(COUNTIF(C$4:C1483,C1484)-COUNTIF(C$4:C1483,""Sell_""&amp;C1484))))))"),"")</f>
        <v/>
      </c>
      <c r="H1484" s="10" t="str">
        <f t="shared" si="3"/>
        <v/>
      </c>
      <c r="I1484" s="68" t="str">
        <f t="shared" si="4"/>
        <v/>
      </c>
      <c r="J1484" s="59" t="str">
        <f t="shared" si="5"/>
        <v/>
      </c>
      <c r="K1484" s="69" t="str">
        <f t="shared" si="6"/>
        <v/>
      </c>
      <c r="L1484" s="60" t="str">
        <f t="shared" si="7"/>
        <v/>
      </c>
      <c r="M1484" s="61" t="str">
        <f>IFERROR(__xludf.DUMMYFUNCTION("IFS(AND(COUNTA(C1484:C1644)=0,COUNTA(Q1484:Q1644)=0),"""",OR(AND(K1484&gt;=1000000000,OR(Y1484&gt;=1000000000,COUNTA(Q1484:Q1644)=0)),OR(Y1484&gt;=1000000000,AND(COUNTA(C1484:C1644)=0,P$3=TRUE))),
ROUNDDOWN((AB$1-AC$1)*MAX(INDEX(T$4:T1644,MATCH(LARGE(FILTER(Y$4:Y1"&amp;"644,Y$4:Y1644&lt;1000000000),1),Y$4:Y1644)),INDEX(F$4:F1644,MATCH(LARGE(FILTER(K$4:K1644,K$4:K1644&lt;1000000000),1),K$4:K1644)))),AND(K1484&lt;1000000000,COUNTA(C1484:C1644)&gt;0,P$3=FALSE),
ROUNDDOWN(INDEX(Y$4:Y1644,MATCH(LARGE(FILTER(W$4:W1644,W$4:W1644&lt;=I1484),1)"&amp;",W$4:W1644))+(I1484-LARGE(FILTER(W$4:W1644,W$4:W1644&lt;=I1484),1))*INDEX(T$4:T1644,MATCH(LARGE(FILTER(W$4:W1644,W$4:W1644&lt;=I1484),1),W$4:W1644))-K1484),1,
ROUNDDOWN(Y1484-INDEX(K$4:K1644,MATCH(LARGE(FILTER(I$4:I1644,I$4:I1644&lt;=W1484),1),I$4:I1644))-(W1484-L"&amp;"ARGE(FILTER(I$4:I1644,I$4:I1644&lt;=W1484),1))*INDEX(F$4:F1644,MATCH(LARGE(FILTER(I$4:I1644,I$4:I1644&lt;=W1484),1),I$4:I1644))))"),"")</f>
        <v/>
      </c>
      <c r="N1484" s="60" t="str">
        <f t="shared" si="8"/>
        <v/>
      </c>
      <c r="O1484" s="61" t="str">
        <f t="shared" si="9"/>
        <v/>
      </c>
      <c r="P1484" s="56" t="str">
        <f t="shared" si="10"/>
        <v/>
      </c>
      <c r="Q1484" s="105"/>
      <c r="R1484" s="10"/>
      <c r="S1484" s="59" t="str">
        <f t="array" ref="S1484">IF(COUNTA(Q1484:Q1644)=0,"",SUM((COUNTIF(Q$4:Q1484,Upgrades!$B$3:$B$13)-COUNTIF(Q$4:Q1484,"Sell_"&amp;Upgrades!$B$3:$B$13))*Upgrades!$D$3:$D$13))</f>
        <v/>
      </c>
      <c r="T1484" s="66" t="str">
        <f>IFERROR(__xludf.DUMMYFUNCTION("IF(COUNTA(Q1484:Q1644)=0,"""",IF(REGEXMATCH(INDEX(FILTER(Q$4:Q1484,Q$4:Q1484&lt;&gt;""""),ROWS(FILTER(Q$4:Q1484,Q$4:Q1484&lt;&gt;""""))),""^Sell_""),INDEX(FILTER(T$4:T1483,Q$4:Q1483&lt;&gt;""""),ROWS(FILTER(Q$4:Q1483,Q$4:Q1483&lt;&gt;""""))),$AD$5+S1484))"),"")</f>
        <v/>
      </c>
      <c r="U1484" s="10" t="str">
        <f>IFERROR(__xludf.DUMMYFUNCTION("IF(COUNTA(Q1484:Q1644)=0,"""",IF(Q1484="""",0,IF(REGEXMATCH(Q1484,""^Sell_""),-ROUNDDOWN(ROUNDUP(INDEX(Upgrades!$C$3:$C$13,MATCH(SUBSTITUTE(Q1484,""Sell_"",""""),Upgrades!$B$3:$B$13,0))*1.15^(COUNTIF(Q$4:Q1483,SUBSTITUTE(Q1484,""Sell_"",""""))-COUNTIF(Q$4"&amp;":Q1483,""Sell_""&amp;SUBSTITUTE(Q1484,""Sell_"",""""))))/2),ROUNDUP(INDEX(Upgrades!$C$3:$C$13,MATCH(Q1484,Upgrades!$B$3:$B$13,0))*1.15^(COUNTIF(Q$4:Q1483,Q1484)-COUNTIF(Q$4:Q1483,""Sell_""&amp;Q1484))))))"),"")</f>
        <v/>
      </c>
      <c r="V1484" s="10" t="str">
        <f t="shared" si="11"/>
        <v/>
      </c>
      <c r="W1484" s="68" t="str">
        <f t="shared" si="12"/>
        <v/>
      </c>
      <c r="X1484" s="59" t="str">
        <f t="shared" si="13"/>
        <v/>
      </c>
      <c r="Y1484" s="69" t="str">
        <f t="shared" si="14"/>
        <v/>
      </c>
      <c r="Z1484" s="11"/>
      <c r="AG1484" s="59"/>
    </row>
    <row r="1485">
      <c r="A1485" s="8"/>
      <c r="B1485" s="56" t="str">
        <f t="shared" si="2"/>
        <v/>
      </c>
      <c r="C1485" s="105"/>
      <c r="D1485" s="10"/>
      <c r="E1485" s="59" t="str">
        <f t="array" ref="E1485">IF(COUNTA(C1485:C1644)=0,"",SUM((COUNTIF(C$4:C1485,Upgrades!$B$3:$B$13)-COUNTIF(C$4:C1485,"Sell_"&amp;Upgrades!$B$3:$B$13))*Upgrades!$D$3:$D$13))</f>
        <v/>
      </c>
      <c r="F1485" s="66" t="str">
        <f>IFERROR(__xludf.DUMMYFUNCTION("IF(COUNTA(C1485:C1644)=0,"""",IF(REGEXMATCH(INDEX(FILTER(C$4:C1485,C$4:C1485&lt;&gt;""""),ROWS(FILTER(C$4:C1485,C$4:C1485&lt;&gt;""""))),""^Sell_""),INDEX(FILTER(F$4:F1484,C$4:C1484&lt;&gt;""""),ROWS(FILTER(C$4:C1484,C$4:C1484&lt;&gt;""""))),$AC$5+E1485))"),"")</f>
        <v/>
      </c>
      <c r="G1485" s="10" t="str">
        <f>IFERROR(__xludf.DUMMYFUNCTION("IF(COUNTA(C1485:C1644)=0,"""",IF(C1485="""",0,IF(REGEXMATCH(C1485,""^Sell_""),-ROUNDDOWN(ROUNDUP(INDEX(Upgrades!$C$3:$C$13,MATCH(SUBSTITUTE(C1485,""Sell_"",""""),Upgrades!$B$3:$B$13,0))*1.15^(COUNTIF(C$4:C1484,SUBSTITUTE(C1485,""Sell_"",""""))-COUNTIF(C$4"&amp;":C1484,""Sell_""&amp;SUBSTITUTE(C1485,""Sell_"",""""))))/2),ROUNDUP(INDEX(Upgrades!$C$3:$C$13,MATCH(C1485,Upgrades!$B$3:$B$13,0))*1.15^(COUNTIF(C$4:C1484,C1485)-COUNTIF(C$4:C1484,""Sell_""&amp;C1485))))))"),"")</f>
        <v/>
      </c>
      <c r="H1485" s="10" t="str">
        <f t="shared" si="3"/>
        <v/>
      </c>
      <c r="I1485" s="68" t="str">
        <f t="shared" si="4"/>
        <v/>
      </c>
      <c r="J1485" s="59" t="str">
        <f t="shared" si="5"/>
        <v/>
      </c>
      <c r="K1485" s="69" t="str">
        <f t="shared" si="6"/>
        <v/>
      </c>
      <c r="L1485" s="60" t="str">
        <f t="shared" si="7"/>
        <v/>
      </c>
      <c r="M1485" s="61" t="str">
        <f>IFERROR(__xludf.DUMMYFUNCTION("IFS(AND(COUNTA(C1485:C1644)=0,COUNTA(Q1485:Q1644)=0),"""",OR(AND(K1485&gt;=1000000000,OR(Y1485&gt;=1000000000,COUNTA(Q1485:Q1644)=0)),OR(Y1485&gt;=1000000000,AND(COUNTA(C1485:C1644)=0,P$3=TRUE))),
ROUNDDOWN((AB$1-AC$1)*MAX(INDEX(T$4:T1644,MATCH(LARGE(FILTER(Y$4:Y1"&amp;"644,Y$4:Y1644&lt;1000000000),1),Y$4:Y1644)),INDEX(F$4:F1644,MATCH(LARGE(FILTER(K$4:K1644,K$4:K1644&lt;1000000000),1),K$4:K1644)))),AND(K1485&lt;1000000000,COUNTA(C1485:C1644)&gt;0,P$3=FALSE),
ROUNDDOWN(INDEX(Y$4:Y1644,MATCH(LARGE(FILTER(W$4:W1644,W$4:W1644&lt;=I1485),1)"&amp;",W$4:W1644))+(I1485-LARGE(FILTER(W$4:W1644,W$4:W1644&lt;=I1485),1))*INDEX(T$4:T1644,MATCH(LARGE(FILTER(W$4:W1644,W$4:W1644&lt;=I1485),1),W$4:W1644))-K1485),1,
ROUNDDOWN(Y1485-INDEX(K$4:K1644,MATCH(LARGE(FILTER(I$4:I1644,I$4:I1644&lt;=W1485),1),I$4:I1644))-(W1485-L"&amp;"ARGE(FILTER(I$4:I1644,I$4:I1644&lt;=W1485),1))*INDEX(F$4:F1644,MATCH(LARGE(FILTER(I$4:I1644,I$4:I1644&lt;=W1485),1),I$4:I1644))))"),"")</f>
        <v/>
      </c>
      <c r="N1485" s="60" t="str">
        <f t="shared" si="8"/>
        <v/>
      </c>
      <c r="O1485" s="61" t="str">
        <f t="shared" si="9"/>
        <v/>
      </c>
      <c r="P1485" s="56" t="str">
        <f t="shared" si="10"/>
        <v/>
      </c>
      <c r="Q1485" s="105"/>
      <c r="R1485" s="10"/>
      <c r="S1485" s="59" t="str">
        <f t="array" ref="S1485">IF(COUNTA(Q1485:Q1644)=0,"",SUM((COUNTIF(Q$4:Q1485,Upgrades!$B$3:$B$13)-COUNTIF(Q$4:Q1485,"Sell_"&amp;Upgrades!$B$3:$B$13))*Upgrades!$D$3:$D$13))</f>
        <v/>
      </c>
      <c r="T1485" s="66" t="str">
        <f>IFERROR(__xludf.DUMMYFUNCTION("IF(COUNTA(Q1485:Q1644)=0,"""",IF(REGEXMATCH(INDEX(FILTER(Q$4:Q1485,Q$4:Q1485&lt;&gt;""""),ROWS(FILTER(Q$4:Q1485,Q$4:Q1485&lt;&gt;""""))),""^Sell_""),INDEX(FILTER(T$4:T1484,Q$4:Q1484&lt;&gt;""""),ROWS(FILTER(Q$4:Q1484,Q$4:Q1484&lt;&gt;""""))),$AD$5+S1485))"),"")</f>
        <v/>
      </c>
      <c r="U1485" s="10" t="str">
        <f>IFERROR(__xludf.DUMMYFUNCTION("IF(COUNTA(Q1485:Q1644)=0,"""",IF(Q1485="""",0,IF(REGEXMATCH(Q1485,""^Sell_""),-ROUNDDOWN(ROUNDUP(INDEX(Upgrades!$C$3:$C$13,MATCH(SUBSTITUTE(Q1485,""Sell_"",""""),Upgrades!$B$3:$B$13,0))*1.15^(COUNTIF(Q$4:Q1484,SUBSTITUTE(Q1485,""Sell_"",""""))-COUNTIF(Q$4"&amp;":Q1484,""Sell_""&amp;SUBSTITUTE(Q1485,""Sell_"",""""))))/2),ROUNDUP(INDEX(Upgrades!$C$3:$C$13,MATCH(Q1485,Upgrades!$B$3:$B$13,0))*1.15^(COUNTIF(Q$4:Q1484,Q1485)-COUNTIF(Q$4:Q1484,""Sell_""&amp;Q1485))))))"),"")</f>
        <v/>
      </c>
      <c r="V1485" s="10" t="str">
        <f t="shared" si="11"/>
        <v/>
      </c>
      <c r="W1485" s="68" t="str">
        <f t="shared" si="12"/>
        <v/>
      </c>
      <c r="X1485" s="59" t="str">
        <f t="shared" si="13"/>
        <v/>
      </c>
      <c r="Y1485" s="69" t="str">
        <f t="shared" si="14"/>
        <v/>
      </c>
      <c r="Z1485" s="11"/>
      <c r="AG1485" s="59"/>
    </row>
    <row r="1486">
      <c r="A1486" s="8"/>
      <c r="B1486" s="56" t="str">
        <f t="shared" si="2"/>
        <v/>
      </c>
      <c r="C1486" s="105"/>
      <c r="D1486" s="10"/>
      <c r="E1486" s="59" t="str">
        <f t="array" ref="E1486">IF(COUNTA(C1486:C1644)=0,"",SUM((COUNTIF(C$4:C1486,Upgrades!$B$3:$B$13)-COUNTIF(C$4:C1486,"Sell_"&amp;Upgrades!$B$3:$B$13))*Upgrades!$D$3:$D$13))</f>
        <v/>
      </c>
      <c r="F1486" s="66" t="str">
        <f>IFERROR(__xludf.DUMMYFUNCTION("IF(COUNTA(C1486:C1644)=0,"""",IF(REGEXMATCH(INDEX(FILTER(C$4:C1486,C$4:C1486&lt;&gt;""""),ROWS(FILTER(C$4:C1486,C$4:C1486&lt;&gt;""""))),""^Sell_""),INDEX(FILTER(F$4:F1485,C$4:C1485&lt;&gt;""""),ROWS(FILTER(C$4:C1485,C$4:C1485&lt;&gt;""""))),$AC$5+E1486))"),"")</f>
        <v/>
      </c>
      <c r="G1486" s="10" t="str">
        <f>IFERROR(__xludf.DUMMYFUNCTION("IF(COUNTA(C1486:C1644)=0,"""",IF(C1486="""",0,IF(REGEXMATCH(C1486,""^Sell_""),-ROUNDDOWN(ROUNDUP(INDEX(Upgrades!$C$3:$C$13,MATCH(SUBSTITUTE(C1486,""Sell_"",""""),Upgrades!$B$3:$B$13,0))*1.15^(COUNTIF(C$4:C1485,SUBSTITUTE(C1486,""Sell_"",""""))-COUNTIF(C$4"&amp;":C1485,""Sell_""&amp;SUBSTITUTE(C1486,""Sell_"",""""))))/2),ROUNDUP(INDEX(Upgrades!$C$3:$C$13,MATCH(C1486,Upgrades!$B$3:$B$13,0))*1.15^(COUNTIF(C$4:C1485,C1486)-COUNTIF(C$4:C1485,""Sell_""&amp;C1486))))))"),"")</f>
        <v/>
      </c>
      <c r="H1486" s="10" t="str">
        <f t="shared" si="3"/>
        <v/>
      </c>
      <c r="I1486" s="68" t="str">
        <f t="shared" si="4"/>
        <v/>
      </c>
      <c r="J1486" s="59" t="str">
        <f t="shared" si="5"/>
        <v/>
      </c>
      <c r="K1486" s="69" t="str">
        <f t="shared" si="6"/>
        <v/>
      </c>
      <c r="L1486" s="60" t="str">
        <f t="shared" si="7"/>
        <v/>
      </c>
      <c r="M1486" s="61" t="str">
        <f>IFERROR(__xludf.DUMMYFUNCTION("IFS(AND(COUNTA(C1486:C1644)=0,COUNTA(Q1486:Q1644)=0),"""",OR(AND(K1486&gt;=1000000000,OR(Y1486&gt;=1000000000,COUNTA(Q1486:Q1644)=0)),OR(Y1486&gt;=1000000000,AND(COUNTA(C1486:C1644)=0,P$3=TRUE))),
ROUNDDOWN((AB$1-AC$1)*MAX(INDEX(T$4:T1644,MATCH(LARGE(FILTER(Y$4:Y1"&amp;"644,Y$4:Y1644&lt;1000000000),1),Y$4:Y1644)),INDEX(F$4:F1644,MATCH(LARGE(FILTER(K$4:K1644,K$4:K1644&lt;1000000000),1),K$4:K1644)))),AND(K1486&lt;1000000000,COUNTA(C1486:C1644)&gt;0,P$3=FALSE),
ROUNDDOWN(INDEX(Y$4:Y1644,MATCH(LARGE(FILTER(W$4:W1644,W$4:W1644&lt;=I1486),1)"&amp;",W$4:W1644))+(I1486-LARGE(FILTER(W$4:W1644,W$4:W1644&lt;=I1486),1))*INDEX(T$4:T1644,MATCH(LARGE(FILTER(W$4:W1644,W$4:W1644&lt;=I1486),1),W$4:W1644))-K1486),1,
ROUNDDOWN(Y1486-INDEX(K$4:K1644,MATCH(LARGE(FILTER(I$4:I1644,I$4:I1644&lt;=W1486),1),I$4:I1644))-(W1486-L"&amp;"ARGE(FILTER(I$4:I1644,I$4:I1644&lt;=W1486),1))*INDEX(F$4:F1644,MATCH(LARGE(FILTER(I$4:I1644,I$4:I1644&lt;=W1486),1),I$4:I1644))))"),"")</f>
        <v/>
      </c>
      <c r="N1486" s="60" t="str">
        <f t="shared" si="8"/>
        <v/>
      </c>
      <c r="O1486" s="61" t="str">
        <f t="shared" si="9"/>
        <v/>
      </c>
      <c r="P1486" s="56" t="str">
        <f t="shared" si="10"/>
        <v/>
      </c>
      <c r="Q1486" s="105"/>
      <c r="R1486" s="10"/>
      <c r="S1486" s="59" t="str">
        <f t="array" ref="S1486">IF(COUNTA(Q1486:Q1644)=0,"",SUM((COUNTIF(Q$4:Q1486,Upgrades!$B$3:$B$13)-COUNTIF(Q$4:Q1486,"Sell_"&amp;Upgrades!$B$3:$B$13))*Upgrades!$D$3:$D$13))</f>
        <v/>
      </c>
      <c r="T1486" s="66" t="str">
        <f>IFERROR(__xludf.DUMMYFUNCTION("IF(COUNTA(Q1486:Q1644)=0,"""",IF(REGEXMATCH(INDEX(FILTER(Q$4:Q1486,Q$4:Q1486&lt;&gt;""""),ROWS(FILTER(Q$4:Q1486,Q$4:Q1486&lt;&gt;""""))),""^Sell_""),INDEX(FILTER(T$4:T1485,Q$4:Q1485&lt;&gt;""""),ROWS(FILTER(Q$4:Q1485,Q$4:Q1485&lt;&gt;""""))),$AD$5+S1486))"),"")</f>
        <v/>
      </c>
      <c r="U1486" s="10" t="str">
        <f>IFERROR(__xludf.DUMMYFUNCTION("IF(COUNTA(Q1486:Q1644)=0,"""",IF(Q1486="""",0,IF(REGEXMATCH(Q1486,""^Sell_""),-ROUNDDOWN(ROUNDUP(INDEX(Upgrades!$C$3:$C$13,MATCH(SUBSTITUTE(Q1486,""Sell_"",""""),Upgrades!$B$3:$B$13,0))*1.15^(COUNTIF(Q$4:Q1485,SUBSTITUTE(Q1486,""Sell_"",""""))-COUNTIF(Q$4"&amp;":Q1485,""Sell_""&amp;SUBSTITUTE(Q1486,""Sell_"",""""))))/2),ROUNDUP(INDEX(Upgrades!$C$3:$C$13,MATCH(Q1486,Upgrades!$B$3:$B$13,0))*1.15^(COUNTIF(Q$4:Q1485,Q1486)-COUNTIF(Q$4:Q1485,""Sell_""&amp;Q1486))))))"),"")</f>
        <v/>
      </c>
      <c r="V1486" s="10" t="str">
        <f t="shared" si="11"/>
        <v/>
      </c>
      <c r="W1486" s="68" t="str">
        <f t="shared" si="12"/>
        <v/>
      </c>
      <c r="X1486" s="59" t="str">
        <f t="shared" si="13"/>
        <v/>
      </c>
      <c r="Y1486" s="69" t="str">
        <f t="shared" si="14"/>
        <v/>
      </c>
      <c r="Z1486" s="11"/>
      <c r="AG1486" s="59"/>
    </row>
    <row r="1487">
      <c r="A1487" s="8"/>
      <c r="B1487" s="56" t="str">
        <f t="shared" si="2"/>
        <v/>
      </c>
      <c r="C1487" s="105"/>
      <c r="D1487" s="10"/>
      <c r="E1487" s="59" t="str">
        <f t="array" ref="E1487">IF(COUNTA(C1487:C1644)=0,"",SUM((COUNTIF(C$4:C1487,Upgrades!$B$3:$B$13)-COUNTIF(C$4:C1487,"Sell_"&amp;Upgrades!$B$3:$B$13))*Upgrades!$D$3:$D$13))</f>
        <v/>
      </c>
      <c r="F1487" s="66" t="str">
        <f>IFERROR(__xludf.DUMMYFUNCTION("IF(COUNTA(C1487:C1644)=0,"""",IF(REGEXMATCH(INDEX(FILTER(C$4:C1487,C$4:C1487&lt;&gt;""""),ROWS(FILTER(C$4:C1487,C$4:C1487&lt;&gt;""""))),""^Sell_""),INDEX(FILTER(F$4:F1486,C$4:C1486&lt;&gt;""""),ROWS(FILTER(C$4:C1486,C$4:C1486&lt;&gt;""""))),$AC$5+E1487))"),"")</f>
        <v/>
      </c>
      <c r="G1487" s="10" t="str">
        <f>IFERROR(__xludf.DUMMYFUNCTION("IF(COUNTA(C1487:C1644)=0,"""",IF(C1487="""",0,IF(REGEXMATCH(C1487,""^Sell_""),-ROUNDDOWN(ROUNDUP(INDEX(Upgrades!$C$3:$C$13,MATCH(SUBSTITUTE(C1487,""Sell_"",""""),Upgrades!$B$3:$B$13,0))*1.15^(COUNTIF(C$4:C1486,SUBSTITUTE(C1487,""Sell_"",""""))-COUNTIF(C$4"&amp;":C1486,""Sell_""&amp;SUBSTITUTE(C1487,""Sell_"",""""))))/2),ROUNDUP(INDEX(Upgrades!$C$3:$C$13,MATCH(C1487,Upgrades!$B$3:$B$13,0))*1.15^(COUNTIF(C$4:C1486,C1487)-COUNTIF(C$4:C1486,""Sell_""&amp;C1487))))))"),"")</f>
        <v/>
      </c>
      <c r="H1487" s="10" t="str">
        <f t="shared" si="3"/>
        <v/>
      </c>
      <c r="I1487" s="68" t="str">
        <f t="shared" si="4"/>
        <v/>
      </c>
      <c r="J1487" s="59" t="str">
        <f t="shared" si="5"/>
        <v/>
      </c>
      <c r="K1487" s="69" t="str">
        <f t="shared" si="6"/>
        <v/>
      </c>
      <c r="L1487" s="60" t="str">
        <f t="shared" si="7"/>
        <v/>
      </c>
      <c r="M1487" s="61" t="str">
        <f>IFERROR(__xludf.DUMMYFUNCTION("IFS(AND(COUNTA(C1487:C1644)=0,COUNTA(Q1487:Q1644)=0),"""",OR(AND(K1487&gt;=1000000000,OR(Y1487&gt;=1000000000,COUNTA(Q1487:Q1644)=0)),OR(Y1487&gt;=1000000000,AND(COUNTA(C1487:C1644)=0,P$3=TRUE))),
ROUNDDOWN((AB$1-AC$1)*MAX(INDEX(T$4:T1644,MATCH(LARGE(FILTER(Y$4:Y1"&amp;"644,Y$4:Y1644&lt;1000000000),1),Y$4:Y1644)),INDEX(F$4:F1644,MATCH(LARGE(FILTER(K$4:K1644,K$4:K1644&lt;1000000000),1),K$4:K1644)))),AND(K1487&lt;1000000000,COUNTA(C1487:C1644)&gt;0,P$3=FALSE),
ROUNDDOWN(INDEX(Y$4:Y1644,MATCH(LARGE(FILTER(W$4:W1644,W$4:W1644&lt;=I1487),1)"&amp;",W$4:W1644))+(I1487-LARGE(FILTER(W$4:W1644,W$4:W1644&lt;=I1487),1))*INDEX(T$4:T1644,MATCH(LARGE(FILTER(W$4:W1644,W$4:W1644&lt;=I1487),1),W$4:W1644))-K1487),1,
ROUNDDOWN(Y1487-INDEX(K$4:K1644,MATCH(LARGE(FILTER(I$4:I1644,I$4:I1644&lt;=W1487),1),I$4:I1644))-(W1487-L"&amp;"ARGE(FILTER(I$4:I1644,I$4:I1644&lt;=W1487),1))*INDEX(F$4:F1644,MATCH(LARGE(FILTER(I$4:I1644,I$4:I1644&lt;=W1487),1),I$4:I1644))))"),"")</f>
        <v/>
      </c>
      <c r="N1487" s="60" t="str">
        <f t="shared" si="8"/>
        <v/>
      </c>
      <c r="O1487" s="61" t="str">
        <f t="shared" si="9"/>
        <v/>
      </c>
      <c r="P1487" s="56" t="str">
        <f t="shared" si="10"/>
        <v/>
      </c>
      <c r="Q1487" s="105"/>
      <c r="R1487" s="10"/>
      <c r="S1487" s="59" t="str">
        <f t="array" ref="S1487">IF(COUNTA(Q1487:Q1644)=0,"",SUM((COUNTIF(Q$4:Q1487,Upgrades!$B$3:$B$13)-COUNTIF(Q$4:Q1487,"Sell_"&amp;Upgrades!$B$3:$B$13))*Upgrades!$D$3:$D$13))</f>
        <v/>
      </c>
      <c r="T1487" s="66" t="str">
        <f>IFERROR(__xludf.DUMMYFUNCTION("IF(COUNTA(Q1487:Q1644)=0,"""",IF(REGEXMATCH(INDEX(FILTER(Q$4:Q1487,Q$4:Q1487&lt;&gt;""""),ROWS(FILTER(Q$4:Q1487,Q$4:Q1487&lt;&gt;""""))),""^Sell_""),INDEX(FILTER(T$4:T1486,Q$4:Q1486&lt;&gt;""""),ROWS(FILTER(Q$4:Q1486,Q$4:Q1486&lt;&gt;""""))),$AD$5+S1487))"),"")</f>
        <v/>
      </c>
      <c r="U1487" s="10" t="str">
        <f>IFERROR(__xludf.DUMMYFUNCTION("IF(COUNTA(Q1487:Q1644)=0,"""",IF(Q1487="""",0,IF(REGEXMATCH(Q1487,""^Sell_""),-ROUNDDOWN(ROUNDUP(INDEX(Upgrades!$C$3:$C$13,MATCH(SUBSTITUTE(Q1487,""Sell_"",""""),Upgrades!$B$3:$B$13,0))*1.15^(COUNTIF(Q$4:Q1486,SUBSTITUTE(Q1487,""Sell_"",""""))-COUNTIF(Q$4"&amp;":Q1486,""Sell_""&amp;SUBSTITUTE(Q1487,""Sell_"",""""))))/2),ROUNDUP(INDEX(Upgrades!$C$3:$C$13,MATCH(Q1487,Upgrades!$B$3:$B$13,0))*1.15^(COUNTIF(Q$4:Q1486,Q1487)-COUNTIF(Q$4:Q1486,""Sell_""&amp;Q1487))))))"),"")</f>
        <v/>
      </c>
      <c r="V1487" s="10" t="str">
        <f t="shared" si="11"/>
        <v/>
      </c>
      <c r="W1487" s="68" t="str">
        <f t="shared" si="12"/>
        <v/>
      </c>
      <c r="X1487" s="59" t="str">
        <f t="shared" si="13"/>
        <v/>
      </c>
      <c r="Y1487" s="69" t="str">
        <f t="shared" si="14"/>
        <v/>
      </c>
      <c r="Z1487" s="11"/>
      <c r="AG1487" s="59"/>
    </row>
    <row r="1488">
      <c r="A1488" s="8"/>
      <c r="B1488" s="56" t="str">
        <f t="shared" si="2"/>
        <v/>
      </c>
      <c r="C1488" s="105"/>
      <c r="D1488" s="10"/>
      <c r="E1488" s="59" t="str">
        <f t="array" ref="E1488">IF(COUNTA(C1488:C1644)=0,"",SUM((COUNTIF(C$4:C1488,Upgrades!$B$3:$B$13)-COUNTIF(C$4:C1488,"Sell_"&amp;Upgrades!$B$3:$B$13))*Upgrades!$D$3:$D$13))</f>
        <v/>
      </c>
      <c r="F1488" s="66" t="str">
        <f>IFERROR(__xludf.DUMMYFUNCTION("IF(COUNTA(C1488:C1644)=0,"""",IF(REGEXMATCH(INDEX(FILTER(C$4:C1488,C$4:C1488&lt;&gt;""""),ROWS(FILTER(C$4:C1488,C$4:C1488&lt;&gt;""""))),""^Sell_""),INDEX(FILTER(F$4:F1487,C$4:C1487&lt;&gt;""""),ROWS(FILTER(C$4:C1487,C$4:C1487&lt;&gt;""""))),$AC$5+E1488))"),"")</f>
        <v/>
      </c>
      <c r="G1488" s="10" t="str">
        <f>IFERROR(__xludf.DUMMYFUNCTION("IF(COUNTA(C1488:C1644)=0,"""",IF(C1488="""",0,IF(REGEXMATCH(C1488,""^Sell_""),-ROUNDDOWN(ROUNDUP(INDEX(Upgrades!$C$3:$C$13,MATCH(SUBSTITUTE(C1488,""Sell_"",""""),Upgrades!$B$3:$B$13,0))*1.15^(COUNTIF(C$4:C1487,SUBSTITUTE(C1488,""Sell_"",""""))-COUNTIF(C$4"&amp;":C1487,""Sell_""&amp;SUBSTITUTE(C1488,""Sell_"",""""))))/2),ROUNDUP(INDEX(Upgrades!$C$3:$C$13,MATCH(C1488,Upgrades!$B$3:$B$13,0))*1.15^(COUNTIF(C$4:C1487,C1488)-COUNTIF(C$4:C1487,""Sell_""&amp;C1488))))))"),"")</f>
        <v/>
      </c>
      <c r="H1488" s="10" t="str">
        <f t="shared" si="3"/>
        <v/>
      </c>
      <c r="I1488" s="68" t="str">
        <f t="shared" si="4"/>
        <v/>
      </c>
      <c r="J1488" s="59" t="str">
        <f t="shared" si="5"/>
        <v/>
      </c>
      <c r="K1488" s="69" t="str">
        <f t="shared" si="6"/>
        <v/>
      </c>
      <c r="L1488" s="60" t="str">
        <f t="shared" si="7"/>
        <v/>
      </c>
      <c r="M1488" s="61" t="str">
        <f>IFERROR(__xludf.DUMMYFUNCTION("IFS(AND(COUNTA(C1488:C1644)=0,COUNTA(Q1488:Q1644)=0),"""",OR(AND(K1488&gt;=1000000000,OR(Y1488&gt;=1000000000,COUNTA(Q1488:Q1644)=0)),OR(Y1488&gt;=1000000000,AND(COUNTA(C1488:C1644)=0,P$3=TRUE))),
ROUNDDOWN((AB$1-AC$1)*MAX(INDEX(T$4:T1644,MATCH(LARGE(FILTER(Y$4:Y1"&amp;"644,Y$4:Y1644&lt;1000000000),1),Y$4:Y1644)),INDEX(F$4:F1644,MATCH(LARGE(FILTER(K$4:K1644,K$4:K1644&lt;1000000000),1),K$4:K1644)))),AND(K1488&lt;1000000000,COUNTA(C1488:C1644)&gt;0,P$3=FALSE),
ROUNDDOWN(INDEX(Y$4:Y1644,MATCH(LARGE(FILTER(W$4:W1644,W$4:W1644&lt;=I1488),1)"&amp;",W$4:W1644))+(I1488-LARGE(FILTER(W$4:W1644,W$4:W1644&lt;=I1488),1))*INDEX(T$4:T1644,MATCH(LARGE(FILTER(W$4:W1644,W$4:W1644&lt;=I1488),1),W$4:W1644))-K1488),1,
ROUNDDOWN(Y1488-INDEX(K$4:K1644,MATCH(LARGE(FILTER(I$4:I1644,I$4:I1644&lt;=W1488),1),I$4:I1644))-(W1488-L"&amp;"ARGE(FILTER(I$4:I1644,I$4:I1644&lt;=W1488),1))*INDEX(F$4:F1644,MATCH(LARGE(FILTER(I$4:I1644,I$4:I1644&lt;=W1488),1),I$4:I1644))))"),"")</f>
        <v/>
      </c>
      <c r="N1488" s="60" t="str">
        <f t="shared" si="8"/>
        <v/>
      </c>
      <c r="O1488" s="61" t="str">
        <f t="shared" si="9"/>
        <v/>
      </c>
      <c r="P1488" s="56" t="str">
        <f t="shared" si="10"/>
        <v/>
      </c>
      <c r="Q1488" s="105"/>
      <c r="R1488" s="10"/>
      <c r="S1488" s="59" t="str">
        <f t="array" ref="S1488">IF(COUNTA(Q1488:Q1644)=0,"",SUM((COUNTIF(Q$4:Q1488,Upgrades!$B$3:$B$13)-COUNTIF(Q$4:Q1488,"Sell_"&amp;Upgrades!$B$3:$B$13))*Upgrades!$D$3:$D$13))</f>
        <v/>
      </c>
      <c r="T1488" s="66" t="str">
        <f>IFERROR(__xludf.DUMMYFUNCTION("IF(COUNTA(Q1488:Q1644)=0,"""",IF(REGEXMATCH(INDEX(FILTER(Q$4:Q1488,Q$4:Q1488&lt;&gt;""""),ROWS(FILTER(Q$4:Q1488,Q$4:Q1488&lt;&gt;""""))),""^Sell_""),INDEX(FILTER(T$4:T1487,Q$4:Q1487&lt;&gt;""""),ROWS(FILTER(Q$4:Q1487,Q$4:Q1487&lt;&gt;""""))),$AD$5+S1488))"),"")</f>
        <v/>
      </c>
      <c r="U1488" s="10" t="str">
        <f>IFERROR(__xludf.DUMMYFUNCTION("IF(COUNTA(Q1488:Q1644)=0,"""",IF(Q1488="""",0,IF(REGEXMATCH(Q1488,""^Sell_""),-ROUNDDOWN(ROUNDUP(INDEX(Upgrades!$C$3:$C$13,MATCH(SUBSTITUTE(Q1488,""Sell_"",""""),Upgrades!$B$3:$B$13,0))*1.15^(COUNTIF(Q$4:Q1487,SUBSTITUTE(Q1488,""Sell_"",""""))-COUNTIF(Q$4"&amp;":Q1487,""Sell_""&amp;SUBSTITUTE(Q1488,""Sell_"",""""))))/2),ROUNDUP(INDEX(Upgrades!$C$3:$C$13,MATCH(Q1488,Upgrades!$B$3:$B$13,0))*1.15^(COUNTIF(Q$4:Q1487,Q1488)-COUNTIF(Q$4:Q1487,""Sell_""&amp;Q1488))))))"),"")</f>
        <v/>
      </c>
      <c r="V1488" s="10" t="str">
        <f t="shared" si="11"/>
        <v/>
      </c>
      <c r="W1488" s="68" t="str">
        <f t="shared" si="12"/>
        <v/>
      </c>
      <c r="X1488" s="59" t="str">
        <f t="shared" si="13"/>
        <v/>
      </c>
      <c r="Y1488" s="69" t="str">
        <f t="shared" si="14"/>
        <v/>
      </c>
      <c r="Z1488" s="11"/>
      <c r="AG1488" s="59"/>
    </row>
    <row r="1489">
      <c r="A1489" s="8"/>
      <c r="B1489" s="56" t="str">
        <f t="shared" si="2"/>
        <v/>
      </c>
      <c r="C1489" s="105"/>
      <c r="D1489" s="10"/>
      <c r="E1489" s="59" t="str">
        <f t="array" ref="E1489">IF(COUNTA(C1489:C1644)=0,"",SUM((COUNTIF(C$4:C1489,Upgrades!$B$3:$B$13)-COUNTIF(C$4:C1489,"Sell_"&amp;Upgrades!$B$3:$B$13))*Upgrades!$D$3:$D$13))</f>
        <v/>
      </c>
      <c r="F1489" s="66" t="str">
        <f>IFERROR(__xludf.DUMMYFUNCTION("IF(COUNTA(C1489:C1644)=0,"""",IF(REGEXMATCH(INDEX(FILTER(C$4:C1489,C$4:C1489&lt;&gt;""""),ROWS(FILTER(C$4:C1489,C$4:C1489&lt;&gt;""""))),""^Sell_""),INDEX(FILTER(F$4:F1488,C$4:C1488&lt;&gt;""""),ROWS(FILTER(C$4:C1488,C$4:C1488&lt;&gt;""""))),$AC$5+E1489))"),"")</f>
        <v/>
      </c>
      <c r="G1489" s="10" t="str">
        <f>IFERROR(__xludf.DUMMYFUNCTION("IF(COUNTA(C1489:C1644)=0,"""",IF(C1489="""",0,IF(REGEXMATCH(C1489,""^Sell_""),-ROUNDDOWN(ROUNDUP(INDEX(Upgrades!$C$3:$C$13,MATCH(SUBSTITUTE(C1489,""Sell_"",""""),Upgrades!$B$3:$B$13,0))*1.15^(COUNTIF(C$4:C1488,SUBSTITUTE(C1489,""Sell_"",""""))-COUNTIF(C$4"&amp;":C1488,""Sell_""&amp;SUBSTITUTE(C1489,""Sell_"",""""))))/2),ROUNDUP(INDEX(Upgrades!$C$3:$C$13,MATCH(C1489,Upgrades!$B$3:$B$13,0))*1.15^(COUNTIF(C$4:C1488,C1489)-COUNTIF(C$4:C1488,""Sell_""&amp;C1489))))))"),"")</f>
        <v/>
      </c>
      <c r="H1489" s="10" t="str">
        <f t="shared" si="3"/>
        <v/>
      </c>
      <c r="I1489" s="68" t="str">
        <f t="shared" si="4"/>
        <v/>
      </c>
      <c r="J1489" s="59" t="str">
        <f t="shared" si="5"/>
        <v/>
      </c>
      <c r="K1489" s="69" t="str">
        <f t="shared" si="6"/>
        <v/>
      </c>
      <c r="L1489" s="60" t="str">
        <f t="shared" si="7"/>
        <v/>
      </c>
      <c r="M1489" s="61" t="str">
        <f>IFERROR(__xludf.DUMMYFUNCTION("IFS(AND(COUNTA(C1489:C1644)=0,COUNTA(Q1489:Q1644)=0),"""",OR(AND(K1489&gt;=1000000000,OR(Y1489&gt;=1000000000,COUNTA(Q1489:Q1644)=0)),OR(Y1489&gt;=1000000000,AND(COUNTA(C1489:C1644)=0,P$3=TRUE))),
ROUNDDOWN((AB$1-AC$1)*MAX(INDEX(T$4:T1644,MATCH(LARGE(FILTER(Y$4:Y1"&amp;"644,Y$4:Y1644&lt;1000000000),1),Y$4:Y1644)),INDEX(F$4:F1644,MATCH(LARGE(FILTER(K$4:K1644,K$4:K1644&lt;1000000000),1),K$4:K1644)))),AND(K1489&lt;1000000000,COUNTA(C1489:C1644)&gt;0,P$3=FALSE),
ROUNDDOWN(INDEX(Y$4:Y1644,MATCH(LARGE(FILTER(W$4:W1644,W$4:W1644&lt;=I1489),1)"&amp;",W$4:W1644))+(I1489-LARGE(FILTER(W$4:W1644,W$4:W1644&lt;=I1489),1))*INDEX(T$4:T1644,MATCH(LARGE(FILTER(W$4:W1644,W$4:W1644&lt;=I1489),1),W$4:W1644))-K1489),1,
ROUNDDOWN(Y1489-INDEX(K$4:K1644,MATCH(LARGE(FILTER(I$4:I1644,I$4:I1644&lt;=W1489),1),I$4:I1644))-(W1489-L"&amp;"ARGE(FILTER(I$4:I1644,I$4:I1644&lt;=W1489),1))*INDEX(F$4:F1644,MATCH(LARGE(FILTER(I$4:I1644,I$4:I1644&lt;=W1489),1),I$4:I1644))))"),"")</f>
        <v/>
      </c>
      <c r="N1489" s="60" t="str">
        <f t="shared" si="8"/>
        <v/>
      </c>
      <c r="O1489" s="61" t="str">
        <f t="shared" si="9"/>
        <v/>
      </c>
      <c r="P1489" s="56" t="str">
        <f t="shared" si="10"/>
        <v/>
      </c>
      <c r="Q1489" s="105"/>
      <c r="R1489" s="10"/>
      <c r="S1489" s="59" t="str">
        <f t="array" ref="S1489">IF(COUNTA(Q1489:Q1644)=0,"",SUM((COUNTIF(Q$4:Q1489,Upgrades!$B$3:$B$13)-COUNTIF(Q$4:Q1489,"Sell_"&amp;Upgrades!$B$3:$B$13))*Upgrades!$D$3:$D$13))</f>
        <v/>
      </c>
      <c r="T1489" s="66" t="str">
        <f>IFERROR(__xludf.DUMMYFUNCTION("IF(COUNTA(Q1489:Q1644)=0,"""",IF(REGEXMATCH(INDEX(FILTER(Q$4:Q1489,Q$4:Q1489&lt;&gt;""""),ROWS(FILTER(Q$4:Q1489,Q$4:Q1489&lt;&gt;""""))),""^Sell_""),INDEX(FILTER(T$4:T1488,Q$4:Q1488&lt;&gt;""""),ROWS(FILTER(Q$4:Q1488,Q$4:Q1488&lt;&gt;""""))),$AD$5+S1489))"),"")</f>
        <v/>
      </c>
      <c r="U1489" s="10" t="str">
        <f>IFERROR(__xludf.DUMMYFUNCTION("IF(COUNTA(Q1489:Q1644)=0,"""",IF(Q1489="""",0,IF(REGEXMATCH(Q1489,""^Sell_""),-ROUNDDOWN(ROUNDUP(INDEX(Upgrades!$C$3:$C$13,MATCH(SUBSTITUTE(Q1489,""Sell_"",""""),Upgrades!$B$3:$B$13,0))*1.15^(COUNTIF(Q$4:Q1488,SUBSTITUTE(Q1489,""Sell_"",""""))-COUNTIF(Q$4"&amp;":Q1488,""Sell_""&amp;SUBSTITUTE(Q1489,""Sell_"",""""))))/2),ROUNDUP(INDEX(Upgrades!$C$3:$C$13,MATCH(Q1489,Upgrades!$B$3:$B$13,0))*1.15^(COUNTIF(Q$4:Q1488,Q1489)-COUNTIF(Q$4:Q1488,""Sell_""&amp;Q1489))))))"),"")</f>
        <v/>
      </c>
      <c r="V1489" s="10" t="str">
        <f t="shared" si="11"/>
        <v/>
      </c>
      <c r="W1489" s="68" t="str">
        <f t="shared" si="12"/>
        <v/>
      </c>
      <c r="X1489" s="59" t="str">
        <f t="shared" si="13"/>
        <v/>
      </c>
      <c r="Y1489" s="69" t="str">
        <f t="shared" si="14"/>
        <v/>
      </c>
      <c r="Z1489" s="11"/>
      <c r="AG1489" s="59"/>
    </row>
    <row r="1490">
      <c r="A1490" s="8"/>
      <c r="B1490" s="56" t="str">
        <f t="shared" si="2"/>
        <v/>
      </c>
      <c r="C1490" s="105"/>
      <c r="D1490" s="10"/>
      <c r="E1490" s="59" t="str">
        <f t="array" ref="E1490">IF(COUNTA(C1490:C1644)=0,"",SUM((COUNTIF(C$4:C1490,Upgrades!$B$3:$B$13)-COUNTIF(C$4:C1490,"Sell_"&amp;Upgrades!$B$3:$B$13))*Upgrades!$D$3:$D$13))</f>
        <v/>
      </c>
      <c r="F1490" s="66" t="str">
        <f>IFERROR(__xludf.DUMMYFUNCTION("IF(COUNTA(C1490:C1644)=0,"""",IF(REGEXMATCH(INDEX(FILTER(C$4:C1490,C$4:C1490&lt;&gt;""""),ROWS(FILTER(C$4:C1490,C$4:C1490&lt;&gt;""""))),""^Sell_""),INDEX(FILTER(F$4:F1489,C$4:C1489&lt;&gt;""""),ROWS(FILTER(C$4:C1489,C$4:C1489&lt;&gt;""""))),$AC$5+E1490))"),"")</f>
        <v/>
      </c>
      <c r="G1490" s="10" t="str">
        <f>IFERROR(__xludf.DUMMYFUNCTION("IF(COUNTA(C1490:C1644)=0,"""",IF(C1490="""",0,IF(REGEXMATCH(C1490,""^Sell_""),-ROUNDDOWN(ROUNDUP(INDEX(Upgrades!$C$3:$C$13,MATCH(SUBSTITUTE(C1490,""Sell_"",""""),Upgrades!$B$3:$B$13,0))*1.15^(COUNTIF(C$4:C1489,SUBSTITUTE(C1490,""Sell_"",""""))-COUNTIF(C$4"&amp;":C1489,""Sell_""&amp;SUBSTITUTE(C1490,""Sell_"",""""))))/2),ROUNDUP(INDEX(Upgrades!$C$3:$C$13,MATCH(C1490,Upgrades!$B$3:$B$13,0))*1.15^(COUNTIF(C$4:C1489,C1490)-COUNTIF(C$4:C1489,""Sell_""&amp;C1490))))))"),"")</f>
        <v/>
      </c>
      <c r="H1490" s="10" t="str">
        <f t="shared" si="3"/>
        <v/>
      </c>
      <c r="I1490" s="68" t="str">
        <f t="shared" si="4"/>
        <v/>
      </c>
      <c r="J1490" s="59" t="str">
        <f t="shared" si="5"/>
        <v/>
      </c>
      <c r="K1490" s="69" t="str">
        <f t="shared" si="6"/>
        <v/>
      </c>
      <c r="L1490" s="60" t="str">
        <f t="shared" si="7"/>
        <v/>
      </c>
      <c r="M1490" s="61" t="str">
        <f>IFERROR(__xludf.DUMMYFUNCTION("IFS(AND(COUNTA(C1490:C1644)=0,COUNTA(Q1490:Q1644)=0),"""",OR(AND(K1490&gt;=1000000000,OR(Y1490&gt;=1000000000,COUNTA(Q1490:Q1644)=0)),OR(Y1490&gt;=1000000000,AND(COUNTA(C1490:C1644)=0,P$3=TRUE))),
ROUNDDOWN((AB$1-AC$1)*MAX(INDEX(T$4:T1644,MATCH(LARGE(FILTER(Y$4:Y1"&amp;"644,Y$4:Y1644&lt;1000000000),1),Y$4:Y1644)),INDEX(F$4:F1644,MATCH(LARGE(FILTER(K$4:K1644,K$4:K1644&lt;1000000000),1),K$4:K1644)))),AND(K1490&lt;1000000000,COUNTA(C1490:C1644)&gt;0,P$3=FALSE),
ROUNDDOWN(INDEX(Y$4:Y1644,MATCH(LARGE(FILTER(W$4:W1644,W$4:W1644&lt;=I1490),1)"&amp;",W$4:W1644))+(I1490-LARGE(FILTER(W$4:W1644,W$4:W1644&lt;=I1490),1))*INDEX(T$4:T1644,MATCH(LARGE(FILTER(W$4:W1644,W$4:W1644&lt;=I1490),1),W$4:W1644))-K1490),1,
ROUNDDOWN(Y1490-INDEX(K$4:K1644,MATCH(LARGE(FILTER(I$4:I1644,I$4:I1644&lt;=W1490),1),I$4:I1644))-(W1490-L"&amp;"ARGE(FILTER(I$4:I1644,I$4:I1644&lt;=W1490),1))*INDEX(F$4:F1644,MATCH(LARGE(FILTER(I$4:I1644,I$4:I1644&lt;=W1490),1),I$4:I1644))))"),"")</f>
        <v/>
      </c>
      <c r="N1490" s="60" t="str">
        <f t="shared" si="8"/>
        <v/>
      </c>
      <c r="O1490" s="61" t="str">
        <f t="shared" si="9"/>
        <v/>
      </c>
      <c r="P1490" s="56" t="str">
        <f t="shared" si="10"/>
        <v/>
      </c>
      <c r="Q1490" s="105"/>
      <c r="R1490" s="10"/>
      <c r="S1490" s="59" t="str">
        <f t="array" ref="S1490">IF(COUNTA(Q1490:Q1644)=0,"",SUM((COUNTIF(Q$4:Q1490,Upgrades!$B$3:$B$13)-COUNTIF(Q$4:Q1490,"Sell_"&amp;Upgrades!$B$3:$B$13))*Upgrades!$D$3:$D$13))</f>
        <v/>
      </c>
      <c r="T1490" s="66" t="str">
        <f>IFERROR(__xludf.DUMMYFUNCTION("IF(COUNTA(Q1490:Q1644)=0,"""",IF(REGEXMATCH(INDEX(FILTER(Q$4:Q1490,Q$4:Q1490&lt;&gt;""""),ROWS(FILTER(Q$4:Q1490,Q$4:Q1490&lt;&gt;""""))),""^Sell_""),INDEX(FILTER(T$4:T1489,Q$4:Q1489&lt;&gt;""""),ROWS(FILTER(Q$4:Q1489,Q$4:Q1489&lt;&gt;""""))),$AD$5+S1490))"),"")</f>
        <v/>
      </c>
      <c r="U1490" s="10" t="str">
        <f>IFERROR(__xludf.DUMMYFUNCTION("IF(COUNTA(Q1490:Q1644)=0,"""",IF(Q1490="""",0,IF(REGEXMATCH(Q1490,""^Sell_""),-ROUNDDOWN(ROUNDUP(INDEX(Upgrades!$C$3:$C$13,MATCH(SUBSTITUTE(Q1490,""Sell_"",""""),Upgrades!$B$3:$B$13,0))*1.15^(COUNTIF(Q$4:Q1489,SUBSTITUTE(Q1490,""Sell_"",""""))-COUNTIF(Q$4"&amp;":Q1489,""Sell_""&amp;SUBSTITUTE(Q1490,""Sell_"",""""))))/2),ROUNDUP(INDEX(Upgrades!$C$3:$C$13,MATCH(Q1490,Upgrades!$B$3:$B$13,0))*1.15^(COUNTIF(Q$4:Q1489,Q1490)-COUNTIF(Q$4:Q1489,""Sell_""&amp;Q1490))))))"),"")</f>
        <v/>
      </c>
      <c r="V1490" s="10" t="str">
        <f t="shared" si="11"/>
        <v/>
      </c>
      <c r="W1490" s="68" t="str">
        <f t="shared" si="12"/>
        <v/>
      </c>
      <c r="X1490" s="59" t="str">
        <f t="shared" si="13"/>
        <v/>
      </c>
      <c r="Y1490" s="69" t="str">
        <f t="shared" si="14"/>
        <v/>
      </c>
      <c r="Z1490" s="11"/>
      <c r="AG1490" s="59"/>
    </row>
    <row r="1491">
      <c r="A1491" s="8"/>
      <c r="B1491" s="56" t="str">
        <f t="shared" si="2"/>
        <v/>
      </c>
      <c r="C1491" s="105"/>
      <c r="D1491" s="10"/>
      <c r="E1491" s="59" t="str">
        <f t="array" ref="E1491">IF(COUNTA(C1491:C1644)=0,"",SUM((COUNTIF(C$4:C1491,Upgrades!$B$3:$B$13)-COUNTIF(C$4:C1491,"Sell_"&amp;Upgrades!$B$3:$B$13))*Upgrades!$D$3:$D$13))</f>
        <v/>
      </c>
      <c r="F1491" s="66" t="str">
        <f>IFERROR(__xludf.DUMMYFUNCTION("IF(COUNTA(C1491:C1644)=0,"""",IF(REGEXMATCH(INDEX(FILTER(C$4:C1491,C$4:C1491&lt;&gt;""""),ROWS(FILTER(C$4:C1491,C$4:C1491&lt;&gt;""""))),""^Sell_""),INDEX(FILTER(F$4:F1490,C$4:C1490&lt;&gt;""""),ROWS(FILTER(C$4:C1490,C$4:C1490&lt;&gt;""""))),$AC$5+E1491))"),"")</f>
        <v/>
      </c>
      <c r="G1491" s="10" t="str">
        <f>IFERROR(__xludf.DUMMYFUNCTION("IF(COUNTA(C1491:C1644)=0,"""",IF(C1491="""",0,IF(REGEXMATCH(C1491,""^Sell_""),-ROUNDDOWN(ROUNDUP(INDEX(Upgrades!$C$3:$C$13,MATCH(SUBSTITUTE(C1491,""Sell_"",""""),Upgrades!$B$3:$B$13,0))*1.15^(COUNTIF(C$4:C1490,SUBSTITUTE(C1491,""Sell_"",""""))-COUNTIF(C$4"&amp;":C1490,""Sell_""&amp;SUBSTITUTE(C1491,""Sell_"",""""))))/2),ROUNDUP(INDEX(Upgrades!$C$3:$C$13,MATCH(C1491,Upgrades!$B$3:$B$13,0))*1.15^(COUNTIF(C$4:C1490,C1491)-COUNTIF(C$4:C1490,""Sell_""&amp;C1491))))))"),"")</f>
        <v/>
      </c>
      <c r="H1491" s="10" t="str">
        <f t="shared" si="3"/>
        <v/>
      </c>
      <c r="I1491" s="68" t="str">
        <f t="shared" si="4"/>
        <v/>
      </c>
      <c r="J1491" s="59" t="str">
        <f t="shared" si="5"/>
        <v/>
      </c>
      <c r="K1491" s="69" t="str">
        <f t="shared" si="6"/>
        <v/>
      </c>
      <c r="L1491" s="60" t="str">
        <f t="shared" si="7"/>
        <v/>
      </c>
      <c r="M1491" s="61" t="str">
        <f>IFERROR(__xludf.DUMMYFUNCTION("IFS(AND(COUNTA(C1491:C1644)=0,COUNTA(Q1491:Q1644)=0),"""",OR(AND(K1491&gt;=1000000000,OR(Y1491&gt;=1000000000,COUNTA(Q1491:Q1644)=0)),OR(Y1491&gt;=1000000000,AND(COUNTA(C1491:C1644)=0,P$3=TRUE))),
ROUNDDOWN((AB$1-AC$1)*MAX(INDEX(T$4:T1644,MATCH(LARGE(FILTER(Y$4:Y1"&amp;"644,Y$4:Y1644&lt;1000000000),1),Y$4:Y1644)),INDEX(F$4:F1644,MATCH(LARGE(FILTER(K$4:K1644,K$4:K1644&lt;1000000000),1),K$4:K1644)))),AND(K1491&lt;1000000000,COUNTA(C1491:C1644)&gt;0,P$3=FALSE),
ROUNDDOWN(INDEX(Y$4:Y1644,MATCH(LARGE(FILTER(W$4:W1644,W$4:W1644&lt;=I1491),1)"&amp;",W$4:W1644))+(I1491-LARGE(FILTER(W$4:W1644,W$4:W1644&lt;=I1491),1))*INDEX(T$4:T1644,MATCH(LARGE(FILTER(W$4:W1644,W$4:W1644&lt;=I1491),1),W$4:W1644))-K1491),1,
ROUNDDOWN(Y1491-INDEX(K$4:K1644,MATCH(LARGE(FILTER(I$4:I1644,I$4:I1644&lt;=W1491),1),I$4:I1644))-(W1491-L"&amp;"ARGE(FILTER(I$4:I1644,I$4:I1644&lt;=W1491),1))*INDEX(F$4:F1644,MATCH(LARGE(FILTER(I$4:I1644,I$4:I1644&lt;=W1491),1),I$4:I1644))))"),"")</f>
        <v/>
      </c>
      <c r="N1491" s="60" t="str">
        <f t="shared" si="8"/>
        <v/>
      </c>
      <c r="O1491" s="61" t="str">
        <f t="shared" si="9"/>
        <v/>
      </c>
      <c r="P1491" s="56" t="str">
        <f t="shared" si="10"/>
        <v/>
      </c>
      <c r="Q1491" s="105"/>
      <c r="R1491" s="10"/>
      <c r="S1491" s="59" t="str">
        <f t="array" ref="S1491">IF(COUNTA(Q1491:Q1644)=0,"",SUM((COUNTIF(Q$4:Q1491,Upgrades!$B$3:$B$13)-COUNTIF(Q$4:Q1491,"Sell_"&amp;Upgrades!$B$3:$B$13))*Upgrades!$D$3:$D$13))</f>
        <v/>
      </c>
      <c r="T1491" s="66" t="str">
        <f>IFERROR(__xludf.DUMMYFUNCTION("IF(COUNTA(Q1491:Q1644)=0,"""",IF(REGEXMATCH(INDEX(FILTER(Q$4:Q1491,Q$4:Q1491&lt;&gt;""""),ROWS(FILTER(Q$4:Q1491,Q$4:Q1491&lt;&gt;""""))),""^Sell_""),INDEX(FILTER(T$4:T1490,Q$4:Q1490&lt;&gt;""""),ROWS(FILTER(Q$4:Q1490,Q$4:Q1490&lt;&gt;""""))),$AD$5+S1491))"),"")</f>
        <v/>
      </c>
      <c r="U1491" s="10" t="str">
        <f>IFERROR(__xludf.DUMMYFUNCTION("IF(COUNTA(Q1491:Q1644)=0,"""",IF(Q1491="""",0,IF(REGEXMATCH(Q1491,""^Sell_""),-ROUNDDOWN(ROUNDUP(INDEX(Upgrades!$C$3:$C$13,MATCH(SUBSTITUTE(Q1491,""Sell_"",""""),Upgrades!$B$3:$B$13,0))*1.15^(COUNTIF(Q$4:Q1490,SUBSTITUTE(Q1491,""Sell_"",""""))-COUNTIF(Q$4"&amp;":Q1490,""Sell_""&amp;SUBSTITUTE(Q1491,""Sell_"",""""))))/2),ROUNDUP(INDEX(Upgrades!$C$3:$C$13,MATCH(Q1491,Upgrades!$B$3:$B$13,0))*1.15^(COUNTIF(Q$4:Q1490,Q1491)-COUNTIF(Q$4:Q1490,""Sell_""&amp;Q1491))))))"),"")</f>
        <v/>
      </c>
      <c r="V1491" s="10" t="str">
        <f t="shared" si="11"/>
        <v/>
      </c>
      <c r="W1491" s="68" t="str">
        <f t="shared" si="12"/>
        <v/>
      </c>
      <c r="X1491" s="59" t="str">
        <f t="shared" si="13"/>
        <v/>
      </c>
      <c r="Y1491" s="69" t="str">
        <f t="shared" si="14"/>
        <v/>
      </c>
      <c r="Z1491" s="11"/>
      <c r="AG1491" s="59"/>
    </row>
    <row r="1492">
      <c r="A1492" s="8"/>
      <c r="B1492" s="56" t="str">
        <f t="shared" si="2"/>
        <v/>
      </c>
      <c r="C1492" s="105"/>
      <c r="D1492" s="10"/>
      <c r="E1492" s="59" t="str">
        <f t="array" ref="E1492">IF(COUNTA(C1492:C1644)=0,"",SUM((COUNTIF(C$4:C1492,Upgrades!$B$3:$B$13)-COUNTIF(C$4:C1492,"Sell_"&amp;Upgrades!$B$3:$B$13))*Upgrades!$D$3:$D$13))</f>
        <v/>
      </c>
      <c r="F1492" s="66" t="str">
        <f>IFERROR(__xludf.DUMMYFUNCTION("IF(COUNTA(C1492:C1644)=0,"""",IF(REGEXMATCH(INDEX(FILTER(C$4:C1492,C$4:C1492&lt;&gt;""""),ROWS(FILTER(C$4:C1492,C$4:C1492&lt;&gt;""""))),""^Sell_""),INDEX(FILTER(F$4:F1491,C$4:C1491&lt;&gt;""""),ROWS(FILTER(C$4:C1491,C$4:C1491&lt;&gt;""""))),$AC$5+E1492))"),"")</f>
        <v/>
      </c>
      <c r="G1492" s="10" t="str">
        <f>IFERROR(__xludf.DUMMYFUNCTION("IF(COUNTA(C1492:C1644)=0,"""",IF(C1492="""",0,IF(REGEXMATCH(C1492,""^Sell_""),-ROUNDDOWN(ROUNDUP(INDEX(Upgrades!$C$3:$C$13,MATCH(SUBSTITUTE(C1492,""Sell_"",""""),Upgrades!$B$3:$B$13,0))*1.15^(COUNTIF(C$4:C1491,SUBSTITUTE(C1492,""Sell_"",""""))-COUNTIF(C$4"&amp;":C1491,""Sell_""&amp;SUBSTITUTE(C1492,""Sell_"",""""))))/2),ROUNDUP(INDEX(Upgrades!$C$3:$C$13,MATCH(C1492,Upgrades!$B$3:$B$13,0))*1.15^(COUNTIF(C$4:C1491,C1492)-COUNTIF(C$4:C1491,""Sell_""&amp;C1492))))))"),"")</f>
        <v/>
      </c>
      <c r="H1492" s="10" t="str">
        <f t="shared" si="3"/>
        <v/>
      </c>
      <c r="I1492" s="68" t="str">
        <f t="shared" si="4"/>
        <v/>
      </c>
      <c r="J1492" s="59" t="str">
        <f t="shared" si="5"/>
        <v/>
      </c>
      <c r="K1492" s="69" t="str">
        <f t="shared" si="6"/>
        <v/>
      </c>
      <c r="L1492" s="60" t="str">
        <f t="shared" si="7"/>
        <v/>
      </c>
      <c r="M1492" s="61" t="str">
        <f>IFERROR(__xludf.DUMMYFUNCTION("IFS(AND(COUNTA(C1492:C1644)=0,COUNTA(Q1492:Q1644)=0),"""",OR(AND(K1492&gt;=1000000000,OR(Y1492&gt;=1000000000,COUNTA(Q1492:Q1644)=0)),OR(Y1492&gt;=1000000000,AND(COUNTA(C1492:C1644)=0,P$3=TRUE))),
ROUNDDOWN((AB$1-AC$1)*MAX(INDEX(T$4:T1644,MATCH(LARGE(FILTER(Y$4:Y1"&amp;"644,Y$4:Y1644&lt;1000000000),1),Y$4:Y1644)),INDEX(F$4:F1644,MATCH(LARGE(FILTER(K$4:K1644,K$4:K1644&lt;1000000000),1),K$4:K1644)))),AND(K1492&lt;1000000000,COUNTA(C1492:C1644)&gt;0,P$3=FALSE),
ROUNDDOWN(INDEX(Y$4:Y1644,MATCH(LARGE(FILTER(W$4:W1644,W$4:W1644&lt;=I1492),1)"&amp;",W$4:W1644))+(I1492-LARGE(FILTER(W$4:W1644,W$4:W1644&lt;=I1492),1))*INDEX(T$4:T1644,MATCH(LARGE(FILTER(W$4:W1644,W$4:W1644&lt;=I1492),1),W$4:W1644))-K1492),1,
ROUNDDOWN(Y1492-INDEX(K$4:K1644,MATCH(LARGE(FILTER(I$4:I1644,I$4:I1644&lt;=W1492),1),I$4:I1644))-(W1492-L"&amp;"ARGE(FILTER(I$4:I1644,I$4:I1644&lt;=W1492),1))*INDEX(F$4:F1644,MATCH(LARGE(FILTER(I$4:I1644,I$4:I1644&lt;=W1492),1),I$4:I1644))))"),"")</f>
        <v/>
      </c>
      <c r="N1492" s="60" t="str">
        <f t="shared" si="8"/>
        <v/>
      </c>
      <c r="O1492" s="61" t="str">
        <f t="shared" si="9"/>
        <v/>
      </c>
      <c r="P1492" s="56" t="str">
        <f t="shared" si="10"/>
        <v/>
      </c>
      <c r="Q1492" s="105"/>
      <c r="R1492" s="10"/>
      <c r="S1492" s="59" t="str">
        <f t="array" ref="S1492">IF(COUNTA(Q1492:Q1644)=0,"",SUM((COUNTIF(Q$4:Q1492,Upgrades!$B$3:$B$13)-COUNTIF(Q$4:Q1492,"Sell_"&amp;Upgrades!$B$3:$B$13))*Upgrades!$D$3:$D$13))</f>
        <v/>
      </c>
      <c r="T1492" s="66" t="str">
        <f>IFERROR(__xludf.DUMMYFUNCTION("IF(COUNTA(Q1492:Q1644)=0,"""",IF(REGEXMATCH(INDEX(FILTER(Q$4:Q1492,Q$4:Q1492&lt;&gt;""""),ROWS(FILTER(Q$4:Q1492,Q$4:Q1492&lt;&gt;""""))),""^Sell_""),INDEX(FILTER(T$4:T1491,Q$4:Q1491&lt;&gt;""""),ROWS(FILTER(Q$4:Q1491,Q$4:Q1491&lt;&gt;""""))),$AD$5+S1492))"),"")</f>
        <v/>
      </c>
      <c r="U1492" s="10" t="str">
        <f>IFERROR(__xludf.DUMMYFUNCTION("IF(COUNTA(Q1492:Q1644)=0,"""",IF(Q1492="""",0,IF(REGEXMATCH(Q1492,""^Sell_""),-ROUNDDOWN(ROUNDUP(INDEX(Upgrades!$C$3:$C$13,MATCH(SUBSTITUTE(Q1492,""Sell_"",""""),Upgrades!$B$3:$B$13,0))*1.15^(COUNTIF(Q$4:Q1491,SUBSTITUTE(Q1492,""Sell_"",""""))-COUNTIF(Q$4"&amp;":Q1491,""Sell_""&amp;SUBSTITUTE(Q1492,""Sell_"",""""))))/2),ROUNDUP(INDEX(Upgrades!$C$3:$C$13,MATCH(Q1492,Upgrades!$B$3:$B$13,0))*1.15^(COUNTIF(Q$4:Q1491,Q1492)-COUNTIF(Q$4:Q1491,""Sell_""&amp;Q1492))))))"),"")</f>
        <v/>
      </c>
      <c r="V1492" s="10" t="str">
        <f t="shared" si="11"/>
        <v/>
      </c>
      <c r="W1492" s="68" t="str">
        <f t="shared" si="12"/>
        <v/>
      </c>
      <c r="X1492" s="59" t="str">
        <f t="shared" si="13"/>
        <v/>
      </c>
      <c r="Y1492" s="69" t="str">
        <f t="shared" si="14"/>
        <v/>
      </c>
      <c r="Z1492" s="11"/>
      <c r="AG1492" s="59"/>
    </row>
    <row r="1493">
      <c r="A1493" s="8"/>
      <c r="B1493" s="56" t="str">
        <f t="shared" si="2"/>
        <v/>
      </c>
      <c r="C1493" s="105"/>
      <c r="D1493" s="10"/>
      <c r="E1493" s="59" t="str">
        <f t="array" ref="E1493">IF(COUNTA(C1493:C1644)=0,"",SUM((COUNTIF(C$4:C1493,Upgrades!$B$3:$B$13)-COUNTIF(C$4:C1493,"Sell_"&amp;Upgrades!$B$3:$B$13))*Upgrades!$D$3:$D$13))</f>
        <v/>
      </c>
      <c r="F1493" s="66" t="str">
        <f>IFERROR(__xludf.DUMMYFUNCTION("IF(COUNTA(C1493:C1644)=0,"""",IF(REGEXMATCH(INDEX(FILTER(C$4:C1493,C$4:C1493&lt;&gt;""""),ROWS(FILTER(C$4:C1493,C$4:C1493&lt;&gt;""""))),""^Sell_""),INDEX(FILTER(F$4:F1492,C$4:C1492&lt;&gt;""""),ROWS(FILTER(C$4:C1492,C$4:C1492&lt;&gt;""""))),$AC$5+E1493))"),"")</f>
        <v/>
      </c>
      <c r="G1493" s="10" t="str">
        <f>IFERROR(__xludf.DUMMYFUNCTION("IF(COUNTA(C1493:C1644)=0,"""",IF(C1493="""",0,IF(REGEXMATCH(C1493,""^Sell_""),-ROUNDDOWN(ROUNDUP(INDEX(Upgrades!$C$3:$C$13,MATCH(SUBSTITUTE(C1493,""Sell_"",""""),Upgrades!$B$3:$B$13,0))*1.15^(COUNTIF(C$4:C1492,SUBSTITUTE(C1493,""Sell_"",""""))-COUNTIF(C$4"&amp;":C1492,""Sell_""&amp;SUBSTITUTE(C1493,""Sell_"",""""))))/2),ROUNDUP(INDEX(Upgrades!$C$3:$C$13,MATCH(C1493,Upgrades!$B$3:$B$13,0))*1.15^(COUNTIF(C$4:C1492,C1493)-COUNTIF(C$4:C1492,""Sell_""&amp;C1493))))))"),"")</f>
        <v/>
      </c>
      <c r="H1493" s="10" t="str">
        <f t="shared" si="3"/>
        <v/>
      </c>
      <c r="I1493" s="68" t="str">
        <f t="shared" si="4"/>
        <v/>
      </c>
      <c r="J1493" s="59" t="str">
        <f t="shared" si="5"/>
        <v/>
      </c>
      <c r="K1493" s="69" t="str">
        <f t="shared" si="6"/>
        <v/>
      </c>
      <c r="L1493" s="60" t="str">
        <f t="shared" si="7"/>
        <v/>
      </c>
      <c r="M1493" s="61" t="str">
        <f>IFERROR(__xludf.DUMMYFUNCTION("IFS(AND(COUNTA(C1493:C1644)=0,COUNTA(Q1493:Q1644)=0),"""",OR(AND(K1493&gt;=1000000000,OR(Y1493&gt;=1000000000,COUNTA(Q1493:Q1644)=0)),OR(Y1493&gt;=1000000000,AND(COUNTA(C1493:C1644)=0,P$3=TRUE))),
ROUNDDOWN((AB$1-AC$1)*MAX(INDEX(T$4:T1644,MATCH(LARGE(FILTER(Y$4:Y1"&amp;"644,Y$4:Y1644&lt;1000000000),1),Y$4:Y1644)),INDEX(F$4:F1644,MATCH(LARGE(FILTER(K$4:K1644,K$4:K1644&lt;1000000000),1),K$4:K1644)))),AND(K1493&lt;1000000000,COUNTA(C1493:C1644)&gt;0,P$3=FALSE),
ROUNDDOWN(INDEX(Y$4:Y1644,MATCH(LARGE(FILTER(W$4:W1644,W$4:W1644&lt;=I1493),1)"&amp;",W$4:W1644))+(I1493-LARGE(FILTER(W$4:W1644,W$4:W1644&lt;=I1493),1))*INDEX(T$4:T1644,MATCH(LARGE(FILTER(W$4:W1644,W$4:W1644&lt;=I1493),1),W$4:W1644))-K1493),1,
ROUNDDOWN(Y1493-INDEX(K$4:K1644,MATCH(LARGE(FILTER(I$4:I1644,I$4:I1644&lt;=W1493),1),I$4:I1644))-(W1493-L"&amp;"ARGE(FILTER(I$4:I1644,I$4:I1644&lt;=W1493),1))*INDEX(F$4:F1644,MATCH(LARGE(FILTER(I$4:I1644,I$4:I1644&lt;=W1493),1),I$4:I1644))))"),"")</f>
        <v/>
      </c>
      <c r="N1493" s="60" t="str">
        <f t="shared" si="8"/>
        <v/>
      </c>
      <c r="O1493" s="61" t="str">
        <f t="shared" si="9"/>
        <v/>
      </c>
      <c r="P1493" s="56" t="str">
        <f t="shared" si="10"/>
        <v/>
      </c>
      <c r="Q1493" s="105"/>
      <c r="R1493" s="10"/>
      <c r="S1493" s="59" t="str">
        <f t="array" ref="S1493">IF(COUNTA(Q1493:Q1644)=0,"",SUM((COUNTIF(Q$4:Q1493,Upgrades!$B$3:$B$13)-COUNTIF(Q$4:Q1493,"Sell_"&amp;Upgrades!$B$3:$B$13))*Upgrades!$D$3:$D$13))</f>
        <v/>
      </c>
      <c r="T1493" s="66" t="str">
        <f>IFERROR(__xludf.DUMMYFUNCTION("IF(COUNTA(Q1493:Q1644)=0,"""",IF(REGEXMATCH(INDEX(FILTER(Q$4:Q1493,Q$4:Q1493&lt;&gt;""""),ROWS(FILTER(Q$4:Q1493,Q$4:Q1493&lt;&gt;""""))),""^Sell_""),INDEX(FILTER(T$4:T1492,Q$4:Q1492&lt;&gt;""""),ROWS(FILTER(Q$4:Q1492,Q$4:Q1492&lt;&gt;""""))),$AD$5+S1493))"),"")</f>
        <v/>
      </c>
      <c r="U1493" s="10" t="str">
        <f>IFERROR(__xludf.DUMMYFUNCTION("IF(COUNTA(Q1493:Q1644)=0,"""",IF(Q1493="""",0,IF(REGEXMATCH(Q1493,""^Sell_""),-ROUNDDOWN(ROUNDUP(INDEX(Upgrades!$C$3:$C$13,MATCH(SUBSTITUTE(Q1493,""Sell_"",""""),Upgrades!$B$3:$B$13,0))*1.15^(COUNTIF(Q$4:Q1492,SUBSTITUTE(Q1493,""Sell_"",""""))-COUNTIF(Q$4"&amp;":Q1492,""Sell_""&amp;SUBSTITUTE(Q1493,""Sell_"",""""))))/2),ROUNDUP(INDEX(Upgrades!$C$3:$C$13,MATCH(Q1493,Upgrades!$B$3:$B$13,0))*1.15^(COUNTIF(Q$4:Q1492,Q1493)-COUNTIF(Q$4:Q1492,""Sell_""&amp;Q1493))))))"),"")</f>
        <v/>
      </c>
      <c r="V1493" s="10" t="str">
        <f t="shared" si="11"/>
        <v/>
      </c>
      <c r="W1493" s="68" t="str">
        <f t="shared" si="12"/>
        <v/>
      </c>
      <c r="X1493" s="59" t="str">
        <f t="shared" si="13"/>
        <v/>
      </c>
      <c r="Y1493" s="69" t="str">
        <f t="shared" si="14"/>
        <v/>
      </c>
      <c r="Z1493" s="11"/>
      <c r="AG1493" s="59"/>
    </row>
    <row r="1494">
      <c r="A1494" s="8"/>
      <c r="B1494" s="56" t="str">
        <f t="shared" si="2"/>
        <v/>
      </c>
      <c r="C1494" s="105"/>
      <c r="D1494" s="10"/>
      <c r="E1494" s="59" t="str">
        <f t="array" ref="E1494">IF(COUNTA(C1494:C1644)=0,"",SUM((COUNTIF(C$4:C1494,Upgrades!$B$3:$B$13)-COUNTIF(C$4:C1494,"Sell_"&amp;Upgrades!$B$3:$B$13))*Upgrades!$D$3:$D$13))</f>
        <v/>
      </c>
      <c r="F1494" s="66" t="str">
        <f>IFERROR(__xludf.DUMMYFUNCTION("IF(COUNTA(C1494:C1644)=0,"""",IF(REGEXMATCH(INDEX(FILTER(C$4:C1494,C$4:C1494&lt;&gt;""""),ROWS(FILTER(C$4:C1494,C$4:C1494&lt;&gt;""""))),""^Sell_""),INDEX(FILTER(F$4:F1493,C$4:C1493&lt;&gt;""""),ROWS(FILTER(C$4:C1493,C$4:C1493&lt;&gt;""""))),$AC$5+E1494))"),"")</f>
        <v/>
      </c>
      <c r="G1494" s="10" t="str">
        <f>IFERROR(__xludf.DUMMYFUNCTION("IF(COUNTA(C1494:C1644)=0,"""",IF(C1494="""",0,IF(REGEXMATCH(C1494,""^Sell_""),-ROUNDDOWN(ROUNDUP(INDEX(Upgrades!$C$3:$C$13,MATCH(SUBSTITUTE(C1494,""Sell_"",""""),Upgrades!$B$3:$B$13,0))*1.15^(COUNTIF(C$4:C1493,SUBSTITUTE(C1494,""Sell_"",""""))-COUNTIF(C$4"&amp;":C1493,""Sell_""&amp;SUBSTITUTE(C1494,""Sell_"",""""))))/2),ROUNDUP(INDEX(Upgrades!$C$3:$C$13,MATCH(C1494,Upgrades!$B$3:$B$13,0))*1.15^(COUNTIF(C$4:C1493,C1494)-COUNTIF(C$4:C1493,""Sell_""&amp;C1494))))))"),"")</f>
        <v/>
      </c>
      <c r="H1494" s="10" t="str">
        <f t="shared" si="3"/>
        <v/>
      </c>
      <c r="I1494" s="68" t="str">
        <f t="shared" si="4"/>
        <v/>
      </c>
      <c r="J1494" s="59" t="str">
        <f t="shared" si="5"/>
        <v/>
      </c>
      <c r="K1494" s="69" t="str">
        <f t="shared" si="6"/>
        <v/>
      </c>
      <c r="L1494" s="60" t="str">
        <f t="shared" si="7"/>
        <v/>
      </c>
      <c r="M1494" s="61" t="str">
        <f>IFERROR(__xludf.DUMMYFUNCTION("IFS(AND(COUNTA(C1494:C1644)=0,COUNTA(Q1494:Q1644)=0),"""",OR(AND(K1494&gt;=1000000000,OR(Y1494&gt;=1000000000,COUNTA(Q1494:Q1644)=0)),OR(Y1494&gt;=1000000000,AND(COUNTA(C1494:C1644)=0,P$3=TRUE))),
ROUNDDOWN((AB$1-AC$1)*MAX(INDEX(T$4:T1644,MATCH(LARGE(FILTER(Y$4:Y1"&amp;"644,Y$4:Y1644&lt;1000000000),1),Y$4:Y1644)),INDEX(F$4:F1644,MATCH(LARGE(FILTER(K$4:K1644,K$4:K1644&lt;1000000000),1),K$4:K1644)))),AND(K1494&lt;1000000000,COUNTA(C1494:C1644)&gt;0,P$3=FALSE),
ROUNDDOWN(INDEX(Y$4:Y1644,MATCH(LARGE(FILTER(W$4:W1644,W$4:W1644&lt;=I1494),1)"&amp;",W$4:W1644))+(I1494-LARGE(FILTER(W$4:W1644,W$4:W1644&lt;=I1494),1))*INDEX(T$4:T1644,MATCH(LARGE(FILTER(W$4:W1644,W$4:W1644&lt;=I1494),1),W$4:W1644))-K1494),1,
ROUNDDOWN(Y1494-INDEX(K$4:K1644,MATCH(LARGE(FILTER(I$4:I1644,I$4:I1644&lt;=W1494),1),I$4:I1644))-(W1494-L"&amp;"ARGE(FILTER(I$4:I1644,I$4:I1644&lt;=W1494),1))*INDEX(F$4:F1644,MATCH(LARGE(FILTER(I$4:I1644,I$4:I1644&lt;=W1494),1),I$4:I1644))))"),"")</f>
        <v/>
      </c>
      <c r="N1494" s="60" t="str">
        <f t="shared" si="8"/>
        <v/>
      </c>
      <c r="O1494" s="61" t="str">
        <f t="shared" si="9"/>
        <v/>
      </c>
      <c r="P1494" s="56" t="str">
        <f t="shared" si="10"/>
        <v/>
      </c>
      <c r="Q1494" s="105"/>
      <c r="R1494" s="10"/>
      <c r="S1494" s="59" t="str">
        <f t="array" ref="S1494">IF(COUNTA(Q1494:Q1644)=0,"",SUM((COUNTIF(Q$4:Q1494,Upgrades!$B$3:$B$13)-COUNTIF(Q$4:Q1494,"Sell_"&amp;Upgrades!$B$3:$B$13))*Upgrades!$D$3:$D$13))</f>
        <v/>
      </c>
      <c r="T1494" s="66" t="str">
        <f>IFERROR(__xludf.DUMMYFUNCTION("IF(COUNTA(Q1494:Q1644)=0,"""",IF(REGEXMATCH(INDEX(FILTER(Q$4:Q1494,Q$4:Q1494&lt;&gt;""""),ROWS(FILTER(Q$4:Q1494,Q$4:Q1494&lt;&gt;""""))),""^Sell_""),INDEX(FILTER(T$4:T1493,Q$4:Q1493&lt;&gt;""""),ROWS(FILTER(Q$4:Q1493,Q$4:Q1493&lt;&gt;""""))),$AD$5+S1494))"),"")</f>
        <v/>
      </c>
      <c r="U1494" s="10" t="str">
        <f>IFERROR(__xludf.DUMMYFUNCTION("IF(COUNTA(Q1494:Q1644)=0,"""",IF(Q1494="""",0,IF(REGEXMATCH(Q1494,""^Sell_""),-ROUNDDOWN(ROUNDUP(INDEX(Upgrades!$C$3:$C$13,MATCH(SUBSTITUTE(Q1494,""Sell_"",""""),Upgrades!$B$3:$B$13,0))*1.15^(COUNTIF(Q$4:Q1493,SUBSTITUTE(Q1494,""Sell_"",""""))-COUNTIF(Q$4"&amp;":Q1493,""Sell_""&amp;SUBSTITUTE(Q1494,""Sell_"",""""))))/2),ROUNDUP(INDEX(Upgrades!$C$3:$C$13,MATCH(Q1494,Upgrades!$B$3:$B$13,0))*1.15^(COUNTIF(Q$4:Q1493,Q1494)-COUNTIF(Q$4:Q1493,""Sell_""&amp;Q1494))))))"),"")</f>
        <v/>
      </c>
      <c r="V1494" s="10" t="str">
        <f t="shared" si="11"/>
        <v/>
      </c>
      <c r="W1494" s="68" t="str">
        <f t="shared" si="12"/>
        <v/>
      </c>
      <c r="X1494" s="59" t="str">
        <f t="shared" si="13"/>
        <v/>
      </c>
      <c r="Y1494" s="69" t="str">
        <f t="shared" si="14"/>
        <v/>
      </c>
      <c r="Z1494" s="11"/>
      <c r="AG1494" s="59"/>
    </row>
    <row r="1495">
      <c r="A1495" s="8"/>
      <c r="B1495" s="56" t="str">
        <f t="shared" si="2"/>
        <v/>
      </c>
      <c r="C1495" s="105"/>
      <c r="D1495" s="10"/>
      <c r="E1495" s="59" t="str">
        <f t="array" ref="E1495">IF(COUNTA(C1495:C1644)=0,"",SUM((COUNTIF(C$4:C1495,Upgrades!$B$3:$B$13)-COUNTIF(C$4:C1495,"Sell_"&amp;Upgrades!$B$3:$B$13))*Upgrades!$D$3:$D$13))</f>
        <v/>
      </c>
      <c r="F1495" s="66" t="str">
        <f>IFERROR(__xludf.DUMMYFUNCTION("IF(COUNTA(C1495:C1644)=0,"""",IF(REGEXMATCH(INDEX(FILTER(C$4:C1495,C$4:C1495&lt;&gt;""""),ROWS(FILTER(C$4:C1495,C$4:C1495&lt;&gt;""""))),""^Sell_""),INDEX(FILTER(F$4:F1494,C$4:C1494&lt;&gt;""""),ROWS(FILTER(C$4:C1494,C$4:C1494&lt;&gt;""""))),$AC$5+E1495))"),"")</f>
        <v/>
      </c>
      <c r="G1495" s="10" t="str">
        <f>IFERROR(__xludf.DUMMYFUNCTION("IF(COUNTA(C1495:C1644)=0,"""",IF(C1495="""",0,IF(REGEXMATCH(C1495,""^Sell_""),-ROUNDDOWN(ROUNDUP(INDEX(Upgrades!$C$3:$C$13,MATCH(SUBSTITUTE(C1495,""Sell_"",""""),Upgrades!$B$3:$B$13,0))*1.15^(COUNTIF(C$4:C1494,SUBSTITUTE(C1495,""Sell_"",""""))-COUNTIF(C$4"&amp;":C1494,""Sell_""&amp;SUBSTITUTE(C1495,""Sell_"",""""))))/2),ROUNDUP(INDEX(Upgrades!$C$3:$C$13,MATCH(C1495,Upgrades!$B$3:$B$13,0))*1.15^(COUNTIF(C$4:C1494,C1495)-COUNTIF(C$4:C1494,""Sell_""&amp;C1495))))))"),"")</f>
        <v/>
      </c>
      <c r="H1495" s="10" t="str">
        <f t="shared" si="3"/>
        <v/>
      </c>
      <c r="I1495" s="68" t="str">
        <f t="shared" si="4"/>
        <v/>
      </c>
      <c r="J1495" s="59" t="str">
        <f t="shared" si="5"/>
        <v/>
      </c>
      <c r="K1495" s="69" t="str">
        <f t="shared" si="6"/>
        <v/>
      </c>
      <c r="L1495" s="60" t="str">
        <f t="shared" si="7"/>
        <v/>
      </c>
      <c r="M1495" s="61" t="str">
        <f>IFERROR(__xludf.DUMMYFUNCTION("IFS(AND(COUNTA(C1495:C1644)=0,COUNTA(Q1495:Q1644)=0),"""",OR(AND(K1495&gt;=1000000000,OR(Y1495&gt;=1000000000,COUNTA(Q1495:Q1644)=0)),OR(Y1495&gt;=1000000000,AND(COUNTA(C1495:C1644)=0,P$3=TRUE))),
ROUNDDOWN((AB$1-AC$1)*MAX(INDEX(T$4:T1644,MATCH(LARGE(FILTER(Y$4:Y1"&amp;"644,Y$4:Y1644&lt;1000000000),1),Y$4:Y1644)),INDEX(F$4:F1644,MATCH(LARGE(FILTER(K$4:K1644,K$4:K1644&lt;1000000000),1),K$4:K1644)))),AND(K1495&lt;1000000000,COUNTA(C1495:C1644)&gt;0,P$3=FALSE),
ROUNDDOWN(INDEX(Y$4:Y1644,MATCH(LARGE(FILTER(W$4:W1644,W$4:W1644&lt;=I1495),1)"&amp;",W$4:W1644))+(I1495-LARGE(FILTER(W$4:W1644,W$4:W1644&lt;=I1495),1))*INDEX(T$4:T1644,MATCH(LARGE(FILTER(W$4:W1644,W$4:W1644&lt;=I1495),1),W$4:W1644))-K1495),1,
ROUNDDOWN(Y1495-INDEX(K$4:K1644,MATCH(LARGE(FILTER(I$4:I1644,I$4:I1644&lt;=W1495),1),I$4:I1644))-(W1495-L"&amp;"ARGE(FILTER(I$4:I1644,I$4:I1644&lt;=W1495),1))*INDEX(F$4:F1644,MATCH(LARGE(FILTER(I$4:I1644,I$4:I1644&lt;=W1495),1),I$4:I1644))))"),"")</f>
        <v/>
      </c>
      <c r="N1495" s="60" t="str">
        <f t="shared" si="8"/>
        <v/>
      </c>
      <c r="O1495" s="61" t="str">
        <f t="shared" si="9"/>
        <v/>
      </c>
      <c r="P1495" s="56" t="str">
        <f t="shared" si="10"/>
        <v/>
      </c>
      <c r="Q1495" s="105"/>
      <c r="R1495" s="10"/>
      <c r="S1495" s="59" t="str">
        <f t="array" ref="S1495">IF(COUNTA(Q1495:Q1644)=0,"",SUM((COUNTIF(Q$4:Q1495,Upgrades!$B$3:$B$13)-COUNTIF(Q$4:Q1495,"Sell_"&amp;Upgrades!$B$3:$B$13))*Upgrades!$D$3:$D$13))</f>
        <v/>
      </c>
      <c r="T1495" s="66" t="str">
        <f>IFERROR(__xludf.DUMMYFUNCTION("IF(COUNTA(Q1495:Q1644)=0,"""",IF(REGEXMATCH(INDEX(FILTER(Q$4:Q1495,Q$4:Q1495&lt;&gt;""""),ROWS(FILTER(Q$4:Q1495,Q$4:Q1495&lt;&gt;""""))),""^Sell_""),INDEX(FILTER(T$4:T1494,Q$4:Q1494&lt;&gt;""""),ROWS(FILTER(Q$4:Q1494,Q$4:Q1494&lt;&gt;""""))),$AD$5+S1495))"),"")</f>
        <v/>
      </c>
      <c r="U1495" s="10" t="str">
        <f>IFERROR(__xludf.DUMMYFUNCTION("IF(COUNTA(Q1495:Q1644)=0,"""",IF(Q1495="""",0,IF(REGEXMATCH(Q1495,""^Sell_""),-ROUNDDOWN(ROUNDUP(INDEX(Upgrades!$C$3:$C$13,MATCH(SUBSTITUTE(Q1495,""Sell_"",""""),Upgrades!$B$3:$B$13,0))*1.15^(COUNTIF(Q$4:Q1494,SUBSTITUTE(Q1495,""Sell_"",""""))-COUNTIF(Q$4"&amp;":Q1494,""Sell_""&amp;SUBSTITUTE(Q1495,""Sell_"",""""))))/2),ROUNDUP(INDEX(Upgrades!$C$3:$C$13,MATCH(Q1495,Upgrades!$B$3:$B$13,0))*1.15^(COUNTIF(Q$4:Q1494,Q1495)-COUNTIF(Q$4:Q1494,""Sell_""&amp;Q1495))))))"),"")</f>
        <v/>
      </c>
      <c r="V1495" s="10" t="str">
        <f t="shared" si="11"/>
        <v/>
      </c>
      <c r="W1495" s="68" t="str">
        <f t="shared" si="12"/>
        <v/>
      </c>
      <c r="X1495" s="59" t="str">
        <f t="shared" si="13"/>
        <v/>
      </c>
      <c r="Y1495" s="69" t="str">
        <f t="shared" si="14"/>
        <v/>
      </c>
      <c r="Z1495" s="11"/>
      <c r="AG1495" s="59"/>
    </row>
    <row r="1496">
      <c r="A1496" s="8"/>
      <c r="B1496" s="56" t="str">
        <f t="shared" si="2"/>
        <v/>
      </c>
      <c r="C1496" s="105"/>
      <c r="D1496" s="10"/>
      <c r="E1496" s="59" t="str">
        <f t="array" ref="E1496">IF(COUNTA(C1496:C1644)=0,"",SUM((COUNTIF(C$4:C1496,Upgrades!$B$3:$B$13)-COUNTIF(C$4:C1496,"Sell_"&amp;Upgrades!$B$3:$B$13))*Upgrades!$D$3:$D$13))</f>
        <v/>
      </c>
      <c r="F1496" s="66" t="str">
        <f>IFERROR(__xludf.DUMMYFUNCTION("IF(COUNTA(C1496:C1644)=0,"""",IF(REGEXMATCH(INDEX(FILTER(C$4:C1496,C$4:C1496&lt;&gt;""""),ROWS(FILTER(C$4:C1496,C$4:C1496&lt;&gt;""""))),""^Sell_""),INDEX(FILTER(F$4:F1495,C$4:C1495&lt;&gt;""""),ROWS(FILTER(C$4:C1495,C$4:C1495&lt;&gt;""""))),$AC$5+E1496))"),"")</f>
        <v/>
      </c>
      <c r="G1496" s="10" t="str">
        <f>IFERROR(__xludf.DUMMYFUNCTION("IF(COUNTA(C1496:C1644)=0,"""",IF(C1496="""",0,IF(REGEXMATCH(C1496,""^Sell_""),-ROUNDDOWN(ROUNDUP(INDEX(Upgrades!$C$3:$C$13,MATCH(SUBSTITUTE(C1496,""Sell_"",""""),Upgrades!$B$3:$B$13,0))*1.15^(COUNTIF(C$4:C1495,SUBSTITUTE(C1496,""Sell_"",""""))-COUNTIF(C$4"&amp;":C1495,""Sell_""&amp;SUBSTITUTE(C1496,""Sell_"",""""))))/2),ROUNDUP(INDEX(Upgrades!$C$3:$C$13,MATCH(C1496,Upgrades!$B$3:$B$13,0))*1.15^(COUNTIF(C$4:C1495,C1496)-COUNTIF(C$4:C1495,""Sell_""&amp;C1496))))))"),"")</f>
        <v/>
      </c>
      <c r="H1496" s="10" t="str">
        <f t="shared" si="3"/>
        <v/>
      </c>
      <c r="I1496" s="68" t="str">
        <f t="shared" si="4"/>
        <v/>
      </c>
      <c r="J1496" s="59" t="str">
        <f t="shared" si="5"/>
        <v/>
      </c>
      <c r="K1496" s="69" t="str">
        <f t="shared" si="6"/>
        <v/>
      </c>
      <c r="L1496" s="60" t="str">
        <f t="shared" si="7"/>
        <v/>
      </c>
      <c r="M1496" s="61" t="str">
        <f>IFERROR(__xludf.DUMMYFUNCTION("IFS(AND(COUNTA(C1496:C1644)=0,COUNTA(Q1496:Q1644)=0),"""",OR(AND(K1496&gt;=1000000000,OR(Y1496&gt;=1000000000,COUNTA(Q1496:Q1644)=0)),OR(Y1496&gt;=1000000000,AND(COUNTA(C1496:C1644)=0,P$3=TRUE))),
ROUNDDOWN((AB$1-AC$1)*MAX(INDEX(T$4:T1644,MATCH(LARGE(FILTER(Y$4:Y1"&amp;"644,Y$4:Y1644&lt;1000000000),1),Y$4:Y1644)),INDEX(F$4:F1644,MATCH(LARGE(FILTER(K$4:K1644,K$4:K1644&lt;1000000000),1),K$4:K1644)))),AND(K1496&lt;1000000000,COUNTA(C1496:C1644)&gt;0,P$3=FALSE),
ROUNDDOWN(INDEX(Y$4:Y1644,MATCH(LARGE(FILTER(W$4:W1644,W$4:W1644&lt;=I1496),1)"&amp;",W$4:W1644))+(I1496-LARGE(FILTER(W$4:W1644,W$4:W1644&lt;=I1496),1))*INDEX(T$4:T1644,MATCH(LARGE(FILTER(W$4:W1644,W$4:W1644&lt;=I1496),1),W$4:W1644))-K1496),1,
ROUNDDOWN(Y1496-INDEX(K$4:K1644,MATCH(LARGE(FILTER(I$4:I1644,I$4:I1644&lt;=W1496),1),I$4:I1644))-(W1496-L"&amp;"ARGE(FILTER(I$4:I1644,I$4:I1644&lt;=W1496),1))*INDEX(F$4:F1644,MATCH(LARGE(FILTER(I$4:I1644,I$4:I1644&lt;=W1496),1),I$4:I1644))))"),"")</f>
        <v/>
      </c>
      <c r="N1496" s="60" t="str">
        <f t="shared" si="8"/>
        <v/>
      </c>
      <c r="O1496" s="61" t="str">
        <f t="shared" si="9"/>
        <v/>
      </c>
      <c r="P1496" s="56" t="str">
        <f t="shared" si="10"/>
        <v/>
      </c>
      <c r="Q1496" s="105"/>
      <c r="R1496" s="10"/>
      <c r="S1496" s="59" t="str">
        <f t="array" ref="S1496">IF(COUNTA(Q1496:Q1644)=0,"",SUM((COUNTIF(Q$4:Q1496,Upgrades!$B$3:$B$13)-COUNTIF(Q$4:Q1496,"Sell_"&amp;Upgrades!$B$3:$B$13))*Upgrades!$D$3:$D$13))</f>
        <v/>
      </c>
      <c r="T1496" s="66" t="str">
        <f>IFERROR(__xludf.DUMMYFUNCTION("IF(COUNTA(Q1496:Q1644)=0,"""",IF(REGEXMATCH(INDEX(FILTER(Q$4:Q1496,Q$4:Q1496&lt;&gt;""""),ROWS(FILTER(Q$4:Q1496,Q$4:Q1496&lt;&gt;""""))),""^Sell_""),INDEX(FILTER(T$4:T1495,Q$4:Q1495&lt;&gt;""""),ROWS(FILTER(Q$4:Q1495,Q$4:Q1495&lt;&gt;""""))),$AD$5+S1496))"),"")</f>
        <v/>
      </c>
      <c r="U1496" s="10" t="str">
        <f>IFERROR(__xludf.DUMMYFUNCTION("IF(COUNTA(Q1496:Q1644)=0,"""",IF(Q1496="""",0,IF(REGEXMATCH(Q1496,""^Sell_""),-ROUNDDOWN(ROUNDUP(INDEX(Upgrades!$C$3:$C$13,MATCH(SUBSTITUTE(Q1496,""Sell_"",""""),Upgrades!$B$3:$B$13,0))*1.15^(COUNTIF(Q$4:Q1495,SUBSTITUTE(Q1496,""Sell_"",""""))-COUNTIF(Q$4"&amp;":Q1495,""Sell_""&amp;SUBSTITUTE(Q1496,""Sell_"",""""))))/2),ROUNDUP(INDEX(Upgrades!$C$3:$C$13,MATCH(Q1496,Upgrades!$B$3:$B$13,0))*1.15^(COUNTIF(Q$4:Q1495,Q1496)-COUNTIF(Q$4:Q1495,""Sell_""&amp;Q1496))))))"),"")</f>
        <v/>
      </c>
      <c r="V1496" s="10" t="str">
        <f t="shared" si="11"/>
        <v/>
      </c>
      <c r="W1496" s="68" t="str">
        <f t="shared" si="12"/>
        <v/>
      </c>
      <c r="X1496" s="59" t="str">
        <f t="shared" si="13"/>
        <v/>
      </c>
      <c r="Y1496" s="69" t="str">
        <f t="shared" si="14"/>
        <v/>
      </c>
      <c r="Z1496" s="11"/>
      <c r="AG1496" s="59"/>
    </row>
    <row r="1497">
      <c r="A1497" s="8"/>
      <c r="B1497" s="56" t="str">
        <f t="shared" si="2"/>
        <v/>
      </c>
      <c r="C1497" s="105"/>
      <c r="D1497" s="10"/>
      <c r="E1497" s="59" t="str">
        <f t="array" ref="E1497">IF(COUNTA(C1497:C1644)=0,"",SUM((COUNTIF(C$4:C1497,Upgrades!$B$3:$B$13)-COUNTIF(C$4:C1497,"Sell_"&amp;Upgrades!$B$3:$B$13))*Upgrades!$D$3:$D$13))</f>
        <v/>
      </c>
      <c r="F1497" s="66" t="str">
        <f>IFERROR(__xludf.DUMMYFUNCTION("IF(COUNTA(C1497:C1644)=0,"""",IF(REGEXMATCH(INDEX(FILTER(C$4:C1497,C$4:C1497&lt;&gt;""""),ROWS(FILTER(C$4:C1497,C$4:C1497&lt;&gt;""""))),""^Sell_""),INDEX(FILTER(F$4:F1496,C$4:C1496&lt;&gt;""""),ROWS(FILTER(C$4:C1496,C$4:C1496&lt;&gt;""""))),$AC$5+E1497))"),"")</f>
        <v/>
      </c>
      <c r="G1497" s="10" t="str">
        <f>IFERROR(__xludf.DUMMYFUNCTION("IF(COUNTA(C1497:C1644)=0,"""",IF(C1497="""",0,IF(REGEXMATCH(C1497,""^Sell_""),-ROUNDDOWN(ROUNDUP(INDEX(Upgrades!$C$3:$C$13,MATCH(SUBSTITUTE(C1497,""Sell_"",""""),Upgrades!$B$3:$B$13,0))*1.15^(COUNTIF(C$4:C1496,SUBSTITUTE(C1497,""Sell_"",""""))-COUNTIF(C$4"&amp;":C1496,""Sell_""&amp;SUBSTITUTE(C1497,""Sell_"",""""))))/2),ROUNDUP(INDEX(Upgrades!$C$3:$C$13,MATCH(C1497,Upgrades!$B$3:$B$13,0))*1.15^(COUNTIF(C$4:C1496,C1497)-COUNTIF(C$4:C1496,""Sell_""&amp;C1497))))))"),"")</f>
        <v/>
      </c>
      <c r="H1497" s="10" t="str">
        <f t="shared" si="3"/>
        <v/>
      </c>
      <c r="I1497" s="68" t="str">
        <f t="shared" si="4"/>
        <v/>
      </c>
      <c r="J1497" s="59" t="str">
        <f t="shared" si="5"/>
        <v/>
      </c>
      <c r="K1497" s="69" t="str">
        <f t="shared" si="6"/>
        <v/>
      </c>
      <c r="L1497" s="60" t="str">
        <f t="shared" si="7"/>
        <v/>
      </c>
      <c r="M1497" s="61" t="str">
        <f>IFERROR(__xludf.DUMMYFUNCTION("IFS(AND(COUNTA(C1497:C1644)=0,COUNTA(Q1497:Q1644)=0),"""",OR(AND(K1497&gt;=1000000000,OR(Y1497&gt;=1000000000,COUNTA(Q1497:Q1644)=0)),OR(Y1497&gt;=1000000000,AND(COUNTA(C1497:C1644)=0,P$3=TRUE))),
ROUNDDOWN((AB$1-AC$1)*MAX(INDEX(T$4:T1644,MATCH(LARGE(FILTER(Y$4:Y1"&amp;"644,Y$4:Y1644&lt;1000000000),1),Y$4:Y1644)),INDEX(F$4:F1644,MATCH(LARGE(FILTER(K$4:K1644,K$4:K1644&lt;1000000000),1),K$4:K1644)))),AND(K1497&lt;1000000000,COUNTA(C1497:C1644)&gt;0,P$3=FALSE),
ROUNDDOWN(INDEX(Y$4:Y1644,MATCH(LARGE(FILTER(W$4:W1644,W$4:W1644&lt;=I1497),1)"&amp;",W$4:W1644))+(I1497-LARGE(FILTER(W$4:W1644,W$4:W1644&lt;=I1497),1))*INDEX(T$4:T1644,MATCH(LARGE(FILTER(W$4:W1644,W$4:W1644&lt;=I1497),1),W$4:W1644))-K1497),1,
ROUNDDOWN(Y1497-INDEX(K$4:K1644,MATCH(LARGE(FILTER(I$4:I1644,I$4:I1644&lt;=W1497),1),I$4:I1644))-(W1497-L"&amp;"ARGE(FILTER(I$4:I1644,I$4:I1644&lt;=W1497),1))*INDEX(F$4:F1644,MATCH(LARGE(FILTER(I$4:I1644,I$4:I1644&lt;=W1497),1),I$4:I1644))))"),"")</f>
        <v/>
      </c>
      <c r="N1497" s="60" t="str">
        <f t="shared" si="8"/>
        <v/>
      </c>
      <c r="O1497" s="61" t="str">
        <f t="shared" si="9"/>
        <v/>
      </c>
      <c r="P1497" s="56" t="str">
        <f t="shared" si="10"/>
        <v/>
      </c>
      <c r="Q1497" s="105"/>
      <c r="R1497" s="10"/>
      <c r="S1497" s="59" t="str">
        <f t="array" ref="S1497">IF(COUNTA(Q1497:Q1644)=0,"",SUM((COUNTIF(Q$4:Q1497,Upgrades!$B$3:$B$13)-COUNTIF(Q$4:Q1497,"Sell_"&amp;Upgrades!$B$3:$B$13))*Upgrades!$D$3:$D$13))</f>
        <v/>
      </c>
      <c r="T1497" s="66" t="str">
        <f>IFERROR(__xludf.DUMMYFUNCTION("IF(COUNTA(Q1497:Q1644)=0,"""",IF(REGEXMATCH(INDEX(FILTER(Q$4:Q1497,Q$4:Q1497&lt;&gt;""""),ROWS(FILTER(Q$4:Q1497,Q$4:Q1497&lt;&gt;""""))),""^Sell_""),INDEX(FILTER(T$4:T1496,Q$4:Q1496&lt;&gt;""""),ROWS(FILTER(Q$4:Q1496,Q$4:Q1496&lt;&gt;""""))),$AD$5+S1497))"),"")</f>
        <v/>
      </c>
      <c r="U1497" s="10" t="str">
        <f>IFERROR(__xludf.DUMMYFUNCTION("IF(COUNTA(Q1497:Q1644)=0,"""",IF(Q1497="""",0,IF(REGEXMATCH(Q1497,""^Sell_""),-ROUNDDOWN(ROUNDUP(INDEX(Upgrades!$C$3:$C$13,MATCH(SUBSTITUTE(Q1497,""Sell_"",""""),Upgrades!$B$3:$B$13,0))*1.15^(COUNTIF(Q$4:Q1496,SUBSTITUTE(Q1497,""Sell_"",""""))-COUNTIF(Q$4"&amp;":Q1496,""Sell_""&amp;SUBSTITUTE(Q1497,""Sell_"",""""))))/2),ROUNDUP(INDEX(Upgrades!$C$3:$C$13,MATCH(Q1497,Upgrades!$B$3:$B$13,0))*1.15^(COUNTIF(Q$4:Q1496,Q1497)-COUNTIF(Q$4:Q1496,""Sell_""&amp;Q1497))))))"),"")</f>
        <v/>
      </c>
      <c r="V1497" s="10" t="str">
        <f t="shared" si="11"/>
        <v/>
      </c>
      <c r="W1497" s="68" t="str">
        <f t="shared" si="12"/>
        <v/>
      </c>
      <c r="X1497" s="59" t="str">
        <f t="shared" si="13"/>
        <v/>
      </c>
      <c r="Y1497" s="69" t="str">
        <f t="shared" si="14"/>
        <v/>
      </c>
      <c r="Z1497" s="11"/>
      <c r="AG1497" s="59"/>
    </row>
    <row r="1498">
      <c r="A1498" s="8"/>
      <c r="B1498" s="56" t="str">
        <f t="shared" si="2"/>
        <v/>
      </c>
      <c r="C1498" s="105"/>
      <c r="D1498" s="10"/>
      <c r="E1498" s="59" t="str">
        <f t="array" ref="E1498">IF(COUNTA(C1498:C1644)=0,"",SUM((COUNTIF(C$4:C1498,Upgrades!$B$3:$B$13)-COUNTIF(C$4:C1498,"Sell_"&amp;Upgrades!$B$3:$B$13))*Upgrades!$D$3:$D$13))</f>
        <v/>
      </c>
      <c r="F1498" s="66" t="str">
        <f>IFERROR(__xludf.DUMMYFUNCTION("IF(COUNTA(C1498:C1644)=0,"""",IF(REGEXMATCH(INDEX(FILTER(C$4:C1498,C$4:C1498&lt;&gt;""""),ROWS(FILTER(C$4:C1498,C$4:C1498&lt;&gt;""""))),""^Sell_""),INDEX(FILTER(F$4:F1497,C$4:C1497&lt;&gt;""""),ROWS(FILTER(C$4:C1497,C$4:C1497&lt;&gt;""""))),$AC$5+E1498))"),"")</f>
        <v/>
      </c>
      <c r="G1498" s="10" t="str">
        <f>IFERROR(__xludf.DUMMYFUNCTION("IF(COUNTA(C1498:C1644)=0,"""",IF(C1498="""",0,IF(REGEXMATCH(C1498,""^Sell_""),-ROUNDDOWN(ROUNDUP(INDEX(Upgrades!$C$3:$C$13,MATCH(SUBSTITUTE(C1498,""Sell_"",""""),Upgrades!$B$3:$B$13,0))*1.15^(COUNTIF(C$4:C1497,SUBSTITUTE(C1498,""Sell_"",""""))-COUNTIF(C$4"&amp;":C1497,""Sell_""&amp;SUBSTITUTE(C1498,""Sell_"",""""))))/2),ROUNDUP(INDEX(Upgrades!$C$3:$C$13,MATCH(C1498,Upgrades!$B$3:$B$13,0))*1.15^(COUNTIF(C$4:C1497,C1498)-COUNTIF(C$4:C1497,""Sell_""&amp;C1498))))))"),"")</f>
        <v/>
      </c>
      <c r="H1498" s="10" t="str">
        <f t="shared" si="3"/>
        <v/>
      </c>
      <c r="I1498" s="68" t="str">
        <f t="shared" si="4"/>
        <v/>
      </c>
      <c r="J1498" s="59" t="str">
        <f t="shared" si="5"/>
        <v/>
      </c>
      <c r="K1498" s="69" t="str">
        <f t="shared" si="6"/>
        <v/>
      </c>
      <c r="L1498" s="60" t="str">
        <f t="shared" si="7"/>
        <v/>
      </c>
      <c r="M1498" s="61" t="str">
        <f>IFERROR(__xludf.DUMMYFUNCTION("IFS(AND(COUNTA(C1498:C1644)=0,COUNTA(Q1498:Q1644)=0),"""",OR(AND(K1498&gt;=1000000000,OR(Y1498&gt;=1000000000,COUNTA(Q1498:Q1644)=0)),OR(Y1498&gt;=1000000000,AND(COUNTA(C1498:C1644)=0,P$3=TRUE))),
ROUNDDOWN((AB$1-AC$1)*MAX(INDEX(T$4:T1644,MATCH(LARGE(FILTER(Y$4:Y1"&amp;"644,Y$4:Y1644&lt;1000000000),1),Y$4:Y1644)),INDEX(F$4:F1644,MATCH(LARGE(FILTER(K$4:K1644,K$4:K1644&lt;1000000000),1),K$4:K1644)))),AND(K1498&lt;1000000000,COUNTA(C1498:C1644)&gt;0,P$3=FALSE),
ROUNDDOWN(INDEX(Y$4:Y1644,MATCH(LARGE(FILTER(W$4:W1644,W$4:W1644&lt;=I1498),1)"&amp;",W$4:W1644))+(I1498-LARGE(FILTER(W$4:W1644,W$4:W1644&lt;=I1498),1))*INDEX(T$4:T1644,MATCH(LARGE(FILTER(W$4:W1644,W$4:W1644&lt;=I1498),1),W$4:W1644))-K1498),1,
ROUNDDOWN(Y1498-INDEX(K$4:K1644,MATCH(LARGE(FILTER(I$4:I1644,I$4:I1644&lt;=W1498),1),I$4:I1644))-(W1498-L"&amp;"ARGE(FILTER(I$4:I1644,I$4:I1644&lt;=W1498),1))*INDEX(F$4:F1644,MATCH(LARGE(FILTER(I$4:I1644,I$4:I1644&lt;=W1498),1),I$4:I1644))))"),"")</f>
        <v/>
      </c>
      <c r="N1498" s="60" t="str">
        <f t="shared" si="8"/>
        <v/>
      </c>
      <c r="O1498" s="61" t="str">
        <f t="shared" si="9"/>
        <v/>
      </c>
      <c r="P1498" s="56" t="str">
        <f t="shared" si="10"/>
        <v/>
      </c>
      <c r="Q1498" s="105"/>
      <c r="R1498" s="10"/>
      <c r="S1498" s="59" t="str">
        <f t="array" ref="S1498">IF(COUNTA(Q1498:Q1644)=0,"",SUM((COUNTIF(Q$4:Q1498,Upgrades!$B$3:$B$13)-COUNTIF(Q$4:Q1498,"Sell_"&amp;Upgrades!$B$3:$B$13))*Upgrades!$D$3:$D$13))</f>
        <v/>
      </c>
      <c r="T1498" s="66" t="str">
        <f>IFERROR(__xludf.DUMMYFUNCTION("IF(COUNTA(Q1498:Q1644)=0,"""",IF(REGEXMATCH(INDEX(FILTER(Q$4:Q1498,Q$4:Q1498&lt;&gt;""""),ROWS(FILTER(Q$4:Q1498,Q$4:Q1498&lt;&gt;""""))),""^Sell_""),INDEX(FILTER(T$4:T1497,Q$4:Q1497&lt;&gt;""""),ROWS(FILTER(Q$4:Q1497,Q$4:Q1497&lt;&gt;""""))),$AD$5+S1498))"),"")</f>
        <v/>
      </c>
      <c r="U1498" s="10" t="str">
        <f>IFERROR(__xludf.DUMMYFUNCTION("IF(COUNTA(Q1498:Q1644)=0,"""",IF(Q1498="""",0,IF(REGEXMATCH(Q1498,""^Sell_""),-ROUNDDOWN(ROUNDUP(INDEX(Upgrades!$C$3:$C$13,MATCH(SUBSTITUTE(Q1498,""Sell_"",""""),Upgrades!$B$3:$B$13,0))*1.15^(COUNTIF(Q$4:Q1497,SUBSTITUTE(Q1498,""Sell_"",""""))-COUNTIF(Q$4"&amp;":Q1497,""Sell_""&amp;SUBSTITUTE(Q1498,""Sell_"",""""))))/2),ROUNDUP(INDEX(Upgrades!$C$3:$C$13,MATCH(Q1498,Upgrades!$B$3:$B$13,0))*1.15^(COUNTIF(Q$4:Q1497,Q1498)-COUNTIF(Q$4:Q1497,""Sell_""&amp;Q1498))))))"),"")</f>
        <v/>
      </c>
      <c r="V1498" s="10" t="str">
        <f t="shared" si="11"/>
        <v/>
      </c>
      <c r="W1498" s="68" t="str">
        <f t="shared" si="12"/>
        <v/>
      </c>
      <c r="X1498" s="59" t="str">
        <f t="shared" si="13"/>
        <v/>
      </c>
      <c r="Y1498" s="69" t="str">
        <f t="shared" si="14"/>
        <v/>
      </c>
      <c r="Z1498" s="11"/>
      <c r="AG1498" s="59"/>
    </row>
    <row r="1499">
      <c r="A1499" s="8"/>
      <c r="B1499" s="56" t="str">
        <f t="shared" si="2"/>
        <v/>
      </c>
      <c r="C1499" s="105"/>
      <c r="D1499" s="10"/>
      <c r="E1499" s="59" t="str">
        <f t="array" ref="E1499">IF(COUNTA(C1499:C1644)=0,"",SUM((COUNTIF(C$4:C1499,Upgrades!$B$3:$B$13)-COUNTIF(C$4:C1499,"Sell_"&amp;Upgrades!$B$3:$B$13))*Upgrades!$D$3:$D$13))</f>
        <v/>
      </c>
      <c r="F1499" s="66" t="str">
        <f>IFERROR(__xludf.DUMMYFUNCTION("IF(COUNTA(C1499:C1644)=0,"""",IF(REGEXMATCH(INDEX(FILTER(C$4:C1499,C$4:C1499&lt;&gt;""""),ROWS(FILTER(C$4:C1499,C$4:C1499&lt;&gt;""""))),""^Sell_""),INDEX(FILTER(F$4:F1498,C$4:C1498&lt;&gt;""""),ROWS(FILTER(C$4:C1498,C$4:C1498&lt;&gt;""""))),$AC$5+E1499))"),"")</f>
        <v/>
      </c>
      <c r="G1499" s="10" t="str">
        <f>IFERROR(__xludf.DUMMYFUNCTION("IF(COUNTA(C1499:C1644)=0,"""",IF(C1499="""",0,IF(REGEXMATCH(C1499,""^Sell_""),-ROUNDDOWN(ROUNDUP(INDEX(Upgrades!$C$3:$C$13,MATCH(SUBSTITUTE(C1499,""Sell_"",""""),Upgrades!$B$3:$B$13,0))*1.15^(COUNTIF(C$4:C1498,SUBSTITUTE(C1499,""Sell_"",""""))-COUNTIF(C$4"&amp;":C1498,""Sell_""&amp;SUBSTITUTE(C1499,""Sell_"",""""))))/2),ROUNDUP(INDEX(Upgrades!$C$3:$C$13,MATCH(C1499,Upgrades!$B$3:$B$13,0))*1.15^(COUNTIF(C$4:C1498,C1499)-COUNTIF(C$4:C1498,""Sell_""&amp;C1499))))))"),"")</f>
        <v/>
      </c>
      <c r="H1499" s="10" t="str">
        <f t="shared" si="3"/>
        <v/>
      </c>
      <c r="I1499" s="68" t="str">
        <f t="shared" si="4"/>
        <v/>
      </c>
      <c r="J1499" s="59" t="str">
        <f t="shared" si="5"/>
        <v/>
      </c>
      <c r="K1499" s="69" t="str">
        <f t="shared" si="6"/>
        <v/>
      </c>
      <c r="L1499" s="60" t="str">
        <f t="shared" si="7"/>
        <v/>
      </c>
      <c r="M1499" s="61" t="str">
        <f>IFERROR(__xludf.DUMMYFUNCTION("IFS(AND(COUNTA(C1499:C1644)=0,COUNTA(Q1499:Q1644)=0),"""",OR(AND(K1499&gt;=1000000000,OR(Y1499&gt;=1000000000,COUNTA(Q1499:Q1644)=0)),OR(Y1499&gt;=1000000000,AND(COUNTA(C1499:C1644)=0,P$3=TRUE))),
ROUNDDOWN((AB$1-AC$1)*MAX(INDEX(T$4:T1644,MATCH(LARGE(FILTER(Y$4:Y1"&amp;"644,Y$4:Y1644&lt;1000000000),1),Y$4:Y1644)),INDEX(F$4:F1644,MATCH(LARGE(FILTER(K$4:K1644,K$4:K1644&lt;1000000000),1),K$4:K1644)))),AND(K1499&lt;1000000000,COUNTA(C1499:C1644)&gt;0,P$3=FALSE),
ROUNDDOWN(INDEX(Y$4:Y1644,MATCH(LARGE(FILTER(W$4:W1644,W$4:W1644&lt;=I1499),1)"&amp;",W$4:W1644))+(I1499-LARGE(FILTER(W$4:W1644,W$4:W1644&lt;=I1499),1))*INDEX(T$4:T1644,MATCH(LARGE(FILTER(W$4:W1644,W$4:W1644&lt;=I1499),1),W$4:W1644))-K1499),1,
ROUNDDOWN(Y1499-INDEX(K$4:K1644,MATCH(LARGE(FILTER(I$4:I1644,I$4:I1644&lt;=W1499),1),I$4:I1644))-(W1499-L"&amp;"ARGE(FILTER(I$4:I1644,I$4:I1644&lt;=W1499),1))*INDEX(F$4:F1644,MATCH(LARGE(FILTER(I$4:I1644,I$4:I1644&lt;=W1499),1),I$4:I1644))))"),"")</f>
        <v/>
      </c>
      <c r="N1499" s="60" t="str">
        <f t="shared" si="8"/>
        <v/>
      </c>
      <c r="O1499" s="61" t="str">
        <f t="shared" si="9"/>
        <v/>
      </c>
      <c r="P1499" s="56" t="str">
        <f t="shared" si="10"/>
        <v/>
      </c>
      <c r="Q1499" s="105"/>
      <c r="R1499" s="10"/>
      <c r="S1499" s="59" t="str">
        <f t="array" ref="S1499">IF(COUNTA(Q1499:Q1644)=0,"",SUM((COUNTIF(Q$4:Q1499,Upgrades!$B$3:$B$13)-COUNTIF(Q$4:Q1499,"Sell_"&amp;Upgrades!$B$3:$B$13))*Upgrades!$D$3:$D$13))</f>
        <v/>
      </c>
      <c r="T1499" s="66" t="str">
        <f>IFERROR(__xludf.DUMMYFUNCTION("IF(COUNTA(Q1499:Q1644)=0,"""",IF(REGEXMATCH(INDEX(FILTER(Q$4:Q1499,Q$4:Q1499&lt;&gt;""""),ROWS(FILTER(Q$4:Q1499,Q$4:Q1499&lt;&gt;""""))),""^Sell_""),INDEX(FILTER(T$4:T1498,Q$4:Q1498&lt;&gt;""""),ROWS(FILTER(Q$4:Q1498,Q$4:Q1498&lt;&gt;""""))),$AD$5+S1499))"),"")</f>
        <v/>
      </c>
      <c r="U1499" s="10" t="str">
        <f>IFERROR(__xludf.DUMMYFUNCTION("IF(COUNTA(Q1499:Q1644)=0,"""",IF(Q1499="""",0,IF(REGEXMATCH(Q1499,""^Sell_""),-ROUNDDOWN(ROUNDUP(INDEX(Upgrades!$C$3:$C$13,MATCH(SUBSTITUTE(Q1499,""Sell_"",""""),Upgrades!$B$3:$B$13,0))*1.15^(COUNTIF(Q$4:Q1498,SUBSTITUTE(Q1499,""Sell_"",""""))-COUNTIF(Q$4"&amp;":Q1498,""Sell_""&amp;SUBSTITUTE(Q1499,""Sell_"",""""))))/2),ROUNDUP(INDEX(Upgrades!$C$3:$C$13,MATCH(Q1499,Upgrades!$B$3:$B$13,0))*1.15^(COUNTIF(Q$4:Q1498,Q1499)-COUNTIF(Q$4:Q1498,""Sell_""&amp;Q1499))))))"),"")</f>
        <v/>
      </c>
      <c r="V1499" s="10" t="str">
        <f t="shared" si="11"/>
        <v/>
      </c>
      <c r="W1499" s="68" t="str">
        <f t="shared" si="12"/>
        <v/>
      </c>
      <c r="X1499" s="59" t="str">
        <f t="shared" si="13"/>
        <v/>
      </c>
      <c r="Y1499" s="69" t="str">
        <f t="shared" si="14"/>
        <v/>
      </c>
      <c r="Z1499" s="11"/>
      <c r="AG1499" s="59"/>
    </row>
    <row r="1500">
      <c r="A1500" s="8"/>
      <c r="B1500" s="56" t="str">
        <f t="shared" si="2"/>
        <v/>
      </c>
      <c r="C1500" s="105"/>
      <c r="D1500" s="10"/>
      <c r="E1500" s="59" t="str">
        <f t="array" ref="E1500">IF(COUNTA(C1500:C1644)=0,"",SUM((COUNTIF(C$4:C1500,Upgrades!$B$3:$B$13)-COUNTIF(C$4:C1500,"Sell_"&amp;Upgrades!$B$3:$B$13))*Upgrades!$D$3:$D$13))</f>
        <v/>
      </c>
      <c r="F1500" s="66" t="str">
        <f>IFERROR(__xludf.DUMMYFUNCTION("IF(COUNTA(C1500:C1644)=0,"""",IF(REGEXMATCH(INDEX(FILTER(C$4:C1500,C$4:C1500&lt;&gt;""""),ROWS(FILTER(C$4:C1500,C$4:C1500&lt;&gt;""""))),""^Sell_""),INDEX(FILTER(F$4:F1499,C$4:C1499&lt;&gt;""""),ROWS(FILTER(C$4:C1499,C$4:C1499&lt;&gt;""""))),$AC$5+E1500))"),"")</f>
        <v/>
      </c>
      <c r="G1500" s="10" t="str">
        <f>IFERROR(__xludf.DUMMYFUNCTION("IF(COUNTA(C1500:C1644)=0,"""",IF(C1500="""",0,IF(REGEXMATCH(C1500,""^Sell_""),-ROUNDDOWN(ROUNDUP(INDEX(Upgrades!$C$3:$C$13,MATCH(SUBSTITUTE(C1500,""Sell_"",""""),Upgrades!$B$3:$B$13,0))*1.15^(COUNTIF(C$4:C1499,SUBSTITUTE(C1500,""Sell_"",""""))-COUNTIF(C$4"&amp;":C1499,""Sell_""&amp;SUBSTITUTE(C1500,""Sell_"",""""))))/2),ROUNDUP(INDEX(Upgrades!$C$3:$C$13,MATCH(C1500,Upgrades!$B$3:$B$13,0))*1.15^(COUNTIF(C$4:C1499,C1500)-COUNTIF(C$4:C1499,""Sell_""&amp;C1500))))))"),"")</f>
        <v/>
      </c>
      <c r="H1500" s="10" t="str">
        <f t="shared" si="3"/>
        <v/>
      </c>
      <c r="I1500" s="68" t="str">
        <f t="shared" si="4"/>
        <v/>
      </c>
      <c r="J1500" s="59" t="str">
        <f t="shared" si="5"/>
        <v/>
      </c>
      <c r="K1500" s="69" t="str">
        <f t="shared" si="6"/>
        <v/>
      </c>
      <c r="L1500" s="60" t="str">
        <f t="shared" si="7"/>
        <v/>
      </c>
      <c r="M1500" s="61" t="str">
        <f>IFERROR(__xludf.DUMMYFUNCTION("IFS(AND(COUNTA(C1500:C1644)=0,COUNTA(Q1500:Q1644)=0),"""",OR(AND(K1500&gt;=1000000000,OR(Y1500&gt;=1000000000,COUNTA(Q1500:Q1644)=0)),OR(Y1500&gt;=1000000000,AND(COUNTA(C1500:C1644)=0,P$3=TRUE))),
ROUNDDOWN((AB$1-AC$1)*MAX(INDEX(T$4:T1644,MATCH(LARGE(FILTER(Y$4:Y1"&amp;"644,Y$4:Y1644&lt;1000000000),1),Y$4:Y1644)),INDEX(F$4:F1644,MATCH(LARGE(FILTER(K$4:K1644,K$4:K1644&lt;1000000000),1),K$4:K1644)))),AND(K1500&lt;1000000000,COUNTA(C1500:C1644)&gt;0,P$3=FALSE),
ROUNDDOWN(INDEX(Y$4:Y1644,MATCH(LARGE(FILTER(W$4:W1644,W$4:W1644&lt;=I1500),1)"&amp;",W$4:W1644))+(I1500-LARGE(FILTER(W$4:W1644,W$4:W1644&lt;=I1500),1))*INDEX(T$4:T1644,MATCH(LARGE(FILTER(W$4:W1644,W$4:W1644&lt;=I1500),1),W$4:W1644))-K1500),1,
ROUNDDOWN(Y1500-INDEX(K$4:K1644,MATCH(LARGE(FILTER(I$4:I1644,I$4:I1644&lt;=W1500),1),I$4:I1644))-(W1500-L"&amp;"ARGE(FILTER(I$4:I1644,I$4:I1644&lt;=W1500),1))*INDEX(F$4:F1644,MATCH(LARGE(FILTER(I$4:I1644,I$4:I1644&lt;=W1500),1),I$4:I1644))))"),"")</f>
        <v/>
      </c>
      <c r="N1500" s="60" t="str">
        <f t="shared" si="8"/>
        <v/>
      </c>
      <c r="O1500" s="61" t="str">
        <f t="shared" si="9"/>
        <v/>
      </c>
      <c r="P1500" s="56" t="str">
        <f t="shared" si="10"/>
        <v/>
      </c>
      <c r="Q1500" s="105"/>
      <c r="R1500" s="10"/>
      <c r="S1500" s="59" t="str">
        <f t="array" ref="S1500">IF(COUNTA(Q1500:Q1644)=0,"",SUM((COUNTIF(Q$4:Q1500,Upgrades!$B$3:$B$13)-COUNTIF(Q$4:Q1500,"Sell_"&amp;Upgrades!$B$3:$B$13))*Upgrades!$D$3:$D$13))</f>
        <v/>
      </c>
      <c r="T1500" s="66" t="str">
        <f>IFERROR(__xludf.DUMMYFUNCTION("IF(COUNTA(Q1500:Q1644)=0,"""",IF(REGEXMATCH(INDEX(FILTER(Q$4:Q1500,Q$4:Q1500&lt;&gt;""""),ROWS(FILTER(Q$4:Q1500,Q$4:Q1500&lt;&gt;""""))),""^Sell_""),INDEX(FILTER(T$4:T1499,Q$4:Q1499&lt;&gt;""""),ROWS(FILTER(Q$4:Q1499,Q$4:Q1499&lt;&gt;""""))),$AD$5+S1500))"),"")</f>
        <v/>
      </c>
      <c r="U1500" s="10" t="str">
        <f>IFERROR(__xludf.DUMMYFUNCTION("IF(COUNTA(Q1500:Q1644)=0,"""",IF(Q1500="""",0,IF(REGEXMATCH(Q1500,""^Sell_""),-ROUNDDOWN(ROUNDUP(INDEX(Upgrades!$C$3:$C$13,MATCH(SUBSTITUTE(Q1500,""Sell_"",""""),Upgrades!$B$3:$B$13,0))*1.15^(COUNTIF(Q$4:Q1499,SUBSTITUTE(Q1500,""Sell_"",""""))-COUNTIF(Q$4"&amp;":Q1499,""Sell_""&amp;SUBSTITUTE(Q1500,""Sell_"",""""))))/2),ROUNDUP(INDEX(Upgrades!$C$3:$C$13,MATCH(Q1500,Upgrades!$B$3:$B$13,0))*1.15^(COUNTIF(Q$4:Q1499,Q1500)-COUNTIF(Q$4:Q1499,""Sell_""&amp;Q1500))))))"),"")</f>
        <v/>
      </c>
      <c r="V1500" s="10" t="str">
        <f t="shared" si="11"/>
        <v/>
      </c>
      <c r="W1500" s="68" t="str">
        <f t="shared" si="12"/>
        <v/>
      </c>
      <c r="X1500" s="59" t="str">
        <f t="shared" si="13"/>
        <v/>
      </c>
      <c r="Y1500" s="69" t="str">
        <f t="shared" si="14"/>
        <v/>
      </c>
      <c r="Z1500" s="11"/>
      <c r="AG1500" s="59"/>
    </row>
    <row r="1501">
      <c r="A1501" s="8"/>
      <c r="B1501" s="56" t="str">
        <f t="shared" si="2"/>
        <v/>
      </c>
      <c r="C1501" s="105"/>
      <c r="D1501" s="10"/>
      <c r="E1501" s="59" t="str">
        <f t="array" ref="E1501">IF(COUNTA(C1501:C1644)=0,"",SUM((COUNTIF(C$4:C1501,Upgrades!$B$3:$B$13)-COUNTIF(C$4:C1501,"Sell_"&amp;Upgrades!$B$3:$B$13))*Upgrades!$D$3:$D$13))</f>
        <v/>
      </c>
      <c r="F1501" s="66" t="str">
        <f>IFERROR(__xludf.DUMMYFUNCTION("IF(COUNTA(C1501:C1644)=0,"""",IF(REGEXMATCH(INDEX(FILTER(C$4:C1501,C$4:C1501&lt;&gt;""""),ROWS(FILTER(C$4:C1501,C$4:C1501&lt;&gt;""""))),""^Sell_""),INDEX(FILTER(F$4:F1500,C$4:C1500&lt;&gt;""""),ROWS(FILTER(C$4:C1500,C$4:C1500&lt;&gt;""""))),$AC$5+E1501))"),"")</f>
        <v/>
      </c>
      <c r="G1501" s="10" t="str">
        <f>IFERROR(__xludf.DUMMYFUNCTION("IF(COUNTA(C1501:C1644)=0,"""",IF(C1501="""",0,IF(REGEXMATCH(C1501,""^Sell_""),-ROUNDDOWN(ROUNDUP(INDEX(Upgrades!$C$3:$C$13,MATCH(SUBSTITUTE(C1501,""Sell_"",""""),Upgrades!$B$3:$B$13,0))*1.15^(COUNTIF(C$4:C1500,SUBSTITUTE(C1501,""Sell_"",""""))-COUNTIF(C$4"&amp;":C1500,""Sell_""&amp;SUBSTITUTE(C1501,""Sell_"",""""))))/2),ROUNDUP(INDEX(Upgrades!$C$3:$C$13,MATCH(C1501,Upgrades!$B$3:$B$13,0))*1.15^(COUNTIF(C$4:C1500,C1501)-COUNTIF(C$4:C1500,""Sell_""&amp;C1501))))))"),"")</f>
        <v/>
      </c>
      <c r="H1501" s="10" t="str">
        <f t="shared" si="3"/>
        <v/>
      </c>
      <c r="I1501" s="68" t="str">
        <f t="shared" si="4"/>
        <v/>
      </c>
      <c r="J1501" s="59" t="str">
        <f t="shared" si="5"/>
        <v/>
      </c>
      <c r="K1501" s="69" t="str">
        <f t="shared" si="6"/>
        <v/>
      </c>
      <c r="L1501" s="60" t="str">
        <f t="shared" si="7"/>
        <v/>
      </c>
      <c r="M1501" s="61" t="str">
        <f>IFERROR(__xludf.DUMMYFUNCTION("IFS(AND(COUNTA(C1501:C1644)=0,COUNTA(Q1501:Q1644)=0),"""",OR(AND(K1501&gt;=1000000000,OR(Y1501&gt;=1000000000,COUNTA(Q1501:Q1644)=0)),OR(Y1501&gt;=1000000000,AND(COUNTA(C1501:C1644)=0,P$3=TRUE))),
ROUNDDOWN((AB$1-AC$1)*MAX(INDEX(T$4:T1644,MATCH(LARGE(FILTER(Y$4:Y1"&amp;"644,Y$4:Y1644&lt;1000000000),1),Y$4:Y1644)),INDEX(F$4:F1644,MATCH(LARGE(FILTER(K$4:K1644,K$4:K1644&lt;1000000000),1),K$4:K1644)))),AND(K1501&lt;1000000000,COUNTA(C1501:C1644)&gt;0,P$3=FALSE),
ROUNDDOWN(INDEX(Y$4:Y1644,MATCH(LARGE(FILTER(W$4:W1644,W$4:W1644&lt;=I1501),1)"&amp;",W$4:W1644))+(I1501-LARGE(FILTER(W$4:W1644,W$4:W1644&lt;=I1501),1))*INDEX(T$4:T1644,MATCH(LARGE(FILTER(W$4:W1644,W$4:W1644&lt;=I1501),1),W$4:W1644))-K1501),1,
ROUNDDOWN(Y1501-INDEX(K$4:K1644,MATCH(LARGE(FILTER(I$4:I1644,I$4:I1644&lt;=W1501),1),I$4:I1644))-(W1501-L"&amp;"ARGE(FILTER(I$4:I1644,I$4:I1644&lt;=W1501),1))*INDEX(F$4:F1644,MATCH(LARGE(FILTER(I$4:I1644,I$4:I1644&lt;=W1501),1),I$4:I1644))))"),"")</f>
        <v/>
      </c>
      <c r="N1501" s="60" t="str">
        <f t="shared" si="8"/>
        <v/>
      </c>
      <c r="O1501" s="61" t="str">
        <f t="shared" si="9"/>
        <v/>
      </c>
      <c r="P1501" s="56" t="str">
        <f t="shared" si="10"/>
        <v/>
      </c>
      <c r="Q1501" s="105"/>
      <c r="R1501" s="10"/>
      <c r="S1501" s="59" t="str">
        <f t="array" ref="S1501">IF(COUNTA(Q1501:Q1644)=0,"",SUM((COUNTIF(Q$4:Q1501,Upgrades!$B$3:$B$13)-COUNTIF(Q$4:Q1501,"Sell_"&amp;Upgrades!$B$3:$B$13))*Upgrades!$D$3:$D$13))</f>
        <v/>
      </c>
      <c r="T1501" s="66" t="str">
        <f>IFERROR(__xludf.DUMMYFUNCTION("IF(COUNTA(Q1501:Q1644)=0,"""",IF(REGEXMATCH(INDEX(FILTER(Q$4:Q1501,Q$4:Q1501&lt;&gt;""""),ROWS(FILTER(Q$4:Q1501,Q$4:Q1501&lt;&gt;""""))),""^Sell_""),INDEX(FILTER(T$4:T1500,Q$4:Q1500&lt;&gt;""""),ROWS(FILTER(Q$4:Q1500,Q$4:Q1500&lt;&gt;""""))),$AD$5+S1501))"),"")</f>
        <v/>
      </c>
      <c r="U1501" s="10" t="str">
        <f>IFERROR(__xludf.DUMMYFUNCTION("IF(COUNTA(Q1501:Q1644)=0,"""",IF(Q1501="""",0,IF(REGEXMATCH(Q1501,""^Sell_""),-ROUNDDOWN(ROUNDUP(INDEX(Upgrades!$C$3:$C$13,MATCH(SUBSTITUTE(Q1501,""Sell_"",""""),Upgrades!$B$3:$B$13,0))*1.15^(COUNTIF(Q$4:Q1500,SUBSTITUTE(Q1501,""Sell_"",""""))-COUNTIF(Q$4"&amp;":Q1500,""Sell_""&amp;SUBSTITUTE(Q1501,""Sell_"",""""))))/2),ROUNDUP(INDEX(Upgrades!$C$3:$C$13,MATCH(Q1501,Upgrades!$B$3:$B$13,0))*1.15^(COUNTIF(Q$4:Q1500,Q1501)-COUNTIF(Q$4:Q1500,""Sell_""&amp;Q1501))))))"),"")</f>
        <v/>
      </c>
      <c r="V1501" s="10" t="str">
        <f t="shared" si="11"/>
        <v/>
      </c>
      <c r="W1501" s="68" t="str">
        <f t="shared" si="12"/>
        <v/>
      </c>
      <c r="X1501" s="59" t="str">
        <f t="shared" si="13"/>
        <v/>
      </c>
      <c r="Y1501" s="69" t="str">
        <f t="shared" si="14"/>
        <v/>
      </c>
      <c r="Z1501" s="11"/>
      <c r="AG1501" s="59"/>
    </row>
    <row r="1502">
      <c r="A1502" s="8"/>
      <c r="B1502" s="56" t="str">
        <f t="shared" si="2"/>
        <v/>
      </c>
      <c r="C1502" s="105"/>
      <c r="D1502" s="10"/>
      <c r="E1502" s="59" t="str">
        <f t="array" ref="E1502">IF(COUNTA(C1502:C1644)=0,"",SUM((COUNTIF(C$4:C1502,Upgrades!$B$3:$B$13)-COUNTIF(C$4:C1502,"Sell_"&amp;Upgrades!$B$3:$B$13))*Upgrades!$D$3:$D$13))</f>
        <v/>
      </c>
      <c r="F1502" s="66" t="str">
        <f>IFERROR(__xludf.DUMMYFUNCTION("IF(COUNTA(C1502:C1644)=0,"""",IF(REGEXMATCH(INDEX(FILTER(C$4:C1502,C$4:C1502&lt;&gt;""""),ROWS(FILTER(C$4:C1502,C$4:C1502&lt;&gt;""""))),""^Sell_""),INDEX(FILTER(F$4:F1501,C$4:C1501&lt;&gt;""""),ROWS(FILTER(C$4:C1501,C$4:C1501&lt;&gt;""""))),$AC$5+E1502))"),"")</f>
        <v/>
      </c>
      <c r="G1502" s="10" t="str">
        <f>IFERROR(__xludf.DUMMYFUNCTION("IF(COUNTA(C1502:C1644)=0,"""",IF(C1502="""",0,IF(REGEXMATCH(C1502,""^Sell_""),-ROUNDDOWN(ROUNDUP(INDEX(Upgrades!$C$3:$C$13,MATCH(SUBSTITUTE(C1502,""Sell_"",""""),Upgrades!$B$3:$B$13,0))*1.15^(COUNTIF(C$4:C1501,SUBSTITUTE(C1502,""Sell_"",""""))-COUNTIF(C$4"&amp;":C1501,""Sell_""&amp;SUBSTITUTE(C1502,""Sell_"",""""))))/2),ROUNDUP(INDEX(Upgrades!$C$3:$C$13,MATCH(C1502,Upgrades!$B$3:$B$13,0))*1.15^(COUNTIF(C$4:C1501,C1502)-COUNTIF(C$4:C1501,""Sell_""&amp;C1502))))))"),"")</f>
        <v/>
      </c>
      <c r="H1502" s="10" t="str">
        <f t="shared" si="3"/>
        <v/>
      </c>
      <c r="I1502" s="68" t="str">
        <f t="shared" si="4"/>
        <v/>
      </c>
      <c r="J1502" s="59" t="str">
        <f t="shared" si="5"/>
        <v/>
      </c>
      <c r="K1502" s="69" t="str">
        <f t="shared" si="6"/>
        <v/>
      </c>
      <c r="L1502" s="60" t="str">
        <f t="shared" si="7"/>
        <v/>
      </c>
      <c r="M1502" s="61" t="str">
        <f>IFERROR(__xludf.DUMMYFUNCTION("IFS(AND(COUNTA(C1502:C1644)=0,COUNTA(Q1502:Q1644)=0),"""",OR(AND(K1502&gt;=1000000000,OR(Y1502&gt;=1000000000,COUNTA(Q1502:Q1644)=0)),OR(Y1502&gt;=1000000000,AND(COUNTA(C1502:C1644)=0,P$3=TRUE))),
ROUNDDOWN((AB$1-AC$1)*MAX(INDEX(T$4:T1644,MATCH(LARGE(FILTER(Y$4:Y1"&amp;"644,Y$4:Y1644&lt;1000000000),1),Y$4:Y1644)),INDEX(F$4:F1644,MATCH(LARGE(FILTER(K$4:K1644,K$4:K1644&lt;1000000000),1),K$4:K1644)))),AND(K1502&lt;1000000000,COUNTA(C1502:C1644)&gt;0,P$3=FALSE),
ROUNDDOWN(INDEX(Y$4:Y1644,MATCH(LARGE(FILTER(W$4:W1644,W$4:W1644&lt;=I1502),1)"&amp;",W$4:W1644))+(I1502-LARGE(FILTER(W$4:W1644,W$4:W1644&lt;=I1502),1))*INDEX(T$4:T1644,MATCH(LARGE(FILTER(W$4:W1644,W$4:W1644&lt;=I1502),1),W$4:W1644))-K1502),1,
ROUNDDOWN(Y1502-INDEX(K$4:K1644,MATCH(LARGE(FILTER(I$4:I1644,I$4:I1644&lt;=W1502),1),I$4:I1644))-(W1502-L"&amp;"ARGE(FILTER(I$4:I1644,I$4:I1644&lt;=W1502),1))*INDEX(F$4:F1644,MATCH(LARGE(FILTER(I$4:I1644,I$4:I1644&lt;=W1502),1),I$4:I1644))))"),"")</f>
        <v/>
      </c>
      <c r="N1502" s="60" t="str">
        <f t="shared" si="8"/>
        <v/>
      </c>
      <c r="O1502" s="61" t="str">
        <f t="shared" si="9"/>
        <v/>
      </c>
      <c r="P1502" s="56" t="str">
        <f t="shared" si="10"/>
        <v/>
      </c>
      <c r="Q1502" s="105"/>
      <c r="R1502" s="10"/>
      <c r="S1502" s="59" t="str">
        <f t="array" ref="S1502">IF(COUNTA(Q1502:Q1644)=0,"",SUM((COUNTIF(Q$4:Q1502,Upgrades!$B$3:$B$13)-COUNTIF(Q$4:Q1502,"Sell_"&amp;Upgrades!$B$3:$B$13))*Upgrades!$D$3:$D$13))</f>
        <v/>
      </c>
      <c r="T1502" s="66" t="str">
        <f>IFERROR(__xludf.DUMMYFUNCTION("IF(COUNTA(Q1502:Q1644)=0,"""",IF(REGEXMATCH(INDEX(FILTER(Q$4:Q1502,Q$4:Q1502&lt;&gt;""""),ROWS(FILTER(Q$4:Q1502,Q$4:Q1502&lt;&gt;""""))),""^Sell_""),INDEX(FILTER(T$4:T1501,Q$4:Q1501&lt;&gt;""""),ROWS(FILTER(Q$4:Q1501,Q$4:Q1501&lt;&gt;""""))),$AD$5+S1502))"),"")</f>
        <v/>
      </c>
      <c r="U1502" s="10" t="str">
        <f>IFERROR(__xludf.DUMMYFUNCTION("IF(COUNTA(Q1502:Q1644)=0,"""",IF(Q1502="""",0,IF(REGEXMATCH(Q1502,""^Sell_""),-ROUNDDOWN(ROUNDUP(INDEX(Upgrades!$C$3:$C$13,MATCH(SUBSTITUTE(Q1502,""Sell_"",""""),Upgrades!$B$3:$B$13,0))*1.15^(COUNTIF(Q$4:Q1501,SUBSTITUTE(Q1502,""Sell_"",""""))-COUNTIF(Q$4"&amp;":Q1501,""Sell_""&amp;SUBSTITUTE(Q1502,""Sell_"",""""))))/2),ROUNDUP(INDEX(Upgrades!$C$3:$C$13,MATCH(Q1502,Upgrades!$B$3:$B$13,0))*1.15^(COUNTIF(Q$4:Q1501,Q1502)-COUNTIF(Q$4:Q1501,""Sell_""&amp;Q1502))))))"),"")</f>
        <v/>
      </c>
      <c r="V1502" s="10" t="str">
        <f t="shared" si="11"/>
        <v/>
      </c>
      <c r="W1502" s="68" t="str">
        <f t="shared" si="12"/>
        <v/>
      </c>
      <c r="X1502" s="59" t="str">
        <f t="shared" si="13"/>
        <v/>
      </c>
      <c r="Y1502" s="69" t="str">
        <f t="shared" si="14"/>
        <v/>
      </c>
      <c r="Z1502" s="11"/>
      <c r="AG1502" s="59"/>
    </row>
    <row r="1503">
      <c r="A1503" s="8"/>
      <c r="B1503" s="56" t="str">
        <f t="shared" si="2"/>
        <v/>
      </c>
      <c r="C1503" s="105"/>
      <c r="D1503" s="10"/>
      <c r="E1503" s="59" t="str">
        <f t="array" ref="E1503">IF(COUNTA(C1503:C1644)=0,"",SUM((COUNTIF(C$4:C1503,Upgrades!$B$3:$B$13)-COUNTIF(C$4:C1503,"Sell_"&amp;Upgrades!$B$3:$B$13))*Upgrades!$D$3:$D$13))</f>
        <v/>
      </c>
      <c r="F1503" s="66" t="str">
        <f>IFERROR(__xludf.DUMMYFUNCTION("IF(COUNTA(C1503:C1644)=0,"""",IF(REGEXMATCH(INDEX(FILTER(C$4:C1503,C$4:C1503&lt;&gt;""""),ROWS(FILTER(C$4:C1503,C$4:C1503&lt;&gt;""""))),""^Sell_""),INDEX(FILTER(F$4:F1502,C$4:C1502&lt;&gt;""""),ROWS(FILTER(C$4:C1502,C$4:C1502&lt;&gt;""""))),$AC$5+E1503))"),"")</f>
        <v/>
      </c>
      <c r="G1503" s="10" t="str">
        <f>IFERROR(__xludf.DUMMYFUNCTION("IF(COUNTA(C1503:C1644)=0,"""",IF(C1503="""",0,IF(REGEXMATCH(C1503,""^Sell_""),-ROUNDDOWN(ROUNDUP(INDEX(Upgrades!$C$3:$C$13,MATCH(SUBSTITUTE(C1503,""Sell_"",""""),Upgrades!$B$3:$B$13,0))*1.15^(COUNTIF(C$4:C1502,SUBSTITUTE(C1503,""Sell_"",""""))-COUNTIF(C$4"&amp;":C1502,""Sell_""&amp;SUBSTITUTE(C1503,""Sell_"",""""))))/2),ROUNDUP(INDEX(Upgrades!$C$3:$C$13,MATCH(C1503,Upgrades!$B$3:$B$13,0))*1.15^(COUNTIF(C$4:C1502,C1503)-COUNTIF(C$4:C1502,""Sell_""&amp;C1503))))))"),"")</f>
        <v/>
      </c>
      <c r="H1503" s="10" t="str">
        <f t="shared" si="3"/>
        <v/>
      </c>
      <c r="I1503" s="68" t="str">
        <f t="shared" si="4"/>
        <v/>
      </c>
      <c r="J1503" s="59" t="str">
        <f t="shared" si="5"/>
        <v/>
      </c>
      <c r="K1503" s="69" t="str">
        <f t="shared" si="6"/>
        <v/>
      </c>
      <c r="L1503" s="60" t="str">
        <f t="shared" si="7"/>
        <v/>
      </c>
      <c r="M1503" s="61" t="str">
        <f>IFERROR(__xludf.DUMMYFUNCTION("IFS(AND(COUNTA(C1503:C1644)=0,COUNTA(Q1503:Q1644)=0),"""",OR(AND(K1503&gt;=1000000000,OR(Y1503&gt;=1000000000,COUNTA(Q1503:Q1644)=0)),OR(Y1503&gt;=1000000000,AND(COUNTA(C1503:C1644)=0,P$3=TRUE))),
ROUNDDOWN((AB$1-AC$1)*MAX(INDEX(T$4:T1644,MATCH(LARGE(FILTER(Y$4:Y1"&amp;"644,Y$4:Y1644&lt;1000000000),1),Y$4:Y1644)),INDEX(F$4:F1644,MATCH(LARGE(FILTER(K$4:K1644,K$4:K1644&lt;1000000000),1),K$4:K1644)))),AND(K1503&lt;1000000000,COUNTA(C1503:C1644)&gt;0,P$3=FALSE),
ROUNDDOWN(INDEX(Y$4:Y1644,MATCH(LARGE(FILTER(W$4:W1644,W$4:W1644&lt;=I1503),1)"&amp;",W$4:W1644))+(I1503-LARGE(FILTER(W$4:W1644,W$4:W1644&lt;=I1503),1))*INDEX(T$4:T1644,MATCH(LARGE(FILTER(W$4:W1644,W$4:W1644&lt;=I1503),1),W$4:W1644))-K1503),1,
ROUNDDOWN(Y1503-INDEX(K$4:K1644,MATCH(LARGE(FILTER(I$4:I1644,I$4:I1644&lt;=W1503),1),I$4:I1644))-(W1503-L"&amp;"ARGE(FILTER(I$4:I1644,I$4:I1644&lt;=W1503),1))*INDEX(F$4:F1644,MATCH(LARGE(FILTER(I$4:I1644,I$4:I1644&lt;=W1503),1),I$4:I1644))))"),"")</f>
        <v/>
      </c>
      <c r="N1503" s="60" t="str">
        <f t="shared" si="8"/>
        <v/>
      </c>
      <c r="O1503" s="61" t="str">
        <f t="shared" si="9"/>
        <v/>
      </c>
      <c r="P1503" s="56" t="str">
        <f t="shared" si="10"/>
        <v/>
      </c>
      <c r="Q1503" s="105"/>
      <c r="R1503" s="10"/>
      <c r="S1503" s="59" t="str">
        <f t="array" ref="S1503">IF(COUNTA(Q1503:Q1644)=0,"",SUM((COUNTIF(Q$4:Q1503,Upgrades!$B$3:$B$13)-COUNTIF(Q$4:Q1503,"Sell_"&amp;Upgrades!$B$3:$B$13))*Upgrades!$D$3:$D$13))</f>
        <v/>
      </c>
      <c r="T1503" s="66" t="str">
        <f>IFERROR(__xludf.DUMMYFUNCTION("IF(COUNTA(Q1503:Q1644)=0,"""",IF(REGEXMATCH(INDEX(FILTER(Q$4:Q1503,Q$4:Q1503&lt;&gt;""""),ROWS(FILTER(Q$4:Q1503,Q$4:Q1503&lt;&gt;""""))),""^Sell_""),INDEX(FILTER(T$4:T1502,Q$4:Q1502&lt;&gt;""""),ROWS(FILTER(Q$4:Q1502,Q$4:Q1502&lt;&gt;""""))),$AD$5+S1503))"),"")</f>
        <v/>
      </c>
      <c r="U1503" s="10" t="str">
        <f>IFERROR(__xludf.DUMMYFUNCTION("IF(COUNTA(Q1503:Q1644)=0,"""",IF(Q1503="""",0,IF(REGEXMATCH(Q1503,""^Sell_""),-ROUNDDOWN(ROUNDUP(INDEX(Upgrades!$C$3:$C$13,MATCH(SUBSTITUTE(Q1503,""Sell_"",""""),Upgrades!$B$3:$B$13,0))*1.15^(COUNTIF(Q$4:Q1502,SUBSTITUTE(Q1503,""Sell_"",""""))-COUNTIF(Q$4"&amp;":Q1502,""Sell_""&amp;SUBSTITUTE(Q1503,""Sell_"",""""))))/2),ROUNDUP(INDEX(Upgrades!$C$3:$C$13,MATCH(Q1503,Upgrades!$B$3:$B$13,0))*1.15^(COUNTIF(Q$4:Q1502,Q1503)-COUNTIF(Q$4:Q1502,""Sell_""&amp;Q1503))))))"),"")</f>
        <v/>
      </c>
      <c r="V1503" s="10" t="str">
        <f t="shared" si="11"/>
        <v/>
      </c>
      <c r="W1503" s="68" t="str">
        <f t="shared" si="12"/>
        <v/>
      </c>
      <c r="X1503" s="59" t="str">
        <f t="shared" si="13"/>
        <v/>
      </c>
      <c r="Y1503" s="69" t="str">
        <f t="shared" si="14"/>
        <v/>
      </c>
      <c r="Z1503" s="11"/>
      <c r="AG1503" s="59"/>
    </row>
    <row r="1504">
      <c r="A1504" s="8"/>
      <c r="B1504" s="56" t="str">
        <f t="shared" si="2"/>
        <v/>
      </c>
      <c r="C1504" s="105"/>
      <c r="D1504" s="10"/>
      <c r="E1504" s="59" t="str">
        <f t="array" ref="E1504">IF(COUNTA(C1504:C1644)=0,"",SUM((COUNTIF(C$4:C1504,Upgrades!$B$3:$B$13)-COUNTIF(C$4:C1504,"Sell_"&amp;Upgrades!$B$3:$B$13))*Upgrades!$D$3:$D$13))</f>
        <v/>
      </c>
      <c r="F1504" s="66" t="str">
        <f>IFERROR(__xludf.DUMMYFUNCTION("IF(COUNTA(C1504:C1644)=0,"""",IF(REGEXMATCH(INDEX(FILTER(C$4:C1504,C$4:C1504&lt;&gt;""""),ROWS(FILTER(C$4:C1504,C$4:C1504&lt;&gt;""""))),""^Sell_""),INDEX(FILTER(F$4:F1503,C$4:C1503&lt;&gt;""""),ROWS(FILTER(C$4:C1503,C$4:C1503&lt;&gt;""""))),$AC$5+E1504))"),"")</f>
        <v/>
      </c>
      <c r="G1504" s="10" t="str">
        <f>IFERROR(__xludf.DUMMYFUNCTION("IF(COUNTA(C1504:C1644)=0,"""",IF(C1504="""",0,IF(REGEXMATCH(C1504,""^Sell_""),-ROUNDDOWN(ROUNDUP(INDEX(Upgrades!$C$3:$C$13,MATCH(SUBSTITUTE(C1504,""Sell_"",""""),Upgrades!$B$3:$B$13,0))*1.15^(COUNTIF(C$4:C1503,SUBSTITUTE(C1504,""Sell_"",""""))-COUNTIF(C$4"&amp;":C1503,""Sell_""&amp;SUBSTITUTE(C1504,""Sell_"",""""))))/2),ROUNDUP(INDEX(Upgrades!$C$3:$C$13,MATCH(C1504,Upgrades!$B$3:$B$13,0))*1.15^(COUNTIF(C$4:C1503,C1504)-COUNTIF(C$4:C1503,""Sell_""&amp;C1504))))))"),"")</f>
        <v/>
      </c>
      <c r="H1504" s="10" t="str">
        <f t="shared" si="3"/>
        <v/>
      </c>
      <c r="I1504" s="68" t="str">
        <f t="shared" si="4"/>
        <v/>
      </c>
      <c r="J1504" s="59" t="str">
        <f t="shared" si="5"/>
        <v/>
      </c>
      <c r="K1504" s="69" t="str">
        <f t="shared" si="6"/>
        <v/>
      </c>
      <c r="L1504" s="60" t="str">
        <f t="shared" si="7"/>
        <v/>
      </c>
      <c r="M1504" s="61" t="str">
        <f>IFERROR(__xludf.DUMMYFUNCTION("IFS(AND(COUNTA(C1504:C1644)=0,COUNTA(Q1504:Q1644)=0),"""",OR(AND(K1504&gt;=1000000000,OR(Y1504&gt;=1000000000,COUNTA(Q1504:Q1644)=0)),OR(Y1504&gt;=1000000000,AND(COUNTA(C1504:C1644)=0,P$3=TRUE))),
ROUNDDOWN((AB$1-AC$1)*MAX(INDEX(T$4:T1644,MATCH(LARGE(FILTER(Y$4:Y1"&amp;"644,Y$4:Y1644&lt;1000000000),1),Y$4:Y1644)),INDEX(F$4:F1644,MATCH(LARGE(FILTER(K$4:K1644,K$4:K1644&lt;1000000000),1),K$4:K1644)))),AND(K1504&lt;1000000000,COUNTA(C1504:C1644)&gt;0,P$3=FALSE),
ROUNDDOWN(INDEX(Y$4:Y1644,MATCH(LARGE(FILTER(W$4:W1644,W$4:W1644&lt;=I1504),1)"&amp;",W$4:W1644))+(I1504-LARGE(FILTER(W$4:W1644,W$4:W1644&lt;=I1504),1))*INDEX(T$4:T1644,MATCH(LARGE(FILTER(W$4:W1644,W$4:W1644&lt;=I1504),1),W$4:W1644))-K1504),1,
ROUNDDOWN(Y1504-INDEX(K$4:K1644,MATCH(LARGE(FILTER(I$4:I1644,I$4:I1644&lt;=W1504),1),I$4:I1644))-(W1504-L"&amp;"ARGE(FILTER(I$4:I1644,I$4:I1644&lt;=W1504),1))*INDEX(F$4:F1644,MATCH(LARGE(FILTER(I$4:I1644,I$4:I1644&lt;=W1504),1),I$4:I1644))))"),"")</f>
        <v/>
      </c>
      <c r="N1504" s="60" t="str">
        <f t="shared" si="8"/>
        <v/>
      </c>
      <c r="O1504" s="61" t="str">
        <f t="shared" si="9"/>
        <v/>
      </c>
      <c r="P1504" s="56" t="str">
        <f t="shared" si="10"/>
        <v/>
      </c>
      <c r="Q1504" s="105"/>
      <c r="R1504" s="10"/>
      <c r="S1504" s="59" t="str">
        <f t="array" ref="S1504">IF(COUNTA(Q1504:Q1644)=0,"",SUM((COUNTIF(Q$4:Q1504,Upgrades!$B$3:$B$13)-COUNTIF(Q$4:Q1504,"Sell_"&amp;Upgrades!$B$3:$B$13))*Upgrades!$D$3:$D$13))</f>
        <v/>
      </c>
      <c r="T1504" s="66" t="str">
        <f>IFERROR(__xludf.DUMMYFUNCTION("IF(COUNTA(Q1504:Q1644)=0,"""",IF(REGEXMATCH(INDEX(FILTER(Q$4:Q1504,Q$4:Q1504&lt;&gt;""""),ROWS(FILTER(Q$4:Q1504,Q$4:Q1504&lt;&gt;""""))),""^Sell_""),INDEX(FILTER(T$4:T1503,Q$4:Q1503&lt;&gt;""""),ROWS(FILTER(Q$4:Q1503,Q$4:Q1503&lt;&gt;""""))),$AD$5+S1504))"),"")</f>
        <v/>
      </c>
      <c r="U1504" s="10" t="str">
        <f>IFERROR(__xludf.DUMMYFUNCTION("IF(COUNTA(Q1504:Q1644)=0,"""",IF(Q1504="""",0,IF(REGEXMATCH(Q1504,""^Sell_""),-ROUNDDOWN(ROUNDUP(INDEX(Upgrades!$C$3:$C$13,MATCH(SUBSTITUTE(Q1504,""Sell_"",""""),Upgrades!$B$3:$B$13,0))*1.15^(COUNTIF(Q$4:Q1503,SUBSTITUTE(Q1504,""Sell_"",""""))-COUNTIF(Q$4"&amp;":Q1503,""Sell_""&amp;SUBSTITUTE(Q1504,""Sell_"",""""))))/2),ROUNDUP(INDEX(Upgrades!$C$3:$C$13,MATCH(Q1504,Upgrades!$B$3:$B$13,0))*1.15^(COUNTIF(Q$4:Q1503,Q1504)-COUNTIF(Q$4:Q1503,""Sell_""&amp;Q1504))))))"),"")</f>
        <v/>
      </c>
      <c r="V1504" s="10" t="str">
        <f t="shared" si="11"/>
        <v/>
      </c>
      <c r="W1504" s="68" t="str">
        <f t="shared" si="12"/>
        <v/>
      </c>
      <c r="X1504" s="59" t="str">
        <f t="shared" si="13"/>
        <v/>
      </c>
      <c r="Y1504" s="69" t="str">
        <f t="shared" si="14"/>
        <v/>
      </c>
      <c r="Z1504" s="11"/>
      <c r="AG1504" s="59"/>
    </row>
    <row r="1505">
      <c r="A1505" s="8"/>
      <c r="B1505" s="56" t="str">
        <f t="shared" si="2"/>
        <v/>
      </c>
      <c r="C1505" s="105"/>
      <c r="D1505" s="10"/>
      <c r="E1505" s="59" t="str">
        <f t="array" ref="E1505">IF(COUNTA(C1505:C1644)=0,"",SUM((COUNTIF(C$4:C1505,Upgrades!$B$3:$B$13)-COUNTIF(C$4:C1505,"Sell_"&amp;Upgrades!$B$3:$B$13))*Upgrades!$D$3:$D$13))</f>
        <v/>
      </c>
      <c r="F1505" s="66" t="str">
        <f>IFERROR(__xludf.DUMMYFUNCTION("IF(COUNTA(C1505:C1644)=0,"""",IF(REGEXMATCH(INDEX(FILTER(C$4:C1505,C$4:C1505&lt;&gt;""""),ROWS(FILTER(C$4:C1505,C$4:C1505&lt;&gt;""""))),""^Sell_""),INDEX(FILTER(F$4:F1504,C$4:C1504&lt;&gt;""""),ROWS(FILTER(C$4:C1504,C$4:C1504&lt;&gt;""""))),$AC$5+E1505))"),"")</f>
        <v/>
      </c>
      <c r="G1505" s="10" t="str">
        <f>IFERROR(__xludf.DUMMYFUNCTION("IF(COUNTA(C1505:C1644)=0,"""",IF(C1505="""",0,IF(REGEXMATCH(C1505,""^Sell_""),-ROUNDDOWN(ROUNDUP(INDEX(Upgrades!$C$3:$C$13,MATCH(SUBSTITUTE(C1505,""Sell_"",""""),Upgrades!$B$3:$B$13,0))*1.15^(COUNTIF(C$4:C1504,SUBSTITUTE(C1505,""Sell_"",""""))-COUNTIF(C$4"&amp;":C1504,""Sell_""&amp;SUBSTITUTE(C1505,""Sell_"",""""))))/2),ROUNDUP(INDEX(Upgrades!$C$3:$C$13,MATCH(C1505,Upgrades!$B$3:$B$13,0))*1.15^(COUNTIF(C$4:C1504,C1505)-COUNTIF(C$4:C1504,""Sell_""&amp;C1505))))))"),"")</f>
        <v/>
      </c>
      <c r="H1505" s="10" t="str">
        <f t="shared" si="3"/>
        <v/>
      </c>
      <c r="I1505" s="68" t="str">
        <f t="shared" si="4"/>
        <v/>
      </c>
      <c r="J1505" s="59" t="str">
        <f t="shared" si="5"/>
        <v/>
      </c>
      <c r="K1505" s="69" t="str">
        <f t="shared" si="6"/>
        <v/>
      </c>
      <c r="L1505" s="60" t="str">
        <f t="shared" si="7"/>
        <v/>
      </c>
      <c r="M1505" s="61" t="str">
        <f>IFERROR(__xludf.DUMMYFUNCTION("IFS(AND(COUNTA(C1505:C1644)=0,COUNTA(Q1505:Q1644)=0),"""",OR(AND(K1505&gt;=1000000000,OR(Y1505&gt;=1000000000,COUNTA(Q1505:Q1644)=0)),OR(Y1505&gt;=1000000000,AND(COUNTA(C1505:C1644)=0,P$3=TRUE))),
ROUNDDOWN((AB$1-AC$1)*MAX(INDEX(T$4:T1644,MATCH(LARGE(FILTER(Y$4:Y1"&amp;"644,Y$4:Y1644&lt;1000000000),1),Y$4:Y1644)),INDEX(F$4:F1644,MATCH(LARGE(FILTER(K$4:K1644,K$4:K1644&lt;1000000000),1),K$4:K1644)))),AND(K1505&lt;1000000000,COUNTA(C1505:C1644)&gt;0,P$3=FALSE),
ROUNDDOWN(INDEX(Y$4:Y1644,MATCH(LARGE(FILTER(W$4:W1644,W$4:W1644&lt;=I1505),1)"&amp;",W$4:W1644))+(I1505-LARGE(FILTER(W$4:W1644,W$4:W1644&lt;=I1505),1))*INDEX(T$4:T1644,MATCH(LARGE(FILTER(W$4:W1644,W$4:W1644&lt;=I1505),1),W$4:W1644))-K1505),1,
ROUNDDOWN(Y1505-INDEX(K$4:K1644,MATCH(LARGE(FILTER(I$4:I1644,I$4:I1644&lt;=W1505),1),I$4:I1644))-(W1505-L"&amp;"ARGE(FILTER(I$4:I1644,I$4:I1644&lt;=W1505),1))*INDEX(F$4:F1644,MATCH(LARGE(FILTER(I$4:I1644,I$4:I1644&lt;=W1505),1),I$4:I1644))))"),"")</f>
        <v/>
      </c>
      <c r="N1505" s="60" t="str">
        <f t="shared" si="8"/>
        <v/>
      </c>
      <c r="O1505" s="61" t="str">
        <f t="shared" si="9"/>
        <v/>
      </c>
      <c r="P1505" s="56" t="str">
        <f t="shared" si="10"/>
        <v/>
      </c>
      <c r="Q1505" s="105"/>
      <c r="R1505" s="10"/>
      <c r="S1505" s="59" t="str">
        <f t="array" ref="S1505">IF(COUNTA(Q1505:Q1644)=0,"",SUM((COUNTIF(Q$4:Q1505,Upgrades!$B$3:$B$13)-COUNTIF(Q$4:Q1505,"Sell_"&amp;Upgrades!$B$3:$B$13))*Upgrades!$D$3:$D$13))</f>
        <v/>
      </c>
      <c r="T1505" s="66" t="str">
        <f>IFERROR(__xludf.DUMMYFUNCTION("IF(COUNTA(Q1505:Q1644)=0,"""",IF(REGEXMATCH(INDEX(FILTER(Q$4:Q1505,Q$4:Q1505&lt;&gt;""""),ROWS(FILTER(Q$4:Q1505,Q$4:Q1505&lt;&gt;""""))),""^Sell_""),INDEX(FILTER(T$4:T1504,Q$4:Q1504&lt;&gt;""""),ROWS(FILTER(Q$4:Q1504,Q$4:Q1504&lt;&gt;""""))),$AD$5+S1505))"),"")</f>
        <v/>
      </c>
      <c r="U1505" s="10" t="str">
        <f>IFERROR(__xludf.DUMMYFUNCTION("IF(COUNTA(Q1505:Q1644)=0,"""",IF(Q1505="""",0,IF(REGEXMATCH(Q1505,""^Sell_""),-ROUNDDOWN(ROUNDUP(INDEX(Upgrades!$C$3:$C$13,MATCH(SUBSTITUTE(Q1505,""Sell_"",""""),Upgrades!$B$3:$B$13,0))*1.15^(COUNTIF(Q$4:Q1504,SUBSTITUTE(Q1505,""Sell_"",""""))-COUNTIF(Q$4"&amp;":Q1504,""Sell_""&amp;SUBSTITUTE(Q1505,""Sell_"",""""))))/2),ROUNDUP(INDEX(Upgrades!$C$3:$C$13,MATCH(Q1505,Upgrades!$B$3:$B$13,0))*1.15^(COUNTIF(Q$4:Q1504,Q1505)-COUNTIF(Q$4:Q1504,""Sell_""&amp;Q1505))))))"),"")</f>
        <v/>
      </c>
      <c r="V1505" s="10" t="str">
        <f t="shared" si="11"/>
        <v/>
      </c>
      <c r="W1505" s="68" t="str">
        <f t="shared" si="12"/>
        <v/>
      </c>
      <c r="X1505" s="59" t="str">
        <f t="shared" si="13"/>
        <v/>
      </c>
      <c r="Y1505" s="69" t="str">
        <f t="shared" si="14"/>
        <v/>
      </c>
      <c r="Z1505" s="11"/>
      <c r="AG1505" s="59"/>
    </row>
    <row r="1506">
      <c r="A1506" s="8"/>
      <c r="B1506" s="56" t="str">
        <f t="shared" si="2"/>
        <v/>
      </c>
      <c r="C1506" s="105"/>
      <c r="D1506" s="10"/>
      <c r="E1506" s="59" t="str">
        <f t="array" ref="E1506">IF(COUNTA(C1506:C1644)=0,"",SUM((COUNTIF(C$4:C1506,Upgrades!$B$3:$B$13)-COUNTIF(C$4:C1506,"Sell_"&amp;Upgrades!$B$3:$B$13))*Upgrades!$D$3:$D$13))</f>
        <v/>
      </c>
      <c r="F1506" s="66" t="str">
        <f>IFERROR(__xludf.DUMMYFUNCTION("IF(COUNTA(C1506:C1644)=0,"""",IF(REGEXMATCH(INDEX(FILTER(C$4:C1506,C$4:C1506&lt;&gt;""""),ROWS(FILTER(C$4:C1506,C$4:C1506&lt;&gt;""""))),""^Sell_""),INDEX(FILTER(F$4:F1505,C$4:C1505&lt;&gt;""""),ROWS(FILTER(C$4:C1505,C$4:C1505&lt;&gt;""""))),$AC$5+E1506))"),"")</f>
        <v/>
      </c>
      <c r="G1506" s="10" t="str">
        <f>IFERROR(__xludf.DUMMYFUNCTION("IF(COUNTA(C1506:C1644)=0,"""",IF(C1506="""",0,IF(REGEXMATCH(C1506,""^Sell_""),-ROUNDDOWN(ROUNDUP(INDEX(Upgrades!$C$3:$C$13,MATCH(SUBSTITUTE(C1506,""Sell_"",""""),Upgrades!$B$3:$B$13,0))*1.15^(COUNTIF(C$4:C1505,SUBSTITUTE(C1506,""Sell_"",""""))-COUNTIF(C$4"&amp;":C1505,""Sell_""&amp;SUBSTITUTE(C1506,""Sell_"",""""))))/2),ROUNDUP(INDEX(Upgrades!$C$3:$C$13,MATCH(C1506,Upgrades!$B$3:$B$13,0))*1.15^(COUNTIF(C$4:C1505,C1506)-COUNTIF(C$4:C1505,""Sell_""&amp;C1506))))))"),"")</f>
        <v/>
      </c>
      <c r="H1506" s="10" t="str">
        <f t="shared" si="3"/>
        <v/>
      </c>
      <c r="I1506" s="68" t="str">
        <f t="shared" si="4"/>
        <v/>
      </c>
      <c r="J1506" s="59" t="str">
        <f t="shared" si="5"/>
        <v/>
      </c>
      <c r="K1506" s="69" t="str">
        <f t="shared" si="6"/>
        <v/>
      </c>
      <c r="L1506" s="60" t="str">
        <f t="shared" si="7"/>
        <v/>
      </c>
      <c r="M1506" s="61" t="str">
        <f>IFERROR(__xludf.DUMMYFUNCTION("IFS(AND(COUNTA(C1506:C1644)=0,COUNTA(Q1506:Q1644)=0),"""",OR(AND(K1506&gt;=1000000000,OR(Y1506&gt;=1000000000,COUNTA(Q1506:Q1644)=0)),OR(Y1506&gt;=1000000000,AND(COUNTA(C1506:C1644)=0,P$3=TRUE))),
ROUNDDOWN((AB$1-AC$1)*MAX(INDEX(T$4:T1644,MATCH(LARGE(FILTER(Y$4:Y1"&amp;"644,Y$4:Y1644&lt;1000000000),1),Y$4:Y1644)),INDEX(F$4:F1644,MATCH(LARGE(FILTER(K$4:K1644,K$4:K1644&lt;1000000000),1),K$4:K1644)))),AND(K1506&lt;1000000000,COUNTA(C1506:C1644)&gt;0,P$3=FALSE),
ROUNDDOWN(INDEX(Y$4:Y1644,MATCH(LARGE(FILTER(W$4:W1644,W$4:W1644&lt;=I1506),1)"&amp;",W$4:W1644))+(I1506-LARGE(FILTER(W$4:W1644,W$4:W1644&lt;=I1506),1))*INDEX(T$4:T1644,MATCH(LARGE(FILTER(W$4:W1644,W$4:W1644&lt;=I1506),1),W$4:W1644))-K1506),1,
ROUNDDOWN(Y1506-INDEX(K$4:K1644,MATCH(LARGE(FILTER(I$4:I1644,I$4:I1644&lt;=W1506),1),I$4:I1644))-(W1506-L"&amp;"ARGE(FILTER(I$4:I1644,I$4:I1644&lt;=W1506),1))*INDEX(F$4:F1644,MATCH(LARGE(FILTER(I$4:I1644,I$4:I1644&lt;=W1506),1),I$4:I1644))))"),"")</f>
        <v/>
      </c>
      <c r="N1506" s="60" t="str">
        <f t="shared" si="8"/>
        <v/>
      </c>
      <c r="O1506" s="61" t="str">
        <f t="shared" si="9"/>
        <v/>
      </c>
      <c r="P1506" s="56" t="str">
        <f t="shared" si="10"/>
        <v/>
      </c>
      <c r="Q1506" s="105"/>
      <c r="R1506" s="10"/>
      <c r="S1506" s="59" t="str">
        <f t="array" ref="S1506">IF(COUNTA(Q1506:Q1644)=0,"",SUM((COUNTIF(Q$4:Q1506,Upgrades!$B$3:$B$13)-COUNTIF(Q$4:Q1506,"Sell_"&amp;Upgrades!$B$3:$B$13))*Upgrades!$D$3:$D$13))</f>
        <v/>
      </c>
      <c r="T1506" s="66" t="str">
        <f>IFERROR(__xludf.DUMMYFUNCTION("IF(COUNTA(Q1506:Q1644)=0,"""",IF(REGEXMATCH(INDEX(FILTER(Q$4:Q1506,Q$4:Q1506&lt;&gt;""""),ROWS(FILTER(Q$4:Q1506,Q$4:Q1506&lt;&gt;""""))),""^Sell_""),INDEX(FILTER(T$4:T1505,Q$4:Q1505&lt;&gt;""""),ROWS(FILTER(Q$4:Q1505,Q$4:Q1505&lt;&gt;""""))),$AD$5+S1506))"),"")</f>
        <v/>
      </c>
      <c r="U1506" s="10" t="str">
        <f>IFERROR(__xludf.DUMMYFUNCTION("IF(COUNTA(Q1506:Q1644)=0,"""",IF(Q1506="""",0,IF(REGEXMATCH(Q1506,""^Sell_""),-ROUNDDOWN(ROUNDUP(INDEX(Upgrades!$C$3:$C$13,MATCH(SUBSTITUTE(Q1506,""Sell_"",""""),Upgrades!$B$3:$B$13,0))*1.15^(COUNTIF(Q$4:Q1505,SUBSTITUTE(Q1506,""Sell_"",""""))-COUNTIF(Q$4"&amp;":Q1505,""Sell_""&amp;SUBSTITUTE(Q1506,""Sell_"",""""))))/2),ROUNDUP(INDEX(Upgrades!$C$3:$C$13,MATCH(Q1506,Upgrades!$B$3:$B$13,0))*1.15^(COUNTIF(Q$4:Q1505,Q1506)-COUNTIF(Q$4:Q1505,""Sell_""&amp;Q1506))))))"),"")</f>
        <v/>
      </c>
      <c r="V1506" s="10" t="str">
        <f t="shared" si="11"/>
        <v/>
      </c>
      <c r="W1506" s="68" t="str">
        <f t="shared" si="12"/>
        <v/>
      </c>
      <c r="X1506" s="59" t="str">
        <f t="shared" si="13"/>
        <v/>
      </c>
      <c r="Y1506" s="69" t="str">
        <f t="shared" si="14"/>
        <v/>
      </c>
      <c r="Z1506" s="11"/>
      <c r="AG1506" s="59"/>
    </row>
    <row r="1507">
      <c r="A1507" s="8"/>
      <c r="B1507" s="56" t="str">
        <f t="shared" si="2"/>
        <v/>
      </c>
      <c r="C1507" s="105"/>
      <c r="D1507" s="10"/>
      <c r="E1507" s="59" t="str">
        <f t="array" ref="E1507">IF(COUNTA(C1507:C1644)=0,"",SUM((COUNTIF(C$4:C1507,Upgrades!$B$3:$B$13)-COUNTIF(C$4:C1507,"Sell_"&amp;Upgrades!$B$3:$B$13))*Upgrades!$D$3:$D$13))</f>
        <v/>
      </c>
      <c r="F1507" s="66" t="str">
        <f>IFERROR(__xludf.DUMMYFUNCTION("IF(COUNTA(C1507:C1644)=0,"""",IF(REGEXMATCH(INDEX(FILTER(C$4:C1507,C$4:C1507&lt;&gt;""""),ROWS(FILTER(C$4:C1507,C$4:C1507&lt;&gt;""""))),""^Sell_""),INDEX(FILTER(F$4:F1506,C$4:C1506&lt;&gt;""""),ROWS(FILTER(C$4:C1506,C$4:C1506&lt;&gt;""""))),$AC$5+E1507))"),"")</f>
        <v/>
      </c>
      <c r="G1507" s="10" t="str">
        <f>IFERROR(__xludf.DUMMYFUNCTION("IF(COUNTA(C1507:C1644)=0,"""",IF(C1507="""",0,IF(REGEXMATCH(C1507,""^Sell_""),-ROUNDDOWN(ROUNDUP(INDEX(Upgrades!$C$3:$C$13,MATCH(SUBSTITUTE(C1507,""Sell_"",""""),Upgrades!$B$3:$B$13,0))*1.15^(COUNTIF(C$4:C1506,SUBSTITUTE(C1507,""Sell_"",""""))-COUNTIF(C$4"&amp;":C1506,""Sell_""&amp;SUBSTITUTE(C1507,""Sell_"",""""))))/2),ROUNDUP(INDEX(Upgrades!$C$3:$C$13,MATCH(C1507,Upgrades!$B$3:$B$13,0))*1.15^(COUNTIF(C$4:C1506,C1507)-COUNTIF(C$4:C1506,""Sell_""&amp;C1507))))))"),"")</f>
        <v/>
      </c>
      <c r="H1507" s="10" t="str">
        <f t="shared" si="3"/>
        <v/>
      </c>
      <c r="I1507" s="68" t="str">
        <f t="shared" si="4"/>
        <v/>
      </c>
      <c r="J1507" s="59" t="str">
        <f t="shared" si="5"/>
        <v/>
      </c>
      <c r="K1507" s="69" t="str">
        <f t="shared" si="6"/>
        <v/>
      </c>
      <c r="L1507" s="60" t="str">
        <f t="shared" si="7"/>
        <v/>
      </c>
      <c r="M1507" s="61" t="str">
        <f>IFERROR(__xludf.DUMMYFUNCTION("IFS(AND(COUNTA(C1507:C1644)=0,COUNTA(Q1507:Q1644)=0),"""",OR(AND(K1507&gt;=1000000000,OR(Y1507&gt;=1000000000,COUNTA(Q1507:Q1644)=0)),OR(Y1507&gt;=1000000000,AND(COUNTA(C1507:C1644)=0,P$3=TRUE))),
ROUNDDOWN((AB$1-AC$1)*MAX(INDEX(T$4:T1644,MATCH(LARGE(FILTER(Y$4:Y1"&amp;"644,Y$4:Y1644&lt;1000000000),1),Y$4:Y1644)),INDEX(F$4:F1644,MATCH(LARGE(FILTER(K$4:K1644,K$4:K1644&lt;1000000000),1),K$4:K1644)))),AND(K1507&lt;1000000000,COUNTA(C1507:C1644)&gt;0,P$3=FALSE),
ROUNDDOWN(INDEX(Y$4:Y1644,MATCH(LARGE(FILTER(W$4:W1644,W$4:W1644&lt;=I1507),1)"&amp;",W$4:W1644))+(I1507-LARGE(FILTER(W$4:W1644,W$4:W1644&lt;=I1507),1))*INDEX(T$4:T1644,MATCH(LARGE(FILTER(W$4:W1644,W$4:W1644&lt;=I1507),1),W$4:W1644))-K1507),1,
ROUNDDOWN(Y1507-INDEX(K$4:K1644,MATCH(LARGE(FILTER(I$4:I1644,I$4:I1644&lt;=W1507),1),I$4:I1644))-(W1507-L"&amp;"ARGE(FILTER(I$4:I1644,I$4:I1644&lt;=W1507),1))*INDEX(F$4:F1644,MATCH(LARGE(FILTER(I$4:I1644,I$4:I1644&lt;=W1507),1),I$4:I1644))))"),"")</f>
        <v/>
      </c>
      <c r="N1507" s="60" t="str">
        <f t="shared" si="8"/>
        <v/>
      </c>
      <c r="O1507" s="61" t="str">
        <f t="shared" si="9"/>
        <v/>
      </c>
      <c r="P1507" s="56" t="str">
        <f t="shared" si="10"/>
        <v/>
      </c>
      <c r="Q1507" s="105"/>
      <c r="R1507" s="10"/>
      <c r="S1507" s="59" t="str">
        <f t="array" ref="S1507">IF(COUNTA(Q1507:Q1644)=0,"",SUM((COUNTIF(Q$4:Q1507,Upgrades!$B$3:$B$13)-COUNTIF(Q$4:Q1507,"Sell_"&amp;Upgrades!$B$3:$B$13))*Upgrades!$D$3:$D$13))</f>
        <v/>
      </c>
      <c r="T1507" s="66" t="str">
        <f>IFERROR(__xludf.DUMMYFUNCTION("IF(COUNTA(Q1507:Q1644)=0,"""",IF(REGEXMATCH(INDEX(FILTER(Q$4:Q1507,Q$4:Q1507&lt;&gt;""""),ROWS(FILTER(Q$4:Q1507,Q$4:Q1507&lt;&gt;""""))),""^Sell_""),INDEX(FILTER(T$4:T1506,Q$4:Q1506&lt;&gt;""""),ROWS(FILTER(Q$4:Q1506,Q$4:Q1506&lt;&gt;""""))),$AD$5+S1507))"),"")</f>
        <v/>
      </c>
      <c r="U1507" s="10" t="str">
        <f>IFERROR(__xludf.DUMMYFUNCTION("IF(COUNTA(Q1507:Q1644)=0,"""",IF(Q1507="""",0,IF(REGEXMATCH(Q1507,""^Sell_""),-ROUNDDOWN(ROUNDUP(INDEX(Upgrades!$C$3:$C$13,MATCH(SUBSTITUTE(Q1507,""Sell_"",""""),Upgrades!$B$3:$B$13,0))*1.15^(COUNTIF(Q$4:Q1506,SUBSTITUTE(Q1507,""Sell_"",""""))-COUNTIF(Q$4"&amp;":Q1506,""Sell_""&amp;SUBSTITUTE(Q1507,""Sell_"",""""))))/2),ROUNDUP(INDEX(Upgrades!$C$3:$C$13,MATCH(Q1507,Upgrades!$B$3:$B$13,0))*1.15^(COUNTIF(Q$4:Q1506,Q1507)-COUNTIF(Q$4:Q1506,""Sell_""&amp;Q1507))))))"),"")</f>
        <v/>
      </c>
      <c r="V1507" s="10" t="str">
        <f t="shared" si="11"/>
        <v/>
      </c>
      <c r="W1507" s="68" t="str">
        <f t="shared" si="12"/>
        <v/>
      </c>
      <c r="X1507" s="59" t="str">
        <f t="shared" si="13"/>
        <v/>
      </c>
      <c r="Y1507" s="69" t="str">
        <f t="shared" si="14"/>
        <v/>
      </c>
      <c r="Z1507" s="11"/>
      <c r="AG1507" s="59"/>
    </row>
    <row r="1508">
      <c r="A1508" s="8"/>
      <c r="B1508" s="56" t="str">
        <f t="shared" si="2"/>
        <v/>
      </c>
      <c r="C1508" s="105"/>
      <c r="D1508" s="10"/>
      <c r="E1508" s="59" t="str">
        <f t="array" ref="E1508">IF(COUNTA(C1508:C1644)=0,"",SUM((COUNTIF(C$4:C1508,Upgrades!$B$3:$B$13)-COUNTIF(C$4:C1508,"Sell_"&amp;Upgrades!$B$3:$B$13))*Upgrades!$D$3:$D$13))</f>
        <v/>
      </c>
      <c r="F1508" s="66" t="str">
        <f>IFERROR(__xludf.DUMMYFUNCTION("IF(COUNTA(C1508:C1644)=0,"""",IF(REGEXMATCH(INDEX(FILTER(C$4:C1508,C$4:C1508&lt;&gt;""""),ROWS(FILTER(C$4:C1508,C$4:C1508&lt;&gt;""""))),""^Sell_""),INDEX(FILTER(F$4:F1507,C$4:C1507&lt;&gt;""""),ROWS(FILTER(C$4:C1507,C$4:C1507&lt;&gt;""""))),$AC$5+E1508))"),"")</f>
        <v/>
      </c>
      <c r="G1508" s="10" t="str">
        <f>IFERROR(__xludf.DUMMYFUNCTION("IF(COUNTA(C1508:C1644)=0,"""",IF(C1508="""",0,IF(REGEXMATCH(C1508,""^Sell_""),-ROUNDDOWN(ROUNDUP(INDEX(Upgrades!$C$3:$C$13,MATCH(SUBSTITUTE(C1508,""Sell_"",""""),Upgrades!$B$3:$B$13,0))*1.15^(COUNTIF(C$4:C1507,SUBSTITUTE(C1508,""Sell_"",""""))-COUNTIF(C$4"&amp;":C1507,""Sell_""&amp;SUBSTITUTE(C1508,""Sell_"",""""))))/2),ROUNDUP(INDEX(Upgrades!$C$3:$C$13,MATCH(C1508,Upgrades!$B$3:$B$13,0))*1.15^(COUNTIF(C$4:C1507,C1508)-COUNTIF(C$4:C1507,""Sell_""&amp;C1508))))))"),"")</f>
        <v/>
      </c>
      <c r="H1508" s="10" t="str">
        <f t="shared" si="3"/>
        <v/>
      </c>
      <c r="I1508" s="68" t="str">
        <f t="shared" si="4"/>
        <v/>
      </c>
      <c r="J1508" s="59" t="str">
        <f t="shared" si="5"/>
        <v/>
      </c>
      <c r="K1508" s="69" t="str">
        <f t="shared" si="6"/>
        <v/>
      </c>
      <c r="L1508" s="60" t="str">
        <f t="shared" si="7"/>
        <v/>
      </c>
      <c r="M1508" s="61" t="str">
        <f>IFERROR(__xludf.DUMMYFUNCTION("IFS(AND(COUNTA(C1508:C1644)=0,COUNTA(Q1508:Q1644)=0),"""",OR(AND(K1508&gt;=1000000000,OR(Y1508&gt;=1000000000,COUNTA(Q1508:Q1644)=0)),OR(Y1508&gt;=1000000000,AND(COUNTA(C1508:C1644)=0,P$3=TRUE))),
ROUNDDOWN((AB$1-AC$1)*MAX(INDEX(T$4:T1644,MATCH(LARGE(FILTER(Y$4:Y1"&amp;"644,Y$4:Y1644&lt;1000000000),1),Y$4:Y1644)),INDEX(F$4:F1644,MATCH(LARGE(FILTER(K$4:K1644,K$4:K1644&lt;1000000000),1),K$4:K1644)))),AND(K1508&lt;1000000000,COUNTA(C1508:C1644)&gt;0,P$3=FALSE),
ROUNDDOWN(INDEX(Y$4:Y1644,MATCH(LARGE(FILTER(W$4:W1644,W$4:W1644&lt;=I1508),1)"&amp;",W$4:W1644))+(I1508-LARGE(FILTER(W$4:W1644,W$4:W1644&lt;=I1508),1))*INDEX(T$4:T1644,MATCH(LARGE(FILTER(W$4:W1644,W$4:W1644&lt;=I1508),1),W$4:W1644))-K1508),1,
ROUNDDOWN(Y1508-INDEX(K$4:K1644,MATCH(LARGE(FILTER(I$4:I1644,I$4:I1644&lt;=W1508),1),I$4:I1644))-(W1508-L"&amp;"ARGE(FILTER(I$4:I1644,I$4:I1644&lt;=W1508),1))*INDEX(F$4:F1644,MATCH(LARGE(FILTER(I$4:I1644,I$4:I1644&lt;=W1508),1),I$4:I1644))))"),"")</f>
        <v/>
      </c>
      <c r="N1508" s="60" t="str">
        <f t="shared" si="8"/>
        <v/>
      </c>
      <c r="O1508" s="61" t="str">
        <f t="shared" si="9"/>
        <v/>
      </c>
      <c r="P1508" s="56" t="str">
        <f t="shared" si="10"/>
        <v/>
      </c>
      <c r="Q1508" s="105"/>
      <c r="R1508" s="10"/>
      <c r="S1508" s="59" t="str">
        <f t="array" ref="S1508">IF(COUNTA(Q1508:Q1644)=0,"",SUM((COUNTIF(Q$4:Q1508,Upgrades!$B$3:$B$13)-COUNTIF(Q$4:Q1508,"Sell_"&amp;Upgrades!$B$3:$B$13))*Upgrades!$D$3:$D$13))</f>
        <v/>
      </c>
      <c r="T1508" s="66" t="str">
        <f>IFERROR(__xludf.DUMMYFUNCTION("IF(COUNTA(Q1508:Q1644)=0,"""",IF(REGEXMATCH(INDEX(FILTER(Q$4:Q1508,Q$4:Q1508&lt;&gt;""""),ROWS(FILTER(Q$4:Q1508,Q$4:Q1508&lt;&gt;""""))),""^Sell_""),INDEX(FILTER(T$4:T1507,Q$4:Q1507&lt;&gt;""""),ROWS(FILTER(Q$4:Q1507,Q$4:Q1507&lt;&gt;""""))),$AD$5+S1508))"),"")</f>
        <v/>
      </c>
      <c r="U1508" s="10" t="str">
        <f>IFERROR(__xludf.DUMMYFUNCTION("IF(COUNTA(Q1508:Q1644)=0,"""",IF(Q1508="""",0,IF(REGEXMATCH(Q1508,""^Sell_""),-ROUNDDOWN(ROUNDUP(INDEX(Upgrades!$C$3:$C$13,MATCH(SUBSTITUTE(Q1508,""Sell_"",""""),Upgrades!$B$3:$B$13,0))*1.15^(COUNTIF(Q$4:Q1507,SUBSTITUTE(Q1508,""Sell_"",""""))-COUNTIF(Q$4"&amp;":Q1507,""Sell_""&amp;SUBSTITUTE(Q1508,""Sell_"",""""))))/2),ROUNDUP(INDEX(Upgrades!$C$3:$C$13,MATCH(Q1508,Upgrades!$B$3:$B$13,0))*1.15^(COUNTIF(Q$4:Q1507,Q1508)-COUNTIF(Q$4:Q1507,""Sell_""&amp;Q1508))))))"),"")</f>
        <v/>
      </c>
      <c r="V1508" s="10" t="str">
        <f t="shared" si="11"/>
        <v/>
      </c>
      <c r="W1508" s="68" t="str">
        <f t="shared" si="12"/>
        <v/>
      </c>
      <c r="X1508" s="59" t="str">
        <f t="shared" si="13"/>
        <v/>
      </c>
      <c r="Y1508" s="69" t="str">
        <f t="shared" si="14"/>
        <v/>
      </c>
      <c r="Z1508" s="11"/>
      <c r="AG1508" s="59"/>
    </row>
    <row r="1509">
      <c r="A1509" s="8"/>
      <c r="B1509" s="56" t="str">
        <f t="shared" si="2"/>
        <v/>
      </c>
      <c r="C1509" s="105"/>
      <c r="D1509" s="10"/>
      <c r="E1509" s="59" t="str">
        <f t="array" ref="E1509">IF(COUNTA(C1509:C1644)=0,"",SUM((COUNTIF(C$4:C1509,Upgrades!$B$3:$B$13)-COUNTIF(C$4:C1509,"Sell_"&amp;Upgrades!$B$3:$B$13))*Upgrades!$D$3:$D$13))</f>
        <v/>
      </c>
      <c r="F1509" s="66" t="str">
        <f>IFERROR(__xludf.DUMMYFUNCTION("IF(COUNTA(C1509:C1644)=0,"""",IF(REGEXMATCH(INDEX(FILTER(C$4:C1509,C$4:C1509&lt;&gt;""""),ROWS(FILTER(C$4:C1509,C$4:C1509&lt;&gt;""""))),""^Sell_""),INDEX(FILTER(F$4:F1508,C$4:C1508&lt;&gt;""""),ROWS(FILTER(C$4:C1508,C$4:C1508&lt;&gt;""""))),$AC$5+E1509))"),"")</f>
        <v/>
      </c>
      <c r="G1509" s="10" t="str">
        <f>IFERROR(__xludf.DUMMYFUNCTION("IF(COUNTA(C1509:C1644)=0,"""",IF(C1509="""",0,IF(REGEXMATCH(C1509,""^Sell_""),-ROUNDDOWN(ROUNDUP(INDEX(Upgrades!$C$3:$C$13,MATCH(SUBSTITUTE(C1509,""Sell_"",""""),Upgrades!$B$3:$B$13,0))*1.15^(COUNTIF(C$4:C1508,SUBSTITUTE(C1509,""Sell_"",""""))-COUNTIF(C$4"&amp;":C1508,""Sell_""&amp;SUBSTITUTE(C1509,""Sell_"",""""))))/2),ROUNDUP(INDEX(Upgrades!$C$3:$C$13,MATCH(C1509,Upgrades!$B$3:$B$13,0))*1.15^(COUNTIF(C$4:C1508,C1509)-COUNTIF(C$4:C1508,""Sell_""&amp;C1509))))))"),"")</f>
        <v/>
      </c>
      <c r="H1509" s="10" t="str">
        <f t="shared" si="3"/>
        <v/>
      </c>
      <c r="I1509" s="68" t="str">
        <f t="shared" si="4"/>
        <v/>
      </c>
      <c r="J1509" s="59" t="str">
        <f t="shared" si="5"/>
        <v/>
      </c>
      <c r="K1509" s="69" t="str">
        <f t="shared" si="6"/>
        <v/>
      </c>
      <c r="L1509" s="60" t="str">
        <f t="shared" si="7"/>
        <v/>
      </c>
      <c r="M1509" s="61" t="str">
        <f>IFERROR(__xludf.DUMMYFUNCTION("IFS(AND(COUNTA(C1509:C1644)=0,COUNTA(Q1509:Q1644)=0),"""",OR(AND(K1509&gt;=1000000000,OR(Y1509&gt;=1000000000,COUNTA(Q1509:Q1644)=0)),OR(Y1509&gt;=1000000000,AND(COUNTA(C1509:C1644)=0,P$3=TRUE))),
ROUNDDOWN((AB$1-AC$1)*MAX(INDEX(T$4:T1644,MATCH(LARGE(FILTER(Y$4:Y1"&amp;"644,Y$4:Y1644&lt;1000000000),1),Y$4:Y1644)),INDEX(F$4:F1644,MATCH(LARGE(FILTER(K$4:K1644,K$4:K1644&lt;1000000000),1),K$4:K1644)))),AND(K1509&lt;1000000000,COUNTA(C1509:C1644)&gt;0,P$3=FALSE),
ROUNDDOWN(INDEX(Y$4:Y1644,MATCH(LARGE(FILTER(W$4:W1644,W$4:W1644&lt;=I1509),1)"&amp;",W$4:W1644))+(I1509-LARGE(FILTER(W$4:W1644,W$4:W1644&lt;=I1509),1))*INDEX(T$4:T1644,MATCH(LARGE(FILTER(W$4:W1644,W$4:W1644&lt;=I1509),1),W$4:W1644))-K1509),1,
ROUNDDOWN(Y1509-INDEX(K$4:K1644,MATCH(LARGE(FILTER(I$4:I1644,I$4:I1644&lt;=W1509),1),I$4:I1644))-(W1509-L"&amp;"ARGE(FILTER(I$4:I1644,I$4:I1644&lt;=W1509),1))*INDEX(F$4:F1644,MATCH(LARGE(FILTER(I$4:I1644,I$4:I1644&lt;=W1509),1),I$4:I1644))))"),"")</f>
        <v/>
      </c>
      <c r="N1509" s="60" t="str">
        <f t="shared" si="8"/>
        <v/>
      </c>
      <c r="O1509" s="61" t="str">
        <f t="shared" si="9"/>
        <v/>
      </c>
      <c r="P1509" s="56" t="str">
        <f t="shared" si="10"/>
        <v/>
      </c>
      <c r="Q1509" s="105"/>
      <c r="R1509" s="10"/>
      <c r="S1509" s="59" t="str">
        <f t="array" ref="S1509">IF(COUNTA(Q1509:Q1644)=0,"",SUM((COUNTIF(Q$4:Q1509,Upgrades!$B$3:$B$13)-COUNTIF(Q$4:Q1509,"Sell_"&amp;Upgrades!$B$3:$B$13))*Upgrades!$D$3:$D$13))</f>
        <v/>
      </c>
      <c r="T1509" s="66" t="str">
        <f>IFERROR(__xludf.DUMMYFUNCTION("IF(COUNTA(Q1509:Q1644)=0,"""",IF(REGEXMATCH(INDEX(FILTER(Q$4:Q1509,Q$4:Q1509&lt;&gt;""""),ROWS(FILTER(Q$4:Q1509,Q$4:Q1509&lt;&gt;""""))),""^Sell_""),INDEX(FILTER(T$4:T1508,Q$4:Q1508&lt;&gt;""""),ROWS(FILTER(Q$4:Q1508,Q$4:Q1508&lt;&gt;""""))),$AD$5+S1509))"),"")</f>
        <v/>
      </c>
      <c r="U1509" s="10" t="str">
        <f>IFERROR(__xludf.DUMMYFUNCTION("IF(COUNTA(Q1509:Q1644)=0,"""",IF(Q1509="""",0,IF(REGEXMATCH(Q1509,""^Sell_""),-ROUNDDOWN(ROUNDUP(INDEX(Upgrades!$C$3:$C$13,MATCH(SUBSTITUTE(Q1509,""Sell_"",""""),Upgrades!$B$3:$B$13,0))*1.15^(COUNTIF(Q$4:Q1508,SUBSTITUTE(Q1509,""Sell_"",""""))-COUNTIF(Q$4"&amp;":Q1508,""Sell_""&amp;SUBSTITUTE(Q1509,""Sell_"",""""))))/2),ROUNDUP(INDEX(Upgrades!$C$3:$C$13,MATCH(Q1509,Upgrades!$B$3:$B$13,0))*1.15^(COUNTIF(Q$4:Q1508,Q1509)-COUNTIF(Q$4:Q1508,""Sell_""&amp;Q1509))))))"),"")</f>
        <v/>
      </c>
      <c r="V1509" s="10" t="str">
        <f t="shared" si="11"/>
        <v/>
      </c>
      <c r="W1509" s="68" t="str">
        <f t="shared" si="12"/>
        <v/>
      </c>
      <c r="X1509" s="59" t="str">
        <f t="shared" si="13"/>
        <v/>
      </c>
      <c r="Y1509" s="69" t="str">
        <f t="shared" si="14"/>
        <v/>
      </c>
      <c r="Z1509" s="11"/>
      <c r="AG1509" s="59"/>
    </row>
    <row r="1510">
      <c r="A1510" s="8"/>
      <c r="B1510" s="56" t="str">
        <f t="shared" si="2"/>
        <v/>
      </c>
      <c r="C1510" s="105"/>
      <c r="D1510" s="10"/>
      <c r="E1510" s="59" t="str">
        <f t="array" ref="E1510">IF(COUNTA(C1510:C1644)=0,"",SUM((COUNTIF(C$4:C1510,Upgrades!$B$3:$B$13)-COUNTIF(C$4:C1510,"Sell_"&amp;Upgrades!$B$3:$B$13))*Upgrades!$D$3:$D$13))</f>
        <v/>
      </c>
      <c r="F1510" s="66" t="str">
        <f>IFERROR(__xludf.DUMMYFUNCTION("IF(COUNTA(C1510:C1644)=0,"""",IF(REGEXMATCH(INDEX(FILTER(C$4:C1510,C$4:C1510&lt;&gt;""""),ROWS(FILTER(C$4:C1510,C$4:C1510&lt;&gt;""""))),""^Sell_""),INDEX(FILTER(F$4:F1509,C$4:C1509&lt;&gt;""""),ROWS(FILTER(C$4:C1509,C$4:C1509&lt;&gt;""""))),$AC$5+E1510))"),"")</f>
        <v/>
      </c>
      <c r="G1510" s="10" t="str">
        <f>IFERROR(__xludf.DUMMYFUNCTION("IF(COUNTA(C1510:C1644)=0,"""",IF(C1510="""",0,IF(REGEXMATCH(C1510,""^Sell_""),-ROUNDDOWN(ROUNDUP(INDEX(Upgrades!$C$3:$C$13,MATCH(SUBSTITUTE(C1510,""Sell_"",""""),Upgrades!$B$3:$B$13,0))*1.15^(COUNTIF(C$4:C1509,SUBSTITUTE(C1510,""Sell_"",""""))-COUNTIF(C$4"&amp;":C1509,""Sell_""&amp;SUBSTITUTE(C1510,""Sell_"",""""))))/2),ROUNDUP(INDEX(Upgrades!$C$3:$C$13,MATCH(C1510,Upgrades!$B$3:$B$13,0))*1.15^(COUNTIF(C$4:C1509,C1510)-COUNTIF(C$4:C1509,""Sell_""&amp;C1510))))))"),"")</f>
        <v/>
      </c>
      <c r="H1510" s="10" t="str">
        <f t="shared" si="3"/>
        <v/>
      </c>
      <c r="I1510" s="68" t="str">
        <f t="shared" si="4"/>
        <v/>
      </c>
      <c r="J1510" s="59" t="str">
        <f t="shared" si="5"/>
        <v/>
      </c>
      <c r="K1510" s="69" t="str">
        <f t="shared" si="6"/>
        <v/>
      </c>
      <c r="L1510" s="60" t="str">
        <f t="shared" si="7"/>
        <v/>
      </c>
      <c r="M1510" s="61" t="str">
        <f>IFERROR(__xludf.DUMMYFUNCTION("IFS(AND(COUNTA(C1510:C1644)=0,COUNTA(Q1510:Q1644)=0),"""",OR(AND(K1510&gt;=1000000000,OR(Y1510&gt;=1000000000,COUNTA(Q1510:Q1644)=0)),OR(Y1510&gt;=1000000000,AND(COUNTA(C1510:C1644)=0,P$3=TRUE))),
ROUNDDOWN((AB$1-AC$1)*MAX(INDEX(T$4:T1644,MATCH(LARGE(FILTER(Y$4:Y1"&amp;"644,Y$4:Y1644&lt;1000000000),1),Y$4:Y1644)),INDEX(F$4:F1644,MATCH(LARGE(FILTER(K$4:K1644,K$4:K1644&lt;1000000000),1),K$4:K1644)))),AND(K1510&lt;1000000000,COUNTA(C1510:C1644)&gt;0,P$3=FALSE),
ROUNDDOWN(INDEX(Y$4:Y1644,MATCH(LARGE(FILTER(W$4:W1644,W$4:W1644&lt;=I1510),1)"&amp;",W$4:W1644))+(I1510-LARGE(FILTER(W$4:W1644,W$4:W1644&lt;=I1510),1))*INDEX(T$4:T1644,MATCH(LARGE(FILTER(W$4:W1644,W$4:W1644&lt;=I1510),1),W$4:W1644))-K1510),1,
ROUNDDOWN(Y1510-INDEX(K$4:K1644,MATCH(LARGE(FILTER(I$4:I1644,I$4:I1644&lt;=W1510),1),I$4:I1644))-(W1510-L"&amp;"ARGE(FILTER(I$4:I1644,I$4:I1644&lt;=W1510),1))*INDEX(F$4:F1644,MATCH(LARGE(FILTER(I$4:I1644,I$4:I1644&lt;=W1510),1),I$4:I1644))))"),"")</f>
        <v/>
      </c>
      <c r="N1510" s="60" t="str">
        <f t="shared" si="8"/>
        <v/>
      </c>
      <c r="O1510" s="61" t="str">
        <f t="shared" si="9"/>
        <v/>
      </c>
      <c r="P1510" s="56" t="str">
        <f t="shared" si="10"/>
        <v/>
      </c>
      <c r="Q1510" s="105"/>
      <c r="R1510" s="10"/>
      <c r="S1510" s="59" t="str">
        <f t="array" ref="S1510">IF(COUNTA(Q1510:Q1644)=0,"",SUM((COUNTIF(Q$4:Q1510,Upgrades!$B$3:$B$13)-COUNTIF(Q$4:Q1510,"Sell_"&amp;Upgrades!$B$3:$B$13))*Upgrades!$D$3:$D$13))</f>
        <v/>
      </c>
      <c r="T1510" s="66" t="str">
        <f>IFERROR(__xludf.DUMMYFUNCTION("IF(COUNTA(Q1510:Q1644)=0,"""",IF(REGEXMATCH(INDEX(FILTER(Q$4:Q1510,Q$4:Q1510&lt;&gt;""""),ROWS(FILTER(Q$4:Q1510,Q$4:Q1510&lt;&gt;""""))),""^Sell_""),INDEX(FILTER(T$4:T1509,Q$4:Q1509&lt;&gt;""""),ROWS(FILTER(Q$4:Q1509,Q$4:Q1509&lt;&gt;""""))),$AD$5+S1510))"),"")</f>
        <v/>
      </c>
      <c r="U1510" s="10" t="str">
        <f>IFERROR(__xludf.DUMMYFUNCTION("IF(COUNTA(Q1510:Q1644)=0,"""",IF(Q1510="""",0,IF(REGEXMATCH(Q1510,""^Sell_""),-ROUNDDOWN(ROUNDUP(INDEX(Upgrades!$C$3:$C$13,MATCH(SUBSTITUTE(Q1510,""Sell_"",""""),Upgrades!$B$3:$B$13,0))*1.15^(COUNTIF(Q$4:Q1509,SUBSTITUTE(Q1510,""Sell_"",""""))-COUNTIF(Q$4"&amp;":Q1509,""Sell_""&amp;SUBSTITUTE(Q1510,""Sell_"",""""))))/2),ROUNDUP(INDEX(Upgrades!$C$3:$C$13,MATCH(Q1510,Upgrades!$B$3:$B$13,0))*1.15^(COUNTIF(Q$4:Q1509,Q1510)-COUNTIF(Q$4:Q1509,""Sell_""&amp;Q1510))))))"),"")</f>
        <v/>
      </c>
      <c r="V1510" s="10" t="str">
        <f t="shared" si="11"/>
        <v/>
      </c>
      <c r="W1510" s="68" t="str">
        <f t="shared" si="12"/>
        <v/>
      </c>
      <c r="X1510" s="59" t="str">
        <f t="shared" si="13"/>
        <v/>
      </c>
      <c r="Y1510" s="69" t="str">
        <f t="shared" si="14"/>
        <v/>
      </c>
      <c r="Z1510" s="11"/>
      <c r="AG1510" s="59"/>
    </row>
    <row r="1511">
      <c r="A1511" s="8"/>
      <c r="B1511" s="56" t="str">
        <f t="shared" si="2"/>
        <v/>
      </c>
      <c r="C1511" s="105"/>
      <c r="D1511" s="10"/>
      <c r="E1511" s="59" t="str">
        <f t="array" ref="E1511">IF(COUNTA(C1511:C1644)=0,"",SUM((COUNTIF(C$4:C1511,Upgrades!$B$3:$B$13)-COUNTIF(C$4:C1511,"Sell_"&amp;Upgrades!$B$3:$B$13))*Upgrades!$D$3:$D$13))</f>
        <v/>
      </c>
      <c r="F1511" s="66" t="str">
        <f>IFERROR(__xludf.DUMMYFUNCTION("IF(COUNTA(C1511:C1644)=0,"""",IF(REGEXMATCH(INDEX(FILTER(C$4:C1511,C$4:C1511&lt;&gt;""""),ROWS(FILTER(C$4:C1511,C$4:C1511&lt;&gt;""""))),""^Sell_""),INDEX(FILTER(F$4:F1510,C$4:C1510&lt;&gt;""""),ROWS(FILTER(C$4:C1510,C$4:C1510&lt;&gt;""""))),$AC$5+E1511))"),"")</f>
        <v/>
      </c>
      <c r="G1511" s="10" t="str">
        <f>IFERROR(__xludf.DUMMYFUNCTION("IF(COUNTA(C1511:C1644)=0,"""",IF(C1511="""",0,IF(REGEXMATCH(C1511,""^Sell_""),-ROUNDDOWN(ROUNDUP(INDEX(Upgrades!$C$3:$C$13,MATCH(SUBSTITUTE(C1511,""Sell_"",""""),Upgrades!$B$3:$B$13,0))*1.15^(COUNTIF(C$4:C1510,SUBSTITUTE(C1511,""Sell_"",""""))-COUNTIF(C$4"&amp;":C1510,""Sell_""&amp;SUBSTITUTE(C1511,""Sell_"",""""))))/2),ROUNDUP(INDEX(Upgrades!$C$3:$C$13,MATCH(C1511,Upgrades!$B$3:$B$13,0))*1.15^(COUNTIF(C$4:C1510,C1511)-COUNTIF(C$4:C1510,""Sell_""&amp;C1511))))))"),"")</f>
        <v/>
      </c>
      <c r="H1511" s="10" t="str">
        <f t="shared" si="3"/>
        <v/>
      </c>
      <c r="I1511" s="68" t="str">
        <f t="shared" si="4"/>
        <v/>
      </c>
      <c r="J1511" s="59" t="str">
        <f t="shared" si="5"/>
        <v/>
      </c>
      <c r="K1511" s="69" t="str">
        <f t="shared" si="6"/>
        <v/>
      </c>
      <c r="L1511" s="60" t="str">
        <f t="shared" si="7"/>
        <v/>
      </c>
      <c r="M1511" s="61" t="str">
        <f>IFERROR(__xludf.DUMMYFUNCTION("IFS(AND(COUNTA(C1511:C1644)=0,COUNTA(Q1511:Q1644)=0),"""",OR(AND(K1511&gt;=1000000000,OR(Y1511&gt;=1000000000,COUNTA(Q1511:Q1644)=0)),OR(Y1511&gt;=1000000000,AND(COUNTA(C1511:C1644)=0,P$3=TRUE))),
ROUNDDOWN((AB$1-AC$1)*MAX(INDEX(T$4:T1644,MATCH(LARGE(FILTER(Y$4:Y1"&amp;"644,Y$4:Y1644&lt;1000000000),1),Y$4:Y1644)),INDEX(F$4:F1644,MATCH(LARGE(FILTER(K$4:K1644,K$4:K1644&lt;1000000000),1),K$4:K1644)))),AND(K1511&lt;1000000000,COUNTA(C1511:C1644)&gt;0,P$3=FALSE),
ROUNDDOWN(INDEX(Y$4:Y1644,MATCH(LARGE(FILTER(W$4:W1644,W$4:W1644&lt;=I1511),1)"&amp;",W$4:W1644))+(I1511-LARGE(FILTER(W$4:W1644,W$4:W1644&lt;=I1511),1))*INDEX(T$4:T1644,MATCH(LARGE(FILTER(W$4:W1644,W$4:W1644&lt;=I1511),1),W$4:W1644))-K1511),1,
ROUNDDOWN(Y1511-INDEX(K$4:K1644,MATCH(LARGE(FILTER(I$4:I1644,I$4:I1644&lt;=W1511),1),I$4:I1644))-(W1511-L"&amp;"ARGE(FILTER(I$4:I1644,I$4:I1644&lt;=W1511),1))*INDEX(F$4:F1644,MATCH(LARGE(FILTER(I$4:I1644,I$4:I1644&lt;=W1511),1),I$4:I1644))))"),"")</f>
        <v/>
      </c>
      <c r="N1511" s="60" t="str">
        <f t="shared" si="8"/>
        <v/>
      </c>
      <c r="O1511" s="61" t="str">
        <f t="shared" si="9"/>
        <v/>
      </c>
      <c r="P1511" s="56" t="str">
        <f t="shared" si="10"/>
        <v/>
      </c>
      <c r="Q1511" s="105"/>
      <c r="R1511" s="10"/>
      <c r="S1511" s="59" t="str">
        <f t="array" ref="S1511">IF(COUNTA(Q1511:Q1644)=0,"",SUM((COUNTIF(Q$4:Q1511,Upgrades!$B$3:$B$13)-COUNTIF(Q$4:Q1511,"Sell_"&amp;Upgrades!$B$3:$B$13))*Upgrades!$D$3:$D$13))</f>
        <v/>
      </c>
      <c r="T1511" s="66" t="str">
        <f>IFERROR(__xludf.DUMMYFUNCTION("IF(COUNTA(Q1511:Q1644)=0,"""",IF(REGEXMATCH(INDEX(FILTER(Q$4:Q1511,Q$4:Q1511&lt;&gt;""""),ROWS(FILTER(Q$4:Q1511,Q$4:Q1511&lt;&gt;""""))),""^Sell_""),INDEX(FILTER(T$4:T1510,Q$4:Q1510&lt;&gt;""""),ROWS(FILTER(Q$4:Q1510,Q$4:Q1510&lt;&gt;""""))),$AD$5+S1511))"),"")</f>
        <v/>
      </c>
      <c r="U1511" s="10" t="str">
        <f>IFERROR(__xludf.DUMMYFUNCTION("IF(COUNTA(Q1511:Q1644)=0,"""",IF(Q1511="""",0,IF(REGEXMATCH(Q1511,""^Sell_""),-ROUNDDOWN(ROUNDUP(INDEX(Upgrades!$C$3:$C$13,MATCH(SUBSTITUTE(Q1511,""Sell_"",""""),Upgrades!$B$3:$B$13,0))*1.15^(COUNTIF(Q$4:Q1510,SUBSTITUTE(Q1511,""Sell_"",""""))-COUNTIF(Q$4"&amp;":Q1510,""Sell_""&amp;SUBSTITUTE(Q1511,""Sell_"",""""))))/2),ROUNDUP(INDEX(Upgrades!$C$3:$C$13,MATCH(Q1511,Upgrades!$B$3:$B$13,0))*1.15^(COUNTIF(Q$4:Q1510,Q1511)-COUNTIF(Q$4:Q1510,""Sell_""&amp;Q1511))))))"),"")</f>
        <v/>
      </c>
      <c r="V1511" s="10" t="str">
        <f t="shared" si="11"/>
        <v/>
      </c>
      <c r="W1511" s="68" t="str">
        <f t="shared" si="12"/>
        <v/>
      </c>
      <c r="X1511" s="59" t="str">
        <f t="shared" si="13"/>
        <v/>
      </c>
      <c r="Y1511" s="69" t="str">
        <f t="shared" si="14"/>
        <v/>
      </c>
      <c r="Z1511" s="11"/>
      <c r="AG1511" s="59"/>
    </row>
    <row r="1512">
      <c r="A1512" s="8"/>
      <c r="B1512" s="56" t="str">
        <f t="shared" si="2"/>
        <v/>
      </c>
      <c r="C1512" s="105"/>
      <c r="D1512" s="10"/>
      <c r="E1512" s="59" t="str">
        <f t="array" ref="E1512">IF(COUNTA(C1512:C1644)=0,"",SUM((COUNTIF(C$4:C1512,Upgrades!$B$3:$B$13)-COUNTIF(C$4:C1512,"Sell_"&amp;Upgrades!$B$3:$B$13))*Upgrades!$D$3:$D$13))</f>
        <v/>
      </c>
      <c r="F1512" s="66" t="str">
        <f>IFERROR(__xludf.DUMMYFUNCTION("IF(COUNTA(C1512:C1644)=0,"""",IF(REGEXMATCH(INDEX(FILTER(C$4:C1512,C$4:C1512&lt;&gt;""""),ROWS(FILTER(C$4:C1512,C$4:C1512&lt;&gt;""""))),""^Sell_""),INDEX(FILTER(F$4:F1511,C$4:C1511&lt;&gt;""""),ROWS(FILTER(C$4:C1511,C$4:C1511&lt;&gt;""""))),$AC$5+E1512))"),"")</f>
        <v/>
      </c>
      <c r="G1512" s="10" t="str">
        <f>IFERROR(__xludf.DUMMYFUNCTION("IF(COUNTA(C1512:C1644)=0,"""",IF(C1512="""",0,IF(REGEXMATCH(C1512,""^Sell_""),-ROUNDDOWN(ROUNDUP(INDEX(Upgrades!$C$3:$C$13,MATCH(SUBSTITUTE(C1512,""Sell_"",""""),Upgrades!$B$3:$B$13,0))*1.15^(COUNTIF(C$4:C1511,SUBSTITUTE(C1512,""Sell_"",""""))-COUNTIF(C$4"&amp;":C1511,""Sell_""&amp;SUBSTITUTE(C1512,""Sell_"",""""))))/2),ROUNDUP(INDEX(Upgrades!$C$3:$C$13,MATCH(C1512,Upgrades!$B$3:$B$13,0))*1.15^(COUNTIF(C$4:C1511,C1512)-COUNTIF(C$4:C1511,""Sell_""&amp;C1512))))))"),"")</f>
        <v/>
      </c>
      <c r="H1512" s="10" t="str">
        <f t="shared" si="3"/>
        <v/>
      </c>
      <c r="I1512" s="68" t="str">
        <f t="shared" si="4"/>
        <v/>
      </c>
      <c r="J1512" s="59" t="str">
        <f t="shared" si="5"/>
        <v/>
      </c>
      <c r="K1512" s="69" t="str">
        <f t="shared" si="6"/>
        <v/>
      </c>
      <c r="L1512" s="60" t="str">
        <f t="shared" si="7"/>
        <v/>
      </c>
      <c r="M1512" s="61" t="str">
        <f>IFERROR(__xludf.DUMMYFUNCTION("IFS(AND(COUNTA(C1512:C1644)=0,COUNTA(Q1512:Q1644)=0),"""",OR(AND(K1512&gt;=1000000000,OR(Y1512&gt;=1000000000,COUNTA(Q1512:Q1644)=0)),OR(Y1512&gt;=1000000000,AND(COUNTA(C1512:C1644)=0,P$3=TRUE))),
ROUNDDOWN((AB$1-AC$1)*MAX(INDEX(T$4:T1644,MATCH(LARGE(FILTER(Y$4:Y1"&amp;"644,Y$4:Y1644&lt;1000000000),1),Y$4:Y1644)),INDEX(F$4:F1644,MATCH(LARGE(FILTER(K$4:K1644,K$4:K1644&lt;1000000000),1),K$4:K1644)))),AND(K1512&lt;1000000000,COUNTA(C1512:C1644)&gt;0,P$3=FALSE),
ROUNDDOWN(INDEX(Y$4:Y1644,MATCH(LARGE(FILTER(W$4:W1644,W$4:W1644&lt;=I1512),1)"&amp;",W$4:W1644))+(I1512-LARGE(FILTER(W$4:W1644,W$4:W1644&lt;=I1512),1))*INDEX(T$4:T1644,MATCH(LARGE(FILTER(W$4:W1644,W$4:W1644&lt;=I1512),1),W$4:W1644))-K1512),1,
ROUNDDOWN(Y1512-INDEX(K$4:K1644,MATCH(LARGE(FILTER(I$4:I1644,I$4:I1644&lt;=W1512),1),I$4:I1644))-(W1512-L"&amp;"ARGE(FILTER(I$4:I1644,I$4:I1644&lt;=W1512),1))*INDEX(F$4:F1644,MATCH(LARGE(FILTER(I$4:I1644,I$4:I1644&lt;=W1512),1),I$4:I1644))))"),"")</f>
        <v/>
      </c>
      <c r="N1512" s="60" t="str">
        <f t="shared" si="8"/>
        <v/>
      </c>
      <c r="O1512" s="61" t="str">
        <f t="shared" si="9"/>
        <v/>
      </c>
      <c r="P1512" s="56" t="str">
        <f t="shared" si="10"/>
        <v/>
      </c>
      <c r="Q1512" s="105"/>
      <c r="R1512" s="10"/>
      <c r="S1512" s="59" t="str">
        <f t="array" ref="S1512">IF(COUNTA(Q1512:Q1644)=0,"",SUM((COUNTIF(Q$4:Q1512,Upgrades!$B$3:$B$13)-COUNTIF(Q$4:Q1512,"Sell_"&amp;Upgrades!$B$3:$B$13))*Upgrades!$D$3:$D$13))</f>
        <v/>
      </c>
      <c r="T1512" s="66" t="str">
        <f>IFERROR(__xludf.DUMMYFUNCTION("IF(COUNTA(Q1512:Q1644)=0,"""",IF(REGEXMATCH(INDEX(FILTER(Q$4:Q1512,Q$4:Q1512&lt;&gt;""""),ROWS(FILTER(Q$4:Q1512,Q$4:Q1512&lt;&gt;""""))),""^Sell_""),INDEX(FILTER(T$4:T1511,Q$4:Q1511&lt;&gt;""""),ROWS(FILTER(Q$4:Q1511,Q$4:Q1511&lt;&gt;""""))),$AD$5+S1512))"),"")</f>
        <v/>
      </c>
      <c r="U1512" s="10" t="str">
        <f>IFERROR(__xludf.DUMMYFUNCTION("IF(COUNTA(Q1512:Q1644)=0,"""",IF(Q1512="""",0,IF(REGEXMATCH(Q1512,""^Sell_""),-ROUNDDOWN(ROUNDUP(INDEX(Upgrades!$C$3:$C$13,MATCH(SUBSTITUTE(Q1512,""Sell_"",""""),Upgrades!$B$3:$B$13,0))*1.15^(COUNTIF(Q$4:Q1511,SUBSTITUTE(Q1512,""Sell_"",""""))-COUNTIF(Q$4"&amp;":Q1511,""Sell_""&amp;SUBSTITUTE(Q1512,""Sell_"",""""))))/2),ROUNDUP(INDEX(Upgrades!$C$3:$C$13,MATCH(Q1512,Upgrades!$B$3:$B$13,0))*1.15^(COUNTIF(Q$4:Q1511,Q1512)-COUNTIF(Q$4:Q1511,""Sell_""&amp;Q1512))))))"),"")</f>
        <v/>
      </c>
      <c r="V1512" s="10" t="str">
        <f t="shared" si="11"/>
        <v/>
      </c>
      <c r="W1512" s="68" t="str">
        <f t="shared" si="12"/>
        <v/>
      </c>
      <c r="X1512" s="59" t="str">
        <f t="shared" si="13"/>
        <v/>
      </c>
      <c r="Y1512" s="69" t="str">
        <f t="shared" si="14"/>
        <v/>
      </c>
      <c r="Z1512" s="11"/>
      <c r="AG1512" s="59"/>
    </row>
    <row r="1513">
      <c r="A1513" s="8"/>
      <c r="B1513" s="56" t="str">
        <f t="shared" si="2"/>
        <v/>
      </c>
      <c r="C1513" s="105"/>
      <c r="D1513" s="10"/>
      <c r="E1513" s="59" t="str">
        <f t="array" ref="E1513">IF(COUNTA(C1513:C1644)=0,"",SUM((COUNTIF(C$4:C1513,Upgrades!$B$3:$B$13)-COUNTIF(C$4:C1513,"Sell_"&amp;Upgrades!$B$3:$B$13))*Upgrades!$D$3:$D$13))</f>
        <v/>
      </c>
      <c r="F1513" s="66" t="str">
        <f>IFERROR(__xludf.DUMMYFUNCTION("IF(COUNTA(C1513:C1644)=0,"""",IF(REGEXMATCH(INDEX(FILTER(C$4:C1513,C$4:C1513&lt;&gt;""""),ROWS(FILTER(C$4:C1513,C$4:C1513&lt;&gt;""""))),""^Sell_""),INDEX(FILTER(F$4:F1512,C$4:C1512&lt;&gt;""""),ROWS(FILTER(C$4:C1512,C$4:C1512&lt;&gt;""""))),$AC$5+E1513))"),"")</f>
        <v/>
      </c>
      <c r="G1513" s="10" t="str">
        <f>IFERROR(__xludf.DUMMYFUNCTION("IF(COUNTA(C1513:C1644)=0,"""",IF(C1513="""",0,IF(REGEXMATCH(C1513,""^Sell_""),-ROUNDDOWN(ROUNDUP(INDEX(Upgrades!$C$3:$C$13,MATCH(SUBSTITUTE(C1513,""Sell_"",""""),Upgrades!$B$3:$B$13,0))*1.15^(COUNTIF(C$4:C1512,SUBSTITUTE(C1513,""Sell_"",""""))-COUNTIF(C$4"&amp;":C1512,""Sell_""&amp;SUBSTITUTE(C1513,""Sell_"",""""))))/2),ROUNDUP(INDEX(Upgrades!$C$3:$C$13,MATCH(C1513,Upgrades!$B$3:$B$13,0))*1.15^(COUNTIF(C$4:C1512,C1513)-COUNTIF(C$4:C1512,""Sell_""&amp;C1513))))))"),"")</f>
        <v/>
      </c>
      <c r="H1513" s="10" t="str">
        <f t="shared" si="3"/>
        <v/>
      </c>
      <c r="I1513" s="68" t="str">
        <f t="shared" si="4"/>
        <v/>
      </c>
      <c r="J1513" s="59" t="str">
        <f t="shared" si="5"/>
        <v/>
      </c>
      <c r="K1513" s="69" t="str">
        <f t="shared" si="6"/>
        <v/>
      </c>
      <c r="L1513" s="60" t="str">
        <f t="shared" si="7"/>
        <v/>
      </c>
      <c r="M1513" s="61" t="str">
        <f>IFERROR(__xludf.DUMMYFUNCTION("IFS(AND(COUNTA(C1513:C1644)=0,COUNTA(Q1513:Q1644)=0),"""",OR(AND(K1513&gt;=1000000000,OR(Y1513&gt;=1000000000,COUNTA(Q1513:Q1644)=0)),OR(Y1513&gt;=1000000000,AND(COUNTA(C1513:C1644)=0,P$3=TRUE))),
ROUNDDOWN((AB$1-AC$1)*MAX(INDEX(T$4:T1644,MATCH(LARGE(FILTER(Y$4:Y1"&amp;"644,Y$4:Y1644&lt;1000000000),1),Y$4:Y1644)),INDEX(F$4:F1644,MATCH(LARGE(FILTER(K$4:K1644,K$4:K1644&lt;1000000000),1),K$4:K1644)))),AND(K1513&lt;1000000000,COUNTA(C1513:C1644)&gt;0,P$3=FALSE),
ROUNDDOWN(INDEX(Y$4:Y1644,MATCH(LARGE(FILTER(W$4:W1644,W$4:W1644&lt;=I1513),1)"&amp;",W$4:W1644))+(I1513-LARGE(FILTER(W$4:W1644,W$4:W1644&lt;=I1513),1))*INDEX(T$4:T1644,MATCH(LARGE(FILTER(W$4:W1644,W$4:W1644&lt;=I1513),1),W$4:W1644))-K1513),1,
ROUNDDOWN(Y1513-INDEX(K$4:K1644,MATCH(LARGE(FILTER(I$4:I1644,I$4:I1644&lt;=W1513),1),I$4:I1644))-(W1513-L"&amp;"ARGE(FILTER(I$4:I1644,I$4:I1644&lt;=W1513),1))*INDEX(F$4:F1644,MATCH(LARGE(FILTER(I$4:I1644,I$4:I1644&lt;=W1513),1),I$4:I1644))))"),"")</f>
        <v/>
      </c>
      <c r="N1513" s="60" t="str">
        <f t="shared" si="8"/>
        <v/>
      </c>
      <c r="O1513" s="61" t="str">
        <f t="shared" si="9"/>
        <v/>
      </c>
      <c r="P1513" s="56" t="str">
        <f t="shared" si="10"/>
        <v/>
      </c>
      <c r="Q1513" s="105"/>
      <c r="R1513" s="10"/>
      <c r="S1513" s="59" t="str">
        <f t="array" ref="S1513">IF(COUNTA(Q1513:Q1644)=0,"",SUM((COUNTIF(Q$4:Q1513,Upgrades!$B$3:$B$13)-COUNTIF(Q$4:Q1513,"Sell_"&amp;Upgrades!$B$3:$B$13))*Upgrades!$D$3:$D$13))</f>
        <v/>
      </c>
      <c r="T1513" s="66" t="str">
        <f>IFERROR(__xludf.DUMMYFUNCTION("IF(COUNTA(Q1513:Q1644)=0,"""",IF(REGEXMATCH(INDEX(FILTER(Q$4:Q1513,Q$4:Q1513&lt;&gt;""""),ROWS(FILTER(Q$4:Q1513,Q$4:Q1513&lt;&gt;""""))),""^Sell_""),INDEX(FILTER(T$4:T1512,Q$4:Q1512&lt;&gt;""""),ROWS(FILTER(Q$4:Q1512,Q$4:Q1512&lt;&gt;""""))),$AD$5+S1513))"),"")</f>
        <v/>
      </c>
      <c r="U1513" s="10" t="str">
        <f>IFERROR(__xludf.DUMMYFUNCTION("IF(COUNTA(Q1513:Q1644)=0,"""",IF(Q1513="""",0,IF(REGEXMATCH(Q1513,""^Sell_""),-ROUNDDOWN(ROUNDUP(INDEX(Upgrades!$C$3:$C$13,MATCH(SUBSTITUTE(Q1513,""Sell_"",""""),Upgrades!$B$3:$B$13,0))*1.15^(COUNTIF(Q$4:Q1512,SUBSTITUTE(Q1513,""Sell_"",""""))-COUNTIF(Q$4"&amp;":Q1512,""Sell_""&amp;SUBSTITUTE(Q1513,""Sell_"",""""))))/2),ROUNDUP(INDEX(Upgrades!$C$3:$C$13,MATCH(Q1513,Upgrades!$B$3:$B$13,0))*1.15^(COUNTIF(Q$4:Q1512,Q1513)-COUNTIF(Q$4:Q1512,""Sell_""&amp;Q1513))))))"),"")</f>
        <v/>
      </c>
      <c r="V1513" s="10" t="str">
        <f t="shared" si="11"/>
        <v/>
      </c>
      <c r="W1513" s="68" t="str">
        <f t="shared" si="12"/>
        <v/>
      </c>
      <c r="X1513" s="59" t="str">
        <f t="shared" si="13"/>
        <v/>
      </c>
      <c r="Y1513" s="69" t="str">
        <f t="shared" si="14"/>
        <v/>
      </c>
      <c r="Z1513" s="11"/>
      <c r="AG1513" s="59"/>
    </row>
    <row r="1514">
      <c r="A1514" s="8"/>
      <c r="B1514" s="56" t="str">
        <f t="shared" si="2"/>
        <v/>
      </c>
      <c r="C1514" s="105"/>
      <c r="D1514" s="10"/>
      <c r="E1514" s="59" t="str">
        <f t="array" ref="E1514">IF(COUNTA(C1514:C1644)=0,"",SUM((COUNTIF(C$4:C1514,Upgrades!$B$3:$B$13)-COUNTIF(C$4:C1514,"Sell_"&amp;Upgrades!$B$3:$B$13))*Upgrades!$D$3:$D$13))</f>
        <v/>
      </c>
      <c r="F1514" s="66" t="str">
        <f>IFERROR(__xludf.DUMMYFUNCTION("IF(COUNTA(C1514:C1644)=0,"""",IF(REGEXMATCH(INDEX(FILTER(C$4:C1514,C$4:C1514&lt;&gt;""""),ROWS(FILTER(C$4:C1514,C$4:C1514&lt;&gt;""""))),""^Sell_""),INDEX(FILTER(F$4:F1513,C$4:C1513&lt;&gt;""""),ROWS(FILTER(C$4:C1513,C$4:C1513&lt;&gt;""""))),$AC$5+E1514))"),"")</f>
        <v/>
      </c>
      <c r="G1514" s="10" t="str">
        <f>IFERROR(__xludf.DUMMYFUNCTION("IF(COUNTA(C1514:C1644)=0,"""",IF(C1514="""",0,IF(REGEXMATCH(C1514,""^Sell_""),-ROUNDDOWN(ROUNDUP(INDEX(Upgrades!$C$3:$C$13,MATCH(SUBSTITUTE(C1514,""Sell_"",""""),Upgrades!$B$3:$B$13,0))*1.15^(COUNTIF(C$4:C1513,SUBSTITUTE(C1514,""Sell_"",""""))-COUNTIF(C$4"&amp;":C1513,""Sell_""&amp;SUBSTITUTE(C1514,""Sell_"",""""))))/2),ROUNDUP(INDEX(Upgrades!$C$3:$C$13,MATCH(C1514,Upgrades!$B$3:$B$13,0))*1.15^(COUNTIF(C$4:C1513,C1514)-COUNTIF(C$4:C1513,""Sell_""&amp;C1514))))))"),"")</f>
        <v/>
      </c>
      <c r="H1514" s="10" t="str">
        <f t="shared" si="3"/>
        <v/>
      </c>
      <c r="I1514" s="68" t="str">
        <f t="shared" si="4"/>
        <v/>
      </c>
      <c r="J1514" s="59" t="str">
        <f t="shared" si="5"/>
        <v/>
      </c>
      <c r="K1514" s="69" t="str">
        <f t="shared" si="6"/>
        <v/>
      </c>
      <c r="L1514" s="60" t="str">
        <f t="shared" si="7"/>
        <v/>
      </c>
      <c r="M1514" s="61" t="str">
        <f>IFERROR(__xludf.DUMMYFUNCTION("IFS(AND(COUNTA(C1514:C1644)=0,COUNTA(Q1514:Q1644)=0),"""",OR(AND(K1514&gt;=1000000000,OR(Y1514&gt;=1000000000,COUNTA(Q1514:Q1644)=0)),OR(Y1514&gt;=1000000000,AND(COUNTA(C1514:C1644)=0,P$3=TRUE))),
ROUNDDOWN((AB$1-AC$1)*MAX(INDEX(T$4:T1644,MATCH(LARGE(FILTER(Y$4:Y1"&amp;"644,Y$4:Y1644&lt;1000000000),1),Y$4:Y1644)),INDEX(F$4:F1644,MATCH(LARGE(FILTER(K$4:K1644,K$4:K1644&lt;1000000000),1),K$4:K1644)))),AND(K1514&lt;1000000000,COUNTA(C1514:C1644)&gt;0,P$3=FALSE),
ROUNDDOWN(INDEX(Y$4:Y1644,MATCH(LARGE(FILTER(W$4:W1644,W$4:W1644&lt;=I1514),1)"&amp;",W$4:W1644))+(I1514-LARGE(FILTER(W$4:W1644,W$4:W1644&lt;=I1514),1))*INDEX(T$4:T1644,MATCH(LARGE(FILTER(W$4:W1644,W$4:W1644&lt;=I1514),1),W$4:W1644))-K1514),1,
ROUNDDOWN(Y1514-INDEX(K$4:K1644,MATCH(LARGE(FILTER(I$4:I1644,I$4:I1644&lt;=W1514),1),I$4:I1644))-(W1514-L"&amp;"ARGE(FILTER(I$4:I1644,I$4:I1644&lt;=W1514),1))*INDEX(F$4:F1644,MATCH(LARGE(FILTER(I$4:I1644,I$4:I1644&lt;=W1514),1),I$4:I1644))))"),"")</f>
        <v/>
      </c>
      <c r="N1514" s="60" t="str">
        <f t="shared" si="8"/>
        <v/>
      </c>
      <c r="O1514" s="61" t="str">
        <f t="shared" si="9"/>
        <v/>
      </c>
      <c r="P1514" s="56" t="str">
        <f t="shared" si="10"/>
        <v/>
      </c>
      <c r="Q1514" s="105"/>
      <c r="R1514" s="10"/>
      <c r="S1514" s="59" t="str">
        <f t="array" ref="S1514">IF(COUNTA(Q1514:Q1644)=0,"",SUM((COUNTIF(Q$4:Q1514,Upgrades!$B$3:$B$13)-COUNTIF(Q$4:Q1514,"Sell_"&amp;Upgrades!$B$3:$B$13))*Upgrades!$D$3:$D$13))</f>
        <v/>
      </c>
      <c r="T1514" s="66" t="str">
        <f>IFERROR(__xludf.DUMMYFUNCTION("IF(COUNTA(Q1514:Q1644)=0,"""",IF(REGEXMATCH(INDEX(FILTER(Q$4:Q1514,Q$4:Q1514&lt;&gt;""""),ROWS(FILTER(Q$4:Q1514,Q$4:Q1514&lt;&gt;""""))),""^Sell_""),INDEX(FILTER(T$4:T1513,Q$4:Q1513&lt;&gt;""""),ROWS(FILTER(Q$4:Q1513,Q$4:Q1513&lt;&gt;""""))),$AD$5+S1514))"),"")</f>
        <v/>
      </c>
      <c r="U1514" s="10" t="str">
        <f>IFERROR(__xludf.DUMMYFUNCTION("IF(COUNTA(Q1514:Q1644)=0,"""",IF(Q1514="""",0,IF(REGEXMATCH(Q1514,""^Sell_""),-ROUNDDOWN(ROUNDUP(INDEX(Upgrades!$C$3:$C$13,MATCH(SUBSTITUTE(Q1514,""Sell_"",""""),Upgrades!$B$3:$B$13,0))*1.15^(COUNTIF(Q$4:Q1513,SUBSTITUTE(Q1514,""Sell_"",""""))-COUNTIF(Q$4"&amp;":Q1513,""Sell_""&amp;SUBSTITUTE(Q1514,""Sell_"",""""))))/2),ROUNDUP(INDEX(Upgrades!$C$3:$C$13,MATCH(Q1514,Upgrades!$B$3:$B$13,0))*1.15^(COUNTIF(Q$4:Q1513,Q1514)-COUNTIF(Q$4:Q1513,""Sell_""&amp;Q1514))))))"),"")</f>
        <v/>
      </c>
      <c r="V1514" s="10" t="str">
        <f t="shared" si="11"/>
        <v/>
      </c>
      <c r="W1514" s="68" t="str">
        <f t="shared" si="12"/>
        <v/>
      </c>
      <c r="X1514" s="59" t="str">
        <f t="shared" si="13"/>
        <v/>
      </c>
      <c r="Y1514" s="69" t="str">
        <f t="shared" si="14"/>
        <v/>
      </c>
      <c r="Z1514" s="11"/>
      <c r="AG1514" s="59"/>
    </row>
    <row r="1515">
      <c r="A1515" s="8"/>
      <c r="B1515" s="56" t="str">
        <f t="shared" si="2"/>
        <v/>
      </c>
      <c r="C1515" s="105"/>
      <c r="D1515" s="10"/>
      <c r="E1515" s="59" t="str">
        <f t="array" ref="E1515">IF(COUNTA(C1515:C1644)=0,"",SUM((COUNTIF(C$4:C1515,Upgrades!$B$3:$B$13)-COUNTIF(C$4:C1515,"Sell_"&amp;Upgrades!$B$3:$B$13))*Upgrades!$D$3:$D$13))</f>
        <v/>
      </c>
      <c r="F1515" s="66" t="str">
        <f>IFERROR(__xludf.DUMMYFUNCTION("IF(COUNTA(C1515:C1644)=0,"""",IF(REGEXMATCH(INDEX(FILTER(C$4:C1515,C$4:C1515&lt;&gt;""""),ROWS(FILTER(C$4:C1515,C$4:C1515&lt;&gt;""""))),""^Sell_""),INDEX(FILTER(F$4:F1514,C$4:C1514&lt;&gt;""""),ROWS(FILTER(C$4:C1514,C$4:C1514&lt;&gt;""""))),$AC$5+E1515))"),"")</f>
        <v/>
      </c>
      <c r="G1515" s="10" t="str">
        <f>IFERROR(__xludf.DUMMYFUNCTION("IF(COUNTA(C1515:C1644)=0,"""",IF(C1515="""",0,IF(REGEXMATCH(C1515,""^Sell_""),-ROUNDDOWN(ROUNDUP(INDEX(Upgrades!$C$3:$C$13,MATCH(SUBSTITUTE(C1515,""Sell_"",""""),Upgrades!$B$3:$B$13,0))*1.15^(COUNTIF(C$4:C1514,SUBSTITUTE(C1515,""Sell_"",""""))-COUNTIF(C$4"&amp;":C1514,""Sell_""&amp;SUBSTITUTE(C1515,""Sell_"",""""))))/2),ROUNDUP(INDEX(Upgrades!$C$3:$C$13,MATCH(C1515,Upgrades!$B$3:$B$13,0))*1.15^(COUNTIF(C$4:C1514,C1515)-COUNTIF(C$4:C1514,""Sell_""&amp;C1515))))))"),"")</f>
        <v/>
      </c>
      <c r="H1515" s="10" t="str">
        <f t="shared" si="3"/>
        <v/>
      </c>
      <c r="I1515" s="68" t="str">
        <f t="shared" si="4"/>
        <v/>
      </c>
      <c r="J1515" s="59" t="str">
        <f t="shared" si="5"/>
        <v/>
      </c>
      <c r="K1515" s="69" t="str">
        <f t="shared" si="6"/>
        <v/>
      </c>
      <c r="L1515" s="60" t="str">
        <f t="shared" si="7"/>
        <v/>
      </c>
      <c r="M1515" s="61" t="str">
        <f>IFERROR(__xludf.DUMMYFUNCTION("IFS(AND(COUNTA(C1515:C1644)=0,COUNTA(Q1515:Q1644)=0),"""",OR(AND(K1515&gt;=1000000000,OR(Y1515&gt;=1000000000,COUNTA(Q1515:Q1644)=0)),OR(Y1515&gt;=1000000000,AND(COUNTA(C1515:C1644)=0,P$3=TRUE))),
ROUNDDOWN((AB$1-AC$1)*MAX(INDEX(T$4:T1644,MATCH(LARGE(FILTER(Y$4:Y1"&amp;"644,Y$4:Y1644&lt;1000000000),1),Y$4:Y1644)),INDEX(F$4:F1644,MATCH(LARGE(FILTER(K$4:K1644,K$4:K1644&lt;1000000000),1),K$4:K1644)))),AND(K1515&lt;1000000000,COUNTA(C1515:C1644)&gt;0,P$3=FALSE),
ROUNDDOWN(INDEX(Y$4:Y1644,MATCH(LARGE(FILTER(W$4:W1644,W$4:W1644&lt;=I1515),1)"&amp;",W$4:W1644))+(I1515-LARGE(FILTER(W$4:W1644,W$4:W1644&lt;=I1515),1))*INDEX(T$4:T1644,MATCH(LARGE(FILTER(W$4:W1644,W$4:W1644&lt;=I1515),1),W$4:W1644))-K1515),1,
ROUNDDOWN(Y1515-INDEX(K$4:K1644,MATCH(LARGE(FILTER(I$4:I1644,I$4:I1644&lt;=W1515),1),I$4:I1644))-(W1515-L"&amp;"ARGE(FILTER(I$4:I1644,I$4:I1644&lt;=W1515),1))*INDEX(F$4:F1644,MATCH(LARGE(FILTER(I$4:I1644,I$4:I1644&lt;=W1515),1),I$4:I1644))))"),"")</f>
        <v/>
      </c>
      <c r="N1515" s="60" t="str">
        <f t="shared" si="8"/>
        <v/>
      </c>
      <c r="O1515" s="61" t="str">
        <f t="shared" si="9"/>
        <v/>
      </c>
      <c r="P1515" s="56" t="str">
        <f t="shared" si="10"/>
        <v/>
      </c>
      <c r="Q1515" s="105"/>
      <c r="R1515" s="10"/>
      <c r="S1515" s="59" t="str">
        <f t="array" ref="S1515">IF(COUNTA(Q1515:Q1644)=0,"",SUM((COUNTIF(Q$4:Q1515,Upgrades!$B$3:$B$13)-COUNTIF(Q$4:Q1515,"Sell_"&amp;Upgrades!$B$3:$B$13))*Upgrades!$D$3:$D$13))</f>
        <v/>
      </c>
      <c r="T1515" s="66" t="str">
        <f>IFERROR(__xludf.DUMMYFUNCTION("IF(COUNTA(Q1515:Q1644)=0,"""",IF(REGEXMATCH(INDEX(FILTER(Q$4:Q1515,Q$4:Q1515&lt;&gt;""""),ROWS(FILTER(Q$4:Q1515,Q$4:Q1515&lt;&gt;""""))),""^Sell_""),INDEX(FILTER(T$4:T1514,Q$4:Q1514&lt;&gt;""""),ROWS(FILTER(Q$4:Q1514,Q$4:Q1514&lt;&gt;""""))),$AD$5+S1515))"),"")</f>
        <v/>
      </c>
      <c r="U1515" s="10" t="str">
        <f>IFERROR(__xludf.DUMMYFUNCTION("IF(COUNTA(Q1515:Q1644)=0,"""",IF(Q1515="""",0,IF(REGEXMATCH(Q1515,""^Sell_""),-ROUNDDOWN(ROUNDUP(INDEX(Upgrades!$C$3:$C$13,MATCH(SUBSTITUTE(Q1515,""Sell_"",""""),Upgrades!$B$3:$B$13,0))*1.15^(COUNTIF(Q$4:Q1514,SUBSTITUTE(Q1515,""Sell_"",""""))-COUNTIF(Q$4"&amp;":Q1514,""Sell_""&amp;SUBSTITUTE(Q1515,""Sell_"",""""))))/2),ROUNDUP(INDEX(Upgrades!$C$3:$C$13,MATCH(Q1515,Upgrades!$B$3:$B$13,0))*1.15^(COUNTIF(Q$4:Q1514,Q1515)-COUNTIF(Q$4:Q1514,""Sell_""&amp;Q1515))))))"),"")</f>
        <v/>
      </c>
      <c r="V1515" s="10" t="str">
        <f t="shared" si="11"/>
        <v/>
      </c>
      <c r="W1515" s="68" t="str">
        <f t="shared" si="12"/>
        <v/>
      </c>
      <c r="X1515" s="59" t="str">
        <f t="shared" si="13"/>
        <v/>
      </c>
      <c r="Y1515" s="69" t="str">
        <f t="shared" si="14"/>
        <v/>
      </c>
      <c r="Z1515" s="11"/>
      <c r="AG1515" s="59"/>
    </row>
    <row r="1516">
      <c r="A1516" s="8"/>
      <c r="B1516" s="56" t="str">
        <f t="shared" si="2"/>
        <v/>
      </c>
      <c r="C1516" s="105"/>
      <c r="D1516" s="10"/>
      <c r="E1516" s="59" t="str">
        <f t="array" ref="E1516">IF(COUNTA(C1516:C1644)=0,"",SUM((COUNTIF(C$4:C1516,Upgrades!$B$3:$B$13)-COUNTIF(C$4:C1516,"Sell_"&amp;Upgrades!$B$3:$B$13))*Upgrades!$D$3:$D$13))</f>
        <v/>
      </c>
      <c r="F1516" s="66" t="str">
        <f>IFERROR(__xludf.DUMMYFUNCTION("IF(COUNTA(C1516:C1644)=0,"""",IF(REGEXMATCH(INDEX(FILTER(C$4:C1516,C$4:C1516&lt;&gt;""""),ROWS(FILTER(C$4:C1516,C$4:C1516&lt;&gt;""""))),""^Sell_""),INDEX(FILTER(F$4:F1515,C$4:C1515&lt;&gt;""""),ROWS(FILTER(C$4:C1515,C$4:C1515&lt;&gt;""""))),$AC$5+E1516))"),"")</f>
        <v/>
      </c>
      <c r="G1516" s="10" t="str">
        <f>IFERROR(__xludf.DUMMYFUNCTION("IF(COUNTA(C1516:C1644)=0,"""",IF(C1516="""",0,IF(REGEXMATCH(C1516,""^Sell_""),-ROUNDDOWN(ROUNDUP(INDEX(Upgrades!$C$3:$C$13,MATCH(SUBSTITUTE(C1516,""Sell_"",""""),Upgrades!$B$3:$B$13,0))*1.15^(COUNTIF(C$4:C1515,SUBSTITUTE(C1516,""Sell_"",""""))-COUNTIF(C$4"&amp;":C1515,""Sell_""&amp;SUBSTITUTE(C1516,""Sell_"",""""))))/2),ROUNDUP(INDEX(Upgrades!$C$3:$C$13,MATCH(C1516,Upgrades!$B$3:$B$13,0))*1.15^(COUNTIF(C$4:C1515,C1516)-COUNTIF(C$4:C1515,""Sell_""&amp;C1516))))))"),"")</f>
        <v/>
      </c>
      <c r="H1516" s="10" t="str">
        <f t="shared" si="3"/>
        <v/>
      </c>
      <c r="I1516" s="68" t="str">
        <f t="shared" si="4"/>
        <v/>
      </c>
      <c r="J1516" s="59" t="str">
        <f t="shared" si="5"/>
        <v/>
      </c>
      <c r="K1516" s="69" t="str">
        <f t="shared" si="6"/>
        <v/>
      </c>
      <c r="L1516" s="60" t="str">
        <f t="shared" si="7"/>
        <v/>
      </c>
      <c r="M1516" s="61" t="str">
        <f>IFERROR(__xludf.DUMMYFUNCTION("IFS(AND(COUNTA(C1516:C1644)=0,COUNTA(Q1516:Q1644)=0),"""",OR(AND(K1516&gt;=1000000000,OR(Y1516&gt;=1000000000,COUNTA(Q1516:Q1644)=0)),OR(Y1516&gt;=1000000000,AND(COUNTA(C1516:C1644)=0,P$3=TRUE))),
ROUNDDOWN((AB$1-AC$1)*MAX(INDEX(T$4:T1644,MATCH(LARGE(FILTER(Y$4:Y1"&amp;"644,Y$4:Y1644&lt;1000000000),1),Y$4:Y1644)),INDEX(F$4:F1644,MATCH(LARGE(FILTER(K$4:K1644,K$4:K1644&lt;1000000000),1),K$4:K1644)))),AND(K1516&lt;1000000000,COUNTA(C1516:C1644)&gt;0,P$3=FALSE),
ROUNDDOWN(INDEX(Y$4:Y1644,MATCH(LARGE(FILTER(W$4:W1644,W$4:W1644&lt;=I1516),1)"&amp;",W$4:W1644))+(I1516-LARGE(FILTER(W$4:W1644,W$4:W1644&lt;=I1516),1))*INDEX(T$4:T1644,MATCH(LARGE(FILTER(W$4:W1644,W$4:W1644&lt;=I1516),1),W$4:W1644))-K1516),1,
ROUNDDOWN(Y1516-INDEX(K$4:K1644,MATCH(LARGE(FILTER(I$4:I1644,I$4:I1644&lt;=W1516),1),I$4:I1644))-(W1516-L"&amp;"ARGE(FILTER(I$4:I1644,I$4:I1644&lt;=W1516),1))*INDEX(F$4:F1644,MATCH(LARGE(FILTER(I$4:I1644,I$4:I1644&lt;=W1516),1),I$4:I1644))))"),"")</f>
        <v/>
      </c>
      <c r="N1516" s="60" t="str">
        <f t="shared" si="8"/>
        <v/>
      </c>
      <c r="O1516" s="61" t="str">
        <f t="shared" si="9"/>
        <v/>
      </c>
      <c r="P1516" s="56" t="str">
        <f t="shared" si="10"/>
        <v/>
      </c>
      <c r="Q1516" s="105"/>
      <c r="R1516" s="10"/>
      <c r="S1516" s="59" t="str">
        <f t="array" ref="S1516">IF(COUNTA(Q1516:Q1644)=0,"",SUM((COUNTIF(Q$4:Q1516,Upgrades!$B$3:$B$13)-COUNTIF(Q$4:Q1516,"Sell_"&amp;Upgrades!$B$3:$B$13))*Upgrades!$D$3:$D$13))</f>
        <v/>
      </c>
      <c r="T1516" s="66" t="str">
        <f>IFERROR(__xludf.DUMMYFUNCTION("IF(COUNTA(Q1516:Q1644)=0,"""",IF(REGEXMATCH(INDEX(FILTER(Q$4:Q1516,Q$4:Q1516&lt;&gt;""""),ROWS(FILTER(Q$4:Q1516,Q$4:Q1516&lt;&gt;""""))),""^Sell_""),INDEX(FILTER(T$4:T1515,Q$4:Q1515&lt;&gt;""""),ROWS(FILTER(Q$4:Q1515,Q$4:Q1515&lt;&gt;""""))),$AD$5+S1516))"),"")</f>
        <v/>
      </c>
      <c r="U1516" s="10" t="str">
        <f>IFERROR(__xludf.DUMMYFUNCTION("IF(COUNTA(Q1516:Q1644)=0,"""",IF(Q1516="""",0,IF(REGEXMATCH(Q1516,""^Sell_""),-ROUNDDOWN(ROUNDUP(INDEX(Upgrades!$C$3:$C$13,MATCH(SUBSTITUTE(Q1516,""Sell_"",""""),Upgrades!$B$3:$B$13,0))*1.15^(COUNTIF(Q$4:Q1515,SUBSTITUTE(Q1516,""Sell_"",""""))-COUNTIF(Q$4"&amp;":Q1515,""Sell_""&amp;SUBSTITUTE(Q1516,""Sell_"",""""))))/2),ROUNDUP(INDEX(Upgrades!$C$3:$C$13,MATCH(Q1516,Upgrades!$B$3:$B$13,0))*1.15^(COUNTIF(Q$4:Q1515,Q1516)-COUNTIF(Q$4:Q1515,""Sell_""&amp;Q1516))))))"),"")</f>
        <v/>
      </c>
      <c r="V1516" s="10" t="str">
        <f t="shared" si="11"/>
        <v/>
      </c>
      <c r="W1516" s="68" t="str">
        <f t="shared" si="12"/>
        <v/>
      </c>
      <c r="X1516" s="59" t="str">
        <f t="shared" si="13"/>
        <v/>
      </c>
      <c r="Y1516" s="69" t="str">
        <f t="shared" si="14"/>
        <v/>
      </c>
      <c r="Z1516" s="11"/>
      <c r="AG1516" s="59"/>
    </row>
    <row r="1517">
      <c r="A1517" s="8"/>
      <c r="B1517" s="56" t="str">
        <f t="shared" si="2"/>
        <v/>
      </c>
      <c r="C1517" s="105"/>
      <c r="D1517" s="10"/>
      <c r="E1517" s="59" t="str">
        <f t="array" ref="E1517">IF(COUNTA(C1517:C1644)=0,"",SUM((COUNTIF(C$4:C1517,Upgrades!$B$3:$B$13)-COUNTIF(C$4:C1517,"Sell_"&amp;Upgrades!$B$3:$B$13))*Upgrades!$D$3:$D$13))</f>
        <v/>
      </c>
      <c r="F1517" s="66" t="str">
        <f>IFERROR(__xludf.DUMMYFUNCTION("IF(COUNTA(C1517:C1644)=0,"""",IF(REGEXMATCH(INDEX(FILTER(C$4:C1517,C$4:C1517&lt;&gt;""""),ROWS(FILTER(C$4:C1517,C$4:C1517&lt;&gt;""""))),""^Sell_""),INDEX(FILTER(F$4:F1516,C$4:C1516&lt;&gt;""""),ROWS(FILTER(C$4:C1516,C$4:C1516&lt;&gt;""""))),$AC$5+E1517))"),"")</f>
        <v/>
      </c>
      <c r="G1517" s="10" t="str">
        <f>IFERROR(__xludf.DUMMYFUNCTION("IF(COUNTA(C1517:C1644)=0,"""",IF(C1517="""",0,IF(REGEXMATCH(C1517,""^Sell_""),-ROUNDDOWN(ROUNDUP(INDEX(Upgrades!$C$3:$C$13,MATCH(SUBSTITUTE(C1517,""Sell_"",""""),Upgrades!$B$3:$B$13,0))*1.15^(COUNTIF(C$4:C1516,SUBSTITUTE(C1517,""Sell_"",""""))-COUNTIF(C$4"&amp;":C1516,""Sell_""&amp;SUBSTITUTE(C1517,""Sell_"",""""))))/2),ROUNDUP(INDEX(Upgrades!$C$3:$C$13,MATCH(C1517,Upgrades!$B$3:$B$13,0))*1.15^(COUNTIF(C$4:C1516,C1517)-COUNTIF(C$4:C1516,""Sell_""&amp;C1517))))))"),"")</f>
        <v/>
      </c>
      <c r="H1517" s="10" t="str">
        <f t="shared" si="3"/>
        <v/>
      </c>
      <c r="I1517" s="68" t="str">
        <f t="shared" si="4"/>
        <v/>
      </c>
      <c r="J1517" s="59" t="str">
        <f t="shared" si="5"/>
        <v/>
      </c>
      <c r="K1517" s="69" t="str">
        <f t="shared" si="6"/>
        <v/>
      </c>
      <c r="L1517" s="60" t="str">
        <f t="shared" si="7"/>
        <v/>
      </c>
      <c r="M1517" s="61" t="str">
        <f>IFERROR(__xludf.DUMMYFUNCTION("IFS(AND(COUNTA(C1517:C1644)=0,COUNTA(Q1517:Q1644)=0),"""",OR(AND(K1517&gt;=1000000000,OR(Y1517&gt;=1000000000,COUNTA(Q1517:Q1644)=0)),OR(Y1517&gt;=1000000000,AND(COUNTA(C1517:C1644)=0,P$3=TRUE))),
ROUNDDOWN((AB$1-AC$1)*MAX(INDEX(T$4:T1644,MATCH(LARGE(FILTER(Y$4:Y1"&amp;"644,Y$4:Y1644&lt;1000000000),1),Y$4:Y1644)),INDEX(F$4:F1644,MATCH(LARGE(FILTER(K$4:K1644,K$4:K1644&lt;1000000000),1),K$4:K1644)))),AND(K1517&lt;1000000000,COUNTA(C1517:C1644)&gt;0,P$3=FALSE),
ROUNDDOWN(INDEX(Y$4:Y1644,MATCH(LARGE(FILTER(W$4:W1644,W$4:W1644&lt;=I1517),1)"&amp;",W$4:W1644))+(I1517-LARGE(FILTER(W$4:W1644,W$4:W1644&lt;=I1517),1))*INDEX(T$4:T1644,MATCH(LARGE(FILTER(W$4:W1644,W$4:W1644&lt;=I1517),1),W$4:W1644))-K1517),1,
ROUNDDOWN(Y1517-INDEX(K$4:K1644,MATCH(LARGE(FILTER(I$4:I1644,I$4:I1644&lt;=W1517),1),I$4:I1644))-(W1517-L"&amp;"ARGE(FILTER(I$4:I1644,I$4:I1644&lt;=W1517),1))*INDEX(F$4:F1644,MATCH(LARGE(FILTER(I$4:I1644,I$4:I1644&lt;=W1517),1),I$4:I1644))))"),"")</f>
        <v/>
      </c>
      <c r="N1517" s="60" t="str">
        <f t="shared" si="8"/>
        <v/>
      </c>
      <c r="O1517" s="61" t="str">
        <f t="shared" si="9"/>
        <v/>
      </c>
      <c r="P1517" s="56" t="str">
        <f t="shared" si="10"/>
        <v/>
      </c>
      <c r="Q1517" s="105"/>
      <c r="R1517" s="10"/>
      <c r="S1517" s="59" t="str">
        <f t="array" ref="S1517">IF(COUNTA(Q1517:Q1644)=0,"",SUM((COUNTIF(Q$4:Q1517,Upgrades!$B$3:$B$13)-COUNTIF(Q$4:Q1517,"Sell_"&amp;Upgrades!$B$3:$B$13))*Upgrades!$D$3:$D$13))</f>
        <v/>
      </c>
      <c r="T1517" s="66" t="str">
        <f>IFERROR(__xludf.DUMMYFUNCTION("IF(COUNTA(Q1517:Q1644)=0,"""",IF(REGEXMATCH(INDEX(FILTER(Q$4:Q1517,Q$4:Q1517&lt;&gt;""""),ROWS(FILTER(Q$4:Q1517,Q$4:Q1517&lt;&gt;""""))),""^Sell_""),INDEX(FILTER(T$4:T1516,Q$4:Q1516&lt;&gt;""""),ROWS(FILTER(Q$4:Q1516,Q$4:Q1516&lt;&gt;""""))),$AD$5+S1517))"),"")</f>
        <v/>
      </c>
      <c r="U1517" s="10" t="str">
        <f>IFERROR(__xludf.DUMMYFUNCTION("IF(COUNTA(Q1517:Q1644)=0,"""",IF(Q1517="""",0,IF(REGEXMATCH(Q1517,""^Sell_""),-ROUNDDOWN(ROUNDUP(INDEX(Upgrades!$C$3:$C$13,MATCH(SUBSTITUTE(Q1517,""Sell_"",""""),Upgrades!$B$3:$B$13,0))*1.15^(COUNTIF(Q$4:Q1516,SUBSTITUTE(Q1517,""Sell_"",""""))-COUNTIF(Q$4"&amp;":Q1516,""Sell_""&amp;SUBSTITUTE(Q1517,""Sell_"",""""))))/2),ROUNDUP(INDEX(Upgrades!$C$3:$C$13,MATCH(Q1517,Upgrades!$B$3:$B$13,0))*1.15^(COUNTIF(Q$4:Q1516,Q1517)-COUNTIF(Q$4:Q1516,""Sell_""&amp;Q1517))))))"),"")</f>
        <v/>
      </c>
      <c r="V1517" s="10" t="str">
        <f t="shared" si="11"/>
        <v/>
      </c>
      <c r="W1517" s="68" t="str">
        <f t="shared" si="12"/>
        <v/>
      </c>
      <c r="X1517" s="59" t="str">
        <f t="shared" si="13"/>
        <v/>
      </c>
      <c r="Y1517" s="69" t="str">
        <f t="shared" si="14"/>
        <v/>
      </c>
      <c r="Z1517" s="11"/>
      <c r="AG1517" s="59"/>
    </row>
    <row r="1518">
      <c r="A1518" s="8"/>
      <c r="B1518" s="56" t="str">
        <f t="shared" si="2"/>
        <v/>
      </c>
      <c r="C1518" s="105"/>
      <c r="D1518" s="10"/>
      <c r="E1518" s="59" t="str">
        <f t="array" ref="E1518">IF(COUNTA(C1518:C1644)=0,"",SUM((COUNTIF(C$4:C1518,Upgrades!$B$3:$B$13)-COUNTIF(C$4:C1518,"Sell_"&amp;Upgrades!$B$3:$B$13))*Upgrades!$D$3:$D$13))</f>
        <v/>
      </c>
      <c r="F1518" s="66" t="str">
        <f>IFERROR(__xludf.DUMMYFUNCTION("IF(COUNTA(C1518:C1644)=0,"""",IF(REGEXMATCH(INDEX(FILTER(C$4:C1518,C$4:C1518&lt;&gt;""""),ROWS(FILTER(C$4:C1518,C$4:C1518&lt;&gt;""""))),""^Sell_""),INDEX(FILTER(F$4:F1517,C$4:C1517&lt;&gt;""""),ROWS(FILTER(C$4:C1517,C$4:C1517&lt;&gt;""""))),$AC$5+E1518))"),"")</f>
        <v/>
      </c>
      <c r="G1518" s="10" t="str">
        <f>IFERROR(__xludf.DUMMYFUNCTION("IF(COUNTA(C1518:C1644)=0,"""",IF(C1518="""",0,IF(REGEXMATCH(C1518,""^Sell_""),-ROUNDDOWN(ROUNDUP(INDEX(Upgrades!$C$3:$C$13,MATCH(SUBSTITUTE(C1518,""Sell_"",""""),Upgrades!$B$3:$B$13,0))*1.15^(COUNTIF(C$4:C1517,SUBSTITUTE(C1518,""Sell_"",""""))-COUNTIF(C$4"&amp;":C1517,""Sell_""&amp;SUBSTITUTE(C1518,""Sell_"",""""))))/2),ROUNDUP(INDEX(Upgrades!$C$3:$C$13,MATCH(C1518,Upgrades!$B$3:$B$13,0))*1.15^(COUNTIF(C$4:C1517,C1518)-COUNTIF(C$4:C1517,""Sell_""&amp;C1518))))))"),"")</f>
        <v/>
      </c>
      <c r="H1518" s="10" t="str">
        <f t="shared" si="3"/>
        <v/>
      </c>
      <c r="I1518" s="68" t="str">
        <f t="shared" si="4"/>
        <v/>
      </c>
      <c r="J1518" s="59" t="str">
        <f t="shared" si="5"/>
        <v/>
      </c>
      <c r="K1518" s="69" t="str">
        <f t="shared" si="6"/>
        <v/>
      </c>
      <c r="L1518" s="60" t="str">
        <f t="shared" si="7"/>
        <v/>
      </c>
      <c r="M1518" s="61" t="str">
        <f>IFERROR(__xludf.DUMMYFUNCTION("IFS(AND(COUNTA(C1518:C1644)=0,COUNTA(Q1518:Q1644)=0),"""",OR(AND(K1518&gt;=1000000000,OR(Y1518&gt;=1000000000,COUNTA(Q1518:Q1644)=0)),OR(Y1518&gt;=1000000000,AND(COUNTA(C1518:C1644)=0,P$3=TRUE))),
ROUNDDOWN((AB$1-AC$1)*MAX(INDEX(T$4:T1644,MATCH(LARGE(FILTER(Y$4:Y1"&amp;"644,Y$4:Y1644&lt;1000000000),1),Y$4:Y1644)),INDEX(F$4:F1644,MATCH(LARGE(FILTER(K$4:K1644,K$4:K1644&lt;1000000000),1),K$4:K1644)))),AND(K1518&lt;1000000000,COUNTA(C1518:C1644)&gt;0,P$3=FALSE),
ROUNDDOWN(INDEX(Y$4:Y1644,MATCH(LARGE(FILTER(W$4:W1644,W$4:W1644&lt;=I1518),1)"&amp;",W$4:W1644))+(I1518-LARGE(FILTER(W$4:W1644,W$4:W1644&lt;=I1518),1))*INDEX(T$4:T1644,MATCH(LARGE(FILTER(W$4:W1644,W$4:W1644&lt;=I1518),1),W$4:W1644))-K1518),1,
ROUNDDOWN(Y1518-INDEX(K$4:K1644,MATCH(LARGE(FILTER(I$4:I1644,I$4:I1644&lt;=W1518),1),I$4:I1644))-(W1518-L"&amp;"ARGE(FILTER(I$4:I1644,I$4:I1644&lt;=W1518),1))*INDEX(F$4:F1644,MATCH(LARGE(FILTER(I$4:I1644,I$4:I1644&lt;=W1518),1),I$4:I1644))))"),"")</f>
        <v/>
      </c>
      <c r="N1518" s="60" t="str">
        <f t="shared" si="8"/>
        <v/>
      </c>
      <c r="O1518" s="61" t="str">
        <f t="shared" si="9"/>
        <v/>
      </c>
      <c r="P1518" s="56" t="str">
        <f t="shared" si="10"/>
        <v/>
      </c>
      <c r="Q1518" s="105"/>
      <c r="R1518" s="10"/>
      <c r="S1518" s="59" t="str">
        <f t="array" ref="S1518">IF(COUNTA(Q1518:Q1644)=0,"",SUM((COUNTIF(Q$4:Q1518,Upgrades!$B$3:$B$13)-COUNTIF(Q$4:Q1518,"Sell_"&amp;Upgrades!$B$3:$B$13))*Upgrades!$D$3:$D$13))</f>
        <v/>
      </c>
      <c r="T1518" s="66" t="str">
        <f>IFERROR(__xludf.DUMMYFUNCTION("IF(COUNTA(Q1518:Q1644)=0,"""",IF(REGEXMATCH(INDEX(FILTER(Q$4:Q1518,Q$4:Q1518&lt;&gt;""""),ROWS(FILTER(Q$4:Q1518,Q$4:Q1518&lt;&gt;""""))),""^Sell_""),INDEX(FILTER(T$4:T1517,Q$4:Q1517&lt;&gt;""""),ROWS(FILTER(Q$4:Q1517,Q$4:Q1517&lt;&gt;""""))),$AD$5+S1518))"),"")</f>
        <v/>
      </c>
      <c r="U1518" s="10" t="str">
        <f>IFERROR(__xludf.DUMMYFUNCTION("IF(COUNTA(Q1518:Q1644)=0,"""",IF(Q1518="""",0,IF(REGEXMATCH(Q1518,""^Sell_""),-ROUNDDOWN(ROUNDUP(INDEX(Upgrades!$C$3:$C$13,MATCH(SUBSTITUTE(Q1518,""Sell_"",""""),Upgrades!$B$3:$B$13,0))*1.15^(COUNTIF(Q$4:Q1517,SUBSTITUTE(Q1518,""Sell_"",""""))-COUNTIF(Q$4"&amp;":Q1517,""Sell_""&amp;SUBSTITUTE(Q1518,""Sell_"",""""))))/2),ROUNDUP(INDEX(Upgrades!$C$3:$C$13,MATCH(Q1518,Upgrades!$B$3:$B$13,0))*1.15^(COUNTIF(Q$4:Q1517,Q1518)-COUNTIF(Q$4:Q1517,""Sell_""&amp;Q1518))))))"),"")</f>
        <v/>
      </c>
      <c r="V1518" s="10" t="str">
        <f t="shared" si="11"/>
        <v/>
      </c>
      <c r="W1518" s="68" t="str">
        <f t="shared" si="12"/>
        <v/>
      </c>
      <c r="X1518" s="59" t="str">
        <f t="shared" si="13"/>
        <v/>
      </c>
      <c r="Y1518" s="69" t="str">
        <f t="shared" si="14"/>
        <v/>
      </c>
      <c r="Z1518" s="11"/>
      <c r="AG1518" s="59"/>
    </row>
    <row r="1519">
      <c r="A1519" s="8"/>
      <c r="B1519" s="56" t="str">
        <f t="shared" si="2"/>
        <v/>
      </c>
      <c r="C1519" s="105"/>
      <c r="D1519" s="10"/>
      <c r="E1519" s="59" t="str">
        <f t="array" ref="E1519">IF(COUNTA(C1519:C1644)=0,"",SUM((COUNTIF(C$4:C1519,Upgrades!$B$3:$B$13)-COUNTIF(C$4:C1519,"Sell_"&amp;Upgrades!$B$3:$B$13))*Upgrades!$D$3:$D$13))</f>
        <v/>
      </c>
      <c r="F1519" s="66" t="str">
        <f>IFERROR(__xludf.DUMMYFUNCTION("IF(COUNTA(C1519:C1644)=0,"""",IF(REGEXMATCH(INDEX(FILTER(C$4:C1519,C$4:C1519&lt;&gt;""""),ROWS(FILTER(C$4:C1519,C$4:C1519&lt;&gt;""""))),""^Sell_""),INDEX(FILTER(F$4:F1518,C$4:C1518&lt;&gt;""""),ROWS(FILTER(C$4:C1518,C$4:C1518&lt;&gt;""""))),$AC$5+E1519))"),"")</f>
        <v/>
      </c>
      <c r="G1519" s="10" t="str">
        <f>IFERROR(__xludf.DUMMYFUNCTION("IF(COUNTA(C1519:C1644)=0,"""",IF(C1519="""",0,IF(REGEXMATCH(C1519,""^Sell_""),-ROUNDDOWN(ROUNDUP(INDEX(Upgrades!$C$3:$C$13,MATCH(SUBSTITUTE(C1519,""Sell_"",""""),Upgrades!$B$3:$B$13,0))*1.15^(COUNTIF(C$4:C1518,SUBSTITUTE(C1519,""Sell_"",""""))-COUNTIF(C$4"&amp;":C1518,""Sell_""&amp;SUBSTITUTE(C1519,""Sell_"",""""))))/2),ROUNDUP(INDEX(Upgrades!$C$3:$C$13,MATCH(C1519,Upgrades!$B$3:$B$13,0))*1.15^(COUNTIF(C$4:C1518,C1519)-COUNTIF(C$4:C1518,""Sell_""&amp;C1519))))))"),"")</f>
        <v/>
      </c>
      <c r="H1519" s="10" t="str">
        <f t="shared" si="3"/>
        <v/>
      </c>
      <c r="I1519" s="68" t="str">
        <f t="shared" si="4"/>
        <v/>
      </c>
      <c r="J1519" s="59" t="str">
        <f t="shared" si="5"/>
        <v/>
      </c>
      <c r="K1519" s="69" t="str">
        <f t="shared" si="6"/>
        <v/>
      </c>
      <c r="L1519" s="60" t="str">
        <f t="shared" si="7"/>
        <v/>
      </c>
      <c r="M1519" s="61" t="str">
        <f>IFERROR(__xludf.DUMMYFUNCTION("IFS(AND(COUNTA(C1519:C1644)=0,COUNTA(Q1519:Q1644)=0),"""",OR(AND(K1519&gt;=1000000000,OR(Y1519&gt;=1000000000,COUNTA(Q1519:Q1644)=0)),OR(Y1519&gt;=1000000000,AND(COUNTA(C1519:C1644)=0,P$3=TRUE))),
ROUNDDOWN((AB$1-AC$1)*MAX(INDEX(T$4:T1644,MATCH(LARGE(FILTER(Y$4:Y1"&amp;"644,Y$4:Y1644&lt;1000000000),1),Y$4:Y1644)),INDEX(F$4:F1644,MATCH(LARGE(FILTER(K$4:K1644,K$4:K1644&lt;1000000000),1),K$4:K1644)))),AND(K1519&lt;1000000000,COUNTA(C1519:C1644)&gt;0,P$3=FALSE),
ROUNDDOWN(INDEX(Y$4:Y1644,MATCH(LARGE(FILTER(W$4:W1644,W$4:W1644&lt;=I1519),1)"&amp;",W$4:W1644))+(I1519-LARGE(FILTER(W$4:W1644,W$4:W1644&lt;=I1519),1))*INDEX(T$4:T1644,MATCH(LARGE(FILTER(W$4:W1644,W$4:W1644&lt;=I1519),1),W$4:W1644))-K1519),1,
ROUNDDOWN(Y1519-INDEX(K$4:K1644,MATCH(LARGE(FILTER(I$4:I1644,I$4:I1644&lt;=W1519),1),I$4:I1644))-(W1519-L"&amp;"ARGE(FILTER(I$4:I1644,I$4:I1644&lt;=W1519),1))*INDEX(F$4:F1644,MATCH(LARGE(FILTER(I$4:I1644,I$4:I1644&lt;=W1519),1),I$4:I1644))))"),"")</f>
        <v/>
      </c>
      <c r="N1519" s="60" t="str">
        <f t="shared" si="8"/>
        <v/>
      </c>
      <c r="O1519" s="61" t="str">
        <f t="shared" si="9"/>
        <v/>
      </c>
      <c r="P1519" s="56" t="str">
        <f t="shared" si="10"/>
        <v/>
      </c>
      <c r="Q1519" s="105"/>
      <c r="R1519" s="10"/>
      <c r="S1519" s="59" t="str">
        <f t="array" ref="S1519">IF(COUNTA(Q1519:Q1644)=0,"",SUM((COUNTIF(Q$4:Q1519,Upgrades!$B$3:$B$13)-COUNTIF(Q$4:Q1519,"Sell_"&amp;Upgrades!$B$3:$B$13))*Upgrades!$D$3:$D$13))</f>
        <v/>
      </c>
      <c r="T1519" s="66" t="str">
        <f>IFERROR(__xludf.DUMMYFUNCTION("IF(COUNTA(Q1519:Q1644)=0,"""",IF(REGEXMATCH(INDEX(FILTER(Q$4:Q1519,Q$4:Q1519&lt;&gt;""""),ROWS(FILTER(Q$4:Q1519,Q$4:Q1519&lt;&gt;""""))),""^Sell_""),INDEX(FILTER(T$4:T1518,Q$4:Q1518&lt;&gt;""""),ROWS(FILTER(Q$4:Q1518,Q$4:Q1518&lt;&gt;""""))),$AD$5+S1519))"),"")</f>
        <v/>
      </c>
      <c r="U1519" s="10" t="str">
        <f>IFERROR(__xludf.DUMMYFUNCTION("IF(COUNTA(Q1519:Q1644)=0,"""",IF(Q1519="""",0,IF(REGEXMATCH(Q1519,""^Sell_""),-ROUNDDOWN(ROUNDUP(INDEX(Upgrades!$C$3:$C$13,MATCH(SUBSTITUTE(Q1519,""Sell_"",""""),Upgrades!$B$3:$B$13,0))*1.15^(COUNTIF(Q$4:Q1518,SUBSTITUTE(Q1519,""Sell_"",""""))-COUNTIF(Q$4"&amp;":Q1518,""Sell_""&amp;SUBSTITUTE(Q1519,""Sell_"",""""))))/2),ROUNDUP(INDEX(Upgrades!$C$3:$C$13,MATCH(Q1519,Upgrades!$B$3:$B$13,0))*1.15^(COUNTIF(Q$4:Q1518,Q1519)-COUNTIF(Q$4:Q1518,""Sell_""&amp;Q1519))))))"),"")</f>
        <v/>
      </c>
      <c r="V1519" s="10" t="str">
        <f t="shared" si="11"/>
        <v/>
      </c>
      <c r="W1519" s="68" t="str">
        <f t="shared" si="12"/>
        <v/>
      </c>
      <c r="X1519" s="59" t="str">
        <f t="shared" si="13"/>
        <v/>
      </c>
      <c r="Y1519" s="69" t="str">
        <f t="shared" si="14"/>
        <v/>
      </c>
      <c r="Z1519" s="11"/>
      <c r="AG1519" s="59"/>
    </row>
    <row r="1520">
      <c r="A1520" s="8"/>
      <c r="B1520" s="56" t="str">
        <f t="shared" si="2"/>
        <v/>
      </c>
      <c r="C1520" s="105"/>
      <c r="D1520" s="10"/>
      <c r="E1520" s="59" t="str">
        <f t="array" ref="E1520">IF(COUNTA(C1520:C1644)=0,"",SUM((COUNTIF(C$4:C1520,Upgrades!$B$3:$B$13)-COUNTIF(C$4:C1520,"Sell_"&amp;Upgrades!$B$3:$B$13))*Upgrades!$D$3:$D$13))</f>
        <v/>
      </c>
      <c r="F1520" s="66" t="str">
        <f>IFERROR(__xludf.DUMMYFUNCTION("IF(COUNTA(C1520:C1644)=0,"""",IF(REGEXMATCH(INDEX(FILTER(C$4:C1520,C$4:C1520&lt;&gt;""""),ROWS(FILTER(C$4:C1520,C$4:C1520&lt;&gt;""""))),""^Sell_""),INDEX(FILTER(F$4:F1519,C$4:C1519&lt;&gt;""""),ROWS(FILTER(C$4:C1519,C$4:C1519&lt;&gt;""""))),$AC$5+E1520))"),"")</f>
        <v/>
      </c>
      <c r="G1520" s="10" t="str">
        <f>IFERROR(__xludf.DUMMYFUNCTION("IF(COUNTA(C1520:C1644)=0,"""",IF(C1520="""",0,IF(REGEXMATCH(C1520,""^Sell_""),-ROUNDDOWN(ROUNDUP(INDEX(Upgrades!$C$3:$C$13,MATCH(SUBSTITUTE(C1520,""Sell_"",""""),Upgrades!$B$3:$B$13,0))*1.15^(COUNTIF(C$4:C1519,SUBSTITUTE(C1520,""Sell_"",""""))-COUNTIF(C$4"&amp;":C1519,""Sell_""&amp;SUBSTITUTE(C1520,""Sell_"",""""))))/2),ROUNDUP(INDEX(Upgrades!$C$3:$C$13,MATCH(C1520,Upgrades!$B$3:$B$13,0))*1.15^(COUNTIF(C$4:C1519,C1520)-COUNTIF(C$4:C1519,""Sell_""&amp;C1520))))))"),"")</f>
        <v/>
      </c>
      <c r="H1520" s="10" t="str">
        <f t="shared" si="3"/>
        <v/>
      </c>
      <c r="I1520" s="68" t="str">
        <f t="shared" si="4"/>
        <v/>
      </c>
      <c r="J1520" s="59" t="str">
        <f t="shared" si="5"/>
        <v/>
      </c>
      <c r="K1520" s="69" t="str">
        <f t="shared" si="6"/>
        <v/>
      </c>
      <c r="L1520" s="60" t="str">
        <f t="shared" si="7"/>
        <v/>
      </c>
      <c r="M1520" s="61" t="str">
        <f>IFERROR(__xludf.DUMMYFUNCTION("IFS(AND(COUNTA(C1520:C1644)=0,COUNTA(Q1520:Q1644)=0),"""",OR(AND(K1520&gt;=1000000000,OR(Y1520&gt;=1000000000,COUNTA(Q1520:Q1644)=0)),OR(Y1520&gt;=1000000000,AND(COUNTA(C1520:C1644)=0,P$3=TRUE))),
ROUNDDOWN((AB$1-AC$1)*MAX(INDEX(T$4:T1644,MATCH(LARGE(FILTER(Y$4:Y1"&amp;"644,Y$4:Y1644&lt;1000000000),1),Y$4:Y1644)),INDEX(F$4:F1644,MATCH(LARGE(FILTER(K$4:K1644,K$4:K1644&lt;1000000000),1),K$4:K1644)))),AND(K1520&lt;1000000000,COUNTA(C1520:C1644)&gt;0,P$3=FALSE),
ROUNDDOWN(INDEX(Y$4:Y1644,MATCH(LARGE(FILTER(W$4:W1644,W$4:W1644&lt;=I1520),1)"&amp;",W$4:W1644))+(I1520-LARGE(FILTER(W$4:W1644,W$4:W1644&lt;=I1520),1))*INDEX(T$4:T1644,MATCH(LARGE(FILTER(W$4:W1644,W$4:W1644&lt;=I1520),1),W$4:W1644))-K1520),1,
ROUNDDOWN(Y1520-INDEX(K$4:K1644,MATCH(LARGE(FILTER(I$4:I1644,I$4:I1644&lt;=W1520),1),I$4:I1644))-(W1520-L"&amp;"ARGE(FILTER(I$4:I1644,I$4:I1644&lt;=W1520),1))*INDEX(F$4:F1644,MATCH(LARGE(FILTER(I$4:I1644,I$4:I1644&lt;=W1520),1),I$4:I1644))))"),"")</f>
        <v/>
      </c>
      <c r="N1520" s="60" t="str">
        <f t="shared" si="8"/>
        <v/>
      </c>
      <c r="O1520" s="61" t="str">
        <f t="shared" si="9"/>
        <v/>
      </c>
      <c r="P1520" s="56" t="str">
        <f t="shared" si="10"/>
        <v/>
      </c>
      <c r="Q1520" s="105"/>
      <c r="R1520" s="10"/>
      <c r="S1520" s="59" t="str">
        <f t="array" ref="S1520">IF(COUNTA(Q1520:Q1644)=0,"",SUM((COUNTIF(Q$4:Q1520,Upgrades!$B$3:$B$13)-COUNTIF(Q$4:Q1520,"Sell_"&amp;Upgrades!$B$3:$B$13))*Upgrades!$D$3:$D$13))</f>
        <v/>
      </c>
      <c r="T1520" s="66" t="str">
        <f>IFERROR(__xludf.DUMMYFUNCTION("IF(COUNTA(Q1520:Q1644)=0,"""",IF(REGEXMATCH(INDEX(FILTER(Q$4:Q1520,Q$4:Q1520&lt;&gt;""""),ROWS(FILTER(Q$4:Q1520,Q$4:Q1520&lt;&gt;""""))),""^Sell_""),INDEX(FILTER(T$4:T1519,Q$4:Q1519&lt;&gt;""""),ROWS(FILTER(Q$4:Q1519,Q$4:Q1519&lt;&gt;""""))),$AD$5+S1520))"),"")</f>
        <v/>
      </c>
      <c r="U1520" s="10" t="str">
        <f>IFERROR(__xludf.DUMMYFUNCTION("IF(COUNTA(Q1520:Q1644)=0,"""",IF(Q1520="""",0,IF(REGEXMATCH(Q1520,""^Sell_""),-ROUNDDOWN(ROUNDUP(INDEX(Upgrades!$C$3:$C$13,MATCH(SUBSTITUTE(Q1520,""Sell_"",""""),Upgrades!$B$3:$B$13,0))*1.15^(COUNTIF(Q$4:Q1519,SUBSTITUTE(Q1520,""Sell_"",""""))-COUNTIF(Q$4"&amp;":Q1519,""Sell_""&amp;SUBSTITUTE(Q1520,""Sell_"",""""))))/2),ROUNDUP(INDEX(Upgrades!$C$3:$C$13,MATCH(Q1520,Upgrades!$B$3:$B$13,0))*1.15^(COUNTIF(Q$4:Q1519,Q1520)-COUNTIF(Q$4:Q1519,""Sell_""&amp;Q1520))))))"),"")</f>
        <v/>
      </c>
      <c r="V1520" s="10" t="str">
        <f t="shared" si="11"/>
        <v/>
      </c>
      <c r="W1520" s="68" t="str">
        <f t="shared" si="12"/>
        <v/>
      </c>
      <c r="X1520" s="59" t="str">
        <f t="shared" si="13"/>
        <v/>
      </c>
      <c r="Y1520" s="69" t="str">
        <f t="shared" si="14"/>
        <v/>
      </c>
      <c r="Z1520" s="11"/>
      <c r="AG1520" s="59"/>
    </row>
    <row r="1521">
      <c r="A1521" s="8"/>
      <c r="B1521" s="56" t="str">
        <f t="shared" si="2"/>
        <v/>
      </c>
      <c r="C1521" s="105"/>
      <c r="D1521" s="10"/>
      <c r="E1521" s="59" t="str">
        <f t="array" ref="E1521">IF(COUNTA(C1521:C1644)=0,"",SUM((COUNTIF(C$4:C1521,Upgrades!$B$3:$B$13)-COUNTIF(C$4:C1521,"Sell_"&amp;Upgrades!$B$3:$B$13))*Upgrades!$D$3:$D$13))</f>
        <v/>
      </c>
      <c r="F1521" s="66" t="str">
        <f>IFERROR(__xludf.DUMMYFUNCTION("IF(COUNTA(C1521:C1644)=0,"""",IF(REGEXMATCH(INDEX(FILTER(C$4:C1521,C$4:C1521&lt;&gt;""""),ROWS(FILTER(C$4:C1521,C$4:C1521&lt;&gt;""""))),""^Sell_""),INDEX(FILTER(F$4:F1520,C$4:C1520&lt;&gt;""""),ROWS(FILTER(C$4:C1520,C$4:C1520&lt;&gt;""""))),$AC$5+E1521))"),"")</f>
        <v/>
      </c>
      <c r="G1521" s="10" t="str">
        <f>IFERROR(__xludf.DUMMYFUNCTION("IF(COUNTA(C1521:C1644)=0,"""",IF(C1521="""",0,IF(REGEXMATCH(C1521,""^Sell_""),-ROUNDDOWN(ROUNDUP(INDEX(Upgrades!$C$3:$C$13,MATCH(SUBSTITUTE(C1521,""Sell_"",""""),Upgrades!$B$3:$B$13,0))*1.15^(COUNTIF(C$4:C1520,SUBSTITUTE(C1521,""Sell_"",""""))-COUNTIF(C$4"&amp;":C1520,""Sell_""&amp;SUBSTITUTE(C1521,""Sell_"",""""))))/2),ROUNDUP(INDEX(Upgrades!$C$3:$C$13,MATCH(C1521,Upgrades!$B$3:$B$13,0))*1.15^(COUNTIF(C$4:C1520,C1521)-COUNTIF(C$4:C1520,""Sell_""&amp;C1521))))))"),"")</f>
        <v/>
      </c>
      <c r="H1521" s="10" t="str">
        <f t="shared" si="3"/>
        <v/>
      </c>
      <c r="I1521" s="68" t="str">
        <f t="shared" si="4"/>
        <v/>
      </c>
      <c r="J1521" s="59" t="str">
        <f t="shared" si="5"/>
        <v/>
      </c>
      <c r="K1521" s="69" t="str">
        <f t="shared" si="6"/>
        <v/>
      </c>
      <c r="L1521" s="60" t="str">
        <f t="shared" si="7"/>
        <v/>
      </c>
      <c r="M1521" s="61" t="str">
        <f>IFERROR(__xludf.DUMMYFUNCTION("IFS(AND(COUNTA(C1521:C1644)=0,COUNTA(Q1521:Q1644)=0),"""",OR(AND(K1521&gt;=1000000000,OR(Y1521&gt;=1000000000,COUNTA(Q1521:Q1644)=0)),OR(Y1521&gt;=1000000000,AND(COUNTA(C1521:C1644)=0,P$3=TRUE))),
ROUNDDOWN((AB$1-AC$1)*MAX(INDEX(T$4:T1644,MATCH(LARGE(FILTER(Y$4:Y1"&amp;"644,Y$4:Y1644&lt;1000000000),1),Y$4:Y1644)),INDEX(F$4:F1644,MATCH(LARGE(FILTER(K$4:K1644,K$4:K1644&lt;1000000000),1),K$4:K1644)))),AND(K1521&lt;1000000000,COUNTA(C1521:C1644)&gt;0,P$3=FALSE),
ROUNDDOWN(INDEX(Y$4:Y1644,MATCH(LARGE(FILTER(W$4:W1644,W$4:W1644&lt;=I1521),1)"&amp;",W$4:W1644))+(I1521-LARGE(FILTER(W$4:W1644,W$4:W1644&lt;=I1521),1))*INDEX(T$4:T1644,MATCH(LARGE(FILTER(W$4:W1644,W$4:W1644&lt;=I1521),1),W$4:W1644))-K1521),1,
ROUNDDOWN(Y1521-INDEX(K$4:K1644,MATCH(LARGE(FILTER(I$4:I1644,I$4:I1644&lt;=W1521),1),I$4:I1644))-(W1521-L"&amp;"ARGE(FILTER(I$4:I1644,I$4:I1644&lt;=W1521),1))*INDEX(F$4:F1644,MATCH(LARGE(FILTER(I$4:I1644,I$4:I1644&lt;=W1521),1),I$4:I1644))))"),"")</f>
        <v/>
      </c>
      <c r="N1521" s="60" t="str">
        <f t="shared" si="8"/>
        <v/>
      </c>
      <c r="O1521" s="61" t="str">
        <f t="shared" si="9"/>
        <v/>
      </c>
      <c r="P1521" s="56" t="str">
        <f t="shared" si="10"/>
        <v/>
      </c>
      <c r="Q1521" s="105"/>
      <c r="R1521" s="10"/>
      <c r="S1521" s="59" t="str">
        <f t="array" ref="S1521">IF(COUNTA(Q1521:Q1644)=0,"",SUM((COUNTIF(Q$4:Q1521,Upgrades!$B$3:$B$13)-COUNTIF(Q$4:Q1521,"Sell_"&amp;Upgrades!$B$3:$B$13))*Upgrades!$D$3:$D$13))</f>
        <v/>
      </c>
      <c r="T1521" s="66" t="str">
        <f>IFERROR(__xludf.DUMMYFUNCTION("IF(COUNTA(Q1521:Q1644)=0,"""",IF(REGEXMATCH(INDEX(FILTER(Q$4:Q1521,Q$4:Q1521&lt;&gt;""""),ROWS(FILTER(Q$4:Q1521,Q$4:Q1521&lt;&gt;""""))),""^Sell_""),INDEX(FILTER(T$4:T1520,Q$4:Q1520&lt;&gt;""""),ROWS(FILTER(Q$4:Q1520,Q$4:Q1520&lt;&gt;""""))),$AD$5+S1521))"),"")</f>
        <v/>
      </c>
      <c r="U1521" s="10" t="str">
        <f>IFERROR(__xludf.DUMMYFUNCTION("IF(COUNTA(Q1521:Q1644)=0,"""",IF(Q1521="""",0,IF(REGEXMATCH(Q1521,""^Sell_""),-ROUNDDOWN(ROUNDUP(INDEX(Upgrades!$C$3:$C$13,MATCH(SUBSTITUTE(Q1521,""Sell_"",""""),Upgrades!$B$3:$B$13,0))*1.15^(COUNTIF(Q$4:Q1520,SUBSTITUTE(Q1521,""Sell_"",""""))-COUNTIF(Q$4"&amp;":Q1520,""Sell_""&amp;SUBSTITUTE(Q1521,""Sell_"",""""))))/2),ROUNDUP(INDEX(Upgrades!$C$3:$C$13,MATCH(Q1521,Upgrades!$B$3:$B$13,0))*1.15^(COUNTIF(Q$4:Q1520,Q1521)-COUNTIF(Q$4:Q1520,""Sell_""&amp;Q1521))))))"),"")</f>
        <v/>
      </c>
      <c r="V1521" s="10" t="str">
        <f t="shared" si="11"/>
        <v/>
      </c>
      <c r="W1521" s="68" t="str">
        <f t="shared" si="12"/>
        <v/>
      </c>
      <c r="X1521" s="59" t="str">
        <f t="shared" si="13"/>
        <v/>
      </c>
      <c r="Y1521" s="69" t="str">
        <f t="shared" si="14"/>
        <v/>
      </c>
      <c r="Z1521" s="11"/>
      <c r="AG1521" s="59"/>
    </row>
    <row r="1522">
      <c r="A1522" s="8"/>
      <c r="B1522" s="56" t="str">
        <f t="shared" si="2"/>
        <v/>
      </c>
      <c r="C1522" s="105"/>
      <c r="D1522" s="10"/>
      <c r="E1522" s="59" t="str">
        <f t="array" ref="E1522">IF(COUNTA(C1522:C1644)=0,"",SUM((COUNTIF(C$4:C1522,Upgrades!$B$3:$B$13)-COUNTIF(C$4:C1522,"Sell_"&amp;Upgrades!$B$3:$B$13))*Upgrades!$D$3:$D$13))</f>
        <v/>
      </c>
      <c r="F1522" s="66" t="str">
        <f>IFERROR(__xludf.DUMMYFUNCTION("IF(COUNTA(C1522:C1644)=0,"""",IF(REGEXMATCH(INDEX(FILTER(C$4:C1522,C$4:C1522&lt;&gt;""""),ROWS(FILTER(C$4:C1522,C$4:C1522&lt;&gt;""""))),""^Sell_""),INDEX(FILTER(F$4:F1521,C$4:C1521&lt;&gt;""""),ROWS(FILTER(C$4:C1521,C$4:C1521&lt;&gt;""""))),$AC$5+E1522))"),"")</f>
        <v/>
      </c>
      <c r="G1522" s="10" t="str">
        <f>IFERROR(__xludf.DUMMYFUNCTION("IF(COUNTA(C1522:C1644)=0,"""",IF(C1522="""",0,IF(REGEXMATCH(C1522,""^Sell_""),-ROUNDDOWN(ROUNDUP(INDEX(Upgrades!$C$3:$C$13,MATCH(SUBSTITUTE(C1522,""Sell_"",""""),Upgrades!$B$3:$B$13,0))*1.15^(COUNTIF(C$4:C1521,SUBSTITUTE(C1522,""Sell_"",""""))-COUNTIF(C$4"&amp;":C1521,""Sell_""&amp;SUBSTITUTE(C1522,""Sell_"",""""))))/2),ROUNDUP(INDEX(Upgrades!$C$3:$C$13,MATCH(C1522,Upgrades!$B$3:$B$13,0))*1.15^(COUNTIF(C$4:C1521,C1522)-COUNTIF(C$4:C1521,""Sell_""&amp;C1522))))))"),"")</f>
        <v/>
      </c>
      <c r="H1522" s="10" t="str">
        <f t="shared" si="3"/>
        <v/>
      </c>
      <c r="I1522" s="68" t="str">
        <f t="shared" si="4"/>
        <v/>
      </c>
      <c r="J1522" s="59" t="str">
        <f t="shared" si="5"/>
        <v/>
      </c>
      <c r="K1522" s="69" t="str">
        <f t="shared" si="6"/>
        <v/>
      </c>
      <c r="L1522" s="60" t="str">
        <f t="shared" si="7"/>
        <v/>
      </c>
      <c r="M1522" s="61" t="str">
        <f>IFERROR(__xludf.DUMMYFUNCTION("IFS(AND(COUNTA(C1522:C1644)=0,COUNTA(Q1522:Q1644)=0),"""",OR(AND(K1522&gt;=1000000000,OR(Y1522&gt;=1000000000,COUNTA(Q1522:Q1644)=0)),OR(Y1522&gt;=1000000000,AND(COUNTA(C1522:C1644)=0,P$3=TRUE))),
ROUNDDOWN((AB$1-AC$1)*MAX(INDEX(T$4:T1644,MATCH(LARGE(FILTER(Y$4:Y1"&amp;"644,Y$4:Y1644&lt;1000000000),1),Y$4:Y1644)),INDEX(F$4:F1644,MATCH(LARGE(FILTER(K$4:K1644,K$4:K1644&lt;1000000000),1),K$4:K1644)))),AND(K1522&lt;1000000000,COUNTA(C1522:C1644)&gt;0,P$3=FALSE),
ROUNDDOWN(INDEX(Y$4:Y1644,MATCH(LARGE(FILTER(W$4:W1644,W$4:W1644&lt;=I1522),1)"&amp;",W$4:W1644))+(I1522-LARGE(FILTER(W$4:W1644,W$4:W1644&lt;=I1522),1))*INDEX(T$4:T1644,MATCH(LARGE(FILTER(W$4:W1644,W$4:W1644&lt;=I1522),1),W$4:W1644))-K1522),1,
ROUNDDOWN(Y1522-INDEX(K$4:K1644,MATCH(LARGE(FILTER(I$4:I1644,I$4:I1644&lt;=W1522),1),I$4:I1644))-(W1522-L"&amp;"ARGE(FILTER(I$4:I1644,I$4:I1644&lt;=W1522),1))*INDEX(F$4:F1644,MATCH(LARGE(FILTER(I$4:I1644,I$4:I1644&lt;=W1522),1),I$4:I1644))))"),"")</f>
        <v/>
      </c>
      <c r="N1522" s="60" t="str">
        <f t="shared" si="8"/>
        <v/>
      </c>
      <c r="O1522" s="61" t="str">
        <f t="shared" si="9"/>
        <v/>
      </c>
      <c r="P1522" s="56" t="str">
        <f t="shared" si="10"/>
        <v/>
      </c>
      <c r="Q1522" s="105"/>
      <c r="R1522" s="10"/>
      <c r="S1522" s="59" t="str">
        <f t="array" ref="S1522">IF(COUNTA(Q1522:Q1644)=0,"",SUM((COUNTIF(Q$4:Q1522,Upgrades!$B$3:$B$13)-COUNTIF(Q$4:Q1522,"Sell_"&amp;Upgrades!$B$3:$B$13))*Upgrades!$D$3:$D$13))</f>
        <v/>
      </c>
      <c r="T1522" s="66" t="str">
        <f>IFERROR(__xludf.DUMMYFUNCTION("IF(COUNTA(Q1522:Q1644)=0,"""",IF(REGEXMATCH(INDEX(FILTER(Q$4:Q1522,Q$4:Q1522&lt;&gt;""""),ROWS(FILTER(Q$4:Q1522,Q$4:Q1522&lt;&gt;""""))),""^Sell_""),INDEX(FILTER(T$4:T1521,Q$4:Q1521&lt;&gt;""""),ROWS(FILTER(Q$4:Q1521,Q$4:Q1521&lt;&gt;""""))),$AD$5+S1522))"),"")</f>
        <v/>
      </c>
      <c r="U1522" s="10" t="str">
        <f>IFERROR(__xludf.DUMMYFUNCTION("IF(COUNTA(Q1522:Q1644)=0,"""",IF(Q1522="""",0,IF(REGEXMATCH(Q1522,""^Sell_""),-ROUNDDOWN(ROUNDUP(INDEX(Upgrades!$C$3:$C$13,MATCH(SUBSTITUTE(Q1522,""Sell_"",""""),Upgrades!$B$3:$B$13,0))*1.15^(COUNTIF(Q$4:Q1521,SUBSTITUTE(Q1522,""Sell_"",""""))-COUNTIF(Q$4"&amp;":Q1521,""Sell_""&amp;SUBSTITUTE(Q1522,""Sell_"",""""))))/2),ROUNDUP(INDEX(Upgrades!$C$3:$C$13,MATCH(Q1522,Upgrades!$B$3:$B$13,0))*1.15^(COUNTIF(Q$4:Q1521,Q1522)-COUNTIF(Q$4:Q1521,""Sell_""&amp;Q1522))))))"),"")</f>
        <v/>
      </c>
      <c r="V1522" s="10" t="str">
        <f t="shared" si="11"/>
        <v/>
      </c>
      <c r="W1522" s="68" t="str">
        <f t="shared" si="12"/>
        <v/>
      </c>
      <c r="X1522" s="59" t="str">
        <f t="shared" si="13"/>
        <v/>
      </c>
      <c r="Y1522" s="69" t="str">
        <f t="shared" si="14"/>
        <v/>
      </c>
      <c r="Z1522" s="11"/>
      <c r="AG1522" s="59"/>
    </row>
    <row r="1523">
      <c r="A1523" s="8"/>
      <c r="B1523" s="56" t="str">
        <f t="shared" si="2"/>
        <v/>
      </c>
      <c r="C1523" s="105"/>
      <c r="D1523" s="10"/>
      <c r="E1523" s="59" t="str">
        <f t="array" ref="E1523">IF(COUNTA(C1523:C1644)=0,"",SUM((COUNTIF(C$4:C1523,Upgrades!$B$3:$B$13)-COUNTIF(C$4:C1523,"Sell_"&amp;Upgrades!$B$3:$B$13))*Upgrades!$D$3:$D$13))</f>
        <v/>
      </c>
      <c r="F1523" s="66" t="str">
        <f>IFERROR(__xludf.DUMMYFUNCTION("IF(COUNTA(C1523:C1644)=0,"""",IF(REGEXMATCH(INDEX(FILTER(C$4:C1523,C$4:C1523&lt;&gt;""""),ROWS(FILTER(C$4:C1523,C$4:C1523&lt;&gt;""""))),""^Sell_""),INDEX(FILTER(F$4:F1522,C$4:C1522&lt;&gt;""""),ROWS(FILTER(C$4:C1522,C$4:C1522&lt;&gt;""""))),$AC$5+E1523))"),"")</f>
        <v/>
      </c>
      <c r="G1523" s="10" t="str">
        <f>IFERROR(__xludf.DUMMYFUNCTION("IF(COUNTA(C1523:C1644)=0,"""",IF(C1523="""",0,IF(REGEXMATCH(C1523,""^Sell_""),-ROUNDDOWN(ROUNDUP(INDEX(Upgrades!$C$3:$C$13,MATCH(SUBSTITUTE(C1523,""Sell_"",""""),Upgrades!$B$3:$B$13,0))*1.15^(COUNTIF(C$4:C1522,SUBSTITUTE(C1523,""Sell_"",""""))-COUNTIF(C$4"&amp;":C1522,""Sell_""&amp;SUBSTITUTE(C1523,""Sell_"",""""))))/2),ROUNDUP(INDEX(Upgrades!$C$3:$C$13,MATCH(C1523,Upgrades!$B$3:$B$13,0))*1.15^(COUNTIF(C$4:C1522,C1523)-COUNTIF(C$4:C1522,""Sell_""&amp;C1523))))))"),"")</f>
        <v/>
      </c>
      <c r="H1523" s="10" t="str">
        <f t="shared" si="3"/>
        <v/>
      </c>
      <c r="I1523" s="68" t="str">
        <f t="shared" si="4"/>
        <v/>
      </c>
      <c r="J1523" s="59" t="str">
        <f t="shared" si="5"/>
        <v/>
      </c>
      <c r="K1523" s="69" t="str">
        <f t="shared" si="6"/>
        <v/>
      </c>
      <c r="L1523" s="60" t="str">
        <f t="shared" si="7"/>
        <v/>
      </c>
      <c r="M1523" s="61" t="str">
        <f>IFERROR(__xludf.DUMMYFUNCTION("IFS(AND(COUNTA(C1523:C1644)=0,COUNTA(Q1523:Q1644)=0),"""",OR(AND(K1523&gt;=1000000000,OR(Y1523&gt;=1000000000,COUNTA(Q1523:Q1644)=0)),OR(Y1523&gt;=1000000000,AND(COUNTA(C1523:C1644)=0,P$3=TRUE))),
ROUNDDOWN((AB$1-AC$1)*MAX(INDEX(T$4:T1644,MATCH(LARGE(FILTER(Y$4:Y1"&amp;"644,Y$4:Y1644&lt;1000000000),1),Y$4:Y1644)),INDEX(F$4:F1644,MATCH(LARGE(FILTER(K$4:K1644,K$4:K1644&lt;1000000000),1),K$4:K1644)))),AND(K1523&lt;1000000000,COUNTA(C1523:C1644)&gt;0,P$3=FALSE),
ROUNDDOWN(INDEX(Y$4:Y1644,MATCH(LARGE(FILTER(W$4:W1644,W$4:W1644&lt;=I1523),1)"&amp;",W$4:W1644))+(I1523-LARGE(FILTER(W$4:W1644,W$4:W1644&lt;=I1523),1))*INDEX(T$4:T1644,MATCH(LARGE(FILTER(W$4:W1644,W$4:W1644&lt;=I1523),1),W$4:W1644))-K1523),1,
ROUNDDOWN(Y1523-INDEX(K$4:K1644,MATCH(LARGE(FILTER(I$4:I1644,I$4:I1644&lt;=W1523),1),I$4:I1644))-(W1523-L"&amp;"ARGE(FILTER(I$4:I1644,I$4:I1644&lt;=W1523),1))*INDEX(F$4:F1644,MATCH(LARGE(FILTER(I$4:I1644,I$4:I1644&lt;=W1523),1),I$4:I1644))))"),"")</f>
        <v/>
      </c>
      <c r="N1523" s="60" t="str">
        <f t="shared" si="8"/>
        <v/>
      </c>
      <c r="O1523" s="61" t="str">
        <f t="shared" si="9"/>
        <v/>
      </c>
      <c r="P1523" s="56" t="str">
        <f t="shared" si="10"/>
        <v/>
      </c>
      <c r="Q1523" s="105"/>
      <c r="R1523" s="10"/>
      <c r="S1523" s="59" t="str">
        <f t="array" ref="S1523">IF(COUNTA(Q1523:Q1644)=0,"",SUM((COUNTIF(Q$4:Q1523,Upgrades!$B$3:$B$13)-COUNTIF(Q$4:Q1523,"Sell_"&amp;Upgrades!$B$3:$B$13))*Upgrades!$D$3:$D$13))</f>
        <v/>
      </c>
      <c r="T1523" s="66" t="str">
        <f>IFERROR(__xludf.DUMMYFUNCTION("IF(COUNTA(Q1523:Q1644)=0,"""",IF(REGEXMATCH(INDEX(FILTER(Q$4:Q1523,Q$4:Q1523&lt;&gt;""""),ROWS(FILTER(Q$4:Q1523,Q$4:Q1523&lt;&gt;""""))),""^Sell_""),INDEX(FILTER(T$4:T1522,Q$4:Q1522&lt;&gt;""""),ROWS(FILTER(Q$4:Q1522,Q$4:Q1522&lt;&gt;""""))),$AD$5+S1523))"),"")</f>
        <v/>
      </c>
      <c r="U1523" s="10" t="str">
        <f>IFERROR(__xludf.DUMMYFUNCTION("IF(COUNTA(Q1523:Q1644)=0,"""",IF(Q1523="""",0,IF(REGEXMATCH(Q1523,""^Sell_""),-ROUNDDOWN(ROUNDUP(INDEX(Upgrades!$C$3:$C$13,MATCH(SUBSTITUTE(Q1523,""Sell_"",""""),Upgrades!$B$3:$B$13,0))*1.15^(COUNTIF(Q$4:Q1522,SUBSTITUTE(Q1523,""Sell_"",""""))-COUNTIF(Q$4"&amp;":Q1522,""Sell_""&amp;SUBSTITUTE(Q1523,""Sell_"",""""))))/2),ROUNDUP(INDEX(Upgrades!$C$3:$C$13,MATCH(Q1523,Upgrades!$B$3:$B$13,0))*1.15^(COUNTIF(Q$4:Q1522,Q1523)-COUNTIF(Q$4:Q1522,""Sell_""&amp;Q1523))))))"),"")</f>
        <v/>
      </c>
      <c r="V1523" s="10" t="str">
        <f t="shared" si="11"/>
        <v/>
      </c>
      <c r="W1523" s="68" t="str">
        <f t="shared" si="12"/>
        <v/>
      </c>
      <c r="X1523" s="59" t="str">
        <f t="shared" si="13"/>
        <v/>
      </c>
      <c r="Y1523" s="69" t="str">
        <f t="shared" si="14"/>
        <v/>
      </c>
      <c r="Z1523" s="11"/>
      <c r="AG1523" s="59"/>
    </row>
    <row r="1524">
      <c r="A1524" s="8"/>
      <c r="B1524" s="56" t="str">
        <f t="shared" si="2"/>
        <v/>
      </c>
      <c r="C1524" s="105"/>
      <c r="D1524" s="10"/>
      <c r="E1524" s="59" t="str">
        <f t="array" ref="E1524">IF(COUNTA(C1524:C1644)=0,"",SUM((COUNTIF(C$4:C1524,Upgrades!$B$3:$B$13)-COUNTIF(C$4:C1524,"Sell_"&amp;Upgrades!$B$3:$B$13))*Upgrades!$D$3:$D$13))</f>
        <v/>
      </c>
      <c r="F1524" s="66" t="str">
        <f>IFERROR(__xludf.DUMMYFUNCTION("IF(COUNTA(C1524:C1644)=0,"""",IF(REGEXMATCH(INDEX(FILTER(C$4:C1524,C$4:C1524&lt;&gt;""""),ROWS(FILTER(C$4:C1524,C$4:C1524&lt;&gt;""""))),""^Sell_""),INDEX(FILTER(F$4:F1523,C$4:C1523&lt;&gt;""""),ROWS(FILTER(C$4:C1523,C$4:C1523&lt;&gt;""""))),$AC$5+E1524))"),"")</f>
        <v/>
      </c>
      <c r="G1524" s="10" t="str">
        <f>IFERROR(__xludf.DUMMYFUNCTION("IF(COUNTA(C1524:C1644)=0,"""",IF(C1524="""",0,IF(REGEXMATCH(C1524,""^Sell_""),-ROUNDDOWN(ROUNDUP(INDEX(Upgrades!$C$3:$C$13,MATCH(SUBSTITUTE(C1524,""Sell_"",""""),Upgrades!$B$3:$B$13,0))*1.15^(COUNTIF(C$4:C1523,SUBSTITUTE(C1524,""Sell_"",""""))-COUNTIF(C$4"&amp;":C1523,""Sell_""&amp;SUBSTITUTE(C1524,""Sell_"",""""))))/2),ROUNDUP(INDEX(Upgrades!$C$3:$C$13,MATCH(C1524,Upgrades!$B$3:$B$13,0))*1.15^(COUNTIF(C$4:C1523,C1524)-COUNTIF(C$4:C1523,""Sell_""&amp;C1524))))))"),"")</f>
        <v/>
      </c>
      <c r="H1524" s="10" t="str">
        <f t="shared" si="3"/>
        <v/>
      </c>
      <c r="I1524" s="68" t="str">
        <f t="shared" si="4"/>
        <v/>
      </c>
      <c r="J1524" s="59" t="str">
        <f t="shared" si="5"/>
        <v/>
      </c>
      <c r="K1524" s="69" t="str">
        <f t="shared" si="6"/>
        <v/>
      </c>
      <c r="L1524" s="60" t="str">
        <f t="shared" si="7"/>
        <v/>
      </c>
      <c r="M1524" s="61" t="str">
        <f>IFERROR(__xludf.DUMMYFUNCTION("IFS(AND(COUNTA(C1524:C1644)=0,COUNTA(Q1524:Q1644)=0),"""",OR(AND(K1524&gt;=1000000000,OR(Y1524&gt;=1000000000,COUNTA(Q1524:Q1644)=0)),OR(Y1524&gt;=1000000000,AND(COUNTA(C1524:C1644)=0,P$3=TRUE))),
ROUNDDOWN((AB$1-AC$1)*MAX(INDEX(T$4:T1644,MATCH(LARGE(FILTER(Y$4:Y1"&amp;"644,Y$4:Y1644&lt;1000000000),1),Y$4:Y1644)),INDEX(F$4:F1644,MATCH(LARGE(FILTER(K$4:K1644,K$4:K1644&lt;1000000000),1),K$4:K1644)))),AND(K1524&lt;1000000000,COUNTA(C1524:C1644)&gt;0,P$3=FALSE),
ROUNDDOWN(INDEX(Y$4:Y1644,MATCH(LARGE(FILTER(W$4:W1644,W$4:W1644&lt;=I1524),1)"&amp;",W$4:W1644))+(I1524-LARGE(FILTER(W$4:W1644,W$4:W1644&lt;=I1524),1))*INDEX(T$4:T1644,MATCH(LARGE(FILTER(W$4:W1644,W$4:W1644&lt;=I1524),1),W$4:W1644))-K1524),1,
ROUNDDOWN(Y1524-INDEX(K$4:K1644,MATCH(LARGE(FILTER(I$4:I1644,I$4:I1644&lt;=W1524),1),I$4:I1644))-(W1524-L"&amp;"ARGE(FILTER(I$4:I1644,I$4:I1644&lt;=W1524),1))*INDEX(F$4:F1644,MATCH(LARGE(FILTER(I$4:I1644,I$4:I1644&lt;=W1524),1),I$4:I1644))))"),"")</f>
        <v/>
      </c>
      <c r="N1524" s="60" t="str">
        <f t="shared" si="8"/>
        <v/>
      </c>
      <c r="O1524" s="61" t="str">
        <f t="shared" si="9"/>
        <v/>
      </c>
      <c r="P1524" s="56" t="str">
        <f t="shared" si="10"/>
        <v/>
      </c>
      <c r="Q1524" s="105"/>
      <c r="R1524" s="10"/>
      <c r="S1524" s="59" t="str">
        <f t="array" ref="S1524">IF(COUNTA(Q1524:Q1644)=0,"",SUM((COUNTIF(Q$4:Q1524,Upgrades!$B$3:$B$13)-COUNTIF(Q$4:Q1524,"Sell_"&amp;Upgrades!$B$3:$B$13))*Upgrades!$D$3:$D$13))</f>
        <v/>
      </c>
      <c r="T1524" s="66" t="str">
        <f>IFERROR(__xludf.DUMMYFUNCTION("IF(COUNTA(Q1524:Q1644)=0,"""",IF(REGEXMATCH(INDEX(FILTER(Q$4:Q1524,Q$4:Q1524&lt;&gt;""""),ROWS(FILTER(Q$4:Q1524,Q$4:Q1524&lt;&gt;""""))),""^Sell_""),INDEX(FILTER(T$4:T1523,Q$4:Q1523&lt;&gt;""""),ROWS(FILTER(Q$4:Q1523,Q$4:Q1523&lt;&gt;""""))),$AD$5+S1524))"),"")</f>
        <v/>
      </c>
      <c r="U1524" s="10" t="str">
        <f>IFERROR(__xludf.DUMMYFUNCTION("IF(COUNTA(Q1524:Q1644)=0,"""",IF(Q1524="""",0,IF(REGEXMATCH(Q1524,""^Sell_""),-ROUNDDOWN(ROUNDUP(INDEX(Upgrades!$C$3:$C$13,MATCH(SUBSTITUTE(Q1524,""Sell_"",""""),Upgrades!$B$3:$B$13,0))*1.15^(COUNTIF(Q$4:Q1523,SUBSTITUTE(Q1524,""Sell_"",""""))-COUNTIF(Q$4"&amp;":Q1523,""Sell_""&amp;SUBSTITUTE(Q1524,""Sell_"",""""))))/2),ROUNDUP(INDEX(Upgrades!$C$3:$C$13,MATCH(Q1524,Upgrades!$B$3:$B$13,0))*1.15^(COUNTIF(Q$4:Q1523,Q1524)-COUNTIF(Q$4:Q1523,""Sell_""&amp;Q1524))))))"),"")</f>
        <v/>
      </c>
      <c r="V1524" s="10" t="str">
        <f t="shared" si="11"/>
        <v/>
      </c>
      <c r="W1524" s="68" t="str">
        <f t="shared" si="12"/>
        <v/>
      </c>
      <c r="X1524" s="59" t="str">
        <f t="shared" si="13"/>
        <v/>
      </c>
      <c r="Y1524" s="69" t="str">
        <f t="shared" si="14"/>
        <v/>
      </c>
      <c r="Z1524" s="11"/>
      <c r="AG1524" s="59"/>
    </row>
    <row r="1525">
      <c r="A1525" s="8"/>
      <c r="B1525" s="56" t="str">
        <f t="shared" si="2"/>
        <v/>
      </c>
      <c r="C1525" s="105"/>
      <c r="D1525" s="10"/>
      <c r="E1525" s="59" t="str">
        <f t="array" ref="E1525">IF(COUNTA(C1525:C1644)=0,"",SUM((COUNTIF(C$4:C1525,Upgrades!$B$3:$B$13)-COUNTIF(C$4:C1525,"Sell_"&amp;Upgrades!$B$3:$B$13))*Upgrades!$D$3:$D$13))</f>
        <v/>
      </c>
      <c r="F1525" s="66" t="str">
        <f>IFERROR(__xludf.DUMMYFUNCTION("IF(COUNTA(C1525:C1644)=0,"""",IF(REGEXMATCH(INDEX(FILTER(C$4:C1525,C$4:C1525&lt;&gt;""""),ROWS(FILTER(C$4:C1525,C$4:C1525&lt;&gt;""""))),""^Sell_""),INDEX(FILTER(F$4:F1524,C$4:C1524&lt;&gt;""""),ROWS(FILTER(C$4:C1524,C$4:C1524&lt;&gt;""""))),$AC$5+E1525))"),"")</f>
        <v/>
      </c>
      <c r="G1525" s="10" t="str">
        <f>IFERROR(__xludf.DUMMYFUNCTION("IF(COUNTA(C1525:C1644)=0,"""",IF(C1525="""",0,IF(REGEXMATCH(C1525,""^Sell_""),-ROUNDDOWN(ROUNDUP(INDEX(Upgrades!$C$3:$C$13,MATCH(SUBSTITUTE(C1525,""Sell_"",""""),Upgrades!$B$3:$B$13,0))*1.15^(COUNTIF(C$4:C1524,SUBSTITUTE(C1525,""Sell_"",""""))-COUNTIF(C$4"&amp;":C1524,""Sell_""&amp;SUBSTITUTE(C1525,""Sell_"",""""))))/2),ROUNDUP(INDEX(Upgrades!$C$3:$C$13,MATCH(C1525,Upgrades!$B$3:$B$13,0))*1.15^(COUNTIF(C$4:C1524,C1525)-COUNTIF(C$4:C1524,""Sell_""&amp;C1525))))))"),"")</f>
        <v/>
      </c>
      <c r="H1525" s="10" t="str">
        <f t="shared" si="3"/>
        <v/>
      </c>
      <c r="I1525" s="68" t="str">
        <f t="shared" si="4"/>
        <v/>
      </c>
      <c r="J1525" s="59" t="str">
        <f t="shared" si="5"/>
        <v/>
      </c>
      <c r="K1525" s="69" t="str">
        <f t="shared" si="6"/>
        <v/>
      </c>
      <c r="L1525" s="60" t="str">
        <f t="shared" si="7"/>
        <v/>
      </c>
      <c r="M1525" s="61" t="str">
        <f>IFERROR(__xludf.DUMMYFUNCTION("IFS(AND(COUNTA(C1525:C1644)=0,COUNTA(Q1525:Q1644)=0),"""",OR(AND(K1525&gt;=1000000000,OR(Y1525&gt;=1000000000,COUNTA(Q1525:Q1644)=0)),OR(Y1525&gt;=1000000000,AND(COUNTA(C1525:C1644)=0,P$3=TRUE))),
ROUNDDOWN((AB$1-AC$1)*MAX(INDEX(T$4:T1644,MATCH(LARGE(FILTER(Y$4:Y1"&amp;"644,Y$4:Y1644&lt;1000000000),1),Y$4:Y1644)),INDEX(F$4:F1644,MATCH(LARGE(FILTER(K$4:K1644,K$4:K1644&lt;1000000000),1),K$4:K1644)))),AND(K1525&lt;1000000000,COUNTA(C1525:C1644)&gt;0,P$3=FALSE),
ROUNDDOWN(INDEX(Y$4:Y1644,MATCH(LARGE(FILTER(W$4:W1644,W$4:W1644&lt;=I1525),1)"&amp;",W$4:W1644))+(I1525-LARGE(FILTER(W$4:W1644,W$4:W1644&lt;=I1525),1))*INDEX(T$4:T1644,MATCH(LARGE(FILTER(W$4:W1644,W$4:W1644&lt;=I1525),1),W$4:W1644))-K1525),1,
ROUNDDOWN(Y1525-INDEX(K$4:K1644,MATCH(LARGE(FILTER(I$4:I1644,I$4:I1644&lt;=W1525),1),I$4:I1644))-(W1525-L"&amp;"ARGE(FILTER(I$4:I1644,I$4:I1644&lt;=W1525),1))*INDEX(F$4:F1644,MATCH(LARGE(FILTER(I$4:I1644,I$4:I1644&lt;=W1525),1),I$4:I1644))))"),"")</f>
        <v/>
      </c>
      <c r="N1525" s="60" t="str">
        <f t="shared" si="8"/>
        <v/>
      </c>
      <c r="O1525" s="61" t="str">
        <f t="shared" si="9"/>
        <v/>
      </c>
      <c r="P1525" s="56" t="str">
        <f t="shared" si="10"/>
        <v/>
      </c>
      <c r="Q1525" s="105"/>
      <c r="R1525" s="10"/>
      <c r="S1525" s="59" t="str">
        <f t="array" ref="S1525">IF(COUNTA(Q1525:Q1644)=0,"",SUM((COUNTIF(Q$4:Q1525,Upgrades!$B$3:$B$13)-COUNTIF(Q$4:Q1525,"Sell_"&amp;Upgrades!$B$3:$B$13))*Upgrades!$D$3:$D$13))</f>
        <v/>
      </c>
      <c r="T1525" s="66" t="str">
        <f>IFERROR(__xludf.DUMMYFUNCTION("IF(COUNTA(Q1525:Q1644)=0,"""",IF(REGEXMATCH(INDEX(FILTER(Q$4:Q1525,Q$4:Q1525&lt;&gt;""""),ROWS(FILTER(Q$4:Q1525,Q$4:Q1525&lt;&gt;""""))),""^Sell_""),INDEX(FILTER(T$4:T1524,Q$4:Q1524&lt;&gt;""""),ROWS(FILTER(Q$4:Q1524,Q$4:Q1524&lt;&gt;""""))),$AD$5+S1525))"),"")</f>
        <v/>
      </c>
      <c r="U1525" s="10" t="str">
        <f>IFERROR(__xludf.DUMMYFUNCTION("IF(COUNTA(Q1525:Q1644)=0,"""",IF(Q1525="""",0,IF(REGEXMATCH(Q1525,""^Sell_""),-ROUNDDOWN(ROUNDUP(INDEX(Upgrades!$C$3:$C$13,MATCH(SUBSTITUTE(Q1525,""Sell_"",""""),Upgrades!$B$3:$B$13,0))*1.15^(COUNTIF(Q$4:Q1524,SUBSTITUTE(Q1525,""Sell_"",""""))-COUNTIF(Q$4"&amp;":Q1524,""Sell_""&amp;SUBSTITUTE(Q1525,""Sell_"",""""))))/2),ROUNDUP(INDEX(Upgrades!$C$3:$C$13,MATCH(Q1525,Upgrades!$B$3:$B$13,0))*1.15^(COUNTIF(Q$4:Q1524,Q1525)-COUNTIF(Q$4:Q1524,""Sell_""&amp;Q1525))))))"),"")</f>
        <v/>
      </c>
      <c r="V1525" s="10" t="str">
        <f t="shared" si="11"/>
        <v/>
      </c>
      <c r="W1525" s="68" t="str">
        <f t="shared" si="12"/>
        <v/>
      </c>
      <c r="X1525" s="59" t="str">
        <f t="shared" si="13"/>
        <v/>
      </c>
      <c r="Y1525" s="69" t="str">
        <f t="shared" si="14"/>
        <v/>
      </c>
      <c r="Z1525" s="11"/>
      <c r="AG1525" s="59"/>
    </row>
    <row r="1526">
      <c r="A1526" s="8"/>
      <c r="B1526" s="56" t="str">
        <f t="shared" si="2"/>
        <v/>
      </c>
      <c r="C1526" s="105"/>
      <c r="D1526" s="10"/>
      <c r="E1526" s="59" t="str">
        <f t="array" ref="E1526">IF(COUNTA(C1526:C1644)=0,"",SUM((COUNTIF(C$4:C1526,Upgrades!$B$3:$B$13)-COUNTIF(C$4:C1526,"Sell_"&amp;Upgrades!$B$3:$B$13))*Upgrades!$D$3:$D$13))</f>
        <v/>
      </c>
      <c r="F1526" s="66" t="str">
        <f>IFERROR(__xludf.DUMMYFUNCTION("IF(COUNTA(C1526:C1644)=0,"""",IF(REGEXMATCH(INDEX(FILTER(C$4:C1526,C$4:C1526&lt;&gt;""""),ROWS(FILTER(C$4:C1526,C$4:C1526&lt;&gt;""""))),""^Sell_""),INDEX(FILTER(F$4:F1525,C$4:C1525&lt;&gt;""""),ROWS(FILTER(C$4:C1525,C$4:C1525&lt;&gt;""""))),$AC$5+E1526))"),"")</f>
        <v/>
      </c>
      <c r="G1526" s="10" t="str">
        <f>IFERROR(__xludf.DUMMYFUNCTION("IF(COUNTA(C1526:C1644)=0,"""",IF(C1526="""",0,IF(REGEXMATCH(C1526,""^Sell_""),-ROUNDDOWN(ROUNDUP(INDEX(Upgrades!$C$3:$C$13,MATCH(SUBSTITUTE(C1526,""Sell_"",""""),Upgrades!$B$3:$B$13,0))*1.15^(COUNTIF(C$4:C1525,SUBSTITUTE(C1526,""Sell_"",""""))-COUNTIF(C$4"&amp;":C1525,""Sell_""&amp;SUBSTITUTE(C1526,""Sell_"",""""))))/2),ROUNDUP(INDEX(Upgrades!$C$3:$C$13,MATCH(C1526,Upgrades!$B$3:$B$13,0))*1.15^(COUNTIF(C$4:C1525,C1526)-COUNTIF(C$4:C1525,""Sell_""&amp;C1526))))))"),"")</f>
        <v/>
      </c>
      <c r="H1526" s="10" t="str">
        <f t="shared" si="3"/>
        <v/>
      </c>
      <c r="I1526" s="68" t="str">
        <f t="shared" si="4"/>
        <v/>
      </c>
      <c r="J1526" s="59" t="str">
        <f t="shared" si="5"/>
        <v/>
      </c>
      <c r="K1526" s="69" t="str">
        <f t="shared" si="6"/>
        <v/>
      </c>
      <c r="L1526" s="60" t="str">
        <f t="shared" si="7"/>
        <v/>
      </c>
      <c r="M1526" s="61" t="str">
        <f>IFERROR(__xludf.DUMMYFUNCTION("IFS(AND(COUNTA(C1526:C1644)=0,COUNTA(Q1526:Q1644)=0),"""",OR(AND(K1526&gt;=1000000000,OR(Y1526&gt;=1000000000,COUNTA(Q1526:Q1644)=0)),OR(Y1526&gt;=1000000000,AND(COUNTA(C1526:C1644)=0,P$3=TRUE))),
ROUNDDOWN((AB$1-AC$1)*MAX(INDEX(T$4:T1644,MATCH(LARGE(FILTER(Y$4:Y1"&amp;"644,Y$4:Y1644&lt;1000000000),1),Y$4:Y1644)),INDEX(F$4:F1644,MATCH(LARGE(FILTER(K$4:K1644,K$4:K1644&lt;1000000000),1),K$4:K1644)))),AND(K1526&lt;1000000000,COUNTA(C1526:C1644)&gt;0,P$3=FALSE),
ROUNDDOWN(INDEX(Y$4:Y1644,MATCH(LARGE(FILTER(W$4:W1644,W$4:W1644&lt;=I1526),1)"&amp;",W$4:W1644))+(I1526-LARGE(FILTER(W$4:W1644,W$4:W1644&lt;=I1526),1))*INDEX(T$4:T1644,MATCH(LARGE(FILTER(W$4:W1644,W$4:W1644&lt;=I1526),1),W$4:W1644))-K1526),1,
ROUNDDOWN(Y1526-INDEX(K$4:K1644,MATCH(LARGE(FILTER(I$4:I1644,I$4:I1644&lt;=W1526),1),I$4:I1644))-(W1526-L"&amp;"ARGE(FILTER(I$4:I1644,I$4:I1644&lt;=W1526),1))*INDEX(F$4:F1644,MATCH(LARGE(FILTER(I$4:I1644,I$4:I1644&lt;=W1526),1),I$4:I1644))))"),"")</f>
        <v/>
      </c>
      <c r="N1526" s="60" t="str">
        <f t="shared" si="8"/>
        <v/>
      </c>
      <c r="O1526" s="61" t="str">
        <f t="shared" si="9"/>
        <v/>
      </c>
      <c r="P1526" s="56" t="str">
        <f t="shared" si="10"/>
        <v/>
      </c>
      <c r="Q1526" s="105"/>
      <c r="R1526" s="10"/>
      <c r="S1526" s="59" t="str">
        <f t="array" ref="S1526">IF(COUNTA(Q1526:Q1644)=0,"",SUM((COUNTIF(Q$4:Q1526,Upgrades!$B$3:$B$13)-COUNTIF(Q$4:Q1526,"Sell_"&amp;Upgrades!$B$3:$B$13))*Upgrades!$D$3:$D$13))</f>
        <v/>
      </c>
      <c r="T1526" s="66" t="str">
        <f>IFERROR(__xludf.DUMMYFUNCTION("IF(COUNTA(Q1526:Q1644)=0,"""",IF(REGEXMATCH(INDEX(FILTER(Q$4:Q1526,Q$4:Q1526&lt;&gt;""""),ROWS(FILTER(Q$4:Q1526,Q$4:Q1526&lt;&gt;""""))),""^Sell_""),INDEX(FILTER(T$4:T1525,Q$4:Q1525&lt;&gt;""""),ROWS(FILTER(Q$4:Q1525,Q$4:Q1525&lt;&gt;""""))),$AD$5+S1526))"),"")</f>
        <v/>
      </c>
      <c r="U1526" s="10" t="str">
        <f>IFERROR(__xludf.DUMMYFUNCTION("IF(COUNTA(Q1526:Q1644)=0,"""",IF(Q1526="""",0,IF(REGEXMATCH(Q1526,""^Sell_""),-ROUNDDOWN(ROUNDUP(INDEX(Upgrades!$C$3:$C$13,MATCH(SUBSTITUTE(Q1526,""Sell_"",""""),Upgrades!$B$3:$B$13,0))*1.15^(COUNTIF(Q$4:Q1525,SUBSTITUTE(Q1526,""Sell_"",""""))-COUNTIF(Q$4"&amp;":Q1525,""Sell_""&amp;SUBSTITUTE(Q1526,""Sell_"",""""))))/2),ROUNDUP(INDEX(Upgrades!$C$3:$C$13,MATCH(Q1526,Upgrades!$B$3:$B$13,0))*1.15^(COUNTIF(Q$4:Q1525,Q1526)-COUNTIF(Q$4:Q1525,""Sell_""&amp;Q1526))))))"),"")</f>
        <v/>
      </c>
      <c r="V1526" s="10" t="str">
        <f t="shared" si="11"/>
        <v/>
      </c>
      <c r="W1526" s="68" t="str">
        <f t="shared" si="12"/>
        <v/>
      </c>
      <c r="X1526" s="59" t="str">
        <f t="shared" si="13"/>
        <v/>
      </c>
      <c r="Y1526" s="69" t="str">
        <f t="shared" si="14"/>
        <v/>
      </c>
      <c r="Z1526" s="11"/>
      <c r="AG1526" s="59"/>
    </row>
    <row r="1527">
      <c r="A1527" s="8"/>
      <c r="B1527" s="56" t="str">
        <f t="shared" si="2"/>
        <v/>
      </c>
      <c r="C1527" s="105"/>
      <c r="D1527" s="10"/>
      <c r="E1527" s="59" t="str">
        <f t="array" ref="E1527">IF(COUNTA(C1527:C1644)=0,"",SUM((COUNTIF(C$4:C1527,Upgrades!$B$3:$B$13)-COUNTIF(C$4:C1527,"Sell_"&amp;Upgrades!$B$3:$B$13))*Upgrades!$D$3:$D$13))</f>
        <v/>
      </c>
      <c r="F1527" s="66" t="str">
        <f>IFERROR(__xludf.DUMMYFUNCTION("IF(COUNTA(C1527:C1644)=0,"""",IF(REGEXMATCH(INDEX(FILTER(C$4:C1527,C$4:C1527&lt;&gt;""""),ROWS(FILTER(C$4:C1527,C$4:C1527&lt;&gt;""""))),""^Sell_""),INDEX(FILTER(F$4:F1526,C$4:C1526&lt;&gt;""""),ROWS(FILTER(C$4:C1526,C$4:C1526&lt;&gt;""""))),$AC$5+E1527))"),"")</f>
        <v/>
      </c>
      <c r="G1527" s="10" t="str">
        <f>IFERROR(__xludf.DUMMYFUNCTION("IF(COUNTA(C1527:C1644)=0,"""",IF(C1527="""",0,IF(REGEXMATCH(C1527,""^Sell_""),-ROUNDDOWN(ROUNDUP(INDEX(Upgrades!$C$3:$C$13,MATCH(SUBSTITUTE(C1527,""Sell_"",""""),Upgrades!$B$3:$B$13,0))*1.15^(COUNTIF(C$4:C1526,SUBSTITUTE(C1527,""Sell_"",""""))-COUNTIF(C$4"&amp;":C1526,""Sell_""&amp;SUBSTITUTE(C1527,""Sell_"",""""))))/2),ROUNDUP(INDEX(Upgrades!$C$3:$C$13,MATCH(C1527,Upgrades!$B$3:$B$13,0))*1.15^(COUNTIF(C$4:C1526,C1527)-COUNTIF(C$4:C1526,""Sell_""&amp;C1527))))))"),"")</f>
        <v/>
      </c>
      <c r="H1527" s="10" t="str">
        <f t="shared" si="3"/>
        <v/>
      </c>
      <c r="I1527" s="68" t="str">
        <f t="shared" si="4"/>
        <v/>
      </c>
      <c r="J1527" s="59" t="str">
        <f t="shared" si="5"/>
        <v/>
      </c>
      <c r="K1527" s="69" t="str">
        <f t="shared" si="6"/>
        <v/>
      </c>
      <c r="L1527" s="60" t="str">
        <f t="shared" si="7"/>
        <v/>
      </c>
      <c r="M1527" s="61" t="str">
        <f>IFERROR(__xludf.DUMMYFUNCTION("IFS(AND(COUNTA(C1527:C1644)=0,COUNTA(Q1527:Q1644)=0),"""",OR(AND(K1527&gt;=1000000000,OR(Y1527&gt;=1000000000,COUNTA(Q1527:Q1644)=0)),OR(Y1527&gt;=1000000000,AND(COUNTA(C1527:C1644)=0,P$3=TRUE))),
ROUNDDOWN((AB$1-AC$1)*MAX(INDEX(T$4:T1644,MATCH(LARGE(FILTER(Y$4:Y1"&amp;"644,Y$4:Y1644&lt;1000000000),1),Y$4:Y1644)),INDEX(F$4:F1644,MATCH(LARGE(FILTER(K$4:K1644,K$4:K1644&lt;1000000000),1),K$4:K1644)))),AND(K1527&lt;1000000000,COUNTA(C1527:C1644)&gt;0,P$3=FALSE),
ROUNDDOWN(INDEX(Y$4:Y1644,MATCH(LARGE(FILTER(W$4:W1644,W$4:W1644&lt;=I1527),1)"&amp;",W$4:W1644))+(I1527-LARGE(FILTER(W$4:W1644,W$4:W1644&lt;=I1527),1))*INDEX(T$4:T1644,MATCH(LARGE(FILTER(W$4:W1644,W$4:W1644&lt;=I1527),1),W$4:W1644))-K1527),1,
ROUNDDOWN(Y1527-INDEX(K$4:K1644,MATCH(LARGE(FILTER(I$4:I1644,I$4:I1644&lt;=W1527),1),I$4:I1644))-(W1527-L"&amp;"ARGE(FILTER(I$4:I1644,I$4:I1644&lt;=W1527),1))*INDEX(F$4:F1644,MATCH(LARGE(FILTER(I$4:I1644,I$4:I1644&lt;=W1527),1),I$4:I1644))))"),"")</f>
        <v/>
      </c>
      <c r="N1527" s="60" t="str">
        <f t="shared" si="8"/>
        <v/>
      </c>
      <c r="O1527" s="61" t="str">
        <f t="shared" si="9"/>
        <v/>
      </c>
      <c r="P1527" s="56" t="str">
        <f t="shared" si="10"/>
        <v/>
      </c>
      <c r="Q1527" s="105"/>
      <c r="R1527" s="10"/>
      <c r="S1527" s="59" t="str">
        <f t="array" ref="S1527">IF(COUNTA(Q1527:Q1644)=0,"",SUM((COUNTIF(Q$4:Q1527,Upgrades!$B$3:$B$13)-COUNTIF(Q$4:Q1527,"Sell_"&amp;Upgrades!$B$3:$B$13))*Upgrades!$D$3:$D$13))</f>
        <v/>
      </c>
      <c r="T1527" s="66" t="str">
        <f>IFERROR(__xludf.DUMMYFUNCTION("IF(COUNTA(Q1527:Q1644)=0,"""",IF(REGEXMATCH(INDEX(FILTER(Q$4:Q1527,Q$4:Q1527&lt;&gt;""""),ROWS(FILTER(Q$4:Q1527,Q$4:Q1527&lt;&gt;""""))),""^Sell_""),INDEX(FILTER(T$4:T1526,Q$4:Q1526&lt;&gt;""""),ROWS(FILTER(Q$4:Q1526,Q$4:Q1526&lt;&gt;""""))),$AD$5+S1527))"),"")</f>
        <v/>
      </c>
      <c r="U1527" s="10" t="str">
        <f>IFERROR(__xludf.DUMMYFUNCTION("IF(COUNTA(Q1527:Q1644)=0,"""",IF(Q1527="""",0,IF(REGEXMATCH(Q1527,""^Sell_""),-ROUNDDOWN(ROUNDUP(INDEX(Upgrades!$C$3:$C$13,MATCH(SUBSTITUTE(Q1527,""Sell_"",""""),Upgrades!$B$3:$B$13,0))*1.15^(COUNTIF(Q$4:Q1526,SUBSTITUTE(Q1527,""Sell_"",""""))-COUNTIF(Q$4"&amp;":Q1526,""Sell_""&amp;SUBSTITUTE(Q1527,""Sell_"",""""))))/2),ROUNDUP(INDEX(Upgrades!$C$3:$C$13,MATCH(Q1527,Upgrades!$B$3:$B$13,0))*1.15^(COUNTIF(Q$4:Q1526,Q1527)-COUNTIF(Q$4:Q1526,""Sell_""&amp;Q1527))))))"),"")</f>
        <v/>
      </c>
      <c r="V1527" s="10" t="str">
        <f t="shared" si="11"/>
        <v/>
      </c>
      <c r="W1527" s="68" t="str">
        <f t="shared" si="12"/>
        <v/>
      </c>
      <c r="X1527" s="59" t="str">
        <f t="shared" si="13"/>
        <v/>
      </c>
      <c r="Y1527" s="69" t="str">
        <f t="shared" si="14"/>
        <v/>
      </c>
      <c r="Z1527" s="11"/>
      <c r="AG1527" s="59"/>
    </row>
    <row r="1528">
      <c r="A1528" s="8"/>
      <c r="B1528" s="56" t="str">
        <f t="shared" si="2"/>
        <v/>
      </c>
      <c r="C1528" s="105"/>
      <c r="D1528" s="10"/>
      <c r="E1528" s="59" t="str">
        <f t="array" ref="E1528">IF(COUNTA(C1528:C1644)=0,"",SUM((COUNTIF(C$4:C1528,Upgrades!$B$3:$B$13)-COUNTIF(C$4:C1528,"Sell_"&amp;Upgrades!$B$3:$B$13))*Upgrades!$D$3:$D$13))</f>
        <v/>
      </c>
      <c r="F1528" s="66" t="str">
        <f>IFERROR(__xludf.DUMMYFUNCTION("IF(COUNTA(C1528:C1644)=0,"""",IF(REGEXMATCH(INDEX(FILTER(C$4:C1528,C$4:C1528&lt;&gt;""""),ROWS(FILTER(C$4:C1528,C$4:C1528&lt;&gt;""""))),""^Sell_""),INDEX(FILTER(F$4:F1527,C$4:C1527&lt;&gt;""""),ROWS(FILTER(C$4:C1527,C$4:C1527&lt;&gt;""""))),$AC$5+E1528))"),"")</f>
        <v/>
      </c>
      <c r="G1528" s="10" t="str">
        <f>IFERROR(__xludf.DUMMYFUNCTION("IF(COUNTA(C1528:C1644)=0,"""",IF(C1528="""",0,IF(REGEXMATCH(C1528,""^Sell_""),-ROUNDDOWN(ROUNDUP(INDEX(Upgrades!$C$3:$C$13,MATCH(SUBSTITUTE(C1528,""Sell_"",""""),Upgrades!$B$3:$B$13,0))*1.15^(COUNTIF(C$4:C1527,SUBSTITUTE(C1528,""Sell_"",""""))-COUNTIF(C$4"&amp;":C1527,""Sell_""&amp;SUBSTITUTE(C1528,""Sell_"",""""))))/2),ROUNDUP(INDEX(Upgrades!$C$3:$C$13,MATCH(C1528,Upgrades!$B$3:$B$13,0))*1.15^(COUNTIF(C$4:C1527,C1528)-COUNTIF(C$4:C1527,""Sell_""&amp;C1528))))))"),"")</f>
        <v/>
      </c>
      <c r="H1528" s="10" t="str">
        <f t="shared" si="3"/>
        <v/>
      </c>
      <c r="I1528" s="68" t="str">
        <f t="shared" si="4"/>
        <v/>
      </c>
      <c r="J1528" s="59" t="str">
        <f t="shared" si="5"/>
        <v/>
      </c>
      <c r="K1528" s="69" t="str">
        <f t="shared" si="6"/>
        <v/>
      </c>
      <c r="L1528" s="60" t="str">
        <f t="shared" si="7"/>
        <v/>
      </c>
      <c r="M1528" s="61" t="str">
        <f>IFERROR(__xludf.DUMMYFUNCTION("IFS(AND(COUNTA(C1528:C1644)=0,COUNTA(Q1528:Q1644)=0),"""",OR(AND(K1528&gt;=1000000000,OR(Y1528&gt;=1000000000,COUNTA(Q1528:Q1644)=0)),OR(Y1528&gt;=1000000000,AND(COUNTA(C1528:C1644)=0,P$3=TRUE))),
ROUNDDOWN((AB$1-AC$1)*MAX(INDEX(T$4:T1644,MATCH(LARGE(FILTER(Y$4:Y1"&amp;"644,Y$4:Y1644&lt;1000000000),1),Y$4:Y1644)),INDEX(F$4:F1644,MATCH(LARGE(FILTER(K$4:K1644,K$4:K1644&lt;1000000000),1),K$4:K1644)))),AND(K1528&lt;1000000000,COUNTA(C1528:C1644)&gt;0,P$3=FALSE),
ROUNDDOWN(INDEX(Y$4:Y1644,MATCH(LARGE(FILTER(W$4:W1644,W$4:W1644&lt;=I1528),1)"&amp;",W$4:W1644))+(I1528-LARGE(FILTER(W$4:W1644,W$4:W1644&lt;=I1528),1))*INDEX(T$4:T1644,MATCH(LARGE(FILTER(W$4:W1644,W$4:W1644&lt;=I1528),1),W$4:W1644))-K1528),1,
ROUNDDOWN(Y1528-INDEX(K$4:K1644,MATCH(LARGE(FILTER(I$4:I1644,I$4:I1644&lt;=W1528),1),I$4:I1644))-(W1528-L"&amp;"ARGE(FILTER(I$4:I1644,I$4:I1644&lt;=W1528),1))*INDEX(F$4:F1644,MATCH(LARGE(FILTER(I$4:I1644,I$4:I1644&lt;=W1528),1),I$4:I1644))))"),"")</f>
        <v/>
      </c>
      <c r="N1528" s="60" t="str">
        <f t="shared" si="8"/>
        <v/>
      </c>
      <c r="O1528" s="61" t="str">
        <f t="shared" si="9"/>
        <v/>
      </c>
      <c r="P1528" s="56" t="str">
        <f t="shared" si="10"/>
        <v/>
      </c>
      <c r="Q1528" s="105"/>
      <c r="R1528" s="10"/>
      <c r="S1528" s="59" t="str">
        <f t="array" ref="S1528">IF(COUNTA(Q1528:Q1644)=0,"",SUM((COUNTIF(Q$4:Q1528,Upgrades!$B$3:$B$13)-COUNTIF(Q$4:Q1528,"Sell_"&amp;Upgrades!$B$3:$B$13))*Upgrades!$D$3:$D$13))</f>
        <v/>
      </c>
      <c r="T1528" s="66" t="str">
        <f>IFERROR(__xludf.DUMMYFUNCTION("IF(COUNTA(Q1528:Q1644)=0,"""",IF(REGEXMATCH(INDEX(FILTER(Q$4:Q1528,Q$4:Q1528&lt;&gt;""""),ROWS(FILTER(Q$4:Q1528,Q$4:Q1528&lt;&gt;""""))),""^Sell_""),INDEX(FILTER(T$4:T1527,Q$4:Q1527&lt;&gt;""""),ROWS(FILTER(Q$4:Q1527,Q$4:Q1527&lt;&gt;""""))),$AD$5+S1528))"),"")</f>
        <v/>
      </c>
      <c r="U1528" s="10" t="str">
        <f>IFERROR(__xludf.DUMMYFUNCTION("IF(COUNTA(Q1528:Q1644)=0,"""",IF(Q1528="""",0,IF(REGEXMATCH(Q1528,""^Sell_""),-ROUNDDOWN(ROUNDUP(INDEX(Upgrades!$C$3:$C$13,MATCH(SUBSTITUTE(Q1528,""Sell_"",""""),Upgrades!$B$3:$B$13,0))*1.15^(COUNTIF(Q$4:Q1527,SUBSTITUTE(Q1528,""Sell_"",""""))-COUNTIF(Q$4"&amp;":Q1527,""Sell_""&amp;SUBSTITUTE(Q1528,""Sell_"",""""))))/2),ROUNDUP(INDEX(Upgrades!$C$3:$C$13,MATCH(Q1528,Upgrades!$B$3:$B$13,0))*1.15^(COUNTIF(Q$4:Q1527,Q1528)-COUNTIF(Q$4:Q1527,""Sell_""&amp;Q1528))))))"),"")</f>
        <v/>
      </c>
      <c r="V1528" s="10" t="str">
        <f t="shared" si="11"/>
        <v/>
      </c>
      <c r="W1528" s="68" t="str">
        <f t="shared" si="12"/>
        <v/>
      </c>
      <c r="X1528" s="59" t="str">
        <f t="shared" si="13"/>
        <v/>
      </c>
      <c r="Y1528" s="69" t="str">
        <f t="shared" si="14"/>
        <v/>
      </c>
      <c r="Z1528" s="11"/>
      <c r="AG1528" s="59"/>
    </row>
    <row r="1529">
      <c r="A1529" s="8"/>
      <c r="B1529" s="56" t="str">
        <f t="shared" si="2"/>
        <v/>
      </c>
      <c r="C1529" s="105"/>
      <c r="D1529" s="10"/>
      <c r="E1529" s="59" t="str">
        <f t="array" ref="E1529">IF(COUNTA(C1529:C1644)=0,"",SUM((COUNTIF(C$4:C1529,Upgrades!$B$3:$B$13)-COUNTIF(C$4:C1529,"Sell_"&amp;Upgrades!$B$3:$B$13))*Upgrades!$D$3:$D$13))</f>
        <v/>
      </c>
      <c r="F1529" s="66" t="str">
        <f>IFERROR(__xludf.DUMMYFUNCTION("IF(COUNTA(C1529:C1644)=0,"""",IF(REGEXMATCH(INDEX(FILTER(C$4:C1529,C$4:C1529&lt;&gt;""""),ROWS(FILTER(C$4:C1529,C$4:C1529&lt;&gt;""""))),""^Sell_""),INDEX(FILTER(F$4:F1528,C$4:C1528&lt;&gt;""""),ROWS(FILTER(C$4:C1528,C$4:C1528&lt;&gt;""""))),$AC$5+E1529))"),"")</f>
        <v/>
      </c>
      <c r="G1529" s="10" t="str">
        <f>IFERROR(__xludf.DUMMYFUNCTION("IF(COUNTA(C1529:C1644)=0,"""",IF(C1529="""",0,IF(REGEXMATCH(C1529,""^Sell_""),-ROUNDDOWN(ROUNDUP(INDEX(Upgrades!$C$3:$C$13,MATCH(SUBSTITUTE(C1529,""Sell_"",""""),Upgrades!$B$3:$B$13,0))*1.15^(COUNTIF(C$4:C1528,SUBSTITUTE(C1529,""Sell_"",""""))-COUNTIF(C$4"&amp;":C1528,""Sell_""&amp;SUBSTITUTE(C1529,""Sell_"",""""))))/2),ROUNDUP(INDEX(Upgrades!$C$3:$C$13,MATCH(C1529,Upgrades!$B$3:$B$13,0))*1.15^(COUNTIF(C$4:C1528,C1529)-COUNTIF(C$4:C1528,""Sell_""&amp;C1529))))))"),"")</f>
        <v/>
      </c>
      <c r="H1529" s="10" t="str">
        <f t="shared" si="3"/>
        <v/>
      </c>
      <c r="I1529" s="68" t="str">
        <f t="shared" si="4"/>
        <v/>
      </c>
      <c r="J1529" s="59" t="str">
        <f t="shared" si="5"/>
        <v/>
      </c>
      <c r="K1529" s="69" t="str">
        <f t="shared" si="6"/>
        <v/>
      </c>
      <c r="L1529" s="60" t="str">
        <f t="shared" si="7"/>
        <v/>
      </c>
      <c r="M1529" s="61" t="str">
        <f>IFERROR(__xludf.DUMMYFUNCTION("IFS(AND(COUNTA(C1529:C1644)=0,COUNTA(Q1529:Q1644)=0),"""",OR(AND(K1529&gt;=1000000000,OR(Y1529&gt;=1000000000,COUNTA(Q1529:Q1644)=0)),OR(Y1529&gt;=1000000000,AND(COUNTA(C1529:C1644)=0,P$3=TRUE))),
ROUNDDOWN((AB$1-AC$1)*MAX(INDEX(T$4:T1644,MATCH(LARGE(FILTER(Y$4:Y1"&amp;"644,Y$4:Y1644&lt;1000000000),1),Y$4:Y1644)),INDEX(F$4:F1644,MATCH(LARGE(FILTER(K$4:K1644,K$4:K1644&lt;1000000000),1),K$4:K1644)))),AND(K1529&lt;1000000000,COUNTA(C1529:C1644)&gt;0,P$3=FALSE),
ROUNDDOWN(INDEX(Y$4:Y1644,MATCH(LARGE(FILTER(W$4:W1644,W$4:W1644&lt;=I1529),1)"&amp;",W$4:W1644))+(I1529-LARGE(FILTER(W$4:W1644,W$4:W1644&lt;=I1529),1))*INDEX(T$4:T1644,MATCH(LARGE(FILTER(W$4:W1644,W$4:W1644&lt;=I1529),1),W$4:W1644))-K1529),1,
ROUNDDOWN(Y1529-INDEX(K$4:K1644,MATCH(LARGE(FILTER(I$4:I1644,I$4:I1644&lt;=W1529),1),I$4:I1644))-(W1529-L"&amp;"ARGE(FILTER(I$4:I1644,I$4:I1644&lt;=W1529),1))*INDEX(F$4:F1644,MATCH(LARGE(FILTER(I$4:I1644,I$4:I1644&lt;=W1529),1),I$4:I1644))))"),"")</f>
        <v/>
      </c>
      <c r="N1529" s="60" t="str">
        <f t="shared" si="8"/>
        <v/>
      </c>
      <c r="O1529" s="61" t="str">
        <f t="shared" si="9"/>
        <v/>
      </c>
      <c r="P1529" s="56" t="str">
        <f t="shared" si="10"/>
        <v/>
      </c>
      <c r="Q1529" s="105"/>
      <c r="R1529" s="10"/>
      <c r="S1529" s="59" t="str">
        <f t="array" ref="S1529">IF(COUNTA(Q1529:Q1644)=0,"",SUM((COUNTIF(Q$4:Q1529,Upgrades!$B$3:$B$13)-COUNTIF(Q$4:Q1529,"Sell_"&amp;Upgrades!$B$3:$B$13))*Upgrades!$D$3:$D$13))</f>
        <v/>
      </c>
      <c r="T1529" s="66" t="str">
        <f>IFERROR(__xludf.DUMMYFUNCTION("IF(COUNTA(Q1529:Q1644)=0,"""",IF(REGEXMATCH(INDEX(FILTER(Q$4:Q1529,Q$4:Q1529&lt;&gt;""""),ROWS(FILTER(Q$4:Q1529,Q$4:Q1529&lt;&gt;""""))),""^Sell_""),INDEX(FILTER(T$4:T1528,Q$4:Q1528&lt;&gt;""""),ROWS(FILTER(Q$4:Q1528,Q$4:Q1528&lt;&gt;""""))),$AD$5+S1529))"),"")</f>
        <v/>
      </c>
      <c r="U1529" s="10" t="str">
        <f>IFERROR(__xludf.DUMMYFUNCTION("IF(COUNTA(Q1529:Q1644)=0,"""",IF(Q1529="""",0,IF(REGEXMATCH(Q1529,""^Sell_""),-ROUNDDOWN(ROUNDUP(INDEX(Upgrades!$C$3:$C$13,MATCH(SUBSTITUTE(Q1529,""Sell_"",""""),Upgrades!$B$3:$B$13,0))*1.15^(COUNTIF(Q$4:Q1528,SUBSTITUTE(Q1529,""Sell_"",""""))-COUNTIF(Q$4"&amp;":Q1528,""Sell_""&amp;SUBSTITUTE(Q1529,""Sell_"",""""))))/2),ROUNDUP(INDEX(Upgrades!$C$3:$C$13,MATCH(Q1529,Upgrades!$B$3:$B$13,0))*1.15^(COUNTIF(Q$4:Q1528,Q1529)-COUNTIF(Q$4:Q1528,""Sell_""&amp;Q1529))))))"),"")</f>
        <v/>
      </c>
      <c r="V1529" s="10" t="str">
        <f t="shared" si="11"/>
        <v/>
      </c>
      <c r="W1529" s="68" t="str">
        <f t="shared" si="12"/>
        <v/>
      </c>
      <c r="X1529" s="59" t="str">
        <f t="shared" si="13"/>
        <v/>
      </c>
      <c r="Y1529" s="69" t="str">
        <f t="shared" si="14"/>
        <v/>
      </c>
      <c r="Z1529" s="11"/>
      <c r="AG1529" s="59"/>
    </row>
    <row r="1530">
      <c r="A1530" s="8"/>
      <c r="B1530" s="56" t="str">
        <f t="shared" si="2"/>
        <v/>
      </c>
      <c r="C1530" s="105"/>
      <c r="D1530" s="10"/>
      <c r="E1530" s="59" t="str">
        <f t="array" ref="E1530">IF(COUNTA(C1530:C1644)=0,"",SUM((COUNTIF(C$4:C1530,Upgrades!$B$3:$B$13)-COUNTIF(C$4:C1530,"Sell_"&amp;Upgrades!$B$3:$B$13))*Upgrades!$D$3:$D$13))</f>
        <v/>
      </c>
      <c r="F1530" s="66" t="str">
        <f>IFERROR(__xludf.DUMMYFUNCTION("IF(COUNTA(C1530:C1644)=0,"""",IF(REGEXMATCH(INDEX(FILTER(C$4:C1530,C$4:C1530&lt;&gt;""""),ROWS(FILTER(C$4:C1530,C$4:C1530&lt;&gt;""""))),""^Sell_""),INDEX(FILTER(F$4:F1529,C$4:C1529&lt;&gt;""""),ROWS(FILTER(C$4:C1529,C$4:C1529&lt;&gt;""""))),$AC$5+E1530))"),"")</f>
        <v/>
      </c>
      <c r="G1530" s="10" t="str">
        <f>IFERROR(__xludf.DUMMYFUNCTION("IF(COUNTA(C1530:C1644)=0,"""",IF(C1530="""",0,IF(REGEXMATCH(C1530,""^Sell_""),-ROUNDDOWN(ROUNDUP(INDEX(Upgrades!$C$3:$C$13,MATCH(SUBSTITUTE(C1530,""Sell_"",""""),Upgrades!$B$3:$B$13,0))*1.15^(COUNTIF(C$4:C1529,SUBSTITUTE(C1530,""Sell_"",""""))-COUNTIF(C$4"&amp;":C1529,""Sell_""&amp;SUBSTITUTE(C1530,""Sell_"",""""))))/2),ROUNDUP(INDEX(Upgrades!$C$3:$C$13,MATCH(C1530,Upgrades!$B$3:$B$13,0))*1.15^(COUNTIF(C$4:C1529,C1530)-COUNTIF(C$4:C1529,""Sell_""&amp;C1530))))))"),"")</f>
        <v/>
      </c>
      <c r="H1530" s="10" t="str">
        <f t="shared" si="3"/>
        <v/>
      </c>
      <c r="I1530" s="68" t="str">
        <f t="shared" si="4"/>
        <v/>
      </c>
      <c r="J1530" s="59" t="str">
        <f t="shared" si="5"/>
        <v/>
      </c>
      <c r="K1530" s="69" t="str">
        <f t="shared" si="6"/>
        <v/>
      </c>
      <c r="L1530" s="60" t="str">
        <f t="shared" si="7"/>
        <v/>
      </c>
      <c r="M1530" s="61" t="str">
        <f>IFERROR(__xludf.DUMMYFUNCTION("IFS(AND(COUNTA(C1530:C1644)=0,COUNTA(Q1530:Q1644)=0),"""",OR(AND(K1530&gt;=1000000000,OR(Y1530&gt;=1000000000,COUNTA(Q1530:Q1644)=0)),OR(Y1530&gt;=1000000000,AND(COUNTA(C1530:C1644)=0,P$3=TRUE))),
ROUNDDOWN((AB$1-AC$1)*MAX(INDEX(T$4:T1644,MATCH(LARGE(FILTER(Y$4:Y1"&amp;"644,Y$4:Y1644&lt;1000000000),1),Y$4:Y1644)),INDEX(F$4:F1644,MATCH(LARGE(FILTER(K$4:K1644,K$4:K1644&lt;1000000000),1),K$4:K1644)))),AND(K1530&lt;1000000000,COUNTA(C1530:C1644)&gt;0,P$3=FALSE),
ROUNDDOWN(INDEX(Y$4:Y1644,MATCH(LARGE(FILTER(W$4:W1644,W$4:W1644&lt;=I1530),1)"&amp;",W$4:W1644))+(I1530-LARGE(FILTER(W$4:W1644,W$4:W1644&lt;=I1530),1))*INDEX(T$4:T1644,MATCH(LARGE(FILTER(W$4:W1644,W$4:W1644&lt;=I1530),1),W$4:W1644))-K1530),1,
ROUNDDOWN(Y1530-INDEX(K$4:K1644,MATCH(LARGE(FILTER(I$4:I1644,I$4:I1644&lt;=W1530),1),I$4:I1644))-(W1530-L"&amp;"ARGE(FILTER(I$4:I1644,I$4:I1644&lt;=W1530),1))*INDEX(F$4:F1644,MATCH(LARGE(FILTER(I$4:I1644,I$4:I1644&lt;=W1530),1),I$4:I1644))))"),"")</f>
        <v/>
      </c>
      <c r="N1530" s="60" t="str">
        <f t="shared" si="8"/>
        <v/>
      </c>
      <c r="O1530" s="61" t="str">
        <f t="shared" si="9"/>
        <v/>
      </c>
      <c r="P1530" s="56" t="str">
        <f t="shared" si="10"/>
        <v/>
      </c>
      <c r="Q1530" s="105"/>
      <c r="R1530" s="10"/>
      <c r="S1530" s="59" t="str">
        <f t="array" ref="S1530">IF(COUNTA(Q1530:Q1644)=0,"",SUM((COUNTIF(Q$4:Q1530,Upgrades!$B$3:$B$13)-COUNTIF(Q$4:Q1530,"Sell_"&amp;Upgrades!$B$3:$B$13))*Upgrades!$D$3:$D$13))</f>
        <v/>
      </c>
      <c r="T1530" s="66" t="str">
        <f>IFERROR(__xludf.DUMMYFUNCTION("IF(COUNTA(Q1530:Q1644)=0,"""",IF(REGEXMATCH(INDEX(FILTER(Q$4:Q1530,Q$4:Q1530&lt;&gt;""""),ROWS(FILTER(Q$4:Q1530,Q$4:Q1530&lt;&gt;""""))),""^Sell_""),INDEX(FILTER(T$4:T1529,Q$4:Q1529&lt;&gt;""""),ROWS(FILTER(Q$4:Q1529,Q$4:Q1529&lt;&gt;""""))),$AD$5+S1530))"),"")</f>
        <v/>
      </c>
      <c r="U1530" s="10" t="str">
        <f>IFERROR(__xludf.DUMMYFUNCTION("IF(COUNTA(Q1530:Q1644)=0,"""",IF(Q1530="""",0,IF(REGEXMATCH(Q1530,""^Sell_""),-ROUNDDOWN(ROUNDUP(INDEX(Upgrades!$C$3:$C$13,MATCH(SUBSTITUTE(Q1530,""Sell_"",""""),Upgrades!$B$3:$B$13,0))*1.15^(COUNTIF(Q$4:Q1529,SUBSTITUTE(Q1530,""Sell_"",""""))-COUNTIF(Q$4"&amp;":Q1529,""Sell_""&amp;SUBSTITUTE(Q1530,""Sell_"",""""))))/2),ROUNDUP(INDEX(Upgrades!$C$3:$C$13,MATCH(Q1530,Upgrades!$B$3:$B$13,0))*1.15^(COUNTIF(Q$4:Q1529,Q1530)-COUNTIF(Q$4:Q1529,""Sell_""&amp;Q1530))))))"),"")</f>
        <v/>
      </c>
      <c r="V1530" s="10" t="str">
        <f t="shared" si="11"/>
        <v/>
      </c>
      <c r="W1530" s="68" t="str">
        <f t="shared" si="12"/>
        <v/>
      </c>
      <c r="X1530" s="59" t="str">
        <f t="shared" si="13"/>
        <v/>
      </c>
      <c r="Y1530" s="69" t="str">
        <f t="shared" si="14"/>
        <v/>
      </c>
      <c r="Z1530" s="11"/>
      <c r="AG1530" s="59"/>
    </row>
    <row r="1531">
      <c r="A1531" s="8"/>
      <c r="B1531" s="56" t="str">
        <f t="shared" si="2"/>
        <v/>
      </c>
      <c r="C1531" s="105"/>
      <c r="D1531" s="10"/>
      <c r="E1531" s="59" t="str">
        <f t="array" ref="E1531">IF(COUNTA(C1531:C1644)=0,"",SUM((COUNTIF(C$4:C1531,Upgrades!$B$3:$B$13)-COUNTIF(C$4:C1531,"Sell_"&amp;Upgrades!$B$3:$B$13))*Upgrades!$D$3:$D$13))</f>
        <v/>
      </c>
      <c r="F1531" s="66" t="str">
        <f>IFERROR(__xludf.DUMMYFUNCTION("IF(COUNTA(C1531:C1644)=0,"""",IF(REGEXMATCH(INDEX(FILTER(C$4:C1531,C$4:C1531&lt;&gt;""""),ROWS(FILTER(C$4:C1531,C$4:C1531&lt;&gt;""""))),""^Sell_""),INDEX(FILTER(F$4:F1530,C$4:C1530&lt;&gt;""""),ROWS(FILTER(C$4:C1530,C$4:C1530&lt;&gt;""""))),$AC$5+E1531))"),"")</f>
        <v/>
      </c>
      <c r="G1531" s="10" t="str">
        <f>IFERROR(__xludf.DUMMYFUNCTION("IF(COUNTA(C1531:C1644)=0,"""",IF(C1531="""",0,IF(REGEXMATCH(C1531,""^Sell_""),-ROUNDDOWN(ROUNDUP(INDEX(Upgrades!$C$3:$C$13,MATCH(SUBSTITUTE(C1531,""Sell_"",""""),Upgrades!$B$3:$B$13,0))*1.15^(COUNTIF(C$4:C1530,SUBSTITUTE(C1531,""Sell_"",""""))-COUNTIF(C$4"&amp;":C1530,""Sell_""&amp;SUBSTITUTE(C1531,""Sell_"",""""))))/2),ROUNDUP(INDEX(Upgrades!$C$3:$C$13,MATCH(C1531,Upgrades!$B$3:$B$13,0))*1.15^(COUNTIF(C$4:C1530,C1531)-COUNTIF(C$4:C1530,""Sell_""&amp;C1531))))))"),"")</f>
        <v/>
      </c>
      <c r="H1531" s="10" t="str">
        <f t="shared" si="3"/>
        <v/>
      </c>
      <c r="I1531" s="68" t="str">
        <f t="shared" si="4"/>
        <v/>
      </c>
      <c r="J1531" s="59" t="str">
        <f t="shared" si="5"/>
        <v/>
      </c>
      <c r="K1531" s="69" t="str">
        <f t="shared" si="6"/>
        <v/>
      </c>
      <c r="L1531" s="60" t="str">
        <f t="shared" si="7"/>
        <v/>
      </c>
      <c r="M1531" s="61" t="str">
        <f>IFERROR(__xludf.DUMMYFUNCTION("IFS(AND(COUNTA(C1531:C1644)=0,COUNTA(Q1531:Q1644)=0),"""",OR(AND(K1531&gt;=1000000000,OR(Y1531&gt;=1000000000,COUNTA(Q1531:Q1644)=0)),OR(Y1531&gt;=1000000000,AND(COUNTA(C1531:C1644)=0,P$3=TRUE))),
ROUNDDOWN((AB$1-AC$1)*MAX(INDEX(T$4:T1644,MATCH(LARGE(FILTER(Y$4:Y1"&amp;"644,Y$4:Y1644&lt;1000000000),1),Y$4:Y1644)),INDEX(F$4:F1644,MATCH(LARGE(FILTER(K$4:K1644,K$4:K1644&lt;1000000000),1),K$4:K1644)))),AND(K1531&lt;1000000000,COUNTA(C1531:C1644)&gt;0,P$3=FALSE),
ROUNDDOWN(INDEX(Y$4:Y1644,MATCH(LARGE(FILTER(W$4:W1644,W$4:W1644&lt;=I1531),1)"&amp;",W$4:W1644))+(I1531-LARGE(FILTER(W$4:W1644,W$4:W1644&lt;=I1531),1))*INDEX(T$4:T1644,MATCH(LARGE(FILTER(W$4:W1644,W$4:W1644&lt;=I1531),1),W$4:W1644))-K1531),1,
ROUNDDOWN(Y1531-INDEX(K$4:K1644,MATCH(LARGE(FILTER(I$4:I1644,I$4:I1644&lt;=W1531),1),I$4:I1644))-(W1531-L"&amp;"ARGE(FILTER(I$4:I1644,I$4:I1644&lt;=W1531),1))*INDEX(F$4:F1644,MATCH(LARGE(FILTER(I$4:I1644,I$4:I1644&lt;=W1531),1),I$4:I1644))))"),"")</f>
        <v/>
      </c>
      <c r="N1531" s="60" t="str">
        <f t="shared" si="8"/>
        <v/>
      </c>
      <c r="O1531" s="61" t="str">
        <f t="shared" si="9"/>
        <v/>
      </c>
      <c r="P1531" s="56" t="str">
        <f t="shared" si="10"/>
        <v/>
      </c>
      <c r="Q1531" s="105"/>
      <c r="R1531" s="10"/>
      <c r="S1531" s="59" t="str">
        <f t="array" ref="S1531">IF(COUNTA(Q1531:Q1644)=0,"",SUM((COUNTIF(Q$4:Q1531,Upgrades!$B$3:$B$13)-COUNTIF(Q$4:Q1531,"Sell_"&amp;Upgrades!$B$3:$B$13))*Upgrades!$D$3:$D$13))</f>
        <v/>
      </c>
      <c r="T1531" s="66" t="str">
        <f>IFERROR(__xludf.DUMMYFUNCTION("IF(COUNTA(Q1531:Q1644)=0,"""",IF(REGEXMATCH(INDEX(FILTER(Q$4:Q1531,Q$4:Q1531&lt;&gt;""""),ROWS(FILTER(Q$4:Q1531,Q$4:Q1531&lt;&gt;""""))),""^Sell_""),INDEX(FILTER(T$4:T1530,Q$4:Q1530&lt;&gt;""""),ROWS(FILTER(Q$4:Q1530,Q$4:Q1530&lt;&gt;""""))),$AD$5+S1531))"),"")</f>
        <v/>
      </c>
      <c r="U1531" s="10" t="str">
        <f>IFERROR(__xludf.DUMMYFUNCTION("IF(COUNTA(Q1531:Q1644)=0,"""",IF(Q1531="""",0,IF(REGEXMATCH(Q1531,""^Sell_""),-ROUNDDOWN(ROUNDUP(INDEX(Upgrades!$C$3:$C$13,MATCH(SUBSTITUTE(Q1531,""Sell_"",""""),Upgrades!$B$3:$B$13,0))*1.15^(COUNTIF(Q$4:Q1530,SUBSTITUTE(Q1531,""Sell_"",""""))-COUNTIF(Q$4"&amp;":Q1530,""Sell_""&amp;SUBSTITUTE(Q1531,""Sell_"",""""))))/2),ROUNDUP(INDEX(Upgrades!$C$3:$C$13,MATCH(Q1531,Upgrades!$B$3:$B$13,0))*1.15^(COUNTIF(Q$4:Q1530,Q1531)-COUNTIF(Q$4:Q1530,""Sell_""&amp;Q1531))))))"),"")</f>
        <v/>
      </c>
      <c r="V1531" s="10" t="str">
        <f t="shared" si="11"/>
        <v/>
      </c>
      <c r="W1531" s="68" t="str">
        <f t="shared" si="12"/>
        <v/>
      </c>
      <c r="X1531" s="59" t="str">
        <f t="shared" si="13"/>
        <v/>
      </c>
      <c r="Y1531" s="69" t="str">
        <f t="shared" si="14"/>
        <v/>
      </c>
      <c r="Z1531" s="11"/>
      <c r="AG1531" s="59"/>
    </row>
    <row r="1532">
      <c r="A1532" s="8"/>
      <c r="B1532" s="56" t="str">
        <f t="shared" si="2"/>
        <v/>
      </c>
      <c r="C1532" s="105"/>
      <c r="D1532" s="10"/>
      <c r="E1532" s="59" t="str">
        <f t="array" ref="E1532">IF(COUNTA(C1532:C1644)=0,"",SUM((COUNTIF(C$4:C1532,Upgrades!$B$3:$B$13)-COUNTIF(C$4:C1532,"Sell_"&amp;Upgrades!$B$3:$B$13))*Upgrades!$D$3:$D$13))</f>
        <v/>
      </c>
      <c r="F1532" s="66" t="str">
        <f>IFERROR(__xludf.DUMMYFUNCTION("IF(COUNTA(C1532:C1644)=0,"""",IF(REGEXMATCH(INDEX(FILTER(C$4:C1532,C$4:C1532&lt;&gt;""""),ROWS(FILTER(C$4:C1532,C$4:C1532&lt;&gt;""""))),""^Sell_""),INDEX(FILTER(F$4:F1531,C$4:C1531&lt;&gt;""""),ROWS(FILTER(C$4:C1531,C$4:C1531&lt;&gt;""""))),$AC$5+E1532))"),"")</f>
        <v/>
      </c>
      <c r="G1532" s="10" t="str">
        <f>IFERROR(__xludf.DUMMYFUNCTION("IF(COUNTA(C1532:C1644)=0,"""",IF(C1532="""",0,IF(REGEXMATCH(C1532,""^Sell_""),-ROUNDDOWN(ROUNDUP(INDEX(Upgrades!$C$3:$C$13,MATCH(SUBSTITUTE(C1532,""Sell_"",""""),Upgrades!$B$3:$B$13,0))*1.15^(COUNTIF(C$4:C1531,SUBSTITUTE(C1532,""Sell_"",""""))-COUNTIF(C$4"&amp;":C1531,""Sell_""&amp;SUBSTITUTE(C1532,""Sell_"",""""))))/2),ROUNDUP(INDEX(Upgrades!$C$3:$C$13,MATCH(C1532,Upgrades!$B$3:$B$13,0))*1.15^(COUNTIF(C$4:C1531,C1532)-COUNTIF(C$4:C1531,""Sell_""&amp;C1532))))))"),"")</f>
        <v/>
      </c>
      <c r="H1532" s="10" t="str">
        <f t="shared" si="3"/>
        <v/>
      </c>
      <c r="I1532" s="68" t="str">
        <f t="shared" si="4"/>
        <v/>
      </c>
      <c r="J1532" s="59" t="str">
        <f t="shared" si="5"/>
        <v/>
      </c>
      <c r="K1532" s="69" t="str">
        <f t="shared" si="6"/>
        <v/>
      </c>
      <c r="L1532" s="60" t="str">
        <f t="shared" si="7"/>
        <v/>
      </c>
      <c r="M1532" s="61" t="str">
        <f>IFERROR(__xludf.DUMMYFUNCTION("IFS(AND(COUNTA(C1532:C1644)=0,COUNTA(Q1532:Q1644)=0),"""",OR(AND(K1532&gt;=1000000000,OR(Y1532&gt;=1000000000,COUNTA(Q1532:Q1644)=0)),OR(Y1532&gt;=1000000000,AND(COUNTA(C1532:C1644)=0,P$3=TRUE))),
ROUNDDOWN((AB$1-AC$1)*MAX(INDEX(T$4:T1644,MATCH(LARGE(FILTER(Y$4:Y1"&amp;"644,Y$4:Y1644&lt;1000000000),1),Y$4:Y1644)),INDEX(F$4:F1644,MATCH(LARGE(FILTER(K$4:K1644,K$4:K1644&lt;1000000000),1),K$4:K1644)))),AND(K1532&lt;1000000000,COUNTA(C1532:C1644)&gt;0,P$3=FALSE),
ROUNDDOWN(INDEX(Y$4:Y1644,MATCH(LARGE(FILTER(W$4:W1644,W$4:W1644&lt;=I1532),1)"&amp;",W$4:W1644))+(I1532-LARGE(FILTER(W$4:W1644,W$4:W1644&lt;=I1532),1))*INDEX(T$4:T1644,MATCH(LARGE(FILTER(W$4:W1644,W$4:W1644&lt;=I1532),1),W$4:W1644))-K1532),1,
ROUNDDOWN(Y1532-INDEX(K$4:K1644,MATCH(LARGE(FILTER(I$4:I1644,I$4:I1644&lt;=W1532),1),I$4:I1644))-(W1532-L"&amp;"ARGE(FILTER(I$4:I1644,I$4:I1644&lt;=W1532),1))*INDEX(F$4:F1644,MATCH(LARGE(FILTER(I$4:I1644,I$4:I1644&lt;=W1532),1),I$4:I1644))))"),"")</f>
        <v/>
      </c>
      <c r="N1532" s="60" t="str">
        <f t="shared" si="8"/>
        <v/>
      </c>
      <c r="O1532" s="61" t="str">
        <f t="shared" si="9"/>
        <v/>
      </c>
      <c r="P1532" s="56" t="str">
        <f t="shared" si="10"/>
        <v/>
      </c>
      <c r="Q1532" s="105"/>
      <c r="R1532" s="10"/>
      <c r="S1532" s="59" t="str">
        <f t="array" ref="S1532">IF(COUNTA(Q1532:Q1644)=0,"",SUM((COUNTIF(Q$4:Q1532,Upgrades!$B$3:$B$13)-COUNTIF(Q$4:Q1532,"Sell_"&amp;Upgrades!$B$3:$B$13))*Upgrades!$D$3:$D$13))</f>
        <v/>
      </c>
      <c r="T1532" s="66" t="str">
        <f>IFERROR(__xludf.DUMMYFUNCTION("IF(COUNTA(Q1532:Q1644)=0,"""",IF(REGEXMATCH(INDEX(FILTER(Q$4:Q1532,Q$4:Q1532&lt;&gt;""""),ROWS(FILTER(Q$4:Q1532,Q$4:Q1532&lt;&gt;""""))),""^Sell_""),INDEX(FILTER(T$4:T1531,Q$4:Q1531&lt;&gt;""""),ROWS(FILTER(Q$4:Q1531,Q$4:Q1531&lt;&gt;""""))),$AD$5+S1532))"),"")</f>
        <v/>
      </c>
      <c r="U1532" s="10" t="str">
        <f>IFERROR(__xludf.DUMMYFUNCTION("IF(COUNTA(Q1532:Q1644)=0,"""",IF(Q1532="""",0,IF(REGEXMATCH(Q1532,""^Sell_""),-ROUNDDOWN(ROUNDUP(INDEX(Upgrades!$C$3:$C$13,MATCH(SUBSTITUTE(Q1532,""Sell_"",""""),Upgrades!$B$3:$B$13,0))*1.15^(COUNTIF(Q$4:Q1531,SUBSTITUTE(Q1532,""Sell_"",""""))-COUNTIF(Q$4"&amp;":Q1531,""Sell_""&amp;SUBSTITUTE(Q1532,""Sell_"",""""))))/2),ROUNDUP(INDEX(Upgrades!$C$3:$C$13,MATCH(Q1532,Upgrades!$B$3:$B$13,0))*1.15^(COUNTIF(Q$4:Q1531,Q1532)-COUNTIF(Q$4:Q1531,""Sell_""&amp;Q1532))))))"),"")</f>
        <v/>
      </c>
      <c r="V1532" s="10" t="str">
        <f t="shared" si="11"/>
        <v/>
      </c>
      <c r="W1532" s="68" t="str">
        <f t="shared" si="12"/>
        <v/>
      </c>
      <c r="X1532" s="59" t="str">
        <f t="shared" si="13"/>
        <v/>
      </c>
      <c r="Y1532" s="69" t="str">
        <f t="shared" si="14"/>
        <v/>
      </c>
      <c r="Z1532" s="11"/>
      <c r="AG1532" s="59"/>
    </row>
    <row r="1533">
      <c r="A1533" s="8"/>
      <c r="B1533" s="56" t="str">
        <f t="shared" si="2"/>
        <v/>
      </c>
      <c r="C1533" s="105"/>
      <c r="D1533" s="10"/>
      <c r="E1533" s="59" t="str">
        <f t="array" ref="E1533">IF(COUNTA(C1533:C1644)=0,"",SUM((COUNTIF(C$4:C1533,Upgrades!$B$3:$B$13)-COUNTIF(C$4:C1533,"Sell_"&amp;Upgrades!$B$3:$B$13))*Upgrades!$D$3:$D$13))</f>
        <v/>
      </c>
      <c r="F1533" s="66" t="str">
        <f>IFERROR(__xludf.DUMMYFUNCTION("IF(COUNTA(C1533:C1644)=0,"""",IF(REGEXMATCH(INDEX(FILTER(C$4:C1533,C$4:C1533&lt;&gt;""""),ROWS(FILTER(C$4:C1533,C$4:C1533&lt;&gt;""""))),""^Sell_""),INDEX(FILTER(F$4:F1532,C$4:C1532&lt;&gt;""""),ROWS(FILTER(C$4:C1532,C$4:C1532&lt;&gt;""""))),$AC$5+E1533))"),"")</f>
        <v/>
      </c>
      <c r="G1533" s="10" t="str">
        <f>IFERROR(__xludf.DUMMYFUNCTION("IF(COUNTA(C1533:C1644)=0,"""",IF(C1533="""",0,IF(REGEXMATCH(C1533,""^Sell_""),-ROUNDDOWN(ROUNDUP(INDEX(Upgrades!$C$3:$C$13,MATCH(SUBSTITUTE(C1533,""Sell_"",""""),Upgrades!$B$3:$B$13,0))*1.15^(COUNTIF(C$4:C1532,SUBSTITUTE(C1533,""Sell_"",""""))-COUNTIF(C$4"&amp;":C1532,""Sell_""&amp;SUBSTITUTE(C1533,""Sell_"",""""))))/2),ROUNDUP(INDEX(Upgrades!$C$3:$C$13,MATCH(C1533,Upgrades!$B$3:$B$13,0))*1.15^(COUNTIF(C$4:C1532,C1533)-COUNTIF(C$4:C1532,""Sell_""&amp;C1533))))))"),"")</f>
        <v/>
      </c>
      <c r="H1533" s="10" t="str">
        <f t="shared" si="3"/>
        <v/>
      </c>
      <c r="I1533" s="68" t="str">
        <f t="shared" si="4"/>
        <v/>
      </c>
      <c r="J1533" s="59" t="str">
        <f t="shared" si="5"/>
        <v/>
      </c>
      <c r="K1533" s="69" t="str">
        <f t="shared" si="6"/>
        <v/>
      </c>
      <c r="L1533" s="60" t="str">
        <f t="shared" si="7"/>
        <v/>
      </c>
      <c r="M1533" s="61" t="str">
        <f>IFERROR(__xludf.DUMMYFUNCTION("IFS(AND(COUNTA(C1533:C1644)=0,COUNTA(Q1533:Q1644)=0),"""",OR(AND(K1533&gt;=1000000000,OR(Y1533&gt;=1000000000,COUNTA(Q1533:Q1644)=0)),OR(Y1533&gt;=1000000000,AND(COUNTA(C1533:C1644)=0,P$3=TRUE))),
ROUNDDOWN((AB$1-AC$1)*MAX(INDEX(T$4:T1644,MATCH(LARGE(FILTER(Y$4:Y1"&amp;"644,Y$4:Y1644&lt;1000000000),1),Y$4:Y1644)),INDEX(F$4:F1644,MATCH(LARGE(FILTER(K$4:K1644,K$4:K1644&lt;1000000000),1),K$4:K1644)))),AND(K1533&lt;1000000000,COUNTA(C1533:C1644)&gt;0,P$3=FALSE),
ROUNDDOWN(INDEX(Y$4:Y1644,MATCH(LARGE(FILTER(W$4:W1644,W$4:W1644&lt;=I1533),1)"&amp;",W$4:W1644))+(I1533-LARGE(FILTER(W$4:W1644,W$4:W1644&lt;=I1533),1))*INDEX(T$4:T1644,MATCH(LARGE(FILTER(W$4:W1644,W$4:W1644&lt;=I1533),1),W$4:W1644))-K1533),1,
ROUNDDOWN(Y1533-INDEX(K$4:K1644,MATCH(LARGE(FILTER(I$4:I1644,I$4:I1644&lt;=W1533),1),I$4:I1644))-(W1533-L"&amp;"ARGE(FILTER(I$4:I1644,I$4:I1644&lt;=W1533),1))*INDEX(F$4:F1644,MATCH(LARGE(FILTER(I$4:I1644,I$4:I1644&lt;=W1533),1),I$4:I1644))))"),"")</f>
        <v/>
      </c>
      <c r="N1533" s="60" t="str">
        <f t="shared" si="8"/>
        <v/>
      </c>
      <c r="O1533" s="61" t="str">
        <f t="shared" si="9"/>
        <v/>
      </c>
      <c r="P1533" s="56" t="str">
        <f t="shared" si="10"/>
        <v/>
      </c>
      <c r="Q1533" s="105"/>
      <c r="R1533" s="10"/>
      <c r="S1533" s="59" t="str">
        <f t="array" ref="S1533">IF(COUNTA(Q1533:Q1644)=0,"",SUM((COUNTIF(Q$4:Q1533,Upgrades!$B$3:$B$13)-COUNTIF(Q$4:Q1533,"Sell_"&amp;Upgrades!$B$3:$B$13))*Upgrades!$D$3:$D$13))</f>
        <v/>
      </c>
      <c r="T1533" s="66" t="str">
        <f>IFERROR(__xludf.DUMMYFUNCTION("IF(COUNTA(Q1533:Q1644)=0,"""",IF(REGEXMATCH(INDEX(FILTER(Q$4:Q1533,Q$4:Q1533&lt;&gt;""""),ROWS(FILTER(Q$4:Q1533,Q$4:Q1533&lt;&gt;""""))),""^Sell_""),INDEX(FILTER(T$4:T1532,Q$4:Q1532&lt;&gt;""""),ROWS(FILTER(Q$4:Q1532,Q$4:Q1532&lt;&gt;""""))),$AD$5+S1533))"),"")</f>
        <v/>
      </c>
      <c r="U1533" s="10" t="str">
        <f>IFERROR(__xludf.DUMMYFUNCTION("IF(COUNTA(Q1533:Q1644)=0,"""",IF(Q1533="""",0,IF(REGEXMATCH(Q1533,""^Sell_""),-ROUNDDOWN(ROUNDUP(INDEX(Upgrades!$C$3:$C$13,MATCH(SUBSTITUTE(Q1533,""Sell_"",""""),Upgrades!$B$3:$B$13,0))*1.15^(COUNTIF(Q$4:Q1532,SUBSTITUTE(Q1533,""Sell_"",""""))-COUNTIF(Q$4"&amp;":Q1532,""Sell_""&amp;SUBSTITUTE(Q1533,""Sell_"",""""))))/2),ROUNDUP(INDEX(Upgrades!$C$3:$C$13,MATCH(Q1533,Upgrades!$B$3:$B$13,0))*1.15^(COUNTIF(Q$4:Q1532,Q1533)-COUNTIF(Q$4:Q1532,""Sell_""&amp;Q1533))))))"),"")</f>
        <v/>
      </c>
      <c r="V1533" s="10" t="str">
        <f t="shared" si="11"/>
        <v/>
      </c>
      <c r="W1533" s="68" t="str">
        <f t="shared" si="12"/>
        <v/>
      </c>
      <c r="X1533" s="59" t="str">
        <f t="shared" si="13"/>
        <v/>
      </c>
      <c r="Y1533" s="69" t="str">
        <f t="shared" si="14"/>
        <v/>
      </c>
      <c r="Z1533" s="11"/>
      <c r="AG1533" s="59"/>
    </row>
    <row r="1534">
      <c r="A1534" s="8"/>
      <c r="B1534" s="56" t="str">
        <f t="shared" si="2"/>
        <v/>
      </c>
      <c r="C1534" s="105"/>
      <c r="D1534" s="10"/>
      <c r="E1534" s="59" t="str">
        <f t="array" ref="E1534">IF(COUNTA(C1534:C1644)=0,"",SUM((COUNTIF(C$4:C1534,Upgrades!$B$3:$B$13)-COUNTIF(C$4:C1534,"Sell_"&amp;Upgrades!$B$3:$B$13))*Upgrades!$D$3:$D$13))</f>
        <v/>
      </c>
      <c r="F1534" s="66" t="str">
        <f>IFERROR(__xludf.DUMMYFUNCTION("IF(COUNTA(C1534:C1644)=0,"""",IF(REGEXMATCH(INDEX(FILTER(C$4:C1534,C$4:C1534&lt;&gt;""""),ROWS(FILTER(C$4:C1534,C$4:C1534&lt;&gt;""""))),""^Sell_""),INDEX(FILTER(F$4:F1533,C$4:C1533&lt;&gt;""""),ROWS(FILTER(C$4:C1533,C$4:C1533&lt;&gt;""""))),$AC$5+E1534))"),"")</f>
        <v/>
      </c>
      <c r="G1534" s="10" t="str">
        <f>IFERROR(__xludf.DUMMYFUNCTION("IF(COUNTA(C1534:C1644)=0,"""",IF(C1534="""",0,IF(REGEXMATCH(C1534,""^Sell_""),-ROUNDDOWN(ROUNDUP(INDEX(Upgrades!$C$3:$C$13,MATCH(SUBSTITUTE(C1534,""Sell_"",""""),Upgrades!$B$3:$B$13,0))*1.15^(COUNTIF(C$4:C1533,SUBSTITUTE(C1534,""Sell_"",""""))-COUNTIF(C$4"&amp;":C1533,""Sell_""&amp;SUBSTITUTE(C1534,""Sell_"",""""))))/2),ROUNDUP(INDEX(Upgrades!$C$3:$C$13,MATCH(C1534,Upgrades!$B$3:$B$13,0))*1.15^(COUNTIF(C$4:C1533,C1534)-COUNTIF(C$4:C1533,""Sell_""&amp;C1534))))))"),"")</f>
        <v/>
      </c>
      <c r="H1534" s="10" t="str">
        <f t="shared" si="3"/>
        <v/>
      </c>
      <c r="I1534" s="68" t="str">
        <f t="shared" si="4"/>
        <v/>
      </c>
      <c r="J1534" s="59" t="str">
        <f t="shared" si="5"/>
        <v/>
      </c>
      <c r="K1534" s="69" t="str">
        <f t="shared" si="6"/>
        <v/>
      </c>
      <c r="L1534" s="60" t="str">
        <f t="shared" si="7"/>
        <v/>
      </c>
      <c r="M1534" s="61" t="str">
        <f>IFERROR(__xludf.DUMMYFUNCTION("IFS(AND(COUNTA(C1534:C1644)=0,COUNTA(Q1534:Q1644)=0),"""",OR(AND(K1534&gt;=1000000000,OR(Y1534&gt;=1000000000,COUNTA(Q1534:Q1644)=0)),OR(Y1534&gt;=1000000000,AND(COUNTA(C1534:C1644)=0,P$3=TRUE))),
ROUNDDOWN((AB$1-AC$1)*MAX(INDEX(T$4:T1644,MATCH(LARGE(FILTER(Y$4:Y1"&amp;"644,Y$4:Y1644&lt;1000000000),1),Y$4:Y1644)),INDEX(F$4:F1644,MATCH(LARGE(FILTER(K$4:K1644,K$4:K1644&lt;1000000000),1),K$4:K1644)))),AND(K1534&lt;1000000000,COUNTA(C1534:C1644)&gt;0,P$3=FALSE),
ROUNDDOWN(INDEX(Y$4:Y1644,MATCH(LARGE(FILTER(W$4:W1644,W$4:W1644&lt;=I1534),1)"&amp;",W$4:W1644))+(I1534-LARGE(FILTER(W$4:W1644,W$4:W1644&lt;=I1534),1))*INDEX(T$4:T1644,MATCH(LARGE(FILTER(W$4:W1644,W$4:W1644&lt;=I1534),1),W$4:W1644))-K1534),1,
ROUNDDOWN(Y1534-INDEX(K$4:K1644,MATCH(LARGE(FILTER(I$4:I1644,I$4:I1644&lt;=W1534),1),I$4:I1644))-(W1534-L"&amp;"ARGE(FILTER(I$4:I1644,I$4:I1644&lt;=W1534),1))*INDEX(F$4:F1644,MATCH(LARGE(FILTER(I$4:I1644,I$4:I1644&lt;=W1534),1),I$4:I1644))))"),"")</f>
        <v/>
      </c>
      <c r="N1534" s="60" t="str">
        <f t="shared" si="8"/>
        <v/>
      </c>
      <c r="O1534" s="61" t="str">
        <f t="shared" si="9"/>
        <v/>
      </c>
      <c r="P1534" s="56" t="str">
        <f t="shared" si="10"/>
        <v/>
      </c>
      <c r="Q1534" s="105"/>
      <c r="R1534" s="10"/>
      <c r="S1534" s="59" t="str">
        <f t="array" ref="S1534">IF(COUNTA(Q1534:Q1644)=0,"",SUM((COUNTIF(Q$4:Q1534,Upgrades!$B$3:$B$13)-COUNTIF(Q$4:Q1534,"Sell_"&amp;Upgrades!$B$3:$B$13))*Upgrades!$D$3:$D$13))</f>
        <v/>
      </c>
      <c r="T1534" s="66" t="str">
        <f>IFERROR(__xludf.DUMMYFUNCTION("IF(COUNTA(Q1534:Q1644)=0,"""",IF(REGEXMATCH(INDEX(FILTER(Q$4:Q1534,Q$4:Q1534&lt;&gt;""""),ROWS(FILTER(Q$4:Q1534,Q$4:Q1534&lt;&gt;""""))),""^Sell_""),INDEX(FILTER(T$4:T1533,Q$4:Q1533&lt;&gt;""""),ROWS(FILTER(Q$4:Q1533,Q$4:Q1533&lt;&gt;""""))),$AD$5+S1534))"),"")</f>
        <v/>
      </c>
      <c r="U1534" s="10" t="str">
        <f>IFERROR(__xludf.DUMMYFUNCTION("IF(COUNTA(Q1534:Q1644)=0,"""",IF(Q1534="""",0,IF(REGEXMATCH(Q1534,""^Sell_""),-ROUNDDOWN(ROUNDUP(INDEX(Upgrades!$C$3:$C$13,MATCH(SUBSTITUTE(Q1534,""Sell_"",""""),Upgrades!$B$3:$B$13,0))*1.15^(COUNTIF(Q$4:Q1533,SUBSTITUTE(Q1534,""Sell_"",""""))-COUNTIF(Q$4"&amp;":Q1533,""Sell_""&amp;SUBSTITUTE(Q1534,""Sell_"",""""))))/2),ROUNDUP(INDEX(Upgrades!$C$3:$C$13,MATCH(Q1534,Upgrades!$B$3:$B$13,0))*1.15^(COUNTIF(Q$4:Q1533,Q1534)-COUNTIF(Q$4:Q1533,""Sell_""&amp;Q1534))))))"),"")</f>
        <v/>
      </c>
      <c r="V1534" s="10" t="str">
        <f t="shared" si="11"/>
        <v/>
      </c>
      <c r="W1534" s="68" t="str">
        <f t="shared" si="12"/>
        <v/>
      </c>
      <c r="X1534" s="59" t="str">
        <f t="shared" si="13"/>
        <v/>
      </c>
      <c r="Y1534" s="69" t="str">
        <f t="shared" si="14"/>
        <v/>
      </c>
      <c r="Z1534" s="11"/>
      <c r="AG1534" s="59"/>
    </row>
    <row r="1535">
      <c r="A1535" s="8"/>
      <c r="B1535" s="56" t="str">
        <f t="shared" si="2"/>
        <v/>
      </c>
      <c r="C1535" s="105"/>
      <c r="D1535" s="10"/>
      <c r="E1535" s="59" t="str">
        <f t="array" ref="E1535">IF(COUNTA(C1535:C1644)=0,"",SUM((COUNTIF(C$4:C1535,Upgrades!$B$3:$B$13)-COUNTIF(C$4:C1535,"Sell_"&amp;Upgrades!$B$3:$B$13))*Upgrades!$D$3:$D$13))</f>
        <v/>
      </c>
      <c r="F1535" s="66" t="str">
        <f>IFERROR(__xludf.DUMMYFUNCTION("IF(COUNTA(C1535:C1644)=0,"""",IF(REGEXMATCH(INDEX(FILTER(C$4:C1535,C$4:C1535&lt;&gt;""""),ROWS(FILTER(C$4:C1535,C$4:C1535&lt;&gt;""""))),""^Sell_""),INDEX(FILTER(F$4:F1534,C$4:C1534&lt;&gt;""""),ROWS(FILTER(C$4:C1534,C$4:C1534&lt;&gt;""""))),$AC$5+E1535))"),"")</f>
        <v/>
      </c>
      <c r="G1535" s="10" t="str">
        <f>IFERROR(__xludf.DUMMYFUNCTION("IF(COUNTA(C1535:C1644)=0,"""",IF(C1535="""",0,IF(REGEXMATCH(C1535,""^Sell_""),-ROUNDDOWN(ROUNDUP(INDEX(Upgrades!$C$3:$C$13,MATCH(SUBSTITUTE(C1535,""Sell_"",""""),Upgrades!$B$3:$B$13,0))*1.15^(COUNTIF(C$4:C1534,SUBSTITUTE(C1535,""Sell_"",""""))-COUNTIF(C$4"&amp;":C1534,""Sell_""&amp;SUBSTITUTE(C1535,""Sell_"",""""))))/2),ROUNDUP(INDEX(Upgrades!$C$3:$C$13,MATCH(C1535,Upgrades!$B$3:$B$13,0))*1.15^(COUNTIF(C$4:C1534,C1535)-COUNTIF(C$4:C1534,""Sell_""&amp;C1535))))))"),"")</f>
        <v/>
      </c>
      <c r="H1535" s="10" t="str">
        <f t="shared" si="3"/>
        <v/>
      </c>
      <c r="I1535" s="68" t="str">
        <f t="shared" si="4"/>
        <v/>
      </c>
      <c r="J1535" s="59" t="str">
        <f t="shared" si="5"/>
        <v/>
      </c>
      <c r="K1535" s="69" t="str">
        <f t="shared" si="6"/>
        <v/>
      </c>
      <c r="L1535" s="60" t="str">
        <f t="shared" si="7"/>
        <v/>
      </c>
      <c r="M1535" s="61" t="str">
        <f>IFERROR(__xludf.DUMMYFUNCTION("IFS(AND(COUNTA(C1535:C1644)=0,COUNTA(Q1535:Q1644)=0),"""",OR(AND(K1535&gt;=1000000000,OR(Y1535&gt;=1000000000,COUNTA(Q1535:Q1644)=0)),OR(Y1535&gt;=1000000000,AND(COUNTA(C1535:C1644)=0,P$3=TRUE))),
ROUNDDOWN((AB$1-AC$1)*MAX(INDEX(T$4:T1644,MATCH(LARGE(FILTER(Y$4:Y1"&amp;"644,Y$4:Y1644&lt;1000000000),1),Y$4:Y1644)),INDEX(F$4:F1644,MATCH(LARGE(FILTER(K$4:K1644,K$4:K1644&lt;1000000000),1),K$4:K1644)))),AND(K1535&lt;1000000000,COUNTA(C1535:C1644)&gt;0,P$3=FALSE),
ROUNDDOWN(INDEX(Y$4:Y1644,MATCH(LARGE(FILTER(W$4:W1644,W$4:W1644&lt;=I1535),1)"&amp;",W$4:W1644))+(I1535-LARGE(FILTER(W$4:W1644,W$4:W1644&lt;=I1535),1))*INDEX(T$4:T1644,MATCH(LARGE(FILTER(W$4:W1644,W$4:W1644&lt;=I1535),1),W$4:W1644))-K1535),1,
ROUNDDOWN(Y1535-INDEX(K$4:K1644,MATCH(LARGE(FILTER(I$4:I1644,I$4:I1644&lt;=W1535),1),I$4:I1644))-(W1535-L"&amp;"ARGE(FILTER(I$4:I1644,I$4:I1644&lt;=W1535),1))*INDEX(F$4:F1644,MATCH(LARGE(FILTER(I$4:I1644,I$4:I1644&lt;=W1535),1),I$4:I1644))))"),"")</f>
        <v/>
      </c>
      <c r="N1535" s="60" t="str">
        <f t="shared" si="8"/>
        <v/>
      </c>
      <c r="O1535" s="61" t="str">
        <f t="shared" si="9"/>
        <v/>
      </c>
      <c r="P1535" s="56" t="str">
        <f t="shared" si="10"/>
        <v/>
      </c>
      <c r="Q1535" s="105"/>
      <c r="R1535" s="10"/>
      <c r="S1535" s="59" t="str">
        <f t="array" ref="S1535">IF(COUNTA(Q1535:Q1644)=0,"",SUM((COUNTIF(Q$4:Q1535,Upgrades!$B$3:$B$13)-COUNTIF(Q$4:Q1535,"Sell_"&amp;Upgrades!$B$3:$B$13))*Upgrades!$D$3:$D$13))</f>
        <v/>
      </c>
      <c r="T1535" s="66" t="str">
        <f>IFERROR(__xludf.DUMMYFUNCTION("IF(COUNTA(Q1535:Q1644)=0,"""",IF(REGEXMATCH(INDEX(FILTER(Q$4:Q1535,Q$4:Q1535&lt;&gt;""""),ROWS(FILTER(Q$4:Q1535,Q$4:Q1535&lt;&gt;""""))),""^Sell_""),INDEX(FILTER(T$4:T1534,Q$4:Q1534&lt;&gt;""""),ROWS(FILTER(Q$4:Q1534,Q$4:Q1534&lt;&gt;""""))),$AD$5+S1535))"),"")</f>
        <v/>
      </c>
      <c r="U1535" s="10" t="str">
        <f>IFERROR(__xludf.DUMMYFUNCTION("IF(COUNTA(Q1535:Q1644)=0,"""",IF(Q1535="""",0,IF(REGEXMATCH(Q1535,""^Sell_""),-ROUNDDOWN(ROUNDUP(INDEX(Upgrades!$C$3:$C$13,MATCH(SUBSTITUTE(Q1535,""Sell_"",""""),Upgrades!$B$3:$B$13,0))*1.15^(COUNTIF(Q$4:Q1534,SUBSTITUTE(Q1535,""Sell_"",""""))-COUNTIF(Q$4"&amp;":Q1534,""Sell_""&amp;SUBSTITUTE(Q1535,""Sell_"",""""))))/2),ROUNDUP(INDEX(Upgrades!$C$3:$C$13,MATCH(Q1535,Upgrades!$B$3:$B$13,0))*1.15^(COUNTIF(Q$4:Q1534,Q1535)-COUNTIF(Q$4:Q1534,""Sell_""&amp;Q1535))))))"),"")</f>
        <v/>
      </c>
      <c r="V1535" s="10" t="str">
        <f t="shared" si="11"/>
        <v/>
      </c>
      <c r="W1535" s="68" t="str">
        <f t="shared" si="12"/>
        <v/>
      </c>
      <c r="X1535" s="59" t="str">
        <f t="shared" si="13"/>
        <v/>
      </c>
      <c r="Y1535" s="69" t="str">
        <f t="shared" si="14"/>
        <v/>
      </c>
      <c r="Z1535" s="11"/>
      <c r="AG1535" s="59"/>
    </row>
    <row r="1536">
      <c r="A1536" s="8"/>
      <c r="B1536" s="56" t="str">
        <f t="shared" si="2"/>
        <v/>
      </c>
      <c r="C1536" s="105"/>
      <c r="D1536" s="10"/>
      <c r="E1536" s="59" t="str">
        <f t="array" ref="E1536">IF(COUNTA(C1536:C1644)=0,"",SUM((COUNTIF(C$4:C1536,Upgrades!$B$3:$B$13)-COUNTIF(C$4:C1536,"Sell_"&amp;Upgrades!$B$3:$B$13))*Upgrades!$D$3:$D$13))</f>
        <v/>
      </c>
      <c r="F1536" s="66" t="str">
        <f>IFERROR(__xludf.DUMMYFUNCTION("IF(COUNTA(C1536:C1644)=0,"""",IF(REGEXMATCH(INDEX(FILTER(C$4:C1536,C$4:C1536&lt;&gt;""""),ROWS(FILTER(C$4:C1536,C$4:C1536&lt;&gt;""""))),""^Sell_""),INDEX(FILTER(F$4:F1535,C$4:C1535&lt;&gt;""""),ROWS(FILTER(C$4:C1535,C$4:C1535&lt;&gt;""""))),$AC$5+E1536))"),"")</f>
        <v/>
      </c>
      <c r="G1536" s="10" t="str">
        <f>IFERROR(__xludf.DUMMYFUNCTION("IF(COUNTA(C1536:C1644)=0,"""",IF(C1536="""",0,IF(REGEXMATCH(C1536,""^Sell_""),-ROUNDDOWN(ROUNDUP(INDEX(Upgrades!$C$3:$C$13,MATCH(SUBSTITUTE(C1536,""Sell_"",""""),Upgrades!$B$3:$B$13,0))*1.15^(COUNTIF(C$4:C1535,SUBSTITUTE(C1536,""Sell_"",""""))-COUNTIF(C$4"&amp;":C1535,""Sell_""&amp;SUBSTITUTE(C1536,""Sell_"",""""))))/2),ROUNDUP(INDEX(Upgrades!$C$3:$C$13,MATCH(C1536,Upgrades!$B$3:$B$13,0))*1.15^(COUNTIF(C$4:C1535,C1536)-COUNTIF(C$4:C1535,""Sell_""&amp;C1536))))))"),"")</f>
        <v/>
      </c>
      <c r="H1536" s="10" t="str">
        <f t="shared" si="3"/>
        <v/>
      </c>
      <c r="I1536" s="68" t="str">
        <f t="shared" si="4"/>
        <v/>
      </c>
      <c r="J1536" s="59" t="str">
        <f t="shared" si="5"/>
        <v/>
      </c>
      <c r="K1536" s="69" t="str">
        <f t="shared" si="6"/>
        <v/>
      </c>
      <c r="L1536" s="60" t="str">
        <f t="shared" si="7"/>
        <v/>
      </c>
      <c r="M1536" s="61" t="str">
        <f>IFERROR(__xludf.DUMMYFUNCTION("IFS(AND(COUNTA(C1536:C1644)=0,COUNTA(Q1536:Q1644)=0),"""",OR(AND(K1536&gt;=1000000000,OR(Y1536&gt;=1000000000,COUNTA(Q1536:Q1644)=0)),OR(Y1536&gt;=1000000000,AND(COUNTA(C1536:C1644)=0,P$3=TRUE))),
ROUNDDOWN((AB$1-AC$1)*MAX(INDEX(T$4:T1644,MATCH(LARGE(FILTER(Y$4:Y1"&amp;"644,Y$4:Y1644&lt;1000000000),1),Y$4:Y1644)),INDEX(F$4:F1644,MATCH(LARGE(FILTER(K$4:K1644,K$4:K1644&lt;1000000000),1),K$4:K1644)))),AND(K1536&lt;1000000000,COUNTA(C1536:C1644)&gt;0,P$3=FALSE),
ROUNDDOWN(INDEX(Y$4:Y1644,MATCH(LARGE(FILTER(W$4:W1644,W$4:W1644&lt;=I1536),1)"&amp;",W$4:W1644))+(I1536-LARGE(FILTER(W$4:W1644,W$4:W1644&lt;=I1536),1))*INDEX(T$4:T1644,MATCH(LARGE(FILTER(W$4:W1644,W$4:W1644&lt;=I1536),1),W$4:W1644))-K1536),1,
ROUNDDOWN(Y1536-INDEX(K$4:K1644,MATCH(LARGE(FILTER(I$4:I1644,I$4:I1644&lt;=W1536),1),I$4:I1644))-(W1536-L"&amp;"ARGE(FILTER(I$4:I1644,I$4:I1644&lt;=W1536),1))*INDEX(F$4:F1644,MATCH(LARGE(FILTER(I$4:I1644,I$4:I1644&lt;=W1536),1),I$4:I1644))))"),"")</f>
        <v/>
      </c>
      <c r="N1536" s="60" t="str">
        <f t="shared" si="8"/>
        <v/>
      </c>
      <c r="O1536" s="61" t="str">
        <f t="shared" si="9"/>
        <v/>
      </c>
      <c r="P1536" s="56" t="str">
        <f t="shared" si="10"/>
        <v/>
      </c>
      <c r="Q1536" s="105"/>
      <c r="R1536" s="10"/>
      <c r="S1536" s="59" t="str">
        <f t="array" ref="S1536">IF(COUNTA(Q1536:Q1644)=0,"",SUM((COUNTIF(Q$4:Q1536,Upgrades!$B$3:$B$13)-COUNTIF(Q$4:Q1536,"Sell_"&amp;Upgrades!$B$3:$B$13))*Upgrades!$D$3:$D$13))</f>
        <v/>
      </c>
      <c r="T1536" s="66" t="str">
        <f>IFERROR(__xludf.DUMMYFUNCTION("IF(COUNTA(Q1536:Q1644)=0,"""",IF(REGEXMATCH(INDEX(FILTER(Q$4:Q1536,Q$4:Q1536&lt;&gt;""""),ROWS(FILTER(Q$4:Q1536,Q$4:Q1536&lt;&gt;""""))),""^Sell_""),INDEX(FILTER(T$4:T1535,Q$4:Q1535&lt;&gt;""""),ROWS(FILTER(Q$4:Q1535,Q$4:Q1535&lt;&gt;""""))),$AD$5+S1536))"),"")</f>
        <v/>
      </c>
      <c r="U1536" s="10" t="str">
        <f>IFERROR(__xludf.DUMMYFUNCTION("IF(COUNTA(Q1536:Q1644)=0,"""",IF(Q1536="""",0,IF(REGEXMATCH(Q1536,""^Sell_""),-ROUNDDOWN(ROUNDUP(INDEX(Upgrades!$C$3:$C$13,MATCH(SUBSTITUTE(Q1536,""Sell_"",""""),Upgrades!$B$3:$B$13,0))*1.15^(COUNTIF(Q$4:Q1535,SUBSTITUTE(Q1536,""Sell_"",""""))-COUNTIF(Q$4"&amp;":Q1535,""Sell_""&amp;SUBSTITUTE(Q1536,""Sell_"",""""))))/2),ROUNDUP(INDEX(Upgrades!$C$3:$C$13,MATCH(Q1536,Upgrades!$B$3:$B$13,0))*1.15^(COUNTIF(Q$4:Q1535,Q1536)-COUNTIF(Q$4:Q1535,""Sell_""&amp;Q1536))))))"),"")</f>
        <v/>
      </c>
      <c r="V1536" s="10" t="str">
        <f t="shared" si="11"/>
        <v/>
      </c>
      <c r="W1536" s="68" t="str">
        <f t="shared" si="12"/>
        <v/>
      </c>
      <c r="X1536" s="59" t="str">
        <f t="shared" si="13"/>
        <v/>
      </c>
      <c r="Y1536" s="69" t="str">
        <f t="shared" si="14"/>
        <v/>
      </c>
      <c r="Z1536" s="11"/>
      <c r="AG1536" s="59"/>
    </row>
    <row r="1537">
      <c r="A1537" s="8"/>
      <c r="B1537" s="56" t="str">
        <f t="shared" si="2"/>
        <v/>
      </c>
      <c r="C1537" s="105"/>
      <c r="D1537" s="10"/>
      <c r="E1537" s="59" t="str">
        <f t="array" ref="E1537">IF(COUNTA(C1537:C1644)=0,"",SUM((COUNTIF(C$4:C1537,Upgrades!$B$3:$B$13)-COUNTIF(C$4:C1537,"Sell_"&amp;Upgrades!$B$3:$B$13))*Upgrades!$D$3:$D$13))</f>
        <v/>
      </c>
      <c r="F1537" s="66" t="str">
        <f>IFERROR(__xludf.DUMMYFUNCTION("IF(COUNTA(C1537:C1644)=0,"""",IF(REGEXMATCH(INDEX(FILTER(C$4:C1537,C$4:C1537&lt;&gt;""""),ROWS(FILTER(C$4:C1537,C$4:C1537&lt;&gt;""""))),""^Sell_""),INDEX(FILTER(F$4:F1536,C$4:C1536&lt;&gt;""""),ROWS(FILTER(C$4:C1536,C$4:C1536&lt;&gt;""""))),$AC$5+E1537))"),"")</f>
        <v/>
      </c>
      <c r="G1537" s="10" t="str">
        <f>IFERROR(__xludf.DUMMYFUNCTION("IF(COUNTA(C1537:C1644)=0,"""",IF(C1537="""",0,IF(REGEXMATCH(C1537,""^Sell_""),-ROUNDDOWN(ROUNDUP(INDEX(Upgrades!$C$3:$C$13,MATCH(SUBSTITUTE(C1537,""Sell_"",""""),Upgrades!$B$3:$B$13,0))*1.15^(COUNTIF(C$4:C1536,SUBSTITUTE(C1537,""Sell_"",""""))-COUNTIF(C$4"&amp;":C1536,""Sell_""&amp;SUBSTITUTE(C1537,""Sell_"",""""))))/2),ROUNDUP(INDEX(Upgrades!$C$3:$C$13,MATCH(C1537,Upgrades!$B$3:$B$13,0))*1.15^(COUNTIF(C$4:C1536,C1537)-COUNTIF(C$4:C1536,""Sell_""&amp;C1537))))))"),"")</f>
        <v/>
      </c>
      <c r="H1537" s="10" t="str">
        <f t="shared" si="3"/>
        <v/>
      </c>
      <c r="I1537" s="68" t="str">
        <f t="shared" si="4"/>
        <v/>
      </c>
      <c r="J1537" s="59" t="str">
        <f t="shared" si="5"/>
        <v/>
      </c>
      <c r="K1537" s="69" t="str">
        <f t="shared" si="6"/>
        <v/>
      </c>
      <c r="L1537" s="60" t="str">
        <f t="shared" si="7"/>
        <v/>
      </c>
      <c r="M1537" s="61" t="str">
        <f>IFERROR(__xludf.DUMMYFUNCTION("IFS(AND(COUNTA(C1537:C1644)=0,COUNTA(Q1537:Q1644)=0),"""",OR(AND(K1537&gt;=1000000000,OR(Y1537&gt;=1000000000,COUNTA(Q1537:Q1644)=0)),OR(Y1537&gt;=1000000000,AND(COUNTA(C1537:C1644)=0,P$3=TRUE))),
ROUNDDOWN((AB$1-AC$1)*MAX(INDEX(T$4:T1644,MATCH(LARGE(FILTER(Y$4:Y1"&amp;"644,Y$4:Y1644&lt;1000000000),1),Y$4:Y1644)),INDEX(F$4:F1644,MATCH(LARGE(FILTER(K$4:K1644,K$4:K1644&lt;1000000000),1),K$4:K1644)))),AND(K1537&lt;1000000000,COUNTA(C1537:C1644)&gt;0,P$3=FALSE),
ROUNDDOWN(INDEX(Y$4:Y1644,MATCH(LARGE(FILTER(W$4:W1644,W$4:W1644&lt;=I1537),1)"&amp;",W$4:W1644))+(I1537-LARGE(FILTER(W$4:W1644,W$4:W1644&lt;=I1537),1))*INDEX(T$4:T1644,MATCH(LARGE(FILTER(W$4:W1644,W$4:W1644&lt;=I1537),1),W$4:W1644))-K1537),1,
ROUNDDOWN(Y1537-INDEX(K$4:K1644,MATCH(LARGE(FILTER(I$4:I1644,I$4:I1644&lt;=W1537),1),I$4:I1644))-(W1537-L"&amp;"ARGE(FILTER(I$4:I1644,I$4:I1644&lt;=W1537),1))*INDEX(F$4:F1644,MATCH(LARGE(FILTER(I$4:I1644,I$4:I1644&lt;=W1537),1),I$4:I1644))))"),"")</f>
        <v/>
      </c>
      <c r="N1537" s="60" t="str">
        <f t="shared" si="8"/>
        <v/>
      </c>
      <c r="O1537" s="61" t="str">
        <f t="shared" si="9"/>
        <v/>
      </c>
      <c r="P1537" s="56" t="str">
        <f t="shared" si="10"/>
        <v/>
      </c>
      <c r="Q1537" s="105"/>
      <c r="R1537" s="10"/>
      <c r="S1537" s="59" t="str">
        <f t="array" ref="S1537">IF(COUNTA(Q1537:Q1644)=0,"",SUM((COUNTIF(Q$4:Q1537,Upgrades!$B$3:$B$13)-COUNTIF(Q$4:Q1537,"Sell_"&amp;Upgrades!$B$3:$B$13))*Upgrades!$D$3:$D$13))</f>
        <v/>
      </c>
      <c r="T1537" s="66" t="str">
        <f>IFERROR(__xludf.DUMMYFUNCTION("IF(COUNTA(Q1537:Q1644)=0,"""",IF(REGEXMATCH(INDEX(FILTER(Q$4:Q1537,Q$4:Q1537&lt;&gt;""""),ROWS(FILTER(Q$4:Q1537,Q$4:Q1537&lt;&gt;""""))),""^Sell_""),INDEX(FILTER(T$4:T1536,Q$4:Q1536&lt;&gt;""""),ROWS(FILTER(Q$4:Q1536,Q$4:Q1536&lt;&gt;""""))),$AD$5+S1537))"),"")</f>
        <v/>
      </c>
      <c r="U1537" s="10" t="str">
        <f>IFERROR(__xludf.DUMMYFUNCTION("IF(COUNTA(Q1537:Q1644)=0,"""",IF(Q1537="""",0,IF(REGEXMATCH(Q1537,""^Sell_""),-ROUNDDOWN(ROUNDUP(INDEX(Upgrades!$C$3:$C$13,MATCH(SUBSTITUTE(Q1537,""Sell_"",""""),Upgrades!$B$3:$B$13,0))*1.15^(COUNTIF(Q$4:Q1536,SUBSTITUTE(Q1537,""Sell_"",""""))-COUNTIF(Q$4"&amp;":Q1536,""Sell_""&amp;SUBSTITUTE(Q1537,""Sell_"",""""))))/2),ROUNDUP(INDEX(Upgrades!$C$3:$C$13,MATCH(Q1537,Upgrades!$B$3:$B$13,0))*1.15^(COUNTIF(Q$4:Q1536,Q1537)-COUNTIF(Q$4:Q1536,""Sell_""&amp;Q1537))))))"),"")</f>
        <v/>
      </c>
      <c r="V1537" s="10" t="str">
        <f t="shared" si="11"/>
        <v/>
      </c>
      <c r="W1537" s="68" t="str">
        <f t="shared" si="12"/>
        <v/>
      </c>
      <c r="X1537" s="59" t="str">
        <f t="shared" si="13"/>
        <v/>
      </c>
      <c r="Y1537" s="69" t="str">
        <f t="shared" si="14"/>
        <v/>
      </c>
      <c r="Z1537" s="11"/>
      <c r="AG1537" s="59"/>
    </row>
    <row r="1538">
      <c r="A1538" s="8"/>
      <c r="B1538" s="56" t="str">
        <f t="shared" si="2"/>
        <v/>
      </c>
      <c r="C1538" s="105"/>
      <c r="D1538" s="10"/>
      <c r="E1538" s="59" t="str">
        <f t="array" ref="E1538">IF(COUNTA(C1538:C1644)=0,"",SUM((COUNTIF(C$4:C1538,Upgrades!$B$3:$B$13)-COUNTIF(C$4:C1538,"Sell_"&amp;Upgrades!$B$3:$B$13))*Upgrades!$D$3:$D$13))</f>
        <v/>
      </c>
      <c r="F1538" s="66" t="str">
        <f>IFERROR(__xludf.DUMMYFUNCTION("IF(COUNTA(C1538:C1644)=0,"""",IF(REGEXMATCH(INDEX(FILTER(C$4:C1538,C$4:C1538&lt;&gt;""""),ROWS(FILTER(C$4:C1538,C$4:C1538&lt;&gt;""""))),""^Sell_""),INDEX(FILTER(F$4:F1537,C$4:C1537&lt;&gt;""""),ROWS(FILTER(C$4:C1537,C$4:C1537&lt;&gt;""""))),$AC$5+E1538))"),"")</f>
        <v/>
      </c>
      <c r="G1538" s="10" t="str">
        <f>IFERROR(__xludf.DUMMYFUNCTION("IF(COUNTA(C1538:C1644)=0,"""",IF(C1538="""",0,IF(REGEXMATCH(C1538,""^Sell_""),-ROUNDDOWN(ROUNDUP(INDEX(Upgrades!$C$3:$C$13,MATCH(SUBSTITUTE(C1538,""Sell_"",""""),Upgrades!$B$3:$B$13,0))*1.15^(COUNTIF(C$4:C1537,SUBSTITUTE(C1538,""Sell_"",""""))-COUNTIF(C$4"&amp;":C1537,""Sell_""&amp;SUBSTITUTE(C1538,""Sell_"",""""))))/2),ROUNDUP(INDEX(Upgrades!$C$3:$C$13,MATCH(C1538,Upgrades!$B$3:$B$13,0))*1.15^(COUNTIF(C$4:C1537,C1538)-COUNTIF(C$4:C1537,""Sell_""&amp;C1538))))))"),"")</f>
        <v/>
      </c>
      <c r="H1538" s="10" t="str">
        <f t="shared" si="3"/>
        <v/>
      </c>
      <c r="I1538" s="68" t="str">
        <f t="shared" si="4"/>
        <v/>
      </c>
      <c r="J1538" s="59" t="str">
        <f t="shared" si="5"/>
        <v/>
      </c>
      <c r="K1538" s="69" t="str">
        <f t="shared" si="6"/>
        <v/>
      </c>
      <c r="L1538" s="60" t="str">
        <f t="shared" si="7"/>
        <v/>
      </c>
      <c r="M1538" s="61" t="str">
        <f>IFERROR(__xludf.DUMMYFUNCTION("IFS(AND(COUNTA(C1538:C1644)=0,COUNTA(Q1538:Q1644)=0),"""",OR(AND(K1538&gt;=1000000000,OR(Y1538&gt;=1000000000,COUNTA(Q1538:Q1644)=0)),OR(Y1538&gt;=1000000000,AND(COUNTA(C1538:C1644)=0,P$3=TRUE))),
ROUNDDOWN((AB$1-AC$1)*MAX(INDEX(T$4:T1644,MATCH(LARGE(FILTER(Y$4:Y1"&amp;"644,Y$4:Y1644&lt;1000000000),1),Y$4:Y1644)),INDEX(F$4:F1644,MATCH(LARGE(FILTER(K$4:K1644,K$4:K1644&lt;1000000000),1),K$4:K1644)))),AND(K1538&lt;1000000000,COUNTA(C1538:C1644)&gt;0,P$3=FALSE),
ROUNDDOWN(INDEX(Y$4:Y1644,MATCH(LARGE(FILTER(W$4:W1644,W$4:W1644&lt;=I1538),1)"&amp;",W$4:W1644))+(I1538-LARGE(FILTER(W$4:W1644,W$4:W1644&lt;=I1538),1))*INDEX(T$4:T1644,MATCH(LARGE(FILTER(W$4:W1644,W$4:W1644&lt;=I1538),1),W$4:W1644))-K1538),1,
ROUNDDOWN(Y1538-INDEX(K$4:K1644,MATCH(LARGE(FILTER(I$4:I1644,I$4:I1644&lt;=W1538),1),I$4:I1644))-(W1538-L"&amp;"ARGE(FILTER(I$4:I1644,I$4:I1644&lt;=W1538),1))*INDEX(F$4:F1644,MATCH(LARGE(FILTER(I$4:I1644,I$4:I1644&lt;=W1538),1),I$4:I1644))))"),"")</f>
        <v/>
      </c>
      <c r="N1538" s="60" t="str">
        <f t="shared" si="8"/>
        <v/>
      </c>
      <c r="O1538" s="61" t="str">
        <f t="shared" si="9"/>
        <v/>
      </c>
      <c r="P1538" s="56" t="str">
        <f t="shared" si="10"/>
        <v/>
      </c>
      <c r="Q1538" s="105"/>
      <c r="R1538" s="10"/>
      <c r="S1538" s="59" t="str">
        <f t="array" ref="S1538">IF(COUNTA(Q1538:Q1644)=0,"",SUM((COUNTIF(Q$4:Q1538,Upgrades!$B$3:$B$13)-COUNTIF(Q$4:Q1538,"Sell_"&amp;Upgrades!$B$3:$B$13))*Upgrades!$D$3:$D$13))</f>
        <v/>
      </c>
      <c r="T1538" s="66" t="str">
        <f>IFERROR(__xludf.DUMMYFUNCTION("IF(COUNTA(Q1538:Q1644)=0,"""",IF(REGEXMATCH(INDEX(FILTER(Q$4:Q1538,Q$4:Q1538&lt;&gt;""""),ROWS(FILTER(Q$4:Q1538,Q$4:Q1538&lt;&gt;""""))),""^Sell_""),INDEX(FILTER(T$4:T1537,Q$4:Q1537&lt;&gt;""""),ROWS(FILTER(Q$4:Q1537,Q$4:Q1537&lt;&gt;""""))),$AD$5+S1538))"),"")</f>
        <v/>
      </c>
      <c r="U1538" s="10" t="str">
        <f>IFERROR(__xludf.DUMMYFUNCTION("IF(COUNTA(Q1538:Q1644)=0,"""",IF(Q1538="""",0,IF(REGEXMATCH(Q1538,""^Sell_""),-ROUNDDOWN(ROUNDUP(INDEX(Upgrades!$C$3:$C$13,MATCH(SUBSTITUTE(Q1538,""Sell_"",""""),Upgrades!$B$3:$B$13,0))*1.15^(COUNTIF(Q$4:Q1537,SUBSTITUTE(Q1538,""Sell_"",""""))-COUNTIF(Q$4"&amp;":Q1537,""Sell_""&amp;SUBSTITUTE(Q1538,""Sell_"",""""))))/2),ROUNDUP(INDEX(Upgrades!$C$3:$C$13,MATCH(Q1538,Upgrades!$B$3:$B$13,0))*1.15^(COUNTIF(Q$4:Q1537,Q1538)-COUNTIF(Q$4:Q1537,""Sell_""&amp;Q1538))))))"),"")</f>
        <v/>
      </c>
      <c r="V1538" s="10" t="str">
        <f t="shared" si="11"/>
        <v/>
      </c>
      <c r="W1538" s="68" t="str">
        <f t="shared" si="12"/>
        <v/>
      </c>
      <c r="X1538" s="59" t="str">
        <f t="shared" si="13"/>
        <v/>
      </c>
      <c r="Y1538" s="69" t="str">
        <f t="shared" si="14"/>
        <v/>
      </c>
      <c r="Z1538" s="11"/>
      <c r="AG1538" s="59"/>
    </row>
    <row r="1539">
      <c r="A1539" s="8"/>
      <c r="B1539" s="56" t="str">
        <f t="shared" si="2"/>
        <v/>
      </c>
      <c r="C1539" s="105"/>
      <c r="D1539" s="10"/>
      <c r="E1539" s="59" t="str">
        <f t="array" ref="E1539">IF(COUNTA(C1539:C1644)=0,"",SUM((COUNTIF(C$4:C1539,Upgrades!$B$3:$B$13)-COUNTIF(C$4:C1539,"Sell_"&amp;Upgrades!$B$3:$B$13))*Upgrades!$D$3:$D$13))</f>
        <v/>
      </c>
      <c r="F1539" s="66" t="str">
        <f>IFERROR(__xludf.DUMMYFUNCTION("IF(COUNTA(C1539:C1644)=0,"""",IF(REGEXMATCH(INDEX(FILTER(C$4:C1539,C$4:C1539&lt;&gt;""""),ROWS(FILTER(C$4:C1539,C$4:C1539&lt;&gt;""""))),""^Sell_""),INDEX(FILTER(F$4:F1538,C$4:C1538&lt;&gt;""""),ROWS(FILTER(C$4:C1538,C$4:C1538&lt;&gt;""""))),$AC$5+E1539))"),"")</f>
        <v/>
      </c>
      <c r="G1539" s="10" t="str">
        <f>IFERROR(__xludf.DUMMYFUNCTION("IF(COUNTA(C1539:C1644)=0,"""",IF(C1539="""",0,IF(REGEXMATCH(C1539,""^Sell_""),-ROUNDDOWN(ROUNDUP(INDEX(Upgrades!$C$3:$C$13,MATCH(SUBSTITUTE(C1539,""Sell_"",""""),Upgrades!$B$3:$B$13,0))*1.15^(COUNTIF(C$4:C1538,SUBSTITUTE(C1539,""Sell_"",""""))-COUNTIF(C$4"&amp;":C1538,""Sell_""&amp;SUBSTITUTE(C1539,""Sell_"",""""))))/2),ROUNDUP(INDEX(Upgrades!$C$3:$C$13,MATCH(C1539,Upgrades!$B$3:$B$13,0))*1.15^(COUNTIF(C$4:C1538,C1539)-COUNTIF(C$4:C1538,""Sell_""&amp;C1539))))))"),"")</f>
        <v/>
      </c>
      <c r="H1539" s="10" t="str">
        <f t="shared" si="3"/>
        <v/>
      </c>
      <c r="I1539" s="68" t="str">
        <f t="shared" si="4"/>
        <v/>
      </c>
      <c r="J1539" s="59" t="str">
        <f t="shared" si="5"/>
        <v/>
      </c>
      <c r="K1539" s="69" t="str">
        <f t="shared" si="6"/>
        <v/>
      </c>
      <c r="L1539" s="60" t="str">
        <f t="shared" si="7"/>
        <v/>
      </c>
      <c r="M1539" s="61" t="str">
        <f>IFERROR(__xludf.DUMMYFUNCTION("IFS(AND(COUNTA(C1539:C1644)=0,COUNTA(Q1539:Q1644)=0),"""",OR(AND(K1539&gt;=1000000000,OR(Y1539&gt;=1000000000,COUNTA(Q1539:Q1644)=0)),OR(Y1539&gt;=1000000000,AND(COUNTA(C1539:C1644)=0,P$3=TRUE))),
ROUNDDOWN((AB$1-AC$1)*MAX(INDEX(T$4:T1644,MATCH(LARGE(FILTER(Y$4:Y1"&amp;"644,Y$4:Y1644&lt;1000000000),1),Y$4:Y1644)),INDEX(F$4:F1644,MATCH(LARGE(FILTER(K$4:K1644,K$4:K1644&lt;1000000000),1),K$4:K1644)))),AND(K1539&lt;1000000000,COUNTA(C1539:C1644)&gt;0,P$3=FALSE),
ROUNDDOWN(INDEX(Y$4:Y1644,MATCH(LARGE(FILTER(W$4:W1644,W$4:W1644&lt;=I1539),1)"&amp;",W$4:W1644))+(I1539-LARGE(FILTER(W$4:W1644,W$4:W1644&lt;=I1539),1))*INDEX(T$4:T1644,MATCH(LARGE(FILTER(W$4:W1644,W$4:W1644&lt;=I1539),1),W$4:W1644))-K1539),1,
ROUNDDOWN(Y1539-INDEX(K$4:K1644,MATCH(LARGE(FILTER(I$4:I1644,I$4:I1644&lt;=W1539),1),I$4:I1644))-(W1539-L"&amp;"ARGE(FILTER(I$4:I1644,I$4:I1644&lt;=W1539),1))*INDEX(F$4:F1644,MATCH(LARGE(FILTER(I$4:I1644,I$4:I1644&lt;=W1539),1),I$4:I1644))))"),"")</f>
        <v/>
      </c>
      <c r="N1539" s="60" t="str">
        <f t="shared" si="8"/>
        <v/>
      </c>
      <c r="O1539" s="61" t="str">
        <f t="shared" si="9"/>
        <v/>
      </c>
      <c r="P1539" s="56" t="str">
        <f t="shared" si="10"/>
        <v/>
      </c>
      <c r="Q1539" s="105"/>
      <c r="R1539" s="10"/>
      <c r="S1539" s="59" t="str">
        <f t="array" ref="S1539">IF(COUNTA(Q1539:Q1644)=0,"",SUM((COUNTIF(Q$4:Q1539,Upgrades!$B$3:$B$13)-COUNTIF(Q$4:Q1539,"Sell_"&amp;Upgrades!$B$3:$B$13))*Upgrades!$D$3:$D$13))</f>
        <v/>
      </c>
      <c r="T1539" s="66" t="str">
        <f>IFERROR(__xludf.DUMMYFUNCTION("IF(COUNTA(Q1539:Q1644)=0,"""",IF(REGEXMATCH(INDEX(FILTER(Q$4:Q1539,Q$4:Q1539&lt;&gt;""""),ROWS(FILTER(Q$4:Q1539,Q$4:Q1539&lt;&gt;""""))),""^Sell_""),INDEX(FILTER(T$4:T1538,Q$4:Q1538&lt;&gt;""""),ROWS(FILTER(Q$4:Q1538,Q$4:Q1538&lt;&gt;""""))),$AD$5+S1539))"),"")</f>
        <v/>
      </c>
      <c r="U1539" s="10" t="str">
        <f>IFERROR(__xludf.DUMMYFUNCTION("IF(COUNTA(Q1539:Q1644)=0,"""",IF(Q1539="""",0,IF(REGEXMATCH(Q1539,""^Sell_""),-ROUNDDOWN(ROUNDUP(INDEX(Upgrades!$C$3:$C$13,MATCH(SUBSTITUTE(Q1539,""Sell_"",""""),Upgrades!$B$3:$B$13,0))*1.15^(COUNTIF(Q$4:Q1538,SUBSTITUTE(Q1539,""Sell_"",""""))-COUNTIF(Q$4"&amp;":Q1538,""Sell_""&amp;SUBSTITUTE(Q1539,""Sell_"",""""))))/2),ROUNDUP(INDEX(Upgrades!$C$3:$C$13,MATCH(Q1539,Upgrades!$B$3:$B$13,0))*1.15^(COUNTIF(Q$4:Q1538,Q1539)-COUNTIF(Q$4:Q1538,""Sell_""&amp;Q1539))))))"),"")</f>
        <v/>
      </c>
      <c r="V1539" s="10" t="str">
        <f t="shared" si="11"/>
        <v/>
      </c>
      <c r="W1539" s="68" t="str">
        <f t="shared" si="12"/>
        <v/>
      </c>
      <c r="X1539" s="59" t="str">
        <f t="shared" si="13"/>
        <v/>
      </c>
      <c r="Y1539" s="69" t="str">
        <f t="shared" si="14"/>
        <v/>
      </c>
      <c r="Z1539" s="11"/>
      <c r="AG1539" s="59"/>
    </row>
    <row r="1540">
      <c r="A1540" s="8"/>
      <c r="B1540" s="56" t="str">
        <f t="shared" si="2"/>
        <v/>
      </c>
      <c r="C1540" s="105"/>
      <c r="D1540" s="10"/>
      <c r="E1540" s="59" t="str">
        <f t="array" ref="E1540">IF(COUNTA(C1540:C1644)=0,"",SUM((COUNTIF(C$4:C1540,Upgrades!$B$3:$B$13)-COUNTIF(C$4:C1540,"Sell_"&amp;Upgrades!$B$3:$B$13))*Upgrades!$D$3:$D$13))</f>
        <v/>
      </c>
      <c r="F1540" s="66" t="str">
        <f>IFERROR(__xludf.DUMMYFUNCTION("IF(COUNTA(C1540:C1644)=0,"""",IF(REGEXMATCH(INDEX(FILTER(C$4:C1540,C$4:C1540&lt;&gt;""""),ROWS(FILTER(C$4:C1540,C$4:C1540&lt;&gt;""""))),""^Sell_""),INDEX(FILTER(F$4:F1539,C$4:C1539&lt;&gt;""""),ROWS(FILTER(C$4:C1539,C$4:C1539&lt;&gt;""""))),$AC$5+E1540))"),"")</f>
        <v/>
      </c>
      <c r="G1540" s="10" t="str">
        <f>IFERROR(__xludf.DUMMYFUNCTION("IF(COUNTA(C1540:C1644)=0,"""",IF(C1540="""",0,IF(REGEXMATCH(C1540,""^Sell_""),-ROUNDDOWN(ROUNDUP(INDEX(Upgrades!$C$3:$C$13,MATCH(SUBSTITUTE(C1540,""Sell_"",""""),Upgrades!$B$3:$B$13,0))*1.15^(COUNTIF(C$4:C1539,SUBSTITUTE(C1540,""Sell_"",""""))-COUNTIF(C$4"&amp;":C1539,""Sell_""&amp;SUBSTITUTE(C1540,""Sell_"",""""))))/2),ROUNDUP(INDEX(Upgrades!$C$3:$C$13,MATCH(C1540,Upgrades!$B$3:$B$13,0))*1.15^(COUNTIF(C$4:C1539,C1540)-COUNTIF(C$4:C1539,""Sell_""&amp;C1540))))))"),"")</f>
        <v/>
      </c>
      <c r="H1540" s="10" t="str">
        <f t="shared" si="3"/>
        <v/>
      </c>
      <c r="I1540" s="68" t="str">
        <f t="shared" si="4"/>
        <v/>
      </c>
      <c r="J1540" s="59" t="str">
        <f t="shared" si="5"/>
        <v/>
      </c>
      <c r="K1540" s="69" t="str">
        <f t="shared" si="6"/>
        <v/>
      </c>
      <c r="L1540" s="60" t="str">
        <f t="shared" si="7"/>
        <v/>
      </c>
      <c r="M1540" s="61" t="str">
        <f>IFERROR(__xludf.DUMMYFUNCTION("IFS(AND(COUNTA(C1540:C1644)=0,COUNTA(Q1540:Q1644)=0),"""",OR(AND(K1540&gt;=1000000000,OR(Y1540&gt;=1000000000,COUNTA(Q1540:Q1644)=0)),OR(Y1540&gt;=1000000000,AND(COUNTA(C1540:C1644)=0,P$3=TRUE))),
ROUNDDOWN((AB$1-AC$1)*MAX(INDEX(T$4:T1644,MATCH(LARGE(FILTER(Y$4:Y1"&amp;"644,Y$4:Y1644&lt;1000000000),1),Y$4:Y1644)),INDEX(F$4:F1644,MATCH(LARGE(FILTER(K$4:K1644,K$4:K1644&lt;1000000000),1),K$4:K1644)))),AND(K1540&lt;1000000000,COUNTA(C1540:C1644)&gt;0,P$3=FALSE),
ROUNDDOWN(INDEX(Y$4:Y1644,MATCH(LARGE(FILTER(W$4:W1644,W$4:W1644&lt;=I1540),1)"&amp;",W$4:W1644))+(I1540-LARGE(FILTER(W$4:W1644,W$4:W1644&lt;=I1540),1))*INDEX(T$4:T1644,MATCH(LARGE(FILTER(W$4:W1644,W$4:W1644&lt;=I1540),1),W$4:W1644))-K1540),1,
ROUNDDOWN(Y1540-INDEX(K$4:K1644,MATCH(LARGE(FILTER(I$4:I1644,I$4:I1644&lt;=W1540),1),I$4:I1644))-(W1540-L"&amp;"ARGE(FILTER(I$4:I1644,I$4:I1644&lt;=W1540),1))*INDEX(F$4:F1644,MATCH(LARGE(FILTER(I$4:I1644,I$4:I1644&lt;=W1540),1),I$4:I1644))))"),"")</f>
        <v/>
      </c>
      <c r="N1540" s="60" t="str">
        <f t="shared" si="8"/>
        <v/>
      </c>
      <c r="O1540" s="61" t="str">
        <f t="shared" si="9"/>
        <v/>
      </c>
      <c r="P1540" s="56" t="str">
        <f t="shared" si="10"/>
        <v/>
      </c>
      <c r="Q1540" s="105"/>
      <c r="R1540" s="10"/>
      <c r="S1540" s="59" t="str">
        <f t="array" ref="S1540">IF(COUNTA(Q1540:Q1644)=0,"",SUM((COUNTIF(Q$4:Q1540,Upgrades!$B$3:$B$13)-COUNTIF(Q$4:Q1540,"Sell_"&amp;Upgrades!$B$3:$B$13))*Upgrades!$D$3:$D$13))</f>
        <v/>
      </c>
      <c r="T1540" s="66" t="str">
        <f>IFERROR(__xludf.DUMMYFUNCTION("IF(COUNTA(Q1540:Q1644)=0,"""",IF(REGEXMATCH(INDEX(FILTER(Q$4:Q1540,Q$4:Q1540&lt;&gt;""""),ROWS(FILTER(Q$4:Q1540,Q$4:Q1540&lt;&gt;""""))),""^Sell_""),INDEX(FILTER(T$4:T1539,Q$4:Q1539&lt;&gt;""""),ROWS(FILTER(Q$4:Q1539,Q$4:Q1539&lt;&gt;""""))),$AD$5+S1540))"),"")</f>
        <v/>
      </c>
      <c r="U1540" s="10" t="str">
        <f>IFERROR(__xludf.DUMMYFUNCTION("IF(COUNTA(Q1540:Q1644)=0,"""",IF(Q1540="""",0,IF(REGEXMATCH(Q1540,""^Sell_""),-ROUNDDOWN(ROUNDUP(INDEX(Upgrades!$C$3:$C$13,MATCH(SUBSTITUTE(Q1540,""Sell_"",""""),Upgrades!$B$3:$B$13,0))*1.15^(COUNTIF(Q$4:Q1539,SUBSTITUTE(Q1540,""Sell_"",""""))-COUNTIF(Q$4"&amp;":Q1539,""Sell_""&amp;SUBSTITUTE(Q1540,""Sell_"",""""))))/2),ROUNDUP(INDEX(Upgrades!$C$3:$C$13,MATCH(Q1540,Upgrades!$B$3:$B$13,0))*1.15^(COUNTIF(Q$4:Q1539,Q1540)-COUNTIF(Q$4:Q1539,""Sell_""&amp;Q1540))))))"),"")</f>
        <v/>
      </c>
      <c r="V1540" s="10" t="str">
        <f t="shared" si="11"/>
        <v/>
      </c>
      <c r="W1540" s="68" t="str">
        <f t="shared" si="12"/>
        <v/>
      </c>
      <c r="X1540" s="59" t="str">
        <f t="shared" si="13"/>
        <v/>
      </c>
      <c r="Y1540" s="69" t="str">
        <f t="shared" si="14"/>
        <v/>
      </c>
      <c r="Z1540" s="11"/>
      <c r="AG1540" s="59"/>
    </row>
    <row r="1541">
      <c r="A1541" s="8"/>
      <c r="B1541" s="56" t="str">
        <f t="shared" si="2"/>
        <v/>
      </c>
      <c r="C1541" s="105"/>
      <c r="D1541" s="10"/>
      <c r="E1541" s="59" t="str">
        <f t="array" ref="E1541">IF(COUNTA(C1541:C1644)=0,"",SUM((COUNTIF(C$4:C1541,Upgrades!$B$3:$B$13)-COUNTIF(C$4:C1541,"Sell_"&amp;Upgrades!$B$3:$B$13))*Upgrades!$D$3:$D$13))</f>
        <v/>
      </c>
      <c r="F1541" s="66" t="str">
        <f>IFERROR(__xludf.DUMMYFUNCTION("IF(COUNTA(C1541:C1644)=0,"""",IF(REGEXMATCH(INDEX(FILTER(C$4:C1541,C$4:C1541&lt;&gt;""""),ROWS(FILTER(C$4:C1541,C$4:C1541&lt;&gt;""""))),""^Sell_""),INDEX(FILTER(F$4:F1540,C$4:C1540&lt;&gt;""""),ROWS(FILTER(C$4:C1540,C$4:C1540&lt;&gt;""""))),$AC$5+E1541))"),"")</f>
        <v/>
      </c>
      <c r="G1541" s="10" t="str">
        <f>IFERROR(__xludf.DUMMYFUNCTION("IF(COUNTA(C1541:C1644)=0,"""",IF(C1541="""",0,IF(REGEXMATCH(C1541,""^Sell_""),-ROUNDDOWN(ROUNDUP(INDEX(Upgrades!$C$3:$C$13,MATCH(SUBSTITUTE(C1541,""Sell_"",""""),Upgrades!$B$3:$B$13,0))*1.15^(COUNTIF(C$4:C1540,SUBSTITUTE(C1541,""Sell_"",""""))-COUNTIF(C$4"&amp;":C1540,""Sell_""&amp;SUBSTITUTE(C1541,""Sell_"",""""))))/2),ROUNDUP(INDEX(Upgrades!$C$3:$C$13,MATCH(C1541,Upgrades!$B$3:$B$13,0))*1.15^(COUNTIF(C$4:C1540,C1541)-COUNTIF(C$4:C1540,""Sell_""&amp;C1541))))))"),"")</f>
        <v/>
      </c>
      <c r="H1541" s="10" t="str">
        <f t="shared" si="3"/>
        <v/>
      </c>
      <c r="I1541" s="68" t="str">
        <f t="shared" si="4"/>
        <v/>
      </c>
      <c r="J1541" s="59" t="str">
        <f t="shared" si="5"/>
        <v/>
      </c>
      <c r="K1541" s="69" t="str">
        <f t="shared" si="6"/>
        <v/>
      </c>
      <c r="L1541" s="60" t="str">
        <f t="shared" si="7"/>
        <v/>
      </c>
      <c r="M1541" s="61" t="str">
        <f>IFERROR(__xludf.DUMMYFUNCTION("IFS(AND(COUNTA(C1541:C1644)=0,COUNTA(Q1541:Q1644)=0),"""",OR(AND(K1541&gt;=1000000000,OR(Y1541&gt;=1000000000,COUNTA(Q1541:Q1644)=0)),OR(Y1541&gt;=1000000000,AND(COUNTA(C1541:C1644)=0,P$3=TRUE))),
ROUNDDOWN((AB$1-AC$1)*MAX(INDEX(T$4:T1644,MATCH(LARGE(FILTER(Y$4:Y1"&amp;"644,Y$4:Y1644&lt;1000000000),1),Y$4:Y1644)),INDEX(F$4:F1644,MATCH(LARGE(FILTER(K$4:K1644,K$4:K1644&lt;1000000000),1),K$4:K1644)))),AND(K1541&lt;1000000000,COUNTA(C1541:C1644)&gt;0,P$3=FALSE),
ROUNDDOWN(INDEX(Y$4:Y1644,MATCH(LARGE(FILTER(W$4:W1644,W$4:W1644&lt;=I1541),1)"&amp;",W$4:W1644))+(I1541-LARGE(FILTER(W$4:W1644,W$4:W1644&lt;=I1541),1))*INDEX(T$4:T1644,MATCH(LARGE(FILTER(W$4:W1644,W$4:W1644&lt;=I1541),1),W$4:W1644))-K1541),1,
ROUNDDOWN(Y1541-INDEX(K$4:K1644,MATCH(LARGE(FILTER(I$4:I1644,I$4:I1644&lt;=W1541),1),I$4:I1644))-(W1541-L"&amp;"ARGE(FILTER(I$4:I1644,I$4:I1644&lt;=W1541),1))*INDEX(F$4:F1644,MATCH(LARGE(FILTER(I$4:I1644,I$4:I1644&lt;=W1541),1),I$4:I1644))))"),"")</f>
        <v/>
      </c>
      <c r="N1541" s="60" t="str">
        <f t="shared" si="8"/>
        <v/>
      </c>
      <c r="O1541" s="61" t="str">
        <f t="shared" si="9"/>
        <v/>
      </c>
      <c r="P1541" s="56" t="str">
        <f t="shared" si="10"/>
        <v/>
      </c>
      <c r="Q1541" s="105"/>
      <c r="R1541" s="10"/>
      <c r="S1541" s="59" t="str">
        <f t="array" ref="S1541">IF(COUNTA(Q1541:Q1644)=0,"",SUM((COUNTIF(Q$4:Q1541,Upgrades!$B$3:$B$13)-COUNTIF(Q$4:Q1541,"Sell_"&amp;Upgrades!$B$3:$B$13))*Upgrades!$D$3:$D$13))</f>
        <v/>
      </c>
      <c r="T1541" s="66" t="str">
        <f>IFERROR(__xludf.DUMMYFUNCTION("IF(COUNTA(Q1541:Q1644)=0,"""",IF(REGEXMATCH(INDEX(FILTER(Q$4:Q1541,Q$4:Q1541&lt;&gt;""""),ROWS(FILTER(Q$4:Q1541,Q$4:Q1541&lt;&gt;""""))),""^Sell_""),INDEX(FILTER(T$4:T1540,Q$4:Q1540&lt;&gt;""""),ROWS(FILTER(Q$4:Q1540,Q$4:Q1540&lt;&gt;""""))),$AD$5+S1541))"),"")</f>
        <v/>
      </c>
      <c r="U1541" s="10" t="str">
        <f>IFERROR(__xludf.DUMMYFUNCTION("IF(COUNTA(Q1541:Q1644)=0,"""",IF(Q1541="""",0,IF(REGEXMATCH(Q1541,""^Sell_""),-ROUNDDOWN(ROUNDUP(INDEX(Upgrades!$C$3:$C$13,MATCH(SUBSTITUTE(Q1541,""Sell_"",""""),Upgrades!$B$3:$B$13,0))*1.15^(COUNTIF(Q$4:Q1540,SUBSTITUTE(Q1541,""Sell_"",""""))-COUNTIF(Q$4"&amp;":Q1540,""Sell_""&amp;SUBSTITUTE(Q1541,""Sell_"",""""))))/2),ROUNDUP(INDEX(Upgrades!$C$3:$C$13,MATCH(Q1541,Upgrades!$B$3:$B$13,0))*1.15^(COUNTIF(Q$4:Q1540,Q1541)-COUNTIF(Q$4:Q1540,""Sell_""&amp;Q1541))))))"),"")</f>
        <v/>
      </c>
      <c r="V1541" s="10" t="str">
        <f t="shared" si="11"/>
        <v/>
      </c>
      <c r="W1541" s="68" t="str">
        <f t="shared" si="12"/>
        <v/>
      </c>
      <c r="X1541" s="59" t="str">
        <f t="shared" si="13"/>
        <v/>
      </c>
      <c r="Y1541" s="69" t="str">
        <f t="shared" si="14"/>
        <v/>
      </c>
      <c r="Z1541" s="11"/>
      <c r="AG1541" s="59"/>
    </row>
    <row r="1542">
      <c r="A1542" s="8"/>
      <c r="B1542" s="56" t="str">
        <f t="shared" si="2"/>
        <v/>
      </c>
      <c r="C1542" s="105"/>
      <c r="D1542" s="10"/>
      <c r="E1542" s="59" t="str">
        <f t="array" ref="E1542">IF(COUNTA(C1542:C1644)=0,"",SUM((COUNTIF(C$4:C1542,Upgrades!$B$3:$B$13)-COUNTIF(C$4:C1542,"Sell_"&amp;Upgrades!$B$3:$B$13))*Upgrades!$D$3:$D$13))</f>
        <v/>
      </c>
      <c r="F1542" s="66" t="str">
        <f>IFERROR(__xludf.DUMMYFUNCTION("IF(COUNTA(C1542:C1644)=0,"""",IF(REGEXMATCH(INDEX(FILTER(C$4:C1542,C$4:C1542&lt;&gt;""""),ROWS(FILTER(C$4:C1542,C$4:C1542&lt;&gt;""""))),""^Sell_""),INDEX(FILTER(F$4:F1541,C$4:C1541&lt;&gt;""""),ROWS(FILTER(C$4:C1541,C$4:C1541&lt;&gt;""""))),$AC$5+E1542))"),"")</f>
        <v/>
      </c>
      <c r="G1542" s="10" t="str">
        <f>IFERROR(__xludf.DUMMYFUNCTION("IF(COUNTA(C1542:C1644)=0,"""",IF(C1542="""",0,IF(REGEXMATCH(C1542,""^Sell_""),-ROUNDDOWN(ROUNDUP(INDEX(Upgrades!$C$3:$C$13,MATCH(SUBSTITUTE(C1542,""Sell_"",""""),Upgrades!$B$3:$B$13,0))*1.15^(COUNTIF(C$4:C1541,SUBSTITUTE(C1542,""Sell_"",""""))-COUNTIF(C$4"&amp;":C1541,""Sell_""&amp;SUBSTITUTE(C1542,""Sell_"",""""))))/2),ROUNDUP(INDEX(Upgrades!$C$3:$C$13,MATCH(C1542,Upgrades!$B$3:$B$13,0))*1.15^(COUNTIF(C$4:C1541,C1542)-COUNTIF(C$4:C1541,""Sell_""&amp;C1542))))))"),"")</f>
        <v/>
      </c>
      <c r="H1542" s="10" t="str">
        <f t="shared" si="3"/>
        <v/>
      </c>
      <c r="I1542" s="68" t="str">
        <f t="shared" si="4"/>
        <v/>
      </c>
      <c r="J1542" s="59" t="str">
        <f t="shared" si="5"/>
        <v/>
      </c>
      <c r="K1542" s="69" t="str">
        <f t="shared" si="6"/>
        <v/>
      </c>
      <c r="L1542" s="60" t="str">
        <f t="shared" si="7"/>
        <v/>
      </c>
      <c r="M1542" s="61" t="str">
        <f>IFERROR(__xludf.DUMMYFUNCTION("IFS(AND(COUNTA(C1542:C1644)=0,COUNTA(Q1542:Q1644)=0),"""",OR(AND(K1542&gt;=1000000000,OR(Y1542&gt;=1000000000,COUNTA(Q1542:Q1644)=0)),OR(Y1542&gt;=1000000000,AND(COUNTA(C1542:C1644)=0,P$3=TRUE))),
ROUNDDOWN((AB$1-AC$1)*MAX(INDEX(T$4:T1644,MATCH(LARGE(FILTER(Y$4:Y1"&amp;"644,Y$4:Y1644&lt;1000000000),1),Y$4:Y1644)),INDEX(F$4:F1644,MATCH(LARGE(FILTER(K$4:K1644,K$4:K1644&lt;1000000000),1),K$4:K1644)))),AND(K1542&lt;1000000000,COUNTA(C1542:C1644)&gt;0,P$3=FALSE),
ROUNDDOWN(INDEX(Y$4:Y1644,MATCH(LARGE(FILTER(W$4:W1644,W$4:W1644&lt;=I1542),1)"&amp;",W$4:W1644))+(I1542-LARGE(FILTER(W$4:W1644,W$4:W1644&lt;=I1542),1))*INDEX(T$4:T1644,MATCH(LARGE(FILTER(W$4:W1644,W$4:W1644&lt;=I1542),1),W$4:W1644))-K1542),1,
ROUNDDOWN(Y1542-INDEX(K$4:K1644,MATCH(LARGE(FILTER(I$4:I1644,I$4:I1644&lt;=W1542),1),I$4:I1644))-(W1542-L"&amp;"ARGE(FILTER(I$4:I1644,I$4:I1644&lt;=W1542),1))*INDEX(F$4:F1644,MATCH(LARGE(FILTER(I$4:I1644,I$4:I1644&lt;=W1542),1),I$4:I1644))))"),"")</f>
        <v/>
      </c>
      <c r="N1542" s="60" t="str">
        <f t="shared" si="8"/>
        <v/>
      </c>
      <c r="O1542" s="61" t="str">
        <f t="shared" si="9"/>
        <v/>
      </c>
      <c r="P1542" s="56" t="str">
        <f t="shared" si="10"/>
        <v/>
      </c>
      <c r="Q1542" s="105"/>
      <c r="R1542" s="10"/>
      <c r="S1542" s="59" t="str">
        <f t="array" ref="S1542">IF(COUNTA(Q1542:Q1644)=0,"",SUM((COUNTIF(Q$4:Q1542,Upgrades!$B$3:$B$13)-COUNTIF(Q$4:Q1542,"Sell_"&amp;Upgrades!$B$3:$B$13))*Upgrades!$D$3:$D$13))</f>
        <v/>
      </c>
      <c r="T1542" s="66" t="str">
        <f>IFERROR(__xludf.DUMMYFUNCTION("IF(COUNTA(Q1542:Q1644)=0,"""",IF(REGEXMATCH(INDEX(FILTER(Q$4:Q1542,Q$4:Q1542&lt;&gt;""""),ROWS(FILTER(Q$4:Q1542,Q$4:Q1542&lt;&gt;""""))),""^Sell_""),INDEX(FILTER(T$4:T1541,Q$4:Q1541&lt;&gt;""""),ROWS(FILTER(Q$4:Q1541,Q$4:Q1541&lt;&gt;""""))),$AD$5+S1542))"),"")</f>
        <v/>
      </c>
      <c r="U1542" s="10" t="str">
        <f>IFERROR(__xludf.DUMMYFUNCTION("IF(COUNTA(Q1542:Q1644)=0,"""",IF(Q1542="""",0,IF(REGEXMATCH(Q1542,""^Sell_""),-ROUNDDOWN(ROUNDUP(INDEX(Upgrades!$C$3:$C$13,MATCH(SUBSTITUTE(Q1542,""Sell_"",""""),Upgrades!$B$3:$B$13,0))*1.15^(COUNTIF(Q$4:Q1541,SUBSTITUTE(Q1542,""Sell_"",""""))-COUNTIF(Q$4"&amp;":Q1541,""Sell_""&amp;SUBSTITUTE(Q1542,""Sell_"",""""))))/2),ROUNDUP(INDEX(Upgrades!$C$3:$C$13,MATCH(Q1542,Upgrades!$B$3:$B$13,0))*1.15^(COUNTIF(Q$4:Q1541,Q1542)-COUNTIF(Q$4:Q1541,""Sell_""&amp;Q1542))))))"),"")</f>
        <v/>
      </c>
      <c r="V1542" s="10" t="str">
        <f t="shared" si="11"/>
        <v/>
      </c>
      <c r="W1542" s="68" t="str">
        <f t="shared" si="12"/>
        <v/>
      </c>
      <c r="X1542" s="59" t="str">
        <f t="shared" si="13"/>
        <v/>
      </c>
      <c r="Y1542" s="69" t="str">
        <f t="shared" si="14"/>
        <v/>
      </c>
      <c r="Z1542" s="11"/>
      <c r="AG1542" s="59"/>
    </row>
    <row r="1543">
      <c r="A1543" s="8"/>
      <c r="B1543" s="56" t="str">
        <f t="shared" si="2"/>
        <v/>
      </c>
      <c r="C1543" s="105"/>
      <c r="D1543" s="10"/>
      <c r="E1543" s="59" t="str">
        <f t="array" ref="E1543">IF(COUNTA(C1543:C1644)=0,"",SUM((COUNTIF(C$4:C1543,Upgrades!$B$3:$B$13)-COUNTIF(C$4:C1543,"Sell_"&amp;Upgrades!$B$3:$B$13))*Upgrades!$D$3:$D$13))</f>
        <v/>
      </c>
      <c r="F1543" s="66" t="str">
        <f>IFERROR(__xludf.DUMMYFUNCTION("IF(COUNTA(C1543:C1644)=0,"""",IF(REGEXMATCH(INDEX(FILTER(C$4:C1543,C$4:C1543&lt;&gt;""""),ROWS(FILTER(C$4:C1543,C$4:C1543&lt;&gt;""""))),""^Sell_""),INDEX(FILTER(F$4:F1542,C$4:C1542&lt;&gt;""""),ROWS(FILTER(C$4:C1542,C$4:C1542&lt;&gt;""""))),$AC$5+E1543))"),"")</f>
        <v/>
      </c>
      <c r="G1543" s="10" t="str">
        <f>IFERROR(__xludf.DUMMYFUNCTION("IF(COUNTA(C1543:C1644)=0,"""",IF(C1543="""",0,IF(REGEXMATCH(C1543,""^Sell_""),-ROUNDDOWN(ROUNDUP(INDEX(Upgrades!$C$3:$C$13,MATCH(SUBSTITUTE(C1543,""Sell_"",""""),Upgrades!$B$3:$B$13,0))*1.15^(COUNTIF(C$4:C1542,SUBSTITUTE(C1543,""Sell_"",""""))-COUNTIF(C$4"&amp;":C1542,""Sell_""&amp;SUBSTITUTE(C1543,""Sell_"",""""))))/2),ROUNDUP(INDEX(Upgrades!$C$3:$C$13,MATCH(C1543,Upgrades!$B$3:$B$13,0))*1.15^(COUNTIF(C$4:C1542,C1543)-COUNTIF(C$4:C1542,""Sell_""&amp;C1543))))))"),"")</f>
        <v/>
      </c>
      <c r="H1543" s="10" t="str">
        <f t="shared" si="3"/>
        <v/>
      </c>
      <c r="I1543" s="68" t="str">
        <f t="shared" si="4"/>
        <v/>
      </c>
      <c r="J1543" s="59" t="str">
        <f t="shared" si="5"/>
        <v/>
      </c>
      <c r="K1543" s="69" t="str">
        <f t="shared" si="6"/>
        <v/>
      </c>
      <c r="L1543" s="60" t="str">
        <f t="shared" si="7"/>
        <v/>
      </c>
      <c r="M1543" s="61" t="str">
        <f>IFERROR(__xludf.DUMMYFUNCTION("IFS(AND(COUNTA(C1543:C1644)=0,COUNTA(Q1543:Q1644)=0),"""",OR(AND(K1543&gt;=1000000000,OR(Y1543&gt;=1000000000,COUNTA(Q1543:Q1644)=0)),OR(Y1543&gt;=1000000000,AND(COUNTA(C1543:C1644)=0,P$3=TRUE))),
ROUNDDOWN((AB$1-AC$1)*MAX(INDEX(T$4:T1644,MATCH(LARGE(FILTER(Y$4:Y1"&amp;"644,Y$4:Y1644&lt;1000000000),1),Y$4:Y1644)),INDEX(F$4:F1644,MATCH(LARGE(FILTER(K$4:K1644,K$4:K1644&lt;1000000000),1),K$4:K1644)))),AND(K1543&lt;1000000000,COUNTA(C1543:C1644)&gt;0,P$3=FALSE),
ROUNDDOWN(INDEX(Y$4:Y1644,MATCH(LARGE(FILTER(W$4:W1644,W$4:W1644&lt;=I1543),1)"&amp;",W$4:W1644))+(I1543-LARGE(FILTER(W$4:W1644,W$4:W1644&lt;=I1543),1))*INDEX(T$4:T1644,MATCH(LARGE(FILTER(W$4:W1644,W$4:W1644&lt;=I1543),1),W$4:W1644))-K1543),1,
ROUNDDOWN(Y1543-INDEX(K$4:K1644,MATCH(LARGE(FILTER(I$4:I1644,I$4:I1644&lt;=W1543),1),I$4:I1644))-(W1543-L"&amp;"ARGE(FILTER(I$4:I1644,I$4:I1644&lt;=W1543),1))*INDEX(F$4:F1644,MATCH(LARGE(FILTER(I$4:I1644,I$4:I1644&lt;=W1543),1),I$4:I1644))))"),"")</f>
        <v/>
      </c>
      <c r="N1543" s="60" t="str">
        <f t="shared" si="8"/>
        <v/>
      </c>
      <c r="O1543" s="61" t="str">
        <f t="shared" si="9"/>
        <v/>
      </c>
      <c r="P1543" s="56" t="str">
        <f t="shared" si="10"/>
        <v/>
      </c>
      <c r="Q1543" s="105"/>
      <c r="R1543" s="10"/>
      <c r="S1543" s="59" t="str">
        <f t="array" ref="S1543">IF(COUNTA(Q1543:Q1644)=0,"",SUM((COUNTIF(Q$4:Q1543,Upgrades!$B$3:$B$13)-COUNTIF(Q$4:Q1543,"Sell_"&amp;Upgrades!$B$3:$B$13))*Upgrades!$D$3:$D$13))</f>
        <v/>
      </c>
      <c r="T1543" s="66" t="str">
        <f>IFERROR(__xludf.DUMMYFUNCTION("IF(COUNTA(Q1543:Q1644)=0,"""",IF(REGEXMATCH(INDEX(FILTER(Q$4:Q1543,Q$4:Q1543&lt;&gt;""""),ROWS(FILTER(Q$4:Q1543,Q$4:Q1543&lt;&gt;""""))),""^Sell_""),INDEX(FILTER(T$4:T1542,Q$4:Q1542&lt;&gt;""""),ROWS(FILTER(Q$4:Q1542,Q$4:Q1542&lt;&gt;""""))),$AD$5+S1543))"),"")</f>
        <v/>
      </c>
      <c r="U1543" s="10" t="str">
        <f>IFERROR(__xludf.DUMMYFUNCTION("IF(COUNTA(Q1543:Q1644)=0,"""",IF(Q1543="""",0,IF(REGEXMATCH(Q1543,""^Sell_""),-ROUNDDOWN(ROUNDUP(INDEX(Upgrades!$C$3:$C$13,MATCH(SUBSTITUTE(Q1543,""Sell_"",""""),Upgrades!$B$3:$B$13,0))*1.15^(COUNTIF(Q$4:Q1542,SUBSTITUTE(Q1543,""Sell_"",""""))-COUNTIF(Q$4"&amp;":Q1542,""Sell_""&amp;SUBSTITUTE(Q1543,""Sell_"",""""))))/2),ROUNDUP(INDEX(Upgrades!$C$3:$C$13,MATCH(Q1543,Upgrades!$B$3:$B$13,0))*1.15^(COUNTIF(Q$4:Q1542,Q1543)-COUNTIF(Q$4:Q1542,""Sell_""&amp;Q1543))))))"),"")</f>
        <v/>
      </c>
      <c r="V1543" s="10" t="str">
        <f t="shared" si="11"/>
        <v/>
      </c>
      <c r="W1543" s="68" t="str">
        <f t="shared" si="12"/>
        <v/>
      </c>
      <c r="X1543" s="59" t="str">
        <f t="shared" si="13"/>
        <v/>
      </c>
      <c r="Y1543" s="69" t="str">
        <f t="shared" si="14"/>
        <v/>
      </c>
      <c r="Z1543" s="11"/>
      <c r="AG1543" s="59"/>
    </row>
    <row r="1544">
      <c r="A1544" s="8"/>
      <c r="B1544" s="56" t="str">
        <f t="shared" si="2"/>
        <v/>
      </c>
      <c r="C1544" s="105"/>
      <c r="D1544" s="10"/>
      <c r="E1544" s="59" t="str">
        <f t="array" ref="E1544">IF(COUNTA(C1544:C1644)=0,"",SUM((COUNTIF(C$4:C1544,Upgrades!$B$3:$B$13)-COUNTIF(C$4:C1544,"Sell_"&amp;Upgrades!$B$3:$B$13))*Upgrades!$D$3:$D$13))</f>
        <v/>
      </c>
      <c r="F1544" s="66" t="str">
        <f>IFERROR(__xludf.DUMMYFUNCTION("IF(COUNTA(C1544:C1644)=0,"""",IF(REGEXMATCH(INDEX(FILTER(C$4:C1544,C$4:C1544&lt;&gt;""""),ROWS(FILTER(C$4:C1544,C$4:C1544&lt;&gt;""""))),""^Sell_""),INDEX(FILTER(F$4:F1543,C$4:C1543&lt;&gt;""""),ROWS(FILTER(C$4:C1543,C$4:C1543&lt;&gt;""""))),$AC$5+E1544))"),"")</f>
        <v/>
      </c>
      <c r="G1544" s="10" t="str">
        <f>IFERROR(__xludf.DUMMYFUNCTION("IF(COUNTA(C1544:C1644)=0,"""",IF(C1544="""",0,IF(REGEXMATCH(C1544,""^Sell_""),-ROUNDDOWN(ROUNDUP(INDEX(Upgrades!$C$3:$C$13,MATCH(SUBSTITUTE(C1544,""Sell_"",""""),Upgrades!$B$3:$B$13,0))*1.15^(COUNTIF(C$4:C1543,SUBSTITUTE(C1544,""Sell_"",""""))-COUNTIF(C$4"&amp;":C1543,""Sell_""&amp;SUBSTITUTE(C1544,""Sell_"",""""))))/2),ROUNDUP(INDEX(Upgrades!$C$3:$C$13,MATCH(C1544,Upgrades!$B$3:$B$13,0))*1.15^(COUNTIF(C$4:C1543,C1544)-COUNTIF(C$4:C1543,""Sell_""&amp;C1544))))))"),"")</f>
        <v/>
      </c>
      <c r="H1544" s="10" t="str">
        <f t="shared" si="3"/>
        <v/>
      </c>
      <c r="I1544" s="68" t="str">
        <f t="shared" si="4"/>
        <v/>
      </c>
      <c r="J1544" s="59" t="str">
        <f t="shared" si="5"/>
        <v/>
      </c>
      <c r="K1544" s="69" t="str">
        <f t="shared" si="6"/>
        <v/>
      </c>
      <c r="L1544" s="60" t="str">
        <f t="shared" si="7"/>
        <v/>
      </c>
      <c r="M1544" s="61" t="str">
        <f>IFERROR(__xludf.DUMMYFUNCTION("IFS(AND(COUNTA(C1544:C1644)=0,COUNTA(Q1544:Q1644)=0),"""",OR(AND(K1544&gt;=1000000000,OR(Y1544&gt;=1000000000,COUNTA(Q1544:Q1644)=0)),OR(Y1544&gt;=1000000000,AND(COUNTA(C1544:C1644)=0,P$3=TRUE))),
ROUNDDOWN((AB$1-AC$1)*MAX(INDEX(T$4:T1644,MATCH(LARGE(FILTER(Y$4:Y1"&amp;"644,Y$4:Y1644&lt;1000000000),1),Y$4:Y1644)),INDEX(F$4:F1644,MATCH(LARGE(FILTER(K$4:K1644,K$4:K1644&lt;1000000000),1),K$4:K1644)))),AND(K1544&lt;1000000000,COUNTA(C1544:C1644)&gt;0,P$3=FALSE),
ROUNDDOWN(INDEX(Y$4:Y1644,MATCH(LARGE(FILTER(W$4:W1644,W$4:W1644&lt;=I1544),1)"&amp;",W$4:W1644))+(I1544-LARGE(FILTER(W$4:W1644,W$4:W1644&lt;=I1544),1))*INDEX(T$4:T1644,MATCH(LARGE(FILTER(W$4:W1644,W$4:W1644&lt;=I1544),1),W$4:W1644))-K1544),1,
ROUNDDOWN(Y1544-INDEX(K$4:K1644,MATCH(LARGE(FILTER(I$4:I1644,I$4:I1644&lt;=W1544),1),I$4:I1644))-(W1544-L"&amp;"ARGE(FILTER(I$4:I1644,I$4:I1644&lt;=W1544),1))*INDEX(F$4:F1644,MATCH(LARGE(FILTER(I$4:I1644,I$4:I1644&lt;=W1544),1),I$4:I1644))))"),"")</f>
        <v/>
      </c>
      <c r="N1544" s="60" t="str">
        <f t="shared" si="8"/>
        <v/>
      </c>
      <c r="O1544" s="61" t="str">
        <f t="shared" si="9"/>
        <v/>
      </c>
      <c r="P1544" s="56" t="str">
        <f t="shared" si="10"/>
        <v/>
      </c>
      <c r="Q1544" s="105"/>
      <c r="R1544" s="10"/>
      <c r="S1544" s="59" t="str">
        <f t="array" ref="S1544">IF(COUNTA(Q1544:Q1644)=0,"",SUM((COUNTIF(Q$4:Q1544,Upgrades!$B$3:$B$13)-COUNTIF(Q$4:Q1544,"Sell_"&amp;Upgrades!$B$3:$B$13))*Upgrades!$D$3:$D$13))</f>
        <v/>
      </c>
      <c r="T1544" s="66" t="str">
        <f>IFERROR(__xludf.DUMMYFUNCTION("IF(COUNTA(Q1544:Q1644)=0,"""",IF(REGEXMATCH(INDEX(FILTER(Q$4:Q1544,Q$4:Q1544&lt;&gt;""""),ROWS(FILTER(Q$4:Q1544,Q$4:Q1544&lt;&gt;""""))),""^Sell_""),INDEX(FILTER(T$4:T1543,Q$4:Q1543&lt;&gt;""""),ROWS(FILTER(Q$4:Q1543,Q$4:Q1543&lt;&gt;""""))),$AD$5+S1544))"),"")</f>
        <v/>
      </c>
      <c r="U1544" s="10" t="str">
        <f>IFERROR(__xludf.DUMMYFUNCTION("IF(COUNTA(Q1544:Q1644)=0,"""",IF(Q1544="""",0,IF(REGEXMATCH(Q1544,""^Sell_""),-ROUNDDOWN(ROUNDUP(INDEX(Upgrades!$C$3:$C$13,MATCH(SUBSTITUTE(Q1544,""Sell_"",""""),Upgrades!$B$3:$B$13,0))*1.15^(COUNTIF(Q$4:Q1543,SUBSTITUTE(Q1544,""Sell_"",""""))-COUNTIF(Q$4"&amp;":Q1543,""Sell_""&amp;SUBSTITUTE(Q1544,""Sell_"",""""))))/2),ROUNDUP(INDEX(Upgrades!$C$3:$C$13,MATCH(Q1544,Upgrades!$B$3:$B$13,0))*1.15^(COUNTIF(Q$4:Q1543,Q1544)-COUNTIF(Q$4:Q1543,""Sell_""&amp;Q1544))))))"),"")</f>
        <v/>
      </c>
      <c r="V1544" s="10" t="str">
        <f t="shared" si="11"/>
        <v/>
      </c>
      <c r="W1544" s="68" t="str">
        <f t="shared" si="12"/>
        <v/>
      </c>
      <c r="X1544" s="59" t="str">
        <f t="shared" si="13"/>
        <v/>
      </c>
      <c r="Y1544" s="69" t="str">
        <f t="shared" si="14"/>
        <v/>
      </c>
      <c r="Z1544" s="11"/>
      <c r="AG1544" s="59"/>
    </row>
    <row r="1545">
      <c r="A1545" s="8"/>
      <c r="B1545" s="56" t="str">
        <f t="shared" si="2"/>
        <v/>
      </c>
      <c r="C1545" s="105"/>
      <c r="D1545" s="10"/>
      <c r="E1545" s="59" t="str">
        <f t="array" ref="E1545">IF(COUNTA(C1545:C1644)=0,"",SUM((COUNTIF(C$4:C1545,Upgrades!$B$3:$B$13)-COUNTIF(C$4:C1545,"Sell_"&amp;Upgrades!$B$3:$B$13))*Upgrades!$D$3:$D$13))</f>
        <v/>
      </c>
      <c r="F1545" s="66" t="str">
        <f>IFERROR(__xludf.DUMMYFUNCTION("IF(COUNTA(C1545:C1644)=0,"""",IF(REGEXMATCH(INDEX(FILTER(C$4:C1545,C$4:C1545&lt;&gt;""""),ROWS(FILTER(C$4:C1545,C$4:C1545&lt;&gt;""""))),""^Sell_""),INDEX(FILTER(F$4:F1544,C$4:C1544&lt;&gt;""""),ROWS(FILTER(C$4:C1544,C$4:C1544&lt;&gt;""""))),$AC$5+E1545))"),"")</f>
        <v/>
      </c>
      <c r="G1545" s="10" t="str">
        <f>IFERROR(__xludf.DUMMYFUNCTION("IF(COUNTA(C1545:C1644)=0,"""",IF(C1545="""",0,IF(REGEXMATCH(C1545,""^Sell_""),-ROUNDDOWN(ROUNDUP(INDEX(Upgrades!$C$3:$C$13,MATCH(SUBSTITUTE(C1545,""Sell_"",""""),Upgrades!$B$3:$B$13,0))*1.15^(COUNTIF(C$4:C1544,SUBSTITUTE(C1545,""Sell_"",""""))-COUNTIF(C$4"&amp;":C1544,""Sell_""&amp;SUBSTITUTE(C1545,""Sell_"",""""))))/2),ROUNDUP(INDEX(Upgrades!$C$3:$C$13,MATCH(C1545,Upgrades!$B$3:$B$13,0))*1.15^(COUNTIF(C$4:C1544,C1545)-COUNTIF(C$4:C1544,""Sell_""&amp;C1545))))))"),"")</f>
        <v/>
      </c>
      <c r="H1545" s="10" t="str">
        <f t="shared" si="3"/>
        <v/>
      </c>
      <c r="I1545" s="68" t="str">
        <f t="shared" si="4"/>
        <v/>
      </c>
      <c r="J1545" s="59" t="str">
        <f t="shared" si="5"/>
        <v/>
      </c>
      <c r="K1545" s="69" t="str">
        <f t="shared" si="6"/>
        <v/>
      </c>
      <c r="L1545" s="60" t="str">
        <f t="shared" si="7"/>
        <v/>
      </c>
      <c r="M1545" s="61" t="str">
        <f>IFERROR(__xludf.DUMMYFUNCTION("IFS(AND(COUNTA(C1545:C1644)=0,COUNTA(Q1545:Q1644)=0),"""",OR(AND(K1545&gt;=1000000000,OR(Y1545&gt;=1000000000,COUNTA(Q1545:Q1644)=0)),OR(Y1545&gt;=1000000000,AND(COUNTA(C1545:C1644)=0,P$3=TRUE))),
ROUNDDOWN((AB$1-AC$1)*MAX(INDEX(T$4:T1644,MATCH(LARGE(FILTER(Y$4:Y1"&amp;"644,Y$4:Y1644&lt;1000000000),1),Y$4:Y1644)),INDEX(F$4:F1644,MATCH(LARGE(FILTER(K$4:K1644,K$4:K1644&lt;1000000000),1),K$4:K1644)))),AND(K1545&lt;1000000000,COUNTA(C1545:C1644)&gt;0,P$3=FALSE),
ROUNDDOWN(INDEX(Y$4:Y1644,MATCH(LARGE(FILTER(W$4:W1644,W$4:W1644&lt;=I1545),1)"&amp;",W$4:W1644))+(I1545-LARGE(FILTER(W$4:W1644,W$4:W1644&lt;=I1545),1))*INDEX(T$4:T1644,MATCH(LARGE(FILTER(W$4:W1644,W$4:W1644&lt;=I1545),1),W$4:W1644))-K1545),1,
ROUNDDOWN(Y1545-INDEX(K$4:K1644,MATCH(LARGE(FILTER(I$4:I1644,I$4:I1644&lt;=W1545),1),I$4:I1644))-(W1545-L"&amp;"ARGE(FILTER(I$4:I1644,I$4:I1644&lt;=W1545),1))*INDEX(F$4:F1644,MATCH(LARGE(FILTER(I$4:I1644,I$4:I1644&lt;=W1545),1),I$4:I1644))))"),"")</f>
        <v/>
      </c>
      <c r="N1545" s="60" t="str">
        <f t="shared" si="8"/>
        <v/>
      </c>
      <c r="O1545" s="61" t="str">
        <f t="shared" si="9"/>
        <v/>
      </c>
      <c r="P1545" s="56" t="str">
        <f t="shared" si="10"/>
        <v/>
      </c>
      <c r="Q1545" s="105"/>
      <c r="R1545" s="10"/>
      <c r="S1545" s="59" t="str">
        <f t="array" ref="S1545">IF(COUNTA(Q1545:Q1644)=0,"",SUM((COUNTIF(Q$4:Q1545,Upgrades!$B$3:$B$13)-COUNTIF(Q$4:Q1545,"Sell_"&amp;Upgrades!$B$3:$B$13))*Upgrades!$D$3:$D$13))</f>
        <v/>
      </c>
      <c r="T1545" s="66" t="str">
        <f>IFERROR(__xludf.DUMMYFUNCTION("IF(COUNTA(Q1545:Q1644)=0,"""",IF(REGEXMATCH(INDEX(FILTER(Q$4:Q1545,Q$4:Q1545&lt;&gt;""""),ROWS(FILTER(Q$4:Q1545,Q$4:Q1545&lt;&gt;""""))),""^Sell_""),INDEX(FILTER(T$4:T1544,Q$4:Q1544&lt;&gt;""""),ROWS(FILTER(Q$4:Q1544,Q$4:Q1544&lt;&gt;""""))),$AD$5+S1545))"),"")</f>
        <v/>
      </c>
      <c r="U1545" s="10" t="str">
        <f>IFERROR(__xludf.DUMMYFUNCTION("IF(COUNTA(Q1545:Q1644)=0,"""",IF(Q1545="""",0,IF(REGEXMATCH(Q1545,""^Sell_""),-ROUNDDOWN(ROUNDUP(INDEX(Upgrades!$C$3:$C$13,MATCH(SUBSTITUTE(Q1545,""Sell_"",""""),Upgrades!$B$3:$B$13,0))*1.15^(COUNTIF(Q$4:Q1544,SUBSTITUTE(Q1545,""Sell_"",""""))-COUNTIF(Q$4"&amp;":Q1544,""Sell_""&amp;SUBSTITUTE(Q1545,""Sell_"",""""))))/2),ROUNDUP(INDEX(Upgrades!$C$3:$C$13,MATCH(Q1545,Upgrades!$B$3:$B$13,0))*1.15^(COUNTIF(Q$4:Q1544,Q1545)-COUNTIF(Q$4:Q1544,""Sell_""&amp;Q1545))))))"),"")</f>
        <v/>
      </c>
      <c r="V1545" s="10" t="str">
        <f t="shared" si="11"/>
        <v/>
      </c>
      <c r="W1545" s="68" t="str">
        <f t="shared" si="12"/>
        <v/>
      </c>
      <c r="X1545" s="59" t="str">
        <f t="shared" si="13"/>
        <v/>
      </c>
      <c r="Y1545" s="69" t="str">
        <f t="shared" si="14"/>
        <v/>
      </c>
      <c r="Z1545" s="11"/>
      <c r="AG1545" s="59"/>
    </row>
    <row r="1546">
      <c r="A1546" s="8"/>
      <c r="B1546" s="56" t="str">
        <f t="shared" si="2"/>
        <v/>
      </c>
      <c r="C1546" s="105"/>
      <c r="D1546" s="10"/>
      <c r="E1546" s="59" t="str">
        <f t="array" ref="E1546">IF(COUNTA(C1546:C1644)=0,"",SUM((COUNTIF(C$4:C1546,Upgrades!$B$3:$B$13)-COUNTIF(C$4:C1546,"Sell_"&amp;Upgrades!$B$3:$B$13))*Upgrades!$D$3:$D$13))</f>
        <v/>
      </c>
      <c r="F1546" s="66" t="str">
        <f>IFERROR(__xludf.DUMMYFUNCTION("IF(COUNTA(C1546:C1644)=0,"""",IF(REGEXMATCH(INDEX(FILTER(C$4:C1546,C$4:C1546&lt;&gt;""""),ROWS(FILTER(C$4:C1546,C$4:C1546&lt;&gt;""""))),""^Sell_""),INDEX(FILTER(F$4:F1545,C$4:C1545&lt;&gt;""""),ROWS(FILTER(C$4:C1545,C$4:C1545&lt;&gt;""""))),$AC$5+E1546))"),"")</f>
        <v/>
      </c>
      <c r="G1546" s="10" t="str">
        <f>IFERROR(__xludf.DUMMYFUNCTION("IF(COUNTA(C1546:C1644)=0,"""",IF(C1546="""",0,IF(REGEXMATCH(C1546,""^Sell_""),-ROUNDDOWN(ROUNDUP(INDEX(Upgrades!$C$3:$C$13,MATCH(SUBSTITUTE(C1546,""Sell_"",""""),Upgrades!$B$3:$B$13,0))*1.15^(COUNTIF(C$4:C1545,SUBSTITUTE(C1546,""Sell_"",""""))-COUNTIF(C$4"&amp;":C1545,""Sell_""&amp;SUBSTITUTE(C1546,""Sell_"",""""))))/2),ROUNDUP(INDEX(Upgrades!$C$3:$C$13,MATCH(C1546,Upgrades!$B$3:$B$13,0))*1.15^(COUNTIF(C$4:C1545,C1546)-COUNTIF(C$4:C1545,""Sell_""&amp;C1546))))))"),"")</f>
        <v/>
      </c>
      <c r="H1546" s="10" t="str">
        <f t="shared" si="3"/>
        <v/>
      </c>
      <c r="I1546" s="68" t="str">
        <f t="shared" si="4"/>
        <v/>
      </c>
      <c r="J1546" s="59" t="str">
        <f t="shared" si="5"/>
        <v/>
      </c>
      <c r="K1546" s="69" t="str">
        <f t="shared" si="6"/>
        <v/>
      </c>
      <c r="L1546" s="60" t="str">
        <f t="shared" si="7"/>
        <v/>
      </c>
      <c r="M1546" s="61" t="str">
        <f>IFERROR(__xludf.DUMMYFUNCTION("IFS(AND(COUNTA(C1546:C1644)=0,COUNTA(Q1546:Q1644)=0),"""",OR(AND(K1546&gt;=1000000000,OR(Y1546&gt;=1000000000,COUNTA(Q1546:Q1644)=0)),OR(Y1546&gt;=1000000000,AND(COUNTA(C1546:C1644)=0,P$3=TRUE))),
ROUNDDOWN((AB$1-AC$1)*MAX(INDEX(T$4:T1644,MATCH(LARGE(FILTER(Y$4:Y1"&amp;"644,Y$4:Y1644&lt;1000000000),1),Y$4:Y1644)),INDEX(F$4:F1644,MATCH(LARGE(FILTER(K$4:K1644,K$4:K1644&lt;1000000000),1),K$4:K1644)))),AND(K1546&lt;1000000000,COUNTA(C1546:C1644)&gt;0,P$3=FALSE),
ROUNDDOWN(INDEX(Y$4:Y1644,MATCH(LARGE(FILTER(W$4:W1644,W$4:W1644&lt;=I1546),1)"&amp;",W$4:W1644))+(I1546-LARGE(FILTER(W$4:W1644,W$4:W1644&lt;=I1546),1))*INDEX(T$4:T1644,MATCH(LARGE(FILTER(W$4:W1644,W$4:W1644&lt;=I1546),1),W$4:W1644))-K1546),1,
ROUNDDOWN(Y1546-INDEX(K$4:K1644,MATCH(LARGE(FILTER(I$4:I1644,I$4:I1644&lt;=W1546),1),I$4:I1644))-(W1546-L"&amp;"ARGE(FILTER(I$4:I1644,I$4:I1644&lt;=W1546),1))*INDEX(F$4:F1644,MATCH(LARGE(FILTER(I$4:I1644,I$4:I1644&lt;=W1546),1),I$4:I1644))))"),"")</f>
        <v/>
      </c>
      <c r="N1546" s="60" t="str">
        <f t="shared" si="8"/>
        <v/>
      </c>
      <c r="O1546" s="61" t="str">
        <f t="shared" si="9"/>
        <v/>
      </c>
      <c r="P1546" s="56" t="str">
        <f t="shared" si="10"/>
        <v/>
      </c>
      <c r="Q1546" s="105"/>
      <c r="R1546" s="10"/>
      <c r="S1546" s="59" t="str">
        <f t="array" ref="S1546">IF(COUNTA(Q1546:Q1644)=0,"",SUM((COUNTIF(Q$4:Q1546,Upgrades!$B$3:$B$13)-COUNTIF(Q$4:Q1546,"Sell_"&amp;Upgrades!$B$3:$B$13))*Upgrades!$D$3:$D$13))</f>
        <v/>
      </c>
      <c r="T1546" s="66" t="str">
        <f>IFERROR(__xludf.DUMMYFUNCTION("IF(COUNTA(Q1546:Q1644)=0,"""",IF(REGEXMATCH(INDEX(FILTER(Q$4:Q1546,Q$4:Q1546&lt;&gt;""""),ROWS(FILTER(Q$4:Q1546,Q$4:Q1546&lt;&gt;""""))),""^Sell_""),INDEX(FILTER(T$4:T1545,Q$4:Q1545&lt;&gt;""""),ROWS(FILTER(Q$4:Q1545,Q$4:Q1545&lt;&gt;""""))),$AD$5+S1546))"),"")</f>
        <v/>
      </c>
      <c r="U1546" s="10" t="str">
        <f>IFERROR(__xludf.DUMMYFUNCTION("IF(COUNTA(Q1546:Q1644)=0,"""",IF(Q1546="""",0,IF(REGEXMATCH(Q1546,""^Sell_""),-ROUNDDOWN(ROUNDUP(INDEX(Upgrades!$C$3:$C$13,MATCH(SUBSTITUTE(Q1546,""Sell_"",""""),Upgrades!$B$3:$B$13,0))*1.15^(COUNTIF(Q$4:Q1545,SUBSTITUTE(Q1546,""Sell_"",""""))-COUNTIF(Q$4"&amp;":Q1545,""Sell_""&amp;SUBSTITUTE(Q1546,""Sell_"",""""))))/2),ROUNDUP(INDEX(Upgrades!$C$3:$C$13,MATCH(Q1546,Upgrades!$B$3:$B$13,0))*1.15^(COUNTIF(Q$4:Q1545,Q1546)-COUNTIF(Q$4:Q1545,""Sell_""&amp;Q1546))))))"),"")</f>
        <v/>
      </c>
      <c r="V1546" s="10" t="str">
        <f t="shared" si="11"/>
        <v/>
      </c>
      <c r="W1546" s="68" t="str">
        <f t="shared" si="12"/>
        <v/>
      </c>
      <c r="X1546" s="59" t="str">
        <f t="shared" si="13"/>
        <v/>
      </c>
      <c r="Y1546" s="69" t="str">
        <f t="shared" si="14"/>
        <v/>
      </c>
      <c r="Z1546" s="11"/>
      <c r="AG1546" s="59"/>
    </row>
    <row r="1547">
      <c r="A1547" s="8"/>
      <c r="B1547" s="56" t="str">
        <f t="shared" si="2"/>
        <v/>
      </c>
      <c r="C1547" s="105"/>
      <c r="D1547" s="10"/>
      <c r="E1547" s="59" t="str">
        <f t="array" ref="E1547">IF(COUNTA(C1547:C1644)=0,"",SUM((COUNTIF(C$4:C1547,Upgrades!$B$3:$B$13)-COUNTIF(C$4:C1547,"Sell_"&amp;Upgrades!$B$3:$B$13))*Upgrades!$D$3:$D$13))</f>
        <v/>
      </c>
      <c r="F1547" s="66" t="str">
        <f>IFERROR(__xludf.DUMMYFUNCTION("IF(COUNTA(C1547:C1644)=0,"""",IF(REGEXMATCH(INDEX(FILTER(C$4:C1547,C$4:C1547&lt;&gt;""""),ROWS(FILTER(C$4:C1547,C$4:C1547&lt;&gt;""""))),""^Sell_""),INDEX(FILTER(F$4:F1546,C$4:C1546&lt;&gt;""""),ROWS(FILTER(C$4:C1546,C$4:C1546&lt;&gt;""""))),$AC$5+E1547))"),"")</f>
        <v/>
      </c>
      <c r="G1547" s="10" t="str">
        <f>IFERROR(__xludf.DUMMYFUNCTION("IF(COUNTA(C1547:C1644)=0,"""",IF(C1547="""",0,IF(REGEXMATCH(C1547,""^Sell_""),-ROUNDDOWN(ROUNDUP(INDEX(Upgrades!$C$3:$C$13,MATCH(SUBSTITUTE(C1547,""Sell_"",""""),Upgrades!$B$3:$B$13,0))*1.15^(COUNTIF(C$4:C1546,SUBSTITUTE(C1547,""Sell_"",""""))-COUNTIF(C$4"&amp;":C1546,""Sell_""&amp;SUBSTITUTE(C1547,""Sell_"",""""))))/2),ROUNDUP(INDEX(Upgrades!$C$3:$C$13,MATCH(C1547,Upgrades!$B$3:$B$13,0))*1.15^(COUNTIF(C$4:C1546,C1547)-COUNTIF(C$4:C1546,""Sell_""&amp;C1547))))))"),"")</f>
        <v/>
      </c>
      <c r="H1547" s="10" t="str">
        <f t="shared" si="3"/>
        <v/>
      </c>
      <c r="I1547" s="68" t="str">
        <f t="shared" si="4"/>
        <v/>
      </c>
      <c r="J1547" s="59" t="str">
        <f t="shared" si="5"/>
        <v/>
      </c>
      <c r="K1547" s="69" t="str">
        <f t="shared" si="6"/>
        <v/>
      </c>
      <c r="L1547" s="60" t="str">
        <f t="shared" si="7"/>
        <v/>
      </c>
      <c r="M1547" s="61" t="str">
        <f>IFERROR(__xludf.DUMMYFUNCTION("IFS(AND(COUNTA(C1547:C1644)=0,COUNTA(Q1547:Q1644)=0),"""",OR(AND(K1547&gt;=1000000000,OR(Y1547&gt;=1000000000,COUNTA(Q1547:Q1644)=0)),OR(Y1547&gt;=1000000000,AND(COUNTA(C1547:C1644)=0,P$3=TRUE))),
ROUNDDOWN((AB$1-AC$1)*MAX(INDEX(T$4:T1644,MATCH(LARGE(FILTER(Y$4:Y1"&amp;"644,Y$4:Y1644&lt;1000000000),1),Y$4:Y1644)),INDEX(F$4:F1644,MATCH(LARGE(FILTER(K$4:K1644,K$4:K1644&lt;1000000000),1),K$4:K1644)))),AND(K1547&lt;1000000000,COUNTA(C1547:C1644)&gt;0,P$3=FALSE),
ROUNDDOWN(INDEX(Y$4:Y1644,MATCH(LARGE(FILTER(W$4:W1644,W$4:W1644&lt;=I1547),1)"&amp;",W$4:W1644))+(I1547-LARGE(FILTER(W$4:W1644,W$4:W1644&lt;=I1547),1))*INDEX(T$4:T1644,MATCH(LARGE(FILTER(W$4:W1644,W$4:W1644&lt;=I1547),1),W$4:W1644))-K1547),1,
ROUNDDOWN(Y1547-INDEX(K$4:K1644,MATCH(LARGE(FILTER(I$4:I1644,I$4:I1644&lt;=W1547),1),I$4:I1644))-(W1547-L"&amp;"ARGE(FILTER(I$4:I1644,I$4:I1644&lt;=W1547),1))*INDEX(F$4:F1644,MATCH(LARGE(FILTER(I$4:I1644,I$4:I1644&lt;=W1547),1),I$4:I1644))))"),"")</f>
        <v/>
      </c>
      <c r="N1547" s="60" t="str">
        <f t="shared" si="8"/>
        <v/>
      </c>
      <c r="O1547" s="61" t="str">
        <f t="shared" si="9"/>
        <v/>
      </c>
      <c r="P1547" s="56" t="str">
        <f t="shared" si="10"/>
        <v/>
      </c>
      <c r="Q1547" s="105"/>
      <c r="R1547" s="10"/>
      <c r="S1547" s="59" t="str">
        <f t="array" ref="S1547">IF(COUNTA(Q1547:Q1644)=0,"",SUM((COUNTIF(Q$4:Q1547,Upgrades!$B$3:$B$13)-COUNTIF(Q$4:Q1547,"Sell_"&amp;Upgrades!$B$3:$B$13))*Upgrades!$D$3:$D$13))</f>
        <v/>
      </c>
      <c r="T1547" s="66" t="str">
        <f>IFERROR(__xludf.DUMMYFUNCTION("IF(COUNTA(Q1547:Q1644)=0,"""",IF(REGEXMATCH(INDEX(FILTER(Q$4:Q1547,Q$4:Q1547&lt;&gt;""""),ROWS(FILTER(Q$4:Q1547,Q$4:Q1547&lt;&gt;""""))),""^Sell_""),INDEX(FILTER(T$4:T1546,Q$4:Q1546&lt;&gt;""""),ROWS(FILTER(Q$4:Q1546,Q$4:Q1546&lt;&gt;""""))),$AD$5+S1547))"),"")</f>
        <v/>
      </c>
      <c r="U1547" s="10" t="str">
        <f>IFERROR(__xludf.DUMMYFUNCTION("IF(COUNTA(Q1547:Q1644)=0,"""",IF(Q1547="""",0,IF(REGEXMATCH(Q1547,""^Sell_""),-ROUNDDOWN(ROUNDUP(INDEX(Upgrades!$C$3:$C$13,MATCH(SUBSTITUTE(Q1547,""Sell_"",""""),Upgrades!$B$3:$B$13,0))*1.15^(COUNTIF(Q$4:Q1546,SUBSTITUTE(Q1547,""Sell_"",""""))-COUNTIF(Q$4"&amp;":Q1546,""Sell_""&amp;SUBSTITUTE(Q1547,""Sell_"",""""))))/2),ROUNDUP(INDEX(Upgrades!$C$3:$C$13,MATCH(Q1547,Upgrades!$B$3:$B$13,0))*1.15^(COUNTIF(Q$4:Q1546,Q1547)-COUNTIF(Q$4:Q1546,""Sell_""&amp;Q1547))))))"),"")</f>
        <v/>
      </c>
      <c r="V1547" s="10" t="str">
        <f t="shared" si="11"/>
        <v/>
      </c>
      <c r="W1547" s="68" t="str">
        <f t="shared" si="12"/>
        <v/>
      </c>
      <c r="X1547" s="59" t="str">
        <f t="shared" si="13"/>
        <v/>
      </c>
      <c r="Y1547" s="69" t="str">
        <f t="shared" si="14"/>
        <v/>
      </c>
      <c r="Z1547" s="11"/>
      <c r="AG1547" s="59"/>
    </row>
    <row r="1548">
      <c r="A1548" s="8"/>
      <c r="B1548" s="56" t="str">
        <f t="shared" si="2"/>
        <v/>
      </c>
      <c r="C1548" s="105"/>
      <c r="D1548" s="10"/>
      <c r="E1548" s="59" t="str">
        <f t="array" ref="E1548">IF(COUNTA(C1548:C1644)=0,"",SUM((COUNTIF(C$4:C1548,Upgrades!$B$3:$B$13)-COUNTIF(C$4:C1548,"Sell_"&amp;Upgrades!$B$3:$B$13))*Upgrades!$D$3:$D$13))</f>
        <v/>
      </c>
      <c r="F1548" s="66" t="str">
        <f>IFERROR(__xludf.DUMMYFUNCTION("IF(COUNTA(C1548:C1644)=0,"""",IF(REGEXMATCH(INDEX(FILTER(C$4:C1548,C$4:C1548&lt;&gt;""""),ROWS(FILTER(C$4:C1548,C$4:C1548&lt;&gt;""""))),""^Sell_""),INDEX(FILTER(F$4:F1547,C$4:C1547&lt;&gt;""""),ROWS(FILTER(C$4:C1547,C$4:C1547&lt;&gt;""""))),$AC$5+E1548))"),"")</f>
        <v/>
      </c>
      <c r="G1548" s="10" t="str">
        <f>IFERROR(__xludf.DUMMYFUNCTION("IF(COUNTA(C1548:C1644)=0,"""",IF(C1548="""",0,IF(REGEXMATCH(C1548,""^Sell_""),-ROUNDDOWN(ROUNDUP(INDEX(Upgrades!$C$3:$C$13,MATCH(SUBSTITUTE(C1548,""Sell_"",""""),Upgrades!$B$3:$B$13,0))*1.15^(COUNTIF(C$4:C1547,SUBSTITUTE(C1548,""Sell_"",""""))-COUNTIF(C$4"&amp;":C1547,""Sell_""&amp;SUBSTITUTE(C1548,""Sell_"",""""))))/2),ROUNDUP(INDEX(Upgrades!$C$3:$C$13,MATCH(C1548,Upgrades!$B$3:$B$13,0))*1.15^(COUNTIF(C$4:C1547,C1548)-COUNTIF(C$4:C1547,""Sell_""&amp;C1548))))))"),"")</f>
        <v/>
      </c>
      <c r="H1548" s="10" t="str">
        <f t="shared" si="3"/>
        <v/>
      </c>
      <c r="I1548" s="68" t="str">
        <f t="shared" si="4"/>
        <v/>
      </c>
      <c r="J1548" s="59" t="str">
        <f t="shared" si="5"/>
        <v/>
      </c>
      <c r="K1548" s="69" t="str">
        <f t="shared" si="6"/>
        <v/>
      </c>
      <c r="L1548" s="60" t="str">
        <f t="shared" si="7"/>
        <v/>
      </c>
      <c r="M1548" s="61" t="str">
        <f>IFERROR(__xludf.DUMMYFUNCTION("IFS(AND(COUNTA(C1548:C1644)=0,COUNTA(Q1548:Q1644)=0),"""",OR(AND(K1548&gt;=1000000000,OR(Y1548&gt;=1000000000,COUNTA(Q1548:Q1644)=0)),OR(Y1548&gt;=1000000000,AND(COUNTA(C1548:C1644)=0,P$3=TRUE))),
ROUNDDOWN((AB$1-AC$1)*MAX(INDEX(T$4:T1644,MATCH(LARGE(FILTER(Y$4:Y1"&amp;"644,Y$4:Y1644&lt;1000000000),1),Y$4:Y1644)),INDEX(F$4:F1644,MATCH(LARGE(FILTER(K$4:K1644,K$4:K1644&lt;1000000000),1),K$4:K1644)))),AND(K1548&lt;1000000000,COUNTA(C1548:C1644)&gt;0,P$3=FALSE),
ROUNDDOWN(INDEX(Y$4:Y1644,MATCH(LARGE(FILTER(W$4:W1644,W$4:W1644&lt;=I1548),1)"&amp;",W$4:W1644))+(I1548-LARGE(FILTER(W$4:W1644,W$4:W1644&lt;=I1548),1))*INDEX(T$4:T1644,MATCH(LARGE(FILTER(W$4:W1644,W$4:W1644&lt;=I1548),1),W$4:W1644))-K1548),1,
ROUNDDOWN(Y1548-INDEX(K$4:K1644,MATCH(LARGE(FILTER(I$4:I1644,I$4:I1644&lt;=W1548),1),I$4:I1644))-(W1548-L"&amp;"ARGE(FILTER(I$4:I1644,I$4:I1644&lt;=W1548),1))*INDEX(F$4:F1644,MATCH(LARGE(FILTER(I$4:I1644,I$4:I1644&lt;=W1548),1),I$4:I1644))))"),"")</f>
        <v/>
      </c>
      <c r="N1548" s="60" t="str">
        <f t="shared" si="8"/>
        <v/>
      </c>
      <c r="O1548" s="61" t="str">
        <f t="shared" si="9"/>
        <v/>
      </c>
      <c r="P1548" s="56" t="str">
        <f t="shared" si="10"/>
        <v/>
      </c>
      <c r="Q1548" s="105"/>
      <c r="R1548" s="10"/>
      <c r="S1548" s="59" t="str">
        <f t="array" ref="S1548">IF(COUNTA(Q1548:Q1644)=0,"",SUM((COUNTIF(Q$4:Q1548,Upgrades!$B$3:$B$13)-COUNTIF(Q$4:Q1548,"Sell_"&amp;Upgrades!$B$3:$B$13))*Upgrades!$D$3:$D$13))</f>
        <v/>
      </c>
      <c r="T1548" s="66" t="str">
        <f>IFERROR(__xludf.DUMMYFUNCTION("IF(COUNTA(Q1548:Q1644)=0,"""",IF(REGEXMATCH(INDEX(FILTER(Q$4:Q1548,Q$4:Q1548&lt;&gt;""""),ROWS(FILTER(Q$4:Q1548,Q$4:Q1548&lt;&gt;""""))),""^Sell_""),INDEX(FILTER(T$4:T1547,Q$4:Q1547&lt;&gt;""""),ROWS(FILTER(Q$4:Q1547,Q$4:Q1547&lt;&gt;""""))),$AD$5+S1548))"),"")</f>
        <v/>
      </c>
      <c r="U1548" s="10" t="str">
        <f>IFERROR(__xludf.DUMMYFUNCTION("IF(COUNTA(Q1548:Q1644)=0,"""",IF(Q1548="""",0,IF(REGEXMATCH(Q1548,""^Sell_""),-ROUNDDOWN(ROUNDUP(INDEX(Upgrades!$C$3:$C$13,MATCH(SUBSTITUTE(Q1548,""Sell_"",""""),Upgrades!$B$3:$B$13,0))*1.15^(COUNTIF(Q$4:Q1547,SUBSTITUTE(Q1548,""Sell_"",""""))-COUNTIF(Q$4"&amp;":Q1547,""Sell_""&amp;SUBSTITUTE(Q1548,""Sell_"",""""))))/2),ROUNDUP(INDEX(Upgrades!$C$3:$C$13,MATCH(Q1548,Upgrades!$B$3:$B$13,0))*1.15^(COUNTIF(Q$4:Q1547,Q1548)-COUNTIF(Q$4:Q1547,""Sell_""&amp;Q1548))))))"),"")</f>
        <v/>
      </c>
      <c r="V1548" s="10" t="str">
        <f t="shared" si="11"/>
        <v/>
      </c>
      <c r="W1548" s="68" t="str">
        <f t="shared" si="12"/>
        <v/>
      </c>
      <c r="X1548" s="59" t="str">
        <f t="shared" si="13"/>
        <v/>
      </c>
      <c r="Y1548" s="69" t="str">
        <f t="shared" si="14"/>
        <v/>
      </c>
      <c r="Z1548" s="11"/>
      <c r="AG1548" s="59"/>
    </row>
    <row r="1549">
      <c r="A1549" s="8"/>
      <c r="B1549" s="56" t="str">
        <f t="shared" si="2"/>
        <v/>
      </c>
      <c r="C1549" s="105"/>
      <c r="D1549" s="10"/>
      <c r="E1549" s="59" t="str">
        <f t="array" ref="E1549">IF(COUNTA(C1549:C1644)=0,"",SUM((COUNTIF(C$4:C1549,Upgrades!$B$3:$B$13)-COUNTIF(C$4:C1549,"Sell_"&amp;Upgrades!$B$3:$B$13))*Upgrades!$D$3:$D$13))</f>
        <v/>
      </c>
      <c r="F1549" s="66" t="str">
        <f>IFERROR(__xludf.DUMMYFUNCTION("IF(COUNTA(C1549:C1644)=0,"""",IF(REGEXMATCH(INDEX(FILTER(C$4:C1549,C$4:C1549&lt;&gt;""""),ROWS(FILTER(C$4:C1549,C$4:C1549&lt;&gt;""""))),""^Sell_""),INDEX(FILTER(F$4:F1548,C$4:C1548&lt;&gt;""""),ROWS(FILTER(C$4:C1548,C$4:C1548&lt;&gt;""""))),$AC$5+E1549))"),"")</f>
        <v/>
      </c>
      <c r="G1549" s="10" t="str">
        <f>IFERROR(__xludf.DUMMYFUNCTION("IF(COUNTA(C1549:C1644)=0,"""",IF(C1549="""",0,IF(REGEXMATCH(C1549,""^Sell_""),-ROUNDDOWN(ROUNDUP(INDEX(Upgrades!$C$3:$C$13,MATCH(SUBSTITUTE(C1549,""Sell_"",""""),Upgrades!$B$3:$B$13,0))*1.15^(COUNTIF(C$4:C1548,SUBSTITUTE(C1549,""Sell_"",""""))-COUNTIF(C$4"&amp;":C1548,""Sell_""&amp;SUBSTITUTE(C1549,""Sell_"",""""))))/2),ROUNDUP(INDEX(Upgrades!$C$3:$C$13,MATCH(C1549,Upgrades!$B$3:$B$13,0))*1.15^(COUNTIF(C$4:C1548,C1549)-COUNTIF(C$4:C1548,""Sell_""&amp;C1549))))))"),"")</f>
        <v/>
      </c>
      <c r="H1549" s="10" t="str">
        <f t="shared" si="3"/>
        <v/>
      </c>
      <c r="I1549" s="68" t="str">
        <f t="shared" si="4"/>
        <v/>
      </c>
      <c r="J1549" s="59" t="str">
        <f t="shared" si="5"/>
        <v/>
      </c>
      <c r="K1549" s="69" t="str">
        <f t="shared" si="6"/>
        <v/>
      </c>
      <c r="L1549" s="60" t="str">
        <f t="shared" si="7"/>
        <v/>
      </c>
      <c r="M1549" s="61" t="str">
        <f>IFERROR(__xludf.DUMMYFUNCTION("IFS(AND(COUNTA(C1549:C1644)=0,COUNTA(Q1549:Q1644)=0),"""",OR(AND(K1549&gt;=1000000000,OR(Y1549&gt;=1000000000,COUNTA(Q1549:Q1644)=0)),OR(Y1549&gt;=1000000000,AND(COUNTA(C1549:C1644)=0,P$3=TRUE))),
ROUNDDOWN((AB$1-AC$1)*MAX(INDEX(T$4:T1644,MATCH(LARGE(FILTER(Y$4:Y1"&amp;"644,Y$4:Y1644&lt;1000000000),1),Y$4:Y1644)),INDEX(F$4:F1644,MATCH(LARGE(FILTER(K$4:K1644,K$4:K1644&lt;1000000000),1),K$4:K1644)))),AND(K1549&lt;1000000000,COUNTA(C1549:C1644)&gt;0,P$3=FALSE),
ROUNDDOWN(INDEX(Y$4:Y1644,MATCH(LARGE(FILTER(W$4:W1644,W$4:W1644&lt;=I1549),1)"&amp;",W$4:W1644))+(I1549-LARGE(FILTER(W$4:W1644,W$4:W1644&lt;=I1549),1))*INDEX(T$4:T1644,MATCH(LARGE(FILTER(W$4:W1644,W$4:W1644&lt;=I1549),1),W$4:W1644))-K1549),1,
ROUNDDOWN(Y1549-INDEX(K$4:K1644,MATCH(LARGE(FILTER(I$4:I1644,I$4:I1644&lt;=W1549),1),I$4:I1644))-(W1549-L"&amp;"ARGE(FILTER(I$4:I1644,I$4:I1644&lt;=W1549),1))*INDEX(F$4:F1644,MATCH(LARGE(FILTER(I$4:I1644,I$4:I1644&lt;=W1549),1),I$4:I1644))))"),"")</f>
        <v/>
      </c>
      <c r="N1549" s="60" t="str">
        <f t="shared" si="8"/>
        <v/>
      </c>
      <c r="O1549" s="61" t="str">
        <f t="shared" si="9"/>
        <v/>
      </c>
      <c r="P1549" s="56" t="str">
        <f t="shared" si="10"/>
        <v/>
      </c>
      <c r="Q1549" s="105"/>
      <c r="R1549" s="10"/>
      <c r="S1549" s="59" t="str">
        <f t="array" ref="S1549">IF(COUNTA(Q1549:Q1644)=0,"",SUM((COUNTIF(Q$4:Q1549,Upgrades!$B$3:$B$13)-COUNTIF(Q$4:Q1549,"Sell_"&amp;Upgrades!$B$3:$B$13))*Upgrades!$D$3:$D$13))</f>
        <v/>
      </c>
      <c r="T1549" s="66" t="str">
        <f>IFERROR(__xludf.DUMMYFUNCTION("IF(COUNTA(Q1549:Q1644)=0,"""",IF(REGEXMATCH(INDEX(FILTER(Q$4:Q1549,Q$4:Q1549&lt;&gt;""""),ROWS(FILTER(Q$4:Q1549,Q$4:Q1549&lt;&gt;""""))),""^Sell_""),INDEX(FILTER(T$4:T1548,Q$4:Q1548&lt;&gt;""""),ROWS(FILTER(Q$4:Q1548,Q$4:Q1548&lt;&gt;""""))),$AD$5+S1549))"),"")</f>
        <v/>
      </c>
      <c r="U1549" s="10" t="str">
        <f>IFERROR(__xludf.DUMMYFUNCTION("IF(COUNTA(Q1549:Q1644)=0,"""",IF(Q1549="""",0,IF(REGEXMATCH(Q1549,""^Sell_""),-ROUNDDOWN(ROUNDUP(INDEX(Upgrades!$C$3:$C$13,MATCH(SUBSTITUTE(Q1549,""Sell_"",""""),Upgrades!$B$3:$B$13,0))*1.15^(COUNTIF(Q$4:Q1548,SUBSTITUTE(Q1549,""Sell_"",""""))-COUNTIF(Q$4"&amp;":Q1548,""Sell_""&amp;SUBSTITUTE(Q1549,""Sell_"",""""))))/2),ROUNDUP(INDEX(Upgrades!$C$3:$C$13,MATCH(Q1549,Upgrades!$B$3:$B$13,0))*1.15^(COUNTIF(Q$4:Q1548,Q1549)-COUNTIF(Q$4:Q1548,""Sell_""&amp;Q1549))))))"),"")</f>
        <v/>
      </c>
      <c r="V1549" s="10" t="str">
        <f t="shared" si="11"/>
        <v/>
      </c>
      <c r="W1549" s="68" t="str">
        <f t="shared" si="12"/>
        <v/>
      </c>
      <c r="X1549" s="59" t="str">
        <f t="shared" si="13"/>
        <v/>
      </c>
      <c r="Y1549" s="69" t="str">
        <f t="shared" si="14"/>
        <v/>
      </c>
      <c r="Z1549" s="11"/>
      <c r="AG1549" s="59"/>
    </row>
    <row r="1550">
      <c r="A1550" s="8"/>
      <c r="B1550" s="56" t="str">
        <f t="shared" si="2"/>
        <v/>
      </c>
      <c r="C1550" s="105"/>
      <c r="D1550" s="10"/>
      <c r="E1550" s="59" t="str">
        <f t="array" ref="E1550">IF(COUNTA(C1550:C1644)=0,"",SUM((COUNTIF(C$4:C1550,Upgrades!$B$3:$B$13)-COUNTIF(C$4:C1550,"Sell_"&amp;Upgrades!$B$3:$B$13))*Upgrades!$D$3:$D$13))</f>
        <v/>
      </c>
      <c r="F1550" s="66" t="str">
        <f>IFERROR(__xludf.DUMMYFUNCTION("IF(COUNTA(C1550:C1644)=0,"""",IF(REGEXMATCH(INDEX(FILTER(C$4:C1550,C$4:C1550&lt;&gt;""""),ROWS(FILTER(C$4:C1550,C$4:C1550&lt;&gt;""""))),""^Sell_""),INDEX(FILTER(F$4:F1549,C$4:C1549&lt;&gt;""""),ROWS(FILTER(C$4:C1549,C$4:C1549&lt;&gt;""""))),$AC$5+E1550))"),"")</f>
        <v/>
      </c>
      <c r="G1550" s="10" t="str">
        <f>IFERROR(__xludf.DUMMYFUNCTION("IF(COUNTA(C1550:C1644)=0,"""",IF(C1550="""",0,IF(REGEXMATCH(C1550,""^Sell_""),-ROUNDDOWN(ROUNDUP(INDEX(Upgrades!$C$3:$C$13,MATCH(SUBSTITUTE(C1550,""Sell_"",""""),Upgrades!$B$3:$B$13,0))*1.15^(COUNTIF(C$4:C1549,SUBSTITUTE(C1550,""Sell_"",""""))-COUNTIF(C$4"&amp;":C1549,""Sell_""&amp;SUBSTITUTE(C1550,""Sell_"",""""))))/2),ROUNDUP(INDEX(Upgrades!$C$3:$C$13,MATCH(C1550,Upgrades!$B$3:$B$13,0))*1.15^(COUNTIF(C$4:C1549,C1550)-COUNTIF(C$4:C1549,""Sell_""&amp;C1550))))))"),"")</f>
        <v/>
      </c>
      <c r="H1550" s="10" t="str">
        <f t="shared" si="3"/>
        <v/>
      </c>
      <c r="I1550" s="68" t="str">
        <f t="shared" si="4"/>
        <v/>
      </c>
      <c r="J1550" s="59" t="str">
        <f t="shared" si="5"/>
        <v/>
      </c>
      <c r="K1550" s="69" t="str">
        <f t="shared" si="6"/>
        <v/>
      </c>
      <c r="L1550" s="60" t="str">
        <f t="shared" si="7"/>
        <v/>
      </c>
      <c r="M1550" s="61" t="str">
        <f>IFERROR(__xludf.DUMMYFUNCTION("IFS(AND(COUNTA(C1550:C1644)=0,COUNTA(Q1550:Q1644)=0),"""",OR(AND(K1550&gt;=1000000000,OR(Y1550&gt;=1000000000,COUNTA(Q1550:Q1644)=0)),OR(Y1550&gt;=1000000000,AND(COUNTA(C1550:C1644)=0,P$3=TRUE))),
ROUNDDOWN((AB$1-AC$1)*MAX(INDEX(T$4:T1644,MATCH(LARGE(FILTER(Y$4:Y1"&amp;"644,Y$4:Y1644&lt;1000000000),1),Y$4:Y1644)),INDEX(F$4:F1644,MATCH(LARGE(FILTER(K$4:K1644,K$4:K1644&lt;1000000000),1),K$4:K1644)))),AND(K1550&lt;1000000000,COUNTA(C1550:C1644)&gt;0,P$3=FALSE),
ROUNDDOWN(INDEX(Y$4:Y1644,MATCH(LARGE(FILTER(W$4:W1644,W$4:W1644&lt;=I1550),1)"&amp;",W$4:W1644))+(I1550-LARGE(FILTER(W$4:W1644,W$4:W1644&lt;=I1550),1))*INDEX(T$4:T1644,MATCH(LARGE(FILTER(W$4:W1644,W$4:W1644&lt;=I1550),1),W$4:W1644))-K1550),1,
ROUNDDOWN(Y1550-INDEX(K$4:K1644,MATCH(LARGE(FILTER(I$4:I1644,I$4:I1644&lt;=W1550),1),I$4:I1644))-(W1550-L"&amp;"ARGE(FILTER(I$4:I1644,I$4:I1644&lt;=W1550),1))*INDEX(F$4:F1644,MATCH(LARGE(FILTER(I$4:I1644,I$4:I1644&lt;=W1550),1),I$4:I1644))))"),"")</f>
        <v/>
      </c>
      <c r="N1550" s="60" t="str">
        <f t="shared" si="8"/>
        <v/>
      </c>
      <c r="O1550" s="61" t="str">
        <f t="shared" si="9"/>
        <v/>
      </c>
      <c r="P1550" s="56" t="str">
        <f t="shared" si="10"/>
        <v/>
      </c>
      <c r="Q1550" s="105"/>
      <c r="R1550" s="10"/>
      <c r="S1550" s="59" t="str">
        <f t="array" ref="S1550">IF(COUNTA(Q1550:Q1644)=0,"",SUM((COUNTIF(Q$4:Q1550,Upgrades!$B$3:$B$13)-COUNTIF(Q$4:Q1550,"Sell_"&amp;Upgrades!$B$3:$B$13))*Upgrades!$D$3:$D$13))</f>
        <v/>
      </c>
      <c r="T1550" s="66" t="str">
        <f>IFERROR(__xludf.DUMMYFUNCTION("IF(COUNTA(Q1550:Q1644)=0,"""",IF(REGEXMATCH(INDEX(FILTER(Q$4:Q1550,Q$4:Q1550&lt;&gt;""""),ROWS(FILTER(Q$4:Q1550,Q$4:Q1550&lt;&gt;""""))),""^Sell_""),INDEX(FILTER(T$4:T1549,Q$4:Q1549&lt;&gt;""""),ROWS(FILTER(Q$4:Q1549,Q$4:Q1549&lt;&gt;""""))),$AD$5+S1550))"),"")</f>
        <v/>
      </c>
      <c r="U1550" s="10" t="str">
        <f>IFERROR(__xludf.DUMMYFUNCTION("IF(COUNTA(Q1550:Q1644)=0,"""",IF(Q1550="""",0,IF(REGEXMATCH(Q1550,""^Sell_""),-ROUNDDOWN(ROUNDUP(INDEX(Upgrades!$C$3:$C$13,MATCH(SUBSTITUTE(Q1550,""Sell_"",""""),Upgrades!$B$3:$B$13,0))*1.15^(COUNTIF(Q$4:Q1549,SUBSTITUTE(Q1550,""Sell_"",""""))-COUNTIF(Q$4"&amp;":Q1549,""Sell_""&amp;SUBSTITUTE(Q1550,""Sell_"",""""))))/2),ROUNDUP(INDEX(Upgrades!$C$3:$C$13,MATCH(Q1550,Upgrades!$B$3:$B$13,0))*1.15^(COUNTIF(Q$4:Q1549,Q1550)-COUNTIF(Q$4:Q1549,""Sell_""&amp;Q1550))))))"),"")</f>
        <v/>
      </c>
      <c r="V1550" s="10" t="str">
        <f t="shared" si="11"/>
        <v/>
      </c>
      <c r="W1550" s="68" t="str">
        <f t="shared" si="12"/>
        <v/>
      </c>
      <c r="X1550" s="59" t="str">
        <f t="shared" si="13"/>
        <v/>
      </c>
      <c r="Y1550" s="69" t="str">
        <f t="shared" si="14"/>
        <v/>
      </c>
      <c r="Z1550" s="11"/>
      <c r="AG1550" s="59"/>
    </row>
    <row r="1551">
      <c r="A1551" s="8"/>
      <c r="B1551" s="56" t="str">
        <f t="shared" si="2"/>
        <v/>
      </c>
      <c r="C1551" s="105"/>
      <c r="D1551" s="10"/>
      <c r="E1551" s="59" t="str">
        <f t="array" ref="E1551">IF(COUNTA(C1551:C1644)=0,"",SUM((COUNTIF(C$4:C1551,Upgrades!$B$3:$B$13)-COUNTIF(C$4:C1551,"Sell_"&amp;Upgrades!$B$3:$B$13))*Upgrades!$D$3:$D$13))</f>
        <v/>
      </c>
      <c r="F1551" s="66" t="str">
        <f>IFERROR(__xludf.DUMMYFUNCTION("IF(COUNTA(C1551:C1644)=0,"""",IF(REGEXMATCH(INDEX(FILTER(C$4:C1551,C$4:C1551&lt;&gt;""""),ROWS(FILTER(C$4:C1551,C$4:C1551&lt;&gt;""""))),""^Sell_""),INDEX(FILTER(F$4:F1550,C$4:C1550&lt;&gt;""""),ROWS(FILTER(C$4:C1550,C$4:C1550&lt;&gt;""""))),$AC$5+E1551))"),"")</f>
        <v/>
      </c>
      <c r="G1551" s="10" t="str">
        <f>IFERROR(__xludf.DUMMYFUNCTION("IF(COUNTA(C1551:C1644)=0,"""",IF(C1551="""",0,IF(REGEXMATCH(C1551,""^Sell_""),-ROUNDDOWN(ROUNDUP(INDEX(Upgrades!$C$3:$C$13,MATCH(SUBSTITUTE(C1551,""Sell_"",""""),Upgrades!$B$3:$B$13,0))*1.15^(COUNTIF(C$4:C1550,SUBSTITUTE(C1551,""Sell_"",""""))-COUNTIF(C$4"&amp;":C1550,""Sell_""&amp;SUBSTITUTE(C1551,""Sell_"",""""))))/2),ROUNDUP(INDEX(Upgrades!$C$3:$C$13,MATCH(C1551,Upgrades!$B$3:$B$13,0))*1.15^(COUNTIF(C$4:C1550,C1551)-COUNTIF(C$4:C1550,""Sell_""&amp;C1551))))))"),"")</f>
        <v/>
      </c>
      <c r="H1551" s="10" t="str">
        <f t="shared" si="3"/>
        <v/>
      </c>
      <c r="I1551" s="68" t="str">
        <f t="shared" si="4"/>
        <v/>
      </c>
      <c r="J1551" s="59" t="str">
        <f t="shared" si="5"/>
        <v/>
      </c>
      <c r="K1551" s="69" t="str">
        <f t="shared" si="6"/>
        <v/>
      </c>
      <c r="L1551" s="60" t="str">
        <f t="shared" si="7"/>
        <v/>
      </c>
      <c r="M1551" s="61" t="str">
        <f>IFERROR(__xludf.DUMMYFUNCTION("IFS(AND(COUNTA(C1551:C1644)=0,COUNTA(Q1551:Q1644)=0),"""",OR(AND(K1551&gt;=1000000000,OR(Y1551&gt;=1000000000,COUNTA(Q1551:Q1644)=0)),OR(Y1551&gt;=1000000000,AND(COUNTA(C1551:C1644)=0,P$3=TRUE))),
ROUNDDOWN((AB$1-AC$1)*MAX(INDEX(T$4:T1644,MATCH(LARGE(FILTER(Y$4:Y1"&amp;"644,Y$4:Y1644&lt;1000000000),1),Y$4:Y1644)),INDEX(F$4:F1644,MATCH(LARGE(FILTER(K$4:K1644,K$4:K1644&lt;1000000000),1),K$4:K1644)))),AND(K1551&lt;1000000000,COUNTA(C1551:C1644)&gt;0,P$3=FALSE),
ROUNDDOWN(INDEX(Y$4:Y1644,MATCH(LARGE(FILTER(W$4:W1644,W$4:W1644&lt;=I1551),1)"&amp;",W$4:W1644))+(I1551-LARGE(FILTER(W$4:W1644,W$4:W1644&lt;=I1551),1))*INDEX(T$4:T1644,MATCH(LARGE(FILTER(W$4:W1644,W$4:W1644&lt;=I1551),1),W$4:W1644))-K1551),1,
ROUNDDOWN(Y1551-INDEX(K$4:K1644,MATCH(LARGE(FILTER(I$4:I1644,I$4:I1644&lt;=W1551),1),I$4:I1644))-(W1551-L"&amp;"ARGE(FILTER(I$4:I1644,I$4:I1644&lt;=W1551),1))*INDEX(F$4:F1644,MATCH(LARGE(FILTER(I$4:I1644,I$4:I1644&lt;=W1551),1),I$4:I1644))))"),"")</f>
        <v/>
      </c>
      <c r="N1551" s="60" t="str">
        <f t="shared" si="8"/>
        <v/>
      </c>
      <c r="O1551" s="61" t="str">
        <f t="shared" si="9"/>
        <v/>
      </c>
      <c r="P1551" s="56" t="str">
        <f t="shared" si="10"/>
        <v/>
      </c>
      <c r="Q1551" s="105"/>
      <c r="R1551" s="10"/>
      <c r="S1551" s="59" t="str">
        <f t="array" ref="S1551">IF(COUNTA(Q1551:Q1644)=0,"",SUM((COUNTIF(Q$4:Q1551,Upgrades!$B$3:$B$13)-COUNTIF(Q$4:Q1551,"Sell_"&amp;Upgrades!$B$3:$B$13))*Upgrades!$D$3:$D$13))</f>
        <v/>
      </c>
      <c r="T1551" s="66" t="str">
        <f>IFERROR(__xludf.DUMMYFUNCTION("IF(COUNTA(Q1551:Q1644)=0,"""",IF(REGEXMATCH(INDEX(FILTER(Q$4:Q1551,Q$4:Q1551&lt;&gt;""""),ROWS(FILTER(Q$4:Q1551,Q$4:Q1551&lt;&gt;""""))),""^Sell_""),INDEX(FILTER(T$4:T1550,Q$4:Q1550&lt;&gt;""""),ROWS(FILTER(Q$4:Q1550,Q$4:Q1550&lt;&gt;""""))),$AD$5+S1551))"),"")</f>
        <v/>
      </c>
      <c r="U1551" s="10" t="str">
        <f>IFERROR(__xludf.DUMMYFUNCTION("IF(COUNTA(Q1551:Q1644)=0,"""",IF(Q1551="""",0,IF(REGEXMATCH(Q1551,""^Sell_""),-ROUNDDOWN(ROUNDUP(INDEX(Upgrades!$C$3:$C$13,MATCH(SUBSTITUTE(Q1551,""Sell_"",""""),Upgrades!$B$3:$B$13,0))*1.15^(COUNTIF(Q$4:Q1550,SUBSTITUTE(Q1551,""Sell_"",""""))-COUNTIF(Q$4"&amp;":Q1550,""Sell_""&amp;SUBSTITUTE(Q1551,""Sell_"",""""))))/2),ROUNDUP(INDEX(Upgrades!$C$3:$C$13,MATCH(Q1551,Upgrades!$B$3:$B$13,0))*1.15^(COUNTIF(Q$4:Q1550,Q1551)-COUNTIF(Q$4:Q1550,""Sell_""&amp;Q1551))))))"),"")</f>
        <v/>
      </c>
      <c r="V1551" s="10" t="str">
        <f t="shared" si="11"/>
        <v/>
      </c>
      <c r="W1551" s="68" t="str">
        <f t="shared" si="12"/>
        <v/>
      </c>
      <c r="X1551" s="59" t="str">
        <f t="shared" si="13"/>
        <v/>
      </c>
      <c r="Y1551" s="69" t="str">
        <f t="shared" si="14"/>
        <v/>
      </c>
      <c r="Z1551" s="11"/>
      <c r="AG1551" s="59"/>
    </row>
    <row r="1552">
      <c r="A1552" s="8"/>
      <c r="B1552" s="56" t="str">
        <f t="shared" si="2"/>
        <v/>
      </c>
      <c r="C1552" s="105"/>
      <c r="D1552" s="10"/>
      <c r="E1552" s="59" t="str">
        <f t="array" ref="E1552">IF(COUNTA(C1552:C1644)=0,"",SUM((COUNTIF(C$4:C1552,Upgrades!$B$3:$B$13)-COUNTIF(C$4:C1552,"Sell_"&amp;Upgrades!$B$3:$B$13))*Upgrades!$D$3:$D$13))</f>
        <v/>
      </c>
      <c r="F1552" s="66" t="str">
        <f>IFERROR(__xludf.DUMMYFUNCTION("IF(COUNTA(C1552:C1644)=0,"""",IF(REGEXMATCH(INDEX(FILTER(C$4:C1552,C$4:C1552&lt;&gt;""""),ROWS(FILTER(C$4:C1552,C$4:C1552&lt;&gt;""""))),""^Sell_""),INDEX(FILTER(F$4:F1551,C$4:C1551&lt;&gt;""""),ROWS(FILTER(C$4:C1551,C$4:C1551&lt;&gt;""""))),$AC$5+E1552))"),"")</f>
        <v/>
      </c>
      <c r="G1552" s="10" t="str">
        <f>IFERROR(__xludf.DUMMYFUNCTION("IF(COUNTA(C1552:C1644)=0,"""",IF(C1552="""",0,IF(REGEXMATCH(C1552,""^Sell_""),-ROUNDDOWN(ROUNDUP(INDEX(Upgrades!$C$3:$C$13,MATCH(SUBSTITUTE(C1552,""Sell_"",""""),Upgrades!$B$3:$B$13,0))*1.15^(COUNTIF(C$4:C1551,SUBSTITUTE(C1552,""Sell_"",""""))-COUNTIF(C$4"&amp;":C1551,""Sell_""&amp;SUBSTITUTE(C1552,""Sell_"",""""))))/2),ROUNDUP(INDEX(Upgrades!$C$3:$C$13,MATCH(C1552,Upgrades!$B$3:$B$13,0))*1.15^(COUNTIF(C$4:C1551,C1552)-COUNTIF(C$4:C1551,""Sell_""&amp;C1552))))))"),"")</f>
        <v/>
      </c>
      <c r="H1552" s="10" t="str">
        <f t="shared" si="3"/>
        <v/>
      </c>
      <c r="I1552" s="68" t="str">
        <f t="shared" si="4"/>
        <v/>
      </c>
      <c r="J1552" s="59" t="str">
        <f t="shared" si="5"/>
        <v/>
      </c>
      <c r="K1552" s="69" t="str">
        <f t="shared" si="6"/>
        <v/>
      </c>
      <c r="L1552" s="60" t="str">
        <f t="shared" si="7"/>
        <v/>
      </c>
      <c r="M1552" s="61" t="str">
        <f>IFERROR(__xludf.DUMMYFUNCTION("IFS(AND(COUNTA(C1552:C1644)=0,COUNTA(Q1552:Q1644)=0),"""",OR(AND(K1552&gt;=1000000000,OR(Y1552&gt;=1000000000,COUNTA(Q1552:Q1644)=0)),OR(Y1552&gt;=1000000000,AND(COUNTA(C1552:C1644)=0,P$3=TRUE))),
ROUNDDOWN((AB$1-AC$1)*MAX(INDEX(T$4:T1644,MATCH(LARGE(FILTER(Y$4:Y1"&amp;"644,Y$4:Y1644&lt;1000000000),1),Y$4:Y1644)),INDEX(F$4:F1644,MATCH(LARGE(FILTER(K$4:K1644,K$4:K1644&lt;1000000000),1),K$4:K1644)))),AND(K1552&lt;1000000000,COUNTA(C1552:C1644)&gt;0,P$3=FALSE),
ROUNDDOWN(INDEX(Y$4:Y1644,MATCH(LARGE(FILTER(W$4:W1644,W$4:W1644&lt;=I1552),1)"&amp;",W$4:W1644))+(I1552-LARGE(FILTER(W$4:W1644,W$4:W1644&lt;=I1552),1))*INDEX(T$4:T1644,MATCH(LARGE(FILTER(W$4:W1644,W$4:W1644&lt;=I1552),1),W$4:W1644))-K1552),1,
ROUNDDOWN(Y1552-INDEX(K$4:K1644,MATCH(LARGE(FILTER(I$4:I1644,I$4:I1644&lt;=W1552),1),I$4:I1644))-(W1552-L"&amp;"ARGE(FILTER(I$4:I1644,I$4:I1644&lt;=W1552),1))*INDEX(F$4:F1644,MATCH(LARGE(FILTER(I$4:I1644,I$4:I1644&lt;=W1552),1),I$4:I1644))))"),"")</f>
        <v/>
      </c>
      <c r="N1552" s="60" t="str">
        <f t="shared" si="8"/>
        <v/>
      </c>
      <c r="O1552" s="61" t="str">
        <f t="shared" si="9"/>
        <v/>
      </c>
      <c r="P1552" s="56" t="str">
        <f t="shared" si="10"/>
        <v/>
      </c>
      <c r="Q1552" s="105"/>
      <c r="R1552" s="10"/>
      <c r="S1552" s="59" t="str">
        <f t="array" ref="S1552">IF(COUNTA(Q1552:Q1644)=0,"",SUM((COUNTIF(Q$4:Q1552,Upgrades!$B$3:$B$13)-COUNTIF(Q$4:Q1552,"Sell_"&amp;Upgrades!$B$3:$B$13))*Upgrades!$D$3:$D$13))</f>
        <v/>
      </c>
      <c r="T1552" s="66" t="str">
        <f>IFERROR(__xludf.DUMMYFUNCTION("IF(COUNTA(Q1552:Q1644)=0,"""",IF(REGEXMATCH(INDEX(FILTER(Q$4:Q1552,Q$4:Q1552&lt;&gt;""""),ROWS(FILTER(Q$4:Q1552,Q$4:Q1552&lt;&gt;""""))),""^Sell_""),INDEX(FILTER(T$4:T1551,Q$4:Q1551&lt;&gt;""""),ROWS(FILTER(Q$4:Q1551,Q$4:Q1551&lt;&gt;""""))),$AD$5+S1552))"),"")</f>
        <v/>
      </c>
      <c r="U1552" s="10" t="str">
        <f>IFERROR(__xludf.DUMMYFUNCTION("IF(COUNTA(Q1552:Q1644)=0,"""",IF(Q1552="""",0,IF(REGEXMATCH(Q1552,""^Sell_""),-ROUNDDOWN(ROUNDUP(INDEX(Upgrades!$C$3:$C$13,MATCH(SUBSTITUTE(Q1552,""Sell_"",""""),Upgrades!$B$3:$B$13,0))*1.15^(COUNTIF(Q$4:Q1551,SUBSTITUTE(Q1552,""Sell_"",""""))-COUNTIF(Q$4"&amp;":Q1551,""Sell_""&amp;SUBSTITUTE(Q1552,""Sell_"",""""))))/2),ROUNDUP(INDEX(Upgrades!$C$3:$C$13,MATCH(Q1552,Upgrades!$B$3:$B$13,0))*1.15^(COUNTIF(Q$4:Q1551,Q1552)-COUNTIF(Q$4:Q1551,""Sell_""&amp;Q1552))))))"),"")</f>
        <v/>
      </c>
      <c r="V1552" s="10" t="str">
        <f t="shared" si="11"/>
        <v/>
      </c>
      <c r="W1552" s="68" t="str">
        <f t="shared" si="12"/>
        <v/>
      </c>
      <c r="X1552" s="59" t="str">
        <f t="shared" si="13"/>
        <v/>
      </c>
      <c r="Y1552" s="69" t="str">
        <f t="shared" si="14"/>
        <v/>
      </c>
      <c r="Z1552" s="11"/>
      <c r="AG1552" s="59"/>
    </row>
    <row r="1553">
      <c r="A1553" s="8"/>
      <c r="B1553" s="56" t="str">
        <f t="shared" si="2"/>
        <v/>
      </c>
      <c r="C1553" s="105"/>
      <c r="D1553" s="10"/>
      <c r="E1553" s="59" t="str">
        <f t="array" ref="E1553">IF(COUNTA(C1553:C1644)=0,"",SUM((COUNTIF(C$4:C1553,Upgrades!$B$3:$B$13)-COUNTIF(C$4:C1553,"Sell_"&amp;Upgrades!$B$3:$B$13))*Upgrades!$D$3:$D$13))</f>
        <v/>
      </c>
      <c r="F1553" s="66" t="str">
        <f>IFERROR(__xludf.DUMMYFUNCTION("IF(COUNTA(C1553:C1644)=0,"""",IF(REGEXMATCH(INDEX(FILTER(C$4:C1553,C$4:C1553&lt;&gt;""""),ROWS(FILTER(C$4:C1553,C$4:C1553&lt;&gt;""""))),""^Sell_""),INDEX(FILTER(F$4:F1552,C$4:C1552&lt;&gt;""""),ROWS(FILTER(C$4:C1552,C$4:C1552&lt;&gt;""""))),$AC$5+E1553))"),"")</f>
        <v/>
      </c>
      <c r="G1553" s="10" t="str">
        <f>IFERROR(__xludf.DUMMYFUNCTION("IF(COUNTA(C1553:C1644)=0,"""",IF(C1553="""",0,IF(REGEXMATCH(C1553,""^Sell_""),-ROUNDDOWN(ROUNDUP(INDEX(Upgrades!$C$3:$C$13,MATCH(SUBSTITUTE(C1553,""Sell_"",""""),Upgrades!$B$3:$B$13,0))*1.15^(COUNTIF(C$4:C1552,SUBSTITUTE(C1553,""Sell_"",""""))-COUNTIF(C$4"&amp;":C1552,""Sell_""&amp;SUBSTITUTE(C1553,""Sell_"",""""))))/2),ROUNDUP(INDEX(Upgrades!$C$3:$C$13,MATCH(C1553,Upgrades!$B$3:$B$13,0))*1.15^(COUNTIF(C$4:C1552,C1553)-COUNTIF(C$4:C1552,""Sell_""&amp;C1553))))))"),"")</f>
        <v/>
      </c>
      <c r="H1553" s="10" t="str">
        <f t="shared" si="3"/>
        <v/>
      </c>
      <c r="I1553" s="68" t="str">
        <f t="shared" si="4"/>
        <v/>
      </c>
      <c r="J1553" s="59" t="str">
        <f t="shared" si="5"/>
        <v/>
      </c>
      <c r="K1553" s="69" t="str">
        <f t="shared" si="6"/>
        <v/>
      </c>
      <c r="L1553" s="60" t="str">
        <f t="shared" si="7"/>
        <v/>
      </c>
      <c r="M1553" s="61" t="str">
        <f>IFERROR(__xludf.DUMMYFUNCTION("IFS(AND(COUNTA(C1553:C1644)=0,COUNTA(Q1553:Q1644)=0),"""",OR(AND(K1553&gt;=1000000000,OR(Y1553&gt;=1000000000,COUNTA(Q1553:Q1644)=0)),OR(Y1553&gt;=1000000000,AND(COUNTA(C1553:C1644)=0,P$3=TRUE))),
ROUNDDOWN((AB$1-AC$1)*MAX(INDEX(T$4:T1644,MATCH(LARGE(FILTER(Y$4:Y1"&amp;"644,Y$4:Y1644&lt;1000000000),1),Y$4:Y1644)),INDEX(F$4:F1644,MATCH(LARGE(FILTER(K$4:K1644,K$4:K1644&lt;1000000000),1),K$4:K1644)))),AND(K1553&lt;1000000000,COUNTA(C1553:C1644)&gt;0,P$3=FALSE),
ROUNDDOWN(INDEX(Y$4:Y1644,MATCH(LARGE(FILTER(W$4:W1644,W$4:W1644&lt;=I1553),1)"&amp;",W$4:W1644))+(I1553-LARGE(FILTER(W$4:W1644,W$4:W1644&lt;=I1553),1))*INDEX(T$4:T1644,MATCH(LARGE(FILTER(W$4:W1644,W$4:W1644&lt;=I1553),1),W$4:W1644))-K1553),1,
ROUNDDOWN(Y1553-INDEX(K$4:K1644,MATCH(LARGE(FILTER(I$4:I1644,I$4:I1644&lt;=W1553),1),I$4:I1644))-(W1553-L"&amp;"ARGE(FILTER(I$4:I1644,I$4:I1644&lt;=W1553),1))*INDEX(F$4:F1644,MATCH(LARGE(FILTER(I$4:I1644,I$4:I1644&lt;=W1553),1),I$4:I1644))))"),"")</f>
        <v/>
      </c>
      <c r="N1553" s="60" t="str">
        <f t="shared" si="8"/>
        <v/>
      </c>
      <c r="O1553" s="61" t="str">
        <f t="shared" si="9"/>
        <v/>
      </c>
      <c r="P1553" s="56" t="str">
        <f t="shared" si="10"/>
        <v/>
      </c>
      <c r="Q1553" s="105"/>
      <c r="R1553" s="10"/>
      <c r="S1553" s="59" t="str">
        <f t="array" ref="S1553">IF(COUNTA(Q1553:Q1644)=0,"",SUM((COUNTIF(Q$4:Q1553,Upgrades!$B$3:$B$13)-COUNTIF(Q$4:Q1553,"Sell_"&amp;Upgrades!$B$3:$B$13))*Upgrades!$D$3:$D$13))</f>
        <v/>
      </c>
      <c r="T1553" s="66" t="str">
        <f>IFERROR(__xludf.DUMMYFUNCTION("IF(COUNTA(Q1553:Q1644)=0,"""",IF(REGEXMATCH(INDEX(FILTER(Q$4:Q1553,Q$4:Q1553&lt;&gt;""""),ROWS(FILTER(Q$4:Q1553,Q$4:Q1553&lt;&gt;""""))),""^Sell_""),INDEX(FILTER(T$4:T1552,Q$4:Q1552&lt;&gt;""""),ROWS(FILTER(Q$4:Q1552,Q$4:Q1552&lt;&gt;""""))),$AD$5+S1553))"),"")</f>
        <v/>
      </c>
      <c r="U1553" s="10" t="str">
        <f>IFERROR(__xludf.DUMMYFUNCTION("IF(COUNTA(Q1553:Q1644)=0,"""",IF(Q1553="""",0,IF(REGEXMATCH(Q1553,""^Sell_""),-ROUNDDOWN(ROUNDUP(INDEX(Upgrades!$C$3:$C$13,MATCH(SUBSTITUTE(Q1553,""Sell_"",""""),Upgrades!$B$3:$B$13,0))*1.15^(COUNTIF(Q$4:Q1552,SUBSTITUTE(Q1553,""Sell_"",""""))-COUNTIF(Q$4"&amp;":Q1552,""Sell_""&amp;SUBSTITUTE(Q1553,""Sell_"",""""))))/2),ROUNDUP(INDEX(Upgrades!$C$3:$C$13,MATCH(Q1553,Upgrades!$B$3:$B$13,0))*1.15^(COUNTIF(Q$4:Q1552,Q1553)-COUNTIF(Q$4:Q1552,""Sell_""&amp;Q1553))))))"),"")</f>
        <v/>
      </c>
      <c r="V1553" s="10" t="str">
        <f t="shared" si="11"/>
        <v/>
      </c>
      <c r="W1553" s="68" t="str">
        <f t="shared" si="12"/>
        <v/>
      </c>
      <c r="X1553" s="59" t="str">
        <f t="shared" si="13"/>
        <v/>
      </c>
      <c r="Y1553" s="69" t="str">
        <f t="shared" si="14"/>
        <v/>
      </c>
      <c r="Z1553" s="11"/>
      <c r="AG1553" s="59"/>
    </row>
    <row r="1554">
      <c r="A1554" s="8"/>
      <c r="B1554" s="56" t="str">
        <f t="shared" si="2"/>
        <v/>
      </c>
      <c r="C1554" s="105"/>
      <c r="D1554" s="10"/>
      <c r="E1554" s="59" t="str">
        <f t="array" ref="E1554">IF(COUNTA(C1554:C1644)=0,"",SUM((COUNTIF(C$4:C1554,Upgrades!$B$3:$B$13)-COUNTIF(C$4:C1554,"Sell_"&amp;Upgrades!$B$3:$B$13))*Upgrades!$D$3:$D$13))</f>
        <v/>
      </c>
      <c r="F1554" s="66" t="str">
        <f>IFERROR(__xludf.DUMMYFUNCTION("IF(COUNTA(C1554:C1644)=0,"""",IF(REGEXMATCH(INDEX(FILTER(C$4:C1554,C$4:C1554&lt;&gt;""""),ROWS(FILTER(C$4:C1554,C$4:C1554&lt;&gt;""""))),""^Sell_""),INDEX(FILTER(F$4:F1553,C$4:C1553&lt;&gt;""""),ROWS(FILTER(C$4:C1553,C$4:C1553&lt;&gt;""""))),$AC$5+E1554))"),"")</f>
        <v/>
      </c>
      <c r="G1554" s="10" t="str">
        <f>IFERROR(__xludf.DUMMYFUNCTION("IF(COUNTA(C1554:C1644)=0,"""",IF(C1554="""",0,IF(REGEXMATCH(C1554,""^Sell_""),-ROUNDDOWN(ROUNDUP(INDEX(Upgrades!$C$3:$C$13,MATCH(SUBSTITUTE(C1554,""Sell_"",""""),Upgrades!$B$3:$B$13,0))*1.15^(COUNTIF(C$4:C1553,SUBSTITUTE(C1554,""Sell_"",""""))-COUNTIF(C$4"&amp;":C1553,""Sell_""&amp;SUBSTITUTE(C1554,""Sell_"",""""))))/2),ROUNDUP(INDEX(Upgrades!$C$3:$C$13,MATCH(C1554,Upgrades!$B$3:$B$13,0))*1.15^(COUNTIF(C$4:C1553,C1554)-COUNTIF(C$4:C1553,""Sell_""&amp;C1554))))))"),"")</f>
        <v/>
      </c>
      <c r="H1554" s="10" t="str">
        <f t="shared" si="3"/>
        <v/>
      </c>
      <c r="I1554" s="68" t="str">
        <f t="shared" si="4"/>
        <v/>
      </c>
      <c r="J1554" s="59" t="str">
        <f t="shared" si="5"/>
        <v/>
      </c>
      <c r="K1554" s="69" t="str">
        <f t="shared" si="6"/>
        <v/>
      </c>
      <c r="L1554" s="60" t="str">
        <f t="shared" si="7"/>
        <v/>
      </c>
      <c r="M1554" s="61" t="str">
        <f>IFERROR(__xludf.DUMMYFUNCTION("IFS(AND(COUNTA(C1554:C1644)=0,COUNTA(Q1554:Q1644)=0),"""",OR(AND(K1554&gt;=1000000000,OR(Y1554&gt;=1000000000,COUNTA(Q1554:Q1644)=0)),OR(Y1554&gt;=1000000000,AND(COUNTA(C1554:C1644)=0,P$3=TRUE))),
ROUNDDOWN((AB$1-AC$1)*MAX(INDEX(T$4:T1644,MATCH(LARGE(FILTER(Y$4:Y1"&amp;"644,Y$4:Y1644&lt;1000000000),1),Y$4:Y1644)),INDEX(F$4:F1644,MATCH(LARGE(FILTER(K$4:K1644,K$4:K1644&lt;1000000000),1),K$4:K1644)))),AND(K1554&lt;1000000000,COUNTA(C1554:C1644)&gt;0,P$3=FALSE),
ROUNDDOWN(INDEX(Y$4:Y1644,MATCH(LARGE(FILTER(W$4:W1644,W$4:W1644&lt;=I1554),1)"&amp;",W$4:W1644))+(I1554-LARGE(FILTER(W$4:W1644,W$4:W1644&lt;=I1554),1))*INDEX(T$4:T1644,MATCH(LARGE(FILTER(W$4:W1644,W$4:W1644&lt;=I1554),1),W$4:W1644))-K1554),1,
ROUNDDOWN(Y1554-INDEX(K$4:K1644,MATCH(LARGE(FILTER(I$4:I1644,I$4:I1644&lt;=W1554),1),I$4:I1644))-(W1554-L"&amp;"ARGE(FILTER(I$4:I1644,I$4:I1644&lt;=W1554),1))*INDEX(F$4:F1644,MATCH(LARGE(FILTER(I$4:I1644,I$4:I1644&lt;=W1554),1),I$4:I1644))))"),"")</f>
        <v/>
      </c>
      <c r="N1554" s="60" t="str">
        <f t="shared" si="8"/>
        <v/>
      </c>
      <c r="O1554" s="61" t="str">
        <f t="shared" si="9"/>
        <v/>
      </c>
      <c r="P1554" s="56" t="str">
        <f t="shared" si="10"/>
        <v/>
      </c>
      <c r="Q1554" s="105"/>
      <c r="R1554" s="10"/>
      <c r="S1554" s="59" t="str">
        <f t="array" ref="S1554">IF(COUNTA(Q1554:Q1644)=0,"",SUM((COUNTIF(Q$4:Q1554,Upgrades!$B$3:$B$13)-COUNTIF(Q$4:Q1554,"Sell_"&amp;Upgrades!$B$3:$B$13))*Upgrades!$D$3:$D$13))</f>
        <v/>
      </c>
      <c r="T1554" s="66" t="str">
        <f>IFERROR(__xludf.DUMMYFUNCTION("IF(COUNTA(Q1554:Q1644)=0,"""",IF(REGEXMATCH(INDEX(FILTER(Q$4:Q1554,Q$4:Q1554&lt;&gt;""""),ROWS(FILTER(Q$4:Q1554,Q$4:Q1554&lt;&gt;""""))),""^Sell_""),INDEX(FILTER(T$4:T1553,Q$4:Q1553&lt;&gt;""""),ROWS(FILTER(Q$4:Q1553,Q$4:Q1553&lt;&gt;""""))),$AD$5+S1554))"),"")</f>
        <v/>
      </c>
      <c r="U1554" s="10" t="str">
        <f>IFERROR(__xludf.DUMMYFUNCTION("IF(COUNTA(Q1554:Q1644)=0,"""",IF(Q1554="""",0,IF(REGEXMATCH(Q1554,""^Sell_""),-ROUNDDOWN(ROUNDUP(INDEX(Upgrades!$C$3:$C$13,MATCH(SUBSTITUTE(Q1554,""Sell_"",""""),Upgrades!$B$3:$B$13,0))*1.15^(COUNTIF(Q$4:Q1553,SUBSTITUTE(Q1554,""Sell_"",""""))-COUNTIF(Q$4"&amp;":Q1553,""Sell_""&amp;SUBSTITUTE(Q1554,""Sell_"",""""))))/2),ROUNDUP(INDEX(Upgrades!$C$3:$C$13,MATCH(Q1554,Upgrades!$B$3:$B$13,0))*1.15^(COUNTIF(Q$4:Q1553,Q1554)-COUNTIF(Q$4:Q1553,""Sell_""&amp;Q1554))))))"),"")</f>
        <v/>
      </c>
      <c r="V1554" s="10" t="str">
        <f t="shared" si="11"/>
        <v/>
      </c>
      <c r="W1554" s="68" t="str">
        <f t="shared" si="12"/>
        <v/>
      </c>
      <c r="X1554" s="59" t="str">
        <f t="shared" si="13"/>
        <v/>
      </c>
      <c r="Y1554" s="69" t="str">
        <f t="shared" si="14"/>
        <v/>
      </c>
      <c r="Z1554" s="11"/>
      <c r="AG1554" s="59"/>
    </row>
    <row r="1555">
      <c r="A1555" s="8"/>
      <c r="B1555" s="56" t="str">
        <f t="shared" si="2"/>
        <v/>
      </c>
      <c r="C1555" s="105"/>
      <c r="D1555" s="10"/>
      <c r="E1555" s="59" t="str">
        <f t="array" ref="E1555">IF(COUNTA(C1555:C1644)=0,"",SUM((COUNTIF(C$4:C1555,Upgrades!$B$3:$B$13)-COUNTIF(C$4:C1555,"Sell_"&amp;Upgrades!$B$3:$B$13))*Upgrades!$D$3:$D$13))</f>
        <v/>
      </c>
      <c r="F1555" s="66" t="str">
        <f>IFERROR(__xludf.DUMMYFUNCTION("IF(COUNTA(C1555:C1644)=0,"""",IF(REGEXMATCH(INDEX(FILTER(C$4:C1555,C$4:C1555&lt;&gt;""""),ROWS(FILTER(C$4:C1555,C$4:C1555&lt;&gt;""""))),""^Sell_""),INDEX(FILTER(F$4:F1554,C$4:C1554&lt;&gt;""""),ROWS(FILTER(C$4:C1554,C$4:C1554&lt;&gt;""""))),$AC$5+E1555))"),"")</f>
        <v/>
      </c>
      <c r="G1555" s="10" t="str">
        <f>IFERROR(__xludf.DUMMYFUNCTION("IF(COUNTA(C1555:C1644)=0,"""",IF(C1555="""",0,IF(REGEXMATCH(C1555,""^Sell_""),-ROUNDDOWN(ROUNDUP(INDEX(Upgrades!$C$3:$C$13,MATCH(SUBSTITUTE(C1555,""Sell_"",""""),Upgrades!$B$3:$B$13,0))*1.15^(COUNTIF(C$4:C1554,SUBSTITUTE(C1555,""Sell_"",""""))-COUNTIF(C$4"&amp;":C1554,""Sell_""&amp;SUBSTITUTE(C1555,""Sell_"",""""))))/2),ROUNDUP(INDEX(Upgrades!$C$3:$C$13,MATCH(C1555,Upgrades!$B$3:$B$13,0))*1.15^(COUNTIF(C$4:C1554,C1555)-COUNTIF(C$4:C1554,""Sell_""&amp;C1555))))))"),"")</f>
        <v/>
      </c>
      <c r="H1555" s="10" t="str">
        <f t="shared" si="3"/>
        <v/>
      </c>
      <c r="I1555" s="68" t="str">
        <f t="shared" si="4"/>
        <v/>
      </c>
      <c r="J1555" s="59" t="str">
        <f t="shared" si="5"/>
        <v/>
      </c>
      <c r="K1555" s="69" t="str">
        <f t="shared" si="6"/>
        <v/>
      </c>
      <c r="L1555" s="60" t="str">
        <f t="shared" si="7"/>
        <v/>
      </c>
      <c r="M1555" s="61" t="str">
        <f>IFERROR(__xludf.DUMMYFUNCTION("IFS(AND(COUNTA(C1555:C1644)=0,COUNTA(Q1555:Q1644)=0),"""",OR(AND(K1555&gt;=1000000000,OR(Y1555&gt;=1000000000,COUNTA(Q1555:Q1644)=0)),OR(Y1555&gt;=1000000000,AND(COUNTA(C1555:C1644)=0,P$3=TRUE))),
ROUNDDOWN((AB$1-AC$1)*MAX(INDEX(T$4:T1644,MATCH(LARGE(FILTER(Y$4:Y1"&amp;"644,Y$4:Y1644&lt;1000000000),1),Y$4:Y1644)),INDEX(F$4:F1644,MATCH(LARGE(FILTER(K$4:K1644,K$4:K1644&lt;1000000000),1),K$4:K1644)))),AND(K1555&lt;1000000000,COUNTA(C1555:C1644)&gt;0,P$3=FALSE),
ROUNDDOWN(INDEX(Y$4:Y1644,MATCH(LARGE(FILTER(W$4:W1644,W$4:W1644&lt;=I1555),1)"&amp;",W$4:W1644))+(I1555-LARGE(FILTER(W$4:W1644,W$4:W1644&lt;=I1555),1))*INDEX(T$4:T1644,MATCH(LARGE(FILTER(W$4:W1644,W$4:W1644&lt;=I1555),1),W$4:W1644))-K1555),1,
ROUNDDOWN(Y1555-INDEX(K$4:K1644,MATCH(LARGE(FILTER(I$4:I1644,I$4:I1644&lt;=W1555),1),I$4:I1644))-(W1555-L"&amp;"ARGE(FILTER(I$4:I1644,I$4:I1644&lt;=W1555),1))*INDEX(F$4:F1644,MATCH(LARGE(FILTER(I$4:I1644,I$4:I1644&lt;=W1555),1),I$4:I1644))))"),"")</f>
        <v/>
      </c>
      <c r="N1555" s="60" t="str">
        <f t="shared" si="8"/>
        <v/>
      </c>
      <c r="O1555" s="61" t="str">
        <f t="shared" si="9"/>
        <v/>
      </c>
      <c r="P1555" s="56" t="str">
        <f t="shared" si="10"/>
        <v/>
      </c>
      <c r="Q1555" s="105"/>
      <c r="R1555" s="10"/>
      <c r="S1555" s="59" t="str">
        <f t="array" ref="S1555">IF(COUNTA(Q1555:Q1644)=0,"",SUM((COUNTIF(Q$4:Q1555,Upgrades!$B$3:$B$13)-COUNTIF(Q$4:Q1555,"Sell_"&amp;Upgrades!$B$3:$B$13))*Upgrades!$D$3:$D$13))</f>
        <v/>
      </c>
      <c r="T1555" s="66" t="str">
        <f>IFERROR(__xludf.DUMMYFUNCTION("IF(COUNTA(Q1555:Q1644)=0,"""",IF(REGEXMATCH(INDEX(FILTER(Q$4:Q1555,Q$4:Q1555&lt;&gt;""""),ROWS(FILTER(Q$4:Q1555,Q$4:Q1555&lt;&gt;""""))),""^Sell_""),INDEX(FILTER(T$4:T1554,Q$4:Q1554&lt;&gt;""""),ROWS(FILTER(Q$4:Q1554,Q$4:Q1554&lt;&gt;""""))),$AD$5+S1555))"),"")</f>
        <v/>
      </c>
      <c r="U1555" s="10" t="str">
        <f>IFERROR(__xludf.DUMMYFUNCTION("IF(COUNTA(Q1555:Q1644)=0,"""",IF(Q1555="""",0,IF(REGEXMATCH(Q1555,""^Sell_""),-ROUNDDOWN(ROUNDUP(INDEX(Upgrades!$C$3:$C$13,MATCH(SUBSTITUTE(Q1555,""Sell_"",""""),Upgrades!$B$3:$B$13,0))*1.15^(COUNTIF(Q$4:Q1554,SUBSTITUTE(Q1555,""Sell_"",""""))-COUNTIF(Q$4"&amp;":Q1554,""Sell_""&amp;SUBSTITUTE(Q1555,""Sell_"",""""))))/2),ROUNDUP(INDEX(Upgrades!$C$3:$C$13,MATCH(Q1555,Upgrades!$B$3:$B$13,0))*1.15^(COUNTIF(Q$4:Q1554,Q1555)-COUNTIF(Q$4:Q1554,""Sell_""&amp;Q1555))))))"),"")</f>
        <v/>
      </c>
      <c r="V1555" s="10" t="str">
        <f t="shared" si="11"/>
        <v/>
      </c>
      <c r="W1555" s="68" t="str">
        <f t="shared" si="12"/>
        <v/>
      </c>
      <c r="X1555" s="59" t="str">
        <f t="shared" si="13"/>
        <v/>
      </c>
      <c r="Y1555" s="69" t="str">
        <f t="shared" si="14"/>
        <v/>
      </c>
      <c r="Z1555" s="11"/>
      <c r="AG1555" s="59"/>
    </row>
    <row r="1556">
      <c r="A1556" s="8"/>
      <c r="B1556" s="56" t="str">
        <f t="shared" si="2"/>
        <v/>
      </c>
      <c r="C1556" s="105"/>
      <c r="D1556" s="10"/>
      <c r="E1556" s="59" t="str">
        <f t="array" ref="E1556">IF(COUNTA(C1556:C1644)=0,"",SUM((COUNTIF(C$4:C1556,Upgrades!$B$3:$B$13)-COUNTIF(C$4:C1556,"Sell_"&amp;Upgrades!$B$3:$B$13))*Upgrades!$D$3:$D$13))</f>
        <v/>
      </c>
      <c r="F1556" s="66" t="str">
        <f>IFERROR(__xludf.DUMMYFUNCTION("IF(COUNTA(C1556:C1644)=0,"""",IF(REGEXMATCH(INDEX(FILTER(C$4:C1556,C$4:C1556&lt;&gt;""""),ROWS(FILTER(C$4:C1556,C$4:C1556&lt;&gt;""""))),""^Sell_""),INDEX(FILTER(F$4:F1555,C$4:C1555&lt;&gt;""""),ROWS(FILTER(C$4:C1555,C$4:C1555&lt;&gt;""""))),$AC$5+E1556))"),"")</f>
        <v/>
      </c>
      <c r="G1556" s="10" t="str">
        <f>IFERROR(__xludf.DUMMYFUNCTION("IF(COUNTA(C1556:C1644)=0,"""",IF(C1556="""",0,IF(REGEXMATCH(C1556,""^Sell_""),-ROUNDDOWN(ROUNDUP(INDEX(Upgrades!$C$3:$C$13,MATCH(SUBSTITUTE(C1556,""Sell_"",""""),Upgrades!$B$3:$B$13,0))*1.15^(COUNTIF(C$4:C1555,SUBSTITUTE(C1556,""Sell_"",""""))-COUNTIF(C$4"&amp;":C1555,""Sell_""&amp;SUBSTITUTE(C1556,""Sell_"",""""))))/2),ROUNDUP(INDEX(Upgrades!$C$3:$C$13,MATCH(C1556,Upgrades!$B$3:$B$13,0))*1.15^(COUNTIF(C$4:C1555,C1556)-COUNTIF(C$4:C1555,""Sell_""&amp;C1556))))))"),"")</f>
        <v/>
      </c>
      <c r="H1556" s="10" t="str">
        <f t="shared" si="3"/>
        <v/>
      </c>
      <c r="I1556" s="68" t="str">
        <f t="shared" si="4"/>
        <v/>
      </c>
      <c r="J1556" s="59" t="str">
        <f t="shared" si="5"/>
        <v/>
      </c>
      <c r="K1556" s="69" t="str">
        <f t="shared" si="6"/>
        <v/>
      </c>
      <c r="L1556" s="60" t="str">
        <f t="shared" si="7"/>
        <v/>
      </c>
      <c r="M1556" s="61" t="str">
        <f>IFERROR(__xludf.DUMMYFUNCTION("IFS(AND(COUNTA(C1556:C1644)=0,COUNTA(Q1556:Q1644)=0),"""",OR(AND(K1556&gt;=1000000000,OR(Y1556&gt;=1000000000,COUNTA(Q1556:Q1644)=0)),OR(Y1556&gt;=1000000000,AND(COUNTA(C1556:C1644)=0,P$3=TRUE))),
ROUNDDOWN((AB$1-AC$1)*MAX(INDEX(T$4:T1644,MATCH(LARGE(FILTER(Y$4:Y1"&amp;"644,Y$4:Y1644&lt;1000000000),1),Y$4:Y1644)),INDEX(F$4:F1644,MATCH(LARGE(FILTER(K$4:K1644,K$4:K1644&lt;1000000000),1),K$4:K1644)))),AND(K1556&lt;1000000000,COUNTA(C1556:C1644)&gt;0,P$3=FALSE),
ROUNDDOWN(INDEX(Y$4:Y1644,MATCH(LARGE(FILTER(W$4:W1644,W$4:W1644&lt;=I1556),1)"&amp;",W$4:W1644))+(I1556-LARGE(FILTER(W$4:W1644,W$4:W1644&lt;=I1556),1))*INDEX(T$4:T1644,MATCH(LARGE(FILTER(W$4:W1644,W$4:W1644&lt;=I1556),1),W$4:W1644))-K1556),1,
ROUNDDOWN(Y1556-INDEX(K$4:K1644,MATCH(LARGE(FILTER(I$4:I1644,I$4:I1644&lt;=W1556),1),I$4:I1644))-(W1556-L"&amp;"ARGE(FILTER(I$4:I1644,I$4:I1644&lt;=W1556),1))*INDEX(F$4:F1644,MATCH(LARGE(FILTER(I$4:I1644,I$4:I1644&lt;=W1556),1),I$4:I1644))))"),"")</f>
        <v/>
      </c>
      <c r="N1556" s="60" t="str">
        <f t="shared" si="8"/>
        <v/>
      </c>
      <c r="O1556" s="61" t="str">
        <f t="shared" si="9"/>
        <v/>
      </c>
      <c r="P1556" s="56" t="str">
        <f t="shared" si="10"/>
        <v/>
      </c>
      <c r="Q1556" s="105"/>
      <c r="R1556" s="10"/>
      <c r="S1556" s="59" t="str">
        <f t="array" ref="S1556">IF(COUNTA(Q1556:Q1644)=0,"",SUM((COUNTIF(Q$4:Q1556,Upgrades!$B$3:$B$13)-COUNTIF(Q$4:Q1556,"Sell_"&amp;Upgrades!$B$3:$B$13))*Upgrades!$D$3:$D$13))</f>
        <v/>
      </c>
      <c r="T1556" s="66" t="str">
        <f>IFERROR(__xludf.DUMMYFUNCTION("IF(COUNTA(Q1556:Q1644)=0,"""",IF(REGEXMATCH(INDEX(FILTER(Q$4:Q1556,Q$4:Q1556&lt;&gt;""""),ROWS(FILTER(Q$4:Q1556,Q$4:Q1556&lt;&gt;""""))),""^Sell_""),INDEX(FILTER(T$4:T1555,Q$4:Q1555&lt;&gt;""""),ROWS(FILTER(Q$4:Q1555,Q$4:Q1555&lt;&gt;""""))),$AD$5+S1556))"),"")</f>
        <v/>
      </c>
      <c r="U1556" s="10" t="str">
        <f>IFERROR(__xludf.DUMMYFUNCTION("IF(COUNTA(Q1556:Q1644)=0,"""",IF(Q1556="""",0,IF(REGEXMATCH(Q1556,""^Sell_""),-ROUNDDOWN(ROUNDUP(INDEX(Upgrades!$C$3:$C$13,MATCH(SUBSTITUTE(Q1556,""Sell_"",""""),Upgrades!$B$3:$B$13,0))*1.15^(COUNTIF(Q$4:Q1555,SUBSTITUTE(Q1556,""Sell_"",""""))-COUNTIF(Q$4"&amp;":Q1555,""Sell_""&amp;SUBSTITUTE(Q1556,""Sell_"",""""))))/2),ROUNDUP(INDEX(Upgrades!$C$3:$C$13,MATCH(Q1556,Upgrades!$B$3:$B$13,0))*1.15^(COUNTIF(Q$4:Q1555,Q1556)-COUNTIF(Q$4:Q1555,""Sell_""&amp;Q1556))))))"),"")</f>
        <v/>
      </c>
      <c r="V1556" s="10" t="str">
        <f t="shared" si="11"/>
        <v/>
      </c>
      <c r="W1556" s="68" t="str">
        <f t="shared" si="12"/>
        <v/>
      </c>
      <c r="X1556" s="59" t="str">
        <f t="shared" si="13"/>
        <v/>
      </c>
      <c r="Y1556" s="69" t="str">
        <f t="shared" si="14"/>
        <v/>
      </c>
      <c r="Z1556" s="11"/>
      <c r="AG1556" s="59"/>
    </row>
    <row r="1557">
      <c r="A1557" s="8"/>
      <c r="B1557" s="56" t="str">
        <f t="shared" si="2"/>
        <v/>
      </c>
      <c r="C1557" s="105"/>
      <c r="D1557" s="10"/>
      <c r="E1557" s="59" t="str">
        <f t="array" ref="E1557">IF(COUNTA(C1557:C1644)=0,"",SUM((COUNTIF(C$4:C1557,Upgrades!$B$3:$B$13)-COUNTIF(C$4:C1557,"Sell_"&amp;Upgrades!$B$3:$B$13))*Upgrades!$D$3:$D$13))</f>
        <v/>
      </c>
      <c r="F1557" s="66" t="str">
        <f>IFERROR(__xludf.DUMMYFUNCTION("IF(COUNTA(C1557:C1644)=0,"""",IF(REGEXMATCH(INDEX(FILTER(C$4:C1557,C$4:C1557&lt;&gt;""""),ROWS(FILTER(C$4:C1557,C$4:C1557&lt;&gt;""""))),""^Sell_""),INDEX(FILTER(F$4:F1556,C$4:C1556&lt;&gt;""""),ROWS(FILTER(C$4:C1556,C$4:C1556&lt;&gt;""""))),$AC$5+E1557))"),"")</f>
        <v/>
      </c>
      <c r="G1557" s="10" t="str">
        <f>IFERROR(__xludf.DUMMYFUNCTION("IF(COUNTA(C1557:C1644)=0,"""",IF(C1557="""",0,IF(REGEXMATCH(C1557,""^Sell_""),-ROUNDDOWN(ROUNDUP(INDEX(Upgrades!$C$3:$C$13,MATCH(SUBSTITUTE(C1557,""Sell_"",""""),Upgrades!$B$3:$B$13,0))*1.15^(COUNTIF(C$4:C1556,SUBSTITUTE(C1557,""Sell_"",""""))-COUNTIF(C$4"&amp;":C1556,""Sell_""&amp;SUBSTITUTE(C1557,""Sell_"",""""))))/2),ROUNDUP(INDEX(Upgrades!$C$3:$C$13,MATCH(C1557,Upgrades!$B$3:$B$13,0))*1.15^(COUNTIF(C$4:C1556,C1557)-COUNTIF(C$4:C1556,""Sell_""&amp;C1557))))))"),"")</f>
        <v/>
      </c>
      <c r="H1557" s="10" t="str">
        <f t="shared" si="3"/>
        <v/>
      </c>
      <c r="I1557" s="68" t="str">
        <f t="shared" si="4"/>
        <v/>
      </c>
      <c r="J1557" s="59" t="str">
        <f t="shared" si="5"/>
        <v/>
      </c>
      <c r="K1557" s="69" t="str">
        <f t="shared" si="6"/>
        <v/>
      </c>
      <c r="L1557" s="60" t="str">
        <f t="shared" si="7"/>
        <v/>
      </c>
      <c r="M1557" s="61" t="str">
        <f>IFERROR(__xludf.DUMMYFUNCTION("IFS(AND(COUNTA(C1557:C1644)=0,COUNTA(Q1557:Q1644)=0),"""",OR(AND(K1557&gt;=1000000000,OR(Y1557&gt;=1000000000,COUNTA(Q1557:Q1644)=0)),OR(Y1557&gt;=1000000000,AND(COUNTA(C1557:C1644)=0,P$3=TRUE))),
ROUNDDOWN((AB$1-AC$1)*MAX(INDEX(T$4:T1644,MATCH(LARGE(FILTER(Y$4:Y1"&amp;"644,Y$4:Y1644&lt;1000000000),1),Y$4:Y1644)),INDEX(F$4:F1644,MATCH(LARGE(FILTER(K$4:K1644,K$4:K1644&lt;1000000000),1),K$4:K1644)))),AND(K1557&lt;1000000000,COUNTA(C1557:C1644)&gt;0,P$3=FALSE),
ROUNDDOWN(INDEX(Y$4:Y1644,MATCH(LARGE(FILTER(W$4:W1644,W$4:W1644&lt;=I1557),1)"&amp;",W$4:W1644))+(I1557-LARGE(FILTER(W$4:W1644,W$4:W1644&lt;=I1557),1))*INDEX(T$4:T1644,MATCH(LARGE(FILTER(W$4:W1644,W$4:W1644&lt;=I1557),1),W$4:W1644))-K1557),1,
ROUNDDOWN(Y1557-INDEX(K$4:K1644,MATCH(LARGE(FILTER(I$4:I1644,I$4:I1644&lt;=W1557),1),I$4:I1644))-(W1557-L"&amp;"ARGE(FILTER(I$4:I1644,I$4:I1644&lt;=W1557),1))*INDEX(F$4:F1644,MATCH(LARGE(FILTER(I$4:I1644,I$4:I1644&lt;=W1557),1),I$4:I1644))))"),"")</f>
        <v/>
      </c>
      <c r="N1557" s="60" t="str">
        <f t="shared" si="8"/>
        <v/>
      </c>
      <c r="O1557" s="61" t="str">
        <f t="shared" si="9"/>
        <v/>
      </c>
      <c r="P1557" s="56" t="str">
        <f t="shared" si="10"/>
        <v/>
      </c>
      <c r="Q1557" s="105"/>
      <c r="R1557" s="10"/>
      <c r="S1557" s="59" t="str">
        <f t="array" ref="S1557">IF(COUNTA(Q1557:Q1644)=0,"",SUM((COUNTIF(Q$4:Q1557,Upgrades!$B$3:$B$13)-COUNTIF(Q$4:Q1557,"Sell_"&amp;Upgrades!$B$3:$B$13))*Upgrades!$D$3:$D$13))</f>
        <v/>
      </c>
      <c r="T1557" s="66" t="str">
        <f>IFERROR(__xludf.DUMMYFUNCTION("IF(COUNTA(Q1557:Q1644)=0,"""",IF(REGEXMATCH(INDEX(FILTER(Q$4:Q1557,Q$4:Q1557&lt;&gt;""""),ROWS(FILTER(Q$4:Q1557,Q$4:Q1557&lt;&gt;""""))),""^Sell_""),INDEX(FILTER(T$4:T1556,Q$4:Q1556&lt;&gt;""""),ROWS(FILTER(Q$4:Q1556,Q$4:Q1556&lt;&gt;""""))),$AD$5+S1557))"),"")</f>
        <v/>
      </c>
      <c r="U1557" s="10" t="str">
        <f>IFERROR(__xludf.DUMMYFUNCTION("IF(COUNTA(Q1557:Q1644)=0,"""",IF(Q1557="""",0,IF(REGEXMATCH(Q1557,""^Sell_""),-ROUNDDOWN(ROUNDUP(INDEX(Upgrades!$C$3:$C$13,MATCH(SUBSTITUTE(Q1557,""Sell_"",""""),Upgrades!$B$3:$B$13,0))*1.15^(COUNTIF(Q$4:Q1556,SUBSTITUTE(Q1557,""Sell_"",""""))-COUNTIF(Q$4"&amp;":Q1556,""Sell_""&amp;SUBSTITUTE(Q1557,""Sell_"",""""))))/2),ROUNDUP(INDEX(Upgrades!$C$3:$C$13,MATCH(Q1557,Upgrades!$B$3:$B$13,0))*1.15^(COUNTIF(Q$4:Q1556,Q1557)-COUNTIF(Q$4:Q1556,""Sell_""&amp;Q1557))))))"),"")</f>
        <v/>
      </c>
      <c r="V1557" s="10" t="str">
        <f t="shared" si="11"/>
        <v/>
      </c>
      <c r="W1557" s="68" t="str">
        <f t="shared" si="12"/>
        <v/>
      </c>
      <c r="X1557" s="59" t="str">
        <f t="shared" si="13"/>
        <v/>
      </c>
      <c r="Y1557" s="69" t="str">
        <f t="shared" si="14"/>
        <v/>
      </c>
      <c r="Z1557" s="11"/>
      <c r="AG1557" s="59"/>
    </row>
    <row r="1558">
      <c r="A1558" s="8"/>
      <c r="B1558" s="56" t="str">
        <f t="shared" si="2"/>
        <v/>
      </c>
      <c r="C1558" s="105"/>
      <c r="D1558" s="10"/>
      <c r="E1558" s="59" t="str">
        <f t="array" ref="E1558">IF(COUNTA(C1558:C1644)=0,"",SUM((COUNTIF(C$4:C1558,Upgrades!$B$3:$B$13)-COUNTIF(C$4:C1558,"Sell_"&amp;Upgrades!$B$3:$B$13))*Upgrades!$D$3:$D$13))</f>
        <v/>
      </c>
      <c r="F1558" s="66" t="str">
        <f>IFERROR(__xludf.DUMMYFUNCTION("IF(COUNTA(C1558:C1644)=0,"""",IF(REGEXMATCH(INDEX(FILTER(C$4:C1558,C$4:C1558&lt;&gt;""""),ROWS(FILTER(C$4:C1558,C$4:C1558&lt;&gt;""""))),""^Sell_""),INDEX(FILTER(F$4:F1557,C$4:C1557&lt;&gt;""""),ROWS(FILTER(C$4:C1557,C$4:C1557&lt;&gt;""""))),$AC$5+E1558))"),"")</f>
        <v/>
      </c>
      <c r="G1558" s="10" t="str">
        <f>IFERROR(__xludf.DUMMYFUNCTION("IF(COUNTA(C1558:C1644)=0,"""",IF(C1558="""",0,IF(REGEXMATCH(C1558,""^Sell_""),-ROUNDDOWN(ROUNDUP(INDEX(Upgrades!$C$3:$C$13,MATCH(SUBSTITUTE(C1558,""Sell_"",""""),Upgrades!$B$3:$B$13,0))*1.15^(COUNTIF(C$4:C1557,SUBSTITUTE(C1558,""Sell_"",""""))-COUNTIF(C$4"&amp;":C1557,""Sell_""&amp;SUBSTITUTE(C1558,""Sell_"",""""))))/2),ROUNDUP(INDEX(Upgrades!$C$3:$C$13,MATCH(C1558,Upgrades!$B$3:$B$13,0))*1.15^(COUNTIF(C$4:C1557,C1558)-COUNTIF(C$4:C1557,""Sell_""&amp;C1558))))))"),"")</f>
        <v/>
      </c>
      <c r="H1558" s="10" t="str">
        <f t="shared" si="3"/>
        <v/>
      </c>
      <c r="I1558" s="68" t="str">
        <f t="shared" si="4"/>
        <v/>
      </c>
      <c r="J1558" s="59" t="str">
        <f t="shared" si="5"/>
        <v/>
      </c>
      <c r="K1558" s="69" t="str">
        <f t="shared" si="6"/>
        <v/>
      </c>
      <c r="L1558" s="60" t="str">
        <f t="shared" si="7"/>
        <v/>
      </c>
      <c r="M1558" s="61" t="str">
        <f>IFERROR(__xludf.DUMMYFUNCTION("IFS(AND(COUNTA(C1558:C1644)=0,COUNTA(Q1558:Q1644)=0),"""",OR(AND(K1558&gt;=1000000000,OR(Y1558&gt;=1000000000,COUNTA(Q1558:Q1644)=0)),OR(Y1558&gt;=1000000000,AND(COUNTA(C1558:C1644)=0,P$3=TRUE))),
ROUNDDOWN((AB$1-AC$1)*MAX(INDEX(T$4:T1644,MATCH(LARGE(FILTER(Y$4:Y1"&amp;"644,Y$4:Y1644&lt;1000000000),1),Y$4:Y1644)),INDEX(F$4:F1644,MATCH(LARGE(FILTER(K$4:K1644,K$4:K1644&lt;1000000000),1),K$4:K1644)))),AND(K1558&lt;1000000000,COUNTA(C1558:C1644)&gt;0,P$3=FALSE),
ROUNDDOWN(INDEX(Y$4:Y1644,MATCH(LARGE(FILTER(W$4:W1644,W$4:W1644&lt;=I1558),1)"&amp;",W$4:W1644))+(I1558-LARGE(FILTER(W$4:W1644,W$4:W1644&lt;=I1558),1))*INDEX(T$4:T1644,MATCH(LARGE(FILTER(W$4:W1644,W$4:W1644&lt;=I1558),1),W$4:W1644))-K1558),1,
ROUNDDOWN(Y1558-INDEX(K$4:K1644,MATCH(LARGE(FILTER(I$4:I1644,I$4:I1644&lt;=W1558),1),I$4:I1644))-(W1558-L"&amp;"ARGE(FILTER(I$4:I1644,I$4:I1644&lt;=W1558),1))*INDEX(F$4:F1644,MATCH(LARGE(FILTER(I$4:I1644,I$4:I1644&lt;=W1558),1),I$4:I1644))))"),"")</f>
        <v/>
      </c>
      <c r="N1558" s="60" t="str">
        <f t="shared" si="8"/>
        <v/>
      </c>
      <c r="O1558" s="61" t="str">
        <f t="shared" si="9"/>
        <v/>
      </c>
      <c r="P1558" s="56" t="str">
        <f t="shared" si="10"/>
        <v/>
      </c>
      <c r="Q1558" s="105"/>
      <c r="R1558" s="10"/>
      <c r="S1558" s="59" t="str">
        <f t="array" ref="S1558">IF(COUNTA(Q1558:Q1644)=0,"",SUM((COUNTIF(Q$4:Q1558,Upgrades!$B$3:$B$13)-COUNTIF(Q$4:Q1558,"Sell_"&amp;Upgrades!$B$3:$B$13))*Upgrades!$D$3:$D$13))</f>
        <v/>
      </c>
      <c r="T1558" s="66" t="str">
        <f>IFERROR(__xludf.DUMMYFUNCTION("IF(COUNTA(Q1558:Q1644)=0,"""",IF(REGEXMATCH(INDEX(FILTER(Q$4:Q1558,Q$4:Q1558&lt;&gt;""""),ROWS(FILTER(Q$4:Q1558,Q$4:Q1558&lt;&gt;""""))),""^Sell_""),INDEX(FILTER(T$4:T1557,Q$4:Q1557&lt;&gt;""""),ROWS(FILTER(Q$4:Q1557,Q$4:Q1557&lt;&gt;""""))),$AD$5+S1558))"),"")</f>
        <v/>
      </c>
      <c r="U1558" s="10" t="str">
        <f>IFERROR(__xludf.DUMMYFUNCTION("IF(COUNTA(Q1558:Q1644)=0,"""",IF(Q1558="""",0,IF(REGEXMATCH(Q1558,""^Sell_""),-ROUNDDOWN(ROUNDUP(INDEX(Upgrades!$C$3:$C$13,MATCH(SUBSTITUTE(Q1558,""Sell_"",""""),Upgrades!$B$3:$B$13,0))*1.15^(COUNTIF(Q$4:Q1557,SUBSTITUTE(Q1558,""Sell_"",""""))-COUNTIF(Q$4"&amp;":Q1557,""Sell_""&amp;SUBSTITUTE(Q1558,""Sell_"",""""))))/2),ROUNDUP(INDEX(Upgrades!$C$3:$C$13,MATCH(Q1558,Upgrades!$B$3:$B$13,0))*1.15^(COUNTIF(Q$4:Q1557,Q1558)-COUNTIF(Q$4:Q1557,""Sell_""&amp;Q1558))))))"),"")</f>
        <v/>
      </c>
      <c r="V1558" s="10" t="str">
        <f t="shared" si="11"/>
        <v/>
      </c>
      <c r="W1558" s="68" t="str">
        <f t="shared" si="12"/>
        <v/>
      </c>
      <c r="X1558" s="59" t="str">
        <f t="shared" si="13"/>
        <v/>
      </c>
      <c r="Y1558" s="69" t="str">
        <f t="shared" si="14"/>
        <v/>
      </c>
      <c r="Z1558" s="11"/>
      <c r="AG1558" s="59"/>
    </row>
    <row r="1559">
      <c r="A1559" s="8"/>
      <c r="B1559" s="56" t="str">
        <f t="shared" si="2"/>
        <v/>
      </c>
      <c r="C1559" s="105"/>
      <c r="D1559" s="10"/>
      <c r="E1559" s="59" t="str">
        <f t="array" ref="E1559">IF(COUNTA(C1559:C1644)=0,"",SUM((COUNTIF(C$4:C1559,Upgrades!$B$3:$B$13)-COUNTIF(C$4:C1559,"Sell_"&amp;Upgrades!$B$3:$B$13))*Upgrades!$D$3:$D$13))</f>
        <v/>
      </c>
      <c r="F1559" s="66" t="str">
        <f>IFERROR(__xludf.DUMMYFUNCTION("IF(COUNTA(C1559:C1644)=0,"""",IF(REGEXMATCH(INDEX(FILTER(C$4:C1559,C$4:C1559&lt;&gt;""""),ROWS(FILTER(C$4:C1559,C$4:C1559&lt;&gt;""""))),""^Sell_""),INDEX(FILTER(F$4:F1558,C$4:C1558&lt;&gt;""""),ROWS(FILTER(C$4:C1558,C$4:C1558&lt;&gt;""""))),$AC$5+E1559))"),"")</f>
        <v/>
      </c>
      <c r="G1559" s="10" t="str">
        <f>IFERROR(__xludf.DUMMYFUNCTION("IF(COUNTA(C1559:C1644)=0,"""",IF(C1559="""",0,IF(REGEXMATCH(C1559,""^Sell_""),-ROUNDDOWN(ROUNDUP(INDEX(Upgrades!$C$3:$C$13,MATCH(SUBSTITUTE(C1559,""Sell_"",""""),Upgrades!$B$3:$B$13,0))*1.15^(COUNTIF(C$4:C1558,SUBSTITUTE(C1559,""Sell_"",""""))-COUNTIF(C$4"&amp;":C1558,""Sell_""&amp;SUBSTITUTE(C1559,""Sell_"",""""))))/2),ROUNDUP(INDEX(Upgrades!$C$3:$C$13,MATCH(C1559,Upgrades!$B$3:$B$13,0))*1.15^(COUNTIF(C$4:C1558,C1559)-COUNTIF(C$4:C1558,""Sell_""&amp;C1559))))))"),"")</f>
        <v/>
      </c>
      <c r="H1559" s="10" t="str">
        <f t="shared" si="3"/>
        <v/>
      </c>
      <c r="I1559" s="68" t="str">
        <f t="shared" si="4"/>
        <v/>
      </c>
      <c r="J1559" s="59" t="str">
        <f t="shared" si="5"/>
        <v/>
      </c>
      <c r="K1559" s="69" t="str">
        <f t="shared" si="6"/>
        <v/>
      </c>
      <c r="L1559" s="60" t="str">
        <f t="shared" si="7"/>
        <v/>
      </c>
      <c r="M1559" s="61" t="str">
        <f>IFERROR(__xludf.DUMMYFUNCTION("IFS(AND(COUNTA(C1559:C1644)=0,COUNTA(Q1559:Q1644)=0),"""",OR(AND(K1559&gt;=1000000000,OR(Y1559&gt;=1000000000,COUNTA(Q1559:Q1644)=0)),OR(Y1559&gt;=1000000000,AND(COUNTA(C1559:C1644)=0,P$3=TRUE))),
ROUNDDOWN((AB$1-AC$1)*MAX(INDEX(T$4:T1644,MATCH(LARGE(FILTER(Y$4:Y1"&amp;"644,Y$4:Y1644&lt;1000000000),1),Y$4:Y1644)),INDEX(F$4:F1644,MATCH(LARGE(FILTER(K$4:K1644,K$4:K1644&lt;1000000000),1),K$4:K1644)))),AND(K1559&lt;1000000000,COUNTA(C1559:C1644)&gt;0,P$3=FALSE),
ROUNDDOWN(INDEX(Y$4:Y1644,MATCH(LARGE(FILTER(W$4:W1644,W$4:W1644&lt;=I1559),1)"&amp;",W$4:W1644))+(I1559-LARGE(FILTER(W$4:W1644,W$4:W1644&lt;=I1559),1))*INDEX(T$4:T1644,MATCH(LARGE(FILTER(W$4:W1644,W$4:W1644&lt;=I1559),1),W$4:W1644))-K1559),1,
ROUNDDOWN(Y1559-INDEX(K$4:K1644,MATCH(LARGE(FILTER(I$4:I1644,I$4:I1644&lt;=W1559),1),I$4:I1644))-(W1559-L"&amp;"ARGE(FILTER(I$4:I1644,I$4:I1644&lt;=W1559),1))*INDEX(F$4:F1644,MATCH(LARGE(FILTER(I$4:I1644,I$4:I1644&lt;=W1559),1),I$4:I1644))))"),"")</f>
        <v/>
      </c>
      <c r="N1559" s="60" t="str">
        <f t="shared" si="8"/>
        <v/>
      </c>
      <c r="O1559" s="61" t="str">
        <f t="shared" si="9"/>
        <v/>
      </c>
      <c r="P1559" s="56" t="str">
        <f t="shared" si="10"/>
        <v/>
      </c>
      <c r="Q1559" s="105"/>
      <c r="R1559" s="10"/>
      <c r="S1559" s="59" t="str">
        <f t="array" ref="S1559">IF(COUNTA(Q1559:Q1644)=0,"",SUM((COUNTIF(Q$4:Q1559,Upgrades!$B$3:$B$13)-COUNTIF(Q$4:Q1559,"Sell_"&amp;Upgrades!$B$3:$B$13))*Upgrades!$D$3:$D$13))</f>
        <v/>
      </c>
      <c r="T1559" s="66" t="str">
        <f>IFERROR(__xludf.DUMMYFUNCTION("IF(COUNTA(Q1559:Q1644)=0,"""",IF(REGEXMATCH(INDEX(FILTER(Q$4:Q1559,Q$4:Q1559&lt;&gt;""""),ROWS(FILTER(Q$4:Q1559,Q$4:Q1559&lt;&gt;""""))),""^Sell_""),INDEX(FILTER(T$4:T1558,Q$4:Q1558&lt;&gt;""""),ROWS(FILTER(Q$4:Q1558,Q$4:Q1558&lt;&gt;""""))),$AD$5+S1559))"),"")</f>
        <v/>
      </c>
      <c r="U1559" s="10" t="str">
        <f>IFERROR(__xludf.DUMMYFUNCTION("IF(COUNTA(Q1559:Q1644)=0,"""",IF(Q1559="""",0,IF(REGEXMATCH(Q1559,""^Sell_""),-ROUNDDOWN(ROUNDUP(INDEX(Upgrades!$C$3:$C$13,MATCH(SUBSTITUTE(Q1559,""Sell_"",""""),Upgrades!$B$3:$B$13,0))*1.15^(COUNTIF(Q$4:Q1558,SUBSTITUTE(Q1559,""Sell_"",""""))-COUNTIF(Q$4"&amp;":Q1558,""Sell_""&amp;SUBSTITUTE(Q1559,""Sell_"",""""))))/2),ROUNDUP(INDEX(Upgrades!$C$3:$C$13,MATCH(Q1559,Upgrades!$B$3:$B$13,0))*1.15^(COUNTIF(Q$4:Q1558,Q1559)-COUNTIF(Q$4:Q1558,""Sell_""&amp;Q1559))))))"),"")</f>
        <v/>
      </c>
      <c r="V1559" s="10" t="str">
        <f t="shared" si="11"/>
        <v/>
      </c>
      <c r="W1559" s="68" t="str">
        <f t="shared" si="12"/>
        <v/>
      </c>
      <c r="X1559" s="59" t="str">
        <f t="shared" si="13"/>
        <v/>
      </c>
      <c r="Y1559" s="69" t="str">
        <f t="shared" si="14"/>
        <v/>
      </c>
      <c r="Z1559" s="11"/>
      <c r="AG1559" s="59"/>
    </row>
    <row r="1560">
      <c r="A1560" s="8"/>
      <c r="B1560" s="56" t="str">
        <f t="shared" si="2"/>
        <v/>
      </c>
      <c r="C1560" s="105"/>
      <c r="D1560" s="10"/>
      <c r="E1560" s="59" t="str">
        <f t="array" ref="E1560">IF(COUNTA(C1560:C1644)=0,"",SUM((COUNTIF(C$4:C1560,Upgrades!$B$3:$B$13)-COUNTIF(C$4:C1560,"Sell_"&amp;Upgrades!$B$3:$B$13))*Upgrades!$D$3:$D$13))</f>
        <v/>
      </c>
      <c r="F1560" s="66" t="str">
        <f>IFERROR(__xludf.DUMMYFUNCTION("IF(COUNTA(C1560:C1644)=0,"""",IF(REGEXMATCH(INDEX(FILTER(C$4:C1560,C$4:C1560&lt;&gt;""""),ROWS(FILTER(C$4:C1560,C$4:C1560&lt;&gt;""""))),""^Sell_""),INDEX(FILTER(F$4:F1559,C$4:C1559&lt;&gt;""""),ROWS(FILTER(C$4:C1559,C$4:C1559&lt;&gt;""""))),$AC$5+E1560))"),"")</f>
        <v/>
      </c>
      <c r="G1560" s="10" t="str">
        <f>IFERROR(__xludf.DUMMYFUNCTION("IF(COUNTA(C1560:C1644)=0,"""",IF(C1560="""",0,IF(REGEXMATCH(C1560,""^Sell_""),-ROUNDDOWN(ROUNDUP(INDEX(Upgrades!$C$3:$C$13,MATCH(SUBSTITUTE(C1560,""Sell_"",""""),Upgrades!$B$3:$B$13,0))*1.15^(COUNTIF(C$4:C1559,SUBSTITUTE(C1560,""Sell_"",""""))-COUNTIF(C$4"&amp;":C1559,""Sell_""&amp;SUBSTITUTE(C1560,""Sell_"",""""))))/2),ROUNDUP(INDEX(Upgrades!$C$3:$C$13,MATCH(C1560,Upgrades!$B$3:$B$13,0))*1.15^(COUNTIF(C$4:C1559,C1560)-COUNTIF(C$4:C1559,""Sell_""&amp;C1560))))))"),"")</f>
        <v/>
      </c>
      <c r="H1560" s="10" t="str">
        <f t="shared" si="3"/>
        <v/>
      </c>
      <c r="I1560" s="68" t="str">
        <f t="shared" si="4"/>
        <v/>
      </c>
      <c r="J1560" s="59" t="str">
        <f t="shared" si="5"/>
        <v/>
      </c>
      <c r="K1560" s="69" t="str">
        <f t="shared" si="6"/>
        <v/>
      </c>
      <c r="L1560" s="60" t="str">
        <f t="shared" si="7"/>
        <v/>
      </c>
      <c r="M1560" s="61" t="str">
        <f>IFERROR(__xludf.DUMMYFUNCTION("IFS(AND(COUNTA(C1560:C1644)=0,COUNTA(Q1560:Q1644)=0),"""",OR(AND(K1560&gt;=1000000000,OR(Y1560&gt;=1000000000,COUNTA(Q1560:Q1644)=0)),OR(Y1560&gt;=1000000000,AND(COUNTA(C1560:C1644)=0,P$3=TRUE))),
ROUNDDOWN((AB$1-AC$1)*MAX(INDEX(T$4:T1644,MATCH(LARGE(FILTER(Y$4:Y1"&amp;"644,Y$4:Y1644&lt;1000000000),1),Y$4:Y1644)),INDEX(F$4:F1644,MATCH(LARGE(FILTER(K$4:K1644,K$4:K1644&lt;1000000000),1),K$4:K1644)))),AND(K1560&lt;1000000000,COUNTA(C1560:C1644)&gt;0,P$3=FALSE),
ROUNDDOWN(INDEX(Y$4:Y1644,MATCH(LARGE(FILTER(W$4:W1644,W$4:W1644&lt;=I1560),1)"&amp;",W$4:W1644))+(I1560-LARGE(FILTER(W$4:W1644,W$4:W1644&lt;=I1560),1))*INDEX(T$4:T1644,MATCH(LARGE(FILTER(W$4:W1644,W$4:W1644&lt;=I1560),1),W$4:W1644))-K1560),1,
ROUNDDOWN(Y1560-INDEX(K$4:K1644,MATCH(LARGE(FILTER(I$4:I1644,I$4:I1644&lt;=W1560),1),I$4:I1644))-(W1560-L"&amp;"ARGE(FILTER(I$4:I1644,I$4:I1644&lt;=W1560),1))*INDEX(F$4:F1644,MATCH(LARGE(FILTER(I$4:I1644,I$4:I1644&lt;=W1560),1),I$4:I1644))))"),"")</f>
        <v/>
      </c>
      <c r="N1560" s="60" t="str">
        <f t="shared" si="8"/>
        <v/>
      </c>
      <c r="O1560" s="61" t="str">
        <f t="shared" si="9"/>
        <v/>
      </c>
      <c r="P1560" s="56" t="str">
        <f t="shared" si="10"/>
        <v/>
      </c>
      <c r="Q1560" s="105"/>
      <c r="R1560" s="10"/>
      <c r="S1560" s="59" t="str">
        <f t="array" ref="S1560">IF(COUNTA(Q1560:Q1644)=0,"",SUM((COUNTIF(Q$4:Q1560,Upgrades!$B$3:$B$13)-COUNTIF(Q$4:Q1560,"Sell_"&amp;Upgrades!$B$3:$B$13))*Upgrades!$D$3:$D$13))</f>
        <v/>
      </c>
      <c r="T1560" s="66" t="str">
        <f>IFERROR(__xludf.DUMMYFUNCTION("IF(COUNTA(Q1560:Q1644)=0,"""",IF(REGEXMATCH(INDEX(FILTER(Q$4:Q1560,Q$4:Q1560&lt;&gt;""""),ROWS(FILTER(Q$4:Q1560,Q$4:Q1560&lt;&gt;""""))),""^Sell_""),INDEX(FILTER(T$4:T1559,Q$4:Q1559&lt;&gt;""""),ROWS(FILTER(Q$4:Q1559,Q$4:Q1559&lt;&gt;""""))),$AD$5+S1560))"),"")</f>
        <v/>
      </c>
      <c r="U1560" s="10" t="str">
        <f>IFERROR(__xludf.DUMMYFUNCTION("IF(COUNTA(Q1560:Q1644)=0,"""",IF(Q1560="""",0,IF(REGEXMATCH(Q1560,""^Sell_""),-ROUNDDOWN(ROUNDUP(INDEX(Upgrades!$C$3:$C$13,MATCH(SUBSTITUTE(Q1560,""Sell_"",""""),Upgrades!$B$3:$B$13,0))*1.15^(COUNTIF(Q$4:Q1559,SUBSTITUTE(Q1560,""Sell_"",""""))-COUNTIF(Q$4"&amp;":Q1559,""Sell_""&amp;SUBSTITUTE(Q1560,""Sell_"",""""))))/2),ROUNDUP(INDEX(Upgrades!$C$3:$C$13,MATCH(Q1560,Upgrades!$B$3:$B$13,0))*1.15^(COUNTIF(Q$4:Q1559,Q1560)-COUNTIF(Q$4:Q1559,""Sell_""&amp;Q1560))))))"),"")</f>
        <v/>
      </c>
      <c r="V1560" s="10" t="str">
        <f t="shared" si="11"/>
        <v/>
      </c>
      <c r="W1560" s="68" t="str">
        <f t="shared" si="12"/>
        <v/>
      </c>
      <c r="X1560" s="59" t="str">
        <f t="shared" si="13"/>
        <v/>
      </c>
      <c r="Y1560" s="69" t="str">
        <f t="shared" si="14"/>
        <v/>
      </c>
      <c r="Z1560" s="11"/>
      <c r="AG1560" s="59"/>
    </row>
    <row r="1561">
      <c r="A1561" s="8"/>
      <c r="B1561" s="56" t="str">
        <f t="shared" si="2"/>
        <v/>
      </c>
      <c r="C1561" s="105"/>
      <c r="D1561" s="10"/>
      <c r="E1561" s="59" t="str">
        <f t="array" ref="E1561">IF(COUNTA(C1561:C1644)=0,"",SUM((COUNTIF(C$4:C1561,Upgrades!$B$3:$B$13)-COUNTIF(C$4:C1561,"Sell_"&amp;Upgrades!$B$3:$B$13))*Upgrades!$D$3:$D$13))</f>
        <v/>
      </c>
      <c r="F1561" s="66" t="str">
        <f>IFERROR(__xludf.DUMMYFUNCTION("IF(COUNTA(C1561:C1644)=0,"""",IF(REGEXMATCH(INDEX(FILTER(C$4:C1561,C$4:C1561&lt;&gt;""""),ROWS(FILTER(C$4:C1561,C$4:C1561&lt;&gt;""""))),""^Sell_""),INDEX(FILTER(F$4:F1560,C$4:C1560&lt;&gt;""""),ROWS(FILTER(C$4:C1560,C$4:C1560&lt;&gt;""""))),$AC$5+E1561))"),"")</f>
        <v/>
      </c>
      <c r="G1561" s="10" t="str">
        <f>IFERROR(__xludf.DUMMYFUNCTION("IF(COUNTA(C1561:C1644)=0,"""",IF(C1561="""",0,IF(REGEXMATCH(C1561,""^Sell_""),-ROUNDDOWN(ROUNDUP(INDEX(Upgrades!$C$3:$C$13,MATCH(SUBSTITUTE(C1561,""Sell_"",""""),Upgrades!$B$3:$B$13,0))*1.15^(COUNTIF(C$4:C1560,SUBSTITUTE(C1561,""Sell_"",""""))-COUNTIF(C$4"&amp;":C1560,""Sell_""&amp;SUBSTITUTE(C1561,""Sell_"",""""))))/2),ROUNDUP(INDEX(Upgrades!$C$3:$C$13,MATCH(C1561,Upgrades!$B$3:$B$13,0))*1.15^(COUNTIF(C$4:C1560,C1561)-COUNTIF(C$4:C1560,""Sell_""&amp;C1561))))))"),"")</f>
        <v/>
      </c>
      <c r="H1561" s="10" t="str">
        <f t="shared" si="3"/>
        <v/>
      </c>
      <c r="I1561" s="68" t="str">
        <f t="shared" si="4"/>
        <v/>
      </c>
      <c r="J1561" s="59" t="str">
        <f t="shared" si="5"/>
        <v/>
      </c>
      <c r="K1561" s="69" t="str">
        <f t="shared" si="6"/>
        <v/>
      </c>
      <c r="L1561" s="60" t="str">
        <f t="shared" si="7"/>
        <v/>
      </c>
      <c r="M1561" s="61" t="str">
        <f>IFERROR(__xludf.DUMMYFUNCTION("IFS(AND(COUNTA(C1561:C1644)=0,COUNTA(Q1561:Q1644)=0),"""",OR(AND(K1561&gt;=1000000000,OR(Y1561&gt;=1000000000,COUNTA(Q1561:Q1644)=0)),OR(Y1561&gt;=1000000000,AND(COUNTA(C1561:C1644)=0,P$3=TRUE))),
ROUNDDOWN((AB$1-AC$1)*MAX(INDEX(T$4:T1644,MATCH(LARGE(FILTER(Y$4:Y1"&amp;"644,Y$4:Y1644&lt;1000000000),1),Y$4:Y1644)),INDEX(F$4:F1644,MATCH(LARGE(FILTER(K$4:K1644,K$4:K1644&lt;1000000000),1),K$4:K1644)))),AND(K1561&lt;1000000000,COUNTA(C1561:C1644)&gt;0,P$3=FALSE),
ROUNDDOWN(INDEX(Y$4:Y1644,MATCH(LARGE(FILTER(W$4:W1644,W$4:W1644&lt;=I1561),1)"&amp;",W$4:W1644))+(I1561-LARGE(FILTER(W$4:W1644,W$4:W1644&lt;=I1561),1))*INDEX(T$4:T1644,MATCH(LARGE(FILTER(W$4:W1644,W$4:W1644&lt;=I1561),1),W$4:W1644))-K1561),1,
ROUNDDOWN(Y1561-INDEX(K$4:K1644,MATCH(LARGE(FILTER(I$4:I1644,I$4:I1644&lt;=W1561),1),I$4:I1644))-(W1561-L"&amp;"ARGE(FILTER(I$4:I1644,I$4:I1644&lt;=W1561),1))*INDEX(F$4:F1644,MATCH(LARGE(FILTER(I$4:I1644,I$4:I1644&lt;=W1561),1),I$4:I1644))))"),"")</f>
        <v/>
      </c>
      <c r="N1561" s="60" t="str">
        <f t="shared" si="8"/>
        <v/>
      </c>
      <c r="O1561" s="61" t="str">
        <f t="shared" si="9"/>
        <v/>
      </c>
      <c r="P1561" s="56" t="str">
        <f t="shared" si="10"/>
        <v/>
      </c>
      <c r="Q1561" s="105"/>
      <c r="R1561" s="10"/>
      <c r="S1561" s="59" t="str">
        <f t="array" ref="S1561">IF(COUNTA(Q1561:Q1644)=0,"",SUM((COUNTIF(Q$4:Q1561,Upgrades!$B$3:$B$13)-COUNTIF(Q$4:Q1561,"Sell_"&amp;Upgrades!$B$3:$B$13))*Upgrades!$D$3:$D$13))</f>
        <v/>
      </c>
      <c r="T1561" s="66" t="str">
        <f>IFERROR(__xludf.DUMMYFUNCTION("IF(COUNTA(Q1561:Q1644)=0,"""",IF(REGEXMATCH(INDEX(FILTER(Q$4:Q1561,Q$4:Q1561&lt;&gt;""""),ROWS(FILTER(Q$4:Q1561,Q$4:Q1561&lt;&gt;""""))),""^Sell_""),INDEX(FILTER(T$4:T1560,Q$4:Q1560&lt;&gt;""""),ROWS(FILTER(Q$4:Q1560,Q$4:Q1560&lt;&gt;""""))),$AD$5+S1561))"),"")</f>
        <v/>
      </c>
      <c r="U1561" s="10" t="str">
        <f>IFERROR(__xludf.DUMMYFUNCTION("IF(COUNTA(Q1561:Q1644)=0,"""",IF(Q1561="""",0,IF(REGEXMATCH(Q1561,""^Sell_""),-ROUNDDOWN(ROUNDUP(INDEX(Upgrades!$C$3:$C$13,MATCH(SUBSTITUTE(Q1561,""Sell_"",""""),Upgrades!$B$3:$B$13,0))*1.15^(COUNTIF(Q$4:Q1560,SUBSTITUTE(Q1561,""Sell_"",""""))-COUNTIF(Q$4"&amp;":Q1560,""Sell_""&amp;SUBSTITUTE(Q1561,""Sell_"",""""))))/2),ROUNDUP(INDEX(Upgrades!$C$3:$C$13,MATCH(Q1561,Upgrades!$B$3:$B$13,0))*1.15^(COUNTIF(Q$4:Q1560,Q1561)-COUNTIF(Q$4:Q1560,""Sell_""&amp;Q1561))))))"),"")</f>
        <v/>
      </c>
      <c r="V1561" s="10" t="str">
        <f t="shared" si="11"/>
        <v/>
      </c>
      <c r="W1561" s="68" t="str">
        <f t="shared" si="12"/>
        <v/>
      </c>
      <c r="X1561" s="59" t="str">
        <f t="shared" si="13"/>
        <v/>
      </c>
      <c r="Y1561" s="69" t="str">
        <f t="shared" si="14"/>
        <v/>
      </c>
      <c r="Z1561" s="11"/>
      <c r="AG1561" s="59"/>
    </row>
    <row r="1562">
      <c r="A1562" s="8"/>
      <c r="B1562" s="56" t="str">
        <f t="shared" si="2"/>
        <v/>
      </c>
      <c r="C1562" s="105"/>
      <c r="D1562" s="10"/>
      <c r="E1562" s="59" t="str">
        <f t="array" ref="E1562">IF(COUNTA(C1562:C1644)=0,"",SUM((COUNTIF(C$4:C1562,Upgrades!$B$3:$B$13)-COUNTIF(C$4:C1562,"Sell_"&amp;Upgrades!$B$3:$B$13))*Upgrades!$D$3:$D$13))</f>
        <v/>
      </c>
      <c r="F1562" s="66" t="str">
        <f>IFERROR(__xludf.DUMMYFUNCTION("IF(COUNTA(C1562:C1644)=0,"""",IF(REGEXMATCH(INDEX(FILTER(C$4:C1562,C$4:C1562&lt;&gt;""""),ROWS(FILTER(C$4:C1562,C$4:C1562&lt;&gt;""""))),""^Sell_""),INDEX(FILTER(F$4:F1561,C$4:C1561&lt;&gt;""""),ROWS(FILTER(C$4:C1561,C$4:C1561&lt;&gt;""""))),$AC$5+E1562))"),"")</f>
        <v/>
      </c>
      <c r="G1562" s="10" t="str">
        <f>IFERROR(__xludf.DUMMYFUNCTION("IF(COUNTA(C1562:C1644)=0,"""",IF(C1562="""",0,IF(REGEXMATCH(C1562,""^Sell_""),-ROUNDDOWN(ROUNDUP(INDEX(Upgrades!$C$3:$C$13,MATCH(SUBSTITUTE(C1562,""Sell_"",""""),Upgrades!$B$3:$B$13,0))*1.15^(COUNTIF(C$4:C1561,SUBSTITUTE(C1562,""Sell_"",""""))-COUNTIF(C$4"&amp;":C1561,""Sell_""&amp;SUBSTITUTE(C1562,""Sell_"",""""))))/2),ROUNDUP(INDEX(Upgrades!$C$3:$C$13,MATCH(C1562,Upgrades!$B$3:$B$13,0))*1.15^(COUNTIF(C$4:C1561,C1562)-COUNTIF(C$4:C1561,""Sell_""&amp;C1562))))))"),"")</f>
        <v/>
      </c>
      <c r="H1562" s="10" t="str">
        <f t="shared" si="3"/>
        <v/>
      </c>
      <c r="I1562" s="68" t="str">
        <f t="shared" si="4"/>
        <v/>
      </c>
      <c r="J1562" s="59" t="str">
        <f t="shared" si="5"/>
        <v/>
      </c>
      <c r="K1562" s="69" t="str">
        <f t="shared" si="6"/>
        <v/>
      </c>
      <c r="L1562" s="60" t="str">
        <f t="shared" si="7"/>
        <v/>
      </c>
      <c r="M1562" s="61" t="str">
        <f>IFERROR(__xludf.DUMMYFUNCTION("IFS(AND(COUNTA(C1562:C1644)=0,COUNTA(Q1562:Q1644)=0),"""",OR(AND(K1562&gt;=1000000000,OR(Y1562&gt;=1000000000,COUNTA(Q1562:Q1644)=0)),OR(Y1562&gt;=1000000000,AND(COUNTA(C1562:C1644)=0,P$3=TRUE))),
ROUNDDOWN((AB$1-AC$1)*MAX(INDEX(T$4:T1644,MATCH(LARGE(FILTER(Y$4:Y1"&amp;"644,Y$4:Y1644&lt;1000000000),1),Y$4:Y1644)),INDEX(F$4:F1644,MATCH(LARGE(FILTER(K$4:K1644,K$4:K1644&lt;1000000000),1),K$4:K1644)))),AND(K1562&lt;1000000000,COUNTA(C1562:C1644)&gt;0,P$3=FALSE),
ROUNDDOWN(INDEX(Y$4:Y1644,MATCH(LARGE(FILTER(W$4:W1644,W$4:W1644&lt;=I1562),1)"&amp;",W$4:W1644))+(I1562-LARGE(FILTER(W$4:W1644,W$4:W1644&lt;=I1562),1))*INDEX(T$4:T1644,MATCH(LARGE(FILTER(W$4:W1644,W$4:W1644&lt;=I1562),1),W$4:W1644))-K1562),1,
ROUNDDOWN(Y1562-INDEX(K$4:K1644,MATCH(LARGE(FILTER(I$4:I1644,I$4:I1644&lt;=W1562),1),I$4:I1644))-(W1562-L"&amp;"ARGE(FILTER(I$4:I1644,I$4:I1644&lt;=W1562),1))*INDEX(F$4:F1644,MATCH(LARGE(FILTER(I$4:I1644,I$4:I1644&lt;=W1562),1),I$4:I1644))))"),"")</f>
        <v/>
      </c>
      <c r="N1562" s="60" t="str">
        <f t="shared" si="8"/>
        <v/>
      </c>
      <c r="O1562" s="61" t="str">
        <f t="shared" si="9"/>
        <v/>
      </c>
      <c r="P1562" s="56" t="str">
        <f t="shared" si="10"/>
        <v/>
      </c>
      <c r="Q1562" s="105"/>
      <c r="R1562" s="10"/>
      <c r="S1562" s="59" t="str">
        <f t="array" ref="S1562">IF(COUNTA(Q1562:Q1644)=0,"",SUM((COUNTIF(Q$4:Q1562,Upgrades!$B$3:$B$13)-COUNTIF(Q$4:Q1562,"Sell_"&amp;Upgrades!$B$3:$B$13))*Upgrades!$D$3:$D$13))</f>
        <v/>
      </c>
      <c r="T1562" s="66" t="str">
        <f>IFERROR(__xludf.DUMMYFUNCTION("IF(COUNTA(Q1562:Q1644)=0,"""",IF(REGEXMATCH(INDEX(FILTER(Q$4:Q1562,Q$4:Q1562&lt;&gt;""""),ROWS(FILTER(Q$4:Q1562,Q$4:Q1562&lt;&gt;""""))),""^Sell_""),INDEX(FILTER(T$4:T1561,Q$4:Q1561&lt;&gt;""""),ROWS(FILTER(Q$4:Q1561,Q$4:Q1561&lt;&gt;""""))),$AD$5+S1562))"),"")</f>
        <v/>
      </c>
      <c r="U1562" s="10" t="str">
        <f>IFERROR(__xludf.DUMMYFUNCTION("IF(COUNTA(Q1562:Q1644)=0,"""",IF(Q1562="""",0,IF(REGEXMATCH(Q1562,""^Sell_""),-ROUNDDOWN(ROUNDUP(INDEX(Upgrades!$C$3:$C$13,MATCH(SUBSTITUTE(Q1562,""Sell_"",""""),Upgrades!$B$3:$B$13,0))*1.15^(COUNTIF(Q$4:Q1561,SUBSTITUTE(Q1562,""Sell_"",""""))-COUNTIF(Q$4"&amp;":Q1561,""Sell_""&amp;SUBSTITUTE(Q1562,""Sell_"",""""))))/2),ROUNDUP(INDEX(Upgrades!$C$3:$C$13,MATCH(Q1562,Upgrades!$B$3:$B$13,0))*1.15^(COUNTIF(Q$4:Q1561,Q1562)-COUNTIF(Q$4:Q1561,""Sell_""&amp;Q1562))))))"),"")</f>
        <v/>
      </c>
      <c r="V1562" s="10" t="str">
        <f t="shared" si="11"/>
        <v/>
      </c>
      <c r="W1562" s="68" t="str">
        <f t="shared" si="12"/>
        <v/>
      </c>
      <c r="X1562" s="59" t="str">
        <f t="shared" si="13"/>
        <v/>
      </c>
      <c r="Y1562" s="69" t="str">
        <f t="shared" si="14"/>
        <v/>
      </c>
      <c r="Z1562" s="11"/>
      <c r="AG1562" s="59"/>
    </row>
    <row r="1563">
      <c r="A1563" s="8"/>
      <c r="B1563" s="56" t="str">
        <f t="shared" si="2"/>
        <v/>
      </c>
      <c r="C1563" s="105"/>
      <c r="D1563" s="10"/>
      <c r="E1563" s="59" t="str">
        <f t="array" ref="E1563">IF(COUNTA(C1563:C1644)=0,"",SUM((COUNTIF(C$4:C1563,Upgrades!$B$3:$B$13)-COUNTIF(C$4:C1563,"Sell_"&amp;Upgrades!$B$3:$B$13))*Upgrades!$D$3:$D$13))</f>
        <v/>
      </c>
      <c r="F1563" s="66" t="str">
        <f>IFERROR(__xludf.DUMMYFUNCTION("IF(COUNTA(C1563:C1644)=0,"""",IF(REGEXMATCH(INDEX(FILTER(C$4:C1563,C$4:C1563&lt;&gt;""""),ROWS(FILTER(C$4:C1563,C$4:C1563&lt;&gt;""""))),""^Sell_""),INDEX(FILTER(F$4:F1562,C$4:C1562&lt;&gt;""""),ROWS(FILTER(C$4:C1562,C$4:C1562&lt;&gt;""""))),$AC$5+E1563))"),"")</f>
        <v/>
      </c>
      <c r="G1563" s="10" t="str">
        <f>IFERROR(__xludf.DUMMYFUNCTION("IF(COUNTA(C1563:C1644)=0,"""",IF(C1563="""",0,IF(REGEXMATCH(C1563,""^Sell_""),-ROUNDDOWN(ROUNDUP(INDEX(Upgrades!$C$3:$C$13,MATCH(SUBSTITUTE(C1563,""Sell_"",""""),Upgrades!$B$3:$B$13,0))*1.15^(COUNTIF(C$4:C1562,SUBSTITUTE(C1563,""Sell_"",""""))-COUNTIF(C$4"&amp;":C1562,""Sell_""&amp;SUBSTITUTE(C1563,""Sell_"",""""))))/2),ROUNDUP(INDEX(Upgrades!$C$3:$C$13,MATCH(C1563,Upgrades!$B$3:$B$13,0))*1.15^(COUNTIF(C$4:C1562,C1563)-COUNTIF(C$4:C1562,""Sell_""&amp;C1563))))))"),"")</f>
        <v/>
      </c>
      <c r="H1563" s="10" t="str">
        <f t="shared" si="3"/>
        <v/>
      </c>
      <c r="I1563" s="68" t="str">
        <f t="shared" si="4"/>
        <v/>
      </c>
      <c r="J1563" s="59" t="str">
        <f t="shared" si="5"/>
        <v/>
      </c>
      <c r="K1563" s="69" t="str">
        <f t="shared" si="6"/>
        <v/>
      </c>
      <c r="L1563" s="60" t="str">
        <f t="shared" si="7"/>
        <v/>
      </c>
      <c r="M1563" s="61" t="str">
        <f>IFERROR(__xludf.DUMMYFUNCTION("IFS(AND(COUNTA(C1563:C1644)=0,COUNTA(Q1563:Q1644)=0),"""",OR(AND(K1563&gt;=1000000000,OR(Y1563&gt;=1000000000,COUNTA(Q1563:Q1644)=0)),OR(Y1563&gt;=1000000000,AND(COUNTA(C1563:C1644)=0,P$3=TRUE))),
ROUNDDOWN((AB$1-AC$1)*MAX(INDEX(T$4:T1644,MATCH(LARGE(FILTER(Y$4:Y1"&amp;"644,Y$4:Y1644&lt;1000000000),1),Y$4:Y1644)),INDEX(F$4:F1644,MATCH(LARGE(FILTER(K$4:K1644,K$4:K1644&lt;1000000000),1),K$4:K1644)))),AND(K1563&lt;1000000000,COUNTA(C1563:C1644)&gt;0,P$3=FALSE),
ROUNDDOWN(INDEX(Y$4:Y1644,MATCH(LARGE(FILTER(W$4:W1644,W$4:W1644&lt;=I1563),1)"&amp;",W$4:W1644))+(I1563-LARGE(FILTER(W$4:W1644,W$4:W1644&lt;=I1563),1))*INDEX(T$4:T1644,MATCH(LARGE(FILTER(W$4:W1644,W$4:W1644&lt;=I1563),1),W$4:W1644))-K1563),1,
ROUNDDOWN(Y1563-INDEX(K$4:K1644,MATCH(LARGE(FILTER(I$4:I1644,I$4:I1644&lt;=W1563),1),I$4:I1644))-(W1563-L"&amp;"ARGE(FILTER(I$4:I1644,I$4:I1644&lt;=W1563),1))*INDEX(F$4:F1644,MATCH(LARGE(FILTER(I$4:I1644,I$4:I1644&lt;=W1563),1),I$4:I1644))))"),"")</f>
        <v/>
      </c>
      <c r="N1563" s="60" t="str">
        <f t="shared" si="8"/>
        <v/>
      </c>
      <c r="O1563" s="61" t="str">
        <f t="shared" si="9"/>
        <v/>
      </c>
      <c r="P1563" s="56" t="str">
        <f t="shared" si="10"/>
        <v/>
      </c>
      <c r="Q1563" s="105"/>
      <c r="R1563" s="10"/>
      <c r="S1563" s="59" t="str">
        <f t="array" ref="S1563">IF(COUNTA(Q1563:Q1644)=0,"",SUM((COUNTIF(Q$4:Q1563,Upgrades!$B$3:$B$13)-COUNTIF(Q$4:Q1563,"Sell_"&amp;Upgrades!$B$3:$B$13))*Upgrades!$D$3:$D$13))</f>
        <v/>
      </c>
      <c r="T1563" s="66" t="str">
        <f>IFERROR(__xludf.DUMMYFUNCTION("IF(COUNTA(Q1563:Q1644)=0,"""",IF(REGEXMATCH(INDEX(FILTER(Q$4:Q1563,Q$4:Q1563&lt;&gt;""""),ROWS(FILTER(Q$4:Q1563,Q$4:Q1563&lt;&gt;""""))),""^Sell_""),INDEX(FILTER(T$4:T1562,Q$4:Q1562&lt;&gt;""""),ROWS(FILTER(Q$4:Q1562,Q$4:Q1562&lt;&gt;""""))),$AD$5+S1563))"),"")</f>
        <v/>
      </c>
      <c r="U1563" s="10" t="str">
        <f>IFERROR(__xludf.DUMMYFUNCTION("IF(COUNTA(Q1563:Q1644)=0,"""",IF(Q1563="""",0,IF(REGEXMATCH(Q1563,""^Sell_""),-ROUNDDOWN(ROUNDUP(INDEX(Upgrades!$C$3:$C$13,MATCH(SUBSTITUTE(Q1563,""Sell_"",""""),Upgrades!$B$3:$B$13,0))*1.15^(COUNTIF(Q$4:Q1562,SUBSTITUTE(Q1563,""Sell_"",""""))-COUNTIF(Q$4"&amp;":Q1562,""Sell_""&amp;SUBSTITUTE(Q1563,""Sell_"",""""))))/2),ROUNDUP(INDEX(Upgrades!$C$3:$C$13,MATCH(Q1563,Upgrades!$B$3:$B$13,0))*1.15^(COUNTIF(Q$4:Q1562,Q1563)-COUNTIF(Q$4:Q1562,""Sell_""&amp;Q1563))))))"),"")</f>
        <v/>
      </c>
      <c r="V1563" s="10" t="str">
        <f t="shared" si="11"/>
        <v/>
      </c>
      <c r="W1563" s="68" t="str">
        <f t="shared" si="12"/>
        <v/>
      </c>
      <c r="X1563" s="59" t="str">
        <f t="shared" si="13"/>
        <v/>
      </c>
      <c r="Y1563" s="69" t="str">
        <f t="shared" si="14"/>
        <v/>
      </c>
      <c r="Z1563" s="11"/>
      <c r="AG1563" s="59"/>
    </row>
    <row r="1564">
      <c r="A1564" s="8"/>
      <c r="B1564" s="56" t="str">
        <f t="shared" si="2"/>
        <v/>
      </c>
      <c r="C1564" s="105"/>
      <c r="D1564" s="10"/>
      <c r="E1564" s="59" t="str">
        <f t="array" ref="E1564">IF(COUNTA(C1564:C1644)=0,"",SUM((COUNTIF(C$4:C1564,Upgrades!$B$3:$B$13)-COUNTIF(C$4:C1564,"Sell_"&amp;Upgrades!$B$3:$B$13))*Upgrades!$D$3:$D$13))</f>
        <v/>
      </c>
      <c r="F1564" s="66" t="str">
        <f>IFERROR(__xludf.DUMMYFUNCTION("IF(COUNTA(C1564:C1644)=0,"""",IF(REGEXMATCH(INDEX(FILTER(C$4:C1564,C$4:C1564&lt;&gt;""""),ROWS(FILTER(C$4:C1564,C$4:C1564&lt;&gt;""""))),""^Sell_""),INDEX(FILTER(F$4:F1563,C$4:C1563&lt;&gt;""""),ROWS(FILTER(C$4:C1563,C$4:C1563&lt;&gt;""""))),$AC$5+E1564))"),"")</f>
        <v/>
      </c>
      <c r="G1564" s="10" t="str">
        <f>IFERROR(__xludf.DUMMYFUNCTION("IF(COUNTA(C1564:C1644)=0,"""",IF(C1564="""",0,IF(REGEXMATCH(C1564,""^Sell_""),-ROUNDDOWN(ROUNDUP(INDEX(Upgrades!$C$3:$C$13,MATCH(SUBSTITUTE(C1564,""Sell_"",""""),Upgrades!$B$3:$B$13,0))*1.15^(COUNTIF(C$4:C1563,SUBSTITUTE(C1564,""Sell_"",""""))-COUNTIF(C$4"&amp;":C1563,""Sell_""&amp;SUBSTITUTE(C1564,""Sell_"",""""))))/2),ROUNDUP(INDEX(Upgrades!$C$3:$C$13,MATCH(C1564,Upgrades!$B$3:$B$13,0))*1.15^(COUNTIF(C$4:C1563,C1564)-COUNTIF(C$4:C1563,""Sell_""&amp;C1564))))))"),"")</f>
        <v/>
      </c>
      <c r="H1564" s="10" t="str">
        <f t="shared" si="3"/>
        <v/>
      </c>
      <c r="I1564" s="68" t="str">
        <f t="shared" si="4"/>
        <v/>
      </c>
      <c r="J1564" s="59" t="str">
        <f t="shared" si="5"/>
        <v/>
      </c>
      <c r="K1564" s="69" t="str">
        <f t="shared" si="6"/>
        <v/>
      </c>
      <c r="L1564" s="60" t="str">
        <f t="shared" si="7"/>
        <v/>
      </c>
      <c r="M1564" s="61" t="str">
        <f>IFERROR(__xludf.DUMMYFUNCTION("IFS(AND(COUNTA(C1564:C1644)=0,COUNTA(Q1564:Q1644)=0),"""",OR(AND(K1564&gt;=1000000000,OR(Y1564&gt;=1000000000,COUNTA(Q1564:Q1644)=0)),OR(Y1564&gt;=1000000000,AND(COUNTA(C1564:C1644)=0,P$3=TRUE))),
ROUNDDOWN((AB$1-AC$1)*MAX(INDEX(T$4:T1644,MATCH(LARGE(FILTER(Y$4:Y1"&amp;"644,Y$4:Y1644&lt;1000000000),1),Y$4:Y1644)),INDEX(F$4:F1644,MATCH(LARGE(FILTER(K$4:K1644,K$4:K1644&lt;1000000000),1),K$4:K1644)))),AND(K1564&lt;1000000000,COUNTA(C1564:C1644)&gt;0,P$3=FALSE),
ROUNDDOWN(INDEX(Y$4:Y1644,MATCH(LARGE(FILTER(W$4:W1644,W$4:W1644&lt;=I1564),1)"&amp;",W$4:W1644))+(I1564-LARGE(FILTER(W$4:W1644,W$4:W1644&lt;=I1564),1))*INDEX(T$4:T1644,MATCH(LARGE(FILTER(W$4:W1644,W$4:W1644&lt;=I1564),1),W$4:W1644))-K1564),1,
ROUNDDOWN(Y1564-INDEX(K$4:K1644,MATCH(LARGE(FILTER(I$4:I1644,I$4:I1644&lt;=W1564),1),I$4:I1644))-(W1564-L"&amp;"ARGE(FILTER(I$4:I1644,I$4:I1644&lt;=W1564),1))*INDEX(F$4:F1644,MATCH(LARGE(FILTER(I$4:I1644,I$4:I1644&lt;=W1564),1),I$4:I1644))))"),"")</f>
        <v/>
      </c>
      <c r="N1564" s="60" t="str">
        <f t="shared" si="8"/>
        <v/>
      </c>
      <c r="O1564" s="61" t="str">
        <f t="shared" si="9"/>
        <v/>
      </c>
      <c r="P1564" s="56" t="str">
        <f t="shared" si="10"/>
        <v/>
      </c>
      <c r="Q1564" s="105"/>
      <c r="R1564" s="10"/>
      <c r="S1564" s="59" t="str">
        <f t="array" ref="S1564">IF(COUNTA(Q1564:Q1644)=0,"",SUM((COUNTIF(Q$4:Q1564,Upgrades!$B$3:$B$13)-COUNTIF(Q$4:Q1564,"Sell_"&amp;Upgrades!$B$3:$B$13))*Upgrades!$D$3:$D$13))</f>
        <v/>
      </c>
      <c r="T1564" s="66" t="str">
        <f>IFERROR(__xludf.DUMMYFUNCTION("IF(COUNTA(Q1564:Q1644)=0,"""",IF(REGEXMATCH(INDEX(FILTER(Q$4:Q1564,Q$4:Q1564&lt;&gt;""""),ROWS(FILTER(Q$4:Q1564,Q$4:Q1564&lt;&gt;""""))),""^Sell_""),INDEX(FILTER(T$4:T1563,Q$4:Q1563&lt;&gt;""""),ROWS(FILTER(Q$4:Q1563,Q$4:Q1563&lt;&gt;""""))),$AD$5+S1564))"),"")</f>
        <v/>
      </c>
      <c r="U1564" s="10" t="str">
        <f>IFERROR(__xludf.DUMMYFUNCTION("IF(COUNTA(Q1564:Q1644)=0,"""",IF(Q1564="""",0,IF(REGEXMATCH(Q1564,""^Sell_""),-ROUNDDOWN(ROUNDUP(INDEX(Upgrades!$C$3:$C$13,MATCH(SUBSTITUTE(Q1564,""Sell_"",""""),Upgrades!$B$3:$B$13,0))*1.15^(COUNTIF(Q$4:Q1563,SUBSTITUTE(Q1564,""Sell_"",""""))-COUNTIF(Q$4"&amp;":Q1563,""Sell_""&amp;SUBSTITUTE(Q1564,""Sell_"",""""))))/2),ROUNDUP(INDEX(Upgrades!$C$3:$C$13,MATCH(Q1564,Upgrades!$B$3:$B$13,0))*1.15^(COUNTIF(Q$4:Q1563,Q1564)-COUNTIF(Q$4:Q1563,""Sell_""&amp;Q1564))))))"),"")</f>
        <v/>
      </c>
      <c r="V1564" s="10" t="str">
        <f t="shared" si="11"/>
        <v/>
      </c>
      <c r="W1564" s="68" t="str">
        <f t="shared" si="12"/>
        <v/>
      </c>
      <c r="X1564" s="59" t="str">
        <f t="shared" si="13"/>
        <v/>
      </c>
      <c r="Y1564" s="69" t="str">
        <f t="shared" si="14"/>
        <v/>
      </c>
      <c r="Z1564" s="11"/>
      <c r="AG1564" s="59"/>
    </row>
    <row r="1565">
      <c r="A1565" s="8"/>
      <c r="B1565" s="56" t="str">
        <f t="shared" si="2"/>
        <v/>
      </c>
      <c r="C1565" s="105"/>
      <c r="D1565" s="10"/>
      <c r="E1565" s="59" t="str">
        <f t="array" ref="E1565">IF(COUNTA(C1565:C1644)=0,"",SUM((COUNTIF(C$4:C1565,Upgrades!$B$3:$B$13)-COUNTIF(C$4:C1565,"Sell_"&amp;Upgrades!$B$3:$B$13))*Upgrades!$D$3:$D$13))</f>
        <v/>
      </c>
      <c r="F1565" s="66" t="str">
        <f>IFERROR(__xludf.DUMMYFUNCTION("IF(COUNTA(C1565:C1644)=0,"""",IF(REGEXMATCH(INDEX(FILTER(C$4:C1565,C$4:C1565&lt;&gt;""""),ROWS(FILTER(C$4:C1565,C$4:C1565&lt;&gt;""""))),""^Sell_""),INDEX(FILTER(F$4:F1564,C$4:C1564&lt;&gt;""""),ROWS(FILTER(C$4:C1564,C$4:C1564&lt;&gt;""""))),$AC$5+E1565))"),"")</f>
        <v/>
      </c>
      <c r="G1565" s="10" t="str">
        <f>IFERROR(__xludf.DUMMYFUNCTION("IF(COUNTA(C1565:C1644)=0,"""",IF(C1565="""",0,IF(REGEXMATCH(C1565,""^Sell_""),-ROUNDDOWN(ROUNDUP(INDEX(Upgrades!$C$3:$C$13,MATCH(SUBSTITUTE(C1565,""Sell_"",""""),Upgrades!$B$3:$B$13,0))*1.15^(COUNTIF(C$4:C1564,SUBSTITUTE(C1565,""Sell_"",""""))-COUNTIF(C$4"&amp;":C1564,""Sell_""&amp;SUBSTITUTE(C1565,""Sell_"",""""))))/2),ROUNDUP(INDEX(Upgrades!$C$3:$C$13,MATCH(C1565,Upgrades!$B$3:$B$13,0))*1.15^(COUNTIF(C$4:C1564,C1565)-COUNTIF(C$4:C1564,""Sell_""&amp;C1565))))))"),"")</f>
        <v/>
      </c>
      <c r="H1565" s="10" t="str">
        <f t="shared" si="3"/>
        <v/>
      </c>
      <c r="I1565" s="68" t="str">
        <f t="shared" si="4"/>
        <v/>
      </c>
      <c r="J1565" s="59" t="str">
        <f t="shared" si="5"/>
        <v/>
      </c>
      <c r="K1565" s="69" t="str">
        <f t="shared" si="6"/>
        <v/>
      </c>
      <c r="L1565" s="60" t="str">
        <f t="shared" si="7"/>
        <v/>
      </c>
      <c r="M1565" s="61" t="str">
        <f>IFERROR(__xludf.DUMMYFUNCTION("IFS(AND(COUNTA(C1565:C1644)=0,COUNTA(Q1565:Q1644)=0),"""",OR(AND(K1565&gt;=1000000000,OR(Y1565&gt;=1000000000,COUNTA(Q1565:Q1644)=0)),OR(Y1565&gt;=1000000000,AND(COUNTA(C1565:C1644)=0,P$3=TRUE))),
ROUNDDOWN((AB$1-AC$1)*MAX(INDEX(T$4:T1644,MATCH(LARGE(FILTER(Y$4:Y1"&amp;"644,Y$4:Y1644&lt;1000000000),1),Y$4:Y1644)),INDEX(F$4:F1644,MATCH(LARGE(FILTER(K$4:K1644,K$4:K1644&lt;1000000000),1),K$4:K1644)))),AND(K1565&lt;1000000000,COUNTA(C1565:C1644)&gt;0,P$3=FALSE),
ROUNDDOWN(INDEX(Y$4:Y1644,MATCH(LARGE(FILTER(W$4:W1644,W$4:W1644&lt;=I1565),1)"&amp;",W$4:W1644))+(I1565-LARGE(FILTER(W$4:W1644,W$4:W1644&lt;=I1565),1))*INDEX(T$4:T1644,MATCH(LARGE(FILTER(W$4:W1644,W$4:W1644&lt;=I1565),1),W$4:W1644))-K1565),1,
ROUNDDOWN(Y1565-INDEX(K$4:K1644,MATCH(LARGE(FILTER(I$4:I1644,I$4:I1644&lt;=W1565),1),I$4:I1644))-(W1565-L"&amp;"ARGE(FILTER(I$4:I1644,I$4:I1644&lt;=W1565),1))*INDEX(F$4:F1644,MATCH(LARGE(FILTER(I$4:I1644,I$4:I1644&lt;=W1565),1),I$4:I1644))))"),"")</f>
        <v/>
      </c>
      <c r="N1565" s="60" t="str">
        <f t="shared" si="8"/>
        <v/>
      </c>
      <c r="O1565" s="61" t="str">
        <f t="shared" si="9"/>
        <v/>
      </c>
      <c r="P1565" s="56" t="str">
        <f t="shared" si="10"/>
        <v/>
      </c>
      <c r="Q1565" s="105"/>
      <c r="R1565" s="10"/>
      <c r="S1565" s="59" t="str">
        <f t="array" ref="S1565">IF(COUNTA(Q1565:Q1644)=0,"",SUM((COUNTIF(Q$4:Q1565,Upgrades!$B$3:$B$13)-COUNTIF(Q$4:Q1565,"Sell_"&amp;Upgrades!$B$3:$B$13))*Upgrades!$D$3:$D$13))</f>
        <v/>
      </c>
      <c r="T1565" s="66" t="str">
        <f>IFERROR(__xludf.DUMMYFUNCTION("IF(COUNTA(Q1565:Q1644)=0,"""",IF(REGEXMATCH(INDEX(FILTER(Q$4:Q1565,Q$4:Q1565&lt;&gt;""""),ROWS(FILTER(Q$4:Q1565,Q$4:Q1565&lt;&gt;""""))),""^Sell_""),INDEX(FILTER(T$4:T1564,Q$4:Q1564&lt;&gt;""""),ROWS(FILTER(Q$4:Q1564,Q$4:Q1564&lt;&gt;""""))),$AD$5+S1565))"),"")</f>
        <v/>
      </c>
      <c r="U1565" s="10" t="str">
        <f>IFERROR(__xludf.DUMMYFUNCTION("IF(COUNTA(Q1565:Q1644)=0,"""",IF(Q1565="""",0,IF(REGEXMATCH(Q1565,""^Sell_""),-ROUNDDOWN(ROUNDUP(INDEX(Upgrades!$C$3:$C$13,MATCH(SUBSTITUTE(Q1565,""Sell_"",""""),Upgrades!$B$3:$B$13,0))*1.15^(COUNTIF(Q$4:Q1564,SUBSTITUTE(Q1565,""Sell_"",""""))-COUNTIF(Q$4"&amp;":Q1564,""Sell_""&amp;SUBSTITUTE(Q1565,""Sell_"",""""))))/2),ROUNDUP(INDEX(Upgrades!$C$3:$C$13,MATCH(Q1565,Upgrades!$B$3:$B$13,0))*1.15^(COUNTIF(Q$4:Q1564,Q1565)-COUNTIF(Q$4:Q1564,""Sell_""&amp;Q1565))))))"),"")</f>
        <v/>
      </c>
      <c r="V1565" s="10" t="str">
        <f t="shared" si="11"/>
        <v/>
      </c>
      <c r="W1565" s="68" t="str">
        <f t="shared" si="12"/>
        <v/>
      </c>
      <c r="X1565" s="59" t="str">
        <f t="shared" si="13"/>
        <v/>
      </c>
      <c r="Y1565" s="69" t="str">
        <f t="shared" si="14"/>
        <v/>
      </c>
      <c r="Z1565" s="11"/>
      <c r="AG1565" s="59"/>
    </row>
    <row r="1566">
      <c r="A1566" s="8"/>
      <c r="B1566" s="56" t="str">
        <f t="shared" si="2"/>
        <v/>
      </c>
      <c r="C1566" s="105"/>
      <c r="D1566" s="10"/>
      <c r="E1566" s="59" t="str">
        <f t="array" ref="E1566">IF(COUNTA(C1566:C1644)=0,"",SUM((COUNTIF(C$4:C1566,Upgrades!$B$3:$B$13)-COUNTIF(C$4:C1566,"Sell_"&amp;Upgrades!$B$3:$B$13))*Upgrades!$D$3:$D$13))</f>
        <v/>
      </c>
      <c r="F1566" s="66" t="str">
        <f>IFERROR(__xludf.DUMMYFUNCTION("IF(COUNTA(C1566:C1644)=0,"""",IF(REGEXMATCH(INDEX(FILTER(C$4:C1566,C$4:C1566&lt;&gt;""""),ROWS(FILTER(C$4:C1566,C$4:C1566&lt;&gt;""""))),""^Sell_""),INDEX(FILTER(F$4:F1565,C$4:C1565&lt;&gt;""""),ROWS(FILTER(C$4:C1565,C$4:C1565&lt;&gt;""""))),$AC$5+E1566))"),"")</f>
        <v/>
      </c>
      <c r="G1566" s="10" t="str">
        <f>IFERROR(__xludf.DUMMYFUNCTION("IF(COUNTA(C1566:C1644)=0,"""",IF(C1566="""",0,IF(REGEXMATCH(C1566,""^Sell_""),-ROUNDDOWN(ROUNDUP(INDEX(Upgrades!$C$3:$C$13,MATCH(SUBSTITUTE(C1566,""Sell_"",""""),Upgrades!$B$3:$B$13,0))*1.15^(COUNTIF(C$4:C1565,SUBSTITUTE(C1566,""Sell_"",""""))-COUNTIF(C$4"&amp;":C1565,""Sell_""&amp;SUBSTITUTE(C1566,""Sell_"",""""))))/2),ROUNDUP(INDEX(Upgrades!$C$3:$C$13,MATCH(C1566,Upgrades!$B$3:$B$13,0))*1.15^(COUNTIF(C$4:C1565,C1566)-COUNTIF(C$4:C1565,""Sell_""&amp;C1566))))))"),"")</f>
        <v/>
      </c>
      <c r="H1566" s="10" t="str">
        <f t="shared" si="3"/>
        <v/>
      </c>
      <c r="I1566" s="68" t="str">
        <f t="shared" si="4"/>
        <v/>
      </c>
      <c r="J1566" s="59" t="str">
        <f t="shared" si="5"/>
        <v/>
      </c>
      <c r="K1566" s="69" t="str">
        <f t="shared" si="6"/>
        <v/>
      </c>
      <c r="L1566" s="60" t="str">
        <f t="shared" si="7"/>
        <v/>
      </c>
      <c r="M1566" s="61" t="str">
        <f>IFERROR(__xludf.DUMMYFUNCTION("IFS(AND(COUNTA(C1566:C1644)=0,COUNTA(Q1566:Q1644)=0),"""",OR(AND(K1566&gt;=1000000000,OR(Y1566&gt;=1000000000,COUNTA(Q1566:Q1644)=0)),OR(Y1566&gt;=1000000000,AND(COUNTA(C1566:C1644)=0,P$3=TRUE))),
ROUNDDOWN((AB$1-AC$1)*MAX(INDEX(T$4:T1644,MATCH(LARGE(FILTER(Y$4:Y1"&amp;"644,Y$4:Y1644&lt;1000000000),1),Y$4:Y1644)),INDEX(F$4:F1644,MATCH(LARGE(FILTER(K$4:K1644,K$4:K1644&lt;1000000000),1),K$4:K1644)))),AND(K1566&lt;1000000000,COUNTA(C1566:C1644)&gt;0,P$3=FALSE),
ROUNDDOWN(INDEX(Y$4:Y1644,MATCH(LARGE(FILTER(W$4:W1644,W$4:W1644&lt;=I1566),1)"&amp;",W$4:W1644))+(I1566-LARGE(FILTER(W$4:W1644,W$4:W1644&lt;=I1566),1))*INDEX(T$4:T1644,MATCH(LARGE(FILTER(W$4:W1644,W$4:W1644&lt;=I1566),1),W$4:W1644))-K1566),1,
ROUNDDOWN(Y1566-INDEX(K$4:K1644,MATCH(LARGE(FILTER(I$4:I1644,I$4:I1644&lt;=W1566),1),I$4:I1644))-(W1566-L"&amp;"ARGE(FILTER(I$4:I1644,I$4:I1644&lt;=W1566),1))*INDEX(F$4:F1644,MATCH(LARGE(FILTER(I$4:I1644,I$4:I1644&lt;=W1566),1),I$4:I1644))))"),"")</f>
        <v/>
      </c>
      <c r="N1566" s="60" t="str">
        <f t="shared" si="8"/>
        <v/>
      </c>
      <c r="O1566" s="61" t="str">
        <f t="shared" si="9"/>
        <v/>
      </c>
      <c r="P1566" s="56" t="str">
        <f t="shared" si="10"/>
        <v/>
      </c>
      <c r="Q1566" s="105"/>
      <c r="R1566" s="10"/>
      <c r="S1566" s="59" t="str">
        <f t="array" ref="S1566">IF(COUNTA(Q1566:Q1644)=0,"",SUM((COUNTIF(Q$4:Q1566,Upgrades!$B$3:$B$13)-COUNTIF(Q$4:Q1566,"Sell_"&amp;Upgrades!$B$3:$B$13))*Upgrades!$D$3:$D$13))</f>
        <v/>
      </c>
      <c r="T1566" s="66" t="str">
        <f>IFERROR(__xludf.DUMMYFUNCTION("IF(COUNTA(Q1566:Q1644)=0,"""",IF(REGEXMATCH(INDEX(FILTER(Q$4:Q1566,Q$4:Q1566&lt;&gt;""""),ROWS(FILTER(Q$4:Q1566,Q$4:Q1566&lt;&gt;""""))),""^Sell_""),INDEX(FILTER(T$4:T1565,Q$4:Q1565&lt;&gt;""""),ROWS(FILTER(Q$4:Q1565,Q$4:Q1565&lt;&gt;""""))),$AD$5+S1566))"),"")</f>
        <v/>
      </c>
      <c r="U1566" s="10" t="str">
        <f>IFERROR(__xludf.DUMMYFUNCTION("IF(COUNTA(Q1566:Q1644)=0,"""",IF(Q1566="""",0,IF(REGEXMATCH(Q1566,""^Sell_""),-ROUNDDOWN(ROUNDUP(INDEX(Upgrades!$C$3:$C$13,MATCH(SUBSTITUTE(Q1566,""Sell_"",""""),Upgrades!$B$3:$B$13,0))*1.15^(COUNTIF(Q$4:Q1565,SUBSTITUTE(Q1566,""Sell_"",""""))-COUNTIF(Q$4"&amp;":Q1565,""Sell_""&amp;SUBSTITUTE(Q1566,""Sell_"",""""))))/2),ROUNDUP(INDEX(Upgrades!$C$3:$C$13,MATCH(Q1566,Upgrades!$B$3:$B$13,0))*1.15^(COUNTIF(Q$4:Q1565,Q1566)-COUNTIF(Q$4:Q1565,""Sell_""&amp;Q1566))))))"),"")</f>
        <v/>
      </c>
      <c r="V1566" s="10" t="str">
        <f t="shared" si="11"/>
        <v/>
      </c>
      <c r="W1566" s="68" t="str">
        <f t="shared" si="12"/>
        <v/>
      </c>
      <c r="X1566" s="59" t="str">
        <f t="shared" si="13"/>
        <v/>
      </c>
      <c r="Y1566" s="69" t="str">
        <f t="shared" si="14"/>
        <v/>
      </c>
      <c r="Z1566" s="11"/>
      <c r="AG1566" s="59"/>
    </row>
    <row r="1567">
      <c r="A1567" s="8"/>
      <c r="B1567" s="56" t="str">
        <f t="shared" si="2"/>
        <v/>
      </c>
      <c r="C1567" s="105"/>
      <c r="D1567" s="10"/>
      <c r="E1567" s="59" t="str">
        <f t="array" ref="E1567">IF(COUNTA(C1567:C1644)=0,"",SUM((COUNTIF(C$4:C1567,Upgrades!$B$3:$B$13)-COUNTIF(C$4:C1567,"Sell_"&amp;Upgrades!$B$3:$B$13))*Upgrades!$D$3:$D$13))</f>
        <v/>
      </c>
      <c r="F1567" s="66" t="str">
        <f>IFERROR(__xludf.DUMMYFUNCTION("IF(COUNTA(C1567:C1644)=0,"""",IF(REGEXMATCH(INDEX(FILTER(C$4:C1567,C$4:C1567&lt;&gt;""""),ROWS(FILTER(C$4:C1567,C$4:C1567&lt;&gt;""""))),""^Sell_""),INDEX(FILTER(F$4:F1566,C$4:C1566&lt;&gt;""""),ROWS(FILTER(C$4:C1566,C$4:C1566&lt;&gt;""""))),$AC$5+E1567))"),"")</f>
        <v/>
      </c>
      <c r="G1567" s="10" t="str">
        <f>IFERROR(__xludf.DUMMYFUNCTION("IF(COUNTA(C1567:C1644)=0,"""",IF(C1567="""",0,IF(REGEXMATCH(C1567,""^Sell_""),-ROUNDDOWN(ROUNDUP(INDEX(Upgrades!$C$3:$C$13,MATCH(SUBSTITUTE(C1567,""Sell_"",""""),Upgrades!$B$3:$B$13,0))*1.15^(COUNTIF(C$4:C1566,SUBSTITUTE(C1567,""Sell_"",""""))-COUNTIF(C$4"&amp;":C1566,""Sell_""&amp;SUBSTITUTE(C1567,""Sell_"",""""))))/2),ROUNDUP(INDEX(Upgrades!$C$3:$C$13,MATCH(C1567,Upgrades!$B$3:$B$13,0))*1.15^(COUNTIF(C$4:C1566,C1567)-COUNTIF(C$4:C1566,""Sell_""&amp;C1567))))))"),"")</f>
        <v/>
      </c>
      <c r="H1567" s="10" t="str">
        <f t="shared" si="3"/>
        <v/>
      </c>
      <c r="I1567" s="68" t="str">
        <f t="shared" si="4"/>
        <v/>
      </c>
      <c r="J1567" s="59" t="str">
        <f t="shared" si="5"/>
        <v/>
      </c>
      <c r="K1567" s="69" t="str">
        <f t="shared" si="6"/>
        <v/>
      </c>
      <c r="L1567" s="60" t="str">
        <f t="shared" si="7"/>
        <v/>
      </c>
      <c r="M1567" s="61" t="str">
        <f>IFERROR(__xludf.DUMMYFUNCTION("IFS(AND(COUNTA(C1567:C1644)=0,COUNTA(Q1567:Q1644)=0),"""",OR(AND(K1567&gt;=1000000000,OR(Y1567&gt;=1000000000,COUNTA(Q1567:Q1644)=0)),OR(Y1567&gt;=1000000000,AND(COUNTA(C1567:C1644)=0,P$3=TRUE))),
ROUNDDOWN((AB$1-AC$1)*MAX(INDEX(T$4:T1644,MATCH(LARGE(FILTER(Y$4:Y1"&amp;"644,Y$4:Y1644&lt;1000000000),1),Y$4:Y1644)),INDEX(F$4:F1644,MATCH(LARGE(FILTER(K$4:K1644,K$4:K1644&lt;1000000000),1),K$4:K1644)))),AND(K1567&lt;1000000000,COUNTA(C1567:C1644)&gt;0,P$3=FALSE),
ROUNDDOWN(INDEX(Y$4:Y1644,MATCH(LARGE(FILTER(W$4:W1644,W$4:W1644&lt;=I1567),1)"&amp;",W$4:W1644))+(I1567-LARGE(FILTER(W$4:W1644,W$4:W1644&lt;=I1567),1))*INDEX(T$4:T1644,MATCH(LARGE(FILTER(W$4:W1644,W$4:W1644&lt;=I1567),1),W$4:W1644))-K1567),1,
ROUNDDOWN(Y1567-INDEX(K$4:K1644,MATCH(LARGE(FILTER(I$4:I1644,I$4:I1644&lt;=W1567),1),I$4:I1644))-(W1567-L"&amp;"ARGE(FILTER(I$4:I1644,I$4:I1644&lt;=W1567),1))*INDEX(F$4:F1644,MATCH(LARGE(FILTER(I$4:I1644,I$4:I1644&lt;=W1567),1),I$4:I1644))))"),"")</f>
        <v/>
      </c>
      <c r="N1567" s="60" t="str">
        <f t="shared" si="8"/>
        <v/>
      </c>
      <c r="O1567" s="61" t="str">
        <f t="shared" si="9"/>
        <v/>
      </c>
      <c r="P1567" s="56" t="str">
        <f t="shared" si="10"/>
        <v/>
      </c>
      <c r="Q1567" s="105"/>
      <c r="R1567" s="10"/>
      <c r="S1567" s="59" t="str">
        <f t="array" ref="S1567">IF(COUNTA(Q1567:Q1644)=0,"",SUM((COUNTIF(Q$4:Q1567,Upgrades!$B$3:$B$13)-COUNTIF(Q$4:Q1567,"Sell_"&amp;Upgrades!$B$3:$B$13))*Upgrades!$D$3:$D$13))</f>
        <v/>
      </c>
      <c r="T1567" s="66" t="str">
        <f>IFERROR(__xludf.DUMMYFUNCTION("IF(COUNTA(Q1567:Q1644)=0,"""",IF(REGEXMATCH(INDEX(FILTER(Q$4:Q1567,Q$4:Q1567&lt;&gt;""""),ROWS(FILTER(Q$4:Q1567,Q$4:Q1567&lt;&gt;""""))),""^Sell_""),INDEX(FILTER(T$4:T1566,Q$4:Q1566&lt;&gt;""""),ROWS(FILTER(Q$4:Q1566,Q$4:Q1566&lt;&gt;""""))),$AD$5+S1567))"),"")</f>
        <v/>
      </c>
      <c r="U1567" s="10" t="str">
        <f>IFERROR(__xludf.DUMMYFUNCTION("IF(COUNTA(Q1567:Q1644)=0,"""",IF(Q1567="""",0,IF(REGEXMATCH(Q1567,""^Sell_""),-ROUNDDOWN(ROUNDUP(INDEX(Upgrades!$C$3:$C$13,MATCH(SUBSTITUTE(Q1567,""Sell_"",""""),Upgrades!$B$3:$B$13,0))*1.15^(COUNTIF(Q$4:Q1566,SUBSTITUTE(Q1567,""Sell_"",""""))-COUNTIF(Q$4"&amp;":Q1566,""Sell_""&amp;SUBSTITUTE(Q1567,""Sell_"",""""))))/2),ROUNDUP(INDEX(Upgrades!$C$3:$C$13,MATCH(Q1567,Upgrades!$B$3:$B$13,0))*1.15^(COUNTIF(Q$4:Q1566,Q1567)-COUNTIF(Q$4:Q1566,""Sell_""&amp;Q1567))))))"),"")</f>
        <v/>
      </c>
      <c r="V1567" s="10" t="str">
        <f t="shared" si="11"/>
        <v/>
      </c>
      <c r="W1567" s="68" t="str">
        <f t="shared" si="12"/>
        <v/>
      </c>
      <c r="X1567" s="59" t="str">
        <f t="shared" si="13"/>
        <v/>
      </c>
      <c r="Y1567" s="69" t="str">
        <f t="shared" si="14"/>
        <v/>
      </c>
      <c r="Z1567" s="11"/>
      <c r="AG1567" s="59"/>
    </row>
    <row r="1568">
      <c r="A1568" s="8"/>
      <c r="B1568" s="56" t="str">
        <f t="shared" si="2"/>
        <v/>
      </c>
      <c r="C1568" s="105"/>
      <c r="D1568" s="10"/>
      <c r="E1568" s="59" t="str">
        <f t="array" ref="E1568">IF(COUNTA(C1568:C1644)=0,"",SUM((COUNTIF(C$4:C1568,Upgrades!$B$3:$B$13)-COUNTIF(C$4:C1568,"Sell_"&amp;Upgrades!$B$3:$B$13))*Upgrades!$D$3:$D$13))</f>
        <v/>
      </c>
      <c r="F1568" s="66" t="str">
        <f>IFERROR(__xludf.DUMMYFUNCTION("IF(COUNTA(C1568:C1644)=0,"""",IF(REGEXMATCH(INDEX(FILTER(C$4:C1568,C$4:C1568&lt;&gt;""""),ROWS(FILTER(C$4:C1568,C$4:C1568&lt;&gt;""""))),""^Sell_""),INDEX(FILTER(F$4:F1567,C$4:C1567&lt;&gt;""""),ROWS(FILTER(C$4:C1567,C$4:C1567&lt;&gt;""""))),$AC$5+E1568))"),"")</f>
        <v/>
      </c>
      <c r="G1568" s="10" t="str">
        <f>IFERROR(__xludf.DUMMYFUNCTION("IF(COUNTA(C1568:C1644)=0,"""",IF(C1568="""",0,IF(REGEXMATCH(C1568,""^Sell_""),-ROUNDDOWN(ROUNDUP(INDEX(Upgrades!$C$3:$C$13,MATCH(SUBSTITUTE(C1568,""Sell_"",""""),Upgrades!$B$3:$B$13,0))*1.15^(COUNTIF(C$4:C1567,SUBSTITUTE(C1568,""Sell_"",""""))-COUNTIF(C$4"&amp;":C1567,""Sell_""&amp;SUBSTITUTE(C1568,""Sell_"",""""))))/2),ROUNDUP(INDEX(Upgrades!$C$3:$C$13,MATCH(C1568,Upgrades!$B$3:$B$13,0))*1.15^(COUNTIF(C$4:C1567,C1568)-COUNTIF(C$4:C1567,""Sell_""&amp;C1568))))))"),"")</f>
        <v/>
      </c>
      <c r="H1568" s="10" t="str">
        <f t="shared" si="3"/>
        <v/>
      </c>
      <c r="I1568" s="68" t="str">
        <f t="shared" si="4"/>
        <v/>
      </c>
      <c r="J1568" s="59" t="str">
        <f t="shared" si="5"/>
        <v/>
      </c>
      <c r="K1568" s="69" t="str">
        <f t="shared" si="6"/>
        <v/>
      </c>
      <c r="L1568" s="60" t="str">
        <f t="shared" si="7"/>
        <v/>
      </c>
      <c r="M1568" s="61" t="str">
        <f>IFERROR(__xludf.DUMMYFUNCTION("IFS(AND(COUNTA(C1568:C1644)=0,COUNTA(Q1568:Q1644)=0),"""",OR(AND(K1568&gt;=1000000000,OR(Y1568&gt;=1000000000,COUNTA(Q1568:Q1644)=0)),OR(Y1568&gt;=1000000000,AND(COUNTA(C1568:C1644)=0,P$3=TRUE))),
ROUNDDOWN((AB$1-AC$1)*MAX(INDEX(T$4:T1644,MATCH(LARGE(FILTER(Y$4:Y1"&amp;"644,Y$4:Y1644&lt;1000000000),1),Y$4:Y1644)),INDEX(F$4:F1644,MATCH(LARGE(FILTER(K$4:K1644,K$4:K1644&lt;1000000000),1),K$4:K1644)))),AND(K1568&lt;1000000000,COUNTA(C1568:C1644)&gt;0,P$3=FALSE),
ROUNDDOWN(INDEX(Y$4:Y1644,MATCH(LARGE(FILTER(W$4:W1644,W$4:W1644&lt;=I1568),1)"&amp;",W$4:W1644))+(I1568-LARGE(FILTER(W$4:W1644,W$4:W1644&lt;=I1568),1))*INDEX(T$4:T1644,MATCH(LARGE(FILTER(W$4:W1644,W$4:W1644&lt;=I1568),1),W$4:W1644))-K1568),1,
ROUNDDOWN(Y1568-INDEX(K$4:K1644,MATCH(LARGE(FILTER(I$4:I1644,I$4:I1644&lt;=W1568),1),I$4:I1644))-(W1568-L"&amp;"ARGE(FILTER(I$4:I1644,I$4:I1644&lt;=W1568),1))*INDEX(F$4:F1644,MATCH(LARGE(FILTER(I$4:I1644,I$4:I1644&lt;=W1568),1),I$4:I1644))))"),"")</f>
        <v/>
      </c>
      <c r="N1568" s="60" t="str">
        <f t="shared" si="8"/>
        <v/>
      </c>
      <c r="O1568" s="61" t="str">
        <f t="shared" si="9"/>
        <v/>
      </c>
      <c r="P1568" s="56" t="str">
        <f t="shared" si="10"/>
        <v/>
      </c>
      <c r="Q1568" s="105"/>
      <c r="R1568" s="10"/>
      <c r="S1568" s="59" t="str">
        <f t="array" ref="S1568">IF(COUNTA(Q1568:Q1644)=0,"",SUM((COUNTIF(Q$4:Q1568,Upgrades!$B$3:$B$13)-COUNTIF(Q$4:Q1568,"Sell_"&amp;Upgrades!$B$3:$B$13))*Upgrades!$D$3:$D$13))</f>
        <v/>
      </c>
      <c r="T1568" s="66" t="str">
        <f>IFERROR(__xludf.DUMMYFUNCTION("IF(COUNTA(Q1568:Q1644)=0,"""",IF(REGEXMATCH(INDEX(FILTER(Q$4:Q1568,Q$4:Q1568&lt;&gt;""""),ROWS(FILTER(Q$4:Q1568,Q$4:Q1568&lt;&gt;""""))),""^Sell_""),INDEX(FILTER(T$4:T1567,Q$4:Q1567&lt;&gt;""""),ROWS(FILTER(Q$4:Q1567,Q$4:Q1567&lt;&gt;""""))),$AD$5+S1568))"),"")</f>
        <v/>
      </c>
      <c r="U1568" s="10" t="str">
        <f>IFERROR(__xludf.DUMMYFUNCTION("IF(COUNTA(Q1568:Q1644)=0,"""",IF(Q1568="""",0,IF(REGEXMATCH(Q1568,""^Sell_""),-ROUNDDOWN(ROUNDUP(INDEX(Upgrades!$C$3:$C$13,MATCH(SUBSTITUTE(Q1568,""Sell_"",""""),Upgrades!$B$3:$B$13,0))*1.15^(COUNTIF(Q$4:Q1567,SUBSTITUTE(Q1568,""Sell_"",""""))-COUNTIF(Q$4"&amp;":Q1567,""Sell_""&amp;SUBSTITUTE(Q1568,""Sell_"",""""))))/2),ROUNDUP(INDEX(Upgrades!$C$3:$C$13,MATCH(Q1568,Upgrades!$B$3:$B$13,0))*1.15^(COUNTIF(Q$4:Q1567,Q1568)-COUNTIF(Q$4:Q1567,""Sell_""&amp;Q1568))))))"),"")</f>
        <v/>
      </c>
      <c r="V1568" s="10" t="str">
        <f t="shared" si="11"/>
        <v/>
      </c>
      <c r="W1568" s="68" t="str">
        <f t="shared" si="12"/>
        <v/>
      </c>
      <c r="X1568" s="59" t="str">
        <f t="shared" si="13"/>
        <v/>
      </c>
      <c r="Y1568" s="69" t="str">
        <f t="shared" si="14"/>
        <v/>
      </c>
      <c r="Z1568" s="11"/>
      <c r="AG1568" s="59"/>
    </row>
    <row r="1569">
      <c r="A1569" s="8"/>
      <c r="B1569" s="56" t="str">
        <f t="shared" si="2"/>
        <v/>
      </c>
      <c r="C1569" s="105"/>
      <c r="D1569" s="10"/>
      <c r="E1569" s="59" t="str">
        <f t="array" ref="E1569">IF(COUNTA(C1569:C1644)=0,"",SUM((COUNTIF(C$4:C1569,Upgrades!$B$3:$B$13)-COUNTIF(C$4:C1569,"Sell_"&amp;Upgrades!$B$3:$B$13))*Upgrades!$D$3:$D$13))</f>
        <v/>
      </c>
      <c r="F1569" s="66" t="str">
        <f>IFERROR(__xludf.DUMMYFUNCTION("IF(COUNTA(C1569:C1644)=0,"""",IF(REGEXMATCH(INDEX(FILTER(C$4:C1569,C$4:C1569&lt;&gt;""""),ROWS(FILTER(C$4:C1569,C$4:C1569&lt;&gt;""""))),""^Sell_""),INDEX(FILTER(F$4:F1568,C$4:C1568&lt;&gt;""""),ROWS(FILTER(C$4:C1568,C$4:C1568&lt;&gt;""""))),$AC$5+E1569))"),"")</f>
        <v/>
      </c>
      <c r="G1569" s="10" t="str">
        <f>IFERROR(__xludf.DUMMYFUNCTION("IF(COUNTA(C1569:C1644)=0,"""",IF(C1569="""",0,IF(REGEXMATCH(C1569,""^Sell_""),-ROUNDDOWN(ROUNDUP(INDEX(Upgrades!$C$3:$C$13,MATCH(SUBSTITUTE(C1569,""Sell_"",""""),Upgrades!$B$3:$B$13,0))*1.15^(COUNTIF(C$4:C1568,SUBSTITUTE(C1569,""Sell_"",""""))-COUNTIF(C$4"&amp;":C1568,""Sell_""&amp;SUBSTITUTE(C1569,""Sell_"",""""))))/2),ROUNDUP(INDEX(Upgrades!$C$3:$C$13,MATCH(C1569,Upgrades!$B$3:$B$13,0))*1.15^(COUNTIF(C$4:C1568,C1569)-COUNTIF(C$4:C1568,""Sell_""&amp;C1569))))))"),"")</f>
        <v/>
      </c>
      <c r="H1569" s="10" t="str">
        <f t="shared" si="3"/>
        <v/>
      </c>
      <c r="I1569" s="68" t="str">
        <f t="shared" si="4"/>
        <v/>
      </c>
      <c r="J1569" s="59" t="str">
        <f t="shared" si="5"/>
        <v/>
      </c>
      <c r="K1569" s="69" t="str">
        <f t="shared" si="6"/>
        <v/>
      </c>
      <c r="L1569" s="60" t="str">
        <f t="shared" si="7"/>
        <v/>
      </c>
      <c r="M1569" s="61" t="str">
        <f>IFERROR(__xludf.DUMMYFUNCTION("IFS(AND(COUNTA(C1569:C1644)=0,COUNTA(Q1569:Q1644)=0),"""",OR(AND(K1569&gt;=1000000000,OR(Y1569&gt;=1000000000,COUNTA(Q1569:Q1644)=0)),OR(Y1569&gt;=1000000000,AND(COUNTA(C1569:C1644)=0,P$3=TRUE))),
ROUNDDOWN((AB$1-AC$1)*MAX(INDEX(T$4:T1644,MATCH(LARGE(FILTER(Y$4:Y1"&amp;"644,Y$4:Y1644&lt;1000000000),1),Y$4:Y1644)),INDEX(F$4:F1644,MATCH(LARGE(FILTER(K$4:K1644,K$4:K1644&lt;1000000000),1),K$4:K1644)))),AND(K1569&lt;1000000000,COUNTA(C1569:C1644)&gt;0,P$3=FALSE),
ROUNDDOWN(INDEX(Y$4:Y1644,MATCH(LARGE(FILTER(W$4:W1644,W$4:W1644&lt;=I1569),1)"&amp;",W$4:W1644))+(I1569-LARGE(FILTER(W$4:W1644,W$4:W1644&lt;=I1569),1))*INDEX(T$4:T1644,MATCH(LARGE(FILTER(W$4:W1644,W$4:W1644&lt;=I1569),1),W$4:W1644))-K1569),1,
ROUNDDOWN(Y1569-INDEX(K$4:K1644,MATCH(LARGE(FILTER(I$4:I1644,I$4:I1644&lt;=W1569),1),I$4:I1644))-(W1569-L"&amp;"ARGE(FILTER(I$4:I1644,I$4:I1644&lt;=W1569),1))*INDEX(F$4:F1644,MATCH(LARGE(FILTER(I$4:I1644,I$4:I1644&lt;=W1569),1),I$4:I1644))))"),"")</f>
        <v/>
      </c>
      <c r="N1569" s="60" t="str">
        <f t="shared" si="8"/>
        <v/>
      </c>
      <c r="O1569" s="61" t="str">
        <f t="shared" si="9"/>
        <v/>
      </c>
      <c r="P1569" s="56" t="str">
        <f t="shared" si="10"/>
        <v/>
      </c>
      <c r="Q1569" s="105"/>
      <c r="R1569" s="10"/>
      <c r="S1569" s="59" t="str">
        <f t="array" ref="S1569">IF(COUNTA(Q1569:Q1644)=0,"",SUM((COUNTIF(Q$4:Q1569,Upgrades!$B$3:$B$13)-COUNTIF(Q$4:Q1569,"Sell_"&amp;Upgrades!$B$3:$B$13))*Upgrades!$D$3:$D$13))</f>
        <v/>
      </c>
      <c r="T1569" s="66" t="str">
        <f>IFERROR(__xludf.DUMMYFUNCTION("IF(COUNTA(Q1569:Q1644)=0,"""",IF(REGEXMATCH(INDEX(FILTER(Q$4:Q1569,Q$4:Q1569&lt;&gt;""""),ROWS(FILTER(Q$4:Q1569,Q$4:Q1569&lt;&gt;""""))),""^Sell_""),INDEX(FILTER(T$4:T1568,Q$4:Q1568&lt;&gt;""""),ROWS(FILTER(Q$4:Q1568,Q$4:Q1568&lt;&gt;""""))),$AD$5+S1569))"),"")</f>
        <v/>
      </c>
      <c r="U1569" s="10" t="str">
        <f>IFERROR(__xludf.DUMMYFUNCTION("IF(COUNTA(Q1569:Q1644)=0,"""",IF(Q1569="""",0,IF(REGEXMATCH(Q1569,""^Sell_""),-ROUNDDOWN(ROUNDUP(INDEX(Upgrades!$C$3:$C$13,MATCH(SUBSTITUTE(Q1569,""Sell_"",""""),Upgrades!$B$3:$B$13,0))*1.15^(COUNTIF(Q$4:Q1568,SUBSTITUTE(Q1569,""Sell_"",""""))-COUNTIF(Q$4"&amp;":Q1568,""Sell_""&amp;SUBSTITUTE(Q1569,""Sell_"",""""))))/2),ROUNDUP(INDEX(Upgrades!$C$3:$C$13,MATCH(Q1569,Upgrades!$B$3:$B$13,0))*1.15^(COUNTIF(Q$4:Q1568,Q1569)-COUNTIF(Q$4:Q1568,""Sell_""&amp;Q1569))))))"),"")</f>
        <v/>
      </c>
      <c r="V1569" s="10" t="str">
        <f t="shared" si="11"/>
        <v/>
      </c>
      <c r="W1569" s="68" t="str">
        <f t="shared" si="12"/>
        <v/>
      </c>
      <c r="X1569" s="59" t="str">
        <f t="shared" si="13"/>
        <v/>
      </c>
      <c r="Y1569" s="69" t="str">
        <f t="shared" si="14"/>
        <v/>
      </c>
      <c r="Z1569" s="11"/>
      <c r="AG1569" s="59"/>
    </row>
    <row r="1570">
      <c r="A1570" s="8"/>
      <c r="B1570" s="56" t="str">
        <f t="shared" si="2"/>
        <v/>
      </c>
      <c r="C1570" s="105"/>
      <c r="D1570" s="10"/>
      <c r="E1570" s="59" t="str">
        <f t="array" ref="E1570">IF(COUNTA(C1570:C1644)=0,"",SUM((COUNTIF(C$4:C1570,Upgrades!$B$3:$B$13)-COUNTIF(C$4:C1570,"Sell_"&amp;Upgrades!$B$3:$B$13))*Upgrades!$D$3:$D$13))</f>
        <v/>
      </c>
      <c r="F1570" s="66" t="str">
        <f>IFERROR(__xludf.DUMMYFUNCTION("IF(COUNTA(C1570:C1644)=0,"""",IF(REGEXMATCH(INDEX(FILTER(C$4:C1570,C$4:C1570&lt;&gt;""""),ROWS(FILTER(C$4:C1570,C$4:C1570&lt;&gt;""""))),""^Sell_""),INDEX(FILTER(F$4:F1569,C$4:C1569&lt;&gt;""""),ROWS(FILTER(C$4:C1569,C$4:C1569&lt;&gt;""""))),$AC$5+E1570))"),"")</f>
        <v/>
      </c>
      <c r="G1570" s="10" t="str">
        <f>IFERROR(__xludf.DUMMYFUNCTION("IF(COUNTA(C1570:C1644)=0,"""",IF(C1570="""",0,IF(REGEXMATCH(C1570,""^Sell_""),-ROUNDDOWN(ROUNDUP(INDEX(Upgrades!$C$3:$C$13,MATCH(SUBSTITUTE(C1570,""Sell_"",""""),Upgrades!$B$3:$B$13,0))*1.15^(COUNTIF(C$4:C1569,SUBSTITUTE(C1570,""Sell_"",""""))-COUNTIF(C$4"&amp;":C1569,""Sell_""&amp;SUBSTITUTE(C1570,""Sell_"",""""))))/2),ROUNDUP(INDEX(Upgrades!$C$3:$C$13,MATCH(C1570,Upgrades!$B$3:$B$13,0))*1.15^(COUNTIF(C$4:C1569,C1570)-COUNTIF(C$4:C1569,""Sell_""&amp;C1570))))))"),"")</f>
        <v/>
      </c>
      <c r="H1570" s="10" t="str">
        <f t="shared" si="3"/>
        <v/>
      </c>
      <c r="I1570" s="68" t="str">
        <f t="shared" si="4"/>
        <v/>
      </c>
      <c r="J1570" s="59" t="str">
        <f t="shared" si="5"/>
        <v/>
      </c>
      <c r="K1570" s="69" t="str">
        <f t="shared" si="6"/>
        <v/>
      </c>
      <c r="L1570" s="60" t="str">
        <f t="shared" si="7"/>
        <v/>
      </c>
      <c r="M1570" s="61" t="str">
        <f>IFERROR(__xludf.DUMMYFUNCTION("IFS(AND(COUNTA(C1570:C1644)=0,COUNTA(Q1570:Q1644)=0),"""",OR(AND(K1570&gt;=1000000000,OR(Y1570&gt;=1000000000,COUNTA(Q1570:Q1644)=0)),OR(Y1570&gt;=1000000000,AND(COUNTA(C1570:C1644)=0,P$3=TRUE))),
ROUNDDOWN((AB$1-AC$1)*MAX(INDEX(T$4:T1644,MATCH(LARGE(FILTER(Y$4:Y1"&amp;"644,Y$4:Y1644&lt;1000000000),1),Y$4:Y1644)),INDEX(F$4:F1644,MATCH(LARGE(FILTER(K$4:K1644,K$4:K1644&lt;1000000000),1),K$4:K1644)))),AND(K1570&lt;1000000000,COUNTA(C1570:C1644)&gt;0,P$3=FALSE),
ROUNDDOWN(INDEX(Y$4:Y1644,MATCH(LARGE(FILTER(W$4:W1644,W$4:W1644&lt;=I1570),1)"&amp;",W$4:W1644))+(I1570-LARGE(FILTER(W$4:W1644,W$4:W1644&lt;=I1570),1))*INDEX(T$4:T1644,MATCH(LARGE(FILTER(W$4:W1644,W$4:W1644&lt;=I1570),1),W$4:W1644))-K1570),1,
ROUNDDOWN(Y1570-INDEX(K$4:K1644,MATCH(LARGE(FILTER(I$4:I1644,I$4:I1644&lt;=W1570),1),I$4:I1644))-(W1570-L"&amp;"ARGE(FILTER(I$4:I1644,I$4:I1644&lt;=W1570),1))*INDEX(F$4:F1644,MATCH(LARGE(FILTER(I$4:I1644,I$4:I1644&lt;=W1570),1),I$4:I1644))))"),"")</f>
        <v/>
      </c>
      <c r="N1570" s="60" t="str">
        <f t="shared" si="8"/>
        <v/>
      </c>
      <c r="O1570" s="61" t="str">
        <f t="shared" si="9"/>
        <v/>
      </c>
      <c r="P1570" s="56" t="str">
        <f t="shared" si="10"/>
        <v/>
      </c>
      <c r="Q1570" s="105"/>
      <c r="R1570" s="10"/>
      <c r="S1570" s="59" t="str">
        <f t="array" ref="S1570">IF(COUNTA(Q1570:Q1644)=0,"",SUM((COUNTIF(Q$4:Q1570,Upgrades!$B$3:$B$13)-COUNTIF(Q$4:Q1570,"Sell_"&amp;Upgrades!$B$3:$B$13))*Upgrades!$D$3:$D$13))</f>
        <v/>
      </c>
      <c r="T1570" s="66" t="str">
        <f>IFERROR(__xludf.DUMMYFUNCTION("IF(COUNTA(Q1570:Q1644)=0,"""",IF(REGEXMATCH(INDEX(FILTER(Q$4:Q1570,Q$4:Q1570&lt;&gt;""""),ROWS(FILTER(Q$4:Q1570,Q$4:Q1570&lt;&gt;""""))),""^Sell_""),INDEX(FILTER(T$4:T1569,Q$4:Q1569&lt;&gt;""""),ROWS(FILTER(Q$4:Q1569,Q$4:Q1569&lt;&gt;""""))),$AD$5+S1570))"),"")</f>
        <v/>
      </c>
      <c r="U1570" s="10" t="str">
        <f>IFERROR(__xludf.DUMMYFUNCTION("IF(COUNTA(Q1570:Q1644)=0,"""",IF(Q1570="""",0,IF(REGEXMATCH(Q1570,""^Sell_""),-ROUNDDOWN(ROUNDUP(INDEX(Upgrades!$C$3:$C$13,MATCH(SUBSTITUTE(Q1570,""Sell_"",""""),Upgrades!$B$3:$B$13,0))*1.15^(COUNTIF(Q$4:Q1569,SUBSTITUTE(Q1570,""Sell_"",""""))-COUNTIF(Q$4"&amp;":Q1569,""Sell_""&amp;SUBSTITUTE(Q1570,""Sell_"",""""))))/2),ROUNDUP(INDEX(Upgrades!$C$3:$C$13,MATCH(Q1570,Upgrades!$B$3:$B$13,0))*1.15^(COUNTIF(Q$4:Q1569,Q1570)-COUNTIF(Q$4:Q1569,""Sell_""&amp;Q1570))))))"),"")</f>
        <v/>
      </c>
      <c r="V1570" s="10" t="str">
        <f t="shared" si="11"/>
        <v/>
      </c>
      <c r="W1570" s="68" t="str">
        <f t="shared" si="12"/>
        <v/>
      </c>
      <c r="X1570" s="59" t="str">
        <f t="shared" si="13"/>
        <v/>
      </c>
      <c r="Y1570" s="69" t="str">
        <f t="shared" si="14"/>
        <v/>
      </c>
      <c r="Z1570" s="11"/>
      <c r="AG1570" s="59"/>
    </row>
    <row r="1571">
      <c r="A1571" s="8"/>
      <c r="B1571" s="56" t="str">
        <f t="shared" si="2"/>
        <v/>
      </c>
      <c r="C1571" s="105"/>
      <c r="D1571" s="10"/>
      <c r="E1571" s="59" t="str">
        <f t="array" ref="E1571">IF(COUNTA(C1571:C1644)=0,"",SUM((COUNTIF(C$4:C1571,Upgrades!$B$3:$B$13)-COUNTIF(C$4:C1571,"Sell_"&amp;Upgrades!$B$3:$B$13))*Upgrades!$D$3:$D$13))</f>
        <v/>
      </c>
      <c r="F1571" s="66" t="str">
        <f>IFERROR(__xludf.DUMMYFUNCTION("IF(COUNTA(C1571:C1644)=0,"""",IF(REGEXMATCH(INDEX(FILTER(C$4:C1571,C$4:C1571&lt;&gt;""""),ROWS(FILTER(C$4:C1571,C$4:C1571&lt;&gt;""""))),""^Sell_""),INDEX(FILTER(F$4:F1570,C$4:C1570&lt;&gt;""""),ROWS(FILTER(C$4:C1570,C$4:C1570&lt;&gt;""""))),$AC$5+E1571))"),"")</f>
        <v/>
      </c>
      <c r="G1571" s="10" t="str">
        <f>IFERROR(__xludf.DUMMYFUNCTION("IF(COUNTA(C1571:C1644)=0,"""",IF(C1571="""",0,IF(REGEXMATCH(C1571,""^Sell_""),-ROUNDDOWN(ROUNDUP(INDEX(Upgrades!$C$3:$C$13,MATCH(SUBSTITUTE(C1571,""Sell_"",""""),Upgrades!$B$3:$B$13,0))*1.15^(COUNTIF(C$4:C1570,SUBSTITUTE(C1571,""Sell_"",""""))-COUNTIF(C$4"&amp;":C1570,""Sell_""&amp;SUBSTITUTE(C1571,""Sell_"",""""))))/2),ROUNDUP(INDEX(Upgrades!$C$3:$C$13,MATCH(C1571,Upgrades!$B$3:$B$13,0))*1.15^(COUNTIF(C$4:C1570,C1571)-COUNTIF(C$4:C1570,""Sell_""&amp;C1571))))))"),"")</f>
        <v/>
      </c>
      <c r="H1571" s="10" t="str">
        <f t="shared" si="3"/>
        <v/>
      </c>
      <c r="I1571" s="68" t="str">
        <f t="shared" si="4"/>
        <v/>
      </c>
      <c r="J1571" s="59" t="str">
        <f t="shared" si="5"/>
        <v/>
      </c>
      <c r="K1571" s="69" t="str">
        <f t="shared" si="6"/>
        <v/>
      </c>
      <c r="L1571" s="60" t="str">
        <f t="shared" si="7"/>
        <v/>
      </c>
      <c r="M1571" s="61" t="str">
        <f>IFERROR(__xludf.DUMMYFUNCTION("IFS(AND(COUNTA(C1571:C1644)=0,COUNTA(Q1571:Q1644)=0),"""",OR(AND(K1571&gt;=1000000000,OR(Y1571&gt;=1000000000,COUNTA(Q1571:Q1644)=0)),OR(Y1571&gt;=1000000000,AND(COUNTA(C1571:C1644)=0,P$3=TRUE))),
ROUNDDOWN((AB$1-AC$1)*MAX(INDEX(T$4:T1644,MATCH(LARGE(FILTER(Y$4:Y1"&amp;"644,Y$4:Y1644&lt;1000000000),1),Y$4:Y1644)),INDEX(F$4:F1644,MATCH(LARGE(FILTER(K$4:K1644,K$4:K1644&lt;1000000000),1),K$4:K1644)))),AND(K1571&lt;1000000000,COUNTA(C1571:C1644)&gt;0,P$3=FALSE),
ROUNDDOWN(INDEX(Y$4:Y1644,MATCH(LARGE(FILTER(W$4:W1644,W$4:W1644&lt;=I1571),1)"&amp;",W$4:W1644))+(I1571-LARGE(FILTER(W$4:W1644,W$4:W1644&lt;=I1571),1))*INDEX(T$4:T1644,MATCH(LARGE(FILTER(W$4:W1644,W$4:W1644&lt;=I1571),1),W$4:W1644))-K1571),1,
ROUNDDOWN(Y1571-INDEX(K$4:K1644,MATCH(LARGE(FILTER(I$4:I1644,I$4:I1644&lt;=W1571),1),I$4:I1644))-(W1571-L"&amp;"ARGE(FILTER(I$4:I1644,I$4:I1644&lt;=W1571),1))*INDEX(F$4:F1644,MATCH(LARGE(FILTER(I$4:I1644,I$4:I1644&lt;=W1571),1),I$4:I1644))))"),"")</f>
        <v/>
      </c>
      <c r="N1571" s="60" t="str">
        <f t="shared" si="8"/>
        <v/>
      </c>
      <c r="O1571" s="61" t="str">
        <f t="shared" si="9"/>
        <v/>
      </c>
      <c r="P1571" s="56" t="str">
        <f t="shared" si="10"/>
        <v/>
      </c>
      <c r="Q1571" s="105"/>
      <c r="R1571" s="10"/>
      <c r="S1571" s="59" t="str">
        <f t="array" ref="S1571">IF(COUNTA(Q1571:Q1644)=0,"",SUM((COUNTIF(Q$4:Q1571,Upgrades!$B$3:$B$13)-COUNTIF(Q$4:Q1571,"Sell_"&amp;Upgrades!$B$3:$B$13))*Upgrades!$D$3:$D$13))</f>
        <v/>
      </c>
      <c r="T1571" s="66" t="str">
        <f>IFERROR(__xludf.DUMMYFUNCTION("IF(COUNTA(Q1571:Q1644)=0,"""",IF(REGEXMATCH(INDEX(FILTER(Q$4:Q1571,Q$4:Q1571&lt;&gt;""""),ROWS(FILTER(Q$4:Q1571,Q$4:Q1571&lt;&gt;""""))),""^Sell_""),INDEX(FILTER(T$4:T1570,Q$4:Q1570&lt;&gt;""""),ROWS(FILTER(Q$4:Q1570,Q$4:Q1570&lt;&gt;""""))),$AD$5+S1571))"),"")</f>
        <v/>
      </c>
      <c r="U1571" s="10" t="str">
        <f>IFERROR(__xludf.DUMMYFUNCTION("IF(COUNTA(Q1571:Q1644)=0,"""",IF(Q1571="""",0,IF(REGEXMATCH(Q1571,""^Sell_""),-ROUNDDOWN(ROUNDUP(INDEX(Upgrades!$C$3:$C$13,MATCH(SUBSTITUTE(Q1571,""Sell_"",""""),Upgrades!$B$3:$B$13,0))*1.15^(COUNTIF(Q$4:Q1570,SUBSTITUTE(Q1571,""Sell_"",""""))-COUNTIF(Q$4"&amp;":Q1570,""Sell_""&amp;SUBSTITUTE(Q1571,""Sell_"",""""))))/2),ROUNDUP(INDEX(Upgrades!$C$3:$C$13,MATCH(Q1571,Upgrades!$B$3:$B$13,0))*1.15^(COUNTIF(Q$4:Q1570,Q1571)-COUNTIF(Q$4:Q1570,""Sell_""&amp;Q1571))))))"),"")</f>
        <v/>
      </c>
      <c r="V1571" s="10" t="str">
        <f t="shared" si="11"/>
        <v/>
      </c>
      <c r="W1571" s="68" t="str">
        <f t="shared" si="12"/>
        <v/>
      </c>
      <c r="X1571" s="59" t="str">
        <f t="shared" si="13"/>
        <v/>
      </c>
      <c r="Y1571" s="69" t="str">
        <f t="shared" si="14"/>
        <v/>
      </c>
      <c r="Z1571" s="11"/>
      <c r="AG1571" s="59"/>
    </row>
    <row r="1572">
      <c r="A1572" s="8"/>
      <c r="B1572" s="56" t="str">
        <f t="shared" si="2"/>
        <v/>
      </c>
      <c r="C1572" s="105"/>
      <c r="D1572" s="10"/>
      <c r="E1572" s="59" t="str">
        <f t="array" ref="E1572">IF(COUNTA(C1572:C1644)=0,"",SUM((COUNTIF(C$4:C1572,Upgrades!$B$3:$B$13)-COUNTIF(C$4:C1572,"Sell_"&amp;Upgrades!$B$3:$B$13))*Upgrades!$D$3:$D$13))</f>
        <v/>
      </c>
      <c r="F1572" s="66" t="str">
        <f>IFERROR(__xludf.DUMMYFUNCTION("IF(COUNTA(C1572:C1644)=0,"""",IF(REGEXMATCH(INDEX(FILTER(C$4:C1572,C$4:C1572&lt;&gt;""""),ROWS(FILTER(C$4:C1572,C$4:C1572&lt;&gt;""""))),""^Sell_""),INDEX(FILTER(F$4:F1571,C$4:C1571&lt;&gt;""""),ROWS(FILTER(C$4:C1571,C$4:C1571&lt;&gt;""""))),$AC$5+E1572))"),"")</f>
        <v/>
      </c>
      <c r="G1572" s="10" t="str">
        <f>IFERROR(__xludf.DUMMYFUNCTION("IF(COUNTA(C1572:C1644)=0,"""",IF(C1572="""",0,IF(REGEXMATCH(C1572,""^Sell_""),-ROUNDDOWN(ROUNDUP(INDEX(Upgrades!$C$3:$C$13,MATCH(SUBSTITUTE(C1572,""Sell_"",""""),Upgrades!$B$3:$B$13,0))*1.15^(COUNTIF(C$4:C1571,SUBSTITUTE(C1572,""Sell_"",""""))-COUNTIF(C$4"&amp;":C1571,""Sell_""&amp;SUBSTITUTE(C1572,""Sell_"",""""))))/2),ROUNDUP(INDEX(Upgrades!$C$3:$C$13,MATCH(C1572,Upgrades!$B$3:$B$13,0))*1.15^(COUNTIF(C$4:C1571,C1572)-COUNTIF(C$4:C1571,""Sell_""&amp;C1572))))))"),"")</f>
        <v/>
      </c>
      <c r="H1572" s="10" t="str">
        <f t="shared" si="3"/>
        <v/>
      </c>
      <c r="I1572" s="68" t="str">
        <f t="shared" si="4"/>
        <v/>
      </c>
      <c r="J1572" s="59" t="str">
        <f t="shared" si="5"/>
        <v/>
      </c>
      <c r="K1572" s="69" t="str">
        <f t="shared" si="6"/>
        <v/>
      </c>
      <c r="L1572" s="60" t="str">
        <f t="shared" si="7"/>
        <v/>
      </c>
      <c r="M1572" s="61" t="str">
        <f>IFERROR(__xludf.DUMMYFUNCTION("IFS(AND(COUNTA(C1572:C1644)=0,COUNTA(Q1572:Q1644)=0),"""",OR(AND(K1572&gt;=1000000000,OR(Y1572&gt;=1000000000,COUNTA(Q1572:Q1644)=0)),OR(Y1572&gt;=1000000000,AND(COUNTA(C1572:C1644)=0,P$3=TRUE))),
ROUNDDOWN((AB$1-AC$1)*MAX(INDEX(T$4:T1644,MATCH(LARGE(FILTER(Y$4:Y1"&amp;"644,Y$4:Y1644&lt;1000000000),1),Y$4:Y1644)),INDEX(F$4:F1644,MATCH(LARGE(FILTER(K$4:K1644,K$4:K1644&lt;1000000000),1),K$4:K1644)))),AND(K1572&lt;1000000000,COUNTA(C1572:C1644)&gt;0,P$3=FALSE),
ROUNDDOWN(INDEX(Y$4:Y1644,MATCH(LARGE(FILTER(W$4:W1644,W$4:W1644&lt;=I1572),1)"&amp;",W$4:W1644))+(I1572-LARGE(FILTER(W$4:W1644,W$4:W1644&lt;=I1572),1))*INDEX(T$4:T1644,MATCH(LARGE(FILTER(W$4:W1644,W$4:W1644&lt;=I1572),1),W$4:W1644))-K1572),1,
ROUNDDOWN(Y1572-INDEX(K$4:K1644,MATCH(LARGE(FILTER(I$4:I1644,I$4:I1644&lt;=W1572),1),I$4:I1644))-(W1572-L"&amp;"ARGE(FILTER(I$4:I1644,I$4:I1644&lt;=W1572),1))*INDEX(F$4:F1644,MATCH(LARGE(FILTER(I$4:I1644,I$4:I1644&lt;=W1572),1),I$4:I1644))))"),"")</f>
        <v/>
      </c>
      <c r="N1572" s="60" t="str">
        <f t="shared" si="8"/>
        <v/>
      </c>
      <c r="O1572" s="61" t="str">
        <f t="shared" si="9"/>
        <v/>
      </c>
      <c r="P1572" s="56" t="str">
        <f t="shared" si="10"/>
        <v/>
      </c>
      <c r="Q1572" s="105"/>
      <c r="R1572" s="10"/>
      <c r="S1572" s="59" t="str">
        <f t="array" ref="S1572">IF(COUNTA(Q1572:Q1644)=0,"",SUM((COUNTIF(Q$4:Q1572,Upgrades!$B$3:$B$13)-COUNTIF(Q$4:Q1572,"Sell_"&amp;Upgrades!$B$3:$B$13))*Upgrades!$D$3:$D$13))</f>
        <v/>
      </c>
      <c r="T1572" s="66" t="str">
        <f>IFERROR(__xludf.DUMMYFUNCTION("IF(COUNTA(Q1572:Q1644)=0,"""",IF(REGEXMATCH(INDEX(FILTER(Q$4:Q1572,Q$4:Q1572&lt;&gt;""""),ROWS(FILTER(Q$4:Q1572,Q$4:Q1572&lt;&gt;""""))),""^Sell_""),INDEX(FILTER(T$4:T1571,Q$4:Q1571&lt;&gt;""""),ROWS(FILTER(Q$4:Q1571,Q$4:Q1571&lt;&gt;""""))),$AD$5+S1572))"),"")</f>
        <v/>
      </c>
      <c r="U1572" s="10" t="str">
        <f>IFERROR(__xludf.DUMMYFUNCTION("IF(COUNTA(Q1572:Q1644)=0,"""",IF(Q1572="""",0,IF(REGEXMATCH(Q1572,""^Sell_""),-ROUNDDOWN(ROUNDUP(INDEX(Upgrades!$C$3:$C$13,MATCH(SUBSTITUTE(Q1572,""Sell_"",""""),Upgrades!$B$3:$B$13,0))*1.15^(COUNTIF(Q$4:Q1571,SUBSTITUTE(Q1572,""Sell_"",""""))-COUNTIF(Q$4"&amp;":Q1571,""Sell_""&amp;SUBSTITUTE(Q1572,""Sell_"",""""))))/2),ROUNDUP(INDEX(Upgrades!$C$3:$C$13,MATCH(Q1572,Upgrades!$B$3:$B$13,0))*1.15^(COUNTIF(Q$4:Q1571,Q1572)-COUNTIF(Q$4:Q1571,""Sell_""&amp;Q1572))))))"),"")</f>
        <v/>
      </c>
      <c r="V1572" s="10" t="str">
        <f t="shared" si="11"/>
        <v/>
      </c>
      <c r="W1572" s="68" t="str">
        <f t="shared" si="12"/>
        <v/>
      </c>
      <c r="X1572" s="59" t="str">
        <f t="shared" si="13"/>
        <v/>
      </c>
      <c r="Y1572" s="69" t="str">
        <f t="shared" si="14"/>
        <v/>
      </c>
      <c r="Z1572" s="11"/>
      <c r="AG1572" s="59"/>
    </row>
    <row r="1573">
      <c r="A1573" s="8"/>
      <c r="B1573" s="56" t="str">
        <f t="shared" si="2"/>
        <v/>
      </c>
      <c r="C1573" s="105"/>
      <c r="D1573" s="10"/>
      <c r="E1573" s="59" t="str">
        <f t="array" ref="E1573">IF(COUNTA(C1573:C1644)=0,"",SUM((COUNTIF(C$4:C1573,Upgrades!$B$3:$B$13)-COUNTIF(C$4:C1573,"Sell_"&amp;Upgrades!$B$3:$B$13))*Upgrades!$D$3:$D$13))</f>
        <v/>
      </c>
      <c r="F1573" s="66" t="str">
        <f>IFERROR(__xludf.DUMMYFUNCTION("IF(COUNTA(C1573:C1644)=0,"""",IF(REGEXMATCH(INDEX(FILTER(C$4:C1573,C$4:C1573&lt;&gt;""""),ROWS(FILTER(C$4:C1573,C$4:C1573&lt;&gt;""""))),""^Sell_""),INDEX(FILTER(F$4:F1572,C$4:C1572&lt;&gt;""""),ROWS(FILTER(C$4:C1572,C$4:C1572&lt;&gt;""""))),$AC$5+E1573))"),"")</f>
        <v/>
      </c>
      <c r="G1573" s="10" t="str">
        <f>IFERROR(__xludf.DUMMYFUNCTION("IF(COUNTA(C1573:C1644)=0,"""",IF(C1573="""",0,IF(REGEXMATCH(C1573,""^Sell_""),-ROUNDDOWN(ROUNDUP(INDEX(Upgrades!$C$3:$C$13,MATCH(SUBSTITUTE(C1573,""Sell_"",""""),Upgrades!$B$3:$B$13,0))*1.15^(COUNTIF(C$4:C1572,SUBSTITUTE(C1573,""Sell_"",""""))-COUNTIF(C$4"&amp;":C1572,""Sell_""&amp;SUBSTITUTE(C1573,""Sell_"",""""))))/2),ROUNDUP(INDEX(Upgrades!$C$3:$C$13,MATCH(C1573,Upgrades!$B$3:$B$13,0))*1.15^(COUNTIF(C$4:C1572,C1573)-COUNTIF(C$4:C1572,""Sell_""&amp;C1573))))))"),"")</f>
        <v/>
      </c>
      <c r="H1573" s="10" t="str">
        <f t="shared" si="3"/>
        <v/>
      </c>
      <c r="I1573" s="68" t="str">
        <f t="shared" si="4"/>
        <v/>
      </c>
      <c r="J1573" s="59" t="str">
        <f t="shared" si="5"/>
        <v/>
      </c>
      <c r="K1573" s="69" t="str">
        <f t="shared" si="6"/>
        <v/>
      </c>
      <c r="L1573" s="60" t="str">
        <f t="shared" si="7"/>
        <v/>
      </c>
      <c r="M1573" s="61" t="str">
        <f>IFERROR(__xludf.DUMMYFUNCTION("IFS(AND(COUNTA(C1573:C1644)=0,COUNTA(Q1573:Q1644)=0),"""",OR(AND(K1573&gt;=1000000000,OR(Y1573&gt;=1000000000,COUNTA(Q1573:Q1644)=0)),OR(Y1573&gt;=1000000000,AND(COUNTA(C1573:C1644)=0,P$3=TRUE))),
ROUNDDOWN((AB$1-AC$1)*MAX(INDEX(T$4:T1644,MATCH(LARGE(FILTER(Y$4:Y1"&amp;"644,Y$4:Y1644&lt;1000000000),1),Y$4:Y1644)),INDEX(F$4:F1644,MATCH(LARGE(FILTER(K$4:K1644,K$4:K1644&lt;1000000000),1),K$4:K1644)))),AND(K1573&lt;1000000000,COUNTA(C1573:C1644)&gt;0,P$3=FALSE),
ROUNDDOWN(INDEX(Y$4:Y1644,MATCH(LARGE(FILTER(W$4:W1644,W$4:W1644&lt;=I1573),1)"&amp;",W$4:W1644))+(I1573-LARGE(FILTER(W$4:W1644,W$4:W1644&lt;=I1573),1))*INDEX(T$4:T1644,MATCH(LARGE(FILTER(W$4:W1644,W$4:W1644&lt;=I1573),1),W$4:W1644))-K1573),1,
ROUNDDOWN(Y1573-INDEX(K$4:K1644,MATCH(LARGE(FILTER(I$4:I1644,I$4:I1644&lt;=W1573),1),I$4:I1644))-(W1573-L"&amp;"ARGE(FILTER(I$4:I1644,I$4:I1644&lt;=W1573),1))*INDEX(F$4:F1644,MATCH(LARGE(FILTER(I$4:I1644,I$4:I1644&lt;=W1573),1),I$4:I1644))))"),"")</f>
        <v/>
      </c>
      <c r="N1573" s="60" t="str">
        <f t="shared" si="8"/>
        <v/>
      </c>
      <c r="O1573" s="61" t="str">
        <f t="shared" si="9"/>
        <v/>
      </c>
      <c r="P1573" s="56" t="str">
        <f t="shared" si="10"/>
        <v/>
      </c>
      <c r="Q1573" s="105"/>
      <c r="R1573" s="10"/>
      <c r="S1573" s="59" t="str">
        <f t="array" ref="S1573">IF(COUNTA(Q1573:Q1644)=0,"",SUM((COUNTIF(Q$4:Q1573,Upgrades!$B$3:$B$13)-COUNTIF(Q$4:Q1573,"Sell_"&amp;Upgrades!$B$3:$B$13))*Upgrades!$D$3:$D$13))</f>
        <v/>
      </c>
      <c r="T1573" s="66" t="str">
        <f>IFERROR(__xludf.DUMMYFUNCTION("IF(COUNTA(Q1573:Q1644)=0,"""",IF(REGEXMATCH(INDEX(FILTER(Q$4:Q1573,Q$4:Q1573&lt;&gt;""""),ROWS(FILTER(Q$4:Q1573,Q$4:Q1573&lt;&gt;""""))),""^Sell_""),INDEX(FILTER(T$4:T1572,Q$4:Q1572&lt;&gt;""""),ROWS(FILTER(Q$4:Q1572,Q$4:Q1572&lt;&gt;""""))),$AD$5+S1573))"),"")</f>
        <v/>
      </c>
      <c r="U1573" s="10" t="str">
        <f>IFERROR(__xludf.DUMMYFUNCTION("IF(COUNTA(Q1573:Q1644)=0,"""",IF(Q1573="""",0,IF(REGEXMATCH(Q1573,""^Sell_""),-ROUNDDOWN(ROUNDUP(INDEX(Upgrades!$C$3:$C$13,MATCH(SUBSTITUTE(Q1573,""Sell_"",""""),Upgrades!$B$3:$B$13,0))*1.15^(COUNTIF(Q$4:Q1572,SUBSTITUTE(Q1573,""Sell_"",""""))-COUNTIF(Q$4"&amp;":Q1572,""Sell_""&amp;SUBSTITUTE(Q1573,""Sell_"",""""))))/2),ROUNDUP(INDEX(Upgrades!$C$3:$C$13,MATCH(Q1573,Upgrades!$B$3:$B$13,0))*1.15^(COUNTIF(Q$4:Q1572,Q1573)-COUNTIF(Q$4:Q1572,""Sell_""&amp;Q1573))))))"),"")</f>
        <v/>
      </c>
      <c r="V1573" s="10" t="str">
        <f t="shared" si="11"/>
        <v/>
      </c>
      <c r="W1573" s="68" t="str">
        <f t="shared" si="12"/>
        <v/>
      </c>
      <c r="X1573" s="59" t="str">
        <f t="shared" si="13"/>
        <v/>
      </c>
      <c r="Y1573" s="69" t="str">
        <f t="shared" si="14"/>
        <v/>
      </c>
      <c r="Z1573" s="11"/>
      <c r="AG1573" s="59"/>
    </row>
    <row r="1574">
      <c r="A1574" s="8"/>
      <c r="B1574" s="56" t="str">
        <f t="shared" si="2"/>
        <v/>
      </c>
      <c r="C1574" s="105"/>
      <c r="D1574" s="10"/>
      <c r="E1574" s="59" t="str">
        <f t="array" ref="E1574">IF(COUNTA(C1574:C1644)=0,"",SUM((COUNTIF(C$4:C1574,Upgrades!$B$3:$B$13)-COUNTIF(C$4:C1574,"Sell_"&amp;Upgrades!$B$3:$B$13))*Upgrades!$D$3:$D$13))</f>
        <v/>
      </c>
      <c r="F1574" s="66" t="str">
        <f>IFERROR(__xludf.DUMMYFUNCTION("IF(COUNTA(C1574:C1644)=0,"""",IF(REGEXMATCH(INDEX(FILTER(C$4:C1574,C$4:C1574&lt;&gt;""""),ROWS(FILTER(C$4:C1574,C$4:C1574&lt;&gt;""""))),""^Sell_""),INDEX(FILTER(F$4:F1573,C$4:C1573&lt;&gt;""""),ROWS(FILTER(C$4:C1573,C$4:C1573&lt;&gt;""""))),$AC$5+E1574))"),"")</f>
        <v/>
      </c>
      <c r="G1574" s="10" t="str">
        <f>IFERROR(__xludf.DUMMYFUNCTION("IF(COUNTA(C1574:C1644)=0,"""",IF(C1574="""",0,IF(REGEXMATCH(C1574,""^Sell_""),-ROUNDDOWN(ROUNDUP(INDEX(Upgrades!$C$3:$C$13,MATCH(SUBSTITUTE(C1574,""Sell_"",""""),Upgrades!$B$3:$B$13,0))*1.15^(COUNTIF(C$4:C1573,SUBSTITUTE(C1574,""Sell_"",""""))-COUNTIF(C$4"&amp;":C1573,""Sell_""&amp;SUBSTITUTE(C1574,""Sell_"",""""))))/2),ROUNDUP(INDEX(Upgrades!$C$3:$C$13,MATCH(C1574,Upgrades!$B$3:$B$13,0))*1.15^(COUNTIF(C$4:C1573,C1574)-COUNTIF(C$4:C1573,""Sell_""&amp;C1574))))))"),"")</f>
        <v/>
      </c>
      <c r="H1574" s="10" t="str">
        <f t="shared" si="3"/>
        <v/>
      </c>
      <c r="I1574" s="68" t="str">
        <f t="shared" si="4"/>
        <v/>
      </c>
      <c r="J1574" s="59" t="str">
        <f t="shared" si="5"/>
        <v/>
      </c>
      <c r="K1574" s="69" t="str">
        <f t="shared" si="6"/>
        <v/>
      </c>
      <c r="L1574" s="60" t="str">
        <f t="shared" si="7"/>
        <v/>
      </c>
      <c r="M1574" s="61" t="str">
        <f>IFERROR(__xludf.DUMMYFUNCTION("IFS(AND(COUNTA(C1574:C1644)=0,COUNTA(Q1574:Q1644)=0),"""",OR(AND(K1574&gt;=1000000000,OR(Y1574&gt;=1000000000,COUNTA(Q1574:Q1644)=0)),OR(Y1574&gt;=1000000000,AND(COUNTA(C1574:C1644)=0,P$3=TRUE))),
ROUNDDOWN((AB$1-AC$1)*MAX(INDEX(T$4:T1644,MATCH(LARGE(FILTER(Y$4:Y1"&amp;"644,Y$4:Y1644&lt;1000000000),1),Y$4:Y1644)),INDEX(F$4:F1644,MATCH(LARGE(FILTER(K$4:K1644,K$4:K1644&lt;1000000000),1),K$4:K1644)))),AND(K1574&lt;1000000000,COUNTA(C1574:C1644)&gt;0,P$3=FALSE),
ROUNDDOWN(INDEX(Y$4:Y1644,MATCH(LARGE(FILTER(W$4:W1644,W$4:W1644&lt;=I1574),1)"&amp;",W$4:W1644))+(I1574-LARGE(FILTER(W$4:W1644,W$4:W1644&lt;=I1574),1))*INDEX(T$4:T1644,MATCH(LARGE(FILTER(W$4:W1644,W$4:W1644&lt;=I1574),1),W$4:W1644))-K1574),1,
ROUNDDOWN(Y1574-INDEX(K$4:K1644,MATCH(LARGE(FILTER(I$4:I1644,I$4:I1644&lt;=W1574),1),I$4:I1644))-(W1574-L"&amp;"ARGE(FILTER(I$4:I1644,I$4:I1644&lt;=W1574),1))*INDEX(F$4:F1644,MATCH(LARGE(FILTER(I$4:I1644,I$4:I1644&lt;=W1574),1),I$4:I1644))))"),"")</f>
        <v/>
      </c>
      <c r="N1574" s="60" t="str">
        <f t="shared" si="8"/>
        <v/>
      </c>
      <c r="O1574" s="61" t="str">
        <f t="shared" si="9"/>
        <v/>
      </c>
      <c r="P1574" s="56" t="str">
        <f t="shared" si="10"/>
        <v/>
      </c>
      <c r="Q1574" s="105"/>
      <c r="R1574" s="10"/>
      <c r="S1574" s="59" t="str">
        <f t="array" ref="S1574">IF(COUNTA(Q1574:Q1644)=0,"",SUM((COUNTIF(Q$4:Q1574,Upgrades!$B$3:$B$13)-COUNTIF(Q$4:Q1574,"Sell_"&amp;Upgrades!$B$3:$B$13))*Upgrades!$D$3:$D$13))</f>
        <v/>
      </c>
      <c r="T1574" s="66" t="str">
        <f>IFERROR(__xludf.DUMMYFUNCTION("IF(COUNTA(Q1574:Q1644)=0,"""",IF(REGEXMATCH(INDEX(FILTER(Q$4:Q1574,Q$4:Q1574&lt;&gt;""""),ROWS(FILTER(Q$4:Q1574,Q$4:Q1574&lt;&gt;""""))),""^Sell_""),INDEX(FILTER(T$4:T1573,Q$4:Q1573&lt;&gt;""""),ROWS(FILTER(Q$4:Q1573,Q$4:Q1573&lt;&gt;""""))),$AD$5+S1574))"),"")</f>
        <v/>
      </c>
      <c r="U1574" s="10" t="str">
        <f>IFERROR(__xludf.DUMMYFUNCTION("IF(COUNTA(Q1574:Q1644)=0,"""",IF(Q1574="""",0,IF(REGEXMATCH(Q1574,""^Sell_""),-ROUNDDOWN(ROUNDUP(INDEX(Upgrades!$C$3:$C$13,MATCH(SUBSTITUTE(Q1574,""Sell_"",""""),Upgrades!$B$3:$B$13,0))*1.15^(COUNTIF(Q$4:Q1573,SUBSTITUTE(Q1574,""Sell_"",""""))-COUNTIF(Q$4"&amp;":Q1573,""Sell_""&amp;SUBSTITUTE(Q1574,""Sell_"",""""))))/2),ROUNDUP(INDEX(Upgrades!$C$3:$C$13,MATCH(Q1574,Upgrades!$B$3:$B$13,0))*1.15^(COUNTIF(Q$4:Q1573,Q1574)-COUNTIF(Q$4:Q1573,""Sell_""&amp;Q1574))))))"),"")</f>
        <v/>
      </c>
      <c r="V1574" s="10" t="str">
        <f t="shared" si="11"/>
        <v/>
      </c>
      <c r="W1574" s="68" t="str">
        <f t="shared" si="12"/>
        <v/>
      </c>
      <c r="X1574" s="59" t="str">
        <f t="shared" si="13"/>
        <v/>
      </c>
      <c r="Y1574" s="69" t="str">
        <f t="shared" si="14"/>
        <v/>
      </c>
      <c r="Z1574" s="11"/>
      <c r="AG1574" s="59"/>
    </row>
    <row r="1575">
      <c r="A1575" s="8"/>
      <c r="B1575" s="56" t="str">
        <f t="shared" si="2"/>
        <v/>
      </c>
      <c r="C1575" s="105"/>
      <c r="D1575" s="10"/>
      <c r="E1575" s="59" t="str">
        <f t="array" ref="E1575">IF(COUNTA(C1575:C1644)=0,"",SUM((COUNTIF(C$4:C1575,Upgrades!$B$3:$B$13)-COUNTIF(C$4:C1575,"Sell_"&amp;Upgrades!$B$3:$B$13))*Upgrades!$D$3:$D$13))</f>
        <v/>
      </c>
      <c r="F1575" s="66" t="str">
        <f>IFERROR(__xludf.DUMMYFUNCTION("IF(COUNTA(C1575:C1644)=0,"""",IF(REGEXMATCH(INDEX(FILTER(C$4:C1575,C$4:C1575&lt;&gt;""""),ROWS(FILTER(C$4:C1575,C$4:C1575&lt;&gt;""""))),""^Sell_""),INDEX(FILTER(F$4:F1574,C$4:C1574&lt;&gt;""""),ROWS(FILTER(C$4:C1574,C$4:C1574&lt;&gt;""""))),$AC$5+E1575))"),"")</f>
        <v/>
      </c>
      <c r="G1575" s="10" t="str">
        <f>IFERROR(__xludf.DUMMYFUNCTION("IF(COUNTA(C1575:C1644)=0,"""",IF(C1575="""",0,IF(REGEXMATCH(C1575,""^Sell_""),-ROUNDDOWN(ROUNDUP(INDEX(Upgrades!$C$3:$C$13,MATCH(SUBSTITUTE(C1575,""Sell_"",""""),Upgrades!$B$3:$B$13,0))*1.15^(COUNTIF(C$4:C1574,SUBSTITUTE(C1575,""Sell_"",""""))-COUNTIF(C$4"&amp;":C1574,""Sell_""&amp;SUBSTITUTE(C1575,""Sell_"",""""))))/2),ROUNDUP(INDEX(Upgrades!$C$3:$C$13,MATCH(C1575,Upgrades!$B$3:$B$13,0))*1.15^(COUNTIF(C$4:C1574,C1575)-COUNTIF(C$4:C1574,""Sell_""&amp;C1575))))))"),"")</f>
        <v/>
      </c>
      <c r="H1575" s="10" t="str">
        <f t="shared" si="3"/>
        <v/>
      </c>
      <c r="I1575" s="68" t="str">
        <f t="shared" si="4"/>
        <v/>
      </c>
      <c r="J1575" s="59" t="str">
        <f t="shared" si="5"/>
        <v/>
      </c>
      <c r="K1575" s="69" t="str">
        <f t="shared" si="6"/>
        <v/>
      </c>
      <c r="L1575" s="60" t="str">
        <f t="shared" si="7"/>
        <v/>
      </c>
      <c r="M1575" s="61" t="str">
        <f>IFERROR(__xludf.DUMMYFUNCTION("IFS(AND(COUNTA(C1575:C1644)=0,COUNTA(Q1575:Q1644)=0),"""",OR(AND(K1575&gt;=1000000000,OR(Y1575&gt;=1000000000,COUNTA(Q1575:Q1644)=0)),OR(Y1575&gt;=1000000000,AND(COUNTA(C1575:C1644)=0,P$3=TRUE))),
ROUNDDOWN((AB$1-AC$1)*MAX(INDEX(T$4:T1644,MATCH(LARGE(FILTER(Y$4:Y1"&amp;"644,Y$4:Y1644&lt;1000000000),1),Y$4:Y1644)),INDEX(F$4:F1644,MATCH(LARGE(FILTER(K$4:K1644,K$4:K1644&lt;1000000000),1),K$4:K1644)))),AND(K1575&lt;1000000000,COUNTA(C1575:C1644)&gt;0,P$3=FALSE),
ROUNDDOWN(INDEX(Y$4:Y1644,MATCH(LARGE(FILTER(W$4:W1644,W$4:W1644&lt;=I1575),1)"&amp;",W$4:W1644))+(I1575-LARGE(FILTER(W$4:W1644,W$4:W1644&lt;=I1575),1))*INDEX(T$4:T1644,MATCH(LARGE(FILTER(W$4:W1644,W$4:W1644&lt;=I1575),1),W$4:W1644))-K1575),1,
ROUNDDOWN(Y1575-INDEX(K$4:K1644,MATCH(LARGE(FILTER(I$4:I1644,I$4:I1644&lt;=W1575),1),I$4:I1644))-(W1575-L"&amp;"ARGE(FILTER(I$4:I1644,I$4:I1644&lt;=W1575),1))*INDEX(F$4:F1644,MATCH(LARGE(FILTER(I$4:I1644,I$4:I1644&lt;=W1575),1),I$4:I1644))))"),"")</f>
        <v/>
      </c>
      <c r="N1575" s="60" t="str">
        <f t="shared" si="8"/>
        <v/>
      </c>
      <c r="O1575" s="61" t="str">
        <f t="shared" si="9"/>
        <v/>
      </c>
      <c r="P1575" s="56" t="str">
        <f t="shared" si="10"/>
        <v/>
      </c>
      <c r="Q1575" s="105"/>
      <c r="R1575" s="10"/>
      <c r="S1575" s="59" t="str">
        <f t="array" ref="S1575">IF(COUNTA(Q1575:Q1644)=0,"",SUM((COUNTIF(Q$4:Q1575,Upgrades!$B$3:$B$13)-COUNTIF(Q$4:Q1575,"Sell_"&amp;Upgrades!$B$3:$B$13))*Upgrades!$D$3:$D$13))</f>
        <v/>
      </c>
      <c r="T1575" s="66" t="str">
        <f>IFERROR(__xludf.DUMMYFUNCTION("IF(COUNTA(Q1575:Q1644)=0,"""",IF(REGEXMATCH(INDEX(FILTER(Q$4:Q1575,Q$4:Q1575&lt;&gt;""""),ROWS(FILTER(Q$4:Q1575,Q$4:Q1575&lt;&gt;""""))),""^Sell_""),INDEX(FILTER(T$4:T1574,Q$4:Q1574&lt;&gt;""""),ROWS(FILTER(Q$4:Q1574,Q$4:Q1574&lt;&gt;""""))),$AD$5+S1575))"),"")</f>
        <v/>
      </c>
      <c r="U1575" s="10" t="str">
        <f>IFERROR(__xludf.DUMMYFUNCTION("IF(COUNTA(Q1575:Q1644)=0,"""",IF(Q1575="""",0,IF(REGEXMATCH(Q1575,""^Sell_""),-ROUNDDOWN(ROUNDUP(INDEX(Upgrades!$C$3:$C$13,MATCH(SUBSTITUTE(Q1575,""Sell_"",""""),Upgrades!$B$3:$B$13,0))*1.15^(COUNTIF(Q$4:Q1574,SUBSTITUTE(Q1575,""Sell_"",""""))-COUNTIF(Q$4"&amp;":Q1574,""Sell_""&amp;SUBSTITUTE(Q1575,""Sell_"",""""))))/2),ROUNDUP(INDEX(Upgrades!$C$3:$C$13,MATCH(Q1575,Upgrades!$B$3:$B$13,0))*1.15^(COUNTIF(Q$4:Q1574,Q1575)-COUNTIF(Q$4:Q1574,""Sell_""&amp;Q1575))))))"),"")</f>
        <v/>
      </c>
      <c r="V1575" s="10" t="str">
        <f t="shared" si="11"/>
        <v/>
      </c>
      <c r="W1575" s="68" t="str">
        <f t="shared" si="12"/>
        <v/>
      </c>
      <c r="X1575" s="59" t="str">
        <f t="shared" si="13"/>
        <v/>
      </c>
      <c r="Y1575" s="69" t="str">
        <f t="shared" si="14"/>
        <v/>
      </c>
      <c r="Z1575" s="11"/>
      <c r="AG1575" s="59"/>
    </row>
    <row r="1576">
      <c r="A1576" s="8"/>
      <c r="B1576" s="56" t="str">
        <f t="shared" si="2"/>
        <v/>
      </c>
      <c r="C1576" s="105"/>
      <c r="D1576" s="10"/>
      <c r="E1576" s="59" t="str">
        <f t="array" ref="E1576">IF(COUNTA(C1576:C1644)=0,"",SUM((COUNTIF(C$4:C1576,Upgrades!$B$3:$B$13)-COUNTIF(C$4:C1576,"Sell_"&amp;Upgrades!$B$3:$B$13))*Upgrades!$D$3:$D$13))</f>
        <v/>
      </c>
      <c r="F1576" s="66" t="str">
        <f>IFERROR(__xludf.DUMMYFUNCTION("IF(COUNTA(C1576:C1644)=0,"""",IF(REGEXMATCH(INDEX(FILTER(C$4:C1576,C$4:C1576&lt;&gt;""""),ROWS(FILTER(C$4:C1576,C$4:C1576&lt;&gt;""""))),""^Sell_""),INDEX(FILTER(F$4:F1575,C$4:C1575&lt;&gt;""""),ROWS(FILTER(C$4:C1575,C$4:C1575&lt;&gt;""""))),$AC$5+E1576))"),"")</f>
        <v/>
      </c>
      <c r="G1576" s="10" t="str">
        <f>IFERROR(__xludf.DUMMYFUNCTION("IF(COUNTA(C1576:C1644)=0,"""",IF(C1576="""",0,IF(REGEXMATCH(C1576,""^Sell_""),-ROUNDDOWN(ROUNDUP(INDEX(Upgrades!$C$3:$C$13,MATCH(SUBSTITUTE(C1576,""Sell_"",""""),Upgrades!$B$3:$B$13,0))*1.15^(COUNTIF(C$4:C1575,SUBSTITUTE(C1576,""Sell_"",""""))-COUNTIF(C$4"&amp;":C1575,""Sell_""&amp;SUBSTITUTE(C1576,""Sell_"",""""))))/2),ROUNDUP(INDEX(Upgrades!$C$3:$C$13,MATCH(C1576,Upgrades!$B$3:$B$13,0))*1.15^(COUNTIF(C$4:C1575,C1576)-COUNTIF(C$4:C1575,""Sell_""&amp;C1576))))))"),"")</f>
        <v/>
      </c>
      <c r="H1576" s="10" t="str">
        <f t="shared" si="3"/>
        <v/>
      </c>
      <c r="I1576" s="68" t="str">
        <f t="shared" si="4"/>
        <v/>
      </c>
      <c r="J1576" s="59" t="str">
        <f t="shared" si="5"/>
        <v/>
      </c>
      <c r="K1576" s="69" t="str">
        <f t="shared" si="6"/>
        <v/>
      </c>
      <c r="L1576" s="60" t="str">
        <f t="shared" si="7"/>
        <v/>
      </c>
      <c r="M1576" s="61" t="str">
        <f>IFERROR(__xludf.DUMMYFUNCTION("IFS(AND(COUNTA(C1576:C1644)=0,COUNTA(Q1576:Q1644)=0),"""",OR(AND(K1576&gt;=1000000000,OR(Y1576&gt;=1000000000,COUNTA(Q1576:Q1644)=0)),OR(Y1576&gt;=1000000000,AND(COUNTA(C1576:C1644)=0,P$3=TRUE))),
ROUNDDOWN((AB$1-AC$1)*MAX(INDEX(T$4:T1644,MATCH(LARGE(FILTER(Y$4:Y1"&amp;"644,Y$4:Y1644&lt;1000000000),1),Y$4:Y1644)),INDEX(F$4:F1644,MATCH(LARGE(FILTER(K$4:K1644,K$4:K1644&lt;1000000000),1),K$4:K1644)))),AND(K1576&lt;1000000000,COUNTA(C1576:C1644)&gt;0,P$3=FALSE),
ROUNDDOWN(INDEX(Y$4:Y1644,MATCH(LARGE(FILTER(W$4:W1644,W$4:W1644&lt;=I1576),1)"&amp;",W$4:W1644))+(I1576-LARGE(FILTER(W$4:W1644,W$4:W1644&lt;=I1576),1))*INDEX(T$4:T1644,MATCH(LARGE(FILTER(W$4:W1644,W$4:W1644&lt;=I1576),1),W$4:W1644))-K1576),1,
ROUNDDOWN(Y1576-INDEX(K$4:K1644,MATCH(LARGE(FILTER(I$4:I1644,I$4:I1644&lt;=W1576),1),I$4:I1644))-(W1576-L"&amp;"ARGE(FILTER(I$4:I1644,I$4:I1644&lt;=W1576),1))*INDEX(F$4:F1644,MATCH(LARGE(FILTER(I$4:I1644,I$4:I1644&lt;=W1576),1),I$4:I1644))))"),"")</f>
        <v/>
      </c>
      <c r="N1576" s="60" t="str">
        <f t="shared" si="8"/>
        <v/>
      </c>
      <c r="O1576" s="61" t="str">
        <f t="shared" si="9"/>
        <v/>
      </c>
      <c r="P1576" s="56" t="str">
        <f t="shared" si="10"/>
        <v/>
      </c>
      <c r="Q1576" s="105"/>
      <c r="R1576" s="10"/>
      <c r="S1576" s="59" t="str">
        <f t="array" ref="S1576">IF(COUNTA(Q1576:Q1644)=0,"",SUM((COUNTIF(Q$4:Q1576,Upgrades!$B$3:$B$13)-COUNTIF(Q$4:Q1576,"Sell_"&amp;Upgrades!$B$3:$B$13))*Upgrades!$D$3:$D$13))</f>
        <v/>
      </c>
      <c r="T1576" s="66" t="str">
        <f>IFERROR(__xludf.DUMMYFUNCTION("IF(COUNTA(Q1576:Q1644)=0,"""",IF(REGEXMATCH(INDEX(FILTER(Q$4:Q1576,Q$4:Q1576&lt;&gt;""""),ROWS(FILTER(Q$4:Q1576,Q$4:Q1576&lt;&gt;""""))),""^Sell_""),INDEX(FILTER(T$4:T1575,Q$4:Q1575&lt;&gt;""""),ROWS(FILTER(Q$4:Q1575,Q$4:Q1575&lt;&gt;""""))),$AD$5+S1576))"),"")</f>
        <v/>
      </c>
      <c r="U1576" s="10" t="str">
        <f>IFERROR(__xludf.DUMMYFUNCTION("IF(COUNTA(Q1576:Q1644)=0,"""",IF(Q1576="""",0,IF(REGEXMATCH(Q1576,""^Sell_""),-ROUNDDOWN(ROUNDUP(INDEX(Upgrades!$C$3:$C$13,MATCH(SUBSTITUTE(Q1576,""Sell_"",""""),Upgrades!$B$3:$B$13,0))*1.15^(COUNTIF(Q$4:Q1575,SUBSTITUTE(Q1576,""Sell_"",""""))-COUNTIF(Q$4"&amp;":Q1575,""Sell_""&amp;SUBSTITUTE(Q1576,""Sell_"",""""))))/2),ROUNDUP(INDEX(Upgrades!$C$3:$C$13,MATCH(Q1576,Upgrades!$B$3:$B$13,0))*1.15^(COUNTIF(Q$4:Q1575,Q1576)-COUNTIF(Q$4:Q1575,""Sell_""&amp;Q1576))))))"),"")</f>
        <v/>
      </c>
      <c r="V1576" s="10" t="str">
        <f t="shared" si="11"/>
        <v/>
      </c>
      <c r="W1576" s="68" t="str">
        <f t="shared" si="12"/>
        <v/>
      </c>
      <c r="X1576" s="59" t="str">
        <f t="shared" si="13"/>
        <v/>
      </c>
      <c r="Y1576" s="69" t="str">
        <f t="shared" si="14"/>
        <v/>
      </c>
      <c r="Z1576" s="11"/>
      <c r="AG1576" s="59"/>
    </row>
    <row r="1577">
      <c r="A1577" s="8"/>
      <c r="B1577" s="56" t="str">
        <f t="shared" si="2"/>
        <v/>
      </c>
      <c r="C1577" s="105"/>
      <c r="D1577" s="10"/>
      <c r="E1577" s="59" t="str">
        <f t="array" ref="E1577">IF(COUNTA(C1577:C1644)=0,"",SUM((COUNTIF(C$4:C1577,Upgrades!$B$3:$B$13)-COUNTIF(C$4:C1577,"Sell_"&amp;Upgrades!$B$3:$B$13))*Upgrades!$D$3:$D$13))</f>
        <v/>
      </c>
      <c r="F1577" s="66" t="str">
        <f>IFERROR(__xludf.DUMMYFUNCTION("IF(COUNTA(C1577:C1644)=0,"""",IF(REGEXMATCH(INDEX(FILTER(C$4:C1577,C$4:C1577&lt;&gt;""""),ROWS(FILTER(C$4:C1577,C$4:C1577&lt;&gt;""""))),""^Sell_""),INDEX(FILTER(F$4:F1576,C$4:C1576&lt;&gt;""""),ROWS(FILTER(C$4:C1576,C$4:C1576&lt;&gt;""""))),$AC$5+E1577))"),"")</f>
        <v/>
      </c>
      <c r="G1577" s="10" t="str">
        <f>IFERROR(__xludf.DUMMYFUNCTION("IF(COUNTA(C1577:C1644)=0,"""",IF(C1577="""",0,IF(REGEXMATCH(C1577,""^Sell_""),-ROUNDDOWN(ROUNDUP(INDEX(Upgrades!$C$3:$C$13,MATCH(SUBSTITUTE(C1577,""Sell_"",""""),Upgrades!$B$3:$B$13,0))*1.15^(COUNTIF(C$4:C1576,SUBSTITUTE(C1577,""Sell_"",""""))-COUNTIF(C$4"&amp;":C1576,""Sell_""&amp;SUBSTITUTE(C1577,""Sell_"",""""))))/2),ROUNDUP(INDEX(Upgrades!$C$3:$C$13,MATCH(C1577,Upgrades!$B$3:$B$13,0))*1.15^(COUNTIF(C$4:C1576,C1577)-COUNTIF(C$4:C1576,""Sell_""&amp;C1577))))))"),"")</f>
        <v/>
      </c>
      <c r="H1577" s="10" t="str">
        <f t="shared" si="3"/>
        <v/>
      </c>
      <c r="I1577" s="68" t="str">
        <f t="shared" si="4"/>
        <v/>
      </c>
      <c r="J1577" s="59" t="str">
        <f t="shared" si="5"/>
        <v/>
      </c>
      <c r="K1577" s="69" t="str">
        <f t="shared" si="6"/>
        <v/>
      </c>
      <c r="L1577" s="60" t="str">
        <f t="shared" si="7"/>
        <v/>
      </c>
      <c r="M1577" s="61" t="str">
        <f>IFERROR(__xludf.DUMMYFUNCTION("IFS(AND(COUNTA(C1577:C1644)=0,COUNTA(Q1577:Q1644)=0),"""",OR(AND(K1577&gt;=1000000000,OR(Y1577&gt;=1000000000,COUNTA(Q1577:Q1644)=0)),OR(Y1577&gt;=1000000000,AND(COUNTA(C1577:C1644)=0,P$3=TRUE))),
ROUNDDOWN((AB$1-AC$1)*MAX(INDEX(T$4:T1644,MATCH(LARGE(FILTER(Y$4:Y1"&amp;"644,Y$4:Y1644&lt;1000000000),1),Y$4:Y1644)),INDEX(F$4:F1644,MATCH(LARGE(FILTER(K$4:K1644,K$4:K1644&lt;1000000000),1),K$4:K1644)))),AND(K1577&lt;1000000000,COUNTA(C1577:C1644)&gt;0,P$3=FALSE),
ROUNDDOWN(INDEX(Y$4:Y1644,MATCH(LARGE(FILTER(W$4:W1644,W$4:W1644&lt;=I1577),1)"&amp;",W$4:W1644))+(I1577-LARGE(FILTER(W$4:W1644,W$4:W1644&lt;=I1577),1))*INDEX(T$4:T1644,MATCH(LARGE(FILTER(W$4:W1644,W$4:W1644&lt;=I1577),1),W$4:W1644))-K1577),1,
ROUNDDOWN(Y1577-INDEX(K$4:K1644,MATCH(LARGE(FILTER(I$4:I1644,I$4:I1644&lt;=W1577),1),I$4:I1644))-(W1577-L"&amp;"ARGE(FILTER(I$4:I1644,I$4:I1644&lt;=W1577),1))*INDEX(F$4:F1644,MATCH(LARGE(FILTER(I$4:I1644,I$4:I1644&lt;=W1577),1),I$4:I1644))))"),"")</f>
        <v/>
      </c>
      <c r="N1577" s="60" t="str">
        <f t="shared" si="8"/>
        <v/>
      </c>
      <c r="O1577" s="61" t="str">
        <f t="shared" si="9"/>
        <v/>
      </c>
      <c r="P1577" s="56" t="str">
        <f t="shared" si="10"/>
        <v/>
      </c>
      <c r="Q1577" s="105"/>
      <c r="R1577" s="10"/>
      <c r="S1577" s="59" t="str">
        <f t="array" ref="S1577">IF(COUNTA(Q1577:Q1644)=0,"",SUM((COUNTIF(Q$4:Q1577,Upgrades!$B$3:$B$13)-COUNTIF(Q$4:Q1577,"Sell_"&amp;Upgrades!$B$3:$B$13))*Upgrades!$D$3:$D$13))</f>
        <v/>
      </c>
      <c r="T1577" s="66" t="str">
        <f>IFERROR(__xludf.DUMMYFUNCTION("IF(COUNTA(Q1577:Q1644)=0,"""",IF(REGEXMATCH(INDEX(FILTER(Q$4:Q1577,Q$4:Q1577&lt;&gt;""""),ROWS(FILTER(Q$4:Q1577,Q$4:Q1577&lt;&gt;""""))),""^Sell_""),INDEX(FILTER(T$4:T1576,Q$4:Q1576&lt;&gt;""""),ROWS(FILTER(Q$4:Q1576,Q$4:Q1576&lt;&gt;""""))),$AD$5+S1577))"),"")</f>
        <v/>
      </c>
      <c r="U1577" s="10" t="str">
        <f>IFERROR(__xludf.DUMMYFUNCTION("IF(COUNTA(Q1577:Q1644)=0,"""",IF(Q1577="""",0,IF(REGEXMATCH(Q1577,""^Sell_""),-ROUNDDOWN(ROUNDUP(INDEX(Upgrades!$C$3:$C$13,MATCH(SUBSTITUTE(Q1577,""Sell_"",""""),Upgrades!$B$3:$B$13,0))*1.15^(COUNTIF(Q$4:Q1576,SUBSTITUTE(Q1577,""Sell_"",""""))-COUNTIF(Q$4"&amp;":Q1576,""Sell_""&amp;SUBSTITUTE(Q1577,""Sell_"",""""))))/2),ROUNDUP(INDEX(Upgrades!$C$3:$C$13,MATCH(Q1577,Upgrades!$B$3:$B$13,0))*1.15^(COUNTIF(Q$4:Q1576,Q1577)-COUNTIF(Q$4:Q1576,""Sell_""&amp;Q1577))))))"),"")</f>
        <v/>
      </c>
      <c r="V1577" s="10" t="str">
        <f t="shared" si="11"/>
        <v/>
      </c>
      <c r="W1577" s="68" t="str">
        <f t="shared" si="12"/>
        <v/>
      </c>
      <c r="X1577" s="59" t="str">
        <f t="shared" si="13"/>
        <v/>
      </c>
      <c r="Y1577" s="69" t="str">
        <f t="shared" si="14"/>
        <v/>
      </c>
      <c r="Z1577" s="11"/>
      <c r="AG1577" s="59"/>
    </row>
    <row r="1578">
      <c r="A1578" s="8"/>
      <c r="B1578" s="56" t="str">
        <f t="shared" si="2"/>
        <v/>
      </c>
      <c r="C1578" s="105"/>
      <c r="D1578" s="10"/>
      <c r="E1578" s="59" t="str">
        <f t="array" ref="E1578">IF(COUNTA(C1578:C1644)=0,"",SUM((COUNTIF(C$4:C1578,Upgrades!$B$3:$B$13)-COUNTIF(C$4:C1578,"Sell_"&amp;Upgrades!$B$3:$B$13))*Upgrades!$D$3:$D$13))</f>
        <v/>
      </c>
      <c r="F1578" s="66" t="str">
        <f>IFERROR(__xludf.DUMMYFUNCTION("IF(COUNTA(C1578:C1644)=0,"""",IF(REGEXMATCH(INDEX(FILTER(C$4:C1578,C$4:C1578&lt;&gt;""""),ROWS(FILTER(C$4:C1578,C$4:C1578&lt;&gt;""""))),""^Sell_""),INDEX(FILTER(F$4:F1577,C$4:C1577&lt;&gt;""""),ROWS(FILTER(C$4:C1577,C$4:C1577&lt;&gt;""""))),$AC$5+E1578))"),"")</f>
        <v/>
      </c>
      <c r="G1578" s="10" t="str">
        <f>IFERROR(__xludf.DUMMYFUNCTION("IF(COUNTA(C1578:C1644)=0,"""",IF(C1578="""",0,IF(REGEXMATCH(C1578,""^Sell_""),-ROUNDDOWN(ROUNDUP(INDEX(Upgrades!$C$3:$C$13,MATCH(SUBSTITUTE(C1578,""Sell_"",""""),Upgrades!$B$3:$B$13,0))*1.15^(COUNTIF(C$4:C1577,SUBSTITUTE(C1578,""Sell_"",""""))-COUNTIF(C$4"&amp;":C1577,""Sell_""&amp;SUBSTITUTE(C1578,""Sell_"",""""))))/2),ROUNDUP(INDEX(Upgrades!$C$3:$C$13,MATCH(C1578,Upgrades!$B$3:$B$13,0))*1.15^(COUNTIF(C$4:C1577,C1578)-COUNTIF(C$4:C1577,""Sell_""&amp;C1578))))))"),"")</f>
        <v/>
      </c>
      <c r="H1578" s="10" t="str">
        <f t="shared" si="3"/>
        <v/>
      </c>
      <c r="I1578" s="68" t="str">
        <f t="shared" si="4"/>
        <v/>
      </c>
      <c r="J1578" s="59" t="str">
        <f t="shared" si="5"/>
        <v/>
      </c>
      <c r="K1578" s="69" t="str">
        <f t="shared" si="6"/>
        <v/>
      </c>
      <c r="L1578" s="60" t="str">
        <f t="shared" si="7"/>
        <v/>
      </c>
      <c r="M1578" s="61" t="str">
        <f>IFERROR(__xludf.DUMMYFUNCTION("IFS(AND(COUNTA(C1578:C1644)=0,COUNTA(Q1578:Q1644)=0),"""",OR(AND(K1578&gt;=1000000000,OR(Y1578&gt;=1000000000,COUNTA(Q1578:Q1644)=0)),OR(Y1578&gt;=1000000000,AND(COUNTA(C1578:C1644)=0,P$3=TRUE))),
ROUNDDOWN((AB$1-AC$1)*MAX(INDEX(T$4:T1644,MATCH(LARGE(FILTER(Y$4:Y1"&amp;"644,Y$4:Y1644&lt;1000000000),1),Y$4:Y1644)),INDEX(F$4:F1644,MATCH(LARGE(FILTER(K$4:K1644,K$4:K1644&lt;1000000000),1),K$4:K1644)))),AND(K1578&lt;1000000000,COUNTA(C1578:C1644)&gt;0,P$3=FALSE),
ROUNDDOWN(INDEX(Y$4:Y1644,MATCH(LARGE(FILTER(W$4:W1644,W$4:W1644&lt;=I1578),1)"&amp;",W$4:W1644))+(I1578-LARGE(FILTER(W$4:W1644,W$4:W1644&lt;=I1578),1))*INDEX(T$4:T1644,MATCH(LARGE(FILTER(W$4:W1644,W$4:W1644&lt;=I1578),1),W$4:W1644))-K1578),1,
ROUNDDOWN(Y1578-INDEX(K$4:K1644,MATCH(LARGE(FILTER(I$4:I1644,I$4:I1644&lt;=W1578),1),I$4:I1644))-(W1578-L"&amp;"ARGE(FILTER(I$4:I1644,I$4:I1644&lt;=W1578),1))*INDEX(F$4:F1644,MATCH(LARGE(FILTER(I$4:I1644,I$4:I1644&lt;=W1578),1),I$4:I1644))))"),"")</f>
        <v/>
      </c>
      <c r="N1578" s="60" t="str">
        <f t="shared" si="8"/>
        <v/>
      </c>
      <c r="O1578" s="61" t="str">
        <f t="shared" si="9"/>
        <v/>
      </c>
      <c r="P1578" s="56" t="str">
        <f t="shared" si="10"/>
        <v/>
      </c>
      <c r="Q1578" s="105"/>
      <c r="R1578" s="10"/>
      <c r="S1578" s="59" t="str">
        <f t="array" ref="S1578">IF(COUNTA(Q1578:Q1644)=0,"",SUM((COUNTIF(Q$4:Q1578,Upgrades!$B$3:$B$13)-COUNTIF(Q$4:Q1578,"Sell_"&amp;Upgrades!$B$3:$B$13))*Upgrades!$D$3:$D$13))</f>
        <v/>
      </c>
      <c r="T1578" s="66" t="str">
        <f>IFERROR(__xludf.DUMMYFUNCTION("IF(COUNTA(Q1578:Q1644)=0,"""",IF(REGEXMATCH(INDEX(FILTER(Q$4:Q1578,Q$4:Q1578&lt;&gt;""""),ROWS(FILTER(Q$4:Q1578,Q$4:Q1578&lt;&gt;""""))),""^Sell_""),INDEX(FILTER(T$4:T1577,Q$4:Q1577&lt;&gt;""""),ROWS(FILTER(Q$4:Q1577,Q$4:Q1577&lt;&gt;""""))),$AD$5+S1578))"),"")</f>
        <v/>
      </c>
      <c r="U1578" s="10" t="str">
        <f>IFERROR(__xludf.DUMMYFUNCTION("IF(COUNTA(Q1578:Q1644)=0,"""",IF(Q1578="""",0,IF(REGEXMATCH(Q1578,""^Sell_""),-ROUNDDOWN(ROUNDUP(INDEX(Upgrades!$C$3:$C$13,MATCH(SUBSTITUTE(Q1578,""Sell_"",""""),Upgrades!$B$3:$B$13,0))*1.15^(COUNTIF(Q$4:Q1577,SUBSTITUTE(Q1578,""Sell_"",""""))-COUNTIF(Q$4"&amp;":Q1577,""Sell_""&amp;SUBSTITUTE(Q1578,""Sell_"",""""))))/2),ROUNDUP(INDEX(Upgrades!$C$3:$C$13,MATCH(Q1578,Upgrades!$B$3:$B$13,0))*1.15^(COUNTIF(Q$4:Q1577,Q1578)-COUNTIF(Q$4:Q1577,""Sell_""&amp;Q1578))))))"),"")</f>
        <v/>
      </c>
      <c r="V1578" s="10" t="str">
        <f t="shared" si="11"/>
        <v/>
      </c>
      <c r="W1578" s="68" t="str">
        <f t="shared" si="12"/>
        <v/>
      </c>
      <c r="X1578" s="59" t="str">
        <f t="shared" si="13"/>
        <v/>
      </c>
      <c r="Y1578" s="69" t="str">
        <f t="shared" si="14"/>
        <v/>
      </c>
      <c r="Z1578" s="11"/>
      <c r="AG1578" s="59"/>
    </row>
    <row r="1579">
      <c r="A1579" s="8"/>
      <c r="B1579" s="56" t="str">
        <f t="shared" si="2"/>
        <v/>
      </c>
      <c r="C1579" s="105"/>
      <c r="D1579" s="10"/>
      <c r="E1579" s="59" t="str">
        <f t="array" ref="E1579">IF(COUNTA(C1579:C1644)=0,"",SUM((COUNTIF(C$4:C1579,Upgrades!$B$3:$B$13)-COUNTIF(C$4:C1579,"Sell_"&amp;Upgrades!$B$3:$B$13))*Upgrades!$D$3:$D$13))</f>
        <v/>
      </c>
      <c r="F1579" s="66" t="str">
        <f>IFERROR(__xludf.DUMMYFUNCTION("IF(COUNTA(C1579:C1644)=0,"""",IF(REGEXMATCH(INDEX(FILTER(C$4:C1579,C$4:C1579&lt;&gt;""""),ROWS(FILTER(C$4:C1579,C$4:C1579&lt;&gt;""""))),""^Sell_""),INDEX(FILTER(F$4:F1578,C$4:C1578&lt;&gt;""""),ROWS(FILTER(C$4:C1578,C$4:C1578&lt;&gt;""""))),$AC$5+E1579))"),"")</f>
        <v/>
      </c>
      <c r="G1579" s="10" t="str">
        <f>IFERROR(__xludf.DUMMYFUNCTION("IF(COUNTA(C1579:C1644)=0,"""",IF(C1579="""",0,IF(REGEXMATCH(C1579,""^Sell_""),-ROUNDDOWN(ROUNDUP(INDEX(Upgrades!$C$3:$C$13,MATCH(SUBSTITUTE(C1579,""Sell_"",""""),Upgrades!$B$3:$B$13,0))*1.15^(COUNTIF(C$4:C1578,SUBSTITUTE(C1579,""Sell_"",""""))-COUNTIF(C$4"&amp;":C1578,""Sell_""&amp;SUBSTITUTE(C1579,""Sell_"",""""))))/2),ROUNDUP(INDEX(Upgrades!$C$3:$C$13,MATCH(C1579,Upgrades!$B$3:$B$13,0))*1.15^(COUNTIF(C$4:C1578,C1579)-COUNTIF(C$4:C1578,""Sell_""&amp;C1579))))))"),"")</f>
        <v/>
      </c>
      <c r="H1579" s="10" t="str">
        <f t="shared" si="3"/>
        <v/>
      </c>
      <c r="I1579" s="68" t="str">
        <f t="shared" si="4"/>
        <v/>
      </c>
      <c r="J1579" s="59" t="str">
        <f t="shared" si="5"/>
        <v/>
      </c>
      <c r="K1579" s="69" t="str">
        <f t="shared" si="6"/>
        <v/>
      </c>
      <c r="L1579" s="60" t="str">
        <f t="shared" si="7"/>
        <v/>
      </c>
      <c r="M1579" s="61" t="str">
        <f>IFERROR(__xludf.DUMMYFUNCTION("IFS(AND(COUNTA(C1579:C1644)=0,COUNTA(Q1579:Q1644)=0),"""",OR(AND(K1579&gt;=1000000000,OR(Y1579&gt;=1000000000,COUNTA(Q1579:Q1644)=0)),OR(Y1579&gt;=1000000000,AND(COUNTA(C1579:C1644)=0,P$3=TRUE))),
ROUNDDOWN((AB$1-AC$1)*MAX(INDEX(T$4:T1644,MATCH(LARGE(FILTER(Y$4:Y1"&amp;"644,Y$4:Y1644&lt;1000000000),1),Y$4:Y1644)),INDEX(F$4:F1644,MATCH(LARGE(FILTER(K$4:K1644,K$4:K1644&lt;1000000000),1),K$4:K1644)))),AND(K1579&lt;1000000000,COUNTA(C1579:C1644)&gt;0,P$3=FALSE),
ROUNDDOWN(INDEX(Y$4:Y1644,MATCH(LARGE(FILTER(W$4:W1644,W$4:W1644&lt;=I1579),1)"&amp;",W$4:W1644))+(I1579-LARGE(FILTER(W$4:W1644,W$4:W1644&lt;=I1579),1))*INDEX(T$4:T1644,MATCH(LARGE(FILTER(W$4:W1644,W$4:W1644&lt;=I1579),1),W$4:W1644))-K1579),1,
ROUNDDOWN(Y1579-INDEX(K$4:K1644,MATCH(LARGE(FILTER(I$4:I1644,I$4:I1644&lt;=W1579),1),I$4:I1644))-(W1579-L"&amp;"ARGE(FILTER(I$4:I1644,I$4:I1644&lt;=W1579),1))*INDEX(F$4:F1644,MATCH(LARGE(FILTER(I$4:I1644,I$4:I1644&lt;=W1579),1),I$4:I1644))))"),"")</f>
        <v/>
      </c>
      <c r="N1579" s="60" t="str">
        <f t="shared" si="8"/>
        <v/>
      </c>
      <c r="O1579" s="61" t="str">
        <f t="shared" si="9"/>
        <v/>
      </c>
      <c r="P1579" s="56" t="str">
        <f t="shared" si="10"/>
        <v/>
      </c>
      <c r="Q1579" s="105"/>
      <c r="R1579" s="10"/>
      <c r="S1579" s="59" t="str">
        <f t="array" ref="S1579">IF(COUNTA(Q1579:Q1644)=0,"",SUM((COUNTIF(Q$4:Q1579,Upgrades!$B$3:$B$13)-COUNTIF(Q$4:Q1579,"Sell_"&amp;Upgrades!$B$3:$B$13))*Upgrades!$D$3:$D$13))</f>
        <v/>
      </c>
      <c r="T1579" s="66" t="str">
        <f>IFERROR(__xludf.DUMMYFUNCTION("IF(COUNTA(Q1579:Q1644)=0,"""",IF(REGEXMATCH(INDEX(FILTER(Q$4:Q1579,Q$4:Q1579&lt;&gt;""""),ROWS(FILTER(Q$4:Q1579,Q$4:Q1579&lt;&gt;""""))),""^Sell_""),INDEX(FILTER(T$4:T1578,Q$4:Q1578&lt;&gt;""""),ROWS(FILTER(Q$4:Q1578,Q$4:Q1578&lt;&gt;""""))),$AD$5+S1579))"),"")</f>
        <v/>
      </c>
      <c r="U1579" s="10" t="str">
        <f>IFERROR(__xludf.DUMMYFUNCTION("IF(COUNTA(Q1579:Q1644)=0,"""",IF(Q1579="""",0,IF(REGEXMATCH(Q1579,""^Sell_""),-ROUNDDOWN(ROUNDUP(INDEX(Upgrades!$C$3:$C$13,MATCH(SUBSTITUTE(Q1579,""Sell_"",""""),Upgrades!$B$3:$B$13,0))*1.15^(COUNTIF(Q$4:Q1578,SUBSTITUTE(Q1579,""Sell_"",""""))-COUNTIF(Q$4"&amp;":Q1578,""Sell_""&amp;SUBSTITUTE(Q1579,""Sell_"",""""))))/2),ROUNDUP(INDEX(Upgrades!$C$3:$C$13,MATCH(Q1579,Upgrades!$B$3:$B$13,0))*1.15^(COUNTIF(Q$4:Q1578,Q1579)-COUNTIF(Q$4:Q1578,""Sell_""&amp;Q1579))))))"),"")</f>
        <v/>
      </c>
      <c r="V1579" s="10" t="str">
        <f t="shared" si="11"/>
        <v/>
      </c>
      <c r="W1579" s="68" t="str">
        <f t="shared" si="12"/>
        <v/>
      </c>
      <c r="X1579" s="59" t="str">
        <f t="shared" si="13"/>
        <v/>
      </c>
      <c r="Y1579" s="69" t="str">
        <f t="shared" si="14"/>
        <v/>
      </c>
      <c r="Z1579" s="11"/>
      <c r="AG1579" s="59"/>
    </row>
    <row r="1580">
      <c r="A1580" s="8"/>
      <c r="B1580" s="56" t="str">
        <f t="shared" si="2"/>
        <v/>
      </c>
      <c r="C1580" s="105"/>
      <c r="D1580" s="10"/>
      <c r="E1580" s="59" t="str">
        <f t="array" ref="E1580">IF(COUNTA(C1580:C1644)=0,"",SUM((COUNTIF(C$4:C1580,Upgrades!$B$3:$B$13)-COUNTIF(C$4:C1580,"Sell_"&amp;Upgrades!$B$3:$B$13))*Upgrades!$D$3:$D$13))</f>
        <v/>
      </c>
      <c r="F1580" s="66" t="str">
        <f>IFERROR(__xludf.DUMMYFUNCTION("IF(COUNTA(C1580:C1644)=0,"""",IF(REGEXMATCH(INDEX(FILTER(C$4:C1580,C$4:C1580&lt;&gt;""""),ROWS(FILTER(C$4:C1580,C$4:C1580&lt;&gt;""""))),""^Sell_""),INDEX(FILTER(F$4:F1579,C$4:C1579&lt;&gt;""""),ROWS(FILTER(C$4:C1579,C$4:C1579&lt;&gt;""""))),$AC$5+E1580))"),"")</f>
        <v/>
      </c>
      <c r="G1580" s="10" t="str">
        <f>IFERROR(__xludf.DUMMYFUNCTION("IF(COUNTA(C1580:C1644)=0,"""",IF(C1580="""",0,IF(REGEXMATCH(C1580,""^Sell_""),-ROUNDDOWN(ROUNDUP(INDEX(Upgrades!$C$3:$C$13,MATCH(SUBSTITUTE(C1580,""Sell_"",""""),Upgrades!$B$3:$B$13,0))*1.15^(COUNTIF(C$4:C1579,SUBSTITUTE(C1580,""Sell_"",""""))-COUNTIF(C$4"&amp;":C1579,""Sell_""&amp;SUBSTITUTE(C1580,""Sell_"",""""))))/2),ROUNDUP(INDEX(Upgrades!$C$3:$C$13,MATCH(C1580,Upgrades!$B$3:$B$13,0))*1.15^(COUNTIF(C$4:C1579,C1580)-COUNTIF(C$4:C1579,""Sell_""&amp;C1580))))))"),"")</f>
        <v/>
      </c>
      <c r="H1580" s="10" t="str">
        <f t="shared" si="3"/>
        <v/>
      </c>
      <c r="I1580" s="68" t="str">
        <f t="shared" si="4"/>
        <v/>
      </c>
      <c r="J1580" s="59" t="str">
        <f t="shared" si="5"/>
        <v/>
      </c>
      <c r="K1580" s="69" t="str">
        <f t="shared" si="6"/>
        <v/>
      </c>
      <c r="L1580" s="60" t="str">
        <f t="shared" si="7"/>
        <v/>
      </c>
      <c r="M1580" s="61" t="str">
        <f>IFERROR(__xludf.DUMMYFUNCTION("IFS(AND(COUNTA(C1580:C1644)=0,COUNTA(Q1580:Q1644)=0),"""",OR(AND(K1580&gt;=1000000000,OR(Y1580&gt;=1000000000,COUNTA(Q1580:Q1644)=0)),OR(Y1580&gt;=1000000000,AND(COUNTA(C1580:C1644)=0,P$3=TRUE))),
ROUNDDOWN((AB$1-AC$1)*MAX(INDEX(T$4:T1644,MATCH(LARGE(FILTER(Y$4:Y1"&amp;"644,Y$4:Y1644&lt;1000000000),1),Y$4:Y1644)),INDEX(F$4:F1644,MATCH(LARGE(FILTER(K$4:K1644,K$4:K1644&lt;1000000000),1),K$4:K1644)))),AND(K1580&lt;1000000000,COUNTA(C1580:C1644)&gt;0,P$3=FALSE),
ROUNDDOWN(INDEX(Y$4:Y1644,MATCH(LARGE(FILTER(W$4:W1644,W$4:W1644&lt;=I1580),1)"&amp;",W$4:W1644))+(I1580-LARGE(FILTER(W$4:W1644,W$4:W1644&lt;=I1580),1))*INDEX(T$4:T1644,MATCH(LARGE(FILTER(W$4:W1644,W$4:W1644&lt;=I1580),1),W$4:W1644))-K1580),1,
ROUNDDOWN(Y1580-INDEX(K$4:K1644,MATCH(LARGE(FILTER(I$4:I1644,I$4:I1644&lt;=W1580),1),I$4:I1644))-(W1580-L"&amp;"ARGE(FILTER(I$4:I1644,I$4:I1644&lt;=W1580),1))*INDEX(F$4:F1644,MATCH(LARGE(FILTER(I$4:I1644,I$4:I1644&lt;=W1580),1),I$4:I1644))))"),"")</f>
        <v/>
      </c>
      <c r="N1580" s="60" t="str">
        <f t="shared" si="8"/>
        <v/>
      </c>
      <c r="O1580" s="61" t="str">
        <f t="shared" si="9"/>
        <v/>
      </c>
      <c r="P1580" s="56" t="str">
        <f t="shared" si="10"/>
        <v/>
      </c>
      <c r="Q1580" s="105"/>
      <c r="R1580" s="10"/>
      <c r="S1580" s="59" t="str">
        <f t="array" ref="S1580">IF(COUNTA(Q1580:Q1644)=0,"",SUM((COUNTIF(Q$4:Q1580,Upgrades!$B$3:$B$13)-COUNTIF(Q$4:Q1580,"Sell_"&amp;Upgrades!$B$3:$B$13))*Upgrades!$D$3:$D$13))</f>
        <v/>
      </c>
      <c r="T1580" s="66" t="str">
        <f>IFERROR(__xludf.DUMMYFUNCTION("IF(COUNTA(Q1580:Q1644)=0,"""",IF(REGEXMATCH(INDEX(FILTER(Q$4:Q1580,Q$4:Q1580&lt;&gt;""""),ROWS(FILTER(Q$4:Q1580,Q$4:Q1580&lt;&gt;""""))),""^Sell_""),INDEX(FILTER(T$4:T1579,Q$4:Q1579&lt;&gt;""""),ROWS(FILTER(Q$4:Q1579,Q$4:Q1579&lt;&gt;""""))),$AD$5+S1580))"),"")</f>
        <v/>
      </c>
      <c r="U1580" s="10" t="str">
        <f>IFERROR(__xludf.DUMMYFUNCTION("IF(COUNTA(Q1580:Q1644)=0,"""",IF(Q1580="""",0,IF(REGEXMATCH(Q1580,""^Sell_""),-ROUNDDOWN(ROUNDUP(INDEX(Upgrades!$C$3:$C$13,MATCH(SUBSTITUTE(Q1580,""Sell_"",""""),Upgrades!$B$3:$B$13,0))*1.15^(COUNTIF(Q$4:Q1579,SUBSTITUTE(Q1580,""Sell_"",""""))-COUNTIF(Q$4"&amp;":Q1579,""Sell_""&amp;SUBSTITUTE(Q1580,""Sell_"",""""))))/2),ROUNDUP(INDEX(Upgrades!$C$3:$C$13,MATCH(Q1580,Upgrades!$B$3:$B$13,0))*1.15^(COUNTIF(Q$4:Q1579,Q1580)-COUNTIF(Q$4:Q1579,""Sell_""&amp;Q1580))))))"),"")</f>
        <v/>
      </c>
      <c r="V1580" s="10" t="str">
        <f t="shared" si="11"/>
        <v/>
      </c>
      <c r="W1580" s="68" t="str">
        <f t="shared" si="12"/>
        <v/>
      </c>
      <c r="X1580" s="59" t="str">
        <f t="shared" si="13"/>
        <v/>
      </c>
      <c r="Y1580" s="69" t="str">
        <f t="shared" si="14"/>
        <v/>
      </c>
      <c r="Z1580" s="11"/>
      <c r="AG1580" s="59"/>
    </row>
    <row r="1581">
      <c r="A1581" s="8"/>
      <c r="B1581" s="56" t="str">
        <f t="shared" si="2"/>
        <v/>
      </c>
      <c r="C1581" s="105"/>
      <c r="D1581" s="10"/>
      <c r="E1581" s="59" t="str">
        <f t="array" ref="E1581">IF(COUNTA(C1581:C1644)=0,"",SUM((COUNTIF(C$4:C1581,Upgrades!$B$3:$B$13)-COUNTIF(C$4:C1581,"Sell_"&amp;Upgrades!$B$3:$B$13))*Upgrades!$D$3:$D$13))</f>
        <v/>
      </c>
      <c r="F1581" s="66" t="str">
        <f>IFERROR(__xludf.DUMMYFUNCTION("IF(COUNTA(C1581:C1644)=0,"""",IF(REGEXMATCH(INDEX(FILTER(C$4:C1581,C$4:C1581&lt;&gt;""""),ROWS(FILTER(C$4:C1581,C$4:C1581&lt;&gt;""""))),""^Sell_""),INDEX(FILTER(F$4:F1580,C$4:C1580&lt;&gt;""""),ROWS(FILTER(C$4:C1580,C$4:C1580&lt;&gt;""""))),$AC$5+E1581))"),"")</f>
        <v/>
      </c>
      <c r="G1581" s="10" t="str">
        <f>IFERROR(__xludf.DUMMYFUNCTION("IF(COUNTA(C1581:C1644)=0,"""",IF(C1581="""",0,IF(REGEXMATCH(C1581,""^Sell_""),-ROUNDDOWN(ROUNDUP(INDEX(Upgrades!$C$3:$C$13,MATCH(SUBSTITUTE(C1581,""Sell_"",""""),Upgrades!$B$3:$B$13,0))*1.15^(COUNTIF(C$4:C1580,SUBSTITUTE(C1581,""Sell_"",""""))-COUNTIF(C$4"&amp;":C1580,""Sell_""&amp;SUBSTITUTE(C1581,""Sell_"",""""))))/2),ROUNDUP(INDEX(Upgrades!$C$3:$C$13,MATCH(C1581,Upgrades!$B$3:$B$13,0))*1.15^(COUNTIF(C$4:C1580,C1581)-COUNTIF(C$4:C1580,""Sell_""&amp;C1581))))))"),"")</f>
        <v/>
      </c>
      <c r="H1581" s="10" t="str">
        <f t="shared" si="3"/>
        <v/>
      </c>
      <c r="I1581" s="68" t="str">
        <f t="shared" si="4"/>
        <v/>
      </c>
      <c r="J1581" s="59" t="str">
        <f t="shared" si="5"/>
        <v/>
      </c>
      <c r="K1581" s="69" t="str">
        <f t="shared" si="6"/>
        <v/>
      </c>
      <c r="L1581" s="60" t="str">
        <f t="shared" si="7"/>
        <v/>
      </c>
      <c r="M1581" s="61" t="str">
        <f>IFERROR(__xludf.DUMMYFUNCTION("IFS(AND(COUNTA(C1581:C1644)=0,COUNTA(Q1581:Q1644)=0),"""",OR(AND(K1581&gt;=1000000000,OR(Y1581&gt;=1000000000,COUNTA(Q1581:Q1644)=0)),OR(Y1581&gt;=1000000000,AND(COUNTA(C1581:C1644)=0,P$3=TRUE))),
ROUNDDOWN((AB$1-AC$1)*MAX(INDEX(T$4:T1644,MATCH(LARGE(FILTER(Y$4:Y1"&amp;"644,Y$4:Y1644&lt;1000000000),1),Y$4:Y1644)),INDEX(F$4:F1644,MATCH(LARGE(FILTER(K$4:K1644,K$4:K1644&lt;1000000000),1),K$4:K1644)))),AND(K1581&lt;1000000000,COUNTA(C1581:C1644)&gt;0,P$3=FALSE),
ROUNDDOWN(INDEX(Y$4:Y1644,MATCH(LARGE(FILTER(W$4:W1644,W$4:W1644&lt;=I1581),1)"&amp;",W$4:W1644))+(I1581-LARGE(FILTER(W$4:W1644,W$4:W1644&lt;=I1581),1))*INDEX(T$4:T1644,MATCH(LARGE(FILTER(W$4:W1644,W$4:W1644&lt;=I1581),1),W$4:W1644))-K1581),1,
ROUNDDOWN(Y1581-INDEX(K$4:K1644,MATCH(LARGE(FILTER(I$4:I1644,I$4:I1644&lt;=W1581),1),I$4:I1644))-(W1581-L"&amp;"ARGE(FILTER(I$4:I1644,I$4:I1644&lt;=W1581),1))*INDEX(F$4:F1644,MATCH(LARGE(FILTER(I$4:I1644,I$4:I1644&lt;=W1581),1),I$4:I1644))))"),"")</f>
        <v/>
      </c>
      <c r="N1581" s="60" t="str">
        <f t="shared" si="8"/>
        <v/>
      </c>
      <c r="O1581" s="61" t="str">
        <f t="shared" si="9"/>
        <v/>
      </c>
      <c r="P1581" s="56" t="str">
        <f t="shared" si="10"/>
        <v/>
      </c>
      <c r="Q1581" s="105"/>
      <c r="R1581" s="10"/>
      <c r="S1581" s="59" t="str">
        <f t="array" ref="S1581">IF(COUNTA(Q1581:Q1644)=0,"",SUM((COUNTIF(Q$4:Q1581,Upgrades!$B$3:$B$13)-COUNTIF(Q$4:Q1581,"Sell_"&amp;Upgrades!$B$3:$B$13))*Upgrades!$D$3:$D$13))</f>
        <v/>
      </c>
      <c r="T1581" s="66" t="str">
        <f>IFERROR(__xludf.DUMMYFUNCTION("IF(COUNTA(Q1581:Q1644)=0,"""",IF(REGEXMATCH(INDEX(FILTER(Q$4:Q1581,Q$4:Q1581&lt;&gt;""""),ROWS(FILTER(Q$4:Q1581,Q$4:Q1581&lt;&gt;""""))),""^Sell_""),INDEX(FILTER(T$4:T1580,Q$4:Q1580&lt;&gt;""""),ROWS(FILTER(Q$4:Q1580,Q$4:Q1580&lt;&gt;""""))),$AD$5+S1581))"),"")</f>
        <v/>
      </c>
      <c r="U1581" s="10" t="str">
        <f>IFERROR(__xludf.DUMMYFUNCTION("IF(COUNTA(Q1581:Q1644)=0,"""",IF(Q1581="""",0,IF(REGEXMATCH(Q1581,""^Sell_""),-ROUNDDOWN(ROUNDUP(INDEX(Upgrades!$C$3:$C$13,MATCH(SUBSTITUTE(Q1581,""Sell_"",""""),Upgrades!$B$3:$B$13,0))*1.15^(COUNTIF(Q$4:Q1580,SUBSTITUTE(Q1581,""Sell_"",""""))-COUNTIF(Q$4"&amp;":Q1580,""Sell_""&amp;SUBSTITUTE(Q1581,""Sell_"",""""))))/2),ROUNDUP(INDEX(Upgrades!$C$3:$C$13,MATCH(Q1581,Upgrades!$B$3:$B$13,0))*1.15^(COUNTIF(Q$4:Q1580,Q1581)-COUNTIF(Q$4:Q1580,""Sell_""&amp;Q1581))))))"),"")</f>
        <v/>
      </c>
      <c r="V1581" s="10" t="str">
        <f t="shared" si="11"/>
        <v/>
      </c>
      <c r="W1581" s="68" t="str">
        <f t="shared" si="12"/>
        <v/>
      </c>
      <c r="X1581" s="59" t="str">
        <f t="shared" si="13"/>
        <v/>
      </c>
      <c r="Y1581" s="69" t="str">
        <f t="shared" si="14"/>
        <v/>
      </c>
      <c r="Z1581" s="11"/>
      <c r="AG1581" s="59"/>
    </row>
    <row r="1582">
      <c r="A1582" s="8"/>
      <c r="B1582" s="56" t="str">
        <f t="shared" si="2"/>
        <v/>
      </c>
      <c r="C1582" s="105"/>
      <c r="D1582" s="10"/>
      <c r="E1582" s="59" t="str">
        <f t="array" ref="E1582">IF(COUNTA(C1582:C1644)=0,"",SUM((COUNTIF(C$4:C1582,Upgrades!$B$3:$B$13)-COUNTIF(C$4:C1582,"Sell_"&amp;Upgrades!$B$3:$B$13))*Upgrades!$D$3:$D$13))</f>
        <v/>
      </c>
      <c r="F1582" s="66" t="str">
        <f>IFERROR(__xludf.DUMMYFUNCTION("IF(COUNTA(C1582:C1644)=0,"""",IF(REGEXMATCH(INDEX(FILTER(C$4:C1582,C$4:C1582&lt;&gt;""""),ROWS(FILTER(C$4:C1582,C$4:C1582&lt;&gt;""""))),""^Sell_""),INDEX(FILTER(F$4:F1581,C$4:C1581&lt;&gt;""""),ROWS(FILTER(C$4:C1581,C$4:C1581&lt;&gt;""""))),$AC$5+E1582))"),"")</f>
        <v/>
      </c>
      <c r="G1582" s="10" t="str">
        <f>IFERROR(__xludf.DUMMYFUNCTION("IF(COUNTA(C1582:C1644)=0,"""",IF(C1582="""",0,IF(REGEXMATCH(C1582,""^Sell_""),-ROUNDDOWN(ROUNDUP(INDEX(Upgrades!$C$3:$C$13,MATCH(SUBSTITUTE(C1582,""Sell_"",""""),Upgrades!$B$3:$B$13,0))*1.15^(COUNTIF(C$4:C1581,SUBSTITUTE(C1582,""Sell_"",""""))-COUNTIF(C$4"&amp;":C1581,""Sell_""&amp;SUBSTITUTE(C1582,""Sell_"",""""))))/2),ROUNDUP(INDEX(Upgrades!$C$3:$C$13,MATCH(C1582,Upgrades!$B$3:$B$13,0))*1.15^(COUNTIF(C$4:C1581,C1582)-COUNTIF(C$4:C1581,""Sell_""&amp;C1582))))))"),"")</f>
        <v/>
      </c>
      <c r="H1582" s="10" t="str">
        <f t="shared" si="3"/>
        <v/>
      </c>
      <c r="I1582" s="68" t="str">
        <f t="shared" si="4"/>
        <v/>
      </c>
      <c r="J1582" s="59" t="str">
        <f t="shared" si="5"/>
        <v/>
      </c>
      <c r="K1582" s="69" t="str">
        <f t="shared" si="6"/>
        <v/>
      </c>
      <c r="L1582" s="60" t="str">
        <f t="shared" si="7"/>
        <v/>
      </c>
      <c r="M1582" s="61" t="str">
        <f>IFERROR(__xludf.DUMMYFUNCTION("IFS(AND(COUNTA(C1582:C1644)=0,COUNTA(Q1582:Q1644)=0),"""",OR(AND(K1582&gt;=1000000000,OR(Y1582&gt;=1000000000,COUNTA(Q1582:Q1644)=0)),OR(Y1582&gt;=1000000000,AND(COUNTA(C1582:C1644)=0,P$3=TRUE))),
ROUNDDOWN((AB$1-AC$1)*MAX(INDEX(T$4:T1644,MATCH(LARGE(FILTER(Y$4:Y1"&amp;"644,Y$4:Y1644&lt;1000000000),1),Y$4:Y1644)),INDEX(F$4:F1644,MATCH(LARGE(FILTER(K$4:K1644,K$4:K1644&lt;1000000000),1),K$4:K1644)))),AND(K1582&lt;1000000000,COUNTA(C1582:C1644)&gt;0,P$3=FALSE),
ROUNDDOWN(INDEX(Y$4:Y1644,MATCH(LARGE(FILTER(W$4:W1644,W$4:W1644&lt;=I1582),1)"&amp;",W$4:W1644))+(I1582-LARGE(FILTER(W$4:W1644,W$4:W1644&lt;=I1582),1))*INDEX(T$4:T1644,MATCH(LARGE(FILTER(W$4:W1644,W$4:W1644&lt;=I1582),1),W$4:W1644))-K1582),1,
ROUNDDOWN(Y1582-INDEX(K$4:K1644,MATCH(LARGE(FILTER(I$4:I1644,I$4:I1644&lt;=W1582),1),I$4:I1644))-(W1582-L"&amp;"ARGE(FILTER(I$4:I1644,I$4:I1644&lt;=W1582),1))*INDEX(F$4:F1644,MATCH(LARGE(FILTER(I$4:I1644,I$4:I1644&lt;=W1582),1),I$4:I1644))))"),"")</f>
        <v/>
      </c>
      <c r="N1582" s="60" t="str">
        <f t="shared" si="8"/>
        <v/>
      </c>
      <c r="O1582" s="61" t="str">
        <f t="shared" si="9"/>
        <v/>
      </c>
      <c r="P1582" s="56" t="str">
        <f t="shared" si="10"/>
        <v/>
      </c>
      <c r="Q1582" s="105"/>
      <c r="R1582" s="10"/>
      <c r="S1582" s="59" t="str">
        <f t="array" ref="S1582">IF(COUNTA(Q1582:Q1644)=0,"",SUM((COUNTIF(Q$4:Q1582,Upgrades!$B$3:$B$13)-COUNTIF(Q$4:Q1582,"Sell_"&amp;Upgrades!$B$3:$B$13))*Upgrades!$D$3:$D$13))</f>
        <v/>
      </c>
      <c r="T1582" s="66" t="str">
        <f>IFERROR(__xludf.DUMMYFUNCTION("IF(COUNTA(Q1582:Q1644)=0,"""",IF(REGEXMATCH(INDEX(FILTER(Q$4:Q1582,Q$4:Q1582&lt;&gt;""""),ROWS(FILTER(Q$4:Q1582,Q$4:Q1582&lt;&gt;""""))),""^Sell_""),INDEX(FILTER(T$4:T1581,Q$4:Q1581&lt;&gt;""""),ROWS(FILTER(Q$4:Q1581,Q$4:Q1581&lt;&gt;""""))),$AD$5+S1582))"),"")</f>
        <v/>
      </c>
      <c r="U1582" s="10" t="str">
        <f>IFERROR(__xludf.DUMMYFUNCTION("IF(COUNTA(Q1582:Q1644)=0,"""",IF(Q1582="""",0,IF(REGEXMATCH(Q1582,""^Sell_""),-ROUNDDOWN(ROUNDUP(INDEX(Upgrades!$C$3:$C$13,MATCH(SUBSTITUTE(Q1582,""Sell_"",""""),Upgrades!$B$3:$B$13,0))*1.15^(COUNTIF(Q$4:Q1581,SUBSTITUTE(Q1582,""Sell_"",""""))-COUNTIF(Q$4"&amp;":Q1581,""Sell_""&amp;SUBSTITUTE(Q1582,""Sell_"",""""))))/2),ROUNDUP(INDEX(Upgrades!$C$3:$C$13,MATCH(Q1582,Upgrades!$B$3:$B$13,0))*1.15^(COUNTIF(Q$4:Q1581,Q1582)-COUNTIF(Q$4:Q1581,""Sell_""&amp;Q1582))))))"),"")</f>
        <v/>
      </c>
      <c r="V1582" s="10" t="str">
        <f t="shared" si="11"/>
        <v/>
      </c>
      <c r="W1582" s="68" t="str">
        <f t="shared" si="12"/>
        <v/>
      </c>
      <c r="X1582" s="59" t="str">
        <f t="shared" si="13"/>
        <v/>
      </c>
      <c r="Y1582" s="69" t="str">
        <f t="shared" si="14"/>
        <v/>
      </c>
      <c r="Z1582" s="11"/>
      <c r="AG1582" s="59"/>
    </row>
    <row r="1583">
      <c r="A1583" s="8"/>
      <c r="B1583" s="56" t="str">
        <f t="shared" si="2"/>
        <v/>
      </c>
      <c r="C1583" s="105"/>
      <c r="D1583" s="10"/>
      <c r="E1583" s="59" t="str">
        <f t="array" ref="E1583">IF(COUNTA(C1583:C1644)=0,"",SUM((COUNTIF(C$4:C1583,Upgrades!$B$3:$B$13)-COUNTIF(C$4:C1583,"Sell_"&amp;Upgrades!$B$3:$B$13))*Upgrades!$D$3:$D$13))</f>
        <v/>
      </c>
      <c r="F1583" s="66" t="str">
        <f>IFERROR(__xludf.DUMMYFUNCTION("IF(COUNTA(C1583:C1644)=0,"""",IF(REGEXMATCH(INDEX(FILTER(C$4:C1583,C$4:C1583&lt;&gt;""""),ROWS(FILTER(C$4:C1583,C$4:C1583&lt;&gt;""""))),""^Sell_""),INDEX(FILTER(F$4:F1582,C$4:C1582&lt;&gt;""""),ROWS(FILTER(C$4:C1582,C$4:C1582&lt;&gt;""""))),$AC$5+E1583))"),"")</f>
        <v/>
      </c>
      <c r="G1583" s="10" t="str">
        <f>IFERROR(__xludf.DUMMYFUNCTION("IF(COUNTA(C1583:C1644)=0,"""",IF(C1583="""",0,IF(REGEXMATCH(C1583,""^Sell_""),-ROUNDDOWN(ROUNDUP(INDEX(Upgrades!$C$3:$C$13,MATCH(SUBSTITUTE(C1583,""Sell_"",""""),Upgrades!$B$3:$B$13,0))*1.15^(COUNTIF(C$4:C1582,SUBSTITUTE(C1583,""Sell_"",""""))-COUNTIF(C$4"&amp;":C1582,""Sell_""&amp;SUBSTITUTE(C1583,""Sell_"",""""))))/2),ROUNDUP(INDEX(Upgrades!$C$3:$C$13,MATCH(C1583,Upgrades!$B$3:$B$13,0))*1.15^(COUNTIF(C$4:C1582,C1583)-COUNTIF(C$4:C1582,""Sell_""&amp;C1583))))))"),"")</f>
        <v/>
      </c>
      <c r="H1583" s="10" t="str">
        <f t="shared" si="3"/>
        <v/>
      </c>
      <c r="I1583" s="68" t="str">
        <f t="shared" si="4"/>
        <v/>
      </c>
      <c r="J1583" s="59" t="str">
        <f t="shared" si="5"/>
        <v/>
      </c>
      <c r="K1583" s="69" t="str">
        <f t="shared" si="6"/>
        <v/>
      </c>
      <c r="L1583" s="60" t="str">
        <f t="shared" si="7"/>
        <v/>
      </c>
      <c r="M1583" s="61" t="str">
        <f>IFERROR(__xludf.DUMMYFUNCTION("IFS(AND(COUNTA(C1583:C1644)=0,COUNTA(Q1583:Q1644)=0),"""",OR(AND(K1583&gt;=1000000000,OR(Y1583&gt;=1000000000,COUNTA(Q1583:Q1644)=0)),OR(Y1583&gt;=1000000000,AND(COUNTA(C1583:C1644)=0,P$3=TRUE))),
ROUNDDOWN((AB$1-AC$1)*MAX(INDEX(T$4:T1644,MATCH(LARGE(FILTER(Y$4:Y1"&amp;"644,Y$4:Y1644&lt;1000000000),1),Y$4:Y1644)),INDEX(F$4:F1644,MATCH(LARGE(FILTER(K$4:K1644,K$4:K1644&lt;1000000000),1),K$4:K1644)))),AND(K1583&lt;1000000000,COUNTA(C1583:C1644)&gt;0,P$3=FALSE),
ROUNDDOWN(INDEX(Y$4:Y1644,MATCH(LARGE(FILTER(W$4:W1644,W$4:W1644&lt;=I1583),1)"&amp;",W$4:W1644))+(I1583-LARGE(FILTER(W$4:W1644,W$4:W1644&lt;=I1583),1))*INDEX(T$4:T1644,MATCH(LARGE(FILTER(W$4:W1644,W$4:W1644&lt;=I1583),1),W$4:W1644))-K1583),1,
ROUNDDOWN(Y1583-INDEX(K$4:K1644,MATCH(LARGE(FILTER(I$4:I1644,I$4:I1644&lt;=W1583),1),I$4:I1644))-(W1583-L"&amp;"ARGE(FILTER(I$4:I1644,I$4:I1644&lt;=W1583),1))*INDEX(F$4:F1644,MATCH(LARGE(FILTER(I$4:I1644,I$4:I1644&lt;=W1583),1),I$4:I1644))))"),"")</f>
        <v/>
      </c>
      <c r="N1583" s="60" t="str">
        <f t="shared" si="8"/>
        <v/>
      </c>
      <c r="O1583" s="61" t="str">
        <f t="shared" si="9"/>
        <v/>
      </c>
      <c r="P1583" s="56" t="str">
        <f t="shared" si="10"/>
        <v/>
      </c>
      <c r="Q1583" s="105"/>
      <c r="R1583" s="10"/>
      <c r="S1583" s="59" t="str">
        <f t="array" ref="S1583">IF(COUNTA(Q1583:Q1644)=0,"",SUM((COUNTIF(Q$4:Q1583,Upgrades!$B$3:$B$13)-COUNTIF(Q$4:Q1583,"Sell_"&amp;Upgrades!$B$3:$B$13))*Upgrades!$D$3:$D$13))</f>
        <v/>
      </c>
      <c r="T1583" s="66" t="str">
        <f>IFERROR(__xludf.DUMMYFUNCTION("IF(COUNTA(Q1583:Q1644)=0,"""",IF(REGEXMATCH(INDEX(FILTER(Q$4:Q1583,Q$4:Q1583&lt;&gt;""""),ROWS(FILTER(Q$4:Q1583,Q$4:Q1583&lt;&gt;""""))),""^Sell_""),INDEX(FILTER(T$4:T1582,Q$4:Q1582&lt;&gt;""""),ROWS(FILTER(Q$4:Q1582,Q$4:Q1582&lt;&gt;""""))),$AD$5+S1583))"),"")</f>
        <v/>
      </c>
      <c r="U1583" s="10" t="str">
        <f>IFERROR(__xludf.DUMMYFUNCTION("IF(COUNTA(Q1583:Q1644)=0,"""",IF(Q1583="""",0,IF(REGEXMATCH(Q1583,""^Sell_""),-ROUNDDOWN(ROUNDUP(INDEX(Upgrades!$C$3:$C$13,MATCH(SUBSTITUTE(Q1583,""Sell_"",""""),Upgrades!$B$3:$B$13,0))*1.15^(COUNTIF(Q$4:Q1582,SUBSTITUTE(Q1583,""Sell_"",""""))-COUNTIF(Q$4"&amp;":Q1582,""Sell_""&amp;SUBSTITUTE(Q1583,""Sell_"",""""))))/2),ROUNDUP(INDEX(Upgrades!$C$3:$C$13,MATCH(Q1583,Upgrades!$B$3:$B$13,0))*1.15^(COUNTIF(Q$4:Q1582,Q1583)-COUNTIF(Q$4:Q1582,""Sell_""&amp;Q1583))))))"),"")</f>
        <v/>
      </c>
      <c r="V1583" s="10" t="str">
        <f t="shared" si="11"/>
        <v/>
      </c>
      <c r="W1583" s="68" t="str">
        <f t="shared" si="12"/>
        <v/>
      </c>
      <c r="X1583" s="59" t="str">
        <f t="shared" si="13"/>
        <v/>
      </c>
      <c r="Y1583" s="69" t="str">
        <f t="shared" si="14"/>
        <v/>
      </c>
      <c r="Z1583" s="11"/>
      <c r="AG1583" s="59"/>
    </row>
    <row r="1584">
      <c r="A1584" s="8"/>
      <c r="B1584" s="56" t="str">
        <f t="shared" si="2"/>
        <v/>
      </c>
      <c r="C1584" s="105"/>
      <c r="D1584" s="10"/>
      <c r="E1584" s="59" t="str">
        <f t="array" ref="E1584">IF(COUNTA(C1584:C1644)=0,"",SUM((COUNTIF(C$4:C1584,Upgrades!$B$3:$B$13)-COUNTIF(C$4:C1584,"Sell_"&amp;Upgrades!$B$3:$B$13))*Upgrades!$D$3:$D$13))</f>
        <v/>
      </c>
      <c r="F1584" s="66" t="str">
        <f>IFERROR(__xludf.DUMMYFUNCTION("IF(COUNTA(C1584:C1644)=0,"""",IF(REGEXMATCH(INDEX(FILTER(C$4:C1584,C$4:C1584&lt;&gt;""""),ROWS(FILTER(C$4:C1584,C$4:C1584&lt;&gt;""""))),""^Sell_""),INDEX(FILTER(F$4:F1583,C$4:C1583&lt;&gt;""""),ROWS(FILTER(C$4:C1583,C$4:C1583&lt;&gt;""""))),$AC$5+E1584))"),"")</f>
        <v/>
      </c>
      <c r="G1584" s="10" t="str">
        <f>IFERROR(__xludf.DUMMYFUNCTION("IF(COUNTA(C1584:C1644)=0,"""",IF(C1584="""",0,IF(REGEXMATCH(C1584,""^Sell_""),-ROUNDDOWN(ROUNDUP(INDEX(Upgrades!$C$3:$C$13,MATCH(SUBSTITUTE(C1584,""Sell_"",""""),Upgrades!$B$3:$B$13,0))*1.15^(COUNTIF(C$4:C1583,SUBSTITUTE(C1584,""Sell_"",""""))-COUNTIF(C$4"&amp;":C1583,""Sell_""&amp;SUBSTITUTE(C1584,""Sell_"",""""))))/2),ROUNDUP(INDEX(Upgrades!$C$3:$C$13,MATCH(C1584,Upgrades!$B$3:$B$13,0))*1.15^(COUNTIF(C$4:C1583,C1584)-COUNTIF(C$4:C1583,""Sell_""&amp;C1584))))))"),"")</f>
        <v/>
      </c>
      <c r="H1584" s="10" t="str">
        <f t="shared" si="3"/>
        <v/>
      </c>
      <c r="I1584" s="68" t="str">
        <f t="shared" si="4"/>
        <v/>
      </c>
      <c r="J1584" s="59" t="str">
        <f t="shared" si="5"/>
        <v/>
      </c>
      <c r="K1584" s="69" t="str">
        <f t="shared" si="6"/>
        <v/>
      </c>
      <c r="L1584" s="60" t="str">
        <f t="shared" si="7"/>
        <v/>
      </c>
      <c r="M1584" s="61" t="str">
        <f>IFERROR(__xludf.DUMMYFUNCTION("IFS(AND(COUNTA(C1584:C1644)=0,COUNTA(Q1584:Q1644)=0),"""",OR(AND(K1584&gt;=1000000000,OR(Y1584&gt;=1000000000,COUNTA(Q1584:Q1644)=0)),OR(Y1584&gt;=1000000000,AND(COUNTA(C1584:C1644)=0,P$3=TRUE))),
ROUNDDOWN((AB$1-AC$1)*MAX(INDEX(T$4:T1644,MATCH(LARGE(FILTER(Y$4:Y1"&amp;"644,Y$4:Y1644&lt;1000000000),1),Y$4:Y1644)),INDEX(F$4:F1644,MATCH(LARGE(FILTER(K$4:K1644,K$4:K1644&lt;1000000000),1),K$4:K1644)))),AND(K1584&lt;1000000000,COUNTA(C1584:C1644)&gt;0,P$3=FALSE),
ROUNDDOWN(INDEX(Y$4:Y1644,MATCH(LARGE(FILTER(W$4:W1644,W$4:W1644&lt;=I1584),1)"&amp;",W$4:W1644))+(I1584-LARGE(FILTER(W$4:W1644,W$4:W1644&lt;=I1584),1))*INDEX(T$4:T1644,MATCH(LARGE(FILTER(W$4:W1644,W$4:W1644&lt;=I1584),1),W$4:W1644))-K1584),1,
ROUNDDOWN(Y1584-INDEX(K$4:K1644,MATCH(LARGE(FILTER(I$4:I1644,I$4:I1644&lt;=W1584),1),I$4:I1644))-(W1584-L"&amp;"ARGE(FILTER(I$4:I1644,I$4:I1644&lt;=W1584),1))*INDEX(F$4:F1644,MATCH(LARGE(FILTER(I$4:I1644,I$4:I1644&lt;=W1584),1),I$4:I1644))))"),"")</f>
        <v/>
      </c>
      <c r="N1584" s="60" t="str">
        <f t="shared" si="8"/>
        <v/>
      </c>
      <c r="O1584" s="61" t="str">
        <f t="shared" si="9"/>
        <v/>
      </c>
      <c r="P1584" s="56" t="str">
        <f t="shared" si="10"/>
        <v/>
      </c>
      <c r="Q1584" s="105"/>
      <c r="R1584" s="10"/>
      <c r="S1584" s="59" t="str">
        <f t="array" ref="S1584">IF(COUNTA(Q1584:Q1644)=0,"",SUM((COUNTIF(Q$4:Q1584,Upgrades!$B$3:$B$13)-COUNTIF(Q$4:Q1584,"Sell_"&amp;Upgrades!$B$3:$B$13))*Upgrades!$D$3:$D$13))</f>
        <v/>
      </c>
      <c r="T1584" s="66" t="str">
        <f>IFERROR(__xludf.DUMMYFUNCTION("IF(COUNTA(Q1584:Q1644)=0,"""",IF(REGEXMATCH(INDEX(FILTER(Q$4:Q1584,Q$4:Q1584&lt;&gt;""""),ROWS(FILTER(Q$4:Q1584,Q$4:Q1584&lt;&gt;""""))),""^Sell_""),INDEX(FILTER(T$4:T1583,Q$4:Q1583&lt;&gt;""""),ROWS(FILTER(Q$4:Q1583,Q$4:Q1583&lt;&gt;""""))),$AD$5+S1584))"),"")</f>
        <v/>
      </c>
      <c r="U1584" s="10" t="str">
        <f>IFERROR(__xludf.DUMMYFUNCTION("IF(COUNTA(Q1584:Q1644)=0,"""",IF(Q1584="""",0,IF(REGEXMATCH(Q1584,""^Sell_""),-ROUNDDOWN(ROUNDUP(INDEX(Upgrades!$C$3:$C$13,MATCH(SUBSTITUTE(Q1584,""Sell_"",""""),Upgrades!$B$3:$B$13,0))*1.15^(COUNTIF(Q$4:Q1583,SUBSTITUTE(Q1584,""Sell_"",""""))-COUNTIF(Q$4"&amp;":Q1583,""Sell_""&amp;SUBSTITUTE(Q1584,""Sell_"",""""))))/2),ROUNDUP(INDEX(Upgrades!$C$3:$C$13,MATCH(Q1584,Upgrades!$B$3:$B$13,0))*1.15^(COUNTIF(Q$4:Q1583,Q1584)-COUNTIF(Q$4:Q1583,""Sell_""&amp;Q1584))))))"),"")</f>
        <v/>
      </c>
      <c r="V1584" s="10" t="str">
        <f t="shared" si="11"/>
        <v/>
      </c>
      <c r="W1584" s="68" t="str">
        <f t="shared" si="12"/>
        <v/>
      </c>
      <c r="X1584" s="59" t="str">
        <f t="shared" si="13"/>
        <v/>
      </c>
      <c r="Y1584" s="69" t="str">
        <f t="shared" si="14"/>
        <v/>
      </c>
      <c r="Z1584" s="11"/>
      <c r="AG1584" s="59"/>
    </row>
    <row r="1585">
      <c r="A1585" s="8"/>
      <c r="B1585" s="56" t="str">
        <f t="shared" si="2"/>
        <v/>
      </c>
      <c r="C1585" s="105"/>
      <c r="D1585" s="10"/>
      <c r="E1585" s="59" t="str">
        <f t="array" ref="E1585">IF(COUNTA(C1585:C1644)=0,"",SUM((COUNTIF(C$4:C1585,Upgrades!$B$3:$B$13)-COUNTIF(C$4:C1585,"Sell_"&amp;Upgrades!$B$3:$B$13))*Upgrades!$D$3:$D$13))</f>
        <v/>
      </c>
      <c r="F1585" s="66" t="str">
        <f>IFERROR(__xludf.DUMMYFUNCTION("IF(COUNTA(C1585:C1644)=0,"""",IF(REGEXMATCH(INDEX(FILTER(C$4:C1585,C$4:C1585&lt;&gt;""""),ROWS(FILTER(C$4:C1585,C$4:C1585&lt;&gt;""""))),""^Sell_""),INDEX(FILTER(F$4:F1584,C$4:C1584&lt;&gt;""""),ROWS(FILTER(C$4:C1584,C$4:C1584&lt;&gt;""""))),$AC$5+E1585))"),"")</f>
        <v/>
      </c>
      <c r="G1585" s="10" t="str">
        <f>IFERROR(__xludf.DUMMYFUNCTION("IF(COUNTA(C1585:C1644)=0,"""",IF(C1585="""",0,IF(REGEXMATCH(C1585,""^Sell_""),-ROUNDDOWN(ROUNDUP(INDEX(Upgrades!$C$3:$C$13,MATCH(SUBSTITUTE(C1585,""Sell_"",""""),Upgrades!$B$3:$B$13,0))*1.15^(COUNTIF(C$4:C1584,SUBSTITUTE(C1585,""Sell_"",""""))-COUNTIF(C$4"&amp;":C1584,""Sell_""&amp;SUBSTITUTE(C1585,""Sell_"",""""))))/2),ROUNDUP(INDEX(Upgrades!$C$3:$C$13,MATCH(C1585,Upgrades!$B$3:$B$13,0))*1.15^(COUNTIF(C$4:C1584,C1585)-COUNTIF(C$4:C1584,""Sell_""&amp;C1585))))))"),"")</f>
        <v/>
      </c>
      <c r="H1585" s="10" t="str">
        <f t="shared" si="3"/>
        <v/>
      </c>
      <c r="I1585" s="68" t="str">
        <f t="shared" si="4"/>
        <v/>
      </c>
      <c r="J1585" s="59" t="str">
        <f t="shared" si="5"/>
        <v/>
      </c>
      <c r="K1585" s="69" t="str">
        <f t="shared" si="6"/>
        <v/>
      </c>
      <c r="L1585" s="60" t="str">
        <f t="shared" si="7"/>
        <v/>
      </c>
      <c r="M1585" s="61" t="str">
        <f>IFERROR(__xludf.DUMMYFUNCTION("IFS(AND(COUNTA(C1585:C1644)=0,COUNTA(Q1585:Q1644)=0),"""",OR(AND(K1585&gt;=1000000000,OR(Y1585&gt;=1000000000,COUNTA(Q1585:Q1644)=0)),OR(Y1585&gt;=1000000000,AND(COUNTA(C1585:C1644)=0,P$3=TRUE))),
ROUNDDOWN((AB$1-AC$1)*MAX(INDEX(T$4:T1644,MATCH(LARGE(FILTER(Y$4:Y1"&amp;"644,Y$4:Y1644&lt;1000000000),1),Y$4:Y1644)),INDEX(F$4:F1644,MATCH(LARGE(FILTER(K$4:K1644,K$4:K1644&lt;1000000000),1),K$4:K1644)))),AND(K1585&lt;1000000000,COUNTA(C1585:C1644)&gt;0,P$3=FALSE),
ROUNDDOWN(INDEX(Y$4:Y1644,MATCH(LARGE(FILTER(W$4:W1644,W$4:W1644&lt;=I1585),1)"&amp;",W$4:W1644))+(I1585-LARGE(FILTER(W$4:W1644,W$4:W1644&lt;=I1585),1))*INDEX(T$4:T1644,MATCH(LARGE(FILTER(W$4:W1644,W$4:W1644&lt;=I1585),1),W$4:W1644))-K1585),1,
ROUNDDOWN(Y1585-INDEX(K$4:K1644,MATCH(LARGE(FILTER(I$4:I1644,I$4:I1644&lt;=W1585),1),I$4:I1644))-(W1585-L"&amp;"ARGE(FILTER(I$4:I1644,I$4:I1644&lt;=W1585),1))*INDEX(F$4:F1644,MATCH(LARGE(FILTER(I$4:I1644,I$4:I1644&lt;=W1585),1),I$4:I1644))))"),"")</f>
        <v/>
      </c>
      <c r="N1585" s="60" t="str">
        <f t="shared" si="8"/>
        <v/>
      </c>
      <c r="O1585" s="61" t="str">
        <f t="shared" si="9"/>
        <v/>
      </c>
      <c r="P1585" s="56" t="str">
        <f t="shared" si="10"/>
        <v/>
      </c>
      <c r="Q1585" s="105"/>
      <c r="R1585" s="10"/>
      <c r="S1585" s="59" t="str">
        <f t="array" ref="S1585">IF(COUNTA(Q1585:Q1644)=0,"",SUM((COUNTIF(Q$4:Q1585,Upgrades!$B$3:$B$13)-COUNTIF(Q$4:Q1585,"Sell_"&amp;Upgrades!$B$3:$B$13))*Upgrades!$D$3:$D$13))</f>
        <v/>
      </c>
      <c r="T1585" s="66" t="str">
        <f>IFERROR(__xludf.DUMMYFUNCTION("IF(COUNTA(Q1585:Q1644)=0,"""",IF(REGEXMATCH(INDEX(FILTER(Q$4:Q1585,Q$4:Q1585&lt;&gt;""""),ROWS(FILTER(Q$4:Q1585,Q$4:Q1585&lt;&gt;""""))),""^Sell_""),INDEX(FILTER(T$4:T1584,Q$4:Q1584&lt;&gt;""""),ROWS(FILTER(Q$4:Q1584,Q$4:Q1584&lt;&gt;""""))),$AD$5+S1585))"),"")</f>
        <v/>
      </c>
      <c r="U1585" s="10" t="str">
        <f>IFERROR(__xludf.DUMMYFUNCTION("IF(COUNTA(Q1585:Q1644)=0,"""",IF(Q1585="""",0,IF(REGEXMATCH(Q1585,""^Sell_""),-ROUNDDOWN(ROUNDUP(INDEX(Upgrades!$C$3:$C$13,MATCH(SUBSTITUTE(Q1585,""Sell_"",""""),Upgrades!$B$3:$B$13,0))*1.15^(COUNTIF(Q$4:Q1584,SUBSTITUTE(Q1585,""Sell_"",""""))-COUNTIF(Q$4"&amp;":Q1584,""Sell_""&amp;SUBSTITUTE(Q1585,""Sell_"",""""))))/2),ROUNDUP(INDEX(Upgrades!$C$3:$C$13,MATCH(Q1585,Upgrades!$B$3:$B$13,0))*1.15^(COUNTIF(Q$4:Q1584,Q1585)-COUNTIF(Q$4:Q1584,""Sell_""&amp;Q1585))))))"),"")</f>
        <v/>
      </c>
      <c r="V1585" s="10" t="str">
        <f t="shared" si="11"/>
        <v/>
      </c>
      <c r="W1585" s="68" t="str">
        <f t="shared" si="12"/>
        <v/>
      </c>
      <c r="X1585" s="59" t="str">
        <f t="shared" si="13"/>
        <v/>
      </c>
      <c r="Y1585" s="69" t="str">
        <f t="shared" si="14"/>
        <v/>
      </c>
      <c r="Z1585" s="11"/>
      <c r="AG1585" s="59"/>
    </row>
    <row r="1586">
      <c r="A1586" s="8"/>
      <c r="B1586" s="56" t="str">
        <f t="shared" si="2"/>
        <v/>
      </c>
      <c r="C1586" s="105"/>
      <c r="D1586" s="10"/>
      <c r="E1586" s="59" t="str">
        <f t="array" ref="E1586">IF(COUNTA(C1586:C1644)=0,"",SUM((COUNTIF(C$4:C1586,Upgrades!$B$3:$B$13)-COUNTIF(C$4:C1586,"Sell_"&amp;Upgrades!$B$3:$B$13))*Upgrades!$D$3:$D$13))</f>
        <v/>
      </c>
      <c r="F1586" s="66" t="str">
        <f>IFERROR(__xludf.DUMMYFUNCTION("IF(COUNTA(C1586:C1644)=0,"""",IF(REGEXMATCH(INDEX(FILTER(C$4:C1586,C$4:C1586&lt;&gt;""""),ROWS(FILTER(C$4:C1586,C$4:C1586&lt;&gt;""""))),""^Sell_""),INDEX(FILTER(F$4:F1585,C$4:C1585&lt;&gt;""""),ROWS(FILTER(C$4:C1585,C$4:C1585&lt;&gt;""""))),$AC$5+E1586))"),"")</f>
        <v/>
      </c>
      <c r="G1586" s="10" t="str">
        <f>IFERROR(__xludf.DUMMYFUNCTION("IF(COUNTA(C1586:C1644)=0,"""",IF(C1586="""",0,IF(REGEXMATCH(C1586,""^Sell_""),-ROUNDDOWN(ROUNDUP(INDEX(Upgrades!$C$3:$C$13,MATCH(SUBSTITUTE(C1586,""Sell_"",""""),Upgrades!$B$3:$B$13,0))*1.15^(COUNTIF(C$4:C1585,SUBSTITUTE(C1586,""Sell_"",""""))-COUNTIF(C$4"&amp;":C1585,""Sell_""&amp;SUBSTITUTE(C1586,""Sell_"",""""))))/2),ROUNDUP(INDEX(Upgrades!$C$3:$C$13,MATCH(C1586,Upgrades!$B$3:$B$13,0))*1.15^(COUNTIF(C$4:C1585,C1586)-COUNTIF(C$4:C1585,""Sell_""&amp;C1586))))))"),"")</f>
        <v/>
      </c>
      <c r="H1586" s="10" t="str">
        <f t="shared" si="3"/>
        <v/>
      </c>
      <c r="I1586" s="68" t="str">
        <f t="shared" si="4"/>
        <v/>
      </c>
      <c r="J1586" s="59" t="str">
        <f t="shared" si="5"/>
        <v/>
      </c>
      <c r="K1586" s="69" t="str">
        <f t="shared" si="6"/>
        <v/>
      </c>
      <c r="L1586" s="60" t="str">
        <f t="shared" si="7"/>
        <v/>
      </c>
      <c r="M1586" s="61" t="str">
        <f>IFERROR(__xludf.DUMMYFUNCTION("IFS(AND(COUNTA(C1586:C1644)=0,COUNTA(Q1586:Q1644)=0),"""",OR(AND(K1586&gt;=1000000000,OR(Y1586&gt;=1000000000,COUNTA(Q1586:Q1644)=0)),OR(Y1586&gt;=1000000000,AND(COUNTA(C1586:C1644)=0,P$3=TRUE))),
ROUNDDOWN((AB$1-AC$1)*MAX(INDEX(T$4:T1644,MATCH(LARGE(FILTER(Y$4:Y1"&amp;"644,Y$4:Y1644&lt;1000000000),1),Y$4:Y1644)),INDEX(F$4:F1644,MATCH(LARGE(FILTER(K$4:K1644,K$4:K1644&lt;1000000000),1),K$4:K1644)))),AND(K1586&lt;1000000000,COUNTA(C1586:C1644)&gt;0,P$3=FALSE),
ROUNDDOWN(INDEX(Y$4:Y1644,MATCH(LARGE(FILTER(W$4:W1644,W$4:W1644&lt;=I1586),1)"&amp;",W$4:W1644))+(I1586-LARGE(FILTER(W$4:W1644,W$4:W1644&lt;=I1586),1))*INDEX(T$4:T1644,MATCH(LARGE(FILTER(W$4:W1644,W$4:W1644&lt;=I1586),1),W$4:W1644))-K1586),1,
ROUNDDOWN(Y1586-INDEX(K$4:K1644,MATCH(LARGE(FILTER(I$4:I1644,I$4:I1644&lt;=W1586),1),I$4:I1644))-(W1586-L"&amp;"ARGE(FILTER(I$4:I1644,I$4:I1644&lt;=W1586),1))*INDEX(F$4:F1644,MATCH(LARGE(FILTER(I$4:I1644,I$4:I1644&lt;=W1586),1),I$4:I1644))))"),"")</f>
        <v/>
      </c>
      <c r="N1586" s="60" t="str">
        <f t="shared" si="8"/>
        <v/>
      </c>
      <c r="O1586" s="61" t="str">
        <f t="shared" si="9"/>
        <v/>
      </c>
      <c r="P1586" s="56" t="str">
        <f t="shared" si="10"/>
        <v/>
      </c>
      <c r="Q1586" s="105"/>
      <c r="R1586" s="10"/>
      <c r="S1586" s="59" t="str">
        <f t="array" ref="S1586">IF(COUNTA(Q1586:Q1644)=0,"",SUM((COUNTIF(Q$4:Q1586,Upgrades!$B$3:$B$13)-COUNTIF(Q$4:Q1586,"Sell_"&amp;Upgrades!$B$3:$B$13))*Upgrades!$D$3:$D$13))</f>
        <v/>
      </c>
      <c r="T1586" s="66" t="str">
        <f>IFERROR(__xludf.DUMMYFUNCTION("IF(COUNTA(Q1586:Q1644)=0,"""",IF(REGEXMATCH(INDEX(FILTER(Q$4:Q1586,Q$4:Q1586&lt;&gt;""""),ROWS(FILTER(Q$4:Q1586,Q$4:Q1586&lt;&gt;""""))),""^Sell_""),INDEX(FILTER(T$4:T1585,Q$4:Q1585&lt;&gt;""""),ROWS(FILTER(Q$4:Q1585,Q$4:Q1585&lt;&gt;""""))),$AD$5+S1586))"),"")</f>
        <v/>
      </c>
      <c r="U1586" s="10" t="str">
        <f>IFERROR(__xludf.DUMMYFUNCTION("IF(COUNTA(Q1586:Q1644)=0,"""",IF(Q1586="""",0,IF(REGEXMATCH(Q1586,""^Sell_""),-ROUNDDOWN(ROUNDUP(INDEX(Upgrades!$C$3:$C$13,MATCH(SUBSTITUTE(Q1586,""Sell_"",""""),Upgrades!$B$3:$B$13,0))*1.15^(COUNTIF(Q$4:Q1585,SUBSTITUTE(Q1586,""Sell_"",""""))-COUNTIF(Q$4"&amp;":Q1585,""Sell_""&amp;SUBSTITUTE(Q1586,""Sell_"",""""))))/2),ROUNDUP(INDEX(Upgrades!$C$3:$C$13,MATCH(Q1586,Upgrades!$B$3:$B$13,0))*1.15^(COUNTIF(Q$4:Q1585,Q1586)-COUNTIF(Q$4:Q1585,""Sell_""&amp;Q1586))))))"),"")</f>
        <v/>
      </c>
      <c r="V1586" s="10" t="str">
        <f t="shared" si="11"/>
        <v/>
      </c>
      <c r="W1586" s="68" t="str">
        <f t="shared" si="12"/>
        <v/>
      </c>
      <c r="X1586" s="59" t="str">
        <f t="shared" si="13"/>
        <v/>
      </c>
      <c r="Y1586" s="69" t="str">
        <f t="shared" si="14"/>
        <v/>
      </c>
      <c r="Z1586" s="11"/>
      <c r="AG1586" s="59"/>
    </row>
    <row r="1587">
      <c r="A1587" s="8"/>
      <c r="B1587" s="56" t="str">
        <f t="shared" si="2"/>
        <v/>
      </c>
      <c r="C1587" s="105"/>
      <c r="D1587" s="10"/>
      <c r="E1587" s="59" t="str">
        <f t="array" ref="E1587">IF(COUNTA(C1587:C1644)=0,"",SUM((COUNTIF(C$4:C1587,Upgrades!$B$3:$B$13)-COUNTIF(C$4:C1587,"Sell_"&amp;Upgrades!$B$3:$B$13))*Upgrades!$D$3:$D$13))</f>
        <v/>
      </c>
      <c r="F1587" s="66" t="str">
        <f>IFERROR(__xludf.DUMMYFUNCTION("IF(COUNTA(C1587:C1644)=0,"""",IF(REGEXMATCH(INDEX(FILTER(C$4:C1587,C$4:C1587&lt;&gt;""""),ROWS(FILTER(C$4:C1587,C$4:C1587&lt;&gt;""""))),""^Sell_""),INDEX(FILTER(F$4:F1586,C$4:C1586&lt;&gt;""""),ROWS(FILTER(C$4:C1586,C$4:C1586&lt;&gt;""""))),$AC$5+E1587))"),"")</f>
        <v/>
      </c>
      <c r="G1587" s="10" t="str">
        <f>IFERROR(__xludf.DUMMYFUNCTION("IF(COUNTA(C1587:C1644)=0,"""",IF(C1587="""",0,IF(REGEXMATCH(C1587,""^Sell_""),-ROUNDDOWN(ROUNDUP(INDEX(Upgrades!$C$3:$C$13,MATCH(SUBSTITUTE(C1587,""Sell_"",""""),Upgrades!$B$3:$B$13,0))*1.15^(COUNTIF(C$4:C1586,SUBSTITUTE(C1587,""Sell_"",""""))-COUNTIF(C$4"&amp;":C1586,""Sell_""&amp;SUBSTITUTE(C1587,""Sell_"",""""))))/2),ROUNDUP(INDEX(Upgrades!$C$3:$C$13,MATCH(C1587,Upgrades!$B$3:$B$13,0))*1.15^(COUNTIF(C$4:C1586,C1587)-COUNTIF(C$4:C1586,""Sell_""&amp;C1587))))))"),"")</f>
        <v/>
      </c>
      <c r="H1587" s="10" t="str">
        <f t="shared" si="3"/>
        <v/>
      </c>
      <c r="I1587" s="68" t="str">
        <f t="shared" si="4"/>
        <v/>
      </c>
      <c r="J1587" s="59" t="str">
        <f t="shared" si="5"/>
        <v/>
      </c>
      <c r="K1587" s="69" t="str">
        <f t="shared" si="6"/>
        <v/>
      </c>
      <c r="L1587" s="60" t="str">
        <f t="shared" si="7"/>
        <v/>
      </c>
      <c r="M1587" s="61" t="str">
        <f>IFERROR(__xludf.DUMMYFUNCTION("IFS(AND(COUNTA(C1587:C1644)=0,COUNTA(Q1587:Q1644)=0),"""",OR(AND(K1587&gt;=1000000000,OR(Y1587&gt;=1000000000,COUNTA(Q1587:Q1644)=0)),OR(Y1587&gt;=1000000000,AND(COUNTA(C1587:C1644)=0,P$3=TRUE))),
ROUNDDOWN((AB$1-AC$1)*MAX(INDEX(T$4:T1644,MATCH(LARGE(FILTER(Y$4:Y1"&amp;"644,Y$4:Y1644&lt;1000000000),1),Y$4:Y1644)),INDEX(F$4:F1644,MATCH(LARGE(FILTER(K$4:K1644,K$4:K1644&lt;1000000000),1),K$4:K1644)))),AND(K1587&lt;1000000000,COUNTA(C1587:C1644)&gt;0,P$3=FALSE),
ROUNDDOWN(INDEX(Y$4:Y1644,MATCH(LARGE(FILTER(W$4:W1644,W$4:W1644&lt;=I1587),1)"&amp;",W$4:W1644))+(I1587-LARGE(FILTER(W$4:W1644,W$4:W1644&lt;=I1587),1))*INDEX(T$4:T1644,MATCH(LARGE(FILTER(W$4:W1644,W$4:W1644&lt;=I1587),1),W$4:W1644))-K1587),1,
ROUNDDOWN(Y1587-INDEX(K$4:K1644,MATCH(LARGE(FILTER(I$4:I1644,I$4:I1644&lt;=W1587),1),I$4:I1644))-(W1587-L"&amp;"ARGE(FILTER(I$4:I1644,I$4:I1644&lt;=W1587),1))*INDEX(F$4:F1644,MATCH(LARGE(FILTER(I$4:I1644,I$4:I1644&lt;=W1587),1),I$4:I1644))))"),"")</f>
        <v/>
      </c>
      <c r="N1587" s="60" t="str">
        <f t="shared" si="8"/>
        <v/>
      </c>
      <c r="O1587" s="61" t="str">
        <f t="shared" si="9"/>
        <v/>
      </c>
      <c r="P1587" s="56" t="str">
        <f t="shared" si="10"/>
        <v/>
      </c>
      <c r="Q1587" s="105"/>
      <c r="R1587" s="10"/>
      <c r="S1587" s="59" t="str">
        <f t="array" ref="S1587">IF(COUNTA(Q1587:Q1644)=0,"",SUM((COUNTIF(Q$4:Q1587,Upgrades!$B$3:$B$13)-COUNTIF(Q$4:Q1587,"Sell_"&amp;Upgrades!$B$3:$B$13))*Upgrades!$D$3:$D$13))</f>
        <v/>
      </c>
      <c r="T1587" s="66" t="str">
        <f>IFERROR(__xludf.DUMMYFUNCTION("IF(COUNTA(Q1587:Q1644)=0,"""",IF(REGEXMATCH(INDEX(FILTER(Q$4:Q1587,Q$4:Q1587&lt;&gt;""""),ROWS(FILTER(Q$4:Q1587,Q$4:Q1587&lt;&gt;""""))),""^Sell_""),INDEX(FILTER(T$4:T1586,Q$4:Q1586&lt;&gt;""""),ROWS(FILTER(Q$4:Q1586,Q$4:Q1586&lt;&gt;""""))),$AD$5+S1587))"),"")</f>
        <v/>
      </c>
      <c r="U1587" s="10" t="str">
        <f>IFERROR(__xludf.DUMMYFUNCTION("IF(COUNTA(Q1587:Q1644)=0,"""",IF(Q1587="""",0,IF(REGEXMATCH(Q1587,""^Sell_""),-ROUNDDOWN(ROUNDUP(INDEX(Upgrades!$C$3:$C$13,MATCH(SUBSTITUTE(Q1587,""Sell_"",""""),Upgrades!$B$3:$B$13,0))*1.15^(COUNTIF(Q$4:Q1586,SUBSTITUTE(Q1587,""Sell_"",""""))-COUNTIF(Q$4"&amp;":Q1586,""Sell_""&amp;SUBSTITUTE(Q1587,""Sell_"",""""))))/2),ROUNDUP(INDEX(Upgrades!$C$3:$C$13,MATCH(Q1587,Upgrades!$B$3:$B$13,0))*1.15^(COUNTIF(Q$4:Q1586,Q1587)-COUNTIF(Q$4:Q1586,""Sell_""&amp;Q1587))))))"),"")</f>
        <v/>
      </c>
      <c r="V1587" s="10" t="str">
        <f t="shared" si="11"/>
        <v/>
      </c>
      <c r="W1587" s="68" t="str">
        <f t="shared" si="12"/>
        <v/>
      </c>
      <c r="X1587" s="59" t="str">
        <f t="shared" si="13"/>
        <v/>
      </c>
      <c r="Y1587" s="69" t="str">
        <f t="shared" si="14"/>
        <v/>
      </c>
      <c r="Z1587" s="11"/>
      <c r="AG1587" s="59"/>
    </row>
    <row r="1588">
      <c r="A1588" s="8"/>
      <c r="B1588" s="56" t="str">
        <f t="shared" si="2"/>
        <v/>
      </c>
      <c r="C1588" s="105"/>
      <c r="D1588" s="10"/>
      <c r="E1588" s="59" t="str">
        <f t="array" ref="E1588">IF(COUNTA(C1588:C1644)=0,"",SUM((COUNTIF(C$4:C1588,Upgrades!$B$3:$B$13)-COUNTIF(C$4:C1588,"Sell_"&amp;Upgrades!$B$3:$B$13))*Upgrades!$D$3:$D$13))</f>
        <v/>
      </c>
      <c r="F1588" s="66" t="str">
        <f>IFERROR(__xludf.DUMMYFUNCTION("IF(COUNTA(C1588:C1644)=0,"""",IF(REGEXMATCH(INDEX(FILTER(C$4:C1588,C$4:C1588&lt;&gt;""""),ROWS(FILTER(C$4:C1588,C$4:C1588&lt;&gt;""""))),""^Sell_""),INDEX(FILTER(F$4:F1587,C$4:C1587&lt;&gt;""""),ROWS(FILTER(C$4:C1587,C$4:C1587&lt;&gt;""""))),$AC$5+E1588))"),"")</f>
        <v/>
      </c>
      <c r="G1588" s="10" t="str">
        <f>IFERROR(__xludf.DUMMYFUNCTION("IF(COUNTA(C1588:C1644)=0,"""",IF(C1588="""",0,IF(REGEXMATCH(C1588,""^Sell_""),-ROUNDDOWN(ROUNDUP(INDEX(Upgrades!$C$3:$C$13,MATCH(SUBSTITUTE(C1588,""Sell_"",""""),Upgrades!$B$3:$B$13,0))*1.15^(COUNTIF(C$4:C1587,SUBSTITUTE(C1588,""Sell_"",""""))-COUNTIF(C$4"&amp;":C1587,""Sell_""&amp;SUBSTITUTE(C1588,""Sell_"",""""))))/2),ROUNDUP(INDEX(Upgrades!$C$3:$C$13,MATCH(C1588,Upgrades!$B$3:$B$13,0))*1.15^(COUNTIF(C$4:C1587,C1588)-COUNTIF(C$4:C1587,""Sell_""&amp;C1588))))))"),"")</f>
        <v/>
      </c>
      <c r="H1588" s="10" t="str">
        <f t="shared" si="3"/>
        <v/>
      </c>
      <c r="I1588" s="68" t="str">
        <f t="shared" si="4"/>
        <v/>
      </c>
      <c r="J1588" s="59" t="str">
        <f t="shared" si="5"/>
        <v/>
      </c>
      <c r="K1588" s="69" t="str">
        <f t="shared" si="6"/>
        <v/>
      </c>
      <c r="L1588" s="60" t="str">
        <f t="shared" si="7"/>
        <v/>
      </c>
      <c r="M1588" s="61" t="str">
        <f>IFERROR(__xludf.DUMMYFUNCTION("IFS(AND(COUNTA(C1588:C1644)=0,COUNTA(Q1588:Q1644)=0),"""",OR(AND(K1588&gt;=1000000000,OR(Y1588&gt;=1000000000,COUNTA(Q1588:Q1644)=0)),OR(Y1588&gt;=1000000000,AND(COUNTA(C1588:C1644)=0,P$3=TRUE))),
ROUNDDOWN((AB$1-AC$1)*MAX(INDEX(T$4:T1644,MATCH(LARGE(FILTER(Y$4:Y1"&amp;"644,Y$4:Y1644&lt;1000000000),1),Y$4:Y1644)),INDEX(F$4:F1644,MATCH(LARGE(FILTER(K$4:K1644,K$4:K1644&lt;1000000000),1),K$4:K1644)))),AND(K1588&lt;1000000000,COUNTA(C1588:C1644)&gt;0,P$3=FALSE),
ROUNDDOWN(INDEX(Y$4:Y1644,MATCH(LARGE(FILTER(W$4:W1644,W$4:W1644&lt;=I1588),1)"&amp;",W$4:W1644))+(I1588-LARGE(FILTER(W$4:W1644,W$4:W1644&lt;=I1588),1))*INDEX(T$4:T1644,MATCH(LARGE(FILTER(W$4:W1644,W$4:W1644&lt;=I1588),1),W$4:W1644))-K1588),1,
ROUNDDOWN(Y1588-INDEX(K$4:K1644,MATCH(LARGE(FILTER(I$4:I1644,I$4:I1644&lt;=W1588),1),I$4:I1644))-(W1588-L"&amp;"ARGE(FILTER(I$4:I1644,I$4:I1644&lt;=W1588),1))*INDEX(F$4:F1644,MATCH(LARGE(FILTER(I$4:I1644,I$4:I1644&lt;=W1588),1),I$4:I1644))))"),"")</f>
        <v/>
      </c>
      <c r="N1588" s="60" t="str">
        <f t="shared" si="8"/>
        <v/>
      </c>
      <c r="O1588" s="61" t="str">
        <f t="shared" si="9"/>
        <v/>
      </c>
      <c r="P1588" s="56" t="str">
        <f t="shared" si="10"/>
        <v/>
      </c>
      <c r="Q1588" s="105"/>
      <c r="R1588" s="10"/>
      <c r="S1588" s="59" t="str">
        <f t="array" ref="S1588">IF(COUNTA(Q1588:Q1644)=0,"",SUM((COUNTIF(Q$4:Q1588,Upgrades!$B$3:$B$13)-COUNTIF(Q$4:Q1588,"Sell_"&amp;Upgrades!$B$3:$B$13))*Upgrades!$D$3:$D$13))</f>
        <v/>
      </c>
      <c r="T1588" s="66" t="str">
        <f>IFERROR(__xludf.DUMMYFUNCTION("IF(COUNTA(Q1588:Q1644)=0,"""",IF(REGEXMATCH(INDEX(FILTER(Q$4:Q1588,Q$4:Q1588&lt;&gt;""""),ROWS(FILTER(Q$4:Q1588,Q$4:Q1588&lt;&gt;""""))),""^Sell_""),INDEX(FILTER(T$4:T1587,Q$4:Q1587&lt;&gt;""""),ROWS(FILTER(Q$4:Q1587,Q$4:Q1587&lt;&gt;""""))),$AD$5+S1588))"),"")</f>
        <v/>
      </c>
      <c r="U1588" s="10" t="str">
        <f>IFERROR(__xludf.DUMMYFUNCTION("IF(COUNTA(Q1588:Q1644)=0,"""",IF(Q1588="""",0,IF(REGEXMATCH(Q1588,""^Sell_""),-ROUNDDOWN(ROUNDUP(INDEX(Upgrades!$C$3:$C$13,MATCH(SUBSTITUTE(Q1588,""Sell_"",""""),Upgrades!$B$3:$B$13,0))*1.15^(COUNTIF(Q$4:Q1587,SUBSTITUTE(Q1588,""Sell_"",""""))-COUNTIF(Q$4"&amp;":Q1587,""Sell_""&amp;SUBSTITUTE(Q1588,""Sell_"",""""))))/2),ROUNDUP(INDEX(Upgrades!$C$3:$C$13,MATCH(Q1588,Upgrades!$B$3:$B$13,0))*1.15^(COUNTIF(Q$4:Q1587,Q1588)-COUNTIF(Q$4:Q1587,""Sell_""&amp;Q1588))))))"),"")</f>
        <v/>
      </c>
      <c r="V1588" s="10" t="str">
        <f t="shared" si="11"/>
        <v/>
      </c>
      <c r="W1588" s="68" t="str">
        <f t="shared" si="12"/>
        <v/>
      </c>
      <c r="X1588" s="59" t="str">
        <f t="shared" si="13"/>
        <v/>
      </c>
      <c r="Y1588" s="69" t="str">
        <f t="shared" si="14"/>
        <v/>
      </c>
      <c r="Z1588" s="11"/>
      <c r="AG1588" s="59"/>
    </row>
    <row r="1589">
      <c r="A1589" s="8"/>
      <c r="B1589" s="56" t="str">
        <f t="shared" si="2"/>
        <v/>
      </c>
      <c r="C1589" s="105"/>
      <c r="D1589" s="10"/>
      <c r="E1589" s="59" t="str">
        <f t="array" ref="E1589">IF(COUNTA(C1589:C1644)=0,"",SUM((COUNTIF(C$4:C1589,Upgrades!$B$3:$B$13)-COUNTIF(C$4:C1589,"Sell_"&amp;Upgrades!$B$3:$B$13))*Upgrades!$D$3:$D$13))</f>
        <v/>
      </c>
      <c r="F1589" s="66" t="str">
        <f>IFERROR(__xludf.DUMMYFUNCTION("IF(COUNTA(C1589:C1644)=0,"""",IF(REGEXMATCH(INDEX(FILTER(C$4:C1589,C$4:C1589&lt;&gt;""""),ROWS(FILTER(C$4:C1589,C$4:C1589&lt;&gt;""""))),""^Sell_""),INDEX(FILTER(F$4:F1588,C$4:C1588&lt;&gt;""""),ROWS(FILTER(C$4:C1588,C$4:C1588&lt;&gt;""""))),$AC$5+E1589))"),"")</f>
        <v/>
      </c>
      <c r="G1589" s="10" t="str">
        <f>IFERROR(__xludf.DUMMYFUNCTION("IF(COUNTA(C1589:C1644)=0,"""",IF(C1589="""",0,IF(REGEXMATCH(C1589,""^Sell_""),-ROUNDDOWN(ROUNDUP(INDEX(Upgrades!$C$3:$C$13,MATCH(SUBSTITUTE(C1589,""Sell_"",""""),Upgrades!$B$3:$B$13,0))*1.15^(COUNTIF(C$4:C1588,SUBSTITUTE(C1589,""Sell_"",""""))-COUNTIF(C$4"&amp;":C1588,""Sell_""&amp;SUBSTITUTE(C1589,""Sell_"",""""))))/2),ROUNDUP(INDEX(Upgrades!$C$3:$C$13,MATCH(C1589,Upgrades!$B$3:$B$13,0))*1.15^(COUNTIF(C$4:C1588,C1589)-COUNTIF(C$4:C1588,""Sell_""&amp;C1589))))))"),"")</f>
        <v/>
      </c>
      <c r="H1589" s="10" t="str">
        <f t="shared" si="3"/>
        <v/>
      </c>
      <c r="I1589" s="68" t="str">
        <f t="shared" si="4"/>
        <v/>
      </c>
      <c r="J1589" s="59" t="str">
        <f t="shared" si="5"/>
        <v/>
      </c>
      <c r="K1589" s="69" t="str">
        <f t="shared" si="6"/>
        <v/>
      </c>
      <c r="L1589" s="60" t="str">
        <f t="shared" si="7"/>
        <v/>
      </c>
      <c r="M1589" s="61" t="str">
        <f>IFERROR(__xludf.DUMMYFUNCTION("IFS(AND(COUNTA(C1589:C1644)=0,COUNTA(Q1589:Q1644)=0),"""",OR(AND(K1589&gt;=1000000000,OR(Y1589&gt;=1000000000,COUNTA(Q1589:Q1644)=0)),OR(Y1589&gt;=1000000000,AND(COUNTA(C1589:C1644)=0,P$3=TRUE))),
ROUNDDOWN((AB$1-AC$1)*MAX(INDEX(T$4:T1644,MATCH(LARGE(FILTER(Y$4:Y1"&amp;"644,Y$4:Y1644&lt;1000000000),1),Y$4:Y1644)),INDEX(F$4:F1644,MATCH(LARGE(FILTER(K$4:K1644,K$4:K1644&lt;1000000000),1),K$4:K1644)))),AND(K1589&lt;1000000000,COUNTA(C1589:C1644)&gt;0,P$3=FALSE),
ROUNDDOWN(INDEX(Y$4:Y1644,MATCH(LARGE(FILTER(W$4:W1644,W$4:W1644&lt;=I1589),1)"&amp;",W$4:W1644))+(I1589-LARGE(FILTER(W$4:W1644,W$4:W1644&lt;=I1589),1))*INDEX(T$4:T1644,MATCH(LARGE(FILTER(W$4:W1644,W$4:W1644&lt;=I1589),1),W$4:W1644))-K1589),1,
ROUNDDOWN(Y1589-INDEX(K$4:K1644,MATCH(LARGE(FILTER(I$4:I1644,I$4:I1644&lt;=W1589),1),I$4:I1644))-(W1589-L"&amp;"ARGE(FILTER(I$4:I1644,I$4:I1644&lt;=W1589),1))*INDEX(F$4:F1644,MATCH(LARGE(FILTER(I$4:I1644,I$4:I1644&lt;=W1589),1),I$4:I1644))))"),"")</f>
        <v/>
      </c>
      <c r="N1589" s="60" t="str">
        <f t="shared" si="8"/>
        <v/>
      </c>
      <c r="O1589" s="61" t="str">
        <f t="shared" si="9"/>
        <v/>
      </c>
      <c r="P1589" s="56" t="str">
        <f t="shared" si="10"/>
        <v/>
      </c>
      <c r="Q1589" s="105"/>
      <c r="R1589" s="10"/>
      <c r="S1589" s="59" t="str">
        <f t="array" ref="S1589">IF(COUNTA(Q1589:Q1644)=0,"",SUM((COUNTIF(Q$4:Q1589,Upgrades!$B$3:$B$13)-COUNTIF(Q$4:Q1589,"Sell_"&amp;Upgrades!$B$3:$B$13))*Upgrades!$D$3:$D$13))</f>
        <v/>
      </c>
      <c r="T1589" s="66" t="str">
        <f>IFERROR(__xludf.DUMMYFUNCTION("IF(COUNTA(Q1589:Q1644)=0,"""",IF(REGEXMATCH(INDEX(FILTER(Q$4:Q1589,Q$4:Q1589&lt;&gt;""""),ROWS(FILTER(Q$4:Q1589,Q$4:Q1589&lt;&gt;""""))),""^Sell_""),INDEX(FILTER(T$4:T1588,Q$4:Q1588&lt;&gt;""""),ROWS(FILTER(Q$4:Q1588,Q$4:Q1588&lt;&gt;""""))),$AD$5+S1589))"),"")</f>
        <v/>
      </c>
      <c r="U1589" s="10" t="str">
        <f>IFERROR(__xludf.DUMMYFUNCTION("IF(COUNTA(Q1589:Q1644)=0,"""",IF(Q1589="""",0,IF(REGEXMATCH(Q1589,""^Sell_""),-ROUNDDOWN(ROUNDUP(INDEX(Upgrades!$C$3:$C$13,MATCH(SUBSTITUTE(Q1589,""Sell_"",""""),Upgrades!$B$3:$B$13,0))*1.15^(COUNTIF(Q$4:Q1588,SUBSTITUTE(Q1589,""Sell_"",""""))-COUNTIF(Q$4"&amp;":Q1588,""Sell_""&amp;SUBSTITUTE(Q1589,""Sell_"",""""))))/2),ROUNDUP(INDEX(Upgrades!$C$3:$C$13,MATCH(Q1589,Upgrades!$B$3:$B$13,0))*1.15^(COUNTIF(Q$4:Q1588,Q1589)-COUNTIF(Q$4:Q1588,""Sell_""&amp;Q1589))))))"),"")</f>
        <v/>
      </c>
      <c r="V1589" s="10" t="str">
        <f t="shared" si="11"/>
        <v/>
      </c>
      <c r="W1589" s="68" t="str">
        <f t="shared" si="12"/>
        <v/>
      </c>
      <c r="X1589" s="59" t="str">
        <f t="shared" si="13"/>
        <v/>
      </c>
      <c r="Y1589" s="69" t="str">
        <f t="shared" si="14"/>
        <v/>
      </c>
      <c r="Z1589" s="11"/>
      <c r="AG1589" s="59"/>
    </row>
    <row r="1590">
      <c r="A1590" s="8"/>
      <c r="B1590" s="56" t="str">
        <f t="shared" si="2"/>
        <v/>
      </c>
      <c r="C1590" s="105"/>
      <c r="D1590" s="10"/>
      <c r="E1590" s="59" t="str">
        <f t="array" ref="E1590">IF(COUNTA(C1590:C1644)=0,"",SUM((COUNTIF(C$4:C1590,Upgrades!$B$3:$B$13)-COUNTIF(C$4:C1590,"Sell_"&amp;Upgrades!$B$3:$B$13))*Upgrades!$D$3:$D$13))</f>
        <v/>
      </c>
      <c r="F1590" s="66" t="str">
        <f>IFERROR(__xludf.DUMMYFUNCTION("IF(COUNTA(C1590:C1644)=0,"""",IF(REGEXMATCH(INDEX(FILTER(C$4:C1590,C$4:C1590&lt;&gt;""""),ROWS(FILTER(C$4:C1590,C$4:C1590&lt;&gt;""""))),""^Sell_""),INDEX(FILTER(F$4:F1589,C$4:C1589&lt;&gt;""""),ROWS(FILTER(C$4:C1589,C$4:C1589&lt;&gt;""""))),$AC$5+E1590))"),"")</f>
        <v/>
      </c>
      <c r="G1590" s="10" t="str">
        <f>IFERROR(__xludf.DUMMYFUNCTION("IF(COUNTA(C1590:C1644)=0,"""",IF(C1590="""",0,IF(REGEXMATCH(C1590,""^Sell_""),-ROUNDDOWN(ROUNDUP(INDEX(Upgrades!$C$3:$C$13,MATCH(SUBSTITUTE(C1590,""Sell_"",""""),Upgrades!$B$3:$B$13,0))*1.15^(COUNTIF(C$4:C1589,SUBSTITUTE(C1590,""Sell_"",""""))-COUNTIF(C$4"&amp;":C1589,""Sell_""&amp;SUBSTITUTE(C1590,""Sell_"",""""))))/2),ROUNDUP(INDEX(Upgrades!$C$3:$C$13,MATCH(C1590,Upgrades!$B$3:$B$13,0))*1.15^(COUNTIF(C$4:C1589,C1590)-COUNTIF(C$4:C1589,""Sell_""&amp;C1590))))))"),"")</f>
        <v/>
      </c>
      <c r="H1590" s="10" t="str">
        <f t="shared" si="3"/>
        <v/>
      </c>
      <c r="I1590" s="68" t="str">
        <f t="shared" si="4"/>
        <v/>
      </c>
      <c r="J1590" s="59" t="str">
        <f t="shared" si="5"/>
        <v/>
      </c>
      <c r="K1590" s="69" t="str">
        <f t="shared" si="6"/>
        <v/>
      </c>
      <c r="L1590" s="60" t="str">
        <f t="shared" si="7"/>
        <v/>
      </c>
      <c r="M1590" s="61" t="str">
        <f>IFERROR(__xludf.DUMMYFUNCTION("IFS(AND(COUNTA(C1590:C1644)=0,COUNTA(Q1590:Q1644)=0),"""",OR(AND(K1590&gt;=1000000000,OR(Y1590&gt;=1000000000,COUNTA(Q1590:Q1644)=0)),OR(Y1590&gt;=1000000000,AND(COUNTA(C1590:C1644)=0,P$3=TRUE))),
ROUNDDOWN((AB$1-AC$1)*MAX(INDEX(T$4:T1644,MATCH(LARGE(FILTER(Y$4:Y1"&amp;"644,Y$4:Y1644&lt;1000000000),1),Y$4:Y1644)),INDEX(F$4:F1644,MATCH(LARGE(FILTER(K$4:K1644,K$4:K1644&lt;1000000000),1),K$4:K1644)))),AND(K1590&lt;1000000000,COUNTA(C1590:C1644)&gt;0,P$3=FALSE),
ROUNDDOWN(INDEX(Y$4:Y1644,MATCH(LARGE(FILTER(W$4:W1644,W$4:W1644&lt;=I1590),1)"&amp;",W$4:W1644))+(I1590-LARGE(FILTER(W$4:W1644,W$4:W1644&lt;=I1590),1))*INDEX(T$4:T1644,MATCH(LARGE(FILTER(W$4:W1644,W$4:W1644&lt;=I1590),1),W$4:W1644))-K1590),1,
ROUNDDOWN(Y1590-INDEX(K$4:K1644,MATCH(LARGE(FILTER(I$4:I1644,I$4:I1644&lt;=W1590),1),I$4:I1644))-(W1590-L"&amp;"ARGE(FILTER(I$4:I1644,I$4:I1644&lt;=W1590),1))*INDEX(F$4:F1644,MATCH(LARGE(FILTER(I$4:I1644,I$4:I1644&lt;=W1590),1),I$4:I1644))))"),"")</f>
        <v/>
      </c>
      <c r="N1590" s="60" t="str">
        <f t="shared" si="8"/>
        <v/>
      </c>
      <c r="O1590" s="61" t="str">
        <f t="shared" si="9"/>
        <v/>
      </c>
      <c r="P1590" s="56" t="str">
        <f t="shared" si="10"/>
        <v/>
      </c>
      <c r="Q1590" s="105"/>
      <c r="R1590" s="10"/>
      <c r="S1590" s="59" t="str">
        <f t="array" ref="S1590">IF(COUNTA(Q1590:Q1644)=0,"",SUM((COUNTIF(Q$4:Q1590,Upgrades!$B$3:$B$13)-COUNTIF(Q$4:Q1590,"Sell_"&amp;Upgrades!$B$3:$B$13))*Upgrades!$D$3:$D$13))</f>
        <v/>
      </c>
      <c r="T1590" s="66" t="str">
        <f>IFERROR(__xludf.DUMMYFUNCTION("IF(COUNTA(Q1590:Q1644)=0,"""",IF(REGEXMATCH(INDEX(FILTER(Q$4:Q1590,Q$4:Q1590&lt;&gt;""""),ROWS(FILTER(Q$4:Q1590,Q$4:Q1590&lt;&gt;""""))),""^Sell_""),INDEX(FILTER(T$4:T1589,Q$4:Q1589&lt;&gt;""""),ROWS(FILTER(Q$4:Q1589,Q$4:Q1589&lt;&gt;""""))),$AD$5+S1590))"),"")</f>
        <v/>
      </c>
      <c r="U1590" s="10" t="str">
        <f>IFERROR(__xludf.DUMMYFUNCTION("IF(COUNTA(Q1590:Q1644)=0,"""",IF(Q1590="""",0,IF(REGEXMATCH(Q1590,""^Sell_""),-ROUNDDOWN(ROUNDUP(INDEX(Upgrades!$C$3:$C$13,MATCH(SUBSTITUTE(Q1590,""Sell_"",""""),Upgrades!$B$3:$B$13,0))*1.15^(COUNTIF(Q$4:Q1589,SUBSTITUTE(Q1590,""Sell_"",""""))-COUNTIF(Q$4"&amp;":Q1589,""Sell_""&amp;SUBSTITUTE(Q1590,""Sell_"",""""))))/2),ROUNDUP(INDEX(Upgrades!$C$3:$C$13,MATCH(Q1590,Upgrades!$B$3:$B$13,0))*1.15^(COUNTIF(Q$4:Q1589,Q1590)-COUNTIF(Q$4:Q1589,""Sell_""&amp;Q1590))))))"),"")</f>
        <v/>
      </c>
      <c r="V1590" s="10" t="str">
        <f t="shared" si="11"/>
        <v/>
      </c>
      <c r="W1590" s="68" t="str">
        <f t="shared" si="12"/>
        <v/>
      </c>
      <c r="X1590" s="59" t="str">
        <f t="shared" si="13"/>
        <v/>
      </c>
      <c r="Y1590" s="69" t="str">
        <f t="shared" si="14"/>
        <v/>
      </c>
      <c r="Z1590" s="11"/>
      <c r="AG1590" s="59"/>
    </row>
    <row r="1591">
      <c r="A1591" s="8"/>
      <c r="B1591" s="56" t="str">
        <f t="shared" si="2"/>
        <v/>
      </c>
      <c r="C1591" s="105"/>
      <c r="D1591" s="10"/>
      <c r="E1591" s="59" t="str">
        <f t="array" ref="E1591">IF(COUNTA(C1591:C1644)=0,"",SUM((COUNTIF(C$4:C1591,Upgrades!$B$3:$B$13)-COUNTIF(C$4:C1591,"Sell_"&amp;Upgrades!$B$3:$B$13))*Upgrades!$D$3:$D$13))</f>
        <v/>
      </c>
      <c r="F1591" s="66" t="str">
        <f>IFERROR(__xludf.DUMMYFUNCTION("IF(COUNTA(C1591:C1644)=0,"""",IF(REGEXMATCH(INDEX(FILTER(C$4:C1591,C$4:C1591&lt;&gt;""""),ROWS(FILTER(C$4:C1591,C$4:C1591&lt;&gt;""""))),""^Sell_""),INDEX(FILTER(F$4:F1590,C$4:C1590&lt;&gt;""""),ROWS(FILTER(C$4:C1590,C$4:C1590&lt;&gt;""""))),$AC$5+E1591))"),"")</f>
        <v/>
      </c>
      <c r="G1591" s="10" t="str">
        <f>IFERROR(__xludf.DUMMYFUNCTION("IF(COUNTA(C1591:C1644)=0,"""",IF(C1591="""",0,IF(REGEXMATCH(C1591,""^Sell_""),-ROUNDDOWN(ROUNDUP(INDEX(Upgrades!$C$3:$C$13,MATCH(SUBSTITUTE(C1591,""Sell_"",""""),Upgrades!$B$3:$B$13,0))*1.15^(COUNTIF(C$4:C1590,SUBSTITUTE(C1591,""Sell_"",""""))-COUNTIF(C$4"&amp;":C1590,""Sell_""&amp;SUBSTITUTE(C1591,""Sell_"",""""))))/2),ROUNDUP(INDEX(Upgrades!$C$3:$C$13,MATCH(C1591,Upgrades!$B$3:$B$13,0))*1.15^(COUNTIF(C$4:C1590,C1591)-COUNTIF(C$4:C1590,""Sell_""&amp;C1591))))))"),"")</f>
        <v/>
      </c>
      <c r="H1591" s="10" t="str">
        <f t="shared" si="3"/>
        <v/>
      </c>
      <c r="I1591" s="68" t="str">
        <f t="shared" si="4"/>
        <v/>
      </c>
      <c r="J1591" s="59" t="str">
        <f t="shared" si="5"/>
        <v/>
      </c>
      <c r="K1591" s="69" t="str">
        <f t="shared" si="6"/>
        <v/>
      </c>
      <c r="L1591" s="60" t="str">
        <f t="shared" si="7"/>
        <v/>
      </c>
      <c r="M1591" s="61" t="str">
        <f>IFERROR(__xludf.DUMMYFUNCTION("IFS(AND(COUNTA(C1591:C1644)=0,COUNTA(Q1591:Q1644)=0),"""",OR(AND(K1591&gt;=1000000000,OR(Y1591&gt;=1000000000,COUNTA(Q1591:Q1644)=0)),OR(Y1591&gt;=1000000000,AND(COUNTA(C1591:C1644)=0,P$3=TRUE))),
ROUNDDOWN((AB$1-AC$1)*MAX(INDEX(T$4:T1644,MATCH(LARGE(FILTER(Y$4:Y1"&amp;"644,Y$4:Y1644&lt;1000000000),1),Y$4:Y1644)),INDEX(F$4:F1644,MATCH(LARGE(FILTER(K$4:K1644,K$4:K1644&lt;1000000000),1),K$4:K1644)))),AND(K1591&lt;1000000000,COUNTA(C1591:C1644)&gt;0,P$3=FALSE),
ROUNDDOWN(INDEX(Y$4:Y1644,MATCH(LARGE(FILTER(W$4:W1644,W$4:W1644&lt;=I1591),1)"&amp;",W$4:W1644))+(I1591-LARGE(FILTER(W$4:W1644,W$4:W1644&lt;=I1591),1))*INDEX(T$4:T1644,MATCH(LARGE(FILTER(W$4:W1644,W$4:W1644&lt;=I1591),1),W$4:W1644))-K1591),1,
ROUNDDOWN(Y1591-INDEX(K$4:K1644,MATCH(LARGE(FILTER(I$4:I1644,I$4:I1644&lt;=W1591),1),I$4:I1644))-(W1591-L"&amp;"ARGE(FILTER(I$4:I1644,I$4:I1644&lt;=W1591),1))*INDEX(F$4:F1644,MATCH(LARGE(FILTER(I$4:I1644,I$4:I1644&lt;=W1591),1),I$4:I1644))))"),"")</f>
        <v/>
      </c>
      <c r="N1591" s="60" t="str">
        <f t="shared" si="8"/>
        <v/>
      </c>
      <c r="O1591" s="61" t="str">
        <f t="shared" si="9"/>
        <v/>
      </c>
      <c r="P1591" s="56" t="str">
        <f t="shared" si="10"/>
        <v/>
      </c>
      <c r="Q1591" s="105"/>
      <c r="R1591" s="10"/>
      <c r="S1591" s="59" t="str">
        <f t="array" ref="S1591">IF(COUNTA(Q1591:Q1644)=0,"",SUM((COUNTIF(Q$4:Q1591,Upgrades!$B$3:$B$13)-COUNTIF(Q$4:Q1591,"Sell_"&amp;Upgrades!$B$3:$B$13))*Upgrades!$D$3:$D$13))</f>
        <v/>
      </c>
      <c r="T1591" s="66" t="str">
        <f>IFERROR(__xludf.DUMMYFUNCTION("IF(COUNTA(Q1591:Q1644)=0,"""",IF(REGEXMATCH(INDEX(FILTER(Q$4:Q1591,Q$4:Q1591&lt;&gt;""""),ROWS(FILTER(Q$4:Q1591,Q$4:Q1591&lt;&gt;""""))),""^Sell_""),INDEX(FILTER(T$4:T1590,Q$4:Q1590&lt;&gt;""""),ROWS(FILTER(Q$4:Q1590,Q$4:Q1590&lt;&gt;""""))),$AD$5+S1591))"),"")</f>
        <v/>
      </c>
      <c r="U1591" s="10" t="str">
        <f>IFERROR(__xludf.DUMMYFUNCTION("IF(COUNTA(Q1591:Q1644)=0,"""",IF(Q1591="""",0,IF(REGEXMATCH(Q1591,""^Sell_""),-ROUNDDOWN(ROUNDUP(INDEX(Upgrades!$C$3:$C$13,MATCH(SUBSTITUTE(Q1591,""Sell_"",""""),Upgrades!$B$3:$B$13,0))*1.15^(COUNTIF(Q$4:Q1590,SUBSTITUTE(Q1591,""Sell_"",""""))-COUNTIF(Q$4"&amp;":Q1590,""Sell_""&amp;SUBSTITUTE(Q1591,""Sell_"",""""))))/2),ROUNDUP(INDEX(Upgrades!$C$3:$C$13,MATCH(Q1591,Upgrades!$B$3:$B$13,0))*1.15^(COUNTIF(Q$4:Q1590,Q1591)-COUNTIF(Q$4:Q1590,""Sell_""&amp;Q1591))))))"),"")</f>
        <v/>
      </c>
      <c r="V1591" s="10" t="str">
        <f t="shared" si="11"/>
        <v/>
      </c>
      <c r="W1591" s="68" t="str">
        <f t="shared" si="12"/>
        <v/>
      </c>
      <c r="X1591" s="59" t="str">
        <f t="shared" si="13"/>
        <v/>
      </c>
      <c r="Y1591" s="69" t="str">
        <f t="shared" si="14"/>
        <v/>
      </c>
      <c r="Z1591" s="11"/>
      <c r="AG1591" s="59"/>
    </row>
    <row r="1592">
      <c r="A1592" s="8"/>
      <c r="B1592" s="56" t="str">
        <f t="shared" si="2"/>
        <v/>
      </c>
      <c r="C1592" s="105"/>
      <c r="D1592" s="10"/>
      <c r="E1592" s="59" t="str">
        <f t="array" ref="E1592">IF(COUNTA(C1592:C1644)=0,"",SUM((COUNTIF(C$4:C1592,Upgrades!$B$3:$B$13)-COUNTIF(C$4:C1592,"Sell_"&amp;Upgrades!$B$3:$B$13))*Upgrades!$D$3:$D$13))</f>
        <v/>
      </c>
      <c r="F1592" s="66" t="str">
        <f>IFERROR(__xludf.DUMMYFUNCTION("IF(COUNTA(C1592:C1644)=0,"""",IF(REGEXMATCH(INDEX(FILTER(C$4:C1592,C$4:C1592&lt;&gt;""""),ROWS(FILTER(C$4:C1592,C$4:C1592&lt;&gt;""""))),""^Sell_""),INDEX(FILTER(F$4:F1591,C$4:C1591&lt;&gt;""""),ROWS(FILTER(C$4:C1591,C$4:C1591&lt;&gt;""""))),$AC$5+E1592))"),"")</f>
        <v/>
      </c>
      <c r="G1592" s="10" t="str">
        <f>IFERROR(__xludf.DUMMYFUNCTION("IF(COUNTA(C1592:C1644)=0,"""",IF(C1592="""",0,IF(REGEXMATCH(C1592,""^Sell_""),-ROUNDDOWN(ROUNDUP(INDEX(Upgrades!$C$3:$C$13,MATCH(SUBSTITUTE(C1592,""Sell_"",""""),Upgrades!$B$3:$B$13,0))*1.15^(COUNTIF(C$4:C1591,SUBSTITUTE(C1592,""Sell_"",""""))-COUNTIF(C$4"&amp;":C1591,""Sell_""&amp;SUBSTITUTE(C1592,""Sell_"",""""))))/2),ROUNDUP(INDEX(Upgrades!$C$3:$C$13,MATCH(C1592,Upgrades!$B$3:$B$13,0))*1.15^(COUNTIF(C$4:C1591,C1592)-COUNTIF(C$4:C1591,""Sell_""&amp;C1592))))))"),"")</f>
        <v/>
      </c>
      <c r="H1592" s="10" t="str">
        <f t="shared" si="3"/>
        <v/>
      </c>
      <c r="I1592" s="68" t="str">
        <f t="shared" si="4"/>
        <v/>
      </c>
      <c r="J1592" s="59" t="str">
        <f t="shared" si="5"/>
        <v/>
      </c>
      <c r="K1592" s="69" t="str">
        <f t="shared" si="6"/>
        <v/>
      </c>
      <c r="L1592" s="60" t="str">
        <f t="shared" si="7"/>
        <v/>
      </c>
      <c r="M1592" s="61" t="str">
        <f>IFERROR(__xludf.DUMMYFUNCTION("IFS(AND(COUNTA(C1592:C1644)=0,COUNTA(Q1592:Q1644)=0),"""",OR(AND(K1592&gt;=1000000000,OR(Y1592&gt;=1000000000,COUNTA(Q1592:Q1644)=0)),OR(Y1592&gt;=1000000000,AND(COUNTA(C1592:C1644)=0,P$3=TRUE))),
ROUNDDOWN((AB$1-AC$1)*MAX(INDEX(T$4:T1644,MATCH(LARGE(FILTER(Y$4:Y1"&amp;"644,Y$4:Y1644&lt;1000000000),1),Y$4:Y1644)),INDEX(F$4:F1644,MATCH(LARGE(FILTER(K$4:K1644,K$4:K1644&lt;1000000000),1),K$4:K1644)))),AND(K1592&lt;1000000000,COUNTA(C1592:C1644)&gt;0,P$3=FALSE),
ROUNDDOWN(INDEX(Y$4:Y1644,MATCH(LARGE(FILTER(W$4:W1644,W$4:W1644&lt;=I1592),1)"&amp;",W$4:W1644))+(I1592-LARGE(FILTER(W$4:W1644,W$4:W1644&lt;=I1592),1))*INDEX(T$4:T1644,MATCH(LARGE(FILTER(W$4:W1644,W$4:W1644&lt;=I1592),1),W$4:W1644))-K1592),1,
ROUNDDOWN(Y1592-INDEX(K$4:K1644,MATCH(LARGE(FILTER(I$4:I1644,I$4:I1644&lt;=W1592),1),I$4:I1644))-(W1592-L"&amp;"ARGE(FILTER(I$4:I1644,I$4:I1644&lt;=W1592),1))*INDEX(F$4:F1644,MATCH(LARGE(FILTER(I$4:I1644,I$4:I1644&lt;=W1592),1),I$4:I1644))))"),"")</f>
        <v/>
      </c>
      <c r="N1592" s="60" t="str">
        <f t="shared" si="8"/>
        <v/>
      </c>
      <c r="O1592" s="61" t="str">
        <f t="shared" si="9"/>
        <v/>
      </c>
      <c r="P1592" s="56" t="str">
        <f t="shared" si="10"/>
        <v/>
      </c>
      <c r="Q1592" s="105"/>
      <c r="R1592" s="10"/>
      <c r="S1592" s="59" t="str">
        <f t="array" ref="S1592">IF(COUNTA(Q1592:Q1644)=0,"",SUM((COUNTIF(Q$4:Q1592,Upgrades!$B$3:$B$13)-COUNTIF(Q$4:Q1592,"Sell_"&amp;Upgrades!$B$3:$B$13))*Upgrades!$D$3:$D$13))</f>
        <v/>
      </c>
      <c r="T1592" s="66" t="str">
        <f>IFERROR(__xludf.DUMMYFUNCTION("IF(COUNTA(Q1592:Q1644)=0,"""",IF(REGEXMATCH(INDEX(FILTER(Q$4:Q1592,Q$4:Q1592&lt;&gt;""""),ROWS(FILTER(Q$4:Q1592,Q$4:Q1592&lt;&gt;""""))),""^Sell_""),INDEX(FILTER(T$4:T1591,Q$4:Q1591&lt;&gt;""""),ROWS(FILTER(Q$4:Q1591,Q$4:Q1591&lt;&gt;""""))),$AD$5+S1592))"),"")</f>
        <v/>
      </c>
      <c r="U1592" s="10" t="str">
        <f>IFERROR(__xludf.DUMMYFUNCTION("IF(COUNTA(Q1592:Q1644)=0,"""",IF(Q1592="""",0,IF(REGEXMATCH(Q1592,""^Sell_""),-ROUNDDOWN(ROUNDUP(INDEX(Upgrades!$C$3:$C$13,MATCH(SUBSTITUTE(Q1592,""Sell_"",""""),Upgrades!$B$3:$B$13,0))*1.15^(COUNTIF(Q$4:Q1591,SUBSTITUTE(Q1592,""Sell_"",""""))-COUNTIF(Q$4"&amp;":Q1591,""Sell_""&amp;SUBSTITUTE(Q1592,""Sell_"",""""))))/2),ROUNDUP(INDEX(Upgrades!$C$3:$C$13,MATCH(Q1592,Upgrades!$B$3:$B$13,0))*1.15^(COUNTIF(Q$4:Q1591,Q1592)-COUNTIF(Q$4:Q1591,""Sell_""&amp;Q1592))))))"),"")</f>
        <v/>
      </c>
      <c r="V1592" s="10" t="str">
        <f t="shared" si="11"/>
        <v/>
      </c>
      <c r="W1592" s="68" t="str">
        <f t="shared" si="12"/>
        <v/>
      </c>
      <c r="X1592" s="59" t="str">
        <f t="shared" si="13"/>
        <v/>
      </c>
      <c r="Y1592" s="69" t="str">
        <f t="shared" si="14"/>
        <v/>
      </c>
      <c r="Z1592" s="11"/>
      <c r="AG1592" s="59"/>
    </row>
    <row r="1593">
      <c r="A1593" s="8"/>
      <c r="B1593" s="56" t="str">
        <f t="shared" si="2"/>
        <v/>
      </c>
      <c r="C1593" s="105"/>
      <c r="D1593" s="10"/>
      <c r="E1593" s="59" t="str">
        <f t="array" ref="E1593">IF(COUNTA(C1593:C1644)=0,"",SUM((COUNTIF(C$4:C1593,Upgrades!$B$3:$B$13)-COUNTIF(C$4:C1593,"Sell_"&amp;Upgrades!$B$3:$B$13))*Upgrades!$D$3:$D$13))</f>
        <v/>
      </c>
      <c r="F1593" s="66" t="str">
        <f>IFERROR(__xludf.DUMMYFUNCTION("IF(COUNTA(C1593:C1644)=0,"""",IF(REGEXMATCH(INDEX(FILTER(C$4:C1593,C$4:C1593&lt;&gt;""""),ROWS(FILTER(C$4:C1593,C$4:C1593&lt;&gt;""""))),""^Sell_""),INDEX(FILTER(F$4:F1592,C$4:C1592&lt;&gt;""""),ROWS(FILTER(C$4:C1592,C$4:C1592&lt;&gt;""""))),$AC$5+E1593))"),"")</f>
        <v/>
      </c>
      <c r="G1593" s="10" t="str">
        <f>IFERROR(__xludf.DUMMYFUNCTION("IF(COUNTA(C1593:C1644)=0,"""",IF(C1593="""",0,IF(REGEXMATCH(C1593,""^Sell_""),-ROUNDDOWN(ROUNDUP(INDEX(Upgrades!$C$3:$C$13,MATCH(SUBSTITUTE(C1593,""Sell_"",""""),Upgrades!$B$3:$B$13,0))*1.15^(COUNTIF(C$4:C1592,SUBSTITUTE(C1593,""Sell_"",""""))-COUNTIF(C$4"&amp;":C1592,""Sell_""&amp;SUBSTITUTE(C1593,""Sell_"",""""))))/2),ROUNDUP(INDEX(Upgrades!$C$3:$C$13,MATCH(C1593,Upgrades!$B$3:$B$13,0))*1.15^(COUNTIF(C$4:C1592,C1593)-COUNTIF(C$4:C1592,""Sell_""&amp;C1593))))))"),"")</f>
        <v/>
      </c>
      <c r="H1593" s="10" t="str">
        <f t="shared" si="3"/>
        <v/>
      </c>
      <c r="I1593" s="68" t="str">
        <f t="shared" si="4"/>
        <v/>
      </c>
      <c r="J1593" s="59" t="str">
        <f t="shared" si="5"/>
        <v/>
      </c>
      <c r="K1593" s="69" t="str">
        <f t="shared" si="6"/>
        <v/>
      </c>
      <c r="L1593" s="60" t="str">
        <f t="shared" si="7"/>
        <v/>
      </c>
      <c r="M1593" s="61" t="str">
        <f>IFERROR(__xludf.DUMMYFUNCTION("IFS(AND(COUNTA(C1593:C1644)=0,COUNTA(Q1593:Q1644)=0),"""",OR(AND(K1593&gt;=1000000000,OR(Y1593&gt;=1000000000,COUNTA(Q1593:Q1644)=0)),OR(Y1593&gt;=1000000000,AND(COUNTA(C1593:C1644)=0,P$3=TRUE))),
ROUNDDOWN((AB$1-AC$1)*MAX(INDEX(T$4:T1644,MATCH(LARGE(FILTER(Y$4:Y1"&amp;"644,Y$4:Y1644&lt;1000000000),1),Y$4:Y1644)),INDEX(F$4:F1644,MATCH(LARGE(FILTER(K$4:K1644,K$4:K1644&lt;1000000000),1),K$4:K1644)))),AND(K1593&lt;1000000000,COUNTA(C1593:C1644)&gt;0,P$3=FALSE),
ROUNDDOWN(INDEX(Y$4:Y1644,MATCH(LARGE(FILTER(W$4:W1644,W$4:W1644&lt;=I1593),1)"&amp;",W$4:W1644))+(I1593-LARGE(FILTER(W$4:W1644,W$4:W1644&lt;=I1593),1))*INDEX(T$4:T1644,MATCH(LARGE(FILTER(W$4:W1644,W$4:W1644&lt;=I1593),1),W$4:W1644))-K1593),1,
ROUNDDOWN(Y1593-INDEX(K$4:K1644,MATCH(LARGE(FILTER(I$4:I1644,I$4:I1644&lt;=W1593),1),I$4:I1644))-(W1593-L"&amp;"ARGE(FILTER(I$4:I1644,I$4:I1644&lt;=W1593),1))*INDEX(F$4:F1644,MATCH(LARGE(FILTER(I$4:I1644,I$4:I1644&lt;=W1593),1),I$4:I1644))))"),"")</f>
        <v/>
      </c>
      <c r="N1593" s="60" t="str">
        <f t="shared" si="8"/>
        <v/>
      </c>
      <c r="O1593" s="61" t="str">
        <f t="shared" si="9"/>
        <v/>
      </c>
      <c r="P1593" s="56" t="str">
        <f t="shared" si="10"/>
        <v/>
      </c>
      <c r="Q1593" s="105"/>
      <c r="R1593" s="10"/>
      <c r="S1593" s="59" t="str">
        <f t="array" ref="S1593">IF(COUNTA(Q1593:Q1644)=0,"",SUM((COUNTIF(Q$4:Q1593,Upgrades!$B$3:$B$13)-COUNTIF(Q$4:Q1593,"Sell_"&amp;Upgrades!$B$3:$B$13))*Upgrades!$D$3:$D$13))</f>
        <v/>
      </c>
      <c r="T1593" s="66" t="str">
        <f>IFERROR(__xludf.DUMMYFUNCTION("IF(COUNTA(Q1593:Q1644)=0,"""",IF(REGEXMATCH(INDEX(FILTER(Q$4:Q1593,Q$4:Q1593&lt;&gt;""""),ROWS(FILTER(Q$4:Q1593,Q$4:Q1593&lt;&gt;""""))),""^Sell_""),INDEX(FILTER(T$4:T1592,Q$4:Q1592&lt;&gt;""""),ROWS(FILTER(Q$4:Q1592,Q$4:Q1592&lt;&gt;""""))),$AD$5+S1593))"),"")</f>
        <v/>
      </c>
      <c r="U1593" s="10" t="str">
        <f>IFERROR(__xludf.DUMMYFUNCTION("IF(COUNTA(Q1593:Q1644)=0,"""",IF(Q1593="""",0,IF(REGEXMATCH(Q1593,""^Sell_""),-ROUNDDOWN(ROUNDUP(INDEX(Upgrades!$C$3:$C$13,MATCH(SUBSTITUTE(Q1593,""Sell_"",""""),Upgrades!$B$3:$B$13,0))*1.15^(COUNTIF(Q$4:Q1592,SUBSTITUTE(Q1593,""Sell_"",""""))-COUNTIF(Q$4"&amp;":Q1592,""Sell_""&amp;SUBSTITUTE(Q1593,""Sell_"",""""))))/2),ROUNDUP(INDEX(Upgrades!$C$3:$C$13,MATCH(Q1593,Upgrades!$B$3:$B$13,0))*1.15^(COUNTIF(Q$4:Q1592,Q1593)-COUNTIF(Q$4:Q1592,""Sell_""&amp;Q1593))))))"),"")</f>
        <v/>
      </c>
      <c r="V1593" s="10" t="str">
        <f t="shared" si="11"/>
        <v/>
      </c>
      <c r="W1593" s="68" t="str">
        <f t="shared" si="12"/>
        <v/>
      </c>
      <c r="X1593" s="59" t="str">
        <f t="shared" si="13"/>
        <v/>
      </c>
      <c r="Y1593" s="69" t="str">
        <f t="shared" si="14"/>
        <v/>
      </c>
      <c r="Z1593" s="11"/>
      <c r="AG1593" s="59"/>
    </row>
    <row r="1594">
      <c r="A1594" s="8"/>
      <c r="B1594" s="56" t="str">
        <f t="shared" si="2"/>
        <v/>
      </c>
      <c r="C1594" s="105"/>
      <c r="D1594" s="10"/>
      <c r="E1594" s="59" t="str">
        <f t="array" ref="E1594">IF(COUNTA(C1594:C1644)=0,"",SUM((COUNTIF(C$4:C1594,Upgrades!$B$3:$B$13)-COUNTIF(C$4:C1594,"Sell_"&amp;Upgrades!$B$3:$B$13))*Upgrades!$D$3:$D$13))</f>
        <v/>
      </c>
      <c r="F1594" s="66" t="str">
        <f>IFERROR(__xludf.DUMMYFUNCTION("IF(COUNTA(C1594:C1644)=0,"""",IF(REGEXMATCH(INDEX(FILTER(C$4:C1594,C$4:C1594&lt;&gt;""""),ROWS(FILTER(C$4:C1594,C$4:C1594&lt;&gt;""""))),""^Sell_""),INDEX(FILTER(F$4:F1593,C$4:C1593&lt;&gt;""""),ROWS(FILTER(C$4:C1593,C$4:C1593&lt;&gt;""""))),$AC$5+E1594))"),"")</f>
        <v/>
      </c>
      <c r="G1594" s="10" t="str">
        <f>IFERROR(__xludf.DUMMYFUNCTION("IF(COUNTA(C1594:C1644)=0,"""",IF(C1594="""",0,IF(REGEXMATCH(C1594,""^Sell_""),-ROUNDDOWN(ROUNDUP(INDEX(Upgrades!$C$3:$C$13,MATCH(SUBSTITUTE(C1594,""Sell_"",""""),Upgrades!$B$3:$B$13,0))*1.15^(COUNTIF(C$4:C1593,SUBSTITUTE(C1594,""Sell_"",""""))-COUNTIF(C$4"&amp;":C1593,""Sell_""&amp;SUBSTITUTE(C1594,""Sell_"",""""))))/2),ROUNDUP(INDEX(Upgrades!$C$3:$C$13,MATCH(C1594,Upgrades!$B$3:$B$13,0))*1.15^(COUNTIF(C$4:C1593,C1594)-COUNTIF(C$4:C1593,""Sell_""&amp;C1594))))))"),"")</f>
        <v/>
      </c>
      <c r="H1594" s="10" t="str">
        <f t="shared" si="3"/>
        <v/>
      </c>
      <c r="I1594" s="68" t="str">
        <f t="shared" si="4"/>
        <v/>
      </c>
      <c r="J1594" s="59" t="str">
        <f t="shared" si="5"/>
        <v/>
      </c>
      <c r="K1594" s="69" t="str">
        <f t="shared" si="6"/>
        <v/>
      </c>
      <c r="L1594" s="60" t="str">
        <f t="shared" si="7"/>
        <v/>
      </c>
      <c r="M1594" s="61" t="str">
        <f>IFERROR(__xludf.DUMMYFUNCTION("IFS(AND(COUNTA(C1594:C1644)=0,COUNTA(Q1594:Q1644)=0),"""",OR(AND(K1594&gt;=1000000000,OR(Y1594&gt;=1000000000,COUNTA(Q1594:Q1644)=0)),OR(Y1594&gt;=1000000000,AND(COUNTA(C1594:C1644)=0,P$3=TRUE))),
ROUNDDOWN((AB$1-AC$1)*MAX(INDEX(T$4:T1644,MATCH(LARGE(FILTER(Y$4:Y1"&amp;"644,Y$4:Y1644&lt;1000000000),1),Y$4:Y1644)),INDEX(F$4:F1644,MATCH(LARGE(FILTER(K$4:K1644,K$4:K1644&lt;1000000000),1),K$4:K1644)))),AND(K1594&lt;1000000000,COUNTA(C1594:C1644)&gt;0,P$3=FALSE),
ROUNDDOWN(INDEX(Y$4:Y1644,MATCH(LARGE(FILTER(W$4:W1644,W$4:W1644&lt;=I1594),1)"&amp;",W$4:W1644))+(I1594-LARGE(FILTER(W$4:W1644,W$4:W1644&lt;=I1594),1))*INDEX(T$4:T1644,MATCH(LARGE(FILTER(W$4:W1644,W$4:W1644&lt;=I1594),1),W$4:W1644))-K1594),1,
ROUNDDOWN(Y1594-INDEX(K$4:K1644,MATCH(LARGE(FILTER(I$4:I1644,I$4:I1644&lt;=W1594),1),I$4:I1644))-(W1594-L"&amp;"ARGE(FILTER(I$4:I1644,I$4:I1644&lt;=W1594),1))*INDEX(F$4:F1644,MATCH(LARGE(FILTER(I$4:I1644,I$4:I1644&lt;=W1594),1),I$4:I1644))))"),"")</f>
        <v/>
      </c>
      <c r="N1594" s="60" t="str">
        <f t="shared" si="8"/>
        <v/>
      </c>
      <c r="O1594" s="61" t="str">
        <f t="shared" si="9"/>
        <v/>
      </c>
      <c r="P1594" s="56" t="str">
        <f t="shared" si="10"/>
        <v/>
      </c>
      <c r="Q1594" s="105"/>
      <c r="R1594" s="10"/>
      <c r="S1594" s="59" t="str">
        <f t="array" ref="S1594">IF(COUNTA(Q1594:Q1644)=0,"",SUM((COUNTIF(Q$4:Q1594,Upgrades!$B$3:$B$13)-COUNTIF(Q$4:Q1594,"Sell_"&amp;Upgrades!$B$3:$B$13))*Upgrades!$D$3:$D$13))</f>
        <v/>
      </c>
      <c r="T1594" s="66" t="str">
        <f>IFERROR(__xludf.DUMMYFUNCTION("IF(COUNTA(Q1594:Q1644)=0,"""",IF(REGEXMATCH(INDEX(FILTER(Q$4:Q1594,Q$4:Q1594&lt;&gt;""""),ROWS(FILTER(Q$4:Q1594,Q$4:Q1594&lt;&gt;""""))),""^Sell_""),INDEX(FILTER(T$4:T1593,Q$4:Q1593&lt;&gt;""""),ROWS(FILTER(Q$4:Q1593,Q$4:Q1593&lt;&gt;""""))),$AD$5+S1594))"),"")</f>
        <v/>
      </c>
      <c r="U1594" s="10" t="str">
        <f>IFERROR(__xludf.DUMMYFUNCTION("IF(COUNTA(Q1594:Q1644)=0,"""",IF(Q1594="""",0,IF(REGEXMATCH(Q1594,""^Sell_""),-ROUNDDOWN(ROUNDUP(INDEX(Upgrades!$C$3:$C$13,MATCH(SUBSTITUTE(Q1594,""Sell_"",""""),Upgrades!$B$3:$B$13,0))*1.15^(COUNTIF(Q$4:Q1593,SUBSTITUTE(Q1594,""Sell_"",""""))-COUNTIF(Q$4"&amp;":Q1593,""Sell_""&amp;SUBSTITUTE(Q1594,""Sell_"",""""))))/2),ROUNDUP(INDEX(Upgrades!$C$3:$C$13,MATCH(Q1594,Upgrades!$B$3:$B$13,0))*1.15^(COUNTIF(Q$4:Q1593,Q1594)-COUNTIF(Q$4:Q1593,""Sell_""&amp;Q1594))))))"),"")</f>
        <v/>
      </c>
      <c r="V1594" s="10" t="str">
        <f t="shared" si="11"/>
        <v/>
      </c>
      <c r="W1594" s="68" t="str">
        <f t="shared" si="12"/>
        <v/>
      </c>
      <c r="X1594" s="59" t="str">
        <f t="shared" si="13"/>
        <v/>
      </c>
      <c r="Y1594" s="69" t="str">
        <f t="shared" si="14"/>
        <v/>
      </c>
      <c r="Z1594" s="11"/>
      <c r="AG1594" s="59"/>
    </row>
    <row r="1595">
      <c r="A1595" s="8"/>
      <c r="B1595" s="56" t="str">
        <f t="shared" si="2"/>
        <v/>
      </c>
      <c r="C1595" s="105"/>
      <c r="D1595" s="10"/>
      <c r="E1595" s="59" t="str">
        <f t="array" ref="E1595">IF(COUNTA(C1595:C1644)=0,"",SUM((COUNTIF(C$4:C1595,Upgrades!$B$3:$B$13)-COUNTIF(C$4:C1595,"Sell_"&amp;Upgrades!$B$3:$B$13))*Upgrades!$D$3:$D$13))</f>
        <v/>
      </c>
      <c r="F1595" s="66" t="str">
        <f>IFERROR(__xludf.DUMMYFUNCTION("IF(COUNTA(C1595:C1644)=0,"""",IF(REGEXMATCH(INDEX(FILTER(C$4:C1595,C$4:C1595&lt;&gt;""""),ROWS(FILTER(C$4:C1595,C$4:C1595&lt;&gt;""""))),""^Sell_""),INDEX(FILTER(F$4:F1594,C$4:C1594&lt;&gt;""""),ROWS(FILTER(C$4:C1594,C$4:C1594&lt;&gt;""""))),$AC$5+E1595))"),"")</f>
        <v/>
      </c>
      <c r="G1595" s="10" t="str">
        <f>IFERROR(__xludf.DUMMYFUNCTION("IF(COUNTA(C1595:C1644)=0,"""",IF(C1595="""",0,IF(REGEXMATCH(C1595,""^Sell_""),-ROUNDDOWN(ROUNDUP(INDEX(Upgrades!$C$3:$C$13,MATCH(SUBSTITUTE(C1595,""Sell_"",""""),Upgrades!$B$3:$B$13,0))*1.15^(COUNTIF(C$4:C1594,SUBSTITUTE(C1595,""Sell_"",""""))-COUNTIF(C$4"&amp;":C1594,""Sell_""&amp;SUBSTITUTE(C1595,""Sell_"",""""))))/2),ROUNDUP(INDEX(Upgrades!$C$3:$C$13,MATCH(C1595,Upgrades!$B$3:$B$13,0))*1.15^(COUNTIF(C$4:C1594,C1595)-COUNTIF(C$4:C1594,""Sell_""&amp;C1595))))))"),"")</f>
        <v/>
      </c>
      <c r="H1595" s="10" t="str">
        <f t="shared" si="3"/>
        <v/>
      </c>
      <c r="I1595" s="68" t="str">
        <f t="shared" si="4"/>
        <v/>
      </c>
      <c r="J1595" s="59" t="str">
        <f t="shared" si="5"/>
        <v/>
      </c>
      <c r="K1595" s="69" t="str">
        <f t="shared" si="6"/>
        <v/>
      </c>
      <c r="L1595" s="60" t="str">
        <f t="shared" si="7"/>
        <v/>
      </c>
      <c r="M1595" s="61" t="str">
        <f>IFERROR(__xludf.DUMMYFUNCTION("IFS(AND(COUNTA(C1595:C1644)=0,COUNTA(Q1595:Q1644)=0),"""",OR(AND(K1595&gt;=1000000000,OR(Y1595&gt;=1000000000,COUNTA(Q1595:Q1644)=0)),OR(Y1595&gt;=1000000000,AND(COUNTA(C1595:C1644)=0,P$3=TRUE))),
ROUNDDOWN((AB$1-AC$1)*MAX(INDEX(T$4:T1644,MATCH(LARGE(FILTER(Y$4:Y1"&amp;"644,Y$4:Y1644&lt;1000000000),1),Y$4:Y1644)),INDEX(F$4:F1644,MATCH(LARGE(FILTER(K$4:K1644,K$4:K1644&lt;1000000000),1),K$4:K1644)))),AND(K1595&lt;1000000000,COUNTA(C1595:C1644)&gt;0,P$3=FALSE),
ROUNDDOWN(INDEX(Y$4:Y1644,MATCH(LARGE(FILTER(W$4:W1644,W$4:W1644&lt;=I1595),1)"&amp;",W$4:W1644))+(I1595-LARGE(FILTER(W$4:W1644,W$4:W1644&lt;=I1595),1))*INDEX(T$4:T1644,MATCH(LARGE(FILTER(W$4:W1644,W$4:W1644&lt;=I1595),1),W$4:W1644))-K1595),1,
ROUNDDOWN(Y1595-INDEX(K$4:K1644,MATCH(LARGE(FILTER(I$4:I1644,I$4:I1644&lt;=W1595),1),I$4:I1644))-(W1595-L"&amp;"ARGE(FILTER(I$4:I1644,I$4:I1644&lt;=W1595),1))*INDEX(F$4:F1644,MATCH(LARGE(FILTER(I$4:I1644,I$4:I1644&lt;=W1595),1),I$4:I1644))))"),"")</f>
        <v/>
      </c>
      <c r="N1595" s="60" t="str">
        <f t="shared" si="8"/>
        <v/>
      </c>
      <c r="O1595" s="61" t="str">
        <f t="shared" si="9"/>
        <v/>
      </c>
      <c r="P1595" s="56" t="str">
        <f t="shared" si="10"/>
        <v/>
      </c>
      <c r="Q1595" s="105"/>
      <c r="R1595" s="10"/>
      <c r="S1595" s="59" t="str">
        <f t="array" ref="S1595">IF(COUNTA(Q1595:Q1644)=0,"",SUM((COUNTIF(Q$4:Q1595,Upgrades!$B$3:$B$13)-COUNTIF(Q$4:Q1595,"Sell_"&amp;Upgrades!$B$3:$B$13))*Upgrades!$D$3:$D$13))</f>
        <v/>
      </c>
      <c r="T1595" s="66" t="str">
        <f>IFERROR(__xludf.DUMMYFUNCTION("IF(COUNTA(Q1595:Q1644)=0,"""",IF(REGEXMATCH(INDEX(FILTER(Q$4:Q1595,Q$4:Q1595&lt;&gt;""""),ROWS(FILTER(Q$4:Q1595,Q$4:Q1595&lt;&gt;""""))),""^Sell_""),INDEX(FILTER(T$4:T1594,Q$4:Q1594&lt;&gt;""""),ROWS(FILTER(Q$4:Q1594,Q$4:Q1594&lt;&gt;""""))),$AD$5+S1595))"),"")</f>
        <v/>
      </c>
      <c r="U1595" s="10" t="str">
        <f>IFERROR(__xludf.DUMMYFUNCTION("IF(COUNTA(Q1595:Q1644)=0,"""",IF(Q1595="""",0,IF(REGEXMATCH(Q1595,""^Sell_""),-ROUNDDOWN(ROUNDUP(INDEX(Upgrades!$C$3:$C$13,MATCH(SUBSTITUTE(Q1595,""Sell_"",""""),Upgrades!$B$3:$B$13,0))*1.15^(COUNTIF(Q$4:Q1594,SUBSTITUTE(Q1595,""Sell_"",""""))-COUNTIF(Q$4"&amp;":Q1594,""Sell_""&amp;SUBSTITUTE(Q1595,""Sell_"",""""))))/2),ROUNDUP(INDEX(Upgrades!$C$3:$C$13,MATCH(Q1595,Upgrades!$B$3:$B$13,0))*1.15^(COUNTIF(Q$4:Q1594,Q1595)-COUNTIF(Q$4:Q1594,""Sell_""&amp;Q1595))))))"),"")</f>
        <v/>
      </c>
      <c r="V1595" s="10" t="str">
        <f t="shared" si="11"/>
        <v/>
      </c>
      <c r="W1595" s="68" t="str">
        <f t="shared" si="12"/>
        <v/>
      </c>
      <c r="X1595" s="59" t="str">
        <f t="shared" si="13"/>
        <v/>
      </c>
      <c r="Y1595" s="69" t="str">
        <f t="shared" si="14"/>
        <v/>
      </c>
      <c r="Z1595" s="11"/>
      <c r="AG1595" s="59"/>
    </row>
    <row r="1596">
      <c r="A1596" s="8"/>
      <c r="B1596" s="56" t="str">
        <f t="shared" si="2"/>
        <v/>
      </c>
      <c r="C1596" s="105"/>
      <c r="D1596" s="10"/>
      <c r="E1596" s="59" t="str">
        <f t="array" ref="E1596">IF(COUNTA(C1596:C1644)=0,"",SUM((COUNTIF(C$4:C1596,Upgrades!$B$3:$B$13)-COUNTIF(C$4:C1596,"Sell_"&amp;Upgrades!$B$3:$B$13))*Upgrades!$D$3:$D$13))</f>
        <v/>
      </c>
      <c r="F1596" s="66" t="str">
        <f>IFERROR(__xludf.DUMMYFUNCTION("IF(COUNTA(C1596:C1644)=0,"""",IF(REGEXMATCH(INDEX(FILTER(C$4:C1596,C$4:C1596&lt;&gt;""""),ROWS(FILTER(C$4:C1596,C$4:C1596&lt;&gt;""""))),""^Sell_""),INDEX(FILTER(F$4:F1595,C$4:C1595&lt;&gt;""""),ROWS(FILTER(C$4:C1595,C$4:C1595&lt;&gt;""""))),$AC$5+E1596))"),"")</f>
        <v/>
      </c>
      <c r="G1596" s="10" t="str">
        <f>IFERROR(__xludf.DUMMYFUNCTION("IF(COUNTA(C1596:C1644)=0,"""",IF(C1596="""",0,IF(REGEXMATCH(C1596,""^Sell_""),-ROUNDDOWN(ROUNDUP(INDEX(Upgrades!$C$3:$C$13,MATCH(SUBSTITUTE(C1596,""Sell_"",""""),Upgrades!$B$3:$B$13,0))*1.15^(COUNTIF(C$4:C1595,SUBSTITUTE(C1596,""Sell_"",""""))-COUNTIF(C$4"&amp;":C1595,""Sell_""&amp;SUBSTITUTE(C1596,""Sell_"",""""))))/2),ROUNDUP(INDEX(Upgrades!$C$3:$C$13,MATCH(C1596,Upgrades!$B$3:$B$13,0))*1.15^(COUNTIF(C$4:C1595,C1596)-COUNTIF(C$4:C1595,""Sell_""&amp;C1596))))))"),"")</f>
        <v/>
      </c>
      <c r="H1596" s="10" t="str">
        <f t="shared" si="3"/>
        <v/>
      </c>
      <c r="I1596" s="68" t="str">
        <f t="shared" si="4"/>
        <v/>
      </c>
      <c r="J1596" s="59" t="str">
        <f t="shared" si="5"/>
        <v/>
      </c>
      <c r="K1596" s="69" t="str">
        <f t="shared" si="6"/>
        <v/>
      </c>
      <c r="L1596" s="60" t="str">
        <f t="shared" si="7"/>
        <v/>
      </c>
      <c r="M1596" s="61" t="str">
        <f>IFERROR(__xludf.DUMMYFUNCTION("IFS(AND(COUNTA(C1596:C1644)=0,COUNTA(Q1596:Q1644)=0),"""",OR(AND(K1596&gt;=1000000000,OR(Y1596&gt;=1000000000,COUNTA(Q1596:Q1644)=0)),OR(Y1596&gt;=1000000000,AND(COUNTA(C1596:C1644)=0,P$3=TRUE))),
ROUNDDOWN((AB$1-AC$1)*MAX(INDEX(T$4:T1644,MATCH(LARGE(FILTER(Y$4:Y1"&amp;"644,Y$4:Y1644&lt;1000000000),1),Y$4:Y1644)),INDEX(F$4:F1644,MATCH(LARGE(FILTER(K$4:K1644,K$4:K1644&lt;1000000000),1),K$4:K1644)))),AND(K1596&lt;1000000000,COUNTA(C1596:C1644)&gt;0,P$3=FALSE),
ROUNDDOWN(INDEX(Y$4:Y1644,MATCH(LARGE(FILTER(W$4:W1644,W$4:W1644&lt;=I1596),1)"&amp;",W$4:W1644))+(I1596-LARGE(FILTER(W$4:W1644,W$4:W1644&lt;=I1596),1))*INDEX(T$4:T1644,MATCH(LARGE(FILTER(W$4:W1644,W$4:W1644&lt;=I1596),1),W$4:W1644))-K1596),1,
ROUNDDOWN(Y1596-INDEX(K$4:K1644,MATCH(LARGE(FILTER(I$4:I1644,I$4:I1644&lt;=W1596),1),I$4:I1644))-(W1596-L"&amp;"ARGE(FILTER(I$4:I1644,I$4:I1644&lt;=W1596),1))*INDEX(F$4:F1644,MATCH(LARGE(FILTER(I$4:I1644,I$4:I1644&lt;=W1596),1),I$4:I1644))))"),"")</f>
        <v/>
      </c>
      <c r="N1596" s="60" t="str">
        <f t="shared" si="8"/>
        <v/>
      </c>
      <c r="O1596" s="61" t="str">
        <f t="shared" si="9"/>
        <v/>
      </c>
      <c r="P1596" s="56" t="str">
        <f t="shared" si="10"/>
        <v/>
      </c>
      <c r="Q1596" s="105"/>
      <c r="R1596" s="10"/>
      <c r="S1596" s="59" t="str">
        <f t="array" ref="S1596">IF(COUNTA(Q1596:Q1644)=0,"",SUM((COUNTIF(Q$4:Q1596,Upgrades!$B$3:$B$13)-COUNTIF(Q$4:Q1596,"Sell_"&amp;Upgrades!$B$3:$B$13))*Upgrades!$D$3:$D$13))</f>
        <v/>
      </c>
      <c r="T1596" s="66" t="str">
        <f>IFERROR(__xludf.DUMMYFUNCTION("IF(COUNTA(Q1596:Q1644)=0,"""",IF(REGEXMATCH(INDEX(FILTER(Q$4:Q1596,Q$4:Q1596&lt;&gt;""""),ROWS(FILTER(Q$4:Q1596,Q$4:Q1596&lt;&gt;""""))),""^Sell_""),INDEX(FILTER(T$4:T1595,Q$4:Q1595&lt;&gt;""""),ROWS(FILTER(Q$4:Q1595,Q$4:Q1595&lt;&gt;""""))),$AD$5+S1596))"),"")</f>
        <v/>
      </c>
      <c r="U1596" s="10" t="str">
        <f>IFERROR(__xludf.DUMMYFUNCTION("IF(COUNTA(Q1596:Q1644)=0,"""",IF(Q1596="""",0,IF(REGEXMATCH(Q1596,""^Sell_""),-ROUNDDOWN(ROUNDUP(INDEX(Upgrades!$C$3:$C$13,MATCH(SUBSTITUTE(Q1596,""Sell_"",""""),Upgrades!$B$3:$B$13,0))*1.15^(COUNTIF(Q$4:Q1595,SUBSTITUTE(Q1596,""Sell_"",""""))-COUNTIF(Q$4"&amp;":Q1595,""Sell_""&amp;SUBSTITUTE(Q1596,""Sell_"",""""))))/2),ROUNDUP(INDEX(Upgrades!$C$3:$C$13,MATCH(Q1596,Upgrades!$B$3:$B$13,0))*1.15^(COUNTIF(Q$4:Q1595,Q1596)-COUNTIF(Q$4:Q1595,""Sell_""&amp;Q1596))))))"),"")</f>
        <v/>
      </c>
      <c r="V1596" s="10" t="str">
        <f t="shared" si="11"/>
        <v/>
      </c>
      <c r="W1596" s="68" t="str">
        <f t="shared" si="12"/>
        <v/>
      </c>
      <c r="X1596" s="59" t="str">
        <f t="shared" si="13"/>
        <v/>
      </c>
      <c r="Y1596" s="69" t="str">
        <f t="shared" si="14"/>
        <v/>
      </c>
      <c r="Z1596" s="11"/>
      <c r="AG1596" s="59"/>
    </row>
    <row r="1597">
      <c r="A1597" s="8"/>
      <c r="B1597" s="56" t="str">
        <f t="shared" si="2"/>
        <v/>
      </c>
      <c r="C1597" s="105"/>
      <c r="D1597" s="10"/>
      <c r="E1597" s="59" t="str">
        <f t="array" ref="E1597">IF(COUNTA(C1597:C1644)=0,"",SUM((COUNTIF(C$4:C1597,Upgrades!$B$3:$B$13)-COUNTIF(C$4:C1597,"Sell_"&amp;Upgrades!$B$3:$B$13))*Upgrades!$D$3:$D$13))</f>
        <v/>
      </c>
      <c r="F1597" s="66" t="str">
        <f>IFERROR(__xludf.DUMMYFUNCTION("IF(COUNTA(C1597:C1644)=0,"""",IF(REGEXMATCH(INDEX(FILTER(C$4:C1597,C$4:C1597&lt;&gt;""""),ROWS(FILTER(C$4:C1597,C$4:C1597&lt;&gt;""""))),""^Sell_""),INDEX(FILTER(F$4:F1596,C$4:C1596&lt;&gt;""""),ROWS(FILTER(C$4:C1596,C$4:C1596&lt;&gt;""""))),$AC$5+E1597))"),"")</f>
        <v/>
      </c>
      <c r="G1597" s="10" t="str">
        <f>IFERROR(__xludf.DUMMYFUNCTION("IF(COUNTA(C1597:C1644)=0,"""",IF(C1597="""",0,IF(REGEXMATCH(C1597,""^Sell_""),-ROUNDDOWN(ROUNDUP(INDEX(Upgrades!$C$3:$C$13,MATCH(SUBSTITUTE(C1597,""Sell_"",""""),Upgrades!$B$3:$B$13,0))*1.15^(COUNTIF(C$4:C1596,SUBSTITUTE(C1597,""Sell_"",""""))-COUNTIF(C$4"&amp;":C1596,""Sell_""&amp;SUBSTITUTE(C1597,""Sell_"",""""))))/2),ROUNDUP(INDEX(Upgrades!$C$3:$C$13,MATCH(C1597,Upgrades!$B$3:$B$13,0))*1.15^(COUNTIF(C$4:C1596,C1597)-COUNTIF(C$4:C1596,""Sell_""&amp;C1597))))))"),"")</f>
        <v/>
      </c>
      <c r="H1597" s="10" t="str">
        <f t="shared" si="3"/>
        <v/>
      </c>
      <c r="I1597" s="68" t="str">
        <f t="shared" si="4"/>
        <v/>
      </c>
      <c r="J1597" s="59" t="str">
        <f t="shared" si="5"/>
        <v/>
      </c>
      <c r="K1597" s="69" t="str">
        <f t="shared" si="6"/>
        <v/>
      </c>
      <c r="L1597" s="60" t="str">
        <f t="shared" si="7"/>
        <v/>
      </c>
      <c r="M1597" s="61" t="str">
        <f>IFERROR(__xludf.DUMMYFUNCTION("IFS(AND(COUNTA(C1597:C1644)=0,COUNTA(Q1597:Q1644)=0),"""",OR(AND(K1597&gt;=1000000000,OR(Y1597&gt;=1000000000,COUNTA(Q1597:Q1644)=0)),OR(Y1597&gt;=1000000000,AND(COUNTA(C1597:C1644)=0,P$3=TRUE))),
ROUNDDOWN((AB$1-AC$1)*MAX(INDEX(T$4:T1644,MATCH(LARGE(FILTER(Y$4:Y1"&amp;"644,Y$4:Y1644&lt;1000000000),1),Y$4:Y1644)),INDEX(F$4:F1644,MATCH(LARGE(FILTER(K$4:K1644,K$4:K1644&lt;1000000000),1),K$4:K1644)))),AND(K1597&lt;1000000000,COUNTA(C1597:C1644)&gt;0,P$3=FALSE),
ROUNDDOWN(INDEX(Y$4:Y1644,MATCH(LARGE(FILTER(W$4:W1644,W$4:W1644&lt;=I1597),1)"&amp;",W$4:W1644))+(I1597-LARGE(FILTER(W$4:W1644,W$4:W1644&lt;=I1597),1))*INDEX(T$4:T1644,MATCH(LARGE(FILTER(W$4:W1644,W$4:W1644&lt;=I1597),1),W$4:W1644))-K1597),1,
ROUNDDOWN(Y1597-INDEX(K$4:K1644,MATCH(LARGE(FILTER(I$4:I1644,I$4:I1644&lt;=W1597),1),I$4:I1644))-(W1597-L"&amp;"ARGE(FILTER(I$4:I1644,I$4:I1644&lt;=W1597),1))*INDEX(F$4:F1644,MATCH(LARGE(FILTER(I$4:I1644,I$4:I1644&lt;=W1597),1),I$4:I1644))))"),"")</f>
        <v/>
      </c>
      <c r="N1597" s="60" t="str">
        <f t="shared" si="8"/>
        <v/>
      </c>
      <c r="O1597" s="61" t="str">
        <f t="shared" si="9"/>
        <v/>
      </c>
      <c r="P1597" s="56" t="str">
        <f t="shared" si="10"/>
        <v/>
      </c>
      <c r="Q1597" s="105"/>
      <c r="R1597" s="10"/>
      <c r="S1597" s="59" t="str">
        <f t="array" ref="S1597">IF(COUNTA(Q1597:Q1644)=0,"",SUM((COUNTIF(Q$4:Q1597,Upgrades!$B$3:$B$13)-COUNTIF(Q$4:Q1597,"Sell_"&amp;Upgrades!$B$3:$B$13))*Upgrades!$D$3:$D$13))</f>
        <v/>
      </c>
      <c r="T1597" s="66" t="str">
        <f>IFERROR(__xludf.DUMMYFUNCTION("IF(COUNTA(Q1597:Q1644)=0,"""",IF(REGEXMATCH(INDEX(FILTER(Q$4:Q1597,Q$4:Q1597&lt;&gt;""""),ROWS(FILTER(Q$4:Q1597,Q$4:Q1597&lt;&gt;""""))),""^Sell_""),INDEX(FILTER(T$4:T1596,Q$4:Q1596&lt;&gt;""""),ROWS(FILTER(Q$4:Q1596,Q$4:Q1596&lt;&gt;""""))),$AD$5+S1597))"),"")</f>
        <v/>
      </c>
      <c r="U1597" s="10" t="str">
        <f>IFERROR(__xludf.DUMMYFUNCTION("IF(COUNTA(Q1597:Q1644)=0,"""",IF(Q1597="""",0,IF(REGEXMATCH(Q1597,""^Sell_""),-ROUNDDOWN(ROUNDUP(INDEX(Upgrades!$C$3:$C$13,MATCH(SUBSTITUTE(Q1597,""Sell_"",""""),Upgrades!$B$3:$B$13,0))*1.15^(COUNTIF(Q$4:Q1596,SUBSTITUTE(Q1597,""Sell_"",""""))-COUNTIF(Q$4"&amp;":Q1596,""Sell_""&amp;SUBSTITUTE(Q1597,""Sell_"",""""))))/2),ROUNDUP(INDEX(Upgrades!$C$3:$C$13,MATCH(Q1597,Upgrades!$B$3:$B$13,0))*1.15^(COUNTIF(Q$4:Q1596,Q1597)-COUNTIF(Q$4:Q1596,""Sell_""&amp;Q1597))))))"),"")</f>
        <v/>
      </c>
      <c r="V1597" s="10" t="str">
        <f t="shared" si="11"/>
        <v/>
      </c>
      <c r="W1597" s="68" t="str">
        <f t="shared" si="12"/>
        <v/>
      </c>
      <c r="X1597" s="59" t="str">
        <f t="shared" si="13"/>
        <v/>
      </c>
      <c r="Y1597" s="69" t="str">
        <f t="shared" si="14"/>
        <v/>
      </c>
      <c r="Z1597" s="11"/>
      <c r="AG1597" s="59"/>
    </row>
    <row r="1598">
      <c r="A1598" s="8"/>
      <c r="B1598" s="56" t="str">
        <f t="shared" si="2"/>
        <v/>
      </c>
      <c r="C1598" s="105"/>
      <c r="D1598" s="10"/>
      <c r="E1598" s="59" t="str">
        <f t="array" ref="E1598">IF(COUNTA(C1598:C1644)=0,"",SUM((COUNTIF(C$4:C1598,Upgrades!$B$3:$B$13)-COUNTIF(C$4:C1598,"Sell_"&amp;Upgrades!$B$3:$B$13))*Upgrades!$D$3:$D$13))</f>
        <v/>
      </c>
      <c r="F1598" s="66" t="str">
        <f>IFERROR(__xludf.DUMMYFUNCTION("IF(COUNTA(C1598:C1644)=0,"""",IF(REGEXMATCH(INDEX(FILTER(C$4:C1598,C$4:C1598&lt;&gt;""""),ROWS(FILTER(C$4:C1598,C$4:C1598&lt;&gt;""""))),""^Sell_""),INDEX(FILTER(F$4:F1597,C$4:C1597&lt;&gt;""""),ROWS(FILTER(C$4:C1597,C$4:C1597&lt;&gt;""""))),$AC$5+E1598))"),"")</f>
        <v/>
      </c>
      <c r="G1598" s="10" t="str">
        <f>IFERROR(__xludf.DUMMYFUNCTION("IF(COUNTA(C1598:C1644)=0,"""",IF(C1598="""",0,IF(REGEXMATCH(C1598,""^Sell_""),-ROUNDDOWN(ROUNDUP(INDEX(Upgrades!$C$3:$C$13,MATCH(SUBSTITUTE(C1598,""Sell_"",""""),Upgrades!$B$3:$B$13,0))*1.15^(COUNTIF(C$4:C1597,SUBSTITUTE(C1598,""Sell_"",""""))-COUNTIF(C$4"&amp;":C1597,""Sell_""&amp;SUBSTITUTE(C1598,""Sell_"",""""))))/2),ROUNDUP(INDEX(Upgrades!$C$3:$C$13,MATCH(C1598,Upgrades!$B$3:$B$13,0))*1.15^(COUNTIF(C$4:C1597,C1598)-COUNTIF(C$4:C1597,""Sell_""&amp;C1598))))))"),"")</f>
        <v/>
      </c>
      <c r="H1598" s="10" t="str">
        <f t="shared" si="3"/>
        <v/>
      </c>
      <c r="I1598" s="68" t="str">
        <f t="shared" si="4"/>
        <v/>
      </c>
      <c r="J1598" s="59" t="str">
        <f t="shared" si="5"/>
        <v/>
      </c>
      <c r="K1598" s="69" t="str">
        <f t="shared" si="6"/>
        <v/>
      </c>
      <c r="L1598" s="60" t="str">
        <f t="shared" si="7"/>
        <v/>
      </c>
      <c r="M1598" s="61" t="str">
        <f>IFERROR(__xludf.DUMMYFUNCTION("IFS(AND(COUNTA(C1598:C1644)=0,COUNTA(Q1598:Q1644)=0),"""",OR(AND(K1598&gt;=1000000000,OR(Y1598&gt;=1000000000,COUNTA(Q1598:Q1644)=0)),OR(Y1598&gt;=1000000000,AND(COUNTA(C1598:C1644)=0,P$3=TRUE))),
ROUNDDOWN((AB$1-AC$1)*MAX(INDEX(T$4:T1644,MATCH(LARGE(FILTER(Y$4:Y1"&amp;"644,Y$4:Y1644&lt;1000000000),1),Y$4:Y1644)),INDEX(F$4:F1644,MATCH(LARGE(FILTER(K$4:K1644,K$4:K1644&lt;1000000000),1),K$4:K1644)))),AND(K1598&lt;1000000000,COUNTA(C1598:C1644)&gt;0,P$3=FALSE),
ROUNDDOWN(INDEX(Y$4:Y1644,MATCH(LARGE(FILTER(W$4:W1644,W$4:W1644&lt;=I1598),1)"&amp;",W$4:W1644))+(I1598-LARGE(FILTER(W$4:W1644,W$4:W1644&lt;=I1598),1))*INDEX(T$4:T1644,MATCH(LARGE(FILTER(W$4:W1644,W$4:W1644&lt;=I1598),1),W$4:W1644))-K1598),1,
ROUNDDOWN(Y1598-INDEX(K$4:K1644,MATCH(LARGE(FILTER(I$4:I1644,I$4:I1644&lt;=W1598),1),I$4:I1644))-(W1598-L"&amp;"ARGE(FILTER(I$4:I1644,I$4:I1644&lt;=W1598),1))*INDEX(F$4:F1644,MATCH(LARGE(FILTER(I$4:I1644,I$4:I1644&lt;=W1598),1),I$4:I1644))))"),"")</f>
        <v/>
      </c>
      <c r="N1598" s="60" t="str">
        <f t="shared" si="8"/>
        <v/>
      </c>
      <c r="O1598" s="61" t="str">
        <f t="shared" si="9"/>
        <v/>
      </c>
      <c r="P1598" s="56" t="str">
        <f t="shared" si="10"/>
        <v/>
      </c>
      <c r="Q1598" s="105"/>
      <c r="R1598" s="10"/>
      <c r="S1598" s="59" t="str">
        <f t="array" ref="S1598">IF(COUNTA(Q1598:Q1644)=0,"",SUM((COUNTIF(Q$4:Q1598,Upgrades!$B$3:$B$13)-COUNTIF(Q$4:Q1598,"Sell_"&amp;Upgrades!$B$3:$B$13))*Upgrades!$D$3:$D$13))</f>
        <v/>
      </c>
      <c r="T1598" s="66" t="str">
        <f>IFERROR(__xludf.DUMMYFUNCTION("IF(COUNTA(Q1598:Q1644)=0,"""",IF(REGEXMATCH(INDEX(FILTER(Q$4:Q1598,Q$4:Q1598&lt;&gt;""""),ROWS(FILTER(Q$4:Q1598,Q$4:Q1598&lt;&gt;""""))),""^Sell_""),INDEX(FILTER(T$4:T1597,Q$4:Q1597&lt;&gt;""""),ROWS(FILTER(Q$4:Q1597,Q$4:Q1597&lt;&gt;""""))),$AD$5+S1598))"),"")</f>
        <v/>
      </c>
      <c r="U1598" s="10" t="str">
        <f>IFERROR(__xludf.DUMMYFUNCTION("IF(COUNTA(Q1598:Q1644)=0,"""",IF(Q1598="""",0,IF(REGEXMATCH(Q1598,""^Sell_""),-ROUNDDOWN(ROUNDUP(INDEX(Upgrades!$C$3:$C$13,MATCH(SUBSTITUTE(Q1598,""Sell_"",""""),Upgrades!$B$3:$B$13,0))*1.15^(COUNTIF(Q$4:Q1597,SUBSTITUTE(Q1598,""Sell_"",""""))-COUNTIF(Q$4"&amp;":Q1597,""Sell_""&amp;SUBSTITUTE(Q1598,""Sell_"",""""))))/2),ROUNDUP(INDEX(Upgrades!$C$3:$C$13,MATCH(Q1598,Upgrades!$B$3:$B$13,0))*1.15^(COUNTIF(Q$4:Q1597,Q1598)-COUNTIF(Q$4:Q1597,""Sell_""&amp;Q1598))))))"),"")</f>
        <v/>
      </c>
      <c r="V1598" s="10" t="str">
        <f t="shared" si="11"/>
        <v/>
      </c>
      <c r="W1598" s="68" t="str">
        <f t="shared" si="12"/>
        <v/>
      </c>
      <c r="X1598" s="59" t="str">
        <f t="shared" si="13"/>
        <v/>
      </c>
      <c r="Y1598" s="69" t="str">
        <f t="shared" si="14"/>
        <v/>
      </c>
      <c r="Z1598" s="11"/>
      <c r="AG1598" s="59"/>
    </row>
    <row r="1599">
      <c r="A1599" s="8"/>
      <c r="B1599" s="56" t="str">
        <f t="shared" si="2"/>
        <v/>
      </c>
      <c r="C1599" s="105"/>
      <c r="D1599" s="10"/>
      <c r="E1599" s="59" t="str">
        <f t="array" ref="E1599">IF(COUNTA(C1599:C1644)=0,"",SUM((COUNTIF(C$4:C1599,Upgrades!$B$3:$B$13)-COUNTIF(C$4:C1599,"Sell_"&amp;Upgrades!$B$3:$B$13))*Upgrades!$D$3:$D$13))</f>
        <v/>
      </c>
      <c r="F1599" s="66" t="str">
        <f>IFERROR(__xludf.DUMMYFUNCTION("IF(COUNTA(C1599:C1644)=0,"""",IF(REGEXMATCH(INDEX(FILTER(C$4:C1599,C$4:C1599&lt;&gt;""""),ROWS(FILTER(C$4:C1599,C$4:C1599&lt;&gt;""""))),""^Sell_""),INDEX(FILTER(F$4:F1598,C$4:C1598&lt;&gt;""""),ROWS(FILTER(C$4:C1598,C$4:C1598&lt;&gt;""""))),$AC$5+E1599))"),"")</f>
        <v/>
      </c>
      <c r="G1599" s="10" t="str">
        <f>IFERROR(__xludf.DUMMYFUNCTION("IF(COUNTA(C1599:C1644)=0,"""",IF(C1599="""",0,IF(REGEXMATCH(C1599,""^Sell_""),-ROUNDDOWN(ROUNDUP(INDEX(Upgrades!$C$3:$C$13,MATCH(SUBSTITUTE(C1599,""Sell_"",""""),Upgrades!$B$3:$B$13,0))*1.15^(COUNTIF(C$4:C1598,SUBSTITUTE(C1599,""Sell_"",""""))-COUNTIF(C$4"&amp;":C1598,""Sell_""&amp;SUBSTITUTE(C1599,""Sell_"",""""))))/2),ROUNDUP(INDEX(Upgrades!$C$3:$C$13,MATCH(C1599,Upgrades!$B$3:$B$13,0))*1.15^(COUNTIF(C$4:C1598,C1599)-COUNTIF(C$4:C1598,""Sell_""&amp;C1599))))))"),"")</f>
        <v/>
      </c>
      <c r="H1599" s="10" t="str">
        <f t="shared" si="3"/>
        <v/>
      </c>
      <c r="I1599" s="68" t="str">
        <f t="shared" si="4"/>
        <v/>
      </c>
      <c r="J1599" s="59" t="str">
        <f t="shared" si="5"/>
        <v/>
      </c>
      <c r="K1599" s="69" t="str">
        <f t="shared" si="6"/>
        <v/>
      </c>
      <c r="L1599" s="60" t="str">
        <f t="shared" si="7"/>
        <v/>
      </c>
      <c r="M1599" s="61" t="str">
        <f>IFERROR(__xludf.DUMMYFUNCTION("IFS(AND(COUNTA(C1599:C1644)=0,COUNTA(Q1599:Q1644)=0),"""",OR(AND(K1599&gt;=1000000000,OR(Y1599&gt;=1000000000,COUNTA(Q1599:Q1644)=0)),OR(Y1599&gt;=1000000000,AND(COUNTA(C1599:C1644)=0,P$3=TRUE))),
ROUNDDOWN((AB$1-AC$1)*MAX(INDEX(T$4:T1644,MATCH(LARGE(FILTER(Y$4:Y1"&amp;"644,Y$4:Y1644&lt;1000000000),1),Y$4:Y1644)),INDEX(F$4:F1644,MATCH(LARGE(FILTER(K$4:K1644,K$4:K1644&lt;1000000000),1),K$4:K1644)))),AND(K1599&lt;1000000000,COUNTA(C1599:C1644)&gt;0,P$3=FALSE),
ROUNDDOWN(INDEX(Y$4:Y1644,MATCH(LARGE(FILTER(W$4:W1644,W$4:W1644&lt;=I1599),1)"&amp;",W$4:W1644))+(I1599-LARGE(FILTER(W$4:W1644,W$4:W1644&lt;=I1599),1))*INDEX(T$4:T1644,MATCH(LARGE(FILTER(W$4:W1644,W$4:W1644&lt;=I1599),1),W$4:W1644))-K1599),1,
ROUNDDOWN(Y1599-INDEX(K$4:K1644,MATCH(LARGE(FILTER(I$4:I1644,I$4:I1644&lt;=W1599),1),I$4:I1644))-(W1599-L"&amp;"ARGE(FILTER(I$4:I1644,I$4:I1644&lt;=W1599),1))*INDEX(F$4:F1644,MATCH(LARGE(FILTER(I$4:I1644,I$4:I1644&lt;=W1599),1),I$4:I1644))))"),"")</f>
        <v/>
      </c>
      <c r="N1599" s="60" t="str">
        <f t="shared" si="8"/>
        <v/>
      </c>
      <c r="O1599" s="61" t="str">
        <f t="shared" si="9"/>
        <v/>
      </c>
      <c r="P1599" s="56" t="str">
        <f t="shared" si="10"/>
        <v/>
      </c>
      <c r="Q1599" s="105"/>
      <c r="R1599" s="10"/>
      <c r="S1599" s="59" t="str">
        <f t="array" ref="S1599">IF(COUNTA(Q1599:Q1644)=0,"",SUM((COUNTIF(Q$4:Q1599,Upgrades!$B$3:$B$13)-COUNTIF(Q$4:Q1599,"Sell_"&amp;Upgrades!$B$3:$B$13))*Upgrades!$D$3:$D$13))</f>
        <v/>
      </c>
      <c r="T1599" s="66" t="str">
        <f>IFERROR(__xludf.DUMMYFUNCTION("IF(COUNTA(Q1599:Q1644)=0,"""",IF(REGEXMATCH(INDEX(FILTER(Q$4:Q1599,Q$4:Q1599&lt;&gt;""""),ROWS(FILTER(Q$4:Q1599,Q$4:Q1599&lt;&gt;""""))),""^Sell_""),INDEX(FILTER(T$4:T1598,Q$4:Q1598&lt;&gt;""""),ROWS(FILTER(Q$4:Q1598,Q$4:Q1598&lt;&gt;""""))),$AD$5+S1599))"),"")</f>
        <v/>
      </c>
      <c r="U1599" s="10" t="str">
        <f>IFERROR(__xludf.DUMMYFUNCTION("IF(COUNTA(Q1599:Q1644)=0,"""",IF(Q1599="""",0,IF(REGEXMATCH(Q1599,""^Sell_""),-ROUNDDOWN(ROUNDUP(INDEX(Upgrades!$C$3:$C$13,MATCH(SUBSTITUTE(Q1599,""Sell_"",""""),Upgrades!$B$3:$B$13,0))*1.15^(COUNTIF(Q$4:Q1598,SUBSTITUTE(Q1599,""Sell_"",""""))-COUNTIF(Q$4"&amp;":Q1598,""Sell_""&amp;SUBSTITUTE(Q1599,""Sell_"",""""))))/2),ROUNDUP(INDEX(Upgrades!$C$3:$C$13,MATCH(Q1599,Upgrades!$B$3:$B$13,0))*1.15^(COUNTIF(Q$4:Q1598,Q1599)-COUNTIF(Q$4:Q1598,""Sell_""&amp;Q1599))))))"),"")</f>
        <v/>
      </c>
      <c r="V1599" s="10" t="str">
        <f t="shared" si="11"/>
        <v/>
      </c>
      <c r="W1599" s="68" t="str">
        <f t="shared" si="12"/>
        <v/>
      </c>
      <c r="X1599" s="59" t="str">
        <f t="shared" si="13"/>
        <v/>
      </c>
      <c r="Y1599" s="69" t="str">
        <f t="shared" si="14"/>
        <v/>
      </c>
      <c r="Z1599" s="11"/>
      <c r="AG1599" s="59"/>
    </row>
    <row r="1600">
      <c r="A1600" s="8"/>
      <c r="B1600" s="56" t="str">
        <f t="shared" si="2"/>
        <v/>
      </c>
      <c r="C1600" s="105"/>
      <c r="D1600" s="10"/>
      <c r="E1600" s="59" t="str">
        <f t="array" ref="E1600">IF(COUNTA(C1600:C1644)=0,"",SUM((COUNTIF(C$4:C1600,Upgrades!$B$3:$B$13)-COUNTIF(C$4:C1600,"Sell_"&amp;Upgrades!$B$3:$B$13))*Upgrades!$D$3:$D$13))</f>
        <v/>
      </c>
      <c r="F1600" s="66" t="str">
        <f>IFERROR(__xludf.DUMMYFUNCTION("IF(COUNTA(C1600:C1644)=0,"""",IF(REGEXMATCH(INDEX(FILTER(C$4:C1600,C$4:C1600&lt;&gt;""""),ROWS(FILTER(C$4:C1600,C$4:C1600&lt;&gt;""""))),""^Sell_""),INDEX(FILTER(F$4:F1599,C$4:C1599&lt;&gt;""""),ROWS(FILTER(C$4:C1599,C$4:C1599&lt;&gt;""""))),$AC$5+E1600))"),"")</f>
        <v/>
      </c>
      <c r="G1600" s="10" t="str">
        <f>IFERROR(__xludf.DUMMYFUNCTION("IF(COUNTA(C1600:C1644)=0,"""",IF(C1600="""",0,IF(REGEXMATCH(C1600,""^Sell_""),-ROUNDDOWN(ROUNDUP(INDEX(Upgrades!$C$3:$C$13,MATCH(SUBSTITUTE(C1600,""Sell_"",""""),Upgrades!$B$3:$B$13,0))*1.15^(COUNTIF(C$4:C1599,SUBSTITUTE(C1600,""Sell_"",""""))-COUNTIF(C$4"&amp;":C1599,""Sell_""&amp;SUBSTITUTE(C1600,""Sell_"",""""))))/2),ROUNDUP(INDEX(Upgrades!$C$3:$C$13,MATCH(C1600,Upgrades!$B$3:$B$13,0))*1.15^(COUNTIF(C$4:C1599,C1600)-COUNTIF(C$4:C1599,""Sell_""&amp;C1600))))))"),"")</f>
        <v/>
      </c>
      <c r="H1600" s="10" t="str">
        <f t="shared" si="3"/>
        <v/>
      </c>
      <c r="I1600" s="68" t="str">
        <f t="shared" si="4"/>
        <v/>
      </c>
      <c r="J1600" s="59" t="str">
        <f t="shared" si="5"/>
        <v/>
      </c>
      <c r="K1600" s="69" t="str">
        <f t="shared" si="6"/>
        <v/>
      </c>
      <c r="L1600" s="60" t="str">
        <f t="shared" si="7"/>
        <v/>
      </c>
      <c r="M1600" s="61" t="str">
        <f>IFERROR(__xludf.DUMMYFUNCTION("IFS(AND(COUNTA(C1600:C1644)=0,COUNTA(Q1600:Q1644)=0),"""",OR(AND(K1600&gt;=1000000000,OR(Y1600&gt;=1000000000,COUNTA(Q1600:Q1644)=0)),OR(Y1600&gt;=1000000000,AND(COUNTA(C1600:C1644)=0,P$3=TRUE))),
ROUNDDOWN((AB$1-AC$1)*MAX(INDEX(T$4:T1644,MATCH(LARGE(FILTER(Y$4:Y1"&amp;"644,Y$4:Y1644&lt;1000000000),1),Y$4:Y1644)),INDEX(F$4:F1644,MATCH(LARGE(FILTER(K$4:K1644,K$4:K1644&lt;1000000000),1),K$4:K1644)))),AND(K1600&lt;1000000000,COUNTA(C1600:C1644)&gt;0,P$3=FALSE),
ROUNDDOWN(INDEX(Y$4:Y1644,MATCH(LARGE(FILTER(W$4:W1644,W$4:W1644&lt;=I1600),1)"&amp;",W$4:W1644))+(I1600-LARGE(FILTER(W$4:W1644,W$4:W1644&lt;=I1600),1))*INDEX(T$4:T1644,MATCH(LARGE(FILTER(W$4:W1644,W$4:W1644&lt;=I1600),1),W$4:W1644))-K1600),1,
ROUNDDOWN(Y1600-INDEX(K$4:K1644,MATCH(LARGE(FILTER(I$4:I1644,I$4:I1644&lt;=W1600),1),I$4:I1644))-(W1600-L"&amp;"ARGE(FILTER(I$4:I1644,I$4:I1644&lt;=W1600),1))*INDEX(F$4:F1644,MATCH(LARGE(FILTER(I$4:I1644,I$4:I1644&lt;=W1600),1),I$4:I1644))))"),"")</f>
        <v/>
      </c>
      <c r="N1600" s="60" t="str">
        <f t="shared" si="8"/>
        <v/>
      </c>
      <c r="O1600" s="61" t="str">
        <f t="shared" si="9"/>
        <v/>
      </c>
      <c r="P1600" s="56" t="str">
        <f t="shared" si="10"/>
        <v/>
      </c>
      <c r="Q1600" s="105"/>
      <c r="R1600" s="10"/>
      <c r="S1600" s="59" t="str">
        <f t="array" ref="S1600">IF(COUNTA(Q1600:Q1644)=0,"",SUM((COUNTIF(Q$4:Q1600,Upgrades!$B$3:$B$13)-COUNTIF(Q$4:Q1600,"Sell_"&amp;Upgrades!$B$3:$B$13))*Upgrades!$D$3:$D$13))</f>
        <v/>
      </c>
      <c r="T1600" s="66" t="str">
        <f>IFERROR(__xludf.DUMMYFUNCTION("IF(COUNTA(Q1600:Q1644)=0,"""",IF(REGEXMATCH(INDEX(FILTER(Q$4:Q1600,Q$4:Q1600&lt;&gt;""""),ROWS(FILTER(Q$4:Q1600,Q$4:Q1600&lt;&gt;""""))),""^Sell_""),INDEX(FILTER(T$4:T1599,Q$4:Q1599&lt;&gt;""""),ROWS(FILTER(Q$4:Q1599,Q$4:Q1599&lt;&gt;""""))),$AD$5+S1600))"),"")</f>
        <v/>
      </c>
      <c r="U1600" s="10" t="str">
        <f>IFERROR(__xludf.DUMMYFUNCTION("IF(COUNTA(Q1600:Q1644)=0,"""",IF(Q1600="""",0,IF(REGEXMATCH(Q1600,""^Sell_""),-ROUNDDOWN(ROUNDUP(INDEX(Upgrades!$C$3:$C$13,MATCH(SUBSTITUTE(Q1600,""Sell_"",""""),Upgrades!$B$3:$B$13,0))*1.15^(COUNTIF(Q$4:Q1599,SUBSTITUTE(Q1600,""Sell_"",""""))-COUNTIF(Q$4"&amp;":Q1599,""Sell_""&amp;SUBSTITUTE(Q1600,""Sell_"",""""))))/2),ROUNDUP(INDEX(Upgrades!$C$3:$C$13,MATCH(Q1600,Upgrades!$B$3:$B$13,0))*1.15^(COUNTIF(Q$4:Q1599,Q1600)-COUNTIF(Q$4:Q1599,""Sell_""&amp;Q1600))))))"),"")</f>
        <v/>
      </c>
      <c r="V1600" s="10" t="str">
        <f t="shared" si="11"/>
        <v/>
      </c>
      <c r="W1600" s="68" t="str">
        <f t="shared" si="12"/>
        <v/>
      </c>
      <c r="X1600" s="59" t="str">
        <f t="shared" si="13"/>
        <v/>
      </c>
      <c r="Y1600" s="69" t="str">
        <f t="shared" si="14"/>
        <v/>
      </c>
      <c r="Z1600" s="11"/>
      <c r="AG1600" s="59"/>
    </row>
    <row r="1601">
      <c r="A1601" s="8"/>
      <c r="B1601" s="56" t="str">
        <f t="shared" si="2"/>
        <v/>
      </c>
      <c r="C1601" s="105"/>
      <c r="D1601" s="10"/>
      <c r="E1601" s="59" t="str">
        <f t="array" ref="E1601">IF(COUNTA(C1601:C1644)=0,"",SUM((COUNTIF(C$4:C1601,Upgrades!$B$3:$B$13)-COUNTIF(C$4:C1601,"Sell_"&amp;Upgrades!$B$3:$B$13))*Upgrades!$D$3:$D$13))</f>
        <v/>
      </c>
      <c r="F1601" s="66" t="str">
        <f>IFERROR(__xludf.DUMMYFUNCTION("IF(COUNTA(C1601:C1644)=0,"""",IF(REGEXMATCH(INDEX(FILTER(C$4:C1601,C$4:C1601&lt;&gt;""""),ROWS(FILTER(C$4:C1601,C$4:C1601&lt;&gt;""""))),""^Sell_""),INDEX(FILTER(F$4:F1600,C$4:C1600&lt;&gt;""""),ROWS(FILTER(C$4:C1600,C$4:C1600&lt;&gt;""""))),$AC$5+E1601))"),"")</f>
        <v/>
      </c>
      <c r="G1601" s="10" t="str">
        <f>IFERROR(__xludf.DUMMYFUNCTION("IF(COUNTA(C1601:C1644)=0,"""",IF(C1601="""",0,IF(REGEXMATCH(C1601,""^Sell_""),-ROUNDDOWN(ROUNDUP(INDEX(Upgrades!$C$3:$C$13,MATCH(SUBSTITUTE(C1601,""Sell_"",""""),Upgrades!$B$3:$B$13,0))*1.15^(COUNTIF(C$4:C1600,SUBSTITUTE(C1601,""Sell_"",""""))-COUNTIF(C$4"&amp;":C1600,""Sell_""&amp;SUBSTITUTE(C1601,""Sell_"",""""))))/2),ROUNDUP(INDEX(Upgrades!$C$3:$C$13,MATCH(C1601,Upgrades!$B$3:$B$13,0))*1.15^(COUNTIF(C$4:C1600,C1601)-COUNTIF(C$4:C1600,""Sell_""&amp;C1601))))))"),"")</f>
        <v/>
      </c>
      <c r="H1601" s="10" t="str">
        <f t="shared" si="3"/>
        <v/>
      </c>
      <c r="I1601" s="68" t="str">
        <f t="shared" si="4"/>
        <v/>
      </c>
      <c r="J1601" s="59" t="str">
        <f t="shared" si="5"/>
        <v/>
      </c>
      <c r="K1601" s="69" t="str">
        <f t="shared" si="6"/>
        <v/>
      </c>
      <c r="L1601" s="60" t="str">
        <f t="shared" si="7"/>
        <v/>
      </c>
      <c r="M1601" s="61" t="str">
        <f>IFERROR(__xludf.DUMMYFUNCTION("IFS(AND(COUNTA(C1601:C1644)=0,COUNTA(Q1601:Q1644)=0),"""",OR(AND(K1601&gt;=1000000000,OR(Y1601&gt;=1000000000,COUNTA(Q1601:Q1644)=0)),OR(Y1601&gt;=1000000000,AND(COUNTA(C1601:C1644)=0,P$3=TRUE))),
ROUNDDOWN((AB$1-AC$1)*MAX(INDEX(T$4:T1644,MATCH(LARGE(FILTER(Y$4:Y1"&amp;"644,Y$4:Y1644&lt;1000000000),1),Y$4:Y1644)),INDEX(F$4:F1644,MATCH(LARGE(FILTER(K$4:K1644,K$4:K1644&lt;1000000000),1),K$4:K1644)))),AND(K1601&lt;1000000000,COUNTA(C1601:C1644)&gt;0,P$3=FALSE),
ROUNDDOWN(INDEX(Y$4:Y1644,MATCH(LARGE(FILTER(W$4:W1644,W$4:W1644&lt;=I1601),1)"&amp;",W$4:W1644))+(I1601-LARGE(FILTER(W$4:W1644,W$4:W1644&lt;=I1601),1))*INDEX(T$4:T1644,MATCH(LARGE(FILTER(W$4:W1644,W$4:W1644&lt;=I1601),1),W$4:W1644))-K1601),1,
ROUNDDOWN(Y1601-INDEX(K$4:K1644,MATCH(LARGE(FILTER(I$4:I1644,I$4:I1644&lt;=W1601),1),I$4:I1644))-(W1601-L"&amp;"ARGE(FILTER(I$4:I1644,I$4:I1644&lt;=W1601),1))*INDEX(F$4:F1644,MATCH(LARGE(FILTER(I$4:I1644,I$4:I1644&lt;=W1601),1),I$4:I1644))))"),"")</f>
        <v/>
      </c>
      <c r="N1601" s="60" t="str">
        <f t="shared" si="8"/>
        <v/>
      </c>
      <c r="O1601" s="61" t="str">
        <f t="shared" si="9"/>
        <v/>
      </c>
      <c r="P1601" s="56" t="str">
        <f t="shared" si="10"/>
        <v/>
      </c>
      <c r="Q1601" s="105"/>
      <c r="R1601" s="10"/>
      <c r="S1601" s="59" t="str">
        <f t="array" ref="S1601">IF(COUNTA(Q1601:Q1644)=0,"",SUM((COUNTIF(Q$4:Q1601,Upgrades!$B$3:$B$13)-COUNTIF(Q$4:Q1601,"Sell_"&amp;Upgrades!$B$3:$B$13))*Upgrades!$D$3:$D$13))</f>
        <v/>
      </c>
      <c r="T1601" s="66" t="str">
        <f>IFERROR(__xludf.DUMMYFUNCTION("IF(COUNTA(Q1601:Q1644)=0,"""",IF(REGEXMATCH(INDEX(FILTER(Q$4:Q1601,Q$4:Q1601&lt;&gt;""""),ROWS(FILTER(Q$4:Q1601,Q$4:Q1601&lt;&gt;""""))),""^Sell_""),INDEX(FILTER(T$4:T1600,Q$4:Q1600&lt;&gt;""""),ROWS(FILTER(Q$4:Q1600,Q$4:Q1600&lt;&gt;""""))),$AD$5+S1601))"),"")</f>
        <v/>
      </c>
      <c r="U1601" s="10" t="str">
        <f>IFERROR(__xludf.DUMMYFUNCTION("IF(COUNTA(Q1601:Q1644)=0,"""",IF(Q1601="""",0,IF(REGEXMATCH(Q1601,""^Sell_""),-ROUNDDOWN(ROUNDUP(INDEX(Upgrades!$C$3:$C$13,MATCH(SUBSTITUTE(Q1601,""Sell_"",""""),Upgrades!$B$3:$B$13,0))*1.15^(COUNTIF(Q$4:Q1600,SUBSTITUTE(Q1601,""Sell_"",""""))-COUNTIF(Q$4"&amp;":Q1600,""Sell_""&amp;SUBSTITUTE(Q1601,""Sell_"",""""))))/2),ROUNDUP(INDEX(Upgrades!$C$3:$C$13,MATCH(Q1601,Upgrades!$B$3:$B$13,0))*1.15^(COUNTIF(Q$4:Q1600,Q1601)-COUNTIF(Q$4:Q1600,""Sell_""&amp;Q1601))))))"),"")</f>
        <v/>
      </c>
      <c r="V1601" s="10" t="str">
        <f t="shared" si="11"/>
        <v/>
      </c>
      <c r="W1601" s="68" t="str">
        <f t="shared" si="12"/>
        <v/>
      </c>
      <c r="X1601" s="59" t="str">
        <f t="shared" si="13"/>
        <v/>
      </c>
      <c r="Y1601" s="69" t="str">
        <f t="shared" si="14"/>
        <v/>
      </c>
      <c r="Z1601" s="11"/>
      <c r="AG1601" s="59"/>
    </row>
    <row r="1602">
      <c r="A1602" s="8"/>
      <c r="B1602" s="56" t="str">
        <f t="shared" si="2"/>
        <v/>
      </c>
      <c r="C1602" s="105"/>
      <c r="D1602" s="10"/>
      <c r="E1602" s="59" t="str">
        <f t="array" ref="E1602">IF(COUNTA(C1602:C1644)=0,"",SUM((COUNTIF(C$4:C1602,Upgrades!$B$3:$B$13)-COUNTIF(C$4:C1602,"Sell_"&amp;Upgrades!$B$3:$B$13))*Upgrades!$D$3:$D$13))</f>
        <v/>
      </c>
      <c r="F1602" s="66" t="str">
        <f>IFERROR(__xludf.DUMMYFUNCTION("IF(COUNTA(C1602:C1644)=0,"""",IF(REGEXMATCH(INDEX(FILTER(C$4:C1602,C$4:C1602&lt;&gt;""""),ROWS(FILTER(C$4:C1602,C$4:C1602&lt;&gt;""""))),""^Sell_""),INDEX(FILTER(F$4:F1601,C$4:C1601&lt;&gt;""""),ROWS(FILTER(C$4:C1601,C$4:C1601&lt;&gt;""""))),$AC$5+E1602))"),"")</f>
        <v/>
      </c>
      <c r="G1602" s="10" t="str">
        <f>IFERROR(__xludf.DUMMYFUNCTION("IF(COUNTA(C1602:C1644)=0,"""",IF(C1602="""",0,IF(REGEXMATCH(C1602,""^Sell_""),-ROUNDDOWN(ROUNDUP(INDEX(Upgrades!$C$3:$C$13,MATCH(SUBSTITUTE(C1602,""Sell_"",""""),Upgrades!$B$3:$B$13,0))*1.15^(COUNTIF(C$4:C1601,SUBSTITUTE(C1602,""Sell_"",""""))-COUNTIF(C$4"&amp;":C1601,""Sell_""&amp;SUBSTITUTE(C1602,""Sell_"",""""))))/2),ROUNDUP(INDEX(Upgrades!$C$3:$C$13,MATCH(C1602,Upgrades!$B$3:$B$13,0))*1.15^(COUNTIF(C$4:C1601,C1602)-COUNTIF(C$4:C1601,""Sell_""&amp;C1602))))))"),"")</f>
        <v/>
      </c>
      <c r="H1602" s="10" t="str">
        <f t="shared" si="3"/>
        <v/>
      </c>
      <c r="I1602" s="68" t="str">
        <f t="shared" si="4"/>
        <v/>
      </c>
      <c r="J1602" s="59" t="str">
        <f t="shared" si="5"/>
        <v/>
      </c>
      <c r="K1602" s="69" t="str">
        <f t="shared" si="6"/>
        <v/>
      </c>
      <c r="L1602" s="60" t="str">
        <f t="shared" si="7"/>
        <v/>
      </c>
      <c r="M1602" s="61" t="str">
        <f>IFERROR(__xludf.DUMMYFUNCTION("IFS(AND(COUNTA(C1602:C1644)=0,COUNTA(Q1602:Q1644)=0),"""",OR(AND(K1602&gt;=1000000000,OR(Y1602&gt;=1000000000,COUNTA(Q1602:Q1644)=0)),OR(Y1602&gt;=1000000000,AND(COUNTA(C1602:C1644)=0,P$3=TRUE))),
ROUNDDOWN((AB$1-AC$1)*MAX(INDEX(T$4:T1644,MATCH(LARGE(FILTER(Y$4:Y1"&amp;"644,Y$4:Y1644&lt;1000000000),1),Y$4:Y1644)),INDEX(F$4:F1644,MATCH(LARGE(FILTER(K$4:K1644,K$4:K1644&lt;1000000000),1),K$4:K1644)))),AND(K1602&lt;1000000000,COUNTA(C1602:C1644)&gt;0,P$3=FALSE),
ROUNDDOWN(INDEX(Y$4:Y1644,MATCH(LARGE(FILTER(W$4:W1644,W$4:W1644&lt;=I1602),1)"&amp;",W$4:W1644))+(I1602-LARGE(FILTER(W$4:W1644,W$4:W1644&lt;=I1602),1))*INDEX(T$4:T1644,MATCH(LARGE(FILTER(W$4:W1644,W$4:W1644&lt;=I1602),1),W$4:W1644))-K1602),1,
ROUNDDOWN(Y1602-INDEX(K$4:K1644,MATCH(LARGE(FILTER(I$4:I1644,I$4:I1644&lt;=W1602),1),I$4:I1644))-(W1602-L"&amp;"ARGE(FILTER(I$4:I1644,I$4:I1644&lt;=W1602),1))*INDEX(F$4:F1644,MATCH(LARGE(FILTER(I$4:I1644,I$4:I1644&lt;=W1602),1),I$4:I1644))))"),"")</f>
        <v/>
      </c>
      <c r="N1602" s="60" t="str">
        <f t="shared" si="8"/>
        <v/>
      </c>
      <c r="O1602" s="61" t="str">
        <f t="shared" si="9"/>
        <v/>
      </c>
      <c r="P1602" s="56" t="str">
        <f t="shared" si="10"/>
        <v/>
      </c>
      <c r="Q1602" s="105"/>
      <c r="R1602" s="10"/>
      <c r="S1602" s="59" t="str">
        <f t="array" ref="S1602">IF(COUNTA(Q1602:Q1644)=0,"",SUM((COUNTIF(Q$4:Q1602,Upgrades!$B$3:$B$13)-COUNTIF(Q$4:Q1602,"Sell_"&amp;Upgrades!$B$3:$B$13))*Upgrades!$D$3:$D$13))</f>
        <v/>
      </c>
      <c r="T1602" s="66" t="str">
        <f>IFERROR(__xludf.DUMMYFUNCTION("IF(COUNTA(Q1602:Q1644)=0,"""",IF(REGEXMATCH(INDEX(FILTER(Q$4:Q1602,Q$4:Q1602&lt;&gt;""""),ROWS(FILTER(Q$4:Q1602,Q$4:Q1602&lt;&gt;""""))),""^Sell_""),INDEX(FILTER(T$4:T1601,Q$4:Q1601&lt;&gt;""""),ROWS(FILTER(Q$4:Q1601,Q$4:Q1601&lt;&gt;""""))),$AD$5+S1602))"),"")</f>
        <v/>
      </c>
      <c r="U1602" s="10" t="str">
        <f>IFERROR(__xludf.DUMMYFUNCTION("IF(COUNTA(Q1602:Q1644)=0,"""",IF(Q1602="""",0,IF(REGEXMATCH(Q1602,""^Sell_""),-ROUNDDOWN(ROUNDUP(INDEX(Upgrades!$C$3:$C$13,MATCH(SUBSTITUTE(Q1602,""Sell_"",""""),Upgrades!$B$3:$B$13,0))*1.15^(COUNTIF(Q$4:Q1601,SUBSTITUTE(Q1602,""Sell_"",""""))-COUNTIF(Q$4"&amp;":Q1601,""Sell_""&amp;SUBSTITUTE(Q1602,""Sell_"",""""))))/2),ROUNDUP(INDEX(Upgrades!$C$3:$C$13,MATCH(Q1602,Upgrades!$B$3:$B$13,0))*1.15^(COUNTIF(Q$4:Q1601,Q1602)-COUNTIF(Q$4:Q1601,""Sell_""&amp;Q1602))))))"),"")</f>
        <v/>
      </c>
      <c r="V1602" s="10" t="str">
        <f t="shared" si="11"/>
        <v/>
      </c>
      <c r="W1602" s="68" t="str">
        <f t="shared" si="12"/>
        <v/>
      </c>
      <c r="X1602" s="59" t="str">
        <f t="shared" si="13"/>
        <v/>
      </c>
      <c r="Y1602" s="69" t="str">
        <f t="shared" si="14"/>
        <v/>
      </c>
      <c r="Z1602" s="11"/>
      <c r="AG1602" s="59"/>
    </row>
    <row r="1603">
      <c r="A1603" s="8"/>
      <c r="B1603" s="56" t="str">
        <f t="shared" si="2"/>
        <v/>
      </c>
      <c r="C1603" s="105"/>
      <c r="D1603" s="10"/>
      <c r="E1603" s="59" t="str">
        <f t="array" ref="E1603">IF(COUNTA(C1603:C1644)=0,"",SUM((COUNTIF(C$4:C1603,Upgrades!$B$3:$B$13)-COUNTIF(C$4:C1603,"Sell_"&amp;Upgrades!$B$3:$B$13))*Upgrades!$D$3:$D$13))</f>
        <v/>
      </c>
      <c r="F1603" s="66" t="str">
        <f>IFERROR(__xludf.DUMMYFUNCTION("IF(COUNTA(C1603:C1644)=0,"""",IF(REGEXMATCH(INDEX(FILTER(C$4:C1603,C$4:C1603&lt;&gt;""""),ROWS(FILTER(C$4:C1603,C$4:C1603&lt;&gt;""""))),""^Sell_""),INDEX(FILTER(F$4:F1602,C$4:C1602&lt;&gt;""""),ROWS(FILTER(C$4:C1602,C$4:C1602&lt;&gt;""""))),$AC$5+E1603))"),"")</f>
        <v/>
      </c>
      <c r="G1603" s="10" t="str">
        <f>IFERROR(__xludf.DUMMYFUNCTION("IF(COUNTA(C1603:C1644)=0,"""",IF(C1603="""",0,IF(REGEXMATCH(C1603,""^Sell_""),-ROUNDDOWN(ROUNDUP(INDEX(Upgrades!$C$3:$C$13,MATCH(SUBSTITUTE(C1603,""Sell_"",""""),Upgrades!$B$3:$B$13,0))*1.15^(COUNTIF(C$4:C1602,SUBSTITUTE(C1603,""Sell_"",""""))-COUNTIF(C$4"&amp;":C1602,""Sell_""&amp;SUBSTITUTE(C1603,""Sell_"",""""))))/2),ROUNDUP(INDEX(Upgrades!$C$3:$C$13,MATCH(C1603,Upgrades!$B$3:$B$13,0))*1.15^(COUNTIF(C$4:C1602,C1603)-COUNTIF(C$4:C1602,""Sell_""&amp;C1603))))))"),"")</f>
        <v/>
      </c>
      <c r="H1603" s="10" t="str">
        <f t="shared" si="3"/>
        <v/>
      </c>
      <c r="I1603" s="68" t="str">
        <f t="shared" si="4"/>
        <v/>
      </c>
      <c r="J1603" s="59" t="str">
        <f t="shared" si="5"/>
        <v/>
      </c>
      <c r="K1603" s="69" t="str">
        <f t="shared" si="6"/>
        <v/>
      </c>
      <c r="L1603" s="60" t="str">
        <f t="shared" si="7"/>
        <v/>
      </c>
      <c r="M1603" s="61" t="str">
        <f>IFERROR(__xludf.DUMMYFUNCTION("IFS(AND(COUNTA(C1603:C1644)=0,COUNTA(Q1603:Q1644)=0),"""",OR(AND(K1603&gt;=1000000000,OR(Y1603&gt;=1000000000,COUNTA(Q1603:Q1644)=0)),OR(Y1603&gt;=1000000000,AND(COUNTA(C1603:C1644)=0,P$3=TRUE))),
ROUNDDOWN((AB$1-AC$1)*MAX(INDEX(T$4:T1644,MATCH(LARGE(FILTER(Y$4:Y1"&amp;"644,Y$4:Y1644&lt;1000000000),1),Y$4:Y1644)),INDEX(F$4:F1644,MATCH(LARGE(FILTER(K$4:K1644,K$4:K1644&lt;1000000000),1),K$4:K1644)))),AND(K1603&lt;1000000000,COUNTA(C1603:C1644)&gt;0,P$3=FALSE),
ROUNDDOWN(INDEX(Y$4:Y1644,MATCH(LARGE(FILTER(W$4:W1644,W$4:W1644&lt;=I1603),1)"&amp;",W$4:W1644))+(I1603-LARGE(FILTER(W$4:W1644,W$4:W1644&lt;=I1603),1))*INDEX(T$4:T1644,MATCH(LARGE(FILTER(W$4:W1644,W$4:W1644&lt;=I1603),1),W$4:W1644))-K1603),1,
ROUNDDOWN(Y1603-INDEX(K$4:K1644,MATCH(LARGE(FILTER(I$4:I1644,I$4:I1644&lt;=W1603),1),I$4:I1644))-(W1603-L"&amp;"ARGE(FILTER(I$4:I1644,I$4:I1644&lt;=W1603),1))*INDEX(F$4:F1644,MATCH(LARGE(FILTER(I$4:I1644,I$4:I1644&lt;=W1603),1),I$4:I1644))))"),"")</f>
        <v/>
      </c>
      <c r="N1603" s="60" t="str">
        <f t="shared" si="8"/>
        <v/>
      </c>
      <c r="O1603" s="61" t="str">
        <f t="shared" si="9"/>
        <v/>
      </c>
      <c r="P1603" s="56" t="str">
        <f t="shared" si="10"/>
        <v/>
      </c>
      <c r="Q1603" s="105"/>
      <c r="R1603" s="10"/>
      <c r="S1603" s="59" t="str">
        <f t="array" ref="S1603">IF(COUNTA(Q1603:Q1644)=0,"",SUM((COUNTIF(Q$4:Q1603,Upgrades!$B$3:$B$13)-COUNTIF(Q$4:Q1603,"Sell_"&amp;Upgrades!$B$3:$B$13))*Upgrades!$D$3:$D$13))</f>
        <v/>
      </c>
      <c r="T1603" s="66" t="str">
        <f>IFERROR(__xludf.DUMMYFUNCTION("IF(COUNTA(Q1603:Q1644)=0,"""",IF(REGEXMATCH(INDEX(FILTER(Q$4:Q1603,Q$4:Q1603&lt;&gt;""""),ROWS(FILTER(Q$4:Q1603,Q$4:Q1603&lt;&gt;""""))),""^Sell_""),INDEX(FILTER(T$4:T1602,Q$4:Q1602&lt;&gt;""""),ROWS(FILTER(Q$4:Q1602,Q$4:Q1602&lt;&gt;""""))),$AD$5+S1603))"),"")</f>
        <v/>
      </c>
      <c r="U1603" s="10" t="str">
        <f>IFERROR(__xludf.DUMMYFUNCTION("IF(COUNTA(Q1603:Q1644)=0,"""",IF(Q1603="""",0,IF(REGEXMATCH(Q1603,""^Sell_""),-ROUNDDOWN(ROUNDUP(INDEX(Upgrades!$C$3:$C$13,MATCH(SUBSTITUTE(Q1603,""Sell_"",""""),Upgrades!$B$3:$B$13,0))*1.15^(COUNTIF(Q$4:Q1602,SUBSTITUTE(Q1603,""Sell_"",""""))-COUNTIF(Q$4"&amp;":Q1602,""Sell_""&amp;SUBSTITUTE(Q1603,""Sell_"",""""))))/2),ROUNDUP(INDEX(Upgrades!$C$3:$C$13,MATCH(Q1603,Upgrades!$B$3:$B$13,0))*1.15^(COUNTIF(Q$4:Q1602,Q1603)-COUNTIF(Q$4:Q1602,""Sell_""&amp;Q1603))))))"),"")</f>
        <v/>
      </c>
      <c r="V1603" s="10" t="str">
        <f t="shared" si="11"/>
        <v/>
      </c>
      <c r="W1603" s="68" t="str">
        <f t="shared" si="12"/>
        <v/>
      </c>
      <c r="X1603" s="59" t="str">
        <f t="shared" si="13"/>
        <v/>
      </c>
      <c r="Y1603" s="69" t="str">
        <f t="shared" si="14"/>
        <v/>
      </c>
      <c r="Z1603" s="11"/>
      <c r="AG1603" s="59"/>
    </row>
    <row r="1604">
      <c r="A1604" s="8"/>
      <c r="B1604" s="56" t="str">
        <f t="shared" si="2"/>
        <v/>
      </c>
      <c r="C1604" s="105"/>
      <c r="D1604" s="10"/>
      <c r="E1604" s="59" t="str">
        <f t="array" ref="E1604">IF(COUNTA(C1604:C1644)=0,"",SUM((COUNTIF(C$4:C1604,Upgrades!$B$3:$B$13)-COUNTIF(C$4:C1604,"Sell_"&amp;Upgrades!$B$3:$B$13))*Upgrades!$D$3:$D$13))</f>
        <v/>
      </c>
      <c r="F1604" s="66" t="str">
        <f>IFERROR(__xludf.DUMMYFUNCTION("IF(COUNTA(C1604:C1644)=0,"""",IF(REGEXMATCH(INDEX(FILTER(C$4:C1604,C$4:C1604&lt;&gt;""""),ROWS(FILTER(C$4:C1604,C$4:C1604&lt;&gt;""""))),""^Sell_""),INDEX(FILTER(F$4:F1603,C$4:C1603&lt;&gt;""""),ROWS(FILTER(C$4:C1603,C$4:C1603&lt;&gt;""""))),$AC$5+E1604))"),"")</f>
        <v/>
      </c>
      <c r="G1604" s="10" t="str">
        <f>IFERROR(__xludf.DUMMYFUNCTION("IF(COUNTA(C1604:C1644)=0,"""",IF(C1604="""",0,IF(REGEXMATCH(C1604,""^Sell_""),-ROUNDDOWN(ROUNDUP(INDEX(Upgrades!$C$3:$C$13,MATCH(SUBSTITUTE(C1604,""Sell_"",""""),Upgrades!$B$3:$B$13,0))*1.15^(COUNTIF(C$4:C1603,SUBSTITUTE(C1604,""Sell_"",""""))-COUNTIF(C$4"&amp;":C1603,""Sell_""&amp;SUBSTITUTE(C1604,""Sell_"",""""))))/2),ROUNDUP(INDEX(Upgrades!$C$3:$C$13,MATCH(C1604,Upgrades!$B$3:$B$13,0))*1.15^(COUNTIF(C$4:C1603,C1604)-COUNTIF(C$4:C1603,""Sell_""&amp;C1604))))))"),"")</f>
        <v/>
      </c>
      <c r="H1604" s="10" t="str">
        <f t="shared" si="3"/>
        <v/>
      </c>
      <c r="I1604" s="68" t="str">
        <f t="shared" si="4"/>
        <v/>
      </c>
      <c r="J1604" s="59" t="str">
        <f t="shared" si="5"/>
        <v/>
      </c>
      <c r="K1604" s="69" t="str">
        <f t="shared" si="6"/>
        <v/>
      </c>
      <c r="L1604" s="60" t="str">
        <f t="shared" si="7"/>
        <v/>
      </c>
      <c r="M1604" s="61" t="str">
        <f>IFERROR(__xludf.DUMMYFUNCTION("IFS(AND(COUNTA(C1604:C1644)=0,COUNTA(Q1604:Q1644)=0),"""",OR(AND(K1604&gt;=1000000000,OR(Y1604&gt;=1000000000,COUNTA(Q1604:Q1644)=0)),OR(Y1604&gt;=1000000000,AND(COUNTA(C1604:C1644)=0,P$3=TRUE))),
ROUNDDOWN((AB$1-AC$1)*MAX(INDEX(T$4:T1644,MATCH(LARGE(FILTER(Y$4:Y1"&amp;"644,Y$4:Y1644&lt;1000000000),1),Y$4:Y1644)),INDEX(F$4:F1644,MATCH(LARGE(FILTER(K$4:K1644,K$4:K1644&lt;1000000000),1),K$4:K1644)))),AND(K1604&lt;1000000000,COUNTA(C1604:C1644)&gt;0,P$3=FALSE),
ROUNDDOWN(INDEX(Y$4:Y1644,MATCH(LARGE(FILTER(W$4:W1644,W$4:W1644&lt;=I1604),1)"&amp;",W$4:W1644))+(I1604-LARGE(FILTER(W$4:W1644,W$4:W1644&lt;=I1604),1))*INDEX(T$4:T1644,MATCH(LARGE(FILTER(W$4:W1644,W$4:W1644&lt;=I1604),1),W$4:W1644))-K1604),1,
ROUNDDOWN(Y1604-INDEX(K$4:K1644,MATCH(LARGE(FILTER(I$4:I1644,I$4:I1644&lt;=W1604),1),I$4:I1644))-(W1604-L"&amp;"ARGE(FILTER(I$4:I1644,I$4:I1644&lt;=W1604),1))*INDEX(F$4:F1644,MATCH(LARGE(FILTER(I$4:I1644,I$4:I1644&lt;=W1604),1),I$4:I1644))))"),"")</f>
        <v/>
      </c>
      <c r="N1604" s="60" t="str">
        <f t="shared" si="8"/>
        <v/>
      </c>
      <c r="O1604" s="61" t="str">
        <f t="shared" si="9"/>
        <v/>
      </c>
      <c r="P1604" s="56" t="str">
        <f t="shared" si="10"/>
        <v/>
      </c>
      <c r="Q1604" s="105"/>
      <c r="R1604" s="10"/>
      <c r="S1604" s="59" t="str">
        <f t="array" ref="S1604">IF(COUNTA(Q1604:Q1644)=0,"",SUM((COUNTIF(Q$4:Q1604,Upgrades!$B$3:$B$13)-COUNTIF(Q$4:Q1604,"Sell_"&amp;Upgrades!$B$3:$B$13))*Upgrades!$D$3:$D$13))</f>
        <v/>
      </c>
      <c r="T1604" s="66" t="str">
        <f>IFERROR(__xludf.DUMMYFUNCTION("IF(COUNTA(Q1604:Q1644)=0,"""",IF(REGEXMATCH(INDEX(FILTER(Q$4:Q1604,Q$4:Q1604&lt;&gt;""""),ROWS(FILTER(Q$4:Q1604,Q$4:Q1604&lt;&gt;""""))),""^Sell_""),INDEX(FILTER(T$4:T1603,Q$4:Q1603&lt;&gt;""""),ROWS(FILTER(Q$4:Q1603,Q$4:Q1603&lt;&gt;""""))),$AD$5+S1604))"),"")</f>
        <v/>
      </c>
      <c r="U1604" s="10" t="str">
        <f>IFERROR(__xludf.DUMMYFUNCTION("IF(COUNTA(Q1604:Q1644)=0,"""",IF(Q1604="""",0,IF(REGEXMATCH(Q1604,""^Sell_""),-ROUNDDOWN(ROUNDUP(INDEX(Upgrades!$C$3:$C$13,MATCH(SUBSTITUTE(Q1604,""Sell_"",""""),Upgrades!$B$3:$B$13,0))*1.15^(COUNTIF(Q$4:Q1603,SUBSTITUTE(Q1604,""Sell_"",""""))-COUNTIF(Q$4"&amp;":Q1603,""Sell_""&amp;SUBSTITUTE(Q1604,""Sell_"",""""))))/2),ROUNDUP(INDEX(Upgrades!$C$3:$C$13,MATCH(Q1604,Upgrades!$B$3:$B$13,0))*1.15^(COUNTIF(Q$4:Q1603,Q1604)-COUNTIF(Q$4:Q1603,""Sell_""&amp;Q1604))))))"),"")</f>
        <v/>
      </c>
      <c r="V1604" s="10" t="str">
        <f t="shared" si="11"/>
        <v/>
      </c>
      <c r="W1604" s="68" t="str">
        <f t="shared" si="12"/>
        <v/>
      </c>
      <c r="X1604" s="59" t="str">
        <f t="shared" si="13"/>
        <v/>
      </c>
      <c r="Y1604" s="69" t="str">
        <f t="shared" si="14"/>
        <v/>
      </c>
      <c r="Z1604" s="11"/>
      <c r="AG1604" s="59"/>
    </row>
    <row r="1605">
      <c r="A1605" s="8"/>
      <c r="B1605" s="56" t="str">
        <f t="shared" si="2"/>
        <v/>
      </c>
      <c r="C1605" s="105"/>
      <c r="D1605" s="10"/>
      <c r="E1605" s="59" t="str">
        <f t="array" ref="E1605">IF(COUNTA(C1605:C1644)=0,"",SUM((COUNTIF(C$4:C1605,Upgrades!$B$3:$B$13)-COUNTIF(C$4:C1605,"Sell_"&amp;Upgrades!$B$3:$B$13))*Upgrades!$D$3:$D$13))</f>
        <v/>
      </c>
      <c r="F1605" s="66" t="str">
        <f>IFERROR(__xludf.DUMMYFUNCTION("IF(COUNTA(C1605:C1644)=0,"""",IF(REGEXMATCH(INDEX(FILTER(C$4:C1605,C$4:C1605&lt;&gt;""""),ROWS(FILTER(C$4:C1605,C$4:C1605&lt;&gt;""""))),""^Sell_""),INDEX(FILTER(F$4:F1604,C$4:C1604&lt;&gt;""""),ROWS(FILTER(C$4:C1604,C$4:C1604&lt;&gt;""""))),$AC$5+E1605))"),"")</f>
        <v/>
      </c>
      <c r="G1605" s="10" t="str">
        <f>IFERROR(__xludf.DUMMYFUNCTION("IF(COUNTA(C1605:C1644)=0,"""",IF(C1605="""",0,IF(REGEXMATCH(C1605,""^Sell_""),-ROUNDDOWN(ROUNDUP(INDEX(Upgrades!$C$3:$C$13,MATCH(SUBSTITUTE(C1605,""Sell_"",""""),Upgrades!$B$3:$B$13,0))*1.15^(COUNTIF(C$4:C1604,SUBSTITUTE(C1605,""Sell_"",""""))-COUNTIF(C$4"&amp;":C1604,""Sell_""&amp;SUBSTITUTE(C1605,""Sell_"",""""))))/2),ROUNDUP(INDEX(Upgrades!$C$3:$C$13,MATCH(C1605,Upgrades!$B$3:$B$13,0))*1.15^(COUNTIF(C$4:C1604,C1605)-COUNTIF(C$4:C1604,""Sell_""&amp;C1605))))))"),"")</f>
        <v/>
      </c>
      <c r="H1605" s="10" t="str">
        <f t="shared" si="3"/>
        <v/>
      </c>
      <c r="I1605" s="68" t="str">
        <f t="shared" si="4"/>
        <v/>
      </c>
      <c r="J1605" s="59" t="str">
        <f t="shared" si="5"/>
        <v/>
      </c>
      <c r="K1605" s="69" t="str">
        <f t="shared" si="6"/>
        <v/>
      </c>
      <c r="L1605" s="60" t="str">
        <f t="shared" si="7"/>
        <v/>
      </c>
      <c r="M1605" s="61" t="str">
        <f>IFERROR(__xludf.DUMMYFUNCTION("IFS(AND(COUNTA(C1605:C1644)=0,COUNTA(Q1605:Q1644)=0),"""",OR(AND(K1605&gt;=1000000000,OR(Y1605&gt;=1000000000,COUNTA(Q1605:Q1644)=0)),OR(Y1605&gt;=1000000000,AND(COUNTA(C1605:C1644)=0,P$3=TRUE))),
ROUNDDOWN((AB$1-AC$1)*MAX(INDEX(T$4:T1644,MATCH(LARGE(FILTER(Y$4:Y1"&amp;"644,Y$4:Y1644&lt;1000000000),1),Y$4:Y1644)),INDEX(F$4:F1644,MATCH(LARGE(FILTER(K$4:K1644,K$4:K1644&lt;1000000000),1),K$4:K1644)))),AND(K1605&lt;1000000000,COUNTA(C1605:C1644)&gt;0,P$3=FALSE),
ROUNDDOWN(INDEX(Y$4:Y1644,MATCH(LARGE(FILTER(W$4:W1644,W$4:W1644&lt;=I1605),1)"&amp;",W$4:W1644))+(I1605-LARGE(FILTER(W$4:W1644,W$4:W1644&lt;=I1605),1))*INDEX(T$4:T1644,MATCH(LARGE(FILTER(W$4:W1644,W$4:W1644&lt;=I1605),1),W$4:W1644))-K1605),1,
ROUNDDOWN(Y1605-INDEX(K$4:K1644,MATCH(LARGE(FILTER(I$4:I1644,I$4:I1644&lt;=W1605),1),I$4:I1644))-(W1605-L"&amp;"ARGE(FILTER(I$4:I1644,I$4:I1644&lt;=W1605),1))*INDEX(F$4:F1644,MATCH(LARGE(FILTER(I$4:I1644,I$4:I1644&lt;=W1605),1),I$4:I1644))))"),"")</f>
        <v/>
      </c>
      <c r="N1605" s="60" t="str">
        <f t="shared" si="8"/>
        <v/>
      </c>
      <c r="O1605" s="61" t="str">
        <f t="shared" si="9"/>
        <v/>
      </c>
      <c r="P1605" s="56" t="str">
        <f t="shared" si="10"/>
        <v/>
      </c>
      <c r="Q1605" s="105"/>
      <c r="R1605" s="10"/>
      <c r="S1605" s="59" t="str">
        <f t="array" ref="S1605">IF(COUNTA(Q1605:Q1644)=0,"",SUM((COUNTIF(Q$4:Q1605,Upgrades!$B$3:$B$13)-COUNTIF(Q$4:Q1605,"Sell_"&amp;Upgrades!$B$3:$B$13))*Upgrades!$D$3:$D$13))</f>
        <v/>
      </c>
      <c r="T1605" s="66" t="str">
        <f>IFERROR(__xludf.DUMMYFUNCTION("IF(COUNTA(Q1605:Q1644)=0,"""",IF(REGEXMATCH(INDEX(FILTER(Q$4:Q1605,Q$4:Q1605&lt;&gt;""""),ROWS(FILTER(Q$4:Q1605,Q$4:Q1605&lt;&gt;""""))),""^Sell_""),INDEX(FILTER(T$4:T1604,Q$4:Q1604&lt;&gt;""""),ROWS(FILTER(Q$4:Q1604,Q$4:Q1604&lt;&gt;""""))),$AD$5+S1605))"),"")</f>
        <v/>
      </c>
      <c r="U1605" s="10" t="str">
        <f>IFERROR(__xludf.DUMMYFUNCTION("IF(COUNTA(Q1605:Q1644)=0,"""",IF(Q1605="""",0,IF(REGEXMATCH(Q1605,""^Sell_""),-ROUNDDOWN(ROUNDUP(INDEX(Upgrades!$C$3:$C$13,MATCH(SUBSTITUTE(Q1605,""Sell_"",""""),Upgrades!$B$3:$B$13,0))*1.15^(COUNTIF(Q$4:Q1604,SUBSTITUTE(Q1605,""Sell_"",""""))-COUNTIF(Q$4"&amp;":Q1604,""Sell_""&amp;SUBSTITUTE(Q1605,""Sell_"",""""))))/2),ROUNDUP(INDEX(Upgrades!$C$3:$C$13,MATCH(Q1605,Upgrades!$B$3:$B$13,0))*1.15^(COUNTIF(Q$4:Q1604,Q1605)-COUNTIF(Q$4:Q1604,""Sell_""&amp;Q1605))))))"),"")</f>
        <v/>
      </c>
      <c r="V1605" s="10" t="str">
        <f t="shared" si="11"/>
        <v/>
      </c>
      <c r="W1605" s="68" t="str">
        <f t="shared" si="12"/>
        <v/>
      </c>
      <c r="X1605" s="59" t="str">
        <f t="shared" si="13"/>
        <v/>
      </c>
      <c r="Y1605" s="69" t="str">
        <f t="shared" si="14"/>
        <v/>
      </c>
      <c r="Z1605" s="11"/>
      <c r="AG1605" s="59"/>
    </row>
    <row r="1606">
      <c r="A1606" s="8"/>
      <c r="B1606" s="56" t="str">
        <f t="shared" si="2"/>
        <v/>
      </c>
      <c r="C1606" s="105"/>
      <c r="D1606" s="10"/>
      <c r="E1606" s="59" t="str">
        <f t="array" ref="E1606">IF(COUNTA(C1606:C1644)=0,"",SUM((COUNTIF(C$4:C1606,Upgrades!$B$3:$B$13)-COUNTIF(C$4:C1606,"Sell_"&amp;Upgrades!$B$3:$B$13))*Upgrades!$D$3:$D$13))</f>
        <v/>
      </c>
      <c r="F1606" s="66" t="str">
        <f>IFERROR(__xludf.DUMMYFUNCTION("IF(COUNTA(C1606:C1644)=0,"""",IF(REGEXMATCH(INDEX(FILTER(C$4:C1606,C$4:C1606&lt;&gt;""""),ROWS(FILTER(C$4:C1606,C$4:C1606&lt;&gt;""""))),""^Sell_""),INDEX(FILTER(F$4:F1605,C$4:C1605&lt;&gt;""""),ROWS(FILTER(C$4:C1605,C$4:C1605&lt;&gt;""""))),$AC$5+E1606))"),"")</f>
        <v/>
      </c>
      <c r="G1606" s="10" t="str">
        <f>IFERROR(__xludf.DUMMYFUNCTION("IF(COUNTA(C1606:C1644)=0,"""",IF(C1606="""",0,IF(REGEXMATCH(C1606,""^Sell_""),-ROUNDDOWN(ROUNDUP(INDEX(Upgrades!$C$3:$C$13,MATCH(SUBSTITUTE(C1606,""Sell_"",""""),Upgrades!$B$3:$B$13,0))*1.15^(COUNTIF(C$4:C1605,SUBSTITUTE(C1606,""Sell_"",""""))-COUNTIF(C$4"&amp;":C1605,""Sell_""&amp;SUBSTITUTE(C1606,""Sell_"",""""))))/2),ROUNDUP(INDEX(Upgrades!$C$3:$C$13,MATCH(C1606,Upgrades!$B$3:$B$13,0))*1.15^(COUNTIF(C$4:C1605,C1606)-COUNTIF(C$4:C1605,""Sell_""&amp;C1606))))))"),"")</f>
        <v/>
      </c>
      <c r="H1606" s="10" t="str">
        <f t="shared" si="3"/>
        <v/>
      </c>
      <c r="I1606" s="68" t="str">
        <f t="shared" si="4"/>
        <v/>
      </c>
      <c r="J1606" s="59" t="str">
        <f t="shared" si="5"/>
        <v/>
      </c>
      <c r="K1606" s="69" t="str">
        <f t="shared" si="6"/>
        <v/>
      </c>
      <c r="L1606" s="60" t="str">
        <f t="shared" si="7"/>
        <v/>
      </c>
      <c r="M1606" s="61" t="str">
        <f>IFERROR(__xludf.DUMMYFUNCTION("IFS(AND(COUNTA(C1606:C1644)=0,COUNTA(Q1606:Q1644)=0),"""",OR(AND(K1606&gt;=1000000000,OR(Y1606&gt;=1000000000,COUNTA(Q1606:Q1644)=0)),OR(Y1606&gt;=1000000000,AND(COUNTA(C1606:C1644)=0,P$3=TRUE))),
ROUNDDOWN((AB$1-AC$1)*MAX(INDEX(T$4:T1644,MATCH(LARGE(FILTER(Y$4:Y1"&amp;"644,Y$4:Y1644&lt;1000000000),1),Y$4:Y1644)),INDEX(F$4:F1644,MATCH(LARGE(FILTER(K$4:K1644,K$4:K1644&lt;1000000000),1),K$4:K1644)))),AND(K1606&lt;1000000000,COUNTA(C1606:C1644)&gt;0,P$3=FALSE),
ROUNDDOWN(INDEX(Y$4:Y1644,MATCH(LARGE(FILTER(W$4:W1644,W$4:W1644&lt;=I1606),1)"&amp;",W$4:W1644))+(I1606-LARGE(FILTER(W$4:W1644,W$4:W1644&lt;=I1606),1))*INDEX(T$4:T1644,MATCH(LARGE(FILTER(W$4:W1644,W$4:W1644&lt;=I1606),1),W$4:W1644))-K1606),1,
ROUNDDOWN(Y1606-INDEX(K$4:K1644,MATCH(LARGE(FILTER(I$4:I1644,I$4:I1644&lt;=W1606),1),I$4:I1644))-(W1606-L"&amp;"ARGE(FILTER(I$4:I1644,I$4:I1644&lt;=W1606),1))*INDEX(F$4:F1644,MATCH(LARGE(FILTER(I$4:I1644,I$4:I1644&lt;=W1606),1),I$4:I1644))))"),"")</f>
        <v/>
      </c>
      <c r="N1606" s="60" t="str">
        <f t="shared" si="8"/>
        <v/>
      </c>
      <c r="O1606" s="61" t="str">
        <f t="shared" si="9"/>
        <v/>
      </c>
      <c r="P1606" s="56" t="str">
        <f t="shared" si="10"/>
        <v/>
      </c>
      <c r="Q1606" s="105"/>
      <c r="R1606" s="10"/>
      <c r="S1606" s="59" t="str">
        <f t="array" ref="S1606">IF(COUNTA(Q1606:Q1644)=0,"",SUM((COUNTIF(Q$4:Q1606,Upgrades!$B$3:$B$13)-COUNTIF(Q$4:Q1606,"Sell_"&amp;Upgrades!$B$3:$B$13))*Upgrades!$D$3:$D$13))</f>
        <v/>
      </c>
      <c r="T1606" s="66" t="str">
        <f>IFERROR(__xludf.DUMMYFUNCTION("IF(COUNTA(Q1606:Q1644)=0,"""",IF(REGEXMATCH(INDEX(FILTER(Q$4:Q1606,Q$4:Q1606&lt;&gt;""""),ROWS(FILTER(Q$4:Q1606,Q$4:Q1606&lt;&gt;""""))),""^Sell_""),INDEX(FILTER(T$4:T1605,Q$4:Q1605&lt;&gt;""""),ROWS(FILTER(Q$4:Q1605,Q$4:Q1605&lt;&gt;""""))),$AD$5+S1606))"),"")</f>
        <v/>
      </c>
      <c r="U1606" s="10" t="str">
        <f>IFERROR(__xludf.DUMMYFUNCTION("IF(COUNTA(Q1606:Q1644)=0,"""",IF(Q1606="""",0,IF(REGEXMATCH(Q1606,""^Sell_""),-ROUNDDOWN(ROUNDUP(INDEX(Upgrades!$C$3:$C$13,MATCH(SUBSTITUTE(Q1606,""Sell_"",""""),Upgrades!$B$3:$B$13,0))*1.15^(COUNTIF(Q$4:Q1605,SUBSTITUTE(Q1606,""Sell_"",""""))-COUNTIF(Q$4"&amp;":Q1605,""Sell_""&amp;SUBSTITUTE(Q1606,""Sell_"",""""))))/2),ROUNDUP(INDEX(Upgrades!$C$3:$C$13,MATCH(Q1606,Upgrades!$B$3:$B$13,0))*1.15^(COUNTIF(Q$4:Q1605,Q1606)-COUNTIF(Q$4:Q1605,""Sell_""&amp;Q1606))))))"),"")</f>
        <v/>
      </c>
      <c r="V1606" s="10" t="str">
        <f t="shared" si="11"/>
        <v/>
      </c>
      <c r="W1606" s="68" t="str">
        <f t="shared" si="12"/>
        <v/>
      </c>
      <c r="X1606" s="59" t="str">
        <f t="shared" si="13"/>
        <v/>
      </c>
      <c r="Y1606" s="69" t="str">
        <f t="shared" si="14"/>
        <v/>
      </c>
      <c r="Z1606" s="11"/>
      <c r="AG1606" s="59"/>
    </row>
    <row r="1607">
      <c r="A1607" s="8"/>
      <c r="B1607" s="56" t="str">
        <f t="shared" si="2"/>
        <v/>
      </c>
      <c r="C1607" s="105"/>
      <c r="D1607" s="10"/>
      <c r="E1607" s="59" t="str">
        <f t="array" ref="E1607">IF(COUNTA(C1607:C1644)=0,"",SUM((COUNTIF(C$4:C1607,Upgrades!$B$3:$B$13)-COUNTIF(C$4:C1607,"Sell_"&amp;Upgrades!$B$3:$B$13))*Upgrades!$D$3:$D$13))</f>
        <v/>
      </c>
      <c r="F1607" s="66" t="str">
        <f>IFERROR(__xludf.DUMMYFUNCTION("IF(COUNTA(C1607:C1644)=0,"""",IF(REGEXMATCH(INDEX(FILTER(C$4:C1607,C$4:C1607&lt;&gt;""""),ROWS(FILTER(C$4:C1607,C$4:C1607&lt;&gt;""""))),""^Sell_""),INDEX(FILTER(F$4:F1606,C$4:C1606&lt;&gt;""""),ROWS(FILTER(C$4:C1606,C$4:C1606&lt;&gt;""""))),$AC$5+E1607))"),"")</f>
        <v/>
      </c>
      <c r="G1607" s="10" t="str">
        <f>IFERROR(__xludf.DUMMYFUNCTION("IF(COUNTA(C1607:C1644)=0,"""",IF(C1607="""",0,IF(REGEXMATCH(C1607,""^Sell_""),-ROUNDDOWN(ROUNDUP(INDEX(Upgrades!$C$3:$C$13,MATCH(SUBSTITUTE(C1607,""Sell_"",""""),Upgrades!$B$3:$B$13,0))*1.15^(COUNTIF(C$4:C1606,SUBSTITUTE(C1607,""Sell_"",""""))-COUNTIF(C$4"&amp;":C1606,""Sell_""&amp;SUBSTITUTE(C1607,""Sell_"",""""))))/2),ROUNDUP(INDEX(Upgrades!$C$3:$C$13,MATCH(C1607,Upgrades!$B$3:$B$13,0))*1.15^(COUNTIF(C$4:C1606,C1607)-COUNTIF(C$4:C1606,""Sell_""&amp;C1607))))))"),"")</f>
        <v/>
      </c>
      <c r="H1607" s="10" t="str">
        <f t="shared" si="3"/>
        <v/>
      </c>
      <c r="I1607" s="68" t="str">
        <f t="shared" si="4"/>
        <v/>
      </c>
      <c r="J1607" s="59" t="str">
        <f t="shared" si="5"/>
        <v/>
      </c>
      <c r="K1607" s="69" t="str">
        <f t="shared" si="6"/>
        <v/>
      </c>
      <c r="L1607" s="60" t="str">
        <f t="shared" si="7"/>
        <v/>
      </c>
      <c r="M1607" s="61" t="str">
        <f>IFERROR(__xludf.DUMMYFUNCTION("IFS(AND(COUNTA(C1607:C1644)=0,COUNTA(Q1607:Q1644)=0),"""",OR(AND(K1607&gt;=1000000000,OR(Y1607&gt;=1000000000,COUNTA(Q1607:Q1644)=0)),OR(Y1607&gt;=1000000000,AND(COUNTA(C1607:C1644)=0,P$3=TRUE))),
ROUNDDOWN((AB$1-AC$1)*MAX(INDEX(T$4:T1644,MATCH(LARGE(FILTER(Y$4:Y1"&amp;"644,Y$4:Y1644&lt;1000000000),1),Y$4:Y1644)),INDEX(F$4:F1644,MATCH(LARGE(FILTER(K$4:K1644,K$4:K1644&lt;1000000000),1),K$4:K1644)))),AND(K1607&lt;1000000000,COUNTA(C1607:C1644)&gt;0,P$3=FALSE),
ROUNDDOWN(INDEX(Y$4:Y1644,MATCH(LARGE(FILTER(W$4:W1644,W$4:W1644&lt;=I1607),1)"&amp;",W$4:W1644))+(I1607-LARGE(FILTER(W$4:W1644,W$4:W1644&lt;=I1607),1))*INDEX(T$4:T1644,MATCH(LARGE(FILTER(W$4:W1644,W$4:W1644&lt;=I1607),1),W$4:W1644))-K1607),1,
ROUNDDOWN(Y1607-INDEX(K$4:K1644,MATCH(LARGE(FILTER(I$4:I1644,I$4:I1644&lt;=W1607),1),I$4:I1644))-(W1607-L"&amp;"ARGE(FILTER(I$4:I1644,I$4:I1644&lt;=W1607),1))*INDEX(F$4:F1644,MATCH(LARGE(FILTER(I$4:I1644,I$4:I1644&lt;=W1607),1),I$4:I1644))))"),"")</f>
        <v/>
      </c>
      <c r="N1607" s="60" t="str">
        <f t="shared" si="8"/>
        <v/>
      </c>
      <c r="O1607" s="61" t="str">
        <f t="shared" si="9"/>
        <v/>
      </c>
      <c r="P1607" s="56" t="str">
        <f t="shared" si="10"/>
        <v/>
      </c>
      <c r="Q1607" s="105"/>
      <c r="R1607" s="10"/>
      <c r="S1607" s="59" t="str">
        <f t="array" ref="S1607">IF(COUNTA(Q1607:Q1644)=0,"",SUM((COUNTIF(Q$4:Q1607,Upgrades!$B$3:$B$13)-COUNTIF(Q$4:Q1607,"Sell_"&amp;Upgrades!$B$3:$B$13))*Upgrades!$D$3:$D$13))</f>
        <v/>
      </c>
      <c r="T1607" s="66" t="str">
        <f>IFERROR(__xludf.DUMMYFUNCTION("IF(COUNTA(Q1607:Q1644)=0,"""",IF(REGEXMATCH(INDEX(FILTER(Q$4:Q1607,Q$4:Q1607&lt;&gt;""""),ROWS(FILTER(Q$4:Q1607,Q$4:Q1607&lt;&gt;""""))),""^Sell_""),INDEX(FILTER(T$4:T1606,Q$4:Q1606&lt;&gt;""""),ROWS(FILTER(Q$4:Q1606,Q$4:Q1606&lt;&gt;""""))),$AD$5+S1607))"),"")</f>
        <v/>
      </c>
      <c r="U1607" s="10" t="str">
        <f>IFERROR(__xludf.DUMMYFUNCTION("IF(COUNTA(Q1607:Q1644)=0,"""",IF(Q1607="""",0,IF(REGEXMATCH(Q1607,""^Sell_""),-ROUNDDOWN(ROUNDUP(INDEX(Upgrades!$C$3:$C$13,MATCH(SUBSTITUTE(Q1607,""Sell_"",""""),Upgrades!$B$3:$B$13,0))*1.15^(COUNTIF(Q$4:Q1606,SUBSTITUTE(Q1607,""Sell_"",""""))-COUNTIF(Q$4"&amp;":Q1606,""Sell_""&amp;SUBSTITUTE(Q1607,""Sell_"",""""))))/2),ROUNDUP(INDEX(Upgrades!$C$3:$C$13,MATCH(Q1607,Upgrades!$B$3:$B$13,0))*1.15^(COUNTIF(Q$4:Q1606,Q1607)-COUNTIF(Q$4:Q1606,""Sell_""&amp;Q1607))))))"),"")</f>
        <v/>
      </c>
      <c r="V1607" s="10" t="str">
        <f t="shared" si="11"/>
        <v/>
      </c>
      <c r="W1607" s="68" t="str">
        <f t="shared" si="12"/>
        <v/>
      </c>
      <c r="X1607" s="59" t="str">
        <f t="shared" si="13"/>
        <v/>
      </c>
      <c r="Y1607" s="69" t="str">
        <f t="shared" si="14"/>
        <v/>
      </c>
      <c r="Z1607" s="11"/>
      <c r="AG1607" s="59"/>
    </row>
    <row r="1608">
      <c r="A1608" s="8"/>
      <c r="B1608" s="56" t="str">
        <f t="shared" si="2"/>
        <v/>
      </c>
      <c r="C1608" s="105"/>
      <c r="D1608" s="10"/>
      <c r="E1608" s="59" t="str">
        <f t="array" ref="E1608">IF(COUNTA(C1608:C1644)=0,"",SUM((COUNTIF(C$4:C1608,Upgrades!$B$3:$B$13)-COUNTIF(C$4:C1608,"Sell_"&amp;Upgrades!$B$3:$B$13))*Upgrades!$D$3:$D$13))</f>
        <v/>
      </c>
      <c r="F1608" s="66" t="str">
        <f>IFERROR(__xludf.DUMMYFUNCTION("IF(COUNTA(C1608:C1644)=0,"""",IF(REGEXMATCH(INDEX(FILTER(C$4:C1608,C$4:C1608&lt;&gt;""""),ROWS(FILTER(C$4:C1608,C$4:C1608&lt;&gt;""""))),""^Sell_""),INDEX(FILTER(F$4:F1607,C$4:C1607&lt;&gt;""""),ROWS(FILTER(C$4:C1607,C$4:C1607&lt;&gt;""""))),$AC$5+E1608))"),"")</f>
        <v/>
      </c>
      <c r="G1608" s="10" t="str">
        <f>IFERROR(__xludf.DUMMYFUNCTION("IF(COUNTA(C1608:C1644)=0,"""",IF(C1608="""",0,IF(REGEXMATCH(C1608,""^Sell_""),-ROUNDDOWN(ROUNDUP(INDEX(Upgrades!$C$3:$C$13,MATCH(SUBSTITUTE(C1608,""Sell_"",""""),Upgrades!$B$3:$B$13,0))*1.15^(COUNTIF(C$4:C1607,SUBSTITUTE(C1608,""Sell_"",""""))-COUNTIF(C$4"&amp;":C1607,""Sell_""&amp;SUBSTITUTE(C1608,""Sell_"",""""))))/2),ROUNDUP(INDEX(Upgrades!$C$3:$C$13,MATCH(C1608,Upgrades!$B$3:$B$13,0))*1.15^(COUNTIF(C$4:C1607,C1608)-COUNTIF(C$4:C1607,""Sell_""&amp;C1608))))))"),"")</f>
        <v/>
      </c>
      <c r="H1608" s="10" t="str">
        <f t="shared" si="3"/>
        <v/>
      </c>
      <c r="I1608" s="68" t="str">
        <f t="shared" si="4"/>
        <v/>
      </c>
      <c r="J1608" s="59" t="str">
        <f t="shared" si="5"/>
        <v/>
      </c>
      <c r="K1608" s="69" t="str">
        <f t="shared" si="6"/>
        <v/>
      </c>
      <c r="L1608" s="60" t="str">
        <f t="shared" si="7"/>
        <v/>
      </c>
      <c r="M1608" s="61" t="str">
        <f>IFERROR(__xludf.DUMMYFUNCTION("IFS(AND(COUNTA(C1608:C1644)=0,COUNTA(Q1608:Q1644)=0),"""",OR(AND(K1608&gt;=1000000000,OR(Y1608&gt;=1000000000,COUNTA(Q1608:Q1644)=0)),OR(Y1608&gt;=1000000000,AND(COUNTA(C1608:C1644)=0,P$3=TRUE))),
ROUNDDOWN((AB$1-AC$1)*MAX(INDEX(T$4:T1644,MATCH(LARGE(FILTER(Y$4:Y1"&amp;"644,Y$4:Y1644&lt;1000000000),1),Y$4:Y1644)),INDEX(F$4:F1644,MATCH(LARGE(FILTER(K$4:K1644,K$4:K1644&lt;1000000000),1),K$4:K1644)))),AND(K1608&lt;1000000000,COUNTA(C1608:C1644)&gt;0,P$3=FALSE),
ROUNDDOWN(INDEX(Y$4:Y1644,MATCH(LARGE(FILTER(W$4:W1644,W$4:W1644&lt;=I1608),1)"&amp;",W$4:W1644))+(I1608-LARGE(FILTER(W$4:W1644,W$4:W1644&lt;=I1608),1))*INDEX(T$4:T1644,MATCH(LARGE(FILTER(W$4:W1644,W$4:W1644&lt;=I1608),1),W$4:W1644))-K1608),1,
ROUNDDOWN(Y1608-INDEX(K$4:K1644,MATCH(LARGE(FILTER(I$4:I1644,I$4:I1644&lt;=W1608),1),I$4:I1644))-(W1608-L"&amp;"ARGE(FILTER(I$4:I1644,I$4:I1644&lt;=W1608),1))*INDEX(F$4:F1644,MATCH(LARGE(FILTER(I$4:I1644,I$4:I1644&lt;=W1608),1),I$4:I1644))))"),"")</f>
        <v/>
      </c>
      <c r="N1608" s="60" t="str">
        <f t="shared" si="8"/>
        <v/>
      </c>
      <c r="O1608" s="61" t="str">
        <f t="shared" si="9"/>
        <v/>
      </c>
      <c r="P1608" s="56" t="str">
        <f t="shared" si="10"/>
        <v/>
      </c>
      <c r="Q1608" s="105"/>
      <c r="R1608" s="10"/>
      <c r="S1608" s="59" t="str">
        <f t="array" ref="S1608">IF(COUNTA(Q1608:Q1644)=0,"",SUM((COUNTIF(Q$4:Q1608,Upgrades!$B$3:$B$13)-COUNTIF(Q$4:Q1608,"Sell_"&amp;Upgrades!$B$3:$B$13))*Upgrades!$D$3:$D$13))</f>
        <v/>
      </c>
      <c r="T1608" s="66" t="str">
        <f>IFERROR(__xludf.DUMMYFUNCTION("IF(COUNTA(Q1608:Q1644)=0,"""",IF(REGEXMATCH(INDEX(FILTER(Q$4:Q1608,Q$4:Q1608&lt;&gt;""""),ROWS(FILTER(Q$4:Q1608,Q$4:Q1608&lt;&gt;""""))),""^Sell_""),INDEX(FILTER(T$4:T1607,Q$4:Q1607&lt;&gt;""""),ROWS(FILTER(Q$4:Q1607,Q$4:Q1607&lt;&gt;""""))),$AD$5+S1608))"),"")</f>
        <v/>
      </c>
      <c r="U1608" s="10" t="str">
        <f>IFERROR(__xludf.DUMMYFUNCTION("IF(COUNTA(Q1608:Q1644)=0,"""",IF(Q1608="""",0,IF(REGEXMATCH(Q1608,""^Sell_""),-ROUNDDOWN(ROUNDUP(INDEX(Upgrades!$C$3:$C$13,MATCH(SUBSTITUTE(Q1608,""Sell_"",""""),Upgrades!$B$3:$B$13,0))*1.15^(COUNTIF(Q$4:Q1607,SUBSTITUTE(Q1608,""Sell_"",""""))-COUNTIF(Q$4"&amp;":Q1607,""Sell_""&amp;SUBSTITUTE(Q1608,""Sell_"",""""))))/2),ROUNDUP(INDEX(Upgrades!$C$3:$C$13,MATCH(Q1608,Upgrades!$B$3:$B$13,0))*1.15^(COUNTIF(Q$4:Q1607,Q1608)-COUNTIF(Q$4:Q1607,""Sell_""&amp;Q1608))))))"),"")</f>
        <v/>
      </c>
      <c r="V1608" s="10" t="str">
        <f t="shared" si="11"/>
        <v/>
      </c>
      <c r="W1608" s="68" t="str">
        <f t="shared" si="12"/>
        <v/>
      </c>
      <c r="X1608" s="59" t="str">
        <f t="shared" si="13"/>
        <v/>
      </c>
      <c r="Y1608" s="69" t="str">
        <f t="shared" si="14"/>
        <v/>
      </c>
      <c r="Z1608" s="11"/>
      <c r="AG1608" s="59"/>
    </row>
    <row r="1609">
      <c r="A1609" s="8"/>
      <c r="B1609" s="56" t="str">
        <f t="shared" si="2"/>
        <v/>
      </c>
      <c r="C1609" s="105"/>
      <c r="D1609" s="10"/>
      <c r="E1609" s="59" t="str">
        <f t="array" ref="E1609">IF(COUNTA(C1609:C1644)=0,"",SUM((COUNTIF(C$4:C1609,Upgrades!$B$3:$B$13)-COUNTIF(C$4:C1609,"Sell_"&amp;Upgrades!$B$3:$B$13))*Upgrades!$D$3:$D$13))</f>
        <v/>
      </c>
      <c r="F1609" s="66" t="str">
        <f>IFERROR(__xludf.DUMMYFUNCTION("IF(COUNTA(C1609:C1644)=0,"""",IF(REGEXMATCH(INDEX(FILTER(C$4:C1609,C$4:C1609&lt;&gt;""""),ROWS(FILTER(C$4:C1609,C$4:C1609&lt;&gt;""""))),""^Sell_""),INDEX(FILTER(F$4:F1608,C$4:C1608&lt;&gt;""""),ROWS(FILTER(C$4:C1608,C$4:C1608&lt;&gt;""""))),$AC$5+E1609))"),"")</f>
        <v/>
      </c>
      <c r="G1609" s="10" t="str">
        <f>IFERROR(__xludf.DUMMYFUNCTION("IF(COUNTA(C1609:C1644)=0,"""",IF(C1609="""",0,IF(REGEXMATCH(C1609,""^Sell_""),-ROUNDDOWN(ROUNDUP(INDEX(Upgrades!$C$3:$C$13,MATCH(SUBSTITUTE(C1609,""Sell_"",""""),Upgrades!$B$3:$B$13,0))*1.15^(COUNTIF(C$4:C1608,SUBSTITUTE(C1609,""Sell_"",""""))-COUNTIF(C$4"&amp;":C1608,""Sell_""&amp;SUBSTITUTE(C1609,""Sell_"",""""))))/2),ROUNDUP(INDEX(Upgrades!$C$3:$C$13,MATCH(C1609,Upgrades!$B$3:$B$13,0))*1.15^(COUNTIF(C$4:C1608,C1609)-COUNTIF(C$4:C1608,""Sell_""&amp;C1609))))))"),"")</f>
        <v/>
      </c>
      <c r="H1609" s="10" t="str">
        <f t="shared" si="3"/>
        <v/>
      </c>
      <c r="I1609" s="68" t="str">
        <f t="shared" si="4"/>
        <v/>
      </c>
      <c r="J1609" s="59" t="str">
        <f t="shared" si="5"/>
        <v/>
      </c>
      <c r="K1609" s="69" t="str">
        <f t="shared" si="6"/>
        <v/>
      </c>
      <c r="L1609" s="60" t="str">
        <f t="shared" si="7"/>
        <v/>
      </c>
      <c r="M1609" s="61" t="str">
        <f>IFERROR(__xludf.DUMMYFUNCTION("IFS(AND(COUNTA(C1609:C1644)=0,COUNTA(Q1609:Q1644)=0),"""",OR(AND(K1609&gt;=1000000000,OR(Y1609&gt;=1000000000,COUNTA(Q1609:Q1644)=0)),OR(Y1609&gt;=1000000000,AND(COUNTA(C1609:C1644)=0,P$3=TRUE))),
ROUNDDOWN((AB$1-AC$1)*MAX(INDEX(T$4:T1644,MATCH(LARGE(FILTER(Y$4:Y1"&amp;"644,Y$4:Y1644&lt;1000000000),1),Y$4:Y1644)),INDEX(F$4:F1644,MATCH(LARGE(FILTER(K$4:K1644,K$4:K1644&lt;1000000000),1),K$4:K1644)))),AND(K1609&lt;1000000000,COUNTA(C1609:C1644)&gt;0,P$3=FALSE),
ROUNDDOWN(INDEX(Y$4:Y1644,MATCH(LARGE(FILTER(W$4:W1644,W$4:W1644&lt;=I1609),1)"&amp;",W$4:W1644))+(I1609-LARGE(FILTER(W$4:W1644,W$4:W1644&lt;=I1609),1))*INDEX(T$4:T1644,MATCH(LARGE(FILTER(W$4:W1644,W$4:W1644&lt;=I1609),1),W$4:W1644))-K1609),1,
ROUNDDOWN(Y1609-INDEX(K$4:K1644,MATCH(LARGE(FILTER(I$4:I1644,I$4:I1644&lt;=W1609),1),I$4:I1644))-(W1609-L"&amp;"ARGE(FILTER(I$4:I1644,I$4:I1644&lt;=W1609),1))*INDEX(F$4:F1644,MATCH(LARGE(FILTER(I$4:I1644,I$4:I1644&lt;=W1609),1),I$4:I1644))))"),"")</f>
        <v/>
      </c>
      <c r="N1609" s="60" t="str">
        <f t="shared" si="8"/>
        <v/>
      </c>
      <c r="O1609" s="61" t="str">
        <f t="shared" si="9"/>
        <v/>
      </c>
      <c r="P1609" s="56" t="str">
        <f t="shared" si="10"/>
        <v/>
      </c>
      <c r="Q1609" s="105"/>
      <c r="R1609" s="10"/>
      <c r="S1609" s="59" t="str">
        <f t="array" ref="S1609">IF(COUNTA(Q1609:Q1644)=0,"",SUM((COUNTIF(Q$4:Q1609,Upgrades!$B$3:$B$13)-COUNTIF(Q$4:Q1609,"Sell_"&amp;Upgrades!$B$3:$B$13))*Upgrades!$D$3:$D$13))</f>
        <v/>
      </c>
      <c r="T1609" s="66" t="str">
        <f>IFERROR(__xludf.DUMMYFUNCTION("IF(COUNTA(Q1609:Q1644)=0,"""",IF(REGEXMATCH(INDEX(FILTER(Q$4:Q1609,Q$4:Q1609&lt;&gt;""""),ROWS(FILTER(Q$4:Q1609,Q$4:Q1609&lt;&gt;""""))),""^Sell_""),INDEX(FILTER(T$4:T1608,Q$4:Q1608&lt;&gt;""""),ROWS(FILTER(Q$4:Q1608,Q$4:Q1608&lt;&gt;""""))),$AD$5+S1609))"),"")</f>
        <v/>
      </c>
      <c r="U1609" s="10" t="str">
        <f>IFERROR(__xludf.DUMMYFUNCTION("IF(COUNTA(Q1609:Q1644)=0,"""",IF(Q1609="""",0,IF(REGEXMATCH(Q1609,""^Sell_""),-ROUNDDOWN(ROUNDUP(INDEX(Upgrades!$C$3:$C$13,MATCH(SUBSTITUTE(Q1609,""Sell_"",""""),Upgrades!$B$3:$B$13,0))*1.15^(COUNTIF(Q$4:Q1608,SUBSTITUTE(Q1609,""Sell_"",""""))-COUNTIF(Q$4"&amp;":Q1608,""Sell_""&amp;SUBSTITUTE(Q1609,""Sell_"",""""))))/2),ROUNDUP(INDEX(Upgrades!$C$3:$C$13,MATCH(Q1609,Upgrades!$B$3:$B$13,0))*1.15^(COUNTIF(Q$4:Q1608,Q1609)-COUNTIF(Q$4:Q1608,""Sell_""&amp;Q1609))))))"),"")</f>
        <v/>
      </c>
      <c r="V1609" s="10" t="str">
        <f t="shared" si="11"/>
        <v/>
      </c>
      <c r="W1609" s="68" t="str">
        <f t="shared" si="12"/>
        <v/>
      </c>
      <c r="X1609" s="59" t="str">
        <f t="shared" si="13"/>
        <v/>
      </c>
      <c r="Y1609" s="69" t="str">
        <f t="shared" si="14"/>
        <v/>
      </c>
      <c r="Z1609" s="11"/>
      <c r="AG1609" s="59"/>
    </row>
    <row r="1610">
      <c r="A1610" s="8"/>
      <c r="B1610" s="56" t="str">
        <f t="shared" si="2"/>
        <v/>
      </c>
      <c r="C1610" s="105"/>
      <c r="D1610" s="10"/>
      <c r="E1610" s="59" t="str">
        <f t="array" ref="E1610">IF(COUNTA(C1610:C1644)=0,"",SUM((COUNTIF(C$4:C1610,Upgrades!$B$3:$B$13)-COUNTIF(C$4:C1610,"Sell_"&amp;Upgrades!$B$3:$B$13))*Upgrades!$D$3:$D$13))</f>
        <v/>
      </c>
      <c r="F1610" s="66" t="str">
        <f>IFERROR(__xludf.DUMMYFUNCTION("IF(COUNTA(C1610:C1644)=0,"""",IF(REGEXMATCH(INDEX(FILTER(C$4:C1610,C$4:C1610&lt;&gt;""""),ROWS(FILTER(C$4:C1610,C$4:C1610&lt;&gt;""""))),""^Sell_""),INDEX(FILTER(F$4:F1609,C$4:C1609&lt;&gt;""""),ROWS(FILTER(C$4:C1609,C$4:C1609&lt;&gt;""""))),$AC$5+E1610))"),"")</f>
        <v/>
      </c>
      <c r="G1610" s="10" t="str">
        <f>IFERROR(__xludf.DUMMYFUNCTION("IF(COUNTA(C1610:C1644)=0,"""",IF(C1610="""",0,IF(REGEXMATCH(C1610,""^Sell_""),-ROUNDDOWN(ROUNDUP(INDEX(Upgrades!$C$3:$C$13,MATCH(SUBSTITUTE(C1610,""Sell_"",""""),Upgrades!$B$3:$B$13,0))*1.15^(COUNTIF(C$4:C1609,SUBSTITUTE(C1610,""Sell_"",""""))-COUNTIF(C$4"&amp;":C1609,""Sell_""&amp;SUBSTITUTE(C1610,""Sell_"",""""))))/2),ROUNDUP(INDEX(Upgrades!$C$3:$C$13,MATCH(C1610,Upgrades!$B$3:$B$13,0))*1.15^(COUNTIF(C$4:C1609,C1610)-COUNTIF(C$4:C1609,""Sell_""&amp;C1610))))))"),"")</f>
        <v/>
      </c>
      <c r="H1610" s="10" t="str">
        <f t="shared" si="3"/>
        <v/>
      </c>
      <c r="I1610" s="68" t="str">
        <f t="shared" si="4"/>
        <v/>
      </c>
      <c r="J1610" s="59" t="str">
        <f t="shared" si="5"/>
        <v/>
      </c>
      <c r="K1610" s="69" t="str">
        <f t="shared" si="6"/>
        <v/>
      </c>
      <c r="L1610" s="60" t="str">
        <f t="shared" si="7"/>
        <v/>
      </c>
      <c r="M1610" s="61" t="str">
        <f>IFERROR(__xludf.DUMMYFUNCTION("IFS(AND(COUNTA(C1610:C1644)=0,COUNTA(Q1610:Q1644)=0),"""",OR(AND(K1610&gt;=1000000000,OR(Y1610&gt;=1000000000,COUNTA(Q1610:Q1644)=0)),OR(Y1610&gt;=1000000000,AND(COUNTA(C1610:C1644)=0,P$3=TRUE))),
ROUNDDOWN((AB$1-AC$1)*MAX(INDEX(T$4:T1644,MATCH(LARGE(FILTER(Y$4:Y1"&amp;"644,Y$4:Y1644&lt;1000000000),1),Y$4:Y1644)),INDEX(F$4:F1644,MATCH(LARGE(FILTER(K$4:K1644,K$4:K1644&lt;1000000000),1),K$4:K1644)))),AND(K1610&lt;1000000000,COUNTA(C1610:C1644)&gt;0,P$3=FALSE),
ROUNDDOWN(INDEX(Y$4:Y1644,MATCH(LARGE(FILTER(W$4:W1644,W$4:W1644&lt;=I1610),1)"&amp;",W$4:W1644))+(I1610-LARGE(FILTER(W$4:W1644,W$4:W1644&lt;=I1610),1))*INDEX(T$4:T1644,MATCH(LARGE(FILTER(W$4:W1644,W$4:W1644&lt;=I1610),1),W$4:W1644))-K1610),1,
ROUNDDOWN(Y1610-INDEX(K$4:K1644,MATCH(LARGE(FILTER(I$4:I1644,I$4:I1644&lt;=W1610),1),I$4:I1644))-(W1610-L"&amp;"ARGE(FILTER(I$4:I1644,I$4:I1644&lt;=W1610),1))*INDEX(F$4:F1644,MATCH(LARGE(FILTER(I$4:I1644,I$4:I1644&lt;=W1610),1),I$4:I1644))))"),"")</f>
        <v/>
      </c>
      <c r="N1610" s="60" t="str">
        <f t="shared" si="8"/>
        <v/>
      </c>
      <c r="O1610" s="61" t="str">
        <f t="shared" si="9"/>
        <v/>
      </c>
      <c r="P1610" s="56" t="str">
        <f t="shared" si="10"/>
        <v/>
      </c>
      <c r="Q1610" s="105"/>
      <c r="R1610" s="10"/>
      <c r="S1610" s="59" t="str">
        <f t="array" ref="S1610">IF(COUNTA(Q1610:Q1644)=0,"",SUM((COUNTIF(Q$4:Q1610,Upgrades!$B$3:$B$13)-COUNTIF(Q$4:Q1610,"Sell_"&amp;Upgrades!$B$3:$B$13))*Upgrades!$D$3:$D$13))</f>
        <v/>
      </c>
      <c r="T1610" s="66" t="str">
        <f>IFERROR(__xludf.DUMMYFUNCTION("IF(COUNTA(Q1610:Q1644)=0,"""",IF(REGEXMATCH(INDEX(FILTER(Q$4:Q1610,Q$4:Q1610&lt;&gt;""""),ROWS(FILTER(Q$4:Q1610,Q$4:Q1610&lt;&gt;""""))),""^Sell_""),INDEX(FILTER(T$4:T1609,Q$4:Q1609&lt;&gt;""""),ROWS(FILTER(Q$4:Q1609,Q$4:Q1609&lt;&gt;""""))),$AD$5+S1610))"),"")</f>
        <v/>
      </c>
      <c r="U1610" s="10" t="str">
        <f>IFERROR(__xludf.DUMMYFUNCTION("IF(COUNTA(Q1610:Q1644)=0,"""",IF(Q1610="""",0,IF(REGEXMATCH(Q1610,""^Sell_""),-ROUNDDOWN(ROUNDUP(INDEX(Upgrades!$C$3:$C$13,MATCH(SUBSTITUTE(Q1610,""Sell_"",""""),Upgrades!$B$3:$B$13,0))*1.15^(COUNTIF(Q$4:Q1609,SUBSTITUTE(Q1610,""Sell_"",""""))-COUNTIF(Q$4"&amp;":Q1609,""Sell_""&amp;SUBSTITUTE(Q1610,""Sell_"",""""))))/2),ROUNDUP(INDEX(Upgrades!$C$3:$C$13,MATCH(Q1610,Upgrades!$B$3:$B$13,0))*1.15^(COUNTIF(Q$4:Q1609,Q1610)-COUNTIF(Q$4:Q1609,""Sell_""&amp;Q1610))))))"),"")</f>
        <v/>
      </c>
      <c r="V1610" s="10" t="str">
        <f t="shared" si="11"/>
        <v/>
      </c>
      <c r="W1610" s="68" t="str">
        <f t="shared" si="12"/>
        <v/>
      </c>
      <c r="X1610" s="59" t="str">
        <f t="shared" si="13"/>
        <v/>
      </c>
      <c r="Y1610" s="69" t="str">
        <f t="shared" si="14"/>
        <v/>
      </c>
      <c r="Z1610" s="11"/>
      <c r="AG1610" s="59"/>
    </row>
    <row r="1611">
      <c r="A1611" s="8"/>
      <c r="B1611" s="56" t="str">
        <f t="shared" si="2"/>
        <v/>
      </c>
      <c r="C1611" s="105"/>
      <c r="D1611" s="10"/>
      <c r="E1611" s="59" t="str">
        <f t="array" ref="E1611">IF(COUNTA(C1611:C1644)=0,"",SUM((COUNTIF(C$4:C1611,Upgrades!$B$3:$B$13)-COUNTIF(C$4:C1611,"Sell_"&amp;Upgrades!$B$3:$B$13))*Upgrades!$D$3:$D$13))</f>
        <v/>
      </c>
      <c r="F1611" s="66" t="str">
        <f>IFERROR(__xludf.DUMMYFUNCTION("IF(COUNTA(C1611:C1644)=0,"""",IF(REGEXMATCH(INDEX(FILTER(C$4:C1611,C$4:C1611&lt;&gt;""""),ROWS(FILTER(C$4:C1611,C$4:C1611&lt;&gt;""""))),""^Sell_""),INDEX(FILTER(F$4:F1610,C$4:C1610&lt;&gt;""""),ROWS(FILTER(C$4:C1610,C$4:C1610&lt;&gt;""""))),$AC$5+E1611))"),"")</f>
        <v/>
      </c>
      <c r="G1611" s="10" t="str">
        <f>IFERROR(__xludf.DUMMYFUNCTION("IF(COUNTA(C1611:C1644)=0,"""",IF(C1611="""",0,IF(REGEXMATCH(C1611,""^Sell_""),-ROUNDDOWN(ROUNDUP(INDEX(Upgrades!$C$3:$C$13,MATCH(SUBSTITUTE(C1611,""Sell_"",""""),Upgrades!$B$3:$B$13,0))*1.15^(COUNTIF(C$4:C1610,SUBSTITUTE(C1611,""Sell_"",""""))-COUNTIF(C$4"&amp;":C1610,""Sell_""&amp;SUBSTITUTE(C1611,""Sell_"",""""))))/2),ROUNDUP(INDEX(Upgrades!$C$3:$C$13,MATCH(C1611,Upgrades!$B$3:$B$13,0))*1.15^(COUNTIF(C$4:C1610,C1611)-COUNTIF(C$4:C1610,""Sell_""&amp;C1611))))))"),"")</f>
        <v/>
      </c>
      <c r="H1611" s="10" t="str">
        <f t="shared" si="3"/>
        <v/>
      </c>
      <c r="I1611" s="68" t="str">
        <f t="shared" si="4"/>
        <v/>
      </c>
      <c r="J1611" s="59" t="str">
        <f t="shared" si="5"/>
        <v/>
      </c>
      <c r="K1611" s="69" t="str">
        <f t="shared" si="6"/>
        <v/>
      </c>
      <c r="L1611" s="60" t="str">
        <f t="shared" si="7"/>
        <v/>
      </c>
      <c r="M1611" s="61" t="str">
        <f>IFERROR(__xludf.DUMMYFUNCTION("IFS(AND(COUNTA(C1611:C1644)=0,COUNTA(Q1611:Q1644)=0),"""",OR(AND(K1611&gt;=1000000000,OR(Y1611&gt;=1000000000,COUNTA(Q1611:Q1644)=0)),OR(Y1611&gt;=1000000000,AND(COUNTA(C1611:C1644)=0,P$3=TRUE))),
ROUNDDOWN((AB$1-AC$1)*MAX(INDEX(T$4:T1644,MATCH(LARGE(FILTER(Y$4:Y1"&amp;"644,Y$4:Y1644&lt;1000000000),1),Y$4:Y1644)),INDEX(F$4:F1644,MATCH(LARGE(FILTER(K$4:K1644,K$4:K1644&lt;1000000000),1),K$4:K1644)))),AND(K1611&lt;1000000000,COUNTA(C1611:C1644)&gt;0,P$3=FALSE),
ROUNDDOWN(INDEX(Y$4:Y1644,MATCH(LARGE(FILTER(W$4:W1644,W$4:W1644&lt;=I1611),1)"&amp;",W$4:W1644))+(I1611-LARGE(FILTER(W$4:W1644,W$4:W1644&lt;=I1611),1))*INDEX(T$4:T1644,MATCH(LARGE(FILTER(W$4:W1644,W$4:W1644&lt;=I1611),1),W$4:W1644))-K1611),1,
ROUNDDOWN(Y1611-INDEX(K$4:K1644,MATCH(LARGE(FILTER(I$4:I1644,I$4:I1644&lt;=W1611),1),I$4:I1644))-(W1611-L"&amp;"ARGE(FILTER(I$4:I1644,I$4:I1644&lt;=W1611),1))*INDEX(F$4:F1644,MATCH(LARGE(FILTER(I$4:I1644,I$4:I1644&lt;=W1611),1),I$4:I1644))))"),"")</f>
        <v/>
      </c>
      <c r="N1611" s="60" t="str">
        <f t="shared" si="8"/>
        <v/>
      </c>
      <c r="O1611" s="61" t="str">
        <f t="shared" si="9"/>
        <v/>
      </c>
      <c r="P1611" s="56" t="str">
        <f t="shared" si="10"/>
        <v/>
      </c>
      <c r="Q1611" s="105"/>
      <c r="R1611" s="10"/>
      <c r="S1611" s="59" t="str">
        <f t="array" ref="S1611">IF(COUNTA(Q1611:Q1644)=0,"",SUM((COUNTIF(Q$4:Q1611,Upgrades!$B$3:$B$13)-COUNTIF(Q$4:Q1611,"Sell_"&amp;Upgrades!$B$3:$B$13))*Upgrades!$D$3:$D$13))</f>
        <v/>
      </c>
      <c r="T1611" s="66" t="str">
        <f>IFERROR(__xludf.DUMMYFUNCTION("IF(COUNTA(Q1611:Q1644)=0,"""",IF(REGEXMATCH(INDEX(FILTER(Q$4:Q1611,Q$4:Q1611&lt;&gt;""""),ROWS(FILTER(Q$4:Q1611,Q$4:Q1611&lt;&gt;""""))),""^Sell_""),INDEX(FILTER(T$4:T1610,Q$4:Q1610&lt;&gt;""""),ROWS(FILTER(Q$4:Q1610,Q$4:Q1610&lt;&gt;""""))),$AD$5+S1611))"),"")</f>
        <v/>
      </c>
      <c r="U1611" s="10" t="str">
        <f>IFERROR(__xludf.DUMMYFUNCTION("IF(COUNTA(Q1611:Q1644)=0,"""",IF(Q1611="""",0,IF(REGEXMATCH(Q1611,""^Sell_""),-ROUNDDOWN(ROUNDUP(INDEX(Upgrades!$C$3:$C$13,MATCH(SUBSTITUTE(Q1611,""Sell_"",""""),Upgrades!$B$3:$B$13,0))*1.15^(COUNTIF(Q$4:Q1610,SUBSTITUTE(Q1611,""Sell_"",""""))-COUNTIF(Q$4"&amp;":Q1610,""Sell_""&amp;SUBSTITUTE(Q1611,""Sell_"",""""))))/2),ROUNDUP(INDEX(Upgrades!$C$3:$C$13,MATCH(Q1611,Upgrades!$B$3:$B$13,0))*1.15^(COUNTIF(Q$4:Q1610,Q1611)-COUNTIF(Q$4:Q1610,""Sell_""&amp;Q1611))))))"),"")</f>
        <v/>
      </c>
      <c r="V1611" s="10" t="str">
        <f t="shared" si="11"/>
        <v/>
      </c>
      <c r="W1611" s="68" t="str">
        <f t="shared" si="12"/>
        <v/>
      </c>
      <c r="X1611" s="59" t="str">
        <f t="shared" si="13"/>
        <v/>
      </c>
      <c r="Y1611" s="69" t="str">
        <f t="shared" si="14"/>
        <v/>
      </c>
      <c r="Z1611" s="11"/>
      <c r="AG1611" s="59"/>
    </row>
    <row r="1612">
      <c r="A1612" s="8"/>
      <c r="B1612" s="56" t="str">
        <f t="shared" si="2"/>
        <v/>
      </c>
      <c r="C1612" s="105"/>
      <c r="D1612" s="10"/>
      <c r="E1612" s="59" t="str">
        <f t="array" ref="E1612">IF(COUNTA(C1612:C1644)=0,"",SUM((COUNTIF(C$4:C1612,Upgrades!$B$3:$B$13)-COUNTIF(C$4:C1612,"Sell_"&amp;Upgrades!$B$3:$B$13))*Upgrades!$D$3:$D$13))</f>
        <v/>
      </c>
      <c r="F1612" s="66" t="str">
        <f>IFERROR(__xludf.DUMMYFUNCTION("IF(COUNTA(C1612:C1644)=0,"""",IF(REGEXMATCH(INDEX(FILTER(C$4:C1612,C$4:C1612&lt;&gt;""""),ROWS(FILTER(C$4:C1612,C$4:C1612&lt;&gt;""""))),""^Sell_""),INDEX(FILTER(F$4:F1611,C$4:C1611&lt;&gt;""""),ROWS(FILTER(C$4:C1611,C$4:C1611&lt;&gt;""""))),$AC$5+E1612))"),"")</f>
        <v/>
      </c>
      <c r="G1612" s="10" t="str">
        <f>IFERROR(__xludf.DUMMYFUNCTION("IF(COUNTA(C1612:C1644)=0,"""",IF(C1612="""",0,IF(REGEXMATCH(C1612,""^Sell_""),-ROUNDDOWN(ROUNDUP(INDEX(Upgrades!$C$3:$C$13,MATCH(SUBSTITUTE(C1612,""Sell_"",""""),Upgrades!$B$3:$B$13,0))*1.15^(COUNTIF(C$4:C1611,SUBSTITUTE(C1612,""Sell_"",""""))-COUNTIF(C$4"&amp;":C1611,""Sell_""&amp;SUBSTITUTE(C1612,""Sell_"",""""))))/2),ROUNDUP(INDEX(Upgrades!$C$3:$C$13,MATCH(C1612,Upgrades!$B$3:$B$13,0))*1.15^(COUNTIF(C$4:C1611,C1612)-COUNTIF(C$4:C1611,""Sell_""&amp;C1612))))))"),"")</f>
        <v/>
      </c>
      <c r="H1612" s="10" t="str">
        <f t="shared" si="3"/>
        <v/>
      </c>
      <c r="I1612" s="68" t="str">
        <f t="shared" si="4"/>
        <v/>
      </c>
      <c r="J1612" s="59" t="str">
        <f t="shared" si="5"/>
        <v/>
      </c>
      <c r="K1612" s="69" t="str">
        <f t="shared" si="6"/>
        <v/>
      </c>
      <c r="L1612" s="60" t="str">
        <f t="shared" si="7"/>
        <v/>
      </c>
      <c r="M1612" s="61" t="str">
        <f>IFERROR(__xludf.DUMMYFUNCTION("IFS(AND(COUNTA(C1612:C1644)=0,COUNTA(Q1612:Q1644)=0),"""",OR(AND(K1612&gt;=1000000000,OR(Y1612&gt;=1000000000,COUNTA(Q1612:Q1644)=0)),OR(Y1612&gt;=1000000000,AND(COUNTA(C1612:C1644)=0,P$3=TRUE))),
ROUNDDOWN((AB$1-AC$1)*MAX(INDEX(T$4:T1644,MATCH(LARGE(FILTER(Y$4:Y1"&amp;"644,Y$4:Y1644&lt;1000000000),1),Y$4:Y1644)),INDEX(F$4:F1644,MATCH(LARGE(FILTER(K$4:K1644,K$4:K1644&lt;1000000000),1),K$4:K1644)))),AND(K1612&lt;1000000000,COUNTA(C1612:C1644)&gt;0,P$3=FALSE),
ROUNDDOWN(INDEX(Y$4:Y1644,MATCH(LARGE(FILTER(W$4:W1644,W$4:W1644&lt;=I1612),1)"&amp;",W$4:W1644))+(I1612-LARGE(FILTER(W$4:W1644,W$4:W1644&lt;=I1612),1))*INDEX(T$4:T1644,MATCH(LARGE(FILTER(W$4:W1644,W$4:W1644&lt;=I1612),1),W$4:W1644))-K1612),1,
ROUNDDOWN(Y1612-INDEX(K$4:K1644,MATCH(LARGE(FILTER(I$4:I1644,I$4:I1644&lt;=W1612),1),I$4:I1644))-(W1612-L"&amp;"ARGE(FILTER(I$4:I1644,I$4:I1644&lt;=W1612),1))*INDEX(F$4:F1644,MATCH(LARGE(FILTER(I$4:I1644,I$4:I1644&lt;=W1612),1),I$4:I1644))))"),"")</f>
        <v/>
      </c>
      <c r="N1612" s="60" t="str">
        <f t="shared" si="8"/>
        <v/>
      </c>
      <c r="O1612" s="61" t="str">
        <f t="shared" si="9"/>
        <v/>
      </c>
      <c r="P1612" s="56" t="str">
        <f t="shared" si="10"/>
        <v/>
      </c>
      <c r="Q1612" s="105"/>
      <c r="R1612" s="10"/>
      <c r="S1612" s="59" t="str">
        <f t="array" ref="S1612">IF(COUNTA(Q1612:Q1644)=0,"",SUM((COUNTIF(Q$4:Q1612,Upgrades!$B$3:$B$13)-COUNTIF(Q$4:Q1612,"Sell_"&amp;Upgrades!$B$3:$B$13))*Upgrades!$D$3:$D$13))</f>
        <v/>
      </c>
      <c r="T1612" s="66" t="str">
        <f>IFERROR(__xludf.DUMMYFUNCTION("IF(COUNTA(Q1612:Q1644)=0,"""",IF(REGEXMATCH(INDEX(FILTER(Q$4:Q1612,Q$4:Q1612&lt;&gt;""""),ROWS(FILTER(Q$4:Q1612,Q$4:Q1612&lt;&gt;""""))),""^Sell_""),INDEX(FILTER(T$4:T1611,Q$4:Q1611&lt;&gt;""""),ROWS(FILTER(Q$4:Q1611,Q$4:Q1611&lt;&gt;""""))),$AD$5+S1612))"),"")</f>
        <v/>
      </c>
      <c r="U1612" s="10" t="str">
        <f>IFERROR(__xludf.DUMMYFUNCTION("IF(COUNTA(Q1612:Q1644)=0,"""",IF(Q1612="""",0,IF(REGEXMATCH(Q1612,""^Sell_""),-ROUNDDOWN(ROUNDUP(INDEX(Upgrades!$C$3:$C$13,MATCH(SUBSTITUTE(Q1612,""Sell_"",""""),Upgrades!$B$3:$B$13,0))*1.15^(COUNTIF(Q$4:Q1611,SUBSTITUTE(Q1612,""Sell_"",""""))-COUNTIF(Q$4"&amp;":Q1611,""Sell_""&amp;SUBSTITUTE(Q1612,""Sell_"",""""))))/2),ROUNDUP(INDEX(Upgrades!$C$3:$C$13,MATCH(Q1612,Upgrades!$B$3:$B$13,0))*1.15^(COUNTIF(Q$4:Q1611,Q1612)-COUNTIF(Q$4:Q1611,""Sell_""&amp;Q1612))))))"),"")</f>
        <v/>
      </c>
      <c r="V1612" s="10" t="str">
        <f t="shared" si="11"/>
        <v/>
      </c>
      <c r="W1612" s="68" t="str">
        <f t="shared" si="12"/>
        <v/>
      </c>
      <c r="X1612" s="59" t="str">
        <f t="shared" si="13"/>
        <v/>
      </c>
      <c r="Y1612" s="69" t="str">
        <f t="shared" si="14"/>
        <v/>
      </c>
      <c r="Z1612" s="11"/>
      <c r="AG1612" s="59"/>
    </row>
    <row r="1613">
      <c r="A1613" s="8"/>
      <c r="B1613" s="56" t="str">
        <f t="shared" si="2"/>
        <v/>
      </c>
      <c r="C1613" s="105"/>
      <c r="D1613" s="10"/>
      <c r="E1613" s="59" t="str">
        <f t="array" ref="E1613">IF(COUNTA(C1613:C1644)=0,"",SUM((COUNTIF(C$4:C1613,Upgrades!$B$3:$B$13)-COUNTIF(C$4:C1613,"Sell_"&amp;Upgrades!$B$3:$B$13))*Upgrades!$D$3:$D$13))</f>
        <v/>
      </c>
      <c r="F1613" s="66" t="str">
        <f>IFERROR(__xludf.DUMMYFUNCTION("IF(COUNTA(C1613:C1644)=0,"""",IF(REGEXMATCH(INDEX(FILTER(C$4:C1613,C$4:C1613&lt;&gt;""""),ROWS(FILTER(C$4:C1613,C$4:C1613&lt;&gt;""""))),""^Sell_""),INDEX(FILTER(F$4:F1612,C$4:C1612&lt;&gt;""""),ROWS(FILTER(C$4:C1612,C$4:C1612&lt;&gt;""""))),$AC$5+E1613))"),"")</f>
        <v/>
      </c>
      <c r="G1613" s="10" t="str">
        <f>IFERROR(__xludf.DUMMYFUNCTION("IF(COUNTA(C1613:C1644)=0,"""",IF(C1613="""",0,IF(REGEXMATCH(C1613,""^Sell_""),-ROUNDDOWN(ROUNDUP(INDEX(Upgrades!$C$3:$C$13,MATCH(SUBSTITUTE(C1613,""Sell_"",""""),Upgrades!$B$3:$B$13,0))*1.15^(COUNTIF(C$4:C1612,SUBSTITUTE(C1613,""Sell_"",""""))-COUNTIF(C$4"&amp;":C1612,""Sell_""&amp;SUBSTITUTE(C1613,""Sell_"",""""))))/2),ROUNDUP(INDEX(Upgrades!$C$3:$C$13,MATCH(C1613,Upgrades!$B$3:$B$13,0))*1.15^(COUNTIF(C$4:C1612,C1613)-COUNTIF(C$4:C1612,""Sell_""&amp;C1613))))))"),"")</f>
        <v/>
      </c>
      <c r="H1613" s="10" t="str">
        <f t="shared" si="3"/>
        <v/>
      </c>
      <c r="I1613" s="68" t="str">
        <f t="shared" si="4"/>
        <v/>
      </c>
      <c r="J1613" s="59" t="str">
        <f t="shared" si="5"/>
        <v/>
      </c>
      <c r="K1613" s="69" t="str">
        <f t="shared" si="6"/>
        <v/>
      </c>
      <c r="L1613" s="60" t="str">
        <f t="shared" si="7"/>
        <v/>
      </c>
      <c r="M1613" s="61" t="str">
        <f>IFERROR(__xludf.DUMMYFUNCTION("IFS(AND(COUNTA(C1613:C1644)=0,COUNTA(Q1613:Q1644)=0),"""",OR(AND(K1613&gt;=1000000000,OR(Y1613&gt;=1000000000,COUNTA(Q1613:Q1644)=0)),OR(Y1613&gt;=1000000000,AND(COUNTA(C1613:C1644)=0,P$3=TRUE))),
ROUNDDOWN((AB$1-AC$1)*MAX(INDEX(T$4:T1644,MATCH(LARGE(FILTER(Y$4:Y1"&amp;"644,Y$4:Y1644&lt;1000000000),1),Y$4:Y1644)),INDEX(F$4:F1644,MATCH(LARGE(FILTER(K$4:K1644,K$4:K1644&lt;1000000000),1),K$4:K1644)))),AND(K1613&lt;1000000000,COUNTA(C1613:C1644)&gt;0,P$3=FALSE),
ROUNDDOWN(INDEX(Y$4:Y1644,MATCH(LARGE(FILTER(W$4:W1644,W$4:W1644&lt;=I1613),1)"&amp;",W$4:W1644))+(I1613-LARGE(FILTER(W$4:W1644,W$4:W1644&lt;=I1613),1))*INDEX(T$4:T1644,MATCH(LARGE(FILTER(W$4:W1644,W$4:W1644&lt;=I1613),1),W$4:W1644))-K1613),1,
ROUNDDOWN(Y1613-INDEX(K$4:K1644,MATCH(LARGE(FILTER(I$4:I1644,I$4:I1644&lt;=W1613),1),I$4:I1644))-(W1613-L"&amp;"ARGE(FILTER(I$4:I1644,I$4:I1644&lt;=W1613),1))*INDEX(F$4:F1644,MATCH(LARGE(FILTER(I$4:I1644,I$4:I1644&lt;=W1613),1),I$4:I1644))))"),"")</f>
        <v/>
      </c>
      <c r="N1613" s="60" t="str">
        <f t="shared" si="8"/>
        <v/>
      </c>
      <c r="O1613" s="61" t="str">
        <f t="shared" si="9"/>
        <v/>
      </c>
      <c r="P1613" s="56" t="str">
        <f t="shared" si="10"/>
        <v/>
      </c>
      <c r="Q1613" s="105"/>
      <c r="R1613" s="10"/>
      <c r="S1613" s="59" t="str">
        <f t="array" ref="S1613">IF(COUNTA(Q1613:Q1644)=0,"",SUM((COUNTIF(Q$4:Q1613,Upgrades!$B$3:$B$13)-COUNTIF(Q$4:Q1613,"Sell_"&amp;Upgrades!$B$3:$B$13))*Upgrades!$D$3:$D$13))</f>
        <v/>
      </c>
      <c r="T1613" s="66" t="str">
        <f>IFERROR(__xludf.DUMMYFUNCTION("IF(COUNTA(Q1613:Q1644)=0,"""",IF(REGEXMATCH(INDEX(FILTER(Q$4:Q1613,Q$4:Q1613&lt;&gt;""""),ROWS(FILTER(Q$4:Q1613,Q$4:Q1613&lt;&gt;""""))),""^Sell_""),INDEX(FILTER(T$4:T1612,Q$4:Q1612&lt;&gt;""""),ROWS(FILTER(Q$4:Q1612,Q$4:Q1612&lt;&gt;""""))),$AD$5+S1613))"),"")</f>
        <v/>
      </c>
      <c r="U1613" s="10" t="str">
        <f>IFERROR(__xludf.DUMMYFUNCTION("IF(COUNTA(Q1613:Q1644)=0,"""",IF(Q1613="""",0,IF(REGEXMATCH(Q1613,""^Sell_""),-ROUNDDOWN(ROUNDUP(INDEX(Upgrades!$C$3:$C$13,MATCH(SUBSTITUTE(Q1613,""Sell_"",""""),Upgrades!$B$3:$B$13,0))*1.15^(COUNTIF(Q$4:Q1612,SUBSTITUTE(Q1613,""Sell_"",""""))-COUNTIF(Q$4"&amp;":Q1612,""Sell_""&amp;SUBSTITUTE(Q1613,""Sell_"",""""))))/2),ROUNDUP(INDEX(Upgrades!$C$3:$C$13,MATCH(Q1613,Upgrades!$B$3:$B$13,0))*1.15^(COUNTIF(Q$4:Q1612,Q1613)-COUNTIF(Q$4:Q1612,""Sell_""&amp;Q1613))))))"),"")</f>
        <v/>
      </c>
      <c r="V1613" s="10" t="str">
        <f t="shared" si="11"/>
        <v/>
      </c>
      <c r="W1613" s="68" t="str">
        <f t="shared" si="12"/>
        <v/>
      </c>
      <c r="X1613" s="59" t="str">
        <f t="shared" si="13"/>
        <v/>
      </c>
      <c r="Y1613" s="69" t="str">
        <f t="shared" si="14"/>
        <v/>
      </c>
      <c r="Z1613" s="11"/>
      <c r="AG1613" s="59"/>
    </row>
    <row r="1614">
      <c r="A1614" s="8"/>
      <c r="B1614" s="56" t="str">
        <f t="shared" si="2"/>
        <v/>
      </c>
      <c r="C1614" s="105"/>
      <c r="D1614" s="10"/>
      <c r="E1614" s="59" t="str">
        <f t="array" ref="E1614">IF(COUNTA(C1614:C1644)=0,"",SUM((COUNTIF(C$4:C1614,Upgrades!$B$3:$B$13)-COUNTIF(C$4:C1614,"Sell_"&amp;Upgrades!$B$3:$B$13))*Upgrades!$D$3:$D$13))</f>
        <v/>
      </c>
      <c r="F1614" s="66" t="str">
        <f>IFERROR(__xludf.DUMMYFUNCTION("IF(COUNTA(C1614:C1644)=0,"""",IF(REGEXMATCH(INDEX(FILTER(C$4:C1614,C$4:C1614&lt;&gt;""""),ROWS(FILTER(C$4:C1614,C$4:C1614&lt;&gt;""""))),""^Sell_""),INDEX(FILTER(F$4:F1613,C$4:C1613&lt;&gt;""""),ROWS(FILTER(C$4:C1613,C$4:C1613&lt;&gt;""""))),$AC$5+E1614))"),"")</f>
        <v/>
      </c>
      <c r="G1614" s="10" t="str">
        <f>IFERROR(__xludf.DUMMYFUNCTION("IF(COUNTA(C1614:C1644)=0,"""",IF(C1614="""",0,IF(REGEXMATCH(C1614,""^Sell_""),-ROUNDDOWN(ROUNDUP(INDEX(Upgrades!$C$3:$C$13,MATCH(SUBSTITUTE(C1614,""Sell_"",""""),Upgrades!$B$3:$B$13,0))*1.15^(COUNTIF(C$4:C1613,SUBSTITUTE(C1614,""Sell_"",""""))-COUNTIF(C$4"&amp;":C1613,""Sell_""&amp;SUBSTITUTE(C1614,""Sell_"",""""))))/2),ROUNDUP(INDEX(Upgrades!$C$3:$C$13,MATCH(C1614,Upgrades!$B$3:$B$13,0))*1.15^(COUNTIF(C$4:C1613,C1614)-COUNTIF(C$4:C1613,""Sell_""&amp;C1614))))))"),"")</f>
        <v/>
      </c>
      <c r="H1614" s="10" t="str">
        <f t="shared" si="3"/>
        <v/>
      </c>
      <c r="I1614" s="68" t="str">
        <f t="shared" si="4"/>
        <v/>
      </c>
      <c r="J1614" s="59" t="str">
        <f t="shared" si="5"/>
        <v/>
      </c>
      <c r="K1614" s="69" t="str">
        <f t="shared" si="6"/>
        <v/>
      </c>
      <c r="L1614" s="60" t="str">
        <f t="shared" si="7"/>
        <v/>
      </c>
      <c r="M1614" s="61" t="str">
        <f>IFERROR(__xludf.DUMMYFUNCTION("IFS(AND(COUNTA(C1614:C1644)=0,COUNTA(Q1614:Q1644)=0),"""",OR(AND(K1614&gt;=1000000000,OR(Y1614&gt;=1000000000,COUNTA(Q1614:Q1644)=0)),OR(Y1614&gt;=1000000000,AND(COUNTA(C1614:C1644)=0,P$3=TRUE))),
ROUNDDOWN((AB$1-AC$1)*MAX(INDEX(T$4:T1644,MATCH(LARGE(FILTER(Y$4:Y1"&amp;"644,Y$4:Y1644&lt;1000000000),1),Y$4:Y1644)),INDEX(F$4:F1644,MATCH(LARGE(FILTER(K$4:K1644,K$4:K1644&lt;1000000000),1),K$4:K1644)))),AND(K1614&lt;1000000000,COUNTA(C1614:C1644)&gt;0,P$3=FALSE),
ROUNDDOWN(INDEX(Y$4:Y1644,MATCH(LARGE(FILTER(W$4:W1644,W$4:W1644&lt;=I1614),1)"&amp;",W$4:W1644))+(I1614-LARGE(FILTER(W$4:W1644,W$4:W1644&lt;=I1614),1))*INDEX(T$4:T1644,MATCH(LARGE(FILTER(W$4:W1644,W$4:W1644&lt;=I1614),1),W$4:W1644))-K1614),1,
ROUNDDOWN(Y1614-INDEX(K$4:K1644,MATCH(LARGE(FILTER(I$4:I1644,I$4:I1644&lt;=W1614),1),I$4:I1644))-(W1614-L"&amp;"ARGE(FILTER(I$4:I1644,I$4:I1644&lt;=W1614),1))*INDEX(F$4:F1644,MATCH(LARGE(FILTER(I$4:I1644,I$4:I1644&lt;=W1614),1),I$4:I1644))))"),"")</f>
        <v/>
      </c>
      <c r="N1614" s="60" t="str">
        <f t="shared" si="8"/>
        <v/>
      </c>
      <c r="O1614" s="61" t="str">
        <f t="shared" si="9"/>
        <v/>
      </c>
      <c r="P1614" s="56" t="str">
        <f t="shared" si="10"/>
        <v/>
      </c>
      <c r="Q1614" s="105"/>
      <c r="R1614" s="10"/>
      <c r="S1614" s="59" t="str">
        <f t="array" ref="S1614">IF(COUNTA(Q1614:Q1644)=0,"",SUM((COUNTIF(Q$4:Q1614,Upgrades!$B$3:$B$13)-COUNTIF(Q$4:Q1614,"Sell_"&amp;Upgrades!$B$3:$B$13))*Upgrades!$D$3:$D$13))</f>
        <v/>
      </c>
      <c r="T1614" s="66" t="str">
        <f>IFERROR(__xludf.DUMMYFUNCTION("IF(COUNTA(Q1614:Q1644)=0,"""",IF(REGEXMATCH(INDEX(FILTER(Q$4:Q1614,Q$4:Q1614&lt;&gt;""""),ROWS(FILTER(Q$4:Q1614,Q$4:Q1614&lt;&gt;""""))),""^Sell_""),INDEX(FILTER(T$4:T1613,Q$4:Q1613&lt;&gt;""""),ROWS(FILTER(Q$4:Q1613,Q$4:Q1613&lt;&gt;""""))),$AD$5+S1614))"),"")</f>
        <v/>
      </c>
      <c r="U1614" s="10" t="str">
        <f>IFERROR(__xludf.DUMMYFUNCTION("IF(COUNTA(Q1614:Q1644)=0,"""",IF(Q1614="""",0,IF(REGEXMATCH(Q1614,""^Sell_""),-ROUNDDOWN(ROUNDUP(INDEX(Upgrades!$C$3:$C$13,MATCH(SUBSTITUTE(Q1614,""Sell_"",""""),Upgrades!$B$3:$B$13,0))*1.15^(COUNTIF(Q$4:Q1613,SUBSTITUTE(Q1614,""Sell_"",""""))-COUNTIF(Q$4"&amp;":Q1613,""Sell_""&amp;SUBSTITUTE(Q1614,""Sell_"",""""))))/2),ROUNDUP(INDEX(Upgrades!$C$3:$C$13,MATCH(Q1614,Upgrades!$B$3:$B$13,0))*1.15^(COUNTIF(Q$4:Q1613,Q1614)-COUNTIF(Q$4:Q1613,""Sell_""&amp;Q1614))))))"),"")</f>
        <v/>
      </c>
      <c r="V1614" s="10" t="str">
        <f t="shared" si="11"/>
        <v/>
      </c>
      <c r="W1614" s="68" t="str">
        <f t="shared" si="12"/>
        <v/>
      </c>
      <c r="X1614" s="59" t="str">
        <f t="shared" si="13"/>
        <v/>
      </c>
      <c r="Y1614" s="69" t="str">
        <f t="shared" si="14"/>
        <v/>
      </c>
      <c r="Z1614" s="11"/>
      <c r="AG1614" s="59"/>
    </row>
    <row r="1615">
      <c r="A1615" s="8"/>
      <c r="B1615" s="56" t="str">
        <f t="shared" si="2"/>
        <v/>
      </c>
      <c r="C1615" s="105"/>
      <c r="D1615" s="10"/>
      <c r="E1615" s="59" t="str">
        <f t="array" ref="E1615">IF(COUNTA(C1615:C1644)=0,"",SUM((COUNTIF(C$4:C1615,Upgrades!$B$3:$B$13)-COUNTIF(C$4:C1615,"Sell_"&amp;Upgrades!$B$3:$B$13))*Upgrades!$D$3:$D$13))</f>
        <v/>
      </c>
      <c r="F1615" s="66" t="str">
        <f>IFERROR(__xludf.DUMMYFUNCTION("IF(COUNTA(C1615:C1644)=0,"""",IF(REGEXMATCH(INDEX(FILTER(C$4:C1615,C$4:C1615&lt;&gt;""""),ROWS(FILTER(C$4:C1615,C$4:C1615&lt;&gt;""""))),""^Sell_""),INDEX(FILTER(F$4:F1614,C$4:C1614&lt;&gt;""""),ROWS(FILTER(C$4:C1614,C$4:C1614&lt;&gt;""""))),$AC$5+E1615))"),"")</f>
        <v/>
      </c>
      <c r="G1615" s="10" t="str">
        <f>IFERROR(__xludf.DUMMYFUNCTION("IF(COUNTA(C1615:C1644)=0,"""",IF(C1615="""",0,IF(REGEXMATCH(C1615,""^Sell_""),-ROUNDDOWN(ROUNDUP(INDEX(Upgrades!$C$3:$C$13,MATCH(SUBSTITUTE(C1615,""Sell_"",""""),Upgrades!$B$3:$B$13,0))*1.15^(COUNTIF(C$4:C1614,SUBSTITUTE(C1615,""Sell_"",""""))-COUNTIF(C$4"&amp;":C1614,""Sell_""&amp;SUBSTITUTE(C1615,""Sell_"",""""))))/2),ROUNDUP(INDEX(Upgrades!$C$3:$C$13,MATCH(C1615,Upgrades!$B$3:$B$13,0))*1.15^(COUNTIF(C$4:C1614,C1615)-COUNTIF(C$4:C1614,""Sell_""&amp;C1615))))))"),"")</f>
        <v/>
      </c>
      <c r="H1615" s="10" t="str">
        <f t="shared" si="3"/>
        <v/>
      </c>
      <c r="I1615" s="68" t="str">
        <f t="shared" si="4"/>
        <v/>
      </c>
      <c r="J1615" s="59" t="str">
        <f t="shared" si="5"/>
        <v/>
      </c>
      <c r="K1615" s="69" t="str">
        <f t="shared" si="6"/>
        <v/>
      </c>
      <c r="L1615" s="60" t="str">
        <f t="shared" si="7"/>
        <v/>
      </c>
      <c r="M1615" s="61" t="str">
        <f>IFERROR(__xludf.DUMMYFUNCTION("IFS(AND(COUNTA(C1615:C1644)=0,COUNTA(Q1615:Q1644)=0),"""",OR(AND(K1615&gt;=1000000000,OR(Y1615&gt;=1000000000,COUNTA(Q1615:Q1644)=0)),OR(Y1615&gt;=1000000000,AND(COUNTA(C1615:C1644)=0,P$3=TRUE))),
ROUNDDOWN((AB$1-AC$1)*MAX(INDEX(T$4:T1644,MATCH(LARGE(FILTER(Y$4:Y1"&amp;"644,Y$4:Y1644&lt;1000000000),1),Y$4:Y1644)),INDEX(F$4:F1644,MATCH(LARGE(FILTER(K$4:K1644,K$4:K1644&lt;1000000000),1),K$4:K1644)))),AND(K1615&lt;1000000000,COUNTA(C1615:C1644)&gt;0,P$3=FALSE),
ROUNDDOWN(INDEX(Y$4:Y1644,MATCH(LARGE(FILTER(W$4:W1644,W$4:W1644&lt;=I1615),1)"&amp;",W$4:W1644))+(I1615-LARGE(FILTER(W$4:W1644,W$4:W1644&lt;=I1615),1))*INDEX(T$4:T1644,MATCH(LARGE(FILTER(W$4:W1644,W$4:W1644&lt;=I1615),1),W$4:W1644))-K1615),1,
ROUNDDOWN(Y1615-INDEX(K$4:K1644,MATCH(LARGE(FILTER(I$4:I1644,I$4:I1644&lt;=W1615),1),I$4:I1644))-(W1615-L"&amp;"ARGE(FILTER(I$4:I1644,I$4:I1644&lt;=W1615),1))*INDEX(F$4:F1644,MATCH(LARGE(FILTER(I$4:I1644,I$4:I1644&lt;=W1615),1),I$4:I1644))))"),"")</f>
        <v/>
      </c>
      <c r="N1615" s="60" t="str">
        <f t="shared" si="8"/>
        <v/>
      </c>
      <c r="O1615" s="61" t="str">
        <f t="shared" si="9"/>
        <v/>
      </c>
      <c r="P1615" s="56" t="str">
        <f t="shared" si="10"/>
        <v/>
      </c>
      <c r="Q1615" s="105"/>
      <c r="R1615" s="10"/>
      <c r="S1615" s="59" t="str">
        <f t="array" ref="S1615">IF(COUNTA(Q1615:Q1644)=0,"",SUM((COUNTIF(Q$4:Q1615,Upgrades!$B$3:$B$13)-COUNTIF(Q$4:Q1615,"Sell_"&amp;Upgrades!$B$3:$B$13))*Upgrades!$D$3:$D$13))</f>
        <v/>
      </c>
      <c r="T1615" s="66" t="str">
        <f>IFERROR(__xludf.DUMMYFUNCTION("IF(COUNTA(Q1615:Q1644)=0,"""",IF(REGEXMATCH(INDEX(FILTER(Q$4:Q1615,Q$4:Q1615&lt;&gt;""""),ROWS(FILTER(Q$4:Q1615,Q$4:Q1615&lt;&gt;""""))),""^Sell_""),INDEX(FILTER(T$4:T1614,Q$4:Q1614&lt;&gt;""""),ROWS(FILTER(Q$4:Q1614,Q$4:Q1614&lt;&gt;""""))),$AD$5+S1615))"),"")</f>
        <v/>
      </c>
      <c r="U1615" s="10" t="str">
        <f>IFERROR(__xludf.DUMMYFUNCTION("IF(COUNTA(Q1615:Q1644)=0,"""",IF(Q1615="""",0,IF(REGEXMATCH(Q1615,""^Sell_""),-ROUNDDOWN(ROUNDUP(INDEX(Upgrades!$C$3:$C$13,MATCH(SUBSTITUTE(Q1615,""Sell_"",""""),Upgrades!$B$3:$B$13,0))*1.15^(COUNTIF(Q$4:Q1614,SUBSTITUTE(Q1615,""Sell_"",""""))-COUNTIF(Q$4"&amp;":Q1614,""Sell_""&amp;SUBSTITUTE(Q1615,""Sell_"",""""))))/2),ROUNDUP(INDEX(Upgrades!$C$3:$C$13,MATCH(Q1615,Upgrades!$B$3:$B$13,0))*1.15^(COUNTIF(Q$4:Q1614,Q1615)-COUNTIF(Q$4:Q1614,""Sell_""&amp;Q1615))))))"),"")</f>
        <v/>
      </c>
      <c r="V1615" s="10" t="str">
        <f t="shared" si="11"/>
        <v/>
      </c>
      <c r="W1615" s="68" t="str">
        <f t="shared" si="12"/>
        <v/>
      </c>
      <c r="X1615" s="59" t="str">
        <f t="shared" si="13"/>
        <v/>
      </c>
      <c r="Y1615" s="69" t="str">
        <f t="shared" si="14"/>
        <v/>
      </c>
      <c r="Z1615" s="11"/>
      <c r="AG1615" s="59"/>
    </row>
    <row r="1616">
      <c r="A1616" s="8"/>
      <c r="B1616" s="56" t="str">
        <f t="shared" si="2"/>
        <v/>
      </c>
      <c r="C1616" s="105"/>
      <c r="D1616" s="10"/>
      <c r="E1616" s="59" t="str">
        <f t="array" ref="E1616">IF(COUNTA(C1616:C1644)=0,"",SUM((COUNTIF(C$4:C1616,Upgrades!$B$3:$B$13)-COUNTIF(C$4:C1616,"Sell_"&amp;Upgrades!$B$3:$B$13))*Upgrades!$D$3:$D$13))</f>
        <v/>
      </c>
      <c r="F1616" s="66" t="str">
        <f>IFERROR(__xludf.DUMMYFUNCTION("IF(COUNTA(C1616:C1644)=0,"""",IF(REGEXMATCH(INDEX(FILTER(C$4:C1616,C$4:C1616&lt;&gt;""""),ROWS(FILTER(C$4:C1616,C$4:C1616&lt;&gt;""""))),""^Sell_""),INDEX(FILTER(F$4:F1615,C$4:C1615&lt;&gt;""""),ROWS(FILTER(C$4:C1615,C$4:C1615&lt;&gt;""""))),$AC$5+E1616))"),"")</f>
        <v/>
      </c>
      <c r="G1616" s="10" t="str">
        <f>IFERROR(__xludf.DUMMYFUNCTION("IF(COUNTA(C1616:C1644)=0,"""",IF(C1616="""",0,IF(REGEXMATCH(C1616,""^Sell_""),-ROUNDDOWN(ROUNDUP(INDEX(Upgrades!$C$3:$C$13,MATCH(SUBSTITUTE(C1616,""Sell_"",""""),Upgrades!$B$3:$B$13,0))*1.15^(COUNTIF(C$4:C1615,SUBSTITUTE(C1616,""Sell_"",""""))-COUNTIF(C$4"&amp;":C1615,""Sell_""&amp;SUBSTITUTE(C1616,""Sell_"",""""))))/2),ROUNDUP(INDEX(Upgrades!$C$3:$C$13,MATCH(C1616,Upgrades!$B$3:$B$13,0))*1.15^(COUNTIF(C$4:C1615,C1616)-COUNTIF(C$4:C1615,""Sell_""&amp;C1616))))))"),"")</f>
        <v/>
      </c>
      <c r="H1616" s="10" t="str">
        <f t="shared" si="3"/>
        <v/>
      </c>
      <c r="I1616" s="68" t="str">
        <f t="shared" si="4"/>
        <v/>
      </c>
      <c r="J1616" s="59" t="str">
        <f t="shared" si="5"/>
        <v/>
      </c>
      <c r="K1616" s="69" t="str">
        <f t="shared" si="6"/>
        <v/>
      </c>
      <c r="L1616" s="60" t="str">
        <f t="shared" si="7"/>
        <v/>
      </c>
      <c r="M1616" s="61" t="str">
        <f>IFERROR(__xludf.DUMMYFUNCTION("IFS(AND(COUNTA(C1616:C1644)=0,COUNTA(Q1616:Q1644)=0),"""",OR(AND(K1616&gt;=1000000000,OR(Y1616&gt;=1000000000,COUNTA(Q1616:Q1644)=0)),OR(Y1616&gt;=1000000000,AND(COUNTA(C1616:C1644)=0,P$3=TRUE))),
ROUNDDOWN((AB$1-AC$1)*MAX(INDEX(T$4:T1644,MATCH(LARGE(FILTER(Y$4:Y1"&amp;"644,Y$4:Y1644&lt;1000000000),1),Y$4:Y1644)),INDEX(F$4:F1644,MATCH(LARGE(FILTER(K$4:K1644,K$4:K1644&lt;1000000000),1),K$4:K1644)))),AND(K1616&lt;1000000000,COUNTA(C1616:C1644)&gt;0,P$3=FALSE),
ROUNDDOWN(INDEX(Y$4:Y1644,MATCH(LARGE(FILTER(W$4:W1644,W$4:W1644&lt;=I1616),1)"&amp;",W$4:W1644))+(I1616-LARGE(FILTER(W$4:W1644,W$4:W1644&lt;=I1616),1))*INDEX(T$4:T1644,MATCH(LARGE(FILTER(W$4:W1644,W$4:W1644&lt;=I1616),1),W$4:W1644))-K1616),1,
ROUNDDOWN(Y1616-INDEX(K$4:K1644,MATCH(LARGE(FILTER(I$4:I1644,I$4:I1644&lt;=W1616),1),I$4:I1644))-(W1616-L"&amp;"ARGE(FILTER(I$4:I1644,I$4:I1644&lt;=W1616),1))*INDEX(F$4:F1644,MATCH(LARGE(FILTER(I$4:I1644,I$4:I1644&lt;=W1616),1),I$4:I1644))))"),"")</f>
        <v/>
      </c>
      <c r="N1616" s="60" t="str">
        <f t="shared" si="8"/>
        <v/>
      </c>
      <c r="O1616" s="61" t="str">
        <f t="shared" si="9"/>
        <v/>
      </c>
      <c r="P1616" s="56" t="str">
        <f t="shared" si="10"/>
        <v/>
      </c>
      <c r="Q1616" s="105"/>
      <c r="R1616" s="10"/>
      <c r="S1616" s="59" t="str">
        <f t="array" ref="S1616">IF(COUNTA(Q1616:Q1644)=0,"",SUM((COUNTIF(Q$4:Q1616,Upgrades!$B$3:$B$13)-COUNTIF(Q$4:Q1616,"Sell_"&amp;Upgrades!$B$3:$B$13))*Upgrades!$D$3:$D$13))</f>
        <v/>
      </c>
      <c r="T1616" s="66" t="str">
        <f>IFERROR(__xludf.DUMMYFUNCTION("IF(COUNTA(Q1616:Q1644)=0,"""",IF(REGEXMATCH(INDEX(FILTER(Q$4:Q1616,Q$4:Q1616&lt;&gt;""""),ROWS(FILTER(Q$4:Q1616,Q$4:Q1616&lt;&gt;""""))),""^Sell_""),INDEX(FILTER(T$4:T1615,Q$4:Q1615&lt;&gt;""""),ROWS(FILTER(Q$4:Q1615,Q$4:Q1615&lt;&gt;""""))),$AD$5+S1616))"),"")</f>
        <v/>
      </c>
      <c r="U1616" s="10" t="str">
        <f>IFERROR(__xludf.DUMMYFUNCTION("IF(COUNTA(Q1616:Q1644)=0,"""",IF(Q1616="""",0,IF(REGEXMATCH(Q1616,""^Sell_""),-ROUNDDOWN(ROUNDUP(INDEX(Upgrades!$C$3:$C$13,MATCH(SUBSTITUTE(Q1616,""Sell_"",""""),Upgrades!$B$3:$B$13,0))*1.15^(COUNTIF(Q$4:Q1615,SUBSTITUTE(Q1616,""Sell_"",""""))-COUNTIF(Q$4"&amp;":Q1615,""Sell_""&amp;SUBSTITUTE(Q1616,""Sell_"",""""))))/2),ROUNDUP(INDEX(Upgrades!$C$3:$C$13,MATCH(Q1616,Upgrades!$B$3:$B$13,0))*1.15^(COUNTIF(Q$4:Q1615,Q1616)-COUNTIF(Q$4:Q1615,""Sell_""&amp;Q1616))))))"),"")</f>
        <v/>
      </c>
      <c r="V1616" s="10" t="str">
        <f t="shared" si="11"/>
        <v/>
      </c>
      <c r="W1616" s="68" t="str">
        <f t="shared" si="12"/>
        <v/>
      </c>
      <c r="X1616" s="59" t="str">
        <f t="shared" si="13"/>
        <v/>
      </c>
      <c r="Y1616" s="69" t="str">
        <f t="shared" si="14"/>
        <v/>
      </c>
      <c r="Z1616" s="11"/>
      <c r="AG1616" s="59"/>
    </row>
    <row r="1617">
      <c r="A1617" s="8"/>
      <c r="B1617" s="56" t="str">
        <f t="shared" si="2"/>
        <v/>
      </c>
      <c r="C1617" s="105"/>
      <c r="D1617" s="10"/>
      <c r="E1617" s="59" t="str">
        <f t="array" ref="E1617">IF(COUNTA(C1617:C1644)=0,"",SUM((COUNTIF(C$4:C1617,Upgrades!$B$3:$B$13)-COUNTIF(C$4:C1617,"Sell_"&amp;Upgrades!$B$3:$B$13))*Upgrades!$D$3:$D$13))</f>
        <v/>
      </c>
      <c r="F1617" s="66" t="str">
        <f>IFERROR(__xludf.DUMMYFUNCTION("IF(COUNTA(C1617:C1644)=0,"""",IF(REGEXMATCH(INDEX(FILTER(C$4:C1617,C$4:C1617&lt;&gt;""""),ROWS(FILTER(C$4:C1617,C$4:C1617&lt;&gt;""""))),""^Sell_""),INDEX(FILTER(F$4:F1616,C$4:C1616&lt;&gt;""""),ROWS(FILTER(C$4:C1616,C$4:C1616&lt;&gt;""""))),$AC$5+E1617))"),"")</f>
        <v/>
      </c>
      <c r="G1617" s="10" t="str">
        <f>IFERROR(__xludf.DUMMYFUNCTION("IF(COUNTA(C1617:C1644)=0,"""",IF(C1617="""",0,IF(REGEXMATCH(C1617,""^Sell_""),-ROUNDDOWN(ROUNDUP(INDEX(Upgrades!$C$3:$C$13,MATCH(SUBSTITUTE(C1617,""Sell_"",""""),Upgrades!$B$3:$B$13,0))*1.15^(COUNTIF(C$4:C1616,SUBSTITUTE(C1617,""Sell_"",""""))-COUNTIF(C$4"&amp;":C1616,""Sell_""&amp;SUBSTITUTE(C1617,""Sell_"",""""))))/2),ROUNDUP(INDEX(Upgrades!$C$3:$C$13,MATCH(C1617,Upgrades!$B$3:$B$13,0))*1.15^(COUNTIF(C$4:C1616,C1617)-COUNTIF(C$4:C1616,""Sell_""&amp;C1617))))))"),"")</f>
        <v/>
      </c>
      <c r="H1617" s="10" t="str">
        <f t="shared" si="3"/>
        <v/>
      </c>
      <c r="I1617" s="68" t="str">
        <f t="shared" si="4"/>
        <v/>
      </c>
      <c r="J1617" s="59" t="str">
        <f t="shared" si="5"/>
        <v/>
      </c>
      <c r="K1617" s="69" t="str">
        <f t="shared" si="6"/>
        <v/>
      </c>
      <c r="L1617" s="60" t="str">
        <f t="shared" si="7"/>
        <v/>
      </c>
      <c r="M1617" s="61" t="str">
        <f>IFERROR(__xludf.DUMMYFUNCTION("IFS(AND(COUNTA(C1617:C1644)=0,COUNTA(Q1617:Q1644)=0),"""",OR(AND(K1617&gt;=1000000000,OR(Y1617&gt;=1000000000,COUNTA(Q1617:Q1644)=0)),OR(Y1617&gt;=1000000000,AND(COUNTA(C1617:C1644)=0,P$3=TRUE))),
ROUNDDOWN((AB$1-AC$1)*MAX(INDEX(T$4:T1644,MATCH(LARGE(FILTER(Y$4:Y1"&amp;"644,Y$4:Y1644&lt;1000000000),1),Y$4:Y1644)),INDEX(F$4:F1644,MATCH(LARGE(FILTER(K$4:K1644,K$4:K1644&lt;1000000000),1),K$4:K1644)))),AND(K1617&lt;1000000000,COUNTA(C1617:C1644)&gt;0,P$3=FALSE),
ROUNDDOWN(INDEX(Y$4:Y1644,MATCH(LARGE(FILTER(W$4:W1644,W$4:W1644&lt;=I1617),1)"&amp;",W$4:W1644))+(I1617-LARGE(FILTER(W$4:W1644,W$4:W1644&lt;=I1617),1))*INDEX(T$4:T1644,MATCH(LARGE(FILTER(W$4:W1644,W$4:W1644&lt;=I1617),1),W$4:W1644))-K1617),1,
ROUNDDOWN(Y1617-INDEX(K$4:K1644,MATCH(LARGE(FILTER(I$4:I1644,I$4:I1644&lt;=W1617),1),I$4:I1644))-(W1617-L"&amp;"ARGE(FILTER(I$4:I1644,I$4:I1644&lt;=W1617),1))*INDEX(F$4:F1644,MATCH(LARGE(FILTER(I$4:I1644,I$4:I1644&lt;=W1617),1),I$4:I1644))))"),"")</f>
        <v/>
      </c>
      <c r="N1617" s="60" t="str">
        <f t="shared" si="8"/>
        <v/>
      </c>
      <c r="O1617" s="61" t="str">
        <f t="shared" si="9"/>
        <v/>
      </c>
      <c r="P1617" s="56" t="str">
        <f t="shared" si="10"/>
        <v/>
      </c>
      <c r="Q1617" s="105"/>
      <c r="R1617" s="10"/>
      <c r="S1617" s="59" t="str">
        <f t="array" ref="S1617">IF(COUNTA(Q1617:Q1644)=0,"",SUM((COUNTIF(Q$4:Q1617,Upgrades!$B$3:$B$13)-COUNTIF(Q$4:Q1617,"Sell_"&amp;Upgrades!$B$3:$B$13))*Upgrades!$D$3:$D$13))</f>
        <v/>
      </c>
      <c r="T1617" s="66" t="str">
        <f>IFERROR(__xludf.DUMMYFUNCTION("IF(COUNTA(Q1617:Q1644)=0,"""",IF(REGEXMATCH(INDEX(FILTER(Q$4:Q1617,Q$4:Q1617&lt;&gt;""""),ROWS(FILTER(Q$4:Q1617,Q$4:Q1617&lt;&gt;""""))),""^Sell_""),INDEX(FILTER(T$4:T1616,Q$4:Q1616&lt;&gt;""""),ROWS(FILTER(Q$4:Q1616,Q$4:Q1616&lt;&gt;""""))),$AD$5+S1617))"),"")</f>
        <v/>
      </c>
      <c r="U1617" s="10" t="str">
        <f>IFERROR(__xludf.DUMMYFUNCTION("IF(COUNTA(Q1617:Q1644)=0,"""",IF(Q1617="""",0,IF(REGEXMATCH(Q1617,""^Sell_""),-ROUNDDOWN(ROUNDUP(INDEX(Upgrades!$C$3:$C$13,MATCH(SUBSTITUTE(Q1617,""Sell_"",""""),Upgrades!$B$3:$B$13,0))*1.15^(COUNTIF(Q$4:Q1616,SUBSTITUTE(Q1617,""Sell_"",""""))-COUNTIF(Q$4"&amp;":Q1616,""Sell_""&amp;SUBSTITUTE(Q1617,""Sell_"",""""))))/2),ROUNDUP(INDEX(Upgrades!$C$3:$C$13,MATCH(Q1617,Upgrades!$B$3:$B$13,0))*1.15^(COUNTIF(Q$4:Q1616,Q1617)-COUNTIF(Q$4:Q1616,""Sell_""&amp;Q1617))))))"),"")</f>
        <v/>
      </c>
      <c r="V1617" s="10" t="str">
        <f t="shared" si="11"/>
        <v/>
      </c>
      <c r="W1617" s="68" t="str">
        <f t="shared" si="12"/>
        <v/>
      </c>
      <c r="X1617" s="59" t="str">
        <f t="shared" si="13"/>
        <v/>
      </c>
      <c r="Y1617" s="69" t="str">
        <f t="shared" si="14"/>
        <v/>
      </c>
      <c r="Z1617" s="11"/>
      <c r="AG1617" s="59"/>
    </row>
    <row r="1618">
      <c r="A1618" s="8"/>
      <c r="B1618" s="56" t="str">
        <f t="shared" si="2"/>
        <v/>
      </c>
      <c r="C1618" s="105"/>
      <c r="D1618" s="10"/>
      <c r="E1618" s="59" t="str">
        <f t="array" ref="E1618">IF(COUNTA(C1618:C1644)=0,"",SUM((COUNTIF(C$4:C1618,Upgrades!$B$3:$B$13)-COUNTIF(C$4:C1618,"Sell_"&amp;Upgrades!$B$3:$B$13))*Upgrades!$D$3:$D$13))</f>
        <v/>
      </c>
      <c r="F1618" s="66" t="str">
        <f>IFERROR(__xludf.DUMMYFUNCTION("IF(COUNTA(C1618:C1644)=0,"""",IF(REGEXMATCH(INDEX(FILTER(C$4:C1618,C$4:C1618&lt;&gt;""""),ROWS(FILTER(C$4:C1618,C$4:C1618&lt;&gt;""""))),""^Sell_""),INDEX(FILTER(F$4:F1617,C$4:C1617&lt;&gt;""""),ROWS(FILTER(C$4:C1617,C$4:C1617&lt;&gt;""""))),$AC$5+E1618))"),"")</f>
        <v/>
      </c>
      <c r="G1618" s="10" t="str">
        <f>IFERROR(__xludf.DUMMYFUNCTION("IF(COUNTA(C1618:C1644)=0,"""",IF(C1618="""",0,IF(REGEXMATCH(C1618,""^Sell_""),-ROUNDDOWN(ROUNDUP(INDEX(Upgrades!$C$3:$C$13,MATCH(SUBSTITUTE(C1618,""Sell_"",""""),Upgrades!$B$3:$B$13,0))*1.15^(COUNTIF(C$4:C1617,SUBSTITUTE(C1618,""Sell_"",""""))-COUNTIF(C$4"&amp;":C1617,""Sell_""&amp;SUBSTITUTE(C1618,""Sell_"",""""))))/2),ROUNDUP(INDEX(Upgrades!$C$3:$C$13,MATCH(C1618,Upgrades!$B$3:$B$13,0))*1.15^(COUNTIF(C$4:C1617,C1618)-COUNTIF(C$4:C1617,""Sell_""&amp;C1618))))))"),"")</f>
        <v/>
      </c>
      <c r="H1618" s="10" t="str">
        <f t="shared" si="3"/>
        <v/>
      </c>
      <c r="I1618" s="68" t="str">
        <f t="shared" si="4"/>
        <v/>
      </c>
      <c r="J1618" s="59" t="str">
        <f t="shared" si="5"/>
        <v/>
      </c>
      <c r="K1618" s="69" t="str">
        <f t="shared" si="6"/>
        <v/>
      </c>
      <c r="L1618" s="60" t="str">
        <f t="shared" si="7"/>
        <v/>
      </c>
      <c r="M1618" s="61" t="str">
        <f>IFERROR(__xludf.DUMMYFUNCTION("IFS(AND(COUNTA(C1618:C1644)=0,COUNTA(Q1618:Q1644)=0),"""",OR(AND(K1618&gt;=1000000000,OR(Y1618&gt;=1000000000,COUNTA(Q1618:Q1644)=0)),OR(Y1618&gt;=1000000000,AND(COUNTA(C1618:C1644)=0,P$3=TRUE))),
ROUNDDOWN((AB$1-AC$1)*MAX(INDEX(T$4:T1644,MATCH(LARGE(FILTER(Y$4:Y1"&amp;"644,Y$4:Y1644&lt;1000000000),1),Y$4:Y1644)),INDEX(F$4:F1644,MATCH(LARGE(FILTER(K$4:K1644,K$4:K1644&lt;1000000000),1),K$4:K1644)))),AND(K1618&lt;1000000000,COUNTA(C1618:C1644)&gt;0,P$3=FALSE),
ROUNDDOWN(INDEX(Y$4:Y1644,MATCH(LARGE(FILTER(W$4:W1644,W$4:W1644&lt;=I1618),1)"&amp;",W$4:W1644))+(I1618-LARGE(FILTER(W$4:W1644,W$4:W1644&lt;=I1618),1))*INDEX(T$4:T1644,MATCH(LARGE(FILTER(W$4:W1644,W$4:W1644&lt;=I1618),1),W$4:W1644))-K1618),1,
ROUNDDOWN(Y1618-INDEX(K$4:K1644,MATCH(LARGE(FILTER(I$4:I1644,I$4:I1644&lt;=W1618),1),I$4:I1644))-(W1618-L"&amp;"ARGE(FILTER(I$4:I1644,I$4:I1644&lt;=W1618),1))*INDEX(F$4:F1644,MATCH(LARGE(FILTER(I$4:I1644,I$4:I1644&lt;=W1618),1),I$4:I1644))))"),"")</f>
        <v/>
      </c>
      <c r="N1618" s="60" t="str">
        <f t="shared" si="8"/>
        <v/>
      </c>
      <c r="O1618" s="61" t="str">
        <f t="shared" si="9"/>
        <v/>
      </c>
      <c r="P1618" s="56" t="str">
        <f t="shared" si="10"/>
        <v/>
      </c>
      <c r="Q1618" s="105"/>
      <c r="R1618" s="10"/>
      <c r="S1618" s="59" t="str">
        <f t="array" ref="S1618">IF(COUNTA(Q1618:Q1644)=0,"",SUM((COUNTIF(Q$4:Q1618,Upgrades!$B$3:$B$13)-COUNTIF(Q$4:Q1618,"Sell_"&amp;Upgrades!$B$3:$B$13))*Upgrades!$D$3:$D$13))</f>
        <v/>
      </c>
      <c r="T1618" s="66" t="str">
        <f>IFERROR(__xludf.DUMMYFUNCTION("IF(COUNTA(Q1618:Q1644)=0,"""",IF(REGEXMATCH(INDEX(FILTER(Q$4:Q1618,Q$4:Q1618&lt;&gt;""""),ROWS(FILTER(Q$4:Q1618,Q$4:Q1618&lt;&gt;""""))),""^Sell_""),INDEX(FILTER(T$4:T1617,Q$4:Q1617&lt;&gt;""""),ROWS(FILTER(Q$4:Q1617,Q$4:Q1617&lt;&gt;""""))),$AD$5+S1618))"),"")</f>
        <v/>
      </c>
      <c r="U1618" s="10" t="str">
        <f>IFERROR(__xludf.DUMMYFUNCTION("IF(COUNTA(Q1618:Q1644)=0,"""",IF(Q1618="""",0,IF(REGEXMATCH(Q1618,""^Sell_""),-ROUNDDOWN(ROUNDUP(INDEX(Upgrades!$C$3:$C$13,MATCH(SUBSTITUTE(Q1618,""Sell_"",""""),Upgrades!$B$3:$B$13,0))*1.15^(COUNTIF(Q$4:Q1617,SUBSTITUTE(Q1618,""Sell_"",""""))-COUNTIF(Q$4"&amp;":Q1617,""Sell_""&amp;SUBSTITUTE(Q1618,""Sell_"",""""))))/2),ROUNDUP(INDEX(Upgrades!$C$3:$C$13,MATCH(Q1618,Upgrades!$B$3:$B$13,0))*1.15^(COUNTIF(Q$4:Q1617,Q1618)-COUNTIF(Q$4:Q1617,""Sell_""&amp;Q1618))))))"),"")</f>
        <v/>
      </c>
      <c r="V1618" s="10" t="str">
        <f t="shared" si="11"/>
        <v/>
      </c>
      <c r="W1618" s="68" t="str">
        <f t="shared" si="12"/>
        <v/>
      </c>
      <c r="X1618" s="59" t="str">
        <f t="shared" si="13"/>
        <v/>
      </c>
      <c r="Y1618" s="69" t="str">
        <f t="shared" si="14"/>
        <v/>
      </c>
      <c r="Z1618" s="11"/>
      <c r="AG1618" s="59"/>
    </row>
    <row r="1619">
      <c r="A1619" s="8"/>
      <c r="B1619" s="56" t="str">
        <f t="shared" si="2"/>
        <v/>
      </c>
      <c r="C1619" s="105"/>
      <c r="D1619" s="10"/>
      <c r="E1619" s="59" t="str">
        <f t="array" ref="E1619">IF(COUNTA(C1619:C1644)=0,"",SUM((COUNTIF(C$4:C1619,Upgrades!$B$3:$B$13)-COUNTIF(C$4:C1619,"Sell_"&amp;Upgrades!$B$3:$B$13))*Upgrades!$D$3:$D$13))</f>
        <v/>
      </c>
      <c r="F1619" s="66" t="str">
        <f>IFERROR(__xludf.DUMMYFUNCTION("IF(COUNTA(C1619:C1644)=0,"""",IF(REGEXMATCH(INDEX(FILTER(C$4:C1619,C$4:C1619&lt;&gt;""""),ROWS(FILTER(C$4:C1619,C$4:C1619&lt;&gt;""""))),""^Sell_""),INDEX(FILTER(F$4:F1618,C$4:C1618&lt;&gt;""""),ROWS(FILTER(C$4:C1618,C$4:C1618&lt;&gt;""""))),$AC$5+E1619))"),"")</f>
        <v/>
      </c>
      <c r="G1619" s="10" t="str">
        <f>IFERROR(__xludf.DUMMYFUNCTION("IF(COUNTA(C1619:C1644)=0,"""",IF(C1619="""",0,IF(REGEXMATCH(C1619,""^Sell_""),-ROUNDDOWN(ROUNDUP(INDEX(Upgrades!$C$3:$C$13,MATCH(SUBSTITUTE(C1619,""Sell_"",""""),Upgrades!$B$3:$B$13,0))*1.15^(COUNTIF(C$4:C1618,SUBSTITUTE(C1619,""Sell_"",""""))-COUNTIF(C$4"&amp;":C1618,""Sell_""&amp;SUBSTITUTE(C1619,""Sell_"",""""))))/2),ROUNDUP(INDEX(Upgrades!$C$3:$C$13,MATCH(C1619,Upgrades!$B$3:$B$13,0))*1.15^(COUNTIF(C$4:C1618,C1619)-COUNTIF(C$4:C1618,""Sell_""&amp;C1619))))))"),"")</f>
        <v/>
      </c>
      <c r="H1619" s="10" t="str">
        <f t="shared" si="3"/>
        <v/>
      </c>
      <c r="I1619" s="68" t="str">
        <f t="shared" si="4"/>
        <v/>
      </c>
      <c r="J1619" s="59" t="str">
        <f t="shared" si="5"/>
        <v/>
      </c>
      <c r="K1619" s="69" t="str">
        <f t="shared" si="6"/>
        <v/>
      </c>
      <c r="L1619" s="60" t="str">
        <f t="shared" si="7"/>
        <v/>
      </c>
      <c r="M1619" s="61" t="str">
        <f>IFERROR(__xludf.DUMMYFUNCTION("IFS(AND(COUNTA(C1619:C1644)=0,COUNTA(Q1619:Q1644)=0),"""",OR(AND(K1619&gt;=1000000000,OR(Y1619&gt;=1000000000,COUNTA(Q1619:Q1644)=0)),OR(Y1619&gt;=1000000000,AND(COUNTA(C1619:C1644)=0,P$3=TRUE))),
ROUNDDOWN((AB$1-AC$1)*MAX(INDEX(T$4:T1644,MATCH(LARGE(FILTER(Y$4:Y1"&amp;"644,Y$4:Y1644&lt;1000000000),1),Y$4:Y1644)),INDEX(F$4:F1644,MATCH(LARGE(FILTER(K$4:K1644,K$4:K1644&lt;1000000000),1),K$4:K1644)))),AND(K1619&lt;1000000000,COUNTA(C1619:C1644)&gt;0,P$3=FALSE),
ROUNDDOWN(INDEX(Y$4:Y1644,MATCH(LARGE(FILTER(W$4:W1644,W$4:W1644&lt;=I1619),1)"&amp;",W$4:W1644))+(I1619-LARGE(FILTER(W$4:W1644,W$4:W1644&lt;=I1619),1))*INDEX(T$4:T1644,MATCH(LARGE(FILTER(W$4:W1644,W$4:W1644&lt;=I1619),1),W$4:W1644))-K1619),1,
ROUNDDOWN(Y1619-INDEX(K$4:K1644,MATCH(LARGE(FILTER(I$4:I1644,I$4:I1644&lt;=W1619),1),I$4:I1644))-(W1619-L"&amp;"ARGE(FILTER(I$4:I1644,I$4:I1644&lt;=W1619),1))*INDEX(F$4:F1644,MATCH(LARGE(FILTER(I$4:I1644,I$4:I1644&lt;=W1619),1),I$4:I1644))))"),"")</f>
        <v/>
      </c>
      <c r="N1619" s="60" t="str">
        <f t="shared" si="8"/>
        <v/>
      </c>
      <c r="O1619" s="61" t="str">
        <f t="shared" si="9"/>
        <v/>
      </c>
      <c r="P1619" s="56" t="str">
        <f t="shared" si="10"/>
        <v/>
      </c>
      <c r="Q1619" s="105"/>
      <c r="R1619" s="10"/>
      <c r="S1619" s="59" t="str">
        <f t="array" ref="S1619">IF(COUNTA(Q1619:Q1644)=0,"",SUM((COUNTIF(Q$4:Q1619,Upgrades!$B$3:$B$13)-COUNTIF(Q$4:Q1619,"Sell_"&amp;Upgrades!$B$3:$B$13))*Upgrades!$D$3:$D$13))</f>
        <v/>
      </c>
      <c r="T1619" s="66" t="str">
        <f>IFERROR(__xludf.DUMMYFUNCTION("IF(COUNTA(Q1619:Q1644)=0,"""",IF(REGEXMATCH(INDEX(FILTER(Q$4:Q1619,Q$4:Q1619&lt;&gt;""""),ROWS(FILTER(Q$4:Q1619,Q$4:Q1619&lt;&gt;""""))),""^Sell_""),INDEX(FILTER(T$4:T1618,Q$4:Q1618&lt;&gt;""""),ROWS(FILTER(Q$4:Q1618,Q$4:Q1618&lt;&gt;""""))),$AD$5+S1619))"),"")</f>
        <v/>
      </c>
      <c r="U1619" s="10" t="str">
        <f>IFERROR(__xludf.DUMMYFUNCTION("IF(COUNTA(Q1619:Q1644)=0,"""",IF(Q1619="""",0,IF(REGEXMATCH(Q1619,""^Sell_""),-ROUNDDOWN(ROUNDUP(INDEX(Upgrades!$C$3:$C$13,MATCH(SUBSTITUTE(Q1619,""Sell_"",""""),Upgrades!$B$3:$B$13,0))*1.15^(COUNTIF(Q$4:Q1618,SUBSTITUTE(Q1619,""Sell_"",""""))-COUNTIF(Q$4"&amp;":Q1618,""Sell_""&amp;SUBSTITUTE(Q1619,""Sell_"",""""))))/2),ROUNDUP(INDEX(Upgrades!$C$3:$C$13,MATCH(Q1619,Upgrades!$B$3:$B$13,0))*1.15^(COUNTIF(Q$4:Q1618,Q1619)-COUNTIF(Q$4:Q1618,""Sell_""&amp;Q1619))))))"),"")</f>
        <v/>
      </c>
      <c r="V1619" s="10" t="str">
        <f t="shared" si="11"/>
        <v/>
      </c>
      <c r="W1619" s="68" t="str">
        <f t="shared" si="12"/>
        <v/>
      </c>
      <c r="X1619" s="59" t="str">
        <f t="shared" si="13"/>
        <v/>
      </c>
      <c r="Y1619" s="69" t="str">
        <f t="shared" si="14"/>
        <v/>
      </c>
      <c r="Z1619" s="11"/>
      <c r="AG1619" s="59"/>
    </row>
    <row r="1620">
      <c r="A1620" s="8"/>
      <c r="B1620" s="56" t="str">
        <f t="shared" si="2"/>
        <v/>
      </c>
      <c r="C1620" s="105"/>
      <c r="D1620" s="10"/>
      <c r="E1620" s="59" t="str">
        <f t="array" ref="E1620">IF(COUNTA(C1620:C1644)=0,"",SUM((COUNTIF(C$4:C1620,Upgrades!$B$3:$B$13)-COUNTIF(C$4:C1620,"Sell_"&amp;Upgrades!$B$3:$B$13))*Upgrades!$D$3:$D$13))</f>
        <v/>
      </c>
      <c r="F1620" s="66" t="str">
        <f>IFERROR(__xludf.DUMMYFUNCTION("IF(COUNTA(C1620:C1644)=0,"""",IF(REGEXMATCH(INDEX(FILTER(C$4:C1620,C$4:C1620&lt;&gt;""""),ROWS(FILTER(C$4:C1620,C$4:C1620&lt;&gt;""""))),""^Sell_""),INDEX(FILTER(F$4:F1619,C$4:C1619&lt;&gt;""""),ROWS(FILTER(C$4:C1619,C$4:C1619&lt;&gt;""""))),$AC$5+E1620))"),"")</f>
        <v/>
      </c>
      <c r="G1620" s="10" t="str">
        <f>IFERROR(__xludf.DUMMYFUNCTION("IF(COUNTA(C1620:C1644)=0,"""",IF(C1620="""",0,IF(REGEXMATCH(C1620,""^Sell_""),-ROUNDDOWN(ROUNDUP(INDEX(Upgrades!$C$3:$C$13,MATCH(SUBSTITUTE(C1620,""Sell_"",""""),Upgrades!$B$3:$B$13,0))*1.15^(COUNTIF(C$4:C1619,SUBSTITUTE(C1620,""Sell_"",""""))-COUNTIF(C$4"&amp;":C1619,""Sell_""&amp;SUBSTITUTE(C1620,""Sell_"",""""))))/2),ROUNDUP(INDEX(Upgrades!$C$3:$C$13,MATCH(C1620,Upgrades!$B$3:$B$13,0))*1.15^(COUNTIF(C$4:C1619,C1620)-COUNTIF(C$4:C1619,""Sell_""&amp;C1620))))))"),"")</f>
        <v/>
      </c>
      <c r="H1620" s="10" t="str">
        <f t="shared" si="3"/>
        <v/>
      </c>
      <c r="I1620" s="68" t="str">
        <f t="shared" si="4"/>
        <v/>
      </c>
      <c r="J1620" s="59" t="str">
        <f t="shared" si="5"/>
        <v/>
      </c>
      <c r="K1620" s="69" t="str">
        <f t="shared" si="6"/>
        <v/>
      </c>
      <c r="L1620" s="60" t="str">
        <f t="shared" si="7"/>
        <v/>
      </c>
      <c r="M1620" s="61" t="str">
        <f>IFERROR(__xludf.DUMMYFUNCTION("IFS(AND(COUNTA(C1620:C1644)=0,COUNTA(Q1620:Q1644)=0),"""",OR(AND(K1620&gt;=1000000000,OR(Y1620&gt;=1000000000,COUNTA(Q1620:Q1644)=0)),OR(Y1620&gt;=1000000000,AND(COUNTA(C1620:C1644)=0,P$3=TRUE))),
ROUNDDOWN((AB$1-AC$1)*MAX(INDEX(T$4:T1644,MATCH(LARGE(FILTER(Y$4:Y1"&amp;"644,Y$4:Y1644&lt;1000000000),1),Y$4:Y1644)),INDEX(F$4:F1644,MATCH(LARGE(FILTER(K$4:K1644,K$4:K1644&lt;1000000000),1),K$4:K1644)))),AND(K1620&lt;1000000000,COUNTA(C1620:C1644)&gt;0,P$3=FALSE),
ROUNDDOWN(INDEX(Y$4:Y1644,MATCH(LARGE(FILTER(W$4:W1644,W$4:W1644&lt;=I1620),1)"&amp;",W$4:W1644))+(I1620-LARGE(FILTER(W$4:W1644,W$4:W1644&lt;=I1620),1))*INDEX(T$4:T1644,MATCH(LARGE(FILTER(W$4:W1644,W$4:W1644&lt;=I1620),1),W$4:W1644))-K1620),1,
ROUNDDOWN(Y1620-INDEX(K$4:K1644,MATCH(LARGE(FILTER(I$4:I1644,I$4:I1644&lt;=W1620),1),I$4:I1644))-(W1620-L"&amp;"ARGE(FILTER(I$4:I1644,I$4:I1644&lt;=W1620),1))*INDEX(F$4:F1644,MATCH(LARGE(FILTER(I$4:I1644,I$4:I1644&lt;=W1620),1),I$4:I1644))))"),"")</f>
        <v/>
      </c>
      <c r="N1620" s="60" t="str">
        <f t="shared" si="8"/>
        <v/>
      </c>
      <c r="O1620" s="61" t="str">
        <f t="shared" si="9"/>
        <v/>
      </c>
      <c r="P1620" s="56" t="str">
        <f t="shared" si="10"/>
        <v/>
      </c>
      <c r="Q1620" s="105"/>
      <c r="R1620" s="10"/>
      <c r="S1620" s="59" t="str">
        <f t="array" ref="S1620">IF(COUNTA(Q1620:Q1644)=0,"",SUM((COUNTIF(Q$4:Q1620,Upgrades!$B$3:$B$13)-COUNTIF(Q$4:Q1620,"Sell_"&amp;Upgrades!$B$3:$B$13))*Upgrades!$D$3:$D$13))</f>
        <v/>
      </c>
      <c r="T1620" s="66" t="str">
        <f>IFERROR(__xludf.DUMMYFUNCTION("IF(COUNTA(Q1620:Q1644)=0,"""",IF(REGEXMATCH(INDEX(FILTER(Q$4:Q1620,Q$4:Q1620&lt;&gt;""""),ROWS(FILTER(Q$4:Q1620,Q$4:Q1620&lt;&gt;""""))),""^Sell_""),INDEX(FILTER(T$4:T1619,Q$4:Q1619&lt;&gt;""""),ROWS(FILTER(Q$4:Q1619,Q$4:Q1619&lt;&gt;""""))),$AD$5+S1620))"),"")</f>
        <v/>
      </c>
      <c r="U1620" s="10" t="str">
        <f>IFERROR(__xludf.DUMMYFUNCTION("IF(COUNTA(Q1620:Q1644)=0,"""",IF(Q1620="""",0,IF(REGEXMATCH(Q1620,""^Sell_""),-ROUNDDOWN(ROUNDUP(INDEX(Upgrades!$C$3:$C$13,MATCH(SUBSTITUTE(Q1620,""Sell_"",""""),Upgrades!$B$3:$B$13,0))*1.15^(COUNTIF(Q$4:Q1619,SUBSTITUTE(Q1620,""Sell_"",""""))-COUNTIF(Q$4"&amp;":Q1619,""Sell_""&amp;SUBSTITUTE(Q1620,""Sell_"",""""))))/2),ROUNDUP(INDEX(Upgrades!$C$3:$C$13,MATCH(Q1620,Upgrades!$B$3:$B$13,0))*1.15^(COUNTIF(Q$4:Q1619,Q1620)-COUNTIF(Q$4:Q1619,""Sell_""&amp;Q1620))))))"),"")</f>
        <v/>
      </c>
      <c r="V1620" s="10" t="str">
        <f t="shared" si="11"/>
        <v/>
      </c>
      <c r="W1620" s="68" t="str">
        <f t="shared" si="12"/>
        <v/>
      </c>
      <c r="X1620" s="59" t="str">
        <f t="shared" si="13"/>
        <v/>
      </c>
      <c r="Y1620" s="69" t="str">
        <f t="shared" si="14"/>
        <v/>
      </c>
      <c r="Z1620" s="11"/>
      <c r="AG1620" s="59"/>
    </row>
    <row r="1621">
      <c r="A1621" s="8"/>
      <c r="B1621" s="56" t="str">
        <f t="shared" si="2"/>
        <v/>
      </c>
      <c r="C1621" s="105"/>
      <c r="D1621" s="10"/>
      <c r="E1621" s="59" t="str">
        <f t="array" ref="E1621">IF(COUNTA(C1621:C1644)=0,"",SUM((COUNTIF(C$4:C1621,Upgrades!$B$3:$B$13)-COUNTIF(C$4:C1621,"Sell_"&amp;Upgrades!$B$3:$B$13))*Upgrades!$D$3:$D$13))</f>
        <v/>
      </c>
      <c r="F1621" s="66" t="str">
        <f>IFERROR(__xludf.DUMMYFUNCTION("IF(COUNTA(C1621:C1644)=0,"""",IF(REGEXMATCH(INDEX(FILTER(C$4:C1621,C$4:C1621&lt;&gt;""""),ROWS(FILTER(C$4:C1621,C$4:C1621&lt;&gt;""""))),""^Sell_""),INDEX(FILTER(F$4:F1620,C$4:C1620&lt;&gt;""""),ROWS(FILTER(C$4:C1620,C$4:C1620&lt;&gt;""""))),$AC$5+E1621))"),"")</f>
        <v/>
      </c>
      <c r="G1621" s="10" t="str">
        <f>IFERROR(__xludf.DUMMYFUNCTION("IF(COUNTA(C1621:C1644)=0,"""",IF(C1621="""",0,IF(REGEXMATCH(C1621,""^Sell_""),-ROUNDDOWN(ROUNDUP(INDEX(Upgrades!$C$3:$C$13,MATCH(SUBSTITUTE(C1621,""Sell_"",""""),Upgrades!$B$3:$B$13,0))*1.15^(COUNTIF(C$4:C1620,SUBSTITUTE(C1621,""Sell_"",""""))-COUNTIF(C$4"&amp;":C1620,""Sell_""&amp;SUBSTITUTE(C1621,""Sell_"",""""))))/2),ROUNDUP(INDEX(Upgrades!$C$3:$C$13,MATCH(C1621,Upgrades!$B$3:$B$13,0))*1.15^(COUNTIF(C$4:C1620,C1621)-COUNTIF(C$4:C1620,""Sell_""&amp;C1621))))))"),"")</f>
        <v/>
      </c>
      <c r="H1621" s="10" t="str">
        <f t="shared" si="3"/>
        <v/>
      </c>
      <c r="I1621" s="68" t="str">
        <f t="shared" si="4"/>
        <v/>
      </c>
      <c r="J1621" s="59" t="str">
        <f t="shared" si="5"/>
        <v/>
      </c>
      <c r="K1621" s="69" t="str">
        <f t="shared" si="6"/>
        <v/>
      </c>
      <c r="L1621" s="60" t="str">
        <f t="shared" si="7"/>
        <v/>
      </c>
      <c r="M1621" s="61" t="str">
        <f>IFERROR(__xludf.DUMMYFUNCTION("IFS(AND(COUNTA(C1621:C1644)=0,COUNTA(Q1621:Q1644)=0),"""",OR(AND(K1621&gt;=1000000000,OR(Y1621&gt;=1000000000,COUNTA(Q1621:Q1644)=0)),OR(Y1621&gt;=1000000000,AND(COUNTA(C1621:C1644)=0,P$3=TRUE))),
ROUNDDOWN((AB$1-AC$1)*MAX(INDEX(T$4:T1644,MATCH(LARGE(FILTER(Y$4:Y1"&amp;"644,Y$4:Y1644&lt;1000000000),1),Y$4:Y1644)),INDEX(F$4:F1644,MATCH(LARGE(FILTER(K$4:K1644,K$4:K1644&lt;1000000000),1),K$4:K1644)))),AND(K1621&lt;1000000000,COUNTA(C1621:C1644)&gt;0,P$3=FALSE),
ROUNDDOWN(INDEX(Y$4:Y1644,MATCH(LARGE(FILTER(W$4:W1644,W$4:W1644&lt;=I1621),1)"&amp;",W$4:W1644))+(I1621-LARGE(FILTER(W$4:W1644,W$4:W1644&lt;=I1621),1))*INDEX(T$4:T1644,MATCH(LARGE(FILTER(W$4:W1644,W$4:W1644&lt;=I1621),1),W$4:W1644))-K1621),1,
ROUNDDOWN(Y1621-INDEX(K$4:K1644,MATCH(LARGE(FILTER(I$4:I1644,I$4:I1644&lt;=W1621),1),I$4:I1644))-(W1621-L"&amp;"ARGE(FILTER(I$4:I1644,I$4:I1644&lt;=W1621),1))*INDEX(F$4:F1644,MATCH(LARGE(FILTER(I$4:I1644,I$4:I1644&lt;=W1621),1),I$4:I1644))))"),"")</f>
        <v/>
      </c>
      <c r="N1621" s="60" t="str">
        <f t="shared" si="8"/>
        <v/>
      </c>
      <c r="O1621" s="61" t="str">
        <f t="shared" si="9"/>
        <v/>
      </c>
      <c r="P1621" s="56" t="str">
        <f t="shared" si="10"/>
        <v/>
      </c>
      <c r="Q1621" s="105"/>
      <c r="R1621" s="10"/>
      <c r="S1621" s="59" t="str">
        <f t="array" ref="S1621">IF(COUNTA(Q1621:Q1644)=0,"",SUM((COUNTIF(Q$4:Q1621,Upgrades!$B$3:$B$13)-COUNTIF(Q$4:Q1621,"Sell_"&amp;Upgrades!$B$3:$B$13))*Upgrades!$D$3:$D$13))</f>
        <v/>
      </c>
      <c r="T1621" s="66" t="str">
        <f>IFERROR(__xludf.DUMMYFUNCTION("IF(COUNTA(Q1621:Q1644)=0,"""",IF(REGEXMATCH(INDEX(FILTER(Q$4:Q1621,Q$4:Q1621&lt;&gt;""""),ROWS(FILTER(Q$4:Q1621,Q$4:Q1621&lt;&gt;""""))),""^Sell_""),INDEX(FILTER(T$4:T1620,Q$4:Q1620&lt;&gt;""""),ROWS(FILTER(Q$4:Q1620,Q$4:Q1620&lt;&gt;""""))),$AD$5+S1621))"),"")</f>
        <v/>
      </c>
      <c r="U1621" s="10" t="str">
        <f>IFERROR(__xludf.DUMMYFUNCTION("IF(COUNTA(Q1621:Q1644)=0,"""",IF(Q1621="""",0,IF(REGEXMATCH(Q1621,""^Sell_""),-ROUNDDOWN(ROUNDUP(INDEX(Upgrades!$C$3:$C$13,MATCH(SUBSTITUTE(Q1621,""Sell_"",""""),Upgrades!$B$3:$B$13,0))*1.15^(COUNTIF(Q$4:Q1620,SUBSTITUTE(Q1621,""Sell_"",""""))-COUNTIF(Q$4"&amp;":Q1620,""Sell_""&amp;SUBSTITUTE(Q1621,""Sell_"",""""))))/2),ROUNDUP(INDEX(Upgrades!$C$3:$C$13,MATCH(Q1621,Upgrades!$B$3:$B$13,0))*1.15^(COUNTIF(Q$4:Q1620,Q1621)-COUNTIF(Q$4:Q1620,""Sell_""&amp;Q1621))))))"),"")</f>
        <v/>
      </c>
      <c r="V1621" s="10" t="str">
        <f t="shared" si="11"/>
        <v/>
      </c>
      <c r="W1621" s="68" t="str">
        <f t="shared" si="12"/>
        <v/>
      </c>
      <c r="X1621" s="59" t="str">
        <f t="shared" si="13"/>
        <v/>
      </c>
      <c r="Y1621" s="69" t="str">
        <f t="shared" si="14"/>
        <v/>
      </c>
      <c r="Z1621" s="11"/>
      <c r="AG1621" s="59"/>
    </row>
    <row r="1622">
      <c r="A1622" s="8"/>
      <c r="B1622" s="56" t="str">
        <f t="shared" si="2"/>
        <v/>
      </c>
      <c r="C1622" s="105"/>
      <c r="D1622" s="10"/>
      <c r="E1622" s="59" t="str">
        <f t="array" ref="E1622">IF(COUNTA(C1622:C1644)=0,"",SUM((COUNTIF(C$4:C1622,Upgrades!$B$3:$B$13)-COUNTIF(C$4:C1622,"Sell_"&amp;Upgrades!$B$3:$B$13))*Upgrades!$D$3:$D$13))</f>
        <v/>
      </c>
      <c r="F1622" s="66" t="str">
        <f>IFERROR(__xludf.DUMMYFUNCTION("IF(COUNTA(C1622:C1644)=0,"""",IF(REGEXMATCH(INDEX(FILTER(C$4:C1622,C$4:C1622&lt;&gt;""""),ROWS(FILTER(C$4:C1622,C$4:C1622&lt;&gt;""""))),""^Sell_""),INDEX(FILTER(F$4:F1621,C$4:C1621&lt;&gt;""""),ROWS(FILTER(C$4:C1621,C$4:C1621&lt;&gt;""""))),$AC$5+E1622))"),"")</f>
        <v/>
      </c>
      <c r="G1622" s="10" t="str">
        <f>IFERROR(__xludf.DUMMYFUNCTION("IF(COUNTA(C1622:C1644)=0,"""",IF(C1622="""",0,IF(REGEXMATCH(C1622,""^Sell_""),-ROUNDDOWN(ROUNDUP(INDEX(Upgrades!$C$3:$C$13,MATCH(SUBSTITUTE(C1622,""Sell_"",""""),Upgrades!$B$3:$B$13,0))*1.15^(COUNTIF(C$4:C1621,SUBSTITUTE(C1622,""Sell_"",""""))-COUNTIF(C$4"&amp;":C1621,""Sell_""&amp;SUBSTITUTE(C1622,""Sell_"",""""))))/2),ROUNDUP(INDEX(Upgrades!$C$3:$C$13,MATCH(C1622,Upgrades!$B$3:$B$13,0))*1.15^(COUNTIF(C$4:C1621,C1622)-COUNTIF(C$4:C1621,""Sell_""&amp;C1622))))))"),"")</f>
        <v/>
      </c>
      <c r="H1622" s="10" t="str">
        <f t="shared" si="3"/>
        <v/>
      </c>
      <c r="I1622" s="68" t="str">
        <f t="shared" si="4"/>
        <v/>
      </c>
      <c r="J1622" s="59" t="str">
        <f t="shared" si="5"/>
        <v/>
      </c>
      <c r="K1622" s="69" t="str">
        <f t="shared" si="6"/>
        <v/>
      </c>
      <c r="L1622" s="60" t="str">
        <f t="shared" si="7"/>
        <v/>
      </c>
      <c r="M1622" s="61" t="str">
        <f>IFERROR(__xludf.DUMMYFUNCTION("IFS(AND(COUNTA(C1622:C1644)=0,COUNTA(Q1622:Q1644)=0),"""",OR(AND(K1622&gt;=1000000000,OR(Y1622&gt;=1000000000,COUNTA(Q1622:Q1644)=0)),OR(Y1622&gt;=1000000000,AND(COUNTA(C1622:C1644)=0,P$3=TRUE))),
ROUNDDOWN((AB$1-AC$1)*MAX(INDEX(T$4:T1644,MATCH(LARGE(FILTER(Y$4:Y1"&amp;"644,Y$4:Y1644&lt;1000000000),1),Y$4:Y1644)),INDEX(F$4:F1644,MATCH(LARGE(FILTER(K$4:K1644,K$4:K1644&lt;1000000000),1),K$4:K1644)))),AND(K1622&lt;1000000000,COUNTA(C1622:C1644)&gt;0,P$3=FALSE),
ROUNDDOWN(INDEX(Y$4:Y1644,MATCH(LARGE(FILTER(W$4:W1644,W$4:W1644&lt;=I1622),1)"&amp;",W$4:W1644))+(I1622-LARGE(FILTER(W$4:W1644,W$4:W1644&lt;=I1622),1))*INDEX(T$4:T1644,MATCH(LARGE(FILTER(W$4:W1644,W$4:W1644&lt;=I1622),1),W$4:W1644))-K1622),1,
ROUNDDOWN(Y1622-INDEX(K$4:K1644,MATCH(LARGE(FILTER(I$4:I1644,I$4:I1644&lt;=W1622),1),I$4:I1644))-(W1622-L"&amp;"ARGE(FILTER(I$4:I1644,I$4:I1644&lt;=W1622),1))*INDEX(F$4:F1644,MATCH(LARGE(FILTER(I$4:I1644,I$4:I1644&lt;=W1622),1),I$4:I1644))))"),"")</f>
        <v/>
      </c>
      <c r="N1622" s="60" t="str">
        <f t="shared" si="8"/>
        <v/>
      </c>
      <c r="O1622" s="61" t="str">
        <f t="shared" si="9"/>
        <v/>
      </c>
      <c r="P1622" s="56" t="str">
        <f t="shared" si="10"/>
        <v/>
      </c>
      <c r="Q1622" s="105"/>
      <c r="R1622" s="10"/>
      <c r="S1622" s="59" t="str">
        <f t="array" ref="S1622">IF(COUNTA(Q1622:Q1644)=0,"",SUM((COUNTIF(Q$4:Q1622,Upgrades!$B$3:$B$13)-COUNTIF(Q$4:Q1622,"Sell_"&amp;Upgrades!$B$3:$B$13))*Upgrades!$D$3:$D$13))</f>
        <v/>
      </c>
      <c r="T1622" s="66" t="str">
        <f>IFERROR(__xludf.DUMMYFUNCTION("IF(COUNTA(Q1622:Q1644)=0,"""",IF(REGEXMATCH(INDEX(FILTER(Q$4:Q1622,Q$4:Q1622&lt;&gt;""""),ROWS(FILTER(Q$4:Q1622,Q$4:Q1622&lt;&gt;""""))),""^Sell_""),INDEX(FILTER(T$4:T1621,Q$4:Q1621&lt;&gt;""""),ROWS(FILTER(Q$4:Q1621,Q$4:Q1621&lt;&gt;""""))),$AD$5+S1622))"),"")</f>
        <v/>
      </c>
      <c r="U1622" s="10" t="str">
        <f>IFERROR(__xludf.DUMMYFUNCTION("IF(COUNTA(Q1622:Q1644)=0,"""",IF(Q1622="""",0,IF(REGEXMATCH(Q1622,""^Sell_""),-ROUNDDOWN(ROUNDUP(INDEX(Upgrades!$C$3:$C$13,MATCH(SUBSTITUTE(Q1622,""Sell_"",""""),Upgrades!$B$3:$B$13,0))*1.15^(COUNTIF(Q$4:Q1621,SUBSTITUTE(Q1622,""Sell_"",""""))-COUNTIF(Q$4"&amp;":Q1621,""Sell_""&amp;SUBSTITUTE(Q1622,""Sell_"",""""))))/2),ROUNDUP(INDEX(Upgrades!$C$3:$C$13,MATCH(Q1622,Upgrades!$B$3:$B$13,0))*1.15^(COUNTIF(Q$4:Q1621,Q1622)-COUNTIF(Q$4:Q1621,""Sell_""&amp;Q1622))))))"),"")</f>
        <v/>
      </c>
      <c r="V1622" s="10" t="str">
        <f t="shared" si="11"/>
        <v/>
      </c>
      <c r="W1622" s="68" t="str">
        <f t="shared" si="12"/>
        <v/>
      </c>
      <c r="X1622" s="59" t="str">
        <f t="shared" si="13"/>
        <v/>
      </c>
      <c r="Y1622" s="69" t="str">
        <f t="shared" si="14"/>
        <v/>
      </c>
      <c r="Z1622" s="11"/>
      <c r="AG1622" s="59"/>
    </row>
    <row r="1623">
      <c r="A1623" s="8"/>
      <c r="B1623" s="56" t="str">
        <f t="shared" si="2"/>
        <v/>
      </c>
      <c r="C1623" s="105"/>
      <c r="D1623" s="10"/>
      <c r="E1623" s="59" t="str">
        <f t="array" ref="E1623">IF(COUNTA(C1623:C1644)=0,"",SUM((COUNTIF(C$4:C1623,Upgrades!$B$3:$B$13)-COUNTIF(C$4:C1623,"Sell_"&amp;Upgrades!$B$3:$B$13))*Upgrades!$D$3:$D$13))</f>
        <v/>
      </c>
      <c r="F1623" s="66" t="str">
        <f>IFERROR(__xludf.DUMMYFUNCTION("IF(COUNTA(C1623:C1644)=0,"""",IF(REGEXMATCH(INDEX(FILTER(C$4:C1623,C$4:C1623&lt;&gt;""""),ROWS(FILTER(C$4:C1623,C$4:C1623&lt;&gt;""""))),""^Sell_""),INDEX(FILTER(F$4:F1622,C$4:C1622&lt;&gt;""""),ROWS(FILTER(C$4:C1622,C$4:C1622&lt;&gt;""""))),$AC$5+E1623))"),"")</f>
        <v/>
      </c>
      <c r="G1623" s="10" t="str">
        <f>IFERROR(__xludf.DUMMYFUNCTION("IF(COUNTA(C1623:C1644)=0,"""",IF(C1623="""",0,IF(REGEXMATCH(C1623,""^Sell_""),-ROUNDDOWN(ROUNDUP(INDEX(Upgrades!$C$3:$C$13,MATCH(SUBSTITUTE(C1623,""Sell_"",""""),Upgrades!$B$3:$B$13,0))*1.15^(COUNTIF(C$4:C1622,SUBSTITUTE(C1623,""Sell_"",""""))-COUNTIF(C$4"&amp;":C1622,""Sell_""&amp;SUBSTITUTE(C1623,""Sell_"",""""))))/2),ROUNDUP(INDEX(Upgrades!$C$3:$C$13,MATCH(C1623,Upgrades!$B$3:$B$13,0))*1.15^(COUNTIF(C$4:C1622,C1623)-COUNTIF(C$4:C1622,""Sell_""&amp;C1623))))))"),"")</f>
        <v/>
      </c>
      <c r="H1623" s="10" t="str">
        <f t="shared" si="3"/>
        <v/>
      </c>
      <c r="I1623" s="68" t="str">
        <f t="shared" si="4"/>
        <v/>
      </c>
      <c r="J1623" s="59" t="str">
        <f t="shared" si="5"/>
        <v/>
      </c>
      <c r="K1623" s="69" t="str">
        <f t="shared" si="6"/>
        <v/>
      </c>
      <c r="L1623" s="60" t="str">
        <f t="shared" si="7"/>
        <v/>
      </c>
      <c r="M1623" s="61" t="str">
        <f>IFERROR(__xludf.DUMMYFUNCTION("IFS(AND(COUNTA(C1623:C1644)=0,COUNTA(Q1623:Q1644)=0),"""",OR(AND(K1623&gt;=1000000000,OR(Y1623&gt;=1000000000,COUNTA(Q1623:Q1644)=0)),OR(Y1623&gt;=1000000000,AND(COUNTA(C1623:C1644)=0,P$3=TRUE))),
ROUNDDOWN((AB$1-AC$1)*MAX(INDEX(T$4:T1644,MATCH(LARGE(FILTER(Y$4:Y1"&amp;"644,Y$4:Y1644&lt;1000000000),1),Y$4:Y1644)),INDEX(F$4:F1644,MATCH(LARGE(FILTER(K$4:K1644,K$4:K1644&lt;1000000000),1),K$4:K1644)))),AND(K1623&lt;1000000000,COUNTA(C1623:C1644)&gt;0,P$3=FALSE),
ROUNDDOWN(INDEX(Y$4:Y1644,MATCH(LARGE(FILTER(W$4:W1644,W$4:W1644&lt;=I1623),1)"&amp;",W$4:W1644))+(I1623-LARGE(FILTER(W$4:W1644,W$4:W1644&lt;=I1623),1))*INDEX(T$4:T1644,MATCH(LARGE(FILTER(W$4:W1644,W$4:W1644&lt;=I1623),1),W$4:W1644))-K1623),1,
ROUNDDOWN(Y1623-INDEX(K$4:K1644,MATCH(LARGE(FILTER(I$4:I1644,I$4:I1644&lt;=W1623),1),I$4:I1644))-(W1623-L"&amp;"ARGE(FILTER(I$4:I1644,I$4:I1644&lt;=W1623),1))*INDEX(F$4:F1644,MATCH(LARGE(FILTER(I$4:I1644,I$4:I1644&lt;=W1623),1),I$4:I1644))))"),"")</f>
        <v/>
      </c>
      <c r="N1623" s="60" t="str">
        <f t="shared" si="8"/>
        <v/>
      </c>
      <c r="O1623" s="61" t="str">
        <f t="shared" si="9"/>
        <v/>
      </c>
      <c r="P1623" s="56" t="str">
        <f t="shared" si="10"/>
        <v/>
      </c>
      <c r="Q1623" s="105"/>
      <c r="R1623" s="10"/>
      <c r="S1623" s="59" t="str">
        <f t="array" ref="S1623">IF(COUNTA(Q1623:Q1644)=0,"",SUM((COUNTIF(Q$4:Q1623,Upgrades!$B$3:$B$13)-COUNTIF(Q$4:Q1623,"Sell_"&amp;Upgrades!$B$3:$B$13))*Upgrades!$D$3:$D$13))</f>
        <v/>
      </c>
      <c r="T1623" s="66" t="str">
        <f>IFERROR(__xludf.DUMMYFUNCTION("IF(COUNTA(Q1623:Q1644)=0,"""",IF(REGEXMATCH(INDEX(FILTER(Q$4:Q1623,Q$4:Q1623&lt;&gt;""""),ROWS(FILTER(Q$4:Q1623,Q$4:Q1623&lt;&gt;""""))),""^Sell_""),INDEX(FILTER(T$4:T1622,Q$4:Q1622&lt;&gt;""""),ROWS(FILTER(Q$4:Q1622,Q$4:Q1622&lt;&gt;""""))),$AD$5+S1623))"),"")</f>
        <v/>
      </c>
      <c r="U1623" s="10" t="str">
        <f>IFERROR(__xludf.DUMMYFUNCTION("IF(COUNTA(Q1623:Q1644)=0,"""",IF(Q1623="""",0,IF(REGEXMATCH(Q1623,""^Sell_""),-ROUNDDOWN(ROUNDUP(INDEX(Upgrades!$C$3:$C$13,MATCH(SUBSTITUTE(Q1623,""Sell_"",""""),Upgrades!$B$3:$B$13,0))*1.15^(COUNTIF(Q$4:Q1622,SUBSTITUTE(Q1623,""Sell_"",""""))-COUNTIF(Q$4"&amp;":Q1622,""Sell_""&amp;SUBSTITUTE(Q1623,""Sell_"",""""))))/2),ROUNDUP(INDEX(Upgrades!$C$3:$C$13,MATCH(Q1623,Upgrades!$B$3:$B$13,0))*1.15^(COUNTIF(Q$4:Q1622,Q1623)-COUNTIF(Q$4:Q1622,""Sell_""&amp;Q1623))))))"),"")</f>
        <v/>
      </c>
      <c r="V1623" s="10" t="str">
        <f t="shared" si="11"/>
        <v/>
      </c>
      <c r="W1623" s="68" t="str">
        <f t="shared" si="12"/>
        <v/>
      </c>
      <c r="X1623" s="59" t="str">
        <f t="shared" si="13"/>
        <v/>
      </c>
      <c r="Y1623" s="69" t="str">
        <f t="shared" si="14"/>
        <v/>
      </c>
      <c r="Z1623" s="11"/>
      <c r="AG1623" s="59"/>
    </row>
    <row r="1624">
      <c r="A1624" s="8"/>
      <c r="B1624" s="56" t="str">
        <f t="shared" si="2"/>
        <v/>
      </c>
      <c r="C1624" s="105"/>
      <c r="D1624" s="10"/>
      <c r="E1624" s="59" t="str">
        <f t="array" ref="E1624">IF(COUNTA(C1624:C1644)=0,"",SUM((COUNTIF(C$4:C1624,Upgrades!$B$3:$B$13)-COUNTIF(C$4:C1624,"Sell_"&amp;Upgrades!$B$3:$B$13))*Upgrades!$D$3:$D$13))</f>
        <v/>
      </c>
      <c r="F1624" s="66" t="str">
        <f>IFERROR(__xludf.DUMMYFUNCTION("IF(COUNTA(C1624:C1644)=0,"""",IF(REGEXMATCH(INDEX(FILTER(C$4:C1624,C$4:C1624&lt;&gt;""""),ROWS(FILTER(C$4:C1624,C$4:C1624&lt;&gt;""""))),""^Sell_""),INDEX(FILTER(F$4:F1623,C$4:C1623&lt;&gt;""""),ROWS(FILTER(C$4:C1623,C$4:C1623&lt;&gt;""""))),$AC$5+E1624))"),"")</f>
        <v/>
      </c>
      <c r="G1624" s="10" t="str">
        <f>IFERROR(__xludf.DUMMYFUNCTION("IF(COUNTA(C1624:C1644)=0,"""",IF(C1624="""",0,IF(REGEXMATCH(C1624,""^Sell_""),-ROUNDDOWN(ROUNDUP(INDEX(Upgrades!$C$3:$C$13,MATCH(SUBSTITUTE(C1624,""Sell_"",""""),Upgrades!$B$3:$B$13,0))*1.15^(COUNTIF(C$4:C1623,SUBSTITUTE(C1624,""Sell_"",""""))-COUNTIF(C$4"&amp;":C1623,""Sell_""&amp;SUBSTITUTE(C1624,""Sell_"",""""))))/2),ROUNDUP(INDEX(Upgrades!$C$3:$C$13,MATCH(C1624,Upgrades!$B$3:$B$13,0))*1.15^(COUNTIF(C$4:C1623,C1624)-COUNTIF(C$4:C1623,""Sell_""&amp;C1624))))))"),"")</f>
        <v/>
      </c>
      <c r="H1624" s="10" t="str">
        <f t="shared" si="3"/>
        <v/>
      </c>
      <c r="I1624" s="68" t="str">
        <f t="shared" si="4"/>
        <v/>
      </c>
      <c r="J1624" s="59" t="str">
        <f t="shared" si="5"/>
        <v/>
      </c>
      <c r="K1624" s="69" t="str">
        <f t="shared" si="6"/>
        <v/>
      </c>
      <c r="L1624" s="60" t="str">
        <f t="shared" si="7"/>
        <v/>
      </c>
      <c r="M1624" s="61" t="str">
        <f>IFERROR(__xludf.DUMMYFUNCTION("IFS(AND(COUNTA(C1624:C1644)=0,COUNTA(Q1624:Q1644)=0),"""",OR(AND(K1624&gt;=1000000000,OR(Y1624&gt;=1000000000,COUNTA(Q1624:Q1644)=0)),OR(Y1624&gt;=1000000000,AND(COUNTA(C1624:C1644)=0,P$3=TRUE))),
ROUNDDOWN((AB$1-AC$1)*MAX(INDEX(T$4:T1644,MATCH(LARGE(FILTER(Y$4:Y1"&amp;"644,Y$4:Y1644&lt;1000000000),1),Y$4:Y1644)),INDEX(F$4:F1644,MATCH(LARGE(FILTER(K$4:K1644,K$4:K1644&lt;1000000000),1),K$4:K1644)))),AND(K1624&lt;1000000000,COUNTA(C1624:C1644)&gt;0,P$3=FALSE),
ROUNDDOWN(INDEX(Y$4:Y1644,MATCH(LARGE(FILTER(W$4:W1644,W$4:W1644&lt;=I1624),1)"&amp;",W$4:W1644))+(I1624-LARGE(FILTER(W$4:W1644,W$4:W1644&lt;=I1624),1))*INDEX(T$4:T1644,MATCH(LARGE(FILTER(W$4:W1644,W$4:W1644&lt;=I1624),1),W$4:W1644))-K1624),1,
ROUNDDOWN(Y1624-INDEX(K$4:K1644,MATCH(LARGE(FILTER(I$4:I1644,I$4:I1644&lt;=W1624),1),I$4:I1644))-(W1624-L"&amp;"ARGE(FILTER(I$4:I1644,I$4:I1644&lt;=W1624),1))*INDEX(F$4:F1644,MATCH(LARGE(FILTER(I$4:I1644,I$4:I1644&lt;=W1624),1),I$4:I1644))))"),"")</f>
        <v/>
      </c>
      <c r="N1624" s="60" t="str">
        <f t="shared" si="8"/>
        <v/>
      </c>
      <c r="O1624" s="61" t="str">
        <f t="shared" si="9"/>
        <v/>
      </c>
      <c r="P1624" s="56" t="str">
        <f t="shared" si="10"/>
        <v/>
      </c>
      <c r="Q1624" s="105"/>
      <c r="R1624" s="10"/>
      <c r="S1624" s="59" t="str">
        <f t="array" ref="S1624">IF(COUNTA(Q1624:Q1644)=0,"",SUM((COUNTIF(Q$4:Q1624,Upgrades!$B$3:$B$13)-COUNTIF(Q$4:Q1624,"Sell_"&amp;Upgrades!$B$3:$B$13))*Upgrades!$D$3:$D$13))</f>
        <v/>
      </c>
      <c r="T1624" s="66" t="str">
        <f>IFERROR(__xludf.DUMMYFUNCTION("IF(COUNTA(Q1624:Q1644)=0,"""",IF(REGEXMATCH(INDEX(FILTER(Q$4:Q1624,Q$4:Q1624&lt;&gt;""""),ROWS(FILTER(Q$4:Q1624,Q$4:Q1624&lt;&gt;""""))),""^Sell_""),INDEX(FILTER(T$4:T1623,Q$4:Q1623&lt;&gt;""""),ROWS(FILTER(Q$4:Q1623,Q$4:Q1623&lt;&gt;""""))),$AD$5+S1624))"),"")</f>
        <v/>
      </c>
      <c r="U1624" s="10" t="str">
        <f>IFERROR(__xludf.DUMMYFUNCTION("IF(COUNTA(Q1624:Q1644)=0,"""",IF(Q1624="""",0,IF(REGEXMATCH(Q1624,""^Sell_""),-ROUNDDOWN(ROUNDUP(INDEX(Upgrades!$C$3:$C$13,MATCH(SUBSTITUTE(Q1624,""Sell_"",""""),Upgrades!$B$3:$B$13,0))*1.15^(COUNTIF(Q$4:Q1623,SUBSTITUTE(Q1624,""Sell_"",""""))-COUNTIF(Q$4"&amp;":Q1623,""Sell_""&amp;SUBSTITUTE(Q1624,""Sell_"",""""))))/2),ROUNDUP(INDEX(Upgrades!$C$3:$C$13,MATCH(Q1624,Upgrades!$B$3:$B$13,0))*1.15^(COUNTIF(Q$4:Q1623,Q1624)-COUNTIF(Q$4:Q1623,""Sell_""&amp;Q1624))))))"),"")</f>
        <v/>
      </c>
      <c r="V1624" s="10" t="str">
        <f t="shared" si="11"/>
        <v/>
      </c>
      <c r="W1624" s="68" t="str">
        <f t="shared" si="12"/>
        <v/>
      </c>
      <c r="X1624" s="59" t="str">
        <f t="shared" si="13"/>
        <v/>
      </c>
      <c r="Y1624" s="69" t="str">
        <f t="shared" si="14"/>
        <v/>
      </c>
      <c r="Z1624" s="11"/>
      <c r="AG1624" s="59"/>
    </row>
    <row r="1625">
      <c r="A1625" s="8"/>
      <c r="B1625" s="56" t="str">
        <f t="shared" si="2"/>
        <v/>
      </c>
      <c r="C1625" s="105"/>
      <c r="D1625" s="10"/>
      <c r="E1625" s="59" t="str">
        <f t="array" ref="E1625">IF(COUNTA(C1625:C1644)=0,"",SUM((COUNTIF(C$4:C1625,Upgrades!$B$3:$B$13)-COUNTIF(C$4:C1625,"Sell_"&amp;Upgrades!$B$3:$B$13))*Upgrades!$D$3:$D$13))</f>
        <v/>
      </c>
      <c r="F1625" s="66" t="str">
        <f>IFERROR(__xludf.DUMMYFUNCTION("IF(COUNTA(C1625:C1644)=0,"""",IF(REGEXMATCH(INDEX(FILTER(C$4:C1625,C$4:C1625&lt;&gt;""""),ROWS(FILTER(C$4:C1625,C$4:C1625&lt;&gt;""""))),""^Sell_""),INDEX(FILTER(F$4:F1624,C$4:C1624&lt;&gt;""""),ROWS(FILTER(C$4:C1624,C$4:C1624&lt;&gt;""""))),$AC$5+E1625))"),"")</f>
        <v/>
      </c>
      <c r="G1625" s="10" t="str">
        <f>IFERROR(__xludf.DUMMYFUNCTION("IF(COUNTA(C1625:C1644)=0,"""",IF(C1625="""",0,IF(REGEXMATCH(C1625,""^Sell_""),-ROUNDDOWN(ROUNDUP(INDEX(Upgrades!$C$3:$C$13,MATCH(SUBSTITUTE(C1625,""Sell_"",""""),Upgrades!$B$3:$B$13,0))*1.15^(COUNTIF(C$4:C1624,SUBSTITUTE(C1625,""Sell_"",""""))-COUNTIF(C$4"&amp;":C1624,""Sell_""&amp;SUBSTITUTE(C1625,""Sell_"",""""))))/2),ROUNDUP(INDEX(Upgrades!$C$3:$C$13,MATCH(C1625,Upgrades!$B$3:$B$13,0))*1.15^(COUNTIF(C$4:C1624,C1625)-COUNTIF(C$4:C1624,""Sell_""&amp;C1625))))))"),"")</f>
        <v/>
      </c>
      <c r="H1625" s="10" t="str">
        <f t="shared" si="3"/>
        <v/>
      </c>
      <c r="I1625" s="68" t="str">
        <f t="shared" si="4"/>
        <v/>
      </c>
      <c r="J1625" s="59" t="str">
        <f t="shared" si="5"/>
        <v/>
      </c>
      <c r="K1625" s="69" t="str">
        <f t="shared" si="6"/>
        <v/>
      </c>
      <c r="L1625" s="60" t="str">
        <f t="shared" si="7"/>
        <v/>
      </c>
      <c r="M1625" s="61" t="str">
        <f>IFERROR(__xludf.DUMMYFUNCTION("IFS(AND(COUNTA(C1625:C1644)=0,COUNTA(Q1625:Q1644)=0),"""",OR(AND(K1625&gt;=1000000000,OR(Y1625&gt;=1000000000,COUNTA(Q1625:Q1644)=0)),OR(Y1625&gt;=1000000000,AND(COUNTA(C1625:C1644)=0,P$3=TRUE))),
ROUNDDOWN((AB$1-AC$1)*MAX(INDEX(T$4:T1644,MATCH(LARGE(FILTER(Y$4:Y1"&amp;"644,Y$4:Y1644&lt;1000000000),1),Y$4:Y1644)),INDEX(F$4:F1644,MATCH(LARGE(FILTER(K$4:K1644,K$4:K1644&lt;1000000000),1),K$4:K1644)))),AND(K1625&lt;1000000000,COUNTA(C1625:C1644)&gt;0,P$3=FALSE),
ROUNDDOWN(INDEX(Y$4:Y1644,MATCH(LARGE(FILTER(W$4:W1644,W$4:W1644&lt;=I1625),1)"&amp;",W$4:W1644))+(I1625-LARGE(FILTER(W$4:W1644,W$4:W1644&lt;=I1625),1))*INDEX(T$4:T1644,MATCH(LARGE(FILTER(W$4:W1644,W$4:W1644&lt;=I1625),1),W$4:W1644))-K1625),1,
ROUNDDOWN(Y1625-INDEX(K$4:K1644,MATCH(LARGE(FILTER(I$4:I1644,I$4:I1644&lt;=W1625),1),I$4:I1644))-(W1625-L"&amp;"ARGE(FILTER(I$4:I1644,I$4:I1644&lt;=W1625),1))*INDEX(F$4:F1644,MATCH(LARGE(FILTER(I$4:I1644,I$4:I1644&lt;=W1625),1),I$4:I1644))))"),"")</f>
        <v/>
      </c>
      <c r="N1625" s="60" t="str">
        <f t="shared" si="8"/>
        <v/>
      </c>
      <c r="O1625" s="61" t="str">
        <f t="shared" si="9"/>
        <v/>
      </c>
      <c r="P1625" s="56" t="str">
        <f t="shared" si="10"/>
        <v/>
      </c>
      <c r="Q1625" s="105"/>
      <c r="R1625" s="10"/>
      <c r="S1625" s="59" t="str">
        <f t="array" ref="S1625">IF(COUNTA(Q1625:Q1644)=0,"",SUM((COUNTIF(Q$4:Q1625,Upgrades!$B$3:$B$13)-COUNTIF(Q$4:Q1625,"Sell_"&amp;Upgrades!$B$3:$B$13))*Upgrades!$D$3:$D$13))</f>
        <v/>
      </c>
      <c r="T1625" s="66" t="str">
        <f>IFERROR(__xludf.DUMMYFUNCTION("IF(COUNTA(Q1625:Q1644)=0,"""",IF(REGEXMATCH(INDEX(FILTER(Q$4:Q1625,Q$4:Q1625&lt;&gt;""""),ROWS(FILTER(Q$4:Q1625,Q$4:Q1625&lt;&gt;""""))),""^Sell_""),INDEX(FILTER(T$4:T1624,Q$4:Q1624&lt;&gt;""""),ROWS(FILTER(Q$4:Q1624,Q$4:Q1624&lt;&gt;""""))),$AD$5+S1625))"),"")</f>
        <v/>
      </c>
      <c r="U1625" s="10" t="str">
        <f>IFERROR(__xludf.DUMMYFUNCTION("IF(COUNTA(Q1625:Q1644)=0,"""",IF(Q1625="""",0,IF(REGEXMATCH(Q1625,""^Sell_""),-ROUNDDOWN(ROUNDUP(INDEX(Upgrades!$C$3:$C$13,MATCH(SUBSTITUTE(Q1625,""Sell_"",""""),Upgrades!$B$3:$B$13,0))*1.15^(COUNTIF(Q$4:Q1624,SUBSTITUTE(Q1625,""Sell_"",""""))-COUNTIF(Q$4"&amp;":Q1624,""Sell_""&amp;SUBSTITUTE(Q1625,""Sell_"",""""))))/2),ROUNDUP(INDEX(Upgrades!$C$3:$C$13,MATCH(Q1625,Upgrades!$B$3:$B$13,0))*1.15^(COUNTIF(Q$4:Q1624,Q1625)-COUNTIF(Q$4:Q1624,""Sell_""&amp;Q1625))))))"),"")</f>
        <v/>
      </c>
      <c r="V1625" s="10" t="str">
        <f t="shared" si="11"/>
        <v/>
      </c>
      <c r="W1625" s="68" t="str">
        <f t="shared" si="12"/>
        <v/>
      </c>
      <c r="X1625" s="59" t="str">
        <f t="shared" si="13"/>
        <v/>
      </c>
      <c r="Y1625" s="69" t="str">
        <f t="shared" si="14"/>
        <v/>
      </c>
      <c r="Z1625" s="11"/>
      <c r="AG1625" s="59"/>
    </row>
    <row r="1626">
      <c r="A1626" s="8"/>
      <c r="B1626" s="56" t="str">
        <f t="shared" si="2"/>
        <v/>
      </c>
      <c r="C1626" s="105"/>
      <c r="D1626" s="10"/>
      <c r="E1626" s="59" t="str">
        <f t="array" ref="E1626">IF(COUNTA(C1626:C1644)=0,"",SUM((COUNTIF(C$4:C1626,Upgrades!$B$3:$B$13)-COUNTIF(C$4:C1626,"Sell_"&amp;Upgrades!$B$3:$B$13))*Upgrades!$D$3:$D$13))</f>
        <v/>
      </c>
      <c r="F1626" s="66" t="str">
        <f>IFERROR(__xludf.DUMMYFUNCTION("IF(COUNTA(C1626:C1644)=0,"""",IF(REGEXMATCH(INDEX(FILTER(C$4:C1626,C$4:C1626&lt;&gt;""""),ROWS(FILTER(C$4:C1626,C$4:C1626&lt;&gt;""""))),""^Sell_""),INDEX(FILTER(F$4:F1625,C$4:C1625&lt;&gt;""""),ROWS(FILTER(C$4:C1625,C$4:C1625&lt;&gt;""""))),$AC$5+E1626))"),"")</f>
        <v/>
      </c>
      <c r="G1626" s="10" t="str">
        <f>IFERROR(__xludf.DUMMYFUNCTION("IF(COUNTA(C1626:C1644)=0,"""",IF(C1626="""",0,IF(REGEXMATCH(C1626,""^Sell_""),-ROUNDDOWN(ROUNDUP(INDEX(Upgrades!$C$3:$C$13,MATCH(SUBSTITUTE(C1626,""Sell_"",""""),Upgrades!$B$3:$B$13,0))*1.15^(COUNTIF(C$4:C1625,SUBSTITUTE(C1626,""Sell_"",""""))-COUNTIF(C$4"&amp;":C1625,""Sell_""&amp;SUBSTITUTE(C1626,""Sell_"",""""))))/2),ROUNDUP(INDEX(Upgrades!$C$3:$C$13,MATCH(C1626,Upgrades!$B$3:$B$13,0))*1.15^(COUNTIF(C$4:C1625,C1626)-COUNTIF(C$4:C1625,""Sell_""&amp;C1626))))))"),"")</f>
        <v/>
      </c>
      <c r="H1626" s="10" t="str">
        <f t="shared" si="3"/>
        <v/>
      </c>
      <c r="I1626" s="68" t="str">
        <f t="shared" si="4"/>
        <v/>
      </c>
      <c r="J1626" s="59" t="str">
        <f t="shared" si="5"/>
        <v/>
      </c>
      <c r="K1626" s="69" t="str">
        <f t="shared" si="6"/>
        <v/>
      </c>
      <c r="L1626" s="60" t="str">
        <f t="shared" si="7"/>
        <v/>
      </c>
      <c r="M1626" s="61" t="str">
        <f>IFERROR(__xludf.DUMMYFUNCTION("IFS(AND(COUNTA(C1626:C1644)=0,COUNTA(Q1626:Q1644)=0),"""",OR(AND(K1626&gt;=1000000000,OR(Y1626&gt;=1000000000,COUNTA(Q1626:Q1644)=0)),OR(Y1626&gt;=1000000000,AND(COUNTA(C1626:C1644)=0,P$3=TRUE))),
ROUNDDOWN((AB$1-AC$1)*MAX(INDEX(T$4:T1644,MATCH(LARGE(FILTER(Y$4:Y1"&amp;"644,Y$4:Y1644&lt;1000000000),1),Y$4:Y1644)),INDEX(F$4:F1644,MATCH(LARGE(FILTER(K$4:K1644,K$4:K1644&lt;1000000000),1),K$4:K1644)))),AND(K1626&lt;1000000000,COUNTA(C1626:C1644)&gt;0,P$3=FALSE),
ROUNDDOWN(INDEX(Y$4:Y1644,MATCH(LARGE(FILTER(W$4:W1644,W$4:W1644&lt;=I1626),1)"&amp;",W$4:W1644))+(I1626-LARGE(FILTER(W$4:W1644,W$4:W1644&lt;=I1626),1))*INDEX(T$4:T1644,MATCH(LARGE(FILTER(W$4:W1644,W$4:W1644&lt;=I1626),1),W$4:W1644))-K1626),1,
ROUNDDOWN(Y1626-INDEX(K$4:K1644,MATCH(LARGE(FILTER(I$4:I1644,I$4:I1644&lt;=W1626),1),I$4:I1644))-(W1626-L"&amp;"ARGE(FILTER(I$4:I1644,I$4:I1644&lt;=W1626),1))*INDEX(F$4:F1644,MATCH(LARGE(FILTER(I$4:I1644,I$4:I1644&lt;=W1626),1),I$4:I1644))))"),"")</f>
        <v/>
      </c>
      <c r="N1626" s="60" t="str">
        <f t="shared" si="8"/>
        <v/>
      </c>
      <c r="O1626" s="61" t="str">
        <f t="shared" si="9"/>
        <v/>
      </c>
      <c r="P1626" s="56" t="str">
        <f t="shared" si="10"/>
        <v/>
      </c>
      <c r="Q1626" s="105"/>
      <c r="R1626" s="10"/>
      <c r="S1626" s="59" t="str">
        <f t="array" ref="S1626">IF(COUNTA(Q1626:Q1644)=0,"",SUM((COUNTIF(Q$4:Q1626,Upgrades!$B$3:$B$13)-COUNTIF(Q$4:Q1626,"Sell_"&amp;Upgrades!$B$3:$B$13))*Upgrades!$D$3:$D$13))</f>
        <v/>
      </c>
      <c r="T1626" s="66" t="str">
        <f>IFERROR(__xludf.DUMMYFUNCTION("IF(COUNTA(Q1626:Q1644)=0,"""",IF(REGEXMATCH(INDEX(FILTER(Q$4:Q1626,Q$4:Q1626&lt;&gt;""""),ROWS(FILTER(Q$4:Q1626,Q$4:Q1626&lt;&gt;""""))),""^Sell_""),INDEX(FILTER(T$4:T1625,Q$4:Q1625&lt;&gt;""""),ROWS(FILTER(Q$4:Q1625,Q$4:Q1625&lt;&gt;""""))),$AD$5+S1626))"),"")</f>
        <v/>
      </c>
      <c r="U1626" s="10" t="str">
        <f>IFERROR(__xludf.DUMMYFUNCTION("IF(COUNTA(Q1626:Q1644)=0,"""",IF(Q1626="""",0,IF(REGEXMATCH(Q1626,""^Sell_""),-ROUNDDOWN(ROUNDUP(INDEX(Upgrades!$C$3:$C$13,MATCH(SUBSTITUTE(Q1626,""Sell_"",""""),Upgrades!$B$3:$B$13,0))*1.15^(COUNTIF(Q$4:Q1625,SUBSTITUTE(Q1626,""Sell_"",""""))-COUNTIF(Q$4"&amp;":Q1625,""Sell_""&amp;SUBSTITUTE(Q1626,""Sell_"",""""))))/2),ROUNDUP(INDEX(Upgrades!$C$3:$C$13,MATCH(Q1626,Upgrades!$B$3:$B$13,0))*1.15^(COUNTIF(Q$4:Q1625,Q1626)-COUNTIF(Q$4:Q1625,""Sell_""&amp;Q1626))))))"),"")</f>
        <v/>
      </c>
      <c r="V1626" s="10" t="str">
        <f t="shared" si="11"/>
        <v/>
      </c>
      <c r="W1626" s="68" t="str">
        <f t="shared" si="12"/>
        <v/>
      </c>
      <c r="X1626" s="59" t="str">
        <f t="shared" si="13"/>
        <v/>
      </c>
      <c r="Y1626" s="69" t="str">
        <f t="shared" si="14"/>
        <v/>
      </c>
      <c r="Z1626" s="11"/>
      <c r="AG1626" s="59"/>
    </row>
    <row r="1627">
      <c r="A1627" s="8"/>
      <c r="B1627" s="56" t="str">
        <f t="shared" si="2"/>
        <v/>
      </c>
      <c r="C1627" s="105"/>
      <c r="D1627" s="10"/>
      <c r="E1627" s="59" t="str">
        <f t="array" ref="E1627">IF(COUNTA(C1627:C1644)=0,"",SUM((COUNTIF(C$4:C1627,Upgrades!$B$3:$B$13)-COUNTIF(C$4:C1627,"Sell_"&amp;Upgrades!$B$3:$B$13))*Upgrades!$D$3:$D$13))</f>
        <v/>
      </c>
      <c r="F1627" s="66" t="str">
        <f>IFERROR(__xludf.DUMMYFUNCTION("IF(COUNTA(C1627:C1644)=0,"""",IF(REGEXMATCH(INDEX(FILTER(C$4:C1627,C$4:C1627&lt;&gt;""""),ROWS(FILTER(C$4:C1627,C$4:C1627&lt;&gt;""""))),""^Sell_""),INDEX(FILTER(F$4:F1626,C$4:C1626&lt;&gt;""""),ROWS(FILTER(C$4:C1626,C$4:C1626&lt;&gt;""""))),$AC$5+E1627))"),"")</f>
        <v/>
      </c>
      <c r="G1627" s="10" t="str">
        <f>IFERROR(__xludf.DUMMYFUNCTION("IF(COUNTA(C1627:C1644)=0,"""",IF(C1627="""",0,IF(REGEXMATCH(C1627,""^Sell_""),-ROUNDDOWN(ROUNDUP(INDEX(Upgrades!$C$3:$C$13,MATCH(SUBSTITUTE(C1627,""Sell_"",""""),Upgrades!$B$3:$B$13,0))*1.15^(COUNTIF(C$4:C1626,SUBSTITUTE(C1627,""Sell_"",""""))-COUNTIF(C$4"&amp;":C1626,""Sell_""&amp;SUBSTITUTE(C1627,""Sell_"",""""))))/2),ROUNDUP(INDEX(Upgrades!$C$3:$C$13,MATCH(C1627,Upgrades!$B$3:$B$13,0))*1.15^(COUNTIF(C$4:C1626,C1627)-COUNTIF(C$4:C1626,""Sell_""&amp;C1627))))))"),"")</f>
        <v/>
      </c>
      <c r="H1627" s="10" t="str">
        <f t="shared" si="3"/>
        <v/>
      </c>
      <c r="I1627" s="68" t="str">
        <f t="shared" si="4"/>
        <v/>
      </c>
      <c r="J1627" s="59" t="str">
        <f t="shared" si="5"/>
        <v/>
      </c>
      <c r="K1627" s="69" t="str">
        <f t="shared" si="6"/>
        <v/>
      </c>
      <c r="L1627" s="60" t="str">
        <f t="shared" si="7"/>
        <v/>
      </c>
      <c r="M1627" s="61" t="str">
        <f>IFERROR(__xludf.DUMMYFUNCTION("IFS(AND(COUNTA(C1627:C1644)=0,COUNTA(Q1627:Q1644)=0),"""",OR(AND(K1627&gt;=1000000000,OR(Y1627&gt;=1000000000,COUNTA(Q1627:Q1644)=0)),OR(Y1627&gt;=1000000000,AND(COUNTA(C1627:C1644)=0,P$3=TRUE))),
ROUNDDOWN((AB$1-AC$1)*MAX(INDEX(T$4:T1644,MATCH(LARGE(FILTER(Y$4:Y1"&amp;"644,Y$4:Y1644&lt;1000000000),1),Y$4:Y1644)),INDEX(F$4:F1644,MATCH(LARGE(FILTER(K$4:K1644,K$4:K1644&lt;1000000000),1),K$4:K1644)))),AND(K1627&lt;1000000000,COUNTA(C1627:C1644)&gt;0,P$3=FALSE),
ROUNDDOWN(INDEX(Y$4:Y1644,MATCH(LARGE(FILTER(W$4:W1644,W$4:W1644&lt;=I1627),1)"&amp;",W$4:W1644))+(I1627-LARGE(FILTER(W$4:W1644,W$4:W1644&lt;=I1627),1))*INDEX(T$4:T1644,MATCH(LARGE(FILTER(W$4:W1644,W$4:W1644&lt;=I1627),1),W$4:W1644))-K1627),1,
ROUNDDOWN(Y1627-INDEX(K$4:K1644,MATCH(LARGE(FILTER(I$4:I1644,I$4:I1644&lt;=W1627),1),I$4:I1644))-(W1627-L"&amp;"ARGE(FILTER(I$4:I1644,I$4:I1644&lt;=W1627),1))*INDEX(F$4:F1644,MATCH(LARGE(FILTER(I$4:I1644,I$4:I1644&lt;=W1627),1),I$4:I1644))))"),"")</f>
        <v/>
      </c>
      <c r="N1627" s="60" t="str">
        <f t="shared" si="8"/>
        <v/>
      </c>
      <c r="O1627" s="61" t="str">
        <f t="shared" si="9"/>
        <v/>
      </c>
      <c r="P1627" s="56" t="str">
        <f t="shared" si="10"/>
        <v/>
      </c>
      <c r="Q1627" s="105"/>
      <c r="R1627" s="10"/>
      <c r="S1627" s="59" t="str">
        <f t="array" ref="S1627">IF(COUNTA(Q1627:Q1644)=0,"",SUM((COUNTIF(Q$4:Q1627,Upgrades!$B$3:$B$13)-COUNTIF(Q$4:Q1627,"Sell_"&amp;Upgrades!$B$3:$B$13))*Upgrades!$D$3:$D$13))</f>
        <v/>
      </c>
      <c r="T1627" s="66" t="str">
        <f>IFERROR(__xludf.DUMMYFUNCTION("IF(COUNTA(Q1627:Q1644)=0,"""",IF(REGEXMATCH(INDEX(FILTER(Q$4:Q1627,Q$4:Q1627&lt;&gt;""""),ROWS(FILTER(Q$4:Q1627,Q$4:Q1627&lt;&gt;""""))),""^Sell_""),INDEX(FILTER(T$4:T1626,Q$4:Q1626&lt;&gt;""""),ROWS(FILTER(Q$4:Q1626,Q$4:Q1626&lt;&gt;""""))),$AD$5+S1627))"),"")</f>
        <v/>
      </c>
      <c r="U1627" s="10" t="str">
        <f>IFERROR(__xludf.DUMMYFUNCTION("IF(COUNTA(Q1627:Q1644)=0,"""",IF(Q1627="""",0,IF(REGEXMATCH(Q1627,""^Sell_""),-ROUNDDOWN(ROUNDUP(INDEX(Upgrades!$C$3:$C$13,MATCH(SUBSTITUTE(Q1627,""Sell_"",""""),Upgrades!$B$3:$B$13,0))*1.15^(COUNTIF(Q$4:Q1626,SUBSTITUTE(Q1627,""Sell_"",""""))-COUNTIF(Q$4"&amp;":Q1626,""Sell_""&amp;SUBSTITUTE(Q1627,""Sell_"",""""))))/2),ROUNDUP(INDEX(Upgrades!$C$3:$C$13,MATCH(Q1627,Upgrades!$B$3:$B$13,0))*1.15^(COUNTIF(Q$4:Q1626,Q1627)-COUNTIF(Q$4:Q1626,""Sell_""&amp;Q1627))))))"),"")</f>
        <v/>
      </c>
      <c r="V1627" s="10" t="str">
        <f t="shared" si="11"/>
        <v/>
      </c>
      <c r="W1627" s="68" t="str">
        <f t="shared" si="12"/>
        <v/>
      </c>
      <c r="X1627" s="59" t="str">
        <f t="shared" si="13"/>
        <v/>
      </c>
      <c r="Y1627" s="69" t="str">
        <f t="shared" si="14"/>
        <v/>
      </c>
      <c r="Z1627" s="11"/>
      <c r="AG1627" s="59"/>
    </row>
    <row r="1628">
      <c r="A1628" s="8"/>
      <c r="B1628" s="56" t="str">
        <f t="shared" si="2"/>
        <v/>
      </c>
      <c r="C1628" s="105"/>
      <c r="D1628" s="10"/>
      <c r="E1628" s="59" t="str">
        <f t="array" ref="E1628">IF(COUNTA(C1628:C1644)=0,"",SUM((COUNTIF(C$4:C1628,Upgrades!$B$3:$B$13)-COUNTIF(C$4:C1628,"Sell_"&amp;Upgrades!$B$3:$B$13))*Upgrades!$D$3:$D$13))</f>
        <v/>
      </c>
      <c r="F1628" s="66" t="str">
        <f>IFERROR(__xludf.DUMMYFUNCTION("IF(COUNTA(C1628:C1644)=0,"""",IF(REGEXMATCH(INDEX(FILTER(C$4:C1628,C$4:C1628&lt;&gt;""""),ROWS(FILTER(C$4:C1628,C$4:C1628&lt;&gt;""""))),""^Sell_""),INDEX(FILTER(F$4:F1627,C$4:C1627&lt;&gt;""""),ROWS(FILTER(C$4:C1627,C$4:C1627&lt;&gt;""""))),$AC$5+E1628))"),"")</f>
        <v/>
      </c>
      <c r="G1628" s="10" t="str">
        <f>IFERROR(__xludf.DUMMYFUNCTION("IF(COUNTA(C1628:C1644)=0,"""",IF(C1628="""",0,IF(REGEXMATCH(C1628,""^Sell_""),-ROUNDDOWN(ROUNDUP(INDEX(Upgrades!$C$3:$C$13,MATCH(SUBSTITUTE(C1628,""Sell_"",""""),Upgrades!$B$3:$B$13,0))*1.15^(COUNTIF(C$4:C1627,SUBSTITUTE(C1628,""Sell_"",""""))-COUNTIF(C$4"&amp;":C1627,""Sell_""&amp;SUBSTITUTE(C1628,""Sell_"",""""))))/2),ROUNDUP(INDEX(Upgrades!$C$3:$C$13,MATCH(C1628,Upgrades!$B$3:$B$13,0))*1.15^(COUNTIF(C$4:C1627,C1628)-COUNTIF(C$4:C1627,""Sell_""&amp;C1628))))))"),"")</f>
        <v/>
      </c>
      <c r="H1628" s="10" t="str">
        <f t="shared" si="3"/>
        <v/>
      </c>
      <c r="I1628" s="68" t="str">
        <f t="shared" si="4"/>
        <v/>
      </c>
      <c r="J1628" s="59" t="str">
        <f t="shared" si="5"/>
        <v/>
      </c>
      <c r="K1628" s="69" t="str">
        <f t="shared" si="6"/>
        <v/>
      </c>
      <c r="L1628" s="60" t="str">
        <f t="shared" si="7"/>
        <v/>
      </c>
      <c r="M1628" s="61" t="str">
        <f>IFERROR(__xludf.DUMMYFUNCTION("IFS(AND(COUNTA(C1628:C1644)=0,COUNTA(Q1628:Q1644)=0),"""",OR(AND(K1628&gt;=1000000000,OR(Y1628&gt;=1000000000,COUNTA(Q1628:Q1644)=0)),OR(Y1628&gt;=1000000000,AND(COUNTA(C1628:C1644)=0,P$3=TRUE))),
ROUNDDOWN((AB$1-AC$1)*MAX(INDEX(T$4:T1644,MATCH(LARGE(FILTER(Y$4:Y1"&amp;"644,Y$4:Y1644&lt;1000000000),1),Y$4:Y1644)),INDEX(F$4:F1644,MATCH(LARGE(FILTER(K$4:K1644,K$4:K1644&lt;1000000000),1),K$4:K1644)))),AND(K1628&lt;1000000000,COUNTA(C1628:C1644)&gt;0,P$3=FALSE),
ROUNDDOWN(INDEX(Y$4:Y1644,MATCH(LARGE(FILTER(W$4:W1644,W$4:W1644&lt;=I1628),1)"&amp;",W$4:W1644))+(I1628-LARGE(FILTER(W$4:W1644,W$4:W1644&lt;=I1628),1))*INDEX(T$4:T1644,MATCH(LARGE(FILTER(W$4:W1644,W$4:W1644&lt;=I1628),1),W$4:W1644))-K1628),1,
ROUNDDOWN(Y1628-INDEX(K$4:K1644,MATCH(LARGE(FILTER(I$4:I1644,I$4:I1644&lt;=W1628),1),I$4:I1644))-(W1628-L"&amp;"ARGE(FILTER(I$4:I1644,I$4:I1644&lt;=W1628),1))*INDEX(F$4:F1644,MATCH(LARGE(FILTER(I$4:I1644,I$4:I1644&lt;=W1628),1),I$4:I1644))))"),"")</f>
        <v/>
      </c>
      <c r="N1628" s="60" t="str">
        <f t="shared" si="8"/>
        <v/>
      </c>
      <c r="O1628" s="61" t="str">
        <f t="shared" si="9"/>
        <v/>
      </c>
      <c r="P1628" s="56" t="str">
        <f t="shared" si="10"/>
        <v/>
      </c>
      <c r="Q1628" s="105"/>
      <c r="R1628" s="10"/>
      <c r="S1628" s="59" t="str">
        <f t="array" ref="S1628">IF(COUNTA(Q1628:Q1644)=0,"",SUM((COUNTIF(Q$4:Q1628,Upgrades!$B$3:$B$13)-COUNTIF(Q$4:Q1628,"Sell_"&amp;Upgrades!$B$3:$B$13))*Upgrades!$D$3:$D$13))</f>
        <v/>
      </c>
      <c r="T1628" s="66" t="str">
        <f>IFERROR(__xludf.DUMMYFUNCTION("IF(COUNTA(Q1628:Q1644)=0,"""",IF(REGEXMATCH(INDEX(FILTER(Q$4:Q1628,Q$4:Q1628&lt;&gt;""""),ROWS(FILTER(Q$4:Q1628,Q$4:Q1628&lt;&gt;""""))),""^Sell_""),INDEX(FILTER(T$4:T1627,Q$4:Q1627&lt;&gt;""""),ROWS(FILTER(Q$4:Q1627,Q$4:Q1627&lt;&gt;""""))),$AD$5+S1628))"),"")</f>
        <v/>
      </c>
      <c r="U1628" s="10" t="str">
        <f>IFERROR(__xludf.DUMMYFUNCTION("IF(COUNTA(Q1628:Q1644)=0,"""",IF(Q1628="""",0,IF(REGEXMATCH(Q1628,""^Sell_""),-ROUNDDOWN(ROUNDUP(INDEX(Upgrades!$C$3:$C$13,MATCH(SUBSTITUTE(Q1628,""Sell_"",""""),Upgrades!$B$3:$B$13,0))*1.15^(COUNTIF(Q$4:Q1627,SUBSTITUTE(Q1628,""Sell_"",""""))-COUNTIF(Q$4"&amp;":Q1627,""Sell_""&amp;SUBSTITUTE(Q1628,""Sell_"",""""))))/2),ROUNDUP(INDEX(Upgrades!$C$3:$C$13,MATCH(Q1628,Upgrades!$B$3:$B$13,0))*1.15^(COUNTIF(Q$4:Q1627,Q1628)-COUNTIF(Q$4:Q1627,""Sell_""&amp;Q1628))))))"),"")</f>
        <v/>
      </c>
      <c r="V1628" s="10" t="str">
        <f t="shared" si="11"/>
        <v/>
      </c>
      <c r="W1628" s="68" t="str">
        <f t="shared" si="12"/>
        <v/>
      </c>
      <c r="X1628" s="59" t="str">
        <f t="shared" si="13"/>
        <v/>
      </c>
      <c r="Y1628" s="69" t="str">
        <f t="shared" si="14"/>
        <v/>
      </c>
      <c r="Z1628" s="11"/>
      <c r="AG1628" s="59"/>
    </row>
    <row r="1629">
      <c r="A1629" s="8"/>
      <c r="B1629" s="56" t="str">
        <f t="shared" si="2"/>
        <v/>
      </c>
      <c r="C1629" s="105"/>
      <c r="D1629" s="10"/>
      <c r="E1629" s="59" t="str">
        <f t="array" ref="E1629">IF(COUNTA(C1629:C1644)=0,"",SUM((COUNTIF(C$4:C1629,Upgrades!$B$3:$B$13)-COUNTIF(C$4:C1629,"Sell_"&amp;Upgrades!$B$3:$B$13))*Upgrades!$D$3:$D$13))</f>
        <v/>
      </c>
      <c r="F1629" s="66" t="str">
        <f>IFERROR(__xludf.DUMMYFUNCTION("IF(COUNTA(C1629:C1644)=0,"""",IF(REGEXMATCH(INDEX(FILTER(C$4:C1629,C$4:C1629&lt;&gt;""""),ROWS(FILTER(C$4:C1629,C$4:C1629&lt;&gt;""""))),""^Sell_""),INDEX(FILTER(F$4:F1628,C$4:C1628&lt;&gt;""""),ROWS(FILTER(C$4:C1628,C$4:C1628&lt;&gt;""""))),$AC$5+E1629))"),"")</f>
        <v/>
      </c>
      <c r="G1629" s="10" t="str">
        <f>IFERROR(__xludf.DUMMYFUNCTION("IF(COUNTA(C1629:C1644)=0,"""",IF(C1629="""",0,IF(REGEXMATCH(C1629,""^Sell_""),-ROUNDDOWN(ROUNDUP(INDEX(Upgrades!$C$3:$C$13,MATCH(SUBSTITUTE(C1629,""Sell_"",""""),Upgrades!$B$3:$B$13,0))*1.15^(COUNTIF(C$4:C1628,SUBSTITUTE(C1629,""Sell_"",""""))-COUNTIF(C$4"&amp;":C1628,""Sell_""&amp;SUBSTITUTE(C1629,""Sell_"",""""))))/2),ROUNDUP(INDEX(Upgrades!$C$3:$C$13,MATCH(C1629,Upgrades!$B$3:$B$13,0))*1.15^(COUNTIF(C$4:C1628,C1629)-COUNTIF(C$4:C1628,""Sell_""&amp;C1629))))))"),"")</f>
        <v/>
      </c>
      <c r="H1629" s="10" t="str">
        <f t="shared" si="3"/>
        <v/>
      </c>
      <c r="I1629" s="68" t="str">
        <f t="shared" si="4"/>
        <v/>
      </c>
      <c r="J1629" s="59" t="str">
        <f t="shared" si="5"/>
        <v/>
      </c>
      <c r="K1629" s="69" t="str">
        <f t="shared" si="6"/>
        <v/>
      </c>
      <c r="L1629" s="60" t="str">
        <f t="shared" si="7"/>
        <v/>
      </c>
      <c r="M1629" s="61" t="str">
        <f>IFERROR(__xludf.DUMMYFUNCTION("IFS(AND(COUNTA(C1629:C1644)=0,COUNTA(Q1629:Q1644)=0),"""",OR(AND(K1629&gt;=1000000000,OR(Y1629&gt;=1000000000,COUNTA(Q1629:Q1644)=0)),OR(Y1629&gt;=1000000000,AND(COUNTA(C1629:C1644)=0,P$3=TRUE))),
ROUNDDOWN((AB$1-AC$1)*MAX(INDEX(T$4:T1644,MATCH(LARGE(FILTER(Y$4:Y1"&amp;"644,Y$4:Y1644&lt;1000000000),1),Y$4:Y1644)),INDEX(F$4:F1644,MATCH(LARGE(FILTER(K$4:K1644,K$4:K1644&lt;1000000000),1),K$4:K1644)))),AND(K1629&lt;1000000000,COUNTA(C1629:C1644)&gt;0,P$3=FALSE),
ROUNDDOWN(INDEX(Y$4:Y1644,MATCH(LARGE(FILTER(W$4:W1644,W$4:W1644&lt;=I1629),1)"&amp;",W$4:W1644))+(I1629-LARGE(FILTER(W$4:W1644,W$4:W1644&lt;=I1629),1))*INDEX(T$4:T1644,MATCH(LARGE(FILTER(W$4:W1644,W$4:W1644&lt;=I1629),1),W$4:W1644))-K1629),1,
ROUNDDOWN(Y1629-INDEX(K$4:K1644,MATCH(LARGE(FILTER(I$4:I1644,I$4:I1644&lt;=W1629),1),I$4:I1644))-(W1629-L"&amp;"ARGE(FILTER(I$4:I1644,I$4:I1644&lt;=W1629),1))*INDEX(F$4:F1644,MATCH(LARGE(FILTER(I$4:I1644,I$4:I1644&lt;=W1629),1),I$4:I1644))))"),"")</f>
        <v/>
      </c>
      <c r="N1629" s="60" t="str">
        <f t="shared" si="8"/>
        <v/>
      </c>
      <c r="O1629" s="61" t="str">
        <f t="shared" si="9"/>
        <v/>
      </c>
      <c r="P1629" s="56" t="str">
        <f t="shared" si="10"/>
        <v/>
      </c>
      <c r="Q1629" s="105"/>
      <c r="R1629" s="10"/>
      <c r="S1629" s="59" t="str">
        <f t="array" ref="S1629">IF(COUNTA(Q1629:Q1644)=0,"",SUM((COUNTIF(Q$4:Q1629,Upgrades!$B$3:$B$13)-COUNTIF(Q$4:Q1629,"Sell_"&amp;Upgrades!$B$3:$B$13))*Upgrades!$D$3:$D$13))</f>
        <v/>
      </c>
      <c r="T1629" s="66" t="str">
        <f>IFERROR(__xludf.DUMMYFUNCTION("IF(COUNTA(Q1629:Q1644)=0,"""",IF(REGEXMATCH(INDEX(FILTER(Q$4:Q1629,Q$4:Q1629&lt;&gt;""""),ROWS(FILTER(Q$4:Q1629,Q$4:Q1629&lt;&gt;""""))),""^Sell_""),INDEX(FILTER(T$4:T1628,Q$4:Q1628&lt;&gt;""""),ROWS(FILTER(Q$4:Q1628,Q$4:Q1628&lt;&gt;""""))),$AD$5+S1629))"),"")</f>
        <v/>
      </c>
      <c r="U1629" s="10" t="str">
        <f>IFERROR(__xludf.DUMMYFUNCTION("IF(COUNTA(Q1629:Q1644)=0,"""",IF(Q1629="""",0,IF(REGEXMATCH(Q1629,""^Sell_""),-ROUNDDOWN(ROUNDUP(INDEX(Upgrades!$C$3:$C$13,MATCH(SUBSTITUTE(Q1629,""Sell_"",""""),Upgrades!$B$3:$B$13,0))*1.15^(COUNTIF(Q$4:Q1628,SUBSTITUTE(Q1629,""Sell_"",""""))-COUNTIF(Q$4"&amp;":Q1628,""Sell_""&amp;SUBSTITUTE(Q1629,""Sell_"",""""))))/2),ROUNDUP(INDEX(Upgrades!$C$3:$C$13,MATCH(Q1629,Upgrades!$B$3:$B$13,0))*1.15^(COUNTIF(Q$4:Q1628,Q1629)-COUNTIF(Q$4:Q1628,""Sell_""&amp;Q1629))))))"),"")</f>
        <v/>
      </c>
      <c r="V1629" s="10" t="str">
        <f t="shared" si="11"/>
        <v/>
      </c>
      <c r="W1629" s="68" t="str">
        <f t="shared" si="12"/>
        <v/>
      </c>
      <c r="X1629" s="59" t="str">
        <f t="shared" si="13"/>
        <v/>
      </c>
      <c r="Y1629" s="69" t="str">
        <f t="shared" si="14"/>
        <v/>
      </c>
      <c r="Z1629" s="11"/>
      <c r="AG1629" s="59"/>
    </row>
    <row r="1630">
      <c r="A1630" s="8"/>
      <c r="B1630" s="56" t="str">
        <f t="shared" si="2"/>
        <v/>
      </c>
      <c r="C1630" s="105"/>
      <c r="D1630" s="10"/>
      <c r="E1630" s="59" t="str">
        <f t="array" ref="E1630">IF(COUNTA(C1630:C1644)=0,"",SUM((COUNTIF(C$4:C1630,Upgrades!$B$3:$B$13)-COUNTIF(C$4:C1630,"Sell_"&amp;Upgrades!$B$3:$B$13))*Upgrades!$D$3:$D$13))</f>
        <v/>
      </c>
      <c r="F1630" s="66" t="str">
        <f>IFERROR(__xludf.DUMMYFUNCTION("IF(COUNTA(C1630:C1644)=0,"""",IF(REGEXMATCH(INDEX(FILTER(C$4:C1630,C$4:C1630&lt;&gt;""""),ROWS(FILTER(C$4:C1630,C$4:C1630&lt;&gt;""""))),""^Sell_""),INDEX(FILTER(F$4:F1629,C$4:C1629&lt;&gt;""""),ROWS(FILTER(C$4:C1629,C$4:C1629&lt;&gt;""""))),$AC$5+E1630))"),"")</f>
        <v/>
      </c>
      <c r="G1630" s="10" t="str">
        <f>IFERROR(__xludf.DUMMYFUNCTION("IF(COUNTA(C1630:C1644)=0,"""",IF(C1630="""",0,IF(REGEXMATCH(C1630,""^Sell_""),-ROUNDDOWN(ROUNDUP(INDEX(Upgrades!$C$3:$C$13,MATCH(SUBSTITUTE(C1630,""Sell_"",""""),Upgrades!$B$3:$B$13,0))*1.15^(COUNTIF(C$4:C1629,SUBSTITUTE(C1630,""Sell_"",""""))-COUNTIF(C$4"&amp;":C1629,""Sell_""&amp;SUBSTITUTE(C1630,""Sell_"",""""))))/2),ROUNDUP(INDEX(Upgrades!$C$3:$C$13,MATCH(C1630,Upgrades!$B$3:$B$13,0))*1.15^(COUNTIF(C$4:C1629,C1630)-COUNTIF(C$4:C1629,""Sell_""&amp;C1630))))))"),"")</f>
        <v/>
      </c>
      <c r="H1630" s="10" t="str">
        <f t="shared" si="3"/>
        <v/>
      </c>
      <c r="I1630" s="68" t="str">
        <f t="shared" si="4"/>
        <v/>
      </c>
      <c r="J1630" s="59" t="str">
        <f t="shared" si="5"/>
        <v/>
      </c>
      <c r="K1630" s="69" t="str">
        <f t="shared" si="6"/>
        <v/>
      </c>
      <c r="L1630" s="60" t="str">
        <f t="shared" si="7"/>
        <v/>
      </c>
      <c r="M1630" s="61" t="str">
        <f>IFERROR(__xludf.DUMMYFUNCTION("IFS(AND(COUNTA(C1630:C1644)=0,COUNTA(Q1630:Q1644)=0),"""",OR(AND(K1630&gt;=1000000000,OR(Y1630&gt;=1000000000,COUNTA(Q1630:Q1644)=0)),OR(Y1630&gt;=1000000000,AND(COUNTA(C1630:C1644)=0,P$3=TRUE))),
ROUNDDOWN((AB$1-AC$1)*MAX(INDEX(T$4:T1644,MATCH(LARGE(FILTER(Y$4:Y1"&amp;"644,Y$4:Y1644&lt;1000000000),1),Y$4:Y1644)),INDEX(F$4:F1644,MATCH(LARGE(FILTER(K$4:K1644,K$4:K1644&lt;1000000000),1),K$4:K1644)))),AND(K1630&lt;1000000000,COUNTA(C1630:C1644)&gt;0,P$3=FALSE),
ROUNDDOWN(INDEX(Y$4:Y1644,MATCH(LARGE(FILTER(W$4:W1644,W$4:W1644&lt;=I1630),1)"&amp;",W$4:W1644))+(I1630-LARGE(FILTER(W$4:W1644,W$4:W1644&lt;=I1630),1))*INDEX(T$4:T1644,MATCH(LARGE(FILTER(W$4:W1644,W$4:W1644&lt;=I1630),1),W$4:W1644))-K1630),1,
ROUNDDOWN(Y1630-INDEX(K$4:K1644,MATCH(LARGE(FILTER(I$4:I1644,I$4:I1644&lt;=W1630),1),I$4:I1644))-(W1630-L"&amp;"ARGE(FILTER(I$4:I1644,I$4:I1644&lt;=W1630),1))*INDEX(F$4:F1644,MATCH(LARGE(FILTER(I$4:I1644,I$4:I1644&lt;=W1630),1),I$4:I1644))))"),"")</f>
        <v/>
      </c>
      <c r="N1630" s="60" t="str">
        <f t="shared" si="8"/>
        <v/>
      </c>
      <c r="O1630" s="61" t="str">
        <f t="shared" si="9"/>
        <v/>
      </c>
      <c r="P1630" s="56" t="str">
        <f t="shared" si="10"/>
        <v/>
      </c>
      <c r="Q1630" s="105"/>
      <c r="R1630" s="10"/>
      <c r="S1630" s="59" t="str">
        <f t="array" ref="S1630">IF(COUNTA(Q1630:Q1644)=0,"",SUM((COUNTIF(Q$4:Q1630,Upgrades!$B$3:$B$13)-COUNTIF(Q$4:Q1630,"Sell_"&amp;Upgrades!$B$3:$B$13))*Upgrades!$D$3:$D$13))</f>
        <v/>
      </c>
      <c r="T1630" s="66" t="str">
        <f>IFERROR(__xludf.DUMMYFUNCTION("IF(COUNTA(Q1630:Q1644)=0,"""",IF(REGEXMATCH(INDEX(FILTER(Q$4:Q1630,Q$4:Q1630&lt;&gt;""""),ROWS(FILTER(Q$4:Q1630,Q$4:Q1630&lt;&gt;""""))),""^Sell_""),INDEX(FILTER(T$4:T1629,Q$4:Q1629&lt;&gt;""""),ROWS(FILTER(Q$4:Q1629,Q$4:Q1629&lt;&gt;""""))),$AD$5+S1630))"),"")</f>
        <v/>
      </c>
      <c r="U1630" s="10" t="str">
        <f>IFERROR(__xludf.DUMMYFUNCTION("IF(COUNTA(Q1630:Q1644)=0,"""",IF(Q1630="""",0,IF(REGEXMATCH(Q1630,""^Sell_""),-ROUNDDOWN(ROUNDUP(INDEX(Upgrades!$C$3:$C$13,MATCH(SUBSTITUTE(Q1630,""Sell_"",""""),Upgrades!$B$3:$B$13,0))*1.15^(COUNTIF(Q$4:Q1629,SUBSTITUTE(Q1630,""Sell_"",""""))-COUNTIF(Q$4"&amp;":Q1629,""Sell_""&amp;SUBSTITUTE(Q1630,""Sell_"",""""))))/2),ROUNDUP(INDEX(Upgrades!$C$3:$C$13,MATCH(Q1630,Upgrades!$B$3:$B$13,0))*1.15^(COUNTIF(Q$4:Q1629,Q1630)-COUNTIF(Q$4:Q1629,""Sell_""&amp;Q1630))))))"),"")</f>
        <v/>
      </c>
      <c r="V1630" s="10" t="str">
        <f t="shared" si="11"/>
        <v/>
      </c>
      <c r="W1630" s="68" t="str">
        <f t="shared" si="12"/>
        <v/>
      </c>
      <c r="X1630" s="59" t="str">
        <f t="shared" si="13"/>
        <v/>
      </c>
      <c r="Y1630" s="69" t="str">
        <f t="shared" si="14"/>
        <v/>
      </c>
      <c r="Z1630" s="11"/>
      <c r="AG1630" s="59"/>
    </row>
    <row r="1631">
      <c r="A1631" s="8"/>
      <c r="B1631" s="56" t="str">
        <f t="shared" si="2"/>
        <v/>
      </c>
      <c r="C1631" s="105"/>
      <c r="D1631" s="10"/>
      <c r="E1631" s="59" t="str">
        <f t="array" ref="E1631">IF(COUNTA(C1631:C1644)=0,"",SUM((COUNTIF(C$4:C1631,Upgrades!$B$3:$B$13)-COUNTIF(C$4:C1631,"Sell_"&amp;Upgrades!$B$3:$B$13))*Upgrades!$D$3:$D$13))</f>
        <v/>
      </c>
      <c r="F1631" s="66" t="str">
        <f>IFERROR(__xludf.DUMMYFUNCTION("IF(COUNTA(C1631:C1644)=0,"""",IF(REGEXMATCH(INDEX(FILTER(C$4:C1631,C$4:C1631&lt;&gt;""""),ROWS(FILTER(C$4:C1631,C$4:C1631&lt;&gt;""""))),""^Sell_""),INDEX(FILTER(F$4:F1630,C$4:C1630&lt;&gt;""""),ROWS(FILTER(C$4:C1630,C$4:C1630&lt;&gt;""""))),$AC$5+E1631))"),"")</f>
        <v/>
      </c>
      <c r="G1631" s="10" t="str">
        <f>IFERROR(__xludf.DUMMYFUNCTION("IF(COUNTA(C1631:C1644)=0,"""",IF(C1631="""",0,IF(REGEXMATCH(C1631,""^Sell_""),-ROUNDDOWN(ROUNDUP(INDEX(Upgrades!$C$3:$C$13,MATCH(SUBSTITUTE(C1631,""Sell_"",""""),Upgrades!$B$3:$B$13,0))*1.15^(COUNTIF(C$4:C1630,SUBSTITUTE(C1631,""Sell_"",""""))-COUNTIF(C$4"&amp;":C1630,""Sell_""&amp;SUBSTITUTE(C1631,""Sell_"",""""))))/2),ROUNDUP(INDEX(Upgrades!$C$3:$C$13,MATCH(C1631,Upgrades!$B$3:$B$13,0))*1.15^(COUNTIF(C$4:C1630,C1631)-COUNTIF(C$4:C1630,""Sell_""&amp;C1631))))))"),"")</f>
        <v/>
      </c>
      <c r="H1631" s="10" t="str">
        <f t="shared" si="3"/>
        <v/>
      </c>
      <c r="I1631" s="68" t="str">
        <f t="shared" si="4"/>
        <v/>
      </c>
      <c r="J1631" s="59" t="str">
        <f t="shared" si="5"/>
        <v/>
      </c>
      <c r="K1631" s="69" t="str">
        <f t="shared" si="6"/>
        <v/>
      </c>
      <c r="L1631" s="60" t="str">
        <f t="shared" si="7"/>
        <v/>
      </c>
      <c r="M1631" s="61" t="str">
        <f>IFERROR(__xludf.DUMMYFUNCTION("IFS(AND(COUNTA(C1631:C1644)=0,COUNTA(Q1631:Q1644)=0),"""",OR(AND(K1631&gt;=1000000000,OR(Y1631&gt;=1000000000,COUNTA(Q1631:Q1644)=0)),OR(Y1631&gt;=1000000000,AND(COUNTA(C1631:C1644)=0,P$3=TRUE))),
ROUNDDOWN((AB$1-AC$1)*MAX(INDEX(T$4:T1644,MATCH(LARGE(FILTER(Y$4:Y1"&amp;"644,Y$4:Y1644&lt;1000000000),1),Y$4:Y1644)),INDEX(F$4:F1644,MATCH(LARGE(FILTER(K$4:K1644,K$4:K1644&lt;1000000000),1),K$4:K1644)))),AND(K1631&lt;1000000000,COUNTA(C1631:C1644)&gt;0,P$3=FALSE),
ROUNDDOWN(INDEX(Y$4:Y1644,MATCH(LARGE(FILTER(W$4:W1644,W$4:W1644&lt;=I1631),1)"&amp;",W$4:W1644))+(I1631-LARGE(FILTER(W$4:W1644,W$4:W1644&lt;=I1631),1))*INDEX(T$4:T1644,MATCH(LARGE(FILTER(W$4:W1644,W$4:W1644&lt;=I1631),1),W$4:W1644))-K1631),1,
ROUNDDOWN(Y1631-INDEX(K$4:K1644,MATCH(LARGE(FILTER(I$4:I1644,I$4:I1644&lt;=W1631),1),I$4:I1644))-(W1631-L"&amp;"ARGE(FILTER(I$4:I1644,I$4:I1644&lt;=W1631),1))*INDEX(F$4:F1644,MATCH(LARGE(FILTER(I$4:I1644,I$4:I1644&lt;=W1631),1),I$4:I1644))))"),"")</f>
        <v/>
      </c>
      <c r="N1631" s="60" t="str">
        <f t="shared" si="8"/>
        <v/>
      </c>
      <c r="O1631" s="61" t="str">
        <f t="shared" si="9"/>
        <v/>
      </c>
      <c r="P1631" s="56" t="str">
        <f t="shared" si="10"/>
        <v/>
      </c>
      <c r="Q1631" s="105"/>
      <c r="R1631" s="10"/>
      <c r="S1631" s="59" t="str">
        <f t="array" ref="S1631">IF(COUNTA(Q1631:Q1644)=0,"",SUM((COUNTIF(Q$4:Q1631,Upgrades!$B$3:$B$13)-COUNTIF(Q$4:Q1631,"Sell_"&amp;Upgrades!$B$3:$B$13))*Upgrades!$D$3:$D$13))</f>
        <v/>
      </c>
      <c r="T1631" s="66" t="str">
        <f>IFERROR(__xludf.DUMMYFUNCTION("IF(COUNTA(Q1631:Q1644)=0,"""",IF(REGEXMATCH(INDEX(FILTER(Q$4:Q1631,Q$4:Q1631&lt;&gt;""""),ROWS(FILTER(Q$4:Q1631,Q$4:Q1631&lt;&gt;""""))),""^Sell_""),INDEX(FILTER(T$4:T1630,Q$4:Q1630&lt;&gt;""""),ROWS(FILTER(Q$4:Q1630,Q$4:Q1630&lt;&gt;""""))),$AD$5+S1631))"),"")</f>
        <v/>
      </c>
      <c r="U1631" s="10" t="str">
        <f>IFERROR(__xludf.DUMMYFUNCTION("IF(COUNTA(Q1631:Q1644)=0,"""",IF(Q1631="""",0,IF(REGEXMATCH(Q1631,""^Sell_""),-ROUNDDOWN(ROUNDUP(INDEX(Upgrades!$C$3:$C$13,MATCH(SUBSTITUTE(Q1631,""Sell_"",""""),Upgrades!$B$3:$B$13,0))*1.15^(COUNTIF(Q$4:Q1630,SUBSTITUTE(Q1631,""Sell_"",""""))-COUNTIF(Q$4"&amp;":Q1630,""Sell_""&amp;SUBSTITUTE(Q1631,""Sell_"",""""))))/2),ROUNDUP(INDEX(Upgrades!$C$3:$C$13,MATCH(Q1631,Upgrades!$B$3:$B$13,0))*1.15^(COUNTIF(Q$4:Q1630,Q1631)-COUNTIF(Q$4:Q1630,""Sell_""&amp;Q1631))))))"),"")</f>
        <v/>
      </c>
      <c r="V1631" s="10" t="str">
        <f t="shared" si="11"/>
        <v/>
      </c>
      <c r="W1631" s="68" t="str">
        <f t="shared" si="12"/>
        <v/>
      </c>
      <c r="X1631" s="59" t="str">
        <f t="shared" si="13"/>
        <v/>
      </c>
      <c r="Y1631" s="69" t="str">
        <f t="shared" si="14"/>
        <v/>
      </c>
      <c r="Z1631" s="11"/>
      <c r="AG1631" s="59"/>
    </row>
    <row r="1632">
      <c r="A1632" s="8"/>
      <c r="B1632" s="56" t="str">
        <f t="shared" si="2"/>
        <v/>
      </c>
      <c r="C1632" s="105"/>
      <c r="D1632" s="10"/>
      <c r="E1632" s="59" t="str">
        <f t="array" ref="E1632">IF(COUNTA(C1632:C1644)=0,"",SUM((COUNTIF(C$4:C1632,Upgrades!$B$3:$B$13)-COUNTIF(C$4:C1632,"Sell_"&amp;Upgrades!$B$3:$B$13))*Upgrades!$D$3:$D$13))</f>
        <v/>
      </c>
      <c r="F1632" s="66" t="str">
        <f>IFERROR(__xludf.DUMMYFUNCTION("IF(COUNTA(C1632:C1644)=0,"""",IF(REGEXMATCH(INDEX(FILTER(C$4:C1632,C$4:C1632&lt;&gt;""""),ROWS(FILTER(C$4:C1632,C$4:C1632&lt;&gt;""""))),""^Sell_""),INDEX(FILTER(F$4:F1631,C$4:C1631&lt;&gt;""""),ROWS(FILTER(C$4:C1631,C$4:C1631&lt;&gt;""""))),$AC$5+E1632))"),"")</f>
        <v/>
      </c>
      <c r="G1632" s="10" t="str">
        <f>IFERROR(__xludf.DUMMYFUNCTION("IF(COUNTA(C1632:C1644)=0,"""",IF(C1632="""",0,IF(REGEXMATCH(C1632,""^Sell_""),-ROUNDDOWN(ROUNDUP(INDEX(Upgrades!$C$3:$C$13,MATCH(SUBSTITUTE(C1632,""Sell_"",""""),Upgrades!$B$3:$B$13,0))*1.15^(COUNTIF(C$4:C1631,SUBSTITUTE(C1632,""Sell_"",""""))-COUNTIF(C$4"&amp;":C1631,""Sell_""&amp;SUBSTITUTE(C1632,""Sell_"",""""))))/2),ROUNDUP(INDEX(Upgrades!$C$3:$C$13,MATCH(C1632,Upgrades!$B$3:$B$13,0))*1.15^(COUNTIF(C$4:C1631,C1632)-COUNTIF(C$4:C1631,""Sell_""&amp;C1632))))))"),"")</f>
        <v/>
      </c>
      <c r="H1632" s="10" t="str">
        <f t="shared" si="3"/>
        <v/>
      </c>
      <c r="I1632" s="68" t="str">
        <f t="shared" si="4"/>
        <v/>
      </c>
      <c r="J1632" s="59" t="str">
        <f t="shared" si="5"/>
        <v/>
      </c>
      <c r="K1632" s="69" t="str">
        <f t="shared" si="6"/>
        <v/>
      </c>
      <c r="L1632" s="60" t="str">
        <f t="shared" si="7"/>
        <v/>
      </c>
      <c r="M1632" s="61" t="str">
        <f>IFERROR(__xludf.DUMMYFUNCTION("IFS(AND(COUNTA(C1632:C1644)=0,COUNTA(Q1632:Q1644)=0),"""",OR(AND(K1632&gt;=1000000000,OR(Y1632&gt;=1000000000,COUNTA(Q1632:Q1644)=0)),OR(Y1632&gt;=1000000000,AND(COUNTA(C1632:C1644)=0,P$3=TRUE))),
ROUNDDOWN((AB$1-AC$1)*MAX(INDEX(T$4:T1644,MATCH(LARGE(FILTER(Y$4:Y1"&amp;"644,Y$4:Y1644&lt;1000000000),1),Y$4:Y1644)),INDEX(F$4:F1644,MATCH(LARGE(FILTER(K$4:K1644,K$4:K1644&lt;1000000000),1),K$4:K1644)))),AND(K1632&lt;1000000000,COUNTA(C1632:C1644)&gt;0,P$3=FALSE),
ROUNDDOWN(INDEX(Y$4:Y1644,MATCH(LARGE(FILTER(W$4:W1644,W$4:W1644&lt;=I1632),1)"&amp;",W$4:W1644))+(I1632-LARGE(FILTER(W$4:W1644,W$4:W1644&lt;=I1632),1))*INDEX(T$4:T1644,MATCH(LARGE(FILTER(W$4:W1644,W$4:W1644&lt;=I1632),1),W$4:W1644))-K1632),1,
ROUNDDOWN(Y1632-INDEX(K$4:K1644,MATCH(LARGE(FILTER(I$4:I1644,I$4:I1644&lt;=W1632),1),I$4:I1644))-(W1632-L"&amp;"ARGE(FILTER(I$4:I1644,I$4:I1644&lt;=W1632),1))*INDEX(F$4:F1644,MATCH(LARGE(FILTER(I$4:I1644,I$4:I1644&lt;=W1632),1),I$4:I1644))))"),"")</f>
        <v/>
      </c>
      <c r="N1632" s="60" t="str">
        <f t="shared" si="8"/>
        <v/>
      </c>
      <c r="O1632" s="61" t="str">
        <f t="shared" si="9"/>
        <v/>
      </c>
      <c r="P1632" s="56" t="str">
        <f t="shared" si="10"/>
        <v/>
      </c>
      <c r="Q1632" s="105"/>
      <c r="R1632" s="10"/>
      <c r="S1632" s="59" t="str">
        <f t="array" ref="S1632">IF(COUNTA(Q1632:Q1644)=0,"",SUM((COUNTIF(Q$4:Q1632,Upgrades!$B$3:$B$13)-COUNTIF(Q$4:Q1632,"Sell_"&amp;Upgrades!$B$3:$B$13))*Upgrades!$D$3:$D$13))</f>
        <v/>
      </c>
      <c r="T1632" s="66" t="str">
        <f>IFERROR(__xludf.DUMMYFUNCTION("IF(COUNTA(Q1632:Q1644)=0,"""",IF(REGEXMATCH(INDEX(FILTER(Q$4:Q1632,Q$4:Q1632&lt;&gt;""""),ROWS(FILTER(Q$4:Q1632,Q$4:Q1632&lt;&gt;""""))),""^Sell_""),INDEX(FILTER(T$4:T1631,Q$4:Q1631&lt;&gt;""""),ROWS(FILTER(Q$4:Q1631,Q$4:Q1631&lt;&gt;""""))),$AD$5+S1632))"),"")</f>
        <v/>
      </c>
      <c r="U1632" s="10" t="str">
        <f>IFERROR(__xludf.DUMMYFUNCTION("IF(COUNTA(Q1632:Q1644)=0,"""",IF(Q1632="""",0,IF(REGEXMATCH(Q1632,""^Sell_""),-ROUNDDOWN(ROUNDUP(INDEX(Upgrades!$C$3:$C$13,MATCH(SUBSTITUTE(Q1632,""Sell_"",""""),Upgrades!$B$3:$B$13,0))*1.15^(COUNTIF(Q$4:Q1631,SUBSTITUTE(Q1632,""Sell_"",""""))-COUNTIF(Q$4"&amp;":Q1631,""Sell_""&amp;SUBSTITUTE(Q1632,""Sell_"",""""))))/2),ROUNDUP(INDEX(Upgrades!$C$3:$C$13,MATCH(Q1632,Upgrades!$B$3:$B$13,0))*1.15^(COUNTIF(Q$4:Q1631,Q1632)-COUNTIF(Q$4:Q1631,""Sell_""&amp;Q1632))))))"),"")</f>
        <v/>
      </c>
      <c r="V1632" s="10" t="str">
        <f t="shared" si="11"/>
        <v/>
      </c>
      <c r="W1632" s="68" t="str">
        <f t="shared" si="12"/>
        <v/>
      </c>
      <c r="X1632" s="59" t="str">
        <f t="shared" si="13"/>
        <v/>
      </c>
      <c r="Y1632" s="69" t="str">
        <f t="shared" si="14"/>
        <v/>
      </c>
      <c r="Z1632" s="11"/>
      <c r="AG1632" s="59"/>
    </row>
    <row r="1633">
      <c r="A1633" s="8"/>
      <c r="B1633" s="56" t="str">
        <f t="shared" si="2"/>
        <v/>
      </c>
      <c r="C1633" s="105"/>
      <c r="D1633" s="10"/>
      <c r="E1633" s="59" t="str">
        <f t="array" ref="E1633">IF(COUNTA(C1633:C1644)=0,"",SUM((COUNTIF(C$4:C1633,Upgrades!$B$3:$B$13)-COUNTIF(C$4:C1633,"Sell_"&amp;Upgrades!$B$3:$B$13))*Upgrades!$D$3:$D$13))</f>
        <v/>
      </c>
      <c r="F1633" s="66" t="str">
        <f>IFERROR(__xludf.DUMMYFUNCTION("IF(COUNTA(C1633:C1644)=0,"""",IF(REGEXMATCH(INDEX(FILTER(C$4:C1633,C$4:C1633&lt;&gt;""""),ROWS(FILTER(C$4:C1633,C$4:C1633&lt;&gt;""""))),""^Sell_""),INDEX(FILTER(F$4:F1632,C$4:C1632&lt;&gt;""""),ROWS(FILTER(C$4:C1632,C$4:C1632&lt;&gt;""""))),$AC$5+E1633))"),"")</f>
        <v/>
      </c>
      <c r="G1633" s="10" t="str">
        <f>IFERROR(__xludf.DUMMYFUNCTION("IF(COUNTA(C1633:C1644)=0,"""",IF(C1633="""",0,IF(REGEXMATCH(C1633,""^Sell_""),-ROUNDDOWN(ROUNDUP(INDEX(Upgrades!$C$3:$C$13,MATCH(SUBSTITUTE(C1633,""Sell_"",""""),Upgrades!$B$3:$B$13,0))*1.15^(COUNTIF(C$4:C1632,SUBSTITUTE(C1633,""Sell_"",""""))-COUNTIF(C$4"&amp;":C1632,""Sell_""&amp;SUBSTITUTE(C1633,""Sell_"",""""))))/2),ROUNDUP(INDEX(Upgrades!$C$3:$C$13,MATCH(C1633,Upgrades!$B$3:$B$13,0))*1.15^(COUNTIF(C$4:C1632,C1633)-COUNTIF(C$4:C1632,""Sell_""&amp;C1633))))))"),"")</f>
        <v/>
      </c>
      <c r="H1633" s="10" t="str">
        <f t="shared" si="3"/>
        <v/>
      </c>
      <c r="I1633" s="68" t="str">
        <f t="shared" si="4"/>
        <v/>
      </c>
      <c r="J1633" s="59" t="str">
        <f t="shared" si="5"/>
        <v/>
      </c>
      <c r="K1633" s="69" t="str">
        <f t="shared" si="6"/>
        <v/>
      </c>
      <c r="L1633" s="60" t="str">
        <f t="shared" si="7"/>
        <v/>
      </c>
      <c r="M1633" s="61" t="str">
        <f>IFERROR(__xludf.DUMMYFUNCTION("IFS(AND(COUNTA(C1633:C1644)=0,COUNTA(Q1633:Q1644)=0),"""",OR(AND(K1633&gt;=1000000000,OR(Y1633&gt;=1000000000,COUNTA(Q1633:Q1644)=0)),OR(Y1633&gt;=1000000000,AND(COUNTA(C1633:C1644)=0,P$3=TRUE))),
ROUNDDOWN((AB$1-AC$1)*MAX(INDEX(T$4:T1644,MATCH(LARGE(FILTER(Y$4:Y1"&amp;"644,Y$4:Y1644&lt;1000000000),1),Y$4:Y1644)),INDEX(F$4:F1644,MATCH(LARGE(FILTER(K$4:K1644,K$4:K1644&lt;1000000000),1),K$4:K1644)))),AND(K1633&lt;1000000000,COUNTA(C1633:C1644)&gt;0,P$3=FALSE),
ROUNDDOWN(INDEX(Y$4:Y1644,MATCH(LARGE(FILTER(W$4:W1644,W$4:W1644&lt;=I1633),1)"&amp;",W$4:W1644))+(I1633-LARGE(FILTER(W$4:W1644,W$4:W1644&lt;=I1633),1))*INDEX(T$4:T1644,MATCH(LARGE(FILTER(W$4:W1644,W$4:W1644&lt;=I1633),1),W$4:W1644))-K1633),1,
ROUNDDOWN(Y1633-INDEX(K$4:K1644,MATCH(LARGE(FILTER(I$4:I1644,I$4:I1644&lt;=W1633),1),I$4:I1644))-(W1633-L"&amp;"ARGE(FILTER(I$4:I1644,I$4:I1644&lt;=W1633),1))*INDEX(F$4:F1644,MATCH(LARGE(FILTER(I$4:I1644,I$4:I1644&lt;=W1633),1),I$4:I1644))))"),"")</f>
        <v/>
      </c>
      <c r="N1633" s="60" t="str">
        <f t="shared" si="8"/>
        <v/>
      </c>
      <c r="O1633" s="61" t="str">
        <f t="shared" si="9"/>
        <v/>
      </c>
      <c r="P1633" s="56" t="str">
        <f t="shared" si="10"/>
        <v/>
      </c>
      <c r="Q1633" s="105"/>
      <c r="R1633" s="10"/>
      <c r="S1633" s="59" t="str">
        <f t="array" ref="S1633">IF(COUNTA(Q1633:Q1644)=0,"",SUM((COUNTIF(Q$4:Q1633,Upgrades!$B$3:$B$13)-COUNTIF(Q$4:Q1633,"Sell_"&amp;Upgrades!$B$3:$B$13))*Upgrades!$D$3:$D$13))</f>
        <v/>
      </c>
      <c r="T1633" s="66" t="str">
        <f>IFERROR(__xludf.DUMMYFUNCTION("IF(COUNTA(Q1633:Q1644)=0,"""",IF(REGEXMATCH(INDEX(FILTER(Q$4:Q1633,Q$4:Q1633&lt;&gt;""""),ROWS(FILTER(Q$4:Q1633,Q$4:Q1633&lt;&gt;""""))),""^Sell_""),INDEX(FILTER(T$4:T1632,Q$4:Q1632&lt;&gt;""""),ROWS(FILTER(Q$4:Q1632,Q$4:Q1632&lt;&gt;""""))),$AD$5+S1633))"),"")</f>
        <v/>
      </c>
      <c r="U1633" s="10" t="str">
        <f>IFERROR(__xludf.DUMMYFUNCTION("IF(COUNTA(Q1633:Q1644)=0,"""",IF(Q1633="""",0,IF(REGEXMATCH(Q1633,""^Sell_""),-ROUNDDOWN(ROUNDUP(INDEX(Upgrades!$C$3:$C$13,MATCH(SUBSTITUTE(Q1633,""Sell_"",""""),Upgrades!$B$3:$B$13,0))*1.15^(COUNTIF(Q$4:Q1632,SUBSTITUTE(Q1633,""Sell_"",""""))-COUNTIF(Q$4"&amp;":Q1632,""Sell_""&amp;SUBSTITUTE(Q1633,""Sell_"",""""))))/2),ROUNDUP(INDEX(Upgrades!$C$3:$C$13,MATCH(Q1633,Upgrades!$B$3:$B$13,0))*1.15^(COUNTIF(Q$4:Q1632,Q1633)-COUNTIF(Q$4:Q1632,""Sell_""&amp;Q1633))))))"),"")</f>
        <v/>
      </c>
      <c r="V1633" s="10" t="str">
        <f t="shared" si="11"/>
        <v/>
      </c>
      <c r="W1633" s="68" t="str">
        <f t="shared" si="12"/>
        <v/>
      </c>
      <c r="X1633" s="59" t="str">
        <f t="shared" si="13"/>
        <v/>
      </c>
      <c r="Y1633" s="69" t="str">
        <f t="shared" si="14"/>
        <v/>
      </c>
      <c r="Z1633" s="11"/>
      <c r="AG1633" s="59"/>
    </row>
    <row r="1634">
      <c r="A1634" s="8"/>
      <c r="B1634" s="56" t="str">
        <f t="shared" si="2"/>
        <v/>
      </c>
      <c r="C1634" s="105"/>
      <c r="D1634" s="10"/>
      <c r="E1634" s="59" t="str">
        <f t="array" ref="E1634">IF(COUNTA(C1634:C1644)=0,"",SUM((COUNTIF(C$4:C1634,Upgrades!$B$3:$B$13)-COUNTIF(C$4:C1634,"Sell_"&amp;Upgrades!$B$3:$B$13))*Upgrades!$D$3:$D$13))</f>
        <v/>
      </c>
      <c r="F1634" s="66" t="str">
        <f>IFERROR(__xludf.DUMMYFUNCTION("IF(COUNTA(C1634:C1644)=0,"""",IF(REGEXMATCH(INDEX(FILTER(C$4:C1634,C$4:C1634&lt;&gt;""""),ROWS(FILTER(C$4:C1634,C$4:C1634&lt;&gt;""""))),""^Sell_""),INDEX(FILTER(F$4:F1633,C$4:C1633&lt;&gt;""""),ROWS(FILTER(C$4:C1633,C$4:C1633&lt;&gt;""""))),$AC$5+E1634))"),"")</f>
        <v/>
      </c>
      <c r="G1634" s="10" t="str">
        <f>IFERROR(__xludf.DUMMYFUNCTION("IF(COUNTA(C1634:C1644)=0,"""",IF(C1634="""",0,IF(REGEXMATCH(C1634,""^Sell_""),-ROUNDDOWN(ROUNDUP(INDEX(Upgrades!$C$3:$C$13,MATCH(SUBSTITUTE(C1634,""Sell_"",""""),Upgrades!$B$3:$B$13,0))*1.15^(COUNTIF(C$4:C1633,SUBSTITUTE(C1634,""Sell_"",""""))-COUNTIF(C$4"&amp;":C1633,""Sell_""&amp;SUBSTITUTE(C1634,""Sell_"",""""))))/2),ROUNDUP(INDEX(Upgrades!$C$3:$C$13,MATCH(C1634,Upgrades!$B$3:$B$13,0))*1.15^(COUNTIF(C$4:C1633,C1634)-COUNTIF(C$4:C1633,""Sell_""&amp;C1634))))))"),"")</f>
        <v/>
      </c>
      <c r="H1634" s="10" t="str">
        <f t="shared" si="3"/>
        <v/>
      </c>
      <c r="I1634" s="68" t="str">
        <f t="shared" si="4"/>
        <v/>
      </c>
      <c r="J1634" s="59" t="str">
        <f t="shared" si="5"/>
        <v/>
      </c>
      <c r="K1634" s="69" t="str">
        <f t="shared" si="6"/>
        <v/>
      </c>
      <c r="L1634" s="60" t="str">
        <f t="shared" si="7"/>
        <v/>
      </c>
      <c r="M1634" s="61" t="str">
        <f>IFERROR(__xludf.DUMMYFUNCTION("IFS(AND(COUNTA(C1634:C1644)=0,COUNTA(Q1634:Q1644)=0),"""",OR(AND(K1634&gt;=1000000000,OR(Y1634&gt;=1000000000,COUNTA(Q1634:Q1644)=0)),OR(Y1634&gt;=1000000000,AND(COUNTA(C1634:C1644)=0,P$3=TRUE))),
ROUNDDOWN((AB$1-AC$1)*MAX(INDEX(T$4:T1644,MATCH(LARGE(FILTER(Y$4:Y1"&amp;"644,Y$4:Y1644&lt;1000000000),1),Y$4:Y1644)),INDEX(F$4:F1644,MATCH(LARGE(FILTER(K$4:K1644,K$4:K1644&lt;1000000000),1),K$4:K1644)))),AND(K1634&lt;1000000000,COUNTA(C1634:C1644)&gt;0,P$3=FALSE),
ROUNDDOWN(INDEX(Y$4:Y1644,MATCH(LARGE(FILTER(W$4:W1644,W$4:W1644&lt;=I1634),1)"&amp;",W$4:W1644))+(I1634-LARGE(FILTER(W$4:W1644,W$4:W1644&lt;=I1634),1))*INDEX(T$4:T1644,MATCH(LARGE(FILTER(W$4:W1644,W$4:W1644&lt;=I1634),1),W$4:W1644))-K1634),1,
ROUNDDOWN(Y1634-INDEX(K$4:K1644,MATCH(LARGE(FILTER(I$4:I1644,I$4:I1644&lt;=W1634),1),I$4:I1644))-(W1634-L"&amp;"ARGE(FILTER(I$4:I1644,I$4:I1644&lt;=W1634),1))*INDEX(F$4:F1644,MATCH(LARGE(FILTER(I$4:I1644,I$4:I1644&lt;=W1634),1),I$4:I1644))))"),"")</f>
        <v/>
      </c>
      <c r="N1634" s="60" t="str">
        <f t="shared" si="8"/>
        <v/>
      </c>
      <c r="O1634" s="61" t="str">
        <f t="shared" si="9"/>
        <v/>
      </c>
      <c r="P1634" s="56" t="str">
        <f t="shared" si="10"/>
        <v/>
      </c>
      <c r="Q1634" s="105"/>
      <c r="R1634" s="10"/>
      <c r="S1634" s="59" t="str">
        <f t="array" ref="S1634">IF(COUNTA(Q1634:Q1644)=0,"",SUM((COUNTIF(Q$4:Q1634,Upgrades!$B$3:$B$13)-COUNTIF(Q$4:Q1634,"Sell_"&amp;Upgrades!$B$3:$B$13))*Upgrades!$D$3:$D$13))</f>
        <v/>
      </c>
      <c r="T1634" s="66" t="str">
        <f>IFERROR(__xludf.DUMMYFUNCTION("IF(COUNTA(Q1634:Q1644)=0,"""",IF(REGEXMATCH(INDEX(FILTER(Q$4:Q1634,Q$4:Q1634&lt;&gt;""""),ROWS(FILTER(Q$4:Q1634,Q$4:Q1634&lt;&gt;""""))),""^Sell_""),INDEX(FILTER(T$4:T1633,Q$4:Q1633&lt;&gt;""""),ROWS(FILTER(Q$4:Q1633,Q$4:Q1633&lt;&gt;""""))),$AD$5+S1634))"),"")</f>
        <v/>
      </c>
      <c r="U1634" s="10" t="str">
        <f>IFERROR(__xludf.DUMMYFUNCTION("IF(COUNTA(Q1634:Q1644)=0,"""",IF(Q1634="""",0,IF(REGEXMATCH(Q1634,""^Sell_""),-ROUNDDOWN(ROUNDUP(INDEX(Upgrades!$C$3:$C$13,MATCH(SUBSTITUTE(Q1634,""Sell_"",""""),Upgrades!$B$3:$B$13,0))*1.15^(COUNTIF(Q$4:Q1633,SUBSTITUTE(Q1634,""Sell_"",""""))-COUNTIF(Q$4"&amp;":Q1633,""Sell_""&amp;SUBSTITUTE(Q1634,""Sell_"",""""))))/2),ROUNDUP(INDEX(Upgrades!$C$3:$C$13,MATCH(Q1634,Upgrades!$B$3:$B$13,0))*1.15^(COUNTIF(Q$4:Q1633,Q1634)-COUNTIF(Q$4:Q1633,""Sell_""&amp;Q1634))))))"),"")</f>
        <v/>
      </c>
      <c r="V1634" s="10" t="str">
        <f t="shared" si="11"/>
        <v/>
      </c>
      <c r="W1634" s="68" t="str">
        <f t="shared" si="12"/>
        <v/>
      </c>
      <c r="X1634" s="59" t="str">
        <f t="shared" si="13"/>
        <v/>
      </c>
      <c r="Y1634" s="69" t="str">
        <f t="shared" si="14"/>
        <v/>
      </c>
      <c r="Z1634" s="11"/>
      <c r="AG1634" s="59"/>
    </row>
    <row r="1635">
      <c r="A1635" s="8"/>
      <c r="B1635" s="56" t="str">
        <f t="shared" si="2"/>
        <v/>
      </c>
      <c r="C1635" s="105"/>
      <c r="D1635" s="10"/>
      <c r="E1635" s="59" t="str">
        <f t="array" ref="E1635">IF(COUNTA(C1635:C1644)=0,"",SUM((COUNTIF(C$4:C1635,Upgrades!$B$3:$B$13)-COUNTIF(C$4:C1635,"Sell_"&amp;Upgrades!$B$3:$B$13))*Upgrades!$D$3:$D$13))</f>
        <v/>
      </c>
      <c r="F1635" s="66" t="str">
        <f>IFERROR(__xludf.DUMMYFUNCTION("IF(COUNTA(C1635:C1644)=0,"""",IF(REGEXMATCH(INDEX(FILTER(C$4:C1635,C$4:C1635&lt;&gt;""""),ROWS(FILTER(C$4:C1635,C$4:C1635&lt;&gt;""""))),""^Sell_""),INDEX(FILTER(F$4:F1634,C$4:C1634&lt;&gt;""""),ROWS(FILTER(C$4:C1634,C$4:C1634&lt;&gt;""""))),$AC$5+E1635))"),"")</f>
        <v/>
      </c>
      <c r="G1635" s="10" t="str">
        <f>IFERROR(__xludf.DUMMYFUNCTION("IF(COUNTA(C1635:C1644)=0,"""",IF(C1635="""",0,IF(REGEXMATCH(C1635,""^Sell_""),-ROUNDDOWN(ROUNDUP(INDEX(Upgrades!$C$3:$C$13,MATCH(SUBSTITUTE(C1635,""Sell_"",""""),Upgrades!$B$3:$B$13,0))*1.15^(COUNTIF(C$4:C1634,SUBSTITUTE(C1635,""Sell_"",""""))-COUNTIF(C$4"&amp;":C1634,""Sell_""&amp;SUBSTITUTE(C1635,""Sell_"",""""))))/2),ROUNDUP(INDEX(Upgrades!$C$3:$C$13,MATCH(C1635,Upgrades!$B$3:$B$13,0))*1.15^(COUNTIF(C$4:C1634,C1635)-COUNTIF(C$4:C1634,""Sell_""&amp;C1635))))))"),"")</f>
        <v/>
      </c>
      <c r="H1635" s="10" t="str">
        <f t="shared" si="3"/>
        <v/>
      </c>
      <c r="I1635" s="68" t="str">
        <f t="shared" si="4"/>
        <v/>
      </c>
      <c r="J1635" s="59" t="str">
        <f t="shared" si="5"/>
        <v/>
      </c>
      <c r="K1635" s="69" t="str">
        <f t="shared" si="6"/>
        <v/>
      </c>
      <c r="L1635" s="60" t="str">
        <f t="shared" si="7"/>
        <v/>
      </c>
      <c r="M1635" s="61" t="str">
        <f>IFERROR(__xludf.DUMMYFUNCTION("IFS(AND(COUNTA(C1635:C1644)=0,COUNTA(Q1635:Q1644)=0),"""",OR(AND(K1635&gt;=1000000000,OR(Y1635&gt;=1000000000,COUNTA(Q1635:Q1644)=0)),OR(Y1635&gt;=1000000000,AND(COUNTA(C1635:C1644)=0,P$3=TRUE))),
ROUNDDOWN((AB$1-AC$1)*MAX(INDEX(T$4:T1644,MATCH(LARGE(FILTER(Y$4:Y1"&amp;"644,Y$4:Y1644&lt;1000000000),1),Y$4:Y1644)),INDEX(F$4:F1644,MATCH(LARGE(FILTER(K$4:K1644,K$4:K1644&lt;1000000000),1),K$4:K1644)))),AND(K1635&lt;1000000000,COUNTA(C1635:C1644)&gt;0,P$3=FALSE),
ROUNDDOWN(INDEX(Y$4:Y1644,MATCH(LARGE(FILTER(W$4:W1644,W$4:W1644&lt;=I1635),1)"&amp;",W$4:W1644))+(I1635-LARGE(FILTER(W$4:W1644,W$4:W1644&lt;=I1635),1))*INDEX(T$4:T1644,MATCH(LARGE(FILTER(W$4:W1644,W$4:W1644&lt;=I1635),1),W$4:W1644))-K1635),1,
ROUNDDOWN(Y1635-INDEX(K$4:K1644,MATCH(LARGE(FILTER(I$4:I1644,I$4:I1644&lt;=W1635),1),I$4:I1644))-(W1635-L"&amp;"ARGE(FILTER(I$4:I1644,I$4:I1644&lt;=W1635),1))*INDEX(F$4:F1644,MATCH(LARGE(FILTER(I$4:I1644,I$4:I1644&lt;=W1635),1),I$4:I1644))))"),"")</f>
        <v/>
      </c>
      <c r="N1635" s="60" t="str">
        <f t="shared" si="8"/>
        <v/>
      </c>
      <c r="O1635" s="61" t="str">
        <f t="shared" si="9"/>
        <v/>
      </c>
      <c r="P1635" s="56" t="str">
        <f t="shared" si="10"/>
        <v/>
      </c>
      <c r="Q1635" s="105"/>
      <c r="R1635" s="10"/>
      <c r="S1635" s="59" t="str">
        <f t="array" ref="S1635">IF(COUNTA(Q1635:Q1644)=0,"",SUM((COUNTIF(Q$4:Q1635,Upgrades!$B$3:$B$13)-COUNTIF(Q$4:Q1635,"Sell_"&amp;Upgrades!$B$3:$B$13))*Upgrades!$D$3:$D$13))</f>
        <v/>
      </c>
      <c r="T1635" s="66" t="str">
        <f>IFERROR(__xludf.DUMMYFUNCTION("IF(COUNTA(Q1635:Q1644)=0,"""",IF(REGEXMATCH(INDEX(FILTER(Q$4:Q1635,Q$4:Q1635&lt;&gt;""""),ROWS(FILTER(Q$4:Q1635,Q$4:Q1635&lt;&gt;""""))),""^Sell_""),INDEX(FILTER(T$4:T1634,Q$4:Q1634&lt;&gt;""""),ROWS(FILTER(Q$4:Q1634,Q$4:Q1634&lt;&gt;""""))),$AD$5+S1635))"),"")</f>
        <v/>
      </c>
      <c r="U1635" s="10" t="str">
        <f>IFERROR(__xludf.DUMMYFUNCTION("IF(COUNTA(Q1635:Q1644)=0,"""",IF(Q1635="""",0,IF(REGEXMATCH(Q1635,""^Sell_""),-ROUNDDOWN(ROUNDUP(INDEX(Upgrades!$C$3:$C$13,MATCH(SUBSTITUTE(Q1635,""Sell_"",""""),Upgrades!$B$3:$B$13,0))*1.15^(COUNTIF(Q$4:Q1634,SUBSTITUTE(Q1635,""Sell_"",""""))-COUNTIF(Q$4"&amp;":Q1634,""Sell_""&amp;SUBSTITUTE(Q1635,""Sell_"",""""))))/2),ROUNDUP(INDEX(Upgrades!$C$3:$C$13,MATCH(Q1635,Upgrades!$B$3:$B$13,0))*1.15^(COUNTIF(Q$4:Q1634,Q1635)-COUNTIF(Q$4:Q1634,""Sell_""&amp;Q1635))))))"),"")</f>
        <v/>
      </c>
      <c r="V1635" s="10" t="str">
        <f t="shared" si="11"/>
        <v/>
      </c>
      <c r="W1635" s="68" t="str">
        <f t="shared" si="12"/>
        <v/>
      </c>
      <c r="X1635" s="59" t="str">
        <f t="shared" si="13"/>
        <v/>
      </c>
      <c r="Y1635" s="69" t="str">
        <f t="shared" si="14"/>
        <v/>
      </c>
      <c r="Z1635" s="11"/>
      <c r="AG1635" s="59"/>
    </row>
    <row r="1636">
      <c r="A1636" s="8"/>
      <c r="B1636" s="56" t="str">
        <f t="shared" si="2"/>
        <v/>
      </c>
      <c r="C1636" s="105"/>
      <c r="D1636" s="10"/>
      <c r="E1636" s="59" t="str">
        <f t="array" ref="E1636">IF(COUNTA(C1636:C1644)=0,"",SUM((COUNTIF(C$4:C1636,Upgrades!$B$3:$B$13)-COUNTIF(C$4:C1636,"Sell_"&amp;Upgrades!$B$3:$B$13))*Upgrades!$D$3:$D$13))</f>
        <v/>
      </c>
      <c r="F1636" s="66" t="str">
        <f>IFERROR(__xludf.DUMMYFUNCTION("IF(COUNTA(C1636:C1644)=0,"""",IF(REGEXMATCH(INDEX(FILTER(C$4:C1636,C$4:C1636&lt;&gt;""""),ROWS(FILTER(C$4:C1636,C$4:C1636&lt;&gt;""""))),""^Sell_""),INDEX(FILTER(F$4:F1635,C$4:C1635&lt;&gt;""""),ROWS(FILTER(C$4:C1635,C$4:C1635&lt;&gt;""""))),$AC$5+E1636))"),"")</f>
        <v/>
      </c>
      <c r="G1636" s="10" t="str">
        <f>IFERROR(__xludf.DUMMYFUNCTION("IF(COUNTA(C1636:C1644)=0,"""",IF(C1636="""",0,IF(REGEXMATCH(C1636,""^Sell_""),-ROUNDDOWN(ROUNDUP(INDEX(Upgrades!$C$3:$C$13,MATCH(SUBSTITUTE(C1636,""Sell_"",""""),Upgrades!$B$3:$B$13,0))*1.15^(COUNTIF(C$4:C1635,SUBSTITUTE(C1636,""Sell_"",""""))-COUNTIF(C$4"&amp;":C1635,""Sell_""&amp;SUBSTITUTE(C1636,""Sell_"",""""))))/2),ROUNDUP(INDEX(Upgrades!$C$3:$C$13,MATCH(C1636,Upgrades!$B$3:$B$13,0))*1.15^(COUNTIF(C$4:C1635,C1636)-COUNTIF(C$4:C1635,""Sell_""&amp;C1636))))))"),"")</f>
        <v/>
      </c>
      <c r="H1636" s="10" t="str">
        <f t="shared" si="3"/>
        <v/>
      </c>
      <c r="I1636" s="68" t="str">
        <f t="shared" si="4"/>
        <v/>
      </c>
      <c r="J1636" s="59" t="str">
        <f t="shared" si="5"/>
        <v/>
      </c>
      <c r="K1636" s="69" t="str">
        <f t="shared" si="6"/>
        <v/>
      </c>
      <c r="L1636" s="60" t="str">
        <f t="shared" si="7"/>
        <v/>
      </c>
      <c r="M1636" s="61" t="str">
        <f>IFERROR(__xludf.DUMMYFUNCTION("IFS(AND(COUNTA(C1636:C1644)=0,COUNTA(Q1636:Q1644)=0),"""",OR(AND(K1636&gt;=1000000000,OR(Y1636&gt;=1000000000,COUNTA(Q1636:Q1644)=0)),OR(Y1636&gt;=1000000000,AND(COUNTA(C1636:C1644)=0,P$3=TRUE))),
ROUNDDOWN((AB$1-AC$1)*MAX(INDEX(T$4:T1644,MATCH(LARGE(FILTER(Y$4:Y1"&amp;"644,Y$4:Y1644&lt;1000000000),1),Y$4:Y1644)),INDEX(F$4:F1644,MATCH(LARGE(FILTER(K$4:K1644,K$4:K1644&lt;1000000000),1),K$4:K1644)))),AND(K1636&lt;1000000000,COUNTA(C1636:C1644)&gt;0,P$3=FALSE),
ROUNDDOWN(INDEX(Y$4:Y1644,MATCH(LARGE(FILTER(W$4:W1644,W$4:W1644&lt;=I1636),1)"&amp;",W$4:W1644))+(I1636-LARGE(FILTER(W$4:W1644,W$4:W1644&lt;=I1636),1))*INDEX(T$4:T1644,MATCH(LARGE(FILTER(W$4:W1644,W$4:W1644&lt;=I1636),1),W$4:W1644))-K1636),1,
ROUNDDOWN(Y1636-INDEX(K$4:K1644,MATCH(LARGE(FILTER(I$4:I1644,I$4:I1644&lt;=W1636),1),I$4:I1644))-(W1636-L"&amp;"ARGE(FILTER(I$4:I1644,I$4:I1644&lt;=W1636),1))*INDEX(F$4:F1644,MATCH(LARGE(FILTER(I$4:I1644,I$4:I1644&lt;=W1636),1),I$4:I1644))))"),"")</f>
        <v/>
      </c>
      <c r="N1636" s="60" t="str">
        <f t="shared" si="8"/>
        <v/>
      </c>
      <c r="O1636" s="61" t="str">
        <f t="shared" si="9"/>
        <v/>
      </c>
      <c r="P1636" s="56" t="str">
        <f t="shared" si="10"/>
        <v/>
      </c>
      <c r="Q1636" s="105"/>
      <c r="R1636" s="10"/>
      <c r="S1636" s="59" t="str">
        <f t="array" ref="S1636">IF(COUNTA(Q1636:Q1644)=0,"",SUM((COUNTIF(Q$4:Q1636,Upgrades!$B$3:$B$13)-COUNTIF(Q$4:Q1636,"Sell_"&amp;Upgrades!$B$3:$B$13))*Upgrades!$D$3:$D$13))</f>
        <v/>
      </c>
      <c r="T1636" s="66" t="str">
        <f>IFERROR(__xludf.DUMMYFUNCTION("IF(COUNTA(Q1636:Q1644)=0,"""",IF(REGEXMATCH(INDEX(FILTER(Q$4:Q1636,Q$4:Q1636&lt;&gt;""""),ROWS(FILTER(Q$4:Q1636,Q$4:Q1636&lt;&gt;""""))),""^Sell_""),INDEX(FILTER(T$4:T1635,Q$4:Q1635&lt;&gt;""""),ROWS(FILTER(Q$4:Q1635,Q$4:Q1635&lt;&gt;""""))),$AD$5+S1636))"),"")</f>
        <v/>
      </c>
      <c r="U1636" s="10" t="str">
        <f>IFERROR(__xludf.DUMMYFUNCTION("IF(COUNTA(Q1636:Q1644)=0,"""",IF(Q1636="""",0,IF(REGEXMATCH(Q1636,""^Sell_""),-ROUNDDOWN(ROUNDUP(INDEX(Upgrades!$C$3:$C$13,MATCH(SUBSTITUTE(Q1636,""Sell_"",""""),Upgrades!$B$3:$B$13,0))*1.15^(COUNTIF(Q$4:Q1635,SUBSTITUTE(Q1636,""Sell_"",""""))-COUNTIF(Q$4"&amp;":Q1635,""Sell_""&amp;SUBSTITUTE(Q1636,""Sell_"",""""))))/2),ROUNDUP(INDEX(Upgrades!$C$3:$C$13,MATCH(Q1636,Upgrades!$B$3:$B$13,0))*1.15^(COUNTIF(Q$4:Q1635,Q1636)-COUNTIF(Q$4:Q1635,""Sell_""&amp;Q1636))))))"),"")</f>
        <v/>
      </c>
      <c r="V1636" s="10" t="str">
        <f t="shared" si="11"/>
        <v/>
      </c>
      <c r="W1636" s="68" t="str">
        <f t="shared" si="12"/>
        <v/>
      </c>
      <c r="X1636" s="59" t="str">
        <f t="shared" si="13"/>
        <v/>
      </c>
      <c r="Y1636" s="69" t="str">
        <f t="shared" si="14"/>
        <v/>
      </c>
      <c r="Z1636" s="11"/>
      <c r="AG1636" s="59"/>
    </row>
    <row r="1637">
      <c r="A1637" s="8"/>
      <c r="B1637" s="56" t="str">
        <f t="shared" si="2"/>
        <v/>
      </c>
      <c r="C1637" s="105"/>
      <c r="D1637" s="10"/>
      <c r="E1637" s="59" t="str">
        <f t="array" ref="E1637">IF(COUNTA(C1637:C1644)=0,"",SUM((COUNTIF(C$4:C1637,Upgrades!$B$3:$B$13)-COUNTIF(C$4:C1637,"Sell_"&amp;Upgrades!$B$3:$B$13))*Upgrades!$D$3:$D$13))</f>
        <v/>
      </c>
      <c r="F1637" s="66" t="str">
        <f>IFERROR(__xludf.DUMMYFUNCTION("IF(COUNTA(C1637:C1644)=0,"""",IF(REGEXMATCH(INDEX(FILTER(C$4:C1637,C$4:C1637&lt;&gt;""""),ROWS(FILTER(C$4:C1637,C$4:C1637&lt;&gt;""""))),""^Sell_""),INDEX(FILTER(F$4:F1636,C$4:C1636&lt;&gt;""""),ROWS(FILTER(C$4:C1636,C$4:C1636&lt;&gt;""""))),$AC$5+E1637))"),"")</f>
        <v/>
      </c>
      <c r="G1637" s="10" t="str">
        <f>IFERROR(__xludf.DUMMYFUNCTION("IF(COUNTA(C1637:C1644)=0,"""",IF(C1637="""",0,IF(REGEXMATCH(C1637,""^Sell_""),-ROUNDDOWN(ROUNDUP(INDEX(Upgrades!$C$3:$C$13,MATCH(SUBSTITUTE(C1637,""Sell_"",""""),Upgrades!$B$3:$B$13,0))*1.15^(COUNTIF(C$4:C1636,SUBSTITUTE(C1637,""Sell_"",""""))-COUNTIF(C$4"&amp;":C1636,""Sell_""&amp;SUBSTITUTE(C1637,""Sell_"",""""))))/2),ROUNDUP(INDEX(Upgrades!$C$3:$C$13,MATCH(C1637,Upgrades!$B$3:$B$13,0))*1.15^(COUNTIF(C$4:C1636,C1637)-COUNTIF(C$4:C1636,""Sell_""&amp;C1637))))))"),"")</f>
        <v/>
      </c>
      <c r="H1637" s="10" t="str">
        <f t="shared" si="3"/>
        <v/>
      </c>
      <c r="I1637" s="68" t="str">
        <f t="shared" si="4"/>
        <v/>
      </c>
      <c r="J1637" s="59" t="str">
        <f t="shared" si="5"/>
        <v/>
      </c>
      <c r="K1637" s="69" t="str">
        <f t="shared" si="6"/>
        <v/>
      </c>
      <c r="L1637" s="60" t="str">
        <f t="shared" si="7"/>
        <v/>
      </c>
      <c r="M1637" s="61" t="str">
        <f>IFERROR(__xludf.DUMMYFUNCTION("IFS(AND(COUNTA(C1637:C1644)=0,COUNTA(Q1637:Q1644)=0),"""",OR(AND(K1637&gt;=1000000000,OR(Y1637&gt;=1000000000,COUNTA(Q1637:Q1644)=0)),OR(Y1637&gt;=1000000000,AND(COUNTA(C1637:C1644)=0,P$3=TRUE))),
ROUNDDOWN((AB$1-AC$1)*MAX(INDEX(T$4:T1644,MATCH(LARGE(FILTER(Y$4:Y1"&amp;"644,Y$4:Y1644&lt;1000000000),1),Y$4:Y1644)),INDEX(F$4:F1644,MATCH(LARGE(FILTER(K$4:K1644,K$4:K1644&lt;1000000000),1),K$4:K1644)))),AND(K1637&lt;1000000000,COUNTA(C1637:C1644)&gt;0,P$3=FALSE),
ROUNDDOWN(INDEX(Y$4:Y1644,MATCH(LARGE(FILTER(W$4:W1644,W$4:W1644&lt;=I1637),1)"&amp;",W$4:W1644))+(I1637-LARGE(FILTER(W$4:W1644,W$4:W1644&lt;=I1637),1))*INDEX(T$4:T1644,MATCH(LARGE(FILTER(W$4:W1644,W$4:W1644&lt;=I1637),1),W$4:W1644))-K1637),1,
ROUNDDOWN(Y1637-INDEX(K$4:K1644,MATCH(LARGE(FILTER(I$4:I1644,I$4:I1644&lt;=W1637),1),I$4:I1644))-(W1637-L"&amp;"ARGE(FILTER(I$4:I1644,I$4:I1644&lt;=W1637),1))*INDEX(F$4:F1644,MATCH(LARGE(FILTER(I$4:I1644,I$4:I1644&lt;=W1637),1),I$4:I1644))))"),"")</f>
        <v/>
      </c>
      <c r="N1637" s="60" t="str">
        <f t="shared" si="8"/>
        <v/>
      </c>
      <c r="O1637" s="61" t="str">
        <f t="shared" si="9"/>
        <v/>
      </c>
      <c r="P1637" s="56" t="str">
        <f t="shared" si="10"/>
        <v/>
      </c>
      <c r="Q1637" s="105"/>
      <c r="R1637" s="10"/>
      <c r="S1637" s="59" t="str">
        <f t="array" ref="S1637">IF(COUNTA(Q1637:Q1644)=0,"",SUM((COUNTIF(Q$4:Q1637,Upgrades!$B$3:$B$13)-COUNTIF(Q$4:Q1637,"Sell_"&amp;Upgrades!$B$3:$B$13))*Upgrades!$D$3:$D$13))</f>
        <v/>
      </c>
      <c r="T1637" s="66" t="str">
        <f>IFERROR(__xludf.DUMMYFUNCTION("IF(COUNTA(Q1637:Q1644)=0,"""",IF(REGEXMATCH(INDEX(FILTER(Q$4:Q1637,Q$4:Q1637&lt;&gt;""""),ROWS(FILTER(Q$4:Q1637,Q$4:Q1637&lt;&gt;""""))),""^Sell_""),INDEX(FILTER(T$4:T1636,Q$4:Q1636&lt;&gt;""""),ROWS(FILTER(Q$4:Q1636,Q$4:Q1636&lt;&gt;""""))),$AD$5+S1637))"),"")</f>
        <v/>
      </c>
      <c r="U1637" s="10" t="str">
        <f>IFERROR(__xludf.DUMMYFUNCTION("IF(COUNTA(Q1637:Q1644)=0,"""",IF(Q1637="""",0,IF(REGEXMATCH(Q1637,""^Sell_""),-ROUNDDOWN(ROUNDUP(INDEX(Upgrades!$C$3:$C$13,MATCH(SUBSTITUTE(Q1637,""Sell_"",""""),Upgrades!$B$3:$B$13,0))*1.15^(COUNTIF(Q$4:Q1636,SUBSTITUTE(Q1637,""Sell_"",""""))-COUNTIF(Q$4"&amp;":Q1636,""Sell_""&amp;SUBSTITUTE(Q1637,""Sell_"",""""))))/2),ROUNDUP(INDEX(Upgrades!$C$3:$C$13,MATCH(Q1637,Upgrades!$B$3:$B$13,0))*1.15^(COUNTIF(Q$4:Q1636,Q1637)-COUNTIF(Q$4:Q1636,""Sell_""&amp;Q1637))))))"),"")</f>
        <v/>
      </c>
      <c r="V1637" s="10" t="str">
        <f t="shared" si="11"/>
        <v/>
      </c>
      <c r="W1637" s="68" t="str">
        <f t="shared" si="12"/>
        <v/>
      </c>
      <c r="X1637" s="59" t="str">
        <f t="shared" si="13"/>
        <v/>
      </c>
      <c r="Y1637" s="69" t="str">
        <f t="shared" si="14"/>
        <v/>
      </c>
      <c r="Z1637" s="11"/>
      <c r="AG1637" s="59"/>
    </row>
    <row r="1638">
      <c r="A1638" s="8"/>
      <c r="B1638" s="56" t="str">
        <f t="shared" si="2"/>
        <v/>
      </c>
      <c r="C1638" s="105"/>
      <c r="D1638" s="10"/>
      <c r="E1638" s="59" t="str">
        <f t="array" ref="E1638">IF(COUNTA(C1638:C1644)=0,"",SUM((COUNTIF(C$4:C1638,Upgrades!$B$3:$B$13)-COUNTIF(C$4:C1638,"Sell_"&amp;Upgrades!$B$3:$B$13))*Upgrades!$D$3:$D$13))</f>
        <v/>
      </c>
      <c r="F1638" s="66" t="str">
        <f>IFERROR(__xludf.DUMMYFUNCTION("IF(COUNTA(C1638:C1644)=0,"""",IF(REGEXMATCH(INDEX(FILTER(C$4:C1638,C$4:C1638&lt;&gt;""""),ROWS(FILTER(C$4:C1638,C$4:C1638&lt;&gt;""""))),""^Sell_""),INDEX(FILTER(F$4:F1637,C$4:C1637&lt;&gt;""""),ROWS(FILTER(C$4:C1637,C$4:C1637&lt;&gt;""""))),$AC$5+E1638))"),"")</f>
        <v/>
      </c>
      <c r="G1638" s="10" t="str">
        <f>IFERROR(__xludf.DUMMYFUNCTION("IF(COUNTA(C1638:C1644)=0,"""",IF(C1638="""",0,IF(REGEXMATCH(C1638,""^Sell_""),-ROUNDDOWN(ROUNDUP(INDEX(Upgrades!$C$3:$C$13,MATCH(SUBSTITUTE(C1638,""Sell_"",""""),Upgrades!$B$3:$B$13,0))*1.15^(COUNTIF(C$4:C1637,SUBSTITUTE(C1638,""Sell_"",""""))-COUNTIF(C$4"&amp;":C1637,""Sell_""&amp;SUBSTITUTE(C1638,""Sell_"",""""))))/2),ROUNDUP(INDEX(Upgrades!$C$3:$C$13,MATCH(C1638,Upgrades!$B$3:$B$13,0))*1.15^(COUNTIF(C$4:C1637,C1638)-COUNTIF(C$4:C1637,""Sell_""&amp;C1638))))))"),"")</f>
        <v/>
      </c>
      <c r="H1638" s="10" t="str">
        <f t="shared" si="3"/>
        <v/>
      </c>
      <c r="I1638" s="68" t="str">
        <f t="shared" si="4"/>
        <v/>
      </c>
      <c r="J1638" s="59" t="str">
        <f t="shared" si="5"/>
        <v/>
      </c>
      <c r="K1638" s="69" t="str">
        <f t="shared" si="6"/>
        <v/>
      </c>
      <c r="L1638" s="60" t="str">
        <f t="shared" si="7"/>
        <v/>
      </c>
      <c r="M1638" s="61" t="str">
        <f>IFERROR(__xludf.DUMMYFUNCTION("IFS(AND(COUNTA(C1638:C1644)=0,COUNTA(Q1638:Q1644)=0),"""",OR(AND(K1638&gt;=1000000000,OR(Y1638&gt;=1000000000,COUNTA(Q1638:Q1644)=0)),OR(Y1638&gt;=1000000000,AND(COUNTA(C1638:C1644)=0,P$3=TRUE))),
ROUNDDOWN((AB$1-AC$1)*MAX(INDEX(T$4:T1644,MATCH(LARGE(FILTER(Y$4:Y1"&amp;"644,Y$4:Y1644&lt;1000000000),1),Y$4:Y1644)),INDEX(F$4:F1644,MATCH(LARGE(FILTER(K$4:K1644,K$4:K1644&lt;1000000000),1),K$4:K1644)))),AND(K1638&lt;1000000000,COUNTA(C1638:C1644)&gt;0,P$3=FALSE),
ROUNDDOWN(INDEX(Y$4:Y1644,MATCH(LARGE(FILTER(W$4:W1644,W$4:W1644&lt;=I1638),1)"&amp;",W$4:W1644))+(I1638-LARGE(FILTER(W$4:W1644,W$4:W1644&lt;=I1638),1))*INDEX(T$4:T1644,MATCH(LARGE(FILTER(W$4:W1644,W$4:W1644&lt;=I1638),1),W$4:W1644))-K1638),1,
ROUNDDOWN(Y1638-INDEX(K$4:K1644,MATCH(LARGE(FILTER(I$4:I1644,I$4:I1644&lt;=W1638),1),I$4:I1644))-(W1638-L"&amp;"ARGE(FILTER(I$4:I1644,I$4:I1644&lt;=W1638),1))*INDEX(F$4:F1644,MATCH(LARGE(FILTER(I$4:I1644,I$4:I1644&lt;=W1638),1),I$4:I1644))))"),"")</f>
        <v/>
      </c>
      <c r="N1638" s="60" t="str">
        <f t="shared" si="8"/>
        <v/>
      </c>
      <c r="O1638" s="61" t="str">
        <f t="shared" si="9"/>
        <v/>
      </c>
      <c r="P1638" s="56" t="str">
        <f t="shared" si="10"/>
        <v/>
      </c>
      <c r="Q1638" s="105"/>
      <c r="R1638" s="10"/>
      <c r="S1638" s="59" t="str">
        <f t="array" ref="S1638">IF(COUNTA(Q1638:Q1644)=0,"",SUM((COUNTIF(Q$4:Q1638,Upgrades!$B$3:$B$13)-COUNTIF(Q$4:Q1638,"Sell_"&amp;Upgrades!$B$3:$B$13))*Upgrades!$D$3:$D$13))</f>
        <v/>
      </c>
      <c r="T1638" s="66" t="str">
        <f>IFERROR(__xludf.DUMMYFUNCTION("IF(COUNTA(Q1638:Q1644)=0,"""",IF(REGEXMATCH(INDEX(FILTER(Q$4:Q1638,Q$4:Q1638&lt;&gt;""""),ROWS(FILTER(Q$4:Q1638,Q$4:Q1638&lt;&gt;""""))),""^Sell_""),INDEX(FILTER(T$4:T1637,Q$4:Q1637&lt;&gt;""""),ROWS(FILTER(Q$4:Q1637,Q$4:Q1637&lt;&gt;""""))),$AD$5+S1638))"),"")</f>
        <v/>
      </c>
      <c r="U1638" s="10" t="str">
        <f>IFERROR(__xludf.DUMMYFUNCTION("IF(COUNTA(Q1638:Q1644)=0,"""",IF(Q1638="""",0,IF(REGEXMATCH(Q1638,""^Sell_""),-ROUNDDOWN(ROUNDUP(INDEX(Upgrades!$C$3:$C$13,MATCH(SUBSTITUTE(Q1638,""Sell_"",""""),Upgrades!$B$3:$B$13,0))*1.15^(COUNTIF(Q$4:Q1637,SUBSTITUTE(Q1638,""Sell_"",""""))-COUNTIF(Q$4"&amp;":Q1637,""Sell_""&amp;SUBSTITUTE(Q1638,""Sell_"",""""))))/2),ROUNDUP(INDEX(Upgrades!$C$3:$C$13,MATCH(Q1638,Upgrades!$B$3:$B$13,0))*1.15^(COUNTIF(Q$4:Q1637,Q1638)-COUNTIF(Q$4:Q1637,""Sell_""&amp;Q1638))))))"),"")</f>
        <v/>
      </c>
      <c r="V1638" s="10" t="str">
        <f t="shared" si="11"/>
        <v/>
      </c>
      <c r="W1638" s="68" t="str">
        <f t="shared" si="12"/>
        <v/>
      </c>
      <c r="X1638" s="59" t="str">
        <f t="shared" si="13"/>
        <v/>
      </c>
      <c r="Y1638" s="69" t="str">
        <f t="shared" si="14"/>
        <v/>
      </c>
      <c r="Z1638" s="11"/>
      <c r="AG1638" s="59"/>
    </row>
    <row r="1639">
      <c r="A1639" s="8"/>
      <c r="B1639" s="56" t="str">
        <f t="shared" si="2"/>
        <v/>
      </c>
      <c r="C1639" s="105"/>
      <c r="D1639" s="10"/>
      <c r="E1639" s="59" t="str">
        <f t="array" ref="E1639">IF(COUNTA(C1639:C1644)=0,"",SUM((COUNTIF(C$4:C1639,Upgrades!$B$3:$B$13)-COUNTIF(C$4:C1639,"Sell_"&amp;Upgrades!$B$3:$B$13))*Upgrades!$D$3:$D$13))</f>
        <v/>
      </c>
      <c r="F1639" s="66" t="str">
        <f>IFERROR(__xludf.DUMMYFUNCTION("IF(COUNTA(C1639:C1644)=0,"""",IF(REGEXMATCH(INDEX(FILTER(C$4:C1639,C$4:C1639&lt;&gt;""""),ROWS(FILTER(C$4:C1639,C$4:C1639&lt;&gt;""""))),""^Sell_""),INDEX(FILTER(F$4:F1638,C$4:C1638&lt;&gt;""""),ROWS(FILTER(C$4:C1638,C$4:C1638&lt;&gt;""""))),$AC$5+E1639))"),"")</f>
        <v/>
      </c>
      <c r="G1639" s="10" t="str">
        <f>IFERROR(__xludf.DUMMYFUNCTION("IF(COUNTA(C1639:C1644)=0,"""",IF(C1639="""",0,IF(REGEXMATCH(C1639,""^Sell_""),-ROUNDDOWN(ROUNDUP(INDEX(Upgrades!$C$3:$C$13,MATCH(SUBSTITUTE(C1639,""Sell_"",""""),Upgrades!$B$3:$B$13,0))*1.15^(COUNTIF(C$4:C1638,SUBSTITUTE(C1639,""Sell_"",""""))-COUNTIF(C$4"&amp;":C1638,""Sell_""&amp;SUBSTITUTE(C1639,""Sell_"",""""))))/2),ROUNDUP(INDEX(Upgrades!$C$3:$C$13,MATCH(C1639,Upgrades!$B$3:$B$13,0))*1.15^(COUNTIF(C$4:C1638,C1639)-COUNTIF(C$4:C1638,""Sell_""&amp;C1639))))))"),"")</f>
        <v/>
      </c>
      <c r="H1639" s="10" t="str">
        <f t="shared" si="3"/>
        <v/>
      </c>
      <c r="I1639" s="68" t="str">
        <f t="shared" si="4"/>
        <v/>
      </c>
      <c r="J1639" s="59" t="str">
        <f t="shared" si="5"/>
        <v/>
      </c>
      <c r="K1639" s="69" t="str">
        <f t="shared" si="6"/>
        <v/>
      </c>
      <c r="L1639" s="60" t="str">
        <f t="shared" si="7"/>
        <v/>
      </c>
      <c r="M1639" s="61" t="str">
        <f>IFERROR(__xludf.DUMMYFUNCTION("IFS(AND(COUNTA(C1639:C1644)=0,COUNTA(Q1639:Q1644)=0),"""",OR(AND(K1639&gt;=1000000000,OR(Y1639&gt;=1000000000,COUNTA(Q1639:Q1644)=0)),OR(Y1639&gt;=1000000000,AND(COUNTA(C1639:C1644)=0,P$3=TRUE))),
ROUNDDOWN((AB$1-AC$1)*MAX(INDEX(T$4:T1644,MATCH(LARGE(FILTER(Y$4:Y1"&amp;"644,Y$4:Y1644&lt;1000000000),1),Y$4:Y1644)),INDEX(F$4:F1644,MATCH(LARGE(FILTER(K$4:K1644,K$4:K1644&lt;1000000000),1),K$4:K1644)))),AND(K1639&lt;1000000000,COUNTA(C1639:C1644)&gt;0,P$3=FALSE),
ROUNDDOWN(INDEX(Y$4:Y1644,MATCH(LARGE(FILTER(W$4:W1644,W$4:W1644&lt;=I1639),1)"&amp;",W$4:W1644))+(I1639-LARGE(FILTER(W$4:W1644,W$4:W1644&lt;=I1639),1))*INDEX(T$4:T1644,MATCH(LARGE(FILTER(W$4:W1644,W$4:W1644&lt;=I1639),1),W$4:W1644))-K1639),1,
ROUNDDOWN(Y1639-INDEX(K$4:K1644,MATCH(LARGE(FILTER(I$4:I1644,I$4:I1644&lt;=W1639),1),I$4:I1644))-(W1639-L"&amp;"ARGE(FILTER(I$4:I1644,I$4:I1644&lt;=W1639),1))*INDEX(F$4:F1644,MATCH(LARGE(FILTER(I$4:I1644,I$4:I1644&lt;=W1639),1),I$4:I1644))))"),"")</f>
        <v/>
      </c>
      <c r="N1639" s="60" t="str">
        <f t="shared" si="8"/>
        <v/>
      </c>
      <c r="O1639" s="61" t="str">
        <f t="shared" si="9"/>
        <v/>
      </c>
      <c r="P1639" s="56" t="str">
        <f t="shared" si="10"/>
        <v/>
      </c>
      <c r="Q1639" s="105"/>
      <c r="R1639" s="10"/>
      <c r="S1639" s="59" t="str">
        <f t="array" ref="S1639">IF(COUNTA(Q1639:Q1644)=0,"",SUM((COUNTIF(Q$4:Q1639,Upgrades!$B$3:$B$13)-COUNTIF(Q$4:Q1639,"Sell_"&amp;Upgrades!$B$3:$B$13))*Upgrades!$D$3:$D$13))</f>
        <v/>
      </c>
      <c r="T1639" s="66" t="str">
        <f>IFERROR(__xludf.DUMMYFUNCTION("IF(COUNTA(Q1639:Q1644)=0,"""",IF(REGEXMATCH(INDEX(FILTER(Q$4:Q1639,Q$4:Q1639&lt;&gt;""""),ROWS(FILTER(Q$4:Q1639,Q$4:Q1639&lt;&gt;""""))),""^Sell_""),INDEX(FILTER(T$4:T1638,Q$4:Q1638&lt;&gt;""""),ROWS(FILTER(Q$4:Q1638,Q$4:Q1638&lt;&gt;""""))),$AD$5+S1639))"),"")</f>
        <v/>
      </c>
      <c r="U1639" s="10" t="str">
        <f>IFERROR(__xludf.DUMMYFUNCTION("IF(COUNTA(Q1639:Q1644)=0,"""",IF(Q1639="""",0,IF(REGEXMATCH(Q1639,""^Sell_""),-ROUNDDOWN(ROUNDUP(INDEX(Upgrades!$C$3:$C$13,MATCH(SUBSTITUTE(Q1639,""Sell_"",""""),Upgrades!$B$3:$B$13,0))*1.15^(COUNTIF(Q$4:Q1638,SUBSTITUTE(Q1639,""Sell_"",""""))-COUNTIF(Q$4"&amp;":Q1638,""Sell_""&amp;SUBSTITUTE(Q1639,""Sell_"",""""))))/2),ROUNDUP(INDEX(Upgrades!$C$3:$C$13,MATCH(Q1639,Upgrades!$B$3:$B$13,0))*1.15^(COUNTIF(Q$4:Q1638,Q1639)-COUNTIF(Q$4:Q1638,""Sell_""&amp;Q1639))))))"),"")</f>
        <v/>
      </c>
      <c r="V1639" s="10" t="str">
        <f t="shared" si="11"/>
        <v/>
      </c>
      <c r="W1639" s="68" t="str">
        <f t="shared" si="12"/>
        <v/>
      </c>
      <c r="X1639" s="59" t="str">
        <f t="shared" si="13"/>
        <v/>
      </c>
      <c r="Y1639" s="69" t="str">
        <f t="shared" si="14"/>
        <v/>
      </c>
      <c r="Z1639" s="11"/>
      <c r="AG1639" s="59"/>
    </row>
    <row r="1640">
      <c r="A1640" s="8"/>
      <c r="B1640" s="56" t="str">
        <f t="shared" si="2"/>
        <v/>
      </c>
      <c r="C1640" s="105"/>
      <c r="D1640" s="10"/>
      <c r="E1640" s="59" t="str">
        <f t="array" ref="E1640">IF(COUNTA(C1640:C1644)=0,"",SUM((COUNTIF(C$4:C1640,Upgrades!$B$3:$B$13)-COUNTIF(C$4:C1640,"Sell_"&amp;Upgrades!$B$3:$B$13))*Upgrades!$D$3:$D$13))</f>
        <v/>
      </c>
      <c r="F1640" s="66" t="str">
        <f>IFERROR(__xludf.DUMMYFUNCTION("IF(COUNTA(C1640:C1644)=0,"""",IF(REGEXMATCH(INDEX(FILTER(C$4:C1640,C$4:C1640&lt;&gt;""""),ROWS(FILTER(C$4:C1640,C$4:C1640&lt;&gt;""""))),""^Sell_""),INDEX(FILTER(F$4:F1639,C$4:C1639&lt;&gt;""""),ROWS(FILTER(C$4:C1639,C$4:C1639&lt;&gt;""""))),$AC$5+E1640))"),"")</f>
        <v/>
      </c>
      <c r="G1640" s="10" t="str">
        <f>IFERROR(__xludf.DUMMYFUNCTION("IF(COUNTA(C1640:C1644)=0,"""",IF(C1640="""",0,IF(REGEXMATCH(C1640,""^Sell_""),-ROUNDDOWN(ROUNDUP(INDEX(Upgrades!$C$3:$C$13,MATCH(SUBSTITUTE(C1640,""Sell_"",""""),Upgrades!$B$3:$B$13,0))*1.15^(COUNTIF(C$4:C1639,SUBSTITUTE(C1640,""Sell_"",""""))-COUNTIF(C$4"&amp;":C1639,""Sell_""&amp;SUBSTITUTE(C1640,""Sell_"",""""))))/2),ROUNDUP(INDEX(Upgrades!$C$3:$C$13,MATCH(C1640,Upgrades!$B$3:$B$13,0))*1.15^(COUNTIF(C$4:C1639,C1640)-COUNTIF(C$4:C1639,""Sell_""&amp;C1640))))))"),"")</f>
        <v/>
      </c>
      <c r="H1640" s="10" t="str">
        <f t="shared" si="3"/>
        <v/>
      </c>
      <c r="I1640" s="68" t="str">
        <f t="shared" si="4"/>
        <v/>
      </c>
      <c r="J1640" s="59" t="str">
        <f t="shared" si="5"/>
        <v/>
      </c>
      <c r="K1640" s="69" t="str">
        <f t="shared" si="6"/>
        <v/>
      </c>
      <c r="L1640" s="60" t="str">
        <f t="shared" si="7"/>
        <v/>
      </c>
      <c r="M1640" s="61" t="str">
        <f>IFERROR(__xludf.DUMMYFUNCTION("IFS(AND(COUNTA(C1640:C1644)=0,COUNTA(Q1640:Q1644)=0),"""",OR(AND(K1640&gt;=1000000000,OR(Y1640&gt;=1000000000,COUNTA(Q1640:Q1644)=0)),OR(Y1640&gt;=1000000000,AND(COUNTA(C1640:C1644)=0,P$3=TRUE))),
ROUNDDOWN((AB$1-AC$1)*MAX(INDEX(T$4:T1644,MATCH(LARGE(FILTER(Y$4:Y1"&amp;"644,Y$4:Y1644&lt;1000000000),1),Y$4:Y1644)),INDEX(F$4:F1644,MATCH(LARGE(FILTER(K$4:K1644,K$4:K1644&lt;1000000000),1),K$4:K1644)))),AND(K1640&lt;1000000000,COUNTA(C1640:C1644)&gt;0,P$3=FALSE),
ROUNDDOWN(INDEX(Y$4:Y1644,MATCH(LARGE(FILTER(W$4:W1644,W$4:W1644&lt;=I1640),1)"&amp;",W$4:W1644))+(I1640-LARGE(FILTER(W$4:W1644,W$4:W1644&lt;=I1640),1))*INDEX(T$4:T1644,MATCH(LARGE(FILTER(W$4:W1644,W$4:W1644&lt;=I1640),1),W$4:W1644))-K1640),1,
ROUNDDOWN(Y1640-INDEX(K$4:K1644,MATCH(LARGE(FILTER(I$4:I1644,I$4:I1644&lt;=W1640),1),I$4:I1644))-(W1640-L"&amp;"ARGE(FILTER(I$4:I1644,I$4:I1644&lt;=W1640),1))*INDEX(F$4:F1644,MATCH(LARGE(FILTER(I$4:I1644,I$4:I1644&lt;=W1640),1),I$4:I1644))))"),"")</f>
        <v/>
      </c>
      <c r="N1640" s="60" t="str">
        <f t="shared" si="8"/>
        <v/>
      </c>
      <c r="O1640" s="61" t="str">
        <f t="shared" si="9"/>
        <v/>
      </c>
      <c r="P1640" s="56" t="str">
        <f t="shared" si="10"/>
        <v/>
      </c>
      <c r="Q1640" s="105"/>
      <c r="R1640" s="10"/>
      <c r="S1640" s="59" t="str">
        <f t="array" ref="S1640">IF(COUNTA(Q1640:Q1644)=0,"",SUM((COUNTIF(Q$4:Q1640,Upgrades!$B$3:$B$13)-COUNTIF(Q$4:Q1640,"Sell_"&amp;Upgrades!$B$3:$B$13))*Upgrades!$D$3:$D$13))</f>
        <v/>
      </c>
      <c r="T1640" s="66" t="str">
        <f>IFERROR(__xludf.DUMMYFUNCTION("IF(COUNTA(Q1640:Q1644)=0,"""",IF(REGEXMATCH(INDEX(FILTER(Q$4:Q1640,Q$4:Q1640&lt;&gt;""""),ROWS(FILTER(Q$4:Q1640,Q$4:Q1640&lt;&gt;""""))),""^Sell_""),INDEX(FILTER(T$4:T1639,Q$4:Q1639&lt;&gt;""""),ROWS(FILTER(Q$4:Q1639,Q$4:Q1639&lt;&gt;""""))),$AD$5+S1640))"),"")</f>
        <v/>
      </c>
      <c r="U1640" s="10" t="str">
        <f>IFERROR(__xludf.DUMMYFUNCTION("IF(COUNTA(Q1640:Q1644)=0,"""",IF(Q1640="""",0,IF(REGEXMATCH(Q1640,""^Sell_""),-ROUNDDOWN(ROUNDUP(INDEX(Upgrades!$C$3:$C$13,MATCH(SUBSTITUTE(Q1640,""Sell_"",""""),Upgrades!$B$3:$B$13,0))*1.15^(COUNTIF(Q$4:Q1639,SUBSTITUTE(Q1640,""Sell_"",""""))-COUNTIF(Q$4"&amp;":Q1639,""Sell_""&amp;SUBSTITUTE(Q1640,""Sell_"",""""))))/2),ROUNDUP(INDEX(Upgrades!$C$3:$C$13,MATCH(Q1640,Upgrades!$B$3:$B$13,0))*1.15^(COUNTIF(Q$4:Q1639,Q1640)-COUNTIF(Q$4:Q1639,""Sell_""&amp;Q1640))))))"),"")</f>
        <v/>
      </c>
      <c r="V1640" s="10" t="str">
        <f t="shared" si="11"/>
        <v/>
      </c>
      <c r="W1640" s="68" t="str">
        <f t="shared" si="12"/>
        <v/>
      </c>
      <c r="X1640" s="59" t="str">
        <f t="shared" si="13"/>
        <v/>
      </c>
      <c r="Y1640" s="69" t="str">
        <f t="shared" si="14"/>
        <v/>
      </c>
      <c r="Z1640" s="11"/>
      <c r="AG1640" s="59"/>
    </row>
    <row r="1641">
      <c r="A1641" s="8"/>
      <c r="B1641" s="56" t="str">
        <f t="shared" si="2"/>
        <v/>
      </c>
      <c r="C1641" s="105"/>
      <c r="D1641" s="10"/>
      <c r="E1641" s="59" t="str">
        <f t="array" ref="E1641">IF(COUNTA(C1641:C1644)=0,"",SUM((COUNTIF(C$4:C1641,Upgrades!$B$3:$B$13)-COUNTIF(C$4:C1641,"Sell_"&amp;Upgrades!$B$3:$B$13))*Upgrades!$D$3:$D$13))</f>
        <v/>
      </c>
      <c r="F1641" s="66" t="str">
        <f>IFERROR(__xludf.DUMMYFUNCTION("IF(COUNTA(C1641:C1644)=0,"""",IF(REGEXMATCH(INDEX(FILTER(C$4:C1641,C$4:C1641&lt;&gt;""""),ROWS(FILTER(C$4:C1641,C$4:C1641&lt;&gt;""""))),""^Sell_""),INDEX(FILTER(F$4:F1640,C$4:C1640&lt;&gt;""""),ROWS(FILTER(C$4:C1640,C$4:C1640&lt;&gt;""""))),$AC$5+E1641))"),"")</f>
        <v/>
      </c>
      <c r="G1641" s="10" t="str">
        <f>IFERROR(__xludf.DUMMYFUNCTION("IF(COUNTA(C1641:C1644)=0,"""",IF(C1641="""",0,IF(REGEXMATCH(C1641,""^Sell_""),-ROUNDDOWN(ROUNDUP(INDEX(Upgrades!$C$3:$C$13,MATCH(SUBSTITUTE(C1641,""Sell_"",""""),Upgrades!$B$3:$B$13,0))*1.15^(COUNTIF(C$4:C1640,SUBSTITUTE(C1641,""Sell_"",""""))-COUNTIF(C$4"&amp;":C1640,""Sell_""&amp;SUBSTITUTE(C1641,""Sell_"",""""))))/2),ROUNDUP(INDEX(Upgrades!$C$3:$C$13,MATCH(C1641,Upgrades!$B$3:$B$13,0))*1.15^(COUNTIF(C$4:C1640,C1641)-COUNTIF(C$4:C1640,""Sell_""&amp;C1641))))))"),"")</f>
        <v/>
      </c>
      <c r="H1641" s="10" t="str">
        <f t="shared" si="3"/>
        <v/>
      </c>
      <c r="I1641" s="68" t="str">
        <f t="shared" si="4"/>
        <v/>
      </c>
      <c r="J1641" s="59" t="str">
        <f t="shared" si="5"/>
        <v/>
      </c>
      <c r="K1641" s="69" t="str">
        <f t="shared" si="6"/>
        <v/>
      </c>
      <c r="L1641" s="60" t="str">
        <f t="shared" si="7"/>
        <v/>
      </c>
      <c r="M1641" s="61" t="str">
        <f>IFERROR(__xludf.DUMMYFUNCTION("IFS(AND(COUNTA(C1641:C1644)=0,COUNTA(Q1641:Q1644)=0),"""",OR(AND(K1641&gt;=1000000000,OR(Y1641&gt;=1000000000,COUNTA(Q1641:Q1644)=0)),OR(Y1641&gt;=1000000000,AND(COUNTA(C1641:C1644)=0,P$3=TRUE))),
ROUNDDOWN((AB$1-AC$1)*MAX(INDEX(T$4:T1644,MATCH(LARGE(FILTER(Y$4:Y1"&amp;"644,Y$4:Y1644&lt;1000000000),1),Y$4:Y1644)),INDEX(F$4:F1644,MATCH(LARGE(FILTER(K$4:K1644,K$4:K1644&lt;1000000000),1),K$4:K1644)))),AND(K1641&lt;1000000000,COUNTA(C1641:C1644)&gt;0,P$3=FALSE),
ROUNDDOWN(INDEX(Y$4:Y1644,MATCH(LARGE(FILTER(W$4:W1644,W$4:W1644&lt;=I1641),1)"&amp;",W$4:W1644))+(I1641-LARGE(FILTER(W$4:W1644,W$4:W1644&lt;=I1641),1))*INDEX(T$4:T1644,MATCH(LARGE(FILTER(W$4:W1644,W$4:W1644&lt;=I1641),1),W$4:W1644))-K1641),1,
ROUNDDOWN(Y1641-INDEX(K$4:K1644,MATCH(LARGE(FILTER(I$4:I1644,I$4:I1644&lt;=W1641),1),I$4:I1644))-(W1641-L"&amp;"ARGE(FILTER(I$4:I1644,I$4:I1644&lt;=W1641),1))*INDEX(F$4:F1644,MATCH(LARGE(FILTER(I$4:I1644,I$4:I1644&lt;=W1641),1),I$4:I1644))))"),"")</f>
        <v/>
      </c>
      <c r="N1641" s="60" t="str">
        <f t="shared" si="8"/>
        <v/>
      </c>
      <c r="O1641" s="61" t="str">
        <f t="shared" si="9"/>
        <v/>
      </c>
      <c r="P1641" s="56" t="str">
        <f t="shared" si="10"/>
        <v/>
      </c>
      <c r="Q1641" s="105"/>
      <c r="R1641" s="10"/>
      <c r="S1641" s="59" t="str">
        <f t="array" ref="S1641">IF(COUNTA(Q1641:Q1644)=0,"",SUM((COUNTIF(Q$4:Q1641,Upgrades!$B$3:$B$13)-COUNTIF(Q$4:Q1641,"Sell_"&amp;Upgrades!$B$3:$B$13))*Upgrades!$D$3:$D$13))</f>
        <v/>
      </c>
      <c r="T1641" s="66" t="str">
        <f>IFERROR(__xludf.DUMMYFUNCTION("IF(COUNTA(Q1641:Q1644)=0,"""",IF(REGEXMATCH(INDEX(FILTER(Q$4:Q1641,Q$4:Q1641&lt;&gt;""""),ROWS(FILTER(Q$4:Q1641,Q$4:Q1641&lt;&gt;""""))),""^Sell_""),INDEX(FILTER(T$4:T1640,Q$4:Q1640&lt;&gt;""""),ROWS(FILTER(Q$4:Q1640,Q$4:Q1640&lt;&gt;""""))),$AD$5+S1641))"),"")</f>
        <v/>
      </c>
      <c r="U1641" s="10" t="str">
        <f>IFERROR(__xludf.DUMMYFUNCTION("IF(COUNTA(Q1641:Q1644)=0,"""",IF(Q1641="""",0,IF(REGEXMATCH(Q1641,""^Sell_""),-ROUNDDOWN(ROUNDUP(INDEX(Upgrades!$C$3:$C$13,MATCH(SUBSTITUTE(Q1641,""Sell_"",""""),Upgrades!$B$3:$B$13,0))*1.15^(COUNTIF(Q$4:Q1640,SUBSTITUTE(Q1641,""Sell_"",""""))-COUNTIF(Q$4"&amp;":Q1640,""Sell_""&amp;SUBSTITUTE(Q1641,""Sell_"",""""))))/2),ROUNDUP(INDEX(Upgrades!$C$3:$C$13,MATCH(Q1641,Upgrades!$B$3:$B$13,0))*1.15^(COUNTIF(Q$4:Q1640,Q1641)-COUNTIF(Q$4:Q1640,""Sell_""&amp;Q1641))))))"),"")</f>
        <v/>
      </c>
      <c r="V1641" s="10" t="str">
        <f t="shared" si="11"/>
        <v/>
      </c>
      <c r="W1641" s="68" t="str">
        <f t="shared" si="12"/>
        <v/>
      </c>
      <c r="X1641" s="59" t="str">
        <f t="shared" si="13"/>
        <v/>
      </c>
      <c r="Y1641" s="69" t="str">
        <f t="shared" si="14"/>
        <v/>
      </c>
      <c r="Z1641" s="11"/>
      <c r="AG1641" s="59"/>
    </row>
    <row r="1642">
      <c r="A1642" s="8"/>
      <c r="B1642" s="56" t="str">
        <f t="shared" si="2"/>
        <v/>
      </c>
      <c r="C1642" s="105"/>
      <c r="D1642" s="10"/>
      <c r="E1642" s="59" t="str">
        <f t="array" ref="E1642">IF(COUNTA(C1642:C1644)=0,"",SUM((COUNTIF(C$4:C1642,Upgrades!$B$3:$B$13)-COUNTIF(C$4:C1642,"Sell_"&amp;Upgrades!$B$3:$B$13))*Upgrades!$D$3:$D$13))</f>
        <v/>
      </c>
      <c r="F1642" s="66" t="str">
        <f>IFERROR(__xludf.DUMMYFUNCTION("IF(COUNTA(C1642:C1644)=0,"""",IF(REGEXMATCH(INDEX(FILTER(C$4:C1642,C$4:C1642&lt;&gt;""""),ROWS(FILTER(C$4:C1642,C$4:C1642&lt;&gt;""""))),""^Sell_""),INDEX(FILTER(F$4:F1641,C$4:C1641&lt;&gt;""""),ROWS(FILTER(C$4:C1641,C$4:C1641&lt;&gt;""""))),$AC$5+E1642))"),"")</f>
        <v/>
      </c>
      <c r="G1642" s="10" t="str">
        <f>IFERROR(__xludf.DUMMYFUNCTION("IF(COUNTA(C1642:C1644)=0,"""",IF(C1642="""",0,IF(REGEXMATCH(C1642,""^Sell_""),-ROUNDDOWN(ROUNDUP(INDEX(Upgrades!$C$3:$C$13,MATCH(SUBSTITUTE(C1642,""Sell_"",""""),Upgrades!$B$3:$B$13,0))*1.15^(COUNTIF(C$4:C1641,SUBSTITUTE(C1642,""Sell_"",""""))-COUNTIF(C$4"&amp;":C1641,""Sell_""&amp;SUBSTITUTE(C1642,""Sell_"",""""))))/2),ROUNDUP(INDEX(Upgrades!$C$3:$C$13,MATCH(C1642,Upgrades!$B$3:$B$13,0))*1.15^(COUNTIF(C$4:C1641,C1642)-COUNTIF(C$4:C1641,""Sell_""&amp;C1642))))))"),"")</f>
        <v/>
      </c>
      <c r="H1642" s="10" t="str">
        <f t="shared" si="3"/>
        <v/>
      </c>
      <c r="I1642" s="68" t="str">
        <f t="shared" si="4"/>
        <v/>
      </c>
      <c r="J1642" s="59" t="str">
        <f t="shared" si="5"/>
        <v/>
      </c>
      <c r="K1642" s="69" t="str">
        <f t="shared" si="6"/>
        <v/>
      </c>
      <c r="L1642" s="60" t="str">
        <f t="shared" si="7"/>
        <v/>
      </c>
      <c r="M1642" s="61" t="str">
        <f>IFERROR(__xludf.DUMMYFUNCTION("IFS(AND(COUNTA(C1642:C1644)=0,COUNTA(Q1642:Q1644)=0),"""",OR(AND(K1642&gt;=1000000000,OR(Y1642&gt;=1000000000,COUNTA(Q1642:Q1644)=0)),OR(Y1642&gt;=1000000000,AND(COUNTA(C1642:C1644)=0,P$3=TRUE))),
ROUNDDOWN((AB$1-AC$1)*MAX(INDEX(T$4:T1644,MATCH(LARGE(FILTER(Y$4:Y1"&amp;"644,Y$4:Y1644&lt;1000000000),1),Y$4:Y1644)),INDEX(F$4:F1644,MATCH(LARGE(FILTER(K$4:K1644,K$4:K1644&lt;1000000000),1),K$4:K1644)))),AND(K1642&lt;1000000000,COUNTA(C1642:C1644)&gt;0,P$3=FALSE),
ROUNDDOWN(INDEX(Y$4:Y1644,MATCH(LARGE(FILTER(W$4:W1644,W$4:W1644&lt;=I1642),1)"&amp;",W$4:W1644))+(I1642-LARGE(FILTER(W$4:W1644,W$4:W1644&lt;=I1642),1))*INDEX(T$4:T1644,MATCH(LARGE(FILTER(W$4:W1644,W$4:W1644&lt;=I1642),1),W$4:W1644))-K1642),1,
ROUNDDOWN(Y1642-INDEX(K$4:K1644,MATCH(LARGE(FILTER(I$4:I1644,I$4:I1644&lt;=W1642),1),I$4:I1644))-(W1642-L"&amp;"ARGE(FILTER(I$4:I1644,I$4:I1644&lt;=W1642),1))*INDEX(F$4:F1644,MATCH(LARGE(FILTER(I$4:I1644,I$4:I1644&lt;=W1642),1),I$4:I1644))))"),"")</f>
        <v/>
      </c>
      <c r="N1642" s="60" t="str">
        <f t="shared" si="8"/>
        <v/>
      </c>
      <c r="O1642" s="61" t="str">
        <f t="shared" si="9"/>
        <v/>
      </c>
      <c r="P1642" s="56" t="str">
        <f t="shared" si="10"/>
        <v/>
      </c>
      <c r="Q1642" s="105"/>
      <c r="R1642" s="10"/>
      <c r="S1642" s="59" t="str">
        <f t="array" ref="S1642">IF(COUNTA(Q1642:Q1644)=0,"",SUM((COUNTIF(Q$4:Q1642,Upgrades!$B$3:$B$13)-COUNTIF(Q$4:Q1642,"Sell_"&amp;Upgrades!$B$3:$B$13))*Upgrades!$D$3:$D$13))</f>
        <v/>
      </c>
      <c r="T1642" s="66" t="str">
        <f>IFERROR(__xludf.DUMMYFUNCTION("IF(COUNTA(Q1642:Q1644)=0,"""",IF(REGEXMATCH(INDEX(FILTER(Q$4:Q1642,Q$4:Q1642&lt;&gt;""""),ROWS(FILTER(Q$4:Q1642,Q$4:Q1642&lt;&gt;""""))),""^Sell_""),INDEX(FILTER(T$4:T1641,Q$4:Q1641&lt;&gt;""""),ROWS(FILTER(Q$4:Q1641,Q$4:Q1641&lt;&gt;""""))),$AD$5+S1642))"),"")</f>
        <v/>
      </c>
      <c r="U1642" s="10" t="str">
        <f>IFERROR(__xludf.DUMMYFUNCTION("IF(COUNTA(Q1642:Q1644)=0,"""",IF(Q1642="""",0,IF(REGEXMATCH(Q1642,""^Sell_""),-ROUNDDOWN(ROUNDUP(INDEX(Upgrades!$C$3:$C$13,MATCH(SUBSTITUTE(Q1642,""Sell_"",""""),Upgrades!$B$3:$B$13,0))*1.15^(COUNTIF(Q$4:Q1641,SUBSTITUTE(Q1642,""Sell_"",""""))-COUNTIF(Q$4"&amp;":Q1641,""Sell_""&amp;SUBSTITUTE(Q1642,""Sell_"",""""))))/2),ROUNDUP(INDEX(Upgrades!$C$3:$C$13,MATCH(Q1642,Upgrades!$B$3:$B$13,0))*1.15^(COUNTIF(Q$4:Q1641,Q1642)-COUNTIF(Q$4:Q1641,""Sell_""&amp;Q1642))))))"),"")</f>
        <v/>
      </c>
      <c r="V1642" s="10" t="str">
        <f t="shared" si="11"/>
        <v/>
      </c>
      <c r="W1642" s="68" t="str">
        <f t="shared" si="12"/>
        <v/>
      </c>
      <c r="X1642" s="59" t="str">
        <f t="shared" si="13"/>
        <v/>
      </c>
      <c r="Y1642" s="69" t="str">
        <f t="shared" si="14"/>
        <v/>
      </c>
      <c r="Z1642" s="11"/>
      <c r="AG1642" s="59"/>
    </row>
    <row r="1643">
      <c r="A1643" s="8"/>
      <c r="B1643" s="56" t="str">
        <f t="shared" si="2"/>
        <v/>
      </c>
      <c r="C1643" s="105"/>
      <c r="D1643" s="10"/>
      <c r="E1643" s="59" t="str">
        <f t="array" ref="E1643">IF(COUNTA(C1643:C1644)=0,"",SUM((COUNTIF(C$4:C1643,Upgrades!$B$3:$B$13)-COUNTIF(C$4:C1643,"Sell_"&amp;Upgrades!$B$3:$B$13))*Upgrades!$D$3:$D$13))</f>
        <v/>
      </c>
      <c r="F1643" s="66" t="str">
        <f>IFERROR(__xludf.DUMMYFUNCTION("IF(COUNTA(C1643:C1644)=0,"""",IF(REGEXMATCH(INDEX(FILTER(C$4:C1643,C$4:C1643&lt;&gt;""""),ROWS(FILTER(C$4:C1643,C$4:C1643&lt;&gt;""""))),""^Sell_""),INDEX(FILTER(F$4:F1642,C$4:C1642&lt;&gt;""""),ROWS(FILTER(C$4:C1642,C$4:C1642&lt;&gt;""""))),$AC$5+E1643))"),"")</f>
        <v/>
      </c>
      <c r="G1643" s="10" t="str">
        <f>IFERROR(__xludf.DUMMYFUNCTION("IF(COUNTA(C1643:C1644)=0,"""",IF(C1643="""",0,IF(REGEXMATCH(C1643,""^Sell_""),-ROUNDDOWN(ROUNDUP(INDEX(Upgrades!$C$3:$C$13,MATCH(SUBSTITUTE(C1643,""Sell_"",""""),Upgrades!$B$3:$B$13,0))*1.15^(COUNTIF(C$4:C1642,SUBSTITUTE(C1643,""Sell_"",""""))-COUNTIF(C$4"&amp;":C1642,""Sell_""&amp;SUBSTITUTE(C1643,""Sell_"",""""))))/2),ROUNDUP(INDEX(Upgrades!$C$3:$C$13,MATCH(C1643,Upgrades!$B$3:$B$13,0))*1.15^(COUNTIF(C$4:C1642,C1643)-COUNTIF(C$4:C1642,""Sell_""&amp;C1643))))))"),"")</f>
        <v/>
      </c>
      <c r="H1643" s="10" t="str">
        <f t="shared" si="3"/>
        <v/>
      </c>
      <c r="I1643" s="68" t="str">
        <f t="shared" si="4"/>
        <v/>
      </c>
      <c r="J1643" s="59" t="str">
        <f t="shared" si="5"/>
        <v/>
      </c>
      <c r="K1643" s="69" t="str">
        <f t="shared" si="6"/>
        <v/>
      </c>
      <c r="L1643" s="60" t="str">
        <f t="shared" si="7"/>
        <v/>
      </c>
      <c r="M1643" s="61" t="str">
        <f>IFERROR(__xludf.DUMMYFUNCTION("IFS(AND(COUNTA(C1643:C1644)=0,COUNTA(Q1643:Q1644)=0),"""",OR(AND(K1643&gt;=1000000000,OR(Y1643&gt;=1000000000,COUNTA(Q1643:Q1644)=0)),OR(Y1643&gt;=1000000000,AND(COUNTA(C1643:C1644)=0,P$3=TRUE))),
ROUNDDOWN((AB$1-AC$1)*MAX(INDEX(T$4:T1644,MATCH(LARGE(FILTER(Y$4:Y1"&amp;"644,Y$4:Y1644&lt;1000000000),1),Y$4:Y1644)),INDEX(F$4:F1644,MATCH(LARGE(FILTER(K$4:K1644,K$4:K1644&lt;1000000000),1),K$4:K1644)))),AND(K1643&lt;1000000000,COUNTA(C1643:C1644)&gt;0,P$3=FALSE),
ROUNDDOWN(INDEX(Y$4:Y1644,MATCH(LARGE(FILTER(W$4:W1644,W$4:W1644&lt;=I1643),1)"&amp;",W$4:W1644))+(I1643-LARGE(FILTER(W$4:W1644,W$4:W1644&lt;=I1643),1))*INDEX(T$4:T1644,MATCH(LARGE(FILTER(W$4:W1644,W$4:W1644&lt;=I1643),1),W$4:W1644))-K1643),1,
ROUNDDOWN(Y1643-INDEX(K$4:K1644,MATCH(LARGE(FILTER(I$4:I1644,I$4:I1644&lt;=W1643),1),I$4:I1644))-(W1643-L"&amp;"ARGE(FILTER(I$4:I1644,I$4:I1644&lt;=W1643),1))*INDEX(F$4:F1644,MATCH(LARGE(FILTER(I$4:I1644,I$4:I1644&lt;=W1643),1),I$4:I1644))))"),"")</f>
        <v/>
      </c>
      <c r="N1643" s="60" t="str">
        <f t="shared" si="8"/>
        <v/>
      </c>
      <c r="O1643" s="61" t="str">
        <f t="shared" si="9"/>
        <v/>
      </c>
      <c r="P1643" s="56" t="str">
        <f t="shared" si="10"/>
        <v/>
      </c>
      <c r="Q1643" s="105"/>
      <c r="R1643" s="10"/>
      <c r="S1643" s="59" t="str">
        <f t="array" ref="S1643">IF(COUNTA(Q1643:Q1644)=0,"",SUM((COUNTIF(Q$4:Q1643,Upgrades!$B$3:$B$13)-COUNTIF(Q$4:Q1643,"Sell_"&amp;Upgrades!$B$3:$B$13))*Upgrades!$D$3:$D$13))</f>
        <v/>
      </c>
      <c r="T1643" s="66" t="str">
        <f>IFERROR(__xludf.DUMMYFUNCTION("IF(COUNTA(Q1643:Q1644)=0,"""",IF(REGEXMATCH(INDEX(FILTER(Q$4:Q1643,Q$4:Q1643&lt;&gt;""""),ROWS(FILTER(Q$4:Q1643,Q$4:Q1643&lt;&gt;""""))),""^Sell_""),INDEX(FILTER(T$4:T1642,Q$4:Q1642&lt;&gt;""""),ROWS(FILTER(Q$4:Q1642,Q$4:Q1642&lt;&gt;""""))),$AD$5+S1643))"),"")</f>
        <v/>
      </c>
      <c r="U1643" s="10" t="str">
        <f>IFERROR(__xludf.DUMMYFUNCTION("IF(COUNTA(Q1643:Q1644)=0,"""",IF(Q1643="""",0,IF(REGEXMATCH(Q1643,""^Sell_""),-ROUNDDOWN(ROUNDUP(INDEX(Upgrades!$C$3:$C$13,MATCH(SUBSTITUTE(Q1643,""Sell_"",""""),Upgrades!$B$3:$B$13,0))*1.15^(COUNTIF(Q$4:Q1642,SUBSTITUTE(Q1643,""Sell_"",""""))-COUNTIF(Q$4"&amp;":Q1642,""Sell_""&amp;SUBSTITUTE(Q1643,""Sell_"",""""))))/2),ROUNDUP(INDEX(Upgrades!$C$3:$C$13,MATCH(Q1643,Upgrades!$B$3:$B$13,0))*1.15^(COUNTIF(Q$4:Q1642,Q1643)-COUNTIF(Q$4:Q1642,""Sell_""&amp;Q1643))))))"),"")</f>
        <v/>
      </c>
      <c r="V1643" s="10" t="str">
        <f t="shared" si="11"/>
        <v/>
      </c>
      <c r="W1643" s="68" t="str">
        <f t="shared" si="12"/>
        <v/>
      </c>
      <c r="X1643" s="59" t="str">
        <f t="shared" si="13"/>
        <v/>
      </c>
      <c r="Y1643" s="69" t="str">
        <f t="shared" si="14"/>
        <v/>
      </c>
      <c r="Z1643" s="11"/>
      <c r="AG1643" s="59"/>
    </row>
    <row r="1644">
      <c r="A1644" s="8"/>
      <c r="B1644" s="56" t="str">
        <f t="shared" si="2"/>
        <v/>
      </c>
      <c r="C1644" s="105"/>
      <c r="D1644" s="10"/>
      <c r="E1644" s="59" t="str">
        <f t="array" ref="E1644">IF(COUNTA(C1644)=0,"",SUM((COUNTIF(C$4:C1644,Upgrades!$B$3:$B$13)-COUNTIF(C$4:C1644,"Sell_"&amp;Upgrades!$B$3:$B$13))*Upgrades!$D$3:$D$13))</f>
        <v/>
      </c>
      <c r="F1644" s="66" t="str">
        <f>IFERROR(__xludf.DUMMYFUNCTION("IF(COUNTA(C1644)=0,"""",IF(REGEXMATCH(INDEX(FILTER(C$4:C1644,C$4:C1644&lt;&gt;""""),ROWS(FILTER(C$4:C1644,C$4:C1644&lt;&gt;""""))),""^Sell_""),INDEX(FILTER(F$4:F1643,C$4:C1643&lt;&gt;""""),ROWS(FILTER(C$4:C1643,C$4:C1643&lt;&gt;""""))),$AC$5+E1644))"),"")</f>
        <v/>
      </c>
      <c r="G1644" s="10" t="str">
        <f>IFERROR(__xludf.DUMMYFUNCTION("IF(COUNTA(C1644)=0,"""",IF(C1644="""",0,IF(REGEXMATCH(C1644,""^Sell_""),-ROUNDDOWN(ROUNDUP(INDEX(Upgrades!$C$3:$C$13,MATCH(SUBSTITUTE(C1644,""Sell_"",""""),Upgrades!$B$3:$B$13,0))*1.15^(COUNTIF(C$4:C1643,SUBSTITUTE(C1644,""Sell_"",""""))-COUNTIF(C$4:C1643"&amp;",""Sell_""&amp;SUBSTITUTE(C1644,""Sell_"",""""))))/2),ROUNDUP(INDEX(Upgrades!$C$3:$C$13,MATCH(C1644,Upgrades!$B$3:$B$13,0))*1.15^(COUNTIF(C$4:C1643,C1644)-COUNTIF(C$4:C1643,""Sell_""&amp;C1644))))))"),"")</f>
        <v/>
      </c>
      <c r="H1644" s="10" t="str">
        <f t="shared" si="3"/>
        <v/>
      </c>
      <c r="I1644" s="68" t="str">
        <f t="shared" si="4"/>
        <v/>
      </c>
      <c r="J1644" s="59" t="str">
        <f t="shared" si="5"/>
        <v/>
      </c>
      <c r="K1644" s="69" t="str">
        <f t="shared" si="6"/>
        <v/>
      </c>
      <c r="L1644" s="60" t="str">
        <f t="shared" si="7"/>
        <v/>
      </c>
      <c r="M1644" s="61" t="str">
        <f>IFERROR(__xludf.DUMMYFUNCTION("IFS(AND(COUNTA(C1644)=0,COUNTA(Q1644)=0),"""",OR(AND(K1644&gt;=1000000000,OR(Y1644&gt;=1000000000,COUNTA(Q1644)=0)),OR(Y1644&gt;=1000000000,AND(COUNTA(C1644)=0,P$3=TRUE))),
ROUNDDOWN((AB$1-AC$1)*MAX(INDEX(T$4:T1644,MATCH(LARGE(FILTER(Y$4:Y1644,Y$4:Y1644&lt;1000000000"&amp;"),1),Y$4:Y1644)),INDEX(F$4:F1644,MATCH(LARGE(FILTER(K$4:K1644,K$4:K1644&lt;1000000000),1),K$4:K1644)))),AND(K1644&lt;1000000000,COUNTA(C1644)&gt;0,P$3=FALSE),
ROUNDDOWN(INDEX(Y$4:Y1644,MATCH(LARGE(FILTER(W$4:W1644,W$4:W1644&lt;=I1644),1),W$4:W1644))+(I1644-LARGE(FILT"&amp;"ER(W$4:W1644,W$4:W1644&lt;=I1644),1))*INDEX(T$4:T1644,MATCH(LARGE(FILTER(W$4:W1644,W$4:W1644&lt;=I1644),1),W$4:W1644))-K1644),1,
ROUNDDOWN(Y1644-INDEX(K$4:K1644,MATCH(LARGE(FILTER(I$4:I1644,I$4:I1644&lt;=W1644),1),I$4:I1644))-(W1644-LARGE(FILTER(I$4:I1644,I$4:I164"&amp;"4&lt;=W1644),1))*INDEX(F$4:F1644,MATCH(LARGE(FILTER(I$4:I1644,I$4:I1644&lt;=W1644),1),I$4:I1644))))"),"")</f>
        <v/>
      </c>
      <c r="N1644" s="60" t="str">
        <f t="shared" si="8"/>
        <v/>
      </c>
      <c r="O1644" s="61" t="str">
        <f t="shared" si="9"/>
        <v/>
      </c>
      <c r="P1644" s="56" t="str">
        <f t="shared" si="10"/>
        <v/>
      </c>
      <c r="Q1644" s="105"/>
      <c r="R1644" s="10"/>
      <c r="S1644" s="59" t="str">
        <f t="array" ref="S1644">IF(COUNTA(Q1644)=0,"",SUM((COUNTIF(Q$4:Q1644,Upgrades!$B$3:$B$13)-COUNTIF(Q$4:Q1644,"Sell_"&amp;Upgrades!$B$3:$B$13))*Upgrades!$D$3:$D$13))</f>
        <v/>
      </c>
      <c r="T1644" s="66" t="str">
        <f>IFERROR(__xludf.DUMMYFUNCTION("IF(COUNTA(Q1644)=0,"""",IF(REGEXMATCH(INDEX(FILTER(Q$4:Q1644,Q$4:Q1644&lt;&gt;""""),ROWS(FILTER(Q$4:Q1644,Q$4:Q1644&lt;&gt;""""))),""^Sell_""),INDEX(FILTER(T$4:T1643,Q$4:Q1643&lt;&gt;""""),ROWS(FILTER(Q$4:Q1643,Q$4:Q1643&lt;&gt;""""))),$AD$5+S1644))"),"")</f>
        <v/>
      </c>
      <c r="U1644" s="10" t="str">
        <f>IFERROR(__xludf.DUMMYFUNCTION("IF(COUNTA(Q1644)=0,"""",IF(Q1644="""",0,IF(REGEXMATCH(Q1644,""^Sell_""),-ROUNDDOWN(ROUNDUP(INDEX(Upgrades!$C$3:$C$13,MATCH(SUBSTITUTE(Q1644,""Sell_"",""""),Upgrades!$B$3:$B$13,0))*1.15^(COUNTIF(Q$4:Q1643,SUBSTITUTE(Q1644,""Sell_"",""""))-COUNTIF(Q$4:Q1643"&amp;",""Sell_""&amp;SUBSTITUTE(Q1644,""Sell_"",""""))))/2),ROUNDUP(INDEX(Upgrades!$C$3:$C$13,MATCH(Q1644,Upgrades!$B$3:$B$13,0))*1.15^(COUNTIF(Q$4:Q1643,Q1644)-COUNTIF(Q$4:Q1643,""Sell_""&amp;Q1644))))))"),"")</f>
        <v/>
      </c>
      <c r="V1644" s="10" t="str">
        <f t="shared" si="11"/>
        <v/>
      </c>
      <c r="W1644" s="68" t="str">
        <f t="shared" si="12"/>
        <v/>
      </c>
      <c r="X1644" s="59" t="str">
        <f t="shared" si="13"/>
        <v/>
      </c>
      <c r="Y1644" s="69" t="str">
        <f t="shared" si="14"/>
        <v/>
      </c>
      <c r="Z1644" s="11"/>
      <c r="AG1644" s="59"/>
    </row>
  </sheetData>
  <mergeCells count="10">
    <mergeCell ref="AA7:AB7"/>
    <mergeCell ref="AA39:AB39"/>
    <mergeCell ref="AD39:AE39"/>
    <mergeCell ref="AC1:AD1"/>
    <mergeCell ref="AA2:AA3"/>
    <mergeCell ref="AB2:AB3"/>
    <mergeCell ref="AC2:AD3"/>
    <mergeCell ref="AE2:AE3"/>
    <mergeCell ref="AF2:AF3"/>
    <mergeCell ref="AA5:AB5"/>
  </mergeCells>
  <conditionalFormatting sqref="L4:L1644 N4:N1644">
    <cfRule type="containsText" dxfId="0" priority="1" operator="containsText" text="-">
      <formula>NOT(ISERROR(SEARCH(("-"),(L4))))</formula>
    </cfRule>
  </conditionalFormatting>
  <conditionalFormatting sqref="L4:L1644 N4:N1644">
    <cfRule type="cellIs" dxfId="1" priority="2" operator="greaterThan">
      <formula>0</formula>
    </cfRule>
  </conditionalFormatting>
  <conditionalFormatting sqref="L4:M1644">
    <cfRule type="cellIs" dxfId="0" priority="3" operator="greaterThan">
      <formula>0</formula>
    </cfRule>
  </conditionalFormatting>
  <conditionalFormatting sqref="L4:M1644">
    <cfRule type="containsText" dxfId="1" priority="4" operator="containsText" text="-">
      <formula>NOT(ISERROR(SEARCH(("-"),(L4))))</formula>
    </cfRule>
  </conditionalFormatting>
  <conditionalFormatting sqref="AC2 AC5:AD5 AC7:AD7 AC39">
    <cfRule type="cellIs" dxfId="1" priority="5" operator="equal">
      <formula>"NO"</formula>
    </cfRule>
  </conditionalFormatting>
  <conditionalFormatting sqref="AC2 AC5:AD5 AC7:AD7 AC39">
    <cfRule type="cellIs" dxfId="0" priority="6" operator="equal">
      <formula>"YES"</formula>
    </cfRule>
  </conditionalFormatting>
  <conditionalFormatting sqref="C4:C1644 Q5:Q1644">
    <cfRule type="expression" dxfId="2" priority="7">
      <formula>D4=1</formula>
    </cfRule>
  </conditionalFormatting>
  <conditionalFormatting sqref="AC2 AC5:AD5 AC7:AD7 AC39">
    <cfRule type="cellIs" dxfId="2" priority="8" operator="lessThan">
      <formula>0</formula>
    </cfRule>
  </conditionalFormatting>
  <conditionalFormatting sqref="AD7:AE7">
    <cfRule type="containsText" dxfId="3" priority="9" operator="containsText" text="-">
      <formula>NOT(ISERROR(SEARCH(("-"),(AD7))))</formula>
    </cfRule>
  </conditionalFormatting>
  <conditionalFormatting sqref="AD7:AE7">
    <cfRule type="containsText" dxfId="4" priority="10" operator="containsText" text="+">
      <formula>NOT(ISERROR(SEARCH(("+"),(AD7))))</formula>
    </cfRule>
  </conditionalFormatting>
  <conditionalFormatting sqref="Q4:Q1644 C5:C1644">
    <cfRule type="expression" dxfId="2" priority="11">
      <formula>R4=1</formula>
    </cfRule>
  </conditionalFormatting>
  <conditionalFormatting sqref="O4:O1644">
    <cfRule type="containsText" dxfId="4" priority="12" operator="containsText" text="-">
      <formula>NOT(ISERROR(SEARCH(("-"),(O4))))</formula>
    </cfRule>
  </conditionalFormatting>
  <conditionalFormatting sqref="O4:O1644">
    <cfRule type="cellIs" dxfId="3" priority="13" operator="notEqual">
      <formula>0</formula>
    </cfRule>
  </conditionalFormatting>
  <conditionalFormatting sqref="N4:N1644">
    <cfRule type="expression" dxfId="4" priority="14">
      <formula>VALUE(N4)&gt;10000</formula>
    </cfRule>
  </conditionalFormatting>
  <conditionalFormatting sqref="AC7 AC39">
    <cfRule type="cellIs" dxfId="3" priority="15" operator="equal">
      <formula>"YES"</formula>
    </cfRule>
  </conditionalFormatting>
  <conditionalFormatting sqref="AF2:AF3">
    <cfRule type="containsText" dxfId="3" priority="16" operator="containsText" text="-">
      <formula>NOT(ISERROR(SEARCH(("-"),(AF2))))</formula>
    </cfRule>
  </conditionalFormatting>
  <conditionalFormatting sqref="AF2:AF3">
    <cfRule type="containsText" dxfId="4" priority="17" operator="containsText" text="+">
      <formula>NOT(ISERROR(SEARCH(("+"),(AF2))))</formula>
    </cfRule>
  </conditionalFormatting>
  <conditionalFormatting sqref="K1:K1644 Y1:Y1644">
    <cfRule type="cellIs" dxfId="1" priority="18" operator="greaterThanOrEqual">
      <formula>1000000000</formula>
    </cfRule>
  </conditionalFormatting>
  <hyperlinks>
    <hyperlink r:id="rId1" ref="AD3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
    <col customWidth="1" min="2" max="2" width="3.0"/>
    <col customWidth="1" min="3" max="3" width="12.0"/>
    <col customWidth="1" hidden="1" min="4" max="4" width="10.63"/>
    <col customWidth="1" hidden="1" min="5" max="5" width="10.0"/>
    <col customWidth="1" min="6" max="6" width="8.63"/>
    <col customWidth="1" hidden="1" min="7" max="7" width="10.13"/>
    <col customWidth="1" hidden="1" min="8" max="8" width="12.5"/>
    <col customWidth="1" min="9" max="9" width="8.63"/>
    <col customWidth="1" hidden="1" min="10" max="10" width="11.38"/>
    <col customWidth="1" min="11" max="11" width="10.75"/>
    <col customWidth="1" hidden="1" min="12" max="12" width="8.38"/>
    <col customWidth="1" hidden="1" min="13" max="13" width="14.13"/>
    <col customWidth="1" min="14" max="14" width="8.25"/>
    <col customWidth="1" min="15" max="15" width="8.88"/>
    <col customWidth="1" min="16" max="16" width="3.0"/>
    <col customWidth="1" min="17" max="17" width="12.0"/>
    <col customWidth="1" hidden="1" min="18" max="18" width="10.63"/>
    <col customWidth="1" min="19" max="20" width="8.63"/>
    <col customWidth="1" min="21" max="21" width="10.13"/>
    <col customWidth="1" hidden="1" min="22" max="22" width="12.5"/>
    <col customWidth="1" min="23" max="23" width="8.38"/>
    <col customWidth="1" min="24" max="24" width="11.38"/>
    <col customWidth="1" min="25" max="25" width="10.75"/>
    <col customWidth="1" min="26" max="26" width="2.0"/>
    <col customWidth="1" min="27" max="27" width="11.88"/>
    <col customWidth="1" min="28" max="28" width="11.38"/>
    <col customWidth="1" min="29" max="30" width="5.75"/>
    <col customWidth="1" min="31" max="31" width="4.63"/>
    <col customWidth="1" min="32" max="32" width="9.25"/>
    <col customWidth="1" min="33" max="33" width="2.0"/>
  </cols>
  <sheetData>
    <row r="1" ht="15.0" hidden="1" customHeight="1">
      <c r="M1" s="1"/>
      <c r="N1" s="2"/>
      <c r="O1" s="1"/>
      <c r="AB1" s="12">
        <f t="array" ref="AB1">INDEX(I$4:I1673,MATCH(LARGE(K$4:K1673,COUNTIF(K$4:K1673,"&gt;"&amp;1000000000)+1),K$4:K1673,1))+(1000000000-LARGE(K$4:K1673,COUNTIF(K$4:K1673,"&gt;"&amp;1000000000)+1))/INDEX(F$4:F1673,MATCH(LARGE(K$4:K1673,COUNTIF(K$4:K1673,"&gt;"&amp;1000000000)+1),K$4:K1673,1))</f>
        <v>7838.12819</v>
      </c>
      <c r="AC1" s="12">
        <f t="array" ref="AC1">INDEX(W$4:W1673,MATCH(LARGE(Y$4:Y1673,COUNTIF(Y$4:Y1673,"&gt;"&amp;1000000000)+1),Y$4:Y1673,1))+(1000000000-LARGE(Y$4:Y1673,COUNTIF(Y$4:Y1673,"&gt;"&amp;1000000000)+1))/INDEX(T$4:T1673,MATCH(LARGE(Y$4:Y1673,COUNTIF(Y$4:Y1673,"&gt;"&amp;1000000000)+1),Y$4:Y1673,1))</f>
        <v>7693.75903</v>
      </c>
      <c r="AF1" s="12">
        <f>AC1-AB1</f>
        <v>-144.3691595</v>
      </c>
    </row>
    <row r="2" ht="11.25" customHeight="1">
      <c r="A2" s="8"/>
      <c r="B2" s="8"/>
      <c r="C2" s="17"/>
      <c r="D2" s="8"/>
      <c r="E2" s="18"/>
      <c r="F2" s="18"/>
      <c r="G2" s="18"/>
      <c r="H2" s="18"/>
      <c r="I2" s="18"/>
      <c r="J2" s="18"/>
      <c r="K2" s="11"/>
      <c r="L2" s="19"/>
      <c r="M2" s="20"/>
      <c r="N2" s="19"/>
      <c r="O2" s="20"/>
      <c r="P2" s="8"/>
      <c r="Q2" s="8"/>
      <c r="R2" s="8"/>
      <c r="S2" s="18"/>
      <c r="T2" s="18"/>
      <c r="U2" s="18"/>
      <c r="V2" s="18"/>
      <c r="W2" s="18"/>
      <c r="X2" s="18"/>
      <c r="Y2" s="11"/>
      <c r="Z2" s="11"/>
      <c r="AA2" s="22" t="s">
        <v>14</v>
      </c>
      <c r="AB2" s="25" t="str">
        <f t="shared" ref="AB2:AC2" si="1">IF(AB1&gt;3600,TRUNC(AB1/3600)&amp;"h ","")&amp;IF(AB1&gt;59,IF(AND(AB1&gt;3599,QUOTIENT(MOD(AB1,3600),60)&lt;10),"0","")&amp;QUOTIENT(MOD(AB1,3600),60)&amp;"m ","")&amp;IF(AND(AB1&gt;=10,MOD(AB1,60)&lt;10),"0","")&amp;ROUNDDOWN(MOD(AB1,60),0)&amp;"s"</f>
        <v>2h 10m 38s</v>
      </c>
      <c r="AC2" s="26" t="str">
        <f t="shared" si="1"/>
        <v>2h 08m 13s</v>
      </c>
      <c r="AD2" s="27"/>
      <c r="AE2" s="28" t="s">
        <v>15</v>
      </c>
      <c r="AF2" s="33" t="str">
        <f>IF(AF1&gt;0,"+","")&amp;IF(ABS(AF1)&gt;3600,TRUNC(AF1/3600)&amp;"h "&amp;IF(QUOTIENT(MOD(ABS(AF1),3600),60)&lt;10,"0","")&amp;QUOTIENT(MOD(ABS(AF1),3600),60)&amp;"m",TRUNC(AF1,3))</f>
        <v>-144,369</v>
      </c>
    </row>
    <row r="3" ht="15.0" customHeight="1">
      <c r="A3" s="34"/>
      <c r="B3" s="35" t="s">
        <v>16</v>
      </c>
      <c r="C3" s="36" t="s">
        <v>17</v>
      </c>
      <c r="D3" s="36" t="s">
        <v>18</v>
      </c>
      <c r="E3" s="36" t="s">
        <v>19</v>
      </c>
      <c r="F3" s="36" t="s">
        <v>20</v>
      </c>
      <c r="G3" s="36" t="s">
        <v>21</v>
      </c>
      <c r="H3" s="36" t="s">
        <v>22</v>
      </c>
      <c r="I3" s="37" t="s">
        <v>23</v>
      </c>
      <c r="J3" s="37" t="s">
        <v>24</v>
      </c>
      <c r="K3" s="37" t="s">
        <v>25</v>
      </c>
      <c r="L3" s="40" t="s">
        <v>26</v>
      </c>
      <c r="M3" s="41" t="s">
        <v>27</v>
      </c>
      <c r="N3" s="42" t="s">
        <v>26</v>
      </c>
      <c r="O3" s="43" t="s">
        <v>27</v>
      </c>
      <c r="P3" s="44" t="b">
        <v>0</v>
      </c>
      <c r="Q3" s="46" t="s">
        <v>28</v>
      </c>
      <c r="R3" s="46" t="s">
        <v>18</v>
      </c>
      <c r="S3" s="46" t="s">
        <v>19</v>
      </c>
      <c r="T3" s="48" t="s">
        <v>20</v>
      </c>
      <c r="U3" s="48" t="s">
        <v>21</v>
      </c>
      <c r="V3" s="48" t="s">
        <v>22</v>
      </c>
      <c r="W3" s="48" t="s">
        <v>23</v>
      </c>
      <c r="X3" s="48" t="s">
        <v>24</v>
      </c>
      <c r="Y3" s="48" t="s">
        <v>25</v>
      </c>
      <c r="Z3" s="11"/>
      <c r="AA3" s="50"/>
      <c r="AB3" s="51"/>
      <c r="AC3" s="53"/>
      <c r="AD3" s="50"/>
      <c r="AE3" s="54"/>
      <c r="AF3" s="54"/>
    </row>
    <row r="4">
      <c r="A4" s="8"/>
      <c r="B4" s="56">
        <f>COUNTIF(C$4:C4,C4)-COUNTIF(C$4:C4,"Sell_"&amp;C4)</f>
        <v>1</v>
      </c>
      <c r="C4" s="57" t="s">
        <v>29</v>
      </c>
      <c r="D4" s="10" t="b">
        <v>0</v>
      </c>
      <c r="E4" s="10">
        <v>0.0</v>
      </c>
      <c r="F4" s="10">
        <f>IF($AC$5&gt;0,$AC$5,15)</f>
        <v>15</v>
      </c>
      <c r="G4" s="10">
        <v>0.0</v>
      </c>
      <c r="H4" s="10">
        <v>0.0</v>
      </c>
      <c r="I4" s="58">
        <v>0.0</v>
      </c>
      <c r="J4" s="10" t="s">
        <v>30</v>
      </c>
      <c r="K4" s="59">
        <v>0.0</v>
      </c>
      <c r="L4" s="60">
        <v>0.0</v>
      </c>
      <c r="M4" s="61">
        <v>0.0</v>
      </c>
      <c r="N4" s="60">
        <v>0.0</v>
      </c>
      <c r="O4" s="61">
        <v>0.0</v>
      </c>
      <c r="P4" s="56">
        <f>COUNTIF(Q$4:Q4,Q4)-COUNTIF(Q$4:Q4,"Sell_"&amp;Q4)</f>
        <v>1</v>
      </c>
      <c r="Q4" s="62" t="s">
        <v>29</v>
      </c>
      <c r="R4" s="10" t="b">
        <v>0</v>
      </c>
      <c r="S4" s="10">
        <v>0.0</v>
      </c>
      <c r="T4" s="10">
        <f>IF($AD$5&gt;0,$AD$5,15)</f>
        <v>15</v>
      </c>
      <c r="U4" s="10">
        <v>0.0</v>
      </c>
      <c r="V4" s="10">
        <v>0.0</v>
      </c>
      <c r="W4" s="58">
        <v>0.0</v>
      </c>
      <c r="X4" s="10" t="s">
        <v>30</v>
      </c>
      <c r="Y4" s="59">
        <v>0.0</v>
      </c>
      <c r="Z4" s="11"/>
    </row>
    <row r="5">
      <c r="A5" s="8"/>
      <c r="B5" s="56">
        <f t="shared" ref="B5:B1673" si="2">IF(COUNTA(C5:C1673)=0,"",COUNTIF(C$4:C5,C5)-COUNTIF(C$4:C5,"Sell_"&amp;C5))</f>
        <v>1</v>
      </c>
      <c r="C5" s="57" t="s">
        <v>3</v>
      </c>
      <c r="D5" s="10" t="b">
        <f>IFERROR(__xludf.DUMMYFUNCTION("IF(COUNTA(C5:C1673)=0,"""",IF(ISBLANK(C5),FALSE,IF(NOT(COUNTIF($AA$24:$AA$34,SUBSTITUTE(C5,""Sell_"",""""))),1,IF(REGEXMATCH(C5,""Sell_""),IF(COUNTIF(C$4:C5,SUBSTITUTE(C5,""Sell_"",""""))-COUNTIF(C$4:C4,C5)&lt;1,1),FALSE))))"),FALSE)</f>
        <v>0</v>
      </c>
      <c r="E5" s="59">
        <f t="array" ref="E5">IF(COUNTA(C5:C1673)=0,"",SUM((COUNTIF(C$4:C5,Upgrades!$B$3:$B$13)-COUNTIF(C$4:C5,"Sell_"&amp;Upgrades!$B$3:$B$13))*Upgrades!$D$3:$D$13))</f>
        <v>0.1</v>
      </c>
      <c r="F5" s="66">
        <f>IFERROR(__xludf.DUMMYFUNCTION("IF(COUNTA(C5:C1673)=0,"""",IF(REGEXMATCH(INDEX(FILTER(C$4:C5,C$4:C5&lt;&gt;""""),ROWS(FILTER(C$4:C5,C$4:C5&lt;&gt;""""))),""^Sell_""),INDEX(FILTER(F$4:F4,C$4:C4&lt;&gt;""""),ROWS(FILTER(C$4:C4,C$4:C4&lt;&gt;""""))),$AC$5+E5))"),15.1)</f>
        <v>15.1</v>
      </c>
      <c r="G5" s="10">
        <f>IFERROR(__xludf.DUMMYFUNCTION("IF(COUNTA(C5:C1673)=0,"""",IF(C5="""",0,IF(REGEXMATCH(C5,""^Sell_""),-ROUNDDOWN(ROUNDUP(INDEX(Upgrades!$C$3:$C$13,MATCH(SUBSTITUTE(C5,""Sell_"",""""),Upgrades!$B$3:$B$13,0))*1.15^(COUNTIF(C$4:C4,SUBSTITUTE(C5,""Sell_"",""""))-COUNTIF(C$4:C4,""Sell_""&amp;SUBS"&amp;"TITUTE(C5,""Sell_"",""""))))/2),ROUNDUP(INDEX(Upgrades!$C$3:$C$13,MATCH(C5,Upgrades!$B$3:$B$13,0))*1.15^(COUNTIF(C$4:C4,C5)-COUNTIF(C$4:C4,""Sell_""&amp;C5))))))"),15.0)</f>
        <v>15</v>
      </c>
      <c r="H5" s="10">
        <f t="shared" ref="H5:H1673" si="3">IF(COUNTA(C5:C1673)=0,"",G5+IF(H4&lt;0,H4))</f>
        <v>15</v>
      </c>
      <c r="I5" s="68">
        <f t="shared" ref="I5:I1673" si="4">IF(COUNTA(C5:C1673)=0,"",I4+IF(H5&gt;0,H5,0)/F4)
</f>
        <v>1</v>
      </c>
      <c r="J5" s="59" t="str">
        <f t="shared" ref="J5:J1673" si="5">IF(COUNTA(C5:C1673)=0,"",IF(I5&gt;3600,TRUNC(I5/3600)&amp;"h ","")&amp;IF(I5&gt;59,IF(AND(I5&gt;3599,QUOTIENT(MOD(I5,3600),60)&lt;10),"0","")&amp;QUOTIENT(MOD(I5,3600),60)&amp;"m ","")&amp;IF(AND(I5&gt;=10,MOD(I5,60)&lt;10),"0","")&amp;ROUNDDOWN(MOD(I5,60),0)&amp;"s")</f>
        <v>1s</v>
      </c>
      <c r="K5" s="69">
        <f t="shared" ref="K5:K1673" si="6">IF(COUNTA(C5:C1673)=0,"",K4+IF(H5&gt;0,H5,0))</f>
        <v>15</v>
      </c>
      <c r="L5" s="60">
        <f t="shared" ref="L5:L1673" si="7">IFS(AND(COUNTA(C5:C1673)=0,COUNTA(Q5:Q1673)=0),"",OR(AND(K5&gt;=1000000000,OR(Y5&gt;=1000000000,COUNTA(Q5:Q1673)=0)),OR(Y5&gt;=1000000000,AND(COUNTA(C5:C1673)=0,P$3=TRUE))),AF$1,
AND(K5&lt;1000000000,COUNTA(C5:C1673)&gt;0,P$3=FALSE),TRUNC(LARGE(W$4:W1673,COUNTIF(Y$4:Y1673,"&gt;"&amp;K5)+1)+(K5-LARGE(Y$4:Y1673,COUNTIF(Y$4:Y1673,"&gt;"&amp;K5)+1))/LARGE(T$4:T1673,COUNTIF(Y$4:Y1673,"&gt;"&amp;K5)+1)-I5,5),1,
TRUNC(W5-LARGE(I$4:I1673,COUNTIF(K$4:K1673,"&gt;"&amp;Y5)+1)-(Y5-LARGE(K$4:K1673,COUNTIF(K$4:K1673,"&gt;"&amp;Y5)+1))/LARGE(F$4:F1673,COUNTIF(K$4:K1673,"&gt;"&amp;Y5)+1),5))</f>
        <v>0</v>
      </c>
      <c r="M5" s="61">
        <f>IFERROR(__xludf.DUMMYFUNCTION("IFS(AND(COUNTA(C5:C1673)=0,COUNTA(Q5:Q1673)=0),"""",OR(AND(K5&gt;=1000000000,OR(Y5&gt;=1000000000,COUNTA(Q5:Q1673)=0)),OR(Y5&gt;=1000000000,AND(COUNTA(C5:C1673)=0,P$3=TRUE))),
ROUNDDOWN((AB$1-AC$1)*MAX(INDEX(T$4:T1673,MATCH(LARGE(FILTER(Y$4:Y1673,Y$4:Y1673&lt;1000000"&amp;"000),1),Y$4:Y1673)),INDEX(F$4:F1673,MATCH(LARGE(FILTER(K$4:K1673,K$4:K1673&lt;1000000000),1),K$4:K1673)))),AND(K5&lt;1000000000,COUNTA(C5:C1673)&gt;0,P$3=FALSE),
ROUNDDOWN(INDEX(Y$4:Y1673,MATCH(LARGE(FILTER(W$4:W1673,W$4:W1673&lt;=I5),1),W$4:W1673))+(I5-LARGE(FILTER("&amp;"W$4:W1673,W$4:W1673&lt;=I5),1))*INDEX(T$4:T1673,MATCH(LARGE(FILTER(W$4:W1673,W$4:W1673&lt;=I5),1),W$4:W1673))-K5),1,
ROUNDDOWN(Y5-INDEX(K$4:K1673,MATCH(LARGE(FILTER(I$4:I1673,I$4:I1673&lt;=W5),1),I$4:I1673))-(W5-LARGE(FILTER(I$4:I1673,I$4:I1673&lt;=W5),1))*INDEX(F$4:"&amp;"F1673,MATCH(LARGE(FILTER(I$4:I1673,I$4:I1673&lt;=W5),1),I$4:I1673))))"),0.0)</f>
        <v>0</v>
      </c>
      <c r="N5" s="60">
        <f t="shared" ref="N5:N1673" si="8">IF(ABS(L5)&gt;=10000,TEXT(ROUND(L5,1),"#.#")&amp;IF(RIGHT(TEXT(ROUND(L5,1),"#.#"))=",","0",""),L5)</f>
        <v>0</v>
      </c>
      <c r="O5" s="61">
        <f t="shared" ref="O5:O1673" si="9">IF(ABS(M5)&lt;1000000,M5,IF(ABS(M5)&lt;1000000000,TEXT(ROUND(M5/1000000,1),"#.#")&amp;IF(RIGHT(TEXT(ROUND(M5/1000000,1),"#.#"))=",","0","")&amp;"M",TEXT(ROUND(M5/1000000000,1),"#.#")&amp;IF(RIGHT(TEXT(ROUND(M5/1000000000,1),"#.#"))=",","0","")&amp;"B"))</f>
        <v>0</v>
      </c>
      <c r="P5" s="56">
        <f t="shared" ref="P5:P1673" si="10">IF(COUNTA(Q5:Q1673)=0,"",COUNTIF(Q$4:Q5,Q5)-COUNTIF(Q$4:Q5,"Sell_"&amp;Q5))</f>
        <v>1</v>
      </c>
      <c r="Q5" s="67" t="s">
        <v>3</v>
      </c>
      <c r="R5" s="10" t="b">
        <f>IFERROR(__xludf.DUMMYFUNCTION("IF(COUNTA(Q5:Q1673)=0,"""",IF(ISBLANK(Q5),FALSE,IF(NOT(COUNTIF($AA$24:$AA$34,SUBSTITUTE(Q5,""Sell_"",""""))),1,IF(REGEXMATCH(Q5,""Sell_""),IF(COUNTIF(Q$4:Q5,SUBSTITUTE(Q5,""Sell_"",""""))-COUNTIF(Q$4:Q4,Q5)&lt;1,1),FALSE))))"),FALSE)</f>
        <v>0</v>
      </c>
      <c r="S5" s="59">
        <f t="array" ref="S5">IF(COUNTA(Q5:Q1673)=0,"",SUM((COUNTIF(Q$4:Q5,Upgrades!$B$3:$B$13)-COUNTIF(Q$4:Q5,"Sell_"&amp;Upgrades!$B$3:$B$13))*Upgrades!$D$3:$D$13))</f>
        <v>0.1</v>
      </c>
      <c r="T5" s="66">
        <f>IFERROR(__xludf.DUMMYFUNCTION("IF(COUNTA(Q5:Q1673)=0,"""",IF(REGEXMATCH(INDEX(FILTER(Q$4:Q5,Q$4:Q5&lt;&gt;""""),ROWS(FILTER(Q$4:Q5,Q$4:Q5&lt;&gt;""""))),""^Sell_""),INDEX(FILTER(T$4:T4,Q$4:Q4&lt;&gt;""""),ROWS(FILTER(Q$4:Q4,Q$4:Q4&lt;&gt;""""))),$AD$5+S5))"),15.1)</f>
        <v>15.1</v>
      </c>
      <c r="U5" s="10">
        <f>IFERROR(__xludf.DUMMYFUNCTION("IF(COUNTA(Q5:Q1673)=0,"""",IF(Q5="""",0,IF(REGEXMATCH(Q5,""^Sell_""),-ROUNDDOWN(ROUNDUP(INDEX(Upgrades!$C$3:$C$13,MATCH(SUBSTITUTE(Q5,""Sell_"",""""),Upgrades!$B$3:$B$13,0))*1.15^(COUNTIF(Q$4:Q4,SUBSTITUTE(Q5,""Sell_"",""""))-COUNTIF(Q$4:Q4,""Sell_""&amp;SUBS"&amp;"TITUTE(Q5,""Sell_"",""""))))/2),ROUNDUP(INDEX(Upgrades!$C$3:$C$13,MATCH(Q5,Upgrades!$B$3:$B$13,0))*1.15^(COUNTIF(Q$4:Q4,Q5)-COUNTIF(Q$4:Q4,""Sell_""&amp;Q5))))))"),15.0)</f>
        <v>15</v>
      </c>
      <c r="V5" s="10">
        <f t="shared" ref="V5:V1673" si="11">IF(COUNTA(Q5:Q1673)=0,"",U5+IF(V4&lt;0,V4))</f>
        <v>15</v>
      </c>
      <c r="W5" s="68">
        <f t="shared" ref="W5:W1673" si="12">IF(COUNTA(Q5:Q1673)=0,"",W4+IF(V5&gt;0,V5,0)/T4)
</f>
        <v>1</v>
      </c>
      <c r="X5" s="59" t="str">
        <f t="shared" ref="X5:X1673" si="13">IF(COUNTA(Q5:Q1673)=0,"",IF(W5&gt;3600,TRUNC(W5/3600)&amp;"h ","")&amp;IF(W5&gt;59,IF(AND(W5&gt;3599,QUOTIENT(MOD(W5,3600),60)&lt;10),"0","")&amp;QUOTIENT(MOD(W5,3600),60)&amp;"m ","")&amp;IF(AND(W5&gt;=10,MOD(W5,60)&lt;10),"0","")&amp;ROUNDDOWN(MOD(W5,60),0)&amp;"s")</f>
        <v>1s</v>
      </c>
      <c r="Y5" s="69">
        <f t="shared" ref="Y5:Y1673" si="14">IF(COUNTA(Q5:Q1673)=0,"",Y4+IF(V5&gt;0,V5,0))</f>
        <v>15</v>
      </c>
      <c r="Z5" s="11"/>
      <c r="AA5" s="73" t="s">
        <v>35</v>
      </c>
      <c r="AB5" s="74"/>
      <c r="AC5" s="77">
        <v>15.0</v>
      </c>
      <c r="AD5" s="77">
        <v>15.0</v>
      </c>
    </row>
    <row r="6">
      <c r="A6" s="8"/>
      <c r="B6" s="56">
        <f t="shared" si="2"/>
        <v>1</v>
      </c>
      <c r="C6" s="57" t="s">
        <v>5</v>
      </c>
      <c r="D6" s="10" t="b">
        <f>IFERROR(__xludf.DUMMYFUNCTION("IF(COUNTA(C6:C1673)=0,"""",IF(ISBLANK(C6),FALSE,IF(NOT(COUNTIF($AA$24:$AA$34,SUBSTITUTE(C6,""Sell_"",""""))),1,IF(REGEXMATCH(C6,""Sell_""),IF(COUNTIF(C$4:C6,SUBSTITUTE(C6,""Sell_"",""""))-COUNTIF(C$4:C5,C6)&lt;1,1),FALSE))))"),FALSE)</f>
        <v>0</v>
      </c>
      <c r="E6" s="59">
        <f t="array" ref="E6">IF(COUNTA(C6:C1673)=0,"",SUM((COUNTIF(C$4:C6,Upgrades!$B$3:$B$13)-COUNTIF(C$4:C6,"Sell_"&amp;Upgrades!$B$3:$B$13))*Upgrades!$D$3:$D$13))</f>
        <v>4.1</v>
      </c>
      <c r="F6" s="66">
        <f>IFERROR(__xludf.DUMMYFUNCTION("IF(COUNTA(C6:C1673)=0,"""",IF(REGEXMATCH(INDEX(FILTER(C$4:C6,C$4:C6&lt;&gt;""""),ROWS(FILTER(C$4:C6,C$4:C6&lt;&gt;""""))),""^Sell_""),INDEX(FILTER(F$4:F5,C$4:C5&lt;&gt;""""),ROWS(FILTER(C$4:C5,C$4:C5&lt;&gt;""""))),$AC$5+E6))"),19.1)</f>
        <v>19.1</v>
      </c>
      <c r="G6" s="10">
        <f>IFERROR(__xludf.DUMMYFUNCTION("IF(COUNTA(C6:C1673)=0,"""",IF(C6="""",0,IF(REGEXMATCH(C6,""^Sell_""),-ROUNDDOWN(ROUNDUP(INDEX(Upgrades!$C$3:$C$13,MATCH(SUBSTITUTE(C6,""Sell_"",""""),Upgrades!$B$3:$B$13,0))*1.15^(COUNTIF(C$4:C5,SUBSTITUTE(C6,""Sell_"",""""))-COUNTIF(C$4:C5,""Sell_""&amp;SUBS"&amp;"TITUTE(C6,""Sell_"",""""))))/2),ROUNDUP(INDEX(Upgrades!$C$3:$C$13,MATCH(C6,Upgrades!$B$3:$B$13,0))*1.15^(COUNTIF(C$4:C5,C6)-COUNTIF(C$4:C5,""Sell_""&amp;C6))))))"),500.0)</f>
        <v>500</v>
      </c>
      <c r="H6" s="10">
        <f t="shared" si="3"/>
        <v>500</v>
      </c>
      <c r="I6" s="68">
        <f t="shared" si="4"/>
        <v>34.11258278</v>
      </c>
      <c r="J6" s="59" t="str">
        <f t="shared" si="5"/>
        <v>34s</v>
      </c>
      <c r="K6" s="69">
        <f t="shared" si="6"/>
        <v>515</v>
      </c>
      <c r="L6" s="60">
        <f t="shared" si="7"/>
        <v>0</v>
      </c>
      <c r="M6" s="61">
        <f>IFERROR(__xludf.DUMMYFUNCTION("IFS(AND(COUNTA(C6:C1673)=0,COUNTA(Q6:Q1673)=0),"""",OR(AND(K6&gt;=1000000000,OR(Y6&gt;=1000000000,COUNTA(Q6:Q1673)=0)),OR(Y6&gt;=1000000000,AND(COUNTA(C6:C1673)=0,P$3=TRUE))),
ROUNDDOWN((AB$1-AC$1)*MAX(INDEX(T$4:T1673,MATCH(LARGE(FILTER(Y$4:Y1673,Y$4:Y1673&lt;1000000"&amp;"000),1),Y$4:Y1673)),INDEX(F$4:F1673,MATCH(LARGE(FILTER(K$4:K1673,K$4:K1673&lt;1000000000),1),K$4:K1673)))),AND(K6&lt;1000000000,COUNTA(C6:C1673)&gt;0,P$3=FALSE),
ROUNDDOWN(INDEX(Y$4:Y1673,MATCH(LARGE(FILTER(W$4:W1673,W$4:W1673&lt;=I6),1),W$4:W1673))+(I6-LARGE(FILTER("&amp;"W$4:W1673,W$4:W1673&lt;=I6),1))*INDEX(T$4:T1673,MATCH(LARGE(FILTER(W$4:W1673,W$4:W1673&lt;=I6),1),W$4:W1673))-K6),1,
ROUNDDOWN(Y6-INDEX(K$4:K1673,MATCH(LARGE(FILTER(I$4:I1673,I$4:I1673&lt;=W6),1),I$4:I1673))-(W6-LARGE(FILTER(I$4:I1673,I$4:I1673&lt;=W6),1))*INDEX(F$4:"&amp;"F1673,MATCH(LARGE(FILTER(I$4:I1673,I$4:I1673&lt;=W6),1),I$4:I1673))))"),0.0)</f>
        <v>0</v>
      </c>
      <c r="N6" s="60">
        <f t="shared" si="8"/>
        <v>0</v>
      </c>
      <c r="O6" s="61">
        <f t="shared" si="9"/>
        <v>0</v>
      </c>
      <c r="P6" s="56">
        <f t="shared" si="10"/>
        <v>1</v>
      </c>
      <c r="Q6" s="67" t="s">
        <v>5</v>
      </c>
      <c r="R6" s="10" t="b">
        <f>IFERROR(__xludf.DUMMYFUNCTION("IF(COUNTA(Q6:Q1673)=0,"""",IF(ISBLANK(Q6),FALSE,IF(NOT(COUNTIF($AA$24:$AA$34,SUBSTITUTE(Q6,""Sell_"",""""))),1,IF(REGEXMATCH(Q6,""Sell_""),IF(COUNTIF(Q$4:Q6,SUBSTITUTE(Q6,""Sell_"",""""))-COUNTIF(Q$4:Q5,Q6)&lt;1,1),FALSE))))"),FALSE)</f>
        <v>0</v>
      </c>
      <c r="S6" s="59">
        <f t="array" ref="S6">IF(COUNTA(Q6:Q1673)=0,"",SUM((COUNTIF(Q$4:Q6,Upgrades!$B$3:$B$13)-COUNTIF(Q$4:Q6,"Sell_"&amp;Upgrades!$B$3:$B$13))*Upgrades!$D$3:$D$13))</f>
        <v>4.1</v>
      </c>
      <c r="T6" s="66">
        <f>IFERROR(__xludf.DUMMYFUNCTION("IF(COUNTA(Q6:Q1673)=0,"""",IF(REGEXMATCH(INDEX(FILTER(Q$4:Q6,Q$4:Q6&lt;&gt;""""),ROWS(FILTER(Q$4:Q6,Q$4:Q6&lt;&gt;""""))),""^Sell_""),INDEX(FILTER(T$4:T5,Q$4:Q5&lt;&gt;""""),ROWS(FILTER(Q$4:Q5,Q$4:Q5&lt;&gt;""""))),$AD$5+S6))"),19.1)</f>
        <v>19.1</v>
      </c>
      <c r="U6" s="10">
        <f>IFERROR(__xludf.DUMMYFUNCTION("IF(COUNTA(Q6:Q1673)=0,"""",IF(Q6="""",0,IF(REGEXMATCH(Q6,""^Sell_""),-ROUNDDOWN(ROUNDUP(INDEX(Upgrades!$C$3:$C$13,MATCH(SUBSTITUTE(Q6,""Sell_"",""""),Upgrades!$B$3:$B$13,0))*1.15^(COUNTIF(Q$4:Q5,SUBSTITUTE(Q6,""Sell_"",""""))-COUNTIF(Q$4:Q5,""Sell_""&amp;SUBS"&amp;"TITUTE(Q6,""Sell_"",""""))))/2),ROUNDUP(INDEX(Upgrades!$C$3:$C$13,MATCH(Q6,Upgrades!$B$3:$B$13,0))*1.15^(COUNTIF(Q$4:Q5,Q6)-COUNTIF(Q$4:Q5,""Sell_""&amp;Q6))))))"),500.0)</f>
        <v>500</v>
      </c>
      <c r="V6" s="10">
        <f t="shared" si="11"/>
        <v>500</v>
      </c>
      <c r="W6" s="68">
        <f t="shared" si="12"/>
        <v>34.11258278</v>
      </c>
      <c r="X6" s="59" t="str">
        <f t="shared" si="13"/>
        <v>34s</v>
      </c>
      <c r="Y6" s="69">
        <f t="shared" si="14"/>
        <v>515</v>
      </c>
      <c r="Z6" s="11"/>
    </row>
    <row r="7">
      <c r="A7" s="8"/>
      <c r="B7" s="56">
        <f t="shared" si="2"/>
        <v>2</v>
      </c>
      <c r="C7" s="57" t="s">
        <v>5</v>
      </c>
      <c r="D7" s="10" t="b">
        <f>IFERROR(__xludf.DUMMYFUNCTION("IF(COUNTA(C7:C1673)=0,"""",IF(ISBLANK(C7),FALSE,IF(NOT(COUNTIF($AA$24:$AA$34,SUBSTITUTE(C7,""Sell_"",""""))),1,IF(REGEXMATCH(C7,""Sell_""),IF(COUNTIF(C$4:C7,SUBSTITUTE(C7,""Sell_"",""""))-COUNTIF(C$4:C6,C7)&lt;1,1),FALSE))))"),FALSE)</f>
        <v>0</v>
      </c>
      <c r="E7" s="59">
        <f t="array" ref="E7">IF(COUNTA(C7:C1673)=0,"",SUM((COUNTIF(C$4:C7,Upgrades!$B$3:$B$13)-COUNTIF(C$4:C7,"Sell_"&amp;Upgrades!$B$3:$B$13))*Upgrades!$D$3:$D$13))</f>
        <v>8.1</v>
      </c>
      <c r="F7" s="66">
        <f>IFERROR(__xludf.DUMMYFUNCTION("IF(COUNTA(C7:C1673)=0,"""",IF(REGEXMATCH(INDEX(FILTER(C$4:C7,C$4:C7&lt;&gt;""""),ROWS(FILTER(C$4:C7,C$4:C7&lt;&gt;""""))),""^Sell_""),INDEX(FILTER(F$4:F6,C$4:C6&lt;&gt;""""),ROWS(FILTER(C$4:C6,C$4:C6&lt;&gt;""""))),$AC$5+E7))"),23.1)</f>
        <v>23.1</v>
      </c>
      <c r="G7" s="10">
        <f>IFERROR(__xludf.DUMMYFUNCTION("IF(COUNTA(C7:C1673)=0,"""",IF(C7="""",0,IF(REGEXMATCH(C7,""^Sell_""),-ROUNDDOWN(ROUNDUP(INDEX(Upgrades!$C$3:$C$13,MATCH(SUBSTITUTE(C7,""Sell_"",""""),Upgrades!$B$3:$B$13,0))*1.15^(COUNTIF(C$4:C6,SUBSTITUTE(C7,""Sell_"",""""))-COUNTIF(C$4:C6,""Sell_""&amp;SUBS"&amp;"TITUTE(C7,""Sell_"",""""))))/2),ROUNDUP(INDEX(Upgrades!$C$3:$C$13,MATCH(C7,Upgrades!$B$3:$B$13,0))*1.15^(COUNTIF(C$4:C6,C7)-COUNTIF(C$4:C6,""Sell_""&amp;C7))))))"),575.0)</f>
        <v>575</v>
      </c>
      <c r="H7" s="10">
        <f t="shared" si="3"/>
        <v>575</v>
      </c>
      <c r="I7" s="68">
        <f t="shared" si="4"/>
        <v>64.21729482</v>
      </c>
      <c r="J7" s="59" t="str">
        <f t="shared" si="5"/>
        <v>1m 04s</v>
      </c>
      <c r="K7" s="69">
        <f t="shared" si="6"/>
        <v>1090</v>
      </c>
      <c r="L7" s="60">
        <f t="shared" si="7"/>
        <v>0</v>
      </c>
      <c r="M7" s="61">
        <f>IFERROR(__xludf.DUMMYFUNCTION("IFS(AND(COUNTA(C7:C1673)=0,COUNTA(Q7:Q1673)=0),"""",OR(AND(K7&gt;=1000000000,OR(Y7&gt;=1000000000,COUNTA(Q7:Q1673)=0)),OR(Y7&gt;=1000000000,AND(COUNTA(C7:C1673)=0,P$3=TRUE))),
ROUNDDOWN((AB$1-AC$1)*MAX(INDEX(T$4:T1673,MATCH(LARGE(FILTER(Y$4:Y1673,Y$4:Y1673&lt;1000000"&amp;"000),1),Y$4:Y1673)),INDEX(F$4:F1673,MATCH(LARGE(FILTER(K$4:K1673,K$4:K1673&lt;1000000000),1),K$4:K1673)))),AND(K7&lt;1000000000,COUNTA(C7:C1673)&gt;0,P$3=FALSE),
ROUNDDOWN(INDEX(Y$4:Y1673,MATCH(LARGE(FILTER(W$4:W1673,W$4:W1673&lt;=I7),1),W$4:W1673))+(I7-LARGE(FILTER("&amp;"W$4:W1673,W$4:W1673&lt;=I7),1))*INDEX(T$4:T1673,MATCH(LARGE(FILTER(W$4:W1673,W$4:W1673&lt;=I7),1),W$4:W1673))-K7),1,
ROUNDDOWN(Y7-INDEX(K$4:K1673,MATCH(LARGE(FILTER(I$4:I1673,I$4:I1673&lt;=W7),1),I$4:I1673))-(W7-LARGE(FILTER(I$4:I1673,I$4:I1673&lt;=W7),1))*INDEX(F$4:"&amp;"F1673,MATCH(LARGE(FILTER(I$4:I1673,I$4:I1673&lt;=W7),1),I$4:I1673))))"),0.0)</f>
        <v>0</v>
      </c>
      <c r="N7" s="60">
        <f t="shared" si="8"/>
        <v>0</v>
      </c>
      <c r="O7" s="61">
        <f t="shared" si="9"/>
        <v>0</v>
      </c>
      <c r="P7" s="56">
        <f t="shared" si="10"/>
        <v>2</v>
      </c>
      <c r="Q7" s="67" t="s">
        <v>5</v>
      </c>
      <c r="R7" s="10" t="b">
        <f>IFERROR(__xludf.DUMMYFUNCTION("IF(COUNTA(Q7:Q1673)=0,"""",IF(ISBLANK(Q7),FALSE,IF(NOT(COUNTIF($AA$24:$AA$34,SUBSTITUTE(Q7,""Sell_"",""""))),1,IF(REGEXMATCH(Q7,""Sell_""),IF(COUNTIF(Q$4:Q7,SUBSTITUTE(Q7,""Sell_"",""""))-COUNTIF(Q$4:Q6,Q7)&lt;1,1),FALSE))))"),FALSE)</f>
        <v>0</v>
      </c>
      <c r="S7" s="59">
        <f t="array" ref="S7">IF(COUNTA(Q7:Q1673)=0,"",SUM((COUNTIF(Q$4:Q7,Upgrades!$B$3:$B$13)-COUNTIF(Q$4:Q7,"Sell_"&amp;Upgrades!$B$3:$B$13))*Upgrades!$D$3:$D$13))</f>
        <v>8.1</v>
      </c>
      <c r="T7" s="66">
        <f>IFERROR(__xludf.DUMMYFUNCTION("IF(COUNTA(Q7:Q1673)=0,"""",IF(REGEXMATCH(INDEX(FILTER(Q$4:Q7,Q$4:Q7&lt;&gt;""""),ROWS(FILTER(Q$4:Q7,Q$4:Q7&lt;&gt;""""))),""^Sell_""),INDEX(FILTER(T$4:T6,Q$4:Q6&lt;&gt;""""),ROWS(FILTER(Q$4:Q6,Q$4:Q6&lt;&gt;""""))),$AD$5+S7))"),23.1)</f>
        <v>23.1</v>
      </c>
      <c r="U7" s="10">
        <f>IFERROR(__xludf.DUMMYFUNCTION("IF(COUNTA(Q7:Q1673)=0,"""",IF(Q7="""",0,IF(REGEXMATCH(Q7,""^Sell_""),-ROUNDDOWN(ROUNDUP(INDEX(Upgrades!$C$3:$C$13,MATCH(SUBSTITUTE(Q7,""Sell_"",""""),Upgrades!$B$3:$B$13,0))*1.15^(COUNTIF(Q$4:Q6,SUBSTITUTE(Q7,""Sell_"",""""))-COUNTIF(Q$4:Q6,""Sell_""&amp;SUBS"&amp;"TITUTE(Q7,""Sell_"",""""))))/2),ROUNDUP(INDEX(Upgrades!$C$3:$C$13,MATCH(Q7,Upgrades!$B$3:$B$13,0))*1.15^(COUNTIF(Q$4:Q6,Q7)-COUNTIF(Q$4:Q6,""Sell_""&amp;Q7))))))"),575.0)</f>
        <v>575</v>
      </c>
      <c r="V7" s="10">
        <f t="shared" si="11"/>
        <v>575</v>
      </c>
      <c r="W7" s="68">
        <f t="shared" si="12"/>
        <v>64.21729482</v>
      </c>
      <c r="X7" s="59" t="str">
        <f t="shared" si="13"/>
        <v>1m 04s</v>
      </c>
      <c r="Y7" s="69">
        <f t="shared" si="14"/>
        <v>1090</v>
      </c>
      <c r="Z7" s="11"/>
      <c r="AA7" s="73" t="s">
        <v>43</v>
      </c>
      <c r="AB7" s="74"/>
      <c r="AC7" s="77" t="str">
        <f>IF(AF1&lt;0,"YES","NO")</f>
        <v>YES</v>
      </c>
    </row>
    <row r="8">
      <c r="A8" s="8"/>
      <c r="B8" s="56">
        <f t="shared" si="2"/>
        <v>2</v>
      </c>
      <c r="C8" s="57" t="s">
        <v>3</v>
      </c>
      <c r="D8" s="10" t="b">
        <f>IFERROR(__xludf.DUMMYFUNCTION("IF(COUNTA(C8:C1673)=0,"""",IF(ISBLANK(C8),FALSE,IF(NOT(COUNTIF($AA$24:$AA$34,SUBSTITUTE(C8,""Sell_"",""""))),1,IF(REGEXMATCH(C8,""Sell_""),IF(COUNTIF(C$4:C8,SUBSTITUTE(C8,""Sell_"",""""))-COUNTIF(C$4:C7,C8)&lt;1,1),FALSE))))"),FALSE)</f>
        <v>0</v>
      </c>
      <c r="E8" s="59">
        <f t="array" ref="E8">IF(COUNTA(C8:C1673)=0,"",SUM((COUNTIF(C$4:C8,Upgrades!$B$3:$B$13)-COUNTIF(C$4:C8,"Sell_"&amp;Upgrades!$B$3:$B$13))*Upgrades!$D$3:$D$13))</f>
        <v>8.2</v>
      </c>
      <c r="F8" s="66">
        <f>IFERROR(__xludf.DUMMYFUNCTION("IF(COUNTA(C8:C1673)=0,"""",IF(REGEXMATCH(INDEX(FILTER(C$4:C8,C$4:C8&lt;&gt;""""),ROWS(FILTER(C$4:C8,C$4:C8&lt;&gt;""""))),""^Sell_""),INDEX(FILTER(F$4:F7,C$4:C7&lt;&gt;""""),ROWS(FILTER(C$4:C7,C$4:C7&lt;&gt;""""))),$AC$5+E8))"),23.2)</f>
        <v>23.2</v>
      </c>
      <c r="G8" s="10">
        <f>IFERROR(__xludf.DUMMYFUNCTION("IF(COUNTA(C8:C1673)=0,"""",IF(C8="""",0,IF(REGEXMATCH(C8,""^Sell_""),-ROUNDDOWN(ROUNDUP(INDEX(Upgrades!$C$3:$C$13,MATCH(SUBSTITUTE(C8,""Sell_"",""""),Upgrades!$B$3:$B$13,0))*1.15^(COUNTIF(C$4:C7,SUBSTITUTE(C8,""Sell_"",""""))-COUNTIF(C$4:C7,""Sell_""&amp;SUBS"&amp;"TITUTE(C8,""Sell_"",""""))))/2),ROUNDUP(INDEX(Upgrades!$C$3:$C$13,MATCH(C8,Upgrades!$B$3:$B$13,0))*1.15^(COUNTIF(C$4:C7,C8)-COUNTIF(C$4:C7,""Sell_""&amp;C8))))))"),18.0)</f>
        <v>18</v>
      </c>
      <c r="H8" s="10">
        <f t="shared" si="3"/>
        <v>18</v>
      </c>
      <c r="I8" s="68">
        <f t="shared" si="4"/>
        <v>64.9965156</v>
      </c>
      <c r="J8" s="59" t="str">
        <f t="shared" si="5"/>
        <v>1m 04s</v>
      </c>
      <c r="K8" s="69">
        <f t="shared" si="6"/>
        <v>1108</v>
      </c>
      <c r="L8" s="60">
        <f t="shared" si="7"/>
        <v>0</v>
      </c>
      <c r="M8" s="61">
        <f>IFERROR(__xludf.DUMMYFUNCTION("IFS(AND(COUNTA(C8:C1673)=0,COUNTA(Q8:Q1673)=0),"""",OR(AND(K8&gt;=1000000000,OR(Y8&gt;=1000000000,COUNTA(Q8:Q1673)=0)),OR(Y8&gt;=1000000000,AND(COUNTA(C8:C1673)=0,P$3=TRUE))),
ROUNDDOWN((AB$1-AC$1)*MAX(INDEX(T$4:T1673,MATCH(LARGE(FILTER(Y$4:Y1673,Y$4:Y1673&lt;1000000"&amp;"000),1),Y$4:Y1673)),INDEX(F$4:F1673,MATCH(LARGE(FILTER(K$4:K1673,K$4:K1673&lt;1000000000),1),K$4:K1673)))),AND(K8&lt;1000000000,COUNTA(C8:C1673)&gt;0,P$3=FALSE),
ROUNDDOWN(INDEX(Y$4:Y1673,MATCH(LARGE(FILTER(W$4:W1673,W$4:W1673&lt;=I8),1),W$4:W1673))+(I8-LARGE(FILTER("&amp;"W$4:W1673,W$4:W1673&lt;=I8),1))*INDEX(T$4:T1673,MATCH(LARGE(FILTER(W$4:W1673,W$4:W1673&lt;=I8),1),W$4:W1673))-K8),1,
ROUNDDOWN(Y8-INDEX(K$4:K1673,MATCH(LARGE(FILTER(I$4:I1673,I$4:I1673&lt;=W8),1),I$4:I1673))-(W8-LARGE(FILTER(I$4:I1673,I$4:I1673&lt;=W8),1))*INDEX(F$4:"&amp;"F1673,MATCH(LARGE(FILTER(I$4:I1673,I$4:I1673&lt;=W8),1),I$4:I1673))))"),0.0)</f>
        <v>0</v>
      </c>
      <c r="N8" s="60">
        <f t="shared" si="8"/>
        <v>0</v>
      </c>
      <c r="O8" s="61">
        <f t="shared" si="9"/>
        <v>0</v>
      </c>
      <c r="P8" s="56">
        <f t="shared" si="10"/>
        <v>2</v>
      </c>
      <c r="Q8" s="67" t="s">
        <v>3</v>
      </c>
      <c r="R8" s="10" t="b">
        <f>IFERROR(__xludf.DUMMYFUNCTION("IF(COUNTA(Q8:Q1673)=0,"""",IF(ISBLANK(Q8),FALSE,IF(NOT(COUNTIF($AA$24:$AA$34,SUBSTITUTE(Q8,""Sell_"",""""))),1,IF(REGEXMATCH(Q8,""Sell_""),IF(COUNTIF(Q$4:Q8,SUBSTITUTE(Q8,""Sell_"",""""))-COUNTIF(Q$4:Q7,Q8)&lt;1,1),FALSE))))"),FALSE)</f>
        <v>0</v>
      </c>
      <c r="S8" s="59">
        <f t="array" ref="S8">IF(COUNTA(Q8:Q1673)=0,"",SUM((COUNTIF(Q$4:Q8,Upgrades!$B$3:$B$13)-COUNTIF(Q$4:Q8,"Sell_"&amp;Upgrades!$B$3:$B$13))*Upgrades!$D$3:$D$13))</f>
        <v>8.2</v>
      </c>
      <c r="T8" s="66">
        <f>IFERROR(__xludf.DUMMYFUNCTION("IF(COUNTA(Q8:Q1673)=0,"""",IF(REGEXMATCH(INDEX(FILTER(Q$4:Q8,Q$4:Q8&lt;&gt;""""),ROWS(FILTER(Q$4:Q8,Q$4:Q8&lt;&gt;""""))),""^Sell_""),INDEX(FILTER(T$4:T7,Q$4:Q7&lt;&gt;""""),ROWS(FILTER(Q$4:Q7,Q$4:Q7&lt;&gt;""""))),$AD$5+S8))"),23.2)</f>
        <v>23.2</v>
      </c>
      <c r="U8" s="10">
        <f>IFERROR(__xludf.DUMMYFUNCTION("IF(COUNTA(Q8:Q1673)=0,"""",IF(Q8="""",0,IF(REGEXMATCH(Q8,""^Sell_""),-ROUNDDOWN(ROUNDUP(INDEX(Upgrades!$C$3:$C$13,MATCH(SUBSTITUTE(Q8,""Sell_"",""""),Upgrades!$B$3:$B$13,0))*1.15^(COUNTIF(Q$4:Q7,SUBSTITUTE(Q8,""Sell_"",""""))-COUNTIF(Q$4:Q7,""Sell_""&amp;SUBS"&amp;"TITUTE(Q8,""Sell_"",""""))))/2),ROUNDUP(INDEX(Upgrades!$C$3:$C$13,MATCH(Q8,Upgrades!$B$3:$B$13,0))*1.15^(COUNTIF(Q$4:Q7,Q8)-COUNTIF(Q$4:Q7,""Sell_""&amp;Q8))))))"),18.0)</f>
        <v>18</v>
      </c>
      <c r="V8" s="10">
        <f t="shared" si="11"/>
        <v>18</v>
      </c>
      <c r="W8" s="68">
        <f t="shared" si="12"/>
        <v>64.9965156</v>
      </c>
      <c r="X8" s="59" t="str">
        <f t="shared" si="13"/>
        <v>1m 04s</v>
      </c>
      <c r="Y8" s="69">
        <f t="shared" si="14"/>
        <v>1108</v>
      </c>
      <c r="Z8" s="11"/>
    </row>
    <row r="9">
      <c r="A9" s="8"/>
      <c r="B9" s="56">
        <f t="shared" si="2"/>
        <v>3</v>
      </c>
      <c r="C9" s="57" t="s">
        <v>5</v>
      </c>
      <c r="D9" s="10" t="b">
        <f>IFERROR(__xludf.DUMMYFUNCTION("IF(COUNTA(C9:C1673)=0,"""",IF(ISBLANK(C9),FALSE,IF(NOT(COUNTIF($AA$24:$AA$34,SUBSTITUTE(C9,""Sell_"",""""))),1,IF(REGEXMATCH(C9,""Sell_""),IF(COUNTIF(C$4:C9,SUBSTITUTE(C9,""Sell_"",""""))-COUNTIF(C$4:C8,C9)&lt;1,1),FALSE))))"),FALSE)</f>
        <v>0</v>
      </c>
      <c r="E9" s="59">
        <f t="array" ref="E9">IF(COUNTA(C9:C1673)=0,"",SUM((COUNTIF(C$4:C9,Upgrades!$B$3:$B$13)-COUNTIF(C$4:C9,"Sell_"&amp;Upgrades!$B$3:$B$13))*Upgrades!$D$3:$D$13))</f>
        <v>12.2</v>
      </c>
      <c r="F9" s="66">
        <f>IFERROR(__xludf.DUMMYFUNCTION("IF(COUNTA(C9:C1673)=0,"""",IF(REGEXMATCH(INDEX(FILTER(C$4:C9,C$4:C9&lt;&gt;""""),ROWS(FILTER(C$4:C9,C$4:C9&lt;&gt;""""))),""^Sell_""),INDEX(FILTER(F$4:F8,C$4:C8&lt;&gt;""""),ROWS(FILTER(C$4:C8,C$4:C8&lt;&gt;""""))),$AC$5+E9))"),27.2)</f>
        <v>27.2</v>
      </c>
      <c r="G9" s="10">
        <f>IFERROR(__xludf.DUMMYFUNCTION("IF(COUNTA(C9:C1673)=0,"""",IF(C9="""",0,IF(REGEXMATCH(C9,""^Sell_""),-ROUNDDOWN(ROUNDUP(INDEX(Upgrades!$C$3:$C$13,MATCH(SUBSTITUTE(C9,""Sell_"",""""),Upgrades!$B$3:$B$13,0))*1.15^(COUNTIF(C$4:C8,SUBSTITUTE(C9,""Sell_"",""""))-COUNTIF(C$4:C8,""Sell_""&amp;SUBS"&amp;"TITUTE(C9,""Sell_"",""""))))/2),ROUNDUP(INDEX(Upgrades!$C$3:$C$13,MATCH(C9,Upgrades!$B$3:$B$13,0))*1.15^(COUNTIF(C$4:C8,C9)-COUNTIF(C$4:C8,""Sell_""&amp;C9))))))"),662.0)</f>
        <v>662</v>
      </c>
      <c r="H9" s="10">
        <f t="shared" si="3"/>
        <v>662</v>
      </c>
      <c r="I9" s="68">
        <f t="shared" si="4"/>
        <v>93.53099836</v>
      </c>
      <c r="J9" s="59" t="str">
        <f t="shared" si="5"/>
        <v>1m 33s</v>
      </c>
      <c r="K9" s="69">
        <f t="shared" si="6"/>
        <v>1770</v>
      </c>
      <c r="L9" s="60">
        <f t="shared" si="7"/>
        <v>0</v>
      </c>
      <c r="M9" s="61">
        <f>IFERROR(__xludf.DUMMYFUNCTION("IFS(AND(COUNTA(C9:C1673)=0,COUNTA(Q9:Q1673)=0),"""",OR(AND(K9&gt;=1000000000,OR(Y9&gt;=1000000000,COUNTA(Q9:Q1673)=0)),OR(Y9&gt;=1000000000,AND(COUNTA(C9:C1673)=0,P$3=TRUE))),
ROUNDDOWN((AB$1-AC$1)*MAX(INDEX(T$4:T1673,MATCH(LARGE(FILTER(Y$4:Y1673,Y$4:Y1673&lt;1000000"&amp;"000),1),Y$4:Y1673)),INDEX(F$4:F1673,MATCH(LARGE(FILTER(K$4:K1673,K$4:K1673&lt;1000000000),1),K$4:K1673)))),AND(K9&lt;1000000000,COUNTA(C9:C1673)&gt;0,P$3=FALSE),
ROUNDDOWN(INDEX(Y$4:Y1673,MATCH(LARGE(FILTER(W$4:W1673,W$4:W1673&lt;=I9),1),W$4:W1673))+(I9-LARGE(FILTER("&amp;"W$4:W1673,W$4:W1673&lt;=I9),1))*INDEX(T$4:T1673,MATCH(LARGE(FILTER(W$4:W1673,W$4:W1673&lt;=I9),1),W$4:W1673))-K9),1,
ROUNDDOWN(Y9-INDEX(K$4:K1673,MATCH(LARGE(FILTER(I$4:I1673,I$4:I1673&lt;=W9),1),I$4:I1673))-(W9-LARGE(FILTER(I$4:I1673,I$4:I1673&lt;=W9),1))*INDEX(F$4:"&amp;"F1673,MATCH(LARGE(FILTER(I$4:I1673,I$4:I1673&lt;=W9),1),I$4:I1673))))"),0.0)</f>
        <v>0</v>
      </c>
      <c r="N9" s="60">
        <f t="shared" si="8"/>
        <v>0</v>
      </c>
      <c r="O9" s="61">
        <f t="shared" si="9"/>
        <v>0</v>
      </c>
      <c r="P9" s="56">
        <f t="shared" si="10"/>
        <v>3</v>
      </c>
      <c r="Q9" s="67" t="s">
        <v>5</v>
      </c>
      <c r="R9" s="10" t="b">
        <f>IFERROR(__xludf.DUMMYFUNCTION("IF(COUNTA(Q9:Q1673)=0,"""",IF(ISBLANK(Q9),FALSE,IF(NOT(COUNTIF($AA$24:$AA$34,SUBSTITUTE(Q9,""Sell_"",""""))),1,IF(REGEXMATCH(Q9,""Sell_""),IF(COUNTIF(Q$4:Q9,SUBSTITUTE(Q9,""Sell_"",""""))-COUNTIF(Q$4:Q8,Q9)&lt;1,1),FALSE))))"),FALSE)</f>
        <v>0</v>
      </c>
      <c r="S9" s="59">
        <f t="array" ref="S9">IF(COUNTA(Q9:Q1673)=0,"",SUM((COUNTIF(Q$4:Q9,Upgrades!$B$3:$B$13)-COUNTIF(Q$4:Q9,"Sell_"&amp;Upgrades!$B$3:$B$13))*Upgrades!$D$3:$D$13))</f>
        <v>12.2</v>
      </c>
      <c r="T9" s="66">
        <f>IFERROR(__xludf.DUMMYFUNCTION("IF(COUNTA(Q9:Q1673)=0,"""",IF(REGEXMATCH(INDEX(FILTER(Q$4:Q9,Q$4:Q9&lt;&gt;""""),ROWS(FILTER(Q$4:Q9,Q$4:Q9&lt;&gt;""""))),""^Sell_""),INDEX(FILTER(T$4:T8,Q$4:Q8&lt;&gt;""""),ROWS(FILTER(Q$4:Q8,Q$4:Q8&lt;&gt;""""))),$AD$5+S9))"),27.2)</f>
        <v>27.2</v>
      </c>
      <c r="U9" s="10">
        <f>IFERROR(__xludf.DUMMYFUNCTION("IF(COUNTA(Q9:Q1673)=0,"""",IF(Q9="""",0,IF(REGEXMATCH(Q9,""^Sell_""),-ROUNDDOWN(ROUNDUP(INDEX(Upgrades!$C$3:$C$13,MATCH(SUBSTITUTE(Q9,""Sell_"",""""),Upgrades!$B$3:$B$13,0))*1.15^(COUNTIF(Q$4:Q8,SUBSTITUTE(Q9,""Sell_"",""""))-COUNTIF(Q$4:Q8,""Sell_""&amp;SUBS"&amp;"TITUTE(Q9,""Sell_"",""""))))/2),ROUNDUP(INDEX(Upgrades!$C$3:$C$13,MATCH(Q9,Upgrades!$B$3:$B$13,0))*1.15^(COUNTIF(Q$4:Q8,Q9)-COUNTIF(Q$4:Q8,""Sell_""&amp;Q9))))))"),662.0)</f>
        <v>662</v>
      </c>
      <c r="V9" s="10">
        <f t="shared" si="11"/>
        <v>662</v>
      </c>
      <c r="W9" s="68">
        <f t="shared" si="12"/>
        <v>93.53099836</v>
      </c>
      <c r="X9" s="59" t="str">
        <f t="shared" si="13"/>
        <v>1m 33s</v>
      </c>
      <c r="Y9" s="69">
        <f t="shared" si="14"/>
        <v>1770</v>
      </c>
      <c r="Z9" s="11"/>
      <c r="AA9" s="80" t="s">
        <v>44</v>
      </c>
      <c r="AB9" s="81"/>
      <c r="AC9" s="81"/>
      <c r="AD9" s="81"/>
      <c r="AE9" s="81"/>
      <c r="AF9" s="82"/>
    </row>
    <row r="10">
      <c r="A10" s="8"/>
      <c r="B10" s="56">
        <f t="shared" si="2"/>
        <v>3</v>
      </c>
      <c r="C10" s="57" t="s">
        <v>3</v>
      </c>
      <c r="D10" s="10" t="b">
        <f>IFERROR(__xludf.DUMMYFUNCTION("IF(COUNTA(C10:C1673)=0,"""",IF(ISBLANK(C10),FALSE,IF(NOT(COUNTIF($AA$24:$AA$34,SUBSTITUTE(C10,""Sell_"",""""))),1,IF(REGEXMATCH(C10,""Sell_""),IF(COUNTIF(C$4:C10,SUBSTITUTE(C10,""Sell_"",""""))-COUNTIF(C$4:C9,C10)&lt;1,1),FALSE))))"),FALSE)</f>
        <v>0</v>
      </c>
      <c r="E10" s="59">
        <f t="array" ref="E10">IF(COUNTA(C10:C1673)=0,"",SUM((COUNTIF(C$4:C10,Upgrades!$B$3:$B$13)-COUNTIF(C$4:C10,"Sell_"&amp;Upgrades!$B$3:$B$13))*Upgrades!$D$3:$D$13))</f>
        <v>12.3</v>
      </c>
      <c r="F10" s="66">
        <f>IFERROR(__xludf.DUMMYFUNCTION("IF(COUNTA(C10:C1673)=0,"""",IF(REGEXMATCH(INDEX(FILTER(C$4:C10,C$4:C10&lt;&gt;""""),ROWS(FILTER(C$4:C10,C$4:C10&lt;&gt;""""))),""^Sell_""),INDEX(FILTER(F$4:F9,C$4:C9&lt;&gt;""""),ROWS(FILTER(C$4:C9,C$4:C9&lt;&gt;""""))),$AC$5+E10))"),27.3)</f>
        <v>27.3</v>
      </c>
      <c r="G10" s="10">
        <f>IFERROR(__xludf.DUMMYFUNCTION("IF(COUNTA(C10:C1673)=0,"""",IF(C10="""",0,IF(REGEXMATCH(C10,""^Sell_""),-ROUNDDOWN(ROUNDUP(INDEX(Upgrades!$C$3:$C$13,MATCH(SUBSTITUTE(C10,""Sell_"",""""),Upgrades!$B$3:$B$13,0))*1.15^(COUNTIF(C$4:C9,SUBSTITUTE(C10,""Sell_"",""""))-COUNTIF(C$4:C9,""Sell_"""&amp;"&amp;SUBSTITUTE(C10,""Sell_"",""""))))/2),ROUNDUP(INDEX(Upgrades!$C$3:$C$13,MATCH(C10,Upgrades!$B$3:$B$13,0))*1.15^(COUNTIF(C$4:C9,C10)-COUNTIF(C$4:C9,""Sell_""&amp;C10))))))"),20.0)</f>
        <v>20</v>
      </c>
      <c r="H10" s="10">
        <f t="shared" si="3"/>
        <v>20</v>
      </c>
      <c r="I10" s="68">
        <f t="shared" si="4"/>
        <v>94.26629248</v>
      </c>
      <c r="J10" s="59" t="str">
        <f t="shared" si="5"/>
        <v>1m 34s</v>
      </c>
      <c r="K10" s="69">
        <f t="shared" si="6"/>
        <v>1790</v>
      </c>
      <c r="L10" s="60">
        <f t="shared" si="7"/>
        <v>0</v>
      </c>
      <c r="M10" s="61">
        <f>IFERROR(__xludf.DUMMYFUNCTION("IFS(AND(COUNTA(C10:C1673)=0,COUNTA(Q10:Q1673)=0),"""",OR(AND(K10&gt;=1000000000,OR(Y10&gt;=1000000000,COUNTA(Q10:Q1673)=0)),OR(Y10&gt;=1000000000,AND(COUNTA(C10:C1673)=0,P$3=TRUE))),
ROUNDDOWN((AB$1-AC$1)*MAX(INDEX(T$4:T1673,MATCH(LARGE(FILTER(Y$4:Y1673,Y$4:Y1673&lt;"&amp;"1000000000),1),Y$4:Y1673)),INDEX(F$4:F1673,MATCH(LARGE(FILTER(K$4:K1673,K$4:K1673&lt;1000000000),1),K$4:K1673)))),AND(K10&lt;1000000000,COUNTA(C10:C1673)&gt;0,P$3=FALSE),
ROUNDDOWN(INDEX(Y$4:Y1673,MATCH(LARGE(FILTER(W$4:W1673,W$4:W1673&lt;=I10),1),W$4:W1673))+(I10-LA"&amp;"RGE(FILTER(W$4:W1673,W$4:W1673&lt;=I10),1))*INDEX(T$4:T1673,MATCH(LARGE(FILTER(W$4:W1673,W$4:W1673&lt;=I10),1),W$4:W1673))-K10),1,
ROUNDDOWN(Y10-INDEX(K$4:K1673,MATCH(LARGE(FILTER(I$4:I1673,I$4:I1673&lt;=W10),1),I$4:I1673))-(W10-LARGE(FILTER(I$4:I1673,I$4:I1673&lt;=W"&amp;"10),1))*INDEX(F$4:F1673,MATCH(LARGE(FILTER(I$4:I1673,I$4:I1673&lt;=W10),1),I$4:I1673))))"),0.0)</f>
        <v>0</v>
      </c>
      <c r="N10" s="60">
        <f t="shared" si="8"/>
        <v>0</v>
      </c>
      <c r="O10" s="61">
        <f t="shared" si="9"/>
        <v>0</v>
      </c>
      <c r="P10" s="56">
        <f t="shared" si="10"/>
        <v>3</v>
      </c>
      <c r="Q10" s="67" t="s">
        <v>3</v>
      </c>
      <c r="R10" s="10" t="b">
        <f>IFERROR(__xludf.DUMMYFUNCTION("IF(COUNTA(Q10:Q1673)=0,"""",IF(ISBLANK(Q10),FALSE,IF(NOT(COUNTIF($AA$24:$AA$34,SUBSTITUTE(Q10,""Sell_"",""""))),1,IF(REGEXMATCH(Q10,""Sell_""),IF(COUNTIF(Q$4:Q10,SUBSTITUTE(Q10,""Sell_"",""""))-COUNTIF(Q$4:Q9,Q10)&lt;1,1),FALSE))))"),FALSE)</f>
        <v>0</v>
      </c>
      <c r="S10" s="59">
        <f t="array" ref="S10">IF(COUNTA(Q10:Q1673)=0,"",SUM((COUNTIF(Q$4:Q10,Upgrades!$B$3:$B$13)-COUNTIF(Q$4:Q10,"Sell_"&amp;Upgrades!$B$3:$B$13))*Upgrades!$D$3:$D$13))</f>
        <v>12.3</v>
      </c>
      <c r="T10" s="66">
        <f>IFERROR(__xludf.DUMMYFUNCTION("IF(COUNTA(Q10:Q1673)=0,"""",IF(REGEXMATCH(INDEX(FILTER(Q$4:Q10,Q$4:Q10&lt;&gt;""""),ROWS(FILTER(Q$4:Q10,Q$4:Q10&lt;&gt;""""))),""^Sell_""),INDEX(FILTER(T$4:T9,Q$4:Q9&lt;&gt;""""),ROWS(FILTER(Q$4:Q9,Q$4:Q9&lt;&gt;""""))),$AD$5+S10))"),27.3)</f>
        <v>27.3</v>
      </c>
      <c r="U10" s="10">
        <f>IFERROR(__xludf.DUMMYFUNCTION("IF(COUNTA(Q10:Q1673)=0,"""",IF(Q10="""",0,IF(REGEXMATCH(Q10,""^Sell_""),-ROUNDDOWN(ROUNDUP(INDEX(Upgrades!$C$3:$C$13,MATCH(SUBSTITUTE(Q10,""Sell_"",""""),Upgrades!$B$3:$B$13,0))*1.15^(COUNTIF(Q$4:Q9,SUBSTITUTE(Q10,""Sell_"",""""))-COUNTIF(Q$4:Q9,""Sell_"""&amp;"&amp;SUBSTITUTE(Q10,""Sell_"",""""))))/2),ROUNDUP(INDEX(Upgrades!$C$3:$C$13,MATCH(Q10,Upgrades!$B$3:$B$13,0))*1.15^(COUNTIF(Q$4:Q9,Q10)-COUNTIF(Q$4:Q9,""Sell_""&amp;Q10))))))"),20.0)</f>
        <v>20</v>
      </c>
      <c r="V10" s="10">
        <f t="shared" si="11"/>
        <v>20</v>
      </c>
      <c r="W10" s="68">
        <f t="shared" si="12"/>
        <v>94.26629248</v>
      </c>
      <c r="X10" s="59" t="str">
        <f t="shared" si="13"/>
        <v>1m 34s</v>
      </c>
      <c r="Y10" s="69">
        <f t="shared" si="14"/>
        <v>1790</v>
      </c>
      <c r="Z10" s="11"/>
      <c r="AA10" s="83" t="s">
        <v>45</v>
      </c>
      <c r="AB10" s="84"/>
      <c r="AC10" s="84"/>
      <c r="AD10" s="84"/>
      <c r="AE10" s="84"/>
      <c r="AF10" s="85"/>
    </row>
    <row r="11">
      <c r="A11" s="8"/>
      <c r="B11" s="56">
        <f t="shared" si="2"/>
        <v>1</v>
      </c>
      <c r="C11" s="57" t="s">
        <v>4</v>
      </c>
      <c r="D11" s="10" t="b">
        <f>IFERROR(__xludf.DUMMYFUNCTION("IF(COUNTA(C11:C1673)=0,"""",IF(ISBLANK(C11),FALSE,IF(NOT(COUNTIF($AA$24:$AA$34,SUBSTITUTE(C11,""Sell_"",""""))),1,IF(REGEXMATCH(C11,""Sell_""),IF(COUNTIF(C$4:C11,SUBSTITUTE(C11,""Sell_"",""""))-COUNTIF(C$4:C10,C11)&lt;1,1),FALSE))))"),FALSE)</f>
        <v>0</v>
      </c>
      <c r="E11" s="59">
        <f t="array" ref="E11">IF(COUNTA(C11:C1673)=0,"",SUM((COUNTIF(C$4:C11,Upgrades!$B$3:$B$13)-COUNTIF(C$4:C11,"Sell_"&amp;Upgrades!$B$3:$B$13))*Upgrades!$D$3:$D$13))</f>
        <v>12.8</v>
      </c>
      <c r="F11" s="66">
        <f>IFERROR(__xludf.DUMMYFUNCTION("IF(COUNTA(C11:C1673)=0,"""",IF(REGEXMATCH(INDEX(FILTER(C$4:C11,C$4:C11&lt;&gt;""""),ROWS(FILTER(C$4:C11,C$4:C11&lt;&gt;""""))),""^Sell_""),INDEX(FILTER(F$4:F10,C$4:C10&lt;&gt;""""),ROWS(FILTER(C$4:C10,C$4:C10&lt;&gt;""""))),$AC$5+E11))"),27.8)</f>
        <v>27.8</v>
      </c>
      <c r="G11" s="10">
        <f>IFERROR(__xludf.DUMMYFUNCTION("IF(COUNTA(C11:C1673)=0,"""",IF(C11="""",0,IF(REGEXMATCH(C11,""^Sell_""),-ROUNDDOWN(ROUNDUP(INDEX(Upgrades!$C$3:$C$13,MATCH(SUBSTITUTE(C11,""Sell_"",""""),Upgrades!$B$3:$B$13,0))*1.15^(COUNTIF(C$4:C10,SUBSTITUTE(C11,""Sell_"",""""))-COUNTIF(C$4:C10,""Sell_"&amp;"""&amp;SUBSTITUTE(C11,""Sell_"",""""))))/2),ROUNDUP(INDEX(Upgrades!$C$3:$C$13,MATCH(C11,Upgrades!$B$3:$B$13,0))*1.15^(COUNTIF(C$4:C10,C11)-COUNTIF(C$4:C10,""Sell_""&amp;C11))))))"),100.0)</f>
        <v>100</v>
      </c>
      <c r="H11" s="10">
        <f t="shared" si="3"/>
        <v>100</v>
      </c>
      <c r="I11" s="68">
        <f t="shared" si="4"/>
        <v>97.92929614</v>
      </c>
      <c r="J11" s="59" t="str">
        <f t="shared" si="5"/>
        <v>1m 37s</v>
      </c>
      <c r="K11" s="69">
        <f t="shared" si="6"/>
        <v>1890</v>
      </c>
      <c r="L11" s="60">
        <f t="shared" si="7"/>
        <v>0</v>
      </c>
      <c r="M11" s="61">
        <f>IFERROR(__xludf.DUMMYFUNCTION("IFS(AND(COUNTA(C11:C1673)=0,COUNTA(Q11:Q1673)=0),"""",OR(AND(K11&gt;=1000000000,OR(Y11&gt;=1000000000,COUNTA(Q11:Q1673)=0)),OR(Y11&gt;=1000000000,AND(COUNTA(C11:C1673)=0,P$3=TRUE))),
ROUNDDOWN((AB$1-AC$1)*MAX(INDEX(T$4:T1673,MATCH(LARGE(FILTER(Y$4:Y1673,Y$4:Y1673&lt;"&amp;"1000000000),1),Y$4:Y1673)),INDEX(F$4:F1673,MATCH(LARGE(FILTER(K$4:K1673,K$4:K1673&lt;1000000000),1),K$4:K1673)))),AND(K11&lt;1000000000,COUNTA(C11:C1673)&gt;0,P$3=FALSE),
ROUNDDOWN(INDEX(Y$4:Y1673,MATCH(LARGE(FILTER(W$4:W1673,W$4:W1673&lt;=I11),1),W$4:W1673))+(I11-LA"&amp;"RGE(FILTER(W$4:W1673,W$4:W1673&lt;=I11),1))*INDEX(T$4:T1673,MATCH(LARGE(FILTER(W$4:W1673,W$4:W1673&lt;=I11),1),W$4:W1673))-K11),1,
ROUNDDOWN(Y11-INDEX(K$4:K1673,MATCH(LARGE(FILTER(I$4:I1673,I$4:I1673&lt;=W11),1),I$4:I1673))-(W11-LARGE(FILTER(I$4:I1673,I$4:I1673&lt;=W"&amp;"11),1))*INDEX(F$4:F1673,MATCH(LARGE(FILTER(I$4:I1673,I$4:I1673&lt;=W11),1),I$4:I1673))))"),0.0)</f>
        <v>0</v>
      </c>
      <c r="N11" s="60">
        <f t="shared" si="8"/>
        <v>0</v>
      </c>
      <c r="O11" s="61">
        <f t="shared" si="9"/>
        <v>0</v>
      </c>
      <c r="P11" s="56">
        <f t="shared" si="10"/>
        <v>1</v>
      </c>
      <c r="Q11" s="67" t="s">
        <v>4</v>
      </c>
      <c r="R11" s="10" t="b">
        <f>IFERROR(__xludf.DUMMYFUNCTION("IF(COUNTA(Q11:Q1673)=0,"""",IF(ISBLANK(Q11),FALSE,IF(NOT(COUNTIF($AA$24:$AA$34,SUBSTITUTE(Q11,""Sell_"",""""))),1,IF(REGEXMATCH(Q11,""Sell_""),IF(COUNTIF(Q$4:Q11,SUBSTITUTE(Q11,""Sell_"",""""))-COUNTIF(Q$4:Q10,Q11)&lt;1,1),FALSE))))"),FALSE)</f>
        <v>0</v>
      </c>
      <c r="S11" s="59">
        <f t="array" ref="S11">IF(COUNTA(Q11:Q1673)=0,"",SUM((COUNTIF(Q$4:Q11,Upgrades!$B$3:$B$13)-COUNTIF(Q$4:Q11,"Sell_"&amp;Upgrades!$B$3:$B$13))*Upgrades!$D$3:$D$13))</f>
        <v>12.8</v>
      </c>
      <c r="T11" s="66">
        <f>IFERROR(__xludf.DUMMYFUNCTION("IF(COUNTA(Q11:Q1673)=0,"""",IF(REGEXMATCH(INDEX(FILTER(Q$4:Q11,Q$4:Q11&lt;&gt;""""),ROWS(FILTER(Q$4:Q11,Q$4:Q11&lt;&gt;""""))),""^Sell_""),INDEX(FILTER(T$4:T10,Q$4:Q10&lt;&gt;""""),ROWS(FILTER(Q$4:Q10,Q$4:Q10&lt;&gt;""""))),$AD$5+S11))"),27.8)</f>
        <v>27.8</v>
      </c>
      <c r="U11" s="10">
        <f>IFERROR(__xludf.DUMMYFUNCTION("IF(COUNTA(Q11:Q1673)=0,"""",IF(Q11="""",0,IF(REGEXMATCH(Q11,""^Sell_""),-ROUNDDOWN(ROUNDUP(INDEX(Upgrades!$C$3:$C$13,MATCH(SUBSTITUTE(Q11,""Sell_"",""""),Upgrades!$B$3:$B$13,0))*1.15^(COUNTIF(Q$4:Q10,SUBSTITUTE(Q11,""Sell_"",""""))-COUNTIF(Q$4:Q10,""Sell_"&amp;"""&amp;SUBSTITUTE(Q11,""Sell_"",""""))))/2),ROUNDUP(INDEX(Upgrades!$C$3:$C$13,MATCH(Q11,Upgrades!$B$3:$B$13,0))*1.15^(COUNTIF(Q$4:Q10,Q11)-COUNTIF(Q$4:Q10,""Sell_""&amp;Q11))))))"),100.0)</f>
        <v>100</v>
      </c>
      <c r="V11" s="10">
        <f t="shared" si="11"/>
        <v>100</v>
      </c>
      <c r="W11" s="68">
        <f t="shared" si="12"/>
        <v>97.92929614</v>
      </c>
      <c r="X11" s="59" t="str">
        <f t="shared" si="13"/>
        <v>1m 37s</v>
      </c>
      <c r="Y11" s="69">
        <f t="shared" si="14"/>
        <v>1890</v>
      </c>
      <c r="Z11" s="11"/>
      <c r="AA11" s="83" t="s">
        <v>46</v>
      </c>
      <c r="AB11" s="84"/>
      <c r="AC11" s="84"/>
      <c r="AD11" s="84"/>
      <c r="AE11" s="84"/>
      <c r="AF11" s="85"/>
    </row>
    <row r="12">
      <c r="A12" s="8"/>
      <c r="B12" s="56">
        <f t="shared" si="2"/>
        <v>4</v>
      </c>
      <c r="C12" s="57" t="s">
        <v>5</v>
      </c>
      <c r="D12" s="10" t="b">
        <f>IFERROR(__xludf.DUMMYFUNCTION("IF(COUNTA(C12:C1673)=0,"""",IF(ISBLANK(C12),FALSE,IF(NOT(COUNTIF($AA$24:$AA$34,SUBSTITUTE(C12,""Sell_"",""""))),1,IF(REGEXMATCH(C12,""Sell_""),IF(COUNTIF(C$4:C12,SUBSTITUTE(C12,""Sell_"",""""))-COUNTIF(C$4:C11,C12)&lt;1,1),FALSE))))"),FALSE)</f>
        <v>0</v>
      </c>
      <c r="E12" s="59">
        <f t="array" ref="E12">IF(COUNTA(C12:C1673)=0,"",SUM((COUNTIF(C$4:C12,Upgrades!$B$3:$B$13)-COUNTIF(C$4:C12,"Sell_"&amp;Upgrades!$B$3:$B$13))*Upgrades!$D$3:$D$13))</f>
        <v>16.8</v>
      </c>
      <c r="F12" s="66">
        <f>IFERROR(__xludf.DUMMYFUNCTION("IF(COUNTA(C12:C1673)=0,"""",IF(REGEXMATCH(INDEX(FILTER(C$4:C12,C$4:C12&lt;&gt;""""),ROWS(FILTER(C$4:C12,C$4:C12&lt;&gt;""""))),""^Sell_""),INDEX(FILTER(F$4:F11,C$4:C11&lt;&gt;""""),ROWS(FILTER(C$4:C11,C$4:C11&lt;&gt;""""))),$AC$5+E12))"),31.8)</f>
        <v>31.8</v>
      </c>
      <c r="G12" s="10">
        <f>IFERROR(__xludf.DUMMYFUNCTION("IF(COUNTA(C12:C1673)=0,"""",IF(C12="""",0,IF(REGEXMATCH(C12,""^Sell_""),-ROUNDDOWN(ROUNDUP(INDEX(Upgrades!$C$3:$C$13,MATCH(SUBSTITUTE(C12,""Sell_"",""""),Upgrades!$B$3:$B$13,0))*1.15^(COUNTIF(C$4:C11,SUBSTITUTE(C12,""Sell_"",""""))-COUNTIF(C$4:C11,""Sell_"&amp;"""&amp;SUBSTITUTE(C12,""Sell_"",""""))))/2),ROUNDUP(INDEX(Upgrades!$C$3:$C$13,MATCH(C12,Upgrades!$B$3:$B$13,0))*1.15^(COUNTIF(C$4:C11,C12)-COUNTIF(C$4:C11,""Sell_""&amp;C12))))))"),761.0)</f>
        <v>761</v>
      </c>
      <c r="H12" s="10">
        <f t="shared" si="3"/>
        <v>761</v>
      </c>
      <c r="I12" s="68">
        <f t="shared" si="4"/>
        <v>125.3033969</v>
      </c>
      <c r="J12" s="59" t="str">
        <f t="shared" si="5"/>
        <v>2m 05s</v>
      </c>
      <c r="K12" s="69">
        <f t="shared" si="6"/>
        <v>2651</v>
      </c>
      <c r="L12" s="60">
        <f t="shared" si="7"/>
        <v>0</v>
      </c>
      <c r="M12" s="61">
        <f>IFERROR(__xludf.DUMMYFUNCTION("IFS(AND(COUNTA(C12:C1673)=0,COUNTA(Q12:Q1673)=0),"""",OR(AND(K12&gt;=1000000000,OR(Y12&gt;=1000000000,COUNTA(Q12:Q1673)=0)),OR(Y12&gt;=1000000000,AND(COUNTA(C12:C1673)=0,P$3=TRUE))),
ROUNDDOWN((AB$1-AC$1)*MAX(INDEX(T$4:T1673,MATCH(LARGE(FILTER(Y$4:Y1673,Y$4:Y1673&lt;"&amp;"1000000000),1),Y$4:Y1673)),INDEX(F$4:F1673,MATCH(LARGE(FILTER(K$4:K1673,K$4:K1673&lt;1000000000),1),K$4:K1673)))),AND(K12&lt;1000000000,COUNTA(C12:C1673)&gt;0,P$3=FALSE),
ROUNDDOWN(INDEX(Y$4:Y1673,MATCH(LARGE(FILTER(W$4:W1673,W$4:W1673&lt;=I12),1),W$4:W1673))+(I12-LA"&amp;"RGE(FILTER(W$4:W1673,W$4:W1673&lt;=I12),1))*INDEX(T$4:T1673,MATCH(LARGE(FILTER(W$4:W1673,W$4:W1673&lt;=I12),1),W$4:W1673))-K12),1,
ROUNDDOWN(Y12-INDEX(K$4:K1673,MATCH(LARGE(FILTER(I$4:I1673,I$4:I1673&lt;=W12),1),I$4:I1673))-(W12-LARGE(FILTER(I$4:I1673,I$4:I1673&lt;=W"&amp;"12),1))*INDEX(F$4:F1673,MATCH(LARGE(FILTER(I$4:I1673,I$4:I1673&lt;=W12),1),I$4:I1673))))"),0.0)</f>
        <v>0</v>
      </c>
      <c r="N12" s="60">
        <f t="shared" si="8"/>
        <v>0</v>
      </c>
      <c r="O12" s="61">
        <f t="shared" si="9"/>
        <v>0</v>
      </c>
      <c r="P12" s="56">
        <f t="shared" si="10"/>
        <v>4</v>
      </c>
      <c r="Q12" s="67" t="s">
        <v>5</v>
      </c>
      <c r="R12" s="10" t="b">
        <f>IFERROR(__xludf.DUMMYFUNCTION("IF(COUNTA(Q12:Q1673)=0,"""",IF(ISBLANK(Q12),FALSE,IF(NOT(COUNTIF($AA$24:$AA$34,SUBSTITUTE(Q12,""Sell_"",""""))),1,IF(REGEXMATCH(Q12,""Sell_""),IF(COUNTIF(Q$4:Q12,SUBSTITUTE(Q12,""Sell_"",""""))-COUNTIF(Q$4:Q11,Q12)&lt;1,1),FALSE))))"),FALSE)</f>
        <v>0</v>
      </c>
      <c r="S12" s="59">
        <f t="array" ref="S12">IF(COUNTA(Q12:Q1673)=0,"",SUM((COUNTIF(Q$4:Q12,Upgrades!$B$3:$B$13)-COUNTIF(Q$4:Q12,"Sell_"&amp;Upgrades!$B$3:$B$13))*Upgrades!$D$3:$D$13))</f>
        <v>16.8</v>
      </c>
      <c r="T12" s="66">
        <f>IFERROR(__xludf.DUMMYFUNCTION("IF(COUNTA(Q12:Q1673)=0,"""",IF(REGEXMATCH(INDEX(FILTER(Q$4:Q12,Q$4:Q12&lt;&gt;""""),ROWS(FILTER(Q$4:Q12,Q$4:Q12&lt;&gt;""""))),""^Sell_""),INDEX(FILTER(T$4:T11,Q$4:Q11&lt;&gt;""""),ROWS(FILTER(Q$4:Q11,Q$4:Q11&lt;&gt;""""))),$AD$5+S12))"),31.8)</f>
        <v>31.8</v>
      </c>
      <c r="U12" s="10">
        <f>IFERROR(__xludf.DUMMYFUNCTION("IF(COUNTA(Q12:Q1673)=0,"""",IF(Q12="""",0,IF(REGEXMATCH(Q12,""^Sell_""),-ROUNDDOWN(ROUNDUP(INDEX(Upgrades!$C$3:$C$13,MATCH(SUBSTITUTE(Q12,""Sell_"",""""),Upgrades!$B$3:$B$13,0))*1.15^(COUNTIF(Q$4:Q11,SUBSTITUTE(Q12,""Sell_"",""""))-COUNTIF(Q$4:Q11,""Sell_"&amp;"""&amp;SUBSTITUTE(Q12,""Sell_"",""""))))/2),ROUNDUP(INDEX(Upgrades!$C$3:$C$13,MATCH(Q12,Upgrades!$B$3:$B$13,0))*1.15^(COUNTIF(Q$4:Q11,Q12)-COUNTIF(Q$4:Q11,""Sell_""&amp;Q12))))))"),761.0)</f>
        <v>761</v>
      </c>
      <c r="V12" s="10">
        <f t="shared" si="11"/>
        <v>761</v>
      </c>
      <c r="W12" s="68">
        <f t="shared" si="12"/>
        <v>125.3033969</v>
      </c>
      <c r="X12" s="59" t="str">
        <f t="shared" si="13"/>
        <v>2m 05s</v>
      </c>
      <c r="Y12" s="69">
        <f t="shared" si="14"/>
        <v>2651</v>
      </c>
      <c r="Z12" s="11"/>
      <c r="AA12" s="86" t="s">
        <v>47</v>
      </c>
      <c r="AB12" s="87"/>
      <c r="AC12" s="87"/>
      <c r="AD12" s="87"/>
      <c r="AE12" s="87"/>
      <c r="AF12" s="88"/>
    </row>
    <row r="13">
      <c r="A13" s="8"/>
      <c r="B13" s="56">
        <f t="shared" si="2"/>
        <v>4</v>
      </c>
      <c r="C13" s="57" t="s">
        <v>3</v>
      </c>
      <c r="D13" s="10" t="b">
        <f>IFERROR(__xludf.DUMMYFUNCTION("IF(COUNTA(C13:C1673)=0,"""",IF(ISBLANK(C13),FALSE,IF(NOT(COUNTIF($AA$24:$AA$34,SUBSTITUTE(C13,""Sell_"",""""))),1,IF(REGEXMATCH(C13,""Sell_""),IF(COUNTIF(C$4:C13,SUBSTITUTE(C13,""Sell_"",""""))-COUNTIF(C$4:C12,C13)&lt;1,1),FALSE))))"),FALSE)</f>
        <v>0</v>
      </c>
      <c r="E13" s="59">
        <f t="array" ref="E13">IF(COUNTA(C13:C1673)=0,"",SUM((COUNTIF(C$4:C13,Upgrades!$B$3:$B$13)-COUNTIF(C$4:C13,"Sell_"&amp;Upgrades!$B$3:$B$13))*Upgrades!$D$3:$D$13))</f>
        <v>16.9</v>
      </c>
      <c r="F13" s="66">
        <f>IFERROR(__xludf.DUMMYFUNCTION("IF(COUNTA(C13:C1673)=0,"""",IF(REGEXMATCH(INDEX(FILTER(C$4:C13,C$4:C13&lt;&gt;""""),ROWS(FILTER(C$4:C13,C$4:C13&lt;&gt;""""))),""^Sell_""),INDEX(FILTER(F$4:F12,C$4:C12&lt;&gt;""""),ROWS(FILTER(C$4:C12,C$4:C12&lt;&gt;""""))),$AC$5+E13))"),31.9)</f>
        <v>31.9</v>
      </c>
      <c r="G13" s="10">
        <f>IFERROR(__xludf.DUMMYFUNCTION("IF(COUNTA(C13:C1673)=0,"""",IF(C13="""",0,IF(REGEXMATCH(C13,""^Sell_""),-ROUNDDOWN(ROUNDUP(INDEX(Upgrades!$C$3:$C$13,MATCH(SUBSTITUTE(C13,""Sell_"",""""),Upgrades!$B$3:$B$13,0))*1.15^(COUNTIF(C$4:C12,SUBSTITUTE(C13,""Sell_"",""""))-COUNTIF(C$4:C12,""Sell_"&amp;"""&amp;SUBSTITUTE(C13,""Sell_"",""""))))/2),ROUNDUP(INDEX(Upgrades!$C$3:$C$13,MATCH(C13,Upgrades!$B$3:$B$13,0))*1.15^(COUNTIF(C$4:C12,C13)-COUNTIF(C$4:C12,""Sell_""&amp;C13))))))"),23.0)</f>
        <v>23</v>
      </c>
      <c r="H13" s="10">
        <f t="shared" si="3"/>
        <v>23</v>
      </c>
      <c r="I13" s="68">
        <f t="shared" si="4"/>
        <v>126.0266673</v>
      </c>
      <c r="J13" s="59" t="str">
        <f t="shared" si="5"/>
        <v>2m 06s</v>
      </c>
      <c r="K13" s="69">
        <f t="shared" si="6"/>
        <v>2674</v>
      </c>
      <c r="L13" s="60">
        <f t="shared" si="7"/>
        <v>0</v>
      </c>
      <c r="M13" s="61">
        <f>IFERROR(__xludf.DUMMYFUNCTION("IFS(AND(COUNTA(C13:C1673)=0,COUNTA(Q13:Q1673)=0),"""",OR(AND(K13&gt;=1000000000,OR(Y13&gt;=1000000000,COUNTA(Q13:Q1673)=0)),OR(Y13&gt;=1000000000,AND(COUNTA(C13:C1673)=0,P$3=TRUE))),
ROUNDDOWN((AB$1-AC$1)*MAX(INDEX(T$4:T1673,MATCH(LARGE(FILTER(Y$4:Y1673,Y$4:Y1673&lt;"&amp;"1000000000),1),Y$4:Y1673)),INDEX(F$4:F1673,MATCH(LARGE(FILTER(K$4:K1673,K$4:K1673&lt;1000000000),1),K$4:K1673)))),AND(K13&lt;1000000000,COUNTA(C13:C1673)&gt;0,P$3=FALSE),
ROUNDDOWN(INDEX(Y$4:Y1673,MATCH(LARGE(FILTER(W$4:W1673,W$4:W1673&lt;=I13),1),W$4:W1673))+(I13-LA"&amp;"RGE(FILTER(W$4:W1673,W$4:W1673&lt;=I13),1))*INDEX(T$4:T1673,MATCH(LARGE(FILTER(W$4:W1673,W$4:W1673&lt;=I13),1),W$4:W1673))-K13),1,
ROUNDDOWN(Y13-INDEX(K$4:K1673,MATCH(LARGE(FILTER(I$4:I1673,I$4:I1673&lt;=W13),1),I$4:I1673))-(W13-LARGE(FILTER(I$4:I1673,I$4:I1673&lt;=W"&amp;"13),1))*INDEX(F$4:F1673,MATCH(LARGE(FILTER(I$4:I1673,I$4:I1673&lt;=W13),1),I$4:I1673))))"),0.0)</f>
        <v>0</v>
      </c>
      <c r="N13" s="60">
        <f t="shared" si="8"/>
        <v>0</v>
      </c>
      <c r="O13" s="61">
        <f t="shared" si="9"/>
        <v>0</v>
      </c>
      <c r="P13" s="56">
        <f t="shared" si="10"/>
        <v>4</v>
      </c>
      <c r="Q13" s="67" t="s">
        <v>3</v>
      </c>
      <c r="R13" s="10" t="b">
        <f>IFERROR(__xludf.DUMMYFUNCTION("IF(COUNTA(Q13:Q1673)=0,"""",IF(ISBLANK(Q13),FALSE,IF(NOT(COUNTIF($AA$24:$AA$34,SUBSTITUTE(Q13,""Sell_"",""""))),1,IF(REGEXMATCH(Q13,""Sell_""),IF(COUNTIF(Q$4:Q13,SUBSTITUTE(Q13,""Sell_"",""""))-COUNTIF(Q$4:Q12,Q13)&lt;1,1),FALSE))))"),FALSE)</f>
        <v>0</v>
      </c>
      <c r="S13" s="59">
        <f t="array" ref="S13">IF(COUNTA(Q13:Q1673)=0,"",SUM((COUNTIF(Q$4:Q13,Upgrades!$B$3:$B$13)-COUNTIF(Q$4:Q13,"Sell_"&amp;Upgrades!$B$3:$B$13))*Upgrades!$D$3:$D$13))</f>
        <v>16.9</v>
      </c>
      <c r="T13" s="66">
        <f>IFERROR(__xludf.DUMMYFUNCTION("IF(COUNTA(Q13:Q1673)=0,"""",IF(REGEXMATCH(INDEX(FILTER(Q$4:Q13,Q$4:Q13&lt;&gt;""""),ROWS(FILTER(Q$4:Q13,Q$4:Q13&lt;&gt;""""))),""^Sell_""),INDEX(FILTER(T$4:T12,Q$4:Q12&lt;&gt;""""),ROWS(FILTER(Q$4:Q12,Q$4:Q12&lt;&gt;""""))),$AD$5+S13))"),31.9)</f>
        <v>31.9</v>
      </c>
      <c r="U13" s="10">
        <f>IFERROR(__xludf.DUMMYFUNCTION("IF(COUNTA(Q13:Q1673)=0,"""",IF(Q13="""",0,IF(REGEXMATCH(Q13,""^Sell_""),-ROUNDDOWN(ROUNDUP(INDEX(Upgrades!$C$3:$C$13,MATCH(SUBSTITUTE(Q13,""Sell_"",""""),Upgrades!$B$3:$B$13,0))*1.15^(COUNTIF(Q$4:Q12,SUBSTITUTE(Q13,""Sell_"",""""))-COUNTIF(Q$4:Q12,""Sell_"&amp;"""&amp;SUBSTITUTE(Q13,""Sell_"",""""))))/2),ROUNDUP(INDEX(Upgrades!$C$3:$C$13,MATCH(Q13,Upgrades!$B$3:$B$13,0))*1.15^(COUNTIF(Q$4:Q12,Q13)-COUNTIF(Q$4:Q12,""Sell_""&amp;Q13))))))"),23.0)</f>
        <v>23</v>
      </c>
      <c r="V13" s="10">
        <f t="shared" si="11"/>
        <v>23</v>
      </c>
      <c r="W13" s="68">
        <f t="shared" si="12"/>
        <v>126.0266673</v>
      </c>
      <c r="X13" s="59" t="str">
        <f t="shared" si="13"/>
        <v>2m 06s</v>
      </c>
      <c r="Y13" s="69">
        <f t="shared" si="14"/>
        <v>2674</v>
      </c>
      <c r="Z13" s="11"/>
    </row>
    <row r="14">
      <c r="A14" s="8"/>
      <c r="B14" s="56">
        <f t="shared" si="2"/>
        <v>2</v>
      </c>
      <c r="C14" s="57" t="s">
        <v>4</v>
      </c>
      <c r="D14" s="10" t="b">
        <f>IFERROR(__xludf.DUMMYFUNCTION("IF(COUNTA(C14:C1673)=0,"""",IF(ISBLANK(C14),FALSE,IF(NOT(COUNTIF($AA$24:$AA$34,SUBSTITUTE(C14,""Sell_"",""""))),1,IF(REGEXMATCH(C14,""Sell_""),IF(COUNTIF(C$4:C14,SUBSTITUTE(C14,""Sell_"",""""))-COUNTIF(C$4:C13,C14)&lt;1,1),FALSE))))"),FALSE)</f>
        <v>0</v>
      </c>
      <c r="E14" s="59">
        <f t="array" ref="E14">IF(COUNTA(C14:C1673)=0,"",SUM((COUNTIF(C$4:C14,Upgrades!$B$3:$B$13)-COUNTIF(C$4:C14,"Sell_"&amp;Upgrades!$B$3:$B$13))*Upgrades!$D$3:$D$13))</f>
        <v>17.4</v>
      </c>
      <c r="F14" s="66">
        <f>IFERROR(__xludf.DUMMYFUNCTION("IF(COUNTA(C14:C1673)=0,"""",IF(REGEXMATCH(INDEX(FILTER(C$4:C14,C$4:C14&lt;&gt;""""),ROWS(FILTER(C$4:C14,C$4:C14&lt;&gt;""""))),""^Sell_""),INDEX(FILTER(F$4:F13,C$4:C13&lt;&gt;""""),ROWS(FILTER(C$4:C13,C$4:C13&lt;&gt;""""))),$AC$5+E14))"),32.4)</f>
        <v>32.4</v>
      </c>
      <c r="G14" s="10">
        <f>IFERROR(__xludf.DUMMYFUNCTION("IF(COUNTA(C14:C1673)=0,"""",IF(C14="""",0,IF(REGEXMATCH(C14,""^Sell_""),-ROUNDDOWN(ROUNDUP(INDEX(Upgrades!$C$3:$C$13,MATCH(SUBSTITUTE(C14,""Sell_"",""""),Upgrades!$B$3:$B$13,0))*1.15^(COUNTIF(C$4:C13,SUBSTITUTE(C14,""Sell_"",""""))-COUNTIF(C$4:C13,""Sell_"&amp;"""&amp;SUBSTITUTE(C14,""Sell_"",""""))))/2),ROUNDUP(INDEX(Upgrades!$C$3:$C$13,MATCH(C14,Upgrades!$B$3:$B$13,0))*1.15^(COUNTIF(C$4:C13,C14)-COUNTIF(C$4:C13,""Sell_""&amp;C14))))))"),115.0)</f>
        <v>115</v>
      </c>
      <c r="H14" s="10">
        <f t="shared" si="3"/>
        <v>115</v>
      </c>
      <c r="I14" s="68">
        <f t="shared" si="4"/>
        <v>129.631683</v>
      </c>
      <c r="J14" s="59" t="str">
        <f t="shared" si="5"/>
        <v>2m 09s</v>
      </c>
      <c r="K14" s="69">
        <f t="shared" si="6"/>
        <v>2789</v>
      </c>
      <c r="L14" s="60">
        <f t="shared" si="7"/>
        <v>0</v>
      </c>
      <c r="M14" s="61">
        <f>IFERROR(__xludf.DUMMYFUNCTION("IFS(AND(COUNTA(C14:C1673)=0,COUNTA(Q14:Q1673)=0),"""",OR(AND(K14&gt;=1000000000,OR(Y14&gt;=1000000000,COUNTA(Q14:Q1673)=0)),OR(Y14&gt;=1000000000,AND(COUNTA(C14:C1673)=0,P$3=TRUE))),
ROUNDDOWN((AB$1-AC$1)*MAX(INDEX(T$4:T1673,MATCH(LARGE(FILTER(Y$4:Y1673,Y$4:Y1673&lt;"&amp;"1000000000),1),Y$4:Y1673)),INDEX(F$4:F1673,MATCH(LARGE(FILTER(K$4:K1673,K$4:K1673&lt;1000000000),1),K$4:K1673)))),AND(K14&lt;1000000000,COUNTA(C14:C1673)&gt;0,P$3=FALSE),
ROUNDDOWN(INDEX(Y$4:Y1673,MATCH(LARGE(FILTER(W$4:W1673,W$4:W1673&lt;=I14),1),W$4:W1673))+(I14-LA"&amp;"RGE(FILTER(W$4:W1673,W$4:W1673&lt;=I14),1))*INDEX(T$4:T1673,MATCH(LARGE(FILTER(W$4:W1673,W$4:W1673&lt;=I14),1),W$4:W1673))-K14),1,
ROUNDDOWN(Y14-INDEX(K$4:K1673,MATCH(LARGE(FILTER(I$4:I1673,I$4:I1673&lt;=W14),1),I$4:I1673))-(W14-LARGE(FILTER(I$4:I1673,I$4:I1673&lt;=W"&amp;"14),1))*INDEX(F$4:F1673,MATCH(LARGE(FILTER(I$4:I1673,I$4:I1673&lt;=W14),1),I$4:I1673))))"),0.0)</f>
        <v>0</v>
      </c>
      <c r="N14" s="60">
        <f t="shared" si="8"/>
        <v>0</v>
      </c>
      <c r="O14" s="61">
        <f t="shared" si="9"/>
        <v>0</v>
      </c>
      <c r="P14" s="56">
        <f t="shared" si="10"/>
        <v>2</v>
      </c>
      <c r="Q14" s="67" t="s">
        <v>4</v>
      </c>
      <c r="R14" s="10" t="b">
        <f>IFERROR(__xludf.DUMMYFUNCTION("IF(COUNTA(Q14:Q1673)=0,"""",IF(ISBLANK(Q14),FALSE,IF(NOT(COUNTIF($AA$24:$AA$34,SUBSTITUTE(Q14,""Sell_"",""""))),1,IF(REGEXMATCH(Q14,""Sell_""),IF(COUNTIF(Q$4:Q14,SUBSTITUTE(Q14,""Sell_"",""""))-COUNTIF(Q$4:Q13,Q14)&lt;1,1),FALSE))))"),FALSE)</f>
        <v>0</v>
      </c>
      <c r="S14" s="59">
        <f t="array" ref="S14">IF(COUNTA(Q14:Q1673)=0,"",SUM((COUNTIF(Q$4:Q14,Upgrades!$B$3:$B$13)-COUNTIF(Q$4:Q14,"Sell_"&amp;Upgrades!$B$3:$B$13))*Upgrades!$D$3:$D$13))</f>
        <v>17.4</v>
      </c>
      <c r="T14" s="66">
        <f>IFERROR(__xludf.DUMMYFUNCTION("IF(COUNTA(Q14:Q1673)=0,"""",IF(REGEXMATCH(INDEX(FILTER(Q$4:Q14,Q$4:Q14&lt;&gt;""""),ROWS(FILTER(Q$4:Q14,Q$4:Q14&lt;&gt;""""))),""^Sell_""),INDEX(FILTER(T$4:T13,Q$4:Q13&lt;&gt;""""),ROWS(FILTER(Q$4:Q13,Q$4:Q13&lt;&gt;""""))),$AD$5+S14))"),32.4)</f>
        <v>32.4</v>
      </c>
      <c r="U14" s="10">
        <f>IFERROR(__xludf.DUMMYFUNCTION("IF(COUNTA(Q14:Q1673)=0,"""",IF(Q14="""",0,IF(REGEXMATCH(Q14,""^Sell_""),-ROUNDDOWN(ROUNDUP(INDEX(Upgrades!$C$3:$C$13,MATCH(SUBSTITUTE(Q14,""Sell_"",""""),Upgrades!$B$3:$B$13,0))*1.15^(COUNTIF(Q$4:Q13,SUBSTITUTE(Q14,""Sell_"",""""))-COUNTIF(Q$4:Q13,""Sell_"&amp;"""&amp;SUBSTITUTE(Q14,""Sell_"",""""))))/2),ROUNDUP(INDEX(Upgrades!$C$3:$C$13,MATCH(Q14,Upgrades!$B$3:$B$13,0))*1.15^(COUNTIF(Q$4:Q13,Q14)-COUNTIF(Q$4:Q13,""Sell_""&amp;Q14))))))"),115.0)</f>
        <v>115</v>
      </c>
      <c r="V14" s="10">
        <f t="shared" si="11"/>
        <v>115</v>
      </c>
      <c r="W14" s="68">
        <f t="shared" si="12"/>
        <v>129.631683</v>
      </c>
      <c r="X14" s="59" t="str">
        <f t="shared" si="13"/>
        <v>2m 09s</v>
      </c>
      <c r="Y14" s="69">
        <f t="shared" si="14"/>
        <v>2789</v>
      </c>
      <c r="Z14" s="11"/>
      <c r="AA14" s="80" t="s">
        <v>48</v>
      </c>
      <c r="AB14" s="81"/>
      <c r="AC14" s="81"/>
      <c r="AD14" s="81"/>
      <c r="AE14" s="81"/>
      <c r="AF14" s="82"/>
    </row>
    <row r="15">
      <c r="A15" s="8"/>
      <c r="B15" s="56">
        <f t="shared" si="2"/>
        <v>5</v>
      </c>
      <c r="C15" s="57" t="s">
        <v>5</v>
      </c>
      <c r="D15" s="10" t="b">
        <f>IFERROR(__xludf.DUMMYFUNCTION("IF(COUNTA(C15:C1673)=0,"""",IF(ISBLANK(C15),FALSE,IF(NOT(COUNTIF($AA$24:$AA$34,SUBSTITUTE(C15,""Sell_"",""""))),1,IF(REGEXMATCH(C15,""Sell_""),IF(COUNTIF(C$4:C15,SUBSTITUTE(C15,""Sell_"",""""))-COUNTIF(C$4:C14,C15)&lt;1,1),FALSE))))"),FALSE)</f>
        <v>0</v>
      </c>
      <c r="E15" s="59">
        <f t="array" ref="E15">IF(COUNTA(C15:C1673)=0,"",SUM((COUNTIF(C$4:C15,Upgrades!$B$3:$B$13)-COUNTIF(C$4:C15,"Sell_"&amp;Upgrades!$B$3:$B$13))*Upgrades!$D$3:$D$13))</f>
        <v>21.4</v>
      </c>
      <c r="F15" s="66">
        <f>IFERROR(__xludf.DUMMYFUNCTION("IF(COUNTA(C15:C1673)=0,"""",IF(REGEXMATCH(INDEX(FILTER(C$4:C15,C$4:C15&lt;&gt;""""),ROWS(FILTER(C$4:C15,C$4:C15&lt;&gt;""""))),""^Sell_""),INDEX(FILTER(F$4:F14,C$4:C14&lt;&gt;""""),ROWS(FILTER(C$4:C14,C$4:C14&lt;&gt;""""))),$AC$5+E15))"),36.4)</f>
        <v>36.4</v>
      </c>
      <c r="G15" s="10">
        <f>IFERROR(__xludf.DUMMYFUNCTION("IF(COUNTA(C15:C1673)=0,"""",IF(C15="""",0,IF(REGEXMATCH(C15,""^Sell_""),-ROUNDDOWN(ROUNDUP(INDEX(Upgrades!$C$3:$C$13,MATCH(SUBSTITUTE(C15,""Sell_"",""""),Upgrades!$B$3:$B$13,0))*1.15^(COUNTIF(C$4:C14,SUBSTITUTE(C15,""Sell_"",""""))-COUNTIF(C$4:C14,""Sell_"&amp;"""&amp;SUBSTITUTE(C15,""Sell_"",""""))))/2),ROUNDUP(INDEX(Upgrades!$C$3:$C$13,MATCH(C15,Upgrades!$B$3:$B$13,0))*1.15^(COUNTIF(C$4:C14,C15)-COUNTIF(C$4:C14,""Sell_""&amp;C15))))))"),875.0)</f>
        <v>875</v>
      </c>
      <c r="H15" s="10">
        <f t="shared" si="3"/>
        <v>875</v>
      </c>
      <c r="I15" s="68">
        <f t="shared" si="4"/>
        <v>156.6378558</v>
      </c>
      <c r="J15" s="59" t="str">
        <f t="shared" si="5"/>
        <v>2m 36s</v>
      </c>
      <c r="K15" s="69">
        <f t="shared" si="6"/>
        <v>3664</v>
      </c>
      <c r="L15" s="60">
        <f t="shared" si="7"/>
        <v>0</v>
      </c>
      <c r="M15" s="61">
        <f>IFERROR(__xludf.DUMMYFUNCTION("IFS(AND(COUNTA(C15:C1673)=0,COUNTA(Q15:Q1673)=0),"""",OR(AND(K15&gt;=1000000000,OR(Y15&gt;=1000000000,COUNTA(Q15:Q1673)=0)),OR(Y15&gt;=1000000000,AND(COUNTA(C15:C1673)=0,P$3=TRUE))),
ROUNDDOWN((AB$1-AC$1)*MAX(INDEX(T$4:T1673,MATCH(LARGE(FILTER(Y$4:Y1673,Y$4:Y1673&lt;"&amp;"1000000000),1),Y$4:Y1673)),INDEX(F$4:F1673,MATCH(LARGE(FILTER(K$4:K1673,K$4:K1673&lt;1000000000),1),K$4:K1673)))),AND(K15&lt;1000000000,COUNTA(C15:C1673)&gt;0,P$3=FALSE),
ROUNDDOWN(INDEX(Y$4:Y1673,MATCH(LARGE(FILTER(W$4:W1673,W$4:W1673&lt;=I15),1),W$4:W1673))+(I15-LA"&amp;"RGE(FILTER(W$4:W1673,W$4:W1673&lt;=I15),1))*INDEX(T$4:T1673,MATCH(LARGE(FILTER(W$4:W1673,W$4:W1673&lt;=I15),1),W$4:W1673))-K15),1,
ROUNDDOWN(Y15-INDEX(K$4:K1673,MATCH(LARGE(FILTER(I$4:I1673,I$4:I1673&lt;=W15),1),I$4:I1673))-(W15-LARGE(FILTER(I$4:I1673,I$4:I1673&lt;=W"&amp;"15),1))*INDEX(F$4:F1673,MATCH(LARGE(FILTER(I$4:I1673,I$4:I1673&lt;=W15),1),I$4:I1673))))"),0.0)</f>
        <v>0</v>
      </c>
      <c r="N15" s="60">
        <f t="shared" si="8"/>
        <v>0</v>
      </c>
      <c r="O15" s="61">
        <f t="shared" si="9"/>
        <v>0</v>
      </c>
      <c r="P15" s="56">
        <f t="shared" si="10"/>
        <v>5</v>
      </c>
      <c r="Q15" s="67" t="s">
        <v>5</v>
      </c>
      <c r="R15" s="10" t="b">
        <f>IFERROR(__xludf.DUMMYFUNCTION("IF(COUNTA(Q15:Q1673)=0,"""",IF(ISBLANK(Q15),FALSE,IF(NOT(COUNTIF($AA$24:$AA$34,SUBSTITUTE(Q15,""Sell_"",""""))),1,IF(REGEXMATCH(Q15,""Sell_""),IF(COUNTIF(Q$4:Q15,SUBSTITUTE(Q15,""Sell_"",""""))-COUNTIF(Q$4:Q14,Q15)&lt;1,1),FALSE))))"),FALSE)</f>
        <v>0</v>
      </c>
      <c r="S15" s="59">
        <f t="array" ref="S15">IF(COUNTA(Q15:Q1673)=0,"",SUM((COUNTIF(Q$4:Q15,Upgrades!$B$3:$B$13)-COUNTIF(Q$4:Q15,"Sell_"&amp;Upgrades!$B$3:$B$13))*Upgrades!$D$3:$D$13))</f>
        <v>21.4</v>
      </c>
      <c r="T15" s="66">
        <f>IFERROR(__xludf.DUMMYFUNCTION("IF(COUNTA(Q15:Q1673)=0,"""",IF(REGEXMATCH(INDEX(FILTER(Q$4:Q15,Q$4:Q15&lt;&gt;""""),ROWS(FILTER(Q$4:Q15,Q$4:Q15&lt;&gt;""""))),""^Sell_""),INDEX(FILTER(T$4:T14,Q$4:Q14&lt;&gt;""""),ROWS(FILTER(Q$4:Q14,Q$4:Q14&lt;&gt;""""))),$AD$5+S15))"),36.4)</f>
        <v>36.4</v>
      </c>
      <c r="U15" s="10">
        <f>IFERROR(__xludf.DUMMYFUNCTION("IF(COUNTA(Q15:Q1673)=0,"""",IF(Q15="""",0,IF(REGEXMATCH(Q15,""^Sell_""),-ROUNDDOWN(ROUNDUP(INDEX(Upgrades!$C$3:$C$13,MATCH(SUBSTITUTE(Q15,""Sell_"",""""),Upgrades!$B$3:$B$13,0))*1.15^(COUNTIF(Q$4:Q14,SUBSTITUTE(Q15,""Sell_"",""""))-COUNTIF(Q$4:Q14,""Sell_"&amp;"""&amp;SUBSTITUTE(Q15,""Sell_"",""""))))/2),ROUNDUP(INDEX(Upgrades!$C$3:$C$13,MATCH(Q15,Upgrades!$B$3:$B$13,0))*1.15^(COUNTIF(Q$4:Q14,Q15)-COUNTIF(Q$4:Q14,""Sell_""&amp;Q15))))))"),875.0)</f>
        <v>875</v>
      </c>
      <c r="V15" s="10">
        <f t="shared" si="11"/>
        <v>875</v>
      </c>
      <c r="W15" s="68">
        <f t="shared" si="12"/>
        <v>156.6378558</v>
      </c>
      <c r="X15" s="59" t="str">
        <f t="shared" si="13"/>
        <v>2m 36s</v>
      </c>
      <c r="Y15" s="69">
        <f t="shared" si="14"/>
        <v>3664</v>
      </c>
      <c r="Z15" s="11"/>
      <c r="AA15" s="83" t="s">
        <v>49</v>
      </c>
      <c r="AB15" s="84"/>
      <c r="AC15" s="84"/>
      <c r="AD15" s="84"/>
      <c r="AE15" s="84"/>
      <c r="AF15" s="85"/>
    </row>
    <row r="16">
      <c r="A16" s="8"/>
      <c r="B16" s="56">
        <f t="shared" si="2"/>
        <v>3</v>
      </c>
      <c r="C16" s="57" t="s">
        <v>4</v>
      </c>
      <c r="D16" s="10" t="b">
        <f>IFERROR(__xludf.DUMMYFUNCTION("IF(COUNTA(C16:C1673)=0,"""",IF(ISBLANK(C16),FALSE,IF(NOT(COUNTIF($AA$24:$AA$34,SUBSTITUTE(C16,""Sell_"",""""))),1,IF(REGEXMATCH(C16,""Sell_""),IF(COUNTIF(C$4:C16,SUBSTITUTE(C16,""Sell_"",""""))-COUNTIF(C$4:C15,C16)&lt;1,1),FALSE))))"),FALSE)</f>
        <v>0</v>
      </c>
      <c r="E16" s="59">
        <f t="array" ref="E16">IF(COUNTA(C16:C1673)=0,"",SUM((COUNTIF(C$4:C16,Upgrades!$B$3:$B$13)-COUNTIF(C$4:C16,"Sell_"&amp;Upgrades!$B$3:$B$13))*Upgrades!$D$3:$D$13))</f>
        <v>21.9</v>
      </c>
      <c r="F16" s="66">
        <f>IFERROR(__xludf.DUMMYFUNCTION("IF(COUNTA(C16:C1673)=0,"""",IF(REGEXMATCH(INDEX(FILTER(C$4:C16,C$4:C16&lt;&gt;""""),ROWS(FILTER(C$4:C16,C$4:C16&lt;&gt;""""))),""^Sell_""),INDEX(FILTER(F$4:F15,C$4:C15&lt;&gt;""""),ROWS(FILTER(C$4:C15,C$4:C15&lt;&gt;""""))),$AC$5+E16))"),36.9)</f>
        <v>36.9</v>
      </c>
      <c r="G16" s="10">
        <f>IFERROR(__xludf.DUMMYFUNCTION("IF(COUNTA(C16:C1673)=0,"""",IF(C16="""",0,IF(REGEXMATCH(C16,""^Sell_""),-ROUNDDOWN(ROUNDUP(INDEX(Upgrades!$C$3:$C$13,MATCH(SUBSTITUTE(C16,""Sell_"",""""),Upgrades!$B$3:$B$13,0))*1.15^(COUNTIF(C$4:C15,SUBSTITUTE(C16,""Sell_"",""""))-COUNTIF(C$4:C15,""Sell_"&amp;"""&amp;SUBSTITUTE(C16,""Sell_"",""""))))/2),ROUNDUP(INDEX(Upgrades!$C$3:$C$13,MATCH(C16,Upgrades!$B$3:$B$13,0))*1.15^(COUNTIF(C$4:C15,C16)-COUNTIF(C$4:C15,""Sell_""&amp;C16))))))"),133.0)</f>
        <v>133</v>
      </c>
      <c r="H16" s="10">
        <f t="shared" si="3"/>
        <v>133</v>
      </c>
      <c r="I16" s="68">
        <f t="shared" si="4"/>
        <v>160.291702</v>
      </c>
      <c r="J16" s="59" t="str">
        <f t="shared" si="5"/>
        <v>2m 40s</v>
      </c>
      <c r="K16" s="69">
        <f t="shared" si="6"/>
        <v>3797</v>
      </c>
      <c r="L16" s="60">
        <f t="shared" si="7"/>
        <v>0</v>
      </c>
      <c r="M16" s="61">
        <f>IFERROR(__xludf.DUMMYFUNCTION("IFS(AND(COUNTA(C16:C1673)=0,COUNTA(Q16:Q1673)=0),"""",OR(AND(K16&gt;=1000000000,OR(Y16&gt;=1000000000,COUNTA(Q16:Q1673)=0)),OR(Y16&gt;=1000000000,AND(COUNTA(C16:C1673)=0,P$3=TRUE))),
ROUNDDOWN((AB$1-AC$1)*MAX(INDEX(T$4:T1673,MATCH(LARGE(FILTER(Y$4:Y1673,Y$4:Y1673&lt;"&amp;"1000000000),1),Y$4:Y1673)),INDEX(F$4:F1673,MATCH(LARGE(FILTER(K$4:K1673,K$4:K1673&lt;1000000000),1),K$4:K1673)))),AND(K16&lt;1000000000,COUNTA(C16:C1673)&gt;0,P$3=FALSE),
ROUNDDOWN(INDEX(Y$4:Y1673,MATCH(LARGE(FILTER(W$4:W1673,W$4:W1673&lt;=I16),1),W$4:W1673))+(I16-LA"&amp;"RGE(FILTER(W$4:W1673,W$4:W1673&lt;=I16),1))*INDEX(T$4:T1673,MATCH(LARGE(FILTER(W$4:W1673,W$4:W1673&lt;=I16),1),W$4:W1673))-K16),1,
ROUNDDOWN(Y16-INDEX(K$4:K1673,MATCH(LARGE(FILTER(I$4:I1673,I$4:I1673&lt;=W16),1),I$4:I1673))-(W16-LARGE(FILTER(I$4:I1673,I$4:I1673&lt;=W"&amp;"16),1))*INDEX(F$4:F1673,MATCH(LARGE(FILTER(I$4:I1673,I$4:I1673&lt;=W16),1),I$4:I1673))))"),0.0)</f>
        <v>0</v>
      </c>
      <c r="N16" s="60">
        <f t="shared" si="8"/>
        <v>0</v>
      </c>
      <c r="O16" s="61">
        <f t="shared" si="9"/>
        <v>0</v>
      </c>
      <c r="P16" s="56">
        <f t="shared" si="10"/>
        <v>3</v>
      </c>
      <c r="Q16" s="67" t="s">
        <v>4</v>
      </c>
      <c r="R16" s="10" t="b">
        <f>IFERROR(__xludf.DUMMYFUNCTION("IF(COUNTA(Q16:Q1673)=0,"""",IF(ISBLANK(Q16),FALSE,IF(NOT(COUNTIF($AA$24:$AA$34,SUBSTITUTE(Q16,""Sell_"",""""))),1,IF(REGEXMATCH(Q16,""Sell_""),IF(COUNTIF(Q$4:Q16,SUBSTITUTE(Q16,""Sell_"",""""))-COUNTIF(Q$4:Q15,Q16)&lt;1,1),FALSE))))"),FALSE)</f>
        <v>0</v>
      </c>
      <c r="S16" s="59">
        <f t="array" ref="S16">IF(COUNTA(Q16:Q1673)=0,"",SUM((COUNTIF(Q$4:Q16,Upgrades!$B$3:$B$13)-COUNTIF(Q$4:Q16,"Sell_"&amp;Upgrades!$B$3:$B$13))*Upgrades!$D$3:$D$13))</f>
        <v>21.9</v>
      </c>
      <c r="T16" s="66">
        <f>IFERROR(__xludf.DUMMYFUNCTION("IF(COUNTA(Q16:Q1673)=0,"""",IF(REGEXMATCH(INDEX(FILTER(Q$4:Q16,Q$4:Q16&lt;&gt;""""),ROWS(FILTER(Q$4:Q16,Q$4:Q16&lt;&gt;""""))),""^Sell_""),INDEX(FILTER(T$4:T15,Q$4:Q15&lt;&gt;""""),ROWS(FILTER(Q$4:Q15,Q$4:Q15&lt;&gt;""""))),$AD$5+S16))"),36.9)</f>
        <v>36.9</v>
      </c>
      <c r="U16" s="10">
        <f>IFERROR(__xludf.DUMMYFUNCTION("IF(COUNTA(Q16:Q1673)=0,"""",IF(Q16="""",0,IF(REGEXMATCH(Q16,""^Sell_""),-ROUNDDOWN(ROUNDUP(INDEX(Upgrades!$C$3:$C$13,MATCH(SUBSTITUTE(Q16,""Sell_"",""""),Upgrades!$B$3:$B$13,0))*1.15^(COUNTIF(Q$4:Q15,SUBSTITUTE(Q16,""Sell_"",""""))-COUNTIF(Q$4:Q15,""Sell_"&amp;"""&amp;SUBSTITUTE(Q16,""Sell_"",""""))))/2),ROUNDUP(INDEX(Upgrades!$C$3:$C$13,MATCH(Q16,Upgrades!$B$3:$B$13,0))*1.15^(COUNTIF(Q$4:Q15,Q16)-COUNTIF(Q$4:Q15,""Sell_""&amp;Q16))))))"),133.0)</f>
        <v>133</v>
      </c>
      <c r="V16" s="10">
        <f t="shared" si="11"/>
        <v>133</v>
      </c>
      <c r="W16" s="68">
        <f t="shared" si="12"/>
        <v>160.291702</v>
      </c>
      <c r="X16" s="59" t="str">
        <f t="shared" si="13"/>
        <v>2m 40s</v>
      </c>
      <c r="Y16" s="69">
        <f t="shared" si="14"/>
        <v>3797</v>
      </c>
      <c r="Z16" s="11"/>
      <c r="AA16" s="86" t="s">
        <v>50</v>
      </c>
      <c r="AB16" s="87"/>
      <c r="AC16" s="87"/>
      <c r="AD16" s="87"/>
      <c r="AE16" s="87"/>
      <c r="AF16" s="88"/>
    </row>
    <row r="17">
      <c r="A17" s="8"/>
      <c r="B17" s="56">
        <f t="shared" si="2"/>
        <v>5</v>
      </c>
      <c r="C17" s="57" t="s">
        <v>3</v>
      </c>
      <c r="D17" s="10" t="b">
        <f>IFERROR(__xludf.DUMMYFUNCTION("IF(COUNTA(C17:C1673)=0,"""",IF(ISBLANK(C17),FALSE,IF(NOT(COUNTIF($AA$24:$AA$34,SUBSTITUTE(C17,""Sell_"",""""))),1,IF(REGEXMATCH(C17,""Sell_""),IF(COUNTIF(C$4:C17,SUBSTITUTE(C17,""Sell_"",""""))-COUNTIF(C$4:C16,C17)&lt;1,1),FALSE))))"),FALSE)</f>
        <v>0</v>
      </c>
      <c r="E17" s="59">
        <f t="array" ref="E17">IF(COUNTA(C17:C1673)=0,"",SUM((COUNTIF(C$4:C17,Upgrades!$B$3:$B$13)-COUNTIF(C$4:C17,"Sell_"&amp;Upgrades!$B$3:$B$13))*Upgrades!$D$3:$D$13))</f>
        <v>22</v>
      </c>
      <c r="F17" s="66">
        <f>IFERROR(__xludf.DUMMYFUNCTION("IF(COUNTA(C17:C1673)=0,"""",IF(REGEXMATCH(INDEX(FILTER(C$4:C17,C$4:C17&lt;&gt;""""),ROWS(FILTER(C$4:C17,C$4:C17&lt;&gt;""""))),""^Sell_""),INDEX(FILTER(F$4:F16,C$4:C16&lt;&gt;""""),ROWS(FILTER(C$4:C16,C$4:C16&lt;&gt;""""))),$AC$5+E17))"),37.0)</f>
        <v>37</v>
      </c>
      <c r="G17" s="10">
        <f>IFERROR(__xludf.DUMMYFUNCTION("IF(COUNTA(C17:C1673)=0,"""",IF(C17="""",0,IF(REGEXMATCH(C17,""^Sell_""),-ROUNDDOWN(ROUNDUP(INDEX(Upgrades!$C$3:$C$13,MATCH(SUBSTITUTE(C17,""Sell_"",""""),Upgrades!$B$3:$B$13,0))*1.15^(COUNTIF(C$4:C16,SUBSTITUTE(C17,""Sell_"",""""))-COUNTIF(C$4:C16,""Sell_"&amp;"""&amp;SUBSTITUTE(C17,""Sell_"",""""))))/2),ROUNDUP(INDEX(Upgrades!$C$3:$C$13,MATCH(C17,Upgrades!$B$3:$B$13,0))*1.15^(COUNTIF(C$4:C16,C17)-COUNTIF(C$4:C16,""Sell_""&amp;C17))))))"),27.0)</f>
        <v>27</v>
      </c>
      <c r="H17" s="10">
        <f t="shared" si="3"/>
        <v>27</v>
      </c>
      <c r="I17" s="68">
        <f t="shared" si="4"/>
        <v>161.0234093</v>
      </c>
      <c r="J17" s="59" t="str">
        <f t="shared" si="5"/>
        <v>2m 41s</v>
      </c>
      <c r="K17" s="69">
        <f t="shared" si="6"/>
        <v>3824</v>
      </c>
      <c r="L17" s="60">
        <f t="shared" si="7"/>
        <v>0</v>
      </c>
      <c r="M17" s="61">
        <f>IFERROR(__xludf.DUMMYFUNCTION("IFS(AND(COUNTA(C17:C1673)=0,COUNTA(Q17:Q1673)=0),"""",OR(AND(K17&gt;=1000000000,OR(Y17&gt;=1000000000,COUNTA(Q17:Q1673)=0)),OR(Y17&gt;=1000000000,AND(COUNTA(C17:C1673)=0,P$3=TRUE))),
ROUNDDOWN((AB$1-AC$1)*MAX(INDEX(T$4:T1673,MATCH(LARGE(FILTER(Y$4:Y1673,Y$4:Y1673&lt;"&amp;"1000000000),1),Y$4:Y1673)),INDEX(F$4:F1673,MATCH(LARGE(FILTER(K$4:K1673,K$4:K1673&lt;1000000000),1),K$4:K1673)))),AND(K17&lt;1000000000,COUNTA(C17:C1673)&gt;0,P$3=FALSE),
ROUNDDOWN(INDEX(Y$4:Y1673,MATCH(LARGE(FILTER(W$4:W1673,W$4:W1673&lt;=I17),1),W$4:W1673))+(I17-LA"&amp;"RGE(FILTER(W$4:W1673,W$4:W1673&lt;=I17),1))*INDEX(T$4:T1673,MATCH(LARGE(FILTER(W$4:W1673,W$4:W1673&lt;=I17),1),W$4:W1673))-K17),1,
ROUNDDOWN(Y17-INDEX(K$4:K1673,MATCH(LARGE(FILTER(I$4:I1673,I$4:I1673&lt;=W17),1),I$4:I1673))-(W17-LARGE(FILTER(I$4:I1673,I$4:I1673&lt;=W"&amp;"17),1))*INDEX(F$4:F1673,MATCH(LARGE(FILTER(I$4:I1673,I$4:I1673&lt;=W17),1),I$4:I1673))))"),0.0)</f>
        <v>0</v>
      </c>
      <c r="N17" s="60">
        <f t="shared" si="8"/>
        <v>0</v>
      </c>
      <c r="O17" s="61">
        <f t="shared" si="9"/>
        <v>0</v>
      </c>
      <c r="P17" s="56">
        <f t="shared" si="10"/>
        <v>5</v>
      </c>
      <c r="Q17" s="67" t="s">
        <v>3</v>
      </c>
      <c r="R17" s="10" t="b">
        <f>IFERROR(__xludf.DUMMYFUNCTION("IF(COUNTA(Q17:Q1673)=0,"""",IF(ISBLANK(Q17),FALSE,IF(NOT(COUNTIF($AA$24:$AA$34,SUBSTITUTE(Q17,""Sell_"",""""))),1,IF(REGEXMATCH(Q17,""Sell_""),IF(COUNTIF(Q$4:Q17,SUBSTITUTE(Q17,""Sell_"",""""))-COUNTIF(Q$4:Q16,Q17)&lt;1,1),FALSE))))"),FALSE)</f>
        <v>0</v>
      </c>
      <c r="S17" s="59">
        <f t="array" ref="S17">IF(COUNTA(Q17:Q1673)=0,"",SUM((COUNTIF(Q$4:Q17,Upgrades!$B$3:$B$13)-COUNTIF(Q$4:Q17,"Sell_"&amp;Upgrades!$B$3:$B$13))*Upgrades!$D$3:$D$13))</f>
        <v>22</v>
      </c>
      <c r="T17" s="66">
        <f>IFERROR(__xludf.DUMMYFUNCTION("IF(COUNTA(Q17:Q1673)=0,"""",IF(REGEXMATCH(INDEX(FILTER(Q$4:Q17,Q$4:Q17&lt;&gt;""""),ROWS(FILTER(Q$4:Q17,Q$4:Q17&lt;&gt;""""))),""^Sell_""),INDEX(FILTER(T$4:T16,Q$4:Q16&lt;&gt;""""),ROWS(FILTER(Q$4:Q16,Q$4:Q16&lt;&gt;""""))),$AD$5+S17))"),37.0)</f>
        <v>37</v>
      </c>
      <c r="U17" s="10">
        <f>IFERROR(__xludf.DUMMYFUNCTION("IF(COUNTA(Q17:Q1673)=0,"""",IF(Q17="""",0,IF(REGEXMATCH(Q17,""^Sell_""),-ROUNDDOWN(ROUNDUP(INDEX(Upgrades!$C$3:$C$13,MATCH(SUBSTITUTE(Q17,""Sell_"",""""),Upgrades!$B$3:$B$13,0))*1.15^(COUNTIF(Q$4:Q16,SUBSTITUTE(Q17,""Sell_"",""""))-COUNTIF(Q$4:Q16,""Sell_"&amp;"""&amp;SUBSTITUTE(Q17,""Sell_"",""""))))/2),ROUNDUP(INDEX(Upgrades!$C$3:$C$13,MATCH(Q17,Upgrades!$B$3:$B$13,0))*1.15^(COUNTIF(Q$4:Q16,Q17)-COUNTIF(Q$4:Q16,""Sell_""&amp;Q17))))))"),27.0)</f>
        <v>27</v>
      </c>
      <c r="V17" s="10">
        <f t="shared" si="11"/>
        <v>27</v>
      </c>
      <c r="W17" s="68">
        <f t="shared" si="12"/>
        <v>161.0234093</v>
      </c>
      <c r="X17" s="59" t="str">
        <f t="shared" si="13"/>
        <v>2m 41s</v>
      </c>
      <c r="Y17" s="69">
        <f t="shared" si="14"/>
        <v>3824</v>
      </c>
      <c r="Z17" s="11"/>
    </row>
    <row r="18">
      <c r="A18" s="8"/>
      <c r="B18" s="56">
        <f t="shared" si="2"/>
        <v>6</v>
      </c>
      <c r="C18" s="57" t="s">
        <v>5</v>
      </c>
      <c r="D18" s="10" t="b">
        <f>IFERROR(__xludf.DUMMYFUNCTION("IF(COUNTA(C18:C1673)=0,"""",IF(ISBLANK(C18),FALSE,IF(NOT(COUNTIF($AA$24:$AA$34,SUBSTITUTE(C18,""Sell_"",""""))),1,IF(REGEXMATCH(C18,""Sell_""),IF(COUNTIF(C$4:C18,SUBSTITUTE(C18,""Sell_"",""""))-COUNTIF(C$4:C17,C18)&lt;1,1),FALSE))))"),FALSE)</f>
        <v>0</v>
      </c>
      <c r="E18" s="59">
        <f t="array" ref="E18">IF(COUNTA(C18:C1673)=0,"",SUM((COUNTIF(C$4:C18,Upgrades!$B$3:$B$13)-COUNTIF(C$4:C18,"Sell_"&amp;Upgrades!$B$3:$B$13))*Upgrades!$D$3:$D$13))</f>
        <v>26</v>
      </c>
      <c r="F18" s="66">
        <f>IFERROR(__xludf.DUMMYFUNCTION("IF(COUNTA(C18:C1673)=0,"""",IF(REGEXMATCH(INDEX(FILTER(C$4:C18,C$4:C18&lt;&gt;""""),ROWS(FILTER(C$4:C18,C$4:C18&lt;&gt;""""))),""^Sell_""),INDEX(FILTER(F$4:F17,C$4:C17&lt;&gt;""""),ROWS(FILTER(C$4:C17,C$4:C17&lt;&gt;""""))),$AC$5+E18))"),41.0)</f>
        <v>41</v>
      </c>
      <c r="G18" s="10">
        <f>IFERROR(__xludf.DUMMYFUNCTION("IF(COUNTA(C18:C1673)=0,"""",IF(C18="""",0,IF(REGEXMATCH(C18,""^Sell_""),-ROUNDDOWN(ROUNDUP(INDEX(Upgrades!$C$3:$C$13,MATCH(SUBSTITUTE(C18,""Sell_"",""""),Upgrades!$B$3:$B$13,0))*1.15^(COUNTIF(C$4:C17,SUBSTITUTE(C18,""Sell_"",""""))-COUNTIF(C$4:C17,""Sell_"&amp;"""&amp;SUBSTITUTE(C18,""Sell_"",""""))))/2),ROUNDUP(INDEX(Upgrades!$C$3:$C$13,MATCH(C18,Upgrades!$B$3:$B$13,0))*1.15^(COUNTIF(C$4:C17,C18)-COUNTIF(C$4:C17,""Sell_""&amp;C18))))))"),1006.0)</f>
        <v>1006</v>
      </c>
      <c r="H18" s="10">
        <f t="shared" si="3"/>
        <v>1006</v>
      </c>
      <c r="I18" s="68">
        <f t="shared" si="4"/>
        <v>188.2125985</v>
      </c>
      <c r="J18" s="59" t="str">
        <f t="shared" si="5"/>
        <v>3m 08s</v>
      </c>
      <c r="K18" s="69">
        <f t="shared" si="6"/>
        <v>4830</v>
      </c>
      <c r="L18" s="60">
        <f t="shared" si="7"/>
        <v>0</v>
      </c>
      <c r="M18" s="61">
        <f>IFERROR(__xludf.DUMMYFUNCTION("IFS(AND(COUNTA(C18:C1673)=0,COUNTA(Q18:Q1673)=0),"""",OR(AND(K18&gt;=1000000000,OR(Y18&gt;=1000000000,COUNTA(Q18:Q1673)=0)),OR(Y18&gt;=1000000000,AND(COUNTA(C18:C1673)=0,P$3=TRUE))),
ROUNDDOWN((AB$1-AC$1)*MAX(INDEX(T$4:T1673,MATCH(LARGE(FILTER(Y$4:Y1673,Y$4:Y1673&lt;"&amp;"1000000000),1),Y$4:Y1673)),INDEX(F$4:F1673,MATCH(LARGE(FILTER(K$4:K1673,K$4:K1673&lt;1000000000),1),K$4:K1673)))),AND(K18&lt;1000000000,COUNTA(C18:C1673)&gt;0,P$3=FALSE),
ROUNDDOWN(INDEX(Y$4:Y1673,MATCH(LARGE(FILTER(W$4:W1673,W$4:W1673&lt;=I18),1),W$4:W1673))+(I18-LA"&amp;"RGE(FILTER(W$4:W1673,W$4:W1673&lt;=I18),1))*INDEX(T$4:T1673,MATCH(LARGE(FILTER(W$4:W1673,W$4:W1673&lt;=I18),1),W$4:W1673))-K18),1,
ROUNDDOWN(Y18-INDEX(K$4:K1673,MATCH(LARGE(FILTER(I$4:I1673,I$4:I1673&lt;=W18),1),I$4:I1673))-(W18-LARGE(FILTER(I$4:I1673,I$4:I1673&lt;=W"&amp;"18),1))*INDEX(F$4:F1673,MATCH(LARGE(FILTER(I$4:I1673,I$4:I1673&lt;=W18),1),I$4:I1673))))"),0.0)</f>
        <v>0</v>
      </c>
      <c r="N18" s="60">
        <f t="shared" si="8"/>
        <v>0</v>
      </c>
      <c r="O18" s="61">
        <f t="shared" si="9"/>
        <v>0</v>
      </c>
      <c r="P18" s="56">
        <f t="shared" si="10"/>
        <v>6</v>
      </c>
      <c r="Q18" s="67" t="s">
        <v>5</v>
      </c>
      <c r="R18" s="10" t="b">
        <f>IFERROR(__xludf.DUMMYFUNCTION("IF(COUNTA(Q18:Q1673)=0,"""",IF(ISBLANK(Q18),FALSE,IF(NOT(COUNTIF($AA$24:$AA$34,SUBSTITUTE(Q18,""Sell_"",""""))),1,IF(REGEXMATCH(Q18,""Sell_""),IF(COUNTIF(Q$4:Q18,SUBSTITUTE(Q18,""Sell_"",""""))-COUNTIF(Q$4:Q17,Q18)&lt;1,1),FALSE))))"),FALSE)</f>
        <v>0</v>
      </c>
      <c r="S18" s="59">
        <f t="array" ref="S18">IF(COUNTA(Q18:Q1673)=0,"",SUM((COUNTIF(Q$4:Q18,Upgrades!$B$3:$B$13)-COUNTIF(Q$4:Q18,"Sell_"&amp;Upgrades!$B$3:$B$13))*Upgrades!$D$3:$D$13))</f>
        <v>26</v>
      </c>
      <c r="T18" s="66">
        <f>IFERROR(__xludf.DUMMYFUNCTION("IF(COUNTA(Q18:Q1673)=0,"""",IF(REGEXMATCH(INDEX(FILTER(Q$4:Q18,Q$4:Q18&lt;&gt;""""),ROWS(FILTER(Q$4:Q18,Q$4:Q18&lt;&gt;""""))),""^Sell_""),INDEX(FILTER(T$4:T17,Q$4:Q17&lt;&gt;""""),ROWS(FILTER(Q$4:Q17,Q$4:Q17&lt;&gt;""""))),$AD$5+S18))"),41.0)</f>
        <v>41</v>
      </c>
      <c r="U18" s="10">
        <f>IFERROR(__xludf.DUMMYFUNCTION("IF(COUNTA(Q18:Q1673)=0,"""",IF(Q18="""",0,IF(REGEXMATCH(Q18,""^Sell_""),-ROUNDDOWN(ROUNDUP(INDEX(Upgrades!$C$3:$C$13,MATCH(SUBSTITUTE(Q18,""Sell_"",""""),Upgrades!$B$3:$B$13,0))*1.15^(COUNTIF(Q$4:Q17,SUBSTITUTE(Q18,""Sell_"",""""))-COUNTIF(Q$4:Q17,""Sell_"&amp;"""&amp;SUBSTITUTE(Q18,""Sell_"",""""))))/2),ROUNDUP(INDEX(Upgrades!$C$3:$C$13,MATCH(Q18,Upgrades!$B$3:$B$13,0))*1.15^(COUNTIF(Q$4:Q17,Q18)-COUNTIF(Q$4:Q17,""Sell_""&amp;Q18))))))"),1006.0)</f>
        <v>1006</v>
      </c>
      <c r="V18" s="10">
        <f t="shared" si="11"/>
        <v>1006</v>
      </c>
      <c r="W18" s="68">
        <f t="shared" si="12"/>
        <v>188.2125985</v>
      </c>
      <c r="X18" s="59" t="str">
        <f t="shared" si="13"/>
        <v>3m 08s</v>
      </c>
      <c r="Y18" s="69">
        <f t="shared" si="14"/>
        <v>4830</v>
      </c>
      <c r="Z18" s="11"/>
      <c r="AA18" s="89" t="s">
        <v>51</v>
      </c>
      <c r="AB18" s="90"/>
      <c r="AC18" s="90"/>
      <c r="AD18" s="90"/>
      <c r="AE18" s="90"/>
      <c r="AF18" s="91"/>
    </row>
    <row r="19">
      <c r="A19" s="8"/>
      <c r="B19" s="56">
        <f t="shared" si="2"/>
        <v>4</v>
      </c>
      <c r="C19" s="57" t="s">
        <v>4</v>
      </c>
      <c r="D19" s="10" t="b">
        <f>IFERROR(__xludf.DUMMYFUNCTION("IF(COUNTA(C19:C1673)=0,"""",IF(ISBLANK(C19),FALSE,IF(NOT(COUNTIF($AA$24:$AA$34,SUBSTITUTE(C19,""Sell_"",""""))),1,IF(REGEXMATCH(C19,""Sell_""),IF(COUNTIF(C$4:C19,SUBSTITUTE(C19,""Sell_"",""""))-COUNTIF(C$4:C18,C19)&lt;1,1),FALSE))))"),FALSE)</f>
        <v>0</v>
      </c>
      <c r="E19" s="59">
        <f t="array" ref="E19">IF(COUNTA(C19:C1673)=0,"",SUM((COUNTIF(C$4:C19,Upgrades!$B$3:$B$13)-COUNTIF(C$4:C19,"Sell_"&amp;Upgrades!$B$3:$B$13))*Upgrades!$D$3:$D$13))</f>
        <v>26.5</v>
      </c>
      <c r="F19" s="66">
        <f>IFERROR(__xludf.DUMMYFUNCTION("IF(COUNTA(C19:C1673)=0,"""",IF(REGEXMATCH(INDEX(FILTER(C$4:C19,C$4:C19&lt;&gt;""""),ROWS(FILTER(C$4:C19,C$4:C19&lt;&gt;""""))),""^Sell_""),INDEX(FILTER(F$4:F18,C$4:C18&lt;&gt;""""),ROWS(FILTER(C$4:C18,C$4:C18&lt;&gt;""""))),$AC$5+E19))"),41.5)</f>
        <v>41.5</v>
      </c>
      <c r="G19" s="10">
        <f>IFERROR(__xludf.DUMMYFUNCTION("IF(COUNTA(C19:C1673)=0,"""",IF(C19="""",0,IF(REGEXMATCH(C19,""^Sell_""),-ROUNDDOWN(ROUNDUP(INDEX(Upgrades!$C$3:$C$13,MATCH(SUBSTITUTE(C19,""Sell_"",""""),Upgrades!$B$3:$B$13,0))*1.15^(COUNTIF(C$4:C18,SUBSTITUTE(C19,""Sell_"",""""))-COUNTIF(C$4:C18,""Sell_"&amp;"""&amp;SUBSTITUTE(C19,""Sell_"",""""))))/2),ROUNDUP(INDEX(Upgrades!$C$3:$C$13,MATCH(C19,Upgrades!$B$3:$B$13,0))*1.15^(COUNTIF(C$4:C18,C19)-COUNTIF(C$4:C18,""Sell_""&amp;C19))))))"),153.0)</f>
        <v>153</v>
      </c>
      <c r="H19" s="10">
        <f t="shared" si="3"/>
        <v>153</v>
      </c>
      <c r="I19" s="68">
        <f t="shared" si="4"/>
        <v>191.9443058</v>
      </c>
      <c r="J19" s="59" t="str">
        <f t="shared" si="5"/>
        <v>3m 11s</v>
      </c>
      <c r="K19" s="69">
        <f t="shared" si="6"/>
        <v>4983</v>
      </c>
      <c r="L19" s="60">
        <f t="shared" si="7"/>
        <v>0</v>
      </c>
      <c r="M19" s="61">
        <f>IFERROR(__xludf.DUMMYFUNCTION("IFS(AND(COUNTA(C19:C1673)=0,COUNTA(Q19:Q1673)=0),"""",OR(AND(K19&gt;=1000000000,OR(Y19&gt;=1000000000,COUNTA(Q19:Q1673)=0)),OR(Y19&gt;=1000000000,AND(COUNTA(C19:C1673)=0,P$3=TRUE))),
ROUNDDOWN((AB$1-AC$1)*MAX(INDEX(T$4:T1673,MATCH(LARGE(FILTER(Y$4:Y1673,Y$4:Y1673&lt;"&amp;"1000000000),1),Y$4:Y1673)),INDEX(F$4:F1673,MATCH(LARGE(FILTER(K$4:K1673,K$4:K1673&lt;1000000000),1),K$4:K1673)))),AND(K19&lt;1000000000,COUNTA(C19:C1673)&gt;0,P$3=FALSE),
ROUNDDOWN(INDEX(Y$4:Y1673,MATCH(LARGE(FILTER(W$4:W1673,W$4:W1673&lt;=I19),1),W$4:W1673))+(I19-LA"&amp;"RGE(FILTER(W$4:W1673,W$4:W1673&lt;=I19),1))*INDEX(T$4:T1673,MATCH(LARGE(FILTER(W$4:W1673,W$4:W1673&lt;=I19),1),W$4:W1673))-K19),1,
ROUNDDOWN(Y19-INDEX(K$4:K1673,MATCH(LARGE(FILTER(I$4:I1673,I$4:I1673&lt;=W19),1),I$4:I1673))-(W19-LARGE(FILTER(I$4:I1673,I$4:I1673&lt;=W"&amp;"19),1))*INDEX(F$4:F1673,MATCH(LARGE(FILTER(I$4:I1673,I$4:I1673&lt;=W19),1),I$4:I1673))))"),0.0)</f>
        <v>0</v>
      </c>
      <c r="N19" s="60">
        <f t="shared" si="8"/>
        <v>0</v>
      </c>
      <c r="O19" s="61">
        <f t="shared" si="9"/>
        <v>0</v>
      </c>
      <c r="P19" s="56">
        <f t="shared" si="10"/>
        <v>4</v>
      </c>
      <c r="Q19" s="67" t="s">
        <v>4</v>
      </c>
      <c r="R19" s="10" t="b">
        <f>IFERROR(__xludf.DUMMYFUNCTION("IF(COUNTA(Q19:Q1673)=0,"""",IF(ISBLANK(Q19),FALSE,IF(NOT(COUNTIF($AA$24:$AA$34,SUBSTITUTE(Q19,""Sell_"",""""))),1,IF(REGEXMATCH(Q19,""Sell_""),IF(COUNTIF(Q$4:Q19,SUBSTITUTE(Q19,""Sell_"",""""))-COUNTIF(Q$4:Q18,Q19)&lt;1,1),FALSE))))"),FALSE)</f>
        <v>0</v>
      </c>
      <c r="S19" s="59">
        <f t="array" ref="S19">IF(COUNTA(Q19:Q1673)=0,"",SUM((COUNTIF(Q$4:Q19,Upgrades!$B$3:$B$13)-COUNTIF(Q$4:Q19,"Sell_"&amp;Upgrades!$B$3:$B$13))*Upgrades!$D$3:$D$13))</f>
        <v>26.5</v>
      </c>
      <c r="T19" s="66">
        <f>IFERROR(__xludf.DUMMYFUNCTION("IF(COUNTA(Q19:Q1673)=0,"""",IF(REGEXMATCH(INDEX(FILTER(Q$4:Q19,Q$4:Q19&lt;&gt;""""),ROWS(FILTER(Q$4:Q19,Q$4:Q19&lt;&gt;""""))),""^Sell_""),INDEX(FILTER(T$4:T18,Q$4:Q18&lt;&gt;""""),ROWS(FILTER(Q$4:Q18,Q$4:Q18&lt;&gt;""""))),$AD$5+S19))"),41.5)</f>
        <v>41.5</v>
      </c>
      <c r="U19" s="10">
        <f>IFERROR(__xludf.DUMMYFUNCTION("IF(COUNTA(Q19:Q1673)=0,"""",IF(Q19="""",0,IF(REGEXMATCH(Q19,""^Sell_""),-ROUNDDOWN(ROUNDUP(INDEX(Upgrades!$C$3:$C$13,MATCH(SUBSTITUTE(Q19,""Sell_"",""""),Upgrades!$B$3:$B$13,0))*1.15^(COUNTIF(Q$4:Q18,SUBSTITUTE(Q19,""Sell_"",""""))-COUNTIF(Q$4:Q18,""Sell_"&amp;"""&amp;SUBSTITUTE(Q19,""Sell_"",""""))))/2),ROUNDUP(INDEX(Upgrades!$C$3:$C$13,MATCH(Q19,Upgrades!$B$3:$B$13,0))*1.15^(COUNTIF(Q$4:Q18,Q19)-COUNTIF(Q$4:Q18,""Sell_""&amp;Q19))))))"),153.0)</f>
        <v>153</v>
      </c>
      <c r="V19" s="10">
        <f t="shared" si="11"/>
        <v>153</v>
      </c>
      <c r="W19" s="68">
        <f t="shared" si="12"/>
        <v>191.9443058</v>
      </c>
      <c r="X19" s="59" t="str">
        <f t="shared" si="13"/>
        <v>3m 11s</v>
      </c>
      <c r="Y19" s="69">
        <f t="shared" si="14"/>
        <v>4983</v>
      </c>
      <c r="Z19" s="11"/>
      <c r="AA19" s="86" t="s">
        <v>52</v>
      </c>
      <c r="AB19" s="87"/>
      <c r="AC19" s="87"/>
      <c r="AD19" s="87"/>
      <c r="AE19" s="87"/>
      <c r="AF19" s="88"/>
    </row>
    <row r="20">
      <c r="A20" s="8"/>
      <c r="B20" s="56">
        <f t="shared" si="2"/>
        <v>6</v>
      </c>
      <c r="C20" s="57" t="s">
        <v>3</v>
      </c>
      <c r="D20" s="10" t="b">
        <f>IFERROR(__xludf.DUMMYFUNCTION("IF(COUNTA(C20:C1673)=0,"""",IF(ISBLANK(C20),FALSE,IF(NOT(COUNTIF($AA$24:$AA$34,SUBSTITUTE(C20,""Sell_"",""""))),1,IF(REGEXMATCH(C20,""Sell_""),IF(COUNTIF(C$4:C20,SUBSTITUTE(C20,""Sell_"",""""))-COUNTIF(C$4:C19,C20)&lt;1,1),FALSE))))"),FALSE)</f>
        <v>0</v>
      </c>
      <c r="E20" s="59">
        <f t="array" ref="E20">IF(COUNTA(C20:C1673)=0,"",SUM((COUNTIF(C$4:C20,Upgrades!$B$3:$B$13)-COUNTIF(C$4:C20,"Sell_"&amp;Upgrades!$B$3:$B$13))*Upgrades!$D$3:$D$13))</f>
        <v>26.6</v>
      </c>
      <c r="F20" s="66">
        <f>IFERROR(__xludf.DUMMYFUNCTION("IF(COUNTA(C20:C1673)=0,"""",IF(REGEXMATCH(INDEX(FILTER(C$4:C20,C$4:C20&lt;&gt;""""),ROWS(FILTER(C$4:C20,C$4:C20&lt;&gt;""""))),""^Sell_""),INDEX(FILTER(F$4:F19,C$4:C19&lt;&gt;""""),ROWS(FILTER(C$4:C19,C$4:C19&lt;&gt;""""))),$AC$5+E20))"),41.6)</f>
        <v>41.6</v>
      </c>
      <c r="G20" s="10">
        <f>IFERROR(__xludf.DUMMYFUNCTION("IF(COUNTA(C20:C1673)=0,"""",IF(C20="""",0,IF(REGEXMATCH(C20,""^Sell_""),-ROUNDDOWN(ROUNDUP(INDEX(Upgrades!$C$3:$C$13,MATCH(SUBSTITUTE(C20,""Sell_"",""""),Upgrades!$B$3:$B$13,0))*1.15^(COUNTIF(C$4:C19,SUBSTITUTE(C20,""Sell_"",""""))-COUNTIF(C$4:C19,""Sell_"&amp;"""&amp;SUBSTITUTE(C20,""Sell_"",""""))))/2),ROUNDUP(INDEX(Upgrades!$C$3:$C$13,MATCH(C20,Upgrades!$B$3:$B$13,0))*1.15^(COUNTIF(C$4:C19,C20)-COUNTIF(C$4:C19,""Sell_""&amp;C20))))))"),31.0)</f>
        <v>31</v>
      </c>
      <c r="H20" s="10">
        <f t="shared" si="3"/>
        <v>31</v>
      </c>
      <c r="I20" s="68">
        <f t="shared" si="4"/>
        <v>192.6912937</v>
      </c>
      <c r="J20" s="59" t="str">
        <f t="shared" si="5"/>
        <v>3m 12s</v>
      </c>
      <c r="K20" s="69">
        <f t="shared" si="6"/>
        <v>5014</v>
      </c>
      <c r="L20" s="60">
        <f t="shared" si="7"/>
        <v>0</v>
      </c>
      <c r="M20" s="61">
        <f>IFERROR(__xludf.DUMMYFUNCTION("IFS(AND(COUNTA(C20:C1673)=0,COUNTA(Q20:Q1673)=0),"""",OR(AND(K20&gt;=1000000000,OR(Y20&gt;=1000000000,COUNTA(Q20:Q1673)=0)),OR(Y20&gt;=1000000000,AND(COUNTA(C20:C1673)=0,P$3=TRUE))),
ROUNDDOWN((AB$1-AC$1)*MAX(INDEX(T$4:T1673,MATCH(LARGE(FILTER(Y$4:Y1673,Y$4:Y1673&lt;"&amp;"1000000000),1),Y$4:Y1673)),INDEX(F$4:F1673,MATCH(LARGE(FILTER(K$4:K1673,K$4:K1673&lt;1000000000),1),K$4:K1673)))),AND(K20&lt;1000000000,COUNTA(C20:C1673)&gt;0,P$3=FALSE),
ROUNDDOWN(INDEX(Y$4:Y1673,MATCH(LARGE(FILTER(W$4:W1673,W$4:W1673&lt;=I20),1),W$4:W1673))+(I20-LA"&amp;"RGE(FILTER(W$4:W1673,W$4:W1673&lt;=I20),1))*INDEX(T$4:T1673,MATCH(LARGE(FILTER(W$4:W1673,W$4:W1673&lt;=I20),1),W$4:W1673))-K20),1,
ROUNDDOWN(Y20-INDEX(K$4:K1673,MATCH(LARGE(FILTER(I$4:I1673,I$4:I1673&lt;=W20),1),I$4:I1673))-(W20-LARGE(FILTER(I$4:I1673,I$4:I1673&lt;=W"&amp;"20),1))*INDEX(F$4:F1673,MATCH(LARGE(FILTER(I$4:I1673,I$4:I1673&lt;=W20),1),I$4:I1673))))"),0.0)</f>
        <v>0</v>
      </c>
      <c r="N20" s="60">
        <f t="shared" si="8"/>
        <v>0</v>
      </c>
      <c r="O20" s="61">
        <f t="shared" si="9"/>
        <v>0</v>
      </c>
      <c r="P20" s="56">
        <f t="shared" si="10"/>
        <v>6</v>
      </c>
      <c r="Q20" s="67" t="s">
        <v>3</v>
      </c>
      <c r="R20" s="10" t="b">
        <f>IFERROR(__xludf.DUMMYFUNCTION("IF(COUNTA(Q20:Q1673)=0,"""",IF(ISBLANK(Q20),FALSE,IF(NOT(COUNTIF($AA$24:$AA$34,SUBSTITUTE(Q20,""Sell_"",""""))),1,IF(REGEXMATCH(Q20,""Sell_""),IF(COUNTIF(Q$4:Q20,SUBSTITUTE(Q20,""Sell_"",""""))-COUNTIF(Q$4:Q19,Q20)&lt;1,1),FALSE))))"),FALSE)</f>
        <v>0</v>
      </c>
      <c r="S20" s="59">
        <f t="array" ref="S20">IF(COUNTA(Q20:Q1673)=0,"",SUM((COUNTIF(Q$4:Q20,Upgrades!$B$3:$B$13)-COUNTIF(Q$4:Q20,"Sell_"&amp;Upgrades!$B$3:$B$13))*Upgrades!$D$3:$D$13))</f>
        <v>26.6</v>
      </c>
      <c r="T20" s="66">
        <f>IFERROR(__xludf.DUMMYFUNCTION("IF(COUNTA(Q20:Q1673)=0,"""",IF(REGEXMATCH(INDEX(FILTER(Q$4:Q20,Q$4:Q20&lt;&gt;""""),ROWS(FILTER(Q$4:Q20,Q$4:Q20&lt;&gt;""""))),""^Sell_""),INDEX(FILTER(T$4:T19,Q$4:Q19&lt;&gt;""""),ROWS(FILTER(Q$4:Q19,Q$4:Q19&lt;&gt;""""))),$AD$5+S20))"),41.6)</f>
        <v>41.6</v>
      </c>
      <c r="U20" s="10">
        <f>IFERROR(__xludf.DUMMYFUNCTION("IF(COUNTA(Q20:Q1673)=0,"""",IF(Q20="""",0,IF(REGEXMATCH(Q20,""^Sell_""),-ROUNDDOWN(ROUNDUP(INDEX(Upgrades!$C$3:$C$13,MATCH(SUBSTITUTE(Q20,""Sell_"",""""),Upgrades!$B$3:$B$13,0))*1.15^(COUNTIF(Q$4:Q19,SUBSTITUTE(Q20,""Sell_"",""""))-COUNTIF(Q$4:Q19,""Sell_"&amp;"""&amp;SUBSTITUTE(Q20,""Sell_"",""""))))/2),ROUNDUP(INDEX(Upgrades!$C$3:$C$13,MATCH(Q20,Upgrades!$B$3:$B$13,0))*1.15^(COUNTIF(Q$4:Q19,Q20)-COUNTIF(Q$4:Q19,""Sell_""&amp;Q20))))))"),31.0)</f>
        <v>31</v>
      </c>
      <c r="V20" s="10">
        <f t="shared" si="11"/>
        <v>31</v>
      </c>
      <c r="W20" s="68">
        <f t="shared" si="12"/>
        <v>192.6912937</v>
      </c>
      <c r="X20" s="59" t="str">
        <f t="shared" si="13"/>
        <v>3m 12s</v>
      </c>
      <c r="Y20" s="69">
        <f t="shared" si="14"/>
        <v>5014</v>
      </c>
      <c r="Z20" s="11"/>
    </row>
    <row r="21">
      <c r="A21" s="8"/>
      <c r="B21" s="56">
        <f t="shared" si="2"/>
        <v>7</v>
      </c>
      <c r="C21" s="57" t="s">
        <v>5</v>
      </c>
      <c r="D21" s="10" t="b">
        <f>IFERROR(__xludf.DUMMYFUNCTION("IF(COUNTA(C21:C1673)=0,"""",IF(ISBLANK(C21),FALSE,IF(NOT(COUNTIF($AA$24:$AA$34,SUBSTITUTE(C21,""Sell_"",""""))),1,IF(REGEXMATCH(C21,""Sell_""),IF(COUNTIF(C$4:C21,SUBSTITUTE(C21,""Sell_"",""""))-COUNTIF(C$4:C20,C21)&lt;1,1),FALSE))))"),FALSE)</f>
        <v>0</v>
      </c>
      <c r="E21" s="59">
        <f t="array" ref="E21">IF(COUNTA(C21:C1673)=0,"",SUM((COUNTIF(C$4:C21,Upgrades!$B$3:$B$13)-COUNTIF(C$4:C21,"Sell_"&amp;Upgrades!$B$3:$B$13))*Upgrades!$D$3:$D$13))</f>
        <v>30.6</v>
      </c>
      <c r="F21" s="66">
        <f>IFERROR(__xludf.DUMMYFUNCTION("IF(COUNTA(C21:C1673)=0,"""",IF(REGEXMATCH(INDEX(FILTER(C$4:C21,C$4:C21&lt;&gt;""""),ROWS(FILTER(C$4:C21,C$4:C21&lt;&gt;""""))),""^Sell_""),INDEX(FILTER(F$4:F20,C$4:C20&lt;&gt;""""),ROWS(FILTER(C$4:C20,C$4:C20&lt;&gt;""""))),$AC$5+E21))"),45.6)</f>
        <v>45.6</v>
      </c>
      <c r="G21" s="10">
        <f>IFERROR(__xludf.DUMMYFUNCTION("IF(COUNTA(C21:C1673)=0,"""",IF(C21="""",0,IF(REGEXMATCH(C21,""^Sell_""),-ROUNDDOWN(ROUNDUP(INDEX(Upgrades!$C$3:$C$13,MATCH(SUBSTITUTE(C21,""Sell_"",""""),Upgrades!$B$3:$B$13,0))*1.15^(COUNTIF(C$4:C20,SUBSTITUTE(C21,""Sell_"",""""))-COUNTIF(C$4:C20,""Sell_"&amp;"""&amp;SUBSTITUTE(C21,""Sell_"",""""))))/2),ROUNDUP(INDEX(Upgrades!$C$3:$C$13,MATCH(C21,Upgrades!$B$3:$B$13,0))*1.15^(COUNTIF(C$4:C20,C21)-COUNTIF(C$4:C20,""Sell_""&amp;C21))))))"),1157.0)</f>
        <v>1157</v>
      </c>
      <c r="H21" s="10">
        <f t="shared" si="3"/>
        <v>1157</v>
      </c>
      <c r="I21" s="68">
        <f t="shared" si="4"/>
        <v>220.5037937</v>
      </c>
      <c r="J21" s="59" t="str">
        <f t="shared" si="5"/>
        <v>3m 40s</v>
      </c>
      <c r="K21" s="69">
        <f t="shared" si="6"/>
        <v>6171</v>
      </c>
      <c r="L21" s="60">
        <f t="shared" si="7"/>
        <v>0</v>
      </c>
      <c r="M21" s="61">
        <f>IFERROR(__xludf.DUMMYFUNCTION("IFS(AND(COUNTA(C21:C1673)=0,COUNTA(Q21:Q1673)=0),"""",OR(AND(K21&gt;=1000000000,OR(Y21&gt;=1000000000,COUNTA(Q21:Q1673)=0)),OR(Y21&gt;=1000000000,AND(COUNTA(C21:C1673)=0,P$3=TRUE))),
ROUNDDOWN((AB$1-AC$1)*MAX(INDEX(T$4:T1673,MATCH(LARGE(FILTER(Y$4:Y1673,Y$4:Y1673&lt;"&amp;"1000000000),1),Y$4:Y1673)),INDEX(F$4:F1673,MATCH(LARGE(FILTER(K$4:K1673,K$4:K1673&lt;1000000000),1),K$4:K1673)))),AND(K21&lt;1000000000,COUNTA(C21:C1673)&gt;0,P$3=FALSE),
ROUNDDOWN(INDEX(Y$4:Y1673,MATCH(LARGE(FILTER(W$4:W1673,W$4:W1673&lt;=I21),1),W$4:W1673))+(I21-LA"&amp;"RGE(FILTER(W$4:W1673,W$4:W1673&lt;=I21),1))*INDEX(T$4:T1673,MATCH(LARGE(FILTER(W$4:W1673,W$4:W1673&lt;=I21),1),W$4:W1673))-K21),1,
ROUNDDOWN(Y21-INDEX(K$4:K1673,MATCH(LARGE(FILTER(I$4:I1673,I$4:I1673&lt;=W21),1),I$4:I1673))-(W21-LARGE(FILTER(I$4:I1673,I$4:I1673&lt;=W"&amp;"21),1))*INDEX(F$4:F1673,MATCH(LARGE(FILTER(I$4:I1673,I$4:I1673&lt;=W21),1),I$4:I1673))))"),0.0)</f>
        <v>0</v>
      </c>
      <c r="N21" s="60">
        <f t="shared" si="8"/>
        <v>0</v>
      </c>
      <c r="O21" s="61">
        <f t="shared" si="9"/>
        <v>0</v>
      </c>
      <c r="P21" s="56">
        <f t="shared" si="10"/>
        <v>7</v>
      </c>
      <c r="Q21" s="67" t="s">
        <v>5</v>
      </c>
      <c r="R21" s="10" t="b">
        <f>IFERROR(__xludf.DUMMYFUNCTION("IF(COUNTA(Q21:Q1673)=0,"""",IF(ISBLANK(Q21),FALSE,IF(NOT(COUNTIF($AA$24:$AA$34,SUBSTITUTE(Q21,""Sell_"",""""))),1,IF(REGEXMATCH(Q21,""Sell_""),IF(COUNTIF(Q$4:Q21,SUBSTITUTE(Q21,""Sell_"",""""))-COUNTIF(Q$4:Q20,Q21)&lt;1,1),FALSE))))"),FALSE)</f>
        <v>0</v>
      </c>
      <c r="S21" s="59">
        <f t="array" ref="S21">IF(COUNTA(Q21:Q1673)=0,"",SUM((COUNTIF(Q$4:Q21,Upgrades!$B$3:$B$13)-COUNTIF(Q$4:Q21,"Sell_"&amp;Upgrades!$B$3:$B$13))*Upgrades!$D$3:$D$13))</f>
        <v>30.6</v>
      </c>
      <c r="T21" s="66">
        <f>IFERROR(__xludf.DUMMYFUNCTION("IF(COUNTA(Q21:Q1673)=0,"""",IF(REGEXMATCH(INDEX(FILTER(Q$4:Q21,Q$4:Q21&lt;&gt;""""),ROWS(FILTER(Q$4:Q21,Q$4:Q21&lt;&gt;""""))),""^Sell_""),INDEX(FILTER(T$4:T20,Q$4:Q20&lt;&gt;""""),ROWS(FILTER(Q$4:Q20,Q$4:Q20&lt;&gt;""""))),$AD$5+S21))"),45.6)</f>
        <v>45.6</v>
      </c>
      <c r="U21" s="10">
        <f>IFERROR(__xludf.DUMMYFUNCTION("IF(COUNTA(Q21:Q1673)=0,"""",IF(Q21="""",0,IF(REGEXMATCH(Q21,""^Sell_""),-ROUNDDOWN(ROUNDUP(INDEX(Upgrades!$C$3:$C$13,MATCH(SUBSTITUTE(Q21,""Sell_"",""""),Upgrades!$B$3:$B$13,0))*1.15^(COUNTIF(Q$4:Q20,SUBSTITUTE(Q21,""Sell_"",""""))-COUNTIF(Q$4:Q20,""Sell_"&amp;"""&amp;SUBSTITUTE(Q21,""Sell_"",""""))))/2),ROUNDUP(INDEX(Upgrades!$C$3:$C$13,MATCH(Q21,Upgrades!$B$3:$B$13,0))*1.15^(COUNTIF(Q$4:Q20,Q21)-COUNTIF(Q$4:Q20,""Sell_""&amp;Q21))))))"),1157.0)</f>
        <v>1157</v>
      </c>
      <c r="V21" s="10">
        <f t="shared" si="11"/>
        <v>1157</v>
      </c>
      <c r="W21" s="68">
        <f t="shared" si="12"/>
        <v>220.5037937</v>
      </c>
      <c r="X21" s="59" t="str">
        <f t="shared" si="13"/>
        <v>3m 40s</v>
      </c>
      <c r="Y21" s="69">
        <f t="shared" si="14"/>
        <v>6171</v>
      </c>
      <c r="Z21" s="11"/>
      <c r="AA21" s="92" t="s">
        <v>53</v>
      </c>
      <c r="AB21" s="93"/>
      <c r="AC21" s="93"/>
      <c r="AD21" s="93"/>
      <c r="AE21" s="93"/>
      <c r="AF21" s="94"/>
    </row>
    <row r="22">
      <c r="A22" s="8"/>
      <c r="B22" s="56">
        <f t="shared" si="2"/>
        <v>7</v>
      </c>
      <c r="C22" s="57" t="s">
        <v>3</v>
      </c>
      <c r="D22" s="10" t="b">
        <f>IFERROR(__xludf.DUMMYFUNCTION("IF(COUNTA(C22:C1673)=0,"""",IF(ISBLANK(C22),FALSE,IF(NOT(COUNTIF($AA$24:$AA$34,SUBSTITUTE(C22,""Sell_"",""""))),1,IF(REGEXMATCH(C22,""Sell_""),IF(COUNTIF(C$4:C22,SUBSTITUTE(C22,""Sell_"",""""))-COUNTIF(C$4:C21,C22)&lt;1,1),FALSE))))"),FALSE)</f>
        <v>0</v>
      </c>
      <c r="E22" s="59">
        <f t="array" ref="E22">IF(COUNTA(C22:C1673)=0,"",SUM((COUNTIF(C$4:C22,Upgrades!$B$3:$B$13)-COUNTIF(C$4:C22,"Sell_"&amp;Upgrades!$B$3:$B$13))*Upgrades!$D$3:$D$13))</f>
        <v>30.7</v>
      </c>
      <c r="F22" s="66">
        <f>IFERROR(__xludf.DUMMYFUNCTION("IF(COUNTA(C22:C1673)=0,"""",IF(REGEXMATCH(INDEX(FILTER(C$4:C22,C$4:C22&lt;&gt;""""),ROWS(FILTER(C$4:C22,C$4:C22&lt;&gt;""""))),""^Sell_""),INDEX(FILTER(F$4:F21,C$4:C21&lt;&gt;""""),ROWS(FILTER(C$4:C21,C$4:C21&lt;&gt;""""))),$AC$5+E22))"),45.7)</f>
        <v>45.7</v>
      </c>
      <c r="G22" s="10">
        <f>IFERROR(__xludf.DUMMYFUNCTION("IF(COUNTA(C22:C1673)=0,"""",IF(C22="""",0,IF(REGEXMATCH(C22,""^Sell_""),-ROUNDDOWN(ROUNDUP(INDEX(Upgrades!$C$3:$C$13,MATCH(SUBSTITUTE(C22,""Sell_"",""""),Upgrades!$B$3:$B$13,0))*1.15^(COUNTIF(C$4:C21,SUBSTITUTE(C22,""Sell_"",""""))-COUNTIF(C$4:C21,""Sell_"&amp;"""&amp;SUBSTITUTE(C22,""Sell_"",""""))))/2),ROUNDUP(INDEX(Upgrades!$C$3:$C$13,MATCH(C22,Upgrades!$B$3:$B$13,0))*1.15^(COUNTIF(C$4:C21,C22)-COUNTIF(C$4:C21,""Sell_""&amp;C22))))))"),35.0)</f>
        <v>35</v>
      </c>
      <c r="H22" s="10">
        <f t="shared" si="3"/>
        <v>35</v>
      </c>
      <c r="I22" s="68">
        <f t="shared" si="4"/>
        <v>221.2713376</v>
      </c>
      <c r="J22" s="59" t="str">
        <f t="shared" si="5"/>
        <v>3m 41s</v>
      </c>
      <c r="K22" s="69">
        <f t="shared" si="6"/>
        <v>6206</v>
      </c>
      <c r="L22" s="60">
        <f t="shared" si="7"/>
        <v>0</v>
      </c>
      <c r="M22" s="61">
        <f>IFERROR(__xludf.DUMMYFUNCTION("IFS(AND(COUNTA(C22:C1673)=0,COUNTA(Q22:Q1673)=0),"""",OR(AND(K22&gt;=1000000000,OR(Y22&gt;=1000000000,COUNTA(Q22:Q1673)=0)),OR(Y22&gt;=1000000000,AND(COUNTA(C22:C1673)=0,P$3=TRUE))),
ROUNDDOWN((AB$1-AC$1)*MAX(INDEX(T$4:T1673,MATCH(LARGE(FILTER(Y$4:Y1673,Y$4:Y1673&lt;"&amp;"1000000000),1),Y$4:Y1673)),INDEX(F$4:F1673,MATCH(LARGE(FILTER(K$4:K1673,K$4:K1673&lt;1000000000),1),K$4:K1673)))),AND(K22&lt;1000000000,COUNTA(C22:C1673)&gt;0,P$3=FALSE),
ROUNDDOWN(INDEX(Y$4:Y1673,MATCH(LARGE(FILTER(W$4:W1673,W$4:W1673&lt;=I22),1),W$4:W1673))+(I22-LA"&amp;"RGE(FILTER(W$4:W1673,W$4:W1673&lt;=I22),1))*INDEX(T$4:T1673,MATCH(LARGE(FILTER(W$4:W1673,W$4:W1673&lt;=I22),1),W$4:W1673))-K22),1,
ROUNDDOWN(Y22-INDEX(K$4:K1673,MATCH(LARGE(FILTER(I$4:I1673,I$4:I1673&lt;=W22),1),I$4:I1673))-(W22-LARGE(FILTER(I$4:I1673,I$4:I1673&lt;=W"&amp;"22),1))*INDEX(F$4:F1673,MATCH(LARGE(FILTER(I$4:I1673,I$4:I1673&lt;=W22),1),I$4:I1673))))"),0.0)</f>
        <v>0</v>
      </c>
      <c r="N22" s="60">
        <f t="shared" si="8"/>
        <v>0</v>
      </c>
      <c r="O22" s="61">
        <f t="shared" si="9"/>
        <v>0</v>
      </c>
      <c r="P22" s="56">
        <f t="shared" si="10"/>
        <v>7</v>
      </c>
      <c r="Q22" s="67" t="s">
        <v>3</v>
      </c>
      <c r="R22" s="10" t="b">
        <f>IFERROR(__xludf.DUMMYFUNCTION("IF(COUNTA(Q22:Q1673)=0,"""",IF(ISBLANK(Q22),FALSE,IF(NOT(COUNTIF($AA$24:$AA$34,SUBSTITUTE(Q22,""Sell_"",""""))),1,IF(REGEXMATCH(Q22,""Sell_""),IF(COUNTIF(Q$4:Q22,SUBSTITUTE(Q22,""Sell_"",""""))-COUNTIF(Q$4:Q21,Q22)&lt;1,1),FALSE))))"),FALSE)</f>
        <v>0</v>
      </c>
      <c r="S22" s="59">
        <f t="array" ref="S22">IF(COUNTA(Q22:Q1673)=0,"",SUM((COUNTIF(Q$4:Q22,Upgrades!$B$3:$B$13)-COUNTIF(Q$4:Q22,"Sell_"&amp;Upgrades!$B$3:$B$13))*Upgrades!$D$3:$D$13))</f>
        <v>30.7</v>
      </c>
      <c r="T22" s="66">
        <f>IFERROR(__xludf.DUMMYFUNCTION("IF(COUNTA(Q22:Q1673)=0,"""",IF(REGEXMATCH(INDEX(FILTER(Q$4:Q22,Q$4:Q22&lt;&gt;""""),ROWS(FILTER(Q$4:Q22,Q$4:Q22&lt;&gt;""""))),""^Sell_""),INDEX(FILTER(T$4:T21,Q$4:Q21&lt;&gt;""""),ROWS(FILTER(Q$4:Q21,Q$4:Q21&lt;&gt;""""))),$AD$5+S22))"),45.7)</f>
        <v>45.7</v>
      </c>
      <c r="U22" s="10">
        <f>IFERROR(__xludf.DUMMYFUNCTION("IF(COUNTA(Q22:Q1673)=0,"""",IF(Q22="""",0,IF(REGEXMATCH(Q22,""^Sell_""),-ROUNDDOWN(ROUNDUP(INDEX(Upgrades!$C$3:$C$13,MATCH(SUBSTITUTE(Q22,""Sell_"",""""),Upgrades!$B$3:$B$13,0))*1.15^(COUNTIF(Q$4:Q21,SUBSTITUTE(Q22,""Sell_"",""""))-COUNTIF(Q$4:Q21,""Sell_"&amp;"""&amp;SUBSTITUTE(Q22,""Sell_"",""""))))/2),ROUNDUP(INDEX(Upgrades!$C$3:$C$13,MATCH(Q22,Upgrades!$B$3:$B$13,0))*1.15^(COUNTIF(Q$4:Q21,Q22)-COUNTIF(Q$4:Q21,""Sell_""&amp;Q22))))))"),35.0)</f>
        <v>35</v>
      </c>
      <c r="V22" s="10">
        <f t="shared" si="11"/>
        <v>35</v>
      </c>
      <c r="W22" s="68">
        <f t="shared" si="12"/>
        <v>221.2713376</v>
      </c>
      <c r="X22" s="59" t="str">
        <f t="shared" si="13"/>
        <v>3m 41s</v>
      </c>
      <c r="Y22" s="69">
        <f t="shared" si="14"/>
        <v>6206</v>
      </c>
      <c r="Z22" s="11"/>
    </row>
    <row r="23">
      <c r="A23" s="8"/>
      <c r="B23" s="56">
        <f t="shared" si="2"/>
        <v>5</v>
      </c>
      <c r="C23" s="57" t="s">
        <v>4</v>
      </c>
      <c r="D23" s="10" t="b">
        <f>IFERROR(__xludf.DUMMYFUNCTION("IF(COUNTA(C23:C1673)=0,"""",IF(ISBLANK(C23),FALSE,IF(NOT(COUNTIF($AA$24:$AA$34,SUBSTITUTE(C23,""Sell_"",""""))),1,IF(REGEXMATCH(C23,""Sell_""),IF(COUNTIF(C$4:C23,SUBSTITUTE(C23,""Sell_"",""""))-COUNTIF(C$4:C22,C23)&lt;1,1),FALSE))))"),FALSE)</f>
        <v>0</v>
      </c>
      <c r="E23" s="59">
        <f t="array" ref="E23">IF(COUNTA(C23:C1673)=0,"",SUM((COUNTIF(C$4:C23,Upgrades!$B$3:$B$13)-COUNTIF(C$4:C23,"Sell_"&amp;Upgrades!$B$3:$B$13))*Upgrades!$D$3:$D$13))</f>
        <v>31.2</v>
      </c>
      <c r="F23" s="66">
        <f>IFERROR(__xludf.DUMMYFUNCTION("IF(COUNTA(C23:C1673)=0,"""",IF(REGEXMATCH(INDEX(FILTER(C$4:C23,C$4:C23&lt;&gt;""""),ROWS(FILTER(C$4:C23,C$4:C23&lt;&gt;""""))),""^Sell_""),INDEX(FILTER(F$4:F22,C$4:C22&lt;&gt;""""),ROWS(FILTER(C$4:C22,C$4:C22&lt;&gt;""""))),$AC$5+E23))"),46.2)</f>
        <v>46.2</v>
      </c>
      <c r="G23" s="10">
        <f>IFERROR(__xludf.DUMMYFUNCTION("IF(COUNTA(C23:C1673)=0,"""",IF(C23="""",0,IF(REGEXMATCH(C23,""^Sell_""),-ROUNDDOWN(ROUNDUP(INDEX(Upgrades!$C$3:$C$13,MATCH(SUBSTITUTE(C23,""Sell_"",""""),Upgrades!$B$3:$B$13,0))*1.15^(COUNTIF(C$4:C22,SUBSTITUTE(C23,""Sell_"",""""))-COUNTIF(C$4:C22,""Sell_"&amp;"""&amp;SUBSTITUTE(C23,""Sell_"",""""))))/2),ROUNDUP(INDEX(Upgrades!$C$3:$C$13,MATCH(C23,Upgrades!$B$3:$B$13,0))*1.15^(COUNTIF(C$4:C22,C23)-COUNTIF(C$4:C22,""Sell_""&amp;C23))))))"),175.0)</f>
        <v>175</v>
      </c>
      <c r="H23" s="10">
        <f t="shared" si="3"/>
        <v>175</v>
      </c>
      <c r="I23" s="68">
        <f t="shared" si="4"/>
        <v>225.1006593</v>
      </c>
      <c r="J23" s="59" t="str">
        <f t="shared" si="5"/>
        <v>3m 45s</v>
      </c>
      <c r="K23" s="69">
        <f t="shared" si="6"/>
        <v>6381</v>
      </c>
      <c r="L23" s="60">
        <f t="shared" si="7"/>
        <v>0</v>
      </c>
      <c r="M23" s="61">
        <f>IFERROR(__xludf.DUMMYFUNCTION("IFS(AND(COUNTA(C23:C1673)=0,COUNTA(Q23:Q1673)=0),"""",OR(AND(K23&gt;=1000000000,OR(Y23&gt;=1000000000,COUNTA(Q23:Q1673)=0)),OR(Y23&gt;=1000000000,AND(COUNTA(C23:C1673)=0,P$3=TRUE))),
ROUNDDOWN((AB$1-AC$1)*MAX(INDEX(T$4:T1673,MATCH(LARGE(FILTER(Y$4:Y1673,Y$4:Y1673&lt;"&amp;"1000000000),1),Y$4:Y1673)),INDEX(F$4:F1673,MATCH(LARGE(FILTER(K$4:K1673,K$4:K1673&lt;1000000000),1),K$4:K1673)))),AND(K23&lt;1000000000,COUNTA(C23:C1673)&gt;0,P$3=FALSE),
ROUNDDOWN(INDEX(Y$4:Y1673,MATCH(LARGE(FILTER(W$4:W1673,W$4:W1673&lt;=I23),1),W$4:W1673))+(I23-LA"&amp;"RGE(FILTER(W$4:W1673,W$4:W1673&lt;=I23),1))*INDEX(T$4:T1673,MATCH(LARGE(FILTER(W$4:W1673,W$4:W1673&lt;=I23),1),W$4:W1673))-K23),1,
ROUNDDOWN(Y23-INDEX(K$4:K1673,MATCH(LARGE(FILTER(I$4:I1673,I$4:I1673&lt;=W23),1),I$4:I1673))-(W23-LARGE(FILTER(I$4:I1673,I$4:I1673&lt;=W"&amp;"23),1))*INDEX(F$4:F1673,MATCH(LARGE(FILTER(I$4:I1673,I$4:I1673&lt;=W23),1),I$4:I1673))))"),0.0)</f>
        <v>0</v>
      </c>
      <c r="N23" s="60">
        <f t="shared" si="8"/>
        <v>0</v>
      </c>
      <c r="O23" s="61">
        <f t="shared" si="9"/>
        <v>0</v>
      </c>
      <c r="P23" s="56">
        <f t="shared" si="10"/>
        <v>5</v>
      </c>
      <c r="Q23" s="67" t="s">
        <v>4</v>
      </c>
      <c r="R23" s="10" t="b">
        <f>IFERROR(__xludf.DUMMYFUNCTION("IF(COUNTA(Q23:Q1673)=0,"""",IF(ISBLANK(Q23),FALSE,IF(NOT(COUNTIF($AA$24:$AA$34,SUBSTITUTE(Q23,""Sell_"",""""))),1,IF(REGEXMATCH(Q23,""Sell_""),IF(COUNTIF(Q$4:Q23,SUBSTITUTE(Q23,""Sell_"",""""))-COUNTIF(Q$4:Q22,Q23)&lt;1,1),FALSE))))"),FALSE)</f>
        <v>0</v>
      </c>
      <c r="S23" s="59">
        <f t="array" ref="S23">IF(COUNTA(Q23:Q1673)=0,"",SUM((COUNTIF(Q$4:Q23,Upgrades!$B$3:$B$13)-COUNTIF(Q$4:Q23,"Sell_"&amp;Upgrades!$B$3:$B$13))*Upgrades!$D$3:$D$13))</f>
        <v>31.2</v>
      </c>
      <c r="T23" s="66">
        <f>IFERROR(__xludf.DUMMYFUNCTION("IF(COUNTA(Q23:Q1673)=0,"""",IF(REGEXMATCH(INDEX(FILTER(Q$4:Q23,Q$4:Q23&lt;&gt;""""),ROWS(FILTER(Q$4:Q23,Q$4:Q23&lt;&gt;""""))),""^Sell_""),INDEX(FILTER(T$4:T22,Q$4:Q22&lt;&gt;""""),ROWS(FILTER(Q$4:Q22,Q$4:Q22&lt;&gt;""""))),$AD$5+S23))"),46.2)</f>
        <v>46.2</v>
      </c>
      <c r="U23" s="10">
        <f>IFERROR(__xludf.DUMMYFUNCTION("IF(COUNTA(Q23:Q1673)=0,"""",IF(Q23="""",0,IF(REGEXMATCH(Q23,""^Sell_""),-ROUNDDOWN(ROUNDUP(INDEX(Upgrades!$C$3:$C$13,MATCH(SUBSTITUTE(Q23,""Sell_"",""""),Upgrades!$B$3:$B$13,0))*1.15^(COUNTIF(Q$4:Q22,SUBSTITUTE(Q23,""Sell_"",""""))-COUNTIF(Q$4:Q22,""Sell_"&amp;"""&amp;SUBSTITUTE(Q23,""Sell_"",""""))))/2),ROUNDUP(INDEX(Upgrades!$C$3:$C$13,MATCH(Q23,Upgrades!$B$3:$B$13,0))*1.15^(COUNTIF(Q$4:Q22,Q23)-COUNTIF(Q$4:Q22,""Sell_""&amp;Q23))))))"),175.0)</f>
        <v>175</v>
      </c>
      <c r="V23" s="10">
        <f t="shared" si="11"/>
        <v>175</v>
      </c>
      <c r="W23" s="68">
        <f t="shared" si="12"/>
        <v>225.1006593</v>
      </c>
      <c r="X23" s="59" t="str">
        <f t="shared" si="13"/>
        <v>3m 45s</v>
      </c>
      <c r="Y23" s="69">
        <f t="shared" si="14"/>
        <v>6381</v>
      </c>
      <c r="Z23" s="11"/>
      <c r="AA23" s="95" t="s">
        <v>54</v>
      </c>
      <c r="AB23" s="96"/>
    </row>
    <row r="24">
      <c r="A24" s="8"/>
      <c r="B24" s="56">
        <f t="shared" si="2"/>
        <v>8</v>
      </c>
      <c r="C24" s="57" t="s">
        <v>5</v>
      </c>
      <c r="D24" s="10" t="b">
        <f>IFERROR(__xludf.DUMMYFUNCTION("IF(COUNTA(C24:C1673)=0,"""",IF(ISBLANK(C24),FALSE,IF(NOT(COUNTIF($AA$24:$AA$34,SUBSTITUTE(C24,""Sell_"",""""))),1,IF(REGEXMATCH(C24,""Sell_""),IF(COUNTIF(C$4:C24,SUBSTITUTE(C24,""Sell_"",""""))-COUNTIF(C$4:C23,C24)&lt;1,1),FALSE))))"),FALSE)</f>
        <v>0</v>
      </c>
      <c r="E24" s="59">
        <f t="array" ref="E24">IF(COUNTA(C24:C1673)=0,"",SUM((COUNTIF(C$4:C24,Upgrades!$B$3:$B$13)-COUNTIF(C$4:C24,"Sell_"&amp;Upgrades!$B$3:$B$13))*Upgrades!$D$3:$D$13))</f>
        <v>35.2</v>
      </c>
      <c r="F24" s="66">
        <f>IFERROR(__xludf.DUMMYFUNCTION("IF(COUNTA(C24:C1673)=0,"""",IF(REGEXMATCH(INDEX(FILTER(C$4:C24,C$4:C24&lt;&gt;""""),ROWS(FILTER(C$4:C24,C$4:C24&lt;&gt;""""))),""^Sell_""),INDEX(FILTER(F$4:F23,C$4:C23&lt;&gt;""""),ROWS(FILTER(C$4:C23,C$4:C23&lt;&gt;""""))),$AC$5+E24))"),50.2)</f>
        <v>50.2</v>
      </c>
      <c r="G24" s="10">
        <f>IFERROR(__xludf.DUMMYFUNCTION("IF(COUNTA(C24:C1673)=0,"""",IF(C24="""",0,IF(REGEXMATCH(C24,""^Sell_""),-ROUNDDOWN(ROUNDUP(INDEX(Upgrades!$C$3:$C$13,MATCH(SUBSTITUTE(C24,""Sell_"",""""),Upgrades!$B$3:$B$13,0))*1.15^(COUNTIF(C$4:C23,SUBSTITUTE(C24,""Sell_"",""""))-COUNTIF(C$4:C23,""Sell_"&amp;"""&amp;SUBSTITUTE(C24,""Sell_"",""""))))/2),ROUNDUP(INDEX(Upgrades!$C$3:$C$13,MATCH(C24,Upgrades!$B$3:$B$13,0))*1.15^(COUNTIF(C$4:C23,C24)-COUNTIF(C$4:C23,""Sell_""&amp;C24))))))"),1331.0)</f>
        <v>1331</v>
      </c>
      <c r="H24" s="10">
        <f t="shared" si="3"/>
        <v>1331</v>
      </c>
      <c r="I24" s="68">
        <f t="shared" si="4"/>
        <v>253.9101831</v>
      </c>
      <c r="J24" s="59" t="str">
        <f t="shared" si="5"/>
        <v>4m 13s</v>
      </c>
      <c r="K24" s="69">
        <f t="shared" si="6"/>
        <v>7712</v>
      </c>
      <c r="L24" s="60">
        <f t="shared" si="7"/>
        <v>0</v>
      </c>
      <c r="M24" s="61">
        <f>IFERROR(__xludf.DUMMYFUNCTION("IFS(AND(COUNTA(C24:C1673)=0,COUNTA(Q24:Q1673)=0),"""",OR(AND(K24&gt;=1000000000,OR(Y24&gt;=1000000000,COUNTA(Q24:Q1673)=0)),OR(Y24&gt;=1000000000,AND(COUNTA(C24:C1673)=0,P$3=TRUE))),
ROUNDDOWN((AB$1-AC$1)*MAX(INDEX(T$4:T1673,MATCH(LARGE(FILTER(Y$4:Y1673,Y$4:Y1673&lt;"&amp;"1000000000),1),Y$4:Y1673)),INDEX(F$4:F1673,MATCH(LARGE(FILTER(K$4:K1673,K$4:K1673&lt;1000000000),1),K$4:K1673)))),AND(K24&lt;1000000000,COUNTA(C24:C1673)&gt;0,P$3=FALSE),
ROUNDDOWN(INDEX(Y$4:Y1673,MATCH(LARGE(FILTER(W$4:W1673,W$4:W1673&lt;=I24),1),W$4:W1673))+(I24-LA"&amp;"RGE(FILTER(W$4:W1673,W$4:W1673&lt;=I24),1))*INDEX(T$4:T1673,MATCH(LARGE(FILTER(W$4:W1673,W$4:W1673&lt;=I24),1),W$4:W1673))-K24),1,
ROUNDDOWN(Y24-INDEX(K$4:K1673,MATCH(LARGE(FILTER(I$4:I1673,I$4:I1673&lt;=W24),1),I$4:I1673))-(W24-LARGE(FILTER(I$4:I1673,I$4:I1673&lt;=W"&amp;"24),1))*INDEX(F$4:F1673,MATCH(LARGE(FILTER(I$4:I1673,I$4:I1673&lt;=W24),1),I$4:I1673))))"),0.0)</f>
        <v>0</v>
      </c>
      <c r="N24" s="60">
        <f t="shared" si="8"/>
        <v>0</v>
      </c>
      <c r="O24" s="61">
        <f t="shared" si="9"/>
        <v>0</v>
      </c>
      <c r="P24" s="56">
        <f t="shared" si="10"/>
        <v>8</v>
      </c>
      <c r="Q24" s="67" t="s">
        <v>5</v>
      </c>
      <c r="R24" s="10" t="b">
        <f>IFERROR(__xludf.DUMMYFUNCTION("IF(COUNTA(Q24:Q1673)=0,"""",IF(ISBLANK(Q24),FALSE,IF(NOT(COUNTIF($AA$24:$AA$34,SUBSTITUTE(Q24,""Sell_"",""""))),1,IF(REGEXMATCH(Q24,""Sell_""),IF(COUNTIF(Q$4:Q24,SUBSTITUTE(Q24,""Sell_"",""""))-COUNTIF(Q$4:Q23,Q24)&lt;1,1),FALSE))))"),FALSE)</f>
        <v>0</v>
      </c>
      <c r="S24" s="59">
        <f t="array" ref="S24">IF(COUNTA(Q24:Q1673)=0,"",SUM((COUNTIF(Q$4:Q24,Upgrades!$B$3:$B$13)-COUNTIF(Q$4:Q24,"Sell_"&amp;Upgrades!$B$3:$B$13))*Upgrades!$D$3:$D$13))</f>
        <v>35.2</v>
      </c>
      <c r="T24" s="66">
        <f>IFERROR(__xludf.DUMMYFUNCTION("IF(COUNTA(Q24:Q1673)=0,"""",IF(REGEXMATCH(INDEX(FILTER(Q$4:Q24,Q$4:Q24&lt;&gt;""""),ROWS(FILTER(Q$4:Q24,Q$4:Q24&lt;&gt;""""))),""^Sell_""),INDEX(FILTER(T$4:T23,Q$4:Q23&lt;&gt;""""),ROWS(FILTER(Q$4:Q23,Q$4:Q23&lt;&gt;""""))),$AD$5+S24))"),50.2)</f>
        <v>50.2</v>
      </c>
      <c r="U24" s="10">
        <f>IFERROR(__xludf.DUMMYFUNCTION("IF(COUNTA(Q24:Q1673)=0,"""",IF(Q24="""",0,IF(REGEXMATCH(Q24,""^Sell_""),-ROUNDDOWN(ROUNDUP(INDEX(Upgrades!$C$3:$C$13,MATCH(SUBSTITUTE(Q24,""Sell_"",""""),Upgrades!$B$3:$B$13,0))*1.15^(COUNTIF(Q$4:Q23,SUBSTITUTE(Q24,""Sell_"",""""))-COUNTIF(Q$4:Q23,""Sell_"&amp;"""&amp;SUBSTITUTE(Q24,""Sell_"",""""))))/2),ROUNDUP(INDEX(Upgrades!$C$3:$C$13,MATCH(Q24,Upgrades!$B$3:$B$13,0))*1.15^(COUNTIF(Q$4:Q23,Q24)-COUNTIF(Q$4:Q23,""Sell_""&amp;Q24))))))"),1331.0)</f>
        <v>1331</v>
      </c>
      <c r="V24" s="10">
        <f t="shared" si="11"/>
        <v>1331</v>
      </c>
      <c r="W24" s="68">
        <f t="shared" si="12"/>
        <v>253.9101831</v>
      </c>
      <c r="X24" s="59" t="str">
        <f t="shared" si="13"/>
        <v>4m 13s</v>
      </c>
      <c r="Y24" s="69">
        <f t="shared" si="14"/>
        <v>7712</v>
      </c>
      <c r="Z24" s="11"/>
      <c r="AA24" s="15" t="s">
        <v>3</v>
      </c>
      <c r="AB24" s="97" t="s">
        <v>55</v>
      </c>
    </row>
    <row r="25">
      <c r="A25" s="8"/>
      <c r="B25" s="56">
        <f t="shared" si="2"/>
        <v>1</v>
      </c>
      <c r="C25" s="57" t="s">
        <v>6</v>
      </c>
      <c r="D25" s="10" t="b">
        <f>IFERROR(__xludf.DUMMYFUNCTION("IF(COUNTA(C25:C1673)=0,"""",IF(ISBLANK(C25),FALSE,IF(NOT(COUNTIF($AA$24:$AA$34,SUBSTITUTE(C25,""Sell_"",""""))),1,IF(REGEXMATCH(C25,""Sell_""),IF(COUNTIF(C$4:C25,SUBSTITUTE(C25,""Sell_"",""""))-COUNTIF(C$4:C24,C25)&lt;1,1),FALSE))))"),FALSE)</f>
        <v>0</v>
      </c>
      <c r="E25" s="59">
        <f t="array" ref="E25">IF(COUNTA(C25:C1673)=0,"",SUM((COUNTIF(C$4:C25,Upgrades!$B$3:$B$13)-COUNTIF(C$4:C25,"Sell_"&amp;Upgrades!$B$3:$B$13))*Upgrades!$D$3:$D$13))</f>
        <v>45.2</v>
      </c>
      <c r="F25" s="66">
        <f>IFERROR(__xludf.DUMMYFUNCTION("IF(COUNTA(C25:C1673)=0,"""",IF(REGEXMATCH(INDEX(FILTER(C$4:C25,C$4:C25&lt;&gt;""""),ROWS(FILTER(C$4:C25,C$4:C25&lt;&gt;""""))),""^Sell_""),INDEX(FILTER(F$4:F24,C$4:C24&lt;&gt;""""),ROWS(FILTER(C$4:C24,C$4:C24&lt;&gt;""""))),$AC$5+E25))"),60.2)</f>
        <v>60.2</v>
      </c>
      <c r="G25" s="10">
        <f>IFERROR(__xludf.DUMMYFUNCTION("IF(COUNTA(C25:C1673)=0,"""",IF(C25="""",0,IF(REGEXMATCH(C25,""^Sell_""),-ROUNDDOWN(ROUNDUP(INDEX(Upgrades!$C$3:$C$13,MATCH(SUBSTITUTE(C25,""Sell_"",""""),Upgrades!$B$3:$B$13,0))*1.15^(COUNTIF(C$4:C24,SUBSTITUTE(C25,""Sell_"",""""))-COUNTIF(C$4:C24,""Sell_"&amp;"""&amp;SUBSTITUTE(C25,""Sell_"",""""))))/2),ROUNDUP(INDEX(Upgrades!$C$3:$C$13,MATCH(C25,Upgrades!$B$3:$B$13,0))*1.15^(COUNTIF(C$4:C24,C25)-COUNTIF(C$4:C24,""Sell_""&amp;C25))))))"),3000.0)</f>
        <v>3000</v>
      </c>
      <c r="H25" s="10">
        <f t="shared" si="3"/>
        <v>3000</v>
      </c>
      <c r="I25" s="68">
        <f t="shared" si="4"/>
        <v>313.6711393</v>
      </c>
      <c r="J25" s="59" t="str">
        <f t="shared" si="5"/>
        <v>5m 13s</v>
      </c>
      <c r="K25" s="69">
        <f t="shared" si="6"/>
        <v>10712</v>
      </c>
      <c r="L25" s="60">
        <f t="shared" si="7"/>
        <v>0</v>
      </c>
      <c r="M25" s="61">
        <f>IFERROR(__xludf.DUMMYFUNCTION("IFS(AND(COUNTA(C25:C1673)=0,COUNTA(Q25:Q1673)=0),"""",OR(AND(K25&gt;=1000000000,OR(Y25&gt;=1000000000,COUNTA(Q25:Q1673)=0)),OR(Y25&gt;=1000000000,AND(COUNTA(C25:C1673)=0,P$3=TRUE))),
ROUNDDOWN((AB$1-AC$1)*MAX(INDEX(T$4:T1673,MATCH(LARGE(FILTER(Y$4:Y1673,Y$4:Y1673&lt;"&amp;"1000000000),1),Y$4:Y1673)),INDEX(F$4:F1673,MATCH(LARGE(FILTER(K$4:K1673,K$4:K1673&lt;1000000000),1),K$4:K1673)))),AND(K25&lt;1000000000,COUNTA(C25:C1673)&gt;0,P$3=FALSE),
ROUNDDOWN(INDEX(Y$4:Y1673,MATCH(LARGE(FILTER(W$4:W1673,W$4:W1673&lt;=I25),1),W$4:W1673))+(I25-LA"&amp;"RGE(FILTER(W$4:W1673,W$4:W1673&lt;=I25),1))*INDEX(T$4:T1673,MATCH(LARGE(FILTER(W$4:W1673,W$4:W1673&lt;=I25),1),W$4:W1673))-K25),1,
ROUNDDOWN(Y25-INDEX(K$4:K1673,MATCH(LARGE(FILTER(I$4:I1673,I$4:I1673&lt;=W25),1),I$4:I1673))-(W25-LARGE(FILTER(I$4:I1673,I$4:I1673&lt;=W"&amp;"25),1))*INDEX(F$4:F1673,MATCH(LARGE(FILTER(I$4:I1673,I$4:I1673&lt;=W25),1),I$4:I1673))))"),0.0)</f>
        <v>0</v>
      </c>
      <c r="N25" s="60">
        <f t="shared" si="8"/>
        <v>0</v>
      </c>
      <c r="O25" s="61">
        <f t="shared" si="9"/>
        <v>0</v>
      </c>
      <c r="P25" s="56">
        <f t="shared" si="10"/>
        <v>1</v>
      </c>
      <c r="Q25" s="67" t="s">
        <v>6</v>
      </c>
      <c r="R25" s="10" t="b">
        <f>IFERROR(__xludf.DUMMYFUNCTION("IF(COUNTA(Q25:Q1673)=0,"""",IF(ISBLANK(Q25),FALSE,IF(NOT(COUNTIF($AA$24:$AA$34,SUBSTITUTE(Q25,""Sell_"",""""))),1,IF(REGEXMATCH(Q25,""Sell_""),IF(COUNTIF(Q$4:Q25,SUBSTITUTE(Q25,""Sell_"",""""))-COUNTIF(Q$4:Q24,Q25)&lt;1,1),FALSE))))"),FALSE)</f>
        <v>0</v>
      </c>
      <c r="S25" s="59">
        <f t="array" ref="S25">IF(COUNTA(Q25:Q1673)=0,"",SUM((COUNTIF(Q$4:Q25,Upgrades!$B$3:$B$13)-COUNTIF(Q$4:Q25,"Sell_"&amp;Upgrades!$B$3:$B$13))*Upgrades!$D$3:$D$13))</f>
        <v>45.2</v>
      </c>
      <c r="T25" s="66">
        <f>IFERROR(__xludf.DUMMYFUNCTION("IF(COUNTA(Q25:Q1673)=0,"""",IF(REGEXMATCH(INDEX(FILTER(Q$4:Q25,Q$4:Q25&lt;&gt;""""),ROWS(FILTER(Q$4:Q25,Q$4:Q25&lt;&gt;""""))),""^Sell_""),INDEX(FILTER(T$4:T24,Q$4:Q24&lt;&gt;""""),ROWS(FILTER(Q$4:Q24,Q$4:Q24&lt;&gt;""""))),$AD$5+S25))"),60.2)</f>
        <v>60.2</v>
      </c>
      <c r="U25" s="10">
        <f>IFERROR(__xludf.DUMMYFUNCTION("IF(COUNTA(Q25:Q1673)=0,"""",IF(Q25="""",0,IF(REGEXMATCH(Q25,""^Sell_""),-ROUNDDOWN(ROUNDUP(INDEX(Upgrades!$C$3:$C$13,MATCH(SUBSTITUTE(Q25,""Sell_"",""""),Upgrades!$B$3:$B$13,0))*1.15^(COUNTIF(Q$4:Q24,SUBSTITUTE(Q25,""Sell_"",""""))-COUNTIF(Q$4:Q24,""Sell_"&amp;"""&amp;SUBSTITUTE(Q25,""Sell_"",""""))))/2),ROUNDUP(INDEX(Upgrades!$C$3:$C$13,MATCH(Q25,Upgrades!$B$3:$B$13,0))*1.15^(COUNTIF(Q$4:Q24,Q25)-COUNTIF(Q$4:Q24,""Sell_""&amp;Q25))))))"),3000.0)</f>
        <v>3000</v>
      </c>
      <c r="V25" s="10">
        <f t="shared" si="11"/>
        <v>3000</v>
      </c>
      <c r="W25" s="68">
        <f t="shared" si="12"/>
        <v>313.6711393</v>
      </c>
      <c r="X25" s="59" t="str">
        <f t="shared" si="13"/>
        <v>5m 13s</v>
      </c>
      <c r="Y25" s="69">
        <f t="shared" si="14"/>
        <v>10712</v>
      </c>
      <c r="Z25" s="11"/>
      <c r="AA25" s="15" t="s">
        <v>4</v>
      </c>
      <c r="AB25" s="97" t="s">
        <v>55</v>
      </c>
    </row>
    <row r="26">
      <c r="A26" s="8"/>
      <c r="B26" s="56">
        <f t="shared" si="2"/>
        <v>8</v>
      </c>
      <c r="C26" s="57" t="s">
        <v>3</v>
      </c>
      <c r="D26" s="10" t="b">
        <f>IFERROR(__xludf.DUMMYFUNCTION("IF(COUNTA(C26:C1673)=0,"""",IF(ISBLANK(C26),FALSE,IF(NOT(COUNTIF($AA$24:$AA$34,SUBSTITUTE(C26,""Sell_"",""""))),1,IF(REGEXMATCH(C26,""Sell_""),IF(COUNTIF(C$4:C26,SUBSTITUTE(C26,""Sell_"",""""))-COUNTIF(C$4:C25,C26)&lt;1,1),FALSE))))"),FALSE)</f>
        <v>0</v>
      </c>
      <c r="E26" s="59">
        <f t="array" ref="E26">IF(COUNTA(C26:C1673)=0,"",SUM((COUNTIF(C$4:C26,Upgrades!$B$3:$B$13)-COUNTIF(C$4:C26,"Sell_"&amp;Upgrades!$B$3:$B$13))*Upgrades!$D$3:$D$13))</f>
        <v>45.3</v>
      </c>
      <c r="F26" s="66">
        <f>IFERROR(__xludf.DUMMYFUNCTION("IF(COUNTA(C26:C1673)=0,"""",IF(REGEXMATCH(INDEX(FILTER(C$4:C26,C$4:C26&lt;&gt;""""),ROWS(FILTER(C$4:C26,C$4:C26&lt;&gt;""""))),""^Sell_""),INDEX(FILTER(F$4:F25,C$4:C25&lt;&gt;""""),ROWS(FILTER(C$4:C25,C$4:C25&lt;&gt;""""))),$AC$5+E26))"),60.3)</f>
        <v>60.3</v>
      </c>
      <c r="G26" s="10">
        <f>IFERROR(__xludf.DUMMYFUNCTION("IF(COUNTA(C26:C1673)=0,"""",IF(C26="""",0,IF(REGEXMATCH(C26,""^Sell_""),-ROUNDDOWN(ROUNDUP(INDEX(Upgrades!$C$3:$C$13,MATCH(SUBSTITUTE(C26,""Sell_"",""""),Upgrades!$B$3:$B$13,0))*1.15^(COUNTIF(C$4:C25,SUBSTITUTE(C26,""Sell_"",""""))-COUNTIF(C$4:C25,""Sell_"&amp;"""&amp;SUBSTITUTE(C26,""Sell_"",""""))))/2),ROUNDUP(INDEX(Upgrades!$C$3:$C$13,MATCH(C26,Upgrades!$B$3:$B$13,0))*1.15^(COUNTIF(C$4:C25,C26)-COUNTIF(C$4:C25,""Sell_""&amp;C26))))))"),40.0)</f>
        <v>40</v>
      </c>
      <c r="H26" s="10">
        <f t="shared" si="3"/>
        <v>40</v>
      </c>
      <c r="I26" s="68">
        <f t="shared" si="4"/>
        <v>314.3355911</v>
      </c>
      <c r="J26" s="59" t="str">
        <f t="shared" si="5"/>
        <v>5m 14s</v>
      </c>
      <c r="K26" s="69">
        <f t="shared" si="6"/>
        <v>10752</v>
      </c>
      <c r="L26" s="60">
        <f t="shared" si="7"/>
        <v>0</v>
      </c>
      <c r="M26" s="61">
        <f>IFERROR(__xludf.DUMMYFUNCTION("IFS(AND(COUNTA(C26:C1673)=0,COUNTA(Q26:Q1673)=0),"""",OR(AND(K26&gt;=1000000000,OR(Y26&gt;=1000000000,COUNTA(Q26:Q1673)=0)),OR(Y26&gt;=1000000000,AND(COUNTA(C26:C1673)=0,P$3=TRUE))),
ROUNDDOWN((AB$1-AC$1)*MAX(INDEX(T$4:T1673,MATCH(LARGE(FILTER(Y$4:Y1673,Y$4:Y1673&lt;"&amp;"1000000000),1),Y$4:Y1673)),INDEX(F$4:F1673,MATCH(LARGE(FILTER(K$4:K1673,K$4:K1673&lt;1000000000),1),K$4:K1673)))),AND(K26&lt;1000000000,COUNTA(C26:C1673)&gt;0,P$3=FALSE),
ROUNDDOWN(INDEX(Y$4:Y1673,MATCH(LARGE(FILTER(W$4:W1673,W$4:W1673&lt;=I26),1),W$4:W1673))+(I26-LA"&amp;"RGE(FILTER(W$4:W1673,W$4:W1673&lt;=I26),1))*INDEX(T$4:T1673,MATCH(LARGE(FILTER(W$4:W1673,W$4:W1673&lt;=I26),1),W$4:W1673))-K26),1,
ROUNDDOWN(Y26-INDEX(K$4:K1673,MATCH(LARGE(FILTER(I$4:I1673,I$4:I1673&lt;=W26),1),I$4:I1673))-(W26-LARGE(FILTER(I$4:I1673,I$4:I1673&lt;=W"&amp;"26),1))*INDEX(F$4:F1673,MATCH(LARGE(FILTER(I$4:I1673,I$4:I1673&lt;=W26),1),I$4:I1673))))"),0.0)</f>
        <v>0</v>
      </c>
      <c r="N26" s="60">
        <f t="shared" si="8"/>
        <v>0</v>
      </c>
      <c r="O26" s="61">
        <f t="shared" si="9"/>
        <v>0</v>
      </c>
      <c r="P26" s="56">
        <f t="shared" si="10"/>
        <v>8</v>
      </c>
      <c r="Q26" s="67" t="s">
        <v>3</v>
      </c>
      <c r="R26" s="10" t="b">
        <f>IFERROR(__xludf.DUMMYFUNCTION("IF(COUNTA(Q26:Q1673)=0,"""",IF(ISBLANK(Q26),FALSE,IF(NOT(COUNTIF($AA$24:$AA$34,SUBSTITUTE(Q26,""Sell_"",""""))),1,IF(REGEXMATCH(Q26,""Sell_""),IF(COUNTIF(Q$4:Q26,SUBSTITUTE(Q26,""Sell_"",""""))-COUNTIF(Q$4:Q25,Q26)&lt;1,1),FALSE))))"),FALSE)</f>
        <v>0</v>
      </c>
      <c r="S26" s="59">
        <f t="array" ref="S26">IF(COUNTA(Q26:Q1673)=0,"",SUM((COUNTIF(Q$4:Q26,Upgrades!$B$3:$B$13)-COUNTIF(Q$4:Q26,"Sell_"&amp;Upgrades!$B$3:$B$13))*Upgrades!$D$3:$D$13))</f>
        <v>45.3</v>
      </c>
      <c r="T26" s="66">
        <f>IFERROR(__xludf.DUMMYFUNCTION("IF(COUNTA(Q26:Q1673)=0,"""",IF(REGEXMATCH(INDEX(FILTER(Q$4:Q26,Q$4:Q26&lt;&gt;""""),ROWS(FILTER(Q$4:Q26,Q$4:Q26&lt;&gt;""""))),""^Sell_""),INDEX(FILTER(T$4:T25,Q$4:Q25&lt;&gt;""""),ROWS(FILTER(Q$4:Q25,Q$4:Q25&lt;&gt;""""))),$AD$5+S26))"),60.3)</f>
        <v>60.3</v>
      </c>
      <c r="U26" s="10">
        <f>IFERROR(__xludf.DUMMYFUNCTION("IF(COUNTA(Q26:Q1673)=0,"""",IF(Q26="""",0,IF(REGEXMATCH(Q26,""^Sell_""),-ROUNDDOWN(ROUNDUP(INDEX(Upgrades!$C$3:$C$13,MATCH(SUBSTITUTE(Q26,""Sell_"",""""),Upgrades!$B$3:$B$13,0))*1.15^(COUNTIF(Q$4:Q25,SUBSTITUTE(Q26,""Sell_"",""""))-COUNTIF(Q$4:Q25,""Sell_"&amp;"""&amp;SUBSTITUTE(Q26,""Sell_"",""""))))/2),ROUNDUP(INDEX(Upgrades!$C$3:$C$13,MATCH(Q26,Upgrades!$B$3:$B$13,0))*1.15^(COUNTIF(Q$4:Q25,Q26)-COUNTIF(Q$4:Q25,""Sell_""&amp;Q26))))))"),40.0)</f>
        <v>40</v>
      </c>
      <c r="V26" s="10">
        <f t="shared" si="11"/>
        <v>40</v>
      </c>
      <c r="W26" s="68">
        <f t="shared" si="12"/>
        <v>314.3355911</v>
      </c>
      <c r="X26" s="59" t="str">
        <f t="shared" si="13"/>
        <v>5m 14s</v>
      </c>
      <c r="Y26" s="69">
        <f t="shared" si="14"/>
        <v>10752</v>
      </c>
      <c r="Z26" s="11"/>
      <c r="AA26" s="15" t="s">
        <v>5</v>
      </c>
      <c r="AB26" s="97" t="s">
        <v>55</v>
      </c>
    </row>
    <row r="27">
      <c r="A27" s="8"/>
      <c r="B27" s="56">
        <f t="shared" si="2"/>
        <v>2</v>
      </c>
      <c r="C27" s="57" t="s">
        <v>6</v>
      </c>
      <c r="D27" s="10" t="b">
        <f>IFERROR(__xludf.DUMMYFUNCTION("IF(COUNTA(C27:C1673)=0,"""",IF(ISBLANK(C27),FALSE,IF(NOT(COUNTIF($AA$24:$AA$34,SUBSTITUTE(C27,""Sell_"",""""))),1,IF(REGEXMATCH(C27,""Sell_""),IF(COUNTIF(C$4:C27,SUBSTITUTE(C27,""Sell_"",""""))-COUNTIF(C$4:C26,C27)&lt;1,1),FALSE))))"),FALSE)</f>
        <v>0</v>
      </c>
      <c r="E27" s="59">
        <f t="array" ref="E27">IF(COUNTA(C27:C1673)=0,"",SUM((COUNTIF(C$4:C27,Upgrades!$B$3:$B$13)-COUNTIF(C$4:C27,"Sell_"&amp;Upgrades!$B$3:$B$13))*Upgrades!$D$3:$D$13))</f>
        <v>55.3</v>
      </c>
      <c r="F27" s="66">
        <f>IFERROR(__xludf.DUMMYFUNCTION("IF(COUNTA(C27:C1673)=0,"""",IF(REGEXMATCH(INDEX(FILTER(C$4:C27,C$4:C27&lt;&gt;""""),ROWS(FILTER(C$4:C27,C$4:C27&lt;&gt;""""))),""^Sell_""),INDEX(FILTER(F$4:F26,C$4:C26&lt;&gt;""""),ROWS(FILTER(C$4:C26,C$4:C26&lt;&gt;""""))),$AC$5+E27))"),70.3)</f>
        <v>70.3</v>
      </c>
      <c r="G27" s="10">
        <f>IFERROR(__xludf.DUMMYFUNCTION("IF(COUNTA(C27:C1673)=0,"""",IF(C27="""",0,IF(REGEXMATCH(C27,""^Sell_""),-ROUNDDOWN(ROUNDUP(INDEX(Upgrades!$C$3:$C$13,MATCH(SUBSTITUTE(C27,""Sell_"",""""),Upgrades!$B$3:$B$13,0))*1.15^(COUNTIF(C$4:C26,SUBSTITUTE(C27,""Sell_"",""""))-COUNTIF(C$4:C26,""Sell_"&amp;"""&amp;SUBSTITUTE(C27,""Sell_"",""""))))/2),ROUNDUP(INDEX(Upgrades!$C$3:$C$13,MATCH(C27,Upgrades!$B$3:$B$13,0))*1.15^(COUNTIF(C$4:C26,C27)-COUNTIF(C$4:C26,""Sell_""&amp;C27))))))"),3450.0)</f>
        <v>3450</v>
      </c>
      <c r="H27" s="10">
        <f t="shared" si="3"/>
        <v>3450</v>
      </c>
      <c r="I27" s="68">
        <f t="shared" si="4"/>
        <v>371.5495214</v>
      </c>
      <c r="J27" s="59" t="str">
        <f t="shared" si="5"/>
        <v>6m 11s</v>
      </c>
      <c r="K27" s="69">
        <f t="shared" si="6"/>
        <v>14202</v>
      </c>
      <c r="L27" s="60">
        <f t="shared" si="7"/>
        <v>0</v>
      </c>
      <c r="M27" s="61">
        <f>IFERROR(__xludf.DUMMYFUNCTION("IFS(AND(COUNTA(C27:C1673)=0,COUNTA(Q27:Q1673)=0),"""",OR(AND(K27&gt;=1000000000,OR(Y27&gt;=1000000000,COUNTA(Q27:Q1673)=0)),OR(Y27&gt;=1000000000,AND(COUNTA(C27:C1673)=0,P$3=TRUE))),
ROUNDDOWN((AB$1-AC$1)*MAX(INDEX(T$4:T1673,MATCH(LARGE(FILTER(Y$4:Y1673,Y$4:Y1673&lt;"&amp;"1000000000),1),Y$4:Y1673)),INDEX(F$4:F1673,MATCH(LARGE(FILTER(K$4:K1673,K$4:K1673&lt;1000000000),1),K$4:K1673)))),AND(K27&lt;1000000000,COUNTA(C27:C1673)&gt;0,P$3=FALSE),
ROUNDDOWN(INDEX(Y$4:Y1673,MATCH(LARGE(FILTER(W$4:W1673,W$4:W1673&lt;=I27),1),W$4:W1673))+(I27-LA"&amp;"RGE(FILTER(W$4:W1673,W$4:W1673&lt;=I27),1))*INDEX(T$4:T1673,MATCH(LARGE(FILTER(W$4:W1673,W$4:W1673&lt;=I27),1),W$4:W1673))-K27),1,
ROUNDDOWN(Y27-INDEX(K$4:K1673,MATCH(LARGE(FILTER(I$4:I1673,I$4:I1673&lt;=W27),1),I$4:I1673))-(W27-LARGE(FILTER(I$4:I1673,I$4:I1673&lt;=W"&amp;"27),1))*INDEX(F$4:F1673,MATCH(LARGE(FILTER(I$4:I1673,I$4:I1673&lt;=W27),1),I$4:I1673))))"),0.0)</f>
        <v>0</v>
      </c>
      <c r="N27" s="60">
        <f t="shared" si="8"/>
        <v>0</v>
      </c>
      <c r="O27" s="61">
        <f t="shared" si="9"/>
        <v>0</v>
      </c>
      <c r="P27" s="56">
        <f t="shared" si="10"/>
        <v>2</v>
      </c>
      <c r="Q27" s="67" t="s">
        <v>6</v>
      </c>
      <c r="R27" s="10" t="b">
        <f>IFERROR(__xludf.DUMMYFUNCTION("IF(COUNTA(Q27:Q1673)=0,"""",IF(ISBLANK(Q27),FALSE,IF(NOT(COUNTIF($AA$24:$AA$34,SUBSTITUTE(Q27,""Sell_"",""""))),1,IF(REGEXMATCH(Q27,""Sell_""),IF(COUNTIF(Q$4:Q27,SUBSTITUTE(Q27,""Sell_"",""""))-COUNTIF(Q$4:Q26,Q27)&lt;1,1),FALSE))))"),FALSE)</f>
        <v>0</v>
      </c>
      <c r="S27" s="59">
        <f t="array" ref="S27">IF(COUNTA(Q27:Q1673)=0,"",SUM((COUNTIF(Q$4:Q27,Upgrades!$B$3:$B$13)-COUNTIF(Q$4:Q27,"Sell_"&amp;Upgrades!$B$3:$B$13))*Upgrades!$D$3:$D$13))</f>
        <v>55.3</v>
      </c>
      <c r="T27" s="66">
        <f>IFERROR(__xludf.DUMMYFUNCTION("IF(COUNTA(Q27:Q1673)=0,"""",IF(REGEXMATCH(INDEX(FILTER(Q$4:Q27,Q$4:Q27&lt;&gt;""""),ROWS(FILTER(Q$4:Q27,Q$4:Q27&lt;&gt;""""))),""^Sell_""),INDEX(FILTER(T$4:T26,Q$4:Q26&lt;&gt;""""),ROWS(FILTER(Q$4:Q26,Q$4:Q26&lt;&gt;""""))),$AD$5+S27))"),70.3)</f>
        <v>70.3</v>
      </c>
      <c r="U27" s="10">
        <f>IFERROR(__xludf.DUMMYFUNCTION("IF(COUNTA(Q27:Q1673)=0,"""",IF(Q27="""",0,IF(REGEXMATCH(Q27,""^Sell_""),-ROUNDDOWN(ROUNDUP(INDEX(Upgrades!$C$3:$C$13,MATCH(SUBSTITUTE(Q27,""Sell_"",""""),Upgrades!$B$3:$B$13,0))*1.15^(COUNTIF(Q$4:Q26,SUBSTITUTE(Q27,""Sell_"",""""))-COUNTIF(Q$4:Q26,""Sell_"&amp;"""&amp;SUBSTITUTE(Q27,""Sell_"",""""))))/2),ROUNDUP(INDEX(Upgrades!$C$3:$C$13,MATCH(Q27,Upgrades!$B$3:$B$13,0))*1.15^(COUNTIF(Q$4:Q26,Q27)-COUNTIF(Q$4:Q26,""Sell_""&amp;Q27))))))"),3450.0)</f>
        <v>3450</v>
      </c>
      <c r="V27" s="10">
        <f t="shared" si="11"/>
        <v>3450</v>
      </c>
      <c r="W27" s="68">
        <f t="shared" si="12"/>
        <v>371.5495214</v>
      </c>
      <c r="X27" s="59" t="str">
        <f t="shared" si="13"/>
        <v>6m 11s</v>
      </c>
      <c r="Y27" s="69">
        <f t="shared" si="14"/>
        <v>14202</v>
      </c>
      <c r="Z27" s="11"/>
      <c r="AA27" s="15" t="s">
        <v>6</v>
      </c>
      <c r="AB27" s="97" t="s">
        <v>55</v>
      </c>
    </row>
    <row r="28">
      <c r="A28" s="8"/>
      <c r="B28" s="56">
        <f t="shared" si="2"/>
        <v>1</v>
      </c>
      <c r="C28" s="57" t="s">
        <v>7</v>
      </c>
      <c r="D28" s="10" t="b">
        <f>IFERROR(__xludf.DUMMYFUNCTION("IF(COUNTA(C28:C1673)=0,"""",IF(ISBLANK(C28),FALSE,IF(NOT(COUNTIF($AA$24:$AA$34,SUBSTITUTE(C28,""Sell_"",""""))),1,IF(REGEXMATCH(C28,""Sell_""),IF(COUNTIF(C$4:C28,SUBSTITUTE(C28,""Sell_"",""""))-COUNTIF(C$4:C27,C28)&lt;1,1),FALSE))))"),FALSE)</f>
        <v>0</v>
      </c>
      <c r="E28" s="59">
        <f t="array" ref="E28">IF(COUNTA(C28:C1673)=0,"",SUM((COUNTIF(C$4:C28,Upgrades!$B$3:$B$13)-COUNTIF(C$4:C28,"Sell_"&amp;Upgrades!$B$3:$B$13))*Upgrades!$D$3:$D$13))</f>
        <v>95.3</v>
      </c>
      <c r="F28" s="66">
        <f>IFERROR(__xludf.DUMMYFUNCTION("IF(COUNTA(C28:C1673)=0,"""",IF(REGEXMATCH(INDEX(FILTER(C$4:C28,C$4:C28&lt;&gt;""""),ROWS(FILTER(C$4:C28,C$4:C28&lt;&gt;""""))),""^Sell_""),INDEX(FILTER(F$4:F27,C$4:C27&lt;&gt;""""),ROWS(FILTER(C$4:C27,C$4:C27&lt;&gt;""""))),$AC$5+E28))"),110.3)</f>
        <v>110.3</v>
      </c>
      <c r="G28" s="10">
        <f>IFERROR(__xludf.DUMMYFUNCTION("IF(COUNTA(C28:C1673)=0,"""",IF(C28="""",0,IF(REGEXMATCH(C28,""^Sell_""),-ROUNDDOWN(ROUNDUP(INDEX(Upgrades!$C$3:$C$13,MATCH(SUBSTITUTE(C28,""Sell_"",""""),Upgrades!$B$3:$B$13,0))*1.15^(COUNTIF(C$4:C27,SUBSTITUTE(C28,""Sell_"",""""))-COUNTIF(C$4:C27,""Sell_"&amp;"""&amp;SUBSTITUTE(C28,""Sell_"",""""))))/2),ROUNDUP(INDEX(Upgrades!$C$3:$C$13,MATCH(C28,Upgrades!$B$3:$B$13,0))*1.15^(COUNTIF(C$4:C27,C28)-COUNTIF(C$4:C27,""Sell_""&amp;C28))))))"),10000.0)</f>
        <v>10000</v>
      </c>
      <c r="H28" s="10">
        <f t="shared" si="3"/>
        <v>10000</v>
      </c>
      <c r="I28" s="68">
        <f t="shared" si="4"/>
        <v>513.7970321</v>
      </c>
      <c r="J28" s="59" t="str">
        <f t="shared" si="5"/>
        <v>8m 33s</v>
      </c>
      <c r="K28" s="69">
        <f t="shared" si="6"/>
        <v>24202</v>
      </c>
      <c r="L28" s="60">
        <f t="shared" si="7"/>
        <v>0</v>
      </c>
      <c r="M28" s="61">
        <f>IFERROR(__xludf.DUMMYFUNCTION("IFS(AND(COUNTA(C28:C1673)=0,COUNTA(Q28:Q1673)=0),"""",OR(AND(K28&gt;=1000000000,OR(Y28&gt;=1000000000,COUNTA(Q28:Q1673)=0)),OR(Y28&gt;=1000000000,AND(COUNTA(C28:C1673)=0,P$3=TRUE))),
ROUNDDOWN((AB$1-AC$1)*MAX(INDEX(T$4:T1673,MATCH(LARGE(FILTER(Y$4:Y1673,Y$4:Y1673&lt;"&amp;"1000000000),1),Y$4:Y1673)),INDEX(F$4:F1673,MATCH(LARGE(FILTER(K$4:K1673,K$4:K1673&lt;1000000000),1),K$4:K1673)))),AND(K28&lt;1000000000,COUNTA(C28:C1673)&gt;0,P$3=FALSE),
ROUNDDOWN(INDEX(Y$4:Y1673,MATCH(LARGE(FILTER(W$4:W1673,W$4:W1673&lt;=I28),1),W$4:W1673))+(I28-LA"&amp;"RGE(FILTER(W$4:W1673,W$4:W1673&lt;=I28),1))*INDEX(T$4:T1673,MATCH(LARGE(FILTER(W$4:W1673,W$4:W1673&lt;=I28),1),W$4:W1673))-K28),1,
ROUNDDOWN(Y28-INDEX(K$4:K1673,MATCH(LARGE(FILTER(I$4:I1673,I$4:I1673&lt;=W28),1),I$4:I1673))-(W28-LARGE(FILTER(I$4:I1673,I$4:I1673&lt;=W"&amp;"28),1))*INDEX(F$4:F1673,MATCH(LARGE(FILTER(I$4:I1673,I$4:I1673&lt;=W28),1),I$4:I1673))))"),0.0)</f>
        <v>0</v>
      </c>
      <c r="N28" s="60">
        <f t="shared" si="8"/>
        <v>0</v>
      </c>
      <c r="O28" s="61">
        <f t="shared" si="9"/>
        <v>0</v>
      </c>
      <c r="P28" s="56">
        <f t="shared" si="10"/>
        <v>1</v>
      </c>
      <c r="Q28" s="67" t="s">
        <v>7</v>
      </c>
      <c r="R28" s="10" t="b">
        <f>IFERROR(__xludf.DUMMYFUNCTION("IF(COUNTA(Q28:Q1673)=0,"""",IF(ISBLANK(Q28),FALSE,IF(NOT(COUNTIF($AA$24:$AA$34,SUBSTITUTE(Q28,""Sell_"",""""))),1,IF(REGEXMATCH(Q28,""Sell_""),IF(COUNTIF(Q$4:Q28,SUBSTITUTE(Q28,""Sell_"",""""))-COUNTIF(Q$4:Q27,Q28)&lt;1,1),FALSE))))"),FALSE)</f>
        <v>0</v>
      </c>
      <c r="S28" s="59">
        <f t="array" ref="S28">IF(COUNTA(Q28:Q1673)=0,"",SUM((COUNTIF(Q$4:Q28,Upgrades!$B$3:$B$13)-COUNTIF(Q$4:Q28,"Sell_"&amp;Upgrades!$B$3:$B$13))*Upgrades!$D$3:$D$13))</f>
        <v>95.3</v>
      </c>
      <c r="T28" s="66">
        <f>IFERROR(__xludf.DUMMYFUNCTION("IF(COUNTA(Q28:Q1673)=0,"""",IF(REGEXMATCH(INDEX(FILTER(Q$4:Q28,Q$4:Q28&lt;&gt;""""),ROWS(FILTER(Q$4:Q28,Q$4:Q28&lt;&gt;""""))),""^Sell_""),INDEX(FILTER(T$4:T27,Q$4:Q27&lt;&gt;""""),ROWS(FILTER(Q$4:Q27,Q$4:Q27&lt;&gt;""""))),$AD$5+S28))"),110.3)</f>
        <v>110.3</v>
      </c>
      <c r="U28" s="10">
        <f>IFERROR(__xludf.DUMMYFUNCTION("IF(COUNTA(Q28:Q1673)=0,"""",IF(Q28="""",0,IF(REGEXMATCH(Q28,""^Sell_""),-ROUNDDOWN(ROUNDUP(INDEX(Upgrades!$C$3:$C$13,MATCH(SUBSTITUTE(Q28,""Sell_"",""""),Upgrades!$B$3:$B$13,0))*1.15^(COUNTIF(Q$4:Q27,SUBSTITUTE(Q28,""Sell_"",""""))-COUNTIF(Q$4:Q27,""Sell_"&amp;"""&amp;SUBSTITUTE(Q28,""Sell_"",""""))))/2),ROUNDUP(INDEX(Upgrades!$C$3:$C$13,MATCH(Q28,Upgrades!$B$3:$B$13,0))*1.15^(COUNTIF(Q$4:Q27,Q28)-COUNTIF(Q$4:Q27,""Sell_""&amp;Q28))))))"),10000.0)</f>
        <v>10000</v>
      </c>
      <c r="V28" s="10">
        <f t="shared" si="11"/>
        <v>10000</v>
      </c>
      <c r="W28" s="68">
        <f t="shared" si="12"/>
        <v>513.7970321</v>
      </c>
      <c r="X28" s="59" t="str">
        <f t="shared" si="13"/>
        <v>8m 33s</v>
      </c>
      <c r="Y28" s="69">
        <f t="shared" si="14"/>
        <v>24202</v>
      </c>
      <c r="Z28" s="11"/>
      <c r="AA28" s="15" t="s">
        <v>7</v>
      </c>
      <c r="AB28" s="97" t="s">
        <v>55</v>
      </c>
    </row>
    <row r="29">
      <c r="A29" s="8"/>
      <c r="B29" s="56">
        <f t="shared" si="2"/>
        <v>2</v>
      </c>
      <c r="C29" s="57" t="s">
        <v>7</v>
      </c>
      <c r="D29" s="10" t="b">
        <f>IFERROR(__xludf.DUMMYFUNCTION("IF(COUNTA(C29:C1673)=0,"""",IF(ISBLANK(C29),FALSE,IF(NOT(COUNTIF($AA$24:$AA$34,SUBSTITUTE(C29,""Sell_"",""""))),1,IF(REGEXMATCH(C29,""Sell_""),IF(COUNTIF(C$4:C29,SUBSTITUTE(C29,""Sell_"",""""))-COUNTIF(C$4:C28,C29)&lt;1,1),FALSE))))"),FALSE)</f>
        <v>0</v>
      </c>
      <c r="E29" s="59">
        <f t="array" ref="E29">IF(COUNTA(C29:C1673)=0,"",SUM((COUNTIF(C$4:C29,Upgrades!$B$3:$B$13)-COUNTIF(C$4:C29,"Sell_"&amp;Upgrades!$B$3:$B$13))*Upgrades!$D$3:$D$13))</f>
        <v>135.3</v>
      </c>
      <c r="F29" s="66">
        <f>IFERROR(__xludf.DUMMYFUNCTION("IF(COUNTA(C29:C1673)=0,"""",IF(REGEXMATCH(INDEX(FILTER(C$4:C29,C$4:C29&lt;&gt;""""),ROWS(FILTER(C$4:C29,C$4:C29&lt;&gt;""""))),""^Sell_""),INDEX(FILTER(F$4:F28,C$4:C28&lt;&gt;""""),ROWS(FILTER(C$4:C28,C$4:C28&lt;&gt;""""))),$AC$5+E29))"),150.3)</f>
        <v>150.3</v>
      </c>
      <c r="G29" s="10">
        <f>IFERROR(__xludf.DUMMYFUNCTION("IF(COUNTA(C29:C1673)=0,"""",IF(C29="""",0,IF(REGEXMATCH(C29,""^Sell_""),-ROUNDDOWN(ROUNDUP(INDEX(Upgrades!$C$3:$C$13,MATCH(SUBSTITUTE(C29,""Sell_"",""""),Upgrades!$B$3:$B$13,0))*1.15^(COUNTIF(C$4:C28,SUBSTITUTE(C29,""Sell_"",""""))-COUNTIF(C$4:C28,""Sell_"&amp;"""&amp;SUBSTITUTE(C29,""Sell_"",""""))))/2),ROUNDUP(INDEX(Upgrades!$C$3:$C$13,MATCH(C29,Upgrades!$B$3:$B$13,0))*1.15^(COUNTIF(C$4:C28,C29)-COUNTIF(C$4:C28,""Sell_""&amp;C29))))))"),11500.0)</f>
        <v>11500</v>
      </c>
      <c r="H29" s="10">
        <f t="shared" si="3"/>
        <v>11500</v>
      </c>
      <c r="I29" s="68">
        <f t="shared" si="4"/>
        <v>618.0581382</v>
      </c>
      <c r="J29" s="59" t="str">
        <f t="shared" si="5"/>
        <v>10m 18s</v>
      </c>
      <c r="K29" s="69">
        <f t="shared" si="6"/>
        <v>35702</v>
      </c>
      <c r="L29" s="60">
        <f t="shared" si="7"/>
        <v>0</v>
      </c>
      <c r="M29" s="61">
        <f>IFERROR(__xludf.DUMMYFUNCTION("IFS(AND(COUNTA(C29:C1673)=0,COUNTA(Q29:Q1673)=0),"""",OR(AND(K29&gt;=1000000000,OR(Y29&gt;=1000000000,COUNTA(Q29:Q1673)=0)),OR(Y29&gt;=1000000000,AND(COUNTA(C29:C1673)=0,P$3=TRUE))),
ROUNDDOWN((AB$1-AC$1)*MAX(INDEX(T$4:T1673,MATCH(LARGE(FILTER(Y$4:Y1673,Y$4:Y1673&lt;"&amp;"1000000000),1),Y$4:Y1673)),INDEX(F$4:F1673,MATCH(LARGE(FILTER(K$4:K1673,K$4:K1673&lt;1000000000),1),K$4:K1673)))),AND(K29&lt;1000000000,COUNTA(C29:C1673)&gt;0,P$3=FALSE),
ROUNDDOWN(INDEX(Y$4:Y1673,MATCH(LARGE(FILTER(W$4:W1673,W$4:W1673&lt;=I29),1),W$4:W1673))+(I29-LA"&amp;"RGE(FILTER(W$4:W1673,W$4:W1673&lt;=I29),1))*INDEX(T$4:T1673,MATCH(LARGE(FILTER(W$4:W1673,W$4:W1673&lt;=I29),1),W$4:W1673))-K29),1,
ROUNDDOWN(Y29-INDEX(K$4:K1673,MATCH(LARGE(FILTER(I$4:I1673,I$4:I1673&lt;=W29),1),I$4:I1673))-(W29-LARGE(FILTER(I$4:I1673,I$4:I1673&lt;=W"&amp;"29),1))*INDEX(F$4:F1673,MATCH(LARGE(FILTER(I$4:I1673,I$4:I1673&lt;=W29),1),I$4:I1673))))"),0.0)</f>
        <v>0</v>
      </c>
      <c r="N29" s="60">
        <f t="shared" si="8"/>
        <v>0</v>
      </c>
      <c r="O29" s="61">
        <f t="shared" si="9"/>
        <v>0</v>
      </c>
      <c r="P29" s="56">
        <f t="shared" si="10"/>
        <v>2</v>
      </c>
      <c r="Q29" s="67" t="s">
        <v>7</v>
      </c>
      <c r="R29" s="10" t="b">
        <f>IFERROR(__xludf.DUMMYFUNCTION("IF(COUNTA(Q29:Q1673)=0,"""",IF(ISBLANK(Q29),FALSE,IF(NOT(COUNTIF($AA$24:$AA$34,SUBSTITUTE(Q29,""Sell_"",""""))),1,IF(REGEXMATCH(Q29,""Sell_""),IF(COUNTIF(Q$4:Q29,SUBSTITUTE(Q29,""Sell_"",""""))-COUNTIF(Q$4:Q28,Q29)&lt;1,1),FALSE))))"),FALSE)</f>
        <v>0</v>
      </c>
      <c r="S29" s="59">
        <f t="array" ref="S29">IF(COUNTA(Q29:Q1673)=0,"",SUM((COUNTIF(Q$4:Q29,Upgrades!$B$3:$B$13)-COUNTIF(Q$4:Q29,"Sell_"&amp;Upgrades!$B$3:$B$13))*Upgrades!$D$3:$D$13))</f>
        <v>135.3</v>
      </c>
      <c r="T29" s="66">
        <f>IFERROR(__xludf.DUMMYFUNCTION("IF(COUNTA(Q29:Q1673)=0,"""",IF(REGEXMATCH(INDEX(FILTER(Q$4:Q29,Q$4:Q29&lt;&gt;""""),ROWS(FILTER(Q$4:Q29,Q$4:Q29&lt;&gt;""""))),""^Sell_""),INDEX(FILTER(T$4:T28,Q$4:Q28&lt;&gt;""""),ROWS(FILTER(Q$4:Q28,Q$4:Q28&lt;&gt;""""))),$AD$5+S29))"),150.3)</f>
        <v>150.3</v>
      </c>
      <c r="U29" s="10">
        <f>IFERROR(__xludf.DUMMYFUNCTION("IF(COUNTA(Q29:Q1673)=0,"""",IF(Q29="""",0,IF(REGEXMATCH(Q29,""^Sell_""),-ROUNDDOWN(ROUNDUP(INDEX(Upgrades!$C$3:$C$13,MATCH(SUBSTITUTE(Q29,""Sell_"",""""),Upgrades!$B$3:$B$13,0))*1.15^(COUNTIF(Q$4:Q28,SUBSTITUTE(Q29,""Sell_"",""""))-COUNTIF(Q$4:Q28,""Sell_"&amp;"""&amp;SUBSTITUTE(Q29,""Sell_"",""""))))/2),ROUNDUP(INDEX(Upgrades!$C$3:$C$13,MATCH(Q29,Upgrades!$B$3:$B$13,0))*1.15^(COUNTIF(Q$4:Q28,Q29)-COUNTIF(Q$4:Q28,""Sell_""&amp;Q29))))))"),11500.0)</f>
        <v>11500</v>
      </c>
      <c r="V29" s="10">
        <f t="shared" si="11"/>
        <v>11500</v>
      </c>
      <c r="W29" s="68">
        <f t="shared" si="12"/>
        <v>618.0581382</v>
      </c>
      <c r="X29" s="59" t="str">
        <f t="shared" si="13"/>
        <v>10m 18s</v>
      </c>
      <c r="Y29" s="69">
        <f t="shared" si="14"/>
        <v>35702</v>
      </c>
      <c r="Z29" s="11"/>
      <c r="AA29" s="15" t="s">
        <v>8</v>
      </c>
      <c r="AB29" s="97" t="s">
        <v>55</v>
      </c>
    </row>
    <row r="30">
      <c r="A30" s="8"/>
      <c r="B30" s="56">
        <f t="shared" si="2"/>
        <v>9</v>
      </c>
      <c r="C30" s="57" t="s">
        <v>5</v>
      </c>
      <c r="D30" s="10" t="b">
        <f>IFERROR(__xludf.DUMMYFUNCTION("IF(COUNTA(C30:C1673)=0,"""",IF(ISBLANK(C30),FALSE,IF(NOT(COUNTIF($AA$24:$AA$34,SUBSTITUTE(C30,""Sell_"",""""))),1,IF(REGEXMATCH(C30,""Sell_""),IF(COUNTIF(C$4:C30,SUBSTITUTE(C30,""Sell_"",""""))-COUNTIF(C$4:C29,C30)&lt;1,1),FALSE))))"),FALSE)</f>
        <v>0</v>
      </c>
      <c r="E30" s="59">
        <f t="array" ref="E30">IF(COUNTA(C30:C1673)=0,"",SUM((COUNTIF(C$4:C30,Upgrades!$B$3:$B$13)-COUNTIF(C$4:C30,"Sell_"&amp;Upgrades!$B$3:$B$13))*Upgrades!$D$3:$D$13))</f>
        <v>139.3</v>
      </c>
      <c r="F30" s="66">
        <f>IFERROR(__xludf.DUMMYFUNCTION("IF(COUNTA(C30:C1673)=0,"""",IF(REGEXMATCH(INDEX(FILTER(C$4:C30,C$4:C30&lt;&gt;""""),ROWS(FILTER(C$4:C30,C$4:C30&lt;&gt;""""))),""^Sell_""),INDEX(FILTER(F$4:F29,C$4:C29&lt;&gt;""""),ROWS(FILTER(C$4:C29,C$4:C29&lt;&gt;""""))),$AC$5+E30))"),154.3)</f>
        <v>154.3</v>
      </c>
      <c r="G30" s="10">
        <f>IFERROR(__xludf.DUMMYFUNCTION("IF(COUNTA(C30:C1673)=0,"""",IF(C30="""",0,IF(REGEXMATCH(C30,""^Sell_""),-ROUNDDOWN(ROUNDUP(INDEX(Upgrades!$C$3:$C$13,MATCH(SUBSTITUTE(C30,""Sell_"",""""),Upgrades!$B$3:$B$13,0))*1.15^(COUNTIF(C$4:C29,SUBSTITUTE(C30,""Sell_"",""""))-COUNTIF(C$4:C29,""Sell_"&amp;"""&amp;SUBSTITUTE(C30,""Sell_"",""""))))/2),ROUNDUP(INDEX(Upgrades!$C$3:$C$13,MATCH(C30,Upgrades!$B$3:$B$13,0))*1.15^(COUNTIF(C$4:C29,C30)-COUNTIF(C$4:C29,""Sell_""&amp;C30))))))"),1530.0)</f>
        <v>1530</v>
      </c>
      <c r="H30" s="10">
        <f t="shared" si="3"/>
        <v>1530</v>
      </c>
      <c r="I30" s="68">
        <f t="shared" si="4"/>
        <v>628.2377789</v>
      </c>
      <c r="J30" s="59" t="str">
        <f t="shared" si="5"/>
        <v>10m 28s</v>
      </c>
      <c r="K30" s="69">
        <f t="shared" si="6"/>
        <v>37232</v>
      </c>
      <c r="L30" s="60">
        <f t="shared" si="7"/>
        <v>0</v>
      </c>
      <c r="M30" s="61">
        <f>IFERROR(__xludf.DUMMYFUNCTION("IFS(AND(COUNTA(C30:C1673)=0,COUNTA(Q30:Q1673)=0),"""",OR(AND(K30&gt;=1000000000,OR(Y30&gt;=1000000000,COUNTA(Q30:Q1673)=0)),OR(Y30&gt;=1000000000,AND(COUNTA(C30:C1673)=0,P$3=TRUE))),
ROUNDDOWN((AB$1-AC$1)*MAX(INDEX(T$4:T1673,MATCH(LARGE(FILTER(Y$4:Y1673,Y$4:Y1673&lt;"&amp;"1000000000),1),Y$4:Y1673)),INDEX(F$4:F1673,MATCH(LARGE(FILTER(K$4:K1673,K$4:K1673&lt;1000000000),1),K$4:K1673)))),AND(K30&lt;1000000000,COUNTA(C30:C1673)&gt;0,P$3=FALSE),
ROUNDDOWN(INDEX(Y$4:Y1673,MATCH(LARGE(FILTER(W$4:W1673,W$4:W1673&lt;=I30),1),W$4:W1673))+(I30-LA"&amp;"RGE(FILTER(W$4:W1673,W$4:W1673&lt;=I30),1))*INDEX(T$4:T1673,MATCH(LARGE(FILTER(W$4:W1673,W$4:W1673&lt;=I30),1),W$4:W1673))-K30),1,
ROUNDDOWN(Y30-INDEX(K$4:K1673,MATCH(LARGE(FILTER(I$4:I1673,I$4:I1673&lt;=W30),1),I$4:I1673))-(W30-LARGE(FILTER(I$4:I1673,I$4:I1673&lt;=W"&amp;"30),1))*INDEX(F$4:F1673,MATCH(LARGE(FILTER(I$4:I1673,I$4:I1673&lt;=W30),1),I$4:I1673))))"),0.0)</f>
        <v>0</v>
      </c>
      <c r="N30" s="60">
        <f t="shared" si="8"/>
        <v>0</v>
      </c>
      <c r="O30" s="61">
        <f t="shared" si="9"/>
        <v>0</v>
      </c>
      <c r="P30" s="56">
        <f t="shared" si="10"/>
        <v>9</v>
      </c>
      <c r="Q30" s="67" t="s">
        <v>5</v>
      </c>
      <c r="R30" s="10" t="b">
        <f>IFERROR(__xludf.DUMMYFUNCTION("IF(COUNTA(Q30:Q1673)=0,"""",IF(ISBLANK(Q30),FALSE,IF(NOT(COUNTIF($AA$24:$AA$34,SUBSTITUTE(Q30,""Sell_"",""""))),1,IF(REGEXMATCH(Q30,""Sell_""),IF(COUNTIF(Q$4:Q30,SUBSTITUTE(Q30,""Sell_"",""""))-COUNTIF(Q$4:Q29,Q30)&lt;1,1),FALSE))))"),FALSE)</f>
        <v>0</v>
      </c>
      <c r="S30" s="59">
        <f t="array" ref="S30">IF(COUNTA(Q30:Q1673)=0,"",SUM((COUNTIF(Q$4:Q30,Upgrades!$B$3:$B$13)-COUNTIF(Q$4:Q30,"Sell_"&amp;Upgrades!$B$3:$B$13))*Upgrades!$D$3:$D$13))</f>
        <v>139.3</v>
      </c>
      <c r="T30" s="66">
        <f>IFERROR(__xludf.DUMMYFUNCTION("IF(COUNTA(Q30:Q1673)=0,"""",IF(REGEXMATCH(INDEX(FILTER(Q$4:Q30,Q$4:Q30&lt;&gt;""""),ROWS(FILTER(Q$4:Q30,Q$4:Q30&lt;&gt;""""))),""^Sell_""),INDEX(FILTER(T$4:T29,Q$4:Q29&lt;&gt;""""),ROWS(FILTER(Q$4:Q29,Q$4:Q29&lt;&gt;""""))),$AD$5+S30))"),154.3)</f>
        <v>154.3</v>
      </c>
      <c r="U30" s="10">
        <f>IFERROR(__xludf.DUMMYFUNCTION("IF(COUNTA(Q30:Q1673)=0,"""",IF(Q30="""",0,IF(REGEXMATCH(Q30,""^Sell_""),-ROUNDDOWN(ROUNDUP(INDEX(Upgrades!$C$3:$C$13,MATCH(SUBSTITUTE(Q30,""Sell_"",""""),Upgrades!$B$3:$B$13,0))*1.15^(COUNTIF(Q$4:Q29,SUBSTITUTE(Q30,""Sell_"",""""))-COUNTIF(Q$4:Q29,""Sell_"&amp;"""&amp;SUBSTITUTE(Q30,""Sell_"",""""))))/2),ROUNDUP(INDEX(Upgrades!$C$3:$C$13,MATCH(Q30,Upgrades!$B$3:$B$13,0))*1.15^(COUNTIF(Q$4:Q29,Q30)-COUNTIF(Q$4:Q29,""Sell_""&amp;Q30))))))"),1530.0)</f>
        <v>1530</v>
      </c>
      <c r="V30" s="10">
        <f t="shared" si="11"/>
        <v>1530</v>
      </c>
      <c r="W30" s="68">
        <f t="shared" si="12"/>
        <v>628.2377789</v>
      </c>
      <c r="X30" s="59" t="str">
        <f t="shared" si="13"/>
        <v>10m 28s</v>
      </c>
      <c r="Y30" s="69">
        <f t="shared" si="14"/>
        <v>37232</v>
      </c>
      <c r="Z30" s="11"/>
      <c r="AA30" s="15" t="s">
        <v>9</v>
      </c>
      <c r="AB30" s="97" t="s">
        <v>55</v>
      </c>
    </row>
    <row r="31">
      <c r="A31" s="8"/>
      <c r="B31" s="56">
        <f t="shared" si="2"/>
        <v>6</v>
      </c>
      <c r="C31" s="57" t="s">
        <v>4</v>
      </c>
      <c r="D31" s="10" t="b">
        <f>IFERROR(__xludf.DUMMYFUNCTION("IF(COUNTA(C31:C1673)=0,"""",IF(ISBLANK(C31),FALSE,IF(NOT(COUNTIF($AA$24:$AA$34,SUBSTITUTE(C31,""Sell_"",""""))),1,IF(REGEXMATCH(C31,""Sell_""),IF(COUNTIF(C$4:C31,SUBSTITUTE(C31,""Sell_"",""""))-COUNTIF(C$4:C30,C31)&lt;1,1),FALSE))))"),FALSE)</f>
        <v>0</v>
      </c>
      <c r="E31" s="59">
        <f t="array" ref="E31">IF(COUNTA(C31:C1673)=0,"",SUM((COUNTIF(C$4:C31,Upgrades!$B$3:$B$13)-COUNTIF(C$4:C31,"Sell_"&amp;Upgrades!$B$3:$B$13))*Upgrades!$D$3:$D$13))</f>
        <v>139.8</v>
      </c>
      <c r="F31" s="66">
        <f>IFERROR(__xludf.DUMMYFUNCTION("IF(COUNTA(C31:C1673)=0,"""",IF(REGEXMATCH(INDEX(FILTER(C$4:C31,C$4:C31&lt;&gt;""""),ROWS(FILTER(C$4:C31,C$4:C31&lt;&gt;""""))),""^Sell_""),INDEX(FILTER(F$4:F30,C$4:C30&lt;&gt;""""),ROWS(FILTER(C$4:C30,C$4:C30&lt;&gt;""""))),$AC$5+E31))"),154.8)</f>
        <v>154.8</v>
      </c>
      <c r="G31" s="10">
        <f>IFERROR(__xludf.DUMMYFUNCTION("IF(COUNTA(C31:C1673)=0,"""",IF(C31="""",0,IF(REGEXMATCH(C31,""^Sell_""),-ROUNDDOWN(ROUNDUP(INDEX(Upgrades!$C$3:$C$13,MATCH(SUBSTITUTE(C31,""Sell_"",""""),Upgrades!$B$3:$B$13,0))*1.15^(COUNTIF(C$4:C30,SUBSTITUTE(C31,""Sell_"",""""))-COUNTIF(C$4:C30,""Sell_"&amp;"""&amp;SUBSTITUTE(C31,""Sell_"",""""))))/2),ROUNDUP(INDEX(Upgrades!$C$3:$C$13,MATCH(C31,Upgrades!$B$3:$B$13,0))*1.15^(COUNTIF(C$4:C30,C31)-COUNTIF(C$4:C30,""Sell_""&amp;C31))))))"),202.0)</f>
        <v>202</v>
      </c>
      <c r="H31" s="10">
        <f t="shared" si="3"/>
        <v>202</v>
      </c>
      <c r="I31" s="68">
        <f t="shared" si="4"/>
        <v>629.5469169</v>
      </c>
      <c r="J31" s="59" t="str">
        <f t="shared" si="5"/>
        <v>10m 29s</v>
      </c>
      <c r="K31" s="69">
        <f t="shared" si="6"/>
        <v>37434</v>
      </c>
      <c r="L31" s="60">
        <f t="shared" si="7"/>
        <v>0</v>
      </c>
      <c r="M31" s="61">
        <f>IFERROR(__xludf.DUMMYFUNCTION("IFS(AND(COUNTA(C31:C1673)=0,COUNTA(Q31:Q1673)=0),"""",OR(AND(K31&gt;=1000000000,OR(Y31&gt;=1000000000,COUNTA(Q31:Q1673)=0)),OR(Y31&gt;=1000000000,AND(COUNTA(C31:C1673)=0,P$3=TRUE))),
ROUNDDOWN((AB$1-AC$1)*MAX(INDEX(T$4:T1673,MATCH(LARGE(FILTER(Y$4:Y1673,Y$4:Y1673&lt;"&amp;"1000000000),1),Y$4:Y1673)),INDEX(F$4:F1673,MATCH(LARGE(FILTER(K$4:K1673,K$4:K1673&lt;1000000000),1),K$4:K1673)))),AND(K31&lt;1000000000,COUNTA(C31:C1673)&gt;0,P$3=FALSE),
ROUNDDOWN(INDEX(Y$4:Y1673,MATCH(LARGE(FILTER(W$4:W1673,W$4:W1673&lt;=I31),1),W$4:W1673))+(I31-LA"&amp;"RGE(FILTER(W$4:W1673,W$4:W1673&lt;=I31),1))*INDEX(T$4:T1673,MATCH(LARGE(FILTER(W$4:W1673,W$4:W1673&lt;=I31),1),W$4:W1673))-K31),1,
ROUNDDOWN(Y31-INDEX(K$4:K1673,MATCH(LARGE(FILTER(I$4:I1673,I$4:I1673&lt;=W31),1),I$4:I1673))-(W31-LARGE(FILTER(I$4:I1673,I$4:I1673&lt;=W"&amp;"31),1))*INDEX(F$4:F1673,MATCH(LARGE(FILTER(I$4:I1673,I$4:I1673&lt;=W31),1),I$4:I1673))))"),0.0)</f>
        <v>0</v>
      </c>
      <c r="N31" s="60">
        <f t="shared" si="8"/>
        <v>0</v>
      </c>
      <c r="O31" s="61">
        <f t="shared" si="9"/>
        <v>0</v>
      </c>
      <c r="P31" s="56">
        <f t="shared" si="10"/>
        <v>6</v>
      </c>
      <c r="Q31" s="67" t="s">
        <v>4</v>
      </c>
      <c r="R31" s="10" t="b">
        <f>IFERROR(__xludf.DUMMYFUNCTION("IF(COUNTA(Q31:Q1673)=0,"""",IF(ISBLANK(Q31),FALSE,IF(NOT(COUNTIF($AA$24:$AA$34,SUBSTITUTE(Q31,""Sell_"",""""))),1,IF(REGEXMATCH(Q31,""Sell_""),IF(COUNTIF(Q$4:Q31,SUBSTITUTE(Q31,""Sell_"",""""))-COUNTIF(Q$4:Q30,Q31)&lt;1,1),FALSE))))"),FALSE)</f>
        <v>0</v>
      </c>
      <c r="S31" s="59">
        <f t="array" ref="S31">IF(COUNTA(Q31:Q1673)=0,"",SUM((COUNTIF(Q$4:Q31,Upgrades!$B$3:$B$13)-COUNTIF(Q$4:Q31,"Sell_"&amp;Upgrades!$B$3:$B$13))*Upgrades!$D$3:$D$13))</f>
        <v>139.8</v>
      </c>
      <c r="T31" s="66">
        <f>IFERROR(__xludf.DUMMYFUNCTION("IF(COUNTA(Q31:Q1673)=0,"""",IF(REGEXMATCH(INDEX(FILTER(Q$4:Q31,Q$4:Q31&lt;&gt;""""),ROWS(FILTER(Q$4:Q31,Q$4:Q31&lt;&gt;""""))),""^Sell_""),INDEX(FILTER(T$4:T30,Q$4:Q30&lt;&gt;""""),ROWS(FILTER(Q$4:Q30,Q$4:Q30&lt;&gt;""""))),$AD$5+S31))"),154.8)</f>
        <v>154.8</v>
      </c>
      <c r="U31" s="10">
        <f>IFERROR(__xludf.DUMMYFUNCTION("IF(COUNTA(Q31:Q1673)=0,"""",IF(Q31="""",0,IF(REGEXMATCH(Q31,""^Sell_""),-ROUNDDOWN(ROUNDUP(INDEX(Upgrades!$C$3:$C$13,MATCH(SUBSTITUTE(Q31,""Sell_"",""""),Upgrades!$B$3:$B$13,0))*1.15^(COUNTIF(Q$4:Q30,SUBSTITUTE(Q31,""Sell_"",""""))-COUNTIF(Q$4:Q30,""Sell_"&amp;"""&amp;SUBSTITUTE(Q31,""Sell_"",""""))))/2),ROUNDUP(INDEX(Upgrades!$C$3:$C$13,MATCH(Q31,Upgrades!$B$3:$B$13,0))*1.15^(COUNTIF(Q$4:Q30,Q31)-COUNTIF(Q$4:Q30,""Sell_""&amp;Q31))))))"),202.0)</f>
        <v>202</v>
      </c>
      <c r="V31" s="10">
        <f t="shared" si="11"/>
        <v>202</v>
      </c>
      <c r="W31" s="68">
        <f t="shared" si="12"/>
        <v>629.5469169</v>
      </c>
      <c r="X31" s="59" t="str">
        <f t="shared" si="13"/>
        <v>10m 29s</v>
      </c>
      <c r="Y31" s="69">
        <f t="shared" si="14"/>
        <v>37434</v>
      </c>
      <c r="Z31" s="11"/>
      <c r="AA31" s="15" t="s">
        <v>10</v>
      </c>
      <c r="AB31" s="97" t="s">
        <v>55</v>
      </c>
    </row>
    <row r="32">
      <c r="A32" s="8"/>
      <c r="B32" s="56">
        <f t="shared" si="2"/>
        <v>3</v>
      </c>
      <c r="C32" s="57" t="s">
        <v>7</v>
      </c>
      <c r="D32" s="10" t="b">
        <f>IFERROR(__xludf.DUMMYFUNCTION("IF(COUNTA(C32:C1673)=0,"""",IF(ISBLANK(C32),FALSE,IF(NOT(COUNTIF($AA$24:$AA$34,SUBSTITUTE(C32,""Sell_"",""""))),1,IF(REGEXMATCH(C32,""Sell_""),IF(COUNTIF(C$4:C32,SUBSTITUTE(C32,""Sell_"",""""))-COUNTIF(C$4:C31,C32)&lt;1,1),FALSE))))"),FALSE)</f>
        <v>0</v>
      </c>
      <c r="E32" s="59">
        <f t="array" ref="E32">IF(COUNTA(C32:C1673)=0,"",SUM((COUNTIF(C$4:C32,Upgrades!$B$3:$B$13)-COUNTIF(C$4:C32,"Sell_"&amp;Upgrades!$B$3:$B$13))*Upgrades!$D$3:$D$13))</f>
        <v>179.8</v>
      </c>
      <c r="F32" s="66">
        <f>IFERROR(__xludf.DUMMYFUNCTION("IF(COUNTA(C32:C1673)=0,"""",IF(REGEXMATCH(INDEX(FILTER(C$4:C32,C$4:C32&lt;&gt;""""),ROWS(FILTER(C$4:C32,C$4:C32&lt;&gt;""""))),""^Sell_""),INDEX(FILTER(F$4:F31,C$4:C31&lt;&gt;""""),ROWS(FILTER(C$4:C31,C$4:C31&lt;&gt;""""))),$AC$5+E32))"),194.8)</f>
        <v>194.8</v>
      </c>
      <c r="G32" s="10">
        <f>IFERROR(__xludf.DUMMYFUNCTION("IF(COUNTA(C32:C1673)=0,"""",IF(C32="""",0,IF(REGEXMATCH(C32,""^Sell_""),-ROUNDDOWN(ROUNDUP(INDEX(Upgrades!$C$3:$C$13,MATCH(SUBSTITUTE(C32,""Sell_"",""""),Upgrades!$B$3:$B$13,0))*1.15^(COUNTIF(C$4:C31,SUBSTITUTE(C32,""Sell_"",""""))-COUNTIF(C$4:C31,""Sell_"&amp;"""&amp;SUBSTITUTE(C32,""Sell_"",""""))))/2),ROUNDUP(INDEX(Upgrades!$C$3:$C$13,MATCH(C32,Upgrades!$B$3:$B$13,0))*1.15^(COUNTIF(C$4:C31,C32)-COUNTIF(C$4:C31,""Sell_""&amp;C32))))))"),13225.0)</f>
        <v>13225</v>
      </c>
      <c r="H32" s="10">
        <f t="shared" si="3"/>
        <v>13225</v>
      </c>
      <c r="I32" s="68">
        <f t="shared" si="4"/>
        <v>714.9797335</v>
      </c>
      <c r="J32" s="59" t="str">
        <f t="shared" si="5"/>
        <v>11m 54s</v>
      </c>
      <c r="K32" s="69">
        <f t="shared" si="6"/>
        <v>50659</v>
      </c>
      <c r="L32" s="60">
        <f t="shared" si="7"/>
        <v>0</v>
      </c>
      <c r="M32" s="61">
        <f>IFERROR(__xludf.DUMMYFUNCTION("IFS(AND(COUNTA(C32:C1673)=0,COUNTA(Q32:Q1673)=0),"""",OR(AND(K32&gt;=1000000000,OR(Y32&gt;=1000000000,COUNTA(Q32:Q1673)=0)),OR(Y32&gt;=1000000000,AND(COUNTA(C32:C1673)=0,P$3=TRUE))),
ROUNDDOWN((AB$1-AC$1)*MAX(INDEX(T$4:T1673,MATCH(LARGE(FILTER(Y$4:Y1673,Y$4:Y1673&lt;"&amp;"1000000000),1),Y$4:Y1673)),INDEX(F$4:F1673,MATCH(LARGE(FILTER(K$4:K1673,K$4:K1673&lt;1000000000),1),K$4:K1673)))),AND(K32&lt;1000000000,COUNTA(C32:C1673)&gt;0,P$3=FALSE),
ROUNDDOWN(INDEX(Y$4:Y1673,MATCH(LARGE(FILTER(W$4:W1673,W$4:W1673&lt;=I32),1),W$4:W1673))+(I32-LA"&amp;"RGE(FILTER(W$4:W1673,W$4:W1673&lt;=I32),1))*INDEX(T$4:T1673,MATCH(LARGE(FILTER(W$4:W1673,W$4:W1673&lt;=I32),1),W$4:W1673))-K32),1,
ROUNDDOWN(Y32-INDEX(K$4:K1673,MATCH(LARGE(FILTER(I$4:I1673,I$4:I1673&lt;=W32),1),I$4:I1673))-(W32-LARGE(FILTER(I$4:I1673,I$4:I1673&lt;=W"&amp;"32),1))*INDEX(F$4:F1673,MATCH(LARGE(FILTER(I$4:I1673,I$4:I1673&lt;=W32),1),I$4:I1673))))"),0.0)</f>
        <v>0</v>
      </c>
      <c r="N32" s="60">
        <f t="shared" si="8"/>
        <v>0</v>
      </c>
      <c r="O32" s="61">
        <f t="shared" si="9"/>
        <v>0</v>
      </c>
      <c r="P32" s="56">
        <f t="shared" si="10"/>
        <v>3</v>
      </c>
      <c r="Q32" s="67" t="s">
        <v>7</v>
      </c>
      <c r="R32" s="10" t="b">
        <f>IFERROR(__xludf.DUMMYFUNCTION("IF(COUNTA(Q32:Q1673)=0,"""",IF(ISBLANK(Q32),FALSE,IF(NOT(COUNTIF($AA$24:$AA$34,SUBSTITUTE(Q32,""Sell_"",""""))),1,IF(REGEXMATCH(Q32,""Sell_""),IF(COUNTIF(Q$4:Q32,SUBSTITUTE(Q32,""Sell_"",""""))-COUNTIF(Q$4:Q31,Q32)&lt;1,1),FALSE))))"),FALSE)</f>
        <v>0</v>
      </c>
      <c r="S32" s="59">
        <f t="array" ref="S32">IF(COUNTA(Q32:Q1673)=0,"",SUM((COUNTIF(Q$4:Q32,Upgrades!$B$3:$B$13)-COUNTIF(Q$4:Q32,"Sell_"&amp;Upgrades!$B$3:$B$13))*Upgrades!$D$3:$D$13))</f>
        <v>179.8</v>
      </c>
      <c r="T32" s="66">
        <f>IFERROR(__xludf.DUMMYFUNCTION("IF(COUNTA(Q32:Q1673)=0,"""",IF(REGEXMATCH(INDEX(FILTER(Q$4:Q32,Q$4:Q32&lt;&gt;""""),ROWS(FILTER(Q$4:Q32,Q$4:Q32&lt;&gt;""""))),""^Sell_""),INDEX(FILTER(T$4:T31,Q$4:Q31&lt;&gt;""""),ROWS(FILTER(Q$4:Q31,Q$4:Q31&lt;&gt;""""))),$AD$5+S32))"),194.8)</f>
        <v>194.8</v>
      </c>
      <c r="U32" s="10">
        <f>IFERROR(__xludf.DUMMYFUNCTION("IF(COUNTA(Q32:Q1673)=0,"""",IF(Q32="""",0,IF(REGEXMATCH(Q32,""^Sell_""),-ROUNDDOWN(ROUNDUP(INDEX(Upgrades!$C$3:$C$13,MATCH(SUBSTITUTE(Q32,""Sell_"",""""),Upgrades!$B$3:$B$13,0))*1.15^(COUNTIF(Q$4:Q31,SUBSTITUTE(Q32,""Sell_"",""""))-COUNTIF(Q$4:Q31,""Sell_"&amp;"""&amp;SUBSTITUTE(Q32,""Sell_"",""""))))/2),ROUNDUP(INDEX(Upgrades!$C$3:$C$13,MATCH(Q32,Upgrades!$B$3:$B$13,0))*1.15^(COUNTIF(Q$4:Q31,Q32)-COUNTIF(Q$4:Q31,""Sell_""&amp;Q32))))))"),13225.0)</f>
        <v>13225</v>
      </c>
      <c r="V32" s="10">
        <f t="shared" si="11"/>
        <v>13225</v>
      </c>
      <c r="W32" s="68">
        <f t="shared" si="12"/>
        <v>714.9797335</v>
      </c>
      <c r="X32" s="59" t="str">
        <f t="shared" si="13"/>
        <v>11m 54s</v>
      </c>
      <c r="Y32" s="69">
        <f t="shared" si="14"/>
        <v>50659</v>
      </c>
      <c r="Z32" s="11"/>
      <c r="AA32" s="15" t="s">
        <v>11</v>
      </c>
      <c r="AB32" s="97" t="s">
        <v>55</v>
      </c>
    </row>
    <row r="33">
      <c r="A33" s="8"/>
      <c r="B33" s="56">
        <f t="shared" si="2"/>
        <v>3</v>
      </c>
      <c r="C33" s="57" t="s">
        <v>6</v>
      </c>
      <c r="D33" s="10" t="b">
        <f>IFERROR(__xludf.DUMMYFUNCTION("IF(COUNTA(C33:C1673)=0,"""",IF(ISBLANK(C33),FALSE,IF(NOT(COUNTIF($AA$24:$AA$34,SUBSTITUTE(C33,""Sell_"",""""))),1,IF(REGEXMATCH(C33,""Sell_""),IF(COUNTIF(C$4:C33,SUBSTITUTE(C33,""Sell_"",""""))-COUNTIF(C$4:C32,C33)&lt;1,1),FALSE))))"),FALSE)</f>
        <v>0</v>
      </c>
      <c r="E33" s="59">
        <f t="array" ref="E33">IF(COUNTA(C33:C1673)=0,"",SUM((COUNTIF(C$4:C33,Upgrades!$B$3:$B$13)-COUNTIF(C$4:C33,"Sell_"&amp;Upgrades!$B$3:$B$13))*Upgrades!$D$3:$D$13))</f>
        <v>189.8</v>
      </c>
      <c r="F33" s="66">
        <f>IFERROR(__xludf.DUMMYFUNCTION("IF(COUNTA(C33:C1673)=0,"""",IF(REGEXMATCH(INDEX(FILTER(C$4:C33,C$4:C33&lt;&gt;""""),ROWS(FILTER(C$4:C33,C$4:C33&lt;&gt;""""))),""^Sell_""),INDEX(FILTER(F$4:F32,C$4:C32&lt;&gt;""""),ROWS(FILTER(C$4:C32,C$4:C32&lt;&gt;""""))),$AC$5+E33))"),204.8)</f>
        <v>204.8</v>
      </c>
      <c r="G33" s="10">
        <f>IFERROR(__xludf.DUMMYFUNCTION("IF(COUNTA(C33:C1673)=0,"""",IF(C33="""",0,IF(REGEXMATCH(C33,""^Sell_""),-ROUNDDOWN(ROUNDUP(INDEX(Upgrades!$C$3:$C$13,MATCH(SUBSTITUTE(C33,""Sell_"",""""),Upgrades!$B$3:$B$13,0))*1.15^(COUNTIF(C$4:C32,SUBSTITUTE(C33,""Sell_"",""""))-COUNTIF(C$4:C32,""Sell_"&amp;"""&amp;SUBSTITUTE(C33,""Sell_"",""""))))/2),ROUNDUP(INDEX(Upgrades!$C$3:$C$13,MATCH(C33,Upgrades!$B$3:$B$13,0))*1.15^(COUNTIF(C$4:C32,C33)-COUNTIF(C$4:C32,""Sell_""&amp;C33))))))"),3968.0)</f>
        <v>3968</v>
      </c>
      <c r="H33" s="10">
        <f t="shared" si="3"/>
        <v>3968</v>
      </c>
      <c r="I33" s="68">
        <f t="shared" si="4"/>
        <v>735.3493433</v>
      </c>
      <c r="J33" s="59" t="str">
        <f t="shared" si="5"/>
        <v>12m 15s</v>
      </c>
      <c r="K33" s="69">
        <f t="shared" si="6"/>
        <v>54627</v>
      </c>
      <c r="L33" s="60">
        <f t="shared" si="7"/>
        <v>0</v>
      </c>
      <c r="M33" s="61">
        <f>IFERROR(__xludf.DUMMYFUNCTION("IFS(AND(COUNTA(C33:C1673)=0,COUNTA(Q33:Q1673)=0),"""",OR(AND(K33&gt;=1000000000,OR(Y33&gt;=1000000000,COUNTA(Q33:Q1673)=0)),OR(Y33&gt;=1000000000,AND(COUNTA(C33:C1673)=0,P$3=TRUE))),
ROUNDDOWN((AB$1-AC$1)*MAX(INDEX(T$4:T1673,MATCH(LARGE(FILTER(Y$4:Y1673,Y$4:Y1673&lt;"&amp;"1000000000),1),Y$4:Y1673)),INDEX(F$4:F1673,MATCH(LARGE(FILTER(K$4:K1673,K$4:K1673&lt;1000000000),1),K$4:K1673)))),AND(K33&lt;1000000000,COUNTA(C33:C1673)&gt;0,P$3=FALSE),
ROUNDDOWN(INDEX(Y$4:Y1673,MATCH(LARGE(FILTER(W$4:W1673,W$4:W1673&lt;=I33),1),W$4:W1673))+(I33-LA"&amp;"RGE(FILTER(W$4:W1673,W$4:W1673&lt;=I33),1))*INDEX(T$4:T1673,MATCH(LARGE(FILTER(W$4:W1673,W$4:W1673&lt;=I33),1),W$4:W1673))-K33),1,
ROUNDDOWN(Y33-INDEX(K$4:K1673,MATCH(LARGE(FILTER(I$4:I1673,I$4:I1673&lt;=W33),1),I$4:I1673))-(W33-LARGE(FILTER(I$4:I1673,I$4:I1673&lt;=W"&amp;"33),1))*INDEX(F$4:F1673,MATCH(LARGE(FILTER(I$4:I1673,I$4:I1673&lt;=W33),1),I$4:I1673))))"),0.0)</f>
        <v>0</v>
      </c>
      <c r="N33" s="60">
        <f t="shared" si="8"/>
        <v>0</v>
      </c>
      <c r="O33" s="61">
        <f t="shared" si="9"/>
        <v>0</v>
      </c>
      <c r="P33" s="56">
        <f t="shared" si="10"/>
        <v>3</v>
      </c>
      <c r="Q33" s="67" t="s">
        <v>6</v>
      </c>
      <c r="R33" s="10" t="b">
        <f>IFERROR(__xludf.DUMMYFUNCTION("IF(COUNTA(Q33:Q1673)=0,"""",IF(ISBLANK(Q33),FALSE,IF(NOT(COUNTIF($AA$24:$AA$34,SUBSTITUTE(Q33,""Sell_"",""""))),1,IF(REGEXMATCH(Q33,""Sell_""),IF(COUNTIF(Q$4:Q33,SUBSTITUTE(Q33,""Sell_"",""""))-COUNTIF(Q$4:Q32,Q33)&lt;1,1),FALSE))))"),FALSE)</f>
        <v>0</v>
      </c>
      <c r="S33" s="59">
        <f t="array" ref="S33">IF(COUNTA(Q33:Q1673)=0,"",SUM((COUNTIF(Q$4:Q33,Upgrades!$B$3:$B$13)-COUNTIF(Q$4:Q33,"Sell_"&amp;Upgrades!$B$3:$B$13))*Upgrades!$D$3:$D$13))</f>
        <v>189.8</v>
      </c>
      <c r="T33" s="66">
        <f>IFERROR(__xludf.DUMMYFUNCTION("IF(COUNTA(Q33:Q1673)=0,"""",IF(REGEXMATCH(INDEX(FILTER(Q$4:Q33,Q$4:Q33&lt;&gt;""""),ROWS(FILTER(Q$4:Q33,Q$4:Q33&lt;&gt;""""))),""^Sell_""),INDEX(FILTER(T$4:T32,Q$4:Q32&lt;&gt;""""),ROWS(FILTER(Q$4:Q32,Q$4:Q32&lt;&gt;""""))),$AD$5+S33))"),204.8)</f>
        <v>204.8</v>
      </c>
      <c r="U33" s="10">
        <f>IFERROR(__xludf.DUMMYFUNCTION("IF(COUNTA(Q33:Q1673)=0,"""",IF(Q33="""",0,IF(REGEXMATCH(Q33,""^Sell_""),-ROUNDDOWN(ROUNDUP(INDEX(Upgrades!$C$3:$C$13,MATCH(SUBSTITUTE(Q33,""Sell_"",""""),Upgrades!$B$3:$B$13,0))*1.15^(COUNTIF(Q$4:Q32,SUBSTITUTE(Q33,""Sell_"",""""))-COUNTIF(Q$4:Q32,""Sell_"&amp;"""&amp;SUBSTITUTE(Q33,""Sell_"",""""))))/2),ROUNDUP(INDEX(Upgrades!$C$3:$C$13,MATCH(Q33,Upgrades!$B$3:$B$13,0))*1.15^(COUNTIF(Q$4:Q32,Q33)-COUNTIF(Q$4:Q32,""Sell_""&amp;Q33))))))"),3968.0)</f>
        <v>3968</v>
      </c>
      <c r="V33" s="10">
        <f t="shared" si="11"/>
        <v>3968</v>
      </c>
      <c r="W33" s="68">
        <f t="shared" si="12"/>
        <v>735.3493433</v>
      </c>
      <c r="X33" s="59" t="str">
        <f t="shared" si="13"/>
        <v>12m 15s</v>
      </c>
      <c r="Y33" s="69">
        <f t="shared" si="14"/>
        <v>54627</v>
      </c>
      <c r="Z33" s="11"/>
      <c r="AA33" s="15" t="s">
        <v>12</v>
      </c>
      <c r="AB33" s="97" t="s">
        <v>55</v>
      </c>
    </row>
    <row r="34">
      <c r="A34" s="8"/>
      <c r="B34" s="56">
        <f t="shared" si="2"/>
        <v>10</v>
      </c>
      <c r="C34" s="57" t="s">
        <v>5</v>
      </c>
      <c r="D34" s="10" t="b">
        <f>IFERROR(__xludf.DUMMYFUNCTION("IF(COUNTA(C34:C1673)=0,"""",IF(ISBLANK(C34),FALSE,IF(NOT(COUNTIF($AA$24:$AA$34,SUBSTITUTE(C34,""Sell_"",""""))),1,IF(REGEXMATCH(C34,""Sell_""),IF(COUNTIF(C$4:C34,SUBSTITUTE(C34,""Sell_"",""""))-COUNTIF(C$4:C33,C34)&lt;1,1),FALSE))))"),FALSE)</f>
        <v>0</v>
      </c>
      <c r="E34" s="59">
        <f t="array" ref="E34">IF(COUNTA(C34:C1673)=0,"",SUM((COUNTIF(C$4:C34,Upgrades!$B$3:$B$13)-COUNTIF(C$4:C34,"Sell_"&amp;Upgrades!$B$3:$B$13))*Upgrades!$D$3:$D$13))</f>
        <v>193.8</v>
      </c>
      <c r="F34" s="66">
        <f>IFERROR(__xludf.DUMMYFUNCTION("IF(COUNTA(C34:C1673)=0,"""",IF(REGEXMATCH(INDEX(FILTER(C$4:C34,C$4:C34&lt;&gt;""""),ROWS(FILTER(C$4:C34,C$4:C34&lt;&gt;""""))),""^Sell_""),INDEX(FILTER(F$4:F33,C$4:C33&lt;&gt;""""),ROWS(FILTER(C$4:C33,C$4:C33&lt;&gt;""""))),$AC$5+E34))"),208.8)</f>
        <v>208.8</v>
      </c>
      <c r="G34" s="10">
        <f>IFERROR(__xludf.DUMMYFUNCTION("IF(COUNTA(C34:C1673)=0,"""",IF(C34="""",0,IF(REGEXMATCH(C34,""^Sell_""),-ROUNDDOWN(ROUNDUP(INDEX(Upgrades!$C$3:$C$13,MATCH(SUBSTITUTE(C34,""Sell_"",""""),Upgrades!$B$3:$B$13,0))*1.15^(COUNTIF(C$4:C33,SUBSTITUTE(C34,""Sell_"",""""))-COUNTIF(C$4:C33,""Sell_"&amp;"""&amp;SUBSTITUTE(C34,""Sell_"",""""))))/2),ROUNDUP(INDEX(Upgrades!$C$3:$C$13,MATCH(C34,Upgrades!$B$3:$B$13,0))*1.15^(COUNTIF(C$4:C33,C34)-COUNTIF(C$4:C33,""Sell_""&amp;C34))))))"),1759.0)</f>
        <v>1759</v>
      </c>
      <c r="H34" s="10">
        <f t="shared" si="3"/>
        <v>1759</v>
      </c>
      <c r="I34" s="68">
        <f t="shared" si="4"/>
        <v>743.9382105</v>
      </c>
      <c r="J34" s="59" t="str">
        <f t="shared" si="5"/>
        <v>12m 23s</v>
      </c>
      <c r="K34" s="69">
        <f t="shared" si="6"/>
        <v>56386</v>
      </c>
      <c r="L34" s="60">
        <f t="shared" si="7"/>
        <v>0</v>
      </c>
      <c r="M34" s="61">
        <f>IFERROR(__xludf.DUMMYFUNCTION("IFS(AND(COUNTA(C34:C1673)=0,COUNTA(Q34:Q1673)=0),"""",OR(AND(K34&gt;=1000000000,OR(Y34&gt;=1000000000,COUNTA(Q34:Q1673)=0)),OR(Y34&gt;=1000000000,AND(COUNTA(C34:C1673)=0,P$3=TRUE))),
ROUNDDOWN((AB$1-AC$1)*MAX(INDEX(T$4:T1673,MATCH(LARGE(FILTER(Y$4:Y1673,Y$4:Y1673&lt;"&amp;"1000000000),1),Y$4:Y1673)),INDEX(F$4:F1673,MATCH(LARGE(FILTER(K$4:K1673,K$4:K1673&lt;1000000000),1),K$4:K1673)))),AND(K34&lt;1000000000,COUNTA(C34:C1673)&gt;0,P$3=FALSE),
ROUNDDOWN(INDEX(Y$4:Y1673,MATCH(LARGE(FILTER(W$4:W1673,W$4:W1673&lt;=I34),1),W$4:W1673))+(I34-LA"&amp;"RGE(FILTER(W$4:W1673,W$4:W1673&lt;=I34),1))*INDEX(T$4:T1673,MATCH(LARGE(FILTER(W$4:W1673,W$4:W1673&lt;=I34),1),W$4:W1673))-K34),1,
ROUNDDOWN(Y34-INDEX(K$4:K1673,MATCH(LARGE(FILTER(I$4:I1673,I$4:I1673&lt;=W34),1),I$4:I1673))-(W34-LARGE(FILTER(I$4:I1673,I$4:I1673&lt;=W"&amp;"34),1))*INDEX(F$4:F1673,MATCH(LARGE(FILTER(I$4:I1673,I$4:I1673&lt;=W34),1),I$4:I1673))))"),0.0)</f>
        <v>0</v>
      </c>
      <c r="N34" s="60">
        <f t="shared" si="8"/>
        <v>0</v>
      </c>
      <c r="O34" s="61">
        <f t="shared" si="9"/>
        <v>0</v>
      </c>
      <c r="P34" s="56">
        <f t="shared" si="10"/>
        <v>10</v>
      </c>
      <c r="Q34" s="67" t="s">
        <v>5</v>
      </c>
      <c r="R34" s="10" t="b">
        <f>IFERROR(__xludf.DUMMYFUNCTION("IF(COUNTA(Q34:Q1673)=0,"""",IF(ISBLANK(Q34),FALSE,IF(NOT(COUNTIF($AA$24:$AA$34,SUBSTITUTE(Q34,""Sell_"",""""))),1,IF(REGEXMATCH(Q34,""Sell_""),IF(COUNTIF(Q$4:Q34,SUBSTITUTE(Q34,""Sell_"",""""))-COUNTIF(Q$4:Q33,Q34)&lt;1,1),FALSE))))"),FALSE)</f>
        <v>0</v>
      </c>
      <c r="S34" s="59">
        <f t="array" ref="S34">IF(COUNTA(Q34:Q1673)=0,"",SUM((COUNTIF(Q$4:Q34,Upgrades!$B$3:$B$13)-COUNTIF(Q$4:Q34,"Sell_"&amp;Upgrades!$B$3:$B$13))*Upgrades!$D$3:$D$13))</f>
        <v>193.8</v>
      </c>
      <c r="T34" s="66">
        <f>IFERROR(__xludf.DUMMYFUNCTION("IF(COUNTA(Q34:Q1673)=0,"""",IF(REGEXMATCH(INDEX(FILTER(Q$4:Q34,Q$4:Q34&lt;&gt;""""),ROWS(FILTER(Q$4:Q34,Q$4:Q34&lt;&gt;""""))),""^Sell_""),INDEX(FILTER(T$4:T33,Q$4:Q33&lt;&gt;""""),ROWS(FILTER(Q$4:Q33,Q$4:Q33&lt;&gt;""""))),$AD$5+S34))"),208.8)</f>
        <v>208.8</v>
      </c>
      <c r="U34" s="10">
        <f>IFERROR(__xludf.DUMMYFUNCTION("IF(COUNTA(Q34:Q1673)=0,"""",IF(Q34="""",0,IF(REGEXMATCH(Q34,""^Sell_""),-ROUNDDOWN(ROUNDUP(INDEX(Upgrades!$C$3:$C$13,MATCH(SUBSTITUTE(Q34,""Sell_"",""""),Upgrades!$B$3:$B$13,0))*1.15^(COUNTIF(Q$4:Q33,SUBSTITUTE(Q34,""Sell_"",""""))-COUNTIF(Q$4:Q33,""Sell_"&amp;"""&amp;SUBSTITUTE(Q34,""Sell_"",""""))))/2),ROUNDUP(INDEX(Upgrades!$C$3:$C$13,MATCH(Q34,Upgrades!$B$3:$B$13,0))*1.15^(COUNTIF(Q$4:Q33,Q34)-COUNTIF(Q$4:Q33,""Sell_""&amp;Q34))))))"),1759.0)</f>
        <v>1759</v>
      </c>
      <c r="V34" s="10">
        <f t="shared" si="11"/>
        <v>1759</v>
      </c>
      <c r="W34" s="68">
        <f t="shared" si="12"/>
        <v>743.9382105</v>
      </c>
      <c r="X34" s="59" t="str">
        <f t="shared" si="13"/>
        <v>12m 23s</v>
      </c>
      <c r="Y34" s="69">
        <f t="shared" si="14"/>
        <v>56386</v>
      </c>
      <c r="Z34" s="11"/>
      <c r="AA34" s="98" t="s">
        <v>13</v>
      </c>
      <c r="AB34" s="99" t="s">
        <v>55</v>
      </c>
    </row>
    <row r="35">
      <c r="A35" s="8"/>
      <c r="B35" s="56">
        <f t="shared" si="2"/>
        <v>4</v>
      </c>
      <c r="C35" s="57" t="s">
        <v>7</v>
      </c>
      <c r="D35" s="10" t="b">
        <f>IFERROR(__xludf.DUMMYFUNCTION("IF(COUNTA(C35:C1673)=0,"""",IF(ISBLANK(C35),FALSE,IF(NOT(COUNTIF($AA$24:$AA$34,SUBSTITUTE(C35,""Sell_"",""""))),1,IF(REGEXMATCH(C35,""Sell_""),IF(COUNTIF(C$4:C35,SUBSTITUTE(C35,""Sell_"",""""))-COUNTIF(C$4:C34,C35)&lt;1,1),FALSE))))"),FALSE)</f>
        <v>0</v>
      </c>
      <c r="E35" s="59">
        <f t="array" ref="E35">IF(COUNTA(C35:C1673)=0,"",SUM((COUNTIF(C$4:C35,Upgrades!$B$3:$B$13)-COUNTIF(C$4:C35,"Sell_"&amp;Upgrades!$B$3:$B$13))*Upgrades!$D$3:$D$13))</f>
        <v>233.8</v>
      </c>
      <c r="F35" s="66">
        <f>IFERROR(__xludf.DUMMYFUNCTION("IF(COUNTA(C35:C1673)=0,"""",IF(REGEXMATCH(INDEX(FILTER(C$4:C35,C$4:C35&lt;&gt;""""),ROWS(FILTER(C$4:C35,C$4:C35&lt;&gt;""""))),""^Sell_""),INDEX(FILTER(F$4:F34,C$4:C34&lt;&gt;""""),ROWS(FILTER(C$4:C34,C$4:C34&lt;&gt;""""))),$AC$5+E35))"),248.8)</f>
        <v>248.8</v>
      </c>
      <c r="G35" s="10">
        <f>IFERROR(__xludf.DUMMYFUNCTION("IF(COUNTA(C35:C1673)=0,"""",IF(C35="""",0,IF(REGEXMATCH(C35,""^Sell_""),-ROUNDDOWN(ROUNDUP(INDEX(Upgrades!$C$3:$C$13,MATCH(SUBSTITUTE(C35,""Sell_"",""""),Upgrades!$B$3:$B$13,0))*1.15^(COUNTIF(C$4:C34,SUBSTITUTE(C35,""Sell_"",""""))-COUNTIF(C$4:C34,""Sell_"&amp;"""&amp;SUBSTITUTE(C35,""Sell_"",""""))))/2),ROUNDUP(INDEX(Upgrades!$C$3:$C$13,MATCH(C35,Upgrades!$B$3:$B$13,0))*1.15^(COUNTIF(C$4:C34,C35)-COUNTIF(C$4:C34,""Sell_""&amp;C35))))))"),15209.0)</f>
        <v>15209</v>
      </c>
      <c r="H35" s="10">
        <f t="shared" si="3"/>
        <v>15209</v>
      </c>
      <c r="I35" s="68">
        <f t="shared" si="4"/>
        <v>816.7782488</v>
      </c>
      <c r="J35" s="59" t="str">
        <f t="shared" si="5"/>
        <v>13m 36s</v>
      </c>
      <c r="K35" s="69">
        <f t="shared" si="6"/>
        <v>71595</v>
      </c>
      <c r="L35" s="60">
        <f t="shared" si="7"/>
        <v>0</v>
      </c>
      <c r="M35" s="61">
        <f>IFERROR(__xludf.DUMMYFUNCTION("IFS(AND(COUNTA(C35:C1673)=0,COUNTA(Q35:Q1673)=0),"""",OR(AND(K35&gt;=1000000000,OR(Y35&gt;=1000000000,COUNTA(Q35:Q1673)=0)),OR(Y35&gt;=1000000000,AND(COUNTA(C35:C1673)=0,P$3=TRUE))),
ROUNDDOWN((AB$1-AC$1)*MAX(INDEX(T$4:T1673,MATCH(LARGE(FILTER(Y$4:Y1673,Y$4:Y1673&lt;"&amp;"1000000000),1),Y$4:Y1673)),INDEX(F$4:F1673,MATCH(LARGE(FILTER(K$4:K1673,K$4:K1673&lt;1000000000),1),K$4:K1673)))),AND(K35&lt;1000000000,COUNTA(C35:C1673)&gt;0,P$3=FALSE),
ROUNDDOWN(INDEX(Y$4:Y1673,MATCH(LARGE(FILTER(W$4:W1673,W$4:W1673&lt;=I35),1),W$4:W1673))+(I35-LA"&amp;"RGE(FILTER(W$4:W1673,W$4:W1673&lt;=I35),1))*INDEX(T$4:T1673,MATCH(LARGE(FILTER(W$4:W1673,W$4:W1673&lt;=I35),1),W$4:W1673))-K35),1,
ROUNDDOWN(Y35-INDEX(K$4:K1673,MATCH(LARGE(FILTER(I$4:I1673,I$4:I1673&lt;=W35),1),I$4:I1673))-(W35-LARGE(FILTER(I$4:I1673,I$4:I1673&lt;=W"&amp;"35),1))*INDEX(F$4:F1673,MATCH(LARGE(FILTER(I$4:I1673,I$4:I1673&lt;=W35),1),I$4:I1673))))"),0.0)</f>
        <v>0</v>
      </c>
      <c r="N35" s="60">
        <f t="shared" si="8"/>
        <v>0</v>
      </c>
      <c r="O35" s="61">
        <f t="shared" si="9"/>
        <v>0</v>
      </c>
      <c r="P35" s="56">
        <f t="shared" si="10"/>
        <v>4</v>
      </c>
      <c r="Q35" s="67" t="s">
        <v>7</v>
      </c>
      <c r="R35" s="10" t="b">
        <f>IFERROR(__xludf.DUMMYFUNCTION("IF(COUNTA(Q35:Q1673)=0,"""",IF(ISBLANK(Q35),FALSE,IF(NOT(COUNTIF($AA$24:$AA$34,SUBSTITUTE(Q35,""Sell_"",""""))),1,IF(REGEXMATCH(Q35,""Sell_""),IF(COUNTIF(Q$4:Q35,SUBSTITUTE(Q35,""Sell_"",""""))-COUNTIF(Q$4:Q34,Q35)&lt;1,1),FALSE))))"),FALSE)</f>
        <v>0</v>
      </c>
      <c r="S35" s="59">
        <f t="array" ref="S35">IF(COUNTA(Q35:Q1673)=0,"",SUM((COUNTIF(Q$4:Q35,Upgrades!$B$3:$B$13)-COUNTIF(Q$4:Q35,"Sell_"&amp;Upgrades!$B$3:$B$13))*Upgrades!$D$3:$D$13))</f>
        <v>233.8</v>
      </c>
      <c r="T35" s="66">
        <f>IFERROR(__xludf.DUMMYFUNCTION("IF(COUNTA(Q35:Q1673)=0,"""",IF(REGEXMATCH(INDEX(FILTER(Q$4:Q35,Q$4:Q35&lt;&gt;""""),ROWS(FILTER(Q$4:Q35,Q$4:Q35&lt;&gt;""""))),""^Sell_""),INDEX(FILTER(T$4:T34,Q$4:Q34&lt;&gt;""""),ROWS(FILTER(Q$4:Q34,Q$4:Q34&lt;&gt;""""))),$AD$5+S35))"),248.8)</f>
        <v>248.8</v>
      </c>
      <c r="U35" s="10">
        <f>IFERROR(__xludf.DUMMYFUNCTION("IF(COUNTA(Q35:Q1673)=0,"""",IF(Q35="""",0,IF(REGEXMATCH(Q35,""^Sell_""),-ROUNDDOWN(ROUNDUP(INDEX(Upgrades!$C$3:$C$13,MATCH(SUBSTITUTE(Q35,""Sell_"",""""),Upgrades!$B$3:$B$13,0))*1.15^(COUNTIF(Q$4:Q34,SUBSTITUTE(Q35,""Sell_"",""""))-COUNTIF(Q$4:Q34,""Sell_"&amp;"""&amp;SUBSTITUTE(Q35,""Sell_"",""""))))/2),ROUNDUP(INDEX(Upgrades!$C$3:$C$13,MATCH(Q35,Upgrades!$B$3:$B$13,0))*1.15^(COUNTIF(Q$4:Q34,Q35)-COUNTIF(Q$4:Q34,""Sell_""&amp;Q35))))))"),15209.0)</f>
        <v>15209</v>
      </c>
      <c r="V35" s="10">
        <f t="shared" si="11"/>
        <v>15209</v>
      </c>
      <c r="W35" s="68">
        <f t="shared" si="12"/>
        <v>816.7782488</v>
      </c>
      <c r="X35" s="59" t="str">
        <f t="shared" si="13"/>
        <v>13m 36s</v>
      </c>
      <c r="Y35" s="69">
        <f t="shared" si="14"/>
        <v>71595</v>
      </c>
      <c r="Z35" s="11"/>
    </row>
    <row r="36">
      <c r="A36" s="8"/>
      <c r="B36" s="56">
        <f t="shared" si="2"/>
        <v>9</v>
      </c>
      <c r="C36" s="57" t="s">
        <v>3</v>
      </c>
      <c r="D36" s="10" t="b">
        <f>IFERROR(__xludf.DUMMYFUNCTION("IF(COUNTA(C36:C1673)=0,"""",IF(ISBLANK(C36),FALSE,IF(NOT(COUNTIF($AA$24:$AA$34,SUBSTITUTE(C36,""Sell_"",""""))),1,IF(REGEXMATCH(C36,""Sell_""),IF(COUNTIF(C$4:C36,SUBSTITUTE(C36,""Sell_"",""""))-COUNTIF(C$4:C35,C36)&lt;1,1),FALSE))))"),FALSE)</f>
        <v>0</v>
      </c>
      <c r="E36" s="59">
        <f t="array" ref="E36">IF(COUNTA(C36:C1673)=0,"",SUM((COUNTIF(C$4:C36,Upgrades!$B$3:$B$13)-COUNTIF(C$4:C36,"Sell_"&amp;Upgrades!$B$3:$B$13))*Upgrades!$D$3:$D$13))</f>
        <v>233.9</v>
      </c>
      <c r="F36" s="66">
        <f>IFERROR(__xludf.DUMMYFUNCTION("IF(COUNTA(C36:C1673)=0,"""",IF(REGEXMATCH(INDEX(FILTER(C$4:C36,C$4:C36&lt;&gt;""""),ROWS(FILTER(C$4:C36,C$4:C36&lt;&gt;""""))),""^Sell_""),INDEX(FILTER(F$4:F35,C$4:C35&lt;&gt;""""),ROWS(FILTER(C$4:C35,C$4:C35&lt;&gt;""""))),$AC$5+E36))"),248.9)</f>
        <v>248.9</v>
      </c>
      <c r="G36" s="10">
        <f>IFERROR(__xludf.DUMMYFUNCTION("IF(COUNTA(C36:C1673)=0,"""",IF(C36="""",0,IF(REGEXMATCH(C36,""^Sell_""),-ROUNDDOWN(ROUNDUP(INDEX(Upgrades!$C$3:$C$13,MATCH(SUBSTITUTE(C36,""Sell_"",""""),Upgrades!$B$3:$B$13,0))*1.15^(COUNTIF(C$4:C35,SUBSTITUTE(C36,""Sell_"",""""))-COUNTIF(C$4:C35,""Sell_"&amp;"""&amp;SUBSTITUTE(C36,""Sell_"",""""))))/2),ROUNDUP(INDEX(Upgrades!$C$3:$C$13,MATCH(C36,Upgrades!$B$3:$B$13,0))*1.15^(COUNTIF(C$4:C35,C36)-COUNTIF(C$4:C35,""Sell_""&amp;C36))))))"),46.0)</f>
        <v>46</v>
      </c>
      <c r="H36" s="10">
        <f t="shared" si="3"/>
        <v>46</v>
      </c>
      <c r="I36" s="68">
        <f t="shared" si="4"/>
        <v>816.9631363</v>
      </c>
      <c r="J36" s="59" t="str">
        <f t="shared" si="5"/>
        <v>13m 36s</v>
      </c>
      <c r="K36" s="69">
        <f t="shared" si="6"/>
        <v>71641</v>
      </c>
      <c r="L36" s="60">
        <f t="shared" si="7"/>
        <v>0</v>
      </c>
      <c r="M36" s="61">
        <f>IFERROR(__xludf.DUMMYFUNCTION("IFS(AND(COUNTA(C36:C1673)=0,COUNTA(Q36:Q1673)=0),"""",OR(AND(K36&gt;=1000000000,OR(Y36&gt;=1000000000,COUNTA(Q36:Q1673)=0)),OR(Y36&gt;=1000000000,AND(COUNTA(C36:C1673)=0,P$3=TRUE))),
ROUNDDOWN((AB$1-AC$1)*MAX(INDEX(T$4:T1673,MATCH(LARGE(FILTER(Y$4:Y1673,Y$4:Y1673&lt;"&amp;"1000000000),1),Y$4:Y1673)),INDEX(F$4:F1673,MATCH(LARGE(FILTER(K$4:K1673,K$4:K1673&lt;1000000000),1),K$4:K1673)))),AND(K36&lt;1000000000,COUNTA(C36:C1673)&gt;0,P$3=FALSE),
ROUNDDOWN(INDEX(Y$4:Y1673,MATCH(LARGE(FILTER(W$4:W1673,W$4:W1673&lt;=I36),1),W$4:W1673))+(I36-LA"&amp;"RGE(FILTER(W$4:W1673,W$4:W1673&lt;=I36),1))*INDEX(T$4:T1673,MATCH(LARGE(FILTER(W$4:W1673,W$4:W1673&lt;=I36),1),W$4:W1673))-K36),1,
ROUNDDOWN(Y36-INDEX(K$4:K1673,MATCH(LARGE(FILTER(I$4:I1673,I$4:I1673&lt;=W36),1),I$4:I1673))-(W36-LARGE(FILTER(I$4:I1673,I$4:I1673&lt;=W"&amp;"36),1))*INDEX(F$4:F1673,MATCH(LARGE(FILTER(I$4:I1673,I$4:I1673&lt;=W36),1),I$4:I1673))))"),0.0)</f>
        <v>0</v>
      </c>
      <c r="N36" s="60">
        <f t="shared" si="8"/>
        <v>0</v>
      </c>
      <c r="O36" s="61">
        <f t="shared" si="9"/>
        <v>0</v>
      </c>
      <c r="P36" s="56">
        <f t="shared" si="10"/>
        <v>9</v>
      </c>
      <c r="Q36" s="67" t="s">
        <v>3</v>
      </c>
      <c r="R36" s="10" t="b">
        <f>IFERROR(__xludf.DUMMYFUNCTION("IF(COUNTA(Q36:Q1673)=0,"""",IF(ISBLANK(Q36),FALSE,IF(NOT(COUNTIF($AA$24:$AA$34,SUBSTITUTE(Q36,""Sell_"",""""))),1,IF(REGEXMATCH(Q36,""Sell_""),IF(COUNTIF(Q$4:Q36,SUBSTITUTE(Q36,""Sell_"",""""))-COUNTIF(Q$4:Q35,Q36)&lt;1,1),FALSE))))"),FALSE)</f>
        <v>0</v>
      </c>
      <c r="S36" s="59">
        <f t="array" ref="S36">IF(COUNTA(Q36:Q1673)=0,"",SUM((COUNTIF(Q$4:Q36,Upgrades!$B$3:$B$13)-COUNTIF(Q$4:Q36,"Sell_"&amp;Upgrades!$B$3:$B$13))*Upgrades!$D$3:$D$13))</f>
        <v>233.9</v>
      </c>
      <c r="T36" s="66">
        <f>IFERROR(__xludf.DUMMYFUNCTION("IF(COUNTA(Q36:Q1673)=0,"""",IF(REGEXMATCH(INDEX(FILTER(Q$4:Q36,Q$4:Q36&lt;&gt;""""),ROWS(FILTER(Q$4:Q36,Q$4:Q36&lt;&gt;""""))),""^Sell_""),INDEX(FILTER(T$4:T35,Q$4:Q35&lt;&gt;""""),ROWS(FILTER(Q$4:Q35,Q$4:Q35&lt;&gt;""""))),$AD$5+S36))"),248.9)</f>
        <v>248.9</v>
      </c>
      <c r="U36" s="10">
        <f>IFERROR(__xludf.DUMMYFUNCTION("IF(COUNTA(Q36:Q1673)=0,"""",IF(Q36="""",0,IF(REGEXMATCH(Q36,""^Sell_""),-ROUNDDOWN(ROUNDUP(INDEX(Upgrades!$C$3:$C$13,MATCH(SUBSTITUTE(Q36,""Sell_"",""""),Upgrades!$B$3:$B$13,0))*1.15^(COUNTIF(Q$4:Q35,SUBSTITUTE(Q36,""Sell_"",""""))-COUNTIF(Q$4:Q35,""Sell_"&amp;"""&amp;SUBSTITUTE(Q36,""Sell_"",""""))))/2),ROUNDUP(INDEX(Upgrades!$C$3:$C$13,MATCH(Q36,Upgrades!$B$3:$B$13,0))*1.15^(COUNTIF(Q$4:Q35,Q36)-COUNTIF(Q$4:Q35,""Sell_""&amp;Q36))))))"),46.0)</f>
        <v>46</v>
      </c>
      <c r="V36" s="10">
        <f t="shared" si="11"/>
        <v>46</v>
      </c>
      <c r="W36" s="68">
        <f t="shared" si="12"/>
        <v>816.9631363</v>
      </c>
      <c r="X36" s="59" t="str">
        <f t="shared" si="13"/>
        <v>13m 36s</v>
      </c>
      <c r="Y36" s="69">
        <f t="shared" si="14"/>
        <v>71641</v>
      </c>
      <c r="Z36" s="11"/>
      <c r="AA36" s="95" t="s">
        <v>56</v>
      </c>
      <c r="AB36" s="95"/>
      <c r="AC36" s="95"/>
      <c r="AD36" s="95"/>
      <c r="AE36" s="96"/>
    </row>
    <row r="37">
      <c r="A37" s="8"/>
      <c r="B37" s="56">
        <f t="shared" si="2"/>
        <v>7</v>
      </c>
      <c r="C37" s="57" t="s">
        <v>4</v>
      </c>
      <c r="D37" s="10" t="b">
        <f>IFERROR(__xludf.DUMMYFUNCTION("IF(COUNTA(C37:C1673)=0,"""",IF(ISBLANK(C37),FALSE,IF(NOT(COUNTIF($AA$24:$AA$34,SUBSTITUTE(C37,""Sell_"",""""))),1,IF(REGEXMATCH(C37,""Sell_""),IF(COUNTIF(C$4:C37,SUBSTITUTE(C37,""Sell_"",""""))-COUNTIF(C$4:C36,C37)&lt;1,1),FALSE))))"),FALSE)</f>
        <v>0</v>
      </c>
      <c r="E37" s="59">
        <f t="array" ref="E37">IF(COUNTA(C37:C1673)=0,"",SUM((COUNTIF(C$4:C37,Upgrades!$B$3:$B$13)-COUNTIF(C$4:C37,"Sell_"&amp;Upgrades!$B$3:$B$13))*Upgrades!$D$3:$D$13))</f>
        <v>234.4</v>
      </c>
      <c r="F37" s="66">
        <f>IFERROR(__xludf.DUMMYFUNCTION("IF(COUNTA(C37:C1673)=0,"""",IF(REGEXMATCH(INDEX(FILTER(C$4:C37,C$4:C37&lt;&gt;""""),ROWS(FILTER(C$4:C37,C$4:C37&lt;&gt;""""))),""^Sell_""),INDEX(FILTER(F$4:F36,C$4:C36&lt;&gt;""""),ROWS(FILTER(C$4:C36,C$4:C36&lt;&gt;""""))),$AC$5+E37))"),249.4)</f>
        <v>249.4</v>
      </c>
      <c r="G37" s="10">
        <f>IFERROR(__xludf.DUMMYFUNCTION("IF(COUNTA(C37:C1673)=0,"""",IF(C37="""",0,IF(REGEXMATCH(C37,""^Sell_""),-ROUNDDOWN(ROUNDUP(INDEX(Upgrades!$C$3:$C$13,MATCH(SUBSTITUTE(C37,""Sell_"",""""),Upgrades!$B$3:$B$13,0))*1.15^(COUNTIF(C$4:C36,SUBSTITUTE(C37,""Sell_"",""""))-COUNTIF(C$4:C36,""Sell_"&amp;"""&amp;SUBSTITUTE(C37,""Sell_"",""""))))/2),ROUNDUP(INDEX(Upgrades!$C$3:$C$13,MATCH(C37,Upgrades!$B$3:$B$13,0))*1.15^(COUNTIF(C$4:C36,C37)-COUNTIF(C$4:C36,""Sell_""&amp;C37))))))"),232.0)</f>
        <v>232</v>
      </c>
      <c r="H37" s="10">
        <f t="shared" si="3"/>
        <v>232</v>
      </c>
      <c r="I37" s="68">
        <f t="shared" si="4"/>
        <v>817.8952375</v>
      </c>
      <c r="J37" s="59" t="str">
        <f t="shared" si="5"/>
        <v>13m 37s</v>
      </c>
      <c r="K37" s="69">
        <f t="shared" si="6"/>
        <v>71873</v>
      </c>
      <c r="L37" s="60">
        <f t="shared" si="7"/>
        <v>0</v>
      </c>
      <c r="M37" s="61">
        <f>IFERROR(__xludf.DUMMYFUNCTION("IFS(AND(COUNTA(C37:C1673)=0,COUNTA(Q37:Q1673)=0),"""",OR(AND(K37&gt;=1000000000,OR(Y37&gt;=1000000000,COUNTA(Q37:Q1673)=0)),OR(Y37&gt;=1000000000,AND(COUNTA(C37:C1673)=0,P$3=TRUE))),
ROUNDDOWN((AB$1-AC$1)*MAX(INDEX(T$4:T1673,MATCH(LARGE(FILTER(Y$4:Y1673,Y$4:Y1673&lt;"&amp;"1000000000),1),Y$4:Y1673)),INDEX(F$4:F1673,MATCH(LARGE(FILTER(K$4:K1673,K$4:K1673&lt;1000000000),1),K$4:K1673)))),AND(K37&lt;1000000000,COUNTA(C37:C1673)&gt;0,P$3=FALSE),
ROUNDDOWN(INDEX(Y$4:Y1673,MATCH(LARGE(FILTER(W$4:W1673,W$4:W1673&lt;=I37),1),W$4:W1673))+(I37-LA"&amp;"RGE(FILTER(W$4:W1673,W$4:W1673&lt;=I37),1))*INDEX(T$4:T1673,MATCH(LARGE(FILTER(W$4:W1673,W$4:W1673&lt;=I37),1),W$4:W1673))-K37),1,
ROUNDDOWN(Y37-INDEX(K$4:K1673,MATCH(LARGE(FILTER(I$4:I1673,I$4:I1673&lt;=W37),1),I$4:I1673))-(W37-LARGE(FILTER(I$4:I1673,I$4:I1673&lt;=W"&amp;"37),1))*INDEX(F$4:F1673,MATCH(LARGE(FILTER(I$4:I1673,I$4:I1673&lt;=W37),1),I$4:I1673))))"),0.0)</f>
        <v>0</v>
      </c>
      <c r="N37" s="60">
        <f t="shared" si="8"/>
        <v>0</v>
      </c>
      <c r="O37" s="61">
        <f t="shared" si="9"/>
        <v>0</v>
      </c>
      <c r="P37" s="56">
        <f t="shared" si="10"/>
        <v>7</v>
      </c>
      <c r="Q37" s="67" t="s">
        <v>4</v>
      </c>
      <c r="R37" s="10" t="b">
        <f>IFERROR(__xludf.DUMMYFUNCTION("IF(COUNTA(Q37:Q1673)=0,"""",IF(ISBLANK(Q37),FALSE,IF(NOT(COUNTIF($AA$24:$AA$34,SUBSTITUTE(Q37,""Sell_"",""""))),1,IF(REGEXMATCH(Q37,""Sell_""),IF(COUNTIF(Q$4:Q37,SUBSTITUTE(Q37,""Sell_"",""""))-COUNTIF(Q$4:Q36,Q37)&lt;1,1),FALSE))))"),FALSE)</f>
        <v>0</v>
      </c>
      <c r="S37" s="59">
        <f t="array" ref="S37">IF(COUNTA(Q37:Q1673)=0,"",SUM((COUNTIF(Q$4:Q37,Upgrades!$B$3:$B$13)-COUNTIF(Q$4:Q37,"Sell_"&amp;Upgrades!$B$3:$B$13))*Upgrades!$D$3:$D$13))</f>
        <v>234.4</v>
      </c>
      <c r="T37" s="66">
        <f>IFERROR(__xludf.DUMMYFUNCTION("IF(COUNTA(Q37:Q1673)=0,"""",IF(REGEXMATCH(INDEX(FILTER(Q$4:Q37,Q$4:Q37&lt;&gt;""""),ROWS(FILTER(Q$4:Q37,Q$4:Q37&lt;&gt;""""))),""^Sell_""),INDEX(FILTER(T$4:T36,Q$4:Q36&lt;&gt;""""),ROWS(FILTER(Q$4:Q36,Q$4:Q36&lt;&gt;""""))),$AD$5+S37))"),249.4)</f>
        <v>249.4</v>
      </c>
      <c r="U37" s="10">
        <f>IFERROR(__xludf.DUMMYFUNCTION("IF(COUNTA(Q37:Q1673)=0,"""",IF(Q37="""",0,IF(REGEXMATCH(Q37,""^Sell_""),-ROUNDDOWN(ROUNDUP(INDEX(Upgrades!$C$3:$C$13,MATCH(SUBSTITUTE(Q37,""Sell_"",""""),Upgrades!$B$3:$B$13,0))*1.15^(COUNTIF(Q$4:Q36,SUBSTITUTE(Q37,""Sell_"",""""))-COUNTIF(Q$4:Q36,""Sell_"&amp;"""&amp;SUBSTITUTE(Q37,""Sell_"",""""))))/2),ROUNDUP(INDEX(Upgrades!$C$3:$C$13,MATCH(Q37,Upgrades!$B$3:$B$13,0))*1.15^(COUNTIF(Q$4:Q36,Q37)-COUNTIF(Q$4:Q36,""Sell_""&amp;Q37))))))"),232.0)</f>
        <v>232</v>
      </c>
      <c r="V37" s="10">
        <f t="shared" si="11"/>
        <v>232</v>
      </c>
      <c r="W37" s="68">
        <f t="shared" si="12"/>
        <v>817.8952375</v>
      </c>
      <c r="X37" s="59" t="str">
        <f t="shared" si="13"/>
        <v>13m 37s</v>
      </c>
      <c r="Y37" s="69">
        <f t="shared" si="14"/>
        <v>71873</v>
      </c>
      <c r="Z37" s="11"/>
      <c r="AA37" s="100" t="s">
        <v>57</v>
      </c>
      <c r="AB37" s="100"/>
      <c r="AC37" s="100"/>
      <c r="AD37" s="100"/>
      <c r="AE37" s="101"/>
    </row>
    <row r="38">
      <c r="A38" s="8"/>
      <c r="B38" s="56">
        <f t="shared" si="2"/>
        <v>4</v>
      </c>
      <c r="C38" s="57" t="s">
        <v>6</v>
      </c>
      <c r="D38" s="10" t="b">
        <f>IFERROR(__xludf.DUMMYFUNCTION("IF(COUNTA(C38:C1673)=0,"""",IF(ISBLANK(C38),FALSE,IF(NOT(COUNTIF($AA$24:$AA$34,SUBSTITUTE(C38,""Sell_"",""""))),1,IF(REGEXMATCH(C38,""Sell_""),IF(COUNTIF(C$4:C38,SUBSTITUTE(C38,""Sell_"",""""))-COUNTIF(C$4:C37,C38)&lt;1,1),FALSE))))"),FALSE)</f>
        <v>0</v>
      </c>
      <c r="E38" s="59">
        <f t="array" ref="E38">IF(COUNTA(C38:C1673)=0,"",SUM((COUNTIF(C$4:C38,Upgrades!$B$3:$B$13)-COUNTIF(C$4:C38,"Sell_"&amp;Upgrades!$B$3:$B$13))*Upgrades!$D$3:$D$13))</f>
        <v>244.4</v>
      </c>
      <c r="F38" s="66">
        <f>IFERROR(__xludf.DUMMYFUNCTION("IF(COUNTA(C38:C1673)=0,"""",IF(REGEXMATCH(INDEX(FILTER(C$4:C38,C$4:C38&lt;&gt;""""),ROWS(FILTER(C$4:C38,C$4:C38&lt;&gt;""""))),""^Sell_""),INDEX(FILTER(F$4:F37,C$4:C37&lt;&gt;""""),ROWS(FILTER(C$4:C37,C$4:C37&lt;&gt;""""))),$AC$5+E38))"),259.4)</f>
        <v>259.4</v>
      </c>
      <c r="G38" s="10">
        <f>IFERROR(__xludf.DUMMYFUNCTION("IF(COUNTA(C38:C1673)=0,"""",IF(C38="""",0,IF(REGEXMATCH(C38,""^Sell_""),-ROUNDDOWN(ROUNDUP(INDEX(Upgrades!$C$3:$C$13,MATCH(SUBSTITUTE(C38,""Sell_"",""""),Upgrades!$B$3:$B$13,0))*1.15^(COUNTIF(C$4:C37,SUBSTITUTE(C38,""Sell_"",""""))-COUNTIF(C$4:C37,""Sell_"&amp;"""&amp;SUBSTITUTE(C38,""Sell_"",""""))))/2),ROUNDUP(INDEX(Upgrades!$C$3:$C$13,MATCH(C38,Upgrades!$B$3:$B$13,0))*1.15^(COUNTIF(C$4:C37,C38)-COUNTIF(C$4:C37,""Sell_""&amp;C38))))))"),4563.0)</f>
        <v>4563</v>
      </c>
      <c r="H38" s="10">
        <f t="shared" si="3"/>
        <v>4563</v>
      </c>
      <c r="I38" s="68">
        <f t="shared" si="4"/>
        <v>836.1911477</v>
      </c>
      <c r="J38" s="59" t="str">
        <f t="shared" si="5"/>
        <v>13m 56s</v>
      </c>
      <c r="K38" s="69">
        <f t="shared" si="6"/>
        <v>76436</v>
      </c>
      <c r="L38" s="60">
        <f t="shared" si="7"/>
        <v>0</v>
      </c>
      <c r="M38" s="61">
        <f>IFERROR(__xludf.DUMMYFUNCTION("IFS(AND(COUNTA(C38:C1673)=0,COUNTA(Q38:Q1673)=0),"""",OR(AND(K38&gt;=1000000000,OR(Y38&gt;=1000000000,COUNTA(Q38:Q1673)=0)),OR(Y38&gt;=1000000000,AND(COUNTA(C38:C1673)=0,P$3=TRUE))),
ROUNDDOWN((AB$1-AC$1)*MAX(INDEX(T$4:T1673,MATCH(LARGE(FILTER(Y$4:Y1673,Y$4:Y1673&lt;"&amp;"1000000000),1),Y$4:Y1673)),INDEX(F$4:F1673,MATCH(LARGE(FILTER(K$4:K1673,K$4:K1673&lt;1000000000),1),K$4:K1673)))),AND(K38&lt;1000000000,COUNTA(C38:C1673)&gt;0,P$3=FALSE),
ROUNDDOWN(INDEX(Y$4:Y1673,MATCH(LARGE(FILTER(W$4:W1673,W$4:W1673&lt;=I38),1),W$4:W1673))+(I38-LA"&amp;"RGE(FILTER(W$4:W1673,W$4:W1673&lt;=I38),1))*INDEX(T$4:T1673,MATCH(LARGE(FILTER(W$4:W1673,W$4:W1673&lt;=I38),1),W$4:W1673))-K38),1,
ROUNDDOWN(Y38-INDEX(K$4:K1673,MATCH(LARGE(FILTER(I$4:I1673,I$4:I1673&lt;=W38),1),I$4:I1673))-(W38-LARGE(FILTER(I$4:I1673,I$4:I1673&lt;=W"&amp;"38),1))*INDEX(F$4:F1673,MATCH(LARGE(FILTER(I$4:I1673,I$4:I1673&lt;=W38),1),I$4:I1673))))"),0.0)</f>
        <v>0</v>
      </c>
      <c r="N38" s="60">
        <f t="shared" si="8"/>
        <v>0</v>
      </c>
      <c r="O38" s="61">
        <f t="shared" si="9"/>
        <v>0</v>
      </c>
      <c r="P38" s="56">
        <f t="shared" si="10"/>
        <v>4</v>
      </c>
      <c r="Q38" s="67" t="s">
        <v>6</v>
      </c>
      <c r="R38" s="10" t="b">
        <f>IFERROR(__xludf.DUMMYFUNCTION("IF(COUNTA(Q38:Q1673)=0,"""",IF(ISBLANK(Q38),FALSE,IF(NOT(COUNTIF($AA$24:$AA$34,SUBSTITUTE(Q38,""Sell_"",""""))),1,IF(REGEXMATCH(Q38,""Sell_""),IF(COUNTIF(Q$4:Q38,SUBSTITUTE(Q38,""Sell_"",""""))-COUNTIF(Q$4:Q37,Q38)&lt;1,1),FALSE))))"),FALSE)</f>
        <v>0</v>
      </c>
      <c r="S38" s="59">
        <f t="array" ref="S38">IF(COUNTA(Q38:Q1673)=0,"",SUM((COUNTIF(Q$4:Q38,Upgrades!$B$3:$B$13)-COUNTIF(Q$4:Q38,"Sell_"&amp;Upgrades!$B$3:$B$13))*Upgrades!$D$3:$D$13))</f>
        <v>244.4</v>
      </c>
      <c r="T38" s="66">
        <f>IFERROR(__xludf.DUMMYFUNCTION("IF(COUNTA(Q38:Q1673)=0,"""",IF(REGEXMATCH(INDEX(FILTER(Q$4:Q38,Q$4:Q38&lt;&gt;""""),ROWS(FILTER(Q$4:Q38,Q$4:Q38&lt;&gt;""""))),""^Sell_""),INDEX(FILTER(T$4:T37,Q$4:Q37&lt;&gt;""""),ROWS(FILTER(Q$4:Q37,Q$4:Q37&lt;&gt;""""))),$AD$5+S38))"),259.4)</f>
        <v>259.4</v>
      </c>
      <c r="U38" s="10">
        <f>IFERROR(__xludf.DUMMYFUNCTION("IF(COUNTA(Q38:Q1673)=0,"""",IF(Q38="""",0,IF(REGEXMATCH(Q38,""^Sell_""),-ROUNDDOWN(ROUNDUP(INDEX(Upgrades!$C$3:$C$13,MATCH(SUBSTITUTE(Q38,""Sell_"",""""),Upgrades!$B$3:$B$13,0))*1.15^(COUNTIF(Q$4:Q37,SUBSTITUTE(Q38,""Sell_"",""""))-COUNTIF(Q$4:Q37,""Sell_"&amp;"""&amp;SUBSTITUTE(Q38,""Sell_"",""""))))/2),ROUNDUP(INDEX(Upgrades!$C$3:$C$13,MATCH(Q38,Upgrades!$B$3:$B$13,0))*1.15^(COUNTIF(Q$4:Q37,Q38)-COUNTIF(Q$4:Q37,""Sell_""&amp;Q38))))))"),4563.0)</f>
        <v>4563</v>
      </c>
      <c r="V38" s="10">
        <f t="shared" si="11"/>
        <v>4563</v>
      </c>
      <c r="W38" s="68">
        <f t="shared" si="12"/>
        <v>836.1911477</v>
      </c>
      <c r="X38" s="59" t="str">
        <f t="shared" si="13"/>
        <v>13m 56s</v>
      </c>
      <c r="Y38" s="69">
        <f t="shared" si="14"/>
        <v>76436</v>
      </c>
      <c r="Z38" s="11"/>
    </row>
    <row r="39">
      <c r="A39" s="8"/>
      <c r="B39" s="56">
        <f t="shared" si="2"/>
        <v>5</v>
      </c>
      <c r="C39" s="57" t="s">
        <v>7</v>
      </c>
      <c r="D39" s="10" t="b">
        <f>IFERROR(__xludf.DUMMYFUNCTION("IF(COUNTA(C39:C1673)=0,"""",IF(ISBLANK(C39),FALSE,IF(NOT(COUNTIF($AA$24:$AA$34,SUBSTITUTE(C39,""Sell_"",""""))),1,IF(REGEXMATCH(C39,""Sell_""),IF(COUNTIF(C$4:C39,SUBSTITUTE(C39,""Sell_"",""""))-COUNTIF(C$4:C38,C39)&lt;1,1),FALSE))))"),FALSE)</f>
        <v>0</v>
      </c>
      <c r="E39" s="59">
        <f t="array" ref="E39">IF(COUNTA(C39:C1673)=0,"",SUM((COUNTIF(C$4:C39,Upgrades!$B$3:$B$13)-COUNTIF(C$4:C39,"Sell_"&amp;Upgrades!$B$3:$B$13))*Upgrades!$D$3:$D$13))</f>
        <v>284.4</v>
      </c>
      <c r="F39" s="66">
        <f>IFERROR(__xludf.DUMMYFUNCTION("IF(COUNTA(C39:C1673)=0,"""",IF(REGEXMATCH(INDEX(FILTER(C$4:C39,C$4:C39&lt;&gt;""""),ROWS(FILTER(C$4:C39,C$4:C39&lt;&gt;""""))),""^Sell_""),INDEX(FILTER(F$4:F38,C$4:C38&lt;&gt;""""),ROWS(FILTER(C$4:C38,C$4:C38&lt;&gt;""""))),$AC$5+E39))"),299.4)</f>
        <v>299.4</v>
      </c>
      <c r="G39" s="10">
        <f>IFERROR(__xludf.DUMMYFUNCTION("IF(COUNTA(C39:C1673)=0,"""",IF(C39="""",0,IF(REGEXMATCH(C39,""^Sell_""),-ROUNDDOWN(ROUNDUP(INDEX(Upgrades!$C$3:$C$13,MATCH(SUBSTITUTE(C39,""Sell_"",""""),Upgrades!$B$3:$B$13,0))*1.15^(COUNTIF(C$4:C38,SUBSTITUTE(C39,""Sell_"",""""))-COUNTIF(C$4:C38,""Sell_"&amp;"""&amp;SUBSTITUTE(C39,""Sell_"",""""))))/2),ROUNDUP(INDEX(Upgrades!$C$3:$C$13,MATCH(C39,Upgrades!$B$3:$B$13,0))*1.15^(COUNTIF(C$4:C38,C39)-COUNTIF(C$4:C38,""Sell_""&amp;C39))))))"),17491.0)</f>
        <v>17491</v>
      </c>
      <c r="H39" s="10">
        <f t="shared" si="3"/>
        <v>17491</v>
      </c>
      <c r="I39" s="68">
        <f t="shared" si="4"/>
        <v>903.6198293</v>
      </c>
      <c r="J39" s="59" t="str">
        <f t="shared" si="5"/>
        <v>15m 03s</v>
      </c>
      <c r="K39" s="69">
        <f t="shared" si="6"/>
        <v>93927</v>
      </c>
      <c r="L39" s="60">
        <f t="shared" si="7"/>
        <v>0</v>
      </c>
      <c r="M39" s="61">
        <f>IFERROR(__xludf.DUMMYFUNCTION("IFS(AND(COUNTA(C39:C1673)=0,COUNTA(Q39:Q1673)=0),"""",OR(AND(K39&gt;=1000000000,OR(Y39&gt;=1000000000,COUNTA(Q39:Q1673)=0)),OR(Y39&gt;=1000000000,AND(COUNTA(C39:C1673)=0,P$3=TRUE))),
ROUNDDOWN((AB$1-AC$1)*MAX(INDEX(T$4:T1673,MATCH(LARGE(FILTER(Y$4:Y1673,Y$4:Y1673&lt;"&amp;"1000000000),1),Y$4:Y1673)),INDEX(F$4:F1673,MATCH(LARGE(FILTER(K$4:K1673,K$4:K1673&lt;1000000000),1),K$4:K1673)))),AND(K39&lt;1000000000,COUNTA(C39:C1673)&gt;0,P$3=FALSE),
ROUNDDOWN(INDEX(Y$4:Y1673,MATCH(LARGE(FILTER(W$4:W1673,W$4:W1673&lt;=I39),1),W$4:W1673))+(I39-LA"&amp;"RGE(FILTER(W$4:W1673,W$4:W1673&lt;=I39),1))*INDEX(T$4:T1673,MATCH(LARGE(FILTER(W$4:W1673,W$4:W1673&lt;=I39),1),W$4:W1673))-K39),1,
ROUNDDOWN(Y39-INDEX(K$4:K1673,MATCH(LARGE(FILTER(I$4:I1673,I$4:I1673&lt;=W39),1),I$4:I1673))-(W39-LARGE(FILTER(I$4:I1673,I$4:I1673&lt;=W"&amp;"39),1))*INDEX(F$4:F1673,MATCH(LARGE(FILTER(I$4:I1673,I$4:I1673&lt;=W39),1),I$4:I1673))))"),0.0)</f>
        <v>0</v>
      </c>
      <c r="N39" s="60">
        <f t="shared" si="8"/>
        <v>0</v>
      </c>
      <c r="O39" s="61">
        <f t="shared" si="9"/>
        <v>0</v>
      </c>
      <c r="P39" s="56">
        <f t="shared" si="10"/>
        <v>5</v>
      </c>
      <c r="Q39" s="67" t="s">
        <v>7</v>
      </c>
      <c r="R39" s="10" t="b">
        <f>IFERROR(__xludf.DUMMYFUNCTION("IF(COUNTA(Q39:Q1673)=0,"""",IF(ISBLANK(Q39),FALSE,IF(NOT(COUNTIF($AA$24:$AA$34,SUBSTITUTE(Q39,""Sell_"",""""))),1,IF(REGEXMATCH(Q39,""Sell_""),IF(COUNTIF(Q$4:Q39,SUBSTITUTE(Q39,""Sell_"",""""))-COUNTIF(Q$4:Q38,Q39)&lt;1,1),FALSE))))"),FALSE)</f>
        <v>0</v>
      </c>
      <c r="S39" s="59">
        <f t="array" ref="S39">IF(COUNTA(Q39:Q1673)=0,"",SUM((COUNTIF(Q$4:Q39,Upgrades!$B$3:$B$13)-COUNTIF(Q$4:Q39,"Sell_"&amp;Upgrades!$B$3:$B$13))*Upgrades!$D$3:$D$13))</f>
        <v>284.4</v>
      </c>
      <c r="T39" s="66">
        <f>IFERROR(__xludf.DUMMYFUNCTION("IF(COUNTA(Q39:Q1673)=0,"""",IF(REGEXMATCH(INDEX(FILTER(Q$4:Q39,Q$4:Q39&lt;&gt;""""),ROWS(FILTER(Q$4:Q39,Q$4:Q39&lt;&gt;""""))),""^Sell_""),INDEX(FILTER(T$4:T38,Q$4:Q38&lt;&gt;""""),ROWS(FILTER(Q$4:Q38,Q$4:Q38&lt;&gt;""""))),$AD$5+S39))"),299.4)</f>
        <v>299.4</v>
      </c>
      <c r="U39" s="10">
        <f>IFERROR(__xludf.DUMMYFUNCTION("IF(COUNTA(Q39:Q1673)=0,"""",IF(Q39="""",0,IF(REGEXMATCH(Q39,""^Sell_""),-ROUNDDOWN(ROUNDUP(INDEX(Upgrades!$C$3:$C$13,MATCH(SUBSTITUTE(Q39,""Sell_"",""""),Upgrades!$B$3:$B$13,0))*1.15^(COUNTIF(Q$4:Q38,SUBSTITUTE(Q39,""Sell_"",""""))-COUNTIF(Q$4:Q38,""Sell_"&amp;"""&amp;SUBSTITUTE(Q39,""Sell_"",""""))))/2),ROUNDUP(INDEX(Upgrades!$C$3:$C$13,MATCH(Q39,Upgrades!$B$3:$B$13,0))*1.15^(COUNTIF(Q$4:Q38,Q39)-COUNTIF(Q$4:Q38,""Sell_""&amp;Q39))))))"),17491.0)</f>
        <v>17491</v>
      </c>
      <c r="V39" s="10">
        <f t="shared" si="11"/>
        <v>17491</v>
      </c>
      <c r="W39" s="68">
        <f t="shared" si="12"/>
        <v>903.6198293</v>
      </c>
      <c r="X39" s="59" t="str">
        <f t="shared" si="13"/>
        <v>15m 03s</v>
      </c>
      <c r="Y39" s="69">
        <f t="shared" si="14"/>
        <v>93927</v>
      </c>
      <c r="Z39" s="11"/>
      <c r="AA39" s="73" t="s">
        <v>43</v>
      </c>
      <c r="AB39" s="74"/>
      <c r="AC39" s="77" t="str">
        <f>IF(AF1&lt;0,"YES","NO")</f>
        <v>YES</v>
      </c>
      <c r="AD39" s="102" t="s">
        <v>58</v>
      </c>
      <c r="AE39" s="103"/>
    </row>
    <row r="40">
      <c r="A40" s="8"/>
      <c r="B40" s="56">
        <f t="shared" si="2"/>
        <v>11</v>
      </c>
      <c r="C40" s="57" t="s">
        <v>5</v>
      </c>
      <c r="D40" s="10" t="b">
        <f>IFERROR(__xludf.DUMMYFUNCTION("IF(COUNTA(C40:C1673)=0,"""",IF(ISBLANK(C40),FALSE,IF(NOT(COUNTIF($AA$24:$AA$34,SUBSTITUTE(C40,""Sell_"",""""))),1,IF(REGEXMATCH(C40,""Sell_""),IF(COUNTIF(C$4:C40,SUBSTITUTE(C40,""Sell_"",""""))-COUNTIF(C$4:C39,C40)&lt;1,1),FALSE))))"),FALSE)</f>
        <v>0</v>
      </c>
      <c r="E40" s="59">
        <f t="array" ref="E40">IF(COUNTA(C40:C1673)=0,"",SUM((COUNTIF(C$4:C40,Upgrades!$B$3:$B$13)-COUNTIF(C$4:C40,"Sell_"&amp;Upgrades!$B$3:$B$13))*Upgrades!$D$3:$D$13))</f>
        <v>288.4</v>
      </c>
      <c r="F40" s="66">
        <f>IFERROR(__xludf.DUMMYFUNCTION("IF(COUNTA(C40:C1673)=0,"""",IF(REGEXMATCH(INDEX(FILTER(C$4:C40,C$4:C40&lt;&gt;""""),ROWS(FILTER(C$4:C40,C$4:C40&lt;&gt;""""))),""^Sell_""),INDEX(FILTER(F$4:F39,C$4:C39&lt;&gt;""""),ROWS(FILTER(C$4:C39,C$4:C39&lt;&gt;""""))),$AC$5+E40))"),303.4)</f>
        <v>303.4</v>
      </c>
      <c r="G40" s="10">
        <f>IFERROR(__xludf.DUMMYFUNCTION("IF(COUNTA(C40:C1673)=0,"""",IF(C40="""",0,IF(REGEXMATCH(C40,""^Sell_""),-ROUNDDOWN(ROUNDUP(INDEX(Upgrades!$C$3:$C$13,MATCH(SUBSTITUTE(C40,""Sell_"",""""),Upgrades!$B$3:$B$13,0))*1.15^(COUNTIF(C$4:C39,SUBSTITUTE(C40,""Sell_"",""""))-COUNTIF(C$4:C39,""Sell_"&amp;"""&amp;SUBSTITUTE(C40,""Sell_"",""""))))/2),ROUNDUP(INDEX(Upgrades!$C$3:$C$13,MATCH(C40,Upgrades!$B$3:$B$13,0))*1.15^(COUNTIF(C$4:C39,C40)-COUNTIF(C$4:C39,""Sell_""&amp;C40))))))"),2023.0)</f>
        <v>2023</v>
      </c>
      <c r="H40" s="10">
        <f t="shared" si="3"/>
        <v>2023</v>
      </c>
      <c r="I40" s="68">
        <f t="shared" si="4"/>
        <v>910.3766763</v>
      </c>
      <c r="J40" s="59" t="str">
        <f t="shared" si="5"/>
        <v>15m 10s</v>
      </c>
      <c r="K40" s="69">
        <f t="shared" si="6"/>
        <v>95950</v>
      </c>
      <c r="L40" s="60">
        <f t="shared" si="7"/>
        <v>0</v>
      </c>
      <c r="M40" s="61">
        <f>IFERROR(__xludf.DUMMYFUNCTION("IFS(AND(COUNTA(C40:C1673)=0,COUNTA(Q40:Q1673)=0),"""",OR(AND(K40&gt;=1000000000,OR(Y40&gt;=1000000000,COUNTA(Q40:Q1673)=0)),OR(Y40&gt;=1000000000,AND(COUNTA(C40:C1673)=0,P$3=TRUE))),
ROUNDDOWN((AB$1-AC$1)*MAX(INDEX(T$4:T1673,MATCH(LARGE(FILTER(Y$4:Y1673,Y$4:Y1673&lt;"&amp;"1000000000),1),Y$4:Y1673)),INDEX(F$4:F1673,MATCH(LARGE(FILTER(K$4:K1673,K$4:K1673&lt;1000000000),1),K$4:K1673)))),AND(K40&lt;1000000000,COUNTA(C40:C1673)&gt;0,P$3=FALSE),
ROUNDDOWN(INDEX(Y$4:Y1673,MATCH(LARGE(FILTER(W$4:W1673,W$4:W1673&lt;=I40),1),W$4:W1673))+(I40-LA"&amp;"RGE(FILTER(W$4:W1673,W$4:W1673&lt;=I40),1))*INDEX(T$4:T1673,MATCH(LARGE(FILTER(W$4:W1673,W$4:W1673&lt;=I40),1),W$4:W1673))-K40),1,
ROUNDDOWN(Y40-INDEX(K$4:K1673,MATCH(LARGE(FILTER(I$4:I1673,I$4:I1673&lt;=W40),1),I$4:I1673))-(W40-LARGE(FILTER(I$4:I1673,I$4:I1673&lt;=W"&amp;"40),1))*INDEX(F$4:F1673,MATCH(LARGE(FILTER(I$4:I1673,I$4:I1673&lt;=W40),1),I$4:I1673))))"),0.0)</f>
        <v>0</v>
      </c>
      <c r="N40" s="60">
        <f t="shared" si="8"/>
        <v>0</v>
      </c>
      <c r="O40" s="61">
        <f t="shared" si="9"/>
        <v>0</v>
      </c>
      <c r="P40" s="56">
        <f t="shared" si="10"/>
        <v>11</v>
      </c>
      <c r="Q40" s="67" t="s">
        <v>5</v>
      </c>
      <c r="R40" s="10" t="b">
        <f>IFERROR(__xludf.DUMMYFUNCTION("IF(COUNTA(Q40:Q1673)=0,"""",IF(ISBLANK(Q40),FALSE,IF(NOT(COUNTIF($AA$24:$AA$34,SUBSTITUTE(Q40,""Sell_"",""""))),1,IF(REGEXMATCH(Q40,""Sell_""),IF(COUNTIF(Q$4:Q40,SUBSTITUTE(Q40,""Sell_"",""""))-COUNTIF(Q$4:Q39,Q40)&lt;1,1),FALSE))))"),FALSE)</f>
        <v>0</v>
      </c>
      <c r="S40" s="59">
        <f t="array" ref="S40">IF(COUNTA(Q40:Q1673)=0,"",SUM((COUNTIF(Q$4:Q40,Upgrades!$B$3:$B$13)-COUNTIF(Q$4:Q40,"Sell_"&amp;Upgrades!$B$3:$B$13))*Upgrades!$D$3:$D$13))</f>
        <v>288.4</v>
      </c>
      <c r="T40" s="66">
        <f>IFERROR(__xludf.DUMMYFUNCTION("IF(COUNTA(Q40:Q1673)=0,"""",IF(REGEXMATCH(INDEX(FILTER(Q$4:Q40,Q$4:Q40&lt;&gt;""""),ROWS(FILTER(Q$4:Q40,Q$4:Q40&lt;&gt;""""))),""^Sell_""),INDEX(FILTER(T$4:T39,Q$4:Q39&lt;&gt;""""),ROWS(FILTER(Q$4:Q39,Q$4:Q39&lt;&gt;""""))),$AD$5+S40))"),303.4)</f>
        <v>303.4</v>
      </c>
      <c r="U40" s="10">
        <f>IFERROR(__xludf.DUMMYFUNCTION("IF(COUNTA(Q40:Q1673)=0,"""",IF(Q40="""",0,IF(REGEXMATCH(Q40,""^Sell_""),-ROUNDDOWN(ROUNDUP(INDEX(Upgrades!$C$3:$C$13,MATCH(SUBSTITUTE(Q40,""Sell_"",""""),Upgrades!$B$3:$B$13,0))*1.15^(COUNTIF(Q$4:Q39,SUBSTITUTE(Q40,""Sell_"",""""))-COUNTIF(Q$4:Q39,""Sell_"&amp;"""&amp;SUBSTITUTE(Q40,""Sell_"",""""))))/2),ROUNDUP(INDEX(Upgrades!$C$3:$C$13,MATCH(Q40,Upgrades!$B$3:$B$13,0))*1.15^(COUNTIF(Q$4:Q39,Q40)-COUNTIF(Q$4:Q39,""Sell_""&amp;Q40))))))"),2023.0)</f>
        <v>2023</v>
      </c>
      <c r="V40" s="10">
        <f t="shared" si="11"/>
        <v>2023</v>
      </c>
      <c r="W40" s="68">
        <f t="shared" si="12"/>
        <v>910.3766763</v>
      </c>
      <c r="X40" s="59" t="str">
        <f t="shared" si="13"/>
        <v>15m 10s</v>
      </c>
      <c r="Y40" s="69">
        <f t="shared" si="14"/>
        <v>95950</v>
      </c>
      <c r="Z40" s="11"/>
    </row>
    <row r="41">
      <c r="A41" s="8"/>
      <c r="B41" s="56">
        <f t="shared" si="2"/>
        <v>10</v>
      </c>
      <c r="C41" s="57" t="s">
        <v>3</v>
      </c>
      <c r="D41" s="10" t="b">
        <f>IFERROR(__xludf.DUMMYFUNCTION("IF(COUNTA(C41:C1673)=0,"""",IF(ISBLANK(C41),FALSE,IF(NOT(COUNTIF($AA$24:$AA$34,SUBSTITUTE(C41,""Sell_"",""""))),1,IF(REGEXMATCH(C41,""Sell_""),IF(COUNTIF(C$4:C41,SUBSTITUTE(C41,""Sell_"",""""))-COUNTIF(C$4:C40,C41)&lt;1,1),FALSE))))"),FALSE)</f>
        <v>0</v>
      </c>
      <c r="E41" s="59">
        <f t="array" ref="E41">IF(COUNTA(C41:C1673)=0,"",SUM((COUNTIF(C$4:C41,Upgrades!$B$3:$B$13)-COUNTIF(C$4:C41,"Sell_"&amp;Upgrades!$B$3:$B$13))*Upgrades!$D$3:$D$13))</f>
        <v>288.5</v>
      </c>
      <c r="F41" s="66">
        <f>IFERROR(__xludf.DUMMYFUNCTION("IF(COUNTA(C41:C1673)=0,"""",IF(REGEXMATCH(INDEX(FILTER(C$4:C41,C$4:C41&lt;&gt;""""),ROWS(FILTER(C$4:C41,C$4:C41&lt;&gt;""""))),""^Sell_""),INDEX(FILTER(F$4:F40,C$4:C40&lt;&gt;""""),ROWS(FILTER(C$4:C40,C$4:C40&lt;&gt;""""))),$AC$5+E41))"),303.5)</f>
        <v>303.5</v>
      </c>
      <c r="G41" s="10">
        <f>IFERROR(__xludf.DUMMYFUNCTION("IF(COUNTA(C41:C1673)=0,"""",IF(C41="""",0,IF(REGEXMATCH(C41,""^Sell_""),-ROUNDDOWN(ROUNDUP(INDEX(Upgrades!$C$3:$C$13,MATCH(SUBSTITUTE(C41,""Sell_"",""""),Upgrades!$B$3:$B$13,0))*1.15^(COUNTIF(C$4:C40,SUBSTITUTE(C41,""Sell_"",""""))-COUNTIF(C$4:C40,""Sell_"&amp;"""&amp;SUBSTITUTE(C41,""Sell_"",""""))))/2),ROUNDUP(INDEX(Upgrades!$C$3:$C$13,MATCH(C41,Upgrades!$B$3:$B$13,0))*1.15^(COUNTIF(C$4:C40,C41)-COUNTIF(C$4:C40,""Sell_""&amp;C41))))))"),53.0)</f>
        <v>53</v>
      </c>
      <c r="H41" s="10">
        <f t="shared" si="3"/>
        <v>53</v>
      </c>
      <c r="I41" s="68">
        <f t="shared" si="4"/>
        <v>910.5513632</v>
      </c>
      <c r="J41" s="59" t="str">
        <f t="shared" si="5"/>
        <v>15m 10s</v>
      </c>
      <c r="K41" s="69">
        <f t="shared" si="6"/>
        <v>96003</v>
      </c>
      <c r="L41" s="60">
        <f t="shared" si="7"/>
        <v>0</v>
      </c>
      <c r="M41" s="61">
        <f>IFERROR(__xludf.DUMMYFUNCTION("IFS(AND(COUNTA(C41:C1673)=0,COUNTA(Q41:Q1673)=0),"""",OR(AND(K41&gt;=1000000000,OR(Y41&gt;=1000000000,COUNTA(Q41:Q1673)=0)),OR(Y41&gt;=1000000000,AND(COUNTA(C41:C1673)=0,P$3=TRUE))),
ROUNDDOWN((AB$1-AC$1)*MAX(INDEX(T$4:T1673,MATCH(LARGE(FILTER(Y$4:Y1673,Y$4:Y1673&lt;"&amp;"1000000000),1),Y$4:Y1673)),INDEX(F$4:F1673,MATCH(LARGE(FILTER(K$4:K1673,K$4:K1673&lt;1000000000),1),K$4:K1673)))),AND(K41&lt;1000000000,COUNTA(C41:C1673)&gt;0,P$3=FALSE),
ROUNDDOWN(INDEX(Y$4:Y1673,MATCH(LARGE(FILTER(W$4:W1673,W$4:W1673&lt;=I41),1),W$4:W1673))+(I41-LA"&amp;"RGE(FILTER(W$4:W1673,W$4:W1673&lt;=I41),1))*INDEX(T$4:T1673,MATCH(LARGE(FILTER(W$4:W1673,W$4:W1673&lt;=I41),1),W$4:W1673))-K41),1,
ROUNDDOWN(Y41-INDEX(K$4:K1673,MATCH(LARGE(FILTER(I$4:I1673,I$4:I1673&lt;=W41),1),I$4:I1673))-(W41-LARGE(FILTER(I$4:I1673,I$4:I1673&lt;=W"&amp;"41),1))*INDEX(F$4:F1673,MATCH(LARGE(FILTER(I$4:I1673,I$4:I1673&lt;=W41),1),I$4:I1673))))"),0.0)</f>
        <v>0</v>
      </c>
      <c r="N41" s="60">
        <f t="shared" si="8"/>
        <v>0</v>
      </c>
      <c r="O41" s="61">
        <f t="shared" si="9"/>
        <v>0</v>
      </c>
      <c r="P41" s="56">
        <f t="shared" si="10"/>
        <v>10</v>
      </c>
      <c r="Q41" s="67" t="s">
        <v>3</v>
      </c>
      <c r="R41" s="10" t="b">
        <f>IFERROR(__xludf.DUMMYFUNCTION("IF(COUNTA(Q41:Q1673)=0,"""",IF(ISBLANK(Q41),FALSE,IF(NOT(COUNTIF($AA$24:$AA$34,SUBSTITUTE(Q41,""Sell_"",""""))),1,IF(REGEXMATCH(Q41,""Sell_""),IF(COUNTIF(Q$4:Q41,SUBSTITUTE(Q41,""Sell_"",""""))-COUNTIF(Q$4:Q40,Q41)&lt;1,1),FALSE))))"),FALSE)</f>
        <v>0</v>
      </c>
      <c r="S41" s="59">
        <f t="array" ref="S41">IF(COUNTA(Q41:Q1673)=0,"",SUM((COUNTIF(Q$4:Q41,Upgrades!$B$3:$B$13)-COUNTIF(Q$4:Q41,"Sell_"&amp;Upgrades!$B$3:$B$13))*Upgrades!$D$3:$D$13))</f>
        <v>288.5</v>
      </c>
      <c r="T41" s="66">
        <f>IFERROR(__xludf.DUMMYFUNCTION("IF(COUNTA(Q41:Q1673)=0,"""",IF(REGEXMATCH(INDEX(FILTER(Q$4:Q41,Q$4:Q41&lt;&gt;""""),ROWS(FILTER(Q$4:Q41,Q$4:Q41&lt;&gt;""""))),""^Sell_""),INDEX(FILTER(T$4:T40,Q$4:Q40&lt;&gt;""""),ROWS(FILTER(Q$4:Q40,Q$4:Q40&lt;&gt;""""))),$AD$5+S41))"),303.5)</f>
        <v>303.5</v>
      </c>
      <c r="U41" s="10">
        <f>IFERROR(__xludf.DUMMYFUNCTION("IF(COUNTA(Q41:Q1673)=0,"""",IF(Q41="""",0,IF(REGEXMATCH(Q41,""^Sell_""),-ROUNDDOWN(ROUNDUP(INDEX(Upgrades!$C$3:$C$13,MATCH(SUBSTITUTE(Q41,""Sell_"",""""),Upgrades!$B$3:$B$13,0))*1.15^(COUNTIF(Q$4:Q40,SUBSTITUTE(Q41,""Sell_"",""""))-COUNTIF(Q$4:Q40,""Sell_"&amp;"""&amp;SUBSTITUTE(Q41,""Sell_"",""""))))/2),ROUNDUP(INDEX(Upgrades!$C$3:$C$13,MATCH(Q41,Upgrades!$B$3:$B$13,0))*1.15^(COUNTIF(Q$4:Q40,Q41)-COUNTIF(Q$4:Q40,""Sell_""&amp;Q41))))))"),53.0)</f>
        <v>53</v>
      </c>
      <c r="V41" s="10">
        <f t="shared" si="11"/>
        <v>53</v>
      </c>
      <c r="W41" s="68">
        <f t="shared" si="12"/>
        <v>910.5513632</v>
      </c>
      <c r="X41" s="59" t="str">
        <f t="shared" si="13"/>
        <v>15m 10s</v>
      </c>
      <c r="Y41" s="69">
        <f t="shared" si="14"/>
        <v>96003</v>
      </c>
      <c r="Z41" s="11"/>
    </row>
    <row r="42">
      <c r="A42" s="8"/>
      <c r="B42" s="56">
        <f t="shared" si="2"/>
        <v>1</v>
      </c>
      <c r="C42" s="57" t="s">
        <v>8</v>
      </c>
      <c r="D42" s="10" t="b">
        <f>IFERROR(__xludf.DUMMYFUNCTION("IF(COUNTA(C42:C1673)=0,"""",IF(ISBLANK(C42),FALSE,IF(NOT(COUNTIF($AA$24:$AA$34,SUBSTITUTE(C42,""Sell_"",""""))),1,IF(REGEXMATCH(C42,""Sell_""),IF(COUNTIF(C$4:C42,SUBSTITUTE(C42,""Sell_"",""""))-COUNTIF(C$4:C41,C42)&lt;1,1),FALSE))))"),FALSE)</f>
        <v>0</v>
      </c>
      <c r="E42" s="59">
        <f t="array" ref="E42">IF(COUNTA(C42:C1673)=0,"",SUM((COUNTIF(C$4:C42,Upgrades!$B$3:$B$13)-COUNTIF(C$4:C42,"Sell_"&amp;Upgrades!$B$3:$B$13))*Upgrades!$D$3:$D$13))</f>
        <v>388.5</v>
      </c>
      <c r="F42" s="66">
        <f>IFERROR(__xludf.DUMMYFUNCTION("IF(COUNTA(C42:C1673)=0,"""",IF(REGEXMATCH(INDEX(FILTER(C$4:C42,C$4:C42&lt;&gt;""""),ROWS(FILTER(C$4:C42,C$4:C42&lt;&gt;""""))),""^Sell_""),INDEX(FILTER(F$4:F41,C$4:C41&lt;&gt;""""),ROWS(FILTER(C$4:C41,C$4:C41&lt;&gt;""""))),$AC$5+E42))"),403.5)</f>
        <v>403.5</v>
      </c>
      <c r="G42" s="10">
        <f>IFERROR(__xludf.DUMMYFUNCTION("IF(COUNTA(C42:C1673)=0,"""",IF(C42="""",0,IF(REGEXMATCH(C42,""^Sell_""),-ROUNDDOWN(ROUNDUP(INDEX(Upgrades!$C$3:$C$13,MATCH(SUBSTITUTE(C42,""Sell_"",""""),Upgrades!$B$3:$B$13,0))*1.15^(COUNTIF(C$4:C41,SUBSTITUTE(C42,""Sell_"",""""))-COUNTIF(C$4:C41,""Sell_"&amp;"""&amp;SUBSTITUTE(C42,""Sell_"",""""))))/2),ROUNDUP(INDEX(Upgrades!$C$3:$C$13,MATCH(C42,Upgrades!$B$3:$B$13,0))*1.15^(COUNTIF(C$4:C41,C42)-COUNTIF(C$4:C41,""Sell_""&amp;C42))))))"),40000.0)</f>
        <v>40000</v>
      </c>
      <c r="H42" s="10">
        <f t="shared" si="3"/>
        <v>40000</v>
      </c>
      <c r="I42" s="68">
        <f t="shared" si="4"/>
        <v>1042.34708</v>
      </c>
      <c r="J42" s="59" t="str">
        <f t="shared" si="5"/>
        <v>17m 22s</v>
      </c>
      <c r="K42" s="69">
        <f t="shared" si="6"/>
        <v>136003</v>
      </c>
      <c r="L42" s="60">
        <f t="shared" si="7"/>
        <v>0</v>
      </c>
      <c r="M42" s="61">
        <f>IFERROR(__xludf.DUMMYFUNCTION("IFS(AND(COUNTA(C42:C1673)=0,COUNTA(Q42:Q1673)=0),"""",OR(AND(K42&gt;=1000000000,OR(Y42&gt;=1000000000,COUNTA(Q42:Q1673)=0)),OR(Y42&gt;=1000000000,AND(COUNTA(C42:C1673)=0,P$3=TRUE))),
ROUNDDOWN((AB$1-AC$1)*MAX(INDEX(T$4:T1673,MATCH(LARGE(FILTER(Y$4:Y1673,Y$4:Y1673&lt;"&amp;"1000000000),1),Y$4:Y1673)),INDEX(F$4:F1673,MATCH(LARGE(FILTER(K$4:K1673,K$4:K1673&lt;1000000000),1),K$4:K1673)))),AND(K42&lt;1000000000,COUNTA(C42:C1673)&gt;0,P$3=FALSE),
ROUNDDOWN(INDEX(Y$4:Y1673,MATCH(LARGE(FILTER(W$4:W1673,W$4:W1673&lt;=I42),1),W$4:W1673))+(I42-LA"&amp;"RGE(FILTER(W$4:W1673,W$4:W1673&lt;=I42),1))*INDEX(T$4:T1673,MATCH(LARGE(FILTER(W$4:W1673,W$4:W1673&lt;=I42),1),W$4:W1673))-K42),1,
ROUNDDOWN(Y42-INDEX(K$4:K1673,MATCH(LARGE(FILTER(I$4:I1673,I$4:I1673&lt;=W42),1),I$4:I1673))-(W42-LARGE(FILTER(I$4:I1673,I$4:I1673&lt;=W"&amp;"42),1))*INDEX(F$4:F1673,MATCH(LARGE(FILTER(I$4:I1673,I$4:I1673&lt;=W42),1),I$4:I1673))))"),0.0)</f>
        <v>0</v>
      </c>
      <c r="N42" s="60">
        <f t="shared" si="8"/>
        <v>0</v>
      </c>
      <c r="O42" s="61">
        <f t="shared" si="9"/>
        <v>0</v>
      </c>
      <c r="P42" s="56">
        <f t="shared" si="10"/>
        <v>1</v>
      </c>
      <c r="Q42" s="67" t="s">
        <v>8</v>
      </c>
      <c r="R42" s="10" t="b">
        <f>IFERROR(__xludf.DUMMYFUNCTION("IF(COUNTA(Q42:Q1673)=0,"""",IF(ISBLANK(Q42),FALSE,IF(NOT(COUNTIF($AA$24:$AA$34,SUBSTITUTE(Q42,""Sell_"",""""))),1,IF(REGEXMATCH(Q42,""Sell_""),IF(COUNTIF(Q$4:Q42,SUBSTITUTE(Q42,""Sell_"",""""))-COUNTIF(Q$4:Q41,Q42)&lt;1,1),FALSE))))"),FALSE)</f>
        <v>0</v>
      </c>
      <c r="S42" s="59">
        <f t="array" ref="S42">IF(COUNTA(Q42:Q1673)=0,"",SUM((COUNTIF(Q$4:Q42,Upgrades!$B$3:$B$13)-COUNTIF(Q$4:Q42,"Sell_"&amp;Upgrades!$B$3:$B$13))*Upgrades!$D$3:$D$13))</f>
        <v>388.5</v>
      </c>
      <c r="T42" s="66">
        <f>IFERROR(__xludf.DUMMYFUNCTION("IF(COUNTA(Q42:Q1673)=0,"""",IF(REGEXMATCH(INDEX(FILTER(Q$4:Q42,Q$4:Q42&lt;&gt;""""),ROWS(FILTER(Q$4:Q42,Q$4:Q42&lt;&gt;""""))),""^Sell_""),INDEX(FILTER(T$4:T41,Q$4:Q41&lt;&gt;""""),ROWS(FILTER(Q$4:Q41,Q$4:Q41&lt;&gt;""""))),$AD$5+S42))"),403.5)</f>
        <v>403.5</v>
      </c>
      <c r="U42" s="10">
        <f>IFERROR(__xludf.DUMMYFUNCTION("IF(COUNTA(Q42:Q1673)=0,"""",IF(Q42="""",0,IF(REGEXMATCH(Q42,""^Sell_""),-ROUNDDOWN(ROUNDUP(INDEX(Upgrades!$C$3:$C$13,MATCH(SUBSTITUTE(Q42,""Sell_"",""""),Upgrades!$B$3:$B$13,0))*1.15^(COUNTIF(Q$4:Q41,SUBSTITUTE(Q42,""Sell_"",""""))-COUNTIF(Q$4:Q41,""Sell_"&amp;"""&amp;SUBSTITUTE(Q42,""Sell_"",""""))))/2),ROUNDUP(INDEX(Upgrades!$C$3:$C$13,MATCH(Q42,Upgrades!$B$3:$B$13,0))*1.15^(COUNTIF(Q$4:Q41,Q42)-COUNTIF(Q$4:Q41,""Sell_""&amp;Q42))))))"),40000.0)</f>
        <v>40000</v>
      </c>
      <c r="V42" s="10">
        <f t="shared" si="11"/>
        <v>40000</v>
      </c>
      <c r="W42" s="68">
        <f t="shared" si="12"/>
        <v>1042.34708</v>
      </c>
      <c r="X42" s="59" t="str">
        <f t="shared" si="13"/>
        <v>17m 22s</v>
      </c>
      <c r="Y42" s="69">
        <f t="shared" si="14"/>
        <v>136003</v>
      </c>
      <c r="Z42" s="11"/>
    </row>
    <row r="43">
      <c r="A43" s="8"/>
      <c r="B43" s="56">
        <f t="shared" si="2"/>
        <v>8</v>
      </c>
      <c r="C43" s="57" t="s">
        <v>4</v>
      </c>
      <c r="D43" s="10" t="b">
        <f>IFERROR(__xludf.DUMMYFUNCTION("IF(COUNTA(C43:C1673)=0,"""",IF(ISBLANK(C43),FALSE,IF(NOT(COUNTIF($AA$24:$AA$34,SUBSTITUTE(C43,""Sell_"",""""))),1,IF(REGEXMATCH(C43,""Sell_""),IF(COUNTIF(C$4:C43,SUBSTITUTE(C43,""Sell_"",""""))-COUNTIF(C$4:C42,C43)&lt;1,1),FALSE))))"),FALSE)</f>
        <v>0</v>
      </c>
      <c r="E43" s="59">
        <f t="array" ref="E43">IF(COUNTA(C43:C1673)=0,"",SUM((COUNTIF(C$4:C43,Upgrades!$B$3:$B$13)-COUNTIF(C$4:C43,"Sell_"&amp;Upgrades!$B$3:$B$13))*Upgrades!$D$3:$D$13))</f>
        <v>389</v>
      </c>
      <c r="F43" s="66">
        <f>IFERROR(__xludf.DUMMYFUNCTION("IF(COUNTA(C43:C1673)=0,"""",IF(REGEXMATCH(INDEX(FILTER(C$4:C43,C$4:C43&lt;&gt;""""),ROWS(FILTER(C$4:C43,C$4:C43&lt;&gt;""""))),""^Sell_""),INDEX(FILTER(F$4:F42,C$4:C42&lt;&gt;""""),ROWS(FILTER(C$4:C42,C$4:C42&lt;&gt;""""))),$AC$5+E43))"),404.0)</f>
        <v>404</v>
      </c>
      <c r="G43" s="10">
        <f>IFERROR(__xludf.DUMMYFUNCTION("IF(COUNTA(C43:C1673)=0,"""",IF(C43="""",0,IF(REGEXMATCH(C43,""^Sell_""),-ROUNDDOWN(ROUNDUP(INDEX(Upgrades!$C$3:$C$13,MATCH(SUBSTITUTE(C43,""Sell_"",""""),Upgrades!$B$3:$B$13,0))*1.15^(COUNTIF(C$4:C42,SUBSTITUTE(C43,""Sell_"",""""))-COUNTIF(C$4:C42,""Sell_"&amp;"""&amp;SUBSTITUTE(C43,""Sell_"",""""))))/2),ROUNDUP(INDEX(Upgrades!$C$3:$C$13,MATCH(C43,Upgrades!$B$3:$B$13,0))*1.15^(COUNTIF(C$4:C42,C43)-COUNTIF(C$4:C42,""Sell_""&amp;C43))))))"),267.0)</f>
        <v>267</v>
      </c>
      <c r="H43" s="10">
        <f t="shared" si="3"/>
        <v>267</v>
      </c>
      <c r="I43" s="68">
        <f t="shared" si="4"/>
        <v>1043.00879</v>
      </c>
      <c r="J43" s="59" t="str">
        <f t="shared" si="5"/>
        <v>17m 23s</v>
      </c>
      <c r="K43" s="69">
        <f t="shared" si="6"/>
        <v>136270</v>
      </c>
      <c r="L43" s="60">
        <f t="shared" si="7"/>
        <v>0</v>
      </c>
      <c r="M43" s="61">
        <f>IFERROR(__xludf.DUMMYFUNCTION("IFS(AND(COUNTA(C43:C1673)=0,COUNTA(Q43:Q1673)=0),"""",OR(AND(K43&gt;=1000000000,OR(Y43&gt;=1000000000,COUNTA(Q43:Q1673)=0)),OR(Y43&gt;=1000000000,AND(COUNTA(C43:C1673)=0,P$3=TRUE))),
ROUNDDOWN((AB$1-AC$1)*MAX(INDEX(T$4:T1673,MATCH(LARGE(FILTER(Y$4:Y1673,Y$4:Y1673&lt;"&amp;"1000000000),1),Y$4:Y1673)),INDEX(F$4:F1673,MATCH(LARGE(FILTER(K$4:K1673,K$4:K1673&lt;1000000000),1),K$4:K1673)))),AND(K43&lt;1000000000,COUNTA(C43:C1673)&gt;0,P$3=FALSE),
ROUNDDOWN(INDEX(Y$4:Y1673,MATCH(LARGE(FILTER(W$4:W1673,W$4:W1673&lt;=I43),1),W$4:W1673))+(I43-LA"&amp;"RGE(FILTER(W$4:W1673,W$4:W1673&lt;=I43),1))*INDEX(T$4:T1673,MATCH(LARGE(FILTER(W$4:W1673,W$4:W1673&lt;=I43),1),W$4:W1673))-K43),1,
ROUNDDOWN(Y43-INDEX(K$4:K1673,MATCH(LARGE(FILTER(I$4:I1673,I$4:I1673&lt;=W43),1),I$4:I1673))-(W43-LARGE(FILTER(I$4:I1673,I$4:I1673&lt;=W"&amp;"43),1))*INDEX(F$4:F1673,MATCH(LARGE(FILTER(I$4:I1673,I$4:I1673&lt;=W43),1),I$4:I1673))))"),0.0)</f>
        <v>0</v>
      </c>
      <c r="N43" s="60">
        <f t="shared" si="8"/>
        <v>0</v>
      </c>
      <c r="O43" s="61">
        <f t="shared" si="9"/>
        <v>0</v>
      </c>
      <c r="P43" s="56">
        <f t="shared" si="10"/>
        <v>8</v>
      </c>
      <c r="Q43" s="67" t="s">
        <v>4</v>
      </c>
      <c r="R43" s="10" t="b">
        <f>IFERROR(__xludf.DUMMYFUNCTION("IF(COUNTA(Q43:Q1673)=0,"""",IF(ISBLANK(Q43),FALSE,IF(NOT(COUNTIF($AA$24:$AA$34,SUBSTITUTE(Q43,""Sell_"",""""))),1,IF(REGEXMATCH(Q43,""Sell_""),IF(COUNTIF(Q$4:Q43,SUBSTITUTE(Q43,""Sell_"",""""))-COUNTIF(Q$4:Q42,Q43)&lt;1,1),FALSE))))"),FALSE)</f>
        <v>0</v>
      </c>
      <c r="S43" s="59">
        <f t="array" ref="S43">IF(COUNTA(Q43:Q1673)=0,"",SUM((COUNTIF(Q$4:Q43,Upgrades!$B$3:$B$13)-COUNTIF(Q$4:Q43,"Sell_"&amp;Upgrades!$B$3:$B$13))*Upgrades!$D$3:$D$13))</f>
        <v>389</v>
      </c>
      <c r="T43" s="66">
        <f>IFERROR(__xludf.DUMMYFUNCTION("IF(COUNTA(Q43:Q1673)=0,"""",IF(REGEXMATCH(INDEX(FILTER(Q$4:Q43,Q$4:Q43&lt;&gt;""""),ROWS(FILTER(Q$4:Q43,Q$4:Q43&lt;&gt;""""))),""^Sell_""),INDEX(FILTER(T$4:T42,Q$4:Q42&lt;&gt;""""),ROWS(FILTER(Q$4:Q42,Q$4:Q42&lt;&gt;""""))),$AD$5+S43))"),404.0)</f>
        <v>404</v>
      </c>
      <c r="U43" s="10">
        <f>IFERROR(__xludf.DUMMYFUNCTION("IF(COUNTA(Q43:Q1673)=0,"""",IF(Q43="""",0,IF(REGEXMATCH(Q43,""^Sell_""),-ROUNDDOWN(ROUNDUP(INDEX(Upgrades!$C$3:$C$13,MATCH(SUBSTITUTE(Q43,""Sell_"",""""),Upgrades!$B$3:$B$13,0))*1.15^(COUNTIF(Q$4:Q42,SUBSTITUTE(Q43,""Sell_"",""""))-COUNTIF(Q$4:Q42,""Sell_"&amp;"""&amp;SUBSTITUTE(Q43,""Sell_"",""""))))/2),ROUNDUP(INDEX(Upgrades!$C$3:$C$13,MATCH(Q43,Upgrades!$B$3:$B$13,0))*1.15^(COUNTIF(Q$4:Q42,Q43)-COUNTIF(Q$4:Q42,""Sell_""&amp;Q43))))))"),267.0)</f>
        <v>267</v>
      </c>
      <c r="V43" s="10">
        <f t="shared" si="11"/>
        <v>267</v>
      </c>
      <c r="W43" s="68">
        <f t="shared" si="12"/>
        <v>1043.00879</v>
      </c>
      <c r="X43" s="59" t="str">
        <f t="shared" si="13"/>
        <v>17m 23s</v>
      </c>
      <c r="Y43" s="69">
        <f t="shared" si="14"/>
        <v>136270</v>
      </c>
      <c r="Z43" s="11"/>
    </row>
    <row r="44">
      <c r="A44" s="8"/>
      <c r="B44" s="56">
        <f t="shared" si="2"/>
        <v>5</v>
      </c>
      <c r="C44" s="57" t="s">
        <v>6</v>
      </c>
      <c r="D44" s="10" t="b">
        <f>IFERROR(__xludf.DUMMYFUNCTION("IF(COUNTA(C44:C1673)=0,"""",IF(ISBLANK(C44),FALSE,IF(NOT(COUNTIF($AA$24:$AA$34,SUBSTITUTE(C44,""Sell_"",""""))),1,IF(REGEXMATCH(C44,""Sell_""),IF(COUNTIF(C$4:C44,SUBSTITUTE(C44,""Sell_"",""""))-COUNTIF(C$4:C43,C44)&lt;1,1),FALSE))))"),FALSE)</f>
        <v>0</v>
      </c>
      <c r="E44" s="59">
        <f t="array" ref="E44">IF(COUNTA(C44:C1673)=0,"",SUM((COUNTIF(C$4:C44,Upgrades!$B$3:$B$13)-COUNTIF(C$4:C44,"Sell_"&amp;Upgrades!$B$3:$B$13))*Upgrades!$D$3:$D$13))</f>
        <v>399</v>
      </c>
      <c r="F44" s="66">
        <f>IFERROR(__xludf.DUMMYFUNCTION("IF(COUNTA(C44:C1673)=0,"""",IF(REGEXMATCH(INDEX(FILTER(C$4:C44,C$4:C44&lt;&gt;""""),ROWS(FILTER(C$4:C44,C$4:C44&lt;&gt;""""))),""^Sell_""),INDEX(FILTER(F$4:F43,C$4:C43&lt;&gt;""""),ROWS(FILTER(C$4:C43,C$4:C43&lt;&gt;""""))),$AC$5+E44))"),414.0)</f>
        <v>414</v>
      </c>
      <c r="G44" s="10">
        <f>IFERROR(__xludf.DUMMYFUNCTION("IF(COUNTA(C44:C1673)=0,"""",IF(C44="""",0,IF(REGEXMATCH(C44,""^Sell_""),-ROUNDDOWN(ROUNDUP(INDEX(Upgrades!$C$3:$C$13,MATCH(SUBSTITUTE(C44,""Sell_"",""""),Upgrades!$B$3:$B$13,0))*1.15^(COUNTIF(C$4:C43,SUBSTITUTE(C44,""Sell_"",""""))-COUNTIF(C$4:C43,""Sell_"&amp;"""&amp;SUBSTITUTE(C44,""Sell_"",""""))))/2),ROUNDUP(INDEX(Upgrades!$C$3:$C$13,MATCH(C44,Upgrades!$B$3:$B$13,0))*1.15^(COUNTIF(C$4:C43,C44)-COUNTIF(C$4:C43,""Sell_""&amp;C44))))))"),5248.0)</f>
        <v>5248</v>
      </c>
      <c r="H44" s="10">
        <f t="shared" si="3"/>
        <v>5248</v>
      </c>
      <c r="I44" s="68">
        <f t="shared" si="4"/>
        <v>1055.998889</v>
      </c>
      <c r="J44" s="59" t="str">
        <f t="shared" si="5"/>
        <v>17m 35s</v>
      </c>
      <c r="K44" s="69">
        <f t="shared" si="6"/>
        <v>141518</v>
      </c>
      <c r="L44" s="60">
        <f t="shared" si="7"/>
        <v>0</v>
      </c>
      <c r="M44" s="61">
        <f>IFERROR(__xludf.DUMMYFUNCTION("IFS(AND(COUNTA(C44:C1673)=0,COUNTA(Q44:Q1673)=0),"""",OR(AND(K44&gt;=1000000000,OR(Y44&gt;=1000000000,COUNTA(Q44:Q1673)=0)),OR(Y44&gt;=1000000000,AND(COUNTA(C44:C1673)=0,P$3=TRUE))),
ROUNDDOWN((AB$1-AC$1)*MAX(INDEX(T$4:T1673,MATCH(LARGE(FILTER(Y$4:Y1673,Y$4:Y1673&lt;"&amp;"1000000000),1),Y$4:Y1673)),INDEX(F$4:F1673,MATCH(LARGE(FILTER(K$4:K1673,K$4:K1673&lt;1000000000),1),K$4:K1673)))),AND(K44&lt;1000000000,COUNTA(C44:C1673)&gt;0,P$3=FALSE),
ROUNDDOWN(INDEX(Y$4:Y1673,MATCH(LARGE(FILTER(W$4:W1673,W$4:W1673&lt;=I44),1),W$4:W1673))+(I44-LA"&amp;"RGE(FILTER(W$4:W1673,W$4:W1673&lt;=I44),1))*INDEX(T$4:T1673,MATCH(LARGE(FILTER(W$4:W1673,W$4:W1673&lt;=I44),1),W$4:W1673))-K44),1,
ROUNDDOWN(Y44-INDEX(K$4:K1673,MATCH(LARGE(FILTER(I$4:I1673,I$4:I1673&lt;=W44),1),I$4:I1673))-(W44-LARGE(FILTER(I$4:I1673,I$4:I1673&lt;=W"&amp;"44),1))*INDEX(F$4:F1673,MATCH(LARGE(FILTER(I$4:I1673,I$4:I1673&lt;=W44),1),I$4:I1673))))"),0.0)</f>
        <v>0</v>
      </c>
      <c r="N44" s="60">
        <f t="shared" si="8"/>
        <v>0</v>
      </c>
      <c r="O44" s="61">
        <f t="shared" si="9"/>
        <v>0</v>
      </c>
      <c r="P44" s="56">
        <f t="shared" si="10"/>
        <v>5</v>
      </c>
      <c r="Q44" s="67" t="s">
        <v>6</v>
      </c>
      <c r="R44" s="10" t="b">
        <f>IFERROR(__xludf.DUMMYFUNCTION("IF(COUNTA(Q44:Q1673)=0,"""",IF(ISBLANK(Q44),FALSE,IF(NOT(COUNTIF($AA$24:$AA$34,SUBSTITUTE(Q44,""Sell_"",""""))),1,IF(REGEXMATCH(Q44,""Sell_""),IF(COUNTIF(Q$4:Q44,SUBSTITUTE(Q44,""Sell_"",""""))-COUNTIF(Q$4:Q43,Q44)&lt;1,1),FALSE))))"),FALSE)</f>
        <v>0</v>
      </c>
      <c r="S44" s="59">
        <f t="array" ref="S44">IF(COUNTA(Q44:Q1673)=0,"",SUM((COUNTIF(Q$4:Q44,Upgrades!$B$3:$B$13)-COUNTIF(Q$4:Q44,"Sell_"&amp;Upgrades!$B$3:$B$13))*Upgrades!$D$3:$D$13))</f>
        <v>399</v>
      </c>
      <c r="T44" s="66">
        <f>IFERROR(__xludf.DUMMYFUNCTION("IF(COUNTA(Q44:Q1673)=0,"""",IF(REGEXMATCH(INDEX(FILTER(Q$4:Q44,Q$4:Q44&lt;&gt;""""),ROWS(FILTER(Q$4:Q44,Q$4:Q44&lt;&gt;""""))),""^Sell_""),INDEX(FILTER(T$4:T43,Q$4:Q43&lt;&gt;""""),ROWS(FILTER(Q$4:Q43,Q$4:Q43&lt;&gt;""""))),$AD$5+S44))"),414.0)</f>
        <v>414</v>
      </c>
      <c r="U44" s="10">
        <f>IFERROR(__xludf.DUMMYFUNCTION("IF(COUNTA(Q44:Q1673)=0,"""",IF(Q44="""",0,IF(REGEXMATCH(Q44,""^Sell_""),-ROUNDDOWN(ROUNDUP(INDEX(Upgrades!$C$3:$C$13,MATCH(SUBSTITUTE(Q44,""Sell_"",""""),Upgrades!$B$3:$B$13,0))*1.15^(COUNTIF(Q$4:Q43,SUBSTITUTE(Q44,""Sell_"",""""))-COUNTIF(Q$4:Q43,""Sell_"&amp;"""&amp;SUBSTITUTE(Q44,""Sell_"",""""))))/2),ROUNDUP(INDEX(Upgrades!$C$3:$C$13,MATCH(Q44,Upgrades!$B$3:$B$13,0))*1.15^(COUNTIF(Q$4:Q43,Q44)-COUNTIF(Q$4:Q43,""Sell_""&amp;Q44))))))"),5248.0)</f>
        <v>5248</v>
      </c>
      <c r="V44" s="10">
        <f t="shared" si="11"/>
        <v>5248</v>
      </c>
      <c r="W44" s="68">
        <f t="shared" si="12"/>
        <v>1055.998889</v>
      </c>
      <c r="X44" s="59" t="str">
        <f t="shared" si="13"/>
        <v>17m 35s</v>
      </c>
      <c r="Y44" s="69">
        <f t="shared" si="14"/>
        <v>141518</v>
      </c>
      <c r="Z44" s="11"/>
    </row>
    <row r="45">
      <c r="A45" s="8"/>
      <c r="B45" s="56">
        <f t="shared" si="2"/>
        <v>6</v>
      </c>
      <c r="C45" s="57" t="s">
        <v>7</v>
      </c>
      <c r="D45" s="10" t="b">
        <f>IFERROR(__xludf.DUMMYFUNCTION("IF(COUNTA(C45:C1673)=0,"""",IF(ISBLANK(C45),FALSE,IF(NOT(COUNTIF($AA$24:$AA$34,SUBSTITUTE(C45,""Sell_"",""""))),1,IF(REGEXMATCH(C45,""Sell_""),IF(COUNTIF(C$4:C45,SUBSTITUTE(C45,""Sell_"",""""))-COUNTIF(C$4:C44,C45)&lt;1,1),FALSE))))"),FALSE)</f>
        <v>0</v>
      </c>
      <c r="E45" s="59">
        <f t="array" ref="E45">IF(COUNTA(C45:C1673)=0,"",SUM((COUNTIF(C$4:C45,Upgrades!$B$3:$B$13)-COUNTIF(C$4:C45,"Sell_"&amp;Upgrades!$B$3:$B$13))*Upgrades!$D$3:$D$13))</f>
        <v>439</v>
      </c>
      <c r="F45" s="66">
        <f>IFERROR(__xludf.DUMMYFUNCTION("IF(COUNTA(C45:C1673)=0,"""",IF(REGEXMATCH(INDEX(FILTER(C$4:C45,C$4:C45&lt;&gt;""""),ROWS(FILTER(C$4:C45,C$4:C45&lt;&gt;""""))),""^Sell_""),INDEX(FILTER(F$4:F44,C$4:C44&lt;&gt;""""),ROWS(FILTER(C$4:C44,C$4:C44&lt;&gt;""""))),$AC$5+E45))"),454.0)</f>
        <v>454</v>
      </c>
      <c r="G45" s="10">
        <f>IFERROR(__xludf.DUMMYFUNCTION("IF(COUNTA(C45:C1673)=0,"""",IF(C45="""",0,IF(REGEXMATCH(C45,""^Sell_""),-ROUNDDOWN(ROUNDUP(INDEX(Upgrades!$C$3:$C$13,MATCH(SUBSTITUTE(C45,""Sell_"",""""),Upgrades!$B$3:$B$13,0))*1.15^(COUNTIF(C$4:C44,SUBSTITUTE(C45,""Sell_"",""""))-COUNTIF(C$4:C44,""Sell_"&amp;"""&amp;SUBSTITUTE(C45,""Sell_"",""""))))/2),ROUNDUP(INDEX(Upgrades!$C$3:$C$13,MATCH(C45,Upgrades!$B$3:$B$13,0))*1.15^(COUNTIF(C$4:C44,C45)-COUNTIF(C$4:C44,""Sell_""&amp;C45))))))"),20114.0)</f>
        <v>20114</v>
      </c>
      <c r="H45" s="10">
        <f t="shared" si="3"/>
        <v>20114</v>
      </c>
      <c r="I45" s="68">
        <f t="shared" si="4"/>
        <v>1104.58343</v>
      </c>
      <c r="J45" s="59" t="str">
        <f t="shared" si="5"/>
        <v>18m 24s</v>
      </c>
      <c r="K45" s="69">
        <f t="shared" si="6"/>
        <v>161632</v>
      </c>
      <c r="L45" s="60">
        <f t="shared" si="7"/>
        <v>0</v>
      </c>
      <c r="M45" s="61">
        <f>IFERROR(__xludf.DUMMYFUNCTION("IFS(AND(COUNTA(C45:C1673)=0,COUNTA(Q45:Q1673)=0),"""",OR(AND(K45&gt;=1000000000,OR(Y45&gt;=1000000000,COUNTA(Q45:Q1673)=0)),OR(Y45&gt;=1000000000,AND(COUNTA(C45:C1673)=0,P$3=TRUE))),
ROUNDDOWN((AB$1-AC$1)*MAX(INDEX(T$4:T1673,MATCH(LARGE(FILTER(Y$4:Y1673,Y$4:Y1673&lt;"&amp;"1000000000),1),Y$4:Y1673)),INDEX(F$4:F1673,MATCH(LARGE(FILTER(K$4:K1673,K$4:K1673&lt;1000000000),1),K$4:K1673)))),AND(K45&lt;1000000000,COUNTA(C45:C1673)&gt;0,P$3=FALSE),
ROUNDDOWN(INDEX(Y$4:Y1673,MATCH(LARGE(FILTER(W$4:W1673,W$4:W1673&lt;=I45),1),W$4:W1673))+(I45-LA"&amp;"RGE(FILTER(W$4:W1673,W$4:W1673&lt;=I45),1))*INDEX(T$4:T1673,MATCH(LARGE(FILTER(W$4:W1673,W$4:W1673&lt;=I45),1),W$4:W1673))-K45),1,
ROUNDDOWN(Y45-INDEX(K$4:K1673,MATCH(LARGE(FILTER(I$4:I1673,I$4:I1673&lt;=W45),1),I$4:I1673))-(W45-LARGE(FILTER(I$4:I1673,I$4:I1673&lt;=W"&amp;"45),1))*INDEX(F$4:F1673,MATCH(LARGE(FILTER(I$4:I1673,I$4:I1673&lt;=W45),1),I$4:I1673))))"),0.0)</f>
        <v>0</v>
      </c>
      <c r="N45" s="60">
        <f t="shared" si="8"/>
        <v>0</v>
      </c>
      <c r="O45" s="61">
        <f t="shared" si="9"/>
        <v>0</v>
      </c>
      <c r="P45" s="56">
        <f t="shared" si="10"/>
        <v>6</v>
      </c>
      <c r="Q45" s="67" t="s">
        <v>7</v>
      </c>
      <c r="R45" s="10" t="b">
        <f>IFERROR(__xludf.DUMMYFUNCTION("IF(COUNTA(Q45:Q1673)=0,"""",IF(ISBLANK(Q45),FALSE,IF(NOT(COUNTIF($AA$24:$AA$34,SUBSTITUTE(Q45,""Sell_"",""""))),1,IF(REGEXMATCH(Q45,""Sell_""),IF(COUNTIF(Q$4:Q45,SUBSTITUTE(Q45,""Sell_"",""""))-COUNTIF(Q$4:Q44,Q45)&lt;1,1),FALSE))))"),FALSE)</f>
        <v>0</v>
      </c>
      <c r="S45" s="59">
        <f t="array" ref="S45">IF(COUNTA(Q45:Q1673)=0,"",SUM((COUNTIF(Q$4:Q45,Upgrades!$B$3:$B$13)-COUNTIF(Q$4:Q45,"Sell_"&amp;Upgrades!$B$3:$B$13))*Upgrades!$D$3:$D$13))</f>
        <v>439</v>
      </c>
      <c r="T45" s="66">
        <f>IFERROR(__xludf.DUMMYFUNCTION("IF(COUNTA(Q45:Q1673)=0,"""",IF(REGEXMATCH(INDEX(FILTER(Q$4:Q45,Q$4:Q45&lt;&gt;""""),ROWS(FILTER(Q$4:Q45,Q$4:Q45&lt;&gt;""""))),""^Sell_""),INDEX(FILTER(T$4:T44,Q$4:Q44&lt;&gt;""""),ROWS(FILTER(Q$4:Q44,Q$4:Q44&lt;&gt;""""))),$AD$5+S45))"),454.0)</f>
        <v>454</v>
      </c>
      <c r="U45" s="10">
        <f>IFERROR(__xludf.DUMMYFUNCTION("IF(COUNTA(Q45:Q1673)=0,"""",IF(Q45="""",0,IF(REGEXMATCH(Q45,""^Sell_""),-ROUNDDOWN(ROUNDUP(INDEX(Upgrades!$C$3:$C$13,MATCH(SUBSTITUTE(Q45,""Sell_"",""""),Upgrades!$B$3:$B$13,0))*1.15^(COUNTIF(Q$4:Q44,SUBSTITUTE(Q45,""Sell_"",""""))-COUNTIF(Q$4:Q44,""Sell_"&amp;"""&amp;SUBSTITUTE(Q45,""Sell_"",""""))))/2),ROUNDUP(INDEX(Upgrades!$C$3:$C$13,MATCH(Q45,Upgrades!$B$3:$B$13,0))*1.15^(COUNTIF(Q$4:Q44,Q45)-COUNTIF(Q$4:Q44,""Sell_""&amp;Q45))))))"),20114.0)</f>
        <v>20114</v>
      </c>
      <c r="V45" s="10">
        <f t="shared" si="11"/>
        <v>20114</v>
      </c>
      <c r="W45" s="68">
        <f t="shared" si="12"/>
        <v>1104.58343</v>
      </c>
      <c r="X45" s="59" t="str">
        <f t="shared" si="13"/>
        <v>18m 24s</v>
      </c>
      <c r="Y45" s="69">
        <f t="shared" si="14"/>
        <v>161632</v>
      </c>
      <c r="Z45" s="11"/>
    </row>
    <row r="46">
      <c r="A46" s="8"/>
      <c r="B46" s="56">
        <f t="shared" si="2"/>
        <v>2</v>
      </c>
      <c r="C46" s="57" t="s">
        <v>8</v>
      </c>
      <c r="D46" s="10" t="b">
        <f>IFERROR(__xludf.DUMMYFUNCTION("IF(COUNTA(C46:C1673)=0,"""",IF(ISBLANK(C46),FALSE,IF(NOT(COUNTIF($AA$24:$AA$34,SUBSTITUTE(C46,""Sell_"",""""))),1,IF(REGEXMATCH(C46,""Sell_""),IF(COUNTIF(C$4:C46,SUBSTITUTE(C46,""Sell_"",""""))-COUNTIF(C$4:C45,C46)&lt;1,1),FALSE))))"),FALSE)</f>
        <v>0</v>
      </c>
      <c r="E46" s="59">
        <f t="array" ref="E46">IF(COUNTA(C46:C1673)=0,"",SUM((COUNTIF(C$4:C46,Upgrades!$B$3:$B$13)-COUNTIF(C$4:C46,"Sell_"&amp;Upgrades!$B$3:$B$13))*Upgrades!$D$3:$D$13))</f>
        <v>539</v>
      </c>
      <c r="F46" s="66">
        <f>IFERROR(__xludf.DUMMYFUNCTION("IF(COUNTA(C46:C1673)=0,"""",IF(REGEXMATCH(INDEX(FILTER(C$4:C46,C$4:C46&lt;&gt;""""),ROWS(FILTER(C$4:C46,C$4:C46&lt;&gt;""""))),""^Sell_""),INDEX(FILTER(F$4:F45,C$4:C45&lt;&gt;""""),ROWS(FILTER(C$4:C45,C$4:C45&lt;&gt;""""))),$AC$5+E46))"),554.0)</f>
        <v>554</v>
      </c>
      <c r="G46" s="10">
        <f>IFERROR(__xludf.DUMMYFUNCTION("IF(COUNTA(C46:C1673)=0,"""",IF(C46="""",0,IF(REGEXMATCH(C46,""^Sell_""),-ROUNDDOWN(ROUNDUP(INDEX(Upgrades!$C$3:$C$13,MATCH(SUBSTITUTE(C46,""Sell_"",""""),Upgrades!$B$3:$B$13,0))*1.15^(COUNTIF(C$4:C45,SUBSTITUTE(C46,""Sell_"",""""))-COUNTIF(C$4:C45,""Sell_"&amp;"""&amp;SUBSTITUTE(C46,""Sell_"",""""))))/2),ROUNDUP(INDEX(Upgrades!$C$3:$C$13,MATCH(C46,Upgrades!$B$3:$B$13,0))*1.15^(COUNTIF(C$4:C45,C46)-COUNTIF(C$4:C45,""Sell_""&amp;C46))))))"),46000.0)</f>
        <v>46000</v>
      </c>
      <c r="H46" s="10">
        <f t="shared" si="3"/>
        <v>46000</v>
      </c>
      <c r="I46" s="68">
        <f t="shared" si="4"/>
        <v>1205.905016</v>
      </c>
      <c r="J46" s="59" t="str">
        <f t="shared" si="5"/>
        <v>20m 05s</v>
      </c>
      <c r="K46" s="69">
        <f t="shared" si="6"/>
        <v>207632</v>
      </c>
      <c r="L46" s="60">
        <f t="shared" si="7"/>
        <v>0</v>
      </c>
      <c r="M46" s="61">
        <f>IFERROR(__xludf.DUMMYFUNCTION("IFS(AND(COUNTA(C46:C1673)=0,COUNTA(Q46:Q1673)=0),"""",OR(AND(K46&gt;=1000000000,OR(Y46&gt;=1000000000,COUNTA(Q46:Q1673)=0)),OR(Y46&gt;=1000000000,AND(COUNTA(C46:C1673)=0,P$3=TRUE))),
ROUNDDOWN((AB$1-AC$1)*MAX(INDEX(T$4:T1673,MATCH(LARGE(FILTER(Y$4:Y1673,Y$4:Y1673&lt;"&amp;"1000000000),1),Y$4:Y1673)),INDEX(F$4:F1673,MATCH(LARGE(FILTER(K$4:K1673,K$4:K1673&lt;1000000000),1),K$4:K1673)))),AND(K46&lt;1000000000,COUNTA(C46:C1673)&gt;0,P$3=FALSE),
ROUNDDOWN(INDEX(Y$4:Y1673,MATCH(LARGE(FILTER(W$4:W1673,W$4:W1673&lt;=I46),1),W$4:W1673))+(I46-LA"&amp;"RGE(FILTER(W$4:W1673,W$4:W1673&lt;=I46),1))*INDEX(T$4:T1673,MATCH(LARGE(FILTER(W$4:W1673,W$4:W1673&lt;=I46),1),W$4:W1673))-K46),1,
ROUNDDOWN(Y46-INDEX(K$4:K1673,MATCH(LARGE(FILTER(I$4:I1673,I$4:I1673&lt;=W46),1),I$4:I1673))-(W46-LARGE(FILTER(I$4:I1673,I$4:I1673&lt;=W"&amp;"46),1))*INDEX(F$4:F1673,MATCH(LARGE(FILTER(I$4:I1673,I$4:I1673&lt;=W46),1),I$4:I1673))))"),0.0)</f>
        <v>0</v>
      </c>
      <c r="N46" s="60">
        <f t="shared" si="8"/>
        <v>0</v>
      </c>
      <c r="O46" s="61">
        <f t="shared" si="9"/>
        <v>0</v>
      </c>
      <c r="P46" s="56">
        <f t="shared" si="10"/>
        <v>2</v>
      </c>
      <c r="Q46" s="67" t="s">
        <v>8</v>
      </c>
      <c r="R46" s="10" t="b">
        <f>IFERROR(__xludf.DUMMYFUNCTION("IF(COUNTA(Q46:Q1673)=0,"""",IF(ISBLANK(Q46),FALSE,IF(NOT(COUNTIF($AA$24:$AA$34,SUBSTITUTE(Q46,""Sell_"",""""))),1,IF(REGEXMATCH(Q46,""Sell_""),IF(COUNTIF(Q$4:Q46,SUBSTITUTE(Q46,""Sell_"",""""))-COUNTIF(Q$4:Q45,Q46)&lt;1,1),FALSE))))"),FALSE)</f>
        <v>0</v>
      </c>
      <c r="S46" s="59">
        <f t="array" ref="S46">IF(COUNTA(Q46:Q1673)=0,"",SUM((COUNTIF(Q$4:Q46,Upgrades!$B$3:$B$13)-COUNTIF(Q$4:Q46,"Sell_"&amp;Upgrades!$B$3:$B$13))*Upgrades!$D$3:$D$13))</f>
        <v>539</v>
      </c>
      <c r="T46" s="66">
        <f>IFERROR(__xludf.DUMMYFUNCTION("IF(COUNTA(Q46:Q1673)=0,"""",IF(REGEXMATCH(INDEX(FILTER(Q$4:Q46,Q$4:Q46&lt;&gt;""""),ROWS(FILTER(Q$4:Q46,Q$4:Q46&lt;&gt;""""))),""^Sell_""),INDEX(FILTER(T$4:T45,Q$4:Q45&lt;&gt;""""),ROWS(FILTER(Q$4:Q45,Q$4:Q45&lt;&gt;""""))),$AD$5+S46))"),554.0)</f>
        <v>554</v>
      </c>
      <c r="U46" s="10">
        <f>IFERROR(__xludf.DUMMYFUNCTION("IF(COUNTA(Q46:Q1673)=0,"""",IF(Q46="""",0,IF(REGEXMATCH(Q46,""^Sell_""),-ROUNDDOWN(ROUNDUP(INDEX(Upgrades!$C$3:$C$13,MATCH(SUBSTITUTE(Q46,""Sell_"",""""),Upgrades!$B$3:$B$13,0))*1.15^(COUNTIF(Q$4:Q45,SUBSTITUTE(Q46,""Sell_"",""""))-COUNTIF(Q$4:Q45,""Sell_"&amp;"""&amp;SUBSTITUTE(Q46,""Sell_"",""""))))/2),ROUNDUP(INDEX(Upgrades!$C$3:$C$13,MATCH(Q46,Upgrades!$B$3:$B$13,0))*1.15^(COUNTIF(Q$4:Q45,Q46)-COUNTIF(Q$4:Q45,""Sell_""&amp;Q46))))))"),46000.0)</f>
        <v>46000</v>
      </c>
      <c r="V46" s="10">
        <f t="shared" si="11"/>
        <v>46000</v>
      </c>
      <c r="W46" s="68">
        <f t="shared" si="12"/>
        <v>1205.905016</v>
      </c>
      <c r="X46" s="59" t="str">
        <f t="shared" si="13"/>
        <v>20m 05s</v>
      </c>
      <c r="Y46" s="69">
        <f t="shared" si="14"/>
        <v>207632</v>
      </c>
      <c r="Z46" s="11"/>
    </row>
    <row r="47">
      <c r="A47" s="8"/>
      <c r="B47" s="56">
        <f t="shared" si="2"/>
        <v>12</v>
      </c>
      <c r="C47" s="57" t="s">
        <v>5</v>
      </c>
      <c r="D47" s="10" t="b">
        <f>IFERROR(__xludf.DUMMYFUNCTION("IF(COUNTA(C47:C1673)=0,"""",IF(ISBLANK(C47),FALSE,IF(NOT(COUNTIF($AA$24:$AA$34,SUBSTITUTE(C47,""Sell_"",""""))),1,IF(REGEXMATCH(C47,""Sell_""),IF(COUNTIF(C$4:C47,SUBSTITUTE(C47,""Sell_"",""""))-COUNTIF(C$4:C46,C47)&lt;1,1),FALSE))))"),FALSE)</f>
        <v>0</v>
      </c>
      <c r="E47" s="59">
        <f t="array" ref="E47">IF(COUNTA(C47:C1673)=0,"",SUM((COUNTIF(C$4:C47,Upgrades!$B$3:$B$13)-COUNTIF(C$4:C47,"Sell_"&amp;Upgrades!$B$3:$B$13))*Upgrades!$D$3:$D$13))</f>
        <v>543</v>
      </c>
      <c r="F47" s="66">
        <f>IFERROR(__xludf.DUMMYFUNCTION("IF(COUNTA(C47:C1673)=0,"""",IF(REGEXMATCH(INDEX(FILTER(C$4:C47,C$4:C47&lt;&gt;""""),ROWS(FILTER(C$4:C47,C$4:C47&lt;&gt;""""))),""^Sell_""),INDEX(FILTER(F$4:F46,C$4:C46&lt;&gt;""""),ROWS(FILTER(C$4:C46,C$4:C46&lt;&gt;""""))),$AC$5+E47))"),558.0)</f>
        <v>558</v>
      </c>
      <c r="G47" s="10">
        <f>IFERROR(__xludf.DUMMYFUNCTION("IF(COUNTA(C47:C1673)=0,"""",IF(C47="""",0,IF(REGEXMATCH(C47,""^Sell_""),-ROUNDDOWN(ROUNDUP(INDEX(Upgrades!$C$3:$C$13,MATCH(SUBSTITUTE(C47,""Sell_"",""""),Upgrades!$B$3:$B$13,0))*1.15^(COUNTIF(C$4:C46,SUBSTITUTE(C47,""Sell_"",""""))-COUNTIF(C$4:C46,""Sell_"&amp;"""&amp;SUBSTITUTE(C47,""Sell_"",""""))))/2),ROUNDUP(INDEX(Upgrades!$C$3:$C$13,MATCH(C47,Upgrades!$B$3:$B$13,0))*1.15^(COUNTIF(C$4:C46,C47)-COUNTIF(C$4:C46,""Sell_""&amp;C47))))))"),2327.0)</f>
        <v>2327</v>
      </c>
      <c r="H47" s="10">
        <f t="shared" si="3"/>
        <v>2327</v>
      </c>
      <c r="I47" s="68">
        <f t="shared" si="4"/>
        <v>1210.105377</v>
      </c>
      <c r="J47" s="59" t="str">
        <f t="shared" si="5"/>
        <v>20m 10s</v>
      </c>
      <c r="K47" s="69">
        <f t="shared" si="6"/>
        <v>209959</v>
      </c>
      <c r="L47" s="60">
        <f t="shared" si="7"/>
        <v>0</v>
      </c>
      <c r="M47" s="61">
        <f>IFERROR(__xludf.DUMMYFUNCTION("IFS(AND(COUNTA(C47:C1673)=0,COUNTA(Q47:Q1673)=0),"""",OR(AND(K47&gt;=1000000000,OR(Y47&gt;=1000000000,COUNTA(Q47:Q1673)=0)),OR(Y47&gt;=1000000000,AND(COUNTA(C47:C1673)=0,P$3=TRUE))),
ROUNDDOWN((AB$1-AC$1)*MAX(INDEX(T$4:T1673,MATCH(LARGE(FILTER(Y$4:Y1673,Y$4:Y1673&lt;"&amp;"1000000000),1),Y$4:Y1673)),INDEX(F$4:F1673,MATCH(LARGE(FILTER(K$4:K1673,K$4:K1673&lt;1000000000),1),K$4:K1673)))),AND(K47&lt;1000000000,COUNTA(C47:C1673)&gt;0,P$3=FALSE),
ROUNDDOWN(INDEX(Y$4:Y1673,MATCH(LARGE(FILTER(W$4:W1673,W$4:W1673&lt;=I47),1),W$4:W1673))+(I47-LA"&amp;"RGE(FILTER(W$4:W1673,W$4:W1673&lt;=I47),1))*INDEX(T$4:T1673,MATCH(LARGE(FILTER(W$4:W1673,W$4:W1673&lt;=I47),1),W$4:W1673))-K47),1,
ROUNDDOWN(Y47-INDEX(K$4:K1673,MATCH(LARGE(FILTER(I$4:I1673,I$4:I1673&lt;=W47),1),I$4:I1673))-(W47-LARGE(FILTER(I$4:I1673,I$4:I1673&lt;=W"&amp;"47),1))*INDEX(F$4:F1673,MATCH(LARGE(FILTER(I$4:I1673,I$4:I1673&lt;=W47),1),I$4:I1673))))"),0.0)</f>
        <v>0</v>
      </c>
      <c r="N47" s="60">
        <f t="shared" si="8"/>
        <v>0</v>
      </c>
      <c r="O47" s="61">
        <f t="shared" si="9"/>
        <v>0</v>
      </c>
      <c r="P47" s="56">
        <f t="shared" si="10"/>
        <v>12</v>
      </c>
      <c r="Q47" s="67" t="s">
        <v>5</v>
      </c>
      <c r="R47" s="10" t="b">
        <f>IFERROR(__xludf.DUMMYFUNCTION("IF(COUNTA(Q47:Q1673)=0,"""",IF(ISBLANK(Q47),FALSE,IF(NOT(COUNTIF($AA$24:$AA$34,SUBSTITUTE(Q47,""Sell_"",""""))),1,IF(REGEXMATCH(Q47,""Sell_""),IF(COUNTIF(Q$4:Q47,SUBSTITUTE(Q47,""Sell_"",""""))-COUNTIF(Q$4:Q46,Q47)&lt;1,1),FALSE))))"),FALSE)</f>
        <v>0</v>
      </c>
      <c r="S47" s="59">
        <f t="array" ref="S47">IF(COUNTA(Q47:Q1673)=0,"",SUM((COUNTIF(Q$4:Q47,Upgrades!$B$3:$B$13)-COUNTIF(Q$4:Q47,"Sell_"&amp;Upgrades!$B$3:$B$13))*Upgrades!$D$3:$D$13))</f>
        <v>543</v>
      </c>
      <c r="T47" s="66">
        <f>IFERROR(__xludf.DUMMYFUNCTION("IF(COUNTA(Q47:Q1673)=0,"""",IF(REGEXMATCH(INDEX(FILTER(Q$4:Q47,Q$4:Q47&lt;&gt;""""),ROWS(FILTER(Q$4:Q47,Q$4:Q47&lt;&gt;""""))),""^Sell_""),INDEX(FILTER(T$4:T46,Q$4:Q46&lt;&gt;""""),ROWS(FILTER(Q$4:Q46,Q$4:Q46&lt;&gt;""""))),$AD$5+S47))"),558.0)</f>
        <v>558</v>
      </c>
      <c r="U47" s="10">
        <f>IFERROR(__xludf.DUMMYFUNCTION("IF(COUNTA(Q47:Q1673)=0,"""",IF(Q47="""",0,IF(REGEXMATCH(Q47,""^Sell_""),-ROUNDDOWN(ROUNDUP(INDEX(Upgrades!$C$3:$C$13,MATCH(SUBSTITUTE(Q47,""Sell_"",""""),Upgrades!$B$3:$B$13,0))*1.15^(COUNTIF(Q$4:Q46,SUBSTITUTE(Q47,""Sell_"",""""))-COUNTIF(Q$4:Q46,""Sell_"&amp;"""&amp;SUBSTITUTE(Q47,""Sell_"",""""))))/2),ROUNDUP(INDEX(Upgrades!$C$3:$C$13,MATCH(Q47,Upgrades!$B$3:$B$13,0))*1.15^(COUNTIF(Q$4:Q46,Q47)-COUNTIF(Q$4:Q46,""Sell_""&amp;Q47))))))"),2327.0)</f>
        <v>2327</v>
      </c>
      <c r="V47" s="10">
        <f t="shared" si="11"/>
        <v>2327</v>
      </c>
      <c r="W47" s="68">
        <f t="shared" si="12"/>
        <v>1210.105377</v>
      </c>
      <c r="X47" s="59" t="str">
        <f t="shared" si="13"/>
        <v>20m 10s</v>
      </c>
      <c r="Y47" s="69">
        <f t="shared" si="14"/>
        <v>209959</v>
      </c>
      <c r="Z47" s="11"/>
    </row>
    <row r="48">
      <c r="A48" s="8"/>
      <c r="B48" s="56">
        <f t="shared" si="2"/>
        <v>11</v>
      </c>
      <c r="C48" s="57" t="s">
        <v>3</v>
      </c>
      <c r="D48" s="10" t="b">
        <f>IFERROR(__xludf.DUMMYFUNCTION("IF(COUNTA(C48:C1673)=0,"""",IF(ISBLANK(C48),FALSE,IF(NOT(COUNTIF($AA$24:$AA$34,SUBSTITUTE(C48,""Sell_"",""""))),1,IF(REGEXMATCH(C48,""Sell_""),IF(COUNTIF(C$4:C48,SUBSTITUTE(C48,""Sell_"",""""))-COUNTIF(C$4:C47,C48)&lt;1,1),FALSE))))"),FALSE)</f>
        <v>0</v>
      </c>
      <c r="E48" s="59">
        <f t="array" ref="E48">IF(COUNTA(C48:C1673)=0,"",SUM((COUNTIF(C$4:C48,Upgrades!$B$3:$B$13)-COUNTIF(C$4:C48,"Sell_"&amp;Upgrades!$B$3:$B$13))*Upgrades!$D$3:$D$13))</f>
        <v>543.1</v>
      </c>
      <c r="F48" s="66">
        <f>IFERROR(__xludf.DUMMYFUNCTION("IF(COUNTA(C48:C1673)=0,"""",IF(REGEXMATCH(INDEX(FILTER(C$4:C48,C$4:C48&lt;&gt;""""),ROWS(FILTER(C$4:C48,C$4:C48&lt;&gt;""""))),""^Sell_""),INDEX(FILTER(F$4:F47,C$4:C47&lt;&gt;""""),ROWS(FILTER(C$4:C47,C$4:C47&lt;&gt;""""))),$AC$5+E48))"),558.1)</f>
        <v>558.1</v>
      </c>
      <c r="G48" s="10">
        <f>IFERROR(__xludf.DUMMYFUNCTION("IF(COUNTA(C48:C1673)=0,"""",IF(C48="""",0,IF(REGEXMATCH(C48,""^Sell_""),-ROUNDDOWN(ROUNDUP(INDEX(Upgrades!$C$3:$C$13,MATCH(SUBSTITUTE(C48,""Sell_"",""""),Upgrades!$B$3:$B$13,0))*1.15^(COUNTIF(C$4:C47,SUBSTITUTE(C48,""Sell_"",""""))-COUNTIF(C$4:C47,""Sell_"&amp;"""&amp;SUBSTITUTE(C48,""Sell_"",""""))))/2),ROUNDUP(INDEX(Upgrades!$C$3:$C$13,MATCH(C48,Upgrades!$B$3:$B$13,0))*1.15^(COUNTIF(C$4:C47,C48)-COUNTIF(C$4:C47,""Sell_""&amp;C48))))))"),61.0)</f>
        <v>61</v>
      </c>
      <c r="H48" s="10">
        <f t="shared" si="3"/>
        <v>61</v>
      </c>
      <c r="I48" s="68">
        <f t="shared" si="4"/>
        <v>1210.214696</v>
      </c>
      <c r="J48" s="59" t="str">
        <f t="shared" si="5"/>
        <v>20m 10s</v>
      </c>
      <c r="K48" s="69">
        <f t="shared" si="6"/>
        <v>210020</v>
      </c>
      <c r="L48" s="60">
        <f t="shared" si="7"/>
        <v>0</v>
      </c>
      <c r="M48" s="61">
        <f>IFERROR(__xludf.DUMMYFUNCTION("IFS(AND(COUNTA(C48:C1673)=0,COUNTA(Q48:Q1673)=0),"""",OR(AND(K48&gt;=1000000000,OR(Y48&gt;=1000000000,COUNTA(Q48:Q1673)=0)),OR(Y48&gt;=1000000000,AND(COUNTA(C48:C1673)=0,P$3=TRUE))),
ROUNDDOWN((AB$1-AC$1)*MAX(INDEX(T$4:T1673,MATCH(LARGE(FILTER(Y$4:Y1673,Y$4:Y1673&lt;"&amp;"1000000000),1),Y$4:Y1673)),INDEX(F$4:F1673,MATCH(LARGE(FILTER(K$4:K1673,K$4:K1673&lt;1000000000),1),K$4:K1673)))),AND(K48&lt;1000000000,COUNTA(C48:C1673)&gt;0,P$3=FALSE),
ROUNDDOWN(INDEX(Y$4:Y1673,MATCH(LARGE(FILTER(W$4:W1673,W$4:W1673&lt;=I48),1),W$4:W1673))+(I48-LA"&amp;"RGE(FILTER(W$4:W1673,W$4:W1673&lt;=I48),1))*INDEX(T$4:T1673,MATCH(LARGE(FILTER(W$4:W1673,W$4:W1673&lt;=I48),1),W$4:W1673))-K48),1,
ROUNDDOWN(Y48-INDEX(K$4:K1673,MATCH(LARGE(FILTER(I$4:I1673,I$4:I1673&lt;=W48),1),I$4:I1673))-(W48-LARGE(FILTER(I$4:I1673,I$4:I1673&lt;=W"&amp;"48),1))*INDEX(F$4:F1673,MATCH(LARGE(FILTER(I$4:I1673,I$4:I1673&lt;=W48),1),I$4:I1673))))"),0.0)</f>
        <v>0</v>
      </c>
      <c r="N48" s="60">
        <f t="shared" si="8"/>
        <v>0</v>
      </c>
      <c r="O48" s="61">
        <f t="shared" si="9"/>
        <v>0</v>
      </c>
      <c r="P48" s="56">
        <f t="shared" si="10"/>
        <v>11</v>
      </c>
      <c r="Q48" s="67" t="s">
        <v>3</v>
      </c>
      <c r="R48" s="10" t="b">
        <f>IFERROR(__xludf.DUMMYFUNCTION("IF(COUNTA(Q48:Q1673)=0,"""",IF(ISBLANK(Q48),FALSE,IF(NOT(COUNTIF($AA$24:$AA$34,SUBSTITUTE(Q48,""Sell_"",""""))),1,IF(REGEXMATCH(Q48,""Sell_""),IF(COUNTIF(Q$4:Q48,SUBSTITUTE(Q48,""Sell_"",""""))-COUNTIF(Q$4:Q47,Q48)&lt;1,1),FALSE))))"),FALSE)</f>
        <v>0</v>
      </c>
      <c r="S48" s="59">
        <f t="array" ref="S48">IF(COUNTA(Q48:Q1673)=0,"",SUM((COUNTIF(Q$4:Q48,Upgrades!$B$3:$B$13)-COUNTIF(Q$4:Q48,"Sell_"&amp;Upgrades!$B$3:$B$13))*Upgrades!$D$3:$D$13))</f>
        <v>543.1</v>
      </c>
      <c r="T48" s="66">
        <f>IFERROR(__xludf.DUMMYFUNCTION("IF(COUNTA(Q48:Q1673)=0,"""",IF(REGEXMATCH(INDEX(FILTER(Q$4:Q48,Q$4:Q48&lt;&gt;""""),ROWS(FILTER(Q$4:Q48,Q$4:Q48&lt;&gt;""""))),""^Sell_""),INDEX(FILTER(T$4:T47,Q$4:Q47&lt;&gt;""""),ROWS(FILTER(Q$4:Q47,Q$4:Q47&lt;&gt;""""))),$AD$5+S48))"),558.1)</f>
        <v>558.1</v>
      </c>
      <c r="U48" s="10">
        <f>IFERROR(__xludf.DUMMYFUNCTION("IF(COUNTA(Q48:Q1673)=0,"""",IF(Q48="""",0,IF(REGEXMATCH(Q48,""^Sell_""),-ROUNDDOWN(ROUNDUP(INDEX(Upgrades!$C$3:$C$13,MATCH(SUBSTITUTE(Q48,""Sell_"",""""),Upgrades!$B$3:$B$13,0))*1.15^(COUNTIF(Q$4:Q47,SUBSTITUTE(Q48,""Sell_"",""""))-COUNTIF(Q$4:Q47,""Sell_"&amp;"""&amp;SUBSTITUTE(Q48,""Sell_"",""""))))/2),ROUNDUP(INDEX(Upgrades!$C$3:$C$13,MATCH(Q48,Upgrades!$B$3:$B$13,0))*1.15^(COUNTIF(Q$4:Q47,Q48)-COUNTIF(Q$4:Q47,""Sell_""&amp;Q48))))))"),61.0)</f>
        <v>61</v>
      </c>
      <c r="V48" s="10">
        <f t="shared" si="11"/>
        <v>61</v>
      </c>
      <c r="W48" s="68">
        <f t="shared" si="12"/>
        <v>1210.214696</v>
      </c>
      <c r="X48" s="59" t="str">
        <f t="shared" si="13"/>
        <v>20m 10s</v>
      </c>
      <c r="Y48" s="69">
        <f t="shared" si="14"/>
        <v>210020</v>
      </c>
      <c r="Z48" s="11"/>
    </row>
    <row r="49">
      <c r="A49" s="8"/>
      <c r="B49" s="56">
        <f t="shared" si="2"/>
        <v>9</v>
      </c>
      <c r="C49" s="57" t="s">
        <v>4</v>
      </c>
      <c r="D49" s="10" t="b">
        <f>IFERROR(__xludf.DUMMYFUNCTION("IF(COUNTA(C49:C1673)=0,"""",IF(ISBLANK(C49),FALSE,IF(NOT(COUNTIF($AA$24:$AA$34,SUBSTITUTE(C49,""Sell_"",""""))),1,IF(REGEXMATCH(C49,""Sell_""),IF(COUNTIF(C$4:C49,SUBSTITUTE(C49,""Sell_"",""""))-COUNTIF(C$4:C48,C49)&lt;1,1),FALSE))))"),FALSE)</f>
        <v>0</v>
      </c>
      <c r="E49" s="59">
        <f t="array" ref="E49">IF(COUNTA(C49:C1673)=0,"",SUM((COUNTIF(C$4:C49,Upgrades!$B$3:$B$13)-COUNTIF(C$4:C49,"Sell_"&amp;Upgrades!$B$3:$B$13))*Upgrades!$D$3:$D$13))</f>
        <v>543.6</v>
      </c>
      <c r="F49" s="66">
        <f>IFERROR(__xludf.DUMMYFUNCTION("IF(COUNTA(C49:C1673)=0,"""",IF(REGEXMATCH(INDEX(FILTER(C$4:C49,C$4:C49&lt;&gt;""""),ROWS(FILTER(C$4:C49,C$4:C49&lt;&gt;""""))),""^Sell_""),INDEX(FILTER(F$4:F48,C$4:C48&lt;&gt;""""),ROWS(FILTER(C$4:C48,C$4:C48&lt;&gt;""""))),$AC$5+E49))"),558.6)</f>
        <v>558.6</v>
      </c>
      <c r="G49" s="10">
        <f>IFERROR(__xludf.DUMMYFUNCTION("IF(COUNTA(C49:C1673)=0,"""",IF(C49="""",0,IF(REGEXMATCH(C49,""^Sell_""),-ROUNDDOWN(ROUNDUP(INDEX(Upgrades!$C$3:$C$13,MATCH(SUBSTITUTE(C49,""Sell_"",""""),Upgrades!$B$3:$B$13,0))*1.15^(COUNTIF(C$4:C48,SUBSTITUTE(C49,""Sell_"",""""))-COUNTIF(C$4:C48,""Sell_"&amp;"""&amp;SUBSTITUTE(C49,""Sell_"",""""))))/2),ROUNDUP(INDEX(Upgrades!$C$3:$C$13,MATCH(C49,Upgrades!$B$3:$B$13,0))*1.15^(COUNTIF(C$4:C48,C49)-COUNTIF(C$4:C48,""Sell_""&amp;C49))))))"),306.0)</f>
        <v>306</v>
      </c>
      <c r="H49" s="10">
        <f t="shared" si="3"/>
        <v>306</v>
      </c>
      <c r="I49" s="68">
        <f t="shared" si="4"/>
        <v>1210.762985</v>
      </c>
      <c r="J49" s="59" t="str">
        <f t="shared" si="5"/>
        <v>20m 10s</v>
      </c>
      <c r="K49" s="69">
        <f t="shared" si="6"/>
        <v>210326</v>
      </c>
      <c r="L49" s="60">
        <f t="shared" si="7"/>
        <v>0</v>
      </c>
      <c r="M49" s="61">
        <f>IFERROR(__xludf.DUMMYFUNCTION("IFS(AND(COUNTA(C49:C1673)=0,COUNTA(Q49:Q1673)=0),"""",OR(AND(K49&gt;=1000000000,OR(Y49&gt;=1000000000,COUNTA(Q49:Q1673)=0)),OR(Y49&gt;=1000000000,AND(COUNTA(C49:C1673)=0,P$3=TRUE))),
ROUNDDOWN((AB$1-AC$1)*MAX(INDEX(T$4:T1673,MATCH(LARGE(FILTER(Y$4:Y1673,Y$4:Y1673&lt;"&amp;"1000000000),1),Y$4:Y1673)),INDEX(F$4:F1673,MATCH(LARGE(FILTER(K$4:K1673,K$4:K1673&lt;1000000000),1),K$4:K1673)))),AND(K49&lt;1000000000,COUNTA(C49:C1673)&gt;0,P$3=FALSE),
ROUNDDOWN(INDEX(Y$4:Y1673,MATCH(LARGE(FILTER(W$4:W1673,W$4:W1673&lt;=I49),1),W$4:W1673))+(I49-LA"&amp;"RGE(FILTER(W$4:W1673,W$4:W1673&lt;=I49),1))*INDEX(T$4:T1673,MATCH(LARGE(FILTER(W$4:W1673,W$4:W1673&lt;=I49),1),W$4:W1673))-K49),1,
ROUNDDOWN(Y49-INDEX(K$4:K1673,MATCH(LARGE(FILTER(I$4:I1673,I$4:I1673&lt;=W49),1),I$4:I1673))-(W49-LARGE(FILTER(I$4:I1673,I$4:I1673&lt;=W"&amp;"49),1))*INDEX(F$4:F1673,MATCH(LARGE(FILTER(I$4:I1673,I$4:I1673&lt;=W49),1),I$4:I1673))))"),0.0)</f>
        <v>0</v>
      </c>
      <c r="N49" s="60">
        <f t="shared" si="8"/>
        <v>0</v>
      </c>
      <c r="O49" s="61">
        <f t="shared" si="9"/>
        <v>0</v>
      </c>
      <c r="P49" s="56">
        <f t="shared" si="10"/>
        <v>9</v>
      </c>
      <c r="Q49" s="67" t="s">
        <v>4</v>
      </c>
      <c r="R49" s="10" t="b">
        <f>IFERROR(__xludf.DUMMYFUNCTION("IF(COUNTA(Q49:Q1673)=0,"""",IF(ISBLANK(Q49),FALSE,IF(NOT(COUNTIF($AA$24:$AA$34,SUBSTITUTE(Q49,""Sell_"",""""))),1,IF(REGEXMATCH(Q49,""Sell_""),IF(COUNTIF(Q$4:Q49,SUBSTITUTE(Q49,""Sell_"",""""))-COUNTIF(Q$4:Q48,Q49)&lt;1,1),FALSE))))"),FALSE)</f>
        <v>0</v>
      </c>
      <c r="S49" s="59">
        <f t="array" ref="S49">IF(COUNTA(Q49:Q1673)=0,"",SUM((COUNTIF(Q$4:Q49,Upgrades!$B$3:$B$13)-COUNTIF(Q$4:Q49,"Sell_"&amp;Upgrades!$B$3:$B$13))*Upgrades!$D$3:$D$13))</f>
        <v>543.6</v>
      </c>
      <c r="T49" s="66">
        <f>IFERROR(__xludf.DUMMYFUNCTION("IF(COUNTA(Q49:Q1673)=0,"""",IF(REGEXMATCH(INDEX(FILTER(Q$4:Q49,Q$4:Q49&lt;&gt;""""),ROWS(FILTER(Q$4:Q49,Q$4:Q49&lt;&gt;""""))),""^Sell_""),INDEX(FILTER(T$4:T48,Q$4:Q48&lt;&gt;""""),ROWS(FILTER(Q$4:Q48,Q$4:Q48&lt;&gt;""""))),$AD$5+S49))"),558.6)</f>
        <v>558.6</v>
      </c>
      <c r="U49" s="10">
        <f>IFERROR(__xludf.DUMMYFUNCTION("IF(COUNTA(Q49:Q1673)=0,"""",IF(Q49="""",0,IF(REGEXMATCH(Q49,""^Sell_""),-ROUNDDOWN(ROUNDUP(INDEX(Upgrades!$C$3:$C$13,MATCH(SUBSTITUTE(Q49,""Sell_"",""""),Upgrades!$B$3:$B$13,0))*1.15^(COUNTIF(Q$4:Q48,SUBSTITUTE(Q49,""Sell_"",""""))-COUNTIF(Q$4:Q48,""Sell_"&amp;"""&amp;SUBSTITUTE(Q49,""Sell_"",""""))))/2),ROUNDUP(INDEX(Upgrades!$C$3:$C$13,MATCH(Q49,Upgrades!$B$3:$B$13,0))*1.15^(COUNTIF(Q$4:Q48,Q49)-COUNTIF(Q$4:Q48,""Sell_""&amp;Q49))))))"),306.0)</f>
        <v>306</v>
      </c>
      <c r="V49" s="10">
        <f t="shared" si="11"/>
        <v>306</v>
      </c>
      <c r="W49" s="68">
        <f t="shared" si="12"/>
        <v>1210.762985</v>
      </c>
      <c r="X49" s="59" t="str">
        <f t="shared" si="13"/>
        <v>20m 10s</v>
      </c>
      <c r="Y49" s="69">
        <f t="shared" si="14"/>
        <v>210326</v>
      </c>
      <c r="Z49" s="11"/>
      <c r="AC49" s="104"/>
    </row>
    <row r="50">
      <c r="A50" s="8"/>
      <c r="B50" s="56">
        <f t="shared" si="2"/>
        <v>6</v>
      </c>
      <c r="C50" s="57" t="s">
        <v>6</v>
      </c>
      <c r="D50" s="10" t="b">
        <f>IFERROR(__xludf.DUMMYFUNCTION("IF(COUNTA(C50:C1673)=0,"""",IF(ISBLANK(C50),FALSE,IF(NOT(COUNTIF($AA$24:$AA$34,SUBSTITUTE(C50,""Sell_"",""""))),1,IF(REGEXMATCH(C50,""Sell_""),IF(COUNTIF(C$4:C50,SUBSTITUTE(C50,""Sell_"",""""))-COUNTIF(C$4:C49,C50)&lt;1,1),FALSE))))"),FALSE)</f>
        <v>0</v>
      </c>
      <c r="E50" s="59">
        <f t="array" ref="E50">IF(COUNTA(C50:C1673)=0,"",SUM((COUNTIF(C$4:C50,Upgrades!$B$3:$B$13)-COUNTIF(C$4:C50,"Sell_"&amp;Upgrades!$B$3:$B$13))*Upgrades!$D$3:$D$13))</f>
        <v>553.6</v>
      </c>
      <c r="F50" s="66">
        <f>IFERROR(__xludf.DUMMYFUNCTION("IF(COUNTA(C50:C1673)=0,"""",IF(REGEXMATCH(INDEX(FILTER(C$4:C50,C$4:C50&lt;&gt;""""),ROWS(FILTER(C$4:C50,C$4:C50&lt;&gt;""""))),""^Sell_""),INDEX(FILTER(F$4:F49,C$4:C49&lt;&gt;""""),ROWS(FILTER(C$4:C49,C$4:C49&lt;&gt;""""))),$AC$5+E50))"),568.6)</f>
        <v>568.6</v>
      </c>
      <c r="G50" s="10">
        <f>IFERROR(__xludf.DUMMYFUNCTION("IF(COUNTA(C50:C1673)=0,"""",IF(C50="""",0,IF(REGEXMATCH(C50,""^Sell_""),-ROUNDDOWN(ROUNDUP(INDEX(Upgrades!$C$3:$C$13,MATCH(SUBSTITUTE(C50,""Sell_"",""""),Upgrades!$B$3:$B$13,0))*1.15^(COUNTIF(C$4:C49,SUBSTITUTE(C50,""Sell_"",""""))-COUNTIF(C$4:C49,""Sell_"&amp;"""&amp;SUBSTITUTE(C50,""Sell_"",""""))))/2),ROUNDUP(INDEX(Upgrades!$C$3:$C$13,MATCH(C50,Upgrades!$B$3:$B$13,0))*1.15^(COUNTIF(C$4:C49,C50)-COUNTIF(C$4:C49,""Sell_""&amp;C50))))))"),6035.0)</f>
        <v>6035</v>
      </c>
      <c r="H50" s="10">
        <f t="shared" si="3"/>
        <v>6035</v>
      </c>
      <c r="I50" s="68">
        <f t="shared" si="4"/>
        <v>1221.56678</v>
      </c>
      <c r="J50" s="59" t="str">
        <f t="shared" si="5"/>
        <v>20m 21s</v>
      </c>
      <c r="K50" s="69">
        <f t="shared" si="6"/>
        <v>216361</v>
      </c>
      <c r="L50" s="60">
        <f t="shared" si="7"/>
        <v>0</v>
      </c>
      <c r="M50" s="61">
        <f>IFERROR(__xludf.DUMMYFUNCTION("IFS(AND(COUNTA(C50:C1673)=0,COUNTA(Q50:Q1673)=0),"""",OR(AND(K50&gt;=1000000000,OR(Y50&gt;=1000000000,COUNTA(Q50:Q1673)=0)),OR(Y50&gt;=1000000000,AND(COUNTA(C50:C1673)=0,P$3=TRUE))),
ROUNDDOWN((AB$1-AC$1)*MAX(INDEX(T$4:T1673,MATCH(LARGE(FILTER(Y$4:Y1673,Y$4:Y1673&lt;"&amp;"1000000000),1),Y$4:Y1673)),INDEX(F$4:F1673,MATCH(LARGE(FILTER(K$4:K1673,K$4:K1673&lt;1000000000),1),K$4:K1673)))),AND(K50&lt;1000000000,COUNTA(C50:C1673)&gt;0,P$3=FALSE),
ROUNDDOWN(INDEX(Y$4:Y1673,MATCH(LARGE(FILTER(W$4:W1673,W$4:W1673&lt;=I50),1),W$4:W1673))+(I50-LA"&amp;"RGE(FILTER(W$4:W1673,W$4:W1673&lt;=I50),1))*INDEX(T$4:T1673,MATCH(LARGE(FILTER(W$4:W1673,W$4:W1673&lt;=I50),1),W$4:W1673))-K50),1,
ROUNDDOWN(Y50-INDEX(K$4:K1673,MATCH(LARGE(FILTER(I$4:I1673,I$4:I1673&lt;=W50),1),I$4:I1673))-(W50-LARGE(FILTER(I$4:I1673,I$4:I1673&lt;=W"&amp;"50),1))*INDEX(F$4:F1673,MATCH(LARGE(FILTER(I$4:I1673,I$4:I1673&lt;=W50),1),I$4:I1673))))"),0.0)</f>
        <v>0</v>
      </c>
      <c r="N50" s="60">
        <f t="shared" si="8"/>
        <v>0</v>
      </c>
      <c r="O50" s="61">
        <f t="shared" si="9"/>
        <v>0</v>
      </c>
      <c r="P50" s="56">
        <f t="shared" si="10"/>
        <v>6</v>
      </c>
      <c r="Q50" s="67" t="s">
        <v>6</v>
      </c>
      <c r="R50" s="10" t="b">
        <f>IFERROR(__xludf.DUMMYFUNCTION("IF(COUNTA(Q50:Q1673)=0,"""",IF(ISBLANK(Q50),FALSE,IF(NOT(COUNTIF($AA$24:$AA$34,SUBSTITUTE(Q50,""Sell_"",""""))),1,IF(REGEXMATCH(Q50,""Sell_""),IF(COUNTIF(Q$4:Q50,SUBSTITUTE(Q50,""Sell_"",""""))-COUNTIF(Q$4:Q49,Q50)&lt;1,1),FALSE))))"),FALSE)</f>
        <v>0</v>
      </c>
      <c r="S50" s="59">
        <f t="array" ref="S50">IF(COUNTA(Q50:Q1673)=0,"",SUM((COUNTIF(Q$4:Q50,Upgrades!$B$3:$B$13)-COUNTIF(Q$4:Q50,"Sell_"&amp;Upgrades!$B$3:$B$13))*Upgrades!$D$3:$D$13))</f>
        <v>553.6</v>
      </c>
      <c r="T50" s="66">
        <f>IFERROR(__xludf.DUMMYFUNCTION("IF(COUNTA(Q50:Q1673)=0,"""",IF(REGEXMATCH(INDEX(FILTER(Q$4:Q50,Q$4:Q50&lt;&gt;""""),ROWS(FILTER(Q$4:Q50,Q$4:Q50&lt;&gt;""""))),""^Sell_""),INDEX(FILTER(T$4:T49,Q$4:Q49&lt;&gt;""""),ROWS(FILTER(Q$4:Q49,Q$4:Q49&lt;&gt;""""))),$AD$5+S50))"),568.6)</f>
        <v>568.6</v>
      </c>
      <c r="U50" s="10">
        <f>IFERROR(__xludf.DUMMYFUNCTION("IF(COUNTA(Q50:Q1673)=0,"""",IF(Q50="""",0,IF(REGEXMATCH(Q50,""^Sell_""),-ROUNDDOWN(ROUNDUP(INDEX(Upgrades!$C$3:$C$13,MATCH(SUBSTITUTE(Q50,""Sell_"",""""),Upgrades!$B$3:$B$13,0))*1.15^(COUNTIF(Q$4:Q49,SUBSTITUTE(Q50,""Sell_"",""""))-COUNTIF(Q$4:Q49,""Sell_"&amp;"""&amp;SUBSTITUTE(Q50,""Sell_"",""""))))/2),ROUNDUP(INDEX(Upgrades!$C$3:$C$13,MATCH(Q50,Upgrades!$B$3:$B$13,0))*1.15^(COUNTIF(Q$4:Q49,Q50)-COUNTIF(Q$4:Q49,""Sell_""&amp;Q50))))))"),6035.0)</f>
        <v>6035</v>
      </c>
      <c r="V50" s="10">
        <f t="shared" si="11"/>
        <v>6035</v>
      </c>
      <c r="W50" s="68">
        <f t="shared" si="12"/>
        <v>1221.56678</v>
      </c>
      <c r="X50" s="59" t="str">
        <f t="shared" si="13"/>
        <v>20m 21s</v>
      </c>
      <c r="Y50" s="69">
        <f t="shared" si="14"/>
        <v>216361</v>
      </c>
      <c r="Z50" s="11"/>
      <c r="AC50" s="104"/>
    </row>
    <row r="51">
      <c r="A51" s="8"/>
      <c r="B51" s="56">
        <f t="shared" si="2"/>
        <v>7</v>
      </c>
      <c r="C51" s="57" t="s">
        <v>7</v>
      </c>
      <c r="D51" s="10" t="b">
        <f>IFERROR(__xludf.DUMMYFUNCTION("IF(COUNTA(C51:C1673)=0,"""",IF(ISBLANK(C51),FALSE,IF(NOT(COUNTIF($AA$24:$AA$34,SUBSTITUTE(C51,""Sell_"",""""))),1,IF(REGEXMATCH(C51,""Sell_""),IF(COUNTIF(C$4:C51,SUBSTITUTE(C51,""Sell_"",""""))-COUNTIF(C$4:C50,C51)&lt;1,1),FALSE))))"),FALSE)</f>
        <v>0</v>
      </c>
      <c r="E51" s="59">
        <f t="array" ref="E51">IF(COUNTA(C51:C1673)=0,"",SUM((COUNTIF(C$4:C51,Upgrades!$B$3:$B$13)-COUNTIF(C$4:C51,"Sell_"&amp;Upgrades!$B$3:$B$13))*Upgrades!$D$3:$D$13))</f>
        <v>593.6</v>
      </c>
      <c r="F51" s="66">
        <f>IFERROR(__xludf.DUMMYFUNCTION("IF(COUNTA(C51:C1673)=0,"""",IF(REGEXMATCH(INDEX(FILTER(C$4:C51,C$4:C51&lt;&gt;""""),ROWS(FILTER(C$4:C51,C$4:C51&lt;&gt;""""))),""^Sell_""),INDEX(FILTER(F$4:F50,C$4:C50&lt;&gt;""""),ROWS(FILTER(C$4:C50,C$4:C50&lt;&gt;""""))),$AC$5+E51))"),608.6)</f>
        <v>608.6</v>
      </c>
      <c r="G51" s="10">
        <f>IFERROR(__xludf.DUMMYFUNCTION("IF(COUNTA(C51:C1673)=0,"""",IF(C51="""",0,IF(REGEXMATCH(C51,""^Sell_""),-ROUNDDOWN(ROUNDUP(INDEX(Upgrades!$C$3:$C$13,MATCH(SUBSTITUTE(C51,""Sell_"",""""),Upgrades!$B$3:$B$13,0))*1.15^(COUNTIF(C$4:C50,SUBSTITUTE(C51,""Sell_"",""""))-COUNTIF(C$4:C50,""Sell_"&amp;"""&amp;SUBSTITUTE(C51,""Sell_"",""""))))/2),ROUNDUP(INDEX(Upgrades!$C$3:$C$13,MATCH(C51,Upgrades!$B$3:$B$13,0))*1.15^(COUNTIF(C$4:C50,C51)-COUNTIF(C$4:C50,""Sell_""&amp;C51))))))"),23131.0)</f>
        <v>23131</v>
      </c>
      <c r="H51" s="10">
        <f t="shared" si="3"/>
        <v>23131</v>
      </c>
      <c r="I51" s="68">
        <f t="shared" si="4"/>
        <v>1262.247399</v>
      </c>
      <c r="J51" s="59" t="str">
        <f t="shared" si="5"/>
        <v>21m 02s</v>
      </c>
      <c r="K51" s="69">
        <f t="shared" si="6"/>
        <v>239492</v>
      </c>
      <c r="L51" s="60">
        <f t="shared" si="7"/>
        <v>0</v>
      </c>
      <c r="M51" s="61">
        <f>IFERROR(__xludf.DUMMYFUNCTION("IFS(AND(COUNTA(C51:C1673)=0,COUNTA(Q51:Q1673)=0),"""",OR(AND(K51&gt;=1000000000,OR(Y51&gt;=1000000000,COUNTA(Q51:Q1673)=0)),OR(Y51&gt;=1000000000,AND(COUNTA(C51:C1673)=0,P$3=TRUE))),
ROUNDDOWN((AB$1-AC$1)*MAX(INDEX(T$4:T1673,MATCH(LARGE(FILTER(Y$4:Y1673,Y$4:Y1673&lt;"&amp;"1000000000),1),Y$4:Y1673)),INDEX(F$4:F1673,MATCH(LARGE(FILTER(K$4:K1673,K$4:K1673&lt;1000000000),1),K$4:K1673)))),AND(K51&lt;1000000000,COUNTA(C51:C1673)&gt;0,P$3=FALSE),
ROUNDDOWN(INDEX(Y$4:Y1673,MATCH(LARGE(FILTER(W$4:W1673,W$4:W1673&lt;=I51),1),W$4:W1673))+(I51-LA"&amp;"RGE(FILTER(W$4:W1673,W$4:W1673&lt;=I51),1))*INDEX(T$4:T1673,MATCH(LARGE(FILTER(W$4:W1673,W$4:W1673&lt;=I51),1),W$4:W1673))-K51),1,
ROUNDDOWN(Y51-INDEX(K$4:K1673,MATCH(LARGE(FILTER(I$4:I1673,I$4:I1673&lt;=W51),1),I$4:I1673))-(W51-LARGE(FILTER(I$4:I1673,I$4:I1673&lt;=W"&amp;"51),1))*INDEX(F$4:F1673,MATCH(LARGE(FILTER(I$4:I1673,I$4:I1673&lt;=W51),1),I$4:I1673))))"),0.0)</f>
        <v>0</v>
      </c>
      <c r="N51" s="60">
        <f t="shared" si="8"/>
        <v>0</v>
      </c>
      <c r="O51" s="61">
        <f t="shared" si="9"/>
        <v>0</v>
      </c>
      <c r="P51" s="56">
        <f t="shared" si="10"/>
        <v>7</v>
      </c>
      <c r="Q51" s="67" t="s">
        <v>7</v>
      </c>
      <c r="R51" s="10" t="b">
        <f>IFERROR(__xludf.DUMMYFUNCTION("IF(COUNTA(Q51:Q1673)=0,"""",IF(ISBLANK(Q51),FALSE,IF(NOT(COUNTIF($AA$24:$AA$34,SUBSTITUTE(Q51,""Sell_"",""""))),1,IF(REGEXMATCH(Q51,""Sell_""),IF(COUNTIF(Q$4:Q51,SUBSTITUTE(Q51,""Sell_"",""""))-COUNTIF(Q$4:Q50,Q51)&lt;1,1),FALSE))))"),FALSE)</f>
        <v>0</v>
      </c>
      <c r="S51" s="59">
        <f t="array" ref="S51">IF(COUNTA(Q51:Q1673)=0,"",SUM((COUNTIF(Q$4:Q51,Upgrades!$B$3:$B$13)-COUNTIF(Q$4:Q51,"Sell_"&amp;Upgrades!$B$3:$B$13))*Upgrades!$D$3:$D$13))</f>
        <v>593.6</v>
      </c>
      <c r="T51" s="66">
        <f>IFERROR(__xludf.DUMMYFUNCTION("IF(COUNTA(Q51:Q1673)=0,"""",IF(REGEXMATCH(INDEX(FILTER(Q$4:Q51,Q$4:Q51&lt;&gt;""""),ROWS(FILTER(Q$4:Q51,Q$4:Q51&lt;&gt;""""))),""^Sell_""),INDEX(FILTER(T$4:T50,Q$4:Q50&lt;&gt;""""),ROWS(FILTER(Q$4:Q50,Q$4:Q50&lt;&gt;""""))),$AD$5+S51))"),608.6)</f>
        <v>608.6</v>
      </c>
      <c r="U51" s="10">
        <f>IFERROR(__xludf.DUMMYFUNCTION("IF(COUNTA(Q51:Q1673)=0,"""",IF(Q51="""",0,IF(REGEXMATCH(Q51,""^Sell_""),-ROUNDDOWN(ROUNDUP(INDEX(Upgrades!$C$3:$C$13,MATCH(SUBSTITUTE(Q51,""Sell_"",""""),Upgrades!$B$3:$B$13,0))*1.15^(COUNTIF(Q$4:Q50,SUBSTITUTE(Q51,""Sell_"",""""))-COUNTIF(Q$4:Q50,""Sell_"&amp;"""&amp;SUBSTITUTE(Q51,""Sell_"",""""))))/2),ROUNDUP(INDEX(Upgrades!$C$3:$C$13,MATCH(Q51,Upgrades!$B$3:$B$13,0))*1.15^(COUNTIF(Q$4:Q50,Q51)-COUNTIF(Q$4:Q50,""Sell_""&amp;Q51))))))"),23131.0)</f>
        <v>23131</v>
      </c>
      <c r="V51" s="10">
        <f t="shared" si="11"/>
        <v>23131</v>
      </c>
      <c r="W51" s="68">
        <f t="shared" si="12"/>
        <v>1262.247399</v>
      </c>
      <c r="X51" s="59" t="str">
        <f t="shared" si="13"/>
        <v>21m 02s</v>
      </c>
      <c r="Y51" s="69">
        <f t="shared" si="14"/>
        <v>239492</v>
      </c>
      <c r="Z51" s="11"/>
      <c r="AC51" s="104"/>
    </row>
    <row r="52">
      <c r="A52" s="8"/>
      <c r="B52" s="56">
        <f t="shared" si="2"/>
        <v>3</v>
      </c>
      <c r="C52" s="57" t="s">
        <v>8</v>
      </c>
      <c r="D52" s="10" t="b">
        <f>IFERROR(__xludf.DUMMYFUNCTION("IF(COUNTA(C52:C1673)=0,"""",IF(ISBLANK(C52),FALSE,IF(NOT(COUNTIF($AA$24:$AA$34,SUBSTITUTE(C52,""Sell_"",""""))),1,IF(REGEXMATCH(C52,""Sell_""),IF(COUNTIF(C$4:C52,SUBSTITUTE(C52,""Sell_"",""""))-COUNTIF(C$4:C51,C52)&lt;1,1),FALSE))))"),FALSE)</f>
        <v>0</v>
      </c>
      <c r="E52" s="59">
        <f t="array" ref="E52">IF(COUNTA(C52:C1673)=0,"",SUM((COUNTIF(C$4:C52,Upgrades!$B$3:$B$13)-COUNTIF(C$4:C52,"Sell_"&amp;Upgrades!$B$3:$B$13))*Upgrades!$D$3:$D$13))</f>
        <v>693.6</v>
      </c>
      <c r="F52" s="66">
        <f>IFERROR(__xludf.DUMMYFUNCTION("IF(COUNTA(C52:C1673)=0,"""",IF(REGEXMATCH(INDEX(FILTER(C$4:C52,C$4:C52&lt;&gt;""""),ROWS(FILTER(C$4:C52,C$4:C52&lt;&gt;""""))),""^Sell_""),INDEX(FILTER(F$4:F51,C$4:C51&lt;&gt;""""),ROWS(FILTER(C$4:C51,C$4:C51&lt;&gt;""""))),$AC$5+E52))"),708.6)</f>
        <v>708.6</v>
      </c>
      <c r="G52" s="10">
        <f>IFERROR(__xludf.DUMMYFUNCTION("IF(COUNTA(C52:C1673)=0,"""",IF(C52="""",0,IF(REGEXMATCH(C52,""^Sell_""),-ROUNDDOWN(ROUNDUP(INDEX(Upgrades!$C$3:$C$13,MATCH(SUBSTITUTE(C52,""Sell_"",""""),Upgrades!$B$3:$B$13,0))*1.15^(COUNTIF(C$4:C51,SUBSTITUTE(C52,""Sell_"",""""))-COUNTIF(C$4:C51,""Sell_"&amp;"""&amp;SUBSTITUTE(C52,""Sell_"",""""))))/2),ROUNDUP(INDEX(Upgrades!$C$3:$C$13,MATCH(C52,Upgrades!$B$3:$B$13,0))*1.15^(COUNTIF(C$4:C51,C52)-COUNTIF(C$4:C51,""Sell_""&amp;C52))))))"),52900.0)</f>
        <v>52900</v>
      </c>
      <c r="H52" s="10">
        <f t="shared" si="3"/>
        <v>52900</v>
      </c>
      <c r="I52" s="68">
        <f t="shared" si="4"/>
        <v>1349.168201</v>
      </c>
      <c r="J52" s="59" t="str">
        <f t="shared" si="5"/>
        <v>22m 29s</v>
      </c>
      <c r="K52" s="69">
        <f t="shared" si="6"/>
        <v>292392</v>
      </c>
      <c r="L52" s="60">
        <f t="shared" si="7"/>
        <v>0</v>
      </c>
      <c r="M52" s="61">
        <f>IFERROR(__xludf.DUMMYFUNCTION("IFS(AND(COUNTA(C52:C1673)=0,COUNTA(Q52:Q1673)=0),"""",OR(AND(K52&gt;=1000000000,OR(Y52&gt;=1000000000,COUNTA(Q52:Q1673)=0)),OR(Y52&gt;=1000000000,AND(COUNTA(C52:C1673)=0,P$3=TRUE))),
ROUNDDOWN((AB$1-AC$1)*MAX(INDEX(T$4:T1673,MATCH(LARGE(FILTER(Y$4:Y1673,Y$4:Y1673&lt;"&amp;"1000000000),1),Y$4:Y1673)),INDEX(F$4:F1673,MATCH(LARGE(FILTER(K$4:K1673,K$4:K1673&lt;1000000000),1),K$4:K1673)))),AND(K52&lt;1000000000,COUNTA(C52:C1673)&gt;0,P$3=FALSE),
ROUNDDOWN(INDEX(Y$4:Y1673,MATCH(LARGE(FILTER(W$4:W1673,W$4:W1673&lt;=I52),1),W$4:W1673))+(I52-LA"&amp;"RGE(FILTER(W$4:W1673,W$4:W1673&lt;=I52),1))*INDEX(T$4:T1673,MATCH(LARGE(FILTER(W$4:W1673,W$4:W1673&lt;=I52),1),W$4:W1673))-K52),1,
ROUNDDOWN(Y52-INDEX(K$4:K1673,MATCH(LARGE(FILTER(I$4:I1673,I$4:I1673&lt;=W52),1),I$4:I1673))-(W52-LARGE(FILTER(I$4:I1673,I$4:I1673&lt;=W"&amp;"52),1))*INDEX(F$4:F1673,MATCH(LARGE(FILTER(I$4:I1673,I$4:I1673&lt;=W52),1),I$4:I1673))))"),0.0)</f>
        <v>0</v>
      </c>
      <c r="N52" s="60">
        <f t="shared" si="8"/>
        <v>0</v>
      </c>
      <c r="O52" s="61">
        <f t="shared" si="9"/>
        <v>0</v>
      </c>
      <c r="P52" s="56">
        <f t="shared" si="10"/>
        <v>3</v>
      </c>
      <c r="Q52" s="67" t="s">
        <v>8</v>
      </c>
      <c r="R52" s="10" t="b">
        <f>IFERROR(__xludf.DUMMYFUNCTION("IF(COUNTA(Q52:Q1673)=0,"""",IF(ISBLANK(Q52),FALSE,IF(NOT(COUNTIF($AA$24:$AA$34,SUBSTITUTE(Q52,""Sell_"",""""))),1,IF(REGEXMATCH(Q52,""Sell_""),IF(COUNTIF(Q$4:Q52,SUBSTITUTE(Q52,""Sell_"",""""))-COUNTIF(Q$4:Q51,Q52)&lt;1,1),FALSE))))"),FALSE)</f>
        <v>0</v>
      </c>
      <c r="S52" s="59">
        <f t="array" ref="S52">IF(COUNTA(Q52:Q1673)=0,"",SUM((COUNTIF(Q$4:Q52,Upgrades!$B$3:$B$13)-COUNTIF(Q$4:Q52,"Sell_"&amp;Upgrades!$B$3:$B$13))*Upgrades!$D$3:$D$13))</f>
        <v>693.6</v>
      </c>
      <c r="T52" s="66">
        <f>IFERROR(__xludf.DUMMYFUNCTION("IF(COUNTA(Q52:Q1673)=0,"""",IF(REGEXMATCH(INDEX(FILTER(Q$4:Q52,Q$4:Q52&lt;&gt;""""),ROWS(FILTER(Q$4:Q52,Q$4:Q52&lt;&gt;""""))),""^Sell_""),INDEX(FILTER(T$4:T51,Q$4:Q51&lt;&gt;""""),ROWS(FILTER(Q$4:Q51,Q$4:Q51&lt;&gt;""""))),$AD$5+S52))"),708.6)</f>
        <v>708.6</v>
      </c>
      <c r="U52" s="10">
        <f>IFERROR(__xludf.DUMMYFUNCTION("IF(COUNTA(Q52:Q1673)=0,"""",IF(Q52="""",0,IF(REGEXMATCH(Q52,""^Sell_""),-ROUNDDOWN(ROUNDUP(INDEX(Upgrades!$C$3:$C$13,MATCH(SUBSTITUTE(Q52,""Sell_"",""""),Upgrades!$B$3:$B$13,0))*1.15^(COUNTIF(Q$4:Q51,SUBSTITUTE(Q52,""Sell_"",""""))-COUNTIF(Q$4:Q51,""Sell_"&amp;"""&amp;SUBSTITUTE(Q52,""Sell_"",""""))))/2),ROUNDUP(INDEX(Upgrades!$C$3:$C$13,MATCH(Q52,Upgrades!$B$3:$B$13,0))*1.15^(COUNTIF(Q$4:Q51,Q52)-COUNTIF(Q$4:Q51,""Sell_""&amp;Q52))))))"),52900.0)</f>
        <v>52900</v>
      </c>
      <c r="V52" s="10">
        <f t="shared" si="11"/>
        <v>52900</v>
      </c>
      <c r="W52" s="68">
        <f t="shared" si="12"/>
        <v>1349.168201</v>
      </c>
      <c r="X52" s="59" t="str">
        <f t="shared" si="13"/>
        <v>22m 29s</v>
      </c>
      <c r="Y52" s="69">
        <f t="shared" si="14"/>
        <v>292392</v>
      </c>
      <c r="Z52" s="11"/>
      <c r="AC52" s="104"/>
    </row>
    <row r="53">
      <c r="A53" s="8"/>
      <c r="B53" s="56">
        <f t="shared" si="2"/>
        <v>13</v>
      </c>
      <c r="C53" s="57" t="s">
        <v>5</v>
      </c>
      <c r="D53" s="10" t="b">
        <f>IFERROR(__xludf.DUMMYFUNCTION("IF(COUNTA(C53:C1673)=0,"""",IF(ISBLANK(C53),FALSE,IF(NOT(COUNTIF($AA$24:$AA$34,SUBSTITUTE(C53,""Sell_"",""""))),1,IF(REGEXMATCH(C53,""Sell_""),IF(COUNTIF(C$4:C53,SUBSTITUTE(C53,""Sell_"",""""))-COUNTIF(C$4:C52,C53)&lt;1,1),FALSE))))"),FALSE)</f>
        <v>0</v>
      </c>
      <c r="E53" s="59">
        <f t="array" ref="E53">IF(COUNTA(C53:C1673)=0,"",SUM((COUNTIF(C$4:C53,Upgrades!$B$3:$B$13)-COUNTIF(C$4:C53,"Sell_"&amp;Upgrades!$B$3:$B$13))*Upgrades!$D$3:$D$13))</f>
        <v>697.6</v>
      </c>
      <c r="F53" s="66">
        <f>IFERROR(__xludf.DUMMYFUNCTION("IF(COUNTA(C53:C1673)=0,"""",IF(REGEXMATCH(INDEX(FILTER(C$4:C53,C$4:C53&lt;&gt;""""),ROWS(FILTER(C$4:C53,C$4:C53&lt;&gt;""""))),""^Sell_""),INDEX(FILTER(F$4:F52,C$4:C52&lt;&gt;""""),ROWS(FILTER(C$4:C52,C$4:C52&lt;&gt;""""))),$AC$5+E53))"),712.6)</f>
        <v>712.6</v>
      </c>
      <c r="G53" s="10">
        <f>IFERROR(__xludf.DUMMYFUNCTION("IF(COUNTA(C53:C1673)=0,"""",IF(C53="""",0,IF(REGEXMATCH(C53,""^Sell_""),-ROUNDDOWN(ROUNDUP(INDEX(Upgrades!$C$3:$C$13,MATCH(SUBSTITUTE(C53,""Sell_"",""""),Upgrades!$B$3:$B$13,0))*1.15^(COUNTIF(C$4:C52,SUBSTITUTE(C53,""Sell_"",""""))-COUNTIF(C$4:C52,""Sell_"&amp;"""&amp;SUBSTITUTE(C53,""Sell_"",""""))))/2),ROUNDUP(INDEX(Upgrades!$C$3:$C$13,MATCH(C53,Upgrades!$B$3:$B$13,0))*1.15^(COUNTIF(C$4:C52,C53)-COUNTIF(C$4:C52,""Sell_""&amp;C53))))))"),2676.0)</f>
        <v>2676</v>
      </c>
      <c r="H53" s="10">
        <f t="shared" si="3"/>
        <v>2676</v>
      </c>
      <c r="I53" s="68">
        <f t="shared" si="4"/>
        <v>1352.944661</v>
      </c>
      <c r="J53" s="59" t="str">
        <f t="shared" si="5"/>
        <v>22m 32s</v>
      </c>
      <c r="K53" s="69">
        <f t="shared" si="6"/>
        <v>295068</v>
      </c>
      <c r="L53" s="60">
        <f t="shared" si="7"/>
        <v>0</v>
      </c>
      <c r="M53" s="61">
        <f>IFERROR(__xludf.DUMMYFUNCTION("IFS(AND(COUNTA(C53:C1673)=0,COUNTA(Q53:Q1673)=0),"""",OR(AND(K53&gt;=1000000000,OR(Y53&gt;=1000000000,COUNTA(Q53:Q1673)=0)),OR(Y53&gt;=1000000000,AND(COUNTA(C53:C1673)=0,P$3=TRUE))),
ROUNDDOWN((AB$1-AC$1)*MAX(INDEX(T$4:T1673,MATCH(LARGE(FILTER(Y$4:Y1673,Y$4:Y1673&lt;"&amp;"1000000000),1),Y$4:Y1673)),INDEX(F$4:F1673,MATCH(LARGE(FILTER(K$4:K1673,K$4:K1673&lt;1000000000),1),K$4:K1673)))),AND(K53&lt;1000000000,COUNTA(C53:C1673)&gt;0,P$3=FALSE),
ROUNDDOWN(INDEX(Y$4:Y1673,MATCH(LARGE(FILTER(W$4:W1673,W$4:W1673&lt;=I53),1),W$4:W1673))+(I53-LA"&amp;"RGE(FILTER(W$4:W1673,W$4:W1673&lt;=I53),1))*INDEX(T$4:T1673,MATCH(LARGE(FILTER(W$4:W1673,W$4:W1673&lt;=I53),1),W$4:W1673))-K53),1,
ROUNDDOWN(Y53-INDEX(K$4:K1673,MATCH(LARGE(FILTER(I$4:I1673,I$4:I1673&lt;=W53),1),I$4:I1673))-(W53-LARGE(FILTER(I$4:I1673,I$4:I1673&lt;=W"&amp;"53),1))*INDEX(F$4:F1673,MATCH(LARGE(FILTER(I$4:I1673,I$4:I1673&lt;=W53),1),I$4:I1673))))"),0.0)</f>
        <v>0</v>
      </c>
      <c r="N53" s="60">
        <f t="shared" si="8"/>
        <v>0</v>
      </c>
      <c r="O53" s="61">
        <f t="shared" si="9"/>
        <v>0</v>
      </c>
      <c r="P53" s="56">
        <f t="shared" si="10"/>
        <v>13</v>
      </c>
      <c r="Q53" s="67" t="s">
        <v>5</v>
      </c>
      <c r="R53" s="10" t="b">
        <f>IFERROR(__xludf.DUMMYFUNCTION("IF(COUNTA(Q53:Q1673)=0,"""",IF(ISBLANK(Q53),FALSE,IF(NOT(COUNTIF($AA$24:$AA$34,SUBSTITUTE(Q53,""Sell_"",""""))),1,IF(REGEXMATCH(Q53,""Sell_""),IF(COUNTIF(Q$4:Q53,SUBSTITUTE(Q53,""Sell_"",""""))-COUNTIF(Q$4:Q52,Q53)&lt;1,1),FALSE))))"),FALSE)</f>
        <v>0</v>
      </c>
      <c r="S53" s="59">
        <f t="array" ref="S53">IF(COUNTA(Q53:Q1673)=0,"",SUM((COUNTIF(Q$4:Q53,Upgrades!$B$3:$B$13)-COUNTIF(Q$4:Q53,"Sell_"&amp;Upgrades!$B$3:$B$13))*Upgrades!$D$3:$D$13))</f>
        <v>697.6</v>
      </c>
      <c r="T53" s="66">
        <f>IFERROR(__xludf.DUMMYFUNCTION("IF(COUNTA(Q53:Q1673)=0,"""",IF(REGEXMATCH(INDEX(FILTER(Q$4:Q53,Q$4:Q53&lt;&gt;""""),ROWS(FILTER(Q$4:Q53,Q$4:Q53&lt;&gt;""""))),""^Sell_""),INDEX(FILTER(T$4:T52,Q$4:Q52&lt;&gt;""""),ROWS(FILTER(Q$4:Q52,Q$4:Q52&lt;&gt;""""))),$AD$5+S53))"),712.6)</f>
        <v>712.6</v>
      </c>
      <c r="U53" s="10">
        <f>IFERROR(__xludf.DUMMYFUNCTION("IF(COUNTA(Q53:Q1673)=0,"""",IF(Q53="""",0,IF(REGEXMATCH(Q53,""^Sell_""),-ROUNDDOWN(ROUNDUP(INDEX(Upgrades!$C$3:$C$13,MATCH(SUBSTITUTE(Q53,""Sell_"",""""),Upgrades!$B$3:$B$13,0))*1.15^(COUNTIF(Q$4:Q52,SUBSTITUTE(Q53,""Sell_"",""""))-COUNTIF(Q$4:Q52,""Sell_"&amp;"""&amp;SUBSTITUTE(Q53,""Sell_"",""""))))/2),ROUNDUP(INDEX(Upgrades!$C$3:$C$13,MATCH(Q53,Upgrades!$B$3:$B$13,0))*1.15^(COUNTIF(Q$4:Q52,Q53)-COUNTIF(Q$4:Q52,""Sell_""&amp;Q53))))))"),2676.0)</f>
        <v>2676</v>
      </c>
      <c r="V53" s="10">
        <f t="shared" si="11"/>
        <v>2676</v>
      </c>
      <c r="W53" s="68">
        <f t="shared" si="12"/>
        <v>1352.944661</v>
      </c>
      <c r="X53" s="59" t="str">
        <f t="shared" si="13"/>
        <v>22m 32s</v>
      </c>
      <c r="Y53" s="69">
        <f t="shared" si="14"/>
        <v>295068</v>
      </c>
      <c r="Z53" s="11"/>
    </row>
    <row r="54">
      <c r="A54" s="8"/>
      <c r="B54" s="56">
        <f t="shared" si="2"/>
        <v>4</v>
      </c>
      <c r="C54" s="57" t="s">
        <v>8</v>
      </c>
      <c r="D54" s="10" t="b">
        <f>IFERROR(__xludf.DUMMYFUNCTION("IF(COUNTA(C54:C1673)=0,"""",IF(ISBLANK(C54),FALSE,IF(NOT(COUNTIF($AA$24:$AA$34,SUBSTITUTE(C54,""Sell_"",""""))),1,IF(REGEXMATCH(C54,""Sell_""),IF(COUNTIF(C$4:C54,SUBSTITUTE(C54,""Sell_"",""""))-COUNTIF(C$4:C53,C54)&lt;1,1),FALSE))))"),FALSE)</f>
        <v>0</v>
      </c>
      <c r="E54" s="59">
        <f t="array" ref="E54">IF(COUNTA(C54:C1673)=0,"",SUM((COUNTIF(C$4:C54,Upgrades!$B$3:$B$13)-COUNTIF(C$4:C54,"Sell_"&amp;Upgrades!$B$3:$B$13))*Upgrades!$D$3:$D$13))</f>
        <v>797.6</v>
      </c>
      <c r="F54" s="66">
        <f>IFERROR(__xludf.DUMMYFUNCTION("IF(COUNTA(C54:C1673)=0,"""",IF(REGEXMATCH(INDEX(FILTER(C$4:C54,C$4:C54&lt;&gt;""""),ROWS(FILTER(C$4:C54,C$4:C54&lt;&gt;""""))),""^Sell_""),INDEX(FILTER(F$4:F53,C$4:C53&lt;&gt;""""),ROWS(FILTER(C$4:C53,C$4:C53&lt;&gt;""""))),$AC$5+E54))"),812.6)</f>
        <v>812.6</v>
      </c>
      <c r="G54" s="10">
        <f>IFERROR(__xludf.DUMMYFUNCTION("IF(COUNTA(C54:C1673)=0,"""",IF(C54="""",0,IF(REGEXMATCH(C54,""^Sell_""),-ROUNDDOWN(ROUNDUP(INDEX(Upgrades!$C$3:$C$13,MATCH(SUBSTITUTE(C54,""Sell_"",""""),Upgrades!$B$3:$B$13,0))*1.15^(COUNTIF(C$4:C53,SUBSTITUTE(C54,""Sell_"",""""))-COUNTIF(C$4:C53,""Sell_"&amp;"""&amp;SUBSTITUTE(C54,""Sell_"",""""))))/2),ROUNDUP(INDEX(Upgrades!$C$3:$C$13,MATCH(C54,Upgrades!$B$3:$B$13,0))*1.15^(COUNTIF(C$4:C53,C54)-COUNTIF(C$4:C53,""Sell_""&amp;C54))))))"),60835.0)</f>
        <v>60835</v>
      </c>
      <c r="H54" s="10">
        <f t="shared" si="3"/>
        <v>60835</v>
      </c>
      <c r="I54" s="68">
        <f t="shared" si="4"/>
        <v>1438.315136</v>
      </c>
      <c r="J54" s="59" t="str">
        <f t="shared" si="5"/>
        <v>23m 58s</v>
      </c>
      <c r="K54" s="69">
        <f t="shared" si="6"/>
        <v>355903</v>
      </c>
      <c r="L54" s="60">
        <f t="shared" si="7"/>
        <v>0</v>
      </c>
      <c r="M54" s="61">
        <f>IFERROR(__xludf.DUMMYFUNCTION("IFS(AND(COUNTA(C54:C1673)=0,COUNTA(Q54:Q1673)=0),"""",OR(AND(K54&gt;=1000000000,OR(Y54&gt;=1000000000,COUNTA(Q54:Q1673)=0)),OR(Y54&gt;=1000000000,AND(COUNTA(C54:C1673)=0,P$3=TRUE))),
ROUNDDOWN((AB$1-AC$1)*MAX(INDEX(T$4:T1673,MATCH(LARGE(FILTER(Y$4:Y1673,Y$4:Y1673&lt;"&amp;"1000000000),1),Y$4:Y1673)),INDEX(F$4:F1673,MATCH(LARGE(FILTER(K$4:K1673,K$4:K1673&lt;1000000000),1),K$4:K1673)))),AND(K54&lt;1000000000,COUNTA(C54:C1673)&gt;0,P$3=FALSE),
ROUNDDOWN(INDEX(Y$4:Y1673,MATCH(LARGE(FILTER(W$4:W1673,W$4:W1673&lt;=I54),1),W$4:W1673))+(I54-LA"&amp;"RGE(FILTER(W$4:W1673,W$4:W1673&lt;=I54),1))*INDEX(T$4:T1673,MATCH(LARGE(FILTER(W$4:W1673,W$4:W1673&lt;=I54),1),W$4:W1673))-K54),1,
ROUNDDOWN(Y54-INDEX(K$4:K1673,MATCH(LARGE(FILTER(I$4:I1673,I$4:I1673&lt;=W54),1),I$4:I1673))-(W54-LARGE(FILTER(I$4:I1673,I$4:I1673&lt;=W"&amp;"54),1))*INDEX(F$4:F1673,MATCH(LARGE(FILTER(I$4:I1673,I$4:I1673&lt;=W54),1),I$4:I1673))))"),0.0)</f>
        <v>0</v>
      </c>
      <c r="N54" s="60">
        <f t="shared" si="8"/>
        <v>0</v>
      </c>
      <c r="O54" s="61">
        <f t="shared" si="9"/>
        <v>0</v>
      </c>
      <c r="P54" s="56">
        <f t="shared" si="10"/>
        <v>4</v>
      </c>
      <c r="Q54" s="67" t="s">
        <v>8</v>
      </c>
      <c r="R54" s="10" t="b">
        <f>IFERROR(__xludf.DUMMYFUNCTION("IF(COUNTA(Q54:Q1673)=0,"""",IF(ISBLANK(Q54),FALSE,IF(NOT(COUNTIF($AA$24:$AA$34,SUBSTITUTE(Q54,""Sell_"",""""))),1,IF(REGEXMATCH(Q54,""Sell_""),IF(COUNTIF(Q$4:Q54,SUBSTITUTE(Q54,""Sell_"",""""))-COUNTIF(Q$4:Q53,Q54)&lt;1,1),FALSE))))"),FALSE)</f>
        <v>0</v>
      </c>
      <c r="S54" s="59">
        <f t="array" ref="S54">IF(COUNTA(Q54:Q1673)=0,"",SUM((COUNTIF(Q$4:Q54,Upgrades!$B$3:$B$13)-COUNTIF(Q$4:Q54,"Sell_"&amp;Upgrades!$B$3:$B$13))*Upgrades!$D$3:$D$13))</f>
        <v>797.6</v>
      </c>
      <c r="T54" s="66">
        <f>IFERROR(__xludf.DUMMYFUNCTION("IF(COUNTA(Q54:Q1673)=0,"""",IF(REGEXMATCH(INDEX(FILTER(Q$4:Q54,Q$4:Q54&lt;&gt;""""),ROWS(FILTER(Q$4:Q54,Q$4:Q54&lt;&gt;""""))),""^Sell_""),INDEX(FILTER(T$4:T53,Q$4:Q53&lt;&gt;""""),ROWS(FILTER(Q$4:Q53,Q$4:Q53&lt;&gt;""""))),$AD$5+S54))"),812.6)</f>
        <v>812.6</v>
      </c>
      <c r="U54" s="10">
        <f>IFERROR(__xludf.DUMMYFUNCTION("IF(COUNTA(Q54:Q1673)=0,"""",IF(Q54="""",0,IF(REGEXMATCH(Q54,""^Sell_""),-ROUNDDOWN(ROUNDUP(INDEX(Upgrades!$C$3:$C$13,MATCH(SUBSTITUTE(Q54,""Sell_"",""""),Upgrades!$B$3:$B$13,0))*1.15^(COUNTIF(Q$4:Q53,SUBSTITUTE(Q54,""Sell_"",""""))-COUNTIF(Q$4:Q53,""Sell_"&amp;"""&amp;SUBSTITUTE(Q54,""Sell_"",""""))))/2),ROUNDUP(INDEX(Upgrades!$C$3:$C$13,MATCH(Q54,Upgrades!$B$3:$B$13,0))*1.15^(COUNTIF(Q$4:Q53,Q54)-COUNTIF(Q$4:Q53,""Sell_""&amp;Q54))))))"),60835.0)</f>
        <v>60835</v>
      </c>
      <c r="V54" s="10">
        <f t="shared" si="11"/>
        <v>60835</v>
      </c>
      <c r="W54" s="68">
        <f t="shared" si="12"/>
        <v>1438.315136</v>
      </c>
      <c r="X54" s="59" t="str">
        <f t="shared" si="13"/>
        <v>23m 58s</v>
      </c>
      <c r="Y54" s="69">
        <f t="shared" si="14"/>
        <v>355903</v>
      </c>
      <c r="Z54" s="11"/>
    </row>
    <row r="55">
      <c r="A55" s="8"/>
      <c r="B55" s="56">
        <f t="shared" si="2"/>
        <v>8</v>
      </c>
      <c r="C55" s="57" t="s">
        <v>7</v>
      </c>
      <c r="D55" s="10" t="b">
        <f>IFERROR(__xludf.DUMMYFUNCTION("IF(COUNTA(C55:C1673)=0,"""",IF(ISBLANK(C55),FALSE,IF(NOT(COUNTIF($AA$24:$AA$34,SUBSTITUTE(C55,""Sell_"",""""))),1,IF(REGEXMATCH(C55,""Sell_""),IF(COUNTIF(C$4:C55,SUBSTITUTE(C55,""Sell_"",""""))-COUNTIF(C$4:C54,C55)&lt;1,1),FALSE))))"),FALSE)</f>
        <v>0</v>
      </c>
      <c r="E55" s="59">
        <f t="array" ref="E55">IF(COUNTA(C55:C1673)=0,"",SUM((COUNTIF(C$4:C55,Upgrades!$B$3:$B$13)-COUNTIF(C$4:C55,"Sell_"&amp;Upgrades!$B$3:$B$13))*Upgrades!$D$3:$D$13))</f>
        <v>837.6</v>
      </c>
      <c r="F55" s="66">
        <f>IFERROR(__xludf.DUMMYFUNCTION("IF(COUNTA(C55:C1673)=0,"""",IF(REGEXMATCH(INDEX(FILTER(C$4:C55,C$4:C55&lt;&gt;""""),ROWS(FILTER(C$4:C55,C$4:C55&lt;&gt;""""))),""^Sell_""),INDEX(FILTER(F$4:F54,C$4:C54&lt;&gt;""""),ROWS(FILTER(C$4:C54,C$4:C54&lt;&gt;""""))),$AC$5+E55))"),852.6)</f>
        <v>852.6</v>
      </c>
      <c r="G55" s="10">
        <f>IFERROR(__xludf.DUMMYFUNCTION("IF(COUNTA(C55:C1673)=0,"""",IF(C55="""",0,IF(REGEXMATCH(C55,""^Sell_""),-ROUNDDOWN(ROUNDUP(INDEX(Upgrades!$C$3:$C$13,MATCH(SUBSTITUTE(C55,""Sell_"",""""),Upgrades!$B$3:$B$13,0))*1.15^(COUNTIF(C$4:C54,SUBSTITUTE(C55,""Sell_"",""""))-COUNTIF(C$4:C54,""Sell_"&amp;"""&amp;SUBSTITUTE(C55,""Sell_"",""""))))/2),ROUNDUP(INDEX(Upgrades!$C$3:$C$13,MATCH(C55,Upgrades!$B$3:$B$13,0))*1.15^(COUNTIF(C$4:C54,C55)-COUNTIF(C$4:C54,""Sell_""&amp;C55))))))"),26601.0)</f>
        <v>26601</v>
      </c>
      <c r="H55" s="10">
        <f t="shared" si="3"/>
        <v>26601</v>
      </c>
      <c r="I55" s="68">
        <f t="shared" si="4"/>
        <v>1471.050799</v>
      </c>
      <c r="J55" s="59" t="str">
        <f t="shared" si="5"/>
        <v>24m 31s</v>
      </c>
      <c r="K55" s="69">
        <f t="shared" si="6"/>
        <v>382504</v>
      </c>
      <c r="L55" s="60">
        <f t="shared" si="7"/>
        <v>0</v>
      </c>
      <c r="M55" s="61">
        <f>IFERROR(__xludf.DUMMYFUNCTION("IFS(AND(COUNTA(C55:C1673)=0,COUNTA(Q55:Q1673)=0),"""",OR(AND(K55&gt;=1000000000,OR(Y55&gt;=1000000000,COUNTA(Q55:Q1673)=0)),OR(Y55&gt;=1000000000,AND(COUNTA(C55:C1673)=0,P$3=TRUE))),
ROUNDDOWN((AB$1-AC$1)*MAX(INDEX(T$4:T1673,MATCH(LARGE(FILTER(Y$4:Y1673,Y$4:Y1673&lt;"&amp;"1000000000),1),Y$4:Y1673)),INDEX(F$4:F1673,MATCH(LARGE(FILTER(K$4:K1673,K$4:K1673&lt;1000000000),1),K$4:K1673)))),AND(K55&lt;1000000000,COUNTA(C55:C1673)&gt;0,P$3=FALSE),
ROUNDDOWN(INDEX(Y$4:Y1673,MATCH(LARGE(FILTER(W$4:W1673,W$4:W1673&lt;=I55),1),W$4:W1673))+(I55-LA"&amp;"RGE(FILTER(W$4:W1673,W$4:W1673&lt;=I55),1))*INDEX(T$4:T1673,MATCH(LARGE(FILTER(W$4:W1673,W$4:W1673&lt;=I55),1),W$4:W1673))-K55),1,
ROUNDDOWN(Y55-INDEX(K$4:K1673,MATCH(LARGE(FILTER(I$4:I1673,I$4:I1673&lt;=W55),1),I$4:I1673))-(W55-LARGE(FILTER(I$4:I1673,I$4:I1673&lt;=W"&amp;"55),1))*INDEX(F$4:F1673,MATCH(LARGE(FILTER(I$4:I1673,I$4:I1673&lt;=W55),1),I$4:I1673))))"),0.0)</f>
        <v>0</v>
      </c>
      <c r="N55" s="60">
        <f t="shared" si="8"/>
        <v>0</v>
      </c>
      <c r="O55" s="61">
        <f t="shared" si="9"/>
        <v>0</v>
      </c>
      <c r="P55" s="56">
        <f t="shared" si="10"/>
        <v>8</v>
      </c>
      <c r="Q55" s="67" t="s">
        <v>7</v>
      </c>
      <c r="R55" s="10" t="b">
        <f>IFERROR(__xludf.DUMMYFUNCTION("IF(COUNTA(Q55:Q1673)=0,"""",IF(ISBLANK(Q55),FALSE,IF(NOT(COUNTIF($AA$24:$AA$34,SUBSTITUTE(Q55,""Sell_"",""""))),1,IF(REGEXMATCH(Q55,""Sell_""),IF(COUNTIF(Q$4:Q55,SUBSTITUTE(Q55,""Sell_"",""""))-COUNTIF(Q$4:Q54,Q55)&lt;1,1),FALSE))))"),FALSE)</f>
        <v>0</v>
      </c>
      <c r="S55" s="59">
        <f t="array" ref="S55">IF(COUNTA(Q55:Q1673)=0,"",SUM((COUNTIF(Q$4:Q55,Upgrades!$B$3:$B$13)-COUNTIF(Q$4:Q55,"Sell_"&amp;Upgrades!$B$3:$B$13))*Upgrades!$D$3:$D$13))</f>
        <v>837.6</v>
      </c>
      <c r="T55" s="66">
        <f>IFERROR(__xludf.DUMMYFUNCTION("IF(COUNTA(Q55:Q1673)=0,"""",IF(REGEXMATCH(INDEX(FILTER(Q$4:Q55,Q$4:Q55&lt;&gt;""""),ROWS(FILTER(Q$4:Q55,Q$4:Q55&lt;&gt;""""))),""^Sell_""),INDEX(FILTER(T$4:T54,Q$4:Q54&lt;&gt;""""),ROWS(FILTER(Q$4:Q54,Q$4:Q54&lt;&gt;""""))),$AD$5+S55))"),852.6)</f>
        <v>852.6</v>
      </c>
      <c r="U55" s="10">
        <f>IFERROR(__xludf.DUMMYFUNCTION("IF(COUNTA(Q55:Q1673)=0,"""",IF(Q55="""",0,IF(REGEXMATCH(Q55,""^Sell_""),-ROUNDDOWN(ROUNDUP(INDEX(Upgrades!$C$3:$C$13,MATCH(SUBSTITUTE(Q55,""Sell_"",""""),Upgrades!$B$3:$B$13,0))*1.15^(COUNTIF(Q$4:Q54,SUBSTITUTE(Q55,""Sell_"",""""))-COUNTIF(Q$4:Q54,""Sell_"&amp;"""&amp;SUBSTITUTE(Q55,""Sell_"",""""))))/2),ROUNDUP(INDEX(Upgrades!$C$3:$C$13,MATCH(Q55,Upgrades!$B$3:$B$13,0))*1.15^(COUNTIF(Q$4:Q54,Q55)-COUNTIF(Q$4:Q54,""Sell_""&amp;Q55))))))"),26601.0)</f>
        <v>26601</v>
      </c>
      <c r="V55" s="10">
        <f t="shared" si="11"/>
        <v>26601</v>
      </c>
      <c r="W55" s="68">
        <f t="shared" si="12"/>
        <v>1471.050799</v>
      </c>
      <c r="X55" s="59" t="str">
        <f t="shared" si="13"/>
        <v>24m 31s</v>
      </c>
      <c r="Y55" s="69">
        <f t="shared" si="14"/>
        <v>382504</v>
      </c>
      <c r="Z55" s="11"/>
    </row>
    <row r="56">
      <c r="A56" s="8"/>
      <c r="B56" s="56">
        <f t="shared" si="2"/>
        <v>12</v>
      </c>
      <c r="C56" s="57" t="s">
        <v>3</v>
      </c>
      <c r="D56" s="10" t="b">
        <f>IFERROR(__xludf.DUMMYFUNCTION("IF(COUNTA(C56:C1673)=0,"""",IF(ISBLANK(C56),FALSE,IF(NOT(COUNTIF($AA$24:$AA$34,SUBSTITUTE(C56,""Sell_"",""""))),1,IF(REGEXMATCH(C56,""Sell_""),IF(COUNTIF(C$4:C56,SUBSTITUTE(C56,""Sell_"",""""))-COUNTIF(C$4:C55,C56)&lt;1,1),FALSE))))"),FALSE)</f>
        <v>0</v>
      </c>
      <c r="E56" s="59">
        <f t="array" ref="E56">IF(COUNTA(C56:C1673)=0,"",SUM((COUNTIF(C$4:C56,Upgrades!$B$3:$B$13)-COUNTIF(C$4:C56,"Sell_"&amp;Upgrades!$B$3:$B$13))*Upgrades!$D$3:$D$13))</f>
        <v>837.7</v>
      </c>
      <c r="F56" s="66">
        <f>IFERROR(__xludf.DUMMYFUNCTION("IF(COUNTA(C56:C1673)=0,"""",IF(REGEXMATCH(INDEX(FILTER(C$4:C56,C$4:C56&lt;&gt;""""),ROWS(FILTER(C$4:C56,C$4:C56&lt;&gt;""""))),""^Sell_""),INDEX(FILTER(F$4:F55,C$4:C55&lt;&gt;""""),ROWS(FILTER(C$4:C55,C$4:C55&lt;&gt;""""))),$AC$5+E56))"),852.7)</f>
        <v>852.7</v>
      </c>
      <c r="G56" s="10">
        <f>IFERROR(__xludf.DUMMYFUNCTION("IF(COUNTA(C56:C1673)=0,"""",IF(C56="""",0,IF(REGEXMATCH(C56,""^Sell_""),-ROUNDDOWN(ROUNDUP(INDEX(Upgrades!$C$3:$C$13,MATCH(SUBSTITUTE(C56,""Sell_"",""""),Upgrades!$B$3:$B$13,0))*1.15^(COUNTIF(C$4:C55,SUBSTITUTE(C56,""Sell_"",""""))-COUNTIF(C$4:C55,""Sell_"&amp;"""&amp;SUBSTITUTE(C56,""Sell_"",""""))))/2),ROUNDUP(INDEX(Upgrades!$C$3:$C$13,MATCH(C56,Upgrades!$B$3:$B$13,0))*1.15^(COUNTIF(C$4:C55,C56)-COUNTIF(C$4:C55,""Sell_""&amp;C56))))))"),70.0)</f>
        <v>70</v>
      </c>
      <c r="H56" s="10">
        <f t="shared" si="3"/>
        <v>70</v>
      </c>
      <c r="I56" s="68">
        <f t="shared" si="4"/>
        <v>1471.132901</v>
      </c>
      <c r="J56" s="59" t="str">
        <f t="shared" si="5"/>
        <v>24m 31s</v>
      </c>
      <c r="K56" s="69">
        <f t="shared" si="6"/>
        <v>382574</v>
      </c>
      <c r="L56" s="60">
        <f t="shared" si="7"/>
        <v>0</v>
      </c>
      <c r="M56" s="61">
        <f>IFERROR(__xludf.DUMMYFUNCTION("IFS(AND(COUNTA(C56:C1673)=0,COUNTA(Q56:Q1673)=0),"""",OR(AND(K56&gt;=1000000000,OR(Y56&gt;=1000000000,COUNTA(Q56:Q1673)=0)),OR(Y56&gt;=1000000000,AND(COUNTA(C56:C1673)=0,P$3=TRUE))),
ROUNDDOWN((AB$1-AC$1)*MAX(INDEX(T$4:T1673,MATCH(LARGE(FILTER(Y$4:Y1673,Y$4:Y1673&lt;"&amp;"1000000000),1),Y$4:Y1673)),INDEX(F$4:F1673,MATCH(LARGE(FILTER(K$4:K1673,K$4:K1673&lt;1000000000),1),K$4:K1673)))),AND(K56&lt;1000000000,COUNTA(C56:C1673)&gt;0,P$3=FALSE),
ROUNDDOWN(INDEX(Y$4:Y1673,MATCH(LARGE(FILTER(W$4:W1673,W$4:W1673&lt;=I56),1),W$4:W1673))+(I56-LA"&amp;"RGE(FILTER(W$4:W1673,W$4:W1673&lt;=I56),1))*INDEX(T$4:T1673,MATCH(LARGE(FILTER(W$4:W1673,W$4:W1673&lt;=I56),1),W$4:W1673))-K56),1,
ROUNDDOWN(Y56-INDEX(K$4:K1673,MATCH(LARGE(FILTER(I$4:I1673,I$4:I1673&lt;=W56),1),I$4:I1673))-(W56-LARGE(FILTER(I$4:I1673,I$4:I1673&lt;=W"&amp;"56),1))*INDEX(F$4:F1673,MATCH(LARGE(FILTER(I$4:I1673,I$4:I1673&lt;=W56),1),I$4:I1673))))"),0.0)</f>
        <v>0</v>
      </c>
      <c r="N56" s="60">
        <f t="shared" si="8"/>
        <v>0</v>
      </c>
      <c r="O56" s="61">
        <f t="shared" si="9"/>
        <v>0</v>
      </c>
      <c r="P56" s="56">
        <f t="shared" si="10"/>
        <v>12</v>
      </c>
      <c r="Q56" s="67" t="s">
        <v>3</v>
      </c>
      <c r="R56" s="10" t="b">
        <f>IFERROR(__xludf.DUMMYFUNCTION("IF(COUNTA(Q56:Q1673)=0,"""",IF(ISBLANK(Q56),FALSE,IF(NOT(COUNTIF($AA$24:$AA$34,SUBSTITUTE(Q56,""Sell_"",""""))),1,IF(REGEXMATCH(Q56,""Sell_""),IF(COUNTIF(Q$4:Q56,SUBSTITUTE(Q56,""Sell_"",""""))-COUNTIF(Q$4:Q55,Q56)&lt;1,1),FALSE))))"),FALSE)</f>
        <v>0</v>
      </c>
      <c r="S56" s="59">
        <f t="array" ref="S56">IF(COUNTA(Q56:Q1673)=0,"",SUM((COUNTIF(Q$4:Q56,Upgrades!$B$3:$B$13)-COUNTIF(Q$4:Q56,"Sell_"&amp;Upgrades!$B$3:$B$13))*Upgrades!$D$3:$D$13))</f>
        <v>837.7</v>
      </c>
      <c r="T56" s="66">
        <f>IFERROR(__xludf.DUMMYFUNCTION("IF(COUNTA(Q56:Q1673)=0,"""",IF(REGEXMATCH(INDEX(FILTER(Q$4:Q56,Q$4:Q56&lt;&gt;""""),ROWS(FILTER(Q$4:Q56,Q$4:Q56&lt;&gt;""""))),""^Sell_""),INDEX(FILTER(T$4:T55,Q$4:Q55&lt;&gt;""""),ROWS(FILTER(Q$4:Q55,Q$4:Q55&lt;&gt;""""))),$AD$5+S56))"),852.7)</f>
        <v>852.7</v>
      </c>
      <c r="U56" s="10">
        <f>IFERROR(__xludf.DUMMYFUNCTION("IF(COUNTA(Q56:Q1673)=0,"""",IF(Q56="""",0,IF(REGEXMATCH(Q56,""^Sell_""),-ROUNDDOWN(ROUNDUP(INDEX(Upgrades!$C$3:$C$13,MATCH(SUBSTITUTE(Q56,""Sell_"",""""),Upgrades!$B$3:$B$13,0))*1.15^(COUNTIF(Q$4:Q55,SUBSTITUTE(Q56,""Sell_"",""""))-COUNTIF(Q$4:Q55,""Sell_"&amp;"""&amp;SUBSTITUTE(Q56,""Sell_"",""""))))/2),ROUNDUP(INDEX(Upgrades!$C$3:$C$13,MATCH(Q56,Upgrades!$B$3:$B$13,0))*1.15^(COUNTIF(Q$4:Q55,Q56)-COUNTIF(Q$4:Q55,""Sell_""&amp;Q56))))))"),70.0)</f>
        <v>70</v>
      </c>
      <c r="V56" s="10">
        <f t="shared" si="11"/>
        <v>70</v>
      </c>
      <c r="W56" s="68">
        <f t="shared" si="12"/>
        <v>1471.132901</v>
      </c>
      <c r="X56" s="59" t="str">
        <f t="shared" si="13"/>
        <v>24m 31s</v>
      </c>
      <c r="Y56" s="69">
        <f t="shared" si="14"/>
        <v>382574</v>
      </c>
      <c r="Z56" s="11"/>
    </row>
    <row r="57">
      <c r="A57" s="8"/>
      <c r="B57" s="56">
        <f t="shared" si="2"/>
        <v>7</v>
      </c>
      <c r="C57" s="57" t="s">
        <v>6</v>
      </c>
      <c r="D57" s="10" t="b">
        <f>IFERROR(__xludf.DUMMYFUNCTION("IF(COUNTA(C57:C1673)=0,"""",IF(ISBLANK(C57),FALSE,IF(NOT(COUNTIF($AA$24:$AA$34,SUBSTITUTE(C57,""Sell_"",""""))),1,IF(REGEXMATCH(C57,""Sell_""),IF(COUNTIF(C$4:C57,SUBSTITUTE(C57,""Sell_"",""""))-COUNTIF(C$4:C56,C57)&lt;1,1),FALSE))))"),FALSE)</f>
        <v>0</v>
      </c>
      <c r="E57" s="59">
        <f t="array" ref="E57">IF(COUNTA(C57:C1673)=0,"",SUM((COUNTIF(C$4:C57,Upgrades!$B$3:$B$13)-COUNTIF(C$4:C57,"Sell_"&amp;Upgrades!$B$3:$B$13))*Upgrades!$D$3:$D$13))</f>
        <v>847.7</v>
      </c>
      <c r="F57" s="66">
        <f>IFERROR(__xludf.DUMMYFUNCTION("IF(COUNTA(C57:C1673)=0,"""",IF(REGEXMATCH(INDEX(FILTER(C$4:C57,C$4:C57&lt;&gt;""""),ROWS(FILTER(C$4:C57,C$4:C57&lt;&gt;""""))),""^Sell_""),INDEX(FILTER(F$4:F56,C$4:C56&lt;&gt;""""),ROWS(FILTER(C$4:C56,C$4:C56&lt;&gt;""""))),$AC$5+E57))"),862.7)</f>
        <v>862.7</v>
      </c>
      <c r="G57" s="10">
        <f>IFERROR(__xludf.DUMMYFUNCTION("IF(COUNTA(C57:C1673)=0,"""",IF(C57="""",0,IF(REGEXMATCH(C57,""^Sell_""),-ROUNDDOWN(ROUNDUP(INDEX(Upgrades!$C$3:$C$13,MATCH(SUBSTITUTE(C57,""Sell_"",""""),Upgrades!$B$3:$B$13,0))*1.15^(COUNTIF(C$4:C56,SUBSTITUTE(C57,""Sell_"",""""))-COUNTIF(C$4:C56,""Sell_"&amp;"""&amp;SUBSTITUTE(C57,""Sell_"",""""))))/2),ROUNDUP(INDEX(Upgrades!$C$3:$C$13,MATCH(C57,Upgrades!$B$3:$B$13,0))*1.15^(COUNTIF(C$4:C56,C57)-COUNTIF(C$4:C56,""Sell_""&amp;C57))))))"),6940.0)</f>
        <v>6940</v>
      </c>
      <c r="H57" s="10">
        <f t="shared" si="3"/>
        <v>6940</v>
      </c>
      <c r="I57" s="68">
        <f t="shared" si="4"/>
        <v>1479.271754</v>
      </c>
      <c r="J57" s="59" t="str">
        <f t="shared" si="5"/>
        <v>24m 39s</v>
      </c>
      <c r="K57" s="69">
        <f t="shared" si="6"/>
        <v>389514</v>
      </c>
      <c r="L57" s="60">
        <f t="shared" si="7"/>
        <v>0</v>
      </c>
      <c r="M57" s="61">
        <f>IFERROR(__xludf.DUMMYFUNCTION("IFS(AND(COUNTA(C57:C1673)=0,COUNTA(Q57:Q1673)=0),"""",OR(AND(K57&gt;=1000000000,OR(Y57&gt;=1000000000,COUNTA(Q57:Q1673)=0)),OR(Y57&gt;=1000000000,AND(COUNTA(C57:C1673)=0,P$3=TRUE))),
ROUNDDOWN((AB$1-AC$1)*MAX(INDEX(T$4:T1673,MATCH(LARGE(FILTER(Y$4:Y1673,Y$4:Y1673&lt;"&amp;"1000000000),1),Y$4:Y1673)),INDEX(F$4:F1673,MATCH(LARGE(FILTER(K$4:K1673,K$4:K1673&lt;1000000000),1),K$4:K1673)))),AND(K57&lt;1000000000,COUNTA(C57:C1673)&gt;0,P$3=FALSE),
ROUNDDOWN(INDEX(Y$4:Y1673,MATCH(LARGE(FILTER(W$4:W1673,W$4:W1673&lt;=I57),1),W$4:W1673))+(I57-LA"&amp;"RGE(FILTER(W$4:W1673,W$4:W1673&lt;=I57),1))*INDEX(T$4:T1673,MATCH(LARGE(FILTER(W$4:W1673,W$4:W1673&lt;=I57),1),W$4:W1673))-K57),1,
ROUNDDOWN(Y57-INDEX(K$4:K1673,MATCH(LARGE(FILTER(I$4:I1673,I$4:I1673&lt;=W57),1),I$4:I1673))-(W57-LARGE(FILTER(I$4:I1673,I$4:I1673&lt;=W"&amp;"57),1))*INDEX(F$4:F1673,MATCH(LARGE(FILTER(I$4:I1673,I$4:I1673&lt;=W57),1),I$4:I1673))))"),0.0)</f>
        <v>0</v>
      </c>
      <c r="N57" s="60">
        <f t="shared" si="8"/>
        <v>0</v>
      </c>
      <c r="O57" s="61">
        <f t="shared" si="9"/>
        <v>0</v>
      </c>
      <c r="P57" s="56">
        <f t="shared" si="10"/>
        <v>7</v>
      </c>
      <c r="Q57" s="67" t="s">
        <v>6</v>
      </c>
      <c r="R57" s="10" t="b">
        <f>IFERROR(__xludf.DUMMYFUNCTION("IF(COUNTA(Q57:Q1673)=0,"""",IF(ISBLANK(Q57),FALSE,IF(NOT(COUNTIF($AA$24:$AA$34,SUBSTITUTE(Q57,""Sell_"",""""))),1,IF(REGEXMATCH(Q57,""Sell_""),IF(COUNTIF(Q$4:Q57,SUBSTITUTE(Q57,""Sell_"",""""))-COUNTIF(Q$4:Q56,Q57)&lt;1,1),FALSE))))"),FALSE)</f>
        <v>0</v>
      </c>
      <c r="S57" s="59">
        <f t="array" ref="S57">IF(COUNTA(Q57:Q1673)=0,"",SUM((COUNTIF(Q$4:Q57,Upgrades!$B$3:$B$13)-COUNTIF(Q$4:Q57,"Sell_"&amp;Upgrades!$B$3:$B$13))*Upgrades!$D$3:$D$13))</f>
        <v>847.7</v>
      </c>
      <c r="T57" s="66">
        <f>IFERROR(__xludf.DUMMYFUNCTION("IF(COUNTA(Q57:Q1673)=0,"""",IF(REGEXMATCH(INDEX(FILTER(Q$4:Q57,Q$4:Q57&lt;&gt;""""),ROWS(FILTER(Q$4:Q57,Q$4:Q57&lt;&gt;""""))),""^Sell_""),INDEX(FILTER(T$4:T56,Q$4:Q56&lt;&gt;""""),ROWS(FILTER(Q$4:Q56,Q$4:Q56&lt;&gt;""""))),$AD$5+S57))"),862.7)</f>
        <v>862.7</v>
      </c>
      <c r="U57" s="10">
        <f>IFERROR(__xludf.DUMMYFUNCTION("IF(COUNTA(Q57:Q1673)=0,"""",IF(Q57="""",0,IF(REGEXMATCH(Q57,""^Sell_""),-ROUNDDOWN(ROUNDUP(INDEX(Upgrades!$C$3:$C$13,MATCH(SUBSTITUTE(Q57,""Sell_"",""""),Upgrades!$B$3:$B$13,0))*1.15^(COUNTIF(Q$4:Q56,SUBSTITUTE(Q57,""Sell_"",""""))-COUNTIF(Q$4:Q56,""Sell_"&amp;"""&amp;SUBSTITUTE(Q57,""Sell_"",""""))))/2),ROUNDUP(INDEX(Upgrades!$C$3:$C$13,MATCH(Q57,Upgrades!$B$3:$B$13,0))*1.15^(COUNTIF(Q$4:Q56,Q57)-COUNTIF(Q$4:Q56,""Sell_""&amp;Q57))))))"),6940.0)</f>
        <v>6940</v>
      </c>
      <c r="V57" s="10">
        <f t="shared" si="11"/>
        <v>6940</v>
      </c>
      <c r="W57" s="68">
        <f t="shared" si="12"/>
        <v>1479.271754</v>
      </c>
      <c r="X57" s="59" t="str">
        <f t="shared" si="13"/>
        <v>24m 39s</v>
      </c>
      <c r="Y57" s="69">
        <f t="shared" si="14"/>
        <v>389514</v>
      </c>
      <c r="Z57" s="11"/>
    </row>
    <row r="58">
      <c r="A58" s="8"/>
      <c r="B58" s="56">
        <f t="shared" si="2"/>
        <v>10</v>
      </c>
      <c r="C58" s="57" t="s">
        <v>4</v>
      </c>
      <c r="D58" s="10" t="b">
        <f>IFERROR(__xludf.DUMMYFUNCTION("IF(COUNTA(C58:C1673)=0,"""",IF(ISBLANK(C58),FALSE,IF(NOT(COUNTIF($AA$24:$AA$34,SUBSTITUTE(C58,""Sell_"",""""))),1,IF(REGEXMATCH(C58,""Sell_""),IF(COUNTIF(C$4:C58,SUBSTITUTE(C58,""Sell_"",""""))-COUNTIF(C$4:C57,C58)&lt;1,1),FALSE))))"),FALSE)</f>
        <v>0</v>
      </c>
      <c r="E58" s="59">
        <f t="array" ref="E58">IF(COUNTA(C58:C1673)=0,"",SUM((COUNTIF(C$4:C58,Upgrades!$B$3:$B$13)-COUNTIF(C$4:C58,"Sell_"&amp;Upgrades!$B$3:$B$13))*Upgrades!$D$3:$D$13))</f>
        <v>848.2</v>
      </c>
      <c r="F58" s="66">
        <f>IFERROR(__xludf.DUMMYFUNCTION("IF(COUNTA(C58:C1673)=0,"""",IF(REGEXMATCH(INDEX(FILTER(C$4:C58,C$4:C58&lt;&gt;""""),ROWS(FILTER(C$4:C58,C$4:C58&lt;&gt;""""))),""^Sell_""),INDEX(FILTER(F$4:F57,C$4:C57&lt;&gt;""""),ROWS(FILTER(C$4:C57,C$4:C57&lt;&gt;""""))),$AC$5+E58))"),863.2)</f>
        <v>863.2</v>
      </c>
      <c r="G58" s="10">
        <f>IFERROR(__xludf.DUMMYFUNCTION("IF(COUNTA(C58:C1673)=0,"""",IF(C58="""",0,IF(REGEXMATCH(C58,""^Sell_""),-ROUNDDOWN(ROUNDUP(INDEX(Upgrades!$C$3:$C$13,MATCH(SUBSTITUTE(C58,""Sell_"",""""),Upgrades!$B$3:$B$13,0))*1.15^(COUNTIF(C$4:C57,SUBSTITUTE(C58,""Sell_"",""""))-COUNTIF(C$4:C57,""Sell_"&amp;"""&amp;SUBSTITUTE(C58,""Sell_"",""""))))/2),ROUNDUP(INDEX(Upgrades!$C$3:$C$13,MATCH(C58,Upgrades!$B$3:$B$13,0))*1.15^(COUNTIF(C$4:C57,C58)-COUNTIF(C$4:C57,""Sell_""&amp;C58))))))"),352.0)</f>
        <v>352</v>
      </c>
      <c r="H58" s="10">
        <f t="shared" si="3"/>
        <v>352</v>
      </c>
      <c r="I58" s="68">
        <f t="shared" si="4"/>
        <v>1479.679775</v>
      </c>
      <c r="J58" s="59" t="str">
        <f t="shared" si="5"/>
        <v>24m 39s</v>
      </c>
      <c r="K58" s="69">
        <f t="shared" si="6"/>
        <v>389866</v>
      </c>
      <c r="L58" s="60">
        <f t="shared" si="7"/>
        <v>0</v>
      </c>
      <c r="M58" s="61">
        <f>IFERROR(__xludf.DUMMYFUNCTION("IFS(AND(COUNTA(C58:C1673)=0,COUNTA(Q58:Q1673)=0),"""",OR(AND(K58&gt;=1000000000,OR(Y58&gt;=1000000000,COUNTA(Q58:Q1673)=0)),OR(Y58&gt;=1000000000,AND(COUNTA(C58:C1673)=0,P$3=TRUE))),
ROUNDDOWN((AB$1-AC$1)*MAX(INDEX(T$4:T1673,MATCH(LARGE(FILTER(Y$4:Y1673,Y$4:Y1673&lt;"&amp;"1000000000),1),Y$4:Y1673)),INDEX(F$4:F1673,MATCH(LARGE(FILTER(K$4:K1673,K$4:K1673&lt;1000000000),1),K$4:K1673)))),AND(K58&lt;1000000000,COUNTA(C58:C1673)&gt;0,P$3=FALSE),
ROUNDDOWN(INDEX(Y$4:Y1673,MATCH(LARGE(FILTER(W$4:W1673,W$4:W1673&lt;=I58),1),W$4:W1673))+(I58-LA"&amp;"RGE(FILTER(W$4:W1673,W$4:W1673&lt;=I58),1))*INDEX(T$4:T1673,MATCH(LARGE(FILTER(W$4:W1673,W$4:W1673&lt;=I58),1),W$4:W1673))-K58),1,
ROUNDDOWN(Y58-INDEX(K$4:K1673,MATCH(LARGE(FILTER(I$4:I1673,I$4:I1673&lt;=W58),1),I$4:I1673))-(W58-LARGE(FILTER(I$4:I1673,I$4:I1673&lt;=W"&amp;"58),1))*INDEX(F$4:F1673,MATCH(LARGE(FILTER(I$4:I1673,I$4:I1673&lt;=W58),1),I$4:I1673))))"),0.0)</f>
        <v>0</v>
      </c>
      <c r="N58" s="60">
        <f t="shared" si="8"/>
        <v>0</v>
      </c>
      <c r="O58" s="61">
        <f t="shared" si="9"/>
        <v>0</v>
      </c>
      <c r="P58" s="56">
        <f t="shared" si="10"/>
        <v>10</v>
      </c>
      <c r="Q58" s="67" t="s">
        <v>4</v>
      </c>
      <c r="R58" s="10" t="b">
        <f>IFERROR(__xludf.DUMMYFUNCTION("IF(COUNTA(Q58:Q1673)=0,"""",IF(ISBLANK(Q58),FALSE,IF(NOT(COUNTIF($AA$24:$AA$34,SUBSTITUTE(Q58,""Sell_"",""""))),1,IF(REGEXMATCH(Q58,""Sell_""),IF(COUNTIF(Q$4:Q58,SUBSTITUTE(Q58,""Sell_"",""""))-COUNTIF(Q$4:Q57,Q58)&lt;1,1),FALSE))))"),FALSE)</f>
        <v>0</v>
      </c>
      <c r="S58" s="59">
        <f t="array" ref="S58">IF(COUNTA(Q58:Q1673)=0,"",SUM((COUNTIF(Q$4:Q58,Upgrades!$B$3:$B$13)-COUNTIF(Q$4:Q58,"Sell_"&amp;Upgrades!$B$3:$B$13))*Upgrades!$D$3:$D$13))</f>
        <v>848.2</v>
      </c>
      <c r="T58" s="66">
        <f>IFERROR(__xludf.DUMMYFUNCTION("IF(COUNTA(Q58:Q1673)=0,"""",IF(REGEXMATCH(INDEX(FILTER(Q$4:Q58,Q$4:Q58&lt;&gt;""""),ROWS(FILTER(Q$4:Q58,Q$4:Q58&lt;&gt;""""))),""^Sell_""),INDEX(FILTER(T$4:T57,Q$4:Q57&lt;&gt;""""),ROWS(FILTER(Q$4:Q57,Q$4:Q57&lt;&gt;""""))),$AD$5+S58))"),863.2)</f>
        <v>863.2</v>
      </c>
      <c r="U58" s="10">
        <f>IFERROR(__xludf.DUMMYFUNCTION("IF(COUNTA(Q58:Q1673)=0,"""",IF(Q58="""",0,IF(REGEXMATCH(Q58,""^Sell_""),-ROUNDDOWN(ROUNDUP(INDEX(Upgrades!$C$3:$C$13,MATCH(SUBSTITUTE(Q58,""Sell_"",""""),Upgrades!$B$3:$B$13,0))*1.15^(COUNTIF(Q$4:Q57,SUBSTITUTE(Q58,""Sell_"",""""))-COUNTIF(Q$4:Q57,""Sell_"&amp;"""&amp;SUBSTITUTE(Q58,""Sell_"",""""))))/2),ROUNDUP(INDEX(Upgrades!$C$3:$C$13,MATCH(Q58,Upgrades!$B$3:$B$13,0))*1.15^(COUNTIF(Q$4:Q57,Q58)-COUNTIF(Q$4:Q57,""Sell_""&amp;Q58))))))"),352.0)</f>
        <v>352</v>
      </c>
      <c r="V58" s="10">
        <f t="shared" si="11"/>
        <v>352</v>
      </c>
      <c r="W58" s="68">
        <f t="shared" si="12"/>
        <v>1479.679775</v>
      </c>
      <c r="X58" s="59" t="str">
        <f t="shared" si="13"/>
        <v>24m 39s</v>
      </c>
      <c r="Y58" s="69">
        <f t="shared" si="14"/>
        <v>389866</v>
      </c>
      <c r="Z58" s="11"/>
    </row>
    <row r="59">
      <c r="A59" s="8"/>
      <c r="B59" s="56">
        <f t="shared" si="2"/>
        <v>1</v>
      </c>
      <c r="C59" s="57" t="s">
        <v>9</v>
      </c>
      <c r="D59" s="10" t="b">
        <f>IFERROR(__xludf.DUMMYFUNCTION("IF(COUNTA(C59:C1673)=0,"""",IF(ISBLANK(C59),FALSE,IF(NOT(COUNTIF($AA$24:$AA$34,SUBSTITUTE(C59,""Sell_"",""""))),1,IF(REGEXMATCH(C59,""Sell_""),IF(COUNTIF(C$4:C59,SUBSTITUTE(C59,""Sell_"",""""))-COUNTIF(C$4:C58,C59)&lt;1,1),FALSE))))"),FALSE)</f>
        <v>0</v>
      </c>
      <c r="E59" s="59">
        <f t="array" ref="E59">IF(COUNTA(C59:C1673)=0,"",SUM((COUNTIF(C$4:C59,Upgrades!$B$3:$B$13)-COUNTIF(C$4:C59,"Sell_"&amp;Upgrades!$B$3:$B$13))*Upgrades!$D$3:$D$13))</f>
        <v>1248.2</v>
      </c>
      <c r="F59" s="66">
        <f>IFERROR(__xludf.DUMMYFUNCTION("IF(COUNTA(C59:C1673)=0,"""",IF(REGEXMATCH(INDEX(FILTER(C$4:C59,C$4:C59&lt;&gt;""""),ROWS(FILTER(C$4:C59,C$4:C59&lt;&gt;""""))),""^Sell_""),INDEX(FILTER(F$4:F58,C$4:C58&lt;&gt;""""),ROWS(FILTER(C$4:C58,C$4:C58&lt;&gt;""""))),$AC$5+E59))"),1263.2)</f>
        <v>1263.2</v>
      </c>
      <c r="G59" s="10">
        <f>IFERROR(__xludf.DUMMYFUNCTION("IF(COUNTA(C59:C1673)=0,"""",IF(C59="""",0,IF(REGEXMATCH(C59,""^Sell_""),-ROUNDDOWN(ROUNDUP(INDEX(Upgrades!$C$3:$C$13,MATCH(SUBSTITUTE(C59,""Sell_"",""""),Upgrades!$B$3:$B$13,0))*1.15^(COUNTIF(C$4:C58,SUBSTITUTE(C59,""Sell_"",""""))-COUNTIF(C$4:C58,""Sell_"&amp;"""&amp;SUBSTITUTE(C59,""Sell_"",""""))))/2),ROUNDUP(INDEX(Upgrades!$C$3:$C$13,MATCH(C59,Upgrades!$B$3:$B$13,0))*1.15^(COUNTIF(C$4:C58,C59)-COUNTIF(C$4:C58,""Sell_""&amp;C59))))))"),200000.0)</f>
        <v>200000</v>
      </c>
      <c r="H59" s="10">
        <f t="shared" si="3"/>
        <v>200000</v>
      </c>
      <c r="I59" s="68">
        <f t="shared" si="4"/>
        <v>1711.37579</v>
      </c>
      <c r="J59" s="59" t="str">
        <f t="shared" si="5"/>
        <v>28m 31s</v>
      </c>
      <c r="K59" s="69">
        <f t="shared" si="6"/>
        <v>589866</v>
      </c>
      <c r="L59" s="60">
        <f t="shared" si="7"/>
        <v>0</v>
      </c>
      <c r="M59" s="61">
        <f>IFERROR(__xludf.DUMMYFUNCTION("IFS(AND(COUNTA(C59:C1673)=0,COUNTA(Q59:Q1673)=0),"""",OR(AND(K59&gt;=1000000000,OR(Y59&gt;=1000000000,COUNTA(Q59:Q1673)=0)),OR(Y59&gt;=1000000000,AND(COUNTA(C59:C1673)=0,P$3=TRUE))),
ROUNDDOWN((AB$1-AC$1)*MAX(INDEX(T$4:T1673,MATCH(LARGE(FILTER(Y$4:Y1673,Y$4:Y1673&lt;"&amp;"1000000000),1),Y$4:Y1673)),INDEX(F$4:F1673,MATCH(LARGE(FILTER(K$4:K1673,K$4:K1673&lt;1000000000),1),K$4:K1673)))),AND(K59&lt;1000000000,COUNTA(C59:C1673)&gt;0,P$3=FALSE),
ROUNDDOWN(INDEX(Y$4:Y1673,MATCH(LARGE(FILTER(W$4:W1673,W$4:W1673&lt;=I59),1),W$4:W1673))+(I59-LA"&amp;"RGE(FILTER(W$4:W1673,W$4:W1673&lt;=I59),1))*INDEX(T$4:T1673,MATCH(LARGE(FILTER(W$4:W1673,W$4:W1673&lt;=I59),1),W$4:W1673))-K59),1,
ROUNDDOWN(Y59-INDEX(K$4:K1673,MATCH(LARGE(FILTER(I$4:I1673,I$4:I1673&lt;=W59),1),I$4:I1673))-(W59-LARGE(FILTER(I$4:I1673,I$4:I1673&lt;=W"&amp;"59),1))*INDEX(F$4:F1673,MATCH(LARGE(FILTER(I$4:I1673,I$4:I1673&lt;=W59),1),I$4:I1673))))"),0.0)</f>
        <v>0</v>
      </c>
      <c r="N59" s="60">
        <f t="shared" si="8"/>
        <v>0</v>
      </c>
      <c r="O59" s="61">
        <f t="shared" si="9"/>
        <v>0</v>
      </c>
      <c r="P59" s="56">
        <f t="shared" si="10"/>
        <v>1</v>
      </c>
      <c r="Q59" s="67" t="s">
        <v>9</v>
      </c>
      <c r="R59" s="10" t="b">
        <f>IFERROR(__xludf.DUMMYFUNCTION("IF(COUNTA(Q59:Q1673)=0,"""",IF(ISBLANK(Q59),FALSE,IF(NOT(COUNTIF($AA$24:$AA$34,SUBSTITUTE(Q59,""Sell_"",""""))),1,IF(REGEXMATCH(Q59,""Sell_""),IF(COUNTIF(Q$4:Q59,SUBSTITUTE(Q59,""Sell_"",""""))-COUNTIF(Q$4:Q58,Q59)&lt;1,1),FALSE))))"),FALSE)</f>
        <v>0</v>
      </c>
      <c r="S59" s="59">
        <f t="array" ref="S59">IF(COUNTA(Q59:Q1673)=0,"",SUM((COUNTIF(Q$4:Q59,Upgrades!$B$3:$B$13)-COUNTIF(Q$4:Q59,"Sell_"&amp;Upgrades!$B$3:$B$13))*Upgrades!$D$3:$D$13))</f>
        <v>1248.2</v>
      </c>
      <c r="T59" s="66">
        <f>IFERROR(__xludf.DUMMYFUNCTION("IF(COUNTA(Q59:Q1673)=0,"""",IF(REGEXMATCH(INDEX(FILTER(Q$4:Q59,Q$4:Q59&lt;&gt;""""),ROWS(FILTER(Q$4:Q59,Q$4:Q59&lt;&gt;""""))),""^Sell_""),INDEX(FILTER(T$4:T58,Q$4:Q58&lt;&gt;""""),ROWS(FILTER(Q$4:Q58,Q$4:Q58&lt;&gt;""""))),$AD$5+S59))"),1263.2)</f>
        <v>1263.2</v>
      </c>
      <c r="U59" s="10">
        <f>IFERROR(__xludf.DUMMYFUNCTION("IF(COUNTA(Q59:Q1673)=0,"""",IF(Q59="""",0,IF(REGEXMATCH(Q59,""^Sell_""),-ROUNDDOWN(ROUNDUP(INDEX(Upgrades!$C$3:$C$13,MATCH(SUBSTITUTE(Q59,""Sell_"",""""),Upgrades!$B$3:$B$13,0))*1.15^(COUNTIF(Q$4:Q58,SUBSTITUTE(Q59,""Sell_"",""""))-COUNTIF(Q$4:Q58,""Sell_"&amp;"""&amp;SUBSTITUTE(Q59,""Sell_"",""""))))/2),ROUNDUP(INDEX(Upgrades!$C$3:$C$13,MATCH(Q59,Upgrades!$B$3:$B$13,0))*1.15^(COUNTIF(Q$4:Q58,Q59)-COUNTIF(Q$4:Q58,""Sell_""&amp;Q59))))))"),200000.0)</f>
        <v>200000</v>
      </c>
      <c r="V59" s="10">
        <f t="shared" si="11"/>
        <v>200000</v>
      </c>
      <c r="W59" s="68">
        <f t="shared" si="12"/>
        <v>1711.37579</v>
      </c>
      <c r="X59" s="59" t="str">
        <f t="shared" si="13"/>
        <v>28m 31s</v>
      </c>
      <c r="Y59" s="69">
        <f t="shared" si="14"/>
        <v>589866</v>
      </c>
      <c r="Z59" s="11"/>
    </row>
    <row r="60">
      <c r="A60" s="8"/>
      <c r="B60" s="56">
        <f t="shared" si="2"/>
        <v>5</v>
      </c>
      <c r="C60" s="57" t="s">
        <v>8</v>
      </c>
      <c r="D60" s="10" t="b">
        <f>IFERROR(__xludf.DUMMYFUNCTION("IF(COUNTA(C60:C1673)=0,"""",IF(ISBLANK(C60),FALSE,IF(NOT(COUNTIF($AA$24:$AA$34,SUBSTITUTE(C60,""Sell_"",""""))),1,IF(REGEXMATCH(C60,""Sell_""),IF(COUNTIF(C$4:C60,SUBSTITUTE(C60,""Sell_"",""""))-COUNTIF(C$4:C59,C60)&lt;1,1),FALSE))))"),FALSE)</f>
        <v>0</v>
      </c>
      <c r="E60" s="59">
        <f t="array" ref="E60">IF(COUNTA(C60:C1673)=0,"",SUM((COUNTIF(C$4:C60,Upgrades!$B$3:$B$13)-COUNTIF(C$4:C60,"Sell_"&amp;Upgrades!$B$3:$B$13))*Upgrades!$D$3:$D$13))</f>
        <v>1348.2</v>
      </c>
      <c r="F60" s="66">
        <f>IFERROR(__xludf.DUMMYFUNCTION("IF(COUNTA(C60:C1673)=0,"""",IF(REGEXMATCH(INDEX(FILTER(C$4:C60,C$4:C60&lt;&gt;""""),ROWS(FILTER(C$4:C60,C$4:C60&lt;&gt;""""))),""^Sell_""),INDEX(FILTER(F$4:F59,C$4:C59&lt;&gt;""""),ROWS(FILTER(C$4:C59,C$4:C59&lt;&gt;""""))),$AC$5+E60))"),1363.2)</f>
        <v>1363.2</v>
      </c>
      <c r="G60" s="10">
        <f>IFERROR(__xludf.DUMMYFUNCTION("IF(COUNTA(C60:C1673)=0,"""",IF(C60="""",0,IF(REGEXMATCH(C60,""^Sell_""),-ROUNDDOWN(ROUNDUP(INDEX(Upgrades!$C$3:$C$13,MATCH(SUBSTITUTE(C60,""Sell_"",""""),Upgrades!$B$3:$B$13,0))*1.15^(COUNTIF(C$4:C59,SUBSTITUTE(C60,""Sell_"",""""))-COUNTIF(C$4:C59,""Sell_"&amp;"""&amp;SUBSTITUTE(C60,""Sell_"",""""))))/2),ROUNDUP(INDEX(Upgrades!$C$3:$C$13,MATCH(C60,Upgrades!$B$3:$B$13,0))*1.15^(COUNTIF(C$4:C59,C60)-COUNTIF(C$4:C59,""Sell_""&amp;C60))))))"),69961.0)</f>
        <v>69961</v>
      </c>
      <c r="H60" s="10">
        <f t="shared" si="3"/>
        <v>69961</v>
      </c>
      <c r="I60" s="68">
        <f t="shared" si="4"/>
        <v>1766.759736</v>
      </c>
      <c r="J60" s="59" t="str">
        <f t="shared" si="5"/>
        <v>29m 26s</v>
      </c>
      <c r="K60" s="69">
        <f t="shared" si="6"/>
        <v>659827</v>
      </c>
      <c r="L60" s="60">
        <f t="shared" si="7"/>
        <v>0</v>
      </c>
      <c r="M60" s="61">
        <f>IFERROR(__xludf.DUMMYFUNCTION("IFS(AND(COUNTA(C60:C1673)=0,COUNTA(Q60:Q1673)=0),"""",OR(AND(K60&gt;=1000000000,OR(Y60&gt;=1000000000,COUNTA(Q60:Q1673)=0)),OR(Y60&gt;=1000000000,AND(COUNTA(C60:C1673)=0,P$3=TRUE))),
ROUNDDOWN((AB$1-AC$1)*MAX(INDEX(T$4:T1673,MATCH(LARGE(FILTER(Y$4:Y1673,Y$4:Y1673&lt;"&amp;"1000000000),1),Y$4:Y1673)),INDEX(F$4:F1673,MATCH(LARGE(FILTER(K$4:K1673,K$4:K1673&lt;1000000000),1),K$4:K1673)))),AND(K60&lt;1000000000,COUNTA(C60:C1673)&gt;0,P$3=FALSE),
ROUNDDOWN(INDEX(Y$4:Y1673,MATCH(LARGE(FILTER(W$4:W1673,W$4:W1673&lt;=I60),1),W$4:W1673))+(I60-LA"&amp;"RGE(FILTER(W$4:W1673,W$4:W1673&lt;=I60),1))*INDEX(T$4:T1673,MATCH(LARGE(FILTER(W$4:W1673,W$4:W1673&lt;=I60),1),W$4:W1673))-K60),1,
ROUNDDOWN(Y60-INDEX(K$4:K1673,MATCH(LARGE(FILTER(I$4:I1673,I$4:I1673&lt;=W60),1),I$4:I1673))-(W60-LARGE(FILTER(I$4:I1673,I$4:I1673&lt;=W"&amp;"60),1))*INDEX(F$4:F1673,MATCH(LARGE(FILTER(I$4:I1673,I$4:I1673&lt;=W60),1),I$4:I1673))))"),0.0)</f>
        <v>0</v>
      </c>
      <c r="N60" s="60">
        <f t="shared" si="8"/>
        <v>0</v>
      </c>
      <c r="O60" s="61">
        <f t="shared" si="9"/>
        <v>0</v>
      </c>
      <c r="P60" s="56">
        <f t="shared" si="10"/>
        <v>5</v>
      </c>
      <c r="Q60" s="67" t="s">
        <v>8</v>
      </c>
      <c r="R60" s="10" t="b">
        <f>IFERROR(__xludf.DUMMYFUNCTION("IF(COUNTA(Q60:Q1673)=0,"""",IF(ISBLANK(Q60),FALSE,IF(NOT(COUNTIF($AA$24:$AA$34,SUBSTITUTE(Q60,""Sell_"",""""))),1,IF(REGEXMATCH(Q60,""Sell_""),IF(COUNTIF(Q$4:Q60,SUBSTITUTE(Q60,""Sell_"",""""))-COUNTIF(Q$4:Q59,Q60)&lt;1,1),FALSE))))"),FALSE)</f>
        <v>0</v>
      </c>
      <c r="S60" s="59">
        <f t="array" ref="S60">IF(COUNTA(Q60:Q1673)=0,"",SUM((COUNTIF(Q$4:Q60,Upgrades!$B$3:$B$13)-COUNTIF(Q$4:Q60,"Sell_"&amp;Upgrades!$B$3:$B$13))*Upgrades!$D$3:$D$13))</f>
        <v>1348.2</v>
      </c>
      <c r="T60" s="66">
        <f>IFERROR(__xludf.DUMMYFUNCTION("IF(COUNTA(Q60:Q1673)=0,"""",IF(REGEXMATCH(INDEX(FILTER(Q$4:Q60,Q$4:Q60&lt;&gt;""""),ROWS(FILTER(Q$4:Q60,Q$4:Q60&lt;&gt;""""))),""^Sell_""),INDEX(FILTER(T$4:T59,Q$4:Q59&lt;&gt;""""),ROWS(FILTER(Q$4:Q59,Q$4:Q59&lt;&gt;""""))),$AD$5+S60))"),1363.2)</f>
        <v>1363.2</v>
      </c>
      <c r="U60" s="10">
        <f>IFERROR(__xludf.DUMMYFUNCTION("IF(COUNTA(Q60:Q1673)=0,"""",IF(Q60="""",0,IF(REGEXMATCH(Q60,""^Sell_""),-ROUNDDOWN(ROUNDUP(INDEX(Upgrades!$C$3:$C$13,MATCH(SUBSTITUTE(Q60,""Sell_"",""""),Upgrades!$B$3:$B$13,0))*1.15^(COUNTIF(Q$4:Q59,SUBSTITUTE(Q60,""Sell_"",""""))-COUNTIF(Q$4:Q59,""Sell_"&amp;"""&amp;SUBSTITUTE(Q60,""Sell_"",""""))))/2),ROUNDUP(INDEX(Upgrades!$C$3:$C$13,MATCH(Q60,Upgrades!$B$3:$B$13,0))*1.15^(COUNTIF(Q$4:Q59,Q60)-COUNTIF(Q$4:Q59,""Sell_""&amp;Q60))))))"),69961.0)</f>
        <v>69961</v>
      </c>
      <c r="V60" s="10">
        <f t="shared" si="11"/>
        <v>69961</v>
      </c>
      <c r="W60" s="68">
        <f t="shared" si="12"/>
        <v>1766.759736</v>
      </c>
      <c r="X60" s="59" t="str">
        <f t="shared" si="13"/>
        <v>29m 26s</v>
      </c>
      <c r="Y60" s="69">
        <f t="shared" si="14"/>
        <v>659827</v>
      </c>
      <c r="Z60" s="11"/>
    </row>
    <row r="61">
      <c r="A61" s="8"/>
      <c r="B61" s="56">
        <f t="shared" si="2"/>
        <v>2</v>
      </c>
      <c r="C61" s="57" t="s">
        <v>9</v>
      </c>
      <c r="D61" s="10" t="b">
        <f>IFERROR(__xludf.DUMMYFUNCTION("IF(COUNTA(C61:C1673)=0,"""",IF(ISBLANK(C61),FALSE,IF(NOT(COUNTIF($AA$24:$AA$34,SUBSTITUTE(C61,""Sell_"",""""))),1,IF(REGEXMATCH(C61,""Sell_""),IF(COUNTIF(C$4:C61,SUBSTITUTE(C61,""Sell_"",""""))-COUNTIF(C$4:C60,C61)&lt;1,1),FALSE))))"),FALSE)</f>
        <v>0</v>
      </c>
      <c r="E61" s="59">
        <f t="array" ref="E61">IF(COUNTA(C61:C1673)=0,"",SUM((COUNTIF(C$4:C61,Upgrades!$B$3:$B$13)-COUNTIF(C$4:C61,"Sell_"&amp;Upgrades!$B$3:$B$13))*Upgrades!$D$3:$D$13))</f>
        <v>1748.2</v>
      </c>
      <c r="F61" s="66">
        <f>IFERROR(__xludf.DUMMYFUNCTION("IF(COUNTA(C61:C1673)=0,"""",IF(REGEXMATCH(INDEX(FILTER(C$4:C61,C$4:C61&lt;&gt;""""),ROWS(FILTER(C$4:C61,C$4:C61&lt;&gt;""""))),""^Sell_""),INDEX(FILTER(F$4:F60,C$4:C60&lt;&gt;""""),ROWS(FILTER(C$4:C60,C$4:C60&lt;&gt;""""))),$AC$5+E61))"),1763.2)</f>
        <v>1763.2</v>
      </c>
      <c r="G61" s="10">
        <f>IFERROR(__xludf.DUMMYFUNCTION("IF(COUNTA(C61:C1673)=0,"""",IF(C61="""",0,IF(REGEXMATCH(C61,""^Sell_""),-ROUNDDOWN(ROUNDUP(INDEX(Upgrades!$C$3:$C$13,MATCH(SUBSTITUTE(C61,""Sell_"",""""),Upgrades!$B$3:$B$13,0))*1.15^(COUNTIF(C$4:C60,SUBSTITUTE(C61,""Sell_"",""""))-COUNTIF(C$4:C60,""Sell_"&amp;"""&amp;SUBSTITUTE(C61,""Sell_"",""""))))/2),ROUNDUP(INDEX(Upgrades!$C$3:$C$13,MATCH(C61,Upgrades!$B$3:$B$13,0))*1.15^(COUNTIF(C$4:C60,C61)-COUNTIF(C$4:C60,""Sell_""&amp;C61))))))"),230000.0)</f>
        <v>230000</v>
      </c>
      <c r="H61" s="10">
        <f t="shared" si="3"/>
        <v>230000</v>
      </c>
      <c r="I61" s="68">
        <f t="shared" si="4"/>
        <v>1935.480393</v>
      </c>
      <c r="J61" s="59" t="str">
        <f t="shared" si="5"/>
        <v>32m 15s</v>
      </c>
      <c r="K61" s="69">
        <f t="shared" si="6"/>
        <v>889827</v>
      </c>
      <c r="L61" s="60">
        <f t="shared" si="7"/>
        <v>0</v>
      </c>
      <c r="M61" s="61">
        <f>IFERROR(__xludf.DUMMYFUNCTION("IFS(AND(COUNTA(C61:C1673)=0,COUNTA(Q61:Q1673)=0),"""",OR(AND(K61&gt;=1000000000,OR(Y61&gt;=1000000000,COUNTA(Q61:Q1673)=0)),OR(Y61&gt;=1000000000,AND(COUNTA(C61:C1673)=0,P$3=TRUE))),
ROUNDDOWN((AB$1-AC$1)*MAX(INDEX(T$4:T1673,MATCH(LARGE(FILTER(Y$4:Y1673,Y$4:Y1673&lt;"&amp;"1000000000),1),Y$4:Y1673)),INDEX(F$4:F1673,MATCH(LARGE(FILTER(K$4:K1673,K$4:K1673&lt;1000000000),1),K$4:K1673)))),AND(K61&lt;1000000000,COUNTA(C61:C1673)&gt;0,P$3=FALSE),
ROUNDDOWN(INDEX(Y$4:Y1673,MATCH(LARGE(FILTER(W$4:W1673,W$4:W1673&lt;=I61),1),W$4:W1673))+(I61-LA"&amp;"RGE(FILTER(W$4:W1673,W$4:W1673&lt;=I61),1))*INDEX(T$4:T1673,MATCH(LARGE(FILTER(W$4:W1673,W$4:W1673&lt;=I61),1),W$4:W1673))-K61),1,
ROUNDDOWN(Y61-INDEX(K$4:K1673,MATCH(LARGE(FILTER(I$4:I1673,I$4:I1673&lt;=W61),1),I$4:I1673))-(W61-LARGE(FILTER(I$4:I1673,I$4:I1673&lt;=W"&amp;"61),1))*INDEX(F$4:F1673,MATCH(LARGE(FILTER(I$4:I1673,I$4:I1673&lt;=W61),1),I$4:I1673))))"),0.0)</f>
        <v>0</v>
      </c>
      <c r="N61" s="60">
        <f t="shared" si="8"/>
        <v>0</v>
      </c>
      <c r="O61" s="61">
        <f t="shared" si="9"/>
        <v>0</v>
      </c>
      <c r="P61" s="56">
        <f t="shared" si="10"/>
        <v>2</v>
      </c>
      <c r="Q61" s="67" t="s">
        <v>9</v>
      </c>
      <c r="R61" s="10" t="b">
        <f>IFERROR(__xludf.DUMMYFUNCTION("IF(COUNTA(Q61:Q1673)=0,"""",IF(ISBLANK(Q61),FALSE,IF(NOT(COUNTIF($AA$24:$AA$34,SUBSTITUTE(Q61,""Sell_"",""""))),1,IF(REGEXMATCH(Q61,""Sell_""),IF(COUNTIF(Q$4:Q61,SUBSTITUTE(Q61,""Sell_"",""""))-COUNTIF(Q$4:Q60,Q61)&lt;1,1),FALSE))))"),FALSE)</f>
        <v>0</v>
      </c>
      <c r="S61" s="59">
        <f t="array" ref="S61">IF(COUNTA(Q61:Q1673)=0,"",SUM((COUNTIF(Q$4:Q61,Upgrades!$B$3:$B$13)-COUNTIF(Q$4:Q61,"Sell_"&amp;Upgrades!$B$3:$B$13))*Upgrades!$D$3:$D$13))</f>
        <v>1748.2</v>
      </c>
      <c r="T61" s="66">
        <f>IFERROR(__xludf.DUMMYFUNCTION("IF(COUNTA(Q61:Q1673)=0,"""",IF(REGEXMATCH(INDEX(FILTER(Q$4:Q61,Q$4:Q61&lt;&gt;""""),ROWS(FILTER(Q$4:Q61,Q$4:Q61&lt;&gt;""""))),""^Sell_""),INDEX(FILTER(T$4:T60,Q$4:Q60&lt;&gt;""""),ROWS(FILTER(Q$4:Q60,Q$4:Q60&lt;&gt;""""))),$AD$5+S61))"),1763.2)</f>
        <v>1763.2</v>
      </c>
      <c r="U61" s="10">
        <f>IFERROR(__xludf.DUMMYFUNCTION("IF(COUNTA(Q61:Q1673)=0,"""",IF(Q61="""",0,IF(REGEXMATCH(Q61,""^Sell_""),-ROUNDDOWN(ROUNDUP(INDEX(Upgrades!$C$3:$C$13,MATCH(SUBSTITUTE(Q61,""Sell_"",""""),Upgrades!$B$3:$B$13,0))*1.15^(COUNTIF(Q$4:Q60,SUBSTITUTE(Q61,""Sell_"",""""))-COUNTIF(Q$4:Q60,""Sell_"&amp;"""&amp;SUBSTITUTE(Q61,""Sell_"",""""))))/2),ROUNDUP(INDEX(Upgrades!$C$3:$C$13,MATCH(Q61,Upgrades!$B$3:$B$13,0))*1.15^(COUNTIF(Q$4:Q60,Q61)-COUNTIF(Q$4:Q60,""Sell_""&amp;Q61))))))"),230000.0)</f>
        <v>230000</v>
      </c>
      <c r="V61" s="10">
        <f t="shared" si="11"/>
        <v>230000</v>
      </c>
      <c r="W61" s="68">
        <f t="shared" si="12"/>
        <v>1935.480393</v>
      </c>
      <c r="X61" s="59" t="str">
        <f t="shared" si="13"/>
        <v>32m 15s</v>
      </c>
      <c r="Y61" s="69">
        <f t="shared" si="14"/>
        <v>889827</v>
      </c>
      <c r="Z61" s="11"/>
    </row>
    <row r="62">
      <c r="A62" s="8"/>
      <c r="B62" s="56">
        <f t="shared" si="2"/>
        <v>14</v>
      </c>
      <c r="C62" s="57" t="s">
        <v>5</v>
      </c>
      <c r="D62" s="10" t="b">
        <f>IFERROR(__xludf.DUMMYFUNCTION("IF(COUNTA(C62:C1673)=0,"""",IF(ISBLANK(C62),FALSE,IF(NOT(COUNTIF($AA$24:$AA$34,SUBSTITUTE(C62,""Sell_"",""""))),1,IF(REGEXMATCH(C62,""Sell_""),IF(COUNTIF(C$4:C62,SUBSTITUTE(C62,""Sell_"",""""))-COUNTIF(C$4:C61,C62)&lt;1,1),FALSE))))"),FALSE)</f>
        <v>0</v>
      </c>
      <c r="E62" s="59">
        <f t="array" ref="E62">IF(COUNTA(C62:C1673)=0,"",SUM((COUNTIF(C$4:C62,Upgrades!$B$3:$B$13)-COUNTIF(C$4:C62,"Sell_"&amp;Upgrades!$B$3:$B$13))*Upgrades!$D$3:$D$13))</f>
        <v>1752.2</v>
      </c>
      <c r="F62" s="66">
        <f>IFERROR(__xludf.DUMMYFUNCTION("IF(COUNTA(C62:C1673)=0,"""",IF(REGEXMATCH(INDEX(FILTER(C$4:C62,C$4:C62&lt;&gt;""""),ROWS(FILTER(C$4:C62,C$4:C62&lt;&gt;""""))),""^Sell_""),INDEX(FILTER(F$4:F61,C$4:C61&lt;&gt;""""),ROWS(FILTER(C$4:C61,C$4:C61&lt;&gt;""""))),$AC$5+E62))"),1767.2)</f>
        <v>1767.2</v>
      </c>
      <c r="G62" s="10">
        <f>IFERROR(__xludf.DUMMYFUNCTION("IF(COUNTA(C62:C1673)=0,"""",IF(C62="""",0,IF(REGEXMATCH(C62,""^Sell_""),-ROUNDDOWN(ROUNDUP(INDEX(Upgrades!$C$3:$C$13,MATCH(SUBSTITUTE(C62,""Sell_"",""""),Upgrades!$B$3:$B$13,0))*1.15^(COUNTIF(C$4:C61,SUBSTITUTE(C62,""Sell_"",""""))-COUNTIF(C$4:C61,""Sell_"&amp;"""&amp;SUBSTITUTE(C62,""Sell_"",""""))))/2),ROUNDUP(INDEX(Upgrades!$C$3:$C$13,MATCH(C62,Upgrades!$B$3:$B$13,0))*1.15^(COUNTIF(C$4:C61,C62)-COUNTIF(C$4:C61,""Sell_""&amp;C62))))))"),3077.0)</f>
        <v>3077</v>
      </c>
      <c r="H62" s="10">
        <f t="shared" si="3"/>
        <v>3077</v>
      </c>
      <c r="I62" s="68">
        <f t="shared" si="4"/>
        <v>1937.225515</v>
      </c>
      <c r="J62" s="59" t="str">
        <f t="shared" si="5"/>
        <v>32m 17s</v>
      </c>
      <c r="K62" s="69">
        <f t="shared" si="6"/>
        <v>892904</v>
      </c>
      <c r="L62" s="60">
        <f t="shared" si="7"/>
        <v>0</v>
      </c>
      <c r="M62" s="61">
        <f>IFERROR(__xludf.DUMMYFUNCTION("IFS(AND(COUNTA(C62:C1673)=0,COUNTA(Q62:Q1673)=0),"""",OR(AND(K62&gt;=1000000000,OR(Y62&gt;=1000000000,COUNTA(Q62:Q1673)=0)),OR(Y62&gt;=1000000000,AND(COUNTA(C62:C1673)=0,P$3=TRUE))),
ROUNDDOWN((AB$1-AC$1)*MAX(INDEX(T$4:T1673,MATCH(LARGE(FILTER(Y$4:Y1673,Y$4:Y1673&lt;"&amp;"1000000000),1),Y$4:Y1673)),INDEX(F$4:F1673,MATCH(LARGE(FILTER(K$4:K1673,K$4:K1673&lt;1000000000),1),K$4:K1673)))),AND(K62&lt;1000000000,COUNTA(C62:C1673)&gt;0,P$3=FALSE),
ROUNDDOWN(INDEX(Y$4:Y1673,MATCH(LARGE(FILTER(W$4:W1673,W$4:W1673&lt;=I62),1),W$4:W1673))+(I62-LA"&amp;"RGE(FILTER(W$4:W1673,W$4:W1673&lt;=I62),1))*INDEX(T$4:T1673,MATCH(LARGE(FILTER(W$4:W1673,W$4:W1673&lt;=I62),1),W$4:W1673))-K62),1,
ROUNDDOWN(Y62-INDEX(K$4:K1673,MATCH(LARGE(FILTER(I$4:I1673,I$4:I1673&lt;=W62),1),I$4:I1673))-(W62-LARGE(FILTER(I$4:I1673,I$4:I1673&lt;=W"&amp;"62),1))*INDEX(F$4:F1673,MATCH(LARGE(FILTER(I$4:I1673,I$4:I1673&lt;=W62),1),I$4:I1673))))"),0.0)</f>
        <v>0</v>
      </c>
      <c r="N62" s="60">
        <f t="shared" si="8"/>
        <v>0</v>
      </c>
      <c r="O62" s="61">
        <f t="shared" si="9"/>
        <v>0</v>
      </c>
      <c r="P62" s="56">
        <f t="shared" si="10"/>
        <v>14</v>
      </c>
      <c r="Q62" s="67" t="s">
        <v>5</v>
      </c>
      <c r="R62" s="10" t="b">
        <f>IFERROR(__xludf.DUMMYFUNCTION("IF(COUNTA(Q62:Q1673)=0,"""",IF(ISBLANK(Q62),FALSE,IF(NOT(COUNTIF($AA$24:$AA$34,SUBSTITUTE(Q62,""Sell_"",""""))),1,IF(REGEXMATCH(Q62,""Sell_""),IF(COUNTIF(Q$4:Q62,SUBSTITUTE(Q62,""Sell_"",""""))-COUNTIF(Q$4:Q61,Q62)&lt;1,1),FALSE))))"),FALSE)</f>
        <v>0</v>
      </c>
      <c r="S62" s="59">
        <f t="array" ref="S62">IF(COUNTA(Q62:Q1673)=0,"",SUM((COUNTIF(Q$4:Q62,Upgrades!$B$3:$B$13)-COUNTIF(Q$4:Q62,"Sell_"&amp;Upgrades!$B$3:$B$13))*Upgrades!$D$3:$D$13))</f>
        <v>1752.2</v>
      </c>
      <c r="T62" s="66">
        <f>IFERROR(__xludf.DUMMYFUNCTION("IF(COUNTA(Q62:Q1673)=0,"""",IF(REGEXMATCH(INDEX(FILTER(Q$4:Q62,Q$4:Q62&lt;&gt;""""),ROWS(FILTER(Q$4:Q62,Q$4:Q62&lt;&gt;""""))),""^Sell_""),INDEX(FILTER(T$4:T61,Q$4:Q61&lt;&gt;""""),ROWS(FILTER(Q$4:Q61,Q$4:Q61&lt;&gt;""""))),$AD$5+S62))"),1767.2)</f>
        <v>1767.2</v>
      </c>
      <c r="U62" s="10">
        <f>IFERROR(__xludf.DUMMYFUNCTION("IF(COUNTA(Q62:Q1673)=0,"""",IF(Q62="""",0,IF(REGEXMATCH(Q62,""^Sell_""),-ROUNDDOWN(ROUNDUP(INDEX(Upgrades!$C$3:$C$13,MATCH(SUBSTITUTE(Q62,""Sell_"",""""),Upgrades!$B$3:$B$13,0))*1.15^(COUNTIF(Q$4:Q61,SUBSTITUTE(Q62,""Sell_"",""""))-COUNTIF(Q$4:Q61,""Sell_"&amp;"""&amp;SUBSTITUTE(Q62,""Sell_"",""""))))/2),ROUNDUP(INDEX(Upgrades!$C$3:$C$13,MATCH(Q62,Upgrades!$B$3:$B$13,0))*1.15^(COUNTIF(Q$4:Q61,Q62)-COUNTIF(Q$4:Q61,""Sell_""&amp;Q62))))))"),3077.0)</f>
        <v>3077</v>
      </c>
      <c r="V62" s="10">
        <f t="shared" si="11"/>
        <v>3077</v>
      </c>
      <c r="W62" s="68">
        <f t="shared" si="12"/>
        <v>1937.225515</v>
      </c>
      <c r="X62" s="59" t="str">
        <f t="shared" si="13"/>
        <v>32m 17s</v>
      </c>
      <c r="Y62" s="69">
        <f t="shared" si="14"/>
        <v>892904</v>
      </c>
      <c r="Z62" s="11"/>
    </row>
    <row r="63">
      <c r="A63" s="8"/>
      <c r="B63" s="56">
        <f t="shared" si="2"/>
        <v>9</v>
      </c>
      <c r="C63" s="57" t="s">
        <v>7</v>
      </c>
      <c r="D63" s="10" t="b">
        <f>IFERROR(__xludf.DUMMYFUNCTION("IF(COUNTA(C63:C1673)=0,"""",IF(ISBLANK(C63),FALSE,IF(NOT(COUNTIF($AA$24:$AA$34,SUBSTITUTE(C63,""Sell_"",""""))),1,IF(REGEXMATCH(C63,""Sell_""),IF(COUNTIF(C$4:C63,SUBSTITUTE(C63,""Sell_"",""""))-COUNTIF(C$4:C62,C63)&lt;1,1),FALSE))))"),FALSE)</f>
        <v>0</v>
      </c>
      <c r="E63" s="59">
        <f t="array" ref="E63">IF(COUNTA(C63:C1673)=0,"",SUM((COUNTIF(C$4:C63,Upgrades!$B$3:$B$13)-COUNTIF(C$4:C63,"Sell_"&amp;Upgrades!$B$3:$B$13))*Upgrades!$D$3:$D$13))</f>
        <v>1792.2</v>
      </c>
      <c r="F63" s="66">
        <f>IFERROR(__xludf.DUMMYFUNCTION("IF(COUNTA(C63:C1673)=0,"""",IF(REGEXMATCH(INDEX(FILTER(C$4:C63,C$4:C63&lt;&gt;""""),ROWS(FILTER(C$4:C63,C$4:C63&lt;&gt;""""))),""^Sell_""),INDEX(FILTER(F$4:F62,C$4:C62&lt;&gt;""""),ROWS(FILTER(C$4:C62,C$4:C62&lt;&gt;""""))),$AC$5+E63))"),1807.2)</f>
        <v>1807.2</v>
      </c>
      <c r="G63" s="10">
        <f>IFERROR(__xludf.DUMMYFUNCTION("IF(COUNTA(C63:C1673)=0,"""",IF(C63="""",0,IF(REGEXMATCH(C63,""^Sell_""),-ROUNDDOWN(ROUNDUP(INDEX(Upgrades!$C$3:$C$13,MATCH(SUBSTITUTE(C63,""Sell_"",""""),Upgrades!$B$3:$B$13,0))*1.15^(COUNTIF(C$4:C62,SUBSTITUTE(C63,""Sell_"",""""))-COUNTIF(C$4:C62,""Sell_"&amp;"""&amp;SUBSTITUTE(C63,""Sell_"",""""))))/2),ROUNDUP(INDEX(Upgrades!$C$3:$C$13,MATCH(C63,Upgrades!$B$3:$B$13,0))*1.15^(COUNTIF(C$4:C62,C63)-COUNTIF(C$4:C62,""Sell_""&amp;C63))))))"),30591.0)</f>
        <v>30591</v>
      </c>
      <c r="H63" s="10">
        <f t="shared" si="3"/>
        <v>30591</v>
      </c>
      <c r="I63" s="68">
        <f t="shared" si="4"/>
        <v>1954.53595</v>
      </c>
      <c r="J63" s="59" t="str">
        <f t="shared" si="5"/>
        <v>32m 34s</v>
      </c>
      <c r="K63" s="69">
        <f t="shared" si="6"/>
        <v>923495</v>
      </c>
      <c r="L63" s="60">
        <f t="shared" si="7"/>
        <v>0</v>
      </c>
      <c r="M63" s="61">
        <f>IFERROR(__xludf.DUMMYFUNCTION("IFS(AND(COUNTA(C63:C1673)=0,COUNTA(Q63:Q1673)=0),"""",OR(AND(K63&gt;=1000000000,OR(Y63&gt;=1000000000,COUNTA(Q63:Q1673)=0)),OR(Y63&gt;=1000000000,AND(COUNTA(C63:C1673)=0,P$3=TRUE))),
ROUNDDOWN((AB$1-AC$1)*MAX(INDEX(T$4:T1673,MATCH(LARGE(FILTER(Y$4:Y1673,Y$4:Y1673&lt;"&amp;"1000000000),1),Y$4:Y1673)),INDEX(F$4:F1673,MATCH(LARGE(FILTER(K$4:K1673,K$4:K1673&lt;1000000000),1),K$4:K1673)))),AND(K63&lt;1000000000,COUNTA(C63:C1673)&gt;0,P$3=FALSE),
ROUNDDOWN(INDEX(Y$4:Y1673,MATCH(LARGE(FILTER(W$4:W1673,W$4:W1673&lt;=I63),1),W$4:W1673))+(I63-LA"&amp;"RGE(FILTER(W$4:W1673,W$4:W1673&lt;=I63),1))*INDEX(T$4:T1673,MATCH(LARGE(FILTER(W$4:W1673,W$4:W1673&lt;=I63),1),W$4:W1673))-K63),1,
ROUNDDOWN(Y63-INDEX(K$4:K1673,MATCH(LARGE(FILTER(I$4:I1673,I$4:I1673&lt;=W63),1),I$4:I1673))-(W63-LARGE(FILTER(I$4:I1673,I$4:I1673&lt;=W"&amp;"63),1))*INDEX(F$4:F1673,MATCH(LARGE(FILTER(I$4:I1673,I$4:I1673&lt;=W63),1),I$4:I1673))))"),0.0)</f>
        <v>0</v>
      </c>
      <c r="N63" s="60">
        <f t="shared" si="8"/>
        <v>0</v>
      </c>
      <c r="O63" s="61">
        <f t="shared" si="9"/>
        <v>0</v>
      </c>
      <c r="P63" s="56">
        <f t="shared" si="10"/>
        <v>9</v>
      </c>
      <c r="Q63" s="67" t="s">
        <v>7</v>
      </c>
      <c r="R63" s="10" t="b">
        <f>IFERROR(__xludf.DUMMYFUNCTION("IF(COUNTA(Q63:Q1673)=0,"""",IF(ISBLANK(Q63),FALSE,IF(NOT(COUNTIF($AA$24:$AA$34,SUBSTITUTE(Q63,""Sell_"",""""))),1,IF(REGEXMATCH(Q63,""Sell_""),IF(COUNTIF(Q$4:Q63,SUBSTITUTE(Q63,""Sell_"",""""))-COUNTIF(Q$4:Q62,Q63)&lt;1,1),FALSE))))"),FALSE)</f>
        <v>0</v>
      </c>
      <c r="S63" s="59">
        <f t="array" ref="S63">IF(COUNTA(Q63:Q1673)=0,"",SUM((COUNTIF(Q$4:Q63,Upgrades!$B$3:$B$13)-COUNTIF(Q$4:Q63,"Sell_"&amp;Upgrades!$B$3:$B$13))*Upgrades!$D$3:$D$13))</f>
        <v>1792.2</v>
      </c>
      <c r="T63" s="66">
        <f>IFERROR(__xludf.DUMMYFUNCTION("IF(COUNTA(Q63:Q1673)=0,"""",IF(REGEXMATCH(INDEX(FILTER(Q$4:Q63,Q$4:Q63&lt;&gt;""""),ROWS(FILTER(Q$4:Q63,Q$4:Q63&lt;&gt;""""))),""^Sell_""),INDEX(FILTER(T$4:T62,Q$4:Q62&lt;&gt;""""),ROWS(FILTER(Q$4:Q62,Q$4:Q62&lt;&gt;""""))),$AD$5+S63))"),1807.2)</f>
        <v>1807.2</v>
      </c>
      <c r="U63" s="10">
        <f>IFERROR(__xludf.DUMMYFUNCTION("IF(COUNTA(Q63:Q1673)=0,"""",IF(Q63="""",0,IF(REGEXMATCH(Q63,""^Sell_""),-ROUNDDOWN(ROUNDUP(INDEX(Upgrades!$C$3:$C$13,MATCH(SUBSTITUTE(Q63,""Sell_"",""""),Upgrades!$B$3:$B$13,0))*1.15^(COUNTIF(Q$4:Q62,SUBSTITUTE(Q63,""Sell_"",""""))-COUNTIF(Q$4:Q62,""Sell_"&amp;"""&amp;SUBSTITUTE(Q63,""Sell_"",""""))))/2),ROUNDUP(INDEX(Upgrades!$C$3:$C$13,MATCH(Q63,Upgrades!$B$3:$B$13,0))*1.15^(COUNTIF(Q$4:Q62,Q63)-COUNTIF(Q$4:Q62,""Sell_""&amp;Q63))))))"),30591.0)</f>
        <v>30591</v>
      </c>
      <c r="V63" s="10">
        <f t="shared" si="11"/>
        <v>30591</v>
      </c>
      <c r="W63" s="68">
        <f t="shared" si="12"/>
        <v>1954.53595</v>
      </c>
      <c r="X63" s="59" t="str">
        <f t="shared" si="13"/>
        <v>32m 34s</v>
      </c>
      <c r="Y63" s="69">
        <f t="shared" si="14"/>
        <v>923495</v>
      </c>
      <c r="Z63" s="11"/>
    </row>
    <row r="64">
      <c r="A64" s="8"/>
      <c r="B64" s="56">
        <f t="shared" si="2"/>
        <v>8</v>
      </c>
      <c r="C64" s="57" t="s">
        <v>6</v>
      </c>
      <c r="D64" s="10" t="b">
        <f>IFERROR(__xludf.DUMMYFUNCTION("IF(COUNTA(C64:C1673)=0,"""",IF(ISBLANK(C64),FALSE,IF(NOT(COUNTIF($AA$24:$AA$34,SUBSTITUTE(C64,""Sell_"",""""))),1,IF(REGEXMATCH(C64,""Sell_""),IF(COUNTIF(C$4:C64,SUBSTITUTE(C64,""Sell_"",""""))-COUNTIF(C$4:C63,C64)&lt;1,1),FALSE))))"),FALSE)</f>
        <v>0</v>
      </c>
      <c r="E64" s="59">
        <f t="array" ref="E64">IF(COUNTA(C64:C1673)=0,"",SUM((COUNTIF(C$4:C64,Upgrades!$B$3:$B$13)-COUNTIF(C$4:C64,"Sell_"&amp;Upgrades!$B$3:$B$13))*Upgrades!$D$3:$D$13))</f>
        <v>1802.2</v>
      </c>
      <c r="F64" s="66">
        <f>IFERROR(__xludf.DUMMYFUNCTION("IF(COUNTA(C64:C1673)=0,"""",IF(REGEXMATCH(INDEX(FILTER(C$4:C64,C$4:C64&lt;&gt;""""),ROWS(FILTER(C$4:C64,C$4:C64&lt;&gt;""""))),""^Sell_""),INDEX(FILTER(F$4:F63,C$4:C63&lt;&gt;""""),ROWS(FILTER(C$4:C63,C$4:C63&lt;&gt;""""))),$AC$5+E64))"),1817.2)</f>
        <v>1817.2</v>
      </c>
      <c r="G64" s="10">
        <f>IFERROR(__xludf.DUMMYFUNCTION("IF(COUNTA(C64:C1673)=0,"""",IF(C64="""",0,IF(REGEXMATCH(C64,""^Sell_""),-ROUNDDOWN(ROUNDUP(INDEX(Upgrades!$C$3:$C$13,MATCH(SUBSTITUTE(C64,""Sell_"",""""),Upgrades!$B$3:$B$13,0))*1.15^(COUNTIF(C$4:C63,SUBSTITUTE(C64,""Sell_"",""""))-COUNTIF(C$4:C63,""Sell_"&amp;"""&amp;SUBSTITUTE(C64,""Sell_"",""""))))/2),ROUNDUP(INDEX(Upgrades!$C$3:$C$13,MATCH(C64,Upgrades!$B$3:$B$13,0))*1.15^(COUNTIF(C$4:C63,C64)-COUNTIF(C$4:C63,""Sell_""&amp;C64))))))"),7981.0)</f>
        <v>7981</v>
      </c>
      <c r="H64" s="10">
        <f t="shared" si="3"/>
        <v>7981</v>
      </c>
      <c r="I64" s="68">
        <f t="shared" si="4"/>
        <v>1958.952174</v>
      </c>
      <c r="J64" s="59" t="str">
        <f t="shared" si="5"/>
        <v>32m 38s</v>
      </c>
      <c r="K64" s="69">
        <f t="shared" si="6"/>
        <v>931476</v>
      </c>
      <c r="L64" s="60">
        <f t="shared" si="7"/>
        <v>0</v>
      </c>
      <c r="M64" s="61">
        <f>IFERROR(__xludf.DUMMYFUNCTION("IFS(AND(COUNTA(C64:C1673)=0,COUNTA(Q64:Q1673)=0),"""",OR(AND(K64&gt;=1000000000,OR(Y64&gt;=1000000000,COUNTA(Q64:Q1673)=0)),OR(Y64&gt;=1000000000,AND(COUNTA(C64:C1673)=0,P$3=TRUE))),
ROUNDDOWN((AB$1-AC$1)*MAX(INDEX(T$4:T1673,MATCH(LARGE(FILTER(Y$4:Y1673,Y$4:Y1673&lt;"&amp;"1000000000),1),Y$4:Y1673)),INDEX(F$4:F1673,MATCH(LARGE(FILTER(K$4:K1673,K$4:K1673&lt;1000000000),1),K$4:K1673)))),AND(K64&lt;1000000000,COUNTA(C64:C1673)&gt;0,P$3=FALSE),
ROUNDDOWN(INDEX(Y$4:Y1673,MATCH(LARGE(FILTER(W$4:W1673,W$4:W1673&lt;=I64),1),W$4:W1673))+(I64-LA"&amp;"RGE(FILTER(W$4:W1673,W$4:W1673&lt;=I64),1))*INDEX(T$4:T1673,MATCH(LARGE(FILTER(W$4:W1673,W$4:W1673&lt;=I64),1),W$4:W1673))-K64),1,
ROUNDDOWN(Y64-INDEX(K$4:K1673,MATCH(LARGE(FILTER(I$4:I1673,I$4:I1673&lt;=W64),1),I$4:I1673))-(W64-LARGE(FILTER(I$4:I1673,I$4:I1673&lt;=W"&amp;"64),1))*INDEX(F$4:F1673,MATCH(LARGE(FILTER(I$4:I1673,I$4:I1673&lt;=W64),1),I$4:I1673))))"),0.0)</f>
        <v>0</v>
      </c>
      <c r="N64" s="60">
        <f t="shared" si="8"/>
        <v>0</v>
      </c>
      <c r="O64" s="61">
        <f t="shared" si="9"/>
        <v>0</v>
      </c>
      <c r="P64" s="56">
        <f t="shared" si="10"/>
        <v>8</v>
      </c>
      <c r="Q64" s="67" t="s">
        <v>6</v>
      </c>
      <c r="R64" s="10" t="b">
        <f>IFERROR(__xludf.DUMMYFUNCTION("IF(COUNTA(Q64:Q1673)=0,"""",IF(ISBLANK(Q64),FALSE,IF(NOT(COUNTIF($AA$24:$AA$34,SUBSTITUTE(Q64,""Sell_"",""""))),1,IF(REGEXMATCH(Q64,""Sell_""),IF(COUNTIF(Q$4:Q64,SUBSTITUTE(Q64,""Sell_"",""""))-COUNTIF(Q$4:Q63,Q64)&lt;1,1),FALSE))))"),FALSE)</f>
        <v>0</v>
      </c>
      <c r="S64" s="59">
        <f t="array" ref="S64">IF(COUNTA(Q64:Q1673)=0,"",SUM((COUNTIF(Q$4:Q64,Upgrades!$B$3:$B$13)-COUNTIF(Q$4:Q64,"Sell_"&amp;Upgrades!$B$3:$B$13))*Upgrades!$D$3:$D$13))</f>
        <v>1802.2</v>
      </c>
      <c r="T64" s="66">
        <f>IFERROR(__xludf.DUMMYFUNCTION("IF(COUNTA(Q64:Q1673)=0,"""",IF(REGEXMATCH(INDEX(FILTER(Q$4:Q64,Q$4:Q64&lt;&gt;""""),ROWS(FILTER(Q$4:Q64,Q$4:Q64&lt;&gt;""""))),""^Sell_""),INDEX(FILTER(T$4:T63,Q$4:Q63&lt;&gt;""""),ROWS(FILTER(Q$4:Q63,Q$4:Q63&lt;&gt;""""))),$AD$5+S64))"),1817.2)</f>
        <v>1817.2</v>
      </c>
      <c r="U64" s="10">
        <f>IFERROR(__xludf.DUMMYFUNCTION("IF(COUNTA(Q64:Q1673)=0,"""",IF(Q64="""",0,IF(REGEXMATCH(Q64,""^Sell_""),-ROUNDDOWN(ROUNDUP(INDEX(Upgrades!$C$3:$C$13,MATCH(SUBSTITUTE(Q64,""Sell_"",""""),Upgrades!$B$3:$B$13,0))*1.15^(COUNTIF(Q$4:Q63,SUBSTITUTE(Q64,""Sell_"",""""))-COUNTIF(Q$4:Q63,""Sell_"&amp;"""&amp;SUBSTITUTE(Q64,""Sell_"",""""))))/2),ROUNDUP(INDEX(Upgrades!$C$3:$C$13,MATCH(Q64,Upgrades!$B$3:$B$13,0))*1.15^(COUNTIF(Q$4:Q63,Q64)-COUNTIF(Q$4:Q63,""Sell_""&amp;Q64))))))"),7981.0)</f>
        <v>7981</v>
      </c>
      <c r="V64" s="10">
        <f t="shared" si="11"/>
        <v>7981</v>
      </c>
      <c r="W64" s="68">
        <f t="shared" si="12"/>
        <v>1958.952174</v>
      </c>
      <c r="X64" s="59" t="str">
        <f t="shared" si="13"/>
        <v>32m 38s</v>
      </c>
      <c r="Y64" s="69">
        <f t="shared" si="14"/>
        <v>931476</v>
      </c>
      <c r="Z64" s="11"/>
    </row>
    <row r="65">
      <c r="A65" s="8"/>
      <c r="B65" s="56">
        <f t="shared" si="2"/>
        <v>3</v>
      </c>
      <c r="C65" s="57" t="s">
        <v>9</v>
      </c>
      <c r="D65" s="10" t="b">
        <f>IFERROR(__xludf.DUMMYFUNCTION("IF(COUNTA(C65:C1673)=0,"""",IF(ISBLANK(C65),FALSE,IF(NOT(COUNTIF($AA$24:$AA$34,SUBSTITUTE(C65,""Sell_"",""""))),1,IF(REGEXMATCH(C65,""Sell_""),IF(COUNTIF(C$4:C65,SUBSTITUTE(C65,""Sell_"",""""))-COUNTIF(C$4:C64,C65)&lt;1,1),FALSE))))"),FALSE)</f>
        <v>0</v>
      </c>
      <c r="E65" s="59">
        <f t="array" ref="E65">IF(COUNTA(C65:C1673)=0,"",SUM((COUNTIF(C$4:C65,Upgrades!$B$3:$B$13)-COUNTIF(C$4:C65,"Sell_"&amp;Upgrades!$B$3:$B$13))*Upgrades!$D$3:$D$13))</f>
        <v>2202.2</v>
      </c>
      <c r="F65" s="66">
        <f>IFERROR(__xludf.DUMMYFUNCTION("IF(COUNTA(C65:C1673)=0,"""",IF(REGEXMATCH(INDEX(FILTER(C$4:C65,C$4:C65&lt;&gt;""""),ROWS(FILTER(C$4:C65,C$4:C65&lt;&gt;""""))),""^Sell_""),INDEX(FILTER(F$4:F64,C$4:C64&lt;&gt;""""),ROWS(FILTER(C$4:C64,C$4:C64&lt;&gt;""""))),$AC$5+E65))"),2217.2)</f>
        <v>2217.2</v>
      </c>
      <c r="G65" s="10">
        <f>IFERROR(__xludf.DUMMYFUNCTION("IF(COUNTA(C65:C1673)=0,"""",IF(C65="""",0,IF(REGEXMATCH(C65,""^Sell_""),-ROUNDDOWN(ROUNDUP(INDEX(Upgrades!$C$3:$C$13,MATCH(SUBSTITUTE(C65,""Sell_"",""""),Upgrades!$B$3:$B$13,0))*1.15^(COUNTIF(C$4:C64,SUBSTITUTE(C65,""Sell_"",""""))-COUNTIF(C$4:C64,""Sell_"&amp;"""&amp;SUBSTITUTE(C65,""Sell_"",""""))))/2),ROUNDUP(INDEX(Upgrades!$C$3:$C$13,MATCH(C65,Upgrades!$B$3:$B$13,0))*1.15^(COUNTIF(C$4:C64,C65)-COUNTIF(C$4:C64,""Sell_""&amp;C65))))))"),264500.0)</f>
        <v>264500</v>
      </c>
      <c r="H65" s="10">
        <f t="shared" si="3"/>
        <v>264500</v>
      </c>
      <c r="I65" s="68">
        <f t="shared" si="4"/>
        <v>2104.505773</v>
      </c>
      <c r="J65" s="59" t="str">
        <f t="shared" si="5"/>
        <v>35m 04s</v>
      </c>
      <c r="K65" s="69">
        <f t="shared" si="6"/>
        <v>1195976</v>
      </c>
      <c r="L65" s="60">
        <f t="shared" si="7"/>
        <v>0</v>
      </c>
      <c r="M65" s="61">
        <f>IFERROR(__xludf.DUMMYFUNCTION("IFS(AND(COUNTA(C65:C1673)=0,COUNTA(Q65:Q1673)=0),"""",OR(AND(K65&gt;=1000000000,OR(Y65&gt;=1000000000,COUNTA(Q65:Q1673)=0)),OR(Y65&gt;=1000000000,AND(COUNTA(C65:C1673)=0,P$3=TRUE))),
ROUNDDOWN((AB$1-AC$1)*MAX(INDEX(T$4:T1673,MATCH(LARGE(FILTER(Y$4:Y1673,Y$4:Y1673&lt;"&amp;"1000000000),1),Y$4:Y1673)),INDEX(F$4:F1673,MATCH(LARGE(FILTER(K$4:K1673,K$4:K1673&lt;1000000000),1),K$4:K1673)))),AND(K65&lt;1000000000,COUNTA(C65:C1673)&gt;0,P$3=FALSE),
ROUNDDOWN(INDEX(Y$4:Y1673,MATCH(LARGE(FILTER(W$4:W1673,W$4:W1673&lt;=I65),1),W$4:W1673))+(I65-LA"&amp;"RGE(FILTER(W$4:W1673,W$4:W1673&lt;=I65),1))*INDEX(T$4:T1673,MATCH(LARGE(FILTER(W$4:W1673,W$4:W1673&lt;=I65),1),W$4:W1673))-K65),1,
ROUNDDOWN(Y65-INDEX(K$4:K1673,MATCH(LARGE(FILTER(I$4:I1673,I$4:I1673&lt;=W65),1),I$4:I1673))-(W65-LARGE(FILTER(I$4:I1673,I$4:I1673&lt;=W"&amp;"65),1))*INDEX(F$4:F1673,MATCH(LARGE(FILTER(I$4:I1673,I$4:I1673&lt;=W65),1),I$4:I1673))))"),0.0)</f>
        <v>0</v>
      </c>
      <c r="N65" s="60">
        <f t="shared" si="8"/>
        <v>0</v>
      </c>
      <c r="O65" s="61">
        <f t="shared" si="9"/>
        <v>0</v>
      </c>
      <c r="P65" s="56">
        <f t="shared" si="10"/>
        <v>3</v>
      </c>
      <c r="Q65" s="67" t="s">
        <v>9</v>
      </c>
      <c r="R65" s="10" t="b">
        <f>IFERROR(__xludf.DUMMYFUNCTION("IF(COUNTA(Q65:Q1673)=0,"""",IF(ISBLANK(Q65),FALSE,IF(NOT(COUNTIF($AA$24:$AA$34,SUBSTITUTE(Q65,""Sell_"",""""))),1,IF(REGEXMATCH(Q65,""Sell_""),IF(COUNTIF(Q$4:Q65,SUBSTITUTE(Q65,""Sell_"",""""))-COUNTIF(Q$4:Q64,Q65)&lt;1,1),FALSE))))"),FALSE)</f>
        <v>0</v>
      </c>
      <c r="S65" s="59">
        <f t="array" ref="S65">IF(COUNTA(Q65:Q1673)=0,"",SUM((COUNTIF(Q$4:Q65,Upgrades!$B$3:$B$13)-COUNTIF(Q$4:Q65,"Sell_"&amp;Upgrades!$B$3:$B$13))*Upgrades!$D$3:$D$13))</f>
        <v>2202.2</v>
      </c>
      <c r="T65" s="66">
        <f>IFERROR(__xludf.DUMMYFUNCTION("IF(COUNTA(Q65:Q1673)=0,"""",IF(REGEXMATCH(INDEX(FILTER(Q$4:Q65,Q$4:Q65&lt;&gt;""""),ROWS(FILTER(Q$4:Q65,Q$4:Q65&lt;&gt;""""))),""^Sell_""),INDEX(FILTER(T$4:T64,Q$4:Q64&lt;&gt;""""),ROWS(FILTER(Q$4:Q64,Q$4:Q64&lt;&gt;""""))),$AD$5+S65))"),2217.2)</f>
        <v>2217.2</v>
      </c>
      <c r="U65" s="10">
        <f>IFERROR(__xludf.DUMMYFUNCTION("IF(COUNTA(Q65:Q1673)=0,"""",IF(Q65="""",0,IF(REGEXMATCH(Q65,""^Sell_""),-ROUNDDOWN(ROUNDUP(INDEX(Upgrades!$C$3:$C$13,MATCH(SUBSTITUTE(Q65,""Sell_"",""""),Upgrades!$B$3:$B$13,0))*1.15^(COUNTIF(Q$4:Q64,SUBSTITUTE(Q65,""Sell_"",""""))-COUNTIF(Q$4:Q64,""Sell_"&amp;"""&amp;SUBSTITUTE(Q65,""Sell_"",""""))))/2),ROUNDUP(INDEX(Upgrades!$C$3:$C$13,MATCH(Q65,Upgrades!$B$3:$B$13,0))*1.15^(COUNTIF(Q$4:Q64,Q65)-COUNTIF(Q$4:Q64,""Sell_""&amp;Q65))))))"),264500.0)</f>
        <v>264500</v>
      </c>
      <c r="V65" s="10">
        <f t="shared" si="11"/>
        <v>264500</v>
      </c>
      <c r="W65" s="68">
        <f t="shared" si="12"/>
        <v>2104.505773</v>
      </c>
      <c r="X65" s="59" t="str">
        <f t="shared" si="13"/>
        <v>35m 04s</v>
      </c>
      <c r="Y65" s="69">
        <f t="shared" si="14"/>
        <v>1195976</v>
      </c>
      <c r="Z65" s="11"/>
    </row>
    <row r="66">
      <c r="A66" s="8"/>
      <c r="B66" s="56">
        <f t="shared" si="2"/>
        <v>13</v>
      </c>
      <c r="C66" s="57" t="s">
        <v>3</v>
      </c>
      <c r="D66" s="10" t="b">
        <f>IFERROR(__xludf.DUMMYFUNCTION("IF(COUNTA(C66:C1673)=0,"""",IF(ISBLANK(C66),FALSE,IF(NOT(COUNTIF($AA$24:$AA$34,SUBSTITUTE(C66,""Sell_"",""""))),1,IF(REGEXMATCH(C66,""Sell_""),IF(COUNTIF(C$4:C66,SUBSTITUTE(C66,""Sell_"",""""))-COUNTIF(C$4:C65,C66)&lt;1,1),FALSE))))"),FALSE)</f>
        <v>0</v>
      </c>
      <c r="E66" s="59">
        <f t="array" ref="E66">IF(COUNTA(C66:C1673)=0,"",SUM((COUNTIF(C$4:C66,Upgrades!$B$3:$B$13)-COUNTIF(C$4:C66,"Sell_"&amp;Upgrades!$B$3:$B$13))*Upgrades!$D$3:$D$13))</f>
        <v>2202.3</v>
      </c>
      <c r="F66" s="66">
        <f>IFERROR(__xludf.DUMMYFUNCTION("IF(COUNTA(C66:C1673)=0,"""",IF(REGEXMATCH(INDEX(FILTER(C$4:C66,C$4:C66&lt;&gt;""""),ROWS(FILTER(C$4:C66,C$4:C66&lt;&gt;""""))),""^Sell_""),INDEX(FILTER(F$4:F65,C$4:C65&lt;&gt;""""),ROWS(FILTER(C$4:C65,C$4:C65&lt;&gt;""""))),$AC$5+E66))"),2217.3)</f>
        <v>2217.3</v>
      </c>
      <c r="G66" s="10">
        <f>IFERROR(__xludf.DUMMYFUNCTION("IF(COUNTA(C66:C1673)=0,"""",IF(C66="""",0,IF(REGEXMATCH(C66,""^Sell_""),-ROUNDDOWN(ROUNDUP(INDEX(Upgrades!$C$3:$C$13,MATCH(SUBSTITUTE(C66,""Sell_"",""""),Upgrades!$B$3:$B$13,0))*1.15^(COUNTIF(C$4:C65,SUBSTITUTE(C66,""Sell_"",""""))-COUNTIF(C$4:C65,""Sell_"&amp;"""&amp;SUBSTITUTE(C66,""Sell_"",""""))))/2),ROUNDUP(INDEX(Upgrades!$C$3:$C$13,MATCH(C66,Upgrades!$B$3:$B$13,0))*1.15^(COUNTIF(C$4:C65,C66)-COUNTIF(C$4:C65,""Sell_""&amp;C66))))))"),81.0)</f>
        <v>81</v>
      </c>
      <c r="H66" s="10">
        <f t="shared" si="3"/>
        <v>81</v>
      </c>
      <c r="I66" s="68">
        <f t="shared" si="4"/>
        <v>2104.542305</v>
      </c>
      <c r="J66" s="59" t="str">
        <f t="shared" si="5"/>
        <v>35m 04s</v>
      </c>
      <c r="K66" s="69">
        <f t="shared" si="6"/>
        <v>1196057</v>
      </c>
      <c r="L66" s="60">
        <f t="shared" si="7"/>
        <v>0</v>
      </c>
      <c r="M66" s="61">
        <f>IFERROR(__xludf.DUMMYFUNCTION("IFS(AND(COUNTA(C66:C1673)=0,COUNTA(Q66:Q1673)=0),"""",OR(AND(K66&gt;=1000000000,OR(Y66&gt;=1000000000,COUNTA(Q66:Q1673)=0)),OR(Y66&gt;=1000000000,AND(COUNTA(C66:C1673)=0,P$3=TRUE))),
ROUNDDOWN((AB$1-AC$1)*MAX(INDEX(T$4:T1673,MATCH(LARGE(FILTER(Y$4:Y1673,Y$4:Y1673&lt;"&amp;"1000000000),1),Y$4:Y1673)),INDEX(F$4:F1673,MATCH(LARGE(FILTER(K$4:K1673,K$4:K1673&lt;1000000000),1),K$4:K1673)))),AND(K66&lt;1000000000,COUNTA(C66:C1673)&gt;0,P$3=FALSE),
ROUNDDOWN(INDEX(Y$4:Y1673,MATCH(LARGE(FILTER(W$4:W1673,W$4:W1673&lt;=I66),1),W$4:W1673))+(I66-LA"&amp;"RGE(FILTER(W$4:W1673,W$4:W1673&lt;=I66),1))*INDEX(T$4:T1673,MATCH(LARGE(FILTER(W$4:W1673,W$4:W1673&lt;=I66),1),W$4:W1673))-K66),1,
ROUNDDOWN(Y66-INDEX(K$4:K1673,MATCH(LARGE(FILTER(I$4:I1673,I$4:I1673&lt;=W66),1),I$4:I1673))-(W66-LARGE(FILTER(I$4:I1673,I$4:I1673&lt;=W"&amp;"66),1))*INDEX(F$4:F1673,MATCH(LARGE(FILTER(I$4:I1673,I$4:I1673&lt;=W66),1),I$4:I1673))))"),0.0)</f>
        <v>0</v>
      </c>
      <c r="N66" s="60">
        <f t="shared" si="8"/>
        <v>0</v>
      </c>
      <c r="O66" s="61">
        <f t="shared" si="9"/>
        <v>0</v>
      </c>
      <c r="P66" s="56">
        <f t="shared" si="10"/>
        <v>13</v>
      </c>
      <c r="Q66" s="67" t="s">
        <v>3</v>
      </c>
      <c r="R66" s="10" t="b">
        <f>IFERROR(__xludf.DUMMYFUNCTION("IF(COUNTA(Q66:Q1673)=0,"""",IF(ISBLANK(Q66),FALSE,IF(NOT(COUNTIF($AA$24:$AA$34,SUBSTITUTE(Q66,""Sell_"",""""))),1,IF(REGEXMATCH(Q66,""Sell_""),IF(COUNTIF(Q$4:Q66,SUBSTITUTE(Q66,""Sell_"",""""))-COUNTIF(Q$4:Q65,Q66)&lt;1,1),FALSE))))"),FALSE)</f>
        <v>0</v>
      </c>
      <c r="S66" s="59">
        <f t="array" ref="S66">IF(COUNTA(Q66:Q1673)=0,"",SUM((COUNTIF(Q$4:Q66,Upgrades!$B$3:$B$13)-COUNTIF(Q$4:Q66,"Sell_"&amp;Upgrades!$B$3:$B$13))*Upgrades!$D$3:$D$13))</f>
        <v>2202.3</v>
      </c>
      <c r="T66" s="66">
        <f>IFERROR(__xludf.DUMMYFUNCTION("IF(COUNTA(Q66:Q1673)=0,"""",IF(REGEXMATCH(INDEX(FILTER(Q$4:Q66,Q$4:Q66&lt;&gt;""""),ROWS(FILTER(Q$4:Q66,Q$4:Q66&lt;&gt;""""))),""^Sell_""),INDEX(FILTER(T$4:T65,Q$4:Q65&lt;&gt;""""),ROWS(FILTER(Q$4:Q65,Q$4:Q65&lt;&gt;""""))),$AD$5+S66))"),2217.3)</f>
        <v>2217.3</v>
      </c>
      <c r="U66" s="10">
        <f>IFERROR(__xludf.DUMMYFUNCTION("IF(COUNTA(Q66:Q1673)=0,"""",IF(Q66="""",0,IF(REGEXMATCH(Q66,""^Sell_""),-ROUNDDOWN(ROUNDUP(INDEX(Upgrades!$C$3:$C$13,MATCH(SUBSTITUTE(Q66,""Sell_"",""""),Upgrades!$B$3:$B$13,0))*1.15^(COUNTIF(Q$4:Q65,SUBSTITUTE(Q66,""Sell_"",""""))-COUNTIF(Q$4:Q65,""Sell_"&amp;"""&amp;SUBSTITUTE(Q66,""Sell_"",""""))))/2),ROUNDUP(INDEX(Upgrades!$C$3:$C$13,MATCH(Q66,Upgrades!$B$3:$B$13,0))*1.15^(COUNTIF(Q$4:Q65,Q66)-COUNTIF(Q$4:Q65,""Sell_""&amp;Q66))))))"),81.0)</f>
        <v>81</v>
      </c>
      <c r="V66" s="10">
        <f t="shared" si="11"/>
        <v>81</v>
      </c>
      <c r="W66" s="68">
        <f t="shared" si="12"/>
        <v>2104.542305</v>
      </c>
      <c r="X66" s="59" t="str">
        <f t="shared" si="13"/>
        <v>35m 04s</v>
      </c>
      <c r="Y66" s="69">
        <f t="shared" si="14"/>
        <v>1196057</v>
      </c>
      <c r="Z66" s="11"/>
    </row>
    <row r="67">
      <c r="A67" s="8"/>
      <c r="B67" s="56">
        <f t="shared" si="2"/>
        <v>11</v>
      </c>
      <c r="C67" s="57" t="s">
        <v>4</v>
      </c>
      <c r="D67" s="10" t="b">
        <f>IFERROR(__xludf.DUMMYFUNCTION("IF(COUNTA(C67:C1673)=0,"""",IF(ISBLANK(C67),FALSE,IF(NOT(COUNTIF($AA$24:$AA$34,SUBSTITUTE(C67,""Sell_"",""""))),1,IF(REGEXMATCH(C67,""Sell_""),IF(COUNTIF(C$4:C67,SUBSTITUTE(C67,""Sell_"",""""))-COUNTIF(C$4:C66,C67)&lt;1,1),FALSE))))"),FALSE)</f>
        <v>0</v>
      </c>
      <c r="E67" s="59">
        <f t="array" ref="E67">IF(COUNTA(C67:C1673)=0,"",SUM((COUNTIF(C$4:C67,Upgrades!$B$3:$B$13)-COUNTIF(C$4:C67,"Sell_"&amp;Upgrades!$B$3:$B$13))*Upgrades!$D$3:$D$13))</f>
        <v>2202.8</v>
      </c>
      <c r="F67" s="66">
        <f>IFERROR(__xludf.DUMMYFUNCTION("IF(COUNTA(C67:C1673)=0,"""",IF(REGEXMATCH(INDEX(FILTER(C$4:C67,C$4:C67&lt;&gt;""""),ROWS(FILTER(C$4:C67,C$4:C67&lt;&gt;""""))),""^Sell_""),INDEX(FILTER(F$4:F66,C$4:C66&lt;&gt;""""),ROWS(FILTER(C$4:C66,C$4:C66&lt;&gt;""""))),$AC$5+E67))"),2217.8)</f>
        <v>2217.8</v>
      </c>
      <c r="G67" s="10">
        <f>IFERROR(__xludf.DUMMYFUNCTION("IF(COUNTA(C67:C1673)=0,"""",IF(C67="""",0,IF(REGEXMATCH(C67,""^Sell_""),-ROUNDDOWN(ROUNDUP(INDEX(Upgrades!$C$3:$C$13,MATCH(SUBSTITUTE(C67,""Sell_"",""""),Upgrades!$B$3:$B$13,0))*1.15^(COUNTIF(C$4:C66,SUBSTITUTE(C67,""Sell_"",""""))-COUNTIF(C$4:C66,""Sell_"&amp;"""&amp;SUBSTITUTE(C67,""Sell_"",""""))))/2),ROUNDUP(INDEX(Upgrades!$C$3:$C$13,MATCH(C67,Upgrades!$B$3:$B$13,0))*1.15^(COUNTIF(C$4:C66,C67)-COUNTIF(C$4:C66,""Sell_""&amp;C67))))))"),405.0)</f>
        <v>405</v>
      </c>
      <c r="H67" s="10">
        <f t="shared" si="3"/>
        <v>405</v>
      </c>
      <c r="I67" s="68">
        <f t="shared" si="4"/>
        <v>2104.72496</v>
      </c>
      <c r="J67" s="59" t="str">
        <f t="shared" si="5"/>
        <v>35m 04s</v>
      </c>
      <c r="K67" s="69">
        <f t="shared" si="6"/>
        <v>1196462</v>
      </c>
      <c r="L67" s="60">
        <f t="shared" si="7"/>
        <v>0</v>
      </c>
      <c r="M67" s="61">
        <f>IFERROR(__xludf.DUMMYFUNCTION("IFS(AND(COUNTA(C67:C1673)=0,COUNTA(Q67:Q1673)=0),"""",OR(AND(K67&gt;=1000000000,OR(Y67&gt;=1000000000,COUNTA(Q67:Q1673)=0)),OR(Y67&gt;=1000000000,AND(COUNTA(C67:C1673)=0,P$3=TRUE))),
ROUNDDOWN((AB$1-AC$1)*MAX(INDEX(T$4:T1673,MATCH(LARGE(FILTER(Y$4:Y1673,Y$4:Y1673&lt;"&amp;"1000000000),1),Y$4:Y1673)),INDEX(F$4:F1673,MATCH(LARGE(FILTER(K$4:K1673,K$4:K1673&lt;1000000000),1),K$4:K1673)))),AND(K67&lt;1000000000,COUNTA(C67:C1673)&gt;0,P$3=FALSE),
ROUNDDOWN(INDEX(Y$4:Y1673,MATCH(LARGE(FILTER(W$4:W1673,W$4:W1673&lt;=I67),1),W$4:W1673))+(I67-LA"&amp;"RGE(FILTER(W$4:W1673,W$4:W1673&lt;=I67),1))*INDEX(T$4:T1673,MATCH(LARGE(FILTER(W$4:W1673,W$4:W1673&lt;=I67),1),W$4:W1673))-K67),1,
ROUNDDOWN(Y67-INDEX(K$4:K1673,MATCH(LARGE(FILTER(I$4:I1673,I$4:I1673&lt;=W67),1),I$4:I1673))-(W67-LARGE(FILTER(I$4:I1673,I$4:I1673&lt;=W"&amp;"67),1))*INDEX(F$4:F1673,MATCH(LARGE(FILTER(I$4:I1673,I$4:I1673&lt;=W67),1),I$4:I1673))))"),0.0)</f>
        <v>0</v>
      </c>
      <c r="N67" s="60">
        <f t="shared" si="8"/>
        <v>0</v>
      </c>
      <c r="O67" s="61">
        <f t="shared" si="9"/>
        <v>0</v>
      </c>
      <c r="P67" s="56">
        <f t="shared" si="10"/>
        <v>11</v>
      </c>
      <c r="Q67" s="67" t="s">
        <v>4</v>
      </c>
      <c r="R67" s="10" t="b">
        <f>IFERROR(__xludf.DUMMYFUNCTION("IF(COUNTA(Q67:Q1673)=0,"""",IF(ISBLANK(Q67),FALSE,IF(NOT(COUNTIF($AA$24:$AA$34,SUBSTITUTE(Q67,""Sell_"",""""))),1,IF(REGEXMATCH(Q67,""Sell_""),IF(COUNTIF(Q$4:Q67,SUBSTITUTE(Q67,""Sell_"",""""))-COUNTIF(Q$4:Q66,Q67)&lt;1,1),FALSE))))"),FALSE)</f>
        <v>0</v>
      </c>
      <c r="S67" s="59">
        <f t="array" ref="S67">IF(COUNTA(Q67:Q1673)=0,"",SUM((COUNTIF(Q$4:Q67,Upgrades!$B$3:$B$13)-COUNTIF(Q$4:Q67,"Sell_"&amp;Upgrades!$B$3:$B$13))*Upgrades!$D$3:$D$13))</f>
        <v>2202.8</v>
      </c>
      <c r="T67" s="66">
        <f>IFERROR(__xludf.DUMMYFUNCTION("IF(COUNTA(Q67:Q1673)=0,"""",IF(REGEXMATCH(INDEX(FILTER(Q$4:Q67,Q$4:Q67&lt;&gt;""""),ROWS(FILTER(Q$4:Q67,Q$4:Q67&lt;&gt;""""))),""^Sell_""),INDEX(FILTER(T$4:T66,Q$4:Q66&lt;&gt;""""),ROWS(FILTER(Q$4:Q66,Q$4:Q66&lt;&gt;""""))),$AD$5+S67))"),2217.8)</f>
        <v>2217.8</v>
      </c>
      <c r="U67" s="10">
        <f>IFERROR(__xludf.DUMMYFUNCTION("IF(COUNTA(Q67:Q1673)=0,"""",IF(Q67="""",0,IF(REGEXMATCH(Q67,""^Sell_""),-ROUNDDOWN(ROUNDUP(INDEX(Upgrades!$C$3:$C$13,MATCH(SUBSTITUTE(Q67,""Sell_"",""""),Upgrades!$B$3:$B$13,0))*1.15^(COUNTIF(Q$4:Q66,SUBSTITUTE(Q67,""Sell_"",""""))-COUNTIF(Q$4:Q66,""Sell_"&amp;"""&amp;SUBSTITUTE(Q67,""Sell_"",""""))))/2),ROUNDUP(INDEX(Upgrades!$C$3:$C$13,MATCH(Q67,Upgrades!$B$3:$B$13,0))*1.15^(COUNTIF(Q$4:Q66,Q67)-COUNTIF(Q$4:Q66,""Sell_""&amp;Q67))))))"),405.0)</f>
        <v>405</v>
      </c>
      <c r="V67" s="10">
        <f t="shared" si="11"/>
        <v>405</v>
      </c>
      <c r="W67" s="68">
        <f t="shared" si="12"/>
        <v>2104.72496</v>
      </c>
      <c r="X67" s="59" t="str">
        <f t="shared" si="13"/>
        <v>35m 04s</v>
      </c>
      <c r="Y67" s="69">
        <f t="shared" si="14"/>
        <v>1196462</v>
      </c>
      <c r="Z67" s="11"/>
    </row>
    <row r="68">
      <c r="A68" s="8"/>
      <c r="B68" s="56">
        <f t="shared" si="2"/>
        <v>6</v>
      </c>
      <c r="C68" s="57" t="s">
        <v>8</v>
      </c>
      <c r="D68" s="10" t="b">
        <f>IFERROR(__xludf.DUMMYFUNCTION("IF(COUNTA(C68:C1673)=0,"""",IF(ISBLANK(C68),FALSE,IF(NOT(COUNTIF($AA$24:$AA$34,SUBSTITUTE(C68,""Sell_"",""""))),1,IF(REGEXMATCH(C68,""Sell_""),IF(COUNTIF(C$4:C68,SUBSTITUTE(C68,""Sell_"",""""))-COUNTIF(C$4:C67,C68)&lt;1,1),FALSE))))"),FALSE)</f>
        <v>0</v>
      </c>
      <c r="E68" s="59">
        <f t="array" ref="E68">IF(COUNTA(C68:C1673)=0,"",SUM((COUNTIF(C$4:C68,Upgrades!$B$3:$B$13)-COUNTIF(C$4:C68,"Sell_"&amp;Upgrades!$B$3:$B$13))*Upgrades!$D$3:$D$13))</f>
        <v>2302.8</v>
      </c>
      <c r="F68" s="66">
        <f>IFERROR(__xludf.DUMMYFUNCTION("IF(COUNTA(C68:C1673)=0,"""",IF(REGEXMATCH(INDEX(FILTER(C$4:C68,C$4:C68&lt;&gt;""""),ROWS(FILTER(C$4:C68,C$4:C68&lt;&gt;""""))),""^Sell_""),INDEX(FILTER(F$4:F67,C$4:C67&lt;&gt;""""),ROWS(FILTER(C$4:C67,C$4:C67&lt;&gt;""""))),$AC$5+E68))"),2317.8)</f>
        <v>2317.8</v>
      </c>
      <c r="G68" s="10">
        <f>IFERROR(__xludf.DUMMYFUNCTION("IF(COUNTA(C68:C1673)=0,"""",IF(C68="""",0,IF(REGEXMATCH(C68,""^Sell_""),-ROUNDDOWN(ROUNDUP(INDEX(Upgrades!$C$3:$C$13,MATCH(SUBSTITUTE(C68,""Sell_"",""""),Upgrades!$B$3:$B$13,0))*1.15^(COUNTIF(C$4:C67,SUBSTITUTE(C68,""Sell_"",""""))-COUNTIF(C$4:C67,""Sell_"&amp;"""&amp;SUBSTITUTE(C68,""Sell_"",""""))))/2),ROUNDUP(INDEX(Upgrades!$C$3:$C$13,MATCH(C68,Upgrades!$B$3:$B$13,0))*1.15^(COUNTIF(C$4:C67,C68)-COUNTIF(C$4:C67,""Sell_""&amp;C68))))))"),80455.0)</f>
        <v>80455</v>
      </c>
      <c r="H68" s="10">
        <f t="shared" si="3"/>
        <v>80455</v>
      </c>
      <c r="I68" s="68">
        <f t="shared" si="4"/>
        <v>2141.001901</v>
      </c>
      <c r="J68" s="59" t="str">
        <f t="shared" si="5"/>
        <v>35m 41s</v>
      </c>
      <c r="K68" s="69">
        <f t="shared" si="6"/>
        <v>1276917</v>
      </c>
      <c r="L68" s="60">
        <f t="shared" si="7"/>
        <v>0</v>
      </c>
      <c r="M68" s="61">
        <f>IFERROR(__xludf.DUMMYFUNCTION("IFS(AND(COUNTA(C68:C1673)=0,COUNTA(Q68:Q1673)=0),"""",OR(AND(K68&gt;=1000000000,OR(Y68&gt;=1000000000,COUNTA(Q68:Q1673)=0)),OR(Y68&gt;=1000000000,AND(COUNTA(C68:C1673)=0,P$3=TRUE))),
ROUNDDOWN((AB$1-AC$1)*MAX(INDEX(T$4:T1673,MATCH(LARGE(FILTER(Y$4:Y1673,Y$4:Y1673&lt;"&amp;"1000000000),1),Y$4:Y1673)),INDEX(F$4:F1673,MATCH(LARGE(FILTER(K$4:K1673,K$4:K1673&lt;1000000000),1),K$4:K1673)))),AND(K68&lt;1000000000,COUNTA(C68:C1673)&gt;0,P$3=FALSE),
ROUNDDOWN(INDEX(Y$4:Y1673,MATCH(LARGE(FILTER(W$4:W1673,W$4:W1673&lt;=I68),1),W$4:W1673))+(I68-LA"&amp;"RGE(FILTER(W$4:W1673,W$4:W1673&lt;=I68),1))*INDEX(T$4:T1673,MATCH(LARGE(FILTER(W$4:W1673,W$4:W1673&lt;=I68),1),W$4:W1673))-K68),1,
ROUNDDOWN(Y68-INDEX(K$4:K1673,MATCH(LARGE(FILTER(I$4:I1673,I$4:I1673&lt;=W68),1),I$4:I1673))-(W68-LARGE(FILTER(I$4:I1673,I$4:I1673&lt;=W"&amp;"68),1))*INDEX(F$4:F1673,MATCH(LARGE(FILTER(I$4:I1673,I$4:I1673&lt;=W68),1),I$4:I1673))))"),0.0)</f>
        <v>0</v>
      </c>
      <c r="N68" s="60">
        <f t="shared" si="8"/>
        <v>0</v>
      </c>
      <c r="O68" s="61">
        <f t="shared" si="9"/>
        <v>0</v>
      </c>
      <c r="P68" s="56">
        <f t="shared" si="10"/>
        <v>6</v>
      </c>
      <c r="Q68" s="67" t="s">
        <v>8</v>
      </c>
      <c r="R68" s="10" t="b">
        <f>IFERROR(__xludf.DUMMYFUNCTION("IF(COUNTA(Q68:Q1673)=0,"""",IF(ISBLANK(Q68),FALSE,IF(NOT(COUNTIF($AA$24:$AA$34,SUBSTITUTE(Q68,""Sell_"",""""))),1,IF(REGEXMATCH(Q68,""Sell_""),IF(COUNTIF(Q$4:Q68,SUBSTITUTE(Q68,""Sell_"",""""))-COUNTIF(Q$4:Q67,Q68)&lt;1,1),FALSE))))"),FALSE)</f>
        <v>0</v>
      </c>
      <c r="S68" s="59">
        <f t="array" ref="S68">IF(COUNTA(Q68:Q1673)=0,"",SUM((COUNTIF(Q$4:Q68,Upgrades!$B$3:$B$13)-COUNTIF(Q$4:Q68,"Sell_"&amp;Upgrades!$B$3:$B$13))*Upgrades!$D$3:$D$13))</f>
        <v>2302.8</v>
      </c>
      <c r="T68" s="66">
        <f>IFERROR(__xludf.DUMMYFUNCTION("IF(COUNTA(Q68:Q1673)=0,"""",IF(REGEXMATCH(INDEX(FILTER(Q$4:Q68,Q$4:Q68&lt;&gt;""""),ROWS(FILTER(Q$4:Q68,Q$4:Q68&lt;&gt;""""))),""^Sell_""),INDEX(FILTER(T$4:T67,Q$4:Q67&lt;&gt;""""),ROWS(FILTER(Q$4:Q67,Q$4:Q67&lt;&gt;""""))),$AD$5+S68))"),2317.8)</f>
        <v>2317.8</v>
      </c>
      <c r="U68" s="10">
        <f>IFERROR(__xludf.DUMMYFUNCTION("IF(COUNTA(Q68:Q1673)=0,"""",IF(Q68="""",0,IF(REGEXMATCH(Q68,""^Sell_""),-ROUNDDOWN(ROUNDUP(INDEX(Upgrades!$C$3:$C$13,MATCH(SUBSTITUTE(Q68,""Sell_"",""""),Upgrades!$B$3:$B$13,0))*1.15^(COUNTIF(Q$4:Q67,SUBSTITUTE(Q68,""Sell_"",""""))-COUNTIF(Q$4:Q67,""Sell_"&amp;"""&amp;SUBSTITUTE(Q68,""Sell_"",""""))))/2),ROUNDUP(INDEX(Upgrades!$C$3:$C$13,MATCH(Q68,Upgrades!$B$3:$B$13,0))*1.15^(COUNTIF(Q$4:Q67,Q68)-COUNTIF(Q$4:Q67,""Sell_""&amp;Q68))))))"),80455.0)</f>
        <v>80455</v>
      </c>
      <c r="V68" s="10">
        <f t="shared" si="11"/>
        <v>80455</v>
      </c>
      <c r="W68" s="68">
        <f t="shared" si="12"/>
        <v>2141.001901</v>
      </c>
      <c r="X68" s="59" t="str">
        <f t="shared" si="13"/>
        <v>35m 41s</v>
      </c>
      <c r="Y68" s="69">
        <f t="shared" si="14"/>
        <v>1276917</v>
      </c>
      <c r="Z68" s="11"/>
    </row>
    <row r="69">
      <c r="A69" s="8"/>
      <c r="B69" s="56">
        <f t="shared" si="2"/>
        <v>15</v>
      </c>
      <c r="C69" s="57" t="s">
        <v>5</v>
      </c>
      <c r="D69" s="10" t="b">
        <f>IFERROR(__xludf.DUMMYFUNCTION("IF(COUNTA(C69:C1673)=0,"""",IF(ISBLANK(C69),FALSE,IF(NOT(COUNTIF($AA$24:$AA$34,SUBSTITUTE(C69,""Sell_"",""""))),1,IF(REGEXMATCH(C69,""Sell_""),IF(COUNTIF(C$4:C69,SUBSTITUTE(C69,""Sell_"",""""))-COUNTIF(C$4:C68,C69)&lt;1,1),FALSE))))"),FALSE)</f>
        <v>0</v>
      </c>
      <c r="E69" s="59">
        <f t="array" ref="E69">IF(COUNTA(C69:C1673)=0,"",SUM((COUNTIF(C$4:C69,Upgrades!$B$3:$B$13)-COUNTIF(C$4:C69,"Sell_"&amp;Upgrades!$B$3:$B$13))*Upgrades!$D$3:$D$13))</f>
        <v>2306.8</v>
      </c>
      <c r="F69" s="66">
        <f>IFERROR(__xludf.DUMMYFUNCTION("IF(COUNTA(C69:C1673)=0,"""",IF(REGEXMATCH(INDEX(FILTER(C$4:C69,C$4:C69&lt;&gt;""""),ROWS(FILTER(C$4:C69,C$4:C69&lt;&gt;""""))),""^Sell_""),INDEX(FILTER(F$4:F68,C$4:C68&lt;&gt;""""),ROWS(FILTER(C$4:C68,C$4:C68&lt;&gt;""""))),$AC$5+E69))"),2321.8)</f>
        <v>2321.8</v>
      </c>
      <c r="G69" s="10">
        <f>IFERROR(__xludf.DUMMYFUNCTION("IF(COUNTA(C69:C1673)=0,"""",IF(C69="""",0,IF(REGEXMATCH(C69,""^Sell_""),-ROUNDDOWN(ROUNDUP(INDEX(Upgrades!$C$3:$C$13,MATCH(SUBSTITUTE(C69,""Sell_"",""""),Upgrades!$B$3:$B$13,0))*1.15^(COUNTIF(C$4:C68,SUBSTITUTE(C69,""Sell_"",""""))-COUNTIF(C$4:C68,""Sell_"&amp;"""&amp;SUBSTITUTE(C69,""Sell_"",""""))))/2),ROUNDUP(INDEX(Upgrades!$C$3:$C$13,MATCH(C69,Upgrades!$B$3:$B$13,0))*1.15^(COUNTIF(C$4:C68,C69)-COUNTIF(C$4:C68,""Sell_""&amp;C69))))))"),3538.0)</f>
        <v>3538</v>
      </c>
      <c r="H69" s="10">
        <f t="shared" si="3"/>
        <v>3538</v>
      </c>
      <c r="I69" s="68">
        <f t="shared" si="4"/>
        <v>2142.528349</v>
      </c>
      <c r="J69" s="59" t="str">
        <f t="shared" si="5"/>
        <v>35m 42s</v>
      </c>
      <c r="K69" s="69">
        <f t="shared" si="6"/>
        <v>1280455</v>
      </c>
      <c r="L69" s="60">
        <f t="shared" si="7"/>
        <v>0</v>
      </c>
      <c r="M69" s="61">
        <f>IFERROR(__xludf.DUMMYFUNCTION("IFS(AND(COUNTA(C69:C1673)=0,COUNTA(Q69:Q1673)=0),"""",OR(AND(K69&gt;=1000000000,OR(Y69&gt;=1000000000,COUNTA(Q69:Q1673)=0)),OR(Y69&gt;=1000000000,AND(COUNTA(C69:C1673)=0,P$3=TRUE))),
ROUNDDOWN((AB$1-AC$1)*MAX(INDEX(T$4:T1673,MATCH(LARGE(FILTER(Y$4:Y1673,Y$4:Y1673&lt;"&amp;"1000000000),1),Y$4:Y1673)),INDEX(F$4:F1673,MATCH(LARGE(FILTER(K$4:K1673,K$4:K1673&lt;1000000000),1),K$4:K1673)))),AND(K69&lt;1000000000,COUNTA(C69:C1673)&gt;0,P$3=FALSE),
ROUNDDOWN(INDEX(Y$4:Y1673,MATCH(LARGE(FILTER(W$4:W1673,W$4:W1673&lt;=I69),1),W$4:W1673))+(I69-LA"&amp;"RGE(FILTER(W$4:W1673,W$4:W1673&lt;=I69),1))*INDEX(T$4:T1673,MATCH(LARGE(FILTER(W$4:W1673,W$4:W1673&lt;=I69),1),W$4:W1673))-K69),1,
ROUNDDOWN(Y69-INDEX(K$4:K1673,MATCH(LARGE(FILTER(I$4:I1673,I$4:I1673&lt;=W69),1),I$4:I1673))-(W69-LARGE(FILTER(I$4:I1673,I$4:I1673&lt;=W"&amp;"69),1))*INDEX(F$4:F1673,MATCH(LARGE(FILTER(I$4:I1673,I$4:I1673&lt;=W69),1),I$4:I1673))))"),0.0)</f>
        <v>0</v>
      </c>
      <c r="N69" s="60">
        <f t="shared" si="8"/>
        <v>0</v>
      </c>
      <c r="O69" s="61">
        <f t="shared" si="9"/>
        <v>0</v>
      </c>
      <c r="P69" s="56">
        <f t="shared" si="10"/>
        <v>15</v>
      </c>
      <c r="Q69" s="67" t="s">
        <v>5</v>
      </c>
      <c r="R69" s="10" t="b">
        <f>IFERROR(__xludf.DUMMYFUNCTION("IF(COUNTA(Q69:Q1673)=0,"""",IF(ISBLANK(Q69),FALSE,IF(NOT(COUNTIF($AA$24:$AA$34,SUBSTITUTE(Q69,""Sell_"",""""))),1,IF(REGEXMATCH(Q69,""Sell_""),IF(COUNTIF(Q$4:Q69,SUBSTITUTE(Q69,""Sell_"",""""))-COUNTIF(Q$4:Q68,Q69)&lt;1,1),FALSE))))"),FALSE)</f>
        <v>0</v>
      </c>
      <c r="S69" s="59">
        <f t="array" ref="S69">IF(COUNTA(Q69:Q1673)=0,"",SUM((COUNTIF(Q$4:Q69,Upgrades!$B$3:$B$13)-COUNTIF(Q$4:Q69,"Sell_"&amp;Upgrades!$B$3:$B$13))*Upgrades!$D$3:$D$13))</f>
        <v>2306.8</v>
      </c>
      <c r="T69" s="66">
        <f>IFERROR(__xludf.DUMMYFUNCTION("IF(COUNTA(Q69:Q1673)=0,"""",IF(REGEXMATCH(INDEX(FILTER(Q$4:Q69,Q$4:Q69&lt;&gt;""""),ROWS(FILTER(Q$4:Q69,Q$4:Q69&lt;&gt;""""))),""^Sell_""),INDEX(FILTER(T$4:T68,Q$4:Q68&lt;&gt;""""),ROWS(FILTER(Q$4:Q68,Q$4:Q68&lt;&gt;""""))),$AD$5+S69))"),2321.8)</f>
        <v>2321.8</v>
      </c>
      <c r="U69" s="10">
        <f>IFERROR(__xludf.DUMMYFUNCTION("IF(COUNTA(Q69:Q1673)=0,"""",IF(Q69="""",0,IF(REGEXMATCH(Q69,""^Sell_""),-ROUNDDOWN(ROUNDUP(INDEX(Upgrades!$C$3:$C$13,MATCH(SUBSTITUTE(Q69,""Sell_"",""""),Upgrades!$B$3:$B$13,0))*1.15^(COUNTIF(Q$4:Q68,SUBSTITUTE(Q69,""Sell_"",""""))-COUNTIF(Q$4:Q68,""Sell_"&amp;"""&amp;SUBSTITUTE(Q69,""Sell_"",""""))))/2),ROUNDUP(INDEX(Upgrades!$C$3:$C$13,MATCH(Q69,Upgrades!$B$3:$B$13,0))*1.15^(COUNTIF(Q$4:Q68,Q69)-COUNTIF(Q$4:Q68,""Sell_""&amp;Q69))))))"),3538.0)</f>
        <v>3538</v>
      </c>
      <c r="V69" s="10">
        <f t="shared" si="11"/>
        <v>3538</v>
      </c>
      <c r="W69" s="68">
        <f t="shared" si="12"/>
        <v>2142.528349</v>
      </c>
      <c r="X69" s="59" t="str">
        <f t="shared" si="13"/>
        <v>35m 42s</v>
      </c>
      <c r="Y69" s="69">
        <f t="shared" si="14"/>
        <v>1280455</v>
      </c>
      <c r="Z69" s="11"/>
    </row>
    <row r="70">
      <c r="A70" s="8"/>
      <c r="B70" s="56">
        <f t="shared" si="2"/>
        <v>4</v>
      </c>
      <c r="C70" s="57" t="s">
        <v>9</v>
      </c>
      <c r="D70" s="10" t="b">
        <f>IFERROR(__xludf.DUMMYFUNCTION("IF(COUNTA(C70:C1673)=0,"""",IF(ISBLANK(C70),FALSE,IF(NOT(COUNTIF($AA$24:$AA$34,SUBSTITUTE(C70,""Sell_"",""""))),1,IF(REGEXMATCH(C70,""Sell_""),IF(COUNTIF(C$4:C70,SUBSTITUTE(C70,""Sell_"",""""))-COUNTIF(C$4:C69,C70)&lt;1,1),FALSE))))"),FALSE)</f>
        <v>0</v>
      </c>
      <c r="E70" s="59">
        <f t="array" ref="E70">IF(COUNTA(C70:C1673)=0,"",SUM((COUNTIF(C$4:C70,Upgrades!$B$3:$B$13)-COUNTIF(C$4:C70,"Sell_"&amp;Upgrades!$B$3:$B$13))*Upgrades!$D$3:$D$13))</f>
        <v>2706.8</v>
      </c>
      <c r="F70" s="66">
        <f>IFERROR(__xludf.DUMMYFUNCTION("IF(COUNTA(C70:C1673)=0,"""",IF(REGEXMATCH(INDEX(FILTER(C$4:C70,C$4:C70&lt;&gt;""""),ROWS(FILTER(C$4:C70,C$4:C70&lt;&gt;""""))),""^Sell_""),INDEX(FILTER(F$4:F69,C$4:C69&lt;&gt;""""),ROWS(FILTER(C$4:C69,C$4:C69&lt;&gt;""""))),$AC$5+E70))"),2721.8)</f>
        <v>2721.8</v>
      </c>
      <c r="G70" s="10">
        <f>IFERROR(__xludf.DUMMYFUNCTION("IF(COUNTA(C70:C1673)=0,"""",IF(C70="""",0,IF(REGEXMATCH(C70,""^Sell_""),-ROUNDDOWN(ROUNDUP(INDEX(Upgrades!$C$3:$C$13,MATCH(SUBSTITUTE(C70,""Sell_"",""""),Upgrades!$B$3:$B$13,0))*1.15^(COUNTIF(C$4:C69,SUBSTITUTE(C70,""Sell_"",""""))-COUNTIF(C$4:C69,""Sell_"&amp;"""&amp;SUBSTITUTE(C70,""Sell_"",""""))))/2),ROUNDUP(INDEX(Upgrades!$C$3:$C$13,MATCH(C70,Upgrades!$B$3:$B$13,0))*1.15^(COUNTIF(C$4:C69,C70)-COUNTIF(C$4:C69,""Sell_""&amp;C70))))))"),304175.0)</f>
        <v>304175</v>
      </c>
      <c r="H70" s="10">
        <f t="shared" si="3"/>
        <v>304175</v>
      </c>
      <c r="I70" s="68">
        <f t="shared" si="4"/>
        <v>2273.536618</v>
      </c>
      <c r="J70" s="59" t="str">
        <f t="shared" si="5"/>
        <v>37m 53s</v>
      </c>
      <c r="K70" s="69">
        <f t="shared" si="6"/>
        <v>1584630</v>
      </c>
      <c r="L70" s="60">
        <f t="shared" si="7"/>
        <v>0</v>
      </c>
      <c r="M70" s="61">
        <f>IFERROR(__xludf.DUMMYFUNCTION("IFS(AND(COUNTA(C70:C1673)=0,COUNTA(Q70:Q1673)=0),"""",OR(AND(K70&gt;=1000000000,OR(Y70&gt;=1000000000,COUNTA(Q70:Q1673)=0)),OR(Y70&gt;=1000000000,AND(COUNTA(C70:C1673)=0,P$3=TRUE))),
ROUNDDOWN((AB$1-AC$1)*MAX(INDEX(T$4:T1673,MATCH(LARGE(FILTER(Y$4:Y1673,Y$4:Y1673&lt;"&amp;"1000000000),1),Y$4:Y1673)),INDEX(F$4:F1673,MATCH(LARGE(FILTER(K$4:K1673,K$4:K1673&lt;1000000000),1),K$4:K1673)))),AND(K70&lt;1000000000,COUNTA(C70:C1673)&gt;0,P$3=FALSE),
ROUNDDOWN(INDEX(Y$4:Y1673,MATCH(LARGE(FILTER(W$4:W1673,W$4:W1673&lt;=I70),1),W$4:W1673))+(I70-LA"&amp;"RGE(FILTER(W$4:W1673,W$4:W1673&lt;=I70),1))*INDEX(T$4:T1673,MATCH(LARGE(FILTER(W$4:W1673,W$4:W1673&lt;=I70),1),W$4:W1673))-K70),1,
ROUNDDOWN(Y70-INDEX(K$4:K1673,MATCH(LARGE(FILTER(I$4:I1673,I$4:I1673&lt;=W70),1),I$4:I1673))-(W70-LARGE(FILTER(I$4:I1673,I$4:I1673&lt;=W"&amp;"70),1))*INDEX(F$4:F1673,MATCH(LARGE(FILTER(I$4:I1673,I$4:I1673&lt;=W70),1),I$4:I1673))))"),0.0)</f>
        <v>0</v>
      </c>
      <c r="N70" s="60">
        <f t="shared" si="8"/>
        <v>0</v>
      </c>
      <c r="O70" s="61">
        <f t="shared" si="9"/>
        <v>0</v>
      </c>
      <c r="P70" s="56">
        <f t="shared" si="10"/>
        <v>4</v>
      </c>
      <c r="Q70" s="67" t="s">
        <v>9</v>
      </c>
      <c r="R70" s="10" t="b">
        <f>IFERROR(__xludf.DUMMYFUNCTION("IF(COUNTA(Q70:Q1673)=0,"""",IF(ISBLANK(Q70),FALSE,IF(NOT(COUNTIF($AA$24:$AA$34,SUBSTITUTE(Q70,""Sell_"",""""))),1,IF(REGEXMATCH(Q70,""Sell_""),IF(COUNTIF(Q$4:Q70,SUBSTITUTE(Q70,""Sell_"",""""))-COUNTIF(Q$4:Q69,Q70)&lt;1,1),FALSE))))"),FALSE)</f>
        <v>0</v>
      </c>
      <c r="S70" s="59">
        <f t="array" ref="S70">IF(COUNTA(Q70:Q1673)=0,"",SUM((COUNTIF(Q$4:Q70,Upgrades!$B$3:$B$13)-COUNTIF(Q$4:Q70,"Sell_"&amp;Upgrades!$B$3:$B$13))*Upgrades!$D$3:$D$13))</f>
        <v>2706.8</v>
      </c>
      <c r="T70" s="66">
        <f>IFERROR(__xludf.DUMMYFUNCTION("IF(COUNTA(Q70:Q1673)=0,"""",IF(REGEXMATCH(INDEX(FILTER(Q$4:Q70,Q$4:Q70&lt;&gt;""""),ROWS(FILTER(Q$4:Q70,Q$4:Q70&lt;&gt;""""))),""^Sell_""),INDEX(FILTER(T$4:T69,Q$4:Q69&lt;&gt;""""),ROWS(FILTER(Q$4:Q69,Q$4:Q69&lt;&gt;""""))),$AD$5+S70))"),2721.8)</f>
        <v>2721.8</v>
      </c>
      <c r="U70" s="10">
        <f>IFERROR(__xludf.DUMMYFUNCTION("IF(COUNTA(Q70:Q1673)=0,"""",IF(Q70="""",0,IF(REGEXMATCH(Q70,""^Sell_""),-ROUNDDOWN(ROUNDUP(INDEX(Upgrades!$C$3:$C$13,MATCH(SUBSTITUTE(Q70,""Sell_"",""""),Upgrades!$B$3:$B$13,0))*1.15^(COUNTIF(Q$4:Q69,SUBSTITUTE(Q70,""Sell_"",""""))-COUNTIF(Q$4:Q69,""Sell_"&amp;"""&amp;SUBSTITUTE(Q70,""Sell_"",""""))))/2),ROUNDUP(INDEX(Upgrades!$C$3:$C$13,MATCH(Q70,Upgrades!$B$3:$B$13,0))*1.15^(COUNTIF(Q$4:Q69,Q70)-COUNTIF(Q$4:Q69,""Sell_""&amp;Q70))))))"),304175.0)</f>
        <v>304175</v>
      </c>
      <c r="V70" s="10">
        <f t="shared" si="11"/>
        <v>304175</v>
      </c>
      <c r="W70" s="68">
        <f t="shared" si="12"/>
        <v>2273.536618</v>
      </c>
      <c r="X70" s="59" t="str">
        <f t="shared" si="13"/>
        <v>37m 53s</v>
      </c>
      <c r="Y70" s="69">
        <f t="shared" si="14"/>
        <v>1584630</v>
      </c>
      <c r="Z70" s="11"/>
    </row>
    <row r="71">
      <c r="A71" s="8"/>
      <c r="B71" s="56">
        <f t="shared" si="2"/>
        <v>1</v>
      </c>
      <c r="C71" s="57" t="s">
        <v>60</v>
      </c>
      <c r="D71" s="10" t="b">
        <f>IFERROR(__xludf.DUMMYFUNCTION("IF(COUNTA(C71:C1673)=0,"""",IF(ISBLANK(C71),FALSE,IF(NOT(COUNTIF($AA$24:$AA$34,SUBSTITUTE(C71,""Sell_"",""""))),1,IF(REGEXMATCH(C71,""Sell_""),IF(COUNTIF(C$4:C71,SUBSTITUTE(C71,""Sell_"",""""))-COUNTIF(C$4:C70,C71)&lt;1,1),FALSE))))"),FALSE)</f>
        <v>0</v>
      </c>
      <c r="E71" s="59">
        <f t="array" ref="E71">IF(COUNTA(C71:C1673)=0,"",SUM((COUNTIF(C$4:C71,Upgrades!$B$3:$B$13)-COUNTIF(C$4:C71,"Sell_"&amp;Upgrades!$B$3:$B$13))*Upgrades!$D$3:$D$13))</f>
        <v>2306.8</v>
      </c>
      <c r="F71" s="66">
        <f>IFERROR(__xludf.DUMMYFUNCTION("IF(COUNTA(C71:C1673)=0,"""",IF(REGEXMATCH(INDEX(FILTER(C$4:C71,C$4:C71&lt;&gt;""""),ROWS(FILTER(C$4:C71,C$4:C71&lt;&gt;""""))),""^Sell_""),INDEX(FILTER(F$4:F70,C$4:C70&lt;&gt;""""),ROWS(FILTER(C$4:C70,C$4:C70&lt;&gt;""""))),$AC$5+E71))"),2721.8)</f>
        <v>2721.8</v>
      </c>
      <c r="G71" s="10">
        <f>IFERROR(__xludf.DUMMYFUNCTION("IF(COUNTA(C71:C1673)=0,"""",IF(C71="""",0,IF(REGEXMATCH(C71,""^Sell_""),-ROUNDDOWN(ROUNDUP(INDEX(Upgrades!$C$3:$C$13,MATCH(SUBSTITUTE(C71,""Sell_"",""""),Upgrades!$B$3:$B$13,0))*1.15^(COUNTIF(C$4:C70,SUBSTITUTE(C71,""Sell_"",""""))-COUNTIF(C$4:C70,""Sell_"&amp;"""&amp;SUBSTITUTE(C71,""Sell_"",""""))))/2),ROUNDUP(INDEX(Upgrades!$C$3:$C$13,MATCH(C71,Upgrades!$B$3:$B$13,0))*1.15^(COUNTIF(C$4:C70,C71)-COUNTIF(C$4:C70,""Sell_""&amp;C71))))))"),-174901.0)</f>
        <v>-174901</v>
      </c>
      <c r="H71" s="10">
        <f t="shared" si="3"/>
        <v>-174901</v>
      </c>
      <c r="I71" s="68">
        <f t="shared" si="4"/>
        <v>2273.536618</v>
      </c>
      <c r="J71" s="59" t="str">
        <f t="shared" si="5"/>
        <v>37m 53s</v>
      </c>
      <c r="K71" s="69">
        <f t="shared" si="6"/>
        <v>1584630</v>
      </c>
      <c r="L71" s="60">
        <f t="shared" si="7"/>
        <v>0</v>
      </c>
      <c r="M71" s="61">
        <f>IFERROR(__xludf.DUMMYFUNCTION("IFS(AND(COUNTA(C71:C1673)=0,COUNTA(Q71:Q1673)=0),"""",OR(AND(K71&gt;=1000000000,OR(Y71&gt;=1000000000,COUNTA(Q71:Q1673)=0)),OR(Y71&gt;=1000000000,AND(COUNTA(C71:C1673)=0,P$3=TRUE))),
ROUNDDOWN((AB$1-AC$1)*MAX(INDEX(T$4:T1673,MATCH(LARGE(FILTER(Y$4:Y1673,Y$4:Y1673&lt;"&amp;"1000000000),1),Y$4:Y1673)),INDEX(F$4:F1673,MATCH(LARGE(FILTER(K$4:K1673,K$4:K1673&lt;1000000000),1),K$4:K1673)))),AND(K71&lt;1000000000,COUNTA(C71:C1673)&gt;0,P$3=FALSE),
ROUNDDOWN(INDEX(Y$4:Y1673,MATCH(LARGE(FILTER(W$4:W1673,W$4:W1673&lt;=I71),1),W$4:W1673))+(I71-LA"&amp;"RGE(FILTER(W$4:W1673,W$4:W1673&lt;=I71),1))*INDEX(T$4:T1673,MATCH(LARGE(FILTER(W$4:W1673,W$4:W1673&lt;=I71),1),W$4:W1673))-K71),1,
ROUNDDOWN(Y71-INDEX(K$4:K1673,MATCH(LARGE(FILTER(I$4:I1673,I$4:I1673&lt;=W71),1),I$4:I1673))-(W71-LARGE(FILTER(I$4:I1673,I$4:I1673&lt;=W"&amp;"71),1))*INDEX(F$4:F1673,MATCH(LARGE(FILTER(I$4:I1673,I$4:I1673&lt;=W71),1),I$4:I1673))))"),0.0)</f>
        <v>0</v>
      </c>
      <c r="N71" s="60">
        <f t="shared" si="8"/>
        <v>0</v>
      </c>
      <c r="O71" s="61">
        <f t="shared" si="9"/>
        <v>0</v>
      </c>
      <c r="P71" s="56">
        <f t="shared" si="10"/>
        <v>1</v>
      </c>
      <c r="Q71" s="67" t="s">
        <v>60</v>
      </c>
      <c r="R71" s="10" t="b">
        <f>IFERROR(__xludf.DUMMYFUNCTION("IF(COUNTA(Q71:Q1673)=0,"""",IF(ISBLANK(Q71),FALSE,IF(NOT(COUNTIF($AA$24:$AA$34,SUBSTITUTE(Q71,""Sell_"",""""))),1,IF(REGEXMATCH(Q71,""Sell_""),IF(COUNTIF(Q$4:Q71,SUBSTITUTE(Q71,""Sell_"",""""))-COUNTIF(Q$4:Q70,Q71)&lt;1,1),FALSE))))"),FALSE)</f>
        <v>0</v>
      </c>
      <c r="S71" s="59">
        <f t="array" ref="S71">IF(COUNTA(Q71:Q1673)=0,"",SUM((COUNTIF(Q$4:Q71,Upgrades!$B$3:$B$13)-COUNTIF(Q$4:Q71,"Sell_"&amp;Upgrades!$B$3:$B$13))*Upgrades!$D$3:$D$13))</f>
        <v>2306.8</v>
      </c>
      <c r="T71" s="66">
        <f>IFERROR(__xludf.DUMMYFUNCTION("IF(COUNTA(Q71:Q1673)=0,"""",IF(REGEXMATCH(INDEX(FILTER(Q$4:Q71,Q$4:Q71&lt;&gt;""""),ROWS(FILTER(Q$4:Q71,Q$4:Q71&lt;&gt;""""))),""^Sell_""),INDEX(FILTER(T$4:T70,Q$4:Q70&lt;&gt;""""),ROWS(FILTER(Q$4:Q70,Q$4:Q70&lt;&gt;""""))),$AD$5+S71))"),2721.8)</f>
        <v>2721.8</v>
      </c>
      <c r="U71" s="10">
        <f>IFERROR(__xludf.DUMMYFUNCTION("IF(COUNTA(Q71:Q1673)=0,"""",IF(Q71="""",0,IF(REGEXMATCH(Q71,""^Sell_""),-ROUNDDOWN(ROUNDUP(INDEX(Upgrades!$C$3:$C$13,MATCH(SUBSTITUTE(Q71,""Sell_"",""""),Upgrades!$B$3:$B$13,0))*1.15^(COUNTIF(Q$4:Q70,SUBSTITUTE(Q71,""Sell_"",""""))-COUNTIF(Q$4:Q70,""Sell_"&amp;"""&amp;SUBSTITUTE(Q71,""Sell_"",""""))))/2),ROUNDUP(INDEX(Upgrades!$C$3:$C$13,MATCH(Q71,Upgrades!$B$3:$B$13,0))*1.15^(COUNTIF(Q$4:Q70,Q71)-COUNTIF(Q$4:Q70,""Sell_""&amp;Q71))))))"),-174901.0)</f>
        <v>-174901</v>
      </c>
      <c r="V71" s="10">
        <f t="shared" si="11"/>
        <v>-174901</v>
      </c>
      <c r="W71" s="68">
        <f t="shared" si="12"/>
        <v>2273.536618</v>
      </c>
      <c r="X71" s="59" t="str">
        <f t="shared" si="13"/>
        <v>37m 53s</v>
      </c>
      <c r="Y71" s="69">
        <f t="shared" si="14"/>
        <v>1584630</v>
      </c>
      <c r="Z71" s="11"/>
    </row>
    <row r="72">
      <c r="A72" s="8"/>
      <c r="B72" s="56">
        <f t="shared" si="2"/>
        <v>1</v>
      </c>
      <c r="C72" s="57" t="s">
        <v>10</v>
      </c>
      <c r="D72" s="10" t="b">
        <f>IFERROR(__xludf.DUMMYFUNCTION("IF(COUNTA(C72:C1673)=0,"""",IF(ISBLANK(C72),FALSE,IF(NOT(COUNTIF($AA$24:$AA$34,SUBSTITUTE(C72,""Sell_"",""""))),1,IF(REGEXMATCH(C72,""Sell_""),IF(COUNTIF(C$4:C72,SUBSTITUTE(C72,""Sell_"",""""))-COUNTIF(C$4:C71,C72)&lt;1,1),FALSE))))"),FALSE)</f>
        <v>0</v>
      </c>
      <c r="E72" s="59">
        <f t="array" ref="E72">IF(COUNTA(C72:C1673)=0,"",SUM((COUNTIF(C$4:C72,Upgrades!$B$3:$B$13)-COUNTIF(C$4:C72,"Sell_"&amp;Upgrades!$B$3:$B$13))*Upgrades!$D$3:$D$13))</f>
        <v>8972.8</v>
      </c>
      <c r="F72" s="66">
        <f>IFERROR(__xludf.DUMMYFUNCTION("IF(COUNTA(C72:C1673)=0,"""",IF(REGEXMATCH(INDEX(FILTER(C$4:C72,C$4:C72&lt;&gt;""""),ROWS(FILTER(C$4:C72,C$4:C72&lt;&gt;""""))),""^Sell_""),INDEX(FILTER(F$4:F71,C$4:C71&lt;&gt;""""),ROWS(FILTER(C$4:C71,C$4:C71&lt;&gt;""""))),$AC$5+E72))"),8987.8)</f>
        <v>8987.8</v>
      </c>
      <c r="G72" s="10">
        <f>IFERROR(__xludf.DUMMYFUNCTION("IF(COUNTA(C72:C1673)=0,"""",IF(C72="""",0,IF(REGEXMATCH(C72,""^Sell_""),-ROUNDDOWN(ROUNDUP(INDEX(Upgrades!$C$3:$C$13,MATCH(SUBSTITUTE(C72,""Sell_"",""""),Upgrades!$B$3:$B$13,0))*1.15^(COUNTIF(C$4:C71,SUBSTITUTE(C72,""Sell_"",""""))-COUNTIF(C$4:C71,""Sell_"&amp;"""&amp;SUBSTITUTE(C72,""Sell_"",""""))))/2),ROUNDUP(INDEX(Upgrades!$C$3:$C$13,MATCH(C72,Upgrades!$B$3:$B$13,0))*1.15^(COUNTIF(C$4:C71,C72)-COUNTIF(C$4:C71,""Sell_""&amp;C72))))))"),1666666.0)</f>
        <v>1666666</v>
      </c>
      <c r="H72" s="10">
        <f t="shared" si="3"/>
        <v>1491765</v>
      </c>
      <c r="I72" s="68">
        <f t="shared" si="4"/>
        <v>2821.616933</v>
      </c>
      <c r="J72" s="59" t="str">
        <f t="shared" si="5"/>
        <v>47m 01s</v>
      </c>
      <c r="K72" s="69">
        <f t="shared" si="6"/>
        <v>3076395</v>
      </c>
      <c r="L72" s="60">
        <f t="shared" si="7"/>
        <v>-141.33492</v>
      </c>
      <c r="M72" s="61">
        <f>IFERROR(__xludf.DUMMYFUNCTION("IFS(AND(COUNTA(C72:C1673)=0,COUNTA(Q72:Q1673)=0),"""",OR(AND(K72&gt;=1000000000,OR(Y72&gt;=1000000000,COUNTA(Q72:Q1673)=0)),OR(Y72&gt;=1000000000,AND(COUNTA(C72:C1673)=0,P$3=TRUE))),
ROUNDDOWN((AB$1-AC$1)*MAX(INDEX(T$4:T1673,MATCH(LARGE(FILTER(Y$4:Y1673,Y$4:Y1673&lt;"&amp;"1000000000),1),Y$4:Y1673)),INDEX(F$4:F1673,MATCH(LARGE(FILTER(K$4:K1673,K$4:K1673&lt;1000000000),1),K$4:K1673)))),AND(K72&lt;1000000000,COUNTA(C72:C1673)&gt;0,P$3=FALSE),
ROUNDDOWN(INDEX(Y$4:Y1673,MATCH(LARGE(FILTER(W$4:W1673,W$4:W1673&lt;=I72),1),W$4:W1673))+(I72-LA"&amp;"RGE(FILTER(W$4:W1673,W$4:W1673&lt;=I72),1))*INDEX(T$4:T1673,MATCH(LARGE(FILTER(W$4:W1673,W$4:W1673&lt;=I72),1),W$4:W1673))-K72),1,
ROUNDDOWN(Y72-INDEX(K$4:K1673,MATCH(LARGE(FILTER(I$4:I1673,I$4:I1673&lt;=W72),1),I$4:I1673))-(W72-LARGE(FILTER(I$4:I1673,I$4:I1673&lt;=W"&amp;"72),1))*INDEX(F$4:F1673,MATCH(LARGE(FILTER(I$4:I1673,I$4:I1673&lt;=W72),1),I$4:I1673))))"),1100688.0)</f>
        <v>1100688</v>
      </c>
      <c r="N72" s="60">
        <f t="shared" si="8"/>
        <v>-141.33492</v>
      </c>
      <c r="O72" s="61" t="str">
        <f t="shared" si="9"/>
        <v>1,1M</v>
      </c>
      <c r="P72" s="56">
        <f t="shared" si="10"/>
        <v>2</v>
      </c>
      <c r="Q72" s="67" t="s">
        <v>60</v>
      </c>
      <c r="R72" s="10" t="b">
        <f>IFERROR(__xludf.DUMMYFUNCTION("IF(COUNTA(Q72:Q1673)=0,"""",IF(ISBLANK(Q72),FALSE,IF(NOT(COUNTIF($AA$24:$AA$34,SUBSTITUTE(Q72,""Sell_"",""""))),1,IF(REGEXMATCH(Q72,""Sell_""),IF(COUNTIF(Q$4:Q72,SUBSTITUTE(Q72,""Sell_"",""""))-COUNTIF(Q$4:Q71,Q72)&lt;1,1),FALSE))))"),FALSE)</f>
        <v>0</v>
      </c>
      <c r="S72" s="59">
        <f t="array" ref="S72">IF(COUNTA(Q72:Q1673)=0,"",SUM((COUNTIF(Q$4:Q72,Upgrades!$B$3:$B$13)-COUNTIF(Q$4:Q72,"Sell_"&amp;Upgrades!$B$3:$B$13))*Upgrades!$D$3:$D$13))</f>
        <v>1906.8</v>
      </c>
      <c r="T72" s="66">
        <f>IFERROR(__xludf.DUMMYFUNCTION("IF(COUNTA(Q72:Q1673)=0,"""",IF(REGEXMATCH(INDEX(FILTER(Q$4:Q72,Q$4:Q72&lt;&gt;""""),ROWS(FILTER(Q$4:Q72,Q$4:Q72&lt;&gt;""""))),""^Sell_""),INDEX(FILTER(T$4:T71,Q$4:Q71&lt;&gt;""""),ROWS(FILTER(Q$4:Q71,Q$4:Q71&lt;&gt;""""))),$AD$5+S72))"),2721.8)</f>
        <v>2721.8</v>
      </c>
      <c r="U72" s="10">
        <f>IFERROR(__xludf.DUMMYFUNCTION("IF(COUNTA(Q72:Q1673)=0,"""",IF(Q72="""",0,IF(REGEXMATCH(Q72,""^Sell_""),-ROUNDDOWN(ROUNDUP(INDEX(Upgrades!$C$3:$C$13,MATCH(SUBSTITUTE(Q72,""Sell_"",""""),Upgrades!$B$3:$B$13,0))*1.15^(COUNTIF(Q$4:Q71,SUBSTITUTE(Q72,""Sell_"",""""))-COUNTIF(Q$4:Q71,""Sell_"&amp;"""&amp;SUBSTITUTE(Q72,""Sell_"",""""))))/2),ROUNDUP(INDEX(Upgrades!$C$3:$C$13,MATCH(Q72,Upgrades!$B$3:$B$13,0))*1.15^(COUNTIF(Q$4:Q71,Q72)-COUNTIF(Q$4:Q71,""Sell_""&amp;Q72))))))"),-152087.0)</f>
        <v>-152087</v>
      </c>
      <c r="V72" s="10">
        <f t="shared" si="11"/>
        <v>-326988</v>
      </c>
      <c r="W72" s="68">
        <f t="shared" si="12"/>
        <v>2273.536618</v>
      </c>
      <c r="X72" s="59" t="str">
        <f t="shared" si="13"/>
        <v>37m 53s</v>
      </c>
      <c r="Y72" s="69">
        <f t="shared" si="14"/>
        <v>1584630</v>
      </c>
      <c r="Z72" s="11"/>
    </row>
    <row r="73">
      <c r="A73" s="8"/>
      <c r="B73" s="56">
        <f t="shared" si="2"/>
        <v>14</v>
      </c>
      <c r="C73" s="57" t="s">
        <v>3</v>
      </c>
      <c r="D73" s="10" t="b">
        <f>IFERROR(__xludf.DUMMYFUNCTION("IF(COUNTA(C73:C1673)=0,"""",IF(ISBLANK(C73),FALSE,IF(NOT(COUNTIF($AA$24:$AA$34,SUBSTITUTE(C73,""Sell_"",""""))),1,IF(REGEXMATCH(C73,""Sell_""),IF(COUNTIF(C$4:C73,SUBSTITUTE(C73,""Sell_"",""""))-COUNTIF(C$4:C72,C73)&lt;1,1),FALSE))))"),FALSE)</f>
        <v>0</v>
      </c>
      <c r="E73" s="59">
        <f t="array" ref="E73">IF(COUNTA(C73:C1673)=0,"",SUM((COUNTIF(C$4:C73,Upgrades!$B$3:$B$13)-COUNTIF(C$4:C73,"Sell_"&amp;Upgrades!$B$3:$B$13))*Upgrades!$D$3:$D$13))</f>
        <v>8972.9</v>
      </c>
      <c r="F73" s="66">
        <f>IFERROR(__xludf.DUMMYFUNCTION("IF(COUNTA(C73:C1673)=0,"""",IF(REGEXMATCH(INDEX(FILTER(C$4:C73,C$4:C73&lt;&gt;""""),ROWS(FILTER(C$4:C73,C$4:C73&lt;&gt;""""))),""^Sell_""),INDEX(FILTER(F$4:F72,C$4:C72&lt;&gt;""""),ROWS(FILTER(C$4:C72,C$4:C72&lt;&gt;""""))),$AC$5+E73))"),8987.9)</f>
        <v>8987.9</v>
      </c>
      <c r="G73" s="10">
        <f>IFERROR(__xludf.DUMMYFUNCTION("IF(COUNTA(C73:C1673)=0,"""",IF(C73="""",0,IF(REGEXMATCH(C73,""^Sell_""),-ROUNDDOWN(ROUNDUP(INDEX(Upgrades!$C$3:$C$13,MATCH(SUBSTITUTE(C73,""Sell_"",""""),Upgrades!$B$3:$B$13,0))*1.15^(COUNTIF(C$4:C72,SUBSTITUTE(C73,""Sell_"",""""))-COUNTIF(C$4:C72,""Sell_"&amp;"""&amp;SUBSTITUTE(C73,""Sell_"",""""))))/2),ROUNDUP(INDEX(Upgrades!$C$3:$C$13,MATCH(C73,Upgrades!$B$3:$B$13,0))*1.15^(COUNTIF(C$4:C72,C73)-COUNTIF(C$4:C72,""Sell_""&amp;C73))))))"),93.0)</f>
        <v>93</v>
      </c>
      <c r="H73" s="10">
        <f t="shared" si="3"/>
        <v>93</v>
      </c>
      <c r="I73" s="68">
        <f t="shared" si="4"/>
        <v>2821.62728</v>
      </c>
      <c r="J73" s="59" t="str">
        <f t="shared" si="5"/>
        <v>47m 01s</v>
      </c>
      <c r="K73" s="69">
        <f t="shared" si="6"/>
        <v>3076488</v>
      </c>
      <c r="L73" s="60">
        <f t="shared" si="7"/>
        <v>-141.33333</v>
      </c>
      <c r="M73" s="61">
        <f>IFERROR(__xludf.DUMMYFUNCTION("IFS(AND(COUNTA(C73:C1673)=0,COUNTA(Q73:Q1673)=0),"""",OR(AND(K73&gt;=1000000000,OR(Y73&gt;=1000000000,COUNTA(Q73:Q1673)=0)),OR(Y73&gt;=1000000000,AND(COUNTA(C73:C1673)=0,P$3=TRUE))),
ROUNDDOWN((AB$1-AC$1)*MAX(INDEX(T$4:T1673,MATCH(LARGE(FILTER(Y$4:Y1673,Y$4:Y1673&lt;"&amp;"1000000000),1),Y$4:Y1673)),INDEX(F$4:F1673,MATCH(LARGE(FILTER(K$4:K1673,K$4:K1673&lt;1000000000),1),K$4:K1673)))),AND(K73&lt;1000000000,COUNTA(C73:C1673)&gt;0,P$3=FALSE),
ROUNDDOWN(INDEX(Y$4:Y1673,MATCH(LARGE(FILTER(W$4:W1673,W$4:W1673&lt;=I73),1),W$4:W1673))+(I73-LA"&amp;"RGE(FILTER(W$4:W1673,W$4:W1673&lt;=I73),1))*INDEX(T$4:T1673,MATCH(LARGE(FILTER(W$4:W1673,W$4:W1673&lt;=I73),1),W$4:W1673))-K73),1,
ROUNDDOWN(Y73-INDEX(K$4:K1673,MATCH(LARGE(FILTER(I$4:I1673,I$4:I1673&lt;=W73),1),I$4:I1673))-(W73-LARGE(FILTER(I$4:I1673,I$4:I1673&lt;=W"&amp;"73),1))*INDEX(F$4:F1673,MATCH(LARGE(FILTER(I$4:I1673,I$4:I1673&lt;=W73),1),I$4:I1673))))"),1100675.0)</f>
        <v>1100675</v>
      </c>
      <c r="N73" s="60">
        <f t="shared" si="8"/>
        <v>-141.33333</v>
      </c>
      <c r="O73" s="61" t="str">
        <f t="shared" si="9"/>
        <v>1,1M</v>
      </c>
      <c r="P73" s="56">
        <f t="shared" si="10"/>
        <v>3</v>
      </c>
      <c r="Q73" s="67" t="s">
        <v>60</v>
      </c>
      <c r="R73" s="10" t="b">
        <f>IFERROR(__xludf.DUMMYFUNCTION("IF(COUNTA(Q73:Q1673)=0,"""",IF(ISBLANK(Q73),FALSE,IF(NOT(COUNTIF($AA$24:$AA$34,SUBSTITUTE(Q73,""Sell_"",""""))),1,IF(REGEXMATCH(Q73,""Sell_""),IF(COUNTIF(Q$4:Q73,SUBSTITUTE(Q73,""Sell_"",""""))-COUNTIF(Q$4:Q72,Q73)&lt;1,1),FALSE))))"),FALSE)</f>
        <v>0</v>
      </c>
      <c r="S73" s="59">
        <f t="array" ref="S73">IF(COUNTA(Q73:Q1673)=0,"",SUM((COUNTIF(Q$4:Q73,Upgrades!$B$3:$B$13)-COUNTIF(Q$4:Q73,"Sell_"&amp;Upgrades!$B$3:$B$13))*Upgrades!$D$3:$D$13))</f>
        <v>1506.8</v>
      </c>
      <c r="T73" s="66">
        <f>IFERROR(__xludf.DUMMYFUNCTION("IF(COUNTA(Q73:Q1673)=0,"""",IF(REGEXMATCH(INDEX(FILTER(Q$4:Q73,Q$4:Q73&lt;&gt;""""),ROWS(FILTER(Q$4:Q73,Q$4:Q73&lt;&gt;""""))),""^Sell_""),INDEX(FILTER(T$4:T72,Q$4:Q72&lt;&gt;""""),ROWS(FILTER(Q$4:Q72,Q$4:Q72&lt;&gt;""""))),$AD$5+S73))"),2721.8)</f>
        <v>2721.8</v>
      </c>
      <c r="U73" s="10">
        <f>IFERROR(__xludf.DUMMYFUNCTION("IF(COUNTA(Q73:Q1673)=0,"""",IF(Q73="""",0,IF(REGEXMATCH(Q73,""^Sell_""),-ROUNDDOWN(ROUNDUP(INDEX(Upgrades!$C$3:$C$13,MATCH(SUBSTITUTE(Q73,""Sell_"",""""),Upgrades!$B$3:$B$13,0))*1.15^(COUNTIF(Q$4:Q72,SUBSTITUTE(Q73,""Sell_"",""""))-COUNTIF(Q$4:Q72,""Sell_"&amp;"""&amp;SUBSTITUTE(Q73,""Sell_"",""""))))/2),ROUNDUP(INDEX(Upgrades!$C$3:$C$13,MATCH(Q73,Upgrades!$B$3:$B$13,0))*1.15^(COUNTIF(Q$4:Q72,Q73)-COUNTIF(Q$4:Q72,""Sell_""&amp;Q73))))))"),-132250.0)</f>
        <v>-132250</v>
      </c>
      <c r="V73" s="10">
        <f t="shared" si="11"/>
        <v>-459238</v>
      </c>
      <c r="W73" s="68">
        <f t="shared" si="12"/>
        <v>2273.536618</v>
      </c>
      <c r="X73" s="59" t="str">
        <f t="shared" si="13"/>
        <v>37m 53s</v>
      </c>
      <c r="Y73" s="69">
        <f t="shared" si="14"/>
        <v>1584630</v>
      </c>
      <c r="Z73" s="11"/>
    </row>
    <row r="74">
      <c r="A74" s="8"/>
      <c r="B74" s="56">
        <f t="shared" si="2"/>
        <v>2</v>
      </c>
      <c r="C74" s="57" t="s">
        <v>60</v>
      </c>
      <c r="D74" s="10" t="b">
        <f>IFERROR(__xludf.DUMMYFUNCTION("IF(COUNTA(C74:C1673)=0,"""",IF(ISBLANK(C74),FALSE,IF(NOT(COUNTIF($AA$24:$AA$34,SUBSTITUTE(C74,""Sell_"",""""))),1,IF(REGEXMATCH(C74,""Sell_""),IF(COUNTIF(C$4:C74,SUBSTITUTE(C74,""Sell_"",""""))-COUNTIF(C$4:C73,C74)&lt;1,1),FALSE))))"),FALSE)</f>
        <v>0</v>
      </c>
      <c r="E74" s="59">
        <f t="array" ref="E74">IF(COUNTA(C74:C1673)=0,"",SUM((COUNTIF(C$4:C74,Upgrades!$B$3:$B$13)-COUNTIF(C$4:C74,"Sell_"&amp;Upgrades!$B$3:$B$13))*Upgrades!$D$3:$D$13))</f>
        <v>8572.9</v>
      </c>
      <c r="F74" s="66">
        <f>IFERROR(__xludf.DUMMYFUNCTION("IF(COUNTA(C74:C1673)=0,"""",IF(REGEXMATCH(INDEX(FILTER(C$4:C74,C$4:C74&lt;&gt;""""),ROWS(FILTER(C$4:C74,C$4:C74&lt;&gt;""""))),""^Sell_""),INDEX(FILTER(F$4:F73,C$4:C73&lt;&gt;""""),ROWS(FILTER(C$4:C73,C$4:C73&lt;&gt;""""))),$AC$5+E74))"),8987.9)</f>
        <v>8987.9</v>
      </c>
      <c r="G74" s="10">
        <f>IFERROR(__xludf.DUMMYFUNCTION("IF(COUNTA(C74:C1673)=0,"""",IF(C74="""",0,IF(REGEXMATCH(C74,""^Sell_""),-ROUNDDOWN(ROUNDUP(INDEX(Upgrades!$C$3:$C$13,MATCH(SUBSTITUTE(C74,""Sell_"",""""),Upgrades!$B$3:$B$13,0))*1.15^(COUNTIF(C$4:C73,SUBSTITUTE(C74,""Sell_"",""""))-COUNTIF(C$4:C73,""Sell_"&amp;"""&amp;SUBSTITUTE(C74,""Sell_"",""""))))/2),ROUNDUP(INDEX(Upgrades!$C$3:$C$13,MATCH(C74,Upgrades!$B$3:$B$13,0))*1.15^(COUNTIF(C$4:C73,C74)-COUNTIF(C$4:C73,""Sell_""&amp;C74))))))"),-152087.0)</f>
        <v>-152087</v>
      </c>
      <c r="H74" s="10">
        <f t="shared" si="3"/>
        <v>-152087</v>
      </c>
      <c r="I74" s="68">
        <f t="shared" si="4"/>
        <v>2821.62728</v>
      </c>
      <c r="J74" s="59" t="str">
        <f t="shared" si="5"/>
        <v>47m 01s</v>
      </c>
      <c r="K74" s="69">
        <f t="shared" si="6"/>
        <v>3076488</v>
      </c>
      <c r="L74" s="60">
        <f t="shared" si="7"/>
        <v>-141.33333</v>
      </c>
      <c r="M74" s="61">
        <f>IFERROR(__xludf.DUMMYFUNCTION("IFS(AND(COUNTA(C74:C1673)=0,COUNTA(Q74:Q1673)=0),"""",OR(AND(K74&gt;=1000000000,OR(Y74&gt;=1000000000,COUNTA(Q74:Q1673)=0)),OR(Y74&gt;=1000000000,AND(COUNTA(C74:C1673)=0,P$3=TRUE))),
ROUNDDOWN((AB$1-AC$1)*MAX(INDEX(T$4:T1673,MATCH(LARGE(FILTER(Y$4:Y1673,Y$4:Y1673&lt;"&amp;"1000000000),1),Y$4:Y1673)),INDEX(F$4:F1673,MATCH(LARGE(FILTER(K$4:K1673,K$4:K1673&lt;1000000000),1),K$4:K1673)))),AND(K74&lt;1000000000,COUNTA(C74:C1673)&gt;0,P$3=FALSE),
ROUNDDOWN(INDEX(Y$4:Y1673,MATCH(LARGE(FILTER(W$4:W1673,W$4:W1673&lt;=I74),1),W$4:W1673))+(I74-LA"&amp;"RGE(FILTER(W$4:W1673,W$4:W1673&lt;=I74),1))*INDEX(T$4:T1673,MATCH(LARGE(FILTER(W$4:W1673,W$4:W1673&lt;=I74),1),W$4:W1673))-K74),1,
ROUNDDOWN(Y74-INDEX(K$4:K1673,MATCH(LARGE(FILTER(I$4:I1673,I$4:I1673&lt;=W74),1),I$4:I1673))-(W74-LARGE(FILTER(I$4:I1673,I$4:I1673&lt;=W"&amp;"74),1))*INDEX(F$4:F1673,MATCH(LARGE(FILTER(I$4:I1673,I$4:I1673&lt;=W74),1),I$4:I1673))))"),1100675.0)</f>
        <v>1100675</v>
      </c>
      <c r="N74" s="60">
        <f t="shared" si="8"/>
        <v>-141.33333</v>
      </c>
      <c r="O74" s="61" t="str">
        <f t="shared" si="9"/>
        <v>1,1M</v>
      </c>
      <c r="P74" s="56">
        <f t="shared" si="10"/>
        <v>1</v>
      </c>
      <c r="Q74" s="67" t="s">
        <v>61</v>
      </c>
      <c r="R74" s="10" t="b">
        <f>IFERROR(__xludf.DUMMYFUNCTION("IF(COUNTA(Q74:Q1673)=0,"""",IF(ISBLANK(Q74),FALSE,IF(NOT(COUNTIF($AA$24:$AA$34,SUBSTITUTE(Q74,""Sell_"",""""))),1,IF(REGEXMATCH(Q74,""Sell_""),IF(COUNTIF(Q$4:Q74,SUBSTITUTE(Q74,""Sell_"",""""))-COUNTIF(Q$4:Q73,Q74)&lt;1,1),FALSE))))"),FALSE)</f>
        <v>0</v>
      </c>
      <c r="S74" s="59">
        <f t="array" ref="S74">IF(COUNTA(Q74:Q1673)=0,"",SUM((COUNTIF(Q$4:Q74,Upgrades!$B$3:$B$13)-COUNTIF(Q$4:Q74,"Sell_"&amp;Upgrades!$B$3:$B$13))*Upgrades!$D$3:$D$13))</f>
        <v>1406.8</v>
      </c>
      <c r="T74" s="66">
        <f>IFERROR(__xludf.DUMMYFUNCTION("IF(COUNTA(Q74:Q1673)=0,"""",IF(REGEXMATCH(INDEX(FILTER(Q$4:Q74,Q$4:Q74&lt;&gt;""""),ROWS(FILTER(Q$4:Q74,Q$4:Q74&lt;&gt;""""))),""^Sell_""),INDEX(FILTER(T$4:T73,Q$4:Q73&lt;&gt;""""),ROWS(FILTER(Q$4:Q73,Q$4:Q73&lt;&gt;""""))),$AD$5+S74))"),2721.8)</f>
        <v>2721.8</v>
      </c>
      <c r="U74" s="10">
        <f>IFERROR(__xludf.DUMMYFUNCTION("IF(COUNTA(Q74:Q1673)=0,"""",IF(Q74="""",0,IF(REGEXMATCH(Q74,""^Sell_""),-ROUNDDOWN(ROUNDUP(INDEX(Upgrades!$C$3:$C$13,MATCH(SUBSTITUTE(Q74,""Sell_"",""""),Upgrades!$B$3:$B$13,0))*1.15^(COUNTIF(Q$4:Q73,SUBSTITUTE(Q74,""Sell_"",""""))-COUNTIF(Q$4:Q73,""Sell_"&amp;"""&amp;SUBSTITUTE(Q74,""Sell_"",""""))))/2),ROUNDUP(INDEX(Upgrades!$C$3:$C$13,MATCH(Q74,Upgrades!$B$3:$B$13,0))*1.15^(COUNTIF(Q$4:Q73,Q74)-COUNTIF(Q$4:Q73,""Sell_""&amp;Q74))))))"),-46261.0)</f>
        <v>-46261</v>
      </c>
      <c r="V74" s="10">
        <f t="shared" si="11"/>
        <v>-505499</v>
      </c>
      <c r="W74" s="68">
        <f t="shared" si="12"/>
        <v>2273.536618</v>
      </c>
      <c r="X74" s="59" t="str">
        <f t="shared" si="13"/>
        <v>37m 53s</v>
      </c>
      <c r="Y74" s="69">
        <f t="shared" si="14"/>
        <v>1584630</v>
      </c>
      <c r="Z74" s="11"/>
    </row>
    <row r="75">
      <c r="A75" s="8"/>
      <c r="B75" s="56">
        <f t="shared" si="2"/>
        <v>2</v>
      </c>
      <c r="C75" s="57" t="s">
        <v>10</v>
      </c>
      <c r="D75" s="10" t="b">
        <f>IFERROR(__xludf.DUMMYFUNCTION("IF(COUNTA(C75:C1673)=0,"""",IF(ISBLANK(C75),FALSE,IF(NOT(COUNTIF($AA$24:$AA$34,SUBSTITUTE(C75,""Sell_"",""""))),1,IF(REGEXMATCH(C75,""Sell_""),IF(COUNTIF(C$4:C75,SUBSTITUTE(C75,""Sell_"",""""))-COUNTIF(C$4:C74,C75)&lt;1,1),FALSE))))"),FALSE)</f>
        <v>0</v>
      </c>
      <c r="E75" s="59">
        <f t="array" ref="E75">IF(COUNTA(C75:C1673)=0,"",SUM((COUNTIF(C$4:C75,Upgrades!$B$3:$B$13)-COUNTIF(C$4:C75,"Sell_"&amp;Upgrades!$B$3:$B$13))*Upgrades!$D$3:$D$13))</f>
        <v>15238.9</v>
      </c>
      <c r="F75" s="66">
        <f>IFERROR(__xludf.DUMMYFUNCTION("IF(COUNTA(C75:C1673)=0,"""",IF(REGEXMATCH(INDEX(FILTER(C$4:C75,C$4:C75&lt;&gt;""""),ROWS(FILTER(C$4:C75,C$4:C75&lt;&gt;""""))),""^Sell_""),INDEX(FILTER(F$4:F74,C$4:C74&lt;&gt;""""),ROWS(FILTER(C$4:C74,C$4:C74&lt;&gt;""""))),$AC$5+E75))"),15253.9)</f>
        <v>15253.9</v>
      </c>
      <c r="G75" s="10">
        <f>IFERROR(__xludf.DUMMYFUNCTION("IF(COUNTA(C75:C1673)=0,"""",IF(C75="""",0,IF(REGEXMATCH(C75,""^Sell_""),-ROUNDDOWN(ROUNDUP(INDEX(Upgrades!$C$3:$C$13,MATCH(SUBSTITUTE(C75,""Sell_"",""""),Upgrades!$B$3:$B$13,0))*1.15^(COUNTIF(C$4:C74,SUBSTITUTE(C75,""Sell_"",""""))-COUNTIF(C$4:C74,""Sell_"&amp;"""&amp;SUBSTITUTE(C75,""Sell_"",""""))))/2),ROUNDUP(INDEX(Upgrades!$C$3:$C$13,MATCH(C75,Upgrades!$B$3:$B$13,0))*1.15^(COUNTIF(C$4:C74,C75)-COUNTIF(C$4:C74,""Sell_""&amp;C75))))))"),1916666.0)</f>
        <v>1916666</v>
      </c>
      <c r="H75" s="10">
        <f t="shared" si="3"/>
        <v>1764579</v>
      </c>
      <c r="I75" s="68">
        <f t="shared" si="4"/>
        <v>3017.955566</v>
      </c>
      <c r="J75" s="59" t="str">
        <f t="shared" si="5"/>
        <v>50m 17s</v>
      </c>
      <c r="K75" s="69">
        <f t="shared" si="6"/>
        <v>4841067</v>
      </c>
      <c r="L75" s="60">
        <f t="shared" si="7"/>
        <v>-129.74294</v>
      </c>
      <c r="M75" s="61">
        <f>IFERROR(__xludf.DUMMYFUNCTION("IFS(AND(COUNTA(C75:C1673)=0,COUNTA(Q75:Q1673)=0),"""",OR(AND(K75&gt;=1000000000,OR(Y75&gt;=1000000000,COUNTA(Q75:Q1673)=0)),OR(Y75&gt;=1000000000,AND(COUNTA(C75:C1673)=0,P$3=TRUE))),
ROUNDDOWN((AB$1-AC$1)*MAX(INDEX(T$4:T1673,MATCH(LARGE(FILTER(Y$4:Y1673,Y$4:Y1673&lt;"&amp;"1000000000),1),Y$4:Y1673)),INDEX(F$4:F1673,MATCH(LARGE(FILTER(K$4:K1673,K$4:K1673&lt;1000000000),1),K$4:K1673)))),AND(K75&lt;1000000000,COUNTA(C75:C1673)&gt;0,P$3=FALSE),
ROUNDDOWN(INDEX(Y$4:Y1673,MATCH(LARGE(FILTER(W$4:W1673,W$4:W1673&lt;=I75),1),W$4:W1673))+(I75-LA"&amp;"RGE(FILTER(W$4:W1673,W$4:W1673&lt;=I75),1))*INDEX(T$4:T1673,MATCH(LARGE(FILTER(W$4:W1673,W$4:W1673&lt;=I75),1),W$4:W1673))-K75),1,
ROUNDDOWN(Y75-INDEX(K$4:K1673,MATCH(LARGE(FILTER(I$4:I1673,I$4:I1673&lt;=W75),1),I$4:I1673))-(W75-LARGE(FILTER(I$4:I1673,I$4:I1673&lt;=W"&amp;"75),1))*INDEX(F$4:F1673,MATCH(LARGE(FILTER(I$4:I1673,I$4:I1673&lt;=W75),1),I$4:I1673))))"),1823381.0)</f>
        <v>1823381</v>
      </c>
      <c r="N75" s="60">
        <f t="shared" si="8"/>
        <v>-129.74294</v>
      </c>
      <c r="O75" s="61" t="str">
        <f t="shared" si="9"/>
        <v>1,8M</v>
      </c>
      <c r="P75" s="56">
        <f t="shared" si="10"/>
        <v>2</v>
      </c>
      <c r="Q75" s="67" t="s">
        <v>61</v>
      </c>
      <c r="R75" s="10" t="b">
        <f>IFERROR(__xludf.DUMMYFUNCTION("IF(COUNTA(Q75:Q1673)=0,"""",IF(ISBLANK(Q75),FALSE,IF(NOT(COUNTIF($AA$24:$AA$34,SUBSTITUTE(Q75,""Sell_"",""""))),1,IF(REGEXMATCH(Q75,""Sell_""),IF(COUNTIF(Q$4:Q75,SUBSTITUTE(Q75,""Sell_"",""""))-COUNTIF(Q$4:Q74,Q75)&lt;1,1),FALSE))))"),FALSE)</f>
        <v>0</v>
      </c>
      <c r="S75" s="59">
        <f t="array" ref="S75">IF(COUNTA(Q75:Q1673)=0,"",SUM((COUNTIF(Q$4:Q75,Upgrades!$B$3:$B$13)-COUNTIF(Q$4:Q75,"Sell_"&amp;Upgrades!$B$3:$B$13))*Upgrades!$D$3:$D$13))</f>
        <v>1306.8</v>
      </c>
      <c r="T75" s="66">
        <f>IFERROR(__xludf.DUMMYFUNCTION("IF(COUNTA(Q75:Q1673)=0,"""",IF(REGEXMATCH(INDEX(FILTER(Q$4:Q75,Q$4:Q75&lt;&gt;""""),ROWS(FILTER(Q$4:Q75,Q$4:Q75&lt;&gt;""""))),""^Sell_""),INDEX(FILTER(T$4:T74,Q$4:Q74&lt;&gt;""""),ROWS(FILTER(Q$4:Q74,Q$4:Q74&lt;&gt;""""))),$AD$5+S75))"),2721.8)</f>
        <v>2721.8</v>
      </c>
      <c r="U75" s="10">
        <f>IFERROR(__xludf.DUMMYFUNCTION("IF(COUNTA(Q75:Q1673)=0,"""",IF(Q75="""",0,IF(REGEXMATCH(Q75,""^Sell_""),-ROUNDDOWN(ROUNDUP(INDEX(Upgrades!$C$3:$C$13,MATCH(SUBSTITUTE(Q75,""Sell_"",""""),Upgrades!$B$3:$B$13,0))*1.15^(COUNTIF(Q$4:Q74,SUBSTITUTE(Q75,""Sell_"",""""))-COUNTIF(Q$4:Q74,""Sell_"&amp;"""&amp;SUBSTITUTE(Q75,""Sell_"",""""))))/2),ROUNDUP(INDEX(Upgrades!$C$3:$C$13,MATCH(Q75,Upgrades!$B$3:$B$13,0))*1.15^(COUNTIF(Q$4:Q74,Q75)-COUNTIF(Q$4:Q74,""Sell_""&amp;Q75))))))"),-40227.0)</f>
        <v>-40227</v>
      </c>
      <c r="V75" s="10">
        <f t="shared" si="11"/>
        <v>-545726</v>
      </c>
      <c r="W75" s="68">
        <f t="shared" si="12"/>
        <v>2273.536618</v>
      </c>
      <c r="X75" s="59" t="str">
        <f t="shared" si="13"/>
        <v>37m 53s</v>
      </c>
      <c r="Y75" s="69">
        <f t="shared" si="14"/>
        <v>1584630</v>
      </c>
      <c r="Z75" s="11"/>
    </row>
    <row r="76">
      <c r="A76" s="8"/>
      <c r="B76" s="56">
        <f t="shared" si="2"/>
        <v>15</v>
      </c>
      <c r="C76" s="57" t="s">
        <v>3</v>
      </c>
      <c r="D76" s="10" t="b">
        <f>IFERROR(__xludf.DUMMYFUNCTION("IF(COUNTA(C76:C1673)=0,"""",IF(ISBLANK(C76),FALSE,IF(NOT(COUNTIF($AA$24:$AA$34,SUBSTITUTE(C76,""Sell_"",""""))),1,IF(REGEXMATCH(C76,""Sell_""),IF(COUNTIF(C$4:C76,SUBSTITUTE(C76,""Sell_"",""""))-COUNTIF(C$4:C75,C76)&lt;1,1),FALSE))))"),FALSE)</f>
        <v>0</v>
      </c>
      <c r="E76" s="59">
        <f t="array" ref="E76">IF(COUNTA(C76:C1673)=0,"",SUM((COUNTIF(C$4:C76,Upgrades!$B$3:$B$13)-COUNTIF(C$4:C76,"Sell_"&amp;Upgrades!$B$3:$B$13))*Upgrades!$D$3:$D$13))</f>
        <v>15239</v>
      </c>
      <c r="F76" s="66">
        <f>IFERROR(__xludf.DUMMYFUNCTION("IF(COUNTA(C76:C1673)=0,"""",IF(REGEXMATCH(INDEX(FILTER(C$4:C76,C$4:C76&lt;&gt;""""),ROWS(FILTER(C$4:C76,C$4:C76&lt;&gt;""""))),""^Sell_""),INDEX(FILTER(F$4:F75,C$4:C75&lt;&gt;""""),ROWS(FILTER(C$4:C75,C$4:C75&lt;&gt;""""))),$AC$5+E76))"),15254.0)</f>
        <v>15254</v>
      </c>
      <c r="G76" s="10">
        <f>IFERROR(__xludf.DUMMYFUNCTION("IF(COUNTA(C76:C1673)=0,"""",IF(C76="""",0,IF(REGEXMATCH(C76,""^Sell_""),-ROUNDDOWN(ROUNDUP(INDEX(Upgrades!$C$3:$C$13,MATCH(SUBSTITUTE(C76,""Sell_"",""""),Upgrades!$B$3:$B$13,0))*1.15^(COUNTIF(C$4:C75,SUBSTITUTE(C76,""Sell_"",""""))-COUNTIF(C$4:C75,""Sell_"&amp;"""&amp;SUBSTITUTE(C76,""Sell_"",""""))))/2),ROUNDUP(INDEX(Upgrades!$C$3:$C$13,MATCH(C76,Upgrades!$B$3:$B$13,0))*1.15^(COUNTIF(C$4:C75,C76)-COUNTIF(C$4:C75,""Sell_""&amp;C76))))))"),107.0)</f>
        <v>107</v>
      </c>
      <c r="H76" s="10">
        <f t="shared" si="3"/>
        <v>107</v>
      </c>
      <c r="I76" s="68">
        <f t="shared" si="4"/>
        <v>3017.96258</v>
      </c>
      <c r="J76" s="59" t="str">
        <f t="shared" si="5"/>
        <v>50m 17s</v>
      </c>
      <c r="K76" s="69">
        <f t="shared" si="6"/>
        <v>4841174</v>
      </c>
      <c r="L76" s="60">
        <f t="shared" si="7"/>
        <v>-129.74234</v>
      </c>
      <c r="M76" s="61">
        <f>IFERROR(__xludf.DUMMYFUNCTION("IFS(AND(COUNTA(C76:C1673)=0,COUNTA(Q76:Q1673)=0),"""",OR(AND(K76&gt;=1000000000,OR(Y76&gt;=1000000000,COUNTA(Q76:Q1673)=0)),OR(Y76&gt;=1000000000,AND(COUNTA(C76:C1673)=0,P$3=TRUE))),
ROUNDDOWN((AB$1-AC$1)*MAX(INDEX(T$4:T1673,MATCH(LARGE(FILTER(Y$4:Y1673,Y$4:Y1673&lt;"&amp;"1000000000),1),Y$4:Y1673)),INDEX(F$4:F1673,MATCH(LARGE(FILTER(K$4:K1673,K$4:K1673&lt;1000000000),1),K$4:K1673)))),AND(K76&lt;1000000000,COUNTA(C76:C1673)&gt;0,P$3=FALSE),
ROUNDDOWN(INDEX(Y$4:Y1673,MATCH(LARGE(FILTER(W$4:W1673,W$4:W1673&lt;=I76),1),W$4:W1673))+(I76-LA"&amp;"RGE(FILTER(W$4:W1673,W$4:W1673&lt;=I76),1))*INDEX(T$4:T1673,MATCH(LARGE(FILTER(W$4:W1673,W$4:W1673&lt;=I76),1),W$4:W1673))-K76),1,
ROUNDDOWN(Y76-INDEX(K$4:K1673,MATCH(LARGE(FILTER(I$4:I1673,I$4:I1673&lt;=W76),1),I$4:I1673))-(W76-LARGE(FILTER(I$4:I1673,I$4:I1673&lt;=W"&amp;"76),1))*INDEX(F$4:F1673,MATCH(LARGE(FILTER(I$4:I1673,I$4:I1673&lt;=W76),1),I$4:I1673))))"),1823372.0)</f>
        <v>1823372</v>
      </c>
      <c r="N76" s="60">
        <f t="shared" si="8"/>
        <v>-129.74234</v>
      </c>
      <c r="O76" s="61" t="str">
        <f t="shared" si="9"/>
        <v>1,8M</v>
      </c>
      <c r="P76" s="56">
        <f t="shared" si="10"/>
        <v>3</v>
      </c>
      <c r="Q76" s="67" t="s">
        <v>61</v>
      </c>
      <c r="R76" s="10" t="b">
        <f>IFERROR(__xludf.DUMMYFUNCTION("IF(COUNTA(Q76:Q1673)=0,"""",IF(ISBLANK(Q76),FALSE,IF(NOT(COUNTIF($AA$24:$AA$34,SUBSTITUTE(Q76,""Sell_"",""""))),1,IF(REGEXMATCH(Q76,""Sell_""),IF(COUNTIF(Q$4:Q76,SUBSTITUTE(Q76,""Sell_"",""""))-COUNTIF(Q$4:Q75,Q76)&lt;1,1),FALSE))))"),FALSE)</f>
        <v>0</v>
      </c>
      <c r="S76" s="59">
        <f t="array" ref="S76">IF(COUNTA(Q76:Q1673)=0,"",SUM((COUNTIF(Q$4:Q76,Upgrades!$B$3:$B$13)-COUNTIF(Q$4:Q76,"Sell_"&amp;Upgrades!$B$3:$B$13))*Upgrades!$D$3:$D$13))</f>
        <v>1206.8</v>
      </c>
      <c r="T76" s="66">
        <f>IFERROR(__xludf.DUMMYFUNCTION("IF(COUNTA(Q76:Q1673)=0,"""",IF(REGEXMATCH(INDEX(FILTER(Q$4:Q76,Q$4:Q76&lt;&gt;""""),ROWS(FILTER(Q$4:Q76,Q$4:Q76&lt;&gt;""""))),""^Sell_""),INDEX(FILTER(T$4:T75,Q$4:Q75&lt;&gt;""""),ROWS(FILTER(Q$4:Q75,Q$4:Q75&lt;&gt;""""))),$AD$5+S76))"),2721.8)</f>
        <v>2721.8</v>
      </c>
      <c r="U76" s="10">
        <f>IFERROR(__xludf.DUMMYFUNCTION("IF(COUNTA(Q76:Q1673)=0,"""",IF(Q76="""",0,IF(REGEXMATCH(Q76,""^Sell_""),-ROUNDDOWN(ROUNDUP(INDEX(Upgrades!$C$3:$C$13,MATCH(SUBSTITUTE(Q76,""Sell_"",""""),Upgrades!$B$3:$B$13,0))*1.15^(COUNTIF(Q$4:Q75,SUBSTITUTE(Q76,""Sell_"",""""))-COUNTIF(Q$4:Q75,""Sell_"&amp;"""&amp;SUBSTITUTE(Q76,""Sell_"",""""))))/2),ROUNDUP(INDEX(Upgrades!$C$3:$C$13,MATCH(Q76,Upgrades!$B$3:$B$13,0))*1.15^(COUNTIF(Q$4:Q75,Q76)-COUNTIF(Q$4:Q75,""Sell_""&amp;Q76))))))"),-34980.0)</f>
        <v>-34980</v>
      </c>
      <c r="V76" s="10">
        <f t="shared" si="11"/>
        <v>-580706</v>
      </c>
      <c r="W76" s="68">
        <f t="shared" si="12"/>
        <v>2273.536618</v>
      </c>
      <c r="X76" s="59" t="str">
        <f t="shared" si="13"/>
        <v>37m 53s</v>
      </c>
      <c r="Y76" s="69">
        <f t="shared" si="14"/>
        <v>1584630</v>
      </c>
      <c r="Z76" s="11"/>
    </row>
    <row r="77">
      <c r="A77" s="8"/>
      <c r="B77" s="56">
        <f t="shared" si="2"/>
        <v>1</v>
      </c>
      <c r="C77" s="57" t="s">
        <v>62</v>
      </c>
      <c r="D77" s="10" t="b">
        <f>IFERROR(__xludf.DUMMYFUNCTION("IF(COUNTA(C77:C1673)=0,"""",IF(ISBLANK(C77),FALSE,IF(NOT(COUNTIF($AA$24:$AA$34,SUBSTITUTE(C77,""Sell_"",""""))),1,IF(REGEXMATCH(C77,""Sell_""),IF(COUNTIF(C$4:C77,SUBSTITUTE(C77,""Sell_"",""""))-COUNTIF(C$4:C76,C77)&lt;1,1),FALSE))))"),FALSE)</f>
        <v>0</v>
      </c>
      <c r="E77" s="59">
        <f t="array" ref="E77">IF(COUNTA(C77:C1673)=0,"",SUM((COUNTIF(C$4:C77,Upgrades!$B$3:$B$13)-COUNTIF(C$4:C77,"Sell_"&amp;Upgrades!$B$3:$B$13))*Upgrades!$D$3:$D$13))</f>
        <v>15235</v>
      </c>
      <c r="F77" s="66">
        <f>IFERROR(__xludf.DUMMYFUNCTION("IF(COUNTA(C77:C1673)=0,"""",IF(REGEXMATCH(INDEX(FILTER(C$4:C77,C$4:C77&lt;&gt;""""),ROWS(FILTER(C$4:C77,C$4:C77&lt;&gt;""""))),""^Sell_""),INDEX(FILTER(F$4:F76,C$4:C76&lt;&gt;""""),ROWS(FILTER(C$4:C76,C$4:C76&lt;&gt;""""))),$AC$5+E77))"),15254.0)</f>
        <v>15254</v>
      </c>
      <c r="G77" s="10">
        <f>IFERROR(__xludf.DUMMYFUNCTION("IF(COUNTA(C77:C1673)=0,"""",IF(C77="""",0,IF(REGEXMATCH(C77,""^Sell_""),-ROUNDDOWN(ROUNDUP(INDEX(Upgrades!$C$3:$C$13,MATCH(SUBSTITUTE(C77,""Sell_"",""""),Upgrades!$B$3:$B$13,0))*1.15^(COUNTIF(C$4:C76,SUBSTITUTE(C77,""Sell_"",""""))-COUNTIF(C$4:C76,""Sell_"&amp;"""&amp;SUBSTITUTE(C77,""Sell_"",""""))))/2),ROUNDUP(INDEX(Upgrades!$C$3:$C$13,MATCH(C77,Upgrades!$B$3:$B$13,0))*1.15^(COUNTIF(C$4:C76,C77)-COUNTIF(C$4:C76,""Sell_""&amp;C77))))))"),-2034.0)</f>
        <v>-2034</v>
      </c>
      <c r="H77" s="10">
        <f t="shared" si="3"/>
        <v>-2034</v>
      </c>
      <c r="I77" s="68">
        <f t="shared" si="4"/>
        <v>3017.96258</v>
      </c>
      <c r="J77" s="59" t="str">
        <f t="shared" si="5"/>
        <v>50m 17s</v>
      </c>
      <c r="K77" s="69">
        <f t="shared" si="6"/>
        <v>4841174</v>
      </c>
      <c r="L77" s="60">
        <f t="shared" si="7"/>
        <v>-129.74234</v>
      </c>
      <c r="M77" s="61">
        <f>IFERROR(__xludf.DUMMYFUNCTION("IFS(AND(COUNTA(C77:C1673)=0,COUNTA(Q77:Q1673)=0),"""",OR(AND(K77&gt;=1000000000,OR(Y77&gt;=1000000000,COUNTA(Q77:Q1673)=0)),OR(Y77&gt;=1000000000,AND(COUNTA(C77:C1673)=0,P$3=TRUE))),
ROUNDDOWN((AB$1-AC$1)*MAX(INDEX(T$4:T1673,MATCH(LARGE(FILTER(Y$4:Y1673,Y$4:Y1673&lt;"&amp;"1000000000),1),Y$4:Y1673)),INDEX(F$4:F1673,MATCH(LARGE(FILTER(K$4:K1673,K$4:K1673&lt;1000000000),1),K$4:K1673)))),AND(K77&lt;1000000000,COUNTA(C77:C1673)&gt;0,P$3=FALSE),
ROUNDDOWN(INDEX(Y$4:Y1673,MATCH(LARGE(FILTER(W$4:W1673,W$4:W1673&lt;=I77),1),W$4:W1673))+(I77-LA"&amp;"RGE(FILTER(W$4:W1673,W$4:W1673&lt;=I77),1))*INDEX(T$4:T1673,MATCH(LARGE(FILTER(W$4:W1673,W$4:W1673&lt;=I77),1),W$4:W1673))-K77),1,
ROUNDDOWN(Y77-INDEX(K$4:K1673,MATCH(LARGE(FILTER(I$4:I1673,I$4:I1673&lt;=W77),1),I$4:I1673))-(W77-LARGE(FILTER(I$4:I1673,I$4:I1673&lt;=W"&amp;"77),1))*INDEX(F$4:F1673,MATCH(LARGE(FILTER(I$4:I1673,I$4:I1673&lt;=W77),1),I$4:I1673))))"),1823372.0)</f>
        <v>1823372</v>
      </c>
      <c r="N77" s="60">
        <f t="shared" si="8"/>
        <v>-129.74234</v>
      </c>
      <c r="O77" s="61" t="str">
        <f t="shared" si="9"/>
        <v>1,8M</v>
      </c>
      <c r="P77" s="56">
        <f t="shared" si="10"/>
        <v>4</v>
      </c>
      <c r="Q77" s="67" t="s">
        <v>61</v>
      </c>
      <c r="R77" s="10" t="b">
        <f>IFERROR(__xludf.DUMMYFUNCTION("IF(COUNTA(Q77:Q1673)=0,"""",IF(ISBLANK(Q77),FALSE,IF(NOT(COUNTIF($AA$24:$AA$34,SUBSTITUTE(Q77,""Sell_"",""""))),1,IF(REGEXMATCH(Q77,""Sell_""),IF(COUNTIF(Q$4:Q77,SUBSTITUTE(Q77,""Sell_"",""""))-COUNTIF(Q$4:Q76,Q77)&lt;1,1),FALSE))))"),FALSE)</f>
        <v>0</v>
      </c>
      <c r="S77" s="59">
        <f t="array" ref="S77">IF(COUNTA(Q77:Q1673)=0,"",SUM((COUNTIF(Q$4:Q77,Upgrades!$B$3:$B$13)-COUNTIF(Q$4:Q77,"Sell_"&amp;Upgrades!$B$3:$B$13))*Upgrades!$D$3:$D$13))</f>
        <v>1106.8</v>
      </c>
      <c r="T77" s="66">
        <f>IFERROR(__xludf.DUMMYFUNCTION("IF(COUNTA(Q77:Q1673)=0,"""",IF(REGEXMATCH(INDEX(FILTER(Q$4:Q77,Q$4:Q77&lt;&gt;""""),ROWS(FILTER(Q$4:Q77,Q$4:Q77&lt;&gt;""""))),""^Sell_""),INDEX(FILTER(T$4:T76,Q$4:Q76&lt;&gt;""""),ROWS(FILTER(Q$4:Q76,Q$4:Q76&lt;&gt;""""))),$AD$5+S77))"),2721.8)</f>
        <v>2721.8</v>
      </c>
      <c r="U77" s="10">
        <f>IFERROR(__xludf.DUMMYFUNCTION("IF(COUNTA(Q77:Q1673)=0,"""",IF(Q77="""",0,IF(REGEXMATCH(Q77,""^Sell_""),-ROUNDDOWN(ROUNDUP(INDEX(Upgrades!$C$3:$C$13,MATCH(SUBSTITUTE(Q77,""Sell_"",""""),Upgrades!$B$3:$B$13,0))*1.15^(COUNTIF(Q$4:Q76,SUBSTITUTE(Q77,""Sell_"",""""))-COUNTIF(Q$4:Q76,""Sell_"&amp;"""&amp;SUBSTITUTE(Q77,""Sell_"",""""))))/2),ROUNDUP(INDEX(Upgrades!$C$3:$C$13,MATCH(Q77,Upgrades!$B$3:$B$13,0))*1.15^(COUNTIF(Q$4:Q76,Q77)-COUNTIF(Q$4:Q76,""Sell_""&amp;Q77))))))"),-30417.0)</f>
        <v>-30417</v>
      </c>
      <c r="V77" s="10">
        <f t="shared" si="11"/>
        <v>-611123</v>
      </c>
      <c r="W77" s="68">
        <f t="shared" si="12"/>
        <v>2273.536618</v>
      </c>
      <c r="X77" s="59" t="str">
        <f t="shared" si="13"/>
        <v>37m 53s</v>
      </c>
      <c r="Y77" s="69">
        <f t="shared" si="14"/>
        <v>1584630</v>
      </c>
      <c r="Z77" s="11"/>
    </row>
    <row r="78">
      <c r="A78" s="8"/>
      <c r="B78" s="56">
        <f t="shared" si="2"/>
        <v>3</v>
      </c>
      <c r="C78" s="57" t="s">
        <v>10</v>
      </c>
      <c r="D78" s="10" t="b">
        <f>IFERROR(__xludf.DUMMYFUNCTION("IF(COUNTA(C78:C1673)=0,"""",IF(ISBLANK(C78),FALSE,IF(NOT(COUNTIF($AA$24:$AA$34,SUBSTITUTE(C78,""Sell_"",""""))),1,IF(REGEXMATCH(C78,""Sell_""),IF(COUNTIF(C$4:C78,SUBSTITUTE(C78,""Sell_"",""""))-COUNTIF(C$4:C77,C78)&lt;1,1),FALSE))))"),FALSE)</f>
        <v>0</v>
      </c>
      <c r="E78" s="59">
        <f t="array" ref="E78">IF(COUNTA(C78:C1673)=0,"",SUM((COUNTIF(C$4:C78,Upgrades!$B$3:$B$13)-COUNTIF(C$4:C78,"Sell_"&amp;Upgrades!$B$3:$B$13))*Upgrades!$D$3:$D$13))</f>
        <v>21901</v>
      </c>
      <c r="F78" s="66">
        <f>IFERROR(__xludf.DUMMYFUNCTION("IF(COUNTA(C78:C1673)=0,"""",IF(REGEXMATCH(INDEX(FILTER(C$4:C78,C$4:C78&lt;&gt;""""),ROWS(FILTER(C$4:C78,C$4:C78&lt;&gt;""""))),""^Sell_""),INDEX(FILTER(F$4:F77,C$4:C77&lt;&gt;""""),ROWS(FILTER(C$4:C77,C$4:C77&lt;&gt;""""))),$AC$5+E78))"),21916.0)</f>
        <v>21916</v>
      </c>
      <c r="G78" s="10">
        <f>IFERROR(__xludf.DUMMYFUNCTION("IF(COUNTA(C78:C1673)=0,"""",IF(C78="""",0,IF(REGEXMATCH(C78,""^Sell_""),-ROUNDDOWN(ROUNDUP(INDEX(Upgrades!$C$3:$C$13,MATCH(SUBSTITUTE(C78,""Sell_"",""""),Upgrades!$B$3:$B$13,0))*1.15^(COUNTIF(C$4:C77,SUBSTITUTE(C78,""Sell_"",""""))-COUNTIF(C$4:C77,""Sell_"&amp;"""&amp;SUBSTITUTE(C78,""Sell_"",""""))))/2),ROUNDUP(INDEX(Upgrades!$C$3:$C$13,MATCH(C78,Upgrades!$B$3:$B$13,0))*1.15^(COUNTIF(C$4:C77,C78)-COUNTIF(C$4:C77,""Sell_""&amp;C78))))))"),2204166.0)</f>
        <v>2204166</v>
      </c>
      <c r="H78" s="10">
        <f t="shared" si="3"/>
        <v>2202132</v>
      </c>
      <c r="I78" s="68">
        <f t="shared" si="4"/>
        <v>3162.326813</v>
      </c>
      <c r="J78" s="59" t="str">
        <f t="shared" si="5"/>
        <v>52m 42s</v>
      </c>
      <c r="K78" s="69">
        <f t="shared" si="6"/>
        <v>7043306</v>
      </c>
      <c r="L78" s="60">
        <f t="shared" si="7"/>
        <v>-123.99183</v>
      </c>
      <c r="M78" s="61">
        <f>IFERROR(__xludf.DUMMYFUNCTION("IFS(AND(COUNTA(C78:C1673)=0,COUNTA(Q78:Q1673)=0),"""",OR(AND(K78&gt;=1000000000,OR(Y78&gt;=1000000000,COUNTA(Q78:Q1673)=0)),OR(Y78&gt;=1000000000,AND(COUNTA(C78:C1673)=0,P$3=TRUE))),
ROUNDDOWN((AB$1-AC$1)*MAX(INDEX(T$4:T1673,MATCH(LARGE(FILTER(Y$4:Y1673,Y$4:Y1673&lt;"&amp;"1000000000),1),Y$4:Y1673)),INDEX(F$4:F1673,MATCH(LARGE(FILTER(K$4:K1673,K$4:K1673&lt;1000000000),1),K$4:K1673)))),AND(K78&lt;1000000000,COUNTA(C78:C1673)&gt;0,P$3=FALSE),
ROUNDDOWN(INDEX(Y$4:Y1673,MATCH(LARGE(FILTER(W$4:W1673,W$4:W1673&lt;=I78),1),W$4:W1673))+(I78-LA"&amp;"RGE(FILTER(W$4:W1673,W$4:W1673&lt;=I78),1))*INDEX(T$4:T1673,MATCH(LARGE(FILTER(W$4:W1673,W$4:W1673&lt;=I78),1),W$4:W1673))-K78),1,
ROUNDDOWN(Y78-INDEX(K$4:K1673,MATCH(LARGE(FILTER(I$4:I1673,I$4:I1673&lt;=W78),1),I$4:I1673))-(W78-LARGE(FILTER(I$4:I1673,I$4:I1673&lt;=W"&amp;"78),1))*INDEX(F$4:F1673,MATCH(LARGE(FILTER(I$4:I1673,I$4:I1673&lt;=W78),1),I$4:I1673))))"),2647192.0)</f>
        <v>2647192</v>
      </c>
      <c r="N78" s="60">
        <f t="shared" si="8"/>
        <v>-123.99183</v>
      </c>
      <c r="O78" s="61" t="str">
        <f t="shared" si="9"/>
        <v>2,6M</v>
      </c>
      <c r="P78" s="56">
        <f t="shared" si="10"/>
        <v>5</v>
      </c>
      <c r="Q78" s="67" t="s">
        <v>61</v>
      </c>
      <c r="R78" s="10" t="b">
        <f>IFERROR(__xludf.DUMMYFUNCTION("IF(COUNTA(Q78:Q1673)=0,"""",IF(ISBLANK(Q78),FALSE,IF(NOT(COUNTIF($AA$24:$AA$34,SUBSTITUTE(Q78,""Sell_"",""""))),1,IF(REGEXMATCH(Q78,""Sell_""),IF(COUNTIF(Q$4:Q78,SUBSTITUTE(Q78,""Sell_"",""""))-COUNTIF(Q$4:Q77,Q78)&lt;1,1),FALSE))))"),FALSE)</f>
        <v>0</v>
      </c>
      <c r="S78" s="59">
        <f t="array" ref="S78">IF(COUNTA(Q78:Q1673)=0,"",SUM((COUNTIF(Q$4:Q78,Upgrades!$B$3:$B$13)-COUNTIF(Q$4:Q78,"Sell_"&amp;Upgrades!$B$3:$B$13))*Upgrades!$D$3:$D$13))</f>
        <v>1006.8</v>
      </c>
      <c r="T78" s="66">
        <f>IFERROR(__xludf.DUMMYFUNCTION("IF(COUNTA(Q78:Q1673)=0,"""",IF(REGEXMATCH(INDEX(FILTER(Q$4:Q78,Q$4:Q78&lt;&gt;""""),ROWS(FILTER(Q$4:Q78,Q$4:Q78&lt;&gt;""""))),""^Sell_""),INDEX(FILTER(T$4:T77,Q$4:Q77&lt;&gt;""""),ROWS(FILTER(Q$4:Q77,Q$4:Q77&lt;&gt;""""))),$AD$5+S78))"),2721.8)</f>
        <v>2721.8</v>
      </c>
      <c r="U78" s="10">
        <f>IFERROR(__xludf.DUMMYFUNCTION("IF(COUNTA(Q78:Q1673)=0,"""",IF(Q78="""",0,IF(REGEXMATCH(Q78,""^Sell_""),-ROUNDDOWN(ROUNDUP(INDEX(Upgrades!$C$3:$C$13,MATCH(SUBSTITUTE(Q78,""Sell_"",""""),Upgrades!$B$3:$B$13,0))*1.15^(COUNTIF(Q$4:Q77,SUBSTITUTE(Q78,""Sell_"",""""))-COUNTIF(Q$4:Q77,""Sell_"&amp;"""&amp;SUBSTITUTE(Q78,""Sell_"",""""))))/2),ROUNDUP(INDEX(Upgrades!$C$3:$C$13,MATCH(Q78,Upgrades!$B$3:$B$13,0))*1.15^(COUNTIF(Q$4:Q77,Q78)-COUNTIF(Q$4:Q77,""Sell_""&amp;Q78))))))"),-26450.0)</f>
        <v>-26450</v>
      </c>
      <c r="V78" s="10">
        <f t="shared" si="11"/>
        <v>-637573</v>
      </c>
      <c r="W78" s="68">
        <f t="shared" si="12"/>
        <v>2273.536618</v>
      </c>
      <c r="X78" s="59" t="str">
        <f t="shared" si="13"/>
        <v>37m 53s</v>
      </c>
      <c r="Y78" s="69">
        <f t="shared" si="14"/>
        <v>1584630</v>
      </c>
      <c r="Z78" s="11"/>
    </row>
    <row r="79">
      <c r="A79" s="8"/>
      <c r="B79" s="56">
        <f t="shared" si="2"/>
        <v>16</v>
      </c>
      <c r="C79" s="57" t="s">
        <v>3</v>
      </c>
      <c r="D79" s="10" t="b">
        <f>IFERROR(__xludf.DUMMYFUNCTION("IF(COUNTA(C79:C1673)=0,"""",IF(ISBLANK(C79),FALSE,IF(NOT(COUNTIF($AA$24:$AA$34,SUBSTITUTE(C79,""Sell_"",""""))),1,IF(REGEXMATCH(C79,""Sell_""),IF(COUNTIF(C$4:C79,SUBSTITUTE(C79,""Sell_"",""""))-COUNTIF(C$4:C78,C79)&lt;1,1),FALSE))))"),FALSE)</f>
        <v>0</v>
      </c>
      <c r="E79" s="59">
        <f t="array" ref="E79">IF(COUNTA(C79:C1673)=0,"",SUM((COUNTIF(C$4:C79,Upgrades!$B$3:$B$13)-COUNTIF(C$4:C79,"Sell_"&amp;Upgrades!$B$3:$B$13))*Upgrades!$D$3:$D$13))</f>
        <v>21901.1</v>
      </c>
      <c r="F79" s="66">
        <f>IFERROR(__xludf.DUMMYFUNCTION("IF(COUNTA(C79:C1673)=0,"""",IF(REGEXMATCH(INDEX(FILTER(C$4:C79,C$4:C79&lt;&gt;""""),ROWS(FILTER(C$4:C79,C$4:C79&lt;&gt;""""))),""^Sell_""),INDEX(FILTER(F$4:F78,C$4:C78&lt;&gt;""""),ROWS(FILTER(C$4:C78,C$4:C78&lt;&gt;""""))),$AC$5+E79))"),21916.1)</f>
        <v>21916.1</v>
      </c>
      <c r="G79" s="10">
        <f>IFERROR(__xludf.DUMMYFUNCTION("IF(COUNTA(C79:C1673)=0,"""",IF(C79="""",0,IF(REGEXMATCH(C79,""^Sell_""),-ROUNDDOWN(ROUNDUP(INDEX(Upgrades!$C$3:$C$13,MATCH(SUBSTITUTE(C79,""Sell_"",""""),Upgrades!$B$3:$B$13,0))*1.15^(COUNTIF(C$4:C78,SUBSTITUTE(C79,""Sell_"",""""))-COUNTIF(C$4:C78,""Sell_"&amp;"""&amp;SUBSTITUTE(C79,""Sell_"",""""))))/2),ROUNDUP(INDEX(Upgrades!$C$3:$C$13,MATCH(C79,Upgrades!$B$3:$B$13,0))*1.15^(COUNTIF(C$4:C78,C79)-COUNTIF(C$4:C78,""Sell_""&amp;C79))))))"),123.0)</f>
        <v>123</v>
      </c>
      <c r="H79" s="10">
        <f t="shared" si="3"/>
        <v>123</v>
      </c>
      <c r="I79" s="68">
        <f t="shared" si="4"/>
        <v>3162.332425</v>
      </c>
      <c r="J79" s="59" t="str">
        <f t="shared" si="5"/>
        <v>52m 42s</v>
      </c>
      <c r="K79" s="69">
        <f t="shared" si="6"/>
        <v>7043429</v>
      </c>
      <c r="L79" s="60">
        <f t="shared" si="7"/>
        <v>-123.99151</v>
      </c>
      <c r="M79" s="61">
        <f>IFERROR(__xludf.DUMMYFUNCTION("IFS(AND(COUNTA(C79:C1673)=0,COUNTA(Q79:Q1673)=0),"""",OR(AND(K79&gt;=1000000000,OR(Y79&gt;=1000000000,COUNTA(Q79:Q1673)=0)),OR(Y79&gt;=1000000000,AND(COUNTA(C79:C1673)=0,P$3=TRUE))),
ROUNDDOWN((AB$1-AC$1)*MAX(INDEX(T$4:T1673,MATCH(LARGE(FILTER(Y$4:Y1673,Y$4:Y1673&lt;"&amp;"1000000000),1),Y$4:Y1673)),INDEX(F$4:F1673,MATCH(LARGE(FILTER(K$4:K1673,K$4:K1673&lt;1000000000),1),K$4:K1673)))),AND(K79&lt;1000000000,COUNTA(C79:C1673)&gt;0,P$3=FALSE),
ROUNDDOWN(INDEX(Y$4:Y1673,MATCH(LARGE(FILTER(W$4:W1673,W$4:W1673&lt;=I79),1),W$4:W1673))+(I79-LA"&amp;"RGE(FILTER(W$4:W1673,W$4:W1673&lt;=I79),1))*INDEX(T$4:T1673,MATCH(LARGE(FILTER(W$4:W1673,W$4:W1673&lt;=I79),1),W$4:W1673))-K79),1,
ROUNDDOWN(Y79-INDEX(K$4:K1673,MATCH(LARGE(FILTER(I$4:I1673,I$4:I1673&lt;=W79),1),I$4:I1673))-(W79-LARGE(FILTER(I$4:I1673,I$4:I1673&lt;=W"&amp;"79),1))*INDEX(F$4:F1673,MATCH(LARGE(FILTER(I$4:I1673,I$4:I1673&lt;=W79),1),I$4:I1673))))"),2647226.0)</f>
        <v>2647226</v>
      </c>
      <c r="N79" s="60">
        <f t="shared" si="8"/>
        <v>-123.99151</v>
      </c>
      <c r="O79" s="61" t="str">
        <f t="shared" si="9"/>
        <v>2,6M</v>
      </c>
      <c r="P79" s="56">
        <f t="shared" si="10"/>
        <v>6</v>
      </c>
      <c r="Q79" s="67" t="s">
        <v>61</v>
      </c>
      <c r="R79" s="10" t="b">
        <f>IFERROR(__xludf.DUMMYFUNCTION("IF(COUNTA(Q79:Q1673)=0,"""",IF(ISBLANK(Q79),FALSE,IF(NOT(COUNTIF($AA$24:$AA$34,SUBSTITUTE(Q79,""Sell_"",""""))),1,IF(REGEXMATCH(Q79,""Sell_""),IF(COUNTIF(Q$4:Q79,SUBSTITUTE(Q79,""Sell_"",""""))-COUNTIF(Q$4:Q78,Q79)&lt;1,1),FALSE))))"),FALSE)</f>
        <v>0</v>
      </c>
      <c r="S79" s="59">
        <f t="array" ref="S79">IF(COUNTA(Q79:Q1673)=0,"",SUM((COUNTIF(Q$4:Q79,Upgrades!$B$3:$B$13)-COUNTIF(Q$4:Q79,"Sell_"&amp;Upgrades!$B$3:$B$13))*Upgrades!$D$3:$D$13))</f>
        <v>906.8</v>
      </c>
      <c r="T79" s="66">
        <f>IFERROR(__xludf.DUMMYFUNCTION("IF(COUNTA(Q79:Q1673)=0,"""",IF(REGEXMATCH(INDEX(FILTER(Q$4:Q79,Q$4:Q79&lt;&gt;""""),ROWS(FILTER(Q$4:Q79,Q$4:Q79&lt;&gt;""""))),""^Sell_""),INDEX(FILTER(T$4:T78,Q$4:Q78&lt;&gt;""""),ROWS(FILTER(Q$4:Q78,Q$4:Q78&lt;&gt;""""))),$AD$5+S79))"),2721.8)</f>
        <v>2721.8</v>
      </c>
      <c r="U79" s="10">
        <f>IFERROR(__xludf.DUMMYFUNCTION("IF(COUNTA(Q79:Q1673)=0,"""",IF(Q79="""",0,IF(REGEXMATCH(Q79,""^Sell_""),-ROUNDDOWN(ROUNDUP(INDEX(Upgrades!$C$3:$C$13,MATCH(SUBSTITUTE(Q79,""Sell_"",""""),Upgrades!$B$3:$B$13,0))*1.15^(COUNTIF(Q$4:Q78,SUBSTITUTE(Q79,""Sell_"",""""))-COUNTIF(Q$4:Q78,""Sell_"&amp;"""&amp;SUBSTITUTE(Q79,""Sell_"",""""))))/2),ROUNDUP(INDEX(Upgrades!$C$3:$C$13,MATCH(Q79,Upgrades!$B$3:$B$13,0))*1.15^(COUNTIF(Q$4:Q78,Q79)-COUNTIF(Q$4:Q78,""Sell_""&amp;Q79))))))"),-23000.0)</f>
        <v>-23000</v>
      </c>
      <c r="V79" s="10">
        <f t="shared" si="11"/>
        <v>-660573</v>
      </c>
      <c r="W79" s="68">
        <f t="shared" si="12"/>
        <v>2273.536618</v>
      </c>
      <c r="X79" s="59" t="str">
        <f t="shared" si="13"/>
        <v>37m 53s</v>
      </c>
      <c r="Y79" s="69">
        <f t="shared" si="14"/>
        <v>1584630</v>
      </c>
      <c r="Z79" s="11"/>
    </row>
    <row r="80">
      <c r="A80" s="8"/>
      <c r="B80" s="56">
        <f t="shared" si="2"/>
        <v>1</v>
      </c>
      <c r="C80" s="57" t="s">
        <v>63</v>
      </c>
      <c r="D80" s="10" t="b">
        <f>IFERROR(__xludf.DUMMYFUNCTION("IF(COUNTA(C80:C1673)=0,"""",IF(ISBLANK(C80),FALSE,IF(NOT(COUNTIF($AA$24:$AA$34,SUBSTITUTE(C80,""Sell_"",""""))),1,IF(REGEXMATCH(C80,""Sell_""),IF(COUNTIF(C$4:C80,SUBSTITUTE(C80,""Sell_"",""""))-COUNTIF(C$4:C79,C80)&lt;1,1),FALSE))))"),FALSE)</f>
        <v>0</v>
      </c>
      <c r="E80" s="59">
        <f t="array" ref="E80">IF(COUNTA(C80:C1673)=0,"",SUM((COUNTIF(C$4:C80,Upgrades!$B$3:$B$13)-COUNTIF(C$4:C80,"Sell_"&amp;Upgrades!$B$3:$B$13))*Upgrades!$D$3:$D$13))</f>
        <v>21901</v>
      </c>
      <c r="F80" s="66">
        <f>IFERROR(__xludf.DUMMYFUNCTION("IF(COUNTA(C80:C1673)=0,"""",IF(REGEXMATCH(INDEX(FILTER(C$4:C80,C$4:C80&lt;&gt;""""),ROWS(FILTER(C$4:C80,C$4:C80&lt;&gt;""""))),""^Sell_""),INDEX(FILTER(F$4:F79,C$4:C79&lt;&gt;""""),ROWS(FILTER(C$4:C79,C$4:C79&lt;&gt;""""))),$AC$5+E80))"),21916.1)</f>
        <v>21916.1</v>
      </c>
      <c r="G80" s="10">
        <f>IFERROR(__xludf.DUMMYFUNCTION("IF(COUNTA(C80:C1673)=0,"""",IF(C80="""",0,IF(REGEXMATCH(C80,""^Sell_""),-ROUNDDOWN(ROUNDUP(INDEX(Upgrades!$C$3:$C$13,MATCH(SUBSTITUTE(C80,""Sell_"",""""),Upgrades!$B$3:$B$13,0))*1.15^(COUNTIF(C$4:C79,SUBSTITUTE(C80,""Sell_"",""""))-COUNTIF(C$4:C79,""Sell_"&amp;"""&amp;SUBSTITUTE(C80,""Sell_"",""""))))/2),ROUNDUP(INDEX(Upgrades!$C$3:$C$13,MATCH(C80,Upgrades!$B$3:$B$13,0))*1.15^(COUNTIF(C$4:C79,C80)-COUNTIF(C$4:C79,""Sell_""&amp;C80))))))"),-70.0)</f>
        <v>-70</v>
      </c>
      <c r="H80" s="10">
        <f t="shared" si="3"/>
        <v>-70</v>
      </c>
      <c r="I80" s="68">
        <f t="shared" si="4"/>
        <v>3162.332425</v>
      </c>
      <c r="J80" s="59" t="str">
        <f t="shared" si="5"/>
        <v>52m 42s</v>
      </c>
      <c r="K80" s="69">
        <f t="shared" si="6"/>
        <v>7043429</v>
      </c>
      <c r="L80" s="60">
        <f t="shared" si="7"/>
        <v>-123.99151</v>
      </c>
      <c r="M80" s="61">
        <f>IFERROR(__xludf.DUMMYFUNCTION("IFS(AND(COUNTA(C80:C1673)=0,COUNTA(Q80:Q1673)=0),"""",OR(AND(K80&gt;=1000000000,OR(Y80&gt;=1000000000,COUNTA(Q80:Q1673)=0)),OR(Y80&gt;=1000000000,AND(COUNTA(C80:C1673)=0,P$3=TRUE))),
ROUNDDOWN((AB$1-AC$1)*MAX(INDEX(T$4:T1673,MATCH(LARGE(FILTER(Y$4:Y1673,Y$4:Y1673&lt;"&amp;"1000000000),1),Y$4:Y1673)),INDEX(F$4:F1673,MATCH(LARGE(FILTER(K$4:K1673,K$4:K1673&lt;1000000000),1),K$4:K1673)))),AND(K80&lt;1000000000,COUNTA(C80:C1673)&gt;0,P$3=FALSE),
ROUNDDOWN(INDEX(Y$4:Y1673,MATCH(LARGE(FILTER(W$4:W1673,W$4:W1673&lt;=I80),1),W$4:W1673))+(I80-LA"&amp;"RGE(FILTER(W$4:W1673,W$4:W1673&lt;=I80),1))*INDEX(T$4:T1673,MATCH(LARGE(FILTER(W$4:W1673,W$4:W1673&lt;=I80),1),W$4:W1673))-K80),1,
ROUNDDOWN(Y80-INDEX(K$4:K1673,MATCH(LARGE(FILTER(I$4:I1673,I$4:I1673&lt;=W80),1),I$4:I1673))-(W80-LARGE(FILTER(I$4:I1673,I$4:I1673&lt;=W"&amp;"80),1))*INDEX(F$4:F1673,MATCH(LARGE(FILTER(I$4:I1673,I$4:I1673&lt;=W80),1),I$4:I1673))))"),2647226.0)</f>
        <v>2647226</v>
      </c>
      <c r="N80" s="60">
        <f t="shared" si="8"/>
        <v>-123.99151</v>
      </c>
      <c r="O80" s="61" t="str">
        <f t="shared" si="9"/>
        <v>2,6M</v>
      </c>
      <c r="P80" s="56">
        <f t="shared" si="10"/>
        <v>4</v>
      </c>
      <c r="Q80" s="67" t="s">
        <v>60</v>
      </c>
      <c r="R80" s="10" t="b">
        <f>IFERROR(__xludf.DUMMYFUNCTION("IF(COUNTA(Q80:Q1673)=0,"""",IF(ISBLANK(Q80),FALSE,IF(NOT(COUNTIF($AA$24:$AA$34,SUBSTITUTE(Q80,""Sell_"",""""))),1,IF(REGEXMATCH(Q80,""Sell_""),IF(COUNTIF(Q$4:Q80,SUBSTITUTE(Q80,""Sell_"",""""))-COUNTIF(Q$4:Q79,Q80)&lt;1,1),FALSE))))"),FALSE)</f>
        <v>0</v>
      </c>
      <c r="S80" s="59">
        <f t="array" ref="S80">IF(COUNTA(Q80:Q1673)=0,"",SUM((COUNTIF(Q$4:Q80,Upgrades!$B$3:$B$13)-COUNTIF(Q$4:Q80,"Sell_"&amp;Upgrades!$B$3:$B$13))*Upgrades!$D$3:$D$13))</f>
        <v>506.8</v>
      </c>
      <c r="T80" s="66">
        <f>IFERROR(__xludf.DUMMYFUNCTION("IF(COUNTA(Q80:Q1673)=0,"""",IF(REGEXMATCH(INDEX(FILTER(Q$4:Q80,Q$4:Q80&lt;&gt;""""),ROWS(FILTER(Q$4:Q80,Q$4:Q80&lt;&gt;""""))),""^Sell_""),INDEX(FILTER(T$4:T79,Q$4:Q79&lt;&gt;""""),ROWS(FILTER(Q$4:Q79,Q$4:Q79&lt;&gt;""""))),$AD$5+S80))"),2721.8)</f>
        <v>2721.8</v>
      </c>
      <c r="U80" s="10">
        <f>IFERROR(__xludf.DUMMYFUNCTION("IF(COUNTA(Q80:Q1673)=0,"""",IF(Q80="""",0,IF(REGEXMATCH(Q80,""^Sell_""),-ROUNDDOWN(ROUNDUP(INDEX(Upgrades!$C$3:$C$13,MATCH(SUBSTITUTE(Q80,""Sell_"",""""),Upgrades!$B$3:$B$13,0))*1.15^(COUNTIF(Q$4:Q79,SUBSTITUTE(Q80,""Sell_"",""""))-COUNTIF(Q$4:Q79,""Sell_"&amp;"""&amp;SUBSTITUTE(Q80,""Sell_"",""""))))/2),ROUNDUP(INDEX(Upgrades!$C$3:$C$13,MATCH(Q80,Upgrades!$B$3:$B$13,0))*1.15^(COUNTIF(Q$4:Q79,Q80)-COUNTIF(Q$4:Q79,""Sell_""&amp;Q80))))))"),-115000.0)</f>
        <v>-115000</v>
      </c>
      <c r="V80" s="10">
        <f t="shared" si="11"/>
        <v>-775573</v>
      </c>
      <c r="W80" s="68">
        <f t="shared" si="12"/>
        <v>2273.536618</v>
      </c>
      <c r="X80" s="59" t="str">
        <f t="shared" si="13"/>
        <v>37m 53s</v>
      </c>
      <c r="Y80" s="69">
        <f t="shared" si="14"/>
        <v>1584630</v>
      </c>
      <c r="Z80" s="11"/>
    </row>
    <row r="81">
      <c r="A81" s="8"/>
      <c r="B81" s="56">
        <f t="shared" si="2"/>
        <v>4</v>
      </c>
      <c r="C81" s="57" t="s">
        <v>10</v>
      </c>
      <c r="D81" s="10" t="b">
        <f>IFERROR(__xludf.DUMMYFUNCTION("IF(COUNTA(C81:C1673)=0,"""",IF(ISBLANK(C81),FALSE,IF(NOT(COUNTIF($AA$24:$AA$34,SUBSTITUTE(C81,""Sell_"",""""))),1,IF(REGEXMATCH(C81,""Sell_""),IF(COUNTIF(C$4:C81,SUBSTITUTE(C81,""Sell_"",""""))-COUNTIF(C$4:C80,C81)&lt;1,1),FALSE))))"),FALSE)</f>
        <v>0</v>
      </c>
      <c r="E81" s="59">
        <f t="array" ref="E81">IF(COUNTA(C81:C1673)=0,"",SUM((COUNTIF(C$4:C81,Upgrades!$B$3:$B$13)-COUNTIF(C$4:C81,"Sell_"&amp;Upgrades!$B$3:$B$13))*Upgrades!$D$3:$D$13))</f>
        <v>28567</v>
      </c>
      <c r="F81" s="66">
        <f>IFERROR(__xludf.DUMMYFUNCTION("IF(COUNTA(C81:C1673)=0,"""",IF(REGEXMATCH(INDEX(FILTER(C$4:C81,C$4:C81&lt;&gt;""""),ROWS(FILTER(C$4:C81,C$4:C81&lt;&gt;""""))),""^Sell_""),INDEX(FILTER(F$4:F80,C$4:C80&lt;&gt;""""),ROWS(FILTER(C$4:C80,C$4:C80&lt;&gt;""""))),$AC$5+E81))"),28582.0)</f>
        <v>28582</v>
      </c>
      <c r="G81" s="10">
        <f>IFERROR(__xludf.DUMMYFUNCTION("IF(COUNTA(C81:C1673)=0,"""",IF(C81="""",0,IF(REGEXMATCH(C81,""^Sell_""),-ROUNDDOWN(ROUNDUP(INDEX(Upgrades!$C$3:$C$13,MATCH(SUBSTITUTE(C81,""Sell_"",""""),Upgrades!$B$3:$B$13,0))*1.15^(COUNTIF(C$4:C80,SUBSTITUTE(C81,""Sell_"",""""))-COUNTIF(C$4:C80,""Sell_"&amp;"""&amp;SUBSTITUTE(C81,""Sell_"",""""))))/2),ROUNDUP(INDEX(Upgrades!$C$3:$C$13,MATCH(C81,Upgrades!$B$3:$B$13,0))*1.15^(COUNTIF(C$4:C80,C81)-COUNTIF(C$4:C80,""Sell_""&amp;C81))))))"),2534791.0)</f>
        <v>2534791</v>
      </c>
      <c r="H81" s="10">
        <f t="shared" si="3"/>
        <v>2534721</v>
      </c>
      <c r="I81" s="68">
        <f t="shared" si="4"/>
        <v>3277.988085</v>
      </c>
      <c r="J81" s="59" t="str">
        <f t="shared" si="5"/>
        <v>54m 37s</v>
      </c>
      <c r="K81" s="69">
        <f t="shared" si="6"/>
        <v>9578150</v>
      </c>
      <c r="L81" s="60">
        <f t="shared" si="7"/>
        <v>-119.69663</v>
      </c>
      <c r="M81" s="61">
        <f>IFERROR(__xludf.DUMMYFUNCTION("IFS(AND(COUNTA(C81:C1673)=0,COUNTA(Q81:Q1673)=0),"""",OR(AND(K81&gt;=1000000000,OR(Y81&gt;=1000000000,COUNTA(Q81:Q1673)=0)),OR(Y81&gt;=1000000000,AND(COUNTA(C81:C1673)=0,P$3=TRUE))),
ROUNDDOWN((AB$1-AC$1)*MAX(INDEX(T$4:T1673,MATCH(LARGE(FILTER(Y$4:Y1673,Y$4:Y1673&lt;"&amp;"1000000000),1),Y$4:Y1673)),INDEX(F$4:F1673,MATCH(LARGE(FILTER(K$4:K1673,K$4:K1673&lt;1000000000),1),K$4:K1673)))),AND(K81&lt;1000000000,COUNTA(C81:C1673)&gt;0,P$3=FALSE),
ROUNDDOWN(INDEX(Y$4:Y1673,MATCH(LARGE(FILTER(W$4:W1673,W$4:W1673&lt;=I81),1),W$4:W1673))+(I81-LA"&amp;"RGE(FILTER(W$4:W1673,W$4:W1673&lt;=I81),1))*INDEX(T$4:T1673,MATCH(LARGE(FILTER(W$4:W1673,W$4:W1673&lt;=I81),1),W$4:W1673))-K81),1,
ROUNDDOWN(Y81-INDEX(K$4:K1673,MATCH(LARGE(FILTER(I$4:I1673,I$4:I1673&lt;=W81),1),I$4:I1673))-(W81-LARGE(FILTER(I$4:I1673,I$4:I1673&lt;=W"&amp;"81),1))*INDEX(F$4:F1673,MATCH(LARGE(FILTER(I$4:I1673,I$4:I1673&lt;=W81),1),I$4:I1673))))"),3429368.0)</f>
        <v>3429368</v>
      </c>
      <c r="N81" s="60">
        <f t="shared" si="8"/>
        <v>-119.69663</v>
      </c>
      <c r="O81" s="61" t="str">
        <f t="shared" si="9"/>
        <v>3,4M</v>
      </c>
      <c r="P81" s="56">
        <f t="shared" si="10"/>
        <v>1</v>
      </c>
      <c r="Q81" s="67" t="s">
        <v>10</v>
      </c>
      <c r="R81" s="10" t="b">
        <f>IFERROR(__xludf.DUMMYFUNCTION("IF(COUNTA(Q81:Q1673)=0,"""",IF(ISBLANK(Q81),FALSE,IF(NOT(COUNTIF($AA$24:$AA$34,SUBSTITUTE(Q81,""Sell_"",""""))),1,IF(REGEXMATCH(Q81,""Sell_""),IF(COUNTIF(Q$4:Q81,SUBSTITUTE(Q81,""Sell_"",""""))-COUNTIF(Q$4:Q80,Q81)&lt;1,1),FALSE))))"),FALSE)</f>
        <v>0</v>
      </c>
      <c r="S81" s="59">
        <f t="array" ref="S81">IF(COUNTA(Q81:Q1673)=0,"",SUM((COUNTIF(Q$4:Q81,Upgrades!$B$3:$B$13)-COUNTIF(Q$4:Q81,"Sell_"&amp;Upgrades!$B$3:$B$13))*Upgrades!$D$3:$D$13))</f>
        <v>7172.8</v>
      </c>
      <c r="T81" s="66">
        <f>IFERROR(__xludf.DUMMYFUNCTION("IF(COUNTA(Q81:Q1673)=0,"""",IF(REGEXMATCH(INDEX(FILTER(Q$4:Q81,Q$4:Q81&lt;&gt;""""),ROWS(FILTER(Q$4:Q81,Q$4:Q81&lt;&gt;""""))),""^Sell_""),INDEX(FILTER(T$4:T80,Q$4:Q80&lt;&gt;""""),ROWS(FILTER(Q$4:Q80,Q$4:Q80&lt;&gt;""""))),$AD$5+S81))"),7187.8)</f>
        <v>7187.8</v>
      </c>
      <c r="U81" s="10">
        <f>IFERROR(__xludf.DUMMYFUNCTION("IF(COUNTA(Q81:Q1673)=0,"""",IF(Q81="""",0,IF(REGEXMATCH(Q81,""^Sell_""),-ROUNDDOWN(ROUNDUP(INDEX(Upgrades!$C$3:$C$13,MATCH(SUBSTITUTE(Q81,""Sell_"",""""),Upgrades!$B$3:$B$13,0))*1.15^(COUNTIF(Q$4:Q80,SUBSTITUTE(Q81,""Sell_"",""""))-COUNTIF(Q$4:Q80,""Sell_"&amp;"""&amp;SUBSTITUTE(Q81,""Sell_"",""""))))/2),ROUNDUP(INDEX(Upgrades!$C$3:$C$13,MATCH(Q81,Upgrades!$B$3:$B$13,0))*1.15^(COUNTIF(Q$4:Q80,Q81)-COUNTIF(Q$4:Q80,""Sell_""&amp;Q81))))))"),1666666.0)</f>
        <v>1666666</v>
      </c>
      <c r="V81" s="10">
        <f t="shared" si="11"/>
        <v>891093</v>
      </c>
      <c r="W81" s="68">
        <f t="shared" si="12"/>
        <v>2600.927683</v>
      </c>
      <c r="X81" s="59" t="str">
        <f t="shared" si="13"/>
        <v>43m 20s</v>
      </c>
      <c r="Y81" s="69">
        <f t="shared" si="14"/>
        <v>2475723</v>
      </c>
      <c r="Z81" s="11"/>
    </row>
    <row r="82">
      <c r="A82" s="8"/>
      <c r="B82" s="56">
        <f t="shared" si="2"/>
        <v>5</v>
      </c>
      <c r="C82" s="57" t="s">
        <v>10</v>
      </c>
      <c r="D82" s="10" t="b">
        <f>IFERROR(__xludf.DUMMYFUNCTION("IF(COUNTA(C82:C1673)=0,"""",IF(ISBLANK(C82),FALSE,IF(NOT(COUNTIF($AA$24:$AA$34,SUBSTITUTE(C82,""Sell_"",""""))),1,IF(REGEXMATCH(C82,""Sell_""),IF(COUNTIF(C$4:C82,SUBSTITUTE(C82,""Sell_"",""""))-COUNTIF(C$4:C81,C82)&lt;1,1),FALSE))))"),FALSE)</f>
        <v>0</v>
      </c>
      <c r="E82" s="59">
        <f t="array" ref="E82">IF(COUNTA(C82:C1673)=0,"",SUM((COUNTIF(C$4:C82,Upgrades!$B$3:$B$13)-COUNTIF(C$4:C82,"Sell_"&amp;Upgrades!$B$3:$B$13))*Upgrades!$D$3:$D$13))</f>
        <v>35233</v>
      </c>
      <c r="F82" s="66">
        <f>IFERROR(__xludf.DUMMYFUNCTION("IF(COUNTA(C82:C1673)=0,"""",IF(REGEXMATCH(INDEX(FILTER(C$4:C82,C$4:C82&lt;&gt;""""),ROWS(FILTER(C$4:C82,C$4:C82&lt;&gt;""""))),""^Sell_""),INDEX(FILTER(F$4:F81,C$4:C81&lt;&gt;""""),ROWS(FILTER(C$4:C81,C$4:C81&lt;&gt;""""))),$AC$5+E82))"),35248.0)</f>
        <v>35248</v>
      </c>
      <c r="G82" s="10">
        <f>IFERROR(__xludf.DUMMYFUNCTION("IF(COUNTA(C82:C1673)=0,"""",IF(C82="""",0,IF(REGEXMATCH(C82,""^Sell_""),-ROUNDDOWN(ROUNDUP(INDEX(Upgrades!$C$3:$C$13,MATCH(SUBSTITUTE(C82,""Sell_"",""""),Upgrades!$B$3:$B$13,0))*1.15^(COUNTIF(C$4:C81,SUBSTITUTE(C82,""Sell_"",""""))-COUNTIF(C$4:C81,""Sell_"&amp;"""&amp;SUBSTITUTE(C82,""Sell_"",""""))))/2),ROUNDUP(INDEX(Upgrades!$C$3:$C$13,MATCH(C82,Upgrades!$B$3:$B$13,0))*1.15^(COUNTIF(C$4:C81,C82)-COUNTIF(C$4:C81,""Sell_""&amp;C82))))))"),2915010.0)</f>
        <v>2915010</v>
      </c>
      <c r="H82" s="10">
        <f t="shared" si="3"/>
        <v>2915010</v>
      </c>
      <c r="I82" s="68">
        <f t="shared" si="4"/>
        <v>3379.975699</v>
      </c>
      <c r="J82" s="59" t="str">
        <f t="shared" si="5"/>
        <v>56m 19s</v>
      </c>
      <c r="K82" s="69">
        <f t="shared" si="6"/>
        <v>12493160</v>
      </c>
      <c r="L82" s="60">
        <f t="shared" si="7"/>
        <v>-117.14391</v>
      </c>
      <c r="M82" s="61">
        <f>IFERROR(__xludf.DUMMYFUNCTION("IFS(AND(COUNTA(C82:C1673)=0,COUNTA(Q82:Q1673)=0),"""",OR(AND(K82&gt;=1000000000,OR(Y82&gt;=1000000000,COUNTA(Q82:Q1673)=0)),OR(Y82&gt;=1000000000,AND(COUNTA(C82:C1673)=0,P$3=TRUE))),
ROUNDDOWN((AB$1-AC$1)*MAX(INDEX(T$4:T1673,MATCH(LARGE(FILTER(Y$4:Y1673,Y$4:Y1673&lt;"&amp;"1000000000),1),Y$4:Y1673)),INDEX(F$4:F1673,MATCH(LARGE(FILTER(K$4:K1673,K$4:K1673&lt;1000000000),1),K$4:K1673)))),AND(K82&lt;1000000000,COUNTA(C82:C1673)&gt;0,P$3=FALSE),
ROUNDDOWN(INDEX(Y$4:Y1673,MATCH(LARGE(FILTER(W$4:W1673,W$4:W1673&lt;=I82),1),W$4:W1673))+(I82-LA"&amp;"RGE(FILTER(W$4:W1673,W$4:W1673&lt;=I82),1))*INDEX(T$4:T1673,MATCH(LARGE(FILTER(W$4:W1673,W$4:W1673&lt;=I82),1),W$4:W1673))-K82),1,
ROUNDDOWN(Y82-INDEX(K$4:K1673,MATCH(LARGE(FILTER(I$4:I1673,I$4:I1673&lt;=W82),1),I$4:I1673))-(W82-LARGE(FILTER(I$4:I1673,I$4:I1673&lt;=W"&amp;"82),1))*INDEX(F$4:F1673,MATCH(LARGE(FILTER(I$4:I1673,I$4:I1673&lt;=W82),1),I$4:I1673))))"),4167296.0)</f>
        <v>4167296</v>
      </c>
      <c r="N82" s="60">
        <f t="shared" si="8"/>
        <v>-117.14391</v>
      </c>
      <c r="O82" s="61" t="str">
        <f t="shared" si="9"/>
        <v>4,2M</v>
      </c>
      <c r="P82" s="56">
        <f t="shared" si="10"/>
        <v>1</v>
      </c>
      <c r="Q82" s="67" t="s">
        <v>8</v>
      </c>
      <c r="R82" s="10" t="b">
        <f>IFERROR(__xludf.DUMMYFUNCTION("IF(COUNTA(Q82:Q1673)=0,"""",IF(ISBLANK(Q82),FALSE,IF(NOT(COUNTIF($AA$24:$AA$34,SUBSTITUTE(Q82,""Sell_"",""""))),1,IF(REGEXMATCH(Q82,""Sell_""),IF(COUNTIF(Q$4:Q82,SUBSTITUTE(Q82,""Sell_"",""""))-COUNTIF(Q$4:Q81,Q82)&lt;1,1),FALSE))))"),FALSE)</f>
        <v>0</v>
      </c>
      <c r="S82" s="59">
        <f t="array" ref="S82">IF(COUNTA(Q82:Q1673)=0,"",SUM((COUNTIF(Q$4:Q82,Upgrades!$B$3:$B$13)-COUNTIF(Q$4:Q82,"Sell_"&amp;Upgrades!$B$3:$B$13))*Upgrades!$D$3:$D$13))</f>
        <v>7272.8</v>
      </c>
      <c r="T82" s="66">
        <f>IFERROR(__xludf.DUMMYFUNCTION("IF(COUNTA(Q82:Q1673)=0,"""",IF(REGEXMATCH(INDEX(FILTER(Q$4:Q82,Q$4:Q82&lt;&gt;""""),ROWS(FILTER(Q$4:Q82,Q$4:Q82&lt;&gt;""""))),""^Sell_""),INDEX(FILTER(T$4:T81,Q$4:Q81&lt;&gt;""""),ROWS(FILTER(Q$4:Q81,Q$4:Q81&lt;&gt;""""))),$AD$5+S82))"),7287.8)</f>
        <v>7287.8</v>
      </c>
      <c r="U82" s="10">
        <f>IFERROR(__xludf.DUMMYFUNCTION("IF(COUNTA(Q82:Q1673)=0,"""",IF(Q82="""",0,IF(REGEXMATCH(Q82,""^Sell_""),-ROUNDDOWN(ROUNDUP(INDEX(Upgrades!$C$3:$C$13,MATCH(SUBSTITUTE(Q82,""Sell_"",""""),Upgrades!$B$3:$B$13,0))*1.15^(COUNTIF(Q$4:Q81,SUBSTITUTE(Q82,""Sell_"",""""))-COUNTIF(Q$4:Q81,""Sell_"&amp;"""&amp;SUBSTITUTE(Q82,""Sell_"",""""))))/2),ROUNDUP(INDEX(Upgrades!$C$3:$C$13,MATCH(Q82,Upgrades!$B$3:$B$13,0))*1.15^(COUNTIF(Q$4:Q81,Q82)-COUNTIF(Q$4:Q81,""Sell_""&amp;Q82))))))"),40000.0)</f>
        <v>40000</v>
      </c>
      <c r="V82" s="10">
        <f t="shared" si="11"/>
        <v>40000</v>
      </c>
      <c r="W82" s="68">
        <f t="shared" si="12"/>
        <v>2606.492668</v>
      </c>
      <c r="X82" s="59" t="str">
        <f t="shared" si="13"/>
        <v>43m 26s</v>
      </c>
      <c r="Y82" s="69">
        <f t="shared" si="14"/>
        <v>2515723</v>
      </c>
      <c r="Z82" s="11"/>
    </row>
    <row r="83">
      <c r="A83" s="8"/>
      <c r="B83" s="56">
        <f t="shared" si="2"/>
        <v>6</v>
      </c>
      <c r="C83" s="57" t="s">
        <v>10</v>
      </c>
      <c r="D83" s="10" t="b">
        <f>IFERROR(__xludf.DUMMYFUNCTION("IF(COUNTA(C83:C1673)=0,"""",IF(ISBLANK(C83),FALSE,IF(NOT(COUNTIF($AA$24:$AA$34,SUBSTITUTE(C83,""Sell_"",""""))),1,IF(REGEXMATCH(C83,""Sell_""),IF(COUNTIF(C$4:C83,SUBSTITUTE(C83,""Sell_"",""""))-COUNTIF(C$4:C82,C83)&lt;1,1),FALSE))))"),FALSE)</f>
        <v>0</v>
      </c>
      <c r="E83" s="59">
        <f t="array" ref="E83">IF(COUNTA(C83:C1673)=0,"",SUM((COUNTIF(C$4:C83,Upgrades!$B$3:$B$13)-COUNTIF(C$4:C83,"Sell_"&amp;Upgrades!$B$3:$B$13))*Upgrades!$D$3:$D$13))</f>
        <v>41899</v>
      </c>
      <c r="F83" s="66">
        <f>IFERROR(__xludf.DUMMYFUNCTION("IF(COUNTA(C83:C1673)=0,"""",IF(REGEXMATCH(INDEX(FILTER(C$4:C83,C$4:C83&lt;&gt;""""),ROWS(FILTER(C$4:C83,C$4:C83&lt;&gt;""""))),""^Sell_""),INDEX(FILTER(F$4:F82,C$4:C82&lt;&gt;""""),ROWS(FILTER(C$4:C82,C$4:C82&lt;&gt;""""))),$AC$5+E83))"),41914.0)</f>
        <v>41914</v>
      </c>
      <c r="G83" s="10">
        <f>IFERROR(__xludf.DUMMYFUNCTION("IF(COUNTA(C83:C1673)=0,"""",IF(C83="""",0,IF(REGEXMATCH(C83,""^Sell_""),-ROUNDDOWN(ROUNDUP(INDEX(Upgrades!$C$3:$C$13,MATCH(SUBSTITUTE(C83,""Sell_"",""""),Upgrades!$B$3:$B$13,0))*1.15^(COUNTIF(C$4:C82,SUBSTITUTE(C83,""Sell_"",""""))-COUNTIF(C$4:C82,""Sell_"&amp;"""&amp;SUBSTITUTE(C83,""Sell_"",""""))))/2),ROUNDUP(INDEX(Upgrades!$C$3:$C$13,MATCH(C83,Upgrades!$B$3:$B$13,0))*1.15^(COUNTIF(C$4:C82,C83)-COUNTIF(C$4:C82,""Sell_""&amp;C83))))))"),3352261.0)</f>
        <v>3352261</v>
      </c>
      <c r="H83" s="10">
        <f t="shared" si="3"/>
        <v>3352261</v>
      </c>
      <c r="I83" s="68">
        <f t="shared" si="4"/>
        <v>3475.080698</v>
      </c>
      <c r="J83" s="59" t="str">
        <f t="shared" si="5"/>
        <v>57m 55s</v>
      </c>
      <c r="K83" s="69">
        <f t="shared" si="6"/>
        <v>15845421</v>
      </c>
      <c r="L83" s="60">
        <f t="shared" si="7"/>
        <v>-115.89786</v>
      </c>
      <c r="M83" s="61">
        <f>IFERROR(__xludf.DUMMYFUNCTION("IFS(AND(COUNTA(C83:C1673)=0,COUNTA(Q83:Q1673)=0),"""",OR(AND(K83&gt;=1000000000,OR(Y83&gt;=1000000000,COUNTA(Q83:Q1673)=0)),OR(Y83&gt;=1000000000,AND(COUNTA(C83:C1673)=0,P$3=TRUE))),
ROUNDDOWN((AB$1-AC$1)*MAX(INDEX(T$4:T1673,MATCH(LARGE(FILTER(Y$4:Y1673,Y$4:Y1673&lt;"&amp;"1000000000),1),Y$4:Y1673)),INDEX(F$4:F1673,MATCH(LARGE(FILTER(K$4:K1673,K$4:K1673&lt;1000000000),1),K$4:K1673)))),AND(K83&lt;1000000000,COUNTA(C83:C1673)&gt;0,P$3=FALSE),
ROUNDDOWN(INDEX(Y$4:Y1673,MATCH(LARGE(FILTER(W$4:W1673,W$4:W1673&lt;=I83),1),W$4:W1673))+(I83-LA"&amp;"RGE(FILTER(W$4:W1673,W$4:W1673&lt;=I83),1))*INDEX(T$4:T1673,MATCH(LARGE(FILTER(W$4:W1673,W$4:W1673&lt;=I83),1),W$4:W1673))-K83),1,
ROUNDDOWN(Y83-INDEX(K$4:K1673,MATCH(LARGE(FILTER(I$4:I1673,I$4:I1673&lt;=W83),1),I$4:I1673))-(W83-LARGE(FILTER(I$4:I1673,I$4:I1673&lt;=W"&amp;"83),1))*INDEX(F$4:F1673,MATCH(LARGE(FILTER(I$4:I1673,I$4:I1673&lt;=W83),1),I$4:I1673))))"),4878340.0)</f>
        <v>4878340</v>
      </c>
      <c r="N83" s="60">
        <f t="shared" si="8"/>
        <v>-115.89786</v>
      </c>
      <c r="O83" s="61" t="str">
        <f t="shared" si="9"/>
        <v>4,9M</v>
      </c>
      <c r="P83" s="56">
        <f t="shared" si="10"/>
        <v>2</v>
      </c>
      <c r="Q83" s="67" t="s">
        <v>8</v>
      </c>
      <c r="R83" s="10" t="b">
        <f>IFERROR(__xludf.DUMMYFUNCTION("IF(COUNTA(Q83:Q1673)=0,"""",IF(ISBLANK(Q83),FALSE,IF(NOT(COUNTIF($AA$24:$AA$34,SUBSTITUTE(Q83,""Sell_"",""""))),1,IF(REGEXMATCH(Q83,""Sell_""),IF(COUNTIF(Q$4:Q83,SUBSTITUTE(Q83,""Sell_"",""""))-COUNTIF(Q$4:Q82,Q83)&lt;1,1),FALSE))))"),FALSE)</f>
        <v>0</v>
      </c>
      <c r="S83" s="59">
        <f t="array" ref="S83">IF(COUNTA(Q83:Q1673)=0,"",SUM((COUNTIF(Q$4:Q83,Upgrades!$B$3:$B$13)-COUNTIF(Q$4:Q83,"Sell_"&amp;Upgrades!$B$3:$B$13))*Upgrades!$D$3:$D$13))</f>
        <v>7372.8</v>
      </c>
      <c r="T83" s="66">
        <f>IFERROR(__xludf.DUMMYFUNCTION("IF(COUNTA(Q83:Q1673)=0,"""",IF(REGEXMATCH(INDEX(FILTER(Q$4:Q83,Q$4:Q83&lt;&gt;""""),ROWS(FILTER(Q$4:Q83,Q$4:Q83&lt;&gt;""""))),""^Sell_""),INDEX(FILTER(T$4:T82,Q$4:Q82&lt;&gt;""""),ROWS(FILTER(Q$4:Q82,Q$4:Q82&lt;&gt;""""))),$AD$5+S83))"),7387.8)</f>
        <v>7387.8</v>
      </c>
      <c r="U83" s="10">
        <f>IFERROR(__xludf.DUMMYFUNCTION("IF(COUNTA(Q83:Q1673)=0,"""",IF(Q83="""",0,IF(REGEXMATCH(Q83,""^Sell_""),-ROUNDDOWN(ROUNDUP(INDEX(Upgrades!$C$3:$C$13,MATCH(SUBSTITUTE(Q83,""Sell_"",""""),Upgrades!$B$3:$B$13,0))*1.15^(COUNTIF(Q$4:Q82,SUBSTITUTE(Q83,""Sell_"",""""))-COUNTIF(Q$4:Q82,""Sell_"&amp;"""&amp;SUBSTITUTE(Q83,""Sell_"",""""))))/2),ROUNDUP(INDEX(Upgrades!$C$3:$C$13,MATCH(Q83,Upgrades!$B$3:$B$13,0))*1.15^(COUNTIF(Q$4:Q82,Q83)-COUNTIF(Q$4:Q82,""Sell_""&amp;Q83))))))"),46000.0)</f>
        <v>46000</v>
      </c>
      <c r="V83" s="10">
        <f t="shared" si="11"/>
        <v>46000</v>
      </c>
      <c r="W83" s="68">
        <f t="shared" si="12"/>
        <v>2612.804587</v>
      </c>
      <c r="X83" s="59" t="str">
        <f t="shared" si="13"/>
        <v>43m 32s</v>
      </c>
      <c r="Y83" s="69">
        <f t="shared" si="14"/>
        <v>2561723</v>
      </c>
      <c r="Z83" s="11"/>
    </row>
    <row r="84">
      <c r="A84" s="8"/>
      <c r="B84" s="56">
        <f t="shared" si="2"/>
        <v>3</v>
      </c>
      <c r="C84" s="57" t="s">
        <v>9</v>
      </c>
      <c r="D84" s="10" t="b">
        <f>IFERROR(__xludf.DUMMYFUNCTION("IF(COUNTA(C84:C1673)=0,"""",IF(ISBLANK(C84),FALSE,IF(NOT(COUNTIF($AA$24:$AA$34,SUBSTITUTE(C84,""Sell_"",""""))),1,IF(REGEXMATCH(C84,""Sell_""),IF(COUNTIF(C$4:C84,SUBSTITUTE(C84,""Sell_"",""""))-COUNTIF(C$4:C83,C84)&lt;1,1),FALSE))))"),FALSE)</f>
        <v>0</v>
      </c>
      <c r="E84" s="59">
        <f t="array" ref="E84">IF(COUNTA(C84:C1673)=0,"",SUM((COUNTIF(C$4:C84,Upgrades!$B$3:$B$13)-COUNTIF(C$4:C84,"Sell_"&amp;Upgrades!$B$3:$B$13))*Upgrades!$D$3:$D$13))</f>
        <v>42299</v>
      </c>
      <c r="F84" s="66">
        <f>IFERROR(__xludf.DUMMYFUNCTION("IF(COUNTA(C84:C1673)=0,"""",IF(REGEXMATCH(INDEX(FILTER(C$4:C84,C$4:C84&lt;&gt;""""),ROWS(FILTER(C$4:C84,C$4:C84&lt;&gt;""""))),""^Sell_""),INDEX(FILTER(F$4:F83,C$4:C83&lt;&gt;""""),ROWS(FILTER(C$4:C83,C$4:C83&lt;&gt;""""))),$AC$5+E84))"),42314.0)</f>
        <v>42314</v>
      </c>
      <c r="G84" s="10">
        <f>IFERROR(__xludf.DUMMYFUNCTION("IF(COUNTA(C84:C1673)=0,"""",IF(C84="""",0,IF(REGEXMATCH(C84,""^Sell_""),-ROUNDDOWN(ROUNDUP(INDEX(Upgrades!$C$3:$C$13,MATCH(SUBSTITUTE(C84,""Sell_"",""""),Upgrades!$B$3:$B$13,0))*1.15^(COUNTIF(C$4:C83,SUBSTITUTE(C84,""Sell_"",""""))-COUNTIF(C$4:C83,""Sell_"&amp;"""&amp;SUBSTITUTE(C84,""Sell_"",""""))))/2),ROUNDUP(INDEX(Upgrades!$C$3:$C$13,MATCH(C84,Upgrades!$B$3:$B$13,0))*1.15^(COUNTIF(C$4:C83,C84)-COUNTIF(C$4:C83,""Sell_""&amp;C84))))))"),264500.0)</f>
        <v>264500</v>
      </c>
      <c r="H84" s="10">
        <f t="shared" si="3"/>
        <v>264500</v>
      </c>
      <c r="I84" s="68">
        <f t="shared" si="4"/>
        <v>3481.391239</v>
      </c>
      <c r="J84" s="59" t="str">
        <f t="shared" si="5"/>
        <v>58m 01s</v>
      </c>
      <c r="K84" s="69">
        <f t="shared" si="6"/>
        <v>16109921</v>
      </c>
      <c r="L84" s="60">
        <f t="shared" si="7"/>
        <v>-114.64083</v>
      </c>
      <c r="M84" s="61">
        <f>IFERROR(__xludf.DUMMYFUNCTION("IFS(AND(COUNTA(C84:C1673)=0,COUNTA(Q84:Q1673)=0),"""",OR(AND(K84&gt;=1000000000,OR(Y84&gt;=1000000000,COUNTA(Q84:Q1673)=0)),OR(Y84&gt;=1000000000,AND(COUNTA(C84:C1673)=0,P$3=TRUE))),
ROUNDDOWN((AB$1-AC$1)*MAX(INDEX(T$4:T1673,MATCH(LARGE(FILTER(Y$4:Y1673,Y$4:Y1673&lt;"&amp;"1000000000),1),Y$4:Y1673)),INDEX(F$4:F1673,MATCH(LARGE(FILTER(K$4:K1673,K$4:K1673&lt;1000000000),1),K$4:K1673)))),AND(K84&lt;1000000000,COUNTA(C84:C1673)&gt;0,P$3=FALSE),
ROUNDDOWN(INDEX(Y$4:Y1673,MATCH(LARGE(FILTER(W$4:W1673,W$4:W1673&lt;=I84),1),W$4:W1673))+(I84-LA"&amp;"RGE(FILTER(W$4:W1673,W$4:W1673&lt;=I84),1))*INDEX(T$4:T1673,MATCH(LARGE(FILTER(W$4:W1673,W$4:W1673&lt;=I84),1),W$4:W1673))-K84),1,
ROUNDDOWN(Y84-INDEX(K$4:K1673,MATCH(LARGE(FILTER(I$4:I1673,I$4:I1673&lt;=W84),1),I$4:I1673))-(W84-LARGE(FILTER(I$4:I1673,I$4:I1673&lt;=W"&amp;"84),1))*INDEX(F$4:F1673,MATCH(LARGE(FILTER(I$4:I1673,I$4:I1673&lt;=W84),1),I$4:I1673))))"),4922323.0)</f>
        <v>4922323</v>
      </c>
      <c r="N84" s="60">
        <f t="shared" si="8"/>
        <v>-114.64083</v>
      </c>
      <c r="O84" s="61" t="str">
        <f t="shared" si="9"/>
        <v>4,9M</v>
      </c>
      <c r="P84" s="56">
        <f t="shared" si="10"/>
        <v>1</v>
      </c>
      <c r="Q84" s="67" t="s">
        <v>9</v>
      </c>
      <c r="R84" s="10" t="b">
        <f>IFERROR(__xludf.DUMMYFUNCTION("IF(COUNTA(Q84:Q1673)=0,"""",IF(ISBLANK(Q84),FALSE,IF(NOT(COUNTIF($AA$24:$AA$34,SUBSTITUTE(Q84,""Sell_"",""""))),1,IF(REGEXMATCH(Q84,""Sell_""),IF(COUNTIF(Q$4:Q84,SUBSTITUTE(Q84,""Sell_"",""""))-COUNTIF(Q$4:Q83,Q84)&lt;1,1),FALSE))))"),FALSE)</f>
        <v>0</v>
      </c>
      <c r="S84" s="59">
        <f t="array" ref="S84">IF(COUNTA(Q84:Q1673)=0,"",SUM((COUNTIF(Q$4:Q84,Upgrades!$B$3:$B$13)-COUNTIF(Q$4:Q84,"Sell_"&amp;Upgrades!$B$3:$B$13))*Upgrades!$D$3:$D$13))</f>
        <v>7772.8</v>
      </c>
      <c r="T84" s="66">
        <f>IFERROR(__xludf.DUMMYFUNCTION("IF(COUNTA(Q84:Q1673)=0,"""",IF(REGEXMATCH(INDEX(FILTER(Q$4:Q84,Q$4:Q84&lt;&gt;""""),ROWS(FILTER(Q$4:Q84,Q$4:Q84&lt;&gt;""""))),""^Sell_""),INDEX(FILTER(T$4:T83,Q$4:Q83&lt;&gt;""""),ROWS(FILTER(Q$4:Q83,Q$4:Q83&lt;&gt;""""))),$AD$5+S84))"),7787.8)</f>
        <v>7787.8</v>
      </c>
      <c r="U84" s="10">
        <f>IFERROR(__xludf.DUMMYFUNCTION("IF(COUNTA(Q84:Q1673)=0,"""",IF(Q84="""",0,IF(REGEXMATCH(Q84,""^Sell_""),-ROUNDDOWN(ROUNDUP(INDEX(Upgrades!$C$3:$C$13,MATCH(SUBSTITUTE(Q84,""Sell_"",""""),Upgrades!$B$3:$B$13,0))*1.15^(COUNTIF(Q$4:Q83,SUBSTITUTE(Q84,""Sell_"",""""))-COUNTIF(Q$4:Q83,""Sell_"&amp;"""&amp;SUBSTITUTE(Q84,""Sell_"",""""))))/2),ROUNDUP(INDEX(Upgrades!$C$3:$C$13,MATCH(Q84,Upgrades!$B$3:$B$13,0))*1.15^(COUNTIF(Q$4:Q83,Q84)-COUNTIF(Q$4:Q83,""Sell_""&amp;Q84))))))"),200000.0)</f>
        <v>200000</v>
      </c>
      <c r="V84" s="10">
        <f t="shared" si="11"/>
        <v>200000</v>
      </c>
      <c r="W84" s="68">
        <f t="shared" si="12"/>
        <v>2639.876245</v>
      </c>
      <c r="X84" s="59" t="str">
        <f t="shared" si="13"/>
        <v>43m 59s</v>
      </c>
      <c r="Y84" s="69">
        <f t="shared" si="14"/>
        <v>2761723</v>
      </c>
      <c r="Z84" s="11"/>
    </row>
    <row r="85">
      <c r="A85" s="8"/>
      <c r="B85" s="56">
        <f t="shared" si="2"/>
        <v>7</v>
      </c>
      <c r="C85" s="57" t="s">
        <v>10</v>
      </c>
      <c r="D85" s="10" t="b">
        <f>IFERROR(__xludf.DUMMYFUNCTION("IF(COUNTA(C85:C1673)=0,"""",IF(ISBLANK(C85),FALSE,IF(NOT(COUNTIF($AA$24:$AA$34,SUBSTITUTE(C85,""Sell_"",""""))),1,IF(REGEXMATCH(C85,""Sell_""),IF(COUNTIF(C$4:C85,SUBSTITUTE(C85,""Sell_"",""""))-COUNTIF(C$4:C84,C85)&lt;1,1),FALSE))))"),FALSE)</f>
        <v>0</v>
      </c>
      <c r="E85" s="59">
        <f t="array" ref="E85">IF(COUNTA(C85:C1673)=0,"",SUM((COUNTIF(C$4:C85,Upgrades!$B$3:$B$13)-COUNTIF(C$4:C85,"Sell_"&amp;Upgrades!$B$3:$B$13))*Upgrades!$D$3:$D$13))</f>
        <v>48965</v>
      </c>
      <c r="F85" s="66">
        <f>IFERROR(__xludf.DUMMYFUNCTION("IF(COUNTA(C85:C1673)=0,"""",IF(REGEXMATCH(INDEX(FILTER(C$4:C85,C$4:C85&lt;&gt;""""),ROWS(FILTER(C$4:C85,C$4:C85&lt;&gt;""""))),""^Sell_""),INDEX(FILTER(F$4:F84,C$4:C84&lt;&gt;""""),ROWS(FILTER(C$4:C84,C$4:C84&lt;&gt;""""))),$AC$5+E85))"),48980.0)</f>
        <v>48980</v>
      </c>
      <c r="G85" s="10">
        <f>IFERROR(__xludf.DUMMYFUNCTION("IF(COUNTA(C85:C1673)=0,"""",IF(C85="""",0,IF(REGEXMATCH(C85,""^Sell_""),-ROUNDDOWN(ROUNDUP(INDEX(Upgrades!$C$3:$C$13,MATCH(SUBSTITUTE(C85,""Sell_"",""""),Upgrades!$B$3:$B$13,0))*1.15^(COUNTIF(C$4:C84,SUBSTITUTE(C85,""Sell_"",""""))-COUNTIF(C$4:C84,""Sell_"&amp;"""&amp;SUBSTITUTE(C85,""Sell_"",""""))))/2),ROUNDUP(INDEX(Upgrades!$C$3:$C$13,MATCH(C85,Upgrades!$B$3:$B$13,0))*1.15^(COUNTIF(C$4:C84,C85)-COUNTIF(C$4:C84,""Sell_""&amp;C85))))))"),3855100.0)</f>
        <v>3855100</v>
      </c>
      <c r="H85" s="10">
        <f t="shared" si="3"/>
        <v>3855100</v>
      </c>
      <c r="I85" s="68">
        <f t="shared" si="4"/>
        <v>3572.498201</v>
      </c>
      <c r="J85" s="59" t="str">
        <f t="shared" si="5"/>
        <v>59m 32s</v>
      </c>
      <c r="K85" s="69">
        <f t="shared" si="6"/>
        <v>19965021</v>
      </c>
      <c r="L85" s="60">
        <f t="shared" si="7"/>
        <v>-114.06245</v>
      </c>
      <c r="M85" s="61">
        <f>IFERROR(__xludf.DUMMYFUNCTION("IFS(AND(COUNTA(C85:C1673)=0,COUNTA(Q85:Q1673)=0),"""",OR(AND(K85&gt;=1000000000,OR(Y85&gt;=1000000000,COUNTA(Q85:Q1673)=0)),OR(Y85&gt;=1000000000,AND(COUNTA(C85:C1673)=0,P$3=TRUE))),
ROUNDDOWN((AB$1-AC$1)*MAX(INDEX(T$4:T1673,MATCH(LARGE(FILTER(Y$4:Y1673,Y$4:Y1673&lt;"&amp;"1000000000),1),Y$4:Y1673)),INDEX(F$4:F1673,MATCH(LARGE(FILTER(K$4:K1673,K$4:K1673&lt;1000000000),1),K$4:K1673)))),AND(K85&lt;1000000000,COUNTA(C85:C1673)&gt;0,P$3=FALSE),
ROUNDDOWN(INDEX(Y$4:Y1673,MATCH(LARGE(FILTER(W$4:W1673,W$4:W1673&lt;=I85),1),W$4:W1673))+(I85-LA"&amp;"RGE(FILTER(W$4:W1673,W$4:W1673&lt;=I85),1))*INDEX(T$4:T1673,MATCH(LARGE(FILTER(W$4:W1673,W$4:W1673&lt;=I85),1),W$4:W1673))-K85),1,
ROUNDDOWN(Y85-INDEX(K$4:K1673,MATCH(LARGE(FILTER(I$4:I1673,I$4:I1673&lt;=W85),1),I$4:I1673))-(W85-LARGE(FILTER(I$4:I1673,I$4:I1673&lt;=W"&amp;"85),1))*INDEX(F$4:F1673,MATCH(LARGE(FILTER(I$4:I1673,I$4:I1673&lt;=W85),1),I$4:I1673))))"),5617169.0)</f>
        <v>5617169</v>
      </c>
      <c r="N85" s="60">
        <f t="shared" si="8"/>
        <v>-114.06245</v>
      </c>
      <c r="O85" s="61" t="str">
        <f t="shared" si="9"/>
        <v>5,6M</v>
      </c>
      <c r="P85" s="56">
        <f t="shared" si="10"/>
        <v>5</v>
      </c>
      <c r="Q85" s="67" t="s">
        <v>60</v>
      </c>
      <c r="R85" s="10" t="b">
        <f>IFERROR(__xludf.DUMMYFUNCTION("IF(COUNTA(Q85:Q1673)=0,"""",IF(ISBLANK(Q85),FALSE,IF(NOT(COUNTIF($AA$24:$AA$34,SUBSTITUTE(Q85,""Sell_"",""""))),1,IF(REGEXMATCH(Q85,""Sell_""),IF(COUNTIF(Q$4:Q85,SUBSTITUTE(Q85,""Sell_"",""""))-COUNTIF(Q$4:Q84,Q85)&lt;1,1),FALSE))))"),FALSE)</f>
        <v>0</v>
      </c>
      <c r="S85" s="59">
        <f t="array" ref="S85">IF(COUNTA(Q85:Q1673)=0,"",SUM((COUNTIF(Q$4:Q85,Upgrades!$B$3:$B$13)-COUNTIF(Q$4:Q85,"Sell_"&amp;Upgrades!$B$3:$B$13))*Upgrades!$D$3:$D$13))</f>
        <v>7372.8</v>
      </c>
      <c r="T85" s="66">
        <f>IFERROR(__xludf.DUMMYFUNCTION("IF(COUNTA(Q85:Q1673)=0,"""",IF(REGEXMATCH(INDEX(FILTER(Q$4:Q85,Q$4:Q85&lt;&gt;""""),ROWS(FILTER(Q$4:Q85,Q$4:Q85&lt;&gt;""""))),""^Sell_""),INDEX(FILTER(T$4:T84,Q$4:Q84&lt;&gt;""""),ROWS(FILTER(Q$4:Q84,Q$4:Q84&lt;&gt;""""))),$AD$5+S85))"),7787.8)</f>
        <v>7787.8</v>
      </c>
      <c r="U85" s="10">
        <f>IFERROR(__xludf.DUMMYFUNCTION("IF(COUNTA(Q85:Q1673)=0,"""",IF(Q85="""",0,IF(REGEXMATCH(Q85,""^Sell_""),-ROUNDDOWN(ROUNDUP(INDEX(Upgrades!$C$3:$C$13,MATCH(SUBSTITUTE(Q85,""Sell_"",""""),Upgrades!$B$3:$B$13,0))*1.15^(COUNTIF(Q$4:Q84,SUBSTITUTE(Q85,""Sell_"",""""))-COUNTIF(Q$4:Q84,""Sell_"&amp;"""&amp;SUBSTITUTE(Q85,""Sell_"",""""))))/2),ROUNDUP(INDEX(Upgrades!$C$3:$C$13,MATCH(Q85,Upgrades!$B$3:$B$13,0))*1.15^(COUNTIF(Q$4:Q84,Q85)-COUNTIF(Q$4:Q84,""Sell_""&amp;Q85))))))"),-115000.0)</f>
        <v>-115000</v>
      </c>
      <c r="V85" s="10">
        <f t="shared" si="11"/>
        <v>-115000</v>
      </c>
      <c r="W85" s="68">
        <f t="shared" si="12"/>
        <v>2639.876245</v>
      </c>
      <c r="X85" s="59" t="str">
        <f t="shared" si="13"/>
        <v>43m 59s</v>
      </c>
      <c r="Y85" s="69">
        <f t="shared" si="14"/>
        <v>2761723</v>
      </c>
      <c r="Z85" s="11"/>
    </row>
    <row r="86">
      <c r="A86" s="8"/>
      <c r="B86" s="56">
        <f t="shared" si="2"/>
        <v>8</v>
      </c>
      <c r="C86" s="57" t="s">
        <v>10</v>
      </c>
      <c r="D86" s="10" t="b">
        <f>IFERROR(__xludf.DUMMYFUNCTION("IF(COUNTA(C86:C1673)=0,"""",IF(ISBLANK(C86),FALSE,IF(NOT(COUNTIF($AA$24:$AA$34,SUBSTITUTE(C86,""Sell_"",""""))),1,IF(REGEXMATCH(C86,""Sell_""),IF(COUNTIF(C$4:C86,SUBSTITUTE(C86,""Sell_"",""""))-COUNTIF(C$4:C85,C86)&lt;1,1),FALSE))))"),FALSE)</f>
        <v>0</v>
      </c>
      <c r="E86" s="59">
        <f t="array" ref="E86">IF(COUNTA(C86:C1673)=0,"",SUM((COUNTIF(C$4:C86,Upgrades!$B$3:$B$13)-COUNTIF(C$4:C86,"Sell_"&amp;Upgrades!$B$3:$B$13))*Upgrades!$D$3:$D$13))</f>
        <v>55631</v>
      </c>
      <c r="F86" s="66">
        <f>IFERROR(__xludf.DUMMYFUNCTION("IF(COUNTA(C86:C1673)=0,"""",IF(REGEXMATCH(INDEX(FILTER(C$4:C86,C$4:C86&lt;&gt;""""),ROWS(FILTER(C$4:C86,C$4:C86&lt;&gt;""""))),""^Sell_""),INDEX(FILTER(F$4:F85,C$4:C85&lt;&gt;""""),ROWS(FILTER(C$4:C85,C$4:C85&lt;&gt;""""))),$AC$5+E86))"),55646.0)</f>
        <v>55646</v>
      </c>
      <c r="G86" s="10">
        <f>IFERROR(__xludf.DUMMYFUNCTION("IF(COUNTA(C86:C1673)=0,"""",IF(C86="""",0,IF(REGEXMATCH(C86,""^Sell_""),-ROUNDDOWN(ROUNDUP(INDEX(Upgrades!$C$3:$C$13,MATCH(SUBSTITUTE(C86,""Sell_"",""""),Upgrades!$B$3:$B$13,0))*1.15^(COUNTIF(C$4:C85,SUBSTITUTE(C86,""Sell_"",""""))-COUNTIF(C$4:C85,""Sell_"&amp;"""&amp;SUBSTITUTE(C86,""Sell_"",""""))))/2),ROUNDUP(INDEX(Upgrades!$C$3:$C$13,MATCH(C86,Upgrades!$B$3:$B$13,0))*1.15^(COUNTIF(C$4:C85,C86)-COUNTIF(C$4:C85,""Sell_""&amp;C86))))))"),4433365.0)</f>
        <v>4433365</v>
      </c>
      <c r="H86" s="10">
        <f t="shared" si="3"/>
        <v>4433365</v>
      </c>
      <c r="I86" s="68">
        <f t="shared" si="4"/>
        <v>3663.011982</v>
      </c>
      <c r="J86" s="59" t="str">
        <f t="shared" si="5"/>
        <v>1h 01m 03s</v>
      </c>
      <c r="K86" s="69">
        <f t="shared" si="6"/>
        <v>24398386</v>
      </c>
      <c r="L86" s="60">
        <f t="shared" si="7"/>
        <v>-112.76067</v>
      </c>
      <c r="M86" s="61">
        <f>IFERROR(__xludf.DUMMYFUNCTION("IFS(AND(COUNTA(C86:C1673)=0,COUNTA(Q86:Q1673)=0),"""",OR(AND(K86&gt;=1000000000,OR(Y86&gt;=1000000000,COUNTA(Q86:Q1673)=0)),OR(Y86&gt;=1000000000,AND(COUNTA(C86:C1673)=0,P$3=TRUE))),
ROUNDDOWN((AB$1-AC$1)*MAX(INDEX(T$4:T1673,MATCH(LARGE(FILTER(Y$4:Y1673,Y$4:Y1673&lt;"&amp;"1000000000),1),Y$4:Y1673)),INDEX(F$4:F1673,MATCH(LARGE(FILTER(K$4:K1673,K$4:K1673&lt;1000000000),1),K$4:K1673)))),AND(K86&lt;1000000000,COUNTA(C86:C1673)&gt;0,P$3=FALSE),
ROUNDDOWN(INDEX(Y$4:Y1673,MATCH(LARGE(FILTER(W$4:W1673,W$4:W1673&lt;=I86),1),W$4:W1673))+(I86-LA"&amp;"RGE(FILTER(W$4:W1673,W$4:W1673&lt;=I86),1))*INDEX(T$4:T1673,MATCH(LARGE(FILTER(W$4:W1673,W$4:W1673&lt;=I86),1),W$4:W1673))-K86),1,
ROUNDDOWN(Y86-INDEX(K$4:K1673,MATCH(LARGE(FILTER(I$4:I1673,I$4:I1673&lt;=W86),1),I$4:I1673))-(W86-LARGE(FILTER(I$4:I1673,I$4:I1673&lt;=W"&amp;"86),1))*INDEX(F$4:F1673,MATCH(LARGE(FILTER(I$4:I1673,I$4:I1673&lt;=W86),1),I$4:I1673))))"),6300641.0)</f>
        <v>6300641</v>
      </c>
      <c r="N86" s="60">
        <f t="shared" si="8"/>
        <v>-112.76067</v>
      </c>
      <c r="O86" s="61" t="str">
        <f t="shared" si="9"/>
        <v>6,3M</v>
      </c>
      <c r="P86" s="56">
        <f t="shared" si="10"/>
        <v>7</v>
      </c>
      <c r="Q86" s="67" t="s">
        <v>61</v>
      </c>
      <c r="R86" s="10" t="b">
        <f>IFERROR(__xludf.DUMMYFUNCTION("IF(COUNTA(Q86:Q1673)=0,"""",IF(ISBLANK(Q86),FALSE,IF(NOT(COUNTIF($AA$24:$AA$34,SUBSTITUTE(Q86,""Sell_"",""""))),1,IF(REGEXMATCH(Q86,""Sell_""),IF(COUNTIF(Q$4:Q86,SUBSTITUTE(Q86,""Sell_"",""""))-COUNTIF(Q$4:Q85,Q86)&lt;1,1),FALSE))))"),FALSE)</f>
        <v>0</v>
      </c>
      <c r="S86" s="59">
        <f t="array" ref="S86">IF(COUNTA(Q86:Q1673)=0,"",SUM((COUNTIF(Q$4:Q86,Upgrades!$B$3:$B$13)-COUNTIF(Q$4:Q86,"Sell_"&amp;Upgrades!$B$3:$B$13))*Upgrades!$D$3:$D$13))</f>
        <v>7272.8</v>
      </c>
      <c r="T86" s="66">
        <f>IFERROR(__xludf.DUMMYFUNCTION("IF(COUNTA(Q86:Q1673)=0,"""",IF(REGEXMATCH(INDEX(FILTER(Q$4:Q86,Q$4:Q86&lt;&gt;""""),ROWS(FILTER(Q$4:Q86,Q$4:Q86&lt;&gt;""""))),""^Sell_""),INDEX(FILTER(T$4:T85,Q$4:Q85&lt;&gt;""""),ROWS(FILTER(Q$4:Q85,Q$4:Q85&lt;&gt;""""))),$AD$5+S86))"),7787.8)</f>
        <v>7787.8</v>
      </c>
      <c r="U86" s="10">
        <f>IFERROR(__xludf.DUMMYFUNCTION("IF(COUNTA(Q86:Q1673)=0,"""",IF(Q86="""",0,IF(REGEXMATCH(Q86,""^Sell_""),-ROUNDDOWN(ROUNDUP(INDEX(Upgrades!$C$3:$C$13,MATCH(SUBSTITUTE(Q86,""Sell_"",""""),Upgrades!$B$3:$B$13,0))*1.15^(COUNTIF(Q$4:Q85,SUBSTITUTE(Q86,""Sell_"",""""))-COUNTIF(Q$4:Q85,""Sell_"&amp;"""&amp;SUBSTITUTE(Q86,""Sell_"",""""))))/2),ROUNDUP(INDEX(Upgrades!$C$3:$C$13,MATCH(Q86,Upgrades!$B$3:$B$13,0))*1.15^(COUNTIF(Q$4:Q85,Q86)-COUNTIF(Q$4:Q85,""Sell_""&amp;Q86))))))"),-26450.0)</f>
        <v>-26450</v>
      </c>
      <c r="V86" s="10">
        <f t="shared" si="11"/>
        <v>-141450</v>
      </c>
      <c r="W86" s="68">
        <f t="shared" si="12"/>
        <v>2639.876245</v>
      </c>
      <c r="X86" s="59" t="str">
        <f t="shared" si="13"/>
        <v>43m 59s</v>
      </c>
      <c r="Y86" s="69">
        <f t="shared" si="14"/>
        <v>2761723</v>
      </c>
      <c r="Z86" s="11"/>
    </row>
    <row r="87">
      <c r="A87" s="8"/>
      <c r="B87" s="56">
        <f t="shared" si="2"/>
        <v>4</v>
      </c>
      <c r="C87" s="57" t="s">
        <v>9</v>
      </c>
      <c r="D87" s="10" t="b">
        <f>IFERROR(__xludf.DUMMYFUNCTION("IF(COUNTA(C87:C1673)=0,"""",IF(ISBLANK(C87),FALSE,IF(NOT(COUNTIF($AA$24:$AA$34,SUBSTITUTE(C87,""Sell_"",""""))),1,IF(REGEXMATCH(C87,""Sell_""),IF(COUNTIF(C$4:C87,SUBSTITUTE(C87,""Sell_"",""""))-COUNTIF(C$4:C86,C87)&lt;1,1),FALSE))))"),FALSE)</f>
        <v>0</v>
      </c>
      <c r="E87" s="59">
        <f t="array" ref="E87">IF(COUNTA(C87:C1673)=0,"",SUM((COUNTIF(C$4:C87,Upgrades!$B$3:$B$13)-COUNTIF(C$4:C87,"Sell_"&amp;Upgrades!$B$3:$B$13))*Upgrades!$D$3:$D$13))</f>
        <v>56031</v>
      </c>
      <c r="F87" s="66">
        <f>IFERROR(__xludf.DUMMYFUNCTION("IF(COUNTA(C87:C1673)=0,"""",IF(REGEXMATCH(INDEX(FILTER(C$4:C87,C$4:C87&lt;&gt;""""),ROWS(FILTER(C$4:C87,C$4:C87&lt;&gt;""""))),""^Sell_""),INDEX(FILTER(F$4:F86,C$4:C86&lt;&gt;""""),ROWS(FILTER(C$4:C86,C$4:C86&lt;&gt;""""))),$AC$5+E87))"),56046.0)</f>
        <v>56046</v>
      </c>
      <c r="G87" s="10">
        <f>IFERROR(__xludf.DUMMYFUNCTION("IF(COUNTA(C87:C1673)=0,"""",IF(C87="""",0,IF(REGEXMATCH(C87,""^Sell_""),-ROUNDDOWN(ROUNDUP(INDEX(Upgrades!$C$3:$C$13,MATCH(SUBSTITUTE(C87,""Sell_"",""""),Upgrades!$B$3:$B$13,0))*1.15^(COUNTIF(C$4:C86,SUBSTITUTE(C87,""Sell_"",""""))-COUNTIF(C$4:C86,""Sell_"&amp;"""&amp;SUBSTITUTE(C87,""Sell_"",""""))))/2),ROUNDUP(INDEX(Upgrades!$C$3:$C$13,MATCH(C87,Upgrades!$B$3:$B$13,0))*1.15^(COUNTIF(C$4:C86,C87)-COUNTIF(C$4:C86,""Sell_""&amp;C87))))))"),304175.0)</f>
        <v>304175</v>
      </c>
      <c r="H87" s="10">
        <f t="shared" si="3"/>
        <v>304175</v>
      </c>
      <c r="I87" s="68">
        <f t="shared" si="4"/>
        <v>3668.478233</v>
      </c>
      <c r="J87" s="59" t="str">
        <f t="shared" si="5"/>
        <v>1h 01m 08s</v>
      </c>
      <c r="K87" s="69">
        <f t="shared" si="6"/>
        <v>24702561</v>
      </c>
      <c r="L87" s="60">
        <f t="shared" si="7"/>
        <v>-112.00452</v>
      </c>
      <c r="M87" s="61">
        <f>IFERROR(__xludf.DUMMYFUNCTION("IFS(AND(COUNTA(C87:C1673)=0,COUNTA(Q87:Q1673)=0),"""",OR(AND(K87&gt;=1000000000,OR(Y87&gt;=1000000000,COUNTA(Q87:Q1673)=0)),OR(Y87&gt;=1000000000,AND(COUNTA(C87:C1673)=0,P$3=TRUE))),
ROUNDDOWN((AB$1-AC$1)*MAX(INDEX(T$4:T1673,MATCH(LARGE(FILTER(Y$4:Y1673,Y$4:Y1673&lt;"&amp;"1000000000),1),Y$4:Y1673)),INDEX(F$4:F1673,MATCH(LARGE(FILTER(K$4:K1673,K$4:K1673&lt;1000000000),1),K$4:K1673)))),AND(K87&lt;1000000000,COUNTA(C87:C1673)&gt;0,P$3=FALSE),
ROUNDDOWN(INDEX(Y$4:Y1673,MATCH(LARGE(FILTER(W$4:W1673,W$4:W1673&lt;=I87),1),W$4:W1673))+(I87-LA"&amp;"RGE(FILTER(W$4:W1673,W$4:W1673&lt;=I87),1))*INDEX(T$4:T1673,MATCH(LARGE(FILTER(W$4:W1673,W$4:W1673&lt;=I87),1),W$4:W1673))-K87),1,
ROUNDDOWN(Y87-INDEX(K$4:K1673,MATCH(LARGE(FILTER(I$4:I1673,I$4:I1673&lt;=W87),1),I$4:I1673))-(W87-LARGE(FILTER(I$4:I1673,I$4:I1673&lt;=W"&amp;"87),1))*INDEX(F$4:F1673,MATCH(LARGE(FILTER(I$4:I1673,I$4:I1673&lt;=W87),1),I$4:I1673))))"),6342169.0)</f>
        <v>6342169</v>
      </c>
      <c r="N87" s="60">
        <f t="shared" si="8"/>
        <v>-112.00452</v>
      </c>
      <c r="O87" s="61" t="str">
        <f t="shared" si="9"/>
        <v>6,3M</v>
      </c>
      <c r="P87" s="56">
        <f t="shared" si="10"/>
        <v>8</v>
      </c>
      <c r="Q87" s="67" t="s">
        <v>61</v>
      </c>
      <c r="R87" s="10" t="b">
        <f>IFERROR(__xludf.DUMMYFUNCTION("IF(COUNTA(Q87:Q1673)=0,"""",IF(ISBLANK(Q87),FALSE,IF(NOT(COUNTIF($AA$24:$AA$34,SUBSTITUTE(Q87,""Sell_"",""""))),1,IF(REGEXMATCH(Q87,""Sell_""),IF(COUNTIF(Q$4:Q87,SUBSTITUTE(Q87,""Sell_"",""""))-COUNTIF(Q$4:Q86,Q87)&lt;1,1),FALSE))))"),FALSE)</f>
        <v>0</v>
      </c>
      <c r="S87" s="59">
        <f t="array" ref="S87">IF(COUNTA(Q87:Q1673)=0,"",SUM((COUNTIF(Q$4:Q87,Upgrades!$B$3:$B$13)-COUNTIF(Q$4:Q87,"Sell_"&amp;Upgrades!$B$3:$B$13))*Upgrades!$D$3:$D$13))</f>
        <v>7172.8</v>
      </c>
      <c r="T87" s="66">
        <f>IFERROR(__xludf.DUMMYFUNCTION("IF(COUNTA(Q87:Q1673)=0,"""",IF(REGEXMATCH(INDEX(FILTER(Q$4:Q87,Q$4:Q87&lt;&gt;""""),ROWS(FILTER(Q$4:Q87,Q$4:Q87&lt;&gt;""""))),""^Sell_""),INDEX(FILTER(T$4:T86,Q$4:Q86&lt;&gt;""""),ROWS(FILTER(Q$4:Q86,Q$4:Q86&lt;&gt;""""))),$AD$5+S87))"),7787.8)</f>
        <v>7787.8</v>
      </c>
      <c r="U87" s="10">
        <f>IFERROR(__xludf.DUMMYFUNCTION("IF(COUNTA(Q87:Q1673)=0,"""",IF(Q87="""",0,IF(REGEXMATCH(Q87,""^Sell_""),-ROUNDDOWN(ROUNDUP(INDEX(Upgrades!$C$3:$C$13,MATCH(SUBSTITUTE(Q87,""Sell_"",""""),Upgrades!$B$3:$B$13,0))*1.15^(COUNTIF(Q$4:Q86,SUBSTITUTE(Q87,""Sell_"",""""))-COUNTIF(Q$4:Q86,""Sell_"&amp;"""&amp;SUBSTITUTE(Q87,""Sell_"",""""))))/2),ROUNDUP(INDEX(Upgrades!$C$3:$C$13,MATCH(Q87,Upgrades!$B$3:$B$13,0))*1.15^(COUNTIF(Q$4:Q86,Q87)-COUNTIF(Q$4:Q86,""Sell_""&amp;Q87))))))"),-23000.0)</f>
        <v>-23000</v>
      </c>
      <c r="V87" s="10">
        <f t="shared" si="11"/>
        <v>-164450</v>
      </c>
      <c r="W87" s="68">
        <f t="shared" si="12"/>
        <v>2639.876245</v>
      </c>
      <c r="X87" s="59" t="str">
        <f t="shared" si="13"/>
        <v>43m 59s</v>
      </c>
      <c r="Y87" s="69">
        <f t="shared" si="14"/>
        <v>2761723</v>
      </c>
      <c r="Z87" s="11"/>
    </row>
    <row r="88">
      <c r="A88" s="8"/>
      <c r="B88" s="56">
        <f t="shared" si="2"/>
        <v>9</v>
      </c>
      <c r="C88" s="57" t="s">
        <v>10</v>
      </c>
      <c r="D88" s="10" t="b">
        <f>IFERROR(__xludf.DUMMYFUNCTION("IF(COUNTA(C88:C1673)=0,"""",IF(ISBLANK(C88),FALSE,IF(NOT(COUNTIF($AA$24:$AA$34,SUBSTITUTE(C88,""Sell_"",""""))),1,IF(REGEXMATCH(C88,""Sell_""),IF(COUNTIF(C$4:C88,SUBSTITUTE(C88,""Sell_"",""""))-COUNTIF(C$4:C87,C88)&lt;1,1),FALSE))))"),FALSE)</f>
        <v>0</v>
      </c>
      <c r="E88" s="59">
        <f t="array" ref="E88">IF(COUNTA(C88:C1673)=0,"",SUM((COUNTIF(C$4:C88,Upgrades!$B$3:$B$13)-COUNTIF(C$4:C88,"Sell_"&amp;Upgrades!$B$3:$B$13))*Upgrades!$D$3:$D$13))</f>
        <v>62697</v>
      </c>
      <c r="F88" s="66">
        <f>IFERROR(__xludf.DUMMYFUNCTION("IF(COUNTA(C88:C1673)=0,"""",IF(REGEXMATCH(INDEX(FILTER(C$4:C88,C$4:C88&lt;&gt;""""),ROWS(FILTER(C$4:C88,C$4:C88&lt;&gt;""""))),""^Sell_""),INDEX(FILTER(F$4:F87,C$4:C87&lt;&gt;""""),ROWS(FILTER(C$4:C87,C$4:C87&lt;&gt;""""))),$AC$5+E88))"),62712.0)</f>
        <v>62712</v>
      </c>
      <c r="G88" s="10">
        <f>IFERROR(__xludf.DUMMYFUNCTION("IF(COUNTA(C88:C1673)=0,"""",IF(C88="""",0,IF(REGEXMATCH(C88,""^Sell_""),-ROUNDDOWN(ROUNDUP(INDEX(Upgrades!$C$3:$C$13,MATCH(SUBSTITUTE(C88,""Sell_"",""""),Upgrades!$B$3:$B$13,0))*1.15^(COUNTIF(C$4:C87,SUBSTITUTE(C88,""Sell_"",""""))-COUNTIF(C$4:C87,""Sell_"&amp;"""&amp;SUBSTITUTE(C88,""Sell_"",""""))))/2),ROUNDUP(INDEX(Upgrades!$C$3:$C$13,MATCH(C88,Upgrades!$B$3:$B$13,0))*1.15^(COUNTIF(C$4:C87,C88)-COUNTIF(C$4:C87,""Sell_""&amp;C88))))))"),5098370.0)</f>
        <v>5098370</v>
      </c>
      <c r="H88" s="10">
        <f t="shared" si="3"/>
        <v>5098370</v>
      </c>
      <c r="I88" s="68">
        <f t="shared" si="4"/>
        <v>3759.445831</v>
      </c>
      <c r="J88" s="59" t="str">
        <f t="shared" si="5"/>
        <v>1h 02m 39s</v>
      </c>
      <c r="K88" s="69">
        <f t="shared" si="6"/>
        <v>29800931</v>
      </c>
      <c r="L88" s="60">
        <f t="shared" si="7"/>
        <v>-111.6799</v>
      </c>
      <c r="M88" s="61">
        <f>IFERROR(__xludf.DUMMYFUNCTION("IFS(AND(COUNTA(C88:C1673)=0,COUNTA(Q88:Q1673)=0),"""",OR(AND(K88&gt;=1000000000,OR(Y88&gt;=1000000000,COUNTA(Q88:Q1673)=0)),OR(Y88&gt;=1000000000,AND(COUNTA(C88:C1673)=0,P$3=TRUE))),
ROUNDDOWN((AB$1-AC$1)*MAX(INDEX(T$4:T1673,MATCH(LARGE(FILTER(Y$4:Y1673,Y$4:Y1673&lt;"&amp;"1000000000),1),Y$4:Y1673)),INDEX(F$4:F1673,MATCH(LARGE(FILTER(K$4:K1673,K$4:K1673&lt;1000000000),1),K$4:K1673)))),AND(K88&lt;1000000000,COUNTA(C88:C1673)&gt;0,P$3=FALSE),
ROUNDDOWN(INDEX(Y$4:Y1673,MATCH(LARGE(FILTER(W$4:W1673,W$4:W1673&lt;=I88),1),W$4:W1673))+(I88-LA"&amp;"RGE(FILTER(W$4:W1673,W$4:W1673&lt;=I88),1))*INDEX(T$4:T1673,MATCH(LARGE(FILTER(W$4:W1673,W$4:W1673&lt;=I88),1),W$4:W1673))-K88),1,
ROUNDDOWN(Y88-INDEX(K$4:K1673,MATCH(LARGE(FILTER(I$4:I1673,I$4:I1673&lt;=W88),1),I$4:I1673))-(W88-LARGE(FILTER(I$4:I1673,I$4:I1673&lt;=W"&amp;"88),1))*INDEX(F$4:F1673,MATCH(LARGE(FILTER(I$4:I1673,I$4:I1673&lt;=W88),1),I$4:I1673))))"),7015552.0)</f>
        <v>7015552</v>
      </c>
      <c r="N88" s="60">
        <f t="shared" si="8"/>
        <v>-111.6799</v>
      </c>
      <c r="O88" s="61" t="str">
        <f t="shared" si="9"/>
        <v>7,0M</v>
      </c>
      <c r="P88" s="56">
        <f t="shared" si="10"/>
        <v>2</v>
      </c>
      <c r="Q88" s="67" t="s">
        <v>10</v>
      </c>
      <c r="R88" s="10" t="b">
        <f>IFERROR(__xludf.DUMMYFUNCTION("IF(COUNTA(Q88:Q1673)=0,"""",IF(ISBLANK(Q88),FALSE,IF(NOT(COUNTIF($AA$24:$AA$34,SUBSTITUTE(Q88,""Sell_"",""""))),1,IF(REGEXMATCH(Q88,""Sell_""),IF(COUNTIF(Q$4:Q88,SUBSTITUTE(Q88,""Sell_"",""""))-COUNTIF(Q$4:Q87,Q88)&lt;1,1),FALSE))))"),FALSE)</f>
        <v>0</v>
      </c>
      <c r="S88" s="59">
        <f t="array" ref="S88">IF(COUNTA(Q88:Q1673)=0,"",SUM((COUNTIF(Q$4:Q88,Upgrades!$B$3:$B$13)-COUNTIF(Q$4:Q88,"Sell_"&amp;Upgrades!$B$3:$B$13))*Upgrades!$D$3:$D$13))</f>
        <v>13838.8</v>
      </c>
      <c r="T88" s="66">
        <f>IFERROR(__xludf.DUMMYFUNCTION("IF(COUNTA(Q88:Q1673)=0,"""",IF(REGEXMATCH(INDEX(FILTER(Q$4:Q88,Q$4:Q88&lt;&gt;""""),ROWS(FILTER(Q$4:Q88,Q$4:Q88&lt;&gt;""""))),""^Sell_""),INDEX(FILTER(T$4:T87,Q$4:Q87&lt;&gt;""""),ROWS(FILTER(Q$4:Q87,Q$4:Q87&lt;&gt;""""))),$AD$5+S88))"),13853.8)</f>
        <v>13853.8</v>
      </c>
      <c r="U88" s="10">
        <f>IFERROR(__xludf.DUMMYFUNCTION("IF(COUNTA(Q88:Q1673)=0,"""",IF(Q88="""",0,IF(REGEXMATCH(Q88,""^Sell_""),-ROUNDDOWN(ROUNDUP(INDEX(Upgrades!$C$3:$C$13,MATCH(SUBSTITUTE(Q88,""Sell_"",""""),Upgrades!$B$3:$B$13,0))*1.15^(COUNTIF(Q$4:Q87,SUBSTITUTE(Q88,""Sell_"",""""))-COUNTIF(Q$4:Q87,""Sell_"&amp;"""&amp;SUBSTITUTE(Q88,""Sell_"",""""))))/2),ROUNDUP(INDEX(Upgrades!$C$3:$C$13,MATCH(Q88,Upgrades!$B$3:$B$13,0))*1.15^(COUNTIF(Q$4:Q87,Q88)-COUNTIF(Q$4:Q87,""Sell_""&amp;Q88))))))"),1916666.0)</f>
        <v>1916666</v>
      </c>
      <c r="V88" s="10">
        <f t="shared" si="11"/>
        <v>1752216</v>
      </c>
      <c r="W88" s="68">
        <f t="shared" si="12"/>
        <v>2864.871237</v>
      </c>
      <c r="X88" s="59" t="str">
        <f t="shared" si="13"/>
        <v>47m 44s</v>
      </c>
      <c r="Y88" s="69">
        <f t="shared" si="14"/>
        <v>4513939</v>
      </c>
      <c r="Z88" s="11"/>
    </row>
    <row r="89">
      <c r="A89" s="8"/>
      <c r="B89" s="56">
        <f t="shared" si="2"/>
        <v>10</v>
      </c>
      <c r="C89" s="57" t="s">
        <v>7</v>
      </c>
      <c r="D89" s="10" t="b">
        <f>IFERROR(__xludf.DUMMYFUNCTION("IF(COUNTA(C89:C1673)=0,"""",IF(ISBLANK(C89),FALSE,IF(NOT(COUNTIF($AA$24:$AA$34,SUBSTITUTE(C89,""Sell_"",""""))),1,IF(REGEXMATCH(C89,""Sell_""),IF(COUNTIF(C$4:C89,SUBSTITUTE(C89,""Sell_"",""""))-COUNTIF(C$4:C88,C89)&lt;1,1),FALSE))))"),FALSE)</f>
        <v>0</v>
      </c>
      <c r="E89" s="59">
        <f t="array" ref="E89">IF(COUNTA(C89:C1673)=0,"",SUM((COUNTIF(C$4:C89,Upgrades!$B$3:$B$13)-COUNTIF(C$4:C89,"Sell_"&amp;Upgrades!$B$3:$B$13))*Upgrades!$D$3:$D$13))</f>
        <v>62737</v>
      </c>
      <c r="F89" s="66">
        <f>IFERROR(__xludf.DUMMYFUNCTION("IF(COUNTA(C89:C1673)=0,"""",IF(REGEXMATCH(INDEX(FILTER(C$4:C89,C$4:C89&lt;&gt;""""),ROWS(FILTER(C$4:C89,C$4:C89&lt;&gt;""""))),""^Sell_""),INDEX(FILTER(F$4:F88,C$4:C88&lt;&gt;""""),ROWS(FILTER(C$4:C88,C$4:C88&lt;&gt;""""))),$AC$5+E89))"),62752.0)</f>
        <v>62752</v>
      </c>
      <c r="G89" s="10">
        <f>IFERROR(__xludf.DUMMYFUNCTION("IF(COUNTA(C89:C1673)=0,"""",IF(C89="""",0,IF(REGEXMATCH(C89,""^Sell_""),-ROUNDDOWN(ROUNDUP(INDEX(Upgrades!$C$3:$C$13,MATCH(SUBSTITUTE(C89,""Sell_"",""""),Upgrades!$B$3:$B$13,0))*1.15^(COUNTIF(C$4:C88,SUBSTITUTE(C89,""Sell_"",""""))-COUNTIF(C$4:C88,""Sell_"&amp;"""&amp;SUBSTITUTE(C89,""Sell_"",""""))))/2),ROUNDUP(INDEX(Upgrades!$C$3:$C$13,MATCH(C89,Upgrades!$B$3:$B$13,0))*1.15^(COUNTIF(C$4:C88,C89)-COUNTIF(C$4:C88,""Sell_""&amp;C89))))))"),35179.0)</f>
        <v>35179</v>
      </c>
      <c r="H89" s="10">
        <f t="shared" si="3"/>
        <v>35179</v>
      </c>
      <c r="I89" s="68">
        <f t="shared" si="4"/>
        <v>3760.006792</v>
      </c>
      <c r="J89" s="59" t="str">
        <f t="shared" si="5"/>
        <v>1h 02m 40s</v>
      </c>
      <c r="K89" s="69">
        <f t="shared" si="6"/>
        <v>29836110</v>
      </c>
      <c r="L89" s="60">
        <f t="shared" si="7"/>
        <v>-111.61323</v>
      </c>
      <c r="M89" s="61">
        <f>IFERROR(__xludf.DUMMYFUNCTION("IFS(AND(COUNTA(C89:C1673)=0,COUNTA(Q89:Q1673)=0),"""",OR(AND(K89&gt;=1000000000,OR(Y89&gt;=1000000000,COUNTA(Q89:Q1673)=0)),OR(Y89&gt;=1000000000,AND(COUNTA(C89:C1673)=0,P$3=TRUE))),
ROUNDDOWN((AB$1-AC$1)*MAX(INDEX(T$4:T1673,MATCH(LARGE(FILTER(Y$4:Y1673,Y$4:Y1673&lt;"&amp;"1000000000),1),Y$4:Y1673)),INDEX(F$4:F1673,MATCH(LARGE(FILTER(K$4:K1673,K$4:K1673&lt;1000000000),1),K$4:K1673)))),AND(K89&lt;1000000000,COUNTA(C89:C1673)&gt;0,P$3=FALSE),
ROUNDDOWN(INDEX(Y$4:Y1673,MATCH(LARGE(FILTER(W$4:W1673,W$4:W1673&lt;=I89),1),W$4:W1673))+(I89-LA"&amp;"RGE(FILTER(W$4:W1673,W$4:W1673&lt;=I89),1))*INDEX(T$4:T1673,MATCH(LARGE(FILTER(W$4:W1673,W$4:W1673&lt;=I89),1),W$4:W1673))-K89),1,
ROUNDDOWN(Y89-INDEX(K$4:K1673,MATCH(LARGE(FILTER(I$4:I1673,I$4:I1673&lt;=W89),1),I$4:I1673))-(W89-LARGE(FILTER(I$4:I1673,I$4:I1673&lt;=W"&amp;"89),1))*INDEX(F$4:F1673,MATCH(LARGE(FILTER(I$4:I1673,I$4:I1673&lt;=W89),1),I$4:I1673))))"),7019603.0)</f>
        <v>7019603</v>
      </c>
      <c r="N89" s="60">
        <f t="shared" si="8"/>
        <v>-111.61323</v>
      </c>
      <c r="O89" s="61" t="str">
        <f t="shared" si="9"/>
        <v>7,0M</v>
      </c>
      <c r="P89" s="56">
        <f t="shared" si="10"/>
        <v>1</v>
      </c>
      <c r="Q89" s="67" t="s">
        <v>8</v>
      </c>
      <c r="R89" s="10" t="b">
        <f>IFERROR(__xludf.DUMMYFUNCTION("IF(COUNTA(Q89:Q1673)=0,"""",IF(ISBLANK(Q89),FALSE,IF(NOT(COUNTIF($AA$24:$AA$34,SUBSTITUTE(Q89,""Sell_"",""""))),1,IF(REGEXMATCH(Q89,""Sell_""),IF(COUNTIF(Q$4:Q89,SUBSTITUTE(Q89,""Sell_"",""""))-COUNTIF(Q$4:Q88,Q89)&lt;1,1),FALSE))))"),FALSE)</f>
        <v>0</v>
      </c>
      <c r="S89" s="59">
        <f t="array" ref="S89">IF(COUNTA(Q89:Q1673)=0,"",SUM((COUNTIF(Q$4:Q89,Upgrades!$B$3:$B$13)-COUNTIF(Q$4:Q89,"Sell_"&amp;Upgrades!$B$3:$B$13))*Upgrades!$D$3:$D$13))</f>
        <v>13938.8</v>
      </c>
      <c r="T89" s="66">
        <f>IFERROR(__xludf.DUMMYFUNCTION("IF(COUNTA(Q89:Q1673)=0,"""",IF(REGEXMATCH(INDEX(FILTER(Q$4:Q89,Q$4:Q89&lt;&gt;""""),ROWS(FILTER(Q$4:Q89,Q$4:Q89&lt;&gt;""""))),""^Sell_""),INDEX(FILTER(T$4:T88,Q$4:Q88&lt;&gt;""""),ROWS(FILTER(Q$4:Q88,Q$4:Q88&lt;&gt;""""))),$AD$5+S89))"),13953.8)</f>
        <v>13953.8</v>
      </c>
      <c r="U89" s="10">
        <f>IFERROR(__xludf.DUMMYFUNCTION("IF(COUNTA(Q89:Q1673)=0,"""",IF(Q89="""",0,IF(REGEXMATCH(Q89,""^Sell_""),-ROUNDDOWN(ROUNDUP(INDEX(Upgrades!$C$3:$C$13,MATCH(SUBSTITUTE(Q89,""Sell_"",""""),Upgrades!$B$3:$B$13,0))*1.15^(COUNTIF(Q$4:Q88,SUBSTITUTE(Q89,""Sell_"",""""))-COUNTIF(Q$4:Q88,""Sell_"&amp;"""&amp;SUBSTITUTE(Q89,""Sell_"",""""))))/2),ROUNDUP(INDEX(Upgrades!$C$3:$C$13,MATCH(Q89,Upgrades!$B$3:$B$13,0))*1.15^(COUNTIF(Q$4:Q88,Q89)-COUNTIF(Q$4:Q88,""Sell_""&amp;Q89))))))"),40000.0)</f>
        <v>40000</v>
      </c>
      <c r="V89" s="10">
        <f t="shared" si="11"/>
        <v>40000</v>
      </c>
      <c r="W89" s="68">
        <f t="shared" si="12"/>
        <v>2867.758532</v>
      </c>
      <c r="X89" s="59" t="str">
        <f t="shared" si="13"/>
        <v>47m 47s</v>
      </c>
      <c r="Y89" s="69">
        <f t="shared" si="14"/>
        <v>4553939</v>
      </c>
      <c r="Z89" s="11"/>
    </row>
    <row r="90">
      <c r="A90" s="8"/>
      <c r="B90" s="56">
        <f t="shared" si="2"/>
        <v>5</v>
      </c>
      <c r="C90" s="57" t="s">
        <v>9</v>
      </c>
      <c r="D90" s="10" t="b">
        <f>IFERROR(__xludf.DUMMYFUNCTION("IF(COUNTA(C90:C1673)=0,"""",IF(ISBLANK(C90),FALSE,IF(NOT(COUNTIF($AA$24:$AA$34,SUBSTITUTE(C90,""Sell_"",""""))),1,IF(REGEXMATCH(C90,""Sell_""),IF(COUNTIF(C$4:C90,SUBSTITUTE(C90,""Sell_"",""""))-COUNTIF(C$4:C89,C90)&lt;1,1),FALSE))))"),FALSE)</f>
        <v>0</v>
      </c>
      <c r="E90" s="59">
        <f t="array" ref="E90">IF(COUNTA(C90:C1673)=0,"",SUM((COUNTIF(C$4:C90,Upgrades!$B$3:$B$13)-COUNTIF(C$4:C90,"Sell_"&amp;Upgrades!$B$3:$B$13))*Upgrades!$D$3:$D$13))</f>
        <v>63137</v>
      </c>
      <c r="F90" s="66">
        <f>IFERROR(__xludf.DUMMYFUNCTION("IF(COUNTA(C90:C1673)=0,"""",IF(REGEXMATCH(INDEX(FILTER(C$4:C90,C$4:C90&lt;&gt;""""),ROWS(FILTER(C$4:C90,C$4:C90&lt;&gt;""""))),""^Sell_""),INDEX(FILTER(F$4:F89,C$4:C89&lt;&gt;""""),ROWS(FILTER(C$4:C89,C$4:C89&lt;&gt;""""))),$AC$5+E90))"),63152.0)</f>
        <v>63152</v>
      </c>
      <c r="G90" s="10">
        <f>IFERROR(__xludf.DUMMYFUNCTION("IF(COUNTA(C90:C1673)=0,"""",IF(C90="""",0,IF(REGEXMATCH(C90,""^Sell_""),-ROUNDDOWN(ROUNDUP(INDEX(Upgrades!$C$3:$C$13,MATCH(SUBSTITUTE(C90,""Sell_"",""""),Upgrades!$B$3:$B$13,0))*1.15^(COUNTIF(C$4:C89,SUBSTITUTE(C90,""Sell_"",""""))-COUNTIF(C$4:C89,""Sell_"&amp;"""&amp;SUBSTITUTE(C90,""Sell_"",""""))))/2),ROUNDUP(INDEX(Upgrades!$C$3:$C$13,MATCH(C90,Upgrades!$B$3:$B$13,0))*1.15^(COUNTIF(C$4:C89,C90)-COUNTIF(C$4:C89,""Sell_""&amp;C90))))))"),349802.0)</f>
        <v>349802</v>
      </c>
      <c r="H90" s="10">
        <f t="shared" si="3"/>
        <v>349802</v>
      </c>
      <c r="I90" s="68">
        <f t="shared" si="4"/>
        <v>3765.581148</v>
      </c>
      <c r="J90" s="59" t="str">
        <f t="shared" si="5"/>
        <v>1h 02m 45s</v>
      </c>
      <c r="K90" s="69">
        <f t="shared" si="6"/>
        <v>30185912</v>
      </c>
      <c r="L90" s="60">
        <f t="shared" si="7"/>
        <v>-110.94667</v>
      </c>
      <c r="M90" s="61">
        <f>IFERROR(__xludf.DUMMYFUNCTION("IFS(AND(COUNTA(C90:C1673)=0,COUNTA(Q90:Q1673)=0),"""",OR(AND(K90&gt;=1000000000,OR(Y90&gt;=1000000000,COUNTA(Q90:Q1673)=0)),OR(Y90&gt;=1000000000,AND(COUNTA(C90:C1673)=0,P$3=TRUE))),
ROUNDDOWN((AB$1-AC$1)*MAX(INDEX(T$4:T1673,MATCH(LARGE(FILTER(Y$4:Y1673,Y$4:Y1673&lt;"&amp;"1000000000),1),Y$4:Y1673)),INDEX(F$4:F1673,MATCH(LARGE(FILTER(K$4:K1673,K$4:K1673&lt;1000000000),1),K$4:K1673)))),AND(K90&lt;1000000000,COUNTA(C90:C1673)&gt;0,P$3=FALSE),
ROUNDDOWN(INDEX(Y$4:Y1673,MATCH(LARGE(FILTER(W$4:W1673,W$4:W1673&lt;=I90),1),W$4:W1673))+(I90-LA"&amp;"RGE(FILTER(W$4:W1673,W$4:W1673&lt;=I90),1))*INDEX(T$4:T1673,MATCH(LARGE(FILTER(W$4:W1673,W$4:W1673&lt;=I90),1),W$4:W1673))-K90),1,
ROUNDDOWN(Y90-INDEX(K$4:K1673,MATCH(LARGE(FILTER(I$4:I1673,I$4:I1673&lt;=W90),1),I$4:I1673))-(W90-LARGE(FILTER(I$4:I1673,I$4:I1673&lt;=W"&amp;"90),1))*INDEX(F$4:F1673,MATCH(LARGE(FILTER(I$4:I1673,I$4:I1673&lt;=W90),1),I$4:I1673))))"),7060955.0)</f>
        <v>7060955</v>
      </c>
      <c r="N90" s="60">
        <f t="shared" si="8"/>
        <v>-110.94667</v>
      </c>
      <c r="O90" s="61" t="str">
        <f t="shared" si="9"/>
        <v>7,1M</v>
      </c>
      <c r="P90" s="56">
        <f t="shared" si="10"/>
        <v>2</v>
      </c>
      <c r="Q90" s="67" t="s">
        <v>8</v>
      </c>
      <c r="R90" s="10" t="b">
        <f>IFERROR(__xludf.DUMMYFUNCTION("IF(COUNTA(Q90:Q1673)=0,"""",IF(ISBLANK(Q90),FALSE,IF(NOT(COUNTIF($AA$24:$AA$34,SUBSTITUTE(Q90,""Sell_"",""""))),1,IF(REGEXMATCH(Q90,""Sell_""),IF(COUNTIF(Q$4:Q90,SUBSTITUTE(Q90,""Sell_"",""""))-COUNTIF(Q$4:Q89,Q90)&lt;1,1),FALSE))))"),FALSE)</f>
        <v>0</v>
      </c>
      <c r="S90" s="59">
        <f t="array" ref="S90">IF(COUNTA(Q90:Q1673)=0,"",SUM((COUNTIF(Q$4:Q90,Upgrades!$B$3:$B$13)-COUNTIF(Q$4:Q90,"Sell_"&amp;Upgrades!$B$3:$B$13))*Upgrades!$D$3:$D$13))</f>
        <v>14038.8</v>
      </c>
      <c r="T90" s="66">
        <f>IFERROR(__xludf.DUMMYFUNCTION("IF(COUNTA(Q90:Q1673)=0,"""",IF(REGEXMATCH(INDEX(FILTER(Q$4:Q90,Q$4:Q90&lt;&gt;""""),ROWS(FILTER(Q$4:Q90,Q$4:Q90&lt;&gt;""""))),""^Sell_""),INDEX(FILTER(T$4:T89,Q$4:Q89&lt;&gt;""""),ROWS(FILTER(Q$4:Q89,Q$4:Q89&lt;&gt;""""))),$AD$5+S90))"),14053.8)</f>
        <v>14053.8</v>
      </c>
      <c r="U90" s="10">
        <f>IFERROR(__xludf.DUMMYFUNCTION("IF(COUNTA(Q90:Q1673)=0,"""",IF(Q90="""",0,IF(REGEXMATCH(Q90,""^Sell_""),-ROUNDDOWN(ROUNDUP(INDEX(Upgrades!$C$3:$C$13,MATCH(SUBSTITUTE(Q90,""Sell_"",""""),Upgrades!$B$3:$B$13,0))*1.15^(COUNTIF(Q$4:Q89,SUBSTITUTE(Q90,""Sell_"",""""))-COUNTIF(Q$4:Q89,""Sell_"&amp;"""&amp;SUBSTITUTE(Q90,""Sell_"",""""))))/2),ROUNDUP(INDEX(Upgrades!$C$3:$C$13,MATCH(Q90,Upgrades!$B$3:$B$13,0))*1.15^(COUNTIF(Q$4:Q89,Q90)-COUNTIF(Q$4:Q89,""Sell_""&amp;Q90))))))"),46000.0)</f>
        <v>46000</v>
      </c>
      <c r="V90" s="10">
        <f t="shared" si="11"/>
        <v>46000</v>
      </c>
      <c r="W90" s="68">
        <f t="shared" si="12"/>
        <v>2871.055125</v>
      </c>
      <c r="X90" s="59" t="str">
        <f t="shared" si="13"/>
        <v>47m 51s</v>
      </c>
      <c r="Y90" s="69">
        <f t="shared" si="14"/>
        <v>4599939</v>
      </c>
      <c r="Z90" s="11"/>
    </row>
    <row r="91">
      <c r="A91" s="8"/>
      <c r="B91" s="56">
        <f t="shared" si="2"/>
        <v>15</v>
      </c>
      <c r="C91" s="57" t="s">
        <v>5</v>
      </c>
      <c r="D91" s="10" t="b">
        <f>IFERROR(__xludf.DUMMYFUNCTION("IF(COUNTA(C91:C1673)=0,"""",IF(ISBLANK(C91),FALSE,IF(NOT(COUNTIF($AA$24:$AA$34,SUBSTITUTE(C91,""Sell_"",""""))),1,IF(REGEXMATCH(C91,""Sell_""),IF(COUNTIF(C$4:C91,SUBSTITUTE(C91,""Sell_"",""""))-COUNTIF(C$4:C90,C91)&lt;1,1),FALSE))))"),FALSE)</f>
        <v>0</v>
      </c>
      <c r="E91" s="59">
        <f t="array" ref="E91">IF(COUNTA(C91:C1673)=0,"",SUM((COUNTIF(C$4:C91,Upgrades!$B$3:$B$13)-COUNTIF(C$4:C91,"Sell_"&amp;Upgrades!$B$3:$B$13))*Upgrades!$D$3:$D$13))</f>
        <v>63141</v>
      </c>
      <c r="F91" s="66">
        <f>IFERROR(__xludf.DUMMYFUNCTION("IF(COUNTA(C91:C1673)=0,"""",IF(REGEXMATCH(INDEX(FILTER(C$4:C91,C$4:C91&lt;&gt;""""),ROWS(FILTER(C$4:C91,C$4:C91&lt;&gt;""""))),""^Sell_""),INDEX(FILTER(F$4:F90,C$4:C90&lt;&gt;""""),ROWS(FILTER(C$4:C90,C$4:C90&lt;&gt;""""))),$AC$5+E91))"),63156.0)</f>
        <v>63156</v>
      </c>
      <c r="G91" s="10">
        <f>IFERROR(__xludf.DUMMYFUNCTION("IF(COUNTA(C91:C1673)=0,"""",IF(C91="""",0,IF(REGEXMATCH(C91,""^Sell_""),-ROUNDDOWN(ROUNDUP(INDEX(Upgrades!$C$3:$C$13,MATCH(SUBSTITUTE(C91,""Sell_"",""""),Upgrades!$B$3:$B$13,0))*1.15^(COUNTIF(C$4:C90,SUBSTITUTE(C91,""Sell_"",""""))-COUNTIF(C$4:C90,""Sell_"&amp;"""&amp;SUBSTITUTE(C91,""Sell_"",""""))))/2),ROUNDUP(INDEX(Upgrades!$C$3:$C$13,MATCH(C91,Upgrades!$B$3:$B$13,0))*1.15^(COUNTIF(C$4:C90,C91)-COUNTIF(C$4:C90,""Sell_""&amp;C91))))))"),3538.0)</f>
        <v>3538</v>
      </c>
      <c r="H91" s="10">
        <f t="shared" si="3"/>
        <v>3538</v>
      </c>
      <c r="I91" s="68">
        <f t="shared" si="4"/>
        <v>3765.637172</v>
      </c>
      <c r="J91" s="59" t="str">
        <f t="shared" si="5"/>
        <v>1h 02m 45s</v>
      </c>
      <c r="K91" s="69">
        <f t="shared" si="6"/>
        <v>30189450</v>
      </c>
      <c r="L91" s="60">
        <f t="shared" si="7"/>
        <v>-110.93957</v>
      </c>
      <c r="M91" s="61">
        <f>IFERROR(__xludf.DUMMYFUNCTION("IFS(AND(COUNTA(C91:C1673)=0,COUNTA(Q91:Q1673)=0),"""",OR(AND(K91&gt;=1000000000,OR(Y91&gt;=1000000000,COUNTA(Q91:Q1673)=0)),OR(Y91&gt;=1000000000,AND(COUNTA(C91:C1673)=0,P$3=TRUE))),
ROUNDDOWN((AB$1-AC$1)*MAX(INDEX(T$4:T1673,MATCH(LARGE(FILTER(Y$4:Y1673,Y$4:Y1673&lt;"&amp;"1000000000),1),Y$4:Y1673)),INDEX(F$4:F1673,MATCH(LARGE(FILTER(K$4:K1673,K$4:K1673&lt;1000000000),1),K$4:K1673)))),AND(K91&lt;1000000000,COUNTA(C91:C1673)&gt;0,P$3=FALSE),
ROUNDDOWN(INDEX(Y$4:Y1673,MATCH(LARGE(FILTER(W$4:W1673,W$4:W1673&lt;=I91),1),W$4:W1673))+(I91-LA"&amp;"RGE(FILTER(W$4:W1673,W$4:W1673&lt;=I91),1))*INDEX(T$4:T1673,MATCH(LARGE(FILTER(W$4:W1673,W$4:W1673&lt;=I91),1),W$4:W1673))-K91),1,
ROUNDDOWN(Y91-INDEX(K$4:K1673,MATCH(LARGE(FILTER(I$4:I1673,I$4:I1673&lt;=W91),1),I$4:I1673))-(W91-LARGE(FILTER(I$4:I1673,I$4:I1673&lt;=W"&amp;"91),1))*INDEX(F$4:F1673,MATCH(LARGE(FILTER(I$4:I1673,I$4:I1673&lt;=W91),1),I$4:I1673))))"),7061366.0)</f>
        <v>7061366</v>
      </c>
      <c r="N91" s="60">
        <f t="shared" si="8"/>
        <v>-110.93957</v>
      </c>
      <c r="O91" s="61" t="str">
        <f t="shared" si="9"/>
        <v>7,1M</v>
      </c>
      <c r="P91" s="56">
        <f t="shared" si="10"/>
        <v>9</v>
      </c>
      <c r="Q91" s="67" t="s">
        <v>61</v>
      </c>
      <c r="R91" s="10" t="b">
        <f>IFERROR(__xludf.DUMMYFUNCTION("IF(COUNTA(Q91:Q1673)=0,"""",IF(ISBLANK(Q91),FALSE,IF(NOT(COUNTIF($AA$24:$AA$34,SUBSTITUTE(Q91,""Sell_"",""""))),1,IF(REGEXMATCH(Q91,""Sell_""),IF(COUNTIF(Q$4:Q91,SUBSTITUTE(Q91,""Sell_"",""""))-COUNTIF(Q$4:Q90,Q91)&lt;1,1),FALSE))))"),FALSE)</f>
        <v>0</v>
      </c>
      <c r="S91" s="59">
        <f t="array" ref="S91">IF(COUNTA(Q91:Q1673)=0,"",SUM((COUNTIF(Q$4:Q91,Upgrades!$B$3:$B$13)-COUNTIF(Q$4:Q91,"Sell_"&amp;Upgrades!$B$3:$B$13))*Upgrades!$D$3:$D$13))</f>
        <v>13938.8</v>
      </c>
      <c r="T91" s="66">
        <f>IFERROR(__xludf.DUMMYFUNCTION("IF(COUNTA(Q91:Q1673)=0,"""",IF(REGEXMATCH(INDEX(FILTER(Q$4:Q91,Q$4:Q91&lt;&gt;""""),ROWS(FILTER(Q$4:Q91,Q$4:Q91&lt;&gt;""""))),""^Sell_""),INDEX(FILTER(T$4:T90,Q$4:Q90&lt;&gt;""""),ROWS(FILTER(Q$4:Q90,Q$4:Q90&lt;&gt;""""))),$AD$5+S91))"),14053.8)</f>
        <v>14053.8</v>
      </c>
      <c r="U91" s="10">
        <f>IFERROR(__xludf.DUMMYFUNCTION("IF(COUNTA(Q91:Q1673)=0,"""",IF(Q91="""",0,IF(REGEXMATCH(Q91,""^Sell_""),-ROUNDDOWN(ROUNDUP(INDEX(Upgrades!$C$3:$C$13,MATCH(SUBSTITUTE(Q91,""Sell_"",""""),Upgrades!$B$3:$B$13,0))*1.15^(COUNTIF(Q$4:Q90,SUBSTITUTE(Q91,""Sell_"",""""))-COUNTIF(Q$4:Q90,""Sell_"&amp;"""&amp;SUBSTITUTE(Q91,""Sell_"",""""))))/2),ROUNDUP(INDEX(Upgrades!$C$3:$C$13,MATCH(Q91,Upgrades!$B$3:$B$13,0))*1.15^(COUNTIF(Q$4:Q90,Q91)-COUNTIF(Q$4:Q90,""Sell_""&amp;Q91))))))"),-26450.0)</f>
        <v>-26450</v>
      </c>
      <c r="V91" s="10">
        <f t="shared" si="11"/>
        <v>-26450</v>
      </c>
      <c r="W91" s="68">
        <f t="shared" si="12"/>
        <v>2871.055125</v>
      </c>
      <c r="X91" s="59" t="str">
        <f t="shared" si="13"/>
        <v>47m 51s</v>
      </c>
      <c r="Y91" s="69">
        <f t="shared" si="14"/>
        <v>4599939</v>
      </c>
      <c r="Z91" s="11"/>
    </row>
    <row r="92">
      <c r="A92" s="8"/>
      <c r="B92" s="56">
        <f t="shared" si="2"/>
        <v>9</v>
      </c>
      <c r="C92" s="57" t="s">
        <v>6</v>
      </c>
      <c r="D92" s="10" t="b">
        <f>IFERROR(__xludf.DUMMYFUNCTION("IF(COUNTA(C92:C1673)=0,"""",IF(ISBLANK(C92),FALSE,IF(NOT(COUNTIF($AA$24:$AA$34,SUBSTITUTE(C92,""Sell_"",""""))),1,IF(REGEXMATCH(C92,""Sell_""),IF(COUNTIF(C$4:C92,SUBSTITUTE(C92,""Sell_"",""""))-COUNTIF(C$4:C91,C92)&lt;1,1),FALSE))))"),FALSE)</f>
        <v>0</v>
      </c>
      <c r="E92" s="59">
        <f t="array" ref="E92">IF(COUNTA(C92:C1673)=0,"",SUM((COUNTIF(C$4:C92,Upgrades!$B$3:$B$13)-COUNTIF(C$4:C92,"Sell_"&amp;Upgrades!$B$3:$B$13))*Upgrades!$D$3:$D$13))</f>
        <v>63151</v>
      </c>
      <c r="F92" s="66">
        <f>IFERROR(__xludf.DUMMYFUNCTION("IF(COUNTA(C92:C1673)=0,"""",IF(REGEXMATCH(INDEX(FILTER(C$4:C92,C$4:C92&lt;&gt;""""),ROWS(FILTER(C$4:C92,C$4:C92&lt;&gt;""""))),""^Sell_""),INDEX(FILTER(F$4:F91,C$4:C91&lt;&gt;""""),ROWS(FILTER(C$4:C91,C$4:C91&lt;&gt;""""))),$AC$5+E92))"),63166.0)</f>
        <v>63166</v>
      </c>
      <c r="G92" s="10">
        <f>IFERROR(__xludf.DUMMYFUNCTION("IF(COUNTA(C92:C1673)=0,"""",IF(C92="""",0,IF(REGEXMATCH(C92,""^Sell_""),-ROUNDDOWN(ROUNDUP(INDEX(Upgrades!$C$3:$C$13,MATCH(SUBSTITUTE(C92,""Sell_"",""""),Upgrades!$B$3:$B$13,0))*1.15^(COUNTIF(C$4:C91,SUBSTITUTE(C92,""Sell_"",""""))-COUNTIF(C$4:C91,""Sell_"&amp;"""&amp;SUBSTITUTE(C92,""Sell_"",""""))))/2),ROUNDUP(INDEX(Upgrades!$C$3:$C$13,MATCH(C92,Upgrades!$B$3:$B$13,0))*1.15^(COUNTIF(C$4:C91,C92)-COUNTIF(C$4:C91,""Sell_""&amp;C92))))))"),9178.0)</f>
        <v>9178</v>
      </c>
      <c r="H92" s="10">
        <f t="shared" si="3"/>
        <v>9178</v>
      </c>
      <c r="I92" s="68">
        <f t="shared" si="4"/>
        <v>3765.782495</v>
      </c>
      <c r="J92" s="59" t="str">
        <f t="shared" si="5"/>
        <v>1h 02m 45s</v>
      </c>
      <c r="K92" s="69">
        <f t="shared" si="6"/>
        <v>30198628</v>
      </c>
      <c r="L92" s="60">
        <f t="shared" si="7"/>
        <v>-110.92114</v>
      </c>
      <c r="M92" s="61">
        <f>IFERROR(__xludf.DUMMYFUNCTION("IFS(AND(COUNTA(C92:C1673)=0,COUNTA(Q92:Q1673)=0),"""",OR(AND(K92&gt;=1000000000,OR(Y92&gt;=1000000000,COUNTA(Q92:Q1673)=0)),OR(Y92&gt;=1000000000,AND(COUNTA(C92:C1673)=0,P$3=TRUE))),
ROUNDDOWN((AB$1-AC$1)*MAX(INDEX(T$4:T1673,MATCH(LARGE(FILTER(Y$4:Y1673,Y$4:Y1673&lt;"&amp;"1000000000),1),Y$4:Y1673)),INDEX(F$4:F1673,MATCH(LARGE(FILTER(K$4:K1673,K$4:K1673&lt;1000000000),1),K$4:K1673)))),AND(K92&lt;1000000000,COUNTA(C92:C1673)&gt;0,P$3=FALSE),
ROUNDDOWN(INDEX(Y$4:Y1673,MATCH(LARGE(FILTER(W$4:W1673,W$4:W1673&lt;=I92),1),W$4:W1673))+(I92-LA"&amp;"RGE(FILTER(W$4:W1673,W$4:W1673&lt;=I92),1))*INDEX(T$4:T1673,MATCH(LARGE(FILTER(W$4:W1673,W$4:W1673&lt;=I92),1),W$4:W1673))-K92),1,
ROUNDDOWN(Y92-INDEX(K$4:K1673,MATCH(LARGE(FILTER(I$4:I1673,I$4:I1673&lt;=W92),1),I$4:I1673))-(W92-LARGE(FILTER(I$4:I1673,I$4:I1673&lt;=W"&amp;"92),1))*INDEX(F$4:F1673,MATCH(LARGE(FILTER(I$4:I1673,I$4:I1673&lt;=W92),1),I$4:I1673))))"),7062431.0)</f>
        <v>7062431</v>
      </c>
      <c r="N92" s="60">
        <f t="shared" si="8"/>
        <v>-110.92114</v>
      </c>
      <c r="O92" s="61" t="str">
        <f t="shared" si="9"/>
        <v>7,1M</v>
      </c>
      <c r="P92" s="56">
        <f t="shared" si="10"/>
        <v>10</v>
      </c>
      <c r="Q92" s="67" t="s">
        <v>61</v>
      </c>
      <c r="R92" s="10" t="b">
        <f>IFERROR(__xludf.DUMMYFUNCTION("IF(COUNTA(Q92:Q1673)=0,"""",IF(ISBLANK(Q92),FALSE,IF(NOT(COUNTIF($AA$24:$AA$34,SUBSTITUTE(Q92,""Sell_"",""""))),1,IF(REGEXMATCH(Q92,""Sell_""),IF(COUNTIF(Q$4:Q92,SUBSTITUTE(Q92,""Sell_"",""""))-COUNTIF(Q$4:Q91,Q92)&lt;1,1),FALSE))))"),FALSE)</f>
        <v>0</v>
      </c>
      <c r="S92" s="59">
        <f t="array" ref="S92">IF(COUNTA(Q92:Q1673)=0,"",SUM((COUNTIF(Q$4:Q92,Upgrades!$B$3:$B$13)-COUNTIF(Q$4:Q92,"Sell_"&amp;Upgrades!$B$3:$B$13))*Upgrades!$D$3:$D$13))</f>
        <v>13838.8</v>
      </c>
      <c r="T92" s="66">
        <f>IFERROR(__xludf.DUMMYFUNCTION("IF(COUNTA(Q92:Q1673)=0,"""",IF(REGEXMATCH(INDEX(FILTER(Q$4:Q92,Q$4:Q92&lt;&gt;""""),ROWS(FILTER(Q$4:Q92,Q$4:Q92&lt;&gt;""""))),""^Sell_""),INDEX(FILTER(T$4:T91,Q$4:Q91&lt;&gt;""""),ROWS(FILTER(Q$4:Q91,Q$4:Q91&lt;&gt;""""))),$AD$5+S92))"),14053.8)</f>
        <v>14053.8</v>
      </c>
      <c r="U92" s="10">
        <f>IFERROR(__xludf.DUMMYFUNCTION("IF(COUNTA(Q92:Q1673)=0,"""",IF(Q92="""",0,IF(REGEXMATCH(Q92,""^Sell_""),-ROUNDDOWN(ROUNDUP(INDEX(Upgrades!$C$3:$C$13,MATCH(SUBSTITUTE(Q92,""Sell_"",""""),Upgrades!$B$3:$B$13,0))*1.15^(COUNTIF(Q$4:Q91,SUBSTITUTE(Q92,""Sell_"",""""))-COUNTIF(Q$4:Q91,""Sell_"&amp;"""&amp;SUBSTITUTE(Q92,""Sell_"",""""))))/2),ROUNDUP(INDEX(Upgrades!$C$3:$C$13,MATCH(Q92,Upgrades!$B$3:$B$13,0))*1.15^(COUNTIF(Q$4:Q91,Q92)-COUNTIF(Q$4:Q91,""Sell_""&amp;Q92))))))"),-23000.0)</f>
        <v>-23000</v>
      </c>
      <c r="V92" s="10">
        <f t="shared" si="11"/>
        <v>-49450</v>
      </c>
      <c r="W92" s="68">
        <f t="shared" si="12"/>
        <v>2871.055125</v>
      </c>
      <c r="X92" s="59" t="str">
        <f t="shared" si="13"/>
        <v>47m 51s</v>
      </c>
      <c r="Y92" s="69">
        <f t="shared" si="14"/>
        <v>4599939</v>
      </c>
      <c r="Z92" s="11"/>
    </row>
    <row r="93">
      <c r="A93" s="8"/>
      <c r="B93" s="56">
        <f t="shared" si="2"/>
        <v>7</v>
      </c>
      <c r="C93" s="57" t="s">
        <v>8</v>
      </c>
      <c r="D93" s="10" t="b">
        <f>IFERROR(__xludf.DUMMYFUNCTION("IF(COUNTA(C93:C1673)=0,"""",IF(ISBLANK(C93),FALSE,IF(NOT(COUNTIF($AA$24:$AA$34,SUBSTITUTE(C93,""Sell_"",""""))),1,IF(REGEXMATCH(C93,""Sell_""),IF(COUNTIF(C$4:C93,SUBSTITUTE(C93,""Sell_"",""""))-COUNTIF(C$4:C92,C93)&lt;1,1),FALSE))))"),FALSE)</f>
        <v>0</v>
      </c>
      <c r="E93" s="59">
        <f t="array" ref="E93">IF(COUNTA(C93:C1673)=0,"",SUM((COUNTIF(C$4:C93,Upgrades!$B$3:$B$13)-COUNTIF(C$4:C93,"Sell_"&amp;Upgrades!$B$3:$B$13))*Upgrades!$D$3:$D$13))</f>
        <v>63251</v>
      </c>
      <c r="F93" s="66">
        <f>IFERROR(__xludf.DUMMYFUNCTION("IF(COUNTA(C93:C1673)=0,"""",IF(REGEXMATCH(INDEX(FILTER(C$4:C93,C$4:C93&lt;&gt;""""),ROWS(FILTER(C$4:C93,C$4:C93&lt;&gt;""""))),""^Sell_""),INDEX(FILTER(F$4:F92,C$4:C92&lt;&gt;""""),ROWS(FILTER(C$4:C92,C$4:C92&lt;&gt;""""))),$AC$5+E93))"),63266.0)</f>
        <v>63266</v>
      </c>
      <c r="G93" s="10">
        <f>IFERROR(__xludf.DUMMYFUNCTION("IF(COUNTA(C93:C1673)=0,"""",IF(C93="""",0,IF(REGEXMATCH(C93,""^Sell_""),-ROUNDDOWN(ROUNDUP(INDEX(Upgrades!$C$3:$C$13,MATCH(SUBSTITUTE(C93,""Sell_"",""""),Upgrades!$B$3:$B$13,0))*1.15^(COUNTIF(C$4:C92,SUBSTITUTE(C93,""Sell_"",""""))-COUNTIF(C$4:C92,""Sell_"&amp;"""&amp;SUBSTITUTE(C93,""Sell_"",""""))))/2),ROUNDUP(INDEX(Upgrades!$C$3:$C$13,MATCH(C93,Upgrades!$B$3:$B$13,0))*1.15^(COUNTIF(C$4:C92,C93)-COUNTIF(C$4:C92,""Sell_""&amp;C93))))))"),92523.0)</f>
        <v>92523</v>
      </c>
      <c r="H93" s="10">
        <f t="shared" si="3"/>
        <v>92523</v>
      </c>
      <c r="I93" s="68">
        <f t="shared" si="4"/>
        <v>3767.247254</v>
      </c>
      <c r="J93" s="59" t="str">
        <f t="shared" si="5"/>
        <v>1h 02m 47s</v>
      </c>
      <c r="K93" s="69">
        <f t="shared" si="6"/>
        <v>30291151</v>
      </c>
      <c r="L93" s="60">
        <f t="shared" si="7"/>
        <v>-110.73517</v>
      </c>
      <c r="M93" s="61">
        <f>IFERROR(__xludf.DUMMYFUNCTION("IFS(AND(COUNTA(C93:C1673)=0,COUNTA(Q93:Q1673)=0),"""",OR(AND(K93&gt;=1000000000,OR(Y93&gt;=1000000000,COUNTA(Q93:Q1673)=0)),OR(Y93&gt;=1000000000,AND(COUNTA(C93:C1673)=0,P$3=TRUE))),
ROUNDDOWN((AB$1-AC$1)*MAX(INDEX(T$4:T1673,MATCH(LARGE(FILTER(Y$4:Y1673,Y$4:Y1673&lt;"&amp;"1000000000),1),Y$4:Y1673)),INDEX(F$4:F1673,MATCH(LARGE(FILTER(K$4:K1673,K$4:K1673&lt;1000000000),1),K$4:K1673)))),AND(K93&lt;1000000000,COUNTA(C93:C1673)&gt;0,P$3=FALSE),
ROUNDDOWN(INDEX(Y$4:Y1673,MATCH(LARGE(FILTER(W$4:W1673,W$4:W1673&lt;=I93),1),W$4:W1673))+(I93-LA"&amp;"RGE(FILTER(W$4:W1673,W$4:W1673&lt;=I93),1))*INDEX(T$4:T1673,MATCH(LARGE(FILTER(W$4:W1673,W$4:W1673&lt;=I93),1),W$4:W1673))-K93),1,
ROUNDDOWN(Y93-INDEX(K$4:K1673,MATCH(LARGE(FILTER(I$4:I1673,I$4:I1673&lt;=W93),1),I$4:I1673))-(W93-LARGE(FILTER(I$4:I1673,I$4:I1673&lt;=W"&amp;"93),1))*INDEX(F$4:F1673,MATCH(LARGE(FILTER(I$4:I1673,I$4:I1673&lt;=W93),1),I$4:I1673))))"),7073155.0)</f>
        <v>7073155</v>
      </c>
      <c r="N93" s="60">
        <f t="shared" si="8"/>
        <v>-110.73517</v>
      </c>
      <c r="O93" s="61" t="str">
        <f t="shared" si="9"/>
        <v>7,1M</v>
      </c>
      <c r="P93" s="56">
        <f t="shared" si="10"/>
        <v>3</v>
      </c>
      <c r="Q93" s="67" t="s">
        <v>10</v>
      </c>
      <c r="R93" s="10" t="b">
        <f>IFERROR(__xludf.DUMMYFUNCTION("IF(COUNTA(Q93:Q1673)=0,"""",IF(ISBLANK(Q93),FALSE,IF(NOT(COUNTIF($AA$24:$AA$34,SUBSTITUTE(Q93,""Sell_"",""""))),1,IF(REGEXMATCH(Q93,""Sell_""),IF(COUNTIF(Q$4:Q93,SUBSTITUTE(Q93,""Sell_"",""""))-COUNTIF(Q$4:Q92,Q93)&lt;1,1),FALSE))))"),FALSE)</f>
        <v>0</v>
      </c>
      <c r="S93" s="59">
        <f t="array" ref="S93">IF(COUNTA(Q93:Q1673)=0,"",SUM((COUNTIF(Q$4:Q93,Upgrades!$B$3:$B$13)-COUNTIF(Q$4:Q93,"Sell_"&amp;Upgrades!$B$3:$B$13))*Upgrades!$D$3:$D$13))</f>
        <v>20504.8</v>
      </c>
      <c r="T93" s="66">
        <f>IFERROR(__xludf.DUMMYFUNCTION("IF(COUNTA(Q93:Q1673)=0,"""",IF(REGEXMATCH(INDEX(FILTER(Q$4:Q93,Q$4:Q93&lt;&gt;""""),ROWS(FILTER(Q$4:Q93,Q$4:Q93&lt;&gt;""""))),""^Sell_""),INDEX(FILTER(T$4:T92,Q$4:Q92&lt;&gt;""""),ROWS(FILTER(Q$4:Q92,Q$4:Q92&lt;&gt;""""))),$AD$5+S93))"),20519.8)</f>
        <v>20519.8</v>
      </c>
      <c r="U93" s="10">
        <f>IFERROR(__xludf.DUMMYFUNCTION("IF(COUNTA(Q93:Q1673)=0,"""",IF(Q93="""",0,IF(REGEXMATCH(Q93,""^Sell_""),-ROUNDDOWN(ROUNDUP(INDEX(Upgrades!$C$3:$C$13,MATCH(SUBSTITUTE(Q93,""Sell_"",""""),Upgrades!$B$3:$B$13,0))*1.15^(COUNTIF(Q$4:Q92,SUBSTITUTE(Q93,""Sell_"",""""))-COUNTIF(Q$4:Q92,""Sell_"&amp;"""&amp;SUBSTITUTE(Q93,""Sell_"",""""))))/2),ROUNDUP(INDEX(Upgrades!$C$3:$C$13,MATCH(Q93,Upgrades!$B$3:$B$13,0))*1.15^(COUNTIF(Q$4:Q92,Q93)-COUNTIF(Q$4:Q92,""Sell_""&amp;Q93))))))"),2204166.0)</f>
        <v>2204166</v>
      </c>
      <c r="V93" s="10">
        <f t="shared" si="11"/>
        <v>2154716</v>
      </c>
      <c r="W93" s="68">
        <f t="shared" si="12"/>
        <v>3024.374227</v>
      </c>
      <c r="X93" s="59" t="str">
        <f t="shared" si="13"/>
        <v>50m 24s</v>
      </c>
      <c r="Y93" s="69">
        <f t="shared" si="14"/>
        <v>6754655</v>
      </c>
      <c r="Z93" s="11"/>
    </row>
    <row r="94">
      <c r="A94" s="8"/>
      <c r="B94" s="56">
        <f t="shared" si="2"/>
        <v>12</v>
      </c>
      <c r="C94" s="57" t="s">
        <v>4</v>
      </c>
      <c r="D94" s="10" t="b">
        <f>IFERROR(__xludf.DUMMYFUNCTION("IF(COUNTA(C94:C1673)=0,"""",IF(ISBLANK(C94),FALSE,IF(NOT(COUNTIF($AA$24:$AA$34,SUBSTITUTE(C94,""Sell_"",""""))),1,IF(REGEXMATCH(C94,""Sell_""),IF(COUNTIF(C$4:C94,SUBSTITUTE(C94,""Sell_"",""""))-COUNTIF(C$4:C93,C94)&lt;1,1),FALSE))))"),FALSE)</f>
        <v>0</v>
      </c>
      <c r="E94" s="59">
        <f t="array" ref="E94">IF(COUNTA(C94:C1673)=0,"",SUM((COUNTIF(C$4:C94,Upgrades!$B$3:$B$13)-COUNTIF(C$4:C94,"Sell_"&amp;Upgrades!$B$3:$B$13))*Upgrades!$D$3:$D$13))</f>
        <v>63251.5</v>
      </c>
      <c r="F94" s="66">
        <f>IFERROR(__xludf.DUMMYFUNCTION("IF(COUNTA(C94:C1673)=0,"""",IF(REGEXMATCH(INDEX(FILTER(C$4:C94,C$4:C94&lt;&gt;""""),ROWS(FILTER(C$4:C94,C$4:C94&lt;&gt;""""))),""^Sell_""),INDEX(FILTER(F$4:F93,C$4:C93&lt;&gt;""""),ROWS(FILTER(C$4:C93,C$4:C93&lt;&gt;""""))),$AC$5+E94))"),63266.5)</f>
        <v>63266.5</v>
      </c>
      <c r="G94" s="10">
        <f>IFERROR(__xludf.DUMMYFUNCTION("IF(COUNTA(C94:C1673)=0,"""",IF(C94="""",0,IF(REGEXMATCH(C94,""^Sell_""),-ROUNDDOWN(ROUNDUP(INDEX(Upgrades!$C$3:$C$13,MATCH(SUBSTITUTE(C94,""Sell_"",""""),Upgrades!$B$3:$B$13,0))*1.15^(COUNTIF(C$4:C93,SUBSTITUTE(C94,""Sell_"",""""))-COUNTIF(C$4:C93,""Sell_"&amp;"""&amp;SUBSTITUTE(C94,""Sell_"",""""))))/2),ROUNDUP(INDEX(Upgrades!$C$3:$C$13,MATCH(C94,Upgrades!$B$3:$B$13,0))*1.15^(COUNTIF(C$4:C93,C94)-COUNTIF(C$4:C93,""Sell_""&amp;C94))))))"),466.0)</f>
        <v>466</v>
      </c>
      <c r="H94" s="10">
        <f t="shared" si="3"/>
        <v>466</v>
      </c>
      <c r="I94" s="68">
        <f t="shared" si="4"/>
        <v>3767.25462</v>
      </c>
      <c r="J94" s="59" t="str">
        <f t="shared" si="5"/>
        <v>1h 02m 47s</v>
      </c>
      <c r="K94" s="69">
        <f t="shared" si="6"/>
        <v>30291617</v>
      </c>
      <c r="L94" s="60">
        <f t="shared" si="7"/>
        <v>-110.73423</v>
      </c>
      <c r="M94" s="61">
        <f>IFERROR(__xludf.DUMMYFUNCTION("IFS(AND(COUNTA(C94:C1673)=0,COUNTA(Q94:Q1673)=0),"""",OR(AND(K94&gt;=1000000000,OR(Y94&gt;=1000000000,COUNTA(Q94:Q1673)=0)),OR(Y94&gt;=1000000000,AND(COUNTA(C94:C1673)=0,P$3=TRUE))),
ROUNDDOWN((AB$1-AC$1)*MAX(INDEX(T$4:T1673,MATCH(LARGE(FILTER(Y$4:Y1673,Y$4:Y1673&lt;"&amp;"1000000000),1),Y$4:Y1673)),INDEX(F$4:F1673,MATCH(LARGE(FILTER(K$4:K1673,K$4:K1673&lt;1000000000),1),K$4:K1673)))),AND(K94&lt;1000000000,COUNTA(C94:C1673)&gt;0,P$3=FALSE),
ROUNDDOWN(INDEX(Y$4:Y1673,MATCH(LARGE(FILTER(W$4:W1673,W$4:W1673&lt;=I94),1),W$4:W1673))+(I94-LA"&amp;"RGE(FILTER(W$4:W1673,W$4:W1673&lt;=I94),1))*INDEX(T$4:T1673,MATCH(LARGE(FILTER(W$4:W1673,W$4:W1673&lt;=I94),1),W$4:W1673))-K94),1,
ROUNDDOWN(Y94-INDEX(K$4:K1673,MATCH(LARGE(FILTER(I$4:I1673,I$4:I1673&lt;=W94),1),I$4:I1673))-(W94-LARGE(FILTER(I$4:I1673,I$4:I1673&lt;=W"&amp;"94),1))*INDEX(F$4:F1673,MATCH(LARGE(FILTER(I$4:I1673,I$4:I1673&lt;=W94),1),I$4:I1673))))"),7073208.0)</f>
        <v>7073208</v>
      </c>
      <c r="N94" s="60">
        <f t="shared" si="8"/>
        <v>-110.73423</v>
      </c>
      <c r="O94" s="61" t="str">
        <f t="shared" si="9"/>
        <v>7,1M</v>
      </c>
      <c r="P94" s="56">
        <f t="shared" si="10"/>
        <v>1</v>
      </c>
      <c r="Q94" s="67" t="s">
        <v>8</v>
      </c>
      <c r="R94" s="10" t="b">
        <f>IFERROR(__xludf.DUMMYFUNCTION("IF(COUNTA(Q94:Q1673)=0,"""",IF(ISBLANK(Q94),FALSE,IF(NOT(COUNTIF($AA$24:$AA$34,SUBSTITUTE(Q94,""Sell_"",""""))),1,IF(REGEXMATCH(Q94,""Sell_""),IF(COUNTIF(Q$4:Q94,SUBSTITUTE(Q94,""Sell_"",""""))-COUNTIF(Q$4:Q93,Q94)&lt;1,1),FALSE))))"),FALSE)</f>
        <v>0</v>
      </c>
      <c r="S94" s="59">
        <f t="array" ref="S94">IF(COUNTA(Q94:Q1673)=0,"",SUM((COUNTIF(Q$4:Q94,Upgrades!$B$3:$B$13)-COUNTIF(Q$4:Q94,"Sell_"&amp;Upgrades!$B$3:$B$13))*Upgrades!$D$3:$D$13))</f>
        <v>20604.8</v>
      </c>
      <c r="T94" s="66">
        <f>IFERROR(__xludf.DUMMYFUNCTION("IF(COUNTA(Q94:Q1673)=0,"""",IF(REGEXMATCH(INDEX(FILTER(Q$4:Q94,Q$4:Q94&lt;&gt;""""),ROWS(FILTER(Q$4:Q94,Q$4:Q94&lt;&gt;""""))),""^Sell_""),INDEX(FILTER(T$4:T93,Q$4:Q93&lt;&gt;""""),ROWS(FILTER(Q$4:Q93,Q$4:Q93&lt;&gt;""""))),$AD$5+S94))"),20619.8)</f>
        <v>20619.8</v>
      </c>
      <c r="U94" s="10">
        <f>IFERROR(__xludf.DUMMYFUNCTION("IF(COUNTA(Q94:Q1673)=0,"""",IF(Q94="""",0,IF(REGEXMATCH(Q94,""^Sell_""),-ROUNDDOWN(ROUNDUP(INDEX(Upgrades!$C$3:$C$13,MATCH(SUBSTITUTE(Q94,""Sell_"",""""),Upgrades!$B$3:$B$13,0))*1.15^(COUNTIF(Q$4:Q93,SUBSTITUTE(Q94,""Sell_"",""""))-COUNTIF(Q$4:Q93,""Sell_"&amp;"""&amp;SUBSTITUTE(Q94,""Sell_"",""""))))/2),ROUNDUP(INDEX(Upgrades!$C$3:$C$13,MATCH(Q94,Upgrades!$B$3:$B$13,0))*1.15^(COUNTIF(Q$4:Q93,Q94)-COUNTIF(Q$4:Q93,""Sell_""&amp;Q94))))))"),40000.0)</f>
        <v>40000</v>
      </c>
      <c r="V94" s="10">
        <f t="shared" si="11"/>
        <v>40000</v>
      </c>
      <c r="W94" s="68">
        <f t="shared" si="12"/>
        <v>3026.323564</v>
      </c>
      <c r="X94" s="59" t="str">
        <f t="shared" si="13"/>
        <v>50m 26s</v>
      </c>
      <c r="Y94" s="69">
        <f t="shared" si="14"/>
        <v>6794655</v>
      </c>
      <c r="Z94" s="11"/>
    </row>
    <row r="95">
      <c r="A95" s="8"/>
      <c r="B95" s="56">
        <f t="shared" si="2"/>
        <v>10</v>
      </c>
      <c r="C95" s="57" t="s">
        <v>10</v>
      </c>
      <c r="D95" s="10" t="b">
        <f>IFERROR(__xludf.DUMMYFUNCTION("IF(COUNTA(C95:C1673)=0,"""",IF(ISBLANK(C95),FALSE,IF(NOT(COUNTIF($AA$24:$AA$34,SUBSTITUTE(C95,""Sell_"",""""))),1,IF(REGEXMATCH(C95,""Sell_""),IF(COUNTIF(C$4:C95,SUBSTITUTE(C95,""Sell_"",""""))-COUNTIF(C$4:C94,C95)&lt;1,1),FALSE))))"),FALSE)</f>
        <v>0</v>
      </c>
      <c r="E95" s="59">
        <f t="array" ref="E95">IF(COUNTA(C95:C1673)=0,"",SUM((COUNTIF(C$4:C95,Upgrades!$B$3:$B$13)-COUNTIF(C$4:C95,"Sell_"&amp;Upgrades!$B$3:$B$13))*Upgrades!$D$3:$D$13))</f>
        <v>69917.5</v>
      </c>
      <c r="F95" s="66">
        <f>IFERROR(__xludf.DUMMYFUNCTION("IF(COUNTA(C95:C1673)=0,"""",IF(REGEXMATCH(INDEX(FILTER(C$4:C95,C$4:C95&lt;&gt;""""),ROWS(FILTER(C$4:C95,C$4:C95&lt;&gt;""""))),""^Sell_""),INDEX(FILTER(F$4:F94,C$4:C94&lt;&gt;""""),ROWS(FILTER(C$4:C94,C$4:C94&lt;&gt;""""))),$AC$5+E95))"),69932.5)</f>
        <v>69932.5</v>
      </c>
      <c r="G95" s="10">
        <f>IFERROR(__xludf.DUMMYFUNCTION("IF(COUNTA(C95:C1673)=0,"""",IF(C95="""",0,IF(REGEXMATCH(C95,""^Sell_""),-ROUNDDOWN(ROUNDUP(INDEX(Upgrades!$C$3:$C$13,MATCH(SUBSTITUTE(C95,""Sell_"",""""),Upgrades!$B$3:$B$13,0))*1.15^(COUNTIF(C$4:C94,SUBSTITUTE(C95,""Sell_"",""""))-COUNTIF(C$4:C94,""Sell_"&amp;"""&amp;SUBSTITUTE(C95,""Sell_"",""""))))/2),ROUNDUP(INDEX(Upgrades!$C$3:$C$13,MATCH(C95,Upgrades!$B$3:$B$13,0))*1.15^(COUNTIF(C$4:C94,C95)-COUNTIF(C$4:C94,""Sell_""&amp;C95))))))"),5863125.0)</f>
        <v>5863125</v>
      </c>
      <c r="H95" s="10">
        <f t="shared" si="3"/>
        <v>5863125</v>
      </c>
      <c r="I95" s="68">
        <f t="shared" si="4"/>
        <v>3859.928073</v>
      </c>
      <c r="J95" s="59" t="str">
        <f t="shared" si="5"/>
        <v>1h 04m 19s</v>
      </c>
      <c r="K95" s="69">
        <f t="shared" si="6"/>
        <v>36154742</v>
      </c>
      <c r="L95" s="60">
        <f t="shared" si="7"/>
        <v>-110.68008</v>
      </c>
      <c r="M95" s="61">
        <f>IFERROR(__xludf.DUMMYFUNCTION("IFS(AND(COUNTA(C95:C1673)=0,COUNTA(Q95:Q1673)=0),"""",OR(AND(K95&gt;=1000000000,OR(Y95&gt;=1000000000,COUNTA(Q95:Q1673)=0)),OR(Y95&gt;=1000000000,AND(COUNTA(C95:C1673)=0,P$3=TRUE))),
ROUNDDOWN((AB$1-AC$1)*MAX(INDEX(T$4:T1673,MATCH(LARGE(FILTER(Y$4:Y1673,Y$4:Y1673&lt;"&amp;"1000000000),1),Y$4:Y1673)),INDEX(F$4:F1673,MATCH(LARGE(FILTER(K$4:K1673,K$4:K1673&lt;1000000000),1),K$4:K1673)))),AND(K95&lt;1000000000,COUNTA(C95:C1673)&gt;0,P$3=FALSE),
ROUNDDOWN(INDEX(Y$4:Y1673,MATCH(LARGE(FILTER(W$4:W1673,W$4:W1673&lt;=I95),1),W$4:W1673))+(I95-LA"&amp;"RGE(FILTER(W$4:W1673,W$4:W1673&lt;=I95),1))*INDEX(T$4:T1673,MATCH(LARGE(FILTER(W$4:W1673,W$4:W1673&lt;=I95),1),W$4:W1673))-K95),1,
ROUNDDOWN(Y95-INDEX(K$4:K1673,MATCH(LARGE(FILTER(I$4:I1673,I$4:I1673&lt;=W95),1),I$4:I1673))-(W95-LARGE(FILTER(I$4:I1673,I$4:I1673&lt;=W"&amp;"95),1))*INDEX(F$4:F1673,MATCH(LARGE(FILTER(I$4:I1673,I$4:I1673&lt;=W95),1),I$4:I1673))))"),7742357.0)</f>
        <v>7742357</v>
      </c>
      <c r="N95" s="60">
        <f t="shared" si="8"/>
        <v>-110.68008</v>
      </c>
      <c r="O95" s="61" t="str">
        <f t="shared" si="9"/>
        <v>7,7M</v>
      </c>
      <c r="P95" s="56">
        <f t="shared" si="10"/>
        <v>2</v>
      </c>
      <c r="Q95" s="67" t="s">
        <v>8</v>
      </c>
      <c r="R95" s="10" t="b">
        <f>IFERROR(__xludf.DUMMYFUNCTION("IF(COUNTA(Q95:Q1673)=0,"""",IF(ISBLANK(Q95),FALSE,IF(NOT(COUNTIF($AA$24:$AA$34,SUBSTITUTE(Q95,""Sell_"",""""))),1,IF(REGEXMATCH(Q95,""Sell_""),IF(COUNTIF(Q$4:Q95,SUBSTITUTE(Q95,""Sell_"",""""))-COUNTIF(Q$4:Q94,Q95)&lt;1,1),FALSE))))"),FALSE)</f>
        <v>0</v>
      </c>
      <c r="S95" s="59">
        <f t="array" ref="S95">IF(COUNTA(Q95:Q1673)=0,"",SUM((COUNTIF(Q$4:Q95,Upgrades!$B$3:$B$13)-COUNTIF(Q$4:Q95,"Sell_"&amp;Upgrades!$B$3:$B$13))*Upgrades!$D$3:$D$13))</f>
        <v>20704.8</v>
      </c>
      <c r="T95" s="66">
        <f>IFERROR(__xludf.DUMMYFUNCTION("IF(COUNTA(Q95:Q1673)=0,"""",IF(REGEXMATCH(INDEX(FILTER(Q$4:Q95,Q$4:Q95&lt;&gt;""""),ROWS(FILTER(Q$4:Q95,Q$4:Q95&lt;&gt;""""))),""^Sell_""),INDEX(FILTER(T$4:T94,Q$4:Q94&lt;&gt;""""),ROWS(FILTER(Q$4:Q94,Q$4:Q94&lt;&gt;""""))),$AD$5+S95))"),20719.8)</f>
        <v>20719.8</v>
      </c>
      <c r="U95" s="10">
        <f>IFERROR(__xludf.DUMMYFUNCTION("IF(COUNTA(Q95:Q1673)=0,"""",IF(Q95="""",0,IF(REGEXMATCH(Q95,""^Sell_""),-ROUNDDOWN(ROUNDUP(INDEX(Upgrades!$C$3:$C$13,MATCH(SUBSTITUTE(Q95,""Sell_"",""""),Upgrades!$B$3:$B$13,0))*1.15^(COUNTIF(Q$4:Q94,SUBSTITUTE(Q95,""Sell_"",""""))-COUNTIF(Q$4:Q94,""Sell_"&amp;"""&amp;SUBSTITUTE(Q95,""Sell_"",""""))))/2),ROUNDUP(INDEX(Upgrades!$C$3:$C$13,MATCH(Q95,Upgrades!$B$3:$B$13,0))*1.15^(COUNTIF(Q$4:Q94,Q95)-COUNTIF(Q$4:Q94,""Sell_""&amp;Q95))))))"),46000.0)</f>
        <v>46000</v>
      </c>
      <c r="V95" s="10">
        <f t="shared" si="11"/>
        <v>46000</v>
      </c>
      <c r="W95" s="68">
        <f t="shared" si="12"/>
        <v>3028.554429</v>
      </c>
      <c r="X95" s="59" t="str">
        <f t="shared" si="13"/>
        <v>50m 28s</v>
      </c>
      <c r="Y95" s="69">
        <f t="shared" si="14"/>
        <v>6840655</v>
      </c>
      <c r="Z95" s="11"/>
    </row>
    <row r="96">
      <c r="A96" s="8"/>
      <c r="B96" s="56">
        <f t="shared" si="2"/>
        <v>6</v>
      </c>
      <c r="C96" s="57" t="s">
        <v>9</v>
      </c>
      <c r="D96" s="10" t="b">
        <f>IFERROR(__xludf.DUMMYFUNCTION("IF(COUNTA(C96:C1673)=0,"""",IF(ISBLANK(C96),FALSE,IF(NOT(COUNTIF($AA$24:$AA$34,SUBSTITUTE(C96,""Sell_"",""""))),1,IF(REGEXMATCH(C96,""Sell_""),IF(COUNTIF(C$4:C96,SUBSTITUTE(C96,""Sell_"",""""))-COUNTIF(C$4:C95,C96)&lt;1,1),FALSE))))"),FALSE)</f>
        <v>0</v>
      </c>
      <c r="E96" s="59">
        <f t="array" ref="E96">IF(COUNTA(C96:C1673)=0,"",SUM((COUNTIF(C$4:C96,Upgrades!$B$3:$B$13)-COUNTIF(C$4:C96,"Sell_"&amp;Upgrades!$B$3:$B$13))*Upgrades!$D$3:$D$13))</f>
        <v>70317.5</v>
      </c>
      <c r="F96" s="66">
        <f>IFERROR(__xludf.DUMMYFUNCTION("IF(COUNTA(C96:C1673)=0,"""",IF(REGEXMATCH(INDEX(FILTER(C$4:C96,C$4:C96&lt;&gt;""""),ROWS(FILTER(C$4:C96,C$4:C96&lt;&gt;""""))),""^Sell_""),INDEX(FILTER(F$4:F95,C$4:C95&lt;&gt;""""),ROWS(FILTER(C$4:C95,C$4:C95&lt;&gt;""""))),$AC$5+E96))"),70332.5)</f>
        <v>70332.5</v>
      </c>
      <c r="G96" s="10">
        <f>IFERROR(__xludf.DUMMYFUNCTION("IF(COUNTA(C96:C1673)=0,"""",IF(C96="""",0,IF(REGEXMATCH(C96,""^Sell_""),-ROUNDDOWN(ROUNDUP(INDEX(Upgrades!$C$3:$C$13,MATCH(SUBSTITUTE(C96,""Sell_"",""""),Upgrades!$B$3:$B$13,0))*1.15^(COUNTIF(C$4:C95,SUBSTITUTE(C96,""Sell_"",""""))-COUNTIF(C$4:C95,""Sell_"&amp;"""&amp;SUBSTITUTE(C96,""Sell_"",""""))))/2),ROUNDUP(INDEX(Upgrades!$C$3:$C$13,MATCH(C96,Upgrades!$B$3:$B$13,0))*1.15^(COUNTIF(C$4:C95,C96)-COUNTIF(C$4:C95,""Sell_""&amp;C96))))))"),402272.0)</f>
        <v>402272</v>
      </c>
      <c r="H96" s="10">
        <f t="shared" si="3"/>
        <v>402272</v>
      </c>
      <c r="I96" s="68">
        <f t="shared" si="4"/>
        <v>3865.680362</v>
      </c>
      <c r="J96" s="59" t="str">
        <f t="shared" si="5"/>
        <v>1h 04m 25s</v>
      </c>
      <c r="K96" s="69">
        <f t="shared" si="6"/>
        <v>36557014</v>
      </c>
      <c r="L96" s="60">
        <f t="shared" si="7"/>
        <v>-110.07399</v>
      </c>
      <c r="M96" s="61">
        <f>IFERROR(__xludf.DUMMYFUNCTION("IFS(AND(COUNTA(C96:C1673)=0,COUNTA(Q96:Q1673)=0),"""",OR(AND(K96&gt;=1000000000,OR(Y96&gt;=1000000000,COUNTA(Q96:Q1673)=0)),OR(Y96&gt;=1000000000,AND(COUNTA(C96:C1673)=0,P$3=TRUE))),
ROUNDDOWN((AB$1-AC$1)*MAX(INDEX(T$4:T1673,MATCH(LARGE(FILTER(Y$4:Y1673,Y$4:Y1673&lt;"&amp;"1000000000),1),Y$4:Y1673)),INDEX(F$4:F1673,MATCH(LARGE(FILTER(K$4:K1673,K$4:K1673&lt;1000000000),1),K$4:K1673)))),AND(K96&lt;1000000000,COUNTA(C96:C1673)&gt;0,P$3=FALSE),
ROUNDDOWN(INDEX(Y$4:Y1673,MATCH(LARGE(FILTER(W$4:W1673,W$4:W1673&lt;=I96),1),W$4:W1673))+(I96-LA"&amp;"RGE(FILTER(W$4:W1673,W$4:W1673&lt;=I96),1))*INDEX(T$4:T1673,MATCH(LARGE(FILTER(W$4:W1673,W$4:W1673&lt;=I96),1),W$4:W1673))-K96),1,
ROUNDDOWN(Y96-INDEX(K$4:K1673,MATCH(LARGE(FILTER(I$4:I1673,I$4:I1673&lt;=W96),1),I$4:I1673))-(W96-LARGE(FILTER(I$4:I1673,I$4:I1673&lt;=W"&amp;"96),1))*INDEX(F$4:F1673,MATCH(LARGE(FILTER(I$4:I1673,I$4:I1673&lt;=W96),1),I$4:I1673))))"),7778913.0)</f>
        <v>7778913</v>
      </c>
      <c r="N96" s="60">
        <f t="shared" si="8"/>
        <v>-110.07399</v>
      </c>
      <c r="O96" s="61" t="str">
        <f t="shared" si="9"/>
        <v>7,8M</v>
      </c>
      <c r="P96" s="56">
        <f t="shared" si="10"/>
        <v>4</v>
      </c>
      <c r="Q96" s="67" t="s">
        <v>10</v>
      </c>
      <c r="R96" s="10" t="b">
        <f>IFERROR(__xludf.DUMMYFUNCTION("IF(COUNTA(Q96:Q1673)=0,"""",IF(ISBLANK(Q96),FALSE,IF(NOT(COUNTIF($AA$24:$AA$34,SUBSTITUTE(Q96,""Sell_"",""""))),1,IF(REGEXMATCH(Q96,""Sell_""),IF(COUNTIF(Q$4:Q96,SUBSTITUTE(Q96,""Sell_"",""""))-COUNTIF(Q$4:Q95,Q96)&lt;1,1),FALSE))))"),FALSE)</f>
        <v>0</v>
      </c>
      <c r="S96" s="59">
        <f t="array" ref="S96">IF(COUNTA(Q96:Q1673)=0,"",SUM((COUNTIF(Q$4:Q96,Upgrades!$B$3:$B$13)-COUNTIF(Q$4:Q96,"Sell_"&amp;Upgrades!$B$3:$B$13))*Upgrades!$D$3:$D$13))</f>
        <v>27370.8</v>
      </c>
      <c r="T96" s="66">
        <f>IFERROR(__xludf.DUMMYFUNCTION("IF(COUNTA(Q96:Q1673)=0,"""",IF(REGEXMATCH(INDEX(FILTER(Q$4:Q96,Q$4:Q96&lt;&gt;""""),ROWS(FILTER(Q$4:Q96,Q$4:Q96&lt;&gt;""""))),""^Sell_""),INDEX(FILTER(T$4:T95,Q$4:Q95&lt;&gt;""""),ROWS(FILTER(Q$4:Q95,Q$4:Q95&lt;&gt;""""))),$AD$5+S96))"),27385.8)</f>
        <v>27385.8</v>
      </c>
      <c r="U96" s="10">
        <f>IFERROR(__xludf.DUMMYFUNCTION("IF(COUNTA(Q96:Q1673)=0,"""",IF(Q96="""",0,IF(REGEXMATCH(Q96,""^Sell_""),-ROUNDDOWN(ROUNDUP(INDEX(Upgrades!$C$3:$C$13,MATCH(SUBSTITUTE(Q96,""Sell_"",""""),Upgrades!$B$3:$B$13,0))*1.15^(COUNTIF(Q$4:Q95,SUBSTITUTE(Q96,""Sell_"",""""))-COUNTIF(Q$4:Q95,""Sell_"&amp;"""&amp;SUBSTITUTE(Q96,""Sell_"",""""))))/2),ROUNDUP(INDEX(Upgrades!$C$3:$C$13,MATCH(Q96,Upgrades!$B$3:$B$13,0))*1.15^(COUNTIF(Q$4:Q95,Q96)-COUNTIF(Q$4:Q95,""Sell_""&amp;Q96))))))"),2534791.0)</f>
        <v>2534791</v>
      </c>
      <c r="V96" s="10">
        <f t="shared" si="11"/>
        <v>2534791</v>
      </c>
      <c r="W96" s="68">
        <f t="shared" si="12"/>
        <v>3150.891083</v>
      </c>
      <c r="X96" s="59" t="str">
        <f t="shared" si="13"/>
        <v>52m 30s</v>
      </c>
      <c r="Y96" s="69">
        <f t="shared" si="14"/>
        <v>9375446</v>
      </c>
      <c r="Z96" s="11"/>
    </row>
    <row r="97">
      <c r="A97" s="8"/>
      <c r="B97" s="56">
        <f t="shared" si="2"/>
        <v>11</v>
      </c>
      <c r="C97" s="57" t="s">
        <v>7</v>
      </c>
      <c r="D97" s="10" t="b">
        <f>IFERROR(__xludf.DUMMYFUNCTION("IF(COUNTA(C97:C1673)=0,"""",IF(ISBLANK(C97),FALSE,IF(NOT(COUNTIF($AA$24:$AA$34,SUBSTITUTE(C97,""Sell_"",""""))),1,IF(REGEXMATCH(C97,""Sell_""),IF(COUNTIF(C$4:C97,SUBSTITUTE(C97,""Sell_"",""""))-COUNTIF(C$4:C96,C97)&lt;1,1),FALSE))))"),FALSE)</f>
        <v>0</v>
      </c>
      <c r="E97" s="59">
        <f t="array" ref="E97">IF(COUNTA(C97:C1673)=0,"",SUM((COUNTIF(C$4:C97,Upgrades!$B$3:$B$13)-COUNTIF(C$4:C97,"Sell_"&amp;Upgrades!$B$3:$B$13))*Upgrades!$D$3:$D$13))</f>
        <v>70357.5</v>
      </c>
      <c r="F97" s="66">
        <f>IFERROR(__xludf.DUMMYFUNCTION("IF(COUNTA(C97:C1673)=0,"""",IF(REGEXMATCH(INDEX(FILTER(C$4:C97,C$4:C97&lt;&gt;""""),ROWS(FILTER(C$4:C97,C$4:C97&lt;&gt;""""))),""^Sell_""),INDEX(FILTER(F$4:F96,C$4:C96&lt;&gt;""""),ROWS(FILTER(C$4:C96,C$4:C96&lt;&gt;""""))),$AC$5+E97))"),70372.5)</f>
        <v>70372.5</v>
      </c>
      <c r="G97" s="10">
        <f>IFERROR(__xludf.DUMMYFUNCTION("IF(COUNTA(C97:C1673)=0,"""",IF(C97="""",0,IF(REGEXMATCH(C97,""^Sell_""),-ROUNDDOWN(ROUNDUP(INDEX(Upgrades!$C$3:$C$13,MATCH(SUBSTITUTE(C97,""Sell_"",""""),Upgrades!$B$3:$B$13,0))*1.15^(COUNTIF(C$4:C96,SUBSTITUTE(C97,""Sell_"",""""))-COUNTIF(C$4:C96,""Sell_"&amp;"""&amp;SUBSTITUTE(C97,""Sell_"",""""))))/2),ROUNDUP(INDEX(Upgrades!$C$3:$C$13,MATCH(C97,Upgrades!$B$3:$B$13,0))*1.15^(COUNTIF(C$4:C96,C97)-COUNTIF(C$4:C96,""Sell_""&amp;C97))))))"),40456.0)</f>
        <v>40456</v>
      </c>
      <c r="H97" s="10">
        <f t="shared" si="3"/>
        <v>40456</v>
      </c>
      <c r="I97" s="68">
        <f t="shared" si="4"/>
        <v>3866.255573</v>
      </c>
      <c r="J97" s="59" t="str">
        <f t="shared" si="5"/>
        <v>1h 04m 26s</v>
      </c>
      <c r="K97" s="69">
        <f t="shared" si="6"/>
        <v>36597470</v>
      </c>
      <c r="L97" s="60">
        <f t="shared" si="7"/>
        <v>-110.00974</v>
      </c>
      <c r="M97" s="61">
        <f>IFERROR(__xludf.DUMMYFUNCTION("IFS(AND(COUNTA(C97:C1673)=0,COUNTA(Q97:Q1673)=0),"""",OR(AND(K97&gt;=1000000000,OR(Y97&gt;=1000000000,COUNTA(Q97:Q1673)=0)),OR(Y97&gt;=1000000000,AND(COUNTA(C97:C1673)=0,P$3=TRUE))),
ROUNDDOWN((AB$1-AC$1)*MAX(INDEX(T$4:T1673,MATCH(LARGE(FILTER(Y$4:Y1673,Y$4:Y1673&lt;"&amp;"1000000000),1),Y$4:Y1673)),INDEX(F$4:F1673,MATCH(LARGE(FILTER(K$4:K1673,K$4:K1673&lt;1000000000),1),K$4:K1673)))),AND(K97&lt;1000000000,COUNTA(C97:C1673)&gt;0,P$3=FALSE),
ROUNDDOWN(INDEX(Y$4:Y1673,MATCH(LARGE(FILTER(W$4:W1673,W$4:W1673&lt;=I97),1),W$4:W1673))+(I97-LA"&amp;"RGE(FILTER(W$4:W1673,W$4:W1673&lt;=I97),1))*INDEX(T$4:T1673,MATCH(LARGE(FILTER(W$4:W1673,W$4:W1673&lt;=I97),1),W$4:W1673))-K97),1,
ROUNDDOWN(Y97-INDEX(K$4:K1673,MATCH(LARGE(FILTER(I$4:I1673,I$4:I1673&lt;=W97),1),I$4:I1673))-(W97-LARGE(FILTER(I$4:I1673,I$4:I1673&lt;=W"&amp;"97),1))*INDEX(F$4:F1673,MATCH(LARGE(FILTER(I$4:I1673,I$4:I1673&lt;=W97),1),I$4:I1673))))"),7782837.0)</f>
        <v>7782837</v>
      </c>
      <c r="N97" s="60">
        <f t="shared" si="8"/>
        <v>-110.00974</v>
      </c>
      <c r="O97" s="61" t="str">
        <f t="shared" si="9"/>
        <v>7,8M</v>
      </c>
      <c r="P97" s="56">
        <f t="shared" si="10"/>
        <v>1</v>
      </c>
      <c r="Q97" s="67" t="s">
        <v>9</v>
      </c>
      <c r="R97" s="10" t="b">
        <f>IFERROR(__xludf.DUMMYFUNCTION("IF(COUNTA(Q97:Q1673)=0,"""",IF(ISBLANK(Q97),FALSE,IF(NOT(COUNTIF($AA$24:$AA$34,SUBSTITUTE(Q97,""Sell_"",""""))),1,IF(REGEXMATCH(Q97,""Sell_""),IF(COUNTIF(Q$4:Q97,SUBSTITUTE(Q97,""Sell_"",""""))-COUNTIF(Q$4:Q96,Q97)&lt;1,1),FALSE))))"),FALSE)</f>
        <v>0</v>
      </c>
      <c r="S97" s="59">
        <f t="array" ref="S97">IF(COUNTA(Q97:Q1673)=0,"",SUM((COUNTIF(Q$4:Q97,Upgrades!$B$3:$B$13)-COUNTIF(Q$4:Q97,"Sell_"&amp;Upgrades!$B$3:$B$13))*Upgrades!$D$3:$D$13))</f>
        <v>27770.8</v>
      </c>
      <c r="T97" s="66">
        <f>IFERROR(__xludf.DUMMYFUNCTION("IF(COUNTA(Q97:Q1673)=0,"""",IF(REGEXMATCH(INDEX(FILTER(Q$4:Q97,Q$4:Q97&lt;&gt;""""),ROWS(FILTER(Q$4:Q97,Q$4:Q97&lt;&gt;""""))),""^Sell_""),INDEX(FILTER(T$4:T96,Q$4:Q96&lt;&gt;""""),ROWS(FILTER(Q$4:Q96,Q$4:Q96&lt;&gt;""""))),$AD$5+S97))"),27785.8)</f>
        <v>27785.8</v>
      </c>
      <c r="U97" s="10">
        <f>IFERROR(__xludf.DUMMYFUNCTION("IF(COUNTA(Q97:Q1673)=0,"""",IF(Q97="""",0,IF(REGEXMATCH(Q97,""^Sell_""),-ROUNDDOWN(ROUNDUP(INDEX(Upgrades!$C$3:$C$13,MATCH(SUBSTITUTE(Q97,""Sell_"",""""),Upgrades!$B$3:$B$13,0))*1.15^(COUNTIF(Q$4:Q96,SUBSTITUTE(Q97,""Sell_"",""""))-COUNTIF(Q$4:Q96,""Sell_"&amp;"""&amp;SUBSTITUTE(Q97,""Sell_"",""""))))/2),ROUNDUP(INDEX(Upgrades!$C$3:$C$13,MATCH(Q97,Upgrades!$B$3:$B$13,0))*1.15^(COUNTIF(Q$4:Q96,Q97)-COUNTIF(Q$4:Q96,""Sell_""&amp;Q97))))))"),200000.0)</f>
        <v>200000</v>
      </c>
      <c r="V97" s="10">
        <f t="shared" si="11"/>
        <v>200000</v>
      </c>
      <c r="W97" s="68">
        <f t="shared" si="12"/>
        <v>3158.194138</v>
      </c>
      <c r="X97" s="59" t="str">
        <f t="shared" si="13"/>
        <v>52m 38s</v>
      </c>
      <c r="Y97" s="69">
        <f t="shared" si="14"/>
        <v>9575446</v>
      </c>
      <c r="Z97" s="11"/>
    </row>
    <row r="98">
      <c r="A98" s="8"/>
      <c r="B98" s="56">
        <f t="shared" si="2"/>
        <v>16</v>
      </c>
      <c r="C98" s="57" t="s">
        <v>5</v>
      </c>
      <c r="D98" s="10" t="b">
        <f>IFERROR(__xludf.DUMMYFUNCTION("IF(COUNTA(C98:C1673)=0,"""",IF(ISBLANK(C98),FALSE,IF(NOT(COUNTIF($AA$24:$AA$34,SUBSTITUTE(C98,""Sell_"",""""))),1,IF(REGEXMATCH(C98,""Sell_""),IF(COUNTIF(C$4:C98,SUBSTITUTE(C98,""Sell_"",""""))-COUNTIF(C$4:C97,C98)&lt;1,1),FALSE))))"),FALSE)</f>
        <v>0</v>
      </c>
      <c r="E98" s="59">
        <f t="array" ref="E98">IF(COUNTA(C98:C1673)=0,"",SUM((COUNTIF(C$4:C98,Upgrades!$B$3:$B$13)-COUNTIF(C$4:C98,"Sell_"&amp;Upgrades!$B$3:$B$13))*Upgrades!$D$3:$D$13))</f>
        <v>70361.5</v>
      </c>
      <c r="F98" s="66">
        <f>IFERROR(__xludf.DUMMYFUNCTION("IF(COUNTA(C98:C1673)=0,"""",IF(REGEXMATCH(INDEX(FILTER(C$4:C98,C$4:C98&lt;&gt;""""),ROWS(FILTER(C$4:C98,C$4:C98&lt;&gt;""""))),""^Sell_""),INDEX(FILTER(F$4:F97,C$4:C97&lt;&gt;""""),ROWS(FILTER(C$4:C97,C$4:C97&lt;&gt;""""))),$AC$5+E98))"),70376.5)</f>
        <v>70376.5</v>
      </c>
      <c r="G98" s="10">
        <f>IFERROR(__xludf.DUMMYFUNCTION("IF(COUNTA(C98:C1673)=0,"""",IF(C98="""",0,IF(REGEXMATCH(C98,""^Sell_""),-ROUNDDOWN(ROUNDUP(INDEX(Upgrades!$C$3:$C$13,MATCH(SUBSTITUTE(C98,""Sell_"",""""),Upgrades!$B$3:$B$13,0))*1.15^(COUNTIF(C$4:C97,SUBSTITUTE(C98,""Sell_"",""""))-COUNTIF(C$4:C97,""Sell_"&amp;"""&amp;SUBSTITUTE(C98,""Sell_"",""""))))/2),ROUNDUP(INDEX(Upgrades!$C$3:$C$13,MATCH(C98,Upgrades!$B$3:$B$13,0))*1.15^(COUNTIF(C$4:C97,C98)-COUNTIF(C$4:C97,""Sell_""&amp;C98))))))"),4069.0)</f>
        <v>4069</v>
      </c>
      <c r="H98" s="10">
        <f t="shared" si="3"/>
        <v>4069</v>
      </c>
      <c r="I98" s="68">
        <f t="shared" si="4"/>
        <v>3866.313394</v>
      </c>
      <c r="J98" s="59" t="str">
        <f t="shared" si="5"/>
        <v>1h 04m 26s</v>
      </c>
      <c r="K98" s="69">
        <f t="shared" si="6"/>
        <v>36601539</v>
      </c>
      <c r="L98" s="60">
        <f t="shared" si="7"/>
        <v>-110.00325</v>
      </c>
      <c r="M98" s="61">
        <f>IFERROR(__xludf.DUMMYFUNCTION("IFS(AND(COUNTA(C98:C1673)=0,COUNTA(Q98:Q1673)=0),"""",OR(AND(K98&gt;=1000000000,OR(Y98&gt;=1000000000,COUNTA(Q98:Q1673)=0)),OR(Y98&gt;=1000000000,AND(COUNTA(C98:C1673)=0,P$3=TRUE))),
ROUNDDOWN((AB$1-AC$1)*MAX(INDEX(T$4:T1673,MATCH(LARGE(FILTER(Y$4:Y1673,Y$4:Y1673&lt;"&amp;"1000000000),1),Y$4:Y1673)),INDEX(F$4:F1673,MATCH(LARGE(FILTER(K$4:K1673,K$4:K1673&lt;1000000000),1),K$4:K1673)))),AND(K98&lt;1000000000,COUNTA(C98:C1673)&gt;0,P$3=FALSE),
ROUNDDOWN(INDEX(Y$4:Y1673,MATCH(LARGE(FILTER(W$4:W1673,W$4:W1673&lt;=I98),1),W$4:W1673))+(I98-LA"&amp;"RGE(FILTER(W$4:W1673,W$4:W1673&lt;=I98),1))*INDEX(T$4:T1673,MATCH(LARGE(FILTER(W$4:W1673,W$4:W1673&lt;=I98),1),W$4:W1673))-K98),1,
ROUNDDOWN(Y98-INDEX(K$4:K1673,MATCH(LARGE(FILTER(I$4:I1673,I$4:I1673&lt;=W98),1),I$4:I1673))-(W98-LARGE(FILTER(I$4:I1673,I$4:I1673&lt;=W"&amp;"98),1))*INDEX(F$4:F1673,MATCH(LARGE(FILTER(I$4:I1673,I$4:I1673&lt;=W98),1),I$4:I1673))))"),7783229.0)</f>
        <v>7783229</v>
      </c>
      <c r="N98" s="60">
        <f t="shared" si="8"/>
        <v>-110.00325</v>
      </c>
      <c r="O98" s="61" t="str">
        <f t="shared" si="9"/>
        <v>7,8M</v>
      </c>
      <c r="P98" s="56">
        <f t="shared" si="10"/>
        <v>3</v>
      </c>
      <c r="Q98" s="67" t="s">
        <v>8</v>
      </c>
      <c r="R98" s="10" t="b">
        <f>IFERROR(__xludf.DUMMYFUNCTION("IF(COUNTA(Q98:Q1673)=0,"""",IF(ISBLANK(Q98),FALSE,IF(NOT(COUNTIF($AA$24:$AA$34,SUBSTITUTE(Q98,""Sell_"",""""))),1,IF(REGEXMATCH(Q98,""Sell_""),IF(COUNTIF(Q$4:Q98,SUBSTITUTE(Q98,""Sell_"",""""))-COUNTIF(Q$4:Q97,Q98)&lt;1,1),FALSE))))"),FALSE)</f>
        <v>0</v>
      </c>
      <c r="S98" s="59">
        <f t="array" ref="S98">IF(COUNTA(Q98:Q1673)=0,"",SUM((COUNTIF(Q$4:Q98,Upgrades!$B$3:$B$13)-COUNTIF(Q$4:Q98,"Sell_"&amp;Upgrades!$B$3:$B$13))*Upgrades!$D$3:$D$13))</f>
        <v>27870.8</v>
      </c>
      <c r="T98" s="66">
        <f>IFERROR(__xludf.DUMMYFUNCTION("IF(COUNTA(Q98:Q1673)=0,"""",IF(REGEXMATCH(INDEX(FILTER(Q$4:Q98,Q$4:Q98&lt;&gt;""""),ROWS(FILTER(Q$4:Q98,Q$4:Q98&lt;&gt;""""))),""^Sell_""),INDEX(FILTER(T$4:T97,Q$4:Q97&lt;&gt;""""),ROWS(FILTER(Q$4:Q97,Q$4:Q97&lt;&gt;""""))),$AD$5+S98))"),27885.8)</f>
        <v>27885.8</v>
      </c>
      <c r="U98" s="10">
        <f>IFERROR(__xludf.DUMMYFUNCTION("IF(COUNTA(Q98:Q1673)=0,"""",IF(Q98="""",0,IF(REGEXMATCH(Q98,""^Sell_""),-ROUNDDOWN(ROUNDUP(INDEX(Upgrades!$C$3:$C$13,MATCH(SUBSTITUTE(Q98,""Sell_"",""""),Upgrades!$B$3:$B$13,0))*1.15^(COUNTIF(Q$4:Q97,SUBSTITUTE(Q98,""Sell_"",""""))-COUNTIF(Q$4:Q97,""Sell_"&amp;"""&amp;SUBSTITUTE(Q98,""Sell_"",""""))))/2),ROUNDUP(INDEX(Upgrades!$C$3:$C$13,MATCH(Q98,Upgrades!$B$3:$B$13,0))*1.15^(COUNTIF(Q$4:Q97,Q98)-COUNTIF(Q$4:Q97,""Sell_""&amp;Q98))))))"),52900.0)</f>
        <v>52900</v>
      </c>
      <c r="V98" s="10">
        <f t="shared" si="11"/>
        <v>52900</v>
      </c>
      <c r="W98" s="68">
        <f t="shared" si="12"/>
        <v>3160.097988</v>
      </c>
      <c r="X98" s="59" t="str">
        <f t="shared" si="13"/>
        <v>52m 40s</v>
      </c>
      <c r="Y98" s="69">
        <f t="shared" si="14"/>
        <v>9628346</v>
      </c>
      <c r="Z98" s="11"/>
    </row>
    <row r="99">
      <c r="A99" s="8"/>
      <c r="B99" s="56">
        <f t="shared" si="2"/>
        <v>10</v>
      </c>
      <c r="C99" s="57" t="s">
        <v>6</v>
      </c>
      <c r="D99" s="10" t="b">
        <f>IFERROR(__xludf.DUMMYFUNCTION("IF(COUNTA(C99:C1673)=0,"""",IF(ISBLANK(C99),FALSE,IF(NOT(COUNTIF($AA$24:$AA$34,SUBSTITUTE(C99,""Sell_"",""""))),1,IF(REGEXMATCH(C99,""Sell_""),IF(COUNTIF(C$4:C99,SUBSTITUTE(C99,""Sell_"",""""))-COUNTIF(C$4:C98,C99)&lt;1,1),FALSE))))"),FALSE)</f>
        <v>0</v>
      </c>
      <c r="E99" s="59">
        <f t="array" ref="E99">IF(COUNTA(C99:C1673)=0,"",SUM((COUNTIF(C$4:C99,Upgrades!$B$3:$B$13)-COUNTIF(C$4:C99,"Sell_"&amp;Upgrades!$B$3:$B$13))*Upgrades!$D$3:$D$13))</f>
        <v>70371.5</v>
      </c>
      <c r="F99" s="66">
        <f>IFERROR(__xludf.DUMMYFUNCTION("IF(COUNTA(C99:C1673)=0,"""",IF(REGEXMATCH(INDEX(FILTER(C$4:C99,C$4:C99&lt;&gt;""""),ROWS(FILTER(C$4:C99,C$4:C99&lt;&gt;""""))),""^Sell_""),INDEX(FILTER(F$4:F98,C$4:C98&lt;&gt;""""),ROWS(FILTER(C$4:C98,C$4:C98&lt;&gt;""""))),$AC$5+E99))"),70386.5)</f>
        <v>70386.5</v>
      </c>
      <c r="G99" s="10">
        <f>IFERROR(__xludf.DUMMYFUNCTION("IF(COUNTA(C99:C1673)=0,"""",IF(C99="""",0,IF(REGEXMATCH(C99,""^Sell_""),-ROUNDDOWN(ROUNDUP(INDEX(Upgrades!$C$3:$C$13,MATCH(SUBSTITUTE(C99,""Sell_"",""""),Upgrades!$B$3:$B$13,0))*1.15^(COUNTIF(C$4:C98,SUBSTITUTE(C99,""Sell_"",""""))-COUNTIF(C$4:C98,""Sell_"&amp;"""&amp;SUBSTITUTE(C99,""Sell_"",""""))))/2),ROUNDUP(INDEX(Upgrades!$C$3:$C$13,MATCH(C99,Upgrades!$B$3:$B$13,0))*1.15^(COUNTIF(C$4:C98,C99)-COUNTIF(C$4:C98,""Sell_""&amp;C99))))))"),10554.0)</f>
        <v>10554</v>
      </c>
      <c r="H99" s="10">
        <f t="shared" si="3"/>
        <v>10554</v>
      </c>
      <c r="I99" s="68">
        <f t="shared" si="4"/>
        <v>3866.463359</v>
      </c>
      <c r="J99" s="59" t="str">
        <f t="shared" si="5"/>
        <v>1h 04m 26s</v>
      </c>
      <c r="K99" s="69">
        <f t="shared" si="6"/>
        <v>36612093</v>
      </c>
      <c r="L99" s="60">
        <f t="shared" si="7"/>
        <v>-109.98639</v>
      </c>
      <c r="M99" s="61">
        <f>IFERROR(__xludf.DUMMYFUNCTION("IFS(AND(COUNTA(C99:C1673)=0,COUNTA(Q99:Q1673)=0),"""",OR(AND(K99&gt;=1000000000,OR(Y99&gt;=1000000000,COUNTA(Q99:Q1673)=0)),OR(Y99&gt;=1000000000,AND(COUNTA(C99:C1673)=0,P$3=TRUE))),
ROUNDDOWN((AB$1-AC$1)*MAX(INDEX(T$4:T1673,MATCH(LARGE(FILTER(Y$4:Y1673,Y$4:Y1673&lt;"&amp;"1000000000),1),Y$4:Y1673)),INDEX(F$4:F1673,MATCH(LARGE(FILTER(K$4:K1673,K$4:K1673&lt;1000000000),1),K$4:K1673)))),AND(K99&lt;1000000000,COUNTA(C99:C1673)&gt;0,P$3=FALSE),
ROUNDDOWN(INDEX(Y$4:Y1673,MATCH(LARGE(FILTER(W$4:W1673,W$4:W1673&lt;=I99),1),W$4:W1673))+(I99-LA"&amp;"RGE(FILTER(W$4:W1673,W$4:W1673&lt;=I99),1))*INDEX(T$4:T1673,MATCH(LARGE(FILTER(W$4:W1673,W$4:W1673&lt;=I99),1),W$4:W1673))-K99),1,
ROUNDDOWN(Y99-INDEX(K$4:K1673,MATCH(LARGE(FILTER(I$4:I1673,I$4:I1673&lt;=W99),1),I$4:I1673))-(W99-LARGE(FILTER(I$4:I1673,I$4:I1673&lt;=W"&amp;"99),1))*INDEX(F$4:F1673,MATCH(LARGE(FILTER(I$4:I1673,I$4:I1673&lt;=W99),1),I$4:I1673))))"),7784245.0)</f>
        <v>7784245</v>
      </c>
      <c r="N99" s="60">
        <f t="shared" si="8"/>
        <v>-109.98639</v>
      </c>
      <c r="O99" s="61" t="str">
        <f t="shared" si="9"/>
        <v>7,8M</v>
      </c>
      <c r="P99" s="56">
        <f t="shared" si="10"/>
        <v>5</v>
      </c>
      <c r="Q99" s="67" t="s">
        <v>10</v>
      </c>
      <c r="R99" s="10" t="b">
        <f>IFERROR(__xludf.DUMMYFUNCTION("IF(COUNTA(Q99:Q1673)=0,"""",IF(ISBLANK(Q99),FALSE,IF(NOT(COUNTIF($AA$24:$AA$34,SUBSTITUTE(Q99,""Sell_"",""""))),1,IF(REGEXMATCH(Q99,""Sell_""),IF(COUNTIF(Q$4:Q99,SUBSTITUTE(Q99,""Sell_"",""""))-COUNTIF(Q$4:Q98,Q99)&lt;1,1),FALSE))))"),FALSE)</f>
        <v>0</v>
      </c>
      <c r="S99" s="59">
        <f t="array" ref="S99">IF(COUNTA(Q99:Q1673)=0,"",SUM((COUNTIF(Q$4:Q99,Upgrades!$B$3:$B$13)-COUNTIF(Q$4:Q99,"Sell_"&amp;Upgrades!$B$3:$B$13))*Upgrades!$D$3:$D$13))</f>
        <v>34536.8</v>
      </c>
      <c r="T99" s="66">
        <f>IFERROR(__xludf.DUMMYFUNCTION("IF(COUNTA(Q99:Q1673)=0,"""",IF(REGEXMATCH(INDEX(FILTER(Q$4:Q99,Q$4:Q99&lt;&gt;""""),ROWS(FILTER(Q$4:Q99,Q$4:Q99&lt;&gt;""""))),""^Sell_""),INDEX(FILTER(T$4:T98,Q$4:Q98&lt;&gt;""""),ROWS(FILTER(Q$4:Q98,Q$4:Q98&lt;&gt;""""))),$AD$5+S99))"),34551.8)</f>
        <v>34551.8</v>
      </c>
      <c r="U99" s="10">
        <f>IFERROR(__xludf.DUMMYFUNCTION("IF(COUNTA(Q99:Q1673)=0,"""",IF(Q99="""",0,IF(REGEXMATCH(Q99,""^Sell_""),-ROUNDDOWN(ROUNDUP(INDEX(Upgrades!$C$3:$C$13,MATCH(SUBSTITUTE(Q99,""Sell_"",""""),Upgrades!$B$3:$B$13,0))*1.15^(COUNTIF(Q$4:Q98,SUBSTITUTE(Q99,""Sell_"",""""))-COUNTIF(Q$4:Q98,""Sell_"&amp;"""&amp;SUBSTITUTE(Q99,""Sell_"",""""))))/2),ROUNDUP(INDEX(Upgrades!$C$3:$C$13,MATCH(Q99,Upgrades!$B$3:$B$13,0))*1.15^(COUNTIF(Q$4:Q98,Q99)-COUNTIF(Q$4:Q98,""Sell_""&amp;Q99))))))"),2915010.0)</f>
        <v>2915010</v>
      </c>
      <c r="V99" s="10">
        <f t="shared" si="11"/>
        <v>2915010</v>
      </c>
      <c r="W99" s="68">
        <f t="shared" si="12"/>
        <v>3264.631837</v>
      </c>
      <c r="X99" s="59" t="str">
        <f t="shared" si="13"/>
        <v>54m 24s</v>
      </c>
      <c r="Y99" s="69">
        <f t="shared" si="14"/>
        <v>12543356</v>
      </c>
      <c r="Z99" s="11"/>
    </row>
    <row r="100">
      <c r="A100" s="8"/>
      <c r="B100" s="56">
        <f t="shared" si="2"/>
        <v>8</v>
      </c>
      <c r="C100" s="57" t="s">
        <v>8</v>
      </c>
      <c r="D100" s="10" t="b">
        <f>IFERROR(__xludf.DUMMYFUNCTION("IF(COUNTA(C100:C1673)=0,"""",IF(ISBLANK(C100),FALSE,IF(NOT(COUNTIF($AA$24:$AA$34,SUBSTITUTE(C100,""Sell_"",""""))),1,IF(REGEXMATCH(C100,""Sell_""),IF(COUNTIF(C$4:C100,SUBSTITUTE(C100,""Sell_"",""""))-COUNTIF(C$4:C99,C100)&lt;1,1),FALSE))))"),FALSE)</f>
        <v>0</v>
      </c>
      <c r="E100" s="59">
        <f t="array" ref="E100">IF(COUNTA(C100:C1673)=0,"",SUM((COUNTIF(C$4:C100,Upgrades!$B$3:$B$13)-COUNTIF(C$4:C100,"Sell_"&amp;Upgrades!$B$3:$B$13))*Upgrades!$D$3:$D$13))</f>
        <v>70471.5</v>
      </c>
      <c r="F100" s="66">
        <f>IFERROR(__xludf.DUMMYFUNCTION("IF(COUNTA(C100:C1673)=0,"""",IF(REGEXMATCH(INDEX(FILTER(C$4:C100,C$4:C100&lt;&gt;""""),ROWS(FILTER(C$4:C100,C$4:C100&lt;&gt;""""))),""^Sell_""),INDEX(FILTER(F$4:F99,C$4:C99&lt;&gt;""""),ROWS(FILTER(C$4:C99,C$4:C99&lt;&gt;""""))),$AC$5+E100))"),70486.5)</f>
        <v>70486.5</v>
      </c>
      <c r="G100" s="10">
        <f>IFERROR(__xludf.DUMMYFUNCTION("IF(COUNTA(C100:C1673)=0,"""",IF(C100="""",0,IF(REGEXMATCH(C100,""^Sell_""),-ROUNDDOWN(ROUNDUP(INDEX(Upgrades!$C$3:$C$13,MATCH(SUBSTITUTE(C100,""Sell_"",""""),Upgrades!$B$3:$B$13,0))*1.15^(COUNTIF(C$4:C99,SUBSTITUTE(C100,""Sell_"",""""))-COUNTIF(C$4:C99,"""&amp;"Sell_""&amp;SUBSTITUTE(C100,""Sell_"",""""))))/2),ROUNDUP(INDEX(Upgrades!$C$3:$C$13,MATCH(C100,Upgrades!$B$3:$B$13,0))*1.15^(COUNTIF(C$4:C99,C100)-COUNTIF(C$4:C99,""Sell_""&amp;C100))))))"),106401.0)</f>
        <v>106401</v>
      </c>
      <c r="H100" s="10">
        <f t="shared" si="3"/>
        <v>106401</v>
      </c>
      <c r="I100" s="68">
        <f t="shared" si="4"/>
        <v>3867.975026</v>
      </c>
      <c r="J100" s="59" t="str">
        <f t="shared" si="5"/>
        <v>1h 04m 27s</v>
      </c>
      <c r="K100" s="69">
        <f t="shared" si="6"/>
        <v>36718494</v>
      </c>
      <c r="L100" s="60">
        <f t="shared" si="7"/>
        <v>-109.9304</v>
      </c>
      <c r="M100" s="61">
        <f>IFERROR(__xludf.DUMMYFUNCTION("IFS(AND(COUNTA(C100:C1673)=0,COUNTA(Q100:Q1673)=0),"""",OR(AND(K100&gt;=1000000000,OR(Y100&gt;=1000000000,COUNTA(Q100:Q1673)=0)),OR(Y100&gt;=1000000000,AND(COUNTA(C100:C1673)=0,P$3=TRUE))),
ROUNDDOWN((AB$1-AC$1)*MAX(INDEX(T$4:T1673,MATCH(LARGE(FILTER(Y$4:Y1673,Y$4"&amp;":Y1673&lt;1000000000),1),Y$4:Y1673)),INDEX(F$4:F1673,MATCH(LARGE(FILTER(K$4:K1673,K$4:K1673&lt;1000000000),1),K$4:K1673)))),AND(K100&lt;1000000000,COUNTA(C100:C1673)&gt;0,P$3=FALSE),
ROUNDDOWN(INDEX(Y$4:Y1673,MATCH(LARGE(FILTER(W$4:W1673,W$4:W1673&lt;=I100),1),W$4:W1673"&amp;"))+(I100-LARGE(FILTER(W$4:W1673,W$4:W1673&lt;=I100),1))*INDEX(T$4:T1673,MATCH(LARGE(FILTER(W$4:W1673,W$4:W1673&lt;=I100),1),W$4:W1673))-K100),1,
ROUNDDOWN(Y100-INDEX(K$4:K1673,MATCH(LARGE(FILTER(I$4:I1673,I$4:I1673&lt;=W100),1),I$4:I1673))-(W100-LARGE(FILTER(I$4:I"&amp;"1673,I$4:I1673&lt;=W100),1))*INDEX(F$4:F1673,MATCH(LARGE(FILTER(I$4:I1673,I$4:I1673&lt;=W100),1),I$4:I1673))))"),7795031.0)</f>
        <v>7795031</v>
      </c>
      <c r="N100" s="60">
        <f t="shared" si="8"/>
        <v>-109.9304</v>
      </c>
      <c r="O100" s="61" t="str">
        <f t="shared" si="9"/>
        <v>7,8M</v>
      </c>
      <c r="P100" s="56">
        <f t="shared" si="10"/>
        <v>2</v>
      </c>
      <c r="Q100" s="67" t="s">
        <v>9</v>
      </c>
      <c r="R100" s="10" t="b">
        <f>IFERROR(__xludf.DUMMYFUNCTION("IF(COUNTA(Q100:Q1673)=0,"""",IF(ISBLANK(Q100),FALSE,IF(NOT(COUNTIF($AA$24:$AA$34,SUBSTITUTE(Q100,""Sell_"",""""))),1,IF(REGEXMATCH(Q100,""Sell_""),IF(COUNTIF(Q$4:Q100,SUBSTITUTE(Q100,""Sell_"",""""))-COUNTIF(Q$4:Q99,Q100)&lt;1,1),FALSE))))"),FALSE)</f>
        <v>0</v>
      </c>
      <c r="S100" s="59">
        <f t="array" ref="S100">IF(COUNTA(Q100:Q1673)=0,"",SUM((COUNTIF(Q$4:Q100,Upgrades!$B$3:$B$13)-COUNTIF(Q$4:Q100,"Sell_"&amp;Upgrades!$B$3:$B$13))*Upgrades!$D$3:$D$13))</f>
        <v>34936.8</v>
      </c>
      <c r="T100" s="66">
        <f>IFERROR(__xludf.DUMMYFUNCTION("IF(COUNTA(Q100:Q1673)=0,"""",IF(REGEXMATCH(INDEX(FILTER(Q$4:Q100,Q$4:Q100&lt;&gt;""""),ROWS(FILTER(Q$4:Q100,Q$4:Q100&lt;&gt;""""))),""^Sell_""),INDEX(FILTER(T$4:T99,Q$4:Q99&lt;&gt;""""),ROWS(FILTER(Q$4:Q99,Q$4:Q99&lt;&gt;""""))),$AD$5+S100))"),34951.8)</f>
        <v>34951.8</v>
      </c>
      <c r="U100" s="10">
        <f>IFERROR(__xludf.DUMMYFUNCTION("IF(COUNTA(Q100:Q1673)=0,"""",IF(Q100="""",0,IF(REGEXMATCH(Q100,""^Sell_""),-ROUNDDOWN(ROUNDUP(INDEX(Upgrades!$C$3:$C$13,MATCH(SUBSTITUTE(Q100,""Sell_"",""""),Upgrades!$B$3:$B$13,0))*1.15^(COUNTIF(Q$4:Q99,SUBSTITUTE(Q100,""Sell_"",""""))-COUNTIF(Q$4:Q99,"""&amp;"Sell_""&amp;SUBSTITUTE(Q100,""Sell_"",""""))))/2),ROUNDUP(INDEX(Upgrades!$C$3:$C$13,MATCH(Q100,Upgrades!$B$3:$B$13,0))*1.15^(COUNTIF(Q$4:Q99,Q100)-COUNTIF(Q$4:Q99,""Sell_""&amp;Q100))))))"),230000.0)</f>
        <v>230000</v>
      </c>
      <c r="V100" s="10">
        <f t="shared" si="11"/>
        <v>230000</v>
      </c>
      <c r="W100" s="68">
        <f t="shared" si="12"/>
        <v>3271.288509</v>
      </c>
      <c r="X100" s="59" t="str">
        <f t="shared" si="13"/>
        <v>54m 31s</v>
      </c>
      <c r="Y100" s="69">
        <f t="shared" si="14"/>
        <v>12773356</v>
      </c>
      <c r="Z100" s="11"/>
    </row>
    <row r="101">
      <c r="A101" s="8"/>
      <c r="B101" s="56">
        <f t="shared" si="2"/>
        <v>13</v>
      </c>
      <c r="C101" s="57" t="s">
        <v>4</v>
      </c>
      <c r="D101" s="10" t="b">
        <f>IFERROR(__xludf.DUMMYFUNCTION("IF(COUNTA(C101:C1673)=0,"""",IF(ISBLANK(C101),FALSE,IF(NOT(COUNTIF($AA$24:$AA$34,SUBSTITUTE(C101,""Sell_"",""""))),1,IF(REGEXMATCH(C101,""Sell_""),IF(COUNTIF(C$4:C101,SUBSTITUTE(C101,""Sell_"",""""))-COUNTIF(C$4:C100,C101)&lt;1,1),FALSE))))"),FALSE)</f>
        <v>0</v>
      </c>
      <c r="E101" s="59">
        <f t="array" ref="E101">IF(COUNTA(C101:C1673)=0,"",SUM((COUNTIF(C$4:C101,Upgrades!$B$3:$B$13)-COUNTIF(C$4:C101,"Sell_"&amp;Upgrades!$B$3:$B$13))*Upgrades!$D$3:$D$13))</f>
        <v>70472</v>
      </c>
      <c r="F101" s="66">
        <f>IFERROR(__xludf.DUMMYFUNCTION("IF(COUNTA(C101:C1673)=0,"""",IF(REGEXMATCH(INDEX(FILTER(C$4:C101,C$4:C101&lt;&gt;""""),ROWS(FILTER(C$4:C101,C$4:C101&lt;&gt;""""))),""^Sell_""),INDEX(FILTER(F$4:F100,C$4:C100&lt;&gt;""""),ROWS(FILTER(C$4:C100,C$4:C100&lt;&gt;""""))),$AC$5+E101))"),70487.0)</f>
        <v>70487</v>
      </c>
      <c r="G101" s="10">
        <f>IFERROR(__xludf.DUMMYFUNCTION("IF(COUNTA(C101:C1673)=0,"""",IF(C101="""",0,IF(REGEXMATCH(C101,""^Sell_""),-ROUNDDOWN(ROUNDUP(INDEX(Upgrades!$C$3:$C$13,MATCH(SUBSTITUTE(C101,""Sell_"",""""),Upgrades!$B$3:$B$13,0))*1.15^(COUNTIF(C$4:C100,SUBSTITUTE(C101,""Sell_"",""""))-COUNTIF(C$4:C100,"&amp;"""Sell_""&amp;SUBSTITUTE(C101,""Sell_"",""""))))/2),ROUNDUP(INDEX(Upgrades!$C$3:$C$13,MATCH(C101,Upgrades!$B$3:$B$13,0))*1.15^(COUNTIF(C$4:C100,C101)-COUNTIF(C$4:C100,""Sell_""&amp;C101))))))"),536.0)</f>
        <v>536</v>
      </c>
      <c r="H101" s="10">
        <f t="shared" si="3"/>
        <v>536</v>
      </c>
      <c r="I101" s="68">
        <f t="shared" si="4"/>
        <v>3867.982631</v>
      </c>
      <c r="J101" s="59" t="str">
        <f t="shared" si="5"/>
        <v>1h 04m 27s</v>
      </c>
      <c r="K101" s="69">
        <f t="shared" si="6"/>
        <v>36719030</v>
      </c>
      <c r="L101" s="60">
        <f t="shared" si="7"/>
        <v>-109.93034</v>
      </c>
      <c r="M101" s="61">
        <f>IFERROR(__xludf.DUMMYFUNCTION("IFS(AND(COUNTA(C101:C1673)=0,COUNTA(Q101:Q1673)=0),"""",OR(AND(K101&gt;=1000000000,OR(Y101&gt;=1000000000,COUNTA(Q101:Q1673)=0)),OR(Y101&gt;=1000000000,AND(COUNTA(C101:C1673)=0,P$3=TRUE))),
ROUNDDOWN((AB$1-AC$1)*MAX(INDEX(T$4:T1673,MATCH(LARGE(FILTER(Y$4:Y1673,Y$4"&amp;":Y1673&lt;1000000000),1),Y$4:Y1673)),INDEX(F$4:F1673,MATCH(LARGE(FILTER(K$4:K1673,K$4:K1673&lt;1000000000),1),K$4:K1673)))),AND(K101&lt;1000000000,COUNTA(C101:C1673)&gt;0,P$3=FALSE),
ROUNDDOWN(INDEX(Y$4:Y1673,MATCH(LARGE(FILTER(W$4:W1673,W$4:W1673&lt;=I101),1),W$4:W1673"&amp;"))+(I101-LARGE(FILTER(W$4:W1673,W$4:W1673&lt;=I101),1))*INDEX(T$4:T1673,MATCH(LARGE(FILTER(W$4:W1673,W$4:W1673&lt;=I101),1),W$4:W1673))-K101),1,
ROUNDDOWN(Y101-INDEX(K$4:K1673,MATCH(LARGE(FILTER(I$4:I1673,I$4:I1673&lt;=W101),1),I$4:I1673))-(W101-LARGE(FILTER(I$4:I"&amp;"1673,I$4:I1673&lt;=W101),1))*INDEX(F$4:F1673,MATCH(LARGE(FILTER(I$4:I1673,I$4:I1673&lt;=W101),1),I$4:I1673))))"),7795085.0)</f>
        <v>7795085</v>
      </c>
      <c r="N101" s="60">
        <f t="shared" si="8"/>
        <v>-109.93034</v>
      </c>
      <c r="O101" s="61" t="str">
        <f t="shared" si="9"/>
        <v>7,8M</v>
      </c>
      <c r="P101" s="56">
        <f t="shared" si="10"/>
        <v>6</v>
      </c>
      <c r="Q101" s="67" t="s">
        <v>10</v>
      </c>
      <c r="R101" s="10" t="b">
        <f>IFERROR(__xludf.DUMMYFUNCTION("IF(COUNTA(Q101:Q1673)=0,"""",IF(ISBLANK(Q101),FALSE,IF(NOT(COUNTIF($AA$24:$AA$34,SUBSTITUTE(Q101,""Sell_"",""""))),1,IF(REGEXMATCH(Q101,""Sell_""),IF(COUNTIF(Q$4:Q101,SUBSTITUTE(Q101,""Sell_"",""""))-COUNTIF(Q$4:Q100,Q101)&lt;1,1),FALSE))))"),FALSE)</f>
        <v>0</v>
      </c>
      <c r="S101" s="59">
        <f t="array" ref="S101">IF(COUNTA(Q101:Q1673)=0,"",SUM((COUNTIF(Q$4:Q101,Upgrades!$B$3:$B$13)-COUNTIF(Q$4:Q101,"Sell_"&amp;Upgrades!$B$3:$B$13))*Upgrades!$D$3:$D$13))</f>
        <v>41602.8</v>
      </c>
      <c r="T101" s="66">
        <f>IFERROR(__xludf.DUMMYFUNCTION("IF(COUNTA(Q101:Q1673)=0,"""",IF(REGEXMATCH(INDEX(FILTER(Q$4:Q101,Q$4:Q101&lt;&gt;""""),ROWS(FILTER(Q$4:Q101,Q$4:Q101&lt;&gt;""""))),""^Sell_""),INDEX(FILTER(T$4:T100,Q$4:Q100&lt;&gt;""""),ROWS(FILTER(Q$4:Q100,Q$4:Q100&lt;&gt;""""))),$AD$5+S101))"),41617.8)</f>
        <v>41617.8</v>
      </c>
      <c r="U101" s="10">
        <f>IFERROR(__xludf.DUMMYFUNCTION("IF(COUNTA(Q101:Q1673)=0,"""",IF(Q101="""",0,IF(REGEXMATCH(Q101,""^Sell_""),-ROUNDDOWN(ROUNDUP(INDEX(Upgrades!$C$3:$C$13,MATCH(SUBSTITUTE(Q101,""Sell_"",""""),Upgrades!$B$3:$B$13,0))*1.15^(COUNTIF(Q$4:Q100,SUBSTITUTE(Q101,""Sell_"",""""))-COUNTIF(Q$4:Q100,"&amp;"""Sell_""&amp;SUBSTITUTE(Q101,""Sell_"",""""))))/2),ROUNDUP(INDEX(Upgrades!$C$3:$C$13,MATCH(Q101,Upgrades!$B$3:$B$13,0))*1.15^(COUNTIF(Q$4:Q100,Q101)-COUNTIF(Q$4:Q100,""Sell_""&amp;Q101))))))"),3352261.0)</f>
        <v>3352261</v>
      </c>
      <c r="V101" s="10">
        <f t="shared" si="11"/>
        <v>3352261</v>
      </c>
      <c r="W101" s="68">
        <f t="shared" si="12"/>
        <v>3367.199478</v>
      </c>
      <c r="X101" s="59" t="str">
        <f t="shared" si="13"/>
        <v>56m 07s</v>
      </c>
      <c r="Y101" s="69">
        <f t="shared" si="14"/>
        <v>16125617</v>
      </c>
      <c r="Z101" s="11"/>
    </row>
    <row r="102">
      <c r="A102" s="8"/>
      <c r="B102" s="56">
        <f t="shared" si="2"/>
        <v>11</v>
      </c>
      <c r="C102" s="57" t="s">
        <v>10</v>
      </c>
      <c r="D102" s="10" t="b">
        <f>IFERROR(__xludf.DUMMYFUNCTION("IF(COUNTA(C102:C1673)=0,"""",IF(ISBLANK(C102),FALSE,IF(NOT(COUNTIF($AA$24:$AA$34,SUBSTITUTE(C102,""Sell_"",""""))),1,IF(REGEXMATCH(C102,""Sell_""),IF(COUNTIF(C$4:C102,SUBSTITUTE(C102,""Sell_"",""""))-COUNTIF(C$4:C101,C102)&lt;1,1),FALSE))))"),FALSE)</f>
        <v>0</v>
      </c>
      <c r="E102" s="59">
        <f t="array" ref="E102">IF(COUNTA(C102:C1673)=0,"",SUM((COUNTIF(C$4:C102,Upgrades!$B$3:$B$13)-COUNTIF(C$4:C102,"Sell_"&amp;Upgrades!$B$3:$B$13))*Upgrades!$D$3:$D$13))</f>
        <v>77138</v>
      </c>
      <c r="F102" s="66">
        <f>IFERROR(__xludf.DUMMYFUNCTION("IF(COUNTA(C102:C1673)=0,"""",IF(REGEXMATCH(INDEX(FILTER(C$4:C102,C$4:C102&lt;&gt;""""),ROWS(FILTER(C$4:C102,C$4:C102&lt;&gt;""""))),""^Sell_""),INDEX(FILTER(F$4:F101,C$4:C101&lt;&gt;""""),ROWS(FILTER(C$4:C101,C$4:C101&lt;&gt;""""))),$AC$5+E102))"),77153.0)</f>
        <v>77153</v>
      </c>
      <c r="G102" s="10">
        <f>IFERROR(__xludf.DUMMYFUNCTION("IF(COUNTA(C102:C1673)=0,"""",IF(C102="""",0,IF(REGEXMATCH(C102,""^Sell_""),-ROUNDDOWN(ROUNDUP(INDEX(Upgrades!$C$3:$C$13,MATCH(SUBSTITUTE(C102,""Sell_"",""""),Upgrades!$B$3:$B$13,0))*1.15^(COUNTIF(C$4:C101,SUBSTITUTE(C102,""Sell_"",""""))-COUNTIF(C$4:C101,"&amp;"""Sell_""&amp;SUBSTITUTE(C102,""Sell_"",""""))))/2),ROUNDUP(INDEX(Upgrades!$C$3:$C$13,MATCH(C102,Upgrades!$B$3:$B$13,0))*1.15^(COUNTIF(C$4:C101,C102)-COUNTIF(C$4:C101,""Sell_""&amp;C102))))))"),6742594.0)</f>
        <v>6742594</v>
      </c>
      <c r="H102" s="10">
        <f t="shared" si="3"/>
        <v>6742594</v>
      </c>
      <c r="I102" s="68">
        <f t="shared" si="4"/>
        <v>3963.639901</v>
      </c>
      <c r="J102" s="59" t="str">
        <f t="shared" si="5"/>
        <v>1h 06m 03s</v>
      </c>
      <c r="K102" s="69">
        <f t="shared" si="6"/>
        <v>43461624</v>
      </c>
      <c r="L102" s="60">
        <f t="shared" si="7"/>
        <v>-109.88991</v>
      </c>
      <c r="M102" s="61">
        <f>IFERROR(__xludf.DUMMYFUNCTION("IFS(AND(COUNTA(C102:C1673)=0,COUNTA(Q102:Q1673)=0),"""",OR(AND(K102&gt;=1000000000,OR(Y102&gt;=1000000000,COUNTA(Q102:Q1673)=0)),OR(Y102&gt;=1000000000,AND(COUNTA(C102:C1673)=0,P$3=TRUE))),
ROUNDDOWN((AB$1-AC$1)*MAX(INDEX(T$4:T1673,MATCH(LARGE(FILTER(Y$4:Y1673,Y$4"&amp;":Y1673&lt;1000000000),1),Y$4:Y1673)),INDEX(F$4:F1673,MATCH(LARGE(FILTER(K$4:K1673,K$4:K1673&lt;1000000000),1),K$4:K1673)))),AND(K102&lt;1000000000,COUNTA(C102:C1673)&gt;0,P$3=FALSE),
ROUNDDOWN(INDEX(Y$4:Y1673,MATCH(LARGE(FILTER(W$4:W1673,W$4:W1673&lt;=I102),1),W$4:W1673"&amp;"))+(I102-LARGE(FILTER(W$4:W1673,W$4:W1673&lt;=I102),1))*INDEX(T$4:T1673,MATCH(LARGE(FILTER(W$4:W1673,W$4:W1673&lt;=I102),1),W$4:W1673))-K102),1,
ROUNDDOWN(Y102-INDEX(K$4:K1673,MATCH(LARGE(FILTER(I$4:I1673,I$4:I1673&lt;=W102),1),I$4:I1673))-(W102-LARGE(FILTER(I$4:I"&amp;"1673,I$4:I1673&lt;=W102),1))*INDEX(F$4:F1673,MATCH(LARGE(FILTER(I$4:I1673,I$4:I1673&lt;=W102),1),I$4:I1673))))"),8485679.0)</f>
        <v>8485679</v>
      </c>
      <c r="N102" s="60">
        <f t="shared" si="8"/>
        <v>-109.88991</v>
      </c>
      <c r="O102" s="61" t="str">
        <f t="shared" si="9"/>
        <v>8,5M</v>
      </c>
      <c r="P102" s="56">
        <f t="shared" si="10"/>
        <v>4</v>
      </c>
      <c r="Q102" s="67" t="s">
        <v>8</v>
      </c>
      <c r="R102" s="10" t="b">
        <f>IFERROR(__xludf.DUMMYFUNCTION("IF(COUNTA(Q102:Q1673)=0,"""",IF(ISBLANK(Q102),FALSE,IF(NOT(COUNTIF($AA$24:$AA$34,SUBSTITUTE(Q102,""Sell_"",""""))),1,IF(REGEXMATCH(Q102,""Sell_""),IF(COUNTIF(Q$4:Q102,SUBSTITUTE(Q102,""Sell_"",""""))-COUNTIF(Q$4:Q101,Q102)&lt;1,1),FALSE))))"),FALSE)</f>
        <v>0</v>
      </c>
      <c r="S102" s="59">
        <f t="array" ref="S102">IF(COUNTA(Q102:Q1673)=0,"",SUM((COUNTIF(Q$4:Q102,Upgrades!$B$3:$B$13)-COUNTIF(Q$4:Q102,"Sell_"&amp;Upgrades!$B$3:$B$13))*Upgrades!$D$3:$D$13))</f>
        <v>41702.8</v>
      </c>
      <c r="T102" s="66">
        <f>IFERROR(__xludf.DUMMYFUNCTION("IF(COUNTA(Q102:Q1673)=0,"""",IF(REGEXMATCH(INDEX(FILTER(Q$4:Q102,Q$4:Q102&lt;&gt;""""),ROWS(FILTER(Q$4:Q102,Q$4:Q102&lt;&gt;""""))),""^Sell_""),INDEX(FILTER(T$4:T101,Q$4:Q101&lt;&gt;""""),ROWS(FILTER(Q$4:Q101,Q$4:Q101&lt;&gt;""""))),$AD$5+S102))"),41717.8)</f>
        <v>41717.8</v>
      </c>
      <c r="U102" s="10">
        <f>IFERROR(__xludf.DUMMYFUNCTION("IF(COUNTA(Q102:Q1673)=0,"""",IF(Q102="""",0,IF(REGEXMATCH(Q102,""^Sell_""),-ROUNDDOWN(ROUNDUP(INDEX(Upgrades!$C$3:$C$13,MATCH(SUBSTITUTE(Q102,""Sell_"",""""),Upgrades!$B$3:$B$13,0))*1.15^(COUNTIF(Q$4:Q101,SUBSTITUTE(Q102,""Sell_"",""""))-COUNTIF(Q$4:Q101,"&amp;"""Sell_""&amp;SUBSTITUTE(Q102,""Sell_"",""""))))/2),ROUNDUP(INDEX(Upgrades!$C$3:$C$13,MATCH(Q102,Upgrades!$B$3:$B$13,0))*1.15^(COUNTIF(Q$4:Q101,Q102)-COUNTIF(Q$4:Q101,""Sell_""&amp;Q102))))))"),60835.0)</f>
        <v>60835</v>
      </c>
      <c r="V102" s="10">
        <f t="shared" si="11"/>
        <v>60835</v>
      </c>
      <c r="W102" s="68">
        <f t="shared" si="12"/>
        <v>3368.661232</v>
      </c>
      <c r="X102" s="59" t="str">
        <f t="shared" si="13"/>
        <v>56m 08s</v>
      </c>
      <c r="Y102" s="69">
        <f t="shared" si="14"/>
        <v>16186452</v>
      </c>
      <c r="Z102" s="11"/>
    </row>
    <row r="103">
      <c r="A103" s="8"/>
      <c r="B103" s="56">
        <f t="shared" si="2"/>
        <v>7</v>
      </c>
      <c r="C103" s="57" t="s">
        <v>9</v>
      </c>
      <c r="D103" s="10" t="b">
        <f>IFERROR(__xludf.DUMMYFUNCTION("IF(COUNTA(C103:C1673)=0,"""",IF(ISBLANK(C103),FALSE,IF(NOT(COUNTIF($AA$24:$AA$34,SUBSTITUTE(C103,""Sell_"",""""))),1,IF(REGEXMATCH(C103,""Sell_""),IF(COUNTIF(C$4:C103,SUBSTITUTE(C103,""Sell_"",""""))-COUNTIF(C$4:C102,C103)&lt;1,1),FALSE))))"),FALSE)</f>
        <v>0</v>
      </c>
      <c r="E103" s="59">
        <f t="array" ref="E103">IF(COUNTA(C103:C1673)=0,"",SUM((COUNTIF(C$4:C103,Upgrades!$B$3:$B$13)-COUNTIF(C$4:C103,"Sell_"&amp;Upgrades!$B$3:$B$13))*Upgrades!$D$3:$D$13))</f>
        <v>77538</v>
      </c>
      <c r="F103" s="66">
        <f>IFERROR(__xludf.DUMMYFUNCTION("IF(COUNTA(C103:C1673)=0,"""",IF(REGEXMATCH(INDEX(FILTER(C$4:C103,C$4:C103&lt;&gt;""""),ROWS(FILTER(C$4:C103,C$4:C103&lt;&gt;""""))),""^Sell_""),INDEX(FILTER(F$4:F102,C$4:C102&lt;&gt;""""),ROWS(FILTER(C$4:C102,C$4:C102&lt;&gt;""""))),$AC$5+E103))"),77553.0)</f>
        <v>77553</v>
      </c>
      <c r="G103" s="10">
        <f>IFERROR(__xludf.DUMMYFUNCTION("IF(COUNTA(C103:C1673)=0,"""",IF(C103="""",0,IF(REGEXMATCH(C103,""^Sell_""),-ROUNDDOWN(ROUNDUP(INDEX(Upgrades!$C$3:$C$13,MATCH(SUBSTITUTE(C103,""Sell_"",""""),Upgrades!$B$3:$B$13,0))*1.15^(COUNTIF(C$4:C102,SUBSTITUTE(C103,""Sell_"",""""))-COUNTIF(C$4:C102,"&amp;"""Sell_""&amp;SUBSTITUTE(C103,""Sell_"",""""))))/2),ROUNDUP(INDEX(Upgrades!$C$3:$C$13,MATCH(C103,Upgrades!$B$3:$B$13,0))*1.15^(COUNTIF(C$4:C102,C103)-COUNTIF(C$4:C102,""Sell_""&amp;C103))))))"),462613.0)</f>
        <v>462613</v>
      </c>
      <c r="H103" s="10">
        <f t="shared" si="3"/>
        <v>462613</v>
      </c>
      <c r="I103" s="68">
        <f t="shared" si="4"/>
        <v>3969.635948</v>
      </c>
      <c r="J103" s="59" t="str">
        <f t="shared" si="5"/>
        <v>1h 06m 09s</v>
      </c>
      <c r="K103" s="69">
        <f t="shared" si="6"/>
        <v>43924237</v>
      </c>
      <c r="L103" s="60">
        <f t="shared" si="7"/>
        <v>-109.32286</v>
      </c>
      <c r="M103" s="61">
        <f>IFERROR(__xludf.DUMMYFUNCTION("IFS(AND(COUNTA(C103:C1673)=0,COUNTA(Q103:Q1673)=0),"""",OR(AND(K103&gt;=1000000000,OR(Y103&gt;=1000000000,COUNTA(Q103:Q1673)=0)),OR(Y103&gt;=1000000000,AND(COUNTA(C103:C1673)=0,P$3=TRUE))),
ROUNDDOWN((AB$1-AC$1)*MAX(INDEX(T$4:T1673,MATCH(LARGE(FILTER(Y$4:Y1673,Y$4"&amp;":Y1673&lt;1000000000),1),Y$4:Y1673)),INDEX(F$4:F1673,MATCH(LARGE(FILTER(K$4:K1673,K$4:K1673&lt;1000000000),1),K$4:K1673)))),AND(K103&lt;1000000000,COUNTA(C103:C1673)&gt;0,P$3=FALSE),
ROUNDDOWN(INDEX(Y$4:Y1673,MATCH(LARGE(FILTER(W$4:W1673,W$4:W1673&lt;=I103),1),W$4:W1673"&amp;"))+(I103-LARGE(FILTER(W$4:W1673,W$4:W1673&lt;=I103),1))*INDEX(T$4:T1673,MATCH(LARGE(FILTER(W$4:W1673,W$4:W1673&lt;=I103),1),W$4:W1673))-K103),1,
ROUNDDOWN(Y103-INDEX(K$4:K1673,MATCH(LARGE(FILTER(I$4:I1673,I$4:I1673&lt;=W103),1),I$4:I1673))-(W103-LARGE(FILTER(I$4:I"&amp;"1673,I$4:I1673&lt;=W103),1))*INDEX(F$4:F1673,MATCH(LARGE(FILTER(I$4:I1673,I$4:I1673&lt;=W103),1),I$4:I1673))))"),8494192.0)</f>
        <v>8494192</v>
      </c>
      <c r="N103" s="60">
        <f t="shared" si="8"/>
        <v>-109.32286</v>
      </c>
      <c r="O103" s="61" t="str">
        <f t="shared" si="9"/>
        <v>8,5M</v>
      </c>
      <c r="P103" s="56">
        <f t="shared" si="10"/>
        <v>3</v>
      </c>
      <c r="Q103" s="67" t="s">
        <v>9</v>
      </c>
      <c r="R103" s="10" t="b">
        <f>IFERROR(__xludf.DUMMYFUNCTION("IF(COUNTA(Q103:Q1673)=0,"""",IF(ISBLANK(Q103),FALSE,IF(NOT(COUNTIF($AA$24:$AA$34,SUBSTITUTE(Q103,""Sell_"",""""))),1,IF(REGEXMATCH(Q103,""Sell_""),IF(COUNTIF(Q$4:Q103,SUBSTITUTE(Q103,""Sell_"",""""))-COUNTIF(Q$4:Q102,Q103)&lt;1,1),FALSE))))"),FALSE)</f>
        <v>0</v>
      </c>
      <c r="S103" s="59">
        <f t="array" ref="S103">IF(COUNTA(Q103:Q1673)=0,"",SUM((COUNTIF(Q$4:Q103,Upgrades!$B$3:$B$13)-COUNTIF(Q$4:Q103,"Sell_"&amp;Upgrades!$B$3:$B$13))*Upgrades!$D$3:$D$13))</f>
        <v>42102.8</v>
      </c>
      <c r="T103" s="66">
        <f>IFERROR(__xludf.DUMMYFUNCTION("IF(COUNTA(Q103:Q1673)=0,"""",IF(REGEXMATCH(INDEX(FILTER(Q$4:Q103,Q$4:Q103&lt;&gt;""""),ROWS(FILTER(Q$4:Q103,Q$4:Q103&lt;&gt;""""))),""^Sell_""),INDEX(FILTER(T$4:T102,Q$4:Q102&lt;&gt;""""),ROWS(FILTER(Q$4:Q102,Q$4:Q102&lt;&gt;""""))),$AD$5+S103))"),42117.8)</f>
        <v>42117.8</v>
      </c>
      <c r="U103" s="10">
        <f>IFERROR(__xludf.DUMMYFUNCTION("IF(COUNTA(Q103:Q1673)=0,"""",IF(Q103="""",0,IF(REGEXMATCH(Q103,""^Sell_""),-ROUNDDOWN(ROUNDUP(INDEX(Upgrades!$C$3:$C$13,MATCH(SUBSTITUTE(Q103,""Sell_"",""""),Upgrades!$B$3:$B$13,0))*1.15^(COUNTIF(Q$4:Q102,SUBSTITUTE(Q103,""Sell_"",""""))-COUNTIF(Q$4:Q102,"&amp;"""Sell_""&amp;SUBSTITUTE(Q103,""Sell_"",""""))))/2),ROUNDUP(INDEX(Upgrades!$C$3:$C$13,MATCH(Q103,Upgrades!$B$3:$B$13,0))*1.15^(COUNTIF(Q$4:Q102,Q103)-COUNTIF(Q$4:Q102,""Sell_""&amp;Q103))))))"),264500.0)</f>
        <v>264500</v>
      </c>
      <c r="V103" s="10">
        <f t="shared" si="11"/>
        <v>264500</v>
      </c>
      <c r="W103" s="68">
        <f t="shared" si="12"/>
        <v>3375.001451</v>
      </c>
      <c r="X103" s="59" t="str">
        <f t="shared" si="13"/>
        <v>56m 15s</v>
      </c>
      <c r="Y103" s="69">
        <f t="shared" si="14"/>
        <v>16450952</v>
      </c>
      <c r="Z103" s="11"/>
    </row>
    <row r="104">
      <c r="A104" s="8"/>
      <c r="B104" s="56">
        <f t="shared" si="2"/>
        <v>12</v>
      </c>
      <c r="C104" s="57" t="s">
        <v>7</v>
      </c>
      <c r="D104" s="10" t="b">
        <f>IFERROR(__xludf.DUMMYFUNCTION("IF(COUNTA(C104:C1673)=0,"""",IF(ISBLANK(C104),FALSE,IF(NOT(COUNTIF($AA$24:$AA$34,SUBSTITUTE(C104,""Sell_"",""""))),1,IF(REGEXMATCH(C104,""Sell_""),IF(COUNTIF(C$4:C104,SUBSTITUTE(C104,""Sell_"",""""))-COUNTIF(C$4:C103,C104)&lt;1,1),FALSE))))"),FALSE)</f>
        <v>0</v>
      </c>
      <c r="E104" s="59">
        <f t="array" ref="E104">IF(COUNTA(C104:C1673)=0,"",SUM((COUNTIF(C$4:C104,Upgrades!$B$3:$B$13)-COUNTIF(C$4:C104,"Sell_"&amp;Upgrades!$B$3:$B$13))*Upgrades!$D$3:$D$13))</f>
        <v>77578</v>
      </c>
      <c r="F104" s="66">
        <f>IFERROR(__xludf.DUMMYFUNCTION("IF(COUNTA(C104:C1673)=0,"""",IF(REGEXMATCH(INDEX(FILTER(C$4:C104,C$4:C104&lt;&gt;""""),ROWS(FILTER(C$4:C104,C$4:C104&lt;&gt;""""))),""^Sell_""),INDEX(FILTER(F$4:F103,C$4:C103&lt;&gt;""""),ROWS(FILTER(C$4:C103,C$4:C103&lt;&gt;""""))),$AC$5+E104))"),77593.0)</f>
        <v>77593</v>
      </c>
      <c r="G104" s="10">
        <f>IFERROR(__xludf.DUMMYFUNCTION("IF(COUNTA(C104:C1673)=0,"""",IF(C104="""",0,IF(REGEXMATCH(C104,""^Sell_""),-ROUNDDOWN(ROUNDUP(INDEX(Upgrades!$C$3:$C$13,MATCH(SUBSTITUTE(C104,""Sell_"",""""),Upgrades!$B$3:$B$13,0))*1.15^(COUNTIF(C$4:C103,SUBSTITUTE(C104,""Sell_"",""""))-COUNTIF(C$4:C103,"&amp;"""Sell_""&amp;SUBSTITUTE(C104,""Sell_"",""""))))/2),ROUNDUP(INDEX(Upgrades!$C$3:$C$13,MATCH(C104,Upgrades!$B$3:$B$13,0))*1.15^(COUNTIF(C$4:C103,C104)-COUNTIF(C$4:C103,""Sell_""&amp;C104))))))"),46524.0)</f>
        <v>46524</v>
      </c>
      <c r="H104" s="10">
        <f t="shared" si="3"/>
        <v>46524</v>
      </c>
      <c r="I104" s="68">
        <f t="shared" si="4"/>
        <v>3970.235847</v>
      </c>
      <c r="J104" s="59" t="str">
        <f t="shared" si="5"/>
        <v>1h 06m 10s</v>
      </c>
      <c r="K104" s="69">
        <f t="shared" si="6"/>
        <v>43970761</v>
      </c>
      <c r="L104" s="60">
        <f t="shared" si="7"/>
        <v>-109.2885</v>
      </c>
      <c r="M104" s="61">
        <f>IFERROR(__xludf.DUMMYFUNCTION("IFS(AND(COUNTA(C104:C1673)=0,COUNTA(Q104:Q1673)=0),"""",OR(AND(K104&gt;=1000000000,OR(Y104&gt;=1000000000,COUNTA(Q104:Q1673)=0)),OR(Y104&gt;=1000000000,AND(COUNTA(C104:C1673)=0,P$3=TRUE))),
ROUNDDOWN((AB$1-AC$1)*MAX(INDEX(T$4:T1673,MATCH(LARGE(FILTER(Y$4:Y1673,Y$4"&amp;":Y1673&lt;1000000000),1),Y$4:Y1673)),INDEX(F$4:F1673,MATCH(LARGE(FILTER(K$4:K1673,K$4:K1673&lt;1000000000),1),K$4:K1673)))),AND(K104&lt;1000000000,COUNTA(C104:C1673)&gt;0,P$3=FALSE),
ROUNDDOWN(INDEX(Y$4:Y1673,MATCH(LARGE(FILTER(W$4:W1673,W$4:W1673&lt;=I104),1),W$4:W1673"&amp;"))+(I104-LARGE(FILTER(W$4:W1673,W$4:W1673&lt;=I104),1))*INDEX(T$4:T1673,MATCH(LARGE(FILTER(W$4:W1673,W$4:W1673&lt;=I104),1),W$4:W1673))-K104),1,
ROUNDDOWN(Y104-INDEX(K$4:K1673,MATCH(LARGE(FILTER(I$4:I1673,I$4:I1673&lt;=W104),1),I$4:I1673))-(W104-LARGE(FILTER(I$4:I"&amp;"1673,I$4:I1673&lt;=W104),1))*INDEX(F$4:F1673,MATCH(LARGE(FILTER(I$4:I1673,I$4:I1673&lt;=W104),1),I$4:I1673))))"),8498284.0)</f>
        <v>8498284</v>
      </c>
      <c r="N104" s="60">
        <f t="shared" si="8"/>
        <v>-109.2885</v>
      </c>
      <c r="O104" s="61" t="str">
        <f t="shared" si="9"/>
        <v>8,5M</v>
      </c>
      <c r="P104" s="56">
        <f t="shared" si="10"/>
        <v>7</v>
      </c>
      <c r="Q104" s="67" t="s">
        <v>10</v>
      </c>
      <c r="R104" s="10" t="b">
        <f>IFERROR(__xludf.DUMMYFUNCTION("IF(COUNTA(Q104:Q1673)=0,"""",IF(ISBLANK(Q104),FALSE,IF(NOT(COUNTIF($AA$24:$AA$34,SUBSTITUTE(Q104,""Sell_"",""""))),1,IF(REGEXMATCH(Q104,""Sell_""),IF(COUNTIF(Q$4:Q104,SUBSTITUTE(Q104,""Sell_"",""""))-COUNTIF(Q$4:Q103,Q104)&lt;1,1),FALSE))))"),FALSE)</f>
        <v>0</v>
      </c>
      <c r="S104" s="59">
        <f t="array" ref="S104">IF(COUNTA(Q104:Q1673)=0,"",SUM((COUNTIF(Q$4:Q104,Upgrades!$B$3:$B$13)-COUNTIF(Q$4:Q104,"Sell_"&amp;Upgrades!$B$3:$B$13))*Upgrades!$D$3:$D$13))</f>
        <v>48768.8</v>
      </c>
      <c r="T104" s="66">
        <f>IFERROR(__xludf.DUMMYFUNCTION("IF(COUNTA(Q104:Q1673)=0,"""",IF(REGEXMATCH(INDEX(FILTER(Q$4:Q104,Q$4:Q104&lt;&gt;""""),ROWS(FILTER(Q$4:Q104,Q$4:Q104&lt;&gt;""""))),""^Sell_""),INDEX(FILTER(T$4:T103,Q$4:Q103&lt;&gt;""""),ROWS(FILTER(Q$4:Q103,Q$4:Q103&lt;&gt;""""))),$AD$5+S104))"),48783.8)</f>
        <v>48783.8</v>
      </c>
      <c r="U104" s="10">
        <f>IFERROR(__xludf.DUMMYFUNCTION("IF(COUNTA(Q104:Q1673)=0,"""",IF(Q104="""",0,IF(REGEXMATCH(Q104,""^Sell_""),-ROUNDDOWN(ROUNDUP(INDEX(Upgrades!$C$3:$C$13,MATCH(SUBSTITUTE(Q104,""Sell_"",""""),Upgrades!$B$3:$B$13,0))*1.15^(COUNTIF(Q$4:Q103,SUBSTITUTE(Q104,""Sell_"",""""))-COUNTIF(Q$4:Q103,"&amp;"""Sell_""&amp;SUBSTITUTE(Q104,""Sell_"",""""))))/2),ROUNDUP(INDEX(Upgrades!$C$3:$C$13,MATCH(Q104,Upgrades!$B$3:$B$13,0))*1.15^(COUNTIF(Q$4:Q103,Q104)-COUNTIF(Q$4:Q103,""Sell_""&amp;Q104))))))"),3855100.0)</f>
        <v>3855100</v>
      </c>
      <c r="V104" s="10">
        <f t="shared" si="11"/>
        <v>3855100</v>
      </c>
      <c r="W104" s="68">
        <f t="shared" si="12"/>
        <v>3466.532823</v>
      </c>
      <c r="X104" s="59" t="str">
        <f t="shared" si="13"/>
        <v>57m 46s</v>
      </c>
      <c r="Y104" s="69">
        <f t="shared" si="14"/>
        <v>20306052</v>
      </c>
      <c r="Z104" s="11"/>
    </row>
    <row r="105">
      <c r="A105" s="8"/>
      <c r="B105" s="56">
        <f t="shared" si="2"/>
        <v>17</v>
      </c>
      <c r="C105" s="57" t="s">
        <v>5</v>
      </c>
      <c r="D105" s="10" t="b">
        <f>IFERROR(__xludf.DUMMYFUNCTION("IF(COUNTA(C105:C1673)=0,"""",IF(ISBLANK(C105),FALSE,IF(NOT(COUNTIF($AA$24:$AA$34,SUBSTITUTE(C105,""Sell_"",""""))),1,IF(REGEXMATCH(C105,""Sell_""),IF(COUNTIF(C$4:C105,SUBSTITUTE(C105,""Sell_"",""""))-COUNTIF(C$4:C104,C105)&lt;1,1),FALSE))))"),FALSE)</f>
        <v>0</v>
      </c>
      <c r="E105" s="59">
        <f t="array" ref="E105">IF(COUNTA(C105:C1673)=0,"",SUM((COUNTIF(C$4:C105,Upgrades!$B$3:$B$13)-COUNTIF(C$4:C105,"Sell_"&amp;Upgrades!$B$3:$B$13))*Upgrades!$D$3:$D$13))</f>
        <v>77582</v>
      </c>
      <c r="F105" s="66">
        <f>IFERROR(__xludf.DUMMYFUNCTION("IF(COUNTA(C105:C1673)=0,"""",IF(REGEXMATCH(INDEX(FILTER(C$4:C105,C$4:C105&lt;&gt;""""),ROWS(FILTER(C$4:C105,C$4:C105&lt;&gt;""""))),""^Sell_""),INDEX(FILTER(F$4:F104,C$4:C104&lt;&gt;""""),ROWS(FILTER(C$4:C104,C$4:C104&lt;&gt;""""))),$AC$5+E105))"),77597.0)</f>
        <v>77597</v>
      </c>
      <c r="G105" s="10">
        <f>IFERROR(__xludf.DUMMYFUNCTION("IF(COUNTA(C105:C1673)=0,"""",IF(C105="""",0,IF(REGEXMATCH(C105,""^Sell_""),-ROUNDDOWN(ROUNDUP(INDEX(Upgrades!$C$3:$C$13,MATCH(SUBSTITUTE(C105,""Sell_"",""""),Upgrades!$B$3:$B$13,0))*1.15^(COUNTIF(C$4:C104,SUBSTITUTE(C105,""Sell_"",""""))-COUNTIF(C$4:C104,"&amp;"""Sell_""&amp;SUBSTITUTE(C105,""Sell_"",""""))))/2),ROUNDUP(INDEX(Upgrades!$C$3:$C$13,MATCH(C105,Upgrades!$B$3:$B$13,0))*1.15^(COUNTIF(C$4:C104,C105)-COUNTIF(C$4:C104,""Sell_""&amp;C105))))))"),4679.0)</f>
        <v>4679</v>
      </c>
      <c r="H105" s="10">
        <f t="shared" si="3"/>
        <v>4679</v>
      </c>
      <c r="I105" s="68">
        <f t="shared" si="4"/>
        <v>3970.296149</v>
      </c>
      <c r="J105" s="59" t="str">
        <f t="shared" si="5"/>
        <v>1h 06m 10s</v>
      </c>
      <c r="K105" s="69">
        <f t="shared" si="6"/>
        <v>43975440</v>
      </c>
      <c r="L105" s="60">
        <f t="shared" si="7"/>
        <v>-109.28816</v>
      </c>
      <c r="M105" s="61">
        <f>IFERROR(__xludf.DUMMYFUNCTION("IFS(AND(COUNTA(C105:C1673)=0,COUNTA(Q105:Q1673)=0),"""",OR(AND(K105&gt;=1000000000,OR(Y105&gt;=1000000000,COUNTA(Q105:Q1673)=0)),OR(Y105&gt;=1000000000,AND(COUNTA(C105:C1673)=0,P$3=TRUE))),
ROUNDDOWN((AB$1-AC$1)*MAX(INDEX(T$4:T1673,MATCH(LARGE(FILTER(Y$4:Y1673,Y$4"&amp;":Y1673&lt;1000000000),1),Y$4:Y1673)),INDEX(F$4:F1673,MATCH(LARGE(FILTER(K$4:K1673,K$4:K1673&lt;1000000000),1),K$4:K1673)))),AND(K105&lt;1000000000,COUNTA(C105:C1673)&gt;0,P$3=FALSE),
ROUNDDOWN(INDEX(Y$4:Y1673,MATCH(LARGE(FILTER(W$4:W1673,W$4:W1673&lt;=I105),1),W$4:W1673"&amp;"))+(I105-LARGE(FILTER(W$4:W1673,W$4:W1673&lt;=I105),1))*INDEX(T$4:T1673,MATCH(LARGE(FILTER(W$4:W1673,W$4:W1673&lt;=I105),1),W$4:W1673))-K105),1,
ROUNDDOWN(Y105-INDEX(K$4:K1673,MATCH(LARGE(FILTER(I$4:I1673,I$4:I1673&lt;=W105),1),I$4:I1673))-(W105-LARGE(FILTER(I$4:I"&amp;"1673,I$4:I1673&lt;=W105),1))*INDEX(F$4:F1673,MATCH(LARGE(FILTER(I$4:I1673,I$4:I1673&lt;=W105),1),I$4:I1673))))"),8498693.0)</f>
        <v>8498693</v>
      </c>
      <c r="N105" s="60">
        <f t="shared" si="8"/>
        <v>-109.28816</v>
      </c>
      <c r="O105" s="61" t="str">
        <f t="shared" si="9"/>
        <v>8,5M</v>
      </c>
      <c r="P105" s="56">
        <f t="shared" si="10"/>
        <v>5</v>
      </c>
      <c r="Q105" s="67" t="s">
        <v>8</v>
      </c>
      <c r="R105" s="10" t="b">
        <f>IFERROR(__xludf.DUMMYFUNCTION("IF(COUNTA(Q105:Q1673)=0,"""",IF(ISBLANK(Q105),FALSE,IF(NOT(COUNTIF($AA$24:$AA$34,SUBSTITUTE(Q105,""Sell_"",""""))),1,IF(REGEXMATCH(Q105,""Sell_""),IF(COUNTIF(Q$4:Q105,SUBSTITUTE(Q105,""Sell_"",""""))-COUNTIF(Q$4:Q104,Q105)&lt;1,1),FALSE))))"),FALSE)</f>
        <v>0</v>
      </c>
      <c r="S105" s="59">
        <f t="array" ref="S105">IF(COUNTA(Q105:Q1673)=0,"",SUM((COUNTIF(Q$4:Q105,Upgrades!$B$3:$B$13)-COUNTIF(Q$4:Q105,"Sell_"&amp;Upgrades!$B$3:$B$13))*Upgrades!$D$3:$D$13))</f>
        <v>48868.8</v>
      </c>
      <c r="T105" s="66">
        <f>IFERROR(__xludf.DUMMYFUNCTION("IF(COUNTA(Q105:Q1673)=0,"""",IF(REGEXMATCH(INDEX(FILTER(Q$4:Q105,Q$4:Q105&lt;&gt;""""),ROWS(FILTER(Q$4:Q105,Q$4:Q105&lt;&gt;""""))),""^Sell_""),INDEX(FILTER(T$4:T104,Q$4:Q104&lt;&gt;""""),ROWS(FILTER(Q$4:Q104,Q$4:Q104&lt;&gt;""""))),$AD$5+S105))"),48883.8)</f>
        <v>48883.8</v>
      </c>
      <c r="U105" s="10">
        <f>IFERROR(__xludf.DUMMYFUNCTION("IF(COUNTA(Q105:Q1673)=0,"""",IF(Q105="""",0,IF(REGEXMATCH(Q105,""^Sell_""),-ROUNDDOWN(ROUNDUP(INDEX(Upgrades!$C$3:$C$13,MATCH(SUBSTITUTE(Q105,""Sell_"",""""),Upgrades!$B$3:$B$13,0))*1.15^(COUNTIF(Q$4:Q104,SUBSTITUTE(Q105,""Sell_"",""""))-COUNTIF(Q$4:Q104,"&amp;"""Sell_""&amp;SUBSTITUTE(Q105,""Sell_"",""""))))/2),ROUNDUP(INDEX(Upgrades!$C$3:$C$13,MATCH(Q105,Upgrades!$B$3:$B$13,0))*1.15^(COUNTIF(Q$4:Q104,Q105)-COUNTIF(Q$4:Q104,""Sell_""&amp;Q105))))))"),69961.0)</f>
        <v>69961</v>
      </c>
      <c r="V105" s="10">
        <f t="shared" si="11"/>
        <v>69961</v>
      </c>
      <c r="W105" s="68">
        <f t="shared" si="12"/>
        <v>3467.966926</v>
      </c>
      <c r="X105" s="59" t="str">
        <f t="shared" si="13"/>
        <v>57m 47s</v>
      </c>
      <c r="Y105" s="69">
        <f t="shared" si="14"/>
        <v>20376013</v>
      </c>
      <c r="Z105" s="11"/>
    </row>
    <row r="106">
      <c r="A106" s="8"/>
      <c r="B106" s="56">
        <f t="shared" si="2"/>
        <v>11</v>
      </c>
      <c r="C106" s="57" t="s">
        <v>6</v>
      </c>
      <c r="D106" s="10" t="b">
        <f>IFERROR(__xludf.DUMMYFUNCTION("IF(COUNTA(C106:C1673)=0,"""",IF(ISBLANK(C106),FALSE,IF(NOT(COUNTIF($AA$24:$AA$34,SUBSTITUTE(C106,""Sell_"",""""))),1,IF(REGEXMATCH(C106,""Sell_""),IF(COUNTIF(C$4:C106,SUBSTITUTE(C106,""Sell_"",""""))-COUNTIF(C$4:C105,C106)&lt;1,1),FALSE))))"),FALSE)</f>
        <v>0</v>
      </c>
      <c r="E106" s="59">
        <f t="array" ref="E106">IF(COUNTA(C106:C1673)=0,"",SUM((COUNTIF(C$4:C106,Upgrades!$B$3:$B$13)-COUNTIF(C$4:C106,"Sell_"&amp;Upgrades!$B$3:$B$13))*Upgrades!$D$3:$D$13))</f>
        <v>77592</v>
      </c>
      <c r="F106" s="66">
        <f>IFERROR(__xludf.DUMMYFUNCTION("IF(COUNTA(C106:C1673)=0,"""",IF(REGEXMATCH(INDEX(FILTER(C$4:C106,C$4:C106&lt;&gt;""""),ROWS(FILTER(C$4:C106,C$4:C106&lt;&gt;""""))),""^Sell_""),INDEX(FILTER(F$4:F105,C$4:C105&lt;&gt;""""),ROWS(FILTER(C$4:C105,C$4:C105&lt;&gt;""""))),$AC$5+E106))"),77607.0)</f>
        <v>77607</v>
      </c>
      <c r="G106" s="10">
        <f>IFERROR(__xludf.DUMMYFUNCTION("IF(COUNTA(C106:C1673)=0,"""",IF(C106="""",0,IF(REGEXMATCH(C106,""^Sell_""),-ROUNDDOWN(ROUNDUP(INDEX(Upgrades!$C$3:$C$13,MATCH(SUBSTITUTE(C106,""Sell_"",""""),Upgrades!$B$3:$B$13,0))*1.15^(COUNTIF(C$4:C105,SUBSTITUTE(C106,""Sell_"",""""))-COUNTIF(C$4:C105,"&amp;"""Sell_""&amp;SUBSTITUTE(C106,""Sell_"",""""))))/2),ROUNDUP(INDEX(Upgrades!$C$3:$C$13,MATCH(C106,Upgrades!$B$3:$B$13,0))*1.15^(COUNTIF(C$4:C105,C106)-COUNTIF(C$4:C105,""Sell_""&amp;C106))))))"),12137.0)</f>
        <v>12137</v>
      </c>
      <c r="H106" s="10">
        <f t="shared" si="3"/>
        <v>12137</v>
      </c>
      <c r="I106" s="68">
        <f t="shared" si="4"/>
        <v>3970.45256</v>
      </c>
      <c r="J106" s="59" t="str">
        <f t="shared" si="5"/>
        <v>1h 06m 10s</v>
      </c>
      <c r="K106" s="69">
        <f t="shared" si="6"/>
        <v>43987577</v>
      </c>
      <c r="L106" s="60">
        <f t="shared" si="7"/>
        <v>-109.28726</v>
      </c>
      <c r="M106" s="61">
        <f>IFERROR(__xludf.DUMMYFUNCTION("IFS(AND(COUNTA(C106:C1673)=0,COUNTA(Q106:Q1673)=0),"""",OR(AND(K106&gt;=1000000000,OR(Y106&gt;=1000000000,COUNTA(Q106:Q1673)=0)),OR(Y106&gt;=1000000000,AND(COUNTA(C106:C1673)=0,P$3=TRUE))),
ROUNDDOWN((AB$1-AC$1)*MAX(INDEX(T$4:T1673,MATCH(LARGE(FILTER(Y$4:Y1673,Y$4"&amp;":Y1673&lt;1000000000),1),Y$4:Y1673)),INDEX(F$4:F1673,MATCH(LARGE(FILTER(K$4:K1673,K$4:K1673&lt;1000000000),1),K$4:K1673)))),AND(K106&lt;1000000000,COUNTA(C106:C1673)&gt;0,P$3=FALSE),
ROUNDDOWN(INDEX(Y$4:Y1673,MATCH(LARGE(FILTER(W$4:W1673,W$4:W1673&lt;=I106),1),W$4:W1673"&amp;"))+(I106-LARGE(FILTER(W$4:W1673,W$4:W1673&lt;=I106),1))*INDEX(T$4:T1673,MATCH(LARGE(FILTER(W$4:W1673,W$4:W1673&lt;=I106),1),W$4:W1673))-K106),1,
ROUNDDOWN(Y106-INDEX(K$4:K1673,MATCH(LARGE(FILTER(I$4:I1673,I$4:I1673&lt;=W106),1),I$4:I1673))-(W106-LARGE(FILTER(I$4:I"&amp;"1673,I$4:I1673&lt;=W106),1))*INDEX(F$4:F1673,MATCH(LARGE(FILTER(I$4:I1673,I$4:I1673&lt;=W106),1),I$4:I1673))))"),8499753.0)</f>
        <v>8499753</v>
      </c>
      <c r="N106" s="60">
        <f t="shared" si="8"/>
        <v>-109.28726</v>
      </c>
      <c r="O106" s="61" t="str">
        <f t="shared" si="9"/>
        <v>8,5M</v>
      </c>
      <c r="P106" s="56">
        <f t="shared" si="10"/>
        <v>8</v>
      </c>
      <c r="Q106" s="67" t="s">
        <v>10</v>
      </c>
      <c r="R106" s="10" t="b">
        <f>IFERROR(__xludf.DUMMYFUNCTION("IF(COUNTA(Q106:Q1673)=0,"""",IF(ISBLANK(Q106),FALSE,IF(NOT(COUNTIF($AA$24:$AA$34,SUBSTITUTE(Q106,""Sell_"",""""))),1,IF(REGEXMATCH(Q106,""Sell_""),IF(COUNTIF(Q$4:Q106,SUBSTITUTE(Q106,""Sell_"",""""))-COUNTIF(Q$4:Q105,Q106)&lt;1,1),FALSE))))"),FALSE)</f>
        <v>0</v>
      </c>
      <c r="S106" s="59">
        <f t="array" ref="S106">IF(COUNTA(Q106:Q1673)=0,"",SUM((COUNTIF(Q$4:Q106,Upgrades!$B$3:$B$13)-COUNTIF(Q$4:Q106,"Sell_"&amp;Upgrades!$B$3:$B$13))*Upgrades!$D$3:$D$13))</f>
        <v>55534.8</v>
      </c>
      <c r="T106" s="66">
        <f>IFERROR(__xludf.DUMMYFUNCTION("IF(COUNTA(Q106:Q1673)=0,"""",IF(REGEXMATCH(INDEX(FILTER(Q$4:Q106,Q$4:Q106&lt;&gt;""""),ROWS(FILTER(Q$4:Q106,Q$4:Q106&lt;&gt;""""))),""^Sell_""),INDEX(FILTER(T$4:T105,Q$4:Q105&lt;&gt;""""),ROWS(FILTER(Q$4:Q105,Q$4:Q105&lt;&gt;""""))),$AD$5+S106))"),55549.8)</f>
        <v>55549.8</v>
      </c>
      <c r="U106" s="10">
        <f>IFERROR(__xludf.DUMMYFUNCTION("IF(COUNTA(Q106:Q1673)=0,"""",IF(Q106="""",0,IF(REGEXMATCH(Q106,""^Sell_""),-ROUNDDOWN(ROUNDUP(INDEX(Upgrades!$C$3:$C$13,MATCH(SUBSTITUTE(Q106,""Sell_"",""""),Upgrades!$B$3:$B$13,0))*1.15^(COUNTIF(Q$4:Q105,SUBSTITUTE(Q106,""Sell_"",""""))-COUNTIF(Q$4:Q105,"&amp;"""Sell_""&amp;SUBSTITUTE(Q106,""Sell_"",""""))))/2),ROUNDUP(INDEX(Upgrades!$C$3:$C$13,MATCH(Q106,Upgrades!$B$3:$B$13,0))*1.15^(COUNTIF(Q$4:Q105,Q106)-COUNTIF(Q$4:Q105,""Sell_""&amp;Q106))))))"),4433365.0)</f>
        <v>4433365</v>
      </c>
      <c r="V106" s="10">
        <f t="shared" si="11"/>
        <v>4433365</v>
      </c>
      <c r="W106" s="68">
        <f t="shared" si="12"/>
        <v>3558.658832</v>
      </c>
      <c r="X106" s="59" t="str">
        <f t="shared" si="13"/>
        <v>59m 18s</v>
      </c>
      <c r="Y106" s="69">
        <f t="shared" si="14"/>
        <v>24809378</v>
      </c>
      <c r="Z106" s="11"/>
    </row>
    <row r="107">
      <c r="A107" s="8"/>
      <c r="B107" s="56">
        <f t="shared" si="2"/>
        <v>9</v>
      </c>
      <c r="C107" s="57" t="s">
        <v>8</v>
      </c>
      <c r="D107" s="10" t="b">
        <f>IFERROR(__xludf.DUMMYFUNCTION("IF(COUNTA(C107:C1673)=0,"""",IF(ISBLANK(C107),FALSE,IF(NOT(COUNTIF($AA$24:$AA$34,SUBSTITUTE(C107,""Sell_"",""""))),1,IF(REGEXMATCH(C107,""Sell_""),IF(COUNTIF(C$4:C107,SUBSTITUTE(C107,""Sell_"",""""))-COUNTIF(C$4:C106,C107)&lt;1,1),FALSE))))"),FALSE)</f>
        <v>0</v>
      </c>
      <c r="E107" s="59">
        <f t="array" ref="E107">IF(COUNTA(C107:C1673)=0,"",SUM((COUNTIF(C$4:C107,Upgrades!$B$3:$B$13)-COUNTIF(C$4:C107,"Sell_"&amp;Upgrades!$B$3:$B$13))*Upgrades!$D$3:$D$13))</f>
        <v>77692</v>
      </c>
      <c r="F107" s="66">
        <f>IFERROR(__xludf.DUMMYFUNCTION("IF(COUNTA(C107:C1673)=0,"""",IF(REGEXMATCH(INDEX(FILTER(C$4:C107,C$4:C107&lt;&gt;""""),ROWS(FILTER(C$4:C107,C$4:C107&lt;&gt;""""))),""^Sell_""),INDEX(FILTER(F$4:F106,C$4:C106&lt;&gt;""""),ROWS(FILTER(C$4:C106,C$4:C106&lt;&gt;""""))),$AC$5+E107))"),77707.0)</f>
        <v>77707</v>
      </c>
      <c r="G107" s="10">
        <f>IFERROR(__xludf.DUMMYFUNCTION("IF(COUNTA(C107:C1673)=0,"""",IF(C107="""",0,IF(REGEXMATCH(C107,""^Sell_""),-ROUNDDOWN(ROUNDUP(INDEX(Upgrades!$C$3:$C$13,MATCH(SUBSTITUTE(C107,""Sell_"",""""),Upgrades!$B$3:$B$13,0))*1.15^(COUNTIF(C$4:C106,SUBSTITUTE(C107,""Sell_"",""""))-COUNTIF(C$4:C106,"&amp;"""Sell_""&amp;SUBSTITUTE(C107,""Sell_"",""""))))/2),ROUNDUP(INDEX(Upgrades!$C$3:$C$13,MATCH(C107,Upgrades!$B$3:$B$13,0))*1.15^(COUNTIF(C$4:C106,C107)-COUNTIF(C$4:C106,""Sell_""&amp;C107))))))"),122361.0)</f>
        <v>122361</v>
      </c>
      <c r="H107" s="10">
        <f t="shared" si="3"/>
        <v>122361</v>
      </c>
      <c r="I107" s="68">
        <f t="shared" si="4"/>
        <v>3972.029234</v>
      </c>
      <c r="J107" s="59" t="str">
        <f t="shared" si="5"/>
        <v>1h 06m 12s</v>
      </c>
      <c r="K107" s="69">
        <f t="shared" si="6"/>
        <v>44109938</v>
      </c>
      <c r="L107" s="60">
        <f t="shared" si="7"/>
        <v>-109.27798</v>
      </c>
      <c r="M107" s="61">
        <f>IFERROR(__xludf.DUMMYFUNCTION("IFS(AND(COUNTA(C107:C1673)=0,COUNTA(Q107:Q1673)=0),"""",OR(AND(K107&gt;=1000000000,OR(Y107&gt;=1000000000,COUNTA(Q107:Q1673)=0)),OR(Y107&gt;=1000000000,AND(COUNTA(C107:C1673)=0,P$3=TRUE))),
ROUNDDOWN((AB$1-AC$1)*MAX(INDEX(T$4:T1673,MATCH(LARGE(FILTER(Y$4:Y1673,Y$4"&amp;":Y1673&lt;1000000000),1),Y$4:Y1673)),INDEX(F$4:F1673,MATCH(LARGE(FILTER(K$4:K1673,K$4:K1673&lt;1000000000),1),K$4:K1673)))),AND(K107&lt;1000000000,COUNTA(C107:C1673)&gt;0,P$3=FALSE),
ROUNDDOWN(INDEX(Y$4:Y1673,MATCH(LARGE(FILTER(W$4:W1673,W$4:W1673&lt;=I107),1),W$4:W1673"&amp;"))+(I107-LARGE(FILTER(W$4:W1673,W$4:W1673&lt;=I107),1))*INDEX(T$4:T1673,MATCH(LARGE(FILTER(W$4:W1673,W$4:W1673&lt;=I107),1),W$4:W1673))-K107),1,
ROUNDDOWN(Y107-INDEX(K$4:K1673,MATCH(LARGE(FILTER(I$4:I1673,I$4:I1673&lt;=W107),1),I$4:I1673))-(W107-LARGE(FILTER(I$4:I"&amp;"1673,I$4:I1673&lt;=W107),1))*INDEX(F$4:F1673,MATCH(LARGE(FILTER(I$4:I1673,I$4:I1673&lt;=W107),1),I$4:I1673))))"),8510421.0)</f>
        <v>8510421</v>
      </c>
      <c r="N107" s="60">
        <f t="shared" si="8"/>
        <v>-109.27798</v>
      </c>
      <c r="O107" s="61" t="str">
        <f t="shared" si="9"/>
        <v>8,5M</v>
      </c>
      <c r="P107" s="56">
        <f t="shared" si="10"/>
        <v>4</v>
      </c>
      <c r="Q107" s="67" t="s">
        <v>9</v>
      </c>
      <c r="R107" s="10" t="b">
        <f>IFERROR(__xludf.DUMMYFUNCTION("IF(COUNTA(Q107:Q1673)=0,"""",IF(ISBLANK(Q107),FALSE,IF(NOT(COUNTIF($AA$24:$AA$34,SUBSTITUTE(Q107,""Sell_"",""""))),1,IF(REGEXMATCH(Q107,""Sell_""),IF(COUNTIF(Q$4:Q107,SUBSTITUTE(Q107,""Sell_"",""""))-COUNTIF(Q$4:Q106,Q107)&lt;1,1),FALSE))))"),FALSE)</f>
        <v>0</v>
      </c>
      <c r="S107" s="59">
        <f t="array" ref="S107">IF(COUNTA(Q107:Q1673)=0,"",SUM((COUNTIF(Q$4:Q107,Upgrades!$B$3:$B$13)-COUNTIF(Q$4:Q107,"Sell_"&amp;Upgrades!$B$3:$B$13))*Upgrades!$D$3:$D$13))</f>
        <v>55934.8</v>
      </c>
      <c r="T107" s="66">
        <f>IFERROR(__xludf.DUMMYFUNCTION("IF(COUNTA(Q107:Q1673)=0,"""",IF(REGEXMATCH(INDEX(FILTER(Q$4:Q107,Q$4:Q107&lt;&gt;""""),ROWS(FILTER(Q$4:Q107,Q$4:Q107&lt;&gt;""""))),""^Sell_""),INDEX(FILTER(T$4:T106,Q$4:Q106&lt;&gt;""""),ROWS(FILTER(Q$4:Q106,Q$4:Q106&lt;&gt;""""))),$AD$5+S107))"),55949.8)</f>
        <v>55949.8</v>
      </c>
      <c r="U107" s="10">
        <f>IFERROR(__xludf.DUMMYFUNCTION("IF(COUNTA(Q107:Q1673)=0,"""",IF(Q107="""",0,IF(REGEXMATCH(Q107,""^Sell_""),-ROUNDDOWN(ROUNDUP(INDEX(Upgrades!$C$3:$C$13,MATCH(SUBSTITUTE(Q107,""Sell_"",""""),Upgrades!$B$3:$B$13,0))*1.15^(COUNTIF(Q$4:Q106,SUBSTITUTE(Q107,""Sell_"",""""))-COUNTIF(Q$4:Q106,"&amp;"""Sell_""&amp;SUBSTITUTE(Q107,""Sell_"",""""))))/2),ROUNDUP(INDEX(Upgrades!$C$3:$C$13,MATCH(Q107,Upgrades!$B$3:$B$13,0))*1.15^(COUNTIF(Q$4:Q106,Q107)-COUNTIF(Q$4:Q106,""Sell_""&amp;Q107))))))"),304175.0)</f>
        <v>304175</v>
      </c>
      <c r="V107" s="10">
        <f t="shared" si="11"/>
        <v>304175</v>
      </c>
      <c r="W107" s="68">
        <f t="shared" si="12"/>
        <v>3564.13455</v>
      </c>
      <c r="X107" s="59" t="str">
        <f t="shared" si="13"/>
        <v>59m 24s</v>
      </c>
      <c r="Y107" s="69">
        <f t="shared" si="14"/>
        <v>25113553</v>
      </c>
      <c r="Z107" s="11"/>
    </row>
    <row r="108">
      <c r="A108" s="8"/>
      <c r="B108" s="56">
        <f t="shared" si="2"/>
        <v>16</v>
      </c>
      <c r="C108" s="57" t="s">
        <v>3</v>
      </c>
      <c r="D108" s="10" t="b">
        <f>IFERROR(__xludf.DUMMYFUNCTION("IF(COUNTA(C108:C1673)=0,"""",IF(ISBLANK(C108),FALSE,IF(NOT(COUNTIF($AA$24:$AA$34,SUBSTITUTE(C108,""Sell_"",""""))),1,IF(REGEXMATCH(C108,""Sell_""),IF(COUNTIF(C$4:C108,SUBSTITUTE(C108,""Sell_"",""""))-COUNTIF(C$4:C107,C108)&lt;1,1),FALSE))))"),FALSE)</f>
        <v>0</v>
      </c>
      <c r="E108" s="59">
        <f t="array" ref="E108">IF(COUNTA(C108:C1673)=0,"",SUM((COUNTIF(C$4:C108,Upgrades!$B$3:$B$13)-COUNTIF(C$4:C108,"Sell_"&amp;Upgrades!$B$3:$B$13))*Upgrades!$D$3:$D$13))</f>
        <v>77692.1</v>
      </c>
      <c r="F108" s="66">
        <f>IFERROR(__xludf.DUMMYFUNCTION("IF(COUNTA(C108:C1673)=0,"""",IF(REGEXMATCH(INDEX(FILTER(C$4:C108,C$4:C108&lt;&gt;""""),ROWS(FILTER(C$4:C108,C$4:C108&lt;&gt;""""))),""^Sell_""),INDEX(FILTER(F$4:F107,C$4:C107&lt;&gt;""""),ROWS(FILTER(C$4:C107,C$4:C107&lt;&gt;""""))),$AC$5+E108))"),77707.1)</f>
        <v>77707.1</v>
      </c>
      <c r="G108" s="10">
        <f>IFERROR(__xludf.DUMMYFUNCTION("IF(COUNTA(C108:C1673)=0,"""",IF(C108="""",0,IF(REGEXMATCH(C108,""^Sell_""),-ROUNDDOWN(ROUNDUP(INDEX(Upgrades!$C$3:$C$13,MATCH(SUBSTITUTE(C108,""Sell_"",""""),Upgrades!$B$3:$B$13,0))*1.15^(COUNTIF(C$4:C107,SUBSTITUTE(C108,""Sell_"",""""))-COUNTIF(C$4:C107,"&amp;"""Sell_""&amp;SUBSTITUTE(C108,""Sell_"",""""))))/2),ROUNDUP(INDEX(Upgrades!$C$3:$C$13,MATCH(C108,Upgrades!$B$3:$B$13,0))*1.15^(COUNTIF(C$4:C107,C108)-COUNTIF(C$4:C107,""Sell_""&amp;C108))))))"),123.0)</f>
        <v>123</v>
      </c>
      <c r="H108" s="10">
        <f t="shared" si="3"/>
        <v>123</v>
      </c>
      <c r="I108" s="68">
        <f t="shared" si="4"/>
        <v>3972.030817</v>
      </c>
      <c r="J108" s="59" t="str">
        <f t="shared" si="5"/>
        <v>1h 06m 12s</v>
      </c>
      <c r="K108" s="69">
        <f t="shared" si="6"/>
        <v>44110061</v>
      </c>
      <c r="L108" s="60">
        <f t="shared" si="7"/>
        <v>-109.27797</v>
      </c>
      <c r="M108" s="61">
        <f>IFERROR(__xludf.DUMMYFUNCTION("IFS(AND(COUNTA(C108:C1673)=0,COUNTA(Q108:Q1673)=0),"""",OR(AND(K108&gt;=1000000000,OR(Y108&gt;=1000000000,COUNTA(Q108:Q1673)=0)),OR(Y108&gt;=1000000000,AND(COUNTA(C108:C1673)=0,P$3=TRUE))),
ROUNDDOWN((AB$1-AC$1)*MAX(INDEX(T$4:T1673,MATCH(LARGE(FILTER(Y$4:Y1673,Y$4"&amp;":Y1673&lt;1000000000),1),Y$4:Y1673)),INDEX(F$4:F1673,MATCH(LARGE(FILTER(K$4:K1673,K$4:K1673&lt;1000000000),1),K$4:K1673)))),AND(K108&lt;1000000000,COUNTA(C108:C1673)&gt;0,P$3=FALSE),
ROUNDDOWN(INDEX(Y$4:Y1673,MATCH(LARGE(FILTER(W$4:W1673,W$4:W1673&lt;=I108),1),W$4:W1673"&amp;"))+(I108-LARGE(FILTER(W$4:W1673,W$4:W1673&lt;=I108),1))*INDEX(T$4:T1673,MATCH(LARGE(FILTER(W$4:W1673,W$4:W1673&lt;=I108),1),W$4:W1673))-K108),1,
ROUNDDOWN(Y108-INDEX(K$4:K1673,MATCH(LARGE(FILTER(I$4:I1673,I$4:I1673&lt;=W108),1),I$4:I1673))-(W108-LARGE(FILTER(I$4:I"&amp;"1673,I$4:I1673&lt;=W108),1))*INDEX(F$4:F1673,MATCH(LARGE(FILTER(I$4:I1673,I$4:I1673&lt;=W108),1),I$4:I1673))))"),8510432.0)</f>
        <v>8510432</v>
      </c>
      <c r="N108" s="60">
        <f t="shared" si="8"/>
        <v>-109.27797</v>
      </c>
      <c r="O108" s="61" t="str">
        <f t="shared" si="9"/>
        <v>8,5M</v>
      </c>
      <c r="P108" s="56">
        <f t="shared" si="10"/>
        <v>6</v>
      </c>
      <c r="Q108" s="67" t="s">
        <v>8</v>
      </c>
      <c r="R108" s="10" t="b">
        <f>IFERROR(__xludf.DUMMYFUNCTION("IF(COUNTA(Q108:Q1673)=0,"""",IF(ISBLANK(Q108),FALSE,IF(NOT(COUNTIF($AA$24:$AA$34,SUBSTITUTE(Q108,""Sell_"",""""))),1,IF(REGEXMATCH(Q108,""Sell_""),IF(COUNTIF(Q$4:Q108,SUBSTITUTE(Q108,""Sell_"",""""))-COUNTIF(Q$4:Q107,Q108)&lt;1,1),FALSE))))"),FALSE)</f>
        <v>0</v>
      </c>
      <c r="S108" s="59">
        <f t="array" ref="S108">IF(COUNTA(Q108:Q1673)=0,"",SUM((COUNTIF(Q$4:Q108,Upgrades!$B$3:$B$13)-COUNTIF(Q$4:Q108,"Sell_"&amp;Upgrades!$B$3:$B$13))*Upgrades!$D$3:$D$13))</f>
        <v>56034.8</v>
      </c>
      <c r="T108" s="66">
        <f>IFERROR(__xludf.DUMMYFUNCTION("IF(COUNTA(Q108:Q1673)=0,"""",IF(REGEXMATCH(INDEX(FILTER(Q$4:Q108,Q$4:Q108&lt;&gt;""""),ROWS(FILTER(Q$4:Q108,Q$4:Q108&lt;&gt;""""))),""^Sell_""),INDEX(FILTER(T$4:T107,Q$4:Q107&lt;&gt;""""),ROWS(FILTER(Q$4:Q107,Q$4:Q107&lt;&gt;""""))),$AD$5+S108))"),56049.8)</f>
        <v>56049.8</v>
      </c>
      <c r="U108" s="10">
        <f>IFERROR(__xludf.DUMMYFUNCTION("IF(COUNTA(Q108:Q1673)=0,"""",IF(Q108="""",0,IF(REGEXMATCH(Q108,""^Sell_""),-ROUNDDOWN(ROUNDUP(INDEX(Upgrades!$C$3:$C$13,MATCH(SUBSTITUTE(Q108,""Sell_"",""""),Upgrades!$B$3:$B$13,0))*1.15^(COUNTIF(Q$4:Q107,SUBSTITUTE(Q108,""Sell_"",""""))-COUNTIF(Q$4:Q107,"&amp;"""Sell_""&amp;SUBSTITUTE(Q108,""Sell_"",""""))))/2),ROUNDUP(INDEX(Upgrades!$C$3:$C$13,MATCH(Q108,Upgrades!$B$3:$B$13,0))*1.15^(COUNTIF(Q$4:Q107,Q108)-COUNTIF(Q$4:Q107,""Sell_""&amp;Q108))))))"),80455.0)</f>
        <v>80455</v>
      </c>
      <c r="V108" s="10">
        <f t="shared" si="11"/>
        <v>80455</v>
      </c>
      <c r="W108" s="68">
        <f t="shared" si="12"/>
        <v>3565.572535</v>
      </c>
      <c r="X108" s="59" t="str">
        <f t="shared" si="13"/>
        <v>59m 25s</v>
      </c>
      <c r="Y108" s="69">
        <f t="shared" si="14"/>
        <v>25194008</v>
      </c>
      <c r="Z108" s="11"/>
    </row>
    <row r="109">
      <c r="A109" s="8"/>
      <c r="B109" s="56">
        <f t="shared" si="2"/>
        <v>14</v>
      </c>
      <c r="C109" s="57" t="s">
        <v>4</v>
      </c>
      <c r="D109" s="10" t="b">
        <f>IFERROR(__xludf.DUMMYFUNCTION("IF(COUNTA(C109:C1673)=0,"""",IF(ISBLANK(C109),FALSE,IF(NOT(COUNTIF($AA$24:$AA$34,SUBSTITUTE(C109,""Sell_"",""""))),1,IF(REGEXMATCH(C109,""Sell_""),IF(COUNTIF(C$4:C109,SUBSTITUTE(C109,""Sell_"",""""))-COUNTIF(C$4:C108,C109)&lt;1,1),FALSE))))"),FALSE)</f>
        <v>0</v>
      </c>
      <c r="E109" s="59">
        <f t="array" ref="E109">IF(COUNTA(C109:C1673)=0,"",SUM((COUNTIF(C$4:C109,Upgrades!$B$3:$B$13)-COUNTIF(C$4:C109,"Sell_"&amp;Upgrades!$B$3:$B$13))*Upgrades!$D$3:$D$13))</f>
        <v>77692.6</v>
      </c>
      <c r="F109" s="66">
        <f>IFERROR(__xludf.DUMMYFUNCTION("IF(COUNTA(C109:C1673)=0,"""",IF(REGEXMATCH(INDEX(FILTER(C$4:C109,C$4:C109&lt;&gt;""""),ROWS(FILTER(C$4:C109,C$4:C109&lt;&gt;""""))),""^Sell_""),INDEX(FILTER(F$4:F108,C$4:C108&lt;&gt;""""),ROWS(FILTER(C$4:C108,C$4:C108&lt;&gt;""""))),$AC$5+E109))"),77707.6)</f>
        <v>77707.6</v>
      </c>
      <c r="G109" s="10">
        <f>IFERROR(__xludf.DUMMYFUNCTION("IF(COUNTA(C109:C1673)=0,"""",IF(C109="""",0,IF(REGEXMATCH(C109,""^Sell_""),-ROUNDDOWN(ROUNDUP(INDEX(Upgrades!$C$3:$C$13,MATCH(SUBSTITUTE(C109,""Sell_"",""""),Upgrades!$B$3:$B$13,0))*1.15^(COUNTIF(C$4:C108,SUBSTITUTE(C109,""Sell_"",""""))-COUNTIF(C$4:C108,"&amp;"""Sell_""&amp;SUBSTITUTE(C109,""Sell_"",""""))))/2),ROUNDUP(INDEX(Upgrades!$C$3:$C$13,MATCH(C109,Upgrades!$B$3:$B$13,0))*1.15^(COUNTIF(C$4:C108,C109)-COUNTIF(C$4:C108,""Sell_""&amp;C109))))))"),616.0)</f>
        <v>616</v>
      </c>
      <c r="H109" s="10">
        <f t="shared" si="3"/>
        <v>616</v>
      </c>
      <c r="I109" s="68">
        <f t="shared" si="4"/>
        <v>3972.038744</v>
      </c>
      <c r="J109" s="59" t="str">
        <f t="shared" si="5"/>
        <v>1h 06m 12s</v>
      </c>
      <c r="K109" s="69">
        <f t="shared" si="6"/>
        <v>44110677</v>
      </c>
      <c r="L109" s="60">
        <f t="shared" si="7"/>
        <v>-109.27791</v>
      </c>
      <c r="M109" s="61">
        <f>IFERROR(__xludf.DUMMYFUNCTION("IFS(AND(COUNTA(C109:C1673)=0,COUNTA(Q109:Q1673)=0),"""",OR(AND(K109&gt;=1000000000,OR(Y109&gt;=1000000000,COUNTA(Q109:Q1673)=0)),OR(Y109&gt;=1000000000,AND(COUNTA(C109:C1673)=0,P$3=TRUE))),
ROUNDDOWN((AB$1-AC$1)*MAX(INDEX(T$4:T1673,MATCH(LARGE(FILTER(Y$4:Y1673,Y$4"&amp;":Y1673&lt;1000000000),1),Y$4:Y1673)),INDEX(F$4:F1673,MATCH(LARGE(FILTER(K$4:K1673,K$4:K1673&lt;1000000000),1),K$4:K1673)))),AND(K109&lt;1000000000,COUNTA(C109:C1673)&gt;0,P$3=FALSE),
ROUNDDOWN(INDEX(Y$4:Y1673,MATCH(LARGE(FILTER(W$4:W1673,W$4:W1673&lt;=I109),1),W$4:W1673"&amp;"))+(I109-LARGE(FILTER(W$4:W1673,W$4:W1673&lt;=I109),1))*INDEX(T$4:T1673,MATCH(LARGE(FILTER(W$4:W1673,W$4:W1673&lt;=I109),1),W$4:W1673))-K109),1,
ROUNDDOWN(Y109-INDEX(K$4:K1673,MATCH(LARGE(FILTER(I$4:I1673,I$4:I1673&lt;=W109),1),I$4:I1673))-(W109-LARGE(FILTER(I$4:I"&amp;"1673,I$4:I1673&lt;=W109),1))*INDEX(F$4:F1673,MATCH(LARGE(FILTER(I$4:I1673,I$4:I1673&lt;=W109),1),I$4:I1673))))"),8510485.0)</f>
        <v>8510485</v>
      </c>
      <c r="N109" s="60">
        <f t="shared" si="8"/>
        <v>-109.27791</v>
      </c>
      <c r="O109" s="61" t="str">
        <f t="shared" si="9"/>
        <v>8,5M</v>
      </c>
      <c r="P109" s="56">
        <f t="shared" si="10"/>
        <v>9</v>
      </c>
      <c r="Q109" s="67" t="s">
        <v>10</v>
      </c>
      <c r="R109" s="10" t="b">
        <f>IFERROR(__xludf.DUMMYFUNCTION("IF(COUNTA(Q109:Q1673)=0,"""",IF(ISBLANK(Q109),FALSE,IF(NOT(COUNTIF($AA$24:$AA$34,SUBSTITUTE(Q109,""Sell_"",""""))),1,IF(REGEXMATCH(Q109,""Sell_""),IF(COUNTIF(Q$4:Q109,SUBSTITUTE(Q109,""Sell_"",""""))-COUNTIF(Q$4:Q108,Q109)&lt;1,1),FALSE))))"),FALSE)</f>
        <v>0</v>
      </c>
      <c r="S109" s="59">
        <f t="array" ref="S109">IF(COUNTA(Q109:Q1673)=0,"",SUM((COUNTIF(Q$4:Q109,Upgrades!$B$3:$B$13)-COUNTIF(Q$4:Q109,"Sell_"&amp;Upgrades!$B$3:$B$13))*Upgrades!$D$3:$D$13))</f>
        <v>62700.8</v>
      </c>
      <c r="T109" s="66">
        <f>IFERROR(__xludf.DUMMYFUNCTION("IF(COUNTA(Q109:Q1673)=0,"""",IF(REGEXMATCH(INDEX(FILTER(Q$4:Q109,Q$4:Q109&lt;&gt;""""),ROWS(FILTER(Q$4:Q109,Q$4:Q109&lt;&gt;""""))),""^Sell_""),INDEX(FILTER(T$4:T108,Q$4:Q108&lt;&gt;""""),ROWS(FILTER(Q$4:Q108,Q$4:Q108&lt;&gt;""""))),$AD$5+S109))"),62715.8)</f>
        <v>62715.8</v>
      </c>
      <c r="U109" s="10">
        <f>IFERROR(__xludf.DUMMYFUNCTION("IF(COUNTA(Q109:Q1673)=0,"""",IF(Q109="""",0,IF(REGEXMATCH(Q109,""^Sell_""),-ROUNDDOWN(ROUNDUP(INDEX(Upgrades!$C$3:$C$13,MATCH(SUBSTITUTE(Q109,""Sell_"",""""),Upgrades!$B$3:$B$13,0))*1.15^(COUNTIF(Q$4:Q108,SUBSTITUTE(Q109,""Sell_"",""""))-COUNTIF(Q$4:Q108,"&amp;"""Sell_""&amp;SUBSTITUTE(Q109,""Sell_"",""""))))/2),ROUNDUP(INDEX(Upgrades!$C$3:$C$13,MATCH(Q109,Upgrades!$B$3:$B$13,0))*1.15^(COUNTIF(Q$4:Q108,Q109)-COUNTIF(Q$4:Q108,""Sell_""&amp;Q109))))))"),5098370.0)</f>
        <v>5098370</v>
      </c>
      <c r="V109" s="10">
        <f t="shared" si="11"/>
        <v>5098370</v>
      </c>
      <c r="W109" s="68">
        <f t="shared" si="12"/>
        <v>3656.533966</v>
      </c>
      <c r="X109" s="59" t="str">
        <f t="shared" si="13"/>
        <v>1h 00m 56s</v>
      </c>
      <c r="Y109" s="69">
        <f t="shared" si="14"/>
        <v>30292378</v>
      </c>
      <c r="Z109" s="11"/>
    </row>
    <row r="110">
      <c r="A110" s="8"/>
      <c r="B110" s="56">
        <f t="shared" si="2"/>
        <v>12</v>
      </c>
      <c r="C110" s="57" t="s">
        <v>10</v>
      </c>
      <c r="D110" s="10" t="b">
        <f>IFERROR(__xludf.DUMMYFUNCTION("IF(COUNTA(C110:C1673)=0,"""",IF(ISBLANK(C110),FALSE,IF(NOT(COUNTIF($AA$24:$AA$34,SUBSTITUTE(C110,""Sell_"",""""))),1,IF(REGEXMATCH(C110,""Sell_""),IF(COUNTIF(C$4:C110,SUBSTITUTE(C110,""Sell_"",""""))-COUNTIF(C$4:C109,C110)&lt;1,1),FALSE))))"),FALSE)</f>
        <v>0</v>
      </c>
      <c r="E110" s="59">
        <f t="array" ref="E110">IF(COUNTA(C110:C1673)=0,"",SUM((COUNTIF(C$4:C110,Upgrades!$B$3:$B$13)-COUNTIF(C$4:C110,"Sell_"&amp;Upgrades!$B$3:$B$13))*Upgrades!$D$3:$D$13))</f>
        <v>84358.6</v>
      </c>
      <c r="F110" s="66">
        <f>IFERROR(__xludf.DUMMYFUNCTION("IF(COUNTA(C110:C1673)=0,"""",IF(REGEXMATCH(INDEX(FILTER(C$4:C110,C$4:C110&lt;&gt;""""),ROWS(FILTER(C$4:C110,C$4:C110&lt;&gt;""""))),""^Sell_""),INDEX(FILTER(F$4:F109,C$4:C109&lt;&gt;""""),ROWS(FILTER(C$4:C109,C$4:C109&lt;&gt;""""))),$AC$5+E110))"),84373.6)</f>
        <v>84373.6</v>
      </c>
      <c r="G110" s="10">
        <f>IFERROR(__xludf.DUMMYFUNCTION("IF(COUNTA(C110:C1673)=0,"""",IF(C110="""",0,IF(REGEXMATCH(C110,""^Sell_""),-ROUNDDOWN(ROUNDUP(INDEX(Upgrades!$C$3:$C$13,MATCH(SUBSTITUTE(C110,""Sell_"",""""),Upgrades!$B$3:$B$13,0))*1.15^(COUNTIF(C$4:C109,SUBSTITUTE(C110,""Sell_"",""""))-COUNTIF(C$4:C109,"&amp;"""Sell_""&amp;SUBSTITUTE(C110,""Sell_"",""""))))/2),ROUNDUP(INDEX(Upgrades!$C$3:$C$13,MATCH(C110,Upgrades!$B$3:$B$13,0))*1.15^(COUNTIF(C$4:C109,C110)-COUNTIF(C$4:C109,""Sell_""&amp;C110))))))"),7753983.0)</f>
        <v>7753983</v>
      </c>
      <c r="H110" s="10">
        <f t="shared" si="3"/>
        <v>7753983</v>
      </c>
      <c r="I110" s="68">
        <f t="shared" si="4"/>
        <v>4071.822845</v>
      </c>
      <c r="J110" s="59" t="str">
        <f t="shared" si="5"/>
        <v>1h 07m 51s</v>
      </c>
      <c r="K110" s="69">
        <f t="shared" si="6"/>
        <v>51864660</v>
      </c>
      <c r="L110" s="60">
        <f t="shared" si="7"/>
        <v>-109.24646</v>
      </c>
      <c r="M110" s="61">
        <f>IFERROR(__xludf.DUMMYFUNCTION("IFS(AND(COUNTA(C110:C1673)=0,COUNTA(Q110:Q1673)=0),"""",OR(AND(K110&gt;=1000000000,OR(Y110&gt;=1000000000,COUNTA(Q110:Q1673)=0)),OR(Y110&gt;=1000000000,AND(COUNTA(C110:C1673)=0,P$3=TRUE))),
ROUNDDOWN((AB$1-AC$1)*MAX(INDEX(T$4:T1673,MATCH(LARGE(FILTER(Y$4:Y1673,Y$4"&amp;":Y1673&lt;1000000000),1),Y$4:Y1673)),INDEX(F$4:F1673,MATCH(LARGE(FILTER(K$4:K1673,K$4:K1673&lt;1000000000),1),K$4:K1673)))),AND(K110&lt;1000000000,COUNTA(C110:C1673)&gt;0,P$3=FALSE),
ROUNDDOWN(INDEX(Y$4:Y1673,MATCH(LARGE(FILTER(W$4:W1673,W$4:W1673&lt;=I110),1),W$4:W1673"&amp;"))+(I110-LARGE(FILTER(W$4:W1673,W$4:W1673&lt;=I110),1))*INDEX(T$4:T1673,MATCH(LARGE(FILTER(W$4:W1673,W$4:W1673&lt;=I110),1),W$4:W1673))-K110),1,
ROUNDDOWN(Y110-INDEX(K$4:K1673,MATCH(LARGE(FILTER(I$4:I1673,I$4:I1673&lt;=W110),1),I$4:I1673))-(W110-LARGE(FILTER(I$4:I"&amp;"1673,I$4:I1673&lt;=W110),1))*INDEX(F$4:F1673,MATCH(LARGE(FILTER(I$4:I1673,I$4:I1673&lt;=W110),1),I$4:I1673))))"),9228963.0)</f>
        <v>9228963</v>
      </c>
      <c r="N110" s="60">
        <f t="shared" si="8"/>
        <v>-109.24646</v>
      </c>
      <c r="O110" s="61" t="str">
        <f t="shared" si="9"/>
        <v>9,2M</v>
      </c>
      <c r="P110" s="56">
        <f t="shared" si="10"/>
        <v>10</v>
      </c>
      <c r="Q110" s="67" t="s">
        <v>7</v>
      </c>
      <c r="R110" s="10" t="b">
        <f>IFERROR(__xludf.DUMMYFUNCTION("IF(COUNTA(Q110:Q1673)=0,"""",IF(ISBLANK(Q110),FALSE,IF(NOT(COUNTIF($AA$24:$AA$34,SUBSTITUTE(Q110,""Sell_"",""""))),1,IF(REGEXMATCH(Q110,""Sell_""),IF(COUNTIF(Q$4:Q110,SUBSTITUTE(Q110,""Sell_"",""""))-COUNTIF(Q$4:Q109,Q110)&lt;1,1),FALSE))))"),FALSE)</f>
        <v>0</v>
      </c>
      <c r="S110" s="59">
        <f t="array" ref="S110">IF(COUNTA(Q110:Q1673)=0,"",SUM((COUNTIF(Q$4:Q110,Upgrades!$B$3:$B$13)-COUNTIF(Q$4:Q110,"Sell_"&amp;Upgrades!$B$3:$B$13))*Upgrades!$D$3:$D$13))</f>
        <v>62740.8</v>
      </c>
      <c r="T110" s="66">
        <f>IFERROR(__xludf.DUMMYFUNCTION("IF(COUNTA(Q110:Q1673)=0,"""",IF(REGEXMATCH(INDEX(FILTER(Q$4:Q110,Q$4:Q110&lt;&gt;""""),ROWS(FILTER(Q$4:Q110,Q$4:Q110&lt;&gt;""""))),""^Sell_""),INDEX(FILTER(T$4:T109,Q$4:Q109&lt;&gt;""""),ROWS(FILTER(Q$4:Q109,Q$4:Q109&lt;&gt;""""))),$AD$5+S110))"),62755.8)</f>
        <v>62755.8</v>
      </c>
      <c r="U110" s="10">
        <f>IFERROR(__xludf.DUMMYFUNCTION("IF(COUNTA(Q110:Q1673)=0,"""",IF(Q110="""",0,IF(REGEXMATCH(Q110,""^Sell_""),-ROUNDDOWN(ROUNDUP(INDEX(Upgrades!$C$3:$C$13,MATCH(SUBSTITUTE(Q110,""Sell_"",""""),Upgrades!$B$3:$B$13,0))*1.15^(COUNTIF(Q$4:Q109,SUBSTITUTE(Q110,""Sell_"",""""))-COUNTIF(Q$4:Q109,"&amp;"""Sell_""&amp;SUBSTITUTE(Q110,""Sell_"",""""))))/2),ROUNDUP(INDEX(Upgrades!$C$3:$C$13,MATCH(Q110,Upgrades!$B$3:$B$13,0))*1.15^(COUNTIF(Q$4:Q109,Q110)-COUNTIF(Q$4:Q109,""Sell_""&amp;Q110))))))"),35179.0)</f>
        <v>35179</v>
      </c>
      <c r="V110" s="10">
        <f t="shared" si="11"/>
        <v>35179</v>
      </c>
      <c r="W110" s="68">
        <f t="shared" si="12"/>
        <v>3657.094893</v>
      </c>
      <c r="X110" s="59" t="str">
        <f t="shared" si="13"/>
        <v>1h 00m 57s</v>
      </c>
      <c r="Y110" s="69">
        <f t="shared" si="14"/>
        <v>30327557</v>
      </c>
      <c r="Z110" s="11"/>
    </row>
    <row r="111">
      <c r="A111" s="8"/>
      <c r="B111" s="56">
        <f t="shared" si="2"/>
        <v>8</v>
      </c>
      <c r="C111" s="57" t="s">
        <v>9</v>
      </c>
      <c r="D111" s="10" t="b">
        <f>IFERROR(__xludf.DUMMYFUNCTION("IF(COUNTA(C111:C1673)=0,"""",IF(ISBLANK(C111),FALSE,IF(NOT(COUNTIF($AA$24:$AA$34,SUBSTITUTE(C111,""Sell_"",""""))),1,IF(REGEXMATCH(C111,""Sell_""),IF(COUNTIF(C$4:C111,SUBSTITUTE(C111,""Sell_"",""""))-COUNTIF(C$4:C110,C111)&lt;1,1),FALSE))))"),FALSE)</f>
        <v>0</v>
      </c>
      <c r="E111" s="59">
        <f t="array" ref="E111">IF(COUNTA(C111:C1673)=0,"",SUM((COUNTIF(C$4:C111,Upgrades!$B$3:$B$13)-COUNTIF(C$4:C111,"Sell_"&amp;Upgrades!$B$3:$B$13))*Upgrades!$D$3:$D$13))</f>
        <v>84758.6</v>
      </c>
      <c r="F111" s="66">
        <f>IFERROR(__xludf.DUMMYFUNCTION("IF(COUNTA(C111:C1673)=0,"""",IF(REGEXMATCH(INDEX(FILTER(C$4:C111,C$4:C111&lt;&gt;""""),ROWS(FILTER(C$4:C111,C$4:C111&lt;&gt;""""))),""^Sell_""),INDEX(FILTER(F$4:F110,C$4:C110&lt;&gt;""""),ROWS(FILTER(C$4:C110,C$4:C110&lt;&gt;""""))),$AC$5+E111))"),84773.6)</f>
        <v>84773.6</v>
      </c>
      <c r="G111" s="10">
        <f>IFERROR(__xludf.DUMMYFUNCTION("IF(COUNTA(C111:C1673)=0,"""",IF(C111="""",0,IF(REGEXMATCH(C111,""^Sell_""),-ROUNDDOWN(ROUNDUP(INDEX(Upgrades!$C$3:$C$13,MATCH(SUBSTITUTE(C111,""Sell_"",""""),Upgrades!$B$3:$B$13,0))*1.15^(COUNTIF(C$4:C110,SUBSTITUTE(C111,""Sell_"",""""))-COUNTIF(C$4:C110,"&amp;"""Sell_""&amp;SUBSTITUTE(C111,""Sell_"",""""))))/2),ROUNDUP(INDEX(Upgrades!$C$3:$C$13,MATCH(C111,Upgrades!$B$3:$B$13,0))*1.15^(COUNTIF(C$4:C110,C111)-COUNTIF(C$4:C110,""Sell_""&amp;C111))))))"),532004.0)</f>
        <v>532004</v>
      </c>
      <c r="H111" s="10">
        <f t="shared" si="3"/>
        <v>532004</v>
      </c>
      <c r="I111" s="68">
        <f t="shared" si="4"/>
        <v>4078.128183</v>
      </c>
      <c r="J111" s="59" t="str">
        <f t="shared" si="5"/>
        <v>1h 07m 58s</v>
      </c>
      <c r="K111" s="69">
        <f t="shared" si="6"/>
        <v>52396664</v>
      </c>
      <c r="L111" s="60">
        <f t="shared" si="7"/>
        <v>-108.7502</v>
      </c>
      <c r="M111" s="61">
        <f>IFERROR(__xludf.DUMMYFUNCTION("IFS(AND(COUNTA(C111:C1673)=0,COUNTA(Q111:Q1673)=0),"""",OR(AND(K111&gt;=1000000000,OR(Y111&gt;=1000000000,COUNTA(Q111:Q1673)=0)),OR(Y111&gt;=1000000000,AND(COUNTA(C111:C1673)=0,P$3=TRUE))),
ROUNDDOWN((AB$1-AC$1)*MAX(INDEX(T$4:T1673,MATCH(LARGE(FILTER(Y$4:Y1673,Y$4"&amp;":Y1673&lt;1000000000),1),Y$4:Y1673)),INDEX(F$4:F1673,MATCH(LARGE(FILTER(K$4:K1673,K$4:K1673&lt;1000000000),1),K$4:K1673)))),AND(K111&lt;1000000000,COUNTA(C111:C1673)&gt;0,P$3=FALSE),
ROUNDDOWN(INDEX(Y$4:Y1673,MATCH(LARGE(FILTER(W$4:W1673,W$4:W1673&lt;=I111),1),W$4:W1673"&amp;"))+(I111-LARGE(FILTER(W$4:W1673,W$4:W1673&lt;=I111),1))*INDEX(T$4:T1673,MATCH(LARGE(FILTER(W$4:W1673,W$4:W1673&lt;=I111),1),W$4:W1673))-K111),1,
ROUNDDOWN(Y111-INDEX(K$4:K1673,MATCH(LARGE(FILTER(I$4:I1673,I$4:I1673&lt;=W111),1),I$4:I1673))-(W111-LARGE(FILTER(I$4:I"&amp;"1673,I$4:I1673&lt;=W111),1))*INDEX(F$4:F1673,MATCH(LARGE(FILTER(I$4:I1673,I$4:I1673&lt;=W111),1),I$4:I1673))))"),9232460.0)</f>
        <v>9232460</v>
      </c>
      <c r="N111" s="60">
        <f t="shared" si="8"/>
        <v>-108.7502</v>
      </c>
      <c r="O111" s="61" t="str">
        <f t="shared" si="9"/>
        <v>9,2M</v>
      </c>
      <c r="P111" s="56">
        <f t="shared" si="10"/>
        <v>5</v>
      </c>
      <c r="Q111" s="67" t="s">
        <v>9</v>
      </c>
      <c r="R111" s="10" t="b">
        <f>IFERROR(__xludf.DUMMYFUNCTION("IF(COUNTA(Q111:Q1673)=0,"""",IF(ISBLANK(Q111),FALSE,IF(NOT(COUNTIF($AA$24:$AA$34,SUBSTITUTE(Q111,""Sell_"",""""))),1,IF(REGEXMATCH(Q111,""Sell_""),IF(COUNTIF(Q$4:Q111,SUBSTITUTE(Q111,""Sell_"",""""))-COUNTIF(Q$4:Q110,Q111)&lt;1,1),FALSE))))"),FALSE)</f>
        <v>0</v>
      </c>
      <c r="S111" s="59">
        <f t="array" ref="S111">IF(COUNTA(Q111:Q1673)=0,"",SUM((COUNTIF(Q$4:Q111,Upgrades!$B$3:$B$13)-COUNTIF(Q$4:Q111,"Sell_"&amp;Upgrades!$B$3:$B$13))*Upgrades!$D$3:$D$13))</f>
        <v>63140.8</v>
      </c>
      <c r="T111" s="66">
        <f>IFERROR(__xludf.DUMMYFUNCTION("IF(COUNTA(Q111:Q1673)=0,"""",IF(REGEXMATCH(INDEX(FILTER(Q$4:Q111,Q$4:Q111&lt;&gt;""""),ROWS(FILTER(Q$4:Q111,Q$4:Q111&lt;&gt;""""))),""^Sell_""),INDEX(FILTER(T$4:T110,Q$4:Q110&lt;&gt;""""),ROWS(FILTER(Q$4:Q110,Q$4:Q110&lt;&gt;""""))),$AD$5+S111))"),63155.8)</f>
        <v>63155.8</v>
      </c>
      <c r="U111" s="10">
        <f>IFERROR(__xludf.DUMMYFUNCTION("IF(COUNTA(Q111:Q1673)=0,"""",IF(Q111="""",0,IF(REGEXMATCH(Q111,""^Sell_""),-ROUNDDOWN(ROUNDUP(INDEX(Upgrades!$C$3:$C$13,MATCH(SUBSTITUTE(Q111,""Sell_"",""""),Upgrades!$B$3:$B$13,0))*1.15^(COUNTIF(Q$4:Q110,SUBSTITUTE(Q111,""Sell_"",""""))-COUNTIF(Q$4:Q110,"&amp;"""Sell_""&amp;SUBSTITUTE(Q111,""Sell_"",""""))))/2),ROUNDUP(INDEX(Upgrades!$C$3:$C$13,MATCH(Q111,Upgrades!$B$3:$B$13,0))*1.15^(COUNTIF(Q$4:Q110,Q111)-COUNTIF(Q$4:Q110,""Sell_""&amp;Q111))))))"),349802.0)</f>
        <v>349802</v>
      </c>
      <c r="V111" s="10">
        <f t="shared" si="11"/>
        <v>349802</v>
      </c>
      <c r="W111" s="68">
        <f t="shared" si="12"/>
        <v>3662.668912</v>
      </c>
      <c r="X111" s="59" t="str">
        <f t="shared" si="13"/>
        <v>1h 01m 02s</v>
      </c>
      <c r="Y111" s="69">
        <f t="shared" si="14"/>
        <v>30677359</v>
      </c>
      <c r="Z111" s="11"/>
    </row>
    <row r="112">
      <c r="A112" s="8"/>
      <c r="B112" s="56">
        <f t="shared" si="2"/>
        <v>13</v>
      </c>
      <c r="C112" s="57" t="s">
        <v>7</v>
      </c>
      <c r="D112" s="10" t="b">
        <f>IFERROR(__xludf.DUMMYFUNCTION("IF(COUNTA(C112:C1673)=0,"""",IF(ISBLANK(C112),FALSE,IF(NOT(COUNTIF($AA$24:$AA$34,SUBSTITUTE(C112,""Sell_"",""""))),1,IF(REGEXMATCH(C112,""Sell_""),IF(COUNTIF(C$4:C112,SUBSTITUTE(C112,""Sell_"",""""))-COUNTIF(C$4:C111,C112)&lt;1,1),FALSE))))"),FALSE)</f>
        <v>0</v>
      </c>
      <c r="E112" s="59">
        <f t="array" ref="E112">IF(COUNTA(C112:C1673)=0,"",SUM((COUNTIF(C$4:C112,Upgrades!$B$3:$B$13)-COUNTIF(C$4:C112,"Sell_"&amp;Upgrades!$B$3:$B$13))*Upgrades!$D$3:$D$13))</f>
        <v>84798.6</v>
      </c>
      <c r="F112" s="66">
        <f>IFERROR(__xludf.DUMMYFUNCTION("IF(COUNTA(C112:C1673)=0,"""",IF(REGEXMATCH(INDEX(FILTER(C$4:C112,C$4:C112&lt;&gt;""""),ROWS(FILTER(C$4:C112,C$4:C112&lt;&gt;""""))),""^Sell_""),INDEX(FILTER(F$4:F111,C$4:C111&lt;&gt;""""),ROWS(FILTER(C$4:C111,C$4:C111&lt;&gt;""""))),$AC$5+E112))"),84813.6)</f>
        <v>84813.6</v>
      </c>
      <c r="G112" s="10">
        <f>IFERROR(__xludf.DUMMYFUNCTION("IF(COUNTA(C112:C1673)=0,"""",IF(C112="""",0,IF(REGEXMATCH(C112,""^Sell_""),-ROUNDDOWN(ROUNDUP(INDEX(Upgrades!$C$3:$C$13,MATCH(SUBSTITUTE(C112,""Sell_"",""""),Upgrades!$B$3:$B$13,0))*1.15^(COUNTIF(C$4:C111,SUBSTITUTE(C112,""Sell_"",""""))-COUNTIF(C$4:C111,"&amp;"""Sell_""&amp;SUBSTITUTE(C112,""Sell_"",""""))))/2),ROUNDUP(INDEX(Upgrades!$C$3:$C$13,MATCH(C112,Upgrades!$B$3:$B$13,0))*1.15^(COUNTIF(C$4:C111,C112)-COUNTIF(C$4:C111,""Sell_""&amp;C112))))))"),53503.0)</f>
        <v>53503</v>
      </c>
      <c r="H112" s="10">
        <f t="shared" si="3"/>
        <v>53503</v>
      </c>
      <c r="I112" s="68">
        <f t="shared" si="4"/>
        <v>4078.759311</v>
      </c>
      <c r="J112" s="59" t="str">
        <f t="shared" si="5"/>
        <v>1h 07m 58s</v>
      </c>
      <c r="K112" s="69">
        <f t="shared" si="6"/>
        <v>52450167</v>
      </c>
      <c r="L112" s="60">
        <f t="shared" si="7"/>
        <v>-108.7472</v>
      </c>
      <c r="M112" s="61">
        <f>IFERROR(__xludf.DUMMYFUNCTION("IFS(AND(COUNTA(C112:C1673)=0,COUNTA(Q112:Q1673)=0),"""",OR(AND(K112&gt;=1000000000,OR(Y112&gt;=1000000000,COUNTA(Q112:Q1673)=0)),OR(Y112&gt;=1000000000,AND(COUNTA(C112:C1673)=0,P$3=TRUE))),
ROUNDDOWN((AB$1-AC$1)*MAX(INDEX(T$4:T1673,MATCH(LARGE(FILTER(Y$4:Y1673,Y$4"&amp;":Y1673&lt;1000000000),1),Y$4:Y1673)),INDEX(F$4:F1673,MATCH(LARGE(FILTER(K$4:K1673,K$4:K1673&lt;1000000000),1),K$4:K1673)))),AND(K112&lt;1000000000,COUNTA(C112:C1673)&gt;0,P$3=FALSE),
ROUNDDOWN(INDEX(Y$4:Y1673,MATCH(LARGE(FILTER(W$4:W1673,W$4:W1673&lt;=I112),1),W$4:W1673"&amp;"))+(I112-LARGE(FILTER(W$4:W1673,W$4:W1673&lt;=I112),1))*INDEX(T$4:T1673,MATCH(LARGE(FILTER(W$4:W1673,W$4:W1673&lt;=I112),1),W$4:W1673))-K112),1,
ROUNDDOWN(Y112-INDEX(K$4:K1673,MATCH(LARGE(FILTER(I$4:I1673,I$4:I1673&lt;=W112),1),I$4:I1673))-(W112-LARGE(FILTER(I$4:I"&amp;"1673,I$4:I1673&lt;=W112),1))*INDEX(F$4:F1673,MATCH(LARGE(FILTER(I$4:I1673,I$4:I1673&lt;=W112),1),I$4:I1673))))"),9232558.0)</f>
        <v>9232558</v>
      </c>
      <c r="N112" s="60">
        <f t="shared" si="8"/>
        <v>-108.7472</v>
      </c>
      <c r="O112" s="61" t="str">
        <f t="shared" si="9"/>
        <v>9,2M</v>
      </c>
      <c r="P112" s="56">
        <f t="shared" si="10"/>
        <v>9</v>
      </c>
      <c r="Q112" s="67" t="s">
        <v>6</v>
      </c>
      <c r="R112" s="10" t="b">
        <f>IFERROR(__xludf.DUMMYFUNCTION("IF(COUNTA(Q112:Q1673)=0,"""",IF(ISBLANK(Q112),FALSE,IF(NOT(COUNTIF($AA$24:$AA$34,SUBSTITUTE(Q112,""Sell_"",""""))),1,IF(REGEXMATCH(Q112,""Sell_""),IF(COUNTIF(Q$4:Q112,SUBSTITUTE(Q112,""Sell_"",""""))-COUNTIF(Q$4:Q111,Q112)&lt;1,1),FALSE))))"),FALSE)</f>
        <v>0</v>
      </c>
      <c r="S112" s="59">
        <f t="array" ref="S112">IF(COUNTA(Q112:Q1673)=0,"",SUM((COUNTIF(Q$4:Q112,Upgrades!$B$3:$B$13)-COUNTIF(Q$4:Q112,"Sell_"&amp;Upgrades!$B$3:$B$13))*Upgrades!$D$3:$D$13))</f>
        <v>63150.8</v>
      </c>
      <c r="T112" s="66">
        <f>IFERROR(__xludf.DUMMYFUNCTION("IF(COUNTA(Q112:Q1673)=0,"""",IF(REGEXMATCH(INDEX(FILTER(Q$4:Q112,Q$4:Q112&lt;&gt;""""),ROWS(FILTER(Q$4:Q112,Q$4:Q112&lt;&gt;""""))),""^Sell_""),INDEX(FILTER(T$4:T111,Q$4:Q111&lt;&gt;""""),ROWS(FILTER(Q$4:Q111,Q$4:Q111&lt;&gt;""""))),$AD$5+S112))"),63165.8)</f>
        <v>63165.8</v>
      </c>
      <c r="U112" s="10">
        <f>IFERROR(__xludf.DUMMYFUNCTION("IF(COUNTA(Q112:Q1673)=0,"""",IF(Q112="""",0,IF(REGEXMATCH(Q112,""^Sell_""),-ROUNDDOWN(ROUNDUP(INDEX(Upgrades!$C$3:$C$13,MATCH(SUBSTITUTE(Q112,""Sell_"",""""),Upgrades!$B$3:$B$13,0))*1.15^(COUNTIF(Q$4:Q111,SUBSTITUTE(Q112,""Sell_"",""""))-COUNTIF(Q$4:Q111,"&amp;"""Sell_""&amp;SUBSTITUTE(Q112,""Sell_"",""""))))/2),ROUNDUP(INDEX(Upgrades!$C$3:$C$13,MATCH(Q112,Upgrades!$B$3:$B$13,0))*1.15^(COUNTIF(Q$4:Q111,Q112)-COUNTIF(Q$4:Q111,""Sell_""&amp;Q112))))))"),9178.0)</f>
        <v>9178</v>
      </c>
      <c r="V112" s="10">
        <f t="shared" si="11"/>
        <v>9178</v>
      </c>
      <c r="W112" s="68">
        <f t="shared" si="12"/>
        <v>3662.814235</v>
      </c>
      <c r="X112" s="59" t="str">
        <f t="shared" si="13"/>
        <v>1h 01m 02s</v>
      </c>
      <c r="Y112" s="69">
        <f t="shared" si="14"/>
        <v>30686537</v>
      </c>
      <c r="Z112" s="11"/>
    </row>
    <row r="113">
      <c r="A113" s="8"/>
      <c r="B113" s="56">
        <f t="shared" si="2"/>
        <v>18</v>
      </c>
      <c r="C113" s="57" t="s">
        <v>5</v>
      </c>
      <c r="D113" s="10" t="b">
        <f>IFERROR(__xludf.DUMMYFUNCTION("IF(COUNTA(C113:C1673)=0,"""",IF(ISBLANK(C113),FALSE,IF(NOT(COUNTIF($AA$24:$AA$34,SUBSTITUTE(C113,""Sell_"",""""))),1,IF(REGEXMATCH(C113,""Sell_""),IF(COUNTIF(C$4:C113,SUBSTITUTE(C113,""Sell_"",""""))-COUNTIF(C$4:C112,C113)&lt;1,1),FALSE))))"),FALSE)</f>
        <v>0</v>
      </c>
      <c r="E113" s="59">
        <f t="array" ref="E113">IF(COUNTA(C113:C1673)=0,"",SUM((COUNTIF(C$4:C113,Upgrades!$B$3:$B$13)-COUNTIF(C$4:C113,"Sell_"&amp;Upgrades!$B$3:$B$13))*Upgrades!$D$3:$D$13))</f>
        <v>84802.6</v>
      </c>
      <c r="F113" s="66">
        <f>IFERROR(__xludf.DUMMYFUNCTION("IF(COUNTA(C113:C1673)=0,"""",IF(REGEXMATCH(INDEX(FILTER(C$4:C113,C$4:C113&lt;&gt;""""),ROWS(FILTER(C$4:C113,C$4:C113&lt;&gt;""""))),""^Sell_""),INDEX(FILTER(F$4:F112,C$4:C112&lt;&gt;""""),ROWS(FILTER(C$4:C112,C$4:C112&lt;&gt;""""))),$AC$5+E113))"),84817.6)</f>
        <v>84817.6</v>
      </c>
      <c r="G113" s="10">
        <f>IFERROR(__xludf.DUMMYFUNCTION("IF(COUNTA(C113:C1673)=0,"""",IF(C113="""",0,IF(REGEXMATCH(C113,""^Sell_""),-ROUNDDOWN(ROUNDUP(INDEX(Upgrades!$C$3:$C$13,MATCH(SUBSTITUTE(C113,""Sell_"",""""),Upgrades!$B$3:$B$13,0))*1.15^(COUNTIF(C$4:C112,SUBSTITUTE(C113,""Sell_"",""""))-COUNTIF(C$4:C112,"&amp;"""Sell_""&amp;SUBSTITUTE(C113,""Sell_"",""""))))/2),ROUNDUP(INDEX(Upgrades!$C$3:$C$13,MATCH(C113,Upgrades!$B$3:$B$13,0))*1.15^(COUNTIF(C$4:C112,C113)-COUNTIF(C$4:C112,""Sell_""&amp;C113))))))"),5381.0)</f>
        <v>5381</v>
      </c>
      <c r="H113" s="10">
        <f t="shared" si="3"/>
        <v>5381</v>
      </c>
      <c r="I113" s="68">
        <f t="shared" si="4"/>
        <v>4078.822756</v>
      </c>
      <c r="J113" s="59" t="str">
        <f t="shared" si="5"/>
        <v>1h 07m 58s</v>
      </c>
      <c r="K113" s="69">
        <f t="shared" si="6"/>
        <v>52455548</v>
      </c>
      <c r="L113" s="60">
        <f t="shared" si="7"/>
        <v>-108.74687</v>
      </c>
      <c r="M113" s="61">
        <f>IFERROR(__xludf.DUMMYFUNCTION("IFS(AND(COUNTA(C113:C1673)=0,COUNTA(Q113:Q1673)=0),"""",OR(AND(K113&gt;=1000000000,OR(Y113&gt;=1000000000,COUNTA(Q113:Q1673)=0)),OR(Y113&gt;=1000000000,AND(COUNTA(C113:C1673)=0,P$3=TRUE))),
ROUNDDOWN((AB$1-AC$1)*MAX(INDEX(T$4:T1673,MATCH(LARGE(FILTER(Y$4:Y1673,Y$4"&amp;":Y1673&lt;1000000000),1),Y$4:Y1673)),INDEX(F$4:F1673,MATCH(LARGE(FILTER(K$4:K1673,K$4:K1673&lt;1000000000),1),K$4:K1673)))),AND(K113&lt;1000000000,COUNTA(C113:C1673)&gt;0,P$3=FALSE),
ROUNDDOWN(INDEX(Y$4:Y1673,MATCH(LARGE(FILTER(W$4:W1673,W$4:W1673&lt;=I113),1),W$4:W1673"&amp;"))+(I113-LARGE(FILTER(W$4:W1673,W$4:W1673&lt;=I113),1))*INDEX(T$4:T1673,MATCH(LARGE(FILTER(W$4:W1673,W$4:W1673&lt;=I113),1),W$4:W1673))-K113),1,
ROUNDDOWN(Y113-INDEX(K$4:K1673,MATCH(LARGE(FILTER(I$4:I1673,I$4:I1673&lt;=W113),1),I$4:I1673))-(W113-LARGE(FILTER(I$4:I"&amp;"1673,I$4:I1673&lt;=W113),1))*INDEX(F$4:F1673,MATCH(LARGE(FILTER(I$4:I1673,I$4:I1673&lt;=W113),1),I$4:I1673))))"),9232565.0)</f>
        <v>9232565</v>
      </c>
      <c r="N113" s="60">
        <f t="shared" si="8"/>
        <v>-108.74687</v>
      </c>
      <c r="O113" s="61" t="str">
        <f t="shared" si="9"/>
        <v>9,2M</v>
      </c>
      <c r="P113" s="56">
        <f t="shared" si="10"/>
        <v>7</v>
      </c>
      <c r="Q113" s="67" t="s">
        <v>8</v>
      </c>
      <c r="R113" s="10" t="b">
        <f>IFERROR(__xludf.DUMMYFUNCTION("IF(COUNTA(Q113:Q1673)=0,"""",IF(ISBLANK(Q113),FALSE,IF(NOT(COUNTIF($AA$24:$AA$34,SUBSTITUTE(Q113,""Sell_"",""""))),1,IF(REGEXMATCH(Q113,""Sell_""),IF(COUNTIF(Q$4:Q113,SUBSTITUTE(Q113,""Sell_"",""""))-COUNTIF(Q$4:Q112,Q113)&lt;1,1),FALSE))))"),FALSE)</f>
        <v>0</v>
      </c>
      <c r="S113" s="59">
        <f t="array" ref="S113">IF(COUNTA(Q113:Q1673)=0,"",SUM((COUNTIF(Q$4:Q113,Upgrades!$B$3:$B$13)-COUNTIF(Q$4:Q113,"Sell_"&amp;Upgrades!$B$3:$B$13))*Upgrades!$D$3:$D$13))</f>
        <v>63250.8</v>
      </c>
      <c r="T113" s="66">
        <f>IFERROR(__xludf.DUMMYFUNCTION("IF(COUNTA(Q113:Q1673)=0,"""",IF(REGEXMATCH(INDEX(FILTER(Q$4:Q113,Q$4:Q113&lt;&gt;""""),ROWS(FILTER(Q$4:Q113,Q$4:Q113&lt;&gt;""""))),""^Sell_""),INDEX(FILTER(T$4:T112,Q$4:Q112&lt;&gt;""""),ROWS(FILTER(Q$4:Q112,Q$4:Q112&lt;&gt;""""))),$AD$5+S113))"),63265.8)</f>
        <v>63265.8</v>
      </c>
      <c r="U113" s="10">
        <f>IFERROR(__xludf.DUMMYFUNCTION("IF(COUNTA(Q113:Q1673)=0,"""",IF(Q113="""",0,IF(REGEXMATCH(Q113,""^Sell_""),-ROUNDDOWN(ROUNDUP(INDEX(Upgrades!$C$3:$C$13,MATCH(SUBSTITUTE(Q113,""Sell_"",""""),Upgrades!$B$3:$B$13,0))*1.15^(COUNTIF(Q$4:Q112,SUBSTITUTE(Q113,""Sell_"",""""))-COUNTIF(Q$4:Q112,"&amp;"""Sell_""&amp;SUBSTITUTE(Q113,""Sell_"",""""))))/2),ROUNDUP(INDEX(Upgrades!$C$3:$C$13,MATCH(Q113,Upgrades!$B$3:$B$13,0))*1.15^(COUNTIF(Q$4:Q112,Q113)-COUNTIF(Q$4:Q112,""Sell_""&amp;Q113))))))"),92523.0)</f>
        <v>92523</v>
      </c>
      <c r="V113" s="10">
        <f t="shared" si="11"/>
        <v>92523</v>
      </c>
      <c r="W113" s="68">
        <f t="shared" si="12"/>
        <v>3664.278999</v>
      </c>
      <c r="X113" s="59" t="str">
        <f t="shared" si="13"/>
        <v>1h 01m 04s</v>
      </c>
      <c r="Y113" s="69">
        <f t="shared" si="14"/>
        <v>30779060</v>
      </c>
      <c r="Z113" s="11"/>
    </row>
    <row r="114">
      <c r="A114" s="8"/>
      <c r="B114" s="56">
        <f t="shared" si="2"/>
        <v>12</v>
      </c>
      <c r="C114" s="57" t="s">
        <v>6</v>
      </c>
      <c r="D114" s="10" t="b">
        <f>IFERROR(__xludf.DUMMYFUNCTION("IF(COUNTA(C114:C1673)=0,"""",IF(ISBLANK(C114),FALSE,IF(NOT(COUNTIF($AA$24:$AA$34,SUBSTITUTE(C114,""Sell_"",""""))),1,IF(REGEXMATCH(C114,""Sell_""),IF(COUNTIF(C$4:C114,SUBSTITUTE(C114,""Sell_"",""""))-COUNTIF(C$4:C113,C114)&lt;1,1),FALSE))))"),FALSE)</f>
        <v>0</v>
      </c>
      <c r="E114" s="59">
        <f t="array" ref="E114">IF(COUNTA(C114:C1673)=0,"",SUM((COUNTIF(C$4:C114,Upgrades!$B$3:$B$13)-COUNTIF(C$4:C114,"Sell_"&amp;Upgrades!$B$3:$B$13))*Upgrades!$D$3:$D$13))</f>
        <v>84812.6</v>
      </c>
      <c r="F114" s="66">
        <f>IFERROR(__xludf.DUMMYFUNCTION("IF(COUNTA(C114:C1673)=0,"""",IF(REGEXMATCH(INDEX(FILTER(C$4:C114,C$4:C114&lt;&gt;""""),ROWS(FILTER(C$4:C114,C$4:C114&lt;&gt;""""))),""^Sell_""),INDEX(FILTER(F$4:F113,C$4:C113&lt;&gt;""""),ROWS(FILTER(C$4:C113,C$4:C113&lt;&gt;""""))),$AC$5+E114))"),84827.6)</f>
        <v>84827.6</v>
      </c>
      <c r="G114" s="10">
        <f>IFERROR(__xludf.DUMMYFUNCTION("IF(COUNTA(C114:C1673)=0,"""",IF(C114="""",0,IF(REGEXMATCH(C114,""^Sell_""),-ROUNDDOWN(ROUNDUP(INDEX(Upgrades!$C$3:$C$13,MATCH(SUBSTITUTE(C114,""Sell_"",""""),Upgrades!$B$3:$B$13,0))*1.15^(COUNTIF(C$4:C113,SUBSTITUTE(C114,""Sell_"",""""))-COUNTIF(C$4:C113,"&amp;"""Sell_""&amp;SUBSTITUTE(C114,""Sell_"",""""))))/2),ROUNDUP(INDEX(Upgrades!$C$3:$C$13,MATCH(C114,Upgrades!$B$3:$B$13,0))*1.15^(COUNTIF(C$4:C113,C114)-COUNTIF(C$4:C113,""Sell_""&amp;C114))))))"),13958.0)</f>
        <v>13958</v>
      </c>
      <c r="H114" s="10">
        <f t="shared" si="3"/>
        <v>13958</v>
      </c>
      <c r="I114" s="68">
        <f t="shared" si="4"/>
        <v>4078.987321</v>
      </c>
      <c r="J114" s="59" t="str">
        <f t="shared" si="5"/>
        <v>1h 07m 58s</v>
      </c>
      <c r="K114" s="69">
        <f t="shared" si="6"/>
        <v>52469506</v>
      </c>
      <c r="L114" s="60">
        <f t="shared" si="7"/>
        <v>-108.74601</v>
      </c>
      <c r="M114" s="61">
        <f>IFERROR(__xludf.DUMMYFUNCTION("IFS(AND(COUNTA(C114:C1673)=0,COUNTA(Q114:Q1673)=0),"""",OR(AND(K114&gt;=1000000000,OR(Y114&gt;=1000000000,COUNTA(Q114:Q1673)=0)),OR(Y114&gt;=1000000000,AND(COUNTA(C114:C1673)=0,P$3=TRUE))),
ROUNDDOWN((AB$1-AC$1)*MAX(INDEX(T$4:T1673,MATCH(LARGE(FILTER(Y$4:Y1673,Y$4"&amp;":Y1673&lt;1000000000),1),Y$4:Y1673)),INDEX(F$4:F1673,MATCH(LARGE(FILTER(K$4:K1673,K$4:K1673&lt;1000000000),1),K$4:K1673)))),AND(K114&lt;1000000000,COUNTA(C114:C1673)&gt;0,P$3=FALSE),
ROUNDDOWN(INDEX(Y$4:Y1673,MATCH(LARGE(FILTER(W$4:W1673,W$4:W1673&lt;=I114),1),W$4:W1673"&amp;"))+(I114-LARGE(FILTER(W$4:W1673,W$4:W1673&lt;=I114),1))*INDEX(T$4:T1673,MATCH(LARGE(FILTER(W$4:W1673,W$4:W1673&lt;=I114),1),W$4:W1673))-K114),1,
ROUNDDOWN(Y114-INDEX(K$4:K1673,MATCH(LARGE(FILTER(I$4:I1673,I$4:I1673&lt;=W114),1),I$4:I1673))-(W114-LARGE(FILTER(I$4:I"&amp;"1673,I$4:I1673&lt;=W114),1))*INDEX(F$4:F1673,MATCH(LARGE(FILTER(I$4:I1673,I$4:I1673&lt;=W114),1),I$4:I1673))))"),9232583.0)</f>
        <v>9232583</v>
      </c>
      <c r="N114" s="60">
        <f t="shared" si="8"/>
        <v>-108.74601</v>
      </c>
      <c r="O114" s="61" t="str">
        <f t="shared" si="9"/>
        <v>9,2M</v>
      </c>
      <c r="P114" s="56">
        <f t="shared" si="10"/>
        <v>14</v>
      </c>
      <c r="Q114" s="67" t="s">
        <v>3</v>
      </c>
      <c r="R114" s="10" t="b">
        <f>IFERROR(__xludf.DUMMYFUNCTION("IF(COUNTA(Q114:Q1673)=0,"""",IF(ISBLANK(Q114),FALSE,IF(NOT(COUNTIF($AA$24:$AA$34,SUBSTITUTE(Q114,""Sell_"",""""))),1,IF(REGEXMATCH(Q114,""Sell_""),IF(COUNTIF(Q$4:Q114,SUBSTITUTE(Q114,""Sell_"",""""))-COUNTIF(Q$4:Q113,Q114)&lt;1,1),FALSE))))"),FALSE)</f>
        <v>0</v>
      </c>
      <c r="S114" s="59">
        <f t="array" ref="S114">IF(COUNTA(Q114:Q1673)=0,"",SUM((COUNTIF(Q$4:Q114,Upgrades!$B$3:$B$13)-COUNTIF(Q$4:Q114,"Sell_"&amp;Upgrades!$B$3:$B$13))*Upgrades!$D$3:$D$13))</f>
        <v>63250.9</v>
      </c>
      <c r="T114" s="66">
        <f>IFERROR(__xludf.DUMMYFUNCTION("IF(COUNTA(Q114:Q1673)=0,"""",IF(REGEXMATCH(INDEX(FILTER(Q$4:Q114,Q$4:Q114&lt;&gt;""""),ROWS(FILTER(Q$4:Q114,Q$4:Q114&lt;&gt;""""))),""^Sell_""),INDEX(FILTER(T$4:T113,Q$4:Q113&lt;&gt;""""),ROWS(FILTER(Q$4:Q113,Q$4:Q113&lt;&gt;""""))),$AD$5+S114))"),63265.9)</f>
        <v>63265.9</v>
      </c>
      <c r="U114" s="10">
        <f>IFERROR(__xludf.DUMMYFUNCTION("IF(COUNTA(Q114:Q1673)=0,"""",IF(Q114="""",0,IF(REGEXMATCH(Q114,""^Sell_""),-ROUNDDOWN(ROUNDUP(INDEX(Upgrades!$C$3:$C$13,MATCH(SUBSTITUTE(Q114,""Sell_"",""""),Upgrades!$B$3:$B$13,0))*1.15^(COUNTIF(Q$4:Q113,SUBSTITUTE(Q114,""Sell_"",""""))-COUNTIF(Q$4:Q113,"&amp;"""Sell_""&amp;SUBSTITUTE(Q114,""Sell_"",""""))))/2),ROUNDUP(INDEX(Upgrades!$C$3:$C$13,MATCH(Q114,Upgrades!$B$3:$B$13,0))*1.15^(COUNTIF(Q$4:Q113,Q114)-COUNTIF(Q$4:Q113,""Sell_""&amp;Q114))))))"),93.0)</f>
        <v>93</v>
      </c>
      <c r="V114" s="10">
        <f t="shared" si="11"/>
        <v>93</v>
      </c>
      <c r="W114" s="68">
        <f t="shared" si="12"/>
        <v>3664.280469</v>
      </c>
      <c r="X114" s="59" t="str">
        <f t="shared" si="13"/>
        <v>1h 01m 04s</v>
      </c>
      <c r="Y114" s="69">
        <f t="shared" si="14"/>
        <v>30779153</v>
      </c>
      <c r="Z114" s="11"/>
    </row>
    <row r="115">
      <c r="A115" s="8"/>
      <c r="B115" s="56">
        <f t="shared" si="2"/>
        <v>10</v>
      </c>
      <c r="C115" s="57" t="s">
        <v>8</v>
      </c>
      <c r="D115" s="10" t="b">
        <f>IFERROR(__xludf.DUMMYFUNCTION("IF(COUNTA(C115:C1673)=0,"""",IF(ISBLANK(C115),FALSE,IF(NOT(COUNTIF($AA$24:$AA$34,SUBSTITUTE(C115,""Sell_"",""""))),1,IF(REGEXMATCH(C115,""Sell_""),IF(COUNTIF(C$4:C115,SUBSTITUTE(C115,""Sell_"",""""))-COUNTIF(C$4:C114,C115)&lt;1,1),FALSE))))"),FALSE)</f>
        <v>0</v>
      </c>
      <c r="E115" s="59">
        <f t="array" ref="E115">IF(COUNTA(C115:C1673)=0,"",SUM((COUNTIF(C$4:C115,Upgrades!$B$3:$B$13)-COUNTIF(C$4:C115,"Sell_"&amp;Upgrades!$B$3:$B$13))*Upgrades!$D$3:$D$13))</f>
        <v>84912.6</v>
      </c>
      <c r="F115" s="66">
        <f>IFERROR(__xludf.DUMMYFUNCTION("IF(COUNTA(C115:C1673)=0,"""",IF(REGEXMATCH(INDEX(FILTER(C$4:C115,C$4:C115&lt;&gt;""""),ROWS(FILTER(C$4:C115,C$4:C115&lt;&gt;""""))),""^Sell_""),INDEX(FILTER(F$4:F114,C$4:C114&lt;&gt;""""),ROWS(FILTER(C$4:C114,C$4:C114&lt;&gt;""""))),$AC$5+E115))"),84927.6)</f>
        <v>84927.6</v>
      </c>
      <c r="G115" s="10">
        <f>IFERROR(__xludf.DUMMYFUNCTION("IF(COUNTA(C115:C1673)=0,"""",IF(C115="""",0,IF(REGEXMATCH(C115,""^Sell_""),-ROUNDDOWN(ROUNDUP(INDEX(Upgrades!$C$3:$C$13,MATCH(SUBSTITUTE(C115,""Sell_"",""""),Upgrades!$B$3:$B$13,0))*1.15^(COUNTIF(C$4:C114,SUBSTITUTE(C115,""Sell_"",""""))-COUNTIF(C$4:C114,"&amp;"""Sell_""&amp;SUBSTITUTE(C115,""Sell_"",""""))))/2),ROUNDUP(INDEX(Upgrades!$C$3:$C$13,MATCH(C115,Upgrades!$B$3:$B$13,0))*1.15^(COUNTIF(C$4:C114,C115)-COUNTIF(C$4:C114,""Sell_""&amp;C115))))))"),140716.0)</f>
        <v>140716</v>
      </c>
      <c r="H115" s="10">
        <f t="shared" si="3"/>
        <v>140716</v>
      </c>
      <c r="I115" s="68">
        <f t="shared" si="4"/>
        <v>4080.646168</v>
      </c>
      <c r="J115" s="59" t="str">
        <f t="shared" si="5"/>
        <v>1h 08m 00s</v>
      </c>
      <c r="K115" s="69">
        <f t="shared" si="6"/>
        <v>52610222</v>
      </c>
      <c r="L115" s="60">
        <f t="shared" si="7"/>
        <v>-108.73708</v>
      </c>
      <c r="M115" s="61">
        <f>IFERROR(__xludf.DUMMYFUNCTION("IFS(AND(COUNTA(C115:C1673)=0,COUNTA(Q115:Q1673)=0),"""",OR(AND(K115&gt;=1000000000,OR(Y115&gt;=1000000000,COUNTA(Q115:Q1673)=0)),OR(Y115&gt;=1000000000,AND(COUNTA(C115:C1673)=0,P$3=TRUE))),
ROUNDDOWN((AB$1-AC$1)*MAX(INDEX(T$4:T1673,MATCH(LARGE(FILTER(Y$4:Y1673,Y$4"&amp;":Y1673&lt;1000000000),1),Y$4:Y1673)),INDEX(F$4:F1673,MATCH(LARGE(FILTER(K$4:K1673,K$4:K1673&lt;1000000000),1),K$4:K1673)))),AND(K115&lt;1000000000,COUNTA(C115:C1673)&gt;0,P$3=FALSE),
ROUNDDOWN(INDEX(Y$4:Y1673,MATCH(LARGE(FILTER(W$4:W1673,W$4:W1673&lt;=I115),1),W$4:W1673"&amp;"))+(I115-LARGE(FILTER(W$4:W1673,W$4:W1673&lt;=I115),1))*INDEX(T$4:T1673,MATCH(LARGE(FILTER(W$4:W1673,W$4:W1673&lt;=I115),1),W$4:W1673))-K115),1,
ROUNDDOWN(Y115-INDEX(K$4:K1673,MATCH(LARGE(FILTER(I$4:I1673,I$4:I1673&lt;=W115),1),I$4:I1673))-(W115-LARGE(FILTER(I$4:I"&amp;"1673,I$4:I1673&lt;=W115),1))*INDEX(F$4:F1673,MATCH(LARGE(FILTER(I$4:I1673,I$4:I1673&lt;=W115),1),I$4:I1673))))"),9232750.0)</f>
        <v>9232750</v>
      </c>
      <c r="N115" s="60">
        <f t="shared" si="8"/>
        <v>-108.73708</v>
      </c>
      <c r="O115" s="61" t="str">
        <f t="shared" si="9"/>
        <v>9,2M</v>
      </c>
      <c r="P115" s="56">
        <f t="shared" si="10"/>
        <v>12</v>
      </c>
      <c r="Q115" s="67" t="s">
        <v>4</v>
      </c>
      <c r="R115" s="10" t="b">
        <f>IFERROR(__xludf.DUMMYFUNCTION("IF(COUNTA(Q115:Q1673)=0,"""",IF(ISBLANK(Q115),FALSE,IF(NOT(COUNTIF($AA$24:$AA$34,SUBSTITUTE(Q115,""Sell_"",""""))),1,IF(REGEXMATCH(Q115,""Sell_""),IF(COUNTIF(Q$4:Q115,SUBSTITUTE(Q115,""Sell_"",""""))-COUNTIF(Q$4:Q114,Q115)&lt;1,1),FALSE))))"),FALSE)</f>
        <v>0</v>
      </c>
      <c r="S115" s="59">
        <f t="array" ref="S115">IF(COUNTA(Q115:Q1673)=0,"",SUM((COUNTIF(Q$4:Q115,Upgrades!$B$3:$B$13)-COUNTIF(Q$4:Q115,"Sell_"&amp;Upgrades!$B$3:$B$13))*Upgrades!$D$3:$D$13))</f>
        <v>63251.4</v>
      </c>
      <c r="T115" s="66">
        <f>IFERROR(__xludf.DUMMYFUNCTION("IF(COUNTA(Q115:Q1673)=0,"""",IF(REGEXMATCH(INDEX(FILTER(Q$4:Q115,Q$4:Q115&lt;&gt;""""),ROWS(FILTER(Q$4:Q115,Q$4:Q115&lt;&gt;""""))),""^Sell_""),INDEX(FILTER(T$4:T114,Q$4:Q114&lt;&gt;""""),ROWS(FILTER(Q$4:Q114,Q$4:Q114&lt;&gt;""""))),$AD$5+S115))"),63266.4)</f>
        <v>63266.4</v>
      </c>
      <c r="U115" s="10">
        <f>IFERROR(__xludf.DUMMYFUNCTION("IF(COUNTA(Q115:Q1673)=0,"""",IF(Q115="""",0,IF(REGEXMATCH(Q115,""^Sell_""),-ROUNDDOWN(ROUNDUP(INDEX(Upgrades!$C$3:$C$13,MATCH(SUBSTITUTE(Q115,""Sell_"",""""),Upgrades!$B$3:$B$13,0))*1.15^(COUNTIF(Q$4:Q114,SUBSTITUTE(Q115,""Sell_"",""""))-COUNTIF(Q$4:Q114,"&amp;"""Sell_""&amp;SUBSTITUTE(Q115,""Sell_"",""""))))/2),ROUNDUP(INDEX(Upgrades!$C$3:$C$13,MATCH(Q115,Upgrades!$B$3:$B$13,0))*1.15^(COUNTIF(Q$4:Q114,Q115)-COUNTIF(Q$4:Q114,""Sell_""&amp;Q115))))))"),466.0)</f>
        <v>466</v>
      </c>
      <c r="V115" s="10">
        <f t="shared" si="11"/>
        <v>466</v>
      </c>
      <c r="W115" s="68">
        <f t="shared" si="12"/>
        <v>3664.287835</v>
      </c>
      <c r="X115" s="59" t="str">
        <f t="shared" si="13"/>
        <v>1h 01m 04s</v>
      </c>
      <c r="Y115" s="69">
        <f t="shared" si="14"/>
        <v>30779619</v>
      </c>
      <c r="Z115" s="11"/>
    </row>
    <row r="116">
      <c r="A116" s="8"/>
      <c r="B116" s="56">
        <f t="shared" si="2"/>
        <v>17</v>
      </c>
      <c r="C116" s="57" t="s">
        <v>3</v>
      </c>
      <c r="D116" s="10" t="b">
        <f>IFERROR(__xludf.DUMMYFUNCTION("IF(COUNTA(C116:C1673)=0,"""",IF(ISBLANK(C116),FALSE,IF(NOT(COUNTIF($AA$24:$AA$34,SUBSTITUTE(C116,""Sell_"",""""))),1,IF(REGEXMATCH(C116,""Sell_""),IF(COUNTIF(C$4:C116,SUBSTITUTE(C116,""Sell_"",""""))-COUNTIF(C$4:C115,C116)&lt;1,1),FALSE))))"),FALSE)</f>
        <v>0</v>
      </c>
      <c r="E116" s="59">
        <f t="array" ref="E116">IF(COUNTA(C116:C1673)=0,"",SUM((COUNTIF(C$4:C116,Upgrades!$B$3:$B$13)-COUNTIF(C$4:C116,"Sell_"&amp;Upgrades!$B$3:$B$13))*Upgrades!$D$3:$D$13))</f>
        <v>84912.7</v>
      </c>
      <c r="F116" s="66">
        <f>IFERROR(__xludf.DUMMYFUNCTION("IF(COUNTA(C116:C1673)=0,"""",IF(REGEXMATCH(INDEX(FILTER(C$4:C116,C$4:C116&lt;&gt;""""),ROWS(FILTER(C$4:C116,C$4:C116&lt;&gt;""""))),""^Sell_""),INDEX(FILTER(F$4:F115,C$4:C115&lt;&gt;""""),ROWS(FILTER(C$4:C115,C$4:C115&lt;&gt;""""))),$AC$5+E116))"),84927.7)</f>
        <v>84927.7</v>
      </c>
      <c r="G116" s="10">
        <f>IFERROR(__xludf.DUMMYFUNCTION("IF(COUNTA(C116:C1673)=0,"""",IF(C116="""",0,IF(REGEXMATCH(C116,""^Sell_""),-ROUNDDOWN(ROUNDUP(INDEX(Upgrades!$C$3:$C$13,MATCH(SUBSTITUTE(C116,""Sell_"",""""),Upgrades!$B$3:$B$13,0))*1.15^(COUNTIF(C$4:C115,SUBSTITUTE(C116,""Sell_"",""""))-COUNTIF(C$4:C115,"&amp;"""Sell_""&amp;SUBSTITUTE(C116,""Sell_"",""""))))/2),ROUNDUP(INDEX(Upgrades!$C$3:$C$13,MATCH(C116,Upgrades!$B$3:$B$13,0))*1.15^(COUNTIF(C$4:C115,C116)-COUNTIF(C$4:C115,""Sell_""&amp;C116))))))"),141.0)</f>
        <v>141</v>
      </c>
      <c r="H116" s="10">
        <f t="shared" si="3"/>
        <v>141</v>
      </c>
      <c r="I116" s="68">
        <f t="shared" si="4"/>
        <v>4080.647828</v>
      </c>
      <c r="J116" s="59" t="str">
        <f t="shared" si="5"/>
        <v>1h 08m 00s</v>
      </c>
      <c r="K116" s="69">
        <f t="shared" si="6"/>
        <v>52610363</v>
      </c>
      <c r="L116" s="60">
        <f t="shared" si="7"/>
        <v>-108.73707</v>
      </c>
      <c r="M116" s="61">
        <f>IFERROR(__xludf.DUMMYFUNCTION("IFS(AND(COUNTA(C116:C1673)=0,COUNTA(Q116:Q1673)=0),"""",OR(AND(K116&gt;=1000000000,OR(Y116&gt;=1000000000,COUNTA(Q116:Q1673)=0)),OR(Y116&gt;=1000000000,AND(COUNTA(C116:C1673)=0,P$3=TRUE))),
ROUNDDOWN((AB$1-AC$1)*MAX(INDEX(T$4:T1673,MATCH(LARGE(FILTER(Y$4:Y1673,Y$4"&amp;":Y1673&lt;1000000000),1),Y$4:Y1673)),INDEX(F$4:F1673,MATCH(LARGE(FILTER(K$4:K1673,K$4:K1673&lt;1000000000),1),K$4:K1673)))),AND(K116&lt;1000000000,COUNTA(C116:C1673)&gt;0,P$3=FALSE),
ROUNDDOWN(INDEX(Y$4:Y1673,MATCH(LARGE(FILTER(W$4:W1673,W$4:W1673&lt;=I116),1),W$4:W1673"&amp;"))+(I116-LARGE(FILTER(W$4:W1673,W$4:W1673&lt;=I116),1))*INDEX(T$4:T1673,MATCH(LARGE(FILTER(W$4:W1673,W$4:W1673&lt;=I116),1),W$4:W1673))-K116),1,
ROUNDDOWN(Y116-INDEX(K$4:K1673,MATCH(LARGE(FILTER(I$4:I1673,I$4:I1673&lt;=W116),1),I$4:I1673))-(W116-LARGE(FILTER(I$4:I"&amp;"1673,I$4:I1673&lt;=W116),1))*INDEX(F$4:F1673,MATCH(LARGE(FILTER(I$4:I1673,I$4:I1673&lt;=W116),1),I$4:I1673))))"),9232750.0)</f>
        <v>9232750</v>
      </c>
      <c r="N116" s="60">
        <f t="shared" si="8"/>
        <v>-108.73707</v>
      </c>
      <c r="O116" s="61" t="str">
        <f t="shared" si="9"/>
        <v>9,2M</v>
      </c>
      <c r="P116" s="56">
        <f t="shared" si="10"/>
        <v>10</v>
      </c>
      <c r="Q116" s="67" t="s">
        <v>10</v>
      </c>
      <c r="R116" s="10" t="b">
        <f>IFERROR(__xludf.DUMMYFUNCTION("IF(COUNTA(Q116:Q1673)=0,"""",IF(ISBLANK(Q116),FALSE,IF(NOT(COUNTIF($AA$24:$AA$34,SUBSTITUTE(Q116,""Sell_"",""""))),1,IF(REGEXMATCH(Q116,""Sell_""),IF(COUNTIF(Q$4:Q116,SUBSTITUTE(Q116,""Sell_"",""""))-COUNTIF(Q$4:Q115,Q116)&lt;1,1),FALSE))))"),FALSE)</f>
        <v>0</v>
      </c>
      <c r="S116" s="59">
        <f t="array" ref="S116">IF(COUNTA(Q116:Q1673)=0,"",SUM((COUNTIF(Q$4:Q116,Upgrades!$B$3:$B$13)-COUNTIF(Q$4:Q116,"Sell_"&amp;Upgrades!$B$3:$B$13))*Upgrades!$D$3:$D$13))</f>
        <v>69917.4</v>
      </c>
      <c r="T116" s="66">
        <f>IFERROR(__xludf.DUMMYFUNCTION("IF(COUNTA(Q116:Q1673)=0,"""",IF(REGEXMATCH(INDEX(FILTER(Q$4:Q116,Q$4:Q116&lt;&gt;""""),ROWS(FILTER(Q$4:Q116,Q$4:Q116&lt;&gt;""""))),""^Sell_""),INDEX(FILTER(T$4:T115,Q$4:Q115&lt;&gt;""""),ROWS(FILTER(Q$4:Q115,Q$4:Q115&lt;&gt;""""))),$AD$5+S116))"),69932.4)</f>
        <v>69932.4</v>
      </c>
      <c r="U116" s="10">
        <f>IFERROR(__xludf.DUMMYFUNCTION("IF(COUNTA(Q116:Q1673)=0,"""",IF(Q116="""",0,IF(REGEXMATCH(Q116,""^Sell_""),-ROUNDDOWN(ROUNDUP(INDEX(Upgrades!$C$3:$C$13,MATCH(SUBSTITUTE(Q116,""Sell_"",""""),Upgrades!$B$3:$B$13,0))*1.15^(COUNTIF(Q$4:Q115,SUBSTITUTE(Q116,""Sell_"",""""))-COUNTIF(Q$4:Q115,"&amp;"""Sell_""&amp;SUBSTITUTE(Q116,""Sell_"",""""))))/2),ROUNDUP(INDEX(Upgrades!$C$3:$C$13,MATCH(Q116,Upgrades!$B$3:$B$13,0))*1.15^(COUNTIF(Q$4:Q115,Q116)-COUNTIF(Q$4:Q115,""Sell_""&amp;Q116))))))"),5863125.0)</f>
        <v>5863125</v>
      </c>
      <c r="V116" s="10">
        <f t="shared" si="11"/>
        <v>5863125</v>
      </c>
      <c r="W116" s="68">
        <f t="shared" si="12"/>
        <v>3756.961434</v>
      </c>
      <c r="X116" s="59" t="str">
        <f t="shared" si="13"/>
        <v>1h 02m 36s</v>
      </c>
      <c r="Y116" s="69">
        <f t="shared" si="14"/>
        <v>36642744</v>
      </c>
      <c r="Z116" s="11"/>
    </row>
    <row r="117">
      <c r="A117" s="8"/>
      <c r="B117" s="56">
        <f t="shared" si="2"/>
        <v>15</v>
      </c>
      <c r="C117" s="57" t="s">
        <v>4</v>
      </c>
      <c r="D117" s="10" t="b">
        <f>IFERROR(__xludf.DUMMYFUNCTION("IF(COUNTA(C117:C1673)=0,"""",IF(ISBLANK(C117),FALSE,IF(NOT(COUNTIF($AA$24:$AA$34,SUBSTITUTE(C117,""Sell_"",""""))),1,IF(REGEXMATCH(C117,""Sell_""),IF(COUNTIF(C$4:C117,SUBSTITUTE(C117,""Sell_"",""""))-COUNTIF(C$4:C116,C117)&lt;1,1),FALSE))))"),FALSE)</f>
        <v>0</v>
      </c>
      <c r="E117" s="59">
        <f t="array" ref="E117">IF(COUNTA(C117:C1673)=0,"",SUM((COUNTIF(C$4:C117,Upgrades!$B$3:$B$13)-COUNTIF(C$4:C117,"Sell_"&amp;Upgrades!$B$3:$B$13))*Upgrades!$D$3:$D$13))</f>
        <v>84913.2</v>
      </c>
      <c r="F117" s="66">
        <f>IFERROR(__xludf.DUMMYFUNCTION("IF(COUNTA(C117:C1673)=0,"""",IF(REGEXMATCH(INDEX(FILTER(C$4:C117,C$4:C117&lt;&gt;""""),ROWS(FILTER(C$4:C117,C$4:C117&lt;&gt;""""))),""^Sell_""),INDEX(FILTER(F$4:F116,C$4:C116&lt;&gt;""""),ROWS(FILTER(C$4:C116,C$4:C116&lt;&gt;""""))),$AC$5+E117))"),84928.2)</f>
        <v>84928.2</v>
      </c>
      <c r="G117" s="10">
        <f>IFERROR(__xludf.DUMMYFUNCTION("IF(COUNTA(C117:C1673)=0,"""",IF(C117="""",0,IF(REGEXMATCH(C117,""^Sell_""),-ROUNDDOWN(ROUNDUP(INDEX(Upgrades!$C$3:$C$13,MATCH(SUBSTITUTE(C117,""Sell_"",""""),Upgrades!$B$3:$B$13,0))*1.15^(COUNTIF(C$4:C116,SUBSTITUTE(C117,""Sell_"",""""))-COUNTIF(C$4:C116,"&amp;"""Sell_""&amp;SUBSTITUTE(C117,""Sell_"",""""))))/2),ROUNDUP(INDEX(Upgrades!$C$3:$C$13,MATCH(C117,Upgrades!$B$3:$B$13,0))*1.15^(COUNTIF(C$4:C116,C117)-COUNTIF(C$4:C116,""Sell_""&amp;C117))))))"),708.0)</f>
        <v>708</v>
      </c>
      <c r="H117" s="10">
        <f t="shared" si="3"/>
        <v>708</v>
      </c>
      <c r="I117" s="68">
        <f t="shared" si="4"/>
        <v>4080.656164</v>
      </c>
      <c r="J117" s="59" t="str">
        <f t="shared" si="5"/>
        <v>1h 08m 00s</v>
      </c>
      <c r="K117" s="69">
        <f t="shared" si="6"/>
        <v>52611071</v>
      </c>
      <c r="L117" s="60">
        <f t="shared" si="7"/>
        <v>-108.73702</v>
      </c>
      <c r="M117" s="61">
        <f>IFERROR(__xludf.DUMMYFUNCTION("IFS(AND(COUNTA(C117:C1673)=0,COUNTA(Q117:Q1673)=0),"""",OR(AND(K117&gt;=1000000000,OR(Y117&gt;=1000000000,COUNTA(Q117:Q1673)=0)),OR(Y117&gt;=1000000000,AND(COUNTA(C117:C1673)=0,P$3=TRUE))),
ROUNDDOWN((AB$1-AC$1)*MAX(INDEX(T$4:T1673,MATCH(LARGE(FILTER(Y$4:Y1673,Y$4"&amp;":Y1673&lt;1000000000),1),Y$4:Y1673)),INDEX(F$4:F1673,MATCH(LARGE(FILTER(K$4:K1673,K$4:K1673&lt;1000000000),1),K$4:K1673)))),AND(K117&lt;1000000000,COUNTA(C117:C1673)&gt;0,P$3=FALSE),
ROUNDDOWN(INDEX(Y$4:Y1673,MATCH(LARGE(FILTER(W$4:W1673,W$4:W1673&lt;=I117),1),W$4:W1673"&amp;"))+(I117-LARGE(FILTER(W$4:W1673,W$4:W1673&lt;=I117),1))*INDEX(T$4:T1673,MATCH(LARGE(FILTER(W$4:W1673,W$4:W1673&lt;=I117),1),W$4:W1673))-K117),1,
ROUNDDOWN(Y117-INDEX(K$4:K1673,MATCH(LARGE(FILTER(I$4:I1673,I$4:I1673&lt;=W117),1),I$4:I1673))-(W117-LARGE(FILTER(I$4:I"&amp;"1673,I$4:I1673&lt;=W117),1))*INDEX(F$4:F1673,MATCH(LARGE(FILTER(I$4:I1673,I$4:I1673&lt;=W117),1),I$4:I1673))))"),9232750.0)</f>
        <v>9232750</v>
      </c>
      <c r="N117" s="60">
        <f t="shared" si="8"/>
        <v>-108.73702</v>
      </c>
      <c r="O117" s="61" t="str">
        <f t="shared" si="9"/>
        <v>9,2M</v>
      </c>
      <c r="P117" s="56">
        <f t="shared" si="10"/>
        <v>6</v>
      </c>
      <c r="Q117" s="67" t="s">
        <v>9</v>
      </c>
      <c r="R117" s="10" t="b">
        <f>IFERROR(__xludf.DUMMYFUNCTION("IF(COUNTA(Q117:Q1673)=0,"""",IF(ISBLANK(Q117),FALSE,IF(NOT(COUNTIF($AA$24:$AA$34,SUBSTITUTE(Q117,""Sell_"",""""))),1,IF(REGEXMATCH(Q117,""Sell_""),IF(COUNTIF(Q$4:Q117,SUBSTITUTE(Q117,""Sell_"",""""))-COUNTIF(Q$4:Q116,Q117)&lt;1,1),FALSE))))"),FALSE)</f>
        <v>0</v>
      </c>
      <c r="S117" s="59">
        <f t="array" ref="S117">IF(COUNTA(Q117:Q1673)=0,"",SUM((COUNTIF(Q$4:Q117,Upgrades!$B$3:$B$13)-COUNTIF(Q$4:Q117,"Sell_"&amp;Upgrades!$B$3:$B$13))*Upgrades!$D$3:$D$13))</f>
        <v>70317.4</v>
      </c>
      <c r="T117" s="66">
        <f>IFERROR(__xludf.DUMMYFUNCTION("IF(COUNTA(Q117:Q1673)=0,"""",IF(REGEXMATCH(INDEX(FILTER(Q$4:Q117,Q$4:Q117&lt;&gt;""""),ROWS(FILTER(Q$4:Q117,Q$4:Q117&lt;&gt;""""))),""^Sell_""),INDEX(FILTER(T$4:T116,Q$4:Q116&lt;&gt;""""),ROWS(FILTER(Q$4:Q116,Q$4:Q116&lt;&gt;""""))),$AD$5+S117))"),70332.4)</f>
        <v>70332.4</v>
      </c>
      <c r="U117" s="10">
        <f>IFERROR(__xludf.DUMMYFUNCTION("IF(COUNTA(Q117:Q1673)=0,"""",IF(Q117="""",0,IF(REGEXMATCH(Q117,""^Sell_""),-ROUNDDOWN(ROUNDUP(INDEX(Upgrades!$C$3:$C$13,MATCH(SUBSTITUTE(Q117,""Sell_"",""""),Upgrades!$B$3:$B$13,0))*1.15^(COUNTIF(Q$4:Q116,SUBSTITUTE(Q117,""Sell_"",""""))-COUNTIF(Q$4:Q116,"&amp;"""Sell_""&amp;SUBSTITUTE(Q117,""Sell_"",""""))))/2),ROUNDUP(INDEX(Upgrades!$C$3:$C$13,MATCH(Q117,Upgrades!$B$3:$B$13,0))*1.15^(COUNTIF(Q$4:Q116,Q117)-COUNTIF(Q$4:Q116,""Sell_""&amp;Q117))))))"),402272.0)</f>
        <v>402272</v>
      </c>
      <c r="V117" s="10">
        <f t="shared" si="11"/>
        <v>402272</v>
      </c>
      <c r="W117" s="68">
        <f t="shared" si="12"/>
        <v>3762.713732</v>
      </c>
      <c r="X117" s="59" t="str">
        <f t="shared" si="13"/>
        <v>1h 02m 42s</v>
      </c>
      <c r="Y117" s="69">
        <f t="shared" si="14"/>
        <v>37045016</v>
      </c>
      <c r="Z117" s="11"/>
    </row>
    <row r="118">
      <c r="A118" s="8"/>
      <c r="B118" s="56">
        <f t="shared" si="2"/>
        <v>13</v>
      </c>
      <c r="C118" s="57" t="s">
        <v>10</v>
      </c>
      <c r="D118" s="10" t="b">
        <f>IFERROR(__xludf.DUMMYFUNCTION("IF(COUNTA(C118:C1673)=0,"""",IF(ISBLANK(C118),FALSE,IF(NOT(COUNTIF($AA$24:$AA$34,SUBSTITUTE(C118,""Sell_"",""""))),1,IF(REGEXMATCH(C118,""Sell_""),IF(COUNTIF(C$4:C118,SUBSTITUTE(C118,""Sell_"",""""))-COUNTIF(C$4:C117,C118)&lt;1,1),FALSE))))"),FALSE)</f>
        <v>0</v>
      </c>
      <c r="E118" s="59">
        <f t="array" ref="E118">IF(COUNTA(C118:C1673)=0,"",SUM((COUNTIF(C$4:C118,Upgrades!$B$3:$B$13)-COUNTIF(C$4:C118,"Sell_"&amp;Upgrades!$B$3:$B$13))*Upgrades!$D$3:$D$13))</f>
        <v>91579.2</v>
      </c>
      <c r="F118" s="66">
        <f>IFERROR(__xludf.DUMMYFUNCTION("IF(COUNTA(C118:C1673)=0,"""",IF(REGEXMATCH(INDEX(FILTER(C$4:C118,C$4:C118&lt;&gt;""""),ROWS(FILTER(C$4:C118,C$4:C118&lt;&gt;""""))),""^Sell_""),INDEX(FILTER(F$4:F117,C$4:C117&lt;&gt;""""),ROWS(FILTER(C$4:C117,C$4:C117&lt;&gt;""""))),$AC$5+E118))"),91594.2)</f>
        <v>91594.2</v>
      </c>
      <c r="G118" s="10">
        <f>IFERROR(__xludf.DUMMYFUNCTION("IF(COUNTA(C118:C1673)=0,"""",IF(C118="""",0,IF(REGEXMATCH(C118,""^Sell_""),-ROUNDDOWN(ROUNDUP(INDEX(Upgrades!$C$3:$C$13,MATCH(SUBSTITUTE(C118,""Sell_"",""""),Upgrades!$B$3:$B$13,0))*1.15^(COUNTIF(C$4:C117,SUBSTITUTE(C118,""Sell_"",""""))-COUNTIF(C$4:C117,"&amp;"""Sell_""&amp;SUBSTITUTE(C118,""Sell_"",""""))))/2),ROUNDUP(INDEX(Upgrades!$C$3:$C$13,MATCH(C118,Upgrades!$B$3:$B$13,0))*1.15^(COUNTIF(C$4:C117,C118)-COUNTIF(C$4:C117,""Sell_""&amp;C118))))))"),8917080.0)</f>
        <v>8917080</v>
      </c>
      <c r="H118" s="10">
        <f t="shared" si="3"/>
        <v>8917080</v>
      </c>
      <c r="I118" s="68">
        <f t="shared" si="4"/>
        <v>4185.651678</v>
      </c>
      <c r="J118" s="59" t="str">
        <f t="shared" si="5"/>
        <v>1h 09m 45s</v>
      </c>
      <c r="K118" s="69">
        <f t="shared" si="6"/>
        <v>61528151</v>
      </c>
      <c r="L118" s="60">
        <f t="shared" si="7"/>
        <v>-108.71242</v>
      </c>
      <c r="M118" s="61">
        <f>IFERROR(__xludf.DUMMYFUNCTION("IFS(AND(COUNTA(C118:C1673)=0,COUNTA(Q118:Q1673)=0),"""",OR(AND(K118&gt;=1000000000,OR(Y118&gt;=1000000000,COUNTA(Q118:Q1673)=0)),OR(Y118&gt;=1000000000,AND(COUNTA(C118:C1673)=0,P$3=TRUE))),
ROUNDDOWN((AB$1-AC$1)*MAX(INDEX(T$4:T1673,MATCH(LARGE(FILTER(Y$4:Y1673,Y$4"&amp;":Y1673&lt;1000000000),1),Y$4:Y1673)),INDEX(F$4:F1673,MATCH(LARGE(FILTER(K$4:K1673,K$4:K1673&lt;1000000000),1),K$4:K1673)))),AND(K118&lt;1000000000,COUNTA(C118:C1673)&gt;0,P$3=FALSE),
ROUNDDOWN(INDEX(Y$4:Y1673,MATCH(LARGE(FILTER(W$4:W1673,W$4:W1673&lt;=I118),1),W$4:W1673"&amp;"))+(I118-LARGE(FILTER(W$4:W1673,W$4:W1673&lt;=I118),1))*INDEX(T$4:T1673,MATCH(LARGE(FILTER(W$4:W1673,W$4:W1673&lt;=I118),1),W$4:W1673))-K118),1,
ROUNDDOWN(Y118-INDEX(K$4:K1673,MATCH(LARGE(FILTER(I$4:I1673,I$4:I1673&lt;=W118),1),I$4:I1673))-(W118-LARGE(FILTER(I$4:I"&amp;"1673,I$4:I1673&lt;=W118),1))*INDEX(F$4:F1673,MATCH(LARGE(FILTER(I$4:I1673,I$4:I1673&lt;=W118),1),I$4:I1673))))"),9972208.0)</f>
        <v>9972208</v>
      </c>
      <c r="N118" s="60">
        <f t="shared" si="8"/>
        <v>-108.71242</v>
      </c>
      <c r="O118" s="61" t="str">
        <f t="shared" si="9"/>
        <v>10,0M</v>
      </c>
      <c r="P118" s="56">
        <f t="shared" si="10"/>
        <v>11</v>
      </c>
      <c r="Q118" s="67" t="s">
        <v>7</v>
      </c>
      <c r="R118" s="10" t="b">
        <f>IFERROR(__xludf.DUMMYFUNCTION("IF(COUNTA(Q118:Q1673)=0,"""",IF(ISBLANK(Q118),FALSE,IF(NOT(COUNTIF($AA$24:$AA$34,SUBSTITUTE(Q118,""Sell_"",""""))),1,IF(REGEXMATCH(Q118,""Sell_""),IF(COUNTIF(Q$4:Q118,SUBSTITUTE(Q118,""Sell_"",""""))-COUNTIF(Q$4:Q117,Q118)&lt;1,1),FALSE))))"),FALSE)</f>
        <v>0</v>
      </c>
      <c r="S118" s="59">
        <f t="array" ref="S118">IF(COUNTA(Q118:Q1673)=0,"",SUM((COUNTIF(Q$4:Q118,Upgrades!$B$3:$B$13)-COUNTIF(Q$4:Q118,"Sell_"&amp;Upgrades!$B$3:$B$13))*Upgrades!$D$3:$D$13))</f>
        <v>70357.4</v>
      </c>
      <c r="T118" s="66">
        <f>IFERROR(__xludf.DUMMYFUNCTION("IF(COUNTA(Q118:Q1673)=0,"""",IF(REGEXMATCH(INDEX(FILTER(Q$4:Q118,Q$4:Q118&lt;&gt;""""),ROWS(FILTER(Q$4:Q118,Q$4:Q118&lt;&gt;""""))),""^Sell_""),INDEX(FILTER(T$4:T117,Q$4:Q117&lt;&gt;""""),ROWS(FILTER(Q$4:Q117,Q$4:Q117&lt;&gt;""""))),$AD$5+S118))"),70372.4)</f>
        <v>70372.4</v>
      </c>
      <c r="U118" s="10">
        <f>IFERROR(__xludf.DUMMYFUNCTION("IF(COUNTA(Q118:Q1673)=0,"""",IF(Q118="""",0,IF(REGEXMATCH(Q118,""^Sell_""),-ROUNDDOWN(ROUNDUP(INDEX(Upgrades!$C$3:$C$13,MATCH(SUBSTITUTE(Q118,""Sell_"",""""),Upgrades!$B$3:$B$13,0))*1.15^(COUNTIF(Q$4:Q117,SUBSTITUTE(Q118,""Sell_"",""""))-COUNTIF(Q$4:Q117,"&amp;"""Sell_""&amp;SUBSTITUTE(Q118,""Sell_"",""""))))/2),ROUNDUP(INDEX(Upgrades!$C$3:$C$13,MATCH(Q118,Upgrades!$B$3:$B$13,0))*1.15^(COUNTIF(Q$4:Q117,Q118)-COUNTIF(Q$4:Q117,""Sell_""&amp;Q118))))))"),40456.0)</f>
        <v>40456</v>
      </c>
      <c r="V118" s="10">
        <f t="shared" si="11"/>
        <v>40456</v>
      </c>
      <c r="W118" s="68">
        <f t="shared" si="12"/>
        <v>3763.288943</v>
      </c>
      <c r="X118" s="59" t="str">
        <f t="shared" si="13"/>
        <v>1h 02m 43s</v>
      </c>
      <c r="Y118" s="69">
        <f t="shared" si="14"/>
        <v>37085472</v>
      </c>
      <c r="Z118" s="11"/>
    </row>
    <row r="119">
      <c r="A119" s="8"/>
      <c r="B119" s="56">
        <f t="shared" si="2"/>
        <v>9</v>
      </c>
      <c r="C119" s="57" t="s">
        <v>9</v>
      </c>
      <c r="D119" s="10" t="b">
        <f>IFERROR(__xludf.DUMMYFUNCTION("IF(COUNTA(C119:C1673)=0,"""",IF(ISBLANK(C119),FALSE,IF(NOT(COUNTIF($AA$24:$AA$34,SUBSTITUTE(C119,""Sell_"",""""))),1,IF(REGEXMATCH(C119,""Sell_""),IF(COUNTIF(C$4:C119,SUBSTITUTE(C119,""Sell_"",""""))-COUNTIF(C$4:C118,C119)&lt;1,1),FALSE))))"),FALSE)</f>
        <v>0</v>
      </c>
      <c r="E119" s="59">
        <f t="array" ref="E119">IF(COUNTA(C119:C1673)=0,"",SUM((COUNTIF(C$4:C119,Upgrades!$B$3:$B$13)-COUNTIF(C$4:C119,"Sell_"&amp;Upgrades!$B$3:$B$13))*Upgrades!$D$3:$D$13))</f>
        <v>91979.2</v>
      </c>
      <c r="F119" s="66">
        <f>IFERROR(__xludf.DUMMYFUNCTION("IF(COUNTA(C119:C1673)=0,"""",IF(REGEXMATCH(INDEX(FILTER(C$4:C119,C$4:C119&lt;&gt;""""),ROWS(FILTER(C$4:C119,C$4:C119&lt;&gt;""""))),""^Sell_""),INDEX(FILTER(F$4:F118,C$4:C118&lt;&gt;""""),ROWS(FILTER(C$4:C118,C$4:C118&lt;&gt;""""))),$AC$5+E119))"),91994.2)</f>
        <v>91994.2</v>
      </c>
      <c r="G119" s="10">
        <f>IFERROR(__xludf.DUMMYFUNCTION("IF(COUNTA(C119:C1673)=0,"""",IF(C119="""",0,IF(REGEXMATCH(C119,""^Sell_""),-ROUNDDOWN(ROUNDUP(INDEX(Upgrades!$C$3:$C$13,MATCH(SUBSTITUTE(C119,""Sell_"",""""),Upgrades!$B$3:$B$13,0))*1.15^(COUNTIF(C$4:C118,SUBSTITUTE(C119,""Sell_"",""""))-COUNTIF(C$4:C118,"&amp;"""Sell_""&amp;SUBSTITUTE(C119,""Sell_"",""""))))/2),ROUNDUP(INDEX(Upgrades!$C$3:$C$13,MATCH(C119,Upgrades!$B$3:$B$13,0))*1.15^(COUNTIF(C$4:C118,C119)-COUNTIF(C$4:C118,""Sell_""&amp;C119))))))"),611805.0)</f>
        <v>611805</v>
      </c>
      <c r="H119" s="10">
        <f t="shared" si="3"/>
        <v>611805</v>
      </c>
      <c r="I119" s="68">
        <f t="shared" si="4"/>
        <v>4192.331195</v>
      </c>
      <c r="J119" s="59" t="str">
        <f t="shared" si="5"/>
        <v>1h 09m 52s</v>
      </c>
      <c r="K119" s="69">
        <f t="shared" si="6"/>
        <v>62139956</v>
      </c>
      <c r="L119" s="60">
        <f t="shared" si="7"/>
        <v>-108.29414</v>
      </c>
      <c r="M119" s="61">
        <f>IFERROR(__xludf.DUMMYFUNCTION("IFS(AND(COUNTA(C119:C1673)=0,COUNTA(Q119:Q1673)=0),"""",OR(AND(K119&gt;=1000000000,OR(Y119&gt;=1000000000,COUNTA(Q119:Q1673)=0)),OR(Y119&gt;=1000000000,AND(COUNTA(C119:C1673)=0,P$3=TRUE))),
ROUNDDOWN((AB$1-AC$1)*MAX(INDEX(T$4:T1673,MATCH(LARGE(FILTER(Y$4:Y1673,Y$4"&amp;":Y1673&lt;1000000000),1),Y$4:Y1673)),INDEX(F$4:F1673,MATCH(LARGE(FILTER(K$4:K1673,K$4:K1673&lt;1000000000),1),K$4:K1673)))),AND(K119&lt;1000000000,COUNTA(C119:C1673)&gt;0,P$3=FALSE),
ROUNDDOWN(INDEX(Y$4:Y1673,MATCH(LARGE(FILTER(W$4:W1673,W$4:W1673&lt;=I119),1),W$4:W1673"&amp;"))+(I119-LARGE(FILTER(W$4:W1673,W$4:W1673&lt;=I119),1))*INDEX(T$4:T1673,MATCH(LARGE(FILTER(W$4:W1673,W$4:W1673&lt;=I119),1),W$4:W1673))-K119),1,
ROUNDDOWN(Y119-INDEX(K$4:K1673,MATCH(LARGE(FILTER(I$4:I1673,I$4:I1673&lt;=W119),1),I$4:I1673))-(W119-LARGE(FILTER(I$4:I"&amp;"1673,I$4:I1673&lt;=W119),1))*INDEX(F$4:F1673,MATCH(LARGE(FILTER(I$4:I1673,I$4:I1673&lt;=W119),1),I$4:I1673))))"),9975913.0)</f>
        <v>9975913</v>
      </c>
      <c r="N119" s="60">
        <f t="shared" si="8"/>
        <v>-108.29414</v>
      </c>
      <c r="O119" s="61" t="str">
        <f t="shared" si="9"/>
        <v>10,0M</v>
      </c>
      <c r="P119" s="56">
        <f t="shared" si="10"/>
        <v>16</v>
      </c>
      <c r="Q119" s="67" t="s">
        <v>5</v>
      </c>
      <c r="R119" s="10" t="b">
        <f>IFERROR(__xludf.DUMMYFUNCTION("IF(COUNTA(Q119:Q1673)=0,"""",IF(ISBLANK(Q119),FALSE,IF(NOT(COUNTIF($AA$24:$AA$34,SUBSTITUTE(Q119,""Sell_"",""""))),1,IF(REGEXMATCH(Q119,""Sell_""),IF(COUNTIF(Q$4:Q119,SUBSTITUTE(Q119,""Sell_"",""""))-COUNTIF(Q$4:Q118,Q119)&lt;1,1),FALSE))))"),FALSE)</f>
        <v>0</v>
      </c>
      <c r="S119" s="59">
        <f t="array" ref="S119">IF(COUNTA(Q119:Q1673)=0,"",SUM((COUNTIF(Q$4:Q119,Upgrades!$B$3:$B$13)-COUNTIF(Q$4:Q119,"Sell_"&amp;Upgrades!$B$3:$B$13))*Upgrades!$D$3:$D$13))</f>
        <v>70361.4</v>
      </c>
      <c r="T119" s="66">
        <f>IFERROR(__xludf.DUMMYFUNCTION("IF(COUNTA(Q119:Q1673)=0,"""",IF(REGEXMATCH(INDEX(FILTER(Q$4:Q119,Q$4:Q119&lt;&gt;""""),ROWS(FILTER(Q$4:Q119,Q$4:Q119&lt;&gt;""""))),""^Sell_""),INDEX(FILTER(T$4:T118,Q$4:Q118&lt;&gt;""""),ROWS(FILTER(Q$4:Q118,Q$4:Q118&lt;&gt;""""))),$AD$5+S119))"),70376.4)</f>
        <v>70376.4</v>
      </c>
      <c r="U119" s="10">
        <f>IFERROR(__xludf.DUMMYFUNCTION("IF(COUNTA(Q119:Q1673)=0,"""",IF(Q119="""",0,IF(REGEXMATCH(Q119,""^Sell_""),-ROUNDDOWN(ROUNDUP(INDEX(Upgrades!$C$3:$C$13,MATCH(SUBSTITUTE(Q119,""Sell_"",""""),Upgrades!$B$3:$B$13,0))*1.15^(COUNTIF(Q$4:Q118,SUBSTITUTE(Q119,""Sell_"",""""))-COUNTIF(Q$4:Q118,"&amp;"""Sell_""&amp;SUBSTITUTE(Q119,""Sell_"",""""))))/2),ROUNDUP(INDEX(Upgrades!$C$3:$C$13,MATCH(Q119,Upgrades!$B$3:$B$13,0))*1.15^(COUNTIF(Q$4:Q118,Q119)-COUNTIF(Q$4:Q118,""Sell_""&amp;Q119))))))"),4069.0)</f>
        <v>4069</v>
      </c>
      <c r="V119" s="10">
        <f t="shared" si="11"/>
        <v>4069</v>
      </c>
      <c r="W119" s="68">
        <f t="shared" si="12"/>
        <v>3763.346764</v>
      </c>
      <c r="X119" s="59" t="str">
        <f t="shared" si="13"/>
        <v>1h 02m 43s</v>
      </c>
      <c r="Y119" s="69">
        <f t="shared" si="14"/>
        <v>37089541</v>
      </c>
      <c r="Z119" s="11"/>
    </row>
    <row r="120">
      <c r="A120" s="8"/>
      <c r="B120" s="56">
        <f t="shared" si="2"/>
        <v>14</v>
      </c>
      <c r="C120" s="57" t="s">
        <v>7</v>
      </c>
      <c r="D120" s="10" t="b">
        <f>IFERROR(__xludf.DUMMYFUNCTION("IF(COUNTA(C120:C1673)=0,"""",IF(ISBLANK(C120),FALSE,IF(NOT(COUNTIF($AA$24:$AA$34,SUBSTITUTE(C120,""Sell_"",""""))),1,IF(REGEXMATCH(C120,""Sell_""),IF(COUNTIF(C$4:C120,SUBSTITUTE(C120,""Sell_"",""""))-COUNTIF(C$4:C119,C120)&lt;1,1),FALSE))))"),FALSE)</f>
        <v>0</v>
      </c>
      <c r="E120" s="59">
        <f t="array" ref="E120">IF(COUNTA(C120:C1673)=0,"",SUM((COUNTIF(C$4:C120,Upgrades!$B$3:$B$13)-COUNTIF(C$4:C120,"Sell_"&amp;Upgrades!$B$3:$B$13))*Upgrades!$D$3:$D$13))</f>
        <v>92019.2</v>
      </c>
      <c r="F120" s="66">
        <f>IFERROR(__xludf.DUMMYFUNCTION("IF(COUNTA(C120:C1673)=0,"""",IF(REGEXMATCH(INDEX(FILTER(C$4:C120,C$4:C120&lt;&gt;""""),ROWS(FILTER(C$4:C120,C$4:C120&lt;&gt;""""))),""^Sell_""),INDEX(FILTER(F$4:F119,C$4:C119&lt;&gt;""""),ROWS(FILTER(C$4:C119,C$4:C119&lt;&gt;""""))),$AC$5+E120))"),92034.2)</f>
        <v>92034.2</v>
      </c>
      <c r="G120" s="10">
        <f>IFERROR(__xludf.DUMMYFUNCTION("IF(COUNTA(C120:C1673)=0,"""",IF(C120="""",0,IF(REGEXMATCH(C120,""^Sell_""),-ROUNDDOWN(ROUNDUP(INDEX(Upgrades!$C$3:$C$13,MATCH(SUBSTITUTE(C120,""Sell_"",""""),Upgrades!$B$3:$B$13,0))*1.15^(COUNTIF(C$4:C119,SUBSTITUTE(C120,""Sell_"",""""))-COUNTIF(C$4:C119,"&amp;"""Sell_""&amp;SUBSTITUTE(C120,""Sell_"",""""))))/2),ROUNDUP(INDEX(Upgrades!$C$3:$C$13,MATCH(C120,Upgrades!$B$3:$B$13,0))*1.15^(COUNTIF(C$4:C119,C120)-COUNTIF(C$4:C119,""Sell_""&amp;C120))))))"),61528.0)</f>
        <v>61528</v>
      </c>
      <c r="H120" s="10">
        <f t="shared" si="3"/>
        <v>61528</v>
      </c>
      <c r="I120" s="68">
        <f t="shared" si="4"/>
        <v>4193.00002</v>
      </c>
      <c r="J120" s="59" t="str">
        <f t="shared" si="5"/>
        <v>1h 09m 53s</v>
      </c>
      <c r="K120" s="69">
        <f t="shared" si="6"/>
        <v>62201484</v>
      </c>
      <c r="L120" s="60">
        <f t="shared" si="7"/>
        <v>-108.29122</v>
      </c>
      <c r="M120" s="61">
        <f>IFERROR(__xludf.DUMMYFUNCTION("IFS(AND(COUNTA(C120:C1673)=0,COUNTA(Q120:Q1673)=0),"""",OR(AND(K120&gt;=1000000000,OR(Y120&gt;=1000000000,COUNTA(Q120:Q1673)=0)),OR(Y120&gt;=1000000000,AND(COUNTA(C120:C1673)=0,P$3=TRUE))),
ROUNDDOWN((AB$1-AC$1)*MAX(INDEX(T$4:T1673,MATCH(LARGE(FILTER(Y$4:Y1673,Y$4"&amp;":Y1673&lt;1000000000),1),Y$4:Y1673)),INDEX(F$4:F1673,MATCH(LARGE(FILTER(K$4:K1673,K$4:K1673&lt;1000000000),1),K$4:K1673)))),AND(K120&lt;1000000000,COUNTA(C120:C1673)&gt;0,P$3=FALSE),
ROUNDDOWN(INDEX(Y$4:Y1673,MATCH(LARGE(FILTER(W$4:W1673,W$4:W1673&lt;=I120),1),W$4:W1673"&amp;"))+(I120-LARGE(FILTER(W$4:W1673,W$4:W1673&lt;=I120),1))*INDEX(T$4:T1673,MATCH(LARGE(FILTER(W$4:W1673,W$4:W1673&lt;=I120),1),W$4:W1673))-K120),1,
ROUNDDOWN(Y120-INDEX(K$4:K1673,MATCH(LARGE(FILTER(I$4:I1673,I$4:I1673&lt;=W120),1),I$4:I1673))-(W120-LARGE(FILTER(I$4:I"&amp;"1673,I$4:I1673&lt;=W120),1))*INDEX(F$4:F1673,MATCH(LARGE(FILTER(I$4:I1673,I$4:I1673&lt;=W120),1),I$4:I1673))))"),9976016.0)</f>
        <v>9976016</v>
      </c>
      <c r="N120" s="60">
        <f t="shared" si="8"/>
        <v>-108.29122</v>
      </c>
      <c r="O120" s="61" t="str">
        <f t="shared" si="9"/>
        <v>10,0M</v>
      </c>
      <c r="P120" s="56">
        <f t="shared" si="10"/>
        <v>10</v>
      </c>
      <c r="Q120" s="67" t="s">
        <v>6</v>
      </c>
      <c r="R120" s="10" t="b">
        <f>IFERROR(__xludf.DUMMYFUNCTION("IF(COUNTA(Q120:Q1673)=0,"""",IF(ISBLANK(Q120),FALSE,IF(NOT(COUNTIF($AA$24:$AA$34,SUBSTITUTE(Q120,""Sell_"",""""))),1,IF(REGEXMATCH(Q120,""Sell_""),IF(COUNTIF(Q$4:Q120,SUBSTITUTE(Q120,""Sell_"",""""))-COUNTIF(Q$4:Q119,Q120)&lt;1,1),FALSE))))"),FALSE)</f>
        <v>0</v>
      </c>
      <c r="S120" s="59">
        <f t="array" ref="S120">IF(COUNTA(Q120:Q1673)=0,"",SUM((COUNTIF(Q$4:Q120,Upgrades!$B$3:$B$13)-COUNTIF(Q$4:Q120,"Sell_"&amp;Upgrades!$B$3:$B$13))*Upgrades!$D$3:$D$13))</f>
        <v>70371.4</v>
      </c>
      <c r="T120" s="66">
        <f>IFERROR(__xludf.DUMMYFUNCTION("IF(COUNTA(Q120:Q1673)=0,"""",IF(REGEXMATCH(INDEX(FILTER(Q$4:Q120,Q$4:Q120&lt;&gt;""""),ROWS(FILTER(Q$4:Q120,Q$4:Q120&lt;&gt;""""))),""^Sell_""),INDEX(FILTER(T$4:T119,Q$4:Q119&lt;&gt;""""),ROWS(FILTER(Q$4:Q119,Q$4:Q119&lt;&gt;""""))),$AD$5+S120))"),70386.4)</f>
        <v>70386.4</v>
      </c>
      <c r="U120" s="10">
        <f>IFERROR(__xludf.DUMMYFUNCTION("IF(COUNTA(Q120:Q1673)=0,"""",IF(Q120="""",0,IF(REGEXMATCH(Q120,""^Sell_""),-ROUNDDOWN(ROUNDUP(INDEX(Upgrades!$C$3:$C$13,MATCH(SUBSTITUTE(Q120,""Sell_"",""""),Upgrades!$B$3:$B$13,0))*1.15^(COUNTIF(Q$4:Q119,SUBSTITUTE(Q120,""Sell_"",""""))-COUNTIF(Q$4:Q119,"&amp;"""Sell_""&amp;SUBSTITUTE(Q120,""Sell_"",""""))))/2),ROUNDUP(INDEX(Upgrades!$C$3:$C$13,MATCH(Q120,Upgrades!$B$3:$B$13,0))*1.15^(COUNTIF(Q$4:Q119,Q120)-COUNTIF(Q$4:Q119,""Sell_""&amp;Q120))))))"),10554.0)</f>
        <v>10554</v>
      </c>
      <c r="V120" s="10">
        <f t="shared" si="11"/>
        <v>10554</v>
      </c>
      <c r="W120" s="68">
        <f t="shared" si="12"/>
        <v>3763.496729</v>
      </c>
      <c r="X120" s="59" t="str">
        <f t="shared" si="13"/>
        <v>1h 02m 43s</v>
      </c>
      <c r="Y120" s="69">
        <f t="shared" si="14"/>
        <v>37100095</v>
      </c>
      <c r="Z120" s="11"/>
    </row>
    <row r="121">
      <c r="A121" s="8"/>
      <c r="B121" s="56">
        <f t="shared" si="2"/>
        <v>19</v>
      </c>
      <c r="C121" s="57" t="s">
        <v>5</v>
      </c>
      <c r="D121" s="10" t="b">
        <f>IFERROR(__xludf.DUMMYFUNCTION("IF(COUNTA(C121:C1673)=0,"""",IF(ISBLANK(C121),FALSE,IF(NOT(COUNTIF($AA$24:$AA$34,SUBSTITUTE(C121,""Sell_"",""""))),1,IF(REGEXMATCH(C121,""Sell_""),IF(COUNTIF(C$4:C121,SUBSTITUTE(C121,""Sell_"",""""))-COUNTIF(C$4:C120,C121)&lt;1,1),FALSE))))"),FALSE)</f>
        <v>0</v>
      </c>
      <c r="E121" s="59">
        <f t="array" ref="E121">IF(COUNTA(C121:C1673)=0,"",SUM((COUNTIF(C$4:C121,Upgrades!$B$3:$B$13)-COUNTIF(C$4:C121,"Sell_"&amp;Upgrades!$B$3:$B$13))*Upgrades!$D$3:$D$13))</f>
        <v>92023.2</v>
      </c>
      <c r="F121" s="66">
        <f>IFERROR(__xludf.DUMMYFUNCTION("IF(COUNTA(C121:C1673)=0,"""",IF(REGEXMATCH(INDEX(FILTER(C$4:C121,C$4:C121&lt;&gt;""""),ROWS(FILTER(C$4:C121,C$4:C121&lt;&gt;""""))),""^Sell_""),INDEX(FILTER(F$4:F120,C$4:C120&lt;&gt;""""),ROWS(FILTER(C$4:C120,C$4:C120&lt;&gt;""""))),$AC$5+E121))"),92038.2)</f>
        <v>92038.2</v>
      </c>
      <c r="G121" s="10">
        <f>IFERROR(__xludf.DUMMYFUNCTION("IF(COUNTA(C121:C1673)=0,"""",IF(C121="""",0,IF(REGEXMATCH(C121,""^Sell_""),-ROUNDDOWN(ROUNDUP(INDEX(Upgrades!$C$3:$C$13,MATCH(SUBSTITUTE(C121,""Sell_"",""""),Upgrades!$B$3:$B$13,0))*1.15^(COUNTIF(C$4:C120,SUBSTITUTE(C121,""Sell_"",""""))-COUNTIF(C$4:C120,"&amp;"""Sell_""&amp;SUBSTITUTE(C121,""Sell_"",""""))))/2),ROUNDUP(INDEX(Upgrades!$C$3:$C$13,MATCH(C121,Upgrades!$B$3:$B$13,0))*1.15^(COUNTIF(C$4:C120,C121)-COUNTIF(C$4:C120,""Sell_""&amp;C121))))))"),6188.0)</f>
        <v>6188</v>
      </c>
      <c r="H121" s="10">
        <f t="shared" si="3"/>
        <v>6188</v>
      </c>
      <c r="I121" s="68">
        <f t="shared" si="4"/>
        <v>4193.067256</v>
      </c>
      <c r="J121" s="59" t="str">
        <f t="shared" si="5"/>
        <v>1h 09m 53s</v>
      </c>
      <c r="K121" s="69">
        <f t="shared" si="6"/>
        <v>62207672</v>
      </c>
      <c r="L121" s="60">
        <f t="shared" si="7"/>
        <v>-108.2909</v>
      </c>
      <c r="M121" s="61">
        <f>IFERROR(__xludf.DUMMYFUNCTION("IFS(AND(COUNTA(C121:C1673)=0,COUNTA(Q121:Q1673)=0),"""",OR(AND(K121&gt;=1000000000,OR(Y121&gt;=1000000000,COUNTA(Q121:Q1673)=0)),OR(Y121&gt;=1000000000,AND(COUNTA(C121:C1673)=0,P$3=TRUE))),
ROUNDDOWN((AB$1-AC$1)*MAX(INDEX(T$4:T1673,MATCH(LARGE(FILTER(Y$4:Y1673,Y$4"&amp;":Y1673&lt;1000000000),1),Y$4:Y1673)),INDEX(F$4:F1673,MATCH(LARGE(FILTER(K$4:K1673,K$4:K1673&lt;1000000000),1),K$4:K1673)))),AND(K121&lt;1000000000,COUNTA(C121:C1673)&gt;0,P$3=FALSE),
ROUNDDOWN(INDEX(Y$4:Y1673,MATCH(LARGE(FILTER(W$4:W1673,W$4:W1673&lt;=I121),1),W$4:W1673"&amp;"))+(I121-LARGE(FILTER(W$4:W1673,W$4:W1673&lt;=I121),1))*INDEX(T$4:T1673,MATCH(LARGE(FILTER(W$4:W1673,W$4:W1673&lt;=I121),1),W$4:W1673))-K121),1,
ROUNDDOWN(Y121-INDEX(K$4:K1673,MATCH(LARGE(FILTER(I$4:I1673,I$4:I1673&lt;=W121),1),I$4:I1673))-(W121-LARGE(FILTER(I$4:I"&amp;"1673,I$4:I1673&lt;=W121),1))*INDEX(F$4:F1673,MATCH(LARGE(FILTER(I$4:I1673,I$4:I1673&lt;=W121),1),I$4:I1673))))"),9976024.0)</f>
        <v>9976024</v>
      </c>
      <c r="N121" s="60">
        <f t="shared" si="8"/>
        <v>-108.2909</v>
      </c>
      <c r="O121" s="61" t="str">
        <f t="shared" si="9"/>
        <v>10,0M</v>
      </c>
      <c r="P121" s="56">
        <f t="shared" si="10"/>
        <v>8</v>
      </c>
      <c r="Q121" s="67" t="s">
        <v>8</v>
      </c>
      <c r="R121" s="10" t="b">
        <f>IFERROR(__xludf.DUMMYFUNCTION("IF(COUNTA(Q121:Q1673)=0,"""",IF(ISBLANK(Q121),FALSE,IF(NOT(COUNTIF($AA$24:$AA$34,SUBSTITUTE(Q121,""Sell_"",""""))),1,IF(REGEXMATCH(Q121,""Sell_""),IF(COUNTIF(Q$4:Q121,SUBSTITUTE(Q121,""Sell_"",""""))-COUNTIF(Q$4:Q120,Q121)&lt;1,1),FALSE))))"),FALSE)</f>
        <v>0</v>
      </c>
      <c r="S121" s="59">
        <f t="array" ref="S121">IF(COUNTA(Q121:Q1673)=0,"",SUM((COUNTIF(Q$4:Q121,Upgrades!$B$3:$B$13)-COUNTIF(Q$4:Q121,"Sell_"&amp;Upgrades!$B$3:$B$13))*Upgrades!$D$3:$D$13))</f>
        <v>70471.4</v>
      </c>
      <c r="T121" s="66">
        <f>IFERROR(__xludf.DUMMYFUNCTION("IF(COUNTA(Q121:Q1673)=0,"""",IF(REGEXMATCH(INDEX(FILTER(Q$4:Q121,Q$4:Q121&lt;&gt;""""),ROWS(FILTER(Q$4:Q121,Q$4:Q121&lt;&gt;""""))),""^Sell_""),INDEX(FILTER(T$4:T120,Q$4:Q120&lt;&gt;""""),ROWS(FILTER(Q$4:Q120,Q$4:Q120&lt;&gt;""""))),$AD$5+S121))"),70486.4)</f>
        <v>70486.4</v>
      </c>
      <c r="U121" s="10">
        <f>IFERROR(__xludf.DUMMYFUNCTION("IF(COUNTA(Q121:Q1673)=0,"""",IF(Q121="""",0,IF(REGEXMATCH(Q121,""^Sell_""),-ROUNDDOWN(ROUNDUP(INDEX(Upgrades!$C$3:$C$13,MATCH(SUBSTITUTE(Q121,""Sell_"",""""),Upgrades!$B$3:$B$13,0))*1.15^(COUNTIF(Q$4:Q120,SUBSTITUTE(Q121,""Sell_"",""""))-COUNTIF(Q$4:Q120,"&amp;"""Sell_""&amp;SUBSTITUTE(Q121,""Sell_"",""""))))/2),ROUNDUP(INDEX(Upgrades!$C$3:$C$13,MATCH(Q121,Upgrades!$B$3:$B$13,0))*1.15^(COUNTIF(Q$4:Q120,Q121)-COUNTIF(Q$4:Q120,""Sell_""&amp;Q121))))))"),106401.0)</f>
        <v>106401</v>
      </c>
      <c r="V121" s="10">
        <f t="shared" si="11"/>
        <v>106401</v>
      </c>
      <c r="W121" s="68">
        <f t="shared" si="12"/>
        <v>3765.008399</v>
      </c>
      <c r="X121" s="59" t="str">
        <f t="shared" si="13"/>
        <v>1h 02m 45s</v>
      </c>
      <c r="Y121" s="69">
        <f t="shared" si="14"/>
        <v>37206496</v>
      </c>
      <c r="Z121" s="11"/>
    </row>
    <row r="122">
      <c r="A122" s="8"/>
      <c r="B122" s="56">
        <f t="shared" si="2"/>
        <v>13</v>
      </c>
      <c r="C122" s="57" t="s">
        <v>6</v>
      </c>
      <c r="D122" s="10" t="b">
        <f>IFERROR(__xludf.DUMMYFUNCTION("IF(COUNTA(C122:C1673)=0,"""",IF(ISBLANK(C122),FALSE,IF(NOT(COUNTIF($AA$24:$AA$34,SUBSTITUTE(C122,""Sell_"",""""))),1,IF(REGEXMATCH(C122,""Sell_""),IF(COUNTIF(C$4:C122,SUBSTITUTE(C122,""Sell_"",""""))-COUNTIF(C$4:C121,C122)&lt;1,1),FALSE))))"),FALSE)</f>
        <v>0</v>
      </c>
      <c r="E122" s="59">
        <f t="array" ref="E122">IF(COUNTA(C122:C1673)=0,"",SUM((COUNTIF(C$4:C122,Upgrades!$B$3:$B$13)-COUNTIF(C$4:C122,"Sell_"&amp;Upgrades!$B$3:$B$13))*Upgrades!$D$3:$D$13))</f>
        <v>92033.2</v>
      </c>
      <c r="F122" s="66">
        <f>IFERROR(__xludf.DUMMYFUNCTION("IF(COUNTA(C122:C1673)=0,"""",IF(REGEXMATCH(INDEX(FILTER(C$4:C122,C$4:C122&lt;&gt;""""),ROWS(FILTER(C$4:C122,C$4:C122&lt;&gt;""""))),""^Sell_""),INDEX(FILTER(F$4:F121,C$4:C121&lt;&gt;""""),ROWS(FILTER(C$4:C121,C$4:C121&lt;&gt;""""))),$AC$5+E122))"),92048.2)</f>
        <v>92048.2</v>
      </c>
      <c r="G122" s="10">
        <f>IFERROR(__xludf.DUMMYFUNCTION("IF(COUNTA(C122:C1673)=0,"""",IF(C122="""",0,IF(REGEXMATCH(C122,""^Sell_""),-ROUNDDOWN(ROUNDUP(INDEX(Upgrades!$C$3:$C$13,MATCH(SUBSTITUTE(C122,""Sell_"",""""),Upgrades!$B$3:$B$13,0))*1.15^(COUNTIF(C$4:C121,SUBSTITUTE(C122,""Sell_"",""""))-COUNTIF(C$4:C121,"&amp;"""Sell_""&amp;SUBSTITUTE(C122,""Sell_"",""""))))/2),ROUNDUP(INDEX(Upgrades!$C$3:$C$13,MATCH(C122,Upgrades!$B$3:$B$13,0))*1.15^(COUNTIF(C$4:C121,C122)-COUNTIF(C$4:C121,""Sell_""&amp;C122))))))"),16051.0)</f>
        <v>16051</v>
      </c>
      <c r="H122" s="10">
        <f t="shared" si="3"/>
        <v>16051</v>
      </c>
      <c r="I122" s="68">
        <f t="shared" si="4"/>
        <v>4193.241651</v>
      </c>
      <c r="J122" s="59" t="str">
        <f t="shared" si="5"/>
        <v>1h 09m 53s</v>
      </c>
      <c r="K122" s="69">
        <f t="shared" si="6"/>
        <v>62223723</v>
      </c>
      <c r="L122" s="60">
        <f t="shared" si="7"/>
        <v>-108.29005</v>
      </c>
      <c r="M122" s="61">
        <f>IFERROR(__xludf.DUMMYFUNCTION("IFS(AND(COUNTA(C122:C1673)=0,COUNTA(Q122:Q1673)=0),"""",OR(AND(K122&gt;=1000000000,OR(Y122&gt;=1000000000,COUNTA(Q122:Q1673)=0)),OR(Y122&gt;=1000000000,AND(COUNTA(C122:C1673)=0,P$3=TRUE))),
ROUNDDOWN((AB$1-AC$1)*MAX(INDEX(T$4:T1673,MATCH(LARGE(FILTER(Y$4:Y1673,Y$4"&amp;":Y1673&lt;1000000000),1),Y$4:Y1673)),INDEX(F$4:F1673,MATCH(LARGE(FILTER(K$4:K1673,K$4:K1673&lt;1000000000),1),K$4:K1673)))),AND(K122&lt;1000000000,COUNTA(C122:C1673)&gt;0,P$3=FALSE),
ROUNDDOWN(INDEX(Y$4:Y1673,MATCH(LARGE(FILTER(W$4:W1673,W$4:W1673&lt;=I122),1),W$4:W1673"&amp;"))+(I122-LARGE(FILTER(W$4:W1673,W$4:W1673&lt;=I122),1))*INDEX(T$4:T1673,MATCH(LARGE(FILTER(W$4:W1673,W$4:W1673&lt;=I122),1),W$4:W1673))-K122),1,
ROUNDDOWN(Y122-INDEX(K$4:K1673,MATCH(LARGE(FILTER(I$4:I1673,I$4:I1673&lt;=W122),1),I$4:I1673))-(W122-LARGE(FILTER(I$4:I"&amp;"1673,I$4:I1673&lt;=W122),1))*INDEX(F$4:F1673,MATCH(LARGE(FILTER(I$4:I1673,I$4:I1673&lt;=W122),1),I$4:I1673))))"),9976043.0)</f>
        <v>9976043</v>
      </c>
      <c r="N122" s="60">
        <f t="shared" si="8"/>
        <v>-108.29005</v>
      </c>
      <c r="O122" s="61" t="str">
        <f t="shared" si="9"/>
        <v>10,0M</v>
      </c>
      <c r="P122" s="56">
        <f t="shared" si="10"/>
        <v>15</v>
      </c>
      <c r="Q122" s="67" t="s">
        <v>3</v>
      </c>
      <c r="R122" s="10" t="b">
        <f>IFERROR(__xludf.DUMMYFUNCTION("IF(COUNTA(Q122:Q1673)=0,"""",IF(ISBLANK(Q122),FALSE,IF(NOT(COUNTIF($AA$24:$AA$34,SUBSTITUTE(Q122,""Sell_"",""""))),1,IF(REGEXMATCH(Q122,""Sell_""),IF(COUNTIF(Q$4:Q122,SUBSTITUTE(Q122,""Sell_"",""""))-COUNTIF(Q$4:Q121,Q122)&lt;1,1),FALSE))))"),FALSE)</f>
        <v>0</v>
      </c>
      <c r="S122" s="59">
        <f t="array" ref="S122">IF(COUNTA(Q122:Q1673)=0,"",SUM((COUNTIF(Q$4:Q122,Upgrades!$B$3:$B$13)-COUNTIF(Q$4:Q122,"Sell_"&amp;Upgrades!$B$3:$B$13))*Upgrades!$D$3:$D$13))</f>
        <v>70471.5</v>
      </c>
      <c r="T122" s="66">
        <f>IFERROR(__xludf.DUMMYFUNCTION("IF(COUNTA(Q122:Q1673)=0,"""",IF(REGEXMATCH(INDEX(FILTER(Q$4:Q122,Q$4:Q122&lt;&gt;""""),ROWS(FILTER(Q$4:Q122,Q$4:Q122&lt;&gt;""""))),""^Sell_""),INDEX(FILTER(T$4:T121,Q$4:Q121&lt;&gt;""""),ROWS(FILTER(Q$4:Q121,Q$4:Q121&lt;&gt;""""))),$AD$5+S122))"),70486.5)</f>
        <v>70486.5</v>
      </c>
      <c r="U122" s="10">
        <f>IFERROR(__xludf.DUMMYFUNCTION("IF(COUNTA(Q122:Q1673)=0,"""",IF(Q122="""",0,IF(REGEXMATCH(Q122,""^Sell_""),-ROUNDDOWN(ROUNDUP(INDEX(Upgrades!$C$3:$C$13,MATCH(SUBSTITUTE(Q122,""Sell_"",""""),Upgrades!$B$3:$B$13,0))*1.15^(COUNTIF(Q$4:Q121,SUBSTITUTE(Q122,""Sell_"",""""))-COUNTIF(Q$4:Q121,"&amp;"""Sell_""&amp;SUBSTITUTE(Q122,""Sell_"",""""))))/2),ROUNDUP(INDEX(Upgrades!$C$3:$C$13,MATCH(Q122,Upgrades!$B$3:$B$13,0))*1.15^(COUNTIF(Q$4:Q121,Q122)-COUNTIF(Q$4:Q121,""Sell_""&amp;Q122))))))"),107.0)</f>
        <v>107</v>
      </c>
      <c r="V122" s="10">
        <f t="shared" si="11"/>
        <v>107</v>
      </c>
      <c r="W122" s="68">
        <f t="shared" si="12"/>
        <v>3765.009917</v>
      </c>
      <c r="X122" s="59" t="str">
        <f t="shared" si="13"/>
        <v>1h 02m 45s</v>
      </c>
      <c r="Y122" s="69">
        <f t="shared" si="14"/>
        <v>37206603</v>
      </c>
      <c r="Z122" s="11"/>
    </row>
    <row r="123">
      <c r="A123" s="8"/>
      <c r="B123" s="56">
        <f t="shared" si="2"/>
        <v>11</v>
      </c>
      <c r="C123" s="57" t="s">
        <v>8</v>
      </c>
      <c r="D123" s="10" t="b">
        <f>IFERROR(__xludf.DUMMYFUNCTION("IF(COUNTA(C123:C1673)=0,"""",IF(ISBLANK(C123),FALSE,IF(NOT(COUNTIF($AA$24:$AA$34,SUBSTITUTE(C123,""Sell_"",""""))),1,IF(REGEXMATCH(C123,""Sell_""),IF(COUNTIF(C$4:C123,SUBSTITUTE(C123,""Sell_"",""""))-COUNTIF(C$4:C122,C123)&lt;1,1),FALSE))))"),FALSE)</f>
        <v>0</v>
      </c>
      <c r="E123" s="59">
        <f t="array" ref="E123">IF(COUNTA(C123:C1673)=0,"",SUM((COUNTIF(C$4:C123,Upgrades!$B$3:$B$13)-COUNTIF(C$4:C123,"Sell_"&amp;Upgrades!$B$3:$B$13))*Upgrades!$D$3:$D$13))</f>
        <v>92133.2</v>
      </c>
      <c r="F123" s="66">
        <f>IFERROR(__xludf.DUMMYFUNCTION("IF(COUNTA(C123:C1673)=0,"""",IF(REGEXMATCH(INDEX(FILTER(C$4:C123,C$4:C123&lt;&gt;""""),ROWS(FILTER(C$4:C123,C$4:C123&lt;&gt;""""))),""^Sell_""),INDEX(FILTER(F$4:F122,C$4:C122&lt;&gt;""""),ROWS(FILTER(C$4:C122,C$4:C122&lt;&gt;""""))),$AC$5+E123))"),92148.2)</f>
        <v>92148.2</v>
      </c>
      <c r="G123" s="10">
        <f>IFERROR(__xludf.DUMMYFUNCTION("IF(COUNTA(C123:C1673)=0,"""",IF(C123="""",0,IF(REGEXMATCH(C123,""^Sell_""),-ROUNDDOWN(ROUNDUP(INDEX(Upgrades!$C$3:$C$13,MATCH(SUBSTITUTE(C123,""Sell_"",""""),Upgrades!$B$3:$B$13,0))*1.15^(COUNTIF(C$4:C122,SUBSTITUTE(C123,""Sell_"",""""))-COUNTIF(C$4:C122,"&amp;"""Sell_""&amp;SUBSTITUTE(C123,""Sell_"",""""))))/2),ROUNDUP(INDEX(Upgrades!$C$3:$C$13,MATCH(C123,Upgrades!$B$3:$B$13,0))*1.15^(COUNTIF(C$4:C122,C123)-COUNTIF(C$4:C122,""Sell_""&amp;C123))))))"),161823.0)</f>
        <v>161823</v>
      </c>
      <c r="H123" s="10">
        <f t="shared" si="3"/>
        <v>161823</v>
      </c>
      <c r="I123" s="68">
        <f t="shared" si="4"/>
        <v>4194.999675</v>
      </c>
      <c r="J123" s="59" t="str">
        <f t="shared" si="5"/>
        <v>1h 09m 54s</v>
      </c>
      <c r="K123" s="69">
        <f t="shared" si="6"/>
        <v>62385546</v>
      </c>
      <c r="L123" s="60">
        <f t="shared" si="7"/>
        <v>-108.28134</v>
      </c>
      <c r="M123" s="61">
        <f>IFERROR(__xludf.DUMMYFUNCTION("IFS(AND(COUNTA(C123:C1673)=0,COUNTA(Q123:Q1673)=0),"""",OR(AND(K123&gt;=1000000000,OR(Y123&gt;=1000000000,COUNTA(Q123:Q1673)=0)),OR(Y123&gt;=1000000000,AND(COUNTA(C123:C1673)=0,P$3=TRUE))),
ROUNDDOWN((AB$1-AC$1)*MAX(INDEX(T$4:T1673,MATCH(LARGE(FILTER(Y$4:Y1673,Y$4"&amp;":Y1673&lt;1000000000),1),Y$4:Y1673)),INDEX(F$4:F1673,MATCH(LARGE(FILTER(K$4:K1673,K$4:K1673&lt;1000000000),1),K$4:K1673)))),AND(K123&lt;1000000000,COUNTA(C123:C1673)&gt;0,P$3=FALSE),
ROUNDDOWN(INDEX(Y$4:Y1673,MATCH(LARGE(FILTER(W$4:W1673,W$4:W1673&lt;=I123),1),W$4:W1673"&amp;"))+(I123-LARGE(FILTER(W$4:W1673,W$4:W1673&lt;=I123),1))*INDEX(T$4:T1673,MATCH(LARGE(FILTER(W$4:W1673,W$4:W1673&lt;=I123),1),W$4:W1673))-K123),1,
ROUNDDOWN(Y123-INDEX(K$4:K1673,MATCH(LARGE(FILTER(I$4:I1673,I$4:I1673&lt;=W123),1),I$4:I1673))-(W123-LARGE(FILTER(I$4:I"&amp;"1673,I$4:I1673&lt;=W123),1))*INDEX(F$4:F1673,MATCH(LARGE(FILTER(I$4:I1673,I$4:I1673&lt;=W123),1),I$4:I1673))))"),9976220.0)</f>
        <v>9976220</v>
      </c>
      <c r="N123" s="60">
        <f t="shared" si="8"/>
        <v>-108.28134</v>
      </c>
      <c r="O123" s="61" t="str">
        <f t="shared" si="9"/>
        <v>10,0M</v>
      </c>
      <c r="P123" s="56">
        <f t="shared" si="10"/>
        <v>13</v>
      </c>
      <c r="Q123" s="67" t="s">
        <v>4</v>
      </c>
      <c r="R123" s="10" t="b">
        <f>IFERROR(__xludf.DUMMYFUNCTION("IF(COUNTA(Q123:Q1673)=0,"""",IF(ISBLANK(Q123),FALSE,IF(NOT(COUNTIF($AA$24:$AA$34,SUBSTITUTE(Q123,""Sell_"",""""))),1,IF(REGEXMATCH(Q123,""Sell_""),IF(COUNTIF(Q$4:Q123,SUBSTITUTE(Q123,""Sell_"",""""))-COUNTIF(Q$4:Q122,Q123)&lt;1,1),FALSE))))"),FALSE)</f>
        <v>0</v>
      </c>
      <c r="S123" s="59">
        <f t="array" ref="S123">IF(COUNTA(Q123:Q1673)=0,"",SUM((COUNTIF(Q$4:Q123,Upgrades!$B$3:$B$13)-COUNTIF(Q$4:Q123,"Sell_"&amp;Upgrades!$B$3:$B$13))*Upgrades!$D$3:$D$13))</f>
        <v>70472</v>
      </c>
      <c r="T123" s="66">
        <f>IFERROR(__xludf.DUMMYFUNCTION("IF(COUNTA(Q123:Q1673)=0,"""",IF(REGEXMATCH(INDEX(FILTER(Q$4:Q123,Q$4:Q123&lt;&gt;""""),ROWS(FILTER(Q$4:Q123,Q$4:Q123&lt;&gt;""""))),""^Sell_""),INDEX(FILTER(T$4:T122,Q$4:Q122&lt;&gt;""""),ROWS(FILTER(Q$4:Q122,Q$4:Q122&lt;&gt;""""))),$AD$5+S123))"),70487.0)</f>
        <v>70487</v>
      </c>
      <c r="U123" s="10">
        <f>IFERROR(__xludf.DUMMYFUNCTION("IF(COUNTA(Q123:Q1673)=0,"""",IF(Q123="""",0,IF(REGEXMATCH(Q123,""^Sell_""),-ROUNDDOWN(ROUNDUP(INDEX(Upgrades!$C$3:$C$13,MATCH(SUBSTITUTE(Q123,""Sell_"",""""),Upgrades!$B$3:$B$13,0))*1.15^(COUNTIF(Q$4:Q122,SUBSTITUTE(Q123,""Sell_"",""""))-COUNTIF(Q$4:Q122,"&amp;"""Sell_""&amp;SUBSTITUTE(Q123,""Sell_"",""""))))/2),ROUNDUP(INDEX(Upgrades!$C$3:$C$13,MATCH(Q123,Upgrades!$B$3:$B$13,0))*1.15^(COUNTIF(Q$4:Q122,Q123)-COUNTIF(Q$4:Q122,""Sell_""&amp;Q123))))))"),536.0)</f>
        <v>536</v>
      </c>
      <c r="V123" s="10">
        <f t="shared" si="11"/>
        <v>536</v>
      </c>
      <c r="W123" s="68">
        <f t="shared" si="12"/>
        <v>3765.017521</v>
      </c>
      <c r="X123" s="59" t="str">
        <f t="shared" si="13"/>
        <v>1h 02m 45s</v>
      </c>
      <c r="Y123" s="69">
        <f t="shared" si="14"/>
        <v>37207139</v>
      </c>
      <c r="Z123" s="11"/>
    </row>
    <row r="124">
      <c r="A124" s="8"/>
      <c r="B124" s="56">
        <f t="shared" si="2"/>
        <v>18</v>
      </c>
      <c r="C124" s="57" t="s">
        <v>3</v>
      </c>
      <c r="D124" s="10" t="b">
        <f>IFERROR(__xludf.DUMMYFUNCTION("IF(COUNTA(C124:C1673)=0,"""",IF(ISBLANK(C124),FALSE,IF(NOT(COUNTIF($AA$24:$AA$34,SUBSTITUTE(C124,""Sell_"",""""))),1,IF(REGEXMATCH(C124,""Sell_""),IF(COUNTIF(C$4:C124,SUBSTITUTE(C124,""Sell_"",""""))-COUNTIF(C$4:C123,C124)&lt;1,1),FALSE))))"),FALSE)</f>
        <v>0</v>
      </c>
      <c r="E124" s="59">
        <f t="array" ref="E124">IF(COUNTA(C124:C1673)=0,"",SUM((COUNTIF(C$4:C124,Upgrades!$B$3:$B$13)-COUNTIF(C$4:C124,"Sell_"&amp;Upgrades!$B$3:$B$13))*Upgrades!$D$3:$D$13))</f>
        <v>92133.3</v>
      </c>
      <c r="F124" s="66">
        <f>IFERROR(__xludf.DUMMYFUNCTION("IF(COUNTA(C124:C1673)=0,"""",IF(REGEXMATCH(INDEX(FILTER(C$4:C124,C$4:C124&lt;&gt;""""),ROWS(FILTER(C$4:C124,C$4:C124&lt;&gt;""""))),""^Sell_""),INDEX(FILTER(F$4:F123,C$4:C123&lt;&gt;""""),ROWS(FILTER(C$4:C123,C$4:C123&lt;&gt;""""))),$AC$5+E124))"),92148.3)</f>
        <v>92148.3</v>
      </c>
      <c r="G124" s="10">
        <f>IFERROR(__xludf.DUMMYFUNCTION("IF(COUNTA(C124:C1673)=0,"""",IF(C124="""",0,IF(REGEXMATCH(C124,""^Sell_""),-ROUNDDOWN(ROUNDUP(INDEX(Upgrades!$C$3:$C$13,MATCH(SUBSTITUTE(C124,""Sell_"",""""),Upgrades!$B$3:$B$13,0))*1.15^(COUNTIF(C$4:C123,SUBSTITUTE(C124,""Sell_"",""""))-COUNTIF(C$4:C123,"&amp;"""Sell_""&amp;SUBSTITUTE(C124,""Sell_"",""""))))/2),ROUNDUP(INDEX(Upgrades!$C$3:$C$13,MATCH(C124,Upgrades!$B$3:$B$13,0))*1.15^(COUNTIF(C$4:C123,C124)-COUNTIF(C$4:C123,""Sell_""&amp;C124))))))"),162.0)</f>
        <v>162</v>
      </c>
      <c r="H124" s="10">
        <f t="shared" si="3"/>
        <v>162</v>
      </c>
      <c r="I124" s="68">
        <f t="shared" si="4"/>
        <v>4195.001433</v>
      </c>
      <c r="J124" s="59" t="str">
        <f t="shared" si="5"/>
        <v>1h 09m 55s</v>
      </c>
      <c r="K124" s="69">
        <f t="shared" si="6"/>
        <v>62385708</v>
      </c>
      <c r="L124" s="60">
        <f t="shared" si="7"/>
        <v>-108.28133</v>
      </c>
      <c r="M124" s="61">
        <f>IFERROR(__xludf.DUMMYFUNCTION("IFS(AND(COUNTA(C124:C1673)=0,COUNTA(Q124:Q1673)=0),"""",OR(AND(K124&gt;=1000000000,OR(Y124&gt;=1000000000,COUNTA(Q124:Q1673)=0)),OR(Y124&gt;=1000000000,AND(COUNTA(C124:C1673)=0,P$3=TRUE))),
ROUNDDOWN((AB$1-AC$1)*MAX(INDEX(T$4:T1673,MATCH(LARGE(FILTER(Y$4:Y1673,Y$4"&amp;":Y1673&lt;1000000000),1),Y$4:Y1673)),INDEX(F$4:F1673,MATCH(LARGE(FILTER(K$4:K1673,K$4:K1673&lt;1000000000),1),K$4:K1673)))),AND(K124&lt;1000000000,COUNTA(C124:C1673)&gt;0,P$3=FALSE),
ROUNDDOWN(INDEX(Y$4:Y1673,MATCH(LARGE(FILTER(W$4:W1673,W$4:W1673&lt;=I124),1),W$4:W1673"&amp;"))+(I124-LARGE(FILTER(W$4:W1673,W$4:W1673&lt;=I124),1))*INDEX(T$4:T1673,MATCH(LARGE(FILTER(W$4:W1673,W$4:W1673&lt;=I124),1),W$4:W1673))-K124),1,
ROUNDDOWN(Y124-INDEX(K$4:K1673,MATCH(LARGE(FILTER(I$4:I1673,I$4:I1673&lt;=W124),1),I$4:I1673))-(W124-LARGE(FILTER(I$4:I"&amp;"1673,I$4:I1673&lt;=W124),1))*INDEX(F$4:F1673,MATCH(LARGE(FILTER(I$4:I1673,I$4:I1673&lt;=W124),1),I$4:I1673))))"),9976220.0)</f>
        <v>9976220</v>
      </c>
      <c r="N124" s="60">
        <f t="shared" si="8"/>
        <v>-108.28133</v>
      </c>
      <c r="O124" s="61" t="str">
        <f t="shared" si="9"/>
        <v>10,0M</v>
      </c>
      <c r="P124" s="56">
        <f t="shared" si="10"/>
        <v>11</v>
      </c>
      <c r="Q124" s="67" t="s">
        <v>10</v>
      </c>
      <c r="R124" s="10" t="b">
        <f>IFERROR(__xludf.DUMMYFUNCTION("IF(COUNTA(Q124:Q1673)=0,"""",IF(ISBLANK(Q124),FALSE,IF(NOT(COUNTIF($AA$24:$AA$34,SUBSTITUTE(Q124,""Sell_"",""""))),1,IF(REGEXMATCH(Q124,""Sell_""),IF(COUNTIF(Q$4:Q124,SUBSTITUTE(Q124,""Sell_"",""""))-COUNTIF(Q$4:Q123,Q124)&lt;1,1),FALSE))))"),FALSE)</f>
        <v>0</v>
      </c>
      <c r="S124" s="59">
        <f t="array" ref="S124">IF(COUNTA(Q124:Q1673)=0,"",SUM((COUNTIF(Q$4:Q124,Upgrades!$B$3:$B$13)-COUNTIF(Q$4:Q124,"Sell_"&amp;Upgrades!$B$3:$B$13))*Upgrades!$D$3:$D$13))</f>
        <v>77138</v>
      </c>
      <c r="T124" s="66">
        <f>IFERROR(__xludf.DUMMYFUNCTION("IF(COUNTA(Q124:Q1673)=0,"""",IF(REGEXMATCH(INDEX(FILTER(Q$4:Q124,Q$4:Q124&lt;&gt;""""),ROWS(FILTER(Q$4:Q124,Q$4:Q124&lt;&gt;""""))),""^Sell_""),INDEX(FILTER(T$4:T123,Q$4:Q123&lt;&gt;""""),ROWS(FILTER(Q$4:Q123,Q$4:Q123&lt;&gt;""""))),$AD$5+S124))"),77153.0)</f>
        <v>77153</v>
      </c>
      <c r="U124" s="10">
        <f>IFERROR(__xludf.DUMMYFUNCTION("IF(COUNTA(Q124:Q1673)=0,"""",IF(Q124="""",0,IF(REGEXMATCH(Q124,""^Sell_""),-ROUNDDOWN(ROUNDUP(INDEX(Upgrades!$C$3:$C$13,MATCH(SUBSTITUTE(Q124,""Sell_"",""""),Upgrades!$B$3:$B$13,0))*1.15^(COUNTIF(Q$4:Q123,SUBSTITUTE(Q124,""Sell_"",""""))-COUNTIF(Q$4:Q123,"&amp;"""Sell_""&amp;SUBSTITUTE(Q124,""Sell_"",""""))))/2),ROUNDUP(INDEX(Upgrades!$C$3:$C$13,MATCH(Q124,Upgrades!$B$3:$B$13,0))*1.15^(COUNTIF(Q$4:Q123,Q124)-COUNTIF(Q$4:Q123,""Sell_""&amp;Q124))))))"),6742594.0)</f>
        <v>6742594</v>
      </c>
      <c r="V124" s="10">
        <f t="shared" si="11"/>
        <v>6742594</v>
      </c>
      <c r="W124" s="68">
        <f t="shared" si="12"/>
        <v>3860.674792</v>
      </c>
      <c r="X124" s="59" t="str">
        <f t="shared" si="13"/>
        <v>1h 04m 20s</v>
      </c>
      <c r="Y124" s="69">
        <f t="shared" si="14"/>
        <v>43949733</v>
      </c>
      <c r="Z124" s="11"/>
    </row>
    <row r="125">
      <c r="A125" s="8"/>
      <c r="B125" s="56">
        <f t="shared" si="2"/>
        <v>16</v>
      </c>
      <c r="C125" s="57" t="s">
        <v>4</v>
      </c>
      <c r="D125" s="10" t="b">
        <f>IFERROR(__xludf.DUMMYFUNCTION("IF(COUNTA(C125:C1673)=0,"""",IF(ISBLANK(C125),FALSE,IF(NOT(COUNTIF($AA$24:$AA$34,SUBSTITUTE(C125,""Sell_"",""""))),1,IF(REGEXMATCH(C125,""Sell_""),IF(COUNTIF(C$4:C125,SUBSTITUTE(C125,""Sell_"",""""))-COUNTIF(C$4:C124,C125)&lt;1,1),FALSE))))"),FALSE)</f>
        <v>0</v>
      </c>
      <c r="E125" s="59">
        <f t="array" ref="E125">IF(COUNTA(C125:C1673)=0,"",SUM((COUNTIF(C$4:C125,Upgrades!$B$3:$B$13)-COUNTIF(C$4:C125,"Sell_"&amp;Upgrades!$B$3:$B$13))*Upgrades!$D$3:$D$13))</f>
        <v>92133.8</v>
      </c>
      <c r="F125" s="66">
        <f>IFERROR(__xludf.DUMMYFUNCTION("IF(COUNTA(C125:C1673)=0,"""",IF(REGEXMATCH(INDEX(FILTER(C$4:C125,C$4:C125&lt;&gt;""""),ROWS(FILTER(C$4:C125,C$4:C125&lt;&gt;""""))),""^Sell_""),INDEX(FILTER(F$4:F124,C$4:C124&lt;&gt;""""),ROWS(FILTER(C$4:C124,C$4:C124&lt;&gt;""""))),$AC$5+E125))"),92148.8)</f>
        <v>92148.8</v>
      </c>
      <c r="G125" s="10">
        <f>IFERROR(__xludf.DUMMYFUNCTION("IF(COUNTA(C125:C1673)=0,"""",IF(C125="""",0,IF(REGEXMATCH(C125,""^Sell_""),-ROUNDDOWN(ROUNDUP(INDEX(Upgrades!$C$3:$C$13,MATCH(SUBSTITUTE(C125,""Sell_"",""""),Upgrades!$B$3:$B$13,0))*1.15^(COUNTIF(C$4:C124,SUBSTITUTE(C125,""Sell_"",""""))-COUNTIF(C$4:C124,"&amp;"""Sell_""&amp;SUBSTITUTE(C125,""Sell_"",""""))))/2),ROUNDUP(INDEX(Upgrades!$C$3:$C$13,MATCH(C125,Upgrades!$B$3:$B$13,0))*1.15^(COUNTIF(C$4:C124,C125)-COUNTIF(C$4:C124,""Sell_""&amp;C125))))))"),814.0)</f>
        <v>814</v>
      </c>
      <c r="H125" s="10">
        <f t="shared" si="3"/>
        <v>814</v>
      </c>
      <c r="I125" s="68">
        <f t="shared" si="4"/>
        <v>4195.010267</v>
      </c>
      <c r="J125" s="59" t="str">
        <f t="shared" si="5"/>
        <v>1h 09m 55s</v>
      </c>
      <c r="K125" s="69">
        <f t="shared" si="6"/>
        <v>62386522</v>
      </c>
      <c r="L125" s="60">
        <f t="shared" si="7"/>
        <v>-108.28128</v>
      </c>
      <c r="M125" s="61">
        <f>IFERROR(__xludf.DUMMYFUNCTION("IFS(AND(COUNTA(C125:C1673)=0,COUNTA(Q125:Q1673)=0),"""",OR(AND(K125&gt;=1000000000,OR(Y125&gt;=1000000000,COUNTA(Q125:Q1673)=0)),OR(Y125&gt;=1000000000,AND(COUNTA(C125:C1673)=0,P$3=TRUE))),
ROUNDDOWN((AB$1-AC$1)*MAX(INDEX(T$4:T1673,MATCH(LARGE(FILTER(Y$4:Y1673,Y$4"&amp;":Y1673&lt;1000000000),1),Y$4:Y1673)),INDEX(F$4:F1673,MATCH(LARGE(FILTER(K$4:K1673,K$4:K1673&lt;1000000000),1),K$4:K1673)))),AND(K125&lt;1000000000,COUNTA(C125:C1673)&gt;0,P$3=FALSE),
ROUNDDOWN(INDEX(Y$4:Y1673,MATCH(LARGE(FILTER(W$4:W1673,W$4:W1673&lt;=I125),1),W$4:W1673"&amp;"))+(I125-LARGE(FILTER(W$4:W1673,W$4:W1673&lt;=I125),1))*INDEX(T$4:T1673,MATCH(LARGE(FILTER(W$4:W1673,W$4:W1673&lt;=I125),1),W$4:W1673))-K125),1,
ROUNDDOWN(Y125-INDEX(K$4:K1673,MATCH(LARGE(FILTER(I$4:I1673,I$4:I1673&lt;=W125),1),I$4:I1673))-(W125-LARGE(FILTER(I$4:I"&amp;"1673,I$4:I1673&lt;=W125),1))*INDEX(F$4:F1673,MATCH(LARGE(FILTER(I$4:I1673,I$4:I1673&lt;=W125),1),I$4:I1673))))"),9976220.0)</f>
        <v>9976220</v>
      </c>
      <c r="N125" s="60">
        <f t="shared" si="8"/>
        <v>-108.28128</v>
      </c>
      <c r="O125" s="61" t="str">
        <f t="shared" si="9"/>
        <v>10,0M</v>
      </c>
      <c r="P125" s="56">
        <f t="shared" si="10"/>
        <v>7</v>
      </c>
      <c r="Q125" s="67" t="s">
        <v>9</v>
      </c>
      <c r="R125" s="10" t="b">
        <f>IFERROR(__xludf.DUMMYFUNCTION("IF(COUNTA(Q125:Q1673)=0,"""",IF(ISBLANK(Q125),FALSE,IF(NOT(COUNTIF($AA$24:$AA$34,SUBSTITUTE(Q125,""Sell_"",""""))),1,IF(REGEXMATCH(Q125,""Sell_""),IF(COUNTIF(Q$4:Q125,SUBSTITUTE(Q125,""Sell_"",""""))-COUNTIF(Q$4:Q124,Q125)&lt;1,1),FALSE))))"),FALSE)</f>
        <v>0</v>
      </c>
      <c r="S125" s="59">
        <f t="array" ref="S125">IF(COUNTA(Q125:Q1673)=0,"",SUM((COUNTIF(Q$4:Q125,Upgrades!$B$3:$B$13)-COUNTIF(Q$4:Q125,"Sell_"&amp;Upgrades!$B$3:$B$13))*Upgrades!$D$3:$D$13))</f>
        <v>77538</v>
      </c>
      <c r="T125" s="66">
        <f>IFERROR(__xludf.DUMMYFUNCTION("IF(COUNTA(Q125:Q1673)=0,"""",IF(REGEXMATCH(INDEX(FILTER(Q$4:Q125,Q$4:Q125&lt;&gt;""""),ROWS(FILTER(Q$4:Q125,Q$4:Q125&lt;&gt;""""))),""^Sell_""),INDEX(FILTER(T$4:T124,Q$4:Q124&lt;&gt;""""),ROWS(FILTER(Q$4:Q124,Q$4:Q124&lt;&gt;""""))),$AD$5+S125))"),77553.0)</f>
        <v>77553</v>
      </c>
      <c r="U125" s="10">
        <f>IFERROR(__xludf.DUMMYFUNCTION("IF(COUNTA(Q125:Q1673)=0,"""",IF(Q125="""",0,IF(REGEXMATCH(Q125,""^Sell_""),-ROUNDDOWN(ROUNDUP(INDEX(Upgrades!$C$3:$C$13,MATCH(SUBSTITUTE(Q125,""Sell_"",""""),Upgrades!$B$3:$B$13,0))*1.15^(COUNTIF(Q$4:Q124,SUBSTITUTE(Q125,""Sell_"",""""))-COUNTIF(Q$4:Q124,"&amp;"""Sell_""&amp;SUBSTITUTE(Q125,""Sell_"",""""))))/2),ROUNDUP(INDEX(Upgrades!$C$3:$C$13,MATCH(Q125,Upgrades!$B$3:$B$13,0))*1.15^(COUNTIF(Q$4:Q124,Q125)-COUNTIF(Q$4:Q124,""Sell_""&amp;Q125))))))"),462613.0)</f>
        <v>462613</v>
      </c>
      <c r="V125" s="10">
        <f t="shared" si="11"/>
        <v>462613</v>
      </c>
      <c r="W125" s="68">
        <f t="shared" si="12"/>
        <v>3866.670838</v>
      </c>
      <c r="X125" s="59" t="str">
        <f t="shared" si="13"/>
        <v>1h 04m 26s</v>
      </c>
      <c r="Y125" s="69">
        <f t="shared" si="14"/>
        <v>44412346</v>
      </c>
      <c r="Z125" s="11"/>
    </row>
    <row r="126">
      <c r="A126" s="8"/>
      <c r="B126" s="56">
        <f t="shared" si="2"/>
        <v>14</v>
      </c>
      <c r="C126" s="57" t="s">
        <v>10</v>
      </c>
      <c r="D126" s="10" t="b">
        <f>IFERROR(__xludf.DUMMYFUNCTION("IF(COUNTA(C126:C1673)=0,"""",IF(ISBLANK(C126),FALSE,IF(NOT(COUNTIF($AA$24:$AA$34,SUBSTITUTE(C126,""Sell_"",""""))),1,IF(REGEXMATCH(C126,""Sell_""),IF(COUNTIF(C$4:C126,SUBSTITUTE(C126,""Sell_"",""""))-COUNTIF(C$4:C125,C126)&lt;1,1),FALSE))))"),FALSE)</f>
        <v>0</v>
      </c>
      <c r="E126" s="59">
        <f t="array" ref="E126">IF(COUNTA(C126:C1673)=0,"",SUM((COUNTIF(C$4:C126,Upgrades!$B$3:$B$13)-COUNTIF(C$4:C126,"Sell_"&amp;Upgrades!$B$3:$B$13))*Upgrades!$D$3:$D$13))</f>
        <v>98799.8</v>
      </c>
      <c r="F126" s="66">
        <f>IFERROR(__xludf.DUMMYFUNCTION("IF(COUNTA(C126:C1673)=0,"""",IF(REGEXMATCH(INDEX(FILTER(C$4:C126,C$4:C126&lt;&gt;""""),ROWS(FILTER(C$4:C126,C$4:C126&lt;&gt;""""))),""^Sell_""),INDEX(FILTER(F$4:F125,C$4:C125&lt;&gt;""""),ROWS(FILTER(C$4:C125,C$4:C125&lt;&gt;""""))),$AC$5+E126))"),98814.8)</f>
        <v>98814.8</v>
      </c>
      <c r="G126" s="10">
        <f>IFERROR(__xludf.DUMMYFUNCTION("IF(COUNTA(C126:C1673)=0,"""",IF(C126="""",0,IF(REGEXMATCH(C126,""^Sell_""),-ROUNDDOWN(ROUNDUP(INDEX(Upgrades!$C$3:$C$13,MATCH(SUBSTITUTE(C126,""Sell_"",""""),Upgrades!$B$3:$B$13,0))*1.15^(COUNTIF(C$4:C125,SUBSTITUTE(C126,""Sell_"",""""))-COUNTIF(C$4:C125,"&amp;"""Sell_""&amp;SUBSTITUTE(C126,""Sell_"",""""))))/2),ROUNDUP(INDEX(Upgrades!$C$3:$C$13,MATCH(C126,Upgrades!$B$3:$B$13,0))*1.15^(COUNTIF(C$4:C125,C126)-COUNTIF(C$4:C125,""Sell_""&amp;C126))))))"),1.0254642E7)</f>
        <v>10254642</v>
      </c>
      <c r="H126" s="10">
        <f t="shared" si="3"/>
        <v>10254642</v>
      </c>
      <c r="I126" s="68">
        <f t="shared" si="4"/>
        <v>4306.293778</v>
      </c>
      <c r="J126" s="59" t="str">
        <f t="shared" si="5"/>
        <v>1h 11m 46s</v>
      </c>
      <c r="K126" s="69">
        <f t="shared" si="6"/>
        <v>72641164</v>
      </c>
      <c r="L126" s="60">
        <f t="shared" si="7"/>
        <v>-108.26207</v>
      </c>
      <c r="M126" s="61">
        <f>IFERROR(__xludf.DUMMYFUNCTION("IFS(AND(COUNTA(C126:C1673)=0,COUNTA(Q126:Q1673)=0),"""",OR(AND(K126&gt;=1000000000,OR(Y126&gt;=1000000000,COUNTA(Q126:Q1673)=0)),OR(Y126&gt;=1000000000,AND(COUNTA(C126:C1673)=0,P$3=TRUE))),
ROUNDDOWN((AB$1-AC$1)*MAX(INDEX(T$4:T1673,MATCH(LARGE(FILTER(Y$4:Y1673,Y$4"&amp;":Y1673&lt;1000000000),1),Y$4:Y1673)),INDEX(F$4:F1673,MATCH(LARGE(FILTER(K$4:K1673,K$4:K1673&lt;1000000000),1),K$4:K1673)))),AND(K126&lt;1000000000,COUNTA(C126:C1673)&gt;0,P$3=FALSE),
ROUNDDOWN(INDEX(Y$4:Y1673,MATCH(LARGE(FILTER(W$4:W1673,W$4:W1673&lt;=I126),1),W$4:W1673"&amp;"))+(I126-LARGE(FILTER(W$4:W1673,W$4:W1673&lt;=I126),1))*INDEX(T$4:T1673,MATCH(LARGE(FILTER(W$4:W1673,W$4:W1673&lt;=I126),1),W$4:W1673))-K126),1,
ROUNDDOWN(Y126-INDEX(K$4:K1673,MATCH(LARGE(FILTER(I$4:I1673,I$4:I1673&lt;=W126),1),I$4:I1673))-(W126-LARGE(FILTER(I$4:I"&amp;"1673,I$4:I1673&lt;=W126),1))*INDEX(F$4:F1673,MATCH(LARGE(FILTER(I$4:I1673,I$4:I1673&lt;=W126),1),I$4:I1673))))"),1.0715413E7)</f>
        <v>10715413</v>
      </c>
      <c r="N126" s="60">
        <f t="shared" si="8"/>
        <v>-108.26207</v>
      </c>
      <c r="O126" s="61" t="str">
        <f t="shared" si="9"/>
        <v>10,7M</v>
      </c>
      <c r="P126" s="56">
        <f t="shared" si="10"/>
        <v>12</v>
      </c>
      <c r="Q126" s="67" t="s">
        <v>7</v>
      </c>
      <c r="R126" s="10" t="b">
        <f>IFERROR(__xludf.DUMMYFUNCTION("IF(COUNTA(Q126:Q1673)=0,"""",IF(ISBLANK(Q126),FALSE,IF(NOT(COUNTIF($AA$24:$AA$34,SUBSTITUTE(Q126,""Sell_"",""""))),1,IF(REGEXMATCH(Q126,""Sell_""),IF(COUNTIF(Q$4:Q126,SUBSTITUTE(Q126,""Sell_"",""""))-COUNTIF(Q$4:Q125,Q126)&lt;1,1),FALSE))))"),FALSE)</f>
        <v>0</v>
      </c>
      <c r="S126" s="59">
        <f t="array" ref="S126">IF(COUNTA(Q126:Q1673)=0,"",SUM((COUNTIF(Q$4:Q126,Upgrades!$B$3:$B$13)-COUNTIF(Q$4:Q126,"Sell_"&amp;Upgrades!$B$3:$B$13))*Upgrades!$D$3:$D$13))</f>
        <v>77578</v>
      </c>
      <c r="T126" s="66">
        <f>IFERROR(__xludf.DUMMYFUNCTION("IF(COUNTA(Q126:Q1673)=0,"""",IF(REGEXMATCH(INDEX(FILTER(Q$4:Q126,Q$4:Q126&lt;&gt;""""),ROWS(FILTER(Q$4:Q126,Q$4:Q126&lt;&gt;""""))),""^Sell_""),INDEX(FILTER(T$4:T125,Q$4:Q125&lt;&gt;""""),ROWS(FILTER(Q$4:Q125,Q$4:Q125&lt;&gt;""""))),$AD$5+S126))"),77593.0)</f>
        <v>77593</v>
      </c>
      <c r="U126" s="10">
        <f>IFERROR(__xludf.DUMMYFUNCTION("IF(COUNTA(Q126:Q1673)=0,"""",IF(Q126="""",0,IF(REGEXMATCH(Q126,""^Sell_""),-ROUNDDOWN(ROUNDUP(INDEX(Upgrades!$C$3:$C$13,MATCH(SUBSTITUTE(Q126,""Sell_"",""""),Upgrades!$B$3:$B$13,0))*1.15^(COUNTIF(Q$4:Q125,SUBSTITUTE(Q126,""Sell_"",""""))-COUNTIF(Q$4:Q125,"&amp;"""Sell_""&amp;SUBSTITUTE(Q126,""Sell_"",""""))))/2),ROUNDUP(INDEX(Upgrades!$C$3:$C$13,MATCH(Q126,Upgrades!$B$3:$B$13,0))*1.15^(COUNTIF(Q$4:Q125,Q126)-COUNTIF(Q$4:Q125,""Sell_""&amp;Q126))))))"),46524.0)</f>
        <v>46524</v>
      </c>
      <c r="V126" s="10">
        <f t="shared" si="11"/>
        <v>46524</v>
      </c>
      <c r="W126" s="68">
        <f t="shared" si="12"/>
        <v>3867.270738</v>
      </c>
      <c r="X126" s="59" t="str">
        <f t="shared" si="13"/>
        <v>1h 04m 27s</v>
      </c>
      <c r="Y126" s="69">
        <f t="shared" si="14"/>
        <v>44458870</v>
      </c>
      <c r="Z126" s="11"/>
    </row>
    <row r="127">
      <c r="A127" s="8"/>
      <c r="B127" s="56">
        <f t="shared" si="2"/>
        <v>10</v>
      </c>
      <c r="C127" s="57" t="s">
        <v>9</v>
      </c>
      <c r="D127" s="10" t="b">
        <f>IFERROR(__xludf.DUMMYFUNCTION("IF(COUNTA(C127:C1673)=0,"""",IF(ISBLANK(C127),FALSE,IF(NOT(COUNTIF($AA$24:$AA$34,SUBSTITUTE(C127,""Sell_"",""""))),1,IF(REGEXMATCH(C127,""Sell_""),IF(COUNTIF(C$4:C127,SUBSTITUTE(C127,""Sell_"",""""))-COUNTIF(C$4:C126,C127)&lt;1,1),FALSE))))"),FALSE)</f>
        <v>0</v>
      </c>
      <c r="E127" s="59">
        <f t="array" ref="E127">IF(COUNTA(C127:C1673)=0,"",SUM((COUNTIF(C$4:C127,Upgrades!$B$3:$B$13)-COUNTIF(C$4:C127,"Sell_"&amp;Upgrades!$B$3:$B$13))*Upgrades!$D$3:$D$13))</f>
        <v>99199.8</v>
      </c>
      <c r="F127" s="66">
        <f>IFERROR(__xludf.DUMMYFUNCTION("IF(COUNTA(C127:C1673)=0,"""",IF(REGEXMATCH(INDEX(FILTER(C$4:C127,C$4:C127&lt;&gt;""""),ROWS(FILTER(C$4:C127,C$4:C127&lt;&gt;""""))),""^Sell_""),INDEX(FILTER(F$4:F126,C$4:C126&lt;&gt;""""),ROWS(FILTER(C$4:C126,C$4:C126&lt;&gt;""""))),$AC$5+E127))"),99214.8)</f>
        <v>99214.8</v>
      </c>
      <c r="G127" s="10">
        <f>IFERROR(__xludf.DUMMYFUNCTION("IF(COUNTA(C127:C1673)=0,"""",IF(C127="""",0,IF(REGEXMATCH(C127,""^Sell_""),-ROUNDDOWN(ROUNDUP(INDEX(Upgrades!$C$3:$C$13,MATCH(SUBSTITUTE(C127,""Sell_"",""""),Upgrades!$B$3:$B$13,0))*1.15^(COUNTIF(C$4:C126,SUBSTITUTE(C127,""Sell_"",""""))-COUNTIF(C$4:C126,"&amp;"""Sell_""&amp;SUBSTITUTE(C127,""Sell_"",""""))))/2),ROUNDUP(INDEX(Upgrades!$C$3:$C$13,MATCH(C127,Upgrades!$B$3:$B$13,0))*1.15^(COUNTIF(C$4:C126,C127)-COUNTIF(C$4:C126,""Sell_""&amp;C127))))))"),703576.0)</f>
        <v>703576</v>
      </c>
      <c r="H127" s="10">
        <f t="shared" si="3"/>
        <v>703576</v>
      </c>
      <c r="I127" s="68">
        <f t="shared" si="4"/>
        <v>4313.413926</v>
      </c>
      <c r="J127" s="59" t="str">
        <f t="shared" si="5"/>
        <v>1h 11m 53s</v>
      </c>
      <c r="K127" s="69">
        <f t="shared" si="6"/>
        <v>73344740</v>
      </c>
      <c r="L127" s="60">
        <f t="shared" si="7"/>
        <v>-107.90474</v>
      </c>
      <c r="M127" s="61">
        <f>IFERROR(__xludf.DUMMYFUNCTION("IFS(AND(COUNTA(C127:C1673)=0,COUNTA(Q127:Q1673)=0),"""",OR(AND(K127&gt;=1000000000,OR(Y127&gt;=1000000000,COUNTA(Q127:Q1673)=0)),OR(Y127&gt;=1000000000,AND(COUNTA(C127:C1673)=0,P$3=TRUE))),
ROUNDDOWN((AB$1-AC$1)*MAX(INDEX(T$4:T1673,MATCH(LARGE(FILTER(Y$4:Y1673,Y$4"&amp;":Y1673&lt;1000000000),1),Y$4:Y1673)),INDEX(F$4:F1673,MATCH(LARGE(FILTER(K$4:K1673,K$4:K1673&lt;1000000000),1),K$4:K1673)))),AND(K127&lt;1000000000,COUNTA(C127:C1673)&gt;0,P$3=FALSE),
ROUNDDOWN(INDEX(Y$4:Y1673,MATCH(LARGE(FILTER(W$4:W1673,W$4:W1673&lt;=I127),1),W$4:W1673"&amp;"))+(I127-LARGE(FILTER(W$4:W1673,W$4:W1673&lt;=I127),1))*INDEX(T$4:T1673,MATCH(LARGE(FILTER(W$4:W1673,W$4:W1673&lt;=I127),1),W$4:W1673))-K127),1,
ROUNDDOWN(Y127-INDEX(K$4:K1673,MATCH(LARGE(FILTER(I$4:I1673,I$4:I1673&lt;=W127),1),I$4:I1673))-(W127-LARGE(FILTER(I$4:I"&amp;"1673,I$4:I1673&lt;=W127),1))*INDEX(F$4:F1673,MATCH(LARGE(FILTER(I$4:I1673,I$4:I1673&lt;=W127),1),I$4:I1673))))"),1.0719362E7)</f>
        <v>10719362</v>
      </c>
      <c r="N127" s="60">
        <f t="shared" si="8"/>
        <v>-107.90474</v>
      </c>
      <c r="O127" s="61" t="str">
        <f t="shared" si="9"/>
        <v>10,7M</v>
      </c>
      <c r="P127" s="56">
        <f t="shared" si="10"/>
        <v>17</v>
      </c>
      <c r="Q127" s="67" t="s">
        <v>5</v>
      </c>
      <c r="R127" s="10" t="b">
        <f>IFERROR(__xludf.DUMMYFUNCTION("IF(COUNTA(Q127:Q1673)=0,"""",IF(ISBLANK(Q127),FALSE,IF(NOT(COUNTIF($AA$24:$AA$34,SUBSTITUTE(Q127,""Sell_"",""""))),1,IF(REGEXMATCH(Q127,""Sell_""),IF(COUNTIF(Q$4:Q127,SUBSTITUTE(Q127,""Sell_"",""""))-COUNTIF(Q$4:Q126,Q127)&lt;1,1),FALSE))))"),FALSE)</f>
        <v>0</v>
      </c>
      <c r="S127" s="59">
        <f t="array" ref="S127">IF(COUNTA(Q127:Q1673)=0,"",SUM((COUNTIF(Q$4:Q127,Upgrades!$B$3:$B$13)-COUNTIF(Q$4:Q127,"Sell_"&amp;Upgrades!$B$3:$B$13))*Upgrades!$D$3:$D$13))</f>
        <v>77582</v>
      </c>
      <c r="T127" s="66">
        <f>IFERROR(__xludf.DUMMYFUNCTION("IF(COUNTA(Q127:Q1673)=0,"""",IF(REGEXMATCH(INDEX(FILTER(Q$4:Q127,Q$4:Q127&lt;&gt;""""),ROWS(FILTER(Q$4:Q127,Q$4:Q127&lt;&gt;""""))),""^Sell_""),INDEX(FILTER(T$4:T126,Q$4:Q126&lt;&gt;""""),ROWS(FILTER(Q$4:Q126,Q$4:Q126&lt;&gt;""""))),$AD$5+S127))"),77597.0)</f>
        <v>77597</v>
      </c>
      <c r="U127" s="10">
        <f>IFERROR(__xludf.DUMMYFUNCTION("IF(COUNTA(Q127:Q1673)=0,"""",IF(Q127="""",0,IF(REGEXMATCH(Q127,""^Sell_""),-ROUNDDOWN(ROUNDUP(INDEX(Upgrades!$C$3:$C$13,MATCH(SUBSTITUTE(Q127,""Sell_"",""""),Upgrades!$B$3:$B$13,0))*1.15^(COUNTIF(Q$4:Q126,SUBSTITUTE(Q127,""Sell_"",""""))-COUNTIF(Q$4:Q126,"&amp;"""Sell_""&amp;SUBSTITUTE(Q127,""Sell_"",""""))))/2),ROUNDUP(INDEX(Upgrades!$C$3:$C$13,MATCH(Q127,Upgrades!$B$3:$B$13,0))*1.15^(COUNTIF(Q$4:Q126,Q127)-COUNTIF(Q$4:Q126,""Sell_""&amp;Q127))))))"),4679.0)</f>
        <v>4679</v>
      </c>
      <c r="V127" s="10">
        <f t="shared" si="11"/>
        <v>4679</v>
      </c>
      <c r="W127" s="68">
        <f t="shared" si="12"/>
        <v>3867.33104</v>
      </c>
      <c r="X127" s="59" t="str">
        <f t="shared" si="13"/>
        <v>1h 04m 27s</v>
      </c>
      <c r="Y127" s="69">
        <f t="shared" si="14"/>
        <v>44463549</v>
      </c>
      <c r="Z127" s="11"/>
    </row>
    <row r="128">
      <c r="A128" s="8"/>
      <c r="B128" s="56">
        <f t="shared" si="2"/>
        <v>15</v>
      </c>
      <c r="C128" s="57" t="s">
        <v>7</v>
      </c>
      <c r="D128" s="10" t="b">
        <f>IFERROR(__xludf.DUMMYFUNCTION("IF(COUNTA(C128:C1673)=0,"""",IF(ISBLANK(C128),FALSE,IF(NOT(COUNTIF($AA$24:$AA$34,SUBSTITUTE(C128,""Sell_"",""""))),1,IF(REGEXMATCH(C128,""Sell_""),IF(COUNTIF(C$4:C128,SUBSTITUTE(C128,""Sell_"",""""))-COUNTIF(C$4:C127,C128)&lt;1,1),FALSE))))"),FALSE)</f>
        <v>0</v>
      </c>
      <c r="E128" s="59">
        <f t="array" ref="E128">IF(COUNTA(C128:C1673)=0,"",SUM((COUNTIF(C$4:C128,Upgrades!$B$3:$B$13)-COUNTIF(C$4:C128,"Sell_"&amp;Upgrades!$B$3:$B$13))*Upgrades!$D$3:$D$13))</f>
        <v>99239.8</v>
      </c>
      <c r="F128" s="66">
        <f>IFERROR(__xludf.DUMMYFUNCTION("IF(COUNTA(C128:C1673)=0,"""",IF(REGEXMATCH(INDEX(FILTER(C$4:C128,C$4:C128&lt;&gt;""""),ROWS(FILTER(C$4:C128,C$4:C128&lt;&gt;""""))),""^Sell_""),INDEX(FILTER(F$4:F127,C$4:C127&lt;&gt;""""),ROWS(FILTER(C$4:C127,C$4:C127&lt;&gt;""""))),$AC$5+E128))"),99254.8)</f>
        <v>99254.8</v>
      </c>
      <c r="G128" s="10">
        <f>IFERROR(__xludf.DUMMYFUNCTION("IF(COUNTA(C128:C1673)=0,"""",IF(C128="""",0,IF(REGEXMATCH(C128,""^Sell_""),-ROUNDDOWN(ROUNDUP(INDEX(Upgrades!$C$3:$C$13,MATCH(SUBSTITUTE(C128,""Sell_"",""""),Upgrades!$B$3:$B$13,0))*1.15^(COUNTIF(C$4:C127,SUBSTITUTE(C128,""Sell_"",""""))-COUNTIF(C$4:C127,"&amp;"""Sell_""&amp;SUBSTITUTE(C128,""Sell_"",""""))))/2),ROUNDUP(INDEX(Upgrades!$C$3:$C$13,MATCH(C128,Upgrades!$B$3:$B$13,0))*1.15^(COUNTIF(C$4:C127,C128)-COUNTIF(C$4:C127,""Sell_""&amp;C128))))))"),70758.0)</f>
        <v>70758</v>
      </c>
      <c r="H128" s="10">
        <f t="shared" si="3"/>
        <v>70758</v>
      </c>
      <c r="I128" s="68">
        <f t="shared" si="4"/>
        <v>4314.127106</v>
      </c>
      <c r="J128" s="59" t="str">
        <f t="shared" si="5"/>
        <v>1h 11m 54s</v>
      </c>
      <c r="K128" s="69">
        <f t="shared" si="6"/>
        <v>73415498</v>
      </c>
      <c r="L128" s="60">
        <f t="shared" si="7"/>
        <v>-107.90185</v>
      </c>
      <c r="M128" s="61">
        <f>IFERROR(__xludf.DUMMYFUNCTION("IFS(AND(COUNTA(C128:C1673)=0,COUNTA(Q128:Q1673)=0),"""",OR(AND(K128&gt;=1000000000,OR(Y128&gt;=1000000000,COUNTA(Q128:Q1673)=0)),OR(Y128&gt;=1000000000,AND(COUNTA(C128:C1673)=0,P$3=TRUE))),
ROUNDDOWN((AB$1-AC$1)*MAX(INDEX(T$4:T1673,MATCH(LARGE(FILTER(Y$4:Y1673,Y$4"&amp;":Y1673&lt;1000000000),1),Y$4:Y1673)),INDEX(F$4:F1673,MATCH(LARGE(FILTER(K$4:K1673,K$4:K1673&lt;1000000000),1),K$4:K1673)))),AND(K128&lt;1000000000,COUNTA(C128:C1673)&gt;0,P$3=FALSE),
ROUNDDOWN(INDEX(Y$4:Y1673,MATCH(LARGE(FILTER(W$4:W1673,W$4:W1673&lt;=I128),1),W$4:W1673"&amp;"))+(I128-LARGE(FILTER(W$4:W1673,W$4:W1673&lt;=I128),1))*INDEX(T$4:T1673,MATCH(LARGE(FILTER(W$4:W1673,W$4:W1673&lt;=I128),1),W$4:W1673))-K128),1,
ROUNDDOWN(Y128-INDEX(K$4:K1673,MATCH(LARGE(FILTER(I$4:I1673,I$4:I1673&lt;=W128),1),I$4:I1673))-(W128-LARGE(FILTER(I$4:I"&amp;"1673,I$4:I1673&lt;=W128),1))*INDEX(F$4:F1673,MATCH(LARGE(FILTER(I$4:I1673,I$4:I1673&lt;=W128),1),I$4:I1673))))"),1.0719472E7)</f>
        <v>10719472</v>
      </c>
      <c r="N128" s="60">
        <f t="shared" si="8"/>
        <v>-107.90185</v>
      </c>
      <c r="O128" s="61" t="str">
        <f t="shared" si="9"/>
        <v>10,7M</v>
      </c>
      <c r="P128" s="56">
        <f t="shared" si="10"/>
        <v>11</v>
      </c>
      <c r="Q128" s="67" t="s">
        <v>6</v>
      </c>
      <c r="R128" s="10" t="b">
        <f>IFERROR(__xludf.DUMMYFUNCTION("IF(COUNTA(Q128:Q1673)=0,"""",IF(ISBLANK(Q128),FALSE,IF(NOT(COUNTIF($AA$24:$AA$34,SUBSTITUTE(Q128,""Sell_"",""""))),1,IF(REGEXMATCH(Q128,""Sell_""),IF(COUNTIF(Q$4:Q128,SUBSTITUTE(Q128,""Sell_"",""""))-COUNTIF(Q$4:Q127,Q128)&lt;1,1),FALSE))))"),FALSE)</f>
        <v>0</v>
      </c>
      <c r="S128" s="59">
        <f t="array" ref="S128">IF(COUNTA(Q128:Q1673)=0,"",SUM((COUNTIF(Q$4:Q128,Upgrades!$B$3:$B$13)-COUNTIF(Q$4:Q128,"Sell_"&amp;Upgrades!$B$3:$B$13))*Upgrades!$D$3:$D$13))</f>
        <v>77592</v>
      </c>
      <c r="T128" s="66">
        <f>IFERROR(__xludf.DUMMYFUNCTION("IF(COUNTA(Q128:Q1673)=0,"""",IF(REGEXMATCH(INDEX(FILTER(Q$4:Q128,Q$4:Q128&lt;&gt;""""),ROWS(FILTER(Q$4:Q128,Q$4:Q128&lt;&gt;""""))),""^Sell_""),INDEX(FILTER(T$4:T127,Q$4:Q127&lt;&gt;""""),ROWS(FILTER(Q$4:Q127,Q$4:Q127&lt;&gt;""""))),$AD$5+S128))"),77607.0)</f>
        <v>77607</v>
      </c>
      <c r="U128" s="10">
        <f>IFERROR(__xludf.DUMMYFUNCTION("IF(COUNTA(Q128:Q1673)=0,"""",IF(Q128="""",0,IF(REGEXMATCH(Q128,""^Sell_""),-ROUNDDOWN(ROUNDUP(INDEX(Upgrades!$C$3:$C$13,MATCH(SUBSTITUTE(Q128,""Sell_"",""""),Upgrades!$B$3:$B$13,0))*1.15^(COUNTIF(Q$4:Q127,SUBSTITUTE(Q128,""Sell_"",""""))-COUNTIF(Q$4:Q127,"&amp;"""Sell_""&amp;SUBSTITUTE(Q128,""Sell_"",""""))))/2),ROUNDUP(INDEX(Upgrades!$C$3:$C$13,MATCH(Q128,Upgrades!$B$3:$B$13,0))*1.15^(COUNTIF(Q$4:Q127,Q128)-COUNTIF(Q$4:Q127,""Sell_""&amp;Q128))))))"),12137.0)</f>
        <v>12137</v>
      </c>
      <c r="V128" s="10">
        <f t="shared" si="11"/>
        <v>12137</v>
      </c>
      <c r="W128" s="68">
        <f t="shared" si="12"/>
        <v>3867.48745</v>
      </c>
      <c r="X128" s="59" t="str">
        <f t="shared" si="13"/>
        <v>1h 04m 27s</v>
      </c>
      <c r="Y128" s="69">
        <f t="shared" si="14"/>
        <v>44475686</v>
      </c>
      <c r="Z128" s="11"/>
    </row>
    <row r="129">
      <c r="A129" s="8"/>
      <c r="B129" s="56">
        <f t="shared" si="2"/>
        <v>20</v>
      </c>
      <c r="C129" s="57" t="s">
        <v>5</v>
      </c>
      <c r="D129" s="10" t="b">
        <f>IFERROR(__xludf.DUMMYFUNCTION("IF(COUNTA(C129:C1673)=0,"""",IF(ISBLANK(C129),FALSE,IF(NOT(COUNTIF($AA$24:$AA$34,SUBSTITUTE(C129,""Sell_"",""""))),1,IF(REGEXMATCH(C129,""Sell_""),IF(COUNTIF(C$4:C129,SUBSTITUTE(C129,""Sell_"",""""))-COUNTIF(C$4:C128,C129)&lt;1,1),FALSE))))"),FALSE)</f>
        <v>0</v>
      </c>
      <c r="E129" s="59">
        <f t="array" ref="E129">IF(COUNTA(C129:C1673)=0,"",SUM((COUNTIF(C$4:C129,Upgrades!$B$3:$B$13)-COUNTIF(C$4:C129,"Sell_"&amp;Upgrades!$B$3:$B$13))*Upgrades!$D$3:$D$13))</f>
        <v>99243.8</v>
      </c>
      <c r="F129" s="66">
        <f>IFERROR(__xludf.DUMMYFUNCTION("IF(COUNTA(C129:C1673)=0,"""",IF(REGEXMATCH(INDEX(FILTER(C$4:C129,C$4:C129&lt;&gt;""""),ROWS(FILTER(C$4:C129,C$4:C129&lt;&gt;""""))),""^Sell_""),INDEX(FILTER(F$4:F128,C$4:C128&lt;&gt;""""),ROWS(FILTER(C$4:C128,C$4:C128&lt;&gt;""""))),$AC$5+E129))"),99258.8)</f>
        <v>99258.8</v>
      </c>
      <c r="G129" s="10">
        <f>IFERROR(__xludf.DUMMYFUNCTION("IF(COUNTA(C129:C1673)=0,"""",IF(C129="""",0,IF(REGEXMATCH(C129,""^Sell_""),-ROUNDDOWN(ROUNDUP(INDEX(Upgrades!$C$3:$C$13,MATCH(SUBSTITUTE(C129,""Sell_"",""""),Upgrades!$B$3:$B$13,0))*1.15^(COUNTIF(C$4:C128,SUBSTITUTE(C129,""Sell_"",""""))-COUNTIF(C$4:C128,"&amp;"""Sell_""&amp;SUBSTITUTE(C129,""Sell_"",""""))))/2),ROUNDUP(INDEX(Upgrades!$C$3:$C$13,MATCH(C129,Upgrades!$B$3:$B$13,0))*1.15^(COUNTIF(C$4:C128,C129)-COUNTIF(C$4:C128,""Sell_""&amp;C129))))))"),7116.0)</f>
        <v>7116</v>
      </c>
      <c r="H129" s="10">
        <f t="shared" si="3"/>
        <v>7116</v>
      </c>
      <c r="I129" s="68">
        <f t="shared" si="4"/>
        <v>4314.1988</v>
      </c>
      <c r="J129" s="59" t="str">
        <f t="shared" si="5"/>
        <v>1h 11m 54s</v>
      </c>
      <c r="K129" s="69">
        <f t="shared" si="6"/>
        <v>73422614</v>
      </c>
      <c r="L129" s="60">
        <f t="shared" si="7"/>
        <v>-107.90153</v>
      </c>
      <c r="M129" s="61">
        <f>IFERROR(__xludf.DUMMYFUNCTION("IFS(AND(COUNTA(C129:C1673)=0,COUNTA(Q129:Q1673)=0),"""",OR(AND(K129&gt;=1000000000,OR(Y129&gt;=1000000000,COUNTA(Q129:Q1673)=0)),OR(Y129&gt;=1000000000,AND(COUNTA(C129:C1673)=0,P$3=TRUE))),
ROUNDDOWN((AB$1-AC$1)*MAX(INDEX(T$4:T1673,MATCH(LARGE(FILTER(Y$4:Y1673,Y$4"&amp;":Y1673&lt;1000000000),1),Y$4:Y1673)),INDEX(F$4:F1673,MATCH(LARGE(FILTER(K$4:K1673,K$4:K1673&lt;1000000000),1),K$4:K1673)))),AND(K129&lt;1000000000,COUNTA(C129:C1673)&gt;0,P$3=FALSE),
ROUNDDOWN(INDEX(Y$4:Y1673,MATCH(LARGE(FILTER(W$4:W1673,W$4:W1673&lt;=I129),1),W$4:W1673"&amp;"))+(I129-LARGE(FILTER(W$4:W1673,W$4:W1673&lt;=I129),1))*INDEX(T$4:T1673,MATCH(LARGE(FILTER(W$4:W1673,W$4:W1673&lt;=I129),1),W$4:W1673))-K129),1,
ROUNDDOWN(Y129-INDEX(K$4:K1673,MATCH(LARGE(FILTER(I$4:I1673,I$4:I1673&lt;=W129),1),I$4:I1673))-(W129-LARGE(FILTER(I$4:I"&amp;"1673,I$4:I1673&lt;=W129),1))*INDEX(F$4:F1673,MATCH(LARGE(FILTER(I$4:I1673,I$4:I1673&lt;=W129),1),I$4:I1673))))"),1.071948E7)</f>
        <v>10719480</v>
      </c>
      <c r="N129" s="60">
        <f t="shared" si="8"/>
        <v>-107.90153</v>
      </c>
      <c r="O129" s="61" t="str">
        <f t="shared" si="9"/>
        <v>10,7M</v>
      </c>
      <c r="P129" s="56">
        <f t="shared" si="10"/>
        <v>9</v>
      </c>
      <c r="Q129" s="67" t="s">
        <v>8</v>
      </c>
      <c r="R129" s="10" t="b">
        <f>IFERROR(__xludf.DUMMYFUNCTION("IF(COUNTA(Q129:Q1673)=0,"""",IF(ISBLANK(Q129),FALSE,IF(NOT(COUNTIF($AA$24:$AA$34,SUBSTITUTE(Q129,""Sell_"",""""))),1,IF(REGEXMATCH(Q129,""Sell_""),IF(COUNTIF(Q$4:Q129,SUBSTITUTE(Q129,""Sell_"",""""))-COUNTIF(Q$4:Q128,Q129)&lt;1,1),FALSE))))"),FALSE)</f>
        <v>0</v>
      </c>
      <c r="S129" s="59">
        <f t="array" ref="S129">IF(COUNTA(Q129:Q1673)=0,"",SUM((COUNTIF(Q$4:Q129,Upgrades!$B$3:$B$13)-COUNTIF(Q$4:Q129,"Sell_"&amp;Upgrades!$B$3:$B$13))*Upgrades!$D$3:$D$13))</f>
        <v>77692</v>
      </c>
      <c r="T129" s="66">
        <f>IFERROR(__xludf.DUMMYFUNCTION("IF(COUNTA(Q129:Q1673)=0,"""",IF(REGEXMATCH(INDEX(FILTER(Q$4:Q129,Q$4:Q129&lt;&gt;""""),ROWS(FILTER(Q$4:Q129,Q$4:Q129&lt;&gt;""""))),""^Sell_""),INDEX(FILTER(T$4:T128,Q$4:Q128&lt;&gt;""""),ROWS(FILTER(Q$4:Q128,Q$4:Q128&lt;&gt;""""))),$AD$5+S129))"),77707.0)</f>
        <v>77707</v>
      </c>
      <c r="U129" s="10">
        <f>IFERROR(__xludf.DUMMYFUNCTION("IF(COUNTA(Q129:Q1673)=0,"""",IF(Q129="""",0,IF(REGEXMATCH(Q129,""^Sell_""),-ROUNDDOWN(ROUNDUP(INDEX(Upgrades!$C$3:$C$13,MATCH(SUBSTITUTE(Q129,""Sell_"",""""),Upgrades!$B$3:$B$13,0))*1.15^(COUNTIF(Q$4:Q128,SUBSTITUTE(Q129,""Sell_"",""""))-COUNTIF(Q$4:Q128,"&amp;"""Sell_""&amp;SUBSTITUTE(Q129,""Sell_"",""""))))/2),ROUNDUP(INDEX(Upgrades!$C$3:$C$13,MATCH(Q129,Upgrades!$B$3:$B$13,0))*1.15^(COUNTIF(Q$4:Q128,Q129)-COUNTIF(Q$4:Q128,""Sell_""&amp;Q129))))))"),122361.0)</f>
        <v>122361</v>
      </c>
      <c r="V129" s="10">
        <f t="shared" si="11"/>
        <v>122361</v>
      </c>
      <c r="W129" s="68">
        <f t="shared" si="12"/>
        <v>3869.064125</v>
      </c>
      <c r="X129" s="59" t="str">
        <f t="shared" si="13"/>
        <v>1h 04m 29s</v>
      </c>
      <c r="Y129" s="69">
        <f t="shared" si="14"/>
        <v>44598047</v>
      </c>
      <c r="Z129" s="11"/>
    </row>
    <row r="130">
      <c r="A130" s="8"/>
      <c r="B130" s="56">
        <f t="shared" si="2"/>
        <v>14</v>
      </c>
      <c r="C130" s="57" t="s">
        <v>6</v>
      </c>
      <c r="D130" s="10" t="b">
        <f>IFERROR(__xludf.DUMMYFUNCTION("IF(COUNTA(C130:C1673)=0,"""",IF(ISBLANK(C130),FALSE,IF(NOT(COUNTIF($AA$24:$AA$34,SUBSTITUTE(C130,""Sell_"",""""))),1,IF(REGEXMATCH(C130,""Sell_""),IF(COUNTIF(C$4:C130,SUBSTITUTE(C130,""Sell_"",""""))-COUNTIF(C$4:C129,C130)&lt;1,1),FALSE))))"),FALSE)</f>
        <v>0</v>
      </c>
      <c r="E130" s="59">
        <f t="array" ref="E130">IF(COUNTA(C130:C1673)=0,"",SUM((COUNTIF(C$4:C130,Upgrades!$B$3:$B$13)-COUNTIF(C$4:C130,"Sell_"&amp;Upgrades!$B$3:$B$13))*Upgrades!$D$3:$D$13))</f>
        <v>99253.8</v>
      </c>
      <c r="F130" s="66">
        <f>IFERROR(__xludf.DUMMYFUNCTION("IF(COUNTA(C130:C1673)=0,"""",IF(REGEXMATCH(INDEX(FILTER(C$4:C130,C$4:C130&lt;&gt;""""),ROWS(FILTER(C$4:C130,C$4:C130&lt;&gt;""""))),""^Sell_""),INDEX(FILTER(F$4:F129,C$4:C129&lt;&gt;""""),ROWS(FILTER(C$4:C129,C$4:C129&lt;&gt;""""))),$AC$5+E130))"),99268.8)</f>
        <v>99268.8</v>
      </c>
      <c r="G130" s="10">
        <f>IFERROR(__xludf.DUMMYFUNCTION("IF(COUNTA(C130:C1673)=0,"""",IF(C130="""",0,IF(REGEXMATCH(C130,""^Sell_""),-ROUNDDOWN(ROUNDUP(INDEX(Upgrades!$C$3:$C$13,MATCH(SUBSTITUTE(C130,""Sell_"",""""),Upgrades!$B$3:$B$13,0))*1.15^(COUNTIF(C$4:C129,SUBSTITUTE(C130,""Sell_"",""""))-COUNTIF(C$4:C129,"&amp;"""Sell_""&amp;SUBSTITUTE(C130,""Sell_"",""""))))/2),ROUNDUP(INDEX(Upgrades!$C$3:$C$13,MATCH(C130,Upgrades!$B$3:$B$13,0))*1.15^(COUNTIF(C$4:C129,C130)-COUNTIF(C$4:C129,""Sell_""&amp;C130))))))"),18459.0)</f>
        <v>18459</v>
      </c>
      <c r="H130" s="10">
        <f t="shared" si="3"/>
        <v>18459</v>
      </c>
      <c r="I130" s="68">
        <f t="shared" si="4"/>
        <v>4314.384768</v>
      </c>
      <c r="J130" s="59" t="str">
        <f t="shared" si="5"/>
        <v>1h 11m 54s</v>
      </c>
      <c r="K130" s="69">
        <f t="shared" si="6"/>
        <v>73441073</v>
      </c>
      <c r="L130" s="60">
        <f t="shared" si="7"/>
        <v>-107.9007</v>
      </c>
      <c r="M130" s="61">
        <f>IFERROR(__xludf.DUMMYFUNCTION("IFS(AND(COUNTA(C130:C1673)=0,COUNTA(Q130:Q1673)=0),"""",OR(AND(K130&gt;=1000000000,OR(Y130&gt;=1000000000,COUNTA(Q130:Q1673)=0)),OR(Y130&gt;=1000000000,AND(COUNTA(C130:C1673)=0,P$3=TRUE))),
ROUNDDOWN((AB$1-AC$1)*MAX(INDEX(T$4:T1673,MATCH(LARGE(FILTER(Y$4:Y1673,Y$4"&amp;":Y1673&lt;1000000000),1),Y$4:Y1673)),INDEX(F$4:F1673,MATCH(LARGE(FILTER(K$4:K1673,K$4:K1673&lt;1000000000),1),K$4:K1673)))),AND(K130&lt;1000000000,COUNTA(C130:C1673)&gt;0,P$3=FALSE),
ROUNDDOWN(INDEX(Y$4:Y1673,MATCH(LARGE(FILTER(W$4:W1673,W$4:W1673&lt;=I130),1),W$4:W1673"&amp;"))+(I130-LARGE(FILTER(W$4:W1673,W$4:W1673&lt;=I130),1))*INDEX(T$4:T1673,MATCH(LARGE(FILTER(W$4:W1673,W$4:W1673&lt;=I130),1),W$4:W1673))-K130),1,
ROUNDDOWN(Y130-INDEX(K$4:K1673,MATCH(LARGE(FILTER(I$4:I1673,I$4:I1673&lt;=W130),1),I$4:I1673))-(W130-LARGE(FILTER(I$4:I"&amp;"1673,I$4:I1673&lt;=W130),1))*INDEX(F$4:F1673,MATCH(LARGE(FILTER(I$4:I1673,I$4:I1673&lt;=W130),1),I$4:I1673))))"),1.0719501E7)</f>
        <v>10719501</v>
      </c>
      <c r="N130" s="60">
        <f t="shared" si="8"/>
        <v>-107.9007</v>
      </c>
      <c r="O130" s="61" t="str">
        <f t="shared" si="9"/>
        <v>10,7M</v>
      </c>
      <c r="P130" s="56">
        <f t="shared" si="10"/>
        <v>16</v>
      </c>
      <c r="Q130" s="67" t="s">
        <v>3</v>
      </c>
      <c r="R130" s="10" t="b">
        <f>IFERROR(__xludf.DUMMYFUNCTION("IF(COUNTA(Q130:Q1673)=0,"""",IF(ISBLANK(Q130),FALSE,IF(NOT(COUNTIF($AA$24:$AA$34,SUBSTITUTE(Q130,""Sell_"",""""))),1,IF(REGEXMATCH(Q130,""Sell_""),IF(COUNTIF(Q$4:Q130,SUBSTITUTE(Q130,""Sell_"",""""))-COUNTIF(Q$4:Q129,Q130)&lt;1,1),FALSE))))"),FALSE)</f>
        <v>0</v>
      </c>
      <c r="S130" s="59">
        <f t="array" ref="S130">IF(COUNTA(Q130:Q1673)=0,"",SUM((COUNTIF(Q$4:Q130,Upgrades!$B$3:$B$13)-COUNTIF(Q$4:Q130,"Sell_"&amp;Upgrades!$B$3:$B$13))*Upgrades!$D$3:$D$13))</f>
        <v>77692.1</v>
      </c>
      <c r="T130" s="66">
        <f>IFERROR(__xludf.DUMMYFUNCTION("IF(COUNTA(Q130:Q1673)=0,"""",IF(REGEXMATCH(INDEX(FILTER(Q$4:Q130,Q$4:Q130&lt;&gt;""""),ROWS(FILTER(Q$4:Q130,Q$4:Q130&lt;&gt;""""))),""^Sell_""),INDEX(FILTER(T$4:T129,Q$4:Q129&lt;&gt;""""),ROWS(FILTER(Q$4:Q129,Q$4:Q129&lt;&gt;""""))),$AD$5+S130))"),77707.1)</f>
        <v>77707.1</v>
      </c>
      <c r="U130" s="10">
        <f>IFERROR(__xludf.DUMMYFUNCTION("IF(COUNTA(Q130:Q1673)=0,"""",IF(Q130="""",0,IF(REGEXMATCH(Q130,""^Sell_""),-ROUNDDOWN(ROUNDUP(INDEX(Upgrades!$C$3:$C$13,MATCH(SUBSTITUTE(Q130,""Sell_"",""""),Upgrades!$B$3:$B$13,0))*1.15^(COUNTIF(Q$4:Q129,SUBSTITUTE(Q130,""Sell_"",""""))-COUNTIF(Q$4:Q129,"&amp;"""Sell_""&amp;SUBSTITUTE(Q130,""Sell_"",""""))))/2),ROUNDUP(INDEX(Upgrades!$C$3:$C$13,MATCH(Q130,Upgrades!$B$3:$B$13,0))*1.15^(COUNTIF(Q$4:Q129,Q130)-COUNTIF(Q$4:Q129,""Sell_""&amp;Q130))))))"),123.0)</f>
        <v>123</v>
      </c>
      <c r="V130" s="10">
        <f t="shared" si="11"/>
        <v>123</v>
      </c>
      <c r="W130" s="68">
        <f t="shared" si="12"/>
        <v>3869.065708</v>
      </c>
      <c r="X130" s="59" t="str">
        <f t="shared" si="13"/>
        <v>1h 04m 29s</v>
      </c>
      <c r="Y130" s="69">
        <f t="shared" si="14"/>
        <v>44598170</v>
      </c>
      <c r="Z130" s="11"/>
    </row>
    <row r="131">
      <c r="A131" s="8"/>
      <c r="B131" s="56">
        <f t="shared" si="2"/>
        <v>19</v>
      </c>
      <c r="C131" s="57" t="s">
        <v>3</v>
      </c>
      <c r="D131" s="10" t="b">
        <f>IFERROR(__xludf.DUMMYFUNCTION("IF(COUNTA(C131:C1673)=0,"""",IF(ISBLANK(C131),FALSE,IF(NOT(COUNTIF($AA$24:$AA$34,SUBSTITUTE(C131,""Sell_"",""""))),1,IF(REGEXMATCH(C131,""Sell_""),IF(COUNTIF(C$4:C131,SUBSTITUTE(C131,""Sell_"",""""))-COUNTIF(C$4:C130,C131)&lt;1,1),FALSE))))"),FALSE)</f>
        <v>0</v>
      </c>
      <c r="E131" s="59">
        <f t="array" ref="E131">IF(COUNTA(C131:C1673)=0,"",SUM((COUNTIF(C$4:C131,Upgrades!$B$3:$B$13)-COUNTIF(C$4:C131,"Sell_"&amp;Upgrades!$B$3:$B$13))*Upgrades!$D$3:$D$13))</f>
        <v>99253.9</v>
      </c>
      <c r="F131" s="66">
        <f>IFERROR(__xludf.DUMMYFUNCTION("IF(COUNTA(C131:C1673)=0,"""",IF(REGEXMATCH(INDEX(FILTER(C$4:C131,C$4:C131&lt;&gt;""""),ROWS(FILTER(C$4:C131,C$4:C131&lt;&gt;""""))),""^Sell_""),INDEX(FILTER(F$4:F130,C$4:C130&lt;&gt;""""),ROWS(FILTER(C$4:C130,C$4:C130&lt;&gt;""""))),$AC$5+E131))"),99268.9)</f>
        <v>99268.9</v>
      </c>
      <c r="G131" s="10">
        <f>IFERROR(__xludf.DUMMYFUNCTION("IF(COUNTA(C131:C1673)=0,"""",IF(C131="""",0,IF(REGEXMATCH(C131,""^Sell_""),-ROUNDDOWN(ROUNDUP(INDEX(Upgrades!$C$3:$C$13,MATCH(SUBSTITUTE(C131,""Sell_"",""""),Upgrades!$B$3:$B$13,0))*1.15^(COUNTIF(C$4:C130,SUBSTITUTE(C131,""Sell_"",""""))-COUNTIF(C$4:C130,"&amp;"""Sell_""&amp;SUBSTITUTE(C131,""Sell_"",""""))))/2),ROUNDUP(INDEX(Upgrades!$C$3:$C$13,MATCH(C131,Upgrades!$B$3:$B$13,0))*1.15^(COUNTIF(C$4:C130,C131)-COUNTIF(C$4:C130,""Sell_""&amp;C131))))))"),186.0)</f>
        <v>186</v>
      </c>
      <c r="H131" s="10">
        <f t="shared" si="3"/>
        <v>186</v>
      </c>
      <c r="I131" s="68">
        <f t="shared" si="4"/>
        <v>4314.386642</v>
      </c>
      <c r="J131" s="59" t="str">
        <f t="shared" si="5"/>
        <v>1h 11m 54s</v>
      </c>
      <c r="K131" s="69">
        <f t="shared" si="6"/>
        <v>73441259</v>
      </c>
      <c r="L131" s="60">
        <f t="shared" si="7"/>
        <v>-107.90069</v>
      </c>
      <c r="M131" s="61">
        <f>IFERROR(__xludf.DUMMYFUNCTION("IFS(AND(COUNTA(C131:C1673)=0,COUNTA(Q131:Q1673)=0),"""",OR(AND(K131&gt;=1000000000,OR(Y131&gt;=1000000000,COUNTA(Q131:Q1673)=0)),OR(Y131&gt;=1000000000,AND(COUNTA(C131:C1673)=0,P$3=TRUE))),
ROUNDDOWN((AB$1-AC$1)*MAX(INDEX(T$4:T1673,MATCH(LARGE(FILTER(Y$4:Y1673,Y$4"&amp;":Y1673&lt;1000000000),1),Y$4:Y1673)),INDEX(F$4:F1673,MATCH(LARGE(FILTER(K$4:K1673,K$4:K1673&lt;1000000000),1),K$4:K1673)))),AND(K131&lt;1000000000,COUNTA(C131:C1673)&gt;0,P$3=FALSE),
ROUNDDOWN(INDEX(Y$4:Y1673,MATCH(LARGE(FILTER(W$4:W1673,W$4:W1673&lt;=I131),1),W$4:W1673"&amp;"))+(I131-LARGE(FILTER(W$4:W1673,W$4:W1673&lt;=I131),1))*INDEX(T$4:T1673,MATCH(LARGE(FILTER(W$4:W1673,W$4:W1673&lt;=I131),1),W$4:W1673))-K131),1,
ROUNDDOWN(Y131-INDEX(K$4:K1673,MATCH(LARGE(FILTER(I$4:I1673,I$4:I1673&lt;=W131),1),I$4:I1673))-(W131-LARGE(FILTER(I$4:I"&amp;"1673,I$4:I1673&lt;=W131),1))*INDEX(F$4:F1673,MATCH(LARGE(FILTER(I$4:I1673,I$4:I1673&lt;=W131),1),I$4:I1673))))"),1.0719501E7)</f>
        <v>10719501</v>
      </c>
      <c r="N131" s="60">
        <f t="shared" si="8"/>
        <v>-107.90069</v>
      </c>
      <c r="O131" s="61" t="str">
        <f t="shared" si="9"/>
        <v>10,7M</v>
      </c>
      <c r="P131" s="56">
        <f t="shared" si="10"/>
        <v>14</v>
      </c>
      <c r="Q131" s="67" t="s">
        <v>4</v>
      </c>
      <c r="R131" s="10" t="b">
        <f>IFERROR(__xludf.DUMMYFUNCTION("IF(COUNTA(Q131:Q1673)=0,"""",IF(ISBLANK(Q131),FALSE,IF(NOT(COUNTIF($AA$24:$AA$34,SUBSTITUTE(Q131,""Sell_"",""""))),1,IF(REGEXMATCH(Q131,""Sell_""),IF(COUNTIF(Q$4:Q131,SUBSTITUTE(Q131,""Sell_"",""""))-COUNTIF(Q$4:Q130,Q131)&lt;1,1),FALSE))))"),FALSE)</f>
        <v>0</v>
      </c>
      <c r="S131" s="59">
        <f t="array" ref="S131">IF(COUNTA(Q131:Q1673)=0,"",SUM((COUNTIF(Q$4:Q131,Upgrades!$B$3:$B$13)-COUNTIF(Q$4:Q131,"Sell_"&amp;Upgrades!$B$3:$B$13))*Upgrades!$D$3:$D$13))</f>
        <v>77692.6</v>
      </c>
      <c r="T131" s="66">
        <f>IFERROR(__xludf.DUMMYFUNCTION("IF(COUNTA(Q131:Q1673)=0,"""",IF(REGEXMATCH(INDEX(FILTER(Q$4:Q131,Q$4:Q131&lt;&gt;""""),ROWS(FILTER(Q$4:Q131,Q$4:Q131&lt;&gt;""""))),""^Sell_""),INDEX(FILTER(T$4:T130,Q$4:Q130&lt;&gt;""""),ROWS(FILTER(Q$4:Q130,Q$4:Q130&lt;&gt;""""))),$AD$5+S131))"),77707.6)</f>
        <v>77707.6</v>
      </c>
      <c r="U131" s="10">
        <f>IFERROR(__xludf.DUMMYFUNCTION("IF(COUNTA(Q131:Q1673)=0,"""",IF(Q131="""",0,IF(REGEXMATCH(Q131,""^Sell_""),-ROUNDDOWN(ROUNDUP(INDEX(Upgrades!$C$3:$C$13,MATCH(SUBSTITUTE(Q131,""Sell_"",""""),Upgrades!$B$3:$B$13,0))*1.15^(COUNTIF(Q$4:Q130,SUBSTITUTE(Q131,""Sell_"",""""))-COUNTIF(Q$4:Q130,"&amp;"""Sell_""&amp;SUBSTITUTE(Q131,""Sell_"",""""))))/2),ROUNDUP(INDEX(Upgrades!$C$3:$C$13,MATCH(Q131,Upgrades!$B$3:$B$13,0))*1.15^(COUNTIF(Q$4:Q130,Q131)-COUNTIF(Q$4:Q130,""Sell_""&amp;Q131))))))"),616.0)</f>
        <v>616</v>
      </c>
      <c r="V131" s="10">
        <f t="shared" si="11"/>
        <v>616</v>
      </c>
      <c r="W131" s="68">
        <f t="shared" si="12"/>
        <v>3869.073635</v>
      </c>
      <c r="X131" s="59" t="str">
        <f t="shared" si="13"/>
        <v>1h 04m 29s</v>
      </c>
      <c r="Y131" s="69">
        <f t="shared" si="14"/>
        <v>44598786</v>
      </c>
      <c r="Z131" s="11"/>
    </row>
    <row r="132">
      <c r="A132" s="8"/>
      <c r="B132" s="56">
        <f t="shared" si="2"/>
        <v>12</v>
      </c>
      <c r="C132" s="57" t="s">
        <v>8</v>
      </c>
      <c r="D132" s="10" t="b">
        <f>IFERROR(__xludf.DUMMYFUNCTION("IF(COUNTA(C132:C1673)=0,"""",IF(ISBLANK(C132),FALSE,IF(NOT(COUNTIF($AA$24:$AA$34,SUBSTITUTE(C132,""Sell_"",""""))),1,IF(REGEXMATCH(C132,""Sell_""),IF(COUNTIF(C$4:C132,SUBSTITUTE(C132,""Sell_"",""""))-COUNTIF(C$4:C131,C132)&lt;1,1),FALSE))))"),FALSE)</f>
        <v>0</v>
      </c>
      <c r="E132" s="59">
        <f t="array" ref="E132">IF(COUNTA(C132:C1673)=0,"",SUM((COUNTIF(C$4:C132,Upgrades!$B$3:$B$13)-COUNTIF(C$4:C132,"Sell_"&amp;Upgrades!$B$3:$B$13))*Upgrades!$D$3:$D$13))</f>
        <v>99353.9</v>
      </c>
      <c r="F132" s="66">
        <f>IFERROR(__xludf.DUMMYFUNCTION("IF(COUNTA(C132:C1673)=0,"""",IF(REGEXMATCH(INDEX(FILTER(C$4:C132,C$4:C132&lt;&gt;""""),ROWS(FILTER(C$4:C132,C$4:C132&lt;&gt;""""))),""^Sell_""),INDEX(FILTER(F$4:F131,C$4:C131&lt;&gt;""""),ROWS(FILTER(C$4:C131,C$4:C131&lt;&gt;""""))),$AC$5+E132))"),99368.9)</f>
        <v>99368.9</v>
      </c>
      <c r="G132" s="10">
        <f>IFERROR(__xludf.DUMMYFUNCTION("IF(COUNTA(C132:C1673)=0,"""",IF(C132="""",0,IF(REGEXMATCH(C132,""^Sell_""),-ROUNDDOWN(ROUNDUP(INDEX(Upgrades!$C$3:$C$13,MATCH(SUBSTITUTE(C132,""Sell_"",""""),Upgrades!$B$3:$B$13,0))*1.15^(COUNTIF(C$4:C131,SUBSTITUTE(C132,""Sell_"",""""))-COUNTIF(C$4:C131,"&amp;"""Sell_""&amp;SUBSTITUTE(C132,""Sell_"",""""))))/2),ROUNDUP(INDEX(Upgrades!$C$3:$C$13,MATCH(C132,Upgrades!$B$3:$B$13,0))*1.15^(COUNTIF(C$4:C131,C132)-COUNTIF(C$4:C131,""Sell_""&amp;C132))))))"),186096.0)</f>
        <v>186096</v>
      </c>
      <c r="H132" s="10">
        <f t="shared" si="3"/>
        <v>186096</v>
      </c>
      <c r="I132" s="68">
        <f t="shared" si="4"/>
        <v>4316.261308</v>
      </c>
      <c r="J132" s="59" t="str">
        <f t="shared" si="5"/>
        <v>1h 11m 56s</v>
      </c>
      <c r="K132" s="69">
        <f t="shared" si="6"/>
        <v>73627355</v>
      </c>
      <c r="L132" s="60">
        <f t="shared" si="7"/>
        <v>-107.89207</v>
      </c>
      <c r="M132" s="61">
        <f>IFERROR(__xludf.DUMMYFUNCTION("IFS(AND(COUNTA(C132:C1673)=0,COUNTA(Q132:Q1673)=0),"""",OR(AND(K132&gt;=1000000000,OR(Y132&gt;=1000000000,COUNTA(Q132:Q1673)=0)),OR(Y132&gt;=1000000000,AND(COUNTA(C132:C1673)=0,P$3=TRUE))),
ROUNDDOWN((AB$1-AC$1)*MAX(INDEX(T$4:T1673,MATCH(LARGE(FILTER(Y$4:Y1673,Y$4"&amp;":Y1673&lt;1000000000),1),Y$4:Y1673)),INDEX(F$4:F1673,MATCH(LARGE(FILTER(K$4:K1673,K$4:K1673&lt;1000000000),1),K$4:K1673)))),AND(K132&lt;1000000000,COUNTA(C132:C1673)&gt;0,P$3=FALSE),
ROUNDDOWN(INDEX(Y$4:Y1673,MATCH(LARGE(FILTER(W$4:W1673,W$4:W1673&lt;=I132),1),W$4:W1673"&amp;"))+(I132-LARGE(FILTER(W$4:W1673,W$4:W1673&lt;=I132),1))*INDEX(T$4:T1673,MATCH(LARGE(FILTER(W$4:W1673,W$4:W1673&lt;=I132),1),W$4:W1673))-K132),1,
ROUNDDOWN(Y132-INDEX(K$4:K1673,MATCH(LARGE(FILTER(I$4:I1673,I$4:I1673&lt;=W132),1),I$4:I1673))-(W132-LARGE(FILTER(I$4:I"&amp;"1673,I$4:I1673&lt;=W132),1))*INDEX(F$4:F1673,MATCH(LARGE(FILTER(I$4:I1673,I$4:I1673&lt;=W132),1),I$4:I1673))))"),1.071969E7)</f>
        <v>10719690</v>
      </c>
      <c r="N132" s="60">
        <f t="shared" si="8"/>
        <v>-107.89207</v>
      </c>
      <c r="O132" s="61" t="str">
        <f t="shared" si="9"/>
        <v>10,7M</v>
      </c>
      <c r="P132" s="56">
        <f t="shared" si="10"/>
        <v>12</v>
      </c>
      <c r="Q132" s="67" t="s">
        <v>10</v>
      </c>
      <c r="R132" s="10" t="b">
        <f>IFERROR(__xludf.DUMMYFUNCTION("IF(COUNTA(Q132:Q1673)=0,"""",IF(ISBLANK(Q132),FALSE,IF(NOT(COUNTIF($AA$24:$AA$34,SUBSTITUTE(Q132,""Sell_"",""""))),1,IF(REGEXMATCH(Q132,""Sell_""),IF(COUNTIF(Q$4:Q132,SUBSTITUTE(Q132,""Sell_"",""""))-COUNTIF(Q$4:Q131,Q132)&lt;1,1),FALSE))))"),FALSE)</f>
        <v>0</v>
      </c>
      <c r="S132" s="59">
        <f t="array" ref="S132">IF(COUNTA(Q132:Q1673)=0,"",SUM((COUNTIF(Q$4:Q132,Upgrades!$B$3:$B$13)-COUNTIF(Q$4:Q132,"Sell_"&amp;Upgrades!$B$3:$B$13))*Upgrades!$D$3:$D$13))</f>
        <v>84358.6</v>
      </c>
      <c r="T132" s="66">
        <f>IFERROR(__xludf.DUMMYFUNCTION("IF(COUNTA(Q132:Q1673)=0,"""",IF(REGEXMATCH(INDEX(FILTER(Q$4:Q132,Q$4:Q132&lt;&gt;""""),ROWS(FILTER(Q$4:Q132,Q$4:Q132&lt;&gt;""""))),""^Sell_""),INDEX(FILTER(T$4:T131,Q$4:Q131&lt;&gt;""""),ROWS(FILTER(Q$4:Q131,Q$4:Q131&lt;&gt;""""))),$AD$5+S132))"),84373.6)</f>
        <v>84373.6</v>
      </c>
      <c r="U132" s="10">
        <f>IFERROR(__xludf.DUMMYFUNCTION("IF(COUNTA(Q132:Q1673)=0,"""",IF(Q132="""",0,IF(REGEXMATCH(Q132,""^Sell_""),-ROUNDDOWN(ROUNDUP(INDEX(Upgrades!$C$3:$C$13,MATCH(SUBSTITUTE(Q132,""Sell_"",""""),Upgrades!$B$3:$B$13,0))*1.15^(COUNTIF(Q$4:Q131,SUBSTITUTE(Q132,""Sell_"",""""))-COUNTIF(Q$4:Q131,"&amp;"""Sell_""&amp;SUBSTITUTE(Q132,""Sell_"",""""))))/2),ROUNDUP(INDEX(Upgrades!$C$3:$C$13,MATCH(Q132,Upgrades!$B$3:$B$13,0))*1.15^(COUNTIF(Q$4:Q131,Q132)-COUNTIF(Q$4:Q131,""Sell_""&amp;Q132))))))"),7753983.0)</f>
        <v>7753983</v>
      </c>
      <c r="V132" s="10">
        <f t="shared" si="11"/>
        <v>7753983</v>
      </c>
      <c r="W132" s="68">
        <f t="shared" si="12"/>
        <v>3968.857736</v>
      </c>
      <c r="X132" s="59" t="str">
        <f t="shared" si="13"/>
        <v>1h 06m 08s</v>
      </c>
      <c r="Y132" s="69">
        <f t="shared" si="14"/>
        <v>52352769</v>
      </c>
      <c r="Z132" s="11"/>
    </row>
    <row r="133">
      <c r="A133" s="8"/>
      <c r="B133" s="56">
        <f t="shared" si="2"/>
        <v>17</v>
      </c>
      <c r="C133" s="57" t="s">
        <v>4</v>
      </c>
      <c r="D133" s="10" t="b">
        <f>IFERROR(__xludf.DUMMYFUNCTION("IF(COUNTA(C133:C1673)=0,"""",IF(ISBLANK(C133),FALSE,IF(NOT(COUNTIF($AA$24:$AA$34,SUBSTITUTE(C133,""Sell_"",""""))),1,IF(REGEXMATCH(C133,""Sell_""),IF(COUNTIF(C$4:C133,SUBSTITUTE(C133,""Sell_"",""""))-COUNTIF(C$4:C132,C133)&lt;1,1),FALSE))))"),FALSE)</f>
        <v>0</v>
      </c>
      <c r="E133" s="59">
        <f t="array" ref="E133">IF(COUNTA(C133:C1673)=0,"",SUM((COUNTIF(C$4:C133,Upgrades!$B$3:$B$13)-COUNTIF(C$4:C133,"Sell_"&amp;Upgrades!$B$3:$B$13))*Upgrades!$D$3:$D$13))</f>
        <v>99354.4</v>
      </c>
      <c r="F133" s="66">
        <f>IFERROR(__xludf.DUMMYFUNCTION("IF(COUNTA(C133:C1673)=0,"""",IF(REGEXMATCH(INDEX(FILTER(C$4:C133,C$4:C133&lt;&gt;""""),ROWS(FILTER(C$4:C133,C$4:C133&lt;&gt;""""))),""^Sell_""),INDEX(FILTER(F$4:F132,C$4:C132&lt;&gt;""""),ROWS(FILTER(C$4:C132,C$4:C132&lt;&gt;""""))),$AC$5+E133))"),99369.4)</f>
        <v>99369.4</v>
      </c>
      <c r="G133" s="10">
        <f>IFERROR(__xludf.DUMMYFUNCTION("IF(COUNTA(C133:C1673)=0,"""",IF(C133="""",0,IF(REGEXMATCH(C133,""^Sell_""),-ROUNDDOWN(ROUNDUP(INDEX(Upgrades!$C$3:$C$13,MATCH(SUBSTITUTE(C133,""Sell_"",""""),Upgrades!$B$3:$B$13,0))*1.15^(COUNTIF(C$4:C132,SUBSTITUTE(C133,""Sell_"",""""))-COUNTIF(C$4:C132,"&amp;"""Sell_""&amp;SUBSTITUTE(C133,""Sell_"",""""))))/2),ROUNDUP(INDEX(Upgrades!$C$3:$C$13,MATCH(C133,Upgrades!$B$3:$B$13,0))*1.15^(COUNTIF(C$4:C132,C133)-COUNTIF(C$4:C132,""Sell_""&amp;C133))))))"),936.0)</f>
        <v>936</v>
      </c>
      <c r="H133" s="10">
        <f t="shared" si="3"/>
        <v>936</v>
      </c>
      <c r="I133" s="68">
        <f t="shared" si="4"/>
        <v>4316.270727</v>
      </c>
      <c r="J133" s="59" t="str">
        <f t="shared" si="5"/>
        <v>1h 11m 56s</v>
      </c>
      <c r="K133" s="69">
        <f t="shared" si="6"/>
        <v>73628291</v>
      </c>
      <c r="L133" s="60">
        <f t="shared" si="7"/>
        <v>-107.89202</v>
      </c>
      <c r="M133" s="61">
        <f>IFERROR(__xludf.DUMMYFUNCTION("IFS(AND(COUNTA(C133:C1673)=0,COUNTA(Q133:Q1673)=0),"""",OR(AND(K133&gt;=1000000000,OR(Y133&gt;=1000000000,COUNTA(Q133:Q1673)=0)),OR(Y133&gt;=1000000000,AND(COUNTA(C133:C1673)=0,P$3=TRUE))),
ROUNDDOWN((AB$1-AC$1)*MAX(INDEX(T$4:T1673,MATCH(LARGE(FILTER(Y$4:Y1673,Y$4"&amp;":Y1673&lt;1000000000),1),Y$4:Y1673)),INDEX(F$4:F1673,MATCH(LARGE(FILTER(K$4:K1673,K$4:K1673&lt;1000000000),1),K$4:K1673)))),AND(K133&lt;1000000000,COUNTA(C133:C1673)&gt;0,P$3=FALSE),
ROUNDDOWN(INDEX(Y$4:Y1673,MATCH(LARGE(FILTER(W$4:W1673,W$4:W1673&lt;=I133),1),W$4:W1673"&amp;"))+(I133-LARGE(FILTER(W$4:W1673,W$4:W1673&lt;=I133),1))*INDEX(T$4:T1673,MATCH(LARGE(FILTER(W$4:W1673,W$4:W1673&lt;=I133),1),W$4:W1673))-K133),1,
ROUNDDOWN(Y133-INDEX(K$4:K1673,MATCH(LARGE(FILTER(I$4:I1673,I$4:I1673&lt;=W133),1),I$4:I1673))-(W133-LARGE(FILTER(I$4:I"&amp;"1673,I$4:I1673&lt;=W133),1))*INDEX(F$4:F1673,MATCH(LARGE(FILTER(I$4:I1673,I$4:I1673&lt;=W133),1),I$4:I1673))))"),1.071969E7)</f>
        <v>10719690</v>
      </c>
      <c r="N133" s="60">
        <f t="shared" si="8"/>
        <v>-107.89202</v>
      </c>
      <c r="O133" s="61" t="str">
        <f t="shared" si="9"/>
        <v>10,7M</v>
      </c>
      <c r="P133" s="56">
        <f t="shared" si="10"/>
        <v>8</v>
      </c>
      <c r="Q133" s="67" t="s">
        <v>9</v>
      </c>
      <c r="R133" s="10" t="b">
        <f>IFERROR(__xludf.DUMMYFUNCTION("IF(COUNTA(Q133:Q1673)=0,"""",IF(ISBLANK(Q133),FALSE,IF(NOT(COUNTIF($AA$24:$AA$34,SUBSTITUTE(Q133,""Sell_"",""""))),1,IF(REGEXMATCH(Q133,""Sell_""),IF(COUNTIF(Q$4:Q133,SUBSTITUTE(Q133,""Sell_"",""""))-COUNTIF(Q$4:Q132,Q133)&lt;1,1),FALSE))))"),FALSE)</f>
        <v>0</v>
      </c>
      <c r="S133" s="59">
        <f t="array" ref="S133">IF(COUNTA(Q133:Q1673)=0,"",SUM((COUNTIF(Q$4:Q133,Upgrades!$B$3:$B$13)-COUNTIF(Q$4:Q133,"Sell_"&amp;Upgrades!$B$3:$B$13))*Upgrades!$D$3:$D$13))</f>
        <v>84758.6</v>
      </c>
      <c r="T133" s="66">
        <f>IFERROR(__xludf.DUMMYFUNCTION("IF(COUNTA(Q133:Q1673)=0,"""",IF(REGEXMATCH(INDEX(FILTER(Q$4:Q133,Q$4:Q133&lt;&gt;""""),ROWS(FILTER(Q$4:Q133,Q$4:Q133&lt;&gt;""""))),""^Sell_""),INDEX(FILTER(T$4:T132,Q$4:Q132&lt;&gt;""""),ROWS(FILTER(Q$4:Q132,Q$4:Q132&lt;&gt;""""))),$AD$5+S133))"),84773.6)</f>
        <v>84773.6</v>
      </c>
      <c r="U133" s="10">
        <f>IFERROR(__xludf.DUMMYFUNCTION("IF(COUNTA(Q133:Q1673)=0,"""",IF(Q133="""",0,IF(REGEXMATCH(Q133,""^Sell_""),-ROUNDDOWN(ROUNDUP(INDEX(Upgrades!$C$3:$C$13,MATCH(SUBSTITUTE(Q133,""Sell_"",""""),Upgrades!$B$3:$B$13,0))*1.15^(COUNTIF(Q$4:Q132,SUBSTITUTE(Q133,""Sell_"",""""))-COUNTIF(Q$4:Q132,"&amp;"""Sell_""&amp;SUBSTITUTE(Q133,""Sell_"",""""))))/2),ROUNDUP(INDEX(Upgrades!$C$3:$C$13,MATCH(Q133,Upgrades!$B$3:$B$13,0))*1.15^(COUNTIF(Q$4:Q132,Q133)-COUNTIF(Q$4:Q132,""Sell_""&amp;Q133))))))"),532004.0)</f>
        <v>532004</v>
      </c>
      <c r="V133" s="10">
        <f t="shared" si="11"/>
        <v>532004</v>
      </c>
      <c r="W133" s="68">
        <f t="shared" si="12"/>
        <v>3975.163073</v>
      </c>
      <c r="X133" s="59" t="str">
        <f t="shared" si="13"/>
        <v>1h 06m 15s</v>
      </c>
      <c r="Y133" s="69">
        <f t="shared" si="14"/>
        <v>52884773</v>
      </c>
      <c r="Z133" s="11"/>
    </row>
    <row r="134">
      <c r="A134" s="8"/>
      <c r="B134" s="56">
        <f t="shared" si="2"/>
        <v>15</v>
      </c>
      <c r="C134" s="57" t="s">
        <v>10</v>
      </c>
      <c r="D134" s="10" t="b">
        <f>IFERROR(__xludf.DUMMYFUNCTION("IF(COUNTA(C134:C1673)=0,"""",IF(ISBLANK(C134),FALSE,IF(NOT(COUNTIF($AA$24:$AA$34,SUBSTITUTE(C134,""Sell_"",""""))),1,IF(REGEXMATCH(C134,""Sell_""),IF(COUNTIF(C$4:C134,SUBSTITUTE(C134,""Sell_"",""""))-COUNTIF(C$4:C133,C134)&lt;1,1),FALSE))))"),FALSE)</f>
        <v>0</v>
      </c>
      <c r="E134" s="59">
        <f t="array" ref="E134">IF(COUNTA(C134:C1673)=0,"",SUM((COUNTIF(C$4:C134,Upgrades!$B$3:$B$13)-COUNTIF(C$4:C134,"Sell_"&amp;Upgrades!$B$3:$B$13))*Upgrades!$D$3:$D$13))</f>
        <v>106020.4</v>
      </c>
      <c r="F134" s="66">
        <f>IFERROR(__xludf.DUMMYFUNCTION("IF(COUNTA(C134:C1673)=0,"""",IF(REGEXMATCH(INDEX(FILTER(C$4:C134,C$4:C134&lt;&gt;""""),ROWS(FILTER(C$4:C134,C$4:C134&lt;&gt;""""))),""^Sell_""),INDEX(FILTER(F$4:F133,C$4:C133&lt;&gt;""""),ROWS(FILTER(C$4:C133,C$4:C133&lt;&gt;""""))),$AC$5+E134))"),106035.4)</f>
        <v>106035.4</v>
      </c>
      <c r="G134" s="10">
        <f>IFERROR(__xludf.DUMMYFUNCTION("IF(COUNTA(C134:C1673)=0,"""",IF(C134="""",0,IF(REGEXMATCH(C134,""^Sell_""),-ROUNDDOWN(ROUNDUP(INDEX(Upgrades!$C$3:$C$13,MATCH(SUBSTITUTE(C134,""Sell_"",""""),Upgrades!$B$3:$B$13,0))*1.15^(COUNTIF(C$4:C133,SUBSTITUTE(C134,""Sell_"",""""))-COUNTIF(C$4:C133,"&amp;"""Sell_""&amp;SUBSTITUTE(C134,""Sell_"",""""))))/2),ROUNDUP(INDEX(Upgrades!$C$3:$C$13,MATCH(C134,Upgrades!$B$3:$B$13,0))*1.15^(COUNTIF(C$4:C133,C134)-COUNTIF(C$4:C133,""Sell_""&amp;C134))))))"),1.1792839E7)</f>
        <v>11792839</v>
      </c>
      <c r="H134" s="10">
        <f t="shared" si="3"/>
        <v>11792839</v>
      </c>
      <c r="I134" s="68">
        <f t="shared" si="4"/>
        <v>4434.947493</v>
      </c>
      <c r="J134" s="59" t="str">
        <f t="shared" si="5"/>
        <v>1h 13m 54s</v>
      </c>
      <c r="K134" s="69">
        <f t="shared" si="6"/>
        <v>85421130</v>
      </c>
      <c r="L134" s="60">
        <f t="shared" si="7"/>
        <v>-107.87717</v>
      </c>
      <c r="M134" s="61">
        <f>IFERROR(__xludf.DUMMYFUNCTION("IFS(AND(COUNTA(C134:C1673)=0,COUNTA(Q134:Q1673)=0),"""",OR(AND(K134&gt;=1000000000,OR(Y134&gt;=1000000000,COUNTA(Q134:Q1673)=0)),OR(Y134&gt;=1000000000,AND(COUNTA(C134:C1673)=0,P$3=TRUE))),
ROUNDDOWN((AB$1-AC$1)*MAX(INDEX(T$4:T1673,MATCH(LARGE(FILTER(Y$4:Y1673,Y$4"&amp;":Y1673&lt;1000000000),1),Y$4:Y1673)),INDEX(F$4:F1673,MATCH(LARGE(FILTER(K$4:K1673,K$4:K1673&lt;1000000000),1),K$4:K1673)))),AND(K134&lt;1000000000,COUNTA(C134:C1673)&gt;0,P$3=FALSE),
ROUNDDOWN(INDEX(Y$4:Y1673,MATCH(LARGE(FILTER(W$4:W1673,W$4:W1673&lt;=I134),1),W$4:W1673"&amp;"))+(I134-LARGE(FILTER(W$4:W1673,W$4:W1673&lt;=I134),1))*INDEX(T$4:T1673,MATCH(LARGE(FILTER(W$4:W1673,W$4:W1673&lt;=I134),1),W$4:W1673))-K134),1,
ROUNDDOWN(Y134-INDEX(K$4:K1673,MATCH(LARGE(FILTER(I$4:I1673,I$4:I1673&lt;=W134),1),I$4:I1673))-(W134-LARGE(FILTER(I$4:I"&amp;"1673,I$4:I1673&lt;=W134),1))*INDEX(F$4:F1673,MATCH(LARGE(FILTER(I$4:I1673,I$4:I1673&lt;=W134),1),I$4:I1673))))"),1.1458576E7)</f>
        <v>11458576</v>
      </c>
      <c r="N134" s="60">
        <f t="shared" si="8"/>
        <v>-107.87717</v>
      </c>
      <c r="O134" s="61" t="str">
        <f t="shared" si="9"/>
        <v>11,5M</v>
      </c>
      <c r="P134" s="56">
        <f t="shared" si="10"/>
        <v>13</v>
      </c>
      <c r="Q134" s="67" t="s">
        <v>7</v>
      </c>
      <c r="R134" s="10" t="b">
        <f>IFERROR(__xludf.DUMMYFUNCTION("IF(COUNTA(Q134:Q1673)=0,"""",IF(ISBLANK(Q134),FALSE,IF(NOT(COUNTIF($AA$24:$AA$34,SUBSTITUTE(Q134,""Sell_"",""""))),1,IF(REGEXMATCH(Q134,""Sell_""),IF(COUNTIF(Q$4:Q134,SUBSTITUTE(Q134,""Sell_"",""""))-COUNTIF(Q$4:Q133,Q134)&lt;1,1),FALSE))))"),FALSE)</f>
        <v>0</v>
      </c>
      <c r="S134" s="59">
        <f t="array" ref="S134">IF(COUNTA(Q134:Q1673)=0,"",SUM((COUNTIF(Q$4:Q134,Upgrades!$B$3:$B$13)-COUNTIF(Q$4:Q134,"Sell_"&amp;Upgrades!$B$3:$B$13))*Upgrades!$D$3:$D$13))</f>
        <v>84798.6</v>
      </c>
      <c r="T134" s="66">
        <f>IFERROR(__xludf.DUMMYFUNCTION("IF(COUNTA(Q134:Q1673)=0,"""",IF(REGEXMATCH(INDEX(FILTER(Q$4:Q134,Q$4:Q134&lt;&gt;""""),ROWS(FILTER(Q$4:Q134,Q$4:Q134&lt;&gt;""""))),""^Sell_""),INDEX(FILTER(T$4:T133,Q$4:Q133&lt;&gt;""""),ROWS(FILTER(Q$4:Q133,Q$4:Q133&lt;&gt;""""))),$AD$5+S134))"),84813.6)</f>
        <v>84813.6</v>
      </c>
      <c r="U134" s="10">
        <f>IFERROR(__xludf.DUMMYFUNCTION("IF(COUNTA(Q134:Q1673)=0,"""",IF(Q134="""",0,IF(REGEXMATCH(Q134,""^Sell_""),-ROUNDDOWN(ROUNDUP(INDEX(Upgrades!$C$3:$C$13,MATCH(SUBSTITUTE(Q134,""Sell_"",""""),Upgrades!$B$3:$B$13,0))*1.15^(COUNTIF(Q$4:Q133,SUBSTITUTE(Q134,""Sell_"",""""))-COUNTIF(Q$4:Q133,"&amp;"""Sell_""&amp;SUBSTITUTE(Q134,""Sell_"",""""))))/2),ROUNDUP(INDEX(Upgrades!$C$3:$C$13,MATCH(Q134,Upgrades!$B$3:$B$13,0))*1.15^(COUNTIF(Q$4:Q133,Q134)-COUNTIF(Q$4:Q133,""Sell_""&amp;Q134))))))"),53503.0)</f>
        <v>53503</v>
      </c>
      <c r="V134" s="10">
        <f t="shared" si="11"/>
        <v>53503</v>
      </c>
      <c r="W134" s="68">
        <f t="shared" si="12"/>
        <v>3975.794201</v>
      </c>
      <c r="X134" s="59" t="str">
        <f t="shared" si="13"/>
        <v>1h 06m 15s</v>
      </c>
      <c r="Y134" s="69">
        <f t="shared" si="14"/>
        <v>52938276</v>
      </c>
      <c r="Z134" s="11"/>
    </row>
    <row r="135">
      <c r="A135" s="8"/>
      <c r="B135" s="56">
        <f t="shared" si="2"/>
        <v>11</v>
      </c>
      <c r="C135" s="57" t="s">
        <v>9</v>
      </c>
      <c r="D135" s="10" t="b">
        <f>IFERROR(__xludf.DUMMYFUNCTION("IF(COUNTA(C135:C1673)=0,"""",IF(ISBLANK(C135),FALSE,IF(NOT(COUNTIF($AA$24:$AA$34,SUBSTITUTE(C135,""Sell_"",""""))),1,IF(REGEXMATCH(C135,""Sell_""),IF(COUNTIF(C$4:C135,SUBSTITUTE(C135,""Sell_"",""""))-COUNTIF(C$4:C134,C135)&lt;1,1),FALSE))))"),FALSE)</f>
        <v>0</v>
      </c>
      <c r="E135" s="59">
        <f t="array" ref="E135">IF(COUNTA(C135:C1673)=0,"",SUM((COUNTIF(C$4:C135,Upgrades!$B$3:$B$13)-COUNTIF(C$4:C135,"Sell_"&amp;Upgrades!$B$3:$B$13))*Upgrades!$D$3:$D$13))</f>
        <v>106420.4</v>
      </c>
      <c r="F135" s="66">
        <f>IFERROR(__xludf.DUMMYFUNCTION("IF(COUNTA(C135:C1673)=0,"""",IF(REGEXMATCH(INDEX(FILTER(C$4:C135,C$4:C135&lt;&gt;""""),ROWS(FILTER(C$4:C135,C$4:C135&lt;&gt;""""))),""^Sell_""),INDEX(FILTER(F$4:F134,C$4:C134&lt;&gt;""""),ROWS(FILTER(C$4:C134,C$4:C134&lt;&gt;""""))),$AC$5+E135))"),106435.4)</f>
        <v>106435.4</v>
      </c>
      <c r="G135" s="10">
        <f>IFERROR(__xludf.DUMMYFUNCTION("IF(COUNTA(C135:C1673)=0,"""",IF(C135="""",0,IF(REGEXMATCH(C135,""^Sell_""),-ROUNDDOWN(ROUNDUP(INDEX(Upgrades!$C$3:$C$13,MATCH(SUBSTITUTE(C135,""Sell_"",""""),Upgrades!$B$3:$B$13,0))*1.15^(COUNTIF(C$4:C134,SUBSTITUTE(C135,""Sell_"",""""))-COUNTIF(C$4:C134,"&amp;"""Sell_""&amp;SUBSTITUTE(C135,""Sell_"",""""))))/2),ROUNDUP(INDEX(Upgrades!$C$3:$C$13,MATCH(C135,Upgrades!$B$3:$B$13,0))*1.15^(COUNTIF(C$4:C134,C135)-COUNTIF(C$4:C134,""Sell_""&amp;C135))))))"),809112.0)</f>
        <v>809112</v>
      </c>
      <c r="H135" s="10">
        <f t="shared" si="3"/>
        <v>809112</v>
      </c>
      <c r="I135" s="68">
        <f t="shared" si="4"/>
        <v>4442.578077</v>
      </c>
      <c r="J135" s="59" t="str">
        <f t="shared" si="5"/>
        <v>1h 14m 02s</v>
      </c>
      <c r="K135" s="69">
        <f t="shared" si="6"/>
        <v>86230242</v>
      </c>
      <c r="L135" s="60">
        <f t="shared" si="7"/>
        <v>-107.56837</v>
      </c>
      <c r="M135" s="61">
        <f>IFERROR(__xludf.DUMMYFUNCTION("IFS(AND(COUNTA(C135:C1673)=0,COUNTA(Q135:Q1673)=0),"""",OR(AND(K135&gt;=1000000000,OR(Y135&gt;=1000000000,COUNTA(Q135:Q1673)=0)),OR(Y135&gt;=1000000000,AND(COUNTA(C135:C1673)=0,P$3=TRUE))),
ROUNDDOWN((AB$1-AC$1)*MAX(INDEX(T$4:T1673,MATCH(LARGE(FILTER(Y$4:Y1673,Y$4"&amp;":Y1673&lt;1000000000),1),Y$4:Y1673)),INDEX(F$4:F1673,MATCH(LARGE(FILTER(K$4:K1673,K$4:K1673&lt;1000000000),1),K$4:K1673)))),AND(K135&lt;1000000000,COUNTA(C135:C1673)&gt;0,P$3=FALSE),
ROUNDDOWN(INDEX(Y$4:Y1673,MATCH(LARGE(FILTER(W$4:W1673,W$4:W1673&lt;=I135),1),W$4:W1673"&amp;"))+(I135-LARGE(FILTER(W$4:W1673,W$4:W1673&lt;=I135),1))*INDEX(T$4:T1673,MATCH(LARGE(FILTER(W$4:W1673,W$4:W1673&lt;=I135),1),W$4:W1673))-K135),1,
ROUNDDOWN(Y135-INDEX(K$4:K1673,MATCH(LARGE(FILTER(I$4:I1673,I$4:I1673&lt;=W135),1),I$4:I1673))-(W135-LARGE(FILTER(I$4:I"&amp;"1673,I$4:I1673&lt;=W135),1))*INDEX(F$4:F1673,MATCH(LARGE(FILTER(I$4:I1673,I$4:I1673&lt;=W135),1),I$4:I1673))))"),1.1462808E7)</f>
        <v>11462808</v>
      </c>
      <c r="N135" s="60">
        <f t="shared" si="8"/>
        <v>-107.56837</v>
      </c>
      <c r="O135" s="61" t="str">
        <f t="shared" si="9"/>
        <v>11,5M</v>
      </c>
      <c r="P135" s="56">
        <f t="shared" si="10"/>
        <v>18</v>
      </c>
      <c r="Q135" s="67" t="s">
        <v>5</v>
      </c>
      <c r="R135" s="10" t="b">
        <f>IFERROR(__xludf.DUMMYFUNCTION("IF(COUNTA(Q135:Q1673)=0,"""",IF(ISBLANK(Q135),FALSE,IF(NOT(COUNTIF($AA$24:$AA$34,SUBSTITUTE(Q135,""Sell_"",""""))),1,IF(REGEXMATCH(Q135,""Sell_""),IF(COUNTIF(Q$4:Q135,SUBSTITUTE(Q135,""Sell_"",""""))-COUNTIF(Q$4:Q134,Q135)&lt;1,1),FALSE))))"),FALSE)</f>
        <v>0</v>
      </c>
      <c r="S135" s="59">
        <f t="array" ref="S135">IF(COUNTA(Q135:Q1673)=0,"",SUM((COUNTIF(Q$4:Q135,Upgrades!$B$3:$B$13)-COUNTIF(Q$4:Q135,"Sell_"&amp;Upgrades!$B$3:$B$13))*Upgrades!$D$3:$D$13))</f>
        <v>84802.6</v>
      </c>
      <c r="T135" s="66">
        <f>IFERROR(__xludf.DUMMYFUNCTION("IF(COUNTA(Q135:Q1673)=0,"""",IF(REGEXMATCH(INDEX(FILTER(Q$4:Q135,Q$4:Q135&lt;&gt;""""),ROWS(FILTER(Q$4:Q135,Q$4:Q135&lt;&gt;""""))),""^Sell_""),INDEX(FILTER(T$4:T134,Q$4:Q134&lt;&gt;""""),ROWS(FILTER(Q$4:Q134,Q$4:Q134&lt;&gt;""""))),$AD$5+S135))"),84817.6)</f>
        <v>84817.6</v>
      </c>
      <c r="U135" s="10">
        <f>IFERROR(__xludf.DUMMYFUNCTION("IF(COUNTA(Q135:Q1673)=0,"""",IF(Q135="""",0,IF(REGEXMATCH(Q135,""^Sell_""),-ROUNDDOWN(ROUNDUP(INDEX(Upgrades!$C$3:$C$13,MATCH(SUBSTITUTE(Q135,""Sell_"",""""),Upgrades!$B$3:$B$13,0))*1.15^(COUNTIF(Q$4:Q134,SUBSTITUTE(Q135,""Sell_"",""""))-COUNTIF(Q$4:Q134,"&amp;"""Sell_""&amp;SUBSTITUTE(Q135,""Sell_"",""""))))/2),ROUNDUP(INDEX(Upgrades!$C$3:$C$13,MATCH(Q135,Upgrades!$B$3:$B$13,0))*1.15^(COUNTIF(Q$4:Q134,Q135)-COUNTIF(Q$4:Q134,""Sell_""&amp;Q135))))))"),5381.0)</f>
        <v>5381</v>
      </c>
      <c r="V135" s="10">
        <f t="shared" si="11"/>
        <v>5381</v>
      </c>
      <c r="W135" s="68">
        <f t="shared" si="12"/>
        <v>3975.857646</v>
      </c>
      <c r="X135" s="59" t="str">
        <f t="shared" si="13"/>
        <v>1h 06m 15s</v>
      </c>
      <c r="Y135" s="69">
        <f t="shared" si="14"/>
        <v>52943657</v>
      </c>
      <c r="Z135" s="11"/>
    </row>
    <row r="136">
      <c r="A136" s="8"/>
      <c r="B136" s="56">
        <f t="shared" si="2"/>
        <v>16</v>
      </c>
      <c r="C136" s="57" t="s">
        <v>7</v>
      </c>
      <c r="D136" s="10" t="b">
        <f>IFERROR(__xludf.DUMMYFUNCTION("IF(COUNTA(C136:C1673)=0,"""",IF(ISBLANK(C136),FALSE,IF(NOT(COUNTIF($AA$24:$AA$34,SUBSTITUTE(C136,""Sell_"",""""))),1,IF(REGEXMATCH(C136,""Sell_""),IF(COUNTIF(C$4:C136,SUBSTITUTE(C136,""Sell_"",""""))-COUNTIF(C$4:C135,C136)&lt;1,1),FALSE))))"),FALSE)</f>
        <v>0</v>
      </c>
      <c r="E136" s="59">
        <f t="array" ref="E136">IF(COUNTA(C136:C1673)=0,"",SUM((COUNTIF(C$4:C136,Upgrades!$B$3:$B$13)-COUNTIF(C$4:C136,"Sell_"&amp;Upgrades!$B$3:$B$13))*Upgrades!$D$3:$D$13))</f>
        <v>106460.4</v>
      </c>
      <c r="F136" s="66">
        <f>IFERROR(__xludf.DUMMYFUNCTION("IF(COUNTA(C136:C1673)=0,"""",IF(REGEXMATCH(INDEX(FILTER(C$4:C136,C$4:C136&lt;&gt;""""),ROWS(FILTER(C$4:C136,C$4:C136&lt;&gt;""""))),""^Sell_""),INDEX(FILTER(F$4:F135,C$4:C135&lt;&gt;""""),ROWS(FILTER(C$4:C135,C$4:C135&lt;&gt;""""))),$AC$5+E136))"),106475.4)</f>
        <v>106475.4</v>
      </c>
      <c r="G136" s="10">
        <f>IFERROR(__xludf.DUMMYFUNCTION("IF(COUNTA(C136:C1673)=0,"""",IF(C136="""",0,IF(REGEXMATCH(C136,""^Sell_""),-ROUNDDOWN(ROUNDUP(INDEX(Upgrades!$C$3:$C$13,MATCH(SUBSTITUTE(C136,""Sell_"",""""),Upgrades!$B$3:$B$13,0))*1.15^(COUNTIF(C$4:C135,SUBSTITUTE(C136,""Sell_"",""""))-COUNTIF(C$4:C135,"&amp;"""Sell_""&amp;SUBSTITUTE(C136,""Sell_"",""""))))/2),ROUNDUP(INDEX(Upgrades!$C$3:$C$13,MATCH(C136,Upgrades!$B$3:$B$13,0))*1.15^(COUNTIF(C$4:C135,C136)-COUNTIF(C$4:C135,""Sell_""&amp;C136))))))"),81371.0)</f>
        <v>81371</v>
      </c>
      <c r="H136" s="10">
        <f t="shared" si="3"/>
        <v>81371</v>
      </c>
      <c r="I136" s="68">
        <f t="shared" si="4"/>
        <v>4443.342587</v>
      </c>
      <c r="J136" s="59" t="str">
        <f t="shared" si="5"/>
        <v>1h 14m 03s</v>
      </c>
      <c r="K136" s="69">
        <f t="shared" si="6"/>
        <v>86311613</v>
      </c>
      <c r="L136" s="60">
        <f t="shared" si="7"/>
        <v>-107.56548</v>
      </c>
      <c r="M136" s="61">
        <f>IFERROR(__xludf.DUMMYFUNCTION("IFS(AND(COUNTA(C136:C1673)=0,COUNTA(Q136:Q1673)=0),"""",OR(AND(K136&gt;=1000000000,OR(Y136&gt;=1000000000,COUNTA(Q136:Q1673)=0)),OR(Y136&gt;=1000000000,AND(COUNTA(C136:C1673)=0,P$3=TRUE))),
ROUNDDOWN((AB$1-AC$1)*MAX(INDEX(T$4:T1673,MATCH(LARGE(FILTER(Y$4:Y1673,Y$4"&amp;":Y1673&lt;1000000000),1),Y$4:Y1673)),INDEX(F$4:F1673,MATCH(LARGE(FILTER(K$4:K1673,K$4:K1673&lt;1000000000),1),K$4:K1673)))),AND(K136&lt;1000000000,COUNTA(C136:C1673)&gt;0,P$3=FALSE),
ROUNDDOWN(INDEX(Y$4:Y1673,MATCH(LARGE(FILTER(W$4:W1673,W$4:W1673&lt;=I136),1),W$4:W1673"&amp;"))+(I136-LARGE(FILTER(W$4:W1673,W$4:W1673&lt;=I136),1))*INDEX(T$4:T1673,MATCH(LARGE(FILTER(W$4:W1673,W$4:W1673&lt;=I136),1),W$4:W1673))-K136),1,
ROUNDDOWN(Y136-INDEX(K$4:K1673,MATCH(LARGE(FILTER(I$4:I1673,I$4:I1673&lt;=W136),1),I$4:I1673))-(W136-LARGE(FILTER(I$4:I"&amp;"1673,I$4:I1673&lt;=W136),1))*INDEX(F$4:F1673,MATCH(LARGE(FILTER(I$4:I1673,I$4:I1673&lt;=W136),1),I$4:I1673))))"),1.1462926E7)</f>
        <v>11462926</v>
      </c>
      <c r="N136" s="60">
        <f t="shared" si="8"/>
        <v>-107.56548</v>
      </c>
      <c r="O136" s="61" t="str">
        <f t="shared" si="9"/>
        <v>11,5M</v>
      </c>
      <c r="P136" s="56">
        <f t="shared" si="10"/>
        <v>12</v>
      </c>
      <c r="Q136" s="67" t="s">
        <v>6</v>
      </c>
      <c r="R136" s="10" t="b">
        <f>IFERROR(__xludf.DUMMYFUNCTION("IF(COUNTA(Q136:Q1673)=0,"""",IF(ISBLANK(Q136),FALSE,IF(NOT(COUNTIF($AA$24:$AA$34,SUBSTITUTE(Q136,""Sell_"",""""))),1,IF(REGEXMATCH(Q136,""Sell_""),IF(COUNTIF(Q$4:Q136,SUBSTITUTE(Q136,""Sell_"",""""))-COUNTIF(Q$4:Q135,Q136)&lt;1,1),FALSE))))"),FALSE)</f>
        <v>0</v>
      </c>
      <c r="S136" s="59">
        <f t="array" ref="S136">IF(COUNTA(Q136:Q1673)=0,"",SUM((COUNTIF(Q$4:Q136,Upgrades!$B$3:$B$13)-COUNTIF(Q$4:Q136,"Sell_"&amp;Upgrades!$B$3:$B$13))*Upgrades!$D$3:$D$13))</f>
        <v>84812.6</v>
      </c>
      <c r="T136" s="66">
        <f>IFERROR(__xludf.DUMMYFUNCTION("IF(COUNTA(Q136:Q1673)=0,"""",IF(REGEXMATCH(INDEX(FILTER(Q$4:Q136,Q$4:Q136&lt;&gt;""""),ROWS(FILTER(Q$4:Q136,Q$4:Q136&lt;&gt;""""))),""^Sell_""),INDEX(FILTER(T$4:T135,Q$4:Q135&lt;&gt;""""),ROWS(FILTER(Q$4:Q135,Q$4:Q135&lt;&gt;""""))),$AD$5+S136))"),84827.6)</f>
        <v>84827.6</v>
      </c>
      <c r="U136" s="10">
        <f>IFERROR(__xludf.DUMMYFUNCTION("IF(COUNTA(Q136:Q1673)=0,"""",IF(Q136="""",0,IF(REGEXMATCH(Q136,""^Sell_""),-ROUNDDOWN(ROUNDUP(INDEX(Upgrades!$C$3:$C$13,MATCH(SUBSTITUTE(Q136,""Sell_"",""""),Upgrades!$B$3:$B$13,0))*1.15^(COUNTIF(Q$4:Q135,SUBSTITUTE(Q136,""Sell_"",""""))-COUNTIF(Q$4:Q135,"&amp;"""Sell_""&amp;SUBSTITUTE(Q136,""Sell_"",""""))))/2),ROUNDUP(INDEX(Upgrades!$C$3:$C$13,MATCH(Q136,Upgrades!$B$3:$B$13,0))*1.15^(COUNTIF(Q$4:Q135,Q136)-COUNTIF(Q$4:Q135,""Sell_""&amp;Q136))))))"),13958.0)</f>
        <v>13958</v>
      </c>
      <c r="V136" s="10">
        <f t="shared" si="11"/>
        <v>13958</v>
      </c>
      <c r="W136" s="68">
        <f t="shared" si="12"/>
        <v>3976.022211</v>
      </c>
      <c r="X136" s="59" t="str">
        <f t="shared" si="13"/>
        <v>1h 06m 16s</v>
      </c>
      <c r="Y136" s="69">
        <f t="shared" si="14"/>
        <v>52957615</v>
      </c>
      <c r="Z136" s="11"/>
    </row>
    <row r="137">
      <c r="A137" s="8"/>
      <c r="B137" s="56">
        <f t="shared" si="2"/>
        <v>21</v>
      </c>
      <c r="C137" s="57" t="s">
        <v>5</v>
      </c>
      <c r="D137" s="10" t="b">
        <f>IFERROR(__xludf.DUMMYFUNCTION("IF(COUNTA(C137:C1673)=0,"""",IF(ISBLANK(C137),FALSE,IF(NOT(COUNTIF($AA$24:$AA$34,SUBSTITUTE(C137,""Sell_"",""""))),1,IF(REGEXMATCH(C137,""Sell_""),IF(COUNTIF(C$4:C137,SUBSTITUTE(C137,""Sell_"",""""))-COUNTIF(C$4:C136,C137)&lt;1,1),FALSE))))"),FALSE)</f>
        <v>0</v>
      </c>
      <c r="E137" s="59">
        <f t="array" ref="E137">IF(COUNTA(C137:C1673)=0,"",SUM((COUNTIF(C$4:C137,Upgrades!$B$3:$B$13)-COUNTIF(C$4:C137,"Sell_"&amp;Upgrades!$B$3:$B$13))*Upgrades!$D$3:$D$13))</f>
        <v>106464.4</v>
      </c>
      <c r="F137" s="66">
        <f>IFERROR(__xludf.DUMMYFUNCTION("IF(COUNTA(C137:C1673)=0,"""",IF(REGEXMATCH(INDEX(FILTER(C$4:C137,C$4:C137&lt;&gt;""""),ROWS(FILTER(C$4:C137,C$4:C137&lt;&gt;""""))),""^Sell_""),INDEX(FILTER(F$4:F136,C$4:C136&lt;&gt;""""),ROWS(FILTER(C$4:C136,C$4:C136&lt;&gt;""""))),$AC$5+E137))"),106479.4)</f>
        <v>106479.4</v>
      </c>
      <c r="G137" s="10">
        <f>IFERROR(__xludf.DUMMYFUNCTION("IF(COUNTA(C137:C1673)=0,"""",IF(C137="""",0,IF(REGEXMATCH(C137,""^Sell_""),-ROUNDDOWN(ROUNDUP(INDEX(Upgrades!$C$3:$C$13,MATCH(SUBSTITUTE(C137,""Sell_"",""""),Upgrades!$B$3:$B$13,0))*1.15^(COUNTIF(C$4:C136,SUBSTITUTE(C137,""Sell_"",""""))-COUNTIF(C$4:C136,"&amp;"""Sell_""&amp;SUBSTITUTE(C137,""Sell_"",""""))))/2),ROUNDUP(INDEX(Upgrades!$C$3:$C$13,MATCH(C137,Upgrades!$B$3:$B$13,0))*1.15^(COUNTIF(C$4:C136,C137)-COUNTIF(C$4:C136,""Sell_""&amp;C137))))))"),8184.0)</f>
        <v>8184</v>
      </c>
      <c r="H137" s="10">
        <f t="shared" si="3"/>
        <v>8184</v>
      </c>
      <c r="I137" s="68">
        <f t="shared" si="4"/>
        <v>4443.41945</v>
      </c>
      <c r="J137" s="59" t="str">
        <f t="shared" si="5"/>
        <v>1h 14m 03s</v>
      </c>
      <c r="K137" s="69">
        <f t="shared" si="6"/>
        <v>86319797</v>
      </c>
      <c r="L137" s="60">
        <f t="shared" si="7"/>
        <v>-107.56517</v>
      </c>
      <c r="M137" s="61">
        <f>IFERROR(__xludf.DUMMYFUNCTION("IFS(AND(COUNTA(C137:C1673)=0,COUNTA(Q137:Q1673)=0),"""",OR(AND(K137&gt;=1000000000,OR(Y137&gt;=1000000000,COUNTA(Q137:Q1673)=0)),OR(Y137&gt;=1000000000,AND(COUNTA(C137:C1673)=0,P$3=TRUE))),
ROUNDDOWN((AB$1-AC$1)*MAX(INDEX(T$4:T1673,MATCH(LARGE(FILTER(Y$4:Y1673,Y$4"&amp;":Y1673&lt;1000000000),1),Y$4:Y1673)),INDEX(F$4:F1673,MATCH(LARGE(FILTER(K$4:K1673,K$4:K1673&lt;1000000000),1),K$4:K1673)))),AND(K137&lt;1000000000,COUNTA(C137:C1673)&gt;0,P$3=FALSE),
ROUNDDOWN(INDEX(Y$4:Y1673,MATCH(LARGE(FILTER(W$4:W1673,W$4:W1673&lt;=I137),1),W$4:W1673"&amp;"))+(I137-LARGE(FILTER(W$4:W1673,W$4:W1673&lt;=I137),1))*INDEX(T$4:T1673,MATCH(LARGE(FILTER(W$4:W1673,W$4:W1673&lt;=I137),1),W$4:W1673))-K137),1,
ROUNDDOWN(Y137-INDEX(K$4:K1673,MATCH(LARGE(FILTER(I$4:I1673,I$4:I1673&lt;=W137),1),I$4:I1673))-(W137-LARGE(FILTER(I$4:I"&amp;"1673,I$4:I1673&lt;=W137),1))*INDEX(F$4:F1673,MATCH(LARGE(FILTER(I$4:I1673,I$4:I1673&lt;=W137),1),I$4:I1673))))"),1.1462935E7)</f>
        <v>11462935</v>
      </c>
      <c r="N137" s="60">
        <f t="shared" si="8"/>
        <v>-107.56517</v>
      </c>
      <c r="O137" s="61" t="str">
        <f t="shared" si="9"/>
        <v>11,5M</v>
      </c>
      <c r="P137" s="56">
        <f t="shared" si="10"/>
        <v>10</v>
      </c>
      <c r="Q137" s="67" t="s">
        <v>8</v>
      </c>
      <c r="R137" s="10" t="b">
        <f>IFERROR(__xludf.DUMMYFUNCTION("IF(COUNTA(Q137:Q1673)=0,"""",IF(ISBLANK(Q137),FALSE,IF(NOT(COUNTIF($AA$24:$AA$34,SUBSTITUTE(Q137,""Sell_"",""""))),1,IF(REGEXMATCH(Q137,""Sell_""),IF(COUNTIF(Q$4:Q137,SUBSTITUTE(Q137,""Sell_"",""""))-COUNTIF(Q$4:Q136,Q137)&lt;1,1),FALSE))))"),FALSE)</f>
        <v>0</v>
      </c>
      <c r="S137" s="59">
        <f t="array" ref="S137">IF(COUNTA(Q137:Q1673)=0,"",SUM((COUNTIF(Q$4:Q137,Upgrades!$B$3:$B$13)-COUNTIF(Q$4:Q137,"Sell_"&amp;Upgrades!$B$3:$B$13))*Upgrades!$D$3:$D$13))</f>
        <v>84912.6</v>
      </c>
      <c r="T137" s="66">
        <f>IFERROR(__xludf.DUMMYFUNCTION("IF(COUNTA(Q137:Q1673)=0,"""",IF(REGEXMATCH(INDEX(FILTER(Q$4:Q137,Q$4:Q137&lt;&gt;""""),ROWS(FILTER(Q$4:Q137,Q$4:Q137&lt;&gt;""""))),""^Sell_""),INDEX(FILTER(T$4:T136,Q$4:Q136&lt;&gt;""""),ROWS(FILTER(Q$4:Q136,Q$4:Q136&lt;&gt;""""))),$AD$5+S137))"),84927.6)</f>
        <v>84927.6</v>
      </c>
      <c r="U137" s="10">
        <f>IFERROR(__xludf.DUMMYFUNCTION("IF(COUNTA(Q137:Q1673)=0,"""",IF(Q137="""",0,IF(REGEXMATCH(Q137,""^Sell_""),-ROUNDDOWN(ROUNDUP(INDEX(Upgrades!$C$3:$C$13,MATCH(SUBSTITUTE(Q137,""Sell_"",""""),Upgrades!$B$3:$B$13,0))*1.15^(COUNTIF(Q$4:Q136,SUBSTITUTE(Q137,""Sell_"",""""))-COUNTIF(Q$4:Q136,"&amp;"""Sell_""&amp;SUBSTITUTE(Q137,""Sell_"",""""))))/2),ROUNDUP(INDEX(Upgrades!$C$3:$C$13,MATCH(Q137,Upgrades!$B$3:$B$13,0))*1.15^(COUNTIF(Q$4:Q136,Q137)-COUNTIF(Q$4:Q136,""Sell_""&amp;Q137))))))"),140716.0)</f>
        <v>140716</v>
      </c>
      <c r="V137" s="10">
        <f t="shared" si="11"/>
        <v>140716</v>
      </c>
      <c r="W137" s="68">
        <f t="shared" si="12"/>
        <v>3977.681058</v>
      </c>
      <c r="X137" s="59" t="str">
        <f t="shared" si="13"/>
        <v>1h 06m 17s</v>
      </c>
      <c r="Y137" s="69">
        <f t="shared" si="14"/>
        <v>53098331</v>
      </c>
      <c r="Z137" s="11"/>
    </row>
    <row r="138">
      <c r="A138" s="8"/>
      <c r="B138" s="56">
        <f t="shared" si="2"/>
        <v>15</v>
      </c>
      <c r="C138" s="57" t="s">
        <v>6</v>
      </c>
      <c r="D138" s="10" t="b">
        <f>IFERROR(__xludf.DUMMYFUNCTION("IF(COUNTA(C138:C1673)=0,"""",IF(ISBLANK(C138),FALSE,IF(NOT(COUNTIF($AA$24:$AA$34,SUBSTITUTE(C138,""Sell_"",""""))),1,IF(REGEXMATCH(C138,""Sell_""),IF(COUNTIF(C$4:C138,SUBSTITUTE(C138,""Sell_"",""""))-COUNTIF(C$4:C137,C138)&lt;1,1),FALSE))))"),FALSE)</f>
        <v>0</v>
      </c>
      <c r="E138" s="59">
        <f t="array" ref="E138">IF(COUNTA(C138:C1673)=0,"",SUM((COUNTIF(C$4:C138,Upgrades!$B$3:$B$13)-COUNTIF(C$4:C138,"Sell_"&amp;Upgrades!$B$3:$B$13))*Upgrades!$D$3:$D$13))</f>
        <v>106474.4</v>
      </c>
      <c r="F138" s="66">
        <f>IFERROR(__xludf.DUMMYFUNCTION("IF(COUNTA(C138:C1673)=0,"""",IF(REGEXMATCH(INDEX(FILTER(C$4:C138,C$4:C138&lt;&gt;""""),ROWS(FILTER(C$4:C138,C$4:C138&lt;&gt;""""))),""^Sell_""),INDEX(FILTER(F$4:F137,C$4:C137&lt;&gt;""""),ROWS(FILTER(C$4:C137,C$4:C137&lt;&gt;""""))),$AC$5+E138))"),106489.4)</f>
        <v>106489.4</v>
      </c>
      <c r="G138" s="10">
        <f>IFERROR(__xludf.DUMMYFUNCTION("IF(COUNTA(C138:C1673)=0,"""",IF(C138="""",0,IF(REGEXMATCH(C138,""^Sell_""),-ROUNDDOWN(ROUNDUP(INDEX(Upgrades!$C$3:$C$13,MATCH(SUBSTITUTE(C138,""Sell_"",""""),Upgrades!$B$3:$B$13,0))*1.15^(COUNTIF(C$4:C137,SUBSTITUTE(C138,""Sell_"",""""))-COUNTIF(C$4:C137,"&amp;"""Sell_""&amp;SUBSTITUTE(C138,""Sell_"",""""))))/2),ROUNDUP(INDEX(Upgrades!$C$3:$C$13,MATCH(C138,Upgrades!$B$3:$B$13,0))*1.15^(COUNTIF(C$4:C137,C138)-COUNTIF(C$4:C137,""Sell_""&amp;C138))))))"),21228.0)</f>
        <v>21228</v>
      </c>
      <c r="H138" s="10">
        <f t="shared" si="3"/>
        <v>21228</v>
      </c>
      <c r="I138" s="68">
        <f t="shared" si="4"/>
        <v>4443.618813</v>
      </c>
      <c r="J138" s="59" t="str">
        <f t="shared" si="5"/>
        <v>1h 14m 03s</v>
      </c>
      <c r="K138" s="69">
        <f t="shared" si="6"/>
        <v>86341025</v>
      </c>
      <c r="L138" s="60">
        <f t="shared" si="7"/>
        <v>-107.56433</v>
      </c>
      <c r="M138" s="61">
        <f>IFERROR(__xludf.DUMMYFUNCTION("IFS(AND(COUNTA(C138:C1673)=0,COUNTA(Q138:Q1673)=0),"""",OR(AND(K138&gt;=1000000000,OR(Y138&gt;=1000000000,COUNTA(Q138:Q1673)=0)),OR(Y138&gt;=1000000000,AND(COUNTA(C138:C1673)=0,P$3=TRUE))),
ROUNDDOWN((AB$1-AC$1)*MAX(INDEX(T$4:T1673,MATCH(LARGE(FILTER(Y$4:Y1673,Y$4"&amp;":Y1673&lt;1000000000),1),Y$4:Y1673)),INDEX(F$4:F1673,MATCH(LARGE(FILTER(K$4:K1673,K$4:K1673&lt;1000000000),1),K$4:K1673)))),AND(K138&lt;1000000000,COUNTA(C138:C1673)&gt;0,P$3=FALSE),
ROUNDDOWN(INDEX(Y$4:Y1673,MATCH(LARGE(FILTER(W$4:W1673,W$4:W1673&lt;=I138),1),W$4:W1673"&amp;"))+(I138-LARGE(FILTER(W$4:W1673,W$4:W1673&lt;=I138),1))*INDEX(T$4:T1673,MATCH(LARGE(FILTER(W$4:W1673,W$4:W1673&lt;=I138),1),W$4:W1673))-K138),1,
ROUNDDOWN(Y138-INDEX(K$4:K1673,MATCH(LARGE(FILTER(I$4:I1673,I$4:I1673&lt;=W138),1),I$4:I1673))-(W138-LARGE(FILTER(I$4:I"&amp;"1673,I$4:I1673&lt;=W138),1))*INDEX(F$4:F1673,MATCH(LARGE(FILTER(I$4:I1673,I$4:I1673&lt;=W138),1),I$4:I1673))))"),1.1462957E7)</f>
        <v>11462957</v>
      </c>
      <c r="N138" s="60">
        <f t="shared" si="8"/>
        <v>-107.56433</v>
      </c>
      <c r="O138" s="61" t="str">
        <f t="shared" si="9"/>
        <v>11,5M</v>
      </c>
      <c r="P138" s="56">
        <f t="shared" si="10"/>
        <v>17</v>
      </c>
      <c r="Q138" s="67" t="s">
        <v>3</v>
      </c>
      <c r="R138" s="10" t="b">
        <f>IFERROR(__xludf.DUMMYFUNCTION("IF(COUNTA(Q138:Q1673)=0,"""",IF(ISBLANK(Q138),FALSE,IF(NOT(COUNTIF($AA$24:$AA$34,SUBSTITUTE(Q138,""Sell_"",""""))),1,IF(REGEXMATCH(Q138,""Sell_""),IF(COUNTIF(Q$4:Q138,SUBSTITUTE(Q138,""Sell_"",""""))-COUNTIF(Q$4:Q137,Q138)&lt;1,1),FALSE))))"),FALSE)</f>
        <v>0</v>
      </c>
      <c r="S138" s="59">
        <f t="array" ref="S138">IF(COUNTA(Q138:Q1673)=0,"",SUM((COUNTIF(Q$4:Q138,Upgrades!$B$3:$B$13)-COUNTIF(Q$4:Q138,"Sell_"&amp;Upgrades!$B$3:$B$13))*Upgrades!$D$3:$D$13))</f>
        <v>84912.7</v>
      </c>
      <c r="T138" s="66">
        <f>IFERROR(__xludf.DUMMYFUNCTION("IF(COUNTA(Q138:Q1673)=0,"""",IF(REGEXMATCH(INDEX(FILTER(Q$4:Q138,Q$4:Q138&lt;&gt;""""),ROWS(FILTER(Q$4:Q138,Q$4:Q138&lt;&gt;""""))),""^Sell_""),INDEX(FILTER(T$4:T137,Q$4:Q137&lt;&gt;""""),ROWS(FILTER(Q$4:Q137,Q$4:Q137&lt;&gt;""""))),$AD$5+S138))"),84927.7)</f>
        <v>84927.7</v>
      </c>
      <c r="U138" s="10">
        <f>IFERROR(__xludf.DUMMYFUNCTION("IF(COUNTA(Q138:Q1673)=0,"""",IF(Q138="""",0,IF(REGEXMATCH(Q138,""^Sell_""),-ROUNDDOWN(ROUNDUP(INDEX(Upgrades!$C$3:$C$13,MATCH(SUBSTITUTE(Q138,""Sell_"",""""),Upgrades!$B$3:$B$13,0))*1.15^(COUNTIF(Q$4:Q137,SUBSTITUTE(Q138,""Sell_"",""""))-COUNTIF(Q$4:Q137,"&amp;"""Sell_""&amp;SUBSTITUTE(Q138,""Sell_"",""""))))/2),ROUNDUP(INDEX(Upgrades!$C$3:$C$13,MATCH(Q138,Upgrades!$B$3:$B$13,0))*1.15^(COUNTIF(Q$4:Q137,Q138)-COUNTIF(Q$4:Q137,""Sell_""&amp;Q138))))))"),141.0)</f>
        <v>141</v>
      </c>
      <c r="V138" s="10">
        <f t="shared" si="11"/>
        <v>141</v>
      </c>
      <c r="W138" s="68">
        <f t="shared" si="12"/>
        <v>3977.682718</v>
      </c>
      <c r="X138" s="59" t="str">
        <f t="shared" si="13"/>
        <v>1h 06m 17s</v>
      </c>
      <c r="Y138" s="69">
        <f t="shared" si="14"/>
        <v>53098472</v>
      </c>
      <c r="Z138" s="11"/>
    </row>
    <row r="139">
      <c r="A139" s="8"/>
      <c r="B139" s="56">
        <f t="shared" si="2"/>
        <v>20</v>
      </c>
      <c r="C139" s="57" t="s">
        <v>3</v>
      </c>
      <c r="D139" s="10" t="b">
        <f>IFERROR(__xludf.DUMMYFUNCTION("IF(COUNTA(C139:C1673)=0,"""",IF(ISBLANK(C139),FALSE,IF(NOT(COUNTIF($AA$24:$AA$34,SUBSTITUTE(C139,""Sell_"",""""))),1,IF(REGEXMATCH(C139,""Sell_""),IF(COUNTIF(C$4:C139,SUBSTITUTE(C139,""Sell_"",""""))-COUNTIF(C$4:C138,C139)&lt;1,1),FALSE))))"),FALSE)</f>
        <v>0</v>
      </c>
      <c r="E139" s="59">
        <f t="array" ref="E139">IF(COUNTA(C139:C1673)=0,"",SUM((COUNTIF(C$4:C139,Upgrades!$B$3:$B$13)-COUNTIF(C$4:C139,"Sell_"&amp;Upgrades!$B$3:$B$13))*Upgrades!$D$3:$D$13))</f>
        <v>106474.5</v>
      </c>
      <c r="F139" s="66">
        <f>IFERROR(__xludf.DUMMYFUNCTION("IF(COUNTA(C139:C1673)=0,"""",IF(REGEXMATCH(INDEX(FILTER(C$4:C139,C$4:C139&lt;&gt;""""),ROWS(FILTER(C$4:C139,C$4:C139&lt;&gt;""""))),""^Sell_""),INDEX(FILTER(F$4:F138,C$4:C138&lt;&gt;""""),ROWS(FILTER(C$4:C138,C$4:C138&lt;&gt;""""))),$AC$5+E139))"),106489.5)</f>
        <v>106489.5</v>
      </c>
      <c r="G139" s="10">
        <f>IFERROR(__xludf.DUMMYFUNCTION("IF(COUNTA(C139:C1673)=0,"""",IF(C139="""",0,IF(REGEXMATCH(C139,""^Sell_""),-ROUNDDOWN(ROUNDUP(INDEX(Upgrades!$C$3:$C$13,MATCH(SUBSTITUTE(C139,""Sell_"",""""),Upgrades!$B$3:$B$13,0))*1.15^(COUNTIF(C$4:C138,SUBSTITUTE(C139,""Sell_"",""""))-COUNTIF(C$4:C138,"&amp;"""Sell_""&amp;SUBSTITUTE(C139,""Sell_"",""""))))/2),ROUNDUP(INDEX(Upgrades!$C$3:$C$13,MATCH(C139,Upgrades!$B$3:$B$13,0))*1.15^(COUNTIF(C$4:C138,C139)-COUNTIF(C$4:C138,""Sell_""&amp;C139))))))"),214.0)</f>
        <v>214</v>
      </c>
      <c r="H139" s="10">
        <f t="shared" si="3"/>
        <v>214</v>
      </c>
      <c r="I139" s="68">
        <f t="shared" si="4"/>
        <v>4443.620822</v>
      </c>
      <c r="J139" s="59" t="str">
        <f t="shared" si="5"/>
        <v>1h 14m 03s</v>
      </c>
      <c r="K139" s="69">
        <f t="shared" si="6"/>
        <v>86341239</v>
      </c>
      <c r="L139" s="60">
        <f t="shared" si="7"/>
        <v>-107.56432</v>
      </c>
      <c r="M139" s="61">
        <f>IFERROR(__xludf.DUMMYFUNCTION("IFS(AND(COUNTA(C139:C1673)=0,COUNTA(Q139:Q1673)=0),"""",OR(AND(K139&gt;=1000000000,OR(Y139&gt;=1000000000,COUNTA(Q139:Q1673)=0)),OR(Y139&gt;=1000000000,AND(COUNTA(C139:C1673)=0,P$3=TRUE))),
ROUNDDOWN((AB$1-AC$1)*MAX(INDEX(T$4:T1673,MATCH(LARGE(FILTER(Y$4:Y1673,Y$4"&amp;":Y1673&lt;1000000000),1),Y$4:Y1673)),INDEX(F$4:F1673,MATCH(LARGE(FILTER(K$4:K1673,K$4:K1673&lt;1000000000),1),K$4:K1673)))),AND(K139&lt;1000000000,COUNTA(C139:C1673)&gt;0,P$3=FALSE),
ROUNDDOWN(INDEX(Y$4:Y1673,MATCH(LARGE(FILTER(W$4:W1673,W$4:W1673&lt;=I139),1),W$4:W1673"&amp;"))+(I139-LARGE(FILTER(W$4:W1673,W$4:W1673&lt;=I139),1))*INDEX(T$4:T1673,MATCH(LARGE(FILTER(W$4:W1673,W$4:W1673&lt;=I139),1),W$4:W1673))-K139),1,
ROUNDDOWN(Y139-INDEX(K$4:K1673,MATCH(LARGE(FILTER(I$4:I1673,I$4:I1673&lt;=W139),1),I$4:I1673))-(W139-LARGE(FILTER(I$4:I"&amp;"1673,I$4:I1673&lt;=W139),1))*INDEX(F$4:F1673,MATCH(LARGE(FILTER(I$4:I1673,I$4:I1673&lt;=W139),1),I$4:I1673))))"),1.1462958E7)</f>
        <v>11462958</v>
      </c>
      <c r="N139" s="60">
        <f t="shared" si="8"/>
        <v>-107.56432</v>
      </c>
      <c r="O139" s="61" t="str">
        <f t="shared" si="9"/>
        <v>11,5M</v>
      </c>
      <c r="P139" s="56">
        <f t="shared" si="10"/>
        <v>15</v>
      </c>
      <c r="Q139" s="67" t="s">
        <v>4</v>
      </c>
      <c r="R139" s="10" t="b">
        <f>IFERROR(__xludf.DUMMYFUNCTION("IF(COUNTA(Q139:Q1673)=0,"""",IF(ISBLANK(Q139),FALSE,IF(NOT(COUNTIF($AA$24:$AA$34,SUBSTITUTE(Q139,""Sell_"",""""))),1,IF(REGEXMATCH(Q139,""Sell_""),IF(COUNTIF(Q$4:Q139,SUBSTITUTE(Q139,""Sell_"",""""))-COUNTIF(Q$4:Q138,Q139)&lt;1,1),FALSE))))"),FALSE)</f>
        <v>0</v>
      </c>
      <c r="S139" s="59">
        <f t="array" ref="S139">IF(COUNTA(Q139:Q1673)=0,"",SUM((COUNTIF(Q$4:Q139,Upgrades!$B$3:$B$13)-COUNTIF(Q$4:Q139,"Sell_"&amp;Upgrades!$B$3:$B$13))*Upgrades!$D$3:$D$13))</f>
        <v>84913.2</v>
      </c>
      <c r="T139" s="66">
        <f>IFERROR(__xludf.DUMMYFUNCTION("IF(COUNTA(Q139:Q1673)=0,"""",IF(REGEXMATCH(INDEX(FILTER(Q$4:Q139,Q$4:Q139&lt;&gt;""""),ROWS(FILTER(Q$4:Q139,Q$4:Q139&lt;&gt;""""))),""^Sell_""),INDEX(FILTER(T$4:T138,Q$4:Q138&lt;&gt;""""),ROWS(FILTER(Q$4:Q138,Q$4:Q138&lt;&gt;""""))),$AD$5+S139))"),84928.2)</f>
        <v>84928.2</v>
      </c>
      <c r="U139" s="10">
        <f>IFERROR(__xludf.DUMMYFUNCTION("IF(COUNTA(Q139:Q1673)=0,"""",IF(Q139="""",0,IF(REGEXMATCH(Q139,""^Sell_""),-ROUNDDOWN(ROUNDUP(INDEX(Upgrades!$C$3:$C$13,MATCH(SUBSTITUTE(Q139,""Sell_"",""""),Upgrades!$B$3:$B$13,0))*1.15^(COUNTIF(Q$4:Q138,SUBSTITUTE(Q139,""Sell_"",""""))-COUNTIF(Q$4:Q138,"&amp;"""Sell_""&amp;SUBSTITUTE(Q139,""Sell_"",""""))))/2),ROUNDUP(INDEX(Upgrades!$C$3:$C$13,MATCH(Q139,Upgrades!$B$3:$B$13,0))*1.15^(COUNTIF(Q$4:Q138,Q139)-COUNTIF(Q$4:Q138,""Sell_""&amp;Q139))))))"),708.0)</f>
        <v>708</v>
      </c>
      <c r="V139" s="10">
        <f t="shared" si="11"/>
        <v>708</v>
      </c>
      <c r="W139" s="68">
        <f t="shared" si="12"/>
        <v>3977.691055</v>
      </c>
      <c r="X139" s="59" t="str">
        <f t="shared" si="13"/>
        <v>1h 06m 17s</v>
      </c>
      <c r="Y139" s="69">
        <f t="shared" si="14"/>
        <v>53099180</v>
      </c>
      <c r="Z139" s="11"/>
    </row>
    <row r="140">
      <c r="A140" s="8"/>
      <c r="B140" s="56">
        <f t="shared" si="2"/>
        <v>13</v>
      </c>
      <c r="C140" s="57" t="s">
        <v>8</v>
      </c>
      <c r="D140" s="10" t="b">
        <f>IFERROR(__xludf.DUMMYFUNCTION("IF(COUNTA(C140:C1673)=0,"""",IF(ISBLANK(C140),FALSE,IF(NOT(COUNTIF($AA$24:$AA$34,SUBSTITUTE(C140,""Sell_"",""""))),1,IF(REGEXMATCH(C140,""Sell_""),IF(COUNTIF(C$4:C140,SUBSTITUTE(C140,""Sell_"",""""))-COUNTIF(C$4:C139,C140)&lt;1,1),FALSE))))"),FALSE)</f>
        <v>0</v>
      </c>
      <c r="E140" s="59">
        <f t="array" ref="E140">IF(COUNTA(C140:C1673)=0,"",SUM((COUNTIF(C$4:C140,Upgrades!$B$3:$B$13)-COUNTIF(C$4:C140,"Sell_"&amp;Upgrades!$B$3:$B$13))*Upgrades!$D$3:$D$13))</f>
        <v>106574.5</v>
      </c>
      <c r="F140" s="66">
        <f>IFERROR(__xludf.DUMMYFUNCTION("IF(COUNTA(C140:C1673)=0,"""",IF(REGEXMATCH(INDEX(FILTER(C$4:C140,C$4:C140&lt;&gt;""""),ROWS(FILTER(C$4:C140,C$4:C140&lt;&gt;""""))),""^Sell_""),INDEX(FILTER(F$4:F139,C$4:C139&lt;&gt;""""),ROWS(FILTER(C$4:C139,C$4:C139&lt;&gt;""""))),$AC$5+E140))"),106589.5)</f>
        <v>106589.5</v>
      </c>
      <c r="G140" s="10">
        <f>IFERROR(__xludf.DUMMYFUNCTION("IF(COUNTA(C140:C1673)=0,"""",IF(C140="""",0,IF(REGEXMATCH(C140,""^Sell_""),-ROUNDDOWN(ROUNDUP(INDEX(Upgrades!$C$3:$C$13,MATCH(SUBSTITUTE(C140,""Sell_"",""""),Upgrades!$B$3:$B$13,0))*1.15^(COUNTIF(C$4:C139,SUBSTITUTE(C140,""Sell_"",""""))-COUNTIF(C$4:C139,"&amp;"""Sell_""&amp;SUBSTITUTE(C140,""Sell_"",""""))))/2),ROUNDUP(INDEX(Upgrades!$C$3:$C$13,MATCH(C140,Upgrades!$B$3:$B$13,0))*1.15^(COUNTIF(C$4:C139,C140)-COUNTIF(C$4:C139,""Sell_""&amp;C140))))))"),214011.0)</f>
        <v>214011</v>
      </c>
      <c r="H140" s="10">
        <f t="shared" si="3"/>
        <v>214011</v>
      </c>
      <c r="I140" s="68">
        <f t="shared" si="4"/>
        <v>4445.630513</v>
      </c>
      <c r="J140" s="59" t="str">
        <f t="shared" si="5"/>
        <v>1h 14m 05s</v>
      </c>
      <c r="K140" s="69">
        <f t="shared" si="6"/>
        <v>86555250</v>
      </c>
      <c r="L140" s="60">
        <f t="shared" si="7"/>
        <v>-107.55572</v>
      </c>
      <c r="M140" s="61">
        <f>IFERROR(__xludf.DUMMYFUNCTION("IFS(AND(COUNTA(C140:C1673)=0,COUNTA(Q140:Q1673)=0),"""",OR(AND(K140&gt;=1000000000,OR(Y140&gt;=1000000000,COUNTA(Q140:Q1673)=0)),OR(Y140&gt;=1000000000,AND(COUNTA(C140:C1673)=0,P$3=TRUE))),
ROUNDDOWN((AB$1-AC$1)*MAX(INDEX(T$4:T1673,MATCH(LARGE(FILTER(Y$4:Y1673,Y$4"&amp;":Y1673&lt;1000000000),1),Y$4:Y1673)),INDEX(F$4:F1673,MATCH(LARGE(FILTER(K$4:K1673,K$4:K1673&lt;1000000000),1),K$4:K1673)))),AND(K140&lt;1000000000,COUNTA(C140:C1673)&gt;0,P$3=FALSE),
ROUNDDOWN(INDEX(Y$4:Y1673,MATCH(LARGE(FILTER(W$4:W1673,W$4:W1673&lt;=I140),1),W$4:W1673"&amp;"))+(I140-LARGE(FILTER(W$4:W1673,W$4:W1673&lt;=I140),1))*INDEX(T$4:T1673,MATCH(LARGE(FILTER(W$4:W1673,W$4:W1673&lt;=I140),1),W$4:W1673))-K140),1,
ROUNDDOWN(Y140-INDEX(K$4:K1673,MATCH(LARGE(FILTER(I$4:I1673,I$4:I1673&lt;=W140),1),I$4:I1673))-(W140-LARGE(FILTER(I$4:I"&amp;"1673,I$4:I1673&lt;=W140),1))*INDEX(F$4:F1673,MATCH(LARGE(FILTER(I$4:I1673,I$4:I1673&lt;=W140),1),I$4:I1673))))"),1.1463159E7)</f>
        <v>11463159</v>
      </c>
      <c r="N140" s="60">
        <f t="shared" si="8"/>
        <v>-107.55572</v>
      </c>
      <c r="O140" s="61" t="str">
        <f t="shared" si="9"/>
        <v>11,5M</v>
      </c>
      <c r="P140" s="56">
        <f t="shared" si="10"/>
        <v>13</v>
      </c>
      <c r="Q140" s="67" t="s">
        <v>10</v>
      </c>
      <c r="R140" s="10" t="b">
        <f>IFERROR(__xludf.DUMMYFUNCTION("IF(COUNTA(Q140:Q1673)=0,"""",IF(ISBLANK(Q140),FALSE,IF(NOT(COUNTIF($AA$24:$AA$34,SUBSTITUTE(Q140,""Sell_"",""""))),1,IF(REGEXMATCH(Q140,""Sell_""),IF(COUNTIF(Q$4:Q140,SUBSTITUTE(Q140,""Sell_"",""""))-COUNTIF(Q$4:Q139,Q140)&lt;1,1),FALSE))))"),FALSE)</f>
        <v>0</v>
      </c>
      <c r="S140" s="59">
        <f t="array" ref="S140">IF(COUNTA(Q140:Q1673)=0,"",SUM((COUNTIF(Q$4:Q140,Upgrades!$B$3:$B$13)-COUNTIF(Q$4:Q140,"Sell_"&amp;Upgrades!$B$3:$B$13))*Upgrades!$D$3:$D$13))</f>
        <v>91579.2</v>
      </c>
      <c r="T140" s="66">
        <f>IFERROR(__xludf.DUMMYFUNCTION("IF(COUNTA(Q140:Q1673)=0,"""",IF(REGEXMATCH(INDEX(FILTER(Q$4:Q140,Q$4:Q140&lt;&gt;""""),ROWS(FILTER(Q$4:Q140,Q$4:Q140&lt;&gt;""""))),""^Sell_""),INDEX(FILTER(T$4:T139,Q$4:Q139&lt;&gt;""""),ROWS(FILTER(Q$4:Q139,Q$4:Q139&lt;&gt;""""))),$AD$5+S140))"),91594.2)</f>
        <v>91594.2</v>
      </c>
      <c r="U140" s="10">
        <f>IFERROR(__xludf.DUMMYFUNCTION("IF(COUNTA(Q140:Q1673)=0,"""",IF(Q140="""",0,IF(REGEXMATCH(Q140,""^Sell_""),-ROUNDDOWN(ROUNDUP(INDEX(Upgrades!$C$3:$C$13,MATCH(SUBSTITUTE(Q140,""Sell_"",""""),Upgrades!$B$3:$B$13,0))*1.15^(COUNTIF(Q$4:Q139,SUBSTITUTE(Q140,""Sell_"",""""))-COUNTIF(Q$4:Q139,"&amp;"""Sell_""&amp;SUBSTITUTE(Q140,""Sell_"",""""))))/2),ROUNDUP(INDEX(Upgrades!$C$3:$C$13,MATCH(Q140,Upgrades!$B$3:$B$13,0))*1.15^(COUNTIF(Q$4:Q139,Q140)-COUNTIF(Q$4:Q139,""Sell_""&amp;Q140))))))"),8917080.0)</f>
        <v>8917080</v>
      </c>
      <c r="V140" s="10">
        <f t="shared" si="11"/>
        <v>8917080</v>
      </c>
      <c r="W140" s="68">
        <f t="shared" si="12"/>
        <v>4082.686569</v>
      </c>
      <c r="X140" s="59" t="str">
        <f t="shared" si="13"/>
        <v>1h 08m 02s</v>
      </c>
      <c r="Y140" s="69">
        <f t="shared" si="14"/>
        <v>62016260</v>
      </c>
      <c r="Z140" s="11"/>
    </row>
    <row r="141">
      <c r="A141" s="8"/>
      <c r="B141" s="56">
        <f t="shared" si="2"/>
        <v>18</v>
      </c>
      <c r="C141" s="57" t="s">
        <v>4</v>
      </c>
      <c r="D141" s="10" t="b">
        <f>IFERROR(__xludf.DUMMYFUNCTION("IF(COUNTA(C141:C1673)=0,"""",IF(ISBLANK(C141),FALSE,IF(NOT(COUNTIF($AA$24:$AA$34,SUBSTITUTE(C141,""Sell_"",""""))),1,IF(REGEXMATCH(C141,""Sell_""),IF(COUNTIF(C$4:C141,SUBSTITUTE(C141,""Sell_"",""""))-COUNTIF(C$4:C140,C141)&lt;1,1),FALSE))))"),FALSE)</f>
        <v>0</v>
      </c>
      <c r="E141" s="59">
        <f t="array" ref="E141">IF(COUNTA(C141:C1673)=0,"",SUM((COUNTIF(C$4:C141,Upgrades!$B$3:$B$13)-COUNTIF(C$4:C141,"Sell_"&amp;Upgrades!$B$3:$B$13))*Upgrades!$D$3:$D$13))</f>
        <v>106575</v>
      </c>
      <c r="F141" s="66">
        <f>IFERROR(__xludf.DUMMYFUNCTION("IF(COUNTA(C141:C1673)=0,"""",IF(REGEXMATCH(INDEX(FILTER(C$4:C141,C$4:C141&lt;&gt;""""),ROWS(FILTER(C$4:C141,C$4:C141&lt;&gt;""""))),""^Sell_""),INDEX(FILTER(F$4:F140,C$4:C140&lt;&gt;""""),ROWS(FILTER(C$4:C140,C$4:C140&lt;&gt;""""))),$AC$5+E141))"),106590.0)</f>
        <v>106590</v>
      </c>
      <c r="G141" s="10">
        <f>IFERROR(__xludf.DUMMYFUNCTION("IF(COUNTA(C141:C1673)=0,"""",IF(C141="""",0,IF(REGEXMATCH(C141,""^Sell_""),-ROUNDDOWN(ROUNDUP(INDEX(Upgrades!$C$3:$C$13,MATCH(SUBSTITUTE(C141,""Sell_"",""""),Upgrades!$B$3:$B$13,0))*1.15^(COUNTIF(C$4:C140,SUBSTITUTE(C141,""Sell_"",""""))-COUNTIF(C$4:C140,"&amp;"""Sell_""&amp;SUBSTITUTE(C141,""Sell_"",""""))))/2),ROUNDUP(INDEX(Upgrades!$C$3:$C$13,MATCH(C141,Upgrades!$B$3:$B$13,0))*1.15^(COUNTIF(C$4:C140,C141)-COUNTIF(C$4:C140,""Sell_""&amp;C141))))))"),1077.0)</f>
        <v>1077</v>
      </c>
      <c r="H141" s="10">
        <f t="shared" si="3"/>
        <v>1077</v>
      </c>
      <c r="I141" s="68">
        <f t="shared" si="4"/>
        <v>4445.640617</v>
      </c>
      <c r="J141" s="59" t="str">
        <f t="shared" si="5"/>
        <v>1h 14m 05s</v>
      </c>
      <c r="K141" s="69">
        <f t="shared" si="6"/>
        <v>86556327</v>
      </c>
      <c r="L141" s="60">
        <f t="shared" si="7"/>
        <v>-107.55566</v>
      </c>
      <c r="M141" s="61">
        <f>IFERROR(__xludf.DUMMYFUNCTION("IFS(AND(COUNTA(C141:C1673)=0,COUNTA(Q141:Q1673)=0),"""",OR(AND(K141&gt;=1000000000,OR(Y141&gt;=1000000000,COUNTA(Q141:Q1673)=0)),OR(Y141&gt;=1000000000,AND(COUNTA(C141:C1673)=0,P$3=TRUE))),
ROUNDDOWN((AB$1-AC$1)*MAX(INDEX(T$4:T1673,MATCH(LARGE(FILTER(Y$4:Y1673,Y$4"&amp;":Y1673&lt;1000000000),1),Y$4:Y1673)),INDEX(F$4:F1673,MATCH(LARGE(FILTER(K$4:K1673,K$4:K1673&lt;1000000000),1),K$4:K1673)))),AND(K141&lt;1000000000,COUNTA(C141:C1673)&gt;0,P$3=FALSE),
ROUNDDOWN(INDEX(Y$4:Y1673,MATCH(LARGE(FILTER(W$4:W1673,W$4:W1673&lt;=I141),1),W$4:W1673"&amp;"))+(I141-LARGE(FILTER(W$4:W1673,W$4:W1673&lt;=I141),1))*INDEX(T$4:T1673,MATCH(LARGE(FILTER(W$4:W1673,W$4:W1673&lt;=I141),1),W$4:W1673))-K141),1,
ROUNDDOWN(Y141-INDEX(K$4:K1673,MATCH(LARGE(FILTER(I$4:I1673,I$4:I1673&lt;=W141),1),I$4:I1673))-(W141-LARGE(FILTER(I$4:I"&amp;"1673,I$4:I1673&lt;=W141),1))*INDEX(F$4:F1673,MATCH(LARGE(FILTER(I$4:I1673,I$4:I1673&lt;=W141),1),I$4:I1673))))"),1.1463159E7)</f>
        <v>11463159</v>
      </c>
      <c r="N141" s="60">
        <f t="shared" si="8"/>
        <v>-107.55566</v>
      </c>
      <c r="O141" s="61" t="str">
        <f t="shared" si="9"/>
        <v>11,5M</v>
      </c>
      <c r="P141" s="56">
        <f t="shared" si="10"/>
        <v>9</v>
      </c>
      <c r="Q141" s="67" t="s">
        <v>9</v>
      </c>
      <c r="R141" s="10" t="b">
        <f>IFERROR(__xludf.DUMMYFUNCTION("IF(COUNTA(Q141:Q1673)=0,"""",IF(ISBLANK(Q141),FALSE,IF(NOT(COUNTIF($AA$24:$AA$34,SUBSTITUTE(Q141,""Sell_"",""""))),1,IF(REGEXMATCH(Q141,""Sell_""),IF(COUNTIF(Q$4:Q141,SUBSTITUTE(Q141,""Sell_"",""""))-COUNTIF(Q$4:Q140,Q141)&lt;1,1),FALSE))))"),FALSE)</f>
        <v>0</v>
      </c>
      <c r="S141" s="59">
        <f t="array" ref="S141">IF(COUNTA(Q141:Q1673)=0,"",SUM((COUNTIF(Q$4:Q141,Upgrades!$B$3:$B$13)-COUNTIF(Q$4:Q141,"Sell_"&amp;Upgrades!$B$3:$B$13))*Upgrades!$D$3:$D$13))</f>
        <v>91979.2</v>
      </c>
      <c r="T141" s="66">
        <f>IFERROR(__xludf.DUMMYFUNCTION("IF(COUNTA(Q141:Q1673)=0,"""",IF(REGEXMATCH(INDEX(FILTER(Q$4:Q141,Q$4:Q141&lt;&gt;""""),ROWS(FILTER(Q$4:Q141,Q$4:Q141&lt;&gt;""""))),""^Sell_""),INDEX(FILTER(T$4:T140,Q$4:Q140&lt;&gt;""""),ROWS(FILTER(Q$4:Q140,Q$4:Q140&lt;&gt;""""))),$AD$5+S141))"),91994.2)</f>
        <v>91994.2</v>
      </c>
      <c r="U141" s="10">
        <f>IFERROR(__xludf.DUMMYFUNCTION("IF(COUNTA(Q141:Q1673)=0,"""",IF(Q141="""",0,IF(REGEXMATCH(Q141,""^Sell_""),-ROUNDDOWN(ROUNDUP(INDEX(Upgrades!$C$3:$C$13,MATCH(SUBSTITUTE(Q141,""Sell_"",""""),Upgrades!$B$3:$B$13,0))*1.15^(COUNTIF(Q$4:Q140,SUBSTITUTE(Q141,""Sell_"",""""))-COUNTIF(Q$4:Q140,"&amp;"""Sell_""&amp;SUBSTITUTE(Q141,""Sell_"",""""))))/2),ROUNDUP(INDEX(Upgrades!$C$3:$C$13,MATCH(Q141,Upgrades!$B$3:$B$13,0))*1.15^(COUNTIF(Q$4:Q140,Q141)-COUNTIF(Q$4:Q140,""Sell_""&amp;Q141))))))"),611805.0)</f>
        <v>611805</v>
      </c>
      <c r="V141" s="10">
        <f t="shared" si="11"/>
        <v>611805</v>
      </c>
      <c r="W141" s="68">
        <f t="shared" si="12"/>
        <v>4089.366086</v>
      </c>
      <c r="X141" s="59" t="str">
        <f t="shared" si="13"/>
        <v>1h 08m 09s</v>
      </c>
      <c r="Y141" s="69">
        <f t="shared" si="14"/>
        <v>62628065</v>
      </c>
      <c r="Z141" s="11"/>
    </row>
    <row r="142">
      <c r="A142" s="8"/>
      <c r="B142" s="56">
        <f t="shared" si="2"/>
        <v>16</v>
      </c>
      <c r="C142" s="57" t="s">
        <v>10</v>
      </c>
      <c r="D142" s="10" t="b">
        <f>IFERROR(__xludf.DUMMYFUNCTION("IF(COUNTA(C142:C1673)=0,"""",IF(ISBLANK(C142),FALSE,IF(NOT(COUNTIF($AA$24:$AA$34,SUBSTITUTE(C142,""Sell_"",""""))),1,IF(REGEXMATCH(C142,""Sell_""),IF(COUNTIF(C$4:C142,SUBSTITUTE(C142,""Sell_"",""""))-COUNTIF(C$4:C141,C142)&lt;1,1),FALSE))))"),FALSE)</f>
        <v>0</v>
      </c>
      <c r="E142" s="59">
        <f t="array" ref="E142">IF(COUNTA(C142:C1673)=0,"",SUM((COUNTIF(C$4:C142,Upgrades!$B$3:$B$13)-COUNTIF(C$4:C142,"Sell_"&amp;Upgrades!$B$3:$B$13))*Upgrades!$D$3:$D$13))</f>
        <v>113241</v>
      </c>
      <c r="F142" s="66">
        <f>IFERROR(__xludf.DUMMYFUNCTION("IF(COUNTA(C142:C1673)=0,"""",IF(REGEXMATCH(INDEX(FILTER(C$4:C142,C$4:C142&lt;&gt;""""),ROWS(FILTER(C$4:C142,C$4:C142&lt;&gt;""""))),""^Sell_""),INDEX(FILTER(F$4:F141,C$4:C141&lt;&gt;""""),ROWS(FILTER(C$4:C141,C$4:C141&lt;&gt;""""))),$AC$5+E142))"),113256.0)</f>
        <v>113256</v>
      </c>
      <c r="G142" s="10">
        <f>IFERROR(__xludf.DUMMYFUNCTION("IF(COUNTA(C142:C1673)=0,"""",IF(C142="""",0,IF(REGEXMATCH(C142,""^Sell_""),-ROUNDDOWN(ROUNDUP(INDEX(Upgrades!$C$3:$C$13,MATCH(SUBSTITUTE(C142,""Sell_"",""""),Upgrades!$B$3:$B$13,0))*1.15^(COUNTIF(C$4:C141,SUBSTITUTE(C142,""Sell_"",""""))-COUNTIF(C$4:C141,"&amp;"""Sell_""&amp;SUBSTITUTE(C142,""Sell_"",""""))))/2),ROUNDUP(INDEX(Upgrades!$C$3:$C$13,MATCH(C142,Upgrades!$B$3:$B$13,0))*1.15^(COUNTIF(C$4:C141,C142)-COUNTIF(C$4:C141,""Sell_""&amp;C142))))))"),1.3561764E7)</f>
        <v>13561764</v>
      </c>
      <c r="H142" s="10">
        <f t="shared" si="3"/>
        <v>13561764</v>
      </c>
      <c r="I142" s="68">
        <f t="shared" si="4"/>
        <v>4572.873604</v>
      </c>
      <c r="J142" s="59" t="str">
        <f t="shared" si="5"/>
        <v>1h 16m 12s</v>
      </c>
      <c r="K142" s="69">
        <f t="shared" si="6"/>
        <v>100118091</v>
      </c>
      <c r="L142" s="60">
        <f t="shared" si="7"/>
        <v>-107.54442</v>
      </c>
      <c r="M142" s="61">
        <f>IFERROR(__xludf.DUMMYFUNCTION("IFS(AND(COUNTA(C142:C1673)=0,COUNTA(Q142:Q1673)=0),"""",OR(AND(K142&gt;=1000000000,OR(Y142&gt;=1000000000,COUNTA(Q142:Q1673)=0)),OR(Y142&gt;=1000000000,AND(COUNTA(C142:C1673)=0,P$3=TRUE))),
ROUNDDOWN((AB$1-AC$1)*MAX(INDEX(T$4:T1673,MATCH(LARGE(FILTER(Y$4:Y1673,Y$4"&amp;":Y1673&lt;1000000000),1),Y$4:Y1673)),INDEX(F$4:F1673,MATCH(LARGE(FILTER(K$4:K1673,K$4:K1673&lt;1000000000),1),K$4:K1673)))),AND(K142&lt;1000000000,COUNTA(C142:C1673)&gt;0,P$3=FALSE),
ROUNDDOWN(INDEX(Y$4:Y1673,MATCH(LARGE(FILTER(W$4:W1673,W$4:W1673&lt;=I142),1),W$4:W1673"&amp;"))+(I142-LARGE(FILTER(W$4:W1673,W$4:W1673&lt;=I142),1))*INDEX(T$4:T1673,MATCH(LARGE(FILTER(W$4:W1673,W$4:W1673&lt;=I142),1),W$4:W1673))-K142),1,
ROUNDDOWN(Y142-INDEX(K$4:K1673,MATCH(LARGE(FILTER(I$4:I1673,I$4:I1673&lt;=W142),1),I$4:I1673))-(W142-LARGE(FILTER(I$4:I"&amp;"1673,I$4:I1673&lt;=W142),1))*INDEX(F$4:F1673,MATCH(LARGE(FILTER(I$4:I1673,I$4:I1673&lt;=W142),1),I$4:I1673))))"),1.2149525E7)</f>
        <v>12149525</v>
      </c>
      <c r="N142" s="60">
        <f t="shared" si="8"/>
        <v>-107.54442</v>
      </c>
      <c r="O142" s="61" t="str">
        <f t="shared" si="9"/>
        <v>12,1M</v>
      </c>
      <c r="P142" s="56">
        <f t="shared" si="10"/>
        <v>14</v>
      </c>
      <c r="Q142" s="67" t="s">
        <v>7</v>
      </c>
      <c r="R142" s="10" t="b">
        <f>IFERROR(__xludf.DUMMYFUNCTION("IF(COUNTA(Q142:Q1673)=0,"""",IF(ISBLANK(Q142),FALSE,IF(NOT(COUNTIF($AA$24:$AA$34,SUBSTITUTE(Q142,""Sell_"",""""))),1,IF(REGEXMATCH(Q142,""Sell_""),IF(COUNTIF(Q$4:Q142,SUBSTITUTE(Q142,""Sell_"",""""))-COUNTIF(Q$4:Q141,Q142)&lt;1,1),FALSE))))"),FALSE)</f>
        <v>0</v>
      </c>
      <c r="S142" s="59">
        <f t="array" ref="S142">IF(COUNTA(Q142:Q1673)=0,"",SUM((COUNTIF(Q$4:Q142,Upgrades!$B$3:$B$13)-COUNTIF(Q$4:Q142,"Sell_"&amp;Upgrades!$B$3:$B$13))*Upgrades!$D$3:$D$13))</f>
        <v>92019.2</v>
      </c>
      <c r="T142" s="66">
        <f>IFERROR(__xludf.DUMMYFUNCTION("IF(COUNTA(Q142:Q1673)=0,"""",IF(REGEXMATCH(INDEX(FILTER(Q$4:Q142,Q$4:Q142&lt;&gt;""""),ROWS(FILTER(Q$4:Q142,Q$4:Q142&lt;&gt;""""))),""^Sell_""),INDEX(FILTER(T$4:T141,Q$4:Q141&lt;&gt;""""),ROWS(FILTER(Q$4:Q141,Q$4:Q141&lt;&gt;""""))),$AD$5+S142))"),92034.2)</f>
        <v>92034.2</v>
      </c>
      <c r="U142" s="10">
        <f>IFERROR(__xludf.DUMMYFUNCTION("IF(COUNTA(Q142:Q1673)=0,"""",IF(Q142="""",0,IF(REGEXMATCH(Q142,""^Sell_""),-ROUNDDOWN(ROUNDUP(INDEX(Upgrades!$C$3:$C$13,MATCH(SUBSTITUTE(Q142,""Sell_"",""""),Upgrades!$B$3:$B$13,0))*1.15^(COUNTIF(Q$4:Q141,SUBSTITUTE(Q142,""Sell_"",""""))-COUNTIF(Q$4:Q141,"&amp;"""Sell_""&amp;SUBSTITUTE(Q142,""Sell_"",""""))))/2),ROUNDUP(INDEX(Upgrades!$C$3:$C$13,MATCH(Q142,Upgrades!$B$3:$B$13,0))*1.15^(COUNTIF(Q$4:Q141,Q142)-COUNTIF(Q$4:Q141,""Sell_""&amp;Q142))))))"),61528.0)</f>
        <v>61528</v>
      </c>
      <c r="V142" s="10">
        <f t="shared" si="11"/>
        <v>61528</v>
      </c>
      <c r="W142" s="68">
        <f t="shared" si="12"/>
        <v>4090.03491</v>
      </c>
      <c r="X142" s="59" t="str">
        <f t="shared" si="13"/>
        <v>1h 08m 10s</v>
      </c>
      <c r="Y142" s="69">
        <f t="shared" si="14"/>
        <v>62689593</v>
      </c>
      <c r="Z142" s="11"/>
    </row>
    <row r="143">
      <c r="A143" s="8"/>
      <c r="B143" s="56">
        <f t="shared" si="2"/>
        <v>12</v>
      </c>
      <c r="C143" s="57" t="s">
        <v>9</v>
      </c>
      <c r="D143" s="10" t="b">
        <f>IFERROR(__xludf.DUMMYFUNCTION("IF(COUNTA(C143:C1673)=0,"""",IF(ISBLANK(C143),FALSE,IF(NOT(COUNTIF($AA$24:$AA$34,SUBSTITUTE(C143,""Sell_"",""""))),1,IF(REGEXMATCH(C143,""Sell_""),IF(COUNTIF(C$4:C143,SUBSTITUTE(C143,""Sell_"",""""))-COUNTIF(C$4:C142,C143)&lt;1,1),FALSE))))"),FALSE)</f>
        <v>0</v>
      </c>
      <c r="E143" s="59">
        <f t="array" ref="E143">IF(COUNTA(C143:C1673)=0,"",SUM((COUNTIF(C$4:C143,Upgrades!$B$3:$B$13)-COUNTIF(C$4:C143,"Sell_"&amp;Upgrades!$B$3:$B$13))*Upgrades!$D$3:$D$13))</f>
        <v>113641</v>
      </c>
      <c r="F143" s="66">
        <f>IFERROR(__xludf.DUMMYFUNCTION("IF(COUNTA(C143:C1673)=0,"""",IF(REGEXMATCH(INDEX(FILTER(C$4:C143,C$4:C143&lt;&gt;""""),ROWS(FILTER(C$4:C143,C$4:C143&lt;&gt;""""))),""^Sell_""),INDEX(FILTER(F$4:F142,C$4:C142&lt;&gt;""""),ROWS(FILTER(C$4:C142,C$4:C142&lt;&gt;""""))),$AC$5+E143))"),113656.0)</f>
        <v>113656</v>
      </c>
      <c r="G143" s="10">
        <f>IFERROR(__xludf.DUMMYFUNCTION("IF(COUNTA(C143:C1673)=0,"""",IF(C143="""",0,IF(REGEXMATCH(C143,""^Sell_""),-ROUNDDOWN(ROUNDUP(INDEX(Upgrades!$C$3:$C$13,MATCH(SUBSTITUTE(C143,""Sell_"",""""),Upgrades!$B$3:$B$13,0))*1.15^(COUNTIF(C$4:C142,SUBSTITUTE(C143,""Sell_"",""""))-COUNTIF(C$4:C142,"&amp;"""Sell_""&amp;SUBSTITUTE(C143,""Sell_"",""""))))/2),ROUNDUP(INDEX(Upgrades!$C$3:$C$13,MATCH(C143,Upgrades!$B$3:$B$13,0))*1.15^(COUNTIF(C$4:C142,C143)-COUNTIF(C$4:C142,""Sell_""&amp;C143))))))"),930479.0)</f>
        <v>930479</v>
      </c>
      <c r="H143" s="10">
        <f t="shared" si="3"/>
        <v>930479</v>
      </c>
      <c r="I143" s="68">
        <f t="shared" si="4"/>
        <v>4581.089319</v>
      </c>
      <c r="J143" s="59" t="str">
        <f t="shared" si="5"/>
        <v>1h 16m 21s</v>
      </c>
      <c r="K143" s="69">
        <f t="shared" si="6"/>
        <v>101048570</v>
      </c>
      <c r="L143" s="60">
        <f t="shared" si="7"/>
        <v>-107.27489</v>
      </c>
      <c r="M143" s="61">
        <f>IFERROR(__xludf.DUMMYFUNCTION("IFS(AND(COUNTA(C143:C1673)=0,COUNTA(Q143:Q1673)=0),"""",OR(AND(K143&gt;=1000000000,OR(Y143&gt;=1000000000,COUNTA(Q143:Q1673)=0)),OR(Y143&gt;=1000000000,AND(COUNTA(C143:C1673)=0,P$3=TRUE))),
ROUNDDOWN((AB$1-AC$1)*MAX(INDEX(T$4:T1673,MATCH(LARGE(FILTER(Y$4:Y1673,Y$4"&amp;":Y1673&lt;1000000000),1),Y$4:Y1673)),INDEX(F$4:F1673,MATCH(LARGE(FILTER(K$4:K1673,K$4:K1673&lt;1000000000),1),K$4:K1673)))),AND(K143&lt;1000000000,COUNTA(C143:C1673)&gt;0,P$3=FALSE),
ROUNDDOWN(INDEX(Y$4:Y1673,MATCH(LARGE(FILTER(W$4:W1673,W$4:W1673&lt;=I143),1),W$4:W1673"&amp;"))+(I143-LARGE(FILTER(W$4:W1673,W$4:W1673&lt;=I143),1))*INDEX(T$4:T1673,MATCH(LARGE(FILTER(W$4:W1673,W$4:W1673&lt;=I143),1),W$4:W1673))-K143),1,
ROUNDDOWN(Y143-INDEX(K$4:K1673,MATCH(LARGE(FILTER(I$4:I1673,I$4:I1673&lt;=W143),1),I$4:I1673))-(W143-LARGE(FILTER(I$4:I"&amp;"1673,I$4:I1673&lt;=W143),1))*INDEX(F$4:F1673,MATCH(LARGE(FILTER(I$4:I1673,I$4:I1673&lt;=W143),1),I$4:I1673))))"),1.2149525E7)</f>
        <v>12149525</v>
      </c>
      <c r="N143" s="60">
        <f t="shared" si="8"/>
        <v>-107.27489</v>
      </c>
      <c r="O143" s="61" t="str">
        <f t="shared" si="9"/>
        <v>12,1M</v>
      </c>
      <c r="P143" s="56">
        <f t="shared" si="10"/>
        <v>19</v>
      </c>
      <c r="Q143" s="67" t="s">
        <v>5</v>
      </c>
      <c r="R143" s="10" t="b">
        <f>IFERROR(__xludf.DUMMYFUNCTION("IF(COUNTA(Q143:Q1673)=0,"""",IF(ISBLANK(Q143),FALSE,IF(NOT(COUNTIF($AA$24:$AA$34,SUBSTITUTE(Q143,""Sell_"",""""))),1,IF(REGEXMATCH(Q143,""Sell_""),IF(COUNTIF(Q$4:Q143,SUBSTITUTE(Q143,""Sell_"",""""))-COUNTIF(Q$4:Q142,Q143)&lt;1,1),FALSE))))"),FALSE)</f>
        <v>0</v>
      </c>
      <c r="S143" s="59">
        <f t="array" ref="S143">IF(COUNTA(Q143:Q1673)=0,"",SUM((COUNTIF(Q$4:Q143,Upgrades!$B$3:$B$13)-COUNTIF(Q$4:Q143,"Sell_"&amp;Upgrades!$B$3:$B$13))*Upgrades!$D$3:$D$13))</f>
        <v>92023.2</v>
      </c>
      <c r="T143" s="66">
        <f>IFERROR(__xludf.DUMMYFUNCTION("IF(COUNTA(Q143:Q1673)=0,"""",IF(REGEXMATCH(INDEX(FILTER(Q$4:Q143,Q$4:Q143&lt;&gt;""""),ROWS(FILTER(Q$4:Q143,Q$4:Q143&lt;&gt;""""))),""^Sell_""),INDEX(FILTER(T$4:T142,Q$4:Q142&lt;&gt;""""),ROWS(FILTER(Q$4:Q142,Q$4:Q142&lt;&gt;""""))),$AD$5+S143))"),92038.2)</f>
        <v>92038.2</v>
      </c>
      <c r="U143" s="10">
        <f>IFERROR(__xludf.DUMMYFUNCTION("IF(COUNTA(Q143:Q1673)=0,"""",IF(Q143="""",0,IF(REGEXMATCH(Q143,""^Sell_""),-ROUNDDOWN(ROUNDUP(INDEX(Upgrades!$C$3:$C$13,MATCH(SUBSTITUTE(Q143,""Sell_"",""""),Upgrades!$B$3:$B$13,0))*1.15^(COUNTIF(Q$4:Q142,SUBSTITUTE(Q143,""Sell_"",""""))-COUNTIF(Q$4:Q142,"&amp;"""Sell_""&amp;SUBSTITUTE(Q143,""Sell_"",""""))))/2),ROUNDUP(INDEX(Upgrades!$C$3:$C$13,MATCH(Q143,Upgrades!$B$3:$B$13,0))*1.15^(COUNTIF(Q$4:Q142,Q143)-COUNTIF(Q$4:Q142,""Sell_""&amp;Q143))))))"),6188.0)</f>
        <v>6188</v>
      </c>
      <c r="V143" s="10">
        <f t="shared" si="11"/>
        <v>6188</v>
      </c>
      <c r="W143" s="68">
        <f t="shared" si="12"/>
        <v>4090.102146</v>
      </c>
      <c r="X143" s="59" t="str">
        <f t="shared" si="13"/>
        <v>1h 08m 10s</v>
      </c>
      <c r="Y143" s="69">
        <f t="shared" si="14"/>
        <v>62695781</v>
      </c>
      <c r="Z143" s="11"/>
    </row>
    <row r="144">
      <c r="A144" s="8"/>
      <c r="B144" s="56">
        <f t="shared" si="2"/>
        <v>1</v>
      </c>
      <c r="C144" s="57" t="s">
        <v>11</v>
      </c>
      <c r="D144" s="10" t="b">
        <f>IFERROR(__xludf.DUMMYFUNCTION("IF(COUNTA(C144:C1673)=0,"""",IF(ISBLANK(C144),FALSE,IF(NOT(COUNTIF($AA$24:$AA$34,SUBSTITUTE(C144,""Sell_"",""""))),1,IF(REGEXMATCH(C144,""Sell_""),IF(COUNTIF(C$4:C144,SUBSTITUTE(C144,""Sell_"",""""))-COUNTIF(C$4:C143,C144)&lt;1,1),FALSE))))"),FALSE)</f>
        <v>0</v>
      </c>
      <c r="E144" s="59">
        <f t="array" ref="E144">IF(COUNTA(C144:C1673)=0,"",SUM((COUNTIF(C$4:C144,Upgrades!$B$3:$B$13)-COUNTIF(C$4:C144,"Sell_"&amp;Upgrades!$B$3:$B$13))*Upgrades!$D$3:$D$13))</f>
        <v>212406</v>
      </c>
      <c r="F144" s="66">
        <f>IFERROR(__xludf.DUMMYFUNCTION("IF(COUNTA(C144:C1673)=0,"""",IF(REGEXMATCH(INDEX(FILTER(C$4:C144,C$4:C144&lt;&gt;""""),ROWS(FILTER(C$4:C144,C$4:C144&lt;&gt;""""))),""^Sell_""),INDEX(FILTER(F$4:F143,C$4:C143&lt;&gt;""""),ROWS(FILTER(C$4:C143,C$4:C143&lt;&gt;""""))),$AC$5+E144))"),212421.0)</f>
        <v>212421</v>
      </c>
      <c r="G144" s="10">
        <f>IFERROR(__xludf.DUMMYFUNCTION("IF(COUNTA(C144:C1673)=0,"""",IF(C144="""",0,IF(REGEXMATCH(C144,""^Sell_""),-ROUNDDOWN(ROUNDUP(INDEX(Upgrades!$C$3:$C$13,MATCH(SUBSTITUTE(C144,""Sell_"",""""),Upgrades!$B$3:$B$13,0))*1.15^(COUNTIF(C$4:C143,SUBSTITUTE(C144,""Sell_"",""""))-COUNTIF(C$4:C143,"&amp;"""Sell_""&amp;SUBSTITUTE(C144,""Sell_"",""""))))/2),ROUNDUP(INDEX(Upgrades!$C$3:$C$13,MATCH(C144,Upgrades!$B$3:$B$13,0))*1.15^(COUNTIF(C$4:C143,C144)-COUNTIF(C$4:C143,""Sell_""&amp;C144))))))"),1.23456789E8)</f>
        <v>123456789</v>
      </c>
      <c r="H144" s="10">
        <f t="shared" si="3"/>
        <v>123456789</v>
      </c>
      <c r="I144" s="68">
        <f t="shared" si="4"/>
        <v>5667.321361</v>
      </c>
      <c r="J144" s="59" t="str">
        <f t="shared" si="5"/>
        <v>1h 34m 27s</v>
      </c>
      <c r="K144" s="69">
        <f t="shared" si="6"/>
        <v>224505359</v>
      </c>
      <c r="L144" s="60">
        <f t="shared" si="7"/>
        <v>-228.27494</v>
      </c>
      <c r="M144" s="61">
        <f>IFERROR(__xludf.DUMMYFUNCTION("IFS(AND(COUNTA(C144:C1673)=0,COUNTA(Q144:Q1673)=0),"""",OR(AND(K144&gt;=1000000000,OR(Y144&gt;=1000000000,COUNTA(Q144:Q1673)=0)),OR(Y144&gt;=1000000000,AND(COUNTA(C144:C1673)=0,P$3=TRUE))),
ROUNDDOWN((AB$1-AC$1)*MAX(INDEX(T$4:T1673,MATCH(LARGE(FILTER(Y$4:Y1673,Y$4"&amp;":Y1673&lt;1000000000),1),Y$4:Y1673)),INDEX(F$4:F1673,MATCH(LARGE(FILTER(K$4:K1673,K$4:K1673&lt;1000000000),1),K$4:K1673)))),AND(K144&lt;1000000000,COUNTA(C144:C1673)&gt;0,P$3=FALSE),
ROUNDDOWN(INDEX(Y$4:Y1673,MATCH(LARGE(FILTER(W$4:W1673,W$4:W1673&lt;=I144),1),W$4:W1673"&amp;"))+(I144-LARGE(FILTER(W$4:W1673,W$4:W1673&lt;=I144),1))*INDEX(T$4:T1673,MATCH(LARGE(FILTER(W$4:W1673,W$4:W1673&lt;=I144),1),W$4:W1673))-K144),1,
ROUNDDOWN(Y144-INDEX(K$4:K1673,MATCH(LARGE(FILTER(I$4:I1673,I$4:I1673&lt;=W144),1),I$4:I1673))-(W144-LARGE(FILTER(I$4:I"&amp;"1673,I$4:I1673&lt;=W144),1))*INDEX(F$4:F1673,MATCH(LARGE(FILTER(I$4:I1673,I$4:I1673&lt;=W144),1),I$4:I1673))))"),4.7025201E7)</f>
        <v>47025201</v>
      </c>
      <c r="N144" s="60">
        <f t="shared" si="8"/>
        <v>-228.27494</v>
      </c>
      <c r="O144" s="61" t="str">
        <f t="shared" si="9"/>
        <v>47,0M</v>
      </c>
      <c r="P144" s="56">
        <f t="shared" si="10"/>
        <v>13</v>
      </c>
      <c r="Q144" s="67" t="s">
        <v>6</v>
      </c>
      <c r="R144" s="10" t="b">
        <f>IFERROR(__xludf.DUMMYFUNCTION("IF(COUNTA(Q144:Q1673)=0,"""",IF(ISBLANK(Q144),FALSE,IF(NOT(COUNTIF($AA$24:$AA$34,SUBSTITUTE(Q144,""Sell_"",""""))),1,IF(REGEXMATCH(Q144,""Sell_""),IF(COUNTIF(Q$4:Q144,SUBSTITUTE(Q144,""Sell_"",""""))-COUNTIF(Q$4:Q143,Q144)&lt;1,1),FALSE))))"),FALSE)</f>
        <v>0</v>
      </c>
      <c r="S144" s="59">
        <f t="array" ref="S144">IF(COUNTA(Q144:Q1673)=0,"",SUM((COUNTIF(Q$4:Q144,Upgrades!$B$3:$B$13)-COUNTIF(Q$4:Q144,"Sell_"&amp;Upgrades!$B$3:$B$13))*Upgrades!$D$3:$D$13))</f>
        <v>92033.2</v>
      </c>
      <c r="T144" s="66">
        <f>IFERROR(__xludf.DUMMYFUNCTION("IF(COUNTA(Q144:Q1673)=0,"""",IF(REGEXMATCH(INDEX(FILTER(Q$4:Q144,Q$4:Q144&lt;&gt;""""),ROWS(FILTER(Q$4:Q144,Q$4:Q144&lt;&gt;""""))),""^Sell_""),INDEX(FILTER(T$4:T143,Q$4:Q143&lt;&gt;""""),ROWS(FILTER(Q$4:Q143,Q$4:Q143&lt;&gt;""""))),$AD$5+S144))"),92048.2)</f>
        <v>92048.2</v>
      </c>
      <c r="U144" s="10">
        <f>IFERROR(__xludf.DUMMYFUNCTION("IF(COUNTA(Q144:Q1673)=0,"""",IF(Q144="""",0,IF(REGEXMATCH(Q144,""^Sell_""),-ROUNDDOWN(ROUNDUP(INDEX(Upgrades!$C$3:$C$13,MATCH(SUBSTITUTE(Q144,""Sell_"",""""),Upgrades!$B$3:$B$13,0))*1.15^(COUNTIF(Q$4:Q143,SUBSTITUTE(Q144,""Sell_"",""""))-COUNTIF(Q$4:Q143,"&amp;"""Sell_""&amp;SUBSTITUTE(Q144,""Sell_"",""""))))/2),ROUNDUP(INDEX(Upgrades!$C$3:$C$13,MATCH(Q144,Upgrades!$B$3:$B$13,0))*1.15^(COUNTIF(Q$4:Q143,Q144)-COUNTIF(Q$4:Q143,""Sell_""&amp;Q144))))))"),16051.0)</f>
        <v>16051</v>
      </c>
      <c r="V144" s="10">
        <f t="shared" si="11"/>
        <v>16051</v>
      </c>
      <c r="W144" s="68">
        <f t="shared" si="12"/>
        <v>4090.276541</v>
      </c>
      <c r="X144" s="59" t="str">
        <f t="shared" si="13"/>
        <v>1h 08m 10s</v>
      </c>
      <c r="Y144" s="69">
        <f t="shared" si="14"/>
        <v>62711832</v>
      </c>
      <c r="Z144" s="11"/>
    </row>
    <row r="145">
      <c r="A145" s="8"/>
      <c r="B145" s="56">
        <f t="shared" si="2"/>
        <v>2</v>
      </c>
      <c r="C145" s="57" t="s">
        <v>11</v>
      </c>
      <c r="D145" s="10" t="b">
        <f>IFERROR(__xludf.DUMMYFUNCTION("IF(COUNTA(C145:C1673)=0,"""",IF(ISBLANK(C145),FALSE,IF(NOT(COUNTIF($AA$24:$AA$34,SUBSTITUTE(C145,""Sell_"",""""))),1,IF(REGEXMATCH(C145,""Sell_""),IF(COUNTIF(C$4:C145,SUBSTITUTE(C145,""Sell_"",""""))-COUNTIF(C$4:C144,C145)&lt;1,1),FALSE))))"),FALSE)</f>
        <v>0</v>
      </c>
      <c r="E145" s="59">
        <f t="array" ref="E145">IF(COUNTA(C145:C1673)=0,"",SUM((COUNTIF(C$4:C145,Upgrades!$B$3:$B$13)-COUNTIF(C$4:C145,"Sell_"&amp;Upgrades!$B$3:$B$13))*Upgrades!$D$3:$D$13))</f>
        <v>311171</v>
      </c>
      <c r="F145" s="66">
        <f>IFERROR(__xludf.DUMMYFUNCTION("IF(COUNTA(C145:C1673)=0,"""",IF(REGEXMATCH(INDEX(FILTER(C$4:C145,C$4:C145&lt;&gt;""""),ROWS(FILTER(C$4:C145,C$4:C145&lt;&gt;""""))),""^Sell_""),INDEX(FILTER(F$4:F144,C$4:C144&lt;&gt;""""),ROWS(FILTER(C$4:C144,C$4:C144&lt;&gt;""""))),$AC$5+E145))"),311186.0)</f>
        <v>311186</v>
      </c>
      <c r="G145" s="10">
        <f>IFERROR(__xludf.DUMMYFUNCTION("IF(COUNTA(C145:C1673)=0,"""",IF(C145="""",0,IF(REGEXMATCH(C145,""^Sell_""),-ROUNDDOWN(ROUNDUP(INDEX(Upgrades!$C$3:$C$13,MATCH(SUBSTITUTE(C145,""Sell_"",""""),Upgrades!$B$3:$B$13,0))*1.15^(COUNTIF(C$4:C144,SUBSTITUTE(C145,""Sell_"",""""))-COUNTIF(C$4:C144,"&amp;"""Sell_""&amp;SUBSTITUTE(C145,""Sell_"",""""))))/2),ROUNDUP(INDEX(Upgrades!$C$3:$C$13,MATCH(C145,Upgrades!$B$3:$B$13,0))*1.15^(COUNTIF(C$4:C144,C145)-COUNTIF(C$4:C144,""Sell_""&amp;C145))))))"),1.41975308E8)</f>
        <v>141975308</v>
      </c>
      <c r="H145" s="10">
        <f t="shared" si="3"/>
        <v>141975308</v>
      </c>
      <c r="I145" s="68">
        <f t="shared" si="4"/>
        <v>6335.688933</v>
      </c>
      <c r="J145" s="59" t="str">
        <f t="shared" si="5"/>
        <v>1h 45m 35s</v>
      </c>
      <c r="K145" s="69">
        <f t="shared" si="6"/>
        <v>366480667</v>
      </c>
      <c r="L145" s="60">
        <f t="shared" si="7"/>
        <v>-227.269</v>
      </c>
      <c r="M145" s="61">
        <f>IFERROR(__xludf.DUMMYFUNCTION("IFS(AND(COUNTA(C145:C1673)=0,COUNTA(Q145:Q1673)=0),"""",OR(AND(K145&gt;=1000000000,OR(Y145&gt;=1000000000,COUNTA(Q145:Q1673)=0)),OR(Y145&gt;=1000000000,AND(COUNTA(C145:C1673)=0,P$3=TRUE))),
ROUNDDOWN((AB$1-AC$1)*MAX(INDEX(T$4:T1673,MATCH(LARGE(FILTER(Y$4:Y1673,Y$4"&amp;":Y1673&lt;1000000000),1),Y$4:Y1673)),INDEX(F$4:F1673,MATCH(LARGE(FILTER(K$4:K1673,K$4:K1673&lt;1000000000),1),K$4:K1673)))),AND(K145&lt;1000000000,COUNTA(C145:C1673)&gt;0,P$3=FALSE),
ROUNDDOWN(INDEX(Y$4:Y1673,MATCH(LARGE(FILTER(W$4:W1673,W$4:W1673&lt;=I145),1),W$4:W1673"&amp;"))+(I145-LARGE(FILTER(W$4:W1673,W$4:W1673&lt;=I145),1))*INDEX(T$4:T1673,MATCH(LARGE(FILTER(W$4:W1673,W$4:W1673&lt;=I145),1),W$4:W1673))-K145),1,
ROUNDDOWN(Y145-INDEX(K$4:K1673,MATCH(LARGE(FILTER(I$4:I1673,I$4:I1673&lt;=W145),1),I$4:I1673))-(W145-LARGE(FILTER(I$4:I"&amp;"1673,I$4:I1673&lt;=W145),1))*INDEX(F$4:F1673,MATCH(LARGE(FILTER(I$4:I1673,I$4:I1673&lt;=W145),1),I$4:I1673))))"),6.7426098E7)</f>
        <v>67426098</v>
      </c>
      <c r="N145" s="60">
        <f t="shared" si="8"/>
        <v>-227.269</v>
      </c>
      <c r="O145" s="61" t="str">
        <f t="shared" si="9"/>
        <v>67,4M</v>
      </c>
      <c r="P145" s="56">
        <f t="shared" si="10"/>
        <v>11</v>
      </c>
      <c r="Q145" s="67" t="s">
        <v>8</v>
      </c>
      <c r="R145" s="10" t="b">
        <f>IFERROR(__xludf.DUMMYFUNCTION("IF(COUNTA(Q145:Q1673)=0,"""",IF(ISBLANK(Q145),FALSE,IF(NOT(COUNTIF($AA$24:$AA$34,SUBSTITUTE(Q145,""Sell_"",""""))),1,IF(REGEXMATCH(Q145,""Sell_""),IF(COUNTIF(Q$4:Q145,SUBSTITUTE(Q145,""Sell_"",""""))-COUNTIF(Q$4:Q144,Q145)&lt;1,1),FALSE))))"),FALSE)</f>
        <v>0</v>
      </c>
      <c r="S145" s="59">
        <f t="array" ref="S145">IF(COUNTA(Q145:Q1673)=0,"",SUM((COUNTIF(Q$4:Q145,Upgrades!$B$3:$B$13)-COUNTIF(Q$4:Q145,"Sell_"&amp;Upgrades!$B$3:$B$13))*Upgrades!$D$3:$D$13))</f>
        <v>92133.2</v>
      </c>
      <c r="T145" s="66">
        <f>IFERROR(__xludf.DUMMYFUNCTION("IF(COUNTA(Q145:Q1673)=0,"""",IF(REGEXMATCH(INDEX(FILTER(Q$4:Q145,Q$4:Q145&lt;&gt;""""),ROWS(FILTER(Q$4:Q145,Q$4:Q145&lt;&gt;""""))),""^Sell_""),INDEX(FILTER(T$4:T144,Q$4:Q144&lt;&gt;""""),ROWS(FILTER(Q$4:Q144,Q$4:Q144&lt;&gt;""""))),$AD$5+S145))"),92148.2)</f>
        <v>92148.2</v>
      </c>
      <c r="U145" s="10">
        <f>IFERROR(__xludf.DUMMYFUNCTION("IF(COUNTA(Q145:Q1673)=0,"""",IF(Q145="""",0,IF(REGEXMATCH(Q145,""^Sell_""),-ROUNDDOWN(ROUNDUP(INDEX(Upgrades!$C$3:$C$13,MATCH(SUBSTITUTE(Q145,""Sell_"",""""),Upgrades!$B$3:$B$13,0))*1.15^(COUNTIF(Q$4:Q144,SUBSTITUTE(Q145,""Sell_"",""""))-COUNTIF(Q$4:Q144,"&amp;"""Sell_""&amp;SUBSTITUTE(Q145,""Sell_"",""""))))/2),ROUNDUP(INDEX(Upgrades!$C$3:$C$13,MATCH(Q145,Upgrades!$B$3:$B$13,0))*1.15^(COUNTIF(Q$4:Q144,Q145)-COUNTIF(Q$4:Q144,""Sell_""&amp;Q145))))))"),161823.0)</f>
        <v>161823</v>
      </c>
      <c r="V145" s="10">
        <f t="shared" si="11"/>
        <v>161823</v>
      </c>
      <c r="W145" s="68">
        <f t="shared" si="12"/>
        <v>4092.034566</v>
      </c>
      <c r="X145" s="59" t="str">
        <f t="shared" si="13"/>
        <v>1h 08m 12s</v>
      </c>
      <c r="Y145" s="69">
        <f t="shared" si="14"/>
        <v>62873655</v>
      </c>
      <c r="Z145" s="11"/>
    </row>
    <row r="146">
      <c r="A146" s="8"/>
      <c r="B146" s="56">
        <f t="shared" si="2"/>
        <v>3</v>
      </c>
      <c r="C146" s="57" t="s">
        <v>11</v>
      </c>
      <c r="D146" s="10" t="b">
        <f>IFERROR(__xludf.DUMMYFUNCTION("IF(COUNTA(C146:C1673)=0,"""",IF(ISBLANK(C146),FALSE,IF(NOT(COUNTIF($AA$24:$AA$34,SUBSTITUTE(C146,""Sell_"",""""))),1,IF(REGEXMATCH(C146,""Sell_""),IF(COUNTIF(C$4:C146,SUBSTITUTE(C146,""Sell_"",""""))-COUNTIF(C$4:C145,C146)&lt;1,1),FALSE))))"),FALSE)</f>
        <v>0</v>
      </c>
      <c r="E146" s="59">
        <f t="array" ref="E146">IF(COUNTA(C146:C1673)=0,"",SUM((COUNTIF(C$4:C146,Upgrades!$B$3:$B$13)-COUNTIF(C$4:C146,"Sell_"&amp;Upgrades!$B$3:$B$13))*Upgrades!$D$3:$D$13))</f>
        <v>409936</v>
      </c>
      <c r="F146" s="66">
        <f>IFERROR(__xludf.DUMMYFUNCTION("IF(COUNTA(C146:C1673)=0,"""",IF(REGEXMATCH(INDEX(FILTER(C$4:C146,C$4:C146&lt;&gt;""""),ROWS(FILTER(C$4:C146,C$4:C146&lt;&gt;""""))),""^Sell_""),INDEX(FILTER(F$4:F145,C$4:C145&lt;&gt;""""),ROWS(FILTER(C$4:C145,C$4:C145&lt;&gt;""""))),$AC$5+E146))"),409951.0)</f>
        <v>409951</v>
      </c>
      <c r="G146" s="10">
        <f>IFERROR(__xludf.DUMMYFUNCTION("IF(COUNTA(C146:C1673)=0,"""",IF(C146="""",0,IF(REGEXMATCH(C146,""^Sell_""),-ROUNDDOWN(ROUNDUP(INDEX(Upgrades!$C$3:$C$13,MATCH(SUBSTITUTE(C146,""Sell_"",""""),Upgrades!$B$3:$B$13,0))*1.15^(COUNTIF(C$4:C145,SUBSTITUTE(C146,""Sell_"",""""))-COUNTIF(C$4:C145,"&amp;"""Sell_""&amp;SUBSTITUTE(C146,""Sell_"",""""))))/2),ROUNDUP(INDEX(Upgrades!$C$3:$C$13,MATCH(C146,Upgrades!$B$3:$B$13,0))*1.15^(COUNTIF(C$4:C145,C146)-COUNTIF(C$4:C145,""Sell_""&amp;C146))))))"),1.63271604E8)</f>
        <v>163271604</v>
      </c>
      <c r="H146" s="10">
        <f t="shared" si="3"/>
        <v>163271604</v>
      </c>
      <c r="I146" s="68">
        <f t="shared" si="4"/>
        <v>6860.36422</v>
      </c>
      <c r="J146" s="59" t="str">
        <f t="shared" si="5"/>
        <v>1h 54m 20s</v>
      </c>
      <c r="K146" s="69">
        <f t="shared" si="6"/>
        <v>529752271</v>
      </c>
      <c r="L146" s="60">
        <f t="shared" si="7"/>
        <v>-216.27817</v>
      </c>
      <c r="M146" s="61">
        <f>IFERROR(__xludf.DUMMYFUNCTION("IFS(AND(COUNTA(C146:C1673)=0,COUNTA(Q146:Q1673)=0),"""",OR(AND(K146&gt;=1000000000,OR(Y146&gt;=1000000000,COUNTA(Q146:Q1673)=0)),OR(Y146&gt;=1000000000,AND(COUNTA(C146:C1673)=0,P$3=TRUE))),
ROUNDDOWN((AB$1-AC$1)*MAX(INDEX(T$4:T1673,MATCH(LARGE(FILTER(Y$4:Y1673,Y$4"&amp;":Y1673&lt;1000000000),1),Y$4:Y1673)),INDEX(F$4:F1673,MATCH(LARGE(FILTER(K$4:K1673,K$4:K1673&lt;1000000000),1),K$4:K1673)))),AND(K146&lt;1000000000,COUNTA(C146:C1673)&gt;0,P$3=FALSE),
ROUNDDOWN(INDEX(Y$4:Y1673,MATCH(LARGE(FILTER(W$4:W1673,W$4:W1673&lt;=I146),1),W$4:W1673"&amp;"))+(I146-LARGE(FILTER(W$4:W1673,W$4:W1673&lt;=I146),1))*INDEX(T$4:T1673,MATCH(LARGE(FILTER(W$4:W1673,W$4:W1673&lt;=I146),1),W$4:W1673))-K146),1,
ROUNDDOWN(Y146-INDEX(K$4:K1673,MATCH(LARGE(FILTER(I$4:I1673,I$4:I1673&lt;=W146),1),I$4:I1673))-(W146-LARGE(FILTER(I$4:I"&amp;"1673,I$4:I1673&lt;=W146),1))*INDEX(F$4:F1673,MATCH(LARGE(FILTER(I$4:I1673,I$4:I1673&lt;=W146),1),I$4:I1673))))"),7.2104979E7)</f>
        <v>72104979</v>
      </c>
      <c r="N146" s="60">
        <f t="shared" si="8"/>
        <v>-216.27817</v>
      </c>
      <c r="O146" s="61" t="str">
        <f t="shared" si="9"/>
        <v>72,1M</v>
      </c>
      <c r="P146" s="56">
        <f t="shared" si="10"/>
        <v>18</v>
      </c>
      <c r="Q146" s="67" t="s">
        <v>3</v>
      </c>
      <c r="R146" s="10" t="b">
        <f>IFERROR(__xludf.DUMMYFUNCTION("IF(COUNTA(Q146:Q1673)=0,"""",IF(ISBLANK(Q146),FALSE,IF(NOT(COUNTIF($AA$24:$AA$34,SUBSTITUTE(Q146,""Sell_"",""""))),1,IF(REGEXMATCH(Q146,""Sell_""),IF(COUNTIF(Q$4:Q146,SUBSTITUTE(Q146,""Sell_"",""""))-COUNTIF(Q$4:Q145,Q146)&lt;1,1),FALSE))))"),FALSE)</f>
        <v>0</v>
      </c>
      <c r="S146" s="59">
        <f t="array" ref="S146">IF(COUNTA(Q146:Q1673)=0,"",SUM((COUNTIF(Q$4:Q146,Upgrades!$B$3:$B$13)-COUNTIF(Q$4:Q146,"Sell_"&amp;Upgrades!$B$3:$B$13))*Upgrades!$D$3:$D$13))</f>
        <v>92133.3</v>
      </c>
      <c r="T146" s="66">
        <f>IFERROR(__xludf.DUMMYFUNCTION("IF(COUNTA(Q146:Q1673)=0,"""",IF(REGEXMATCH(INDEX(FILTER(Q$4:Q146,Q$4:Q146&lt;&gt;""""),ROWS(FILTER(Q$4:Q146,Q$4:Q146&lt;&gt;""""))),""^Sell_""),INDEX(FILTER(T$4:T145,Q$4:Q145&lt;&gt;""""),ROWS(FILTER(Q$4:Q145,Q$4:Q145&lt;&gt;""""))),$AD$5+S146))"),92148.3)</f>
        <v>92148.3</v>
      </c>
      <c r="U146" s="10">
        <f>IFERROR(__xludf.DUMMYFUNCTION("IF(COUNTA(Q146:Q1673)=0,"""",IF(Q146="""",0,IF(REGEXMATCH(Q146,""^Sell_""),-ROUNDDOWN(ROUNDUP(INDEX(Upgrades!$C$3:$C$13,MATCH(SUBSTITUTE(Q146,""Sell_"",""""),Upgrades!$B$3:$B$13,0))*1.15^(COUNTIF(Q$4:Q145,SUBSTITUTE(Q146,""Sell_"",""""))-COUNTIF(Q$4:Q145,"&amp;"""Sell_""&amp;SUBSTITUTE(Q146,""Sell_"",""""))))/2),ROUNDUP(INDEX(Upgrades!$C$3:$C$13,MATCH(Q146,Upgrades!$B$3:$B$13,0))*1.15^(COUNTIF(Q$4:Q145,Q146)-COUNTIF(Q$4:Q145,""Sell_""&amp;Q146))))))"),162.0)</f>
        <v>162</v>
      </c>
      <c r="V146" s="10">
        <f t="shared" si="11"/>
        <v>162</v>
      </c>
      <c r="W146" s="68">
        <f t="shared" si="12"/>
        <v>4092.036324</v>
      </c>
      <c r="X146" s="59" t="str">
        <f t="shared" si="13"/>
        <v>1h 08m 12s</v>
      </c>
      <c r="Y146" s="69">
        <f t="shared" si="14"/>
        <v>62873817</v>
      </c>
      <c r="Z146" s="11"/>
    </row>
    <row r="147">
      <c r="A147" s="8"/>
      <c r="B147" s="56">
        <f t="shared" si="2"/>
        <v>17</v>
      </c>
      <c r="C147" s="57" t="s">
        <v>7</v>
      </c>
      <c r="D147" s="10" t="b">
        <f>IFERROR(__xludf.DUMMYFUNCTION("IF(COUNTA(C147:C1673)=0,"""",IF(ISBLANK(C147),FALSE,IF(NOT(COUNTIF($AA$24:$AA$34,SUBSTITUTE(C147,""Sell_"",""""))),1,IF(REGEXMATCH(C147,""Sell_""),IF(COUNTIF(C$4:C147,SUBSTITUTE(C147,""Sell_"",""""))-COUNTIF(C$4:C146,C147)&lt;1,1),FALSE))))"),FALSE)</f>
        <v>0</v>
      </c>
      <c r="E147" s="59">
        <f t="array" ref="E147">IF(COUNTA(C147:C1673)=0,"",SUM((COUNTIF(C$4:C147,Upgrades!$B$3:$B$13)-COUNTIF(C$4:C147,"Sell_"&amp;Upgrades!$B$3:$B$13))*Upgrades!$D$3:$D$13))</f>
        <v>409976</v>
      </c>
      <c r="F147" s="66">
        <f>IFERROR(__xludf.DUMMYFUNCTION("IF(COUNTA(C147:C1673)=0,"""",IF(REGEXMATCH(INDEX(FILTER(C$4:C147,C$4:C147&lt;&gt;""""),ROWS(FILTER(C$4:C147,C$4:C147&lt;&gt;""""))),""^Sell_""),INDEX(FILTER(F$4:F146,C$4:C146&lt;&gt;""""),ROWS(FILTER(C$4:C146,C$4:C146&lt;&gt;""""))),$AC$5+E147))"),409991.0)</f>
        <v>409991</v>
      </c>
      <c r="G147" s="10">
        <f>IFERROR(__xludf.DUMMYFUNCTION("IF(COUNTA(C147:C1673)=0,"""",IF(C147="""",0,IF(REGEXMATCH(C147,""^Sell_""),-ROUNDDOWN(ROUNDUP(INDEX(Upgrades!$C$3:$C$13,MATCH(SUBSTITUTE(C147,""Sell_"",""""),Upgrades!$B$3:$B$13,0))*1.15^(COUNTIF(C$4:C146,SUBSTITUTE(C147,""Sell_"",""""))-COUNTIF(C$4:C146,"&amp;"""Sell_""&amp;SUBSTITUTE(C147,""Sell_"",""""))))/2),ROUNDUP(INDEX(Upgrades!$C$3:$C$13,MATCH(C147,Upgrades!$B$3:$B$13,0))*1.15^(COUNTIF(C$4:C146,C147)-COUNTIF(C$4:C146,""Sell_""&amp;C147))))))"),93577.0)</f>
        <v>93577</v>
      </c>
      <c r="H147" s="10">
        <f t="shared" si="3"/>
        <v>93577</v>
      </c>
      <c r="I147" s="68">
        <f t="shared" si="4"/>
        <v>6860.592484</v>
      </c>
      <c r="J147" s="59" t="str">
        <f t="shared" si="5"/>
        <v>1h 54m 20s</v>
      </c>
      <c r="K147" s="69">
        <f t="shared" si="6"/>
        <v>529845848</v>
      </c>
      <c r="L147" s="60">
        <f t="shared" si="7"/>
        <v>-216.20533</v>
      </c>
      <c r="M147" s="61">
        <f>IFERROR(__xludf.DUMMYFUNCTION("IFS(AND(COUNTA(C147:C1673)=0,COUNTA(Q147:Q1673)=0),"""",OR(AND(K147&gt;=1000000000,OR(Y147&gt;=1000000000,COUNTA(Q147:Q1673)=0)),OR(Y147&gt;=1000000000,AND(COUNTA(C147:C1673)=0,P$3=TRUE))),
ROUNDDOWN((AB$1-AC$1)*MAX(INDEX(T$4:T1673,MATCH(LARGE(FILTER(Y$4:Y1673,Y$4"&amp;":Y1673&lt;1000000000),1),Y$4:Y1673)),INDEX(F$4:F1673,MATCH(LARGE(FILTER(K$4:K1673,K$4:K1673&lt;1000000000),1),K$4:K1673)))),AND(K147&lt;1000000000,COUNTA(C147:C1673)&gt;0,P$3=FALSE),
ROUNDDOWN(INDEX(Y$4:Y1673,MATCH(LARGE(FILTER(W$4:W1673,W$4:W1673&lt;=I147),1),W$4:W1673"&amp;"))+(I147-LARGE(FILTER(W$4:W1673,W$4:W1673&lt;=I147),1))*INDEX(T$4:T1673,MATCH(LARGE(FILTER(W$4:W1673,W$4:W1673&lt;=I147),1),W$4:W1673))-K147),1,
ROUNDDOWN(Y147-INDEX(K$4:K1673,MATCH(LARGE(FILTER(I$4:I1673,I$4:I1673&lt;=W147),1),I$4:I1673))-(W147-LARGE(FILTER(I$4:I"&amp;"1673,I$4:I1673&lt;=W147),1))*INDEX(F$4:F1673,MATCH(LARGE(FILTER(I$4:I1673,I$4:I1673&lt;=W147),1),I$4:I1673))))"),7.2106637E7)</f>
        <v>72106637</v>
      </c>
      <c r="N147" s="60">
        <f t="shared" si="8"/>
        <v>-216.20533</v>
      </c>
      <c r="O147" s="61" t="str">
        <f t="shared" si="9"/>
        <v>72,1M</v>
      </c>
      <c r="P147" s="56">
        <f t="shared" si="10"/>
        <v>16</v>
      </c>
      <c r="Q147" s="67" t="s">
        <v>4</v>
      </c>
      <c r="R147" s="10" t="b">
        <f>IFERROR(__xludf.DUMMYFUNCTION("IF(COUNTA(Q147:Q1673)=0,"""",IF(ISBLANK(Q147),FALSE,IF(NOT(COUNTIF($AA$24:$AA$34,SUBSTITUTE(Q147,""Sell_"",""""))),1,IF(REGEXMATCH(Q147,""Sell_""),IF(COUNTIF(Q$4:Q147,SUBSTITUTE(Q147,""Sell_"",""""))-COUNTIF(Q$4:Q146,Q147)&lt;1,1),FALSE))))"),FALSE)</f>
        <v>0</v>
      </c>
      <c r="S147" s="59">
        <f t="array" ref="S147">IF(COUNTA(Q147:Q1673)=0,"",SUM((COUNTIF(Q$4:Q147,Upgrades!$B$3:$B$13)-COUNTIF(Q$4:Q147,"Sell_"&amp;Upgrades!$B$3:$B$13))*Upgrades!$D$3:$D$13))</f>
        <v>92133.8</v>
      </c>
      <c r="T147" s="66">
        <f>IFERROR(__xludf.DUMMYFUNCTION("IF(COUNTA(Q147:Q1673)=0,"""",IF(REGEXMATCH(INDEX(FILTER(Q$4:Q147,Q$4:Q147&lt;&gt;""""),ROWS(FILTER(Q$4:Q147,Q$4:Q147&lt;&gt;""""))),""^Sell_""),INDEX(FILTER(T$4:T146,Q$4:Q146&lt;&gt;""""),ROWS(FILTER(Q$4:Q146,Q$4:Q146&lt;&gt;""""))),$AD$5+S147))"),92148.8)</f>
        <v>92148.8</v>
      </c>
      <c r="U147" s="10">
        <f>IFERROR(__xludf.DUMMYFUNCTION("IF(COUNTA(Q147:Q1673)=0,"""",IF(Q147="""",0,IF(REGEXMATCH(Q147,""^Sell_""),-ROUNDDOWN(ROUNDUP(INDEX(Upgrades!$C$3:$C$13,MATCH(SUBSTITUTE(Q147,""Sell_"",""""),Upgrades!$B$3:$B$13,0))*1.15^(COUNTIF(Q$4:Q146,SUBSTITUTE(Q147,""Sell_"",""""))-COUNTIF(Q$4:Q146,"&amp;"""Sell_""&amp;SUBSTITUTE(Q147,""Sell_"",""""))))/2),ROUNDUP(INDEX(Upgrades!$C$3:$C$13,MATCH(Q147,Upgrades!$B$3:$B$13,0))*1.15^(COUNTIF(Q$4:Q146,Q147)-COUNTIF(Q$4:Q146,""Sell_""&amp;Q147))))))"),814.0)</f>
        <v>814</v>
      </c>
      <c r="V147" s="10">
        <f t="shared" si="11"/>
        <v>814</v>
      </c>
      <c r="W147" s="68">
        <f t="shared" si="12"/>
        <v>4092.045158</v>
      </c>
      <c r="X147" s="59" t="str">
        <f t="shared" si="13"/>
        <v>1h 08m 12s</v>
      </c>
      <c r="Y147" s="69">
        <f t="shared" si="14"/>
        <v>62874631</v>
      </c>
      <c r="Z147" s="11"/>
    </row>
    <row r="148">
      <c r="A148" s="8"/>
      <c r="B148" s="56">
        <f t="shared" si="2"/>
        <v>22</v>
      </c>
      <c r="C148" s="57" t="s">
        <v>5</v>
      </c>
      <c r="D148" s="10" t="b">
        <f>IFERROR(__xludf.DUMMYFUNCTION("IF(COUNTA(C148:C1673)=0,"""",IF(ISBLANK(C148),FALSE,IF(NOT(COUNTIF($AA$24:$AA$34,SUBSTITUTE(C148,""Sell_"",""""))),1,IF(REGEXMATCH(C148,""Sell_""),IF(COUNTIF(C$4:C148,SUBSTITUTE(C148,""Sell_"",""""))-COUNTIF(C$4:C147,C148)&lt;1,1),FALSE))))"),FALSE)</f>
        <v>0</v>
      </c>
      <c r="E148" s="59">
        <f t="array" ref="E148">IF(COUNTA(C148:C1673)=0,"",SUM((COUNTIF(C$4:C148,Upgrades!$B$3:$B$13)-COUNTIF(C$4:C148,"Sell_"&amp;Upgrades!$B$3:$B$13))*Upgrades!$D$3:$D$13))</f>
        <v>409980</v>
      </c>
      <c r="F148" s="66">
        <f>IFERROR(__xludf.DUMMYFUNCTION("IF(COUNTA(C148:C1673)=0,"""",IF(REGEXMATCH(INDEX(FILTER(C$4:C148,C$4:C148&lt;&gt;""""),ROWS(FILTER(C$4:C148,C$4:C148&lt;&gt;""""))),""^Sell_""),INDEX(FILTER(F$4:F147,C$4:C147&lt;&gt;""""),ROWS(FILTER(C$4:C147,C$4:C147&lt;&gt;""""))),$AC$5+E148))"),409995.0)</f>
        <v>409995</v>
      </c>
      <c r="G148" s="10">
        <f>IFERROR(__xludf.DUMMYFUNCTION("IF(COUNTA(C148:C1673)=0,"""",IF(C148="""",0,IF(REGEXMATCH(C148,""^Sell_""),-ROUNDDOWN(ROUNDUP(INDEX(Upgrades!$C$3:$C$13,MATCH(SUBSTITUTE(C148,""Sell_"",""""),Upgrades!$B$3:$B$13,0))*1.15^(COUNTIF(C$4:C147,SUBSTITUTE(C148,""Sell_"",""""))-COUNTIF(C$4:C147,"&amp;"""Sell_""&amp;SUBSTITUTE(C148,""Sell_"",""""))))/2),ROUNDUP(INDEX(Upgrades!$C$3:$C$13,MATCH(C148,Upgrades!$B$3:$B$13,0))*1.15^(COUNTIF(C$4:C147,C148)-COUNTIF(C$4:C147,""Sell_""&amp;C148))))))"),9411.0)</f>
        <v>9411</v>
      </c>
      <c r="H148" s="10">
        <f t="shared" si="3"/>
        <v>9411</v>
      </c>
      <c r="I148" s="68">
        <f t="shared" si="4"/>
        <v>6860.615438</v>
      </c>
      <c r="J148" s="59" t="str">
        <f t="shared" si="5"/>
        <v>1h 54m 20s</v>
      </c>
      <c r="K148" s="69">
        <f t="shared" si="6"/>
        <v>529855259</v>
      </c>
      <c r="L148" s="60">
        <f t="shared" si="7"/>
        <v>-216.19801</v>
      </c>
      <c r="M148" s="61">
        <f>IFERROR(__xludf.DUMMYFUNCTION("IFS(AND(COUNTA(C148:C1673)=0,COUNTA(Q148:Q1673)=0),"""",OR(AND(K148&gt;=1000000000,OR(Y148&gt;=1000000000,COUNTA(Q148:Q1673)=0)),OR(Y148&gt;=1000000000,AND(COUNTA(C148:C1673)=0,P$3=TRUE))),
ROUNDDOWN((AB$1-AC$1)*MAX(INDEX(T$4:T1673,MATCH(LARGE(FILTER(Y$4:Y1673,Y$4"&amp;":Y1673&lt;1000000000),1),Y$4:Y1673)),INDEX(F$4:F1673,MATCH(LARGE(FILTER(K$4:K1673,K$4:K1673&lt;1000000000),1),K$4:K1673)))),AND(K148&lt;1000000000,COUNTA(C148:C1673)&gt;0,P$3=FALSE),
ROUNDDOWN(INDEX(Y$4:Y1673,MATCH(LARGE(FILTER(W$4:W1673,W$4:W1673&lt;=I148),1),W$4:W1673"&amp;"))+(I148-LARGE(FILTER(W$4:W1673,W$4:W1673&lt;=I148),1))*INDEX(T$4:T1673,MATCH(LARGE(FILTER(W$4:W1673,W$4:W1673&lt;=I148),1),W$4:W1673))-K148),1,
ROUNDDOWN(Y148-INDEX(K$4:K1673,MATCH(LARGE(FILTER(I$4:I1673,I$4:I1673&lt;=W148),1),I$4:I1673))-(W148-LARGE(FILTER(I$4:I"&amp;"1673,I$4:I1673&lt;=W148),1))*INDEX(F$4:F1673,MATCH(LARGE(FILTER(I$4:I1673,I$4:I1673&lt;=W148),1),I$4:I1673))))"),7.2106803E7)</f>
        <v>72106803</v>
      </c>
      <c r="N148" s="60">
        <f t="shared" si="8"/>
        <v>-216.19801</v>
      </c>
      <c r="O148" s="61" t="str">
        <f t="shared" si="9"/>
        <v>72,1M</v>
      </c>
      <c r="P148" s="56">
        <f t="shared" si="10"/>
        <v>14</v>
      </c>
      <c r="Q148" s="67" t="s">
        <v>10</v>
      </c>
      <c r="R148" s="10" t="b">
        <f>IFERROR(__xludf.DUMMYFUNCTION("IF(COUNTA(Q148:Q1673)=0,"""",IF(ISBLANK(Q148),FALSE,IF(NOT(COUNTIF($AA$24:$AA$34,SUBSTITUTE(Q148,""Sell_"",""""))),1,IF(REGEXMATCH(Q148,""Sell_""),IF(COUNTIF(Q$4:Q148,SUBSTITUTE(Q148,""Sell_"",""""))-COUNTIF(Q$4:Q147,Q148)&lt;1,1),FALSE))))"),FALSE)</f>
        <v>0</v>
      </c>
      <c r="S148" s="59">
        <f t="array" ref="S148">IF(COUNTA(Q148:Q1673)=0,"",SUM((COUNTIF(Q$4:Q148,Upgrades!$B$3:$B$13)-COUNTIF(Q$4:Q148,"Sell_"&amp;Upgrades!$B$3:$B$13))*Upgrades!$D$3:$D$13))</f>
        <v>98799.8</v>
      </c>
      <c r="T148" s="66">
        <f>IFERROR(__xludf.DUMMYFUNCTION("IF(COUNTA(Q148:Q1673)=0,"""",IF(REGEXMATCH(INDEX(FILTER(Q$4:Q148,Q$4:Q148&lt;&gt;""""),ROWS(FILTER(Q$4:Q148,Q$4:Q148&lt;&gt;""""))),""^Sell_""),INDEX(FILTER(T$4:T147,Q$4:Q147&lt;&gt;""""),ROWS(FILTER(Q$4:Q147,Q$4:Q147&lt;&gt;""""))),$AD$5+S148))"),98814.8)</f>
        <v>98814.8</v>
      </c>
      <c r="U148" s="10">
        <f>IFERROR(__xludf.DUMMYFUNCTION("IF(COUNTA(Q148:Q1673)=0,"""",IF(Q148="""",0,IF(REGEXMATCH(Q148,""^Sell_""),-ROUNDDOWN(ROUNDUP(INDEX(Upgrades!$C$3:$C$13,MATCH(SUBSTITUTE(Q148,""Sell_"",""""),Upgrades!$B$3:$B$13,0))*1.15^(COUNTIF(Q$4:Q147,SUBSTITUTE(Q148,""Sell_"",""""))-COUNTIF(Q$4:Q147,"&amp;"""Sell_""&amp;SUBSTITUTE(Q148,""Sell_"",""""))))/2),ROUNDUP(INDEX(Upgrades!$C$3:$C$13,MATCH(Q148,Upgrades!$B$3:$B$13,0))*1.15^(COUNTIF(Q$4:Q147,Q148)-COUNTIF(Q$4:Q147,""Sell_""&amp;Q148))))))"),1.0254642E7)</f>
        <v>10254642</v>
      </c>
      <c r="V148" s="10">
        <f t="shared" si="11"/>
        <v>10254642</v>
      </c>
      <c r="W148" s="68">
        <f t="shared" si="12"/>
        <v>4203.328669</v>
      </c>
      <c r="X148" s="59" t="str">
        <f t="shared" si="13"/>
        <v>1h 10m 03s</v>
      </c>
      <c r="Y148" s="69">
        <f t="shared" si="14"/>
        <v>73129273</v>
      </c>
      <c r="Z148" s="11"/>
    </row>
    <row r="149">
      <c r="A149" s="8"/>
      <c r="B149" s="56">
        <f t="shared" si="2"/>
        <v>4</v>
      </c>
      <c r="C149" s="57" t="s">
        <v>11</v>
      </c>
      <c r="D149" s="10" t="b">
        <f>IFERROR(__xludf.DUMMYFUNCTION("IF(COUNTA(C149:C1673)=0,"""",IF(ISBLANK(C149),FALSE,IF(NOT(COUNTIF($AA$24:$AA$34,SUBSTITUTE(C149,""Sell_"",""""))),1,IF(REGEXMATCH(C149,""Sell_""),IF(COUNTIF(C$4:C149,SUBSTITUTE(C149,""Sell_"",""""))-COUNTIF(C$4:C148,C149)&lt;1,1),FALSE))))"),FALSE)</f>
        <v>0</v>
      </c>
      <c r="E149" s="59">
        <f t="array" ref="E149">IF(COUNTA(C149:C1673)=0,"",SUM((COUNTIF(C$4:C149,Upgrades!$B$3:$B$13)-COUNTIF(C$4:C149,"Sell_"&amp;Upgrades!$B$3:$B$13))*Upgrades!$D$3:$D$13))</f>
        <v>508745</v>
      </c>
      <c r="F149" s="66">
        <f>IFERROR(__xludf.DUMMYFUNCTION("IF(COUNTA(C149:C1673)=0,"""",IF(REGEXMATCH(INDEX(FILTER(C$4:C149,C$4:C149&lt;&gt;""""),ROWS(FILTER(C$4:C149,C$4:C149&lt;&gt;""""))),""^Sell_""),INDEX(FILTER(F$4:F148,C$4:C148&lt;&gt;""""),ROWS(FILTER(C$4:C148,C$4:C148&lt;&gt;""""))),$AC$5+E149))"),508760.0)</f>
        <v>508760</v>
      </c>
      <c r="G149" s="10">
        <f>IFERROR(__xludf.DUMMYFUNCTION("IF(COUNTA(C149:C1673)=0,"""",IF(C149="""",0,IF(REGEXMATCH(C149,""^Sell_""),-ROUNDDOWN(ROUNDUP(INDEX(Upgrades!$C$3:$C$13,MATCH(SUBSTITUTE(C149,""Sell_"",""""),Upgrades!$B$3:$B$13,0))*1.15^(COUNTIF(C$4:C148,SUBSTITUTE(C149,""Sell_"",""""))-COUNTIF(C$4:C148,"&amp;"""Sell_""&amp;SUBSTITUTE(C149,""Sell_"",""""))))/2),ROUNDUP(INDEX(Upgrades!$C$3:$C$13,MATCH(C149,Upgrades!$B$3:$B$13,0))*1.15^(COUNTIF(C$4:C148,C149)-COUNTIF(C$4:C148,""Sell_""&amp;C149))))))"),1.87762344E8)</f>
        <v>187762344</v>
      </c>
      <c r="H149" s="10">
        <f t="shared" si="3"/>
        <v>187762344</v>
      </c>
      <c r="I149" s="68">
        <f t="shared" si="4"/>
        <v>7318.57796</v>
      </c>
      <c r="J149" s="59" t="str">
        <f t="shared" si="5"/>
        <v>2h 01m 58s</v>
      </c>
      <c r="K149" s="69">
        <f t="shared" si="6"/>
        <v>717617603</v>
      </c>
      <c r="L149" s="60">
        <f t="shared" si="7"/>
        <v>-189.72127</v>
      </c>
      <c r="M149" s="61">
        <f>IFERROR(__xludf.DUMMYFUNCTION("IFS(AND(COUNTA(C149:C1673)=0,COUNTA(Q149:Q1673)=0),"""",OR(AND(K149&gt;=1000000000,OR(Y149&gt;=1000000000,COUNTA(Q149:Q1673)=0)),OR(Y149&gt;=1000000000,AND(COUNTA(C149:C1673)=0,P$3=TRUE))),
ROUNDDOWN((AB$1-AC$1)*MAX(INDEX(T$4:T1673,MATCH(LARGE(FILTER(Y$4:Y1673,Y$4"&amp;":Y1673&lt;1000000000),1),Y$4:Y1673)),INDEX(F$4:F1673,MATCH(LARGE(FILTER(K$4:K1673,K$4:K1673&lt;1000000000),1),K$4:K1673)))),AND(K149&lt;1000000000,COUNTA(C149:C1673)&gt;0,P$3=FALSE),
ROUNDDOWN(INDEX(Y$4:Y1673,MATCH(LARGE(FILTER(W$4:W1673,W$4:W1673&lt;=I149),1),W$4:W1673"&amp;"))+(I149-LARGE(FILTER(W$4:W1673,W$4:W1673&lt;=I149),1))*INDEX(T$4:T1673,MATCH(LARGE(FILTER(W$4:W1673,W$4:W1673&lt;=I149),1),W$4:W1673))-K149),1,
ROUNDDOWN(Y149-INDEX(K$4:K1673,MATCH(LARGE(FILTER(I$4:I1673,I$4:I1673&lt;=W149),1),I$4:I1673))-(W149-LARGE(FILTER(I$4:I"&amp;"1673,I$4:I1673&lt;=W149),1))*INDEX(F$4:F1673,MATCH(LARGE(FILTER(I$4:I1673,I$4:I1673&lt;=W149),1),I$4:I1673))))"),8.3180145E7)</f>
        <v>83180145</v>
      </c>
      <c r="N149" s="60">
        <f t="shared" si="8"/>
        <v>-189.72127</v>
      </c>
      <c r="O149" s="61" t="str">
        <f t="shared" si="9"/>
        <v>83,2M</v>
      </c>
      <c r="P149" s="56">
        <f t="shared" si="10"/>
        <v>10</v>
      </c>
      <c r="Q149" s="67" t="s">
        <v>9</v>
      </c>
      <c r="R149" s="10" t="b">
        <f>IFERROR(__xludf.DUMMYFUNCTION("IF(COUNTA(Q149:Q1673)=0,"""",IF(ISBLANK(Q149),FALSE,IF(NOT(COUNTIF($AA$24:$AA$34,SUBSTITUTE(Q149,""Sell_"",""""))),1,IF(REGEXMATCH(Q149,""Sell_""),IF(COUNTIF(Q$4:Q149,SUBSTITUTE(Q149,""Sell_"",""""))-COUNTIF(Q$4:Q148,Q149)&lt;1,1),FALSE))))"),FALSE)</f>
        <v>0</v>
      </c>
      <c r="S149" s="59">
        <f t="array" ref="S149">IF(COUNTA(Q149:Q1673)=0,"",SUM((COUNTIF(Q$4:Q149,Upgrades!$B$3:$B$13)-COUNTIF(Q$4:Q149,"Sell_"&amp;Upgrades!$B$3:$B$13))*Upgrades!$D$3:$D$13))</f>
        <v>99199.8</v>
      </c>
      <c r="T149" s="66">
        <f>IFERROR(__xludf.DUMMYFUNCTION("IF(COUNTA(Q149:Q1673)=0,"""",IF(REGEXMATCH(INDEX(FILTER(Q$4:Q149,Q$4:Q149&lt;&gt;""""),ROWS(FILTER(Q$4:Q149,Q$4:Q149&lt;&gt;""""))),""^Sell_""),INDEX(FILTER(T$4:T148,Q$4:Q148&lt;&gt;""""),ROWS(FILTER(Q$4:Q148,Q$4:Q148&lt;&gt;""""))),$AD$5+S149))"),99214.8)</f>
        <v>99214.8</v>
      </c>
      <c r="U149" s="10">
        <f>IFERROR(__xludf.DUMMYFUNCTION("IF(COUNTA(Q149:Q1673)=0,"""",IF(Q149="""",0,IF(REGEXMATCH(Q149,""^Sell_""),-ROUNDDOWN(ROUNDUP(INDEX(Upgrades!$C$3:$C$13,MATCH(SUBSTITUTE(Q149,""Sell_"",""""),Upgrades!$B$3:$B$13,0))*1.15^(COUNTIF(Q$4:Q148,SUBSTITUTE(Q149,""Sell_"",""""))-COUNTIF(Q$4:Q148,"&amp;"""Sell_""&amp;SUBSTITUTE(Q149,""Sell_"",""""))))/2),ROUNDUP(INDEX(Upgrades!$C$3:$C$13,MATCH(Q149,Upgrades!$B$3:$B$13,0))*1.15^(COUNTIF(Q$4:Q148,Q149)-COUNTIF(Q$4:Q148,""Sell_""&amp;Q149))))))"),703576.0)</f>
        <v>703576</v>
      </c>
      <c r="V149" s="10">
        <f t="shared" si="11"/>
        <v>703576</v>
      </c>
      <c r="W149" s="68">
        <f t="shared" si="12"/>
        <v>4210.448817</v>
      </c>
      <c r="X149" s="59" t="str">
        <f t="shared" si="13"/>
        <v>1h 10m 10s</v>
      </c>
      <c r="Y149" s="69">
        <f t="shared" si="14"/>
        <v>73832849</v>
      </c>
      <c r="Z149" s="11"/>
    </row>
    <row r="150">
      <c r="A150" s="8"/>
      <c r="B150" s="56">
        <f t="shared" si="2"/>
        <v>17</v>
      </c>
      <c r="C150" s="57" t="s">
        <v>10</v>
      </c>
      <c r="D150" s="10" t="b">
        <f>IFERROR(__xludf.DUMMYFUNCTION("IF(COUNTA(C150:C1673)=0,"""",IF(ISBLANK(C150),FALSE,IF(NOT(COUNTIF($AA$24:$AA$34,SUBSTITUTE(C150,""Sell_"",""""))),1,IF(REGEXMATCH(C150,""Sell_""),IF(COUNTIF(C$4:C150,SUBSTITUTE(C150,""Sell_"",""""))-COUNTIF(C$4:C149,C150)&lt;1,1),FALSE))))"),FALSE)</f>
        <v>0</v>
      </c>
      <c r="E150" s="59">
        <f t="array" ref="E150">IF(COUNTA(C150:C1673)=0,"",SUM((COUNTIF(C$4:C150,Upgrades!$B$3:$B$13)-COUNTIF(C$4:C150,"Sell_"&amp;Upgrades!$B$3:$B$13))*Upgrades!$D$3:$D$13))</f>
        <v>515411</v>
      </c>
      <c r="F150" s="66">
        <f>IFERROR(__xludf.DUMMYFUNCTION("IF(COUNTA(C150:C1673)=0,"""",IF(REGEXMATCH(INDEX(FILTER(C$4:C150,C$4:C150&lt;&gt;""""),ROWS(FILTER(C$4:C150,C$4:C150&lt;&gt;""""))),""^Sell_""),INDEX(FILTER(F$4:F149,C$4:C149&lt;&gt;""""),ROWS(FILTER(C$4:C149,C$4:C149&lt;&gt;""""))),$AC$5+E150))"),515426.0)</f>
        <v>515426</v>
      </c>
      <c r="G150" s="10">
        <f>IFERROR(__xludf.DUMMYFUNCTION("IF(COUNTA(C150:C1673)=0,"""",IF(C150="""",0,IF(REGEXMATCH(C150,""^Sell_""),-ROUNDDOWN(ROUNDUP(INDEX(Upgrades!$C$3:$C$13,MATCH(SUBSTITUTE(C150,""Sell_"",""""),Upgrades!$B$3:$B$13,0))*1.15^(COUNTIF(C$4:C149,SUBSTITUTE(C150,""Sell_"",""""))-COUNTIF(C$4:C149,"&amp;"""Sell_""&amp;SUBSTITUTE(C150,""Sell_"",""""))))/2),ROUNDUP(INDEX(Upgrades!$C$3:$C$13,MATCH(C150,Upgrades!$B$3:$B$13,0))*1.15^(COUNTIF(C$4:C149,C150)-COUNTIF(C$4:C149,""Sell_""&amp;C150))))))"),1.5596029E7)</f>
        <v>15596029</v>
      </c>
      <c r="H150" s="10">
        <f t="shared" si="3"/>
        <v>15596029</v>
      </c>
      <c r="I150" s="68">
        <f t="shared" si="4"/>
        <v>7349.232942</v>
      </c>
      <c r="J150" s="59" t="str">
        <f t="shared" si="5"/>
        <v>2h 02m 29s</v>
      </c>
      <c r="K150" s="69">
        <f t="shared" si="6"/>
        <v>733213632</v>
      </c>
      <c r="L150" s="60">
        <f t="shared" si="7"/>
        <v>-184.80408</v>
      </c>
      <c r="M150" s="61">
        <f>IFERROR(__xludf.DUMMYFUNCTION("IFS(AND(COUNTA(C150:C1673)=0,COUNTA(Q150:Q1673)=0),"""",OR(AND(K150&gt;=1000000000,OR(Y150&gt;=1000000000,COUNTA(Q150:Q1673)=0)),OR(Y150&gt;=1000000000,AND(COUNTA(C150:C1673)=0,P$3=TRUE))),
ROUNDDOWN((AB$1-AC$1)*MAX(INDEX(T$4:T1673,MATCH(LARGE(FILTER(Y$4:Y1673,Y$4"&amp;":Y1673&lt;1000000000),1),Y$4:Y1673)),INDEX(F$4:F1673,MATCH(LARGE(FILTER(K$4:K1673,K$4:K1673&lt;1000000000),1),K$4:K1673)))),AND(K150&lt;1000000000,COUNTA(C150:C1673)&gt;0,P$3=FALSE),
ROUNDDOWN(INDEX(Y$4:Y1673,MATCH(LARGE(FILTER(W$4:W1673,W$4:W1673&lt;=I150),1),W$4:W1673"&amp;"))+(I150-LARGE(FILTER(W$4:W1673,W$4:W1673&lt;=I150),1))*INDEX(T$4:T1673,MATCH(LARGE(FILTER(W$4:W1673,W$4:W1673&lt;=I150),1),W$4:W1673))-K150),1,
ROUNDDOWN(Y150-INDEX(K$4:K1673,MATCH(LARGE(FILTER(I$4:I1673,I$4:I1673&lt;=W150),1),I$4:I1673))-(W150-LARGE(FILTER(I$4:I"&amp;"1673,I$4:I1673&lt;=W150),1))*INDEX(F$4:F1673,MATCH(LARGE(FILTER(I$4:I1673,I$4:I1673&lt;=W150),1),I$4:I1673))))"),8.1531448E7)</f>
        <v>81531448</v>
      </c>
      <c r="N150" s="60">
        <f t="shared" si="8"/>
        <v>-184.80408</v>
      </c>
      <c r="O150" s="61" t="str">
        <f t="shared" si="9"/>
        <v>81,5M</v>
      </c>
      <c r="P150" s="56">
        <f t="shared" si="10"/>
        <v>15</v>
      </c>
      <c r="Q150" s="67" t="s">
        <v>7</v>
      </c>
      <c r="R150" s="10" t="b">
        <f>IFERROR(__xludf.DUMMYFUNCTION("IF(COUNTA(Q150:Q1673)=0,"""",IF(ISBLANK(Q150),FALSE,IF(NOT(COUNTIF($AA$24:$AA$34,SUBSTITUTE(Q150,""Sell_"",""""))),1,IF(REGEXMATCH(Q150,""Sell_""),IF(COUNTIF(Q$4:Q150,SUBSTITUTE(Q150,""Sell_"",""""))-COUNTIF(Q$4:Q149,Q150)&lt;1,1),FALSE))))"),FALSE)</f>
        <v>0</v>
      </c>
      <c r="S150" s="59">
        <f t="array" ref="S150">IF(COUNTA(Q150:Q1673)=0,"",SUM((COUNTIF(Q$4:Q150,Upgrades!$B$3:$B$13)-COUNTIF(Q$4:Q150,"Sell_"&amp;Upgrades!$B$3:$B$13))*Upgrades!$D$3:$D$13))</f>
        <v>99239.8</v>
      </c>
      <c r="T150" s="66">
        <f>IFERROR(__xludf.DUMMYFUNCTION("IF(COUNTA(Q150:Q1673)=0,"""",IF(REGEXMATCH(INDEX(FILTER(Q$4:Q150,Q$4:Q150&lt;&gt;""""),ROWS(FILTER(Q$4:Q150,Q$4:Q150&lt;&gt;""""))),""^Sell_""),INDEX(FILTER(T$4:T149,Q$4:Q149&lt;&gt;""""),ROWS(FILTER(Q$4:Q149,Q$4:Q149&lt;&gt;""""))),$AD$5+S150))"),99254.8)</f>
        <v>99254.8</v>
      </c>
      <c r="U150" s="10">
        <f>IFERROR(__xludf.DUMMYFUNCTION("IF(COUNTA(Q150:Q1673)=0,"""",IF(Q150="""",0,IF(REGEXMATCH(Q150,""^Sell_""),-ROUNDDOWN(ROUNDUP(INDEX(Upgrades!$C$3:$C$13,MATCH(SUBSTITUTE(Q150,""Sell_"",""""),Upgrades!$B$3:$B$13,0))*1.15^(COUNTIF(Q$4:Q149,SUBSTITUTE(Q150,""Sell_"",""""))-COUNTIF(Q$4:Q149,"&amp;"""Sell_""&amp;SUBSTITUTE(Q150,""Sell_"",""""))))/2),ROUNDUP(INDEX(Upgrades!$C$3:$C$13,MATCH(Q150,Upgrades!$B$3:$B$13,0))*1.15^(COUNTIF(Q$4:Q149,Q150)-COUNTIF(Q$4:Q149,""Sell_""&amp;Q150))))))"),70758.0)</f>
        <v>70758</v>
      </c>
      <c r="V150" s="10">
        <f t="shared" si="11"/>
        <v>70758</v>
      </c>
      <c r="W150" s="68">
        <f t="shared" si="12"/>
        <v>4211.161996</v>
      </c>
      <c r="X150" s="59" t="str">
        <f t="shared" si="13"/>
        <v>1h 10m 11s</v>
      </c>
      <c r="Y150" s="69">
        <f t="shared" si="14"/>
        <v>73903607</v>
      </c>
      <c r="Z150" s="11"/>
    </row>
    <row r="151">
      <c r="A151" s="8"/>
      <c r="B151" s="56">
        <f t="shared" si="2"/>
        <v>16</v>
      </c>
      <c r="C151" s="57" t="s">
        <v>6</v>
      </c>
      <c r="D151" s="10" t="b">
        <f>IFERROR(__xludf.DUMMYFUNCTION("IF(COUNTA(C151:C1673)=0,"""",IF(ISBLANK(C151),FALSE,IF(NOT(COUNTIF($AA$24:$AA$34,SUBSTITUTE(C151,""Sell_"",""""))),1,IF(REGEXMATCH(C151,""Sell_""),IF(COUNTIF(C$4:C151,SUBSTITUTE(C151,""Sell_"",""""))-COUNTIF(C$4:C150,C151)&lt;1,1),FALSE))))"),FALSE)</f>
        <v>0</v>
      </c>
      <c r="E151" s="59">
        <f t="array" ref="E151">IF(COUNTA(C151:C1673)=0,"",SUM((COUNTIF(C$4:C151,Upgrades!$B$3:$B$13)-COUNTIF(C$4:C151,"Sell_"&amp;Upgrades!$B$3:$B$13))*Upgrades!$D$3:$D$13))</f>
        <v>515421</v>
      </c>
      <c r="F151" s="66">
        <f>IFERROR(__xludf.DUMMYFUNCTION("IF(COUNTA(C151:C1673)=0,"""",IF(REGEXMATCH(INDEX(FILTER(C$4:C151,C$4:C151&lt;&gt;""""),ROWS(FILTER(C$4:C151,C$4:C151&lt;&gt;""""))),""^Sell_""),INDEX(FILTER(F$4:F150,C$4:C150&lt;&gt;""""),ROWS(FILTER(C$4:C150,C$4:C150&lt;&gt;""""))),$AC$5+E151))"),515436.0)</f>
        <v>515436</v>
      </c>
      <c r="G151" s="10">
        <f>IFERROR(__xludf.DUMMYFUNCTION("IF(COUNTA(C151:C1673)=0,"""",IF(C151="""",0,IF(REGEXMATCH(C151,""^Sell_""),-ROUNDDOWN(ROUNDUP(INDEX(Upgrades!$C$3:$C$13,MATCH(SUBSTITUTE(C151,""Sell_"",""""),Upgrades!$B$3:$B$13,0))*1.15^(COUNTIF(C$4:C150,SUBSTITUTE(C151,""Sell_"",""""))-COUNTIF(C$4:C150,"&amp;"""Sell_""&amp;SUBSTITUTE(C151,""Sell_"",""""))))/2),ROUNDUP(INDEX(Upgrades!$C$3:$C$13,MATCH(C151,Upgrades!$B$3:$B$13,0))*1.15^(COUNTIF(C$4:C150,C151)-COUNTIF(C$4:C150,""Sell_""&amp;C151))))))"),24412.0)</f>
        <v>24412</v>
      </c>
      <c r="H151" s="10">
        <f t="shared" si="3"/>
        <v>24412</v>
      </c>
      <c r="I151" s="68">
        <f t="shared" si="4"/>
        <v>7349.280305</v>
      </c>
      <c r="J151" s="59" t="str">
        <f t="shared" si="5"/>
        <v>2h 02m 29s</v>
      </c>
      <c r="K151" s="69">
        <f t="shared" si="6"/>
        <v>733238044</v>
      </c>
      <c r="L151" s="60">
        <f t="shared" si="7"/>
        <v>-184.79577</v>
      </c>
      <c r="M151" s="61">
        <f>IFERROR(__xludf.DUMMYFUNCTION("IFS(AND(COUNTA(C151:C1673)=0,COUNTA(Q151:Q1673)=0),"""",OR(AND(K151&gt;=1000000000,OR(Y151&gt;=1000000000,COUNTA(Q151:Q1673)=0)),OR(Y151&gt;=1000000000,AND(COUNTA(C151:C1673)=0,P$3=TRUE))),
ROUNDDOWN((AB$1-AC$1)*MAX(INDEX(T$4:T1673,MATCH(LARGE(FILTER(Y$4:Y1673,Y$4"&amp;":Y1673&lt;1000000000),1),Y$4:Y1673)),INDEX(F$4:F1673,MATCH(LARGE(FILTER(K$4:K1673,K$4:K1673&lt;1000000000),1),K$4:K1673)))),AND(K151&lt;1000000000,COUNTA(C151:C1673)&gt;0,P$3=FALSE),
ROUNDDOWN(INDEX(Y$4:Y1673,MATCH(LARGE(FILTER(W$4:W1673,W$4:W1673&lt;=I151),1),W$4:W1673"&amp;"))+(I151-LARGE(FILTER(W$4:W1673,W$4:W1673&lt;=I151),1))*INDEX(T$4:T1673,MATCH(LARGE(FILTER(W$4:W1673,W$4:W1673&lt;=I151),1),W$4:W1673))-K151),1,
ROUNDDOWN(Y151-INDEX(K$4:K1673,MATCH(LARGE(FILTER(I$4:I1673,I$4:I1673&lt;=W151),1),I$4:I1673))-(W151-LARGE(FILTER(I$4:I"&amp;"1673,I$4:I1673&lt;=W151),1))*INDEX(F$4:F1673,MATCH(LARGE(FILTER(I$4:I1673,I$4:I1673&lt;=W151),1),I$4:I1673))))"),8.1531362E7)</f>
        <v>81531362</v>
      </c>
      <c r="N151" s="60">
        <f t="shared" si="8"/>
        <v>-184.79577</v>
      </c>
      <c r="O151" s="61" t="str">
        <f t="shared" si="9"/>
        <v>81,5M</v>
      </c>
      <c r="P151" s="56">
        <f t="shared" si="10"/>
        <v>20</v>
      </c>
      <c r="Q151" s="67" t="s">
        <v>5</v>
      </c>
      <c r="R151" s="10" t="b">
        <f>IFERROR(__xludf.DUMMYFUNCTION("IF(COUNTA(Q151:Q1673)=0,"""",IF(ISBLANK(Q151),FALSE,IF(NOT(COUNTIF($AA$24:$AA$34,SUBSTITUTE(Q151,""Sell_"",""""))),1,IF(REGEXMATCH(Q151,""Sell_""),IF(COUNTIF(Q$4:Q151,SUBSTITUTE(Q151,""Sell_"",""""))-COUNTIF(Q$4:Q150,Q151)&lt;1,1),FALSE))))"),FALSE)</f>
        <v>0</v>
      </c>
      <c r="S151" s="59">
        <f t="array" ref="S151">IF(COUNTA(Q151:Q1673)=0,"",SUM((COUNTIF(Q$4:Q151,Upgrades!$B$3:$B$13)-COUNTIF(Q$4:Q151,"Sell_"&amp;Upgrades!$B$3:$B$13))*Upgrades!$D$3:$D$13))</f>
        <v>99243.8</v>
      </c>
      <c r="T151" s="66">
        <f>IFERROR(__xludf.DUMMYFUNCTION("IF(COUNTA(Q151:Q1673)=0,"""",IF(REGEXMATCH(INDEX(FILTER(Q$4:Q151,Q$4:Q151&lt;&gt;""""),ROWS(FILTER(Q$4:Q151,Q$4:Q151&lt;&gt;""""))),""^Sell_""),INDEX(FILTER(T$4:T150,Q$4:Q150&lt;&gt;""""),ROWS(FILTER(Q$4:Q150,Q$4:Q150&lt;&gt;""""))),$AD$5+S151))"),99258.8)</f>
        <v>99258.8</v>
      </c>
      <c r="U151" s="10">
        <f>IFERROR(__xludf.DUMMYFUNCTION("IF(COUNTA(Q151:Q1673)=0,"""",IF(Q151="""",0,IF(REGEXMATCH(Q151,""^Sell_""),-ROUNDDOWN(ROUNDUP(INDEX(Upgrades!$C$3:$C$13,MATCH(SUBSTITUTE(Q151,""Sell_"",""""),Upgrades!$B$3:$B$13,0))*1.15^(COUNTIF(Q$4:Q150,SUBSTITUTE(Q151,""Sell_"",""""))-COUNTIF(Q$4:Q150,"&amp;"""Sell_""&amp;SUBSTITUTE(Q151,""Sell_"",""""))))/2),ROUNDUP(INDEX(Upgrades!$C$3:$C$13,MATCH(Q151,Upgrades!$B$3:$B$13,0))*1.15^(COUNTIF(Q$4:Q150,Q151)-COUNTIF(Q$4:Q150,""Sell_""&amp;Q151))))))"),7116.0)</f>
        <v>7116</v>
      </c>
      <c r="V151" s="10">
        <f t="shared" si="11"/>
        <v>7116</v>
      </c>
      <c r="W151" s="68">
        <f t="shared" si="12"/>
        <v>4211.233691</v>
      </c>
      <c r="X151" s="59" t="str">
        <f t="shared" si="13"/>
        <v>1h 10m 11s</v>
      </c>
      <c r="Y151" s="69">
        <f t="shared" si="14"/>
        <v>73910723</v>
      </c>
      <c r="Z151" s="11"/>
    </row>
    <row r="152">
      <c r="A152" s="8"/>
      <c r="B152" s="56">
        <f t="shared" si="2"/>
        <v>21</v>
      </c>
      <c r="C152" s="57" t="s">
        <v>3</v>
      </c>
      <c r="D152" s="10" t="b">
        <f>IFERROR(__xludf.DUMMYFUNCTION("IF(COUNTA(C152:C1673)=0,"""",IF(ISBLANK(C152),FALSE,IF(NOT(COUNTIF($AA$24:$AA$34,SUBSTITUTE(C152,""Sell_"",""""))),1,IF(REGEXMATCH(C152,""Sell_""),IF(COUNTIF(C$4:C152,SUBSTITUTE(C152,""Sell_"",""""))-COUNTIF(C$4:C151,C152)&lt;1,1),FALSE))))"),FALSE)</f>
        <v>0</v>
      </c>
      <c r="E152" s="59">
        <f t="array" ref="E152">IF(COUNTA(C152:C1673)=0,"",SUM((COUNTIF(C$4:C152,Upgrades!$B$3:$B$13)-COUNTIF(C$4:C152,"Sell_"&amp;Upgrades!$B$3:$B$13))*Upgrades!$D$3:$D$13))</f>
        <v>515421.1</v>
      </c>
      <c r="F152" s="66">
        <f>IFERROR(__xludf.DUMMYFUNCTION("IF(COUNTA(C152:C1673)=0,"""",IF(REGEXMATCH(INDEX(FILTER(C$4:C152,C$4:C152&lt;&gt;""""),ROWS(FILTER(C$4:C152,C$4:C152&lt;&gt;""""))),""^Sell_""),INDEX(FILTER(F$4:F151,C$4:C151&lt;&gt;""""),ROWS(FILTER(C$4:C151,C$4:C151&lt;&gt;""""))),$AC$5+E152))"),515436.1)</f>
        <v>515436.1</v>
      </c>
      <c r="G152" s="10">
        <f>IFERROR(__xludf.DUMMYFUNCTION("IF(COUNTA(C152:C1673)=0,"""",IF(C152="""",0,IF(REGEXMATCH(C152,""^Sell_""),-ROUNDDOWN(ROUNDUP(INDEX(Upgrades!$C$3:$C$13,MATCH(SUBSTITUTE(C152,""Sell_"",""""),Upgrades!$B$3:$B$13,0))*1.15^(COUNTIF(C$4:C151,SUBSTITUTE(C152,""Sell_"",""""))-COUNTIF(C$4:C151,"&amp;"""Sell_""&amp;SUBSTITUTE(C152,""Sell_"",""""))))/2),ROUNDUP(INDEX(Upgrades!$C$3:$C$13,MATCH(C152,Upgrades!$B$3:$B$13,0))*1.15^(COUNTIF(C$4:C151,C152)-COUNTIF(C$4:C151,""Sell_""&amp;C152))))))"),246.0)</f>
        <v>246</v>
      </c>
      <c r="H152" s="10">
        <f t="shared" si="3"/>
        <v>246</v>
      </c>
      <c r="I152" s="68">
        <f t="shared" si="4"/>
        <v>7349.280782</v>
      </c>
      <c r="J152" s="59" t="str">
        <f t="shared" si="5"/>
        <v>2h 02m 29s</v>
      </c>
      <c r="K152" s="69">
        <f t="shared" si="6"/>
        <v>733238290</v>
      </c>
      <c r="L152" s="60">
        <f t="shared" si="7"/>
        <v>-184.79568</v>
      </c>
      <c r="M152" s="61">
        <f>IFERROR(__xludf.DUMMYFUNCTION("IFS(AND(COUNTA(C152:C1673)=0,COUNTA(Q152:Q1673)=0),"""",OR(AND(K152&gt;=1000000000,OR(Y152&gt;=1000000000,COUNTA(Q152:Q1673)=0)),OR(Y152&gt;=1000000000,AND(COUNTA(C152:C1673)=0,P$3=TRUE))),
ROUNDDOWN((AB$1-AC$1)*MAX(INDEX(T$4:T1673,MATCH(LARGE(FILTER(Y$4:Y1673,Y$4"&amp;":Y1673&lt;1000000000),1),Y$4:Y1673)),INDEX(F$4:F1673,MATCH(LARGE(FILTER(K$4:K1673,K$4:K1673&lt;1000000000),1),K$4:K1673)))),AND(K152&lt;1000000000,COUNTA(C152:C1673)&gt;0,P$3=FALSE),
ROUNDDOWN(INDEX(Y$4:Y1673,MATCH(LARGE(FILTER(W$4:W1673,W$4:W1673&lt;=I152),1),W$4:W1673"&amp;"))+(I152-LARGE(FILTER(W$4:W1673,W$4:W1673&lt;=I152),1))*INDEX(T$4:T1673,MATCH(LARGE(FILTER(W$4:W1673,W$4:W1673&lt;=I152),1),W$4:W1673))-K152),1,
ROUNDDOWN(Y152-INDEX(K$4:K1673,MATCH(LARGE(FILTER(I$4:I1673,I$4:I1673&lt;=W152),1),I$4:I1673))-(W152-LARGE(FILTER(I$4:I"&amp;"1673,I$4:I1673&lt;=W152),1))*INDEX(F$4:F1673,MATCH(LARGE(FILTER(I$4:I1673,I$4:I1673&lt;=W152),1),I$4:I1673))))"),8.1531361E7)</f>
        <v>81531361</v>
      </c>
      <c r="N152" s="60">
        <f t="shared" si="8"/>
        <v>-184.79568</v>
      </c>
      <c r="O152" s="61" t="str">
        <f t="shared" si="9"/>
        <v>81,5M</v>
      </c>
      <c r="P152" s="56">
        <f t="shared" si="10"/>
        <v>14</v>
      </c>
      <c r="Q152" s="67" t="s">
        <v>6</v>
      </c>
      <c r="R152" s="10" t="b">
        <f>IFERROR(__xludf.DUMMYFUNCTION("IF(COUNTA(Q152:Q1673)=0,"""",IF(ISBLANK(Q152),FALSE,IF(NOT(COUNTIF($AA$24:$AA$34,SUBSTITUTE(Q152,""Sell_"",""""))),1,IF(REGEXMATCH(Q152,""Sell_""),IF(COUNTIF(Q$4:Q152,SUBSTITUTE(Q152,""Sell_"",""""))-COUNTIF(Q$4:Q151,Q152)&lt;1,1),FALSE))))"),FALSE)</f>
        <v>0</v>
      </c>
      <c r="S152" s="59">
        <f t="array" ref="S152">IF(COUNTA(Q152:Q1673)=0,"",SUM((COUNTIF(Q$4:Q152,Upgrades!$B$3:$B$13)-COUNTIF(Q$4:Q152,"Sell_"&amp;Upgrades!$B$3:$B$13))*Upgrades!$D$3:$D$13))</f>
        <v>99253.8</v>
      </c>
      <c r="T152" s="66">
        <f>IFERROR(__xludf.DUMMYFUNCTION("IF(COUNTA(Q152:Q1673)=0,"""",IF(REGEXMATCH(INDEX(FILTER(Q$4:Q152,Q$4:Q152&lt;&gt;""""),ROWS(FILTER(Q$4:Q152,Q$4:Q152&lt;&gt;""""))),""^Sell_""),INDEX(FILTER(T$4:T151,Q$4:Q151&lt;&gt;""""),ROWS(FILTER(Q$4:Q151,Q$4:Q151&lt;&gt;""""))),$AD$5+S152))"),99268.8)</f>
        <v>99268.8</v>
      </c>
      <c r="U152" s="10">
        <f>IFERROR(__xludf.DUMMYFUNCTION("IF(COUNTA(Q152:Q1673)=0,"""",IF(Q152="""",0,IF(REGEXMATCH(Q152,""^Sell_""),-ROUNDDOWN(ROUNDUP(INDEX(Upgrades!$C$3:$C$13,MATCH(SUBSTITUTE(Q152,""Sell_"",""""),Upgrades!$B$3:$B$13,0))*1.15^(COUNTIF(Q$4:Q151,SUBSTITUTE(Q152,""Sell_"",""""))-COUNTIF(Q$4:Q151,"&amp;"""Sell_""&amp;SUBSTITUTE(Q152,""Sell_"",""""))))/2),ROUNDUP(INDEX(Upgrades!$C$3:$C$13,MATCH(Q152,Upgrades!$B$3:$B$13,0))*1.15^(COUNTIF(Q$4:Q151,Q152)-COUNTIF(Q$4:Q151,""Sell_""&amp;Q152))))))"),18459.0)</f>
        <v>18459</v>
      </c>
      <c r="V152" s="10">
        <f t="shared" si="11"/>
        <v>18459</v>
      </c>
      <c r="W152" s="68">
        <f t="shared" si="12"/>
        <v>4211.419659</v>
      </c>
      <c r="X152" s="59" t="str">
        <f t="shared" si="13"/>
        <v>1h 10m 11s</v>
      </c>
      <c r="Y152" s="69">
        <f t="shared" si="14"/>
        <v>73929182</v>
      </c>
      <c r="Z152" s="11"/>
    </row>
    <row r="153">
      <c r="A153" s="8"/>
      <c r="B153" s="56">
        <f t="shared" si="2"/>
        <v>14</v>
      </c>
      <c r="C153" s="57" t="s">
        <v>8</v>
      </c>
      <c r="D153" s="10" t="b">
        <f>IFERROR(__xludf.DUMMYFUNCTION("IF(COUNTA(C153:C1673)=0,"""",IF(ISBLANK(C153),FALSE,IF(NOT(COUNTIF($AA$24:$AA$34,SUBSTITUTE(C153,""Sell_"",""""))),1,IF(REGEXMATCH(C153,""Sell_""),IF(COUNTIF(C$4:C153,SUBSTITUTE(C153,""Sell_"",""""))-COUNTIF(C$4:C152,C153)&lt;1,1),FALSE))))"),FALSE)</f>
        <v>0</v>
      </c>
      <c r="E153" s="59">
        <f t="array" ref="E153">IF(COUNTA(C153:C1673)=0,"",SUM((COUNTIF(C$4:C153,Upgrades!$B$3:$B$13)-COUNTIF(C$4:C153,"Sell_"&amp;Upgrades!$B$3:$B$13))*Upgrades!$D$3:$D$13))</f>
        <v>515521.1</v>
      </c>
      <c r="F153" s="66">
        <f>IFERROR(__xludf.DUMMYFUNCTION("IF(COUNTA(C153:C1673)=0,"""",IF(REGEXMATCH(INDEX(FILTER(C$4:C153,C$4:C153&lt;&gt;""""),ROWS(FILTER(C$4:C153,C$4:C153&lt;&gt;""""))),""^Sell_""),INDEX(FILTER(F$4:F152,C$4:C152&lt;&gt;""""),ROWS(FILTER(C$4:C152,C$4:C152&lt;&gt;""""))),$AC$5+E153))"),515536.1)</f>
        <v>515536.1</v>
      </c>
      <c r="G153" s="10">
        <f>IFERROR(__xludf.DUMMYFUNCTION("IF(COUNTA(C153:C1673)=0,"""",IF(C153="""",0,IF(REGEXMATCH(C153,""^Sell_""),-ROUNDDOWN(ROUNDUP(INDEX(Upgrades!$C$3:$C$13,MATCH(SUBSTITUTE(C153,""Sell_"",""""),Upgrades!$B$3:$B$13,0))*1.15^(COUNTIF(C$4:C152,SUBSTITUTE(C153,""Sell_"",""""))-COUNTIF(C$4:C152,"&amp;"""Sell_""&amp;SUBSTITUTE(C153,""Sell_"",""""))))/2),ROUNDUP(INDEX(Upgrades!$C$3:$C$13,MATCH(C153,Upgrades!$B$3:$B$13,0))*1.15^(COUNTIF(C$4:C152,C153)-COUNTIF(C$4:C152,""Sell_""&amp;C153))))))"),246112.0)</f>
        <v>246112</v>
      </c>
      <c r="H153" s="10">
        <f t="shared" si="3"/>
        <v>246112</v>
      </c>
      <c r="I153" s="68">
        <f t="shared" si="4"/>
        <v>7349.758266</v>
      </c>
      <c r="J153" s="59" t="str">
        <f t="shared" si="5"/>
        <v>2h 02m 29s</v>
      </c>
      <c r="K153" s="69">
        <f t="shared" si="6"/>
        <v>733484402</v>
      </c>
      <c r="L153" s="60">
        <f t="shared" si="7"/>
        <v>-184.71182</v>
      </c>
      <c r="M153" s="61">
        <f>IFERROR(__xludf.DUMMYFUNCTION("IFS(AND(COUNTA(C153:C1673)=0,COUNTA(Q153:Q1673)=0),"""",OR(AND(K153&gt;=1000000000,OR(Y153&gt;=1000000000,COUNTA(Q153:Q1673)=0)),OR(Y153&gt;=1000000000,AND(COUNTA(C153:C1673)=0,P$3=TRUE))),
ROUNDDOWN((AB$1-AC$1)*MAX(INDEX(T$4:T1673,MATCH(LARGE(FILTER(Y$4:Y1673,Y$4"&amp;":Y1673&lt;1000000000),1),Y$4:Y1673)),INDEX(F$4:F1673,MATCH(LARGE(FILTER(K$4:K1673,K$4:K1673&lt;1000000000),1),K$4:K1673)))),AND(K153&lt;1000000000,COUNTA(C153:C1673)&gt;0,P$3=FALSE),
ROUNDDOWN(INDEX(Y$4:Y1673,MATCH(LARGE(FILTER(W$4:W1673,W$4:W1673&lt;=I153),1),W$4:W1673"&amp;"))+(I153-LARGE(FILTER(W$4:W1673,W$4:W1673&lt;=I153),1))*INDEX(T$4:T1673,MATCH(LARGE(FILTER(W$4:W1673,W$4:W1673&lt;=I153),1),W$4:W1673))-K153),1,
ROUNDDOWN(Y153-INDEX(K$4:K1673,MATCH(LARGE(FILTER(I$4:I1673,I$4:I1673&lt;=W153),1),I$4:I1673))-(W153-LARGE(FILTER(I$4:I"&amp;"1673,I$4:I1673&lt;=W153),1))*INDEX(F$4:F1673,MATCH(LARGE(FILTER(I$4:I1673,I$4:I1673&lt;=W153),1),I$4:I1673))))"),8.1530533E7)</f>
        <v>81530533</v>
      </c>
      <c r="N153" s="60">
        <f t="shared" si="8"/>
        <v>-184.71182</v>
      </c>
      <c r="O153" s="61" t="str">
        <f t="shared" si="9"/>
        <v>81,5M</v>
      </c>
      <c r="P153" s="56">
        <f t="shared" si="10"/>
        <v>19</v>
      </c>
      <c r="Q153" s="67" t="s">
        <v>3</v>
      </c>
      <c r="R153" s="10" t="b">
        <f>IFERROR(__xludf.DUMMYFUNCTION("IF(COUNTA(Q153:Q1673)=0,"""",IF(ISBLANK(Q153),FALSE,IF(NOT(COUNTIF($AA$24:$AA$34,SUBSTITUTE(Q153,""Sell_"",""""))),1,IF(REGEXMATCH(Q153,""Sell_""),IF(COUNTIF(Q$4:Q153,SUBSTITUTE(Q153,""Sell_"",""""))-COUNTIF(Q$4:Q152,Q153)&lt;1,1),FALSE))))"),FALSE)</f>
        <v>0</v>
      </c>
      <c r="S153" s="59">
        <f t="array" ref="S153">IF(COUNTA(Q153:Q1673)=0,"",SUM((COUNTIF(Q$4:Q153,Upgrades!$B$3:$B$13)-COUNTIF(Q$4:Q153,"Sell_"&amp;Upgrades!$B$3:$B$13))*Upgrades!$D$3:$D$13))</f>
        <v>99253.9</v>
      </c>
      <c r="T153" s="66">
        <f>IFERROR(__xludf.DUMMYFUNCTION("IF(COUNTA(Q153:Q1673)=0,"""",IF(REGEXMATCH(INDEX(FILTER(Q$4:Q153,Q$4:Q153&lt;&gt;""""),ROWS(FILTER(Q$4:Q153,Q$4:Q153&lt;&gt;""""))),""^Sell_""),INDEX(FILTER(T$4:T152,Q$4:Q152&lt;&gt;""""),ROWS(FILTER(Q$4:Q152,Q$4:Q152&lt;&gt;""""))),$AD$5+S153))"),99268.9)</f>
        <v>99268.9</v>
      </c>
      <c r="U153" s="10">
        <f>IFERROR(__xludf.DUMMYFUNCTION("IF(COUNTA(Q153:Q1673)=0,"""",IF(Q153="""",0,IF(REGEXMATCH(Q153,""^Sell_""),-ROUNDDOWN(ROUNDUP(INDEX(Upgrades!$C$3:$C$13,MATCH(SUBSTITUTE(Q153,""Sell_"",""""),Upgrades!$B$3:$B$13,0))*1.15^(COUNTIF(Q$4:Q152,SUBSTITUTE(Q153,""Sell_"",""""))-COUNTIF(Q$4:Q152,"&amp;"""Sell_""&amp;SUBSTITUTE(Q153,""Sell_"",""""))))/2),ROUNDUP(INDEX(Upgrades!$C$3:$C$13,MATCH(Q153,Upgrades!$B$3:$B$13,0))*1.15^(COUNTIF(Q$4:Q152,Q153)-COUNTIF(Q$4:Q152,""Sell_""&amp;Q153))))))"),186.0)</f>
        <v>186</v>
      </c>
      <c r="V153" s="10">
        <f t="shared" si="11"/>
        <v>186</v>
      </c>
      <c r="W153" s="68">
        <f t="shared" si="12"/>
        <v>4211.421533</v>
      </c>
      <c r="X153" s="59" t="str">
        <f t="shared" si="13"/>
        <v>1h 10m 11s</v>
      </c>
      <c r="Y153" s="69">
        <f t="shared" si="14"/>
        <v>73929368</v>
      </c>
      <c r="Z153" s="11"/>
    </row>
    <row r="154">
      <c r="A154" s="8"/>
      <c r="B154" s="56">
        <f t="shared" si="2"/>
        <v>19</v>
      </c>
      <c r="C154" s="57" t="s">
        <v>4</v>
      </c>
      <c r="D154" s="10" t="b">
        <f>IFERROR(__xludf.DUMMYFUNCTION("IF(COUNTA(C154:C1673)=0,"""",IF(ISBLANK(C154),FALSE,IF(NOT(COUNTIF($AA$24:$AA$34,SUBSTITUTE(C154,""Sell_"",""""))),1,IF(REGEXMATCH(C154,""Sell_""),IF(COUNTIF(C$4:C154,SUBSTITUTE(C154,""Sell_"",""""))-COUNTIF(C$4:C153,C154)&lt;1,1),FALSE))))"),FALSE)</f>
        <v>0</v>
      </c>
      <c r="E154" s="59">
        <f t="array" ref="E154">IF(COUNTA(C154:C1673)=0,"",SUM((COUNTIF(C$4:C154,Upgrades!$B$3:$B$13)-COUNTIF(C$4:C154,"Sell_"&amp;Upgrades!$B$3:$B$13))*Upgrades!$D$3:$D$13))</f>
        <v>515521.6</v>
      </c>
      <c r="F154" s="66">
        <f>IFERROR(__xludf.DUMMYFUNCTION("IF(COUNTA(C154:C1673)=0,"""",IF(REGEXMATCH(INDEX(FILTER(C$4:C154,C$4:C154&lt;&gt;""""),ROWS(FILTER(C$4:C154,C$4:C154&lt;&gt;""""))),""^Sell_""),INDEX(FILTER(F$4:F153,C$4:C153&lt;&gt;""""),ROWS(FILTER(C$4:C153,C$4:C153&lt;&gt;""""))),$AC$5+E154))"),515536.6)</f>
        <v>515536.6</v>
      </c>
      <c r="G154" s="10">
        <f>IFERROR(__xludf.DUMMYFUNCTION("IF(COUNTA(C154:C1673)=0,"""",IF(C154="""",0,IF(REGEXMATCH(C154,""^Sell_""),-ROUNDDOWN(ROUNDUP(INDEX(Upgrades!$C$3:$C$13,MATCH(SUBSTITUTE(C154,""Sell_"",""""),Upgrades!$B$3:$B$13,0))*1.15^(COUNTIF(C$4:C153,SUBSTITUTE(C154,""Sell_"",""""))-COUNTIF(C$4:C153,"&amp;"""Sell_""&amp;SUBSTITUTE(C154,""Sell_"",""""))))/2),ROUNDUP(INDEX(Upgrades!$C$3:$C$13,MATCH(C154,Upgrades!$B$3:$B$13,0))*1.15^(COUNTIF(C$4:C153,C154)-COUNTIF(C$4:C153,""Sell_""&amp;C154))))))"),1238.0)</f>
        <v>1238</v>
      </c>
      <c r="H154" s="10">
        <f t="shared" si="3"/>
        <v>1238</v>
      </c>
      <c r="I154" s="68">
        <f t="shared" si="4"/>
        <v>7349.760667</v>
      </c>
      <c r="J154" s="59" t="str">
        <f t="shared" si="5"/>
        <v>2h 02m 29s</v>
      </c>
      <c r="K154" s="69">
        <f t="shared" si="6"/>
        <v>733485640</v>
      </c>
      <c r="L154" s="60">
        <f t="shared" si="7"/>
        <v>-184.7114</v>
      </c>
      <c r="M154" s="61">
        <f>IFERROR(__xludf.DUMMYFUNCTION("IFS(AND(COUNTA(C154:C1673)=0,COUNTA(Q154:Q1673)=0),"""",OR(AND(K154&gt;=1000000000,OR(Y154&gt;=1000000000,COUNTA(Q154:Q1673)=0)),OR(Y154&gt;=1000000000,AND(COUNTA(C154:C1673)=0,P$3=TRUE))),
ROUNDDOWN((AB$1-AC$1)*MAX(INDEX(T$4:T1673,MATCH(LARGE(FILTER(Y$4:Y1673,Y$4"&amp;":Y1673&lt;1000000000),1),Y$4:Y1673)),INDEX(F$4:F1673,MATCH(LARGE(FILTER(K$4:K1673,K$4:K1673&lt;1000000000),1),K$4:K1673)))),AND(K154&lt;1000000000,COUNTA(C154:C1673)&gt;0,P$3=FALSE),
ROUNDDOWN(INDEX(Y$4:Y1673,MATCH(LARGE(FILTER(W$4:W1673,W$4:W1673&lt;=I154),1),W$4:W1673"&amp;"))+(I154-LARGE(FILTER(W$4:W1673,W$4:W1673&lt;=I154),1))*INDEX(T$4:T1673,MATCH(LARGE(FILTER(W$4:W1673,W$4:W1673&lt;=I154),1),W$4:W1673))-K154),1,
ROUNDDOWN(Y154-INDEX(K$4:K1673,MATCH(LARGE(FILTER(I$4:I1673,I$4:I1673&lt;=W154),1),I$4:I1673))-(W154-LARGE(FILTER(I$4:I"&amp;"1673,I$4:I1673&lt;=W154),1))*INDEX(F$4:F1673,MATCH(LARGE(FILTER(I$4:I1673,I$4:I1673&lt;=W154),1),I$4:I1673))))"),8.1530528E7)</f>
        <v>81530528</v>
      </c>
      <c r="N154" s="60">
        <f t="shared" si="8"/>
        <v>-184.7114</v>
      </c>
      <c r="O154" s="61" t="str">
        <f t="shared" si="9"/>
        <v>81,5M</v>
      </c>
      <c r="P154" s="56">
        <f t="shared" si="10"/>
        <v>12</v>
      </c>
      <c r="Q154" s="67" t="s">
        <v>8</v>
      </c>
      <c r="R154" s="10" t="b">
        <f>IFERROR(__xludf.DUMMYFUNCTION("IF(COUNTA(Q154:Q1673)=0,"""",IF(ISBLANK(Q154),FALSE,IF(NOT(COUNTIF($AA$24:$AA$34,SUBSTITUTE(Q154,""Sell_"",""""))),1,IF(REGEXMATCH(Q154,""Sell_""),IF(COUNTIF(Q$4:Q154,SUBSTITUTE(Q154,""Sell_"",""""))-COUNTIF(Q$4:Q153,Q154)&lt;1,1),FALSE))))"),FALSE)</f>
        <v>0</v>
      </c>
      <c r="S154" s="59">
        <f t="array" ref="S154">IF(COUNTA(Q154:Q1673)=0,"",SUM((COUNTIF(Q$4:Q154,Upgrades!$B$3:$B$13)-COUNTIF(Q$4:Q154,"Sell_"&amp;Upgrades!$B$3:$B$13))*Upgrades!$D$3:$D$13))</f>
        <v>99353.9</v>
      </c>
      <c r="T154" s="66">
        <f>IFERROR(__xludf.DUMMYFUNCTION("IF(COUNTA(Q154:Q1673)=0,"""",IF(REGEXMATCH(INDEX(FILTER(Q$4:Q154,Q$4:Q154&lt;&gt;""""),ROWS(FILTER(Q$4:Q154,Q$4:Q154&lt;&gt;""""))),""^Sell_""),INDEX(FILTER(T$4:T153,Q$4:Q153&lt;&gt;""""),ROWS(FILTER(Q$4:Q153,Q$4:Q153&lt;&gt;""""))),$AD$5+S154))"),99368.9)</f>
        <v>99368.9</v>
      </c>
      <c r="U154" s="10">
        <f>IFERROR(__xludf.DUMMYFUNCTION("IF(COUNTA(Q154:Q1673)=0,"""",IF(Q154="""",0,IF(REGEXMATCH(Q154,""^Sell_""),-ROUNDDOWN(ROUNDUP(INDEX(Upgrades!$C$3:$C$13,MATCH(SUBSTITUTE(Q154,""Sell_"",""""),Upgrades!$B$3:$B$13,0))*1.15^(COUNTIF(Q$4:Q153,SUBSTITUTE(Q154,""Sell_"",""""))-COUNTIF(Q$4:Q153,"&amp;"""Sell_""&amp;SUBSTITUTE(Q154,""Sell_"",""""))))/2),ROUNDUP(INDEX(Upgrades!$C$3:$C$13,MATCH(Q154,Upgrades!$B$3:$B$13,0))*1.15^(COUNTIF(Q$4:Q153,Q154)-COUNTIF(Q$4:Q153,""Sell_""&amp;Q154))))))"),186096.0)</f>
        <v>186096</v>
      </c>
      <c r="V154" s="10">
        <f t="shared" si="11"/>
        <v>186096</v>
      </c>
      <c r="W154" s="68">
        <f t="shared" si="12"/>
        <v>4213.296198</v>
      </c>
      <c r="X154" s="59" t="str">
        <f t="shared" si="13"/>
        <v>1h 10m 13s</v>
      </c>
      <c r="Y154" s="69">
        <f t="shared" si="14"/>
        <v>74115464</v>
      </c>
      <c r="Z154" s="11"/>
    </row>
    <row r="155">
      <c r="A155" s="8"/>
      <c r="B155" s="56">
        <f t="shared" si="2"/>
        <v>18</v>
      </c>
      <c r="C155" s="57" t="s">
        <v>10</v>
      </c>
      <c r="D155" s="10" t="b">
        <f>IFERROR(__xludf.DUMMYFUNCTION("IF(COUNTA(C155:C1673)=0,"""",IF(ISBLANK(C155),FALSE,IF(NOT(COUNTIF($AA$24:$AA$34,SUBSTITUTE(C155,""Sell_"",""""))),1,IF(REGEXMATCH(C155,""Sell_""),IF(COUNTIF(C$4:C155,SUBSTITUTE(C155,""Sell_"",""""))-COUNTIF(C$4:C154,C155)&lt;1,1),FALSE))))"),FALSE)</f>
        <v>0</v>
      </c>
      <c r="E155" s="59">
        <f t="array" ref="E155">IF(COUNTA(C155:C1673)=0,"",SUM((COUNTIF(C$4:C155,Upgrades!$B$3:$B$13)-COUNTIF(C$4:C155,"Sell_"&amp;Upgrades!$B$3:$B$13))*Upgrades!$D$3:$D$13))</f>
        <v>522187.6</v>
      </c>
      <c r="F155" s="66">
        <f>IFERROR(__xludf.DUMMYFUNCTION("IF(COUNTA(C155:C1673)=0,"""",IF(REGEXMATCH(INDEX(FILTER(C$4:C155,C$4:C155&lt;&gt;""""),ROWS(FILTER(C$4:C155,C$4:C155&lt;&gt;""""))),""^Sell_""),INDEX(FILTER(F$4:F154,C$4:C154&lt;&gt;""""),ROWS(FILTER(C$4:C154,C$4:C154&lt;&gt;""""))),$AC$5+E155))"),522202.6)</f>
        <v>522202.6</v>
      </c>
      <c r="G155" s="10">
        <f>IFERROR(__xludf.DUMMYFUNCTION("IF(COUNTA(C155:C1673)=0,"""",IF(C155="""",0,IF(REGEXMATCH(C155,""^Sell_""),-ROUNDDOWN(ROUNDUP(INDEX(Upgrades!$C$3:$C$13,MATCH(SUBSTITUTE(C155,""Sell_"",""""),Upgrades!$B$3:$B$13,0))*1.15^(COUNTIF(C$4:C154,SUBSTITUTE(C155,""Sell_"",""""))-COUNTIF(C$4:C154,"&amp;"""Sell_""&amp;SUBSTITUTE(C155,""Sell_"",""""))))/2),ROUNDUP(INDEX(Upgrades!$C$3:$C$13,MATCH(C155,Upgrades!$B$3:$B$13,0))*1.15^(COUNTIF(C$4:C154,C155)-COUNTIF(C$4:C154,""Sell_""&amp;C155))))))"),1.7935433E7)</f>
        <v>17935433</v>
      </c>
      <c r="H155" s="10">
        <f t="shared" si="3"/>
        <v>17935433</v>
      </c>
      <c r="I155" s="68">
        <f t="shared" si="4"/>
        <v>7384.550501</v>
      </c>
      <c r="J155" s="59" t="str">
        <f t="shared" si="5"/>
        <v>2h 03m 04s</v>
      </c>
      <c r="K155" s="69">
        <f t="shared" si="6"/>
        <v>751421073</v>
      </c>
      <c r="L155" s="60">
        <f t="shared" si="7"/>
        <v>-178.59323</v>
      </c>
      <c r="M155" s="61">
        <f>IFERROR(__xludf.DUMMYFUNCTION("IFS(AND(COUNTA(C155:C1673)=0,COUNTA(Q155:Q1673)=0),"""",OR(AND(K155&gt;=1000000000,OR(Y155&gt;=1000000000,COUNTA(Q155:Q1673)=0)),OR(Y155&gt;=1000000000,AND(COUNTA(C155:C1673)=0,P$3=TRUE))),
ROUNDDOWN((AB$1-AC$1)*MAX(INDEX(T$4:T1673,MATCH(LARGE(FILTER(Y$4:Y1673,Y$4"&amp;":Y1673&lt;1000000000),1),Y$4:Y1673)),INDEX(F$4:F1673,MATCH(LARGE(FILTER(K$4:K1673,K$4:K1673&lt;1000000000),1),K$4:K1673)))),AND(K155&lt;1000000000,COUNTA(C155:C1673)&gt;0,P$3=FALSE),
ROUNDDOWN(INDEX(Y$4:Y1673,MATCH(LARGE(FILTER(W$4:W1673,W$4:W1673&lt;=I155),1),W$4:W1673"&amp;"))+(I155-LARGE(FILTER(W$4:W1673,W$4:W1673&lt;=I155),1))*INDEX(T$4:T1673,MATCH(LARGE(FILTER(W$4:W1673,W$4:W1673&lt;=I155),1),W$4:W1673))-K155),1,
ROUNDDOWN(Y155-INDEX(K$4:K1673,MATCH(LARGE(FILTER(I$4:I1673,I$4:I1673&lt;=W155),1),I$4:I1673))-(W155-LARGE(FILTER(I$4:I"&amp;"1673,I$4:I1673&lt;=W155),1))*INDEX(F$4:F1673,MATCH(LARGE(FILTER(I$4:I1673,I$4:I1673&lt;=W155),1),I$4:I1673))))"),8.1539373E7)</f>
        <v>81539373</v>
      </c>
      <c r="N155" s="60">
        <f t="shared" si="8"/>
        <v>-178.59323</v>
      </c>
      <c r="O155" s="61" t="str">
        <f t="shared" si="9"/>
        <v>81,5M</v>
      </c>
      <c r="P155" s="56">
        <f t="shared" si="10"/>
        <v>17</v>
      </c>
      <c r="Q155" s="67" t="s">
        <v>4</v>
      </c>
      <c r="R155" s="10" t="b">
        <f>IFERROR(__xludf.DUMMYFUNCTION("IF(COUNTA(Q155:Q1673)=0,"""",IF(ISBLANK(Q155),FALSE,IF(NOT(COUNTIF($AA$24:$AA$34,SUBSTITUTE(Q155,""Sell_"",""""))),1,IF(REGEXMATCH(Q155,""Sell_""),IF(COUNTIF(Q$4:Q155,SUBSTITUTE(Q155,""Sell_"",""""))-COUNTIF(Q$4:Q154,Q155)&lt;1,1),FALSE))))"),FALSE)</f>
        <v>0</v>
      </c>
      <c r="S155" s="59">
        <f t="array" ref="S155">IF(COUNTA(Q155:Q1673)=0,"",SUM((COUNTIF(Q$4:Q155,Upgrades!$B$3:$B$13)-COUNTIF(Q$4:Q155,"Sell_"&amp;Upgrades!$B$3:$B$13))*Upgrades!$D$3:$D$13))</f>
        <v>99354.4</v>
      </c>
      <c r="T155" s="66">
        <f>IFERROR(__xludf.DUMMYFUNCTION("IF(COUNTA(Q155:Q1673)=0,"""",IF(REGEXMATCH(INDEX(FILTER(Q$4:Q155,Q$4:Q155&lt;&gt;""""),ROWS(FILTER(Q$4:Q155,Q$4:Q155&lt;&gt;""""))),""^Sell_""),INDEX(FILTER(T$4:T154,Q$4:Q154&lt;&gt;""""),ROWS(FILTER(Q$4:Q154,Q$4:Q154&lt;&gt;""""))),$AD$5+S155))"),99369.4)</f>
        <v>99369.4</v>
      </c>
      <c r="U155" s="10">
        <f>IFERROR(__xludf.DUMMYFUNCTION("IF(COUNTA(Q155:Q1673)=0,"""",IF(Q155="""",0,IF(REGEXMATCH(Q155,""^Sell_""),-ROUNDDOWN(ROUNDUP(INDEX(Upgrades!$C$3:$C$13,MATCH(SUBSTITUTE(Q155,""Sell_"",""""),Upgrades!$B$3:$B$13,0))*1.15^(COUNTIF(Q$4:Q154,SUBSTITUTE(Q155,""Sell_"",""""))-COUNTIF(Q$4:Q154,"&amp;"""Sell_""&amp;SUBSTITUTE(Q155,""Sell_"",""""))))/2),ROUNDUP(INDEX(Upgrades!$C$3:$C$13,MATCH(Q155,Upgrades!$B$3:$B$13,0))*1.15^(COUNTIF(Q$4:Q154,Q155)-COUNTIF(Q$4:Q154,""Sell_""&amp;Q155))))))"),936.0)</f>
        <v>936</v>
      </c>
      <c r="V155" s="10">
        <f t="shared" si="11"/>
        <v>936</v>
      </c>
      <c r="W155" s="68">
        <f t="shared" si="12"/>
        <v>4213.305618</v>
      </c>
      <c r="X155" s="59" t="str">
        <f t="shared" si="13"/>
        <v>1h 10m 13s</v>
      </c>
      <c r="Y155" s="69">
        <f t="shared" si="14"/>
        <v>74116400</v>
      </c>
      <c r="Z155" s="11"/>
    </row>
    <row r="156">
      <c r="A156" s="8"/>
      <c r="B156" s="56">
        <f t="shared" si="2"/>
        <v>19</v>
      </c>
      <c r="C156" s="57" t="s">
        <v>10</v>
      </c>
      <c r="D156" s="10" t="b">
        <f>IFERROR(__xludf.DUMMYFUNCTION("IF(COUNTA(C156:C1673)=0,"""",IF(ISBLANK(C156),FALSE,IF(NOT(COUNTIF($AA$24:$AA$34,SUBSTITUTE(C156,""Sell_"",""""))),1,IF(REGEXMATCH(C156,""Sell_""),IF(COUNTIF(C$4:C156,SUBSTITUTE(C156,""Sell_"",""""))-COUNTIF(C$4:C155,C156)&lt;1,1),FALSE))))"),FALSE)</f>
        <v>0</v>
      </c>
      <c r="E156" s="59">
        <f t="array" ref="E156">IF(COUNTA(C156:C1673)=0,"",SUM((COUNTIF(C$4:C156,Upgrades!$B$3:$B$13)-COUNTIF(C$4:C156,"Sell_"&amp;Upgrades!$B$3:$B$13))*Upgrades!$D$3:$D$13))</f>
        <v>528853.6</v>
      </c>
      <c r="F156" s="66">
        <f>IFERROR(__xludf.DUMMYFUNCTION("IF(COUNTA(C156:C1673)=0,"""",IF(REGEXMATCH(INDEX(FILTER(C$4:C156,C$4:C156&lt;&gt;""""),ROWS(FILTER(C$4:C156,C$4:C156&lt;&gt;""""))),""^Sell_""),INDEX(FILTER(F$4:F155,C$4:C155&lt;&gt;""""),ROWS(FILTER(C$4:C155,C$4:C155&lt;&gt;""""))),$AC$5+E156))"),528868.6)</f>
        <v>528868.6</v>
      </c>
      <c r="G156" s="10">
        <f>IFERROR(__xludf.DUMMYFUNCTION("IF(COUNTA(C156:C1673)=0,"""",IF(C156="""",0,IF(REGEXMATCH(C156,""^Sell_""),-ROUNDDOWN(ROUNDUP(INDEX(Upgrades!$C$3:$C$13,MATCH(SUBSTITUTE(C156,""Sell_"",""""),Upgrades!$B$3:$B$13,0))*1.15^(COUNTIF(C$4:C155,SUBSTITUTE(C156,""Sell_"",""""))-COUNTIF(C$4:C155,"&amp;"""Sell_""&amp;SUBSTITUTE(C156,""Sell_"",""""))))/2),ROUNDUP(INDEX(Upgrades!$C$3:$C$13,MATCH(C156,Upgrades!$B$3:$B$13,0))*1.15^(COUNTIF(C$4:C155,C156)-COUNTIF(C$4:C155,""Sell_""&amp;C156))))))"),2.0625748E7)</f>
        <v>20625748</v>
      </c>
      <c r="H156" s="10">
        <f t="shared" si="3"/>
        <v>20625748</v>
      </c>
      <c r="I156" s="68">
        <f t="shared" si="4"/>
        <v>7424.048099</v>
      </c>
      <c r="J156" s="59" t="str">
        <f t="shared" si="5"/>
        <v>2h 03m 44s</v>
      </c>
      <c r="K156" s="69">
        <f t="shared" si="6"/>
        <v>772046821</v>
      </c>
      <c r="L156" s="60">
        <f t="shared" si="7"/>
        <v>-171.04663</v>
      </c>
      <c r="M156" s="61">
        <f>IFERROR(__xludf.DUMMYFUNCTION("IFS(AND(COUNTA(C156:C1673)=0,COUNTA(Q156:Q1673)=0),"""",OR(AND(K156&gt;=1000000000,OR(Y156&gt;=1000000000,COUNTA(Q156:Q1673)=0)),OR(Y156&gt;=1000000000,AND(COUNTA(C156:C1673)=0,P$3=TRUE))),
ROUNDDOWN((AB$1-AC$1)*MAX(INDEX(T$4:T1673,MATCH(LARGE(FILTER(Y$4:Y1673,Y$4"&amp;":Y1673&lt;1000000000),1),Y$4:Y1673)),INDEX(F$4:F1673,MATCH(LARGE(FILTER(K$4:K1673,K$4:K1673&lt;1000000000),1),K$4:K1673)))),AND(K156&lt;1000000000,COUNTA(C156:C1673)&gt;0,P$3=FALSE),
ROUNDDOWN(INDEX(Y$4:Y1673,MATCH(LARGE(FILTER(W$4:W1673,W$4:W1673&lt;=I156),1),W$4:W1673"&amp;"))+(I156-LARGE(FILTER(W$4:W1673,W$4:W1673&lt;=I156),1))*INDEX(T$4:T1673,MATCH(LARGE(FILTER(W$4:W1673,W$4:W1673&lt;=I156),1),W$4:W1673))-K156),1,
ROUNDDOWN(Y156-INDEX(K$4:K1673,MATCH(LARGE(FILTER(I$4:I1673,I$4:I1673&lt;=W156),1),I$4:I1673))-(W156-LARGE(FILTER(I$4:I"&amp;"1673,I$4:I1673&lt;=W156),1))*INDEX(F$4:F1673,MATCH(LARGE(FILTER(I$4:I1673,I$4:I1673&lt;=W156),1),I$4:I1673))))"),8.1515284E7)</f>
        <v>81515284</v>
      </c>
      <c r="N156" s="60">
        <f t="shared" si="8"/>
        <v>-171.04663</v>
      </c>
      <c r="O156" s="61" t="str">
        <f t="shared" si="9"/>
        <v>81,5M</v>
      </c>
      <c r="P156" s="56">
        <f t="shared" si="10"/>
        <v>15</v>
      </c>
      <c r="Q156" s="67" t="s">
        <v>10</v>
      </c>
      <c r="R156" s="10" t="b">
        <f>IFERROR(__xludf.DUMMYFUNCTION("IF(COUNTA(Q156:Q1673)=0,"""",IF(ISBLANK(Q156),FALSE,IF(NOT(COUNTIF($AA$24:$AA$34,SUBSTITUTE(Q156,""Sell_"",""""))),1,IF(REGEXMATCH(Q156,""Sell_""),IF(COUNTIF(Q$4:Q156,SUBSTITUTE(Q156,""Sell_"",""""))-COUNTIF(Q$4:Q155,Q156)&lt;1,1),FALSE))))"),FALSE)</f>
        <v>0</v>
      </c>
      <c r="S156" s="59">
        <f t="array" ref="S156">IF(COUNTA(Q156:Q1673)=0,"",SUM((COUNTIF(Q$4:Q156,Upgrades!$B$3:$B$13)-COUNTIF(Q$4:Q156,"Sell_"&amp;Upgrades!$B$3:$B$13))*Upgrades!$D$3:$D$13))</f>
        <v>106020.4</v>
      </c>
      <c r="T156" s="66">
        <f>IFERROR(__xludf.DUMMYFUNCTION("IF(COUNTA(Q156:Q1673)=0,"""",IF(REGEXMATCH(INDEX(FILTER(Q$4:Q156,Q$4:Q156&lt;&gt;""""),ROWS(FILTER(Q$4:Q156,Q$4:Q156&lt;&gt;""""))),""^Sell_""),INDEX(FILTER(T$4:T155,Q$4:Q155&lt;&gt;""""),ROWS(FILTER(Q$4:Q155,Q$4:Q155&lt;&gt;""""))),$AD$5+S156))"),106035.4)</f>
        <v>106035.4</v>
      </c>
      <c r="U156" s="10">
        <f>IFERROR(__xludf.DUMMYFUNCTION("IF(COUNTA(Q156:Q1673)=0,"""",IF(Q156="""",0,IF(REGEXMATCH(Q156,""^Sell_""),-ROUNDDOWN(ROUNDUP(INDEX(Upgrades!$C$3:$C$13,MATCH(SUBSTITUTE(Q156,""Sell_"",""""),Upgrades!$B$3:$B$13,0))*1.15^(COUNTIF(Q$4:Q155,SUBSTITUTE(Q156,""Sell_"",""""))-COUNTIF(Q$4:Q155,"&amp;"""Sell_""&amp;SUBSTITUTE(Q156,""Sell_"",""""))))/2),ROUNDUP(INDEX(Upgrades!$C$3:$C$13,MATCH(Q156,Upgrades!$B$3:$B$13,0))*1.15^(COUNTIF(Q$4:Q155,Q156)-COUNTIF(Q$4:Q155,""Sell_""&amp;Q156))))))"),1.1792839E7)</f>
        <v>11792839</v>
      </c>
      <c r="V156" s="10">
        <f t="shared" si="11"/>
        <v>11792839</v>
      </c>
      <c r="W156" s="68">
        <f t="shared" si="12"/>
        <v>4331.982384</v>
      </c>
      <c r="X156" s="59" t="str">
        <f t="shared" si="13"/>
        <v>1h 12m 11s</v>
      </c>
      <c r="Y156" s="69">
        <f t="shared" si="14"/>
        <v>85909239</v>
      </c>
      <c r="Z156" s="11"/>
    </row>
    <row r="157">
      <c r="A157" s="8"/>
      <c r="B157" s="56">
        <f t="shared" si="2"/>
        <v>20</v>
      </c>
      <c r="C157" s="57" t="s">
        <v>10</v>
      </c>
      <c r="D157" s="10" t="b">
        <f>IFERROR(__xludf.DUMMYFUNCTION("IF(COUNTA(C157:C1673)=0,"""",IF(ISBLANK(C157),FALSE,IF(NOT(COUNTIF($AA$24:$AA$34,SUBSTITUTE(C157,""Sell_"",""""))),1,IF(REGEXMATCH(C157,""Sell_""),IF(COUNTIF(C$4:C157,SUBSTITUTE(C157,""Sell_"",""""))-COUNTIF(C$4:C156,C157)&lt;1,1),FALSE))))"),FALSE)</f>
        <v>0</v>
      </c>
      <c r="E157" s="59">
        <f t="array" ref="E157">IF(COUNTA(C157:C1673)=0,"",SUM((COUNTIF(C$4:C157,Upgrades!$B$3:$B$13)-COUNTIF(C$4:C157,"Sell_"&amp;Upgrades!$B$3:$B$13))*Upgrades!$D$3:$D$13))</f>
        <v>535519.6</v>
      </c>
      <c r="F157" s="66">
        <f>IFERROR(__xludf.DUMMYFUNCTION("IF(COUNTA(C157:C1673)=0,"""",IF(REGEXMATCH(INDEX(FILTER(C$4:C157,C$4:C157&lt;&gt;""""),ROWS(FILTER(C$4:C157,C$4:C157&lt;&gt;""""))),""^Sell_""),INDEX(FILTER(F$4:F156,C$4:C156&lt;&gt;""""),ROWS(FILTER(C$4:C156,C$4:C156&lt;&gt;""""))),$AC$5+E157))"),535534.6)</f>
        <v>535534.6</v>
      </c>
      <c r="G157" s="10">
        <f>IFERROR(__xludf.DUMMYFUNCTION("IF(COUNTA(C157:C1673)=0,"""",IF(C157="""",0,IF(REGEXMATCH(C157,""^Sell_""),-ROUNDDOWN(ROUNDUP(INDEX(Upgrades!$C$3:$C$13,MATCH(SUBSTITUTE(C157,""Sell_"",""""),Upgrades!$B$3:$B$13,0))*1.15^(COUNTIF(C$4:C156,SUBSTITUTE(C157,""Sell_"",""""))-COUNTIF(C$4:C156,"&amp;"""Sell_""&amp;SUBSTITUTE(C157,""Sell_"",""""))))/2),ROUNDUP(INDEX(Upgrades!$C$3:$C$13,MATCH(C157,Upgrades!$B$3:$B$13,0))*1.15^(COUNTIF(C$4:C156,C157)-COUNTIF(C$4:C156,""Sell_""&amp;C157))))))"),2.371961E7)</f>
        <v>23719610</v>
      </c>
      <c r="H157" s="10">
        <f t="shared" si="3"/>
        <v>23719610</v>
      </c>
      <c r="I157" s="68">
        <f t="shared" si="4"/>
        <v>7468.897821</v>
      </c>
      <c r="J157" s="59" t="str">
        <f t="shared" si="5"/>
        <v>2h 04m 28s</v>
      </c>
      <c r="K157" s="69">
        <f t="shared" si="6"/>
        <v>795766431</v>
      </c>
      <c r="L157" s="60">
        <f t="shared" si="7"/>
        <v>-161.79553</v>
      </c>
      <c r="M157" s="61">
        <f>IFERROR(__xludf.DUMMYFUNCTION("IFS(AND(COUNTA(C157:C1673)=0,COUNTA(Q157:Q1673)=0),"""",OR(AND(K157&gt;=1000000000,OR(Y157&gt;=1000000000,COUNTA(Q157:Q1673)=0)),OR(Y157&gt;=1000000000,AND(COUNTA(C157:C1673)=0,P$3=TRUE))),
ROUNDDOWN((AB$1-AC$1)*MAX(INDEX(T$4:T1673,MATCH(LARGE(FILTER(Y$4:Y1673,Y$4"&amp;":Y1673&lt;1000000000),1),Y$4:Y1673)),INDEX(F$4:F1673,MATCH(LARGE(FILTER(K$4:K1673,K$4:K1673&lt;1000000000),1),K$4:K1673)))),AND(K157&lt;1000000000,COUNTA(C157:C1673)&gt;0,P$3=FALSE),
ROUNDDOWN(INDEX(Y$4:Y1673,MATCH(LARGE(FILTER(W$4:W1673,W$4:W1673&lt;=I157),1),W$4:W1673"&amp;"))+(I157-LARGE(FILTER(W$4:W1673,W$4:W1673&lt;=I157),1))*INDEX(T$4:T1673,MATCH(LARGE(FILTER(W$4:W1673,W$4:W1673&lt;=I157),1),W$4:W1673))-K157),1,
ROUNDDOWN(Y157-INDEX(K$4:K1673,MATCH(LARGE(FILTER(I$4:I1673,I$4:I1673&lt;=W157),1),I$4:I1673))-(W157-LARGE(FILTER(I$4:I"&amp;"1673,I$4:I1673&lt;=W157),1))*INDEX(F$4:F1673,MATCH(LARGE(FILTER(I$4:I1673,I$4:I1673&lt;=W157),1),I$4:I1673))))"),8.1498982E7)</f>
        <v>81498982</v>
      </c>
      <c r="N157" s="60">
        <f t="shared" si="8"/>
        <v>-161.79553</v>
      </c>
      <c r="O157" s="61" t="str">
        <f t="shared" si="9"/>
        <v>81,5M</v>
      </c>
      <c r="P157" s="56">
        <f t="shared" si="10"/>
        <v>11</v>
      </c>
      <c r="Q157" s="67" t="s">
        <v>9</v>
      </c>
      <c r="R157" s="10" t="b">
        <f>IFERROR(__xludf.DUMMYFUNCTION("IF(COUNTA(Q157:Q1673)=0,"""",IF(ISBLANK(Q157),FALSE,IF(NOT(COUNTIF($AA$24:$AA$34,SUBSTITUTE(Q157,""Sell_"",""""))),1,IF(REGEXMATCH(Q157,""Sell_""),IF(COUNTIF(Q$4:Q157,SUBSTITUTE(Q157,""Sell_"",""""))-COUNTIF(Q$4:Q156,Q157)&lt;1,1),FALSE))))"),FALSE)</f>
        <v>0</v>
      </c>
      <c r="S157" s="59">
        <f t="array" ref="S157">IF(COUNTA(Q157:Q1673)=0,"",SUM((COUNTIF(Q$4:Q157,Upgrades!$B$3:$B$13)-COUNTIF(Q$4:Q157,"Sell_"&amp;Upgrades!$B$3:$B$13))*Upgrades!$D$3:$D$13))</f>
        <v>106420.4</v>
      </c>
      <c r="T157" s="66">
        <f>IFERROR(__xludf.DUMMYFUNCTION("IF(COUNTA(Q157:Q1673)=0,"""",IF(REGEXMATCH(INDEX(FILTER(Q$4:Q157,Q$4:Q157&lt;&gt;""""),ROWS(FILTER(Q$4:Q157,Q$4:Q157&lt;&gt;""""))),""^Sell_""),INDEX(FILTER(T$4:T156,Q$4:Q156&lt;&gt;""""),ROWS(FILTER(Q$4:Q156,Q$4:Q156&lt;&gt;""""))),$AD$5+S157))"),106435.4)</f>
        <v>106435.4</v>
      </c>
      <c r="U157" s="10">
        <f>IFERROR(__xludf.DUMMYFUNCTION("IF(COUNTA(Q157:Q1673)=0,"""",IF(Q157="""",0,IF(REGEXMATCH(Q157,""^Sell_""),-ROUNDDOWN(ROUNDUP(INDEX(Upgrades!$C$3:$C$13,MATCH(SUBSTITUTE(Q157,""Sell_"",""""),Upgrades!$B$3:$B$13,0))*1.15^(COUNTIF(Q$4:Q156,SUBSTITUTE(Q157,""Sell_"",""""))-COUNTIF(Q$4:Q156,"&amp;"""Sell_""&amp;SUBSTITUTE(Q157,""Sell_"",""""))))/2),ROUNDUP(INDEX(Upgrades!$C$3:$C$13,MATCH(Q157,Upgrades!$B$3:$B$13,0))*1.15^(COUNTIF(Q$4:Q156,Q157)-COUNTIF(Q$4:Q156,""Sell_""&amp;Q157))))))"),809112.0)</f>
        <v>809112</v>
      </c>
      <c r="V157" s="10">
        <f t="shared" si="11"/>
        <v>809112</v>
      </c>
      <c r="W157" s="68">
        <f t="shared" si="12"/>
        <v>4339.612967</v>
      </c>
      <c r="X157" s="59" t="str">
        <f t="shared" si="13"/>
        <v>1h 12m 19s</v>
      </c>
      <c r="Y157" s="69">
        <f t="shared" si="14"/>
        <v>86718351</v>
      </c>
      <c r="Z157" s="11"/>
    </row>
    <row r="158">
      <c r="A158" s="8"/>
      <c r="B158" s="56">
        <f t="shared" si="2"/>
        <v>21</v>
      </c>
      <c r="C158" s="57" t="s">
        <v>10</v>
      </c>
      <c r="D158" s="10" t="b">
        <f>IFERROR(__xludf.DUMMYFUNCTION("IF(COUNTA(C158:C1673)=0,"""",IF(ISBLANK(C158),FALSE,IF(NOT(COUNTIF($AA$24:$AA$34,SUBSTITUTE(C158,""Sell_"",""""))),1,IF(REGEXMATCH(C158,""Sell_""),IF(COUNTIF(C$4:C158,SUBSTITUTE(C158,""Sell_"",""""))-COUNTIF(C$4:C157,C158)&lt;1,1),FALSE))))"),FALSE)</f>
        <v>0</v>
      </c>
      <c r="E158" s="59">
        <f t="array" ref="E158">IF(COUNTA(C158:C1673)=0,"",SUM((COUNTIF(C$4:C158,Upgrades!$B$3:$B$13)-COUNTIF(C$4:C158,"Sell_"&amp;Upgrades!$B$3:$B$13))*Upgrades!$D$3:$D$13))</f>
        <v>542185.6</v>
      </c>
      <c r="F158" s="66">
        <f>IFERROR(__xludf.DUMMYFUNCTION("IF(COUNTA(C158:C1673)=0,"""",IF(REGEXMATCH(INDEX(FILTER(C$4:C158,C$4:C158&lt;&gt;""""),ROWS(FILTER(C$4:C158,C$4:C158&lt;&gt;""""))),""^Sell_""),INDEX(FILTER(F$4:F157,C$4:C157&lt;&gt;""""),ROWS(FILTER(C$4:C157,C$4:C157&lt;&gt;""""))),$AC$5+E158))"),542200.6)</f>
        <v>542200.6</v>
      </c>
      <c r="G158" s="10">
        <f>IFERROR(__xludf.DUMMYFUNCTION("IF(COUNTA(C158:C1673)=0,"""",IF(C158="""",0,IF(REGEXMATCH(C158,""^Sell_""),-ROUNDDOWN(ROUNDUP(INDEX(Upgrades!$C$3:$C$13,MATCH(SUBSTITUTE(C158,""Sell_"",""""),Upgrades!$B$3:$B$13,0))*1.15^(COUNTIF(C$4:C157,SUBSTITUTE(C158,""Sell_"",""""))-COUNTIF(C$4:C157,"&amp;"""Sell_""&amp;SUBSTITUTE(C158,""Sell_"",""""))))/2),ROUNDUP(INDEX(Upgrades!$C$3:$C$13,MATCH(C158,Upgrades!$B$3:$B$13,0))*1.15^(COUNTIF(C$4:C157,C158)-COUNTIF(C$4:C157,""Sell_""&amp;C158))))))"),2.7277552E7)</f>
        <v>27277552</v>
      </c>
      <c r="H158" s="10">
        <f t="shared" si="3"/>
        <v>27277552</v>
      </c>
      <c r="I158" s="68">
        <f t="shared" si="4"/>
        <v>7519.833003</v>
      </c>
      <c r="J158" s="59" t="str">
        <f t="shared" si="5"/>
        <v>2h 05m 19s</v>
      </c>
      <c r="K158" s="69">
        <f t="shared" si="6"/>
        <v>823043983</v>
      </c>
      <c r="L158" s="60">
        <f t="shared" si="7"/>
        <v>-154.49671</v>
      </c>
      <c r="M158" s="61">
        <f>IFERROR(__xludf.DUMMYFUNCTION("IFS(AND(COUNTA(C158:C1673)=0,COUNTA(Q158:Q1673)=0),"""",OR(AND(K158&gt;=1000000000,OR(Y158&gt;=1000000000,COUNTA(Q158:Q1673)=0)),OR(Y158&gt;=1000000000,AND(COUNTA(C158:C1673)=0,P$3=TRUE))),
ROUNDDOWN((AB$1-AC$1)*MAX(INDEX(T$4:T1673,MATCH(LARGE(FILTER(Y$4:Y1673,Y$4"&amp;":Y1673&lt;1000000000),1),Y$4:Y1673)),INDEX(F$4:F1673,MATCH(LARGE(FILTER(K$4:K1673,K$4:K1673&lt;1000000000),1),K$4:K1673)))),AND(K158&lt;1000000000,COUNTA(C158:C1673)&gt;0,P$3=FALSE),
ROUNDDOWN(INDEX(Y$4:Y1673,MATCH(LARGE(FILTER(W$4:W1673,W$4:W1673&lt;=I158),1),W$4:W1673"&amp;"))+(I158-LARGE(FILTER(W$4:W1673,W$4:W1673&lt;=I158),1))*INDEX(T$4:T1673,MATCH(LARGE(FILTER(W$4:W1673,W$4:W1673&lt;=I158),1),W$4:W1673))-K158),1,
ROUNDDOWN(Y158-INDEX(K$4:K1673,MATCH(LARGE(FILTER(I$4:I1673,I$4:I1673&lt;=W158),1),I$4:I1673))-(W158-LARGE(FILTER(I$4:I"&amp;"1673,I$4:I1673&lt;=W158),1))*INDEX(F$4:F1673,MATCH(LARGE(FILTER(I$4:I1673,I$4:I1673&lt;=W158),1),I$4:I1673))))"),8.1496167E7)</f>
        <v>81496167</v>
      </c>
      <c r="N158" s="60">
        <f t="shared" si="8"/>
        <v>-154.49671</v>
      </c>
      <c r="O158" s="61" t="str">
        <f t="shared" si="9"/>
        <v>81,5M</v>
      </c>
      <c r="P158" s="56">
        <f t="shared" si="10"/>
        <v>16</v>
      </c>
      <c r="Q158" s="67" t="s">
        <v>7</v>
      </c>
      <c r="R158" s="10" t="b">
        <f>IFERROR(__xludf.DUMMYFUNCTION("IF(COUNTA(Q158:Q1673)=0,"""",IF(ISBLANK(Q158),FALSE,IF(NOT(COUNTIF($AA$24:$AA$34,SUBSTITUTE(Q158,""Sell_"",""""))),1,IF(REGEXMATCH(Q158,""Sell_""),IF(COUNTIF(Q$4:Q158,SUBSTITUTE(Q158,""Sell_"",""""))-COUNTIF(Q$4:Q157,Q158)&lt;1,1),FALSE))))"),FALSE)</f>
        <v>0</v>
      </c>
      <c r="S158" s="59">
        <f t="array" ref="S158">IF(COUNTA(Q158:Q1673)=0,"",SUM((COUNTIF(Q$4:Q158,Upgrades!$B$3:$B$13)-COUNTIF(Q$4:Q158,"Sell_"&amp;Upgrades!$B$3:$B$13))*Upgrades!$D$3:$D$13))</f>
        <v>106460.4</v>
      </c>
      <c r="T158" s="66">
        <f>IFERROR(__xludf.DUMMYFUNCTION("IF(COUNTA(Q158:Q1673)=0,"""",IF(REGEXMATCH(INDEX(FILTER(Q$4:Q158,Q$4:Q158&lt;&gt;""""),ROWS(FILTER(Q$4:Q158,Q$4:Q158&lt;&gt;""""))),""^Sell_""),INDEX(FILTER(T$4:T157,Q$4:Q157&lt;&gt;""""),ROWS(FILTER(Q$4:Q157,Q$4:Q157&lt;&gt;""""))),$AD$5+S158))"),106475.4)</f>
        <v>106475.4</v>
      </c>
      <c r="U158" s="10">
        <f>IFERROR(__xludf.DUMMYFUNCTION("IF(COUNTA(Q158:Q1673)=0,"""",IF(Q158="""",0,IF(REGEXMATCH(Q158,""^Sell_""),-ROUNDDOWN(ROUNDUP(INDEX(Upgrades!$C$3:$C$13,MATCH(SUBSTITUTE(Q158,""Sell_"",""""),Upgrades!$B$3:$B$13,0))*1.15^(COUNTIF(Q$4:Q157,SUBSTITUTE(Q158,""Sell_"",""""))-COUNTIF(Q$4:Q157,"&amp;"""Sell_""&amp;SUBSTITUTE(Q158,""Sell_"",""""))))/2),ROUNDUP(INDEX(Upgrades!$C$3:$C$13,MATCH(Q158,Upgrades!$B$3:$B$13,0))*1.15^(COUNTIF(Q$4:Q157,Q158)-COUNTIF(Q$4:Q157,""Sell_""&amp;Q158))))))"),81371.0)</f>
        <v>81371</v>
      </c>
      <c r="V158" s="10">
        <f t="shared" si="11"/>
        <v>81371</v>
      </c>
      <c r="W158" s="68">
        <f t="shared" si="12"/>
        <v>4340.377478</v>
      </c>
      <c r="X158" s="59" t="str">
        <f t="shared" si="13"/>
        <v>1h 12m 20s</v>
      </c>
      <c r="Y158" s="69">
        <f t="shared" si="14"/>
        <v>86799722</v>
      </c>
      <c r="Z158" s="11"/>
    </row>
    <row r="159">
      <c r="A159" s="8"/>
      <c r="B159" s="56">
        <f t="shared" si="2"/>
        <v>22</v>
      </c>
      <c r="C159" s="57" t="s">
        <v>10</v>
      </c>
      <c r="D159" s="10" t="b">
        <f>IFERROR(__xludf.DUMMYFUNCTION("IF(COUNTA(C159:C1673)=0,"""",IF(ISBLANK(C159),FALSE,IF(NOT(COUNTIF($AA$24:$AA$34,SUBSTITUTE(C159,""Sell_"",""""))),1,IF(REGEXMATCH(C159,""Sell_""),IF(COUNTIF(C$4:C159,SUBSTITUTE(C159,""Sell_"",""""))-COUNTIF(C$4:C158,C159)&lt;1,1),FALSE))))"),FALSE)</f>
        <v>0</v>
      </c>
      <c r="E159" s="59">
        <f t="array" ref="E159">IF(COUNTA(C159:C1673)=0,"",SUM((COUNTIF(C$4:C159,Upgrades!$B$3:$B$13)-COUNTIF(C$4:C159,"Sell_"&amp;Upgrades!$B$3:$B$13))*Upgrades!$D$3:$D$13))</f>
        <v>548851.6</v>
      </c>
      <c r="F159" s="66">
        <f>IFERROR(__xludf.DUMMYFUNCTION("IF(COUNTA(C159:C1673)=0,"""",IF(REGEXMATCH(INDEX(FILTER(C$4:C159,C$4:C159&lt;&gt;""""),ROWS(FILTER(C$4:C159,C$4:C159&lt;&gt;""""))),""^Sell_""),INDEX(FILTER(F$4:F158,C$4:C158&lt;&gt;""""),ROWS(FILTER(C$4:C158,C$4:C158&lt;&gt;""""))),$AC$5+E159))"),548866.6)</f>
        <v>548866.6</v>
      </c>
      <c r="G159" s="10">
        <f>IFERROR(__xludf.DUMMYFUNCTION("IF(COUNTA(C159:C1673)=0,"""",IF(C159="""",0,IF(REGEXMATCH(C159,""^Sell_""),-ROUNDDOWN(ROUNDUP(INDEX(Upgrades!$C$3:$C$13,MATCH(SUBSTITUTE(C159,""Sell_"",""""),Upgrades!$B$3:$B$13,0))*1.15^(COUNTIF(C$4:C158,SUBSTITUTE(C159,""Sell_"",""""))-COUNTIF(C$4:C158,"&amp;"""Sell_""&amp;SUBSTITUTE(C159,""Sell_"",""""))))/2),ROUNDUP(INDEX(Upgrades!$C$3:$C$13,MATCH(C159,Upgrades!$B$3:$B$13,0))*1.15^(COUNTIF(C$4:C158,C159)-COUNTIF(C$4:C158,""Sell_""&amp;C159))))))"),3.1369185E7)</f>
        <v>31369185</v>
      </c>
      <c r="H159" s="10">
        <f t="shared" si="3"/>
        <v>31369185</v>
      </c>
      <c r="I159" s="68">
        <f t="shared" si="4"/>
        <v>7577.688315</v>
      </c>
      <c r="J159" s="59" t="str">
        <f t="shared" si="5"/>
        <v>2h 06m 17s</v>
      </c>
      <c r="K159" s="69">
        <f t="shared" si="6"/>
        <v>854413168</v>
      </c>
      <c r="L159" s="60">
        <f t="shared" si="7"/>
        <v>-152.01377</v>
      </c>
      <c r="M159" s="61">
        <f>IFERROR(__xludf.DUMMYFUNCTION("IFS(AND(COUNTA(C159:C1673)=0,COUNTA(Q159:Q1673)=0),"""",OR(AND(K159&gt;=1000000000,OR(Y159&gt;=1000000000,COUNTA(Q159:Q1673)=0)),OR(Y159&gt;=1000000000,AND(COUNTA(C159:C1673)=0,P$3=TRUE))),
ROUNDDOWN((AB$1-AC$1)*MAX(INDEX(T$4:T1673,MATCH(LARGE(FILTER(Y$4:Y1673,Y$4"&amp;":Y1673&lt;1000000000),1),Y$4:Y1673)),INDEX(F$4:F1673,MATCH(LARGE(FILTER(K$4:K1673,K$4:K1673&lt;1000000000),1),K$4:K1673)))),AND(K159&lt;1000000000,COUNTA(C159:C1673)&gt;0,P$3=FALSE),
ROUNDDOWN(INDEX(Y$4:Y1673,MATCH(LARGE(FILTER(W$4:W1673,W$4:W1673&lt;=I159),1),W$4:W1673"&amp;"))+(I159-LARGE(FILTER(W$4:W1673,W$4:W1673&lt;=I159),1))*INDEX(T$4:T1673,MATCH(LARGE(FILTER(W$4:W1673,W$4:W1673&lt;=I159),1),W$4:W1673))-K159),1,
ROUNDDOWN(Y159-INDEX(K$4:K1673,MATCH(LARGE(FILTER(I$4:I1673,I$4:I1673&lt;=W159),1),I$4:I1673))-(W159-LARGE(FILTER(I$4:I"&amp;"1673,I$4:I1673&lt;=W159),1))*INDEX(F$4:F1673,MATCH(LARGE(FILTER(I$4:I1673,I$4:I1673&lt;=W159),1),I$4:I1673))))"),8.1511819E7)</f>
        <v>81511819</v>
      </c>
      <c r="N159" s="60">
        <f t="shared" si="8"/>
        <v>-152.01377</v>
      </c>
      <c r="O159" s="61" t="str">
        <f t="shared" si="9"/>
        <v>81,5M</v>
      </c>
      <c r="P159" s="56">
        <f t="shared" si="10"/>
        <v>21</v>
      </c>
      <c r="Q159" s="67" t="s">
        <v>5</v>
      </c>
      <c r="R159" s="10" t="b">
        <f>IFERROR(__xludf.DUMMYFUNCTION("IF(COUNTA(Q159:Q1673)=0,"""",IF(ISBLANK(Q159),FALSE,IF(NOT(COUNTIF($AA$24:$AA$34,SUBSTITUTE(Q159,""Sell_"",""""))),1,IF(REGEXMATCH(Q159,""Sell_""),IF(COUNTIF(Q$4:Q159,SUBSTITUTE(Q159,""Sell_"",""""))-COUNTIF(Q$4:Q158,Q159)&lt;1,1),FALSE))))"),FALSE)</f>
        <v>0</v>
      </c>
      <c r="S159" s="59">
        <f t="array" ref="S159">IF(COUNTA(Q159:Q1673)=0,"",SUM((COUNTIF(Q$4:Q159,Upgrades!$B$3:$B$13)-COUNTIF(Q$4:Q159,"Sell_"&amp;Upgrades!$B$3:$B$13))*Upgrades!$D$3:$D$13))</f>
        <v>106464.4</v>
      </c>
      <c r="T159" s="66">
        <f>IFERROR(__xludf.DUMMYFUNCTION("IF(COUNTA(Q159:Q1673)=0,"""",IF(REGEXMATCH(INDEX(FILTER(Q$4:Q159,Q$4:Q159&lt;&gt;""""),ROWS(FILTER(Q$4:Q159,Q$4:Q159&lt;&gt;""""))),""^Sell_""),INDEX(FILTER(T$4:T158,Q$4:Q158&lt;&gt;""""),ROWS(FILTER(Q$4:Q158,Q$4:Q158&lt;&gt;""""))),$AD$5+S159))"),106479.4)</f>
        <v>106479.4</v>
      </c>
      <c r="U159" s="10">
        <f>IFERROR(__xludf.DUMMYFUNCTION("IF(COUNTA(Q159:Q1673)=0,"""",IF(Q159="""",0,IF(REGEXMATCH(Q159,""^Sell_""),-ROUNDDOWN(ROUNDUP(INDEX(Upgrades!$C$3:$C$13,MATCH(SUBSTITUTE(Q159,""Sell_"",""""),Upgrades!$B$3:$B$13,0))*1.15^(COUNTIF(Q$4:Q158,SUBSTITUTE(Q159,""Sell_"",""""))-COUNTIF(Q$4:Q158,"&amp;"""Sell_""&amp;SUBSTITUTE(Q159,""Sell_"",""""))))/2),ROUNDUP(INDEX(Upgrades!$C$3:$C$13,MATCH(Q159,Upgrades!$B$3:$B$13,0))*1.15^(COUNTIF(Q$4:Q158,Q159)-COUNTIF(Q$4:Q158,""Sell_""&amp;Q159))))))"),8184.0)</f>
        <v>8184</v>
      </c>
      <c r="V159" s="10">
        <f t="shared" si="11"/>
        <v>8184</v>
      </c>
      <c r="W159" s="68">
        <f t="shared" si="12"/>
        <v>4340.454341</v>
      </c>
      <c r="X159" s="59" t="str">
        <f t="shared" si="13"/>
        <v>1h 12m 20s</v>
      </c>
      <c r="Y159" s="69">
        <f t="shared" si="14"/>
        <v>86807906</v>
      </c>
      <c r="Z159" s="11"/>
    </row>
    <row r="160">
      <c r="A160" s="8"/>
      <c r="B160" s="56">
        <f t="shared" si="2"/>
        <v>23</v>
      </c>
      <c r="C160" s="57" t="s">
        <v>10</v>
      </c>
      <c r="D160" s="10" t="b">
        <f>IFERROR(__xludf.DUMMYFUNCTION("IF(COUNTA(C160:C1673)=0,"""",IF(ISBLANK(C160),FALSE,IF(NOT(COUNTIF($AA$24:$AA$34,SUBSTITUTE(C160,""Sell_"",""""))),1,IF(REGEXMATCH(C160,""Sell_""),IF(COUNTIF(C$4:C160,SUBSTITUTE(C160,""Sell_"",""""))-COUNTIF(C$4:C159,C160)&lt;1,1),FALSE))))"),FALSE)</f>
        <v>0</v>
      </c>
      <c r="E160" s="59">
        <f t="array" ref="E160">IF(COUNTA(C160:C1673)=0,"",SUM((COUNTIF(C$4:C160,Upgrades!$B$3:$B$13)-COUNTIF(C$4:C160,"Sell_"&amp;Upgrades!$B$3:$B$13))*Upgrades!$D$3:$D$13))</f>
        <v>555517.6</v>
      </c>
      <c r="F160" s="66">
        <f>IFERROR(__xludf.DUMMYFUNCTION("IF(COUNTA(C160:C1673)=0,"""",IF(REGEXMATCH(INDEX(FILTER(C$4:C160,C$4:C160&lt;&gt;""""),ROWS(FILTER(C$4:C160,C$4:C160&lt;&gt;""""))),""^Sell_""),INDEX(FILTER(F$4:F159,C$4:C159&lt;&gt;""""),ROWS(FILTER(C$4:C159,C$4:C159&lt;&gt;""""))),$AC$5+E160))"),555532.6)</f>
        <v>555532.6</v>
      </c>
      <c r="G160" s="10">
        <f>IFERROR(__xludf.DUMMYFUNCTION("IF(COUNTA(C160:C1673)=0,"""",IF(C160="""",0,IF(REGEXMATCH(C160,""^Sell_""),-ROUNDDOWN(ROUNDUP(INDEX(Upgrades!$C$3:$C$13,MATCH(SUBSTITUTE(C160,""Sell_"",""""),Upgrades!$B$3:$B$13,0))*1.15^(COUNTIF(C$4:C159,SUBSTITUTE(C160,""Sell_"",""""))-COUNTIF(C$4:C159,"&amp;"""Sell_""&amp;SUBSTITUTE(C160,""Sell_"",""""))))/2),ROUNDUP(INDEX(Upgrades!$C$3:$C$13,MATCH(C160,Upgrades!$B$3:$B$13,0))*1.15^(COUNTIF(C$4:C159,C160)-COUNTIF(C$4:C159,""Sell_""&amp;C160))))))"),3.6074562E7)</f>
        <v>36074562</v>
      </c>
      <c r="H160" s="10">
        <f t="shared" si="3"/>
        <v>36074562</v>
      </c>
      <c r="I160" s="68">
        <f t="shared" si="4"/>
        <v>7643.41387</v>
      </c>
      <c r="J160" s="59" t="str">
        <f t="shared" si="5"/>
        <v>2h 07m 23s</v>
      </c>
      <c r="K160" s="69">
        <f t="shared" si="6"/>
        <v>890487730</v>
      </c>
      <c r="L160" s="60">
        <f t="shared" si="7"/>
        <v>-149.71817</v>
      </c>
      <c r="M160" s="61">
        <f>IFERROR(__xludf.DUMMYFUNCTION("IFS(AND(COUNTA(C160:C1673)=0,COUNTA(Q160:Q1673)=0),"""",OR(AND(K160&gt;=1000000000,OR(Y160&gt;=1000000000,COUNTA(Q160:Q1673)=0)),OR(Y160&gt;=1000000000,AND(COUNTA(C160:C1673)=0,P$3=TRUE))),
ROUNDDOWN((AB$1-AC$1)*MAX(INDEX(T$4:T1673,MATCH(LARGE(FILTER(Y$4:Y1673,Y$4"&amp;":Y1673&lt;1000000000),1),Y$4:Y1673)),INDEX(F$4:F1673,MATCH(LARGE(FILTER(K$4:K1673,K$4:K1673&lt;1000000000),1),K$4:K1673)))),AND(K160&lt;1000000000,COUNTA(C160:C1673)&gt;0,P$3=FALSE),
ROUNDDOWN(INDEX(Y$4:Y1673,MATCH(LARGE(FILTER(W$4:W1673,W$4:W1673&lt;=I160),1),W$4:W1673"&amp;"))+(I160-LARGE(FILTER(W$4:W1673,W$4:W1673&lt;=I160),1))*INDEX(T$4:T1673,MATCH(LARGE(FILTER(W$4:W1673,W$4:W1673&lt;=I160),1),W$4:W1673))-K160),1,
ROUNDDOWN(Y160-INDEX(K$4:K1673,MATCH(LARGE(FILTER(I$4:I1673,I$4:I1673&lt;=W160),1),I$4:I1673))-(W160-LARGE(FILTER(I$4:I"&amp;"1673,I$4:I1673&lt;=W160),1))*INDEX(F$4:F1673,MATCH(LARGE(FILTER(I$4:I1673,I$4:I1673&lt;=W160),1),I$4:I1673))))"),8.1552764E7)</f>
        <v>81552764</v>
      </c>
      <c r="N160" s="60">
        <f t="shared" si="8"/>
        <v>-149.71817</v>
      </c>
      <c r="O160" s="61" t="str">
        <f t="shared" si="9"/>
        <v>81,6M</v>
      </c>
      <c r="P160" s="56">
        <f t="shared" si="10"/>
        <v>15</v>
      </c>
      <c r="Q160" s="67" t="s">
        <v>6</v>
      </c>
      <c r="R160" s="10" t="b">
        <f>IFERROR(__xludf.DUMMYFUNCTION("IF(COUNTA(Q160:Q1673)=0,"""",IF(ISBLANK(Q160),FALSE,IF(NOT(COUNTIF($AA$24:$AA$34,SUBSTITUTE(Q160,""Sell_"",""""))),1,IF(REGEXMATCH(Q160,""Sell_""),IF(COUNTIF(Q$4:Q160,SUBSTITUTE(Q160,""Sell_"",""""))-COUNTIF(Q$4:Q159,Q160)&lt;1,1),FALSE))))"),FALSE)</f>
        <v>0</v>
      </c>
      <c r="S160" s="59">
        <f t="array" ref="S160">IF(COUNTA(Q160:Q1673)=0,"",SUM((COUNTIF(Q$4:Q160,Upgrades!$B$3:$B$13)-COUNTIF(Q$4:Q160,"Sell_"&amp;Upgrades!$B$3:$B$13))*Upgrades!$D$3:$D$13))</f>
        <v>106474.4</v>
      </c>
      <c r="T160" s="66">
        <f>IFERROR(__xludf.DUMMYFUNCTION("IF(COUNTA(Q160:Q1673)=0,"""",IF(REGEXMATCH(INDEX(FILTER(Q$4:Q160,Q$4:Q160&lt;&gt;""""),ROWS(FILTER(Q$4:Q160,Q$4:Q160&lt;&gt;""""))),""^Sell_""),INDEX(FILTER(T$4:T159,Q$4:Q159&lt;&gt;""""),ROWS(FILTER(Q$4:Q159,Q$4:Q159&lt;&gt;""""))),$AD$5+S160))"),106489.4)</f>
        <v>106489.4</v>
      </c>
      <c r="U160" s="10">
        <f>IFERROR(__xludf.DUMMYFUNCTION("IF(COUNTA(Q160:Q1673)=0,"""",IF(Q160="""",0,IF(REGEXMATCH(Q160,""^Sell_""),-ROUNDDOWN(ROUNDUP(INDEX(Upgrades!$C$3:$C$13,MATCH(SUBSTITUTE(Q160,""Sell_"",""""),Upgrades!$B$3:$B$13,0))*1.15^(COUNTIF(Q$4:Q159,SUBSTITUTE(Q160,""Sell_"",""""))-COUNTIF(Q$4:Q159,"&amp;"""Sell_""&amp;SUBSTITUTE(Q160,""Sell_"",""""))))/2),ROUNDUP(INDEX(Upgrades!$C$3:$C$13,MATCH(Q160,Upgrades!$B$3:$B$13,0))*1.15^(COUNTIF(Q$4:Q159,Q160)-COUNTIF(Q$4:Q159,""Sell_""&amp;Q160))))))"),21228.0)</f>
        <v>21228</v>
      </c>
      <c r="V160" s="10">
        <f t="shared" si="11"/>
        <v>21228</v>
      </c>
      <c r="W160" s="68">
        <f t="shared" si="12"/>
        <v>4340.653703</v>
      </c>
      <c r="X160" s="59" t="str">
        <f t="shared" si="13"/>
        <v>1h 12m 20s</v>
      </c>
      <c r="Y160" s="69">
        <f t="shared" si="14"/>
        <v>86829134</v>
      </c>
      <c r="Z160" s="11"/>
    </row>
    <row r="161">
      <c r="A161" s="8"/>
      <c r="B161" s="56">
        <f t="shared" si="2"/>
        <v>24</v>
      </c>
      <c r="C161" s="57" t="s">
        <v>10</v>
      </c>
      <c r="D161" s="10" t="b">
        <f>IFERROR(__xludf.DUMMYFUNCTION("IF(COUNTA(C161:C1673)=0,"""",IF(ISBLANK(C161),FALSE,IF(NOT(COUNTIF($AA$24:$AA$34,SUBSTITUTE(C161,""Sell_"",""""))),1,IF(REGEXMATCH(C161,""Sell_""),IF(COUNTIF(C$4:C161,SUBSTITUTE(C161,""Sell_"",""""))-COUNTIF(C$4:C160,C161)&lt;1,1),FALSE))))"),FALSE)</f>
        <v>0</v>
      </c>
      <c r="E161" s="59">
        <f t="array" ref="E161">IF(COUNTA(C161:C1673)=0,"",SUM((COUNTIF(C$4:C161,Upgrades!$B$3:$B$13)-COUNTIF(C$4:C161,"Sell_"&amp;Upgrades!$B$3:$B$13))*Upgrades!$D$3:$D$13))</f>
        <v>562183.6</v>
      </c>
      <c r="F161" s="66">
        <f>IFERROR(__xludf.DUMMYFUNCTION("IF(COUNTA(C161:C1673)=0,"""",IF(REGEXMATCH(INDEX(FILTER(C$4:C161,C$4:C161&lt;&gt;""""),ROWS(FILTER(C$4:C161,C$4:C161&lt;&gt;""""))),""^Sell_""),INDEX(FILTER(F$4:F160,C$4:C160&lt;&gt;""""),ROWS(FILTER(C$4:C160,C$4:C160&lt;&gt;""""))),$AC$5+E161))"),562198.6)</f>
        <v>562198.6</v>
      </c>
      <c r="G161" s="10">
        <f>IFERROR(__xludf.DUMMYFUNCTION("IF(COUNTA(C161:C1673)=0,"""",IF(C161="""",0,IF(REGEXMATCH(C161,""^Sell_""),-ROUNDDOWN(ROUNDUP(INDEX(Upgrades!$C$3:$C$13,MATCH(SUBSTITUTE(C161,""Sell_"",""""),Upgrades!$B$3:$B$13,0))*1.15^(COUNTIF(C$4:C160,SUBSTITUTE(C161,""Sell_"",""""))-COUNTIF(C$4:C160,"&amp;"""Sell_""&amp;SUBSTITUTE(C161,""Sell_"",""""))))/2),ROUNDUP(INDEX(Upgrades!$C$3:$C$13,MATCH(C161,Upgrades!$B$3:$B$13,0))*1.15^(COUNTIF(C$4:C160,C161)-COUNTIF(C$4:C160,""Sell_""&amp;C161))))))"),4.1485747E7)</f>
        <v>41485747</v>
      </c>
      <c r="H161" s="10">
        <f t="shared" si="3"/>
        <v>41485747</v>
      </c>
      <c r="I161" s="68">
        <f t="shared" si="4"/>
        <v>7718.0913</v>
      </c>
      <c r="J161" s="59" t="str">
        <f t="shared" si="5"/>
        <v>2h 08m 38s</v>
      </c>
      <c r="K161" s="69">
        <f t="shared" si="6"/>
        <v>931973477</v>
      </c>
      <c r="L161" s="60">
        <f t="shared" si="7"/>
        <v>-147.65533</v>
      </c>
      <c r="M161" s="61">
        <f>IFERROR(__xludf.DUMMYFUNCTION("IFS(AND(COUNTA(C161:C1673)=0,COUNTA(Q161:Q1673)=0),"""",OR(AND(K161&gt;=1000000000,OR(Y161&gt;=1000000000,COUNTA(Q161:Q1673)=0)),OR(Y161&gt;=1000000000,AND(COUNTA(C161:C1673)=0,P$3=TRUE))),
ROUNDDOWN((AB$1-AC$1)*MAX(INDEX(T$4:T1673,MATCH(LARGE(FILTER(Y$4:Y1673,Y$4"&amp;":Y1673&lt;1000000000),1),Y$4:Y1673)),INDEX(F$4:F1673,MATCH(LARGE(FILTER(K$4:K1673,K$4:K1673&lt;1000000000),1),K$4:K1673)))),AND(K161&lt;1000000000,COUNTA(C161:C1673)&gt;0,P$3=FALSE),
ROUNDDOWN(INDEX(Y$4:Y1673,MATCH(LARGE(FILTER(W$4:W1673,W$4:W1673&lt;=I161),1),W$4:W1673"&amp;"))+(I161-LARGE(FILTER(W$4:W1673,W$4:W1673&lt;=I161),1))*INDEX(T$4:T1673,MATCH(LARGE(FILTER(W$4:W1673,W$4:W1673&lt;=I161),1),W$4:W1673))-K161),1,
ROUNDDOWN(Y161-INDEX(K$4:K1673,MATCH(LARGE(FILTER(I$4:I1673,I$4:I1673&lt;=W161),1),I$4:I1673))-(W161-LARGE(FILTER(I$4:I"&amp;"1673,I$4:I1673&lt;=W161),1))*INDEX(F$4:F1673,MATCH(LARGE(FILTER(I$4:I1673,I$4:I1673&lt;=W161),1),I$4:I1673))))"),8.1664288E7)</f>
        <v>81664288</v>
      </c>
      <c r="N161" s="60">
        <f t="shared" si="8"/>
        <v>-147.65533</v>
      </c>
      <c r="O161" s="61" t="str">
        <f t="shared" si="9"/>
        <v>81,7M</v>
      </c>
      <c r="P161" s="56">
        <f t="shared" si="10"/>
        <v>20</v>
      </c>
      <c r="Q161" s="67" t="s">
        <v>3</v>
      </c>
      <c r="R161" s="10" t="b">
        <f>IFERROR(__xludf.DUMMYFUNCTION("IF(COUNTA(Q161:Q1673)=0,"""",IF(ISBLANK(Q161),FALSE,IF(NOT(COUNTIF($AA$24:$AA$34,SUBSTITUTE(Q161,""Sell_"",""""))),1,IF(REGEXMATCH(Q161,""Sell_""),IF(COUNTIF(Q$4:Q161,SUBSTITUTE(Q161,""Sell_"",""""))-COUNTIF(Q$4:Q160,Q161)&lt;1,1),FALSE))))"),FALSE)</f>
        <v>0</v>
      </c>
      <c r="S161" s="59">
        <f t="array" ref="S161">IF(COUNTA(Q161:Q1673)=0,"",SUM((COUNTIF(Q$4:Q161,Upgrades!$B$3:$B$13)-COUNTIF(Q$4:Q161,"Sell_"&amp;Upgrades!$B$3:$B$13))*Upgrades!$D$3:$D$13))</f>
        <v>106474.5</v>
      </c>
      <c r="T161" s="66">
        <f>IFERROR(__xludf.DUMMYFUNCTION("IF(COUNTA(Q161:Q1673)=0,"""",IF(REGEXMATCH(INDEX(FILTER(Q$4:Q161,Q$4:Q161&lt;&gt;""""),ROWS(FILTER(Q$4:Q161,Q$4:Q161&lt;&gt;""""))),""^Sell_""),INDEX(FILTER(T$4:T160,Q$4:Q160&lt;&gt;""""),ROWS(FILTER(Q$4:Q160,Q$4:Q160&lt;&gt;""""))),$AD$5+S161))"),106489.5)</f>
        <v>106489.5</v>
      </c>
      <c r="U161" s="10">
        <f>IFERROR(__xludf.DUMMYFUNCTION("IF(COUNTA(Q161:Q1673)=0,"""",IF(Q161="""",0,IF(REGEXMATCH(Q161,""^Sell_""),-ROUNDDOWN(ROUNDUP(INDEX(Upgrades!$C$3:$C$13,MATCH(SUBSTITUTE(Q161,""Sell_"",""""),Upgrades!$B$3:$B$13,0))*1.15^(COUNTIF(Q$4:Q160,SUBSTITUTE(Q161,""Sell_"",""""))-COUNTIF(Q$4:Q160,"&amp;"""Sell_""&amp;SUBSTITUTE(Q161,""Sell_"",""""))))/2),ROUNDUP(INDEX(Upgrades!$C$3:$C$13,MATCH(Q161,Upgrades!$B$3:$B$13,0))*1.15^(COUNTIF(Q$4:Q160,Q161)-COUNTIF(Q$4:Q160,""Sell_""&amp;Q161))))))"),214.0)</f>
        <v>214</v>
      </c>
      <c r="V161" s="10">
        <f t="shared" si="11"/>
        <v>214</v>
      </c>
      <c r="W161" s="68">
        <f t="shared" si="12"/>
        <v>4340.655713</v>
      </c>
      <c r="X161" s="59" t="str">
        <f t="shared" si="13"/>
        <v>1h 12m 20s</v>
      </c>
      <c r="Y161" s="69">
        <f t="shared" si="14"/>
        <v>86829348</v>
      </c>
      <c r="Z161" s="11"/>
    </row>
    <row r="162">
      <c r="A162" s="8"/>
      <c r="B162" s="56">
        <f t="shared" si="2"/>
        <v>13</v>
      </c>
      <c r="C162" s="62" t="s">
        <v>9</v>
      </c>
      <c r="D162" s="10" t="b">
        <f>IFERROR(__xludf.DUMMYFUNCTION("IF(COUNTA(C162:C1673)=0,"""",IF(ISBLANK(C162),FALSE,IF(NOT(COUNTIF($AA$24:$AA$34,SUBSTITUTE(C162,""Sell_"",""""))),1,IF(REGEXMATCH(C162,""Sell_""),IF(COUNTIF(C$4:C162,SUBSTITUTE(C162,""Sell_"",""""))-COUNTIF(C$4:C161,C162)&lt;1,1),FALSE))))"),FALSE)</f>
        <v>0</v>
      </c>
      <c r="E162" s="59">
        <f t="array" ref="E162">IF(COUNTA(C162:C1673)=0,"",SUM((COUNTIF(C$4:C162,Upgrades!$B$3:$B$13)-COUNTIF(C$4:C162,"Sell_"&amp;Upgrades!$B$3:$B$13))*Upgrades!$D$3:$D$13))</f>
        <v>562583.6</v>
      </c>
      <c r="F162" s="66">
        <f>IFERROR(__xludf.DUMMYFUNCTION("IF(COUNTA(C162:C1673)=0,"""",IF(REGEXMATCH(INDEX(FILTER(C$4:C162,C$4:C162&lt;&gt;""""),ROWS(FILTER(C$4:C162,C$4:C162&lt;&gt;""""))),""^Sell_""),INDEX(FILTER(F$4:F161,C$4:C161&lt;&gt;""""),ROWS(FILTER(C$4:C161,C$4:C161&lt;&gt;""""))),$AC$5+E162))"),562598.6)</f>
        <v>562598.6</v>
      </c>
      <c r="G162" s="10">
        <f>IFERROR(__xludf.DUMMYFUNCTION("IF(COUNTA(C162:C1673)=0,"""",IF(C162="""",0,IF(REGEXMATCH(C162,""^Sell_""),-ROUNDDOWN(ROUNDUP(INDEX(Upgrades!$C$3:$C$13,MATCH(SUBSTITUTE(C162,""Sell_"",""""),Upgrades!$B$3:$B$13,0))*1.15^(COUNTIF(C$4:C161,SUBSTITUTE(C162,""Sell_"",""""))-COUNTIF(C$4:C161,"&amp;"""Sell_""&amp;SUBSTITUTE(C162,""Sell_"",""""))))/2),ROUNDUP(INDEX(Upgrades!$C$3:$C$13,MATCH(C162,Upgrades!$B$3:$B$13,0))*1.15^(COUNTIF(C$4:C161,C162)-COUNTIF(C$4:C161,""Sell_""&amp;C162))))))"),1070051.0)</f>
        <v>1070051</v>
      </c>
      <c r="H162" s="10">
        <f t="shared" si="3"/>
        <v>1070051</v>
      </c>
      <c r="I162" s="68">
        <f t="shared" si="4"/>
        <v>7719.994633</v>
      </c>
      <c r="J162" s="59" t="str">
        <f t="shared" si="5"/>
        <v>2h 08m 39s</v>
      </c>
      <c r="K162" s="69">
        <f t="shared" si="6"/>
        <v>933043528</v>
      </c>
      <c r="L162" s="60">
        <f t="shared" si="7"/>
        <v>-147.59476</v>
      </c>
      <c r="M162" s="61">
        <f>IFERROR(__xludf.DUMMYFUNCTION("IFS(AND(COUNTA(C162:C1673)=0,COUNTA(Q162:Q1673)=0),"""",OR(AND(K162&gt;=1000000000,OR(Y162&gt;=1000000000,COUNTA(Q162:Q1673)=0)),OR(Y162&gt;=1000000000,AND(COUNTA(C162:C1673)=0,P$3=TRUE))),
ROUNDDOWN((AB$1-AC$1)*MAX(INDEX(T$4:T1673,MATCH(LARGE(FILTER(Y$4:Y1673,Y$4"&amp;":Y1673&lt;1000000000),1),Y$4:Y1673)),INDEX(F$4:F1673,MATCH(LARGE(FILTER(K$4:K1673,K$4:K1673&lt;1000000000),1),K$4:K1673)))),AND(K162&lt;1000000000,COUNTA(C162:C1673)&gt;0,P$3=FALSE),
ROUNDDOWN(INDEX(Y$4:Y1673,MATCH(LARGE(FILTER(W$4:W1673,W$4:W1673&lt;=I162),1),W$4:W1673"&amp;"))+(I162-LARGE(FILTER(W$4:W1673,W$4:W1673&lt;=I162),1))*INDEX(T$4:T1673,MATCH(LARGE(FILTER(W$4:W1673,W$4:W1673&lt;=I162),1),W$4:W1673))-K162),1,
ROUNDDOWN(Y162-INDEX(K$4:K1673,MATCH(LARGE(FILTER(I$4:I1673,I$4:I1673&lt;=W162),1),I$4:I1673))-(W162-LARGE(FILTER(I$4:I"&amp;"1673,I$4:I1673&lt;=W162),1))*INDEX(F$4:F1673,MATCH(LARGE(FILTER(I$4:I1673,I$4:I1673&lt;=W162),1),I$4:I1673))))"),8.1661018E7)</f>
        <v>81661018</v>
      </c>
      <c r="N162" s="60">
        <f t="shared" si="8"/>
        <v>-147.59476</v>
      </c>
      <c r="O162" s="61" t="str">
        <f t="shared" si="9"/>
        <v>81,7M</v>
      </c>
      <c r="P162" s="56">
        <f t="shared" si="10"/>
        <v>13</v>
      </c>
      <c r="Q162" s="105" t="s">
        <v>8</v>
      </c>
      <c r="R162" s="10" t="b">
        <f>IFERROR(__xludf.DUMMYFUNCTION("IF(COUNTA(Q162:Q1673)=0,"""",IF(ISBLANK(Q162),FALSE,IF(NOT(COUNTIF($AA$24:$AA$34,SUBSTITUTE(Q162,""Sell_"",""""))),1,IF(REGEXMATCH(Q162,""Sell_""),IF(COUNTIF(Q$4:Q162,SUBSTITUTE(Q162,""Sell_"",""""))-COUNTIF(Q$4:Q161,Q162)&lt;1,1),FALSE))))"),FALSE)</f>
        <v>0</v>
      </c>
      <c r="S162" s="59">
        <f t="array" ref="S162">IF(COUNTA(Q162:Q1673)=0,"",SUM((COUNTIF(Q$4:Q162,Upgrades!$B$3:$B$13)-COUNTIF(Q$4:Q162,"Sell_"&amp;Upgrades!$B$3:$B$13))*Upgrades!$D$3:$D$13))</f>
        <v>106574.5</v>
      </c>
      <c r="T162" s="66">
        <f>IFERROR(__xludf.DUMMYFUNCTION("IF(COUNTA(Q162:Q1673)=0,"""",IF(REGEXMATCH(INDEX(FILTER(Q$4:Q162,Q$4:Q162&lt;&gt;""""),ROWS(FILTER(Q$4:Q162,Q$4:Q162&lt;&gt;""""))),""^Sell_""),INDEX(FILTER(T$4:T161,Q$4:Q161&lt;&gt;""""),ROWS(FILTER(Q$4:Q161,Q$4:Q161&lt;&gt;""""))),$AD$5+S162))"),106589.5)</f>
        <v>106589.5</v>
      </c>
      <c r="U162" s="10">
        <f>IFERROR(__xludf.DUMMYFUNCTION("IF(COUNTA(Q162:Q1673)=0,"""",IF(Q162="""",0,IF(REGEXMATCH(Q162,""^Sell_""),-ROUNDDOWN(ROUNDUP(INDEX(Upgrades!$C$3:$C$13,MATCH(SUBSTITUTE(Q162,""Sell_"",""""),Upgrades!$B$3:$B$13,0))*1.15^(COUNTIF(Q$4:Q161,SUBSTITUTE(Q162,""Sell_"",""""))-COUNTIF(Q$4:Q161,"&amp;"""Sell_""&amp;SUBSTITUTE(Q162,""Sell_"",""""))))/2),ROUNDUP(INDEX(Upgrades!$C$3:$C$13,MATCH(Q162,Upgrades!$B$3:$B$13,0))*1.15^(COUNTIF(Q$4:Q161,Q162)-COUNTIF(Q$4:Q161,""Sell_""&amp;Q162))))))"),214011.0)</f>
        <v>214011</v>
      </c>
      <c r="V162" s="10">
        <f t="shared" si="11"/>
        <v>214011</v>
      </c>
      <c r="W162" s="68">
        <f t="shared" si="12"/>
        <v>4342.665404</v>
      </c>
      <c r="X162" s="59" t="str">
        <f t="shared" si="13"/>
        <v>1h 12m 22s</v>
      </c>
      <c r="Y162" s="69">
        <f t="shared" si="14"/>
        <v>87043359</v>
      </c>
      <c r="Z162" s="11"/>
    </row>
    <row r="163">
      <c r="A163" s="8"/>
      <c r="B163" s="56">
        <f t="shared" si="2"/>
        <v>14</v>
      </c>
      <c r="C163" s="62" t="s">
        <v>9</v>
      </c>
      <c r="D163" s="10" t="b">
        <f>IFERROR(__xludf.DUMMYFUNCTION("IF(COUNTA(C163:C1673)=0,"""",IF(ISBLANK(C163),FALSE,IF(NOT(COUNTIF($AA$24:$AA$34,SUBSTITUTE(C163,""Sell_"",""""))),1,IF(REGEXMATCH(C163,""Sell_""),IF(COUNTIF(C$4:C163,SUBSTITUTE(C163,""Sell_"",""""))-COUNTIF(C$4:C162,C163)&lt;1,1),FALSE))))"),FALSE)</f>
        <v>0</v>
      </c>
      <c r="E163" s="59">
        <f t="array" ref="E163">IF(COUNTA(C163:C1673)=0,"",SUM((COUNTIF(C$4:C163,Upgrades!$B$3:$B$13)-COUNTIF(C$4:C163,"Sell_"&amp;Upgrades!$B$3:$B$13))*Upgrades!$D$3:$D$13))</f>
        <v>562983.6</v>
      </c>
      <c r="F163" s="66">
        <f>IFERROR(__xludf.DUMMYFUNCTION("IF(COUNTA(C163:C1673)=0,"""",IF(REGEXMATCH(INDEX(FILTER(C$4:C163,C$4:C163&lt;&gt;""""),ROWS(FILTER(C$4:C163,C$4:C163&lt;&gt;""""))),""^Sell_""),INDEX(FILTER(F$4:F162,C$4:C162&lt;&gt;""""),ROWS(FILTER(C$4:C162,C$4:C162&lt;&gt;""""))),$AC$5+E163))"),562998.6)</f>
        <v>562998.6</v>
      </c>
      <c r="G163" s="10">
        <f>IFERROR(__xludf.DUMMYFUNCTION("IF(COUNTA(C163:C1673)=0,"""",IF(C163="""",0,IF(REGEXMATCH(C163,""^Sell_""),-ROUNDDOWN(ROUNDUP(INDEX(Upgrades!$C$3:$C$13,MATCH(SUBSTITUTE(C163,""Sell_"",""""),Upgrades!$B$3:$B$13,0))*1.15^(COUNTIF(C$4:C162,SUBSTITUTE(C163,""Sell_"",""""))-COUNTIF(C$4:C162,"&amp;"""Sell_""&amp;SUBSTITUTE(C163,""Sell_"",""""))))/2),ROUNDUP(INDEX(Upgrades!$C$3:$C$13,MATCH(C163,Upgrades!$B$3:$B$13,0))*1.15^(COUNTIF(C$4:C162,C163)-COUNTIF(C$4:C162,""Sell_""&amp;C163))))))"),1230558.0)</f>
        <v>1230558</v>
      </c>
      <c r="H163" s="10">
        <f t="shared" si="3"/>
        <v>1230558</v>
      </c>
      <c r="I163" s="68">
        <f t="shared" si="4"/>
        <v>7722.181908</v>
      </c>
      <c r="J163" s="59" t="str">
        <f t="shared" si="5"/>
        <v>2h 08m 42s</v>
      </c>
      <c r="K163" s="69">
        <f t="shared" si="6"/>
        <v>934274086</v>
      </c>
      <c r="L163" s="60">
        <f t="shared" si="7"/>
        <v>-147.52355</v>
      </c>
      <c r="M163" s="61">
        <f>IFERROR(__xludf.DUMMYFUNCTION("IFS(AND(COUNTA(C163:C1673)=0,COUNTA(Q163:Q1673)=0),"""",OR(AND(K163&gt;=1000000000,OR(Y163&gt;=1000000000,COUNTA(Q163:Q1673)=0)),OR(Y163&gt;=1000000000,AND(COUNTA(C163:C1673)=0,P$3=TRUE))),
ROUNDDOWN((AB$1-AC$1)*MAX(INDEX(T$4:T1673,MATCH(LARGE(FILTER(Y$4:Y1673,Y$4"&amp;":Y1673&lt;1000000000),1),Y$4:Y1673)),INDEX(F$4:F1673,MATCH(LARGE(FILTER(K$4:K1673,K$4:K1673&lt;1000000000),1),K$4:K1673)))),AND(K163&lt;1000000000,COUNTA(C163:C1673)&gt;0,P$3=FALSE),
ROUNDDOWN(INDEX(Y$4:Y1673,MATCH(LARGE(FILTER(W$4:W1673,W$4:W1673&lt;=I163),1),W$4:W1673"&amp;"))+(I163-LARGE(FILTER(W$4:W1673,W$4:W1673&lt;=I163),1))*INDEX(T$4:T1673,MATCH(LARGE(FILTER(W$4:W1673,W$4:W1673&lt;=I163),1),W$4:W1673))-K163),1,
ROUNDDOWN(Y163-INDEX(K$4:K1673,MATCH(LARGE(FILTER(I$4:I1673,I$4:I1673&lt;=W163),1),I$4:I1673))-(W163-LARGE(FILTER(I$4:I"&amp;"1673,I$4:I1673&lt;=W163),1))*INDEX(F$4:F1673,MATCH(LARGE(FILTER(I$4:I1673,I$4:I1673&lt;=W163),1),I$4:I1673))))"),8.1656385E7)</f>
        <v>81656385</v>
      </c>
      <c r="N163" s="60">
        <f t="shared" si="8"/>
        <v>-147.52355</v>
      </c>
      <c r="O163" s="61" t="str">
        <f t="shared" si="9"/>
        <v>81,7M</v>
      </c>
      <c r="P163" s="56">
        <f t="shared" si="10"/>
        <v>18</v>
      </c>
      <c r="Q163" s="105" t="s">
        <v>4</v>
      </c>
      <c r="R163" s="10" t="b">
        <f>IFERROR(__xludf.DUMMYFUNCTION("IF(COUNTA(Q163:Q1673)=0,"""",IF(ISBLANK(Q163),FALSE,IF(NOT(COUNTIF($AA$24:$AA$34,SUBSTITUTE(Q163,""Sell_"",""""))),1,IF(REGEXMATCH(Q163,""Sell_""),IF(COUNTIF(Q$4:Q163,SUBSTITUTE(Q163,""Sell_"",""""))-COUNTIF(Q$4:Q162,Q163)&lt;1,1),FALSE))))"),FALSE)</f>
        <v>0</v>
      </c>
      <c r="S163" s="59">
        <f t="array" ref="S163">IF(COUNTA(Q163:Q1673)=0,"",SUM((COUNTIF(Q$4:Q163,Upgrades!$B$3:$B$13)-COUNTIF(Q$4:Q163,"Sell_"&amp;Upgrades!$B$3:$B$13))*Upgrades!$D$3:$D$13))</f>
        <v>106575</v>
      </c>
      <c r="T163" s="66">
        <f>IFERROR(__xludf.DUMMYFUNCTION("IF(COUNTA(Q163:Q1673)=0,"""",IF(REGEXMATCH(INDEX(FILTER(Q$4:Q163,Q$4:Q163&lt;&gt;""""),ROWS(FILTER(Q$4:Q163,Q$4:Q163&lt;&gt;""""))),""^Sell_""),INDEX(FILTER(T$4:T162,Q$4:Q162&lt;&gt;""""),ROWS(FILTER(Q$4:Q162,Q$4:Q162&lt;&gt;""""))),$AD$5+S163))"),106590.0)</f>
        <v>106590</v>
      </c>
      <c r="U163" s="10">
        <f>IFERROR(__xludf.DUMMYFUNCTION("IF(COUNTA(Q163:Q1673)=0,"""",IF(Q163="""",0,IF(REGEXMATCH(Q163,""^Sell_""),-ROUNDDOWN(ROUNDUP(INDEX(Upgrades!$C$3:$C$13,MATCH(SUBSTITUTE(Q163,""Sell_"",""""),Upgrades!$B$3:$B$13,0))*1.15^(COUNTIF(Q$4:Q162,SUBSTITUTE(Q163,""Sell_"",""""))-COUNTIF(Q$4:Q162,"&amp;"""Sell_""&amp;SUBSTITUTE(Q163,""Sell_"",""""))))/2),ROUNDUP(INDEX(Upgrades!$C$3:$C$13,MATCH(Q163,Upgrades!$B$3:$B$13,0))*1.15^(COUNTIF(Q$4:Q162,Q163)-COUNTIF(Q$4:Q162,""Sell_""&amp;Q163))))))"),1077.0)</f>
        <v>1077</v>
      </c>
      <c r="V163" s="10">
        <f t="shared" si="11"/>
        <v>1077</v>
      </c>
      <c r="W163" s="68">
        <f t="shared" si="12"/>
        <v>4342.675508</v>
      </c>
      <c r="X163" s="59" t="str">
        <f t="shared" si="13"/>
        <v>1h 12m 22s</v>
      </c>
      <c r="Y163" s="69">
        <f t="shared" si="14"/>
        <v>87044436</v>
      </c>
      <c r="Z163" s="11"/>
    </row>
    <row r="164">
      <c r="A164" s="8"/>
      <c r="B164" s="56">
        <f t="shared" si="2"/>
        <v>15</v>
      </c>
      <c r="C164" s="62" t="s">
        <v>9</v>
      </c>
      <c r="D164" s="10" t="b">
        <f>IFERROR(__xludf.DUMMYFUNCTION("IF(COUNTA(C164:C1673)=0,"""",IF(ISBLANK(C164),FALSE,IF(NOT(COUNTIF($AA$24:$AA$34,SUBSTITUTE(C164,""Sell_"",""""))),1,IF(REGEXMATCH(C164,""Sell_""),IF(COUNTIF(C$4:C164,SUBSTITUTE(C164,""Sell_"",""""))-COUNTIF(C$4:C163,C164)&lt;1,1),FALSE))))"),FALSE)</f>
        <v>0</v>
      </c>
      <c r="E164" s="59">
        <f t="array" ref="E164">IF(COUNTA(C164:C1673)=0,"",SUM((COUNTIF(C$4:C164,Upgrades!$B$3:$B$13)-COUNTIF(C$4:C164,"Sell_"&amp;Upgrades!$B$3:$B$13))*Upgrades!$D$3:$D$13))</f>
        <v>563383.6</v>
      </c>
      <c r="F164" s="66">
        <f>IFERROR(__xludf.DUMMYFUNCTION("IF(COUNTA(C164:C1673)=0,"""",IF(REGEXMATCH(INDEX(FILTER(C$4:C164,C$4:C164&lt;&gt;""""),ROWS(FILTER(C$4:C164,C$4:C164&lt;&gt;""""))),""^Sell_""),INDEX(FILTER(F$4:F163,C$4:C163&lt;&gt;""""),ROWS(FILTER(C$4:C163,C$4:C163&lt;&gt;""""))),$AC$5+E164))"),563398.6)</f>
        <v>563398.6</v>
      </c>
      <c r="G164" s="10">
        <f>IFERROR(__xludf.DUMMYFUNCTION("IF(COUNTA(C164:C1673)=0,"""",IF(C164="""",0,IF(REGEXMATCH(C164,""^Sell_""),-ROUNDDOWN(ROUNDUP(INDEX(Upgrades!$C$3:$C$13,MATCH(SUBSTITUTE(C164,""Sell_"",""""),Upgrades!$B$3:$B$13,0))*1.15^(COUNTIF(C$4:C163,SUBSTITUTE(C164,""Sell_"",""""))-COUNTIF(C$4:C163,"&amp;"""Sell_""&amp;SUBSTITUTE(C164,""Sell_"",""""))))/2),ROUNDUP(INDEX(Upgrades!$C$3:$C$13,MATCH(C164,Upgrades!$B$3:$B$13,0))*1.15^(COUNTIF(C$4:C163,C164)-COUNTIF(C$4:C163,""Sell_""&amp;C164))))))"),1415142.0)</f>
        <v>1415142</v>
      </c>
      <c r="H164" s="10">
        <f t="shared" si="3"/>
        <v>1415142</v>
      </c>
      <c r="I164" s="68">
        <f t="shared" si="4"/>
        <v>7724.695488</v>
      </c>
      <c r="J164" s="59" t="str">
        <f t="shared" si="5"/>
        <v>2h 08m 44s</v>
      </c>
      <c r="K164" s="69">
        <f t="shared" si="6"/>
        <v>935689228</v>
      </c>
      <c r="L164" s="60">
        <f t="shared" si="7"/>
        <v>-147.43987</v>
      </c>
      <c r="M164" s="61">
        <f>IFERROR(__xludf.DUMMYFUNCTION("IFS(AND(COUNTA(C164:C1673)=0,COUNTA(Q164:Q1673)=0),"""",OR(AND(K164&gt;=1000000000,OR(Y164&gt;=1000000000,COUNTA(Q164:Q1673)=0)),OR(Y164&gt;=1000000000,AND(COUNTA(C164:C1673)=0,P$3=TRUE))),
ROUNDDOWN((AB$1-AC$1)*MAX(INDEX(T$4:T1673,MATCH(LARGE(FILTER(Y$4:Y1673,Y$4"&amp;":Y1673&lt;1000000000),1),Y$4:Y1673)),INDEX(F$4:F1673,MATCH(LARGE(FILTER(K$4:K1673,K$4:K1673&lt;1000000000),1),K$4:K1673)))),AND(K164&lt;1000000000,COUNTA(C164:C1673)&gt;0,P$3=FALSE),
ROUNDDOWN(INDEX(Y$4:Y1673,MATCH(LARGE(FILTER(W$4:W1673,W$4:W1673&lt;=I164),1),W$4:W1673"&amp;"))+(I164-LARGE(FILTER(W$4:W1673,W$4:W1673&lt;=I164),1))*INDEX(T$4:T1673,MATCH(LARGE(FILTER(W$4:W1673,W$4:W1673&lt;=I164),1),W$4:W1673))-K164),1,
ROUNDDOWN(Y164-INDEX(K$4:K1673,MATCH(LARGE(FILTER(I$4:I1673,I$4:I1673&lt;=W164),1),I$4:I1673))-(W164-LARGE(FILTER(I$4:I"&amp;"1673,I$4:I1673&lt;=W164),1))*INDEX(F$4:F1673,MATCH(LARGE(FILTER(I$4:I1673,I$4:I1673&lt;=W164),1),I$4:I1673))))"),8.1650056E7)</f>
        <v>81650056</v>
      </c>
      <c r="N164" s="60">
        <f t="shared" si="8"/>
        <v>-147.43987</v>
      </c>
      <c r="O164" s="61" t="str">
        <f t="shared" si="9"/>
        <v>81,7M</v>
      </c>
      <c r="P164" s="56">
        <f t="shared" si="10"/>
        <v>16</v>
      </c>
      <c r="Q164" s="105" t="s">
        <v>10</v>
      </c>
      <c r="R164" s="10" t="b">
        <f>IFERROR(__xludf.DUMMYFUNCTION("IF(COUNTA(Q164:Q1673)=0,"""",IF(ISBLANK(Q164),FALSE,IF(NOT(COUNTIF($AA$24:$AA$34,SUBSTITUTE(Q164,""Sell_"",""""))),1,IF(REGEXMATCH(Q164,""Sell_""),IF(COUNTIF(Q$4:Q164,SUBSTITUTE(Q164,""Sell_"",""""))-COUNTIF(Q$4:Q163,Q164)&lt;1,1),FALSE))))"),FALSE)</f>
        <v>0</v>
      </c>
      <c r="S164" s="59">
        <f t="array" ref="S164">IF(COUNTA(Q164:Q1673)=0,"",SUM((COUNTIF(Q$4:Q164,Upgrades!$B$3:$B$13)-COUNTIF(Q$4:Q164,"Sell_"&amp;Upgrades!$B$3:$B$13))*Upgrades!$D$3:$D$13))</f>
        <v>113241</v>
      </c>
      <c r="T164" s="66">
        <f>IFERROR(__xludf.DUMMYFUNCTION("IF(COUNTA(Q164:Q1673)=0,"""",IF(REGEXMATCH(INDEX(FILTER(Q$4:Q164,Q$4:Q164&lt;&gt;""""),ROWS(FILTER(Q$4:Q164,Q$4:Q164&lt;&gt;""""))),""^Sell_""),INDEX(FILTER(T$4:T163,Q$4:Q163&lt;&gt;""""),ROWS(FILTER(Q$4:Q163,Q$4:Q163&lt;&gt;""""))),$AD$5+S164))"),113256.0)</f>
        <v>113256</v>
      </c>
      <c r="U164" s="10">
        <f>IFERROR(__xludf.DUMMYFUNCTION("IF(COUNTA(Q164:Q1673)=0,"""",IF(Q164="""",0,IF(REGEXMATCH(Q164,""^Sell_""),-ROUNDDOWN(ROUNDUP(INDEX(Upgrades!$C$3:$C$13,MATCH(SUBSTITUTE(Q164,""Sell_"",""""),Upgrades!$B$3:$B$13,0))*1.15^(COUNTIF(Q$4:Q163,SUBSTITUTE(Q164,""Sell_"",""""))-COUNTIF(Q$4:Q163,"&amp;"""Sell_""&amp;SUBSTITUTE(Q164,""Sell_"",""""))))/2),ROUNDUP(INDEX(Upgrades!$C$3:$C$13,MATCH(Q164,Upgrades!$B$3:$B$13,0))*1.15^(COUNTIF(Q$4:Q163,Q164)-COUNTIF(Q$4:Q163,""Sell_""&amp;Q164))))))"),1.3561764E7)</f>
        <v>13561764</v>
      </c>
      <c r="V164" s="10">
        <f t="shared" si="11"/>
        <v>13561764</v>
      </c>
      <c r="W164" s="68">
        <f t="shared" si="12"/>
        <v>4469.908494</v>
      </c>
      <c r="X164" s="59" t="str">
        <f t="shared" si="13"/>
        <v>1h 14m 29s</v>
      </c>
      <c r="Y164" s="69">
        <f t="shared" si="14"/>
        <v>100606200</v>
      </c>
      <c r="Z164" s="11"/>
    </row>
    <row r="165">
      <c r="A165" s="8"/>
      <c r="B165" s="56">
        <f t="shared" si="2"/>
        <v>16</v>
      </c>
      <c r="C165" s="62" t="s">
        <v>9</v>
      </c>
      <c r="D165" s="10" t="b">
        <f>IFERROR(__xludf.DUMMYFUNCTION("IF(COUNTA(C165:C1673)=0,"""",IF(ISBLANK(C165),FALSE,IF(NOT(COUNTIF($AA$24:$AA$34,SUBSTITUTE(C165,""Sell_"",""""))),1,IF(REGEXMATCH(C165,""Sell_""),IF(COUNTIF(C$4:C165,SUBSTITUTE(C165,""Sell_"",""""))-COUNTIF(C$4:C164,C165)&lt;1,1),FALSE))))"),FALSE)</f>
        <v>0</v>
      </c>
      <c r="E165" s="59">
        <f t="array" ref="E165">IF(COUNTA(C165:C1673)=0,"",SUM((COUNTIF(C$4:C165,Upgrades!$B$3:$B$13)-COUNTIF(C$4:C165,"Sell_"&amp;Upgrades!$B$3:$B$13))*Upgrades!$D$3:$D$13))</f>
        <v>563783.6</v>
      </c>
      <c r="F165" s="66">
        <f>IFERROR(__xludf.DUMMYFUNCTION("IF(COUNTA(C165:C1673)=0,"""",IF(REGEXMATCH(INDEX(FILTER(C$4:C165,C$4:C165&lt;&gt;""""),ROWS(FILTER(C$4:C165,C$4:C165&lt;&gt;""""))),""^Sell_""),INDEX(FILTER(F$4:F164,C$4:C164&lt;&gt;""""),ROWS(FILTER(C$4:C164,C$4:C164&lt;&gt;""""))),$AC$5+E165))"),563798.6)</f>
        <v>563798.6</v>
      </c>
      <c r="G165" s="10">
        <f>IFERROR(__xludf.DUMMYFUNCTION("IF(COUNTA(C165:C1673)=0,"""",IF(C165="""",0,IF(REGEXMATCH(C165,""^Sell_""),-ROUNDDOWN(ROUNDUP(INDEX(Upgrades!$C$3:$C$13,MATCH(SUBSTITUTE(C165,""Sell_"",""""),Upgrades!$B$3:$B$13,0))*1.15^(COUNTIF(C$4:C164,SUBSTITUTE(C165,""Sell_"",""""))-COUNTIF(C$4:C164,"&amp;"""Sell_""&amp;SUBSTITUTE(C165,""Sell_"",""""))))/2),ROUNDUP(INDEX(Upgrades!$C$3:$C$13,MATCH(C165,Upgrades!$B$3:$B$13,0))*1.15^(COUNTIF(C$4:C164,C165)-COUNTIF(C$4:C164,""Sell_""&amp;C165))))))"),1627413.0)</f>
        <v>1627413</v>
      </c>
      <c r="H165" s="10">
        <f t="shared" si="3"/>
        <v>1627413</v>
      </c>
      <c r="I165" s="68">
        <f t="shared" si="4"/>
        <v>7727.584053</v>
      </c>
      <c r="J165" s="59" t="str">
        <f t="shared" si="5"/>
        <v>2h 08m 47s</v>
      </c>
      <c r="K165" s="69">
        <f t="shared" si="6"/>
        <v>937316641</v>
      </c>
      <c r="L165" s="60">
        <f t="shared" si="7"/>
        <v>-147.34158</v>
      </c>
      <c r="M165" s="61">
        <f>IFERROR(__xludf.DUMMYFUNCTION("IFS(AND(COUNTA(C165:C1673)=0,COUNTA(Q165:Q1673)=0),"""",OR(AND(K165&gt;=1000000000,OR(Y165&gt;=1000000000,COUNTA(Q165:Q1673)=0)),OR(Y165&gt;=1000000000,AND(COUNTA(C165:C1673)=0,P$3=TRUE))),
ROUNDDOWN((AB$1-AC$1)*MAX(INDEX(T$4:T1673,MATCH(LARGE(FILTER(Y$4:Y1673,Y$4"&amp;":Y1673&lt;1000000000),1),Y$4:Y1673)),INDEX(F$4:F1673,MATCH(LARGE(FILTER(K$4:K1673,K$4:K1673&lt;1000000000),1),K$4:K1673)))),AND(K165&lt;1000000000,COUNTA(C165:C1673)&gt;0,P$3=FALSE),
ROUNDDOWN(INDEX(Y$4:Y1673,MATCH(LARGE(FILTER(W$4:W1673,W$4:W1673&lt;=I165),1),W$4:W1673"&amp;"))+(I165-LARGE(FILTER(W$4:W1673,W$4:W1673&lt;=I165),1))*INDEX(T$4:T1673,MATCH(LARGE(FILTER(W$4:W1673,W$4:W1673&lt;=I165),1),W$4:W1673))-K165),1,
ROUNDDOWN(Y165-INDEX(K$4:K1673,MATCH(LARGE(FILTER(I$4:I1673,I$4:I1673&lt;=W165),1),I$4:I1673))-(W165-LARGE(FILTER(I$4:I"&amp;"1673,I$4:I1673&lt;=W165),1))*INDEX(F$4:F1673,MATCH(LARGE(FILTER(I$4:I1673,I$4:I1673&lt;=W165),1),I$4:I1673))))"),8.1641627E7)</f>
        <v>81641627</v>
      </c>
      <c r="N165" s="60">
        <f t="shared" si="8"/>
        <v>-147.34158</v>
      </c>
      <c r="O165" s="61" t="str">
        <f t="shared" si="9"/>
        <v>81,6M</v>
      </c>
      <c r="P165" s="56">
        <f t="shared" si="10"/>
        <v>1</v>
      </c>
      <c r="Q165" s="105" t="s">
        <v>64</v>
      </c>
      <c r="R165" s="10" t="b">
        <f>IFERROR(__xludf.DUMMYFUNCTION("IF(COUNTA(Q165:Q1673)=0,"""",IF(ISBLANK(Q165),FALSE,IF(NOT(COUNTIF($AA$24:$AA$34,SUBSTITUTE(Q165,""Sell_"",""""))),1,IF(REGEXMATCH(Q165,""Sell_""),IF(COUNTIF(Q$4:Q165,SUBSTITUTE(Q165,""Sell_"",""""))-COUNTIF(Q$4:Q164,Q165)&lt;1,1),FALSE))))"),FALSE)</f>
        <v>0</v>
      </c>
      <c r="S165" s="59">
        <f t="array" ref="S165">IF(COUNTA(Q165:Q1673)=0,"",SUM((COUNTIF(Q$4:Q165,Upgrades!$B$3:$B$13)-COUNTIF(Q$4:Q165,"Sell_"&amp;Upgrades!$B$3:$B$13))*Upgrades!$D$3:$D$13))</f>
        <v>106575</v>
      </c>
      <c r="T165" s="66">
        <f>IFERROR(__xludf.DUMMYFUNCTION("IF(COUNTA(Q165:Q1673)=0,"""",IF(REGEXMATCH(INDEX(FILTER(Q$4:Q165,Q$4:Q165&lt;&gt;""""),ROWS(FILTER(Q$4:Q165,Q$4:Q165&lt;&gt;""""))),""^Sell_""),INDEX(FILTER(T$4:T164,Q$4:Q164&lt;&gt;""""),ROWS(FILTER(Q$4:Q164,Q$4:Q164&lt;&gt;""""))),$AD$5+S165))"),113256.0)</f>
        <v>113256</v>
      </c>
      <c r="U165" s="10">
        <f>IFERROR(__xludf.DUMMYFUNCTION("IF(COUNTA(Q165:Q1673)=0,"""",IF(Q165="""",0,IF(REGEXMATCH(Q165,""^Sell_""),-ROUNDDOWN(ROUNDUP(INDEX(Upgrades!$C$3:$C$13,MATCH(SUBSTITUTE(Q165,""Sell_"",""""),Upgrades!$B$3:$B$13,0))*1.15^(COUNTIF(Q$4:Q164,SUBSTITUTE(Q165,""Sell_"",""""))-COUNTIF(Q$4:Q164,"&amp;"""Sell_""&amp;SUBSTITUTE(Q165,""Sell_"",""""))))/2),ROUNDUP(INDEX(Upgrades!$C$3:$C$13,MATCH(Q165,Upgrades!$B$3:$B$13,0))*1.15^(COUNTIF(Q$4:Q164,Q165)-COUNTIF(Q$4:Q164,""Sell_""&amp;Q165))))))"),-7798014.0)</f>
        <v>-7798014</v>
      </c>
      <c r="V165" s="10">
        <f t="shared" si="11"/>
        <v>-7798014</v>
      </c>
      <c r="W165" s="68">
        <f t="shared" si="12"/>
        <v>4469.908494</v>
      </c>
      <c r="X165" s="59" t="str">
        <f t="shared" si="13"/>
        <v>1h 14m 29s</v>
      </c>
      <c r="Y165" s="69">
        <f t="shared" si="14"/>
        <v>100606200</v>
      </c>
      <c r="Z165" s="11"/>
    </row>
    <row r="166">
      <c r="A166" s="8"/>
      <c r="B166" s="56">
        <f t="shared" si="2"/>
        <v>17</v>
      </c>
      <c r="C166" s="62" t="s">
        <v>9</v>
      </c>
      <c r="D166" s="10"/>
      <c r="E166" s="59">
        <f t="array" ref="E166">IF(COUNTA(C166:C1673)=0,"",SUM((COUNTIF(C$4:C166,Upgrades!$B$3:$B$13)-COUNTIF(C$4:C166,"Sell_"&amp;Upgrades!$B$3:$B$13))*Upgrades!$D$3:$D$13))</f>
        <v>564183.6</v>
      </c>
      <c r="F166" s="66">
        <f>IFERROR(__xludf.DUMMYFUNCTION("IF(COUNTA(C166:C1673)=0,"""",IF(REGEXMATCH(INDEX(FILTER(C$4:C166,C$4:C166&lt;&gt;""""),ROWS(FILTER(C$4:C166,C$4:C166&lt;&gt;""""))),""^Sell_""),INDEX(FILTER(F$4:F165,C$4:C165&lt;&gt;""""),ROWS(FILTER(C$4:C165,C$4:C165&lt;&gt;""""))),$AC$5+E166))"),564198.6)</f>
        <v>564198.6</v>
      </c>
      <c r="G166" s="10">
        <f>IFERROR(__xludf.DUMMYFUNCTION("IF(COUNTA(C166:C1673)=0,"""",IF(C166="""",0,IF(REGEXMATCH(C166,""^Sell_""),-ROUNDDOWN(ROUNDUP(INDEX(Upgrades!$C$3:$C$13,MATCH(SUBSTITUTE(C166,""Sell_"",""""),Upgrades!$B$3:$B$13,0))*1.15^(COUNTIF(C$4:C165,SUBSTITUTE(C166,""Sell_"",""""))-COUNTIF(C$4:C165,"&amp;"""Sell_""&amp;SUBSTITUTE(C166,""Sell_"",""""))))/2),ROUNDUP(INDEX(Upgrades!$C$3:$C$13,MATCH(C166,Upgrades!$B$3:$B$13,0))*1.15^(COUNTIF(C$4:C165,C166)-COUNTIF(C$4:C165,""Sell_""&amp;C166))))))"),1871525.0)</f>
        <v>1871525</v>
      </c>
      <c r="H166" s="10">
        <f t="shared" si="3"/>
        <v>1871525</v>
      </c>
      <c r="I166" s="68">
        <f t="shared" si="4"/>
        <v>7730.903545</v>
      </c>
      <c r="J166" s="59" t="str">
        <f t="shared" si="5"/>
        <v>2h 08m 50s</v>
      </c>
      <c r="K166" s="69">
        <f t="shared" si="6"/>
        <v>939188166</v>
      </c>
      <c r="L166" s="60">
        <f t="shared" si="7"/>
        <v>-147.22619</v>
      </c>
      <c r="M166" s="61">
        <f>IFERROR(__xludf.DUMMYFUNCTION("IFS(AND(COUNTA(C166:C1673)=0,COUNTA(Q166:Q1673)=0),"""",OR(AND(K166&gt;=1000000000,OR(Y166&gt;=1000000000,COUNTA(Q166:Q1673)=0)),OR(Y166&gt;=1000000000,AND(COUNTA(C166:C1673)=0,P$3=TRUE))),
ROUNDDOWN((AB$1-AC$1)*MAX(INDEX(T$4:T1673,MATCH(LARGE(FILTER(Y$4:Y1673,Y$4"&amp;":Y1673&lt;1000000000),1),Y$4:Y1673)),INDEX(F$4:F1673,MATCH(LARGE(FILTER(K$4:K1673,K$4:K1673&lt;1000000000),1),K$4:K1673)))),AND(K166&lt;1000000000,COUNTA(C166:C1673)&gt;0,P$3=FALSE),
ROUNDDOWN(INDEX(Y$4:Y1673,MATCH(LARGE(FILTER(W$4:W1673,W$4:W1673&lt;=I166),1),W$4:W1673"&amp;"))+(I166-LARGE(FILTER(W$4:W1673,W$4:W1673&lt;=I166),1))*INDEX(T$4:T1673,MATCH(LARGE(FILTER(W$4:W1673,W$4:W1673&lt;=I166),1),W$4:W1673))-K166),1,
ROUNDDOWN(Y166-INDEX(K$4:K1673,MATCH(LARGE(FILTER(I$4:I1673,I$4:I1673&lt;=W166),1),I$4:I1673))-(W166-LARGE(FILTER(I$4:I"&amp;"1673,I$4:I1673&lt;=W166),1))*INDEX(F$4:F1673,MATCH(LARGE(FILTER(I$4:I1673,I$4:I1673&lt;=W166),1),I$4:I1673))))"),8.1630613E7)</f>
        <v>81630613</v>
      </c>
      <c r="N166" s="60">
        <f t="shared" si="8"/>
        <v>-147.22619</v>
      </c>
      <c r="O166" s="61" t="str">
        <f t="shared" si="9"/>
        <v>81,6M</v>
      </c>
      <c r="P166" s="56">
        <f t="shared" si="10"/>
        <v>6</v>
      </c>
      <c r="Q166" s="105" t="s">
        <v>60</v>
      </c>
      <c r="R166" s="10" t="b">
        <f>IFERROR(__xludf.DUMMYFUNCTION("IF(COUNTA(Q166:Q1673)=0,"""",IF(ISBLANK(Q166),FALSE,IF(NOT(COUNTIF($AA$24:$AA$34,SUBSTITUTE(Q166,""Sell_"",""""))),1,IF(REGEXMATCH(Q166,""Sell_""),IF(COUNTIF(Q$4:Q166,SUBSTITUTE(Q166,""Sell_"",""""))-COUNTIF(Q$4:Q165,Q166)&lt;1,1),FALSE))))"),FALSE)</f>
        <v>0</v>
      </c>
      <c r="S166" s="59">
        <f t="array" ref="S166">IF(COUNTA(Q166:Q1673)=0,"",SUM((COUNTIF(Q$4:Q166,Upgrades!$B$3:$B$13)-COUNTIF(Q$4:Q166,"Sell_"&amp;Upgrades!$B$3:$B$13))*Upgrades!$D$3:$D$13))</f>
        <v>106175</v>
      </c>
      <c r="T166" s="66">
        <f>IFERROR(__xludf.DUMMYFUNCTION("IF(COUNTA(Q166:Q1673)=0,"""",IF(REGEXMATCH(INDEX(FILTER(Q$4:Q166,Q$4:Q166&lt;&gt;""""),ROWS(FILTER(Q$4:Q166,Q$4:Q166&lt;&gt;""""))),""^Sell_""),INDEX(FILTER(T$4:T165,Q$4:Q165&lt;&gt;""""),ROWS(FILTER(Q$4:Q165,Q$4:Q165&lt;&gt;""""))),$AD$5+S166))"),113256.0)</f>
        <v>113256</v>
      </c>
      <c r="U166" s="10">
        <f>IFERROR(__xludf.DUMMYFUNCTION("IF(COUNTA(Q166:Q1673)=0,"""",IF(Q166="""",0,IF(REGEXMATCH(Q166,""^Sell_""),-ROUNDDOWN(ROUNDUP(INDEX(Upgrades!$C$3:$C$13,MATCH(SUBSTITUTE(Q166,""Sell_"",""""),Upgrades!$B$3:$B$13,0))*1.15^(COUNTIF(Q$4:Q165,SUBSTITUTE(Q166,""Sell_"",""""))-COUNTIF(Q$4:Q165,"&amp;"""Sell_""&amp;SUBSTITUTE(Q166,""Sell_"",""""))))/2),ROUNDUP(INDEX(Upgrades!$C$3:$C$13,MATCH(Q166,Upgrades!$B$3:$B$13,0))*1.15^(COUNTIF(Q$4:Q165,Q166)-COUNTIF(Q$4:Q165,""Sell_""&amp;Q166))))))"),-465239.0)</f>
        <v>-465239</v>
      </c>
      <c r="V166" s="10">
        <f t="shared" si="11"/>
        <v>-8263253</v>
      </c>
      <c r="W166" s="68">
        <f t="shared" si="12"/>
        <v>4469.908494</v>
      </c>
      <c r="X166" s="59" t="str">
        <f t="shared" si="13"/>
        <v>1h 14m 29s</v>
      </c>
      <c r="Y166" s="69">
        <f t="shared" si="14"/>
        <v>100606200</v>
      </c>
      <c r="Z166" s="11"/>
    </row>
    <row r="167">
      <c r="A167" s="8"/>
      <c r="B167" s="56">
        <f t="shared" si="2"/>
        <v>18</v>
      </c>
      <c r="C167" s="62" t="s">
        <v>9</v>
      </c>
      <c r="D167" s="10"/>
      <c r="E167" s="59">
        <f t="array" ref="E167">IF(COUNTA(C167:C1673)=0,"",SUM((COUNTIF(C$4:C167,Upgrades!$B$3:$B$13)-COUNTIF(C$4:C167,"Sell_"&amp;Upgrades!$B$3:$B$13))*Upgrades!$D$3:$D$13))</f>
        <v>564583.6</v>
      </c>
      <c r="F167" s="66">
        <f>IFERROR(__xludf.DUMMYFUNCTION("IF(COUNTA(C167:C1673)=0,"""",IF(REGEXMATCH(INDEX(FILTER(C$4:C167,C$4:C167&lt;&gt;""""),ROWS(FILTER(C$4:C167,C$4:C167&lt;&gt;""""))),""^Sell_""),INDEX(FILTER(F$4:F166,C$4:C166&lt;&gt;""""),ROWS(FILTER(C$4:C166,C$4:C166&lt;&gt;""""))),$AC$5+E167))"),564598.6)</f>
        <v>564598.6</v>
      </c>
      <c r="G167" s="10">
        <f>IFERROR(__xludf.DUMMYFUNCTION("IF(COUNTA(C167:C1673)=0,"""",IF(C167="""",0,IF(REGEXMATCH(C167,""^Sell_""),-ROUNDDOWN(ROUNDUP(INDEX(Upgrades!$C$3:$C$13,MATCH(SUBSTITUTE(C167,""Sell_"",""""),Upgrades!$B$3:$B$13,0))*1.15^(COUNTIF(C$4:C166,SUBSTITUTE(C167,""Sell_"",""""))-COUNTIF(C$4:C166,"&amp;"""Sell_""&amp;SUBSTITUTE(C167,""Sell_"",""""))))/2),ROUNDUP(INDEX(Upgrades!$C$3:$C$13,MATCH(C167,Upgrades!$B$3:$B$13,0))*1.15^(COUNTIF(C$4:C166,C167)-COUNTIF(C$4:C166,""Sell_""&amp;C167))))))"),2152253.0)</f>
        <v>2152253</v>
      </c>
      <c r="H167" s="10">
        <f t="shared" si="3"/>
        <v>2152253</v>
      </c>
      <c r="I167" s="68">
        <f t="shared" si="4"/>
        <v>7734.718253</v>
      </c>
      <c r="J167" s="59" t="str">
        <f t="shared" si="5"/>
        <v>2h 08m 54s</v>
      </c>
      <c r="K167" s="69">
        <f t="shared" si="6"/>
        <v>941340419</v>
      </c>
      <c r="L167" s="60">
        <f t="shared" si="7"/>
        <v>-147.09079</v>
      </c>
      <c r="M167" s="61">
        <f>IFERROR(__xludf.DUMMYFUNCTION("IFS(AND(COUNTA(C167:C1673)=0,COUNTA(Q167:Q1673)=0),"""",OR(AND(K167&gt;=1000000000,OR(Y167&gt;=1000000000,COUNTA(Q167:Q1673)=0)),OR(Y167&gt;=1000000000,AND(COUNTA(C167:C1673)=0,P$3=TRUE))),
ROUNDDOWN((AB$1-AC$1)*MAX(INDEX(T$4:T1673,MATCH(LARGE(FILTER(Y$4:Y1673,Y$4"&amp;":Y1673&lt;1000000000),1),Y$4:Y1673)),INDEX(F$4:F1673,MATCH(LARGE(FILTER(K$4:K1673,K$4:K1673&lt;1000000000),1),K$4:K1673)))),AND(K167&lt;1000000000,COUNTA(C167:C1673)&gt;0,P$3=FALSE),
ROUNDDOWN(INDEX(Y$4:Y1673,MATCH(LARGE(FILTER(W$4:W1673,W$4:W1673&lt;=I167),1),W$4:W1673"&amp;"))+(I167-LARGE(FILTER(W$4:W1673,W$4:W1673&lt;=I167),1))*INDEX(T$4:T1673,MATCH(LARGE(FILTER(W$4:W1673,W$4:W1673&lt;=I167),1),W$4:W1673))-K167),1,
ROUNDDOWN(Y167-INDEX(K$4:K1673,MATCH(LARGE(FILTER(I$4:I1673,I$4:I1673&lt;=W167),1),I$4:I1673))-(W167-LARGE(FILTER(I$4:I"&amp;"1673,I$4:I1673&lt;=W167),1))*INDEX(F$4:F1673,MATCH(LARGE(FILTER(I$4:I1673,I$4:I1673&lt;=W167),1),I$4:I1673))))"),8.161643E7)</f>
        <v>81616430</v>
      </c>
      <c r="N167" s="60">
        <f t="shared" si="8"/>
        <v>-147.09079</v>
      </c>
      <c r="O167" s="61" t="str">
        <f t="shared" si="9"/>
        <v>81,6M</v>
      </c>
      <c r="P167" s="56">
        <f t="shared" si="10"/>
        <v>11</v>
      </c>
      <c r="Q167" s="105" t="s">
        <v>61</v>
      </c>
      <c r="R167" s="10"/>
      <c r="S167" s="59">
        <f t="array" ref="S167">IF(COUNTA(Q167:Q1673)=0,"",SUM((COUNTIF(Q$4:Q167,Upgrades!$B$3:$B$13)-COUNTIF(Q$4:Q167,"Sell_"&amp;Upgrades!$B$3:$B$13))*Upgrades!$D$3:$D$13))</f>
        <v>106075</v>
      </c>
      <c r="T167" s="66">
        <f>IFERROR(__xludf.DUMMYFUNCTION("IF(COUNTA(Q167:Q1673)=0,"""",IF(REGEXMATCH(INDEX(FILTER(Q$4:Q167,Q$4:Q167&lt;&gt;""""),ROWS(FILTER(Q$4:Q167,Q$4:Q167&lt;&gt;""""))),""^Sell_""),INDEX(FILTER(T$4:T166,Q$4:Q166&lt;&gt;""""),ROWS(FILTER(Q$4:Q166,Q$4:Q166&lt;&gt;""""))),$AD$5+S167))"),113256.0)</f>
        <v>113256</v>
      </c>
      <c r="U167" s="10">
        <f>IFERROR(__xludf.DUMMYFUNCTION("IF(COUNTA(Q167:Q1673)=0,"""",IF(Q167="""",0,IF(REGEXMATCH(Q167,""^Sell_""),-ROUNDDOWN(ROUNDUP(INDEX(Upgrades!$C$3:$C$13,MATCH(SUBSTITUTE(Q167,""Sell_"",""""),Upgrades!$B$3:$B$13,0))*1.15^(COUNTIF(Q$4:Q166,SUBSTITUTE(Q167,""Sell_"",""""))-COUNTIF(Q$4:Q166,"&amp;"""Sell_""&amp;SUBSTITUTE(Q167,""Sell_"",""""))))/2),ROUNDUP(INDEX(Upgrades!$C$3:$C$13,MATCH(Q167,Upgrades!$B$3:$B$13,0))*1.15^(COUNTIF(Q$4:Q166,Q167)-COUNTIF(Q$4:Q166,""Sell_""&amp;Q167))))))"),-123056.0)</f>
        <v>-123056</v>
      </c>
      <c r="V167" s="10">
        <f t="shared" si="11"/>
        <v>-8386309</v>
      </c>
      <c r="W167" s="68">
        <f t="shared" si="12"/>
        <v>4469.908494</v>
      </c>
      <c r="X167" s="59" t="str">
        <f t="shared" si="13"/>
        <v>1h 14m 29s</v>
      </c>
      <c r="Y167" s="69">
        <f t="shared" si="14"/>
        <v>100606200</v>
      </c>
      <c r="Z167" s="11"/>
    </row>
    <row r="168">
      <c r="A168" s="8"/>
      <c r="B168" s="56">
        <f t="shared" si="2"/>
        <v>19</v>
      </c>
      <c r="C168" s="62" t="s">
        <v>9</v>
      </c>
      <c r="D168" s="10"/>
      <c r="E168" s="59">
        <f t="array" ref="E168">IF(COUNTA(C168:C1673)=0,"",SUM((COUNTIF(C$4:C168,Upgrades!$B$3:$B$13)-COUNTIF(C$4:C168,"Sell_"&amp;Upgrades!$B$3:$B$13))*Upgrades!$D$3:$D$13))</f>
        <v>564983.6</v>
      </c>
      <c r="F168" s="66">
        <f>IFERROR(__xludf.DUMMYFUNCTION("IF(COUNTA(C168:C1673)=0,"""",IF(REGEXMATCH(INDEX(FILTER(C$4:C168,C$4:C168&lt;&gt;""""),ROWS(FILTER(C$4:C168,C$4:C168&lt;&gt;""""))),""^Sell_""),INDEX(FILTER(F$4:F167,C$4:C167&lt;&gt;""""),ROWS(FILTER(C$4:C167,C$4:C167&lt;&gt;""""))),$AC$5+E168))"),564998.6)</f>
        <v>564998.6</v>
      </c>
      <c r="G168" s="10">
        <f>IFERROR(__xludf.DUMMYFUNCTION("IF(COUNTA(C168:C1673)=0,"""",IF(C168="""",0,IF(REGEXMATCH(C168,""^Sell_""),-ROUNDDOWN(ROUNDUP(INDEX(Upgrades!$C$3:$C$13,MATCH(SUBSTITUTE(C168,""Sell_"",""""),Upgrades!$B$3:$B$13,0))*1.15^(COUNTIF(C$4:C167,SUBSTITUTE(C168,""Sell_"",""""))-COUNTIF(C$4:C167,"&amp;"""Sell_""&amp;SUBSTITUTE(C168,""Sell_"",""""))))/2),ROUNDUP(INDEX(Upgrades!$C$3:$C$13,MATCH(C168,Upgrades!$B$3:$B$13,0))*1.15^(COUNTIF(C$4:C167,C168)-COUNTIF(C$4:C167,""Sell_""&amp;C168))))))"),2475091.0)</f>
        <v>2475091</v>
      </c>
      <c r="H168" s="10">
        <f t="shared" si="3"/>
        <v>2475091</v>
      </c>
      <c r="I168" s="68">
        <f t="shared" si="4"/>
        <v>7739.102059</v>
      </c>
      <c r="J168" s="59" t="str">
        <f t="shared" si="5"/>
        <v>2h 08m 59s</v>
      </c>
      <c r="K168" s="69">
        <f t="shared" si="6"/>
        <v>943815510</v>
      </c>
      <c r="L168" s="60">
        <f t="shared" si="7"/>
        <v>-146.93197</v>
      </c>
      <c r="M168" s="61">
        <f>IFERROR(__xludf.DUMMYFUNCTION("IFS(AND(COUNTA(C168:C1673)=0,COUNTA(Q168:Q1673)=0),"""",OR(AND(K168&gt;=1000000000,OR(Y168&gt;=1000000000,COUNTA(Q168:Q1673)=0)),OR(Y168&gt;=1000000000,AND(COUNTA(C168:C1673)=0,P$3=TRUE))),
ROUNDDOWN((AB$1-AC$1)*MAX(INDEX(T$4:T1673,MATCH(LARGE(FILTER(Y$4:Y1673,Y$4"&amp;":Y1673&lt;1000000000),1),Y$4:Y1673)),INDEX(F$4:F1673,MATCH(LARGE(FILTER(K$4:K1673,K$4:K1673&lt;1000000000),1),K$4:K1673)))),AND(K168&lt;1000000000,COUNTA(C168:C1673)&gt;0,P$3=FALSE),
ROUNDDOWN(INDEX(Y$4:Y1673,MATCH(LARGE(FILTER(W$4:W1673,W$4:W1673&lt;=I168),1),W$4:W1673"&amp;"))+(I168-LARGE(FILTER(W$4:W1673,W$4:W1673&lt;=I168),1))*INDEX(T$4:T1673,MATCH(LARGE(FILTER(W$4:W1673,W$4:W1673&lt;=I168),1),W$4:W1673))-K168),1,
ROUNDDOWN(Y168-INDEX(K$4:K1673,MATCH(LARGE(FILTER(I$4:I1673,I$4:I1673&lt;=W168),1),I$4:I1673))-(W168-LARGE(FILTER(I$4:I"&amp;"1673,I$4:I1673&lt;=W168),1))*INDEX(F$4:F1673,MATCH(LARGE(FILTER(I$4:I1673,I$4:I1673&lt;=W168),1),I$4:I1673))))"),8.1598378E7)</f>
        <v>81598378</v>
      </c>
      <c r="N168" s="60">
        <f t="shared" si="8"/>
        <v>-146.93197</v>
      </c>
      <c r="O168" s="61" t="str">
        <f t="shared" si="9"/>
        <v>81,6M</v>
      </c>
      <c r="P168" s="56">
        <f t="shared" si="10"/>
        <v>12</v>
      </c>
      <c r="Q168" s="105" t="s">
        <v>61</v>
      </c>
      <c r="R168" s="10"/>
      <c r="S168" s="59">
        <f t="array" ref="S168">IF(COUNTA(Q168:Q1673)=0,"",SUM((COUNTIF(Q$4:Q168,Upgrades!$B$3:$B$13)-COUNTIF(Q$4:Q168,"Sell_"&amp;Upgrades!$B$3:$B$13))*Upgrades!$D$3:$D$13))</f>
        <v>105975</v>
      </c>
      <c r="T168" s="66">
        <f>IFERROR(__xludf.DUMMYFUNCTION("IF(COUNTA(Q168:Q1673)=0,"""",IF(REGEXMATCH(INDEX(FILTER(Q$4:Q168,Q$4:Q168&lt;&gt;""""),ROWS(FILTER(Q$4:Q168,Q$4:Q168&lt;&gt;""""))),""^Sell_""),INDEX(FILTER(T$4:T167,Q$4:Q167&lt;&gt;""""),ROWS(FILTER(Q$4:Q167,Q$4:Q167&lt;&gt;""""))),$AD$5+S168))"),113256.0)</f>
        <v>113256</v>
      </c>
      <c r="U168" s="10">
        <f>IFERROR(__xludf.DUMMYFUNCTION("IF(COUNTA(Q168:Q1673)=0,"""",IF(Q168="""",0,IF(REGEXMATCH(Q168,""^Sell_""),-ROUNDDOWN(ROUNDUP(INDEX(Upgrades!$C$3:$C$13,MATCH(SUBSTITUTE(Q168,""Sell_"",""""),Upgrades!$B$3:$B$13,0))*1.15^(COUNTIF(Q$4:Q167,SUBSTITUTE(Q168,""Sell_"",""""))-COUNTIF(Q$4:Q167,"&amp;"""Sell_""&amp;SUBSTITUTE(Q168,""Sell_"",""""))))/2),ROUNDUP(INDEX(Upgrades!$C$3:$C$13,MATCH(Q168,Upgrades!$B$3:$B$13,0))*1.15^(COUNTIF(Q$4:Q167,Q168)-COUNTIF(Q$4:Q167,""Sell_""&amp;Q168))))))"),-107005.0)</f>
        <v>-107005</v>
      </c>
      <c r="V168" s="10">
        <f t="shared" si="11"/>
        <v>-8493314</v>
      </c>
      <c r="W168" s="68">
        <f t="shared" si="12"/>
        <v>4469.908494</v>
      </c>
      <c r="X168" s="59" t="str">
        <f t="shared" si="13"/>
        <v>1h 14m 29s</v>
      </c>
      <c r="Y168" s="69">
        <f t="shared" si="14"/>
        <v>100606200</v>
      </c>
      <c r="Z168" s="11"/>
    </row>
    <row r="169">
      <c r="A169" s="8"/>
      <c r="B169" s="56">
        <f t="shared" si="2"/>
        <v>20</v>
      </c>
      <c r="C169" s="62" t="s">
        <v>9</v>
      </c>
      <c r="D169" s="10"/>
      <c r="E169" s="59">
        <f t="array" ref="E169">IF(COUNTA(C169:C1673)=0,"",SUM((COUNTIF(C$4:C169,Upgrades!$B$3:$B$13)-COUNTIF(C$4:C169,"Sell_"&amp;Upgrades!$B$3:$B$13))*Upgrades!$D$3:$D$13))</f>
        <v>565383.6</v>
      </c>
      <c r="F169" s="66">
        <f>IFERROR(__xludf.DUMMYFUNCTION("IF(COUNTA(C169:C1673)=0,"""",IF(REGEXMATCH(INDEX(FILTER(C$4:C169,C$4:C169&lt;&gt;""""),ROWS(FILTER(C$4:C169,C$4:C169&lt;&gt;""""))),""^Sell_""),INDEX(FILTER(F$4:F168,C$4:C168&lt;&gt;""""),ROWS(FILTER(C$4:C168,C$4:C168&lt;&gt;""""))),$AC$5+E169))"),565398.6)</f>
        <v>565398.6</v>
      </c>
      <c r="G169" s="10">
        <f>IFERROR(__xludf.DUMMYFUNCTION("IF(COUNTA(C169:C1673)=0,"""",IF(C169="""",0,IF(REGEXMATCH(C169,""^Sell_""),-ROUNDDOWN(ROUNDUP(INDEX(Upgrades!$C$3:$C$13,MATCH(SUBSTITUTE(C169,""Sell_"",""""),Upgrades!$B$3:$B$13,0))*1.15^(COUNTIF(C$4:C168,SUBSTITUTE(C169,""Sell_"",""""))-COUNTIF(C$4:C168,"&amp;"""Sell_""&amp;SUBSTITUTE(C169,""Sell_"",""""))))/2),ROUNDUP(INDEX(Upgrades!$C$3:$C$13,MATCH(C169,Upgrades!$B$3:$B$13,0))*1.15^(COUNTIF(C$4:C168,C169)-COUNTIF(C$4:C168,""Sell_""&amp;C169))))))"),2846355.0)</f>
        <v>2846355</v>
      </c>
      <c r="H169" s="10">
        <f t="shared" si="3"/>
        <v>2846355</v>
      </c>
      <c r="I169" s="68">
        <f t="shared" si="4"/>
        <v>7744.139868</v>
      </c>
      <c r="J169" s="59" t="str">
        <f t="shared" si="5"/>
        <v>2h 09m 04s</v>
      </c>
      <c r="K169" s="69">
        <f t="shared" si="6"/>
        <v>946661865</v>
      </c>
      <c r="L169" s="60">
        <f t="shared" si="7"/>
        <v>-146.74576</v>
      </c>
      <c r="M169" s="61">
        <f>IFERROR(__xludf.DUMMYFUNCTION("IFS(AND(COUNTA(C169:C1673)=0,COUNTA(Q169:Q1673)=0),"""",OR(AND(K169&gt;=1000000000,OR(Y169&gt;=1000000000,COUNTA(Q169:Q1673)=0)),OR(Y169&gt;=1000000000,AND(COUNTA(C169:C1673)=0,P$3=TRUE))),
ROUNDDOWN((AB$1-AC$1)*MAX(INDEX(T$4:T1673,MATCH(LARGE(FILTER(Y$4:Y1673,Y$4"&amp;":Y1673&lt;1000000000),1),Y$4:Y1673)),INDEX(F$4:F1673,MATCH(LARGE(FILTER(K$4:K1673,K$4:K1673&lt;1000000000),1),K$4:K1673)))),AND(K169&lt;1000000000,COUNTA(C169:C1673)&gt;0,P$3=FALSE),
ROUNDDOWN(INDEX(Y$4:Y1673,MATCH(LARGE(FILTER(W$4:W1673,W$4:W1673&lt;=I169),1),W$4:W1673"&amp;"))+(I169-LARGE(FILTER(W$4:W1673,W$4:W1673&lt;=I169),1))*INDEX(T$4:T1673,MATCH(LARGE(FILTER(W$4:W1673,W$4:W1673&lt;=I169),1),W$4:W1673))-K169),1,
ROUNDDOWN(Y169-INDEX(K$4:K1673,MATCH(LARGE(FILTER(I$4:I1673,I$4:I1673&lt;=W169),1),I$4:I1673))-(W169-LARGE(FILTER(I$4:I"&amp;"1673,I$4:I1673&lt;=W169),1))*INDEX(F$4:F1673,MATCH(LARGE(FILTER(I$4:I1673,I$4:I1673&lt;=W169),1),I$4:I1673))))"),8.1575617E7)</f>
        <v>81575617</v>
      </c>
      <c r="N169" s="60">
        <f t="shared" si="8"/>
        <v>-146.74576</v>
      </c>
      <c r="O169" s="61" t="str">
        <f t="shared" si="9"/>
        <v>81,6M</v>
      </c>
      <c r="P169" s="56">
        <f t="shared" si="10"/>
        <v>13</v>
      </c>
      <c r="Q169" s="105" t="s">
        <v>61</v>
      </c>
      <c r="R169" s="10"/>
      <c r="S169" s="59">
        <f t="array" ref="S169">IF(COUNTA(Q169:Q1673)=0,"",SUM((COUNTIF(Q$4:Q169,Upgrades!$B$3:$B$13)-COUNTIF(Q$4:Q169,"Sell_"&amp;Upgrades!$B$3:$B$13))*Upgrades!$D$3:$D$13))</f>
        <v>105875</v>
      </c>
      <c r="T169" s="66">
        <f>IFERROR(__xludf.DUMMYFUNCTION("IF(COUNTA(Q169:Q1673)=0,"""",IF(REGEXMATCH(INDEX(FILTER(Q$4:Q169,Q$4:Q169&lt;&gt;""""),ROWS(FILTER(Q$4:Q169,Q$4:Q169&lt;&gt;""""))),""^Sell_""),INDEX(FILTER(T$4:T168,Q$4:Q168&lt;&gt;""""),ROWS(FILTER(Q$4:Q168,Q$4:Q168&lt;&gt;""""))),$AD$5+S169))"),113256.0)</f>
        <v>113256</v>
      </c>
      <c r="U169" s="10">
        <f>IFERROR(__xludf.DUMMYFUNCTION("IF(COUNTA(Q169:Q1673)=0,"""",IF(Q169="""",0,IF(REGEXMATCH(Q169,""^Sell_""),-ROUNDDOWN(ROUNDUP(INDEX(Upgrades!$C$3:$C$13,MATCH(SUBSTITUTE(Q169,""Sell_"",""""),Upgrades!$B$3:$B$13,0))*1.15^(COUNTIF(Q$4:Q168,SUBSTITUTE(Q169,""Sell_"",""""))-COUNTIF(Q$4:Q168,"&amp;"""Sell_""&amp;SUBSTITUTE(Q169,""Sell_"",""""))))/2),ROUNDUP(INDEX(Upgrades!$C$3:$C$13,MATCH(Q169,Upgrades!$B$3:$B$13,0))*1.15^(COUNTIF(Q$4:Q168,Q169)-COUNTIF(Q$4:Q168,""Sell_""&amp;Q169))))))"),-93048.0)</f>
        <v>-93048</v>
      </c>
      <c r="V169" s="10">
        <f t="shared" si="11"/>
        <v>-8586362</v>
      </c>
      <c r="W169" s="68">
        <f t="shared" si="12"/>
        <v>4469.908494</v>
      </c>
      <c r="X169" s="59" t="str">
        <f t="shared" si="13"/>
        <v>1h 14m 29s</v>
      </c>
      <c r="Y169" s="69">
        <f t="shared" si="14"/>
        <v>100606200</v>
      </c>
      <c r="Z169" s="11"/>
    </row>
    <row r="170">
      <c r="A170" s="8"/>
      <c r="B170" s="56">
        <f t="shared" si="2"/>
        <v>21</v>
      </c>
      <c r="C170" s="62" t="s">
        <v>9</v>
      </c>
      <c r="D170" s="10"/>
      <c r="E170" s="59">
        <f t="array" ref="E170">IF(COUNTA(C170:C1673)=0,"",SUM((COUNTIF(C$4:C170,Upgrades!$B$3:$B$13)-COUNTIF(C$4:C170,"Sell_"&amp;Upgrades!$B$3:$B$13))*Upgrades!$D$3:$D$13))</f>
        <v>565783.6</v>
      </c>
      <c r="F170" s="66">
        <f>IFERROR(__xludf.DUMMYFUNCTION("IF(COUNTA(C170:C1673)=0,"""",IF(REGEXMATCH(INDEX(FILTER(C$4:C170,C$4:C170&lt;&gt;""""),ROWS(FILTER(C$4:C170,C$4:C170&lt;&gt;""""))),""^Sell_""),INDEX(FILTER(F$4:F169,C$4:C169&lt;&gt;""""),ROWS(FILTER(C$4:C169,C$4:C169&lt;&gt;""""))),$AC$5+E170))"),565798.6)</f>
        <v>565798.6</v>
      </c>
      <c r="G170" s="10">
        <f>IFERROR(__xludf.DUMMYFUNCTION("IF(COUNTA(C170:C1673)=0,"""",IF(C170="""",0,IF(REGEXMATCH(C170,""^Sell_""),-ROUNDDOWN(ROUNDUP(INDEX(Upgrades!$C$3:$C$13,MATCH(SUBSTITUTE(C170,""Sell_"",""""),Upgrades!$B$3:$B$13,0))*1.15^(COUNTIF(C$4:C169,SUBSTITUTE(C170,""Sell_"",""""))-COUNTIF(C$4:C169,"&amp;"""Sell_""&amp;SUBSTITUTE(C170,""Sell_"",""""))))/2),ROUNDUP(INDEX(Upgrades!$C$3:$C$13,MATCH(C170,Upgrades!$B$3:$B$13,0))*1.15^(COUNTIF(C$4:C169,C170)-COUNTIF(C$4:C169,""Sell_""&amp;C170))))))"),3273308.0)</f>
        <v>3273308</v>
      </c>
      <c r="H170" s="10">
        <f t="shared" si="3"/>
        <v>3273308</v>
      </c>
      <c r="I170" s="68">
        <f t="shared" si="4"/>
        <v>7749.929249</v>
      </c>
      <c r="J170" s="59" t="str">
        <f t="shared" si="5"/>
        <v>2h 09m 09s</v>
      </c>
      <c r="K170" s="69">
        <f t="shared" si="6"/>
        <v>949935173</v>
      </c>
      <c r="L170" s="60">
        <f t="shared" si="7"/>
        <v>-146.5575</v>
      </c>
      <c r="M170" s="61">
        <f>IFERROR(__xludf.DUMMYFUNCTION("IFS(AND(COUNTA(C170:C1673)=0,COUNTA(Q170:Q1673)=0),"""",OR(AND(K170&gt;=1000000000,OR(Y170&gt;=1000000000,COUNTA(Q170:Q1673)=0)),OR(Y170&gt;=1000000000,AND(COUNTA(C170:C1673)=0,P$3=TRUE))),
ROUNDDOWN((AB$1-AC$1)*MAX(INDEX(T$4:T1673,MATCH(LARGE(FILTER(Y$4:Y1673,Y$4"&amp;":Y1673&lt;1000000000),1),Y$4:Y1673)),INDEX(F$4:F1673,MATCH(LARGE(FILTER(K$4:K1673,K$4:K1673&lt;1000000000),1),K$4:K1673)))),AND(K170&lt;1000000000,COUNTA(C170:C1673)&gt;0,P$3=FALSE),
ROUNDDOWN(INDEX(Y$4:Y1673,MATCH(LARGE(FILTER(W$4:W1673,W$4:W1673&lt;=I170),1),W$4:W1673"&amp;"))+(I170-LARGE(FILTER(W$4:W1673,W$4:W1673&lt;=I170),1))*INDEX(T$4:T1673,MATCH(LARGE(FILTER(W$4:W1673,W$4:W1673&lt;=I170),1),W$4:W1673))-K170),1,
ROUNDDOWN(Y170-INDEX(K$4:K1673,MATCH(LARGE(FILTER(I$4:I1673,I$4:I1673&lt;=W170),1),I$4:I1673))-(W170-LARGE(FILTER(I$4:I"&amp;"1673,I$4:I1673&lt;=W170),1))*INDEX(F$4:F1673,MATCH(LARGE(FILTER(I$4:I1673,I$4:I1673&lt;=W170),1),I$4:I1673))))"),8.1547145E7)</f>
        <v>81547145</v>
      </c>
      <c r="N170" s="60">
        <f t="shared" si="8"/>
        <v>-146.5575</v>
      </c>
      <c r="O170" s="61" t="str">
        <f t="shared" si="9"/>
        <v>81,5M</v>
      </c>
      <c r="P170" s="56">
        <f t="shared" si="10"/>
        <v>14</v>
      </c>
      <c r="Q170" s="105" t="s">
        <v>61</v>
      </c>
      <c r="R170" s="10"/>
      <c r="S170" s="59">
        <f t="array" ref="S170">IF(COUNTA(Q170:Q1673)=0,"",SUM((COUNTIF(Q$4:Q170,Upgrades!$B$3:$B$13)-COUNTIF(Q$4:Q170,"Sell_"&amp;Upgrades!$B$3:$B$13))*Upgrades!$D$3:$D$13))</f>
        <v>105775</v>
      </c>
      <c r="T170" s="66">
        <f>IFERROR(__xludf.DUMMYFUNCTION("IF(COUNTA(Q170:Q1673)=0,"""",IF(REGEXMATCH(INDEX(FILTER(Q$4:Q170,Q$4:Q170&lt;&gt;""""),ROWS(FILTER(Q$4:Q170,Q$4:Q170&lt;&gt;""""))),""^Sell_""),INDEX(FILTER(T$4:T169,Q$4:Q169&lt;&gt;""""),ROWS(FILTER(Q$4:Q169,Q$4:Q169&lt;&gt;""""))),$AD$5+S170))"),113256.0)</f>
        <v>113256</v>
      </c>
      <c r="U170" s="10">
        <f>IFERROR(__xludf.DUMMYFUNCTION("IF(COUNTA(Q170:Q1673)=0,"""",IF(Q170="""",0,IF(REGEXMATCH(Q170,""^Sell_""),-ROUNDDOWN(ROUNDUP(INDEX(Upgrades!$C$3:$C$13,MATCH(SUBSTITUTE(Q170,""Sell_"",""""),Upgrades!$B$3:$B$13,0))*1.15^(COUNTIF(Q$4:Q169,SUBSTITUTE(Q170,""Sell_"",""""))-COUNTIF(Q$4:Q169,"&amp;"""Sell_""&amp;SUBSTITUTE(Q170,""Sell_"",""""))))/2),ROUNDUP(INDEX(Upgrades!$C$3:$C$13,MATCH(Q170,Upgrades!$B$3:$B$13,0))*1.15^(COUNTIF(Q$4:Q169,Q170)-COUNTIF(Q$4:Q169,""Sell_""&amp;Q170))))))"),-80911.0)</f>
        <v>-80911</v>
      </c>
      <c r="V170" s="10">
        <f t="shared" si="11"/>
        <v>-8667273</v>
      </c>
      <c r="W170" s="68">
        <f t="shared" si="12"/>
        <v>4469.908494</v>
      </c>
      <c r="X170" s="59" t="str">
        <f t="shared" si="13"/>
        <v>1h 14m 29s</v>
      </c>
      <c r="Y170" s="69">
        <f t="shared" si="14"/>
        <v>100606200</v>
      </c>
      <c r="Z170" s="11"/>
    </row>
    <row r="171">
      <c r="A171" s="8"/>
      <c r="B171" s="56">
        <f t="shared" si="2"/>
        <v>22</v>
      </c>
      <c r="C171" s="62" t="s">
        <v>9</v>
      </c>
      <c r="D171" s="10"/>
      <c r="E171" s="59">
        <f t="array" ref="E171">IF(COUNTA(C171:C1673)=0,"",SUM((COUNTIF(C$4:C171,Upgrades!$B$3:$B$13)-COUNTIF(C$4:C171,"Sell_"&amp;Upgrades!$B$3:$B$13))*Upgrades!$D$3:$D$13))</f>
        <v>566183.6</v>
      </c>
      <c r="F171" s="66">
        <f>IFERROR(__xludf.DUMMYFUNCTION("IF(COUNTA(C171:C1673)=0,"""",IF(REGEXMATCH(INDEX(FILTER(C$4:C171,C$4:C171&lt;&gt;""""),ROWS(FILTER(C$4:C171,C$4:C171&lt;&gt;""""))),""^Sell_""),INDEX(FILTER(F$4:F170,C$4:C170&lt;&gt;""""),ROWS(FILTER(C$4:C170,C$4:C170&lt;&gt;""""))),$AC$5+E171))"),566198.6)</f>
        <v>566198.6</v>
      </c>
      <c r="G171" s="10">
        <f>IFERROR(__xludf.DUMMYFUNCTION("IF(COUNTA(C171:C1673)=0,"""",IF(C171="""",0,IF(REGEXMATCH(C171,""^Sell_""),-ROUNDDOWN(ROUNDUP(INDEX(Upgrades!$C$3:$C$13,MATCH(SUBSTITUTE(C171,""Sell_"",""""),Upgrades!$B$3:$B$13,0))*1.15^(COUNTIF(C$4:C170,SUBSTITUTE(C171,""Sell_"",""""))-COUNTIF(C$4:C170,"&amp;"""Sell_""&amp;SUBSTITUTE(C171,""Sell_"",""""))))/2),ROUNDUP(INDEX(Upgrades!$C$3:$C$13,MATCH(C171,Upgrades!$B$3:$B$13,0))*1.15^(COUNTIF(C$4:C170,C171)-COUNTIF(C$4:C170,""Sell_""&amp;C171))))))"),3764304.0)</f>
        <v>3764304</v>
      </c>
      <c r="H171" s="10">
        <f t="shared" si="3"/>
        <v>3764304</v>
      </c>
      <c r="I171" s="68">
        <f t="shared" si="4"/>
        <v>7756.58233</v>
      </c>
      <c r="J171" s="59" t="str">
        <f t="shared" si="5"/>
        <v>2h 09m 16s</v>
      </c>
      <c r="K171" s="69">
        <f t="shared" si="6"/>
        <v>953699477</v>
      </c>
      <c r="L171" s="60">
        <f t="shared" si="7"/>
        <v>-146.39015</v>
      </c>
      <c r="M171" s="61">
        <f>IFERROR(__xludf.DUMMYFUNCTION("IFS(AND(COUNTA(C171:C1673)=0,COUNTA(Q171:Q1673)=0),"""",OR(AND(K171&gt;=1000000000,OR(Y171&gt;=1000000000,COUNTA(Q171:Q1673)=0)),OR(Y171&gt;=1000000000,AND(COUNTA(C171:C1673)=0,P$3=TRUE))),
ROUNDDOWN((AB$1-AC$1)*MAX(INDEX(T$4:T1673,MATCH(LARGE(FILTER(Y$4:Y1673,Y$4"&amp;":Y1673&lt;1000000000),1),Y$4:Y1673)),INDEX(F$4:F1673,MATCH(LARGE(FILTER(K$4:K1673,K$4:K1673&lt;1000000000),1),K$4:K1673)))),AND(K171&lt;1000000000,COUNTA(C171:C1673)&gt;0,P$3=FALSE),
ROUNDDOWN(INDEX(Y$4:Y1673,MATCH(LARGE(FILTER(W$4:W1673,W$4:W1673&lt;=I171),1),W$4:W1673"&amp;"))+(I171-LARGE(FILTER(W$4:W1673,W$4:W1673&lt;=I171),1))*INDEX(T$4:T1673,MATCH(LARGE(FILTER(W$4:W1673,W$4:W1673&lt;=I171),1),W$4:W1673))-K171),1,
ROUNDDOWN(Y171-INDEX(K$4:K1673,MATCH(LARGE(FILTER(I$4:I1673,I$4:I1673&lt;=W171),1),I$4:I1673))-(W171-LARGE(FILTER(I$4:I"&amp;"1673,I$4:I1673&lt;=W171),1))*INDEX(F$4:F1673,MATCH(LARGE(FILTER(I$4:I1673,I$4:I1673&lt;=W171),1),I$4:I1673))))"),8.1511763E7)</f>
        <v>81511763</v>
      </c>
      <c r="N171" s="60">
        <f t="shared" si="8"/>
        <v>-146.39015</v>
      </c>
      <c r="O171" s="61" t="str">
        <f t="shared" si="9"/>
        <v>81,5M</v>
      </c>
      <c r="P171" s="56">
        <f t="shared" si="10"/>
        <v>15</v>
      </c>
      <c r="Q171" s="105" t="s">
        <v>61</v>
      </c>
      <c r="R171" s="10"/>
      <c r="S171" s="59">
        <f t="array" ref="S171">IF(COUNTA(Q171:Q1673)=0,"",SUM((COUNTIF(Q$4:Q171,Upgrades!$B$3:$B$13)-COUNTIF(Q$4:Q171,"Sell_"&amp;Upgrades!$B$3:$B$13))*Upgrades!$D$3:$D$13))</f>
        <v>105675</v>
      </c>
      <c r="T171" s="66">
        <f>IFERROR(__xludf.DUMMYFUNCTION("IF(COUNTA(Q171:Q1673)=0,"""",IF(REGEXMATCH(INDEX(FILTER(Q$4:Q171,Q$4:Q171&lt;&gt;""""),ROWS(FILTER(Q$4:Q171,Q$4:Q171&lt;&gt;""""))),""^Sell_""),INDEX(FILTER(T$4:T170,Q$4:Q170&lt;&gt;""""),ROWS(FILTER(Q$4:Q170,Q$4:Q170&lt;&gt;""""))),$AD$5+S171))"),113256.0)</f>
        <v>113256</v>
      </c>
      <c r="U171" s="10">
        <f>IFERROR(__xludf.DUMMYFUNCTION("IF(COUNTA(Q171:Q1673)=0,"""",IF(Q171="""",0,IF(REGEXMATCH(Q171,""^Sell_""),-ROUNDDOWN(ROUNDUP(INDEX(Upgrades!$C$3:$C$13,MATCH(SUBSTITUTE(Q171,""Sell_"",""""),Upgrades!$B$3:$B$13,0))*1.15^(COUNTIF(Q$4:Q170,SUBSTITUTE(Q171,""Sell_"",""""))-COUNTIF(Q$4:Q170,"&amp;"""Sell_""&amp;SUBSTITUTE(Q171,""Sell_"",""""))))/2),ROUNDUP(INDEX(Upgrades!$C$3:$C$13,MATCH(Q171,Upgrades!$B$3:$B$13,0))*1.15^(COUNTIF(Q$4:Q170,Q171)-COUNTIF(Q$4:Q170,""Sell_""&amp;Q171))))))"),-70358.0)</f>
        <v>-70358</v>
      </c>
      <c r="V171" s="10">
        <f t="shared" si="11"/>
        <v>-8737631</v>
      </c>
      <c r="W171" s="68">
        <f t="shared" si="12"/>
        <v>4469.908494</v>
      </c>
      <c r="X171" s="59" t="str">
        <f t="shared" si="13"/>
        <v>1h 14m 29s</v>
      </c>
      <c r="Y171" s="69">
        <f t="shared" si="14"/>
        <v>100606200</v>
      </c>
      <c r="Z171" s="11"/>
    </row>
    <row r="172">
      <c r="A172" s="8"/>
      <c r="B172" s="56">
        <f t="shared" si="2"/>
        <v>23</v>
      </c>
      <c r="C172" s="62" t="s">
        <v>9</v>
      </c>
      <c r="D172" s="10"/>
      <c r="E172" s="59">
        <f t="array" ref="E172">IF(COUNTA(C172:C1673)=0,"",SUM((COUNTIF(C$4:C172,Upgrades!$B$3:$B$13)-COUNTIF(C$4:C172,"Sell_"&amp;Upgrades!$B$3:$B$13))*Upgrades!$D$3:$D$13))</f>
        <v>566583.6</v>
      </c>
      <c r="F172" s="66">
        <f>IFERROR(__xludf.DUMMYFUNCTION("IF(COUNTA(C172:C1673)=0,"""",IF(REGEXMATCH(INDEX(FILTER(C$4:C172,C$4:C172&lt;&gt;""""),ROWS(FILTER(C$4:C172,C$4:C172&lt;&gt;""""))),""^Sell_""),INDEX(FILTER(F$4:F171,C$4:C171&lt;&gt;""""),ROWS(FILTER(C$4:C171,C$4:C171&lt;&gt;""""))),$AC$5+E172))"),566598.6)</f>
        <v>566598.6</v>
      </c>
      <c r="G172" s="10">
        <f>IFERROR(__xludf.DUMMYFUNCTION("IF(COUNTA(C172:C1673)=0,"""",IF(C172="""",0,IF(REGEXMATCH(C172,""^Sell_""),-ROUNDDOWN(ROUNDUP(INDEX(Upgrades!$C$3:$C$13,MATCH(SUBSTITUTE(C172,""Sell_"",""""),Upgrades!$B$3:$B$13,0))*1.15^(COUNTIF(C$4:C171,SUBSTITUTE(C172,""Sell_"",""""))-COUNTIF(C$4:C171,"&amp;"""Sell_""&amp;SUBSTITUTE(C172,""Sell_"",""""))))/2),ROUNDUP(INDEX(Upgrades!$C$3:$C$13,MATCH(C172,Upgrades!$B$3:$B$13,0))*1.15^(COUNTIF(C$4:C171,C172)-COUNTIF(C$4:C171,""Sell_""&amp;C172))))))"),4328950.0)</f>
        <v>4328950</v>
      </c>
      <c r="H172" s="10">
        <f t="shared" si="3"/>
        <v>4328950</v>
      </c>
      <c r="I172" s="68">
        <f t="shared" si="4"/>
        <v>7764.227969</v>
      </c>
      <c r="J172" s="59" t="str">
        <f t="shared" si="5"/>
        <v>2h 09m 24s</v>
      </c>
      <c r="K172" s="69">
        <f t="shared" si="6"/>
        <v>958028427</v>
      </c>
      <c r="L172" s="60">
        <f t="shared" si="7"/>
        <v>-146.19461</v>
      </c>
      <c r="M172" s="61">
        <f>IFERROR(__xludf.DUMMYFUNCTION("IFS(AND(COUNTA(C172:C1673)=0,COUNTA(Q172:Q1673)=0),"""",OR(AND(K172&gt;=1000000000,OR(Y172&gt;=1000000000,COUNTA(Q172:Q1673)=0)),OR(Y172&gt;=1000000000,AND(COUNTA(C172:C1673)=0,P$3=TRUE))),
ROUNDDOWN((AB$1-AC$1)*MAX(INDEX(T$4:T1673,MATCH(LARGE(FILTER(Y$4:Y1673,Y$4"&amp;":Y1673&lt;1000000000),1),Y$4:Y1673)),INDEX(F$4:F1673,MATCH(LARGE(FILTER(K$4:K1673,K$4:K1673&lt;1000000000),1),K$4:K1673)))),AND(K172&lt;1000000000,COUNTA(C172:C1673)&gt;0,P$3=FALSE),
ROUNDDOWN(INDEX(Y$4:Y1673,MATCH(LARGE(FILTER(W$4:W1673,W$4:W1673&lt;=I172),1),W$4:W1673"&amp;"))+(I172-LARGE(FILTER(W$4:W1673,W$4:W1673&lt;=I172),1))*INDEX(T$4:T1673,MATCH(LARGE(FILTER(W$4:W1673,W$4:W1673&lt;=I172),1),W$4:W1673))-K172),1,
ROUNDDOWN(Y172-INDEX(K$4:K1673,MATCH(LARGE(FILTER(I$4:I1673,I$4:I1673&lt;=W172),1),I$4:I1673))-(W172-LARGE(FILTER(I$4:I"&amp;"1673,I$4:I1673&lt;=W172),1))*INDEX(F$4:F1673,MATCH(LARGE(FILTER(I$4:I1673,I$4:I1673&lt;=W172),1),I$4:I1673))))"),8.1468046E7)</f>
        <v>81468046</v>
      </c>
      <c r="N172" s="60">
        <f t="shared" si="8"/>
        <v>-146.19461</v>
      </c>
      <c r="O172" s="61" t="str">
        <f t="shared" si="9"/>
        <v>81,5M</v>
      </c>
      <c r="P172" s="56">
        <f t="shared" si="10"/>
        <v>16</v>
      </c>
      <c r="Q172" s="105" t="s">
        <v>61</v>
      </c>
      <c r="R172" s="10"/>
      <c r="S172" s="59">
        <f t="array" ref="S172">IF(COUNTA(Q172:Q1673)=0,"",SUM((COUNTIF(Q$4:Q172,Upgrades!$B$3:$B$13)-COUNTIF(Q$4:Q172,"Sell_"&amp;Upgrades!$B$3:$B$13))*Upgrades!$D$3:$D$13))</f>
        <v>105575</v>
      </c>
      <c r="T172" s="66">
        <f>IFERROR(__xludf.DUMMYFUNCTION("IF(COUNTA(Q172:Q1673)=0,"""",IF(REGEXMATCH(INDEX(FILTER(Q$4:Q172,Q$4:Q172&lt;&gt;""""),ROWS(FILTER(Q$4:Q172,Q$4:Q172&lt;&gt;""""))),""^Sell_""),INDEX(FILTER(T$4:T171,Q$4:Q171&lt;&gt;""""),ROWS(FILTER(Q$4:Q171,Q$4:Q171&lt;&gt;""""))),$AD$5+S172))"),113256.0)</f>
        <v>113256</v>
      </c>
      <c r="U172" s="10">
        <f>IFERROR(__xludf.DUMMYFUNCTION("IF(COUNTA(Q172:Q1673)=0,"""",IF(Q172="""",0,IF(REGEXMATCH(Q172,""^Sell_""),-ROUNDDOWN(ROUNDUP(INDEX(Upgrades!$C$3:$C$13,MATCH(SUBSTITUTE(Q172,""Sell_"",""""),Upgrades!$B$3:$B$13,0))*1.15^(COUNTIF(Q$4:Q171,SUBSTITUTE(Q172,""Sell_"",""""))-COUNTIF(Q$4:Q171,"&amp;"""Sell_""&amp;SUBSTITUTE(Q172,""Sell_"",""""))))/2),ROUNDUP(INDEX(Upgrades!$C$3:$C$13,MATCH(Q172,Upgrades!$B$3:$B$13,0))*1.15^(COUNTIF(Q$4:Q171,Q172)-COUNTIF(Q$4:Q171,""Sell_""&amp;Q172))))))"),-61180.0)</f>
        <v>-61180</v>
      </c>
      <c r="V172" s="10">
        <f t="shared" si="11"/>
        <v>-8798811</v>
      </c>
      <c r="W172" s="68">
        <f t="shared" si="12"/>
        <v>4469.908494</v>
      </c>
      <c r="X172" s="59" t="str">
        <f t="shared" si="13"/>
        <v>1h 14m 29s</v>
      </c>
      <c r="Y172" s="69">
        <f t="shared" si="14"/>
        <v>100606200</v>
      </c>
      <c r="Z172" s="11"/>
    </row>
    <row r="173">
      <c r="A173" s="8"/>
      <c r="B173" s="56">
        <f t="shared" si="2"/>
        <v>24</v>
      </c>
      <c r="C173" s="62" t="s">
        <v>9</v>
      </c>
      <c r="D173" s="10"/>
      <c r="E173" s="59">
        <f t="array" ref="E173">IF(COUNTA(C173:C1673)=0,"",SUM((COUNTIF(C$4:C173,Upgrades!$B$3:$B$13)-COUNTIF(C$4:C173,"Sell_"&amp;Upgrades!$B$3:$B$13))*Upgrades!$D$3:$D$13))</f>
        <v>566983.6</v>
      </c>
      <c r="F173" s="66">
        <f>IFERROR(__xludf.DUMMYFUNCTION("IF(COUNTA(C173:C1673)=0,"""",IF(REGEXMATCH(INDEX(FILTER(C$4:C173,C$4:C173&lt;&gt;""""),ROWS(FILTER(C$4:C173,C$4:C173&lt;&gt;""""))),""^Sell_""),INDEX(FILTER(F$4:F172,C$4:C172&lt;&gt;""""),ROWS(FILTER(C$4:C172,C$4:C172&lt;&gt;""""))),$AC$5+E173))"),566998.6)</f>
        <v>566998.6</v>
      </c>
      <c r="G173" s="10">
        <f>IFERROR(__xludf.DUMMYFUNCTION("IF(COUNTA(C173:C1673)=0,"""",IF(C173="""",0,IF(REGEXMATCH(C173,""^Sell_""),-ROUNDDOWN(ROUNDUP(INDEX(Upgrades!$C$3:$C$13,MATCH(SUBSTITUTE(C173,""Sell_"",""""),Upgrades!$B$3:$B$13,0))*1.15^(COUNTIF(C$4:C172,SUBSTITUTE(C173,""Sell_"",""""))-COUNTIF(C$4:C172,"&amp;"""Sell_""&amp;SUBSTITUTE(C173,""Sell_"",""""))))/2),ROUNDUP(INDEX(Upgrades!$C$3:$C$13,MATCH(C173,Upgrades!$B$3:$B$13,0))*1.15^(COUNTIF(C$4:C172,C173)-COUNTIF(C$4:C172,""Sell_""&amp;C173))))))"),4978292.0)</f>
        <v>4978292</v>
      </c>
      <c r="H173" s="10">
        <f t="shared" si="3"/>
        <v>4978292</v>
      </c>
      <c r="I173" s="68">
        <f t="shared" si="4"/>
        <v>7773.014246</v>
      </c>
      <c r="J173" s="59" t="str">
        <f t="shared" si="5"/>
        <v>2h 09m 33s</v>
      </c>
      <c r="K173" s="69">
        <f t="shared" si="6"/>
        <v>963006719</v>
      </c>
      <c r="L173" s="60">
        <f t="shared" si="7"/>
        <v>-145.96355</v>
      </c>
      <c r="M173" s="61">
        <f>IFERROR(__xludf.DUMMYFUNCTION("IFS(AND(COUNTA(C173:C1673)=0,COUNTA(Q173:Q1673)=0),"""",OR(AND(K173&gt;=1000000000,OR(Y173&gt;=1000000000,COUNTA(Q173:Q1673)=0)),OR(Y173&gt;=1000000000,AND(COUNTA(C173:C1673)=0,P$3=TRUE))),
ROUNDDOWN((AB$1-AC$1)*MAX(INDEX(T$4:T1673,MATCH(LARGE(FILTER(Y$4:Y1673,Y$4"&amp;":Y1673&lt;1000000000),1),Y$4:Y1673)),INDEX(F$4:F1673,MATCH(LARGE(FILTER(K$4:K1673,K$4:K1673&lt;1000000000),1),K$4:K1673)))),AND(K173&lt;1000000000,COUNTA(C173:C1673)&gt;0,P$3=FALSE),
ROUNDDOWN(INDEX(Y$4:Y1673,MATCH(LARGE(FILTER(W$4:W1673,W$4:W1673&lt;=I173),1),W$4:W1673"&amp;"))+(I173-LARGE(FILTER(W$4:W1673,W$4:W1673&lt;=I173),1))*INDEX(T$4:T1673,MATCH(LARGE(FILTER(W$4:W1673,W$4:W1673&lt;=I173),1),W$4:W1673))-K173),1,
ROUNDDOWN(Y173-INDEX(K$4:K1673,MATCH(LARGE(FILTER(I$4:I1673,I$4:I1673&lt;=W173),1),I$4:I1673))-(W173-LARGE(FILTER(I$4:I"&amp;"1673,I$4:I1673&lt;=W173),1))*INDEX(F$4:F1673,MATCH(LARGE(FILTER(I$4:I1673,I$4:I1673&lt;=W173),1),I$4:I1673))))"),8.1414291E7)</f>
        <v>81414291</v>
      </c>
      <c r="N173" s="60">
        <f t="shared" si="8"/>
        <v>-145.96355</v>
      </c>
      <c r="O173" s="61" t="str">
        <f t="shared" si="9"/>
        <v>81,4M</v>
      </c>
      <c r="P173" s="56">
        <f t="shared" si="10"/>
        <v>17</v>
      </c>
      <c r="Q173" s="105" t="s">
        <v>61</v>
      </c>
      <c r="R173" s="10"/>
      <c r="S173" s="59">
        <f t="array" ref="S173">IF(COUNTA(Q173:Q1673)=0,"",SUM((COUNTIF(Q$4:Q173,Upgrades!$B$3:$B$13)-COUNTIF(Q$4:Q173,"Sell_"&amp;Upgrades!$B$3:$B$13))*Upgrades!$D$3:$D$13))</f>
        <v>105475</v>
      </c>
      <c r="T173" s="66">
        <f>IFERROR(__xludf.DUMMYFUNCTION("IF(COUNTA(Q173:Q1673)=0,"""",IF(REGEXMATCH(INDEX(FILTER(Q$4:Q173,Q$4:Q173&lt;&gt;""""),ROWS(FILTER(Q$4:Q173,Q$4:Q173&lt;&gt;""""))),""^Sell_""),INDEX(FILTER(T$4:T172,Q$4:Q172&lt;&gt;""""),ROWS(FILTER(Q$4:Q172,Q$4:Q172&lt;&gt;""""))),$AD$5+S173))"),113256.0)</f>
        <v>113256</v>
      </c>
      <c r="U173" s="10">
        <f>IFERROR(__xludf.DUMMYFUNCTION("IF(COUNTA(Q173:Q1673)=0,"""",IF(Q173="""",0,IF(REGEXMATCH(Q173,""^Sell_""),-ROUNDDOWN(ROUNDUP(INDEX(Upgrades!$C$3:$C$13,MATCH(SUBSTITUTE(Q173,""Sell_"",""""),Upgrades!$B$3:$B$13,0))*1.15^(COUNTIF(Q$4:Q172,SUBSTITUTE(Q173,""Sell_"",""""))-COUNTIF(Q$4:Q172,"&amp;"""Sell_""&amp;SUBSTITUTE(Q173,""Sell_"",""""))))/2),ROUNDUP(INDEX(Upgrades!$C$3:$C$13,MATCH(Q173,Upgrades!$B$3:$B$13,0))*1.15^(COUNTIF(Q$4:Q172,Q173)-COUNTIF(Q$4:Q172,""Sell_""&amp;Q173))))))"),-53200.0)</f>
        <v>-53200</v>
      </c>
      <c r="V173" s="10">
        <f t="shared" si="11"/>
        <v>-8852011</v>
      </c>
      <c r="W173" s="68">
        <f t="shared" si="12"/>
        <v>4469.908494</v>
      </c>
      <c r="X173" s="59" t="str">
        <f t="shared" si="13"/>
        <v>1h 14m 29s</v>
      </c>
      <c r="Y173" s="69">
        <f t="shared" si="14"/>
        <v>100606200</v>
      </c>
      <c r="Z173" s="11"/>
    </row>
    <row r="174">
      <c r="A174" s="8"/>
      <c r="B174" s="56">
        <f t="shared" si="2"/>
        <v>25</v>
      </c>
      <c r="C174" s="62" t="s">
        <v>9</v>
      </c>
      <c r="D174" s="10"/>
      <c r="E174" s="59">
        <f t="array" ref="E174">IF(COUNTA(C174:C1673)=0,"",SUM((COUNTIF(C$4:C174,Upgrades!$B$3:$B$13)-COUNTIF(C$4:C174,"Sell_"&amp;Upgrades!$B$3:$B$13))*Upgrades!$D$3:$D$13))</f>
        <v>567383.6</v>
      </c>
      <c r="F174" s="66">
        <f>IFERROR(__xludf.DUMMYFUNCTION("IF(COUNTA(C174:C1673)=0,"""",IF(REGEXMATCH(INDEX(FILTER(C$4:C174,C$4:C174&lt;&gt;""""),ROWS(FILTER(C$4:C174,C$4:C174&lt;&gt;""""))),""^Sell_""),INDEX(FILTER(F$4:F173,C$4:C173&lt;&gt;""""),ROWS(FILTER(C$4:C173,C$4:C173&lt;&gt;""""))),$AC$5+E174))"),567398.6)</f>
        <v>567398.6</v>
      </c>
      <c r="G174" s="10">
        <f>IFERROR(__xludf.DUMMYFUNCTION("IF(COUNTA(C174:C1673)=0,"""",IF(C174="""",0,IF(REGEXMATCH(C174,""^Sell_""),-ROUNDDOWN(ROUNDUP(INDEX(Upgrades!$C$3:$C$13,MATCH(SUBSTITUTE(C174,""Sell_"",""""),Upgrades!$B$3:$B$13,0))*1.15^(COUNTIF(C$4:C173,SUBSTITUTE(C174,""Sell_"",""""))-COUNTIF(C$4:C173,"&amp;"""Sell_""&amp;SUBSTITUTE(C174,""Sell_"",""""))))/2),ROUNDUP(INDEX(Upgrades!$C$3:$C$13,MATCH(C174,Upgrades!$B$3:$B$13,0))*1.15^(COUNTIF(C$4:C173,C174)-COUNTIF(C$4:C173,""Sell_""&amp;C174))))))"),5725036.0)</f>
        <v>5725036</v>
      </c>
      <c r="H174" s="10">
        <f t="shared" si="3"/>
        <v>5725036</v>
      </c>
      <c r="I174" s="68">
        <f t="shared" si="4"/>
        <v>7783.111336</v>
      </c>
      <c r="J174" s="59" t="str">
        <f t="shared" si="5"/>
        <v>2h 09m 43s</v>
      </c>
      <c r="K174" s="69">
        <f t="shared" si="6"/>
        <v>968731755</v>
      </c>
      <c r="L174" s="60">
        <f t="shared" si="7"/>
        <v>-145.69069</v>
      </c>
      <c r="M174" s="61">
        <f>IFERROR(__xludf.DUMMYFUNCTION("IFS(AND(COUNTA(C174:C1673)=0,COUNTA(Q174:Q1673)=0),"""",OR(AND(K174&gt;=1000000000,OR(Y174&gt;=1000000000,COUNTA(Q174:Q1673)=0)),OR(Y174&gt;=1000000000,AND(COUNTA(C174:C1673)=0,P$3=TRUE))),
ROUNDDOWN((AB$1-AC$1)*MAX(INDEX(T$4:T1673,MATCH(LARGE(FILTER(Y$4:Y1673,Y$4"&amp;":Y1673&lt;1000000000),1),Y$4:Y1673)),INDEX(F$4:F1673,MATCH(LARGE(FILTER(K$4:K1673,K$4:K1673&lt;1000000000),1),K$4:K1673)))),AND(K174&lt;1000000000,COUNTA(C174:C1673)&gt;0,P$3=FALSE),
ROUNDDOWN(INDEX(Y$4:Y1673,MATCH(LARGE(FILTER(W$4:W1673,W$4:W1673&lt;=I174),1),W$4:W1673"&amp;"))+(I174-LARGE(FILTER(W$4:W1673,W$4:W1673&lt;=I174),1))*INDEX(T$4:T1673,MATCH(LARGE(FILTER(W$4:W1673,W$4:W1673&lt;=I174),1),W$4:W1673))-K174),1,
ROUNDDOWN(Y174-INDEX(K$4:K1673,MATCH(LARGE(FILTER(I$4:I1673,I$4:I1673&lt;=W174),1),I$4:I1673))-(W174-LARGE(FILTER(I$4:I"&amp;"1673,I$4:I1673&lt;=W174),1))*INDEX(F$4:F1673,MATCH(LARGE(FILTER(I$4:I1673,I$4:I1673&lt;=W174),1),I$4:I1673))))"),8.1348478E7)</f>
        <v>81348478</v>
      </c>
      <c r="N174" s="60">
        <f t="shared" si="8"/>
        <v>-145.69069</v>
      </c>
      <c r="O174" s="61" t="str">
        <f t="shared" si="9"/>
        <v>81,3M</v>
      </c>
      <c r="P174" s="56">
        <f t="shared" si="10"/>
        <v>7</v>
      </c>
      <c r="Q174" s="105" t="s">
        <v>60</v>
      </c>
      <c r="R174" s="10"/>
      <c r="S174" s="59">
        <f t="array" ref="S174">IF(COUNTA(Q174:Q1673)=0,"",SUM((COUNTIF(Q$4:Q174,Upgrades!$B$3:$B$13)-COUNTIF(Q$4:Q174,"Sell_"&amp;Upgrades!$B$3:$B$13))*Upgrades!$D$3:$D$13))</f>
        <v>105075</v>
      </c>
      <c r="T174" s="66">
        <f>IFERROR(__xludf.DUMMYFUNCTION("IF(COUNTA(Q174:Q1673)=0,"""",IF(REGEXMATCH(INDEX(FILTER(Q$4:Q174,Q$4:Q174&lt;&gt;""""),ROWS(FILTER(Q$4:Q174,Q$4:Q174&lt;&gt;""""))),""^Sell_""),INDEX(FILTER(T$4:T173,Q$4:Q173&lt;&gt;""""),ROWS(FILTER(Q$4:Q173,Q$4:Q173&lt;&gt;""""))),$AD$5+S174))"),113256.0)</f>
        <v>113256</v>
      </c>
      <c r="U174" s="10">
        <f>IFERROR(__xludf.DUMMYFUNCTION("IF(COUNTA(Q174:Q1673)=0,"""",IF(Q174="""",0,IF(REGEXMATCH(Q174,""^Sell_""),-ROUNDDOWN(ROUNDUP(INDEX(Upgrades!$C$3:$C$13,MATCH(SUBSTITUTE(Q174,""Sell_"",""""),Upgrades!$B$3:$B$13,0))*1.15^(COUNTIF(Q$4:Q173,SUBSTITUTE(Q174,""Sell_"",""""))-COUNTIF(Q$4:Q173,"&amp;"""Sell_""&amp;SUBSTITUTE(Q174,""Sell_"",""""))))/2),ROUNDUP(INDEX(Upgrades!$C$3:$C$13,MATCH(Q174,Upgrades!$B$3:$B$13,0))*1.15^(COUNTIF(Q$4:Q173,Q174)-COUNTIF(Q$4:Q173,""Sell_""&amp;Q174))))))"),-404556.0)</f>
        <v>-404556</v>
      </c>
      <c r="V174" s="10">
        <f t="shared" si="11"/>
        <v>-9256567</v>
      </c>
      <c r="W174" s="68">
        <f t="shared" si="12"/>
        <v>4469.908494</v>
      </c>
      <c r="X174" s="59" t="str">
        <f t="shared" si="13"/>
        <v>1h 14m 29s</v>
      </c>
      <c r="Y174" s="69">
        <f t="shared" si="14"/>
        <v>100606200</v>
      </c>
      <c r="Z174" s="11"/>
    </row>
    <row r="175">
      <c r="A175" s="8"/>
      <c r="B175" s="56">
        <f t="shared" si="2"/>
        <v>26</v>
      </c>
      <c r="C175" s="62" t="s">
        <v>9</v>
      </c>
      <c r="D175" s="10"/>
      <c r="E175" s="59">
        <f t="array" ref="E175">IF(COUNTA(C175:C1673)=0,"",SUM((COUNTIF(C$4:C175,Upgrades!$B$3:$B$13)-COUNTIF(C$4:C175,"Sell_"&amp;Upgrades!$B$3:$B$13))*Upgrades!$D$3:$D$13))</f>
        <v>567783.6</v>
      </c>
      <c r="F175" s="66">
        <f>IFERROR(__xludf.DUMMYFUNCTION("IF(COUNTA(C175:C1673)=0,"""",IF(REGEXMATCH(INDEX(FILTER(C$4:C175,C$4:C175&lt;&gt;""""),ROWS(FILTER(C$4:C175,C$4:C175&lt;&gt;""""))),""^Sell_""),INDEX(FILTER(F$4:F174,C$4:C174&lt;&gt;""""),ROWS(FILTER(C$4:C174,C$4:C174&lt;&gt;""""))),$AC$5+E175))"),567798.6)</f>
        <v>567798.6</v>
      </c>
      <c r="G175" s="10">
        <f>IFERROR(__xludf.DUMMYFUNCTION("IF(COUNTA(C175:C1673)=0,"""",IF(C175="""",0,IF(REGEXMATCH(C175,""^Sell_""),-ROUNDDOWN(ROUNDUP(INDEX(Upgrades!$C$3:$C$13,MATCH(SUBSTITUTE(C175,""Sell_"",""""),Upgrades!$B$3:$B$13,0))*1.15^(COUNTIF(C$4:C174,SUBSTITUTE(C175,""Sell_"",""""))-COUNTIF(C$4:C174,"&amp;"""Sell_""&amp;SUBSTITUTE(C175,""Sell_"",""""))))/2),ROUNDUP(INDEX(Upgrades!$C$3:$C$13,MATCH(C175,Upgrades!$B$3:$B$13,0))*1.15^(COUNTIF(C$4:C174,C175)-COUNTIF(C$4:C174,""Sell_""&amp;C175))))))"),6583791.0)</f>
        <v>6583791</v>
      </c>
      <c r="H175" s="10">
        <f t="shared" si="3"/>
        <v>6583791</v>
      </c>
      <c r="I175" s="68">
        <f t="shared" si="4"/>
        <v>7794.714803</v>
      </c>
      <c r="J175" s="59" t="str">
        <f t="shared" si="5"/>
        <v>2h 09m 54s</v>
      </c>
      <c r="K175" s="69">
        <f t="shared" si="6"/>
        <v>975315546</v>
      </c>
      <c r="L175" s="60">
        <f t="shared" si="7"/>
        <v>-145.36872</v>
      </c>
      <c r="M175" s="61">
        <f>IFERROR(__xludf.DUMMYFUNCTION("IFS(AND(COUNTA(C175:C1673)=0,COUNTA(Q175:Q1673)=0),"""",OR(AND(K175&gt;=1000000000,OR(Y175&gt;=1000000000,COUNTA(Q175:Q1673)=0)),OR(Y175&gt;=1000000000,AND(COUNTA(C175:C1673)=0,P$3=TRUE))),
ROUNDDOWN((AB$1-AC$1)*MAX(INDEX(T$4:T1673,MATCH(LARGE(FILTER(Y$4:Y1673,Y$4"&amp;":Y1673&lt;1000000000),1),Y$4:Y1673)),INDEX(F$4:F1673,MATCH(LARGE(FILTER(K$4:K1673,K$4:K1673&lt;1000000000),1),K$4:K1673)))),AND(K175&lt;1000000000,COUNTA(C175:C1673)&gt;0,P$3=FALSE),
ROUNDDOWN(INDEX(Y$4:Y1673,MATCH(LARGE(FILTER(W$4:W1673,W$4:W1673&lt;=I175),1),W$4:W1673"&amp;"))+(I175-LARGE(FILTER(W$4:W1673,W$4:W1673&lt;=I175),1))*INDEX(T$4:T1673,MATCH(LARGE(FILTER(W$4:W1673,W$4:W1673&lt;=I175),1),W$4:W1673))-K175),1,
ROUNDDOWN(Y175-INDEX(K$4:K1673,MATCH(LARGE(FILTER(I$4:I1673,I$4:I1673&lt;=W175),1),I$4:I1673))-(W175-LARGE(FILTER(I$4:I"&amp;"1673,I$4:I1673&lt;=W175),1))*INDEX(F$4:F1673,MATCH(LARGE(FILTER(I$4:I1673,I$4:I1673&lt;=W175),1),I$4:I1673))))"),8.1268206E7)</f>
        <v>81268206</v>
      </c>
      <c r="N175" s="60">
        <f t="shared" si="8"/>
        <v>-145.36872</v>
      </c>
      <c r="O175" s="61" t="str">
        <f t="shared" si="9"/>
        <v>81,3M</v>
      </c>
      <c r="P175" s="56">
        <f t="shared" si="10"/>
        <v>18</v>
      </c>
      <c r="Q175" s="105" t="s">
        <v>61</v>
      </c>
      <c r="R175" s="10"/>
      <c r="S175" s="59">
        <f t="array" ref="S175">IF(COUNTA(Q175:Q1673)=0,"",SUM((COUNTIF(Q$4:Q175,Upgrades!$B$3:$B$13)-COUNTIF(Q$4:Q175,"Sell_"&amp;Upgrades!$B$3:$B$13))*Upgrades!$D$3:$D$13))</f>
        <v>104975</v>
      </c>
      <c r="T175" s="66">
        <f>IFERROR(__xludf.DUMMYFUNCTION("IF(COUNTA(Q175:Q1673)=0,"""",IF(REGEXMATCH(INDEX(FILTER(Q$4:Q175,Q$4:Q175&lt;&gt;""""),ROWS(FILTER(Q$4:Q175,Q$4:Q175&lt;&gt;""""))),""^Sell_""),INDEX(FILTER(T$4:T174,Q$4:Q174&lt;&gt;""""),ROWS(FILTER(Q$4:Q174,Q$4:Q174&lt;&gt;""""))),$AD$5+S175))"),113256.0)</f>
        <v>113256</v>
      </c>
      <c r="U175" s="10">
        <f>IFERROR(__xludf.DUMMYFUNCTION("IF(COUNTA(Q175:Q1673)=0,"""",IF(Q175="""",0,IF(REGEXMATCH(Q175,""^Sell_""),-ROUNDDOWN(ROUNDUP(INDEX(Upgrades!$C$3:$C$13,MATCH(SUBSTITUTE(Q175,""Sell_"",""""),Upgrades!$B$3:$B$13,0))*1.15^(COUNTIF(Q$4:Q174,SUBSTITUTE(Q175,""Sell_"",""""))-COUNTIF(Q$4:Q174,"&amp;"""Sell_""&amp;SUBSTITUTE(Q175,""Sell_"",""""))))/2),ROUNDUP(INDEX(Upgrades!$C$3:$C$13,MATCH(Q175,Upgrades!$B$3:$B$13,0))*1.15^(COUNTIF(Q$4:Q174,Q175)-COUNTIF(Q$4:Q174,""Sell_""&amp;Q175))))))"),-46261.0)</f>
        <v>-46261</v>
      </c>
      <c r="V175" s="10">
        <f t="shared" si="11"/>
        <v>-9302828</v>
      </c>
      <c r="W175" s="68">
        <f t="shared" si="12"/>
        <v>4469.908494</v>
      </c>
      <c r="X175" s="59" t="str">
        <f t="shared" si="13"/>
        <v>1h 14m 29s</v>
      </c>
      <c r="Y175" s="69">
        <f t="shared" si="14"/>
        <v>100606200</v>
      </c>
      <c r="Z175" s="11"/>
    </row>
    <row r="176">
      <c r="A176" s="8"/>
      <c r="B176" s="56">
        <f t="shared" si="2"/>
        <v>27</v>
      </c>
      <c r="C176" s="62" t="s">
        <v>9</v>
      </c>
      <c r="D176" s="10"/>
      <c r="E176" s="59">
        <f t="array" ref="E176">IF(COUNTA(C176:C1673)=0,"",SUM((COUNTIF(C$4:C176,Upgrades!$B$3:$B$13)-COUNTIF(C$4:C176,"Sell_"&amp;Upgrades!$B$3:$B$13))*Upgrades!$D$3:$D$13))</f>
        <v>568183.6</v>
      </c>
      <c r="F176" s="66">
        <f>IFERROR(__xludf.DUMMYFUNCTION("IF(COUNTA(C176:C1673)=0,"""",IF(REGEXMATCH(INDEX(FILTER(C$4:C176,C$4:C176&lt;&gt;""""),ROWS(FILTER(C$4:C176,C$4:C176&lt;&gt;""""))),""^Sell_""),INDEX(FILTER(F$4:F175,C$4:C175&lt;&gt;""""),ROWS(FILTER(C$4:C175,C$4:C175&lt;&gt;""""))),$AC$5+E176))"),568198.6)</f>
        <v>568198.6</v>
      </c>
      <c r="G176" s="10">
        <f>IFERROR(__xludf.DUMMYFUNCTION("IF(COUNTA(C176:C1673)=0,"""",IF(C176="""",0,IF(REGEXMATCH(C176,""^Sell_""),-ROUNDDOWN(ROUNDUP(INDEX(Upgrades!$C$3:$C$13,MATCH(SUBSTITUTE(C176,""Sell_"",""""),Upgrades!$B$3:$B$13,0))*1.15^(COUNTIF(C$4:C175,SUBSTITUTE(C176,""Sell_"",""""))-COUNTIF(C$4:C175,"&amp;"""Sell_""&amp;SUBSTITUTE(C176,""Sell_"",""""))))/2),ROUNDUP(INDEX(Upgrades!$C$3:$C$13,MATCH(C176,Upgrades!$B$3:$B$13,0))*1.15^(COUNTIF(C$4:C175,C176)-COUNTIF(C$4:C175,""Sell_""&amp;C176))))))"),7571360.0)</f>
        <v>7571360</v>
      </c>
      <c r="H176" s="10">
        <f t="shared" si="3"/>
        <v>7571360</v>
      </c>
      <c r="I176" s="68">
        <f t="shared" si="4"/>
        <v>7808.04939</v>
      </c>
      <c r="J176" s="59" t="str">
        <f t="shared" si="5"/>
        <v>2h 10m 08s</v>
      </c>
      <c r="K176" s="69">
        <f t="shared" si="6"/>
        <v>982886906</v>
      </c>
      <c r="L176" s="60">
        <f t="shared" si="7"/>
        <v>-144.98905</v>
      </c>
      <c r="M176" s="61">
        <f>IFERROR(__xludf.DUMMYFUNCTION("IFS(AND(COUNTA(C176:C1673)=0,COUNTA(Q176:Q1673)=0),"""",OR(AND(K176&gt;=1000000000,OR(Y176&gt;=1000000000,COUNTA(Q176:Q1673)=0)),OR(Y176&gt;=1000000000,AND(COUNTA(C176:C1673)=0,P$3=TRUE))),
ROUNDDOWN((AB$1-AC$1)*MAX(INDEX(T$4:T1673,MATCH(LARGE(FILTER(Y$4:Y1673,Y$4"&amp;":Y1673&lt;1000000000),1),Y$4:Y1673)),INDEX(F$4:F1673,MATCH(LARGE(FILTER(K$4:K1673,K$4:K1673&lt;1000000000),1),K$4:K1673)))),AND(K176&lt;1000000000,COUNTA(C176:C1673)&gt;0,P$3=FALSE),
ROUNDDOWN(INDEX(Y$4:Y1673,MATCH(LARGE(FILTER(W$4:W1673,W$4:W1673&lt;=I176),1),W$4:W1673"&amp;"))+(I176-LARGE(FILTER(W$4:W1673,W$4:W1673&lt;=I176),1))*INDEX(T$4:T1673,MATCH(LARGE(FILTER(W$4:W1673,W$4:W1673&lt;=I176),1),W$4:W1673))-K176),1,
ROUNDDOWN(Y176-INDEX(K$4:K1673,MATCH(LARGE(FILTER(I$4:I1673,I$4:I1673&lt;=W176),1),I$4:I1673))-(W176-LARGE(FILTER(I$4:I"&amp;"1673,I$4:I1673&lt;=W176),1))*INDEX(F$4:F1673,MATCH(LARGE(FILTER(I$4:I1673,I$4:I1673&lt;=W176),1),I$4:I1673))))"),8.1170623E7)</f>
        <v>81170623</v>
      </c>
      <c r="N176" s="60">
        <f t="shared" si="8"/>
        <v>-144.98905</v>
      </c>
      <c r="O176" s="61" t="str">
        <f t="shared" si="9"/>
        <v>81,2M</v>
      </c>
      <c r="P176" s="56">
        <f t="shared" si="10"/>
        <v>19</v>
      </c>
      <c r="Q176" s="105" t="s">
        <v>61</v>
      </c>
      <c r="R176" s="10"/>
      <c r="S176" s="59">
        <f t="array" ref="S176">IF(COUNTA(Q176:Q1673)=0,"",SUM((COUNTIF(Q$4:Q176,Upgrades!$B$3:$B$13)-COUNTIF(Q$4:Q176,"Sell_"&amp;Upgrades!$B$3:$B$13))*Upgrades!$D$3:$D$13))</f>
        <v>104875</v>
      </c>
      <c r="T176" s="66">
        <f>IFERROR(__xludf.DUMMYFUNCTION("IF(COUNTA(Q176:Q1673)=0,"""",IF(REGEXMATCH(INDEX(FILTER(Q$4:Q176,Q$4:Q176&lt;&gt;""""),ROWS(FILTER(Q$4:Q176,Q$4:Q176&lt;&gt;""""))),""^Sell_""),INDEX(FILTER(T$4:T175,Q$4:Q175&lt;&gt;""""),ROWS(FILTER(Q$4:Q175,Q$4:Q175&lt;&gt;""""))),$AD$5+S176))"),113256.0)</f>
        <v>113256</v>
      </c>
      <c r="U176" s="10">
        <f>IFERROR(__xludf.DUMMYFUNCTION("IF(COUNTA(Q176:Q1673)=0,"""",IF(Q176="""",0,IF(REGEXMATCH(Q176,""^Sell_""),-ROUNDDOWN(ROUNDUP(INDEX(Upgrades!$C$3:$C$13,MATCH(SUBSTITUTE(Q176,""Sell_"",""""),Upgrades!$B$3:$B$13,0))*1.15^(COUNTIF(Q$4:Q175,SUBSTITUTE(Q176,""Sell_"",""""))-COUNTIF(Q$4:Q175,"&amp;"""Sell_""&amp;SUBSTITUTE(Q176,""Sell_"",""""))))/2),ROUNDUP(INDEX(Upgrades!$C$3:$C$13,MATCH(Q176,Upgrades!$B$3:$B$13,0))*1.15^(COUNTIF(Q$4:Q175,Q176)-COUNTIF(Q$4:Q175,""Sell_""&amp;Q176))))))"),-40227.0)</f>
        <v>-40227</v>
      </c>
      <c r="V176" s="10">
        <f t="shared" si="11"/>
        <v>-9343055</v>
      </c>
      <c r="W176" s="68">
        <f t="shared" si="12"/>
        <v>4469.908494</v>
      </c>
      <c r="X176" s="59" t="str">
        <f t="shared" si="13"/>
        <v>1h 14m 29s</v>
      </c>
      <c r="Y176" s="69">
        <f t="shared" si="14"/>
        <v>100606200</v>
      </c>
      <c r="Z176" s="11"/>
    </row>
    <row r="177">
      <c r="A177" s="8"/>
      <c r="B177" s="56">
        <f t="shared" si="2"/>
        <v>17</v>
      </c>
      <c r="C177" s="62" t="s">
        <v>6</v>
      </c>
      <c r="D177" s="10"/>
      <c r="E177" s="59">
        <f t="array" ref="E177">IF(COUNTA(C177:C1673)=0,"",SUM((COUNTIF(C$4:C177,Upgrades!$B$3:$B$13)-COUNTIF(C$4:C177,"Sell_"&amp;Upgrades!$B$3:$B$13))*Upgrades!$D$3:$D$13))</f>
        <v>568193.6</v>
      </c>
      <c r="F177" s="66">
        <f>IFERROR(__xludf.DUMMYFUNCTION("IF(COUNTA(C177:C1673)=0,"""",IF(REGEXMATCH(INDEX(FILTER(C$4:C177,C$4:C177&lt;&gt;""""),ROWS(FILTER(C$4:C177,C$4:C177&lt;&gt;""""))),""^Sell_""),INDEX(FILTER(F$4:F176,C$4:C176&lt;&gt;""""),ROWS(FILTER(C$4:C176,C$4:C176&lt;&gt;""""))),$AC$5+E177))"),568208.6)</f>
        <v>568208.6</v>
      </c>
      <c r="G177" s="10">
        <f>IFERROR(__xludf.DUMMYFUNCTION("IF(COUNTA(C177:C1673)=0,"""",IF(C177="""",0,IF(REGEXMATCH(C177,""^Sell_""),-ROUNDDOWN(ROUNDUP(INDEX(Upgrades!$C$3:$C$13,MATCH(SUBSTITUTE(C177,""Sell_"",""""),Upgrades!$B$3:$B$13,0))*1.15^(COUNTIF(C$4:C176,SUBSTITUTE(C177,""Sell_"",""""))-COUNTIF(C$4:C176,"&amp;"""Sell_""&amp;SUBSTITUTE(C177,""Sell_"",""""))))/2),ROUNDUP(INDEX(Upgrades!$C$3:$C$13,MATCH(C177,Upgrades!$B$3:$B$13,0))*1.15^(COUNTIF(C$4:C176,C177)-COUNTIF(C$4:C176,""Sell_""&amp;C177))))))"),28073.0)</f>
        <v>28073</v>
      </c>
      <c r="H177" s="10">
        <f t="shared" si="3"/>
        <v>28073</v>
      </c>
      <c r="I177" s="68">
        <f t="shared" si="4"/>
        <v>7808.098798</v>
      </c>
      <c r="J177" s="59" t="str">
        <f t="shared" si="5"/>
        <v>2h 10m 08s</v>
      </c>
      <c r="K177" s="69">
        <f t="shared" si="6"/>
        <v>982914979</v>
      </c>
      <c r="L177" s="60">
        <f t="shared" si="7"/>
        <v>-144.98761</v>
      </c>
      <c r="M177" s="61">
        <f>IFERROR(__xludf.DUMMYFUNCTION("IFS(AND(COUNTA(C177:C1673)=0,COUNTA(Q177:Q1673)=0),"""",OR(AND(K177&gt;=1000000000,OR(Y177&gt;=1000000000,COUNTA(Q177:Q1673)=0)),OR(Y177&gt;=1000000000,AND(COUNTA(C177:C1673)=0,P$3=TRUE))),
ROUNDDOWN((AB$1-AC$1)*MAX(INDEX(T$4:T1673,MATCH(LARGE(FILTER(Y$4:Y1673,Y$4"&amp;":Y1673&lt;1000000000),1),Y$4:Y1673)),INDEX(F$4:F1673,MATCH(LARGE(FILTER(K$4:K1673,K$4:K1673&lt;1000000000),1),K$4:K1673)))),AND(K177&lt;1000000000,COUNTA(C177:C1673)&gt;0,P$3=FALSE),
ROUNDDOWN(INDEX(Y$4:Y1673,MATCH(LARGE(FILTER(W$4:W1673,W$4:W1673&lt;=I177),1),W$4:W1673"&amp;"))+(I177-LARGE(FILTER(W$4:W1673,W$4:W1673&lt;=I177),1))*INDEX(T$4:T1673,MATCH(LARGE(FILTER(W$4:W1673,W$4:W1673&lt;=I177),1),W$4:W1673))-K177),1,
ROUNDDOWN(Y177-INDEX(K$4:K1673,MATCH(LARGE(FILTER(I$4:I1673,I$4:I1673&lt;=W177),1),I$4:I1673))-(W177-LARGE(FILTER(I$4:I"&amp;"1673,I$4:I1673&lt;=W177),1))*INDEX(F$4:F1673,MATCH(LARGE(FILTER(I$4:I1673,I$4:I1673&lt;=W177),1),I$4:I1673))))"),8.1170242E7)</f>
        <v>81170242</v>
      </c>
      <c r="N177" s="60">
        <f t="shared" si="8"/>
        <v>-144.98761</v>
      </c>
      <c r="O177" s="61" t="str">
        <f t="shared" si="9"/>
        <v>81,2M</v>
      </c>
      <c r="P177" s="56">
        <f t="shared" si="10"/>
        <v>20</v>
      </c>
      <c r="Q177" s="105" t="s">
        <v>61</v>
      </c>
      <c r="R177" s="10"/>
      <c r="S177" s="59">
        <f t="array" ref="S177">IF(COUNTA(Q177:Q1673)=0,"",SUM((COUNTIF(Q$4:Q177,Upgrades!$B$3:$B$13)-COUNTIF(Q$4:Q177,"Sell_"&amp;Upgrades!$B$3:$B$13))*Upgrades!$D$3:$D$13))</f>
        <v>104775</v>
      </c>
      <c r="T177" s="66">
        <f>IFERROR(__xludf.DUMMYFUNCTION("IF(COUNTA(Q177:Q1673)=0,"""",IF(REGEXMATCH(INDEX(FILTER(Q$4:Q177,Q$4:Q177&lt;&gt;""""),ROWS(FILTER(Q$4:Q177,Q$4:Q177&lt;&gt;""""))),""^Sell_""),INDEX(FILTER(T$4:T176,Q$4:Q176&lt;&gt;""""),ROWS(FILTER(Q$4:Q176,Q$4:Q176&lt;&gt;""""))),$AD$5+S177))"),113256.0)</f>
        <v>113256</v>
      </c>
      <c r="U177" s="10">
        <f>IFERROR(__xludf.DUMMYFUNCTION("IF(COUNTA(Q177:Q1673)=0,"""",IF(Q177="""",0,IF(REGEXMATCH(Q177,""^Sell_""),-ROUNDDOWN(ROUNDUP(INDEX(Upgrades!$C$3:$C$13,MATCH(SUBSTITUTE(Q177,""Sell_"",""""),Upgrades!$B$3:$B$13,0))*1.15^(COUNTIF(Q$4:Q176,SUBSTITUTE(Q177,""Sell_"",""""))-COUNTIF(Q$4:Q176,"&amp;"""Sell_""&amp;SUBSTITUTE(Q177,""Sell_"",""""))))/2),ROUNDUP(INDEX(Upgrades!$C$3:$C$13,MATCH(Q177,Upgrades!$B$3:$B$13,0))*1.15^(COUNTIF(Q$4:Q176,Q177)-COUNTIF(Q$4:Q176,""Sell_""&amp;Q177))))))"),-34980.0)</f>
        <v>-34980</v>
      </c>
      <c r="V177" s="10">
        <f t="shared" si="11"/>
        <v>-9378035</v>
      </c>
      <c r="W177" s="68">
        <f t="shared" si="12"/>
        <v>4469.908494</v>
      </c>
      <c r="X177" s="59" t="str">
        <f t="shared" si="13"/>
        <v>1h 14m 29s</v>
      </c>
      <c r="Y177" s="69">
        <f t="shared" si="14"/>
        <v>100606200</v>
      </c>
      <c r="Z177" s="11"/>
    </row>
    <row r="178">
      <c r="A178" s="8"/>
      <c r="B178" s="56">
        <f t="shared" si="2"/>
        <v>18</v>
      </c>
      <c r="C178" s="62" t="s">
        <v>6</v>
      </c>
      <c r="D178" s="10"/>
      <c r="E178" s="59">
        <f t="array" ref="E178">IF(COUNTA(C178:C1673)=0,"",SUM((COUNTIF(C$4:C178,Upgrades!$B$3:$B$13)-COUNTIF(C$4:C178,"Sell_"&amp;Upgrades!$B$3:$B$13))*Upgrades!$D$3:$D$13))</f>
        <v>568203.6</v>
      </c>
      <c r="F178" s="66">
        <f>IFERROR(__xludf.DUMMYFUNCTION("IF(COUNTA(C178:C1673)=0,"""",IF(REGEXMATCH(INDEX(FILTER(C$4:C178,C$4:C178&lt;&gt;""""),ROWS(FILTER(C$4:C178,C$4:C178&lt;&gt;""""))),""^Sell_""),INDEX(FILTER(F$4:F177,C$4:C177&lt;&gt;""""),ROWS(FILTER(C$4:C177,C$4:C177&lt;&gt;""""))),$AC$5+E178))"),568218.6)</f>
        <v>568218.6</v>
      </c>
      <c r="G178" s="10">
        <f>IFERROR(__xludf.DUMMYFUNCTION("IF(COUNTA(C178:C1673)=0,"""",IF(C178="""",0,IF(REGEXMATCH(C178,""^Sell_""),-ROUNDDOWN(ROUNDUP(INDEX(Upgrades!$C$3:$C$13,MATCH(SUBSTITUTE(C178,""Sell_"",""""),Upgrades!$B$3:$B$13,0))*1.15^(COUNTIF(C$4:C177,SUBSTITUTE(C178,""Sell_"",""""))-COUNTIF(C$4:C177,"&amp;"""Sell_""&amp;SUBSTITUTE(C178,""Sell_"",""""))))/2),ROUNDUP(INDEX(Upgrades!$C$3:$C$13,MATCH(C178,Upgrades!$B$3:$B$13,0))*1.15^(COUNTIF(C$4:C177,C178)-COUNTIF(C$4:C177,""Sell_""&amp;C178))))))"),32284.0)</f>
        <v>32284</v>
      </c>
      <c r="H178" s="10">
        <f t="shared" si="3"/>
        <v>32284</v>
      </c>
      <c r="I178" s="68">
        <f t="shared" si="4"/>
        <v>7808.155615</v>
      </c>
      <c r="J178" s="59" t="str">
        <f t="shared" si="5"/>
        <v>2h 10m 08s</v>
      </c>
      <c r="K178" s="69">
        <f t="shared" si="6"/>
        <v>982947263</v>
      </c>
      <c r="L178" s="60">
        <f t="shared" si="7"/>
        <v>-144.98595</v>
      </c>
      <c r="M178" s="61">
        <f>IFERROR(__xludf.DUMMYFUNCTION("IFS(AND(COUNTA(C178:C1673)=0,COUNTA(Q178:Q1673)=0),"""",OR(AND(K178&gt;=1000000000,OR(Y178&gt;=1000000000,COUNTA(Q178:Q1673)=0)),OR(Y178&gt;=1000000000,AND(COUNTA(C178:C1673)=0,P$3=TRUE))),
ROUNDDOWN((AB$1-AC$1)*MAX(INDEX(T$4:T1673,MATCH(LARGE(FILTER(Y$4:Y1673,Y$4"&amp;":Y1673&lt;1000000000),1),Y$4:Y1673)),INDEX(F$4:F1673,MATCH(LARGE(FILTER(K$4:K1673,K$4:K1673&lt;1000000000),1),K$4:K1673)))),AND(K178&lt;1000000000,COUNTA(C178:C1673)&gt;0,P$3=FALSE),
ROUNDDOWN(INDEX(Y$4:Y1673,MATCH(LARGE(FILTER(W$4:W1673,W$4:W1673&lt;=I178),1),W$4:W1673"&amp;"))+(I178-LARGE(FILTER(W$4:W1673,W$4:W1673&lt;=I178),1))*INDEX(T$4:T1673,MATCH(LARGE(FILTER(W$4:W1673,W$4:W1673&lt;=I178),1),W$4:W1673))-K178),1,
ROUNDDOWN(Y178-INDEX(K$4:K1673,MATCH(LARGE(FILTER(I$4:I1673,I$4:I1673&lt;=W178),1),I$4:I1673))-(W178-LARGE(FILTER(I$4:I"&amp;"1673,I$4:I1673&lt;=W178),1))*INDEX(F$4:F1673,MATCH(LARGE(FILTER(I$4:I1673,I$4:I1673&lt;=W178),1),I$4:I1673))))"),8.1169803E7)</f>
        <v>81169803</v>
      </c>
      <c r="N178" s="60">
        <f t="shared" si="8"/>
        <v>-144.98595</v>
      </c>
      <c r="O178" s="61" t="str">
        <f t="shared" si="9"/>
        <v>81,2M</v>
      </c>
      <c r="P178" s="56">
        <f t="shared" si="10"/>
        <v>21</v>
      </c>
      <c r="Q178" s="105" t="s">
        <v>61</v>
      </c>
      <c r="R178" s="10"/>
      <c r="S178" s="59">
        <f t="array" ref="S178">IF(COUNTA(Q178:Q1673)=0,"",SUM((COUNTIF(Q$4:Q178,Upgrades!$B$3:$B$13)-COUNTIF(Q$4:Q178,"Sell_"&amp;Upgrades!$B$3:$B$13))*Upgrades!$D$3:$D$13))</f>
        <v>104675</v>
      </c>
      <c r="T178" s="66">
        <f>IFERROR(__xludf.DUMMYFUNCTION("IF(COUNTA(Q178:Q1673)=0,"""",IF(REGEXMATCH(INDEX(FILTER(Q$4:Q178,Q$4:Q178&lt;&gt;""""),ROWS(FILTER(Q$4:Q178,Q$4:Q178&lt;&gt;""""))),""^Sell_""),INDEX(FILTER(T$4:T177,Q$4:Q177&lt;&gt;""""),ROWS(FILTER(Q$4:Q177,Q$4:Q177&lt;&gt;""""))),$AD$5+S178))"),113256.0)</f>
        <v>113256</v>
      </c>
      <c r="U178" s="10">
        <f>IFERROR(__xludf.DUMMYFUNCTION("IF(COUNTA(Q178:Q1673)=0,"""",IF(Q178="""",0,IF(REGEXMATCH(Q178,""^Sell_""),-ROUNDDOWN(ROUNDUP(INDEX(Upgrades!$C$3:$C$13,MATCH(SUBSTITUTE(Q178,""Sell_"",""""),Upgrades!$B$3:$B$13,0))*1.15^(COUNTIF(Q$4:Q177,SUBSTITUTE(Q178,""Sell_"",""""))-COUNTIF(Q$4:Q177,"&amp;"""Sell_""&amp;SUBSTITUTE(Q178,""Sell_"",""""))))/2),ROUNDUP(INDEX(Upgrades!$C$3:$C$13,MATCH(Q178,Upgrades!$B$3:$B$13,0))*1.15^(COUNTIF(Q$4:Q177,Q178)-COUNTIF(Q$4:Q177,""Sell_""&amp;Q178))))))"),-30417.0)</f>
        <v>-30417</v>
      </c>
      <c r="V178" s="10">
        <f t="shared" si="11"/>
        <v>-9408452</v>
      </c>
      <c r="W178" s="68">
        <f t="shared" si="12"/>
        <v>4469.908494</v>
      </c>
      <c r="X178" s="59" t="str">
        <f t="shared" si="13"/>
        <v>1h 14m 29s</v>
      </c>
      <c r="Y178" s="69">
        <f t="shared" si="14"/>
        <v>100606200</v>
      </c>
      <c r="Z178" s="11"/>
    </row>
    <row r="179">
      <c r="A179" s="8"/>
      <c r="B179" s="56">
        <f t="shared" si="2"/>
        <v>19</v>
      </c>
      <c r="C179" s="62" t="s">
        <v>6</v>
      </c>
      <c r="D179" s="10"/>
      <c r="E179" s="59">
        <f t="array" ref="E179">IF(COUNTA(C179:C1673)=0,"",SUM((COUNTIF(C$4:C179,Upgrades!$B$3:$B$13)-COUNTIF(C$4:C179,"Sell_"&amp;Upgrades!$B$3:$B$13))*Upgrades!$D$3:$D$13))</f>
        <v>568213.6</v>
      </c>
      <c r="F179" s="66">
        <f>IFERROR(__xludf.DUMMYFUNCTION("IF(COUNTA(C179:C1673)=0,"""",IF(REGEXMATCH(INDEX(FILTER(C$4:C179,C$4:C179&lt;&gt;""""),ROWS(FILTER(C$4:C179,C$4:C179&lt;&gt;""""))),""^Sell_""),INDEX(FILTER(F$4:F178,C$4:C178&lt;&gt;""""),ROWS(FILTER(C$4:C178,C$4:C178&lt;&gt;""""))),$AC$5+E179))"),568228.6)</f>
        <v>568228.6</v>
      </c>
      <c r="G179" s="10">
        <f>IFERROR(__xludf.DUMMYFUNCTION("IF(COUNTA(C179:C1673)=0,"""",IF(C179="""",0,IF(REGEXMATCH(C179,""^Sell_""),-ROUNDDOWN(ROUNDUP(INDEX(Upgrades!$C$3:$C$13,MATCH(SUBSTITUTE(C179,""Sell_"",""""),Upgrades!$B$3:$B$13,0))*1.15^(COUNTIF(C$4:C178,SUBSTITUTE(C179,""Sell_"",""""))-COUNTIF(C$4:C178,"&amp;"""Sell_""&amp;SUBSTITUTE(C179,""Sell_"",""""))))/2),ROUNDUP(INDEX(Upgrades!$C$3:$C$13,MATCH(C179,Upgrades!$B$3:$B$13,0))*1.15^(COUNTIF(C$4:C178,C179)-COUNTIF(C$4:C178,""Sell_""&amp;C179))))))"),37127.0)</f>
        <v>37127</v>
      </c>
      <c r="H179" s="10">
        <f t="shared" si="3"/>
        <v>37127</v>
      </c>
      <c r="I179" s="68">
        <f t="shared" si="4"/>
        <v>7808.220954</v>
      </c>
      <c r="J179" s="59" t="str">
        <f t="shared" si="5"/>
        <v>2h 10m 08s</v>
      </c>
      <c r="K179" s="69">
        <f t="shared" si="6"/>
        <v>982984390</v>
      </c>
      <c r="L179" s="60">
        <f t="shared" si="7"/>
        <v>-144.98404</v>
      </c>
      <c r="M179" s="61">
        <f>IFERROR(__xludf.DUMMYFUNCTION("IFS(AND(COUNTA(C179:C1673)=0,COUNTA(Q179:Q1673)=0),"""",OR(AND(K179&gt;=1000000000,OR(Y179&gt;=1000000000,COUNTA(Q179:Q1673)=0)),OR(Y179&gt;=1000000000,AND(COUNTA(C179:C1673)=0,P$3=TRUE))),
ROUNDDOWN((AB$1-AC$1)*MAX(INDEX(T$4:T1673,MATCH(LARGE(FILTER(Y$4:Y1673,Y$4"&amp;":Y1673&lt;1000000000),1),Y$4:Y1673)),INDEX(F$4:F1673,MATCH(LARGE(FILTER(K$4:K1673,K$4:K1673&lt;1000000000),1),K$4:K1673)))),AND(K179&lt;1000000000,COUNTA(C179:C1673)&gt;0,P$3=FALSE),
ROUNDDOWN(INDEX(Y$4:Y1673,MATCH(LARGE(FILTER(W$4:W1673,W$4:W1673&lt;=I179),1),W$4:W1673"&amp;"))+(I179-LARGE(FILTER(W$4:W1673,W$4:W1673&lt;=I179),1))*INDEX(T$4:T1673,MATCH(LARGE(FILTER(W$4:W1673,W$4:W1673&lt;=I179),1),W$4:W1673))-K179),1,
ROUNDDOWN(Y179-INDEX(K$4:K1673,MATCH(LARGE(FILTER(I$4:I1673,I$4:I1673&lt;=W179),1),I$4:I1673))-(W179-LARGE(FILTER(I$4:I"&amp;"1673,I$4:I1673&lt;=W179),1))*INDEX(F$4:F1673,MATCH(LARGE(FILTER(I$4:I1673,I$4:I1673&lt;=W179),1),I$4:I1673))))"),8.1169297E7)</f>
        <v>81169297</v>
      </c>
      <c r="N179" s="60">
        <f t="shared" si="8"/>
        <v>-144.98404</v>
      </c>
      <c r="O179" s="61" t="str">
        <f t="shared" si="9"/>
        <v>81,2M</v>
      </c>
      <c r="P179" s="56">
        <f t="shared" si="10"/>
        <v>22</v>
      </c>
      <c r="Q179" s="105" t="s">
        <v>61</v>
      </c>
      <c r="R179" s="10"/>
      <c r="S179" s="59">
        <f t="array" ref="S179">IF(COUNTA(Q179:Q1673)=0,"",SUM((COUNTIF(Q$4:Q179,Upgrades!$B$3:$B$13)-COUNTIF(Q$4:Q179,"Sell_"&amp;Upgrades!$B$3:$B$13))*Upgrades!$D$3:$D$13))</f>
        <v>104575</v>
      </c>
      <c r="T179" s="66">
        <f>IFERROR(__xludf.DUMMYFUNCTION("IF(COUNTA(Q179:Q1673)=0,"""",IF(REGEXMATCH(INDEX(FILTER(Q$4:Q179,Q$4:Q179&lt;&gt;""""),ROWS(FILTER(Q$4:Q179,Q$4:Q179&lt;&gt;""""))),""^Sell_""),INDEX(FILTER(T$4:T178,Q$4:Q178&lt;&gt;""""),ROWS(FILTER(Q$4:Q178,Q$4:Q178&lt;&gt;""""))),$AD$5+S179))"),113256.0)</f>
        <v>113256</v>
      </c>
      <c r="U179" s="10">
        <f>IFERROR(__xludf.DUMMYFUNCTION("IF(COUNTA(Q179:Q1673)=0,"""",IF(Q179="""",0,IF(REGEXMATCH(Q179,""^Sell_""),-ROUNDDOWN(ROUNDUP(INDEX(Upgrades!$C$3:$C$13,MATCH(SUBSTITUTE(Q179,""Sell_"",""""),Upgrades!$B$3:$B$13,0))*1.15^(COUNTIF(Q$4:Q178,SUBSTITUTE(Q179,""Sell_"",""""))-COUNTIF(Q$4:Q178,"&amp;"""Sell_""&amp;SUBSTITUTE(Q179,""Sell_"",""""))))/2),ROUNDUP(INDEX(Upgrades!$C$3:$C$13,MATCH(Q179,Upgrades!$B$3:$B$13,0))*1.15^(COUNTIF(Q$4:Q178,Q179)-COUNTIF(Q$4:Q178,""Sell_""&amp;Q179))))))"),-26450.0)</f>
        <v>-26450</v>
      </c>
      <c r="V179" s="10">
        <f t="shared" si="11"/>
        <v>-9434902</v>
      </c>
      <c r="W179" s="68">
        <f t="shared" si="12"/>
        <v>4469.908494</v>
      </c>
      <c r="X179" s="59" t="str">
        <f t="shared" si="13"/>
        <v>1h 14m 29s</v>
      </c>
      <c r="Y179" s="69">
        <f t="shared" si="14"/>
        <v>100606200</v>
      </c>
      <c r="Z179" s="11"/>
    </row>
    <row r="180">
      <c r="A180" s="8"/>
      <c r="B180" s="56">
        <f t="shared" si="2"/>
        <v>20</v>
      </c>
      <c r="C180" s="62" t="s">
        <v>6</v>
      </c>
      <c r="D180" s="10"/>
      <c r="E180" s="59">
        <f t="array" ref="E180">IF(COUNTA(C180:C1673)=0,"",SUM((COUNTIF(C$4:C180,Upgrades!$B$3:$B$13)-COUNTIF(C$4:C180,"Sell_"&amp;Upgrades!$B$3:$B$13))*Upgrades!$D$3:$D$13))</f>
        <v>568223.6</v>
      </c>
      <c r="F180" s="66">
        <f>IFERROR(__xludf.DUMMYFUNCTION("IF(COUNTA(C180:C1673)=0,"""",IF(REGEXMATCH(INDEX(FILTER(C$4:C180,C$4:C180&lt;&gt;""""),ROWS(FILTER(C$4:C180,C$4:C180&lt;&gt;""""))),""^Sell_""),INDEX(FILTER(F$4:F179,C$4:C179&lt;&gt;""""),ROWS(FILTER(C$4:C179,C$4:C179&lt;&gt;""""))),$AC$5+E180))"),568238.6)</f>
        <v>568238.6</v>
      </c>
      <c r="G180" s="10">
        <f>IFERROR(__xludf.DUMMYFUNCTION("IF(COUNTA(C180:C1673)=0,"""",IF(C180="""",0,IF(REGEXMATCH(C180,""^Sell_""),-ROUNDDOWN(ROUNDUP(INDEX(Upgrades!$C$3:$C$13,MATCH(SUBSTITUTE(C180,""Sell_"",""""),Upgrades!$B$3:$B$13,0))*1.15^(COUNTIF(C$4:C179,SUBSTITUTE(C180,""Sell_"",""""))-COUNTIF(C$4:C179,"&amp;"""Sell_""&amp;SUBSTITUTE(C180,""Sell_"",""""))))/2),ROUNDUP(INDEX(Upgrades!$C$3:$C$13,MATCH(C180,Upgrades!$B$3:$B$13,0))*1.15^(COUNTIF(C$4:C179,C180)-COUNTIF(C$4:C179,""Sell_""&amp;C180))))))"),42696.0)</f>
        <v>42696</v>
      </c>
      <c r="H180" s="10">
        <f t="shared" si="3"/>
        <v>42696</v>
      </c>
      <c r="I180" s="68">
        <f t="shared" si="4"/>
        <v>7808.296093</v>
      </c>
      <c r="J180" s="59" t="str">
        <f t="shared" si="5"/>
        <v>2h 10m 08s</v>
      </c>
      <c r="K180" s="69">
        <f t="shared" si="6"/>
        <v>983027086</v>
      </c>
      <c r="L180" s="60">
        <f t="shared" si="7"/>
        <v>-144.98184</v>
      </c>
      <c r="M180" s="61">
        <f>IFERROR(__xludf.DUMMYFUNCTION("IFS(AND(COUNTA(C180:C1673)=0,COUNTA(Q180:Q1673)=0),"""",OR(AND(K180&gt;=1000000000,OR(Y180&gt;=1000000000,COUNTA(Q180:Q1673)=0)),OR(Y180&gt;=1000000000,AND(COUNTA(C180:C1673)=0,P$3=TRUE))),
ROUNDDOWN((AB$1-AC$1)*MAX(INDEX(T$4:T1673,MATCH(LARGE(FILTER(Y$4:Y1673,Y$4"&amp;":Y1673&lt;1000000000),1),Y$4:Y1673)),INDEX(F$4:F1673,MATCH(LARGE(FILTER(K$4:K1673,K$4:K1673&lt;1000000000),1),K$4:K1673)))),AND(K180&lt;1000000000,COUNTA(C180:C1673)&gt;0,P$3=FALSE),
ROUNDDOWN(INDEX(Y$4:Y1673,MATCH(LARGE(FILTER(W$4:W1673,W$4:W1673&lt;=I180),1),W$4:W1673"&amp;"))+(I180-LARGE(FILTER(W$4:W1673,W$4:W1673&lt;=I180),1))*INDEX(T$4:T1673,MATCH(LARGE(FILTER(W$4:W1673,W$4:W1673&lt;=I180),1),W$4:W1673))-K180),1,
ROUNDDOWN(Y180-INDEX(K$4:K1673,MATCH(LARGE(FILTER(I$4:I1673,I$4:I1673&lt;=W180),1),I$4:I1673))-(W180-LARGE(FILTER(I$4:I"&amp;"1673,I$4:I1673&lt;=W180),1))*INDEX(F$4:F1673,MATCH(LARGE(FILTER(I$4:I1673,I$4:I1673&lt;=W180),1),I$4:I1673))))"),8.1168715E7)</f>
        <v>81168715</v>
      </c>
      <c r="N180" s="60">
        <f t="shared" si="8"/>
        <v>-144.98184</v>
      </c>
      <c r="O180" s="61" t="str">
        <f t="shared" si="9"/>
        <v>81,2M</v>
      </c>
      <c r="P180" s="56">
        <f t="shared" si="10"/>
        <v>23</v>
      </c>
      <c r="Q180" s="105" t="s">
        <v>61</v>
      </c>
      <c r="R180" s="10"/>
      <c r="S180" s="59">
        <f t="array" ref="S180">IF(COUNTA(Q180:Q1673)=0,"",SUM((COUNTIF(Q$4:Q180,Upgrades!$B$3:$B$13)-COUNTIF(Q$4:Q180,"Sell_"&amp;Upgrades!$B$3:$B$13))*Upgrades!$D$3:$D$13))</f>
        <v>104475</v>
      </c>
      <c r="T180" s="66">
        <f>IFERROR(__xludf.DUMMYFUNCTION("IF(COUNTA(Q180:Q1673)=0,"""",IF(REGEXMATCH(INDEX(FILTER(Q$4:Q180,Q$4:Q180&lt;&gt;""""),ROWS(FILTER(Q$4:Q180,Q$4:Q180&lt;&gt;""""))),""^Sell_""),INDEX(FILTER(T$4:T179,Q$4:Q179&lt;&gt;""""),ROWS(FILTER(Q$4:Q179,Q$4:Q179&lt;&gt;""""))),$AD$5+S180))"),113256.0)</f>
        <v>113256</v>
      </c>
      <c r="U180" s="10">
        <f>IFERROR(__xludf.DUMMYFUNCTION("IF(COUNTA(Q180:Q1673)=0,"""",IF(Q180="""",0,IF(REGEXMATCH(Q180,""^Sell_""),-ROUNDDOWN(ROUNDUP(INDEX(Upgrades!$C$3:$C$13,MATCH(SUBSTITUTE(Q180,""Sell_"",""""),Upgrades!$B$3:$B$13,0))*1.15^(COUNTIF(Q$4:Q179,SUBSTITUTE(Q180,""Sell_"",""""))-COUNTIF(Q$4:Q179,"&amp;"""Sell_""&amp;SUBSTITUTE(Q180,""Sell_"",""""))))/2),ROUNDUP(INDEX(Upgrades!$C$3:$C$13,MATCH(Q180,Upgrades!$B$3:$B$13,0))*1.15^(COUNTIF(Q$4:Q179,Q180)-COUNTIF(Q$4:Q179,""Sell_""&amp;Q180))))))"),-23000.0)</f>
        <v>-23000</v>
      </c>
      <c r="V180" s="10">
        <f t="shared" si="11"/>
        <v>-9457902</v>
      </c>
      <c r="W180" s="68">
        <f t="shared" si="12"/>
        <v>4469.908494</v>
      </c>
      <c r="X180" s="59" t="str">
        <f t="shared" si="13"/>
        <v>1h 14m 29s</v>
      </c>
      <c r="Y180" s="69">
        <f t="shared" si="14"/>
        <v>100606200</v>
      </c>
      <c r="Z180" s="11"/>
    </row>
    <row r="181">
      <c r="A181" s="8"/>
      <c r="B181" s="56">
        <f t="shared" si="2"/>
        <v>21</v>
      </c>
      <c r="C181" s="62" t="s">
        <v>6</v>
      </c>
      <c r="D181" s="10"/>
      <c r="E181" s="59">
        <f t="array" ref="E181">IF(COUNTA(C181:C1673)=0,"",SUM((COUNTIF(C$4:C181,Upgrades!$B$3:$B$13)-COUNTIF(C$4:C181,"Sell_"&amp;Upgrades!$B$3:$B$13))*Upgrades!$D$3:$D$13))</f>
        <v>568233.6</v>
      </c>
      <c r="F181" s="66">
        <f>IFERROR(__xludf.DUMMYFUNCTION("IF(COUNTA(C181:C1673)=0,"""",IF(REGEXMATCH(INDEX(FILTER(C$4:C181,C$4:C181&lt;&gt;""""),ROWS(FILTER(C$4:C181,C$4:C181&lt;&gt;""""))),""^Sell_""),INDEX(FILTER(F$4:F180,C$4:C180&lt;&gt;""""),ROWS(FILTER(C$4:C180,C$4:C180&lt;&gt;""""))),$AC$5+E181))"),568248.6)</f>
        <v>568248.6</v>
      </c>
      <c r="G181" s="10">
        <f>IFERROR(__xludf.DUMMYFUNCTION("IF(COUNTA(C181:C1673)=0,"""",IF(C181="""",0,IF(REGEXMATCH(C181,""^Sell_""),-ROUNDDOWN(ROUNDUP(INDEX(Upgrades!$C$3:$C$13,MATCH(SUBSTITUTE(C181,""Sell_"",""""),Upgrades!$B$3:$B$13,0))*1.15^(COUNTIF(C$4:C180,SUBSTITUTE(C181,""Sell_"",""""))-COUNTIF(C$4:C180,"&amp;"""Sell_""&amp;SUBSTITUTE(C181,""Sell_"",""""))))/2),ROUNDUP(INDEX(Upgrades!$C$3:$C$13,MATCH(C181,Upgrades!$B$3:$B$13,0))*1.15^(COUNTIF(C$4:C180,C181)-COUNTIF(C$4:C180,""Sell_""&amp;C181))))))"),49100.0)</f>
        <v>49100</v>
      </c>
      <c r="H181" s="10">
        <f t="shared" si="3"/>
        <v>49100</v>
      </c>
      <c r="I181" s="68">
        <f t="shared" si="4"/>
        <v>7808.3825</v>
      </c>
      <c r="J181" s="59" t="str">
        <f t="shared" si="5"/>
        <v>2h 10m 08s</v>
      </c>
      <c r="K181" s="69">
        <f t="shared" si="6"/>
        <v>983076186</v>
      </c>
      <c r="L181" s="60">
        <f t="shared" si="7"/>
        <v>-144.97931</v>
      </c>
      <c r="M181" s="61">
        <f>IFERROR(__xludf.DUMMYFUNCTION("IFS(AND(COUNTA(C181:C1673)=0,COUNTA(Q181:Q1673)=0),"""",OR(AND(K181&gt;=1000000000,OR(Y181&gt;=1000000000,COUNTA(Q181:Q1673)=0)),OR(Y181&gt;=1000000000,AND(COUNTA(C181:C1673)=0,P$3=TRUE))),
ROUNDDOWN((AB$1-AC$1)*MAX(INDEX(T$4:T1673,MATCH(LARGE(FILTER(Y$4:Y1673,Y$4"&amp;":Y1673&lt;1000000000),1),Y$4:Y1673)),INDEX(F$4:F1673,MATCH(LARGE(FILTER(K$4:K1673,K$4:K1673&lt;1000000000),1),K$4:K1673)))),AND(K181&lt;1000000000,COUNTA(C181:C1673)&gt;0,P$3=FALSE),
ROUNDDOWN(INDEX(Y$4:Y1673,MATCH(LARGE(FILTER(W$4:W1673,W$4:W1673&lt;=I181),1),W$4:W1673"&amp;"))+(I181-LARGE(FILTER(W$4:W1673,W$4:W1673&lt;=I181),1))*INDEX(T$4:T1673,MATCH(LARGE(FILTER(W$4:W1673,W$4:W1673&lt;=I181),1),W$4:W1673))-K181),1,
ROUNDDOWN(Y181-INDEX(K$4:K1673,MATCH(LARGE(FILTER(I$4:I1673,I$4:I1673&lt;=W181),1),I$4:I1673))-(W181-LARGE(FILTER(I$4:I"&amp;"1673,I$4:I1673&lt;=W181),1))*INDEX(F$4:F1673,MATCH(LARGE(FILTER(I$4:I1673,I$4:I1673&lt;=W181),1),I$4:I1673))))"),8.1168045E7)</f>
        <v>81168045</v>
      </c>
      <c r="N181" s="60">
        <f t="shared" si="8"/>
        <v>-144.97931</v>
      </c>
      <c r="O181" s="61" t="str">
        <f t="shared" si="9"/>
        <v>81,2M</v>
      </c>
      <c r="P181" s="56">
        <f t="shared" si="10"/>
        <v>8</v>
      </c>
      <c r="Q181" s="105" t="s">
        <v>60</v>
      </c>
      <c r="R181" s="10"/>
      <c r="S181" s="59">
        <f t="array" ref="S181">IF(COUNTA(Q181:Q1673)=0,"",SUM((COUNTIF(Q$4:Q181,Upgrades!$B$3:$B$13)-COUNTIF(Q$4:Q181,"Sell_"&amp;Upgrades!$B$3:$B$13))*Upgrades!$D$3:$D$13))</f>
        <v>104075</v>
      </c>
      <c r="T181" s="66">
        <f>IFERROR(__xludf.DUMMYFUNCTION("IF(COUNTA(Q181:Q1673)=0,"""",IF(REGEXMATCH(INDEX(FILTER(Q$4:Q181,Q$4:Q181&lt;&gt;""""),ROWS(FILTER(Q$4:Q181,Q$4:Q181&lt;&gt;""""))),""^Sell_""),INDEX(FILTER(T$4:T180,Q$4:Q180&lt;&gt;""""),ROWS(FILTER(Q$4:Q180,Q$4:Q180&lt;&gt;""""))),$AD$5+S181))"),113256.0)</f>
        <v>113256</v>
      </c>
      <c r="U181" s="10">
        <f>IFERROR(__xludf.DUMMYFUNCTION("IF(COUNTA(Q181:Q1673)=0,"""",IF(Q181="""",0,IF(REGEXMATCH(Q181,""^Sell_""),-ROUNDDOWN(ROUNDUP(INDEX(Upgrades!$C$3:$C$13,MATCH(SUBSTITUTE(Q181,""Sell_"",""""),Upgrades!$B$3:$B$13,0))*1.15^(COUNTIF(Q$4:Q180,SUBSTITUTE(Q181,""Sell_"",""""))-COUNTIF(Q$4:Q180,"&amp;"""Sell_""&amp;SUBSTITUTE(Q181,""Sell_"",""""))))/2),ROUNDUP(INDEX(Upgrades!$C$3:$C$13,MATCH(Q181,Upgrades!$B$3:$B$13,0))*1.15^(COUNTIF(Q$4:Q180,Q181)-COUNTIF(Q$4:Q180,""Sell_""&amp;Q181))))))"),-351788.0)</f>
        <v>-351788</v>
      </c>
      <c r="V181" s="10">
        <f t="shared" si="11"/>
        <v>-9809690</v>
      </c>
      <c r="W181" s="68">
        <f t="shared" si="12"/>
        <v>4469.908494</v>
      </c>
      <c r="X181" s="59" t="str">
        <f t="shared" si="13"/>
        <v>1h 14m 29s</v>
      </c>
      <c r="Y181" s="69">
        <f t="shared" si="14"/>
        <v>100606200</v>
      </c>
      <c r="Z181" s="11"/>
    </row>
    <row r="182">
      <c r="A182" s="8"/>
      <c r="B182" s="56">
        <f t="shared" si="2"/>
        <v>22</v>
      </c>
      <c r="C182" s="62" t="s">
        <v>6</v>
      </c>
      <c r="D182" s="10"/>
      <c r="E182" s="59">
        <f t="array" ref="E182">IF(COUNTA(C182:C1673)=0,"",SUM((COUNTIF(C$4:C182,Upgrades!$B$3:$B$13)-COUNTIF(C$4:C182,"Sell_"&amp;Upgrades!$B$3:$B$13))*Upgrades!$D$3:$D$13))</f>
        <v>568243.6</v>
      </c>
      <c r="F182" s="66">
        <f>IFERROR(__xludf.DUMMYFUNCTION("IF(COUNTA(C182:C1673)=0,"""",IF(REGEXMATCH(INDEX(FILTER(C$4:C182,C$4:C182&lt;&gt;""""),ROWS(FILTER(C$4:C182,C$4:C182&lt;&gt;""""))),""^Sell_""),INDEX(FILTER(F$4:F181,C$4:C181&lt;&gt;""""),ROWS(FILTER(C$4:C181,C$4:C181&lt;&gt;""""))),$AC$5+E182))"),568258.6)</f>
        <v>568258.6</v>
      </c>
      <c r="G182" s="10">
        <f>IFERROR(__xludf.DUMMYFUNCTION("IF(COUNTA(C182:C1673)=0,"""",IF(C182="""",0,IF(REGEXMATCH(C182,""^Sell_""),-ROUNDDOWN(ROUNDUP(INDEX(Upgrades!$C$3:$C$13,MATCH(SUBSTITUTE(C182,""Sell_"",""""),Upgrades!$B$3:$B$13,0))*1.15^(COUNTIF(C$4:C181,SUBSTITUTE(C182,""Sell_"",""""))-COUNTIF(C$4:C181,"&amp;"""Sell_""&amp;SUBSTITUTE(C182,""Sell_"",""""))))/2),ROUNDUP(INDEX(Upgrades!$C$3:$C$13,MATCH(C182,Upgrades!$B$3:$B$13,0))*1.15^(COUNTIF(C$4:C181,C182)-COUNTIF(C$4:C181,""Sell_""&amp;C182))))))"),56465.0)</f>
        <v>56465</v>
      </c>
      <c r="H182" s="10">
        <f t="shared" si="3"/>
        <v>56465</v>
      </c>
      <c r="I182" s="68">
        <f t="shared" si="4"/>
        <v>7808.481867</v>
      </c>
      <c r="J182" s="59" t="str">
        <f t="shared" si="5"/>
        <v>2h 10m 08s</v>
      </c>
      <c r="K182" s="69">
        <f t="shared" si="6"/>
        <v>983132651</v>
      </c>
      <c r="L182" s="60">
        <f t="shared" si="7"/>
        <v>-144.9764</v>
      </c>
      <c r="M182" s="61">
        <f>IFERROR(__xludf.DUMMYFUNCTION("IFS(AND(COUNTA(C182:C1673)=0,COUNTA(Q182:Q1673)=0),"""",OR(AND(K182&gt;=1000000000,OR(Y182&gt;=1000000000,COUNTA(Q182:Q1673)=0)),OR(Y182&gt;=1000000000,AND(COUNTA(C182:C1673)=0,P$3=TRUE))),
ROUNDDOWN((AB$1-AC$1)*MAX(INDEX(T$4:T1673,MATCH(LARGE(FILTER(Y$4:Y1673,Y$4"&amp;":Y1673&lt;1000000000),1),Y$4:Y1673)),INDEX(F$4:F1673,MATCH(LARGE(FILTER(K$4:K1673,K$4:K1673&lt;1000000000),1),K$4:K1673)))),AND(K182&lt;1000000000,COUNTA(C182:C1673)&gt;0,P$3=FALSE),
ROUNDDOWN(INDEX(Y$4:Y1673,MATCH(LARGE(FILTER(W$4:W1673,W$4:W1673&lt;=I182),1),W$4:W1673"&amp;"))+(I182-LARGE(FILTER(W$4:W1673,W$4:W1673&lt;=I182),1))*INDEX(T$4:T1673,MATCH(LARGE(FILTER(W$4:W1673,W$4:W1673&lt;=I182),1),W$4:W1673))-K182),1,
ROUNDDOWN(Y182-INDEX(K$4:K1673,MATCH(LARGE(FILTER(I$4:I1673,I$4:I1673&lt;=W182),1),I$4:I1673))-(W182-LARGE(FILTER(I$4:I"&amp;"1673,I$4:I1673&lt;=W182),1))*INDEX(F$4:F1673,MATCH(LARGE(FILTER(I$4:I1673,I$4:I1673&lt;=W182),1),I$4:I1673))))"),8.1167273E7)</f>
        <v>81167273</v>
      </c>
      <c r="N182" s="60">
        <f t="shared" si="8"/>
        <v>-144.9764</v>
      </c>
      <c r="O182" s="61" t="str">
        <f t="shared" si="9"/>
        <v>81,2M</v>
      </c>
      <c r="P182" s="56">
        <f t="shared" si="10"/>
        <v>9</v>
      </c>
      <c r="Q182" s="105" t="s">
        <v>60</v>
      </c>
      <c r="R182" s="10"/>
      <c r="S182" s="59">
        <f t="array" ref="S182">IF(COUNTA(Q182:Q1673)=0,"",SUM((COUNTIF(Q$4:Q182,Upgrades!$B$3:$B$13)-COUNTIF(Q$4:Q182,"Sell_"&amp;Upgrades!$B$3:$B$13))*Upgrades!$D$3:$D$13))</f>
        <v>103675</v>
      </c>
      <c r="T182" s="66">
        <f>IFERROR(__xludf.DUMMYFUNCTION("IF(COUNTA(Q182:Q1673)=0,"""",IF(REGEXMATCH(INDEX(FILTER(Q$4:Q182,Q$4:Q182&lt;&gt;""""),ROWS(FILTER(Q$4:Q182,Q$4:Q182&lt;&gt;""""))),""^Sell_""),INDEX(FILTER(T$4:T181,Q$4:Q181&lt;&gt;""""),ROWS(FILTER(Q$4:Q181,Q$4:Q181&lt;&gt;""""))),$AD$5+S182))"),113256.0)</f>
        <v>113256</v>
      </c>
      <c r="U182" s="10">
        <f>IFERROR(__xludf.DUMMYFUNCTION("IF(COUNTA(Q182:Q1673)=0,"""",IF(Q182="""",0,IF(REGEXMATCH(Q182,""^Sell_""),-ROUNDDOWN(ROUNDUP(INDEX(Upgrades!$C$3:$C$13,MATCH(SUBSTITUTE(Q182,""Sell_"",""""),Upgrades!$B$3:$B$13,0))*1.15^(COUNTIF(Q$4:Q181,SUBSTITUTE(Q182,""Sell_"",""""))-COUNTIF(Q$4:Q181,"&amp;"""Sell_""&amp;SUBSTITUTE(Q182,""Sell_"",""""))))/2),ROUNDUP(INDEX(Upgrades!$C$3:$C$13,MATCH(Q182,Upgrades!$B$3:$B$13,0))*1.15^(COUNTIF(Q$4:Q181,Q182)-COUNTIF(Q$4:Q181,""Sell_""&amp;Q182))))))"),-305902.0)</f>
        <v>-305902</v>
      </c>
      <c r="V182" s="10">
        <f t="shared" si="11"/>
        <v>-10115592</v>
      </c>
      <c r="W182" s="68">
        <f t="shared" si="12"/>
        <v>4469.908494</v>
      </c>
      <c r="X182" s="59" t="str">
        <f t="shared" si="13"/>
        <v>1h 14m 29s</v>
      </c>
      <c r="Y182" s="69">
        <f t="shared" si="14"/>
        <v>100606200</v>
      </c>
      <c r="Z182" s="11"/>
    </row>
    <row r="183">
      <c r="A183" s="8"/>
      <c r="B183" s="56">
        <f t="shared" si="2"/>
        <v>23</v>
      </c>
      <c r="C183" s="62" t="s">
        <v>6</v>
      </c>
      <c r="D183" s="10"/>
      <c r="E183" s="59">
        <f t="array" ref="E183">IF(COUNTA(C183:C1673)=0,"",SUM((COUNTIF(C$4:C183,Upgrades!$B$3:$B$13)-COUNTIF(C$4:C183,"Sell_"&amp;Upgrades!$B$3:$B$13))*Upgrades!$D$3:$D$13))</f>
        <v>568253.6</v>
      </c>
      <c r="F183" s="66">
        <f>IFERROR(__xludf.DUMMYFUNCTION("IF(COUNTA(C183:C1673)=0,"""",IF(REGEXMATCH(INDEX(FILTER(C$4:C183,C$4:C183&lt;&gt;""""),ROWS(FILTER(C$4:C183,C$4:C183&lt;&gt;""""))),""^Sell_""),INDEX(FILTER(F$4:F182,C$4:C182&lt;&gt;""""),ROWS(FILTER(C$4:C182,C$4:C182&lt;&gt;""""))),$AC$5+E183))"),568268.6)</f>
        <v>568268.6</v>
      </c>
      <c r="G183" s="10">
        <f>IFERROR(__xludf.DUMMYFUNCTION("IF(COUNTA(C183:C1673)=0,"""",IF(C183="""",0,IF(REGEXMATCH(C183,""^Sell_""),-ROUNDDOWN(ROUNDUP(INDEX(Upgrades!$C$3:$C$13,MATCH(SUBSTITUTE(C183,""Sell_"",""""),Upgrades!$B$3:$B$13,0))*1.15^(COUNTIF(C$4:C182,SUBSTITUTE(C183,""Sell_"",""""))-COUNTIF(C$4:C182,"&amp;"""Sell_""&amp;SUBSTITUTE(C183,""Sell_"",""""))))/2),ROUNDUP(INDEX(Upgrades!$C$3:$C$13,MATCH(C183,Upgrades!$B$3:$B$13,0))*1.15^(COUNTIF(C$4:C182,C183)-COUNTIF(C$4:C182,""Sell_""&amp;C183))))))"),64935.0)</f>
        <v>64935</v>
      </c>
      <c r="H183" s="10">
        <f t="shared" si="3"/>
        <v>64935</v>
      </c>
      <c r="I183" s="68">
        <f t="shared" si="4"/>
        <v>7808.596137</v>
      </c>
      <c r="J183" s="59" t="str">
        <f t="shared" si="5"/>
        <v>2h 10m 08s</v>
      </c>
      <c r="K183" s="69">
        <f t="shared" si="6"/>
        <v>983197586</v>
      </c>
      <c r="L183" s="60">
        <f t="shared" si="7"/>
        <v>-144.97305</v>
      </c>
      <c r="M183" s="61">
        <f>IFERROR(__xludf.DUMMYFUNCTION("IFS(AND(COUNTA(C183:C1673)=0,COUNTA(Q183:Q1673)=0),"""",OR(AND(K183&gt;=1000000000,OR(Y183&gt;=1000000000,COUNTA(Q183:Q1673)=0)),OR(Y183&gt;=1000000000,AND(COUNTA(C183:C1673)=0,P$3=TRUE))),
ROUNDDOWN((AB$1-AC$1)*MAX(INDEX(T$4:T1673,MATCH(LARGE(FILTER(Y$4:Y1673,Y$4"&amp;":Y1673&lt;1000000000),1),Y$4:Y1673)),INDEX(F$4:F1673,MATCH(LARGE(FILTER(K$4:K1673,K$4:K1673&lt;1000000000),1),K$4:K1673)))),AND(K183&lt;1000000000,COUNTA(C183:C1673)&gt;0,P$3=FALSE),
ROUNDDOWN(INDEX(Y$4:Y1673,MATCH(LARGE(FILTER(W$4:W1673,W$4:W1673&lt;=I183),1),W$4:W1673"&amp;"))+(I183-LARGE(FILTER(W$4:W1673,W$4:W1673&lt;=I183),1))*INDEX(T$4:T1673,MATCH(LARGE(FILTER(W$4:W1673,W$4:W1673&lt;=I183),1),W$4:W1673))-K183),1,
ROUNDDOWN(Y183-INDEX(K$4:K1673,MATCH(LARGE(FILTER(I$4:I1673,I$4:I1673&lt;=W183),1),I$4:I1673))-(W183-LARGE(FILTER(I$4:I"&amp;"1673,I$4:I1673&lt;=W183),1))*INDEX(F$4:F1673,MATCH(LARGE(FILTER(I$4:I1673,I$4:I1673&lt;=W183),1),I$4:I1673))))"),8.1166384E7)</f>
        <v>81166384</v>
      </c>
      <c r="N183" s="60">
        <f t="shared" si="8"/>
        <v>-144.97305</v>
      </c>
      <c r="O183" s="61" t="str">
        <f t="shared" si="9"/>
        <v>81,2M</v>
      </c>
      <c r="P183" s="56">
        <f t="shared" si="10"/>
        <v>10</v>
      </c>
      <c r="Q183" s="105" t="s">
        <v>60</v>
      </c>
      <c r="R183" s="10"/>
      <c r="S183" s="59">
        <f t="array" ref="S183">IF(COUNTA(Q183:Q1673)=0,"",SUM((COUNTIF(Q$4:Q183,Upgrades!$B$3:$B$13)-COUNTIF(Q$4:Q183,"Sell_"&amp;Upgrades!$B$3:$B$13))*Upgrades!$D$3:$D$13))</f>
        <v>103275</v>
      </c>
      <c r="T183" s="66">
        <f>IFERROR(__xludf.DUMMYFUNCTION("IF(COUNTA(Q183:Q1673)=0,"""",IF(REGEXMATCH(INDEX(FILTER(Q$4:Q183,Q$4:Q183&lt;&gt;""""),ROWS(FILTER(Q$4:Q183,Q$4:Q183&lt;&gt;""""))),""^Sell_""),INDEX(FILTER(T$4:T182,Q$4:Q182&lt;&gt;""""),ROWS(FILTER(Q$4:Q182,Q$4:Q182&lt;&gt;""""))),$AD$5+S183))"),113256.0)</f>
        <v>113256</v>
      </c>
      <c r="U183" s="10">
        <f>IFERROR(__xludf.DUMMYFUNCTION("IF(COUNTA(Q183:Q1673)=0,"""",IF(Q183="""",0,IF(REGEXMATCH(Q183,""^Sell_""),-ROUNDDOWN(ROUNDUP(INDEX(Upgrades!$C$3:$C$13,MATCH(SUBSTITUTE(Q183,""Sell_"",""""),Upgrades!$B$3:$B$13,0))*1.15^(COUNTIF(Q$4:Q182,SUBSTITUTE(Q183,""Sell_"",""""))-COUNTIF(Q$4:Q182,"&amp;"""Sell_""&amp;SUBSTITUTE(Q183,""Sell_"",""""))))/2),ROUNDUP(INDEX(Upgrades!$C$3:$C$13,MATCH(Q183,Upgrades!$B$3:$B$13,0))*1.15^(COUNTIF(Q$4:Q182,Q183)-COUNTIF(Q$4:Q182,""Sell_""&amp;Q183))))))"),-266002.0)</f>
        <v>-266002</v>
      </c>
      <c r="V183" s="10">
        <f t="shared" si="11"/>
        <v>-10381594</v>
      </c>
      <c r="W183" s="68">
        <f t="shared" si="12"/>
        <v>4469.908494</v>
      </c>
      <c r="X183" s="59" t="str">
        <f t="shared" si="13"/>
        <v>1h 14m 29s</v>
      </c>
      <c r="Y183" s="69">
        <f t="shared" si="14"/>
        <v>100606200</v>
      </c>
      <c r="Z183" s="11"/>
    </row>
    <row r="184">
      <c r="A184" s="8"/>
      <c r="B184" s="56">
        <f t="shared" si="2"/>
        <v>24</v>
      </c>
      <c r="C184" s="62" t="s">
        <v>6</v>
      </c>
      <c r="D184" s="10"/>
      <c r="E184" s="59">
        <f t="array" ref="E184">IF(COUNTA(C184:C1673)=0,"",SUM((COUNTIF(C$4:C184,Upgrades!$B$3:$B$13)-COUNTIF(C$4:C184,"Sell_"&amp;Upgrades!$B$3:$B$13))*Upgrades!$D$3:$D$13))</f>
        <v>568263.6</v>
      </c>
      <c r="F184" s="66">
        <f>IFERROR(__xludf.DUMMYFUNCTION("IF(COUNTA(C184:C1673)=0,"""",IF(REGEXMATCH(INDEX(FILTER(C$4:C184,C$4:C184&lt;&gt;""""),ROWS(FILTER(C$4:C184,C$4:C184&lt;&gt;""""))),""^Sell_""),INDEX(FILTER(F$4:F183,C$4:C183&lt;&gt;""""),ROWS(FILTER(C$4:C183,C$4:C183&lt;&gt;""""))),$AC$5+E184))"),568278.6)</f>
        <v>568278.6</v>
      </c>
      <c r="G184" s="10">
        <f>IFERROR(__xludf.DUMMYFUNCTION("IF(COUNTA(C184:C1673)=0,"""",IF(C184="""",0,IF(REGEXMATCH(C184,""^Sell_""),-ROUNDDOWN(ROUNDUP(INDEX(Upgrades!$C$3:$C$13,MATCH(SUBSTITUTE(C184,""Sell_"",""""),Upgrades!$B$3:$B$13,0))*1.15^(COUNTIF(C$4:C183,SUBSTITUTE(C184,""Sell_"",""""))-COUNTIF(C$4:C183,"&amp;"""Sell_""&amp;SUBSTITUTE(C184,""Sell_"",""""))))/2),ROUNDUP(INDEX(Upgrades!$C$3:$C$13,MATCH(C184,Upgrades!$B$3:$B$13,0))*1.15^(COUNTIF(C$4:C183,C184)-COUNTIF(C$4:C183,""Sell_""&amp;C184))))))"),74675.0)</f>
        <v>74675</v>
      </c>
      <c r="H184" s="10">
        <f t="shared" si="3"/>
        <v>74675</v>
      </c>
      <c r="I184" s="68">
        <f t="shared" si="4"/>
        <v>7808.727545</v>
      </c>
      <c r="J184" s="59" t="str">
        <f t="shared" si="5"/>
        <v>2h 10m 08s</v>
      </c>
      <c r="K184" s="69">
        <f t="shared" si="6"/>
        <v>983272261</v>
      </c>
      <c r="L184" s="60">
        <f t="shared" si="7"/>
        <v>-144.9692</v>
      </c>
      <c r="M184" s="61">
        <f>IFERROR(__xludf.DUMMYFUNCTION("IFS(AND(COUNTA(C184:C1673)=0,COUNTA(Q184:Q1673)=0),"""",OR(AND(K184&gt;=1000000000,OR(Y184&gt;=1000000000,COUNTA(Q184:Q1673)=0)),OR(Y184&gt;=1000000000,AND(COUNTA(C184:C1673)=0,P$3=TRUE))),
ROUNDDOWN((AB$1-AC$1)*MAX(INDEX(T$4:T1673,MATCH(LARGE(FILTER(Y$4:Y1673,Y$4"&amp;":Y1673&lt;1000000000),1),Y$4:Y1673)),INDEX(F$4:F1673,MATCH(LARGE(FILTER(K$4:K1673,K$4:K1673&lt;1000000000),1),K$4:K1673)))),AND(K184&lt;1000000000,COUNTA(C184:C1673)&gt;0,P$3=FALSE),
ROUNDDOWN(INDEX(Y$4:Y1673,MATCH(LARGE(FILTER(W$4:W1673,W$4:W1673&lt;=I184),1),W$4:W1673"&amp;"))+(I184-LARGE(FILTER(W$4:W1673,W$4:W1673&lt;=I184),1))*INDEX(T$4:T1673,MATCH(LARGE(FILTER(W$4:W1673,W$4:W1673&lt;=I184),1),W$4:W1673))-K184),1,
ROUNDDOWN(Y184-INDEX(K$4:K1673,MATCH(LARGE(FILTER(I$4:I1673,I$4:I1673&lt;=W184),1),I$4:I1673))-(W184-LARGE(FILTER(I$4:I"&amp;"1673,I$4:I1673&lt;=W184),1))*INDEX(F$4:F1673,MATCH(LARGE(FILTER(I$4:I1673,I$4:I1673&lt;=W184),1),I$4:I1673))))"),8.116536E7)</f>
        <v>81165360</v>
      </c>
      <c r="N184" s="60">
        <f t="shared" si="8"/>
        <v>-144.9692</v>
      </c>
      <c r="O184" s="61" t="str">
        <f t="shared" si="9"/>
        <v>81,2M</v>
      </c>
      <c r="P184" s="56">
        <f t="shared" si="10"/>
        <v>11</v>
      </c>
      <c r="Q184" s="105" t="s">
        <v>60</v>
      </c>
      <c r="R184" s="10"/>
      <c r="S184" s="59">
        <f t="array" ref="S184">IF(COUNTA(Q184:Q1673)=0,"",SUM((COUNTIF(Q$4:Q184,Upgrades!$B$3:$B$13)-COUNTIF(Q$4:Q184,"Sell_"&amp;Upgrades!$B$3:$B$13))*Upgrades!$D$3:$D$13))</f>
        <v>102875</v>
      </c>
      <c r="T184" s="66">
        <f>IFERROR(__xludf.DUMMYFUNCTION("IF(COUNTA(Q184:Q1673)=0,"""",IF(REGEXMATCH(INDEX(FILTER(Q$4:Q184,Q$4:Q184&lt;&gt;""""),ROWS(FILTER(Q$4:Q184,Q$4:Q184&lt;&gt;""""))),""^Sell_""),INDEX(FILTER(T$4:T183,Q$4:Q183&lt;&gt;""""),ROWS(FILTER(Q$4:Q183,Q$4:Q183&lt;&gt;""""))),$AD$5+S184))"),113256.0)</f>
        <v>113256</v>
      </c>
      <c r="U184" s="10">
        <f>IFERROR(__xludf.DUMMYFUNCTION("IF(COUNTA(Q184:Q1673)=0,"""",IF(Q184="""",0,IF(REGEXMATCH(Q184,""^Sell_""),-ROUNDDOWN(ROUNDUP(INDEX(Upgrades!$C$3:$C$13,MATCH(SUBSTITUTE(Q184,""Sell_"",""""),Upgrades!$B$3:$B$13,0))*1.15^(COUNTIF(Q$4:Q183,SUBSTITUTE(Q184,""Sell_"",""""))-COUNTIF(Q$4:Q183,"&amp;"""Sell_""&amp;SUBSTITUTE(Q184,""Sell_"",""""))))/2),ROUNDUP(INDEX(Upgrades!$C$3:$C$13,MATCH(Q184,Upgrades!$B$3:$B$13,0))*1.15^(COUNTIF(Q$4:Q183,Q184)-COUNTIF(Q$4:Q183,""Sell_""&amp;Q184))))))"),-231306.0)</f>
        <v>-231306</v>
      </c>
      <c r="V184" s="10">
        <f t="shared" si="11"/>
        <v>-10612900</v>
      </c>
      <c r="W184" s="68">
        <f t="shared" si="12"/>
        <v>4469.908494</v>
      </c>
      <c r="X184" s="59" t="str">
        <f t="shared" si="13"/>
        <v>1h 14m 29s</v>
      </c>
      <c r="Y184" s="69">
        <f t="shared" si="14"/>
        <v>100606200</v>
      </c>
      <c r="Z184" s="11"/>
    </row>
    <row r="185">
      <c r="A185" s="8"/>
      <c r="B185" s="56">
        <f t="shared" si="2"/>
        <v>25</v>
      </c>
      <c r="C185" s="62" t="s">
        <v>6</v>
      </c>
      <c r="D185" s="10"/>
      <c r="E185" s="59">
        <f t="array" ref="E185">IF(COUNTA(C185:C1673)=0,"",SUM((COUNTIF(C$4:C185,Upgrades!$B$3:$B$13)-COUNTIF(C$4:C185,"Sell_"&amp;Upgrades!$B$3:$B$13))*Upgrades!$D$3:$D$13))</f>
        <v>568273.6</v>
      </c>
      <c r="F185" s="66">
        <f>IFERROR(__xludf.DUMMYFUNCTION("IF(COUNTA(C185:C1673)=0,"""",IF(REGEXMATCH(INDEX(FILTER(C$4:C185,C$4:C185&lt;&gt;""""),ROWS(FILTER(C$4:C185,C$4:C185&lt;&gt;""""))),""^Sell_""),INDEX(FILTER(F$4:F184,C$4:C184&lt;&gt;""""),ROWS(FILTER(C$4:C184,C$4:C184&lt;&gt;""""))),$AC$5+E185))"),568288.6)</f>
        <v>568288.6</v>
      </c>
      <c r="G185" s="10">
        <f>IFERROR(__xludf.DUMMYFUNCTION("IF(COUNTA(C185:C1673)=0,"""",IF(C185="""",0,IF(REGEXMATCH(C185,""^Sell_""),-ROUNDDOWN(ROUNDUP(INDEX(Upgrades!$C$3:$C$13,MATCH(SUBSTITUTE(C185,""Sell_"",""""),Upgrades!$B$3:$B$13,0))*1.15^(COUNTIF(C$4:C184,SUBSTITUTE(C185,""Sell_"",""""))-COUNTIF(C$4:C184,"&amp;"""Sell_""&amp;SUBSTITUTE(C185,""Sell_"",""""))))/2),ROUNDUP(INDEX(Upgrades!$C$3:$C$13,MATCH(C185,Upgrades!$B$3:$B$13,0))*1.15^(COUNTIF(C$4:C184,C185)-COUNTIF(C$4:C184,""Sell_""&amp;C185))))))"),85876.0)</f>
        <v>85876</v>
      </c>
      <c r="H185" s="10">
        <f t="shared" si="3"/>
        <v>85876</v>
      </c>
      <c r="I185" s="68">
        <f t="shared" si="4"/>
        <v>7808.878661</v>
      </c>
      <c r="J185" s="59" t="str">
        <f t="shared" si="5"/>
        <v>2h 10m 08s</v>
      </c>
      <c r="K185" s="69">
        <f t="shared" si="6"/>
        <v>983358137</v>
      </c>
      <c r="L185" s="60">
        <f t="shared" si="7"/>
        <v>-144.96477</v>
      </c>
      <c r="M185" s="61">
        <f>IFERROR(__xludf.DUMMYFUNCTION("IFS(AND(COUNTA(C185:C1673)=0,COUNTA(Q185:Q1673)=0),"""",OR(AND(K185&gt;=1000000000,OR(Y185&gt;=1000000000,COUNTA(Q185:Q1673)=0)),OR(Y185&gt;=1000000000,AND(COUNTA(C185:C1673)=0,P$3=TRUE))),
ROUNDDOWN((AB$1-AC$1)*MAX(INDEX(T$4:T1673,MATCH(LARGE(FILTER(Y$4:Y1673,Y$4"&amp;":Y1673&lt;1000000000),1),Y$4:Y1673)),INDEX(F$4:F1673,MATCH(LARGE(FILTER(K$4:K1673,K$4:K1673&lt;1000000000),1),K$4:K1673)))),AND(K185&lt;1000000000,COUNTA(C185:C1673)&gt;0,P$3=FALSE),
ROUNDDOWN(INDEX(Y$4:Y1673,MATCH(LARGE(FILTER(W$4:W1673,W$4:W1673&lt;=I185),1),W$4:W1673"&amp;"))+(I185-LARGE(FILTER(W$4:W1673,W$4:W1673&lt;=I185),1))*INDEX(T$4:T1673,MATCH(LARGE(FILTER(W$4:W1673,W$4:W1673&lt;=I185),1),W$4:W1673))-K185),1,
ROUNDDOWN(Y185-INDEX(K$4:K1673,MATCH(LARGE(FILTER(I$4:I1673,I$4:I1673&lt;=W185),1),I$4:I1673))-(W185-LARGE(FILTER(I$4:I"&amp;"1673,I$4:I1673&lt;=W185),1))*INDEX(F$4:F1673,MATCH(LARGE(FILTER(I$4:I1673,I$4:I1673&lt;=W185),1),I$4:I1673))))"),8.1164182E7)</f>
        <v>81164182</v>
      </c>
      <c r="N185" s="60">
        <f t="shared" si="8"/>
        <v>-144.96477</v>
      </c>
      <c r="O185" s="61" t="str">
        <f t="shared" si="9"/>
        <v>81,2M</v>
      </c>
      <c r="P185" s="56">
        <f t="shared" si="10"/>
        <v>12</v>
      </c>
      <c r="Q185" s="105" t="s">
        <v>60</v>
      </c>
      <c r="R185" s="10"/>
      <c r="S185" s="59">
        <f t="array" ref="S185">IF(COUNTA(Q185:Q1673)=0,"",SUM((COUNTIF(Q$4:Q185,Upgrades!$B$3:$B$13)-COUNTIF(Q$4:Q185,"Sell_"&amp;Upgrades!$B$3:$B$13))*Upgrades!$D$3:$D$13))</f>
        <v>102475</v>
      </c>
      <c r="T185" s="66">
        <f>IFERROR(__xludf.DUMMYFUNCTION("IF(COUNTA(Q185:Q1673)=0,"""",IF(REGEXMATCH(INDEX(FILTER(Q$4:Q185,Q$4:Q185&lt;&gt;""""),ROWS(FILTER(Q$4:Q185,Q$4:Q185&lt;&gt;""""))),""^Sell_""),INDEX(FILTER(T$4:T184,Q$4:Q184&lt;&gt;""""),ROWS(FILTER(Q$4:Q184,Q$4:Q184&lt;&gt;""""))),$AD$5+S185))"),113256.0)</f>
        <v>113256</v>
      </c>
      <c r="U185" s="10">
        <f>IFERROR(__xludf.DUMMYFUNCTION("IF(COUNTA(Q185:Q1673)=0,"""",IF(Q185="""",0,IF(REGEXMATCH(Q185,""^Sell_""),-ROUNDDOWN(ROUNDUP(INDEX(Upgrades!$C$3:$C$13,MATCH(SUBSTITUTE(Q185,""Sell_"",""""),Upgrades!$B$3:$B$13,0))*1.15^(COUNTIF(Q$4:Q184,SUBSTITUTE(Q185,""Sell_"",""""))-COUNTIF(Q$4:Q184,"&amp;"""Sell_""&amp;SUBSTITUTE(Q185,""Sell_"",""""))))/2),ROUNDUP(INDEX(Upgrades!$C$3:$C$13,MATCH(Q185,Upgrades!$B$3:$B$13,0))*1.15^(COUNTIF(Q$4:Q184,Q185)-COUNTIF(Q$4:Q184,""Sell_""&amp;Q185))))))"),-201136.0)</f>
        <v>-201136</v>
      </c>
      <c r="V185" s="10">
        <f t="shared" si="11"/>
        <v>-10814036</v>
      </c>
      <c r="W185" s="68">
        <f t="shared" si="12"/>
        <v>4469.908494</v>
      </c>
      <c r="X185" s="59" t="str">
        <f t="shared" si="13"/>
        <v>1h 14m 29s</v>
      </c>
      <c r="Y185" s="69">
        <f t="shared" si="14"/>
        <v>100606200</v>
      </c>
      <c r="Z185" s="11"/>
    </row>
    <row r="186">
      <c r="A186" s="8"/>
      <c r="B186" s="56">
        <f t="shared" si="2"/>
        <v>26</v>
      </c>
      <c r="C186" s="62" t="s">
        <v>6</v>
      </c>
      <c r="D186" s="10"/>
      <c r="E186" s="59">
        <f t="array" ref="E186">IF(COUNTA(C186:C1673)=0,"",SUM((COUNTIF(C$4:C186,Upgrades!$B$3:$B$13)-COUNTIF(C$4:C186,"Sell_"&amp;Upgrades!$B$3:$B$13))*Upgrades!$D$3:$D$13))</f>
        <v>568283.6</v>
      </c>
      <c r="F186" s="66">
        <f>IFERROR(__xludf.DUMMYFUNCTION("IF(COUNTA(C186:C1673)=0,"""",IF(REGEXMATCH(INDEX(FILTER(C$4:C186,C$4:C186&lt;&gt;""""),ROWS(FILTER(C$4:C186,C$4:C186&lt;&gt;""""))),""^Sell_""),INDEX(FILTER(F$4:F185,C$4:C185&lt;&gt;""""),ROWS(FILTER(C$4:C185,C$4:C185&lt;&gt;""""))),$AC$5+E186))"),568298.6)</f>
        <v>568298.6</v>
      </c>
      <c r="G186" s="10">
        <f>IFERROR(__xludf.DUMMYFUNCTION("IF(COUNTA(C186:C1673)=0,"""",IF(C186="""",0,IF(REGEXMATCH(C186,""^Sell_""),-ROUNDDOWN(ROUNDUP(INDEX(Upgrades!$C$3:$C$13,MATCH(SUBSTITUTE(C186,""Sell_"",""""),Upgrades!$B$3:$B$13,0))*1.15^(COUNTIF(C$4:C185,SUBSTITUTE(C186,""Sell_"",""""))-COUNTIF(C$4:C185,"&amp;"""Sell_""&amp;SUBSTITUTE(C186,""Sell_"",""""))))/2),ROUNDUP(INDEX(Upgrades!$C$3:$C$13,MATCH(C186,Upgrades!$B$3:$B$13,0))*1.15^(COUNTIF(C$4:C185,C186)-COUNTIF(C$4:C185,""Sell_""&amp;C186))))))"),98757.0)</f>
        <v>98757</v>
      </c>
      <c r="H186" s="10">
        <f t="shared" si="3"/>
        <v>98757</v>
      </c>
      <c r="I186" s="68">
        <f t="shared" si="4"/>
        <v>7809.052441</v>
      </c>
      <c r="J186" s="59" t="str">
        <f t="shared" si="5"/>
        <v>2h 10m 09s</v>
      </c>
      <c r="K186" s="69">
        <f t="shared" si="6"/>
        <v>983456894</v>
      </c>
      <c r="L186" s="60">
        <f t="shared" si="7"/>
        <v>-144.95966</v>
      </c>
      <c r="M186" s="61">
        <f>IFERROR(__xludf.DUMMYFUNCTION("IFS(AND(COUNTA(C186:C1673)=0,COUNTA(Q186:Q1673)=0),"""",OR(AND(K186&gt;=1000000000,OR(Y186&gt;=1000000000,COUNTA(Q186:Q1673)=0)),OR(Y186&gt;=1000000000,AND(COUNTA(C186:C1673)=0,P$3=TRUE))),
ROUNDDOWN((AB$1-AC$1)*MAX(INDEX(T$4:T1673,MATCH(LARGE(FILTER(Y$4:Y1673,Y$4"&amp;":Y1673&lt;1000000000),1),Y$4:Y1673)),INDEX(F$4:F1673,MATCH(LARGE(FILTER(K$4:K1673,K$4:K1673&lt;1000000000),1),K$4:K1673)))),AND(K186&lt;1000000000,COUNTA(C186:C1673)&gt;0,P$3=FALSE),
ROUNDDOWN(INDEX(Y$4:Y1673,MATCH(LARGE(FILTER(W$4:W1673,W$4:W1673&lt;=I186),1),W$4:W1673"&amp;"))+(I186-LARGE(FILTER(W$4:W1673,W$4:W1673&lt;=I186),1))*INDEX(T$4:T1673,MATCH(LARGE(FILTER(W$4:W1673,W$4:W1673&lt;=I186),1),W$4:W1673))-K186),1,
ROUNDDOWN(Y186-INDEX(K$4:K1673,MATCH(LARGE(FILTER(I$4:I1673,I$4:I1673&lt;=W186),1),I$4:I1673))-(W186-LARGE(FILTER(I$4:I"&amp;"1673,I$4:I1673&lt;=W186),1))*INDEX(F$4:F1673,MATCH(LARGE(FILTER(I$4:I1673,I$4:I1673&lt;=W186),1),I$4:I1673))))"),8.1162825E7)</f>
        <v>81162825</v>
      </c>
      <c r="N186" s="60">
        <f t="shared" si="8"/>
        <v>-144.95966</v>
      </c>
      <c r="O186" s="61" t="str">
        <f t="shared" si="9"/>
        <v>81,2M</v>
      </c>
      <c r="P186" s="56">
        <f t="shared" si="10"/>
        <v>13</v>
      </c>
      <c r="Q186" s="105" t="s">
        <v>60</v>
      </c>
      <c r="R186" s="10"/>
      <c r="S186" s="59">
        <f t="array" ref="S186">IF(COUNTA(Q186:Q1673)=0,"",SUM((COUNTIF(Q$4:Q186,Upgrades!$B$3:$B$13)-COUNTIF(Q$4:Q186,"Sell_"&amp;Upgrades!$B$3:$B$13))*Upgrades!$D$3:$D$13))</f>
        <v>102075</v>
      </c>
      <c r="T186" s="66">
        <f>IFERROR(__xludf.DUMMYFUNCTION("IF(COUNTA(Q186:Q1673)=0,"""",IF(REGEXMATCH(INDEX(FILTER(Q$4:Q186,Q$4:Q186&lt;&gt;""""),ROWS(FILTER(Q$4:Q186,Q$4:Q186&lt;&gt;""""))),""^Sell_""),INDEX(FILTER(T$4:T185,Q$4:Q185&lt;&gt;""""),ROWS(FILTER(Q$4:Q185,Q$4:Q185&lt;&gt;""""))),$AD$5+S186))"),113256.0)</f>
        <v>113256</v>
      </c>
      <c r="U186" s="10">
        <f>IFERROR(__xludf.DUMMYFUNCTION("IF(COUNTA(Q186:Q1673)=0,"""",IF(Q186="""",0,IF(REGEXMATCH(Q186,""^Sell_""),-ROUNDDOWN(ROUNDUP(INDEX(Upgrades!$C$3:$C$13,MATCH(SUBSTITUTE(Q186,""Sell_"",""""),Upgrades!$B$3:$B$13,0))*1.15^(COUNTIF(Q$4:Q185,SUBSTITUTE(Q186,""Sell_"",""""))-COUNTIF(Q$4:Q185,"&amp;"""Sell_""&amp;SUBSTITUTE(Q186,""Sell_"",""""))))/2),ROUNDUP(INDEX(Upgrades!$C$3:$C$13,MATCH(Q186,Upgrades!$B$3:$B$13,0))*1.15^(COUNTIF(Q$4:Q185,Q186)-COUNTIF(Q$4:Q185,""Sell_""&amp;Q186))))))"),-174901.0)</f>
        <v>-174901</v>
      </c>
      <c r="V186" s="10">
        <f t="shared" si="11"/>
        <v>-10988937</v>
      </c>
      <c r="W186" s="68">
        <f t="shared" si="12"/>
        <v>4469.908494</v>
      </c>
      <c r="X186" s="59" t="str">
        <f t="shared" si="13"/>
        <v>1h 14m 29s</v>
      </c>
      <c r="Y186" s="69">
        <f t="shared" si="14"/>
        <v>100606200</v>
      </c>
      <c r="Z186" s="11"/>
    </row>
    <row r="187">
      <c r="A187" s="8"/>
      <c r="B187" s="56">
        <f t="shared" si="2"/>
        <v>23</v>
      </c>
      <c r="C187" s="62" t="s">
        <v>5</v>
      </c>
      <c r="D187" s="10"/>
      <c r="E187" s="59">
        <f t="array" ref="E187">IF(COUNTA(C187:C1673)=0,"",SUM((COUNTIF(C$4:C187,Upgrades!$B$3:$B$13)-COUNTIF(C$4:C187,"Sell_"&amp;Upgrades!$B$3:$B$13))*Upgrades!$D$3:$D$13))</f>
        <v>568287.6</v>
      </c>
      <c r="F187" s="66">
        <f>IFERROR(__xludf.DUMMYFUNCTION("IF(COUNTA(C187:C1673)=0,"""",IF(REGEXMATCH(INDEX(FILTER(C$4:C187,C$4:C187&lt;&gt;""""),ROWS(FILTER(C$4:C187,C$4:C187&lt;&gt;""""))),""^Sell_""),INDEX(FILTER(F$4:F186,C$4:C186&lt;&gt;""""),ROWS(FILTER(C$4:C186,C$4:C186&lt;&gt;""""))),$AC$5+E187))"),568302.6)</f>
        <v>568302.6</v>
      </c>
      <c r="G187" s="10">
        <f>IFERROR(__xludf.DUMMYFUNCTION("IF(COUNTA(C187:C1673)=0,"""",IF(C187="""",0,IF(REGEXMATCH(C187,""^Sell_""),-ROUNDDOWN(ROUNDUP(INDEX(Upgrades!$C$3:$C$13,MATCH(SUBSTITUTE(C187,""Sell_"",""""),Upgrades!$B$3:$B$13,0))*1.15^(COUNTIF(C$4:C186,SUBSTITUTE(C187,""Sell_"",""""))-COUNTIF(C$4:C186,"&amp;"""Sell_""&amp;SUBSTITUTE(C187,""Sell_"",""""))))/2),ROUNDUP(INDEX(Upgrades!$C$3:$C$13,MATCH(C187,Upgrades!$B$3:$B$13,0))*1.15^(COUNTIF(C$4:C186,C187)-COUNTIF(C$4:C186,""Sell_""&amp;C187))))))"),10823.0)</f>
        <v>10823</v>
      </c>
      <c r="H187" s="10">
        <f t="shared" si="3"/>
        <v>10823</v>
      </c>
      <c r="I187" s="68">
        <f t="shared" si="4"/>
        <v>7809.071485</v>
      </c>
      <c r="J187" s="59" t="str">
        <f t="shared" si="5"/>
        <v>2h 10m 09s</v>
      </c>
      <c r="K187" s="69">
        <f t="shared" si="6"/>
        <v>983467717</v>
      </c>
      <c r="L187" s="60">
        <f t="shared" si="7"/>
        <v>-144.9591</v>
      </c>
      <c r="M187" s="61">
        <f>IFERROR(__xludf.DUMMYFUNCTION("IFS(AND(COUNTA(C187:C1673)=0,COUNTA(Q187:Q1673)=0),"""",OR(AND(K187&gt;=1000000000,OR(Y187&gt;=1000000000,COUNTA(Q187:Q1673)=0)),OR(Y187&gt;=1000000000,AND(COUNTA(C187:C1673)=0,P$3=TRUE))),
ROUNDDOWN((AB$1-AC$1)*MAX(INDEX(T$4:T1673,MATCH(LARGE(FILTER(Y$4:Y1673,Y$4"&amp;":Y1673&lt;1000000000),1),Y$4:Y1673)),INDEX(F$4:F1673,MATCH(LARGE(FILTER(K$4:K1673,K$4:K1673&lt;1000000000),1),K$4:K1673)))),AND(K187&lt;1000000000,COUNTA(C187:C1673)&gt;0,P$3=FALSE),
ROUNDDOWN(INDEX(Y$4:Y1673,MATCH(LARGE(FILTER(W$4:W1673,W$4:W1673&lt;=I187),1),W$4:W1673"&amp;"))+(I187-LARGE(FILTER(W$4:W1673,W$4:W1673&lt;=I187),1))*INDEX(T$4:T1673,MATCH(LARGE(FILTER(W$4:W1673,W$4:W1673&lt;=I187),1),W$4:W1673))-K187),1,
ROUNDDOWN(Y187-INDEX(K$4:K1673,MATCH(LARGE(FILTER(I$4:I1673,I$4:I1673&lt;=W187),1),I$4:I1673))-(W187-LARGE(FILTER(I$4:I"&amp;"1673,I$4:I1673&lt;=W187),1))*INDEX(F$4:F1673,MATCH(LARGE(FILTER(I$4:I1673,I$4:I1673&lt;=W187),1),I$4:I1673))))"),8.1162676E7)</f>
        <v>81162676</v>
      </c>
      <c r="N187" s="60">
        <f t="shared" si="8"/>
        <v>-144.9591</v>
      </c>
      <c r="O187" s="61" t="str">
        <f t="shared" si="9"/>
        <v>81,2M</v>
      </c>
      <c r="P187" s="56">
        <f t="shared" si="10"/>
        <v>14</v>
      </c>
      <c r="Q187" s="105" t="s">
        <v>60</v>
      </c>
      <c r="R187" s="10"/>
      <c r="S187" s="59">
        <f t="array" ref="S187">IF(COUNTA(Q187:Q1673)=0,"",SUM((COUNTIF(Q$4:Q187,Upgrades!$B$3:$B$13)-COUNTIF(Q$4:Q187,"Sell_"&amp;Upgrades!$B$3:$B$13))*Upgrades!$D$3:$D$13))</f>
        <v>101675</v>
      </c>
      <c r="T187" s="66">
        <f>IFERROR(__xludf.DUMMYFUNCTION("IF(COUNTA(Q187:Q1673)=0,"""",IF(REGEXMATCH(INDEX(FILTER(Q$4:Q187,Q$4:Q187&lt;&gt;""""),ROWS(FILTER(Q$4:Q187,Q$4:Q187&lt;&gt;""""))),""^Sell_""),INDEX(FILTER(T$4:T186,Q$4:Q186&lt;&gt;""""),ROWS(FILTER(Q$4:Q186,Q$4:Q186&lt;&gt;""""))),$AD$5+S187))"),113256.0)</f>
        <v>113256</v>
      </c>
      <c r="U187" s="10">
        <f>IFERROR(__xludf.DUMMYFUNCTION("IF(COUNTA(Q187:Q1673)=0,"""",IF(Q187="""",0,IF(REGEXMATCH(Q187,""^Sell_""),-ROUNDDOWN(ROUNDUP(INDEX(Upgrades!$C$3:$C$13,MATCH(SUBSTITUTE(Q187,""Sell_"",""""),Upgrades!$B$3:$B$13,0))*1.15^(COUNTIF(Q$4:Q186,SUBSTITUTE(Q187,""Sell_"",""""))-COUNTIF(Q$4:Q186,"&amp;"""Sell_""&amp;SUBSTITUTE(Q187,""Sell_"",""""))))/2),ROUNDUP(INDEX(Upgrades!$C$3:$C$13,MATCH(Q187,Upgrades!$B$3:$B$13,0))*1.15^(COUNTIF(Q$4:Q186,Q187)-COUNTIF(Q$4:Q186,""Sell_""&amp;Q187))))))"),-152087.0)</f>
        <v>-152087</v>
      </c>
      <c r="V187" s="10">
        <f t="shared" si="11"/>
        <v>-11141024</v>
      </c>
      <c r="W187" s="68">
        <f t="shared" si="12"/>
        <v>4469.908494</v>
      </c>
      <c r="X187" s="59" t="str">
        <f t="shared" si="13"/>
        <v>1h 14m 29s</v>
      </c>
      <c r="Y187" s="69">
        <f t="shared" si="14"/>
        <v>100606200</v>
      </c>
      <c r="Z187" s="11"/>
    </row>
    <row r="188">
      <c r="A188" s="8"/>
      <c r="B188" s="56">
        <f t="shared" si="2"/>
        <v>24</v>
      </c>
      <c r="C188" s="62" t="s">
        <v>5</v>
      </c>
      <c r="D188" s="10"/>
      <c r="E188" s="59">
        <f t="array" ref="E188">IF(COUNTA(C188:C1673)=0,"",SUM((COUNTIF(C$4:C188,Upgrades!$B$3:$B$13)-COUNTIF(C$4:C188,"Sell_"&amp;Upgrades!$B$3:$B$13))*Upgrades!$D$3:$D$13))</f>
        <v>568291.6</v>
      </c>
      <c r="F188" s="66">
        <f>IFERROR(__xludf.DUMMYFUNCTION("IF(COUNTA(C188:C1673)=0,"""",IF(REGEXMATCH(INDEX(FILTER(C$4:C188,C$4:C188&lt;&gt;""""),ROWS(FILTER(C$4:C188,C$4:C188&lt;&gt;""""))),""^Sell_""),INDEX(FILTER(F$4:F187,C$4:C187&lt;&gt;""""),ROWS(FILTER(C$4:C187,C$4:C187&lt;&gt;""""))),$AC$5+E188))"),568306.6)</f>
        <v>568306.6</v>
      </c>
      <c r="G188" s="10">
        <f>IFERROR(__xludf.DUMMYFUNCTION("IF(COUNTA(C188:C1673)=0,"""",IF(C188="""",0,IF(REGEXMATCH(C188,""^Sell_""),-ROUNDDOWN(ROUNDUP(INDEX(Upgrades!$C$3:$C$13,MATCH(SUBSTITUTE(C188,""Sell_"",""""),Upgrades!$B$3:$B$13,0))*1.15^(COUNTIF(C$4:C187,SUBSTITUTE(C188,""Sell_"",""""))-COUNTIF(C$4:C187,"&amp;"""Sell_""&amp;SUBSTITUTE(C188,""Sell_"",""""))))/2),ROUNDUP(INDEX(Upgrades!$C$3:$C$13,MATCH(C188,Upgrades!$B$3:$B$13,0))*1.15^(COUNTIF(C$4:C187,C188)-COUNTIF(C$4:C187,""Sell_""&amp;C188))))))"),12446.0)</f>
        <v>12446</v>
      </c>
      <c r="H188" s="10">
        <f t="shared" si="3"/>
        <v>12446</v>
      </c>
      <c r="I188" s="68">
        <f t="shared" si="4"/>
        <v>7809.093385</v>
      </c>
      <c r="J188" s="59" t="str">
        <f t="shared" si="5"/>
        <v>2h 10m 09s</v>
      </c>
      <c r="K188" s="69">
        <f t="shared" si="6"/>
        <v>983480163</v>
      </c>
      <c r="L188" s="60">
        <f t="shared" si="7"/>
        <v>-144.95846</v>
      </c>
      <c r="M188" s="61">
        <f>IFERROR(__xludf.DUMMYFUNCTION("IFS(AND(COUNTA(C188:C1673)=0,COUNTA(Q188:Q1673)=0),"""",OR(AND(K188&gt;=1000000000,OR(Y188&gt;=1000000000,COUNTA(Q188:Q1673)=0)),OR(Y188&gt;=1000000000,AND(COUNTA(C188:C1673)=0,P$3=TRUE))),
ROUNDDOWN((AB$1-AC$1)*MAX(INDEX(T$4:T1673,MATCH(LARGE(FILTER(Y$4:Y1673,Y$4"&amp;":Y1673&lt;1000000000),1),Y$4:Y1673)),INDEX(F$4:F1673,MATCH(LARGE(FILTER(K$4:K1673,K$4:K1673&lt;1000000000),1),K$4:K1673)))),AND(K188&lt;1000000000,COUNTA(C188:C1673)&gt;0,P$3=FALSE),
ROUNDDOWN(INDEX(Y$4:Y1673,MATCH(LARGE(FILTER(W$4:W1673,W$4:W1673&lt;=I188),1),W$4:W1673"&amp;"))+(I188-LARGE(FILTER(W$4:W1673,W$4:W1673&lt;=I188),1))*INDEX(T$4:T1673,MATCH(LARGE(FILTER(W$4:W1673,W$4:W1673&lt;=I188),1),W$4:W1673))-K188),1,
ROUNDDOWN(Y188-INDEX(K$4:K1673,MATCH(LARGE(FILTER(I$4:I1673,I$4:I1673&lt;=W188),1),I$4:I1673))-(W188-LARGE(FILTER(I$4:I"&amp;"1673,I$4:I1673&lt;=W188),1))*INDEX(F$4:F1673,MATCH(LARGE(FILTER(I$4:I1673,I$4:I1673&lt;=W188),1),I$4:I1673))))"),8.1162505E7)</f>
        <v>81162505</v>
      </c>
      <c r="N188" s="60">
        <f t="shared" si="8"/>
        <v>-144.95846</v>
      </c>
      <c r="O188" s="61" t="str">
        <f t="shared" si="9"/>
        <v>81,2M</v>
      </c>
      <c r="P188" s="56">
        <f t="shared" si="10"/>
        <v>15</v>
      </c>
      <c r="Q188" s="105" t="s">
        <v>60</v>
      </c>
      <c r="R188" s="10"/>
      <c r="S188" s="59">
        <f t="array" ref="S188">IF(COUNTA(Q188:Q1673)=0,"",SUM((COUNTIF(Q$4:Q188,Upgrades!$B$3:$B$13)-COUNTIF(Q$4:Q188,"Sell_"&amp;Upgrades!$B$3:$B$13))*Upgrades!$D$3:$D$13))</f>
        <v>101275</v>
      </c>
      <c r="T188" s="66">
        <f>IFERROR(__xludf.DUMMYFUNCTION("IF(COUNTA(Q188:Q1673)=0,"""",IF(REGEXMATCH(INDEX(FILTER(Q$4:Q188,Q$4:Q188&lt;&gt;""""),ROWS(FILTER(Q$4:Q188,Q$4:Q188&lt;&gt;""""))),""^Sell_""),INDEX(FILTER(T$4:T187,Q$4:Q187&lt;&gt;""""),ROWS(FILTER(Q$4:Q187,Q$4:Q187&lt;&gt;""""))),$AD$5+S188))"),113256.0)</f>
        <v>113256</v>
      </c>
      <c r="U188" s="10">
        <f>IFERROR(__xludf.DUMMYFUNCTION("IF(COUNTA(Q188:Q1673)=0,"""",IF(Q188="""",0,IF(REGEXMATCH(Q188,""^Sell_""),-ROUNDDOWN(ROUNDUP(INDEX(Upgrades!$C$3:$C$13,MATCH(SUBSTITUTE(Q188,""Sell_"",""""),Upgrades!$B$3:$B$13,0))*1.15^(COUNTIF(Q$4:Q187,SUBSTITUTE(Q188,""Sell_"",""""))-COUNTIF(Q$4:Q187,"&amp;"""Sell_""&amp;SUBSTITUTE(Q188,""Sell_"",""""))))/2),ROUNDUP(INDEX(Upgrades!$C$3:$C$13,MATCH(Q188,Upgrades!$B$3:$B$13,0))*1.15^(COUNTIF(Q$4:Q187,Q188)-COUNTIF(Q$4:Q187,""Sell_""&amp;Q188))))))"),-132250.0)</f>
        <v>-132250</v>
      </c>
      <c r="V188" s="10">
        <f t="shared" si="11"/>
        <v>-11273274</v>
      </c>
      <c r="W188" s="68">
        <f t="shared" si="12"/>
        <v>4469.908494</v>
      </c>
      <c r="X188" s="59" t="str">
        <f t="shared" si="13"/>
        <v>1h 14m 29s</v>
      </c>
      <c r="Y188" s="69">
        <f t="shared" si="14"/>
        <v>100606200</v>
      </c>
      <c r="Z188" s="11"/>
    </row>
    <row r="189">
      <c r="A189" s="8"/>
      <c r="B189" s="56">
        <f t="shared" si="2"/>
        <v>25</v>
      </c>
      <c r="C189" s="62" t="s">
        <v>5</v>
      </c>
      <c r="D189" s="10"/>
      <c r="E189" s="59">
        <f t="array" ref="E189">IF(COUNTA(C189:C1673)=0,"",SUM((COUNTIF(C$4:C189,Upgrades!$B$3:$B$13)-COUNTIF(C$4:C189,"Sell_"&amp;Upgrades!$B$3:$B$13))*Upgrades!$D$3:$D$13))</f>
        <v>568295.6</v>
      </c>
      <c r="F189" s="66">
        <f>IFERROR(__xludf.DUMMYFUNCTION("IF(COUNTA(C189:C1673)=0,"""",IF(REGEXMATCH(INDEX(FILTER(C$4:C189,C$4:C189&lt;&gt;""""),ROWS(FILTER(C$4:C189,C$4:C189&lt;&gt;""""))),""^Sell_""),INDEX(FILTER(F$4:F188,C$4:C188&lt;&gt;""""),ROWS(FILTER(C$4:C188,C$4:C188&lt;&gt;""""))),$AC$5+E189))"),568310.6)</f>
        <v>568310.6</v>
      </c>
      <c r="G189" s="10">
        <f>IFERROR(__xludf.DUMMYFUNCTION("IF(COUNTA(C189:C1673)=0,"""",IF(C189="""",0,IF(REGEXMATCH(C189,""^Sell_""),-ROUNDDOWN(ROUNDUP(INDEX(Upgrades!$C$3:$C$13,MATCH(SUBSTITUTE(C189,""Sell_"",""""),Upgrades!$B$3:$B$13,0))*1.15^(COUNTIF(C$4:C188,SUBSTITUTE(C189,""Sell_"",""""))-COUNTIF(C$4:C188,"&amp;"""Sell_""&amp;SUBSTITUTE(C189,""Sell_"",""""))))/2),ROUNDUP(INDEX(Upgrades!$C$3:$C$13,MATCH(C189,Upgrades!$B$3:$B$13,0))*1.15^(COUNTIF(C$4:C188,C189)-COUNTIF(C$4:C188,""Sell_""&amp;C189))))))"),14313.0)</f>
        <v>14313</v>
      </c>
      <c r="H189" s="10">
        <f t="shared" si="3"/>
        <v>14313</v>
      </c>
      <c r="I189" s="68">
        <f t="shared" si="4"/>
        <v>7809.118571</v>
      </c>
      <c r="J189" s="59" t="str">
        <f t="shared" si="5"/>
        <v>2h 10m 09s</v>
      </c>
      <c r="K189" s="69">
        <f t="shared" si="6"/>
        <v>983494476</v>
      </c>
      <c r="L189" s="60">
        <f t="shared" si="7"/>
        <v>-144.95772</v>
      </c>
      <c r="M189" s="61">
        <f>IFERROR(__xludf.DUMMYFUNCTION("IFS(AND(COUNTA(C189:C1673)=0,COUNTA(Q189:Q1673)=0),"""",OR(AND(K189&gt;=1000000000,OR(Y189&gt;=1000000000,COUNTA(Q189:Q1673)=0)),OR(Y189&gt;=1000000000,AND(COUNTA(C189:C1673)=0,P$3=TRUE))),
ROUNDDOWN((AB$1-AC$1)*MAX(INDEX(T$4:T1673,MATCH(LARGE(FILTER(Y$4:Y1673,Y$4"&amp;":Y1673&lt;1000000000),1),Y$4:Y1673)),INDEX(F$4:F1673,MATCH(LARGE(FILTER(K$4:K1673,K$4:K1673&lt;1000000000),1),K$4:K1673)))),AND(K189&lt;1000000000,COUNTA(C189:C1673)&gt;0,P$3=FALSE),
ROUNDDOWN(INDEX(Y$4:Y1673,MATCH(LARGE(FILTER(W$4:W1673,W$4:W1673&lt;=I189),1),W$4:W1673"&amp;"))+(I189-LARGE(FILTER(W$4:W1673,W$4:W1673&lt;=I189),1))*INDEX(T$4:T1673,MATCH(LARGE(FILTER(W$4:W1673,W$4:W1673&lt;=I189),1),W$4:W1673))-K189),1,
ROUNDDOWN(Y189-INDEX(K$4:K1673,MATCH(LARGE(FILTER(I$4:I1673,I$4:I1673&lt;=W189),1),I$4:I1673))-(W189-LARGE(FILTER(I$4:I"&amp;"1673,I$4:I1673&lt;=W189),1))*INDEX(F$4:F1673,MATCH(LARGE(FILTER(I$4:I1673,I$4:I1673&lt;=W189),1),I$4:I1673))))"),8.1162308E7)</f>
        <v>81162308</v>
      </c>
      <c r="N189" s="60">
        <f t="shared" si="8"/>
        <v>-144.95772</v>
      </c>
      <c r="O189" s="61" t="str">
        <f t="shared" si="9"/>
        <v>81,2M</v>
      </c>
      <c r="P189" s="56">
        <f t="shared" si="10"/>
        <v>16</v>
      </c>
      <c r="Q189" s="105" t="s">
        <v>60</v>
      </c>
      <c r="R189" s="10"/>
      <c r="S189" s="59">
        <f t="array" ref="S189">IF(COUNTA(Q189:Q1673)=0,"",SUM((COUNTIF(Q$4:Q189,Upgrades!$B$3:$B$13)-COUNTIF(Q$4:Q189,"Sell_"&amp;Upgrades!$B$3:$B$13))*Upgrades!$D$3:$D$13))</f>
        <v>100875</v>
      </c>
      <c r="T189" s="66">
        <f>IFERROR(__xludf.DUMMYFUNCTION("IF(COUNTA(Q189:Q1673)=0,"""",IF(REGEXMATCH(INDEX(FILTER(Q$4:Q189,Q$4:Q189&lt;&gt;""""),ROWS(FILTER(Q$4:Q189,Q$4:Q189&lt;&gt;""""))),""^Sell_""),INDEX(FILTER(T$4:T188,Q$4:Q188&lt;&gt;""""),ROWS(FILTER(Q$4:Q188,Q$4:Q188&lt;&gt;""""))),$AD$5+S189))"),113256.0)</f>
        <v>113256</v>
      </c>
      <c r="U189" s="10">
        <f>IFERROR(__xludf.DUMMYFUNCTION("IF(COUNTA(Q189:Q1673)=0,"""",IF(Q189="""",0,IF(REGEXMATCH(Q189,""^Sell_""),-ROUNDDOWN(ROUNDUP(INDEX(Upgrades!$C$3:$C$13,MATCH(SUBSTITUTE(Q189,""Sell_"",""""),Upgrades!$B$3:$B$13,0))*1.15^(COUNTIF(Q$4:Q188,SUBSTITUTE(Q189,""Sell_"",""""))-COUNTIF(Q$4:Q188,"&amp;"""Sell_""&amp;SUBSTITUTE(Q189,""Sell_"",""""))))/2),ROUNDUP(INDEX(Upgrades!$C$3:$C$13,MATCH(Q189,Upgrades!$B$3:$B$13,0))*1.15^(COUNTIF(Q$4:Q188,Q189)-COUNTIF(Q$4:Q188,""Sell_""&amp;Q189))))))"),-115000.0)</f>
        <v>-115000</v>
      </c>
      <c r="V189" s="10">
        <f t="shared" si="11"/>
        <v>-11388274</v>
      </c>
      <c r="W189" s="68">
        <f t="shared" si="12"/>
        <v>4469.908494</v>
      </c>
      <c r="X189" s="59" t="str">
        <f t="shared" si="13"/>
        <v>1h 14m 29s</v>
      </c>
      <c r="Y189" s="69">
        <f t="shared" si="14"/>
        <v>100606200</v>
      </c>
      <c r="Z189" s="11"/>
    </row>
    <row r="190">
      <c r="A190" s="8"/>
      <c r="B190" s="56">
        <f t="shared" si="2"/>
        <v>26</v>
      </c>
      <c r="C190" s="62" t="s">
        <v>5</v>
      </c>
      <c r="D190" s="10"/>
      <c r="E190" s="59">
        <f t="array" ref="E190">IF(COUNTA(C190:C1673)=0,"",SUM((COUNTIF(C$4:C190,Upgrades!$B$3:$B$13)-COUNTIF(C$4:C190,"Sell_"&amp;Upgrades!$B$3:$B$13))*Upgrades!$D$3:$D$13))</f>
        <v>568299.6</v>
      </c>
      <c r="F190" s="66">
        <f>IFERROR(__xludf.DUMMYFUNCTION("IF(COUNTA(C190:C1673)=0,"""",IF(REGEXMATCH(INDEX(FILTER(C$4:C190,C$4:C190&lt;&gt;""""),ROWS(FILTER(C$4:C190,C$4:C190&lt;&gt;""""))),""^Sell_""),INDEX(FILTER(F$4:F189,C$4:C189&lt;&gt;""""),ROWS(FILTER(C$4:C189,C$4:C189&lt;&gt;""""))),$AC$5+E190))"),568314.6)</f>
        <v>568314.6</v>
      </c>
      <c r="G190" s="10">
        <f>IFERROR(__xludf.DUMMYFUNCTION("IF(COUNTA(C190:C1673)=0,"""",IF(C190="""",0,IF(REGEXMATCH(C190,""^Sell_""),-ROUNDDOWN(ROUNDUP(INDEX(Upgrades!$C$3:$C$13,MATCH(SUBSTITUTE(C190,""Sell_"",""""),Upgrades!$B$3:$B$13,0))*1.15^(COUNTIF(C$4:C189,SUBSTITUTE(C190,""Sell_"",""""))-COUNTIF(C$4:C189,"&amp;"""Sell_""&amp;SUBSTITUTE(C190,""Sell_"",""""))))/2),ROUNDUP(INDEX(Upgrades!$C$3:$C$13,MATCH(C190,Upgrades!$B$3:$B$13,0))*1.15^(COUNTIF(C$4:C189,C190)-COUNTIF(C$4:C189,""Sell_""&amp;C190))))))"),16460.0)</f>
        <v>16460</v>
      </c>
      <c r="H190" s="10">
        <f t="shared" si="3"/>
        <v>16460</v>
      </c>
      <c r="I190" s="68">
        <f t="shared" si="4"/>
        <v>7809.147534</v>
      </c>
      <c r="J190" s="59" t="str">
        <f t="shared" si="5"/>
        <v>2h 10m 09s</v>
      </c>
      <c r="K190" s="69">
        <f t="shared" si="6"/>
        <v>983510936</v>
      </c>
      <c r="L190" s="60">
        <f t="shared" si="7"/>
        <v>-144.95687</v>
      </c>
      <c r="M190" s="61">
        <f>IFERROR(__xludf.DUMMYFUNCTION("IFS(AND(COUNTA(C190:C1673)=0,COUNTA(Q190:Q1673)=0),"""",OR(AND(K190&gt;=1000000000,OR(Y190&gt;=1000000000,COUNTA(Q190:Q1673)=0)),OR(Y190&gt;=1000000000,AND(COUNTA(C190:C1673)=0,P$3=TRUE))),
ROUNDDOWN((AB$1-AC$1)*MAX(INDEX(T$4:T1673,MATCH(LARGE(FILTER(Y$4:Y1673,Y$4"&amp;":Y1673&lt;1000000000),1),Y$4:Y1673)),INDEX(F$4:F1673,MATCH(LARGE(FILTER(K$4:K1673,K$4:K1673&lt;1000000000),1),K$4:K1673)))),AND(K190&lt;1000000000,COUNTA(C190:C1673)&gt;0,P$3=FALSE),
ROUNDDOWN(INDEX(Y$4:Y1673,MATCH(LARGE(FILTER(W$4:W1673,W$4:W1673&lt;=I190),1),W$4:W1673"&amp;"))+(I190-LARGE(FILTER(W$4:W1673,W$4:W1673&lt;=I190),1))*INDEX(T$4:T1673,MATCH(LARGE(FILTER(W$4:W1673,W$4:W1673&lt;=I190),1),W$4:W1673))-K190),1,
ROUNDDOWN(Y190-INDEX(K$4:K1673,MATCH(LARGE(FILTER(I$4:I1673,I$4:I1673&lt;=W190),1),I$4:I1673))-(W190-LARGE(FILTER(I$4:I"&amp;"1673,I$4:I1673&lt;=W190),1))*INDEX(F$4:F1673,MATCH(LARGE(FILTER(I$4:I1673,I$4:I1673&lt;=W190),1),I$4:I1673))))"),8.1162081E7)</f>
        <v>81162081</v>
      </c>
      <c r="N190" s="60">
        <f t="shared" si="8"/>
        <v>-144.95687</v>
      </c>
      <c r="O190" s="61" t="str">
        <f t="shared" si="9"/>
        <v>81,2M</v>
      </c>
      <c r="P190" s="56">
        <f t="shared" si="10"/>
        <v>2</v>
      </c>
      <c r="Q190" s="105" t="s">
        <v>64</v>
      </c>
      <c r="R190" s="10"/>
      <c r="S190" s="59">
        <f t="array" ref="S190">IF(COUNTA(Q190:Q1673)=0,"",SUM((COUNTIF(Q$4:Q190,Upgrades!$B$3:$B$13)-COUNTIF(Q$4:Q190,"Sell_"&amp;Upgrades!$B$3:$B$13))*Upgrades!$D$3:$D$13))</f>
        <v>94209</v>
      </c>
      <c r="T190" s="66">
        <f>IFERROR(__xludf.DUMMYFUNCTION("IF(COUNTA(Q190:Q1673)=0,"""",IF(REGEXMATCH(INDEX(FILTER(Q$4:Q190,Q$4:Q190&lt;&gt;""""),ROWS(FILTER(Q$4:Q190,Q$4:Q190&lt;&gt;""""))),""^Sell_""),INDEX(FILTER(T$4:T189,Q$4:Q189&lt;&gt;""""),ROWS(FILTER(Q$4:Q189,Q$4:Q189&lt;&gt;""""))),$AD$5+S190))"),113256.0)</f>
        <v>113256</v>
      </c>
      <c r="U190" s="10">
        <f>IFERROR(__xludf.DUMMYFUNCTION("IF(COUNTA(Q190:Q1673)=0,"""",IF(Q190="""",0,IF(REGEXMATCH(Q190,""^Sell_""),-ROUNDDOWN(ROUNDUP(INDEX(Upgrades!$C$3:$C$13,MATCH(SUBSTITUTE(Q190,""Sell_"",""""),Upgrades!$B$3:$B$13,0))*1.15^(COUNTIF(Q$4:Q189,SUBSTITUTE(Q190,""Sell_"",""""))-COUNTIF(Q$4:Q189,"&amp;"""Sell_""&amp;SUBSTITUTE(Q190,""Sell_"",""""))))/2),ROUNDUP(INDEX(Upgrades!$C$3:$C$13,MATCH(Q190,Upgrades!$B$3:$B$13,0))*1.15^(COUNTIF(Q$4:Q189,Q190)-COUNTIF(Q$4:Q189,""Sell_""&amp;Q190))))))"),-6780882.0)</f>
        <v>-6780882</v>
      </c>
      <c r="V190" s="10">
        <f t="shared" si="11"/>
        <v>-18169156</v>
      </c>
      <c r="W190" s="68">
        <f t="shared" si="12"/>
        <v>4469.908494</v>
      </c>
      <c r="X190" s="59" t="str">
        <f t="shared" si="13"/>
        <v>1h 14m 29s</v>
      </c>
      <c r="Y190" s="69">
        <f t="shared" si="14"/>
        <v>100606200</v>
      </c>
      <c r="Z190" s="11"/>
    </row>
    <row r="191">
      <c r="A191" s="8"/>
      <c r="B191" s="56">
        <f t="shared" si="2"/>
        <v>27</v>
      </c>
      <c r="C191" s="62" t="s">
        <v>5</v>
      </c>
      <c r="D191" s="10"/>
      <c r="E191" s="59">
        <f t="array" ref="E191">IF(COUNTA(C191:C1673)=0,"",SUM((COUNTIF(C$4:C191,Upgrades!$B$3:$B$13)-COUNTIF(C$4:C191,"Sell_"&amp;Upgrades!$B$3:$B$13))*Upgrades!$D$3:$D$13))</f>
        <v>568303.6</v>
      </c>
      <c r="F191" s="66">
        <f>IFERROR(__xludf.DUMMYFUNCTION("IF(COUNTA(C191:C1673)=0,"""",IF(REGEXMATCH(INDEX(FILTER(C$4:C191,C$4:C191&lt;&gt;""""),ROWS(FILTER(C$4:C191,C$4:C191&lt;&gt;""""))),""^Sell_""),INDEX(FILTER(F$4:F190,C$4:C190&lt;&gt;""""),ROWS(FILTER(C$4:C190,C$4:C190&lt;&gt;""""))),$AC$5+E191))"),568318.6)</f>
        <v>568318.6</v>
      </c>
      <c r="G191" s="10">
        <f>IFERROR(__xludf.DUMMYFUNCTION("IF(COUNTA(C191:C1673)=0,"""",IF(C191="""",0,IF(REGEXMATCH(C191,""^Sell_""),-ROUNDDOWN(ROUNDUP(INDEX(Upgrades!$C$3:$C$13,MATCH(SUBSTITUTE(C191,""Sell_"",""""),Upgrades!$B$3:$B$13,0))*1.15^(COUNTIF(C$4:C190,SUBSTITUTE(C191,""Sell_"",""""))-COUNTIF(C$4:C190,"&amp;"""Sell_""&amp;SUBSTITUTE(C191,""Sell_"",""""))))/2),ROUNDUP(INDEX(Upgrades!$C$3:$C$13,MATCH(C191,Upgrades!$B$3:$B$13,0))*1.15^(COUNTIF(C$4:C190,C191)-COUNTIF(C$4:C190,""Sell_""&amp;C191))))))"),18929.0)</f>
        <v>18929</v>
      </c>
      <c r="H191" s="10">
        <f t="shared" si="3"/>
        <v>18929</v>
      </c>
      <c r="I191" s="68">
        <f t="shared" si="4"/>
        <v>7809.180841</v>
      </c>
      <c r="J191" s="59" t="str">
        <f t="shared" si="5"/>
        <v>2h 10m 09s</v>
      </c>
      <c r="K191" s="69">
        <f t="shared" si="6"/>
        <v>983529865</v>
      </c>
      <c r="L191" s="60">
        <f t="shared" si="7"/>
        <v>-144.95589</v>
      </c>
      <c r="M191" s="61">
        <f>IFERROR(__xludf.DUMMYFUNCTION("IFS(AND(COUNTA(C191:C1673)=0,COUNTA(Q191:Q1673)=0),"""",OR(AND(K191&gt;=1000000000,OR(Y191&gt;=1000000000,COUNTA(Q191:Q1673)=0)),OR(Y191&gt;=1000000000,AND(COUNTA(C191:C1673)=0,P$3=TRUE))),
ROUNDDOWN((AB$1-AC$1)*MAX(INDEX(T$4:T1673,MATCH(LARGE(FILTER(Y$4:Y1673,Y$4"&amp;":Y1673&lt;1000000000),1),Y$4:Y1673)),INDEX(F$4:F1673,MATCH(LARGE(FILTER(K$4:K1673,K$4:K1673&lt;1000000000),1),K$4:K1673)))),AND(K191&lt;1000000000,COUNTA(C191:C1673)&gt;0,P$3=FALSE),
ROUNDDOWN(INDEX(Y$4:Y1673,MATCH(LARGE(FILTER(W$4:W1673,W$4:W1673&lt;=I191),1),W$4:W1673"&amp;"))+(I191-LARGE(FILTER(W$4:W1673,W$4:W1673&lt;=I191),1))*INDEX(T$4:T1673,MATCH(LARGE(FILTER(W$4:W1673,W$4:W1673&lt;=I191),1),W$4:W1673))-K191),1,
ROUNDDOWN(Y191-INDEX(K$4:K1673,MATCH(LARGE(FILTER(I$4:I1673,I$4:I1673&lt;=W191),1),I$4:I1673))-(W191-LARGE(FILTER(I$4:I"&amp;"1673,I$4:I1673&lt;=W191),1))*INDEX(F$4:F1673,MATCH(LARGE(FILTER(I$4:I1673,I$4:I1673&lt;=W191),1),I$4:I1673))))"),8.116182E7)</f>
        <v>81161820</v>
      </c>
      <c r="N191" s="60">
        <f t="shared" si="8"/>
        <v>-144.95589</v>
      </c>
      <c r="O191" s="61" t="str">
        <f t="shared" si="9"/>
        <v>81,2M</v>
      </c>
      <c r="P191" s="56">
        <f t="shared" si="10"/>
        <v>3</v>
      </c>
      <c r="Q191" s="105" t="s">
        <v>64</v>
      </c>
      <c r="R191" s="10"/>
      <c r="S191" s="59">
        <f t="array" ref="S191">IF(COUNTA(Q191:Q1673)=0,"",SUM((COUNTIF(Q$4:Q191,Upgrades!$B$3:$B$13)-COUNTIF(Q$4:Q191,"Sell_"&amp;Upgrades!$B$3:$B$13))*Upgrades!$D$3:$D$13))</f>
        <v>87543</v>
      </c>
      <c r="T191" s="66">
        <f>IFERROR(__xludf.DUMMYFUNCTION("IF(COUNTA(Q191:Q1673)=0,"""",IF(REGEXMATCH(INDEX(FILTER(Q$4:Q191,Q$4:Q191&lt;&gt;""""),ROWS(FILTER(Q$4:Q191,Q$4:Q191&lt;&gt;""""))),""^Sell_""),INDEX(FILTER(T$4:T190,Q$4:Q190&lt;&gt;""""),ROWS(FILTER(Q$4:Q190,Q$4:Q190&lt;&gt;""""))),$AD$5+S191))"),113256.0)</f>
        <v>113256</v>
      </c>
      <c r="U191" s="10">
        <f>IFERROR(__xludf.DUMMYFUNCTION("IF(COUNTA(Q191:Q1673)=0,"""",IF(Q191="""",0,IF(REGEXMATCH(Q191,""^Sell_""),-ROUNDDOWN(ROUNDUP(INDEX(Upgrades!$C$3:$C$13,MATCH(SUBSTITUTE(Q191,""Sell_"",""""),Upgrades!$B$3:$B$13,0))*1.15^(COUNTIF(Q$4:Q190,SUBSTITUTE(Q191,""Sell_"",""""))-COUNTIF(Q$4:Q190,"&amp;"""Sell_""&amp;SUBSTITUTE(Q191,""Sell_"",""""))))/2),ROUNDUP(INDEX(Upgrades!$C$3:$C$13,MATCH(Q191,Upgrades!$B$3:$B$13,0))*1.15^(COUNTIF(Q$4:Q190,Q191)-COUNTIF(Q$4:Q190,""Sell_""&amp;Q191))))))"),-5896419.0)</f>
        <v>-5896419</v>
      </c>
      <c r="V191" s="10">
        <f t="shared" si="11"/>
        <v>-24065575</v>
      </c>
      <c r="W191" s="68">
        <f t="shared" si="12"/>
        <v>4469.908494</v>
      </c>
      <c r="X191" s="59" t="str">
        <f t="shared" si="13"/>
        <v>1h 14m 29s</v>
      </c>
      <c r="Y191" s="69">
        <f t="shared" si="14"/>
        <v>100606200</v>
      </c>
      <c r="Z191" s="11"/>
    </row>
    <row r="192">
      <c r="A192" s="8"/>
      <c r="B192" s="56">
        <f t="shared" si="2"/>
        <v>28</v>
      </c>
      <c r="C192" s="62" t="s">
        <v>5</v>
      </c>
      <c r="D192" s="10"/>
      <c r="E192" s="59">
        <f t="array" ref="E192">IF(COUNTA(C192:C1673)=0,"",SUM((COUNTIF(C$4:C192,Upgrades!$B$3:$B$13)-COUNTIF(C$4:C192,"Sell_"&amp;Upgrades!$B$3:$B$13))*Upgrades!$D$3:$D$13))</f>
        <v>568307.6</v>
      </c>
      <c r="F192" s="66">
        <f>IFERROR(__xludf.DUMMYFUNCTION("IF(COUNTA(C192:C1673)=0,"""",IF(REGEXMATCH(INDEX(FILTER(C$4:C192,C$4:C192&lt;&gt;""""),ROWS(FILTER(C$4:C192,C$4:C192&lt;&gt;""""))),""^Sell_""),INDEX(FILTER(F$4:F191,C$4:C191&lt;&gt;""""),ROWS(FILTER(C$4:C191,C$4:C191&lt;&gt;""""))),$AC$5+E192))"),568322.6)</f>
        <v>568322.6</v>
      </c>
      <c r="G192" s="10">
        <f>IFERROR(__xludf.DUMMYFUNCTION("IF(COUNTA(C192:C1673)=0,"""",IF(C192="""",0,IF(REGEXMATCH(C192,""^Sell_""),-ROUNDDOWN(ROUNDUP(INDEX(Upgrades!$C$3:$C$13,MATCH(SUBSTITUTE(C192,""Sell_"",""""),Upgrades!$B$3:$B$13,0))*1.15^(COUNTIF(C$4:C191,SUBSTITUTE(C192,""Sell_"",""""))-COUNTIF(C$4:C191,"&amp;"""Sell_""&amp;SUBSTITUTE(C192,""Sell_"",""""))))/2),ROUNDUP(INDEX(Upgrades!$C$3:$C$13,MATCH(C192,Upgrades!$B$3:$B$13,0))*1.15^(COUNTIF(C$4:C191,C192)-COUNTIF(C$4:C191,""Sell_""&amp;C192))))))"),21768.0)</f>
        <v>21768</v>
      </c>
      <c r="H192" s="10">
        <f t="shared" si="3"/>
        <v>21768</v>
      </c>
      <c r="I192" s="68">
        <f t="shared" si="4"/>
        <v>7809.219144</v>
      </c>
      <c r="J192" s="59" t="str">
        <f t="shared" si="5"/>
        <v>2h 10m 09s</v>
      </c>
      <c r="K192" s="69">
        <f t="shared" si="6"/>
        <v>983551633</v>
      </c>
      <c r="L192" s="60">
        <f t="shared" si="7"/>
        <v>-144.95476</v>
      </c>
      <c r="M192" s="61">
        <f>IFERROR(__xludf.DUMMYFUNCTION("IFS(AND(COUNTA(C192:C1673)=0,COUNTA(Q192:Q1673)=0),"""",OR(AND(K192&gt;=1000000000,OR(Y192&gt;=1000000000,COUNTA(Q192:Q1673)=0)),OR(Y192&gt;=1000000000,AND(COUNTA(C192:C1673)=0,P$3=TRUE))),
ROUNDDOWN((AB$1-AC$1)*MAX(INDEX(T$4:T1673,MATCH(LARGE(FILTER(Y$4:Y1673,Y$4"&amp;":Y1673&lt;1000000000),1),Y$4:Y1673)),INDEX(F$4:F1673,MATCH(LARGE(FILTER(K$4:K1673,K$4:K1673&lt;1000000000),1),K$4:K1673)))),AND(K192&lt;1000000000,COUNTA(C192:C1673)&gt;0,P$3=FALSE),
ROUNDDOWN(INDEX(Y$4:Y1673,MATCH(LARGE(FILTER(W$4:W1673,W$4:W1673&lt;=I192),1),W$4:W1673"&amp;"))+(I192-LARGE(FILTER(W$4:W1673,W$4:W1673&lt;=I192),1))*INDEX(T$4:T1673,MATCH(LARGE(FILTER(W$4:W1673,W$4:W1673&lt;=I192),1),W$4:W1673))-K192),1,
ROUNDDOWN(Y192-INDEX(K$4:K1673,MATCH(LARGE(FILTER(I$4:I1673,I$4:I1673&lt;=W192),1),I$4:I1673))-(W192-LARGE(FILTER(I$4:I"&amp;"1673,I$4:I1673&lt;=W192),1))*INDEX(F$4:F1673,MATCH(LARGE(FILTER(I$4:I1673,I$4:I1673&lt;=W192),1),I$4:I1673))))"),8.116152E7)</f>
        <v>81161520</v>
      </c>
      <c r="N192" s="60">
        <f t="shared" si="8"/>
        <v>-144.95476</v>
      </c>
      <c r="O192" s="61" t="str">
        <f t="shared" si="9"/>
        <v>81,2M</v>
      </c>
      <c r="P192" s="56">
        <f t="shared" si="10"/>
        <v>4</v>
      </c>
      <c r="Q192" s="105" t="s">
        <v>64</v>
      </c>
      <c r="R192" s="10"/>
      <c r="S192" s="59">
        <f t="array" ref="S192">IF(COUNTA(Q192:Q1673)=0,"",SUM((COUNTIF(Q$4:Q192,Upgrades!$B$3:$B$13)-COUNTIF(Q$4:Q192,"Sell_"&amp;Upgrades!$B$3:$B$13))*Upgrades!$D$3:$D$13))</f>
        <v>80877</v>
      </c>
      <c r="T192" s="66">
        <f>IFERROR(__xludf.DUMMYFUNCTION("IF(COUNTA(Q192:Q1673)=0,"""",IF(REGEXMATCH(INDEX(FILTER(Q$4:Q192,Q$4:Q192&lt;&gt;""""),ROWS(FILTER(Q$4:Q192,Q$4:Q192&lt;&gt;""""))),""^Sell_""),INDEX(FILTER(T$4:T191,Q$4:Q191&lt;&gt;""""),ROWS(FILTER(Q$4:Q191,Q$4:Q191&lt;&gt;""""))),$AD$5+S192))"),113256.0)</f>
        <v>113256</v>
      </c>
      <c r="U192" s="10">
        <f>IFERROR(__xludf.DUMMYFUNCTION("IF(COUNTA(Q192:Q1673)=0,"""",IF(Q192="""",0,IF(REGEXMATCH(Q192,""^Sell_""),-ROUNDDOWN(ROUNDUP(INDEX(Upgrades!$C$3:$C$13,MATCH(SUBSTITUTE(Q192,""Sell_"",""""),Upgrades!$B$3:$B$13,0))*1.15^(COUNTIF(Q$4:Q191,SUBSTITUTE(Q192,""Sell_"",""""))-COUNTIF(Q$4:Q191,"&amp;"""Sell_""&amp;SUBSTITUTE(Q192,""Sell_"",""""))))/2),ROUNDUP(INDEX(Upgrades!$C$3:$C$13,MATCH(Q192,Upgrades!$B$3:$B$13,0))*1.15^(COUNTIF(Q$4:Q191,Q192)-COUNTIF(Q$4:Q191,""Sell_""&amp;Q192))))))"),-5127321.0)</f>
        <v>-5127321</v>
      </c>
      <c r="V192" s="10">
        <f t="shared" si="11"/>
        <v>-29192896</v>
      </c>
      <c r="W192" s="68">
        <f t="shared" si="12"/>
        <v>4469.908494</v>
      </c>
      <c r="X192" s="59" t="str">
        <f t="shared" si="13"/>
        <v>1h 14m 29s</v>
      </c>
      <c r="Y192" s="69">
        <f t="shared" si="14"/>
        <v>100606200</v>
      </c>
      <c r="Z192" s="11"/>
    </row>
    <row r="193">
      <c r="A193" s="8"/>
      <c r="B193" s="56">
        <f t="shared" si="2"/>
        <v>29</v>
      </c>
      <c r="C193" s="62" t="s">
        <v>5</v>
      </c>
      <c r="D193" s="10"/>
      <c r="E193" s="59">
        <f t="array" ref="E193">IF(COUNTA(C193:C1673)=0,"",SUM((COUNTIF(C$4:C193,Upgrades!$B$3:$B$13)-COUNTIF(C$4:C193,"Sell_"&amp;Upgrades!$B$3:$B$13))*Upgrades!$D$3:$D$13))</f>
        <v>568311.6</v>
      </c>
      <c r="F193" s="66">
        <f>IFERROR(__xludf.DUMMYFUNCTION("IF(COUNTA(C193:C1673)=0,"""",IF(REGEXMATCH(INDEX(FILTER(C$4:C193,C$4:C193&lt;&gt;""""),ROWS(FILTER(C$4:C193,C$4:C193&lt;&gt;""""))),""^Sell_""),INDEX(FILTER(F$4:F192,C$4:C192&lt;&gt;""""),ROWS(FILTER(C$4:C192,C$4:C192&lt;&gt;""""))),$AC$5+E193))"),568326.6)</f>
        <v>568326.6</v>
      </c>
      <c r="G193" s="10">
        <f>IFERROR(__xludf.DUMMYFUNCTION("IF(COUNTA(C193:C1673)=0,"""",IF(C193="""",0,IF(REGEXMATCH(C193,""^Sell_""),-ROUNDDOWN(ROUNDUP(INDEX(Upgrades!$C$3:$C$13,MATCH(SUBSTITUTE(C193,""Sell_"",""""),Upgrades!$B$3:$B$13,0))*1.15^(COUNTIF(C$4:C192,SUBSTITUTE(C193,""Sell_"",""""))-COUNTIF(C$4:C192,"&amp;"""Sell_""&amp;SUBSTITUTE(C193,""Sell_"",""""))))/2),ROUNDUP(INDEX(Upgrades!$C$3:$C$13,MATCH(C193,Upgrades!$B$3:$B$13,0))*1.15^(COUNTIF(C$4:C192,C193)-COUNTIF(C$4:C192,""Sell_""&amp;C193))))))"),25033.0)</f>
        <v>25033</v>
      </c>
      <c r="H193" s="10">
        <f t="shared" si="3"/>
        <v>25033</v>
      </c>
      <c r="I193" s="68">
        <f t="shared" si="4"/>
        <v>7809.263191</v>
      </c>
      <c r="J193" s="59" t="str">
        <f t="shared" si="5"/>
        <v>2h 10m 09s</v>
      </c>
      <c r="K193" s="69">
        <f t="shared" si="6"/>
        <v>983576666</v>
      </c>
      <c r="L193" s="60">
        <f t="shared" si="7"/>
        <v>-144.95347</v>
      </c>
      <c r="M193" s="61">
        <f>IFERROR(__xludf.DUMMYFUNCTION("IFS(AND(COUNTA(C193:C1673)=0,COUNTA(Q193:Q1673)=0),"""",OR(AND(K193&gt;=1000000000,OR(Y193&gt;=1000000000,COUNTA(Q193:Q1673)=0)),OR(Y193&gt;=1000000000,AND(COUNTA(C193:C1673)=0,P$3=TRUE))),
ROUNDDOWN((AB$1-AC$1)*MAX(INDEX(T$4:T1673,MATCH(LARGE(FILTER(Y$4:Y1673,Y$4"&amp;":Y1673&lt;1000000000),1),Y$4:Y1673)),INDEX(F$4:F1673,MATCH(LARGE(FILTER(K$4:K1673,K$4:K1673&lt;1000000000),1),K$4:K1673)))),AND(K193&lt;1000000000,COUNTA(C193:C1673)&gt;0,P$3=FALSE),
ROUNDDOWN(INDEX(Y$4:Y1673,MATCH(LARGE(FILTER(W$4:W1673,W$4:W1673&lt;=I193),1),W$4:W1673"&amp;"))+(I193-LARGE(FILTER(W$4:W1673,W$4:W1673&lt;=I193),1))*INDEX(T$4:T1673,MATCH(LARGE(FILTER(W$4:W1673,W$4:W1673&lt;=I193),1),W$4:W1673))-K193),1,
ROUNDDOWN(Y193-INDEX(K$4:K1673,MATCH(LARGE(FILTER(I$4:I1673,I$4:I1673&lt;=W193),1),I$4:I1673))-(W193-LARGE(FILTER(I$4:I"&amp;"1673,I$4:I1673&lt;=W193),1))*INDEX(F$4:F1673,MATCH(LARGE(FILTER(I$4:I1673,I$4:I1673&lt;=W193),1),I$4:I1673))))"),8.1161175E7)</f>
        <v>81161175</v>
      </c>
      <c r="N193" s="60">
        <f t="shared" si="8"/>
        <v>-144.95347</v>
      </c>
      <c r="O193" s="61" t="str">
        <f t="shared" si="9"/>
        <v>81,2M</v>
      </c>
      <c r="P193" s="56">
        <f t="shared" si="10"/>
        <v>5</v>
      </c>
      <c r="Q193" s="105" t="s">
        <v>64</v>
      </c>
      <c r="R193" s="10"/>
      <c r="S193" s="59">
        <f t="array" ref="S193">IF(COUNTA(Q193:Q1673)=0,"",SUM((COUNTIF(Q$4:Q193,Upgrades!$B$3:$B$13)-COUNTIF(Q$4:Q193,"Sell_"&amp;Upgrades!$B$3:$B$13))*Upgrades!$D$3:$D$13))</f>
        <v>74211</v>
      </c>
      <c r="T193" s="66">
        <f>IFERROR(__xludf.DUMMYFUNCTION("IF(COUNTA(Q193:Q1673)=0,"""",IF(REGEXMATCH(INDEX(FILTER(Q$4:Q193,Q$4:Q193&lt;&gt;""""),ROWS(FILTER(Q$4:Q193,Q$4:Q193&lt;&gt;""""))),""^Sell_""),INDEX(FILTER(T$4:T192,Q$4:Q192&lt;&gt;""""),ROWS(FILTER(Q$4:Q192,Q$4:Q192&lt;&gt;""""))),$AD$5+S193))"),113256.0)</f>
        <v>113256</v>
      </c>
      <c r="U193" s="10">
        <f>IFERROR(__xludf.DUMMYFUNCTION("IF(COUNTA(Q193:Q1673)=0,"""",IF(Q193="""",0,IF(REGEXMATCH(Q193,""^Sell_""),-ROUNDDOWN(ROUNDUP(INDEX(Upgrades!$C$3:$C$13,MATCH(SUBSTITUTE(Q193,""Sell_"",""""),Upgrades!$B$3:$B$13,0))*1.15^(COUNTIF(Q$4:Q192,SUBSTITUTE(Q193,""Sell_"",""""))-COUNTIF(Q$4:Q192,"&amp;"""Sell_""&amp;SUBSTITUTE(Q193,""Sell_"",""""))))/2),ROUNDUP(INDEX(Upgrades!$C$3:$C$13,MATCH(Q193,Upgrades!$B$3:$B$13,0))*1.15^(COUNTIF(Q$4:Q192,Q193)-COUNTIF(Q$4:Q192,""Sell_""&amp;Q193))))))"),-4458540.0)</f>
        <v>-4458540</v>
      </c>
      <c r="V193" s="10">
        <f t="shared" si="11"/>
        <v>-33651436</v>
      </c>
      <c r="W193" s="68">
        <f t="shared" si="12"/>
        <v>4469.908494</v>
      </c>
      <c r="X193" s="59" t="str">
        <f t="shared" si="13"/>
        <v>1h 14m 29s</v>
      </c>
      <c r="Y193" s="69">
        <f t="shared" si="14"/>
        <v>100606200</v>
      </c>
      <c r="Z193" s="11"/>
    </row>
    <row r="194">
      <c r="A194" s="8"/>
      <c r="B194" s="56">
        <f t="shared" si="2"/>
        <v>30</v>
      </c>
      <c r="C194" s="62" t="s">
        <v>5</v>
      </c>
      <c r="D194" s="10"/>
      <c r="E194" s="59">
        <f t="array" ref="E194">IF(COUNTA(C194:C1673)=0,"",SUM((COUNTIF(C$4:C194,Upgrades!$B$3:$B$13)-COUNTIF(C$4:C194,"Sell_"&amp;Upgrades!$B$3:$B$13))*Upgrades!$D$3:$D$13))</f>
        <v>568315.6</v>
      </c>
      <c r="F194" s="66">
        <f>IFERROR(__xludf.DUMMYFUNCTION("IF(COUNTA(C194:C1673)=0,"""",IF(REGEXMATCH(INDEX(FILTER(C$4:C194,C$4:C194&lt;&gt;""""),ROWS(FILTER(C$4:C194,C$4:C194&lt;&gt;""""))),""^Sell_""),INDEX(FILTER(F$4:F193,C$4:C193&lt;&gt;""""),ROWS(FILTER(C$4:C193,C$4:C193&lt;&gt;""""))),$AC$5+E194))"),568330.6)</f>
        <v>568330.6</v>
      </c>
      <c r="G194" s="10">
        <f>IFERROR(__xludf.DUMMYFUNCTION("IF(COUNTA(C194:C1673)=0,"""",IF(C194="""",0,IF(REGEXMATCH(C194,""^Sell_""),-ROUNDDOWN(ROUNDUP(INDEX(Upgrades!$C$3:$C$13,MATCH(SUBSTITUTE(C194,""Sell_"",""""),Upgrades!$B$3:$B$13,0))*1.15^(COUNTIF(C$4:C193,SUBSTITUTE(C194,""Sell_"",""""))-COUNTIF(C$4:C193,"&amp;"""Sell_""&amp;SUBSTITUTE(C194,""Sell_"",""""))))/2),ROUNDUP(INDEX(Upgrades!$C$3:$C$13,MATCH(C194,Upgrades!$B$3:$B$13,0))*1.15^(COUNTIF(C$4:C193,C194)-COUNTIF(C$4:C193,""Sell_""&amp;C194))))))"),28788.0)</f>
        <v>28788</v>
      </c>
      <c r="H194" s="10">
        <f t="shared" si="3"/>
        <v>28788</v>
      </c>
      <c r="I194" s="68">
        <f t="shared" si="4"/>
        <v>7809.313845</v>
      </c>
      <c r="J194" s="59" t="str">
        <f t="shared" si="5"/>
        <v>2h 10m 09s</v>
      </c>
      <c r="K194" s="69">
        <f t="shared" si="6"/>
        <v>983605454</v>
      </c>
      <c r="L194" s="60">
        <f t="shared" si="7"/>
        <v>-144.95198</v>
      </c>
      <c r="M194" s="61">
        <f>IFERROR(__xludf.DUMMYFUNCTION("IFS(AND(COUNTA(C194:C1673)=0,COUNTA(Q194:Q1673)=0),"""",OR(AND(K194&gt;=1000000000,OR(Y194&gt;=1000000000,COUNTA(Q194:Q1673)=0)),OR(Y194&gt;=1000000000,AND(COUNTA(C194:C1673)=0,P$3=TRUE))),
ROUNDDOWN((AB$1-AC$1)*MAX(INDEX(T$4:T1673,MATCH(LARGE(FILTER(Y$4:Y1673,Y$4"&amp;":Y1673&lt;1000000000),1),Y$4:Y1673)),INDEX(F$4:F1673,MATCH(LARGE(FILTER(K$4:K1673,K$4:K1673&lt;1000000000),1),K$4:K1673)))),AND(K194&lt;1000000000,COUNTA(C194:C1673)&gt;0,P$3=FALSE),
ROUNDDOWN(INDEX(Y$4:Y1673,MATCH(LARGE(FILTER(W$4:W1673,W$4:W1673&lt;=I194),1),W$4:W1673"&amp;"))+(I194-LARGE(FILTER(W$4:W1673,W$4:W1673&lt;=I194),1))*INDEX(T$4:T1673,MATCH(LARGE(FILTER(W$4:W1673,W$4:W1673&lt;=I194),1),W$4:W1673))-K194),1,
ROUNDDOWN(Y194-INDEX(K$4:K1673,MATCH(LARGE(FILTER(I$4:I1673,I$4:I1673&lt;=W194),1),I$4:I1673))-(W194-LARGE(FILTER(I$4:I"&amp;"1673,I$4:I1673&lt;=W194),1))*INDEX(F$4:F1673,MATCH(LARGE(FILTER(I$4:I1673,I$4:I1673&lt;=W194),1),I$4:I1673))))"),8.1160777E7)</f>
        <v>81160777</v>
      </c>
      <c r="N194" s="60">
        <f t="shared" si="8"/>
        <v>-144.95198</v>
      </c>
      <c r="O194" s="61" t="str">
        <f t="shared" si="9"/>
        <v>81,2M</v>
      </c>
      <c r="P194" s="56">
        <f t="shared" si="10"/>
        <v>6</v>
      </c>
      <c r="Q194" s="105" t="s">
        <v>64</v>
      </c>
      <c r="R194" s="10"/>
      <c r="S194" s="59">
        <f t="array" ref="S194">IF(COUNTA(Q194:Q1673)=0,"",SUM((COUNTIF(Q$4:Q194,Upgrades!$B$3:$B$13)-COUNTIF(Q$4:Q194,"Sell_"&amp;Upgrades!$B$3:$B$13))*Upgrades!$D$3:$D$13))</f>
        <v>67545</v>
      </c>
      <c r="T194" s="66">
        <f>IFERROR(__xludf.DUMMYFUNCTION("IF(COUNTA(Q194:Q1673)=0,"""",IF(REGEXMATCH(INDEX(FILTER(Q$4:Q194,Q$4:Q194&lt;&gt;""""),ROWS(FILTER(Q$4:Q194,Q$4:Q194&lt;&gt;""""))),""^Sell_""),INDEX(FILTER(T$4:T193,Q$4:Q193&lt;&gt;""""),ROWS(FILTER(Q$4:Q193,Q$4:Q193&lt;&gt;""""))),$AD$5+S194))"),113256.0)</f>
        <v>113256</v>
      </c>
      <c r="U194" s="10">
        <f>IFERROR(__xludf.DUMMYFUNCTION("IF(COUNTA(Q194:Q1673)=0,"""",IF(Q194="""",0,IF(REGEXMATCH(Q194,""^Sell_""),-ROUNDDOWN(ROUNDUP(INDEX(Upgrades!$C$3:$C$13,MATCH(SUBSTITUTE(Q194,""Sell_"",""""),Upgrades!$B$3:$B$13,0))*1.15^(COUNTIF(Q$4:Q193,SUBSTITUTE(Q194,""Sell_"",""""))-COUNTIF(Q$4:Q193,"&amp;"""Sell_""&amp;SUBSTITUTE(Q194,""Sell_"",""""))))/2),ROUNDUP(INDEX(Upgrades!$C$3:$C$13,MATCH(Q194,Upgrades!$B$3:$B$13,0))*1.15^(COUNTIF(Q$4:Q193,Q194)-COUNTIF(Q$4:Q193,""Sell_""&amp;Q194))))))"),-3876991.0)</f>
        <v>-3876991</v>
      </c>
      <c r="V194" s="10">
        <f t="shared" si="11"/>
        <v>-37528427</v>
      </c>
      <c r="W194" s="68">
        <f t="shared" si="12"/>
        <v>4469.908494</v>
      </c>
      <c r="X194" s="59" t="str">
        <f t="shared" si="13"/>
        <v>1h 14m 29s</v>
      </c>
      <c r="Y194" s="69">
        <f t="shared" si="14"/>
        <v>100606200</v>
      </c>
      <c r="Z194" s="11"/>
    </row>
    <row r="195">
      <c r="A195" s="8"/>
      <c r="B195" s="56">
        <f t="shared" si="2"/>
        <v>31</v>
      </c>
      <c r="C195" s="62" t="s">
        <v>5</v>
      </c>
      <c r="D195" s="10"/>
      <c r="E195" s="59">
        <f t="array" ref="E195">IF(COUNTA(C195:C1673)=0,"",SUM((COUNTIF(C$4:C195,Upgrades!$B$3:$B$13)-COUNTIF(C$4:C195,"Sell_"&amp;Upgrades!$B$3:$B$13))*Upgrades!$D$3:$D$13))</f>
        <v>568319.6</v>
      </c>
      <c r="F195" s="66">
        <f>IFERROR(__xludf.DUMMYFUNCTION("IF(COUNTA(C195:C1673)=0,"""",IF(REGEXMATCH(INDEX(FILTER(C$4:C195,C$4:C195&lt;&gt;""""),ROWS(FILTER(C$4:C195,C$4:C195&lt;&gt;""""))),""^Sell_""),INDEX(FILTER(F$4:F194,C$4:C194&lt;&gt;""""),ROWS(FILTER(C$4:C194,C$4:C194&lt;&gt;""""))),$AC$5+E195))"),568334.6)</f>
        <v>568334.6</v>
      </c>
      <c r="G195" s="10">
        <f>IFERROR(__xludf.DUMMYFUNCTION("IF(COUNTA(C195:C1673)=0,"""",IF(C195="""",0,IF(REGEXMATCH(C195,""^Sell_""),-ROUNDDOWN(ROUNDUP(INDEX(Upgrades!$C$3:$C$13,MATCH(SUBSTITUTE(C195,""Sell_"",""""),Upgrades!$B$3:$B$13,0))*1.15^(COUNTIF(C$4:C194,SUBSTITUTE(C195,""Sell_"",""""))-COUNTIF(C$4:C194,"&amp;"""Sell_""&amp;SUBSTITUTE(C195,""Sell_"",""""))))/2),ROUNDUP(INDEX(Upgrades!$C$3:$C$13,MATCH(C195,Upgrades!$B$3:$B$13,0))*1.15^(COUNTIF(C$4:C194,C195)-COUNTIF(C$4:C194,""Sell_""&amp;C195))))))"),33106.0)</f>
        <v>33106</v>
      </c>
      <c r="H195" s="10">
        <f t="shared" si="3"/>
        <v>33106</v>
      </c>
      <c r="I195" s="68">
        <f t="shared" si="4"/>
        <v>7809.372096</v>
      </c>
      <c r="J195" s="59" t="str">
        <f t="shared" si="5"/>
        <v>2h 10m 09s</v>
      </c>
      <c r="K195" s="69">
        <f t="shared" si="6"/>
        <v>983638560</v>
      </c>
      <c r="L195" s="60">
        <f t="shared" si="7"/>
        <v>-144.95026</v>
      </c>
      <c r="M195" s="61">
        <f>IFERROR(__xludf.DUMMYFUNCTION("IFS(AND(COUNTA(C195:C1673)=0,COUNTA(Q195:Q1673)=0),"""",OR(AND(K195&gt;=1000000000,OR(Y195&gt;=1000000000,COUNTA(Q195:Q1673)=0)),OR(Y195&gt;=1000000000,AND(COUNTA(C195:C1673)=0,P$3=TRUE))),
ROUNDDOWN((AB$1-AC$1)*MAX(INDEX(T$4:T1673,MATCH(LARGE(FILTER(Y$4:Y1673,Y$4"&amp;":Y1673&lt;1000000000),1),Y$4:Y1673)),INDEX(F$4:F1673,MATCH(LARGE(FILTER(K$4:K1673,K$4:K1673&lt;1000000000),1),K$4:K1673)))),AND(K195&lt;1000000000,COUNTA(C195:C1673)&gt;0,P$3=FALSE),
ROUNDDOWN(INDEX(Y$4:Y1673,MATCH(LARGE(FILTER(W$4:W1673,W$4:W1673&lt;=I195),1),W$4:W1673"&amp;"))+(I195-LARGE(FILTER(W$4:W1673,W$4:W1673&lt;=I195),1))*INDEX(T$4:T1673,MATCH(LARGE(FILTER(W$4:W1673,W$4:W1673&lt;=I195),1),W$4:W1673))-K195),1,
ROUNDDOWN(Y195-INDEX(K$4:K1673,MATCH(LARGE(FILTER(I$4:I1673,I$4:I1673&lt;=W195),1),I$4:I1673))-(W195-LARGE(FILTER(I$4:I"&amp;"1673,I$4:I1673&lt;=W195),1))*INDEX(F$4:F1673,MATCH(LARGE(FILTER(I$4:I1673,I$4:I1673&lt;=W195),1),I$4:I1673))))"),8.116032E7)</f>
        <v>81160320</v>
      </c>
      <c r="N195" s="60">
        <f t="shared" si="8"/>
        <v>-144.95026</v>
      </c>
      <c r="O195" s="61" t="str">
        <f t="shared" si="9"/>
        <v>81,2M</v>
      </c>
      <c r="P195" s="56">
        <f t="shared" si="10"/>
        <v>1</v>
      </c>
      <c r="Q195" s="105" t="s">
        <v>11</v>
      </c>
      <c r="R195" s="10"/>
      <c r="S195" s="59">
        <f t="array" ref="S195">IF(COUNTA(Q195:Q1673)=0,"",SUM((COUNTIF(Q$4:Q195,Upgrades!$B$3:$B$13)-COUNTIF(Q$4:Q195,"Sell_"&amp;Upgrades!$B$3:$B$13))*Upgrades!$D$3:$D$13))</f>
        <v>166310</v>
      </c>
      <c r="T195" s="66">
        <f>IFERROR(__xludf.DUMMYFUNCTION("IF(COUNTA(Q195:Q1673)=0,"""",IF(REGEXMATCH(INDEX(FILTER(Q$4:Q195,Q$4:Q195&lt;&gt;""""),ROWS(FILTER(Q$4:Q195,Q$4:Q195&lt;&gt;""""))),""^Sell_""),INDEX(FILTER(T$4:T194,Q$4:Q194&lt;&gt;""""),ROWS(FILTER(Q$4:Q194,Q$4:Q194&lt;&gt;""""))),$AD$5+S195))"),166325.0)</f>
        <v>166325</v>
      </c>
      <c r="U195" s="10">
        <f>IFERROR(__xludf.DUMMYFUNCTION("IF(COUNTA(Q195:Q1673)=0,"""",IF(Q195="""",0,IF(REGEXMATCH(Q195,""^Sell_""),-ROUNDDOWN(ROUNDUP(INDEX(Upgrades!$C$3:$C$13,MATCH(SUBSTITUTE(Q195,""Sell_"",""""),Upgrades!$B$3:$B$13,0))*1.15^(COUNTIF(Q$4:Q194,SUBSTITUTE(Q195,""Sell_"",""""))-COUNTIF(Q$4:Q194,"&amp;"""Sell_""&amp;SUBSTITUTE(Q195,""Sell_"",""""))))/2),ROUNDUP(INDEX(Upgrades!$C$3:$C$13,MATCH(Q195,Upgrades!$B$3:$B$13,0))*1.15^(COUNTIF(Q$4:Q194,Q195)-COUNTIF(Q$4:Q194,""Sell_""&amp;Q195))))))"),1.23456789E8)</f>
        <v>123456789</v>
      </c>
      <c r="V195" s="10">
        <f t="shared" si="11"/>
        <v>85928362</v>
      </c>
      <c r="W195" s="68">
        <f t="shared" si="12"/>
        <v>5228.617631</v>
      </c>
      <c r="X195" s="59" t="str">
        <f t="shared" si="13"/>
        <v>1h 27m 08s</v>
      </c>
      <c r="Y195" s="69">
        <f t="shared" si="14"/>
        <v>186534562</v>
      </c>
      <c r="Z195" s="11"/>
    </row>
    <row r="196">
      <c r="A196" s="8"/>
      <c r="B196" s="56">
        <f t="shared" si="2"/>
        <v>32</v>
      </c>
      <c r="C196" s="62" t="s">
        <v>5</v>
      </c>
      <c r="D196" s="10"/>
      <c r="E196" s="59">
        <f t="array" ref="E196">IF(COUNTA(C196:C1673)=0,"",SUM((COUNTIF(C$4:C196,Upgrades!$B$3:$B$13)-COUNTIF(C$4:C196,"Sell_"&amp;Upgrades!$B$3:$B$13))*Upgrades!$D$3:$D$13))</f>
        <v>568323.6</v>
      </c>
      <c r="F196" s="66">
        <f>IFERROR(__xludf.DUMMYFUNCTION("IF(COUNTA(C196:C1673)=0,"""",IF(REGEXMATCH(INDEX(FILTER(C$4:C196,C$4:C196&lt;&gt;""""),ROWS(FILTER(C$4:C196,C$4:C196&lt;&gt;""""))),""^Sell_""),INDEX(FILTER(F$4:F195,C$4:C195&lt;&gt;""""),ROWS(FILTER(C$4:C195,C$4:C195&lt;&gt;""""))),$AC$5+E196))"),568338.6)</f>
        <v>568338.6</v>
      </c>
      <c r="G196" s="10">
        <f>IFERROR(__xludf.DUMMYFUNCTION("IF(COUNTA(C196:C1673)=0,"""",IF(C196="""",0,IF(REGEXMATCH(C196,""^Sell_""),-ROUNDDOWN(ROUNDUP(INDEX(Upgrades!$C$3:$C$13,MATCH(SUBSTITUTE(C196,""Sell_"",""""),Upgrades!$B$3:$B$13,0))*1.15^(COUNTIF(C$4:C195,SUBSTITUTE(C196,""Sell_"",""""))-COUNTIF(C$4:C195,"&amp;"""Sell_""&amp;SUBSTITUTE(C196,""Sell_"",""""))))/2),ROUNDUP(INDEX(Upgrades!$C$3:$C$13,MATCH(C196,Upgrades!$B$3:$B$13,0))*1.15^(COUNTIF(C$4:C195,C196)-COUNTIF(C$4:C195,""Sell_""&amp;C196))))))"),38072.0)</f>
        <v>38072</v>
      </c>
      <c r="H196" s="10">
        <f t="shared" si="3"/>
        <v>38072</v>
      </c>
      <c r="I196" s="68">
        <f t="shared" si="4"/>
        <v>7809.439085</v>
      </c>
      <c r="J196" s="59" t="str">
        <f t="shared" si="5"/>
        <v>2h 10m 09s</v>
      </c>
      <c r="K196" s="69">
        <f t="shared" si="6"/>
        <v>983676632</v>
      </c>
      <c r="L196" s="60">
        <f t="shared" si="7"/>
        <v>-144.94829</v>
      </c>
      <c r="M196" s="61">
        <f>IFERROR(__xludf.DUMMYFUNCTION("IFS(AND(COUNTA(C196:C1673)=0,COUNTA(Q196:Q1673)=0),"""",OR(AND(K196&gt;=1000000000,OR(Y196&gt;=1000000000,COUNTA(Q196:Q1673)=0)),OR(Y196&gt;=1000000000,AND(COUNTA(C196:C1673)=0,P$3=TRUE))),
ROUNDDOWN((AB$1-AC$1)*MAX(INDEX(T$4:T1673,MATCH(LARGE(FILTER(Y$4:Y1673,Y$4"&amp;":Y1673&lt;1000000000),1),Y$4:Y1673)),INDEX(F$4:F1673,MATCH(LARGE(FILTER(K$4:K1673,K$4:K1673&lt;1000000000),1),K$4:K1673)))),AND(K196&lt;1000000000,COUNTA(C196:C1673)&gt;0,P$3=FALSE),
ROUNDDOWN(INDEX(Y$4:Y1673,MATCH(LARGE(FILTER(W$4:W1673,W$4:W1673&lt;=I196),1),W$4:W1673"&amp;"))+(I196-LARGE(FILTER(W$4:W1673,W$4:W1673&lt;=I196),1))*INDEX(T$4:T1673,MATCH(LARGE(FILTER(W$4:W1673,W$4:W1673&lt;=I196),1),W$4:W1673))-K196),1,
ROUNDDOWN(Y196-INDEX(K$4:K1673,MATCH(LARGE(FILTER(I$4:I1673,I$4:I1673&lt;=W196),1),I$4:I1673))-(W196-LARGE(FILTER(I$4:I"&amp;"1673,I$4:I1673&lt;=W196),1))*INDEX(F$4:F1673,MATCH(LARGE(FILTER(I$4:I1673,I$4:I1673&lt;=W196),1),I$4:I1673))))"),8.1159794E7)</f>
        <v>81159794</v>
      </c>
      <c r="N196" s="60">
        <f t="shared" si="8"/>
        <v>-144.94829</v>
      </c>
      <c r="O196" s="61" t="str">
        <f t="shared" si="9"/>
        <v>81,2M</v>
      </c>
      <c r="P196" s="56">
        <f t="shared" si="10"/>
        <v>1</v>
      </c>
      <c r="Q196" s="105" t="s">
        <v>8</v>
      </c>
      <c r="R196" s="10"/>
      <c r="S196" s="59">
        <f t="array" ref="S196">IF(COUNTA(Q196:Q1673)=0,"",SUM((COUNTIF(Q$4:Q196,Upgrades!$B$3:$B$13)-COUNTIF(Q$4:Q196,"Sell_"&amp;Upgrades!$B$3:$B$13))*Upgrades!$D$3:$D$13))</f>
        <v>166410</v>
      </c>
      <c r="T196" s="66">
        <f>IFERROR(__xludf.DUMMYFUNCTION("IF(COUNTA(Q196:Q1673)=0,"""",IF(REGEXMATCH(INDEX(FILTER(Q$4:Q196,Q$4:Q196&lt;&gt;""""),ROWS(FILTER(Q$4:Q196,Q$4:Q196&lt;&gt;""""))),""^Sell_""),INDEX(FILTER(T$4:T195,Q$4:Q195&lt;&gt;""""),ROWS(FILTER(Q$4:Q195,Q$4:Q195&lt;&gt;""""))),$AD$5+S196))"),166425.0)</f>
        <v>166425</v>
      </c>
      <c r="U196" s="10">
        <f>IFERROR(__xludf.DUMMYFUNCTION("IF(COUNTA(Q196:Q1673)=0,"""",IF(Q196="""",0,IF(REGEXMATCH(Q196,""^Sell_""),-ROUNDDOWN(ROUNDUP(INDEX(Upgrades!$C$3:$C$13,MATCH(SUBSTITUTE(Q196,""Sell_"",""""),Upgrades!$B$3:$B$13,0))*1.15^(COUNTIF(Q$4:Q195,SUBSTITUTE(Q196,""Sell_"",""""))-COUNTIF(Q$4:Q195,"&amp;"""Sell_""&amp;SUBSTITUTE(Q196,""Sell_"",""""))))/2),ROUNDUP(INDEX(Upgrades!$C$3:$C$13,MATCH(Q196,Upgrades!$B$3:$B$13,0))*1.15^(COUNTIF(Q$4:Q195,Q196)-COUNTIF(Q$4:Q195,""Sell_""&amp;Q196))))))"),40000.0)</f>
        <v>40000</v>
      </c>
      <c r="V196" s="10">
        <f t="shared" si="11"/>
        <v>40000</v>
      </c>
      <c r="W196" s="68">
        <f t="shared" si="12"/>
        <v>5228.858124</v>
      </c>
      <c r="X196" s="59" t="str">
        <f t="shared" si="13"/>
        <v>1h 27m 08s</v>
      </c>
      <c r="Y196" s="69">
        <f t="shared" si="14"/>
        <v>186574562</v>
      </c>
      <c r="Z196" s="11"/>
    </row>
    <row r="197">
      <c r="A197" s="8"/>
      <c r="B197" s="56">
        <f t="shared" si="2"/>
        <v>20</v>
      </c>
      <c r="C197" s="62" t="s">
        <v>4</v>
      </c>
      <c r="D197" s="10"/>
      <c r="E197" s="59">
        <f t="array" ref="E197">IF(COUNTA(C197:C1673)=0,"",SUM((COUNTIF(C$4:C197,Upgrades!$B$3:$B$13)-COUNTIF(C$4:C197,"Sell_"&amp;Upgrades!$B$3:$B$13))*Upgrades!$D$3:$D$13))</f>
        <v>568324.1</v>
      </c>
      <c r="F197" s="66">
        <f>IFERROR(__xludf.DUMMYFUNCTION("IF(COUNTA(C197:C1673)=0,"""",IF(REGEXMATCH(INDEX(FILTER(C$4:C197,C$4:C197&lt;&gt;""""),ROWS(FILTER(C$4:C197,C$4:C197&lt;&gt;""""))),""^Sell_""),INDEX(FILTER(F$4:F196,C$4:C196&lt;&gt;""""),ROWS(FILTER(C$4:C196,C$4:C196&lt;&gt;""""))),$AC$5+E197))"),568339.1)</f>
        <v>568339.1</v>
      </c>
      <c r="G197" s="10">
        <f>IFERROR(__xludf.DUMMYFUNCTION("IF(COUNTA(C197:C1673)=0,"""",IF(C197="""",0,IF(REGEXMATCH(C197,""^Sell_""),-ROUNDDOWN(ROUNDUP(INDEX(Upgrades!$C$3:$C$13,MATCH(SUBSTITUTE(C197,""Sell_"",""""),Upgrades!$B$3:$B$13,0))*1.15^(COUNTIF(C$4:C196,SUBSTITUTE(C197,""Sell_"",""""))-COUNTIF(C$4:C196,"&amp;"""Sell_""&amp;SUBSTITUTE(C197,""Sell_"",""""))))/2),ROUNDUP(INDEX(Upgrades!$C$3:$C$13,MATCH(C197,Upgrades!$B$3:$B$13,0))*1.15^(COUNTIF(C$4:C196,C197)-COUNTIF(C$4:C196,""Sell_""&amp;C197))))))"),1424.0)</f>
        <v>1424</v>
      </c>
      <c r="H197" s="10">
        <f t="shared" si="3"/>
        <v>1424</v>
      </c>
      <c r="I197" s="68">
        <f t="shared" si="4"/>
        <v>7809.44159</v>
      </c>
      <c r="J197" s="59" t="str">
        <f t="shared" si="5"/>
        <v>2h 10m 09s</v>
      </c>
      <c r="K197" s="69">
        <f t="shared" si="6"/>
        <v>983678056</v>
      </c>
      <c r="L197" s="60">
        <f t="shared" si="7"/>
        <v>-144.94822</v>
      </c>
      <c r="M197" s="61">
        <f>IFERROR(__xludf.DUMMYFUNCTION("IFS(AND(COUNTA(C197:C1673)=0,COUNTA(Q197:Q1673)=0),"""",OR(AND(K197&gt;=1000000000,OR(Y197&gt;=1000000000,COUNTA(Q197:Q1673)=0)),OR(Y197&gt;=1000000000,AND(COUNTA(C197:C1673)=0,P$3=TRUE))),
ROUNDDOWN((AB$1-AC$1)*MAX(INDEX(T$4:T1673,MATCH(LARGE(FILTER(Y$4:Y1673,Y$4"&amp;":Y1673&lt;1000000000),1),Y$4:Y1673)),INDEX(F$4:F1673,MATCH(LARGE(FILTER(K$4:K1673,K$4:K1673&lt;1000000000),1),K$4:K1673)))),AND(K197&lt;1000000000,COUNTA(C197:C1673)&gt;0,P$3=FALSE),
ROUNDDOWN(INDEX(Y$4:Y1673,MATCH(LARGE(FILTER(W$4:W1673,W$4:W1673&lt;=I197),1),W$4:W1673"&amp;"))+(I197-LARGE(FILTER(W$4:W1673,W$4:W1673&lt;=I197),1))*INDEX(T$4:T1673,MATCH(LARGE(FILTER(W$4:W1673,W$4:W1673&lt;=I197),1),W$4:W1673))-K197),1,
ROUNDDOWN(Y197-INDEX(K$4:K1673,MATCH(LARGE(FILTER(I$4:I1673,I$4:I1673&lt;=W197),1),I$4:I1673))-(W197-LARGE(FILTER(I$4:I"&amp;"1673,I$4:I1673&lt;=W197),1))*INDEX(F$4:F1673,MATCH(LARGE(FILTER(I$4:I1673,I$4:I1673&lt;=W197),1),I$4:I1673))))"),8.1159774E7)</f>
        <v>81159774</v>
      </c>
      <c r="N197" s="60">
        <f t="shared" si="8"/>
        <v>-144.94822</v>
      </c>
      <c r="O197" s="61" t="str">
        <f t="shared" si="9"/>
        <v>81,2M</v>
      </c>
      <c r="P197" s="56">
        <f t="shared" si="10"/>
        <v>2</v>
      </c>
      <c r="Q197" s="105" t="s">
        <v>8</v>
      </c>
      <c r="R197" s="10"/>
      <c r="S197" s="59">
        <f t="array" ref="S197">IF(COUNTA(Q197:Q1673)=0,"",SUM((COUNTIF(Q$4:Q197,Upgrades!$B$3:$B$13)-COUNTIF(Q$4:Q197,"Sell_"&amp;Upgrades!$B$3:$B$13))*Upgrades!$D$3:$D$13))</f>
        <v>166510</v>
      </c>
      <c r="T197" s="66">
        <f>IFERROR(__xludf.DUMMYFUNCTION("IF(COUNTA(Q197:Q1673)=0,"""",IF(REGEXMATCH(INDEX(FILTER(Q$4:Q197,Q$4:Q197&lt;&gt;""""),ROWS(FILTER(Q$4:Q197,Q$4:Q197&lt;&gt;""""))),""^Sell_""),INDEX(FILTER(T$4:T196,Q$4:Q196&lt;&gt;""""),ROWS(FILTER(Q$4:Q196,Q$4:Q196&lt;&gt;""""))),$AD$5+S197))"),166525.0)</f>
        <v>166525</v>
      </c>
      <c r="U197" s="10">
        <f>IFERROR(__xludf.DUMMYFUNCTION("IF(COUNTA(Q197:Q1673)=0,"""",IF(Q197="""",0,IF(REGEXMATCH(Q197,""^Sell_""),-ROUNDDOWN(ROUNDUP(INDEX(Upgrades!$C$3:$C$13,MATCH(SUBSTITUTE(Q197,""Sell_"",""""),Upgrades!$B$3:$B$13,0))*1.15^(COUNTIF(Q$4:Q196,SUBSTITUTE(Q197,""Sell_"",""""))-COUNTIF(Q$4:Q196,"&amp;"""Sell_""&amp;SUBSTITUTE(Q197,""Sell_"",""""))))/2),ROUNDUP(INDEX(Upgrades!$C$3:$C$13,MATCH(Q197,Upgrades!$B$3:$B$13,0))*1.15^(COUNTIF(Q$4:Q196,Q197)-COUNTIF(Q$4:Q196,""Sell_""&amp;Q197))))))"),46000.0)</f>
        <v>46000</v>
      </c>
      <c r="V197" s="10">
        <f t="shared" si="11"/>
        <v>46000</v>
      </c>
      <c r="W197" s="68">
        <f t="shared" si="12"/>
        <v>5229.134525</v>
      </c>
      <c r="X197" s="59" t="str">
        <f t="shared" si="13"/>
        <v>1h 27m 09s</v>
      </c>
      <c r="Y197" s="69">
        <f t="shared" si="14"/>
        <v>186620562</v>
      </c>
      <c r="Z197" s="11"/>
    </row>
    <row r="198">
      <c r="A198" s="8"/>
      <c r="B198" s="56">
        <f t="shared" si="2"/>
        <v>21</v>
      </c>
      <c r="C198" s="62" t="s">
        <v>4</v>
      </c>
      <c r="D198" s="10"/>
      <c r="E198" s="59">
        <f t="array" ref="E198">IF(COUNTA(C198:C1673)=0,"",SUM((COUNTIF(C$4:C198,Upgrades!$B$3:$B$13)-COUNTIF(C$4:C198,"Sell_"&amp;Upgrades!$B$3:$B$13))*Upgrades!$D$3:$D$13))</f>
        <v>568324.6</v>
      </c>
      <c r="F198" s="66">
        <f>IFERROR(__xludf.DUMMYFUNCTION("IF(COUNTA(C198:C1673)=0,"""",IF(REGEXMATCH(INDEX(FILTER(C$4:C198,C$4:C198&lt;&gt;""""),ROWS(FILTER(C$4:C198,C$4:C198&lt;&gt;""""))),""^Sell_""),INDEX(FILTER(F$4:F197,C$4:C197&lt;&gt;""""),ROWS(FILTER(C$4:C197,C$4:C197&lt;&gt;""""))),$AC$5+E198))"),568339.6)</f>
        <v>568339.6</v>
      </c>
      <c r="G198" s="10">
        <f>IFERROR(__xludf.DUMMYFUNCTION("IF(COUNTA(C198:C1673)=0,"""",IF(C198="""",0,IF(REGEXMATCH(C198,""^Sell_""),-ROUNDDOWN(ROUNDUP(INDEX(Upgrades!$C$3:$C$13,MATCH(SUBSTITUTE(C198,""Sell_"",""""),Upgrades!$B$3:$B$13,0))*1.15^(COUNTIF(C$4:C197,SUBSTITUTE(C198,""Sell_"",""""))-COUNTIF(C$4:C197,"&amp;"""Sell_""&amp;SUBSTITUTE(C198,""Sell_"",""""))))/2),ROUNDUP(INDEX(Upgrades!$C$3:$C$13,MATCH(C198,Upgrades!$B$3:$B$13,0))*1.15^(COUNTIF(C$4:C197,C198)-COUNTIF(C$4:C197,""Sell_""&amp;C198))))))"),1637.0)</f>
        <v>1637</v>
      </c>
      <c r="H198" s="10">
        <f t="shared" si="3"/>
        <v>1637</v>
      </c>
      <c r="I198" s="68">
        <f t="shared" si="4"/>
        <v>7809.444471</v>
      </c>
      <c r="J198" s="59" t="str">
        <f t="shared" si="5"/>
        <v>2h 10m 09s</v>
      </c>
      <c r="K198" s="69">
        <f t="shared" si="6"/>
        <v>983679693</v>
      </c>
      <c r="L198" s="60">
        <f t="shared" si="7"/>
        <v>-144.94813</v>
      </c>
      <c r="M198" s="61">
        <f>IFERROR(__xludf.DUMMYFUNCTION("IFS(AND(COUNTA(C198:C1673)=0,COUNTA(Q198:Q1673)=0),"""",OR(AND(K198&gt;=1000000000,OR(Y198&gt;=1000000000,COUNTA(Q198:Q1673)=0)),OR(Y198&gt;=1000000000,AND(COUNTA(C198:C1673)=0,P$3=TRUE))),
ROUNDDOWN((AB$1-AC$1)*MAX(INDEX(T$4:T1673,MATCH(LARGE(FILTER(Y$4:Y1673,Y$4"&amp;":Y1673&lt;1000000000),1),Y$4:Y1673)),INDEX(F$4:F1673,MATCH(LARGE(FILTER(K$4:K1673,K$4:K1673&lt;1000000000),1),K$4:K1673)))),AND(K198&lt;1000000000,COUNTA(C198:C1673)&gt;0,P$3=FALSE),
ROUNDDOWN(INDEX(Y$4:Y1673,MATCH(LARGE(FILTER(W$4:W1673,W$4:W1673&lt;=I198),1),W$4:W1673"&amp;"))+(I198-LARGE(FILTER(W$4:W1673,W$4:W1673&lt;=I198),1))*INDEX(T$4:T1673,MATCH(LARGE(FILTER(W$4:W1673,W$4:W1673&lt;=I198),1),W$4:W1673))-K198),1,
ROUNDDOWN(Y198-INDEX(K$4:K1673,MATCH(LARGE(FILTER(I$4:I1673,I$4:I1673&lt;=W198),1),I$4:I1673))-(W198-LARGE(FILTER(I$4:I"&amp;"1673,I$4:I1673&lt;=W198),1))*INDEX(F$4:F1673,MATCH(LARGE(FILTER(I$4:I1673,I$4:I1673&lt;=W198),1),I$4:I1673))))"),8.1159751E7)</f>
        <v>81159751</v>
      </c>
      <c r="N198" s="60">
        <f t="shared" si="8"/>
        <v>-144.94813</v>
      </c>
      <c r="O198" s="61" t="str">
        <f t="shared" si="9"/>
        <v>81,2M</v>
      </c>
      <c r="P198" s="56">
        <f t="shared" si="10"/>
        <v>1</v>
      </c>
      <c r="Q198" s="105" t="s">
        <v>9</v>
      </c>
      <c r="R198" s="10"/>
      <c r="S198" s="59">
        <f t="array" ref="S198">IF(COUNTA(Q198:Q1673)=0,"",SUM((COUNTIF(Q$4:Q198,Upgrades!$B$3:$B$13)-COUNTIF(Q$4:Q198,"Sell_"&amp;Upgrades!$B$3:$B$13))*Upgrades!$D$3:$D$13))</f>
        <v>166910</v>
      </c>
      <c r="T198" s="66">
        <f>IFERROR(__xludf.DUMMYFUNCTION("IF(COUNTA(Q198:Q1673)=0,"""",IF(REGEXMATCH(INDEX(FILTER(Q$4:Q198,Q$4:Q198&lt;&gt;""""),ROWS(FILTER(Q$4:Q198,Q$4:Q198&lt;&gt;""""))),""^Sell_""),INDEX(FILTER(T$4:T197,Q$4:Q197&lt;&gt;""""),ROWS(FILTER(Q$4:Q197,Q$4:Q197&lt;&gt;""""))),$AD$5+S198))"),166925.0)</f>
        <v>166925</v>
      </c>
      <c r="U198" s="10">
        <f>IFERROR(__xludf.DUMMYFUNCTION("IF(COUNTA(Q198:Q1673)=0,"""",IF(Q198="""",0,IF(REGEXMATCH(Q198,""^Sell_""),-ROUNDDOWN(ROUNDUP(INDEX(Upgrades!$C$3:$C$13,MATCH(SUBSTITUTE(Q198,""Sell_"",""""),Upgrades!$B$3:$B$13,0))*1.15^(COUNTIF(Q$4:Q197,SUBSTITUTE(Q198,""Sell_"",""""))-COUNTIF(Q$4:Q197,"&amp;"""Sell_""&amp;SUBSTITUTE(Q198,""Sell_"",""""))))/2),ROUNDUP(INDEX(Upgrades!$C$3:$C$13,MATCH(Q198,Upgrades!$B$3:$B$13,0))*1.15^(COUNTIF(Q$4:Q197,Q198)-COUNTIF(Q$4:Q197,""Sell_""&amp;Q198))))))"),200000.0)</f>
        <v>200000</v>
      </c>
      <c r="V198" s="10">
        <f t="shared" si="11"/>
        <v>200000</v>
      </c>
      <c r="W198" s="68">
        <f t="shared" si="12"/>
        <v>5230.335546</v>
      </c>
      <c r="X198" s="59" t="str">
        <f t="shared" si="13"/>
        <v>1h 27m 10s</v>
      </c>
      <c r="Y198" s="69">
        <f t="shared" si="14"/>
        <v>186820562</v>
      </c>
      <c r="Z198" s="11"/>
    </row>
    <row r="199">
      <c r="A199" s="8"/>
      <c r="B199" s="56">
        <f t="shared" si="2"/>
        <v>22</v>
      </c>
      <c r="C199" s="62" t="s">
        <v>4</v>
      </c>
      <c r="D199" s="10"/>
      <c r="E199" s="59">
        <f t="array" ref="E199">IF(COUNTA(C199:C1673)=0,"",SUM((COUNTIF(C$4:C199,Upgrades!$B$3:$B$13)-COUNTIF(C$4:C199,"Sell_"&amp;Upgrades!$B$3:$B$13))*Upgrades!$D$3:$D$13))</f>
        <v>568325.1</v>
      </c>
      <c r="F199" s="66">
        <f>IFERROR(__xludf.DUMMYFUNCTION("IF(COUNTA(C199:C1673)=0,"""",IF(REGEXMATCH(INDEX(FILTER(C$4:C199,C$4:C199&lt;&gt;""""),ROWS(FILTER(C$4:C199,C$4:C199&lt;&gt;""""))),""^Sell_""),INDEX(FILTER(F$4:F198,C$4:C198&lt;&gt;""""),ROWS(FILTER(C$4:C198,C$4:C198&lt;&gt;""""))),$AC$5+E199))"),568340.1)</f>
        <v>568340.1</v>
      </c>
      <c r="G199" s="10">
        <f>IFERROR(__xludf.DUMMYFUNCTION("IF(COUNTA(C199:C1673)=0,"""",IF(C199="""",0,IF(REGEXMATCH(C199,""^Sell_""),-ROUNDDOWN(ROUNDUP(INDEX(Upgrades!$C$3:$C$13,MATCH(SUBSTITUTE(C199,""Sell_"",""""),Upgrades!$B$3:$B$13,0))*1.15^(COUNTIF(C$4:C198,SUBSTITUTE(C199,""Sell_"",""""))-COUNTIF(C$4:C198,"&amp;"""Sell_""&amp;SUBSTITUTE(C199,""Sell_"",""""))))/2),ROUNDUP(INDEX(Upgrades!$C$3:$C$13,MATCH(C199,Upgrades!$B$3:$B$13,0))*1.15^(COUNTIF(C$4:C198,C199)-COUNTIF(C$4:C198,""Sell_""&amp;C199))))))"),1883.0)</f>
        <v>1883</v>
      </c>
      <c r="H199" s="10">
        <f t="shared" si="3"/>
        <v>1883</v>
      </c>
      <c r="I199" s="68">
        <f t="shared" si="4"/>
        <v>7809.447784</v>
      </c>
      <c r="J199" s="59" t="str">
        <f t="shared" si="5"/>
        <v>2h 10m 09s</v>
      </c>
      <c r="K199" s="69">
        <f t="shared" si="6"/>
        <v>983681576</v>
      </c>
      <c r="L199" s="60">
        <f t="shared" si="7"/>
        <v>-144.94803</v>
      </c>
      <c r="M199" s="61">
        <f>IFERROR(__xludf.DUMMYFUNCTION("IFS(AND(COUNTA(C199:C1673)=0,COUNTA(Q199:Q1673)=0),"""",OR(AND(K199&gt;=1000000000,OR(Y199&gt;=1000000000,COUNTA(Q199:Q1673)=0)),OR(Y199&gt;=1000000000,AND(COUNTA(C199:C1673)=0,P$3=TRUE))),
ROUNDDOWN((AB$1-AC$1)*MAX(INDEX(T$4:T1673,MATCH(LARGE(FILTER(Y$4:Y1673,Y$4"&amp;":Y1673&lt;1000000000),1),Y$4:Y1673)),INDEX(F$4:F1673,MATCH(LARGE(FILTER(K$4:K1673,K$4:K1673&lt;1000000000),1),K$4:K1673)))),AND(K199&lt;1000000000,COUNTA(C199:C1673)&gt;0,P$3=FALSE),
ROUNDDOWN(INDEX(Y$4:Y1673,MATCH(LARGE(FILTER(W$4:W1673,W$4:W1673&lt;=I199),1),W$4:W1673"&amp;"))+(I199-LARGE(FILTER(W$4:W1673,W$4:W1673&lt;=I199),1))*INDEX(T$4:T1673,MATCH(LARGE(FILTER(W$4:W1673,W$4:W1673&lt;=I199),1),W$4:W1673))-K199),1,
ROUNDDOWN(Y199-INDEX(K$4:K1673,MATCH(LARGE(FILTER(I$4:I1673,I$4:I1673&lt;=W199),1),I$4:I1673))-(W199-LARGE(FILTER(I$4:I"&amp;"1673,I$4:I1673&lt;=W199),1))*INDEX(F$4:F1673,MATCH(LARGE(FILTER(I$4:I1673,I$4:I1673&lt;=W199),1),I$4:I1673))))"),8.1159725E7)</f>
        <v>81159725</v>
      </c>
      <c r="N199" s="60">
        <f t="shared" si="8"/>
        <v>-144.94803</v>
      </c>
      <c r="O199" s="61" t="str">
        <f t="shared" si="9"/>
        <v>81,2M</v>
      </c>
      <c r="P199" s="56">
        <f t="shared" si="10"/>
        <v>3</v>
      </c>
      <c r="Q199" s="105" t="s">
        <v>8</v>
      </c>
      <c r="R199" s="10"/>
      <c r="S199" s="59">
        <f t="array" ref="S199">IF(COUNTA(Q199:Q1673)=0,"",SUM((COUNTIF(Q$4:Q199,Upgrades!$B$3:$B$13)-COUNTIF(Q$4:Q199,"Sell_"&amp;Upgrades!$B$3:$B$13))*Upgrades!$D$3:$D$13))</f>
        <v>167010</v>
      </c>
      <c r="T199" s="66">
        <f>IFERROR(__xludf.DUMMYFUNCTION("IF(COUNTA(Q199:Q1673)=0,"""",IF(REGEXMATCH(INDEX(FILTER(Q$4:Q199,Q$4:Q199&lt;&gt;""""),ROWS(FILTER(Q$4:Q199,Q$4:Q199&lt;&gt;""""))),""^Sell_""),INDEX(FILTER(T$4:T198,Q$4:Q198&lt;&gt;""""),ROWS(FILTER(Q$4:Q198,Q$4:Q198&lt;&gt;""""))),$AD$5+S199))"),167025.0)</f>
        <v>167025</v>
      </c>
      <c r="U199" s="10">
        <f>IFERROR(__xludf.DUMMYFUNCTION("IF(COUNTA(Q199:Q1673)=0,"""",IF(Q199="""",0,IF(REGEXMATCH(Q199,""^Sell_""),-ROUNDDOWN(ROUNDUP(INDEX(Upgrades!$C$3:$C$13,MATCH(SUBSTITUTE(Q199,""Sell_"",""""),Upgrades!$B$3:$B$13,0))*1.15^(COUNTIF(Q$4:Q198,SUBSTITUTE(Q199,""Sell_"",""""))-COUNTIF(Q$4:Q198,"&amp;"""Sell_""&amp;SUBSTITUTE(Q199,""Sell_"",""""))))/2),ROUNDUP(INDEX(Upgrades!$C$3:$C$13,MATCH(Q199,Upgrades!$B$3:$B$13,0))*1.15^(COUNTIF(Q$4:Q198,Q199)-COUNTIF(Q$4:Q198,""Sell_""&amp;Q199))))))"),52900.0)</f>
        <v>52900</v>
      </c>
      <c r="V199" s="10">
        <f t="shared" si="11"/>
        <v>52900</v>
      </c>
      <c r="W199" s="68">
        <f t="shared" si="12"/>
        <v>5230.652455</v>
      </c>
      <c r="X199" s="59" t="str">
        <f t="shared" si="13"/>
        <v>1h 27m 10s</v>
      </c>
      <c r="Y199" s="69">
        <f t="shared" si="14"/>
        <v>186873462</v>
      </c>
      <c r="Z199" s="11"/>
    </row>
    <row r="200">
      <c r="A200" s="8"/>
      <c r="B200" s="56">
        <f t="shared" si="2"/>
        <v>23</v>
      </c>
      <c r="C200" s="62" t="s">
        <v>4</v>
      </c>
      <c r="D200" s="10"/>
      <c r="E200" s="59">
        <f t="array" ref="E200">IF(COUNTA(C200:C1673)=0,"",SUM((COUNTIF(C$4:C200,Upgrades!$B$3:$B$13)-COUNTIF(C$4:C200,"Sell_"&amp;Upgrades!$B$3:$B$13))*Upgrades!$D$3:$D$13))</f>
        <v>568325.6</v>
      </c>
      <c r="F200" s="66">
        <f>IFERROR(__xludf.DUMMYFUNCTION("IF(COUNTA(C200:C1673)=0,"""",IF(REGEXMATCH(INDEX(FILTER(C$4:C200,C$4:C200&lt;&gt;""""),ROWS(FILTER(C$4:C200,C$4:C200&lt;&gt;""""))),""^Sell_""),INDEX(FILTER(F$4:F199,C$4:C199&lt;&gt;""""),ROWS(FILTER(C$4:C199,C$4:C199&lt;&gt;""""))),$AC$5+E200))"),568340.6)</f>
        <v>568340.6</v>
      </c>
      <c r="G200" s="10">
        <f>IFERROR(__xludf.DUMMYFUNCTION("IF(COUNTA(C200:C1673)=0,"""",IF(C200="""",0,IF(REGEXMATCH(C200,""^Sell_""),-ROUNDDOWN(ROUNDUP(INDEX(Upgrades!$C$3:$C$13,MATCH(SUBSTITUTE(C200,""Sell_"",""""),Upgrades!$B$3:$B$13,0))*1.15^(COUNTIF(C$4:C199,SUBSTITUTE(C200,""Sell_"",""""))-COUNTIF(C$4:C199,"&amp;"""Sell_""&amp;SUBSTITUTE(C200,""Sell_"",""""))))/2),ROUNDUP(INDEX(Upgrades!$C$3:$C$13,MATCH(C200,Upgrades!$B$3:$B$13,0))*1.15^(COUNTIF(C$4:C199,C200)-COUNTIF(C$4:C199,""Sell_""&amp;C200))))))"),2165.0)</f>
        <v>2165</v>
      </c>
      <c r="H200" s="10">
        <f t="shared" si="3"/>
        <v>2165</v>
      </c>
      <c r="I200" s="68">
        <f t="shared" si="4"/>
        <v>7809.451593</v>
      </c>
      <c r="J200" s="59" t="str">
        <f t="shared" si="5"/>
        <v>2h 10m 09s</v>
      </c>
      <c r="K200" s="69">
        <f t="shared" si="6"/>
        <v>983683741</v>
      </c>
      <c r="L200" s="60">
        <f t="shared" si="7"/>
        <v>-144.94792</v>
      </c>
      <c r="M200" s="61">
        <f>IFERROR(__xludf.DUMMYFUNCTION("IFS(AND(COUNTA(C200:C1673)=0,COUNTA(Q200:Q1673)=0),"""",OR(AND(K200&gt;=1000000000,OR(Y200&gt;=1000000000,COUNTA(Q200:Q1673)=0)),OR(Y200&gt;=1000000000,AND(COUNTA(C200:C1673)=0,P$3=TRUE))),
ROUNDDOWN((AB$1-AC$1)*MAX(INDEX(T$4:T1673,MATCH(LARGE(FILTER(Y$4:Y1673,Y$4"&amp;":Y1673&lt;1000000000),1),Y$4:Y1673)),INDEX(F$4:F1673,MATCH(LARGE(FILTER(K$4:K1673,K$4:K1673&lt;1000000000),1),K$4:K1673)))),AND(K200&lt;1000000000,COUNTA(C200:C1673)&gt;0,P$3=FALSE),
ROUNDDOWN(INDEX(Y$4:Y1673,MATCH(LARGE(FILTER(W$4:W1673,W$4:W1673&lt;=I200),1),W$4:W1673"&amp;"))+(I200-LARGE(FILTER(W$4:W1673,W$4:W1673&lt;=I200),1))*INDEX(T$4:T1673,MATCH(LARGE(FILTER(W$4:W1673,W$4:W1673&lt;=I200),1),W$4:W1673))-K200),1,
ROUNDDOWN(Y200-INDEX(K$4:K1673,MATCH(LARGE(FILTER(I$4:I1673,I$4:I1673&lt;=W200),1),I$4:I1673))-(W200-LARGE(FILTER(I$4:I"&amp;"1673,I$4:I1673&lt;=W200),1))*INDEX(F$4:F1673,MATCH(LARGE(FILTER(I$4:I1673,I$4:I1673&lt;=W200),1),I$4:I1673))))"),8.1159695E7)</f>
        <v>81159695</v>
      </c>
      <c r="N200" s="60">
        <f t="shared" si="8"/>
        <v>-144.94792</v>
      </c>
      <c r="O200" s="61" t="str">
        <f t="shared" si="9"/>
        <v>81,2M</v>
      </c>
      <c r="P200" s="56">
        <f t="shared" si="10"/>
        <v>2</v>
      </c>
      <c r="Q200" s="105" t="s">
        <v>9</v>
      </c>
      <c r="R200" s="10"/>
      <c r="S200" s="59">
        <f t="array" ref="S200">IF(COUNTA(Q200:Q1673)=0,"",SUM((COUNTIF(Q$4:Q200,Upgrades!$B$3:$B$13)-COUNTIF(Q$4:Q200,"Sell_"&amp;Upgrades!$B$3:$B$13))*Upgrades!$D$3:$D$13))</f>
        <v>167410</v>
      </c>
      <c r="T200" s="66">
        <f>IFERROR(__xludf.DUMMYFUNCTION("IF(COUNTA(Q200:Q1673)=0,"""",IF(REGEXMATCH(INDEX(FILTER(Q$4:Q200,Q$4:Q200&lt;&gt;""""),ROWS(FILTER(Q$4:Q200,Q$4:Q200&lt;&gt;""""))),""^Sell_""),INDEX(FILTER(T$4:T199,Q$4:Q199&lt;&gt;""""),ROWS(FILTER(Q$4:Q199,Q$4:Q199&lt;&gt;""""))),$AD$5+S200))"),167425.0)</f>
        <v>167425</v>
      </c>
      <c r="U200" s="10">
        <f>IFERROR(__xludf.DUMMYFUNCTION("IF(COUNTA(Q200:Q1673)=0,"""",IF(Q200="""",0,IF(REGEXMATCH(Q200,""^Sell_""),-ROUNDDOWN(ROUNDUP(INDEX(Upgrades!$C$3:$C$13,MATCH(SUBSTITUTE(Q200,""Sell_"",""""),Upgrades!$B$3:$B$13,0))*1.15^(COUNTIF(Q$4:Q199,SUBSTITUTE(Q200,""Sell_"",""""))-COUNTIF(Q$4:Q199,"&amp;"""Sell_""&amp;SUBSTITUTE(Q200,""Sell_"",""""))))/2),ROUNDUP(INDEX(Upgrades!$C$3:$C$13,MATCH(Q200,Upgrades!$B$3:$B$13,0))*1.15^(COUNTIF(Q$4:Q199,Q200)-COUNTIF(Q$4:Q199,""Sell_""&amp;Q200))))))"),230000.0)</f>
        <v>230000</v>
      </c>
      <c r="V200" s="10">
        <f t="shared" si="11"/>
        <v>230000</v>
      </c>
      <c r="W200" s="68">
        <f t="shared" si="12"/>
        <v>5232.029494</v>
      </c>
      <c r="X200" s="59" t="str">
        <f t="shared" si="13"/>
        <v>1h 27m 12s</v>
      </c>
      <c r="Y200" s="69">
        <f t="shared" si="14"/>
        <v>187103462</v>
      </c>
      <c r="Z200" s="11"/>
    </row>
    <row r="201">
      <c r="A201" s="8"/>
      <c r="B201" s="56">
        <f t="shared" si="2"/>
        <v>15</v>
      </c>
      <c r="C201" s="62" t="s">
        <v>8</v>
      </c>
      <c r="D201" s="10"/>
      <c r="E201" s="59">
        <f t="array" ref="E201">IF(COUNTA(C201:C1673)=0,"",SUM((COUNTIF(C$4:C201,Upgrades!$B$3:$B$13)-COUNTIF(C$4:C201,"Sell_"&amp;Upgrades!$B$3:$B$13))*Upgrades!$D$3:$D$13))</f>
        <v>568425.6</v>
      </c>
      <c r="F201" s="66">
        <f>IFERROR(__xludf.DUMMYFUNCTION("IF(COUNTA(C201:C1673)=0,"""",IF(REGEXMATCH(INDEX(FILTER(C$4:C201,C$4:C201&lt;&gt;""""),ROWS(FILTER(C$4:C201,C$4:C201&lt;&gt;""""))),""^Sell_""),INDEX(FILTER(F$4:F200,C$4:C200&lt;&gt;""""),ROWS(FILTER(C$4:C200,C$4:C200&lt;&gt;""""))),$AC$5+E201))"),568440.6)</f>
        <v>568440.6</v>
      </c>
      <c r="G201" s="10">
        <f>IFERROR(__xludf.DUMMYFUNCTION("IF(COUNTA(C201:C1673)=0,"""",IF(C201="""",0,IF(REGEXMATCH(C201,""^Sell_""),-ROUNDDOWN(ROUNDUP(INDEX(Upgrades!$C$3:$C$13,MATCH(SUBSTITUTE(C201,""Sell_"",""""),Upgrades!$B$3:$B$13,0))*1.15^(COUNTIF(C$4:C200,SUBSTITUTE(C201,""Sell_"",""""))-COUNTIF(C$4:C200,"&amp;"""Sell_""&amp;SUBSTITUTE(C201,""Sell_"",""""))))/2),ROUNDUP(INDEX(Upgrades!$C$3:$C$13,MATCH(C201,Upgrades!$B$3:$B$13,0))*1.15^(COUNTIF(C$4:C200,C201)-COUNTIF(C$4:C200,""Sell_""&amp;C201))))))"),283029.0)</f>
        <v>283029</v>
      </c>
      <c r="H201" s="10">
        <f t="shared" si="3"/>
        <v>283029</v>
      </c>
      <c r="I201" s="68">
        <f t="shared" si="4"/>
        <v>7809.949585</v>
      </c>
      <c r="J201" s="59" t="str">
        <f t="shared" si="5"/>
        <v>2h 10m 09s</v>
      </c>
      <c r="K201" s="69">
        <f t="shared" si="6"/>
        <v>983966770</v>
      </c>
      <c r="L201" s="60">
        <f t="shared" si="7"/>
        <v>-144.93325</v>
      </c>
      <c r="M201" s="61">
        <f>IFERROR(__xludf.DUMMYFUNCTION("IFS(AND(COUNTA(C201:C1673)=0,COUNTA(Q201:Q1673)=0),"""",OR(AND(K201&gt;=1000000000,OR(Y201&gt;=1000000000,COUNTA(Q201:Q1673)=0)),OR(Y201&gt;=1000000000,AND(COUNTA(C201:C1673)=0,P$3=TRUE))),
ROUNDDOWN((AB$1-AC$1)*MAX(INDEX(T$4:T1673,MATCH(LARGE(FILTER(Y$4:Y1673,Y$4"&amp;":Y1673&lt;1000000000),1),Y$4:Y1673)),INDEX(F$4:F1673,MATCH(LARGE(FILTER(K$4:K1673,K$4:K1673&lt;1000000000),1),K$4:K1673)))),AND(K201&lt;1000000000,COUNTA(C201:C1673)&gt;0,P$3=FALSE),
ROUNDDOWN(INDEX(Y$4:Y1673,MATCH(LARGE(FILTER(W$4:W1673,W$4:W1673&lt;=I201),1),W$4:W1673"&amp;"))+(I201-LARGE(FILTER(W$4:W1673,W$4:W1673&lt;=I201),1))*INDEX(T$4:T1673,MATCH(LARGE(FILTER(W$4:W1673,W$4:W1673&lt;=I201),1),W$4:W1673))-K201),1,
ROUNDDOWN(Y201-INDEX(K$4:K1673,MATCH(LARGE(FILTER(I$4:I1673,I$4:I1673&lt;=W201),1),I$4:I1673))-(W201-LARGE(FILTER(I$4:I"&amp;"1673,I$4:I1673&lt;=W201),1))*INDEX(F$4:F1673,MATCH(LARGE(FILTER(I$4:I1673,I$4:I1673&lt;=W201),1),I$4:I1673))))"),8.1155781E7)</f>
        <v>81155781</v>
      </c>
      <c r="N201" s="60">
        <f t="shared" si="8"/>
        <v>-144.93325</v>
      </c>
      <c r="O201" s="61" t="str">
        <f t="shared" si="9"/>
        <v>81,2M</v>
      </c>
      <c r="P201" s="56">
        <f t="shared" si="10"/>
        <v>4</v>
      </c>
      <c r="Q201" s="105" t="s">
        <v>8</v>
      </c>
      <c r="R201" s="10"/>
      <c r="S201" s="59">
        <f t="array" ref="S201">IF(COUNTA(Q201:Q1673)=0,"",SUM((COUNTIF(Q$4:Q201,Upgrades!$B$3:$B$13)-COUNTIF(Q$4:Q201,"Sell_"&amp;Upgrades!$B$3:$B$13))*Upgrades!$D$3:$D$13))</f>
        <v>167510</v>
      </c>
      <c r="T201" s="66">
        <f>IFERROR(__xludf.DUMMYFUNCTION("IF(COUNTA(Q201:Q1673)=0,"""",IF(REGEXMATCH(INDEX(FILTER(Q$4:Q201,Q$4:Q201&lt;&gt;""""),ROWS(FILTER(Q$4:Q201,Q$4:Q201&lt;&gt;""""))),""^Sell_""),INDEX(FILTER(T$4:T200,Q$4:Q200&lt;&gt;""""),ROWS(FILTER(Q$4:Q200,Q$4:Q200&lt;&gt;""""))),$AD$5+S201))"),167525.0)</f>
        <v>167525</v>
      </c>
      <c r="U201" s="10">
        <f>IFERROR(__xludf.DUMMYFUNCTION("IF(COUNTA(Q201:Q1673)=0,"""",IF(Q201="""",0,IF(REGEXMATCH(Q201,""^Sell_""),-ROUNDDOWN(ROUNDUP(INDEX(Upgrades!$C$3:$C$13,MATCH(SUBSTITUTE(Q201,""Sell_"",""""),Upgrades!$B$3:$B$13,0))*1.15^(COUNTIF(Q$4:Q200,SUBSTITUTE(Q201,""Sell_"",""""))-COUNTIF(Q$4:Q200,"&amp;"""Sell_""&amp;SUBSTITUTE(Q201,""Sell_"",""""))))/2),ROUNDUP(INDEX(Upgrades!$C$3:$C$13,MATCH(Q201,Upgrades!$B$3:$B$13,0))*1.15^(COUNTIF(Q$4:Q200,Q201)-COUNTIF(Q$4:Q200,""Sell_""&amp;Q201))))))"),60835.0)</f>
        <v>60835</v>
      </c>
      <c r="V201" s="10">
        <f t="shared" si="11"/>
        <v>60835</v>
      </c>
      <c r="W201" s="68">
        <f t="shared" si="12"/>
        <v>5232.392851</v>
      </c>
      <c r="X201" s="59" t="str">
        <f t="shared" si="13"/>
        <v>1h 27m 12s</v>
      </c>
      <c r="Y201" s="69">
        <f t="shared" si="14"/>
        <v>187164297</v>
      </c>
      <c r="Z201" s="11"/>
    </row>
    <row r="202">
      <c r="A202" s="8"/>
      <c r="B202" s="56">
        <f t="shared" si="2"/>
        <v>16</v>
      </c>
      <c r="C202" s="62" t="s">
        <v>8</v>
      </c>
      <c r="D202" s="10"/>
      <c r="E202" s="59">
        <f t="array" ref="E202">IF(COUNTA(C202:C1673)=0,"",SUM((COUNTIF(C$4:C202,Upgrades!$B$3:$B$13)-COUNTIF(C$4:C202,"Sell_"&amp;Upgrades!$B$3:$B$13))*Upgrades!$D$3:$D$13))</f>
        <v>568525.6</v>
      </c>
      <c r="F202" s="66">
        <f>IFERROR(__xludf.DUMMYFUNCTION("IF(COUNTA(C202:C1673)=0,"""",IF(REGEXMATCH(INDEX(FILTER(C$4:C202,C$4:C202&lt;&gt;""""),ROWS(FILTER(C$4:C202,C$4:C202&lt;&gt;""""))),""^Sell_""),INDEX(FILTER(F$4:F201,C$4:C201&lt;&gt;""""),ROWS(FILTER(C$4:C201,C$4:C201&lt;&gt;""""))),$AC$5+E202))"),568540.6)</f>
        <v>568540.6</v>
      </c>
      <c r="G202" s="10">
        <f>IFERROR(__xludf.DUMMYFUNCTION("IF(COUNTA(C202:C1673)=0,"""",IF(C202="""",0,IF(REGEXMATCH(C202,""^Sell_""),-ROUNDDOWN(ROUNDUP(INDEX(Upgrades!$C$3:$C$13,MATCH(SUBSTITUTE(C202,""Sell_"",""""),Upgrades!$B$3:$B$13,0))*1.15^(COUNTIF(C$4:C201,SUBSTITUTE(C202,""Sell_"",""""))-COUNTIF(C$4:C201,"&amp;"""Sell_""&amp;SUBSTITUTE(C202,""Sell_"",""""))))/2),ROUNDUP(INDEX(Upgrades!$C$3:$C$13,MATCH(C202,Upgrades!$B$3:$B$13,0))*1.15^(COUNTIF(C$4:C201,C202)-COUNTIF(C$4:C201,""Sell_""&amp;C202))))))"),325483.0)</f>
        <v>325483</v>
      </c>
      <c r="H202" s="10">
        <f t="shared" si="3"/>
        <v>325483</v>
      </c>
      <c r="I202" s="68">
        <f t="shared" si="4"/>
        <v>7810.522174</v>
      </c>
      <c r="J202" s="59" t="str">
        <f t="shared" si="5"/>
        <v>2h 10m 10s</v>
      </c>
      <c r="K202" s="69">
        <f t="shared" si="6"/>
        <v>984292253</v>
      </c>
      <c r="L202" s="60">
        <f t="shared" si="7"/>
        <v>-144.91628</v>
      </c>
      <c r="M202" s="61">
        <f>IFERROR(__xludf.DUMMYFUNCTION("IFS(AND(COUNTA(C202:C1673)=0,COUNTA(Q202:Q1673)=0),"""",OR(AND(K202&gt;=1000000000,OR(Y202&gt;=1000000000,COUNTA(Q202:Q1673)=0)),OR(Y202&gt;=1000000000,AND(COUNTA(C202:C1673)=0,P$3=TRUE))),
ROUNDDOWN((AB$1-AC$1)*MAX(INDEX(T$4:T1673,MATCH(LARGE(FILTER(Y$4:Y1673,Y$4"&amp;":Y1673&lt;1000000000),1),Y$4:Y1673)),INDEX(F$4:F1673,MATCH(LARGE(FILTER(K$4:K1673,K$4:K1673&lt;1000000000),1),K$4:K1673)))),AND(K202&lt;1000000000,COUNTA(C202:C1673)&gt;0,P$3=FALSE),
ROUNDDOWN(INDEX(Y$4:Y1673,MATCH(LARGE(FILTER(W$4:W1673,W$4:W1673&lt;=I202),1),W$4:W1673"&amp;"))+(I202-LARGE(FILTER(W$4:W1673,W$4:W1673&lt;=I202),1))*INDEX(T$4:T1673,MATCH(LARGE(FILTER(W$4:W1673,W$4:W1673&lt;=I202),1),W$4:W1673))-K202),1,
ROUNDDOWN(Y202-INDEX(K$4:K1673,MATCH(LARGE(FILTER(I$4:I1673,I$4:I1673&lt;=W202),1),I$4:I1673))-(W202-LARGE(FILTER(I$4:I"&amp;"1673,I$4:I1673&lt;=W202),1))*INDEX(F$4:F1673,MATCH(LARGE(FILTER(I$4:I1673,I$4:I1673&lt;=W202),1),I$4:I1673))))"),8.1151223E7)</f>
        <v>81151223</v>
      </c>
      <c r="N202" s="60">
        <f t="shared" si="8"/>
        <v>-144.91628</v>
      </c>
      <c r="O202" s="61" t="str">
        <f t="shared" si="9"/>
        <v>81,2M</v>
      </c>
      <c r="P202" s="56">
        <f t="shared" si="10"/>
        <v>3</v>
      </c>
      <c r="Q202" s="105" t="s">
        <v>9</v>
      </c>
      <c r="R202" s="10"/>
      <c r="S202" s="59">
        <f t="array" ref="S202">IF(COUNTA(Q202:Q1673)=0,"",SUM((COUNTIF(Q$4:Q202,Upgrades!$B$3:$B$13)-COUNTIF(Q$4:Q202,"Sell_"&amp;Upgrades!$B$3:$B$13))*Upgrades!$D$3:$D$13))</f>
        <v>167910</v>
      </c>
      <c r="T202" s="66">
        <f>IFERROR(__xludf.DUMMYFUNCTION("IF(COUNTA(Q202:Q1673)=0,"""",IF(REGEXMATCH(INDEX(FILTER(Q$4:Q202,Q$4:Q202&lt;&gt;""""),ROWS(FILTER(Q$4:Q202,Q$4:Q202&lt;&gt;""""))),""^Sell_""),INDEX(FILTER(T$4:T201,Q$4:Q201&lt;&gt;""""),ROWS(FILTER(Q$4:Q201,Q$4:Q201&lt;&gt;""""))),$AD$5+S202))"),167925.0)</f>
        <v>167925</v>
      </c>
      <c r="U202" s="10">
        <f>IFERROR(__xludf.DUMMYFUNCTION("IF(COUNTA(Q202:Q1673)=0,"""",IF(Q202="""",0,IF(REGEXMATCH(Q202,""^Sell_""),-ROUNDDOWN(ROUNDUP(INDEX(Upgrades!$C$3:$C$13,MATCH(SUBSTITUTE(Q202,""Sell_"",""""),Upgrades!$B$3:$B$13,0))*1.15^(COUNTIF(Q$4:Q201,SUBSTITUTE(Q202,""Sell_"",""""))-COUNTIF(Q$4:Q201,"&amp;"""Sell_""&amp;SUBSTITUTE(Q202,""Sell_"",""""))))/2),ROUNDUP(INDEX(Upgrades!$C$3:$C$13,MATCH(Q202,Upgrades!$B$3:$B$13,0))*1.15^(COUNTIF(Q$4:Q201,Q202)-COUNTIF(Q$4:Q201,""Sell_""&amp;Q202))))))"),264500.0)</f>
        <v>264500</v>
      </c>
      <c r="V202" s="10">
        <f t="shared" si="11"/>
        <v>264500</v>
      </c>
      <c r="W202" s="68">
        <f t="shared" si="12"/>
        <v>5233.97172</v>
      </c>
      <c r="X202" s="59" t="str">
        <f t="shared" si="13"/>
        <v>1h 27m 13s</v>
      </c>
      <c r="Y202" s="69">
        <f t="shared" si="14"/>
        <v>187428797</v>
      </c>
      <c r="Z202" s="11"/>
    </row>
    <row r="203">
      <c r="A203" s="8"/>
      <c r="B203" s="56">
        <f t="shared" si="2"/>
        <v>17</v>
      </c>
      <c r="C203" s="62" t="s">
        <v>8</v>
      </c>
      <c r="D203" s="10"/>
      <c r="E203" s="59">
        <f t="array" ref="E203">IF(COUNTA(C203:C1673)=0,"",SUM((COUNTIF(C$4:C203,Upgrades!$B$3:$B$13)-COUNTIF(C$4:C203,"Sell_"&amp;Upgrades!$B$3:$B$13))*Upgrades!$D$3:$D$13))</f>
        <v>568625.6</v>
      </c>
      <c r="F203" s="66">
        <f>IFERROR(__xludf.DUMMYFUNCTION("IF(COUNTA(C203:C1673)=0,"""",IF(REGEXMATCH(INDEX(FILTER(C$4:C203,C$4:C203&lt;&gt;""""),ROWS(FILTER(C$4:C203,C$4:C203&lt;&gt;""""))),""^Sell_""),INDEX(FILTER(F$4:F202,C$4:C202&lt;&gt;""""),ROWS(FILTER(C$4:C202,C$4:C202&lt;&gt;""""))),$AC$5+E203))"),568640.6)</f>
        <v>568640.6</v>
      </c>
      <c r="G203" s="10">
        <f>IFERROR(__xludf.DUMMYFUNCTION("IF(COUNTA(C203:C1673)=0,"""",IF(C203="""",0,IF(REGEXMATCH(C203,""^Sell_""),-ROUNDDOWN(ROUNDUP(INDEX(Upgrades!$C$3:$C$13,MATCH(SUBSTITUTE(C203,""Sell_"",""""),Upgrades!$B$3:$B$13,0))*1.15^(COUNTIF(C$4:C202,SUBSTITUTE(C203,""Sell_"",""""))-COUNTIF(C$4:C202,"&amp;"""Sell_""&amp;SUBSTITUTE(C203,""Sell_"",""""))))/2),ROUNDUP(INDEX(Upgrades!$C$3:$C$13,MATCH(C203,Upgrades!$B$3:$B$13,0))*1.15^(COUNTIF(C$4:C202,C203)-COUNTIF(C$4:C202,""Sell_""&amp;C203))))))"),374305.0)</f>
        <v>374305</v>
      </c>
      <c r="H203" s="10">
        <f t="shared" si="3"/>
        <v>374305</v>
      </c>
      <c r="I203" s="68">
        <f t="shared" si="4"/>
        <v>7811.180535</v>
      </c>
      <c r="J203" s="59" t="str">
        <f t="shared" si="5"/>
        <v>2h 10m 11s</v>
      </c>
      <c r="K203" s="69">
        <f t="shared" si="6"/>
        <v>984666558</v>
      </c>
      <c r="L203" s="60">
        <f t="shared" si="7"/>
        <v>-144.89665</v>
      </c>
      <c r="M203" s="61">
        <f>IFERROR(__xludf.DUMMYFUNCTION("IFS(AND(COUNTA(C203:C1673)=0,COUNTA(Q203:Q1673)=0),"""",OR(AND(K203&gt;=1000000000,OR(Y203&gt;=1000000000,COUNTA(Q203:Q1673)=0)),OR(Y203&gt;=1000000000,AND(COUNTA(C203:C1673)=0,P$3=TRUE))),
ROUNDDOWN((AB$1-AC$1)*MAX(INDEX(T$4:T1673,MATCH(LARGE(FILTER(Y$4:Y1673,Y$4"&amp;":Y1673&lt;1000000000),1),Y$4:Y1673)),INDEX(F$4:F1673,MATCH(LARGE(FILTER(K$4:K1673,K$4:K1673&lt;1000000000),1),K$4:K1673)))),AND(K203&lt;1000000000,COUNTA(C203:C1673)&gt;0,P$3=FALSE),
ROUNDDOWN(INDEX(Y$4:Y1673,MATCH(LARGE(FILTER(W$4:W1673,W$4:W1673&lt;=I203),1),W$4:W1673"&amp;"))+(I203-LARGE(FILTER(W$4:W1673,W$4:W1673&lt;=I203),1))*INDEX(T$4:T1673,MATCH(LARGE(FILTER(W$4:W1673,W$4:W1673&lt;=I203),1),W$4:W1673))-K203),1,
ROUNDDOWN(Y203-INDEX(K$4:K1673,MATCH(LARGE(FILTER(I$4:I1673,I$4:I1673&lt;=W203),1),I$4:I1673))-(W203-LARGE(FILTER(I$4:I"&amp;"1673,I$4:I1673&lt;=W203),1))*INDEX(F$4:F1673,MATCH(LARGE(FILTER(I$4:I1673,I$4:I1673&lt;=W203),1),I$4:I1673))))"),8.1145917E7)</f>
        <v>81145917</v>
      </c>
      <c r="N203" s="60">
        <f t="shared" si="8"/>
        <v>-144.89665</v>
      </c>
      <c r="O203" s="61" t="str">
        <f t="shared" si="9"/>
        <v>81,1M</v>
      </c>
      <c r="P203" s="56">
        <f t="shared" si="10"/>
        <v>5</v>
      </c>
      <c r="Q203" s="105" t="s">
        <v>8</v>
      </c>
      <c r="R203" s="10"/>
      <c r="S203" s="59">
        <f t="array" ref="S203">IF(COUNTA(Q203:Q1673)=0,"",SUM((COUNTIF(Q$4:Q203,Upgrades!$B$3:$B$13)-COUNTIF(Q$4:Q203,"Sell_"&amp;Upgrades!$B$3:$B$13))*Upgrades!$D$3:$D$13))</f>
        <v>168010</v>
      </c>
      <c r="T203" s="66">
        <f>IFERROR(__xludf.DUMMYFUNCTION("IF(COUNTA(Q203:Q1673)=0,"""",IF(REGEXMATCH(INDEX(FILTER(Q$4:Q203,Q$4:Q203&lt;&gt;""""),ROWS(FILTER(Q$4:Q203,Q$4:Q203&lt;&gt;""""))),""^Sell_""),INDEX(FILTER(T$4:T202,Q$4:Q202&lt;&gt;""""),ROWS(FILTER(Q$4:Q202,Q$4:Q202&lt;&gt;""""))),$AD$5+S203))"),168025.0)</f>
        <v>168025</v>
      </c>
      <c r="U203" s="10">
        <f>IFERROR(__xludf.DUMMYFUNCTION("IF(COUNTA(Q203:Q1673)=0,"""",IF(Q203="""",0,IF(REGEXMATCH(Q203,""^Sell_""),-ROUNDDOWN(ROUNDUP(INDEX(Upgrades!$C$3:$C$13,MATCH(SUBSTITUTE(Q203,""Sell_"",""""),Upgrades!$B$3:$B$13,0))*1.15^(COUNTIF(Q$4:Q202,SUBSTITUTE(Q203,""Sell_"",""""))-COUNTIF(Q$4:Q202,"&amp;"""Sell_""&amp;SUBSTITUTE(Q203,""Sell_"",""""))))/2),ROUNDUP(INDEX(Upgrades!$C$3:$C$13,MATCH(Q203,Upgrades!$B$3:$B$13,0))*1.15^(COUNTIF(Q$4:Q202,Q203)-COUNTIF(Q$4:Q202,""Sell_""&amp;Q203))))))"),69961.0)</f>
        <v>69961</v>
      </c>
      <c r="V203" s="10">
        <f t="shared" si="11"/>
        <v>69961</v>
      </c>
      <c r="W203" s="68">
        <f t="shared" si="12"/>
        <v>5234.38834</v>
      </c>
      <c r="X203" s="59" t="str">
        <f t="shared" si="13"/>
        <v>1h 27m 14s</v>
      </c>
      <c r="Y203" s="69">
        <f t="shared" si="14"/>
        <v>187498758</v>
      </c>
      <c r="Z203" s="11"/>
    </row>
    <row r="204">
      <c r="A204" s="8"/>
      <c r="B204" s="56">
        <f t="shared" si="2"/>
        <v>18</v>
      </c>
      <c r="C204" s="62" t="s">
        <v>8</v>
      </c>
      <c r="D204" s="10"/>
      <c r="E204" s="59">
        <f t="array" ref="E204">IF(COUNTA(C204:C1673)=0,"",SUM((COUNTIF(C$4:C204,Upgrades!$B$3:$B$13)-COUNTIF(C$4:C204,"Sell_"&amp;Upgrades!$B$3:$B$13))*Upgrades!$D$3:$D$13))</f>
        <v>568725.6</v>
      </c>
      <c r="F204" s="66">
        <f>IFERROR(__xludf.DUMMYFUNCTION("IF(COUNTA(C204:C1673)=0,"""",IF(REGEXMATCH(INDEX(FILTER(C$4:C204,C$4:C204&lt;&gt;""""),ROWS(FILTER(C$4:C204,C$4:C204&lt;&gt;""""))),""^Sell_""),INDEX(FILTER(F$4:F203,C$4:C203&lt;&gt;""""),ROWS(FILTER(C$4:C203,C$4:C203&lt;&gt;""""))),$AC$5+E204))"),568740.6)</f>
        <v>568740.6</v>
      </c>
      <c r="G204" s="10">
        <f>IFERROR(__xludf.DUMMYFUNCTION("IF(COUNTA(C204:C1673)=0,"""",IF(C204="""",0,IF(REGEXMATCH(C204,""^Sell_""),-ROUNDDOWN(ROUNDUP(INDEX(Upgrades!$C$3:$C$13,MATCH(SUBSTITUTE(C204,""Sell_"",""""),Upgrades!$B$3:$B$13,0))*1.15^(COUNTIF(C$4:C203,SUBSTITUTE(C204,""Sell_"",""""))-COUNTIF(C$4:C203,"&amp;"""Sell_""&amp;SUBSTITUTE(C204,""Sell_"",""""))))/2),ROUNDUP(INDEX(Upgrades!$C$3:$C$13,MATCH(C204,Upgrades!$B$3:$B$13,0))*1.15^(COUNTIF(C$4:C203,C204)-COUNTIF(C$4:C203,""Sell_""&amp;C204))))))"),430451.0)</f>
        <v>430451</v>
      </c>
      <c r="H204" s="10">
        <f t="shared" si="3"/>
        <v>430451</v>
      </c>
      <c r="I204" s="68">
        <f t="shared" si="4"/>
        <v>7811.937518</v>
      </c>
      <c r="J204" s="59" t="str">
        <f t="shared" si="5"/>
        <v>2h 10m 11s</v>
      </c>
      <c r="K204" s="69">
        <f t="shared" si="6"/>
        <v>985097009</v>
      </c>
      <c r="L204" s="60">
        <f t="shared" si="7"/>
        <v>-144.87395</v>
      </c>
      <c r="M204" s="61">
        <f>IFERROR(__xludf.DUMMYFUNCTION("IFS(AND(COUNTA(C204:C1673)=0,COUNTA(Q204:Q1673)=0),"""",OR(AND(K204&gt;=1000000000,OR(Y204&gt;=1000000000,COUNTA(Q204:Q1673)=0)),OR(Y204&gt;=1000000000,AND(COUNTA(C204:C1673)=0,P$3=TRUE))),
ROUNDDOWN((AB$1-AC$1)*MAX(INDEX(T$4:T1673,MATCH(LARGE(FILTER(Y$4:Y1673,Y$4"&amp;":Y1673&lt;1000000000),1),Y$4:Y1673)),INDEX(F$4:F1673,MATCH(LARGE(FILTER(K$4:K1673,K$4:K1673&lt;1000000000),1),K$4:K1673)))),AND(K204&lt;1000000000,COUNTA(C204:C1673)&gt;0,P$3=FALSE),
ROUNDDOWN(INDEX(Y$4:Y1673,MATCH(LARGE(FILTER(W$4:W1673,W$4:W1673&lt;=I204),1),W$4:W1673"&amp;"))+(I204-LARGE(FILTER(W$4:W1673,W$4:W1673&lt;=I204),1))*INDEX(T$4:T1673,MATCH(LARGE(FILTER(W$4:W1673,W$4:W1673&lt;=I204),1),W$4:W1673))-K204),1,
ROUNDDOWN(Y204-INDEX(K$4:K1673,MATCH(LARGE(FILTER(I$4:I1673,I$4:I1673&lt;=W204),1),I$4:I1673))-(W204-LARGE(FILTER(I$4:I"&amp;"1673,I$4:I1673&lt;=W204),1))*INDEX(F$4:F1673,MATCH(LARGE(FILTER(I$4:I1673,I$4:I1673&lt;=W204),1),I$4:I1673))))"),8.113974E7)</f>
        <v>81139740</v>
      </c>
      <c r="N204" s="60">
        <f t="shared" si="8"/>
        <v>-144.87395</v>
      </c>
      <c r="O204" s="61" t="str">
        <f t="shared" si="9"/>
        <v>81,1M</v>
      </c>
      <c r="P204" s="56">
        <f t="shared" si="10"/>
        <v>4</v>
      </c>
      <c r="Q204" s="105" t="s">
        <v>9</v>
      </c>
      <c r="R204" s="10"/>
      <c r="S204" s="59">
        <f t="array" ref="S204">IF(COUNTA(Q204:Q1673)=0,"",SUM((COUNTIF(Q$4:Q204,Upgrades!$B$3:$B$13)-COUNTIF(Q$4:Q204,"Sell_"&amp;Upgrades!$B$3:$B$13))*Upgrades!$D$3:$D$13))</f>
        <v>168410</v>
      </c>
      <c r="T204" s="66">
        <f>IFERROR(__xludf.DUMMYFUNCTION("IF(COUNTA(Q204:Q1673)=0,"""",IF(REGEXMATCH(INDEX(FILTER(Q$4:Q204,Q$4:Q204&lt;&gt;""""),ROWS(FILTER(Q$4:Q204,Q$4:Q204&lt;&gt;""""))),""^Sell_""),INDEX(FILTER(T$4:T203,Q$4:Q203&lt;&gt;""""),ROWS(FILTER(Q$4:Q203,Q$4:Q203&lt;&gt;""""))),$AD$5+S204))"),168425.0)</f>
        <v>168425</v>
      </c>
      <c r="U204" s="10">
        <f>IFERROR(__xludf.DUMMYFUNCTION("IF(COUNTA(Q204:Q1673)=0,"""",IF(Q204="""",0,IF(REGEXMATCH(Q204,""^Sell_""),-ROUNDDOWN(ROUNDUP(INDEX(Upgrades!$C$3:$C$13,MATCH(SUBSTITUTE(Q204,""Sell_"",""""),Upgrades!$B$3:$B$13,0))*1.15^(COUNTIF(Q$4:Q203,SUBSTITUTE(Q204,""Sell_"",""""))-COUNTIF(Q$4:Q203,"&amp;"""Sell_""&amp;SUBSTITUTE(Q204,""Sell_"",""""))))/2),ROUNDUP(INDEX(Upgrades!$C$3:$C$13,MATCH(Q204,Upgrades!$B$3:$B$13,0))*1.15^(COUNTIF(Q$4:Q203,Q204)-COUNTIF(Q$4:Q203,""Sell_""&amp;Q204))))))"),304175.0)</f>
        <v>304175</v>
      </c>
      <c r="V204" s="10">
        <f t="shared" si="11"/>
        <v>304175</v>
      </c>
      <c r="W204" s="68">
        <f t="shared" si="12"/>
        <v>5236.198636</v>
      </c>
      <c r="X204" s="59" t="str">
        <f t="shared" si="13"/>
        <v>1h 27m 16s</v>
      </c>
      <c r="Y204" s="69">
        <f t="shared" si="14"/>
        <v>187802933</v>
      </c>
      <c r="Z204" s="11"/>
    </row>
    <row r="205">
      <c r="A205" s="8"/>
      <c r="B205" s="56">
        <f t="shared" si="2"/>
        <v>19</v>
      </c>
      <c r="C205" s="62" t="s">
        <v>8</v>
      </c>
      <c r="D205" s="10"/>
      <c r="E205" s="59">
        <f t="array" ref="E205">IF(COUNTA(C205:C1673)=0,"",SUM((COUNTIF(C$4:C205,Upgrades!$B$3:$B$13)-COUNTIF(C$4:C205,"Sell_"&amp;Upgrades!$B$3:$B$13))*Upgrades!$D$3:$D$13))</f>
        <v>568825.6</v>
      </c>
      <c r="F205" s="66">
        <f>IFERROR(__xludf.DUMMYFUNCTION("IF(COUNTA(C205:C1673)=0,"""",IF(REGEXMATCH(INDEX(FILTER(C$4:C205,C$4:C205&lt;&gt;""""),ROWS(FILTER(C$4:C205,C$4:C205&lt;&gt;""""))),""^Sell_""),INDEX(FILTER(F$4:F204,C$4:C204&lt;&gt;""""),ROWS(FILTER(C$4:C204,C$4:C204&lt;&gt;""""))),$AC$5+E205))"),568840.6)</f>
        <v>568840.6</v>
      </c>
      <c r="G205" s="10">
        <f>IFERROR(__xludf.DUMMYFUNCTION("IF(COUNTA(C205:C1673)=0,"""",IF(C205="""",0,IF(REGEXMATCH(C205,""^Sell_""),-ROUNDDOWN(ROUNDUP(INDEX(Upgrades!$C$3:$C$13,MATCH(SUBSTITUTE(C205,""Sell_"",""""),Upgrades!$B$3:$B$13,0))*1.15^(COUNTIF(C$4:C204,SUBSTITUTE(C205,""Sell_"",""""))-COUNTIF(C$4:C204,"&amp;"""Sell_""&amp;SUBSTITUTE(C205,""Sell_"",""""))))/2),ROUNDUP(INDEX(Upgrades!$C$3:$C$13,MATCH(C205,Upgrades!$B$3:$B$13,0))*1.15^(COUNTIF(C$4:C204,C205)-COUNTIF(C$4:C204,""Sell_""&amp;C205))))))"),495019.0)</f>
        <v>495019</v>
      </c>
      <c r="H205" s="10">
        <f t="shared" si="3"/>
        <v>495019</v>
      </c>
      <c r="I205" s="68">
        <f t="shared" si="4"/>
        <v>7812.807895</v>
      </c>
      <c r="J205" s="59" t="str">
        <f t="shared" si="5"/>
        <v>2h 10m 12s</v>
      </c>
      <c r="K205" s="69">
        <f t="shared" si="6"/>
        <v>985592028</v>
      </c>
      <c r="L205" s="60">
        <f t="shared" si="7"/>
        <v>-144.84768</v>
      </c>
      <c r="M205" s="61">
        <f>IFERROR(__xludf.DUMMYFUNCTION("IFS(AND(COUNTA(C205:C1673)=0,COUNTA(Q205:Q1673)=0),"""",OR(AND(K205&gt;=1000000000,OR(Y205&gt;=1000000000,COUNTA(Q205:Q1673)=0)),OR(Y205&gt;=1000000000,AND(COUNTA(C205:C1673)=0,P$3=TRUE))),
ROUNDDOWN((AB$1-AC$1)*MAX(INDEX(T$4:T1673,MATCH(LARGE(FILTER(Y$4:Y1673,Y$4"&amp;":Y1673&lt;1000000000),1),Y$4:Y1673)),INDEX(F$4:F1673,MATCH(LARGE(FILTER(K$4:K1673,K$4:K1673&lt;1000000000),1),K$4:K1673)))),AND(K205&lt;1000000000,COUNTA(C205:C1673)&gt;0,P$3=FALSE),
ROUNDDOWN(INDEX(Y$4:Y1673,MATCH(LARGE(FILTER(W$4:W1673,W$4:W1673&lt;=I205),1),W$4:W1673"&amp;"))+(I205-LARGE(FILTER(W$4:W1673,W$4:W1673&lt;=I205),1))*INDEX(T$4:T1673,MATCH(LARGE(FILTER(W$4:W1673,W$4:W1673&lt;=I205),1),W$4:W1673))-K205),1,
ROUNDDOWN(Y205-INDEX(K$4:K1673,MATCH(LARGE(FILTER(I$4:I1673,I$4:I1673&lt;=W205),1),I$4:I1673))-(W205-LARGE(FILTER(I$4:I"&amp;"1673,I$4:I1673&lt;=W205),1))*INDEX(F$4:F1673,MATCH(LARGE(FILTER(I$4:I1673,I$4:I1673&lt;=W205),1),I$4:I1673))))"),8.1132551E7)</f>
        <v>81132551</v>
      </c>
      <c r="N205" s="60">
        <f t="shared" si="8"/>
        <v>-144.84768</v>
      </c>
      <c r="O205" s="61" t="str">
        <f t="shared" si="9"/>
        <v>81,1M</v>
      </c>
      <c r="P205" s="56">
        <f t="shared" si="10"/>
        <v>6</v>
      </c>
      <c r="Q205" s="105" t="s">
        <v>8</v>
      </c>
      <c r="R205" s="10"/>
      <c r="S205" s="59">
        <f t="array" ref="S205">IF(COUNTA(Q205:Q1673)=0,"",SUM((COUNTIF(Q$4:Q205,Upgrades!$B$3:$B$13)-COUNTIF(Q$4:Q205,"Sell_"&amp;Upgrades!$B$3:$B$13))*Upgrades!$D$3:$D$13))</f>
        <v>168510</v>
      </c>
      <c r="T205" s="66">
        <f>IFERROR(__xludf.DUMMYFUNCTION("IF(COUNTA(Q205:Q1673)=0,"""",IF(REGEXMATCH(INDEX(FILTER(Q$4:Q205,Q$4:Q205&lt;&gt;""""),ROWS(FILTER(Q$4:Q205,Q$4:Q205&lt;&gt;""""))),""^Sell_""),INDEX(FILTER(T$4:T204,Q$4:Q204&lt;&gt;""""),ROWS(FILTER(Q$4:Q204,Q$4:Q204&lt;&gt;""""))),$AD$5+S205))"),168525.0)</f>
        <v>168525</v>
      </c>
      <c r="U205" s="10">
        <f>IFERROR(__xludf.DUMMYFUNCTION("IF(COUNTA(Q205:Q1673)=0,"""",IF(Q205="""",0,IF(REGEXMATCH(Q205,""^Sell_""),-ROUNDDOWN(ROUNDUP(INDEX(Upgrades!$C$3:$C$13,MATCH(SUBSTITUTE(Q205,""Sell_"",""""),Upgrades!$B$3:$B$13,0))*1.15^(COUNTIF(Q$4:Q204,SUBSTITUTE(Q205,""Sell_"",""""))-COUNTIF(Q$4:Q204,"&amp;"""Sell_""&amp;SUBSTITUTE(Q205,""Sell_"",""""))))/2),ROUNDUP(INDEX(Upgrades!$C$3:$C$13,MATCH(Q205,Upgrades!$B$3:$B$13,0))*1.15^(COUNTIF(Q$4:Q204,Q205)-COUNTIF(Q$4:Q204,""Sell_""&amp;Q205))))))"),80455.0)</f>
        <v>80455</v>
      </c>
      <c r="V205" s="10">
        <f t="shared" si="11"/>
        <v>80455</v>
      </c>
      <c r="W205" s="68">
        <f t="shared" si="12"/>
        <v>5236.676327</v>
      </c>
      <c r="X205" s="59" t="str">
        <f t="shared" si="13"/>
        <v>1h 27m 16s</v>
      </c>
      <c r="Y205" s="69">
        <f t="shared" si="14"/>
        <v>187883388</v>
      </c>
      <c r="Z205" s="11"/>
    </row>
    <row r="206">
      <c r="A206" s="8"/>
      <c r="B206" s="56">
        <f t="shared" si="2"/>
        <v>20</v>
      </c>
      <c r="C206" s="62" t="s">
        <v>8</v>
      </c>
      <c r="D206" s="10"/>
      <c r="E206" s="59">
        <f t="array" ref="E206">IF(COUNTA(C206:C1673)=0,"",SUM((COUNTIF(C$4:C206,Upgrades!$B$3:$B$13)-COUNTIF(C$4:C206,"Sell_"&amp;Upgrades!$B$3:$B$13))*Upgrades!$D$3:$D$13))</f>
        <v>568925.6</v>
      </c>
      <c r="F206" s="66">
        <f>IFERROR(__xludf.DUMMYFUNCTION("IF(COUNTA(C206:C1673)=0,"""",IF(REGEXMATCH(INDEX(FILTER(C$4:C206,C$4:C206&lt;&gt;""""),ROWS(FILTER(C$4:C206,C$4:C206&lt;&gt;""""))),""^Sell_""),INDEX(FILTER(F$4:F205,C$4:C205&lt;&gt;""""),ROWS(FILTER(C$4:C205,C$4:C205&lt;&gt;""""))),$AC$5+E206))"),568940.6)</f>
        <v>568940.6</v>
      </c>
      <c r="G206" s="10">
        <f>IFERROR(__xludf.DUMMYFUNCTION("IF(COUNTA(C206:C1673)=0,"""",IF(C206="""",0,IF(REGEXMATCH(C206,""^Sell_""),-ROUNDDOWN(ROUNDUP(INDEX(Upgrades!$C$3:$C$13,MATCH(SUBSTITUTE(C206,""Sell_"",""""),Upgrades!$B$3:$B$13,0))*1.15^(COUNTIF(C$4:C205,SUBSTITUTE(C206,""Sell_"",""""))-COUNTIF(C$4:C205,"&amp;"""Sell_""&amp;SUBSTITUTE(C206,""Sell_"",""""))))/2),ROUNDUP(INDEX(Upgrades!$C$3:$C$13,MATCH(C206,Upgrades!$B$3:$B$13,0))*1.15^(COUNTIF(C$4:C205,C206)-COUNTIF(C$4:C205,""Sell_""&amp;C206))))))"),569271.0)</f>
        <v>569271</v>
      </c>
      <c r="H206" s="10">
        <f t="shared" si="3"/>
        <v>569271</v>
      </c>
      <c r="I206" s="68">
        <f t="shared" si="4"/>
        <v>7813.808652</v>
      </c>
      <c r="J206" s="59" t="str">
        <f t="shared" si="5"/>
        <v>2h 10m 13s</v>
      </c>
      <c r="K206" s="69">
        <f t="shared" si="6"/>
        <v>986161299</v>
      </c>
      <c r="L206" s="60">
        <f t="shared" si="7"/>
        <v>-144.8173</v>
      </c>
      <c r="M206" s="61">
        <f>IFERROR(__xludf.DUMMYFUNCTION("IFS(AND(COUNTA(C206:C1673)=0,COUNTA(Q206:Q1673)=0),"""",OR(AND(K206&gt;=1000000000,OR(Y206&gt;=1000000000,COUNTA(Q206:Q1673)=0)),OR(Y206&gt;=1000000000,AND(COUNTA(C206:C1673)=0,P$3=TRUE))),
ROUNDDOWN((AB$1-AC$1)*MAX(INDEX(T$4:T1673,MATCH(LARGE(FILTER(Y$4:Y1673,Y$4"&amp;":Y1673&lt;1000000000),1),Y$4:Y1673)),INDEX(F$4:F1673,MATCH(LARGE(FILTER(K$4:K1673,K$4:K1673&lt;1000000000),1),K$4:K1673)))),AND(K206&lt;1000000000,COUNTA(C206:C1673)&gt;0,P$3=FALSE),
ROUNDDOWN(INDEX(Y$4:Y1673,MATCH(LARGE(FILTER(W$4:W1673,W$4:W1673&lt;=I206),1),W$4:W1673"&amp;"))+(I206-LARGE(FILTER(W$4:W1673,W$4:W1673&lt;=I206),1))*INDEX(T$4:T1673,MATCH(LARGE(FILTER(W$4:W1673,W$4:W1673&lt;=I206),1),W$4:W1673))-K206),1,
ROUNDDOWN(Y206-INDEX(K$4:K1673,MATCH(LARGE(FILTER(I$4:I1673,I$4:I1673&lt;=W206),1),I$4:I1673))-(W206-LARGE(FILTER(I$4:I"&amp;"1673,I$4:I1673&lt;=W206),1))*INDEX(F$4:F1673,MATCH(LARGE(FILTER(I$4:I1673,I$4:I1673&lt;=W206),1),I$4:I1673))))"),8.1124184E7)</f>
        <v>81124184</v>
      </c>
      <c r="N206" s="60">
        <f t="shared" si="8"/>
        <v>-144.8173</v>
      </c>
      <c r="O206" s="61" t="str">
        <f t="shared" si="9"/>
        <v>81,1M</v>
      </c>
      <c r="P206" s="56">
        <f t="shared" si="10"/>
        <v>5</v>
      </c>
      <c r="Q206" s="105" t="s">
        <v>9</v>
      </c>
      <c r="R206" s="10"/>
      <c r="S206" s="59">
        <f t="array" ref="S206">IF(COUNTA(Q206:Q1673)=0,"",SUM((COUNTIF(Q$4:Q206,Upgrades!$B$3:$B$13)-COUNTIF(Q$4:Q206,"Sell_"&amp;Upgrades!$B$3:$B$13))*Upgrades!$D$3:$D$13))</f>
        <v>168910</v>
      </c>
      <c r="T206" s="66">
        <f>IFERROR(__xludf.DUMMYFUNCTION("IF(COUNTA(Q206:Q1673)=0,"""",IF(REGEXMATCH(INDEX(FILTER(Q$4:Q206,Q$4:Q206&lt;&gt;""""),ROWS(FILTER(Q$4:Q206,Q$4:Q206&lt;&gt;""""))),""^Sell_""),INDEX(FILTER(T$4:T205,Q$4:Q205&lt;&gt;""""),ROWS(FILTER(Q$4:Q205,Q$4:Q205&lt;&gt;""""))),$AD$5+S206))"),168925.0)</f>
        <v>168925</v>
      </c>
      <c r="U206" s="10">
        <f>IFERROR(__xludf.DUMMYFUNCTION("IF(COUNTA(Q206:Q1673)=0,"""",IF(Q206="""",0,IF(REGEXMATCH(Q206,""^Sell_""),-ROUNDDOWN(ROUNDUP(INDEX(Upgrades!$C$3:$C$13,MATCH(SUBSTITUTE(Q206,""Sell_"",""""),Upgrades!$B$3:$B$13,0))*1.15^(COUNTIF(Q$4:Q205,SUBSTITUTE(Q206,""Sell_"",""""))-COUNTIF(Q$4:Q205,"&amp;"""Sell_""&amp;SUBSTITUTE(Q206,""Sell_"",""""))))/2),ROUNDUP(INDEX(Upgrades!$C$3:$C$13,MATCH(Q206,Upgrades!$B$3:$B$13,0))*1.15^(COUNTIF(Q$4:Q205,Q206)-COUNTIF(Q$4:Q205,""Sell_""&amp;Q206))))))"),349802.0)</f>
        <v>349802</v>
      </c>
      <c r="V206" s="10">
        <f t="shared" si="11"/>
        <v>349802</v>
      </c>
      <c r="W206" s="68">
        <f t="shared" si="12"/>
        <v>5238.751995</v>
      </c>
      <c r="X206" s="59" t="str">
        <f t="shared" si="13"/>
        <v>1h 27m 18s</v>
      </c>
      <c r="Y206" s="69">
        <f t="shared" si="14"/>
        <v>188233190</v>
      </c>
      <c r="Z206" s="11"/>
    </row>
    <row r="207">
      <c r="A207" s="8"/>
      <c r="B207" s="56">
        <f t="shared" si="2"/>
        <v>21</v>
      </c>
      <c r="C207" s="105" t="s">
        <v>8</v>
      </c>
      <c r="D207" s="10"/>
      <c r="E207" s="59">
        <f t="array" ref="E207">IF(COUNTA(C207:C1673)=0,"",SUM((COUNTIF(C$4:C207,Upgrades!$B$3:$B$13)-COUNTIF(C$4:C207,"Sell_"&amp;Upgrades!$B$3:$B$13))*Upgrades!$D$3:$D$13))</f>
        <v>569025.6</v>
      </c>
      <c r="F207" s="66">
        <f>IFERROR(__xludf.DUMMYFUNCTION("IF(COUNTA(C207:C1673)=0,"""",IF(REGEXMATCH(INDEX(FILTER(C$4:C207,C$4:C207&lt;&gt;""""),ROWS(FILTER(C$4:C207,C$4:C207&lt;&gt;""""))),""^Sell_""),INDEX(FILTER(F$4:F206,C$4:C206&lt;&gt;""""),ROWS(FILTER(C$4:C206,C$4:C206&lt;&gt;""""))),$AC$5+E207))"),569040.6)</f>
        <v>569040.6</v>
      </c>
      <c r="G207" s="10">
        <f>IFERROR(__xludf.DUMMYFUNCTION("IF(COUNTA(C207:C1673)=0,"""",IF(C207="""",0,IF(REGEXMATCH(C207,""^Sell_""),-ROUNDDOWN(ROUNDUP(INDEX(Upgrades!$C$3:$C$13,MATCH(SUBSTITUTE(C207,""Sell_"",""""),Upgrades!$B$3:$B$13,0))*1.15^(COUNTIF(C$4:C206,SUBSTITUTE(C207,""Sell_"",""""))-COUNTIF(C$4:C206,"&amp;"""Sell_""&amp;SUBSTITUTE(C207,""Sell_"",""""))))/2),ROUNDUP(INDEX(Upgrades!$C$3:$C$13,MATCH(C207,Upgrades!$B$3:$B$13,0))*1.15^(COUNTIF(C$4:C206,C207)-COUNTIF(C$4:C206,""Sell_""&amp;C207))))))"),654662.0)</f>
        <v>654662</v>
      </c>
      <c r="H207" s="10">
        <f t="shared" si="3"/>
        <v>654662</v>
      </c>
      <c r="I207" s="68">
        <f t="shared" si="4"/>
        <v>7814.95932</v>
      </c>
      <c r="J207" s="59" t="str">
        <f t="shared" si="5"/>
        <v>2h 10m 14s</v>
      </c>
      <c r="K207" s="69">
        <f t="shared" si="6"/>
        <v>986815961</v>
      </c>
      <c r="L207" s="60">
        <f t="shared" si="7"/>
        <v>-144.78215</v>
      </c>
      <c r="M207" s="61">
        <f>IFERROR(__xludf.DUMMYFUNCTION("IFS(AND(COUNTA(C207:C1673)=0,COUNTA(Q207:Q1673)=0),"""",OR(AND(K207&gt;=1000000000,OR(Y207&gt;=1000000000,COUNTA(Q207:Q1673)=0)),OR(Y207&gt;=1000000000,AND(COUNTA(C207:C1673)=0,P$3=TRUE))),
ROUNDDOWN((AB$1-AC$1)*MAX(INDEX(T$4:T1673,MATCH(LARGE(FILTER(Y$4:Y1673,Y$4"&amp;":Y1673&lt;1000000000),1),Y$4:Y1673)),INDEX(F$4:F1673,MATCH(LARGE(FILTER(K$4:K1673,K$4:K1673&lt;1000000000),1),K$4:K1673)))),AND(K207&lt;1000000000,COUNTA(C207:C1673)&gt;0,P$3=FALSE),
ROUNDDOWN(INDEX(Y$4:Y1673,MATCH(LARGE(FILTER(W$4:W1673,W$4:W1673&lt;=I207),1),W$4:W1673"&amp;"))+(I207-LARGE(FILTER(W$4:W1673,W$4:W1673&lt;=I207),1))*INDEX(T$4:T1673,MATCH(LARGE(FILTER(W$4:W1673,W$4:W1673&lt;=I207),1),W$4:W1673))-K207),1,
ROUNDDOWN(Y207-INDEX(K$4:K1673,MATCH(LARGE(FILTER(I$4:I1673,I$4:I1673&lt;=W207),1),I$4:I1673))-(W207-LARGE(FILTER(I$4:I"&amp;"1673,I$4:I1673&lt;=W207),1))*INDEX(F$4:F1673,MATCH(LARGE(FILTER(I$4:I1673,I$4:I1673&lt;=W207),1),I$4:I1673))))"),8.111445E7)</f>
        <v>81114450</v>
      </c>
      <c r="N207" s="60">
        <f t="shared" si="8"/>
        <v>-144.78215</v>
      </c>
      <c r="O207" s="61" t="str">
        <f t="shared" si="9"/>
        <v>81,1M</v>
      </c>
      <c r="P207" s="56">
        <f t="shared" si="10"/>
        <v>7</v>
      </c>
      <c r="Q207" s="105" t="s">
        <v>8</v>
      </c>
      <c r="R207" s="10"/>
      <c r="S207" s="59">
        <f t="array" ref="S207">IF(COUNTA(Q207:Q1673)=0,"",SUM((COUNTIF(Q$4:Q207,Upgrades!$B$3:$B$13)-COUNTIF(Q$4:Q207,"Sell_"&amp;Upgrades!$B$3:$B$13))*Upgrades!$D$3:$D$13))</f>
        <v>169010</v>
      </c>
      <c r="T207" s="66">
        <f>IFERROR(__xludf.DUMMYFUNCTION("IF(COUNTA(Q207:Q1673)=0,"""",IF(REGEXMATCH(INDEX(FILTER(Q$4:Q207,Q$4:Q207&lt;&gt;""""),ROWS(FILTER(Q$4:Q207,Q$4:Q207&lt;&gt;""""))),""^Sell_""),INDEX(FILTER(T$4:T206,Q$4:Q206&lt;&gt;""""),ROWS(FILTER(Q$4:Q206,Q$4:Q206&lt;&gt;""""))),$AD$5+S207))"),169025.0)</f>
        <v>169025</v>
      </c>
      <c r="U207" s="10">
        <f>IFERROR(__xludf.DUMMYFUNCTION("IF(COUNTA(Q207:Q1673)=0,"""",IF(Q207="""",0,IF(REGEXMATCH(Q207,""^Sell_""),-ROUNDDOWN(ROUNDUP(INDEX(Upgrades!$C$3:$C$13,MATCH(SUBSTITUTE(Q207,""Sell_"",""""),Upgrades!$B$3:$B$13,0))*1.15^(COUNTIF(Q$4:Q206,SUBSTITUTE(Q207,""Sell_"",""""))-COUNTIF(Q$4:Q206,"&amp;"""Sell_""&amp;SUBSTITUTE(Q207,""Sell_"",""""))))/2),ROUNDUP(INDEX(Upgrades!$C$3:$C$13,MATCH(Q207,Upgrades!$B$3:$B$13,0))*1.15^(COUNTIF(Q$4:Q206,Q207)-COUNTIF(Q$4:Q206,""Sell_""&amp;Q207))))))"),92523.0)</f>
        <v>92523</v>
      </c>
      <c r="V207" s="10">
        <f t="shared" si="11"/>
        <v>92523</v>
      </c>
      <c r="W207" s="68">
        <f t="shared" si="12"/>
        <v>5239.299711</v>
      </c>
      <c r="X207" s="59" t="str">
        <f t="shared" si="13"/>
        <v>1h 27m 19s</v>
      </c>
      <c r="Y207" s="69">
        <f t="shared" si="14"/>
        <v>188325713</v>
      </c>
      <c r="Z207" s="11"/>
    </row>
    <row r="208">
      <c r="A208" s="8"/>
      <c r="B208" s="56">
        <f t="shared" si="2"/>
        <v>24</v>
      </c>
      <c r="C208" s="105" t="s">
        <v>4</v>
      </c>
      <c r="D208" s="10"/>
      <c r="E208" s="59">
        <f t="array" ref="E208">IF(COUNTA(C208:C1673)=0,"",SUM((COUNTIF(C$4:C208,Upgrades!$B$3:$B$13)-COUNTIF(C$4:C208,"Sell_"&amp;Upgrades!$B$3:$B$13))*Upgrades!$D$3:$D$13))</f>
        <v>569026.1</v>
      </c>
      <c r="F208" s="66">
        <f>IFERROR(__xludf.DUMMYFUNCTION("IF(COUNTA(C208:C1673)=0,"""",IF(REGEXMATCH(INDEX(FILTER(C$4:C208,C$4:C208&lt;&gt;""""),ROWS(FILTER(C$4:C208,C$4:C208&lt;&gt;""""))),""^Sell_""),INDEX(FILTER(F$4:F207,C$4:C207&lt;&gt;""""),ROWS(FILTER(C$4:C207,C$4:C207&lt;&gt;""""))),$AC$5+E208))"),569041.1)</f>
        <v>569041.1</v>
      </c>
      <c r="G208" s="10">
        <f>IFERROR(__xludf.DUMMYFUNCTION("IF(COUNTA(C208:C1673)=0,"""",IF(C208="""",0,IF(REGEXMATCH(C208,""^Sell_""),-ROUNDDOWN(ROUNDUP(INDEX(Upgrades!$C$3:$C$13,MATCH(SUBSTITUTE(C208,""Sell_"",""""),Upgrades!$B$3:$B$13,0))*1.15^(COUNTIF(C$4:C207,SUBSTITUTE(C208,""Sell_"",""""))-COUNTIF(C$4:C207,"&amp;"""Sell_""&amp;SUBSTITUTE(C208,""Sell_"",""""))))/2),ROUNDUP(INDEX(Upgrades!$C$3:$C$13,MATCH(C208,Upgrades!$B$3:$B$13,0))*1.15^(COUNTIF(C$4:C207,C208)-COUNTIF(C$4:C207,""Sell_""&amp;C208))))))"),2490.0)</f>
        <v>2490</v>
      </c>
      <c r="H208" s="10">
        <f t="shared" si="3"/>
        <v>2490</v>
      </c>
      <c r="I208" s="68">
        <f t="shared" si="4"/>
        <v>7814.963696</v>
      </c>
      <c r="J208" s="59" t="str">
        <f t="shared" si="5"/>
        <v>2h 10m 14s</v>
      </c>
      <c r="K208" s="69">
        <f t="shared" si="6"/>
        <v>986818451</v>
      </c>
      <c r="L208" s="60">
        <f t="shared" si="7"/>
        <v>-144.78202</v>
      </c>
      <c r="M208" s="61">
        <f>IFERROR(__xludf.DUMMYFUNCTION("IFS(AND(COUNTA(C208:C1673)=0,COUNTA(Q208:Q1673)=0),"""",OR(AND(K208&gt;=1000000000,OR(Y208&gt;=1000000000,COUNTA(Q208:Q1673)=0)),OR(Y208&gt;=1000000000,AND(COUNTA(C208:C1673)=0,P$3=TRUE))),
ROUNDDOWN((AB$1-AC$1)*MAX(INDEX(T$4:T1673,MATCH(LARGE(FILTER(Y$4:Y1673,Y$4"&amp;":Y1673&lt;1000000000),1),Y$4:Y1673)),INDEX(F$4:F1673,MATCH(LARGE(FILTER(K$4:K1673,K$4:K1673&lt;1000000000),1),K$4:K1673)))),AND(K208&lt;1000000000,COUNTA(C208:C1673)&gt;0,P$3=FALSE),
ROUNDDOWN(INDEX(Y$4:Y1673,MATCH(LARGE(FILTER(W$4:W1673,W$4:W1673&lt;=I208),1),W$4:W1673"&amp;"))+(I208-LARGE(FILTER(W$4:W1673,W$4:W1673&lt;=I208),1))*INDEX(T$4:T1673,MATCH(LARGE(FILTER(W$4:W1673,W$4:W1673&lt;=I208),1),W$4:W1673))-K208),1,
ROUNDDOWN(Y208-INDEX(K$4:K1673,MATCH(LARGE(FILTER(I$4:I1673,I$4:I1673&lt;=W208),1),I$4:I1673))-(W208-LARGE(FILTER(I$4:I"&amp;"1673,I$4:I1673&lt;=W208),1))*INDEX(F$4:F1673,MATCH(LARGE(FILTER(I$4:I1673,I$4:I1673&lt;=W208),1),I$4:I1673))))"),8.1114412E7)</f>
        <v>81114412</v>
      </c>
      <c r="N208" s="60">
        <f t="shared" si="8"/>
        <v>-144.78202</v>
      </c>
      <c r="O208" s="61" t="str">
        <f t="shared" si="9"/>
        <v>81,1M</v>
      </c>
      <c r="P208" s="56">
        <f t="shared" si="10"/>
        <v>6</v>
      </c>
      <c r="Q208" s="105" t="s">
        <v>9</v>
      </c>
      <c r="R208" s="10"/>
      <c r="S208" s="59">
        <f t="array" ref="S208">IF(COUNTA(Q208:Q1673)=0,"",SUM((COUNTIF(Q$4:Q208,Upgrades!$B$3:$B$13)-COUNTIF(Q$4:Q208,"Sell_"&amp;Upgrades!$B$3:$B$13))*Upgrades!$D$3:$D$13))</f>
        <v>169410</v>
      </c>
      <c r="T208" s="66">
        <f>IFERROR(__xludf.DUMMYFUNCTION("IF(COUNTA(Q208:Q1673)=0,"""",IF(REGEXMATCH(INDEX(FILTER(Q$4:Q208,Q$4:Q208&lt;&gt;""""),ROWS(FILTER(Q$4:Q208,Q$4:Q208&lt;&gt;""""))),""^Sell_""),INDEX(FILTER(T$4:T207,Q$4:Q207&lt;&gt;""""),ROWS(FILTER(Q$4:Q207,Q$4:Q207&lt;&gt;""""))),$AD$5+S208))"),169425.0)</f>
        <v>169425</v>
      </c>
      <c r="U208" s="10">
        <f>IFERROR(__xludf.DUMMYFUNCTION("IF(COUNTA(Q208:Q1673)=0,"""",IF(Q208="""",0,IF(REGEXMATCH(Q208,""^Sell_""),-ROUNDDOWN(ROUNDUP(INDEX(Upgrades!$C$3:$C$13,MATCH(SUBSTITUTE(Q208,""Sell_"",""""),Upgrades!$B$3:$B$13,0))*1.15^(COUNTIF(Q$4:Q207,SUBSTITUTE(Q208,""Sell_"",""""))-COUNTIF(Q$4:Q207,"&amp;"""Sell_""&amp;SUBSTITUTE(Q208,""Sell_"",""""))))/2),ROUNDUP(INDEX(Upgrades!$C$3:$C$13,MATCH(Q208,Upgrades!$B$3:$B$13,0))*1.15^(COUNTIF(Q$4:Q207,Q208)-COUNTIF(Q$4:Q207,""Sell_""&amp;Q208))))))"),402272.0)</f>
        <v>402272</v>
      </c>
      <c r="V208" s="10">
        <f t="shared" si="11"/>
        <v>402272</v>
      </c>
      <c r="W208" s="68">
        <f t="shared" si="12"/>
        <v>5241.679667</v>
      </c>
      <c r="X208" s="59" t="str">
        <f t="shared" si="13"/>
        <v>1h 27m 21s</v>
      </c>
      <c r="Y208" s="69">
        <f t="shared" si="14"/>
        <v>188727985</v>
      </c>
      <c r="Z208" s="11"/>
    </row>
    <row r="209">
      <c r="A209" s="8"/>
      <c r="B209" s="56" t="str">
        <f t="shared" si="2"/>
        <v/>
      </c>
      <c r="C209" s="105"/>
      <c r="D209" s="10"/>
      <c r="E209" s="59" t="str">
        <f t="array" ref="E209">IF(COUNTA(C209:C1673)=0,"",SUM((COUNTIF(C$4:C209,Upgrades!$B$3:$B$13)-COUNTIF(C$4:C209,"Sell_"&amp;Upgrades!$B$3:$B$13))*Upgrades!$D$3:$D$13))</f>
        <v/>
      </c>
      <c r="F209" s="66" t="str">
        <f>IFERROR(__xludf.DUMMYFUNCTION("IF(COUNTA(C209:C1673)=0,"""",IF(REGEXMATCH(INDEX(FILTER(C$4:C209,C$4:C209&lt;&gt;""""),ROWS(FILTER(C$4:C209,C$4:C209&lt;&gt;""""))),""^Sell_""),INDEX(FILTER(F$4:F208,C$4:C208&lt;&gt;""""),ROWS(FILTER(C$4:C208,C$4:C208&lt;&gt;""""))),$AC$5+E209))"),"")</f>
        <v/>
      </c>
      <c r="G209" s="10" t="str">
        <f>IFERROR(__xludf.DUMMYFUNCTION("IF(COUNTA(C209:C1673)=0,"""",IF(C209="""",0,IF(REGEXMATCH(C209,""^Sell_""),-ROUNDDOWN(ROUNDUP(INDEX(Upgrades!$C$3:$C$13,MATCH(SUBSTITUTE(C209,""Sell_"",""""),Upgrades!$B$3:$B$13,0))*1.15^(COUNTIF(C$4:C208,SUBSTITUTE(C209,""Sell_"",""""))-COUNTIF(C$4:C208,"&amp;"""Sell_""&amp;SUBSTITUTE(C209,""Sell_"",""""))))/2),ROUNDUP(INDEX(Upgrades!$C$3:$C$13,MATCH(C209,Upgrades!$B$3:$B$13,0))*1.15^(COUNTIF(C$4:C208,C209)-COUNTIF(C$4:C208,""Sell_""&amp;C209))))))"),"")</f>
        <v/>
      </c>
      <c r="H209" s="10" t="str">
        <f t="shared" si="3"/>
        <v/>
      </c>
      <c r="I209" s="68" t="str">
        <f t="shared" si="4"/>
        <v/>
      </c>
      <c r="J209" s="59" t="str">
        <f t="shared" si="5"/>
        <v/>
      </c>
      <c r="K209" s="69" t="str">
        <f t="shared" si="6"/>
        <v/>
      </c>
      <c r="L209" s="60">
        <f t="shared" si="7"/>
        <v>-130.38284</v>
      </c>
      <c r="M209" s="61">
        <f>IFERROR(__xludf.DUMMYFUNCTION("IFS(AND(COUNTA(C209:C1673)=0,COUNTA(Q209:Q1673)=0),"""",OR(AND(K209&gt;=1000000000,OR(Y209&gt;=1000000000,COUNTA(Q209:Q1673)=0)),OR(Y209&gt;=1000000000,AND(COUNTA(C209:C1673)=0,P$3=TRUE))),
ROUNDDOWN((AB$1-AC$1)*MAX(INDEX(T$4:T1673,MATCH(LARGE(FILTER(Y$4:Y1673,Y$4"&amp;":Y1673&lt;1000000000),1),Y$4:Y1673)),INDEX(F$4:F1673,MATCH(LARGE(FILTER(K$4:K1673,K$4:K1673&lt;1000000000),1),K$4:K1673)))),AND(K209&lt;1000000000,COUNTA(C209:C1673)&gt;0,P$3=FALSE),
ROUNDDOWN(INDEX(Y$4:Y1673,MATCH(LARGE(FILTER(W$4:W1673,W$4:W1673&lt;=I209),1),W$4:W1673"&amp;"))+(I209-LARGE(FILTER(W$4:W1673,W$4:W1673&lt;=I209),1))*INDEX(T$4:T1673,MATCH(LARGE(FILTER(W$4:W1673,W$4:W1673&lt;=I209),1),W$4:W1673))-K209),1,
ROUNDDOWN(Y209-INDEX(K$4:K1673,MATCH(LARGE(FILTER(I$4:I1673,I$4:I1673&lt;=W209),1),I$4:I1673))-(W209-LARGE(FILTER(I$4:I"&amp;"1673,I$4:I1673&lt;=W209),1))*INDEX(F$4:F1673,MATCH(LARGE(FILTER(I$4:I1673,I$4:I1673&lt;=W209),1),I$4:I1673))))"),1.4818793E7)</f>
        <v>14818793</v>
      </c>
      <c r="N209" s="60">
        <f t="shared" si="8"/>
        <v>-130.38284</v>
      </c>
      <c r="O209" s="61" t="str">
        <f t="shared" si="9"/>
        <v>14,8M</v>
      </c>
      <c r="P209" s="56">
        <f t="shared" si="10"/>
        <v>11</v>
      </c>
      <c r="Q209" s="105" t="s">
        <v>10</v>
      </c>
      <c r="R209" s="10"/>
      <c r="S209" s="59">
        <f t="array" ref="S209">IF(COUNTA(Q209:Q1673)=0,"",SUM((COUNTIF(Q$4:Q209,Upgrades!$B$3:$B$13)-COUNTIF(Q$4:Q209,"Sell_"&amp;Upgrades!$B$3:$B$13))*Upgrades!$D$3:$D$13))</f>
        <v>176076</v>
      </c>
      <c r="T209" s="66">
        <f>IFERROR(__xludf.DUMMYFUNCTION("IF(COUNTA(Q209:Q1673)=0,"""",IF(REGEXMATCH(INDEX(FILTER(Q$4:Q209,Q$4:Q209&lt;&gt;""""),ROWS(FILTER(Q$4:Q209,Q$4:Q209&lt;&gt;""""))),""^Sell_""),INDEX(FILTER(T$4:T208,Q$4:Q208&lt;&gt;""""),ROWS(FILTER(Q$4:Q208,Q$4:Q208&lt;&gt;""""))),$AD$5+S209))"),176091.0)</f>
        <v>176091</v>
      </c>
      <c r="U209" s="10">
        <f>IFERROR(__xludf.DUMMYFUNCTION("IF(COUNTA(Q209:Q1673)=0,"""",IF(Q209="""",0,IF(REGEXMATCH(Q209,""^Sell_""),-ROUNDDOWN(ROUNDUP(INDEX(Upgrades!$C$3:$C$13,MATCH(SUBSTITUTE(Q209,""Sell_"",""""),Upgrades!$B$3:$B$13,0))*1.15^(COUNTIF(Q$4:Q208,SUBSTITUTE(Q209,""Sell_"",""""))-COUNTIF(Q$4:Q208,"&amp;"""Sell_""&amp;SUBSTITUTE(Q209,""Sell_"",""""))))/2),ROUNDUP(INDEX(Upgrades!$C$3:$C$13,MATCH(Q209,Upgrades!$B$3:$B$13,0))*1.15^(COUNTIF(Q$4:Q208,Q209)-COUNTIF(Q$4:Q208,""Sell_""&amp;Q209))))))"),6742594.0)</f>
        <v>6742594</v>
      </c>
      <c r="V209" s="10">
        <f t="shared" si="11"/>
        <v>6742594</v>
      </c>
      <c r="W209" s="68">
        <f t="shared" si="12"/>
        <v>5281.476592</v>
      </c>
      <c r="X209" s="59" t="str">
        <f t="shared" si="13"/>
        <v>1h 28m 01s</v>
      </c>
      <c r="Y209" s="69">
        <f t="shared" si="14"/>
        <v>195470579</v>
      </c>
      <c r="Z209" s="11"/>
    </row>
    <row r="210">
      <c r="A210" s="8"/>
      <c r="B210" s="56" t="str">
        <f t="shared" si="2"/>
        <v/>
      </c>
      <c r="C210" s="105"/>
      <c r="D210" s="10"/>
      <c r="E210" s="59" t="str">
        <f t="array" ref="E210">IF(COUNTA(C210:C1673)=0,"",SUM((COUNTIF(C$4:C210,Upgrades!$B$3:$B$13)-COUNTIF(C$4:C210,"Sell_"&amp;Upgrades!$B$3:$B$13))*Upgrades!$D$3:$D$13))</f>
        <v/>
      </c>
      <c r="F210" s="66" t="str">
        <f>IFERROR(__xludf.DUMMYFUNCTION("IF(COUNTA(C210:C1673)=0,"""",IF(REGEXMATCH(INDEX(FILTER(C$4:C210,C$4:C210&lt;&gt;""""),ROWS(FILTER(C$4:C210,C$4:C210&lt;&gt;""""))),""^Sell_""),INDEX(FILTER(F$4:F209,C$4:C209&lt;&gt;""""),ROWS(FILTER(C$4:C209,C$4:C209&lt;&gt;""""))),$AC$5+E210))"),"")</f>
        <v/>
      </c>
      <c r="G210" s="10" t="str">
        <f>IFERROR(__xludf.DUMMYFUNCTION("IF(COUNTA(C210:C1673)=0,"""",IF(C210="""",0,IF(REGEXMATCH(C210,""^Sell_""),-ROUNDDOWN(ROUNDUP(INDEX(Upgrades!$C$3:$C$13,MATCH(SUBSTITUTE(C210,""Sell_"",""""),Upgrades!$B$3:$B$13,0))*1.15^(COUNTIF(C$4:C209,SUBSTITUTE(C210,""Sell_"",""""))-COUNTIF(C$4:C209,"&amp;"""Sell_""&amp;SUBSTITUTE(C210,""Sell_"",""""))))/2),ROUNDUP(INDEX(Upgrades!$C$3:$C$13,MATCH(C210,Upgrades!$B$3:$B$13,0))*1.15^(COUNTIF(C$4:C209,C210)-COUNTIF(C$4:C209,""Sell_""&amp;C210))))))"),"")</f>
        <v/>
      </c>
      <c r="H210" s="10" t="str">
        <f t="shared" si="3"/>
        <v/>
      </c>
      <c r="I210" s="68" t="str">
        <f t="shared" si="4"/>
        <v/>
      </c>
      <c r="J210" s="59" t="str">
        <f t="shared" si="5"/>
        <v/>
      </c>
      <c r="K210" s="69" t="str">
        <f t="shared" si="6"/>
        <v/>
      </c>
      <c r="L210" s="60">
        <f t="shared" si="7"/>
        <v>-130.71477</v>
      </c>
      <c r="M210" s="61">
        <f>IFERROR(__xludf.DUMMYFUNCTION("IFS(AND(COUNTA(C210:C1673)=0,COUNTA(Q210:Q1673)=0),"""",OR(AND(K210&gt;=1000000000,OR(Y210&gt;=1000000000,COUNTA(Q210:Q1673)=0)),OR(Y210&gt;=1000000000,AND(COUNTA(C210:C1673)=0,P$3=TRUE))),
ROUNDDOWN((AB$1-AC$1)*MAX(INDEX(T$4:T1673,MATCH(LARGE(FILTER(Y$4:Y1673,Y$4"&amp;":Y1673&lt;1000000000),1),Y$4:Y1673)),INDEX(F$4:F1673,MATCH(LARGE(FILTER(K$4:K1673,K$4:K1673&lt;1000000000),1),K$4:K1673)))),AND(K210&lt;1000000000,COUNTA(C210:C1673)&gt;0,P$3=FALSE),
ROUNDDOWN(INDEX(Y$4:Y1673,MATCH(LARGE(FILTER(W$4:W1673,W$4:W1673&lt;=I210),1),W$4:W1673"&amp;"))+(I210-LARGE(FILTER(W$4:W1673,W$4:W1673&lt;=I210),1))*INDEX(T$4:T1673,MATCH(LARGE(FILTER(W$4:W1673,W$4:W1673&lt;=I210),1),W$4:W1673))-K210),1,
ROUNDDOWN(Y210-INDEX(K$4:K1673,MATCH(LARGE(FILTER(I$4:I1673,I$4:I1673&lt;=W210),1),I$4:I1673))-(W210-LARGE(FILTER(I$4:I"&amp;"1673,I$4:I1673&lt;=W210),1))*INDEX(F$4:F1673,MATCH(LARGE(FILTER(I$4:I1673,I$4:I1673&lt;=W210),1),I$4:I1673))))"),1.4856518E7)</f>
        <v>14856518</v>
      </c>
      <c r="N210" s="60">
        <f t="shared" si="8"/>
        <v>-130.71477</v>
      </c>
      <c r="O210" s="61" t="str">
        <f t="shared" si="9"/>
        <v>14,9M</v>
      </c>
      <c r="P210" s="56">
        <f t="shared" si="10"/>
        <v>8</v>
      </c>
      <c r="Q210" s="105" t="s">
        <v>8</v>
      </c>
      <c r="R210" s="10"/>
      <c r="S210" s="59">
        <f t="array" ref="S210">IF(COUNTA(Q210:Q1673)=0,"",SUM((COUNTIF(Q$4:Q210,Upgrades!$B$3:$B$13)-COUNTIF(Q$4:Q210,"Sell_"&amp;Upgrades!$B$3:$B$13))*Upgrades!$D$3:$D$13))</f>
        <v>176176</v>
      </c>
      <c r="T210" s="66">
        <f>IFERROR(__xludf.DUMMYFUNCTION("IF(COUNTA(Q210:Q1673)=0,"""",IF(REGEXMATCH(INDEX(FILTER(Q$4:Q210,Q$4:Q210&lt;&gt;""""),ROWS(FILTER(Q$4:Q210,Q$4:Q210&lt;&gt;""""))),""^Sell_""),INDEX(FILTER(T$4:T209,Q$4:Q209&lt;&gt;""""),ROWS(FILTER(Q$4:Q209,Q$4:Q209&lt;&gt;""""))),$AD$5+S210))"),176191.0)</f>
        <v>176191</v>
      </c>
      <c r="U210" s="10">
        <f>IFERROR(__xludf.DUMMYFUNCTION("IF(COUNTA(Q210:Q1673)=0,"""",IF(Q210="""",0,IF(REGEXMATCH(Q210,""^Sell_""),-ROUNDDOWN(ROUNDUP(INDEX(Upgrades!$C$3:$C$13,MATCH(SUBSTITUTE(Q210,""Sell_"",""""),Upgrades!$B$3:$B$13,0))*1.15^(COUNTIF(Q$4:Q209,SUBSTITUTE(Q210,""Sell_"",""""))-COUNTIF(Q$4:Q209,"&amp;"""Sell_""&amp;SUBSTITUTE(Q210,""Sell_"",""""))))/2),ROUNDUP(INDEX(Upgrades!$C$3:$C$13,MATCH(Q210,Upgrades!$B$3:$B$13,0))*1.15^(COUNTIF(Q$4:Q209,Q210)-COUNTIF(Q$4:Q209,""Sell_""&amp;Q210))))))"),106401.0)</f>
        <v>106401</v>
      </c>
      <c r="V210" s="10">
        <f t="shared" si="11"/>
        <v>106401</v>
      </c>
      <c r="W210" s="68">
        <f t="shared" si="12"/>
        <v>5282.080831</v>
      </c>
      <c r="X210" s="59" t="str">
        <f t="shared" si="13"/>
        <v>1h 28m 02s</v>
      </c>
      <c r="Y210" s="69">
        <f t="shared" si="14"/>
        <v>195576980</v>
      </c>
      <c r="Z210" s="11"/>
    </row>
    <row r="211">
      <c r="A211" s="8"/>
      <c r="B211" s="56" t="str">
        <f t="shared" si="2"/>
        <v/>
      </c>
      <c r="C211" s="105"/>
      <c r="D211" s="10"/>
      <c r="E211" s="59" t="str">
        <f t="array" ref="E211">IF(COUNTA(C211:C1673)=0,"",SUM((COUNTIF(C$4:C211,Upgrades!$B$3:$B$13)-COUNTIF(C$4:C211,"Sell_"&amp;Upgrades!$B$3:$B$13))*Upgrades!$D$3:$D$13))</f>
        <v/>
      </c>
      <c r="F211" s="66" t="str">
        <f>IFERROR(__xludf.DUMMYFUNCTION("IF(COUNTA(C211:C1673)=0,"""",IF(REGEXMATCH(INDEX(FILTER(C$4:C211,C$4:C211&lt;&gt;""""),ROWS(FILTER(C$4:C211,C$4:C211&lt;&gt;""""))),""^Sell_""),INDEX(FILTER(F$4:F210,C$4:C210&lt;&gt;""""),ROWS(FILTER(C$4:C210,C$4:C210&lt;&gt;""""))),$AC$5+E211))"),"")</f>
        <v/>
      </c>
      <c r="G211" s="10" t="str">
        <f>IFERROR(__xludf.DUMMYFUNCTION("IF(COUNTA(C211:C1673)=0,"""",IF(C211="""",0,IF(REGEXMATCH(C211,""^Sell_""),-ROUNDDOWN(ROUNDUP(INDEX(Upgrades!$C$3:$C$13,MATCH(SUBSTITUTE(C211,""Sell_"",""""),Upgrades!$B$3:$B$13,0))*1.15^(COUNTIF(C$4:C210,SUBSTITUTE(C211,""Sell_"",""""))-COUNTIF(C$4:C210,"&amp;"""Sell_""&amp;SUBSTITUTE(C211,""Sell_"",""""))))/2),ROUNDUP(INDEX(Upgrades!$C$3:$C$13,MATCH(C211,Upgrades!$B$3:$B$13,0))*1.15^(COUNTIF(C$4:C210,C211)-COUNTIF(C$4:C210,""Sell_""&amp;C211))))))"),"")</f>
        <v/>
      </c>
      <c r="H211" s="10" t="str">
        <f t="shared" si="3"/>
        <v/>
      </c>
      <c r="I211" s="68" t="str">
        <f t="shared" si="4"/>
        <v/>
      </c>
      <c r="J211" s="59" t="str">
        <f t="shared" si="5"/>
        <v/>
      </c>
      <c r="K211" s="69" t="str">
        <f t="shared" si="6"/>
        <v/>
      </c>
      <c r="L211" s="60">
        <f t="shared" si="7"/>
        <v>-132.15943</v>
      </c>
      <c r="M211" s="61">
        <f>IFERROR(__xludf.DUMMYFUNCTION("IFS(AND(COUNTA(C211:C1673)=0,COUNTA(Q211:Q1673)=0),"""",OR(AND(K211&gt;=1000000000,OR(Y211&gt;=1000000000,COUNTA(Q211:Q1673)=0)),OR(Y211&gt;=1000000000,AND(COUNTA(C211:C1673)=0,P$3=TRUE))),
ROUNDDOWN((AB$1-AC$1)*MAX(INDEX(T$4:T1673,MATCH(LARGE(FILTER(Y$4:Y1673,Y$4"&amp;":Y1673&lt;1000000000),1),Y$4:Y1673)),INDEX(F$4:F1673,MATCH(LARGE(FILTER(K$4:K1673,K$4:K1673&lt;1000000000),1),K$4:K1673)))),AND(K211&lt;1000000000,COUNTA(C211:C1673)&gt;0,P$3=FALSE),
ROUNDDOWN(INDEX(Y$4:Y1673,MATCH(LARGE(FILTER(W$4:W1673,W$4:W1673&lt;=I211),1),W$4:W1673"&amp;"))+(I211-LARGE(FILTER(W$4:W1673,W$4:W1673&lt;=I211),1))*INDEX(T$4:T1673,MATCH(LARGE(FILTER(W$4:W1673,W$4:W1673&lt;=I211),1),W$4:W1673))-K211),1,
ROUNDDOWN(Y211-INDEX(K$4:K1673,MATCH(LARGE(FILTER(I$4:I1673,I$4:I1673&lt;=W211),1),I$4:I1673))-(W211-LARGE(FILTER(I$4:I"&amp;"1673,I$4:I1673&lt;=W211),1))*INDEX(F$4:F1673,MATCH(LARGE(FILTER(I$4:I1673,I$4:I1673&lt;=W211),1),I$4:I1673))))"),1.5020712E7)</f>
        <v>15020712</v>
      </c>
      <c r="N211" s="60">
        <f t="shared" si="8"/>
        <v>-132.15943</v>
      </c>
      <c r="O211" s="61" t="str">
        <f t="shared" si="9"/>
        <v>15,0M</v>
      </c>
      <c r="P211" s="56">
        <f t="shared" si="10"/>
        <v>7</v>
      </c>
      <c r="Q211" s="105" t="s">
        <v>9</v>
      </c>
      <c r="R211" s="10"/>
      <c r="S211" s="59">
        <f t="array" ref="S211">IF(COUNTA(Q211:Q1673)=0,"",SUM((COUNTIF(Q$4:Q211,Upgrades!$B$3:$B$13)-COUNTIF(Q$4:Q211,"Sell_"&amp;Upgrades!$B$3:$B$13))*Upgrades!$D$3:$D$13))</f>
        <v>176576</v>
      </c>
      <c r="T211" s="66">
        <f>IFERROR(__xludf.DUMMYFUNCTION("IF(COUNTA(Q211:Q1673)=0,"""",IF(REGEXMATCH(INDEX(FILTER(Q$4:Q211,Q$4:Q211&lt;&gt;""""),ROWS(FILTER(Q$4:Q211,Q$4:Q211&lt;&gt;""""))),""^Sell_""),INDEX(FILTER(T$4:T210,Q$4:Q210&lt;&gt;""""),ROWS(FILTER(Q$4:Q210,Q$4:Q210&lt;&gt;""""))),$AD$5+S211))"),176591.0)</f>
        <v>176591</v>
      </c>
      <c r="U211" s="10">
        <f>IFERROR(__xludf.DUMMYFUNCTION("IF(COUNTA(Q211:Q1673)=0,"""",IF(Q211="""",0,IF(REGEXMATCH(Q211,""^Sell_""),-ROUNDDOWN(ROUNDUP(INDEX(Upgrades!$C$3:$C$13,MATCH(SUBSTITUTE(Q211,""Sell_"",""""),Upgrades!$B$3:$B$13,0))*1.15^(COUNTIF(Q$4:Q210,SUBSTITUTE(Q211,""Sell_"",""""))-COUNTIF(Q$4:Q210,"&amp;"""Sell_""&amp;SUBSTITUTE(Q211,""Sell_"",""""))))/2),ROUNDUP(INDEX(Upgrades!$C$3:$C$13,MATCH(Q211,Upgrades!$B$3:$B$13,0))*1.15^(COUNTIF(Q$4:Q210,Q211)-COUNTIF(Q$4:Q210,""Sell_""&amp;Q211))))))"),462613.0)</f>
        <v>462613</v>
      </c>
      <c r="V211" s="10">
        <f t="shared" si="11"/>
        <v>462613</v>
      </c>
      <c r="W211" s="68">
        <f t="shared" si="12"/>
        <v>5284.706464</v>
      </c>
      <c r="X211" s="59" t="str">
        <f t="shared" si="13"/>
        <v>1h 28m 04s</v>
      </c>
      <c r="Y211" s="69">
        <f t="shared" si="14"/>
        <v>196039593</v>
      </c>
      <c r="Z211" s="11"/>
    </row>
    <row r="212">
      <c r="A212" s="8"/>
      <c r="B212" s="56" t="str">
        <f t="shared" si="2"/>
        <v/>
      </c>
      <c r="C212" s="105"/>
      <c r="D212" s="10"/>
      <c r="E212" s="59" t="str">
        <f t="array" ref="E212">IF(COUNTA(C212:C1673)=0,"",SUM((COUNTIF(C$4:C212,Upgrades!$B$3:$B$13)-COUNTIF(C$4:C212,"Sell_"&amp;Upgrades!$B$3:$B$13))*Upgrades!$D$3:$D$13))</f>
        <v/>
      </c>
      <c r="F212" s="66" t="str">
        <f>IFERROR(__xludf.DUMMYFUNCTION("IF(COUNTA(C212:C1673)=0,"""",IF(REGEXMATCH(INDEX(FILTER(C$4:C212,C$4:C212&lt;&gt;""""),ROWS(FILTER(C$4:C212,C$4:C212&lt;&gt;""""))),""^Sell_""),INDEX(FILTER(F$4:F211,C$4:C211&lt;&gt;""""),ROWS(FILTER(C$4:C211,C$4:C211&lt;&gt;""""))),$AC$5+E212))"),"")</f>
        <v/>
      </c>
      <c r="G212" s="10" t="str">
        <f>IFERROR(__xludf.DUMMYFUNCTION("IF(COUNTA(C212:C1673)=0,"""",IF(C212="""",0,IF(REGEXMATCH(C212,""^Sell_""),-ROUNDDOWN(ROUNDUP(INDEX(Upgrades!$C$3:$C$13,MATCH(SUBSTITUTE(C212,""Sell_"",""""),Upgrades!$B$3:$B$13,0))*1.15^(COUNTIF(C$4:C211,SUBSTITUTE(C212,""Sell_"",""""))-COUNTIF(C$4:C211,"&amp;"""Sell_""&amp;SUBSTITUTE(C212,""Sell_"",""""))))/2),ROUNDUP(INDEX(Upgrades!$C$3:$C$13,MATCH(C212,Upgrades!$B$3:$B$13,0))*1.15^(COUNTIF(C$4:C211,C212)-COUNTIF(C$4:C211,""Sell_""&amp;C212))))))"),"")</f>
        <v/>
      </c>
      <c r="H212" s="10" t="str">
        <f t="shared" si="3"/>
        <v/>
      </c>
      <c r="I212" s="68" t="str">
        <f t="shared" si="4"/>
        <v/>
      </c>
      <c r="J212" s="59" t="str">
        <f t="shared" si="5"/>
        <v/>
      </c>
      <c r="K212" s="69" t="str">
        <f t="shared" si="6"/>
        <v/>
      </c>
      <c r="L212" s="60">
        <f t="shared" si="7"/>
        <v>-156.47341</v>
      </c>
      <c r="M212" s="61">
        <f>IFERROR(__xludf.DUMMYFUNCTION("IFS(AND(COUNTA(C212:C1673)=0,COUNTA(Q212:Q1673)=0),"""",OR(AND(K212&gt;=1000000000,OR(Y212&gt;=1000000000,COUNTA(Q212:Q1673)=0)),OR(Y212&gt;=1000000000,AND(COUNTA(C212:C1673)=0,P$3=TRUE))),
ROUNDDOWN((AB$1-AC$1)*MAX(INDEX(T$4:T1673,MATCH(LARGE(FILTER(Y$4:Y1673,Y$4"&amp;":Y1673&lt;1000000000),1),Y$4:Y1673)),INDEX(F$4:F1673,MATCH(LARGE(FILTER(K$4:K1673,K$4:K1673&lt;1000000000),1),K$4:K1673)))),AND(K212&lt;1000000000,COUNTA(C212:C1673)&gt;0,P$3=FALSE),
ROUNDDOWN(INDEX(Y$4:Y1673,MATCH(LARGE(FILTER(W$4:W1673,W$4:W1673&lt;=I212),1),W$4:W1673"&amp;"))+(I212-LARGE(FILTER(W$4:W1673,W$4:W1673&lt;=I212),1))*INDEX(T$4:T1673,MATCH(LARGE(FILTER(W$4:W1673,W$4:W1673&lt;=I212),1),W$4:W1673))-K212),1,
ROUNDDOWN(Y212-INDEX(K$4:K1673,MATCH(LARGE(FILTER(I$4:I1673,I$4:I1673&lt;=W212),1),I$4:I1673))-(W212-LARGE(FILTER(I$4:I"&amp;"1673,I$4:I1673&lt;=W212),1))*INDEX(F$4:F1673,MATCH(LARGE(FILTER(I$4:I1673,I$4:I1673&lt;=W212),1),I$4:I1673))))"),1.7784143E7)</f>
        <v>17784143</v>
      </c>
      <c r="N212" s="60">
        <f t="shared" si="8"/>
        <v>-156.47341</v>
      </c>
      <c r="O212" s="61" t="str">
        <f t="shared" si="9"/>
        <v>17,8M</v>
      </c>
      <c r="P212" s="56">
        <f t="shared" si="10"/>
        <v>12</v>
      </c>
      <c r="Q212" s="105" t="s">
        <v>10</v>
      </c>
      <c r="R212" s="10"/>
      <c r="S212" s="59">
        <f t="array" ref="S212">IF(COUNTA(Q212:Q1673)=0,"",SUM((COUNTIF(Q$4:Q212,Upgrades!$B$3:$B$13)-COUNTIF(Q$4:Q212,"Sell_"&amp;Upgrades!$B$3:$B$13))*Upgrades!$D$3:$D$13))</f>
        <v>183242</v>
      </c>
      <c r="T212" s="66">
        <f>IFERROR(__xludf.DUMMYFUNCTION("IF(COUNTA(Q212:Q1673)=0,"""",IF(REGEXMATCH(INDEX(FILTER(Q$4:Q212,Q$4:Q212&lt;&gt;""""),ROWS(FILTER(Q$4:Q212,Q$4:Q212&lt;&gt;""""))),""^Sell_""),INDEX(FILTER(T$4:T211,Q$4:Q211&lt;&gt;""""),ROWS(FILTER(Q$4:Q211,Q$4:Q211&lt;&gt;""""))),$AD$5+S212))"),183257.0)</f>
        <v>183257</v>
      </c>
      <c r="U212" s="10">
        <f>IFERROR(__xludf.DUMMYFUNCTION("IF(COUNTA(Q212:Q1673)=0,"""",IF(Q212="""",0,IF(REGEXMATCH(Q212,""^Sell_""),-ROUNDDOWN(ROUNDUP(INDEX(Upgrades!$C$3:$C$13,MATCH(SUBSTITUTE(Q212,""Sell_"",""""),Upgrades!$B$3:$B$13,0))*1.15^(COUNTIF(Q$4:Q211,SUBSTITUTE(Q212,""Sell_"",""""))-COUNTIF(Q$4:Q211,"&amp;"""Sell_""&amp;SUBSTITUTE(Q212,""Sell_"",""""))))/2),ROUNDUP(INDEX(Upgrades!$C$3:$C$13,MATCH(Q212,Upgrades!$B$3:$B$13,0))*1.15^(COUNTIF(Q$4:Q211,Q212)-COUNTIF(Q$4:Q211,""Sell_""&amp;Q212))))))"),7753983.0)</f>
        <v>7753983</v>
      </c>
      <c r="V212" s="10">
        <f t="shared" si="11"/>
        <v>7753983</v>
      </c>
      <c r="W212" s="68">
        <f t="shared" si="12"/>
        <v>5328.61574</v>
      </c>
      <c r="X212" s="59" t="str">
        <f t="shared" si="13"/>
        <v>1h 28m 48s</v>
      </c>
      <c r="Y212" s="69">
        <f t="shared" si="14"/>
        <v>203793576</v>
      </c>
      <c r="Z212" s="11"/>
    </row>
    <row r="213">
      <c r="A213" s="8"/>
      <c r="B213" s="56" t="str">
        <f t="shared" si="2"/>
        <v/>
      </c>
      <c r="C213" s="105"/>
      <c r="D213" s="10"/>
      <c r="E213" s="59" t="str">
        <f t="array" ref="E213">IF(COUNTA(C213:C1673)=0,"",SUM((COUNTIF(C$4:C213,Upgrades!$B$3:$B$13)-COUNTIF(C$4:C213,"Sell_"&amp;Upgrades!$B$3:$B$13))*Upgrades!$D$3:$D$13))</f>
        <v/>
      </c>
      <c r="F213" s="66" t="str">
        <f>IFERROR(__xludf.DUMMYFUNCTION("IF(COUNTA(C213:C1673)=0,"""",IF(REGEXMATCH(INDEX(FILTER(C$4:C213,C$4:C213&lt;&gt;""""),ROWS(FILTER(C$4:C213,C$4:C213&lt;&gt;""""))),""^Sell_""),INDEX(FILTER(F$4:F212,C$4:C212&lt;&gt;""""),ROWS(FILTER(C$4:C212,C$4:C212&lt;&gt;""""))),$AC$5+E213))"),"")</f>
        <v/>
      </c>
      <c r="G213" s="10" t="str">
        <f>IFERROR(__xludf.DUMMYFUNCTION("IF(COUNTA(C213:C1673)=0,"""",IF(C213="""",0,IF(REGEXMATCH(C213,""^Sell_""),-ROUNDDOWN(ROUNDUP(INDEX(Upgrades!$C$3:$C$13,MATCH(SUBSTITUTE(C213,""Sell_"",""""),Upgrades!$B$3:$B$13,0))*1.15^(COUNTIF(C$4:C212,SUBSTITUTE(C213,""Sell_"",""""))-COUNTIF(C$4:C212,"&amp;"""Sell_""&amp;SUBSTITUTE(C213,""Sell_"",""""))))/2),ROUNDUP(INDEX(Upgrades!$C$3:$C$13,MATCH(C213,Upgrades!$B$3:$B$13,0))*1.15^(COUNTIF(C$4:C212,C213)-COUNTIF(C$4:C212,""Sell_""&amp;C213))))))"),"")</f>
        <v/>
      </c>
      <c r="H213" s="10" t="str">
        <f t="shared" si="3"/>
        <v/>
      </c>
      <c r="I213" s="68" t="str">
        <f t="shared" si="4"/>
        <v/>
      </c>
      <c r="J213" s="59" t="str">
        <f t="shared" si="5"/>
        <v/>
      </c>
      <c r="K213" s="69" t="str">
        <f t="shared" si="6"/>
        <v/>
      </c>
      <c r="L213" s="60">
        <f t="shared" si="7"/>
        <v>-156.8823</v>
      </c>
      <c r="M213" s="61">
        <f>IFERROR(__xludf.DUMMYFUNCTION("IFS(AND(COUNTA(C213:C1673)=0,COUNTA(Q213:Q1673)=0),"""",OR(AND(K213&gt;=1000000000,OR(Y213&gt;=1000000000,COUNTA(Q213:Q1673)=0)),OR(Y213&gt;=1000000000,AND(COUNTA(C213:C1673)=0,P$3=TRUE))),
ROUNDDOWN((AB$1-AC$1)*MAX(INDEX(T$4:T1673,MATCH(LARGE(FILTER(Y$4:Y1673,Y$4"&amp;":Y1673&lt;1000000000),1),Y$4:Y1673)),INDEX(F$4:F1673,MATCH(LARGE(FILTER(K$4:K1673,K$4:K1673&lt;1000000000),1),K$4:K1673)))),AND(K213&lt;1000000000,COUNTA(C213:C1673)&gt;0,P$3=FALSE),
ROUNDDOWN(INDEX(Y$4:Y1673,MATCH(LARGE(FILTER(W$4:W1673,W$4:W1673&lt;=I213),1),W$4:W1673"&amp;"))+(I213-LARGE(FILTER(W$4:W1673,W$4:W1673&lt;=I213),1))*INDEX(T$4:T1673,MATCH(LARGE(FILTER(W$4:W1673,W$4:W1673&lt;=I213),1),W$4:W1673))-K213),1,
ROUNDDOWN(Y213-INDEX(K$4:K1673,MATCH(LARGE(FILTER(I$4:I1673,I$4:I1673&lt;=W213),1),I$4:I1673))-(W213-LARGE(FILTER(I$4:I"&amp;"1673,I$4:I1673&lt;=W213),1))*INDEX(F$4:F1673,MATCH(LARGE(FILTER(I$4:I1673,I$4:I1673&lt;=W213),1),I$4:I1673))))"),1.7830615E7)</f>
        <v>17830615</v>
      </c>
      <c r="N213" s="60">
        <f t="shared" si="8"/>
        <v>-156.8823</v>
      </c>
      <c r="O213" s="61" t="str">
        <f t="shared" si="9"/>
        <v>17,8M</v>
      </c>
      <c r="P213" s="56">
        <f t="shared" si="10"/>
        <v>9</v>
      </c>
      <c r="Q213" s="105" t="s">
        <v>8</v>
      </c>
      <c r="R213" s="10"/>
      <c r="S213" s="59">
        <f t="array" ref="S213">IF(COUNTA(Q213:Q1673)=0,"",SUM((COUNTIF(Q$4:Q213,Upgrades!$B$3:$B$13)-COUNTIF(Q$4:Q213,"Sell_"&amp;Upgrades!$B$3:$B$13))*Upgrades!$D$3:$D$13))</f>
        <v>183342</v>
      </c>
      <c r="T213" s="66">
        <f>IFERROR(__xludf.DUMMYFUNCTION("IF(COUNTA(Q213:Q1673)=0,"""",IF(REGEXMATCH(INDEX(FILTER(Q$4:Q213,Q$4:Q213&lt;&gt;""""),ROWS(FILTER(Q$4:Q213,Q$4:Q213&lt;&gt;""""))),""^Sell_""),INDEX(FILTER(T$4:T212,Q$4:Q212&lt;&gt;""""),ROWS(FILTER(Q$4:Q212,Q$4:Q212&lt;&gt;""""))),$AD$5+S213))"),183357.0)</f>
        <v>183357</v>
      </c>
      <c r="U213" s="10">
        <f>IFERROR(__xludf.DUMMYFUNCTION("IF(COUNTA(Q213:Q1673)=0,"""",IF(Q213="""",0,IF(REGEXMATCH(Q213,""^Sell_""),-ROUNDDOWN(ROUNDUP(INDEX(Upgrades!$C$3:$C$13,MATCH(SUBSTITUTE(Q213,""Sell_"",""""),Upgrades!$B$3:$B$13,0))*1.15^(COUNTIF(Q$4:Q212,SUBSTITUTE(Q213,""Sell_"",""""))-COUNTIF(Q$4:Q212,"&amp;"""Sell_""&amp;SUBSTITUTE(Q213,""Sell_"",""""))))/2),ROUNDUP(INDEX(Upgrades!$C$3:$C$13,MATCH(Q213,Upgrades!$B$3:$B$13,0))*1.15^(COUNTIF(Q$4:Q212,Q213)-COUNTIF(Q$4:Q212,""Sell_""&amp;Q213))))))"),122361.0)</f>
        <v>122361</v>
      </c>
      <c r="V213" s="10">
        <f t="shared" si="11"/>
        <v>122361</v>
      </c>
      <c r="W213" s="68">
        <f t="shared" si="12"/>
        <v>5329.283442</v>
      </c>
      <c r="X213" s="59" t="str">
        <f t="shared" si="13"/>
        <v>1h 28m 49s</v>
      </c>
      <c r="Y213" s="69">
        <f t="shared" si="14"/>
        <v>203915937</v>
      </c>
      <c r="Z213" s="11"/>
    </row>
    <row r="214">
      <c r="A214" s="8"/>
      <c r="B214" s="56" t="str">
        <f t="shared" si="2"/>
        <v/>
      </c>
      <c r="C214" s="105"/>
      <c r="D214" s="10"/>
      <c r="E214" s="59" t="str">
        <f t="array" ref="E214">IF(COUNTA(C214:C1673)=0,"",SUM((COUNTIF(C$4:C214,Upgrades!$B$3:$B$13)-COUNTIF(C$4:C214,"Sell_"&amp;Upgrades!$B$3:$B$13))*Upgrades!$D$3:$D$13))</f>
        <v/>
      </c>
      <c r="F214" s="66" t="str">
        <f>IFERROR(__xludf.DUMMYFUNCTION("IF(COUNTA(C214:C1673)=0,"""",IF(REGEXMATCH(INDEX(FILTER(C$4:C214,C$4:C214&lt;&gt;""""),ROWS(FILTER(C$4:C214,C$4:C214&lt;&gt;""""))),""^Sell_""),INDEX(FILTER(F$4:F213,C$4:C213&lt;&gt;""""),ROWS(FILTER(C$4:C213,C$4:C213&lt;&gt;""""))),$AC$5+E214))"),"")</f>
        <v/>
      </c>
      <c r="G214" s="10" t="str">
        <f>IFERROR(__xludf.DUMMYFUNCTION("IF(COUNTA(C214:C1673)=0,"""",IF(C214="""",0,IF(REGEXMATCH(C214,""^Sell_""),-ROUNDDOWN(ROUNDUP(INDEX(Upgrades!$C$3:$C$13,MATCH(SUBSTITUTE(C214,""Sell_"",""""),Upgrades!$B$3:$B$13,0))*1.15^(COUNTIF(C$4:C213,SUBSTITUTE(C214,""Sell_"",""""))-COUNTIF(C$4:C213,"&amp;"""Sell_""&amp;SUBSTITUTE(C214,""Sell_"",""""))))/2),ROUNDUP(INDEX(Upgrades!$C$3:$C$13,MATCH(C214,Upgrades!$B$3:$B$13,0))*1.15^(COUNTIF(C$4:C213,C214)-COUNTIF(C$4:C213,""Sell_""&amp;C214))))))"),"")</f>
        <v/>
      </c>
      <c r="H214" s="10" t="str">
        <f t="shared" si="3"/>
        <v/>
      </c>
      <c r="I214" s="68" t="str">
        <f t="shared" si="4"/>
        <v/>
      </c>
      <c r="J214" s="59" t="str">
        <f t="shared" si="5"/>
        <v/>
      </c>
      <c r="K214" s="69" t="str">
        <f t="shared" si="6"/>
        <v/>
      </c>
      <c r="L214" s="60">
        <f t="shared" si="7"/>
        <v>-158.66166</v>
      </c>
      <c r="M214" s="61">
        <f>IFERROR(__xludf.DUMMYFUNCTION("IFS(AND(COUNTA(C214:C1673)=0,COUNTA(Q214:Q1673)=0),"""",OR(AND(K214&gt;=1000000000,OR(Y214&gt;=1000000000,COUNTA(Q214:Q1673)=0)),OR(Y214&gt;=1000000000,AND(COUNTA(C214:C1673)=0,P$3=TRUE))),
ROUNDDOWN((AB$1-AC$1)*MAX(INDEX(T$4:T1673,MATCH(LARGE(FILTER(Y$4:Y1673,Y$4"&amp;":Y1673&lt;1000000000),1),Y$4:Y1673)),INDEX(F$4:F1673,MATCH(LARGE(FILTER(K$4:K1673,K$4:K1673&lt;1000000000),1),K$4:K1673)))),AND(K214&lt;1000000000,COUNTA(C214:C1673)&gt;0,P$3=FALSE),
ROUNDDOWN(INDEX(Y$4:Y1673,MATCH(LARGE(FILTER(W$4:W1673,W$4:W1673&lt;=I214),1),W$4:W1673"&amp;"))+(I214-LARGE(FILTER(W$4:W1673,W$4:W1673&lt;=I214),1))*INDEX(T$4:T1673,MATCH(LARGE(FILTER(W$4:W1673,W$4:W1673&lt;=I214),1),W$4:W1673))-K214),1,
ROUNDDOWN(Y214-INDEX(K$4:K1673,MATCH(LARGE(FILTER(I$4:I1673,I$4:I1673&lt;=W214),1),I$4:I1673))-(W214-LARGE(FILTER(I$4:I"&amp;"1673,I$4:I1673&lt;=W214),1))*INDEX(F$4:F1673,MATCH(LARGE(FILTER(I$4:I1673,I$4:I1673&lt;=W214),1),I$4:I1673))))"),1.803285E7)</f>
        <v>18032850</v>
      </c>
      <c r="N214" s="60">
        <f t="shared" si="8"/>
        <v>-158.66166</v>
      </c>
      <c r="O214" s="61" t="str">
        <f t="shared" si="9"/>
        <v>18,0M</v>
      </c>
      <c r="P214" s="56">
        <f t="shared" si="10"/>
        <v>8</v>
      </c>
      <c r="Q214" s="105" t="s">
        <v>9</v>
      </c>
      <c r="R214" s="10"/>
      <c r="S214" s="59">
        <f t="array" ref="S214">IF(COUNTA(Q214:Q1673)=0,"",SUM((COUNTIF(Q$4:Q214,Upgrades!$B$3:$B$13)-COUNTIF(Q$4:Q214,"Sell_"&amp;Upgrades!$B$3:$B$13))*Upgrades!$D$3:$D$13))</f>
        <v>183742</v>
      </c>
      <c r="T214" s="66">
        <f>IFERROR(__xludf.DUMMYFUNCTION("IF(COUNTA(Q214:Q1673)=0,"""",IF(REGEXMATCH(INDEX(FILTER(Q$4:Q214,Q$4:Q214&lt;&gt;""""),ROWS(FILTER(Q$4:Q214,Q$4:Q214&lt;&gt;""""))),""^Sell_""),INDEX(FILTER(T$4:T213,Q$4:Q213&lt;&gt;""""),ROWS(FILTER(Q$4:Q213,Q$4:Q213&lt;&gt;""""))),$AD$5+S214))"),183757.0)</f>
        <v>183757</v>
      </c>
      <c r="U214" s="10">
        <f>IFERROR(__xludf.DUMMYFUNCTION("IF(COUNTA(Q214:Q1673)=0,"""",IF(Q214="""",0,IF(REGEXMATCH(Q214,""^Sell_""),-ROUNDDOWN(ROUNDUP(INDEX(Upgrades!$C$3:$C$13,MATCH(SUBSTITUTE(Q214,""Sell_"",""""),Upgrades!$B$3:$B$13,0))*1.15^(COUNTIF(Q$4:Q213,SUBSTITUTE(Q214,""Sell_"",""""))-COUNTIF(Q$4:Q213,"&amp;"""Sell_""&amp;SUBSTITUTE(Q214,""Sell_"",""""))))/2),ROUNDUP(INDEX(Upgrades!$C$3:$C$13,MATCH(Q214,Upgrades!$B$3:$B$13,0))*1.15^(COUNTIF(Q$4:Q213,Q214)-COUNTIF(Q$4:Q213,""Sell_""&amp;Q214))))))"),532004.0)</f>
        <v>532004</v>
      </c>
      <c r="V214" s="10">
        <f t="shared" si="11"/>
        <v>532004</v>
      </c>
      <c r="W214" s="68">
        <f t="shared" si="12"/>
        <v>5332.184907</v>
      </c>
      <c r="X214" s="59" t="str">
        <f t="shared" si="13"/>
        <v>1h 28m 52s</v>
      </c>
      <c r="Y214" s="69">
        <f t="shared" si="14"/>
        <v>204447941</v>
      </c>
      <c r="Z214" s="11"/>
    </row>
    <row r="215">
      <c r="A215" s="8"/>
      <c r="B215" s="56" t="str">
        <f t="shared" si="2"/>
        <v/>
      </c>
      <c r="C215" s="105"/>
      <c r="D215" s="10"/>
      <c r="E215" s="59" t="str">
        <f t="array" ref="E215">IF(COUNTA(C215:C1673)=0,"",SUM((COUNTIF(C$4:C215,Upgrades!$B$3:$B$13)-COUNTIF(C$4:C215,"Sell_"&amp;Upgrades!$B$3:$B$13))*Upgrades!$D$3:$D$13))</f>
        <v/>
      </c>
      <c r="F215" s="66" t="str">
        <f>IFERROR(__xludf.DUMMYFUNCTION("IF(COUNTA(C215:C1673)=0,"""",IF(REGEXMATCH(INDEX(FILTER(C$4:C215,C$4:C215&lt;&gt;""""),ROWS(FILTER(C$4:C215,C$4:C215&lt;&gt;""""))),""^Sell_""),INDEX(FILTER(F$4:F214,C$4:C214&lt;&gt;""""),ROWS(FILTER(C$4:C214,C$4:C214&lt;&gt;""""))),$AC$5+E215))"),"")</f>
        <v/>
      </c>
      <c r="G215" s="10" t="str">
        <f>IFERROR(__xludf.DUMMYFUNCTION("IF(COUNTA(C215:C1673)=0,"""",IF(C215="""",0,IF(REGEXMATCH(C215,""^Sell_""),-ROUNDDOWN(ROUNDUP(INDEX(Upgrades!$C$3:$C$13,MATCH(SUBSTITUTE(C215,""Sell_"",""""),Upgrades!$B$3:$B$13,0))*1.15^(COUNTIF(C$4:C214,SUBSTITUTE(C215,""Sell_"",""""))-COUNTIF(C$4:C214,"&amp;"""Sell_""&amp;SUBSTITUTE(C215,""Sell_"",""""))))/2),ROUNDUP(INDEX(Upgrades!$C$3:$C$13,MATCH(C215,Upgrades!$B$3:$B$13,0))*1.15^(COUNTIF(C$4:C214,C215)-COUNTIF(C$4:C214,""Sell_""&amp;C215))))))"),"")</f>
        <v/>
      </c>
      <c r="H215" s="10" t="str">
        <f t="shared" si="3"/>
        <v/>
      </c>
      <c r="I215" s="68" t="str">
        <f t="shared" si="4"/>
        <v/>
      </c>
      <c r="J215" s="59" t="str">
        <f t="shared" si="5"/>
        <v/>
      </c>
      <c r="K215" s="69" t="str">
        <f t="shared" si="6"/>
        <v/>
      </c>
      <c r="L215" s="60">
        <f t="shared" si="7"/>
        <v>-188.59193</v>
      </c>
      <c r="M215" s="61">
        <f>IFERROR(__xludf.DUMMYFUNCTION("IFS(AND(COUNTA(C215:C1673)=0,COUNTA(Q215:Q1673)=0),"""",OR(AND(K215&gt;=1000000000,OR(Y215&gt;=1000000000,COUNTA(Q215:Q1673)=0)),OR(Y215&gt;=1000000000,AND(COUNTA(C215:C1673)=0,P$3=TRUE))),
ROUNDDOWN((AB$1-AC$1)*MAX(INDEX(T$4:T1673,MATCH(LARGE(FILTER(Y$4:Y1673,Y$4"&amp;":Y1673&lt;1000000000),1),Y$4:Y1673)),INDEX(F$4:F1673,MATCH(LARGE(FILTER(K$4:K1673,K$4:K1673&lt;1000000000),1),K$4:K1673)))),AND(K215&lt;1000000000,COUNTA(C215:C1673)&gt;0,P$3=FALSE),
ROUNDDOWN(INDEX(Y$4:Y1673,MATCH(LARGE(FILTER(W$4:W1673,W$4:W1673&lt;=I215),1),W$4:W1673"&amp;"))+(I215-LARGE(FILTER(W$4:W1673,W$4:W1673&lt;=I215),1))*INDEX(T$4:T1673,MATCH(LARGE(FILTER(W$4:W1673,W$4:W1673&lt;=I215),1),W$4:W1673))-K215),1,
ROUNDDOWN(Y215-INDEX(K$4:K1673,MATCH(LARGE(FILTER(I$4:I1673,I$4:I1673&lt;=W215),1),I$4:I1673))-(W215-LARGE(FILTER(I$4:I"&amp;"1673,I$4:I1673&lt;=W215),1))*INDEX(F$4:F1673,MATCH(LARGE(FILTER(I$4:I1673,I$4:I1673&lt;=W215),1),I$4:I1673))))"),2.1434605E7)</f>
        <v>21434605</v>
      </c>
      <c r="N215" s="60">
        <f t="shared" si="8"/>
        <v>-188.59193</v>
      </c>
      <c r="O215" s="61" t="str">
        <f t="shared" si="9"/>
        <v>21,4M</v>
      </c>
      <c r="P215" s="56">
        <f t="shared" si="10"/>
        <v>13</v>
      </c>
      <c r="Q215" s="105" t="s">
        <v>10</v>
      </c>
      <c r="R215" s="10"/>
      <c r="S215" s="59">
        <f t="array" ref="S215">IF(COUNTA(Q215:Q1673)=0,"",SUM((COUNTIF(Q$4:Q215,Upgrades!$B$3:$B$13)-COUNTIF(Q$4:Q215,"Sell_"&amp;Upgrades!$B$3:$B$13))*Upgrades!$D$3:$D$13))</f>
        <v>190408</v>
      </c>
      <c r="T215" s="66">
        <f>IFERROR(__xludf.DUMMYFUNCTION("IF(COUNTA(Q215:Q1673)=0,"""",IF(REGEXMATCH(INDEX(FILTER(Q$4:Q215,Q$4:Q215&lt;&gt;""""),ROWS(FILTER(Q$4:Q215,Q$4:Q215&lt;&gt;""""))),""^Sell_""),INDEX(FILTER(T$4:T214,Q$4:Q214&lt;&gt;""""),ROWS(FILTER(Q$4:Q214,Q$4:Q214&lt;&gt;""""))),$AD$5+S215))"),190423.0)</f>
        <v>190423</v>
      </c>
      <c r="U215" s="10">
        <f>IFERROR(__xludf.DUMMYFUNCTION("IF(COUNTA(Q215:Q1673)=0,"""",IF(Q215="""",0,IF(REGEXMATCH(Q215,""^Sell_""),-ROUNDDOWN(ROUNDUP(INDEX(Upgrades!$C$3:$C$13,MATCH(SUBSTITUTE(Q215,""Sell_"",""""),Upgrades!$B$3:$B$13,0))*1.15^(COUNTIF(Q$4:Q214,SUBSTITUTE(Q215,""Sell_"",""""))-COUNTIF(Q$4:Q214,"&amp;"""Sell_""&amp;SUBSTITUTE(Q215,""Sell_"",""""))))/2),ROUNDUP(INDEX(Upgrades!$C$3:$C$13,MATCH(Q215,Upgrades!$B$3:$B$13,0))*1.15^(COUNTIF(Q$4:Q214,Q215)-COUNTIF(Q$4:Q214,""Sell_""&amp;Q215))))))"),8917080.0)</f>
        <v>8917080</v>
      </c>
      <c r="V215" s="10">
        <f t="shared" si="11"/>
        <v>8917080</v>
      </c>
      <c r="W215" s="68">
        <f t="shared" si="12"/>
        <v>5380.711385</v>
      </c>
      <c r="X215" s="59" t="str">
        <f t="shared" si="13"/>
        <v>1h 29m 40s</v>
      </c>
      <c r="Y215" s="69">
        <f t="shared" si="14"/>
        <v>213365021</v>
      </c>
      <c r="Z215" s="11"/>
    </row>
    <row r="216">
      <c r="A216" s="8"/>
      <c r="B216" s="56" t="str">
        <f t="shared" si="2"/>
        <v/>
      </c>
      <c r="C216" s="105"/>
      <c r="D216" s="10"/>
      <c r="E216" s="59" t="str">
        <f t="array" ref="E216">IF(COUNTA(C216:C1673)=0,"",SUM((COUNTIF(C$4:C216,Upgrades!$B$3:$B$13)-COUNTIF(C$4:C216,"Sell_"&amp;Upgrades!$B$3:$B$13))*Upgrades!$D$3:$D$13))</f>
        <v/>
      </c>
      <c r="F216" s="66" t="str">
        <f>IFERROR(__xludf.DUMMYFUNCTION("IF(COUNTA(C216:C1673)=0,"""",IF(REGEXMATCH(INDEX(FILTER(C$4:C216,C$4:C216&lt;&gt;""""),ROWS(FILTER(C$4:C216,C$4:C216&lt;&gt;""""))),""^Sell_""),INDEX(FILTER(F$4:F215,C$4:C215&lt;&gt;""""),ROWS(FILTER(C$4:C215,C$4:C215&lt;&gt;""""))),$AC$5+E216))"),"")</f>
        <v/>
      </c>
      <c r="G216" s="10" t="str">
        <f>IFERROR(__xludf.DUMMYFUNCTION("IF(COUNTA(C216:C1673)=0,"""",IF(C216="""",0,IF(REGEXMATCH(C216,""^Sell_""),-ROUNDDOWN(ROUNDUP(INDEX(Upgrades!$C$3:$C$13,MATCH(SUBSTITUTE(C216,""Sell_"",""""),Upgrades!$B$3:$B$13,0))*1.15^(COUNTIF(C$4:C215,SUBSTITUTE(C216,""Sell_"",""""))-COUNTIF(C$4:C215,"&amp;"""Sell_""&amp;SUBSTITUTE(C216,""Sell_"",""""))))/2),ROUNDUP(INDEX(Upgrades!$C$3:$C$13,MATCH(C216,Upgrades!$B$3:$B$13,0))*1.15^(COUNTIF(C$4:C215,C216)-COUNTIF(C$4:C215,""Sell_""&amp;C216))))))"),"")</f>
        <v/>
      </c>
      <c r="H216" s="10" t="str">
        <f t="shared" si="3"/>
        <v/>
      </c>
      <c r="I216" s="68" t="str">
        <f t="shared" si="4"/>
        <v/>
      </c>
      <c r="J216" s="59" t="str">
        <f t="shared" si="5"/>
        <v/>
      </c>
      <c r="K216" s="69" t="str">
        <f t="shared" si="6"/>
        <v/>
      </c>
      <c r="L216" s="60">
        <f t="shared" si="7"/>
        <v>-189.09106</v>
      </c>
      <c r="M216" s="61">
        <f>IFERROR(__xludf.DUMMYFUNCTION("IFS(AND(COUNTA(C216:C1673)=0,COUNTA(Q216:Q1673)=0),"""",OR(AND(K216&gt;=1000000000,OR(Y216&gt;=1000000000,COUNTA(Q216:Q1673)=0)),OR(Y216&gt;=1000000000,AND(COUNTA(C216:C1673)=0,P$3=TRUE))),
ROUNDDOWN((AB$1-AC$1)*MAX(INDEX(T$4:T1673,MATCH(LARGE(FILTER(Y$4:Y1673,Y$4"&amp;":Y1673&lt;1000000000),1),Y$4:Y1673)),INDEX(F$4:F1673,MATCH(LARGE(FILTER(K$4:K1673,K$4:K1673&lt;1000000000),1),K$4:K1673)))),AND(K216&lt;1000000000,COUNTA(C216:C1673)&gt;0,P$3=FALSE),
ROUNDDOWN(INDEX(Y$4:Y1673,MATCH(LARGE(FILTER(W$4:W1673,W$4:W1673&lt;=I216),1),W$4:W1673"&amp;"))+(I216-LARGE(FILTER(W$4:W1673,W$4:W1673&lt;=I216),1))*INDEX(T$4:T1673,MATCH(LARGE(FILTER(W$4:W1673,W$4:W1673&lt;=I216),1),W$4:W1673))-K216),1,
ROUNDDOWN(Y216-INDEX(K$4:K1673,MATCH(LARGE(FILTER(I$4:I1673,I$4:I1673&lt;=W216),1),I$4:I1673))-(W216-LARGE(FILTER(I$4:I"&amp;"1673,I$4:I1673&lt;=W216),1))*INDEX(F$4:F1673,MATCH(LARGE(FILTER(I$4:I1673,I$4:I1673&lt;=W216),1),I$4:I1673))))"),2.1491333E7)</f>
        <v>21491333</v>
      </c>
      <c r="N216" s="60">
        <f t="shared" si="8"/>
        <v>-189.09106</v>
      </c>
      <c r="O216" s="61" t="str">
        <f t="shared" si="9"/>
        <v>21,5M</v>
      </c>
      <c r="P216" s="56">
        <f t="shared" si="10"/>
        <v>10</v>
      </c>
      <c r="Q216" s="105" t="s">
        <v>8</v>
      </c>
      <c r="R216" s="10"/>
      <c r="S216" s="59">
        <f t="array" ref="S216">IF(COUNTA(Q216:Q1673)=0,"",SUM((COUNTIF(Q$4:Q216,Upgrades!$B$3:$B$13)-COUNTIF(Q$4:Q216,"Sell_"&amp;Upgrades!$B$3:$B$13))*Upgrades!$D$3:$D$13))</f>
        <v>190508</v>
      </c>
      <c r="T216" s="66">
        <f>IFERROR(__xludf.DUMMYFUNCTION("IF(COUNTA(Q216:Q1673)=0,"""",IF(REGEXMATCH(INDEX(FILTER(Q$4:Q216,Q$4:Q216&lt;&gt;""""),ROWS(FILTER(Q$4:Q216,Q$4:Q216&lt;&gt;""""))),""^Sell_""),INDEX(FILTER(T$4:T215,Q$4:Q215&lt;&gt;""""),ROWS(FILTER(Q$4:Q215,Q$4:Q215&lt;&gt;""""))),$AD$5+S216))"),190523.0)</f>
        <v>190523</v>
      </c>
      <c r="U216" s="10">
        <f>IFERROR(__xludf.DUMMYFUNCTION("IF(COUNTA(Q216:Q1673)=0,"""",IF(Q216="""",0,IF(REGEXMATCH(Q216,""^Sell_""),-ROUNDDOWN(ROUNDUP(INDEX(Upgrades!$C$3:$C$13,MATCH(SUBSTITUTE(Q216,""Sell_"",""""),Upgrades!$B$3:$B$13,0))*1.15^(COUNTIF(Q$4:Q215,SUBSTITUTE(Q216,""Sell_"",""""))-COUNTIF(Q$4:Q215,"&amp;"""Sell_""&amp;SUBSTITUTE(Q216,""Sell_"",""""))))/2),ROUNDUP(INDEX(Upgrades!$C$3:$C$13,MATCH(Q216,Upgrades!$B$3:$B$13,0))*1.15^(COUNTIF(Q$4:Q215,Q216)-COUNTIF(Q$4:Q215,""Sell_""&amp;Q216))))))"),140716.0)</f>
        <v>140716</v>
      </c>
      <c r="V216" s="10">
        <f t="shared" si="11"/>
        <v>140716</v>
      </c>
      <c r="W216" s="68">
        <f t="shared" si="12"/>
        <v>5381.450351</v>
      </c>
      <c r="X216" s="59" t="str">
        <f t="shared" si="13"/>
        <v>1h 29m 41s</v>
      </c>
      <c r="Y216" s="69">
        <f t="shared" si="14"/>
        <v>213505737</v>
      </c>
      <c r="Z216" s="11"/>
    </row>
    <row r="217">
      <c r="A217" s="8"/>
      <c r="B217" s="56" t="str">
        <f t="shared" si="2"/>
        <v/>
      </c>
      <c r="C217" s="105"/>
      <c r="D217" s="10"/>
      <c r="E217" s="59" t="str">
        <f t="array" ref="E217">IF(COUNTA(C217:C1673)=0,"",SUM((COUNTIF(C$4:C217,Upgrades!$B$3:$B$13)-COUNTIF(C$4:C217,"Sell_"&amp;Upgrades!$B$3:$B$13))*Upgrades!$D$3:$D$13))</f>
        <v/>
      </c>
      <c r="F217" s="66" t="str">
        <f>IFERROR(__xludf.DUMMYFUNCTION("IF(COUNTA(C217:C1673)=0,"""",IF(REGEXMATCH(INDEX(FILTER(C$4:C217,C$4:C217&lt;&gt;""""),ROWS(FILTER(C$4:C217,C$4:C217&lt;&gt;""""))),""^Sell_""),INDEX(FILTER(F$4:F216,C$4:C216&lt;&gt;""""),ROWS(FILTER(C$4:C216,C$4:C216&lt;&gt;""""))),$AC$5+E217))"),"")</f>
        <v/>
      </c>
      <c r="G217" s="10" t="str">
        <f>IFERROR(__xludf.DUMMYFUNCTION("IF(COUNTA(C217:C1673)=0,"""",IF(C217="""",0,IF(REGEXMATCH(C217,""^Sell_""),-ROUNDDOWN(ROUNDUP(INDEX(Upgrades!$C$3:$C$13,MATCH(SUBSTITUTE(C217,""Sell_"",""""),Upgrades!$B$3:$B$13,0))*1.15^(COUNTIF(C$4:C216,SUBSTITUTE(C217,""Sell_"",""""))-COUNTIF(C$4:C216,"&amp;"""Sell_""&amp;SUBSTITUTE(C217,""Sell_"",""""))))/2),ROUNDUP(INDEX(Upgrades!$C$3:$C$13,MATCH(C217,Upgrades!$B$3:$B$13,0))*1.15^(COUNTIF(C$4:C216,C217)-COUNTIF(C$4:C216,""Sell_""&amp;C217))))))"),"")</f>
        <v/>
      </c>
      <c r="H217" s="10" t="str">
        <f t="shared" si="3"/>
        <v/>
      </c>
      <c r="I217" s="68" t="str">
        <f t="shared" si="4"/>
        <v/>
      </c>
      <c r="J217" s="59" t="str">
        <f t="shared" si="5"/>
        <v/>
      </c>
      <c r="K217" s="69" t="str">
        <f t="shared" si="6"/>
        <v/>
      </c>
      <c r="L217" s="60">
        <f t="shared" si="7"/>
        <v>-191.26282</v>
      </c>
      <c r="M217" s="61">
        <f>IFERROR(__xludf.DUMMYFUNCTION("IFS(AND(COUNTA(C217:C1673)=0,COUNTA(Q217:Q1673)=0),"""",OR(AND(K217&gt;=1000000000,OR(Y217&gt;=1000000000,COUNTA(Q217:Q1673)=0)),OR(Y217&gt;=1000000000,AND(COUNTA(C217:C1673)=0,P$3=TRUE))),
ROUNDDOWN((AB$1-AC$1)*MAX(INDEX(T$4:T1673,MATCH(LARGE(FILTER(Y$4:Y1673,Y$4"&amp;":Y1673&lt;1000000000),1),Y$4:Y1673)),INDEX(F$4:F1673,MATCH(LARGE(FILTER(K$4:K1673,K$4:K1673&lt;1000000000),1),K$4:K1673)))),AND(K217&lt;1000000000,COUNTA(C217:C1673)&gt;0,P$3=FALSE),
ROUNDDOWN(INDEX(Y$4:Y1673,MATCH(LARGE(FILTER(W$4:W1673,W$4:W1673&lt;=I217),1),W$4:W1673"&amp;"))+(I217-LARGE(FILTER(W$4:W1673,W$4:W1673&lt;=I217),1))*INDEX(T$4:T1673,MATCH(LARGE(FILTER(W$4:W1673,W$4:W1673&lt;=I217),1),W$4:W1673))-K217),1,
ROUNDDOWN(Y217-INDEX(K$4:K1673,MATCH(LARGE(FILTER(I$4:I1673,I$4:I1673&lt;=W217),1),I$4:I1673))-(W217-LARGE(FILTER(I$4:I"&amp;"1673,I$4:I1673&lt;=W217),1))*INDEX(F$4:F1673,MATCH(LARGE(FILTER(I$4:I1673,I$4:I1673&lt;=W217),1),I$4:I1673))))"),2.1738167E7)</f>
        <v>21738167</v>
      </c>
      <c r="N217" s="60">
        <f t="shared" si="8"/>
        <v>-191.26282</v>
      </c>
      <c r="O217" s="61" t="str">
        <f t="shared" si="9"/>
        <v>21,7M</v>
      </c>
      <c r="P217" s="56">
        <f t="shared" si="10"/>
        <v>9</v>
      </c>
      <c r="Q217" s="105" t="s">
        <v>9</v>
      </c>
      <c r="R217" s="10"/>
      <c r="S217" s="59">
        <f t="array" ref="S217">IF(COUNTA(Q217:Q1673)=0,"",SUM((COUNTIF(Q$4:Q217,Upgrades!$B$3:$B$13)-COUNTIF(Q$4:Q217,"Sell_"&amp;Upgrades!$B$3:$B$13))*Upgrades!$D$3:$D$13))</f>
        <v>190908</v>
      </c>
      <c r="T217" s="66">
        <f>IFERROR(__xludf.DUMMYFUNCTION("IF(COUNTA(Q217:Q1673)=0,"""",IF(REGEXMATCH(INDEX(FILTER(Q$4:Q217,Q$4:Q217&lt;&gt;""""),ROWS(FILTER(Q$4:Q217,Q$4:Q217&lt;&gt;""""))),""^Sell_""),INDEX(FILTER(T$4:T216,Q$4:Q216&lt;&gt;""""),ROWS(FILTER(Q$4:Q216,Q$4:Q216&lt;&gt;""""))),$AD$5+S217))"),190923.0)</f>
        <v>190923</v>
      </c>
      <c r="U217" s="10">
        <f>IFERROR(__xludf.DUMMYFUNCTION("IF(COUNTA(Q217:Q1673)=0,"""",IF(Q217="""",0,IF(REGEXMATCH(Q217,""^Sell_""),-ROUNDDOWN(ROUNDUP(INDEX(Upgrades!$C$3:$C$13,MATCH(SUBSTITUTE(Q217,""Sell_"",""""),Upgrades!$B$3:$B$13,0))*1.15^(COUNTIF(Q$4:Q216,SUBSTITUTE(Q217,""Sell_"",""""))-COUNTIF(Q$4:Q216,"&amp;"""Sell_""&amp;SUBSTITUTE(Q217,""Sell_"",""""))))/2),ROUNDUP(INDEX(Upgrades!$C$3:$C$13,MATCH(Q217,Upgrades!$B$3:$B$13,0))*1.15^(COUNTIF(Q$4:Q216,Q217)-COUNTIF(Q$4:Q216,""Sell_""&amp;Q217))))))"),611805.0)</f>
        <v>611805</v>
      </c>
      <c r="V217" s="10">
        <f t="shared" si="11"/>
        <v>611805</v>
      </c>
      <c r="W217" s="68">
        <f t="shared" si="12"/>
        <v>5384.661538</v>
      </c>
      <c r="X217" s="59" t="str">
        <f t="shared" si="13"/>
        <v>1h 29m 44s</v>
      </c>
      <c r="Y217" s="69">
        <f t="shared" si="14"/>
        <v>214117542</v>
      </c>
      <c r="Z217" s="11"/>
    </row>
    <row r="218">
      <c r="A218" s="8"/>
      <c r="B218" s="56" t="str">
        <f t="shared" si="2"/>
        <v/>
      </c>
      <c r="C218" s="105"/>
      <c r="D218" s="10"/>
      <c r="E218" s="59" t="str">
        <f t="array" ref="E218">IF(COUNTA(C218:C1673)=0,"",SUM((COUNTIF(C$4:C218,Upgrades!$B$3:$B$13)-COUNTIF(C$4:C218,"Sell_"&amp;Upgrades!$B$3:$B$13))*Upgrades!$D$3:$D$13))</f>
        <v/>
      </c>
      <c r="F218" s="66" t="str">
        <f>IFERROR(__xludf.DUMMYFUNCTION("IF(COUNTA(C218:C1673)=0,"""",IF(REGEXMATCH(INDEX(FILTER(C$4:C218,C$4:C218&lt;&gt;""""),ROWS(FILTER(C$4:C218,C$4:C218&lt;&gt;""""))),""^Sell_""),INDEX(FILTER(F$4:F217,C$4:C217&lt;&gt;""""),ROWS(FILTER(C$4:C217,C$4:C217&lt;&gt;""""))),$AC$5+E218))"),"")</f>
        <v/>
      </c>
      <c r="G218" s="10" t="str">
        <f>IFERROR(__xludf.DUMMYFUNCTION("IF(COUNTA(C218:C1673)=0,"""",IF(C218="""",0,IF(REGEXMATCH(C218,""^Sell_""),-ROUNDDOWN(ROUNDUP(INDEX(Upgrades!$C$3:$C$13,MATCH(SUBSTITUTE(C218,""Sell_"",""""),Upgrades!$B$3:$B$13,0))*1.15^(COUNTIF(C$4:C217,SUBSTITUTE(C218,""Sell_"",""""))-COUNTIF(C$4:C217,"&amp;"""Sell_""&amp;SUBSTITUTE(C218,""Sell_"",""""))))/2),ROUNDUP(INDEX(Upgrades!$C$3:$C$13,MATCH(C218,Upgrades!$B$3:$B$13,0))*1.15^(COUNTIF(C$4:C217,C218)-COUNTIF(C$4:C217,""Sell_""&amp;C218))))))"),"")</f>
        <v/>
      </c>
      <c r="H218" s="10" t="str">
        <f t="shared" si="3"/>
        <v/>
      </c>
      <c r="I218" s="68" t="str">
        <f t="shared" si="4"/>
        <v/>
      </c>
      <c r="J218" s="59" t="str">
        <f t="shared" si="5"/>
        <v/>
      </c>
      <c r="K218" s="69" t="str">
        <f t="shared" si="6"/>
        <v/>
      </c>
      <c r="L218" s="60">
        <f t="shared" si="7"/>
        <v>-227.7772</v>
      </c>
      <c r="M218" s="61">
        <f>IFERROR(__xludf.DUMMYFUNCTION("IFS(AND(COUNTA(C218:C1673)=0,COUNTA(Q218:Q1673)=0),"""",OR(AND(K218&gt;=1000000000,OR(Y218&gt;=1000000000,COUNTA(Q218:Q1673)=0)),OR(Y218&gt;=1000000000,AND(COUNTA(C218:C1673)=0,P$3=TRUE))),
ROUNDDOWN((AB$1-AC$1)*MAX(INDEX(T$4:T1673,MATCH(LARGE(FILTER(Y$4:Y1673,Y$4"&amp;":Y1673&lt;1000000000),1),Y$4:Y1673)),INDEX(F$4:F1673,MATCH(LARGE(FILTER(K$4:K1673,K$4:K1673&lt;1000000000),1),K$4:K1673)))),AND(K218&lt;1000000000,COUNTA(C218:C1673)&gt;0,P$3=FALSE),
ROUNDDOWN(INDEX(Y$4:Y1673,MATCH(LARGE(FILTER(W$4:W1673,W$4:W1673&lt;=I218),1),W$4:W1673"&amp;"))+(I218-LARGE(FILTER(W$4:W1673,W$4:W1673&lt;=I218),1))*INDEX(T$4:T1673,MATCH(LARGE(FILTER(W$4:W1673,W$4:W1673&lt;=I218),1),W$4:W1673))-K218),1,
ROUNDDOWN(Y218-INDEX(K$4:K1673,MATCH(LARGE(FILTER(I$4:I1673,I$4:I1673&lt;=W218),1),I$4:I1673))-(W218-LARGE(FILTER(I$4:I"&amp;"1673,I$4:I1673&lt;=W218),1))*INDEX(F$4:F1673,MATCH(LARGE(FILTER(I$4:I1673,I$4:I1673&lt;=W218),1),I$4:I1673))))"),2.5888246E7)</f>
        <v>25888246</v>
      </c>
      <c r="N218" s="60">
        <f t="shared" si="8"/>
        <v>-227.7772</v>
      </c>
      <c r="O218" s="61" t="str">
        <f t="shared" si="9"/>
        <v>25,9M</v>
      </c>
      <c r="P218" s="56">
        <f t="shared" si="10"/>
        <v>14</v>
      </c>
      <c r="Q218" s="105" t="s">
        <v>10</v>
      </c>
      <c r="R218" s="10"/>
      <c r="S218" s="59">
        <f t="array" ref="S218">IF(COUNTA(Q218:Q1673)=0,"",SUM((COUNTIF(Q$4:Q218,Upgrades!$B$3:$B$13)-COUNTIF(Q$4:Q218,"Sell_"&amp;Upgrades!$B$3:$B$13))*Upgrades!$D$3:$D$13))</f>
        <v>197574</v>
      </c>
      <c r="T218" s="66">
        <f>IFERROR(__xludf.DUMMYFUNCTION("IF(COUNTA(Q218:Q1673)=0,"""",IF(REGEXMATCH(INDEX(FILTER(Q$4:Q218,Q$4:Q218&lt;&gt;""""),ROWS(FILTER(Q$4:Q218,Q$4:Q218&lt;&gt;""""))),""^Sell_""),INDEX(FILTER(T$4:T217,Q$4:Q217&lt;&gt;""""),ROWS(FILTER(Q$4:Q217,Q$4:Q217&lt;&gt;""""))),$AD$5+S218))"),197589.0)</f>
        <v>197589</v>
      </c>
      <c r="U218" s="10">
        <f>IFERROR(__xludf.DUMMYFUNCTION("IF(COUNTA(Q218:Q1673)=0,"""",IF(Q218="""",0,IF(REGEXMATCH(Q218,""^Sell_""),-ROUNDDOWN(ROUNDUP(INDEX(Upgrades!$C$3:$C$13,MATCH(SUBSTITUTE(Q218,""Sell_"",""""),Upgrades!$B$3:$B$13,0))*1.15^(COUNTIF(Q$4:Q217,SUBSTITUTE(Q218,""Sell_"",""""))-COUNTIF(Q$4:Q217,"&amp;"""Sell_""&amp;SUBSTITUTE(Q218,""Sell_"",""""))))/2),ROUNDUP(INDEX(Upgrades!$C$3:$C$13,MATCH(Q218,Upgrades!$B$3:$B$13,0))*1.15^(COUNTIF(Q$4:Q217,Q218)-COUNTIF(Q$4:Q217,""Sell_""&amp;Q218))))))"),1.0254642E7)</f>
        <v>10254642</v>
      </c>
      <c r="V218" s="10">
        <f t="shared" si="11"/>
        <v>10254642</v>
      </c>
      <c r="W218" s="68">
        <f t="shared" si="12"/>
        <v>5438.372416</v>
      </c>
      <c r="X218" s="59" t="str">
        <f t="shared" si="13"/>
        <v>1h 30m 38s</v>
      </c>
      <c r="Y218" s="69">
        <f t="shared" si="14"/>
        <v>224372184</v>
      </c>
      <c r="Z218" s="11"/>
    </row>
    <row r="219">
      <c r="A219" s="8"/>
      <c r="B219" s="56" t="str">
        <f t="shared" si="2"/>
        <v/>
      </c>
      <c r="C219" s="105"/>
      <c r="D219" s="10"/>
      <c r="E219" s="59" t="str">
        <f t="array" ref="E219">IF(COUNTA(C219:C1673)=0,"",SUM((COUNTIF(C$4:C219,Upgrades!$B$3:$B$13)-COUNTIF(C$4:C219,"Sell_"&amp;Upgrades!$B$3:$B$13))*Upgrades!$D$3:$D$13))</f>
        <v/>
      </c>
      <c r="F219" s="66" t="str">
        <f>IFERROR(__xludf.DUMMYFUNCTION("IF(COUNTA(C219:C1673)=0,"""",IF(REGEXMATCH(INDEX(FILTER(C$4:C219,C$4:C219&lt;&gt;""""),ROWS(FILTER(C$4:C219,C$4:C219&lt;&gt;""""))),""^Sell_""),INDEX(FILTER(F$4:F218,C$4:C218&lt;&gt;""""),ROWS(FILTER(C$4:C218,C$4:C218&lt;&gt;""""))),$AC$5+E219))"),"")</f>
        <v/>
      </c>
      <c r="G219" s="10" t="str">
        <f>IFERROR(__xludf.DUMMYFUNCTION("IF(COUNTA(C219:C1673)=0,"""",IF(C219="""",0,IF(REGEXMATCH(C219,""^Sell_""),-ROUNDDOWN(ROUNDUP(INDEX(Upgrades!$C$3:$C$13,MATCH(SUBSTITUTE(C219,""Sell_"",""""),Upgrades!$B$3:$B$13,0))*1.15^(COUNTIF(C$4:C218,SUBSTITUTE(C219,""Sell_"",""""))-COUNTIF(C$4:C218,"&amp;"""Sell_""&amp;SUBSTITUTE(C219,""Sell_"",""""))))/2),ROUNDUP(INDEX(Upgrades!$C$3:$C$13,MATCH(C219,Upgrades!$B$3:$B$13,0))*1.15^(COUNTIF(C$4:C218,C219)-COUNTIF(C$4:C218,""Sell_""&amp;C219))))))"),"")</f>
        <v/>
      </c>
      <c r="H219" s="10" t="str">
        <f t="shared" si="3"/>
        <v/>
      </c>
      <c r="I219" s="68" t="str">
        <f t="shared" si="4"/>
        <v/>
      </c>
      <c r="J219" s="59" t="str">
        <f t="shared" si="5"/>
        <v/>
      </c>
      <c r="K219" s="69" t="str">
        <f t="shared" si="6"/>
        <v/>
      </c>
      <c r="L219" s="60">
        <f t="shared" si="7"/>
        <v>-228.26482</v>
      </c>
      <c r="M219" s="61">
        <f>IFERROR(__xludf.DUMMYFUNCTION("IFS(AND(COUNTA(C219:C1673)=0,COUNTA(Q219:Q1673)=0),"""",OR(AND(K219&gt;=1000000000,OR(Y219&gt;=1000000000,COUNTA(Q219:Q1673)=0)),OR(Y219&gt;=1000000000,AND(COUNTA(C219:C1673)=0,P$3=TRUE))),
ROUNDDOWN((AB$1-AC$1)*MAX(INDEX(T$4:T1673,MATCH(LARGE(FILTER(Y$4:Y1673,Y$4"&amp;":Y1673&lt;1000000000),1),Y$4:Y1673)),INDEX(F$4:F1673,MATCH(LARGE(FILTER(K$4:K1673,K$4:K1673&lt;1000000000),1),K$4:K1673)))),AND(K219&lt;1000000000,COUNTA(C219:C1673)&gt;0,P$3=FALSE),
ROUNDDOWN(INDEX(Y$4:Y1673,MATCH(LARGE(FILTER(W$4:W1673,W$4:W1673&lt;=I219),1),W$4:W1673"&amp;"))+(I219-LARGE(FILTER(W$4:W1673,W$4:W1673&lt;=I219),1))*INDEX(T$4:T1673,MATCH(LARGE(FILTER(W$4:W1673,W$4:W1673&lt;=I219),1),W$4:W1673))-K219),1,
ROUNDDOWN(Y219-INDEX(K$4:K1673,MATCH(LARGE(FILTER(I$4:I1673,I$4:I1673&lt;=W219),1),I$4:I1673))-(W219-LARGE(FILTER(I$4:I"&amp;"1673,I$4:I1673&lt;=W219),1))*INDEX(F$4:F1673,MATCH(LARGE(FILTER(I$4:I1673,I$4:I1673&lt;=W219),1),I$4:I1673))))"),2.5956986E7)</f>
        <v>25956986</v>
      </c>
      <c r="N219" s="60">
        <f t="shared" si="8"/>
        <v>-228.26482</v>
      </c>
      <c r="O219" s="61" t="str">
        <f t="shared" si="9"/>
        <v>26,0M</v>
      </c>
      <c r="P219" s="56">
        <f t="shared" si="10"/>
        <v>11</v>
      </c>
      <c r="Q219" s="105" t="s">
        <v>8</v>
      </c>
      <c r="R219" s="10"/>
      <c r="S219" s="59">
        <f t="array" ref="S219">IF(COUNTA(Q219:Q1673)=0,"",SUM((COUNTIF(Q$4:Q219,Upgrades!$B$3:$B$13)-COUNTIF(Q$4:Q219,"Sell_"&amp;Upgrades!$B$3:$B$13))*Upgrades!$D$3:$D$13))</f>
        <v>197674</v>
      </c>
      <c r="T219" s="66">
        <f>IFERROR(__xludf.DUMMYFUNCTION("IF(COUNTA(Q219:Q1673)=0,"""",IF(REGEXMATCH(INDEX(FILTER(Q$4:Q219,Q$4:Q219&lt;&gt;""""),ROWS(FILTER(Q$4:Q219,Q$4:Q219&lt;&gt;""""))),""^Sell_""),INDEX(FILTER(T$4:T218,Q$4:Q218&lt;&gt;""""),ROWS(FILTER(Q$4:Q218,Q$4:Q218&lt;&gt;""""))),$AD$5+S219))"),197689.0)</f>
        <v>197689</v>
      </c>
      <c r="U219" s="10">
        <f>IFERROR(__xludf.DUMMYFUNCTION("IF(COUNTA(Q219:Q1673)=0,"""",IF(Q219="""",0,IF(REGEXMATCH(Q219,""^Sell_""),-ROUNDDOWN(ROUNDUP(INDEX(Upgrades!$C$3:$C$13,MATCH(SUBSTITUTE(Q219,""Sell_"",""""),Upgrades!$B$3:$B$13,0))*1.15^(COUNTIF(Q$4:Q218,SUBSTITUTE(Q219,""Sell_"",""""))-COUNTIF(Q$4:Q218,"&amp;"""Sell_""&amp;SUBSTITUTE(Q219,""Sell_"",""""))))/2),ROUNDUP(INDEX(Upgrades!$C$3:$C$13,MATCH(Q219,Upgrades!$B$3:$B$13,0))*1.15^(COUNTIF(Q$4:Q218,Q219)-COUNTIF(Q$4:Q218,""Sell_""&amp;Q219))))))"),161823.0)</f>
        <v>161823</v>
      </c>
      <c r="V219" s="10">
        <f t="shared" si="11"/>
        <v>161823</v>
      </c>
      <c r="W219" s="68">
        <f t="shared" si="12"/>
        <v>5439.191404</v>
      </c>
      <c r="X219" s="59" t="str">
        <f t="shared" si="13"/>
        <v>1h 30m 39s</v>
      </c>
      <c r="Y219" s="69">
        <f t="shared" si="14"/>
        <v>224534007</v>
      </c>
      <c r="Z219" s="11"/>
    </row>
    <row r="220">
      <c r="A220" s="8"/>
      <c r="B220" s="56" t="str">
        <f t="shared" si="2"/>
        <v/>
      </c>
      <c r="C220" s="105"/>
      <c r="D220" s="10"/>
      <c r="E220" s="59" t="str">
        <f t="array" ref="E220">IF(COUNTA(C220:C1673)=0,"",SUM((COUNTIF(C$4:C220,Upgrades!$B$3:$B$13)-COUNTIF(C$4:C220,"Sell_"&amp;Upgrades!$B$3:$B$13))*Upgrades!$D$3:$D$13))</f>
        <v/>
      </c>
      <c r="F220" s="66" t="str">
        <f>IFERROR(__xludf.DUMMYFUNCTION("IF(COUNTA(C220:C1673)=0,"""",IF(REGEXMATCH(INDEX(FILTER(C$4:C220,C$4:C220&lt;&gt;""""),ROWS(FILTER(C$4:C220,C$4:C220&lt;&gt;""""))),""^Sell_""),INDEX(FILTER(F$4:F219,C$4:C219&lt;&gt;""""),ROWS(FILTER(C$4:C219,C$4:C219&lt;&gt;""""))),$AC$5+E220))"),"")</f>
        <v/>
      </c>
      <c r="G220" s="10" t="str">
        <f>IFERROR(__xludf.DUMMYFUNCTION("IF(COUNTA(C220:C1673)=0,"""",IF(C220="""",0,IF(REGEXMATCH(C220,""^Sell_""),-ROUNDDOWN(ROUNDUP(INDEX(Upgrades!$C$3:$C$13,MATCH(SUBSTITUTE(C220,""Sell_"",""""),Upgrades!$B$3:$B$13,0))*1.15^(COUNTIF(C$4:C219,SUBSTITUTE(C220,""Sell_"",""""))-COUNTIF(C$4:C219,"&amp;"""Sell_""&amp;SUBSTITUTE(C220,""Sell_"",""""))))/2),ROUNDUP(INDEX(Upgrades!$C$3:$C$13,MATCH(C220,Upgrades!$B$3:$B$13,0))*1.15^(COUNTIF(C$4:C219,C220)-COUNTIF(C$4:C219,""Sell_""&amp;C220))))))"),"")</f>
        <v/>
      </c>
      <c r="H220" s="10" t="str">
        <f t="shared" si="3"/>
        <v/>
      </c>
      <c r="I220" s="68" t="str">
        <f t="shared" si="4"/>
        <v/>
      </c>
      <c r="J220" s="59" t="str">
        <f t="shared" si="5"/>
        <v/>
      </c>
      <c r="K220" s="69" t="str">
        <f t="shared" si="6"/>
        <v/>
      </c>
      <c r="L220" s="60">
        <f t="shared" si="7"/>
        <v>-228.01799</v>
      </c>
      <c r="M220" s="61">
        <f>IFERROR(__xludf.DUMMYFUNCTION("IFS(AND(COUNTA(C220:C1673)=0,COUNTA(Q220:Q1673)=0),"""",OR(AND(K220&gt;=1000000000,OR(Y220&gt;=1000000000,COUNTA(Q220:Q1673)=0)),OR(Y220&gt;=1000000000,AND(COUNTA(C220:C1673)=0,P$3=TRUE))),
ROUNDDOWN((AB$1-AC$1)*MAX(INDEX(T$4:T1673,MATCH(LARGE(FILTER(Y$4:Y1673,Y$4"&amp;":Y1673&lt;1000000000),1),Y$4:Y1673)),INDEX(F$4:F1673,MATCH(LARGE(FILTER(K$4:K1673,K$4:K1673&lt;1000000000),1),K$4:K1673)))),AND(K220&lt;1000000000,COUNTA(C220:C1673)&gt;0,P$3=FALSE),
ROUNDDOWN(INDEX(Y$4:Y1673,MATCH(LARGE(FILTER(W$4:W1673,W$4:W1673&lt;=I220),1),W$4:W1673"&amp;"))+(I220-LARGE(FILTER(W$4:W1673,W$4:W1673&lt;=I220),1))*INDEX(T$4:T1673,MATCH(LARGE(FILTER(W$4:W1673,W$4:W1673&lt;=I220),1),W$4:W1673))-K220),1,
ROUNDDOWN(Y220-INDEX(K$4:K1673,MATCH(LARGE(FILTER(I$4:I1673,I$4:I1673&lt;=W220),1),I$4:I1673))-(W220-LARGE(FILTER(I$4:I"&amp;"1673,I$4:I1673&lt;=W220),1))*INDEX(F$4:F1673,MATCH(LARGE(FILTER(I$4:I1673,I$4:I1673&lt;=W220),1),I$4:I1673))))"),2.625606E7)</f>
        <v>26256060</v>
      </c>
      <c r="N220" s="60">
        <f t="shared" si="8"/>
        <v>-228.01799</v>
      </c>
      <c r="O220" s="61" t="str">
        <f t="shared" si="9"/>
        <v>26,3M</v>
      </c>
      <c r="P220" s="56">
        <f t="shared" si="10"/>
        <v>10</v>
      </c>
      <c r="Q220" s="105" t="s">
        <v>9</v>
      </c>
      <c r="R220" s="10"/>
      <c r="S220" s="59">
        <f t="array" ref="S220">IF(COUNTA(Q220:Q1673)=0,"",SUM((COUNTIF(Q$4:Q220,Upgrades!$B$3:$B$13)-COUNTIF(Q$4:Q220,"Sell_"&amp;Upgrades!$B$3:$B$13))*Upgrades!$D$3:$D$13))</f>
        <v>198074</v>
      </c>
      <c r="T220" s="66">
        <f>IFERROR(__xludf.DUMMYFUNCTION("IF(COUNTA(Q220:Q1673)=0,"""",IF(REGEXMATCH(INDEX(FILTER(Q$4:Q220,Q$4:Q220&lt;&gt;""""),ROWS(FILTER(Q$4:Q220,Q$4:Q220&lt;&gt;""""))),""^Sell_""),INDEX(FILTER(T$4:T219,Q$4:Q219&lt;&gt;""""),ROWS(FILTER(Q$4:Q219,Q$4:Q219&lt;&gt;""""))),$AD$5+S220))"),198089.0)</f>
        <v>198089</v>
      </c>
      <c r="U220" s="10">
        <f>IFERROR(__xludf.DUMMYFUNCTION("IF(COUNTA(Q220:Q1673)=0,"""",IF(Q220="""",0,IF(REGEXMATCH(Q220,""^Sell_""),-ROUNDDOWN(ROUNDUP(INDEX(Upgrades!$C$3:$C$13,MATCH(SUBSTITUTE(Q220,""Sell_"",""""),Upgrades!$B$3:$B$13,0))*1.15^(COUNTIF(Q$4:Q219,SUBSTITUTE(Q220,""Sell_"",""""))-COUNTIF(Q$4:Q219,"&amp;"""Sell_""&amp;SUBSTITUTE(Q220,""Sell_"",""""))))/2),ROUNDUP(INDEX(Upgrades!$C$3:$C$13,MATCH(Q220,Upgrades!$B$3:$B$13,0))*1.15^(COUNTIF(Q$4:Q219,Q220)-COUNTIF(Q$4:Q219,""Sell_""&amp;Q220))))))"),703576.0)</f>
        <v>703576</v>
      </c>
      <c r="V220" s="10">
        <f t="shared" si="11"/>
        <v>703576</v>
      </c>
      <c r="W220" s="68">
        <f t="shared" si="12"/>
        <v>5442.750408</v>
      </c>
      <c r="X220" s="59" t="str">
        <f t="shared" si="13"/>
        <v>1h 30m 42s</v>
      </c>
      <c r="Y220" s="69">
        <f t="shared" si="14"/>
        <v>225237583</v>
      </c>
      <c r="Z220" s="11"/>
    </row>
    <row r="221">
      <c r="A221" s="8"/>
      <c r="B221" s="56" t="str">
        <f t="shared" si="2"/>
        <v/>
      </c>
      <c r="C221" s="105"/>
      <c r="D221" s="10"/>
      <c r="E221" s="59" t="str">
        <f t="array" ref="E221">IF(COUNTA(C221:C1673)=0,"",SUM((COUNTIF(C$4:C221,Upgrades!$B$3:$B$13)-COUNTIF(C$4:C221,"Sell_"&amp;Upgrades!$B$3:$B$13))*Upgrades!$D$3:$D$13))</f>
        <v/>
      </c>
      <c r="F221" s="66" t="str">
        <f>IFERROR(__xludf.DUMMYFUNCTION("IF(COUNTA(C221:C1673)=0,"""",IF(REGEXMATCH(INDEX(FILTER(C$4:C221,C$4:C221&lt;&gt;""""),ROWS(FILTER(C$4:C221,C$4:C221&lt;&gt;""""))),""^Sell_""),INDEX(FILTER(F$4:F220,C$4:C220&lt;&gt;""""),ROWS(FILTER(C$4:C220,C$4:C220&lt;&gt;""""))),$AC$5+E221))"),"")</f>
        <v/>
      </c>
      <c r="G221" s="10" t="str">
        <f>IFERROR(__xludf.DUMMYFUNCTION("IF(COUNTA(C221:C1673)=0,"""",IF(C221="""",0,IF(REGEXMATCH(C221,""^Sell_""),-ROUNDDOWN(ROUNDUP(INDEX(Upgrades!$C$3:$C$13,MATCH(SUBSTITUTE(C221,""Sell_"",""""),Upgrades!$B$3:$B$13,0))*1.15^(COUNTIF(C$4:C220,SUBSTITUTE(C221,""Sell_"",""""))-COUNTIF(C$4:C220,"&amp;"""Sell_""&amp;SUBSTITUTE(C221,""Sell_"",""""))))/2),ROUNDUP(INDEX(Upgrades!$C$3:$C$13,MATCH(C221,Upgrades!$B$3:$B$13,0))*1.15^(COUNTIF(C$4:C220,C221)-COUNTIF(C$4:C220,""Sell_""&amp;C221))))))"),"")</f>
        <v/>
      </c>
      <c r="H221" s="10" t="str">
        <f t="shared" si="3"/>
        <v/>
      </c>
      <c r="I221" s="68" t="str">
        <f t="shared" si="4"/>
        <v/>
      </c>
      <c r="J221" s="59" t="str">
        <f t="shared" si="5"/>
        <v/>
      </c>
      <c r="K221" s="69" t="str">
        <f t="shared" si="6"/>
        <v/>
      </c>
      <c r="L221" s="60">
        <f t="shared" si="7"/>
        <v>-224.00131</v>
      </c>
      <c r="M221" s="61">
        <f>IFERROR(__xludf.DUMMYFUNCTION("IFS(AND(COUNTA(C221:C1673)=0,COUNTA(Q221:Q1673)=0),"""",OR(AND(K221&gt;=1000000000,OR(Y221&gt;=1000000000,COUNTA(Q221:Q1673)=0)),OR(Y221&gt;=1000000000,AND(COUNTA(C221:C1673)=0,P$3=TRUE))),
ROUNDDOWN((AB$1-AC$1)*MAX(INDEX(T$4:T1673,MATCH(LARGE(FILTER(Y$4:Y1673,Y$4"&amp;":Y1673&lt;1000000000),1),Y$4:Y1673)),INDEX(F$4:F1673,MATCH(LARGE(FILTER(K$4:K1673,K$4:K1673&lt;1000000000),1),K$4:K1673)))),AND(K221&lt;1000000000,COUNTA(C221:C1673)&gt;0,P$3=FALSE),
ROUNDDOWN(INDEX(Y$4:Y1673,MATCH(LARGE(FILTER(W$4:W1673,W$4:W1673&lt;=I221),1),W$4:W1673"&amp;"))+(I221-LARGE(FILTER(W$4:W1673,W$4:W1673&lt;=I221),1))*INDEX(T$4:T1673,MATCH(LARGE(FILTER(W$4:W1673,W$4:W1673&lt;=I221),1),W$4:W1673))-K221),1,
ROUNDDOWN(Y221-INDEX(K$4:K1673,MATCH(LARGE(FILTER(I$4:I1673,I$4:I1673&lt;=W221),1),I$4:I1673))-(W221-LARGE(FILTER(I$4:I"&amp;"1673,I$4:I1673&lt;=W221),1))*INDEX(F$4:F1673,MATCH(LARGE(FILTER(I$4:I1673,I$4:I1673&lt;=W221),1),I$4:I1673))))"),3.1282612E7)</f>
        <v>31282612</v>
      </c>
      <c r="N221" s="60">
        <f t="shared" si="8"/>
        <v>-224.00131</v>
      </c>
      <c r="O221" s="61" t="str">
        <f t="shared" si="9"/>
        <v>31,3M</v>
      </c>
      <c r="P221" s="56">
        <f t="shared" si="10"/>
        <v>15</v>
      </c>
      <c r="Q221" s="105" t="s">
        <v>10</v>
      </c>
      <c r="R221" s="10"/>
      <c r="S221" s="59">
        <f t="array" ref="S221">IF(COUNTA(Q221:Q1673)=0,"",SUM((COUNTIF(Q$4:Q221,Upgrades!$B$3:$B$13)-COUNTIF(Q$4:Q221,"Sell_"&amp;Upgrades!$B$3:$B$13))*Upgrades!$D$3:$D$13))</f>
        <v>204740</v>
      </c>
      <c r="T221" s="66">
        <f>IFERROR(__xludf.DUMMYFUNCTION("IF(COUNTA(Q221:Q1673)=0,"""",IF(REGEXMATCH(INDEX(FILTER(Q$4:Q221,Q$4:Q221&lt;&gt;""""),ROWS(FILTER(Q$4:Q221,Q$4:Q221&lt;&gt;""""))),""^Sell_""),INDEX(FILTER(T$4:T220,Q$4:Q220&lt;&gt;""""),ROWS(FILTER(Q$4:Q220,Q$4:Q220&lt;&gt;""""))),$AD$5+S221))"),204755.0)</f>
        <v>204755</v>
      </c>
      <c r="U221" s="10">
        <f>IFERROR(__xludf.DUMMYFUNCTION("IF(COUNTA(Q221:Q1673)=0,"""",IF(Q221="""",0,IF(REGEXMATCH(Q221,""^Sell_""),-ROUNDDOWN(ROUNDUP(INDEX(Upgrades!$C$3:$C$13,MATCH(SUBSTITUTE(Q221,""Sell_"",""""),Upgrades!$B$3:$B$13,0))*1.15^(COUNTIF(Q$4:Q220,SUBSTITUTE(Q221,""Sell_"",""""))-COUNTIF(Q$4:Q220,"&amp;"""Sell_""&amp;SUBSTITUTE(Q221,""Sell_"",""""))))/2),ROUNDUP(INDEX(Upgrades!$C$3:$C$13,MATCH(Q221,Upgrades!$B$3:$B$13,0))*1.15^(COUNTIF(Q$4:Q220,Q221)-COUNTIF(Q$4:Q220,""Sell_""&amp;Q221))))))"),1.1792839E7)</f>
        <v>11792839</v>
      </c>
      <c r="V221" s="10">
        <f t="shared" si="11"/>
        <v>11792839</v>
      </c>
      <c r="W221" s="68">
        <f t="shared" si="12"/>
        <v>5502.283441</v>
      </c>
      <c r="X221" s="59" t="str">
        <f t="shared" si="13"/>
        <v>1h 31m 42s</v>
      </c>
      <c r="Y221" s="69">
        <f t="shared" si="14"/>
        <v>237030422</v>
      </c>
      <c r="Z221" s="11"/>
    </row>
    <row r="222">
      <c r="A222" s="8"/>
      <c r="B222" s="56" t="str">
        <f t="shared" si="2"/>
        <v/>
      </c>
      <c r="C222" s="105"/>
      <c r="D222" s="10"/>
      <c r="E222" s="59" t="str">
        <f t="array" ref="E222">IF(COUNTA(C222:C1673)=0,"",SUM((COUNTIF(C$4:C222,Upgrades!$B$3:$B$13)-COUNTIF(C$4:C222,"Sell_"&amp;Upgrades!$B$3:$B$13))*Upgrades!$D$3:$D$13))</f>
        <v/>
      </c>
      <c r="F222" s="66" t="str">
        <f>IFERROR(__xludf.DUMMYFUNCTION("IF(COUNTA(C222:C1673)=0,"""",IF(REGEXMATCH(INDEX(FILTER(C$4:C222,C$4:C222&lt;&gt;""""),ROWS(FILTER(C$4:C222,C$4:C222&lt;&gt;""""))),""^Sell_""),INDEX(FILTER(F$4:F221,C$4:C221&lt;&gt;""""),ROWS(FILTER(C$4:C221,C$4:C221&lt;&gt;""""))),$AC$5+E222))"),"")</f>
        <v/>
      </c>
      <c r="G222" s="10" t="str">
        <f>IFERROR(__xludf.DUMMYFUNCTION("IF(COUNTA(C222:C1673)=0,"""",IF(C222="""",0,IF(REGEXMATCH(C222,""^Sell_""),-ROUNDDOWN(ROUNDUP(INDEX(Upgrades!$C$3:$C$13,MATCH(SUBSTITUTE(C222,""Sell_"",""""),Upgrades!$B$3:$B$13,0))*1.15^(COUNTIF(C$4:C221,SUBSTITUTE(C222,""Sell_"",""""))-COUNTIF(C$4:C221,"&amp;"""Sell_""&amp;SUBSTITUTE(C222,""Sell_"",""""))))/2),ROUNDUP(INDEX(Upgrades!$C$3:$C$13,MATCH(C222,Upgrades!$B$3:$B$13,0))*1.15^(COUNTIF(C$4:C221,C222)-COUNTIF(C$4:C221,""Sell_""&amp;C222))))))"),"")</f>
        <v/>
      </c>
      <c r="H222" s="10" t="str">
        <f t="shared" si="3"/>
        <v/>
      </c>
      <c r="I222" s="68" t="str">
        <f t="shared" si="4"/>
        <v/>
      </c>
      <c r="J222" s="59" t="str">
        <f t="shared" si="5"/>
        <v/>
      </c>
      <c r="K222" s="69" t="str">
        <f t="shared" si="6"/>
        <v/>
      </c>
      <c r="L222" s="60">
        <f t="shared" si="7"/>
        <v>-223.96851</v>
      </c>
      <c r="M222" s="61">
        <f>IFERROR(__xludf.DUMMYFUNCTION("IFS(AND(COUNTA(C222:C1673)=0,COUNTA(Q222:Q1673)=0),"""",OR(AND(K222&gt;=1000000000,OR(Y222&gt;=1000000000,COUNTA(Q222:Q1673)=0)),OR(Y222&gt;=1000000000,AND(COUNTA(C222:C1673)=0,P$3=TRUE))),
ROUNDDOWN((AB$1-AC$1)*MAX(INDEX(T$4:T1673,MATCH(LARGE(FILTER(Y$4:Y1673,Y$4"&amp;":Y1673&lt;1000000000),1),Y$4:Y1673)),INDEX(F$4:F1673,MATCH(LARGE(FILTER(K$4:K1673,K$4:K1673&lt;1000000000),1),K$4:K1673)))),AND(K222&lt;1000000000,COUNTA(C222:C1673)&gt;0,P$3=FALSE),
ROUNDDOWN(INDEX(Y$4:Y1673,MATCH(LARGE(FILTER(W$4:W1673,W$4:W1673&lt;=I222),1),W$4:W1673"&amp;"))+(I222-LARGE(FILTER(W$4:W1673,W$4:W1673&lt;=I222),1))*INDEX(T$4:T1673,MATCH(LARGE(FILTER(W$4:W1673,W$4:W1673&lt;=I222),1),W$4:W1673))-K222),1,
ROUNDDOWN(Y222-INDEX(K$4:K1673,MATCH(LARGE(FILTER(I$4:I1673,I$4:I1673&lt;=W222),1),I$4:I1673))-(W222-LARGE(FILTER(I$4:I"&amp;"1673,I$4:I1673&lt;=W222),1))*INDEX(F$4:F1673,MATCH(LARGE(FILTER(I$4:I1673,I$4:I1673&lt;=W222),1),I$4:I1673))))"),3.136541E7)</f>
        <v>31365410</v>
      </c>
      <c r="N222" s="60">
        <f t="shared" si="8"/>
        <v>-223.96851</v>
      </c>
      <c r="O222" s="61" t="str">
        <f t="shared" si="9"/>
        <v>31,4M</v>
      </c>
      <c r="P222" s="56">
        <f t="shared" si="10"/>
        <v>12</v>
      </c>
      <c r="Q222" s="105" t="s">
        <v>8</v>
      </c>
      <c r="R222" s="10"/>
      <c r="S222" s="59">
        <f t="array" ref="S222">IF(COUNTA(Q222:Q1673)=0,"",SUM((COUNTIF(Q$4:Q222,Upgrades!$B$3:$B$13)-COUNTIF(Q$4:Q222,"Sell_"&amp;Upgrades!$B$3:$B$13))*Upgrades!$D$3:$D$13))</f>
        <v>204840</v>
      </c>
      <c r="T222" s="66">
        <f>IFERROR(__xludf.DUMMYFUNCTION("IF(COUNTA(Q222:Q1673)=0,"""",IF(REGEXMATCH(INDEX(FILTER(Q$4:Q222,Q$4:Q222&lt;&gt;""""),ROWS(FILTER(Q$4:Q222,Q$4:Q222&lt;&gt;""""))),""^Sell_""),INDEX(FILTER(T$4:T221,Q$4:Q221&lt;&gt;""""),ROWS(FILTER(Q$4:Q221,Q$4:Q221&lt;&gt;""""))),$AD$5+S222))"),204855.0)</f>
        <v>204855</v>
      </c>
      <c r="U222" s="10">
        <f>IFERROR(__xludf.DUMMYFUNCTION("IF(COUNTA(Q222:Q1673)=0,"""",IF(Q222="""",0,IF(REGEXMATCH(Q222,""^Sell_""),-ROUNDDOWN(ROUNDUP(INDEX(Upgrades!$C$3:$C$13,MATCH(SUBSTITUTE(Q222,""Sell_"",""""),Upgrades!$B$3:$B$13,0))*1.15^(COUNTIF(Q$4:Q221,SUBSTITUTE(Q222,""Sell_"",""""))-COUNTIF(Q$4:Q221,"&amp;"""Sell_""&amp;SUBSTITUTE(Q222,""Sell_"",""""))))/2),ROUNDUP(INDEX(Upgrades!$C$3:$C$13,MATCH(Q222,Upgrades!$B$3:$B$13,0))*1.15^(COUNTIF(Q$4:Q221,Q222)-COUNTIF(Q$4:Q221,""Sell_""&amp;Q222))))))"),186096.0)</f>
        <v>186096</v>
      </c>
      <c r="V222" s="10">
        <f t="shared" si="11"/>
        <v>186096</v>
      </c>
      <c r="W222" s="68">
        <f t="shared" si="12"/>
        <v>5503.192313</v>
      </c>
      <c r="X222" s="59" t="str">
        <f t="shared" si="13"/>
        <v>1h 31m 43s</v>
      </c>
      <c r="Y222" s="69">
        <f t="shared" si="14"/>
        <v>237216518</v>
      </c>
      <c r="Z222" s="11"/>
    </row>
    <row r="223">
      <c r="A223" s="8"/>
      <c r="B223" s="56" t="str">
        <f t="shared" si="2"/>
        <v/>
      </c>
      <c r="C223" s="105"/>
      <c r="D223" s="10"/>
      <c r="E223" s="59" t="str">
        <f t="array" ref="E223">IF(COUNTA(C223:C1673)=0,"",SUM((COUNTIF(C$4:C223,Upgrades!$B$3:$B$13)-COUNTIF(C$4:C223,"Sell_"&amp;Upgrades!$B$3:$B$13))*Upgrades!$D$3:$D$13))</f>
        <v/>
      </c>
      <c r="F223" s="66" t="str">
        <f>IFERROR(__xludf.DUMMYFUNCTION("IF(COUNTA(C223:C1673)=0,"""",IF(REGEXMATCH(INDEX(FILTER(C$4:C223,C$4:C223&lt;&gt;""""),ROWS(FILTER(C$4:C223,C$4:C223&lt;&gt;""""))),""^Sell_""),INDEX(FILTER(F$4:F222,C$4:C222&lt;&gt;""""),ROWS(FILTER(C$4:C222,C$4:C222&lt;&gt;""""))),$AC$5+E223))"),"")</f>
        <v/>
      </c>
      <c r="G223" s="10" t="str">
        <f>IFERROR(__xludf.DUMMYFUNCTION("IF(COUNTA(C223:C1673)=0,"""",IF(C223="""",0,IF(REGEXMATCH(C223,""^Sell_""),-ROUNDDOWN(ROUNDUP(INDEX(Upgrades!$C$3:$C$13,MATCH(SUBSTITUTE(C223,""Sell_"",""""),Upgrades!$B$3:$B$13,0))*1.15^(COUNTIF(C$4:C222,SUBSTITUTE(C223,""Sell_"",""""))-COUNTIF(C$4:C222,"&amp;"""Sell_""&amp;SUBSTITUTE(C223,""Sell_"",""""))))/2),ROUNDUP(INDEX(Upgrades!$C$3:$C$13,MATCH(C223,Upgrades!$B$3:$B$13,0))*1.15^(COUNTIF(C$4:C222,C223)-COUNTIF(C$4:C222,""Sell_""&amp;C223))))))"),"")</f>
        <v/>
      </c>
      <c r="H223" s="10" t="str">
        <f t="shared" si="3"/>
        <v/>
      </c>
      <c r="I223" s="68" t="str">
        <f t="shared" si="4"/>
        <v/>
      </c>
      <c r="J223" s="59" t="str">
        <f t="shared" si="5"/>
        <v/>
      </c>
      <c r="K223" s="69" t="str">
        <f t="shared" si="6"/>
        <v/>
      </c>
      <c r="L223" s="60">
        <f t="shared" si="7"/>
        <v>-223.82783</v>
      </c>
      <c r="M223" s="61">
        <f>IFERROR(__xludf.DUMMYFUNCTION("IFS(AND(COUNTA(C223:C1673)=0,COUNTA(Q223:Q1673)=0),"""",OR(AND(K223&gt;=1000000000,OR(Y223&gt;=1000000000,COUNTA(Q223:Q1673)=0)),OR(Y223&gt;=1000000000,AND(COUNTA(C223:C1673)=0,P$3=TRUE))),
ROUNDDOWN((AB$1-AC$1)*MAX(INDEX(T$4:T1673,MATCH(LARGE(FILTER(Y$4:Y1673,Y$4"&amp;":Y1673&lt;1000000000),1),Y$4:Y1673)),INDEX(F$4:F1673,MATCH(LARGE(FILTER(K$4:K1673,K$4:K1673&lt;1000000000),1),K$4:K1673)))),AND(K223&lt;1000000000,COUNTA(C223:C1673)&gt;0,P$3=FALSE),
ROUNDDOWN(INDEX(Y$4:Y1673,MATCH(LARGE(FILTER(W$4:W1673,W$4:W1673&lt;=I223),1),W$4:W1673"&amp;"))+(I223-LARGE(FILTER(W$4:W1673,W$4:W1673&lt;=I223),1))*INDEX(T$4:T1673,MATCH(LARGE(FILTER(W$4:W1673,W$4:W1673&lt;=I223),1),W$4:W1673))-K223),1,
ROUNDDOWN(Y223-INDEX(K$4:K1673,MATCH(LARGE(FILTER(I$4:I1673,I$4:I1673&lt;=W223),1),I$4:I1673))-(W223-LARGE(FILTER(I$4:I"&amp;"1673,I$4:I1673&lt;=W223),1))*INDEX(F$4:F1673,MATCH(LARGE(FILTER(I$4:I1673,I$4:I1673&lt;=W223),1),I$4:I1673))))"),3.1725617E7)</f>
        <v>31725617</v>
      </c>
      <c r="N223" s="60">
        <f t="shared" si="8"/>
        <v>-223.82783</v>
      </c>
      <c r="O223" s="61" t="str">
        <f t="shared" si="9"/>
        <v>31,7M</v>
      </c>
      <c r="P223" s="56">
        <f t="shared" si="10"/>
        <v>11</v>
      </c>
      <c r="Q223" s="105" t="s">
        <v>9</v>
      </c>
      <c r="R223" s="10"/>
      <c r="S223" s="59">
        <f t="array" ref="S223">IF(COUNTA(Q223:Q1673)=0,"",SUM((COUNTIF(Q$4:Q223,Upgrades!$B$3:$B$13)-COUNTIF(Q$4:Q223,"Sell_"&amp;Upgrades!$B$3:$B$13))*Upgrades!$D$3:$D$13))</f>
        <v>205240</v>
      </c>
      <c r="T223" s="66">
        <f>IFERROR(__xludf.DUMMYFUNCTION("IF(COUNTA(Q223:Q1673)=0,"""",IF(REGEXMATCH(INDEX(FILTER(Q$4:Q223,Q$4:Q223&lt;&gt;""""),ROWS(FILTER(Q$4:Q223,Q$4:Q223&lt;&gt;""""))),""^Sell_""),INDEX(FILTER(T$4:T222,Q$4:Q222&lt;&gt;""""),ROWS(FILTER(Q$4:Q222,Q$4:Q222&lt;&gt;""""))),$AD$5+S223))"),205255.0)</f>
        <v>205255</v>
      </c>
      <c r="U223" s="10">
        <f>IFERROR(__xludf.DUMMYFUNCTION("IF(COUNTA(Q223:Q1673)=0,"""",IF(Q223="""",0,IF(REGEXMATCH(Q223,""^Sell_""),-ROUNDDOWN(ROUNDUP(INDEX(Upgrades!$C$3:$C$13,MATCH(SUBSTITUTE(Q223,""Sell_"",""""),Upgrades!$B$3:$B$13,0))*1.15^(COUNTIF(Q$4:Q222,SUBSTITUTE(Q223,""Sell_"",""""))-COUNTIF(Q$4:Q222,"&amp;"""Sell_""&amp;SUBSTITUTE(Q223,""Sell_"",""""))))/2),ROUNDUP(INDEX(Upgrades!$C$3:$C$13,MATCH(Q223,Upgrades!$B$3:$B$13,0))*1.15^(COUNTIF(Q$4:Q222,Q223)-COUNTIF(Q$4:Q222,""Sell_""&amp;Q223))))))"),809112.0)</f>
        <v>809112</v>
      </c>
      <c r="V223" s="10">
        <f t="shared" si="11"/>
        <v>809112</v>
      </c>
      <c r="W223" s="68">
        <f t="shared" si="12"/>
        <v>5507.141994</v>
      </c>
      <c r="X223" s="59" t="str">
        <f t="shared" si="13"/>
        <v>1h 31m 47s</v>
      </c>
      <c r="Y223" s="69">
        <f t="shared" si="14"/>
        <v>238025630</v>
      </c>
      <c r="Z223" s="11"/>
    </row>
    <row r="224">
      <c r="A224" s="8"/>
      <c r="B224" s="56" t="str">
        <f t="shared" si="2"/>
        <v/>
      </c>
      <c r="C224" s="105"/>
      <c r="D224" s="10"/>
      <c r="E224" s="59" t="str">
        <f t="array" ref="E224">IF(COUNTA(C224:C1673)=0,"",SUM((COUNTIF(C$4:C224,Upgrades!$B$3:$B$13)-COUNTIF(C$4:C224,"Sell_"&amp;Upgrades!$B$3:$B$13))*Upgrades!$D$3:$D$13))</f>
        <v/>
      </c>
      <c r="F224" s="66" t="str">
        <f>IFERROR(__xludf.DUMMYFUNCTION("IF(COUNTA(C224:C1673)=0,"""",IF(REGEXMATCH(INDEX(FILTER(C$4:C224,C$4:C224&lt;&gt;""""),ROWS(FILTER(C$4:C224,C$4:C224&lt;&gt;""""))),""^Sell_""),INDEX(FILTER(F$4:F223,C$4:C223&lt;&gt;""""),ROWS(FILTER(C$4:C223,C$4:C223&lt;&gt;""""))),$AC$5+E224))"),"")</f>
        <v/>
      </c>
      <c r="G224" s="10" t="str">
        <f>IFERROR(__xludf.DUMMYFUNCTION("IF(COUNTA(C224:C1673)=0,"""",IF(C224="""",0,IF(REGEXMATCH(C224,""^Sell_""),-ROUNDDOWN(ROUNDUP(INDEX(Upgrades!$C$3:$C$13,MATCH(SUBSTITUTE(C224,""Sell_"",""""),Upgrades!$B$3:$B$13,0))*1.15^(COUNTIF(C$4:C223,SUBSTITUTE(C224,""Sell_"",""""))-COUNTIF(C$4:C223,"&amp;"""Sell_""&amp;SUBSTITUTE(C224,""Sell_"",""""))))/2),ROUNDUP(INDEX(Upgrades!$C$3:$C$13,MATCH(C224,Upgrades!$B$3:$B$13,0))*1.15^(COUNTIF(C$4:C223,C224)-COUNTIF(C$4:C223,""Sell_""&amp;C224))))))"),"")</f>
        <v/>
      </c>
      <c r="H224" s="10" t="str">
        <f t="shared" si="3"/>
        <v/>
      </c>
      <c r="I224" s="68" t="str">
        <f t="shared" si="4"/>
        <v/>
      </c>
      <c r="J224" s="59" t="str">
        <f t="shared" si="5"/>
        <v/>
      </c>
      <c r="K224" s="69" t="str">
        <f t="shared" si="6"/>
        <v/>
      </c>
      <c r="L224" s="60">
        <f t="shared" si="7"/>
        <v>-221.59887</v>
      </c>
      <c r="M224" s="61">
        <f>IFERROR(__xludf.DUMMYFUNCTION("IFS(AND(COUNTA(C224:C1673)=0,COUNTA(Q224:Q1673)=0),"""",OR(AND(K224&gt;=1000000000,OR(Y224&gt;=1000000000,COUNTA(Q224:Q1673)=0)),OR(Y224&gt;=1000000000,AND(COUNTA(C224:C1673)=0,P$3=TRUE))),
ROUNDDOWN((AB$1-AC$1)*MAX(INDEX(T$4:T1673,MATCH(LARGE(FILTER(Y$4:Y1673,Y$4"&amp;":Y1673&lt;1000000000),1),Y$4:Y1673)),INDEX(F$4:F1673,MATCH(LARGE(FILTER(K$4:K1673,K$4:K1673&lt;1000000000),1),K$4:K1673)))),AND(K224&lt;1000000000,COUNTA(C224:C1673)&gt;0,P$3=FALSE),
ROUNDDOWN(INDEX(Y$4:Y1673,MATCH(LARGE(FILTER(W$4:W1673,W$4:W1673&lt;=I224),1),W$4:W1673"&amp;"))+(I224-LARGE(FILTER(W$4:W1673,W$4:W1673&lt;=I224),1))*INDEX(T$4:T1673,MATCH(LARGE(FILTER(W$4:W1673,W$4:W1673&lt;=I224),1),W$4:W1673))-K224),1,
ROUNDDOWN(Y224-INDEX(K$4:K1673,MATCH(LARGE(FILTER(I$4:I1673,I$4:I1673&lt;=W224),1),I$4:I1673))-(W224-LARGE(FILTER(I$4:I"&amp;"1673,I$4:I1673&lt;=W224),1))*INDEX(F$4:F1673,MATCH(LARGE(FILTER(I$4:I1673,I$4:I1673&lt;=W224),1),I$4:I1673))))"),3.7777815E7)</f>
        <v>37777815</v>
      </c>
      <c r="N224" s="60">
        <f t="shared" si="8"/>
        <v>-221.59887</v>
      </c>
      <c r="O224" s="61" t="str">
        <f t="shared" si="9"/>
        <v>37,8M</v>
      </c>
      <c r="P224" s="56">
        <f t="shared" si="10"/>
        <v>16</v>
      </c>
      <c r="Q224" s="105" t="s">
        <v>10</v>
      </c>
      <c r="R224" s="10"/>
      <c r="S224" s="59">
        <f t="array" ref="S224">IF(COUNTA(Q224:Q1673)=0,"",SUM((COUNTIF(Q$4:Q224,Upgrades!$B$3:$B$13)-COUNTIF(Q$4:Q224,"Sell_"&amp;Upgrades!$B$3:$B$13))*Upgrades!$D$3:$D$13))</f>
        <v>211906</v>
      </c>
      <c r="T224" s="66">
        <f>IFERROR(__xludf.DUMMYFUNCTION("IF(COUNTA(Q224:Q1673)=0,"""",IF(REGEXMATCH(INDEX(FILTER(Q$4:Q224,Q$4:Q224&lt;&gt;""""),ROWS(FILTER(Q$4:Q224,Q$4:Q224&lt;&gt;""""))),""^Sell_""),INDEX(FILTER(T$4:T223,Q$4:Q223&lt;&gt;""""),ROWS(FILTER(Q$4:Q223,Q$4:Q223&lt;&gt;""""))),$AD$5+S224))"),211921.0)</f>
        <v>211921</v>
      </c>
      <c r="U224" s="10">
        <f>IFERROR(__xludf.DUMMYFUNCTION("IF(COUNTA(Q224:Q1673)=0,"""",IF(Q224="""",0,IF(REGEXMATCH(Q224,""^Sell_""),-ROUNDDOWN(ROUNDUP(INDEX(Upgrades!$C$3:$C$13,MATCH(SUBSTITUTE(Q224,""Sell_"",""""),Upgrades!$B$3:$B$13,0))*1.15^(COUNTIF(Q$4:Q223,SUBSTITUTE(Q224,""Sell_"",""""))-COUNTIF(Q$4:Q223,"&amp;"""Sell_""&amp;SUBSTITUTE(Q224,""Sell_"",""""))))/2),ROUNDUP(INDEX(Upgrades!$C$3:$C$13,MATCH(Q224,Upgrades!$B$3:$B$13,0))*1.15^(COUNTIF(Q$4:Q223,Q224)-COUNTIF(Q$4:Q223,""Sell_""&amp;Q224))))))"),1.3561764E7)</f>
        <v>13561764</v>
      </c>
      <c r="V224" s="10">
        <f t="shared" si="11"/>
        <v>13561764</v>
      </c>
      <c r="W224" s="68">
        <f t="shared" si="12"/>
        <v>5573.214753</v>
      </c>
      <c r="X224" s="59" t="str">
        <f t="shared" si="13"/>
        <v>1h 32m 53s</v>
      </c>
      <c r="Y224" s="69">
        <f t="shared" si="14"/>
        <v>251587394</v>
      </c>
      <c r="Z224" s="11"/>
    </row>
    <row r="225">
      <c r="A225" s="8"/>
      <c r="B225" s="56" t="str">
        <f t="shared" si="2"/>
        <v/>
      </c>
      <c r="C225" s="105"/>
      <c r="D225" s="10"/>
      <c r="E225" s="59" t="str">
        <f t="array" ref="E225">IF(COUNTA(C225:C1673)=0,"",SUM((COUNTIF(C$4:C225,Upgrades!$B$3:$B$13)-COUNTIF(C$4:C225,"Sell_"&amp;Upgrades!$B$3:$B$13))*Upgrades!$D$3:$D$13))</f>
        <v/>
      </c>
      <c r="F225" s="66" t="str">
        <f>IFERROR(__xludf.DUMMYFUNCTION("IF(COUNTA(C225:C1673)=0,"""",IF(REGEXMATCH(INDEX(FILTER(C$4:C225,C$4:C225&lt;&gt;""""),ROWS(FILTER(C$4:C225,C$4:C225&lt;&gt;""""))),""^Sell_""),INDEX(FILTER(F$4:F224,C$4:C224&lt;&gt;""""),ROWS(FILTER(C$4:C224,C$4:C224&lt;&gt;""""))),$AC$5+E225))"),"")</f>
        <v/>
      </c>
      <c r="G225" s="10" t="str">
        <f>IFERROR(__xludf.DUMMYFUNCTION("IF(COUNTA(C225:C1673)=0,"""",IF(C225="""",0,IF(REGEXMATCH(C225,""^Sell_""),-ROUNDDOWN(ROUNDUP(INDEX(Upgrades!$C$3:$C$13,MATCH(SUBSTITUTE(C225,""Sell_"",""""),Upgrades!$B$3:$B$13,0))*1.15^(COUNTIF(C$4:C224,SUBSTITUTE(C225,""Sell_"",""""))-COUNTIF(C$4:C224,"&amp;"""Sell_""&amp;SUBSTITUTE(C225,""Sell_"",""""))))/2),ROUNDUP(INDEX(Upgrades!$C$3:$C$13,MATCH(C225,Upgrades!$B$3:$B$13,0))*1.15^(COUNTIF(C$4:C224,C225)-COUNTIF(C$4:C224,""Sell_""&amp;C225))))))"),"")</f>
        <v/>
      </c>
      <c r="H225" s="10" t="str">
        <f t="shared" si="3"/>
        <v/>
      </c>
      <c r="I225" s="68" t="str">
        <f t="shared" si="4"/>
        <v/>
      </c>
      <c r="J225" s="59" t="str">
        <f t="shared" si="5"/>
        <v/>
      </c>
      <c r="K225" s="69" t="str">
        <f t="shared" si="6"/>
        <v/>
      </c>
      <c r="L225" s="60">
        <f t="shared" si="7"/>
        <v>-221.59887</v>
      </c>
      <c r="M225" s="61">
        <f>IFERROR(__xludf.DUMMYFUNCTION("IFS(AND(COUNTA(C225:C1673)=0,COUNTA(Q225:Q1673)=0),"""",OR(AND(K225&gt;=1000000000,OR(Y225&gt;=1000000000,COUNTA(Q225:Q1673)=0)),OR(Y225&gt;=1000000000,AND(COUNTA(C225:C1673)=0,P$3=TRUE))),
ROUNDDOWN((AB$1-AC$1)*MAX(INDEX(T$4:T1673,MATCH(LARGE(FILTER(Y$4:Y1673,Y$4"&amp;":Y1673&lt;1000000000),1),Y$4:Y1673)),INDEX(F$4:F1673,MATCH(LARGE(FILTER(K$4:K1673,K$4:K1673&lt;1000000000),1),K$4:K1673)))),AND(K225&lt;1000000000,COUNTA(C225:C1673)&gt;0,P$3=FALSE),
ROUNDDOWN(INDEX(Y$4:Y1673,MATCH(LARGE(FILTER(W$4:W1673,W$4:W1673&lt;=I225),1),W$4:W1673"&amp;"))+(I225-LARGE(FILTER(W$4:W1673,W$4:W1673&lt;=I225),1))*INDEX(T$4:T1673,MATCH(LARGE(FILTER(W$4:W1673,W$4:W1673&lt;=I225),1),W$4:W1673))-K225),1,
ROUNDDOWN(Y225-INDEX(K$4:K1673,MATCH(LARGE(FILTER(I$4:I1673,I$4:I1673&lt;=W225),1),I$4:I1673))-(W225-LARGE(FILTER(I$4:I"&amp;"1673,I$4:I1673&lt;=W225),1))*INDEX(F$4:F1673,MATCH(LARGE(FILTER(I$4:I1673,I$4:I1673&lt;=W225),1),I$4:I1673))))"),3.7777815E7)</f>
        <v>37777815</v>
      </c>
      <c r="N225" s="60">
        <f t="shared" si="8"/>
        <v>-221.59887</v>
      </c>
      <c r="O225" s="61" t="str">
        <f t="shared" si="9"/>
        <v>37,8M</v>
      </c>
      <c r="P225" s="56">
        <f t="shared" si="10"/>
        <v>7</v>
      </c>
      <c r="Q225" s="105" t="s">
        <v>64</v>
      </c>
      <c r="R225" s="10"/>
      <c r="S225" s="59">
        <f t="array" ref="S225">IF(COUNTA(Q225:Q1673)=0,"",SUM((COUNTIF(Q$4:Q225,Upgrades!$B$3:$B$13)-COUNTIF(Q$4:Q225,"Sell_"&amp;Upgrades!$B$3:$B$13))*Upgrades!$D$3:$D$13))</f>
        <v>205240</v>
      </c>
      <c r="T225" s="66">
        <f>IFERROR(__xludf.DUMMYFUNCTION("IF(COUNTA(Q225:Q1673)=0,"""",IF(REGEXMATCH(INDEX(FILTER(Q$4:Q225,Q$4:Q225&lt;&gt;""""),ROWS(FILTER(Q$4:Q225,Q$4:Q225&lt;&gt;""""))),""^Sell_""),INDEX(FILTER(T$4:T224,Q$4:Q224&lt;&gt;""""),ROWS(FILTER(Q$4:Q224,Q$4:Q224&lt;&gt;""""))),$AD$5+S225))"),211921.0)</f>
        <v>211921</v>
      </c>
      <c r="U225" s="10">
        <f>IFERROR(__xludf.DUMMYFUNCTION("IF(COUNTA(Q225:Q1673)=0,"""",IF(Q225="""",0,IF(REGEXMATCH(Q225,""^Sell_""),-ROUNDDOWN(ROUNDUP(INDEX(Upgrades!$C$3:$C$13,MATCH(SUBSTITUTE(Q225,""Sell_"",""""),Upgrades!$B$3:$B$13,0))*1.15^(COUNTIF(Q$4:Q224,SUBSTITUTE(Q225,""Sell_"",""""))-COUNTIF(Q$4:Q224,"&amp;"""Sell_""&amp;SUBSTITUTE(Q225,""Sell_"",""""))))/2),ROUNDUP(INDEX(Upgrades!$C$3:$C$13,MATCH(Q225,Upgrades!$B$3:$B$13,0))*1.15^(COUNTIF(Q$4:Q224,Q225)-COUNTIF(Q$4:Q224,""Sell_""&amp;Q225))))))"),-7798014.0)</f>
        <v>-7798014</v>
      </c>
      <c r="V225" s="10">
        <f t="shared" si="11"/>
        <v>-7798014</v>
      </c>
      <c r="W225" s="68">
        <f t="shared" si="12"/>
        <v>5573.214753</v>
      </c>
      <c r="X225" s="59" t="str">
        <f t="shared" si="13"/>
        <v>1h 32m 53s</v>
      </c>
      <c r="Y225" s="69">
        <f t="shared" si="14"/>
        <v>251587394</v>
      </c>
      <c r="Z225" s="11"/>
    </row>
    <row r="226">
      <c r="A226" s="8"/>
      <c r="B226" s="56" t="str">
        <f t="shared" si="2"/>
        <v/>
      </c>
      <c r="C226" s="105"/>
      <c r="D226" s="10"/>
      <c r="E226" s="59" t="str">
        <f t="array" ref="E226">IF(COUNTA(C226:C1673)=0,"",SUM((COUNTIF(C$4:C226,Upgrades!$B$3:$B$13)-COUNTIF(C$4:C226,"Sell_"&amp;Upgrades!$B$3:$B$13))*Upgrades!$D$3:$D$13))</f>
        <v/>
      </c>
      <c r="F226" s="66" t="str">
        <f>IFERROR(__xludf.DUMMYFUNCTION("IF(COUNTA(C226:C1673)=0,"""",IF(REGEXMATCH(INDEX(FILTER(C$4:C226,C$4:C226&lt;&gt;""""),ROWS(FILTER(C$4:C226,C$4:C226&lt;&gt;""""))),""^Sell_""),INDEX(FILTER(F$4:F225,C$4:C225&lt;&gt;""""),ROWS(FILTER(C$4:C225,C$4:C225&lt;&gt;""""))),$AC$5+E226))"),"")</f>
        <v/>
      </c>
      <c r="G226" s="10" t="str">
        <f>IFERROR(__xludf.DUMMYFUNCTION("IF(COUNTA(C226:C1673)=0,"""",IF(C226="""",0,IF(REGEXMATCH(C226,""^Sell_""),-ROUNDDOWN(ROUNDUP(INDEX(Upgrades!$C$3:$C$13,MATCH(SUBSTITUTE(C226,""Sell_"",""""),Upgrades!$B$3:$B$13,0))*1.15^(COUNTIF(C$4:C225,SUBSTITUTE(C226,""Sell_"",""""))-COUNTIF(C$4:C225,"&amp;"""Sell_""&amp;SUBSTITUTE(C226,""Sell_"",""""))))/2),ROUNDUP(INDEX(Upgrades!$C$3:$C$13,MATCH(C226,Upgrades!$B$3:$B$13,0))*1.15^(COUNTIF(C$4:C225,C226)-COUNTIF(C$4:C225,""Sell_""&amp;C226))))))"),"")</f>
        <v/>
      </c>
      <c r="H226" s="10" t="str">
        <f t="shared" si="3"/>
        <v/>
      </c>
      <c r="I226" s="68" t="str">
        <f t="shared" si="4"/>
        <v/>
      </c>
      <c r="J226" s="59" t="str">
        <f t="shared" si="5"/>
        <v/>
      </c>
      <c r="K226" s="69" t="str">
        <f t="shared" si="6"/>
        <v/>
      </c>
      <c r="L226" s="60">
        <f t="shared" si="7"/>
        <v>-221.59887</v>
      </c>
      <c r="M226" s="61">
        <f>IFERROR(__xludf.DUMMYFUNCTION("IFS(AND(COUNTA(C226:C1673)=0,COUNTA(Q226:Q1673)=0),"""",OR(AND(K226&gt;=1000000000,OR(Y226&gt;=1000000000,COUNTA(Q226:Q1673)=0)),OR(Y226&gt;=1000000000,AND(COUNTA(C226:C1673)=0,P$3=TRUE))),
ROUNDDOWN((AB$1-AC$1)*MAX(INDEX(T$4:T1673,MATCH(LARGE(FILTER(Y$4:Y1673,Y$4"&amp;":Y1673&lt;1000000000),1),Y$4:Y1673)),INDEX(F$4:F1673,MATCH(LARGE(FILTER(K$4:K1673,K$4:K1673&lt;1000000000),1),K$4:K1673)))),AND(K226&lt;1000000000,COUNTA(C226:C1673)&gt;0,P$3=FALSE),
ROUNDDOWN(INDEX(Y$4:Y1673,MATCH(LARGE(FILTER(W$4:W1673,W$4:W1673&lt;=I226),1),W$4:W1673"&amp;"))+(I226-LARGE(FILTER(W$4:W1673,W$4:W1673&lt;=I226),1))*INDEX(T$4:T1673,MATCH(LARGE(FILTER(W$4:W1673,W$4:W1673&lt;=I226),1),W$4:W1673))-K226),1,
ROUNDDOWN(Y226-INDEX(K$4:K1673,MATCH(LARGE(FILTER(I$4:I1673,I$4:I1673&lt;=W226),1),I$4:I1673))-(W226-LARGE(FILTER(I$4:I"&amp;"1673,I$4:I1673&lt;=W226),1))*INDEX(F$4:F1673,MATCH(LARGE(FILTER(I$4:I1673,I$4:I1673&lt;=W226),1),I$4:I1673))))"),3.7777815E7)</f>
        <v>37777815</v>
      </c>
      <c r="N226" s="60">
        <f t="shared" si="8"/>
        <v>-221.59887</v>
      </c>
      <c r="O226" s="61" t="str">
        <f t="shared" si="9"/>
        <v>37,8M</v>
      </c>
      <c r="P226" s="56">
        <f t="shared" si="10"/>
        <v>24</v>
      </c>
      <c r="Q226" s="105" t="s">
        <v>61</v>
      </c>
      <c r="R226" s="10"/>
      <c r="S226" s="59">
        <f t="array" ref="S226">IF(COUNTA(Q226:Q1673)=0,"",SUM((COUNTIF(Q$4:Q226,Upgrades!$B$3:$B$13)-COUNTIF(Q$4:Q226,"Sell_"&amp;Upgrades!$B$3:$B$13))*Upgrades!$D$3:$D$13))</f>
        <v>205140</v>
      </c>
      <c r="T226" s="66">
        <f>IFERROR(__xludf.DUMMYFUNCTION("IF(COUNTA(Q226:Q1673)=0,"""",IF(REGEXMATCH(INDEX(FILTER(Q$4:Q226,Q$4:Q226&lt;&gt;""""),ROWS(FILTER(Q$4:Q226,Q$4:Q226&lt;&gt;""""))),""^Sell_""),INDEX(FILTER(T$4:T225,Q$4:Q225&lt;&gt;""""),ROWS(FILTER(Q$4:Q225,Q$4:Q225&lt;&gt;""""))),$AD$5+S226))"),211921.0)</f>
        <v>211921</v>
      </c>
      <c r="U226" s="10">
        <f>IFERROR(__xludf.DUMMYFUNCTION("IF(COUNTA(Q226:Q1673)=0,"""",IF(Q226="""",0,IF(REGEXMATCH(Q226,""^Sell_""),-ROUNDDOWN(ROUNDUP(INDEX(Upgrades!$C$3:$C$13,MATCH(SUBSTITUTE(Q226,""Sell_"",""""),Upgrades!$B$3:$B$13,0))*1.15^(COUNTIF(Q$4:Q225,SUBSTITUTE(Q226,""Sell_"",""""))-COUNTIF(Q$4:Q225,"&amp;"""Sell_""&amp;SUBSTITUTE(Q226,""Sell_"",""""))))/2),ROUNDUP(INDEX(Upgrades!$C$3:$C$13,MATCH(Q226,Upgrades!$B$3:$B$13,0))*1.15^(COUNTIF(Q$4:Q225,Q226)-COUNTIF(Q$4:Q225,""Sell_""&amp;Q226))))))"),-107005.0)</f>
        <v>-107005</v>
      </c>
      <c r="V226" s="10">
        <f t="shared" si="11"/>
        <v>-7905019</v>
      </c>
      <c r="W226" s="68">
        <f t="shared" si="12"/>
        <v>5573.214753</v>
      </c>
      <c r="X226" s="59" t="str">
        <f t="shared" si="13"/>
        <v>1h 32m 53s</v>
      </c>
      <c r="Y226" s="69">
        <f t="shared" si="14"/>
        <v>251587394</v>
      </c>
      <c r="Z226" s="11"/>
    </row>
    <row r="227">
      <c r="A227" s="8"/>
      <c r="B227" s="56" t="str">
        <f t="shared" si="2"/>
        <v/>
      </c>
      <c r="C227" s="105"/>
      <c r="D227" s="10"/>
      <c r="E227" s="59" t="str">
        <f t="array" ref="E227">IF(COUNTA(C227:C1673)=0,"",SUM((COUNTIF(C$4:C227,Upgrades!$B$3:$B$13)-COUNTIF(C$4:C227,"Sell_"&amp;Upgrades!$B$3:$B$13))*Upgrades!$D$3:$D$13))</f>
        <v/>
      </c>
      <c r="F227" s="66" t="str">
        <f>IFERROR(__xludf.DUMMYFUNCTION("IF(COUNTA(C227:C1673)=0,"""",IF(REGEXMATCH(INDEX(FILTER(C$4:C227,C$4:C227&lt;&gt;""""),ROWS(FILTER(C$4:C227,C$4:C227&lt;&gt;""""))),""^Sell_""),INDEX(FILTER(F$4:F226,C$4:C226&lt;&gt;""""),ROWS(FILTER(C$4:C226,C$4:C226&lt;&gt;""""))),$AC$5+E227))"),"")</f>
        <v/>
      </c>
      <c r="G227" s="10" t="str">
        <f>IFERROR(__xludf.DUMMYFUNCTION("IF(COUNTA(C227:C1673)=0,"""",IF(C227="""",0,IF(REGEXMATCH(C227,""^Sell_""),-ROUNDDOWN(ROUNDUP(INDEX(Upgrades!$C$3:$C$13,MATCH(SUBSTITUTE(C227,""Sell_"",""""),Upgrades!$B$3:$B$13,0))*1.15^(COUNTIF(C$4:C226,SUBSTITUTE(C227,""Sell_"",""""))-COUNTIF(C$4:C226,"&amp;"""Sell_""&amp;SUBSTITUTE(C227,""Sell_"",""""))))/2),ROUNDUP(INDEX(Upgrades!$C$3:$C$13,MATCH(C227,Upgrades!$B$3:$B$13,0))*1.15^(COUNTIF(C$4:C226,C227)-COUNTIF(C$4:C226,""Sell_""&amp;C227))))))"),"")</f>
        <v/>
      </c>
      <c r="H227" s="10" t="str">
        <f t="shared" si="3"/>
        <v/>
      </c>
      <c r="I227" s="68" t="str">
        <f t="shared" si="4"/>
        <v/>
      </c>
      <c r="J227" s="59" t="str">
        <f t="shared" si="5"/>
        <v/>
      </c>
      <c r="K227" s="69" t="str">
        <f t="shared" si="6"/>
        <v/>
      </c>
      <c r="L227" s="60">
        <f t="shared" si="7"/>
        <v>-221.59887</v>
      </c>
      <c r="M227" s="61">
        <f>IFERROR(__xludf.DUMMYFUNCTION("IFS(AND(COUNTA(C227:C1673)=0,COUNTA(Q227:Q1673)=0),"""",OR(AND(K227&gt;=1000000000,OR(Y227&gt;=1000000000,COUNTA(Q227:Q1673)=0)),OR(Y227&gt;=1000000000,AND(COUNTA(C227:C1673)=0,P$3=TRUE))),
ROUNDDOWN((AB$1-AC$1)*MAX(INDEX(T$4:T1673,MATCH(LARGE(FILTER(Y$4:Y1673,Y$4"&amp;":Y1673&lt;1000000000),1),Y$4:Y1673)),INDEX(F$4:F1673,MATCH(LARGE(FILTER(K$4:K1673,K$4:K1673&lt;1000000000),1),K$4:K1673)))),AND(K227&lt;1000000000,COUNTA(C227:C1673)&gt;0,P$3=FALSE),
ROUNDDOWN(INDEX(Y$4:Y1673,MATCH(LARGE(FILTER(W$4:W1673,W$4:W1673&lt;=I227),1),W$4:W1673"&amp;"))+(I227-LARGE(FILTER(W$4:W1673,W$4:W1673&lt;=I227),1))*INDEX(T$4:T1673,MATCH(LARGE(FILTER(W$4:W1673,W$4:W1673&lt;=I227),1),W$4:W1673))-K227),1,
ROUNDDOWN(Y227-INDEX(K$4:K1673,MATCH(LARGE(FILTER(I$4:I1673,I$4:I1673&lt;=W227),1),I$4:I1673))-(W227-LARGE(FILTER(I$4:I"&amp;"1673,I$4:I1673&lt;=W227),1))*INDEX(F$4:F1673,MATCH(LARGE(FILTER(I$4:I1673,I$4:I1673&lt;=W227),1),I$4:I1673))))"),3.7777815E7)</f>
        <v>37777815</v>
      </c>
      <c r="N227" s="60">
        <f t="shared" si="8"/>
        <v>-221.59887</v>
      </c>
      <c r="O227" s="61" t="str">
        <f t="shared" si="9"/>
        <v>37,8M</v>
      </c>
      <c r="P227" s="56">
        <f t="shared" si="10"/>
        <v>25</v>
      </c>
      <c r="Q227" s="105" t="s">
        <v>61</v>
      </c>
      <c r="R227" s="10"/>
      <c r="S227" s="59">
        <f t="array" ref="S227">IF(COUNTA(Q227:Q1673)=0,"",SUM((COUNTIF(Q$4:Q227,Upgrades!$B$3:$B$13)-COUNTIF(Q$4:Q227,"Sell_"&amp;Upgrades!$B$3:$B$13))*Upgrades!$D$3:$D$13))</f>
        <v>205040</v>
      </c>
      <c r="T227" s="66">
        <f>IFERROR(__xludf.DUMMYFUNCTION("IF(COUNTA(Q227:Q1673)=0,"""",IF(REGEXMATCH(INDEX(FILTER(Q$4:Q227,Q$4:Q227&lt;&gt;""""),ROWS(FILTER(Q$4:Q227,Q$4:Q227&lt;&gt;""""))),""^Sell_""),INDEX(FILTER(T$4:T226,Q$4:Q226&lt;&gt;""""),ROWS(FILTER(Q$4:Q226,Q$4:Q226&lt;&gt;""""))),$AD$5+S227))"),211921.0)</f>
        <v>211921</v>
      </c>
      <c r="U227" s="10">
        <f>IFERROR(__xludf.DUMMYFUNCTION("IF(COUNTA(Q227:Q1673)=0,"""",IF(Q227="""",0,IF(REGEXMATCH(Q227,""^Sell_""),-ROUNDDOWN(ROUNDUP(INDEX(Upgrades!$C$3:$C$13,MATCH(SUBSTITUTE(Q227,""Sell_"",""""),Upgrades!$B$3:$B$13,0))*1.15^(COUNTIF(Q$4:Q226,SUBSTITUTE(Q227,""Sell_"",""""))-COUNTIF(Q$4:Q226,"&amp;"""Sell_""&amp;SUBSTITUTE(Q227,""Sell_"",""""))))/2),ROUNDUP(INDEX(Upgrades!$C$3:$C$13,MATCH(Q227,Upgrades!$B$3:$B$13,0))*1.15^(COUNTIF(Q$4:Q226,Q227)-COUNTIF(Q$4:Q226,""Sell_""&amp;Q227))))))"),-93048.0)</f>
        <v>-93048</v>
      </c>
      <c r="V227" s="10">
        <f t="shared" si="11"/>
        <v>-7998067</v>
      </c>
      <c r="W227" s="68">
        <f t="shared" si="12"/>
        <v>5573.214753</v>
      </c>
      <c r="X227" s="59" t="str">
        <f t="shared" si="13"/>
        <v>1h 32m 53s</v>
      </c>
      <c r="Y227" s="69">
        <f t="shared" si="14"/>
        <v>251587394</v>
      </c>
      <c r="Z227" s="11"/>
    </row>
    <row r="228">
      <c r="A228" s="8"/>
      <c r="B228" s="56" t="str">
        <f t="shared" si="2"/>
        <v/>
      </c>
      <c r="C228" s="105"/>
      <c r="D228" s="10"/>
      <c r="E228" s="59" t="str">
        <f t="array" ref="E228">IF(COUNTA(C228:C1673)=0,"",SUM((COUNTIF(C$4:C228,Upgrades!$B$3:$B$13)-COUNTIF(C$4:C228,"Sell_"&amp;Upgrades!$B$3:$B$13))*Upgrades!$D$3:$D$13))</f>
        <v/>
      </c>
      <c r="F228" s="66" t="str">
        <f>IFERROR(__xludf.DUMMYFUNCTION("IF(COUNTA(C228:C1673)=0,"""",IF(REGEXMATCH(INDEX(FILTER(C$4:C228,C$4:C228&lt;&gt;""""),ROWS(FILTER(C$4:C228,C$4:C228&lt;&gt;""""))),""^Sell_""),INDEX(FILTER(F$4:F227,C$4:C227&lt;&gt;""""),ROWS(FILTER(C$4:C227,C$4:C227&lt;&gt;""""))),$AC$5+E228))"),"")</f>
        <v/>
      </c>
      <c r="G228" s="10" t="str">
        <f>IFERROR(__xludf.DUMMYFUNCTION("IF(COUNTA(C228:C1673)=0,"""",IF(C228="""",0,IF(REGEXMATCH(C228,""^Sell_""),-ROUNDDOWN(ROUNDUP(INDEX(Upgrades!$C$3:$C$13,MATCH(SUBSTITUTE(C228,""Sell_"",""""),Upgrades!$B$3:$B$13,0))*1.15^(COUNTIF(C$4:C227,SUBSTITUTE(C228,""Sell_"",""""))-COUNTIF(C$4:C227,"&amp;"""Sell_""&amp;SUBSTITUTE(C228,""Sell_"",""""))))/2),ROUNDUP(INDEX(Upgrades!$C$3:$C$13,MATCH(C228,Upgrades!$B$3:$B$13,0))*1.15^(COUNTIF(C$4:C227,C228)-COUNTIF(C$4:C227,""Sell_""&amp;C228))))))"),"")</f>
        <v/>
      </c>
      <c r="H228" s="10" t="str">
        <f t="shared" si="3"/>
        <v/>
      </c>
      <c r="I228" s="68" t="str">
        <f t="shared" si="4"/>
        <v/>
      </c>
      <c r="J228" s="59" t="str">
        <f t="shared" si="5"/>
        <v/>
      </c>
      <c r="K228" s="69" t="str">
        <f t="shared" si="6"/>
        <v/>
      </c>
      <c r="L228" s="60">
        <f t="shared" si="7"/>
        <v>-221.59887</v>
      </c>
      <c r="M228" s="61">
        <f>IFERROR(__xludf.DUMMYFUNCTION("IFS(AND(COUNTA(C228:C1673)=0,COUNTA(Q228:Q1673)=0),"""",OR(AND(K228&gt;=1000000000,OR(Y228&gt;=1000000000,COUNTA(Q228:Q1673)=0)),OR(Y228&gt;=1000000000,AND(COUNTA(C228:C1673)=0,P$3=TRUE))),
ROUNDDOWN((AB$1-AC$1)*MAX(INDEX(T$4:T1673,MATCH(LARGE(FILTER(Y$4:Y1673,Y$4"&amp;":Y1673&lt;1000000000),1),Y$4:Y1673)),INDEX(F$4:F1673,MATCH(LARGE(FILTER(K$4:K1673,K$4:K1673&lt;1000000000),1),K$4:K1673)))),AND(K228&lt;1000000000,COUNTA(C228:C1673)&gt;0,P$3=FALSE),
ROUNDDOWN(INDEX(Y$4:Y1673,MATCH(LARGE(FILTER(W$4:W1673,W$4:W1673&lt;=I228),1),W$4:W1673"&amp;"))+(I228-LARGE(FILTER(W$4:W1673,W$4:W1673&lt;=I228),1))*INDEX(T$4:T1673,MATCH(LARGE(FILTER(W$4:W1673,W$4:W1673&lt;=I228),1),W$4:W1673))-K228),1,
ROUNDDOWN(Y228-INDEX(K$4:K1673,MATCH(LARGE(FILTER(I$4:I1673,I$4:I1673&lt;=W228),1),I$4:I1673))-(W228-LARGE(FILTER(I$4:I"&amp;"1673,I$4:I1673&lt;=W228),1))*INDEX(F$4:F1673,MATCH(LARGE(FILTER(I$4:I1673,I$4:I1673&lt;=W228),1),I$4:I1673))))"),3.7777815E7)</f>
        <v>37777815</v>
      </c>
      <c r="N228" s="60">
        <f t="shared" si="8"/>
        <v>-221.59887</v>
      </c>
      <c r="O228" s="61" t="str">
        <f t="shared" si="9"/>
        <v>37,8M</v>
      </c>
      <c r="P228" s="56">
        <f t="shared" si="10"/>
        <v>26</v>
      </c>
      <c r="Q228" s="105" t="s">
        <v>61</v>
      </c>
      <c r="R228" s="10"/>
      <c r="S228" s="59">
        <f t="array" ref="S228">IF(COUNTA(Q228:Q1673)=0,"",SUM((COUNTIF(Q$4:Q228,Upgrades!$B$3:$B$13)-COUNTIF(Q$4:Q228,"Sell_"&amp;Upgrades!$B$3:$B$13))*Upgrades!$D$3:$D$13))</f>
        <v>204940</v>
      </c>
      <c r="T228" s="66">
        <f>IFERROR(__xludf.DUMMYFUNCTION("IF(COUNTA(Q228:Q1673)=0,"""",IF(REGEXMATCH(INDEX(FILTER(Q$4:Q228,Q$4:Q228&lt;&gt;""""),ROWS(FILTER(Q$4:Q228,Q$4:Q228&lt;&gt;""""))),""^Sell_""),INDEX(FILTER(T$4:T227,Q$4:Q227&lt;&gt;""""),ROWS(FILTER(Q$4:Q227,Q$4:Q227&lt;&gt;""""))),$AD$5+S228))"),211921.0)</f>
        <v>211921</v>
      </c>
      <c r="U228" s="10">
        <f>IFERROR(__xludf.DUMMYFUNCTION("IF(COUNTA(Q228:Q1673)=0,"""",IF(Q228="""",0,IF(REGEXMATCH(Q228,""^Sell_""),-ROUNDDOWN(ROUNDUP(INDEX(Upgrades!$C$3:$C$13,MATCH(SUBSTITUTE(Q228,""Sell_"",""""),Upgrades!$B$3:$B$13,0))*1.15^(COUNTIF(Q$4:Q227,SUBSTITUTE(Q228,""Sell_"",""""))-COUNTIF(Q$4:Q227,"&amp;"""Sell_""&amp;SUBSTITUTE(Q228,""Sell_"",""""))))/2),ROUNDUP(INDEX(Upgrades!$C$3:$C$13,MATCH(Q228,Upgrades!$B$3:$B$13,0))*1.15^(COUNTIF(Q$4:Q227,Q228)-COUNTIF(Q$4:Q227,""Sell_""&amp;Q228))))))"),-80911.0)</f>
        <v>-80911</v>
      </c>
      <c r="V228" s="10">
        <f t="shared" si="11"/>
        <v>-8078978</v>
      </c>
      <c r="W228" s="68">
        <f t="shared" si="12"/>
        <v>5573.214753</v>
      </c>
      <c r="X228" s="59" t="str">
        <f t="shared" si="13"/>
        <v>1h 32m 53s</v>
      </c>
      <c r="Y228" s="69">
        <f t="shared" si="14"/>
        <v>251587394</v>
      </c>
      <c r="Z228" s="11"/>
    </row>
    <row r="229">
      <c r="A229" s="8"/>
      <c r="B229" s="56" t="str">
        <f t="shared" si="2"/>
        <v/>
      </c>
      <c r="C229" s="105"/>
      <c r="D229" s="10"/>
      <c r="E229" s="59" t="str">
        <f t="array" ref="E229">IF(COUNTA(C229:C1673)=0,"",SUM((COUNTIF(C$4:C229,Upgrades!$B$3:$B$13)-COUNTIF(C$4:C229,"Sell_"&amp;Upgrades!$B$3:$B$13))*Upgrades!$D$3:$D$13))</f>
        <v/>
      </c>
      <c r="F229" s="66" t="str">
        <f>IFERROR(__xludf.DUMMYFUNCTION("IF(COUNTA(C229:C1673)=0,"""",IF(REGEXMATCH(INDEX(FILTER(C$4:C229,C$4:C229&lt;&gt;""""),ROWS(FILTER(C$4:C229,C$4:C229&lt;&gt;""""))),""^Sell_""),INDEX(FILTER(F$4:F228,C$4:C228&lt;&gt;""""),ROWS(FILTER(C$4:C228,C$4:C228&lt;&gt;""""))),$AC$5+E229))"),"")</f>
        <v/>
      </c>
      <c r="G229" s="10" t="str">
        <f>IFERROR(__xludf.DUMMYFUNCTION("IF(COUNTA(C229:C1673)=0,"""",IF(C229="""",0,IF(REGEXMATCH(C229,""^Sell_""),-ROUNDDOWN(ROUNDUP(INDEX(Upgrades!$C$3:$C$13,MATCH(SUBSTITUTE(C229,""Sell_"",""""),Upgrades!$B$3:$B$13,0))*1.15^(COUNTIF(C$4:C228,SUBSTITUTE(C229,""Sell_"",""""))-COUNTIF(C$4:C228,"&amp;"""Sell_""&amp;SUBSTITUTE(C229,""Sell_"",""""))))/2),ROUNDUP(INDEX(Upgrades!$C$3:$C$13,MATCH(C229,Upgrades!$B$3:$B$13,0))*1.15^(COUNTIF(C$4:C228,C229)-COUNTIF(C$4:C228,""Sell_""&amp;C229))))))"),"")</f>
        <v/>
      </c>
      <c r="H229" s="10" t="str">
        <f t="shared" si="3"/>
        <v/>
      </c>
      <c r="I229" s="68" t="str">
        <f t="shared" si="4"/>
        <v/>
      </c>
      <c r="J229" s="59" t="str">
        <f t="shared" si="5"/>
        <v/>
      </c>
      <c r="K229" s="69" t="str">
        <f t="shared" si="6"/>
        <v/>
      </c>
      <c r="L229" s="60">
        <f t="shared" si="7"/>
        <v>-221.59887</v>
      </c>
      <c r="M229" s="61">
        <f>IFERROR(__xludf.DUMMYFUNCTION("IFS(AND(COUNTA(C229:C1673)=0,COUNTA(Q229:Q1673)=0),"""",OR(AND(K229&gt;=1000000000,OR(Y229&gt;=1000000000,COUNTA(Q229:Q1673)=0)),OR(Y229&gt;=1000000000,AND(COUNTA(C229:C1673)=0,P$3=TRUE))),
ROUNDDOWN((AB$1-AC$1)*MAX(INDEX(T$4:T1673,MATCH(LARGE(FILTER(Y$4:Y1673,Y$4"&amp;":Y1673&lt;1000000000),1),Y$4:Y1673)),INDEX(F$4:F1673,MATCH(LARGE(FILTER(K$4:K1673,K$4:K1673&lt;1000000000),1),K$4:K1673)))),AND(K229&lt;1000000000,COUNTA(C229:C1673)&gt;0,P$3=FALSE),
ROUNDDOWN(INDEX(Y$4:Y1673,MATCH(LARGE(FILTER(W$4:W1673,W$4:W1673&lt;=I229),1),W$4:W1673"&amp;"))+(I229-LARGE(FILTER(W$4:W1673,W$4:W1673&lt;=I229),1))*INDEX(T$4:T1673,MATCH(LARGE(FILTER(W$4:W1673,W$4:W1673&lt;=I229),1),W$4:W1673))-K229),1,
ROUNDDOWN(Y229-INDEX(K$4:K1673,MATCH(LARGE(FILTER(I$4:I1673,I$4:I1673&lt;=W229),1),I$4:I1673))-(W229-LARGE(FILTER(I$4:I"&amp;"1673,I$4:I1673&lt;=W229),1))*INDEX(F$4:F1673,MATCH(LARGE(FILTER(I$4:I1673,I$4:I1673&lt;=W229),1),I$4:I1673))))"),3.7777815E7)</f>
        <v>37777815</v>
      </c>
      <c r="N229" s="60">
        <f t="shared" si="8"/>
        <v>-221.59887</v>
      </c>
      <c r="O229" s="61" t="str">
        <f t="shared" si="9"/>
        <v>37,8M</v>
      </c>
      <c r="P229" s="56">
        <f t="shared" si="10"/>
        <v>27</v>
      </c>
      <c r="Q229" s="105" t="s">
        <v>61</v>
      </c>
      <c r="R229" s="10"/>
      <c r="S229" s="59">
        <f t="array" ref="S229">IF(COUNTA(Q229:Q1673)=0,"",SUM((COUNTIF(Q$4:Q229,Upgrades!$B$3:$B$13)-COUNTIF(Q$4:Q229,"Sell_"&amp;Upgrades!$B$3:$B$13))*Upgrades!$D$3:$D$13))</f>
        <v>204840</v>
      </c>
      <c r="T229" s="66">
        <f>IFERROR(__xludf.DUMMYFUNCTION("IF(COUNTA(Q229:Q1673)=0,"""",IF(REGEXMATCH(INDEX(FILTER(Q$4:Q229,Q$4:Q229&lt;&gt;""""),ROWS(FILTER(Q$4:Q229,Q$4:Q229&lt;&gt;""""))),""^Sell_""),INDEX(FILTER(T$4:T228,Q$4:Q228&lt;&gt;""""),ROWS(FILTER(Q$4:Q228,Q$4:Q228&lt;&gt;""""))),$AD$5+S229))"),211921.0)</f>
        <v>211921</v>
      </c>
      <c r="U229" s="10">
        <f>IFERROR(__xludf.DUMMYFUNCTION("IF(COUNTA(Q229:Q1673)=0,"""",IF(Q229="""",0,IF(REGEXMATCH(Q229,""^Sell_""),-ROUNDDOWN(ROUNDUP(INDEX(Upgrades!$C$3:$C$13,MATCH(SUBSTITUTE(Q229,""Sell_"",""""),Upgrades!$B$3:$B$13,0))*1.15^(COUNTIF(Q$4:Q228,SUBSTITUTE(Q229,""Sell_"",""""))-COUNTIF(Q$4:Q228,"&amp;"""Sell_""&amp;SUBSTITUTE(Q229,""Sell_"",""""))))/2),ROUNDUP(INDEX(Upgrades!$C$3:$C$13,MATCH(Q229,Upgrades!$B$3:$B$13,0))*1.15^(COUNTIF(Q$4:Q228,Q229)-COUNTIF(Q$4:Q228,""Sell_""&amp;Q229))))))"),-70358.0)</f>
        <v>-70358</v>
      </c>
      <c r="V229" s="10">
        <f t="shared" si="11"/>
        <v>-8149336</v>
      </c>
      <c r="W229" s="68">
        <f t="shared" si="12"/>
        <v>5573.214753</v>
      </c>
      <c r="X229" s="59" t="str">
        <f t="shared" si="13"/>
        <v>1h 32m 53s</v>
      </c>
      <c r="Y229" s="69">
        <f t="shared" si="14"/>
        <v>251587394</v>
      </c>
      <c r="Z229" s="11"/>
    </row>
    <row r="230">
      <c r="A230" s="8"/>
      <c r="B230" s="56" t="str">
        <f t="shared" si="2"/>
        <v/>
      </c>
      <c r="C230" s="105"/>
      <c r="D230" s="10"/>
      <c r="E230" s="59" t="str">
        <f t="array" ref="E230">IF(COUNTA(C230:C1673)=0,"",SUM((COUNTIF(C$4:C230,Upgrades!$B$3:$B$13)-COUNTIF(C$4:C230,"Sell_"&amp;Upgrades!$B$3:$B$13))*Upgrades!$D$3:$D$13))</f>
        <v/>
      </c>
      <c r="F230" s="66" t="str">
        <f>IFERROR(__xludf.DUMMYFUNCTION("IF(COUNTA(C230:C1673)=0,"""",IF(REGEXMATCH(INDEX(FILTER(C$4:C230,C$4:C230&lt;&gt;""""),ROWS(FILTER(C$4:C230,C$4:C230&lt;&gt;""""))),""^Sell_""),INDEX(FILTER(F$4:F229,C$4:C229&lt;&gt;""""),ROWS(FILTER(C$4:C229,C$4:C229&lt;&gt;""""))),$AC$5+E230))"),"")</f>
        <v/>
      </c>
      <c r="G230" s="10" t="str">
        <f>IFERROR(__xludf.DUMMYFUNCTION("IF(COUNTA(C230:C1673)=0,"""",IF(C230="""",0,IF(REGEXMATCH(C230,""^Sell_""),-ROUNDDOWN(ROUNDUP(INDEX(Upgrades!$C$3:$C$13,MATCH(SUBSTITUTE(C230,""Sell_"",""""),Upgrades!$B$3:$B$13,0))*1.15^(COUNTIF(C$4:C229,SUBSTITUTE(C230,""Sell_"",""""))-COUNTIF(C$4:C229,"&amp;"""Sell_""&amp;SUBSTITUTE(C230,""Sell_"",""""))))/2),ROUNDUP(INDEX(Upgrades!$C$3:$C$13,MATCH(C230,Upgrades!$B$3:$B$13,0))*1.15^(COUNTIF(C$4:C229,C230)-COUNTIF(C$4:C229,""Sell_""&amp;C230))))))"),"")</f>
        <v/>
      </c>
      <c r="H230" s="10" t="str">
        <f t="shared" si="3"/>
        <v/>
      </c>
      <c r="I230" s="68" t="str">
        <f t="shared" si="4"/>
        <v/>
      </c>
      <c r="J230" s="59" t="str">
        <f t="shared" si="5"/>
        <v/>
      </c>
      <c r="K230" s="69" t="str">
        <f t="shared" si="6"/>
        <v/>
      </c>
      <c r="L230" s="60">
        <f t="shared" si="7"/>
        <v>-221.59887</v>
      </c>
      <c r="M230" s="61">
        <f>IFERROR(__xludf.DUMMYFUNCTION("IFS(AND(COUNTA(C230:C1673)=0,COUNTA(Q230:Q1673)=0),"""",OR(AND(K230&gt;=1000000000,OR(Y230&gt;=1000000000,COUNTA(Q230:Q1673)=0)),OR(Y230&gt;=1000000000,AND(COUNTA(C230:C1673)=0,P$3=TRUE))),
ROUNDDOWN((AB$1-AC$1)*MAX(INDEX(T$4:T1673,MATCH(LARGE(FILTER(Y$4:Y1673,Y$4"&amp;":Y1673&lt;1000000000),1),Y$4:Y1673)),INDEX(F$4:F1673,MATCH(LARGE(FILTER(K$4:K1673,K$4:K1673&lt;1000000000),1),K$4:K1673)))),AND(K230&lt;1000000000,COUNTA(C230:C1673)&gt;0,P$3=FALSE),
ROUNDDOWN(INDEX(Y$4:Y1673,MATCH(LARGE(FILTER(W$4:W1673,W$4:W1673&lt;=I230),1),W$4:W1673"&amp;"))+(I230-LARGE(FILTER(W$4:W1673,W$4:W1673&lt;=I230),1))*INDEX(T$4:T1673,MATCH(LARGE(FILTER(W$4:W1673,W$4:W1673&lt;=I230),1),W$4:W1673))-K230),1,
ROUNDDOWN(Y230-INDEX(K$4:K1673,MATCH(LARGE(FILTER(I$4:I1673,I$4:I1673&lt;=W230),1),I$4:I1673))-(W230-LARGE(FILTER(I$4:I"&amp;"1673,I$4:I1673&lt;=W230),1))*INDEX(F$4:F1673,MATCH(LARGE(FILTER(I$4:I1673,I$4:I1673&lt;=W230),1),I$4:I1673))))"),3.7777815E7)</f>
        <v>37777815</v>
      </c>
      <c r="N230" s="60">
        <f t="shared" si="8"/>
        <v>-221.59887</v>
      </c>
      <c r="O230" s="61" t="str">
        <f t="shared" si="9"/>
        <v>37,8M</v>
      </c>
      <c r="P230" s="56">
        <f t="shared" si="10"/>
        <v>28</v>
      </c>
      <c r="Q230" s="105" t="s">
        <v>61</v>
      </c>
      <c r="R230" s="10"/>
      <c r="S230" s="59">
        <f t="array" ref="S230">IF(COUNTA(Q230:Q1673)=0,"",SUM((COUNTIF(Q$4:Q230,Upgrades!$B$3:$B$13)-COUNTIF(Q$4:Q230,"Sell_"&amp;Upgrades!$B$3:$B$13))*Upgrades!$D$3:$D$13))</f>
        <v>204740</v>
      </c>
      <c r="T230" s="66">
        <f>IFERROR(__xludf.DUMMYFUNCTION("IF(COUNTA(Q230:Q1673)=0,"""",IF(REGEXMATCH(INDEX(FILTER(Q$4:Q230,Q$4:Q230&lt;&gt;""""),ROWS(FILTER(Q$4:Q230,Q$4:Q230&lt;&gt;""""))),""^Sell_""),INDEX(FILTER(T$4:T229,Q$4:Q229&lt;&gt;""""),ROWS(FILTER(Q$4:Q229,Q$4:Q229&lt;&gt;""""))),$AD$5+S230))"),211921.0)</f>
        <v>211921</v>
      </c>
      <c r="U230" s="10">
        <f>IFERROR(__xludf.DUMMYFUNCTION("IF(COUNTA(Q230:Q1673)=0,"""",IF(Q230="""",0,IF(REGEXMATCH(Q230,""^Sell_""),-ROUNDDOWN(ROUNDUP(INDEX(Upgrades!$C$3:$C$13,MATCH(SUBSTITUTE(Q230,""Sell_"",""""),Upgrades!$B$3:$B$13,0))*1.15^(COUNTIF(Q$4:Q229,SUBSTITUTE(Q230,""Sell_"",""""))-COUNTIF(Q$4:Q229,"&amp;"""Sell_""&amp;SUBSTITUTE(Q230,""Sell_"",""""))))/2),ROUNDUP(INDEX(Upgrades!$C$3:$C$13,MATCH(Q230,Upgrades!$B$3:$B$13,0))*1.15^(COUNTIF(Q$4:Q229,Q230)-COUNTIF(Q$4:Q229,""Sell_""&amp;Q230))))))"),-61180.0)</f>
        <v>-61180</v>
      </c>
      <c r="V230" s="10">
        <f t="shared" si="11"/>
        <v>-8210516</v>
      </c>
      <c r="W230" s="68">
        <f t="shared" si="12"/>
        <v>5573.214753</v>
      </c>
      <c r="X230" s="59" t="str">
        <f t="shared" si="13"/>
        <v>1h 32m 53s</v>
      </c>
      <c r="Y230" s="69">
        <f t="shared" si="14"/>
        <v>251587394</v>
      </c>
      <c r="Z230" s="11"/>
    </row>
    <row r="231">
      <c r="A231" s="8"/>
      <c r="B231" s="56" t="str">
        <f t="shared" si="2"/>
        <v/>
      </c>
      <c r="C231" s="105"/>
      <c r="D231" s="10"/>
      <c r="E231" s="59" t="str">
        <f t="array" ref="E231">IF(COUNTA(C231:C1673)=0,"",SUM((COUNTIF(C$4:C231,Upgrades!$B$3:$B$13)-COUNTIF(C$4:C231,"Sell_"&amp;Upgrades!$B$3:$B$13))*Upgrades!$D$3:$D$13))</f>
        <v/>
      </c>
      <c r="F231" s="66" t="str">
        <f>IFERROR(__xludf.DUMMYFUNCTION("IF(COUNTA(C231:C1673)=0,"""",IF(REGEXMATCH(INDEX(FILTER(C$4:C231,C$4:C231&lt;&gt;""""),ROWS(FILTER(C$4:C231,C$4:C231&lt;&gt;""""))),""^Sell_""),INDEX(FILTER(F$4:F230,C$4:C230&lt;&gt;""""),ROWS(FILTER(C$4:C230,C$4:C230&lt;&gt;""""))),$AC$5+E231))"),"")</f>
        <v/>
      </c>
      <c r="G231" s="10" t="str">
        <f>IFERROR(__xludf.DUMMYFUNCTION("IF(COUNTA(C231:C1673)=0,"""",IF(C231="""",0,IF(REGEXMATCH(C231,""^Sell_""),-ROUNDDOWN(ROUNDUP(INDEX(Upgrades!$C$3:$C$13,MATCH(SUBSTITUTE(C231,""Sell_"",""""),Upgrades!$B$3:$B$13,0))*1.15^(COUNTIF(C$4:C230,SUBSTITUTE(C231,""Sell_"",""""))-COUNTIF(C$4:C230,"&amp;"""Sell_""&amp;SUBSTITUTE(C231,""Sell_"",""""))))/2),ROUNDUP(INDEX(Upgrades!$C$3:$C$13,MATCH(C231,Upgrades!$B$3:$B$13,0))*1.15^(COUNTIF(C$4:C230,C231)-COUNTIF(C$4:C230,""Sell_""&amp;C231))))))"),"")</f>
        <v/>
      </c>
      <c r="H231" s="10" t="str">
        <f t="shared" si="3"/>
        <v/>
      </c>
      <c r="I231" s="68" t="str">
        <f t="shared" si="4"/>
        <v/>
      </c>
      <c r="J231" s="59" t="str">
        <f t="shared" si="5"/>
        <v/>
      </c>
      <c r="K231" s="69" t="str">
        <f t="shared" si="6"/>
        <v/>
      </c>
      <c r="L231" s="60">
        <f t="shared" si="7"/>
        <v>-221.59887</v>
      </c>
      <c r="M231" s="61">
        <f>IFERROR(__xludf.DUMMYFUNCTION("IFS(AND(COUNTA(C231:C1673)=0,COUNTA(Q231:Q1673)=0),"""",OR(AND(K231&gt;=1000000000,OR(Y231&gt;=1000000000,COUNTA(Q231:Q1673)=0)),OR(Y231&gt;=1000000000,AND(COUNTA(C231:C1673)=0,P$3=TRUE))),
ROUNDDOWN((AB$1-AC$1)*MAX(INDEX(T$4:T1673,MATCH(LARGE(FILTER(Y$4:Y1673,Y$4"&amp;":Y1673&lt;1000000000),1),Y$4:Y1673)),INDEX(F$4:F1673,MATCH(LARGE(FILTER(K$4:K1673,K$4:K1673&lt;1000000000),1),K$4:K1673)))),AND(K231&lt;1000000000,COUNTA(C231:C1673)&gt;0,P$3=FALSE),
ROUNDDOWN(INDEX(Y$4:Y1673,MATCH(LARGE(FILTER(W$4:W1673,W$4:W1673&lt;=I231),1),W$4:W1673"&amp;"))+(I231-LARGE(FILTER(W$4:W1673,W$4:W1673&lt;=I231),1))*INDEX(T$4:T1673,MATCH(LARGE(FILTER(W$4:W1673,W$4:W1673&lt;=I231),1),W$4:W1673))-K231),1,
ROUNDDOWN(Y231-INDEX(K$4:K1673,MATCH(LARGE(FILTER(I$4:I1673,I$4:I1673&lt;=W231),1),I$4:I1673))-(W231-LARGE(FILTER(I$4:I"&amp;"1673,I$4:I1673&lt;=W231),1))*INDEX(F$4:F1673,MATCH(LARGE(FILTER(I$4:I1673,I$4:I1673&lt;=W231),1),I$4:I1673))))"),3.7777815E7)</f>
        <v>37777815</v>
      </c>
      <c r="N231" s="60">
        <f t="shared" si="8"/>
        <v>-221.59887</v>
      </c>
      <c r="O231" s="61" t="str">
        <f t="shared" si="9"/>
        <v>37,8M</v>
      </c>
      <c r="P231" s="56">
        <f t="shared" si="10"/>
        <v>29</v>
      </c>
      <c r="Q231" s="105" t="s">
        <v>61</v>
      </c>
      <c r="R231" s="10"/>
      <c r="S231" s="59">
        <f t="array" ref="S231">IF(COUNTA(Q231:Q1673)=0,"",SUM((COUNTIF(Q$4:Q231,Upgrades!$B$3:$B$13)-COUNTIF(Q$4:Q231,"Sell_"&amp;Upgrades!$B$3:$B$13))*Upgrades!$D$3:$D$13))</f>
        <v>204640</v>
      </c>
      <c r="T231" s="66">
        <f>IFERROR(__xludf.DUMMYFUNCTION("IF(COUNTA(Q231:Q1673)=0,"""",IF(REGEXMATCH(INDEX(FILTER(Q$4:Q231,Q$4:Q231&lt;&gt;""""),ROWS(FILTER(Q$4:Q231,Q$4:Q231&lt;&gt;""""))),""^Sell_""),INDEX(FILTER(T$4:T230,Q$4:Q230&lt;&gt;""""),ROWS(FILTER(Q$4:Q230,Q$4:Q230&lt;&gt;""""))),$AD$5+S231))"),211921.0)</f>
        <v>211921</v>
      </c>
      <c r="U231" s="10">
        <f>IFERROR(__xludf.DUMMYFUNCTION("IF(COUNTA(Q231:Q1673)=0,"""",IF(Q231="""",0,IF(REGEXMATCH(Q231,""^Sell_""),-ROUNDDOWN(ROUNDUP(INDEX(Upgrades!$C$3:$C$13,MATCH(SUBSTITUTE(Q231,""Sell_"",""""),Upgrades!$B$3:$B$13,0))*1.15^(COUNTIF(Q$4:Q230,SUBSTITUTE(Q231,""Sell_"",""""))-COUNTIF(Q$4:Q230,"&amp;"""Sell_""&amp;SUBSTITUTE(Q231,""Sell_"",""""))))/2),ROUNDUP(INDEX(Upgrades!$C$3:$C$13,MATCH(Q231,Upgrades!$B$3:$B$13,0))*1.15^(COUNTIF(Q$4:Q230,Q231)-COUNTIF(Q$4:Q230,""Sell_""&amp;Q231))))))"),-53200.0)</f>
        <v>-53200</v>
      </c>
      <c r="V231" s="10">
        <f t="shared" si="11"/>
        <v>-8263716</v>
      </c>
      <c r="W231" s="68">
        <f t="shared" si="12"/>
        <v>5573.214753</v>
      </c>
      <c r="X231" s="59" t="str">
        <f t="shared" si="13"/>
        <v>1h 32m 53s</v>
      </c>
      <c r="Y231" s="69">
        <f t="shared" si="14"/>
        <v>251587394</v>
      </c>
      <c r="Z231" s="11"/>
    </row>
    <row r="232">
      <c r="A232" s="8"/>
      <c r="B232" s="56" t="str">
        <f t="shared" si="2"/>
        <v/>
      </c>
      <c r="C232" s="105"/>
      <c r="D232" s="10"/>
      <c r="E232" s="59" t="str">
        <f t="array" ref="E232">IF(COUNTA(C232:C1673)=0,"",SUM((COUNTIF(C$4:C232,Upgrades!$B$3:$B$13)-COUNTIF(C$4:C232,"Sell_"&amp;Upgrades!$B$3:$B$13))*Upgrades!$D$3:$D$13))</f>
        <v/>
      </c>
      <c r="F232" s="66" t="str">
        <f>IFERROR(__xludf.DUMMYFUNCTION("IF(COUNTA(C232:C1673)=0,"""",IF(REGEXMATCH(INDEX(FILTER(C$4:C232,C$4:C232&lt;&gt;""""),ROWS(FILTER(C$4:C232,C$4:C232&lt;&gt;""""))),""^Sell_""),INDEX(FILTER(F$4:F231,C$4:C231&lt;&gt;""""),ROWS(FILTER(C$4:C231,C$4:C231&lt;&gt;""""))),$AC$5+E232))"),"")</f>
        <v/>
      </c>
      <c r="G232" s="10" t="str">
        <f>IFERROR(__xludf.DUMMYFUNCTION("IF(COUNTA(C232:C1673)=0,"""",IF(C232="""",0,IF(REGEXMATCH(C232,""^Sell_""),-ROUNDDOWN(ROUNDUP(INDEX(Upgrades!$C$3:$C$13,MATCH(SUBSTITUTE(C232,""Sell_"",""""),Upgrades!$B$3:$B$13,0))*1.15^(COUNTIF(C$4:C231,SUBSTITUTE(C232,""Sell_"",""""))-COUNTIF(C$4:C231,"&amp;"""Sell_""&amp;SUBSTITUTE(C232,""Sell_"",""""))))/2),ROUNDUP(INDEX(Upgrades!$C$3:$C$13,MATCH(C232,Upgrades!$B$3:$B$13,0))*1.15^(COUNTIF(C$4:C231,C232)-COUNTIF(C$4:C231,""Sell_""&amp;C232))))))"),"")</f>
        <v/>
      </c>
      <c r="H232" s="10" t="str">
        <f t="shared" si="3"/>
        <v/>
      </c>
      <c r="I232" s="68" t="str">
        <f t="shared" si="4"/>
        <v/>
      </c>
      <c r="J232" s="59" t="str">
        <f t="shared" si="5"/>
        <v/>
      </c>
      <c r="K232" s="69" t="str">
        <f t="shared" si="6"/>
        <v/>
      </c>
      <c r="L232" s="60">
        <f t="shared" si="7"/>
        <v>-221.59887</v>
      </c>
      <c r="M232" s="61">
        <f>IFERROR(__xludf.DUMMYFUNCTION("IFS(AND(COUNTA(C232:C1673)=0,COUNTA(Q232:Q1673)=0),"""",OR(AND(K232&gt;=1000000000,OR(Y232&gt;=1000000000,COUNTA(Q232:Q1673)=0)),OR(Y232&gt;=1000000000,AND(COUNTA(C232:C1673)=0,P$3=TRUE))),
ROUNDDOWN((AB$1-AC$1)*MAX(INDEX(T$4:T1673,MATCH(LARGE(FILTER(Y$4:Y1673,Y$4"&amp;":Y1673&lt;1000000000),1),Y$4:Y1673)),INDEX(F$4:F1673,MATCH(LARGE(FILTER(K$4:K1673,K$4:K1673&lt;1000000000),1),K$4:K1673)))),AND(K232&lt;1000000000,COUNTA(C232:C1673)&gt;0,P$3=FALSE),
ROUNDDOWN(INDEX(Y$4:Y1673,MATCH(LARGE(FILTER(W$4:W1673,W$4:W1673&lt;=I232),1),W$4:W1673"&amp;"))+(I232-LARGE(FILTER(W$4:W1673,W$4:W1673&lt;=I232),1))*INDEX(T$4:T1673,MATCH(LARGE(FILTER(W$4:W1673,W$4:W1673&lt;=I232),1),W$4:W1673))-K232),1,
ROUNDDOWN(Y232-INDEX(K$4:K1673,MATCH(LARGE(FILTER(I$4:I1673,I$4:I1673&lt;=W232),1),I$4:I1673))-(W232-LARGE(FILTER(I$4:I"&amp;"1673,I$4:I1673&lt;=W232),1))*INDEX(F$4:F1673,MATCH(LARGE(FILTER(I$4:I1673,I$4:I1673&lt;=W232),1),I$4:I1673))))"),3.7777815E7)</f>
        <v>37777815</v>
      </c>
      <c r="N232" s="60">
        <f t="shared" si="8"/>
        <v>-221.59887</v>
      </c>
      <c r="O232" s="61" t="str">
        <f t="shared" si="9"/>
        <v>37,8M</v>
      </c>
      <c r="P232" s="56">
        <f t="shared" si="10"/>
        <v>30</v>
      </c>
      <c r="Q232" s="105" t="s">
        <v>61</v>
      </c>
      <c r="R232" s="10"/>
      <c r="S232" s="59">
        <f t="array" ref="S232">IF(COUNTA(Q232:Q1673)=0,"",SUM((COUNTIF(Q$4:Q232,Upgrades!$B$3:$B$13)-COUNTIF(Q$4:Q232,"Sell_"&amp;Upgrades!$B$3:$B$13))*Upgrades!$D$3:$D$13))</f>
        <v>204540</v>
      </c>
      <c r="T232" s="66">
        <f>IFERROR(__xludf.DUMMYFUNCTION("IF(COUNTA(Q232:Q1673)=0,"""",IF(REGEXMATCH(INDEX(FILTER(Q$4:Q232,Q$4:Q232&lt;&gt;""""),ROWS(FILTER(Q$4:Q232,Q$4:Q232&lt;&gt;""""))),""^Sell_""),INDEX(FILTER(T$4:T231,Q$4:Q231&lt;&gt;""""),ROWS(FILTER(Q$4:Q231,Q$4:Q231&lt;&gt;""""))),$AD$5+S232))"),211921.0)</f>
        <v>211921</v>
      </c>
      <c r="U232" s="10">
        <f>IFERROR(__xludf.DUMMYFUNCTION("IF(COUNTA(Q232:Q1673)=0,"""",IF(Q232="""",0,IF(REGEXMATCH(Q232,""^Sell_""),-ROUNDDOWN(ROUNDUP(INDEX(Upgrades!$C$3:$C$13,MATCH(SUBSTITUTE(Q232,""Sell_"",""""),Upgrades!$B$3:$B$13,0))*1.15^(COUNTIF(Q$4:Q231,SUBSTITUTE(Q232,""Sell_"",""""))-COUNTIF(Q$4:Q231,"&amp;"""Sell_""&amp;SUBSTITUTE(Q232,""Sell_"",""""))))/2),ROUNDUP(INDEX(Upgrades!$C$3:$C$13,MATCH(Q232,Upgrades!$B$3:$B$13,0))*1.15^(COUNTIF(Q$4:Q231,Q232)-COUNTIF(Q$4:Q231,""Sell_""&amp;Q232))))))"),-46261.0)</f>
        <v>-46261</v>
      </c>
      <c r="V232" s="10">
        <f t="shared" si="11"/>
        <v>-8309977</v>
      </c>
      <c r="W232" s="68">
        <f t="shared" si="12"/>
        <v>5573.214753</v>
      </c>
      <c r="X232" s="59" t="str">
        <f t="shared" si="13"/>
        <v>1h 32m 53s</v>
      </c>
      <c r="Y232" s="69">
        <f t="shared" si="14"/>
        <v>251587394</v>
      </c>
      <c r="Z232" s="11"/>
    </row>
    <row r="233">
      <c r="A233" s="8"/>
      <c r="B233" s="56" t="str">
        <f t="shared" si="2"/>
        <v/>
      </c>
      <c r="C233" s="105"/>
      <c r="D233" s="10"/>
      <c r="E233" s="59" t="str">
        <f t="array" ref="E233">IF(COUNTA(C233:C1673)=0,"",SUM((COUNTIF(C$4:C233,Upgrades!$B$3:$B$13)-COUNTIF(C$4:C233,"Sell_"&amp;Upgrades!$B$3:$B$13))*Upgrades!$D$3:$D$13))</f>
        <v/>
      </c>
      <c r="F233" s="66" t="str">
        <f>IFERROR(__xludf.DUMMYFUNCTION("IF(COUNTA(C233:C1673)=0,"""",IF(REGEXMATCH(INDEX(FILTER(C$4:C233,C$4:C233&lt;&gt;""""),ROWS(FILTER(C$4:C233,C$4:C233&lt;&gt;""""))),""^Sell_""),INDEX(FILTER(F$4:F232,C$4:C232&lt;&gt;""""),ROWS(FILTER(C$4:C232,C$4:C232&lt;&gt;""""))),$AC$5+E233))"),"")</f>
        <v/>
      </c>
      <c r="G233" s="10" t="str">
        <f>IFERROR(__xludf.DUMMYFUNCTION("IF(COUNTA(C233:C1673)=0,"""",IF(C233="""",0,IF(REGEXMATCH(C233,""^Sell_""),-ROUNDDOWN(ROUNDUP(INDEX(Upgrades!$C$3:$C$13,MATCH(SUBSTITUTE(C233,""Sell_"",""""),Upgrades!$B$3:$B$13,0))*1.15^(COUNTIF(C$4:C232,SUBSTITUTE(C233,""Sell_"",""""))-COUNTIF(C$4:C232,"&amp;"""Sell_""&amp;SUBSTITUTE(C233,""Sell_"",""""))))/2),ROUNDUP(INDEX(Upgrades!$C$3:$C$13,MATCH(C233,Upgrades!$B$3:$B$13,0))*1.15^(COUNTIF(C$4:C232,C233)-COUNTIF(C$4:C232,""Sell_""&amp;C233))))))"),"")</f>
        <v/>
      </c>
      <c r="H233" s="10" t="str">
        <f t="shared" si="3"/>
        <v/>
      </c>
      <c r="I233" s="68" t="str">
        <f t="shared" si="4"/>
        <v/>
      </c>
      <c r="J233" s="59" t="str">
        <f t="shared" si="5"/>
        <v/>
      </c>
      <c r="K233" s="69" t="str">
        <f t="shared" si="6"/>
        <v/>
      </c>
      <c r="L233" s="60">
        <f t="shared" si="7"/>
        <v>-221.59887</v>
      </c>
      <c r="M233" s="61">
        <f>IFERROR(__xludf.DUMMYFUNCTION("IFS(AND(COUNTA(C233:C1673)=0,COUNTA(Q233:Q1673)=0),"""",OR(AND(K233&gt;=1000000000,OR(Y233&gt;=1000000000,COUNTA(Q233:Q1673)=0)),OR(Y233&gt;=1000000000,AND(COUNTA(C233:C1673)=0,P$3=TRUE))),
ROUNDDOWN((AB$1-AC$1)*MAX(INDEX(T$4:T1673,MATCH(LARGE(FILTER(Y$4:Y1673,Y$4"&amp;":Y1673&lt;1000000000),1),Y$4:Y1673)),INDEX(F$4:F1673,MATCH(LARGE(FILTER(K$4:K1673,K$4:K1673&lt;1000000000),1),K$4:K1673)))),AND(K233&lt;1000000000,COUNTA(C233:C1673)&gt;0,P$3=FALSE),
ROUNDDOWN(INDEX(Y$4:Y1673,MATCH(LARGE(FILTER(W$4:W1673,W$4:W1673&lt;=I233),1),W$4:W1673"&amp;"))+(I233-LARGE(FILTER(W$4:W1673,W$4:W1673&lt;=I233),1))*INDEX(T$4:T1673,MATCH(LARGE(FILTER(W$4:W1673,W$4:W1673&lt;=I233),1),W$4:W1673))-K233),1,
ROUNDDOWN(Y233-INDEX(K$4:K1673,MATCH(LARGE(FILTER(I$4:I1673,I$4:I1673&lt;=W233),1),I$4:I1673))-(W233-LARGE(FILTER(I$4:I"&amp;"1673,I$4:I1673&lt;=W233),1))*INDEX(F$4:F1673,MATCH(LARGE(FILTER(I$4:I1673,I$4:I1673&lt;=W233),1),I$4:I1673))))"),3.7777815E7)</f>
        <v>37777815</v>
      </c>
      <c r="N233" s="60">
        <f t="shared" si="8"/>
        <v>-221.59887</v>
      </c>
      <c r="O233" s="61" t="str">
        <f t="shared" si="9"/>
        <v>37,8M</v>
      </c>
      <c r="P233" s="56">
        <f t="shared" si="10"/>
        <v>31</v>
      </c>
      <c r="Q233" s="105" t="s">
        <v>61</v>
      </c>
      <c r="R233" s="10"/>
      <c r="S233" s="59">
        <f t="array" ref="S233">IF(COUNTA(Q233:Q1673)=0,"",SUM((COUNTIF(Q$4:Q233,Upgrades!$B$3:$B$13)-COUNTIF(Q$4:Q233,"Sell_"&amp;Upgrades!$B$3:$B$13))*Upgrades!$D$3:$D$13))</f>
        <v>204440</v>
      </c>
      <c r="T233" s="66">
        <f>IFERROR(__xludf.DUMMYFUNCTION("IF(COUNTA(Q233:Q1673)=0,"""",IF(REGEXMATCH(INDEX(FILTER(Q$4:Q233,Q$4:Q233&lt;&gt;""""),ROWS(FILTER(Q$4:Q233,Q$4:Q233&lt;&gt;""""))),""^Sell_""),INDEX(FILTER(T$4:T232,Q$4:Q232&lt;&gt;""""),ROWS(FILTER(Q$4:Q232,Q$4:Q232&lt;&gt;""""))),$AD$5+S233))"),211921.0)</f>
        <v>211921</v>
      </c>
      <c r="U233" s="10">
        <f>IFERROR(__xludf.DUMMYFUNCTION("IF(COUNTA(Q233:Q1673)=0,"""",IF(Q233="""",0,IF(REGEXMATCH(Q233,""^Sell_""),-ROUNDDOWN(ROUNDUP(INDEX(Upgrades!$C$3:$C$13,MATCH(SUBSTITUTE(Q233,""Sell_"",""""),Upgrades!$B$3:$B$13,0))*1.15^(COUNTIF(Q$4:Q232,SUBSTITUTE(Q233,""Sell_"",""""))-COUNTIF(Q$4:Q232,"&amp;"""Sell_""&amp;SUBSTITUTE(Q233,""Sell_"",""""))))/2),ROUNDUP(INDEX(Upgrades!$C$3:$C$13,MATCH(Q233,Upgrades!$B$3:$B$13,0))*1.15^(COUNTIF(Q$4:Q232,Q233)-COUNTIF(Q$4:Q232,""Sell_""&amp;Q233))))))"),-40227.0)</f>
        <v>-40227</v>
      </c>
      <c r="V233" s="10">
        <f t="shared" si="11"/>
        <v>-8350204</v>
      </c>
      <c r="W233" s="68">
        <f t="shared" si="12"/>
        <v>5573.214753</v>
      </c>
      <c r="X233" s="59" t="str">
        <f t="shared" si="13"/>
        <v>1h 32m 53s</v>
      </c>
      <c r="Y233" s="69">
        <f t="shared" si="14"/>
        <v>251587394</v>
      </c>
      <c r="Z233" s="11"/>
    </row>
    <row r="234">
      <c r="A234" s="8"/>
      <c r="B234" s="56" t="str">
        <f t="shared" si="2"/>
        <v/>
      </c>
      <c r="C234" s="105"/>
      <c r="D234" s="10"/>
      <c r="E234" s="59" t="str">
        <f t="array" ref="E234">IF(COUNTA(C234:C1673)=0,"",SUM((COUNTIF(C$4:C234,Upgrades!$B$3:$B$13)-COUNTIF(C$4:C234,"Sell_"&amp;Upgrades!$B$3:$B$13))*Upgrades!$D$3:$D$13))</f>
        <v/>
      </c>
      <c r="F234" s="66" t="str">
        <f>IFERROR(__xludf.DUMMYFUNCTION("IF(COUNTA(C234:C1673)=0,"""",IF(REGEXMATCH(INDEX(FILTER(C$4:C234,C$4:C234&lt;&gt;""""),ROWS(FILTER(C$4:C234,C$4:C234&lt;&gt;""""))),""^Sell_""),INDEX(FILTER(F$4:F233,C$4:C233&lt;&gt;""""),ROWS(FILTER(C$4:C233,C$4:C233&lt;&gt;""""))),$AC$5+E234))"),"")</f>
        <v/>
      </c>
      <c r="G234" s="10" t="str">
        <f>IFERROR(__xludf.DUMMYFUNCTION("IF(COUNTA(C234:C1673)=0,"""",IF(C234="""",0,IF(REGEXMATCH(C234,""^Sell_""),-ROUNDDOWN(ROUNDUP(INDEX(Upgrades!$C$3:$C$13,MATCH(SUBSTITUTE(C234,""Sell_"",""""),Upgrades!$B$3:$B$13,0))*1.15^(COUNTIF(C$4:C233,SUBSTITUTE(C234,""Sell_"",""""))-COUNTIF(C$4:C233,"&amp;"""Sell_""&amp;SUBSTITUTE(C234,""Sell_"",""""))))/2),ROUNDUP(INDEX(Upgrades!$C$3:$C$13,MATCH(C234,Upgrades!$B$3:$B$13,0))*1.15^(COUNTIF(C$4:C233,C234)-COUNTIF(C$4:C233,""Sell_""&amp;C234))))))"),"")</f>
        <v/>
      </c>
      <c r="H234" s="10" t="str">
        <f t="shared" si="3"/>
        <v/>
      </c>
      <c r="I234" s="68" t="str">
        <f t="shared" si="4"/>
        <v/>
      </c>
      <c r="J234" s="59" t="str">
        <f t="shared" si="5"/>
        <v/>
      </c>
      <c r="K234" s="69" t="str">
        <f t="shared" si="6"/>
        <v/>
      </c>
      <c r="L234" s="60">
        <f t="shared" si="7"/>
        <v>-221.59887</v>
      </c>
      <c r="M234" s="61">
        <f>IFERROR(__xludf.DUMMYFUNCTION("IFS(AND(COUNTA(C234:C1673)=0,COUNTA(Q234:Q1673)=0),"""",OR(AND(K234&gt;=1000000000,OR(Y234&gt;=1000000000,COUNTA(Q234:Q1673)=0)),OR(Y234&gt;=1000000000,AND(COUNTA(C234:C1673)=0,P$3=TRUE))),
ROUNDDOWN((AB$1-AC$1)*MAX(INDEX(T$4:T1673,MATCH(LARGE(FILTER(Y$4:Y1673,Y$4"&amp;":Y1673&lt;1000000000),1),Y$4:Y1673)),INDEX(F$4:F1673,MATCH(LARGE(FILTER(K$4:K1673,K$4:K1673&lt;1000000000),1),K$4:K1673)))),AND(K234&lt;1000000000,COUNTA(C234:C1673)&gt;0,P$3=FALSE),
ROUNDDOWN(INDEX(Y$4:Y1673,MATCH(LARGE(FILTER(W$4:W1673,W$4:W1673&lt;=I234),1),W$4:W1673"&amp;"))+(I234-LARGE(FILTER(W$4:W1673,W$4:W1673&lt;=I234),1))*INDEX(T$4:T1673,MATCH(LARGE(FILTER(W$4:W1673,W$4:W1673&lt;=I234),1),W$4:W1673))-K234),1,
ROUNDDOWN(Y234-INDEX(K$4:K1673,MATCH(LARGE(FILTER(I$4:I1673,I$4:I1673&lt;=W234),1),I$4:I1673))-(W234-LARGE(FILTER(I$4:I"&amp;"1673,I$4:I1673&lt;=W234),1))*INDEX(F$4:F1673,MATCH(LARGE(FILTER(I$4:I1673,I$4:I1673&lt;=W234),1),I$4:I1673))))"),3.7777815E7)</f>
        <v>37777815</v>
      </c>
      <c r="N234" s="60">
        <f t="shared" si="8"/>
        <v>-221.59887</v>
      </c>
      <c r="O234" s="61" t="str">
        <f t="shared" si="9"/>
        <v>37,8M</v>
      </c>
      <c r="P234" s="56">
        <f t="shared" si="10"/>
        <v>32</v>
      </c>
      <c r="Q234" s="105" t="s">
        <v>61</v>
      </c>
      <c r="R234" s="10"/>
      <c r="S234" s="59">
        <f t="array" ref="S234">IF(COUNTA(Q234:Q1673)=0,"",SUM((COUNTIF(Q$4:Q234,Upgrades!$B$3:$B$13)-COUNTIF(Q$4:Q234,"Sell_"&amp;Upgrades!$B$3:$B$13))*Upgrades!$D$3:$D$13))</f>
        <v>204340</v>
      </c>
      <c r="T234" s="66">
        <f>IFERROR(__xludf.DUMMYFUNCTION("IF(COUNTA(Q234:Q1673)=0,"""",IF(REGEXMATCH(INDEX(FILTER(Q$4:Q234,Q$4:Q234&lt;&gt;""""),ROWS(FILTER(Q$4:Q234,Q$4:Q234&lt;&gt;""""))),""^Sell_""),INDEX(FILTER(T$4:T233,Q$4:Q233&lt;&gt;""""),ROWS(FILTER(Q$4:Q233,Q$4:Q233&lt;&gt;""""))),$AD$5+S234))"),211921.0)</f>
        <v>211921</v>
      </c>
      <c r="U234" s="10">
        <f>IFERROR(__xludf.DUMMYFUNCTION("IF(COUNTA(Q234:Q1673)=0,"""",IF(Q234="""",0,IF(REGEXMATCH(Q234,""^Sell_""),-ROUNDDOWN(ROUNDUP(INDEX(Upgrades!$C$3:$C$13,MATCH(SUBSTITUTE(Q234,""Sell_"",""""),Upgrades!$B$3:$B$13,0))*1.15^(COUNTIF(Q$4:Q233,SUBSTITUTE(Q234,""Sell_"",""""))-COUNTIF(Q$4:Q233,"&amp;"""Sell_""&amp;SUBSTITUTE(Q234,""Sell_"",""""))))/2),ROUNDUP(INDEX(Upgrades!$C$3:$C$13,MATCH(Q234,Upgrades!$B$3:$B$13,0))*1.15^(COUNTIF(Q$4:Q233,Q234)-COUNTIF(Q$4:Q233,""Sell_""&amp;Q234))))))"),-34980.0)</f>
        <v>-34980</v>
      </c>
      <c r="V234" s="10">
        <f t="shared" si="11"/>
        <v>-8385184</v>
      </c>
      <c r="W234" s="68">
        <f t="shared" si="12"/>
        <v>5573.214753</v>
      </c>
      <c r="X234" s="59" t="str">
        <f t="shared" si="13"/>
        <v>1h 32m 53s</v>
      </c>
      <c r="Y234" s="69">
        <f t="shared" si="14"/>
        <v>251587394</v>
      </c>
      <c r="Z234" s="11"/>
    </row>
    <row r="235">
      <c r="A235" s="8"/>
      <c r="B235" s="56" t="str">
        <f t="shared" si="2"/>
        <v/>
      </c>
      <c r="C235" s="105"/>
      <c r="D235" s="10"/>
      <c r="E235" s="59" t="str">
        <f t="array" ref="E235">IF(COUNTA(C235:C1673)=0,"",SUM((COUNTIF(C$4:C235,Upgrades!$B$3:$B$13)-COUNTIF(C$4:C235,"Sell_"&amp;Upgrades!$B$3:$B$13))*Upgrades!$D$3:$D$13))</f>
        <v/>
      </c>
      <c r="F235" s="66" t="str">
        <f>IFERROR(__xludf.DUMMYFUNCTION("IF(COUNTA(C235:C1673)=0,"""",IF(REGEXMATCH(INDEX(FILTER(C$4:C235,C$4:C235&lt;&gt;""""),ROWS(FILTER(C$4:C235,C$4:C235&lt;&gt;""""))),""^Sell_""),INDEX(FILTER(F$4:F234,C$4:C234&lt;&gt;""""),ROWS(FILTER(C$4:C234,C$4:C234&lt;&gt;""""))),$AC$5+E235))"),"")</f>
        <v/>
      </c>
      <c r="G235" s="10" t="str">
        <f>IFERROR(__xludf.DUMMYFUNCTION("IF(COUNTA(C235:C1673)=0,"""",IF(C235="""",0,IF(REGEXMATCH(C235,""^Sell_""),-ROUNDDOWN(ROUNDUP(INDEX(Upgrades!$C$3:$C$13,MATCH(SUBSTITUTE(C235,""Sell_"",""""),Upgrades!$B$3:$B$13,0))*1.15^(COUNTIF(C$4:C234,SUBSTITUTE(C235,""Sell_"",""""))-COUNTIF(C$4:C234,"&amp;"""Sell_""&amp;SUBSTITUTE(C235,""Sell_"",""""))))/2),ROUNDUP(INDEX(Upgrades!$C$3:$C$13,MATCH(C235,Upgrades!$B$3:$B$13,0))*1.15^(COUNTIF(C$4:C234,C235)-COUNTIF(C$4:C234,""Sell_""&amp;C235))))))"),"")</f>
        <v/>
      </c>
      <c r="H235" s="10" t="str">
        <f t="shared" si="3"/>
        <v/>
      </c>
      <c r="I235" s="68" t="str">
        <f t="shared" si="4"/>
        <v/>
      </c>
      <c r="J235" s="59" t="str">
        <f t="shared" si="5"/>
        <v/>
      </c>
      <c r="K235" s="69" t="str">
        <f t="shared" si="6"/>
        <v/>
      </c>
      <c r="L235" s="60">
        <f t="shared" si="7"/>
        <v>-221.59887</v>
      </c>
      <c r="M235" s="61">
        <f>IFERROR(__xludf.DUMMYFUNCTION("IFS(AND(COUNTA(C235:C1673)=0,COUNTA(Q235:Q1673)=0),"""",OR(AND(K235&gt;=1000000000,OR(Y235&gt;=1000000000,COUNTA(Q235:Q1673)=0)),OR(Y235&gt;=1000000000,AND(COUNTA(C235:C1673)=0,P$3=TRUE))),
ROUNDDOWN((AB$1-AC$1)*MAX(INDEX(T$4:T1673,MATCH(LARGE(FILTER(Y$4:Y1673,Y$4"&amp;":Y1673&lt;1000000000),1),Y$4:Y1673)),INDEX(F$4:F1673,MATCH(LARGE(FILTER(K$4:K1673,K$4:K1673&lt;1000000000),1),K$4:K1673)))),AND(K235&lt;1000000000,COUNTA(C235:C1673)&gt;0,P$3=FALSE),
ROUNDDOWN(INDEX(Y$4:Y1673,MATCH(LARGE(FILTER(W$4:W1673,W$4:W1673&lt;=I235),1),W$4:W1673"&amp;"))+(I235-LARGE(FILTER(W$4:W1673,W$4:W1673&lt;=I235),1))*INDEX(T$4:T1673,MATCH(LARGE(FILTER(W$4:W1673,W$4:W1673&lt;=I235),1),W$4:W1673))-K235),1,
ROUNDDOWN(Y235-INDEX(K$4:K1673,MATCH(LARGE(FILTER(I$4:I1673,I$4:I1673&lt;=W235),1),I$4:I1673))-(W235-LARGE(FILTER(I$4:I"&amp;"1673,I$4:I1673&lt;=W235),1))*INDEX(F$4:F1673,MATCH(LARGE(FILTER(I$4:I1673,I$4:I1673&lt;=W235),1),I$4:I1673))))"),3.7777815E7)</f>
        <v>37777815</v>
      </c>
      <c r="N235" s="60">
        <f t="shared" si="8"/>
        <v>-221.59887</v>
      </c>
      <c r="O235" s="61" t="str">
        <f t="shared" si="9"/>
        <v>37,8M</v>
      </c>
      <c r="P235" s="56">
        <f t="shared" si="10"/>
        <v>33</v>
      </c>
      <c r="Q235" s="105" t="s">
        <v>61</v>
      </c>
      <c r="R235" s="10"/>
      <c r="S235" s="59">
        <f t="array" ref="S235">IF(COUNTA(Q235:Q1673)=0,"",SUM((COUNTIF(Q$4:Q235,Upgrades!$B$3:$B$13)-COUNTIF(Q$4:Q235,"Sell_"&amp;Upgrades!$B$3:$B$13))*Upgrades!$D$3:$D$13))</f>
        <v>204240</v>
      </c>
      <c r="T235" s="66">
        <f>IFERROR(__xludf.DUMMYFUNCTION("IF(COUNTA(Q235:Q1673)=0,"""",IF(REGEXMATCH(INDEX(FILTER(Q$4:Q235,Q$4:Q235&lt;&gt;""""),ROWS(FILTER(Q$4:Q235,Q$4:Q235&lt;&gt;""""))),""^Sell_""),INDEX(FILTER(T$4:T234,Q$4:Q234&lt;&gt;""""),ROWS(FILTER(Q$4:Q234,Q$4:Q234&lt;&gt;""""))),$AD$5+S235))"),211921.0)</f>
        <v>211921</v>
      </c>
      <c r="U235" s="10">
        <f>IFERROR(__xludf.DUMMYFUNCTION("IF(COUNTA(Q235:Q1673)=0,"""",IF(Q235="""",0,IF(REGEXMATCH(Q235,""^Sell_""),-ROUNDDOWN(ROUNDUP(INDEX(Upgrades!$C$3:$C$13,MATCH(SUBSTITUTE(Q235,""Sell_"",""""),Upgrades!$B$3:$B$13,0))*1.15^(COUNTIF(Q$4:Q234,SUBSTITUTE(Q235,""Sell_"",""""))-COUNTIF(Q$4:Q234,"&amp;"""Sell_""&amp;SUBSTITUTE(Q235,""Sell_"",""""))))/2),ROUNDUP(INDEX(Upgrades!$C$3:$C$13,MATCH(Q235,Upgrades!$B$3:$B$13,0))*1.15^(COUNTIF(Q$4:Q234,Q235)-COUNTIF(Q$4:Q234,""Sell_""&amp;Q235))))))"),-30417.0)</f>
        <v>-30417</v>
      </c>
      <c r="V235" s="10">
        <f t="shared" si="11"/>
        <v>-8415601</v>
      </c>
      <c r="W235" s="68">
        <f t="shared" si="12"/>
        <v>5573.214753</v>
      </c>
      <c r="X235" s="59" t="str">
        <f t="shared" si="13"/>
        <v>1h 32m 53s</v>
      </c>
      <c r="Y235" s="69">
        <f t="shared" si="14"/>
        <v>251587394</v>
      </c>
      <c r="Z235" s="11"/>
    </row>
    <row r="236">
      <c r="A236" s="8"/>
      <c r="B236" s="56" t="str">
        <f t="shared" si="2"/>
        <v/>
      </c>
      <c r="C236" s="105"/>
      <c r="D236" s="10"/>
      <c r="E236" s="59" t="str">
        <f t="array" ref="E236">IF(COUNTA(C236:C1673)=0,"",SUM((COUNTIF(C$4:C236,Upgrades!$B$3:$B$13)-COUNTIF(C$4:C236,"Sell_"&amp;Upgrades!$B$3:$B$13))*Upgrades!$D$3:$D$13))</f>
        <v/>
      </c>
      <c r="F236" s="66" t="str">
        <f>IFERROR(__xludf.DUMMYFUNCTION("IF(COUNTA(C236:C1673)=0,"""",IF(REGEXMATCH(INDEX(FILTER(C$4:C236,C$4:C236&lt;&gt;""""),ROWS(FILTER(C$4:C236,C$4:C236&lt;&gt;""""))),""^Sell_""),INDEX(FILTER(F$4:F235,C$4:C235&lt;&gt;""""),ROWS(FILTER(C$4:C235,C$4:C235&lt;&gt;""""))),$AC$5+E236))"),"")</f>
        <v/>
      </c>
      <c r="G236" s="10" t="str">
        <f>IFERROR(__xludf.DUMMYFUNCTION("IF(COUNTA(C236:C1673)=0,"""",IF(C236="""",0,IF(REGEXMATCH(C236,""^Sell_""),-ROUNDDOWN(ROUNDUP(INDEX(Upgrades!$C$3:$C$13,MATCH(SUBSTITUTE(C236,""Sell_"",""""),Upgrades!$B$3:$B$13,0))*1.15^(COUNTIF(C$4:C235,SUBSTITUTE(C236,""Sell_"",""""))-COUNTIF(C$4:C235,"&amp;"""Sell_""&amp;SUBSTITUTE(C236,""Sell_"",""""))))/2),ROUNDUP(INDEX(Upgrades!$C$3:$C$13,MATCH(C236,Upgrades!$B$3:$B$13,0))*1.15^(COUNTIF(C$4:C235,C236)-COUNTIF(C$4:C235,""Sell_""&amp;C236))))))"),"")</f>
        <v/>
      </c>
      <c r="H236" s="10" t="str">
        <f t="shared" si="3"/>
        <v/>
      </c>
      <c r="I236" s="68" t="str">
        <f t="shared" si="4"/>
        <v/>
      </c>
      <c r="J236" s="59" t="str">
        <f t="shared" si="5"/>
        <v/>
      </c>
      <c r="K236" s="69" t="str">
        <f t="shared" si="6"/>
        <v/>
      </c>
      <c r="L236" s="60">
        <f t="shared" si="7"/>
        <v>-221.59887</v>
      </c>
      <c r="M236" s="61">
        <f>IFERROR(__xludf.DUMMYFUNCTION("IFS(AND(COUNTA(C236:C1673)=0,COUNTA(Q236:Q1673)=0),"""",OR(AND(K236&gt;=1000000000,OR(Y236&gt;=1000000000,COUNTA(Q236:Q1673)=0)),OR(Y236&gt;=1000000000,AND(COUNTA(C236:C1673)=0,P$3=TRUE))),
ROUNDDOWN((AB$1-AC$1)*MAX(INDEX(T$4:T1673,MATCH(LARGE(FILTER(Y$4:Y1673,Y$4"&amp;":Y1673&lt;1000000000),1),Y$4:Y1673)),INDEX(F$4:F1673,MATCH(LARGE(FILTER(K$4:K1673,K$4:K1673&lt;1000000000),1),K$4:K1673)))),AND(K236&lt;1000000000,COUNTA(C236:C1673)&gt;0,P$3=FALSE),
ROUNDDOWN(INDEX(Y$4:Y1673,MATCH(LARGE(FILTER(W$4:W1673,W$4:W1673&lt;=I236),1),W$4:W1673"&amp;"))+(I236-LARGE(FILTER(W$4:W1673,W$4:W1673&lt;=I236),1))*INDEX(T$4:T1673,MATCH(LARGE(FILTER(W$4:W1673,W$4:W1673&lt;=I236),1),W$4:W1673))-K236),1,
ROUNDDOWN(Y236-INDEX(K$4:K1673,MATCH(LARGE(FILTER(I$4:I1673,I$4:I1673&lt;=W236),1),I$4:I1673))-(W236-LARGE(FILTER(I$4:I"&amp;"1673,I$4:I1673&lt;=W236),1))*INDEX(F$4:F1673,MATCH(LARGE(FILTER(I$4:I1673,I$4:I1673&lt;=W236),1),I$4:I1673))))"),3.7777815E7)</f>
        <v>37777815</v>
      </c>
      <c r="N236" s="60">
        <f t="shared" si="8"/>
        <v>-221.59887</v>
      </c>
      <c r="O236" s="61" t="str">
        <f t="shared" si="9"/>
        <v>37,8M</v>
      </c>
      <c r="P236" s="56">
        <f t="shared" si="10"/>
        <v>34</v>
      </c>
      <c r="Q236" s="105" t="s">
        <v>61</v>
      </c>
      <c r="R236" s="10"/>
      <c r="S236" s="59">
        <f t="array" ref="S236">IF(COUNTA(Q236:Q1673)=0,"",SUM((COUNTIF(Q$4:Q236,Upgrades!$B$3:$B$13)-COUNTIF(Q$4:Q236,"Sell_"&amp;Upgrades!$B$3:$B$13))*Upgrades!$D$3:$D$13))</f>
        <v>204140</v>
      </c>
      <c r="T236" s="66">
        <f>IFERROR(__xludf.DUMMYFUNCTION("IF(COUNTA(Q236:Q1673)=0,"""",IF(REGEXMATCH(INDEX(FILTER(Q$4:Q236,Q$4:Q236&lt;&gt;""""),ROWS(FILTER(Q$4:Q236,Q$4:Q236&lt;&gt;""""))),""^Sell_""),INDEX(FILTER(T$4:T235,Q$4:Q235&lt;&gt;""""),ROWS(FILTER(Q$4:Q235,Q$4:Q235&lt;&gt;""""))),$AD$5+S236))"),211921.0)</f>
        <v>211921</v>
      </c>
      <c r="U236" s="10">
        <f>IFERROR(__xludf.DUMMYFUNCTION("IF(COUNTA(Q236:Q1673)=0,"""",IF(Q236="""",0,IF(REGEXMATCH(Q236,""^Sell_""),-ROUNDDOWN(ROUNDUP(INDEX(Upgrades!$C$3:$C$13,MATCH(SUBSTITUTE(Q236,""Sell_"",""""),Upgrades!$B$3:$B$13,0))*1.15^(COUNTIF(Q$4:Q235,SUBSTITUTE(Q236,""Sell_"",""""))-COUNTIF(Q$4:Q235,"&amp;"""Sell_""&amp;SUBSTITUTE(Q236,""Sell_"",""""))))/2),ROUNDUP(INDEX(Upgrades!$C$3:$C$13,MATCH(Q236,Upgrades!$B$3:$B$13,0))*1.15^(COUNTIF(Q$4:Q235,Q236)-COUNTIF(Q$4:Q235,""Sell_""&amp;Q236))))))"),-26450.0)</f>
        <v>-26450</v>
      </c>
      <c r="V236" s="10">
        <f t="shared" si="11"/>
        <v>-8442051</v>
      </c>
      <c r="W236" s="68">
        <f t="shared" si="12"/>
        <v>5573.214753</v>
      </c>
      <c r="X236" s="59" t="str">
        <f t="shared" si="13"/>
        <v>1h 32m 53s</v>
      </c>
      <c r="Y236" s="69">
        <f t="shared" si="14"/>
        <v>251587394</v>
      </c>
      <c r="Z236" s="11"/>
    </row>
    <row r="237">
      <c r="A237" s="8"/>
      <c r="B237" s="56" t="str">
        <f t="shared" si="2"/>
        <v/>
      </c>
      <c r="C237" s="105"/>
      <c r="D237" s="10"/>
      <c r="E237" s="59" t="str">
        <f t="array" ref="E237">IF(COUNTA(C237:C1673)=0,"",SUM((COUNTIF(C$4:C237,Upgrades!$B$3:$B$13)-COUNTIF(C$4:C237,"Sell_"&amp;Upgrades!$B$3:$B$13))*Upgrades!$D$3:$D$13))</f>
        <v/>
      </c>
      <c r="F237" s="66" t="str">
        <f>IFERROR(__xludf.DUMMYFUNCTION("IF(COUNTA(C237:C1673)=0,"""",IF(REGEXMATCH(INDEX(FILTER(C$4:C237,C$4:C237&lt;&gt;""""),ROWS(FILTER(C$4:C237,C$4:C237&lt;&gt;""""))),""^Sell_""),INDEX(FILTER(F$4:F236,C$4:C236&lt;&gt;""""),ROWS(FILTER(C$4:C236,C$4:C236&lt;&gt;""""))),$AC$5+E237))"),"")</f>
        <v/>
      </c>
      <c r="G237" s="10" t="str">
        <f>IFERROR(__xludf.DUMMYFUNCTION("IF(COUNTA(C237:C1673)=0,"""",IF(C237="""",0,IF(REGEXMATCH(C237,""^Sell_""),-ROUNDDOWN(ROUNDUP(INDEX(Upgrades!$C$3:$C$13,MATCH(SUBSTITUTE(C237,""Sell_"",""""),Upgrades!$B$3:$B$13,0))*1.15^(COUNTIF(C$4:C236,SUBSTITUTE(C237,""Sell_"",""""))-COUNTIF(C$4:C236,"&amp;"""Sell_""&amp;SUBSTITUTE(C237,""Sell_"",""""))))/2),ROUNDUP(INDEX(Upgrades!$C$3:$C$13,MATCH(C237,Upgrades!$B$3:$B$13,0))*1.15^(COUNTIF(C$4:C236,C237)-COUNTIF(C$4:C236,""Sell_""&amp;C237))))))"),"")</f>
        <v/>
      </c>
      <c r="H237" s="10" t="str">
        <f t="shared" si="3"/>
        <v/>
      </c>
      <c r="I237" s="68" t="str">
        <f t="shared" si="4"/>
        <v/>
      </c>
      <c r="J237" s="59" t="str">
        <f t="shared" si="5"/>
        <v/>
      </c>
      <c r="K237" s="69" t="str">
        <f t="shared" si="6"/>
        <v/>
      </c>
      <c r="L237" s="60">
        <f t="shared" si="7"/>
        <v>-221.59887</v>
      </c>
      <c r="M237" s="61">
        <f>IFERROR(__xludf.DUMMYFUNCTION("IFS(AND(COUNTA(C237:C1673)=0,COUNTA(Q237:Q1673)=0),"""",OR(AND(K237&gt;=1000000000,OR(Y237&gt;=1000000000,COUNTA(Q237:Q1673)=0)),OR(Y237&gt;=1000000000,AND(COUNTA(C237:C1673)=0,P$3=TRUE))),
ROUNDDOWN((AB$1-AC$1)*MAX(INDEX(T$4:T1673,MATCH(LARGE(FILTER(Y$4:Y1673,Y$4"&amp;":Y1673&lt;1000000000),1),Y$4:Y1673)),INDEX(F$4:F1673,MATCH(LARGE(FILTER(K$4:K1673,K$4:K1673&lt;1000000000),1),K$4:K1673)))),AND(K237&lt;1000000000,COUNTA(C237:C1673)&gt;0,P$3=FALSE),
ROUNDDOWN(INDEX(Y$4:Y1673,MATCH(LARGE(FILTER(W$4:W1673,W$4:W1673&lt;=I237),1),W$4:W1673"&amp;"))+(I237-LARGE(FILTER(W$4:W1673,W$4:W1673&lt;=I237),1))*INDEX(T$4:T1673,MATCH(LARGE(FILTER(W$4:W1673,W$4:W1673&lt;=I237),1),W$4:W1673))-K237),1,
ROUNDDOWN(Y237-INDEX(K$4:K1673,MATCH(LARGE(FILTER(I$4:I1673,I$4:I1673&lt;=W237),1),I$4:I1673))-(W237-LARGE(FILTER(I$4:I"&amp;"1673,I$4:I1673&lt;=W237),1))*INDEX(F$4:F1673,MATCH(LARGE(FILTER(I$4:I1673,I$4:I1673&lt;=W237),1),I$4:I1673))))"),3.7777815E7)</f>
        <v>37777815</v>
      </c>
      <c r="N237" s="60">
        <f t="shared" si="8"/>
        <v>-221.59887</v>
      </c>
      <c r="O237" s="61" t="str">
        <f t="shared" si="9"/>
        <v>37,8M</v>
      </c>
      <c r="P237" s="56">
        <f t="shared" si="10"/>
        <v>35</v>
      </c>
      <c r="Q237" s="105" t="s">
        <v>61</v>
      </c>
      <c r="R237" s="10"/>
      <c r="S237" s="59">
        <f t="array" ref="S237">IF(COUNTA(Q237:Q1673)=0,"",SUM((COUNTIF(Q$4:Q237,Upgrades!$B$3:$B$13)-COUNTIF(Q$4:Q237,"Sell_"&amp;Upgrades!$B$3:$B$13))*Upgrades!$D$3:$D$13))</f>
        <v>204040</v>
      </c>
      <c r="T237" s="66">
        <f>IFERROR(__xludf.DUMMYFUNCTION("IF(COUNTA(Q237:Q1673)=0,"""",IF(REGEXMATCH(INDEX(FILTER(Q$4:Q237,Q$4:Q237&lt;&gt;""""),ROWS(FILTER(Q$4:Q237,Q$4:Q237&lt;&gt;""""))),""^Sell_""),INDEX(FILTER(T$4:T236,Q$4:Q236&lt;&gt;""""),ROWS(FILTER(Q$4:Q236,Q$4:Q236&lt;&gt;""""))),$AD$5+S237))"),211921.0)</f>
        <v>211921</v>
      </c>
      <c r="U237" s="10">
        <f>IFERROR(__xludf.DUMMYFUNCTION("IF(COUNTA(Q237:Q1673)=0,"""",IF(Q237="""",0,IF(REGEXMATCH(Q237,""^Sell_""),-ROUNDDOWN(ROUNDUP(INDEX(Upgrades!$C$3:$C$13,MATCH(SUBSTITUTE(Q237,""Sell_"",""""),Upgrades!$B$3:$B$13,0))*1.15^(COUNTIF(Q$4:Q236,SUBSTITUTE(Q237,""Sell_"",""""))-COUNTIF(Q$4:Q236,"&amp;"""Sell_""&amp;SUBSTITUTE(Q237,""Sell_"",""""))))/2),ROUNDUP(INDEX(Upgrades!$C$3:$C$13,MATCH(Q237,Upgrades!$B$3:$B$13,0))*1.15^(COUNTIF(Q$4:Q236,Q237)-COUNTIF(Q$4:Q236,""Sell_""&amp;Q237))))))"),-23000.0)</f>
        <v>-23000</v>
      </c>
      <c r="V237" s="10">
        <f t="shared" si="11"/>
        <v>-8465051</v>
      </c>
      <c r="W237" s="68">
        <f t="shared" si="12"/>
        <v>5573.214753</v>
      </c>
      <c r="X237" s="59" t="str">
        <f t="shared" si="13"/>
        <v>1h 32m 53s</v>
      </c>
      <c r="Y237" s="69">
        <f t="shared" si="14"/>
        <v>251587394</v>
      </c>
      <c r="Z237" s="11"/>
    </row>
    <row r="238">
      <c r="A238" s="8"/>
      <c r="B238" s="56" t="str">
        <f t="shared" si="2"/>
        <v/>
      </c>
      <c r="C238" s="105"/>
      <c r="D238" s="10"/>
      <c r="E238" s="59" t="str">
        <f t="array" ref="E238">IF(COUNTA(C238:C1673)=0,"",SUM((COUNTIF(C$4:C238,Upgrades!$B$3:$B$13)-COUNTIF(C$4:C238,"Sell_"&amp;Upgrades!$B$3:$B$13))*Upgrades!$D$3:$D$13))</f>
        <v/>
      </c>
      <c r="F238" s="66" t="str">
        <f>IFERROR(__xludf.DUMMYFUNCTION("IF(COUNTA(C238:C1673)=0,"""",IF(REGEXMATCH(INDEX(FILTER(C$4:C238,C$4:C238&lt;&gt;""""),ROWS(FILTER(C$4:C238,C$4:C238&lt;&gt;""""))),""^Sell_""),INDEX(FILTER(F$4:F237,C$4:C237&lt;&gt;""""),ROWS(FILTER(C$4:C237,C$4:C237&lt;&gt;""""))),$AC$5+E238))"),"")</f>
        <v/>
      </c>
      <c r="G238" s="10" t="str">
        <f>IFERROR(__xludf.DUMMYFUNCTION("IF(COUNTA(C238:C1673)=0,"""",IF(C238="""",0,IF(REGEXMATCH(C238,""^Sell_""),-ROUNDDOWN(ROUNDUP(INDEX(Upgrades!$C$3:$C$13,MATCH(SUBSTITUTE(C238,""Sell_"",""""),Upgrades!$B$3:$B$13,0))*1.15^(COUNTIF(C$4:C237,SUBSTITUTE(C238,""Sell_"",""""))-COUNTIF(C$4:C237,"&amp;"""Sell_""&amp;SUBSTITUTE(C238,""Sell_"",""""))))/2),ROUNDUP(INDEX(Upgrades!$C$3:$C$13,MATCH(C238,Upgrades!$B$3:$B$13,0))*1.15^(COUNTIF(C$4:C237,C238)-COUNTIF(C$4:C237,""Sell_""&amp;C238))))))"),"")</f>
        <v/>
      </c>
      <c r="H238" s="10" t="str">
        <f t="shared" si="3"/>
        <v/>
      </c>
      <c r="I238" s="68" t="str">
        <f t="shared" si="4"/>
        <v/>
      </c>
      <c r="J238" s="59" t="str">
        <f t="shared" si="5"/>
        <v/>
      </c>
      <c r="K238" s="69" t="str">
        <f t="shared" si="6"/>
        <v/>
      </c>
      <c r="L238" s="60">
        <f t="shared" si="7"/>
        <v>-221.59887</v>
      </c>
      <c r="M238" s="61">
        <f>IFERROR(__xludf.DUMMYFUNCTION("IFS(AND(COUNTA(C238:C1673)=0,COUNTA(Q238:Q1673)=0),"""",OR(AND(K238&gt;=1000000000,OR(Y238&gt;=1000000000,COUNTA(Q238:Q1673)=0)),OR(Y238&gt;=1000000000,AND(COUNTA(C238:C1673)=0,P$3=TRUE))),
ROUNDDOWN((AB$1-AC$1)*MAX(INDEX(T$4:T1673,MATCH(LARGE(FILTER(Y$4:Y1673,Y$4"&amp;":Y1673&lt;1000000000),1),Y$4:Y1673)),INDEX(F$4:F1673,MATCH(LARGE(FILTER(K$4:K1673,K$4:K1673&lt;1000000000),1),K$4:K1673)))),AND(K238&lt;1000000000,COUNTA(C238:C1673)&gt;0,P$3=FALSE),
ROUNDDOWN(INDEX(Y$4:Y1673,MATCH(LARGE(FILTER(W$4:W1673,W$4:W1673&lt;=I238),1),W$4:W1673"&amp;"))+(I238-LARGE(FILTER(W$4:W1673,W$4:W1673&lt;=I238),1))*INDEX(T$4:T1673,MATCH(LARGE(FILTER(W$4:W1673,W$4:W1673&lt;=I238),1),W$4:W1673))-K238),1,
ROUNDDOWN(Y238-INDEX(K$4:K1673,MATCH(LARGE(FILTER(I$4:I1673,I$4:I1673&lt;=W238),1),I$4:I1673))-(W238-LARGE(FILTER(I$4:I"&amp;"1673,I$4:I1673&lt;=W238),1))*INDEX(F$4:F1673,MATCH(LARGE(FILTER(I$4:I1673,I$4:I1673&lt;=W238),1),I$4:I1673))))"),3.7777815E7)</f>
        <v>37777815</v>
      </c>
      <c r="N238" s="60">
        <f t="shared" si="8"/>
        <v>-221.59887</v>
      </c>
      <c r="O238" s="61" t="str">
        <f t="shared" si="9"/>
        <v>37,8M</v>
      </c>
      <c r="P238" s="56">
        <f t="shared" si="10"/>
        <v>17</v>
      </c>
      <c r="Q238" s="105" t="s">
        <v>60</v>
      </c>
      <c r="R238" s="10"/>
      <c r="S238" s="59">
        <f t="array" ref="S238">IF(COUNTA(Q238:Q1673)=0,"",SUM((COUNTIF(Q$4:Q238,Upgrades!$B$3:$B$13)-COUNTIF(Q$4:Q238,"Sell_"&amp;Upgrades!$B$3:$B$13))*Upgrades!$D$3:$D$13))</f>
        <v>203640</v>
      </c>
      <c r="T238" s="66">
        <f>IFERROR(__xludf.DUMMYFUNCTION("IF(COUNTA(Q238:Q1673)=0,"""",IF(REGEXMATCH(INDEX(FILTER(Q$4:Q238,Q$4:Q238&lt;&gt;""""),ROWS(FILTER(Q$4:Q238,Q$4:Q238&lt;&gt;""""))),""^Sell_""),INDEX(FILTER(T$4:T237,Q$4:Q237&lt;&gt;""""),ROWS(FILTER(Q$4:Q237,Q$4:Q237&lt;&gt;""""))),$AD$5+S238))"),211921.0)</f>
        <v>211921</v>
      </c>
      <c r="U238" s="10">
        <f>IFERROR(__xludf.DUMMYFUNCTION("IF(COUNTA(Q238:Q1673)=0,"""",IF(Q238="""",0,IF(REGEXMATCH(Q238,""^Sell_""),-ROUNDDOWN(ROUNDUP(INDEX(Upgrades!$C$3:$C$13,MATCH(SUBSTITUTE(Q238,""Sell_"",""""),Upgrades!$B$3:$B$13,0))*1.15^(COUNTIF(Q$4:Q237,SUBSTITUTE(Q238,""Sell_"",""""))-COUNTIF(Q$4:Q237,"&amp;"""Sell_""&amp;SUBSTITUTE(Q238,""Sell_"",""""))))/2),ROUNDUP(INDEX(Upgrades!$C$3:$C$13,MATCH(Q238,Upgrades!$B$3:$B$13,0))*1.15^(COUNTIF(Q$4:Q237,Q238)-COUNTIF(Q$4:Q237,""Sell_""&amp;Q238))))))"),-465239.0)</f>
        <v>-465239</v>
      </c>
      <c r="V238" s="10">
        <f t="shared" si="11"/>
        <v>-8930290</v>
      </c>
      <c r="W238" s="68">
        <f t="shared" si="12"/>
        <v>5573.214753</v>
      </c>
      <c r="X238" s="59" t="str">
        <f t="shared" si="13"/>
        <v>1h 32m 53s</v>
      </c>
      <c r="Y238" s="69">
        <f t="shared" si="14"/>
        <v>251587394</v>
      </c>
      <c r="Z238" s="11"/>
    </row>
    <row r="239">
      <c r="A239" s="8"/>
      <c r="B239" s="56" t="str">
        <f t="shared" si="2"/>
        <v/>
      </c>
      <c r="C239" s="105"/>
      <c r="D239" s="10"/>
      <c r="E239" s="59" t="str">
        <f t="array" ref="E239">IF(COUNTA(C239:C1673)=0,"",SUM((COUNTIF(C$4:C239,Upgrades!$B$3:$B$13)-COUNTIF(C$4:C239,"Sell_"&amp;Upgrades!$B$3:$B$13))*Upgrades!$D$3:$D$13))</f>
        <v/>
      </c>
      <c r="F239" s="66" t="str">
        <f>IFERROR(__xludf.DUMMYFUNCTION("IF(COUNTA(C239:C1673)=0,"""",IF(REGEXMATCH(INDEX(FILTER(C$4:C239,C$4:C239&lt;&gt;""""),ROWS(FILTER(C$4:C239,C$4:C239&lt;&gt;""""))),""^Sell_""),INDEX(FILTER(F$4:F238,C$4:C238&lt;&gt;""""),ROWS(FILTER(C$4:C238,C$4:C238&lt;&gt;""""))),$AC$5+E239))"),"")</f>
        <v/>
      </c>
      <c r="G239" s="10" t="str">
        <f>IFERROR(__xludf.DUMMYFUNCTION("IF(COUNTA(C239:C1673)=0,"""",IF(C239="""",0,IF(REGEXMATCH(C239,""^Sell_""),-ROUNDDOWN(ROUNDUP(INDEX(Upgrades!$C$3:$C$13,MATCH(SUBSTITUTE(C239,""Sell_"",""""),Upgrades!$B$3:$B$13,0))*1.15^(COUNTIF(C$4:C238,SUBSTITUTE(C239,""Sell_"",""""))-COUNTIF(C$4:C238,"&amp;"""Sell_""&amp;SUBSTITUTE(C239,""Sell_"",""""))))/2),ROUNDUP(INDEX(Upgrades!$C$3:$C$13,MATCH(C239,Upgrades!$B$3:$B$13,0))*1.15^(COUNTIF(C$4:C238,C239)-COUNTIF(C$4:C238,""Sell_""&amp;C239))))))"),"")</f>
        <v/>
      </c>
      <c r="H239" s="10" t="str">
        <f t="shared" si="3"/>
        <v/>
      </c>
      <c r="I239" s="68" t="str">
        <f t="shared" si="4"/>
        <v/>
      </c>
      <c r="J239" s="59" t="str">
        <f t="shared" si="5"/>
        <v/>
      </c>
      <c r="K239" s="69" t="str">
        <f t="shared" si="6"/>
        <v/>
      </c>
      <c r="L239" s="60">
        <f t="shared" si="7"/>
        <v>-221.59887</v>
      </c>
      <c r="M239" s="61">
        <f>IFERROR(__xludf.DUMMYFUNCTION("IFS(AND(COUNTA(C239:C1673)=0,COUNTA(Q239:Q1673)=0),"""",OR(AND(K239&gt;=1000000000,OR(Y239&gt;=1000000000,COUNTA(Q239:Q1673)=0)),OR(Y239&gt;=1000000000,AND(COUNTA(C239:C1673)=0,P$3=TRUE))),
ROUNDDOWN((AB$1-AC$1)*MAX(INDEX(T$4:T1673,MATCH(LARGE(FILTER(Y$4:Y1673,Y$4"&amp;":Y1673&lt;1000000000),1),Y$4:Y1673)),INDEX(F$4:F1673,MATCH(LARGE(FILTER(K$4:K1673,K$4:K1673&lt;1000000000),1),K$4:K1673)))),AND(K239&lt;1000000000,COUNTA(C239:C1673)&gt;0,P$3=FALSE),
ROUNDDOWN(INDEX(Y$4:Y1673,MATCH(LARGE(FILTER(W$4:W1673,W$4:W1673&lt;=I239),1),W$4:W1673"&amp;"))+(I239-LARGE(FILTER(W$4:W1673,W$4:W1673&lt;=I239),1))*INDEX(T$4:T1673,MATCH(LARGE(FILTER(W$4:W1673,W$4:W1673&lt;=I239),1),W$4:W1673))-K239),1,
ROUNDDOWN(Y239-INDEX(K$4:K1673,MATCH(LARGE(FILTER(I$4:I1673,I$4:I1673&lt;=W239),1),I$4:I1673))-(W239-LARGE(FILTER(I$4:I"&amp;"1673,I$4:I1673&lt;=W239),1))*INDEX(F$4:F1673,MATCH(LARGE(FILTER(I$4:I1673,I$4:I1673&lt;=W239),1),I$4:I1673))))"),3.7777815E7)</f>
        <v>37777815</v>
      </c>
      <c r="N239" s="60">
        <f t="shared" si="8"/>
        <v>-221.59887</v>
      </c>
      <c r="O239" s="61" t="str">
        <f t="shared" si="9"/>
        <v>37,8M</v>
      </c>
      <c r="P239" s="56">
        <f t="shared" si="10"/>
        <v>18</v>
      </c>
      <c r="Q239" s="105" t="s">
        <v>60</v>
      </c>
      <c r="R239" s="10"/>
      <c r="S239" s="59">
        <f t="array" ref="S239">IF(COUNTA(Q239:Q1673)=0,"",SUM((COUNTIF(Q$4:Q239,Upgrades!$B$3:$B$13)-COUNTIF(Q$4:Q239,"Sell_"&amp;Upgrades!$B$3:$B$13))*Upgrades!$D$3:$D$13))</f>
        <v>203240</v>
      </c>
      <c r="T239" s="66">
        <f>IFERROR(__xludf.DUMMYFUNCTION("IF(COUNTA(Q239:Q1673)=0,"""",IF(REGEXMATCH(INDEX(FILTER(Q$4:Q239,Q$4:Q239&lt;&gt;""""),ROWS(FILTER(Q$4:Q239,Q$4:Q239&lt;&gt;""""))),""^Sell_""),INDEX(FILTER(T$4:T238,Q$4:Q238&lt;&gt;""""),ROWS(FILTER(Q$4:Q238,Q$4:Q238&lt;&gt;""""))),$AD$5+S239))"),211921.0)</f>
        <v>211921</v>
      </c>
      <c r="U239" s="10">
        <f>IFERROR(__xludf.DUMMYFUNCTION("IF(COUNTA(Q239:Q1673)=0,"""",IF(Q239="""",0,IF(REGEXMATCH(Q239,""^Sell_""),-ROUNDDOWN(ROUNDUP(INDEX(Upgrades!$C$3:$C$13,MATCH(SUBSTITUTE(Q239,""Sell_"",""""),Upgrades!$B$3:$B$13,0))*1.15^(COUNTIF(Q$4:Q238,SUBSTITUTE(Q239,""Sell_"",""""))-COUNTIF(Q$4:Q238,"&amp;"""Sell_""&amp;SUBSTITUTE(Q239,""Sell_"",""""))))/2),ROUNDUP(INDEX(Upgrades!$C$3:$C$13,MATCH(Q239,Upgrades!$B$3:$B$13,0))*1.15^(COUNTIF(Q$4:Q238,Q239)-COUNTIF(Q$4:Q238,""Sell_""&amp;Q239))))))"),-404556.0)</f>
        <v>-404556</v>
      </c>
      <c r="V239" s="10">
        <f t="shared" si="11"/>
        <v>-9334846</v>
      </c>
      <c r="W239" s="68">
        <f t="shared" si="12"/>
        <v>5573.214753</v>
      </c>
      <c r="X239" s="59" t="str">
        <f t="shared" si="13"/>
        <v>1h 32m 53s</v>
      </c>
      <c r="Y239" s="69">
        <f t="shared" si="14"/>
        <v>251587394</v>
      </c>
      <c r="Z239" s="11"/>
    </row>
    <row r="240">
      <c r="A240" s="8"/>
      <c r="B240" s="56" t="str">
        <f t="shared" si="2"/>
        <v/>
      </c>
      <c r="C240" s="105"/>
      <c r="D240" s="10"/>
      <c r="E240" s="59" t="str">
        <f t="array" ref="E240">IF(COUNTA(C240:C1673)=0,"",SUM((COUNTIF(C$4:C240,Upgrades!$B$3:$B$13)-COUNTIF(C$4:C240,"Sell_"&amp;Upgrades!$B$3:$B$13))*Upgrades!$D$3:$D$13))</f>
        <v/>
      </c>
      <c r="F240" s="66" t="str">
        <f>IFERROR(__xludf.DUMMYFUNCTION("IF(COUNTA(C240:C1673)=0,"""",IF(REGEXMATCH(INDEX(FILTER(C$4:C240,C$4:C240&lt;&gt;""""),ROWS(FILTER(C$4:C240,C$4:C240&lt;&gt;""""))),""^Sell_""),INDEX(FILTER(F$4:F239,C$4:C239&lt;&gt;""""),ROWS(FILTER(C$4:C239,C$4:C239&lt;&gt;""""))),$AC$5+E240))"),"")</f>
        <v/>
      </c>
      <c r="G240" s="10" t="str">
        <f>IFERROR(__xludf.DUMMYFUNCTION("IF(COUNTA(C240:C1673)=0,"""",IF(C240="""",0,IF(REGEXMATCH(C240,""^Sell_""),-ROUNDDOWN(ROUNDUP(INDEX(Upgrades!$C$3:$C$13,MATCH(SUBSTITUTE(C240,""Sell_"",""""),Upgrades!$B$3:$B$13,0))*1.15^(COUNTIF(C$4:C239,SUBSTITUTE(C240,""Sell_"",""""))-COUNTIF(C$4:C239,"&amp;"""Sell_""&amp;SUBSTITUTE(C240,""Sell_"",""""))))/2),ROUNDUP(INDEX(Upgrades!$C$3:$C$13,MATCH(C240,Upgrades!$B$3:$B$13,0))*1.15^(COUNTIF(C$4:C239,C240)-COUNTIF(C$4:C239,""Sell_""&amp;C240))))))"),"")</f>
        <v/>
      </c>
      <c r="H240" s="10" t="str">
        <f t="shared" si="3"/>
        <v/>
      </c>
      <c r="I240" s="68" t="str">
        <f t="shared" si="4"/>
        <v/>
      </c>
      <c r="J240" s="59" t="str">
        <f t="shared" si="5"/>
        <v/>
      </c>
      <c r="K240" s="69" t="str">
        <f t="shared" si="6"/>
        <v/>
      </c>
      <c r="L240" s="60">
        <f t="shared" si="7"/>
        <v>-221.59887</v>
      </c>
      <c r="M240" s="61">
        <f>IFERROR(__xludf.DUMMYFUNCTION("IFS(AND(COUNTA(C240:C1673)=0,COUNTA(Q240:Q1673)=0),"""",OR(AND(K240&gt;=1000000000,OR(Y240&gt;=1000000000,COUNTA(Q240:Q1673)=0)),OR(Y240&gt;=1000000000,AND(COUNTA(C240:C1673)=0,P$3=TRUE))),
ROUNDDOWN((AB$1-AC$1)*MAX(INDEX(T$4:T1673,MATCH(LARGE(FILTER(Y$4:Y1673,Y$4"&amp;":Y1673&lt;1000000000),1),Y$4:Y1673)),INDEX(F$4:F1673,MATCH(LARGE(FILTER(K$4:K1673,K$4:K1673&lt;1000000000),1),K$4:K1673)))),AND(K240&lt;1000000000,COUNTA(C240:C1673)&gt;0,P$3=FALSE),
ROUNDDOWN(INDEX(Y$4:Y1673,MATCH(LARGE(FILTER(W$4:W1673,W$4:W1673&lt;=I240),1),W$4:W1673"&amp;"))+(I240-LARGE(FILTER(W$4:W1673,W$4:W1673&lt;=I240),1))*INDEX(T$4:T1673,MATCH(LARGE(FILTER(W$4:W1673,W$4:W1673&lt;=I240),1),W$4:W1673))-K240),1,
ROUNDDOWN(Y240-INDEX(K$4:K1673,MATCH(LARGE(FILTER(I$4:I1673,I$4:I1673&lt;=W240),1),I$4:I1673))-(W240-LARGE(FILTER(I$4:I"&amp;"1673,I$4:I1673&lt;=W240),1))*INDEX(F$4:F1673,MATCH(LARGE(FILTER(I$4:I1673,I$4:I1673&lt;=W240),1),I$4:I1673))))"),3.7777815E7)</f>
        <v>37777815</v>
      </c>
      <c r="N240" s="60">
        <f t="shared" si="8"/>
        <v>-221.59887</v>
      </c>
      <c r="O240" s="61" t="str">
        <f t="shared" si="9"/>
        <v>37,8M</v>
      </c>
      <c r="P240" s="56">
        <f t="shared" si="10"/>
        <v>19</v>
      </c>
      <c r="Q240" s="105" t="s">
        <v>60</v>
      </c>
      <c r="R240" s="10"/>
      <c r="S240" s="59">
        <f t="array" ref="S240">IF(COUNTA(Q240:Q1673)=0,"",SUM((COUNTIF(Q$4:Q240,Upgrades!$B$3:$B$13)-COUNTIF(Q$4:Q240,"Sell_"&amp;Upgrades!$B$3:$B$13))*Upgrades!$D$3:$D$13))</f>
        <v>202840</v>
      </c>
      <c r="T240" s="66">
        <f>IFERROR(__xludf.DUMMYFUNCTION("IF(COUNTA(Q240:Q1673)=0,"""",IF(REGEXMATCH(INDEX(FILTER(Q$4:Q240,Q$4:Q240&lt;&gt;""""),ROWS(FILTER(Q$4:Q240,Q$4:Q240&lt;&gt;""""))),""^Sell_""),INDEX(FILTER(T$4:T239,Q$4:Q239&lt;&gt;""""),ROWS(FILTER(Q$4:Q239,Q$4:Q239&lt;&gt;""""))),$AD$5+S240))"),211921.0)</f>
        <v>211921</v>
      </c>
      <c r="U240" s="10">
        <f>IFERROR(__xludf.DUMMYFUNCTION("IF(COUNTA(Q240:Q1673)=0,"""",IF(Q240="""",0,IF(REGEXMATCH(Q240,""^Sell_""),-ROUNDDOWN(ROUNDUP(INDEX(Upgrades!$C$3:$C$13,MATCH(SUBSTITUTE(Q240,""Sell_"",""""),Upgrades!$B$3:$B$13,0))*1.15^(COUNTIF(Q$4:Q239,SUBSTITUTE(Q240,""Sell_"",""""))-COUNTIF(Q$4:Q239,"&amp;"""Sell_""&amp;SUBSTITUTE(Q240,""Sell_"",""""))))/2),ROUNDUP(INDEX(Upgrades!$C$3:$C$13,MATCH(Q240,Upgrades!$B$3:$B$13,0))*1.15^(COUNTIF(Q$4:Q239,Q240)-COUNTIF(Q$4:Q239,""Sell_""&amp;Q240))))))"),-351788.0)</f>
        <v>-351788</v>
      </c>
      <c r="V240" s="10">
        <f t="shared" si="11"/>
        <v>-9686634</v>
      </c>
      <c r="W240" s="68">
        <f t="shared" si="12"/>
        <v>5573.214753</v>
      </c>
      <c r="X240" s="59" t="str">
        <f t="shared" si="13"/>
        <v>1h 32m 53s</v>
      </c>
      <c r="Y240" s="69">
        <f t="shared" si="14"/>
        <v>251587394</v>
      </c>
      <c r="Z240" s="11"/>
    </row>
    <row r="241">
      <c r="A241" s="8"/>
      <c r="B241" s="56" t="str">
        <f t="shared" si="2"/>
        <v/>
      </c>
      <c r="C241" s="105"/>
      <c r="D241" s="10"/>
      <c r="E241" s="59" t="str">
        <f t="array" ref="E241">IF(COUNTA(C241:C1673)=0,"",SUM((COUNTIF(C$4:C241,Upgrades!$B$3:$B$13)-COUNTIF(C$4:C241,"Sell_"&amp;Upgrades!$B$3:$B$13))*Upgrades!$D$3:$D$13))</f>
        <v/>
      </c>
      <c r="F241" s="66" t="str">
        <f>IFERROR(__xludf.DUMMYFUNCTION("IF(COUNTA(C241:C1673)=0,"""",IF(REGEXMATCH(INDEX(FILTER(C$4:C241,C$4:C241&lt;&gt;""""),ROWS(FILTER(C$4:C241,C$4:C241&lt;&gt;""""))),""^Sell_""),INDEX(FILTER(F$4:F240,C$4:C240&lt;&gt;""""),ROWS(FILTER(C$4:C240,C$4:C240&lt;&gt;""""))),$AC$5+E241))"),"")</f>
        <v/>
      </c>
      <c r="G241" s="10" t="str">
        <f>IFERROR(__xludf.DUMMYFUNCTION("IF(COUNTA(C241:C1673)=0,"""",IF(C241="""",0,IF(REGEXMATCH(C241,""^Sell_""),-ROUNDDOWN(ROUNDUP(INDEX(Upgrades!$C$3:$C$13,MATCH(SUBSTITUTE(C241,""Sell_"",""""),Upgrades!$B$3:$B$13,0))*1.15^(COUNTIF(C$4:C240,SUBSTITUTE(C241,""Sell_"",""""))-COUNTIF(C$4:C240,"&amp;"""Sell_""&amp;SUBSTITUTE(C241,""Sell_"",""""))))/2),ROUNDUP(INDEX(Upgrades!$C$3:$C$13,MATCH(C241,Upgrades!$B$3:$B$13,0))*1.15^(COUNTIF(C$4:C240,C241)-COUNTIF(C$4:C240,""Sell_""&amp;C241))))))"),"")</f>
        <v/>
      </c>
      <c r="H241" s="10" t="str">
        <f t="shared" si="3"/>
        <v/>
      </c>
      <c r="I241" s="68" t="str">
        <f t="shared" si="4"/>
        <v/>
      </c>
      <c r="J241" s="59" t="str">
        <f t="shared" si="5"/>
        <v/>
      </c>
      <c r="K241" s="69" t="str">
        <f t="shared" si="6"/>
        <v/>
      </c>
      <c r="L241" s="60">
        <f t="shared" si="7"/>
        <v>-221.59887</v>
      </c>
      <c r="M241" s="61">
        <f>IFERROR(__xludf.DUMMYFUNCTION("IFS(AND(COUNTA(C241:C1673)=0,COUNTA(Q241:Q1673)=0),"""",OR(AND(K241&gt;=1000000000,OR(Y241&gt;=1000000000,COUNTA(Q241:Q1673)=0)),OR(Y241&gt;=1000000000,AND(COUNTA(C241:C1673)=0,P$3=TRUE))),
ROUNDDOWN((AB$1-AC$1)*MAX(INDEX(T$4:T1673,MATCH(LARGE(FILTER(Y$4:Y1673,Y$4"&amp;":Y1673&lt;1000000000),1),Y$4:Y1673)),INDEX(F$4:F1673,MATCH(LARGE(FILTER(K$4:K1673,K$4:K1673&lt;1000000000),1),K$4:K1673)))),AND(K241&lt;1000000000,COUNTA(C241:C1673)&gt;0,P$3=FALSE),
ROUNDDOWN(INDEX(Y$4:Y1673,MATCH(LARGE(FILTER(W$4:W1673,W$4:W1673&lt;=I241),1),W$4:W1673"&amp;"))+(I241-LARGE(FILTER(W$4:W1673,W$4:W1673&lt;=I241),1))*INDEX(T$4:T1673,MATCH(LARGE(FILTER(W$4:W1673,W$4:W1673&lt;=I241),1),W$4:W1673))-K241),1,
ROUNDDOWN(Y241-INDEX(K$4:K1673,MATCH(LARGE(FILTER(I$4:I1673,I$4:I1673&lt;=W241),1),I$4:I1673))-(W241-LARGE(FILTER(I$4:I"&amp;"1673,I$4:I1673&lt;=W241),1))*INDEX(F$4:F1673,MATCH(LARGE(FILTER(I$4:I1673,I$4:I1673&lt;=W241),1),I$4:I1673))))"),3.7777815E7)</f>
        <v>37777815</v>
      </c>
      <c r="N241" s="60">
        <f t="shared" si="8"/>
        <v>-221.59887</v>
      </c>
      <c r="O241" s="61" t="str">
        <f t="shared" si="9"/>
        <v>37,8M</v>
      </c>
      <c r="P241" s="56">
        <f t="shared" si="10"/>
        <v>20</v>
      </c>
      <c r="Q241" s="105" t="s">
        <v>60</v>
      </c>
      <c r="R241" s="10"/>
      <c r="S241" s="59">
        <f t="array" ref="S241">IF(COUNTA(Q241:Q1673)=0,"",SUM((COUNTIF(Q$4:Q241,Upgrades!$B$3:$B$13)-COUNTIF(Q$4:Q241,"Sell_"&amp;Upgrades!$B$3:$B$13))*Upgrades!$D$3:$D$13))</f>
        <v>202440</v>
      </c>
      <c r="T241" s="66">
        <f>IFERROR(__xludf.DUMMYFUNCTION("IF(COUNTA(Q241:Q1673)=0,"""",IF(REGEXMATCH(INDEX(FILTER(Q$4:Q241,Q$4:Q241&lt;&gt;""""),ROWS(FILTER(Q$4:Q241,Q$4:Q241&lt;&gt;""""))),""^Sell_""),INDEX(FILTER(T$4:T240,Q$4:Q240&lt;&gt;""""),ROWS(FILTER(Q$4:Q240,Q$4:Q240&lt;&gt;""""))),$AD$5+S241))"),211921.0)</f>
        <v>211921</v>
      </c>
      <c r="U241" s="10">
        <f>IFERROR(__xludf.DUMMYFUNCTION("IF(COUNTA(Q241:Q1673)=0,"""",IF(Q241="""",0,IF(REGEXMATCH(Q241,""^Sell_""),-ROUNDDOWN(ROUNDUP(INDEX(Upgrades!$C$3:$C$13,MATCH(SUBSTITUTE(Q241,""Sell_"",""""),Upgrades!$B$3:$B$13,0))*1.15^(COUNTIF(Q$4:Q240,SUBSTITUTE(Q241,""Sell_"",""""))-COUNTIF(Q$4:Q240,"&amp;"""Sell_""&amp;SUBSTITUTE(Q241,""Sell_"",""""))))/2),ROUNDUP(INDEX(Upgrades!$C$3:$C$13,MATCH(Q241,Upgrades!$B$3:$B$13,0))*1.15^(COUNTIF(Q$4:Q240,Q241)-COUNTIF(Q$4:Q240,""Sell_""&amp;Q241))))))"),-305902.0)</f>
        <v>-305902</v>
      </c>
      <c r="V241" s="10">
        <f t="shared" si="11"/>
        <v>-9992536</v>
      </c>
      <c r="W241" s="68">
        <f t="shared" si="12"/>
        <v>5573.214753</v>
      </c>
      <c r="X241" s="59" t="str">
        <f t="shared" si="13"/>
        <v>1h 32m 53s</v>
      </c>
      <c r="Y241" s="69">
        <f t="shared" si="14"/>
        <v>251587394</v>
      </c>
      <c r="Z241" s="11"/>
    </row>
    <row r="242">
      <c r="A242" s="8"/>
      <c r="B242" s="56" t="str">
        <f t="shared" si="2"/>
        <v/>
      </c>
      <c r="C242" s="105"/>
      <c r="D242" s="10"/>
      <c r="E242" s="59" t="str">
        <f t="array" ref="E242">IF(COUNTA(C242:C1673)=0,"",SUM((COUNTIF(C$4:C242,Upgrades!$B$3:$B$13)-COUNTIF(C$4:C242,"Sell_"&amp;Upgrades!$B$3:$B$13))*Upgrades!$D$3:$D$13))</f>
        <v/>
      </c>
      <c r="F242" s="66" t="str">
        <f>IFERROR(__xludf.DUMMYFUNCTION("IF(COUNTA(C242:C1673)=0,"""",IF(REGEXMATCH(INDEX(FILTER(C$4:C242,C$4:C242&lt;&gt;""""),ROWS(FILTER(C$4:C242,C$4:C242&lt;&gt;""""))),""^Sell_""),INDEX(FILTER(F$4:F241,C$4:C241&lt;&gt;""""),ROWS(FILTER(C$4:C241,C$4:C241&lt;&gt;""""))),$AC$5+E242))"),"")</f>
        <v/>
      </c>
      <c r="G242" s="10" t="str">
        <f>IFERROR(__xludf.DUMMYFUNCTION("IF(COUNTA(C242:C1673)=0,"""",IF(C242="""",0,IF(REGEXMATCH(C242,""^Sell_""),-ROUNDDOWN(ROUNDUP(INDEX(Upgrades!$C$3:$C$13,MATCH(SUBSTITUTE(C242,""Sell_"",""""),Upgrades!$B$3:$B$13,0))*1.15^(COUNTIF(C$4:C241,SUBSTITUTE(C242,""Sell_"",""""))-COUNTIF(C$4:C241,"&amp;"""Sell_""&amp;SUBSTITUTE(C242,""Sell_"",""""))))/2),ROUNDUP(INDEX(Upgrades!$C$3:$C$13,MATCH(C242,Upgrades!$B$3:$B$13,0))*1.15^(COUNTIF(C$4:C241,C242)-COUNTIF(C$4:C241,""Sell_""&amp;C242))))))"),"")</f>
        <v/>
      </c>
      <c r="H242" s="10" t="str">
        <f t="shared" si="3"/>
        <v/>
      </c>
      <c r="I242" s="68" t="str">
        <f t="shared" si="4"/>
        <v/>
      </c>
      <c r="J242" s="59" t="str">
        <f t="shared" si="5"/>
        <v/>
      </c>
      <c r="K242" s="69" t="str">
        <f t="shared" si="6"/>
        <v/>
      </c>
      <c r="L242" s="60">
        <f t="shared" si="7"/>
        <v>-221.59887</v>
      </c>
      <c r="M242" s="61">
        <f>IFERROR(__xludf.DUMMYFUNCTION("IFS(AND(COUNTA(C242:C1673)=0,COUNTA(Q242:Q1673)=0),"""",OR(AND(K242&gt;=1000000000,OR(Y242&gt;=1000000000,COUNTA(Q242:Q1673)=0)),OR(Y242&gt;=1000000000,AND(COUNTA(C242:C1673)=0,P$3=TRUE))),
ROUNDDOWN((AB$1-AC$1)*MAX(INDEX(T$4:T1673,MATCH(LARGE(FILTER(Y$4:Y1673,Y$4"&amp;":Y1673&lt;1000000000),1),Y$4:Y1673)),INDEX(F$4:F1673,MATCH(LARGE(FILTER(K$4:K1673,K$4:K1673&lt;1000000000),1),K$4:K1673)))),AND(K242&lt;1000000000,COUNTA(C242:C1673)&gt;0,P$3=FALSE),
ROUNDDOWN(INDEX(Y$4:Y1673,MATCH(LARGE(FILTER(W$4:W1673,W$4:W1673&lt;=I242),1),W$4:W1673"&amp;"))+(I242-LARGE(FILTER(W$4:W1673,W$4:W1673&lt;=I242),1))*INDEX(T$4:T1673,MATCH(LARGE(FILTER(W$4:W1673,W$4:W1673&lt;=I242),1),W$4:W1673))-K242),1,
ROUNDDOWN(Y242-INDEX(K$4:K1673,MATCH(LARGE(FILTER(I$4:I1673,I$4:I1673&lt;=W242),1),I$4:I1673))-(W242-LARGE(FILTER(I$4:I"&amp;"1673,I$4:I1673&lt;=W242),1))*INDEX(F$4:F1673,MATCH(LARGE(FILTER(I$4:I1673,I$4:I1673&lt;=W242),1),I$4:I1673))))"),3.7777815E7)</f>
        <v>37777815</v>
      </c>
      <c r="N242" s="60">
        <f t="shared" si="8"/>
        <v>-221.59887</v>
      </c>
      <c r="O242" s="61" t="str">
        <f t="shared" si="9"/>
        <v>37,8M</v>
      </c>
      <c r="P242" s="56">
        <f t="shared" si="10"/>
        <v>21</v>
      </c>
      <c r="Q242" s="105" t="s">
        <v>60</v>
      </c>
      <c r="R242" s="10"/>
      <c r="S242" s="59">
        <f t="array" ref="S242">IF(COUNTA(Q242:Q1673)=0,"",SUM((COUNTIF(Q$4:Q242,Upgrades!$B$3:$B$13)-COUNTIF(Q$4:Q242,"Sell_"&amp;Upgrades!$B$3:$B$13))*Upgrades!$D$3:$D$13))</f>
        <v>202040</v>
      </c>
      <c r="T242" s="66">
        <f>IFERROR(__xludf.DUMMYFUNCTION("IF(COUNTA(Q242:Q1673)=0,"""",IF(REGEXMATCH(INDEX(FILTER(Q$4:Q242,Q$4:Q242&lt;&gt;""""),ROWS(FILTER(Q$4:Q242,Q$4:Q242&lt;&gt;""""))),""^Sell_""),INDEX(FILTER(T$4:T241,Q$4:Q241&lt;&gt;""""),ROWS(FILTER(Q$4:Q241,Q$4:Q241&lt;&gt;""""))),$AD$5+S242))"),211921.0)</f>
        <v>211921</v>
      </c>
      <c r="U242" s="10">
        <f>IFERROR(__xludf.DUMMYFUNCTION("IF(COUNTA(Q242:Q1673)=0,"""",IF(Q242="""",0,IF(REGEXMATCH(Q242,""^Sell_""),-ROUNDDOWN(ROUNDUP(INDEX(Upgrades!$C$3:$C$13,MATCH(SUBSTITUTE(Q242,""Sell_"",""""),Upgrades!$B$3:$B$13,0))*1.15^(COUNTIF(Q$4:Q241,SUBSTITUTE(Q242,""Sell_"",""""))-COUNTIF(Q$4:Q241,"&amp;"""Sell_""&amp;SUBSTITUTE(Q242,""Sell_"",""""))))/2),ROUNDUP(INDEX(Upgrades!$C$3:$C$13,MATCH(Q242,Upgrades!$B$3:$B$13,0))*1.15^(COUNTIF(Q$4:Q241,Q242)-COUNTIF(Q$4:Q241,""Sell_""&amp;Q242))))))"),-266002.0)</f>
        <v>-266002</v>
      </c>
      <c r="V242" s="10">
        <f t="shared" si="11"/>
        <v>-10258538</v>
      </c>
      <c r="W242" s="68">
        <f t="shared" si="12"/>
        <v>5573.214753</v>
      </c>
      <c r="X242" s="59" t="str">
        <f t="shared" si="13"/>
        <v>1h 32m 53s</v>
      </c>
      <c r="Y242" s="69">
        <f t="shared" si="14"/>
        <v>251587394</v>
      </c>
      <c r="Z242" s="11"/>
    </row>
    <row r="243">
      <c r="A243" s="8"/>
      <c r="B243" s="56" t="str">
        <f t="shared" si="2"/>
        <v/>
      </c>
      <c r="C243" s="105"/>
      <c r="D243" s="10"/>
      <c r="E243" s="59" t="str">
        <f t="array" ref="E243">IF(COUNTA(C243:C1673)=0,"",SUM((COUNTIF(C$4:C243,Upgrades!$B$3:$B$13)-COUNTIF(C$4:C243,"Sell_"&amp;Upgrades!$B$3:$B$13))*Upgrades!$D$3:$D$13))</f>
        <v/>
      </c>
      <c r="F243" s="66" t="str">
        <f>IFERROR(__xludf.DUMMYFUNCTION("IF(COUNTA(C243:C1673)=0,"""",IF(REGEXMATCH(INDEX(FILTER(C$4:C243,C$4:C243&lt;&gt;""""),ROWS(FILTER(C$4:C243,C$4:C243&lt;&gt;""""))),""^Sell_""),INDEX(FILTER(F$4:F242,C$4:C242&lt;&gt;""""),ROWS(FILTER(C$4:C242,C$4:C242&lt;&gt;""""))),$AC$5+E243))"),"")</f>
        <v/>
      </c>
      <c r="G243" s="10" t="str">
        <f>IFERROR(__xludf.DUMMYFUNCTION("IF(COUNTA(C243:C1673)=0,"""",IF(C243="""",0,IF(REGEXMATCH(C243,""^Sell_""),-ROUNDDOWN(ROUNDUP(INDEX(Upgrades!$C$3:$C$13,MATCH(SUBSTITUTE(C243,""Sell_"",""""),Upgrades!$B$3:$B$13,0))*1.15^(COUNTIF(C$4:C242,SUBSTITUTE(C243,""Sell_"",""""))-COUNTIF(C$4:C242,"&amp;"""Sell_""&amp;SUBSTITUTE(C243,""Sell_"",""""))))/2),ROUNDUP(INDEX(Upgrades!$C$3:$C$13,MATCH(C243,Upgrades!$B$3:$B$13,0))*1.15^(COUNTIF(C$4:C242,C243)-COUNTIF(C$4:C242,""Sell_""&amp;C243))))))"),"")</f>
        <v/>
      </c>
      <c r="H243" s="10" t="str">
        <f t="shared" si="3"/>
        <v/>
      </c>
      <c r="I243" s="68" t="str">
        <f t="shared" si="4"/>
        <v/>
      </c>
      <c r="J243" s="59" t="str">
        <f t="shared" si="5"/>
        <v/>
      </c>
      <c r="K243" s="69" t="str">
        <f t="shared" si="6"/>
        <v/>
      </c>
      <c r="L243" s="60">
        <f t="shared" si="7"/>
        <v>-221.59887</v>
      </c>
      <c r="M243" s="61">
        <f>IFERROR(__xludf.DUMMYFUNCTION("IFS(AND(COUNTA(C243:C1673)=0,COUNTA(Q243:Q1673)=0),"""",OR(AND(K243&gt;=1000000000,OR(Y243&gt;=1000000000,COUNTA(Q243:Q1673)=0)),OR(Y243&gt;=1000000000,AND(COUNTA(C243:C1673)=0,P$3=TRUE))),
ROUNDDOWN((AB$1-AC$1)*MAX(INDEX(T$4:T1673,MATCH(LARGE(FILTER(Y$4:Y1673,Y$4"&amp;":Y1673&lt;1000000000),1),Y$4:Y1673)),INDEX(F$4:F1673,MATCH(LARGE(FILTER(K$4:K1673,K$4:K1673&lt;1000000000),1),K$4:K1673)))),AND(K243&lt;1000000000,COUNTA(C243:C1673)&gt;0,P$3=FALSE),
ROUNDDOWN(INDEX(Y$4:Y1673,MATCH(LARGE(FILTER(W$4:W1673,W$4:W1673&lt;=I243),1),W$4:W1673"&amp;"))+(I243-LARGE(FILTER(W$4:W1673,W$4:W1673&lt;=I243),1))*INDEX(T$4:T1673,MATCH(LARGE(FILTER(W$4:W1673,W$4:W1673&lt;=I243),1),W$4:W1673))-K243),1,
ROUNDDOWN(Y243-INDEX(K$4:K1673,MATCH(LARGE(FILTER(I$4:I1673,I$4:I1673&lt;=W243),1),I$4:I1673))-(W243-LARGE(FILTER(I$4:I"&amp;"1673,I$4:I1673&lt;=W243),1))*INDEX(F$4:F1673,MATCH(LARGE(FILTER(I$4:I1673,I$4:I1673&lt;=W243),1),I$4:I1673))))"),3.7777815E7)</f>
        <v>37777815</v>
      </c>
      <c r="N243" s="60">
        <f t="shared" si="8"/>
        <v>-221.59887</v>
      </c>
      <c r="O243" s="61" t="str">
        <f t="shared" si="9"/>
        <v>37,8M</v>
      </c>
      <c r="P243" s="56">
        <f t="shared" si="10"/>
        <v>22</v>
      </c>
      <c r="Q243" s="105" t="s">
        <v>60</v>
      </c>
      <c r="R243" s="10"/>
      <c r="S243" s="59">
        <f t="array" ref="S243">IF(COUNTA(Q243:Q1673)=0,"",SUM((COUNTIF(Q$4:Q243,Upgrades!$B$3:$B$13)-COUNTIF(Q$4:Q243,"Sell_"&amp;Upgrades!$B$3:$B$13))*Upgrades!$D$3:$D$13))</f>
        <v>201640</v>
      </c>
      <c r="T243" s="66">
        <f>IFERROR(__xludf.DUMMYFUNCTION("IF(COUNTA(Q243:Q1673)=0,"""",IF(REGEXMATCH(INDEX(FILTER(Q$4:Q243,Q$4:Q243&lt;&gt;""""),ROWS(FILTER(Q$4:Q243,Q$4:Q243&lt;&gt;""""))),""^Sell_""),INDEX(FILTER(T$4:T242,Q$4:Q242&lt;&gt;""""),ROWS(FILTER(Q$4:Q242,Q$4:Q242&lt;&gt;""""))),$AD$5+S243))"),211921.0)</f>
        <v>211921</v>
      </c>
      <c r="U243" s="10">
        <f>IFERROR(__xludf.DUMMYFUNCTION("IF(COUNTA(Q243:Q1673)=0,"""",IF(Q243="""",0,IF(REGEXMATCH(Q243,""^Sell_""),-ROUNDDOWN(ROUNDUP(INDEX(Upgrades!$C$3:$C$13,MATCH(SUBSTITUTE(Q243,""Sell_"",""""),Upgrades!$B$3:$B$13,0))*1.15^(COUNTIF(Q$4:Q242,SUBSTITUTE(Q243,""Sell_"",""""))-COUNTIF(Q$4:Q242,"&amp;"""Sell_""&amp;SUBSTITUTE(Q243,""Sell_"",""""))))/2),ROUNDUP(INDEX(Upgrades!$C$3:$C$13,MATCH(Q243,Upgrades!$B$3:$B$13,0))*1.15^(COUNTIF(Q$4:Q242,Q243)-COUNTIF(Q$4:Q242,""Sell_""&amp;Q243))))))"),-231306.0)</f>
        <v>-231306</v>
      </c>
      <c r="V243" s="10">
        <f t="shared" si="11"/>
        <v>-10489844</v>
      </c>
      <c r="W243" s="68">
        <f t="shared" si="12"/>
        <v>5573.214753</v>
      </c>
      <c r="X243" s="59" t="str">
        <f t="shared" si="13"/>
        <v>1h 32m 53s</v>
      </c>
      <c r="Y243" s="69">
        <f t="shared" si="14"/>
        <v>251587394</v>
      </c>
      <c r="Z243" s="11"/>
    </row>
    <row r="244">
      <c r="A244" s="8"/>
      <c r="B244" s="56" t="str">
        <f t="shared" si="2"/>
        <v/>
      </c>
      <c r="C244" s="105"/>
      <c r="D244" s="10"/>
      <c r="E244" s="59" t="str">
        <f t="array" ref="E244">IF(COUNTA(C244:C1673)=0,"",SUM((COUNTIF(C$4:C244,Upgrades!$B$3:$B$13)-COUNTIF(C$4:C244,"Sell_"&amp;Upgrades!$B$3:$B$13))*Upgrades!$D$3:$D$13))</f>
        <v/>
      </c>
      <c r="F244" s="66" t="str">
        <f>IFERROR(__xludf.DUMMYFUNCTION("IF(COUNTA(C244:C1673)=0,"""",IF(REGEXMATCH(INDEX(FILTER(C$4:C244,C$4:C244&lt;&gt;""""),ROWS(FILTER(C$4:C244,C$4:C244&lt;&gt;""""))),""^Sell_""),INDEX(FILTER(F$4:F243,C$4:C243&lt;&gt;""""),ROWS(FILTER(C$4:C243,C$4:C243&lt;&gt;""""))),$AC$5+E244))"),"")</f>
        <v/>
      </c>
      <c r="G244" s="10" t="str">
        <f>IFERROR(__xludf.DUMMYFUNCTION("IF(COUNTA(C244:C1673)=0,"""",IF(C244="""",0,IF(REGEXMATCH(C244,""^Sell_""),-ROUNDDOWN(ROUNDUP(INDEX(Upgrades!$C$3:$C$13,MATCH(SUBSTITUTE(C244,""Sell_"",""""),Upgrades!$B$3:$B$13,0))*1.15^(COUNTIF(C$4:C243,SUBSTITUTE(C244,""Sell_"",""""))-COUNTIF(C$4:C243,"&amp;"""Sell_""&amp;SUBSTITUTE(C244,""Sell_"",""""))))/2),ROUNDUP(INDEX(Upgrades!$C$3:$C$13,MATCH(C244,Upgrades!$B$3:$B$13,0))*1.15^(COUNTIF(C$4:C243,C244)-COUNTIF(C$4:C243,""Sell_""&amp;C244))))))"),"")</f>
        <v/>
      </c>
      <c r="H244" s="10" t="str">
        <f t="shared" si="3"/>
        <v/>
      </c>
      <c r="I244" s="68" t="str">
        <f t="shared" si="4"/>
        <v/>
      </c>
      <c r="J244" s="59" t="str">
        <f t="shared" si="5"/>
        <v/>
      </c>
      <c r="K244" s="69" t="str">
        <f t="shared" si="6"/>
        <v/>
      </c>
      <c r="L244" s="60">
        <f t="shared" si="7"/>
        <v>-221.59887</v>
      </c>
      <c r="M244" s="61">
        <f>IFERROR(__xludf.DUMMYFUNCTION("IFS(AND(COUNTA(C244:C1673)=0,COUNTA(Q244:Q1673)=0),"""",OR(AND(K244&gt;=1000000000,OR(Y244&gt;=1000000000,COUNTA(Q244:Q1673)=0)),OR(Y244&gt;=1000000000,AND(COUNTA(C244:C1673)=0,P$3=TRUE))),
ROUNDDOWN((AB$1-AC$1)*MAX(INDEX(T$4:T1673,MATCH(LARGE(FILTER(Y$4:Y1673,Y$4"&amp;":Y1673&lt;1000000000),1),Y$4:Y1673)),INDEX(F$4:F1673,MATCH(LARGE(FILTER(K$4:K1673,K$4:K1673&lt;1000000000),1),K$4:K1673)))),AND(K244&lt;1000000000,COUNTA(C244:C1673)&gt;0,P$3=FALSE),
ROUNDDOWN(INDEX(Y$4:Y1673,MATCH(LARGE(FILTER(W$4:W1673,W$4:W1673&lt;=I244),1),W$4:W1673"&amp;"))+(I244-LARGE(FILTER(W$4:W1673,W$4:W1673&lt;=I244),1))*INDEX(T$4:T1673,MATCH(LARGE(FILTER(W$4:W1673,W$4:W1673&lt;=I244),1),W$4:W1673))-K244),1,
ROUNDDOWN(Y244-INDEX(K$4:K1673,MATCH(LARGE(FILTER(I$4:I1673,I$4:I1673&lt;=W244),1),I$4:I1673))-(W244-LARGE(FILTER(I$4:I"&amp;"1673,I$4:I1673&lt;=W244),1))*INDEX(F$4:F1673,MATCH(LARGE(FILTER(I$4:I1673,I$4:I1673&lt;=W244),1),I$4:I1673))))"),3.7777815E7)</f>
        <v>37777815</v>
      </c>
      <c r="N244" s="60">
        <f t="shared" si="8"/>
        <v>-221.59887</v>
      </c>
      <c r="O244" s="61" t="str">
        <f t="shared" si="9"/>
        <v>37,8M</v>
      </c>
      <c r="P244" s="56">
        <f t="shared" si="10"/>
        <v>23</v>
      </c>
      <c r="Q244" s="105" t="s">
        <v>60</v>
      </c>
      <c r="R244" s="10"/>
      <c r="S244" s="59">
        <f t="array" ref="S244">IF(COUNTA(Q244:Q1673)=0,"",SUM((COUNTIF(Q$4:Q244,Upgrades!$B$3:$B$13)-COUNTIF(Q$4:Q244,"Sell_"&amp;Upgrades!$B$3:$B$13))*Upgrades!$D$3:$D$13))</f>
        <v>201240</v>
      </c>
      <c r="T244" s="66">
        <f>IFERROR(__xludf.DUMMYFUNCTION("IF(COUNTA(Q244:Q1673)=0,"""",IF(REGEXMATCH(INDEX(FILTER(Q$4:Q244,Q$4:Q244&lt;&gt;""""),ROWS(FILTER(Q$4:Q244,Q$4:Q244&lt;&gt;""""))),""^Sell_""),INDEX(FILTER(T$4:T243,Q$4:Q243&lt;&gt;""""),ROWS(FILTER(Q$4:Q243,Q$4:Q243&lt;&gt;""""))),$AD$5+S244))"),211921.0)</f>
        <v>211921</v>
      </c>
      <c r="U244" s="10">
        <f>IFERROR(__xludf.DUMMYFUNCTION("IF(COUNTA(Q244:Q1673)=0,"""",IF(Q244="""",0,IF(REGEXMATCH(Q244,""^Sell_""),-ROUNDDOWN(ROUNDUP(INDEX(Upgrades!$C$3:$C$13,MATCH(SUBSTITUTE(Q244,""Sell_"",""""),Upgrades!$B$3:$B$13,0))*1.15^(COUNTIF(Q$4:Q243,SUBSTITUTE(Q244,""Sell_"",""""))-COUNTIF(Q$4:Q243,"&amp;"""Sell_""&amp;SUBSTITUTE(Q244,""Sell_"",""""))))/2),ROUNDUP(INDEX(Upgrades!$C$3:$C$13,MATCH(Q244,Upgrades!$B$3:$B$13,0))*1.15^(COUNTIF(Q$4:Q243,Q244)-COUNTIF(Q$4:Q243,""Sell_""&amp;Q244))))))"),-201136.0)</f>
        <v>-201136</v>
      </c>
      <c r="V244" s="10">
        <f t="shared" si="11"/>
        <v>-10690980</v>
      </c>
      <c r="W244" s="68">
        <f t="shared" si="12"/>
        <v>5573.214753</v>
      </c>
      <c r="X244" s="59" t="str">
        <f t="shared" si="13"/>
        <v>1h 32m 53s</v>
      </c>
      <c r="Y244" s="69">
        <f t="shared" si="14"/>
        <v>251587394</v>
      </c>
      <c r="Z244" s="11"/>
    </row>
    <row r="245">
      <c r="A245" s="8"/>
      <c r="B245" s="56" t="str">
        <f t="shared" si="2"/>
        <v/>
      </c>
      <c r="C245" s="105"/>
      <c r="D245" s="10"/>
      <c r="E245" s="59" t="str">
        <f t="array" ref="E245">IF(COUNTA(C245:C1673)=0,"",SUM((COUNTIF(C$4:C245,Upgrades!$B$3:$B$13)-COUNTIF(C$4:C245,"Sell_"&amp;Upgrades!$B$3:$B$13))*Upgrades!$D$3:$D$13))</f>
        <v/>
      </c>
      <c r="F245" s="66" t="str">
        <f>IFERROR(__xludf.DUMMYFUNCTION("IF(COUNTA(C245:C1673)=0,"""",IF(REGEXMATCH(INDEX(FILTER(C$4:C245,C$4:C245&lt;&gt;""""),ROWS(FILTER(C$4:C245,C$4:C245&lt;&gt;""""))),""^Sell_""),INDEX(FILTER(F$4:F244,C$4:C244&lt;&gt;""""),ROWS(FILTER(C$4:C244,C$4:C244&lt;&gt;""""))),$AC$5+E245))"),"")</f>
        <v/>
      </c>
      <c r="G245" s="10" t="str">
        <f>IFERROR(__xludf.DUMMYFUNCTION("IF(COUNTA(C245:C1673)=0,"""",IF(C245="""",0,IF(REGEXMATCH(C245,""^Sell_""),-ROUNDDOWN(ROUNDUP(INDEX(Upgrades!$C$3:$C$13,MATCH(SUBSTITUTE(C245,""Sell_"",""""),Upgrades!$B$3:$B$13,0))*1.15^(COUNTIF(C$4:C244,SUBSTITUTE(C245,""Sell_"",""""))-COUNTIF(C$4:C244,"&amp;"""Sell_""&amp;SUBSTITUTE(C245,""Sell_"",""""))))/2),ROUNDUP(INDEX(Upgrades!$C$3:$C$13,MATCH(C245,Upgrades!$B$3:$B$13,0))*1.15^(COUNTIF(C$4:C244,C245)-COUNTIF(C$4:C244,""Sell_""&amp;C245))))))"),"")</f>
        <v/>
      </c>
      <c r="H245" s="10" t="str">
        <f t="shared" si="3"/>
        <v/>
      </c>
      <c r="I245" s="68" t="str">
        <f t="shared" si="4"/>
        <v/>
      </c>
      <c r="J245" s="59" t="str">
        <f t="shared" si="5"/>
        <v/>
      </c>
      <c r="K245" s="69" t="str">
        <f t="shared" si="6"/>
        <v/>
      </c>
      <c r="L245" s="60">
        <f t="shared" si="7"/>
        <v>-221.59887</v>
      </c>
      <c r="M245" s="61">
        <f>IFERROR(__xludf.DUMMYFUNCTION("IFS(AND(COUNTA(C245:C1673)=0,COUNTA(Q245:Q1673)=0),"""",OR(AND(K245&gt;=1000000000,OR(Y245&gt;=1000000000,COUNTA(Q245:Q1673)=0)),OR(Y245&gt;=1000000000,AND(COUNTA(C245:C1673)=0,P$3=TRUE))),
ROUNDDOWN((AB$1-AC$1)*MAX(INDEX(T$4:T1673,MATCH(LARGE(FILTER(Y$4:Y1673,Y$4"&amp;":Y1673&lt;1000000000),1),Y$4:Y1673)),INDEX(F$4:F1673,MATCH(LARGE(FILTER(K$4:K1673,K$4:K1673&lt;1000000000),1),K$4:K1673)))),AND(K245&lt;1000000000,COUNTA(C245:C1673)&gt;0,P$3=FALSE),
ROUNDDOWN(INDEX(Y$4:Y1673,MATCH(LARGE(FILTER(W$4:W1673,W$4:W1673&lt;=I245),1),W$4:W1673"&amp;"))+(I245-LARGE(FILTER(W$4:W1673,W$4:W1673&lt;=I245),1))*INDEX(T$4:T1673,MATCH(LARGE(FILTER(W$4:W1673,W$4:W1673&lt;=I245),1),W$4:W1673))-K245),1,
ROUNDDOWN(Y245-INDEX(K$4:K1673,MATCH(LARGE(FILTER(I$4:I1673,I$4:I1673&lt;=W245),1),I$4:I1673))-(W245-LARGE(FILTER(I$4:I"&amp;"1673,I$4:I1673&lt;=W245),1))*INDEX(F$4:F1673,MATCH(LARGE(FILTER(I$4:I1673,I$4:I1673&lt;=W245),1),I$4:I1673))))"),3.7777815E7)</f>
        <v>37777815</v>
      </c>
      <c r="N245" s="60">
        <f t="shared" si="8"/>
        <v>-221.59887</v>
      </c>
      <c r="O245" s="61" t="str">
        <f t="shared" si="9"/>
        <v>37,8M</v>
      </c>
      <c r="P245" s="56">
        <f t="shared" si="10"/>
        <v>24</v>
      </c>
      <c r="Q245" s="105" t="s">
        <v>60</v>
      </c>
      <c r="R245" s="10"/>
      <c r="S245" s="59">
        <f t="array" ref="S245">IF(COUNTA(Q245:Q1673)=0,"",SUM((COUNTIF(Q$4:Q245,Upgrades!$B$3:$B$13)-COUNTIF(Q$4:Q245,"Sell_"&amp;Upgrades!$B$3:$B$13))*Upgrades!$D$3:$D$13))</f>
        <v>200840</v>
      </c>
      <c r="T245" s="66">
        <f>IFERROR(__xludf.DUMMYFUNCTION("IF(COUNTA(Q245:Q1673)=0,"""",IF(REGEXMATCH(INDEX(FILTER(Q$4:Q245,Q$4:Q245&lt;&gt;""""),ROWS(FILTER(Q$4:Q245,Q$4:Q245&lt;&gt;""""))),""^Sell_""),INDEX(FILTER(T$4:T244,Q$4:Q244&lt;&gt;""""),ROWS(FILTER(Q$4:Q244,Q$4:Q244&lt;&gt;""""))),$AD$5+S245))"),211921.0)</f>
        <v>211921</v>
      </c>
      <c r="U245" s="10">
        <f>IFERROR(__xludf.DUMMYFUNCTION("IF(COUNTA(Q245:Q1673)=0,"""",IF(Q245="""",0,IF(REGEXMATCH(Q245,""^Sell_""),-ROUNDDOWN(ROUNDUP(INDEX(Upgrades!$C$3:$C$13,MATCH(SUBSTITUTE(Q245,""Sell_"",""""),Upgrades!$B$3:$B$13,0))*1.15^(COUNTIF(Q$4:Q244,SUBSTITUTE(Q245,""Sell_"",""""))-COUNTIF(Q$4:Q244,"&amp;"""Sell_""&amp;SUBSTITUTE(Q245,""Sell_"",""""))))/2),ROUNDUP(INDEX(Upgrades!$C$3:$C$13,MATCH(Q245,Upgrades!$B$3:$B$13,0))*1.15^(COUNTIF(Q$4:Q244,Q245)-COUNTIF(Q$4:Q244,""Sell_""&amp;Q245))))))"),-174901.0)</f>
        <v>-174901</v>
      </c>
      <c r="V245" s="10">
        <f t="shared" si="11"/>
        <v>-10865881</v>
      </c>
      <c r="W245" s="68">
        <f t="shared" si="12"/>
        <v>5573.214753</v>
      </c>
      <c r="X245" s="59" t="str">
        <f t="shared" si="13"/>
        <v>1h 32m 53s</v>
      </c>
      <c r="Y245" s="69">
        <f t="shared" si="14"/>
        <v>251587394</v>
      </c>
      <c r="Z245" s="11"/>
    </row>
    <row r="246">
      <c r="A246" s="8"/>
      <c r="B246" s="56" t="str">
        <f t="shared" si="2"/>
        <v/>
      </c>
      <c r="C246" s="105"/>
      <c r="D246" s="10"/>
      <c r="E246" s="59" t="str">
        <f t="array" ref="E246">IF(COUNTA(C246:C1673)=0,"",SUM((COUNTIF(C$4:C246,Upgrades!$B$3:$B$13)-COUNTIF(C$4:C246,"Sell_"&amp;Upgrades!$B$3:$B$13))*Upgrades!$D$3:$D$13))</f>
        <v/>
      </c>
      <c r="F246" s="66" t="str">
        <f>IFERROR(__xludf.DUMMYFUNCTION("IF(COUNTA(C246:C1673)=0,"""",IF(REGEXMATCH(INDEX(FILTER(C$4:C246,C$4:C246&lt;&gt;""""),ROWS(FILTER(C$4:C246,C$4:C246&lt;&gt;""""))),""^Sell_""),INDEX(FILTER(F$4:F245,C$4:C245&lt;&gt;""""),ROWS(FILTER(C$4:C245,C$4:C245&lt;&gt;""""))),$AC$5+E246))"),"")</f>
        <v/>
      </c>
      <c r="G246" s="10" t="str">
        <f>IFERROR(__xludf.DUMMYFUNCTION("IF(COUNTA(C246:C1673)=0,"""",IF(C246="""",0,IF(REGEXMATCH(C246,""^Sell_""),-ROUNDDOWN(ROUNDUP(INDEX(Upgrades!$C$3:$C$13,MATCH(SUBSTITUTE(C246,""Sell_"",""""),Upgrades!$B$3:$B$13,0))*1.15^(COUNTIF(C$4:C245,SUBSTITUTE(C246,""Sell_"",""""))-COUNTIF(C$4:C245,"&amp;"""Sell_""&amp;SUBSTITUTE(C246,""Sell_"",""""))))/2),ROUNDUP(INDEX(Upgrades!$C$3:$C$13,MATCH(C246,Upgrades!$B$3:$B$13,0))*1.15^(COUNTIF(C$4:C245,C246)-COUNTIF(C$4:C245,""Sell_""&amp;C246))))))"),"")</f>
        <v/>
      </c>
      <c r="H246" s="10" t="str">
        <f t="shared" si="3"/>
        <v/>
      </c>
      <c r="I246" s="68" t="str">
        <f t="shared" si="4"/>
        <v/>
      </c>
      <c r="J246" s="59" t="str">
        <f t="shared" si="5"/>
        <v/>
      </c>
      <c r="K246" s="69" t="str">
        <f t="shared" si="6"/>
        <v/>
      </c>
      <c r="L246" s="60">
        <f t="shared" si="7"/>
        <v>-221.59887</v>
      </c>
      <c r="M246" s="61">
        <f>IFERROR(__xludf.DUMMYFUNCTION("IFS(AND(COUNTA(C246:C1673)=0,COUNTA(Q246:Q1673)=0),"""",OR(AND(K246&gt;=1000000000,OR(Y246&gt;=1000000000,COUNTA(Q246:Q1673)=0)),OR(Y246&gt;=1000000000,AND(COUNTA(C246:C1673)=0,P$3=TRUE))),
ROUNDDOWN((AB$1-AC$1)*MAX(INDEX(T$4:T1673,MATCH(LARGE(FILTER(Y$4:Y1673,Y$4"&amp;":Y1673&lt;1000000000),1),Y$4:Y1673)),INDEX(F$4:F1673,MATCH(LARGE(FILTER(K$4:K1673,K$4:K1673&lt;1000000000),1),K$4:K1673)))),AND(K246&lt;1000000000,COUNTA(C246:C1673)&gt;0,P$3=FALSE),
ROUNDDOWN(INDEX(Y$4:Y1673,MATCH(LARGE(FILTER(W$4:W1673,W$4:W1673&lt;=I246),1),W$4:W1673"&amp;"))+(I246-LARGE(FILTER(W$4:W1673,W$4:W1673&lt;=I246),1))*INDEX(T$4:T1673,MATCH(LARGE(FILTER(W$4:W1673,W$4:W1673&lt;=I246),1),W$4:W1673))-K246),1,
ROUNDDOWN(Y246-INDEX(K$4:K1673,MATCH(LARGE(FILTER(I$4:I1673,I$4:I1673&lt;=W246),1),I$4:I1673))-(W246-LARGE(FILTER(I$4:I"&amp;"1673,I$4:I1673&lt;=W246),1))*INDEX(F$4:F1673,MATCH(LARGE(FILTER(I$4:I1673,I$4:I1673&lt;=W246),1),I$4:I1673))))"),3.7777815E7)</f>
        <v>37777815</v>
      </c>
      <c r="N246" s="60">
        <f t="shared" si="8"/>
        <v>-221.59887</v>
      </c>
      <c r="O246" s="61" t="str">
        <f t="shared" si="9"/>
        <v>37,8M</v>
      </c>
      <c r="P246" s="56">
        <f t="shared" si="10"/>
        <v>25</v>
      </c>
      <c r="Q246" s="105" t="s">
        <v>60</v>
      </c>
      <c r="R246" s="10"/>
      <c r="S246" s="59">
        <f t="array" ref="S246">IF(COUNTA(Q246:Q1673)=0,"",SUM((COUNTIF(Q$4:Q246,Upgrades!$B$3:$B$13)-COUNTIF(Q$4:Q246,"Sell_"&amp;Upgrades!$B$3:$B$13))*Upgrades!$D$3:$D$13))</f>
        <v>200440</v>
      </c>
      <c r="T246" s="66">
        <f>IFERROR(__xludf.DUMMYFUNCTION("IF(COUNTA(Q246:Q1673)=0,"""",IF(REGEXMATCH(INDEX(FILTER(Q$4:Q246,Q$4:Q246&lt;&gt;""""),ROWS(FILTER(Q$4:Q246,Q$4:Q246&lt;&gt;""""))),""^Sell_""),INDEX(FILTER(T$4:T245,Q$4:Q245&lt;&gt;""""),ROWS(FILTER(Q$4:Q245,Q$4:Q245&lt;&gt;""""))),$AD$5+S246))"),211921.0)</f>
        <v>211921</v>
      </c>
      <c r="U246" s="10">
        <f>IFERROR(__xludf.DUMMYFUNCTION("IF(COUNTA(Q246:Q1673)=0,"""",IF(Q246="""",0,IF(REGEXMATCH(Q246,""^Sell_""),-ROUNDDOWN(ROUNDUP(INDEX(Upgrades!$C$3:$C$13,MATCH(SUBSTITUTE(Q246,""Sell_"",""""),Upgrades!$B$3:$B$13,0))*1.15^(COUNTIF(Q$4:Q245,SUBSTITUTE(Q246,""Sell_"",""""))-COUNTIF(Q$4:Q245,"&amp;"""Sell_""&amp;SUBSTITUTE(Q246,""Sell_"",""""))))/2),ROUNDUP(INDEX(Upgrades!$C$3:$C$13,MATCH(Q246,Upgrades!$B$3:$B$13,0))*1.15^(COUNTIF(Q$4:Q245,Q246)-COUNTIF(Q$4:Q245,""Sell_""&amp;Q246))))))"),-152087.0)</f>
        <v>-152087</v>
      </c>
      <c r="V246" s="10">
        <f t="shared" si="11"/>
        <v>-11017968</v>
      </c>
      <c r="W246" s="68">
        <f t="shared" si="12"/>
        <v>5573.214753</v>
      </c>
      <c r="X246" s="59" t="str">
        <f t="shared" si="13"/>
        <v>1h 32m 53s</v>
      </c>
      <c r="Y246" s="69">
        <f t="shared" si="14"/>
        <v>251587394</v>
      </c>
      <c r="Z246" s="11"/>
    </row>
    <row r="247">
      <c r="A247" s="8"/>
      <c r="B247" s="56" t="str">
        <f t="shared" si="2"/>
        <v/>
      </c>
      <c r="C247" s="105"/>
      <c r="D247" s="10"/>
      <c r="E247" s="59" t="str">
        <f t="array" ref="E247">IF(COUNTA(C247:C1673)=0,"",SUM((COUNTIF(C$4:C247,Upgrades!$B$3:$B$13)-COUNTIF(C$4:C247,"Sell_"&amp;Upgrades!$B$3:$B$13))*Upgrades!$D$3:$D$13))</f>
        <v/>
      </c>
      <c r="F247" s="66" t="str">
        <f>IFERROR(__xludf.DUMMYFUNCTION("IF(COUNTA(C247:C1673)=0,"""",IF(REGEXMATCH(INDEX(FILTER(C$4:C247,C$4:C247&lt;&gt;""""),ROWS(FILTER(C$4:C247,C$4:C247&lt;&gt;""""))),""^Sell_""),INDEX(FILTER(F$4:F246,C$4:C246&lt;&gt;""""),ROWS(FILTER(C$4:C246,C$4:C246&lt;&gt;""""))),$AC$5+E247))"),"")</f>
        <v/>
      </c>
      <c r="G247" s="10" t="str">
        <f>IFERROR(__xludf.DUMMYFUNCTION("IF(COUNTA(C247:C1673)=0,"""",IF(C247="""",0,IF(REGEXMATCH(C247,""^Sell_""),-ROUNDDOWN(ROUNDUP(INDEX(Upgrades!$C$3:$C$13,MATCH(SUBSTITUTE(C247,""Sell_"",""""),Upgrades!$B$3:$B$13,0))*1.15^(COUNTIF(C$4:C246,SUBSTITUTE(C247,""Sell_"",""""))-COUNTIF(C$4:C246,"&amp;"""Sell_""&amp;SUBSTITUTE(C247,""Sell_"",""""))))/2),ROUNDUP(INDEX(Upgrades!$C$3:$C$13,MATCH(C247,Upgrades!$B$3:$B$13,0))*1.15^(COUNTIF(C$4:C246,C247)-COUNTIF(C$4:C246,""Sell_""&amp;C247))))))"),"")</f>
        <v/>
      </c>
      <c r="H247" s="10" t="str">
        <f t="shared" si="3"/>
        <v/>
      </c>
      <c r="I247" s="68" t="str">
        <f t="shared" si="4"/>
        <v/>
      </c>
      <c r="J247" s="59" t="str">
        <f t="shared" si="5"/>
        <v/>
      </c>
      <c r="K247" s="69" t="str">
        <f t="shared" si="6"/>
        <v/>
      </c>
      <c r="L247" s="60">
        <f t="shared" si="7"/>
        <v>-221.59887</v>
      </c>
      <c r="M247" s="61">
        <f>IFERROR(__xludf.DUMMYFUNCTION("IFS(AND(COUNTA(C247:C1673)=0,COUNTA(Q247:Q1673)=0),"""",OR(AND(K247&gt;=1000000000,OR(Y247&gt;=1000000000,COUNTA(Q247:Q1673)=0)),OR(Y247&gt;=1000000000,AND(COUNTA(C247:C1673)=0,P$3=TRUE))),
ROUNDDOWN((AB$1-AC$1)*MAX(INDEX(T$4:T1673,MATCH(LARGE(FILTER(Y$4:Y1673,Y$4"&amp;":Y1673&lt;1000000000),1),Y$4:Y1673)),INDEX(F$4:F1673,MATCH(LARGE(FILTER(K$4:K1673,K$4:K1673&lt;1000000000),1),K$4:K1673)))),AND(K247&lt;1000000000,COUNTA(C247:C1673)&gt;0,P$3=FALSE),
ROUNDDOWN(INDEX(Y$4:Y1673,MATCH(LARGE(FILTER(W$4:W1673,W$4:W1673&lt;=I247),1),W$4:W1673"&amp;"))+(I247-LARGE(FILTER(W$4:W1673,W$4:W1673&lt;=I247),1))*INDEX(T$4:T1673,MATCH(LARGE(FILTER(W$4:W1673,W$4:W1673&lt;=I247),1),W$4:W1673))-K247),1,
ROUNDDOWN(Y247-INDEX(K$4:K1673,MATCH(LARGE(FILTER(I$4:I1673,I$4:I1673&lt;=W247),1),I$4:I1673))-(W247-LARGE(FILTER(I$4:I"&amp;"1673,I$4:I1673&lt;=W247),1))*INDEX(F$4:F1673,MATCH(LARGE(FILTER(I$4:I1673,I$4:I1673&lt;=W247),1),I$4:I1673))))"),3.7777815E7)</f>
        <v>37777815</v>
      </c>
      <c r="N247" s="60">
        <f t="shared" si="8"/>
        <v>-221.59887</v>
      </c>
      <c r="O247" s="61" t="str">
        <f t="shared" si="9"/>
        <v>37,8M</v>
      </c>
      <c r="P247" s="56">
        <f t="shared" si="10"/>
        <v>26</v>
      </c>
      <c r="Q247" s="105" t="s">
        <v>60</v>
      </c>
      <c r="R247" s="10"/>
      <c r="S247" s="59">
        <f t="array" ref="S247">IF(COUNTA(Q247:Q1673)=0,"",SUM((COUNTIF(Q$4:Q247,Upgrades!$B$3:$B$13)-COUNTIF(Q$4:Q247,"Sell_"&amp;Upgrades!$B$3:$B$13))*Upgrades!$D$3:$D$13))</f>
        <v>200040</v>
      </c>
      <c r="T247" s="66">
        <f>IFERROR(__xludf.DUMMYFUNCTION("IF(COUNTA(Q247:Q1673)=0,"""",IF(REGEXMATCH(INDEX(FILTER(Q$4:Q247,Q$4:Q247&lt;&gt;""""),ROWS(FILTER(Q$4:Q247,Q$4:Q247&lt;&gt;""""))),""^Sell_""),INDEX(FILTER(T$4:T246,Q$4:Q246&lt;&gt;""""),ROWS(FILTER(Q$4:Q246,Q$4:Q246&lt;&gt;""""))),$AD$5+S247))"),211921.0)</f>
        <v>211921</v>
      </c>
      <c r="U247" s="10">
        <f>IFERROR(__xludf.DUMMYFUNCTION("IF(COUNTA(Q247:Q1673)=0,"""",IF(Q247="""",0,IF(REGEXMATCH(Q247,""^Sell_""),-ROUNDDOWN(ROUNDUP(INDEX(Upgrades!$C$3:$C$13,MATCH(SUBSTITUTE(Q247,""Sell_"",""""),Upgrades!$B$3:$B$13,0))*1.15^(COUNTIF(Q$4:Q246,SUBSTITUTE(Q247,""Sell_"",""""))-COUNTIF(Q$4:Q246,"&amp;"""Sell_""&amp;SUBSTITUTE(Q247,""Sell_"",""""))))/2),ROUNDUP(INDEX(Upgrades!$C$3:$C$13,MATCH(Q247,Upgrades!$B$3:$B$13,0))*1.15^(COUNTIF(Q$4:Q246,Q247)-COUNTIF(Q$4:Q246,""Sell_""&amp;Q247))))))"),-132250.0)</f>
        <v>-132250</v>
      </c>
      <c r="V247" s="10">
        <f t="shared" si="11"/>
        <v>-11150218</v>
      </c>
      <c r="W247" s="68">
        <f t="shared" si="12"/>
        <v>5573.214753</v>
      </c>
      <c r="X247" s="59" t="str">
        <f t="shared" si="13"/>
        <v>1h 32m 53s</v>
      </c>
      <c r="Y247" s="69">
        <f t="shared" si="14"/>
        <v>251587394</v>
      </c>
      <c r="Z247" s="11"/>
    </row>
    <row r="248">
      <c r="A248" s="8"/>
      <c r="B248" s="56" t="str">
        <f t="shared" si="2"/>
        <v/>
      </c>
      <c r="C248" s="105"/>
      <c r="D248" s="10"/>
      <c r="E248" s="59" t="str">
        <f t="array" ref="E248">IF(COUNTA(C248:C1673)=0,"",SUM((COUNTIF(C$4:C248,Upgrades!$B$3:$B$13)-COUNTIF(C$4:C248,"Sell_"&amp;Upgrades!$B$3:$B$13))*Upgrades!$D$3:$D$13))</f>
        <v/>
      </c>
      <c r="F248" s="66" t="str">
        <f>IFERROR(__xludf.DUMMYFUNCTION("IF(COUNTA(C248:C1673)=0,"""",IF(REGEXMATCH(INDEX(FILTER(C$4:C248,C$4:C248&lt;&gt;""""),ROWS(FILTER(C$4:C248,C$4:C248&lt;&gt;""""))),""^Sell_""),INDEX(FILTER(F$4:F247,C$4:C247&lt;&gt;""""),ROWS(FILTER(C$4:C247,C$4:C247&lt;&gt;""""))),$AC$5+E248))"),"")</f>
        <v/>
      </c>
      <c r="G248" s="10" t="str">
        <f>IFERROR(__xludf.DUMMYFUNCTION("IF(COUNTA(C248:C1673)=0,"""",IF(C248="""",0,IF(REGEXMATCH(C248,""^Sell_""),-ROUNDDOWN(ROUNDUP(INDEX(Upgrades!$C$3:$C$13,MATCH(SUBSTITUTE(C248,""Sell_"",""""),Upgrades!$B$3:$B$13,0))*1.15^(COUNTIF(C$4:C247,SUBSTITUTE(C248,""Sell_"",""""))-COUNTIF(C$4:C247,"&amp;"""Sell_""&amp;SUBSTITUTE(C248,""Sell_"",""""))))/2),ROUNDUP(INDEX(Upgrades!$C$3:$C$13,MATCH(C248,Upgrades!$B$3:$B$13,0))*1.15^(COUNTIF(C$4:C247,C248)-COUNTIF(C$4:C247,""Sell_""&amp;C248))))))"),"")</f>
        <v/>
      </c>
      <c r="H248" s="10" t="str">
        <f t="shared" si="3"/>
        <v/>
      </c>
      <c r="I248" s="68" t="str">
        <f t="shared" si="4"/>
        <v/>
      </c>
      <c r="J248" s="59" t="str">
        <f t="shared" si="5"/>
        <v/>
      </c>
      <c r="K248" s="69" t="str">
        <f t="shared" si="6"/>
        <v/>
      </c>
      <c r="L248" s="60">
        <f t="shared" si="7"/>
        <v>-221.59887</v>
      </c>
      <c r="M248" s="61">
        <f>IFERROR(__xludf.DUMMYFUNCTION("IFS(AND(COUNTA(C248:C1673)=0,COUNTA(Q248:Q1673)=0),"""",OR(AND(K248&gt;=1000000000,OR(Y248&gt;=1000000000,COUNTA(Q248:Q1673)=0)),OR(Y248&gt;=1000000000,AND(COUNTA(C248:C1673)=0,P$3=TRUE))),
ROUNDDOWN((AB$1-AC$1)*MAX(INDEX(T$4:T1673,MATCH(LARGE(FILTER(Y$4:Y1673,Y$4"&amp;":Y1673&lt;1000000000),1),Y$4:Y1673)),INDEX(F$4:F1673,MATCH(LARGE(FILTER(K$4:K1673,K$4:K1673&lt;1000000000),1),K$4:K1673)))),AND(K248&lt;1000000000,COUNTA(C248:C1673)&gt;0,P$3=FALSE),
ROUNDDOWN(INDEX(Y$4:Y1673,MATCH(LARGE(FILTER(W$4:W1673,W$4:W1673&lt;=I248),1),W$4:W1673"&amp;"))+(I248-LARGE(FILTER(W$4:W1673,W$4:W1673&lt;=I248),1))*INDEX(T$4:T1673,MATCH(LARGE(FILTER(W$4:W1673,W$4:W1673&lt;=I248),1),W$4:W1673))-K248),1,
ROUNDDOWN(Y248-INDEX(K$4:K1673,MATCH(LARGE(FILTER(I$4:I1673,I$4:I1673&lt;=W248),1),I$4:I1673))-(W248-LARGE(FILTER(I$4:I"&amp;"1673,I$4:I1673&lt;=W248),1))*INDEX(F$4:F1673,MATCH(LARGE(FILTER(I$4:I1673,I$4:I1673&lt;=W248),1),I$4:I1673))))"),3.7777815E7)</f>
        <v>37777815</v>
      </c>
      <c r="N248" s="60">
        <f t="shared" si="8"/>
        <v>-221.59887</v>
      </c>
      <c r="O248" s="61" t="str">
        <f t="shared" si="9"/>
        <v>37,8M</v>
      </c>
      <c r="P248" s="56">
        <f t="shared" si="10"/>
        <v>27</v>
      </c>
      <c r="Q248" s="105" t="s">
        <v>60</v>
      </c>
      <c r="R248" s="10"/>
      <c r="S248" s="59">
        <f t="array" ref="S248">IF(COUNTA(Q248:Q1673)=0,"",SUM((COUNTIF(Q$4:Q248,Upgrades!$B$3:$B$13)-COUNTIF(Q$4:Q248,"Sell_"&amp;Upgrades!$B$3:$B$13))*Upgrades!$D$3:$D$13))</f>
        <v>199640</v>
      </c>
      <c r="T248" s="66">
        <f>IFERROR(__xludf.DUMMYFUNCTION("IF(COUNTA(Q248:Q1673)=0,"""",IF(REGEXMATCH(INDEX(FILTER(Q$4:Q248,Q$4:Q248&lt;&gt;""""),ROWS(FILTER(Q$4:Q248,Q$4:Q248&lt;&gt;""""))),""^Sell_""),INDEX(FILTER(T$4:T247,Q$4:Q247&lt;&gt;""""),ROWS(FILTER(Q$4:Q247,Q$4:Q247&lt;&gt;""""))),$AD$5+S248))"),211921.0)</f>
        <v>211921</v>
      </c>
      <c r="U248" s="10">
        <f>IFERROR(__xludf.DUMMYFUNCTION("IF(COUNTA(Q248:Q1673)=0,"""",IF(Q248="""",0,IF(REGEXMATCH(Q248,""^Sell_""),-ROUNDDOWN(ROUNDUP(INDEX(Upgrades!$C$3:$C$13,MATCH(SUBSTITUTE(Q248,""Sell_"",""""),Upgrades!$B$3:$B$13,0))*1.15^(COUNTIF(Q$4:Q247,SUBSTITUTE(Q248,""Sell_"",""""))-COUNTIF(Q$4:Q247,"&amp;"""Sell_""&amp;SUBSTITUTE(Q248,""Sell_"",""""))))/2),ROUNDUP(INDEX(Upgrades!$C$3:$C$13,MATCH(Q248,Upgrades!$B$3:$B$13,0))*1.15^(COUNTIF(Q$4:Q247,Q248)-COUNTIF(Q$4:Q247,""Sell_""&amp;Q248))))))"),-115000.0)</f>
        <v>-115000</v>
      </c>
      <c r="V248" s="10">
        <f t="shared" si="11"/>
        <v>-11265218</v>
      </c>
      <c r="W248" s="68">
        <f t="shared" si="12"/>
        <v>5573.214753</v>
      </c>
      <c r="X248" s="59" t="str">
        <f t="shared" si="13"/>
        <v>1h 32m 53s</v>
      </c>
      <c r="Y248" s="69">
        <f t="shared" si="14"/>
        <v>251587394</v>
      </c>
      <c r="Z248" s="11"/>
    </row>
    <row r="249">
      <c r="A249" s="8"/>
      <c r="B249" s="56" t="str">
        <f t="shared" si="2"/>
        <v/>
      </c>
      <c r="C249" s="105"/>
      <c r="D249" s="10"/>
      <c r="E249" s="59" t="str">
        <f t="array" ref="E249">IF(COUNTA(C249:C1673)=0,"",SUM((COUNTIF(C$4:C249,Upgrades!$B$3:$B$13)-COUNTIF(C$4:C249,"Sell_"&amp;Upgrades!$B$3:$B$13))*Upgrades!$D$3:$D$13))</f>
        <v/>
      </c>
      <c r="F249" s="66" t="str">
        <f>IFERROR(__xludf.DUMMYFUNCTION("IF(COUNTA(C249:C1673)=0,"""",IF(REGEXMATCH(INDEX(FILTER(C$4:C249,C$4:C249&lt;&gt;""""),ROWS(FILTER(C$4:C249,C$4:C249&lt;&gt;""""))),""^Sell_""),INDEX(FILTER(F$4:F248,C$4:C248&lt;&gt;""""),ROWS(FILTER(C$4:C248,C$4:C248&lt;&gt;""""))),$AC$5+E249))"),"")</f>
        <v/>
      </c>
      <c r="G249" s="10" t="str">
        <f>IFERROR(__xludf.DUMMYFUNCTION("IF(COUNTA(C249:C1673)=0,"""",IF(C249="""",0,IF(REGEXMATCH(C249,""^Sell_""),-ROUNDDOWN(ROUNDUP(INDEX(Upgrades!$C$3:$C$13,MATCH(SUBSTITUTE(C249,""Sell_"",""""),Upgrades!$B$3:$B$13,0))*1.15^(COUNTIF(C$4:C248,SUBSTITUTE(C249,""Sell_"",""""))-COUNTIF(C$4:C248,"&amp;"""Sell_""&amp;SUBSTITUTE(C249,""Sell_"",""""))))/2),ROUNDUP(INDEX(Upgrades!$C$3:$C$13,MATCH(C249,Upgrades!$B$3:$B$13,0))*1.15^(COUNTIF(C$4:C248,C249)-COUNTIF(C$4:C248,""Sell_""&amp;C249))))))"),"")</f>
        <v/>
      </c>
      <c r="H249" s="10" t="str">
        <f t="shared" si="3"/>
        <v/>
      </c>
      <c r="I249" s="68" t="str">
        <f t="shared" si="4"/>
        <v/>
      </c>
      <c r="J249" s="59" t="str">
        <f t="shared" si="5"/>
        <v/>
      </c>
      <c r="K249" s="69" t="str">
        <f t="shared" si="6"/>
        <v/>
      </c>
      <c r="L249" s="60">
        <f t="shared" si="7"/>
        <v>-221.59887</v>
      </c>
      <c r="M249" s="61">
        <f>IFERROR(__xludf.DUMMYFUNCTION("IFS(AND(COUNTA(C249:C1673)=0,COUNTA(Q249:Q1673)=0),"""",OR(AND(K249&gt;=1000000000,OR(Y249&gt;=1000000000,COUNTA(Q249:Q1673)=0)),OR(Y249&gt;=1000000000,AND(COUNTA(C249:C1673)=0,P$3=TRUE))),
ROUNDDOWN((AB$1-AC$1)*MAX(INDEX(T$4:T1673,MATCH(LARGE(FILTER(Y$4:Y1673,Y$4"&amp;":Y1673&lt;1000000000),1),Y$4:Y1673)),INDEX(F$4:F1673,MATCH(LARGE(FILTER(K$4:K1673,K$4:K1673&lt;1000000000),1),K$4:K1673)))),AND(K249&lt;1000000000,COUNTA(C249:C1673)&gt;0,P$3=FALSE),
ROUNDDOWN(INDEX(Y$4:Y1673,MATCH(LARGE(FILTER(W$4:W1673,W$4:W1673&lt;=I249),1),W$4:W1673"&amp;"))+(I249-LARGE(FILTER(W$4:W1673,W$4:W1673&lt;=I249),1))*INDEX(T$4:T1673,MATCH(LARGE(FILTER(W$4:W1673,W$4:W1673&lt;=I249),1),W$4:W1673))-K249),1,
ROUNDDOWN(Y249-INDEX(K$4:K1673,MATCH(LARGE(FILTER(I$4:I1673,I$4:I1673&lt;=W249),1),I$4:I1673))-(W249-LARGE(FILTER(I$4:I"&amp;"1673,I$4:I1673&lt;=W249),1))*INDEX(F$4:F1673,MATCH(LARGE(FILTER(I$4:I1673,I$4:I1673&lt;=W249),1),I$4:I1673))))"),3.7777815E7)</f>
        <v>37777815</v>
      </c>
      <c r="N249" s="60">
        <f t="shared" si="8"/>
        <v>-221.59887</v>
      </c>
      <c r="O249" s="61" t="str">
        <f t="shared" si="9"/>
        <v>37,8M</v>
      </c>
      <c r="P249" s="56">
        <f t="shared" si="10"/>
        <v>8</v>
      </c>
      <c r="Q249" s="105" t="s">
        <v>64</v>
      </c>
      <c r="R249" s="10"/>
      <c r="S249" s="59">
        <f t="array" ref="S249">IF(COUNTA(Q249:Q1673)=0,"",SUM((COUNTIF(Q$4:Q249,Upgrades!$B$3:$B$13)-COUNTIF(Q$4:Q249,"Sell_"&amp;Upgrades!$B$3:$B$13))*Upgrades!$D$3:$D$13))</f>
        <v>192974</v>
      </c>
      <c r="T249" s="66">
        <f>IFERROR(__xludf.DUMMYFUNCTION("IF(COUNTA(Q249:Q1673)=0,"""",IF(REGEXMATCH(INDEX(FILTER(Q$4:Q249,Q$4:Q249&lt;&gt;""""),ROWS(FILTER(Q$4:Q249,Q$4:Q249&lt;&gt;""""))),""^Sell_""),INDEX(FILTER(T$4:T248,Q$4:Q248&lt;&gt;""""),ROWS(FILTER(Q$4:Q248,Q$4:Q248&lt;&gt;""""))),$AD$5+S249))"),211921.0)</f>
        <v>211921</v>
      </c>
      <c r="U249" s="10">
        <f>IFERROR(__xludf.DUMMYFUNCTION("IF(COUNTA(Q249:Q1673)=0,"""",IF(Q249="""",0,IF(REGEXMATCH(Q249,""^Sell_""),-ROUNDDOWN(ROUNDUP(INDEX(Upgrades!$C$3:$C$13,MATCH(SUBSTITUTE(Q249,""Sell_"",""""),Upgrades!$B$3:$B$13,0))*1.15^(COUNTIF(Q$4:Q248,SUBSTITUTE(Q249,""Sell_"",""""))-COUNTIF(Q$4:Q248,"&amp;"""Sell_""&amp;SUBSTITUTE(Q249,""Sell_"",""""))))/2),ROUNDUP(INDEX(Upgrades!$C$3:$C$13,MATCH(Q249,Upgrades!$B$3:$B$13,0))*1.15^(COUNTIF(Q$4:Q248,Q249)-COUNTIF(Q$4:Q248,""Sell_""&amp;Q249))))))"),-6780882.0)</f>
        <v>-6780882</v>
      </c>
      <c r="V249" s="10">
        <f t="shared" si="11"/>
        <v>-18046100</v>
      </c>
      <c r="W249" s="68">
        <f t="shared" si="12"/>
        <v>5573.214753</v>
      </c>
      <c r="X249" s="59" t="str">
        <f t="shared" si="13"/>
        <v>1h 32m 53s</v>
      </c>
      <c r="Y249" s="69">
        <f t="shared" si="14"/>
        <v>251587394</v>
      </c>
      <c r="Z249" s="11"/>
    </row>
    <row r="250">
      <c r="A250" s="8"/>
      <c r="B250" s="56" t="str">
        <f t="shared" si="2"/>
        <v/>
      </c>
      <c r="C250" s="105"/>
      <c r="D250" s="10"/>
      <c r="E250" s="59" t="str">
        <f t="array" ref="E250">IF(COUNTA(C250:C1673)=0,"",SUM((COUNTIF(C$4:C250,Upgrades!$B$3:$B$13)-COUNTIF(C$4:C250,"Sell_"&amp;Upgrades!$B$3:$B$13))*Upgrades!$D$3:$D$13))</f>
        <v/>
      </c>
      <c r="F250" s="66" t="str">
        <f>IFERROR(__xludf.DUMMYFUNCTION("IF(COUNTA(C250:C1673)=0,"""",IF(REGEXMATCH(INDEX(FILTER(C$4:C250,C$4:C250&lt;&gt;""""),ROWS(FILTER(C$4:C250,C$4:C250&lt;&gt;""""))),""^Sell_""),INDEX(FILTER(F$4:F249,C$4:C249&lt;&gt;""""),ROWS(FILTER(C$4:C249,C$4:C249&lt;&gt;""""))),$AC$5+E250))"),"")</f>
        <v/>
      </c>
      <c r="G250" s="10" t="str">
        <f>IFERROR(__xludf.DUMMYFUNCTION("IF(COUNTA(C250:C1673)=0,"""",IF(C250="""",0,IF(REGEXMATCH(C250,""^Sell_""),-ROUNDDOWN(ROUNDUP(INDEX(Upgrades!$C$3:$C$13,MATCH(SUBSTITUTE(C250,""Sell_"",""""),Upgrades!$B$3:$B$13,0))*1.15^(COUNTIF(C$4:C249,SUBSTITUTE(C250,""Sell_"",""""))-COUNTIF(C$4:C249,"&amp;"""Sell_""&amp;SUBSTITUTE(C250,""Sell_"",""""))))/2),ROUNDUP(INDEX(Upgrades!$C$3:$C$13,MATCH(C250,Upgrades!$B$3:$B$13,0))*1.15^(COUNTIF(C$4:C249,C250)-COUNTIF(C$4:C249,""Sell_""&amp;C250))))))"),"")</f>
        <v/>
      </c>
      <c r="H250" s="10" t="str">
        <f t="shared" si="3"/>
        <v/>
      </c>
      <c r="I250" s="68" t="str">
        <f t="shared" si="4"/>
        <v/>
      </c>
      <c r="J250" s="59" t="str">
        <f t="shared" si="5"/>
        <v/>
      </c>
      <c r="K250" s="69" t="str">
        <f t="shared" si="6"/>
        <v/>
      </c>
      <c r="L250" s="60">
        <f t="shared" si="7"/>
        <v>-221.59887</v>
      </c>
      <c r="M250" s="61">
        <f>IFERROR(__xludf.DUMMYFUNCTION("IFS(AND(COUNTA(C250:C1673)=0,COUNTA(Q250:Q1673)=0),"""",OR(AND(K250&gt;=1000000000,OR(Y250&gt;=1000000000,COUNTA(Q250:Q1673)=0)),OR(Y250&gt;=1000000000,AND(COUNTA(C250:C1673)=0,P$3=TRUE))),
ROUNDDOWN((AB$1-AC$1)*MAX(INDEX(T$4:T1673,MATCH(LARGE(FILTER(Y$4:Y1673,Y$4"&amp;":Y1673&lt;1000000000),1),Y$4:Y1673)),INDEX(F$4:F1673,MATCH(LARGE(FILTER(K$4:K1673,K$4:K1673&lt;1000000000),1),K$4:K1673)))),AND(K250&lt;1000000000,COUNTA(C250:C1673)&gt;0,P$3=FALSE),
ROUNDDOWN(INDEX(Y$4:Y1673,MATCH(LARGE(FILTER(W$4:W1673,W$4:W1673&lt;=I250),1),W$4:W1673"&amp;"))+(I250-LARGE(FILTER(W$4:W1673,W$4:W1673&lt;=I250),1))*INDEX(T$4:T1673,MATCH(LARGE(FILTER(W$4:W1673,W$4:W1673&lt;=I250),1),W$4:W1673))-K250),1,
ROUNDDOWN(Y250-INDEX(K$4:K1673,MATCH(LARGE(FILTER(I$4:I1673,I$4:I1673&lt;=W250),1),I$4:I1673))-(W250-LARGE(FILTER(I$4:I"&amp;"1673,I$4:I1673&lt;=W250),1))*INDEX(F$4:F1673,MATCH(LARGE(FILTER(I$4:I1673,I$4:I1673&lt;=W250),1),I$4:I1673))))"),3.7777815E7)</f>
        <v>37777815</v>
      </c>
      <c r="N250" s="60">
        <f t="shared" si="8"/>
        <v>-221.59887</v>
      </c>
      <c r="O250" s="61" t="str">
        <f t="shared" si="9"/>
        <v>37,8M</v>
      </c>
      <c r="P250" s="56">
        <f t="shared" si="10"/>
        <v>9</v>
      </c>
      <c r="Q250" s="105" t="s">
        <v>64</v>
      </c>
      <c r="R250" s="10"/>
      <c r="S250" s="59">
        <f t="array" ref="S250">IF(COUNTA(Q250:Q1673)=0,"",SUM((COUNTIF(Q$4:Q250,Upgrades!$B$3:$B$13)-COUNTIF(Q$4:Q250,"Sell_"&amp;Upgrades!$B$3:$B$13))*Upgrades!$D$3:$D$13))</f>
        <v>186308</v>
      </c>
      <c r="T250" s="66">
        <f>IFERROR(__xludf.DUMMYFUNCTION("IF(COUNTA(Q250:Q1673)=0,"""",IF(REGEXMATCH(INDEX(FILTER(Q$4:Q250,Q$4:Q250&lt;&gt;""""),ROWS(FILTER(Q$4:Q250,Q$4:Q250&lt;&gt;""""))),""^Sell_""),INDEX(FILTER(T$4:T249,Q$4:Q249&lt;&gt;""""),ROWS(FILTER(Q$4:Q249,Q$4:Q249&lt;&gt;""""))),$AD$5+S250))"),211921.0)</f>
        <v>211921</v>
      </c>
      <c r="U250" s="10">
        <f>IFERROR(__xludf.DUMMYFUNCTION("IF(COUNTA(Q250:Q1673)=0,"""",IF(Q250="""",0,IF(REGEXMATCH(Q250,""^Sell_""),-ROUNDDOWN(ROUNDUP(INDEX(Upgrades!$C$3:$C$13,MATCH(SUBSTITUTE(Q250,""Sell_"",""""),Upgrades!$B$3:$B$13,0))*1.15^(COUNTIF(Q$4:Q249,SUBSTITUTE(Q250,""Sell_"",""""))-COUNTIF(Q$4:Q249,"&amp;"""Sell_""&amp;SUBSTITUTE(Q250,""Sell_"",""""))))/2),ROUNDUP(INDEX(Upgrades!$C$3:$C$13,MATCH(Q250,Upgrades!$B$3:$B$13,0))*1.15^(COUNTIF(Q$4:Q249,Q250)-COUNTIF(Q$4:Q249,""Sell_""&amp;Q250))))))"),-5896419.0)</f>
        <v>-5896419</v>
      </c>
      <c r="V250" s="10">
        <f t="shared" si="11"/>
        <v>-23942519</v>
      </c>
      <c r="W250" s="68">
        <f t="shared" si="12"/>
        <v>5573.214753</v>
      </c>
      <c r="X250" s="59" t="str">
        <f t="shared" si="13"/>
        <v>1h 32m 53s</v>
      </c>
      <c r="Y250" s="69">
        <f t="shared" si="14"/>
        <v>251587394</v>
      </c>
      <c r="Z250" s="11"/>
    </row>
    <row r="251">
      <c r="A251" s="8"/>
      <c r="B251" s="56" t="str">
        <f t="shared" si="2"/>
        <v/>
      </c>
      <c r="C251" s="105"/>
      <c r="D251" s="10"/>
      <c r="E251" s="59" t="str">
        <f t="array" ref="E251">IF(COUNTA(C251:C1673)=0,"",SUM((COUNTIF(C$4:C251,Upgrades!$B$3:$B$13)-COUNTIF(C$4:C251,"Sell_"&amp;Upgrades!$B$3:$B$13))*Upgrades!$D$3:$D$13))</f>
        <v/>
      </c>
      <c r="F251" s="66" t="str">
        <f>IFERROR(__xludf.DUMMYFUNCTION("IF(COUNTA(C251:C1673)=0,"""",IF(REGEXMATCH(INDEX(FILTER(C$4:C251,C$4:C251&lt;&gt;""""),ROWS(FILTER(C$4:C251,C$4:C251&lt;&gt;""""))),""^Sell_""),INDEX(FILTER(F$4:F250,C$4:C250&lt;&gt;""""),ROWS(FILTER(C$4:C250,C$4:C250&lt;&gt;""""))),$AC$5+E251))"),"")</f>
        <v/>
      </c>
      <c r="G251" s="10" t="str">
        <f>IFERROR(__xludf.DUMMYFUNCTION("IF(COUNTA(C251:C1673)=0,"""",IF(C251="""",0,IF(REGEXMATCH(C251,""^Sell_""),-ROUNDDOWN(ROUNDUP(INDEX(Upgrades!$C$3:$C$13,MATCH(SUBSTITUTE(C251,""Sell_"",""""),Upgrades!$B$3:$B$13,0))*1.15^(COUNTIF(C$4:C250,SUBSTITUTE(C251,""Sell_"",""""))-COUNTIF(C$4:C250,"&amp;"""Sell_""&amp;SUBSTITUTE(C251,""Sell_"",""""))))/2),ROUNDUP(INDEX(Upgrades!$C$3:$C$13,MATCH(C251,Upgrades!$B$3:$B$13,0))*1.15^(COUNTIF(C$4:C250,C251)-COUNTIF(C$4:C250,""Sell_""&amp;C251))))))"),"")</f>
        <v/>
      </c>
      <c r="H251" s="10" t="str">
        <f t="shared" si="3"/>
        <v/>
      </c>
      <c r="I251" s="68" t="str">
        <f t="shared" si="4"/>
        <v/>
      </c>
      <c r="J251" s="59" t="str">
        <f t="shared" si="5"/>
        <v/>
      </c>
      <c r="K251" s="69" t="str">
        <f t="shared" si="6"/>
        <v/>
      </c>
      <c r="L251" s="60">
        <f t="shared" si="7"/>
        <v>-221.59887</v>
      </c>
      <c r="M251" s="61">
        <f>IFERROR(__xludf.DUMMYFUNCTION("IFS(AND(COUNTA(C251:C1673)=0,COUNTA(Q251:Q1673)=0),"""",OR(AND(K251&gt;=1000000000,OR(Y251&gt;=1000000000,COUNTA(Q251:Q1673)=0)),OR(Y251&gt;=1000000000,AND(COUNTA(C251:C1673)=0,P$3=TRUE))),
ROUNDDOWN((AB$1-AC$1)*MAX(INDEX(T$4:T1673,MATCH(LARGE(FILTER(Y$4:Y1673,Y$4"&amp;":Y1673&lt;1000000000),1),Y$4:Y1673)),INDEX(F$4:F1673,MATCH(LARGE(FILTER(K$4:K1673,K$4:K1673&lt;1000000000),1),K$4:K1673)))),AND(K251&lt;1000000000,COUNTA(C251:C1673)&gt;0,P$3=FALSE),
ROUNDDOWN(INDEX(Y$4:Y1673,MATCH(LARGE(FILTER(W$4:W1673,W$4:W1673&lt;=I251),1),W$4:W1673"&amp;"))+(I251-LARGE(FILTER(W$4:W1673,W$4:W1673&lt;=I251),1))*INDEX(T$4:T1673,MATCH(LARGE(FILTER(W$4:W1673,W$4:W1673&lt;=I251),1),W$4:W1673))-K251),1,
ROUNDDOWN(Y251-INDEX(K$4:K1673,MATCH(LARGE(FILTER(I$4:I1673,I$4:I1673&lt;=W251),1),I$4:I1673))-(W251-LARGE(FILTER(I$4:I"&amp;"1673,I$4:I1673&lt;=W251),1))*INDEX(F$4:F1673,MATCH(LARGE(FILTER(I$4:I1673,I$4:I1673&lt;=W251),1),I$4:I1673))))"),3.7777815E7)</f>
        <v>37777815</v>
      </c>
      <c r="N251" s="60">
        <f t="shared" si="8"/>
        <v>-221.59887</v>
      </c>
      <c r="O251" s="61" t="str">
        <f t="shared" si="9"/>
        <v>37,8M</v>
      </c>
      <c r="P251" s="56">
        <f t="shared" si="10"/>
        <v>10</v>
      </c>
      <c r="Q251" s="105" t="s">
        <v>64</v>
      </c>
      <c r="R251" s="10"/>
      <c r="S251" s="59">
        <f t="array" ref="S251">IF(COUNTA(Q251:Q1673)=0,"",SUM((COUNTIF(Q$4:Q251,Upgrades!$B$3:$B$13)-COUNTIF(Q$4:Q251,"Sell_"&amp;Upgrades!$B$3:$B$13))*Upgrades!$D$3:$D$13))</f>
        <v>179642</v>
      </c>
      <c r="T251" s="66">
        <f>IFERROR(__xludf.DUMMYFUNCTION("IF(COUNTA(Q251:Q1673)=0,"""",IF(REGEXMATCH(INDEX(FILTER(Q$4:Q251,Q$4:Q251&lt;&gt;""""),ROWS(FILTER(Q$4:Q251,Q$4:Q251&lt;&gt;""""))),""^Sell_""),INDEX(FILTER(T$4:T250,Q$4:Q250&lt;&gt;""""),ROWS(FILTER(Q$4:Q250,Q$4:Q250&lt;&gt;""""))),$AD$5+S251))"),211921.0)</f>
        <v>211921</v>
      </c>
      <c r="U251" s="10">
        <f>IFERROR(__xludf.DUMMYFUNCTION("IF(COUNTA(Q251:Q1673)=0,"""",IF(Q251="""",0,IF(REGEXMATCH(Q251,""^Sell_""),-ROUNDDOWN(ROUNDUP(INDEX(Upgrades!$C$3:$C$13,MATCH(SUBSTITUTE(Q251,""Sell_"",""""),Upgrades!$B$3:$B$13,0))*1.15^(COUNTIF(Q$4:Q250,SUBSTITUTE(Q251,""Sell_"",""""))-COUNTIF(Q$4:Q250,"&amp;"""Sell_""&amp;SUBSTITUTE(Q251,""Sell_"",""""))))/2),ROUNDUP(INDEX(Upgrades!$C$3:$C$13,MATCH(Q251,Upgrades!$B$3:$B$13,0))*1.15^(COUNTIF(Q$4:Q250,Q251)-COUNTIF(Q$4:Q250,""Sell_""&amp;Q251))))))"),-5127321.0)</f>
        <v>-5127321</v>
      </c>
      <c r="V251" s="10">
        <f t="shared" si="11"/>
        <v>-29069840</v>
      </c>
      <c r="W251" s="68">
        <f t="shared" si="12"/>
        <v>5573.214753</v>
      </c>
      <c r="X251" s="59" t="str">
        <f t="shared" si="13"/>
        <v>1h 32m 53s</v>
      </c>
      <c r="Y251" s="69">
        <f t="shared" si="14"/>
        <v>251587394</v>
      </c>
      <c r="Z251" s="11"/>
    </row>
    <row r="252">
      <c r="A252" s="8"/>
      <c r="B252" s="56" t="str">
        <f t="shared" si="2"/>
        <v/>
      </c>
      <c r="C252" s="105"/>
      <c r="D252" s="10"/>
      <c r="E252" s="59" t="str">
        <f t="array" ref="E252">IF(COUNTA(C252:C1673)=0,"",SUM((COUNTIF(C$4:C252,Upgrades!$B$3:$B$13)-COUNTIF(C$4:C252,"Sell_"&amp;Upgrades!$B$3:$B$13))*Upgrades!$D$3:$D$13))</f>
        <v/>
      </c>
      <c r="F252" s="66" t="str">
        <f>IFERROR(__xludf.DUMMYFUNCTION("IF(COUNTA(C252:C1673)=0,"""",IF(REGEXMATCH(INDEX(FILTER(C$4:C252,C$4:C252&lt;&gt;""""),ROWS(FILTER(C$4:C252,C$4:C252&lt;&gt;""""))),""^Sell_""),INDEX(FILTER(F$4:F251,C$4:C251&lt;&gt;""""),ROWS(FILTER(C$4:C251,C$4:C251&lt;&gt;""""))),$AC$5+E252))"),"")</f>
        <v/>
      </c>
      <c r="G252" s="10" t="str">
        <f>IFERROR(__xludf.DUMMYFUNCTION("IF(COUNTA(C252:C1673)=0,"""",IF(C252="""",0,IF(REGEXMATCH(C252,""^Sell_""),-ROUNDDOWN(ROUNDUP(INDEX(Upgrades!$C$3:$C$13,MATCH(SUBSTITUTE(C252,""Sell_"",""""),Upgrades!$B$3:$B$13,0))*1.15^(COUNTIF(C$4:C251,SUBSTITUTE(C252,""Sell_"",""""))-COUNTIF(C$4:C251,"&amp;"""Sell_""&amp;SUBSTITUTE(C252,""Sell_"",""""))))/2),ROUNDUP(INDEX(Upgrades!$C$3:$C$13,MATCH(C252,Upgrades!$B$3:$B$13,0))*1.15^(COUNTIF(C$4:C251,C252)-COUNTIF(C$4:C251,""Sell_""&amp;C252))))))"),"")</f>
        <v/>
      </c>
      <c r="H252" s="10" t="str">
        <f t="shared" si="3"/>
        <v/>
      </c>
      <c r="I252" s="68" t="str">
        <f t="shared" si="4"/>
        <v/>
      </c>
      <c r="J252" s="59" t="str">
        <f t="shared" si="5"/>
        <v/>
      </c>
      <c r="K252" s="69" t="str">
        <f t="shared" si="6"/>
        <v/>
      </c>
      <c r="L252" s="60">
        <f t="shared" si="7"/>
        <v>-221.59887</v>
      </c>
      <c r="M252" s="61">
        <f>IFERROR(__xludf.DUMMYFUNCTION("IFS(AND(COUNTA(C252:C1673)=0,COUNTA(Q252:Q1673)=0),"""",OR(AND(K252&gt;=1000000000,OR(Y252&gt;=1000000000,COUNTA(Q252:Q1673)=0)),OR(Y252&gt;=1000000000,AND(COUNTA(C252:C1673)=0,P$3=TRUE))),
ROUNDDOWN((AB$1-AC$1)*MAX(INDEX(T$4:T1673,MATCH(LARGE(FILTER(Y$4:Y1673,Y$4"&amp;":Y1673&lt;1000000000),1),Y$4:Y1673)),INDEX(F$4:F1673,MATCH(LARGE(FILTER(K$4:K1673,K$4:K1673&lt;1000000000),1),K$4:K1673)))),AND(K252&lt;1000000000,COUNTA(C252:C1673)&gt;0,P$3=FALSE),
ROUNDDOWN(INDEX(Y$4:Y1673,MATCH(LARGE(FILTER(W$4:W1673,W$4:W1673&lt;=I252),1),W$4:W1673"&amp;"))+(I252-LARGE(FILTER(W$4:W1673,W$4:W1673&lt;=I252),1))*INDEX(T$4:T1673,MATCH(LARGE(FILTER(W$4:W1673,W$4:W1673&lt;=I252),1),W$4:W1673))-K252),1,
ROUNDDOWN(Y252-INDEX(K$4:K1673,MATCH(LARGE(FILTER(I$4:I1673,I$4:I1673&lt;=W252),1),I$4:I1673))-(W252-LARGE(FILTER(I$4:I"&amp;"1673,I$4:I1673&lt;=W252),1))*INDEX(F$4:F1673,MATCH(LARGE(FILTER(I$4:I1673,I$4:I1673&lt;=W252),1),I$4:I1673))))"),3.7777815E7)</f>
        <v>37777815</v>
      </c>
      <c r="N252" s="60">
        <f t="shared" si="8"/>
        <v>-221.59887</v>
      </c>
      <c r="O252" s="61" t="str">
        <f t="shared" si="9"/>
        <v>37,8M</v>
      </c>
      <c r="P252" s="56">
        <f t="shared" si="10"/>
        <v>11</v>
      </c>
      <c r="Q252" s="105" t="s">
        <v>64</v>
      </c>
      <c r="R252" s="10"/>
      <c r="S252" s="59">
        <f t="array" ref="S252">IF(COUNTA(Q252:Q1673)=0,"",SUM((COUNTIF(Q$4:Q252,Upgrades!$B$3:$B$13)-COUNTIF(Q$4:Q252,"Sell_"&amp;Upgrades!$B$3:$B$13))*Upgrades!$D$3:$D$13))</f>
        <v>172976</v>
      </c>
      <c r="T252" s="66">
        <f>IFERROR(__xludf.DUMMYFUNCTION("IF(COUNTA(Q252:Q1673)=0,"""",IF(REGEXMATCH(INDEX(FILTER(Q$4:Q252,Q$4:Q252&lt;&gt;""""),ROWS(FILTER(Q$4:Q252,Q$4:Q252&lt;&gt;""""))),""^Sell_""),INDEX(FILTER(T$4:T251,Q$4:Q251&lt;&gt;""""),ROWS(FILTER(Q$4:Q251,Q$4:Q251&lt;&gt;""""))),$AD$5+S252))"),211921.0)</f>
        <v>211921</v>
      </c>
      <c r="U252" s="10">
        <f>IFERROR(__xludf.DUMMYFUNCTION("IF(COUNTA(Q252:Q1673)=0,"""",IF(Q252="""",0,IF(REGEXMATCH(Q252,""^Sell_""),-ROUNDDOWN(ROUNDUP(INDEX(Upgrades!$C$3:$C$13,MATCH(SUBSTITUTE(Q252,""Sell_"",""""),Upgrades!$B$3:$B$13,0))*1.15^(COUNTIF(Q$4:Q251,SUBSTITUTE(Q252,""Sell_"",""""))-COUNTIF(Q$4:Q251,"&amp;"""Sell_""&amp;SUBSTITUTE(Q252,""Sell_"",""""))))/2),ROUNDUP(INDEX(Upgrades!$C$3:$C$13,MATCH(Q252,Upgrades!$B$3:$B$13,0))*1.15^(COUNTIF(Q$4:Q251,Q252)-COUNTIF(Q$4:Q251,""Sell_""&amp;Q252))))))"),-4458540.0)</f>
        <v>-4458540</v>
      </c>
      <c r="V252" s="10">
        <f t="shared" si="11"/>
        <v>-33528380</v>
      </c>
      <c r="W252" s="68">
        <f t="shared" si="12"/>
        <v>5573.214753</v>
      </c>
      <c r="X252" s="59" t="str">
        <f t="shared" si="13"/>
        <v>1h 32m 53s</v>
      </c>
      <c r="Y252" s="69">
        <f t="shared" si="14"/>
        <v>251587394</v>
      </c>
      <c r="Z252" s="11"/>
    </row>
    <row r="253">
      <c r="A253" s="8"/>
      <c r="B253" s="56" t="str">
        <f t="shared" si="2"/>
        <v/>
      </c>
      <c r="C253" s="105"/>
      <c r="D253" s="10"/>
      <c r="E253" s="59" t="str">
        <f t="array" ref="E253">IF(COUNTA(C253:C1673)=0,"",SUM((COUNTIF(C$4:C253,Upgrades!$B$3:$B$13)-COUNTIF(C$4:C253,"Sell_"&amp;Upgrades!$B$3:$B$13))*Upgrades!$D$3:$D$13))</f>
        <v/>
      </c>
      <c r="F253" s="66" t="str">
        <f>IFERROR(__xludf.DUMMYFUNCTION("IF(COUNTA(C253:C1673)=0,"""",IF(REGEXMATCH(INDEX(FILTER(C$4:C253,C$4:C253&lt;&gt;""""),ROWS(FILTER(C$4:C253,C$4:C253&lt;&gt;""""))),""^Sell_""),INDEX(FILTER(F$4:F252,C$4:C252&lt;&gt;""""),ROWS(FILTER(C$4:C252,C$4:C252&lt;&gt;""""))),$AC$5+E253))"),"")</f>
        <v/>
      </c>
      <c r="G253" s="10" t="str">
        <f>IFERROR(__xludf.DUMMYFUNCTION("IF(COUNTA(C253:C1673)=0,"""",IF(C253="""",0,IF(REGEXMATCH(C253,""^Sell_""),-ROUNDDOWN(ROUNDUP(INDEX(Upgrades!$C$3:$C$13,MATCH(SUBSTITUTE(C253,""Sell_"",""""),Upgrades!$B$3:$B$13,0))*1.15^(COUNTIF(C$4:C252,SUBSTITUTE(C253,""Sell_"",""""))-COUNTIF(C$4:C252,"&amp;"""Sell_""&amp;SUBSTITUTE(C253,""Sell_"",""""))))/2),ROUNDUP(INDEX(Upgrades!$C$3:$C$13,MATCH(C253,Upgrades!$B$3:$B$13,0))*1.15^(COUNTIF(C$4:C252,C253)-COUNTIF(C$4:C252,""Sell_""&amp;C253))))))"),"")</f>
        <v/>
      </c>
      <c r="H253" s="10" t="str">
        <f t="shared" si="3"/>
        <v/>
      </c>
      <c r="I253" s="68" t="str">
        <f t="shared" si="4"/>
        <v/>
      </c>
      <c r="J253" s="59" t="str">
        <f t="shared" si="5"/>
        <v/>
      </c>
      <c r="K253" s="69" t="str">
        <f t="shared" si="6"/>
        <v/>
      </c>
      <c r="L253" s="60">
        <f t="shared" si="7"/>
        <v>-220.39435</v>
      </c>
      <c r="M253" s="61">
        <f>IFERROR(__xludf.DUMMYFUNCTION("IFS(AND(COUNTA(C253:C1673)=0,COUNTA(Q253:Q1673)=0),"""",OR(AND(K253&gt;=1000000000,OR(Y253&gt;=1000000000,COUNTA(Q253:Q1673)=0)),OR(Y253&gt;=1000000000,AND(COUNTA(C253:C1673)=0,P$3=TRUE))),
ROUNDDOWN((AB$1-AC$1)*MAX(INDEX(T$4:T1673,MATCH(LARGE(FILTER(Y$4:Y1673,Y$4"&amp;":Y1673&lt;1000000000),1),Y$4:Y1673)),INDEX(F$4:F1673,MATCH(LARGE(FILTER(K$4:K1673,K$4:K1673&lt;1000000000),1),K$4:K1673)))),AND(K253&lt;1000000000,COUNTA(C253:C1673)&gt;0,P$3=FALSE),
ROUNDDOWN(INDEX(Y$4:Y1673,MATCH(LARGE(FILTER(W$4:W1673,W$4:W1673&lt;=I253),1),W$4:W1673"&amp;"))+(I253-LARGE(FILTER(W$4:W1673,W$4:W1673&lt;=I253),1))*INDEX(T$4:T1673,MATCH(LARGE(FILTER(W$4:W1673,W$4:W1673&lt;=I253),1),W$4:W1673))-K253),1,
ROUNDDOWN(Y253-INDEX(K$4:K1673,MATCH(LARGE(FILTER(I$4:I1673,I$4:I1673&lt;=W253),1),I$4:I1673))-(W253-LARGE(FILTER(I$4:I"&amp;"1673,I$4:I1673&lt;=W253),1))*INDEX(F$4:F1673,MATCH(LARGE(FILTER(I$4:I1673,I$4:I1673&lt;=W253),1),I$4:I1673))))"),4.6816388E7)</f>
        <v>46816388</v>
      </c>
      <c r="N253" s="60">
        <f t="shared" si="8"/>
        <v>-220.39435</v>
      </c>
      <c r="O253" s="61" t="str">
        <f t="shared" si="9"/>
        <v>46,8M</v>
      </c>
      <c r="P253" s="56">
        <f t="shared" si="10"/>
        <v>2</v>
      </c>
      <c r="Q253" s="105" t="s">
        <v>11</v>
      </c>
      <c r="R253" s="10"/>
      <c r="S253" s="59">
        <f t="array" ref="S253">IF(COUNTA(Q253:Q1673)=0,"",SUM((COUNTIF(Q$4:Q253,Upgrades!$B$3:$B$13)-COUNTIF(Q$4:Q253,"Sell_"&amp;Upgrades!$B$3:$B$13))*Upgrades!$D$3:$D$13))</f>
        <v>271741</v>
      </c>
      <c r="T253" s="66">
        <f>IFERROR(__xludf.DUMMYFUNCTION("IF(COUNTA(Q253:Q1673)=0,"""",IF(REGEXMATCH(INDEX(FILTER(Q$4:Q253,Q$4:Q253&lt;&gt;""""),ROWS(FILTER(Q$4:Q253,Q$4:Q253&lt;&gt;""""))),""^Sell_""),INDEX(FILTER(T$4:T252,Q$4:Q252&lt;&gt;""""),ROWS(FILTER(Q$4:Q252,Q$4:Q252&lt;&gt;""""))),$AD$5+S253))"),271756.0)</f>
        <v>271756</v>
      </c>
      <c r="U253" s="10">
        <f>IFERROR(__xludf.DUMMYFUNCTION("IF(COUNTA(Q253:Q1673)=0,"""",IF(Q253="""",0,IF(REGEXMATCH(Q253,""^Sell_""),-ROUNDDOWN(ROUNDUP(INDEX(Upgrades!$C$3:$C$13,MATCH(SUBSTITUTE(Q253,""Sell_"",""""),Upgrades!$B$3:$B$13,0))*1.15^(COUNTIF(Q$4:Q252,SUBSTITUTE(Q253,""Sell_"",""""))-COUNTIF(Q$4:Q252,"&amp;"""Sell_""&amp;SUBSTITUTE(Q253,""Sell_"",""""))))/2),ROUNDUP(INDEX(Upgrades!$C$3:$C$13,MATCH(Q253,Upgrades!$B$3:$B$13,0))*1.15^(COUNTIF(Q$4:Q252,Q253)-COUNTIF(Q$4:Q252,""Sell_""&amp;Q253))))))"),1.41975308E8)</f>
        <v>141975308</v>
      </c>
      <c r="V253" s="10">
        <f t="shared" si="11"/>
        <v>108446928</v>
      </c>
      <c r="W253" s="68">
        <f t="shared" si="12"/>
        <v>6084.947559</v>
      </c>
      <c r="X253" s="59" t="str">
        <f t="shared" si="13"/>
        <v>1h 41m 24s</v>
      </c>
      <c r="Y253" s="69">
        <f t="shared" si="14"/>
        <v>360034322</v>
      </c>
      <c r="Z253" s="11"/>
    </row>
    <row r="254">
      <c r="A254" s="8"/>
      <c r="B254" s="56" t="str">
        <f t="shared" si="2"/>
        <v/>
      </c>
      <c r="C254" s="105"/>
      <c r="D254" s="10"/>
      <c r="E254" s="59" t="str">
        <f t="array" ref="E254">IF(COUNTA(C254:C1673)=0,"",SUM((COUNTIF(C$4:C254,Upgrades!$B$3:$B$13)-COUNTIF(C$4:C254,"Sell_"&amp;Upgrades!$B$3:$B$13))*Upgrades!$D$3:$D$13))</f>
        <v/>
      </c>
      <c r="F254" s="66" t="str">
        <f>IFERROR(__xludf.DUMMYFUNCTION("IF(COUNTA(C254:C1673)=0,"""",IF(REGEXMATCH(INDEX(FILTER(C$4:C254,C$4:C254&lt;&gt;""""),ROWS(FILTER(C$4:C254,C$4:C254&lt;&gt;""""))),""^Sell_""),INDEX(FILTER(F$4:F253,C$4:C253&lt;&gt;""""),ROWS(FILTER(C$4:C253,C$4:C253&lt;&gt;""""))),$AC$5+E254))"),"")</f>
        <v/>
      </c>
      <c r="G254" s="10" t="str">
        <f>IFERROR(__xludf.DUMMYFUNCTION("IF(COUNTA(C254:C1673)=0,"""",IF(C254="""",0,IF(REGEXMATCH(C254,""^Sell_""),-ROUNDDOWN(ROUNDUP(INDEX(Upgrades!$C$3:$C$13,MATCH(SUBSTITUTE(C254,""Sell_"",""""),Upgrades!$B$3:$B$13,0))*1.15^(COUNTIF(C$4:C253,SUBSTITUTE(C254,""Sell_"",""""))-COUNTIF(C$4:C253,"&amp;"""Sell_""&amp;SUBSTITUTE(C254,""Sell_"",""""))))/2),ROUNDUP(INDEX(Upgrades!$C$3:$C$13,MATCH(C254,Upgrades!$B$3:$B$13,0))*1.15^(COUNTIF(C$4:C253,C254)-COUNTIF(C$4:C253,""Sell_""&amp;C254))))))"),"")</f>
        <v/>
      </c>
      <c r="H254" s="10" t="str">
        <f t="shared" si="3"/>
        <v/>
      </c>
      <c r="I254" s="68" t="str">
        <f t="shared" si="4"/>
        <v/>
      </c>
      <c r="J254" s="59" t="str">
        <f t="shared" si="5"/>
        <v/>
      </c>
      <c r="K254" s="69" t="str">
        <f t="shared" si="6"/>
        <v/>
      </c>
      <c r="L254" s="60">
        <f t="shared" si="7"/>
        <v>-220.43546</v>
      </c>
      <c r="M254" s="61">
        <f>IFERROR(__xludf.DUMMYFUNCTION("IFS(AND(COUNTA(C254:C1673)=0,COUNTA(Q254:Q1673)=0),"""",OR(AND(K254&gt;=1000000000,OR(Y254&gt;=1000000000,COUNTA(Q254:Q1673)=0)),OR(Y254&gt;=1000000000,AND(COUNTA(C254:C1673)=0,P$3=TRUE))),
ROUNDDOWN((AB$1-AC$1)*MAX(INDEX(T$4:T1673,MATCH(LARGE(FILTER(Y$4:Y1673,Y$4"&amp;":Y1673&lt;1000000000),1),Y$4:Y1673)),INDEX(F$4:F1673,MATCH(LARGE(FILTER(K$4:K1673,K$4:K1673&lt;1000000000),1),K$4:K1673)))),AND(K254&lt;1000000000,COUNTA(C254:C1673)&gt;0,P$3=FALSE),
ROUNDDOWN(INDEX(Y$4:Y1673,MATCH(LARGE(FILTER(W$4:W1673,W$4:W1673&lt;=I254),1),W$4:W1673"&amp;"))+(I254-LARGE(FILTER(W$4:W1673,W$4:W1673&lt;=I254),1))*INDEX(T$4:T1673,MATCH(LARGE(FILTER(W$4:W1673,W$4:W1673&lt;=I254),1),W$4:W1673))-K254),1,
ROUNDDOWN(Y254-INDEX(K$4:K1673,MATCH(LARGE(FILTER(I$4:I1673,I$4:I1673&lt;=W254),1),I$4:I1673))-(W254-LARGE(FILTER(I$4:I"&amp;"1673,I$4:I1673&lt;=W254),1))*INDEX(F$4:F1673,MATCH(LARGE(FILTER(I$4:I1673,I$4:I1673&lt;=W254),1),I$4:I1673))))"),4.6825121E7)</f>
        <v>46825121</v>
      </c>
      <c r="N254" s="60">
        <f t="shared" si="8"/>
        <v>-220.43546</v>
      </c>
      <c r="O254" s="61" t="str">
        <f t="shared" si="9"/>
        <v>46,8M</v>
      </c>
      <c r="P254" s="56">
        <f t="shared" si="10"/>
        <v>1</v>
      </c>
      <c r="Q254" s="105" t="s">
        <v>8</v>
      </c>
      <c r="R254" s="10"/>
      <c r="S254" s="59">
        <f t="array" ref="S254">IF(COUNTA(Q254:Q1673)=0,"",SUM((COUNTIF(Q$4:Q254,Upgrades!$B$3:$B$13)-COUNTIF(Q$4:Q254,"Sell_"&amp;Upgrades!$B$3:$B$13))*Upgrades!$D$3:$D$13))</f>
        <v>271841</v>
      </c>
      <c r="T254" s="66">
        <f>IFERROR(__xludf.DUMMYFUNCTION("IF(COUNTA(Q254:Q1673)=0,"""",IF(REGEXMATCH(INDEX(FILTER(Q$4:Q254,Q$4:Q254&lt;&gt;""""),ROWS(FILTER(Q$4:Q254,Q$4:Q254&lt;&gt;""""))),""^Sell_""),INDEX(FILTER(T$4:T253,Q$4:Q253&lt;&gt;""""),ROWS(FILTER(Q$4:Q253,Q$4:Q253&lt;&gt;""""))),$AD$5+S254))"),271856.0)</f>
        <v>271856</v>
      </c>
      <c r="U254" s="10">
        <f>IFERROR(__xludf.DUMMYFUNCTION("IF(COUNTA(Q254:Q1673)=0,"""",IF(Q254="""",0,IF(REGEXMATCH(Q254,""^Sell_""),-ROUNDDOWN(ROUNDUP(INDEX(Upgrades!$C$3:$C$13,MATCH(SUBSTITUTE(Q254,""Sell_"",""""),Upgrades!$B$3:$B$13,0))*1.15^(COUNTIF(Q$4:Q253,SUBSTITUTE(Q254,""Sell_"",""""))-COUNTIF(Q$4:Q253,"&amp;"""Sell_""&amp;SUBSTITUTE(Q254,""Sell_"",""""))))/2),ROUNDUP(INDEX(Upgrades!$C$3:$C$13,MATCH(Q254,Upgrades!$B$3:$B$13,0))*1.15^(COUNTIF(Q$4:Q253,Q254)-COUNTIF(Q$4:Q253,""Sell_""&amp;Q254))))))"),40000.0)</f>
        <v>40000</v>
      </c>
      <c r="V254" s="10">
        <f t="shared" si="11"/>
        <v>40000</v>
      </c>
      <c r="W254" s="68">
        <f t="shared" si="12"/>
        <v>6085.09475</v>
      </c>
      <c r="X254" s="59" t="str">
        <f t="shared" si="13"/>
        <v>1h 41m 25s</v>
      </c>
      <c r="Y254" s="69">
        <f t="shared" si="14"/>
        <v>360074322</v>
      </c>
      <c r="Z254" s="11"/>
    </row>
    <row r="255">
      <c r="A255" s="8"/>
      <c r="B255" s="56" t="str">
        <f t="shared" si="2"/>
        <v/>
      </c>
      <c r="C255" s="105"/>
      <c r="D255" s="10"/>
      <c r="E255" s="59" t="str">
        <f t="array" ref="E255">IF(COUNTA(C255:C1673)=0,"",SUM((COUNTIF(C$4:C255,Upgrades!$B$3:$B$13)-COUNTIF(C$4:C255,"Sell_"&amp;Upgrades!$B$3:$B$13))*Upgrades!$D$3:$D$13))</f>
        <v/>
      </c>
      <c r="F255" s="66" t="str">
        <f>IFERROR(__xludf.DUMMYFUNCTION("IF(COUNTA(C255:C1673)=0,"""",IF(REGEXMATCH(INDEX(FILTER(C$4:C255,C$4:C255&lt;&gt;""""),ROWS(FILTER(C$4:C255,C$4:C255&lt;&gt;""""))),""^Sell_""),INDEX(FILTER(F$4:F254,C$4:C254&lt;&gt;""""),ROWS(FILTER(C$4:C254,C$4:C254&lt;&gt;""""))),$AC$5+E255))"),"")</f>
        <v/>
      </c>
      <c r="G255" s="10" t="str">
        <f>IFERROR(__xludf.DUMMYFUNCTION("IF(COUNTA(C255:C1673)=0,"""",IF(C255="""",0,IF(REGEXMATCH(C255,""^Sell_""),-ROUNDDOWN(ROUNDUP(INDEX(Upgrades!$C$3:$C$13,MATCH(SUBSTITUTE(C255,""Sell_"",""""),Upgrades!$B$3:$B$13,0))*1.15^(COUNTIF(C$4:C254,SUBSTITUTE(C255,""Sell_"",""""))-COUNTIF(C$4:C254,"&amp;"""Sell_""&amp;SUBSTITUTE(C255,""Sell_"",""""))))/2),ROUNDUP(INDEX(Upgrades!$C$3:$C$13,MATCH(C255,Upgrades!$B$3:$B$13,0))*1.15^(COUNTIF(C$4:C254,C255)-COUNTIF(C$4:C254,""Sell_""&amp;C255))))))"),"")</f>
        <v/>
      </c>
      <c r="H255" s="10" t="str">
        <f t="shared" si="3"/>
        <v/>
      </c>
      <c r="I255" s="68" t="str">
        <f t="shared" si="4"/>
        <v/>
      </c>
      <c r="J255" s="59" t="str">
        <f t="shared" si="5"/>
        <v/>
      </c>
      <c r="K255" s="69" t="str">
        <f t="shared" si="6"/>
        <v/>
      </c>
      <c r="L255" s="60">
        <f t="shared" si="7"/>
        <v>-220.4828</v>
      </c>
      <c r="M255" s="61">
        <f>IFERROR(__xludf.DUMMYFUNCTION("IFS(AND(COUNTA(C255:C1673)=0,COUNTA(Q255:Q1673)=0),"""",OR(AND(K255&gt;=1000000000,OR(Y255&gt;=1000000000,COUNTA(Q255:Q1673)=0)),OR(Y255&gt;=1000000000,AND(COUNTA(C255:C1673)=0,P$3=TRUE))),
ROUNDDOWN((AB$1-AC$1)*MAX(INDEX(T$4:T1673,MATCH(LARGE(FILTER(Y$4:Y1673,Y$4"&amp;":Y1673&lt;1000000000),1),Y$4:Y1673)),INDEX(F$4:F1673,MATCH(LARGE(FILTER(K$4:K1673,K$4:K1673&lt;1000000000),1),K$4:K1673)))),AND(K255&lt;1000000000,COUNTA(C255:C1673)&gt;0,P$3=FALSE),
ROUNDDOWN(INDEX(Y$4:Y1673,MATCH(LARGE(FILTER(W$4:W1673,W$4:W1673&lt;=I255),1),W$4:W1673"&amp;"))+(I255-LARGE(FILTER(W$4:W1673,W$4:W1673&lt;=I255),1))*INDEX(T$4:T1673,MATCH(LARGE(FILTER(W$4:W1673,W$4:W1673&lt;=I255),1),W$4:W1673))-K255),1,
ROUNDDOWN(Y255-INDEX(K$4:K1673,MATCH(LARGE(FILTER(I$4:I1673,I$4:I1673&lt;=W255),1),I$4:I1673))-(W255-LARGE(FILTER(I$4:I"&amp;"1673,I$4:I1673&lt;=W255),1))*INDEX(F$4:F1673,MATCH(LARGE(FILTER(I$4:I1673,I$4:I1673&lt;=W255),1),I$4:I1673))))"),4.6835178E7)</f>
        <v>46835178</v>
      </c>
      <c r="N255" s="60">
        <f t="shared" si="8"/>
        <v>-220.4828</v>
      </c>
      <c r="O255" s="61" t="str">
        <f t="shared" si="9"/>
        <v>46,8M</v>
      </c>
      <c r="P255" s="56">
        <f t="shared" si="10"/>
        <v>2</v>
      </c>
      <c r="Q255" s="105" t="s">
        <v>8</v>
      </c>
      <c r="R255" s="10"/>
      <c r="S255" s="59">
        <f t="array" ref="S255">IF(COUNTA(Q255:Q1673)=0,"",SUM((COUNTIF(Q$4:Q255,Upgrades!$B$3:$B$13)-COUNTIF(Q$4:Q255,"Sell_"&amp;Upgrades!$B$3:$B$13))*Upgrades!$D$3:$D$13))</f>
        <v>271941</v>
      </c>
      <c r="T255" s="66">
        <f>IFERROR(__xludf.DUMMYFUNCTION("IF(COUNTA(Q255:Q1673)=0,"""",IF(REGEXMATCH(INDEX(FILTER(Q$4:Q255,Q$4:Q255&lt;&gt;""""),ROWS(FILTER(Q$4:Q255,Q$4:Q255&lt;&gt;""""))),""^Sell_""),INDEX(FILTER(T$4:T254,Q$4:Q254&lt;&gt;""""),ROWS(FILTER(Q$4:Q254,Q$4:Q254&lt;&gt;""""))),$AD$5+S255))"),271956.0)</f>
        <v>271956</v>
      </c>
      <c r="U255" s="10">
        <f>IFERROR(__xludf.DUMMYFUNCTION("IF(COUNTA(Q255:Q1673)=0,"""",IF(Q255="""",0,IF(REGEXMATCH(Q255,""^Sell_""),-ROUNDDOWN(ROUNDUP(INDEX(Upgrades!$C$3:$C$13,MATCH(SUBSTITUTE(Q255,""Sell_"",""""),Upgrades!$B$3:$B$13,0))*1.15^(COUNTIF(Q$4:Q254,SUBSTITUTE(Q255,""Sell_"",""""))-COUNTIF(Q$4:Q254,"&amp;"""Sell_""&amp;SUBSTITUTE(Q255,""Sell_"",""""))))/2),ROUNDUP(INDEX(Upgrades!$C$3:$C$13,MATCH(Q255,Upgrades!$B$3:$B$13,0))*1.15^(COUNTIF(Q$4:Q254,Q255)-COUNTIF(Q$4:Q254,""Sell_""&amp;Q255))))))"),46000.0)</f>
        <v>46000</v>
      </c>
      <c r="V255" s="10">
        <f t="shared" si="11"/>
        <v>46000</v>
      </c>
      <c r="W255" s="68">
        <f t="shared" si="12"/>
        <v>6085.263957</v>
      </c>
      <c r="X255" s="59" t="str">
        <f t="shared" si="13"/>
        <v>1h 41m 25s</v>
      </c>
      <c r="Y255" s="69">
        <f t="shared" si="14"/>
        <v>360120322</v>
      </c>
      <c r="Z255" s="11"/>
    </row>
    <row r="256">
      <c r="A256" s="8"/>
      <c r="B256" s="56" t="str">
        <f t="shared" si="2"/>
        <v/>
      </c>
      <c r="C256" s="105"/>
      <c r="D256" s="10"/>
      <c r="E256" s="59" t="str">
        <f t="array" ref="E256">IF(COUNTA(C256:C1673)=0,"",SUM((COUNTIF(C$4:C256,Upgrades!$B$3:$B$13)-COUNTIF(C$4:C256,"Sell_"&amp;Upgrades!$B$3:$B$13))*Upgrades!$D$3:$D$13))</f>
        <v/>
      </c>
      <c r="F256" s="66" t="str">
        <f>IFERROR(__xludf.DUMMYFUNCTION("IF(COUNTA(C256:C1673)=0,"""",IF(REGEXMATCH(INDEX(FILTER(C$4:C256,C$4:C256&lt;&gt;""""),ROWS(FILTER(C$4:C256,C$4:C256&lt;&gt;""""))),""^Sell_""),INDEX(FILTER(F$4:F255,C$4:C255&lt;&gt;""""),ROWS(FILTER(C$4:C255,C$4:C255&lt;&gt;""""))),$AC$5+E256))"),"")</f>
        <v/>
      </c>
      <c r="G256" s="10" t="str">
        <f>IFERROR(__xludf.DUMMYFUNCTION("IF(COUNTA(C256:C1673)=0,"""",IF(C256="""",0,IF(REGEXMATCH(C256,""^Sell_""),-ROUNDDOWN(ROUNDUP(INDEX(Upgrades!$C$3:$C$13,MATCH(SUBSTITUTE(C256,""Sell_"",""""),Upgrades!$B$3:$B$13,0))*1.15^(COUNTIF(C$4:C255,SUBSTITUTE(C256,""Sell_"",""""))-COUNTIF(C$4:C255,"&amp;"""Sell_""&amp;SUBSTITUTE(C256,""Sell_"",""""))))/2),ROUNDUP(INDEX(Upgrades!$C$3:$C$13,MATCH(C256,Upgrades!$B$3:$B$13,0))*1.15^(COUNTIF(C$4:C255,C256)-COUNTIF(C$4:C255,""Sell_""&amp;C256))))))"),"")</f>
        <v/>
      </c>
      <c r="H256" s="10" t="str">
        <f t="shared" si="3"/>
        <v/>
      </c>
      <c r="I256" s="68" t="str">
        <f t="shared" si="4"/>
        <v/>
      </c>
      <c r="J256" s="59" t="str">
        <f t="shared" si="5"/>
        <v/>
      </c>
      <c r="K256" s="69" t="str">
        <f t="shared" si="6"/>
        <v/>
      </c>
      <c r="L256" s="60">
        <f t="shared" si="7"/>
        <v>-220.68892</v>
      </c>
      <c r="M256" s="61">
        <f>IFERROR(__xludf.DUMMYFUNCTION("IFS(AND(COUNTA(C256:C1673)=0,COUNTA(Q256:Q1673)=0),"""",OR(AND(K256&gt;=1000000000,OR(Y256&gt;=1000000000,COUNTA(Q256:Q1673)=0)),OR(Y256&gt;=1000000000,AND(COUNTA(C256:C1673)=0,P$3=TRUE))),
ROUNDDOWN((AB$1-AC$1)*MAX(INDEX(T$4:T1673,MATCH(LARGE(FILTER(Y$4:Y1673,Y$4"&amp;":Y1673&lt;1000000000),1),Y$4:Y1673)),INDEX(F$4:F1673,MATCH(LARGE(FILTER(K$4:K1673,K$4:K1673&lt;1000000000),1),K$4:K1673)))),AND(K256&lt;1000000000,COUNTA(C256:C1673)&gt;0,P$3=FALSE),
ROUNDDOWN(INDEX(Y$4:Y1673,MATCH(LARGE(FILTER(W$4:W1673,W$4:W1673&lt;=I256),1),W$4:W1673"&amp;"))+(I256-LARGE(FILTER(W$4:W1673,W$4:W1673&lt;=I256),1))*INDEX(T$4:T1673,MATCH(LARGE(FILTER(W$4:W1673,W$4:W1673&lt;=I256),1),W$4:W1673))-K256),1,
ROUNDDOWN(Y256-INDEX(K$4:K1673,MATCH(LARGE(FILTER(I$4:I1673,I$4:I1673&lt;=W256),1),I$4:I1673))-(W256-LARGE(FILTER(I$4:I"&amp;"1673,I$4:I1673&lt;=W256),1))*INDEX(F$4:F1673,MATCH(LARGE(FILTER(I$4:I1673,I$4:I1673&lt;=W256),1),I$4:I1673))))"),4.6878961E7)</f>
        <v>46878961</v>
      </c>
      <c r="N256" s="60">
        <f t="shared" si="8"/>
        <v>-220.68892</v>
      </c>
      <c r="O256" s="61" t="str">
        <f t="shared" si="9"/>
        <v>46,9M</v>
      </c>
      <c r="P256" s="56">
        <f t="shared" si="10"/>
        <v>1</v>
      </c>
      <c r="Q256" s="105" t="s">
        <v>9</v>
      </c>
      <c r="R256" s="10"/>
      <c r="S256" s="59">
        <f t="array" ref="S256">IF(COUNTA(Q256:Q1673)=0,"",SUM((COUNTIF(Q$4:Q256,Upgrades!$B$3:$B$13)-COUNTIF(Q$4:Q256,"Sell_"&amp;Upgrades!$B$3:$B$13))*Upgrades!$D$3:$D$13))</f>
        <v>272341</v>
      </c>
      <c r="T256" s="66">
        <f>IFERROR(__xludf.DUMMYFUNCTION("IF(COUNTA(Q256:Q1673)=0,"""",IF(REGEXMATCH(INDEX(FILTER(Q$4:Q256,Q$4:Q256&lt;&gt;""""),ROWS(FILTER(Q$4:Q256,Q$4:Q256&lt;&gt;""""))),""^Sell_""),INDEX(FILTER(T$4:T255,Q$4:Q255&lt;&gt;""""),ROWS(FILTER(Q$4:Q255,Q$4:Q255&lt;&gt;""""))),$AD$5+S256))"),272356.0)</f>
        <v>272356</v>
      </c>
      <c r="U256" s="10">
        <f>IFERROR(__xludf.DUMMYFUNCTION("IF(COUNTA(Q256:Q1673)=0,"""",IF(Q256="""",0,IF(REGEXMATCH(Q256,""^Sell_""),-ROUNDDOWN(ROUNDUP(INDEX(Upgrades!$C$3:$C$13,MATCH(SUBSTITUTE(Q256,""Sell_"",""""),Upgrades!$B$3:$B$13,0))*1.15^(COUNTIF(Q$4:Q255,SUBSTITUTE(Q256,""Sell_"",""""))-COUNTIF(Q$4:Q255,"&amp;"""Sell_""&amp;SUBSTITUTE(Q256,""Sell_"",""""))))/2),ROUNDUP(INDEX(Upgrades!$C$3:$C$13,MATCH(Q256,Upgrades!$B$3:$B$13,0))*1.15^(COUNTIF(Q$4:Q255,Q256)-COUNTIF(Q$4:Q255,""Sell_""&amp;Q256))))))"),200000.0)</f>
        <v>200000</v>
      </c>
      <c r="V256" s="10">
        <f t="shared" si="11"/>
        <v>200000</v>
      </c>
      <c r="W256" s="68">
        <f t="shared" si="12"/>
        <v>6085.99937</v>
      </c>
      <c r="X256" s="59" t="str">
        <f t="shared" si="13"/>
        <v>1h 41m 25s</v>
      </c>
      <c r="Y256" s="69">
        <f t="shared" si="14"/>
        <v>360320322</v>
      </c>
      <c r="Z256" s="11"/>
    </row>
    <row r="257">
      <c r="A257" s="8"/>
      <c r="B257" s="56" t="str">
        <f t="shared" si="2"/>
        <v/>
      </c>
      <c r="C257" s="105"/>
      <c r="D257" s="10"/>
      <c r="E257" s="59" t="str">
        <f t="array" ref="E257">IF(COUNTA(C257:C1673)=0,"",SUM((COUNTIF(C$4:C257,Upgrades!$B$3:$B$13)-COUNTIF(C$4:C257,"Sell_"&amp;Upgrades!$B$3:$B$13))*Upgrades!$D$3:$D$13))</f>
        <v/>
      </c>
      <c r="F257" s="66" t="str">
        <f>IFERROR(__xludf.DUMMYFUNCTION("IF(COUNTA(C257:C1673)=0,"""",IF(REGEXMATCH(INDEX(FILTER(C$4:C257,C$4:C257&lt;&gt;""""),ROWS(FILTER(C$4:C257,C$4:C257&lt;&gt;""""))),""^Sell_""),INDEX(FILTER(F$4:F256,C$4:C256&lt;&gt;""""),ROWS(FILTER(C$4:C256,C$4:C256&lt;&gt;""""))),$AC$5+E257))"),"")</f>
        <v/>
      </c>
      <c r="G257" s="10" t="str">
        <f>IFERROR(__xludf.DUMMYFUNCTION("IF(COUNTA(C257:C1673)=0,"""",IF(C257="""",0,IF(REGEXMATCH(C257,""^Sell_""),-ROUNDDOWN(ROUNDUP(INDEX(Upgrades!$C$3:$C$13,MATCH(SUBSTITUTE(C257,""Sell_"",""""),Upgrades!$B$3:$B$13,0))*1.15^(COUNTIF(C$4:C256,SUBSTITUTE(C257,""Sell_"",""""))-COUNTIF(C$4:C256,"&amp;"""Sell_""&amp;SUBSTITUTE(C257,""Sell_"",""""))))/2),ROUNDUP(INDEX(Upgrades!$C$3:$C$13,MATCH(C257,Upgrades!$B$3:$B$13,0))*1.15^(COUNTIF(C$4:C256,C257)-COUNTIF(C$4:C256,""Sell_""&amp;C257))))))"),"")</f>
        <v/>
      </c>
      <c r="H257" s="10" t="str">
        <f t="shared" si="3"/>
        <v/>
      </c>
      <c r="I257" s="68" t="str">
        <f t="shared" si="4"/>
        <v/>
      </c>
      <c r="J257" s="59" t="str">
        <f t="shared" si="5"/>
        <v/>
      </c>
      <c r="K257" s="69" t="str">
        <f t="shared" si="6"/>
        <v/>
      </c>
      <c r="L257" s="60">
        <f t="shared" si="7"/>
        <v>-220.74372</v>
      </c>
      <c r="M257" s="61">
        <f>IFERROR(__xludf.DUMMYFUNCTION("IFS(AND(COUNTA(C257:C1673)=0,COUNTA(Q257:Q1673)=0),"""",OR(AND(K257&gt;=1000000000,OR(Y257&gt;=1000000000,COUNTA(Q257:Q1673)=0)),OR(Y257&gt;=1000000000,AND(COUNTA(C257:C1673)=0,P$3=TRUE))),
ROUNDDOWN((AB$1-AC$1)*MAX(INDEX(T$4:T1673,MATCH(LARGE(FILTER(Y$4:Y1673,Y$4"&amp;":Y1673&lt;1000000000),1),Y$4:Y1673)),INDEX(F$4:F1673,MATCH(LARGE(FILTER(K$4:K1673,K$4:K1673&lt;1000000000),1),K$4:K1673)))),AND(K257&lt;1000000000,COUNTA(C257:C1673)&gt;0,P$3=FALSE),
ROUNDDOWN(INDEX(Y$4:Y1673,MATCH(LARGE(FILTER(W$4:W1673,W$4:W1673&lt;=I257),1),W$4:W1673"&amp;"))+(I257-LARGE(FILTER(W$4:W1673,W$4:W1673&lt;=I257),1))*INDEX(T$4:T1673,MATCH(LARGE(FILTER(W$4:W1673,W$4:W1673&lt;=I257),1),W$4:W1673))-K257),1,
ROUNDDOWN(Y257-INDEX(K$4:K1673,MATCH(LARGE(FILTER(I$4:I1673,I$4:I1673&lt;=W257),1),I$4:I1673))-(W257-LARGE(FILTER(I$4:I"&amp;"1673,I$4:I1673&lt;=W257),1))*INDEX(F$4:F1673,MATCH(LARGE(FILTER(I$4:I1673,I$4:I1673&lt;=W257),1),I$4:I1673))))"),4.6890602E7)</f>
        <v>46890602</v>
      </c>
      <c r="N257" s="60">
        <f t="shared" si="8"/>
        <v>-220.74372</v>
      </c>
      <c r="O257" s="61" t="str">
        <f t="shared" si="9"/>
        <v>46,9M</v>
      </c>
      <c r="P257" s="56">
        <f t="shared" si="10"/>
        <v>3</v>
      </c>
      <c r="Q257" s="105" t="s">
        <v>8</v>
      </c>
      <c r="R257" s="10"/>
      <c r="S257" s="59">
        <f t="array" ref="S257">IF(COUNTA(Q257:Q1673)=0,"",SUM((COUNTIF(Q$4:Q257,Upgrades!$B$3:$B$13)-COUNTIF(Q$4:Q257,"Sell_"&amp;Upgrades!$B$3:$B$13))*Upgrades!$D$3:$D$13))</f>
        <v>272441</v>
      </c>
      <c r="T257" s="66">
        <f>IFERROR(__xludf.DUMMYFUNCTION("IF(COUNTA(Q257:Q1673)=0,"""",IF(REGEXMATCH(INDEX(FILTER(Q$4:Q257,Q$4:Q257&lt;&gt;""""),ROWS(FILTER(Q$4:Q257,Q$4:Q257&lt;&gt;""""))),""^Sell_""),INDEX(FILTER(T$4:T256,Q$4:Q256&lt;&gt;""""),ROWS(FILTER(Q$4:Q256,Q$4:Q256&lt;&gt;""""))),$AD$5+S257))"),272456.0)</f>
        <v>272456</v>
      </c>
      <c r="U257" s="10">
        <f>IFERROR(__xludf.DUMMYFUNCTION("IF(COUNTA(Q257:Q1673)=0,"""",IF(Q257="""",0,IF(REGEXMATCH(Q257,""^Sell_""),-ROUNDDOWN(ROUNDUP(INDEX(Upgrades!$C$3:$C$13,MATCH(SUBSTITUTE(Q257,""Sell_"",""""),Upgrades!$B$3:$B$13,0))*1.15^(COUNTIF(Q$4:Q256,SUBSTITUTE(Q257,""Sell_"",""""))-COUNTIF(Q$4:Q256,"&amp;"""Sell_""&amp;SUBSTITUTE(Q257,""Sell_"",""""))))/2),ROUNDUP(INDEX(Upgrades!$C$3:$C$13,MATCH(Q257,Upgrades!$B$3:$B$13,0))*1.15^(COUNTIF(Q$4:Q256,Q257)-COUNTIF(Q$4:Q256,""Sell_""&amp;Q257))))))"),52900.0)</f>
        <v>52900</v>
      </c>
      <c r="V257" s="10">
        <f t="shared" si="11"/>
        <v>52900</v>
      </c>
      <c r="W257" s="68">
        <f t="shared" si="12"/>
        <v>6086.193601</v>
      </c>
      <c r="X257" s="59" t="str">
        <f t="shared" si="13"/>
        <v>1h 41m 26s</v>
      </c>
      <c r="Y257" s="69">
        <f t="shared" si="14"/>
        <v>360373222</v>
      </c>
      <c r="Z257" s="11"/>
    </row>
    <row r="258">
      <c r="A258" s="8"/>
      <c r="B258" s="56" t="str">
        <f t="shared" si="2"/>
        <v/>
      </c>
      <c r="C258" s="105"/>
      <c r="D258" s="10"/>
      <c r="E258" s="59" t="str">
        <f t="array" ref="E258">IF(COUNTA(C258:C1673)=0,"",SUM((COUNTIF(C$4:C258,Upgrades!$B$3:$B$13)-COUNTIF(C$4:C258,"Sell_"&amp;Upgrades!$B$3:$B$13))*Upgrades!$D$3:$D$13))</f>
        <v/>
      </c>
      <c r="F258" s="66" t="str">
        <f>IFERROR(__xludf.DUMMYFUNCTION("IF(COUNTA(C258:C1673)=0,"""",IF(REGEXMATCH(INDEX(FILTER(C$4:C258,C$4:C258&lt;&gt;""""),ROWS(FILTER(C$4:C258,C$4:C258&lt;&gt;""""))),""^Sell_""),INDEX(FILTER(F$4:F257,C$4:C257&lt;&gt;""""),ROWS(FILTER(C$4:C257,C$4:C257&lt;&gt;""""))),$AC$5+E258))"),"")</f>
        <v/>
      </c>
      <c r="G258" s="10" t="str">
        <f>IFERROR(__xludf.DUMMYFUNCTION("IF(COUNTA(C258:C1673)=0,"""",IF(C258="""",0,IF(REGEXMATCH(C258,""^Sell_""),-ROUNDDOWN(ROUNDUP(INDEX(Upgrades!$C$3:$C$13,MATCH(SUBSTITUTE(C258,""Sell_"",""""),Upgrades!$B$3:$B$13,0))*1.15^(COUNTIF(C$4:C257,SUBSTITUTE(C258,""Sell_"",""""))-COUNTIF(C$4:C257,"&amp;"""Sell_""&amp;SUBSTITUTE(C258,""Sell_"",""""))))/2),ROUNDUP(INDEX(Upgrades!$C$3:$C$13,MATCH(C258,Upgrades!$B$3:$B$13,0))*1.15^(COUNTIF(C$4:C257,C258)-COUNTIF(C$4:C257,""Sell_""&amp;C258))))))"),"")</f>
        <v/>
      </c>
      <c r="H258" s="10" t="str">
        <f t="shared" si="3"/>
        <v/>
      </c>
      <c r="I258" s="68" t="str">
        <f t="shared" si="4"/>
        <v/>
      </c>
      <c r="J258" s="59" t="str">
        <f t="shared" si="5"/>
        <v/>
      </c>
      <c r="K258" s="69" t="str">
        <f t="shared" si="6"/>
        <v/>
      </c>
      <c r="L258" s="60">
        <f t="shared" si="7"/>
        <v>-220.9823</v>
      </c>
      <c r="M258" s="61">
        <f>IFERROR(__xludf.DUMMYFUNCTION("IFS(AND(COUNTA(C258:C1673)=0,COUNTA(Q258:Q1673)=0),"""",OR(AND(K258&gt;=1000000000,OR(Y258&gt;=1000000000,COUNTA(Q258:Q1673)=0)),OR(Y258&gt;=1000000000,AND(COUNTA(C258:C1673)=0,P$3=TRUE))),
ROUNDDOWN((AB$1-AC$1)*MAX(INDEX(T$4:T1673,MATCH(LARGE(FILTER(Y$4:Y1673,Y$4"&amp;":Y1673&lt;1000000000),1),Y$4:Y1673)),INDEX(F$4:F1673,MATCH(LARGE(FILTER(K$4:K1673,K$4:K1673&lt;1000000000),1),K$4:K1673)))),AND(K258&lt;1000000000,COUNTA(C258:C1673)&gt;0,P$3=FALSE),
ROUNDDOWN(INDEX(Y$4:Y1673,MATCH(LARGE(FILTER(W$4:W1673,W$4:W1673&lt;=I258),1),W$4:W1673"&amp;"))+(I258-LARGE(FILTER(W$4:W1673,W$4:W1673&lt;=I258),1))*INDEX(T$4:T1673,MATCH(LARGE(FILTER(W$4:W1673,W$4:W1673&lt;=I258),1),W$4:W1673))-K258),1,
ROUNDDOWN(Y258-INDEX(K$4:K1673,MATCH(LARGE(FILTER(I$4:I1673,I$4:I1673&lt;=W258),1),I$4:I1673))-(W258-LARGE(FILTER(I$4:I"&amp;"1673,I$4:I1673&lt;=W258),1))*INDEX(F$4:F1673,MATCH(LARGE(FILTER(I$4:I1673,I$4:I1673&lt;=W258),1),I$4:I1673))))"),4.6941282E7)</f>
        <v>46941282</v>
      </c>
      <c r="N258" s="60">
        <f t="shared" si="8"/>
        <v>-220.9823</v>
      </c>
      <c r="O258" s="61" t="str">
        <f t="shared" si="9"/>
        <v>46,9M</v>
      </c>
      <c r="P258" s="56">
        <f t="shared" si="10"/>
        <v>2</v>
      </c>
      <c r="Q258" s="105" t="s">
        <v>9</v>
      </c>
      <c r="R258" s="10"/>
      <c r="S258" s="59">
        <f t="array" ref="S258">IF(COUNTA(Q258:Q1673)=0,"",SUM((COUNTIF(Q$4:Q258,Upgrades!$B$3:$B$13)-COUNTIF(Q$4:Q258,"Sell_"&amp;Upgrades!$B$3:$B$13))*Upgrades!$D$3:$D$13))</f>
        <v>272841</v>
      </c>
      <c r="T258" s="66">
        <f>IFERROR(__xludf.DUMMYFUNCTION("IF(COUNTA(Q258:Q1673)=0,"""",IF(REGEXMATCH(INDEX(FILTER(Q$4:Q258,Q$4:Q258&lt;&gt;""""),ROWS(FILTER(Q$4:Q258,Q$4:Q258&lt;&gt;""""))),""^Sell_""),INDEX(FILTER(T$4:T257,Q$4:Q257&lt;&gt;""""),ROWS(FILTER(Q$4:Q257,Q$4:Q257&lt;&gt;""""))),$AD$5+S258))"),272856.0)</f>
        <v>272856</v>
      </c>
      <c r="U258" s="10">
        <f>IFERROR(__xludf.DUMMYFUNCTION("IF(COUNTA(Q258:Q1673)=0,"""",IF(Q258="""",0,IF(REGEXMATCH(Q258,""^Sell_""),-ROUNDDOWN(ROUNDUP(INDEX(Upgrades!$C$3:$C$13,MATCH(SUBSTITUTE(Q258,""Sell_"",""""),Upgrades!$B$3:$B$13,0))*1.15^(COUNTIF(Q$4:Q257,SUBSTITUTE(Q258,""Sell_"",""""))-COUNTIF(Q$4:Q257,"&amp;"""Sell_""&amp;SUBSTITUTE(Q258,""Sell_"",""""))))/2),ROUNDUP(INDEX(Upgrades!$C$3:$C$13,MATCH(Q258,Upgrades!$B$3:$B$13,0))*1.15^(COUNTIF(Q$4:Q257,Q258)-COUNTIF(Q$4:Q257,""Sell_""&amp;Q258))))))"),230000.0)</f>
        <v>230000</v>
      </c>
      <c r="V258" s="10">
        <f t="shared" si="11"/>
        <v>230000</v>
      </c>
      <c r="W258" s="68">
        <f t="shared" si="12"/>
        <v>6087.037774</v>
      </c>
      <c r="X258" s="59" t="str">
        <f t="shared" si="13"/>
        <v>1h 41m 27s</v>
      </c>
      <c r="Y258" s="69">
        <f t="shared" si="14"/>
        <v>360603222</v>
      </c>
      <c r="Z258" s="11"/>
    </row>
    <row r="259">
      <c r="A259" s="8"/>
      <c r="B259" s="56" t="str">
        <f t="shared" si="2"/>
        <v/>
      </c>
      <c r="C259" s="105"/>
      <c r="D259" s="10"/>
      <c r="E259" s="59" t="str">
        <f t="array" ref="E259">IF(COUNTA(C259:C1673)=0,"",SUM((COUNTIF(C$4:C259,Upgrades!$B$3:$B$13)-COUNTIF(C$4:C259,"Sell_"&amp;Upgrades!$B$3:$B$13))*Upgrades!$D$3:$D$13))</f>
        <v/>
      </c>
      <c r="F259" s="66" t="str">
        <f>IFERROR(__xludf.DUMMYFUNCTION("IF(COUNTA(C259:C1673)=0,"""",IF(REGEXMATCH(INDEX(FILTER(C$4:C259,C$4:C259&lt;&gt;""""),ROWS(FILTER(C$4:C259,C$4:C259&lt;&gt;""""))),""^Sell_""),INDEX(FILTER(F$4:F258,C$4:C258&lt;&gt;""""),ROWS(FILTER(C$4:C258,C$4:C258&lt;&gt;""""))),$AC$5+E259))"),"")</f>
        <v/>
      </c>
      <c r="G259" s="10" t="str">
        <f>IFERROR(__xludf.DUMMYFUNCTION("IF(COUNTA(C259:C1673)=0,"""",IF(C259="""",0,IF(REGEXMATCH(C259,""^Sell_""),-ROUNDDOWN(ROUNDUP(INDEX(Upgrades!$C$3:$C$13,MATCH(SUBSTITUTE(C259,""Sell_"",""""),Upgrades!$B$3:$B$13,0))*1.15^(COUNTIF(C$4:C258,SUBSTITUTE(C259,""Sell_"",""""))-COUNTIF(C$4:C258,"&amp;"""Sell_""&amp;SUBSTITUTE(C259,""Sell_"",""""))))/2),ROUNDUP(INDEX(Upgrades!$C$3:$C$13,MATCH(C259,Upgrades!$B$3:$B$13,0))*1.15^(COUNTIF(C$4:C258,C259)-COUNTIF(C$4:C258,""Sell_""&amp;C259))))))"),"")</f>
        <v/>
      </c>
      <c r="H259" s="10" t="str">
        <f t="shared" si="3"/>
        <v/>
      </c>
      <c r="I259" s="68" t="str">
        <f t="shared" si="4"/>
        <v/>
      </c>
      <c r="J259" s="59" t="str">
        <f t="shared" si="5"/>
        <v/>
      </c>
      <c r="K259" s="69" t="str">
        <f t="shared" si="6"/>
        <v/>
      </c>
      <c r="L259" s="60">
        <f t="shared" si="7"/>
        <v>-221.04574</v>
      </c>
      <c r="M259" s="61">
        <f>IFERROR(__xludf.DUMMYFUNCTION("IFS(AND(COUNTA(C259:C1673)=0,COUNTA(Q259:Q1673)=0),"""",OR(AND(K259&gt;=1000000000,OR(Y259&gt;=1000000000,COUNTA(Q259:Q1673)=0)),OR(Y259&gt;=1000000000,AND(COUNTA(C259:C1673)=0,P$3=TRUE))),
ROUNDDOWN((AB$1-AC$1)*MAX(INDEX(T$4:T1673,MATCH(LARGE(FILTER(Y$4:Y1673,Y$4"&amp;":Y1673&lt;1000000000),1),Y$4:Y1673)),INDEX(F$4:F1673,MATCH(LARGE(FILTER(K$4:K1673,K$4:K1673&lt;1000000000),1),K$4:K1673)))),AND(K259&lt;1000000000,COUNTA(C259:C1673)&gt;0,P$3=FALSE),
ROUNDDOWN(INDEX(Y$4:Y1673,MATCH(LARGE(FILTER(W$4:W1673,W$4:W1673&lt;=I259),1),W$4:W1673"&amp;"))+(I259-LARGE(FILTER(W$4:W1673,W$4:W1673&lt;=I259),1))*INDEX(T$4:T1673,MATCH(LARGE(FILTER(W$4:W1673,W$4:W1673&lt;=I259),1),W$4:W1673))-K259),1,
ROUNDDOWN(Y259-INDEX(K$4:K1673,MATCH(LARGE(FILTER(I$4:I1673,I$4:I1673&lt;=W259),1),I$4:I1673))-(W259-LARGE(FILTER(I$4:I"&amp;"1673,I$4:I1673&lt;=W259),1))*INDEX(F$4:F1673,MATCH(LARGE(FILTER(I$4:I1673,I$4:I1673&lt;=W259),1),I$4:I1673))))"),4.6954757E7)</f>
        <v>46954757</v>
      </c>
      <c r="N259" s="60">
        <f t="shared" si="8"/>
        <v>-221.04574</v>
      </c>
      <c r="O259" s="61" t="str">
        <f t="shared" si="9"/>
        <v>47,0M</v>
      </c>
      <c r="P259" s="56">
        <f t="shared" si="10"/>
        <v>4</v>
      </c>
      <c r="Q259" s="105" t="s">
        <v>8</v>
      </c>
      <c r="R259" s="10"/>
      <c r="S259" s="59">
        <f t="array" ref="S259">IF(COUNTA(Q259:Q1673)=0,"",SUM((COUNTIF(Q$4:Q259,Upgrades!$B$3:$B$13)-COUNTIF(Q$4:Q259,"Sell_"&amp;Upgrades!$B$3:$B$13))*Upgrades!$D$3:$D$13))</f>
        <v>272941</v>
      </c>
      <c r="T259" s="66">
        <f>IFERROR(__xludf.DUMMYFUNCTION("IF(COUNTA(Q259:Q1673)=0,"""",IF(REGEXMATCH(INDEX(FILTER(Q$4:Q259,Q$4:Q259&lt;&gt;""""),ROWS(FILTER(Q$4:Q259,Q$4:Q259&lt;&gt;""""))),""^Sell_""),INDEX(FILTER(T$4:T258,Q$4:Q258&lt;&gt;""""),ROWS(FILTER(Q$4:Q258,Q$4:Q258&lt;&gt;""""))),$AD$5+S259))"),272956.0)</f>
        <v>272956</v>
      </c>
      <c r="U259" s="10">
        <f>IFERROR(__xludf.DUMMYFUNCTION("IF(COUNTA(Q259:Q1673)=0,"""",IF(Q259="""",0,IF(REGEXMATCH(Q259,""^Sell_""),-ROUNDDOWN(ROUNDUP(INDEX(Upgrades!$C$3:$C$13,MATCH(SUBSTITUTE(Q259,""Sell_"",""""),Upgrades!$B$3:$B$13,0))*1.15^(COUNTIF(Q$4:Q258,SUBSTITUTE(Q259,""Sell_"",""""))-COUNTIF(Q$4:Q258,"&amp;"""Sell_""&amp;SUBSTITUTE(Q259,""Sell_"",""""))))/2),ROUNDUP(INDEX(Upgrades!$C$3:$C$13,MATCH(Q259,Upgrades!$B$3:$B$13,0))*1.15^(COUNTIF(Q$4:Q258,Q259)-COUNTIF(Q$4:Q258,""Sell_""&amp;Q259))))))"),60835.0)</f>
        <v>60835</v>
      </c>
      <c r="V259" s="10">
        <f t="shared" si="11"/>
        <v>60835</v>
      </c>
      <c r="W259" s="68">
        <f t="shared" si="12"/>
        <v>6087.26073</v>
      </c>
      <c r="X259" s="59" t="str">
        <f t="shared" si="13"/>
        <v>1h 41m 27s</v>
      </c>
      <c r="Y259" s="69">
        <f t="shared" si="14"/>
        <v>360664057</v>
      </c>
      <c r="Z259" s="11"/>
    </row>
    <row r="260">
      <c r="A260" s="8"/>
      <c r="B260" s="56" t="str">
        <f t="shared" si="2"/>
        <v/>
      </c>
      <c r="C260" s="105"/>
      <c r="D260" s="10"/>
      <c r="E260" s="59" t="str">
        <f t="array" ref="E260">IF(COUNTA(C260:C1673)=0,"",SUM((COUNTIF(C$4:C260,Upgrades!$B$3:$B$13)-COUNTIF(C$4:C260,"Sell_"&amp;Upgrades!$B$3:$B$13))*Upgrades!$D$3:$D$13))</f>
        <v/>
      </c>
      <c r="F260" s="66" t="str">
        <f>IFERROR(__xludf.DUMMYFUNCTION("IF(COUNTA(C260:C1673)=0,"""",IF(REGEXMATCH(INDEX(FILTER(C$4:C260,C$4:C260&lt;&gt;""""),ROWS(FILTER(C$4:C260,C$4:C260&lt;&gt;""""))),""^Sell_""),INDEX(FILTER(F$4:F259,C$4:C259&lt;&gt;""""),ROWS(FILTER(C$4:C259,C$4:C259&lt;&gt;""""))),$AC$5+E260))"),"")</f>
        <v/>
      </c>
      <c r="G260" s="10" t="str">
        <f>IFERROR(__xludf.DUMMYFUNCTION("IF(COUNTA(C260:C1673)=0,"""",IF(C260="""",0,IF(REGEXMATCH(C260,""^Sell_""),-ROUNDDOWN(ROUNDUP(INDEX(Upgrades!$C$3:$C$13,MATCH(SUBSTITUTE(C260,""Sell_"",""""),Upgrades!$B$3:$B$13,0))*1.15^(COUNTIF(C$4:C259,SUBSTITUTE(C260,""Sell_"",""""))-COUNTIF(C$4:C259,"&amp;"""Sell_""&amp;SUBSTITUTE(C260,""Sell_"",""""))))/2),ROUNDUP(INDEX(Upgrades!$C$3:$C$13,MATCH(C260,Upgrades!$B$3:$B$13,0))*1.15^(COUNTIF(C$4:C259,C260)-COUNTIF(C$4:C259,""Sell_""&amp;C260))))))"),"")</f>
        <v/>
      </c>
      <c r="H260" s="10" t="str">
        <f t="shared" si="3"/>
        <v/>
      </c>
      <c r="I260" s="68" t="str">
        <f t="shared" si="4"/>
        <v/>
      </c>
      <c r="J260" s="59" t="str">
        <f t="shared" si="5"/>
        <v/>
      </c>
      <c r="K260" s="69" t="str">
        <f t="shared" si="6"/>
        <v/>
      </c>
      <c r="L260" s="60">
        <f t="shared" si="7"/>
        <v>-221.32188</v>
      </c>
      <c r="M260" s="61">
        <f>IFERROR(__xludf.DUMMYFUNCTION("IFS(AND(COUNTA(C260:C1673)=0,COUNTA(Q260:Q1673)=0),"""",OR(AND(K260&gt;=1000000000,OR(Y260&gt;=1000000000,COUNTA(Q260:Q1673)=0)),OR(Y260&gt;=1000000000,AND(COUNTA(C260:C1673)=0,P$3=TRUE))),
ROUNDDOWN((AB$1-AC$1)*MAX(INDEX(T$4:T1673,MATCH(LARGE(FILTER(Y$4:Y1673,Y$4"&amp;":Y1673&lt;1000000000),1),Y$4:Y1673)),INDEX(F$4:F1673,MATCH(LARGE(FILTER(K$4:K1673,K$4:K1673&lt;1000000000),1),K$4:K1673)))),AND(K260&lt;1000000000,COUNTA(C260:C1673)&gt;0,P$3=FALSE),
ROUNDDOWN(INDEX(Y$4:Y1673,MATCH(LARGE(FILTER(W$4:W1673,W$4:W1673&lt;=I260),1),W$4:W1673"&amp;"))+(I260-LARGE(FILTER(W$4:W1673,W$4:W1673&lt;=I260),1))*INDEX(T$4:T1673,MATCH(LARGE(FILTER(W$4:W1673,W$4:W1673&lt;=I260),1),W$4:W1673))-K260),1,
ROUNDDOWN(Y260-INDEX(K$4:K1673,MATCH(LARGE(FILTER(I$4:I1673,I$4:I1673&lt;=W260),1),I$4:I1673))-(W260-LARGE(FILTER(I$4:I"&amp;"1673,I$4:I1673&lt;=W260),1))*INDEX(F$4:F1673,MATCH(LARGE(FILTER(I$4:I1673,I$4:I1673&lt;=W260),1),I$4:I1673))))"),4.7013416E7)</f>
        <v>47013416</v>
      </c>
      <c r="N260" s="60">
        <f t="shared" si="8"/>
        <v>-221.32188</v>
      </c>
      <c r="O260" s="61" t="str">
        <f t="shared" si="9"/>
        <v>47,0M</v>
      </c>
      <c r="P260" s="56">
        <f t="shared" si="10"/>
        <v>3</v>
      </c>
      <c r="Q260" s="105" t="s">
        <v>9</v>
      </c>
      <c r="R260" s="10"/>
      <c r="S260" s="59">
        <f t="array" ref="S260">IF(COUNTA(Q260:Q1673)=0,"",SUM((COUNTIF(Q$4:Q260,Upgrades!$B$3:$B$13)-COUNTIF(Q$4:Q260,"Sell_"&amp;Upgrades!$B$3:$B$13))*Upgrades!$D$3:$D$13))</f>
        <v>273341</v>
      </c>
      <c r="T260" s="66">
        <f>IFERROR(__xludf.DUMMYFUNCTION("IF(COUNTA(Q260:Q1673)=0,"""",IF(REGEXMATCH(INDEX(FILTER(Q$4:Q260,Q$4:Q260&lt;&gt;""""),ROWS(FILTER(Q$4:Q260,Q$4:Q260&lt;&gt;""""))),""^Sell_""),INDEX(FILTER(T$4:T259,Q$4:Q259&lt;&gt;""""),ROWS(FILTER(Q$4:Q259,Q$4:Q259&lt;&gt;""""))),$AD$5+S260))"),273356.0)</f>
        <v>273356</v>
      </c>
      <c r="U260" s="10">
        <f>IFERROR(__xludf.DUMMYFUNCTION("IF(COUNTA(Q260:Q1673)=0,"""",IF(Q260="""",0,IF(REGEXMATCH(Q260,""^Sell_""),-ROUNDDOWN(ROUNDUP(INDEX(Upgrades!$C$3:$C$13,MATCH(SUBSTITUTE(Q260,""Sell_"",""""),Upgrades!$B$3:$B$13,0))*1.15^(COUNTIF(Q$4:Q259,SUBSTITUTE(Q260,""Sell_"",""""))-COUNTIF(Q$4:Q259,"&amp;"""Sell_""&amp;SUBSTITUTE(Q260,""Sell_"",""""))))/2),ROUNDUP(INDEX(Upgrades!$C$3:$C$13,MATCH(Q260,Upgrades!$B$3:$B$13,0))*1.15^(COUNTIF(Q$4:Q259,Q260)-COUNTIF(Q$4:Q259,""Sell_""&amp;Q260))))))"),264500.0)</f>
        <v>264500</v>
      </c>
      <c r="V260" s="10">
        <f t="shared" si="11"/>
        <v>264500</v>
      </c>
      <c r="W260" s="68">
        <f t="shared" si="12"/>
        <v>6088.229751</v>
      </c>
      <c r="X260" s="59" t="str">
        <f t="shared" si="13"/>
        <v>1h 41m 28s</v>
      </c>
      <c r="Y260" s="69">
        <f t="shared" si="14"/>
        <v>360928557</v>
      </c>
      <c r="Z260" s="11"/>
    </row>
    <row r="261">
      <c r="A261" s="8"/>
      <c r="B261" s="56" t="str">
        <f t="shared" si="2"/>
        <v/>
      </c>
      <c r="C261" s="105"/>
      <c r="D261" s="10"/>
      <c r="E261" s="59" t="str">
        <f t="array" ref="E261">IF(COUNTA(C261:C1673)=0,"",SUM((COUNTIF(C$4:C261,Upgrades!$B$3:$B$13)-COUNTIF(C$4:C261,"Sell_"&amp;Upgrades!$B$3:$B$13))*Upgrades!$D$3:$D$13))</f>
        <v/>
      </c>
      <c r="F261" s="66" t="str">
        <f>IFERROR(__xludf.DUMMYFUNCTION("IF(COUNTA(C261:C1673)=0,"""",IF(REGEXMATCH(INDEX(FILTER(C$4:C261,C$4:C261&lt;&gt;""""),ROWS(FILTER(C$4:C261,C$4:C261&lt;&gt;""""))),""^Sell_""),INDEX(FILTER(F$4:F260,C$4:C260&lt;&gt;""""),ROWS(FILTER(C$4:C260,C$4:C260&lt;&gt;""""))),$AC$5+E261))"),"")</f>
        <v/>
      </c>
      <c r="G261" s="10" t="str">
        <f>IFERROR(__xludf.DUMMYFUNCTION("IF(COUNTA(C261:C1673)=0,"""",IF(C261="""",0,IF(REGEXMATCH(C261,""^Sell_""),-ROUNDDOWN(ROUNDUP(INDEX(Upgrades!$C$3:$C$13,MATCH(SUBSTITUTE(C261,""Sell_"",""""),Upgrades!$B$3:$B$13,0))*1.15^(COUNTIF(C$4:C260,SUBSTITUTE(C261,""Sell_"",""""))-COUNTIF(C$4:C260,"&amp;"""Sell_""&amp;SUBSTITUTE(C261,""Sell_"",""""))))/2),ROUNDUP(INDEX(Upgrades!$C$3:$C$13,MATCH(C261,Upgrades!$B$3:$B$13,0))*1.15^(COUNTIF(C$4:C260,C261)-COUNTIF(C$4:C260,""Sell_""&amp;C261))))))"),"")</f>
        <v/>
      </c>
      <c r="H261" s="10" t="str">
        <f t="shared" si="3"/>
        <v/>
      </c>
      <c r="I261" s="68" t="str">
        <f t="shared" si="4"/>
        <v/>
      </c>
      <c r="J261" s="59" t="str">
        <f t="shared" si="5"/>
        <v/>
      </c>
      <c r="K261" s="69" t="str">
        <f t="shared" si="6"/>
        <v/>
      </c>
      <c r="L261" s="60">
        <f t="shared" si="7"/>
        <v>-221.3953</v>
      </c>
      <c r="M261" s="61">
        <f>IFERROR(__xludf.DUMMYFUNCTION("IFS(AND(COUNTA(C261:C1673)=0,COUNTA(Q261:Q1673)=0),"""",OR(AND(K261&gt;=1000000000,OR(Y261&gt;=1000000000,COUNTA(Q261:Q1673)=0)),OR(Y261&gt;=1000000000,AND(COUNTA(C261:C1673)=0,P$3=TRUE))),
ROUNDDOWN((AB$1-AC$1)*MAX(INDEX(T$4:T1673,MATCH(LARGE(FILTER(Y$4:Y1673,Y$4"&amp;":Y1673&lt;1000000000),1),Y$4:Y1673)),INDEX(F$4:F1673,MATCH(LARGE(FILTER(K$4:K1673,K$4:K1673&lt;1000000000),1),K$4:K1673)))),AND(K261&lt;1000000000,COUNTA(C261:C1673)&gt;0,P$3=FALSE),
ROUNDDOWN(INDEX(Y$4:Y1673,MATCH(LARGE(FILTER(W$4:W1673,W$4:W1673&lt;=I261),1),W$4:W1673"&amp;"))+(I261-LARGE(FILTER(W$4:W1673,W$4:W1673&lt;=I261),1))*INDEX(T$4:T1673,MATCH(LARGE(FILTER(W$4:W1673,W$4:W1673&lt;=I261),1),W$4:W1673))-K261),1,
ROUNDDOWN(Y261-INDEX(K$4:K1673,MATCH(LARGE(FILTER(I$4:I1673,I$4:I1673&lt;=W261),1),I$4:I1673))-(W261-LARGE(FILTER(I$4:I"&amp;"1673,I$4:I1673&lt;=W261),1))*INDEX(F$4:F1673,MATCH(LARGE(FILTER(I$4:I1673,I$4:I1673&lt;=W261),1),I$4:I1673))))"),4.7029012E7)</f>
        <v>47029012</v>
      </c>
      <c r="N261" s="60">
        <f t="shared" si="8"/>
        <v>-221.3953</v>
      </c>
      <c r="O261" s="61" t="str">
        <f t="shared" si="9"/>
        <v>47,0M</v>
      </c>
      <c r="P261" s="56">
        <f t="shared" si="10"/>
        <v>5</v>
      </c>
      <c r="Q261" s="105" t="s">
        <v>8</v>
      </c>
      <c r="R261" s="10"/>
      <c r="S261" s="59">
        <f t="array" ref="S261">IF(COUNTA(Q261:Q1673)=0,"",SUM((COUNTIF(Q$4:Q261,Upgrades!$B$3:$B$13)-COUNTIF(Q$4:Q261,"Sell_"&amp;Upgrades!$B$3:$B$13))*Upgrades!$D$3:$D$13))</f>
        <v>273441</v>
      </c>
      <c r="T261" s="66">
        <f>IFERROR(__xludf.DUMMYFUNCTION("IF(COUNTA(Q261:Q1673)=0,"""",IF(REGEXMATCH(INDEX(FILTER(Q$4:Q261,Q$4:Q261&lt;&gt;""""),ROWS(FILTER(Q$4:Q261,Q$4:Q261&lt;&gt;""""))),""^Sell_""),INDEX(FILTER(T$4:T260,Q$4:Q260&lt;&gt;""""),ROWS(FILTER(Q$4:Q260,Q$4:Q260&lt;&gt;""""))),$AD$5+S261))"),273456.0)</f>
        <v>273456</v>
      </c>
      <c r="U261" s="10">
        <f>IFERROR(__xludf.DUMMYFUNCTION("IF(COUNTA(Q261:Q1673)=0,"""",IF(Q261="""",0,IF(REGEXMATCH(Q261,""^Sell_""),-ROUNDDOWN(ROUNDUP(INDEX(Upgrades!$C$3:$C$13,MATCH(SUBSTITUTE(Q261,""Sell_"",""""),Upgrades!$B$3:$B$13,0))*1.15^(COUNTIF(Q$4:Q260,SUBSTITUTE(Q261,""Sell_"",""""))-COUNTIF(Q$4:Q260,"&amp;"""Sell_""&amp;SUBSTITUTE(Q261,""Sell_"",""""))))/2),ROUNDUP(INDEX(Upgrades!$C$3:$C$13,MATCH(Q261,Upgrades!$B$3:$B$13,0))*1.15^(COUNTIF(Q$4:Q260,Q261)-COUNTIF(Q$4:Q260,""Sell_""&amp;Q261))))))"),69961.0)</f>
        <v>69961</v>
      </c>
      <c r="V261" s="10">
        <f t="shared" si="11"/>
        <v>69961</v>
      </c>
      <c r="W261" s="68">
        <f t="shared" si="12"/>
        <v>6088.485685</v>
      </c>
      <c r="X261" s="59" t="str">
        <f t="shared" si="13"/>
        <v>1h 41m 28s</v>
      </c>
      <c r="Y261" s="69">
        <f t="shared" si="14"/>
        <v>360998518</v>
      </c>
      <c r="Z261" s="11"/>
    </row>
    <row r="262">
      <c r="A262" s="8"/>
      <c r="B262" s="56" t="str">
        <f t="shared" si="2"/>
        <v/>
      </c>
      <c r="C262" s="105"/>
      <c r="D262" s="10"/>
      <c r="E262" s="59" t="str">
        <f t="array" ref="E262">IF(COUNTA(C262:C1673)=0,"",SUM((COUNTIF(C$4:C262,Upgrades!$B$3:$B$13)-COUNTIF(C$4:C262,"Sell_"&amp;Upgrades!$B$3:$B$13))*Upgrades!$D$3:$D$13))</f>
        <v/>
      </c>
      <c r="F262" s="66" t="str">
        <f>IFERROR(__xludf.DUMMYFUNCTION("IF(COUNTA(C262:C1673)=0,"""",IF(REGEXMATCH(INDEX(FILTER(C$4:C262,C$4:C262&lt;&gt;""""),ROWS(FILTER(C$4:C262,C$4:C262&lt;&gt;""""))),""^Sell_""),INDEX(FILTER(F$4:F261,C$4:C261&lt;&gt;""""),ROWS(FILTER(C$4:C261,C$4:C261&lt;&gt;""""))),$AC$5+E262))"),"")</f>
        <v/>
      </c>
      <c r="G262" s="10" t="str">
        <f>IFERROR(__xludf.DUMMYFUNCTION("IF(COUNTA(C262:C1673)=0,"""",IF(C262="""",0,IF(REGEXMATCH(C262,""^Sell_""),-ROUNDDOWN(ROUNDUP(INDEX(Upgrades!$C$3:$C$13,MATCH(SUBSTITUTE(C262,""Sell_"",""""),Upgrades!$B$3:$B$13,0))*1.15^(COUNTIF(C$4:C261,SUBSTITUTE(C262,""Sell_"",""""))-COUNTIF(C$4:C261,"&amp;"""Sell_""&amp;SUBSTITUTE(C262,""Sell_"",""""))))/2),ROUNDUP(INDEX(Upgrades!$C$3:$C$13,MATCH(C262,Upgrades!$B$3:$B$13,0))*1.15^(COUNTIF(C$4:C261,C262)-COUNTIF(C$4:C261,""Sell_""&amp;C262))))))"),"")</f>
        <v/>
      </c>
      <c r="H262" s="10" t="str">
        <f t="shared" si="3"/>
        <v/>
      </c>
      <c r="I262" s="68" t="str">
        <f t="shared" si="4"/>
        <v/>
      </c>
      <c r="J262" s="59" t="str">
        <f t="shared" si="5"/>
        <v/>
      </c>
      <c r="K262" s="69" t="str">
        <f t="shared" si="6"/>
        <v/>
      </c>
      <c r="L262" s="60">
        <f t="shared" si="7"/>
        <v>-221.71491</v>
      </c>
      <c r="M262" s="61">
        <f>IFERROR(__xludf.DUMMYFUNCTION("IFS(AND(COUNTA(C262:C1673)=0,COUNTA(Q262:Q1673)=0),"""",OR(AND(K262&gt;=1000000000,OR(Y262&gt;=1000000000,COUNTA(Q262:Q1673)=0)),OR(Y262&gt;=1000000000,AND(COUNTA(C262:C1673)=0,P$3=TRUE))),
ROUNDDOWN((AB$1-AC$1)*MAX(INDEX(T$4:T1673,MATCH(LARGE(FILTER(Y$4:Y1673,Y$4"&amp;":Y1673&lt;1000000000),1),Y$4:Y1673)),INDEX(F$4:F1673,MATCH(LARGE(FILTER(K$4:K1673,K$4:K1673&lt;1000000000),1),K$4:K1673)))),AND(K262&lt;1000000000,COUNTA(C262:C1673)&gt;0,P$3=FALSE),
ROUNDDOWN(INDEX(Y$4:Y1673,MATCH(LARGE(FILTER(W$4:W1673,W$4:W1673&lt;=I262),1),W$4:W1673"&amp;"))+(I262-LARGE(FILTER(W$4:W1673,W$4:W1673&lt;=I262),1))*INDEX(T$4:T1673,MATCH(LARGE(FILTER(W$4:W1673,W$4:W1673&lt;=I262),1),W$4:W1673))-K262),1,
ROUNDDOWN(Y262-INDEX(K$4:K1673,MATCH(LARGE(FILTER(I$4:I1673,I$4:I1673&lt;=W262),1),I$4:I1673))-(W262-LARGE(FILTER(I$4:I"&amp;"1673,I$4:I1673&lt;=W262),1))*INDEX(F$4:F1673,MATCH(LARGE(FILTER(I$4:I1673,I$4:I1673&lt;=W262),1),I$4:I1673))))"),4.7096903E7)</f>
        <v>47096903</v>
      </c>
      <c r="N262" s="60">
        <f t="shared" si="8"/>
        <v>-221.71491</v>
      </c>
      <c r="O262" s="61" t="str">
        <f t="shared" si="9"/>
        <v>47,1M</v>
      </c>
      <c r="P262" s="56">
        <f t="shared" si="10"/>
        <v>4</v>
      </c>
      <c r="Q262" s="105" t="s">
        <v>9</v>
      </c>
      <c r="R262" s="10"/>
      <c r="S262" s="59">
        <f t="array" ref="S262">IF(COUNTA(Q262:Q1673)=0,"",SUM((COUNTIF(Q$4:Q262,Upgrades!$B$3:$B$13)-COUNTIF(Q$4:Q262,"Sell_"&amp;Upgrades!$B$3:$B$13))*Upgrades!$D$3:$D$13))</f>
        <v>273841</v>
      </c>
      <c r="T262" s="66">
        <f>IFERROR(__xludf.DUMMYFUNCTION("IF(COUNTA(Q262:Q1673)=0,"""",IF(REGEXMATCH(INDEX(FILTER(Q$4:Q262,Q$4:Q262&lt;&gt;""""),ROWS(FILTER(Q$4:Q262,Q$4:Q262&lt;&gt;""""))),""^Sell_""),INDEX(FILTER(T$4:T261,Q$4:Q261&lt;&gt;""""),ROWS(FILTER(Q$4:Q261,Q$4:Q261&lt;&gt;""""))),$AD$5+S262))"),273856.0)</f>
        <v>273856</v>
      </c>
      <c r="U262" s="10">
        <f>IFERROR(__xludf.DUMMYFUNCTION("IF(COUNTA(Q262:Q1673)=0,"""",IF(Q262="""",0,IF(REGEXMATCH(Q262,""^Sell_""),-ROUNDDOWN(ROUNDUP(INDEX(Upgrades!$C$3:$C$13,MATCH(SUBSTITUTE(Q262,""Sell_"",""""),Upgrades!$B$3:$B$13,0))*1.15^(COUNTIF(Q$4:Q261,SUBSTITUTE(Q262,""Sell_"",""""))-COUNTIF(Q$4:Q261,"&amp;"""Sell_""&amp;SUBSTITUTE(Q262,""Sell_"",""""))))/2),ROUNDUP(INDEX(Upgrades!$C$3:$C$13,MATCH(Q262,Upgrades!$B$3:$B$13,0))*1.15^(COUNTIF(Q$4:Q261,Q262)-COUNTIF(Q$4:Q261,""Sell_""&amp;Q262))))))"),304175.0)</f>
        <v>304175</v>
      </c>
      <c r="V262" s="10">
        <f t="shared" si="11"/>
        <v>304175</v>
      </c>
      <c r="W262" s="68">
        <f t="shared" si="12"/>
        <v>6089.598021</v>
      </c>
      <c r="X262" s="59" t="str">
        <f t="shared" si="13"/>
        <v>1h 41m 29s</v>
      </c>
      <c r="Y262" s="69">
        <f t="shared" si="14"/>
        <v>361302693</v>
      </c>
      <c r="Z262" s="11"/>
    </row>
    <row r="263">
      <c r="A263" s="8"/>
      <c r="B263" s="56" t="str">
        <f t="shared" si="2"/>
        <v/>
      </c>
      <c r="C263" s="105"/>
      <c r="D263" s="10"/>
      <c r="E263" s="59" t="str">
        <f t="array" ref="E263">IF(COUNTA(C263:C1673)=0,"",SUM((COUNTIF(C$4:C263,Upgrades!$B$3:$B$13)-COUNTIF(C$4:C263,"Sell_"&amp;Upgrades!$B$3:$B$13))*Upgrades!$D$3:$D$13))</f>
        <v/>
      </c>
      <c r="F263" s="66" t="str">
        <f>IFERROR(__xludf.DUMMYFUNCTION("IF(COUNTA(C263:C1673)=0,"""",IF(REGEXMATCH(INDEX(FILTER(C$4:C263,C$4:C263&lt;&gt;""""),ROWS(FILTER(C$4:C263,C$4:C263&lt;&gt;""""))),""^Sell_""),INDEX(FILTER(F$4:F262,C$4:C262&lt;&gt;""""),ROWS(FILTER(C$4:C262,C$4:C262&lt;&gt;""""))),$AC$5+E263))"),"")</f>
        <v/>
      </c>
      <c r="G263" s="10" t="str">
        <f>IFERROR(__xludf.DUMMYFUNCTION("IF(COUNTA(C263:C1673)=0,"""",IF(C263="""",0,IF(REGEXMATCH(C263,""^Sell_""),-ROUNDDOWN(ROUNDUP(INDEX(Upgrades!$C$3:$C$13,MATCH(SUBSTITUTE(C263,""Sell_"",""""),Upgrades!$B$3:$B$13,0))*1.15^(COUNTIF(C$4:C262,SUBSTITUTE(C263,""Sell_"",""""))-COUNTIF(C$4:C262,"&amp;"""Sell_""&amp;SUBSTITUTE(C263,""Sell_"",""""))))/2),ROUNDUP(INDEX(Upgrades!$C$3:$C$13,MATCH(C263,Upgrades!$B$3:$B$13,0))*1.15^(COUNTIF(C$4:C262,C263)-COUNTIF(C$4:C262,""Sell_""&amp;C263))))))"),"")</f>
        <v/>
      </c>
      <c r="H263" s="10" t="str">
        <f t="shared" si="3"/>
        <v/>
      </c>
      <c r="I263" s="68" t="str">
        <f t="shared" si="4"/>
        <v/>
      </c>
      <c r="J263" s="59" t="str">
        <f t="shared" si="5"/>
        <v/>
      </c>
      <c r="K263" s="69" t="str">
        <f t="shared" si="6"/>
        <v/>
      </c>
      <c r="L263" s="60">
        <f t="shared" si="7"/>
        <v>-221.79988</v>
      </c>
      <c r="M263" s="61">
        <f>IFERROR(__xludf.DUMMYFUNCTION("IFS(AND(COUNTA(C263:C1673)=0,COUNTA(Q263:Q1673)=0),"""",OR(AND(K263&gt;=1000000000,OR(Y263&gt;=1000000000,COUNTA(Q263:Q1673)=0)),OR(Y263&gt;=1000000000,AND(COUNTA(C263:C1673)=0,P$3=TRUE))),
ROUNDDOWN((AB$1-AC$1)*MAX(INDEX(T$4:T1673,MATCH(LARGE(FILTER(Y$4:Y1673,Y$4"&amp;":Y1673&lt;1000000000),1),Y$4:Y1673)),INDEX(F$4:F1673,MATCH(LARGE(FILTER(K$4:K1673,K$4:K1673&lt;1000000000),1),K$4:K1673)))),AND(K263&lt;1000000000,COUNTA(C263:C1673)&gt;0,P$3=FALSE),
ROUNDDOWN(INDEX(Y$4:Y1673,MATCH(LARGE(FILTER(W$4:W1673,W$4:W1673&lt;=I263),1),W$4:W1673"&amp;"))+(I263-LARGE(FILTER(W$4:W1673,W$4:W1673&lt;=I263),1))*INDEX(T$4:T1673,MATCH(LARGE(FILTER(W$4:W1673,W$4:W1673&lt;=I263),1),W$4:W1673))-K263),1,
ROUNDDOWN(Y263-INDEX(K$4:K1673,MATCH(LARGE(FILTER(I$4:I1673,I$4:I1673&lt;=W263),1),I$4:I1673))-(W263-LARGE(FILTER(I$4:I"&amp;"1673,I$4:I1673&lt;=W263),1))*INDEX(F$4:F1673,MATCH(LARGE(FILTER(I$4:I1673,I$4:I1673&lt;=W263),1),I$4:I1673))))"),4.7114952E7)</f>
        <v>47114952</v>
      </c>
      <c r="N263" s="60">
        <f t="shared" si="8"/>
        <v>-221.79988</v>
      </c>
      <c r="O263" s="61" t="str">
        <f t="shared" si="9"/>
        <v>47,1M</v>
      </c>
      <c r="P263" s="56">
        <f t="shared" si="10"/>
        <v>6</v>
      </c>
      <c r="Q263" s="105" t="s">
        <v>8</v>
      </c>
      <c r="R263" s="10"/>
      <c r="S263" s="59">
        <f t="array" ref="S263">IF(COUNTA(Q263:Q1673)=0,"",SUM((COUNTIF(Q$4:Q263,Upgrades!$B$3:$B$13)-COUNTIF(Q$4:Q263,"Sell_"&amp;Upgrades!$B$3:$B$13))*Upgrades!$D$3:$D$13))</f>
        <v>273941</v>
      </c>
      <c r="T263" s="66">
        <f>IFERROR(__xludf.DUMMYFUNCTION("IF(COUNTA(Q263:Q1673)=0,"""",IF(REGEXMATCH(INDEX(FILTER(Q$4:Q263,Q$4:Q263&lt;&gt;""""),ROWS(FILTER(Q$4:Q263,Q$4:Q263&lt;&gt;""""))),""^Sell_""),INDEX(FILTER(T$4:T262,Q$4:Q262&lt;&gt;""""),ROWS(FILTER(Q$4:Q262,Q$4:Q262&lt;&gt;""""))),$AD$5+S263))"),273956.0)</f>
        <v>273956</v>
      </c>
      <c r="U263" s="10">
        <f>IFERROR(__xludf.DUMMYFUNCTION("IF(COUNTA(Q263:Q1673)=0,"""",IF(Q263="""",0,IF(REGEXMATCH(Q263,""^Sell_""),-ROUNDDOWN(ROUNDUP(INDEX(Upgrades!$C$3:$C$13,MATCH(SUBSTITUTE(Q263,""Sell_"",""""),Upgrades!$B$3:$B$13,0))*1.15^(COUNTIF(Q$4:Q262,SUBSTITUTE(Q263,""Sell_"",""""))-COUNTIF(Q$4:Q262,"&amp;"""Sell_""&amp;SUBSTITUTE(Q263,""Sell_"",""""))))/2),ROUNDUP(INDEX(Upgrades!$C$3:$C$13,MATCH(Q263,Upgrades!$B$3:$B$13,0))*1.15^(COUNTIF(Q$4:Q262,Q263)-COUNTIF(Q$4:Q262,""Sell_""&amp;Q263))))))"),80455.0)</f>
        <v>80455</v>
      </c>
      <c r="V263" s="10">
        <f t="shared" si="11"/>
        <v>80455</v>
      </c>
      <c r="W263" s="68">
        <f t="shared" si="12"/>
        <v>6089.891807</v>
      </c>
      <c r="X263" s="59" t="str">
        <f t="shared" si="13"/>
        <v>1h 41m 29s</v>
      </c>
      <c r="Y263" s="69">
        <f t="shared" si="14"/>
        <v>361383148</v>
      </c>
      <c r="Z263" s="11"/>
    </row>
    <row r="264">
      <c r="A264" s="8"/>
      <c r="B264" s="56" t="str">
        <f t="shared" si="2"/>
        <v/>
      </c>
      <c r="C264" s="105"/>
      <c r="D264" s="10"/>
      <c r="E264" s="59" t="str">
        <f t="array" ref="E264">IF(COUNTA(C264:C1673)=0,"",SUM((COUNTIF(C$4:C264,Upgrades!$B$3:$B$13)-COUNTIF(C$4:C264,"Sell_"&amp;Upgrades!$B$3:$B$13))*Upgrades!$D$3:$D$13))</f>
        <v/>
      </c>
      <c r="F264" s="66" t="str">
        <f>IFERROR(__xludf.DUMMYFUNCTION("IF(COUNTA(C264:C1673)=0,"""",IF(REGEXMATCH(INDEX(FILTER(C$4:C264,C$4:C264&lt;&gt;""""),ROWS(FILTER(C$4:C264,C$4:C264&lt;&gt;""""))),""^Sell_""),INDEX(FILTER(F$4:F263,C$4:C263&lt;&gt;""""),ROWS(FILTER(C$4:C263,C$4:C263&lt;&gt;""""))),$AC$5+E264))"),"")</f>
        <v/>
      </c>
      <c r="G264" s="10" t="str">
        <f>IFERROR(__xludf.DUMMYFUNCTION("IF(COUNTA(C264:C1673)=0,"""",IF(C264="""",0,IF(REGEXMATCH(C264,""^Sell_""),-ROUNDDOWN(ROUNDUP(INDEX(Upgrades!$C$3:$C$13,MATCH(SUBSTITUTE(C264,""Sell_"",""""),Upgrades!$B$3:$B$13,0))*1.15^(COUNTIF(C$4:C263,SUBSTITUTE(C264,""Sell_"",""""))-COUNTIF(C$4:C263,"&amp;"""Sell_""&amp;SUBSTITUTE(C264,""Sell_"",""""))))/2),ROUNDUP(INDEX(Upgrades!$C$3:$C$13,MATCH(C264,Upgrades!$B$3:$B$13,0))*1.15^(COUNTIF(C$4:C263,C264)-COUNTIF(C$4:C263,""Sell_""&amp;C264))))))"),"")</f>
        <v/>
      </c>
      <c r="H264" s="10" t="str">
        <f t="shared" si="3"/>
        <v/>
      </c>
      <c r="I264" s="68" t="str">
        <f t="shared" si="4"/>
        <v/>
      </c>
      <c r="J264" s="59" t="str">
        <f t="shared" si="5"/>
        <v/>
      </c>
      <c r="K264" s="69" t="str">
        <f t="shared" si="6"/>
        <v/>
      </c>
      <c r="L264" s="60">
        <f t="shared" si="7"/>
        <v>-222.16976</v>
      </c>
      <c r="M264" s="61">
        <f>IFERROR(__xludf.DUMMYFUNCTION("IFS(AND(COUNTA(C264:C1673)=0,COUNTA(Q264:Q1673)=0),"""",OR(AND(K264&gt;=1000000000,OR(Y264&gt;=1000000000,COUNTA(Q264:Q1673)=0)),OR(Y264&gt;=1000000000,AND(COUNTA(C264:C1673)=0,P$3=TRUE))),
ROUNDDOWN((AB$1-AC$1)*MAX(INDEX(T$4:T1673,MATCH(LARGE(FILTER(Y$4:Y1673,Y$4"&amp;":Y1673&lt;1000000000),1),Y$4:Y1673)),INDEX(F$4:F1673,MATCH(LARGE(FILTER(K$4:K1673,K$4:K1673&lt;1000000000),1),K$4:K1673)))),AND(K264&lt;1000000000,COUNTA(C264:C1673)&gt;0,P$3=FALSE),
ROUNDDOWN(INDEX(Y$4:Y1673,MATCH(LARGE(FILTER(W$4:W1673,W$4:W1673&lt;=I264),1),W$4:W1673"&amp;"))+(I264-LARGE(FILTER(W$4:W1673,W$4:W1673&lt;=I264),1))*INDEX(T$4:T1673,MATCH(LARGE(FILTER(W$4:W1673,W$4:W1673&lt;=I264),1),W$4:W1673))-K264),1,
ROUNDDOWN(Y264-INDEX(K$4:K1673,MATCH(LARGE(FILTER(I$4:I1673,I$4:I1673&lt;=W264),1),I$4:I1673))-(W264-LARGE(FILTER(I$4:I"&amp;"1673,I$4:I1673&lt;=W264),1))*INDEX(F$4:F1673,MATCH(LARGE(FILTER(I$4:I1673,I$4:I1673&lt;=W264),1),I$4:I1673))))"),4.7193523E7)</f>
        <v>47193523</v>
      </c>
      <c r="N264" s="60">
        <f t="shared" si="8"/>
        <v>-222.16976</v>
      </c>
      <c r="O264" s="61" t="str">
        <f t="shared" si="9"/>
        <v>47,2M</v>
      </c>
      <c r="P264" s="56">
        <f t="shared" si="10"/>
        <v>5</v>
      </c>
      <c r="Q264" s="105" t="s">
        <v>9</v>
      </c>
      <c r="R264" s="10"/>
      <c r="S264" s="59">
        <f t="array" ref="S264">IF(COUNTA(Q264:Q1673)=0,"",SUM((COUNTIF(Q$4:Q264,Upgrades!$B$3:$B$13)-COUNTIF(Q$4:Q264,"Sell_"&amp;Upgrades!$B$3:$B$13))*Upgrades!$D$3:$D$13))</f>
        <v>274341</v>
      </c>
      <c r="T264" s="66">
        <f>IFERROR(__xludf.DUMMYFUNCTION("IF(COUNTA(Q264:Q1673)=0,"""",IF(REGEXMATCH(INDEX(FILTER(Q$4:Q264,Q$4:Q264&lt;&gt;""""),ROWS(FILTER(Q$4:Q264,Q$4:Q264&lt;&gt;""""))),""^Sell_""),INDEX(FILTER(T$4:T263,Q$4:Q263&lt;&gt;""""),ROWS(FILTER(Q$4:Q263,Q$4:Q263&lt;&gt;""""))),$AD$5+S264))"),274356.0)</f>
        <v>274356</v>
      </c>
      <c r="U264" s="10">
        <f>IFERROR(__xludf.DUMMYFUNCTION("IF(COUNTA(Q264:Q1673)=0,"""",IF(Q264="""",0,IF(REGEXMATCH(Q264,""^Sell_""),-ROUNDDOWN(ROUNDUP(INDEX(Upgrades!$C$3:$C$13,MATCH(SUBSTITUTE(Q264,""Sell_"",""""),Upgrades!$B$3:$B$13,0))*1.15^(COUNTIF(Q$4:Q263,SUBSTITUTE(Q264,""Sell_"",""""))-COUNTIF(Q$4:Q263,"&amp;"""Sell_""&amp;SUBSTITUTE(Q264,""Sell_"",""""))))/2),ROUNDUP(INDEX(Upgrades!$C$3:$C$13,MATCH(Q264,Upgrades!$B$3:$B$13,0))*1.15^(COUNTIF(Q$4:Q263,Q264)-COUNTIF(Q$4:Q263,""Sell_""&amp;Q264))))))"),349802.0)</f>
        <v>349802</v>
      </c>
      <c r="V264" s="10">
        <f t="shared" si="11"/>
        <v>349802</v>
      </c>
      <c r="W264" s="68">
        <f t="shared" si="12"/>
        <v>6091.168661</v>
      </c>
      <c r="X264" s="59" t="str">
        <f t="shared" si="13"/>
        <v>1h 41m 31s</v>
      </c>
      <c r="Y264" s="69">
        <f t="shared" si="14"/>
        <v>361732950</v>
      </c>
      <c r="Z264" s="11"/>
    </row>
    <row r="265">
      <c r="A265" s="8"/>
      <c r="B265" s="56" t="str">
        <f t="shared" si="2"/>
        <v/>
      </c>
      <c r="C265" s="105"/>
      <c r="D265" s="10"/>
      <c r="E265" s="59" t="str">
        <f t="array" ref="E265">IF(COUNTA(C265:C1673)=0,"",SUM((COUNTIF(C$4:C265,Upgrades!$B$3:$B$13)-COUNTIF(C$4:C265,"Sell_"&amp;Upgrades!$B$3:$B$13))*Upgrades!$D$3:$D$13))</f>
        <v/>
      </c>
      <c r="F265" s="66" t="str">
        <f>IFERROR(__xludf.DUMMYFUNCTION("IF(COUNTA(C265:C1673)=0,"""",IF(REGEXMATCH(INDEX(FILTER(C$4:C265,C$4:C265&lt;&gt;""""),ROWS(FILTER(C$4:C265,C$4:C265&lt;&gt;""""))),""^Sell_""),INDEX(FILTER(F$4:F264,C$4:C264&lt;&gt;""""),ROWS(FILTER(C$4:C264,C$4:C264&lt;&gt;""""))),$AC$5+E265))"),"")</f>
        <v/>
      </c>
      <c r="G265" s="10" t="str">
        <f>IFERROR(__xludf.DUMMYFUNCTION("IF(COUNTA(C265:C1673)=0,"""",IF(C265="""",0,IF(REGEXMATCH(C265,""^Sell_""),-ROUNDDOWN(ROUNDUP(INDEX(Upgrades!$C$3:$C$13,MATCH(SUBSTITUTE(C265,""Sell_"",""""),Upgrades!$B$3:$B$13,0))*1.15^(COUNTIF(C$4:C264,SUBSTITUTE(C265,""Sell_"",""""))-COUNTIF(C$4:C264,"&amp;"""Sell_""&amp;SUBSTITUTE(C265,""Sell_"",""""))))/2),ROUNDUP(INDEX(Upgrades!$C$3:$C$13,MATCH(C265,Upgrades!$B$3:$B$13,0))*1.15^(COUNTIF(C$4:C264,C265)-COUNTIF(C$4:C264,""Sell_""&amp;C265))))))"),"")</f>
        <v/>
      </c>
      <c r="H265" s="10" t="str">
        <f t="shared" si="3"/>
        <v/>
      </c>
      <c r="I265" s="68" t="str">
        <f t="shared" si="4"/>
        <v/>
      </c>
      <c r="J265" s="59" t="str">
        <f t="shared" si="5"/>
        <v/>
      </c>
      <c r="K265" s="69" t="str">
        <f t="shared" si="6"/>
        <v/>
      </c>
      <c r="L265" s="60">
        <f t="shared" si="7"/>
        <v>-222.26809</v>
      </c>
      <c r="M265" s="61">
        <f>IFERROR(__xludf.DUMMYFUNCTION("IFS(AND(COUNTA(C265:C1673)=0,COUNTA(Q265:Q1673)=0),"""",OR(AND(K265&gt;=1000000000,OR(Y265&gt;=1000000000,COUNTA(Q265:Q1673)=0)),OR(Y265&gt;=1000000000,AND(COUNTA(C265:C1673)=0,P$3=TRUE))),
ROUNDDOWN((AB$1-AC$1)*MAX(INDEX(T$4:T1673,MATCH(LARGE(FILTER(Y$4:Y1673,Y$4"&amp;":Y1673&lt;1000000000),1),Y$4:Y1673)),INDEX(F$4:F1673,MATCH(LARGE(FILTER(K$4:K1673,K$4:K1673&lt;1000000000),1),K$4:K1673)))),AND(K265&lt;1000000000,COUNTA(C265:C1673)&gt;0,P$3=FALSE),
ROUNDDOWN(INDEX(Y$4:Y1673,MATCH(LARGE(FILTER(W$4:W1673,W$4:W1673&lt;=I265),1),W$4:W1673"&amp;"))+(I265-LARGE(FILTER(W$4:W1673,W$4:W1673&lt;=I265),1))*INDEX(T$4:T1673,MATCH(LARGE(FILTER(W$4:W1673,W$4:W1673&lt;=I265),1),W$4:W1673))-K265),1,
ROUNDDOWN(Y265-INDEX(K$4:K1673,MATCH(LARGE(FILTER(I$4:I1673,I$4:I1673&lt;=W265),1),I$4:I1673))-(W265-LARGE(FILTER(I$4:I"&amp;"1673,I$4:I1673&lt;=W265),1))*INDEX(F$4:F1673,MATCH(LARGE(FILTER(I$4:I1673,I$4:I1673&lt;=W265),1),I$4:I1673))))"),4.721441E7)</f>
        <v>47214410</v>
      </c>
      <c r="N265" s="60">
        <f t="shared" si="8"/>
        <v>-222.26809</v>
      </c>
      <c r="O265" s="61" t="str">
        <f t="shared" si="9"/>
        <v>47,2M</v>
      </c>
      <c r="P265" s="56">
        <f t="shared" si="10"/>
        <v>7</v>
      </c>
      <c r="Q265" s="105" t="s">
        <v>8</v>
      </c>
      <c r="R265" s="10"/>
      <c r="S265" s="59">
        <f t="array" ref="S265">IF(COUNTA(Q265:Q1673)=0,"",SUM((COUNTIF(Q$4:Q265,Upgrades!$B$3:$B$13)-COUNTIF(Q$4:Q265,"Sell_"&amp;Upgrades!$B$3:$B$13))*Upgrades!$D$3:$D$13))</f>
        <v>274441</v>
      </c>
      <c r="T265" s="66">
        <f>IFERROR(__xludf.DUMMYFUNCTION("IF(COUNTA(Q265:Q1673)=0,"""",IF(REGEXMATCH(INDEX(FILTER(Q$4:Q265,Q$4:Q265&lt;&gt;""""),ROWS(FILTER(Q$4:Q265,Q$4:Q265&lt;&gt;""""))),""^Sell_""),INDEX(FILTER(T$4:T264,Q$4:Q264&lt;&gt;""""),ROWS(FILTER(Q$4:Q264,Q$4:Q264&lt;&gt;""""))),$AD$5+S265))"),274456.0)</f>
        <v>274456</v>
      </c>
      <c r="U265" s="10">
        <f>IFERROR(__xludf.DUMMYFUNCTION("IF(COUNTA(Q265:Q1673)=0,"""",IF(Q265="""",0,IF(REGEXMATCH(Q265,""^Sell_""),-ROUNDDOWN(ROUNDUP(INDEX(Upgrades!$C$3:$C$13,MATCH(SUBSTITUTE(Q265,""Sell_"",""""),Upgrades!$B$3:$B$13,0))*1.15^(COUNTIF(Q$4:Q264,SUBSTITUTE(Q265,""Sell_"",""""))-COUNTIF(Q$4:Q264,"&amp;"""Sell_""&amp;SUBSTITUTE(Q265,""Sell_"",""""))))/2),ROUNDUP(INDEX(Upgrades!$C$3:$C$13,MATCH(Q265,Upgrades!$B$3:$B$13,0))*1.15^(COUNTIF(Q$4:Q264,Q265)-COUNTIF(Q$4:Q264,""Sell_""&amp;Q265))))))"),92523.0)</f>
        <v>92523</v>
      </c>
      <c r="V265" s="10">
        <f t="shared" si="11"/>
        <v>92523</v>
      </c>
      <c r="W265" s="68">
        <f t="shared" si="12"/>
        <v>6091.505898</v>
      </c>
      <c r="X265" s="59" t="str">
        <f t="shared" si="13"/>
        <v>1h 41m 31s</v>
      </c>
      <c r="Y265" s="69">
        <f t="shared" si="14"/>
        <v>361825473</v>
      </c>
      <c r="Z265" s="11"/>
    </row>
    <row r="266">
      <c r="A266" s="8"/>
      <c r="B266" s="56" t="str">
        <f t="shared" si="2"/>
        <v/>
      </c>
      <c r="C266" s="105"/>
      <c r="D266" s="10"/>
      <c r="E266" s="59" t="str">
        <f t="array" ref="E266">IF(COUNTA(C266:C1673)=0,"",SUM((COUNTIF(C$4:C266,Upgrades!$B$3:$B$13)-COUNTIF(C$4:C266,"Sell_"&amp;Upgrades!$B$3:$B$13))*Upgrades!$D$3:$D$13))</f>
        <v/>
      </c>
      <c r="F266" s="66" t="str">
        <f>IFERROR(__xludf.DUMMYFUNCTION("IF(COUNTA(C266:C1673)=0,"""",IF(REGEXMATCH(INDEX(FILTER(C$4:C266,C$4:C266&lt;&gt;""""),ROWS(FILTER(C$4:C266,C$4:C266&lt;&gt;""""))),""^Sell_""),INDEX(FILTER(F$4:F265,C$4:C265&lt;&gt;""""),ROWS(FILTER(C$4:C265,C$4:C265&lt;&gt;""""))),$AC$5+E266))"),"")</f>
        <v/>
      </c>
      <c r="G266" s="10" t="str">
        <f>IFERROR(__xludf.DUMMYFUNCTION("IF(COUNTA(C266:C1673)=0,"""",IF(C266="""",0,IF(REGEXMATCH(C266,""^Sell_""),-ROUNDDOWN(ROUNDUP(INDEX(Upgrades!$C$3:$C$13,MATCH(SUBSTITUTE(C266,""Sell_"",""""),Upgrades!$B$3:$B$13,0))*1.15^(COUNTIF(C$4:C265,SUBSTITUTE(C266,""Sell_"",""""))-COUNTIF(C$4:C265,"&amp;"""Sell_""&amp;SUBSTITUTE(C266,""Sell_"",""""))))/2),ROUNDUP(INDEX(Upgrades!$C$3:$C$13,MATCH(C266,Upgrades!$B$3:$B$13,0))*1.15^(COUNTIF(C$4:C265,C266)-COUNTIF(C$4:C265,""Sell_""&amp;C266))))))"),"")</f>
        <v/>
      </c>
      <c r="H266" s="10" t="str">
        <f t="shared" si="3"/>
        <v/>
      </c>
      <c r="I266" s="68" t="str">
        <f t="shared" si="4"/>
        <v/>
      </c>
      <c r="J266" s="59" t="str">
        <f t="shared" si="5"/>
        <v/>
      </c>
      <c r="K266" s="69" t="str">
        <f t="shared" si="6"/>
        <v/>
      </c>
      <c r="L266" s="60">
        <f t="shared" si="7"/>
        <v>-222.69613</v>
      </c>
      <c r="M266" s="61">
        <f>IFERROR(__xludf.DUMMYFUNCTION("IFS(AND(COUNTA(C266:C1673)=0,COUNTA(Q266:Q1673)=0),"""",OR(AND(K266&gt;=1000000000,OR(Y266&gt;=1000000000,COUNTA(Q266:Q1673)=0)),OR(Y266&gt;=1000000000,AND(COUNTA(C266:C1673)=0,P$3=TRUE))),
ROUNDDOWN((AB$1-AC$1)*MAX(INDEX(T$4:T1673,MATCH(LARGE(FILTER(Y$4:Y1673,Y$4"&amp;":Y1673&lt;1000000000),1),Y$4:Y1673)),INDEX(F$4:F1673,MATCH(LARGE(FILTER(K$4:K1673,K$4:K1673&lt;1000000000),1),K$4:K1673)))),AND(K266&lt;1000000000,COUNTA(C266:C1673)&gt;0,P$3=FALSE),
ROUNDDOWN(INDEX(Y$4:Y1673,MATCH(LARGE(FILTER(W$4:W1673,W$4:W1673&lt;=I266),1),W$4:W1673"&amp;"))+(I266-LARGE(FILTER(W$4:W1673,W$4:W1673&lt;=I266),1))*INDEX(T$4:T1673,MATCH(LARGE(FILTER(W$4:W1673,W$4:W1673&lt;=I266),1),W$4:W1673))-K266),1,
ROUNDDOWN(Y266-INDEX(K$4:K1673,MATCH(LARGE(FILTER(I$4:I1673,I$4:I1673&lt;=W266),1),I$4:I1673))-(W266-LARGE(FILTER(I$4:I"&amp;"1673,I$4:I1673&lt;=W266),1))*INDEX(F$4:F1673,MATCH(LARGE(FILTER(I$4:I1673,I$4:I1673&lt;=W266),1),I$4:I1673))))"),4.7305335E7)</f>
        <v>47305335</v>
      </c>
      <c r="N266" s="60">
        <f t="shared" si="8"/>
        <v>-222.69613</v>
      </c>
      <c r="O266" s="61" t="str">
        <f t="shared" si="9"/>
        <v>47,3M</v>
      </c>
      <c r="P266" s="56">
        <f t="shared" si="10"/>
        <v>6</v>
      </c>
      <c r="Q266" s="105" t="s">
        <v>9</v>
      </c>
      <c r="R266" s="10"/>
      <c r="S266" s="59">
        <f t="array" ref="S266">IF(COUNTA(Q266:Q1673)=0,"",SUM((COUNTIF(Q$4:Q266,Upgrades!$B$3:$B$13)-COUNTIF(Q$4:Q266,"Sell_"&amp;Upgrades!$B$3:$B$13))*Upgrades!$D$3:$D$13))</f>
        <v>274841</v>
      </c>
      <c r="T266" s="66">
        <f>IFERROR(__xludf.DUMMYFUNCTION("IF(COUNTA(Q266:Q1673)=0,"""",IF(REGEXMATCH(INDEX(FILTER(Q$4:Q266,Q$4:Q266&lt;&gt;""""),ROWS(FILTER(Q$4:Q266,Q$4:Q266&lt;&gt;""""))),""^Sell_""),INDEX(FILTER(T$4:T265,Q$4:Q265&lt;&gt;""""),ROWS(FILTER(Q$4:Q265,Q$4:Q265&lt;&gt;""""))),$AD$5+S266))"),274856.0)</f>
        <v>274856</v>
      </c>
      <c r="U266" s="10">
        <f>IFERROR(__xludf.DUMMYFUNCTION("IF(COUNTA(Q266:Q1673)=0,"""",IF(Q266="""",0,IF(REGEXMATCH(Q266,""^Sell_""),-ROUNDDOWN(ROUNDUP(INDEX(Upgrades!$C$3:$C$13,MATCH(SUBSTITUTE(Q266,""Sell_"",""""),Upgrades!$B$3:$B$13,0))*1.15^(COUNTIF(Q$4:Q265,SUBSTITUTE(Q266,""Sell_"",""""))-COUNTIF(Q$4:Q265,"&amp;"""Sell_""&amp;SUBSTITUTE(Q266,""Sell_"",""""))))/2),ROUNDUP(INDEX(Upgrades!$C$3:$C$13,MATCH(Q266,Upgrades!$B$3:$B$13,0))*1.15^(COUNTIF(Q$4:Q265,Q266)-COUNTIF(Q$4:Q265,""Sell_""&amp;Q266))))))"),402272.0)</f>
        <v>402272</v>
      </c>
      <c r="V266" s="10">
        <f t="shared" si="11"/>
        <v>402272</v>
      </c>
      <c r="W266" s="68">
        <f t="shared" si="12"/>
        <v>6092.971605</v>
      </c>
      <c r="X266" s="59" t="str">
        <f t="shared" si="13"/>
        <v>1h 41m 32s</v>
      </c>
      <c r="Y266" s="69">
        <f t="shared" si="14"/>
        <v>362227745</v>
      </c>
      <c r="Z266" s="11"/>
    </row>
    <row r="267">
      <c r="A267" s="8"/>
      <c r="B267" s="56" t="str">
        <f t="shared" si="2"/>
        <v/>
      </c>
      <c r="C267" s="105"/>
      <c r="D267" s="10"/>
      <c r="E267" s="59" t="str">
        <f t="array" ref="E267">IF(COUNTA(C267:C1673)=0,"",SUM((COUNTIF(C$4:C267,Upgrades!$B$3:$B$13)-COUNTIF(C$4:C267,"Sell_"&amp;Upgrades!$B$3:$B$13))*Upgrades!$D$3:$D$13))</f>
        <v/>
      </c>
      <c r="F267" s="66" t="str">
        <f>IFERROR(__xludf.DUMMYFUNCTION("IF(COUNTA(C267:C1673)=0,"""",IF(REGEXMATCH(INDEX(FILTER(C$4:C267,C$4:C267&lt;&gt;""""),ROWS(FILTER(C$4:C267,C$4:C267&lt;&gt;""""))),""^Sell_""),INDEX(FILTER(F$4:F266,C$4:C266&lt;&gt;""""),ROWS(FILTER(C$4:C266,C$4:C266&lt;&gt;""""))),$AC$5+E267))"),"")</f>
        <v/>
      </c>
      <c r="G267" s="10" t="str">
        <f>IFERROR(__xludf.DUMMYFUNCTION("IF(COUNTA(C267:C1673)=0,"""",IF(C267="""",0,IF(REGEXMATCH(C267,""^Sell_""),-ROUNDDOWN(ROUNDUP(INDEX(Upgrades!$C$3:$C$13,MATCH(SUBSTITUTE(C267,""Sell_"",""""),Upgrades!$B$3:$B$13,0))*1.15^(COUNTIF(C$4:C266,SUBSTITUTE(C267,""Sell_"",""""))-COUNTIF(C$4:C266,"&amp;"""Sell_""&amp;SUBSTITUTE(C267,""Sell_"",""""))))/2),ROUNDUP(INDEX(Upgrades!$C$3:$C$13,MATCH(C267,Upgrades!$B$3:$B$13,0))*1.15^(COUNTIF(C$4:C266,C267)-COUNTIF(C$4:C266,""Sell_""&amp;C267))))))"),"")</f>
        <v/>
      </c>
      <c r="H267" s="10" t="str">
        <f t="shared" si="3"/>
        <v/>
      </c>
      <c r="I267" s="68" t="str">
        <f t="shared" si="4"/>
        <v/>
      </c>
      <c r="J267" s="59" t="str">
        <f t="shared" si="5"/>
        <v/>
      </c>
      <c r="K267" s="69" t="str">
        <f t="shared" si="6"/>
        <v/>
      </c>
      <c r="L267" s="60">
        <f t="shared" si="7"/>
        <v>-222.80991</v>
      </c>
      <c r="M267" s="61">
        <f>IFERROR(__xludf.DUMMYFUNCTION("IFS(AND(COUNTA(C267:C1673)=0,COUNTA(Q267:Q1673)=0),"""",OR(AND(K267&gt;=1000000000,OR(Y267&gt;=1000000000,COUNTA(Q267:Q1673)=0)),OR(Y267&gt;=1000000000,AND(COUNTA(C267:C1673)=0,P$3=TRUE))),
ROUNDDOWN((AB$1-AC$1)*MAX(INDEX(T$4:T1673,MATCH(LARGE(FILTER(Y$4:Y1673,Y$4"&amp;":Y1673&lt;1000000000),1),Y$4:Y1673)),INDEX(F$4:F1673,MATCH(LARGE(FILTER(K$4:K1673,K$4:K1673&lt;1000000000),1),K$4:K1673)))),AND(K267&lt;1000000000,COUNTA(C267:C1673)&gt;0,P$3=FALSE),
ROUNDDOWN(INDEX(Y$4:Y1673,MATCH(LARGE(FILTER(W$4:W1673,W$4:W1673&lt;=I267),1),W$4:W1673"&amp;"))+(I267-LARGE(FILTER(W$4:W1673,W$4:W1673&lt;=I267),1))*INDEX(T$4:T1673,MATCH(LARGE(FILTER(W$4:W1673,W$4:W1673&lt;=I267),1),W$4:W1673))-K267),1,
ROUNDDOWN(Y267-INDEX(K$4:K1673,MATCH(LARGE(FILTER(I$4:I1673,I$4:I1673&lt;=W267),1),I$4:I1673))-(W267-LARGE(FILTER(I$4:I"&amp;"1673,I$4:I1673&lt;=W267),1))*INDEX(F$4:F1673,MATCH(LARGE(FILTER(I$4:I1673,I$4:I1673&lt;=W267),1),I$4:I1673))))"),4.7329505E7)</f>
        <v>47329505</v>
      </c>
      <c r="N267" s="60">
        <f t="shared" si="8"/>
        <v>-222.80991</v>
      </c>
      <c r="O267" s="61" t="str">
        <f t="shared" si="9"/>
        <v>47,3M</v>
      </c>
      <c r="P267" s="56">
        <f t="shared" si="10"/>
        <v>8</v>
      </c>
      <c r="Q267" s="105" t="s">
        <v>8</v>
      </c>
      <c r="R267" s="10"/>
      <c r="S267" s="59">
        <f t="array" ref="S267">IF(COUNTA(Q267:Q1673)=0,"",SUM((COUNTIF(Q$4:Q267,Upgrades!$B$3:$B$13)-COUNTIF(Q$4:Q267,"Sell_"&amp;Upgrades!$B$3:$B$13))*Upgrades!$D$3:$D$13))</f>
        <v>274941</v>
      </c>
      <c r="T267" s="66">
        <f>IFERROR(__xludf.DUMMYFUNCTION("IF(COUNTA(Q267:Q1673)=0,"""",IF(REGEXMATCH(INDEX(FILTER(Q$4:Q267,Q$4:Q267&lt;&gt;""""),ROWS(FILTER(Q$4:Q267,Q$4:Q267&lt;&gt;""""))),""^Sell_""),INDEX(FILTER(T$4:T266,Q$4:Q266&lt;&gt;""""),ROWS(FILTER(Q$4:Q266,Q$4:Q266&lt;&gt;""""))),$AD$5+S267))"),274956.0)</f>
        <v>274956</v>
      </c>
      <c r="U267" s="10">
        <f>IFERROR(__xludf.DUMMYFUNCTION("IF(COUNTA(Q267:Q1673)=0,"""",IF(Q267="""",0,IF(REGEXMATCH(Q267,""^Sell_""),-ROUNDDOWN(ROUNDUP(INDEX(Upgrades!$C$3:$C$13,MATCH(SUBSTITUTE(Q267,""Sell_"",""""),Upgrades!$B$3:$B$13,0))*1.15^(COUNTIF(Q$4:Q266,SUBSTITUTE(Q267,""Sell_"",""""))-COUNTIF(Q$4:Q266,"&amp;"""Sell_""&amp;SUBSTITUTE(Q267,""Sell_"",""""))))/2),ROUNDUP(INDEX(Upgrades!$C$3:$C$13,MATCH(Q267,Upgrades!$B$3:$B$13,0))*1.15^(COUNTIF(Q$4:Q266,Q267)-COUNTIF(Q$4:Q266,""Sell_""&amp;Q267))))))"),106401.0)</f>
        <v>106401</v>
      </c>
      <c r="V267" s="10">
        <f t="shared" si="11"/>
        <v>106401</v>
      </c>
      <c r="W267" s="68">
        <f t="shared" si="12"/>
        <v>6093.358721</v>
      </c>
      <c r="X267" s="59" t="str">
        <f t="shared" si="13"/>
        <v>1h 41m 33s</v>
      </c>
      <c r="Y267" s="69">
        <f t="shared" si="14"/>
        <v>362334146</v>
      </c>
      <c r="Z267" s="11"/>
    </row>
    <row r="268">
      <c r="A268" s="8"/>
      <c r="B268" s="56" t="str">
        <f t="shared" si="2"/>
        <v/>
      </c>
      <c r="C268" s="105"/>
      <c r="D268" s="10"/>
      <c r="E268" s="59" t="str">
        <f t="array" ref="E268">IF(COUNTA(C268:C1673)=0,"",SUM((COUNTIF(C$4:C268,Upgrades!$B$3:$B$13)-COUNTIF(C$4:C268,"Sell_"&amp;Upgrades!$B$3:$B$13))*Upgrades!$D$3:$D$13))</f>
        <v/>
      </c>
      <c r="F268" s="66" t="str">
        <f>IFERROR(__xludf.DUMMYFUNCTION("IF(COUNTA(C268:C1673)=0,"""",IF(REGEXMATCH(INDEX(FILTER(C$4:C268,C$4:C268&lt;&gt;""""),ROWS(FILTER(C$4:C268,C$4:C268&lt;&gt;""""))),""^Sell_""),INDEX(FILTER(F$4:F267,C$4:C267&lt;&gt;""""),ROWS(FILTER(C$4:C267,C$4:C267&lt;&gt;""""))),$AC$5+E268))"),"")</f>
        <v/>
      </c>
      <c r="G268" s="10" t="str">
        <f>IFERROR(__xludf.DUMMYFUNCTION("IF(COUNTA(C268:C1673)=0,"""",IF(C268="""",0,IF(REGEXMATCH(C268,""^Sell_""),-ROUNDDOWN(ROUNDUP(INDEX(Upgrades!$C$3:$C$13,MATCH(SUBSTITUTE(C268,""Sell_"",""""),Upgrades!$B$3:$B$13,0))*1.15^(COUNTIF(C$4:C267,SUBSTITUTE(C268,""Sell_"",""""))-COUNTIF(C$4:C267,"&amp;"""Sell_""&amp;SUBSTITUTE(C268,""Sell_"",""""))))/2),ROUNDUP(INDEX(Upgrades!$C$3:$C$13,MATCH(C268,Upgrades!$B$3:$B$13,0))*1.15^(COUNTIF(C$4:C267,C268)-COUNTIF(C$4:C267,""Sell_""&amp;C268))))))"),"")</f>
        <v/>
      </c>
      <c r="H268" s="10" t="str">
        <f t="shared" si="3"/>
        <v/>
      </c>
      <c r="I268" s="68" t="str">
        <f t="shared" si="4"/>
        <v/>
      </c>
      <c r="J268" s="59" t="str">
        <f t="shared" si="5"/>
        <v/>
      </c>
      <c r="K268" s="69" t="str">
        <f t="shared" si="6"/>
        <v/>
      </c>
      <c r="L268" s="60">
        <f t="shared" si="7"/>
        <v>-223.30522</v>
      </c>
      <c r="M268" s="61">
        <f>IFERROR(__xludf.DUMMYFUNCTION("IFS(AND(COUNTA(C268:C1673)=0,COUNTA(Q268:Q1673)=0),"""",OR(AND(K268&gt;=1000000000,OR(Y268&gt;=1000000000,COUNTA(Q268:Q1673)=0)),OR(Y268&gt;=1000000000,AND(COUNTA(C268:C1673)=0,P$3=TRUE))),
ROUNDDOWN((AB$1-AC$1)*MAX(INDEX(T$4:T1673,MATCH(LARGE(FILTER(Y$4:Y1673,Y$4"&amp;":Y1673&lt;1000000000),1),Y$4:Y1673)),INDEX(F$4:F1673,MATCH(LARGE(FILTER(K$4:K1673,K$4:K1673&lt;1000000000),1),K$4:K1673)))),AND(K268&lt;1000000000,COUNTA(C268:C1673)&gt;0,P$3=FALSE),
ROUNDDOWN(INDEX(Y$4:Y1673,MATCH(LARGE(FILTER(W$4:W1673,W$4:W1673&lt;=I268),1),W$4:W1673"&amp;"))+(I268-LARGE(FILTER(W$4:W1673,W$4:W1673&lt;=I268),1))*INDEX(T$4:T1673,MATCH(LARGE(FILTER(W$4:W1673,W$4:W1673&lt;=I268),1),W$4:W1673))-K268),1,
ROUNDDOWN(Y268-INDEX(K$4:K1673,MATCH(LARGE(FILTER(I$4:I1673,I$4:I1673&lt;=W268),1),I$4:I1673))-(W268-LARGE(FILTER(I$4:I"&amp;"1673,I$4:I1673&lt;=W268),1))*INDEX(F$4:F1673,MATCH(LARGE(FILTER(I$4:I1673,I$4:I1673&lt;=W268),1),I$4:I1673))))"),4.743472E7)</f>
        <v>47434720</v>
      </c>
      <c r="N268" s="60">
        <f t="shared" si="8"/>
        <v>-223.30522</v>
      </c>
      <c r="O268" s="61" t="str">
        <f t="shared" si="9"/>
        <v>47,4M</v>
      </c>
      <c r="P268" s="56">
        <f t="shared" si="10"/>
        <v>7</v>
      </c>
      <c r="Q268" s="105" t="s">
        <v>9</v>
      </c>
      <c r="R268" s="10"/>
      <c r="S268" s="59">
        <f t="array" ref="S268">IF(COUNTA(Q268:Q1673)=0,"",SUM((COUNTIF(Q$4:Q268,Upgrades!$B$3:$B$13)-COUNTIF(Q$4:Q268,"Sell_"&amp;Upgrades!$B$3:$B$13))*Upgrades!$D$3:$D$13))</f>
        <v>275341</v>
      </c>
      <c r="T268" s="66">
        <f>IFERROR(__xludf.DUMMYFUNCTION("IF(COUNTA(Q268:Q1673)=0,"""",IF(REGEXMATCH(INDEX(FILTER(Q$4:Q268,Q$4:Q268&lt;&gt;""""),ROWS(FILTER(Q$4:Q268,Q$4:Q268&lt;&gt;""""))),""^Sell_""),INDEX(FILTER(T$4:T267,Q$4:Q267&lt;&gt;""""),ROWS(FILTER(Q$4:Q267,Q$4:Q267&lt;&gt;""""))),$AD$5+S268))"),275356.0)</f>
        <v>275356</v>
      </c>
      <c r="U268" s="10">
        <f>IFERROR(__xludf.DUMMYFUNCTION("IF(COUNTA(Q268:Q1673)=0,"""",IF(Q268="""",0,IF(REGEXMATCH(Q268,""^Sell_""),-ROUNDDOWN(ROUNDUP(INDEX(Upgrades!$C$3:$C$13,MATCH(SUBSTITUTE(Q268,""Sell_"",""""),Upgrades!$B$3:$B$13,0))*1.15^(COUNTIF(Q$4:Q267,SUBSTITUTE(Q268,""Sell_"",""""))-COUNTIF(Q$4:Q267,"&amp;"""Sell_""&amp;SUBSTITUTE(Q268,""Sell_"",""""))))/2),ROUNDUP(INDEX(Upgrades!$C$3:$C$13,MATCH(Q268,Upgrades!$B$3:$B$13,0))*1.15^(COUNTIF(Q$4:Q267,Q268)-COUNTIF(Q$4:Q267,""Sell_""&amp;Q268))))))"),462613.0)</f>
        <v>462613</v>
      </c>
      <c r="V268" s="10">
        <f t="shared" si="11"/>
        <v>462613</v>
      </c>
      <c r="W268" s="68">
        <f t="shared" si="12"/>
        <v>6095.041219</v>
      </c>
      <c r="X268" s="59" t="str">
        <f t="shared" si="13"/>
        <v>1h 41m 35s</v>
      </c>
      <c r="Y268" s="69">
        <f t="shared" si="14"/>
        <v>362796759</v>
      </c>
      <c r="Z268" s="11"/>
    </row>
    <row r="269">
      <c r="A269" s="8"/>
      <c r="B269" s="56" t="str">
        <f t="shared" si="2"/>
        <v/>
      </c>
      <c r="C269" s="105"/>
      <c r="D269" s="10"/>
      <c r="E269" s="59" t="str">
        <f t="array" ref="E269">IF(COUNTA(C269:C1673)=0,"",SUM((COUNTIF(C$4:C269,Upgrades!$B$3:$B$13)-COUNTIF(C$4:C269,"Sell_"&amp;Upgrades!$B$3:$B$13))*Upgrades!$D$3:$D$13))</f>
        <v/>
      </c>
      <c r="F269" s="66" t="str">
        <f>IFERROR(__xludf.DUMMYFUNCTION("IF(COUNTA(C269:C1673)=0,"""",IF(REGEXMATCH(INDEX(FILTER(C$4:C269,C$4:C269&lt;&gt;""""),ROWS(FILTER(C$4:C269,C$4:C269&lt;&gt;""""))),""^Sell_""),INDEX(FILTER(F$4:F268,C$4:C268&lt;&gt;""""),ROWS(FILTER(C$4:C268,C$4:C268&lt;&gt;""""))),$AC$5+E269))"),"")</f>
        <v/>
      </c>
      <c r="G269" s="10" t="str">
        <f>IFERROR(__xludf.DUMMYFUNCTION("IF(COUNTA(C269:C1673)=0,"""",IF(C269="""",0,IF(REGEXMATCH(C269,""^Sell_""),-ROUNDDOWN(ROUNDUP(INDEX(Upgrades!$C$3:$C$13,MATCH(SUBSTITUTE(C269,""Sell_"",""""),Upgrades!$B$3:$B$13,0))*1.15^(COUNTIF(C$4:C268,SUBSTITUTE(C269,""Sell_"",""""))-COUNTIF(C$4:C268,"&amp;"""Sell_""&amp;SUBSTITUTE(C269,""Sell_"",""""))))/2),ROUNDUP(INDEX(Upgrades!$C$3:$C$13,MATCH(C269,Upgrades!$B$3:$B$13,0))*1.15^(COUNTIF(C$4:C268,C269)-COUNTIF(C$4:C268,""Sell_""&amp;C269))))))"),"")</f>
        <v/>
      </c>
      <c r="H269" s="10" t="str">
        <f t="shared" si="3"/>
        <v/>
      </c>
      <c r="I269" s="68" t="str">
        <f t="shared" si="4"/>
        <v/>
      </c>
      <c r="J269" s="59" t="str">
        <f t="shared" si="5"/>
        <v/>
      </c>
      <c r="K269" s="69" t="str">
        <f t="shared" si="6"/>
        <v/>
      </c>
      <c r="L269" s="60">
        <f t="shared" si="7"/>
        <v>-225.5671</v>
      </c>
      <c r="M269" s="61">
        <f>IFERROR(__xludf.DUMMYFUNCTION("IFS(AND(COUNTA(C269:C1673)=0,COUNTA(Q269:Q1673)=0),"""",OR(AND(K269&gt;=1000000000,OR(Y269&gt;=1000000000,COUNTA(Q269:Q1673)=0)),OR(Y269&gt;=1000000000,AND(COUNTA(C269:C1673)=0,P$3=TRUE))),
ROUNDDOWN((AB$1-AC$1)*MAX(INDEX(T$4:T1673,MATCH(LARGE(FILTER(Y$4:Y1673,Y$4"&amp;":Y1673&lt;1000000000),1),Y$4:Y1673)),INDEX(F$4:F1673,MATCH(LARGE(FILTER(K$4:K1673,K$4:K1673&lt;1000000000),1),K$4:K1673)))),AND(K269&lt;1000000000,COUNTA(C269:C1673)&gt;0,P$3=FALSE),
ROUNDDOWN(INDEX(Y$4:Y1673,MATCH(LARGE(FILTER(W$4:W1673,W$4:W1673&lt;=I269),1),W$4:W1673"&amp;"))+(I269-LARGE(FILTER(W$4:W1673,W$4:W1673&lt;=I269),1))*INDEX(T$4:T1673,MATCH(LARGE(FILTER(W$4:W1673,W$4:W1673&lt;=I269),1),W$4:W1673))-K269),1,
ROUNDDOWN(Y269-INDEX(K$4:K1673,MATCH(LARGE(FILTER(I$4:I1673,I$4:I1673&lt;=W269),1),I$4:I1673))-(W269-LARGE(FILTER(I$4:I"&amp;"1673,I$4:I1673&lt;=W269),1))*INDEX(F$4:F1673,MATCH(LARGE(FILTER(I$4:I1673,I$4:I1673&lt;=W269),1),I$4:I1673))))"),4.920696E7)</f>
        <v>49206960</v>
      </c>
      <c r="N269" s="60">
        <f t="shared" si="8"/>
        <v>-225.5671</v>
      </c>
      <c r="O269" s="61" t="str">
        <f t="shared" si="9"/>
        <v>49,2M</v>
      </c>
      <c r="P269" s="56">
        <f t="shared" si="10"/>
        <v>12</v>
      </c>
      <c r="Q269" s="105" t="s">
        <v>10</v>
      </c>
      <c r="R269" s="10"/>
      <c r="S269" s="59">
        <f t="array" ref="S269">IF(COUNTA(Q269:Q1673)=0,"",SUM((COUNTIF(Q$4:Q269,Upgrades!$B$3:$B$13)-COUNTIF(Q$4:Q269,"Sell_"&amp;Upgrades!$B$3:$B$13))*Upgrades!$D$3:$D$13))</f>
        <v>282007</v>
      </c>
      <c r="T269" s="66">
        <f>IFERROR(__xludf.DUMMYFUNCTION("IF(COUNTA(Q269:Q1673)=0,"""",IF(REGEXMATCH(INDEX(FILTER(Q$4:Q269,Q$4:Q269&lt;&gt;""""),ROWS(FILTER(Q$4:Q269,Q$4:Q269&lt;&gt;""""))),""^Sell_""),INDEX(FILTER(T$4:T268,Q$4:Q268&lt;&gt;""""),ROWS(FILTER(Q$4:Q268,Q$4:Q268&lt;&gt;""""))),$AD$5+S269))"),282022.0)</f>
        <v>282022</v>
      </c>
      <c r="U269" s="10">
        <f>IFERROR(__xludf.DUMMYFUNCTION("IF(COUNTA(Q269:Q1673)=0,"""",IF(Q269="""",0,IF(REGEXMATCH(Q269,""^Sell_""),-ROUNDDOWN(ROUNDUP(INDEX(Upgrades!$C$3:$C$13,MATCH(SUBSTITUTE(Q269,""Sell_"",""""),Upgrades!$B$3:$B$13,0))*1.15^(COUNTIF(Q$4:Q268,SUBSTITUTE(Q269,""Sell_"",""""))-COUNTIF(Q$4:Q268,"&amp;"""Sell_""&amp;SUBSTITUTE(Q269,""Sell_"",""""))))/2),ROUNDUP(INDEX(Upgrades!$C$3:$C$13,MATCH(Q269,Upgrades!$B$3:$B$13,0))*1.15^(COUNTIF(Q$4:Q268,Q269)-COUNTIF(Q$4:Q268,""Sell_""&amp;Q269))))))"),7753983.0)</f>
        <v>7753983</v>
      </c>
      <c r="V269" s="10">
        <f t="shared" si="11"/>
        <v>7753983</v>
      </c>
      <c r="W269" s="68">
        <f t="shared" si="12"/>
        <v>6123.201066</v>
      </c>
      <c r="X269" s="59" t="str">
        <f t="shared" si="13"/>
        <v>1h 42m 03s</v>
      </c>
      <c r="Y269" s="69">
        <f t="shared" si="14"/>
        <v>370550742</v>
      </c>
      <c r="Z269" s="11"/>
    </row>
    <row r="270">
      <c r="A270" s="8"/>
      <c r="B270" s="56" t="str">
        <f t="shared" si="2"/>
        <v/>
      </c>
      <c r="C270" s="105"/>
      <c r="D270" s="10"/>
      <c r="E270" s="59" t="str">
        <f t="array" ref="E270">IF(COUNTA(C270:C1673)=0,"",SUM((COUNTIF(C$4:C270,Upgrades!$B$3:$B$13)-COUNTIF(C$4:C270,"Sell_"&amp;Upgrades!$B$3:$B$13))*Upgrades!$D$3:$D$13))</f>
        <v/>
      </c>
      <c r="F270" s="66" t="str">
        <f>IFERROR(__xludf.DUMMYFUNCTION("IF(COUNTA(C270:C1673)=0,"""",IF(REGEXMATCH(INDEX(FILTER(C$4:C270,C$4:C270&lt;&gt;""""),ROWS(FILTER(C$4:C270,C$4:C270&lt;&gt;""""))),""^Sell_""),INDEX(FILTER(F$4:F269,C$4:C269&lt;&gt;""""),ROWS(FILTER(C$4:C269,C$4:C269&lt;&gt;""""))),$AC$5+E270))"),"")</f>
        <v/>
      </c>
      <c r="G270" s="10" t="str">
        <f>IFERROR(__xludf.DUMMYFUNCTION("IF(COUNTA(C270:C1673)=0,"""",IF(C270="""",0,IF(REGEXMATCH(C270,""^Sell_""),-ROUNDDOWN(ROUNDUP(INDEX(Upgrades!$C$3:$C$13,MATCH(SUBSTITUTE(C270,""Sell_"",""""),Upgrades!$B$3:$B$13,0))*1.15^(COUNTIF(C$4:C269,SUBSTITUTE(C270,""Sell_"",""""))-COUNTIF(C$4:C269,"&amp;"""Sell_""&amp;SUBSTITUTE(C270,""Sell_"",""""))))/2),ROUNDUP(INDEX(Upgrades!$C$3:$C$13,MATCH(C270,Upgrades!$B$3:$B$13,0))*1.15^(COUNTIF(C$4:C269,C270)-COUNTIF(C$4:C269,""Sell_""&amp;C270))))))"),"")</f>
        <v/>
      </c>
      <c r="H270" s="10" t="str">
        <f t="shared" si="3"/>
        <v/>
      </c>
      <c r="I270" s="68" t="str">
        <f t="shared" si="4"/>
        <v/>
      </c>
      <c r="J270" s="59" t="str">
        <f t="shared" si="5"/>
        <v/>
      </c>
      <c r="K270" s="69" t="str">
        <f t="shared" si="6"/>
        <v/>
      </c>
      <c r="L270" s="60">
        <f t="shared" si="7"/>
        <v>-225.52644</v>
      </c>
      <c r="M270" s="61">
        <f>IFERROR(__xludf.DUMMYFUNCTION("IFS(AND(COUNTA(C270:C1673)=0,COUNTA(Q270:Q1673)=0),"""",OR(AND(K270&gt;=1000000000,OR(Y270&gt;=1000000000,COUNTA(Q270:Q1673)=0)),OR(Y270&gt;=1000000000,AND(COUNTA(C270:C1673)=0,P$3=TRUE))),
ROUNDDOWN((AB$1-AC$1)*MAX(INDEX(T$4:T1673,MATCH(LARGE(FILTER(Y$4:Y1673,Y$4"&amp;":Y1673&lt;1000000000),1),Y$4:Y1673)),INDEX(F$4:F1673,MATCH(LARGE(FILTER(K$4:K1673,K$4:K1673&lt;1000000000),1),K$4:K1673)))),AND(K270&lt;1000000000,COUNTA(C270:C1673)&gt;0,P$3=FALSE),
ROUNDDOWN(INDEX(Y$4:Y1673,MATCH(LARGE(FILTER(W$4:W1673,W$4:W1673&lt;=I270),1),W$4:W1673"&amp;"))+(I270-LARGE(FILTER(W$4:W1673,W$4:W1673&lt;=I270),1))*INDEX(T$4:T1673,MATCH(LARGE(FILTER(W$4:W1673,W$4:W1673&lt;=I270),1),W$4:W1673))-K270),1,
ROUNDDOWN(Y270-INDEX(K$4:K1673,MATCH(LARGE(FILTER(I$4:I1673,I$4:I1673&lt;=W270),1),I$4:I1673))-(W270-LARGE(FILTER(I$4:I"&amp;"1673,I$4:I1673&lt;=W270),1))*INDEX(F$4:F1673,MATCH(LARGE(FILTER(I$4:I1673,I$4:I1673&lt;=W270),1),I$4:I1673))))"),4.9237157E7)</f>
        <v>49237157</v>
      </c>
      <c r="N270" s="60">
        <f t="shared" si="8"/>
        <v>-225.52644</v>
      </c>
      <c r="O270" s="61" t="str">
        <f t="shared" si="9"/>
        <v>49,2M</v>
      </c>
      <c r="P270" s="56">
        <f t="shared" si="10"/>
        <v>9</v>
      </c>
      <c r="Q270" s="105" t="s">
        <v>8</v>
      </c>
      <c r="R270" s="10"/>
      <c r="S270" s="59">
        <f t="array" ref="S270">IF(COUNTA(Q270:Q1673)=0,"",SUM((COUNTIF(Q$4:Q270,Upgrades!$B$3:$B$13)-COUNTIF(Q$4:Q270,"Sell_"&amp;Upgrades!$B$3:$B$13))*Upgrades!$D$3:$D$13))</f>
        <v>282107</v>
      </c>
      <c r="T270" s="66">
        <f>IFERROR(__xludf.DUMMYFUNCTION("IF(COUNTA(Q270:Q1673)=0,"""",IF(REGEXMATCH(INDEX(FILTER(Q$4:Q270,Q$4:Q270&lt;&gt;""""),ROWS(FILTER(Q$4:Q270,Q$4:Q270&lt;&gt;""""))),""^Sell_""),INDEX(FILTER(T$4:T269,Q$4:Q269&lt;&gt;""""),ROWS(FILTER(Q$4:Q269,Q$4:Q269&lt;&gt;""""))),$AD$5+S270))"),282122.0)</f>
        <v>282122</v>
      </c>
      <c r="U270" s="10">
        <f>IFERROR(__xludf.DUMMYFUNCTION("IF(COUNTA(Q270:Q1673)=0,"""",IF(Q270="""",0,IF(REGEXMATCH(Q270,""^Sell_""),-ROUNDDOWN(ROUNDUP(INDEX(Upgrades!$C$3:$C$13,MATCH(SUBSTITUTE(Q270,""Sell_"",""""),Upgrades!$B$3:$B$13,0))*1.15^(COUNTIF(Q$4:Q269,SUBSTITUTE(Q270,""Sell_"",""""))-COUNTIF(Q$4:Q269,"&amp;"""Sell_""&amp;SUBSTITUTE(Q270,""Sell_"",""""))))/2),ROUNDUP(INDEX(Upgrades!$C$3:$C$13,MATCH(Q270,Upgrades!$B$3:$B$13,0))*1.15^(COUNTIF(Q$4:Q269,Q270)-COUNTIF(Q$4:Q269,""Sell_""&amp;Q270))))))"),122361.0)</f>
        <v>122361</v>
      </c>
      <c r="V270" s="10">
        <f t="shared" si="11"/>
        <v>122361</v>
      </c>
      <c r="W270" s="68">
        <f t="shared" si="12"/>
        <v>6123.634937</v>
      </c>
      <c r="X270" s="59" t="str">
        <f t="shared" si="13"/>
        <v>1h 42m 03s</v>
      </c>
      <c r="Y270" s="69">
        <f t="shared" si="14"/>
        <v>370673103</v>
      </c>
      <c r="Z270" s="11"/>
    </row>
    <row r="271">
      <c r="A271" s="8"/>
      <c r="B271" s="56" t="str">
        <f t="shared" si="2"/>
        <v/>
      </c>
      <c r="C271" s="105"/>
      <c r="D271" s="10"/>
      <c r="E271" s="59" t="str">
        <f t="array" ref="E271">IF(COUNTA(C271:C1673)=0,"",SUM((COUNTIF(C$4:C271,Upgrades!$B$3:$B$13)-COUNTIF(C$4:C271,"Sell_"&amp;Upgrades!$B$3:$B$13))*Upgrades!$D$3:$D$13))</f>
        <v/>
      </c>
      <c r="F271" s="66" t="str">
        <f>IFERROR(__xludf.DUMMYFUNCTION("IF(COUNTA(C271:C1673)=0,"""",IF(REGEXMATCH(INDEX(FILTER(C$4:C271,C$4:C271&lt;&gt;""""),ROWS(FILTER(C$4:C271,C$4:C271&lt;&gt;""""))),""^Sell_""),INDEX(FILTER(F$4:F270,C$4:C270&lt;&gt;""""),ROWS(FILTER(C$4:C270,C$4:C270&lt;&gt;""""))),$AC$5+E271))"),"")</f>
        <v/>
      </c>
      <c r="G271" s="10" t="str">
        <f>IFERROR(__xludf.DUMMYFUNCTION("IF(COUNTA(C271:C1673)=0,"""",IF(C271="""",0,IF(REGEXMATCH(C271,""^Sell_""),-ROUNDDOWN(ROUNDUP(INDEX(Upgrades!$C$3:$C$13,MATCH(SUBSTITUTE(C271,""Sell_"",""""),Upgrades!$B$3:$B$13,0))*1.15^(COUNTIF(C$4:C270,SUBSTITUTE(C271,""Sell_"",""""))-COUNTIF(C$4:C270,"&amp;"""Sell_""&amp;SUBSTITUTE(C271,""Sell_"",""""))))/2),ROUNDUP(INDEX(Upgrades!$C$3:$C$13,MATCH(C271,Upgrades!$B$3:$B$13,0))*1.15^(COUNTIF(C$4:C270,C271)-COUNTIF(C$4:C270,""Sell_""&amp;C271))))))"),"")</f>
        <v/>
      </c>
      <c r="H271" s="10" t="str">
        <f t="shared" si="3"/>
        <v/>
      </c>
      <c r="I271" s="68" t="str">
        <f t="shared" si="4"/>
        <v/>
      </c>
      <c r="J271" s="59" t="str">
        <f t="shared" si="5"/>
        <v/>
      </c>
      <c r="K271" s="69" t="str">
        <f t="shared" si="6"/>
        <v/>
      </c>
      <c r="L271" s="60">
        <f t="shared" si="7"/>
        <v>-225.35031</v>
      </c>
      <c r="M271" s="61">
        <f>IFERROR(__xludf.DUMMYFUNCTION("IFS(AND(COUNTA(C271:C1673)=0,COUNTA(Q271:Q1673)=0),"""",OR(AND(K271&gt;=1000000000,OR(Y271&gt;=1000000000,COUNTA(Q271:Q1673)=0)),OR(Y271&gt;=1000000000,AND(COUNTA(C271:C1673)=0,P$3=TRUE))),
ROUNDDOWN((AB$1-AC$1)*MAX(INDEX(T$4:T1673,MATCH(LARGE(FILTER(Y$4:Y1673,Y$4"&amp;":Y1673&lt;1000000000),1),Y$4:Y1673)),INDEX(F$4:F1673,MATCH(LARGE(FILTER(K$4:K1673,K$4:K1673&lt;1000000000),1),K$4:K1673)))),AND(K271&lt;1000000000,COUNTA(C271:C1673)&gt;0,P$3=FALSE),
ROUNDDOWN(INDEX(Y$4:Y1673,MATCH(LARGE(FILTER(W$4:W1673,W$4:W1673&lt;=I271),1),W$4:W1673"&amp;"))+(I271-LARGE(FILTER(W$4:W1673,W$4:W1673&lt;=I271),1))*INDEX(T$4:T1673,MATCH(LARGE(FILTER(W$4:W1673,W$4:W1673&lt;=I271),1),W$4:W1673))-K271),1,
ROUNDDOWN(Y271-INDEX(K$4:K1673,MATCH(LARGE(FILTER(I$4:I1673,I$4:I1673&lt;=W271),1),I$4:I1673))-(W271-LARGE(FILTER(I$4:I"&amp;"1673,I$4:I1673&lt;=W271),1))*INDEX(F$4:F1673,MATCH(LARGE(FILTER(I$4:I1673,I$4:I1673&lt;=W271),1),I$4:I1673))))"),4.9368594E7)</f>
        <v>49368594</v>
      </c>
      <c r="N271" s="60">
        <f t="shared" si="8"/>
        <v>-225.35031</v>
      </c>
      <c r="O271" s="61" t="str">
        <f t="shared" si="9"/>
        <v>49,4M</v>
      </c>
      <c r="P271" s="56">
        <f t="shared" si="10"/>
        <v>8</v>
      </c>
      <c r="Q271" s="105" t="s">
        <v>9</v>
      </c>
      <c r="R271" s="10"/>
      <c r="S271" s="59">
        <f t="array" ref="S271">IF(COUNTA(Q271:Q1673)=0,"",SUM((COUNTIF(Q$4:Q271,Upgrades!$B$3:$B$13)-COUNTIF(Q$4:Q271,"Sell_"&amp;Upgrades!$B$3:$B$13))*Upgrades!$D$3:$D$13))</f>
        <v>282507</v>
      </c>
      <c r="T271" s="66">
        <f>IFERROR(__xludf.DUMMYFUNCTION("IF(COUNTA(Q271:Q1673)=0,"""",IF(REGEXMATCH(INDEX(FILTER(Q$4:Q271,Q$4:Q271&lt;&gt;""""),ROWS(FILTER(Q$4:Q271,Q$4:Q271&lt;&gt;""""))),""^Sell_""),INDEX(FILTER(T$4:T270,Q$4:Q270&lt;&gt;""""),ROWS(FILTER(Q$4:Q270,Q$4:Q270&lt;&gt;""""))),$AD$5+S271))"),282522.0)</f>
        <v>282522</v>
      </c>
      <c r="U271" s="10">
        <f>IFERROR(__xludf.DUMMYFUNCTION("IF(COUNTA(Q271:Q1673)=0,"""",IF(Q271="""",0,IF(REGEXMATCH(Q271,""^Sell_""),-ROUNDDOWN(ROUNDUP(INDEX(Upgrades!$C$3:$C$13,MATCH(SUBSTITUTE(Q271,""Sell_"",""""),Upgrades!$B$3:$B$13,0))*1.15^(COUNTIF(Q$4:Q270,SUBSTITUTE(Q271,""Sell_"",""""))-COUNTIF(Q$4:Q270,"&amp;"""Sell_""&amp;SUBSTITUTE(Q271,""Sell_"",""""))))/2),ROUNDUP(INDEX(Upgrades!$C$3:$C$13,MATCH(Q271,Upgrades!$B$3:$B$13,0))*1.15^(COUNTIF(Q$4:Q270,Q271)-COUNTIF(Q$4:Q270,""Sell_""&amp;Q271))))))"),532004.0)</f>
        <v>532004</v>
      </c>
      <c r="V271" s="10">
        <f t="shared" si="11"/>
        <v>532004</v>
      </c>
      <c r="W271" s="68">
        <f t="shared" si="12"/>
        <v>6125.52066</v>
      </c>
      <c r="X271" s="59" t="str">
        <f t="shared" si="13"/>
        <v>1h 42m 05s</v>
      </c>
      <c r="Y271" s="69">
        <f t="shared" si="14"/>
        <v>371205107</v>
      </c>
      <c r="Z271" s="11"/>
    </row>
    <row r="272">
      <c r="A272" s="8"/>
      <c r="B272" s="56" t="str">
        <f t="shared" si="2"/>
        <v/>
      </c>
      <c r="C272" s="105"/>
      <c r="D272" s="10"/>
      <c r="E272" s="59" t="str">
        <f t="array" ref="E272">IF(COUNTA(C272:C1673)=0,"",SUM((COUNTIF(C$4:C272,Upgrades!$B$3:$B$13)-COUNTIF(C$4:C272,"Sell_"&amp;Upgrades!$B$3:$B$13))*Upgrades!$D$3:$D$13))</f>
        <v/>
      </c>
      <c r="F272" s="66" t="str">
        <f>IFERROR(__xludf.DUMMYFUNCTION("IF(COUNTA(C272:C1673)=0,"""",IF(REGEXMATCH(INDEX(FILTER(C$4:C272,C$4:C272&lt;&gt;""""),ROWS(FILTER(C$4:C272,C$4:C272&lt;&gt;""""))),""^Sell_""),INDEX(FILTER(F$4:F271,C$4:C271&lt;&gt;""""),ROWS(FILTER(C$4:C271,C$4:C271&lt;&gt;""""))),$AC$5+E272))"),"")</f>
        <v/>
      </c>
      <c r="G272" s="10" t="str">
        <f>IFERROR(__xludf.DUMMYFUNCTION("IF(COUNTA(C272:C1673)=0,"""",IF(C272="""",0,IF(REGEXMATCH(C272,""^Sell_""),-ROUNDDOWN(ROUNDUP(INDEX(Upgrades!$C$3:$C$13,MATCH(SUBSTITUTE(C272,""Sell_"",""""),Upgrades!$B$3:$B$13,0))*1.15^(COUNTIF(C$4:C271,SUBSTITUTE(C272,""Sell_"",""""))-COUNTIF(C$4:C271,"&amp;"""Sell_""&amp;SUBSTITUTE(C272,""Sell_"",""""))))/2),ROUNDUP(INDEX(Upgrades!$C$3:$C$13,MATCH(C272,Upgrades!$B$3:$B$13,0))*1.15^(COUNTIF(C$4:C271,C272)-COUNTIF(C$4:C271,""Sell_""&amp;C272))))))"),"")</f>
        <v/>
      </c>
      <c r="H272" s="10" t="str">
        <f t="shared" si="3"/>
        <v/>
      </c>
      <c r="I272" s="68" t="str">
        <f t="shared" si="4"/>
        <v/>
      </c>
      <c r="J272" s="59" t="str">
        <f t="shared" si="5"/>
        <v/>
      </c>
      <c r="K272" s="69" t="str">
        <f t="shared" si="6"/>
        <v/>
      </c>
      <c r="L272" s="60">
        <f t="shared" si="7"/>
        <v>-222.44303</v>
      </c>
      <c r="M272" s="61">
        <f>IFERROR(__xludf.DUMMYFUNCTION("IFS(AND(COUNTA(C272:C1673)=0,COUNTA(Q272:Q1673)=0),"""",OR(AND(K272&gt;=1000000000,OR(Y272&gt;=1000000000,COUNTA(Q272:Q1673)=0)),OR(Y272&gt;=1000000000,AND(COUNTA(C272:C1673)=0,P$3=TRUE))),
ROUNDDOWN((AB$1-AC$1)*MAX(INDEX(T$4:T1673,MATCH(LARGE(FILTER(Y$4:Y1673,Y$4"&amp;":Y1673&lt;1000000000),1),Y$4:Y1673)),INDEX(F$4:F1673,MATCH(LARGE(FILTER(K$4:K1673,K$4:K1673&lt;1000000000),1),K$4:K1673)))),AND(K272&lt;1000000000,COUNTA(C272:C1673)&gt;0,P$3=FALSE),
ROUNDDOWN(INDEX(Y$4:Y1673,MATCH(LARGE(FILTER(W$4:W1673,W$4:W1673&lt;=I272),1),W$4:W1673"&amp;"))+(I272-LARGE(FILTER(W$4:W1673,W$4:W1673&lt;=I272),1))*INDEX(T$4:T1673,MATCH(LARGE(FILTER(W$4:W1673,W$4:W1673&lt;=I272),1),W$4:W1673))-K272),1,
ROUNDDOWN(Y272-INDEX(K$4:K1673,MATCH(LARGE(FILTER(I$4:I1673,I$4:I1673&lt;=W272),1),I$4:I1673))-(W272-LARGE(FILTER(I$4:I"&amp;"1673,I$4:I1673&lt;=W272),1))*INDEX(F$4:F1673,MATCH(LARGE(FILTER(I$4:I1673,I$4:I1673&lt;=W272),1),I$4:I1673))))"),5.1581152E7)</f>
        <v>51581152</v>
      </c>
      <c r="N272" s="60">
        <f t="shared" si="8"/>
        <v>-222.44303</v>
      </c>
      <c r="O272" s="61" t="str">
        <f t="shared" si="9"/>
        <v>51,6M</v>
      </c>
      <c r="P272" s="56">
        <f t="shared" si="10"/>
        <v>13</v>
      </c>
      <c r="Q272" s="105" t="s">
        <v>10</v>
      </c>
      <c r="R272" s="10"/>
      <c r="S272" s="59">
        <f t="array" ref="S272">IF(COUNTA(Q272:Q1673)=0,"",SUM((COUNTIF(Q$4:Q272,Upgrades!$B$3:$B$13)-COUNTIF(Q$4:Q272,"Sell_"&amp;Upgrades!$B$3:$B$13))*Upgrades!$D$3:$D$13))</f>
        <v>289173</v>
      </c>
      <c r="T272" s="66">
        <f>IFERROR(__xludf.DUMMYFUNCTION("IF(COUNTA(Q272:Q1673)=0,"""",IF(REGEXMATCH(INDEX(FILTER(Q$4:Q272,Q$4:Q272&lt;&gt;""""),ROWS(FILTER(Q$4:Q272,Q$4:Q272&lt;&gt;""""))),""^Sell_""),INDEX(FILTER(T$4:T271,Q$4:Q271&lt;&gt;""""),ROWS(FILTER(Q$4:Q271,Q$4:Q271&lt;&gt;""""))),$AD$5+S272))"),289188.0)</f>
        <v>289188</v>
      </c>
      <c r="U272" s="10">
        <f>IFERROR(__xludf.DUMMYFUNCTION("IF(COUNTA(Q272:Q1673)=0,"""",IF(Q272="""",0,IF(REGEXMATCH(Q272,""^Sell_""),-ROUNDDOWN(ROUNDUP(INDEX(Upgrades!$C$3:$C$13,MATCH(SUBSTITUTE(Q272,""Sell_"",""""),Upgrades!$B$3:$B$13,0))*1.15^(COUNTIF(Q$4:Q271,SUBSTITUTE(Q272,""Sell_"",""""))-COUNTIF(Q$4:Q271,"&amp;"""Sell_""&amp;SUBSTITUTE(Q272,""Sell_"",""""))))/2),ROUNDUP(INDEX(Upgrades!$C$3:$C$13,MATCH(Q272,Upgrades!$B$3:$B$13,0))*1.15^(COUNTIF(Q$4:Q271,Q272)-COUNTIF(Q$4:Q271,""Sell_""&amp;Q272))))))"),8917080.0)</f>
        <v>8917080</v>
      </c>
      <c r="V272" s="10">
        <f t="shared" si="11"/>
        <v>8917080</v>
      </c>
      <c r="W272" s="68">
        <f t="shared" si="12"/>
        <v>6157.083087</v>
      </c>
      <c r="X272" s="59" t="str">
        <f t="shared" si="13"/>
        <v>1h 42m 37s</v>
      </c>
      <c r="Y272" s="69">
        <f t="shared" si="14"/>
        <v>380122187</v>
      </c>
      <c r="Z272" s="11"/>
    </row>
    <row r="273">
      <c r="A273" s="8"/>
      <c r="B273" s="56" t="str">
        <f t="shared" si="2"/>
        <v/>
      </c>
      <c r="C273" s="105"/>
      <c r="D273" s="10"/>
      <c r="E273" s="59" t="str">
        <f t="array" ref="E273">IF(COUNTA(C273:C1673)=0,"",SUM((COUNTIF(C$4:C273,Upgrades!$B$3:$B$13)-COUNTIF(C$4:C273,"Sell_"&amp;Upgrades!$B$3:$B$13))*Upgrades!$D$3:$D$13))</f>
        <v/>
      </c>
      <c r="F273" s="66" t="str">
        <f>IFERROR(__xludf.DUMMYFUNCTION("IF(COUNTA(C273:C1673)=0,"""",IF(REGEXMATCH(INDEX(FILTER(C$4:C273,C$4:C273&lt;&gt;""""),ROWS(FILTER(C$4:C273,C$4:C273&lt;&gt;""""))),""^Sell_""),INDEX(FILTER(F$4:F272,C$4:C272&lt;&gt;""""),ROWS(FILTER(C$4:C272,C$4:C272&lt;&gt;""""))),$AC$5+E273))"),"")</f>
        <v/>
      </c>
      <c r="G273" s="10" t="str">
        <f>IFERROR(__xludf.DUMMYFUNCTION("IF(COUNTA(C273:C1673)=0,"""",IF(C273="""",0,IF(REGEXMATCH(C273,""^Sell_""),-ROUNDDOWN(ROUNDUP(INDEX(Upgrades!$C$3:$C$13,MATCH(SUBSTITUTE(C273,""Sell_"",""""),Upgrades!$B$3:$B$13,0))*1.15^(COUNTIF(C$4:C272,SUBSTITUTE(C273,""Sell_"",""""))-COUNTIF(C$4:C272,"&amp;"""Sell_""&amp;SUBSTITUTE(C273,""Sell_"",""""))))/2),ROUNDUP(INDEX(Upgrades!$C$3:$C$13,MATCH(C273,Upgrades!$B$3:$B$13,0))*1.15^(COUNTIF(C$4:C272,C273)-COUNTIF(C$4:C272,""Sell_""&amp;C273))))))"),"")</f>
        <v/>
      </c>
      <c r="H273" s="10" t="str">
        <f t="shared" si="3"/>
        <v/>
      </c>
      <c r="I273" s="68" t="str">
        <f t="shared" si="4"/>
        <v/>
      </c>
      <c r="J273" s="59" t="str">
        <f t="shared" si="5"/>
        <v/>
      </c>
      <c r="K273" s="69" t="str">
        <f t="shared" si="6"/>
        <v/>
      </c>
      <c r="L273" s="60">
        <f t="shared" si="7"/>
        <v>-222.40863</v>
      </c>
      <c r="M273" s="61">
        <f>IFERROR(__xludf.DUMMYFUNCTION("IFS(AND(COUNTA(C273:C1673)=0,COUNTA(Q273:Q1673)=0),"""",OR(AND(K273&gt;=1000000000,OR(Y273&gt;=1000000000,COUNTA(Q273:Q1673)=0)),OR(Y273&gt;=1000000000,AND(COUNTA(C273:C1673)=0,P$3=TRUE))),
ROUNDDOWN((AB$1-AC$1)*MAX(INDEX(T$4:T1673,MATCH(LARGE(FILTER(Y$4:Y1673,Y$4"&amp;":Y1673&lt;1000000000),1),Y$4:Y1673)),INDEX(F$4:F1673,MATCH(LARGE(FILTER(K$4:K1673,K$4:K1673&lt;1000000000),1),K$4:K1673)))),AND(K273&lt;1000000000,COUNTA(C273:C1673)&gt;0,P$3=FALSE),
ROUNDDOWN(INDEX(Y$4:Y1673,MATCH(LARGE(FILTER(W$4:W1673,W$4:W1673&lt;=I273),1),W$4:W1673"&amp;"))+(I273-LARGE(FILTER(W$4:W1673,W$4:W1673&lt;=I273),1))*INDEX(T$4:T1673,MATCH(LARGE(FILTER(W$4:W1673,W$4:W1673&lt;=I273),1),W$4:W1673))-K273),1,
ROUNDDOWN(Y273-INDEX(K$4:K1673,MATCH(LARGE(FILTER(I$4:I1673,I$4:I1673&lt;=W273),1),I$4:I1673))-(W273-LARGE(FILTER(I$4:I"&amp;"1673,I$4:I1673&lt;=W273),1))*INDEX(F$4:F1673,MATCH(LARGE(FILTER(I$4:I1673,I$4:I1673&lt;=W273),1),I$4:I1673))))"),5.1618506E7)</f>
        <v>51618506</v>
      </c>
      <c r="N273" s="60">
        <f t="shared" si="8"/>
        <v>-222.40863</v>
      </c>
      <c r="O273" s="61" t="str">
        <f t="shared" si="9"/>
        <v>51,6M</v>
      </c>
      <c r="P273" s="56">
        <f t="shared" si="10"/>
        <v>10</v>
      </c>
      <c r="Q273" s="105" t="s">
        <v>8</v>
      </c>
      <c r="R273" s="10"/>
      <c r="S273" s="59">
        <f t="array" ref="S273">IF(COUNTA(Q273:Q1673)=0,"",SUM((COUNTIF(Q$4:Q273,Upgrades!$B$3:$B$13)-COUNTIF(Q$4:Q273,"Sell_"&amp;Upgrades!$B$3:$B$13))*Upgrades!$D$3:$D$13))</f>
        <v>289273</v>
      </c>
      <c r="T273" s="66">
        <f>IFERROR(__xludf.DUMMYFUNCTION("IF(COUNTA(Q273:Q1673)=0,"""",IF(REGEXMATCH(INDEX(FILTER(Q$4:Q273,Q$4:Q273&lt;&gt;""""),ROWS(FILTER(Q$4:Q273,Q$4:Q273&lt;&gt;""""))),""^Sell_""),INDEX(FILTER(T$4:T272,Q$4:Q272&lt;&gt;""""),ROWS(FILTER(Q$4:Q272,Q$4:Q272&lt;&gt;""""))),$AD$5+S273))"),289288.0)</f>
        <v>289288</v>
      </c>
      <c r="U273" s="10">
        <f>IFERROR(__xludf.DUMMYFUNCTION("IF(COUNTA(Q273:Q1673)=0,"""",IF(Q273="""",0,IF(REGEXMATCH(Q273,""^Sell_""),-ROUNDDOWN(ROUNDUP(INDEX(Upgrades!$C$3:$C$13,MATCH(SUBSTITUTE(Q273,""Sell_"",""""),Upgrades!$B$3:$B$13,0))*1.15^(COUNTIF(Q$4:Q272,SUBSTITUTE(Q273,""Sell_"",""""))-COUNTIF(Q$4:Q272,"&amp;"""Sell_""&amp;SUBSTITUTE(Q273,""Sell_"",""""))))/2),ROUNDUP(INDEX(Upgrades!$C$3:$C$13,MATCH(Q273,Upgrades!$B$3:$B$13,0))*1.15^(COUNTIF(Q$4:Q272,Q273)-COUNTIF(Q$4:Q272,""Sell_""&amp;Q273))))))"),140716.0)</f>
        <v>140716</v>
      </c>
      <c r="V273" s="10">
        <f t="shared" si="11"/>
        <v>140716</v>
      </c>
      <c r="W273" s="68">
        <f t="shared" si="12"/>
        <v>6157.569677</v>
      </c>
      <c r="X273" s="59" t="str">
        <f t="shared" si="13"/>
        <v>1h 42m 37s</v>
      </c>
      <c r="Y273" s="69">
        <f t="shared" si="14"/>
        <v>380262903</v>
      </c>
      <c r="Z273" s="11"/>
    </row>
    <row r="274">
      <c r="A274" s="8"/>
      <c r="B274" s="56" t="str">
        <f t="shared" si="2"/>
        <v/>
      </c>
      <c r="C274" s="105"/>
      <c r="D274" s="10"/>
      <c r="E274" s="59" t="str">
        <f t="array" ref="E274">IF(COUNTA(C274:C1673)=0,"",SUM((COUNTIF(C$4:C274,Upgrades!$B$3:$B$13)-COUNTIF(C$4:C274,"Sell_"&amp;Upgrades!$B$3:$B$13))*Upgrades!$D$3:$D$13))</f>
        <v/>
      </c>
      <c r="F274" s="66" t="str">
        <f>IFERROR(__xludf.DUMMYFUNCTION("IF(COUNTA(C274:C1673)=0,"""",IF(REGEXMATCH(INDEX(FILTER(C$4:C274,C$4:C274&lt;&gt;""""),ROWS(FILTER(C$4:C274,C$4:C274&lt;&gt;""""))),""^Sell_""),INDEX(FILTER(F$4:F273,C$4:C273&lt;&gt;""""),ROWS(FILTER(C$4:C273,C$4:C273&lt;&gt;""""))),$AC$5+E274))"),"")</f>
        <v/>
      </c>
      <c r="G274" s="10" t="str">
        <f>IFERROR(__xludf.DUMMYFUNCTION("IF(COUNTA(C274:C1673)=0,"""",IF(C274="""",0,IF(REGEXMATCH(C274,""^Sell_""),-ROUNDDOWN(ROUNDUP(INDEX(Upgrades!$C$3:$C$13,MATCH(SUBSTITUTE(C274,""Sell_"",""""),Upgrades!$B$3:$B$13,0))*1.15^(COUNTIF(C$4:C273,SUBSTITUTE(C274,""Sell_"",""""))-COUNTIF(C$4:C273,"&amp;"""Sell_""&amp;SUBSTITUTE(C274,""Sell_"",""""))))/2),ROUNDUP(INDEX(Upgrades!$C$3:$C$13,MATCH(C274,Upgrades!$B$3:$B$13,0))*1.15^(COUNTIF(C$4:C273,C274)-COUNTIF(C$4:C273,""Sell_""&amp;C274))))))"),"")</f>
        <v/>
      </c>
      <c r="H274" s="10" t="str">
        <f t="shared" si="3"/>
        <v/>
      </c>
      <c r="I274" s="68" t="str">
        <f t="shared" si="4"/>
        <v/>
      </c>
      <c r="J274" s="59" t="str">
        <f t="shared" si="5"/>
        <v/>
      </c>
      <c r="K274" s="69" t="str">
        <f t="shared" si="6"/>
        <v/>
      </c>
      <c r="L274" s="60">
        <f t="shared" si="7"/>
        <v>-222.25981</v>
      </c>
      <c r="M274" s="61">
        <f>IFERROR(__xludf.DUMMYFUNCTION("IFS(AND(COUNTA(C274:C1673)=0,COUNTA(Q274:Q1673)=0),"""",OR(AND(K274&gt;=1000000000,OR(Y274&gt;=1000000000,COUNTA(Q274:Q1673)=0)),OR(Y274&gt;=1000000000,AND(COUNTA(C274:C1673)=0,P$3=TRUE))),
ROUNDDOWN((AB$1-AC$1)*MAX(INDEX(T$4:T1673,MATCH(LARGE(FILTER(Y$4:Y1673,Y$4"&amp;":Y1673&lt;1000000000),1),Y$4:Y1673)),INDEX(F$4:F1673,MATCH(LARGE(FILTER(K$4:K1673,K$4:K1673&lt;1000000000),1),K$4:K1673)))),AND(K274&lt;1000000000,COUNTA(C274:C1673)&gt;0,P$3=FALSE),
ROUNDDOWN(INDEX(Y$4:Y1673,MATCH(LARGE(FILTER(W$4:W1673,W$4:W1673&lt;=I274),1),W$4:W1673"&amp;"))+(I274-LARGE(FILTER(W$4:W1673,W$4:W1673&lt;=I274),1))*INDEX(T$4:T1673,MATCH(LARGE(FILTER(W$4:W1673,W$4:W1673&lt;=I274),1),W$4:W1673))-K274),1,
ROUNDDOWN(Y274-INDEX(K$4:K1673,MATCH(LARGE(FILTER(I$4:I1673,I$4:I1673&lt;=W274),1),I$4:I1673))-(W274-LARGE(FILTER(I$4:I"&amp;"1673,I$4:I1673&lt;=W274),1))*INDEX(F$4:F1673,MATCH(LARGE(FILTER(I$4:I1673,I$4:I1673&lt;=W274),1),I$4:I1673))))"),5.1781069E7)</f>
        <v>51781069</v>
      </c>
      <c r="N274" s="60">
        <f t="shared" si="8"/>
        <v>-222.25981</v>
      </c>
      <c r="O274" s="61" t="str">
        <f t="shared" si="9"/>
        <v>51,8M</v>
      </c>
      <c r="P274" s="56">
        <f t="shared" si="10"/>
        <v>9</v>
      </c>
      <c r="Q274" s="105" t="s">
        <v>9</v>
      </c>
      <c r="R274" s="10"/>
      <c r="S274" s="59">
        <f t="array" ref="S274">IF(COUNTA(Q274:Q1673)=0,"",SUM((COUNTIF(Q$4:Q274,Upgrades!$B$3:$B$13)-COUNTIF(Q$4:Q274,"Sell_"&amp;Upgrades!$B$3:$B$13))*Upgrades!$D$3:$D$13))</f>
        <v>289673</v>
      </c>
      <c r="T274" s="66">
        <f>IFERROR(__xludf.DUMMYFUNCTION("IF(COUNTA(Q274:Q1673)=0,"""",IF(REGEXMATCH(INDEX(FILTER(Q$4:Q274,Q$4:Q274&lt;&gt;""""),ROWS(FILTER(Q$4:Q274,Q$4:Q274&lt;&gt;""""))),""^Sell_""),INDEX(FILTER(T$4:T273,Q$4:Q273&lt;&gt;""""),ROWS(FILTER(Q$4:Q273,Q$4:Q273&lt;&gt;""""))),$AD$5+S274))"),289688.0)</f>
        <v>289688</v>
      </c>
      <c r="U274" s="10">
        <f>IFERROR(__xludf.DUMMYFUNCTION("IF(COUNTA(Q274:Q1673)=0,"""",IF(Q274="""",0,IF(REGEXMATCH(Q274,""^Sell_""),-ROUNDDOWN(ROUNDUP(INDEX(Upgrades!$C$3:$C$13,MATCH(SUBSTITUTE(Q274,""Sell_"",""""),Upgrades!$B$3:$B$13,0))*1.15^(COUNTIF(Q$4:Q273,SUBSTITUTE(Q274,""Sell_"",""""))-COUNTIF(Q$4:Q273,"&amp;"""Sell_""&amp;SUBSTITUTE(Q274,""Sell_"",""""))))/2),ROUNDUP(INDEX(Upgrades!$C$3:$C$13,MATCH(Q274,Upgrades!$B$3:$B$13,0))*1.15^(COUNTIF(Q$4:Q273,Q274)-COUNTIF(Q$4:Q273,""Sell_""&amp;Q274))))))"),611805.0)</f>
        <v>611805</v>
      </c>
      <c r="V274" s="10">
        <f t="shared" si="11"/>
        <v>611805</v>
      </c>
      <c r="W274" s="68">
        <f t="shared" si="12"/>
        <v>6159.684542</v>
      </c>
      <c r="X274" s="59" t="str">
        <f t="shared" si="13"/>
        <v>1h 42m 39s</v>
      </c>
      <c r="Y274" s="69">
        <f t="shared" si="14"/>
        <v>380874708</v>
      </c>
      <c r="Z274" s="11"/>
    </row>
    <row r="275">
      <c r="A275" s="8"/>
      <c r="B275" s="56" t="str">
        <f t="shared" si="2"/>
        <v/>
      </c>
      <c r="C275" s="105"/>
      <c r="D275" s="10"/>
      <c r="E275" s="59" t="str">
        <f t="array" ref="E275">IF(COUNTA(C275:C1673)=0,"",SUM((COUNTIF(C$4:C275,Upgrades!$B$3:$B$13)-COUNTIF(C$4:C275,"Sell_"&amp;Upgrades!$B$3:$B$13))*Upgrades!$D$3:$D$13))</f>
        <v/>
      </c>
      <c r="F275" s="66" t="str">
        <f>IFERROR(__xludf.DUMMYFUNCTION("IF(COUNTA(C275:C1673)=0,"""",IF(REGEXMATCH(INDEX(FILTER(C$4:C275,C$4:C275&lt;&gt;""""),ROWS(FILTER(C$4:C275,C$4:C275&lt;&gt;""""))),""^Sell_""),INDEX(FILTER(F$4:F274,C$4:C274&lt;&gt;""""),ROWS(FILTER(C$4:C274,C$4:C274&lt;&gt;""""))),$AC$5+E275))"),"")</f>
        <v/>
      </c>
      <c r="G275" s="10" t="str">
        <f>IFERROR(__xludf.DUMMYFUNCTION("IF(COUNTA(C275:C1673)=0,"""",IF(C275="""",0,IF(REGEXMATCH(C275,""^Sell_""),-ROUNDDOWN(ROUNDUP(INDEX(Upgrades!$C$3:$C$13,MATCH(SUBSTITUTE(C275,""Sell_"",""""),Upgrades!$B$3:$B$13,0))*1.15^(COUNTIF(C$4:C274,SUBSTITUTE(C275,""Sell_"",""""))-COUNTIF(C$4:C274,"&amp;"""Sell_""&amp;SUBSTITUTE(C275,""Sell_"",""""))))/2),ROUNDUP(INDEX(Upgrades!$C$3:$C$13,MATCH(C275,Upgrades!$B$3:$B$13,0))*1.15^(COUNTIF(C$4:C274,C275)-COUNTIF(C$4:C274,""Sell_""&amp;C275))))))"),"")</f>
        <v/>
      </c>
      <c r="H275" s="10" t="str">
        <f t="shared" si="3"/>
        <v/>
      </c>
      <c r="I275" s="68" t="str">
        <f t="shared" si="4"/>
        <v/>
      </c>
      <c r="J275" s="59" t="str">
        <f t="shared" si="5"/>
        <v/>
      </c>
      <c r="K275" s="69" t="str">
        <f t="shared" si="6"/>
        <v/>
      </c>
      <c r="L275" s="60">
        <f t="shared" si="7"/>
        <v>-219.81431</v>
      </c>
      <c r="M275" s="61">
        <f>IFERROR(__xludf.DUMMYFUNCTION("IFS(AND(COUNTA(C275:C1673)=0,COUNTA(Q275:Q1673)=0),"""",OR(AND(K275&gt;=1000000000,OR(Y275&gt;=1000000000,COUNTA(Q275:Q1673)=0)),OR(Y275&gt;=1000000000,AND(COUNTA(C275:C1673)=0,P$3=TRUE))),
ROUNDDOWN((AB$1-AC$1)*MAX(INDEX(T$4:T1673,MATCH(LARGE(FILTER(Y$4:Y1673,Y$4"&amp;":Y1673&lt;1000000000),1),Y$4:Y1673)),INDEX(F$4:F1673,MATCH(LARGE(FILTER(K$4:K1673,K$4:K1673&lt;1000000000),1),K$4:K1673)))),AND(K275&lt;1000000000,COUNTA(C275:C1673)&gt;0,P$3=FALSE),
ROUNDDOWN(INDEX(Y$4:Y1673,MATCH(LARGE(FILTER(W$4:W1673,W$4:W1673&lt;=I275),1),W$4:W1673"&amp;"))+(I275-LARGE(FILTER(W$4:W1673,W$4:W1673&lt;=I275),1))*INDEX(T$4:T1673,MATCH(LARGE(FILTER(W$4:W1673,W$4:W1673&lt;=I275),1),W$4:W1673))-K275),1,
ROUNDDOWN(Y275-INDEX(K$4:K1673,MATCH(LARGE(FILTER(I$4:I1673,I$4:I1673&lt;=W275),1),I$4:I1673))-(W275-LARGE(FILTER(I$4:I"&amp;"1673,I$4:I1673&lt;=W275),1))*INDEX(F$4:F1673,MATCH(LARGE(FILTER(I$4:I1673,I$4:I1673&lt;=W275),1),I$4:I1673))))"),5.4516237E7)</f>
        <v>54516237</v>
      </c>
      <c r="N275" s="60">
        <f t="shared" si="8"/>
        <v>-219.81431</v>
      </c>
      <c r="O275" s="61" t="str">
        <f t="shared" si="9"/>
        <v>54,5M</v>
      </c>
      <c r="P275" s="56">
        <f t="shared" si="10"/>
        <v>14</v>
      </c>
      <c r="Q275" s="105" t="s">
        <v>10</v>
      </c>
      <c r="R275" s="10"/>
      <c r="S275" s="59">
        <f t="array" ref="S275">IF(COUNTA(Q275:Q1673)=0,"",SUM((COUNTIF(Q$4:Q275,Upgrades!$B$3:$B$13)-COUNTIF(Q$4:Q275,"Sell_"&amp;Upgrades!$B$3:$B$13))*Upgrades!$D$3:$D$13))</f>
        <v>296339</v>
      </c>
      <c r="T275" s="66">
        <f>IFERROR(__xludf.DUMMYFUNCTION("IF(COUNTA(Q275:Q1673)=0,"""",IF(REGEXMATCH(INDEX(FILTER(Q$4:Q275,Q$4:Q275&lt;&gt;""""),ROWS(FILTER(Q$4:Q275,Q$4:Q275&lt;&gt;""""))),""^Sell_""),INDEX(FILTER(T$4:T274,Q$4:Q274&lt;&gt;""""),ROWS(FILTER(Q$4:Q274,Q$4:Q274&lt;&gt;""""))),$AD$5+S275))"),296354.0)</f>
        <v>296354</v>
      </c>
      <c r="U275" s="10">
        <f>IFERROR(__xludf.DUMMYFUNCTION("IF(COUNTA(Q275:Q1673)=0,"""",IF(Q275="""",0,IF(REGEXMATCH(Q275,""^Sell_""),-ROUNDDOWN(ROUNDUP(INDEX(Upgrades!$C$3:$C$13,MATCH(SUBSTITUTE(Q275,""Sell_"",""""),Upgrades!$B$3:$B$13,0))*1.15^(COUNTIF(Q$4:Q274,SUBSTITUTE(Q275,""Sell_"",""""))-COUNTIF(Q$4:Q274,"&amp;"""Sell_""&amp;SUBSTITUTE(Q275,""Sell_"",""""))))/2),ROUNDUP(INDEX(Upgrades!$C$3:$C$13,MATCH(Q275,Upgrades!$B$3:$B$13,0))*1.15^(COUNTIF(Q$4:Q274,Q275)-COUNTIF(Q$4:Q274,""Sell_""&amp;Q275))))))"),1.0254642E7)</f>
        <v>10254642</v>
      </c>
      <c r="V275" s="10">
        <f t="shared" si="11"/>
        <v>10254642</v>
      </c>
      <c r="W275" s="68">
        <f t="shared" si="12"/>
        <v>6195.083461</v>
      </c>
      <c r="X275" s="59" t="str">
        <f t="shared" si="13"/>
        <v>1h 43m 15s</v>
      </c>
      <c r="Y275" s="69">
        <f t="shared" si="14"/>
        <v>391129350</v>
      </c>
      <c r="Z275" s="11"/>
    </row>
    <row r="276">
      <c r="A276" s="8"/>
      <c r="B276" s="56" t="str">
        <f t="shared" si="2"/>
        <v/>
      </c>
      <c r="C276" s="105"/>
      <c r="D276" s="10"/>
      <c r="E276" s="59" t="str">
        <f t="array" ref="E276">IF(COUNTA(C276:C1673)=0,"",SUM((COUNTIF(C$4:C276,Upgrades!$B$3:$B$13)-COUNTIF(C$4:C276,"Sell_"&amp;Upgrades!$B$3:$B$13))*Upgrades!$D$3:$D$13))</f>
        <v/>
      </c>
      <c r="F276" s="66" t="str">
        <f>IFERROR(__xludf.DUMMYFUNCTION("IF(COUNTA(C276:C1673)=0,"""",IF(REGEXMATCH(INDEX(FILTER(C$4:C276,C$4:C276&lt;&gt;""""),ROWS(FILTER(C$4:C276,C$4:C276&lt;&gt;""""))),""^Sell_""),INDEX(FILTER(F$4:F275,C$4:C275&lt;&gt;""""),ROWS(FILTER(C$4:C275,C$4:C275&lt;&gt;""""))),$AC$5+E276))"),"")</f>
        <v/>
      </c>
      <c r="G276" s="10" t="str">
        <f>IFERROR(__xludf.DUMMYFUNCTION("IF(COUNTA(C276:C1673)=0,"""",IF(C276="""",0,IF(REGEXMATCH(C276,""^Sell_""),-ROUNDDOWN(ROUNDUP(INDEX(Upgrades!$C$3:$C$13,MATCH(SUBSTITUTE(C276,""Sell_"",""""),Upgrades!$B$3:$B$13,0))*1.15^(COUNTIF(C$4:C275,SUBSTITUTE(C276,""Sell_"",""""))-COUNTIF(C$4:C275,"&amp;"""Sell_""&amp;SUBSTITUTE(C276,""Sell_"",""""))))/2),ROUNDUP(INDEX(Upgrades!$C$3:$C$13,MATCH(C276,Upgrades!$B$3:$B$13,0))*1.15^(COUNTIF(C$4:C275,C276)-COUNTIF(C$4:C275,""Sell_""&amp;C276))))))"),"")</f>
        <v/>
      </c>
      <c r="H276" s="10" t="str">
        <f t="shared" si="3"/>
        <v/>
      </c>
      <c r="I276" s="68" t="str">
        <f t="shared" si="4"/>
        <v/>
      </c>
      <c r="J276" s="59" t="str">
        <f t="shared" si="5"/>
        <v/>
      </c>
      <c r="K276" s="69" t="str">
        <f t="shared" si="6"/>
        <v/>
      </c>
      <c r="L276" s="60">
        <f t="shared" si="7"/>
        <v>-219.78828</v>
      </c>
      <c r="M276" s="61">
        <f>IFERROR(__xludf.DUMMYFUNCTION("IFS(AND(COUNTA(C276:C1673)=0,COUNTA(Q276:Q1673)=0),"""",OR(AND(K276&gt;=1000000000,OR(Y276&gt;=1000000000,COUNTA(Q276:Q1673)=0)),OR(Y276&gt;=1000000000,AND(COUNTA(C276:C1673)=0,P$3=TRUE))),
ROUNDDOWN((AB$1-AC$1)*MAX(INDEX(T$4:T1673,MATCH(LARGE(FILTER(Y$4:Y1673,Y$4"&amp;":Y1673&lt;1000000000),1),Y$4:Y1673)),INDEX(F$4:F1673,MATCH(LARGE(FILTER(K$4:K1673,K$4:K1673&lt;1000000000),1),K$4:K1673)))),AND(K276&lt;1000000000,COUNTA(C276:C1673)&gt;0,P$3=FALSE),
ROUNDDOWN(INDEX(Y$4:Y1673,MATCH(LARGE(FILTER(W$4:W1673,W$4:W1673&lt;=I276),1),W$4:W1673"&amp;"))+(I276-LARGE(FILTER(W$4:W1673,W$4:W1673&lt;=I276),1))*INDEX(T$4:T1673,MATCH(LARGE(FILTER(W$4:W1673,W$4:W1673&lt;=I276),1),W$4:W1673))-K276),1,
ROUNDDOWN(Y276-INDEX(K$4:K1673,MATCH(LARGE(FILTER(I$4:I1673,I$4:I1673&lt;=W276),1),I$4:I1673))-(W276-LARGE(FILTER(I$4:I"&amp;"1673,I$4:I1673&lt;=W276),1))*INDEX(F$4:F1673,MATCH(LARGE(FILTER(I$4:I1673,I$4:I1673&lt;=W276),1),I$4:I1673))))"),5.4562069E7)</f>
        <v>54562069</v>
      </c>
      <c r="N276" s="60">
        <f t="shared" si="8"/>
        <v>-219.78828</v>
      </c>
      <c r="O276" s="61" t="str">
        <f t="shared" si="9"/>
        <v>54,6M</v>
      </c>
      <c r="P276" s="56">
        <f t="shared" si="10"/>
        <v>11</v>
      </c>
      <c r="Q276" s="105" t="s">
        <v>8</v>
      </c>
      <c r="R276" s="10"/>
      <c r="S276" s="59">
        <f t="array" ref="S276">IF(COUNTA(Q276:Q1673)=0,"",SUM((COUNTIF(Q$4:Q276,Upgrades!$B$3:$B$13)-COUNTIF(Q$4:Q276,"Sell_"&amp;Upgrades!$B$3:$B$13))*Upgrades!$D$3:$D$13))</f>
        <v>296439</v>
      </c>
      <c r="T276" s="66">
        <f>IFERROR(__xludf.DUMMYFUNCTION("IF(COUNTA(Q276:Q1673)=0,"""",IF(REGEXMATCH(INDEX(FILTER(Q$4:Q276,Q$4:Q276&lt;&gt;""""),ROWS(FILTER(Q$4:Q276,Q$4:Q276&lt;&gt;""""))),""^Sell_""),INDEX(FILTER(T$4:T275,Q$4:Q275&lt;&gt;""""),ROWS(FILTER(Q$4:Q275,Q$4:Q275&lt;&gt;""""))),$AD$5+S276))"),296454.0)</f>
        <v>296454</v>
      </c>
      <c r="U276" s="10">
        <f>IFERROR(__xludf.DUMMYFUNCTION("IF(COUNTA(Q276:Q1673)=0,"""",IF(Q276="""",0,IF(REGEXMATCH(Q276,""^Sell_""),-ROUNDDOWN(ROUNDUP(INDEX(Upgrades!$C$3:$C$13,MATCH(SUBSTITUTE(Q276,""Sell_"",""""),Upgrades!$B$3:$B$13,0))*1.15^(COUNTIF(Q$4:Q275,SUBSTITUTE(Q276,""Sell_"",""""))-COUNTIF(Q$4:Q275,"&amp;"""Sell_""&amp;SUBSTITUTE(Q276,""Sell_"",""""))))/2),ROUNDUP(INDEX(Upgrades!$C$3:$C$13,MATCH(Q276,Upgrades!$B$3:$B$13,0))*1.15^(COUNTIF(Q$4:Q275,Q276)-COUNTIF(Q$4:Q275,""Sell_""&amp;Q276))))))"),161823.0)</f>
        <v>161823</v>
      </c>
      <c r="V276" s="10">
        <f t="shared" si="11"/>
        <v>161823</v>
      </c>
      <c r="W276" s="68">
        <f t="shared" si="12"/>
        <v>6195.629507</v>
      </c>
      <c r="X276" s="59" t="str">
        <f t="shared" si="13"/>
        <v>1h 43m 15s</v>
      </c>
      <c r="Y276" s="69">
        <f t="shared" si="14"/>
        <v>391291173</v>
      </c>
      <c r="Z276" s="11"/>
    </row>
    <row r="277">
      <c r="A277" s="8"/>
      <c r="B277" s="56" t="str">
        <f t="shared" si="2"/>
        <v/>
      </c>
      <c r="C277" s="105"/>
      <c r="D277" s="10"/>
      <c r="E277" s="59" t="str">
        <f t="array" ref="E277">IF(COUNTA(C277:C1673)=0,"",SUM((COUNTIF(C$4:C277,Upgrades!$B$3:$B$13)-COUNTIF(C$4:C277,"Sell_"&amp;Upgrades!$B$3:$B$13))*Upgrades!$D$3:$D$13))</f>
        <v/>
      </c>
      <c r="F277" s="66" t="str">
        <f>IFERROR(__xludf.DUMMYFUNCTION("IF(COUNTA(C277:C1673)=0,"""",IF(REGEXMATCH(INDEX(FILTER(C$4:C277,C$4:C277&lt;&gt;""""),ROWS(FILTER(C$4:C277,C$4:C277&lt;&gt;""""))),""^Sell_""),INDEX(FILTER(F$4:F276,C$4:C276&lt;&gt;""""),ROWS(FILTER(C$4:C276,C$4:C276&lt;&gt;""""))),$AC$5+E277))"),"")</f>
        <v/>
      </c>
      <c r="G277" s="10" t="str">
        <f>IFERROR(__xludf.DUMMYFUNCTION("IF(COUNTA(C277:C1673)=0,"""",IF(C277="""",0,IF(REGEXMATCH(C277,""^Sell_""),-ROUNDDOWN(ROUNDUP(INDEX(Upgrades!$C$3:$C$13,MATCH(SUBSTITUTE(C277,""Sell_"",""""),Upgrades!$B$3:$B$13,0))*1.15^(COUNTIF(C$4:C276,SUBSTITUTE(C277,""Sell_"",""""))-COUNTIF(C$4:C276,"&amp;"""Sell_""&amp;SUBSTITUTE(C277,""Sell_"",""""))))/2),ROUNDUP(INDEX(Upgrades!$C$3:$C$13,MATCH(C277,Upgrades!$B$3:$B$13,0))*1.15^(COUNTIF(C$4:C276,C277)-COUNTIF(C$4:C276,""Sell_""&amp;C277))))))"),"")</f>
        <v/>
      </c>
      <c r="H277" s="10" t="str">
        <f t="shared" si="3"/>
        <v/>
      </c>
      <c r="I277" s="68" t="str">
        <f t="shared" si="4"/>
        <v/>
      </c>
      <c r="J277" s="59" t="str">
        <f t="shared" si="5"/>
        <v/>
      </c>
      <c r="K277" s="69" t="str">
        <f t="shared" si="6"/>
        <v/>
      </c>
      <c r="L277" s="60">
        <f t="shared" si="7"/>
        <v>-219.67593</v>
      </c>
      <c r="M277" s="61">
        <f>IFERROR(__xludf.DUMMYFUNCTION("IFS(AND(COUNTA(C277:C1673)=0,COUNTA(Q277:Q1673)=0),"""",OR(AND(K277&gt;=1000000000,OR(Y277&gt;=1000000000,COUNTA(Q277:Q1673)=0)),OR(Y277&gt;=1000000000,AND(COUNTA(C277:C1673)=0,P$3=TRUE))),
ROUNDDOWN((AB$1-AC$1)*MAX(INDEX(T$4:T1673,MATCH(LARGE(FILTER(Y$4:Y1673,Y$4"&amp;":Y1673&lt;1000000000),1),Y$4:Y1673)),INDEX(F$4:F1673,MATCH(LARGE(FILTER(K$4:K1673,K$4:K1673&lt;1000000000),1),K$4:K1673)))),AND(K277&lt;1000000000,COUNTA(C277:C1673)&gt;0,P$3=FALSE),
ROUNDDOWN(INDEX(Y$4:Y1673,MATCH(LARGE(FILTER(W$4:W1673,W$4:W1673&lt;=I277),1),W$4:W1673"&amp;"))+(I277-LARGE(FILTER(W$4:W1673,W$4:W1673&lt;=I277),1))*INDEX(T$4:T1673,MATCH(LARGE(FILTER(W$4:W1673,W$4:W1673&lt;=I277),1),W$4:W1673))-K277),1,
ROUNDDOWN(Y277-INDEX(K$4:K1673,MATCH(LARGE(FILTER(I$4:I1673,I$4:I1673&lt;=W277),1),I$4:I1673))-(W277-LARGE(FILTER(I$4:I"&amp;"1673,I$4:I1673&lt;=W277),1))*INDEX(F$4:F1673,MATCH(LARGE(FILTER(I$4:I1673,I$4:I1673&lt;=W277),1),I$4:I1673))))"),5.4761505E7)</f>
        <v>54761505</v>
      </c>
      <c r="N277" s="60">
        <f t="shared" si="8"/>
        <v>-219.67593</v>
      </c>
      <c r="O277" s="61" t="str">
        <f t="shared" si="9"/>
        <v>54,8M</v>
      </c>
      <c r="P277" s="56">
        <f t="shared" si="10"/>
        <v>10</v>
      </c>
      <c r="Q277" s="105" t="s">
        <v>9</v>
      </c>
      <c r="R277" s="10"/>
      <c r="S277" s="59">
        <f t="array" ref="S277">IF(COUNTA(Q277:Q1673)=0,"",SUM((COUNTIF(Q$4:Q277,Upgrades!$B$3:$B$13)-COUNTIF(Q$4:Q277,"Sell_"&amp;Upgrades!$B$3:$B$13))*Upgrades!$D$3:$D$13))</f>
        <v>296839</v>
      </c>
      <c r="T277" s="66">
        <f>IFERROR(__xludf.DUMMYFUNCTION("IF(COUNTA(Q277:Q1673)=0,"""",IF(REGEXMATCH(INDEX(FILTER(Q$4:Q277,Q$4:Q277&lt;&gt;""""),ROWS(FILTER(Q$4:Q277,Q$4:Q277&lt;&gt;""""))),""^Sell_""),INDEX(FILTER(T$4:T276,Q$4:Q276&lt;&gt;""""),ROWS(FILTER(Q$4:Q276,Q$4:Q276&lt;&gt;""""))),$AD$5+S277))"),296854.0)</f>
        <v>296854</v>
      </c>
      <c r="U277" s="10">
        <f>IFERROR(__xludf.DUMMYFUNCTION("IF(COUNTA(Q277:Q1673)=0,"""",IF(Q277="""",0,IF(REGEXMATCH(Q277,""^Sell_""),-ROUNDDOWN(ROUNDUP(INDEX(Upgrades!$C$3:$C$13,MATCH(SUBSTITUTE(Q277,""Sell_"",""""),Upgrades!$B$3:$B$13,0))*1.15^(COUNTIF(Q$4:Q276,SUBSTITUTE(Q277,""Sell_"",""""))-COUNTIF(Q$4:Q276,"&amp;"""Sell_""&amp;SUBSTITUTE(Q277,""Sell_"",""""))))/2),ROUNDUP(INDEX(Upgrades!$C$3:$C$13,MATCH(Q277,Upgrades!$B$3:$B$13,0))*1.15^(COUNTIF(Q$4:Q276,Q277)-COUNTIF(Q$4:Q276,""Sell_""&amp;Q277))))))"),703576.0)</f>
        <v>703576</v>
      </c>
      <c r="V277" s="10">
        <f t="shared" si="11"/>
        <v>703576</v>
      </c>
      <c r="W277" s="68">
        <f t="shared" si="12"/>
        <v>6198.002813</v>
      </c>
      <c r="X277" s="59" t="str">
        <f t="shared" si="13"/>
        <v>1h 43m 18s</v>
      </c>
      <c r="Y277" s="69">
        <f t="shared" si="14"/>
        <v>391994749</v>
      </c>
      <c r="Z277" s="11"/>
    </row>
    <row r="278">
      <c r="A278" s="8"/>
      <c r="B278" s="56" t="str">
        <f t="shared" si="2"/>
        <v/>
      </c>
      <c r="C278" s="105"/>
      <c r="D278" s="10"/>
      <c r="E278" s="59" t="str">
        <f t="array" ref="E278">IF(COUNTA(C278:C1673)=0,"",SUM((COUNTIF(C$4:C278,Upgrades!$B$3:$B$13)-COUNTIF(C$4:C278,"Sell_"&amp;Upgrades!$B$3:$B$13))*Upgrades!$D$3:$D$13))</f>
        <v/>
      </c>
      <c r="F278" s="66" t="str">
        <f>IFERROR(__xludf.DUMMYFUNCTION("IF(COUNTA(C278:C1673)=0,"""",IF(REGEXMATCH(INDEX(FILTER(C$4:C278,C$4:C278&lt;&gt;""""),ROWS(FILTER(C$4:C278,C$4:C278&lt;&gt;""""))),""^Sell_""),INDEX(FILTER(F$4:F277,C$4:C277&lt;&gt;""""),ROWS(FILTER(C$4:C277,C$4:C277&lt;&gt;""""))),$AC$5+E278))"),"")</f>
        <v/>
      </c>
      <c r="G278" s="10" t="str">
        <f>IFERROR(__xludf.DUMMYFUNCTION("IF(COUNTA(C278:C1673)=0,"""",IF(C278="""",0,IF(REGEXMATCH(C278,""^Sell_""),-ROUNDDOWN(ROUNDUP(INDEX(Upgrades!$C$3:$C$13,MATCH(SUBSTITUTE(C278,""Sell_"",""""),Upgrades!$B$3:$B$13,0))*1.15^(COUNTIF(C$4:C277,SUBSTITUTE(C278,""Sell_"",""""))-COUNTIF(C$4:C277,"&amp;"""Sell_""&amp;SUBSTITUTE(C278,""Sell_"",""""))))/2),ROUNDUP(INDEX(Upgrades!$C$3:$C$13,MATCH(C278,Upgrades!$B$3:$B$13,0))*1.15^(COUNTIF(C$4:C277,C278)-COUNTIF(C$4:C277,""Sell_""&amp;C278))))))"),"")</f>
        <v/>
      </c>
      <c r="H278" s="10" t="str">
        <f t="shared" si="3"/>
        <v/>
      </c>
      <c r="I278" s="68" t="str">
        <f t="shared" si="4"/>
        <v/>
      </c>
      <c r="J278" s="59" t="str">
        <f t="shared" si="5"/>
        <v/>
      </c>
      <c r="K278" s="69" t="str">
        <f t="shared" si="6"/>
        <v/>
      </c>
      <c r="L278" s="60">
        <f t="shared" si="7"/>
        <v>-217.8463</v>
      </c>
      <c r="M278" s="61">
        <f>IFERROR(__xludf.DUMMYFUNCTION("IFS(AND(COUNTA(C278:C1673)=0,COUNTA(Q278:Q1673)=0),"""",OR(AND(K278&gt;=1000000000,OR(Y278&gt;=1000000000,COUNTA(Q278:Q1673)=0)),OR(Y278&gt;=1000000000,AND(COUNTA(C278:C1673)=0,P$3=TRUE))),
ROUNDDOWN((AB$1-AC$1)*MAX(INDEX(T$4:T1673,MATCH(LARGE(FILTER(Y$4:Y1673,Y$4"&amp;":Y1673&lt;1000000000),1),Y$4:Y1673)),INDEX(F$4:F1673,MATCH(LARGE(FILTER(K$4:K1673,K$4:K1673&lt;1000000000),1),K$4:K1673)))),AND(K278&lt;1000000000,COUNTA(C278:C1673)&gt;0,P$3=FALSE),
ROUNDDOWN(INDEX(Y$4:Y1673,MATCH(LARGE(FILTER(W$4:W1673,W$4:W1673&lt;=I278),1),W$4:W1673"&amp;"))+(I278-LARGE(FILTER(W$4:W1673,W$4:W1673&lt;=I278),1))*INDEX(T$4:T1673,MATCH(LARGE(FILTER(W$4:W1673,W$4:W1673&lt;=I278),1),W$4:W1673))-K278),1,
ROUNDDOWN(Y278-INDEX(K$4:K1673,MATCH(LARGE(FILTER(I$4:I1673,I$4:I1673&lt;=W278),1),I$4:I1673))-(W278-LARGE(FILTER(I$4:I"&amp;"1673,I$4:I1673&lt;=W278),1))*INDEX(F$4:F1673,MATCH(LARGE(FILTER(I$4:I1673,I$4:I1673&lt;=W278),1),I$4:I1673))))"),5.8115695E7)</f>
        <v>58115695</v>
      </c>
      <c r="N278" s="60">
        <f t="shared" si="8"/>
        <v>-217.8463</v>
      </c>
      <c r="O278" s="61" t="str">
        <f t="shared" si="9"/>
        <v>58,1M</v>
      </c>
      <c r="P278" s="56">
        <f t="shared" si="10"/>
        <v>15</v>
      </c>
      <c r="Q278" s="105" t="s">
        <v>10</v>
      </c>
      <c r="R278" s="10"/>
      <c r="S278" s="59">
        <f t="array" ref="S278">IF(COUNTA(Q278:Q1673)=0,"",SUM((COUNTIF(Q$4:Q278,Upgrades!$B$3:$B$13)-COUNTIF(Q$4:Q278,"Sell_"&amp;Upgrades!$B$3:$B$13))*Upgrades!$D$3:$D$13))</f>
        <v>303505</v>
      </c>
      <c r="T278" s="66">
        <f>IFERROR(__xludf.DUMMYFUNCTION("IF(COUNTA(Q278:Q1673)=0,"""",IF(REGEXMATCH(INDEX(FILTER(Q$4:Q278,Q$4:Q278&lt;&gt;""""),ROWS(FILTER(Q$4:Q278,Q$4:Q278&lt;&gt;""""))),""^Sell_""),INDEX(FILTER(T$4:T277,Q$4:Q277&lt;&gt;""""),ROWS(FILTER(Q$4:Q277,Q$4:Q277&lt;&gt;""""))),$AD$5+S278))"),303520.0)</f>
        <v>303520</v>
      </c>
      <c r="U278" s="10">
        <f>IFERROR(__xludf.DUMMYFUNCTION("IF(COUNTA(Q278:Q1673)=0,"""",IF(Q278="""",0,IF(REGEXMATCH(Q278,""^Sell_""),-ROUNDDOWN(ROUNDUP(INDEX(Upgrades!$C$3:$C$13,MATCH(SUBSTITUTE(Q278,""Sell_"",""""),Upgrades!$B$3:$B$13,0))*1.15^(COUNTIF(Q$4:Q277,SUBSTITUTE(Q278,""Sell_"",""""))-COUNTIF(Q$4:Q277,"&amp;"""Sell_""&amp;SUBSTITUTE(Q278,""Sell_"",""""))))/2),ROUNDUP(INDEX(Upgrades!$C$3:$C$13,MATCH(Q278,Upgrades!$B$3:$B$13,0))*1.15^(COUNTIF(Q$4:Q277,Q278)-COUNTIF(Q$4:Q277,""Sell_""&amp;Q278))))))"),1.1792839E7)</f>
        <v>11792839</v>
      </c>
      <c r="V278" s="10">
        <f t="shared" si="11"/>
        <v>11792839</v>
      </c>
      <c r="W278" s="68">
        <f t="shared" si="12"/>
        <v>6237.72887</v>
      </c>
      <c r="X278" s="59" t="str">
        <f t="shared" si="13"/>
        <v>1h 43m 57s</v>
      </c>
      <c r="Y278" s="69">
        <f t="shared" si="14"/>
        <v>403787588</v>
      </c>
      <c r="Z278" s="11"/>
    </row>
    <row r="279">
      <c r="A279" s="8"/>
      <c r="B279" s="56" t="str">
        <f t="shared" si="2"/>
        <v/>
      </c>
      <c r="C279" s="105"/>
      <c r="D279" s="10"/>
      <c r="E279" s="59" t="str">
        <f t="array" ref="E279">IF(COUNTA(C279:C1673)=0,"",SUM((COUNTIF(C$4:C279,Upgrades!$B$3:$B$13)-COUNTIF(C$4:C279,"Sell_"&amp;Upgrades!$B$3:$B$13))*Upgrades!$D$3:$D$13))</f>
        <v/>
      </c>
      <c r="F279" s="66" t="str">
        <f>IFERROR(__xludf.DUMMYFUNCTION("IF(COUNTA(C279:C1673)=0,"""",IF(REGEXMATCH(INDEX(FILTER(C$4:C279,C$4:C279&lt;&gt;""""),ROWS(FILTER(C$4:C279,C$4:C279&lt;&gt;""""))),""^Sell_""),INDEX(FILTER(F$4:F278,C$4:C278&lt;&gt;""""),ROWS(FILTER(C$4:C278,C$4:C278&lt;&gt;""""))),$AC$5+E279))"),"")</f>
        <v/>
      </c>
      <c r="G279" s="10" t="str">
        <f>IFERROR(__xludf.DUMMYFUNCTION("IF(COUNTA(C279:C1673)=0,"""",IF(C279="""",0,IF(REGEXMATCH(C279,""^Sell_""),-ROUNDDOWN(ROUNDUP(INDEX(Upgrades!$C$3:$C$13,MATCH(SUBSTITUTE(C279,""Sell_"",""""),Upgrades!$B$3:$B$13,0))*1.15^(COUNTIF(C$4:C278,SUBSTITUTE(C279,""Sell_"",""""))-COUNTIF(C$4:C278,"&amp;"""Sell_""&amp;SUBSTITUTE(C279,""Sell_"",""""))))/2),ROUNDUP(INDEX(Upgrades!$C$3:$C$13,MATCH(C279,Upgrades!$B$3:$B$13,0))*1.15^(COUNTIF(C$4:C278,C279)-COUNTIF(C$4:C278,""Sell_""&amp;C279))))))"),"")</f>
        <v/>
      </c>
      <c r="H279" s="10" t="str">
        <f t="shared" si="3"/>
        <v/>
      </c>
      <c r="I279" s="68" t="str">
        <f t="shared" si="4"/>
        <v/>
      </c>
      <c r="J279" s="59" t="str">
        <f t="shared" si="5"/>
        <v/>
      </c>
      <c r="K279" s="69" t="str">
        <f t="shared" si="6"/>
        <v/>
      </c>
      <c r="L279" s="60">
        <f t="shared" si="7"/>
        <v>-217.8312</v>
      </c>
      <c r="M279" s="61">
        <f>IFERROR(__xludf.DUMMYFUNCTION("IFS(AND(COUNTA(C279:C1673)=0,COUNTA(Q279:Q1673)=0),"""",OR(AND(K279&gt;=1000000000,OR(Y279&gt;=1000000000,COUNTA(Q279:Q1673)=0)),OR(Y279&gt;=1000000000,AND(COUNTA(C279:C1673)=0,P$3=TRUE))),
ROUNDDOWN((AB$1-AC$1)*MAX(INDEX(T$4:T1673,MATCH(LARGE(FILTER(Y$4:Y1673,Y$4"&amp;":Y1673&lt;1000000000),1),Y$4:Y1673)),INDEX(F$4:F1673,MATCH(LARGE(FILTER(K$4:K1673,K$4:K1673&lt;1000000000),1),K$4:K1673)))),AND(K279&lt;1000000000,COUNTA(C279:C1673)&gt;0,P$3=FALSE),
ROUNDDOWN(INDEX(Y$4:Y1673,MATCH(LARGE(FILTER(W$4:W1673,W$4:W1673&lt;=I279),1),W$4:W1673"&amp;"))+(I279-LARGE(FILTER(W$4:W1673,W$4:W1673&lt;=I279),1))*INDEX(T$4:T1673,MATCH(LARGE(FILTER(W$4:W1673,W$4:W1673&lt;=I279),1),W$4:W1673))-K279),1,
ROUNDDOWN(Y279-INDEX(K$4:K1673,MATCH(LARGE(FILTER(I$4:I1673,I$4:I1673&lt;=W279),1),I$4:I1673))-(W279-LARGE(FILTER(I$4:I"&amp;"1673,I$4:I1673&lt;=W279),1))*INDEX(F$4:F1673,MATCH(LARGE(FILTER(I$4:I1673,I$4:I1673&lt;=W279),1),I$4:I1673))))"),5.817155E7)</f>
        <v>58171550</v>
      </c>
      <c r="N279" s="60">
        <f t="shared" si="8"/>
        <v>-217.8312</v>
      </c>
      <c r="O279" s="61" t="str">
        <f t="shared" si="9"/>
        <v>58,2M</v>
      </c>
      <c r="P279" s="56">
        <f t="shared" si="10"/>
        <v>12</v>
      </c>
      <c r="Q279" s="105" t="s">
        <v>8</v>
      </c>
      <c r="R279" s="10"/>
      <c r="S279" s="59">
        <f t="array" ref="S279">IF(COUNTA(Q279:Q1673)=0,"",SUM((COUNTIF(Q$4:Q279,Upgrades!$B$3:$B$13)-COUNTIF(Q$4:Q279,"Sell_"&amp;Upgrades!$B$3:$B$13))*Upgrades!$D$3:$D$13))</f>
        <v>303605</v>
      </c>
      <c r="T279" s="66">
        <f>IFERROR(__xludf.DUMMYFUNCTION("IF(COUNTA(Q279:Q1673)=0,"""",IF(REGEXMATCH(INDEX(FILTER(Q$4:Q279,Q$4:Q279&lt;&gt;""""),ROWS(FILTER(Q$4:Q279,Q$4:Q279&lt;&gt;""""))),""^Sell_""),INDEX(FILTER(T$4:T278,Q$4:Q278&lt;&gt;""""),ROWS(FILTER(Q$4:Q278,Q$4:Q278&lt;&gt;""""))),$AD$5+S279))"),303620.0)</f>
        <v>303620</v>
      </c>
      <c r="U279" s="10">
        <f>IFERROR(__xludf.DUMMYFUNCTION("IF(COUNTA(Q279:Q1673)=0,"""",IF(Q279="""",0,IF(REGEXMATCH(Q279,""^Sell_""),-ROUNDDOWN(ROUNDUP(INDEX(Upgrades!$C$3:$C$13,MATCH(SUBSTITUTE(Q279,""Sell_"",""""),Upgrades!$B$3:$B$13,0))*1.15^(COUNTIF(Q$4:Q278,SUBSTITUTE(Q279,""Sell_"",""""))-COUNTIF(Q$4:Q278,"&amp;"""Sell_""&amp;SUBSTITUTE(Q279,""Sell_"",""""))))/2),ROUNDUP(INDEX(Upgrades!$C$3:$C$13,MATCH(Q279,Upgrades!$B$3:$B$13,0))*1.15^(COUNTIF(Q$4:Q278,Q279)-COUNTIF(Q$4:Q278,""Sell_""&amp;Q279))))))"),186096.0)</f>
        <v>186096</v>
      </c>
      <c r="V279" s="10">
        <f t="shared" si="11"/>
        <v>186096</v>
      </c>
      <c r="W279" s="68">
        <f t="shared" si="12"/>
        <v>6238.341996</v>
      </c>
      <c r="X279" s="59" t="str">
        <f t="shared" si="13"/>
        <v>1h 43m 58s</v>
      </c>
      <c r="Y279" s="69">
        <f t="shared" si="14"/>
        <v>403973684</v>
      </c>
      <c r="Z279" s="11"/>
    </row>
    <row r="280">
      <c r="A280" s="8"/>
      <c r="B280" s="56" t="str">
        <f t="shared" si="2"/>
        <v/>
      </c>
      <c r="C280" s="105"/>
      <c r="D280" s="10"/>
      <c r="E280" s="59" t="str">
        <f t="array" ref="E280">IF(COUNTA(C280:C1673)=0,"",SUM((COUNTIF(C$4:C280,Upgrades!$B$3:$B$13)-COUNTIF(C$4:C280,"Sell_"&amp;Upgrades!$B$3:$B$13))*Upgrades!$D$3:$D$13))</f>
        <v/>
      </c>
      <c r="F280" s="66" t="str">
        <f>IFERROR(__xludf.DUMMYFUNCTION("IF(COUNTA(C280:C1673)=0,"""",IF(REGEXMATCH(INDEX(FILTER(C$4:C280,C$4:C280&lt;&gt;""""),ROWS(FILTER(C$4:C280,C$4:C280&lt;&gt;""""))),""^Sell_""),INDEX(FILTER(F$4:F279,C$4:C279&lt;&gt;""""),ROWS(FILTER(C$4:C279,C$4:C279&lt;&gt;""""))),$AC$5+E280))"),"")</f>
        <v/>
      </c>
      <c r="G280" s="10" t="str">
        <f>IFERROR(__xludf.DUMMYFUNCTION("IF(COUNTA(C280:C1673)=0,"""",IF(C280="""",0,IF(REGEXMATCH(C280,""^Sell_""),-ROUNDDOWN(ROUNDUP(INDEX(Upgrades!$C$3:$C$13,MATCH(SUBSTITUTE(C280,""Sell_"",""""),Upgrades!$B$3:$B$13,0))*1.15^(COUNTIF(C$4:C279,SUBSTITUTE(C280,""Sell_"",""""))-COUNTIF(C$4:C279,"&amp;"""Sell_""&amp;SUBSTITUTE(C280,""Sell_"",""""))))/2),ROUNDUP(INDEX(Upgrades!$C$3:$C$13,MATCH(C280,Upgrades!$B$3:$B$13,0))*1.15^(COUNTIF(C$4:C279,C280)-COUNTIF(C$4:C279,""Sell_""&amp;C280))))))"),"")</f>
        <v/>
      </c>
      <c r="H280" s="10" t="str">
        <f t="shared" si="3"/>
        <v/>
      </c>
      <c r="I280" s="68" t="str">
        <f t="shared" si="4"/>
        <v/>
      </c>
      <c r="J280" s="59" t="str">
        <f t="shared" si="5"/>
        <v/>
      </c>
      <c r="K280" s="69" t="str">
        <f t="shared" si="6"/>
        <v/>
      </c>
      <c r="L280" s="60">
        <f t="shared" si="7"/>
        <v>-217.76641</v>
      </c>
      <c r="M280" s="61">
        <f>IFERROR(__xludf.DUMMYFUNCTION("IFS(AND(COUNTA(C280:C1673)=0,COUNTA(Q280:Q1673)=0),"""",OR(AND(K280&gt;=1000000000,OR(Y280&gt;=1000000000,COUNTA(Q280:Q1673)=0)),OR(Y280&gt;=1000000000,AND(COUNTA(C280:C1673)=0,P$3=TRUE))),
ROUNDDOWN((AB$1-AC$1)*MAX(INDEX(T$4:T1673,MATCH(LARGE(FILTER(Y$4:Y1673,Y$4"&amp;":Y1673&lt;1000000000),1),Y$4:Y1673)),INDEX(F$4:F1673,MATCH(LARGE(FILTER(K$4:K1673,K$4:K1673&lt;1000000000),1),K$4:K1673)))),AND(K280&lt;1000000000,COUNTA(C280:C1673)&gt;0,P$3=FALSE),
ROUNDDOWN(INDEX(Y$4:Y1673,MATCH(LARGE(FILTER(W$4:W1673,W$4:W1673&lt;=I280),1),W$4:W1673"&amp;"))+(I280-LARGE(FILTER(W$4:W1673,W$4:W1673&lt;=I280),1))*INDEX(T$4:T1673,MATCH(LARGE(FILTER(W$4:W1673,W$4:W1673&lt;=I280),1),W$4:W1673))-K280),1,
ROUNDDOWN(Y280-INDEX(K$4:K1673,MATCH(LARGE(FILTER(I$4:I1673,I$4:I1673&lt;=W280),1),I$4:I1673))-(W280-LARGE(FILTER(I$4:I"&amp;"1673,I$4:I1673&lt;=W280),1))*INDEX(F$4:F1673,MATCH(LARGE(FILTER(I$4:I1673,I$4:I1673&lt;=W280),1),I$4:I1673))))"),5.8414585E7)</f>
        <v>58414585</v>
      </c>
      <c r="N280" s="60">
        <f t="shared" si="8"/>
        <v>-217.76641</v>
      </c>
      <c r="O280" s="61" t="str">
        <f t="shared" si="9"/>
        <v>58,4M</v>
      </c>
      <c r="P280" s="56">
        <f t="shared" si="10"/>
        <v>11</v>
      </c>
      <c r="Q280" s="105" t="s">
        <v>9</v>
      </c>
      <c r="R280" s="10"/>
      <c r="S280" s="59">
        <f t="array" ref="S280">IF(COUNTA(Q280:Q1673)=0,"",SUM((COUNTIF(Q$4:Q280,Upgrades!$B$3:$B$13)-COUNTIF(Q$4:Q280,"Sell_"&amp;Upgrades!$B$3:$B$13))*Upgrades!$D$3:$D$13))</f>
        <v>304005</v>
      </c>
      <c r="T280" s="66">
        <f>IFERROR(__xludf.DUMMYFUNCTION("IF(COUNTA(Q280:Q1673)=0,"""",IF(REGEXMATCH(INDEX(FILTER(Q$4:Q280,Q$4:Q280&lt;&gt;""""),ROWS(FILTER(Q$4:Q280,Q$4:Q280&lt;&gt;""""))),""^Sell_""),INDEX(FILTER(T$4:T279,Q$4:Q279&lt;&gt;""""),ROWS(FILTER(Q$4:Q279,Q$4:Q279&lt;&gt;""""))),$AD$5+S280))"),304020.0)</f>
        <v>304020</v>
      </c>
      <c r="U280" s="10">
        <f>IFERROR(__xludf.DUMMYFUNCTION("IF(COUNTA(Q280:Q1673)=0,"""",IF(Q280="""",0,IF(REGEXMATCH(Q280,""^Sell_""),-ROUNDDOWN(ROUNDUP(INDEX(Upgrades!$C$3:$C$13,MATCH(SUBSTITUTE(Q280,""Sell_"",""""),Upgrades!$B$3:$B$13,0))*1.15^(COUNTIF(Q$4:Q279,SUBSTITUTE(Q280,""Sell_"",""""))-COUNTIF(Q$4:Q279,"&amp;"""Sell_""&amp;SUBSTITUTE(Q280,""Sell_"",""""))))/2),ROUNDUP(INDEX(Upgrades!$C$3:$C$13,MATCH(Q280,Upgrades!$B$3:$B$13,0))*1.15^(COUNTIF(Q$4:Q279,Q280)-COUNTIF(Q$4:Q279,""Sell_""&amp;Q280))))))"),809112.0)</f>
        <v>809112</v>
      </c>
      <c r="V280" s="10">
        <f t="shared" si="11"/>
        <v>809112</v>
      </c>
      <c r="W280" s="68">
        <f t="shared" si="12"/>
        <v>6241.00688</v>
      </c>
      <c r="X280" s="59" t="str">
        <f t="shared" si="13"/>
        <v>1h 44m 01s</v>
      </c>
      <c r="Y280" s="69">
        <f t="shared" si="14"/>
        <v>404782796</v>
      </c>
      <c r="Z280" s="11"/>
    </row>
    <row r="281">
      <c r="A281" s="8"/>
      <c r="B281" s="56" t="str">
        <f t="shared" si="2"/>
        <v/>
      </c>
      <c r="C281" s="105"/>
      <c r="D281" s="10"/>
      <c r="E281" s="59" t="str">
        <f t="array" ref="E281">IF(COUNTA(C281:C1673)=0,"",SUM((COUNTIF(C$4:C281,Upgrades!$B$3:$B$13)-COUNTIF(C$4:C281,"Sell_"&amp;Upgrades!$B$3:$B$13))*Upgrades!$D$3:$D$13))</f>
        <v/>
      </c>
      <c r="F281" s="66" t="str">
        <f>IFERROR(__xludf.DUMMYFUNCTION("IF(COUNTA(C281:C1673)=0,"""",IF(REGEXMATCH(INDEX(FILTER(C$4:C281,C$4:C281&lt;&gt;""""),ROWS(FILTER(C$4:C281,C$4:C281&lt;&gt;""""))),""^Sell_""),INDEX(FILTER(F$4:F280,C$4:C280&lt;&gt;""""),ROWS(FILTER(C$4:C280,C$4:C280&lt;&gt;""""))),$AC$5+E281))"),"")</f>
        <v/>
      </c>
      <c r="G281" s="10" t="str">
        <f>IFERROR(__xludf.DUMMYFUNCTION("IF(COUNTA(C281:C1673)=0,"""",IF(C281="""",0,IF(REGEXMATCH(C281,""^Sell_""),-ROUNDDOWN(ROUNDUP(INDEX(Upgrades!$C$3:$C$13,MATCH(SUBSTITUTE(C281,""Sell_"",""""),Upgrades!$B$3:$B$13,0))*1.15^(COUNTIF(C$4:C280,SUBSTITUTE(C281,""Sell_"",""""))-COUNTIF(C$4:C280,"&amp;"""Sell_""&amp;SUBSTITUTE(C281,""Sell_"",""""))))/2),ROUNDUP(INDEX(Upgrades!$C$3:$C$13,MATCH(C281,Upgrades!$B$3:$B$13,0))*1.15^(COUNTIF(C$4:C280,C281)-COUNTIF(C$4:C280,""Sell_""&amp;C281))))))"),"")</f>
        <v/>
      </c>
      <c r="H281" s="10" t="str">
        <f t="shared" si="3"/>
        <v/>
      </c>
      <c r="I281" s="68" t="str">
        <f t="shared" si="4"/>
        <v/>
      </c>
      <c r="J281" s="59" t="str">
        <f t="shared" si="5"/>
        <v/>
      </c>
      <c r="K281" s="69" t="str">
        <f t="shared" si="6"/>
        <v/>
      </c>
      <c r="L281" s="60">
        <f t="shared" si="7"/>
        <v>-216.73917</v>
      </c>
      <c r="M281" s="61">
        <f>IFERROR(__xludf.DUMMYFUNCTION("IFS(AND(COUNTA(C281:C1673)=0,COUNTA(Q281:Q1673)=0),"""",OR(AND(K281&gt;=1000000000,OR(Y281&gt;=1000000000,COUNTA(Q281:Q1673)=0)),OR(Y281&gt;=1000000000,AND(COUNTA(C281:C1673)=0,P$3=TRUE))),
ROUNDDOWN((AB$1-AC$1)*MAX(INDEX(T$4:T1673,MATCH(LARGE(FILTER(Y$4:Y1673,Y$4"&amp;":Y1673&lt;1000000000),1),Y$4:Y1673)),INDEX(F$4:F1673,MATCH(LARGE(FILTER(K$4:K1673,K$4:K1673&lt;1000000000),1),K$4:K1673)))),AND(K281&lt;1000000000,COUNTA(C281:C1673)&gt;0,P$3=FALSE),
ROUNDDOWN(INDEX(Y$4:Y1673,MATCH(LARGE(FILTER(W$4:W1673,W$4:W1673&lt;=I281),1),W$4:W1673"&amp;"))+(I281-LARGE(FILTER(W$4:W1673,W$4:W1673&lt;=I281),1))*INDEX(T$4:T1673,MATCH(LARGE(FILTER(W$4:W1673,W$4:W1673&lt;=I281),1),W$4:W1673))-K281),1,
ROUNDDOWN(Y281-INDEX(K$4:K1673,MATCH(LARGE(FILTER(I$4:I1673,I$4:I1673&lt;=W281),1),I$4:I1673))-(W281-LARGE(FILTER(I$4:I"&amp;"1673,I$4:I1673&lt;=W281),1))*INDEX(F$4:F1673,MATCH(LARGE(FILTER(I$4:I1673,I$4:I1673&lt;=W281),1),I$4:I1673))))"),6.2500645E7)</f>
        <v>62500645</v>
      </c>
      <c r="N281" s="60">
        <f t="shared" si="8"/>
        <v>-216.73917</v>
      </c>
      <c r="O281" s="61" t="str">
        <f t="shared" si="9"/>
        <v>62,5M</v>
      </c>
      <c r="P281" s="56">
        <f t="shared" si="10"/>
        <v>16</v>
      </c>
      <c r="Q281" s="105" t="s">
        <v>10</v>
      </c>
      <c r="R281" s="10"/>
      <c r="S281" s="59">
        <f t="array" ref="S281">IF(COUNTA(Q281:Q1673)=0,"",SUM((COUNTIF(Q$4:Q281,Upgrades!$B$3:$B$13)-COUNTIF(Q$4:Q281,"Sell_"&amp;Upgrades!$B$3:$B$13))*Upgrades!$D$3:$D$13))</f>
        <v>310671</v>
      </c>
      <c r="T281" s="66">
        <f>IFERROR(__xludf.DUMMYFUNCTION("IF(COUNTA(Q281:Q1673)=0,"""",IF(REGEXMATCH(INDEX(FILTER(Q$4:Q281,Q$4:Q281&lt;&gt;""""),ROWS(FILTER(Q$4:Q281,Q$4:Q281&lt;&gt;""""))),""^Sell_""),INDEX(FILTER(T$4:T280,Q$4:Q280&lt;&gt;""""),ROWS(FILTER(Q$4:Q280,Q$4:Q280&lt;&gt;""""))),$AD$5+S281))"),310686.0)</f>
        <v>310686</v>
      </c>
      <c r="U281" s="10">
        <f>IFERROR(__xludf.DUMMYFUNCTION("IF(COUNTA(Q281:Q1673)=0,"""",IF(Q281="""",0,IF(REGEXMATCH(Q281,""^Sell_""),-ROUNDDOWN(ROUNDUP(INDEX(Upgrades!$C$3:$C$13,MATCH(SUBSTITUTE(Q281,""Sell_"",""""),Upgrades!$B$3:$B$13,0))*1.15^(COUNTIF(Q$4:Q280,SUBSTITUTE(Q281,""Sell_"",""""))-COUNTIF(Q$4:Q280,"&amp;"""Sell_""&amp;SUBSTITUTE(Q281,""Sell_"",""""))))/2),ROUNDUP(INDEX(Upgrades!$C$3:$C$13,MATCH(Q281,Upgrades!$B$3:$B$13,0))*1.15^(COUNTIF(Q$4:Q280,Q281)-COUNTIF(Q$4:Q280,""Sell_""&amp;Q281))))))"),1.3561764E7)</f>
        <v>13561764</v>
      </c>
      <c r="V281" s="10">
        <f t="shared" si="11"/>
        <v>13561764</v>
      </c>
      <c r="W281" s="68">
        <f t="shared" si="12"/>
        <v>6285.615011</v>
      </c>
      <c r="X281" s="59" t="str">
        <f t="shared" si="13"/>
        <v>1h 44m 45s</v>
      </c>
      <c r="Y281" s="69">
        <f t="shared" si="14"/>
        <v>418344560</v>
      </c>
      <c r="Z281" s="11"/>
    </row>
    <row r="282">
      <c r="A282" s="8"/>
      <c r="B282" s="56" t="str">
        <f t="shared" si="2"/>
        <v/>
      </c>
      <c r="C282" s="105"/>
      <c r="D282" s="10"/>
      <c r="E282" s="59" t="str">
        <f t="array" ref="E282">IF(COUNTA(C282:C1673)=0,"",SUM((COUNTIF(C$4:C282,Upgrades!$B$3:$B$13)-COUNTIF(C$4:C282,"Sell_"&amp;Upgrades!$B$3:$B$13))*Upgrades!$D$3:$D$13))</f>
        <v/>
      </c>
      <c r="F282" s="66" t="str">
        <f>IFERROR(__xludf.DUMMYFUNCTION("IF(COUNTA(C282:C1673)=0,"""",IF(REGEXMATCH(INDEX(FILTER(C$4:C282,C$4:C282&lt;&gt;""""),ROWS(FILTER(C$4:C282,C$4:C282&lt;&gt;""""))),""^Sell_""),INDEX(FILTER(F$4:F281,C$4:C281&lt;&gt;""""),ROWS(FILTER(C$4:C281,C$4:C281&lt;&gt;""""))),$AC$5+E282))"),"")</f>
        <v/>
      </c>
      <c r="G282" s="10" t="str">
        <f>IFERROR(__xludf.DUMMYFUNCTION("IF(COUNTA(C282:C1673)=0,"""",IF(C282="""",0,IF(REGEXMATCH(C282,""^Sell_""),-ROUNDDOWN(ROUNDUP(INDEX(Upgrades!$C$3:$C$13,MATCH(SUBSTITUTE(C282,""Sell_"",""""),Upgrades!$B$3:$B$13,0))*1.15^(COUNTIF(C$4:C281,SUBSTITUTE(C282,""Sell_"",""""))-COUNTIF(C$4:C281,"&amp;"""Sell_""&amp;SUBSTITUTE(C282,""Sell_"",""""))))/2),ROUNDUP(INDEX(Upgrades!$C$3:$C$13,MATCH(C282,Upgrades!$B$3:$B$13,0))*1.15^(COUNTIF(C$4:C281,C282)-COUNTIF(C$4:C281,""Sell_""&amp;C282))))))"),"")</f>
        <v/>
      </c>
      <c r="H282" s="10" t="str">
        <f t="shared" si="3"/>
        <v/>
      </c>
      <c r="I282" s="68" t="str">
        <f t="shared" si="4"/>
        <v/>
      </c>
      <c r="J282" s="59" t="str">
        <f t="shared" si="5"/>
        <v/>
      </c>
      <c r="K282" s="69" t="str">
        <f t="shared" si="6"/>
        <v/>
      </c>
      <c r="L282" s="60">
        <f t="shared" si="7"/>
        <v>-216.73806</v>
      </c>
      <c r="M282" s="61">
        <f>IFERROR(__xludf.DUMMYFUNCTION("IFS(AND(COUNTA(C282:C1673)=0,COUNTA(Q282:Q1673)=0),"""",OR(AND(K282&gt;=1000000000,OR(Y282&gt;=1000000000,COUNTA(Q282:Q1673)=0)),OR(Y282&gt;=1000000000,AND(COUNTA(C282:C1673)=0,P$3=TRUE))),
ROUNDDOWN((AB$1-AC$1)*MAX(INDEX(T$4:T1673,MATCH(LARGE(FILTER(Y$4:Y1673,Y$4"&amp;":Y1673&lt;1000000000),1),Y$4:Y1673)),INDEX(F$4:F1673,MATCH(LARGE(FILTER(K$4:K1673,K$4:K1673&lt;1000000000),1),K$4:K1673)))),AND(K282&lt;1000000000,COUNTA(C282:C1673)&gt;0,P$3=FALSE),
ROUNDDOWN(INDEX(Y$4:Y1673,MATCH(LARGE(FILTER(W$4:W1673,W$4:W1673&lt;=I282),1),W$4:W1673"&amp;"))+(I282-LARGE(FILTER(W$4:W1673,W$4:W1673&lt;=I282),1))*INDEX(T$4:T1673,MATCH(LARGE(FILTER(W$4:W1673,W$4:W1673&lt;=I282),1),W$4:W1673))-K282),1,
ROUNDDOWN(Y282-INDEX(K$4:K1673,MATCH(LARGE(FILTER(I$4:I1673,I$4:I1673&lt;=W282),1),I$4:I1673))-(W282-LARGE(FILTER(I$4:I"&amp;"1673,I$4:I1673&lt;=W282),1))*INDEX(F$4:F1673,MATCH(LARGE(FILTER(I$4:I1673,I$4:I1673&lt;=W282),1),I$4:I1673))))"),6.2568333E7)</f>
        <v>62568333</v>
      </c>
      <c r="N282" s="60">
        <f t="shared" si="8"/>
        <v>-216.73806</v>
      </c>
      <c r="O282" s="61" t="str">
        <f t="shared" si="9"/>
        <v>62,6M</v>
      </c>
      <c r="P282" s="56">
        <f t="shared" si="10"/>
        <v>13</v>
      </c>
      <c r="Q282" s="105" t="s">
        <v>8</v>
      </c>
      <c r="R282" s="10"/>
      <c r="S282" s="59">
        <f t="array" ref="S282">IF(COUNTA(Q282:Q1673)=0,"",SUM((COUNTIF(Q$4:Q282,Upgrades!$B$3:$B$13)-COUNTIF(Q$4:Q282,"Sell_"&amp;Upgrades!$B$3:$B$13))*Upgrades!$D$3:$D$13))</f>
        <v>310771</v>
      </c>
      <c r="T282" s="66">
        <f>IFERROR(__xludf.DUMMYFUNCTION("IF(COUNTA(Q282:Q1673)=0,"""",IF(REGEXMATCH(INDEX(FILTER(Q$4:Q282,Q$4:Q282&lt;&gt;""""),ROWS(FILTER(Q$4:Q282,Q$4:Q282&lt;&gt;""""))),""^Sell_""),INDEX(FILTER(T$4:T281,Q$4:Q281&lt;&gt;""""),ROWS(FILTER(Q$4:Q281,Q$4:Q281&lt;&gt;""""))),$AD$5+S282))"),310786.0)</f>
        <v>310786</v>
      </c>
      <c r="U282" s="10">
        <f>IFERROR(__xludf.DUMMYFUNCTION("IF(COUNTA(Q282:Q1673)=0,"""",IF(Q282="""",0,IF(REGEXMATCH(Q282,""^Sell_""),-ROUNDDOWN(ROUNDUP(INDEX(Upgrades!$C$3:$C$13,MATCH(SUBSTITUTE(Q282,""Sell_"",""""),Upgrades!$B$3:$B$13,0))*1.15^(COUNTIF(Q$4:Q281,SUBSTITUTE(Q282,""Sell_"",""""))-COUNTIF(Q$4:Q281,"&amp;"""Sell_""&amp;SUBSTITUTE(Q282,""Sell_"",""""))))/2),ROUNDUP(INDEX(Upgrades!$C$3:$C$13,MATCH(Q282,Upgrades!$B$3:$B$13,0))*1.15^(COUNTIF(Q$4:Q281,Q282)-COUNTIF(Q$4:Q281,""Sell_""&amp;Q282))))))"),214011.0)</f>
        <v>214011</v>
      </c>
      <c r="V282" s="10">
        <f t="shared" si="11"/>
        <v>214011</v>
      </c>
      <c r="W282" s="68">
        <f t="shared" si="12"/>
        <v>6286.303845</v>
      </c>
      <c r="X282" s="59" t="str">
        <f t="shared" si="13"/>
        <v>1h 44m 46s</v>
      </c>
      <c r="Y282" s="69">
        <f t="shared" si="14"/>
        <v>418558571</v>
      </c>
      <c r="Z282" s="11"/>
    </row>
    <row r="283">
      <c r="A283" s="8"/>
      <c r="B283" s="56" t="str">
        <f t="shared" si="2"/>
        <v/>
      </c>
      <c r="C283" s="105"/>
      <c r="D283" s="10"/>
      <c r="E283" s="59" t="str">
        <f t="array" ref="E283">IF(COUNTA(C283:C1673)=0,"",SUM((COUNTIF(C$4:C283,Upgrades!$B$3:$B$13)-COUNTIF(C$4:C283,"Sell_"&amp;Upgrades!$B$3:$B$13))*Upgrades!$D$3:$D$13))</f>
        <v/>
      </c>
      <c r="F283" s="66" t="str">
        <f>IFERROR(__xludf.DUMMYFUNCTION("IF(COUNTA(C283:C1673)=0,"""",IF(REGEXMATCH(INDEX(FILTER(C$4:C283,C$4:C283&lt;&gt;""""),ROWS(FILTER(C$4:C283,C$4:C283&lt;&gt;""""))),""^Sell_""),INDEX(FILTER(F$4:F282,C$4:C282&lt;&gt;""""),ROWS(FILTER(C$4:C282,C$4:C282&lt;&gt;""""))),$AC$5+E283))"),"")</f>
        <v/>
      </c>
      <c r="G283" s="10" t="str">
        <f>IFERROR(__xludf.DUMMYFUNCTION("IF(COUNTA(C283:C1673)=0,"""",IF(C283="""",0,IF(REGEXMATCH(C283,""^Sell_""),-ROUNDDOWN(ROUNDUP(INDEX(Upgrades!$C$3:$C$13,MATCH(SUBSTITUTE(C283,""Sell_"",""""),Upgrades!$B$3:$B$13,0))*1.15^(COUNTIF(C$4:C282,SUBSTITUTE(C283,""Sell_"",""""))-COUNTIF(C$4:C282,"&amp;"""Sell_""&amp;SUBSTITUTE(C283,""Sell_"",""""))))/2),ROUNDUP(INDEX(Upgrades!$C$3:$C$13,MATCH(C283,Upgrades!$B$3:$B$13,0))*1.15^(COUNTIF(C$4:C282,C283)-COUNTIF(C$4:C282,""Sell_""&amp;C283))))))"),"")</f>
        <v/>
      </c>
      <c r="H283" s="10" t="str">
        <f t="shared" si="3"/>
        <v/>
      </c>
      <c r="I283" s="68" t="str">
        <f t="shared" si="4"/>
        <v/>
      </c>
      <c r="J283" s="59" t="str">
        <f t="shared" si="5"/>
        <v/>
      </c>
      <c r="K283" s="69" t="str">
        <f t="shared" si="6"/>
        <v/>
      </c>
      <c r="L283" s="60">
        <f t="shared" si="7"/>
        <v>-175.73065</v>
      </c>
      <c r="M283" s="61">
        <f>IFERROR(__xludf.DUMMYFUNCTION("IFS(AND(COUNTA(C283:C1673)=0,COUNTA(Q283:Q1673)=0),"""",OR(AND(K283&gt;=1000000000,OR(Y283&gt;=1000000000,COUNTA(Q283:Q1673)=0)),OR(Y283&gt;=1000000000,AND(COUNTA(C283:C1673)=0,P$3=TRUE))),
ROUNDDOWN((AB$1-AC$1)*MAX(INDEX(T$4:T1673,MATCH(LARGE(FILTER(Y$4:Y1673,Y$4"&amp;":Y1673&lt;1000000000),1),Y$4:Y1673)),INDEX(F$4:F1673,MATCH(LARGE(FILTER(K$4:K1673,K$4:K1673&lt;1000000000),1),K$4:K1673)))),AND(K283&lt;1000000000,COUNTA(C283:C1673)&gt;0,P$3=FALSE),
ROUNDDOWN(INDEX(Y$4:Y1673,MATCH(LARGE(FILTER(W$4:W1673,W$4:W1673&lt;=I283),1),W$4:W1673"&amp;"))+(I283-LARGE(FILTER(W$4:W1673,W$4:W1673&lt;=I283),1))*INDEX(T$4:T1673,MATCH(LARGE(FILTER(W$4:W1673,W$4:W1673&lt;=I283),1),W$4:W1673))-K283),1,
ROUNDDOWN(Y283-INDEX(K$4:K1673,MATCH(LARGE(FILTER(I$4:I1673,I$4:I1673&lt;=W283),1),I$4:I1673))-(W283-LARGE(FILTER(I$4:I"&amp;"1673,I$4:I1673&lt;=W283),1))*INDEX(F$4:F1673,MATCH(LARGE(FILTER(I$4:I1673,I$4:I1673&lt;=W283),1),I$4:I1673))))"),6.7235711E7)</f>
        <v>67235711</v>
      </c>
      <c r="N283" s="60">
        <f t="shared" si="8"/>
        <v>-175.73065</v>
      </c>
      <c r="O283" s="61" t="str">
        <f t="shared" si="9"/>
        <v>67,2M</v>
      </c>
      <c r="P283" s="56">
        <f t="shared" si="10"/>
        <v>3</v>
      </c>
      <c r="Q283" s="105" t="s">
        <v>11</v>
      </c>
      <c r="R283" s="10"/>
      <c r="S283" s="59">
        <f t="array" ref="S283">IF(COUNTA(Q283:Q1673)=0,"",SUM((COUNTIF(Q$4:Q283,Upgrades!$B$3:$B$13)-COUNTIF(Q$4:Q283,"Sell_"&amp;Upgrades!$B$3:$B$13))*Upgrades!$D$3:$D$13))</f>
        <v>409536</v>
      </c>
      <c r="T283" s="66">
        <f>IFERROR(__xludf.DUMMYFUNCTION("IF(COUNTA(Q283:Q1673)=0,"""",IF(REGEXMATCH(INDEX(FILTER(Q$4:Q283,Q$4:Q283&lt;&gt;""""),ROWS(FILTER(Q$4:Q283,Q$4:Q283&lt;&gt;""""))),""^Sell_""),INDEX(FILTER(T$4:T282,Q$4:Q282&lt;&gt;""""),ROWS(FILTER(Q$4:Q282,Q$4:Q282&lt;&gt;""""))),$AD$5+S283))"),409551.0)</f>
        <v>409551</v>
      </c>
      <c r="U283" s="10">
        <f>IFERROR(__xludf.DUMMYFUNCTION("IF(COUNTA(Q283:Q1673)=0,"""",IF(Q283="""",0,IF(REGEXMATCH(Q283,""^Sell_""),-ROUNDDOWN(ROUNDUP(INDEX(Upgrades!$C$3:$C$13,MATCH(SUBSTITUTE(Q283,""Sell_"",""""),Upgrades!$B$3:$B$13,0))*1.15^(COUNTIF(Q$4:Q282,SUBSTITUTE(Q283,""Sell_"",""""))-COUNTIF(Q$4:Q282,"&amp;"""Sell_""&amp;SUBSTITUTE(Q283,""Sell_"",""""))))/2),ROUNDUP(INDEX(Upgrades!$C$3:$C$13,MATCH(Q283,Upgrades!$B$3:$B$13,0))*1.15^(COUNTIF(Q$4:Q282,Q283)-COUNTIF(Q$4:Q282,""Sell_""&amp;Q283))))))"),1.63271604E8)</f>
        <v>163271604</v>
      </c>
      <c r="V283" s="10">
        <f t="shared" si="11"/>
        <v>163271604</v>
      </c>
      <c r="W283" s="68">
        <f t="shared" si="12"/>
        <v>6811.65442</v>
      </c>
      <c r="X283" s="59" t="str">
        <f t="shared" si="13"/>
        <v>1h 53m 31s</v>
      </c>
      <c r="Y283" s="69">
        <f t="shared" si="14"/>
        <v>581830175</v>
      </c>
      <c r="Z283" s="11"/>
    </row>
    <row r="284">
      <c r="A284" s="8"/>
      <c r="B284" s="56" t="str">
        <f t="shared" si="2"/>
        <v/>
      </c>
      <c r="C284" s="105"/>
      <c r="D284" s="10"/>
      <c r="E284" s="59" t="str">
        <f t="array" ref="E284">IF(COUNTA(C284:C1673)=0,"",SUM((COUNTIF(C$4:C284,Upgrades!$B$3:$B$13)-COUNTIF(C$4:C284,"Sell_"&amp;Upgrades!$B$3:$B$13))*Upgrades!$D$3:$D$13))</f>
        <v/>
      </c>
      <c r="F284" s="66" t="str">
        <f>IFERROR(__xludf.DUMMYFUNCTION("IF(COUNTA(C284:C1673)=0,"""",IF(REGEXMATCH(INDEX(FILTER(C$4:C284,C$4:C284&lt;&gt;""""),ROWS(FILTER(C$4:C284,C$4:C284&lt;&gt;""""))),""^Sell_""),INDEX(FILTER(F$4:F283,C$4:C283&lt;&gt;""""),ROWS(FILTER(C$4:C283,C$4:C283&lt;&gt;""""))),$AC$5+E284))"),"")</f>
        <v/>
      </c>
      <c r="G284" s="10" t="str">
        <f>IFERROR(__xludf.DUMMYFUNCTION("IF(COUNTA(C284:C1673)=0,"""",IF(C284="""",0,IF(REGEXMATCH(C284,""^Sell_""),-ROUNDDOWN(ROUNDUP(INDEX(Upgrades!$C$3:$C$13,MATCH(SUBSTITUTE(C284,""Sell_"",""""),Upgrades!$B$3:$B$13,0))*1.15^(COUNTIF(C$4:C283,SUBSTITUTE(C284,""Sell_"",""""))-COUNTIF(C$4:C283,"&amp;"""Sell_""&amp;SUBSTITUTE(C284,""Sell_"",""""))))/2),ROUNDUP(INDEX(Upgrades!$C$3:$C$13,MATCH(C284,Upgrades!$B$3:$B$13,0))*1.15^(COUNTIF(C$4:C283,C284)-COUNTIF(C$4:C283,""Sell_""&amp;C284))))))"),"")</f>
        <v/>
      </c>
      <c r="H284" s="10" t="str">
        <f t="shared" si="3"/>
        <v/>
      </c>
      <c r="I284" s="68" t="str">
        <f t="shared" si="4"/>
        <v/>
      </c>
      <c r="J284" s="59" t="str">
        <f t="shared" si="5"/>
        <v/>
      </c>
      <c r="K284" s="69" t="str">
        <f t="shared" si="6"/>
        <v/>
      </c>
      <c r="L284" s="60">
        <f t="shared" si="7"/>
        <v>-175.72819</v>
      </c>
      <c r="M284" s="61">
        <f>IFERROR(__xludf.DUMMYFUNCTION("IFS(AND(COUNTA(C284:C1673)=0,COUNTA(Q284:Q1673)=0),"""",OR(AND(K284&gt;=1000000000,OR(Y284&gt;=1000000000,COUNTA(Q284:Q1673)=0)),OR(Y284&gt;=1000000000,AND(COUNTA(C284:C1673)=0,P$3=TRUE))),
ROUNDDOWN((AB$1-AC$1)*MAX(INDEX(T$4:T1673,MATCH(LARGE(FILTER(Y$4:Y1673,Y$4"&amp;":Y1673&lt;1000000000),1),Y$4:Y1673)),INDEX(F$4:F1673,MATCH(LARGE(FILTER(K$4:K1673,K$4:K1673&lt;1000000000),1),K$4:K1673)))),AND(K284&lt;1000000000,COUNTA(C284:C1673)&gt;0,P$3=FALSE),
ROUNDDOWN(INDEX(Y$4:Y1673,MATCH(LARGE(FILTER(W$4:W1673,W$4:W1673&lt;=I284),1),W$4:W1673"&amp;"))+(I284-LARGE(FILTER(W$4:W1673,W$4:W1673&lt;=I284),1))*INDEX(T$4:T1673,MATCH(LARGE(FILTER(W$4:W1673,W$4:W1673&lt;=I284),1),W$4:W1673))-K284),1,
ROUNDDOWN(Y284-INDEX(K$4:K1673,MATCH(LARGE(FILTER(I$4:I1673,I$4:I1673&lt;=W284),1),I$4:I1673))-(W284-LARGE(FILTER(I$4:I"&amp;"1673,I$4:I1673&lt;=W284),1))*INDEX(F$4:F1673,MATCH(LARGE(FILTER(I$4:I1673,I$4:I1673&lt;=W284),1),I$4:I1673))))"),6.7459192E7)</f>
        <v>67459192</v>
      </c>
      <c r="N284" s="60">
        <f t="shared" si="8"/>
        <v>-175.72819</v>
      </c>
      <c r="O284" s="61" t="str">
        <f t="shared" si="9"/>
        <v>67,5M</v>
      </c>
      <c r="P284" s="56">
        <f t="shared" si="10"/>
        <v>12</v>
      </c>
      <c r="Q284" s="105" t="s">
        <v>9</v>
      </c>
      <c r="R284" s="10"/>
      <c r="S284" s="59">
        <f t="array" ref="S284">IF(COUNTA(Q284:Q1673)=0,"",SUM((COUNTIF(Q$4:Q284,Upgrades!$B$3:$B$13)-COUNTIF(Q$4:Q284,"Sell_"&amp;Upgrades!$B$3:$B$13))*Upgrades!$D$3:$D$13))</f>
        <v>409936</v>
      </c>
      <c r="T284" s="66">
        <f>IFERROR(__xludf.DUMMYFUNCTION("IF(COUNTA(Q284:Q1673)=0,"""",IF(REGEXMATCH(INDEX(FILTER(Q$4:Q284,Q$4:Q284&lt;&gt;""""),ROWS(FILTER(Q$4:Q284,Q$4:Q284&lt;&gt;""""))),""^Sell_""),INDEX(FILTER(T$4:T283,Q$4:Q283&lt;&gt;""""),ROWS(FILTER(Q$4:Q283,Q$4:Q283&lt;&gt;""""))),$AD$5+S284))"),409951.0)</f>
        <v>409951</v>
      </c>
      <c r="U284" s="10">
        <f>IFERROR(__xludf.DUMMYFUNCTION("IF(COUNTA(Q284:Q1673)=0,"""",IF(Q284="""",0,IF(REGEXMATCH(Q284,""^Sell_""),-ROUNDDOWN(ROUNDUP(INDEX(Upgrades!$C$3:$C$13,MATCH(SUBSTITUTE(Q284,""Sell_"",""""),Upgrades!$B$3:$B$13,0))*1.15^(COUNTIF(Q$4:Q283,SUBSTITUTE(Q284,""Sell_"",""""))-COUNTIF(Q$4:Q283,"&amp;"""Sell_""&amp;SUBSTITUTE(Q284,""Sell_"",""""))))/2),ROUNDUP(INDEX(Upgrades!$C$3:$C$13,MATCH(Q284,Upgrades!$B$3:$B$13,0))*1.15^(COUNTIF(Q$4:Q283,Q284)-COUNTIF(Q$4:Q283,""Sell_""&amp;Q284))))))"),930479.0)</f>
        <v>930479</v>
      </c>
      <c r="V284" s="10">
        <f t="shared" si="11"/>
        <v>930479</v>
      </c>
      <c r="W284" s="68">
        <f t="shared" si="12"/>
        <v>6813.926369</v>
      </c>
      <c r="X284" s="59" t="str">
        <f t="shared" si="13"/>
        <v>1h 53m 33s</v>
      </c>
      <c r="Y284" s="69">
        <f t="shared" si="14"/>
        <v>582760654</v>
      </c>
      <c r="Z284" s="11"/>
    </row>
    <row r="285">
      <c r="A285" s="8"/>
      <c r="B285" s="56" t="str">
        <f t="shared" si="2"/>
        <v/>
      </c>
      <c r="C285" s="105"/>
      <c r="D285" s="10"/>
      <c r="E285" s="59" t="str">
        <f t="array" ref="E285">IF(COUNTA(C285:C1673)=0,"",SUM((COUNTIF(C$4:C285,Upgrades!$B$3:$B$13)-COUNTIF(C$4:C285,"Sell_"&amp;Upgrades!$B$3:$B$13))*Upgrades!$D$3:$D$13))</f>
        <v/>
      </c>
      <c r="F285" s="66" t="str">
        <f>IFERROR(__xludf.DUMMYFUNCTION("IF(COUNTA(C285:C1673)=0,"""",IF(REGEXMATCH(INDEX(FILTER(C$4:C285,C$4:C285&lt;&gt;""""),ROWS(FILTER(C$4:C285,C$4:C285&lt;&gt;""""))),""^Sell_""),INDEX(FILTER(F$4:F284,C$4:C284&lt;&gt;""""),ROWS(FILTER(C$4:C284,C$4:C284&lt;&gt;""""))),$AC$5+E285))"),"")</f>
        <v/>
      </c>
      <c r="G285" s="10" t="str">
        <f>IFERROR(__xludf.DUMMYFUNCTION("IF(COUNTA(C285:C1673)=0,"""",IF(C285="""",0,IF(REGEXMATCH(C285,""^Sell_""),-ROUNDDOWN(ROUNDUP(INDEX(Upgrades!$C$3:$C$13,MATCH(SUBSTITUTE(C285,""Sell_"",""""),Upgrades!$B$3:$B$13,0))*1.15^(COUNTIF(C$4:C284,SUBSTITUTE(C285,""Sell_"",""""))-COUNTIF(C$4:C284,"&amp;"""Sell_""&amp;SUBSTITUTE(C285,""Sell_"",""""))))/2),ROUNDUP(INDEX(Upgrades!$C$3:$C$13,MATCH(C285,Upgrades!$B$3:$B$13,0))*1.15^(COUNTIF(C$4:C284,C285)-COUNTIF(C$4:C284,""Sell_""&amp;C285))))))"),"")</f>
        <v/>
      </c>
      <c r="H285" s="10" t="str">
        <f t="shared" si="3"/>
        <v/>
      </c>
      <c r="I285" s="68" t="str">
        <f t="shared" si="4"/>
        <v/>
      </c>
      <c r="J285" s="59" t="str">
        <f t="shared" si="5"/>
        <v/>
      </c>
      <c r="K285" s="69" t="str">
        <f t="shared" si="6"/>
        <v/>
      </c>
      <c r="L285" s="60">
        <f t="shared" si="7"/>
        <v>-175.72816</v>
      </c>
      <c r="M285" s="61">
        <f>IFERROR(__xludf.DUMMYFUNCTION("IFS(AND(COUNTA(C285:C1673)=0,COUNTA(Q285:Q1673)=0),"""",OR(AND(K285&gt;=1000000000,OR(Y285&gt;=1000000000,COUNTA(Q285:Q1673)=0)),OR(Y285&gt;=1000000000,AND(COUNTA(C285:C1673)=0,P$3=TRUE))),
ROUNDDOWN((AB$1-AC$1)*MAX(INDEX(T$4:T1673,MATCH(LARGE(FILTER(Y$4:Y1673,Y$4"&amp;":Y1673&lt;1000000000),1),Y$4:Y1673)),INDEX(F$4:F1673,MATCH(LARGE(FILTER(K$4:K1673,K$4:K1673&lt;1000000000),1),K$4:K1673)))),AND(K285&lt;1000000000,COUNTA(C285:C1673)&gt;0,P$3=FALSE),
ROUNDDOWN(INDEX(Y$4:Y1673,MATCH(LARGE(FILTER(W$4:W1673,W$4:W1673&lt;=I285),1),W$4:W1673"&amp;"))+(I285-LARGE(FILTER(W$4:W1673,W$4:W1673&lt;=I285),1))*INDEX(T$4:T1673,MATCH(LARGE(FILTER(W$4:W1673,W$4:W1673&lt;=I285),1),W$4:W1673))-K285),1,
ROUNDDOWN(Y285-INDEX(K$4:K1673,MATCH(LARGE(FILTER(I$4:I1673,I$4:I1673&lt;=W285),1),I$4:I1673))-(W285-LARGE(FILTER(I$4:I"&amp;"1673,I$4:I1673&lt;=W285),1))*INDEX(F$4:F1673,MATCH(LARGE(FILTER(I$4:I1673,I$4:I1673&lt;=W285),1),I$4:I1673))))"),6.7481736E7)</f>
        <v>67481736</v>
      </c>
      <c r="N285" s="60">
        <f t="shared" si="8"/>
        <v>-175.72816</v>
      </c>
      <c r="O285" s="61" t="str">
        <f t="shared" si="9"/>
        <v>67,5M</v>
      </c>
      <c r="P285" s="56">
        <f t="shared" si="10"/>
        <v>17</v>
      </c>
      <c r="Q285" s="105" t="s">
        <v>7</v>
      </c>
      <c r="R285" s="10"/>
      <c r="S285" s="59">
        <f t="array" ref="S285">IF(COUNTA(Q285:Q1673)=0,"",SUM((COUNTIF(Q$4:Q285,Upgrades!$B$3:$B$13)-COUNTIF(Q$4:Q285,"Sell_"&amp;Upgrades!$B$3:$B$13))*Upgrades!$D$3:$D$13))</f>
        <v>409976</v>
      </c>
      <c r="T285" s="66">
        <f>IFERROR(__xludf.DUMMYFUNCTION("IF(COUNTA(Q285:Q1673)=0,"""",IF(REGEXMATCH(INDEX(FILTER(Q$4:Q285,Q$4:Q285&lt;&gt;""""),ROWS(FILTER(Q$4:Q285,Q$4:Q285&lt;&gt;""""))),""^Sell_""),INDEX(FILTER(T$4:T284,Q$4:Q284&lt;&gt;""""),ROWS(FILTER(Q$4:Q284,Q$4:Q284&lt;&gt;""""))),$AD$5+S285))"),409991.0)</f>
        <v>409991</v>
      </c>
      <c r="U285" s="10">
        <f>IFERROR(__xludf.DUMMYFUNCTION("IF(COUNTA(Q285:Q1673)=0,"""",IF(Q285="""",0,IF(REGEXMATCH(Q285,""^Sell_""),-ROUNDDOWN(ROUNDUP(INDEX(Upgrades!$C$3:$C$13,MATCH(SUBSTITUTE(Q285,""Sell_"",""""),Upgrades!$B$3:$B$13,0))*1.15^(COUNTIF(Q$4:Q284,SUBSTITUTE(Q285,""Sell_"",""""))-COUNTIF(Q$4:Q284,"&amp;"""Sell_""&amp;SUBSTITUTE(Q285,""Sell_"",""""))))/2),ROUNDUP(INDEX(Upgrades!$C$3:$C$13,MATCH(Q285,Upgrades!$B$3:$B$13,0))*1.15^(COUNTIF(Q$4:Q284,Q285)-COUNTIF(Q$4:Q284,""Sell_""&amp;Q285))))))"),93577.0)</f>
        <v>93577</v>
      </c>
      <c r="V285" s="10">
        <f t="shared" si="11"/>
        <v>93577</v>
      </c>
      <c r="W285" s="68">
        <f t="shared" si="12"/>
        <v>6814.154633</v>
      </c>
      <c r="X285" s="59" t="str">
        <f t="shared" si="13"/>
        <v>1h 53m 34s</v>
      </c>
      <c r="Y285" s="69">
        <f t="shared" si="14"/>
        <v>582854231</v>
      </c>
      <c r="Z285" s="11"/>
    </row>
    <row r="286">
      <c r="A286" s="8"/>
      <c r="B286" s="56" t="str">
        <f t="shared" si="2"/>
        <v/>
      </c>
      <c r="C286" s="105"/>
      <c r="D286" s="10"/>
      <c r="E286" s="59" t="str">
        <f t="array" ref="E286">IF(COUNTA(C286:C1673)=0,"",SUM((COUNTIF(C$4:C286,Upgrades!$B$3:$B$13)-COUNTIF(C$4:C286,"Sell_"&amp;Upgrades!$B$3:$B$13))*Upgrades!$D$3:$D$13))</f>
        <v/>
      </c>
      <c r="F286" s="66" t="str">
        <f>IFERROR(__xludf.DUMMYFUNCTION("IF(COUNTA(C286:C1673)=0,"""",IF(REGEXMATCH(INDEX(FILTER(C$4:C286,C$4:C286&lt;&gt;""""),ROWS(FILTER(C$4:C286,C$4:C286&lt;&gt;""""))),""^Sell_""),INDEX(FILTER(F$4:F285,C$4:C285&lt;&gt;""""),ROWS(FILTER(C$4:C285,C$4:C285&lt;&gt;""""))),$AC$5+E286))"),"")</f>
        <v/>
      </c>
      <c r="G286" s="10" t="str">
        <f>IFERROR(__xludf.DUMMYFUNCTION("IF(COUNTA(C286:C1673)=0,"""",IF(C286="""",0,IF(REGEXMATCH(C286,""^Sell_""),-ROUNDDOWN(ROUNDUP(INDEX(Upgrades!$C$3:$C$13,MATCH(SUBSTITUTE(C286,""Sell_"",""""),Upgrades!$B$3:$B$13,0))*1.15^(COUNTIF(C$4:C285,SUBSTITUTE(C286,""Sell_"",""""))-COUNTIF(C$4:C285,"&amp;"""Sell_""&amp;SUBSTITUTE(C286,""Sell_"",""""))))/2),ROUNDUP(INDEX(Upgrades!$C$3:$C$13,MATCH(C286,Upgrades!$B$3:$B$13,0))*1.15^(COUNTIF(C$4:C285,C286)-COUNTIF(C$4:C285,""Sell_""&amp;C286))))))"),"")</f>
        <v/>
      </c>
      <c r="H286" s="10" t="str">
        <f t="shared" si="3"/>
        <v/>
      </c>
      <c r="I286" s="68" t="str">
        <f t="shared" si="4"/>
        <v/>
      </c>
      <c r="J286" s="59" t="str">
        <f t="shared" si="5"/>
        <v/>
      </c>
      <c r="K286" s="69" t="str">
        <f t="shared" si="6"/>
        <v/>
      </c>
      <c r="L286" s="60">
        <f t="shared" si="7"/>
        <v>-175.72816</v>
      </c>
      <c r="M286" s="61">
        <f>IFERROR(__xludf.DUMMYFUNCTION("IFS(AND(COUNTA(C286:C1673)=0,COUNTA(Q286:Q1673)=0),"""",OR(AND(K286&gt;=1000000000,OR(Y286&gt;=1000000000,COUNTA(Q286:Q1673)=0)),OR(Y286&gt;=1000000000,AND(COUNTA(C286:C1673)=0,P$3=TRUE))),
ROUNDDOWN((AB$1-AC$1)*MAX(INDEX(T$4:T1673,MATCH(LARGE(FILTER(Y$4:Y1673,Y$4"&amp;":Y1673&lt;1000000000),1),Y$4:Y1673)),INDEX(F$4:F1673,MATCH(LARGE(FILTER(K$4:K1673,K$4:K1673&lt;1000000000),1),K$4:K1673)))),AND(K286&lt;1000000000,COUNTA(C286:C1673)&gt;0,P$3=FALSE),
ROUNDDOWN(INDEX(Y$4:Y1673,MATCH(LARGE(FILTER(W$4:W1673,W$4:W1673&lt;=I286),1),W$4:W1673"&amp;"))+(I286-LARGE(FILTER(W$4:W1673,W$4:W1673&lt;=I286),1))*INDEX(T$4:T1673,MATCH(LARGE(FILTER(W$4:W1673,W$4:W1673&lt;=I286),1),W$4:W1673))-K286),1,
ROUNDDOWN(Y286-INDEX(K$4:K1673,MATCH(LARGE(FILTER(I$4:I1673,I$4:I1673&lt;=W286),1),I$4:I1673))-(W286-LARGE(FILTER(I$4:I"&amp;"1673,I$4:I1673&lt;=W286),1))*INDEX(F$4:F1673,MATCH(LARGE(FILTER(I$4:I1673,I$4:I1673&lt;=W286),1),I$4:I1673))))"),6.7484004E7)</f>
        <v>67484004</v>
      </c>
      <c r="N286" s="60">
        <f t="shared" si="8"/>
        <v>-175.72816</v>
      </c>
      <c r="O286" s="61" t="str">
        <f t="shared" si="9"/>
        <v>67,5M</v>
      </c>
      <c r="P286" s="56">
        <f t="shared" si="10"/>
        <v>22</v>
      </c>
      <c r="Q286" s="105" t="s">
        <v>5</v>
      </c>
      <c r="R286" s="10"/>
      <c r="S286" s="59">
        <f t="array" ref="S286">IF(COUNTA(Q286:Q1673)=0,"",SUM((COUNTIF(Q$4:Q286,Upgrades!$B$3:$B$13)-COUNTIF(Q$4:Q286,"Sell_"&amp;Upgrades!$B$3:$B$13))*Upgrades!$D$3:$D$13))</f>
        <v>409980</v>
      </c>
      <c r="T286" s="66">
        <f>IFERROR(__xludf.DUMMYFUNCTION("IF(COUNTA(Q286:Q1673)=0,"""",IF(REGEXMATCH(INDEX(FILTER(Q$4:Q286,Q$4:Q286&lt;&gt;""""),ROWS(FILTER(Q$4:Q286,Q$4:Q286&lt;&gt;""""))),""^Sell_""),INDEX(FILTER(T$4:T285,Q$4:Q285&lt;&gt;""""),ROWS(FILTER(Q$4:Q285,Q$4:Q285&lt;&gt;""""))),$AD$5+S286))"),409995.0)</f>
        <v>409995</v>
      </c>
      <c r="U286" s="10">
        <f>IFERROR(__xludf.DUMMYFUNCTION("IF(COUNTA(Q286:Q1673)=0,"""",IF(Q286="""",0,IF(REGEXMATCH(Q286,""^Sell_""),-ROUNDDOWN(ROUNDUP(INDEX(Upgrades!$C$3:$C$13,MATCH(SUBSTITUTE(Q286,""Sell_"",""""),Upgrades!$B$3:$B$13,0))*1.15^(COUNTIF(Q$4:Q285,SUBSTITUTE(Q286,""Sell_"",""""))-COUNTIF(Q$4:Q285,"&amp;"""Sell_""&amp;SUBSTITUTE(Q286,""Sell_"",""""))))/2),ROUNDUP(INDEX(Upgrades!$C$3:$C$13,MATCH(Q286,Upgrades!$B$3:$B$13,0))*1.15^(COUNTIF(Q$4:Q285,Q286)-COUNTIF(Q$4:Q285,""Sell_""&amp;Q286))))))"),9411.0)</f>
        <v>9411</v>
      </c>
      <c r="V286" s="10">
        <f t="shared" si="11"/>
        <v>9411</v>
      </c>
      <c r="W286" s="68">
        <f t="shared" si="12"/>
        <v>6814.177587</v>
      </c>
      <c r="X286" s="59" t="str">
        <f t="shared" si="13"/>
        <v>1h 53m 34s</v>
      </c>
      <c r="Y286" s="69">
        <f t="shared" si="14"/>
        <v>582863642</v>
      </c>
      <c r="Z286" s="11"/>
    </row>
    <row r="287">
      <c r="A287" s="8"/>
      <c r="B287" s="56" t="str">
        <f t="shared" si="2"/>
        <v/>
      </c>
      <c r="C287" s="105"/>
      <c r="D287" s="10"/>
      <c r="E287" s="59" t="str">
        <f t="array" ref="E287">IF(COUNTA(C287:C1673)=0,"",SUM((COUNTIF(C$4:C287,Upgrades!$B$3:$B$13)-COUNTIF(C$4:C287,"Sell_"&amp;Upgrades!$B$3:$B$13))*Upgrades!$D$3:$D$13))</f>
        <v/>
      </c>
      <c r="F287" s="66" t="str">
        <f>IFERROR(__xludf.DUMMYFUNCTION("IF(COUNTA(C287:C1673)=0,"""",IF(REGEXMATCH(INDEX(FILTER(C$4:C287,C$4:C287&lt;&gt;""""),ROWS(FILTER(C$4:C287,C$4:C287&lt;&gt;""""))),""^Sell_""),INDEX(FILTER(F$4:F286,C$4:C286&lt;&gt;""""),ROWS(FILTER(C$4:C286,C$4:C286&lt;&gt;""""))),$AC$5+E287))"),"")</f>
        <v/>
      </c>
      <c r="G287" s="10" t="str">
        <f>IFERROR(__xludf.DUMMYFUNCTION("IF(COUNTA(C287:C1673)=0,"""",IF(C287="""",0,IF(REGEXMATCH(C287,""^Sell_""),-ROUNDDOWN(ROUNDUP(INDEX(Upgrades!$C$3:$C$13,MATCH(SUBSTITUTE(C287,""Sell_"",""""),Upgrades!$B$3:$B$13,0))*1.15^(COUNTIF(C$4:C286,SUBSTITUTE(C287,""Sell_"",""""))-COUNTIF(C$4:C286,"&amp;"""Sell_""&amp;SUBSTITUTE(C287,""Sell_"",""""))))/2),ROUNDUP(INDEX(Upgrades!$C$3:$C$13,MATCH(C287,Upgrades!$B$3:$B$13,0))*1.15^(COUNTIF(C$4:C286,C287)-COUNTIF(C$4:C286,""Sell_""&amp;C287))))))"),"")</f>
        <v/>
      </c>
      <c r="H287" s="10" t="str">
        <f t="shared" si="3"/>
        <v/>
      </c>
      <c r="I287" s="68" t="str">
        <f t="shared" si="4"/>
        <v/>
      </c>
      <c r="J287" s="59" t="str">
        <f t="shared" si="5"/>
        <v/>
      </c>
      <c r="K287" s="69" t="str">
        <f t="shared" si="6"/>
        <v/>
      </c>
      <c r="L287" s="60">
        <f t="shared" si="7"/>
        <v>-175.72816</v>
      </c>
      <c r="M287" s="61">
        <f>IFERROR(__xludf.DUMMYFUNCTION("IFS(AND(COUNTA(C287:C1673)=0,COUNTA(Q287:Q1673)=0),"""",OR(AND(K287&gt;=1000000000,OR(Y287&gt;=1000000000,COUNTA(Q287:Q1673)=0)),OR(Y287&gt;=1000000000,AND(COUNTA(C287:C1673)=0,P$3=TRUE))),
ROUNDDOWN((AB$1-AC$1)*MAX(INDEX(T$4:T1673,MATCH(LARGE(FILTER(Y$4:Y1673,Y$4"&amp;":Y1673&lt;1000000000),1),Y$4:Y1673)),INDEX(F$4:F1673,MATCH(LARGE(FILTER(K$4:K1673,K$4:K1673&lt;1000000000),1),K$4:K1673)))),AND(K287&lt;1000000000,COUNTA(C287:C1673)&gt;0,P$3=FALSE),
ROUNDDOWN(INDEX(Y$4:Y1673,MATCH(LARGE(FILTER(W$4:W1673,W$4:W1673&lt;=I287),1),W$4:W1673"&amp;"))+(I287-LARGE(FILTER(W$4:W1673,W$4:W1673&lt;=I287),1))*INDEX(T$4:T1673,MATCH(LARGE(FILTER(W$4:W1673,W$4:W1673&lt;=I287),1),W$4:W1673))-K287),1,
ROUNDDOWN(Y287-INDEX(K$4:K1673,MATCH(LARGE(FILTER(I$4:I1673,I$4:I1673&lt;=W287),1),I$4:I1673))-(W287-LARGE(FILTER(I$4:I"&amp;"1673,I$4:I1673&lt;=W287),1))*INDEX(F$4:F1673,MATCH(LARGE(FILTER(I$4:I1673,I$4:I1673&lt;=W287),1),I$4:I1673))))"),7.1242655E7)</f>
        <v>71242655</v>
      </c>
      <c r="N287" s="60">
        <f t="shared" si="8"/>
        <v>-175.72816</v>
      </c>
      <c r="O287" s="61" t="str">
        <f t="shared" si="9"/>
        <v>71,2M</v>
      </c>
      <c r="P287" s="56">
        <f t="shared" si="10"/>
        <v>17</v>
      </c>
      <c r="Q287" s="105" t="s">
        <v>10</v>
      </c>
      <c r="R287" s="10"/>
      <c r="S287" s="59">
        <f t="array" ref="S287">IF(COUNTA(Q287:Q1673)=0,"",SUM((COUNTIF(Q$4:Q287,Upgrades!$B$3:$B$13)-COUNTIF(Q$4:Q287,"Sell_"&amp;Upgrades!$B$3:$B$13))*Upgrades!$D$3:$D$13))</f>
        <v>416646</v>
      </c>
      <c r="T287" s="66">
        <f>IFERROR(__xludf.DUMMYFUNCTION("IF(COUNTA(Q287:Q1673)=0,"""",IF(REGEXMATCH(INDEX(FILTER(Q$4:Q287,Q$4:Q287&lt;&gt;""""),ROWS(FILTER(Q$4:Q287,Q$4:Q287&lt;&gt;""""))),""^Sell_""),INDEX(FILTER(T$4:T286,Q$4:Q286&lt;&gt;""""),ROWS(FILTER(Q$4:Q286,Q$4:Q286&lt;&gt;""""))),$AD$5+S287))"),416661.0)</f>
        <v>416661</v>
      </c>
      <c r="U287" s="10">
        <f>IFERROR(__xludf.DUMMYFUNCTION("IF(COUNTA(Q287:Q1673)=0,"""",IF(Q287="""",0,IF(REGEXMATCH(Q287,""^Sell_""),-ROUNDDOWN(ROUNDUP(INDEX(Upgrades!$C$3:$C$13,MATCH(SUBSTITUTE(Q287,""Sell_"",""""),Upgrades!$B$3:$B$13,0))*1.15^(COUNTIF(Q$4:Q286,SUBSTITUTE(Q287,""Sell_"",""""))-COUNTIF(Q$4:Q286,"&amp;"""Sell_""&amp;SUBSTITUTE(Q287,""Sell_"",""""))))/2),ROUNDUP(INDEX(Upgrades!$C$3:$C$13,MATCH(Q287,Upgrades!$B$3:$B$13,0))*1.15^(COUNTIF(Q$4:Q286,Q287)-COUNTIF(Q$4:Q286,""Sell_""&amp;Q287))))))"),1.5596029E7)</f>
        <v>15596029</v>
      </c>
      <c r="V287" s="10">
        <f t="shared" si="11"/>
        <v>15596029</v>
      </c>
      <c r="W287" s="68">
        <f t="shared" si="12"/>
        <v>6852.217146</v>
      </c>
      <c r="X287" s="59" t="str">
        <f t="shared" si="13"/>
        <v>1h 54m 12s</v>
      </c>
      <c r="Y287" s="69">
        <f t="shared" si="14"/>
        <v>598459671</v>
      </c>
      <c r="Z287" s="11"/>
    </row>
    <row r="288">
      <c r="A288" s="8"/>
      <c r="B288" s="56" t="str">
        <f t="shared" si="2"/>
        <v/>
      </c>
      <c r="C288" s="105"/>
      <c r="D288" s="10"/>
      <c r="E288" s="59" t="str">
        <f t="array" ref="E288">IF(COUNTA(C288:C1673)=0,"",SUM((COUNTIF(C$4:C288,Upgrades!$B$3:$B$13)-COUNTIF(C$4:C288,"Sell_"&amp;Upgrades!$B$3:$B$13))*Upgrades!$D$3:$D$13))</f>
        <v/>
      </c>
      <c r="F288" s="66" t="str">
        <f>IFERROR(__xludf.DUMMYFUNCTION("IF(COUNTA(C288:C1673)=0,"""",IF(REGEXMATCH(INDEX(FILTER(C$4:C288,C$4:C288&lt;&gt;""""),ROWS(FILTER(C$4:C288,C$4:C288&lt;&gt;""""))),""^Sell_""),INDEX(FILTER(F$4:F287,C$4:C287&lt;&gt;""""),ROWS(FILTER(C$4:C287,C$4:C287&lt;&gt;""""))),$AC$5+E288))"),"")</f>
        <v/>
      </c>
      <c r="G288" s="10" t="str">
        <f>IFERROR(__xludf.DUMMYFUNCTION("IF(COUNTA(C288:C1673)=0,"""",IF(C288="""",0,IF(REGEXMATCH(C288,""^Sell_""),-ROUNDDOWN(ROUNDUP(INDEX(Upgrades!$C$3:$C$13,MATCH(SUBSTITUTE(C288,""Sell_"",""""),Upgrades!$B$3:$B$13,0))*1.15^(COUNTIF(C$4:C287,SUBSTITUTE(C288,""Sell_"",""""))-COUNTIF(C$4:C287,"&amp;"""Sell_""&amp;SUBSTITUTE(C288,""Sell_"",""""))))/2),ROUNDUP(INDEX(Upgrades!$C$3:$C$13,MATCH(C288,Upgrades!$B$3:$B$13,0))*1.15^(COUNTIF(C$4:C287,C288)-COUNTIF(C$4:C287,""Sell_""&amp;C288))))))"),"")</f>
        <v/>
      </c>
      <c r="H288" s="10" t="str">
        <f t="shared" si="3"/>
        <v/>
      </c>
      <c r="I288" s="68" t="str">
        <f t="shared" si="4"/>
        <v/>
      </c>
      <c r="J288" s="59" t="str">
        <f t="shared" si="5"/>
        <v/>
      </c>
      <c r="K288" s="69" t="str">
        <f t="shared" si="6"/>
        <v/>
      </c>
      <c r="L288" s="60">
        <f t="shared" si="7"/>
        <v>-175.72911</v>
      </c>
      <c r="M288" s="61">
        <f>IFERROR(__xludf.DUMMYFUNCTION("IFS(AND(COUNTA(C288:C1673)=0,COUNTA(Q288:Q1673)=0),"""",OR(AND(K288&gt;=1000000000,OR(Y288&gt;=1000000000,COUNTA(Q288:Q1673)=0)),OR(Y288&gt;=1000000000,AND(COUNTA(C288:C1673)=0,P$3=TRUE))),
ROUNDDOWN((AB$1-AC$1)*MAX(INDEX(T$4:T1673,MATCH(LARGE(FILTER(Y$4:Y1673,Y$4"&amp;":Y1673&lt;1000000000),1),Y$4:Y1673)),INDEX(F$4:F1673,MATCH(LARGE(FILTER(K$4:K1673,K$4:K1673&lt;1000000000),1),K$4:K1673)))),AND(K288&lt;1000000000,COUNTA(C288:C1673)&gt;0,P$3=FALSE),
ROUNDDOWN(INDEX(Y$4:Y1673,MATCH(LARGE(FILTER(W$4:W1673,W$4:W1673&lt;=I288),1),W$4:W1673"&amp;"))+(I288-LARGE(FILTER(W$4:W1673,W$4:W1673&lt;=I288),1))*INDEX(T$4:T1673,MATCH(LARGE(FILTER(W$4:W1673,W$4:W1673&lt;=I288),1),W$4:W1673))-K288),1,
ROUNDDOWN(Y288-INDEX(K$4:K1673,MATCH(LARGE(FILTER(I$4:I1673,I$4:I1673&lt;=W288),1),I$4:I1673))-(W288-LARGE(FILTER(I$4:I"&amp;"1673,I$4:I1673&lt;=W288),1))*INDEX(F$4:F1673,MATCH(LARGE(FILTER(I$4:I1673,I$4:I1673&lt;=W288),1),I$4:I1673))))"),7.1248835E7)</f>
        <v>71248835</v>
      </c>
      <c r="N288" s="60">
        <f t="shared" si="8"/>
        <v>-175.72911</v>
      </c>
      <c r="O288" s="61" t="str">
        <f t="shared" si="9"/>
        <v>71,2M</v>
      </c>
      <c r="P288" s="56">
        <f t="shared" si="10"/>
        <v>16</v>
      </c>
      <c r="Q288" s="105" t="s">
        <v>6</v>
      </c>
      <c r="R288" s="10"/>
      <c r="S288" s="59">
        <f t="array" ref="S288">IF(COUNTA(Q288:Q1673)=0,"",SUM((COUNTIF(Q$4:Q288,Upgrades!$B$3:$B$13)-COUNTIF(Q$4:Q288,"Sell_"&amp;Upgrades!$B$3:$B$13))*Upgrades!$D$3:$D$13))</f>
        <v>416656</v>
      </c>
      <c r="T288" s="66">
        <f>IFERROR(__xludf.DUMMYFUNCTION("IF(COUNTA(Q288:Q1673)=0,"""",IF(REGEXMATCH(INDEX(FILTER(Q$4:Q288,Q$4:Q288&lt;&gt;""""),ROWS(FILTER(Q$4:Q288,Q$4:Q288&lt;&gt;""""))),""^Sell_""),INDEX(FILTER(T$4:T287,Q$4:Q287&lt;&gt;""""),ROWS(FILTER(Q$4:Q287,Q$4:Q287&lt;&gt;""""))),$AD$5+S288))"),416671.0)</f>
        <v>416671</v>
      </c>
      <c r="U288" s="10">
        <f>IFERROR(__xludf.DUMMYFUNCTION("IF(COUNTA(Q288:Q1673)=0,"""",IF(Q288="""",0,IF(REGEXMATCH(Q288,""^Sell_""),-ROUNDDOWN(ROUNDUP(INDEX(Upgrades!$C$3:$C$13,MATCH(SUBSTITUTE(Q288,""Sell_"",""""),Upgrades!$B$3:$B$13,0))*1.15^(COUNTIF(Q$4:Q287,SUBSTITUTE(Q288,""Sell_"",""""))-COUNTIF(Q$4:Q287,"&amp;"""Sell_""&amp;SUBSTITUTE(Q288,""Sell_"",""""))))/2),ROUNDUP(INDEX(Upgrades!$C$3:$C$13,MATCH(Q288,Upgrades!$B$3:$B$13,0))*1.15^(COUNTIF(Q$4:Q287,Q288)-COUNTIF(Q$4:Q287,""Sell_""&amp;Q288))))))"),24412.0)</f>
        <v>24412</v>
      </c>
      <c r="V288" s="10">
        <f t="shared" si="11"/>
        <v>24412</v>
      </c>
      <c r="W288" s="68">
        <f t="shared" si="12"/>
        <v>6852.275736</v>
      </c>
      <c r="X288" s="59" t="str">
        <f t="shared" si="13"/>
        <v>1h 54m 12s</v>
      </c>
      <c r="Y288" s="69">
        <f t="shared" si="14"/>
        <v>598484083</v>
      </c>
      <c r="Z288" s="11"/>
    </row>
    <row r="289">
      <c r="A289" s="8"/>
      <c r="B289" s="56" t="str">
        <f t="shared" si="2"/>
        <v/>
      </c>
      <c r="C289" s="105"/>
      <c r="D289" s="10"/>
      <c r="E289" s="59" t="str">
        <f t="array" ref="E289">IF(COUNTA(C289:C1673)=0,"",SUM((COUNTIF(C$4:C289,Upgrades!$B$3:$B$13)-COUNTIF(C$4:C289,"Sell_"&amp;Upgrades!$B$3:$B$13))*Upgrades!$D$3:$D$13))</f>
        <v/>
      </c>
      <c r="F289" s="66" t="str">
        <f>IFERROR(__xludf.DUMMYFUNCTION("IF(COUNTA(C289:C1673)=0,"""",IF(REGEXMATCH(INDEX(FILTER(C$4:C289,C$4:C289&lt;&gt;""""),ROWS(FILTER(C$4:C289,C$4:C289&lt;&gt;""""))),""^Sell_""),INDEX(FILTER(F$4:F288,C$4:C288&lt;&gt;""""),ROWS(FILTER(C$4:C288,C$4:C288&lt;&gt;""""))),$AC$5+E289))"),"")</f>
        <v/>
      </c>
      <c r="G289" s="10" t="str">
        <f>IFERROR(__xludf.DUMMYFUNCTION("IF(COUNTA(C289:C1673)=0,"""",IF(C289="""",0,IF(REGEXMATCH(C289,""^Sell_""),-ROUNDDOWN(ROUNDUP(INDEX(Upgrades!$C$3:$C$13,MATCH(SUBSTITUTE(C289,""Sell_"",""""),Upgrades!$B$3:$B$13,0))*1.15^(COUNTIF(C$4:C288,SUBSTITUTE(C289,""Sell_"",""""))-COUNTIF(C$4:C288,"&amp;"""Sell_""&amp;SUBSTITUTE(C289,""Sell_"",""""))))/2),ROUNDUP(INDEX(Upgrades!$C$3:$C$13,MATCH(C289,Upgrades!$B$3:$B$13,0))*1.15^(COUNTIF(C$4:C288,C289)-COUNTIF(C$4:C288,""Sell_""&amp;C289))))))"),"")</f>
        <v/>
      </c>
      <c r="H289" s="10" t="str">
        <f t="shared" si="3"/>
        <v/>
      </c>
      <c r="I289" s="68" t="str">
        <f t="shared" si="4"/>
        <v/>
      </c>
      <c r="J289" s="59" t="str">
        <f t="shared" si="5"/>
        <v/>
      </c>
      <c r="K289" s="69" t="str">
        <f t="shared" si="6"/>
        <v/>
      </c>
      <c r="L289" s="60">
        <f t="shared" si="7"/>
        <v>-175.72912</v>
      </c>
      <c r="M289" s="61">
        <f>IFERROR(__xludf.DUMMYFUNCTION("IFS(AND(COUNTA(C289:C1673)=0,COUNTA(Q289:Q1673)=0),"""",OR(AND(K289&gt;=1000000000,OR(Y289&gt;=1000000000,COUNTA(Q289:Q1673)=0)),OR(Y289&gt;=1000000000,AND(COUNTA(C289:C1673)=0,P$3=TRUE))),
ROUNDDOWN((AB$1-AC$1)*MAX(INDEX(T$4:T1673,MATCH(LARGE(FILTER(Y$4:Y1673,Y$4"&amp;":Y1673&lt;1000000000),1),Y$4:Y1673)),INDEX(F$4:F1673,MATCH(LARGE(FILTER(K$4:K1673,K$4:K1673&lt;1000000000),1),K$4:K1673)))),AND(K289&lt;1000000000,COUNTA(C289:C1673)&gt;0,P$3=FALSE),
ROUNDDOWN(INDEX(Y$4:Y1673,MATCH(LARGE(FILTER(W$4:W1673,W$4:W1673&lt;=I289),1),W$4:W1673"&amp;"))+(I289-LARGE(FILTER(W$4:W1673,W$4:W1673&lt;=I289),1))*INDEX(T$4:T1673,MATCH(LARGE(FILTER(W$4:W1673,W$4:W1673&lt;=I289),1),W$4:W1673))-K289),1,
ROUNDDOWN(Y289-INDEX(K$4:K1673,MATCH(LARGE(FILTER(I$4:I1673,I$4:I1673&lt;=W289),1),I$4:I1673))-(W289-LARGE(FILTER(I$4:I"&amp;"1673,I$4:I1673&lt;=W289),1))*INDEX(F$4:F1673,MATCH(LARGE(FILTER(I$4:I1673,I$4:I1673&lt;=W289),1),I$4:I1673))))"),7.1248897E7)</f>
        <v>71248897</v>
      </c>
      <c r="N289" s="60">
        <f t="shared" si="8"/>
        <v>-175.72912</v>
      </c>
      <c r="O289" s="61" t="str">
        <f t="shared" si="9"/>
        <v>71,2M</v>
      </c>
      <c r="P289" s="56">
        <f t="shared" si="10"/>
        <v>21</v>
      </c>
      <c r="Q289" s="105" t="s">
        <v>3</v>
      </c>
      <c r="R289" s="10"/>
      <c r="S289" s="59">
        <f t="array" ref="S289">IF(COUNTA(Q289:Q1673)=0,"",SUM((COUNTIF(Q$4:Q289,Upgrades!$B$3:$B$13)-COUNTIF(Q$4:Q289,"Sell_"&amp;Upgrades!$B$3:$B$13))*Upgrades!$D$3:$D$13))</f>
        <v>416656.1</v>
      </c>
      <c r="T289" s="66">
        <f>IFERROR(__xludf.DUMMYFUNCTION("IF(COUNTA(Q289:Q1673)=0,"""",IF(REGEXMATCH(INDEX(FILTER(Q$4:Q289,Q$4:Q289&lt;&gt;""""),ROWS(FILTER(Q$4:Q289,Q$4:Q289&lt;&gt;""""))),""^Sell_""),INDEX(FILTER(T$4:T288,Q$4:Q288&lt;&gt;""""),ROWS(FILTER(Q$4:Q288,Q$4:Q288&lt;&gt;""""))),$AD$5+S289))"),416671.1)</f>
        <v>416671.1</v>
      </c>
      <c r="U289" s="10">
        <f>IFERROR(__xludf.DUMMYFUNCTION("IF(COUNTA(Q289:Q1673)=0,"""",IF(Q289="""",0,IF(REGEXMATCH(Q289,""^Sell_""),-ROUNDDOWN(ROUNDUP(INDEX(Upgrades!$C$3:$C$13,MATCH(SUBSTITUTE(Q289,""Sell_"",""""),Upgrades!$B$3:$B$13,0))*1.15^(COUNTIF(Q$4:Q288,SUBSTITUTE(Q289,""Sell_"",""""))-COUNTIF(Q$4:Q288,"&amp;"""Sell_""&amp;SUBSTITUTE(Q289,""Sell_"",""""))))/2),ROUNDUP(INDEX(Upgrades!$C$3:$C$13,MATCH(Q289,Upgrades!$B$3:$B$13,0))*1.15^(COUNTIF(Q$4:Q288,Q289)-COUNTIF(Q$4:Q288,""Sell_""&amp;Q289))))))"),246.0)</f>
        <v>246</v>
      </c>
      <c r="V289" s="10">
        <f t="shared" si="11"/>
        <v>246</v>
      </c>
      <c r="W289" s="68">
        <f t="shared" si="12"/>
        <v>6852.276326</v>
      </c>
      <c r="X289" s="59" t="str">
        <f t="shared" si="13"/>
        <v>1h 54m 12s</v>
      </c>
      <c r="Y289" s="69">
        <f t="shared" si="14"/>
        <v>598484329</v>
      </c>
      <c r="Z289" s="11"/>
    </row>
    <row r="290">
      <c r="A290" s="8"/>
      <c r="B290" s="56" t="str">
        <f t="shared" si="2"/>
        <v/>
      </c>
      <c r="C290" s="105"/>
      <c r="D290" s="10"/>
      <c r="E290" s="59" t="str">
        <f t="array" ref="E290">IF(COUNTA(C290:C1673)=0,"",SUM((COUNTIF(C$4:C290,Upgrades!$B$3:$B$13)-COUNTIF(C$4:C290,"Sell_"&amp;Upgrades!$B$3:$B$13))*Upgrades!$D$3:$D$13))</f>
        <v/>
      </c>
      <c r="F290" s="66" t="str">
        <f>IFERROR(__xludf.DUMMYFUNCTION("IF(COUNTA(C290:C1673)=0,"""",IF(REGEXMATCH(INDEX(FILTER(C$4:C290,C$4:C290&lt;&gt;""""),ROWS(FILTER(C$4:C290,C$4:C290&lt;&gt;""""))),""^Sell_""),INDEX(FILTER(F$4:F289,C$4:C289&lt;&gt;""""),ROWS(FILTER(C$4:C289,C$4:C289&lt;&gt;""""))),$AC$5+E290))"),"")</f>
        <v/>
      </c>
      <c r="G290" s="10" t="str">
        <f>IFERROR(__xludf.DUMMYFUNCTION("IF(COUNTA(C290:C1673)=0,"""",IF(C290="""",0,IF(REGEXMATCH(C290,""^Sell_""),-ROUNDDOWN(ROUNDUP(INDEX(Upgrades!$C$3:$C$13,MATCH(SUBSTITUTE(C290,""Sell_"",""""),Upgrades!$B$3:$B$13,0))*1.15^(COUNTIF(C$4:C289,SUBSTITUTE(C290,""Sell_"",""""))-COUNTIF(C$4:C289,"&amp;"""Sell_""&amp;SUBSTITUTE(C290,""Sell_"",""""))))/2),ROUNDUP(INDEX(Upgrades!$C$3:$C$13,MATCH(C290,Upgrades!$B$3:$B$13,0))*1.15^(COUNTIF(C$4:C289,C290)-COUNTIF(C$4:C289,""Sell_""&amp;C290))))))"),"")</f>
        <v/>
      </c>
      <c r="H290" s="10" t="str">
        <f t="shared" si="3"/>
        <v/>
      </c>
      <c r="I290" s="68" t="str">
        <f t="shared" si="4"/>
        <v/>
      </c>
      <c r="J290" s="59" t="str">
        <f t="shared" si="5"/>
        <v/>
      </c>
      <c r="K290" s="69" t="str">
        <f t="shared" si="6"/>
        <v/>
      </c>
      <c r="L290" s="60">
        <f t="shared" si="7"/>
        <v>-175.73874</v>
      </c>
      <c r="M290" s="61">
        <f>IFERROR(__xludf.DUMMYFUNCTION("IFS(AND(COUNTA(C290:C1673)=0,COUNTA(Q290:Q1673)=0),"""",OR(AND(K290&gt;=1000000000,OR(Y290&gt;=1000000000,COUNTA(Q290:Q1673)=0)),OR(Y290&gt;=1000000000,AND(COUNTA(C290:C1673)=0,P$3=TRUE))),
ROUNDDOWN((AB$1-AC$1)*MAX(INDEX(T$4:T1673,MATCH(LARGE(FILTER(Y$4:Y1673,Y$4"&amp;":Y1673&lt;1000000000),1),Y$4:Y1673)),INDEX(F$4:F1673,MATCH(LARGE(FILTER(K$4:K1673,K$4:K1673&lt;1000000000),1),K$4:K1673)))),AND(K290&lt;1000000000,COUNTA(C290:C1673)&gt;0,P$3=FALSE),
ROUNDDOWN(INDEX(Y$4:Y1673,MATCH(LARGE(FILTER(W$4:W1673,W$4:W1673&lt;=I290),1),W$4:W1673"&amp;"))+(I290-LARGE(FILTER(W$4:W1673,W$4:W1673&lt;=I290),1))*INDEX(T$4:T1673,MATCH(LARGE(FILTER(W$4:W1673,W$4:W1673&lt;=I290),1),W$4:W1673))-K290),1,
ROUNDDOWN(Y290-INDEX(K$4:K1673,MATCH(LARGE(FILTER(I$4:I1673,I$4:I1673&lt;=W290),1),I$4:I1673))-(W290-LARGE(FILTER(I$4:I"&amp;"1673,I$4:I1673&lt;=W290),1))*INDEX(F$4:F1673,MATCH(LARGE(FILTER(I$4:I1673,I$4:I1673&lt;=W290),1),I$4:I1673))))"),7.1311203E7)</f>
        <v>71311203</v>
      </c>
      <c r="N290" s="60">
        <f t="shared" si="8"/>
        <v>-175.73874</v>
      </c>
      <c r="O290" s="61" t="str">
        <f t="shared" si="9"/>
        <v>71,3M</v>
      </c>
      <c r="P290" s="56">
        <f t="shared" si="10"/>
        <v>14</v>
      </c>
      <c r="Q290" s="105" t="s">
        <v>8</v>
      </c>
      <c r="R290" s="10"/>
      <c r="S290" s="59">
        <f t="array" ref="S290">IF(COUNTA(Q290:Q1673)=0,"",SUM((COUNTIF(Q$4:Q290,Upgrades!$B$3:$B$13)-COUNTIF(Q$4:Q290,"Sell_"&amp;Upgrades!$B$3:$B$13))*Upgrades!$D$3:$D$13))</f>
        <v>416756.1</v>
      </c>
      <c r="T290" s="66">
        <f>IFERROR(__xludf.DUMMYFUNCTION("IF(COUNTA(Q290:Q1673)=0,"""",IF(REGEXMATCH(INDEX(FILTER(Q$4:Q290,Q$4:Q290&lt;&gt;""""),ROWS(FILTER(Q$4:Q290,Q$4:Q290&lt;&gt;""""))),""^Sell_""),INDEX(FILTER(T$4:T289,Q$4:Q289&lt;&gt;""""),ROWS(FILTER(Q$4:Q289,Q$4:Q289&lt;&gt;""""))),$AD$5+S290))"),416771.1)</f>
        <v>416771.1</v>
      </c>
      <c r="U290" s="10">
        <f>IFERROR(__xludf.DUMMYFUNCTION("IF(COUNTA(Q290:Q1673)=0,"""",IF(Q290="""",0,IF(REGEXMATCH(Q290,""^Sell_""),-ROUNDDOWN(ROUNDUP(INDEX(Upgrades!$C$3:$C$13,MATCH(SUBSTITUTE(Q290,""Sell_"",""""),Upgrades!$B$3:$B$13,0))*1.15^(COUNTIF(Q$4:Q289,SUBSTITUTE(Q290,""Sell_"",""""))-COUNTIF(Q$4:Q289,"&amp;"""Sell_""&amp;SUBSTITUTE(Q290,""Sell_"",""""))))/2),ROUNDUP(INDEX(Upgrades!$C$3:$C$13,MATCH(Q290,Upgrades!$B$3:$B$13,0))*1.15^(COUNTIF(Q$4:Q289,Q290)-COUNTIF(Q$4:Q289,""Sell_""&amp;Q290))))))"),246112.0)</f>
        <v>246112</v>
      </c>
      <c r="V290" s="10">
        <f t="shared" si="11"/>
        <v>246112</v>
      </c>
      <c r="W290" s="68">
        <f t="shared" si="12"/>
        <v>6852.866989</v>
      </c>
      <c r="X290" s="59" t="str">
        <f t="shared" si="13"/>
        <v>1h 54m 12s</v>
      </c>
      <c r="Y290" s="69">
        <f t="shared" si="14"/>
        <v>598730441</v>
      </c>
      <c r="Z290" s="11"/>
    </row>
    <row r="291">
      <c r="A291" s="8"/>
      <c r="B291" s="56" t="str">
        <f t="shared" si="2"/>
        <v/>
      </c>
      <c r="C291" s="105"/>
      <c r="D291" s="10"/>
      <c r="E291" s="59" t="str">
        <f t="array" ref="E291">IF(COUNTA(C291:C1673)=0,"",SUM((COUNTIF(C$4:C291,Upgrades!$B$3:$B$13)-COUNTIF(C$4:C291,"Sell_"&amp;Upgrades!$B$3:$B$13))*Upgrades!$D$3:$D$13))</f>
        <v/>
      </c>
      <c r="F291" s="66" t="str">
        <f>IFERROR(__xludf.DUMMYFUNCTION("IF(COUNTA(C291:C1673)=0,"""",IF(REGEXMATCH(INDEX(FILTER(C$4:C291,C$4:C291&lt;&gt;""""),ROWS(FILTER(C$4:C291,C$4:C291&lt;&gt;""""))),""^Sell_""),INDEX(FILTER(F$4:F290,C$4:C290&lt;&gt;""""),ROWS(FILTER(C$4:C290,C$4:C290&lt;&gt;""""))),$AC$5+E291))"),"")</f>
        <v/>
      </c>
      <c r="G291" s="10" t="str">
        <f>IFERROR(__xludf.DUMMYFUNCTION("IF(COUNTA(C291:C1673)=0,"""",IF(C291="""",0,IF(REGEXMATCH(C291,""^Sell_""),-ROUNDDOWN(ROUNDUP(INDEX(Upgrades!$C$3:$C$13,MATCH(SUBSTITUTE(C291,""Sell_"",""""),Upgrades!$B$3:$B$13,0))*1.15^(COUNTIF(C$4:C290,SUBSTITUTE(C291,""Sell_"",""""))-COUNTIF(C$4:C290,"&amp;"""Sell_""&amp;SUBSTITUTE(C291,""Sell_"",""""))))/2),ROUNDUP(INDEX(Upgrades!$C$3:$C$13,MATCH(C291,Upgrades!$B$3:$B$13,0))*1.15^(COUNTIF(C$4:C290,C291)-COUNTIF(C$4:C290,""Sell_""&amp;C291))))))"),"")</f>
        <v/>
      </c>
      <c r="H291" s="10" t="str">
        <f t="shared" si="3"/>
        <v/>
      </c>
      <c r="I291" s="68" t="str">
        <f t="shared" si="4"/>
        <v/>
      </c>
      <c r="J291" s="59" t="str">
        <f t="shared" si="5"/>
        <v/>
      </c>
      <c r="K291" s="69" t="str">
        <f t="shared" si="6"/>
        <v/>
      </c>
      <c r="L291" s="60">
        <f t="shared" si="7"/>
        <v>-175.73879</v>
      </c>
      <c r="M291" s="61">
        <f>IFERROR(__xludf.DUMMYFUNCTION("IFS(AND(COUNTA(C291:C1673)=0,COUNTA(Q291:Q1673)=0),"""",OR(AND(K291&gt;=1000000000,OR(Y291&gt;=1000000000,COUNTA(Q291:Q1673)=0)),OR(Y291&gt;=1000000000,AND(COUNTA(C291:C1673)=0,P$3=TRUE))),
ROUNDDOWN((AB$1-AC$1)*MAX(INDEX(T$4:T1673,MATCH(LARGE(FILTER(Y$4:Y1673,Y$4"&amp;":Y1673&lt;1000000000),1),Y$4:Y1673)),INDEX(F$4:F1673,MATCH(LARGE(FILTER(K$4:K1673,K$4:K1673&lt;1000000000),1),K$4:K1673)))),AND(K291&lt;1000000000,COUNTA(C291:C1673)&gt;0,P$3=FALSE),
ROUNDDOWN(INDEX(Y$4:Y1673,MATCH(LARGE(FILTER(W$4:W1673,W$4:W1673&lt;=I291),1),W$4:W1673"&amp;"))+(I291-LARGE(FILTER(W$4:W1673,W$4:W1673&lt;=I291),1))*INDEX(T$4:T1673,MATCH(LARGE(FILTER(W$4:W1673,W$4:W1673&lt;=I291),1),W$4:W1673))-K291),1,
ROUNDDOWN(Y291-INDEX(K$4:K1673,MATCH(LARGE(FILTER(I$4:I1673,I$4:I1673&lt;=W291),1),I$4:I1673))-(W291-LARGE(FILTER(I$4:I"&amp;"1673,I$4:I1673&lt;=W291),1))*INDEX(F$4:F1673,MATCH(LARGE(FILTER(I$4:I1673,I$4:I1673&lt;=W291),1),I$4:I1673))))"),7.1311517E7)</f>
        <v>71311517</v>
      </c>
      <c r="N291" s="60">
        <f t="shared" si="8"/>
        <v>-175.73879</v>
      </c>
      <c r="O291" s="61" t="str">
        <f t="shared" si="9"/>
        <v>71,3M</v>
      </c>
      <c r="P291" s="56">
        <f t="shared" si="10"/>
        <v>19</v>
      </c>
      <c r="Q291" s="105" t="s">
        <v>4</v>
      </c>
      <c r="R291" s="10"/>
      <c r="S291" s="59">
        <f t="array" ref="S291">IF(COUNTA(Q291:Q1673)=0,"",SUM((COUNTIF(Q$4:Q291,Upgrades!$B$3:$B$13)-COUNTIF(Q$4:Q291,"Sell_"&amp;Upgrades!$B$3:$B$13))*Upgrades!$D$3:$D$13))</f>
        <v>416756.6</v>
      </c>
      <c r="T291" s="66">
        <f>IFERROR(__xludf.DUMMYFUNCTION("IF(COUNTA(Q291:Q1673)=0,"""",IF(REGEXMATCH(INDEX(FILTER(Q$4:Q291,Q$4:Q291&lt;&gt;""""),ROWS(FILTER(Q$4:Q291,Q$4:Q291&lt;&gt;""""))),""^Sell_""),INDEX(FILTER(T$4:T290,Q$4:Q290&lt;&gt;""""),ROWS(FILTER(Q$4:Q290,Q$4:Q290&lt;&gt;""""))),$AD$5+S291))"),416771.6)</f>
        <v>416771.6</v>
      </c>
      <c r="U291" s="10">
        <f>IFERROR(__xludf.DUMMYFUNCTION("IF(COUNTA(Q291:Q1673)=0,"""",IF(Q291="""",0,IF(REGEXMATCH(Q291,""^Sell_""),-ROUNDDOWN(ROUNDUP(INDEX(Upgrades!$C$3:$C$13,MATCH(SUBSTITUTE(Q291,""Sell_"",""""),Upgrades!$B$3:$B$13,0))*1.15^(COUNTIF(Q$4:Q290,SUBSTITUTE(Q291,""Sell_"",""""))-COUNTIF(Q$4:Q290,"&amp;"""Sell_""&amp;SUBSTITUTE(Q291,""Sell_"",""""))))/2),ROUNDUP(INDEX(Upgrades!$C$3:$C$13,MATCH(Q291,Upgrades!$B$3:$B$13,0))*1.15^(COUNTIF(Q$4:Q290,Q291)-COUNTIF(Q$4:Q290,""Sell_""&amp;Q291))))))"),1238.0)</f>
        <v>1238</v>
      </c>
      <c r="V291" s="10">
        <f t="shared" si="11"/>
        <v>1238</v>
      </c>
      <c r="W291" s="68">
        <f t="shared" si="12"/>
        <v>6852.869959</v>
      </c>
      <c r="X291" s="59" t="str">
        <f t="shared" si="13"/>
        <v>1h 54m 12s</v>
      </c>
      <c r="Y291" s="69">
        <f t="shared" si="14"/>
        <v>598731679</v>
      </c>
      <c r="Z291" s="11"/>
    </row>
    <row r="292">
      <c r="A292" s="8"/>
      <c r="B292" s="56" t="str">
        <f t="shared" si="2"/>
        <v/>
      </c>
      <c r="C292" s="105"/>
      <c r="D292" s="10"/>
      <c r="E292" s="59" t="str">
        <f t="array" ref="E292">IF(COUNTA(C292:C1673)=0,"",SUM((COUNTIF(C$4:C292,Upgrades!$B$3:$B$13)-COUNTIF(C$4:C292,"Sell_"&amp;Upgrades!$B$3:$B$13))*Upgrades!$D$3:$D$13))</f>
        <v/>
      </c>
      <c r="F292" s="66" t="str">
        <f>IFERROR(__xludf.DUMMYFUNCTION("IF(COUNTA(C292:C1673)=0,"""",IF(REGEXMATCH(INDEX(FILTER(C$4:C292,C$4:C292&lt;&gt;""""),ROWS(FILTER(C$4:C292,C$4:C292&lt;&gt;""""))),""^Sell_""),INDEX(FILTER(F$4:F291,C$4:C291&lt;&gt;""""),ROWS(FILTER(C$4:C291,C$4:C291&lt;&gt;""""))),$AC$5+E292))"),"")</f>
        <v/>
      </c>
      <c r="G292" s="10" t="str">
        <f>IFERROR(__xludf.DUMMYFUNCTION("IF(COUNTA(C292:C1673)=0,"""",IF(C292="""",0,IF(REGEXMATCH(C292,""^Sell_""),-ROUNDDOWN(ROUNDUP(INDEX(Upgrades!$C$3:$C$13,MATCH(SUBSTITUTE(C292,""Sell_"",""""),Upgrades!$B$3:$B$13,0))*1.15^(COUNTIF(C$4:C291,SUBSTITUTE(C292,""Sell_"",""""))-COUNTIF(C$4:C291,"&amp;"""Sell_""&amp;SUBSTITUTE(C292,""Sell_"",""""))))/2),ROUNDUP(INDEX(Upgrades!$C$3:$C$13,MATCH(C292,Upgrades!$B$3:$B$13,0))*1.15^(COUNTIF(C$4:C291,C292)-COUNTIF(C$4:C291,""Sell_""&amp;C292))))))"),"")</f>
        <v/>
      </c>
      <c r="H292" s="10" t="str">
        <f t="shared" si="3"/>
        <v/>
      </c>
      <c r="I292" s="68" t="str">
        <f t="shared" si="4"/>
        <v/>
      </c>
      <c r="J292" s="59" t="str">
        <f t="shared" si="5"/>
        <v/>
      </c>
      <c r="K292" s="69" t="str">
        <f t="shared" si="6"/>
        <v/>
      </c>
      <c r="L292" s="60">
        <f t="shared" si="7"/>
        <v>-175.78123</v>
      </c>
      <c r="M292" s="61">
        <f>IFERROR(__xludf.DUMMYFUNCTION("IFS(AND(COUNTA(C292:C1673)=0,COUNTA(Q292:Q1673)=0),"""",OR(AND(K292&gt;=1000000000,OR(Y292&gt;=1000000000,COUNTA(Q292:Q1673)=0)),OR(Y292&gt;=1000000000,AND(COUNTA(C292:C1673)=0,P$3=TRUE))),
ROUNDDOWN((AB$1-AC$1)*MAX(INDEX(T$4:T1673,MATCH(LARGE(FILTER(Y$4:Y1673,Y$4"&amp;":Y1673&lt;1000000000),1),Y$4:Y1673)),INDEX(F$4:F1673,MATCH(LARGE(FILTER(K$4:K1673,K$4:K1673&lt;1000000000),1),K$4:K1673)))),AND(K292&lt;1000000000,COUNTA(C292:C1673)&gt;0,P$3=FALSE),
ROUNDDOWN(INDEX(Y$4:Y1673,MATCH(LARGE(FILTER(W$4:W1673,W$4:W1673&lt;=I292),1),W$4:W1673"&amp;"))+(I292-LARGE(FILTER(W$4:W1673,W$4:W1673&lt;=I292),1))*INDEX(T$4:T1673,MATCH(LARGE(FILTER(W$4:W1673,W$4:W1673&lt;=I292),1),W$4:W1673))-K292),1,
ROUNDDOWN(Y292-INDEX(K$4:K1673,MATCH(LARGE(FILTER(I$4:I1673,I$4:I1673&lt;=W292),1),I$4:I1673))-(W292-LARGE(FILTER(I$4:I"&amp;"1673,I$4:I1673&lt;=W292),1))*INDEX(F$4:F1673,MATCH(LARGE(FILTER(I$4:I1673,I$4:I1673&lt;=W292),1),I$4:I1673))))"),7.1582605E7)</f>
        <v>71582605</v>
      </c>
      <c r="N292" s="60">
        <f t="shared" si="8"/>
        <v>-175.78123</v>
      </c>
      <c r="O292" s="61" t="str">
        <f t="shared" si="9"/>
        <v>71,6M</v>
      </c>
      <c r="P292" s="56">
        <f t="shared" si="10"/>
        <v>13</v>
      </c>
      <c r="Q292" s="105" t="s">
        <v>9</v>
      </c>
      <c r="R292" s="10"/>
      <c r="S292" s="59">
        <f t="array" ref="S292">IF(COUNTA(Q292:Q1673)=0,"",SUM((COUNTIF(Q$4:Q292,Upgrades!$B$3:$B$13)-COUNTIF(Q$4:Q292,"Sell_"&amp;Upgrades!$B$3:$B$13))*Upgrades!$D$3:$D$13))</f>
        <v>417156.6</v>
      </c>
      <c r="T292" s="66">
        <f>IFERROR(__xludf.DUMMYFUNCTION("IF(COUNTA(Q292:Q1673)=0,"""",IF(REGEXMATCH(INDEX(FILTER(Q$4:Q292,Q$4:Q292&lt;&gt;""""),ROWS(FILTER(Q$4:Q292,Q$4:Q292&lt;&gt;""""))),""^Sell_""),INDEX(FILTER(T$4:T291,Q$4:Q291&lt;&gt;""""),ROWS(FILTER(Q$4:Q291,Q$4:Q291&lt;&gt;""""))),$AD$5+S292))"),417171.6)</f>
        <v>417171.6</v>
      </c>
      <c r="U292" s="10">
        <f>IFERROR(__xludf.DUMMYFUNCTION("IF(COUNTA(Q292:Q1673)=0,"""",IF(Q292="""",0,IF(REGEXMATCH(Q292,""^Sell_""),-ROUNDDOWN(ROUNDUP(INDEX(Upgrades!$C$3:$C$13,MATCH(SUBSTITUTE(Q292,""Sell_"",""""),Upgrades!$B$3:$B$13,0))*1.15^(COUNTIF(Q$4:Q291,SUBSTITUTE(Q292,""Sell_"",""""))-COUNTIF(Q$4:Q291,"&amp;"""Sell_""&amp;SUBSTITUTE(Q292,""Sell_"",""""))))/2),ROUNDUP(INDEX(Upgrades!$C$3:$C$13,MATCH(Q292,Upgrades!$B$3:$B$13,0))*1.15^(COUNTIF(Q$4:Q291,Q292)-COUNTIF(Q$4:Q291,""Sell_""&amp;Q292))))))"),1070051.0)</f>
        <v>1070051</v>
      </c>
      <c r="V292" s="10">
        <f t="shared" si="11"/>
        <v>1070051</v>
      </c>
      <c r="W292" s="68">
        <f t="shared" si="12"/>
        <v>6855.437435</v>
      </c>
      <c r="X292" s="59" t="str">
        <f t="shared" si="13"/>
        <v>1h 54m 15s</v>
      </c>
      <c r="Y292" s="69">
        <f t="shared" si="14"/>
        <v>599801730</v>
      </c>
      <c r="Z292" s="11"/>
    </row>
    <row r="293">
      <c r="A293" s="8"/>
      <c r="B293" s="56" t="str">
        <f t="shared" si="2"/>
        <v/>
      </c>
      <c r="C293" s="105"/>
      <c r="D293" s="10"/>
      <c r="E293" s="59" t="str">
        <f t="array" ref="E293">IF(COUNTA(C293:C1673)=0,"",SUM((COUNTIF(C$4:C293,Upgrades!$B$3:$B$13)-COUNTIF(C$4:C293,"Sell_"&amp;Upgrades!$B$3:$B$13))*Upgrades!$D$3:$D$13))</f>
        <v/>
      </c>
      <c r="F293" s="66" t="str">
        <f>IFERROR(__xludf.DUMMYFUNCTION("IF(COUNTA(C293:C1673)=0,"""",IF(REGEXMATCH(INDEX(FILTER(C$4:C293,C$4:C293&lt;&gt;""""),ROWS(FILTER(C$4:C293,C$4:C293&lt;&gt;""""))),""^Sell_""),INDEX(FILTER(F$4:F292,C$4:C292&lt;&gt;""""),ROWS(FILTER(C$4:C292,C$4:C292&lt;&gt;""""))),$AC$5+E293))"),"")</f>
        <v/>
      </c>
      <c r="G293" s="10" t="str">
        <f>IFERROR(__xludf.DUMMYFUNCTION("IF(COUNTA(C293:C1673)=0,"""",IF(C293="""",0,IF(REGEXMATCH(C293,""^Sell_""),-ROUNDDOWN(ROUNDUP(INDEX(Upgrades!$C$3:$C$13,MATCH(SUBSTITUTE(C293,""Sell_"",""""),Upgrades!$B$3:$B$13,0))*1.15^(COUNTIF(C$4:C292,SUBSTITUTE(C293,""Sell_"",""""))-COUNTIF(C$4:C292,"&amp;"""Sell_""&amp;SUBSTITUTE(C293,""Sell_"",""""))))/2),ROUNDUP(INDEX(Upgrades!$C$3:$C$13,MATCH(C293,Upgrades!$B$3:$B$13,0))*1.15^(COUNTIF(C$4:C292,C293)-COUNTIF(C$4:C292,""Sell_""&amp;C293))))))"),"")</f>
        <v/>
      </c>
      <c r="H293" s="10" t="str">
        <f t="shared" si="3"/>
        <v/>
      </c>
      <c r="I293" s="68" t="str">
        <f t="shared" si="4"/>
        <v/>
      </c>
      <c r="J293" s="59" t="str">
        <f t="shared" si="5"/>
        <v/>
      </c>
      <c r="K293" s="69" t="str">
        <f t="shared" si="6"/>
        <v/>
      </c>
      <c r="L293" s="60">
        <f t="shared" si="7"/>
        <v>-175.78574</v>
      </c>
      <c r="M293" s="61">
        <f>IFERROR(__xludf.DUMMYFUNCTION("IFS(AND(COUNTA(C293:C1673)=0,COUNTA(Q293:Q1673)=0),"""",OR(AND(K293&gt;=1000000000,OR(Y293&gt;=1000000000,COUNTA(Q293:Q1673)=0)),OR(Y293&gt;=1000000000,AND(COUNTA(C293:C1673)=0,P$3=TRUE))),
ROUNDDOWN((AB$1-AC$1)*MAX(INDEX(T$4:T1673,MATCH(LARGE(FILTER(Y$4:Y1673,Y$4"&amp;":Y1673&lt;1000000000),1),Y$4:Y1673)),INDEX(F$4:F1673,MATCH(LARGE(FILTER(K$4:K1673,K$4:K1673&lt;1000000000),1),K$4:K1673)))),AND(K293&lt;1000000000,COUNTA(C293:C1673)&gt;0,P$3=FALSE),
ROUNDDOWN(INDEX(Y$4:Y1673,MATCH(LARGE(FILTER(W$4:W1673,W$4:W1673&lt;=I293),1),W$4:W1673"&amp;"))+(I293-LARGE(FILTER(W$4:W1673,W$4:W1673&lt;=I293),1))*INDEX(T$4:T1673,MATCH(LARGE(FILTER(W$4:W1673,W$4:W1673&lt;=I293),1),W$4:W1673))-K293),1,
ROUNDDOWN(Y293-INDEX(K$4:K1673,MATCH(LARGE(FILTER(I$4:I1673,I$4:I1673&lt;=W293),1),I$4:I1673))-(W293-LARGE(FILTER(I$4:I"&amp;"1673,I$4:I1673&lt;=W293),1))*INDEX(F$4:F1673,MATCH(LARGE(FILTER(I$4:I1673,I$4:I1673&lt;=W293),1),I$4:I1673))))"),7.1609945E7)</f>
        <v>71609945</v>
      </c>
      <c r="N293" s="60">
        <f t="shared" si="8"/>
        <v>-175.78574</v>
      </c>
      <c r="O293" s="61" t="str">
        <f t="shared" si="9"/>
        <v>71,6M</v>
      </c>
      <c r="P293" s="56">
        <f t="shared" si="10"/>
        <v>18</v>
      </c>
      <c r="Q293" s="105" t="s">
        <v>7</v>
      </c>
      <c r="R293" s="10"/>
      <c r="S293" s="59">
        <f t="array" ref="S293">IF(COUNTA(Q293:Q1673)=0,"",SUM((COUNTIF(Q$4:Q293,Upgrades!$B$3:$B$13)-COUNTIF(Q$4:Q293,"Sell_"&amp;Upgrades!$B$3:$B$13))*Upgrades!$D$3:$D$13))</f>
        <v>417196.6</v>
      </c>
      <c r="T293" s="66">
        <f>IFERROR(__xludf.DUMMYFUNCTION("IF(COUNTA(Q293:Q1673)=0,"""",IF(REGEXMATCH(INDEX(FILTER(Q$4:Q293,Q$4:Q293&lt;&gt;""""),ROWS(FILTER(Q$4:Q293,Q$4:Q293&lt;&gt;""""))),""^Sell_""),INDEX(FILTER(T$4:T292,Q$4:Q292&lt;&gt;""""),ROWS(FILTER(Q$4:Q292,Q$4:Q292&lt;&gt;""""))),$AD$5+S293))"),417211.6)</f>
        <v>417211.6</v>
      </c>
      <c r="U293" s="10">
        <f>IFERROR(__xludf.DUMMYFUNCTION("IF(COUNTA(Q293:Q1673)=0,"""",IF(Q293="""",0,IF(REGEXMATCH(Q293,""^Sell_""),-ROUNDDOWN(ROUNDUP(INDEX(Upgrades!$C$3:$C$13,MATCH(SUBSTITUTE(Q293,""Sell_"",""""),Upgrades!$B$3:$B$13,0))*1.15^(COUNTIF(Q$4:Q292,SUBSTITUTE(Q293,""Sell_"",""""))-COUNTIF(Q$4:Q292,"&amp;"""Sell_""&amp;SUBSTITUTE(Q293,""Sell_"",""""))))/2),ROUNDUP(INDEX(Upgrades!$C$3:$C$13,MATCH(Q293,Upgrades!$B$3:$B$13,0))*1.15^(COUNTIF(Q$4:Q292,Q293)-COUNTIF(Q$4:Q292,""Sell_""&amp;Q293))))))"),107613.0)</f>
        <v>107613</v>
      </c>
      <c r="V293" s="10">
        <f t="shared" si="11"/>
        <v>107613</v>
      </c>
      <c r="W293" s="68">
        <f t="shared" si="12"/>
        <v>6855.695394</v>
      </c>
      <c r="X293" s="59" t="str">
        <f t="shared" si="13"/>
        <v>1h 54m 15s</v>
      </c>
      <c r="Y293" s="69">
        <f t="shared" si="14"/>
        <v>599909343</v>
      </c>
      <c r="Z293" s="11"/>
    </row>
    <row r="294">
      <c r="A294" s="8"/>
      <c r="B294" s="56" t="str">
        <f t="shared" si="2"/>
        <v/>
      </c>
      <c r="C294" s="105"/>
      <c r="D294" s="10"/>
      <c r="E294" s="59" t="str">
        <f t="array" ref="E294">IF(COUNTA(C294:C1673)=0,"",SUM((COUNTIF(C$4:C294,Upgrades!$B$3:$B$13)-COUNTIF(C$4:C294,"Sell_"&amp;Upgrades!$B$3:$B$13))*Upgrades!$D$3:$D$13))</f>
        <v/>
      </c>
      <c r="F294" s="66" t="str">
        <f>IFERROR(__xludf.DUMMYFUNCTION("IF(COUNTA(C294:C1673)=0,"""",IF(REGEXMATCH(INDEX(FILTER(C$4:C294,C$4:C294&lt;&gt;""""),ROWS(FILTER(C$4:C294,C$4:C294&lt;&gt;""""))),""^Sell_""),INDEX(FILTER(F$4:F293,C$4:C293&lt;&gt;""""),ROWS(FILTER(C$4:C293,C$4:C293&lt;&gt;""""))),$AC$5+E294))"),"")</f>
        <v/>
      </c>
      <c r="G294" s="10" t="str">
        <f>IFERROR(__xludf.DUMMYFUNCTION("IF(COUNTA(C294:C1673)=0,"""",IF(C294="""",0,IF(REGEXMATCH(C294,""^Sell_""),-ROUNDDOWN(ROUNDUP(INDEX(Upgrades!$C$3:$C$13,MATCH(SUBSTITUTE(C294,""Sell_"",""""),Upgrades!$B$3:$B$13,0))*1.15^(COUNTIF(C$4:C293,SUBSTITUTE(C294,""Sell_"",""""))-COUNTIF(C$4:C293,"&amp;"""Sell_""&amp;SUBSTITUTE(C294,""Sell_"",""""))))/2),ROUNDUP(INDEX(Upgrades!$C$3:$C$13,MATCH(C294,Upgrades!$B$3:$B$13,0))*1.15^(COUNTIF(C$4:C293,C294)-COUNTIF(C$4:C293,""Sell_""&amp;C294))))))"),"")</f>
        <v/>
      </c>
      <c r="H294" s="10" t="str">
        <f t="shared" si="3"/>
        <v/>
      </c>
      <c r="I294" s="68" t="str">
        <f t="shared" si="4"/>
        <v/>
      </c>
      <c r="J294" s="59" t="str">
        <f t="shared" si="5"/>
        <v/>
      </c>
      <c r="K294" s="69" t="str">
        <f t="shared" si="6"/>
        <v/>
      </c>
      <c r="L294" s="60">
        <f t="shared" si="7"/>
        <v>-175.7862</v>
      </c>
      <c r="M294" s="61">
        <f>IFERROR(__xludf.DUMMYFUNCTION("IFS(AND(COUNTA(C294:C1673)=0,COUNTA(Q294:Q1673)=0),"""",OR(AND(K294&gt;=1000000000,OR(Y294&gt;=1000000000,COUNTA(Q294:Q1673)=0)),OR(Y294&gt;=1000000000,AND(COUNTA(C294:C1673)=0,P$3=TRUE))),
ROUNDDOWN((AB$1-AC$1)*MAX(INDEX(T$4:T1673,MATCH(LARGE(FILTER(Y$4:Y1673,Y$4"&amp;":Y1673&lt;1000000000),1),Y$4:Y1673)),INDEX(F$4:F1673,MATCH(LARGE(FILTER(K$4:K1673,K$4:K1673&lt;1000000000),1),K$4:K1673)))),AND(K294&lt;1000000000,COUNTA(C294:C1673)&gt;0,P$3=FALSE),
ROUNDDOWN(INDEX(Y$4:Y1673,MATCH(LARGE(FILTER(W$4:W1673,W$4:W1673&lt;=I294),1),W$4:W1673"&amp;"))+(I294-LARGE(FILTER(W$4:W1673,W$4:W1673&lt;=I294),1))*INDEX(T$4:T1673,MATCH(LARGE(FILTER(W$4:W1673,W$4:W1673&lt;=I294),1),W$4:W1673))-K294),1,
ROUNDDOWN(Y294-INDEX(K$4:K1673,MATCH(LARGE(FILTER(I$4:I1673,I$4:I1673&lt;=W294),1),I$4:I1673))-(W294-LARGE(FILTER(I$4:I"&amp;"1673,I$4:I1673&lt;=W294),1))*INDEX(F$4:F1673,MATCH(LARGE(FILTER(I$4:I1673,I$4:I1673&lt;=W294),1),I$4:I1673))))"),7.1612695E7)</f>
        <v>71612695</v>
      </c>
      <c r="N294" s="60">
        <f t="shared" si="8"/>
        <v>-175.7862</v>
      </c>
      <c r="O294" s="61" t="str">
        <f t="shared" si="9"/>
        <v>71,6M</v>
      </c>
      <c r="P294" s="56">
        <f t="shared" si="10"/>
        <v>23</v>
      </c>
      <c r="Q294" s="105" t="s">
        <v>5</v>
      </c>
      <c r="R294" s="10"/>
      <c r="S294" s="59">
        <f t="array" ref="S294">IF(COUNTA(Q294:Q1673)=0,"",SUM((COUNTIF(Q$4:Q294,Upgrades!$B$3:$B$13)-COUNTIF(Q$4:Q294,"Sell_"&amp;Upgrades!$B$3:$B$13))*Upgrades!$D$3:$D$13))</f>
        <v>417200.6</v>
      </c>
      <c r="T294" s="66">
        <f>IFERROR(__xludf.DUMMYFUNCTION("IF(COUNTA(Q294:Q1673)=0,"""",IF(REGEXMATCH(INDEX(FILTER(Q$4:Q294,Q$4:Q294&lt;&gt;""""),ROWS(FILTER(Q$4:Q294,Q$4:Q294&lt;&gt;""""))),""^Sell_""),INDEX(FILTER(T$4:T293,Q$4:Q293&lt;&gt;""""),ROWS(FILTER(Q$4:Q293,Q$4:Q293&lt;&gt;""""))),$AD$5+S294))"),417215.6)</f>
        <v>417215.6</v>
      </c>
      <c r="U294" s="10">
        <f>IFERROR(__xludf.DUMMYFUNCTION("IF(COUNTA(Q294:Q1673)=0,"""",IF(Q294="""",0,IF(REGEXMATCH(Q294,""^Sell_""),-ROUNDDOWN(ROUNDUP(INDEX(Upgrades!$C$3:$C$13,MATCH(SUBSTITUTE(Q294,""Sell_"",""""),Upgrades!$B$3:$B$13,0))*1.15^(COUNTIF(Q$4:Q293,SUBSTITUTE(Q294,""Sell_"",""""))-COUNTIF(Q$4:Q293,"&amp;"""Sell_""&amp;SUBSTITUTE(Q294,""Sell_"",""""))))/2),ROUNDUP(INDEX(Upgrades!$C$3:$C$13,MATCH(Q294,Upgrades!$B$3:$B$13,0))*1.15^(COUNTIF(Q$4:Q293,Q294)-COUNTIF(Q$4:Q293,""Sell_""&amp;Q294))))))"),10823.0)</f>
        <v>10823</v>
      </c>
      <c r="V294" s="10">
        <f t="shared" si="11"/>
        <v>10823</v>
      </c>
      <c r="W294" s="68">
        <f t="shared" si="12"/>
        <v>6855.721335</v>
      </c>
      <c r="X294" s="59" t="str">
        <f t="shared" si="13"/>
        <v>1h 54m 15s</v>
      </c>
      <c r="Y294" s="69">
        <f t="shared" si="14"/>
        <v>599920166</v>
      </c>
      <c r="Z294" s="11"/>
    </row>
    <row r="295">
      <c r="A295" s="8"/>
      <c r="B295" s="56" t="str">
        <f t="shared" si="2"/>
        <v/>
      </c>
      <c r="C295" s="105"/>
      <c r="D295" s="10"/>
      <c r="E295" s="59" t="str">
        <f t="array" ref="E295">IF(COUNTA(C295:C1673)=0,"",SUM((COUNTIF(C$4:C295,Upgrades!$B$3:$B$13)-COUNTIF(C$4:C295,"Sell_"&amp;Upgrades!$B$3:$B$13))*Upgrades!$D$3:$D$13))</f>
        <v/>
      </c>
      <c r="F295" s="66" t="str">
        <f>IFERROR(__xludf.DUMMYFUNCTION("IF(COUNTA(C295:C1673)=0,"""",IF(REGEXMATCH(INDEX(FILTER(C$4:C295,C$4:C295&lt;&gt;""""),ROWS(FILTER(C$4:C295,C$4:C295&lt;&gt;""""))),""^Sell_""),INDEX(FILTER(F$4:F294,C$4:C294&lt;&gt;""""),ROWS(FILTER(C$4:C294,C$4:C294&lt;&gt;""""))),$AC$5+E295))"),"")</f>
        <v/>
      </c>
      <c r="G295" s="10" t="str">
        <f>IFERROR(__xludf.DUMMYFUNCTION("IF(COUNTA(C295:C1673)=0,"""",IF(C295="""",0,IF(REGEXMATCH(C295,""^Sell_""),-ROUNDDOWN(ROUNDUP(INDEX(Upgrades!$C$3:$C$13,MATCH(SUBSTITUTE(C295,""Sell_"",""""),Upgrades!$B$3:$B$13,0))*1.15^(COUNTIF(C$4:C294,SUBSTITUTE(C295,""Sell_"",""""))-COUNTIF(C$4:C294,"&amp;"""Sell_""&amp;SUBSTITUTE(C295,""Sell_"",""""))))/2),ROUNDUP(INDEX(Upgrades!$C$3:$C$13,MATCH(C295,Upgrades!$B$3:$B$13,0))*1.15^(COUNTIF(C$4:C294,C295)-COUNTIF(C$4:C294,""Sell_""&amp;C295))))))"),"")</f>
        <v/>
      </c>
      <c r="H295" s="10" t="str">
        <f t="shared" si="3"/>
        <v/>
      </c>
      <c r="I295" s="68" t="str">
        <f t="shared" si="4"/>
        <v/>
      </c>
      <c r="J295" s="59" t="str">
        <f t="shared" si="5"/>
        <v/>
      </c>
      <c r="K295" s="69" t="str">
        <f t="shared" si="6"/>
        <v/>
      </c>
      <c r="L295" s="60">
        <f t="shared" si="7"/>
        <v>-176.54329</v>
      </c>
      <c r="M295" s="61">
        <f>IFERROR(__xludf.DUMMYFUNCTION("IFS(AND(COUNTA(C295:C1673)=0,COUNTA(Q295:Q1673)=0),"""",OR(AND(K295&gt;=1000000000,OR(Y295&gt;=1000000000,COUNTA(Q295:Q1673)=0)),OR(Y295&gt;=1000000000,AND(COUNTA(C295:C1673)=0,P$3=TRUE))),
ROUNDDOWN((AB$1-AC$1)*MAX(INDEX(T$4:T1673,MATCH(LARGE(FILTER(Y$4:Y1673,Y$4"&amp;":Y1673&lt;1000000000),1),Y$4:Y1673)),INDEX(F$4:F1673,MATCH(LARGE(FILTER(K$4:K1673,K$4:K1673&lt;1000000000),1),K$4:K1673)))),AND(K295&lt;1000000000,COUNTA(C295:C1673)&gt;0,P$3=FALSE),
ROUNDDOWN(INDEX(Y$4:Y1673,MATCH(LARGE(FILTER(W$4:W1673,W$4:W1673&lt;=I295),1),W$4:W1673"&amp;"))+(I295-LARGE(FILTER(W$4:W1673,W$4:W1673&lt;=I295),1))*INDEX(T$4:T1673,MATCH(LARGE(FILTER(W$4:W1673,W$4:W1673&lt;=I295),1),W$4:W1673))-K295),1,
ROUNDDOWN(Y295-INDEX(K$4:K1673,MATCH(LARGE(FILTER(I$4:I1673,I$4:I1673&lt;=W295),1),I$4:I1673))-(W295-LARGE(FILTER(I$4:I"&amp;"1673,I$4:I1673&lt;=W295),1))*INDEX(F$4:F1673,MATCH(LARGE(FILTER(I$4:I1673,I$4:I1673&lt;=W295),1),I$4:I1673))))"),7.2381866E7)</f>
        <v>72381866</v>
      </c>
      <c r="N295" s="60">
        <f t="shared" si="8"/>
        <v>-176.54329</v>
      </c>
      <c r="O295" s="61" t="str">
        <f t="shared" si="9"/>
        <v>72,4M</v>
      </c>
      <c r="P295" s="56">
        <f t="shared" si="10"/>
        <v>18</v>
      </c>
      <c r="Q295" s="105" t="s">
        <v>10</v>
      </c>
      <c r="R295" s="10"/>
      <c r="S295" s="59">
        <f t="array" ref="S295">IF(COUNTA(Q295:Q1673)=0,"",SUM((COUNTIF(Q$4:Q295,Upgrades!$B$3:$B$13)-COUNTIF(Q$4:Q295,"Sell_"&amp;Upgrades!$B$3:$B$13))*Upgrades!$D$3:$D$13))</f>
        <v>423866.6</v>
      </c>
      <c r="T295" s="66">
        <f>IFERROR(__xludf.DUMMYFUNCTION("IF(COUNTA(Q295:Q1673)=0,"""",IF(REGEXMATCH(INDEX(FILTER(Q$4:Q295,Q$4:Q295&lt;&gt;""""),ROWS(FILTER(Q$4:Q295,Q$4:Q295&lt;&gt;""""))),""^Sell_""),INDEX(FILTER(T$4:T294,Q$4:Q294&lt;&gt;""""),ROWS(FILTER(Q$4:Q294,Q$4:Q294&lt;&gt;""""))),$AD$5+S295))"),423881.6)</f>
        <v>423881.6</v>
      </c>
      <c r="U295" s="10">
        <f>IFERROR(__xludf.DUMMYFUNCTION("IF(COUNTA(Q295:Q1673)=0,"""",IF(Q295="""",0,IF(REGEXMATCH(Q295,""^Sell_""),-ROUNDDOWN(ROUNDUP(INDEX(Upgrades!$C$3:$C$13,MATCH(SUBSTITUTE(Q295,""Sell_"",""""),Upgrades!$B$3:$B$13,0))*1.15^(COUNTIF(Q$4:Q294,SUBSTITUTE(Q295,""Sell_"",""""))-COUNTIF(Q$4:Q294,"&amp;"""Sell_""&amp;SUBSTITUTE(Q295,""Sell_"",""""))))/2),ROUNDUP(INDEX(Upgrades!$C$3:$C$13,MATCH(Q295,Upgrades!$B$3:$B$13,0))*1.15^(COUNTIF(Q$4:Q294,Q295)-COUNTIF(Q$4:Q294,""Sell_""&amp;Q295))))))"),1.7935433E7)</f>
        <v>17935433</v>
      </c>
      <c r="V295" s="10">
        <f t="shared" si="11"/>
        <v>17935433</v>
      </c>
      <c r="W295" s="68">
        <f t="shared" si="12"/>
        <v>6898.709739</v>
      </c>
      <c r="X295" s="59" t="str">
        <f t="shared" si="13"/>
        <v>1h 54m 58s</v>
      </c>
      <c r="Y295" s="69">
        <f t="shared" si="14"/>
        <v>617855599</v>
      </c>
      <c r="Z295" s="11"/>
    </row>
    <row r="296">
      <c r="A296" s="8"/>
      <c r="B296" s="56" t="str">
        <f t="shared" si="2"/>
        <v/>
      </c>
      <c r="C296" s="105"/>
      <c r="D296" s="10"/>
      <c r="E296" s="59" t="str">
        <f t="array" ref="E296">IF(COUNTA(C296:C1673)=0,"",SUM((COUNTIF(C$4:C296,Upgrades!$B$3:$B$13)-COUNTIF(C$4:C296,"Sell_"&amp;Upgrades!$B$3:$B$13))*Upgrades!$D$3:$D$13))</f>
        <v/>
      </c>
      <c r="F296" s="66" t="str">
        <f>IFERROR(__xludf.DUMMYFUNCTION("IF(COUNTA(C296:C1673)=0,"""",IF(REGEXMATCH(INDEX(FILTER(C$4:C296,C$4:C296&lt;&gt;""""),ROWS(FILTER(C$4:C296,C$4:C296&lt;&gt;""""))),""^Sell_""),INDEX(FILTER(F$4:F295,C$4:C295&lt;&gt;""""),ROWS(FILTER(C$4:C295,C$4:C295&lt;&gt;""""))),$AC$5+E296))"),"")</f>
        <v/>
      </c>
      <c r="G296" s="10" t="str">
        <f>IFERROR(__xludf.DUMMYFUNCTION("IF(COUNTA(C296:C1673)=0,"""",IF(C296="""",0,IF(REGEXMATCH(C296,""^Sell_""),-ROUNDDOWN(ROUNDUP(INDEX(Upgrades!$C$3:$C$13,MATCH(SUBSTITUTE(C296,""Sell_"",""""),Upgrades!$B$3:$B$13,0))*1.15^(COUNTIF(C$4:C295,SUBSTITUTE(C296,""Sell_"",""""))-COUNTIF(C$4:C295,"&amp;"""Sell_""&amp;SUBSTITUTE(C296,""Sell_"",""""))))/2),ROUNDUP(INDEX(Upgrades!$C$3:$C$13,MATCH(C296,Upgrades!$B$3:$B$13,0))*1.15^(COUNTIF(C$4:C295,C296)-COUNTIF(C$4:C295,""Sell_""&amp;C296))))))"),"")</f>
        <v/>
      </c>
      <c r="H296" s="10" t="str">
        <f t="shared" si="3"/>
        <v/>
      </c>
      <c r="I296" s="68" t="str">
        <f t="shared" si="4"/>
        <v/>
      </c>
      <c r="J296" s="59" t="str">
        <f t="shared" si="5"/>
        <v/>
      </c>
      <c r="K296" s="69" t="str">
        <f t="shared" si="6"/>
        <v/>
      </c>
      <c r="L296" s="60">
        <f t="shared" si="7"/>
        <v>-176.54553</v>
      </c>
      <c r="M296" s="61">
        <f>IFERROR(__xludf.DUMMYFUNCTION("IFS(AND(COUNTA(C296:C1673)=0,COUNTA(Q296:Q1673)=0),"""",OR(AND(K296&gt;=1000000000,OR(Y296&gt;=1000000000,COUNTA(Q296:Q1673)=0)),OR(Y296&gt;=1000000000,AND(COUNTA(C296:C1673)=0,P$3=TRUE))),
ROUNDDOWN((AB$1-AC$1)*MAX(INDEX(T$4:T1673,MATCH(LARGE(FILTER(Y$4:Y1673,Y$4"&amp;":Y1673&lt;1000000000),1),Y$4:Y1673)),INDEX(F$4:F1673,MATCH(LARGE(FILTER(K$4:K1673,K$4:K1673&lt;1000000000),1),K$4:K1673)))),AND(K296&lt;1000000000,COUNTA(C296:C1673)&gt;0,P$3=FALSE),
ROUNDDOWN(INDEX(Y$4:Y1673,MATCH(LARGE(FILTER(W$4:W1673,W$4:W1673&lt;=I296),1),W$4:W1673"&amp;"))+(I296-LARGE(FILTER(W$4:W1673,W$4:W1673&lt;=I296),1))*INDEX(T$4:T1673,MATCH(LARGE(FILTER(W$4:W1673,W$4:W1673&lt;=I296),1),W$4:W1673))-K296),1,
ROUNDDOWN(Y296-INDEX(K$4:K1673,MATCH(LARGE(FILTER(I$4:I1673,I$4:I1673&lt;=W296),1),I$4:I1673))-(W296-LARGE(FILTER(I$4:I"&amp;"1673,I$4:I1673&lt;=W296),1))*INDEX(F$4:F1673,MATCH(LARGE(FILTER(I$4:I1673,I$4:I1673&lt;=W296),1),I$4:I1673))))"),7.2382786E7)</f>
        <v>72382786</v>
      </c>
      <c r="N296" s="60">
        <f t="shared" si="8"/>
        <v>-176.54553</v>
      </c>
      <c r="O296" s="61" t="str">
        <f t="shared" si="9"/>
        <v>72,4M</v>
      </c>
      <c r="P296" s="56">
        <f t="shared" si="10"/>
        <v>17</v>
      </c>
      <c r="Q296" s="105" t="s">
        <v>6</v>
      </c>
      <c r="R296" s="10"/>
      <c r="S296" s="59">
        <f t="array" ref="S296">IF(COUNTA(Q296:Q1673)=0,"",SUM((COUNTIF(Q$4:Q296,Upgrades!$B$3:$B$13)-COUNTIF(Q$4:Q296,"Sell_"&amp;Upgrades!$B$3:$B$13))*Upgrades!$D$3:$D$13))</f>
        <v>423876.6</v>
      </c>
      <c r="T296" s="66">
        <f>IFERROR(__xludf.DUMMYFUNCTION("IF(COUNTA(Q296:Q1673)=0,"""",IF(REGEXMATCH(INDEX(FILTER(Q$4:Q296,Q$4:Q296&lt;&gt;""""),ROWS(FILTER(Q$4:Q296,Q$4:Q296&lt;&gt;""""))),""^Sell_""),INDEX(FILTER(T$4:T295,Q$4:Q295&lt;&gt;""""),ROWS(FILTER(Q$4:Q295,Q$4:Q295&lt;&gt;""""))),$AD$5+S296))"),423891.6)</f>
        <v>423891.6</v>
      </c>
      <c r="U296" s="10">
        <f>IFERROR(__xludf.DUMMYFUNCTION("IF(COUNTA(Q296:Q1673)=0,"""",IF(Q296="""",0,IF(REGEXMATCH(Q296,""^Sell_""),-ROUNDDOWN(ROUNDUP(INDEX(Upgrades!$C$3:$C$13,MATCH(SUBSTITUTE(Q296,""Sell_"",""""),Upgrades!$B$3:$B$13,0))*1.15^(COUNTIF(Q$4:Q295,SUBSTITUTE(Q296,""Sell_"",""""))-COUNTIF(Q$4:Q295,"&amp;"""Sell_""&amp;SUBSTITUTE(Q296,""Sell_"",""""))))/2),ROUNDUP(INDEX(Upgrades!$C$3:$C$13,MATCH(Q296,Upgrades!$B$3:$B$13,0))*1.15^(COUNTIF(Q$4:Q295,Q296)-COUNTIF(Q$4:Q295,""Sell_""&amp;Q296))))))"),28073.0)</f>
        <v>28073</v>
      </c>
      <c r="V296" s="10">
        <f t="shared" si="11"/>
        <v>28073</v>
      </c>
      <c r="W296" s="68">
        <f t="shared" si="12"/>
        <v>6898.775968</v>
      </c>
      <c r="X296" s="59" t="str">
        <f t="shared" si="13"/>
        <v>1h 54m 58s</v>
      </c>
      <c r="Y296" s="69">
        <f t="shared" si="14"/>
        <v>617883672</v>
      </c>
      <c r="Z296" s="11"/>
    </row>
    <row r="297">
      <c r="A297" s="8"/>
      <c r="B297" s="56" t="str">
        <f t="shared" si="2"/>
        <v/>
      </c>
      <c r="C297" s="105"/>
      <c r="D297" s="10"/>
      <c r="E297" s="59" t="str">
        <f t="array" ref="E297">IF(COUNTA(C297:C1673)=0,"",SUM((COUNTIF(C$4:C297,Upgrades!$B$3:$B$13)-COUNTIF(C$4:C297,"Sell_"&amp;Upgrades!$B$3:$B$13))*Upgrades!$D$3:$D$13))</f>
        <v/>
      </c>
      <c r="F297" s="66" t="str">
        <f>IFERROR(__xludf.DUMMYFUNCTION("IF(COUNTA(C297:C1673)=0,"""",IF(REGEXMATCH(INDEX(FILTER(C$4:C297,C$4:C297&lt;&gt;""""),ROWS(FILTER(C$4:C297,C$4:C297&lt;&gt;""""))),""^Sell_""),INDEX(FILTER(F$4:F296,C$4:C296&lt;&gt;""""),ROWS(FILTER(C$4:C296,C$4:C296&lt;&gt;""""))),$AC$5+E297))"),"")</f>
        <v/>
      </c>
      <c r="G297" s="10" t="str">
        <f>IFERROR(__xludf.DUMMYFUNCTION("IF(COUNTA(C297:C1673)=0,"""",IF(C297="""",0,IF(REGEXMATCH(C297,""^Sell_""),-ROUNDDOWN(ROUNDUP(INDEX(Upgrades!$C$3:$C$13,MATCH(SUBSTITUTE(C297,""Sell_"",""""),Upgrades!$B$3:$B$13,0))*1.15^(COUNTIF(C$4:C296,SUBSTITUTE(C297,""Sell_"",""""))-COUNTIF(C$4:C296,"&amp;"""Sell_""&amp;SUBSTITUTE(C297,""Sell_"",""""))))/2),ROUNDUP(INDEX(Upgrades!$C$3:$C$13,MATCH(C297,Upgrades!$B$3:$B$13,0))*1.15^(COUNTIF(C$4:C296,C297)-COUNTIF(C$4:C296,""Sell_""&amp;C297))))))"),"")</f>
        <v/>
      </c>
      <c r="H297" s="10" t="str">
        <f t="shared" si="3"/>
        <v/>
      </c>
      <c r="I297" s="68" t="str">
        <f t="shared" si="4"/>
        <v/>
      </c>
      <c r="J297" s="59" t="str">
        <f t="shared" si="5"/>
        <v/>
      </c>
      <c r="K297" s="69" t="str">
        <f t="shared" si="6"/>
        <v/>
      </c>
      <c r="L297" s="60">
        <f t="shared" si="7"/>
        <v>-176.54555</v>
      </c>
      <c r="M297" s="61">
        <f>IFERROR(__xludf.DUMMYFUNCTION("IFS(AND(COUNTA(C297:C1673)=0,COUNTA(Q297:Q1673)=0),"""",OR(AND(K297&gt;=1000000000,OR(Y297&gt;=1000000000,COUNTA(Q297:Q1673)=0)),OR(Y297&gt;=1000000000,AND(COUNTA(C297:C1673)=0,P$3=TRUE))),
ROUNDDOWN((AB$1-AC$1)*MAX(INDEX(T$4:T1673,MATCH(LARGE(FILTER(Y$4:Y1673,Y$4"&amp;":Y1673&lt;1000000000),1),Y$4:Y1673)),INDEX(F$4:F1673,MATCH(LARGE(FILTER(K$4:K1673,K$4:K1673&lt;1000000000),1),K$4:K1673)))),AND(K297&lt;1000000000,COUNTA(C297:C1673)&gt;0,P$3=FALSE),
ROUNDDOWN(INDEX(Y$4:Y1673,MATCH(LARGE(FILTER(W$4:W1673,W$4:W1673&lt;=I297),1),W$4:W1673"&amp;"))+(I297-LARGE(FILTER(W$4:W1673,W$4:W1673&lt;=I297),1))*INDEX(T$4:T1673,MATCH(LARGE(FILTER(W$4:W1673,W$4:W1673&lt;=I297),1),W$4:W1673))-K297),1,
ROUNDDOWN(Y297-INDEX(K$4:K1673,MATCH(LARGE(FILTER(I$4:I1673,I$4:I1673&lt;=W297),1),I$4:I1673))-(W297-LARGE(FILTER(I$4:I"&amp;"1673,I$4:I1673&lt;=W297),1))*INDEX(F$4:F1673,MATCH(LARGE(FILTER(I$4:I1673,I$4:I1673&lt;=W297),1),I$4:I1673))))"),7.2382795E7)</f>
        <v>72382795</v>
      </c>
      <c r="N297" s="60">
        <f t="shared" si="8"/>
        <v>-176.54555</v>
      </c>
      <c r="O297" s="61" t="str">
        <f t="shared" si="9"/>
        <v>72,4M</v>
      </c>
      <c r="P297" s="56">
        <f t="shared" si="10"/>
        <v>22</v>
      </c>
      <c r="Q297" s="105" t="s">
        <v>3</v>
      </c>
      <c r="R297" s="10"/>
      <c r="S297" s="59">
        <f t="array" ref="S297">IF(COUNTA(Q297:Q1673)=0,"",SUM((COUNTIF(Q$4:Q297,Upgrades!$B$3:$B$13)-COUNTIF(Q$4:Q297,"Sell_"&amp;Upgrades!$B$3:$B$13))*Upgrades!$D$3:$D$13))</f>
        <v>423876.7</v>
      </c>
      <c r="T297" s="66">
        <f>IFERROR(__xludf.DUMMYFUNCTION("IF(COUNTA(Q297:Q1673)=0,"""",IF(REGEXMATCH(INDEX(FILTER(Q$4:Q297,Q$4:Q297&lt;&gt;""""),ROWS(FILTER(Q$4:Q297,Q$4:Q297&lt;&gt;""""))),""^Sell_""),INDEX(FILTER(T$4:T296,Q$4:Q296&lt;&gt;""""),ROWS(FILTER(Q$4:Q296,Q$4:Q296&lt;&gt;""""))),$AD$5+S297))"),423891.7)</f>
        <v>423891.7</v>
      </c>
      <c r="U297" s="10">
        <f>IFERROR(__xludf.DUMMYFUNCTION("IF(COUNTA(Q297:Q1673)=0,"""",IF(Q297="""",0,IF(REGEXMATCH(Q297,""^Sell_""),-ROUNDDOWN(ROUNDUP(INDEX(Upgrades!$C$3:$C$13,MATCH(SUBSTITUTE(Q297,""Sell_"",""""),Upgrades!$B$3:$B$13,0))*1.15^(COUNTIF(Q$4:Q296,SUBSTITUTE(Q297,""Sell_"",""""))-COUNTIF(Q$4:Q296,"&amp;"""Sell_""&amp;SUBSTITUTE(Q297,""Sell_"",""""))))/2),ROUNDUP(INDEX(Upgrades!$C$3:$C$13,MATCH(Q297,Upgrades!$B$3:$B$13,0))*1.15^(COUNTIF(Q$4:Q296,Q297)-COUNTIF(Q$4:Q296,""Sell_""&amp;Q297))))))"),283.0)</f>
        <v>283</v>
      </c>
      <c r="V297" s="10">
        <f t="shared" si="11"/>
        <v>283</v>
      </c>
      <c r="W297" s="68">
        <f t="shared" si="12"/>
        <v>6898.776635</v>
      </c>
      <c r="X297" s="59" t="str">
        <f t="shared" si="13"/>
        <v>1h 54m 58s</v>
      </c>
      <c r="Y297" s="69">
        <f t="shared" si="14"/>
        <v>617883955</v>
      </c>
      <c r="Z297" s="11"/>
    </row>
    <row r="298">
      <c r="A298" s="8"/>
      <c r="B298" s="56" t="str">
        <f t="shared" si="2"/>
        <v/>
      </c>
      <c r="C298" s="105"/>
      <c r="D298" s="10"/>
      <c r="E298" s="59" t="str">
        <f t="array" ref="E298">IF(COUNTA(C298:C1673)=0,"",SUM((COUNTIF(C$4:C298,Upgrades!$B$3:$B$13)-COUNTIF(C$4:C298,"Sell_"&amp;Upgrades!$B$3:$B$13))*Upgrades!$D$3:$D$13))</f>
        <v/>
      </c>
      <c r="F298" s="66" t="str">
        <f>IFERROR(__xludf.DUMMYFUNCTION("IF(COUNTA(C298:C1673)=0,"""",IF(REGEXMATCH(INDEX(FILTER(C$4:C298,C$4:C298&lt;&gt;""""),ROWS(FILTER(C$4:C298,C$4:C298&lt;&gt;""""))),""^Sell_""),INDEX(FILTER(F$4:F297,C$4:C297&lt;&gt;""""),ROWS(FILTER(C$4:C297,C$4:C297&lt;&gt;""""))),$AC$5+E298))"),"")</f>
        <v/>
      </c>
      <c r="G298" s="10" t="str">
        <f>IFERROR(__xludf.DUMMYFUNCTION("IF(COUNTA(C298:C1673)=0,"""",IF(C298="""",0,IF(REGEXMATCH(C298,""^Sell_""),-ROUNDDOWN(ROUNDUP(INDEX(Upgrades!$C$3:$C$13,MATCH(SUBSTITUTE(C298,""Sell_"",""""),Upgrades!$B$3:$B$13,0))*1.15^(COUNTIF(C$4:C297,SUBSTITUTE(C298,""Sell_"",""""))-COUNTIF(C$4:C297,"&amp;"""Sell_""&amp;SUBSTITUTE(C298,""Sell_"",""""))))/2),ROUNDUP(INDEX(Upgrades!$C$3:$C$13,MATCH(C298,Upgrades!$B$3:$B$13,0))*1.15^(COUNTIF(C$4:C297,C298)-COUNTIF(C$4:C297,""Sell_""&amp;C298))))))"),"")</f>
        <v/>
      </c>
      <c r="H298" s="10" t="str">
        <f t="shared" si="3"/>
        <v/>
      </c>
      <c r="I298" s="68" t="str">
        <f t="shared" si="4"/>
        <v/>
      </c>
      <c r="J298" s="59" t="str">
        <f t="shared" si="5"/>
        <v/>
      </c>
      <c r="K298" s="69" t="str">
        <f t="shared" si="6"/>
        <v/>
      </c>
      <c r="L298" s="60">
        <f t="shared" si="7"/>
        <v>-176.56818</v>
      </c>
      <c r="M298" s="61">
        <f>IFERROR(__xludf.DUMMYFUNCTION("IFS(AND(COUNTA(C298:C1673)=0,COUNTA(Q298:Q1673)=0),"""",OR(AND(K298&gt;=1000000000,OR(Y298&gt;=1000000000,COUNTA(Q298:Q1673)=0)),OR(Y298&gt;=1000000000,AND(COUNTA(C298:C1673)=0,P$3=TRUE))),
ROUNDDOWN((AB$1-AC$1)*MAX(INDEX(T$4:T1673,MATCH(LARGE(FILTER(Y$4:Y1673,Y$4"&amp;":Y1673&lt;1000000000),1),Y$4:Y1673)),INDEX(F$4:F1673,MATCH(LARGE(FILTER(K$4:K1673,K$4:K1673&lt;1000000000),1),K$4:K1673)))),AND(K298&lt;1000000000,COUNTA(C298:C1673)&gt;0,P$3=FALSE),
ROUNDDOWN(INDEX(Y$4:Y1673,MATCH(LARGE(FILTER(W$4:W1673,W$4:W1673&lt;=I298),1),W$4:W1673"&amp;"))+(I298-LARGE(FILTER(W$4:W1673,W$4:W1673&lt;=I298),1))*INDEX(T$4:T1673,MATCH(LARGE(FILTER(W$4:W1673,W$4:W1673&lt;=I298),1),W$4:W1673))-K298),1,
ROUNDDOWN(Y298-INDEX(K$4:K1673,MATCH(LARGE(FILTER(I$4:I1673,I$4:I1673&lt;=W298),1),I$4:I1673))-(W298-LARGE(FILTER(I$4:I"&amp;"1673,I$4:I1673&lt;=W298),1))*INDEX(F$4:F1673,MATCH(LARGE(FILTER(I$4:I1673,I$4:I1673&lt;=W298),1),I$4:I1673))))"),7.2392074E7)</f>
        <v>72392074</v>
      </c>
      <c r="N298" s="60">
        <f t="shared" si="8"/>
        <v>-176.56818</v>
      </c>
      <c r="O298" s="61" t="str">
        <f t="shared" si="9"/>
        <v>72,4M</v>
      </c>
      <c r="P298" s="56">
        <f t="shared" si="10"/>
        <v>15</v>
      </c>
      <c r="Q298" s="105" t="s">
        <v>8</v>
      </c>
      <c r="R298" s="10"/>
      <c r="S298" s="59">
        <f t="array" ref="S298">IF(COUNTA(Q298:Q1673)=0,"",SUM((COUNTIF(Q$4:Q298,Upgrades!$B$3:$B$13)-COUNTIF(Q$4:Q298,"Sell_"&amp;Upgrades!$B$3:$B$13))*Upgrades!$D$3:$D$13))</f>
        <v>423976.7</v>
      </c>
      <c r="T298" s="66">
        <f>IFERROR(__xludf.DUMMYFUNCTION("IF(COUNTA(Q298:Q1673)=0,"""",IF(REGEXMATCH(INDEX(FILTER(Q$4:Q298,Q$4:Q298&lt;&gt;""""),ROWS(FILTER(Q$4:Q298,Q$4:Q298&lt;&gt;""""))),""^Sell_""),INDEX(FILTER(T$4:T297,Q$4:Q297&lt;&gt;""""),ROWS(FILTER(Q$4:Q297,Q$4:Q297&lt;&gt;""""))),$AD$5+S298))"),423991.7)</f>
        <v>423991.7</v>
      </c>
      <c r="U298" s="10">
        <f>IFERROR(__xludf.DUMMYFUNCTION("IF(COUNTA(Q298:Q1673)=0,"""",IF(Q298="""",0,IF(REGEXMATCH(Q298,""^Sell_""),-ROUNDDOWN(ROUNDUP(INDEX(Upgrades!$C$3:$C$13,MATCH(SUBSTITUTE(Q298,""Sell_"",""""),Upgrades!$B$3:$B$13,0))*1.15^(COUNTIF(Q$4:Q297,SUBSTITUTE(Q298,""Sell_"",""""))-COUNTIF(Q$4:Q297,"&amp;"""Sell_""&amp;SUBSTITUTE(Q298,""Sell_"",""""))))/2),ROUNDUP(INDEX(Upgrades!$C$3:$C$13,MATCH(Q298,Upgrades!$B$3:$B$13,0))*1.15^(COUNTIF(Q$4:Q297,Q298)-COUNTIF(Q$4:Q297,""Sell_""&amp;Q298))))))"),283029.0)</f>
        <v>283029</v>
      </c>
      <c r="V298" s="10">
        <f t="shared" si="11"/>
        <v>283029</v>
      </c>
      <c r="W298" s="68">
        <f t="shared" si="12"/>
        <v>6899.444327</v>
      </c>
      <c r="X298" s="59" t="str">
        <f t="shared" si="13"/>
        <v>1h 54m 59s</v>
      </c>
      <c r="Y298" s="69">
        <f t="shared" si="14"/>
        <v>618166984</v>
      </c>
      <c r="Z298" s="11"/>
    </row>
    <row r="299">
      <c r="A299" s="8"/>
      <c r="B299" s="56" t="str">
        <f t="shared" si="2"/>
        <v/>
      </c>
      <c r="C299" s="105"/>
      <c r="D299" s="10"/>
      <c r="E299" s="59" t="str">
        <f t="array" ref="E299">IF(COUNTA(C299:C1673)=0,"",SUM((COUNTIF(C$4:C299,Upgrades!$B$3:$B$13)-COUNTIF(C$4:C299,"Sell_"&amp;Upgrades!$B$3:$B$13))*Upgrades!$D$3:$D$13))</f>
        <v/>
      </c>
      <c r="F299" s="66" t="str">
        <f>IFERROR(__xludf.DUMMYFUNCTION("IF(COUNTA(C299:C1673)=0,"""",IF(REGEXMATCH(INDEX(FILTER(C$4:C299,C$4:C299&lt;&gt;""""),ROWS(FILTER(C$4:C299,C$4:C299&lt;&gt;""""))),""^Sell_""),INDEX(FILTER(F$4:F298,C$4:C298&lt;&gt;""""),ROWS(FILTER(C$4:C298,C$4:C298&lt;&gt;""""))),$AC$5+E299))"),"")</f>
        <v/>
      </c>
      <c r="G299" s="10" t="str">
        <f>IFERROR(__xludf.DUMMYFUNCTION("IF(COUNTA(C299:C1673)=0,"""",IF(C299="""",0,IF(REGEXMATCH(C299,""^Sell_""),-ROUNDDOWN(ROUNDUP(INDEX(Upgrades!$C$3:$C$13,MATCH(SUBSTITUTE(C299,""Sell_"",""""),Upgrades!$B$3:$B$13,0))*1.15^(COUNTIF(C$4:C298,SUBSTITUTE(C299,""Sell_"",""""))-COUNTIF(C$4:C298,"&amp;"""Sell_""&amp;SUBSTITUTE(C299,""Sell_"",""""))))/2),ROUNDUP(INDEX(Upgrades!$C$3:$C$13,MATCH(C299,Upgrades!$B$3:$B$13,0))*1.15^(COUNTIF(C$4:C298,C299)-COUNTIF(C$4:C298,""Sell_""&amp;C299))))))"),"")</f>
        <v/>
      </c>
      <c r="H299" s="10" t="str">
        <f t="shared" si="3"/>
        <v/>
      </c>
      <c r="I299" s="68" t="str">
        <f t="shared" si="4"/>
        <v/>
      </c>
      <c r="J299" s="59" t="str">
        <f t="shared" si="5"/>
        <v/>
      </c>
      <c r="K299" s="69" t="str">
        <f t="shared" si="6"/>
        <v/>
      </c>
      <c r="L299" s="60">
        <f t="shared" si="7"/>
        <v>-176.5683</v>
      </c>
      <c r="M299" s="61">
        <f>IFERROR(__xludf.DUMMYFUNCTION("IFS(AND(COUNTA(C299:C1673)=0,COUNTA(Q299:Q1673)=0),"""",OR(AND(K299&gt;=1000000000,OR(Y299&gt;=1000000000,COUNTA(Q299:Q1673)=0)),OR(Y299&gt;=1000000000,AND(COUNTA(C299:C1673)=0,P$3=TRUE))),
ROUNDDOWN((AB$1-AC$1)*MAX(INDEX(T$4:T1673,MATCH(LARGE(FILTER(Y$4:Y1673,Y$4"&amp;":Y1673&lt;1000000000),1),Y$4:Y1673)),INDEX(F$4:F1673,MATCH(LARGE(FILTER(K$4:K1673,K$4:K1673&lt;1000000000),1),K$4:K1673)))),AND(K299&lt;1000000000,COUNTA(C299:C1673)&gt;0,P$3=FALSE),
ROUNDDOWN(INDEX(Y$4:Y1673,MATCH(LARGE(FILTER(W$4:W1673,W$4:W1673&lt;=I299),1),W$4:W1673"&amp;"))+(I299-LARGE(FILTER(W$4:W1673,W$4:W1673&lt;=I299),1))*INDEX(T$4:T1673,MATCH(LARGE(FILTER(W$4:W1673,W$4:W1673&lt;=I299),1),W$4:W1673))-K299),1,
ROUNDDOWN(Y299-INDEX(K$4:K1673,MATCH(LARGE(FILTER(I$4:I1673,I$4:I1673&lt;=W299),1),I$4:I1673))-(W299-LARGE(FILTER(I$4:I"&amp;"1673,I$4:I1673&lt;=W299),1))*INDEX(F$4:F1673,MATCH(LARGE(FILTER(I$4:I1673,I$4:I1673&lt;=W299),1),I$4:I1673))))"),7.2392121E7)</f>
        <v>72392121</v>
      </c>
      <c r="N299" s="60">
        <f t="shared" si="8"/>
        <v>-176.5683</v>
      </c>
      <c r="O299" s="61" t="str">
        <f t="shared" si="9"/>
        <v>72,4M</v>
      </c>
      <c r="P299" s="56">
        <f t="shared" si="10"/>
        <v>20</v>
      </c>
      <c r="Q299" s="105" t="s">
        <v>4</v>
      </c>
      <c r="R299" s="10"/>
      <c r="S299" s="59">
        <f t="array" ref="S299">IF(COUNTA(Q299:Q1673)=0,"",SUM((COUNTIF(Q$4:Q299,Upgrades!$B$3:$B$13)-COUNTIF(Q$4:Q299,"Sell_"&amp;Upgrades!$B$3:$B$13))*Upgrades!$D$3:$D$13))</f>
        <v>423977.2</v>
      </c>
      <c r="T299" s="66">
        <f>IFERROR(__xludf.DUMMYFUNCTION("IF(COUNTA(Q299:Q1673)=0,"""",IF(REGEXMATCH(INDEX(FILTER(Q$4:Q299,Q$4:Q299&lt;&gt;""""),ROWS(FILTER(Q$4:Q299,Q$4:Q299&lt;&gt;""""))),""^Sell_""),INDEX(FILTER(T$4:T298,Q$4:Q298&lt;&gt;""""),ROWS(FILTER(Q$4:Q298,Q$4:Q298&lt;&gt;""""))),$AD$5+S299))"),423992.2)</f>
        <v>423992.2</v>
      </c>
      <c r="U299" s="10">
        <f>IFERROR(__xludf.DUMMYFUNCTION("IF(COUNTA(Q299:Q1673)=0,"""",IF(Q299="""",0,IF(REGEXMATCH(Q299,""^Sell_""),-ROUNDDOWN(ROUNDUP(INDEX(Upgrades!$C$3:$C$13,MATCH(SUBSTITUTE(Q299,""Sell_"",""""),Upgrades!$B$3:$B$13,0))*1.15^(COUNTIF(Q$4:Q298,SUBSTITUTE(Q299,""Sell_"",""""))-COUNTIF(Q$4:Q298,"&amp;"""Sell_""&amp;SUBSTITUTE(Q299,""Sell_"",""""))))/2),ROUNDUP(INDEX(Upgrades!$C$3:$C$13,MATCH(Q299,Upgrades!$B$3:$B$13,0))*1.15^(COUNTIF(Q$4:Q298,Q299)-COUNTIF(Q$4:Q298,""Sell_""&amp;Q299))))))"),1424.0)</f>
        <v>1424</v>
      </c>
      <c r="V299" s="10">
        <f t="shared" si="11"/>
        <v>1424</v>
      </c>
      <c r="W299" s="68">
        <f t="shared" si="12"/>
        <v>6899.447686</v>
      </c>
      <c r="X299" s="59" t="str">
        <f t="shared" si="13"/>
        <v>1h 54m 59s</v>
      </c>
      <c r="Y299" s="69">
        <f t="shared" si="14"/>
        <v>618168408</v>
      </c>
      <c r="Z299" s="11"/>
    </row>
    <row r="300">
      <c r="A300" s="8"/>
      <c r="B300" s="56" t="str">
        <f t="shared" si="2"/>
        <v/>
      </c>
      <c r="C300" s="105"/>
      <c r="D300" s="10"/>
      <c r="E300" s="59" t="str">
        <f t="array" ref="E300">IF(COUNTA(C300:C1673)=0,"",SUM((COUNTIF(C$4:C300,Upgrades!$B$3:$B$13)-COUNTIF(C$4:C300,"Sell_"&amp;Upgrades!$B$3:$B$13))*Upgrades!$D$3:$D$13))</f>
        <v/>
      </c>
      <c r="F300" s="66" t="str">
        <f>IFERROR(__xludf.DUMMYFUNCTION("IF(COUNTA(C300:C1673)=0,"""",IF(REGEXMATCH(INDEX(FILTER(C$4:C300,C$4:C300&lt;&gt;""""),ROWS(FILTER(C$4:C300,C$4:C300&lt;&gt;""""))),""^Sell_""),INDEX(FILTER(F$4:F299,C$4:C299&lt;&gt;""""),ROWS(FILTER(C$4:C299,C$4:C299&lt;&gt;""""))),$AC$5+E300))"),"")</f>
        <v/>
      </c>
      <c r="G300" s="10" t="str">
        <f>IFERROR(__xludf.DUMMYFUNCTION("IF(COUNTA(C300:C1673)=0,"""",IF(C300="""",0,IF(REGEXMATCH(C300,""^Sell_""),-ROUNDDOWN(ROUNDUP(INDEX(Upgrades!$C$3:$C$13,MATCH(SUBSTITUTE(C300,""Sell_"",""""),Upgrades!$B$3:$B$13,0))*1.15^(COUNTIF(C$4:C299,SUBSTITUTE(C300,""Sell_"",""""))-COUNTIF(C$4:C299,"&amp;"""Sell_""&amp;SUBSTITUTE(C300,""Sell_"",""""))))/2),ROUNDUP(INDEX(Upgrades!$C$3:$C$13,MATCH(C300,Upgrades!$B$3:$B$13,0))*1.15^(COUNTIF(C$4:C299,C300)-COUNTIF(C$4:C299,""Sell_""&amp;C300))))))"),"")</f>
        <v/>
      </c>
      <c r="H300" s="10" t="str">
        <f t="shared" si="3"/>
        <v/>
      </c>
      <c r="I300" s="68" t="str">
        <f t="shared" si="4"/>
        <v/>
      </c>
      <c r="J300" s="59" t="str">
        <f t="shared" si="5"/>
        <v/>
      </c>
      <c r="K300" s="69" t="str">
        <f t="shared" si="6"/>
        <v/>
      </c>
      <c r="L300" s="60">
        <f t="shared" si="7"/>
        <v>-176.66738</v>
      </c>
      <c r="M300" s="61">
        <f>IFERROR(__xludf.DUMMYFUNCTION("IFS(AND(COUNTA(C300:C1673)=0,COUNTA(Q300:Q1673)=0),"""",OR(AND(K300&gt;=1000000000,OR(Y300&gt;=1000000000,COUNTA(Q300:Q1673)=0)),OR(Y300&gt;=1000000000,AND(COUNTA(C300:C1673)=0,P$3=TRUE))),
ROUNDDOWN((AB$1-AC$1)*MAX(INDEX(T$4:T1673,MATCH(LARGE(FILTER(Y$4:Y1673,Y$4"&amp;":Y1673&lt;1000000000),1),Y$4:Y1673)),INDEX(F$4:F1673,MATCH(LARGE(FILTER(K$4:K1673,K$4:K1673&lt;1000000000),1),K$4:K1673)))),AND(K300&lt;1000000000,COUNTA(C300:C1673)&gt;0,P$3=FALSE),
ROUNDDOWN(INDEX(Y$4:Y1673,MATCH(LARGE(FILTER(W$4:W1673,W$4:W1673&lt;=I300),1),W$4:W1673"&amp;"))+(I300-LARGE(FILTER(W$4:W1673,W$4:W1673&lt;=I300),1))*INDEX(T$4:T1673,MATCH(LARGE(FILTER(W$4:W1673,W$4:W1673&lt;=I300),1),W$4:W1673))-K300),1,
ROUNDDOWN(Y300-INDEX(K$4:K1673,MATCH(LARGE(FILTER(I$4:I1673,I$4:I1673&lt;=W300),1),I$4:I1673))-(W300-LARGE(FILTER(I$4:I"&amp;"1673,I$4:I1673&lt;=W300),1))*INDEX(F$4:F1673,MATCH(LARGE(FILTER(I$4:I1673,I$4:I1673&lt;=W300),1),I$4:I1673))))"),7.2432745E7)</f>
        <v>72432745</v>
      </c>
      <c r="N300" s="60">
        <f t="shared" si="8"/>
        <v>-176.66738</v>
      </c>
      <c r="O300" s="61" t="str">
        <f t="shared" si="9"/>
        <v>72,4M</v>
      </c>
      <c r="P300" s="56">
        <f t="shared" si="10"/>
        <v>14</v>
      </c>
      <c r="Q300" s="105" t="s">
        <v>9</v>
      </c>
      <c r="R300" s="10"/>
      <c r="S300" s="59">
        <f t="array" ref="S300">IF(COUNTA(Q300:Q1673)=0,"",SUM((COUNTIF(Q$4:Q300,Upgrades!$B$3:$B$13)-COUNTIF(Q$4:Q300,"Sell_"&amp;Upgrades!$B$3:$B$13))*Upgrades!$D$3:$D$13))</f>
        <v>424377.2</v>
      </c>
      <c r="T300" s="66">
        <f>IFERROR(__xludf.DUMMYFUNCTION("IF(COUNTA(Q300:Q1673)=0,"""",IF(REGEXMATCH(INDEX(FILTER(Q$4:Q300,Q$4:Q300&lt;&gt;""""),ROWS(FILTER(Q$4:Q300,Q$4:Q300&lt;&gt;""""))),""^Sell_""),INDEX(FILTER(T$4:T299,Q$4:Q299&lt;&gt;""""),ROWS(FILTER(Q$4:Q299,Q$4:Q299&lt;&gt;""""))),$AD$5+S300))"),424392.2)</f>
        <v>424392.2</v>
      </c>
      <c r="U300" s="10">
        <f>IFERROR(__xludf.DUMMYFUNCTION("IF(COUNTA(Q300:Q1673)=0,"""",IF(Q300="""",0,IF(REGEXMATCH(Q300,""^Sell_""),-ROUNDDOWN(ROUNDUP(INDEX(Upgrades!$C$3:$C$13,MATCH(SUBSTITUTE(Q300,""Sell_"",""""),Upgrades!$B$3:$B$13,0))*1.15^(COUNTIF(Q$4:Q299,SUBSTITUTE(Q300,""Sell_"",""""))-COUNTIF(Q$4:Q299,"&amp;"""Sell_""&amp;SUBSTITUTE(Q300,""Sell_"",""""))))/2),ROUNDUP(INDEX(Upgrades!$C$3:$C$13,MATCH(Q300,Upgrades!$B$3:$B$13,0))*1.15^(COUNTIF(Q$4:Q299,Q300)-COUNTIF(Q$4:Q299,""Sell_""&amp;Q300))))))"),1230558.0)</f>
        <v>1230558</v>
      </c>
      <c r="V300" s="10">
        <f t="shared" si="11"/>
        <v>1230558</v>
      </c>
      <c r="W300" s="68">
        <f t="shared" si="12"/>
        <v>6902.349999</v>
      </c>
      <c r="X300" s="59" t="str">
        <f t="shared" si="13"/>
        <v>1h 55m 02s</v>
      </c>
      <c r="Y300" s="69">
        <f t="shared" si="14"/>
        <v>619398966</v>
      </c>
      <c r="Z300" s="11"/>
    </row>
    <row r="301">
      <c r="A301" s="8"/>
      <c r="B301" s="56" t="str">
        <f t="shared" si="2"/>
        <v/>
      </c>
      <c r="C301" s="105"/>
      <c r="D301" s="10"/>
      <c r="E301" s="59" t="str">
        <f t="array" ref="E301">IF(COUNTA(C301:C1673)=0,"",SUM((COUNTIF(C$4:C301,Upgrades!$B$3:$B$13)-COUNTIF(C$4:C301,"Sell_"&amp;Upgrades!$B$3:$B$13))*Upgrades!$D$3:$D$13))</f>
        <v/>
      </c>
      <c r="F301" s="66" t="str">
        <f>IFERROR(__xludf.DUMMYFUNCTION("IF(COUNTA(C301:C1673)=0,"""",IF(REGEXMATCH(INDEX(FILTER(C$4:C301,C$4:C301&lt;&gt;""""),ROWS(FILTER(C$4:C301,C$4:C301&lt;&gt;""""))),""^Sell_""),INDEX(FILTER(F$4:F300,C$4:C300&lt;&gt;""""),ROWS(FILTER(C$4:C300,C$4:C300&lt;&gt;""""))),$AC$5+E301))"),"")</f>
        <v/>
      </c>
      <c r="G301" s="10" t="str">
        <f>IFERROR(__xludf.DUMMYFUNCTION("IF(COUNTA(C301:C1673)=0,"""",IF(C301="""",0,IF(REGEXMATCH(C301,""^Sell_""),-ROUNDDOWN(ROUNDUP(INDEX(Upgrades!$C$3:$C$13,MATCH(SUBSTITUTE(C301,""Sell_"",""""),Upgrades!$B$3:$B$13,0))*1.15^(COUNTIF(C$4:C300,SUBSTITUTE(C301,""Sell_"",""""))-COUNTIF(C$4:C300,"&amp;"""Sell_""&amp;SUBSTITUTE(C301,""Sell_"",""""))))/2),ROUNDUP(INDEX(Upgrades!$C$3:$C$13,MATCH(C301,Upgrades!$B$3:$B$13,0))*1.15^(COUNTIF(C$4:C300,C301)-COUNTIF(C$4:C300,""Sell_""&amp;C301))))))"),"")</f>
        <v/>
      </c>
      <c r="H301" s="10" t="str">
        <f t="shared" si="3"/>
        <v/>
      </c>
      <c r="I301" s="68" t="str">
        <f t="shared" si="4"/>
        <v/>
      </c>
      <c r="J301" s="59" t="str">
        <f t="shared" si="5"/>
        <v/>
      </c>
      <c r="K301" s="69" t="str">
        <f t="shared" si="6"/>
        <v/>
      </c>
      <c r="L301" s="60">
        <f t="shared" si="7"/>
        <v>-176.67762</v>
      </c>
      <c r="M301" s="61">
        <f>IFERROR(__xludf.DUMMYFUNCTION("IFS(AND(COUNTA(C301:C1673)=0,COUNTA(Q301:Q1673)=0),"""",OR(AND(K301&gt;=1000000000,OR(Y301&gt;=1000000000,COUNTA(Q301:Q1673)=0)),OR(Y301&gt;=1000000000,AND(COUNTA(C301:C1673)=0,P$3=TRUE))),
ROUNDDOWN((AB$1-AC$1)*MAX(INDEX(T$4:T1673,MATCH(LARGE(FILTER(Y$4:Y1673,Y$4"&amp;":Y1673&lt;1000000000),1),Y$4:Y1673)),INDEX(F$4:F1673,MATCH(LARGE(FILTER(K$4:K1673,K$4:K1673&lt;1000000000),1),K$4:K1673)))),AND(K301&lt;1000000000,COUNTA(C301:C1673)&gt;0,P$3=FALSE),
ROUNDDOWN(INDEX(Y$4:Y1673,MATCH(LARGE(FILTER(W$4:W1673,W$4:W1673&lt;=I301),1),W$4:W1673"&amp;"))+(I301-LARGE(FILTER(W$4:W1673,W$4:W1673&lt;=I301),1))*INDEX(T$4:T1673,MATCH(LARGE(FILTER(W$4:W1673,W$4:W1673&lt;=I301),1),W$4:W1673))-K301),1,
ROUNDDOWN(Y301-INDEX(K$4:K1673,MATCH(LARGE(FILTER(I$4:I1673,I$4:I1673&lt;=W301),1),I$4:I1673))-(W301-LARGE(FILTER(I$4:I"&amp;"1673,I$4:I1673&lt;=W301),1))*INDEX(F$4:F1673,MATCH(LARGE(FILTER(I$4:I1673,I$4:I1673&lt;=W301),1),I$4:I1673))))"),7.2436944E7)</f>
        <v>72436944</v>
      </c>
      <c r="N301" s="60">
        <f t="shared" si="8"/>
        <v>-176.67762</v>
      </c>
      <c r="O301" s="61" t="str">
        <f t="shared" si="9"/>
        <v>72,4M</v>
      </c>
      <c r="P301" s="56">
        <f t="shared" si="10"/>
        <v>19</v>
      </c>
      <c r="Q301" s="105" t="s">
        <v>7</v>
      </c>
      <c r="R301" s="10"/>
      <c r="S301" s="59">
        <f t="array" ref="S301">IF(COUNTA(Q301:Q1673)=0,"",SUM((COUNTIF(Q$4:Q301,Upgrades!$B$3:$B$13)-COUNTIF(Q$4:Q301,"Sell_"&amp;Upgrades!$B$3:$B$13))*Upgrades!$D$3:$D$13))</f>
        <v>424417.2</v>
      </c>
      <c r="T301" s="66">
        <f>IFERROR(__xludf.DUMMYFUNCTION("IF(COUNTA(Q301:Q1673)=0,"""",IF(REGEXMATCH(INDEX(FILTER(Q$4:Q301,Q$4:Q301&lt;&gt;""""),ROWS(FILTER(Q$4:Q301,Q$4:Q301&lt;&gt;""""))),""^Sell_""),INDEX(FILTER(T$4:T300,Q$4:Q300&lt;&gt;""""),ROWS(FILTER(Q$4:Q300,Q$4:Q300&lt;&gt;""""))),$AD$5+S301))"),424432.2)</f>
        <v>424432.2</v>
      </c>
      <c r="U301" s="10">
        <f>IFERROR(__xludf.DUMMYFUNCTION("IF(COUNTA(Q301:Q1673)=0,"""",IF(Q301="""",0,IF(REGEXMATCH(Q301,""^Sell_""),-ROUNDDOWN(ROUNDUP(INDEX(Upgrades!$C$3:$C$13,MATCH(SUBSTITUTE(Q301,""Sell_"",""""),Upgrades!$B$3:$B$13,0))*1.15^(COUNTIF(Q$4:Q300,SUBSTITUTE(Q301,""Sell_"",""""))-COUNTIF(Q$4:Q300,"&amp;"""Sell_""&amp;SUBSTITUTE(Q301,""Sell_"",""""))))/2),ROUNDUP(INDEX(Upgrades!$C$3:$C$13,MATCH(Q301,Upgrades!$B$3:$B$13,0))*1.15^(COUNTIF(Q$4:Q300,Q301)-COUNTIF(Q$4:Q300,""Sell_""&amp;Q301))))))"),123755.0)</f>
        <v>123755</v>
      </c>
      <c r="V301" s="10">
        <f t="shared" si="11"/>
        <v>123755</v>
      </c>
      <c r="W301" s="68">
        <f t="shared" si="12"/>
        <v>6902.641604</v>
      </c>
      <c r="X301" s="59" t="str">
        <f t="shared" si="13"/>
        <v>1h 55m 02s</v>
      </c>
      <c r="Y301" s="69">
        <f t="shared" si="14"/>
        <v>619522721</v>
      </c>
      <c r="Z301" s="11"/>
    </row>
    <row r="302">
      <c r="A302" s="8"/>
      <c r="B302" s="56" t="str">
        <f t="shared" si="2"/>
        <v/>
      </c>
      <c r="C302" s="105"/>
      <c r="D302" s="10"/>
      <c r="E302" s="59" t="str">
        <f t="array" ref="E302">IF(COUNTA(C302:C1673)=0,"",SUM((COUNTIF(C$4:C302,Upgrades!$B$3:$B$13)-COUNTIF(C$4:C302,"Sell_"&amp;Upgrades!$B$3:$B$13))*Upgrades!$D$3:$D$13))</f>
        <v/>
      </c>
      <c r="F302" s="66" t="str">
        <f>IFERROR(__xludf.DUMMYFUNCTION("IF(COUNTA(C302:C1673)=0,"""",IF(REGEXMATCH(INDEX(FILTER(C$4:C302,C$4:C302&lt;&gt;""""),ROWS(FILTER(C$4:C302,C$4:C302&lt;&gt;""""))),""^Sell_""),INDEX(FILTER(F$4:F301,C$4:C301&lt;&gt;""""),ROWS(FILTER(C$4:C301,C$4:C301&lt;&gt;""""))),$AC$5+E302))"),"")</f>
        <v/>
      </c>
      <c r="G302" s="10" t="str">
        <f>IFERROR(__xludf.DUMMYFUNCTION("IF(COUNTA(C302:C1673)=0,"""",IF(C302="""",0,IF(REGEXMATCH(C302,""^Sell_""),-ROUNDDOWN(ROUNDUP(INDEX(Upgrades!$C$3:$C$13,MATCH(SUBSTITUTE(C302,""Sell_"",""""),Upgrades!$B$3:$B$13,0))*1.15^(COUNTIF(C$4:C301,SUBSTITUTE(C302,""Sell_"",""""))-COUNTIF(C$4:C301,"&amp;"""Sell_""&amp;SUBSTITUTE(C302,""Sell_"",""""))))/2),ROUNDUP(INDEX(Upgrades!$C$3:$C$13,MATCH(C302,Upgrades!$B$3:$B$13,0))*1.15^(COUNTIF(C$4:C301,C302)-COUNTIF(C$4:C301,""Sell_""&amp;C302))))))"),"")</f>
        <v/>
      </c>
      <c r="H302" s="10" t="str">
        <f t="shared" si="3"/>
        <v/>
      </c>
      <c r="I302" s="68" t="str">
        <f t="shared" si="4"/>
        <v/>
      </c>
      <c r="J302" s="59" t="str">
        <f t="shared" si="5"/>
        <v/>
      </c>
      <c r="K302" s="69" t="str">
        <f t="shared" si="6"/>
        <v/>
      </c>
      <c r="L302" s="60">
        <f t="shared" si="7"/>
        <v>-176.67866</v>
      </c>
      <c r="M302" s="61">
        <f>IFERROR(__xludf.DUMMYFUNCTION("IFS(AND(COUNTA(C302:C1673)=0,COUNTA(Q302:Q1673)=0),"""",OR(AND(K302&gt;=1000000000,OR(Y302&gt;=1000000000,COUNTA(Q302:Q1673)=0)),OR(Y302&gt;=1000000000,AND(COUNTA(C302:C1673)=0,P$3=TRUE))),
ROUNDDOWN((AB$1-AC$1)*MAX(INDEX(T$4:T1673,MATCH(LARGE(FILTER(Y$4:Y1673,Y$4"&amp;":Y1673&lt;1000000000),1),Y$4:Y1673)),INDEX(F$4:F1673,MATCH(LARGE(FILTER(K$4:K1673,K$4:K1673&lt;1000000000),1),K$4:K1673)))),AND(K302&lt;1000000000,COUNTA(C302:C1673)&gt;0,P$3=FALSE),
ROUNDDOWN(INDEX(Y$4:Y1673,MATCH(LARGE(FILTER(W$4:W1673,W$4:W1673&lt;=I302),1),W$4:W1673"&amp;"))+(I302-LARGE(FILTER(W$4:W1673,W$4:W1673&lt;=I302),1))*INDEX(T$4:T1673,MATCH(LARGE(FILTER(W$4:W1673,W$4:W1673&lt;=I302),1),W$4:W1673))-K302),1,
ROUNDDOWN(Y302-INDEX(K$4:K1673,MATCH(LARGE(FILTER(I$4:I1673,I$4:I1673&lt;=W302),1),I$4:I1673))-(W302-LARGE(FILTER(I$4:I"&amp;"1673,I$4:I1673&lt;=W302),1))*INDEX(F$4:F1673,MATCH(LARGE(FILTER(I$4:I1673,I$4:I1673&lt;=W302),1),I$4:I1673))))"),7.2437367E7)</f>
        <v>72437367</v>
      </c>
      <c r="N302" s="60">
        <f t="shared" si="8"/>
        <v>-176.67866</v>
      </c>
      <c r="O302" s="61" t="str">
        <f t="shared" si="9"/>
        <v>72,4M</v>
      </c>
      <c r="P302" s="56">
        <f t="shared" si="10"/>
        <v>24</v>
      </c>
      <c r="Q302" s="105" t="s">
        <v>5</v>
      </c>
      <c r="R302" s="10"/>
      <c r="S302" s="59">
        <f t="array" ref="S302">IF(COUNTA(Q302:Q1673)=0,"",SUM((COUNTIF(Q$4:Q302,Upgrades!$B$3:$B$13)-COUNTIF(Q$4:Q302,"Sell_"&amp;Upgrades!$B$3:$B$13))*Upgrades!$D$3:$D$13))</f>
        <v>424421.2</v>
      </c>
      <c r="T302" s="66">
        <f>IFERROR(__xludf.DUMMYFUNCTION("IF(COUNTA(Q302:Q1673)=0,"""",IF(REGEXMATCH(INDEX(FILTER(Q$4:Q302,Q$4:Q302&lt;&gt;""""),ROWS(FILTER(Q$4:Q302,Q$4:Q302&lt;&gt;""""))),""^Sell_""),INDEX(FILTER(T$4:T301,Q$4:Q301&lt;&gt;""""),ROWS(FILTER(Q$4:Q301,Q$4:Q301&lt;&gt;""""))),$AD$5+S302))"),424436.2)</f>
        <v>424436.2</v>
      </c>
      <c r="U302" s="10">
        <f>IFERROR(__xludf.DUMMYFUNCTION("IF(COUNTA(Q302:Q1673)=0,"""",IF(Q302="""",0,IF(REGEXMATCH(Q302,""^Sell_""),-ROUNDDOWN(ROUNDUP(INDEX(Upgrades!$C$3:$C$13,MATCH(SUBSTITUTE(Q302,""Sell_"",""""),Upgrades!$B$3:$B$13,0))*1.15^(COUNTIF(Q$4:Q301,SUBSTITUTE(Q302,""Sell_"",""""))-COUNTIF(Q$4:Q301,"&amp;"""Sell_""&amp;SUBSTITUTE(Q302,""Sell_"",""""))))/2),ROUNDUP(INDEX(Upgrades!$C$3:$C$13,MATCH(Q302,Upgrades!$B$3:$B$13,0))*1.15^(COUNTIF(Q$4:Q301,Q302)-COUNTIF(Q$4:Q301,""Sell_""&amp;Q302))))))"),12446.0)</f>
        <v>12446</v>
      </c>
      <c r="V302" s="10">
        <f t="shared" si="11"/>
        <v>12446</v>
      </c>
      <c r="W302" s="68">
        <f t="shared" si="12"/>
        <v>6902.670928</v>
      </c>
      <c r="X302" s="59" t="str">
        <f t="shared" si="13"/>
        <v>1h 55m 02s</v>
      </c>
      <c r="Y302" s="69">
        <f t="shared" si="14"/>
        <v>619535167</v>
      </c>
      <c r="Z302" s="11"/>
    </row>
    <row r="303">
      <c r="A303" s="8"/>
      <c r="B303" s="56" t="str">
        <f t="shared" si="2"/>
        <v/>
      </c>
      <c r="C303" s="105"/>
      <c r="D303" s="10"/>
      <c r="E303" s="59" t="str">
        <f t="array" ref="E303">IF(COUNTA(C303:C1673)=0,"",SUM((COUNTIF(C$4:C303,Upgrades!$B$3:$B$13)-COUNTIF(C$4:C303,"Sell_"&amp;Upgrades!$B$3:$B$13))*Upgrades!$D$3:$D$13))</f>
        <v/>
      </c>
      <c r="F303" s="66" t="str">
        <f>IFERROR(__xludf.DUMMYFUNCTION("IF(COUNTA(C303:C1673)=0,"""",IF(REGEXMATCH(INDEX(FILTER(C$4:C303,C$4:C303&lt;&gt;""""),ROWS(FILTER(C$4:C303,C$4:C303&lt;&gt;""""))),""^Sell_""),INDEX(FILTER(F$4:F302,C$4:C302&lt;&gt;""""),ROWS(FILTER(C$4:C302,C$4:C302&lt;&gt;""""))),$AC$5+E303))"),"")</f>
        <v/>
      </c>
      <c r="G303" s="10" t="str">
        <f>IFERROR(__xludf.DUMMYFUNCTION("IF(COUNTA(C303:C1673)=0,"""",IF(C303="""",0,IF(REGEXMATCH(C303,""^Sell_""),-ROUNDDOWN(ROUNDUP(INDEX(Upgrades!$C$3:$C$13,MATCH(SUBSTITUTE(C303,""Sell_"",""""),Upgrades!$B$3:$B$13,0))*1.15^(COUNTIF(C$4:C302,SUBSTITUTE(C303,""Sell_"",""""))-COUNTIF(C$4:C302,"&amp;"""Sell_""&amp;SUBSTITUTE(C303,""Sell_"",""""))))/2),ROUNDUP(INDEX(Upgrades!$C$3:$C$13,MATCH(C303,Upgrades!$B$3:$B$13,0))*1.15^(COUNTIF(C$4:C302,C303)-COUNTIF(C$4:C302,""Sell_""&amp;C303))))))"),"")</f>
        <v/>
      </c>
      <c r="H303" s="10" t="str">
        <f t="shared" si="3"/>
        <v/>
      </c>
      <c r="I303" s="68" t="str">
        <f t="shared" si="4"/>
        <v/>
      </c>
      <c r="J303" s="59" t="str">
        <f t="shared" si="5"/>
        <v/>
      </c>
      <c r="K303" s="69" t="str">
        <f t="shared" si="6"/>
        <v/>
      </c>
      <c r="L303" s="60">
        <f t="shared" si="7"/>
        <v>-178.39033</v>
      </c>
      <c r="M303" s="61">
        <f>IFERROR(__xludf.DUMMYFUNCTION("IFS(AND(COUNTA(C303:C1673)=0,COUNTA(Q303:Q1673)=0),"""",OR(AND(K303&gt;=1000000000,OR(Y303&gt;=1000000000,COUNTA(Q303:Q1673)=0)),OR(Y303&gt;=1000000000,AND(COUNTA(C303:C1673)=0,P$3=TRUE))),
ROUNDDOWN((AB$1-AC$1)*MAX(INDEX(T$4:T1673,MATCH(LARGE(FILTER(Y$4:Y1673,Y$4"&amp;":Y1673&lt;1000000000),1),Y$4:Y1673)),INDEX(F$4:F1673,MATCH(LARGE(FILTER(K$4:K1673,K$4:K1673&lt;1000000000),1),K$4:K1673)))),AND(K303&lt;1000000000,COUNTA(C303:C1673)&gt;0,P$3=FALSE),
ROUNDDOWN(INDEX(Y$4:Y1673,MATCH(LARGE(FILTER(W$4:W1673,W$4:W1673&lt;=I303),1),W$4:W1673"&amp;"))+(I303-LARGE(FILTER(W$4:W1673,W$4:W1673&lt;=I303),1))*INDEX(T$4:T1673,MATCH(LARGE(FILTER(W$4:W1673,W$4:W1673&lt;=I303),1),W$4:W1673))-K303),1,
ROUNDDOWN(Y303-INDEX(K$4:K1673,MATCH(LARGE(FILTER(I$4:I1673,I$4:I1673&lt;=W303),1),I$4:I1673))-(W303-LARGE(FILTER(I$4:I"&amp;"1673,I$4:I1673&lt;=W303),1))*INDEX(F$4:F1673,MATCH(LARGE(FILTER(I$4:I1673,I$4:I1673&lt;=W303),1),I$4:I1673))))"),7.3139146E7)</f>
        <v>73139146</v>
      </c>
      <c r="N303" s="60">
        <f t="shared" si="8"/>
        <v>-178.39033</v>
      </c>
      <c r="O303" s="61" t="str">
        <f t="shared" si="9"/>
        <v>73,1M</v>
      </c>
      <c r="P303" s="56">
        <f t="shared" si="10"/>
        <v>19</v>
      </c>
      <c r="Q303" s="105" t="s">
        <v>10</v>
      </c>
      <c r="R303" s="10"/>
      <c r="S303" s="59">
        <f t="array" ref="S303">IF(COUNTA(Q303:Q1673)=0,"",SUM((COUNTIF(Q$4:Q303,Upgrades!$B$3:$B$13)-COUNTIF(Q$4:Q303,"Sell_"&amp;Upgrades!$B$3:$B$13))*Upgrades!$D$3:$D$13))</f>
        <v>431087.2</v>
      </c>
      <c r="T303" s="66">
        <f>IFERROR(__xludf.DUMMYFUNCTION("IF(COUNTA(Q303:Q1673)=0,"""",IF(REGEXMATCH(INDEX(FILTER(Q$4:Q303,Q$4:Q303&lt;&gt;""""),ROWS(FILTER(Q$4:Q303,Q$4:Q303&lt;&gt;""""))),""^Sell_""),INDEX(FILTER(T$4:T302,Q$4:Q302&lt;&gt;""""),ROWS(FILTER(Q$4:Q302,Q$4:Q302&lt;&gt;""""))),$AD$5+S303))"),431102.2)</f>
        <v>431102.2</v>
      </c>
      <c r="U303" s="10">
        <f>IFERROR(__xludf.DUMMYFUNCTION("IF(COUNTA(Q303:Q1673)=0,"""",IF(Q303="""",0,IF(REGEXMATCH(Q303,""^Sell_""),-ROUNDDOWN(ROUNDUP(INDEX(Upgrades!$C$3:$C$13,MATCH(SUBSTITUTE(Q303,""Sell_"",""""),Upgrades!$B$3:$B$13,0))*1.15^(COUNTIF(Q$4:Q302,SUBSTITUTE(Q303,""Sell_"",""""))-COUNTIF(Q$4:Q302,"&amp;"""Sell_""&amp;SUBSTITUTE(Q303,""Sell_"",""""))))/2),ROUNDUP(INDEX(Upgrades!$C$3:$C$13,MATCH(Q303,Upgrades!$B$3:$B$13,0))*1.15^(COUNTIF(Q$4:Q302,Q303)-COUNTIF(Q$4:Q302,""Sell_""&amp;Q303))))))"),2.0625748E7)</f>
        <v>20625748</v>
      </c>
      <c r="V303" s="10">
        <f t="shared" si="11"/>
        <v>20625748</v>
      </c>
      <c r="W303" s="68">
        <f t="shared" si="12"/>
        <v>6951.266566</v>
      </c>
      <c r="X303" s="59" t="str">
        <f t="shared" si="13"/>
        <v>1h 55m 51s</v>
      </c>
      <c r="Y303" s="69">
        <f t="shared" si="14"/>
        <v>640160915</v>
      </c>
      <c r="Z303" s="11"/>
    </row>
    <row r="304">
      <c r="A304" s="8"/>
      <c r="B304" s="56" t="str">
        <f t="shared" si="2"/>
        <v/>
      </c>
      <c r="C304" s="105"/>
      <c r="D304" s="10"/>
      <c r="E304" s="59" t="str">
        <f t="array" ref="E304">IF(COUNTA(C304:C1673)=0,"",SUM((COUNTIF(C$4:C304,Upgrades!$B$3:$B$13)-COUNTIF(C$4:C304,"Sell_"&amp;Upgrades!$B$3:$B$13))*Upgrades!$D$3:$D$13))</f>
        <v/>
      </c>
      <c r="F304" s="66" t="str">
        <f>IFERROR(__xludf.DUMMYFUNCTION("IF(COUNTA(C304:C1673)=0,"""",IF(REGEXMATCH(INDEX(FILTER(C$4:C304,C$4:C304&lt;&gt;""""),ROWS(FILTER(C$4:C304,C$4:C304&lt;&gt;""""))),""^Sell_""),INDEX(FILTER(F$4:F303,C$4:C303&lt;&gt;""""),ROWS(FILTER(C$4:C303,C$4:C303&lt;&gt;""""))),$AC$5+E304))"),"")</f>
        <v/>
      </c>
      <c r="G304" s="10" t="str">
        <f>IFERROR(__xludf.DUMMYFUNCTION("IF(COUNTA(C304:C1673)=0,"""",IF(C304="""",0,IF(REGEXMATCH(C304,""^Sell_""),-ROUNDDOWN(ROUNDUP(INDEX(Upgrades!$C$3:$C$13,MATCH(SUBSTITUTE(C304,""Sell_"",""""),Upgrades!$B$3:$B$13,0))*1.15^(COUNTIF(C$4:C303,SUBSTITUTE(C304,""Sell_"",""""))-COUNTIF(C$4:C303,"&amp;"""Sell_""&amp;SUBSTITUTE(C304,""Sell_"",""""))))/2),ROUNDUP(INDEX(Upgrades!$C$3:$C$13,MATCH(C304,Upgrades!$B$3:$B$13,0))*1.15^(COUNTIF(C$4:C303,C304)-COUNTIF(C$4:C303,""Sell_""&amp;C304))))))"),"")</f>
        <v/>
      </c>
      <c r="H304" s="10" t="str">
        <f t="shared" si="3"/>
        <v/>
      </c>
      <c r="I304" s="68" t="str">
        <f t="shared" si="4"/>
        <v/>
      </c>
      <c r="J304" s="59" t="str">
        <f t="shared" si="5"/>
        <v/>
      </c>
      <c r="K304" s="69" t="str">
        <f t="shared" si="6"/>
        <v/>
      </c>
      <c r="L304" s="60">
        <f t="shared" si="7"/>
        <v>-178.39419</v>
      </c>
      <c r="M304" s="61">
        <f>IFERROR(__xludf.DUMMYFUNCTION("IFS(AND(COUNTA(C304:C1673)=0,COUNTA(Q304:Q1673)=0),"""",OR(AND(K304&gt;=1000000000,OR(Y304&gt;=1000000000,COUNTA(Q304:Q1673)=0)),OR(Y304&gt;=1000000000,AND(COUNTA(C304:C1673)=0,P$3=TRUE))),
ROUNDDOWN((AB$1-AC$1)*MAX(INDEX(T$4:T1673,MATCH(LARGE(FILTER(Y$4:Y1673,Y$4"&amp;":Y1673&lt;1000000000),1),Y$4:Y1673)),INDEX(F$4:F1673,MATCH(LARGE(FILTER(K$4:K1673,K$4:K1673&lt;1000000000),1),K$4:K1673)))),AND(K304&lt;1000000000,COUNTA(C304:C1673)&gt;0,P$3=FALSE),
ROUNDDOWN(INDEX(Y$4:Y1673,MATCH(LARGE(FILTER(W$4:W1673,W$4:W1673&lt;=I304),1),W$4:W1673"&amp;"))+(I304-LARGE(FILTER(W$4:W1673,W$4:W1673&lt;=I304),1))*INDEX(T$4:T1673,MATCH(LARGE(FILTER(W$4:W1673,W$4:W1673&lt;=I304),1),W$4:W1673))-K304),1,
ROUNDDOWN(Y304-INDEX(K$4:K1673,MATCH(LARGE(FILTER(I$4:I1673,I$4:I1673&lt;=W304),1),I$4:I1673))-(W304-LARGE(FILTER(I$4:I"&amp;"1673,I$4:I1673&lt;=W304),1))*INDEX(F$4:F1673,MATCH(LARGE(FILTER(I$4:I1673,I$4:I1673&lt;=W304),1),I$4:I1673))))"),7.3140727E7)</f>
        <v>73140727</v>
      </c>
      <c r="N304" s="60">
        <f t="shared" si="8"/>
        <v>-178.39419</v>
      </c>
      <c r="O304" s="61" t="str">
        <f t="shared" si="9"/>
        <v>73,1M</v>
      </c>
      <c r="P304" s="56">
        <f t="shared" si="10"/>
        <v>18</v>
      </c>
      <c r="Q304" s="105" t="s">
        <v>6</v>
      </c>
      <c r="R304" s="10"/>
      <c r="S304" s="59">
        <f t="array" ref="S304">IF(COUNTA(Q304:Q1673)=0,"",SUM((COUNTIF(Q$4:Q304,Upgrades!$B$3:$B$13)-COUNTIF(Q$4:Q304,"Sell_"&amp;Upgrades!$B$3:$B$13))*Upgrades!$D$3:$D$13))</f>
        <v>431097.2</v>
      </c>
      <c r="T304" s="66">
        <f>IFERROR(__xludf.DUMMYFUNCTION("IF(COUNTA(Q304:Q1673)=0,"""",IF(REGEXMATCH(INDEX(FILTER(Q$4:Q304,Q$4:Q304&lt;&gt;""""),ROWS(FILTER(Q$4:Q304,Q$4:Q304&lt;&gt;""""))),""^Sell_""),INDEX(FILTER(T$4:T303,Q$4:Q303&lt;&gt;""""),ROWS(FILTER(Q$4:Q303,Q$4:Q303&lt;&gt;""""))),$AD$5+S304))"),431112.2)</f>
        <v>431112.2</v>
      </c>
      <c r="U304" s="10">
        <f>IFERROR(__xludf.DUMMYFUNCTION("IF(COUNTA(Q304:Q1673)=0,"""",IF(Q304="""",0,IF(REGEXMATCH(Q304,""^Sell_""),-ROUNDDOWN(ROUNDUP(INDEX(Upgrades!$C$3:$C$13,MATCH(SUBSTITUTE(Q304,""Sell_"",""""),Upgrades!$B$3:$B$13,0))*1.15^(COUNTIF(Q$4:Q303,SUBSTITUTE(Q304,""Sell_"",""""))-COUNTIF(Q$4:Q303,"&amp;"""Sell_""&amp;SUBSTITUTE(Q304,""Sell_"",""""))))/2),ROUNDUP(INDEX(Upgrades!$C$3:$C$13,MATCH(Q304,Upgrades!$B$3:$B$13,0))*1.15^(COUNTIF(Q$4:Q303,Q304)-COUNTIF(Q$4:Q303,""Sell_""&amp;Q304))))))"),32284.0)</f>
        <v>32284</v>
      </c>
      <c r="V304" s="10">
        <f t="shared" si="11"/>
        <v>32284</v>
      </c>
      <c r="W304" s="68">
        <f t="shared" si="12"/>
        <v>6951.341453</v>
      </c>
      <c r="X304" s="59" t="str">
        <f t="shared" si="13"/>
        <v>1h 55m 51s</v>
      </c>
      <c r="Y304" s="69">
        <f t="shared" si="14"/>
        <v>640193199</v>
      </c>
      <c r="Z304" s="11"/>
    </row>
    <row r="305">
      <c r="A305" s="8"/>
      <c r="B305" s="56" t="str">
        <f t="shared" si="2"/>
        <v/>
      </c>
      <c r="C305" s="105"/>
      <c r="D305" s="10"/>
      <c r="E305" s="59" t="str">
        <f t="array" ref="E305">IF(COUNTA(C305:C1673)=0,"",SUM((COUNTIF(C$4:C305,Upgrades!$B$3:$B$13)-COUNTIF(C$4:C305,"Sell_"&amp;Upgrades!$B$3:$B$13))*Upgrades!$D$3:$D$13))</f>
        <v/>
      </c>
      <c r="F305" s="66" t="str">
        <f>IFERROR(__xludf.DUMMYFUNCTION("IF(COUNTA(C305:C1673)=0,"""",IF(REGEXMATCH(INDEX(FILTER(C$4:C305,C$4:C305&lt;&gt;""""),ROWS(FILTER(C$4:C305,C$4:C305&lt;&gt;""""))),""^Sell_""),INDEX(FILTER(F$4:F304,C$4:C304&lt;&gt;""""),ROWS(FILTER(C$4:C304,C$4:C304&lt;&gt;""""))),$AC$5+E305))"),"")</f>
        <v/>
      </c>
      <c r="G305" s="10" t="str">
        <f>IFERROR(__xludf.DUMMYFUNCTION("IF(COUNTA(C305:C1673)=0,"""",IF(C305="""",0,IF(REGEXMATCH(C305,""^Sell_""),-ROUNDDOWN(ROUNDUP(INDEX(Upgrades!$C$3:$C$13,MATCH(SUBSTITUTE(C305,""Sell_"",""""),Upgrades!$B$3:$B$13,0))*1.15^(COUNTIF(C$4:C304,SUBSTITUTE(C305,""Sell_"",""""))-COUNTIF(C$4:C304,"&amp;"""Sell_""&amp;SUBSTITUTE(C305,""Sell_"",""""))))/2),ROUNDUP(INDEX(Upgrades!$C$3:$C$13,MATCH(C305,Upgrades!$B$3:$B$13,0))*1.15^(COUNTIF(C$4:C304,C305)-COUNTIF(C$4:C304,""Sell_""&amp;C305))))))"),"")</f>
        <v/>
      </c>
      <c r="H305" s="10" t="str">
        <f t="shared" si="3"/>
        <v/>
      </c>
      <c r="I305" s="68" t="str">
        <f t="shared" si="4"/>
        <v/>
      </c>
      <c r="J305" s="59" t="str">
        <f t="shared" si="5"/>
        <v/>
      </c>
      <c r="K305" s="69" t="str">
        <f t="shared" si="6"/>
        <v/>
      </c>
      <c r="L305" s="60">
        <f t="shared" si="7"/>
        <v>-178.39423</v>
      </c>
      <c r="M305" s="61">
        <f>IFERROR(__xludf.DUMMYFUNCTION("IFS(AND(COUNTA(C305:C1673)=0,COUNTA(Q305:Q1673)=0),"""",OR(AND(K305&gt;=1000000000,OR(Y305&gt;=1000000000,COUNTA(Q305:Q1673)=0)),OR(Y305&gt;=1000000000,AND(COUNTA(C305:C1673)=0,P$3=TRUE))),
ROUNDDOWN((AB$1-AC$1)*MAX(INDEX(T$4:T1673,MATCH(LARGE(FILTER(Y$4:Y1673,Y$4"&amp;":Y1673&lt;1000000000),1),Y$4:Y1673)),INDEX(F$4:F1673,MATCH(LARGE(FILTER(K$4:K1673,K$4:K1673&lt;1000000000),1),K$4:K1673)))),AND(K305&lt;1000000000,COUNTA(C305:C1673)&gt;0,P$3=FALSE),
ROUNDDOWN(INDEX(Y$4:Y1673,MATCH(LARGE(FILTER(W$4:W1673,W$4:W1673&lt;=I305),1),W$4:W1673"&amp;"))+(I305-LARGE(FILTER(W$4:W1673,W$4:W1673&lt;=I305),1))*INDEX(T$4:T1673,MATCH(LARGE(FILTER(W$4:W1673,W$4:W1673&lt;=I305),1),W$4:W1673))-K305),1,
ROUNDDOWN(Y305-INDEX(K$4:K1673,MATCH(LARGE(FILTER(I$4:I1673,I$4:I1673&lt;=W305),1),I$4:I1673))-(W305-LARGE(FILTER(I$4:I"&amp;"1673,I$4:I1673&lt;=W305),1))*INDEX(F$4:F1673,MATCH(LARGE(FILTER(I$4:I1673,I$4:I1673&lt;=W305),1),I$4:I1673))))"),7.3140743E7)</f>
        <v>73140743</v>
      </c>
      <c r="N305" s="60">
        <f t="shared" si="8"/>
        <v>-178.39423</v>
      </c>
      <c r="O305" s="61" t="str">
        <f t="shared" si="9"/>
        <v>73,1M</v>
      </c>
      <c r="P305" s="56">
        <f t="shared" si="10"/>
        <v>23</v>
      </c>
      <c r="Q305" s="105" t="s">
        <v>3</v>
      </c>
      <c r="R305" s="10"/>
      <c r="S305" s="59">
        <f t="array" ref="S305">IF(COUNTA(Q305:Q1673)=0,"",SUM((COUNTIF(Q$4:Q305,Upgrades!$B$3:$B$13)-COUNTIF(Q$4:Q305,"Sell_"&amp;Upgrades!$B$3:$B$13))*Upgrades!$D$3:$D$13))</f>
        <v>431097.3</v>
      </c>
      <c r="T305" s="66">
        <f>IFERROR(__xludf.DUMMYFUNCTION("IF(COUNTA(Q305:Q1673)=0,"""",IF(REGEXMATCH(INDEX(FILTER(Q$4:Q305,Q$4:Q305&lt;&gt;""""),ROWS(FILTER(Q$4:Q305,Q$4:Q305&lt;&gt;""""))),""^Sell_""),INDEX(FILTER(T$4:T304,Q$4:Q304&lt;&gt;""""),ROWS(FILTER(Q$4:Q304,Q$4:Q304&lt;&gt;""""))),$AD$5+S305))"),431112.3)</f>
        <v>431112.3</v>
      </c>
      <c r="U305" s="10">
        <f>IFERROR(__xludf.DUMMYFUNCTION("IF(COUNTA(Q305:Q1673)=0,"""",IF(Q305="""",0,IF(REGEXMATCH(Q305,""^Sell_""),-ROUNDDOWN(ROUNDUP(INDEX(Upgrades!$C$3:$C$13,MATCH(SUBSTITUTE(Q305,""Sell_"",""""),Upgrades!$B$3:$B$13,0))*1.15^(COUNTIF(Q$4:Q304,SUBSTITUTE(Q305,""Sell_"",""""))-COUNTIF(Q$4:Q304,"&amp;"""Sell_""&amp;SUBSTITUTE(Q305,""Sell_"",""""))))/2),ROUNDUP(INDEX(Upgrades!$C$3:$C$13,MATCH(Q305,Upgrades!$B$3:$B$13,0))*1.15^(COUNTIF(Q$4:Q304,Q305)-COUNTIF(Q$4:Q304,""Sell_""&amp;Q305))))))"),325.0)</f>
        <v>325</v>
      </c>
      <c r="V305" s="10">
        <f t="shared" si="11"/>
        <v>325</v>
      </c>
      <c r="W305" s="68">
        <f t="shared" si="12"/>
        <v>6951.342207</v>
      </c>
      <c r="X305" s="59" t="str">
        <f t="shared" si="13"/>
        <v>1h 55m 51s</v>
      </c>
      <c r="Y305" s="69">
        <f t="shared" si="14"/>
        <v>640193524</v>
      </c>
      <c r="Z305" s="11"/>
    </row>
    <row r="306">
      <c r="A306" s="8"/>
      <c r="B306" s="56" t="str">
        <f t="shared" si="2"/>
        <v/>
      </c>
      <c r="C306" s="105"/>
      <c r="D306" s="10"/>
      <c r="E306" s="59" t="str">
        <f t="array" ref="E306">IF(COUNTA(C306:C1673)=0,"",SUM((COUNTIF(C$4:C306,Upgrades!$B$3:$B$13)-COUNTIF(C$4:C306,"Sell_"&amp;Upgrades!$B$3:$B$13))*Upgrades!$D$3:$D$13))</f>
        <v/>
      </c>
      <c r="F306" s="66" t="str">
        <f>IFERROR(__xludf.DUMMYFUNCTION("IF(COUNTA(C306:C1673)=0,"""",IF(REGEXMATCH(INDEX(FILTER(C$4:C306,C$4:C306&lt;&gt;""""),ROWS(FILTER(C$4:C306,C$4:C306&lt;&gt;""""))),""^Sell_""),INDEX(FILTER(F$4:F305,C$4:C305&lt;&gt;""""),ROWS(FILTER(C$4:C305,C$4:C305&lt;&gt;""""))),$AC$5+E306))"),"")</f>
        <v/>
      </c>
      <c r="G306" s="10" t="str">
        <f>IFERROR(__xludf.DUMMYFUNCTION("IF(COUNTA(C306:C1673)=0,"""",IF(C306="""",0,IF(REGEXMATCH(C306,""^Sell_""),-ROUNDDOWN(ROUNDUP(INDEX(Upgrades!$C$3:$C$13,MATCH(SUBSTITUTE(C306,""Sell_"",""""),Upgrades!$B$3:$B$13,0))*1.15^(COUNTIF(C$4:C305,SUBSTITUTE(C306,""Sell_"",""""))-COUNTIF(C$4:C305,"&amp;"""Sell_""&amp;SUBSTITUTE(C306,""Sell_"",""""))))/2),ROUNDUP(INDEX(Upgrades!$C$3:$C$13,MATCH(C306,Upgrades!$B$3:$B$13,0))*1.15^(COUNTIF(C$4:C305,C306)-COUNTIF(C$4:C305,""Sell_""&amp;C306))))))"),"")</f>
        <v/>
      </c>
      <c r="H306" s="10" t="str">
        <f t="shared" si="3"/>
        <v/>
      </c>
      <c r="I306" s="68" t="str">
        <f t="shared" si="4"/>
        <v/>
      </c>
      <c r="J306" s="59" t="str">
        <f t="shared" si="5"/>
        <v/>
      </c>
      <c r="K306" s="69" t="str">
        <f t="shared" si="6"/>
        <v/>
      </c>
      <c r="L306" s="60">
        <f t="shared" si="7"/>
        <v>-178.43311</v>
      </c>
      <c r="M306" s="61">
        <f>IFERROR(__xludf.DUMMYFUNCTION("IFS(AND(COUNTA(C306:C1673)=0,COUNTA(Q306:Q1673)=0),"""",OR(AND(K306&gt;=1000000000,OR(Y306&gt;=1000000000,COUNTA(Q306:Q1673)=0)),OR(Y306&gt;=1000000000,AND(COUNTA(C306:C1673)=0,P$3=TRUE))),
ROUNDDOWN((AB$1-AC$1)*MAX(INDEX(T$4:T1673,MATCH(LARGE(FILTER(Y$4:Y1673,Y$4"&amp;":Y1673&lt;1000000000),1),Y$4:Y1673)),INDEX(F$4:F1673,MATCH(LARGE(FILTER(K$4:K1673,K$4:K1673&lt;1000000000),1),K$4:K1673)))),AND(K306&lt;1000000000,COUNTA(C306:C1673)&gt;0,P$3=FALSE),
ROUNDDOWN(INDEX(Y$4:Y1673,MATCH(LARGE(FILTER(W$4:W1673,W$4:W1673&lt;=I306),1),W$4:W1673"&amp;"))+(I306-LARGE(FILTER(W$4:W1673,W$4:W1673&lt;=I306),1))*INDEX(T$4:T1673,MATCH(LARGE(FILTER(W$4:W1673,W$4:W1673&lt;=I306),1),W$4:W1673))-K306),1,
ROUNDDOWN(Y306-INDEX(K$4:K1673,MATCH(LARGE(FILTER(I$4:I1673,I$4:I1673&lt;=W306),1),I$4:I1673))-(W306-LARGE(FILTER(I$4:I"&amp;"1673,I$4:I1673&lt;=W306),1))*INDEX(F$4:F1673,MATCH(LARGE(FILTER(I$4:I1673,I$4:I1673&lt;=W306),1),I$4:I1673))))"),7.3156686E7)</f>
        <v>73156686</v>
      </c>
      <c r="N306" s="60">
        <f t="shared" si="8"/>
        <v>-178.43311</v>
      </c>
      <c r="O306" s="61" t="str">
        <f t="shared" si="9"/>
        <v>73,2M</v>
      </c>
      <c r="P306" s="56">
        <f t="shared" si="10"/>
        <v>16</v>
      </c>
      <c r="Q306" s="105" t="s">
        <v>8</v>
      </c>
      <c r="R306" s="10"/>
      <c r="S306" s="59">
        <f t="array" ref="S306">IF(COUNTA(Q306:Q1673)=0,"",SUM((COUNTIF(Q$4:Q306,Upgrades!$B$3:$B$13)-COUNTIF(Q$4:Q306,"Sell_"&amp;Upgrades!$B$3:$B$13))*Upgrades!$D$3:$D$13))</f>
        <v>431197.3</v>
      </c>
      <c r="T306" s="66">
        <f>IFERROR(__xludf.DUMMYFUNCTION("IF(COUNTA(Q306:Q1673)=0,"""",IF(REGEXMATCH(INDEX(FILTER(Q$4:Q306,Q$4:Q306&lt;&gt;""""),ROWS(FILTER(Q$4:Q306,Q$4:Q306&lt;&gt;""""))),""^Sell_""),INDEX(FILTER(T$4:T305,Q$4:Q305&lt;&gt;""""),ROWS(FILTER(Q$4:Q305,Q$4:Q305&lt;&gt;""""))),$AD$5+S306))"),431212.3)</f>
        <v>431212.3</v>
      </c>
      <c r="U306" s="10">
        <f>IFERROR(__xludf.DUMMYFUNCTION("IF(COUNTA(Q306:Q1673)=0,"""",IF(Q306="""",0,IF(REGEXMATCH(Q306,""^Sell_""),-ROUNDDOWN(ROUNDUP(INDEX(Upgrades!$C$3:$C$13,MATCH(SUBSTITUTE(Q306,""Sell_"",""""),Upgrades!$B$3:$B$13,0))*1.15^(COUNTIF(Q$4:Q305,SUBSTITUTE(Q306,""Sell_"",""""))-COUNTIF(Q$4:Q305,"&amp;"""Sell_""&amp;SUBSTITUTE(Q306,""Sell_"",""""))))/2),ROUNDUP(INDEX(Upgrades!$C$3:$C$13,MATCH(Q306,Upgrades!$B$3:$B$13,0))*1.15^(COUNTIF(Q$4:Q305,Q306)-COUNTIF(Q$4:Q305,""Sell_""&amp;Q306))))))"),325483.0)</f>
        <v>325483</v>
      </c>
      <c r="V306" s="10">
        <f t="shared" si="11"/>
        <v>325483</v>
      </c>
      <c r="W306" s="68">
        <f t="shared" si="12"/>
        <v>6952.097191</v>
      </c>
      <c r="X306" s="59" t="str">
        <f t="shared" si="13"/>
        <v>1h 55m 52s</v>
      </c>
      <c r="Y306" s="69">
        <f t="shared" si="14"/>
        <v>640519007</v>
      </c>
      <c r="Z306" s="11"/>
    </row>
    <row r="307">
      <c r="A307" s="8"/>
      <c r="B307" s="56" t="str">
        <f t="shared" si="2"/>
        <v/>
      </c>
      <c r="C307" s="105"/>
      <c r="D307" s="10"/>
      <c r="E307" s="59" t="str">
        <f t="array" ref="E307">IF(COUNTA(C307:C1673)=0,"",SUM((COUNTIF(C$4:C307,Upgrades!$B$3:$B$13)-COUNTIF(C$4:C307,"Sell_"&amp;Upgrades!$B$3:$B$13))*Upgrades!$D$3:$D$13))</f>
        <v/>
      </c>
      <c r="F307" s="66" t="str">
        <f>IFERROR(__xludf.DUMMYFUNCTION("IF(COUNTA(C307:C1673)=0,"""",IF(REGEXMATCH(INDEX(FILTER(C$4:C307,C$4:C307&lt;&gt;""""),ROWS(FILTER(C$4:C307,C$4:C307&lt;&gt;""""))),""^Sell_""),INDEX(FILTER(F$4:F306,C$4:C306&lt;&gt;""""),ROWS(FILTER(C$4:C306,C$4:C306&lt;&gt;""""))),$AC$5+E307))"),"")</f>
        <v/>
      </c>
      <c r="G307" s="10" t="str">
        <f>IFERROR(__xludf.DUMMYFUNCTION("IF(COUNTA(C307:C1673)=0,"""",IF(C307="""",0,IF(REGEXMATCH(C307,""^Sell_""),-ROUNDDOWN(ROUNDUP(INDEX(Upgrades!$C$3:$C$13,MATCH(SUBSTITUTE(C307,""Sell_"",""""),Upgrades!$B$3:$B$13,0))*1.15^(COUNTIF(C$4:C306,SUBSTITUTE(C307,""Sell_"",""""))-COUNTIF(C$4:C306,"&amp;"""Sell_""&amp;SUBSTITUTE(C307,""Sell_"",""""))))/2),ROUNDUP(INDEX(Upgrades!$C$3:$C$13,MATCH(C307,Upgrades!$B$3:$B$13,0))*1.15^(COUNTIF(C$4:C306,C307)-COUNTIF(C$4:C306,""Sell_""&amp;C307))))))"),"")</f>
        <v/>
      </c>
      <c r="H307" s="10" t="str">
        <f t="shared" si="3"/>
        <v/>
      </c>
      <c r="I307" s="68" t="str">
        <f t="shared" si="4"/>
        <v/>
      </c>
      <c r="J307" s="59" t="str">
        <f t="shared" si="5"/>
        <v/>
      </c>
      <c r="K307" s="69" t="str">
        <f t="shared" si="6"/>
        <v/>
      </c>
      <c r="L307" s="60">
        <f t="shared" si="7"/>
        <v>-178.43331</v>
      </c>
      <c r="M307" s="61">
        <f>IFERROR(__xludf.DUMMYFUNCTION("IFS(AND(COUNTA(C307:C1673)=0,COUNTA(Q307:Q1673)=0),"""",OR(AND(K307&gt;=1000000000,OR(Y307&gt;=1000000000,COUNTA(Q307:Q1673)=0)),OR(Y307&gt;=1000000000,AND(COUNTA(C307:C1673)=0,P$3=TRUE))),
ROUNDDOWN((AB$1-AC$1)*MAX(INDEX(T$4:T1673,MATCH(LARGE(FILTER(Y$4:Y1673,Y$4"&amp;":Y1673&lt;1000000000),1),Y$4:Y1673)),INDEX(F$4:F1673,MATCH(LARGE(FILTER(K$4:K1673,K$4:K1673&lt;1000000000),1),K$4:K1673)))),AND(K307&lt;1000000000,COUNTA(C307:C1673)&gt;0,P$3=FALSE),
ROUNDDOWN(INDEX(Y$4:Y1673,MATCH(LARGE(FILTER(W$4:W1673,W$4:W1673&lt;=I307),1),W$4:W1673"&amp;"))+(I307-LARGE(FILTER(W$4:W1673,W$4:W1673&lt;=I307),1))*INDEX(T$4:T1673,MATCH(LARGE(FILTER(W$4:W1673,W$4:W1673&lt;=I307),1),W$4:W1673))-K307),1,
ROUNDDOWN(Y307-INDEX(K$4:K1673,MATCH(LARGE(FILTER(I$4:I1673,I$4:I1673&lt;=W307),1),I$4:I1673))-(W307-LARGE(FILTER(I$4:I"&amp;"1673,I$4:I1673&lt;=W307),1))*INDEX(F$4:F1673,MATCH(LARGE(FILTER(I$4:I1673,I$4:I1673&lt;=W307),1),I$4:I1673))))"),7.3156767E7)</f>
        <v>73156767</v>
      </c>
      <c r="N307" s="60">
        <f t="shared" si="8"/>
        <v>-178.43331</v>
      </c>
      <c r="O307" s="61" t="str">
        <f t="shared" si="9"/>
        <v>73,2M</v>
      </c>
      <c r="P307" s="56">
        <f t="shared" si="10"/>
        <v>21</v>
      </c>
      <c r="Q307" s="105" t="s">
        <v>4</v>
      </c>
      <c r="R307" s="10"/>
      <c r="S307" s="59">
        <f t="array" ref="S307">IF(COUNTA(Q307:Q1673)=0,"",SUM((COUNTIF(Q$4:Q307,Upgrades!$B$3:$B$13)-COUNTIF(Q$4:Q307,"Sell_"&amp;Upgrades!$B$3:$B$13))*Upgrades!$D$3:$D$13))</f>
        <v>431197.8</v>
      </c>
      <c r="T307" s="66">
        <f>IFERROR(__xludf.DUMMYFUNCTION("IF(COUNTA(Q307:Q1673)=0,"""",IF(REGEXMATCH(INDEX(FILTER(Q$4:Q307,Q$4:Q307&lt;&gt;""""),ROWS(FILTER(Q$4:Q307,Q$4:Q307&lt;&gt;""""))),""^Sell_""),INDEX(FILTER(T$4:T306,Q$4:Q306&lt;&gt;""""),ROWS(FILTER(Q$4:Q306,Q$4:Q306&lt;&gt;""""))),$AD$5+S307))"),431212.8)</f>
        <v>431212.8</v>
      </c>
      <c r="U307" s="10">
        <f>IFERROR(__xludf.DUMMYFUNCTION("IF(COUNTA(Q307:Q1673)=0,"""",IF(Q307="""",0,IF(REGEXMATCH(Q307,""^Sell_""),-ROUNDDOWN(ROUNDUP(INDEX(Upgrades!$C$3:$C$13,MATCH(SUBSTITUTE(Q307,""Sell_"",""""),Upgrades!$B$3:$B$13,0))*1.15^(COUNTIF(Q$4:Q306,SUBSTITUTE(Q307,""Sell_"",""""))-COUNTIF(Q$4:Q306,"&amp;"""Sell_""&amp;SUBSTITUTE(Q307,""Sell_"",""""))))/2),ROUNDUP(INDEX(Upgrades!$C$3:$C$13,MATCH(Q307,Upgrades!$B$3:$B$13,0))*1.15^(COUNTIF(Q$4:Q306,Q307)-COUNTIF(Q$4:Q306,""Sell_""&amp;Q307))))))"),1637.0)</f>
        <v>1637</v>
      </c>
      <c r="V307" s="10">
        <f t="shared" si="11"/>
        <v>1637</v>
      </c>
      <c r="W307" s="68">
        <f t="shared" si="12"/>
        <v>6952.100987</v>
      </c>
      <c r="X307" s="59" t="str">
        <f t="shared" si="13"/>
        <v>1h 55m 52s</v>
      </c>
      <c r="Y307" s="69">
        <f t="shared" si="14"/>
        <v>640520644</v>
      </c>
      <c r="Z307" s="11"/>
    </row>
    <row r="308">
      <c r="A308" s="8"/>
      <c r="B308" s="56" t="str">
        <f t="shared" si="2"/>
        <v/>
      </c>
      <c r="C308" s="105"/>
      <c r="D308" s="10"/>
      <c r="E308" s="59" t="str">
        <f t="array" ref="E308">IF(COUNTA(C308:C1673)=0,"",SUM((COUNTIF(C$4:C308,Upgrades!$B$3:$B$13)-COUNTIF(C$4:C308,"Sell_"&amp;Upgrades!$B$3:$B$13))*Upgrades!$D$3:$D$13))</f>
        <v/>
      </c>
      <c r="F308" s="66" t="str">
        <f>IFERROR(__xludf.DUMMYFUNCTION("IF(COUNTA(C308:C1673)=0,"""",IF(REGEXMATCH(INDEX(FILTER(C$4:C308,C$4:C308&lt;&gt;""""),ROWS(FILTER(C$4:C308,C$4:C308&lt;&gt;""""))),""^Sell_""),INDEX(FILTER(F$4:F307,C$4:C307&lt;&gt;""""),ROWS(FILTER(C$4:C307,C$4:C307&lt;&gt;""""))),$AC$5+E308))"),"")</f>
        <v/>
      </c>
      <c r="G308" s="10" t="str">
        <f>IFERROR(__xludf.DUMMYFUNCTION("IF(COUNTA(C308:C1673)=0,"""",IF(C308="""",0,IF(REGEXMATCH(C308,""^Sell_""),-ROUNDDOWN(ROUNDUP(INDEX(Upgrades!$C$3:$C$13,MATCH(SUBSTITUTE(C308,""Sell_"",""""),Upgrades!$B$3:$B$13,0))*1.15^(COUNTIF(C$4:C307,SUBSTITUTE(C308,""Sell_"",""""))-COUNTIF(C$4:C307,"&amp;"""Sell_""&amp;SUBSTITUTE(C308,""Sell_"",""""))))/2),ROUNDUP(INDEX(Upgrades!$C$3:$C$13,MATCH(C308,Upgrades!$B$3:$B$13,0))*1.15^(COUNTIF(C$4:C307,C308)-COUNTIF(C$4:C307,""Sell_""&amp;C308))))))"),"")</f>
        <v/>
      </c>
      <c r="H308" s="10" t="str">
        <f t="shared" si="3"/>
        <v/>
      </c>
      <c r="I308" s="68" t="str">
        <f t="shared" si="4"/>
        <v/>
      </c>
      <c r="J308" s="59" t="str">
        <f t="shared" si="5"/>
        <v/>
      </c>
      <c r="K308" s="69" t="str">
        <f t="shared" si="6"/>
        <v/>
      </c>
      <c r="L308" s="60">
        <f t="shared" si="7"/>
        <v>-178.60315</v>
      </c>
      <c r="M308" s="61">
        <f>IFERROR(__xludf.DUMMYFUNCTION("IFS(AND(COUNTA(C308:C1673)=0,COUNTA(Q308:Q1673)=0),"""",OR(AND(K308&gt;=1000000000,OR(Y308&gt;=1000000000,COUNTA(Q308:Q1673)=0)),OR(Y308&gt;=1000000000,AND(COUNTA(C308:C1673)=0,P$3=TRUE))),
ROUNDDOWN((AB$1-AC$1)*MAX(INDEX(T$4:T1673,MATCH(LARGE(FILTER(Y$4:Y1673,Y$4"&amp;":Y1673&lt;1000000000),1),Y$4:Y1673)),INDEX(F$4:F1673,MATCH(LARGE(FILTER(K$4:K1673,K$4:K1673&lt;1000000000),1),K$4:K1673)))),AND(K308&lt;1000000000,COUNTA(C308:C1673)&gt;0,P$3=FALSE),
ROUNDDOWN(INDEX(Y$4:Y1673,MATCH(LARGE(FILTER(W$4:W1673,W$4:W1673&lt;=I308),1),W$4:W1673"&amp;"))+(I308-LARGE(FILTER(W$4:W1673,W$4:W1673&lt;=I308),1))*INDEX(T$4:T1673,MATCH(LARGE(FILTER(W$4:W1673,W$4:W1673&lt;=I308),1),W$4:W1673))-K308),1,
ROUNDDOWN(Y308-INDEX(K$4:K1673,MATCH(LARGE(FILTER(I$4:I1673,I$4:I1673&lt;=W308),1),I$4:I1673))-(W308-LARGE(FILTER(I$4:I"&amp;"1673,I$4:I1673&lt;=W308),1))*INDEX(F$4:F1673,MATCH(LARGE(FILTER(I$4:I1673,I$4:I1673&lt;=W308),1),I$4:I1673))))"),7.3226399E7)</f>
        <v>73226399</v>
      </c>
      <c r="N308" s="60">
        <f t="shared" si="8"/>
        <v>-178.60315</v>
      </c>
      <c r="O308" s="61" t="str">
        <f t="shared" si="9"/>
        <v>73,2M</v>
      </c>
      <c r="P308" s="56">
        <f t="shared" si="10"/>
        <v>15</v>
      </c>
      <c r="Q308" s="105" t="s">
        <v>9</v>
      </c>
      <c r="R308" s="10"/>
      <c r="S308" s="59">
        <f t="array" ref="S308">IF(COUNTA(Q308:Q1673)=0,"",SUM((COUNTIF(Q$4:Q308,Upgrades!$B$3:$B$13)-COUNTIF(Q$4:Q308,"Sell_"&amp;Upgrades!$B$3:$B$13))*Upgrades!$D$3:$D$13))</f>
        <v>431597.8</v>
      </c>
      <c r="T308" s="66">
        <f>IFERROR(__xludf.DUMMYFUNCTION("IF(COUNTA(Q308:Q1673)=0,"""",IF(REGEXMATCH(INDEX(FILTER(Q$4:Q308,Q$4:Q308&lt;&gt;""""),ROWS(FILTER(Q$4:Q308,Q$4:Q308&lt;&gt;""""))),""^Sell_""),INDEX(FILTER(T$4:T307,Q$4:Q307&lt;&gt;""""),ROWS(FILTER(Q$4:Q307,Q$4:Q307&lt;&gt;""""))),$AD$5+S308))"),431612.8)</f>
        <v>431612.8</v>
      </c>
      <c r="U308" s="10">
        <f>IFERROR(__xludf.DUMMYFUNCTION("IF(COUNTA(Q308:Q1673)=0,"""",IF(Q308="""",0,IF(REGEXMATCH(Q308,""^Sell_""),-ROUNDDOWN(ROUNDUP(INDEX(Upgrades!$C$3:$C$13,MATCH(SUBSTITUTE(Q308,""Sell_"",""""),Upgrades!$B$3:$B$13,0))*1.15^(COUNTIF(Q$4:Q307,SUBSTITUTE(Q308,""Sell_"",""""))-COUNTIF(Q$4:Q307,"&amp;"""Sell_""&amp;SUBSTITUTE(Q308,""Sell_"",""""))))/2),ROUNDUP(INDEX(Upgrades!$C$3:$C$13,MATCH(Q308,Upgrades!$B$3:$B$13,0))*1.15^(COUNTIF(Q$4:Q307,Q308)-COUNTIF(Q$4:Q307,""Sell_""&amp;Q308))))))"),1415142.0)</f>
        <v>1415142</v>
      </c>
      <c r="V308" s="10">
        <f t="shared" si="11"/>
        <v>1415142</v>
      </c>
      <c r="W308" s="68">
        <f t="shared" si="12"/>
        <v>6955.382759</v>
      </c>
      <c r="X308" s="59" t="str">
        <f t="shared" si="13"/>
        <v>1h 55m 55s</v>
      </c>
      <c r="Y308" s="69">
        <f t="shared" si="14"/>
        <v>641935786</v>
      </c>
      <c r="Z308" s="11"/>
    </row>
    <row r="309">
      <c r="A309" s="8"/>
      <c r="B309" s="56" t="str">
        <f t="shared" si="2"/>
        <v/>
      </c>
      <c r="C309" s="105"/>
      <c r="D309" s="10"/>
      <c r="E309" s="59" t="str">
        <f t="array" ref="E309">IF(COUNTA(C309:C1673)=0,"",SUM((COUNTIF(C$4:C309,Upgrades!$B$3:$B$13)-COUNTIF(C$4:C309,"Sell_"&amp;Upgrades!$B$3:$B$13))*Upgrades!$D$3:$D$13))</f>
        <v/>
      </c>
      <c r="F309" s="66" t="str">
        <f>IFERROR(__xludf.DUMMYFUNCTION("IF(COUNTA(C309:C1673)=0,"""",IF(REGEXMATCH(INDEX(FILTER(C$4:C309,C$4:C309&lt;&gt;""""),ROWS(FILTER(C$4:C309,C$4:C309&lt;&gt;""""))),""^Sell_""),INDEX(FILTER(F$4:F308,C$4:C308&lt;&gt;""""),ROWS(FILTER(C$4:C308,C$4:C308&lt;&gt;""""))),$AC$5+E309))"),"")</f>
        <v/>
      </c>
      <c r="G309" s="10" t="str">
        <f>IFERROR(__xludf.DUMMYFUNCTION("IF(COUNTA(C309:C1673)=0,"""",IF(C309="""",0,IF(REGEXMATCH(C309,""^Sell_""),-ROUNDDOWN(ROUNDUP(INDEX(Upgrades!$C$3:$C$13,MATCH(SUBSTITUTE(C309,""Sell_"",""""),Upgrades!$B$3:$B$13,0))*1.15^(COUNTIF(C$4:C308,SUBSTITUTE(C309,""Sell_"",""""))-COUNTIF(C$4:C308,"&amp;"""Sell_""&amp;SUBSTITUTE(C309,""Sell_"",""""))))/2),ROUNDUP(INDEX(Upgrades!$C$3:$C$13,MATCH(C309,Upgrades!$B$3:$B$13,0))*1.15^(COUNTIF(C$4:C308,C309)-COUNTIF(C$4:C308,""Sell_""&amp;C309))))))"),"")</f>
        <v/>
      </c>
      <c r="H309" s="10" t="str">
        <f t="shared" si="3"/>
        <v/>
      </c>
      <c r="I309" s="68" t="str">
        <f t="shared" si="4"/>
        <v/>
      </c>
      <c r="J309" s="59" t="str">
        <f t="shared" si="5"/>
        <v/>
      </c>
      <c r="K309" s="69" t="str">
        <f t="shared" si="6"/>
        <v/>
      </c>
      <c r="L309" s="60">
        <f t="shared" si="7"/>
        <v>-178.62053</v>
      </c>
      <c r="M309" s="61">
        <f>IFERROR(__xludf.DUMMYFUNCTION("IFS(AND(COUNTA(C309:C1673)=0,COUNTA(Q309:Q1673)=0),"""",OR(AND(K309&gt;=1000000000,OR(Y309&gt;=1000000000,COUNTA(Q309:Q1673)=0)),OR(Y309&gt;=1000000000,AND(COUNTA(C309:C1673)=0,P$3=TRUE))),
ROUNDDOWN((AB$1-AC$1)*MAX(INDEX(T$4:T1673,MATCH(LARGE(FILTER(Y$4:Y1673,Y$4"&amp;":Y1673&lt;1000000000),1),Y$4:Y1673)),INDEX(F$4:F1673,MATCH(LARGE(FILTER(K$4:K1673,K$4:K1673&lt;1000000000),1),K$4:K1673)))),AND(K309&lt;1000000000,COUNTA(C309:C1673)&gt;0,P$3=FALSE),
ROUNDDOWN(INDEX(Y$4:Y1673,MATCH(LARGE(FILTER(W$4:W1673,W$4:W1673&lt;=I309),1),W$4:W1673"&amp;"))+(I309-LARGE(FILTER(W$4:W1673,W$4:W1673&lt;=I309),1))*INDEX(T$4:T1673,MATCH(LARGE(FILTER(W$4:W1673,W$4:W1673&lt;=I309),1),W$4:W1673))-K309),1,
ROUNDDOWN(Y309-INDEX(K$4:K1673,MATCH(LARGE(FILTER(I$4:I1673,I$4:I1673&lt;=W309),1),I$4:I1673))-(W309-LARGE(FILTER(I$4:I"&amp;"1673,I$4:I1673&lt;=W309),1))*INDEX(F$4:F1673,MATCH(LARGE(FILTER(I$4:I1673,I$4:I1673&lt;=W309),1),I$4:I1673))))"),7.3233527E7)</f>
        <v>73233527</v>
      </c>
      <c r="N309" s="60">
        <f t="shared" si="8"/>
        <v>-178.62053</v>
      </c>
      <c r="O309" s="61" t="str">
        <f t="shared" si="9"/>
        <v>73,2M</v>
      </c>
      <c r="P309" s="56">
        <f t="shared" si="10"/>
        <v>20</v>
      </c>
      <c r="Q309" s="105" t="s">
        <v>7</v>
      </c>
      <c r="R309" s="10"/>
      <c r="S309" s="59">
        <f t="array" ref="S309">IF(COUNTA(Q309:Q1673)=0,"",SUM((COUNTIF(Q$4:Q309,Upgrades!$B$3:$B$13)-COUNTIF(Q$4:Q309,"Sell_"&amp;Upgrades!$B$3:$B$13))*Upgrades!$D$3:$D$13))</f>
        <v>431637.8</v>
      </c>
      <c r="T309" s="66">
        <f>IFERROR(__xludf.DUMMYFUNCTION("IF(COUNTA(Q309:Q1673)=0,"""",IF(REGEXMATCH(INDEX(FILTER(Q$4:Q309,Q$4:Q309&lt;&gt;""""),ROWS(FILTER(Q$4:Q309,Q$4:Q309&lt;&gt;""""))),""^Sell_""),INDEX(FILTER(T$4:T308,Q$4:Q308&lt;&gt;""""),ROWS(FILTER(Q$4:Q308,Q$4:Q308&lt;&gt;""""))),$AD$5+S309))"),431652.8)</f>
        <v>431652.8</v>
      </c>
      <c r="U309" s="10">
        <f>IFERROR(__xludf.DUMMYFUNCTION("IF(COUNTA(Q309:Q1673)=0,"""",IF(Q309="""",0,IF(REGEXMATCH(Q309,""^Sell_""),-ROUNDDOWN(ROUNDUP(INDEX(Upgrades!$C$3:$C$13,MATCH(SUBSTITUTE(Q309,""Sell_"",""""),Upgrades!$B$3:$B$13,0))*1.15^(COUNTIF(Q$4:Q308,SUBSTITUTE(Q309,""Sell_"",""""))-COUNTIF(Q$4:Q308,"&amp;"""Sell_""&amp;SUBSTITUTE(Q309,""Sell_"",""""))))/2),ROUNDUP(INDEX(Upgrades!$C$3:$C$13,MATCH(Q309,Upgrades!$B$3:$B$13,0))*1.15^(COUNTIF(Q$4:Q308,Q309)-COUNTIF(Q$4:Q308,""Sell_""&amp;Q309))))))"),142318.0)</f>
        <v>142318</v>
      </c>
      <c r="V309" s="10">
        <f t="shared" si="11"/>
        <v>142318</v>
      </c>
      <c r="W309" s="68">
        <f t="shared" si="12"/>
        <v>6955.712495</v>
      </c>
      <c r="X309" s="59" t="str">
        <f t="shared" si="13"/>
        <v>1h 55m 55s</v>
      </c>
      <c r="Y309" s="69">
        <f t="shared" si="14"/>
        <v>642078104</v>
      </c>
      <c r="Z309" s="11"/>
    </row>
    <row r="310">
      <c r="A310" s="8"/>
      <c r="B310" s="56" t="str">
        <f t="shared" si="2"/>
        <v/>
      </c>
      <c r="C310" s="105"/>
      <c r="D310" s="10"/>
      <c r="E310" s="59" t="str">
        <f t="array" ref="E310">IF(COUNTA(C310:C1673)=0,"",SUM((COUNTIF(C$4:C310,Upgrades!$B$3:$B$13)-COUNTIF(C$4:C310,"Sell_"&amp;Upgrades!$B$3:$B$13))*Upgrades!$D$3:$D$13))</f>
        <v/>
      </c>
      <c r="F310" s="66" t="str">
        <f>IFERROR(__xludf.DUMMYFUNCTION("IF(COUNTA(C310:C1673)=0,"""",IF(REGEXMATCH(INDEX(FILTER(C$4:C310,C$4:C310&lt;&gt;""""),ROWS(FILTER(C$4:C310,C$4:C310&lt;&gt;""""))),""^Sell_""),INDEX(FILTER(F$4:F309,C$4:C309&lt;&gt;""""),ROWS(FILTER(C$4:C309,C$4:C309&lt;&gt;""""))),$AC$5+E310))"),"")</f>
        <v/>
      </c>
      <c r="G310" s="10" t="str">
        <f>IFERROR(__xludf.DUMMYFUNCTION("IF(COUNTA(C310:C1673)=0,"""",IF(C310="""",0,IF(REGEXMATCH(C310,""^Sell_""),-ROUNDDOWN(ROUNDUP(INDEX(Upgrades!$C$3:$C$13,MATCH(SUBSTITUTE(C310,""Sell_"",""""),Upgrades!$B$3:$B$13,0))*1.15^(COUNTIF(C$4:C309,SUBSTITUTE(C310,""Sell_"",""""))-COUNTIF(C$4:C309,"&amp;"""Sell_""&amp;SUBSTITUTE(C310,""Sell_"",""""))))/2),ROUNDUP(INDEX(Upgrades!$C$3:$C$13,MATCH(C310,Upgrades!$B$3:$B$13,0))*1.15^(COUNTIF(C$4:C309,C310)-COUNTIF(C$4:C309,""Sell_""&amp;C310))))))"),"")</f>
        <v/>
      </c>
      <c r="H310" s="10" t="str">
        <f t="shared" si="3"/>
        <v/>
      </c>
      <c r="I310" s="68" t="str">
        <f t="shared" si="4"/>
        <v/>
      </c>
      <c r="J310" s="59" t="str">
        <f t="shared" si="5"/>
        <v/>
      </c>
      <c r="K310" s="69" t="str">
        <f t="shared" si="6"/>
        <v/>
      </c>
      <c r="L310" s="60">
        <f t="shared" si="7"/>
        <v>-178.62228</v>
      </c>
      <c r="M310" s="61">
        <f>IFERROR(__xludf.DUMMYFUNCTION("IFS(AND(COUNTA(C310:C1673)=0,COUNTA(Q310:Q1673)=0),"""",OR(AND(K310&gt;=1000000000,OR(Y310&gt;=1000000000,COUNTA(Q310:Q1673)=0)),OR(Y310&gt;=1000000000,AND(COUNTA(C310:C1673)=0,P$3=TRUE))),
ROUNDDOWN((AB$1-AC$1)*MAX(INDEX(T$4:T1673,MATCH(LARGE(FILTER(Y$4:Y1673,Y$4"&amp;":Y1673&lt;1000000000),1),Y$4:Y1673)),INDEX(F$4:F1673,MATCH(LARGE(FILTER(K$4:K1673,K$4:K1673&lt;1000000000),1),K$4:K1673)))),AND(K310&lt;1000000000,COUNTA(C310:C1673)&gt;0,P$3=FALSE),
ROUNDDOWN(INDEX(Y$4:Y1673,MATCH(LARGE(FILTER(W$4:W1673,W$4:W1673&lt;=I310),1),W$4:W1673"&amp;"))+(I310-LARGE(FILTER(W$4:W1673,W$4:W1673&lt;=I310),1))*INDEX(T$4:T1673,MATCH(LARGE(FILTER(W$4:W1673,W$4:W1673&lt;=I310),1),W$4:W1673))-K310),1,
ROUNDDOWN(Y310-INDEX(K$4:K1673,MATCH(LARGE(FILTER(I$4:I1673,I$4:I1673&lt;=W310),1),I$4:I1673))-(W310-LARGE(FILTER(I$4:I"&amp;"1673,I$4:I1673&lt;=W310),1))*INDEX(F$4:F1673,MATCH(LARGE(FILTER(I$4:I1673,I$4:I1673&lt;=W310),1),I$4:I1673))))"),7.3234245E7)</f>
        <v>73234245</v>
      </c>
      <c r="N310" s="60">
        <f t="shared" si="8"/>
        <v>-178.62228</v>
      </c>
      <c r="O310" s="61" t="str">
        <f t="shared" si="9"/>
        <v>73,2M</v>
      </c>
      <c r="P310" s="56">
        <f t="shared" si="10"/>
        <v>25</v>
      </c>
      <c r="Q310" s="105" t="s">
        <v>5</v>
      </c>
      <c r="R310" s="10"/>
      <c r="S310" s="59">
        <f t="array" ref="S310">IF(COUNTA(Q310:Q1673)=0,"",SUM((COUNTIF(Q$4:Q310,Upgrades!$B$3:$B$13)-COUNTIF(Q$4:Q310,"Sell_"&amp;Upgrades!$B$3:$B$13))*Upgrades!$D$3:$D$13))</f>
        <v>431641.8</v>
      </c>
      <c r="T310" s="66">
        <f>IFERROR(__xludf.DUMMYFUNCTION("IF(COUNTA(Q310:Q1673)=0,"""",IF(REGEXMATCH(INDEX(FILTER(Q$4:Q310,Q$4:Q310&lt;&gt;""""),ROWS(FILTER(Q$4:Q310,Q$4:Q310&lt;&gt;""""))),""^Sell_""),INDEX(FILTER(T$4:T309,Q$4:Q309&lt;&gt;""""),ROWS(FILTER(Q$4:Q309,Q$4:Q309&lt;&gt;""""))),$AD$5+S310))"),431656.8)</f>
        <v>431656.8</v>
      </c>
      <c r="U310" s="10">
        <f>IFERROR(__xludf.DUMMYFUNCTION("IF(COUNTA(Q310:Q1673)=0,"""",IF(Q310="""",0,IF(REGEXMATCH(Q310,""^Sell_""),-ROUNDDOWN(ROUNDUP(INDEX(Upgrades!$C$3:$C$13,MATCH(SUBSTITUTE(Q310,""Sell_"",""""),Upgrades!$B$3:$B$13,0))*1.15^(COUNTIF(Q$4:Q309,SUBSTITUTE(Q310,""Sell_"",""""))-COUNTIF(Q$4:Q309,"&amp;"""Sell_""&amp;SUBSTITUTE(Q310,""Sell_"",""""))))/2),ROUNDUP(INDEX(Upgrades!$C$3:$C$13,MATCH(Q310,Upgrades!$B$3:$B$13,0))*1.15^(COUNTIF(Q$4:Q309,Q310)-COUNTIF(Q$4:Q309,""Sell_""&amp;Q310))))))"),14313.0)</f>
        <v>14313</v>
      </c>
      <c r="V310" s="10">
        <f t="shared" si="11"/>
        <v>14313</v>
      </c>
      <c r="W310" s="68">
        <f t="shared" si="12"/>
        <v>6955.745653</v>
      </c>
      <c r="X310" s="59" t="str">
        <f t="shared" si="13"/>
        <v>1h 55m 55s</v>
      </c>
      <c r="Y310" s="69">
        <f t="shared" si="14"/>
        <v>642092417</v>
      </c>
      <c r="Z310" s="11"/>
    </row>
    <row r="311">
      <c r="A311" s="8"/>
      <c r="B311" s="56" t="str">
        <f t="shared" si="2"/>
        <v/>
      </c>
      <c r="C311" s="105"/>
      <c r="D311" s="10"/>
      <c r="E311" s="59" t="str">
        <f t="array" ref="E311">IF(COUNTA(C311:C1673)=0,"",SUM((COUNTIF(C$4:C311,Upgrades!$B$3:$B$13)-COUNTIF(C$4:C311,"Sell_"&amp;Upgrades!$B$3:$B$13))*Upgrades!$D$3:$D$13))</f>
        <v/>
      </c>
      <c r="F311" s="66" t="str">
        <f>IFERROR(__xludf.DUMMYFUNCTION("IF(COUNTA(C311:C1673)=0,"""",IF(REGEXMATCH(INDEX(FILTER(C$4:C311,C$4:C311&lt;&gt;""""),ROWS(FILTER(C$4:C311,C$4:C311&lt;&gt;""""))),""^Sell_""),INDEX(FILTER(F$4:F310,C$4:C310&lt;&gt;""""),ROWS(FILTER(C$4:C310,C$4:C310&lt;&gt;""""))),$AC$5+E311))"),"")</f>
        <v/>
      </c>
      <c r="G311" s="10" t="str">
        <f>IFERROR(__xludf.DUMMYFUNCTION("IF(COUNTA(C311:C1673)=0,"""",IF(C311="""",0,IF(REGEXMATCH(C311,""^Sell_""),-ROUNDDOWN(ROUNDUP(INDEX(Upgrades!$C$3:$C$13,MATCH(SUBSTITUTE(C311,""Sell_"",""""),Upgrades!$B$3:$B$13,0))*1.15^(COUNTIF(C$4:C310,SUBSTITUTE(C311,""Sell_"",""""))-COUNTIF(C$4:C310,"&amp;"""Sell_""&amp;SUBSTITUTE(C311,""Sell_"",""""))))/2),ROUNDUP(INDEX(Upgrades!$C$3:$C$13,MATCH(C311,Upgrades!$B$3:$B$13,0))*1.15^(COUNTIF(C$4:C310,C311)-COUNTIF(C$4:C310,""Sell_""&amp;C311))))))"),"")</f>
        <v/>
      </c>
      <c r="H311" s="10" t="str">
        <f t="shared" si="3"/>
        <v/>
      </c>
      <c r="I311" s="68" t="str">
        <f t="shared" si="4"/>
        <v/>
      </c>
      <c r="J311" s="59" t="str">
        <f t="shared" si="5"/>
        <v/>
      </c>
      <c r="K311" s="69" t="str">
        <f t="shared" si="6"/>
        <v/>
      </c>
      <c r="L311" s="60">
        <f t="shared" si="7"/>
        <v>-181.52554</v>
      </c>
      <c r="M311" s="61">
        <f>IFERROR(__xludf.DUMMYFUNCTION("IFS(AND(COUNTA(C311:C1673)=0,COUNTA(Q311:Q1673)=0),"""",OR(AND(K311&gt;=1000000000,OR(Y311&gt;=1000000000,COUNTA(Q311:Q1673)=0)),OR(Y311&gt;=1000000000,AND(COUNTA(C311:C1673)=0,P$3=TRUE))),
ROUNDDOWN((AB$1-AC$1)*MAX(INDEX(T$4:T1673,MATCH(LARGE(FILTER(Y$4:Y1673,Y$4"&amp;":Y1673&lt;1000000000),1),Y$4:Y1673)),INDEX(F$4:F1673,MATCH(LARGE(FILTER(K$4:K1673,K$4:K1673&lt;1000000000),1),K$4:K1673)))),AND(K311&lt;1000000000,COUNTA(C311:C1673)&gt;0,P$3=FALSE),
ROUNDDOWN(INDEX(Y$4:Y1673,MATCH(LARGE(FILTER(W$4:W1673,W$4:W1673&lt;=I311),1),W$4:W1673"&amp;"))+(I311-LARGE(FILTER(W$4:W1673,W$4:W1673&lt;=I311),1))*INDEX(T$4:T1673,MATCH(LARGE(FILTER(W$4:W1673,W$4:W1673&lt;=I311),1),W$4:W1673))-K311),1,
ROUNDDOWN(Y311-INDEX(K$4:K1673,MATCH(LARGE(FILTER(I$4:I1673,I$4:I1673&lt;=W311),1),I$4:I1673))-(W311-LARGE(FILTER(I$4:I"&amp;"1673,I$4:I1673&lt;=W311),1))*INDEX(F$4:F1673,MATCH(LARGE(FILTER(I$4:I1673,I$4:I1673&lt;=W311),1),I$4:I1673))))"),7.4424564E7)</f>
        <v>74424564</v>
      </c>
      <c r="N311" s="60">
        <f t="shared" si="8"/>
        <v>-181.52554</v>
      </c>
      <c r="O311" s="61" t="str">
        <f t="shared" si="9"/>
        <v>74,4M</v>
      </c>
      <c r="P311" s="56">
        <f t="shared" si="10"/>
        <v>20</v>
      </c>
      <c r="Q311" s="105" t="s">
        <v>10</v>
      </c>
      <c r="R311" s="10"/>
      <c r="S311" s="59">
        <f t="array" ref="S311">IF(COUNTA(Q311:Q1673)=0,"",SUM((COUNTIF(Q$4:Q311,Upgrades!$B$3:$B$13)-COUNTIF(Q$4:Q311,"Sell_"&amp;Upgrades!$B$3:$B$13))*Upgrades!$D$3:$D$13))</f>
        <v>438307.8</v>
      </c>
      <c r="T311" s="66">
        <f>IFERROR(__xludf.DUMMYFUNCTION("IF(COUNTA(Q311:Q1673)=0,"""",IF(REGEXMATCH(INDEX(FILTER(Q$4:Q311,Q$4:Q311&lt;&gt;""""),ROWS(FILTER(Q$4:Q311,Q$4:Q311&lt;&gt;""""))),""^Sell_""),INDEX(FILTER(T$4:T310,Q$4:Q310&lt;&gt;""""),ROWS(FILTER(Q$4:Q310,Q$4:Q310&lt;&gt;""""))),$AD$5+S311))"),438322.8)</f>
        <v>438322.8</v>
      </c>
      <c r="U311" s="10">
        <f>IFERROR(__xludf.DUMMYFUNCTION("IF(COUNTA(Q311:Q1673)=0,"""",IF(Q311="""",0,IF(REGEXMATCH(Q311,""^Sell_""),-ROUNDDOWN(ROUNDUP(INDEX(Upgrades!$C$3:$C$13,MATCH(SUBSTITUTE(Q311,""Sell_"",""""),Upgrades!$B$3:$B$13,0))*1.15^(COUNTIF(Q$4:Q310,SUBSTITUTE(Q311,""Sell_"",""""))-COUNTIF(Q$4:Q310,"&amp;"""Sell_""&amp;SUBSTITUTE(Q311,""Sell_"",""""))))/2),ROUNDUP(INDEX(Upgrades!$C$3:$C$13,MATCH(Q311,Upgrades!$B$3:$B$13,0))*1.15^(COUNTIF(Q$4:Q310,Q311)-COUNTIF(Q$4:Q310,""Sell_""&amp;Q311))))))"),2.371961E7)</f>
        <v>23719610</v>
      </c>
      <c r="V311" s="10">
        <f t="shared" si="11"/>
        <v>23719610</v>
      </c>
      <c r="W311" s="68">
        <f t="shared" si="12"/>
        <v>7010.695813</v>
      </c>
      <c r="X311" s="59" t="str">
        <f t="shared" si="13"/>
        <v>1h 56m 50s</v>
      </c>
      <c r="Y311" s="69">
        <f t="shared" si="14"/>
        <v>665812027</v>
      </c>
      <c r="Z311" s="11"/>
    </row>
    <row r="312">
      <c r="A312" s="8"/>
      <c r="B312" s="56" t="str">
        <f t="shared" si="2"/>
        <v/>
      </c>
      <c r="C312" s="105"/>
      <c r="D312" s="10"/>
      <c r="E312" s="59" t="str">
        <f t="array" ref="E312">IF(COUNTA(C312:C1673)=0,"",SUM((COUNTIF(C$4:C312,Upgrades!$B$3:$B$13)-COUNTIF(C$4:C312,"Sell_"&amp;Upgrades!$B$3:$B$13))*Upgrades!$D$3:$D$13))</f>
        <v/>
      </c>
      <c r="F312" s="66" t="str">
        <f>IFERROR(__xludf.DUMMYFUNCTION("IF(COUNTA(C312:C1673)=0,"""",IF(REGEXMATCH(INDEX(FILTER(C$4:C312,C$4:C312&lt;&gt;""""),ROWS(FILTER(C$4:C312,C$4:C312&lt;&gt;""""))),""^Sell_""),INDEX(FILTER(F$4:F311,C$4:C311&lt;&gt;""""),ROWS(FILTER(C$4:C311,C$4:C311&lt;&gt;""""))),$AC$5+E312))"),"")</f>
        <v/>
      </c>
      <c r="G312" s="10" t="str">
        <f>IFERROR(__xludf.DUMMYFUNCTION("IF(COUNTA(C312:C1673)=0,"""",IF(C312="""",0,IF(REGEXMATCH(C312,""^Sell_""),-ROUNDDOWN(ROUNDUP(INDEX(Upgrades!$C$3:$C$13,MATCH(SUBSTITUTE(C312,""Sell_"",""""),Upgrades!$B$3:$B$13,0))*1.15^(COUNTIF(C$4:C311,SUBSTITUTE(C312,""Sell_"",""""))-COUNTIF(C$4:C311,"&amp;"""Sell_""&amp;SUBSTITUTE(C312,""Sell_"",""""))))/2),ROUNDUP(INDEX(Upgrades!$C$3:$C$13,MATCH(C312,Upgrades!$B$3:$B$13,0))*1.15^(COUNTIF(C$4:C311,C312)-COUNTIF(C$4:C311,""Sell_""&amp;C312))))))"),"")</f>
        <v/>
      </c>
      <c r="H312" s="10" t="str">
        <f t="shared" si="3"/>
        <v/>
      </c>
      <c r="I312" s="68" t="str">
        <f t="shared" si="4"/>
        <v/>
      </c>
      <c r="J312" s="59" t="str">
        <f t="shared" si="5"/>
        <v/>
      </c>
      <c r="K312" s="69" t="str">
        <f t="shared" si="6"/>
        <v/>
      </c>
      <c r="L312" s="60">
        <f t="shared" si="7"/>
        <v>-181.53139</v>
      </c>
      <c r="M312" s="61">
        <f>IFERROR(__xludf.DUMMYFUNCTION("IFS(AND(COUNTA(C312:C1673)=0,COUNTA(Q312:Q1673)=0),"""",OR(AND(K312&gt;=1000000000,OR(Y312&gt;=1000000000,COUNTA(Q312:Q1673)=0)),OR(Y312&gt;=1000000000,AND(COUNTA(C312:C1673)=0,P$3=TRUE))),
ROUNDDOWN((AB$1-AC$1)*MAX(INDEX(T$4:T1673,MATCH(LARGE(FILTER(Y$4:Y1673,Y$4"&amp;":Y1673&lt;1000000000),1),Y$4:Y1673)),INDEX(F$4:F1673,MATCH(LARGE(FILTER(K$4:K1673,K$4:K1673&lt;1000000000),1),K$4:K1673)))),AND(K312&lt;1000000000,COUNTA(C312:C1673)&gt;0,P$3=FALSE),
ROUNDDOWN(INDEX(Y$4:Y1673,MATCH(LARGE(FILTER(W$4:W1673,W$4:W1673&lt;=I312),1),W$4:W1673"&amp;"))+(I312-LARGE(FILTER(W$4:W1673,W$4:W1673&lt;=I312),1))*INDEX(T$4:T1673,MATCH(LARGE(FILTER(W$4:W1673,W$4:W1673&lt;=I312),1),W$4:W1673))-K312),1,
ROUNDDOWN(Y312-INDEX(K$4:K1673,MATCH(LARGE(FILTER(I$4:I1673,I$4:I1673&lt;=W312),1),I$4:I1673))-(W312-LARGE(FILTER(I$4:I"&amp;"1673,I$4:I1673&lt;=W312),1))*INDEX(F$4:F1673,MATCH(LARGE(FILTER(I$4:I1673,I$4:I1673&lt;=W312),1),I$4:I1673))))"),7.4426964E7)</f>
        <v>74426964</v>
      </c>
      <c r="N312" s="60">
        <f t="shared" si="8"/>
        <v>-181.53139</v>
      </c>
      <c r="O312" s="61" t="str">
        <f t="shared" si="9"/>
        <v>74,4M</v>
      </c>
      <c r="P312" s="56">
        <f t="shared" si="10"/>
        <v>19</v>
      </c>
      <c r="Q312" s="105" t="s">
        <v>6</v>
      </c>
      <c r="R312" s="10"/>
      <c r="S312" s="59">
        <f t="array" ref="S312">IF(COUNTA(Q312:Q1673)=0,"",SUM((COUNTIF(Q$4:Q312,Upgrades!$B$3:$B$13)-COUNTIF(Q$4:Q312,"Sell_"&amp;Upgrades!$B$3:$B$13))*Upgrades!$D$3:$D$13))</f>
        <v>438317.8</v>
      </c>
      <c r="T312" s="66">
        <f>IFERROR(__xludf.DUMMYFUNCTION("IF(COUNTA(Q312:Q1673)=0,"""",IF(REGEXMATCH(INDEX(FILTER(Q$4:Q312,Q$4:Q312&lt;&gt;""""),ROWS(FILTER(Q$4:Q312,Q$4:Q312&lt;&gt;""""))),""^Sell_""),INDEX(FILTER(T$4:T311,Q$4:Q311&lt;&gt;""""),ROWS(FILTER(Q$4:Q311,Q$4:Q311&lt;&gt;""""))),$AD$5+S312))"),438332.8)</f>
        <v>438332.8</v>
      </c>
      <c r="U312" s="10">
        <f>IFERROR(__xludf.DUMMYFUNCTION("IF(COUNTA(Q312:Q1673)=0,"""",IF(Q312="""",0,IF(REGEXMATCH(Q312,""^Sell_""),-ROUNDDOWN(ROUNDUP(INDEX(Upgrades!$C$3:$C$13,MATCH(SUBSTITUTE(Q312,""Sell_"",""""),Upgrades!$B$3:$B$13,0))*1.15^(COUNTIF(Q$4:Q311,SUBSTITUTE(Q312,""Sell_"",""""))-COUNTIF(Q$4:Q311,"&amp;"""Sell_""&amp;SUBSTITUTE(Q312,""Sell_"",""""))))/2),ROUNDUP(INDEX(Upgrades!$C$3:$C$13,MATCH(Q312,Upgrades!$B$3:$B$13,0))*1.15^(COUNTIF(Q$4:Q311,Q312)-COUNTIF(Q$4:Q311,""Sell_""&amp;Q312))))))"),37127.0)</f>
        <v>37127</v>
      </c>
      <c r="V312" s="10">
        <f t="shared" si="11"/>
        <v>37127</v>
      </c>
      <c r="W312" s="68">
        <f t="shared" si="12"/>
        <v>7010.780515</v>
      </c>
      <c r="X312" s="59" t="str">
        <f t="shared" si="13"/>
        <v>1h 56m 50s</v>
      </c>
      <c r="Y312" s="69">
        <f t="shared" si="14"/>
        <v>665849154</v>
      </c>
      <c r="Z312" s="11"/>
    </row>
    <row r="313">
      <c r="A313" s="8"/>
      <c r="B313" s="56" t="str">
        <f t="shared" si="2"/>
        <v/>
      </c>
      <c r="C313" s="105"/>
      <c r="D313" s="10"/>
      <c r="E313" s="59" t="str">
        <f t="array" ref="E313">IF(COUNTA(C313:C1673)=0,"",SUM((COUNTIF(C$4:C313,Upgrades!$B$3:$B$13)-COUNTIF(C$4:C313,"Sell_"&amp;Upgrades!$B$3:$B$13))*Upgrades!$D$3:$D$13))</f>
        <v/>
      </c>
      <c r="F313" s="66" t="str">
        <f>IFERROR(__xludf.DUMMYFUNCTION("IF(COUNTA(C313:C1673)=0,"""",IF(REGEXMATCH(INDEX(FILTER(C$4:C313,C$4:C313&lt;&gt;""""),ROWS(FILTER(C$4:C313,C$4:C313&lt;&gt;""""))),""^Sell_""),INDEX(FILTER(F$4:F312,C$4:C312&lt;&gt;""""),ROWS(FILTER(C$4:C312,C$4:C312&lt;&gt;""""))),$AC$5+E313))"),"")</f>
        <v/>
      </c>
      <c r="G313" s="10" t="str">
        <f>IFERROR(__xludf.DUMMYFUNCTION("IF(COUNTA(C313:C1673)=0,"""",IF(C313="""",0,IF(REGEXMATCH(C313,""^Sell_""),-ROUNDDOWN(ROUNDUP(INDEX(Upgrades!$C$3:$C$13,MATCH(SUBSTITUTE(C313,""Sell_"",""""),Upgrades!$B$3:$B$13,0))*1.15^(COUNTIF(C$4:C312,SUBSTITUTE(C313,""Sell_"",""""))-COUNTIF(C$4:C312,"&amp;"""Sell_""&amp;SUBSTITUTE(C313,""Sell_"",""""))))/2),ROUNDUP(INDEX(Upgrades!$C$3:$C$13,MATCH(C313,Upgrades!$B$3:$B$13,0))*1.15^(COUNTIF(C$4:C312,C313)-COUNTIF(C$4:C312,""Sell_""&amp;C313))))))"),"")</f>
        <v/>
      </c>
      <c r="H313" s="10" t="str">
        <f t="shared" si="3"/>
        <v/>
      </c>
      <c r="I313" s="68" t="str">
        <f t="shared" si="4"/>
        <v/>
      </c>
      <c r="J313" s="59" t="str">
        <f t="shared" si="5"/>
        <v/>
      </c>
      <c r="K313" s="69" t="str">
        <f t="shared" si="6"/>
        <v/>
      </c>
      <c r="L313" s="60">
        <f t="shared" si="7"/>
        <v>-181.53145</v>
      </c>
      <c r="M313" s="61">
        <f>IFERROR(__xludf.DUMMYFUNCTION("IFS(AND(COUNTA(C313:C1673)=0,COUNTA(Q313:Q1673)=0),"""",OR(AND(K313&gt;=1000000000,OR(Y313&gt;=1000000000,COUNTA(Q313:Q1673)=0)),OR(Y313&gt;=1000000000,AND(COUNTA(C313:C1673)=0,P$3=TRUE))),
ROUNDDOWN((AB$1-AC$1)*MAX(INDEX(T$4:T1673,MATCH(LARGE(FILTER(Y$4:Y1673,Y$4"&amp;":Y1673&lt;1000000000),1),Y$4:Y1673)),INDEX(F$4:F1673,MATCH(LARGE(FILTER(K$4:K1673,K$4:K1673&lt;1000000000),1),K$4:K1673)))),AND(K313&lt;1000000000,COUNTA(C313:C1673)&gt;0,P$3=FALSE),
ROUNDDOWN(INDEX(Y$4:Y1673,MATCH(LARGE(FILTER(W$4:W1673,W$4:W1673&lt;=I313),1),W$4:W1673"&amp;"))+(I313-LARGE(FILTER(W$4:W1673,W$4:W1673&lt;=I313),1))*INDEX(T$4:T1673,MATCH(LARGE(FILTER(W$4:W1673,W$4:W1673&lt;=I313),1),W$4:W1673))-K313),1,
ROUNDDOWN(Y313-INDEX(K$4:K1673,MATCH(LARGE(FILTER(I$4:I1673,I$4:I1673&lt;=W313),1),I$4:I1673))-(W313-LARGE(FILTER(I$4:I"&amp;"1673,I$4:I1673&lt;=W313),1))*INDEX(F$4:F1673,MATCH(LARGE(FILTER(I$4:I1673,I$4:I1673&lt;=W313),1),I$4:I1673))))"),7.4426988E7)</f>
        <v>74426988</v>
      </c>
      <c r="N313" s="60">
        <f t="shared" si="8"/>
        <v>-181.53145</v>
      </c>
      <c r="O313" s="61" t="str">
        <f t="shared" si="9"/>
        <v>74,4M</v>
      </c>
      <c r="P313" s="56">
        <f t="shared" si="10"/>
        <v>24</v>
      </c>
      <c r="Q313" s="105" t="s">
        <v>3</v>
      </c>
      <c r="R313" s="10"/>
      <c r="S313" s="59">
        <f t="array" ref="S313">IF(COUNTA(Q313:Q1673)=0,"",SUM((COUNTIF(Q$4:Q313,Upgrades!$B$3:$B$13)-COUNTIF(Q$4:Q313,"Sell_"&amp;Upgrades!$B$3:$B$13))*Upgrades!$D$3:$D$13))</f>
        <v>438317.9</v>
      </c>
      <c r="T313" s="66">
        <f>IFERROR(__xludf.DUMMYFUNCTION("IF(COUNTA(Q313:Q1673)=0,"""",IF(REGEXMATCH(INDEX(FILTER(Q$4:Q313,Q$4:Q313&lt;&gt;""""),ROWS(FILTER(Q$4:Q313,Q$4:Q313&lt;&gt;""""))),""^Sell_""),INDEX(FILTER(T$4:T312,Q$4:Q312&lt;&gt;""""),ROWS(FILTER(Q$4:Q312,Q$4:Q312&lt;&gt;""""))),$AD$5+S313))"),438332.9)</f>
        <v>438332.9</v>
      </c>
      <c r="U313" s="10">
        <f>IFERROR(__xludf.DUMMYFUNCTION("IF(COUNTA(Q313:Q1673)=0,"""",IF(Q313="""",0,IF(REGEXMATCH(Q313,""^Sell_""),-ROUNDDOWN(ROUNDUP(INDEX(Upgrades!$C$3:$C$13,MATCH(SUBSTITUTE(Q313,""Sell_"",""""),Upgrades!$B$3:$B$13,0))*1.15^(COUNTIF(Q$4:Q312,SUBSTITUTE(Q313,""Sell_"",""""))-COUNTIF(Q$4:Q312,"&amp;"""Sell_""&amp;SUBSTITUTE(Q313,""Sell_"",""""))))/2),ROUNDUP(INDEX(Upgrades!$C$3:$C$13,MATCH(Q313,Upgrades!$B$3:$B$13,0))*1.15^(COUNTIF(Q$4:Q312,Q313)-COUNTIF(Q$4:Q312,""Sell_""&amp;Q313))))))"),374.0)</f>
        <v>374</v>
      </c>
      <c r="V313" s="10">
        <f t="shared" si="11"/>
        <v>374</v>
      </c>
      <c r="W313" s="68">
        <f t="shared" si="12"/>
        <v>7010.781368</v>
      </c>
      <c r="X313" s="59" t="str">
        <f t="shared" si="13"/>
        <v>1h 56m 50s</v>
      </c>
      <c r="Y313" s="69">
        <f t="shared" si="14"/>
        <v>665849528</v>
      </c>
      <c r="Z313" s="11"/>
    </row>
    <row r="314">
      <c r="A314" s="8"/>
      <c r="B314" s="56" t="str">
        <f t="shared" si="2"/>
        <v/>
      </c>
      <c r="C314" s="105"/>
      <c r="D314" s="10"/>
      <c r="E314" s="59" t="str">
        <f t="array" ref="E314">IF(COUNTA(C314:C1673)=0,"",SUM((COUNTIF(C$4:C314,Upgrades!$B$3:$B$13)-COUNTIF(C$4:C314,"Sell_"&amp;Upgrades!$B$3:$B$13))*Upgrades!$D$3:$D$13))</f>
        <v/>
      </c>
      <c r="F314" s="66" t="str">
        <f>IFERROR(__xludf.DUMMYFUNCTION("IF(COUNTA(C314:C1673)=0,"""",IF(REGEXMATCH(INDEX(FILTER(C$4:C314,C$4:C314&lt;&gt;""""),ROWS(FILTER(C$4:C314,C$4:C314&lt;&gt;""""))),""^Sell_""),INDEX(FILTER(F$4:F313,C$4:C313&lt;&gt;""""),ROWS(FILTER(C$4:C313,C$4:C313&lt;&gt;""""))),$AC$5+E314))"),"")</f>
        <v/>
      </c>
      <c r="G314" s="10" t="str">
        <f>IFERROR(__xludf.DUMMYFUNCTION("IF(COUNTA(C314:C1673)=0,"""",IF(C314="""",0,IF(REGEXMATCH(C314,""^Sell_""),-ROUNDDOWN(ROUNDUP(INDEX(Upgrades!$C$3:$C$13,MATCH(SUBSTITUTE(C314,""Sell_"",""""),Upgrades!$B$3:$B$13,0))*1.15^(COUNTIF(C$4:C313,SUBSTITUTE(C314,""Sell_"",""""))-COUNTIF(C$4:C313,"&amp;"""Sell_""&amp;SUBSTITUTE(C314,""Sell_"",""""))))/2),ROUNDUP(INDEX(Upgrades!$C$3:$C$13,MATCH(C314,Upgrades!$B$3:$B$13,0))*1.15^(COUNTIF(C$4:C313,C314)-COUNTIF(C$4:C313,""Sell_""&amp;C314))))))"),"")</f>
        <v/>
      </c>
      <c r="H314" s="10" t="str">
        <f t="shared" si="3"/>
        <v/>
      </c>
      <c r="I314" s="68" t="str">
        <f t="shared" si="4"/>
        <v/>
      </c>
      <c r="J314" s="59" t="str">
        <f t="shared" si="5"/>
        <v/>
      </c>
      <c r="K314" s="69" t="str">
        <f t="shared" si="6"/>
        <v/>
      </c>
      <c r="L314" s="60">
        <f t="shared" si="7"/>
        <v>-181.59047</v>
      </c>
      <c r="M314" s="61">
        <f>IFERROR(__xludf.DUMMYFUNCTION("IFS(AND(COUNTA(C314:C1673)=0,COUNTA(Q314:Q1673)=0),"""",OR(AND(K314&gt;=1000000000,OR(Y314&gt;=1000000000,COUNTA(Q314:Q1673)=0)),OR(Y314&gt;=1000000000,AND(COUNTA(C314:C1673)=0,P$3=TRUE))),
ROUNDDOWN((AB$1-AC$1)*MAX(INDEX(T$4:T1673,MATCH(LARGE(FILTER(Y$4:Y1673,Y$4"&amp;":Y1673&lt;1000000000),1),Y$4:Y1673)),INDEX(F$4:F1673,MATCH(LARGE(FILTER(K$4:K1673,K$4:K1673&lt;1000000000),1),K$4:K1673)))),AND(K314&lt;1000000000,COUNTA(C314:C1673)&gt;0,P$3=FALSE),
ROUNDDOWN(INDEX(Y$4:Y1673,MATCH(LARGE(FILTER(W$4:W1673,W$4:W1673&lt;=I314),1),W$4:W1673"&amp;"))+(I314-LARGE(FILTER(W$4:W1673,W$4:W1673&lt;=I314),1))*INDEX(T$4:T1673,MATCH(LARGE(FILTER(W$4:W1673,W$4:W1673&lt;=I314),1),W$4:W1673))-K314),1,
ROUNDDOWN(Y314-INDEX(K$4:K1673,MATCH(LARGE(FILTER(I$4:I1673,I$4:I1673&lt;=W314),1),I$4:I1673))-(W314-LARGE(FILTER(I$4:I"&amp;"1673,I$4:I1673&lt;=W314),1))*INDEX(F$4:F1673,MATCH(LARGE(FILTER(I$4:I1673,I$4:I1673&lt;=W314),1),I$4:I1673))))"),7.4451187E7)</f>
        <v>74451187</v>
      </c>
      <c r="N314" s="60">
        <f t="shared" si="8"/>
        <v>-181.59047</v>
      </c>
      <c r="O314" s="61" t="str">
        <f t="shared" si="9"/>
        <v>74,5M</v>
      </c>
      <c r="P314" s="56">
        <f t="shared" si="10"/>
        <v>17</v>
      </c>
      <c r="Q314" s="105" t="s">
        <v>8</v>
      </c>
      <c r="R314" s="10"/>
      <c r="S314" s="59">
        <f t="array" ref="S314">IF(COUNTA(Q314:Q1673)=0,"",SUM((COUNTIF(Q$4:Q314,Upgrades!$B$3:$B$13)-COUNTIF(Q$4:Q314,"Sell_"&amp;Upgrades!$B$3:$B$13))*Upgrades!$D$3:$D$13))</f>
        <v>438417.9</v>
      </c>
      <c r="T314" s="66">
        <f>IFERROR(__xludf.DUMMYFUNCTION("IF(COUNTA(Q314:Q1673)=0,"""",IF(REGEXMATCH(INDEX(FILTER(Q$4:Q314,Q$4:Q314&lt;&gt;""""),ROWS(FILTER(Q$4:Q314,Q$4:Q314&lt;&gt;""""))),""^Sell_""),INDEX(FILTER(T$4:T313,Q$4:Q313&lt;&gt;""""),ROWS(FILTER(Q$4:Q313,Q$4:Q313&lt;&gt;""""))),$AD$5+S314))"),438432.9)</f>
        <v>438432.9</v>
      </c>
      <c r="U314" s="10">
        <f>IFERROR(__xludf.DUMMYFUNCTION("IF(COUNTA(Q314:Q1673)=0,"""",IF(Q314="""",0,IF(REGEXMATCH(Q314,""^Sell_""),-ROUNDDOWN(ROUNDUP(INDEX(Upgrades!$C$3:$C$13,MATCH(SUBSTITUTE(Q314,""Sell_"",""""),Upgrades!$B$3:$B$13,0))*1.15^(COUNTIF(Q$4:Q313,SUBSTITUTE(Q314,""Sell_"",""""))-COUNTIF(Q$4:Q313,"&amp;"""Sell_""&amp;SUBSTITUTE(Q314,""Sell_"",""""))))/2),ROUNDUP(INDEX(Upgrades!$C$3:$C$13,MATCH(Q314,Upgrades!$B$3:$B$13,0))*1.15^(COUNTIF(Q$4:Q313,Q314)-COUNTIF(Q$4:Q313,""Sell_""&amp;Q314))))))"),374305.0)</f>
        <v>374305</v>
      </c>
      <c r="V314" s="10">
        <f t="shared" si="11"/>
        <v>374305</v>
      </c>
      <c r="W314" s="68">
        <f t="shared" si="12"/>
        <v>7011.635297</v>
      </c>
      <c r="X314" s="59" t="str">
        <f t="shared" si="13"/>
        <v>1h 56m 51s</v>
      </c>
      <c r="Y314" s="69">
        <f t="shared" si="14"/>
        <v>666223833</v>
      </c>
      <c r="Z314" s="11"/>
    </row>
    <row r="315">
      <c r="A315" s="8"/>
      <c r="B315" s="56" t="str">
        <f t="shared" si="2"/>
        <v/>
      </c>
      <c r="C315" s="105"/>
      <c r="D315" s="10"/>
      <c r="E315" s="59" t="str">
        <f t="array" ref="E315">IF(COUNTA(C315:C1673)=0,"",SUM((COUNTIF(C$4:C315,Upgrades!$B$3:$B$13)-COUNTIF(C$4:C315,"Sell_"&amp;Upgrades!$B$3:$B$13))*Upgrades!$D$3:$D$13))</f>
        <v/>
      </c>
      <c r="F315" s="66" t="str">
        <f>IFERROR(__xludf.DUMMYFUNCTION("IF(COUNTA(C315:C1673)=0,"""",IF(REGEXMATCH(INDEX(FILTER(C$4:C315,C$4:C315&lt;&gt;""""),ROWS(FILTER(C$4:C315,C$4:C315&lt;&gt;""""))),""^Sell_""),INDEX(FILTER(F$4:F314,C$4:C314&lt;&gt;""""),ROWS(FILTER(C$4:C314,C$4:C314&lt;&gt;""""))),$AC$5+E315))"),"")</f>
        <v/>
      </c>
      <c r="G315" s="10" t="str">
        <f>IFERROR(__xludf.DUMMYFUNCTION("IF(COUNTA(C315:C1673)=0,"""",IF(C315="""",0,IF(REGEXMATCH(C315,""^Sell_""),-ROUNDDOWN(ROUNDUP(INDEX(Upgrades!$C$3:$C$13,MATCH(SUBSTITUTE(C315,""Sell_"",""""),Upgrades!$B$3:$B$13,0))*1.15^(COUNTIF(C$4:C314,SUBSTITUTE(C315,""Sell_"",""""))-COUNTIF(C$4:C314,"&amp;"""Sell_""&amp;SUBSTITUTE(C315,""Sell_"",""""))))/2),ROUNDUP(INDEX(Upgrades!$C$3:$C$13,MATCH(C315,Upgrades!$B$3:$B$13,0))*1.15^(COUNTIF(C$4:C314,C315)-COUNTIF(C$4:C314,""Sell_""&amp;C315))))))"),"")</f>
        <v/>
      </c>
      <c r="H315" s="10" t="str">
        <f t="shared" si="3"/>
        <v/>
      </c>
      <c r="I315" s="68" t="str">
        <f t="shared" si="4"/>
        <v/>
      </c>
      <c r="J315" s="59" t="str">
        <f t="shared" si="5"/>
        <v/>
      </c>
      <c r="K315" s="69" t="str">
        <f t="shared" si="6"/>
        <v/>
      </c>
      <c r="L315" s="60">
        <f t="shared" si="7"/>
        <v>-181.59077</v>
      </c>
      <c r="M315" s="61">
        <f>IFERROR(__xludf.DUMMYFUNCTION("IFS(AND(COUNTA(C315:C1673)=0,COUNTA(Q315:Q1673)=0),"""",OR(AND(K315&gt;=1000000000,OR(Y315&gt;=1000000000,COUNTA(Q315:Q1673)=0)),OR(Y315&gt;=1000000000,AND(COUNTA(C315:C1673)=0,P$3=TRUE))),
ROUNDDOWN((AB$1-AC$1)*MAX(INDEX(T$4:T1673,MATCH(LARGE(FILTER(Y$4:Y1673,Y$4"&amp;":Y1673&lt;1000000000),1),Y$4:Y1673)),INDEX(F$4:F1673,MATCH(LARGE(FILTER(K$4:K1673,K$4:K1673&lt;1000000000),1),K$4:K1673)))),AND(K315&lt;1000000000,COUNTA(C315:C1673)&gt;0,P$3=FALSE),
ROUNDDOWN(INDEX(Y$4:Y1673,MATCH(LARGE(FILTER(W$4:W1673,W$4:W1673&lt;=I315),1),W$4:W1673"&amp;"))+(I315-LARGE(FILTER(W$4:W1673,W$4:W1673&lt;=I315),1))*INDEX(T$4:T1673,MATCH(LARGE(FILTER(W$4:W1673,W$4:W1673&lt;=I315),1),W$4:W1673))-K315),1,
ROUNDDOWN(Y315-INDEX(K$4:K1673,MATCH(LARGE(FILTER(I$4:I1673,I$4:I1673&lt;=W315),1),I$4:I1673))-(W315-LARGE(FILTER(I$4:I"&amp;"1673,I$4:I1673&lt;=W315),1))*INDEX(F$4:F1673,MATCH(LARGE(FILTER(I$4:I1673,I$4:I1673&lt;=W315),1),I$4:I1673))))"),7.4451309E7)</f>
        <v>74451309</v>
      </c>
      <c r="N315" s="60">
        <f t="shared" si="8"/>
        <v>-181.59077</v>
      </c>
      <c r="O315" s="61" t="str">
        <f t="shared" si="9"/>
        <v>74,5M</v>
      </c>
      <c r="P315" s="56">
        <f t="shared" si="10"/>
        <v>22</v>
      </c>
      <c r="Q315" s="105" t="s">
        <v>4</v>
      </c>
      <c r="R315" s="10"/>
      <c r="S315" s="59">
        <f t="array" ref="S315">IF(COUNTA(Q315:Q1673)=0,"",SUM((COUNTIF(Q$4:Q315,Upgrades!$B$3:$B$13)-COUNTIF(Q$4:Q315,"Sell_"&amp;Upgrades!$B$3:$B$13))*Upgrades!$D$3:$D$13))</f>
        <v>438418.4</v>
      </c>
      <c r="T315" s="66">
        <f>IFERROR(__xludf.DUMMYFUNCTION("IF(COUNTA(Q315:Q1673)=0,"""",IF(REGEXMATCH(INDEX(FILTER(Q$4:Q315,Q$4:Q315&lt;&gt;""""),ROWS(FILTER(Q$4:Q315,Q$4:Q315&lt;&gt;""""))),""^Sell_""),INDEX(FILTER(T$4:T314,Q$4:Q314&lt;&gt;""""),ROWS(FILTER(Q$4:Q314,Q$4:Q314&lt;&gt;""""))),$AD$5+S315))"),438433.4)</f>
        <v>438433.4</v>
      </c>
      <c r="U315" s="10">
        <f>IFERROR(__xludf.DUMMYFUNCTION("IF(COUNTA(Q315:Q1673)=0,"""",IF(Q315="""",0,IF(REGEXMATCH(Q315,""^Sell_""),-ROUNDDOWN(ROUNDUP(INDEX(Upgrades!$C$3:$C$13,MATCH(SUBSTITUTE(Q315,""Sell_"",""""),Upgrades!$B$3:$B$13,0))*1.15^(COUNTIF(Q$4:Q314,SUBSTITUTE(Q315,""Sell_"",""""))-COUNTIF(Q$4:Q314,"&amp;"""Sell_""&amp;SUBSTITUTE(Q315,""Sell_"",""""))))/2),ROUNDUP(INDEX(Upgrades!$C$3:$C$13,MATCH(Q315,Upgrades!$B$3:$B$13,0))*1.15^(COUNTIF(Q$4:Q314,Q315)-COUNTIF(Q$4:Q314,""Sell_""&amp;Q315))))))"),1883.0)</f>
        <v>1883</v>
      </c>
      <c r="V315" s="10">
        <f t="shared" si="11"/>
        <v>1883</v>
      </c>
      <c r="W315" s="68">
        <f t="shared" si="12"/>
        <v>7011.639592</v>
      </c>
      <c r="X315" s="59" t="str">
        <f t="shared" si="13"/>
        <v>1h 56m 51s</v>
      </c>
      <c r="Y315" s="69">
        <f t="shared" si="14"/>
        <v>666225716</v>
      </c>
      <c r="Z315" s="11"/>
    </row>
    <row r="316">
      <c r="A316" s="8"/>
      <c r="B316" s="56" t="str">
        <f t="shared" si="2"/>
        <v/>
      </c>
      <c r="C316" s="105"/>
      <c r="D316" s="10"/>
      <c r="E316" s="59" t="str">
        <f t="array" ref="E316">IF(COUNTA(C316:C1673)=0,"",SUM((COUNTIF(C$4:C316,Upgrades!$B$3:$B$13)-COUNTIF(C$4:C316,"Sell_"&amp;Upgrades!$B$3:$B$13))*Upgrades!$D$3:$D$13))</f>
        <v/>
      </c>
      <c r="F316" s="66" t="str">
        <f>IFERROR(__xludf.DUMMYFUNCTION("IF(COUNTA(C316:C1673)=0,"""",IF(REGEXMATCH(INDEX(FILTER(C$4:C316,C$4:C316&lt;&gt;""""),ROWS(FILTER(C$4:C316,C$4:C316&lt;&gt;""""))),""^Sell_""),INDEX(FILTER(F$4:F315,C$4:C315&lt;&gt;""""),ROWS(FILTER(C$4:C315,C$4:C315&lt;&gt;""""))),$AC$5+E316))"),"")</f>
        <v/>
      </c>
      <c r="G316" s="10" t="str">
        <f>IFERROR(__xludf.DUMMYFUNCTION("IF(COUNTA(C316:C1673)=0,"""",IF(C316="""",0,IF(REGEXMATCH(C316,""^Sell_""),-ROUNDDOWN(ROUNDUP(INDEX(Upgrades!$C$3:$C$13,MATCH(SUBSTITUTE(C316,""Sell_"",""""),Upgrades!$B$3:$B$13,0))*1.15^(COUNTIF(C$4:C315,SUBSTITUTE(C316,""Sell_"",""""))-COUNTIF(C$4:C315,"&amp;"""Sell_""&amp;SUBSTITUTE(C316,""Sell_"",""""))))/2),ROUNDUP(INDEX(Upgrades!$C$3:$C$13,MATCH(C316,Upgrades!$B$3:$B$13,0))*1.15^(COUNTIF(C$4:C315,C316)-COUNTIF(C$4:C315,""Sell_""&amp;C316))))))"),"")</f>
        <v/>
      </c>
      <c r="H316" s="10" t="str">
        <f t="shared" si="3"/>
        <v/>
      </c>
      <c r="I316" s="68" t="str">
        <f t="shared" si="4"/>
        <v/>
      </c>
      <c r="J316" s="59" t="str">
        <f t="shared" si="5"/>
        <v/>
      </c>
      <c r="K316" s="69" t="str">
        <f t="shared" si="6"/>
        <v/>
      </c>
      <c r="L316" s="60">
        <f t="shared" si="7"/>
        <v>-181.59077</v>
      </c>
      <c r="M316" s="61">
        <f>IFERROR(__xludf.DUMMYFUNCTION("IFS(AND(COUNTA(C316:C1673)=0,COUNTA(Q316:Q1673)=0),"""",OR(AND(K316&gt;=1000000000,OR(Y316&gt;=1000000000,COUNTA(Q316:Q1673)=0)),OR(Y316&gt;=1000000000,AND(COUNTA(C316:C1673)=0,P$3=TRUE))),
ROUNDDOWN((AB$1-AC$1)*MAX(INDEX(T$4:T1673,MATCH(LARGE(FILTER(Y$4:Y1673,Y$4"&amp;":Y1673&lt;1000000000),1),Y$4:Y1673)),INDEX(F$4:F1673,MATCH(LARGE(FILTER(K$4:K1673,K$4:K1673&lt;1000000000),1),K$4:K1673)))),AND(K316&lt;1000000000,COUNTA(C316:C1673)&gt;0,P$3=FALSE),
ROUNDDOWN(INDEX(Y$4:Y1673,MATCH(LARGE(FILTER(W$4:W1673,W$4:W1673&lt;=I316),1),W$4:W1673"&amp;"))+(I316-LARGE(FILTER(W$4:W1673,W$4:W1673&lt;=I316),1))*INDEX(T$4:T1673,MATCH(LARGE(FILTER(W$4:W1673,W$4:W1673&lt;=I316),1),W$4:W1673))-K316),1,
ROUNDDOWN(Y316-INDEX(K$4:K1673,MATCH(LARGE(FILTER(I$4:I1673,I$4:I1673&lt;=W316),1),I$4:I1673))-(W316-LARGE(FILTER(I$4:I"&amp;"1673,I$4:I1673&lt;=W316),1))*INDEX(F$4:F1673,MATCH(LARGE(FILTER(I$4:I1673,I$4:I1673&lt;=W316),1),I$4:I1673))))"),7.4451309E7)</f>
        <v>74451309</v>
      </c>
      <c r="N316" s="60">
        <f t="shared" si="8"/>
        <v>-181.59077</v>
      </c>
      <c r="O316" s="61" t="str">
        <f t="shared" si="9"/>
        <v>74,5M</v>
      </c>
      <c r="P316" s="56">
        <f t="shared" si="10"/>
        <v>12</v>
      </c>
      <c r="Q316" s="105" t="s">
        <v>64</v>
      </c>
      <c r="R316" s="10"/>
      <c r="S316" s="59">
        <f t="array" ref="S316">IF(COUNTA(Q316:Q1673)=0,"",SUM((COUNTIF(Q$4:Q316,Upgrades!$B$3:$B$13)-COUNTIF(Q$4:Q316,"Sell_"&amp;Upgrades!$B$3:$B$13))*Upgrades!$D$3:$D$13))</f>
        <v>431752.4</v>
      </c>
      <c r="T316" s="66">
        <f>IFERROR(__xludf.DUMMYFUNCTION("IF(COUNTA(Q316:Q1673)=0,"""",IF(REGEXMATCH(INDEX(FILTER(Q$4:Q316,Q$4:Q316&lt;&gt;""""),ROWS(FILTER(Q$4:Q316,Q$4:Q316&lt;&gt;""""))),""^Sell_""),INDEX(FILTER(T$4:T315,Q$4:Q315&lt;&gt;""""),ROWS(FILTER(Q$4:Q315,Q$4:Q315&lt;&gt;""""))),$AD$5+S316))"),438433.4)</f>
        <v>438433.4</v>
      </c>
      <c r="U316" s="10">
        <f>IFERROR(__xludf.DUMMYFUNCTION("IF(COUNTA(Q316:Q1673)=0,"""",IF(Q316="""",0,IF(REGEXMATCH(Q316,""^Sell_""),-ROUNDDOWN(ROUNDUP(INDEX(Upgrades!$C$3:$C$13,MATCH(SUBSTITUTE(Q316,""Sell_"",""""),Upgrades!$B$3:$B$13,0))*1.15^(COUNTIF(Q$4:Q315,SUBSTITUTE(Q316,""Sell_"",""""))-COUNTIF(Q$4:Q315,"&amp;"""Sell_""&amp;SUBSTITUTE(Q316,""Sell_"",""""))))/2),ROUNDUP(INDEX(Upgrades!$C$3:$C$13,MATCH(Q316,Upgrades!$B$3:$B$13,0))*1.15^(COUNTIF(Q$4:Q315,Q316)-COUNTIF(Q$4:Q315,""Sell_""&amp;Q316))))))"),-1.3638776E7)</f>
        <v>-13638776</v>
      </c>
      <c r="V316" s="10">
        <f t="shared" si="11"/>
        <v>-13638776</v>
      </c>
      <c r="W316" s="68">
        <f t="shared" si="12"/>
        <v>7011.639592</v>
      </c>
      <c r="X316" s="59" t="str">
        <f t="shared" si="13"/>
        <v>1h 56m 51s</v>
      </c>
      <c r="Y316" s="69">
        <f t="shared" si="14"/>
        <v>666225716</v>
      </c>
      <c r="Z316" s="11"/>
    </row>
    <row r="317">
      <c r="A317" s="8"/>
      <c r="B317" s="56" t="str">
        <f t="shared" si="2"/>
        <v/>
      </c>
      <c r="C317" s="105"/>
      <c r="D317" s="10"/>
      <c r="E317" s="59" t="str">
        <f t="array" ref="E317">IF(COUNTA(C317:C1673)=0,"",SUM((COUNTIF(C$4:C317,Upgrades!$B$3:$B$13)-COUNTIF(C$4:C317,"Sell_"&amp;Upgrades!$B$3:$B$13))*Upgrades!$D$3:$D$13))</f>
        <v/>
      </c>
      <c r="F317" s="66" t="str">
        <f>IFERROR(__xludf.DUMMYFUNCTION("IF(COUNTA(C317:C1673)=0,"""",IF(REGEXMATCH(INDEX(FILTER(C$4:C317,C$4:C317&lt;&gt;""""),ROWS(FILTER(C$4:C317,C$4:C317&lt;&gt;""""))),""^Sell_""),INDEX(FILTER(F$4:F316,C$4:C316&lt;&gt;""""),ROWS(FILTER(C$4:C316,C$4:C316&lt;&gt;""""))),$AC$5+E317))"),"")</f>
        <v/>
      </c>
      <c r="G317" s="10" t="str">
        <f>IFERROR(__xludf.DUMMYFUNCTION("IF(COUNTA(C317:C1673)=0,"""",IF(C317="""",0,IF(REGEXMATCH(C317,""^Sell_""),-ROUNDDOWN(ROUNDUP(INDEX(Upgrades!$C$3:$C$13,MATCH(SUBSTITUTE(C317,""Sell_"",""""),Upgrades!$B$3:$B$13,0))*1.15^(COUNTIF(C$4:C316,SUBSTITUTE(C317,""Sell_"",""""))-COUNTIF(C$4:C316,"&amp;"""Sell_""&amp;SUBSTITUTE(C317,""Sell_"",""""))))/2),ROUNDUP(INDEX(Upgrades!$C$3:$C$13,MATCH(C317,Upgrades!$B$3:$B$13,0))*1.15^(COUNTIF(C$4:C316,C317)-COUNTIF(C$4:C316,""Sell_""&amp;C317))))))"),"")</f>
        <v/>
      </c>
      <c r="H317" s="10" t="str">
        <f t="shared" si="3"/>
        <v/>
      </c>
      <c r="I317" s="68" t="str">
        <f t="shared" si="4"/>
        <v/>
      </c>
      <c r="J317" s="59" t="str">
        <f t="shared" si="5"/>
        <v/>
      </c>
      <c r="K317" s="69" t="str">
        <f t="shared" si="6"/>
        <v/>
      </c>
      <c r="L317" s="60">
        <f t="shared" si="7"/>
        <v>-181.59077</v>
      </c>
      <c r="M317" s="61">
        <f>IFERROR(__xludf.DUMMYFUNCTION("IFS(AND(COUNTA(C317:C1673)=0,COUNTA(Q317:Q1673)=0),"""",OR(AND(K317&gt;=1000000000,OR(Y317&gt;=1000000000,COUNTA(Q317:Q1673)=0)),OR(Y317&gt;=1000000000,AND(COUNTA(C317:C1673)=0,P$3=TRUE))),
ROUNDDOWN((AB$1-AC$1)*MAX(INDEX(T$4:T1673,MATCH(LARGE(FILTER(Y$4:Y1673,Y$4"&amp;":Y1673&lt;1000000000),1),Y$4:Y1673)),INDEX(F$4:F1673,MATCH(LARGE(FILTER(K$4:K1673,K$4:K1673&lt;1000000000),1),K$4:K1673)))),AND(K317&lt;1000000000,COUNTA(C317:C1673)&gt;0,P$3=FALSE),
ROUNDDOWN(INDEX(Y$4:Y1673,MATCH(LARGE(FILTER(W$4:W1673,W$4:W1673&lt;=I317),1),W$4:W1673"&amp;"))+(I317-LARGE(FILTER(W$4:W1673,W$4:W1673&lt;=I317),1))*INDEX(T$4:T1673,MATCH(LARGE(FILTER(W$4:W1673,W$4:W1673&lt;=I317),1),W$4:W1673))-K317),1,
ROUNDDOWN(Y317-INDEX(K$4:K1673,MATCH(LARGE(FILTER(I$4:I1673,I$4:I1673&lt;=W317),1),I$4:I1673))-(W317-LARGE(FILTER(I$4:I"&amp;"1673,I$4:I1673&lt;=W317),1))*INDEX(F$4:F1673,MATCH(LARGE(FILTER(I$4:I1673,I$4:I1673&lt;=W317),1),I$4:I1673))))"),7.4451309E7)</f>
        <v>74451309</v>
      </c>
      <c r="N317" s="60">
        <f t="shared" si="8"/>
        <v>-181.59077</v>
      </c>
      <c r="O317" s="61" t="str">
        <f t="shared" si="9"/>
        <v>74,5M</v>
      </c>
      <c r="P317" s="56">
        <f t="shared" si="10"/>
        <v>36</v>
      </c>
      <c r="Q317" s="105" t="s">
        <v>61</v>
      </c>
      <c r="R317" s="10"/>
      <c r="S317" s="59">
        <f t="array" ref="S317">IF(COUNTA(Q317:Q1673)=0,"",SUM((COUNTIF(Q$4:Q317,Upgrades!$B$3:$B$13)-COUNTIF(Q$4:Q317,"Sell_"&amp;Upgrades!$B$3:$B$13))*Upgrades!$D$3:$D$13))</f>
        <v>431652.4</v>
      </c>
      <c r="T317" s="66">
        <f>IFERROR(__xludf.DUMMYFUNCTION("IF(COUNTA(Q317:Q1673)=0,"""",IF(REGEXMATCH(INDEX(FILTER(Q$4:Q317,Q$4:Q317&lt;&gt;""""),ROWS(FILTER(Q$4:Q317,Q$4:Q317&lt;&gt;""""))),""^Sell_""),INDEX(FILTER(T$4:T316,Q$4:Q316&lt;&gt;""""),ROWS(FILTER(Q$4:Q316,Q$4:Q316&lt;&gt;""""))),$AD$5+S317))"),438433.4)</f>
        <v>438433.4</v>
      </c>
      <c r="U317" s="10">
        <f>IFERROR(__xludf.DUMMYFUNCTION("IF(COUNTA(Q317:Q1673)=0,"""",IF(Q317="""",0,IF(REGEXMATCH(Q317,""^Sell_""),-ROUNDDOWN(ROUNDUP(INDEX(Upgrades!$C$3:$C$13,MATCH(SUBSTITUTE(Q317,""Sell_"",""""),Upgrades!$B$3:$B$13,0))*1.15^(COUNTIF(Q$4:Q316,SUBSTITUTE(Q317,""Sell_"",""""))-COUNTIF(Q$4:Q316,"&amp;"""Sell_""&amp;SUBSTITUTE(Q317,""Sell_"",""""))))/2),ROUNDUP(INDEX(Upgrades!$C$3:$C$13,MATCH(Q317,Upgrades!$B$3:$B$13,0))*1.15^(COUNTIF(Q$4:Q316,Q317)-COUNTIF(Q$4:Q316,""Sell_""&amp;Q317))))))"),-215225.0)</f>
        <v>-215225</v>
      </c>
      <c r="V317" s="10">
        <f t="shared" si="11"/>
        <v>-13854001</v>
      </c>
      <c r="W317" s="68">
        <f t="shared" si="12"/>
        <v>7011.639592</v>
      </c>
      <c r="X317" s="59" t="str">
        <f t="shared" si="13"/>
        <v>1h 56m 51s</v>
      </c>
      <c r="Y317" s="69">
        <f t="shared" si="14"/>
        <v>666225716</v>
      </c>
      <c r="Z317" s="11"/>
    </row>
    <row r="318">
      <c r="A318" s="8"/>
      <c r="B318" s="56" t="str">
        <f t="shared" si="2"/>
        <v/>
      </c>
      <c r="C318" s="105"/>
      <c r="D318" s="10"/>
      <c r="E318" s="59" t="str">
        <f t="array" ref="E318">IF(COUNTA(C318:C1673)=0,"",SUM((COUNTIF(C$4:C318,Upgrades!$B$3:$B$13)-COUNTIF(C$4:C318,"Sell_"&amp;Upgrades!$B$3:$B$13))*Upgrades!$D$3:$D$13))</f>
        <v/>
      </c>
      <c r="F318" s="66" t="str">
        <f>IFERROR(__xludf.DUMMYFUNCTION("IF(COUNTA(C318:C1673)=0,"""",IF(REGEXMATCH(INDEX(FILTER(C$4:C318,C$4:C318&lt;&gt;""""),ROWS(FILTER(C$4:C318,C$4:C318&lt;&gt;""""))),""^Sell_""),INDEX(FILTER(F$4:F317,C$4:C317&lt;&gt;""""),ROWS(FILTER(C$4:C317,C$4:C317&lt;&gt;""""))),$AC$5+E318))"),"")</f>
        <v/>
      </c>
      <c r="G318" s="10" t="str">
        <f>IFERROR(__xludf.DUMMYFUNCTION("IF(COUNTA(C318:C1673)=0,"""",IF(C318="""",0,IF(REGEXMATCH(C318,""^Sell_""),-ROUNDDOWN(ROUNDUP(INDEX(Upgrades!$C$3:$C$13,MATCH(SUBSTITUTE(C318,""Sell_"",""""),Upgrades!$B$3:$B$13,0))*1.15^(COUNTIF(C$4:C317,SUBSTITUTE(C318,""Sell_"",""""))-COUNTIF(C$4:C317,"&amp;"""Sell_""&amp;SUBSTITUTE(C318,""Sell_"",""""))))/2),ROUNDUP(INDEX(Upgrades!$C$3:$C$13,MATCH(C318,Upgrades!$B$3:$B$13,0))*1.15^(COUNTIF(C$4:C317,C318)-COUNTIF(C$4:C317,""Sell_""&amp;C318))))))"),"")</f>
        <v/>
      </c>
      <c r="H318" s="10" t="str">
        <f t="shared" si="3"/>
        <v/>
      </c>
      <c r="I318" s="68" t="str">
        <f t="shared" si="4"/>
        <v/>
      </c>
      <c r="J318" s="59" t="str">
        <f t="shared" si="5"/>
        <v/>
      </c>
      <c r="K318" s="69" t="str">
        <f t="shared" si="6"/>
        <v/>
      </c>
      <c r="L318" s="60">
        <f t="shared" si="7"/>
        <v>-181.59077</v>
      </c>
      <c r="M318" s="61">
        <f>IFERROR(__xludf.DUMMYFUNCTION("IFS(AND(COUNTA(C318:C1673)=0,COUNTA(Q318:Q1673)=0),"""",OR(AND(K318&gt;=1000000000,OR(Y318&gt;=1000000000,COUNTA(Q318:Q1673)=0)),OR(Y318&gt;=1000000000,AND(COUNTA(C318:C1673)=0,P$3=TRUE))),
ROUNDDOWN((AB$1-AC$1)*MAX(INDEX(T$4:T1673,MATCH(LARGE(FILTER(Y$4:Y1673,Y$4"&amp;":Y1673&lt;1000000000),1),Y$4:Y1673)),INDEX(F$4:F1673,MATCH(LARGE(FILTER(K$4:K1673,K$4:K1673&lt;1000000000),1),K$4:K1673)))),AND(K318&lt;1000000000,COUNTA(C318:C1673)&gt;0,P$3=FALSE),
ROUNDDOWN(INDEX(Y$4:Y1673,MATCH(LARGE(FILTER(W$4:W1673,W$4:W1673&lt;=I318),1),W$4:W1673"&amp;"))+(I318-LARGE(FILTER(W$4:W1673,W$4:W1673&lt;=I318),1))*INDEX(T$4:T1673,MATCH(LARGE(FILTER(W$4:W1673,W$4:W1673&lt;=I318),1),W$4:W1673))-K318),1,
ROUNDDOWN(Y318-INDEX(K$4:K1673,MATCH(LARGE(FILTER(I$4:I1673,I$4:I1673&lt;=W318),1),I$4:I1673))-(W318-LARGE(FILTER(I$4:I"&amp;"1673,I$4:I1673&lt;=W318),1))*INDEX(F$4:F1673,MATCH(LARGE(FILTER(I$4:I1673,I$4:I1673&lt;=W318),1),I$4:I1673))))"),7.4451309E7)</f>
        <v>74451309</v>
      </c>
      <c r="N318" s="60">
        <f t="shared" si="8"/>
        <v>-181.59077</v>
      </c>
      <c r="O318" s="61" t="str">
        <f t="shared" si="9"/>
        <v>74,5M</v>
      </c>
      <c r="P318" s="56">
        <f t="shared" si="10"/>
        <v>37</v>
      </c>
      <c r="Q318" s="105" t="s">
        <v>61</v>
      </c>
      <c r="R318" s="10"/>
      <c r="S318" s="59">
        <f t="array" ref="S318">IF(COUNTA(Q318:Q1673)=0,"",SUM((COUNTIF(Q$4:Q318,Upgrades!$B$3:$B$13)-COUNTIF(Q$4:Q318,"Sell_"&amp;Upgrades!$B$3:$B$13))*Upgrades!$D$3:$D$13))</f>
        <v>431552.4</v>
      </c>
      <c r="T318" s="66">
        <f>IFERROR(__xludf.DUMMYFUNCTION("IF(COUNTA(Q318:Q1673)=0,"""",IF(REGEXMATCH(INDEX(FILTER(Q$4:Q318,Q$4:Q318&lt;&gt;""""),ROWS(FILTER(Q$4:Q318,Q$4:Q318&lt;&gt;""""))),""^Sell_""),INDEX(FILTER(T$4:T317,Q$4:Q317&lt;&gt;""""),ROWS(FILTER(Q$4:Q317,Q$4:Q317&lt;&gt;""""))),$AD$5+S318))"),438433.4)</f>
        <v>438433.4</v>
      </c>
      <c r="U318" s="10">
        <f>IFERROR(__xludf.DUMMYFUNCTION("IF(COUNTA(Q318:Q1673)=0,"""",IF(Q318="""",0,IF(REGEXMATCH(Q318,""^Sell_""),-ROUNDDOWN(ROUNDUP(INDEX(Upgrades!$C$3:$C$13,MATCH(SUBSTITUTE(Q318,""Sell_"",""""),Upgrades!$B$3:$B$13,0))*1.15^(COUNTIF(Q$4:Q317,SUBSTITUTE(Q318,""Sell_"",""""))-COUNTIF(Q$4:Q317,"&amp;"""Sell_""&amp;SUBSTITUTE(Q318,""Sell_"",""""))))/2),ROUNDUP(INDEX(Upgrades!$C$3:$C$13,MATCH(Q318,Upgrades!$B$3:$B$13,0))*1.15^(COUNTIF(Q$4:Q317,Q318)-COUNTIF(Q$4:Q317,""Sell_""&amp;Q318))))))"),-187152.0)</f>
        <v>-187152</v>
      </c>
      <c r="V318" s="10">
        <f t="shared" si="11"/>
        <v>-14041153</v>
      </c>
      <c r="W318" s="68">
        <f t="shared" si="12"/>
        <v>7011.639592</v>
      </c>
      <c r="X318" s="59" t="str">
        <f t="shared" si="13"/>
        <v>1h 56m 51s</v>
      </c>
      <c r="Y318" s="69">
        <f t="shared" si="14"/>
        <v>666225716</v>
      </c>
      <c r="Z318" s="11"/>
    </row>
    <row r="319">
      <c r="A319" s="8"/>
      <c r="B319" s="56" t="str">
        <f t="shared" si="2"/>
        <v/>
      </c>
      <c r="C319" s="105"/>
      <c r="D319" s="10"/>
      <c r="E319" s="59" t="str">
        <f t="array" ref="E319">IF(COUNTA(C319:C1673)=0,"",SUM((COUNTIF(C$4:C319,Upgrades!$B$3:$B$13)-COUNTIF(C$4:C319,"Sell_"&amp;Upgrades!$B$3:$B$13))*Upgrades!$D$3:$D$13))</f>
        <v/>
      </c>
      <c r="F319" s="66" t="str">
        <f>IFERROR(__xludf.DUMMYFUNCTION("IF(COUNTA(C319:C1673)=0,"""",IF(REGEXMATCH(INDEX(FILTER(C$4:C319,C$4:C319&lt;&gt;""""),ROWS(FILTER(C$4:C319,C$4:C319&lt;&gt;""""))),""^Sell_""),INDEX(FILTER(F$4:F318,C$4:C318&lt;&gt;""""),ROWS(FILTER(C$4:C318,C$4:C318&lt;&gt;""""))),$AC$5+E319))"),"")</f>
        <v/>
      </c>
      <c r="G319" s="10" t="str">
        <f>IFERROR(__xludf.DUMMYFUNCTION("IF(COUNTA(C319:C1673)=0,"""",IF(C319="""",0,IF(REGEXMATCH(C319,""^Sell_""),-ROUNDDOWN(ROUNDUP(INDEX(Upgrades!$C$3:$C$13,MATCH(SUBSTITUTE(C319,""Sell_"",""""),Upgrades!$B$3:$B$13,0))*1.15^(COUNTIF(C$4:C318,SUBSTITUTE(C319,""Sell_"",""""))-COUNTIF(C$4:C318,"&amp;"""Sell_""&amp;SUBSTITUTE(C319,""Sell_"",""""))))/2),ROUNDUP(INDEX(Upgrades!$C$3:$C$13,MATCH(C319,Upgrades!$B$3:$B$13,0))*1.15^(COUNTIF(C$4:C318,C319)-COUNTIF(C$4:C318,""Sell_""&amp;C319))))))"),"")</f>
        <v/>
      </c>
      <c r="H319" s="10" t="str">
        <f t="shared" si="3"/>
        <v/>
      </c>
      <c r="I319" s="68" t="str">
        <f t="shared" si="4"/>
        <v/>
      </c>
      <c r="J319" s="59" t="str">
        <f t="shared" si="5"/>
        <v/>
      </c>
      <c r="K319" s="69" t="str">
        <f t="shared" si="6"/>
        <v/>
      </c>
      <c r="L319" s="60">
        <f t="shared" si="7"/>
        <v>-181.59077</v>
      </c>
      <c r="M319" s="61">
        <f>IFERROR(__xludf.DUMMYFUNCTION("IFS(AND(COUNTA(C319:C1673)=0,COUNTA(Q319:Q1673)=0),"""",OR(AND(K319&gt;=1000000000,OR(Y319&gt;=1000000000,COUNTA(Q319:Q1673)=0)),OR(Y319&gt;=1000000000,AND(COUNTA(C319:C1673)=0,P$3=TRUE))),
ROUNDDOWN((AB$1-AC$1)*MAX(INDEX(T$4:T1673,MATCH(LARGE(FILTER(Y$4:Y1673,Y$4"&amp;":Y1673&lt;1000000000),1),Y$4:Y1673)),INDEX(F$4:F1673,MATCH(LARGE(FILTER(K$4:K1673,K$4:K1673&lt;1000000000),1),K$4:K1673)))),AND(K319&lt;1000000000,COUNTA(C319:C1673)&gt;0,P$3=FALSE),
ROUNDDOWN(INDEX(Y$4:Y1673,MATCH(LARGE(FILTER(W$4:W1673,W$4:W1673&lt;=I319),1),W$4:W1673"&amp;"))+(I319-LARGE(FILTER(W$4:W1673,W$4:W1673&lt;=I319),1))*INDEX(T$4:T1673,MATCH(LARGE(FILTER(W$4:W1673,W$4:W1673&lt;=I319),1),W$4:W1673))-K319),1,
ROUNDDOWN(Y319-INDEX(K$4:K1673,MATCH(LARGE(FILTER(I$4:I1673,I$4:I1673&lt;=W319),1),I$4:I1673))-(W319-LARGE(FILTER(I$4:I"&amp;"1673,I$4:I1673&lt;=W319),1))*INDEX(F$4:F1673,MATCH(LARGE(FILTER(I$4:I1673,I$4:I1673&lt;=W319),1),I$4:I1673))))"),7.4451309E7)</f>
        <v>74451309</v>
      </c>
      <c r="N319" s="60">
        <f t="shared" si="8"/>
        <v>-181.59077</v>
      </c>
      <c r="O319" s="61" t="str">
        <f t="shared" si="9"/>
        <v>74,5M</v>
      </c>
      <c r="P319" s="56">
        <f t="shared" si="10"/>
        <v>38</v>
      </c>
      <c r="Q319" s="105" t="s">
        <v>61</v>
      </c>
      <c r="R319" s="10"/>
      <c r="S319" s="59">
        <f t="array" ref="S319">IF(COUNTA(Q319:Q1673)=0,"",SUM((COUNTIF(Q$4:Q319,Upgrades!$B$3:$B$13)-COUNTIF(Q$4:Q319,"Sell_"&amp;Upgrades!$B$3:$B$13))*Upgrades!$D$3:$D$13))</f>
        <v>431452.4</v>
      </c>
      <c r="T319" s="66">
        <f>IFERROR(__xludf.DUMMYFUNCTION("IF(COUNTA(Q319:Q1673)=0,"""",IF(REGEXMATCH(INDEX(FILTER(Q$4:Q319,Q$4:Q319&lt;&gt;""""),ROWS(FILTER(Q$4:Q319,Q$4:Q319&lt;&gt;""""))),""^Sell_""),INDEX(FILTER(T$4:T318,Q$4:Q318&lt;&gt;""""),ROWS(FILTER(Q$4:Q318,Q$4:Q318&lt;&gt;""""))),$AD$5+S319))"),438433.4)</f>
        <v>438433.4</v>
      </c>
      <c r="U319" s="10">
        <f>IFERROR(__xludf.DUMMYFUNCTION("IF(COUNTA(Q319:Q1673)=0,"""",IF(Q319="""",0,IF(REGEXMATCH(Q319,""^Sell_""),-ROUNDDOWN(ROUNDUP(INDEX(Upgrades!$C$3:$C$13,MATCH(SUBSTITUTE(Q319,""Sell_"",""""),Upgrades!$B$3:$B$13,0))*1.15^(COUNTIF(Q$4:Q318,SUBSTITUTE(Q319,""Sell_"",""""))-COUNTIF(Q$4:Q318,"&amp;"""Sell_""&amp;SUBSTITUTE(Q319,""Sell_"",""""))))/2),ROUNDUP(INDEX(Upgrades!$C$3:$C$13,MATCH(Q319,Upgrades!$B$3:$B$13,0))*1.15^(COUNTIF(Q$4:Q318,Q319)-COUNTIF(Q$4:Q318,""Sell_""&amp;Q319))))))"),-162741.0)</f>
        <v>-162741</v>
      </c>
      <c r="V319" s="10">
        <f t="shared" si="11"/>
        <v>-14203894</v>
      </c>
      <c r="W319" s="68">
        <f t="shared" si="12"/>
        <v>7011.639592</v>
      </c>
      <c r="X319" s="59" t="str">
        <f t="shared" si="13"/>
        <v>1h 56m 51s</v>
      </c>
      <c r="Y319" s="69">
        <f t="shared" si="14"/>
        <v>666225716</v>
      </c>
      <c r="Z319" s="11"/>
    </row>
    <row r="320">
      <c r="A320" s="8"/>
      <c r="B320" s="56" t="str">
        <f t="shared" si="2"/>
        <v/>
      </c>
      <c r="C320" s="105"/>
      <c r="D320" s="10"/>
      <c r="E320" s="59" t="str">
        <f t="array" ref="E320">IF(COUNTA(C320:C1673)=0,"",SUM((COUNTIF(C$4:C320,Upgrades!$B$3:$B$13)-COUNTIF(C$4:C320,"Sell_"&amp;Upgrades!$B$3:$B$13))*Upgrades!$D$3:$D$13))</f>
        <v/>
      </c>
      <c r="F320" s="66" t="str">
        <f>IFERROR(__xludf.DUMMYFUNCTION("IF(COUNTA(C320:C1673)=0,"""",IF(REGEXMATCH(INDEX(FILTER(C$4:C320,C$4:C320&lt;&gt;""""),ROWS(FILTER(C$4:C320,C$4:C320&lt;&gt;""""))),""^Sell_""),INDEX(FILTER(F$4:F319,C$4:C319&lt;&gt;""""),ROWS(FILTER(C$4:C319,C$4:C319&lt;&gt;""""))),$AC$5+E320))"),"")</f>
        <v/>
      </c>
      <c r="G320" s="10" t="str">
        <f>IFERROR(__xludf.DUMMYFUNCTION("IF(COUNTA(C320:C1673)=0,"""",IF(C320="""",0,IF(REGEXMATCH(C320,""^Sell_""),-ROUNDDOWN(ROUNDUP(INDEX(Upgrades!$C$3:$C$13,MATCH(SUBSTITUTE(C320,""Sell_"",""""),Upgrades!$B$3:$B$13,0))*1.15^(COUNTIF(C$4:C319,SUBSTITUTE(C320,""Sell_"",""""))-COUNTIF(C$4:C319,"&amp;"""Sell_""&amp;SUBSTITUTE(C320,""Sell_"",""""))))/2),ROUNDUP(INDEX(Upgrades!$C$3:$C$13,MATCH(C320,Upgrades!$B$3:$B$13,0))*1.15^(COUNTIF(C$4:C319,C320)-COUNTIF(C$4:C319,""Sell_""&amp;C320))))))"),"")</f>
        <v/>
      </c>
      <c r="H320" s="10" t="str">
        <f t="shared" si="3"/>
        <v/>
      </c>
      <c r="I320" s="68" t="str">
        <f t="shared" si="4"/>
        <v/>
      </c>
      <c r="J320" s="59" t="str">
        <f t="shared" si="5"/>
        <v/>
      </c>
      <c r="K320" s="69" t="str">
        <f t="shared" si="6"/>
        <v/>
      </c>
      <c r="L320" s="60">
        <f t="shared" si="7"/>
        <v>-181.59077</v>
      </c>
      <c r="M320" s="61">
        <f>IFERROR(__xludf.DUMMYFUNCTION("IFS(AND(COUNTA(C320:C1673)=0,COUNTA(Q320:Q1673)=0),"""",OR(AND(K320&gt;=1000000000,OR(Y320&gt;=1000000000,COUNTA(Q320:Q1673)=0)),OR(Y320&gt;=1000000000,AND(COUNTA(C320:C1673)=0,P$3=TRUE))),
ROUNDDOWN((AB$1-AC$1)*MAX(INDEX(T$4:T1673,MATCH(LARGE(FILTER(Y$4:Y1673,Y$4"&amp;":Y1673&lt;1000000000),1),Y$4:Y1673)),INDEX(F$4:F1673,MATCH(LARGE(FILTER(K$4:K1673,K$4:K1673&lt;1000000000),1),K$4:K1673)))),AND(K320&lt;1000000000,COUNTA(C320:C1673)&gt;0,P$3=FALSE),
ROUNDDOWN(INDEX(Y$4:Y1673,MATCH(LARGE(FILTER(W$4:W1673,W$4:W1673&lt;=I320),1),W$4:W1673"&amp;"))+(I320-LARGE(FILTER(W$4:W1673,W$4:W1673&lt;=I320),1))*INDEX(T$4:T1673,MATCH(LARGE(FILTER(W$4:W1673,W$4:W1673&lt;=I320),1),W$4:W1673))-K320),1,
ROUNDDOWN(Y320-INDEX(K$4:K1673,MATCH(LARGE(FILTER(I$4:I1673,I$4:I1673&lt;=W320),1),I$4:I1673))-(W320-LARGE(FILTER(I$4:I"&amp;"1673,I$4:I1673&lt;=W320),1))*INDEX(F$4:F1673,MATCH(LARGE(FILTER(I$4:I1673,I$4:I1673&lt;=W320),1),I$4:I1673))))"),7.4451309E7)</f>
        <v>74451309</v>
      </c>
      <c r="N320" s="60">
        <f t="shared" si="8"/>
        <v>-181.59077</v>
      </c>
      <c r="O320" s="61" t="str">
        <f t="shared" si="9"/>
        <v>74,5M</v>
      </c>
      <c r="P320" s="56">
        <f t="shared" si="10"/>
        <v>39</v>
      </c>
      <c r="Q320" s="105" t="s">
        <v>61</v>
      </c>
      <c r="R320" s="10"/>
      <c r="S320" s="59">
        <f t="array" ref="S320">IF(COUNTA(Q320:Q1673)=0,"",SUM((COUNTIF(Q$4:Q320,Upgrades!$B$3:$B$13)-COUNTIF(Q$4:Q320,"Sell_"&amp;Upgrades!$B$3:$B$13))*Upgrades!$D$3:$D$13))</f>
        <v>431352.4</v>
      </c>
      <c r="T320" s="66">
        <f>IFERROR(__xludf.DUMMYFUNCTION("IF(COUNTA(Q320:Q1673)=0,"""",IF(REGEXMATCH(INDEX(FILTER(Q$4:Q320,Q$4:Q320&lt;&gt;""""),ROWS(FILTER(Q$4:Q320,Q$4:Q320&lt;&gt;""""))),""^Sell_""),INDEX(FILTER(T$4:T319,Q$4:Q319&lt;&gt;""""),ROWS(FILTER(Q$4:Q319,Q$4:Q319&lt;&gt;""""))),$AD$5+S320))"),438433.4)</f>
        <v>438433.4</v>
      </c>
      <c r="U320" s="10">
        <f>IFERROR(__xludf.DUMMYFUNCTION("IF(COUNTA(Q320:Q1673)=0,"""",IF(Q320="""",0,IF(REGEXMATCH(Q320,""^Sell_""),-ROUNDDOWN(ROUNDUP(INDEX(Upgrades!$C$3:$C$13,MATCH(SUBSTITUTE(Q320,""Sell_"",""""),Upgrades!$B$3:$B$13,0))*1.15^(COUNTIF(Q$4:Q319,SUBSTITUTE(Q320,""Sell_"",""""))-COUNTIF(Q$4:Q319,"&amp;"""Sell_""&amp;SUBSTITUTE(Q320,""Sell_"",""""))))/2),ROUNDUP(INDEX(Upgrades!$C$3:$C$13,MATCH(Q320,Upgrades!$B$3:$B$13,0))*1.15^(COUNTIF(Q$4:Q319,Q320)-COUNTIF(Q$4:Q319,""Sell_""&amp;Q320))))))"),-141514.0)</f>
        <v>-141514</v>
      </c>
      <c r="V320" s="10">
        <f t="shared" si="11"/>
        <v>-14345408</v>
      </c>
      <c r="W320" s="68">
        <f t="shared" si="12"/>
        <v>7011.639592</v>
      </c>
      <c r="X320" s="59" t="str">
        <f t="shared" si="13"/>
        <v>1h 56m 51s</v>
      </c>
      <c r="Y320" s="69">
        <f t="shared" si="14"/>
        <v>666225716</v>
      </c>
      <c r="Z320" s="11"/>
    </row>
    <row r="321">
      <c r="A321" s="8"/>
      <c r="B321" s="56" t="str">
        <f t="shared" si="2"/>
        <v/>
      </c>
      <c r="C321" s="105"/>
      <c r="D321" s="10"/>
      <c r="E321" s="59" t="str">
        <f t="array" ref="E321">IF(COUNTA(C321:C1673)=0,"",SUM((COUNTIF(C$4:C321,Upgrades!$B$3:$B$13)-COUNTIF(C$4:C321,"Sell_"&amp;Upgrades!$B$3:$B$13))*Upgrades!$D$3:$D$13))</f>
        <v/>
      </c>
      <c r="F321" s="66" t="str">
        <f>IFERROR(__xludf.DUMMYFUNCTION("IF(COUNTA(C321:C1673)=0,"""",IF(REGEXMATCH(INDEX(FILTER(C$4:C321,C$4:C321&lt;&gt;""""),ROWS(FILTER(C$4:C321,C$4:C321&lt;&gt;""""))),""^Sell_""),INDEX(FILTER(F$4:F320,C$4:C320&lt;&gt;""""),ROWS(FILTER(C$4:C320,C$4:C320&lt;&gt;""""))),$AC$5+E321))"),"")</f>
        <v/>
      </c>
      <c r="G321" s="10" t="str">
        <f>IFERROR(__xludf.DUMMYFUNCTION("IF(COUNTA(C321:C1673)=0,"""",IF(C321="""",0,IF(REGEXMATCH(C321,""^Sell_""),-ROUNDDOWN(ROUNDUP(INDEX(Upgrades!$C$3:$C$13,MATCH(SUBSTITUTE(C321,""Sell_"",""""),Upgrades!$B$3:$B$13,0))*1.15^(COUNTIF(C$4:C320,SUBSTITUTE(C321,""Sell_"",""""))-COUNTIF(C$4:C320,"&amp;"""Sell_""&amp;SUBSTITUTE(C321,""Sell_"",""""))))/2),ROUNDUP(INDEX(Upgrades!$C$3:$C$13,MATCH(C321,Upgrades!$B$3:$B$13,0))*1.15^(COUNTIF(C$4:C320,C321)-COUNTIF(C$4:C320,""Sell_""&amp;C321))))))"),"")</f>
        <v/>
      </c>
      <c r="H321" s="10" t="str">
        <f t="shared" si="3"/>
        <v/>
      </c>
      <c r="I321" s="68" t="str">
        <f t="shared" si="4"/>
        <v/>
      </c>
      <c r="J321" s="59" t="str">
        <f t="shared" si="5"/>
        <v/>
      </c>
      <c r="K321" s="69" t="str">
        <f t="shared" si="6"/>
        <v/>
      </c>
      <c r="L321" s="60">
        <f t="shared" si="7"/>
        <v>-181.59077</v>
      </c>
      <c r="M321" s="61">
        <f>IFERROR(__xludf.DUMMYFUNCTION("IFS(AND(COUNTA(C321:C1673)=0,COUNTA(Q321:Q1673)=0),"""",OR(AND(K321&gt;=1000000000,OR(Y321&gt;=1000000000,COUNTA(Q321:Q1673)=0)),OR(Y321&gt;=1000000000,AND(COUNTA(C321:C1673)=0,P$3=TRUE))),
ROUNDDOWN((AB$1-AC$1)*MAX(INDEX(T$4:T1673,MATCH(LARGE(FILTER(Y$4:Y1673,Y$4"&amp;":Y1673&lt;1000000000),1),Y$4:Y1673)),INDEX(F$4:F1673,MATCH(LARGE(FILTER(K$4:K1673,K$4:K1673&lt;1000000000),1),K$4:K1673)))),AND(K321&lt;1000000000,COUNTA(C321:C1673)&gt;0,P$3=FALSE),
ROUNDDOWN(INDEX(Y$4:Y1673,MATCH(LARGE(FILTER(W$4:W1673,W$4:W1673&lt;=I321),1),W$4:W1673"&amp;"))+(I321-LARGE(FILTER(W$4:W1673,W$4:W1673&lt;=I321),1))*INDEX(T$4:T1673,MATCH(LARGE(FILTER(W$4:W1673,W$4:W1673&lt;=I321),1),W$4:W1673))-K321),1,
ROUNDDOWN(Y321-INDEX(K$4:K1673,MATCH(LARGE(FILTER(I$4:I1673,I$4:I1673&lt;=W321),1),I$4:I1673))-(W321-LARGE(FILTER(I$4:I"&amp;"1673,I$4:I1673&lt;=W321),1))*INDEX(F$4:F1673,MATCH(LARGE(FILTER(I$4:I1673,I$4:I1673&lt;=W321),1),I$4:I1673))))"),7.4451309E7)</f>
        <v>74451309</v>
      </c>
      <c r="N321" s="60">
        <f t="shared" si="8"/>
        <v>-181.59077</v>
      </c>
      <c r="O321" s="61" t="str">
        <f t="shared" si="9"/>
        <v>74,5M</v>
      </c>
      <c r="P321" s="56">
        <f t="shared" si="10"/>
        <v>40</v>
      </c>
      <c r="Q321" s="105" t="s">
        <v>61</v>
      </c>
      <c r="R321" s="10"/>
      <c r="S321" s="59">
        <f t="array" ref="S321">IF(COUNTA(Q321:Q1673)=0,"",SUM((COUNTIF(Q$4:Q321,Upgrades!$B$3:$B$13)-COUNTIF(Q$4:Q321,"Sell_"&amp;Upgrades!$B$3:$B$13))*Upgrades!$D$3:$D$13))</f>
        <v>431252.4</v>
      </c>
      <c r="T321" s="66">
        <f>IFERROR(__xludf.DUMMYFUNCTION("IF(COUNTA(Q321:Q1673)=0,"""",IF(REGEXMATCH(INDEX(FILTER(Q$4:Q321,Q$4:Q321&lt;&gt;""""),ROWS(FILTER(Q$4:Q321,Q$4:Q321&lt;&gt;""""))),""^Sell_""),INDEX(FILTER(T$4:T320,Q$4:Q320&lt;&gt;""""),ROWS(FILTER(Q$4:Q320,Q$4:Q320&lt;&gt;""""))),$AD$5+S321))"),438433.4)</f>
        <v>438433.4</v>
      </c>
      <c r="U321" s="10">
        <f>IFERROR(__xludf.DUMMYFUNCTION("IF(COUNTA(Q321:Q1673)=0,"""",IF(Q321="""",0,IF(REGEXMATCH(Q321,""^Sell_""),-ROUNDDOWN(ROUNDUP(INDEX(Upgrades!$C$3:$C$13,MATCH(SUBSTITUTE(Q321,""Sell_"",""""),Upgrades!$B$3:$B$13,0))*1.15^(COUNTIF(Q$4:Q320,SUBSTITUTE(Q321,""Sell_"",""""))-COUNTIF(Q$4:Q320,"&amp;"""Sell_""&amp;SUBSTITUTE(Q321,""Sell_"",""""))))/2),ROUNDUP(INDEX(Upgrades!$C$3:$C$13,MATCH(Q321,Upgrades!$B$3:$B$13,0))*1.15^(COUNTIF(Q$4:Q320,Q321)-COUNTIF(Q$4:Q320,""Sell_""&amp;Q321))))))"),-123056.0)</f>
        <v>-123056</v>
      </c>
      <c r="V321" s="10">
        <f t="shared" si="11"/>
        <v>-14468464</v>
      </c>
      <c r="W321" s="68">
        <f t="shared" si="12"/>
        <v>7011.639592</v>
      </c>
      <c r="X321" s="59" t="str">
        <f t="shared" si="13"/>
        <v>1h 56m 51s</v>
      </c>
      <c r="Y321" s="69">
        <f t="shared" si="14"/>
        <v>666225716</v>
      </c>
      <c r="Z321" s="11"/>
    </row>
    <row r="322">
      <c r="A322" s="8"/>
      <c r="B322" s="56" t="str">
        <f t="shared" si="2"/>
        <v/>
      </c>
      <c r="C322" s="105"/>
      <c r="D322" s="10"/>
      <c r="E322" s="59" t="str">
        <f t="array" ref="E322">IF(COUNTA(C322:C1673)=0,"",SUM((COUNTIF(C$4:C322,Upgrades!$B$3:$B$13)-COUNTIF(C$4:C322,"Sell_"&amp;Upgrades!$B$3:$B$13))*Upgrades!$D$3:$D$13))</f>
        <v/>
      </c>
      <c r="F322" s="66" t="str">
        <f>IFERROR(__xludf.DUMMYFUNCTION("IF(COUNTA(C322:C1673)=0,"""",IF(REGEXMATCH(INDEX(FILTER(C$4:C322,C$4:C322&lt;&gt;""""),ROWS(FILTER(C$4:C322,C$4:C322&lt;&gt;""""))),""^Sell_""),INDEX(FILTER(F$4:F321,C$4:C321&lt;&gt;""""),ROWS(FILTER(C$4:C321,C$4:C321&lt;&gt;""""))),$AC$5+E322))"),"")</f>
        <v/>
      </c>
      <c r="G322" s="10" t="str">
        <f>IFERROR(__xludf.DUMMYFUNCTION("IF(COUNTA(C322:C1673)=0,"""",IF(C322="""",0,IF(REGEXMATCH(C322,""^Sell_""),-ROUNDDOWN(ROUNDUP(INDEX(Upgrades!$C$3:$C$13,MATCH(SUBSTITUTE(C322,""Sell_"",""""),Upgrades!$B$3:$B$13,0))*1.15^(COUNTIF(C$4:C321,SUBSTITUTE(C322,""Sell_"",""""))-COUNTIF(C$4:C321,"&amp;"""Sell_""&amp;SUBSTITUTE(C322,""Sell_"",""""))))/2),ROUNDUP(INDEX(Upgrades!$C$3:$C$13,MATCH(C322,Upgrades!$B$3:$B$13,0))*1.15^(COUNTIF(C$4:C321,C322)-COUNTIF(C$4:C321,""Sell_""&amp;C322))))))"),"")</f>
        <v/>
      </c>
      <c r="H322" s="10" t="str">
        <f t="shared" si="3"/>
        <v/>
      </c>
      <c r="I322" s="68" t="str">
        <f t="shared" si="4"/>
        <v/>
      </c>
      <c r="J322" s="59" t="str">
        <f t="shared" si="5"/>
        <v/>
      </c>
      <c r="K322" s="69" t="str">
        <f t="shared" si="6"/>
        <v/>
      </c>
      <c r="L322" s="60">
        <f t="shared" si="7"/>
        <v>-181.59077</v>
      </c>
      <c r="M322" s="61">
        <f>IFERROR(__xludf.DUMMYFUNCTION("IFS(AND(COUNTA(C322:C1673)=0,COUNTA(Q322:Q1673)=0),"""",OR(AND(K322&gt;=1000000000,OR(Y322&gt;=1000000000,COUNTA(Q322:Q1673)=0)),OR(Y322&gt;=1000000000,AND(COUNTA(C322:C1673)=0,P$3=TRUE))),
ROUNDDOWN((AB$1-AC$1)*MAX(INDEX(T$4:T1673,MATCH(LARGE(FILTER(Y$4:Y1673,Y$4"&amp;":Y1673&lt;1000000000),1),Y$4:Y1673)),INDEX(F$4:F1673,MATCH(LARGE(FILTER(K$4:K1673,K$4:K1673&lt;1000000000),1),K$4:K1673)))),AND(K322&lt;1000000000,COUNTA(C322:C1673)&gt;0,P$3=FALSE),
ROUNDDOWN(INDEX(Y$4:Y1673,MATCH(LARGE(FILTER(W$4:W1673,W$4:W1673&lt;=I322),1),W$4:W1673"&amp;"))+(I322-LARGE(FILTER(W$4:W1673,W$4:W1673&lt;=I322),1))*INDEX(T$4:T1673,MATCH(LARGE(FILTER(W$4:W1673,W$4:W1673&lt;=I322),1),W$4:W1673))-K322),1,
ROUNDDOWN(Y322-INDEX(K$4:K1673,MATCH(LARGE(FILTER(I$4:I1673,I$4:I1673&lt;=W322),1),I$4:I1673))-(W322-LARGE(FILTER(I$4:I"&amp;"1673,I$4:I1673&lt;=W322),1))*INDEX(F$4:F1673,MATCH(LARGE(FILTER(I$4:I1673,I$4:I1673&lt;=W322),1),I$4:I1673))))"),7.4451309E7)</f>
        <v>74451309</v>
      </c>
      <c r="N322" s="60">
        <f t="shared" si="8"/>
        <v>-181.59077</v>
      </c>
      <c r="O322" s="61" t="str">
        <f t="shared" si="9"/>
        <v>74,5M</v>
      </c>
      <c r="P322" s="56">
        <f t="shared" si="10"/>
        <v>41</v>
      </c>
      <c r="Q322" s="105" t="s">
        <v>61</v>
      </c>
      <c r="R322" s="10"/>
      <c r="S322" s="59">
        <f t="array" ref="S322">IF(COUNTA(Q322:Q1673)=0,"",SUM((COUNTIF(Q$4:Q322,Upgrades!$B$3:$B$13)-COUNTIF(Q$4:Q322,"Sell_"&amp;Upgrades!$B$3:$B$13))*Upgrades!$D$3:$D$13))</f>
        <v>431152.4</v>
      </c>
      <c r="T322" s="66">
        <f>IFERROR(__xludf.DUMMYFUNCTION("IF(COUNTA(Q322:Q1673)=0,"""",IF(REGEXMATCH(INDEX(FILTER(Q$4:Q322,Q$4:Q322&lt;&gt;""""),ROWS(FILTER(Q$4:Q322,Q$4:Q322&lt;&gt;""""))),""^Sell_""),INDEX(FILTER(T$4:T321,Q$4:Q321&lt;&gt;""""),ROWS(FILTER(Q$4:Q321,Q$4:Q321&lt;&gt;""""))),$AD$5+S322))"),438433.4)</f>
        <v>438433.4</v>
      </c>
      <c r="U322" s="10">
        <f>IFERROR(__xludf.DUMMYFUNCTION("IF(COUNTA(Q322:Q1673)=0,"""",IF(Q322="""",0,IF(REGEXMATCH(Q322,""^Sell_""),-ROUNDDOWN(ROUNDUP(INDEX(Upgrades!$C$3:$C$13,MATCH(SUBSTITUTE(Q322,""Sell_"",""""),Upgrades!$B$3:$B$13,0))*1.15^(COUNTIF(Q$4:Q321,SUBSTITUTE(Q322,""Sell_"",""""))-COUNTIF(Q$4:Q321,"&amp;"""Sell_""&amp;SUBSTITUTE(Q322,""Sell_"",""""))))/2),ROUNDUP(INDEX(Upgrades!$C$3:$C$13,MATCH(Q322,Upgrades!$B$3:$B$13,0))*1.15^(COUNTIF(Q$4:Q321,Q322)-COUNTIF(Q$4:Q321,""Sell_""&amp;Q322))))))"),-107005.0)</f>
        <v>-107005</v>
      </c>
      <c r="V322" s="10">
        <f t="shared" si="11"/>
        <v>-14575469</v>
      </c>
      <c r="W322" s="68">
        <f t="shared" si="12"/>
        <v>7011.639592</v>
      </c>
      <c r="X322" s="59" t="str">
        <f t="shared" si="13"/>
        <v>1h 56m 51s</v>
      </c>
      <c r="Y322" s="69">
        <f t="shared" si="14"/>
        <v>666225716</v>
      </c>
      <c r="Z322" s="11"/>
    </row>
    <row r="323">
      <c r="A323" s="8"/>
      <c r="B323" s="56" t="str">
        <f t="shared" si="2"/>
        <v/>
      </c>
      <c r="C323" s="105"/>
      <c r="D323" s="10"/>
      <c r="E323" s="59" t="str">
        <f t="array" ref="E323">IF(COUNTA(C323:C1673)=0,"",SUM((COUNTIF(C$4:C323,Upgrades!$B$3:$B$13)-COUNTIF(C$4:C323,"Sell_"&amp;Upgrades!$B$3:$B$13))*Upgrades!$D$3:$D$13))</f>
        <v/>
      </c>
      <c r="F323" s="66" t="str">
        <f>IFERROR(__xludf.DUMMYFUNCTION("IF(COUNTA(C323:C1673)=0,"""",IF(REGEXMATCH(INDEX(FILTER(C$4:C323,C$4:C323&lt;&gt;""""),ROWS(FILTER(C$4:C323,C$4:C323&lt;&gt;""""))),""^Sell_""),INDEX(FILTER(F$4:F322,C$4:C322&lt;&gt;""""),ROWS(FILTER(C$4:C322,C$4:C322&lt;&gt;""""))),$AC$5+E323))"),"")</f>
        <v/>
      </c>
      <c r="G323" s="10" t="str">
        <f>IFERROR(__xludf.DUMMYFUNCTION("IF(COUNTA(C323:C1673)=0,"""",IF(C323="""",0,IF(REGEXMATCH(C323,""^Sell_""),-ROUNDDOWN(ROUNDUP(INDEX(Upgrades!$C$3:$C$13,MATCH(SUBSTITUTE(C323,""Sell_"",""""),Upgrades!$B$3:$B$13,0))*1.15^(COUNTIF(C$4:C322,SUBSTITUTE(C323,""Sell_"",""""))-COUNTIF(C$4:C322,"&amp;"""Sell_""&amp;SUBSTITUTE(C323,""Sell_"",""""))))/2),ROUNDUP(INDEX(Upgrades!$C$3:$C$13,MATCH(C323,Upgrades!$B$3:$B$13,0))*1.15^(COUNTIF(C$4:C322,C323)-COUNTIF(C$4:C322,""Sell_""&amp;C323))))))"),"")</f>
        <v/>
      </c>
      <c r="H323" s="10" t="str">
        <f t="shared" si="3"/>
        <v/>
      </c>
      <c r="I323" s="68" t="str">
        <f t="shared" si="4"/>
        <v/>
      </c>
      <c r="J323" s="59" t="str">
        <f t="shared" si="5"/>
        <v/>
      </c>
      <c r="K323" s="69" t="str">
        <f t="shared" si="6"/>
        <v/>
      </c>
      <c r="L323" s="60">
        <f t="shared" si="7"/>
        <v>-181.59077</v>
      </c>
      <c r="M323" s="61">
        <f>IFERROR(__xludf.DUMMYFUNCTION("IFS(AND(COUNTA(C323:C1673)=0,COUNTA(Q323:Q1673)=0),"""",OR(AND(K323&gt;=1000000000,OR(Y323&gt;=1000000000,COUNTA(Q323:Q1673)=0)),OR(Y323&gt;=1000000000,AND(COUNTA(C323:C1673)=0,P$3=TRUE))),
ROUNDDOWN((AB$1-AC$1)*MAX(INDEX(T$4:T1673,MATCH(LARGE(FILTER(Y$4:Y1673,Y$4"&amp;":Y1673&lt;1000000000),1),Y$4:Y1673)),INDEX(F$4:F1673,MATCH(LARGE(FILTER(K$4:K1673,K$4:K1673&lt;1000000000),1),K$4:K1673)))),AND(K323&lt;1000000000,COUNTA(C323:C1673)&gt;0,P$3=FALSE),
ROUNDDOWN(INDEX(Y$4:Y1673,MATCH(LARGE(FILTER(W$4:W1673,W$4:W1673&lt;=I323),1),W$4:W1673"&amp;"))+(I323-LARGE(FILTER(W$4:W1673,W$4:W1673&lt;=I323),1))*INDEX(T$4:T1673,MATCH(LARGE(FILTER(W$4:W1673,W$4:W1673&lt;=I323),1),W$4:W1673))-K323),1,
ROUNDDOWN(Y323-INDEX(K$4:K1673,MATCH(LARGE(FILTER(I$4:I1673,I$4:I1673&lt;=W323),1),I$4:I1673))-(W323-LARGE(FILTER(I$4:I"&amp;"1673,I$4:I1673&lt;=W323),1))*INDEX(F$4:F1673,MATCH(LARGE(FILTER(I$4:I1673,I$4:I1673&lt;=W323),1),I$4:I1673))))"),7.4451309E7)</f>
        <v>74451309</v>
      </c>
      <c r="N323" s="60">
        <f t="shared" si="8"/>
        <v>-181.59077</v>
      </c>
      <c r="O323" s="61" t="str">
        <f t="shared" si="9"/>
        <v>74,5M</v>
      </c>
      <c r="P323" s="56">
        <f t="shared" si="10"/>
        <v>42</v>
      </c>
      <c r="Q323" s="105" t="s">
        <v>61</v>
      </c>
      <c r="R323" s="10"/>
      <c r="S323" s="59">
        <f t="array" ref="S323">IF(COUNTA(Q323:Q1673)=0,"",SUM((COUNTIF(Q$4:Q323,Upgrades!$B$3:$B$13)-COUNTIF(Q$4:Q323,"Sell_"&amp;Upgrades!$B$3:$B$13))*Upgrades!$D$3:$D$13))</f>
        <v>431052.4</v>
      </c>
      <c r="T323" s="66">
        <f>IFERROR(__xludf.DUMMYFUNCTION("IF(COUNTA(Q323:Q1673)=0,"""",IF(REGEXMATCH(INDEX(FILTER(Q$4:Q323,Q$4:Q323&lt;&gt;""""),ROWS(FILTER(Q$4:Q323,Q$4:Q323&lt;&gt;""""))),""^Sell_""),INDEX(FILTER(T$4:T322,Q$4:Q322&lt;&gt;""""),ROWS(FILTER(Q$4:Q322,Q$4:Q322&lt;&gt;""""))),$AD$5+S323))"),438433.4)</f>
        <v>438433.4</v>
      </c>
      <c r="U323" s="10">
        <f>IFERROR(__xludf.DUMMYFUNCTION("IF(COUNTA(Q323:Q1673)=0,"""",IF(Q323="""",0,IF(REGEXMATCH(Q323,""^Sell_""),-ROUNDDOWN(ROUNDUP(INDEX(Upgrades!$C$3:$C$13,MATCH(SUBSTITUTE(Q323,""Sell_"",""""),Upgrades!$B$3:$B$13,0))*1.15^(COUNTIF(Q$4:Q322,SUBSTITUTE(Q323,""Sell_"",""""))-COUNTIF(Q$4:Q322,"&amp;"""Sell_""&amp;SUBSTITUTE(Q323,""Sell_"",""""))))/2),ROUNDUP(INDEX(Upgrades!$C$3:$C$13,MATCH(Q323,Upgrades!$B$3:$B$13,0))*1.15^(COUNTIF(Q$4:Q322,Q323)-COUNTIF(Q$4:Q322,""Sell_""&amp;Q323))))))"),-93048.0)</f>
        <v>-93048</v>
      </c>
      <c r="V323" s="10">
        <f t="shared" si="11"/>
        <v>-14668517</v>
      </c>
      <c r="W323" s="68">
        <f t="shared" si="12"/>
        <v>7011.639592</v>
      </c>
      <c r="X323" s="59" t="str">
        <f t="shared" si="13"/>
        <v>1h 56m 51s</v>
      </c>
      <c r="Y323" s="69">
        <f t="shared" si="14"/>
        <v>666225716</v>
      </c>
      <c r="Z323" s="11"/>
    </row>
    <row r="324">
      <c r="A324" s="8"/>
      <c r="B324" s="56" t="str">
        <f t="shared" si="2"/>
        <v/>
      </c>
      <c r="C324" s="105"/>
      <c r="D324" s="10"/>
      <c r="E324" s="59" t="str">
        <f t="array" ref="E324">IF(COUNTA(C324:C1673)=0,"",SUM((COUNTIF(C$4:C324,Upgrades!$B$3:$B$13)-COUNTIF(C$4:C324,"Sell_"&amp;Upgrades!$B$3:$B$13))*Upgrades!$D$3:$D$13))</f>
        <v/>
      </c>
      <c r="F324" s="66" t="str">
        <f>IFERROR(__xludf.DUMMYFUNCTION("IF(COUNTA(C324:C1673)=0,"""",IF(REGEXMATCH(INDEX(FILTER(C$4:C324,C$4:C324&lt;&gt;""""),ROWS(FILTER(C$4:C324,C$4:C324&lt;&gt;""""))),""^Sell_""),INDEX(FILTER(F$4:F323,C$4:C323&lt;&gt;""""),ROWS(FILTER(C$4:C323,C$4:C323&lt;&gt;""""))),$AC$5+E324))"),"")</f>
        <v/>
      </c>
      <c r="G324" s="10" t="str">
        <f>IFERROR(__xludf.DUMMYFUNCTION("IF(COUNTA(C324:C1673)=0,"""",IF(C324="""",0,IF(REGEXMATCH(C324,""^Sell_""),-ROUNDDOWN(ROUNDUP(INDEX(Upgrades!$C$3:$C$13,MATCH(SUBSTITUTE(C324,""Sell_"",""""),Upgrades!$B$3:$B$13,0))*1.15^(COUNTIF(C$4:C323,SUBSTITUTE(C324,""Sell_"",""""))-COUNTIF(C$4:C323,"&amp;"""Sell_""&amp;SUBSTITUTE(C324,""Sell_"",""""))))/2),ROUNDUP(INDEX(Upgrades!$C$3:$C$13,MATCH(C324,Upgrades!$B$3:$B$13,0))*1.15^(COUNTIF(C$4:C323,C324)-COUNTIF(C$4:C323,""Sell_""&amp;C324))))))"),"")</f>
        <v/>
      </c>
      <c r="H324" s="10" t="str">
        <f t="shared" si="3"/>
        <v/>
      </c>
      <c r="I324" s="68" t="str">
        <f t="shared" si="4"/>
        <v/>
      </c>
      <c r="J324" s="59" t="str">
        <f t="shared" si="5"/>
        <v/>
      </c>
      <c r="K324" s="69" t="str">
        <f t="shared" si="6"/>
        <v/>
      </c>
      <c r="L324" s="60">
        <f t="shared" si="7"/>
        <v>-181.59077</v>
      </c>
      <c r="M324" s="61">
        <f>IFERROR(__xludf.DUMMYFUNCTION("IFS(AND(COUNTA(C324:C1673)=0,COUNTA(Q324:Q1673)=0),"""",OR(AND(K324&gt;=1000000000,OR(Y324&gt;=1000000000,COUNTA(Q324:Q1673)=0)),OR(Y324&gt;=1000000000,AND(COUNTA(C324:C1673)=0,P$3=TRUE))),
ROUNDDOWN((AB$1-AC$1)*MAX(INDEX(T$4:T1673,MATCH(LARGE(FILTER(Y$4:Y1673,Y$4"&amp;":Y1673&lt;1000000000),1),Y$4:Y1673)),INDEX(F$4:F1673,MATCH(LARGE(FILTER(K$4:K1673,K$4:K1673&lt;1000000000),1),K$4:K1673)))),AND(K324&lt;1000000000,COUNTA(C324:C1673)&gt;0,P$3=FALSE),
ROUNDDOWN(INDEX(Y$4:Y1673,MATCH(LARGE(FILTER(W$4:W1673,W$4:W1673&lt;=I324),1),W$4:W1673"&amp;"))+(I324-LARGE(FILTER(W$4:W1673,W$4:W1673&lt;=I324),1))*INDEX(T$4:T1673,MATCH(LARGE(FILTER(W$4:W1673,W$4:W1673&lt;=I324),1),W$4:W1673))-K324),1,
ROUNDDOWN(Y324-INDEX(K$4:K1673,MATCH(LARGE(FILTER(I$4:I1673,I$4:I1673&lt;=W324),1),I$4:I1673))-(W324-LARGE(FILTER(I$4:I"&amp;"1673,I$4:I1673&lt;=W324),1))*INDEX(F$4:F1673,MATCH(LARGE(FILTER(I$4:I1673,I$4:I1673&lt;=W324),1),I$4:I1673))))"),7.4451309E7)</f>
        <v>74451309</v>
      </c>
      <c r="N324" s="60">
        <f t="shared" si="8"/>
        <v>-181.59077</v>
      </c>
      <c r="O324" s="61" t="str">
        <f t="shared" si="9"/>
        <v>74,5M</v>
      </c>
      <c r="P324" s="56">
        <f t="shared" si="10"/>
        <v>43</v>
      </c>
      <c r="Q324" s="105" t="s">
        <v>61</v>
      </c>
      <c r="R324" s="10"/>
      <c r="S324" s="59">
        <f t="array" ref="S324">IF(COUNTA(Q324:Q1673)=0,"",SUM((COUNTIF(Q$4:Q324,Upgrades!$B$3:$B$13)-COUNTIF(Q$4:Q324,"Sell_"&amp;Upgrades!$B$3:$B$13))*Upgrades!$D$3:$D$13))</f>
        <v>430952.4</v>
      </c>
      <c r="T324" s="66">
        <f>IFERROR(__xludf.DUMMYFUNCTION("IF(COUNTA(Q324:Q1673)=0,"""",IF(REGEXMATCH(INDEX(FILTER(Q$4:Q324,Q$4:Q324&lt;&gt;""""),ROWS(FILTER(Q$4:Q324,Q$4:Q324&lt;&gt;""""))),""^Sell_""),INDEX(FILTER(T$4:T323,Q$4:Q323&lt;&gt;""""),ROWS(FILTER(Q$4:Q323,Q$4:Q323&lt;&gt;""""))),$AD$5+S324))"),438433.4)</f>
        <v>438433.4</v>
      </c>
      <c r="U324" s="10">
        <f>IFERROR(__xludf.DUMMYFUNCTION("IF(COUNTA(Q324:Q1673)=0,"""",IF(Q324="""",0,IF(REGEXMATCH(Q324,""^Sell_""),-ROUNDDOWN(ROUNDUP(INDEX(Upgrades!$C$3:$C$13,MATCH(SUBSTITUTE(Q324,""Sell_"",""""),Upgrades!$B$3:$B$13,0))*1.15^(COUNTIF(Q$4:Q323,SUBSTITUTE(Q324,""Sell_"",""""))-COUNTIF(Q$4:Q323,"&amp;"""Sell_""&amp;SUBSTITUTE(Q324,""Sell_"",""""))))/2),ROUNDUP(INDEX(Upgrades!$C$3:$C$13,MATCH(Q324,Upgrades!$B$3:$B$13,0))*1.15^(COUNTIF(Q$4:Q323,Q324)-COUNTIF(Q$4:Q323,""Sell_""&amp;Q324))))))"),-80911.0)</f>
        <v>-80911</v>
      </c>
      <c r="V324" s="10">
        <f t="shared" si="11"/>
        <v>-14749428</v>
      </c>
      <c r="W324" s="68">
        <f t="shared" si="12"/>
        <v>7011.639592</v>
      </c>
      <c r="X324" s="59" t="str">
        <f t="shared" si="13"/>
        <v>1h 56m 51s</v>
      </c>
      <c r="Y324" s="69">
        <f t="shared" si="14"/>
        <v>666225716</v>
      </c>
      <c r="Z324" s="11"/>
    </row>
    <row r="325">
      <c r="A325" s="8"/>
      <c r="B325" s="56" t="str">
        <f t="shared" si="2"/>
        <v/>
      </c>
      <c r="C325" s="105"/>
      <c r="D325" s="10"/>
      <c r="E325" s="59" t="str">
        <f t="array" ref="E325">IF(COUNTA(C325:C1673)=0,"",SUM((COUNTIF(C$4:C325,Upgrades!$B$3:$B$13)-COUNTIF(C$4:C325,"Sell_"&amp;Upgrades!$B$3:$B$13))*Upgrades!$D$3:$D$13))</f>
        <v/>
      </c>
      <c r="F325" s="66" t="str">
        <f>IFERROR(__xludf.DUMMYFUNCTION("IF(COUNTA(C325:C1673)=0,"""",IF(REGEXMATCH(INDEX(FILTER(C$4:C325,C$4:C325&lt;&gt;""""),ROWS(FILTER(C$4:C325,C$4:C325&lt;&gt;""""))),""^Sell_""),INDEX(FILTER(F$4:F324,C$4:C324&lt;&gt;""""),ROWS(FILTER(C$4:C324,C$4:C324&lt;&gt;""""))),$AC$5+E325))"),"")</f>
        <v/>
      </c>
      <c r="G325" s="10" t="str">
        <f>IFERROR(__xludf.DUMMYFUNCTION("IF(COUNTA(C325:C1673)=0,"""",IF(C325="""",0,IF(REGEXMATCH(C325,""^Sell_""),-ROUNDDOWN(ROUNDUP(INDEX(Upgrades!$C$3:$C$13,MATCH(SUBSTITUTE(C325,""Sell_"",""""),Upgrades!$B$3:$B$13,0))*1.15^(COUNTIF(C$4:C324,SUBSTITUTE(C325,""Sell_"",""""))-COUNTIF(C$4:C324,"&amp;"""Sell_""&amp;SUBSTITUTE(C325,""Sell_"",""""))))/2),ROUNDUP(INDEX(Upgrades!$C$3:$C$13,MATCH(C325,Upgrades!$B$3:$B$13,0))*1.15^(COUNTIF(C$4:C324,C325)-COUNTIF(C$4:C324,""Sell_""&amp;C325))))))"),"")</f>
        <v/>
      </c>
      <c r="H325" s="10" t="str">
        <f t="shared" si="3"/>
        <v/>
      </c>
      <c r="I325" s="68" t="str">
        <f t="shared" si="4"/>
        <v/>
      </c>
      <c r="J325" s="59" t="str">
        <f t="shared" si="5"/>
        <v/>
      </c>
      <c r="K325" s="69" t="str">
        <f t="shared" si="6"/>
        <v/>
      </c>
      <c r="L325" s="60">
        <f t="shared" si="7"/>
        <v>-181.59077</v>
      </c>
      <c r="M325" s="61">
        <f>IFERROR(__xludf.DUMMYFUNCTION("IFS(AND(COUNTA(C325:C1673)=0,COUNTA(Q325:Q1673)=0),"""",OR(AND(K325&gt;=1000000000,OR(Y325&gt;=1000000000,COUNTA(Q325:Q1673)=0)),OR(Y325&gt;=1000000000,AND(COUNTA(C325:C1673)=0,P$3=TRUE))),
ROUNDDOWN((AB$1-AC$1)*MAX(INDEX(T$4:T1673,MATCH(LARGE(FILTER(Y$4:Y1673,Y$4"&amp;":Y1673&lt;1000000000),1),Y$4:Y1673)),INDEX(F$4:F1673,MATCH(LARGE(FILTER(K$4:K1673,K$4:K1673&lt;1000000000),1),K$4:K1673)))),AND(K325&lt;1000000000,COUNTA(C325:C1673)&gt;0,P$3=FALSE),
ROUNDDOWN(INDEX(Y$4:Y1673,MATCH(LARGE(FILTER(W$4:W1673,W$4:W1673&lt;=I325),1),W$4:W1673"&amp;"))+(I325-LARGE(FILTER(W$4:W1673,W$4:W1673&lt;=I325),1))*INDEX(T$4:T1673,MATCH(LARGE(FILTER(W$4:W1673,W$4:W1673&lt;=I325),1),W$4:W1673))-K325),1,
ROUNDDOWN(Y325-INDEX(K$4:K1673,MATCH(LARGE(FILTER(I$4:I1673,I$4:I1673&lt;=W325),1),I$4:I1673))-(W325-LARGE(FILTER(I$4:I"&amp;"1673,I$4:I1673&lt;=W325),1))*INDEX(F$4:F1673,MATCH(LARGE(FILTER(I$4:I1673,I$4:I1673&lt;=W325),1),I$4:I1673))))"),7.4451309E7)</f>
        <v>74451309</v>
      </c>
      <c r="N325" s="60">
        <f t="shared" si="8"/>
        <v>-181.59077</v>
      </c>
      <c r="O325" s="61" t="str">
        <f t="shared" si="9"/>
        <v>74,5M</v>
      </c>
      <c r="P325" s="56">
        <f t="shared" si="10"/>
        <v>44</v>
      </c>
      <c r="Q325" s="105" t="s">
        <v>61</v>
      </c>
      <c r="R325" s="10"/>
      <c r="S325" s="59">
        <f t="array" ref="S325">IF(COUNTA(Q325:Q1673)=0,"",SUM((COUNTIF(Q$4:Q325,Upgrades!$B$3:$B$13)-COUNTIF(Q$4:Q325,"Sell_"&amp;Upgrades!$B$3:$B$13))*Upgrades!$D$3:$D$13))</f>
        <v>430852.4</v>
      </c>
      <c r="T325" s="66">
        <f>IFERROR(__xludf.DUMMYFUNCTION("IF(COUNTA(Q325:Q1673)=0,"""",IF(REGEXMATCH(INDEX(FILTER(Q$4:Q325,Q$4:Q325&lt;&gt;""""),ROWS(FILTER(Q$4:Q325,Q$4:Q325&lt;&gt;""""))),""^Sell_""),INDEX(FILTER(T$4:T324,Q$4:Q324&lt;&gt;""""),ROWS(FILTER(Q$4:Q324,Q$4:Q324&lt;&gt;""""))),$AD$5+S325))"),438433.4)</f>
        <v>438433.4</v>
      </c>
      <c r="U325" s="10">
        <f>IFERROR(__xludf.DUMMYFUNCTION("IF(COUNTA(Q325:Q1673)=0,"""",IF(Q325="""",0,IF(REGEXMATCH(Q325,""^Sell_""),-ROUNDDOWN(ROUNDUP(INDEX(Upgrades!$C$3:$C$13,MATCH(SUBSTITUTE(Q325,""Sell_"",""""),Upgrades!$B$3:$B$13,0))*1.15^(COUNTIF(Q$4:Q324,SUBSTITUTE(Q325,""Sell_"",""""))-COUNTIF(Q$4:Q324,"&amp;"""Sell_""&amp;SUBSTITUTE(Q325,""Sell_"",""""))))/2),ROUNDUP(INDEX(Upgrades!$C$3:$C$13,MATCH(Q325,Upgrades!$B$3:$B$13,0))*1.15^(COUNTIF(Q$4:Q324,Q325)-COUNTIF(Q$4:Q324,""Sell_""&amp;Q325))))))"),-70358.0)</f>
        <v>-70358</v>
      </c>
      <c r="V325" s="10">
        <f t="shared" si="11"/>
        <v>-14819786</v>
      </c>
      <c r="W325" s="68">
        <f t="shared" si="12"/>
        <v>7011.639592</v>
      </c>
      <c r="X325" s="59" t="str">
        <f t="shared" si="13"/>
        <v>1h 56m 51s</v>
      </c>
      <c r="Y325" s="69">
        <f t="shared" si="14"/>
        <v>666225716</v>
      </c>
      <c r="Z325" s="11"/>
    </row>
    <row r="326">
      <c r="A326" s="8"/>
      <c r="B326" s="56" t="str">
        <f t="shared" si="2"/>
        <v/>
      </c>
      <c r="C326" s="105"/>
      <c r="D326" s="10"/>
      <c r="E326" s="59" t="str">
        <f t="array" ref="E326">IF(COUNTA(C326:C1673)=0,"",SUM((COUNTIF(C$4:C326,Upgrades!$B$3:$B$13)-COUNTIF(C$4:C326,"Sell_"&amp;Upgrades!$B$3:$B$13))*Upgrades!$D$3:$D$13))</f>
        <v/>
      </c>
      <c r="F326" s="66" t="str">
        <f>IFERROR(__xludf.DUMMYFUNCTION("IF(COUNTA(C326:C1673)=0,"""",IF(REGEXMATCH(INDEX(FILTER(C$4:C326,C$4:C326&lt;&gt;""""),ROWS(FILTER(C$4:C326,C$4:C326&lt;&gt;""""))),""^Sell_""),INDEX(FILTER(F$4:F325,C$4:C325&lt;&gt;""""),ROWS(FILTER(C$4:C325,C$4:C325&lt;&gt;""""))),$AC$5+E326))"),"")</f>
        <v/>
      </c>
      <c r="G326" s="10" t="str">
        <f>IFERROR(__xludf.DUMMYFUNCTION("IF(COUNTA(C326:C1673)=0,"""",IF(C326="""",0,IF(REGEXMATCH(C326,""^Sell_""),-ROUNDDOWN(ROUNDUP(INDEX(Upgrades!$C$3:$C$13,MATCH(SUBSTITUTE(C326,""Sell_"",""""),Upgrades!$B$3:$B$13,0))*1.15^(COUNTIF(C$4:C325,SUBSTITUTE(C326,""Sell_"",""""))-COUNTIF(C$4:C325,"&amp;"""Sell_""&amp;SUBSTITUTE(C326,""Sell_"",""""))))/2),ROUNDUP(INDEX(Upgrades!$C$3:$C$13,MATCH(C326,Upgrades!$B$3:$B$13,0))*1.15^(COUNTIF(C$4:C325,C326)-COUNTIF(C$4:C325,""Sell_""&amp;C326))))))"),"")</f>
        <v/>
      </c>
      <c r="H326" s="10" t="str">
        <f t="shared" si="3"/>
        <v/>
      </c>
      <c r="I326" s="68" t="str">
        <f t="shared" si="4"/>
        <v/>
      </c>
      <c r="J326" s="59" t="str">
        <f t="shared" si="5"/>
        <v/>
      </c>
      <c r="K326" s="69" t="str">
        <f t="shared" si="6"/>
        <v/>
      </c>
      <c r="L326" s="60">
        <f t="shared" si="7"/>
        <v>-181.59077</v>
      </c>
      <c r="M326" s="61">
        <f>IFERROR(__xludf.DUMMYFUNCTION("IFS(AND(COUNTA(C326:C1673)=0,COUNTA(Q326:Q1673)=0),"""",OR(AND(K326&gt;=1000000000,OR(Y326&gt;=1000000000,COUNTA(Q326:Q1673)=0)),OR(Y326&gt;=1000000000,AND(COUNTA(C326:C1673)=0,P$3=TRUE))),
ROUNDDOWN((AB$1-AC$1)*MAX(INDEX(T$4:T1673,MATCH(LARGE(FILTER(Y$4:Y1673,Y$4"&amp;":Y1673&lt;1000000000),1),Y$4:Y1673)),INDEX(F$4:F1673,MATCH(LARGE(FILTER(K$4:K1673,K$4:K1673&lt;1000000000),1),K$4:K1673)))),AND(K326&lt;1000000000,COUNTA(C326:C1673)&gt;0,P$3=FALSE),
ROUNDDOWN(INDEX(Y$4:Y1673,MATCH(LARGE(FILTER(W$4:W1673,W$4:W1673&lt;=I326),1),W$4:W1673"&amp;"))+(I326-LARGE(FILTER(W$4:W1673,W$4:W1673&lt;=I326),1))*INDEX(T$4:T1673,MATCH(LARGE(FILTER(W$4:W1673,W$4:W1673&lt;=I326),1),W$4:W1673))-K326),1,
ROUNDDOWN(Y326-INDEX(K$4:K1673,MATCH(LARGE(FILTER(I$4:I1673,I$4:I1673&lt;=W326),1),I$4:I1673))-(W326-LARGE(FILTER(I$4:I"&amp;"1673,I$4:I1673&lt;=W326),1))*INDEX(F$4:F1673,MATCH(LARGE(FILTER(I$4:I1673,I$4:I1673&lt;=W326),1),I$4:I1673))))"),7.4451309E7)</f>
        <v>74451309</v>
      </c>
      <c r="N326" s="60">
        <f t="shared" si="8"/>
        <v>-181.59077</v>
      </c>
      <c r="O326" s="61" t="str">
        <f t="shared" si="9"/>
        <v>74,5M</v>
      </c>
      <c r="P326" s="56">
        <f t="shared" si="10"/>
        <v>45</v>
      </c>
      <c r="Q326" s="105" t="s">
        <v>61</v>
      </c>
      <c r="R326" s="10"/>
      <c r="S326" s="59">
        <f t="array" ref="S326">IF(COUNTA(Q326:Q1673)=0,"",SUM((COUNTIF(Q$4:Q326,Upgrades!$B$3:$B$13)-COUNTIF(Q$4:Q326,"Sell_"&amp;Upgrades!$B$3:$B$13))*Upgrades!$D$3:$D$13))</f>
        <v>430752.4</v>
      </c>
      <c r="T326" s="66">
        <f>IFERROR(__xludf.DUMMYFUNCTION("IF(COUNTA(Q326:Q1673)=0,"""",IF(REGEXMATCH(INDEX(FILTER(Q$4:Q326,Q$4:Q326&lt;&gt;""""),ROWS(FILTER(Q$4:Q326,Q$4:Q326&lt;&gt;""""))),""^Sell_""),INDEX(FILTER(T$4:T325,Q$4:Q325&lt;&gt;""""),ROWS(FILTER(Q$4:Q325,Q$4:Q325&lt;&gt;""""))),$AD$5+S326))"),438433.4)</f>
        <v>438433.4</v>
      </c>
      <c r="U326" s="10">
        <f>IFERROR(__xludf.DUMMYFUNCTION("IF(COUNTA(Q326:Q1673)=0,"""",IF(Q326="""",0,IF(REGEXMATCH(Q326,""^Sell_""),-ROUNDDOWN(ROUNDUP(INDEX(Upgrades!$C$3:$C$13,MATCH(SUBSTITUTE(Q326,""Sell_"",""""),Upgrades!$B$3:$B$13,0))*1.15^(COUNTIF(Q$4:Q325,SUBSTITUTE(Q326,""Sell_"",""""))-COUNTIF(Q$4:Q325,"&amp;"""Sell_""&amp;SUBSTITUTE(Q326,""Sell_"",""""))))/2),ROUNDUP(INDEX(Upgrades!$C$3:$C$13,MATCH(Q326,Upgrades!$B$3:$B$13,0))*1.15^(COUNTIF(Q$4:Q325,Q326)-COUNTIF(Q$4:Q325,""Sell_""&amp;Q326))))))"),-61180.0)</f>
        <v>-61180</v>
      </c>
      <c r="V326" s="10">
        <f t="shared" si="11"/>
        <v>-14880966</v>
      </c>
      <c r="W326" s="68">
        <f t="shared" si="12"/>
        <v>7011.639592</v>
      </c>
      <c r="X326" s="59" t="str">
        <f t="shared" si="13"/>
        <v>1h 56m 51s</v>
      </c>
      <c r="Y326" s="69">
        <f t="shared" si="14"/>
        <v>666225716</v>
      </c>
      <c r="Z326" s="11"/>
    </row>
    <row r="327">
      <c r="A327" s="8"/>
      <c r="B327" s="56" t="str">
        <f t="shared" si="2"/>
        <v/>
      </c>
      <c r="C327" s="105"/>
      <c r="D327" s="10"/>
      <c r="E327" s="59" t="str">
        <f t="array" ref="E327">IF(COUNTA(C327:C1673)=0,"",SUM((COUNTIF(C$4:C327,Upgrades!$B$3:$B$13)-COUNTIF(C$4:C327,"Sell_"&amp;Upgrades!$B$3:$B$13))*Upgrades!$D$3:$D$13))</f>
        <v/>
      </c>
      <c r="F327" s="66" t="str">
        <f>IFERROR(__xludf.DUMMYFUNCTION("IF(COUNTA(C327:C1673)=0,"""",IF(REGEXMATCH(INDEX(FILTER(C$4:C327,C$4:C327&lt;&gt;""""),ROWS(FILTER(C$4:C327,C$4:C327&lt;&gt;""""))),""^Sell_""),INDEX(FILTER(F$4:F326,C$4:C326&lt;&gt;""""),ROWS(FILTER(C$4:C326,C$4:C326&lt;&gt;""""))),$AC$5+E327))"),"")</f>
        <v/>
      </c>
      <c r="G327" s="10" t="str">
        <f>IFERROR(__xludf.DUMMYFUNCTION("IF(COUNTA(C327:C1673)=0,"""",IF(C327="""",0,IF(REGEXMATCH(C327,""^Sell_""),-ROUNDDOWN(ROUNDUP(INDEX(Upgrades!$C$3:$C$13,MATCH(SUBSTITUTE(C327,""Sell_"",""""),Upgrades!$B$3:$B$13,0))*1.15^(COUNTIF(C$4:C326,SUBSTITUTE(C327,""Sell_"",""""))-COUNTIF(C$4:C326,"&amp;"""Sell_""&amp;SUBSTITUTE(C327,""Sell_"",""""))))/2),ROUNDUP(INDEX(Upgrades!$C$3:$C$13,MATCH(C327,Upgrades!$B$3:$B$13,0))*1.15^(COUNTIF(C$4:C326,C327)-COUNTIF(C$4:C326,""Sell_""&amp;C327))))))"),"")</f>
        <v/>
      </c>
      <c r="H327" s="10" t="str">
        <f t="shared" si="3"/>
        <v/>
      </c>
      <c r="I327" s="68" t="str">
        <f t="shared" si="4"/>
        <v/>
      </c>
      <c r="J327" s="59" t="str">
        <f t="shared" si="5"/>
        <v/>
      </c>
      <c r="K327" s="69" t="str">
        <f t="shared" si="6"/>
        <v/>
      </c>
      <c r="L327" s="60">
        <f t="shared" si="7"/>
        <v>-181.59077</v>
      </c>
      <c r="M327" s="61">
        <f>IFERROR(__xludf.DUMMYFUNCTION("IFS(AND(COUNTA(C327:C1673)=0,COUNTA(Q327:Q1673)=0),"""",OR(AND(K327&gt;=1000000000,OR(Y327&gt;=1000000000,COUNTA(Q327:Q1673)=0)),OR(Y327&gt;=1000000000,AND(COUNTA(C327:C1673)=0,P$3=TRUE))),
ROUNDDOWN((AB$1-AC$1)*MAX(INDEX(T$4:T1673,MATCH(LARGE(FILTER(Y$4:Y1673,Y$4"&amp;":Y1673&lt;1000000000),1),Y$4:Y1673)),INDEX(F$4:F1673,MATCH(LARGE(FILTER(K$4:K1673,K$4:K1673&lt;1000000000),1),K$4:K1673)))),AND(K327&lt;1000000000,COUNTA(C327:C1673)&gt;0,P$3=FALSE),
ROUNDDOWN(INDEX(Y$4:Y1673,MATCH(LARGE(FILTER(W$4:W1673,W$4:W1673&lt;=I327),1),W$4:W1673"&amp;"))+(I327-LARGE(FILTER(W$4:W1673,W$4:W1673&lt;=I327),1))*INDEX(T$4:T1673,MATCH(LARGE(FILTER(W$4:W1673,W$4:W1673&lt;=I327),1),W$4:W1673))-K327),1,
ROUNDDOWN(Y327-INDEX(K$4:K1673,MATCH(LARGE(FILTER(I$4:I1673,I$4:I1673&lt;=W327),1),I$4:I1673))-(W327-LARGE(FILTER(I$4:I"&amp;"1673,I$4:I1673&lt;=W327),1))*INDEX(F$4:F1673,MATCH(LARGE(FILTER(I$4:I1673,I$4:I1673&lt;=W327),1),I$4:I1673))))"),7.4451309E7)</f>
        <v>74451309</v>
      </c>
      <c r="N327" s="60">
        <f t="shared" si="8"/>
        <v>-181.59077</v>
      </c>
      <c r="O327" s="61" t="str">
        <f t="shared" si="9"/>
        <v>74,5M</v>
      </c>
      <c r="P327" s="56">
        <f t="shared" si="10"/>
        <v>46</v>
      </c>
      <c r="Q327" s="105" t="s">
        <v>61</v>
      </c>
      <c r="R327" s="10"/>
      <c r="S327" s="59">
        <f t="array" ref="S327">IF(COUNTA(Q327:Q1673)=0,"",SUM((COUNTIF(Q$4:Q327,Upgrades!$B$3:$B$13)-COUNTIF(Q$4:Q327,"Sell_"&amp;Upgrades!$B$3:$B$13))*Upgrades!$D$3:$D$13))</f>
        <v>430652.4</v>
      </c>
      <c r="T327" s="66">
        <f>IFERROR(__xludf.DUMMYFUNCTION("IF(COUNTA(Q327:Q1673)=0,"""",IF(REGEXMATCH(INDEX(FILTER(Q$4:Q327,Q$4:Q327&lt;&gt;""""),ROWS(FILTER(Q$4:Q327,Q$4:Q327&lt;&gt;""""))),""^Sell_""),INDEX(FILTER(T$4:T326,Q$4:Q326&lt;&gt;""""),ROWS(FILTER(Q$4:Q326,Q$4:Q326&lt;&gt;""""))),$AD$5+S327))"),438433.4)</f>
        <v>438433.4</v>
      </c>
      <c r="U327" s="10">
        <f>IFERROR(__xludf.DUMMYFUNCTION("IF(COUNTA(Q327:Q1673)=0,"""",IF(Q327="""",0,IF(REGEXMATCH(Q327,""^Sell_""),-ROUNDDOWN(ROUNDUP(INDEX(Upgrades!$C$3:$C$13,MATCH(SUBSTITUTE(Q327,""Sell_"",""""),Upgrades!$B$3:$B$13,0))*1.15^(COUNTIF(Q$4:Q326,SUBSTITUTE(Q327,""Sell_"",""""))-COUNTIF(Q$4:Q326,"&amp;"""Sell_""&amp;SUBSTITUTE(Q327,""Sell_"",""""))))/2),ROUNDUP(INDEX(Upgrades!$C$3:$C$13,MATCH(Q327,Upgrades!$B$3:$B$13,0))*1.15^(COUNTIF(Q$4:Q326,Q327)-COUNTIF(Q$4:Q326,""Sell_""&amp;Q327))))))"),-53200.0)</f>
        <v>-53200</v>
      </c>
      <c r="V327" s="10">
        <f t="shared" si="11"/>
        <v>-14934166</v>
      </c>
      <c r="W327" s="68">
        <f t="shared" si="12"/>
        <v>7011.639592</v>
      </c>
      <c r="X327" s="59" t="str">
        <f t="shared" si="13"/>
        <v>1h 56m 51s</v>
      </c>
      <c r="Y327" s="69">
        <f t="shared" si="14"/>
        <v>666225716</v>
      </c>
      <c r="Z327" s="11"/>
    </row>
    <row r="328">
      <c r="A328" s="8"/>
      <c r="B328" s="56" t="str">
        <f t="shared" si="2"/>
        <v/>
      </c>
      <c r="C328" s="105"/>
      <c r="D328" s="10"/>
      <c r="E328" s="59" t="str">
        <f t="array" ref="E328">IF(COUNTA(C328:C1673)=0,"",SUM((COUNTIF(C$4:C328,Upgrades!$B$3:$B$13)-COUNTIF(C$4:C328,"Sell_"&amp;Upgrades!$B$3:$B$13))*Upgrades!$D$3:$D$13))</f>
        <v/>
      </c>
      <c r="F328" s="66" t="str">
        <f>IFERROR(__xludf.DUMMYFUNCTION("IF(COUNTA(C328:C1673)=0,"""",IF(REGEXMATCH(INDEX(FILTER(C$4:C328,C$4:C328&lt;&gt;""""),ROWS(FILTER(C$4:C328,C$4:C328&lt;&gt;""""))),""^Sell_""),INDEX(FILTER(F$4:F327,C$4:C327&lt;&gt;""""),ROWS(FILTER(C$4:C327,C$4:C327&lt;&gt;""""))),$AC$5+E328))"),"")</f>
        <v/>
      </c>
      <c r="G328" s="10" t="str">
        <f>IFERROR(__xludf.DUMMYFUNCTION("IF(COUNTA(C328:C1673)=0,"""",IF(C328="""",0,IF(REGEXMATCH(C328,""^Sell_""),-ROUNDDOWN(ROUNDUP(INDEX(Upgrades!$C$3:$C$13,MATCH(SUBSTITUTE(C328,""Sell_"",""""),Upgrades!$B$3:$B$13,0))*1.15^(COUNTIF(C$4:C327,SUBSTITUTE(C328,""Sell_"",""""))-COUNTIF(C$4:C327,"&amp;"""Sell_""&amp;SUBSTITUTE(C328,""Sell_"",""""))))/2),ROUNDUP(INDEX(Upgrades!$C$3:$C$13,MATCH(C328,Upgrades!$B$3:$B$13,0))*1.15^(COUNTIF(C$4:C327,C328)-COUNTIF(C$4:C327,""Sell_""&amp;C328))))))"),"")</f>
        <v/>
      </c>
      <c r="H328" s="10" t="str">
        <f t="shared" si="3"/>
        <v/>
      </c>
      <c r="I328" s="68" t="str">
        <f t="shared" si="4"/>
        <v/>
      </c>
      <c r="J328" s="59" t="str">
        <f t="shared" si="5"/>
        <v/>
      </c>
      <c r="K328" s="69" t="str">
        <f t="shared" si="6"/>
        <v/>
      </c>
      <c r="L328" s="60">
        <f t="shared" si="7"/>
        <v>-181.59077</v>
      </c>
      <c r="M328" s="61">
        <f>IFERROR(__xludf.DUMMYFUNCTION("IFS(AND(COUNTA(C328:C1673)=0,COUNTA(Q328:Q1673)=0),"""",OR(AND(K328&gt;=1000000000,OR(Y328&gt;=1000000000,COUNTA(Q328:Q1673)=0)),OR(Y328&gt;=1000000000,AND(COUNTA(C328:C1673)=0,P$3=TRUE))),
ROUNDDOWN((AB$1-AC$1)*MAX(INDEX(T$4:T1673,MATCH(LARGE(FILTER(Y$4:Y1673,Y$4"&amp;":Y1673&lt;1000000000),1),Y$4:Y1673)),INDEX(F$4:F1673,MATCH(LARGE(FILTER(K$4:K1673,K$4:K1673&lt;1000000000),1),K$4:K1673)))),AND(K328&lt;1000000000,COUNTA(C328:C1673)&gt;0,P$3=FALSE),
ROUNDDOWN(INDEX(Y$4:Y1673,MATCH(LARGE(FILTER(W$4:W1673,W$4:W1673&lt;=I328),1),W$4:W1673"&amp;"))+(I328-LARGE(FILTER(W$4:W1673,W$4:W1673&lt;=I328),1))*INDEX(T$4:T1673,MATCH(LARGE(FILTER(W$4:W1673,W$4:W1673&lt;=I328),1),W$4:W1673))-K328),1,
ROUNDDOWN(Y328-INDEX(K$4:K1673,MATCH(LARGE(FILTER(I$4:I1673,I$4:I1673&lt;=W328),1),I$4:I1673))-(W328-LARGE(FILTER(I$4:I"&amp;"1673,I$4:I1673&lt;=W328),1))*INDEX(F$4:F1673,MATCH(LARGE(FILTER(I$4:I1673,I$4:I1673&lt;=W328),1),I$4:I1673))))"),7.4451309E7)</f>
        <v>74451309</v>
      </c>
      <c r="N328" s="60">
        <f t="shared" si="8"/>
        <v>-181.59077</v>
      </c>
      <c r="O328" s="61" t="str">
        <f t="shared" si="9"/>
        <v>74,5M</v>
      </c>
      <c r="P328" s="56">
        <f t="shared" si="10"/>
        <v>47</v>
      </c>
      <c r="Q328" s="105" t="s">
        <v>61</v>
      </c>
      <c r="R328" s="10"/>
      <c r="S328" s="59">
        <f t="array" ref="S328">IF(COUNTA(Q328:Q1673)=0,"",SUM((COUNTIF(Q$4:Q328,Upgrades!$B$3:$B$13)-COUNTIF(Q$4:Q328,"Sell_"&amp;Upgrades!$B$3:$B$13))*Upgrades!$D$3:$D$13))</f>
        <v>430552.4</v>
      </c>
      <c r="T328" s="66">
        <f>IFERROR(__xludf.DUMMYFUNCTION("IF(COUNTA(Q328:Q1673)=0,"""",IF(REGEXMATCH(INDEX(FILTER(Q$4:Q328,Q$4:Q328&lt;&gt;""""),ROWS(FILTER(Q$4:Q328,Q$4:Q328&lt;&gt;""""))),""^Sell_""),INDEX(FILTER(T$4:T327,Q$4:Q327&lt;&gt;""""),ROWS(FILTER(Q$4:Q327,Q$4:Q327&lt;&gt;""""))),$AD$5+S328))"),438433.4)</f>
        <v>438433.4</v>
      </c>
      <c r="U328" s="10">
        <f>IFERROR(__xludf.DUMMYFUNCTION("IF(COUNTA(Q328:Q1673)=0,"""",IF(Q328="""",0,IF(REGEXMATCH(Q328,""^Sell_""),-ROUNDDOWN(ROUNDUP(INDEX(Upgrades!$C$3:$C$13,MATCH(SUBSTITUTE(Q328,""Sell_"",""""),Upgrades!$B$3:$B$13,0))*1.15^(COUNTIF(Q$4:Q327,SUBSTITUTE(Q328,""Sell_"",""""))-COUNTIF(Q$4:Q327,"&amp;"""Sell_""&amp;SUBSTITUTE(Q328,""Sell_"",""""))))/2),ROUNDUP(INDEX(Upgrades!$C$3:$C$13,MATCH(Q328,Upgrades!$B$3:$B$13,0))*1.15^(COUNTIF(Q$4:Q327,Q328)-COUNTIF(Q$4:Q327,""Sell_""&amp;Q328))))))"),-46261.0)</f>
        <v>-46261</v>
      </c>
      <c r="V328" s="10">
        <f t="shared" si="11"/>
        <v>-14980427</v>
      </c>
      <c r="W328" s="68">
        <f t="shared" si="12"/>
        <v>7011.639592</v>
      </c>
      <c r="X328" s="59" t="str">
        <f t="shared" si="13"/>
        <v>1h 56m 51s</v>
      </c>
      <c r="Y328" s="69">
        <f t="shared" si="14"/>
        <v>666225716</v>
      </c>
      <c r="Z328" s="11"/>
    </row>
    <row r="329">
      <c r="A329" s="8"/>
      <c r="B329" s="56" t="str">
        <f t="shared" si="2"/>
        <v/>
      </c>
      <c r="C329" s="105"/>
      <c r="D329" s="10"/>
      <c r="E329" s="59" t="str">
        <f t="array" ref="E329">IF(COUNTA(C329:C1673)=0,"",SUM((COUNTIF(C$4:C329,Upgrades!$B$3:$B$13)-COUNTIF(C$4:C329,"Sell_"&amp;Upgrades!$B$3:$B$13))*Upgrades!$D$3:$D$13))</f>
        <v/>
      </c>
      <c r="F329" s="66" t="str">
        <f>IFERROR(__xludf.DUMMYFUNCTION("IF(COUNTA(C329:C1673)=0,"""",IF(REGEXMATCH(INDEX(FILTER(C$4:C329,C$4:C329&lt;&gt;""""),ROWS(FILTER(C$4:C329,C$4:C329&lt;&gt;""""))),""^Sell_""),INDEX(FILTER(F$4:F328,C$4:C328&lt;&gt;""""),ROWS(FILTER(C$4:C328,C$4:C328&lt;&gt;""""))),$AC$5+E329))"),"")</f>
        <v/>
      </c>
      <c r="G329" s="10" t="str">
        <f>IFERROR(__xludf.DUMMYFUNCTION("IF(COUNTA(C329:C1673)=0,"""",IF(C329="""",0,IF(REGEXMATCH(C329,""^Sell_""),-ROUNDDOWN(ROUNDUP(INDEX(Upgrades!$C$3:$C$13,MATCH(SUBSTITUTE(C329,""Sell_"",""""),Upgrades!$B$3:$B$13,0))*1.15^(COUNTIF(C$4:C328,SUBSTITUTE(C329,""Sell_"",""""))-COUNTIF(C$4:C328,"&amp;"""Sell_""&amp;SUBSTITUTE(C329,""Sell_"",""""))))/2),ROUNDUP(INDEX(Upgrades!$C$3:$C$13,MATCH(C329,Upgrades!$B$3:$B$13,0))*1.15^(COUNTIF(C$4:C328,C329)-COUNTIF(C$4:C328,""Sell_""&amp;C329))))))"),"")</f>
        <v/>
      </c>
      <c r="H329" s="10" t="str">
        <f t="shared" si="3"/>
        <v/>
      </c>
      <c r="I329" s="68" t="str">
        <f t="shared" si="4"/>
        <v/>
      </c>
      <c r="J329" s="59" t="str">
        <f t="shared" si="5"/>
        <v/>
      </c>
      <c r="K329" s="69" t="str">
        <f t="shared" si="6"/>
        <v/>
      </c>
      <c r="L329" s="60">
        <f t="shared" si="7"/>
        <v>-181.59077</v>
      </c>
      <c r="M329" s="61">
        <f>IFERROR(__xludf.DUMMYFUNCTION("IFS(AND(COUNTA(C329:C1673)=0,COUNTA(Q329:Q1673)=0),"""",OR(AND(K329&gt;=1000000000,OR(Y329&gt;=1000000000,COUNTA(Q329:Q1673)=0)),OR(Y329&gt;=1000000000,AND(COUNTA(C329:C1673)=0,P$3=TRUE))),
ROUNDDOWN((AB$1-AC$1)*MAX(INDEX(T$4:T1673,MATCH(LARGE(FILTER(Y$4:Y1673,Y$4"&amp;":Y1673&lt;1000000000),1),Y$4:Y1673)),INDEX(F$4:F1673,MATCH(LARGE(FILTER(K$4:K1673,K$4:K1673&lt;1000000000),1),K$4:K1673)))),AND(K329&lt;1000000000,COUNTA(C329:C1673)&gt;0,P$3=FALSE),
ROUNDDOWN(INDEX(Y$4:Y1673,MATCH(LARGE(FILTER(W$4:W1673,W$4:W1673&lt;=I329),1),W$4:W1673"&amp;"))+(I329-LARGE(FILTER(W$4:W1673,W$4:W1673&lt;=I329),1))*INDEX(T$4:T1673,MATCH(LARGE(FILTER(W$4:W1673,W$4:W1673&lt;=I329),1),W$4:W1673))-K329),1,
ROUNDDOWN(Y329-INDEX(K$4:K1673,MATCH(LARGE(FILTER(I$4:I1673,I$4:I1673&lt;=W329),1),I$4:I1673))-(W329-LARGE(FILTER(I$4:I"&amp;"1673,I$4:I1673&lt;=W329),1))*INDEX(F$4:F1673,MATCH(LARGE(FILTER(I$4:I1673,I$4:I1673&lt;=W329),1),I$4:I1673))))"),7.4451309E7)</f>
        <v>74451309</v>
      </c>
      <c r="N329" s="60">
        <f t="shared" si="8"/>
        <v>-181.59077</v>
      </c>
      <c r="O329" s="61" t="str">
        <f t="shared" si="9"/>
        <v>74,5M</v>
      </c>
      <c r="P329" s="56">
        <f t="shared" si="10"/>
        <v>48</v>
      </c>
      <c r="Q329" s="105" t="s">
        <v>61</v>
      </c>
      <c r="R329" s="10"/>
      <c r="S329" s="59">
        <f t="array" ref="S329">IF(COUNTA(Q329:Q1673)=0,"",SUM((COUNTIF(Q$4:Q329,Upgrades!$B$3:$B$13)-COUNTIF(Q$4:Q329,"Sell_"&amp;Upgrades!$B$3:$B$13))*Upgrades!$D$3:$D$13))</f>
        <v>430452.4</v>
      </c>
      <c r="T329" s="66">
        <f>IFERROR(__xludf.DUMMYFUNCTION("IF(COUNTA(Q329:Q1673)=0,"""",IF(REGEXMATCH(INDEX(FILTER(Q$4:Q329,Q$4:Q329&lt;&gt;""""),ROWS(FILTER(Q$4:Q329,Q$4:Q329&lt;&gt;""""))),""^Sell_""),INDEX(FILTER(T$4:T328,Q$4:Q328&lt;&gt;""""),ROWS(FILTER(Q$4:Q328,Q$4:Q328&lt;&gt;""""))),$AD$5+S329))"),438433.4)</f>
        <v>438433.4</v>
      </c>
      <c r="U329" s="10">
        <f>IFERROR(__xludf.DUMMYFUNCTION("IF(COUNTA(Q329:Q1673)=0,"""",IF(Q329="""",0,IF(REGEXMATCH(Q329,""^Sell_""),-ROUNDDOWN(ROUNDUP(INDEX(Upgrades!$C$3:$C$13,MATCH(SUBSTITUTE(Q329,""Sell_"",""""),Upgrades!$B$3:$B$13,0))*1.15^(COUNTIF(Q$4:Q328,SUBSTITUTE(Q329,""Sell_"",""""))-COUNTIF(Q$4:Q328,"&amp;"""Sell_""&amp;SUBSTITUTE(Q329,""Sell_"",""""))))/2),ROUNDUP(INDEX(Upgrades!$C$3:$C$13,MATCH(Q329,Upgrades!$B$3:$B$13,0))*1.15^(COUNTIF(Q$4:Q328,Q329)-COUNTIF(Q$4:Q328,""Sell_""&amp;Q329))))))"),-40227.0)</f>
        <v>-40227</v>
      </c>
      <c r="V329" s="10">
        <f t="shared" si="11"/>
        <v>-15020654</v>
      </c>
      <c r="W329" s="68">
        <f t="shared" si="12"/>
        <v>7011.639592</v>
      </c>
      <c r="X329" s="59" t="str">
        <f t="shared" si="13"/>
        <v>1h 56m 51s</v>
      </c>
      <c r="Y329" s="69">
        <f t="shared" si="14"/>
        <v>666225716</v>
      </c>
      <c r="Z329" s="11"/>
    </row>
    <row r="330">
      <c r="A330" s="8"/>
      <c r="B330" s="56" t="str">
        <f t="shared" si="2"/>
        <v/>
      </c>
      <c r="C330" s="105"/>
      <c r="D330" s="10"/>
      <c r="E330" s="59" t="str">
        <f t="array" ref="E330">IF(COUNTA(C330:C1673)=0,"",SUM((COUNTIF(C$4:C330,Upgrades!$B$3:$B$13)-COUNTIF(C$4:C330,"Sell_"&amp;Upgrades!$B$3:$B$13))*Upgrades!$D$3:$D$13))</f>
        <v/>
      </c>
      <c r="F330" s="66" t="str">
        <f>IFERROR(__xludf.DUMMYFUNCTION("IF(COUNTA(C330:C1673)=0,"""",IF(REGEXMATCH(INDEX(FILTER(C$4:C330,C$4:C330&lt;&gt;""""),ROWS(FILTER(C$4:C330,C$4:C330&lt;&gt;""""))),""^Sell_""),INDEX(FILTER(F$4:F329,C$4:C329&lt;&gt;""""),ROWS(FILTER(C$4:C329,C$4:C329&lt;&gt;""""))),$AC$5+E330))"),"")</f>
        <v/>
      </c>
      <c r="G330" s="10" t="str">
        <f>IFERROR(__xludf.DUMMYFUNCTION("IF(COUNTA(C330:C1673)=0,"""",IF(C330="""",0,IF(REGEXMATCH(C330,""^Sell_""),-ROUNDDOWN(ROUNDUP(INDEX(Upgrades!$C$3:$C$13,MATCH(SUBSTITUTE(C330,""Sell_"",""""),Upgrades!$B$3:$B$13,0))*1.15^(COUNTIF(C$4:C329,SUBSTITUTE(C330,""Sell_"",""""))-COUNTIF(C$4:C329,"&amp;"""Sell_""&amp;SUBSTITUTE(C330,""Sell_"",""""))))/2),ROUNDUP(INDEX(Upgrades!$C$3:$C$13,MATCH(C330,Upgrades!$B$3:$B$13,0))*1.15^(COUNTIF(C$4:C329,C330)-COUNTIF(C$4:C329,""Sell_""&amp;C330))))))"),"")</f>
        <v/>
      </c>
      <c r="H330" s="10" t="str">
        <f t="shared" si="3"/>
        <v/>
      </c>
      <c r="I330" s="68" t="str">
        <f t="shared" si="4"/>
        <v/>
      </c>
      <c r="J330" s="59" t="str">
        <f t="shared" si="5"/>
        <v/>
      </c>
      <c r="K330" s="69" t="str">
        <f t="shared" si="6"/>
        <v/>
      </c>
      <c r="L330" s="60">
        <f t="shared" si="7"/>
        <v>-181.59077</v>
      </c>
      <c r="M330" s="61">
        <f>IFERROR(__xludf.DUMMYFUNCTION("IFS(AND(COUNTA(C330:C1673)=0,COUNTA(Q330:Q1673)=0),"""",OR(AND(K330&gt;=1000000000,OR(Y330&gt;=1000000000,COUNTA(Q330:Q1673)=0)),OR(Y330&gt;=1000000000,AND(COUNTA(C330:C1673)=0,P$3=TRUE))),
ROUNDDOWN((AB$1-AC$1)*MAX(INDEX(T$4:T1673,MATCH(LARGE(FILTER(Y$4:Y1673,Y$4"&amp;":Y1673&lt;1000000000),1),Y$4:Y1673)),INDEX(F$4:F1673,MATCH(LARGE(FILTER(K$4:K1673,K$4:K1673&lt;1000000000),1),K$4:K1673)))),AND(K330&lt;1000000000,COUNTA(C330:C1673)&gt;0,P$3=FALSE),
ROUNDDOWN(INDEX(Y$4:Y1673,MATCH(LARGE(FILTER(W$4:W1673,W$4:W1673&lt;=I330),1),W$4:W1673"&amp;"))+(I330-LARGE(FILTER(W$4:W1673,W$4:W1673&lt;=I330),1))*INDEX(T$4:T1673,MATCH(LARGE(FILTER(W$4:W1673,W$4:W1673&lt;=I330),1),W$4:W1673))-K330),1,
ROUNDDOWN(Y330-INDEX(K$4:K1673,MATCH(LARGE(FILTER(I$4:I1673,I$4:I1673&lt;=W330),1),I$4:I1673))-(W330-LARGE(FILTER(I$4:I"&amp;"1673,I$4:I1673&lt;=W330),1))*INDEX(F$4:F1673,MATCH(LARGE(FILTER(I$4:I1673,I$4:I1673&lt;=W330),1),I$4:I1673))))"),7.4451309E7)</f>
        <v>74451309</v>
      </c>
      <c r="N330" s="60">
        <f t="shared" si="8"/>
        <v>-181.59077</v>
      </c>
      <c r="O330" s="61" t="str">
        <f t="shared" si="9"/>
        <v>74,5M</v>
      </c>
      <c r="P330" s="56">
        <f t="shared" si="10"/>
        <v>49</v>
      </c>
      <c r="Q330" s="105" t="s">
        <v>61</v>
      </c>
      <c r="R330" s="10"/>
      <c r="S330" s="59">
        <f t="array" ref="S330">IF(COUNTA(Q330:Q1673)=0,"",SUM((COUNTIF(Q$4:Q330,Upgrades!$B$3:$B$13)-COUNTIF(Q$4:Q330,"Sell_"&amp;Upgrades!$B$3:$B$13))*Upgrades!$D$3:$D$13))</f>
        <v>430352.4</v>
      </c>
      <c r="T330" s="66">
        <f>IFERROR(__xludf.DUMMYFUNCTION("IF(COUNTA(Q330:Q1673)=0,"""",IF(REGEXMATCH(INDEX(FILTER(Q$4:Q330,Q$4:Q330&lt;&gt;""""),ROWS(FILTER(Q$4:Q330,Q$4:Q330&lt;&gt;""""))),""^Sell_""),INDEX(FILTER(T$4:T329,Q$4:Q329&lt;&gt;""""),ROWS(FILTER(Q$4:Q329,Q$4:Q329&lt;&gt;""""))),$AD$5+S330))"),438433.4)</f>
        <v>438433.4</v>
      </c>
      <c r="U330" s="10">
        <f>IFERROR(__xludf.DUMMYFUNCTION("IF(COUNTA(Q330:Q1673)=0,"""",IF(Q330="""",0,IF(REGEXMATCH(Q330,""^Sell_""),-ROUNDDOWN(ROUNDUP(INDEX(Upgrades!$C$3:$C$13,MATCH(SUBSTITUTE(Q330,""Sell_"",""""),Upgrades!$B$3:$B$13,0))*1.15^(COUNTIF(Q$4:Q329,SUBSTITUTE(Q330,""Sell_"",""""))-COUNTIF(Q$4:Q329,"&amp;"""Sell_""&amp;SUBSTITUTE(Q330,""Sell_"",""""))))/2),ROUNDUP(INDEX(Upgrades!$C$3:$C$13,MATCH(Q330,Upgrades!$B$3:$B$13,0))*1.15^(COUNTIF(Q$4:Q329,Q330)-COUNTIF(Q$4:Q329,""Sell_""&amp;Q330))))))"),-34980.0)</f>
        <v>-34980</v>
      </c>
      <c r="V330" s="10">
        <f t="shared" si="11"/>
        <v>-15055634</v>
      </c>
      <c r="W330" s="68">
        <f t="shared" si="12"/>
        <v>7011.639592</v>
      </c>
      <c r="X330" s="59" t="str">
        <f t="shared" si="13"/>
        <v>1h 56m 51s</v>
      </c>
      <c r="Y330" s="69">
        <f t="shared" si="14"/>
        <v>666225716</v>
      </c>
      <c r="Z330" s="11"/>
    </row>
    <row r="331">
      <c r="A331" s="8"/>
      <c r="B331" s="56" t="str">
        <f t="shared" si="2"/>
        <v/>
      </c>
      <c r="C331" s="105"/>
      <c r="D331" s="10"/>
      <c r="E331" s="59" t="str">
        <f t="array" ref="E331">IF(COUNTA(C331:C1673)=0,"",SUM((COUNTIF(C$4:C331,Upgrades!$B$3:$B$13)-COUNTIF(C$4:C331,"Sell_"&amp;Upgrades!$B$3:$B$13))*Upgrades!$D$3:$D$13))</f>
        <v/>
      </c>
      <c r="F331" s="66" t="str">
        <f>IFERROR(__xludf.DUMMYFUNCTION("IF(COUNTA(C331:C1673)=0,"""",IF(REGEXMATCH(INDEX(FILTER(C$4:C331,C$4:C331&lt;&gt;""""),ROWS(FILTER(C$4:C331,C$4:C331&lt;&gt;""""))),""^Sell_""),INDEX(FILTER(F$4:F330,C$4:C330&lt;&gt;""""),ROWS(FILTER(C$4:C330,C$4:C330&lt;&gt;""""))),$AC$5+E331))"),"")</f>
        <v/>
      </c>
      <c r="G331" s="10" t="str">
        <f>IFERROR(__xludf.DUMMYFUNCTION("IF(COUNTA(C331:C1673)=0,"""",IF(C331="""",0,IF(REGEXMATCH(C331,""^Sell_""),-ROUNDDOWN(ROUNDUP(INDEX(Upgrades!$C$3:$C$13,MATCH(SUBSTITUTE(C331,""Sell_"",""""),Upgrades!$B$3:$B$13,0))*1.15^(COUNTIF(C$4:C330,SUBSTITUTE(C331,""Sell_"",""""))-COUNTIF(C$4:C330,"&amp;"""Sell_""&amp;SUBSTITUTE(C331,""Sell_"",""""))))/2),ROUNDUP(INDEX(Upgrades!$C$3:$C$13,MATCH(C331,Upgrades!$B$3:$B$13,0))*1.15^(COUNTIF(C$4:C330,C331)-COUNTIF(C$4:C330,""Sell_""&amp;C331))))))"),"")</f>
        <v/>
      </c>
      <c r="H331" s="10" t="str">
        <f t="shared" si="3"/>
        <v/>
      </c>
      <c r="I331" s="68" t="str">
        <f t="shared" si="4"/>
        <v/>
      </c>
      <c r="J331" s="59" t="str">
        <f t="shared" si="5"/>
        <v/>
      </c>
      <c r="K331" s="69" t="str">
        <f t="shared" si="6"/>
        <v/>
      </c>
      <c r="L331" s="60">
        <f t="shared" si="7"/>
        <v>-181.59077</v>
      </c>
      <c r="M331" s="61">
        <f>IFERROR(__xludf.DUMMYFUNCTION("IFS(AND(COUNTA(C331:C1673)=0,COUNTA(Q331:Q1673)=0),"""",OR(AND(K331&gt;=1000000000,OR(Y331&gt;=1000000000,COUNTA(Q331:Q1673)=0)),OR(Y331&gt;=1000000000,AND(COUNTA(C331:C1673)=0,P$3=TRUE))),
ROUNDDOWN((AB$1-AC$1)*MAX(INDEX(T$4:T1673,MATCH(LARGE(FILTER(Y$4:Y1673,Y$4"&amp;":Y1673&lt;1000000000),1),Y$4:Y1673)),INDEX(F$4:F1673,MATCH(LARGE(FILTER(K$4:K1673,K$4:K1673&lt;1000000000),1),K$4:K1673)))),AND(K331&lt;1000000000,COUNTA(C331:C1673)&gt;0,P$3=FALSE),
ROUNDDOWN(INDEX(Y$4:Y1673,MATCH(LARGE(FILTER(W$4:W1673,W$4:W1673&lt;=I331),1),W$4:W1673"&amp;"))+(I331-LARGE(FILTER(W$4:W1673,W$4:W1673&lt;=I331),1))*INDEX(T$4:T1673,MATCH(LARGE(FILTER(W$4:W1673,W$4:W1673&lt;=I331),1),W$4:W1673))-K331),1,
ROUNDDOWN(Y331-INDEX(K$4:K1673,MATCH(LARGE(FILTER(I$4:I1673,I$4:I1673&lt;=W331),1),I$4:I1673))-(W331-LARGE(FILTER(I$4:I"&amp;"1673,I$4:I1673&lt;=W331),1))*INDEX(F$4:F1673,MATCH(LARGE(FILTER(I$4:I1673,I$4:I1673&lt;=W331),1),I$4:I1673))))"),7.4451309E7)</f>
        <v>74451309</v>
      </c>
      <c r="N331" s="60">
        <f t="shared" si="8"/>
        <v>-181.59077</v>
      </c>
      <c r="O331" s="61" t="str">
        <f t="shared" si="9"/>
        <v>74,5M</v>
      </c>
      <c r="P331" s="56">
        <f t="shared" si="10"/>
        <v>50</v>
      </c>
      <c r="Q331" s="105" t="s">
        <v>61</v>
      </c>
      <c r="R331" s="10"/>
      <c r="S331" s="59">
        <f t="array" ref="S331">IF(COUNTA(Q331:Q1673)=0,"",SUM((COUNTIF(Q$4:Q331,Upgrades!$B$3:$B$13)-COUNTIF(Q$4:Q331,"Sell_"&amp;Upgrades!$B$3:$B$13))*Upgrades!$D$3:$D$13))</f>
        <v>430252.4</v>
      </c>
      <c r="T331" s="66">
        <f>IFERROR(__xludf.DUMMYFUNCTION("IF(COUNTA(Q331:Q1673)=0,"""",IF(REGEXMATCH(INDEX(FILTER(Q$4:Q331,Q$4:Q331&lt;&gt;""""),ROWS(FILTER(Q$4:Q331,Q$4:Q331&lt;&gt;""""))),""^Sell_""),INDEX(FILTER(T$4:T330,Q$4:Q330&lt;&gt;""""),ROWS(FILTER(Q$4:Q330,Q$4:Q330&lt;&gt;""""))),$AD$5+S331))"),438433.4)</f>
        <v>438433.4</v>
      </c>
      <c r="U331" s="10">
        <f>IFERROR(__xludf.DUMMYFUNCTION("IF(COUNTA(Q331:Q1673)=0,"""",IF(Q331="""",0,IF(REGEXMATCH(Q331,""^Sell_""),-ROUNDDOWN(ROUNDUP(INDEX(Upgrades!$C$3:$C$13,MATCH(SUBSTITUTE(Q331,""Sell_"",""""),Upgrades!$B$3:$B$13,0))*1.15^(COUNTIF(Q$4:Q330,SUBSTITUTE(Q331,""Sell_"",""""))-COUNTIF(Q$4:Q330,"&amp;"""Sell_""&amp;SUBSTITUTE(Q331,""Sell_"",""""))))/2),ROUNDUP(INDEX(Upgrades!$C$3:$C$13,MATCH(Q331,Upgrades!$B$3:$B$13,0))*1.15^(COUNTIF(Q$4:Q330,Q331)-COUNTIF(Q$4:Q330,""Sell_""&amp;Q331))))))"),-30417.0)</f>
        <v>-30417</v>
      </c>
      <c r="V331" s="10">
        <f t="shared" si="11"/>
        <v>-15086051</v>
      </c>
      <c r="W331" s="68">
        <f t="shared" si="12"/>
        <v>7011.639592</v>
      </c>
      <c r="X331" s="59" t="str">
        <f t="shared" si="13"/>
        <v>1h 56m 51s</v>
      </c>
      <c r="Y331" s="69">
        <f t="shared" si="14"/>
        <v>666225716</v>
      </c>
      <c r="Z331" s="11"/>
    </row>
    <row r="332">
      <c r="A332" s="8"/>
      <c r="B332" s="56" t="str">
        <f t="shared" si="2"/>
        <v/>
      </c>
      <c r="C332" s="105"/>
      <c r="D332" s="10"/>
      <c r="E332" s="59" t="str">
        <f t="array" ref="E332">IF(COUNTA(C332:C1673)=0,"",SUM((COUNTIF(C$4:C332,Upgrades!$B$3:$B$13)-COUNTIF(C$4:C332,"Sell_"&amp;Upgrades!$B$3:$B$13))*Upgrades!$D$3:$D$13))</f>
        <v/>
      </c>
      <c r="F332" s="66" t="str">
        <f>IFERROR(__xludf.DUMMYFUNCTION("IF(COUNTA(C332:C1673)=0,"""",IF(REGEXMATCH(INDEX(FILTER(C$4:C332,C$4:C332&lt;&gt;""""),ROWS(FILTER(C$4:C332,C$4:C332&lt;&gt;""""))),""^Sell_""),INDEX(FILTER(F$4:F331,C$4:C331&lt;&gt;""""),ROWS(FILTER(C$4:C331,C$4:C331&lt;&gt;""""))),$AC$5+E332))"),"")</f>
        <v/>
      </c>
      <c r="G332" s="10" t="str">
        <f>IFERROR(__xludf.DUMMYFUNCTION("IF(COUNTA(C332:C1673)=0,"""",IF(C332="""",0,IF(REGEXMATCH(C332,""^Sell_""),-ROUNDDOWN(ROUNDUP(INDEX(Upgrades!$C$3:$C$13,MATCH(SUBSTITUTE(C332,""Sell_"",""""),Upgrades!$B$3:$B$13,0))*1.15^(COUNTIF(C$4:C331,SUBSTITUTE(C332,""Sell_"",""""))-COUNTIF(C$4:C331,"&amp;"""Sell_""&amp;SUBSTITUTE(C332,""Sell_"",""""))))/2),ROUNDUP(INDEX(Upgrades!$C$3:$C$13,MATCH(C332,Upgrades!$B$3:$B$13,0))*1.15^(COUNTIF(C$4:C331,C332)-COUNTIF(C$4:C331,""Sell_""&amp;C332))))))"),"")</f>
        <v/>
      </c>
      <c r="H332" s="10" t="str">
        <f t="shared" si="3"/>
        <v/>
      </c>
      <c r="I332" s="68" t="str">
        <f t="shared" si="4"/>
        <v/>
      </c>
      <c r="J332" s="59" t="str">
        <f t="shared" si="5"/>
        <v/>
      </c>
      <c r="K332" s="69" t="str">
        <f t="shared" si="6"/>
        <v/>
      </c>
      <c r="L332" s="60">
        <f t="shared" si="7"/>
        <v>-181.59077</v>
      </c>
      <c r="M332" s="61">
        <f>IFERROR(__xludf.DUMMYFUNCTION("IFS(AND(COUNTA(C332:C1673)=0,COUNTA(Q332:Q1673)=0),"""",OR(AND(K332&gt;=1000000000,OR(Y332&gt;=1000000000,COUNTA(Q332:Q1673)=0)),OR(Y332&gt;=1000000000,AND(COUNTA(C332:C1673)=0,P$3=TRUE))),
ROUNDDOWN((AB$1-AC$1)*MAX(INDEX(T$4:T1673,MATCH(LARGE(FILTER(Y$4:Y1673,Y$4"&amp;":Y1673&lt;1000000000),1),Y$4:Y1673)),INDEX(F$4:F1673,MATCH(LARGE(FILTER(K$4:K1673,K$4:K1673&lt;1000000000),1),K$4:K1673)))),AND(K332&lt;1000000000,COUNTA(C332:C1673)&gt;0,P$3=FALSE),
ROUNDDOWN(INDEX(Y$4:Y1673,MATCH(LARGE(FILTER(W$4:W1673,W$4:W1673&lt;=I332),1),W$4:W1673"&amp;"))+(I332-LARGE(FILTER(W$4:W1673,W$4:W1673&lt;=I332),1))*INDEX(T$4:T1673,MATCH(LARGE(FILTER(W$4:W1673,W$4:W1673&lt;=I332),1),W$4:W1673))-K332),1,
ROUNDDOWN(Y332-INDEX(K$4:K1673,MATCH(LARGE(FILTER(I$4:I1673,I$4:I1673&lt;=W332),1),I$4:I1673))-(W332-LARGE(FILTER(I$4:I"&amp;"1673,I$4:I1673&lt;=W332),1))*INDEX(F$4:F1673,MATCH(LARGE(FILTER(I$4:I1673,I$4:I1673&lt;=W332),1),I$4:I1673))))"),7.4451309E7)</f>
        <v>74451309</v>
      </c>
      <c r="N332" s="60">
        <f t="shared" si="8"/>
        <v>-181.59077</v>
      </c>
      <c r="O332" s="61" t="str">
        <f t="shared" si="9"/>
        <v>74,5M</v>
      </c>
      <c r="P332" s="56">
        <f t="shared" si="10"/>
        <v>51</v>
      </c>
      <c r="Q332" s="105" t="s">
        <v>61</v>
      </c>
      <c r="R332" s="10"/>
      <c r="S332" s="59">
        <f t="array" ref="S332">IF(COUNTA(Q332:Q1673)=0,"",SUM((COUNTIF(Q$4:Q332,Upgrades!$B$3:$B$13)-COUNTIF(Q$4:Q332,"Sell_"&amp;Upgrades!$B$3:$B$13))*Upgrades!$D$3:$D$13))</f>
        <v>430152.4</v>
      </c>
      <c r="T332" s="66">
        <f>IFERROR(__xludf.DUMMYFUNCTION("IF(COUNTA(Q332:Q1673)=0,"""",IF(REGEXMATCH(INDEX(FILTER(Q$4:Q332,Q$4:Q332&lt;&gt;""""),ROWS(FILTER(Q$4:Q332,Q$4:Q332&lt;&gt;""""))),""^Sell_""),INDEX(FILTER(T$4:T331,Q$4:Q331&lt;&gt;""""),ROWS(FILTER(Q$4:Q331,Q$4:Q331&lt;&gt;""""))),$AD$5+S332))"),438433.4)</f>
        <v>438433.4</v>
      </c>
      <c r="U332" s="10">
        <f>IFERROR(__xludf.DUMMYFUNCTION("IF(COUNTA(Q332:Q1673)=0,"""",IF(Q332="""",0,IF(REGEXMATCH(Q332,""^Sell_""),-ROUNDDOWN(ROUNDUP(INDEX(Upgrades!$C$3:$C$13,MATCH(SUBSTITUTE(Q332,""Sell_"",""""),Upgrades!$B$3:$B$13,0))*1.15^(COUNTIF(Q$4:Q331,SUBSTITUTE(Q332,""Sell_"",""""))-COUNTIF(Q$4:Q331,"&amp;"""Sell_""&amp;SUBSTITUTE(Q332,""Sell_"",""""))))/2),ROUNDUP(INDEX(Upgrades!$C$3:$C$13,MATCH(Q332,Upgrades!$B$3:$B$13,0))*1.15^(COUNTIF(Q$4:Q331,Q332)-COUNTIF(Q$4:Q331,""Sell_""&amp;Q332))))))"),-26450.0)</f>
        <v>-26450</v>
      </c>
      <c r="V332" s="10">
        <f t="shared" si="11"/>
        <v>-15112501</v>
      </c>
      <c r="W332" s="68">
        <f t="shared" si="12"/>
        <v>7011.639592</v>
      </c>
      <c r="X332" s="59" t="str">
        <f t="shared" si="13"/>
        <v>1h 56m 51s</v>
      </c>
      <c r="Y332" s="69">
        <f t="shared" si="14"/>
        <v>666225716</v>
      </c>
      <c r="Z332" s="11"/>
    </row>
    <row r="333">
      <c r="A333" s="8"/>
      <c r="B333" s="56" t="str">
        <f t="shared" si="2"/>
        <v/>
      </c>
      <c r="C333" s="105"/>
      <c r="D333" s="10"/>
      <c r="E333" s="59" t="str">
        <f t="array" ref="E333">IF(COUNTA(C333:C1673)=0,"",SUM((COUNTIF(C$4:C333,Upgrades!$B$3:$B$13)-COUNTIF(C$4:C333,"Sell_"&amp;Upgrades!$B$3:$B$13))*Upgrades!$D$3:$D$13))</f>
        <v/>
      </c>
      <c r="F333" s="66" t="str">
        <f>IFERROR(__xludf.DUMMYFUNCTION("IF(COUNTA(C333:C1673)=0,"""",IF(REGEXMATCH(INDEX(FILTER(C$4:C333,C$4:C333&lt;&gt;""""),ROWS(FILTER(C$4:C333,C$4:C333&lt;&gt;""""))),""^Sell_""),INDEX(FILTER(F$4:F332,C$4:C332&lt;&gt;""""),ROWS(FILTER(C$4:C332,C$4:C332&lt;&gt;""""))),$AC$5+E333))"),"")</f>
        <v/>
      </c>
      <c r="G333" s="10" t="str">
        <f>IFERROR(__xludf.DUMMYFUNCTION("IF(COUNTA(C333:C1673)=0,"""",IF(C333="""",0,IF(REGEXMATCH(C333,""^Sell_""),-ROUNDDOWN(ROUNDUP(INDEX(Upgrades!$C$3:$C$13,MATCH(SUBSTITUTE(C333,""Sell_"",""""),Upgrades!$B$3:$B$13,0))*1.15^(COUNTIF(C$4:C332,SUBSTITUTE(C333,""Sell_"",""""))-COUNTIF(C$4:C332,"&amp;"""Sell_""&amp;SUBSTITUTE(C333,""Sell_"",""""))))/2),ROUNDUP(INDEX(Upgrades!$C$3:$C$13,MATCH(C333,Upgrades!$B$3:$B$13,0))*1.15^(COUNTIF(C$4:C332,C333)-COUNTIF(C$4:C332,""Sell_""&amp;C333))))))"),"")</f>
        <v/>
      </c>
      <c r="H333" s="10" t="str">
        <f t="shared" si="3"/>
        <v/>
      </c>
      <c r="I333" s="68" t="str">
        <f t="shared" si="4"/>
        <v/>
      </c>
      <c r="J333" s="59" t="str">
        <f t="shared" si="5"/>
        <v/>
      </c>
      <c r="K333" s="69" t="str">
        <f t="shared" si="6"/>
        <v/>
      </c>
      <c r="L333" s="60">
        <f t="shared" si="7"/>
        <v>-181.59077</v>
      </c>
      <c r="M333" s="61">
        <f>IFERROR(__xludf.DUMMYFUNCTION("IFS(AND(COUNTA(C333:C1673)=0,COUNTA(Q333:Q1673)=0),"""",OR(AND(K333&gt;=1000000000,OR(Y333&gt;=1000000000,COUNTA(Q333:Q1673)=0)),OR(Y333&gt;=1000000000,AND(COUNTA(C333:C1673)=0,P$3=TRUE))),
ROUNDDOWN((AB$1-AC$1)*MAX(INDEX(T$4:T1673,MATCH(LARGE(FILTER(Y$4:Y1673,Y$4"&amp;":Y1673&lt;1000000000),1),Y$4:Y1673)),INDEX(F$4:F1673,MATCH(LARGE(FILTER(K$4:K1673,K$4:K1673&lt;1000000000),1),K$4:K1673)))),AND(K333&lt;1000000000,COUNTA(C333:C1673)&gt;0,P$3=FALSE),
ROUNDDOWN(INDEX(Y$4:Y1673,MATCH(LARGE(FILTER(W$4:W1673,W$4:W1673&lt;=I333),1),W$4:W1673"&amp;"))+(I333-LARGE(FILTER(W$4:W1673,W$4:W1673&lt;=I333),1))*INDEX(T$4:T1673,MATCH(LARGE(FILTER(W$4:W1673,W$4:W1673&lt;=I333),1),W$4:W1673))-K333),1,
ROUNDDOWN(Y333-INDEX(K$4:K1673,MATCH(LARGE(FILTER(I$4:I1673,I$4:I1673&lt;=W333),1),I$4:I1673))-(W333-LARGE(FILTER(I$4:I"&amp;"1673,I$4:I1673&lt;=W333),1))*INDEX(F$4:F1673,MATCH(LARGE(FILTER(I$4:I1673,I$4:I1673&lt;=W333),1),I$4:I1673))))"),7.4451309E7)</f>
        <v>74451309</v>
      </c>
      <c r="N333" s="60">
        <f t="shared" si="8"/>
        <v>-181.59077</v>
      </c>
      <c r="O333" s="61" t="str">
        <f t="shared" si="9"/>
        <v>74,5M</v>
      </c>
      <c r="P333" s="56">
        <f t="shared" si="10"/>
        <v>52</v>
      </c>
      <c r="Q333" s="105" t="s">
        <v>61</v>
      </c>
      <c r="R333" s="10"/>
      <c r="S333" s="59">
        <f t="array" ref="S333">IF(COUNTA(Q333:Q1673)=0,"",SUM((COUNTIF(Q$4:Q333,Upgrades!$B$3:$B$13)-COUNTIF(Q$4:Q333,"Sell_"&amp;Upgrades!$B$3:$B$13))*Upgrades!$D$3:$D$13))</f>
        <v>430052.4</v>
      </c>
      <c r="T333" s="66">
        <f>IFERROR(__xludf.DUMMYFUNCTION("IF(COUNTA(Q333:Q1673)=0,"""",IF(REGEXMATCH(INDEX(FILTER(Q$4:Q333,Q$4:Q333&lt;&gt;""""),ROWS(FILTER(Q$4:Q333,Q$4:Q333&lt;&gt;""""))),""^Sell_""),INDEX(FILTER(T$4:T332,Q$4:Q332&lt;&gt;""""),ROWS(FILTER(Q$4:Q332,Q$4:Q332&lt;&gt;""""))),$AD$5+S333))"),438433.4)</f>
        <v>438433.4</v>
      </c>
      <c r="U333" s="10">
        <f>IFERROR(__xludf.DUMMYFUNCTION("IF(COUNTA(Q333:Q1673)=0,"""",IF(Q333="""",0,IF(REGEXMATCH(Q333,""^Sell_""),-ROUNDDOWN(ROUNDUP(INDEX(Upgrades!$C$3:$C$13,MATCH(SUBSTITUTE(Q333,""Sell_"",""""),Upgrades!$B$3:$B$13,0))*1.15^(COUNTIF(Q$4:Q332,SUBSTITUTE(Q333,""Sell_"",""""))-COUNTIF(Q$4:Q332,"&amp;"""Sell_""&amp;SUBSTITUTE(Q333,""Sell_"",""""))))/2),ROUNDUP(INDEX(Upgrades!$C$3:$C$13,MATCH(Q333,Upgrades!$B$3:$B$13,0))*1.15^(COUNTIF(Q$4:Q332,Q333)-COUNTIF(Q$4:Q332,""Sell_""&amp;Q333))))))"),-23000.0)</f>
        <v>-23000</v>
      </c>
      <c r="V333" s="10">
        <f t="shared" si="11"/>
        <v>-15135501</v>
      </c>
      <c r="W333" s="68">
        <f t="shared" si="12"/>
        <v>7011.639592</v>
      </c>
      <c r="X333" s="59" t="str">
        <f t="shared" si="13"/>
        <v>1h 56m 51s</v>
      </c>
      <c r="Y333" s="69">
        <f t="shared" si="14"/>
        <v>666225716</v>
      </c>
      <c r="Z333" s="11"/>
    </row>
    <row r="334">
      <c r="A334" s="8"/>
      <c r="B334" s="56" t="str">
        <f t="shared" si="2"/>
        <v/>
      </c>
      <c r="C334" s="105"/>
      <c r="D334" s="10"/>
      <c r="E334" s="59" t="str">
        <f t="array" ref="E334">IF(COUNTA(C334:C1673)=0,"",SUM((COUNTIF(C$4:C334,Upgrades!$B$3:$B$13)-COUNTIF(C$4:C334,"Sell_"&amp;Upgrades!$B$3:$B$13))*Upgrades!$D$3:$D$13))</f>
        <v/>
      </c>
      <c r="F334" s="66" t="str">
        <f>IFERROR(__xludf.DUMMYFUNCTION("IF(COUNTA(C334:C1673)=0,"""",IF(REGEXMATCH(INDEX(FILTER(C$4:C334,C$4:C334&lt;&gt;""""),ROWS(FILTER(C$4:C334,C$4:C334&lt;&gt;""""))),""^Sell_""),INDEX(FILTER(F$4:F333,C$4:C333&lt;&gt;""""),ROWS(FILTER(C$4:C333,C$4:C333&lt;&gt;""""))),$AC$5+E334))"),"")</f>
        <v/>
      </c>
      <c r="G334" s="10" t="str">
        <f>IFERROR(__xludf.DUMMYFUNCTION("IF(COUNTA(C334:C1673)=0,"""",IF(C334="""",0,IF(REGEXMATCH(C334,""^Sell_""),-ROUNDDOWN(ROUNDUP(INDEX(Upgrades!$C$3:$C$13,MATCH(SUBSTITUTE(C334,""Sell_"",""""),Upgrades!$B$3:$B$13,0))*1.15^(COUNTIF(C$4:C333,SUBSTITUTE(C334,""Sell_"",""""))-COUNTIF(C$4:C333,"&amp;"""Sell_""&amp;SUBSTITUTE(C334,""Sell_"",""""))))/2),ROUNDUP(INDEX(Upgrades!$C$3:$C$13,MATCH(C334,Upgrades!$B$3:$B$13,0))*1.15^(COUNTIF(C$4:C333,C334)-COUNTIF(C$4:C333,""Sell_""&amp;C334))))))"),"")</f>
        <v/>
      </c>
      <c r="H334" s="10" t="str">
        <f t="shared" si="3"/>
        <v/>
      </c>
      <c r="I334" s="68" t="str">
        <f t="shared" si="4"/>
        <v/>
      </c>
      <c r="J334" s="59" t="str">
        <f t="shared" si="5"/>
        <v/>
      </c>
      <c r="K334" s="69" t="str">
        <f t="shared" si="6"/>
        <v/>
      </c>
      <c r="L334" s="60">
        <f t="shared" si="7"/>
        <v>-181.59077</v>
      </c>
      <c r="M334" s="61">
        <f>IFERROR(__xludf.DUMMYFUNCTION("IFS(AND(COUNTA(C334:C1673)=0,COUNTA(Q334:Q1673)=0),"""",OR(AND(K334&gt;=1000000000,OR(Y334&gt;=1000000000,COUNTA(Q334:Q1673)=0)),OR(Y334&gt;=1000000000,AND(COUNTA(C334:C1673)=0,P$3=TRUE))),
ROUNDDOWN((AB$1-AC$1)*MAX(INDEX(T$4:T1673,MATCH(LARGE(FILTER(Y$4:Y1673,Y$4"&amp;":Y1673&lt;1000000000),1),Y$4:Y1673)),INDEX(F$4:F1673,MATCH(LARGE(FILTER(K$4:K1673,K$4:K1673&lt;1000000000),1),K$4:K1673)))),AND(K334&lt;1000000000,COUNTA(C334:C1673)&gt;0,P$3=FALSE),
ROUNDDOWN(INDEX(Y$4:Y1673,MATCH(LARGE(FILTER(W$4:W1673,W$4:W1673&lt;=I334),1),W$4:W1673"&amp;"))+(I334-LARGE(FILTER(W$4:W1673,W$4:W1673&lt;=I334),1))*INDEX(T$4:T1673,MATCH(LARGE(FILTER(W$4:W1673,W$4:W1673&lt;=I334),1),W$4:W1673))-K334),1,
ROUNDDOWN(Y334-INDEX(K$4:K1673,MATCH(LARGE(FILTER(I$4:I1673,I$4:I1673&lt;=W334),1),I$4:I1673))-(W334-LARGE(FILTER(I$4:I"&amp;"1673,I$4:I1673&lt;=W334),1))*INDEX(F$4:F1673,MATCH(LARGE(FILTER(I$4:I1673,I$4:I1673&lt;=W334),1),I$4:I1673))))"),7.4451309E7)</f>
        <v>74451309</v>
      </c>
      <c r="N334" s="60">
        <f t="shared" si="8"/>
        <v>-181.59077</v>
      </c>
      <c r="O334" s="61" t="str">
        <f t="shared" si="9"/>
        <v>74,5M</v>
      </c>
      <c r="P334" s="56">
        <f t="shared" si="10"/>
        <v>28</v>
      </c>
      <c r="Q334" s="105" t="s">
        <v>60</v>
      </c>
      <c r="R334" s="10"/>
      <c r="S334" s="59">
        <f t="array" ref="S334">IF(COUNTA(Q334:Q1673)=0,"",SUM((COUNTIF(Q$4:Q334,Upgrades!$B$3:$B$13)-COUNTIF(Q$4:Q334,"Sell_"&amp;Upgrades!$B$3:$B$13))*Upgrades!$D$3:$D$13))</f>
        <v>429652.4</v>
      </c>
      <c r="T334" s="66">
        <f>IFERROR(__xludf.DUMMYFUNCTION("IF(COUNTA(Q334:Q1673)=0,"""",IF(REGEXMATCH(INDEX(FILTER(Q$4:Q334,Q$4:Q334&lt;&gt;""""),ROWS(FILTER(Q$4:Q334,Q$4:Q334&lt;&gt;""""))),""^Sell_""),INDEX(FILTER(T$4:T333,Q$4:Q333&lt;&gt;""""),ROWS(FILTER(Q$4:Q333,Q$4:Q333&lt;&gt;""""))),$AD$5+S334))"),438433.4)</f>
        <v>438433.4</v>
      </c>
      <c r="U334" s="10">
        <f>IFERROR(__xludf.DUMMYFUNCTION("IF(COUNTA(Q334:Q1673)=0,"""",IF(Q334="""",0,IF(REGEXMATCH(Q334,""^Sell_""),-ROUNDDOWN(ROUNDUP(INDEX(Upgrades!$C$3:$C$13,MATCH(SUBSTITUTE(Q334,""Sell_"",""""),Upgrades!$B$3:$B$13,0))*1.15^(COUNTIF(Q$4:Q333,SUBSTITUTE(Q334,""Sell_"",""""))-COUNTIF(Q$4:Q333,"&amp;"""Sell_""&amp;SUBSTITUTE(Q334,""Sell_"",""""))))/2),ROUNDUP(INDEX(Upgrades!$C$3:$C$13,MATCH(Q334,Upgrades!$B$3:$B$13,0))*1.15^(COUNTIF(Q$4:Q333,Q334)-COUNTIF(Q$4:Q333,""Sell_""&amp;Q334))))))"),-813706.0)</f>
        <v>-813706</v>
      </c>
      <c r="V334" s="10">
        <f t="shared" si="11"/>
        <v>-15949207</v>
      </c>
      <c r="W334" s="68">
        <f t="shared" si="12"/>
        <v>7011.639592</v>
      </c>
      <c r="X334" s="59" t="str">
        <f t="shared" si="13"/>
        <v>1h 56m 51s</v>
      </c>
      <c r="Y334" s="69">
        <f t="shared" si="14"/>
        <v>666225716</v>
      </c>
      <c r="Z334" s="11"/>
    </row>
    <row r="335">
      <c r="A335" s="8"/>
      <c r="B335" s="56" t="str">
        <f t="shared" si="2"/>
        <v/>
      </c>
      <c r="C335" s="105"/>
      <c r="D335" s="10"/>
      <c r="E335" s="59" t="str">
        <f t="array" ref="E335">IF(COUNTA(C335:C1673)=0,"",SUM((COUNTIF(C$4:C335,Upgrades!$B$3:$B$13)-COUNTIF(C$4:C335,"Sell_"&amp;Upgrades!$B$3:$B$13))*Upgrades!$D$3:$D$13))</f>
        <v/>
      </c>
      <c r="F335" s="66" t="str">
        <f>IFERROR(__xludf.DUMMYFUNCTION("IF(COUNTA(C335:C1673)=0,"""",IF(REGEXMATCH(INDEX(FILTER(C$4:C335,C$4:C335&lt;&gt;""""),ROWS(FILTER(C$4:C335,C$4:C335&lt;&gt;""""))),""^Sell_""),INDEX(FILTER(F$4:F334,C$4:C334&lt;&gt;""""),ROWS(FILTER(C$4:C334,C$4:C334&lt;&gt;""""))),$AC$5+E335))"),"")</f>
        <v/>
      </c>
      <c r="G335" s="10" t="str">
        <f>IFERROR(__xludf.DUMMYFUNCTION("IF(COUNTA(C335:C1673)=0,"""",IF(C335="""",0,IF(REGEXMATCH(C335,""^Sell_""),-ROUNDDOWN(ROUNDUP(INDEX(Upgrades!$C$3:$C$13,MATCH(SUBSTITUTE(C335,""Sell_"",""""),Upgrades!$B$3:$B$13,0))*1.15^(COUNTIF(C$4:C334,SUBSTITUTE(C335,""Sell_"",""""))-COUNTIF(C$4:C334,"&amp;"""Sell_""&amp;SUBSTITUTE(C335,""Sell_"",""""))))/2),ROUNDUP(INDEX(Upgrades!$C$3:$C$13,MATCH(C335,Upgrades!$B$3:$B$13,0))*1.15^(COUNTIF(C$4:C334,C335)-COUNTIF(C$4:C334,""Sell_""&amp;C335))))))"),"")</f>
        <v/>
      </c>
      <c r="H335" s="10" t="str">
        <f t="shared" si="3"/>
        <v/>
      </c>
      <c r="I335" s="68" t="str">
        <f t="shared" si="4"/>
        <v/>
      </c>
      <c r="J335" s="59" t="str">
        <f t="shared" si="5"/>
        <v/>
      </c>
      <c r="K335" s="69" t="str">
        <f t="shared" si="6"/>
        <v/>
      </c>
      <c r="L335" s="60">
        <f t="shared" si="7"/>
        <v>-181.59077</v>
      </c>
      <c r="M335" s="61">
        <f>IFERROR(__xludf.DUMMYFUNCTION("IFS(AND(COUNTA(C335:C1673)=0,COUNTA(Q335:Q1673)=0),"""",OR(AND(K335&gt;=1000000000,OR(Y335&gt;=1000000000,COUNTA(Q335:Q1673)=0)),OR(Y335&gt;=1000000000,AND(COUNTA(C335:C1673)=0,P$3=TRUE))),
ROUNDDOWN((AB$1-AC$1)*MAX(INDEX(T$4:T1673,MATCH(LARGE(FILTER(Y$4:Y1673,Y$4"&amp;":Y1673&lt;1000000000),1),Y$4:Y1673)),INDEX(F$4:F1673,MATCH(LARGE(FILTER(K$4:K1673,K$4:K1673&lt;1000000000),1),K$4:K1673)))),AND(K335&lt;1000000000,COUNTA(C335:C1673)&gt;0,P$3=FALSE),
ROUNDDOWN(INDEX(Y$4:Y1673,MATCH(LARGE(FILTER(W$4:W1673,W$4:W1673&lt;=I335),1),W$4:W1673"&amp;"))+(I335-LARGE(FILTER(W$4:W1673,W$4:W1673&lt;=I335),1))*INDEX(T$4:T1673,MATCH(LARGE(FILTER(W$4:W1673,W$4:W1673&lt;=I335),1),W$4:W1673))-K335),1,
ROUNDDOWN(Y335-INDEX(K$4:K1673,MATCH(LARGE(FILTER(I$4:I1673,I$4:I1673&lt;=W335),1),I$4:I1673))-(W335-LARGE(FILTER(I$4:I"&amp;"1673,I$4:I1673&lt;=W335),1))*INDEX(F$4:F1673,MATCH(LARGE(FILTER(I$4:I1673,I$4:I1673&lt;=W335),1),I$4:I1673))))"),7.4451309E7)</f>
        <v>74451309</v>
      </c>
      <c r="N335" s="60">
        <f t="shared" si="8"/>
        <v>-181.59077</v>
      </c>
      <c r="O335" s="61" t="str">
        <f t="shared" si="9"/>
        <v>74,5M</v>
      </c>
      <c r="P335" s="56">
        <f t="shared" si="10"/>
        <v>29</v>
      </c>
      <c r="Q335" s="105" t="s">
        <v>60</v>
      </c>
      <c r="R335" s="10"/>
      <c r="S335" s="59">
        <f t="array" ref="S335">IF(COUNTA(Q335:Q1673)=0,"",SUM((COUNTIF(Q$4:Q335,Upgrades!$B$3:$B$13)-COUNTIF(Q$4:Q335,"Sell_"&amp;Upgrades!$B$3:$B$13))*Upgrades!$D$3:$D$13))</f>
        <v>429252.4</v>
      </c>
      <c r="T335" s="66">
        <f>IFERROR(__xludf.DUMMYFUNCTION("IF(COUNTA(Q335:Q1673)=0,"""",IF(REGEXMATCH(INDEX(FILTER(Q$4:Q335,Q$4:Q335&lt;&gt;""""),ROWS(FILTER(Q$4:Q335,Q$4:Q335&lt;&gt;""""))),""^Sell_""),INDEX(FILTER(T$4:T334,Q$4:Q334&lt;&gt;""""),ROWS(FILTER(Q$4:Q334,Q$4:Q334&lt;&gt;""""))),$AD$5+S335))"),438433.4)</f>
        <v>438433.4</v>
      </c>
      <c r="U335" s="10">
        <f>IFERROR(__xludf.DUMMYFUNCTION("IF(COUNTA(Q335:Q1673)=0,"""",IF(Q335="""",0,IF(REGEXMATCH(Q335,""^Sell_""),-ROUNDDOWN(ROUNDUP(INDEX(Upgrades!$C$3:$C$13,MATCH(SUBSTITUTE(Q335,""Sell_"",""""),Upgrades!$B$3:$B$13,0))*1.15^(COUNTIF(Q$4:Q334,SUBSTITUTE(Q335,""Sell_"",""""))-COUNTIF(Q$4:Q334,"&amp;"""Sell_""&amp;SUBSTITUTE(Q335,""Sell_"",""""))))/2),ROUNDUP(INDEX(Upgrades!$C$3:$C$13,MATCH(Q335,Upgrades!$B$3:$B$13,0))*1.15^(COUNTIF(Q$4:Q334,Q335)-COUNTIF(Q$4:Q334,""Sell_""&amp;Q335))))))"),-707571.0)</f>
        <v>-707571</v>
      </c>
      <c r="V335" s="10">
        <f t="shared" si="11"/>
        <v>-16656778</v>
      </c>
      <c r="W335" s="68">
        <f t="shared" si="12"/>
        <v>7011.639592</v>
      </c>
      <c r="X335" s="59" t="str">
        <f t="shared" si="13"/>
        <v>1h 56m 51s</v>
      </c>
      <c r="Y335" s="69">
        <f t="shared" si="14"/>
        <v>666225716</v>
      </c>
      <c r="Z335" s="11"/>
    </row>
    <row r="336">
      <c r="A336" s="8"/>
      <c r="B336" s="56" t="str">
        <f t="shared" si="2"/>
        <v/>
      </c>
      <c r="C336" s="105"/>
      <c r="D336" s="10"/>
      <c r="E336" s="59" t="str">
        <f t="array" ref="E336">IF(COUNTA(C336:C1673)=0,"",SUM((COUNTIF(C$4:C336,Upgrades!$B$3:$B$13)-COUNTIF(C$4:C336,"Sell_"&amp;Upgrades!$B$3:$B$13))*Upgrades!$D$3:$D$13))</f>
        <v/>
      </c>
      <c r="F336" s="66" t="str">
        <f>IFERROR(__xludf.DUMMYFUNCTION("IF(COUNTA(C336:C1673)=0,"""",IF(REGEXMATCH(INDEX(FILTER(C$4:C336,C$4:C336&lt;&gt;""""),ROWS(FILTER(C$4:C336,C$4:C336&lt;&gt;""""))),""^Sell_""),INDEX(FILTER(F$4:F335,C$4:C335&lt;&gt;""""),ROWS(FILTER(C$4:C335,C$4:C335&lt;&gt;""""))),$AC$5+E336))"),"")</f>
        <v/>
      </c>
      <c r="G336" s="10" t="str">
        <f>IFERROR(__xludf.DUMMYFUNCTION("IF(COUNTA(C336:C1673)=0,"""",IF(C336="""",0,IF(REGEXMATCH(C336,""^Sell_""),-ROUNDDOWN(ROUNDUP(INDEX(Upgrades!$C$3:$C$13,MATCH(SUBSTITUTE(C336,""Sell_"",""""),Upgrades!$B$3:$B$13,0))*1.15^(COUNTIF(C$4:C335,SUBSTITUTE(C336,""Sell_"",""""))-COUNTIF(C$4:C335,"&amp;"""Sell_""&amp;SUBSTITUTE(C336,""Sell_"",""""))))/2),ROUNDUP(INDEX(Upgrades!$C$3:$C$13,MATCH(C336,Upgrades!$B$3:$B$13,0))*1.15^(COUNTIF(C$4:C335,C336)-COUNTIF(C$4:C335,""Sell_""&amp;C336))))))"),"")</f>
        <v/>
      </c>
      <c r="H336" s="10" t="str">
        <f t="shared" si="3"/>
        <v/>
      </c>
      <c r="I336" s="68" t="str">
        <f t="shared" si="4"/>
        <v/>
      </c>
      <c r="J336" s="59" t="str">
        <f t="shared" si="5"/>
        <v/>
      </c>
      <c r="K336" s="69" t="str">
        <f t="shared" si="6"/>
        <v/>
      </c>
      <c r="L336" s="60">
        <f t="shared" si="7"/>
        <v>-181.59077</v>
      </c>
      <c r="M336" s="61">
        <f>IFERROR(__xludf.DUMMYFUNCTION("IFS(AND(COUNTA(C336:C1673)=0,COUNTA(Q336:Q1673)=0),"""",OR(AND(K336&gt;=1000000000,OR(Y336&gt;=1000000000,COUNTA(Q336:Q1673)=0)),OR(Y336&gt;=1000000000,AND(COUNTA(C336:C1673)=0,P$3=TRUE))),
ROUNDDOWN((AB$1-AC$1)*MAX(INDEX(T$4:T1673,MATCH(LARGE(FILTER(Y$4:Y1673,Y$4"&amp;":Y1673&lt;1000000000),1),Y$4:Y1673)),INDEX(F$4:F1673,MATCH(LARGE(FILTER(K$4:K1673,K$4:K1673&lt;1000000000),1),K$4:K1673)))),AND(K336&lt;1000000000,COUNTA(C336:C1673)&gt;0,P$3=FALSE),
ROUNDDOWN(INDEX(Y$4:Y1673,MATCH(LARGE(FILTER(W$4:W1673,W$4:W1673&lt;=I336),1),W$4:W1673"&amp;"))+(I336-LARGE(FILTER(W$4:W1673,W$4:W1673&lt;=I336),1))*INDEX(T$4:T1673,MATCH(LARGE(FILTER(W$4:W1673,W$4:W1673&lt;=I336),1),W$4:W1673))-K336),1,
ROUNDDOWN(Y336-INDEX(K$4:K1673,MATCH(LARGE(FILTER(I$4:I1673,I$4:I1673&lt;=W336),1),I$4:I1673))-(W336-LARGE(FILTER(I$4:I"&amp;"1673,I$4:I1673&lt;=W336),1))*INDEX(F$4:F1673,MATCH(LARGE(FILTER(I$4:I1673,I$4:I1673&lt;=W336),1),I$4:I1673))))"),7.4451309E7)</f>
        <v>74451309</v>
      </c>
      <c r="N336" s="60">
        <f t="shared" si="8"/>
        <v>-181.59077</v>
      </c>
      <c r="O336" s="61" t="str">
        <f t="shared" si="9"/>
        <v>74,5M</v>
      </c>
      <c r="P336" s="56">
        <f t="shared" si="10"/>
        <v>30</v>
      </c>
      <c r="Q336" s="105" t="s">
        <v>60</v>
      </c>
      <c r="R336" s="10"/>
      <c r="S336" s="59">
        <f t="array" ref="S336">IF(COUNTA(Q336:Q1673)=0,"",SUM((COUNTIF(Q$4:Q336,Upgrades!$B$3:$B$13)-COUNTIF(Q$4:Q336,"Sell_"&amp;Upgrades!$B$3:$B$13))*Upgrades!$D$3:$D$13))</f>
        <v>428852.4</v>
      </c>
      <c r="T336" s="66">
        <f>IFERROR(__xludf.DUMMYFUNCTION("IF(COUNTA(Q336:Q1673)=0,"""",IF(REGEXMATCH(INDEX(FILTER(Q$4:Q336,Q$4:Q336&lt;&gt;""""),ROWS(FILTER(Q$4:Q336,Q$4:Q336&lt;&gt;""""))),""^Sell_""),INDEX(FILTER(T$4:T335,Q$4:Q335&lt;&gt;""""),ROWS(FILTER(Q$4:Q335,Q$4:Q335&lt;&gt;""""))),$AD$5+S336))"),438433.4)</f>
        <v>438433.4</v>
      </c>
      <c r="U336" s="10">
        <f>IFERROR(__xludf.DUMMYFUNCTION("IF(COUNTA(Q336:Q1673)=0,"""",IF(Q336="""",0,IF(REGEXMATCH(Q336,""^Sell_""),-ROUNDDOWN(ROUNDUP(INDEX(Upgrades!$C$3:$C$13,MATCH(SUBSTITUTE(Q336,""Sell_"",""""),Upgrades!$B$3:$B$13,0))*1.15^(COUNTIF(Q$4:Q335,SUBSTITUTE(Q336,""Sell_"",""""))-COUNTIF(Q$4:Q335,"&amp;"""Sell_""&amp;SUBSTITUTE(Q336,""Sell_"",""""))))/2),ROUNDUP(INDEX(Upgrades!$C$3:$C$13,MATCH(Q336,Upgrades!$B$3:$B$13,0))*1.15^(COUNTIF(Q$4:Q335,Q336)-COUNTIF(Q$4:Q335,""Sell_""&amp;Q336))))))"),-615279.0)</f>
        <v>-615279</v>
      </c>
      <c r="V336" s="10">
        <f t="shared" si="11"/>
        <v>-17272057</v>
      </c>
      <c r="W336" s="68">
        <f t="shared" si="12"/>
        <v>7011.639592</v>
      </c>
      <c r="X336" s="59" t="str">
        <f t="shared" si="13"/>
        <v>1h 56m 51s</v>
      </c>
      <c r="Y336" s="69">
        <f t="shared" si="14"/>
        <v>666225716</v>
      </c>
      <c r="Z336" s="11"/>
    </row>
    <row r="337">
      <c r="A337" s="8"/>
      <c r="B337" s="56" t="str">
        <f t="shared" si="2"/>
        <v/>
      </c>
      <c r="C337" s="105"/>
      <c r="D337" s="10"/>
      <c r="E337" s="59" t="str">
        <f t="array" ref="E337">IF(COUNTA(C337:C1673)=0,"",SUM((COUNTIF(C$4:C337,Upgrades!$B$3:$B$13)-COUNTIF(C$4:C337,"Sell_"&amp;Upgrades!$B$3:$B$13))*Upgrades!$D$3:$D$13))</f>
        <v/>
      </c>
      <c r="F337" s="66" t="str">
        <f>IFERROR(__xludf.DUMMYFUNCTION("IF(COUNTA(C337:C1673)=0,"""",IF(REGEXMATCH(INDEX(FILTER(C$4:C337,C$4:C337&lt;&gt;""""),ROWS(FILTER(C$4:C337,C$4:C337&lt;&gt;""""))),""^Sell_""),INDEX(FILTER(F$4:F336,C$4:C336&lt;&gt;""""),ROWS(FILTER(C$4:C336,C$4:C336&lt;&gt;""""))),$AC$5+E337))"),"")</f>
        <v/>
      </c>
      <c r="G337" s="10" t="str">
        <f>IFERROR(__xludf.DUMMYFUNCTION("IF(COUNTA(C337:C1673)=0,"""",IF(C337="""",0,IF(REGEXMATCH(C337,""^Sell_""),-ROUNDDOWN(ROUNDUP(INDEX(Upgrades!$C$3:$C$13,MATCH(SUBSTITUTE(C337,""Sell_"",""""),Upgrades!$B$3:$B$13,0))*1.15^(COUNTIF(C$4:C336,SUBSTITUTE(C337,""Sell_"",""""))-COUNTIF(C$4:C336,"&amp;"""Sell_""&amp;SUBSTITUTE(C337,""Sell_"",""""))))/2),ROUNDUP(INDEX(Upgrades!$C$3:$C$13,MATCH(C337,Upgrades!$B$3:$B$13,0))*1.15^(COUNTIF(C$4:C336,C337)-COUNTIF(C$4:C336,""Sell_""&amp;C337))))))"),"")</f>
        <v/>
      </c>
      <c r="H337" s="10" t="str">
        <f t="shared" si="3"/>
        <v/>
      </c>
      <c r="I337" s="68" t="str">
        <f t="shared" si="4"/>
        <v/>
      </c>
      <c r="J337" s="59" t="str">
        <f t="shared" si="5"/>
        <v/>
      </c>
      <c r="K337" s="69" t="str">
        <f t="shared" si="6"/>
        <v/>
      </c>
      <c r="L337" s="60">
        <f t="shared" si="7"/>
        <v>-181.59077</v>
      </c>
      <c r="M337" s="61">
        <f>IFERROR(__xludf.DUMMYFUNCTION("IFS(AND(COUNTA(C337:C1673)=0,COUNTA(Q337:Q1673)=0),"""",OR(AND(K337&gt;=1000000000,OR(Y337&gt;=1000000000,COUNTA(Q337:Q1673)=0)),OR(Y337&gt;=1000000000,AND(COUNTA(C337:C1673)=0,P$3=TRUE))),
ROUNDDOWN((AB$1-AC$1)*MAX(INDEX(T$4:T1673,MATCH(LARGE(FILTER(Y$4:Y1673,Y$4"&amp;":Y1673&lt;1000000000),1),Y$4:Y1673)),INDEX(F$4:F1673,MATCH(LARGE(FILTER(K$4:K1673,K$4:K1673&lt;1000000000),1),K$4:K1673)))),AND(K337&lt;1000000000,COUNTA(C337:C1673)&gt;0,P$3=FALSE),
ROUNDDOWN(INDEX(Y$4:Y1673,MATCH(LARGE(FILTER(W$4:W1673,W$4:W1673&lt;=I337),1),W$4:W1673"&amp;"))+(I337-LARGE(FILTER(W$4:W1673,W$4:W1673&lt;=I337),1))*INDEX(T$4:T1673,MATCH(LARGE(FILTER(W$4:W1673,W$4:W1673&lt;=I337),1),W$4:W1673))-K337),1,
ROUNDDOWN(Y337-INDEX(K$4:K1673,MATCH(LARGE(FILTER(I$4:I1673,I$4:I1673&lt;=W337),1),I$4:I1673))-(W337-LARGE(FILTER(I$4:I"&amp;"1673,I$4:I1673&lt;=W337),1))*INDEX(F$4:F1673,MATCH(LARGE(FILTER(I$4:I1673,I$4:I1673&lt;=W337),1),I$4:I1673))))"),7.4451309E7)</f>
        <v>74451309</v>
      </c>
      <c r="N337" s="60">
        <f t="shared" si="8"/>
        <v>-181.59077</v>
      </c>
      <c r="O337" s="61" t="str">
        <f t="shared" si="9"/>
        <v>74,5M</v>
      </c>
      <c r="P337" s="56">
        <f t="shared" si="10"/>
        <v>31</v>
      </c>
      <c r="Q337" s="105" t="s">
        <v>60</v>
      </c>
      <c r="R337" s="10"/>
      <c r="S337" s="59">
        <f t="array" ref="S337">IF(COUNTA(Q337:Q1673)=0,"",SUM((COUNTIF(Q$4:Q337,Upgrades!$B$3:$B$13)-COUNTIF(Q$4:Q337,"Sell_"&amp;Upgrades!$B$3:$B$13))*Upgrades!$D$3:$D$13))</f>
        <v>428452.4</v>
      </c>
      <c r="T337" s="66">
        <f>IFERROR(__xludf.DUMMYFUNCTION("IF(COUNTA(Q337:Q1673)=0,"""",IF(REGEXMATCH(INDEX(FILTER(Q$4:Q337,Q$4:Q337&lt;&gt;""""),ROWS(FILTER(Q$4:Q337,Q$4:Q337&lt;&gt;""""))),""^Sell_""),INDEX(FILTER(T$4:T336,Q$4:Q336&lt;&gt;""""),ROWS(FILTER(Q$4:Q336,Q$4:Q336&lt;&gt;""""))),$AD$5+S337))"),438433.4)</f>
        <v>438433.4</v>
      </c>
      <c r="U337" s="10">
        <f>IFERROR(__xludf.DUMMYFUNCTION("IF(COUNTA(Q337:Q1673)=0,"""",IF(Q337="""",0,IF(REGEXMATCH(Q337,""^Sell_""),-ROUNDDOWN(ROUNDUP(INDEX(Upgrades!$C$3:$C$13,MATCH(SUBSTITUTE(Q337,""Sell_"",""""),Upgrades!$B$3:$B$13,0))*1.15^(COUNTIF(Q$4:Q336,SUBSTITUTE(Q337,""Sell_"",""""))-COUNTIF(Q$4:Q336,"&amp;"""Sell_""&amp;SUBSTITUTE(Q337,""Sell_"",""""))))/2),ROUNDUP(INDEX(Upgrades!$C$3:$C$13,MATCH(Q337,Upgrades!$B$3:$B$13,0))*1.15^(COUNTIF(Q$4:Q336,Q337)-COUNTIF(Q$4:Q336,""Sell_""&amp;Q337))))))"),-535025.0)</f>
        <v>-535025</v>
      </c>
      <c r="V337" s="10">
        <f t="shared" si="11"/>
        <v>-17807082</v>
      </c>
      <c r="W337" s="68">
        <f t="shared" si="12"/>
        <v>7011.639592</v>
      </c>
      <c r="X337" s="59" t="str">
        <f t="shared" si="13"/>
        <v>1h 56m 51s</v>
      </c>
      <c r="Y337" s="69">
        <f t="shared" si="14"/>
        <v>666225716</v>
      </c>
      <c r="Z337" s="11"/>
    </row>
    <row r="338">
      <c r="A338" s="8"/>
      <c r="B338" s="56" t="str">
        <f t="shared" si="2"/>
        <v/>
      </c>
      <c r="C338" s="105"/>
      <c r="D338" s="10"/>
      <c r="E338" s="59" t="str">
        <f t="array" ref="E338">IF(COUNTA(C338:C1673)=0,"",SUM((COUNTIF(C$4:C338,Upgrades!$B$3:$B$13)-COUNTIF(C$4:C338,"Sell_"&amp;Upgrades!$B$3:$B$13))*Upgrades!$D$3:$D$13))</f>
        <v/>
      </c>
      <c r="F338" s="66" t="str">
        <f>IFERROR(__xludf.DUMMYFUNCTION("IF(COUNTA(C338:C1673)=0,"""",IF(REGEXMATCH(INDEX(FILTER(C$4:C338,C$4:C338&lt;&gt;""""),ROWS(FILTER(C$4:C338,C$4:C338&lt;&gt;""""))),""^Sell_""),INDEX(FILTER(F$4:F337,C$4:C337&lt;&gt;""""),ROWS(FILTER(C$4:C337,C$4:C337&lt;&gt;""""))),$AC$5+E338))"),"")</f>
        <v/>
      </c>
      <c r="G338" s="10" t="str">
        <f>IFERROR(__xludf.DUMMYFUNCTION("IF(COUNTA(C338:C1673)=0,"""",IF(C338="""",0,IF(REGEXMATCH(C338,""^Sell_""),-ROUNDDOWN(ROUNDUP(INDEX(Upgrades!$C$3:$C$13,MATCH(SUBSTITUTE(C338,""Sell_"",""""),Upgrades!$B$3:$B$13,0))*1.15^(COUNTIF(C$4:C337,SUBSTITUTE(C338,""Sell_"",""""))-COUNTIF(C$4:C337,"&amp;"""Sell_""&amp;SUBSTITUTE(C338,""Sell_"",""""))))/2),ROUNDUP(INDEX(Upgrades!$C$3:$C$13,MATCH(C338,Upgrades!$B$3:$B$13,0))*1.15^(COUNTIF(C$4:C337,C338)-COUNTIF(C$4:C337,""Sell_""&amp;C338))))))"),"")</f>
        <v/>
      </c>
      <c r="H338" s="10" t="str">
        <f t="shared" si="3"/>
        <v/>
      </c>
      <c r="I338" s="68" t="str">
        <f t="shared" si="4"/>
        <v/>
      </c>
      <c r="J338" s="59" t="str">
        <f t="shared" si="5"/>
        <v/>
      </c>
      <c r="K338" s="69" t="str">
        <f t="shared" si="6"/>
        <v/>
      </c>
      <c r="L338" s="60">
        <f t="shared" si="7"/>
        <v>-181.59077</v>
      </c>
      <c r="M338" s="61">
        <f>IFERROR(__xludf.DUMMYFUNCTION("IFS(AND(COUNTA(C338:C1673)=0,COUNTA(Q338:Q1673)=0),"""",OR(AND(K338&gt;=1000000000,OR(Y338&gt;=1000000000,COUNTA(Q338:Q1673)=0)),OR(Y338&gt;=1000000000,AND(COUNTA(C338:C1673)=0,P$3=TRUE))),
ROUNDDOWN((AB$1-AC$1)*MAX(INDEX(T$4:T1673,MATCH(LARGE(FILTER(Y$4:Y1673,Y$4"&amp;":Y1673&lt;1000000000),1),Y$4:Y1673)),INDEX(F$4:F1673,MATCH(LARGE(FILTER(K$4:K1673,K$4:K1673&lt;1000000000),1),K$4:K1673)))),AND(K338&lt;1000000000,COUNTA(C338:C1673)&gt;0,P$3=FALSE),
ROUNDDOWN(INDEX(Y$4:Y1673,MATCH(LARGE(FILTER(W$4:W1673,W$4:W1673&lt;=I338),1),W$4:W1673"&amp;"))+(I338-LARGE(FILTER(W$4:W1673,W$4:W1673&lt;=I338),1))*INDEX(T$4:T1673,MATCH(LARGE(FILTER(W$4:W1673,W$4:W1673&lt;=I338),1),W$4:W1673))-K338),1,
ROUNDDOWN(Y338-INDEX(K$4:K1673,MATCH(LARGE(FILTER(I$4:I1673,I$4:I1673&lt;=W338),1),I$4:I1673))-(W338-LARGE(FILTER(I$4:I"&amp;"1673,I$4:I1673&lt;=W338),1))*INDEX(F$4:F1673,MATCH(LARGE(FILTER(I$4:I1673,I$4:I1673&lt;=W338),1),I$4:I1673))))"),7.4451309E7)</f>
        <v>74451309</v>
      </c>
      <c r="N338" s="60">
        <f t="shared" si="8"/>
        <v>-181.59077</v>
      </c>
      <c r="O338" s="61" t="str">
        <f t="shared" si="9"/>
        <v>74,5M</v>
      </c>
      <c r="P338" s="56">
        <f t="shared" si="10"/>
        <v>32</v>
      </c>
      <c r="Q338" s="105" t="s">
        <v>60</v>
      </c>
      <c r="R338" s="10"/>
      <c r="S338" s="59">
        <f t="array" ref="S338">IF(COUNTA(Q338:Q1673)=0,"",SUM((COUNTIF(Q$4:Q338,Upgrades!$B$3:$B$13)-COUNTIF(Q$4:Q338,"Sell_"&amp;Upgrades!$B$3:$B$13))*Upgrades!$D$3:$D$13))</f>
        <v>428052.4</v>
      </c>
      <c r="T338" s="66">
        <f>IFERROR(__xludf.DUMMYFUNCTION("IF(COUNTA(Q338:Q1673)=0,"""",IF(REGEXMATCH(INDEX(FILTER(Q$4:Q338,Q$4:Q338&lt;&gt;""""),ROWS(FILTER(Q$4:Q338,Q$4:Q338&lt;&gt;""""))),""^Sell_""),INDEX(FILTER(T$4:T337,Q$4:Q337&lt;&gt;""""),ROWS(FILTER(Q$4:Q337,Q$4:Q337&lt;&gt;""""))),$AD$5+S338))"),438433.4)</f>
        <v>438433.4</v>
      </c>
      <c r="U338" s="10">
        <f>IFERROR(__xludf.DUMMYFUNCTION("IF(COUNTA(Q338:Q1673)=0,"""",IF(Q338="""",0,IF(REGEXMATCH(Q338,""^Sell_""),-ROUNDDOWN(ROUNDUP(INDEX(Upgrades!$C$3:$C$13,MATCH(SUBSTITUTE(Q338,""Sell_"",""""),Upgrades!$B$3:$B$13,0))*1.15^(COUNTIF(Q$4:Q337,SUBSTITUTE(Q338,""Sell_"",""""))-COUNTIF(Q$4:Q337,"&amp;"""Sell_""&amp;SUBSTITUTE(Q338,""Sell_"",""""))))/2),ROUNDUP(INDEX(Upgrades!$C$3:$C$13,MATCH(Q338,Upgrades!$B$3:$B$13,0))*1.15^(COUNTIF(Q$4:Q337,Q338)-COUNTIF(Q$4:Q337,""Sell_""&amp;Q338))))))"),-465239.0)</f>
        <v>-465239</v>
      </c>
      <c r="V338" s="10">
        <f t="shared" si="11"/>
        <v>-18272321</v>
      </c>
      <c r="W338" s="68">
        <f t="shared" si="12"/>
        <v>7011.639592</v>
      </c>
      <c r="X338" s="59" t="str">
        <f t="shared" si="13"/>
        <v>1h 56m 51s</v>
      </c>
      <c r="Y338" s="69">
        <f t="shared" si="14"/>
        <v>666225716</v>
      </c>
      <c r="Z338" s="11"/>
    </row>
    <row r="339">
      <c r="A339" s="8"/>
      <c r="B339" s="56" t="str">
        <f t="shared" si="2"/>
        <v/>
      </c>
      <c r="C339" s="105"/>
      <c r="D339" s="10"/>
      <c r="E339" s="59" t="str">
        <f t="array" ref="E339">IF(COUNTA(C339:C1673)=0,"",SUM((COUNTIF(C$4:C339,Upgrades!$B$3:$B$13)-COUNTIF(C$4:C339,"Sell_"&amp;Upgrades!$B$3:$B$13))*Upgrades!$D$3:$D$13))</f>
        <v/>
      </c>
      <c r="F339" s="66" t="str">
        <f>IFERROR(__xludf.DUMMYFUNCTION("IF(COUNTA(C339:C1673)=0,"""",IF(REGEXMATCH(INDEX(FILTER(C$4:C339,C$4:C339&lt;&gt;""""),ROWS(FILTER(C$4:C339,C$4:C339&lt;&gt;""""))),""^Sell_""),INDEX(FILTER(F$4:F338,C$4:C338&lt;&gt;""""),ROWS(FILTER(C$4:C338,C$4:C338&lt;&gt;""""))),$AC$5+E339))"),"")</f>
        <v/>
      </c>
      <c r="G339" s="10" t="str">
        <f>IFERROR(__xludf.DUMMYFUNCTION("IF(COUNTA(C339:C1673)=0,"""",IF(C339="""",0,IF(REGEXMATCH(C339,""^Sell_""),-ROUNDDOWN(ROUNDUP(INDEX(Upgrades!$C$3:$C$13,MATCH(SUBSTITUTE(C339,""Sell_"",""""),Upgrades!$B$3:$B$13,0))*1.15^(COUNTIF(C$4:C338,SUBSTITUTE(C339,""Sell_"",""""))-COUNTIF(C$4:C338,"&amp;"""Sell_""&amp;SUBSTITUTE(C339,""Sell_"",""""))))/2),ROUNDUP(INDEX(Upgrades!$C$3:$C$13,MATCH(C339,Upgrades!$B$3:$B$13,0))*1.15^(COUNTIF(C$4:C338,C339)-COUNTIF(C$4:C338,""Sell_""&amp;C339))))))"),"")</f>
        <v/>
      </c>
      <c r="H339" s="10" t="str">
        <f t="shared" si="3"/>
        <v/>
      </c>
      <c r="I339" s="68" t="str">
        <f t="shared" si="4"/>
        <v/>
      </c>
      <c r="J339" s="59" t="str">
        <f t="shared" si="5"/>
        <v/>
      </c>
      <c r="K339" s="69" t="str">
        <f t="shared" si="6"/>
        <v/>
      </c>
      <c r="L339" s="60">
        <f t="shared" si="7"/>
        <v>-181.59077</v>
      </c>
      <c r="M339" s="61">
        <f>IFERROR(__xludf.DUMMYFUNCTION("IFS(AND(COUNTA(C339:C1673)=0,COUNTA(Q339:Q1673)=0),"""",OR(AND(K339&gt;=1000000000,OR(Y339&gt;=1000000000,COUNTA(Q339:Q1673)=0)),OR(Y339&gt;=1000000000,AND(COUNTA(C339:C1673)=0,P$3=TRUE))),
ROUNDDOWN((AB$1-AC$1)*MAX(INDEX(T$4:T1673,MATCH(LARGE(FILTER(Y$4:Y1673,Y$4"&amp;":Y1673&lt;1000000000),1),Y$4:Y1673)),INDEX(F$4:F1673,MATCH(LARGE(FILTER(K$4:K1673,K$4:K1673&lt;1000000000),1),K$4:K1673)))),AND(K339&lt;1000000000,COUNTA(C339:C1673)&gt;0,P$3=FALSE),
ROUNDDOWN(INDEX(Y$4:Y1673,MATCH(LARGE(FILTER(W$4:W1673,W$4:W1673&lt;=I339),1),W$4:W1673"&amp;"))+(I339-LARGE(FILTER(W$4:W1673,W$4:W1673&lt;=I339),1))*INDEX(T$4:T1673,MATCH(LARGE(FILTER(W$4:W1673,W$4:W1673&lt;=I339),1),W$4:W1673))-K339),1,
ROUNDDOWN(Y339-INDEX(K$4:K1673,MATCH(LARGE(FILTER(I$4:I1673,I$4:I1673&lt;=W339),1),I$4:I1673))-(W339-LARGE(FILTER(I$4:I"&amp;"1673,I$4:I1673&lt;=W339),1))*INDEX(F$4:F1673,MATCH(LARGE(FILTER(I$4:I1673,I$4:I1673&lt;=W339),1),I$4:I1673))))"),7.4451309E7)</f>
        <v>74451309</v>
      </c>
      <c r="N339" s="60">
        <f t="shared" si="8"/>
        <v>-181.59077</v>
      </c>
      <c r="O339" s="61" t="str">
        <f t="shared" si="9"/>
        <v>74,5M</v>
      </c>
      <c r="P339" s="56">
        <f t="shared" si="10"/>
        <v>33</v>
      </c>
      <c r="Q339" s="105" t="s">
        <v>60</v>
      </c>
      <c r="R339" s="10"/>
      <c r="S339" s="59">
        <f t="array" ref="S339">IF(COUNTA(Q339:Q1673)=0,"",SUM((COUNTIF(Q$4:Q339,Upgrades!$B$3:$B$13)-COUNTIF(Q$4:Q339,"Sell_"&amp;Upgrades!$B$3:$B$13))*Upgrades!$D$3:$D$13))</f>
        <v>427652.4</v>
      </c>
      <c r="T339" s="66">
        <f>IFERROR(__xludf.DUMMYFUNCTION("IF(COUNTA(Q339:Q1673)=0,"""",IF(REGEXMATCH(INDEX(FILTER(Q$4:Q339,Q$4:Q339&lt;&gt;""""),ROWS(FILTER(Q$4:Q339,Q$4:Q339&lt;&gt;""""))),""^Sell_""),INDEX(FILTER(T$4:T338,Q$4:Q338&lt;&gt;""""),ROWS(FILTER(Q$4:Q338,Q$4:Q338&lt;&gt;""""))),$AD$5+S339))"),438433.4)</f>
        <v>438433.4</v>
      </c>
      <c r="U339" s="10">
        <f>IFERROR(__xludf.DUMMYFUNCTION("IF(COUNTA(Q339:Q1673)=0,"""",IF(Q339="""",0,IF(REGEXMATCH(Q339,""^Sell_""),-ROUNDDOWN(ROUNDUP(INDEX(Upgrades!$C$3:$C$13,MATCH(SUBSTITUTE(Q339,""Sell_"",""""),Upgrades!$B$3:$B$13,0))*1.15^(COUNTIF(Q$4:Q338,SUBSTITUTE(Q339,""Sell_"",""""))-COUNTIF(Q$4:Q338,"&amp;"""Sell_""&amp;SUBSTITUTE(Q339,""Sell_"",""""))))/2),ROUNDUP(INDEX(Upgrades!$C$3:$C$13,MATCH(Q339,Upgrades!$B$3:$B$13,0))*1.15^(COUNTIF(Q$4:Q338,Q339)-COUNTIF(Q$4:Q338,""Sell_""&amp;Q339))))))"),-404556.0)</f>
        <v>-404556</v>
      </c>
      <c r="V339" s="10">
        <f t="shared" si="11"/>
        <v>-18676877</v>
      </c>
      <c r="W339" s="68">
        <f t="shared" si="12"/>
        <v>7011.639592</v>
      </c>
      <c r="X339" s="59" t="str">
        <f t="shared" si="13"/>
        <v>1h 56m 51s</v>
      </c>
      <c r="Y339" s="69">
        <f t="shared" si="14"/>
        <v>666225716</v>
      </c>
      <c r="Z339" s="11"/>
    </row>
    <row r="340">
      <c r="A340" s="8"/>
      <c r="B340" s="56" t="str">
        <f t="shared" si="2"/>
        <v/>
      </c>
      <c r="C340" s="105"/>
      <c r="D340" s="10"/>
      <c r="E340" s="59" t="str">
        <f t="array" ref="E340">IF(COUNTA(C340:C1673)=0,"",SUM((COUNTIF(C$4:C340,Upgrades!$B$3:$B$13)-COUNTIF(C$4:C340,"Sell_"&amp;Upgrades!$B$3:$B$13))*Upgrades!$D$3:$D$13))</f>
        <v/>
      </c>
      <c r="F340" s="66" t="str">
        <f>IFERROR(__xludf.DUMMYFUNCTION("IF(COUNTA(C340:C1673)=0,"""",IF(REGEXMATCH(INDEX(FILTER(C$4:C340,C$4:C340&lt;&gt;""""),ROWS(FILTER(C$4:C340,C$4:C340&lt;&gt;""""))),""^Sell_""),INDEX(FILTER(F$4:F339,C$4:C339&lt;&gt;""""),ROWS(FILTER(C$4:C339,C$4:C339&lt;&gt;""""))),$AC$5+E340))"),"")</f>
        <v/>
      </c>
      <c r="G340" s="10" t="str">
        <f>IFERROR(__xludf.DUMMYFUNCTION("IF(COUNTA(C340:C1673)=0,"""",IF(C340="""",0,IF(REGEXMATCH(C340,""^Sell_""),-ROUNDDOWN(ROUNDUP(INDEX(Upgrades!$C$3:$C$13,MATCH(SUBSTITUTE(C340,""Sell_"",""""),Upgrades!$B$3:$B$13,0))*1.15^(COUNTIF(C$4:C339,SUBSTITUTE(C340,""Sell_"",""""))-COUNTIF(C$4:C339,"&amp;"""Sell_""&amp;SUBSTITUTE(C340,""Sell_"",""""))))/2),ROUNDUP(INDEX(Upgrades!$C$3:$C$13,MATCH(C340,Upgrades!$B$3:$B$13,0))*1.15^(COUNTIF(C$4:C339,C340)-COUNTIF(C$4:C339,""Sell_""&amp;C340))))))"),"")</f>
        <v/>
      </c>
      <c r="H340" s="10" t="str">
        <f t="shared" si="3"/>
        <v/>
      </c>
      <c r="I340" s="68" t="str">
        <f t="shared" si="4"/>
        <v/>
      </c>
      <c r="J340" s="59" t="str">
        <f t="shared" si="5"/>
        <v/>
      </c>
      <c r="K340" s="69" t="str">
        <f t="shared" si="6"/>
        <v/>
      </c>
      <c r="L340" s="60">
        <f t="shared" si="7"/>
        <v>-181.59077</v>
      </c>
      <c r="M340" s="61">
        <f>IFERROR(__xludf.DUMMYFUNCTION("IFS(AND(COUNTA(C340:C1673)=0,COUNTA(Q340:Q1673)=0),"""",OR(AND(K340&gt;=1000000000,OR(Y340&gt;=1000000000,COUNTA(Q340:Q1673)=0)),OR(Y340&gt;=1000000000,AND(COUNTA(C340:C1673)=0,P$3=TRUE))),
ROUNDDOWN((AB$1-AC$1)*MAX(INDEX(T$4:T1673,MATCH(LARGE(FILTER(Y$4:Y1673,Y$4"&amp;":Y1673&lt;1000000000),1),Y$4:Y1673)),INDEX(F$4:F1673,MATCH(LARGE(FILTER(K$4:K1673,K$4:K1673&lt;1000000000),1),K$4:K1673)))),AND(K340&lt;1000000000,COUNTA(C340:C1673)&gt;0,P$3=FALSE),
ROUNDDOWN(INDEX(Y$4:Y1673,MATCH(LARGE(FILTER(W$4:W1673,W$4:W1673&lt;=I340),1),W$4:W1673"&amp;"))+(I340-LARGE(FILTER(W$4:W1673,W$4:W1673&lt;=I340),1))*INDEX(T$4:T1673,MATCH(LARGE(FILTER(W$4:W1673,W$4:W1673&lt;=I340),1),W$4:W1673))-K340),1,
ROUNDDOWN(Y340-INDEX(K$4:K1673,MATCH(LARGE(FILTER(I$4:I1673,I$4:I1673&lt;=W340),1),I$4:I1673))-(W340-LARGE(FILTER(I$4:I"&amp;"1673,I$4:I1673&lt;=W340),1))*INDEX(F$4:F1673,MATCH(LARGE(FILTER(I$4:I1673,I$4:I1673&lt;=W340),1),I$4:I1673))))"),7.4451309E7)</f>
        <v>74451309</v>
      </c>
      <c r="N340" s="60">
        <f t="shared" si="8"/>
        <v>-181.59077</v>
      </c>
      <c r="O340" s="61" t="str">
        <f t="shared" si="9"/>
        <v>74,5M</v>
      </c>
      <c r="P340" s="56">
        <f t="shared" si="10"/>
        <v>34</v>
      </c>
      <c r="Q340" s="105" t="s">
        <v>60</v>
      </c>
      <c r="R340" s="10"/>
      <c r="S340" s="59">
        <f t="array" ref="S340">IF(COUNTA(Q340:Q1673)=0,"",SUM((COUNTIF(Q$4:Q340,Upgrades!$B$3:$B$13)-COUNTIF(Q$4:Q340,"Sell_"&amp;Upgrades!$B$3:$B$13))*Upgrades!$D$3:$D$13))</f>
        <v>427252.4</v>
      </c>
      <c r="T340" s="66">
        <f>IFERROR(__xludf.DUMMYFUNCTION("IF(COUNTA(Q340:Q1673)=0,"""",IF(REGEXMATCH(INDEX(FILTER(Q$4:Q340,Q$4:Q340&lt;&gt;""""),ROWS(FILTER(Q$4:Q340,Q$4:Q340&lt;&gt;""""))),""^Sell_""),INDEX(FILTER(T$4:T339,Q$4:Q339&lt;&gt;""""),ROWS(FILTER(Q$4:Q339,Q$4:Q339&lt;&gt;""""))),$AD$5+S340))"),438433.4)</f>
        <v>438433.4</v>
      </c>
      <c r="U340" s="10">
        <f>IFERROR(__xludf.DUMMYFUNCTION("IF(COUNTA(Q340:Q1673)=0,"""",IF(Q340="""",0,IF(REGEXMATCH(Q340,""^Sell_""),-ROUNDDOWN(ROUNDUP(INDEX(Upgrades!$C$3:$C$13,MATCH(SUBSTITUTE(Q340,""Sell_"",""""),Upgrades!$B$3:$B$13,0))*1.15^(COUNTIF(Q$4:Q339,SUBSTITUTE(Q340,""Sell_"",""""))-COUNTIF(Q$4:Q339,"&amp;"""Sell_""&amp;SUBSTITUTE(Q340,""Sell_"",""""))))/2),ROUNDUP(INDEX(Upgrades!$C$3:$C$13,MATCH(Q340,Upgrades!$B$3:$B$13,0))*1.15^(COUNTIF(Q$4:Q339,Q340)-COUNTIF(Q$4:Q339,""Sell_""&amp;Q340))))))"),-351788.0)</f>
        <v>-351788</v>
      </c>
      <c r="V340" s="10">
        <f t="shared" si="11"/>
        <v>-19028665</v>
      </c>
      <c r="W340" s="68">
        <f t="shared" si="12"/>
        <v>7011.639592</v>
      </c>
      <c r="X340" s="59" t="str">
        <f t="shared" si="13"/>
        <v>1h 56m 51s</v>
      </c>
      <c r="Y340" s="69">
        <f t="shared" si="14"/>
        <v>666225716</v>
      </c>
      <c r="Z340" s="11"/>
    </row>
    <row r="341">
      <c r="A341" s="8"/>
      <c r="B341" s="56" t="str">
        <f t="shared" si="2"/>
        <v/>
      </c>
      <c r="C341" s="105"/>
      <c r="D341" s="10"/>
      <c r="E341" s="59" t="str">
        <f t="array" ref="E341">IF(COUNTA(C341:C1673)=0,"",SUM((COUNTIF(C$4:C341,Upgrades!$B$3:$B$13)-COUNTIF(C$4:C341,"Sell_"&amp;Upgrades!$B$3:$B$13))*Upgrades!$D$3:$D$13))</f>
        <v/>
      </c>
      <c r="F341" s="66" t="str">
        <f>IFERROR(__xludf.DUMMYFUNCTION("IF(COUNTA(C341:C1673)=0,"""",IF(REGEXMATCH(INDEX(FILTER(C$4:C341,C$4:C341&lt;&gt;""""),ROWS(FILTER(C$4:C341,C$4:C341&lt;&gt;""""))),""^Sell_""),INDEX(FILTER(F$4:F340,C$4:C340&lt;&gt;""""),ROWS(FILTER(C$4:C340,C$4:C340&lt;&gt;""""))),$AC$5+E341))"),"")</f>
        <v/>
      </c>
      <c r="G341" s="10" t="str">
        <f>IFERROR(__xludf.DUMMYFUNCTION("IF(COUNTA(C341:C1673)=0,"""",IF(C341="""",0,IF(REGEXMATCH(C341,""^Sell_""),-ROUNDDOWN(ROUNDUP(INDEX(Upgrades!$C$3:$C$13,MATCH(SUBSTITUTE(C341,""Sell_"",""""),Upgrades!$B$3:$B$13,0))*1.15^(COUNTIF(C$4:C340,SUBSTITUTE(C341,""Sell_"",""""))-COUNTIF(C$4:C340,"&amp;"""Sell_""&amp;SUBSTITUTE(C341,""Sell_"",""""))))/2),ROUNDUP(INDEX(Upgrades!$C$3:$C$13,MATCH(C341,Upgrades!$B$3:$B$13,0))*1.15^(COUNTIF(C$4:C340,C341)-COUNTIF(C$4:C340,""Sell_""&amp;C341))))))"),"")</f>
        <v/>
      </c>
      <c r="H341" s="10" t="str">
        <f t="shared" si="3"/>
        <v/>
      </c>
      <c r="I341" s="68" t="str">
        <f t="shared" si="4"/>
        <v/>
      </c>
      <c r="J341" s="59" t="str">
        <f t="shared" si="5"/>
        <v/>
      </c>
      <c r="K341" s="69" t="str">
        <f t="shared" si="6"/>
        <v/>
      </c>
      <c r="L341" s="60">
        <f t="shared" si="7"/>
        <v>-181.59077</v>
      </c>
      <c r="M341" s="61">
        <f>IFERROR(__xludf.DUMMYFUNCTION("IFS(AND(COUNTA(C341:C1673)=0,COUNTA(Q341:Q1673)=0),"""",OR(AND(K341&gt;=1000000000,OR(Y341&gt;=1000000000,COUNTA(Q341:Q1673)=0)),OR(Y341&gt;=1000000000,AND(COUNTA(C341:C1673)=0,P$3=TRUE))),
ROUNDDOWN((AB$1-AC$1)*MAX(INDEX(T$4:T1673,MATCH(LARGE(FILTER(Y$4:Y1673,Y$4"&amp;":Y1673&lt;1000000000),1),Y$4:Y1673)),INDEX(F$4:F1673,MATCH(LARGE(FILTER(K$4:K1673,K$4:K1673&lt;1000000000),1),K$4:K1673)))),AND(K341&lt;1000000000,COUNTA(C341:C1673)&gt;0,P$3=FALSE),
ROUNDDOWN(INDEX(Y$4:Y1673,MATCH(LARGE(FILTER(W$4:W1673,W$4:W1673&lt;=I341),1),W$4:W1673"&amp;"))+(I341-LARGE(FILTER(W$4:W1673,W$4:W1673&lt;=I341),1))*INDEX(T$4:T1673,MATCH(LARGE(FILTER(W$4:W1673,W$4:W1673&lt;=I341),1),W$4:W1673))-K341),1,
ROUNDDOWN(Y341-INDEX(K$4:K1673,MATCH(LARGE(FILTER(I$4:I1673,I$4:I1673&lt;=W341),1),I$4:I1673))-(W341-LARGE(FILTER(I$4:I"&amp;"1673,I$4:I1673&lt;=W341),1))*INDEX(F$4:F1673,MATCH(LARGE(FILTER(I$4:I1673,I$4:I1673&lt;=W341),1),I$4:I1673))))"),7.4451309E7)</f>
        <v>74451309</v>
      </c>
      <c r="N341" s="60">
        <f t="shared" si="8"/>
        <v>-181.59077</v>
      </c>
      <c r="O341" s="61" t="str">
        <f t="shared" si="9"/>
        <v>74,5M</v>
      </c>
      <c r="P341" s="56">
        <f t="shared" si="10"/>
        <v>35</v>
      </c>
      <c r="Q341" s="105" t="s">
        <v>60</v>
      </c>
      <c r="R341" s="10"/>
      <c r="S341" s="59">
        <f t="array" ref="S341">IF(COUNTA(Q341:Q1673)=0,"",SUM((COUNTIF(Q$4:Q341,Upgrades!$B$3:$B$13)-COUNTIF(Q$4:Q341,"Sell_"&amp;Upgrades!$B$3:$B$13))*Upgrades!$D$3:$D$13))</f>
        <v>426852.4</v>
      </c>
      <c r="T341" s="66">
        <f>IFERROR(__xludf.DUMMYFUNCTION("IF(COUNTA(Q341:Q1673)=0,"""",IF(REGEXMATCH(INDEX(FILTER(Q$4:Q341,Q$4:Q341&lt;&gt;""""),ROWS(FILTER(Q$4:Q341,Q$4:Q341&lt;&gt;""""))),""^Sell_""),INDEX(FILTER(T$4:T340,Q$4:Q340&lt;&gt;""""),ROWS(FILTER(Q$4:Q340,Q$4:Q340&lt;&gt;""""))),$AD$5+S341))"),438433.4)</f>
        <v>438433.4</v>
      </c>
      <c r="U341" s="10">
        <f>IFERROR(__xludf.DUMMYFUNCTION("IF(COUNTA(Q341:Q1673)=0,"""",IF(Q341="""",0,IF(REGEXMATCH(Q341,""^Sell_""),-ROUNDDOWN(ROUNDUP(INDEX(Upgrades!$C$3:$C$13,MATCH(SUBSTITUTE(Q341,""Sell_"",""""),Upgrades!$B$3:$B$13,0))*1.15^(COUNTIF(Q$4:Q340,SUBSTITUTE(Q341,""Sell_"",""""))-COUNTIF(Q$4:Q340,"&amp;"""Sell_""&amp;SUBSTITUTE(Q341,""Sell_"",""""))))/2),ROUNDUP(INDEX(Upgrades!$C$3:$C$13,MATCH(Q341,Upgrades!$B$3:$B$13,0))*1.15^(COUNTIF(Q$4:Q340,Q341)-COUNTIF(Q$4:Q340,""Sell_""&amp;Q341))))))"),-305902.0)</f>
        <v>-305902</v>
      </c>
      <c r="V341" s="10">
        <f t="shared" si="11"/>
        <v>-19334567</v>
      </c>
      <c r="W341" s="68">
        <f t="shared" si="12"/>
        <v>7011.639592</v>
      </c>
      <c r="X341" s="59" t="str">
        <f t="shared" si="13"/>
        <v>1h 56m 51s</v>
      </c>
      <c r="Y341" s="69">
        <f t="shared" si="14"/>
        <v>666225716</v>
      </c>
      <c r="Z341" s="11"/>
    </row>
    <row r="342">
      <c r="A342" s="8"/>
      <c r="B342" s="56" t="str">
        <f t="shared" si="2"/>
        <v/>
      </c>
      <c r="C342" s="105"/>
      <c r="D342" s="10"/>
      <c r="E342" s="59" t="str">
        <f t="array" ref="E342">IF(COUNTA(C342:C1673)=0,"",SUM((COUNTIF(C$4:C342,Upgrades!$B$3:$B$13)-COUNTIF(C$4:C342,"Sell_"&amp;Upgrades!$B$3:$B$13))*Upgrades!$D$3:$D$13))</f>
        <v/>
      </c>
      <c r="F342" s="66" t="str">
        <f>IFERROR(__xludf.DUMMYFUNCTION("IF(COUNTA(C342:C1673)=0,"""",IF(REGEXMATCH(INDEX(FILTER(C$4:C342,C$4:C342&lt;&gt;""""),ROWS(FILTER(C$4:C342,C$4:C342&lt;&gt;""""))),""^Sell_""),INDEX(FILTER(F$4:F341,C$4:C341&lt;&gt;""""),ROWS(FILTER(C$4:C341,C$4:C341&lt;&gt;""""))),$AC$5+E342))"),"")</f>
        <v/>
      </c>
      <c r="G342" s="10" t="str">
        <f>IFERROR(__xludf.DUMMYFUNCTION("IF(COUNTA(C342:C1673)=0,"""",IF(C342="""",0,IF(REGEXMATCH(C342,""^Sell_""),-ROUNDDOWN(ROUNDUP(INDEX(Upgrades!$C$3:$C$13,MATCH(SUBSTITUTE(C342,""Sell_"",""""),Upgrades!$B$3:$B$13,0))*1.15^(COUNTIF(C$4:C341,SUBSTITUTE(C342,""Sell_"",""""))-COUNTIF(C$4:C341,"&amp;"""Sell_""&amp;SUBSTITUTE(C342,""Sell_"",""""))))/2),ROUNDUP(INDEX(Upgrades!$C$3:$C$13,MATCH(C342,Upgrades!$B$3:$B$13,0))*1.15^(COUNTIF(C$4:C341,C342)-COUNTIF(C$4:C341,""Sell_""&amp;C342))))))"),"")</f>
        <v/>
      </c>
      <c r="H342" s="10" t="str">
        <f t="shared" si="3"/>
        <v/>
      </c>
      <c r="I342" s="68" t="str">
        <f t="shared" si="4"/>
        <v/>
      </c>
      <c r="J342" s="59" t="str">
        <f t="shared" si="5"/>
        <v/>
      </c>
      <c r="K342" s="69" t="str">
        <f t="shared" si="6"/>
        <v/>
      </c>
      <c r="L342" s="60">
        <f t="shared" si="7"/>
        <v>-181.59077</v>
      </c>
      <c r="M342" s="61">
        <f>IFERROR(__xludf.DUMMYFUNCTION("IFS(AND(COUNTA(C342:C1673)=0,COUNTA(Q342:Q1673)=0),"""",OR(AND(K342&gt;=1000000000,OR(Y342&gt;=1000000000,COUNTA(Q342:Q1673)=0)),OR(Y342&gt;=1000000000,AND(COUNTA(C342:C1673)=0,P$3=TRUE))),
ROUNDDOWN((AB$1-AC$1)*MAX(INDEX(T$4:T1673,MATCH(LARGE(FILTER(Y$4:Y1673,Y$4"&amp;":Y1673&lt;1000000000),1),Y$4:Y1673)),INDEX(F$4:F1673,MATCH(LARGE(FILTER(K$4:K1673,K$4:K1673&lt;1000000000),1),K$4:K1673)))),AND(K342&lt;1000000000,COUNTA(C342:C1673)&gt;0,P$3=FALSE),
ROUNDDOWN(INDEX(Y$4:Y1673,MATCH(LARGE(FILTER(W$4:W1673,W$4:W1673&lt;=I342),1),W$4:W1673"&amp;"))+(I342-LARGE(FILTER(W$4:W1673,W$4:W1673&lt;=I342),1))*INDEX(T$4:T1673,MATCH(LARGE(FILTER(W$4:W1673,W$4:W1673&lt;=I342),1),W$4:W1673))-K342),1,
ROUNDDOWN(Y342-INDEX(K$4:K1673,MATCH(LARGE(FILTER(I$4:I1673,I$4:I1673&lt;=W342),1),I$4:I1673))-(W342-LARGE(FILTER(I$4:I"&amp;"1673,I$4:I1673&lt;=W342),1))*INDEX(F$4:F1673,MATCH(LARGE(FILTER(I$4:I1673,I$4:I1673&lt;=W342),1),I$4:I1673))))"),7.4451309E7)</f>
        <v>74451309</v>
      </c>
      <c r="N342" s="60">
        <f t="shared" si="8"/>
        <v>-181.59077</v>
      </c>
      <c r="O342" s="61" t="str">
        <f t="shared" si="9"/>
        <v>74,5M</v>
      </c>
      <c r="P342" s="56">
        <f t="shared" si="10"/>
        <v>36</v>
      </c>
      <c r="Q342" s="105" t="s">
        <v>60</v>
      </c>
      <c r="R342" s="10"/>
      <c r="S342" s="59">
        <f t="array" ref="S342">IF(COUNTA(Q342:Q1673)=0,"",SUM((COUNTIF(Q$4:Q342,Upgrades!$B$3:$B$13)-COUNTIF(Q$4:Q342,"Sell_"&amp;Upgrades!$B$3:$B$13))*Upgrades!$D$3:$D$13))</f>
        <v>426452.4</v>
      </c>
      <c r="T342" s="66">
        <f>IFERROR(__xludf.DUMMYFUNCTION("IF(COUNTA(Q342:Q1673)=0,"""",IF(REGEXMATCH(INDEX(FILTER(Q$4:Q342,Q$4:Q342&lt;&gt;""""),ROWS(FILTER(Q$4:Q342,Q$4:Q342&lt;&gt;""""))),""^Sell_""),INDEX(FILTER(T$4:T341,Q$4:Q341&lt;&gt;""""),ROWS(FILTER(Q$4:Q341,Q$4:Q341&lt;&gt;""""))),$AD$5+S342))"),438433.4)</f>
        <v>438433.4</v>
      </c>
      <c r="U342" s="10">
        <f>IFERROR(__xludf.DUMMYFUNCTION("IF(COUNTA(Q342:Q1673)=0,"""",IF(Q342="""",0,IF(REGEXMATCH(Q342,""^Sell_""),-ROUNDDOWN(ROUNDUP(INDEX(Upgrades!$C$3:$C$13,MATCH(SUBSTITUTE(Q342,""Sell_"",""""),Upgrades!$B$3:$B$13,0))*1.15^(COUNTIF(Q$4:Q341,SUBSTITUTE(Q342,""Sell_"",""""))-COUNTIF(Q$4:Q341,"&amp;"""Sell_""&amp;SUBSTITUTE(Q342,""Sell_"",""""))))/2),ROUNDUP(INDEX(Upgrades!$C$3:$C$13,MATCH(Q342,Upgrades!$B$3:$B$13,0))*1.15^(COUNTIF(Q$4:Q341,Q342)-COUNTIF(Q$4:Q341,""Sell_""&amp;Q342))))))"),-266002.0)</f>
        <v>-266002</v>
      </c>
      <c r="V342" s="10">
        <f t="shared" si="11"/>
        <v>-19600569</v>
      </c>
      <c r="W342" s="68">
        <f t="shared" si="12"/>
        <v>7011.639592</v>
      </c>
      <c r="X342" s="59" t="str">
        <f t="shared" si="13"/>
        <v>1h 56m 51s</v>
      </c>
      <c r="Y342" s="69">
        <f t="shared" si="14"/>
        <v>666225716</v>
      </c>
      <c r="Z342" s="11"/>
    </row>
    <row r="343">
      <c r="A343" s="8"/>
      <c r="B343" s="56" t="str">
        <f t="shared" si="2"/>
        <v/>
      </c>
      <c r="C343" s="105"/>
      <c r="D343" s="10"/>
      <c r="E343" s="59" t="str">
        <f t="array" ref="E343">IF(COUNTA(C343:C1673)=0,"",SUM((COUNTIF(C$4:C343,Upgrades!$B$3:$B$13)-COUNTIF(C$4:C343,"Sell_"&amp;Upgrades!$B$3:$B$13))*Upgrades!$D$3:$D$13))</f>
        <v/>
      </c>
      <c r="F343" s="66" t="str">
        <f>IFERROR(__xludf.DUMMYFUNCTION("IF(COUNTA(C343:C1673)=0,"""",IF(REGEXMATCH(INDEX(FILTER(C$4:C343,C$4:C343&lt;&gt;""""),ROWS(FILTER(C$4:C343,C$4:C343&lt;&gt;""""))),""^Sell_""),INDEX(FILTER(F$4:F342,C$4:C342&lt;&gt;""""),ROWS(FILTER(C$4:C342,C$4:C342&lt;&gt;""""))),$AC$5+E343))"),"")</f>
        <v/>
      </c>
      <c r="G343" s="10" t="str">
        <f>IFERROR(__xludf.DUMMYFUNCTION("IF(COUNTA(C343:C1673)=0,"""",IF(C343="""",0,IF(REGEXMATCH(C343,""^Sell_""),-ROUNDDOWN(ROUNDUP(INDEX(Upgrades!$C$3:$C$13,MATCH(SUBSTITUTE(C343,""Sell_"",""""),Upgrades!$B$3:$B$13,0))*1.15^(COUNTIF(C$4:C342,SUBSTITUTE(C343,""Sell_"",""""))-COUNTIF(C$4:C342,"&amp;"""Sell_""&amp;SUBSTITUTE(C343,""Sell_"",""""))))/2),ROUNDUP(INDEX(Upgrades!$C$3:$C$13,MATCH(C343,Upgrades!$B$3:$B$13,0))*1.15^(COUNTIF(C$4:C342,C343)-COUNTIF(C$4:C342,""Sell_""&amp;C343))))))"),"")</f>
        <v/>
      </c>
      <c r="H343" s="10" t="str">
        <f t="shared" si="3"/>
        <v/>
      </c>
      <c r="I343" s="68" t="str">
        <f t="shared" si="4"/>
        <v/>
      </c>
      <c r="J343" s="59" t="str">
        <f t="shared" si="5"/>
        <v/>
      </c>
      <c r="K343" s="69" t="str">
        <f t="shared" si="6"/>
        <v/>
      </c>
      <c r="L343" s="60">
        <f t="shared" si="7"/>
        <v>-181.59077</v>
      </c>
      <c r="M343" s="61">
        <f>IFERROR(__xludf.DUMMYFUNCTION("IFS(AND(COUNTA(C343:C1673)=0,COUNTA(Q343:Q1673)=0),"""",OR(AND(K343&gt;=1000000000,OR(Y343&gt;=1000000000,COUNTA(Q343:Q1673)=0)),OR(Y343&gt;=1000000000,AND(COUNTA(C343:C1673)=0,P$3=TRUE))),
ROUNDDOWN((AB$1-AC$1)*MAX(INDEX(T$4:T1673,MATCH(LARGE(FILTER(Y$4:Y1673,Y$4"&amp;":Y1673&lt;1000000000),1),Y$4:Y1673)),INDEX(F$4:F1673,MATCH(LARGE(FILTER(K$4:K1673,K$4:K1673&lt;1000000000),1),K$4:K1673)))),AND(K343&lt;1000000000,COUNTA(C343:C1673)&gt;0,P$3=FALSE),
ROUNDDOWN(INDEX(Y$4:Y1673,MATCH(LARGE(FILTER(W$4:W1673,W$4:W1673&lt;=I343),1),W$4:W1673"&amp;"))+(I343-LARGE(FILTER(W$4:W1673,W$4:W1673&lt;=I343),1))*INDEX(T$4:T1673,MATCH(LARGE(FILTER(W$4:W1673,W$4:W1673&lt;=I343),1),W$4:W1673))-K343),1,
ROUNDDOWN(Y343-INDEX(K$4:K1673,MATCH(LARGE(FILTER(I$4:I1673,I$4:I1673&lt;=W343),1),I$4:I1673))-(W343-LARGE(FILTER(I$4:I"&amp;"1673,I$4:I1673&lt;=W343),1))*INDEX(F$4:F1673,MATCH(LARGE(FILTER(I$4:I1673,I$4:I1673&lt;=W343),1),I$4:I1673))))"),7.4451309E7)</f>
        <v>74451309</v>
      </c>
      <c r="N343" s="60">
        <f t="shared" si="8"/>
        <v>-181.59077</v>
      </c>
      <c r="O343" s="61" t="str">
        <f t="shared" si="9"/>
        <v>74,5M</v>
      </c>
      <c r="P343" s="56">
        <f t="shared" si="10"/>
        <v>37</v>
      </c>
      <c r="Q343" s="105" t="s">
        <v>60</v>
      </c>
      <c r="R343" s="10"/>
      <c r="S343" s="59">
        <f t="array" ref="S343">IF(COUNTA(Q343:Q1673)=0,"",SUM((COUNTIF(Q$4:Q343,Upgrades!$B$3:$B$13)-COUNTIF(Q$4:Q343,"Sell_"&amp;Upgrades!$B$3:$B$13))*Upgrades!$D$3:$D$13))</f>
        <v>426052.4</v>
      </c>
      <c r="T343" s="66">
        <f>IFERROR(__xludf.DUMMYFUNCTION("IF(COUNTA(Q343:Q1673)=0,"""",IF(REGEXMATCH(INDEX(FILTER(Q$4:Q343,Q$4:Q343&lt;&gt;""""),ROWS(FILTER(Q$4:Q343,Q$4:Q343&lt;&gt;""""))),""^Sell_""),INDEX(FILTER(T$4:T342,Q$4:Q342&lt;&gt;""""),ROWS(FILTER(Q$4:Q342,Q$4:Q342&lt;&gt;""""))),$AD$5+S343))"),438433.4)</f>
        <v>438433.4</v>
      </c>
      <c r="U343" s="10">
        <f>IFERROR(__xludf.DUMMYFUNCTION("IF(COUNTA(Q343:Q1673)=0,"""",IF(Q343="""",0,IF(REGEXMATCH(Q343,""^Sell_""),-ROUNDDOWN(ROUNDUP(INDEX(Upgrades!$C$3:$C$13,MATCH(SUBSTITUTE(Q343,""Sell_"",""""),Upgrades!$B$3:$B$13,0))*1.15^(COUNTIF(Q$4:Q342,SUBSTITUTE(Q343,""Sell_"",""""))-COUNTIF(Q$4:Q342,"&amp;"""Sell_""&amp;SUBSTITUTE(Q343,""Sell_"",""""))))/2),ROUNDUP(INDEX(Upgrades!$C$3:$C$13,MATCH(Q343,Upgrades!$B$3:$B$13,0))*1.15^(COUNTIF(Q$4:Q342,Q343)-COUNTIF(Q$4:Q342,""Sell_""&amp;Q343))))))"),-231306.0)</f>
        <v>-231306</v>
      </c>
      <c r="V343" s="10">
        <f t="shared" si="11"/>
        <v>-19831875</v>
      </c>
      <c r="W343" s="68">
        <f t="shared" si="12"/>
        <v>7011.639592</v>
      </c>
      <c r="X343" s="59" t="str">
        <f t="shared" si="13"/>
        <v>1h 56m 51s</v>
      </c>
      <c r="Y343" s="69">
        <f t="shared" si="14"/>
        <v>666225716</v>
      </c>
      <c r="Z343" s="11"/>
    </row>
    <row r="344">
      <c r="A344" s="8"/>
      <c r="B344" s="56" t="str">
        <f t="shared" si="2"/>
        <v/>
      </c>
      <c r="C344" s="105"/>
      <c r="D344" s="10"/>
      <c r="E344" s="59" t="str">
        <f t="array" ref="E344">IF(COUNTA(C344:C1673)=0,"",SUM((COUNTIF(C$4:C344,Upgrades!$B$3:$B$13)-COUNTIF(C$4:C344,"Sell_"&amp;Upgrades!$B$3:$B$13))*Upgrades!$D$3:$D$13))</f>
        <v/>
      </c>
      <c r="F344" s="66" t="str">
        <f>IFERROR(__xludf.DUMMYFUNCTION("IF(COUNTA(C344:C1673)=0,"""",IF(REGEXMATCH(INDEX(FILTER(C$4:C344,C$4:C344&lt;&gt;""""),ROWS(FILTER(C$4:C344,C$4:C344&lt;&gt;""""))),""^Sell_""),INDEX(FILTER(F$4:F343,C$4:C343&lt;&gt;""""),ROWS(FILTER(C$4:C343,C$4:C343&lt;&gt;""""))),$AC$5+E344))"),"")</f>
        <v/>
      </c>
      <c r="G344" s="10" t="str">
        <f>IFERROR(__xludf.DUMMYFUNCTION("IF(COUNTA(C344:C1673)=0,"""",IF(C344="""",0,IF(REGEXMATCH(C344,""^Sell_""),-ROUNDDOWN(ROUNDUP(INDEX(Upgrades!$C$3:$C$13,MATCH(SUBSTITUTE(C344,""Sell_"",""""),Upgrades!$B$3:$B$13,0))*1.15^(COUNTIF(C$4:C343,SUBSTITUTE(C344,""Sell_"",""""))-COUNTIF(C$4:C343,"&amp;"""Sell_""&amp;SUBSTITUTE(C344,""Sell_"",""""))))/2),ROUNDUP(INDEX(Upgrades!$C$3:$C$13,MATCH(C344,Upgrades!$B$3:$B$13,0))*1.15^(COUNTIF(C$4:C343,C344)-COUNTIF(C$4:C343,""Sell_""&amp;C344))))))"),"")</f>
        <v/>
      </c>
      <c r="H344" s="10" t="str">
        <f t="shared" si="3"/>
        <v/>
      </c>
      <c r="I344" s="68" t="str">
        <f t="shared" si="4"/>
        <v/>
      </c>
      <c r="J344" s="59" t="str">
        <f t="shared" si="5"/>
        <v/>
      </c>
      <c r="K344" s="69" t="str">
        <f t="shared" si="6"/>
        <v/>
      </c>
      <c r="L344" s="60">
        <f t="shared" si="7"/>
        <v>-181.59077</v>
      </c>
      <c r="M344" s="61">
        <f>IFERROR(__xludf.DUMMYFUNCTION("IFS(AND(COUNTA(C344:C1673)=0,COUNTA(Q344:Q1673)=0),"""",OR(AND(K344&gt;=1000000000,OR(Y344&gt;=1000000000,COUNTA(Q344:Q1673)=0)),OR(Y344&gt;=1000000000,AND(COUNTA(C344:C1673)=0,P$3=TRUE))),
ROUNDDOWN((AB$1-AC$1)*MAX(INDEX(T$4:T1673,MATCH(LARGE(FILTER(Y$4:Y1673,Y$4"&amp;":Y1673&lt;1000000000),1),Y$4:Y1673)),INDEX(F$4:F1673,MATCH(LARGE(FILTER(K$4:K1673,K$4:K1673&lt;1000000000),1),K$4:K1673)))),AND(K344&lt;1000000000,COUNTA(C344:C1673)&gt;0,P$3=FALSE),
ROUNDDOWN(INDEX(Y$4:Y1673,MATCH(LARGE(FILTER(W$4:W1673,W$4:W1673&lt;=I344),1),W$4:W1673"&amp;"))+(I344-LARGE(FILTER(W$4:W1673,W$4:W1673&lt;=I344),1))*INDEX(T$4:T1673,MATCH(LARGE(FILTER(W$4:W1673,W$4:W1673&lt;=I344),1),W$4:W1673))-K344),1,
ROUNDDOWN(Y344-INDEX(K$4:K1673,MATCH(LARGE(FILTER(I$4:I1673,I$4:I1673&lt;=W344),1),I$4:I1673))-(W344-LARGE(FILTER(I$4:I"&amp;"1673,I$4:I1673&lt;=W344),1))*INDEX(F$4:F1673,MATCH(LARGE(FILTER(I$4:I1673,I$4:I1673&lt;=W344),1),I$4:I1673))))"),7.4451309E7)</f>
        <v>74451309</v>
      </c>
      <c r="N344" s="60">
        <f t="shared" si="8"/>
        <v>-181.59077</v>
      </c>
      <c r="O344" s="61" t="str">
        <f t="shared" si="9"/>
        <v>74,5M</v>
      </c>
      <c r="P344" s="56">
        <f t="shared" si="10"/>
        <v>38</v>
      </c>
      <c r="Q344" s="105" t="s">
        <v>60</v>
      </c>
      <c r="R344" s="10"/>
      <c r="S344" s="59">
        <f t="array" ref="S344">IF(COUNTA(Q344:Q1673)=0,"",SUM((COUNTIF(Q$4:Q344,Upgrades!$B$3:$B$13)-COUNTIF(Q$4:Q344,"Sell_"&amp;Upgrades!$B$3:$B$13))*Upgrades!$D$3:$D$13))</f>
        <v>425652.4</v>
      </c>
      <c r="T344" s="66">
        <f>IFERROR(__xludf.DUMMYFUNCTION("IF(COUNTA(Q344:Q1673)=0,"""",IF(REGEXMATCH(INDEX(FILTER(Q$4:Q344,Q$4:Q344&lt;&gt;""""),ROWS(FILTER(Q$4:Q344,Q$4:Q344&lt;&gt;""""))),""^Sell_""),INDEX(FILTER(T$4:T343,Q$4:Q343&lt;&gt;""""),ROWS(FILTER(Q$4:Q343,Q$4:Q343&lt;&gt;""""))),$AD$5+S344))"),438433.4)</f>
        <v>438433.4</v>
      </c>
      <c r="U344" s="10">
        <f>IFERROR(__xludf.DUMMYFUNCTION("IF(COUNTA(Q344:Q1673)=0,"""",IF(Q344="""",0,IF(REGEXMATCH(Q344,""^Sell_""),-ROUNDDOWN(ROUNDUP(INDEX(Upgrades!$C$3:$C$13,MATCH(SUBSTITUTE(Q344,""Sell_"",""""),Upgrades!$B$3:$B$13,0))*1.15^(COUNTIF(Q$4:Q343,SUBSTITUTE(Q344,""Sell_"",""""))-COUNTIF(Q$4:Q343,"&amp;"""Sell_""&amp;SUBSTITUTE(Q344,""Sell_"",""""))))/2),ROUNDUP(INDEX(Upgrades!$C$3:$C$13,MATCH(Q344,Upgrades!$B$3:$B$13,0))*1.15^(COUNTIF(Q$4:Q343,Q344)-COUNTIF(Q$4:Q343,""Sell_""&amp;Q344))))))"),-201136.0)</f>
        <v>-201136</v>
      </c>
      <c r="V344" s="10">
        <f t="shared" si="11"/>
        <v>-20033011</v>
      </c>
      <c r="W344" s="68">
        <f t="shared" si="12"/>
        <v>7011.639592</v>
      </c>
      <c r="X344" s="59" t="str">
        <f t="shared" si="13"/>
        <v>1h 56m 51s</v>
      </c>
      <c r="Y344" s="69">
        <f t="shared" si="14"/>
        <v>666225716</v>
      </c>
      <c r="Z344" s="11"/>
    </row>
    <row r="345">
      <c r="A345" s="8"/>
      <c r="B345" s="56" t="str">
        <f t="shared" si="2"/>
        <v/>
      </c>
      <c r="C345" s="105"/>
      <c r="D345" s="10"/>
      <c r="E345" s="59" t="str">
        <f t="array" ref="E345">IF(COUNTA(C345:C1673)=0,"",SUM((COUNTIF(C$4:C345,Upgrades!$B$3:$B$13)-COUNTIF(C$4:C345,"Sell_"&amp;Upgrades!$B$3:$B$13))*Upgrades!$D$3:$D$13))</f>
        <v/>
      </c>
      <c r="F345" s="66" t="str">
        <f>IFERROR(__xludf.DUMMYFUNCTION("IF(COUNTA(C345:C1673)=0,"""",IF(REGEXMATCH(INDEX(FILTER(C$4:C345,C$4:C345&lt;&gt;""""),ROWS(FILTER(C$4:C345,C$4:C345&lt;&gt;""""))),""^Sell_""),INDEX(FILTER(F$4:F344,C$4:C344&lt;&gt;""""),ROWS(FILTER(C$4:C344,C$4:C344&lt;&gt;""""))),$AC$5+E345))"),"")</f>
        <v/>
      </c>
      <c r="G345" s="10" t="str">
        <f>IFERROR(__xludf.DUMMYFUNCTION("IF(COUNTA(C345:C1673)=0,"""",IF(C345="""",0,IF(REGEXMATCH(C345,""^Sell_""),-ROUNDDOWN(ROUNDUP(INDEX(Upgrades!$C$3:$C$13,MATCH(SUBSTITUTE(C345,""Sell_"",""""),Upgrades!$B$3:$B$13,0))*1.15^(COUNTIF(C$4:C344,SUBSTITUTE(C345,""Sell_"",""""))-COUNTIF(C$4:C344,"&amp;"""Sell_""&amp;SUBSTITUTE(C345,""Sell_"",""""))))/2),ROUNDUP(INDEX(Upgrades!$C$3:$C$13,MATCH(C345,Upgrades!$B$3:$B$13,0))*1.15^(COUNTIF(C$4:C344,C345)-COUNTIF(C$4:C344,""Sell_""&amp;C345))))))"),"")</f>
        <v/>
      </c>
      <c r="H345" s="10" t="str">
        <f t="shared" si="3"/>
        <v/>
      </c>
      <c r="I345" s="68" t="str">
        <f t="shared" si="4"/>
        <v/>
      </c>
      <c r="J345" s="59" t="str">
        <f t="shared" si="5"/>
        <v/>
      </c>
      <c r="K345" s="69" t="str">
        <f t="shared" si="6"/>
        <v/>
      </c>
      <c r="L345" s="60">
        <f t="shared" si="7"/>
        <v>-181.59077</v>
      </c>
      <c r="M345" s="61">
        <f>IFERROR(__xludf.DUMMYFUNCTION("IFS(AND(COUNTA(C345:C1673)=0,COUNTA(Q345:Q1673)=0),"""",OR(AND(K345&gt;=1000000000,OR(Y345&gt;=1000000000,COUNTA(Q345:Q1673)=0)),OR(Y345&gt;=1000000000,AND(COUNTA(C345:C1673)=0,P$3=TRUE))),
ROUNDDOWN((AB$1-AC$1)*MAX(INDEX(T$4:T1673,MATCH(LARGE(FILTER(Y$4:Y1673,Y$4"&amp;":Y1673&lt;1000000000),1),Y$4:Y1673)),INDEX(F$4:F1673,MATCH(LARGE(FILTER(K$4:K1673,K$4:K1673&lt;1000000000),1),K$4:K1673)))),AND(K345&lt;1000000000,COUNTA(C345:C1673)&gt;0,P$3=FALSE),
ROUNDDOWN(INDEX(Y$4:Y1673,MATCH(LARGE(FILTER(W$4:W1673,W$4:W1673&lt;=I345),1),W$4:W1673"&amp;"))+(I345-LARGE(FILTER(W$4:W1673,W$4:W1673&lt;=I345),1))*INDEX(T$4:T1673,MATCH(LARGE(FILTER(W$4:W1673,W$4:W1673&lt;=I345),1),W$4:W1673))-K345),1,
ROUNDDOWN(Y345-INDEX(K$4:K1673,MATCH(LARGE(FILTER(I$4:I1673,I$4:I1673&lt;=W345),1),I$4:I1673))-(W345-LARGE(FILTER(I$4:I"&amp;"1673,I$4:I1673&lt;=W345),1))*INDEX(F$4:F1673,MATCH(LARGE(FILTER(I$4:I1673,I$4:I1673&lt;=W345),1),I$4:I1673))))"),7.4451309E7)</f>
        <v>74451309</v>
      </c>
      <c r="N345" s="60">
        <f t="shared" si="8"/>
        <v>-181.59077</v>
      </c>
      <c r="O345" s="61" t="str">
        <f t="shared" si="9"/>
        <v>74,5M</v>
      </c>
      <c r="P345" s="56">
        <f t="shared" si="10"/>
        <v>39</v>
      </c>
      <c r="Q345" s="105" t="s">
        <v>60</v>
      </c>
      <c r="R345" s="10"/>
      <c r="S345" s="59">
        <f t="array" ref="S345">IF(COUNTA(Q345:Q1673)=0,"",SUM((COUNTIF(Q$4:Q345,Upgrades!$B$3:$B$13)-COUNTIF(Q$4:Q345,"Sell_"&amp;Upgrades!$B$3:$B$13))*Upgrades!$D$3:$D$13))</f>
        <v>425252.4</v>
      </c>
      <c r="T345" s="66">
        <f>IFERROR(__xludf.DUMMYFUNCTION("IF(COUNTA(Q345:Q1673)=0,"""",IF(REGEXMATCH(INDEX(FILTER(Q$4:Q345,Q$4:Q345&lt;&gt;""""),ROWS(FILTER(Q$4:Q345,Q$4:Q345&lt;&gt;""""))),""^Sell_""),INDEX(FILTER(T$4:T344,Q$4:Q344&lt;&gt;""""),ROWS(FILTER(Q$4:Q344,Q$4:Q344&lt;&gt;""""))),$AD$5+S345))"),438433.4)</f>
        <v>438433.4</v>
      </c>
      <c r="U345" s="10">
        <f>IFERROR(__xludf.DUMMYFUNCTION("IF(COUNTA(Q345:Q1673)=0,"""",IF(Q345="""",0,IF(REGEXMATCH(Q345,""^Sell_""),-ROUNDDOWN(ROUNDUP(INDEX(Upgrades!$C$3:$C$13,MATCH(SUBSTITUTE(Q345,""Sell_"",""""),Upgrades!$B$3:$B$13,0))*1.15^(COUNTIF(Q$4:Q344,SUBSTITUTE(Q345,""Sell_"",""""))-COUNTIF(Q$4:Q344,"&amp;"""Sell_""&amp;SUBSTITUTE(Q345,""Sell_"",""""))))/2),ROUNDUP(INDEX(Upgrades!$C$3:$C$13,MATCH(Q345,Upgrades!$B$3:$B$13,0))*1.15^(COUNTIF(Q$4:Q344,Q345)-COUNTIF(Q$4:Q344,""Sell_""&amp;Q345))))))"),-174901.0)</f>
        <v>-174901</v>
      </c>
      <c r="V345" s="10">
        <f t="shared" si="11"/>
        <v>-20207912</v>
      </c>
      <c r="W345" s="68">
        <f t="shared" si="12"/>
        <v>7011.639592</v>
      </c>
      <c r="X345" s="59" t="str">
        <f t="shared" si="13"/>
        <v>1h 56m 51s</v>
      </c>
      <c r="Y345" s="69">
        <f t="shared" si="14"/>
        <v>666225716</v>
      </c>
      <c r="Z345" s="11"/>
    </row>
    <row r="346">
      <c r="A346" s="8"/>
      <c r="B346" s="56" t="str">
        <f t="shared" si="2"/>
        <v/>
      </c>
      <c r="C346" s="105"/>
      <c r="D346" s="10"/>
      <c r="E346" s="59" t="str">
        <f t="array" ref="E346">IF(COUNTA(C346:C1673)=0,"",SUM((COUNTIF(C$4:C346,Upgrades!$B$3:$B$13)-COUNTIF(C$4:C346,"Sell_"&amp;Upgrades!$B$3:$B$13))*Upgrades!$D$3:$D$13))</f>
        <v/>
      </c>
      <c r="F346" s="66" t="str">
        <f>IFERROR(__xludf.DUMMYFUNCTION("IF(COUNTA(C346:C1673)=0,"""",IF(REGEXMATCH(INDEX(FILTER(C$4:C346,C$4:C346&lt;&gt;""""),ROWS(FILTER(C$4:C346,C$4:C346&lt;&gt;""""))),""^Sell_""),INDEX(FILTER(F$4:F345,C$4:C345&lt;&gt;""""),ROWS(FILTER(C$4:C345,C$4:C345&lt;&gt;""""))),$AC$5+E346))"),"")</f>
        <v/>
      </c>
      <c r="G346" s="10" t="str">
        <f>IFERROR(__xludf.DUMMYFUNCTION("IF(COUNTA(C346:C1673)=0,"""",IF(C346="""",0,IF(REGEXMATCH(C346,""^Sell_""),-ROUNDDOWN(ROUNDUP(INDEX(Upgrades!$C$3:$C$13,MATCH(SUBSTITUTE(C346,""Sell_"",""""),Upgrades!$B$3:$B$13,0))*1.15^(COUNTIF(C$4:C345,SUBSTITUTE(C346,""Sell_"",""""))-COUNTIF(C$4:C345,"&amp;"""Sell_""&amp;SUBSTITUTE(C346,""Sell_"",""""))))/2),ROUNDUP(INDEX(Upgrades!$C$3:$C$13,MATCH(C346,Upgrades!$B$3:$B$13,0))*1.15^(COUNTIF(C$4:C345,C346)-COUNTIF(C$4:C345,""Sell_""&amp;C346))))))"),"")</f>
        <v/>
      </c>
      <c r="H346" s="10" t="str">
        <f t="shared" si="3"/>
        <v/>
      </c>
      <c r="I346" s="68" t="str">
        <f t="shared" si="4"/>
        <v/>
      </c>
      <c r="J346" s="59" t="str">
        <f t="shared" si="5"/>
        <v/>
      </c>
      <c r="K346" s="69" t="str">
        <f t="shared" si="6"/>
        <v/>
      </c>
      <c r="L346" s="60">
        <f t="shared" si="7"/>
        <v>-181.59077</v>
      </c>
      <c r="M346" s="61">
        <f>IFERROR(__xludf.DUMMYFUNCTION("IFS(AND(COUNTA(C346:C1673)=0,COUNTA(Q346:Q1673)=0),"""",OR(AND(K346&gt;=1000000000,OR(Y346&gt;=1000000000,COUNTA(Q346:Q1673)=0)),OR(Y346&gt;=1000000000,AND(COUNTA(C346:C1673)=0,P$3=TRUE))),
ROUNDDOWN((AB$1-AC$1)*MAX(INDEX(T$4:T1673,MATCH(LARGE(FILTER(Y$4:Y1673,Y$4"&amp;":Y1673&lt;1000000000),1),Y$4:Y1673)),INDEX(F$4:F1673,MATCH(LARGE(FILTER(K$4:K1673,K$4:K1673&lt;1000000000),1),K$4:K1673)))),AND(K346&lt;1000000000,COUNTA(C346:C1673)&gt;0,P$3=FALSE),
ROUNDDOWN(INDEX(Y$4:Y1673,MATCH(LARGE(FILTER(W$4:W1673,W$4:W1673&lt;=I346),1),W$4:W1673"&amp;"))+(I346-LARGE(FILTER(W$4:W1673,W$4:W1673&lt;=I346),1))*INDEX(T$4:T1673,MATCH(LARGE(FILTER(W$4:W1673,W$4:W1673&lt;=I346),1),W$4:W1673))-K346),1,
ROUNDDOWN(Y346-INDEX(K$4:K1673,MATCH(LARGE(FILTER(I$4:I1673,I$4:I1673&lt;=W346),1),I$4:I1673))-(W346-LARGE(FILTER(I$4:I"&amp;"1673,I$4:I1673&lt;=W346),1))*INDEX(F$4:F1673,MATCH(LARGE(FILTER(I$4:I1673,I$4:I1673&lt;=W346),1),I$4:I1673))))"),7.4451309E7)</f>
        <v>74451309</v>
      </c>
      <c r="N346" s="60">
        <f t="shared" si="8"/>
        <v>-181.59077</v>
      </c>
      <c r="O346" s="61" t="str">
        <f t="shared" si="9"/>
        <v>74,5M</v>
      </c>
      <c r="P346" s="56">
        <f t="shared" si="10"/>
        <v>40</v>
      </c>
      <c r="Q346" s="105" t="s">
        <v>60</v>
      </c>
      <c r="R346" s="10"/>
      <c r="S346" s="59">
        <f t="array" ref="S346">IF(COUNTA(Q346:Q1673)=0,"",SUM((COUNTIF(Q$4:Q346,Upgrades!$B$3:$B$13)-COUNTIF(Q$4:Q346,"Sell_"&amp;Upgrades!$B$3:$B$13))*Upgrades!$D$3:$D$13))</f>
        <v>424852.4</v>
      </c>
      <c r="T346" s="66">
        <f>IFERROR(__xludf.DUMMYFUNCTION("IF(COUNTA(Q346:Q1673)=0,"""",IF(REGEXMATCH(INDEX(FILTER(Q$4:Q346,Q$4:Q346&lt;&gt;""""),ROWS(FILTER(Q$4:Q346,Q$4:Q346&lt;&gt;""""))),""^Sell_""),INDEX(FILTER(T$4:T345,Q$4:Q345&lt;&gt;""""),ROWS(FILTER(Q$4:Q345,Q$4:Q345&lt;&gt;""""))),$AD$5+S346))"),438433.4)</f>
        <v>438433.4</v>
      </c>
      <c r="U346" s="10">
        <f>IFERROR(__xludf.DUMMYFUNCTION("IF(COUNTA(Q346:Q1673)=0,"""",IF(Q346="""",0,IF(REGEXMATCH(Q346,""^Sell_""),-ROUNDDOWN(ROUNDUP(INDEX(Upgrades!$C$3:$C$13,MATCH(SUBSTITUTE(Q346,""Sell_"",""""),Upgrades!$B$3:$B$13,0))*1.15^(COUNTIF(Q$4:Q345,SUBSTITUTE(Q346,""Sell_"",""""))-COUNTIF(Q$4:Q345,"&amp;"""Sell_""&amp;SUBSTITUTE(Q346,""Sell_"",""""))))/2),ROUNDUP(INDEX(Upgrades!$C$3:$C$13,MATCH(Q346,Upgrades!$B$3:$B$13,0))*1.15^(COUNTIF(Q$4:Q345,Q346)-COUNTIF(Q$4:Q345,""Sell_""&amp;Q346))))))"),-152087.0)</f>
        <v>-152087</v>
      </c>
      <c r="V346" s="10">
        <f t="shared" si="11"/>
        <v>-20359999</v>
      </c>
      <c r="W346" s="68">
        <f t="shared" si="12"/>
        <v>7011.639592</v>
      </c>
      <c r="X346" s="59" t="str">
        <f t="shared" si="13"/>
        <v>1h 56m 51s</v>
      </c>
      <c r="Y346" s="69">
        <f t="shared" si="14"/>
        <v>666225716</v>
      </c>
      <c r="Z346" s="11"/>
    </row>
    <row r="347">
      <c r="A347" s="8"/>
      <c r="B347" s="56" t="str">
        <f t="shared" si="2"/>
        <v/>
      </c>
      <c r="C347" s="105"/>
      <c r="D347" s="10"/>
      <c r="E347" s="59" t="str">
        <f t="array" ref="E347">IF(COUNTA(C347:C1673)=0,"",SUM((COUNTIF(C$4:C347,Upgrades!$B$3:$B$13)-COUNTIF(C$4:C347,"Sell_"&amp;Upgrades!$B$3:$B$13))*Upgrades!$D$3:$D$13))</f>
        <v/>
      </c>
      <c r="F347" s="66" t="str">
        <f>IFERROR(__xludf.DUMMYFUNCTION("IF(COUNTA(C347:C1673)=0,"""",IF(REGEXMATCH(INDEX(FILTER(C$4:C347,C$4:C347&lt;&gt;""""),ROWS(FILTER(C$4:C347,C$4:C347&lt;&gt;""""))),""^Sell_""),INDEX(FILTER(F$4:F346,C$4:C346&lt;&gt;""""),ROWS(FILTER(C$4:C346,C$4:C346&lt;&gt;""""))),$AC$5+E347))"),"")</f>
        <v/>
      </c>
      <c r="G347" s="10" t="str">
        <f>IFERROR(__xludf.DUMMYFUNCTION("IF(COUNTA(C347:C1673)=0,"""",IF(C347="""",0,IF(REGEXMATCH(C347,""^Sell_""),-ROUNDDOWN(ROUNDUP(INDEX(Upgrades!$C$3:$C$13,MATCH(SUBSTITUTE(C347,""Sell_"",""""),Upgrades!$B$3:$B$13,0))*1.15^(COUNTIF(C$4:C346,SUBSTITUTE(C347,""Sell_"",""""))-COUNTIF(C$4:C346,"&amp;"""Sell_""&amp;SUBSTITUTE(C347,""Sell_"",""""))))/2),ROUNDUP(INDEX(Upgrades!$C$3:$C$13,MATCH(C347,Upgrades!$B$3:$B$13,0))*1.15^(COUNTIF(C$4:C346,C347)-COUNTIF(C$4:C346,""Sell_""&amp;C347))))))"),"")</f>
        <v/>
      </c>
      <c r="H347" s="10" t="str">
        <f t="shared" si="3"/>
        <v/>
      </c>
      <c r="I347" s="68" t="str">
        <f t="shared" si="4"/>
        <v/>
      </c>
      <c r="J347" s="59" t="str">
        <f t="shared" si="5"/>
        <v/>
      </c>
      <c r="K347" s="69" t="str">
        <f t="shared" si="6"/>
        <v/>
      </c>
      <c r="L347" s="60">
        <f t="shared" si="7"/>
        <v>-181.59077</v>
      </c>
      <c r="M347" s="61">
        <f>IFERROR(__xludf.DUMMYFUNCTION("IFS(AND(COUNTA(C347:C1673)=0,COUNTA(Q347:Q1673)=0),"""",OR(AND(K347&gt;=1000000000,OR(Y347&gt;=1000000000,COUNTA(Q347:Q1673)=0)),OR(Y347&gt;=1000000000,AND(COUNTA(C347:C1673)=0,P$3=TRUE))),
ROUNDDOWN((AB$1-AC$1)*MAX(INDEX(T$4:T1673,MATCH(LARGE(FILTER(Y$4:Y1673,Y$4"&amp;":Y1673&lt;1000000000),1),Y$4:Y1673)),INDEX(F$4:F1673,MATCH(LARGE(FILTER(K$4:K1673,K$4:K1673&lt;1000000000),1),K$4:K1673)))),AND(K347&lt;1000000000,COUNTA(C347:C1673)&gt;0,P$3=FALSE),
ROUNDDOWN(INDEX(Y$4:Y1673,MATCH(LARGE(FILTER(W$4:W1673,W$4:W1673&lt;=I347),1),W$4:W1673"&amp;"))+(I347-LARGE(FILTER(W$4:W1673,W$4:W1673&lt;=I347),1))*INDEX(T$4:T1673,MATCH(LARGE(FILTER(W$4:W1673,W$4:W1673&lt;=I347),1),W$4:W1673))-K347),1,
ROUNDDOWN(Y347-INDEX(K$4:K1673,MATCH(LARGE(FILTER(I$4:I1673,I$4:I1673&lt;=W347),1),I$4:I1673))-(W347-LARGE(FILTER(I$4:I"&amp;"1673,I$4:I1673&lt;=W347),1))*INDEX(F$4:F1673,MATCH(LARGE(FILTER(I$4:I1673,I$4:I1673&lt;=W347),1),I$4:I1673))))"),7.4451309E7)</f>
        <v>74451309</v>
      </c>
      <c r="N347" s="60">
        <f t="shared" si="8"/>
        <v>-181.59077</v>
      </c>
      <c r="O347" s="61" t="str">
        <f t="shared" si="9"/>
        <v>74,5M</v>
      </c>
      <c r="P347" s="56">
        <f t="shared" si="10"/>
        <v>41</v>
      </c>
      <c r="Q347" s="105" t="s">
        <v>60</v>
      </c>
      <c r="R347" s="10"/>
      <c r="S347" s="59">
        <f t="array" ref="S347">IF(COUNTA(Q347:Q1673)=0,"",SUM((COUNTIF(Q$4:Q347,Upgrades!$B$3:$B$13)-COUNTIF(Q$4:Q347,"Sell_"&amp;Upgrades!$B$3:$B$13))*Upgrades!$D$3:$D$13))</f>
        <v>424452.4</v>
      </c>
      <c r="T347" s="66">
        <f>IFERROR(__xludf.DUMMYFUNCTION("IF(COUNTA(Q347:Q1673)=0,"""",IF(REGEXMATCH(INDEX(FILTER(Q$4:Q347,Q$4:Q347&lt;&gt;""""),ROWS(FILTER(Q$4:Q347,Q$4:Q347&lt;&gt;""""))),""^Sell_""),INDEX(FILTER(T$4:T346,Q$4:Q346&lt;&gt;""""),ROWS(FILTER(Q$4:Q346,Q$4:Q346&lt;&gt;""""))),$AD$5+S347))"),438433.4)</f>
        <v>438433.4</v>
      </c>
      <c r="U347" s="10">
        <f>IFERROR(__xludf.DUMMYFUNCTION("IF(COUNTA(Q347:Q1673)=0,"""",IF(Q347="""",0,IF(REGEXMATCH(Q347,""^Sell_""),-ROUNDDOWN(ROUNDUP(INDEX(Upgrades!$C$3:$C$13,MATCH(SUBSTITUTE(Q347,""Sell_"",""""),Upgrades!$B$3:$B$13,0))*1.15^(COUNTIF(Q$4:Q346,SUBSTITUTE(Q347,""Sell_"",""""))-COUNTIF(Q$4:Q346,"&amp;"""Sell_""&amp;SUBSTITUTE(Q347,""Sell_"",""""))))/2),ROUNDUP(INDEX(Upgrades!$C$3:$C$13,MATCH(Q347,Upgrades!$B$3:$B$13,0))*1.15^(COUNTIF(Q$4:Q346,Q347)-COUNTIF(Q$4:Q346,""Sell_""&amp;Q347))))))"),-132250.0)</f>
        <v>-132250</v>
      </c>
      <c r="V347" s="10">
        <f t="shared" si="11"/>
        <v>-20492249</v>
      </c>
      <c r="W347" s="68">
        <f t="shared" si="12"/>
        <v>7011.639592</v>
      </c>
      <c r="X347" s="59" t="str">
        <f t="shared" si="13"/>
        <v>1h 56m 51s</v>
      </c>
      <c r="Y347" s="69">
        <f t="shared" si="14"/>
        <v>666225716</v>
      </c>
      <c r="Z347" s="11"/>
    </row>
    <row r="348">
      <c r="A348" s="8"/>
      <c r="B348" s="56" t="str">
        <f t="shared" si="2"/>
        <v/>
      </c>
      <c r="C348" s="105"/>
      <c r="D348" s="10"/>
      <c r="E348" s="59" t="str">
        <f t="array" ref="E348">IF(COUNTA(C348:C1673)=0,"",SUM((COUNTIF(C$4:C348,Upgrades!$B$3:$B$13)-COUNTIF(C$4:C348,"Sell_"&amp;Upgrades!$B$3:$B$13))*Upgrades!$D$3:$D$13))</f>
        <v/>
      </c>
      <c r="F348" s="66" t="str">
        <f>IFERROR(__xludf.DUMMYFUNCTION("IF(COUNTA(C348:C1673)=0,"""",IF(REGEXMATCH(INDEX(FILTER(C$4:C348,C$4:C348&lt;&gt;""""),ROWS(FILTER(C$4:C348,C$4:C348&lt;&gt;""""))),""^Sell_""),INDEX(FILTER(F$4:F347,C$4:C347&lt;&gt;""""),ROWS(FILTER(C$4:C347,C$4:C347&lt;&gt;""""))),$AC$5+E348))"),"")</f>
        <v/>
      </c>
      <c r="G348" s="10" t="str">
        <f>IFERROR(__xludf.DUMMYFUNCTION("IF(COUNTA(C348:C1673)=0,"""",IF(C348="""",0,IF(REGEXMATCH(C348,""^Sell_""),-ROUNDDOWN(ROUNDUP(INDEX(Upgrades!$C$3:$C$13,MATCH(SUBSTITUTE(C348,""Sell_"",""""),Upgrades!$B$3:$B$13,0))*1.15^(COUNTIF(C$4:C347,SUBSTITUTE(C348,""Sell_"",""""))-COUNTIF(C$4:C347,"&amp;"""Sell_""&amp;SUBSTITUTE(C348,""Sell_"",""""))))/2),ROUNDUP(INDEX(Upgrades!$C$3:$C$13,MATCH(C348,Upgrades!$B$3:$B$13,0))*1.15^(COUNTIF(C$4:C347,C348)-COUNTIF(C$4:C347,""Sell_""&amp;C348))))))"),"")</f>
        <v/>
      </c>
      <c r="H348" s="10" t="str">
        <f t="shared" si="3"/>
        <v/>
      </c>
      <c r="I348" s="68" t="str">
        <f t="shared" si="4"/>
        <v/>
      </c>
      <c r="J348" s="59" t="str">
        <f t="shared" si="5"/>
        <v/>
      </c>
      <c r="K348" s="69" t="str">
        <f t="shared" si="6"/>
        <v/>
      </c>
      <c r="L348" s="60">
        <f t="shared" si="7"/>
        <v>-181.59077</v>
      </c>
      <c r="M348" s="61">
        <f>IFERROR(__xludf.DUMMYFUNCTION("IFS(AND(COUNTA(C348:C1673)=0,COUNTA(Q348:Q1673)=0),"""",OR(AND(K348&gt;=1000000000,OR(Y348&gt;=1000000000,COUNTA(Q348:Q1673)=0)),OR(Y348&gt;=1000000000,AND(COUNTA(C348:C1673)=0,P$3=TRUE))),
ROUNDDOWN((AB$1-AC$1)*MAX(INDEX(T$4:T1673,MATCH(LARGE(FILTER(Y$4:Y1673,Y$4"&amp;":Y1673&lt;1000000000),1),Y$4:Y1673)),INDEX(F$4:F1673,MATCH(LARGE(FILTER(K$4:K1673,K$4:K1673&lt;1000000000),1),K$4:K1673)))),AND(K348&lt;1000000000,COUNTA(C348:C1673)&gt;0,P$3=FALSE),
ROUNDDOWN(INDEX(Y$4:Y1673,MATCH(LARGE(FILTER(W$4:W1673,W$4:W1673&lt;=I348),1),W$4:W1673"&amp;"))+(I348-LARGE(FILTER(W$4:W1673,W$4:W1673&lt;=I348),1))*INDEX(T$4:T1673,MATCH(LARGE(FILTER(W$4:W1673,W$4:W1673&lt;=I348),1),W$4:W1673))-K348),1,
ROUNDDOWN(Y348-INDEX(K$4:K1673,MATCH(LARGE(FILTER(I$4:I1673,I$4:I1673&lt;=W348),1),I$4:I1673))-(W348-LARGE(FILTER(I$4:I"&amp;"1673,I$4:I1673&lt;=W348),1))*INDEX(F$4:F1673,MATCH(LARGE(FILTER(I$4:I1673,I$4:I1673&lt;=W348),1),I$4:I1673))))"),7.4451309E7)</f>
        <v>74451309</v>
      </c>
      <c r="N348" s="60">
        <f t="shared" si="8"/>
        <v>-181.59077</v>
      </c>
      <c r="O348" s="61" t="str">
        <f t="shared" si="9"/>
        <v>74,5M</v>
      </c>
      <c r="P348" s="56">
        <f t="shared" si="10"/>
        <v>42</v>
      </c>
      <c r="Q348" s="105" t="s">
        <v>60</v>
      </c>
      <c r="R348" s="10"/>
      <c r="S348" s="59">
        <f t="array" ref="S348">IF(COUNTA(Q348:Q1673)=0,"",SUM((COUNTIF(Q$4:Q348,Upgrades!$B$3:$B$13)-COUNTIF(Q$4:Q348,"Sell_"&amp;Upgrades!$B$3:$B$13))*Upgrades!$D$3:$D$13))</f>
        <v>424052.4</v>
      </c>
      <c r="T348" s="66">
        <f>IFERROR(__xludf.DUMMYFUNCTION("IF(COUNTA(Q348:Q1673)=0,"""",IF(REGEXMATCH(INDEX(FILTER(Q$4:Q348,Q$4:Q348&lt;&gt;""""),ROWS(FILTER(Q$4:Q348,Q$4:Q348&lt;&gt;""""))),""^Sell_""),INDEX(FILTER(T$4:T347,Q$4:Q347&lt;&gt;""""),ROWS(FILTER(Q$4:Q347,Q$4:Q347&lt;&gt;""""))),$AD$5+S348))"),438433.4)</f>
        <v>438433.4</v>
      </c>
      <c r="U348" s="10">
        <f>IFERROR(__xludf.DUMMYFUNCTION("IF(COUNTA(Q348:Q1673)=0,"""",IF(Q348="""",0,IF(REGEXMATCH(Q348,""^Sell_""),-ROUNDDOWN(ROUNDUP(INDEX(Upgrades!$C$3:$C$13,MATCH(SUBSTITUTE(Q348,""Sell_"",""""),Upgrades!$B$3:$B$13,0))*1.15^(COUNTIF(Q$4:Q347,SUBSTITUTE(Q348,""Sell_"",""""))-COUNTIF(Q$4:Q347,"&amp;"""Sell_""&amp;SUBSTITUTE(Q348,""Sell_"",""""))))/2),ROUNDUP(INDEX(Upgrades!$C$3:$C$13,MATCH(Q348,Upgrades!$B$3:$B$13,0))*1.15^(COUNTIF(Q$4:Q347,Q348)-COUNTIF(Q$4:Q347,""Sell_""&amp;Q348))))))"),-115000.0)</f>
        <v>-115000</v>
      </c>
      <c r="V348" s="10">
        <f t="shared" si="11"/>
        <v>-20607249</v>
      </c>
      <c r="W348" s="68">
        <f t="shared" si="12"/>
        <v>7011.639592</v>
      </c>
      <c r="X348" s="59" t="str">
        <f t="shared" si="13"/>
        <v>1h 56m 51s</v>
      </c>
      <c r="Y348" s="69">
        <f t="shared" si="14"/>
        <v>666225716</v>
      </c>
      <c r="Z348" s="11"/>
    </row>
    <row r="349">
      <c r="A349" s="8"/>
      <c r="B349" s="56" t="str">
        <f t="shared" si="2"/>
        <v/>
      </c>
      <c r="C349" s="105"/>
      <c r="D349" s="10"/>
      <c r="E349" s="59" t="str">
        <f t="array" ref="E349">IF(COUNTA(C349:C1673)=0,"",SUM((COUNTIF(C$4:C349,Upgrades!$B$3:$B$13)-COUNTIF(C$4:C349,"Sell_"&amp;Upgrades!$B$3:$B$13))*Upgrades!$D$3:$D$13))</f>
        <v/>
      </c>
      <c r="F349" s="66" t="str">
        <f>IFERROR(__xludf.DUMMYFUNCTION("IF(COUNTA(C349:C1673)=0,"""",IF(REGEXMATCH(INDEX(FILTER(C$4:C349,C$4:C349&lt;&gt;""""),ROWS(FILTER(C$4:C349,C$4:C349&lt;&gt;""""))),""^Sell_""),INDEX(FILTER(F$4:F348,C$4:C348&lt;&gt;""""),ROWS(FILTER(C$4:C348,C$4:C348&lt;&gt;""""))),$AC$5+E349))"),"")</f>
        <v/>
      </c>
      <c r="G349" s="10" t="str">
        <f>IFERROR(__xludf.DUMMYFUNCTION("IF(COUNTA(C349:C1673)=0,"""",IF(C349="""",0,IF(REGEXMATCH(C349,""^Sell_""),-ROUNDDOWN(ROUNDUP(INDEX(Upgrades!$C$3:$C$13,MATCH(SUBSTITUTE(C349,""Sell_"",""""),Upgrades!$B$3:$B$13,0))*1.15^(COUNTIF(C$4:C348,SUBSTITUTE(C349,""Sell_"",""""))-COUNTIF(C$4:C348,"&amp;"""Sell_""&amp;SUBSTITUTE(C349,""Sell_"",""""))))/2),ROUNDUP(INDEX(Upgrades!$C$3:$C$13,MATCH(C349,Upgrades!$B$3:$B$13,0))*1.15^(COUNTIF(C$4:C348,C349)-COUNTIF(C$4:C348,""Sell_""&amp;C349))))))"),"")</f>
        <v/>
      </c>
      <c r="H349" s="10" t="str">
        <f t="shared" si="3"/>
        <v/>
      </c>
      <c r="I349" s="68" t="str">
        <f t="shared" si="4"/>
        <v/>
      </c>
      <c r="J349" s="59" t="str">
        <f t="shared" si="5"/>
        <v/>
      </c>
      <c r="K349" s="69" t="str">
        <f t="shared" si="6"/>
        <v/>
      </c>
      <c r="L349" s="60">
        <f t="shared" si="7"/>
        <v>-181.59077</v>
      </c>
      <c r="M349" s="61">
        <f>IFERROR(__xludf.DUMMYFUNCTION("IFS(AND(COUNTA(C349:C1673)=0,COUNTA(Q349:Q1673)=0),"""",OR(AND(K349&gt;=1000000000,OR(Y349&gt;=1000000000,COUNTA(Q349:Q1673)=0)),OR(Y349&gt;=1000000000,AND(COUNTA(C349:C1673)=0,P$3=TRUE))),
ROUNDDOWN((AB$1-AC$1)*MAX(INDEX(T$4:T1673,MATCH(LARGE(FILTER(Y$4:Y1673,Y$4"&amp;":Y1673&lt;1000000000),1),Y$4:Y1673)),INDEX(F$4:F1673,MATCH(LARGE(FILTER(K$4:K1673,K$4:K1673&lt;1000000000),1),K$4:K1673)))),AND(K349&lt;1000000000,COUNTA(C349:C1673)&gt;0,P$3=FALSE),
ROUNDDOWN(INDEX(Y$4:Y1673,MATCH(LARGE(FILTER(W$4:W1673,W$4:W1673&lt;=I349),1),W$4:W1673"&amp;"))+(I349-LARGE(FILTER(W$4:W1673,W$4:W1673&lt;=I349),1))*INDEX(T$4:T1673,MATCH(LARGE(FILTER(W$4:W1673,W$4:W1673&lt;=I349),1),W$4:W1673))-K349),1,
ROUNDDOWN(Y349-INDEX(K$4:K1673,MATCH(LARGE(FILTER(I$4:I1673,I$4:I1673&lt;=W349),1),I$4:I1673))-(W349-LARGE(FILTER(I$4:I"&amp;"1673,I$4:I1673&lt;=W349),1))*INDEX(F$4:F1673,MATCH(LARGE(FILTER(I$4:I1673,I$4:I1673&lt;=W349),1),I$4:I1673))))"),7.4451309E7)</f>
        <v>74451309</v>
      </c>
      <c r="N349" s="60">
        <f t="shared" si="8"/>
        <v>-181.59077</v>
      </c>
      <c r="O349" s="61" t="str">
        <f t="shared" si="9"/>
        <v>74,5M</v>
      </c>
      <c r="P349" s="56">
        <f t="shared" si="10"/>
        <v>13</v>
      </c>
      <c r="Q349" s="105" t="s">
        <v>64</v>
      </c>
      <c r="R349" s="10"/>
      <c r="S349" s="59">
        <f t="array" ref="S349">IF(COUNTA(Q349:Q1673)=0,"",SUM((COUNTIF(Q$4:Q349,Upgrades!$B$3:$B$13)-COUNTIF(Q$4:Q349,"Sell_"&amp;Upgrades!$B$3:$B$13))*Upgrades!$D$3:$D$13))</f>
        <v>417386.4</v>
      </c>
      <c r="T349" s="66">
        <f>IFERROR(__xludf.DUMMYFUNCTION("IF(COUNTA(Q349:Q1673)=0,"""",IF(REGEXMATCH(INDEX(FILTER(Q$4:Q349,Q$4:Q349&lt;&gt;""""),ROWS(FILTER(Q$4:Q349,Q$4:Q349&lt;&gt;""""))),""^Sell_""),INDEX(FILTER(T$4:T348,Q$4:Q348&lt;&gt;""""),ROWS(FILTER(Q$4:Q348,Q$4:Q348&lt;&gt;""""))),$AD$5+S349))"),438433.4)</f>
        <v>438433.4</v>
      </c>
      <c r="U349" s="10">
        <f>IFERROR(__xludf.DUMMYFUNCTION("IF(COUNTA(Q349:Q1673)=0,"""",IF(Q349="""",0,IF(REGEXMATCH(Q349,""^Sell_""),-ROUNDDOWN(ROUNDUP(INDEX(Upgrades!$C$3:$C$13,MATCH(SUBSTITUTE(Q349,""Sell_"",""""),Upgrades!$B$3:$B$13,0))*1.15^(COUNTIF(Q$4:Q348,SUBSTITUTE(Q349,""Sell_"",""""))-COUNTIF(Q$4:Q348,"&amp;"""Sell_""&amp;SUBSTITUTE(Q349,""Sell_"",""""))))/2),ROUNDUP(INDEX(Upgrades!$C$3:$C$13,MATCH(Q349,Upgrades!$B$3:$B$13,0))*1.15^(COUNTIF(Q$4:Q348,Q349)-COUNTIF(Q$4:Q348,""Sell_""&amp;Q349))))))"),-1.1859805E7)</f>
        <v>-11859805</v>
      </c>
      <c r="V349" s="10">
        <f t="shared" si="11"/>
        <v>-32467054</v>
      </c>
      <c r="W349" s="68">
        <f t="shared" si="12"/>
        <v>7011.639592</v>
      </c>
      <c r="X349" s="59" t="str">
        <f t="shared" si="13"/>
        <v>1h 56m 51s</v>
      </c>
      <c r="Y349" s="69">
        <f t="shared" si="14"/>
        <v>666225716</v>
      </c>
      <c r="Z349" s="11"/>
    </row>
    <row r="350">
      <c r="A350" s="8"/>
      <c r="B350" s="56" t="str">
        <f t="shared" si="2"/>
        <v/>
      </c>
      <c r="C350" s="105"/>
      <c r="D350" s="10"/>
      <c r="E350" s="59" t="str">
        <f t="array" ref="E350">IF(COUNTA(C350:C1673)=0,"",SUM((COUNTIF(C$4:C350,Upgrades!$B$3:$B$13)-COUNTIF(C$4:C350,"Sell_"&amp;Upgrades!$B$3:$B$13))*Upgrades!$D$3:$D$13))</f>
        <v/>
      </c>
      <c r="F350" s="66" t="str">
        <f>IFERROR(__xludf.DUMMYFUNCTION("IF(COUNTA(C350:C1673)=0,"""",IF(REGEXMATCH(INDEX(FILTER(C$4:C350,C$4:C350&lt;&gt;""""),ROWS(FILTER(C$4:C350,C$4:C350&lt;&gt;""""))),""^Sell_""),INDEX(FILTER(F$4:F349,C$4:C349&lt;&gt;""""),ROWS(FILTER(C$4:C349,C$4:C349&lt;&gt;""""))),$AC$5+E350))"),"")</f>
        <v/>
      </c>
      <c r="G350" s="10" t="str">
        <f>IFERROR(__xludf.DUMMYFUNCTION("IF(COUNTA(C350:C1673)=0,"""",IF(C350="""",0,IF(REGEXMATCH(C350,""^Sell_""),-ROUNDDOWN(ROUNDUP(INDEX(Upgrades!$C$3:$C$13,MATCH(SUBSTITUTE(C350,""Sell_"",""""),Upgrades!$B$3:$B$13,0))*1.15^(COUNTIF(C$4:C349,SUBSTITUTE(C350,""Sell_"",""""))-COUNTIF(C$4:C349,"&amp;"""Sell_""&amp;SUBSTITUTE(C350,""Sell_"",""""))))/2),ROUNDUP(INDEX(Upgrades!$C$3:$C$13,MATCH(C350,Upgrades!$B$3:$B$13,0))*1.15^(COUNTIF(C$4:C349,C350)-COUNTIF(C$4:C349,""Sell_""&amp;C350))))))"),"")</f>
        <v/>
      </c>
      <c r="H350" s="10" t="str">
        <f t="shared" si="3"/>
        <v/>
      </c>
      <c r="I350" s="68" t="str">
        <f t="shared" si="4"/>
        <v/>
      </c>
      <c r="J350" s="59" t="str">
        <f t="shared" si="5"/>
        <v/>
      </c>
      <c r="K350" s="69" t="str">
        <f t="shared" si="6"/>
        <v/>
      </c>
      <c r="L350" s="60">
        <f t="shared" si="7"/>
        <v>-181.59077</v>
      </c>
      <c r="M350" s="61">
        <f>IFERROR(__xludf.DUMMYFUNCTION("IFS(AND(COUNTA(C350:C1673)=0,COUNTA(Q350:Q1673)=0),"""",OR(AND(K350&gt;=1000000000,OR(Y350&gt;=1000000000,COUNTA(Q350:Q1673)=0)),OR(Y350&gt;=1000000000,AND(COUNTA(C350:C1673)=0,P$3=TRUE))),
ROUNDDOWN((AB$1-AC$1)*MAX(INDEX(T$4:T1673,MATCH(LARGE(FILTER(Y$4:Y1673,Y$4"&amp;":Y1673&lt;1000000000),1),Y$4:Y1673)),INDEX(F$4:F1673,MATCH(LARGE(FILTER(K$4:K1673,K$4:K1673&lt;1000000000),1),K$4:K1673)))),AND(K350&lt;1000000000,COUNTA(C350:C1673)&gt;0,P$3=FALSE),
ROUNDDOWN(INDEX(Y$4:Y1673,MATCH(LARGE(FILTER(W$4:W1673,W$4:W1673&lt;=I350),1),W$4:W1673"&amp;"))+(I350-LARGE(FILTER(W$4:W1673,W$4:W1673&lt;=I350),1))*INDEX(T$4:T1673,MATCH(LARGE(FILTER(W$4:W1673,W$4:W1673&lt;=I350),1),W$4:W1673))-K350),1,
ROUNDDOWN(Y350-INDEX(K$4:K1673,MATCH(LARGE(FILTER(I$4:I1673,I$4:I1673&lt;=W350),1),I$4:I1673))-(W350-LARGE(FILTER(I$4:I"&amp;"1673,I$4:I1673&lt;=W350),1))*INDEX(F$4:F1673,MATCH(LARGE(FILTER(I$4:I1673,I$4:I1673&lt;=W350),1),I$4:I1673))))"),7.4451309E7)</f>
        <v>74451309</v>
      </c>
      <c r="N350" s="60">
        <f t="shared" si="8"/>
        <v>-181.59077</v>
      </c>
      <c r="O350" s="61" t="str">
        <f t="shared" si="9"/>
        <v>74,5M</v>
      </c>
      <c r="P350" s="56">
        <f t="shared" si="10"/>
        <v>14</v>
      </c>
      <c r="Q350" s="105" t="s">
        <v>64</v>
      </c>
      <c r="R350" s="10"/>
      <c r="S350" s="59">
        <f t="array" ref="S350">IF(COUNTA(Q350:Q1673)=0,"",SUM((COUNTIF(Q$4:Q350,Upgrades!$B$3:$B$13)-COUNTIF(Q$4:Q350,"Sell_"&amp;Upgrades!$B$3:$B$13))*Upgrades!$D$3:$D$13))</f>
        <v>410720.4</v>
      </c>
      <c r="T350" s="66">
        <f>IFERROR(__xludf.DUMMYFUNCTION("IF(COUNTA(Q350:Q1673)=0,"""",IF(REGEXMATCH(INDEX(FILTER(Q$4:Q350,Q$4:Q350&lt;&gt;""""),ROWS(FILTER(Q$4:Q350,Q$4:Q350&lt;&gt;""""))),""^Sell_""),INDEX(FILTER(T$4:T349,Q$4:Q349&lt;&gt;""""),ROWS(FILTER(Q$4:Q349,Q$4:Q349&lt;&gt;""""))),$AD$5+S350))"),438433.4)</f>
        <v>438433.4</v>
      </c>
      <c r="U350" s="10">
        <f>IFERROR(__xludf.DUMMYFUNCTION("IF(COUNTA(Q350:Q1673)=0,"""",IF(Q350="""",0,IF(REGEXMATCH(Q350,""^Sell_""),-ROUNDDOWN(ROUNDUP(INDEX(Upgrades!$C$3:$C$13,MATCH(SUBSTITUTE(Q350,""Sell_"",""""),Upgrades!$B$3:$B$13,0))*1.15^(COUNTIF(Q$4:Q349,SUBSTITUTE(Q350,""Sell_"",""""))-COUNTIF(Q$4:Q349,"&amp;"""Sell_""&amp;SUBSTITUTE(Q350,""Sell_"",""""))))/2),ROUNDUP(INDEX(Upgrades!$C$3:$C$13,MATCH(Q350,Upgrades!$B$3:$B$13,0))*1.15^(COUNTIF(Q$4:Q349,Q350)-COUNTIF(Q$4:Q349,""Sell_""&amp;Q350))))))"),-1.0312874E7)</f>
        <v>-10312874</v>
      </c>
      <c r="V350" s="10">
        <f t="shared" si="11"/>
        <v>-42779928</v>
      </c>
      <c r="W350" s="68">
        <f t="shared" si="12"/>
        <v>7011.639592</v>
      </c>
      <c r="X350" s="59" t="str">
        <f t="shared" si="13"/>
        <v>1h 56m 51s</v>
      </c>
      <c r="Y350" s="69">
        <f t="shared" si="14"/>
        <v>666225716</v>
      </c>
      <c r="Z350" s="11"/>
    </row>
    <row r="351">
      <c r="A351" s="8"/>
      <c r="B351" s="56" t="str">
        <f t="shared" si="2"/>
        <v/>
      </c>
      <c r="C351" s="105"/>
      <c r="D351" s="10"/>
      <c r="E351" s="59" t="str">
        <f t="array" ref="E351">IF(COUNTA(C351:C1673)=0,"",SUM((COUNTIF(C$4:C351,Upgrades!$B$3:$B$13)-COUNTIF(C$4:C351,"Sell_"&amp;Upgrades!$B$3:$B$13))*Upgrades!$D$3:$D$13))</f>
        <v/>
      </c>
      <c r="F351" s="66" t="str">
        <f>IFERROR(__xludf.DUMMYFUNCTION("IF(COUNTA(C351:C1673)=0,"""",IF(REGEXMATCH(INDEX(FILTER(C$4:C351,C$4:C351&lt;&gt;""""),ROWS(FILTER(C$4:C351,C$4:C351&lt;&gt;""""))),""^Sell_""),INDEX(FILTER(F$4:F350,C$4:C350&lt;&gt;""""),ROWS(FILTER(C$4:C350,C$4:C350&lt;&gt;""""))),$AC$5+E351))"),"")</f>
        <v/>
      </c>
      <c r="G351" s="10" t="str">
        <f>IFERROR(__xludf.DUMMYFUNCTION("IF(COUNTA(C351:C1673)=0,"""",IF(C351="""",0,IF(REGEXMATCH(C351,""^Sell_""),-ROUNDDOWN(ROUNDUP(INDEX(Upgrades!$C$3:$C$13,MATCH(SUBSTITUTE(C351,""Sell_"",""""),Upgrades!$B$3:$B$13,0))*1.15^(COUNTIF(C$4:C350,SUBSTITUTE(C351,""Sell_"",""""))-COUNTIF(C$4:C350,"&amp;"""Sell_""&amp;SUBSTITUTE(C351,""Sell_"",""""))))/2),ROUNDUP(INDEX(Upgrades!$C$3:$C$13,MATCH(C351,Upgrades!$B$3:$B$13,0))*1.15^(COUNTIF(C$4:C350,C351)-COUNTIF(C$4:C350,""Sell_""&amp;C351))))))"),"")</f>
        <v/>
      </c>
      <c r="H351" s="10" t="str">
        <f t="shared" si="3"/>
        <v/>
      </c>
      <c r="I351" s="68" t="str">
        <f t="shared" si="4"/>
        <v/>
      </c>
      <c r="J351" s="59" t="str">
        <f t="shared" si="5"/>
        <v/>
      </c>
      <c r="K351" s="69" t="str">
        <f t="shared" si="6"/>
        <v/>
      </c>
      <c r="L351" s="60">
        <f t="shared" si="7"/>
        <v>-155.40953</v>
      </c>
      <c r="M351" s="61">
        <f>IFERROR(__xludf.DUMMYFUNCTION("IFS(AND(COUNTA(C351:C1673)=0,COUNTA(Q351:Q1673)=0),"""",OR(AND(K351&gt;=1000000000,OR(Y351&gt;=1000000000,COUNTA(Q351:Q1673)=0)),OR(Y351&gt;=1000000000,AND(COUNTA(C351:C1673)=0,P$3=TRUE))),
ROUNDDOWN((AB$1-AC$1)*MAX(INDEX(T$4:T1673,MATCH(LARGE(FILTER(Y$4:Y1673,Y$4"&amp;":Y1673&lt;1000000000),1),Y$4:Y1673)),INDEX(F$4:F1673,MATCH(LARGE(FILTER(K$4:K1673,K$4:K1673&lt;1000000000),1),K$4:K1673)))),AND(K351&lt;1000000000,COUNTA(C351:C1673)&gt;0,P$3=FALSE),
ROUNDDOWN(INDEX(Y$4:Y1673,MATCH(LARGE(FILTER(W$4:W1673,W$4:W1673&lt;=I351),1),W$4:W1673"&amp;"))+(I351-LARGE(FILTER(W$4:W1673,W$4:W1673&lt;=I351),1))*INDEX(T$4:T1673,MATCH(LARGE(FILTER(W$4:W1673,W$4:W1673&lt;=I351),1),W$4:W1673))-K351),1,
ROUNDDOWN(Y351-INDEX(K$4:K1673,MATCH(LARGE(FILTER(I$4:I1673,I$4:I1673&lt;=W351),1),I$4:I1673))-(W351-LARGE(FILTER(I$4:I"&amp;"1673,I$4:I1673&lt;=W351),1))*INDEX(F$4:F1673,MATCH(LARGE(FILTER(I$4:I1673,I$4:I1673&lt;=W351),1),I$4:I1673))))"),8.1510275E7)</f>
        <v>81510275</v>
      </c>
      <c r="N351" s="60">
        <f t="shared" si="8"/>
        <v>-155.40953</v>
      </c>
      <c r="O351" s="61" t="str">
        <f t="shared" si="9"/>
        <v>81,5M</v>
      </c>
      <c r="P351" s="56">
        <f t="shared" si="10"/>
        <v>4</v>
      </c>
      <c r="Q351" s="105" t="s">
        <v>11</v>
      </c>
      <c r="R351" s="10"/>
      <c r="S351" s="59">
        <f t="array" ref="S351">IF(COUNTA(Q351:Q1673)=0,"",SUM((COUNTIF(Q$4:Q351,Upgrades!$B$3:$B$13)-COUNTIF(Q$4:Q351,"Sell_"&amp;Upgrades!$B$3:$B$13))*Upgrades!$D$3:$D$13))</f>
        <v>509485.4</v>
      </c>
      <c r="T351" s="66">
        <f>IFERROR(__xludf.DUMMYFUNCTION("IF(COUNTA(Q351:Q1673)=0,"""",IF(REGEXMATCH(INDEX(FILTER(Q$4:Q351,Q$4:Q351&lt;&gt;""""),ROWS(FILTER(Q$4:Q351,Q$4:Q351&lt;&gt;""""))),""^Sell_""),INDEX(FILTER(T$4:T350,Q$4:Q350&lt;&gt;""""),ROWS(FILTER(Q$4:Q350,Q$4:Q350&lt;&gt;""""))),$AD$5+S351))"),509500.4)</f>
        <v>509500.4</v>
      </c>
      <c r="U351" s="10">
        <f>IFERROR(__xludf.DUMMYFUNCTION("IF(COUNTA(Q351:Q1673)=0,"""",IF(Q351="""",0,IF(REGEXMATCH(Q351,""^Sell_""),-ROUNDDOWN(ROUNDUP(INDEX(Upgrades!$C$3:$C$13,MATCH(SUBSTITUTE(Q351,""Sell_"",""""),Upgrades!$B$3:$B$13,0))*1.15^(COUNTIF(Q$4:Q350,SUBSTITUTE(Q351,""Sell_"",""""))-COUNTIF(Q$4:Q350,"&amp;"""Sell_""&amp;SUBSTITUTE(Q351,""Sell_"",""""))))/2),ROUNDUP(INDEX(Upgrades!$C$3:$C$13,MATCH(Q351,Upgrades!$B$3:$B$13,0))*1.15^(COUNTIF(Q$4:Q350,Q351)-COUNTIF(Q$4:Q350,""Sell_""&amp;Q351))))))"),1.87762344E8)</f>
        <v>187762344</v>
      </c>
      <c r="V351" s="10">
        <f t="shared" si="11"/>
        <v>144982416</v>
      </c>
      <c r="W351" s="68">
        <f t="shared" si="12"/>
        <v>7342.322464</v>
      </c>
      <c r="X351" s="59" t="str">
        <f t="shared" si="13"/>
        <v>2h 02m 22s</v>
      </c>
      <c r="Y351" s="69">
        <f t="shared" si="14"/>
        <v>811208132</v>
      </c>
      <c r="Z351" s="11"/>
    </row>
    <row r="352">
      <c r="A352" s="8"/>
      <c r="B352" s="56" t="str">
        <f t="shared" si="2"/>
        <v/>
      </c>
      <c r="C352" s="105"/>
      <c r="D352" s="10"/>
      <c r="E352" s="59" t="str">
        <f t="array" ref="E352">IF(COUNTA(C352:C1673)=0,"",SUM((COUNTIF(C$4:C352,Upgrades!$B$3:$B$13)-COUNTIF(C$4:C352,"Sell_"&amp;Upgrades!$B$3:$B$13))*Upgrades!$D$3:$D$13))</f>
        <v/>
      </c>
      <c r="F352" s="66" t="str">
        <f>IFERROR(__xludf.DUMMYFUNCTION("IF(COUNTA(C352:C1673)=0,"""",IF(REGEXMATCH(INDEX(FILTER(C$4:C352,C$4:C352&lt;&gt;""""),ROWS(FILTER(C$4:C352,C$4:C352&lt;&gt;""""))),""^Sell_""),INDEX(FILTER(F$4:F351,C$4:C351&lt;&gt;""""),ROWS(FILTER(C$4:C351,C$4:C351&lt;&gt;""""))),$AC$5+E352))"),"")</f>
        <v/>
      </c>
      <c r="G352" s="10" t="str">
        <f>IFERROR(__xludf.DUMMYFUNCTION("IF(COUNTA(C352:C1673)=0,"""",IF(C352="""",0,IF(REGEXMATCH(C352,""^Sell_""),-ROUNDDOWN(ROUNDUP(INDEX(Upgrades!$C$3:$C$13,MATCH(SUBSTITUTE(C352,""Sell_"",""""),Upgrades!$B$3:$B$13,0))*1.15^(COUNTIF(C$4:C351,SUBSTITUTE(C352,""Sell_"",""""))-COUNTIF(C$4:C351,"&amp;"""Sell_""&amp;SUBSTITUTE(C352,""Sell_"",""""))))/2),ROUNDUP(INDEX(Upgrades!$C$3:$C$13,MATCH(C352,Upgrades!$B$3:$B$13,0))*1.15^(COUNTIF(C$4:C351,C352)-COUNTIF(C$4:C351,""Sell_""&amp;C352))))))"),"")</f>
        <v/>
      </c>
      <c r="H352" s="10" t="str">
        <f t="shared" si="3"/>
        <v/>
      </c>
      <c r="I352" s="68" t="str">
        <f t="shared" si="4"/>
        <v/>
      </c>
      <c r="J352" s="59" t="str">
        <f t="shared" si="5"/>
        <v/>
      </c>
      <c r="K352" s="69" t="str">
        <f t="shared" si="6"/>
        <v/>
      </c>
      <c r="L352" s="60">
        <f t="shared" si="7"/>
        <v>-155.40572</v>
      </c>
      <c r="M352" s="61">
        <f>IFERROR(__xludf.DUMMYFUNCTION("IFS(AND(COUNTA(C352:C1673)=0,COUNTA(Q352:Q1673)=0),"""",OR(AND(K352&gt;=1000000000,OR(Y352&gt;=1000000000,COUNTA(Q352:Q1673)=0)),OR(Y352&gt;=1000000000,AND(COUNTA(C352:C1673)=0,P$3=TRUE))),
ROUNDDOWN((AB$1-AC$1)*MAX(INDEX(T$4:T1673,MATCH(LARGE(FILTER(Y$4:Y1673,Y$4"&amp;":Y1673&lt;1000000000),1),Y$4:Y1673)),INDEX(F$4:F1673,MATCH(LARGE(FILTER(K$4:K1673,K$4:K1673&lt;1000000000),1),K$4:K1673)))),AND(K352&lt;1000000000,COUNTA(C352:C1673)&gt;0,P$3=FALSE),
ROUNDDOWN(INDEX(Y$4:Y1673,MATCH(LARGE(FILTER(W$4:W1673,W$4:W1673&lt;=I352),1),W$4:W1673"&amp;"))+(I352-LARGE(FILTER(W$4:W1673,W$4:W1673&lt;=I352),1))*INDEX(T$4:T1673,MATCH(LARGE(FILTER(W$4:W1673,W$4:W1673&lt;=I352),1),W$4:W1673))-K352),1,
ROUNDDOWN(Y352-INDEX(K$4:K1673,MATCH(LARGE(FILTER(I$4:I1673,I$4:I1673&lt;=W352),1),I$4:I1673))-(W352-LARGE(FILTER(I$4:I"&amp;"1673,I$4:I1673&lt;=W352),1))*INDEX(F$4:F1673,MATCH(LARGE(FILTER(I$4:I1673,I$4:I1673&lt;=W352),1),I$4:I1673))))"),8.1510333E7)</f>
        <v>81510333</v>
      </c>
      <c r="N352" s="60">
        <f t="shared" si="8"/>
        <v>-155.40572</v>
      </c>
      <c r="O352" s="61" t="str">
        <f t="shared" si="9"/>
        <v>81,5M</v>
      </c>
      <c r="P352" s="56">
        <f t="shared" si="10"/>
        <v>1</v>
      </c>
      <c r="Q352" s="105" t="s">
        <v>8</v>
      </c>
      <c r="R352" s="10"/>
      <c r="S352" s="59">
        <f t="array" ref="S352">IF(COUNTA(Q352:Q1673)=0,"",SUM((COUNTIF(Q$4:Q352,Upgrades!$B$3:$B$13)-COUNTIF(Q$4:Q352,"Sell_"&amp;Upgrades!$B$3:$B$13))*Upgrades!$D$3:$D$13))</f>
        <v>509585.4</v>
      </c>
      <c r="T352" s="66">
        <f>IFERROR(__xludf.DUMMYFUNCTION("IF(COUNTA(Q352:Q1673)=0,"""",IF(REGEXMATCH(INDEX(FILTER(Q$4:Q352,Q$4:Q352&lt;&gt;""""),ROWS(FILTER(Q$4:Q352,Q$4:Q352&lt;&gt;""""))),""^Sell_""),INDEX(FILTER(T$4:T351,Q$4:Q351&lt;&gt;""""),ROWS(FILTER(Q$4:Q351,Q$4:Q351&lt;&gt;""""))),$AD$5+S352))"),509600.4)</f>
        <v>509600.4</v>
      </c>
      <c r="U352" s="10">
        <f>IFERROR(__xludf.DUMMYFUNCTION("IF(COUNTA(Q352:Q1673)=0,"""",IF(Q352="""",0,IF(REGEXMATCH(Q352,""^Sell_""),-ROUNDDOWN(ROUNDUP(INDEX(Upgrades!$C$3:$C$13,MATCH(SUBSTITUTE(Q352,""Sell_"",""""),Upgrades!$B$3:$B$13,0))*1.15^(COUNTIF(Q$4:Q351,SUBSTITUTE(Q352,""Sell_"",""""))-COUNTIF(Q$4:Q351,"&amp;"""Sell_""&amp;SUBSTITUTE(Q352,""Sell_"",""""))))/2),ROUNDUP(INDEX(Upgrades!$C$3:$C$13,MATCH(Q352,Upgrades!$B$3:$B$13,0))*1.15^(COUNTIF(Q$4:Q351,Q352)-COUNTIF(Q$4:Q351,""Sell_""&amp;Q352))))))"),40000.0)</f>
        <v>40000</v>
      </c>
      <c r="V352" s="10">
        <f t="shared" si="11"/>
        <v>40000</v>
      </c>
      <c r="W352" s="68">
        <f t="shared" si="12"/>
        <v>7342.400972</v>
      </c>
      <c r="X352" s="59" t="str">
        <f t="shared" si="13"/>
        <v>2h 02m 22s</v>
      </c>
      <c r="Y352" s="69">
        <f t="shared" si="14"/>
        <v>811248132</v>
      </c>
      <c r="Z352" s="11"/>
    </row>
    <row r="353">
      <c r="A353" s="8"/>
      <c r="B353" s="56" t="str">
        <f t="shared" si="2"/>
        <v/>
      </c>
      <c r="C353" s="105"/>
      <c r="D353" s="10"/>
      <c r="E353" s="59" t="str">
        <f t="array" ref="E353">IF(COUNTA(C353:C1673)=0,"",SUM((COUNTIF(C$4:C353,Upgrades!$B$3:$B$13)-COUNTIF(C$4:C353,"Sell_"&amp;Upgrades!$B$3:$B$13))*Upgrades!$D$3:$D$13))</f>
        <v/>
      </c>
      <c r="F353" s="66" t="str">
        <f>IFERROR(__xludf.DUMMYFUNCTION("IF(COUNTA(C353:C1673)=0,"""",IF(REGEXMATCH(INDEX(FILTER(C$4:C353,C$4:C353&lt;&gt;""""),ROWS(FILTER(C$4:C353,C$4:C353&lt;&gt;""""))),""^Sell_""),INDEX(FILTER(F$4:F352,C$4:C352&lt;&gt;""""),ROWS(FILTER(C$4:C352,C$4:C352&lt;&gt;""""))),$AC$5+E353))"),"")</f>
        <v/>
      </c>
      <c r="G353" s="10" t="str">
        <f>IFERROR(__xludf.DUMMYFUNCTION("IF(COUNTA(C353:C1673)=0,"""",IF(C353="""",0,IF(REGEXMATCH(C353,""^Sell_""),-ROUNDDOWN(ROUNDUP(INDEX(Upgrades!$C$3:$C$13,MATCH(SUBSTITUTE(C353,""Sell_"",""""),Upgrades!$B$3:$B$13,0))*1.15^(COUNTIF(C$4:C352,SUBSTITUTE(C353,""Sell_"",""""))-COUNTIF(C$4:C352,"&amp;"""Sell_""&amp;SUBSTITUTE(C353,""Sell_"",""""))))/2),ROUNDUP(INDEX(Upgrades!$C$3:$C$13,MATCH(C353,Upgrades!$B$3:$B$13,0))*1.15^(COUNTIF(C$4:C352,C353)-COUNTIF(C$4:C352,""Sell_""&amp;C353))))))"),"")</f>
        <v/>
      </c>
      <c r="H353" s="10" t="str">
        <f t="shared" si="3"/>
        <v/>
      </c>
      <c r="I353" s="68" t="str">
        <f t="shared" si="4"/>
        <v/>
      </c>
      <c r="J353" s="59" t="str">
        <f t="shared" si="5"/>
        <v/>
      </c>
      <c r="K353" s="69" t="str">
        <f t="shared" si="6"/>
        <v/>
      </c>
      <c r="L353" s="60">
        <f t="shared" si="7"/>
        <v>-155.40134</v>
      </c>
      <c r="M353" s="61">
        <f>IFERROR(__xludf.DUMMYFUNCTION("IFS(AND(COUNTA(C353:C1673)=0,COUNTA(Q353:Q1673)=0),"""",OR(AND(K353&gt;=1000000000,OR(Y353&gt;=1000000000,COUNTA(Q353:Q1673)=0)),OR(Y353&gt;=1000000000,AND(COUNTA(C353:C1673)=0,P$3=TRUE))),
ROUNDDOWN((AB$1-AC$1)*MAX(INDEX(T$4:T1673,MATCH(LARGE(FILTER(Y$4:Y1673,Y$4"&amp;":Y1673&lt;1000000000),1),Y$4:Y1673)),INDEX(F$4:F1673,MATCH(LARGE(FILTER(K$4:K1673,K$4:K1673&lt;1000000000),1),K$4:K1673)))),AND(K353&lt;1000000000,COUNTA(C353:C1673)&gt;0,P$3=FALSE),
ROUNDDOWN(INDEX(Y$4:Y1673,MATCH(LARGE(FILTER(W$4:W1673,W$4:W1673&lt;=I353),1),W$4:W1673"&amp;"))+(I353-LARGE(FILTER(W$4:W1673,W$4:W1673&lt;=I353),1))*INDEX(T$4:T1673,MATCH(LARGE(FILTER(W$4:W1673,W$4:W1673&lt;=I353),1),W$4:W1673))-K353),1,
ROUNDDOWN(Y353-INDEX(K$4:K1673,MATCH(LARGE(FILTER(I$4:I1673,I$4:I1673&lt;=W353),1),I$4:I1673))-(W353-LARGE(FILTER(I$4:I"&amp;"1673,I$4:I1673&lt;=W353),1))*INDEX(F$4:F1673,MATCH(LARGE(FILTER(I$4:I1673,I$4:I1673&lt;=W353),1),I$4:I1673))))"),8.1510409E7)</f>
        <v>81510409</v>
      </c>
      <c r="N353" s="60">
        <f t="shared" si="8"/>
        <v>-155.40134</v>
      </c>
      <c r="O353" s="61" t="str">
        <f t="shared" si="9"/>
        <v>81,5M</v>
      </c>
      <c r="P353" s="56">
        <f t="shared" si="10"/>
        <v>2</v>
      </c>
      <c r="Q353" s="105" t="s">
        <v>8</v>
      </c>
      <c r="R353" s="10"/>
      <c r="S353" s="59">
        <f t="array" ref="S353">IF(COUNTA(Q353:Q1673)=0,"",SUM((COUNTIF(Q$4:Q353,Upgrades!$B$3:$B$13)-COUNTIF(Q$4:Q353,"Sell_"&amp;Upgrades!$B$3:$B$13))*Upgrades!$D$3:$D$13))</f>
        <v>509685.4</v>
      </c>
      <c r="T353" s="66">
        <f>IFERROR(__xludf.DUMMYFUNCTION("IF(COUNTA(Q353:Q1673)=0,"""",IF(REGEXMATCH(INDEX(FILTER(Q$4:Q353,Q$4:Q353&lt;&gt;""""),ROWS(FILTER(Q$4:Q353,Q$4:Q353&lt;&gt;""""))),""^Sell_""),INDEX(FILTER(T$4:T352,Q$4:Q352&lt;&gt;""""),ROWS(FILTER(Q$4:Q352,Q$4:Q352&lt;&gt;""""))),$AD$5+S353))"),509700.4)</f>
        <v>509700.4</v>
      </c>
      <c r="U353" s="10">
        <f>IFERROR(__xludf.DUMMYFUNCTION("IF(COUNTA(Q353:Q1673)=0,"""",IF(Q353="""",0,IF(REGEXMATCH(Q353,""^Sell_""),-ROUNDDOWN(ROUNDUP(INDEX(Upgrades!$C$3:$C$13,MATCH(SUBSTITUTE(Q353,""Sell_"",""""),Upgrades!$B$3:$B$13,0))*1.15^(COUNTIF(Q$4:Q352,SUBSTITUTE(Q353,""Sell_"",""""))-COUNTIF(Q$4:Q352,"&amp;"""Sell_""&amp;SUBSTITUTE(Q353,""Sell_"",""""))))/2),ROUNDUP(INDEX(Upgrades!$C$3:$C$13,MATCH(Q353,Upgrades!$B$3:$B$13,0))*1.15^(COUNTIF(Q$4:Q352,Q353)-COUNTIF(Q$4:Q352,""Sell_""&amp;Q353))))))"),46000.0)</f>
        <v>46000</v>
      </c>
      <c r="V353" s="10">
        <f t="shared" si="11"/>
        <v>46000</v>
      </c>
      <c r="W353" s="68">
        <f t="shared" si="12"/>
        <v>7342.491239</v>
      </c>
      <c r="X353" s="59" t="str">
        <f t="shared" si="13"/>
        <v>2h 02m 22s</v>
      </c>
      <c r="Y353" s="69">
        <f t="shared" si="14"/>
        <v>811294132</v>
      </c>
      <c r="Z353" s="11"/>
    </row>
    <row r="354">
      <c r="A354" s="8"/>
      <c r="B354" s="56" t="str">
        <f t="shared" si="2"/>
        <v/>
      </c>
      <c r="C354" s="105"/>
      <c r="D354" s="10"/>
      <c r="E354" s="59" t="str">
        <f t="array" ref="E354">IF(COUNTA(C354:C1673)=0,"",SUM((COUNTIF(C$4:C354,Upgrades!$B$3:$B$13)-COUNTIF(C$4:C354,"Sell_"&amp;Upgrades!$B$3:$B$13))*Upgrades!$D$3:$D$13))</f>
        <v/>
      </c>
      <c r="F354" s="66" t="str">
        <f>IFERROR(__xludf.DUMMYFUNCTION("IF(COUNTA(C354:C1673)=0,"""",IF(REGEXMATCH(INDEX(FILTER(C$4:C354,C$4:C354&lt;&gt;""""),ROWS(FILTER(C$4:C354,C$4:C354&lt;&gt;""""))),""^Sell_""),INDEX(FILTER(F$4:F353,C$4:C353&lt;&gt;""""),ROWS(FILTER(C$4:C353,C$4:C353&lt;&gt;""""))),$AC$5+E354))"),"")</f>
        <v/>
      </c>
      <c r="G354" s="10" t="str">
        <f>IFERROR(__xludf.DUMMYFUNCTION("IF(COUNTA(C354:C1673)=0,"""",IF(C354="""",0,IF(REGEXMATCH(C354,""^Sell_""),-ROUNDDOWN(ROUNDUP(INDEX(Upgrades!$C$3:$C$13,MATCH(SUBSTITUTE(C354,""Sell_"",""""),Upgrades!$B$3:$B$13,0))*1.15^(COUNTIF(C$4:C353,SUBSTITUTE(C354,""Sell_"",""""))-COUNTIF(C$4:C353,"&amp;"""Sell_""&amp;SUBSTITUTE(C354,""Sell_"",""""))))/2),ROUNDUP(INDEX(Upgrades!$C$3:$C$13,MATCH(C354,Upgrades!$B$3:$B$13,0))*1.15^(COUNTIF(C$4:C353,C354)-COUNTIF(C$4:C353,""Sell_""&amp;C354))))))"),"")</f>
        <v/>
      </c>
      <c r="H354" s="10" t="str">
        <f t="shared" si="3"/>
        <v/>
      </c>
      <c r="I354" s="68" t="str">
        <f t="shared" si="4"/>
        <v/>
      </c>
      <c r="J354" s="59" t="str">
        <f t="shared" si="5"/>
        <v/>
      </c>
      <c r="K354" s="69" t="str">
        <f t="shared" si="6"/>
        <v/>
      </c>
      <c r="L354" s="60">
        <f t="shared" si="7"/>
        <v>-155.38242</v>
      </c>
      <c r="M354" s="61">
        <f>IFERROR(__xludf.DUMMYFUNCTION("IFS(AND(COUNTA(C354:C1673)=0,COUNTA(Q354:Q1673)=0),"""",OR(AND(K354&gt;=1000000000,OR(Y354&gt;=1000000000,COUNTA(Q354:Q1673)=0)),OR(Y354&gt;=1000000000,AND(COUNTA(C354:C1673)=0,P$3=TRUE))),
ROUNDDOWN((AB$1-AC$1)*MAX(INDEX(T$4:T1673,MATCH(LARGE(FILTER(Y$4:Y1673,Y$4"&amp;":Y1673&lt;1000000000),1),Y$4:Y1673)),INDEX(F$4:F1673,MATCH(LARGE(FILTER(K$4:K1673,K$4:K1673&lt;1000000000),1),K$4:K1673)))),AND(K354&lt;1000000000,COUNTA(C354:C1673)&gt;0,P$3=FALSE),
ROUNDDOWN(INDEX(Y$4:Y1673,MATCH(LARGE(FILTER(W$4:W1673,W$4:W1673&lt;=I354),1),W$4:W1673"&amp;"))+(I354-LARGE(FILTER(W$4:W1673,W$4:W1673&lt;=I354),1))*INDEX(T$4:T1673,MATCH(LARGE(FILTER(W$4:W1673,W$4:W1673&lt;=I354),1),W$4:W1673))-K354),1,
ROUNDDOWN(Y354-INDEX(K$4:K1673,MATCH(LARGE(FILTER(I$4:I1673,I$4:I1673&lt;=W354),1),I$4:I1673))-(W354-LARGE(FILTER(I$4:I"&amp;"1673,I$4:I1673&lt;=W354),1))*INDEX(F$4:F1673,MATCH(LARGE(FILTER(I$4:I1673,I$4:I1673&lt;=W354),1),I$4:I1673))))"),8.1510778E7)</f>
        <v>81510778</v>
      </c>
      <c r="N354" s="60">
        <f t="shared" si="8"/>
        <v>-155.38242</v>
      </c>
      <c r="O354" s="61" t="str">
        <f t="shared" si="9"/>
        <v>81,5M</v>
      </c>
      <c r="P354" s="56">
        <f t="shared" si="10"/>
        <v>1</v>
      </c>
      <c r="Q354" s="105" t="s">
        <v>9</v>
      </c>
      <c r="R354" s="10"/>
      <c r="S354" s="59">
        <f t="array" ref="S354">IF(COUNTA(Q354:Q1673)=0,"",SUM((COUNTIF(Q$4:Q354,Upgrades!$B$3:$B$13)-COUNTIF(Q$4:Q354,"Sell_"&amp;Upgrades!$B$3:$B$13))*Upgrades!$D$3:$D$13))</f>
        <v>510085.4</v>
      </c>
      <c r="T354" s="66">
        <f>IFERROR(__xludf.DUMMYFUNCTION("IF(COUNTA(Q354:Q1673)=0,"""",IF(REGEXMATCH(INDEX(FILTER(Q$4:Q354,Q$4:Q354&lt;&gt;""""),ROWS(FILTER(Q$4:Q354,Q$4:Q354&lt;&gt;""""))),""^Sell_""),INDEX(FILTER(T$4:T353,Q$4:Q353&lt;&gt;""""),ROWS(FILTER(Q$4:Q353,Q$4:Q353&lt;&gt;""""))),$AD$5+S354))"),510100.4)</f>
        <v>510100.4</v>
      </c>
      <c r="U354" s="10">
        <f>IFERROR(__xludf.DUMMYFUNCTION("IF(COUNTA(Q354:Q1673)=0,"""",IF(Q354="""",0,IF(REGEXMATCH(Q354,""^Sell_""),-ROUNDDOWN(ROUNDUP(INDEX(Upgrades!$C$3:$C$13,MATCH(SUBSTITUTE(Q354,""Sell_"",""""),Upgrades!$B$3:$B$13,0))*1.15^(COUNTIF(Q$4:Q353,SUBSTITUTE(Q354,""Sell_"",""""))-COUNTIF(Q$4:Q353,"&amp;"""Sell_""&amp;SUBSTITUTE(Q354,""Sell_"",""""))))/2),ROUNDUP(INDEX(Upgrades!$C$3:$C$13,MATCH(Q354,Upgrades!$B$3:$B$13,0))*1.15^(COUNTIF(Q$4:Q353,Q354)-COUNTIF(Q$4:Q353,""Sell_""&amp;Q354))))))"),200000.0)</f>
        <v>200000</v>
      </c>
      <c r="V354" s="10">
        <f t="shared" si="11"/>
        <v>200000</v>
      </c>
      <c r="W354" s="68">
        <f t="shared" si="12"/>
        <v>7342.883626</v>
      </c>
      <c r="X354" s="59" t="str">
        <f t="shared" si="13"/>
        <v>2h 02m 22s</v>
      </c>
      <c r="Y354" s="69">
        <f t="shared" si="14"/>
        <v>811494132</v>
      </c>
      <c r="Z354" s="11"/>
    </row>
    <row r="355">
      <c r="A355" s="8"/>
      <c r="B355" s="56" t="str">
        <f t="shared" si="2"/>
        <v/>
      </c>
      <c r="C355" s="105"/>
      <c r="D355" s="10"/>
      <c r="E355" s="59" t="str">
        <f t="array" ref="E355">IF(COUNTA(C355:C1673)=0,"",SUM((COUNTIF(C$4:C355,Upgrades!$B$3:$B$13)-COUNTIF(C$4:C355,"Sell_"&amp;Upgrades!$B$3:$B$13))*Upgrades!$D$3:$D$13))</f>
        <v/>
      </c>
      <c r="F355" s="66" t="str">
        <f>IFERROR(__xludf.DUMMYFUNCTION("IF(COUNTA(C355:C1673)=0,"""",IF(REGEXMATCH(INDEX(FILTER(C$4:C355,C$4:C355&lt;&gt;""""),ROWS(FILTER(C$4:C355,C$4:C355&lt;&gt;""""))),""^Sell_""),INDEX(FILTER(F$4:F354,C$4:C354&lt;&gt;""""),ROWS(FILTER(C$4:C354,C$4:C354&lt;&gt;""""))),$AC$5+E355))"),"")</f>
        <v/>
      </c>
      <c r="G355" s="10" t="str">
        <f>IFERROR(__xludf.DUMMYFUNCTION("IF(COUNTA(C355:C1673)=0,"""",IF(C355="""",0,IF(REGEXMATCH(C355,""^Sell_""),-ROUNDDOWN(ROUNDUP(INDEX(Upgrades!$C$3:$C$13,MATCH(SUBSTITUTE(C355,""Sell_"",""""),Upgrades!$B$3:$B$13,0))*1.15^(COUNTIF(C$4:C354,SUBSTITUTE(C355,""Sell_"",""""))-COUNTIF(C$4:C354,"&amp;"""Sell_""&amp;SUBSTITUTE(C355,""Sell_"",""""))))/2),ROUNDUP(INDEX(Upgrades!$C$3:$C$13,MATCH(C355,Upgrades!$B$3:$B$13,0))*1.15^(COUNTIF(C$4:C354,C355)-COUNTIF(C$4:C354,""Sell_""&amp;C355))))))"),"")</f>
        <v/>
      </c>
      <c r="H355" s="10" t="str">
        <f t="shared" si="3"/>
        <v/>
      </c>
      <c r="I355" s="68" t="str">
        <f t="shared" si="4"/>
        <v/>
      </c>
      <c r="J355" s="59" t="str">
        <f t="shared" si="5"/>
        <v/>
      </c>
      <c r="K355" s="69" t="str">
        <f t="shared" si="6"/>
        <v/>
      </c>
      <c r="L355" s="60">
        <f t="shared" si="7"/>
        <v>-155.37749</v>
      </c>
      <c r="M355" s="61">
        <f>IFERROR(__xludf.DUMMYFUNCTION("IFS(AND(COUNTA(C355:C1673)=0,COUNTA(Q355:Q1673)=0),"""",OR(AND(K355&gt;=1000000000,OR(Y355&gt;=1000000000,COUNTA(Q355:Q1673)=0)),OR(Y355&gt;=1000000000,AND(COUNTA(C355:C1673)=0,P$3=TRUE))),
ROUNDDOWN((AB$1-AC$1)*MAX(INDEX(T$4:T1673,MATCH(LARGE(FILTER(Y$4:Y1673,Y$4"&amp;":Y1673&lt;1000000000),1),Y$4:Y1673)),INDEX(F$4:F1673,MATCH(LARGE(FILTER(K$4:K1673,K$4:K1673&lt;1000000000),1),K$4:K1673)))),AND(K355&lt;1000000000,COUNTA(C355:C1673)&gt;0,P$3=FALSE),
ROUNDDOWN(INDEX(Y$4:Y1673,MATCH(LARGE(FILTER(W$4:W1673,W$4:W1673&lt;=I355),1),W$4:W1673"&amp;"))+(I355-LARGE(FILTER(W$4:W1673,W$4:W1673&lt;=I355),1))*INDEX(T$4:T1673,MATCH(LARGE(FILTER(W$4:W1673,W$4:W1673&lt;=I355),1),W$4:W1673))-K355),1,
ROUNDDOWN(Y355-INDEX(K$4:K1673,MATCH(LARGE(FILTER(I$4:I1673,I$4:I1673&lt;=W355),1),I$4:I1673))-(W355-LARGE(FILTER(I$4:I"&amp;"1673,I$4:I1673&lt;=W355),1))*INDEX(F$4:F1673,MATCH(LARGE(FILTER(I$4:I1673,I$4:I1673&lt;=W355),1),I$4:I1673))))"),8.1510917E7)</f>
        <v>81510917</v>
      </c>
      <c r="N355" s="60">
        <f t="shared" si="8"/>
        <v>-155.37749</v>
      </c>
      <c r="O355" s="61" t="str">
        <f t="shared" si="9"/>
        <v>81,5M</v>
      </c>
      <c r="P355" s="56">
        <f t="shared" si="10"/>
        <v>3</v>
      </c>
      <c r="Q355" s="105" t="s">
        <v>8</v>
      </c>
      <c r="R355" s="10"/>
      <c r="S355" s="59">
        <f t="array" ref="S355">IF(COUNTA(Q355:Q1673)=0,"",SUM((COUNTIF(Q$4:Q355,Upgrades!$B$3:$B$13)-COUNTIF(Q$4:Q355,"Sell_"&amp;Upgrades!$B$3:$B$13))*Upgrades!$D$3:$D$13))</f>
        <v>510185.4</v>
      </c>
      <c r="T355" s="66">
        <f>IFERROR(__xludf.DUMMYFUNCTION("IF(COUNTA(Q355:Q1673)=0,"""",IF(REGEXMATCH(INDEX(FILTER(Q$4:Q355,Q$4:Q355&lt;&gt;""""),ROWS(FILTER(Q$4:Q355,Q$4:Q355&lt;&gt;""""))),""^Sell_""),INDEX(FILTER(T$4:T354,Q$4:Q354&lt;&gt;""""),ROWS(FILTER(Q$4:Q354,Q$4:Q354&lt;&gt;""""))),$AD$5+S355))"),510200.4)</f>
        <v>510200.4</v>
      </c>
      <c r="U355" s="10">
        <f>IFERROR(__xludf.DUMMYFUNCTION("IF(COUNTA(Q355:Q1673)=0,"""",IF(Q355="""",0,IF(REGEXMATCH(Q355,""^Sell_""),-ROUNDDOWN(ROUNDUP(INDEX(Upgrades!$C$3:$C$13,MATCH(SUBSTITUTE(Q355,""Sell_"",""""),Upgrades!$B$3:$B$13,0))*1.15^(COUNTIF(Q$4:Q354,SUBSTITUTE(Q355,""Sell_"",""""))-COUNTIF(Q$4:Q354,"&amp;"""Sell_""&amp;SUBSTITUTE(Q355,""Sell_"",""""))))/2),ROUNDUP(INDEX(Upgrades!$C$3:$C$13,MATCH(Q355,Upgrades!$B$3:$B$13,0))*1.15^(COUNTIF(Q$4:Q354,Q355)-COUNTIF(Q$4:Q354,""Sell_""&amp;Q355))))))"),52900.0)</f>
        <v>52900</v>
      </c>
      <c r="V355" s="10">
        <f t="shared" si="11"/>
        <v>52900</v>
      </c>
      <c r="W355" s="68">
        <f t="shared" si="12"/>
        <v>7342.987332</v>
      </c>
      <c r="X355" s="59" t="str">
        <f t="shared" si="13"/>
        <v>2h 02m 22s</v>
      </c>
      <c r="Y355" s="69">
        <f t="shared" si="14"/>
        <v>811547032</v>
      </c>
      <c r="Z355" s="11"/>
    </row>
    <row r="356">
      <c r="A356" s="8"/>
      <c r="B356" s="56" t="str">
        <f t="shared" si="2"/>
        <v/>
      </c>
      <c r="C356" s="105"/>
      <c r="D356" s="10"/>
      <c r="E356" s="59" t="str">
        <f t="array" ref="E356">IF(COUNTA(C356:C1673)=0,"",SUM((COUNTIF(C$4:C356,Upgrades!$B$3:$B$13)-COUNTIF(C$4:C356,"Sell_"&amp;Upgrades!$B$3:$B$13))*Upgrades!$D$3:$D$13))</f>
        <v/>
      </c>
      <c r="F356" s="66" t="str">
        <f>IFERROR(__xludf.DUMMYFUNCTION("IF(COUNTA(C356:C1673)=0,"""",IF(REGEXMATCH(INDEX(FILTER(C$4:C356,C$4:C356&lt;&gt;""""),ROWS(FILTER(C$4:C356,C$4:C356&lt;&gt;""""))),""^Sell_""),INDEX(FILTER(F$4:F355,C$4:C355&lt;&gt;""""),ROWS(FILTER(C$4:C355,C$4:C355&lt;&gt;""""))),$AC$5+E356))"),"")</f>
        <v/>
      </c>
      <c r="G356" s="10" t="str">
        <f>IFERROR(__xludf.DUMMYFUNCTION("IF(COUNTA(C356:C1673)=0,"""",IF(C356="""",0,IF(REGEXMATCH(C356,""^Sell_""),-ROUNDDOWN(ROUNDUP(INDEX(Upgrades!$C$3:$C$13,MATCH(SUBSTITUTE(C356,""Sell_"",""""),Upgrades!$B$3:$B$13,0))*1.15^(COUNTIF(C$4:C355,SUBSTITUTE(C356,""Sell_"",""""))-COUNTIF(C$4:C355,"&amp;"""Sell_""&amp;SUBSTITUTE(C356,""Sell_"",""""))))/2),ROUNDUP(INDEX(Upgrades!$C$3:$C$13,MATCH(C356,Upgrades!$B$3:$B$13,0))*1.15^(COUNTIF(C$4:C355,C356)-COUNTIF(C$4:C355,""Sell_""&amp;C356))))))"),"")</f>
        <v/>
      </c>
      <c r="H356" s="10" t="str">
        <f t="shared" si="3"/>
        <v/>
      </c>
      <c r="I356" s="68" t="str">
        <f t="shared" si="4"/>
        <v/>
      </c>
      <c r="J356" s="59" t="str">
        <f t="shared" si="5"/>
        <v/>
      </c>
      <c r="K356" s="69" t="str">
        <f t="shared" si="6"/>
        <v/>
      </c>
      <c r="L356" s="60">
        <f t="shared" si="7"/>
        <v>-155.35616</v>
      </c>
      <c r="M356" s="61">
        <f>IFERROR(__xludf.DUMMYFUNCTION("IFS(AND(COUNTA(C356:C1673)=0,COUNTA(Q356:Q1673)=0),"""",OR(AND(K356&gt;=1000000000,OR(Y356&gt;=1000000000,COUNTA(Q356:Q1673)=0)),OR(Y356&gt;=1000000000,AND(COUNTA(C356:C1673)=0,P$3=TRUE))),
ROUNDDOWN((AB$1-AC$1)*MAX(INDEX(T$4:T1673,MATCH(LARGE(FILTER(Y$4:Y1673,Y$4"&amp;":Y1673&lt;1000000000),1),Y$4:Y1673)),INDEX(F$4:F1673,MATCH(LARGE(FILTER(K$4:K1673,K$4:K1673&lt;1000000000),1),K$4:K1673)))),AND(K356&lt;1000000000,COUNTA(C356:C1673)&gt;0,P$3=FALSE),
ROUNDDOWN(INDEX(Y$4:Y1673,MATCH(LARGE(FILTER(W$4:W1673,W$4:W1673&lt;=I356),1),W$4:W1673"&amp;"))+(I356-LARGE(FILTER(W$4:W1673,W$4:W1673&lt;=I356),1))*INDEX(T$4:T1673,MATCH(LARGE(FILTER(W$4:W1673,W$4:W1673&lt;=I356),1),W$4:W1673))-K356),1,
ROUNDDOWN(Y356-INDEX(K$4:K1673,MATCH(LARGE(FILTER(I$4:I1673,I$4:I1673&lt;=W356),1),I$4:I1673))-(W356-LARGE(FILTER(I$4:I"&amp;"1673,I$4:I1673&lt;=W356),1))*INDEX(F$4:F1673,MATCH(LARGE(FILTER(I$4:I1673,I$4:I1673&lt;=W356),1),I$4:I1673))))"),8.1511566E7)</f>
        <v>81511566</v>
      </c>
      <c r="N356" s="60">
        <f t="shared" si="8"/>
        <v>-155.35616</v>
      </c>
      <c r="O356" s="61" t="str">
        <f t="shared" si="9"/>
        <v>81,5M</v>
      </c>
      <c r="P356" s="56">
        <f t="shared" si="10"/>
        <v>2</v>
      </c>
      <c r="Q356" s="105" t="s">
        <v>9</v>
      </c>
      <c r="R356" s="10"/>
      <c r="S356" s="59">
        <f t="array" ref="S356">IF(COUNTA(Q356:Q1673)=0,"",SUM((COUNTIF(Q$4:Q356,Upgrades!$B$3:$B$13)-COUNTIF(Q$4:Q356,"Sell_"&amp;Upgrades!$B$3:$B$13))*Upgrades!$D$3:$D$13))</f>
        <v>510585.4</v>
      </c>
      <c r="T356" s="66">
        <f>IFERROR(__xludf.DUMMYFUNCTION("IF(COUNTA(Q356:Q1673)=0,"""",IF(REGEXMATCH(INDEX(FILTER(Q$4:Q356,Q$4:Q356&lt;&gt;""""),ROWS(FILTER(Q$4:Q356,Q$4:Q356&lt;&gt;""""))),""^Sell_""),INDEX(FILTER(T$4:T355,Q$4:Q355&lt;&gt;""""),ROWS(FILTER(Q$4:Q355,Q$4:Q355&lt;&gt;""""))),$AD$5+S356))"),510600.4)</f>
        <v>510600.4</v>
      </c>
      <c r="U356" s="10">
        <f>IFERROR(__xludf.DUMMYFUNCTION("IF(COUNTA(Q356:Q1673)=0,"""",IF(Q356="""",0,IF(REGEXMATCH(Q356,""^Sell_""),-ROUNDDOWN(ROUNDUP(INDEX(Upgrades!$C$3:$C$13,MATCH(SUBSTITUTE(Q356,""Sell_"",""""),Upgrades!$B$3:$B$13,0))*1.15^(COUNTIF(Q$4:Q355,SUBSTITUTE(Q356,""Sell_"",""""))-COUNTIF(Q$4:Q355,"&amp;"""Sell_""&amp;SUBSTITUTE(Q356,""Sell_"",""""))))/2),ROUNDUP(INDEX(Upgrades!$C$3:$C$13,MATCH(Q356,Upgrades!$B$3:$B$13,0))*1.15^(COUNTIF(Q$4:Q355,Q356)-COUNTIF(Q$4:Q355,""Sell_""&amp;Q356))))))"),230000.0)</f>
        <v>230000</v>
      </c>
      <c r="V356" s="10">
        <f t="shared" si="11"/>
        <v>230000</v>
      </c>
      <c r="W356" s="68">
        <f t="shared" si="12"/>
        <v>7343.438135</v>
      </c>
      <c r="X356" s="59" t="str">
        <f t="shared" si="13"/>
        <v>2h 02m 23s</v>
      </c>
      <c r="Y356" s="69">
        <f t="shared" si="14"/>
        <v>811777032</v>
      </c>
      <c r="Z356" s="11"/>
    </row>
    <row r="357">
      <c r="A357" s="8"/>
      <c r="B357" s="56" t="str">
        <f t="shared" si="2"/>
        <v/>
      </c>
      <c r="C357" s="105"/>
      <c r="D357" s="10"/>
      <c r="E357" s="59" t="str">
        <f t="array" ref="E357">IF(COUNTA(C357:C1673)=0,"",SUM((COUNTIF(C$4:C357,Upgrades!$B$3:$B$13)-COUNTIF(C$4:C357,"Sell_"&amp;Upgrades!$B$3:$B$13))*Upgrades!$D$3:$D$13))</f>
        <v/>
      </c>
      <c r="F357" s="66" t="str">
        <f>IFERROR(__xludf.DUMMYFUNCTION("IF(COUNTA(C357:C1673)=0,"""",IF(REGEXMATCH(INDEX(FILTER(C$4:C357,C$4:C357&lt;&gt;""""),ROWS(FILTER(C$4:C357,C$4:C357&lt;&gt;""""))),""^Sell_""),INDEX(FILTER(F$4:F356,C$4:C356&lt;&gt;""""),ROWS(FILTER(C$4:C356,C$4:C356&lt;&gt;""""))),$AC$5+E357))"),"")</f>
        <v/>
      </c>
      <c r="G357" s="10" t="str">
        <f>IFERROR(__xludf.DUMMYFUNCTION("IF(COUNTA(C357:C1673)=0,"""",IF(C357="""",0,IF(REGEXMATCH(C357,""^Sell_""),-ROUNDDOWN(ROUNDUP(INDEX(Upgrades!$C$3:$C$13,MATCH(SUBSTITUTE(C357,""Sell_"",""""),Upgrades!$B$3:$B$13,0))*1.15^(COUNTIF(C$4:C356,SUBSTITUTE(C357,""Sell_"",""""))-COUNTIF(C$4:C356,"&amp;"""Sell_""&amp;SUBSTITUTE(C357,""Sell_"",""""))))/2),ROUNDUP(INDEX(Upgrades!$C$3:$C$13,MATCH(C357,Upgrades!$B$3:$B$13,0))*1.15^(COUNTIF(C$4:C356,C357)-COUNTIF(C$4:C356,""Sell_""&amp;C357))))))"),"")</f>
        <v/>
      </c>
      <c r="H357" s="10" t="str">
        <f t="shared" si="3"/>
        <v/>
      </c>
      <c r="I357" s="68" t="str">
        <f t="shared" si="4"/>
        <v/>
      </c>
      <c r="J357" s="59" t="str">
        <f t="shared" si="5"/>
        <v/>
      </c>
      <c r="K357" s="69" t="str">
        <f t="shared" si="6"/>
        <v/>
      </c>
      <c r="L357" s="60">
        <f t="shared" si="7"/>
        <v>-155.35062</v>
      </c>
      <c r="M357" s="61">
        <f>IFERROR(__xludf.DUMMYFUNCTION("IFS(AND(COUNTA(C357:C1673)=0,COUNTA(Q357:Q1673)=0),"""",OR(AND(K357&gt;=1000000000,OR(Y357&gt;=1000000000,COUNTA(Q357:Q1673)=0)),OR(Y357&gt;=1000000000,AND(COUNTA(C357:C1673)=0,P$3=TRUE))),
ROUNDDOWN((AB$1-AC$1)*MAX(INDEX(T$4:T1673,MATCH(LARGE(FILTER(Y$4:Y1673,Y$4"&amp;":Y1673&lt;1000000000),1),Y$4:Y1673)),INDEX(F$4:F1673,MATCH(LARGE(FILTER(K$4:K1673,K$4:K1673&lt;1000000000),1),K$4:K1673)))),AND(K357&lt;1000000000,COUNTA(C357:C1673)&gt;0,P$3=FALSE),
ROUNDDOWN(INDEX(Y$4:Y1673,MATCH(LARGE(FILTER(W$4:W1673,W$4:W1673&lt;=I357),1),W$4:W1673"&amp;"))+(I357-LARGE(FILTER(W$4:W1673,W$4:W1673&lt;=I357),1))*INDEX(T$4:T1673,MATCH(LARGE(FILTER(W$4:W1673,W$4:W1673&lt;=I357),1),W$4:W1673))-K357),1,
ROUNDDOWN(Y357-INDEX(K$4:K1673,MATCH(LARGE(FILTER(I$4:I1673,I$4:I1673&lt;=W357),1),I$4:I1673))-(W357-LARGE(FILTER(I$4:I"&amp;"1673,I$4:I1673&lt;=W357),1))*INDEX(F$4:F1673,MATCH(LARGE(FILTER(I$4:I1673,I$4:I1673&lt;=W357),1),I$4:I1673))))"),8.1511785E7)</f>
        <v>81511785</v>
      </c>
      <c r="N357" s="60">
        <f t="shared" si="8"/>
        <v>-155.35062</v>
      </c>
      <c r="O357" s="61" t="str">
        <f t="shared" si="9"/>
        <v>81,5M</v>
      </c>
      <c r="P357" s="56">
        <f t="shared" si="10"/>
        <v>4</v>
      </c>
      <c r="Q357" s="105" t="s">
        <v>8</v>
      </c>
      <c r="R357" s="10"/>
      <c r="S357" s="59">
        <f t="array" ref="S357">IF(COUNTA(Q357:Q1673)=0,"",SUM((COUNTIF(Q$4:Q357,Upgrades!$B$3:$B$13)-COUNTIF(Q$4:Q357,"Sell_"&amp;Upgrades!$B$3:$B$13))*Upgrades!$D$3:$D$13))</f>
        <v>510685.4</v>
      </c>
      <c r="T357" s="66">
        <f>IFERROR(__xludf.DUMMYFUNCTION("IF(COUNTA(Q357:Q1673)=0,"""",IF(REGEXMATCH(INDEX(FILTER(Q$4:Q357,Q$4:Q357&lt;&gt;""""),ROWS(FILTER(Q$4:Q357,Q$4:Q357&lt;&gt;""""))),""^Sell_""),INDEX(FILTER(T$4:T356,Q$4:Q356&lt;&gt;""""),ROWS(FILTER(Q$4:Q356,Q$4:Q356&lt;&gt;""""))),$AD$5+S357))"),510700.4)</f>
        <v>510700.4</v>
      </c>
      <c r="U357" s="10">
        <f>IFERROR(__xludf.DUMMYFUNCTION("IF(COUNTA(Q357:Q1673)=0,"""",IF(Q357="""",0,IF(REGEXMATCH(Q357,""^Sell_""),-ROUNDDOWN(ROUNDUP(INDEX(Upgrades!$C$3:$C$13,MATCH(SUBSTITUTE(Q357,""Sell_"",""""),Upgrades!$B$3:$B$13,0))*1.15^(COUNTIF(Q$4:Q356,SUBSTITUTE(Q357,""Sell_"",""""))-COUNTIF(Q$4:Q356,"&amp;"""Sell_""&amp;SUBSTITUTE(Q357,""Sell_"",""""))))/2),ROUNDUP(INDEX(Upgrades!$C$3:$C$13,MATCH(Q357,Upgrades!$B$3:$B$13,0))*1.15^(COUNTIF(Q$4:Q356,Q357)-COUNTIF(Q$4:Q356,""Sell_""&amp;Q357))))))"),60835.0)</f>
        <v>60835</v>
      </c>
      <c r="V357" s="10">
        <f t="shared" si="11"/>
        <v>60835</v>
      </c>
      <c r="W357" s="68">
        <f t="shared" si="12"/>
        <v>7343.557279</v>
      </c>
      <c r="X357" s="59" t="str">
        <f t="shared" si="13"/>
        <v>2h 02m 23s</v>
      </c>
      <c r="Y357" s="69">
        <f t="shared" si="14"/>
        <v>811837867</v>
      </c>
      <c r="Z357" s="11"/>
    </row>
    <row r="358">
      <c r="A358" s="8"/>
      <c r="B358" s="56" t="str">
        <f t="shared" si="2"/>
        <v/>
      </c>
      <c r="C358" s="105"/>
      <c r="D358" s="10"/>
      <c r="E358" s="59" t="str">
        <f t="array" ref="E358">IF(COUNTA(C358:C1673)=0,"",SUM((COUNTIF(C$4:C358,Upgrades!$B$3:$B$13)-COUNTIF(C$4:C358,"Sell_"&amp;Upgrades!$B$3:$B$13))*Upgrades!$D$3:$D$13))</f>
        <v/>
      </c>
      <c r="F358" s="66" t="str">
        <f>IFERROR(__xludf.DUMMYFUNCTION("IF(COUNTA(C358:C1673)=0,"""",IF(REGEXMATCH(INDEX(FILTER(C$4:C358,C$4:C358&lt;&gt;""""),ROWS(FILTER(C$4:C358,C$4:C358&lt;&gt;""""))),""^Sell_""),INDEX(FILTER(F$4:F357,C$4:C357&lt;&gt;""""),ROWS(FILTER(C$4:C357,C$4:C357&lt;&gt;""""))),$AC$5+E358))"),"")</f>
        <v/>
      </c>
      <c r="G358" s="10" t="str">
        <f>IFERROR(__xludf.DUMMYFUNCTION("IF(COUNTA(C358:C1673)=0,"""",IF(C358="""",0,IF(REGEXMATCH(C358,""^Sell_""),-ROUNDDOWN(ROUNDUP(INDEX(Upgrades!$C$3:$C$13,MATCH(SUBSTITUTE(C358,""Sell_"",""""),Upgrades!$B$3:$B$13,0))*1.15^(COUNTIF(C$4:C357,SUBSTITUTE(C358,""Sell_"",""""))-COUNTIF(C$4:C357,"&amp;"""Sell_""&amp;SUBSTITUTE(C358,""Sell_"",""""))))/2),ROUNDUP(INDEX(Upgrades!$C$3:$C$13,MATCH(C358,Upgrades!$B$3:$B$13,0))*1.15^(COUNTIF(C$4:C357,C358)-COUNTIF(C$4:C357,""Sell_""&amp;C358))))))"),"")</f>
        <v/>
      </c>
      <c r="H358" s="10" t="str">
        <f t="shared" si="3"/>
        <v/>
      </c>
      <c r="I358" s="68" t="str">
        <f t="shared" si="4"/>
        <v/>
      </c>
      <c r="J358" s="59" t="str">
        <f t="shared" si="5"/>
        <v/>
      </c>
      <c r="K358" s="69" t="str">
        <f t="shared" si="6"/>
        <v/>
      </c>
      <c r="L358" s="60">
        <f t="shared" si="7"/>
        <v>-155.3266</v>
      </c>
      <c r="M358" s="61">
        <f>IFERROR(__xludf.DUMMYFUNCTION("IFS(AND(COUNTA(C358:C1673)=0,COUNTA(Q358:Q1673)=0),"""",OR(AND(K358&gt;=1000000000,OR(Y358&gt;=1000000000,COUNTA(Q358:Q1673)=0)),OR(Y358&gt;=1000000000,AND(COUNTA(C358:C1673)=0,P$3=TRUE))),
ROUNDDOWN((AB$1-AC$1)*MAX(INDEX(T$4:T1673,MATCH(LARGE(FILTER(Y$4:Y1673,Y$4"&amp;":Y1673&lt;1000000000),1),Y$4:Y1673)),INDEX(F$4:F1673,MATCH(LARGE(FILTER(K$4:K1673,K$4:K1673&lt;1000000000),1),K$4:K1673)))),AND(K358&lt;1000000000,COUNTA(C358:C1673)&gt;0,P$3=FALSE),
ROUNDDOWN(INDEX(Y$4:Y1673,MATCH(LARGE(FILTER(W$4:W1673,W$4:W1673&lt;=I358),1),W$4:W1673"&amp;"))+(I358-LARGE(FILTER(W$4:W1673,W$4:W1673&lt;=I358),1))*INDEX(T$4:T1673,MATCH(LARGE(FILTER(W$4:W1673,W$4:W1673&lt;=I358),1),W$4:W1673))-K358),1,
ROUNDDOWN(Y358-INDEX(K$4:K1673,MATCH(LARGE(FILTER(I$4:I1673,I$4:I1673&lt;=W358),1),I$4:I1673))-(W358-LARGE(FILTER(I$4:I"&amp;"1673,I$4:I1673&lt;=W358),1))*INDEX(F$4:F1673,MATCH(LARGE(FILTER(I$4:I1673,I$4:I1673&lt;=W358),1),I$4:I1673))))"),8.151279E7)</f>
        <v>81512790</v>
      </c>
      <c r="N358" s="60">
        <f t="shared" si="8"/>
        <v>-155.3266</v>
      </c>
      <c r="O358" s="61" t="str">
        <f t="shared" si="9"/>
        <v>81,5M</v>
      </c>
      <c r="P358" s="56">
        <f t="shared" si="10"/>
        <v>3</v>
      </c>
      <c r="Q358" s="105" t="s">
        <v>9</v>
      </c>
      <c r="R358" s="10"/>
      <c r="S358" s="59">
        <f t="array" ref="S358">IF(COUNTA(Q358:Q1673)=0,"",SUM((COUNTIF(Q$4:Q358,Upgrades!$B$3:$B$13)-COUNTIF(Q$4:Q358,"Sell_"&amp;Upgrades!$B$3:$B$13))*Upgrades!$D$3:$D$13))</f>
        <v>511085.4</v>
      </c>
      <c r="T358" s="66">
        <f>IFERROR(__xludf.DUMMYFUNCTION("IF(COUNTA(Q358:Q1673)=0,"""",IF(REGEXMATCH(INDEX(FILTER(Q$4:Q358,Q$4:Q358&lt;&gt;""""),ROWS(FILTER(Q$4:Q358,Q$4:Q358&lt;&gt;""""))),""^Sell_""),INDEX(FILTER(T$4:T357,Q$4:Q357&lt;&gt;""""),ROWS(FILTER(Q$4:Q357,Q$4:Q357&lt;&gt;""""))),$AD$5+S358))"),511100.4)</f>
        <v>511100.4</v>
      </c>
      <c r="U358" s="10">
        <f>IFERROR(__xludf.DUMMYFUNCTION("IF(COUNTA(Q358:Q1673)=0,"""",IF(Q358="""",0,IF(REGEXMATCH(Q358,""^Sell_""),-ROUNDDOWN(ROUNDUP(INDEX(Upgrades!$C$3:$C$13,MATCH(SUBSTITUTE(Q358,""Sell_"",""""),Upgrades!$B$3:$B$13,0))*1.15^(COUNTIF(Q$4:Q357,SUBSTITUTE(Q358,""Sell_"",""""))-COUNTIF(Q$4:Q357,"&amp;"""Sell_""&amp;SUBSTITUTE(Q358,""Sell_"",""""))))/2),ROUNDUP(INDEX(Upgrades!$C$3:$C$13,MATCH(Q358,Upgrades!$B$3:$B$13,0))*1.15^(COUNTIF(Q$4:Q357,Q358)-COUNTIF(Q$4:Q357,""Sell_""&amp;Q358))))))"),264500.0)</f>
        <v>264500</v>
      </c>
      <c r="V358" s="10">
        <f t="shared" si="11"/>
        <v>264500</v>
      </c>
      <c r="W358" s="68">
        <f t="shared" si="12"/>
        <v>7344.075195</v>
      </c>
      <c r="X358" s="59" t="str">
        <f t="shared" si="13"/>
        <v>2h 02m 24s</v>
      </c>
      <c r="Y358" s="69">
        <f t="shared" si="14"/>
        <v>812102367</v>
      </c>
      <c r="Z358" s="11"/>
    </row>
    <row r="359">
      <c r="A359" s="8"/>
      <c r="B359" s="56" t="str">
        <f t="shared" si="2"/>
        <v/>
      </c>
      <c r="C359" s="105"/>
      <c r="D359" s="10"/>
      <c r="E359" s="59" t="str">
        <f t="array" ref="E359">IF(COUNTA(C359:C1673)=0,"",SUM((COUNTIF(C$4:C359,Upgrades!$B$3:$B$13)-COUNTIF(C$4:C359,"Sell_"&amp;Upgrades!$B$3:$B$13))*Upgrades!$D$3:$D$13))</f>
        <v/>
      </c>
      <c r="F359" s="66" t="str">
        <f>IFERROR(__xludf.DUMMYFUNCTION("IF(COUNTA(C359:C1673)=0,"""",IF(REGEXMATCH(INDEX(FILTER(C$4:C359,C$4:C359&lt;&gt;""""),ROWS(FILTER(C$4:C359,C$4:C359&lt;&gt;""""))),""^Sell_""),INDEX(FILTER(F$4:F358,C$4:C358&lt;&gt;""""),ROWS(FILTER(C$4:C358,C$4:C358&lt;&gt;""""))),$AC$5+E359))"),"")</f>
        <v/>
      </c>
      <c r="G359" s="10" t="str">
        <f>IFERROR(__xludf.DUMMYFUNCTION("IF(COUNTA(C359:C1673)=0,"""",IF(C359="""",0,IF(REGEXMATCH(C359,""^Sell_""),-ROUNDDOWN(ROUNDUP(INDEX(Upgrades!$C$3:$C$13,MATCH(SUBSTITUTE(C359,""Sell_"",""""),Upgrades!$B$3:$B$13,0))*1.15^(COUNTIF(C$4:C358,SUBSTITUTE(C359,""Sell_"",""""))-COUNTIF(C$4:C358,"&amp;"""Sell_""&amp;SUBSTITUTE(C359,""Sell_"",""""))))/2),ROUNDUP(INDEX(Upgrades!$C$3:$C$13,MATCH(C359,Upgrades!$B$3:$B$13,0))*1.15^(COUNTIF(C$4:C358,C359)-COUNTIF(C$4:C358,""Sell_""&amp;C359))))))"),"")</f>
        <v/>
      </c>
      <c r="H359" s="10" t="str">
        <f t="shared" si="3"/>
        <v/>
      </c>
      <c r="I359" s="68" t="str">
        <f t="shared" si="4"/>
        <v/>
      </c>
      <c r="J359" s="59" t="str">
        <f t="shared" si="5"/>
        <v/>
      </c>
      <c r="K359" s="69" t="str">
        <f t="shared" si="6"/>
        <v/>
      </c>
      <c r="L359" s="60">
        <f t="shared" si="7"/>
        <v>-155.32035</v>
      </c>
      <c r="M359" s="61">
        <f>IFERROR(__xludf.DUMMYFUNCTION("IFS(AND(COUNTA(C359:C1673)=0,COUNTA(Q359:Q1673)=0),"""",OR(AND(K359&gt;=1000000000,OR(Y359&gt;=1000000000,COUNTA(Q359:Q1673)=0)),OR(Y359&gt;=1000000000,AND(COUNTA(C359:C1673)=0,P$3=TRUE))),
ROUNDDOWN((AB$1-AC$1)*MAX(INDEX(T$4:T1673,MATCH(LARGE(FILTER(Y$4:Y1673,Y$4"&amp;":Y1673&lt;1000000000),1),Y$4:Y1673)),INDEX(F$4:F1673,MATCH(LARGE(FILTER(K$4:K1673,K$4:K1673&lt;1000000000),1),K$4:K1673)))),AND(K359&lt;1000000000,COUNTA(C359:C1673)&gt;0,P$3=FALSE),
ROUNDDOWN(INDEX(Y$4:Y1673,MATCH(LARGE(FILTER(W$4:W1673,W$4:W1673&lt;=I359),1),W$4:W1673"&amp;"))+(I359-LARGE(FILTER(W$4:W1673,W$4:W1673&lt;=I359),1))*INDEX(T$4:T1673,MATCH(LARGE(FILTER(W$4:W1673,W$4:W1673&lt;=I359),1),W$4:W1673))-K359),1,
ROUNDDOWN(Y359-INDEX(K$4:K1673,MATCH(LARGE(FILTER(I$4:I1673,I$4:I1673&lt;=W359),1),I$4:I1673))-(W359-LARGE(FILTER(I$4:I"&amp;"1673,I$4:I1673&lt;=W359),1))*INDEX(F$4:F1673,MATCH(LARGE(FILTER(I$4:I1673,I$4:I1673&lt;=W359),1),I$4:I1673))))"),8.151311E7)</f>
        <v>81513110</v>
      </c>
      <c r="N359" s="60">
        <f t="shared" si="8"/>
        <v>-155.32035</v>
      </c>
      <c r="O359" s="61" t="str">
        <f t="shared" si="9"/>
        <v>81,5M</v>
      </c>
      <c r="P359" s="56">
        <f t="shared" si="10"/>
        <v>5</v>
      </c>
      <c r="Q359" s="105" t="s">
        <v>8</v>
      </c>
      <c r="R359" s="10"/>
      <c r="S359" s="59">
        <f t="array" ref="S359">IF(COUNTA(Q359:Q1673)=0,"",SUM((COUNTIF(Q$4:Q359,Upgrades!$B$3:$B$13)-COUNTIF(Q$4:Q359,"Sell_"&amp;Upgrades!$B$3:$B$13))*Upgrades!$D$3:$D$13))</f>
        <v>511185.4</v>
      </c>
      <c r="T359" s="66">
        <f>IFERROR(__xludf.DUMMYFUNCTION("IF(COUNTA(Q359:Q1673)=0,"""",IF(REGEXMATCH(INDEX(FILTER(Q$4:Q359,Q$4:Q359&lt;&gt;""""),ROWS(FILTER(Q$4:Q359,Q$4:Q359&lt;&gt;""""))),""^Sell_""),INDEX(FILTER(T$4:T358,Q$4:Q358&lt;&gt;""""),ROWS(FILTER(Q$4:Q358,Q$4:Q358&lt;&gt;""""))),$AD$5+S359))"),511200.4)</f>
        <v>511200.4</v>
      </c>
      <c r="U359" s="10">
        <f>IFERROR(__xludf.DUMMYFUNCTION("IF(COUNTA(Q359:Q1673)=0,"""",IF(Q359="""",0,IF(REGEXMATCH(Q359,""^Sell_""),-ROUNDDOWN(ROUNDUP(INDEX(Upgrades!$C$3:$C$13,MATCH(SUBSTITUTE(Q359,""Sell_"",""""),Upgrades!$B$3:$B$13,0))*1.15^(COUNTIF(Q$4:Q358,SUBSTITUTE(Q359,""Sell_"",""""))-COUNTIF(Q$4:Q358,"&amp;"""Sell_""&amp;SUBSTITUTE(Q359,""Sell_"",""""))))/2),ROUNDUP(INDEX(Upgrades!$C$3:$C$13,MATCH(Q359,Upgrades!$B$3:$B$13,0))*1.15^(COUNTIF(Q$4:Q358,Q359)-COUNTIF(Q$4:Q358,""Sell_""&amp;Q359))))))"),69961.0)</f>
        <v>69961</v>
      </c>
      <c r="V359" s="10">
        <f t="shared" si="11"/>
        <v>69961</v>
      </c>
      <c r="W359" s="68">
        <f t="shared" si="12"/>
        <v>7344.212078</v>
      </c>
      <c r="X359" s="59" t="str">
        <f t="shared" si="13"/>
        <v>2h 02m 24s</v>
      </c>
      <c r="Y359" s="69">
        <f t="shared" si="14"/>
        <v>812172328</v>
      </c>
      <c r="Z359" s="11"/>
    </row>
    <row r="360">
      <c r="A360" s="8"/>
      <c r="B360" s="56" t="str">
        <f t="shared" si="2"/>
        <v/>
      </c>
      <c r="C360" s="105"/>
      <c r="D360" s="10"/>
      <c r="E360" s="59" t="str">
        <f t="array" ref="E360">IF(COUNTA(C360:C1673)=0,"",SUM((COUNTIF(C$4:C360,Upgrades!$B$3:$B$13)-COUNTIF(C$4:C360,"Sell_"&amp;Upgrades!$B$3:$B$13))*Upgrades!$D$3:$D$13))</f>
        <v/>
      </c>
      <c r="F360" s="66" t="str">
        <f>IFERROR(__xludf.DUMMYFUNCTION("IF(COUNTA(C360:C1673)=0,"""",IF(REGEXMATCH(INDEX(FILTER(C$4:C360,C$4:C360&lt;&gt;""""),ROWS(FILTER(C$4:C360,C$4:C360&lt;&gt;""""))),""^Sell_""),INDEX(FILTER(F$4:F359,C$4:C359&lt;&gt;""""),ROWS(FILTER(C$4:C359,C$4:C359&lt;&gt;""""))),$AC$5+E360))"),"")</f>
        <v/>
      </c>
      <c r="G360" s="10" t="str">
        <f>IFERROR(__xludf.DUMMYFUNCTION("IF(COUNTA(C360:C1673)=0,"""",IF(C360="""",0,IF(REGEXMATCH(C360,""^Sell_""),-ROUNDDOWN(ROUNDUP(INDEX(Upgrades!$C$3:$C$13,MATCH(SUBSTITUTE(C360,""Sell_"",""""),Upgrades!$B$3:$B$13,0))*1.15^(COUNTIF(C$4:C359,SUBSTITUTE(C360,""Sell_"",""""))-COUNTIF(C$4:C359,"&amp;"""Sell_""&amp;SUBSTITUTE(C360,""Sell_"",""""))))/2),ROUNDUP(INDEX(Upgrades!$C$3:$C$13,MATCH(C360,Upgrades!$B$3:$B$13,0))*1.15^(COUNTIF(C$4:C359,C360)-COUNTIF(C$4:C359,""Sell_""&amp;C360))))))"),"")</f>
        <v/>
      </c>
      <c r="H360" s="10" t="str">
        <f t="shared" si="3"/>
        <v/>
      </c>
      <c r="I360" s="68" t="str">
        <f t="shared" si="4"/>
        <v/>
      </c>
      <c r="J360" s="59" t="str">
        <f t="shared" si="5"/>
        <v/>
      </c>
      <c r="K360" s="69" t="str">
        <f t="shared" si="6"/>
        <v/>
      </c>
      <c r="L360" s="60">
        <f t="shared" si="7"/>
        <v>-155.29332</v>
      </c>
      <c r="M360" s="61">
        <f>IFERROR(__xludf.DUMMYFUNCTION("IFS(AND(COUNTA(C360:C1673)=0,COUNTA(Q360:Q1673)=0),"""",OR(AND(K360&gt;=1000000000,OR(Y360&gt;=1000000000,COUNTA(Q360:Q1673)=0)),OR(Y360&gt;=1000000000,AND(COUNTA(C360:C1673)=0,P$3=TRUE))),
ROUNDDOWN((AB$1-AC$1)*MAX(INDEX(T$4:T1673,MATCH(LARGE(FILTER(Y$4:Y1673,Y$4"&amp;":Y1673&lt;1000000000),1),Y$4:Y1673)),INDEX(F$4:F1673,MATCH(LARGE(FILTER(K$4:K1673,K$4:K1673&lt;1000000000),1),K$4:K1673)))),AND(K360&lt;1000000000,COUNTA(C360:C1673)&gt;0,P$3=FALSE),
ROUNDDOWN(INDEX(Y$4:Y1673,MATCH(LARGE(FILTER(W$4:W1673,W$4:W1673&lt;=I360),1),W$4:W1673"&amp;"))+(I360-LARGE(FILTER(W$4:W1673,W$4:W1673&lt;=I360),1))*INDEX(T$4:T1673,MATCH(LARGE(FILTER(W$4:W1673,W$4:W1673&lt;=I360),1),W$4:W1673))-K360),1,
ROUNDDOWN(Y360-INDEX(K$4:K1673,MATCH(LARGE(FILTER(I$4:I1673,I$4:I1673&lt;=W360),1),I$4:I1673))-(W360-LARGE(FILTER(I$4:I"&amp;"1673,I$4:I1673&lt;=W360),1))*INDEX(F$4:F1673,MATCH(LARGE(FILTER(I$4:I1673,I$4:I1673&lt;=W360),1),I$4:I1673))))"),8.1514563E7)</f>
        <v>81514563</v>
      </c>
      <c r="N360" s="60">
        <f t="shared" si="8"/>
        <v>-155.29332</v>
      </c>
      <c r="O360" s="61" t="str">
        <f t="shared" si="9"/>
        <v>81,5M</v>
      </c>
      <c r="P360" s="56">
        <f t="shared" si="10"/>
        <v>4</v>
      </c>
      <c r="Q360" s="105" t="s">
        <v>9</v>
      </c>
      <c r="R360" s="10"/>
      <c r="S360" s="59">
        <f t="array" ref="S360">IF(COUNTA(Q360:Q1673)=0,"",SUM((COUNTIF(Q$4:Q360,Upgrades!$B$3:$B$13)-COUNTIF(Q$4:Q360,"Sell_"&amp;Upgrades!$B$3:$B$13))*Upgrades!$D$3:$D$13))</f>
        <v>511585.4</v>
      </c>
      <c r="T360" s="66">
        <f>IFERROR(__xludf.DUMMYFUNCTION("IF(COUNTA(Q360:Q1673)=0,"""",IF(REGEXMATCH(INDEX(FILTER(Q$4:Q360,Q$4:Q360&lt;&gt;""""),ROWS(FILTER(Q$4:Q360,Q$4:Q360&lt;&gt;""""))),""^Sell_""),INDEX(FILTER(T$4:T359,Q$4:Q359&lt;&gt;""""),ROWS(FILTER(Q$4:Q359,Q$4:Q359&lt;&gt;""""))),$AD$5+S360))"),511600.4)</f>
        <v>511600.4</v>
      </c>
      <c r="U360" s="10">
        <f>IFERROR(__xludf.DUMMYFUNCTION("IF(COUNTA(Q360:Q1673)=0,"""",IF(Q360="""",0,IF(REGEXMATCH(Q360,""^Sell_""),-ROUNDDOWN(ROUNDUP(INDEX(Upgrades!$C$3:$C$13,MATCH(SUBSTITUTE(Q360,""Sell_"",""""),Upgrades!$B$3:$B$13,0))*1.15^(COUNTIF(Q$4:Q359,SUBSTITUTE(Q360,""Sell_"",""""))-COUNTIF(Q$4:Q359,"&amp;"""Sell_""&amp;SUBSTITUTE(Q360,""Sell_"",""""))))/2),ROUNDUP(INDEX(Upgrades!$C$3:$C$13,MATCH(Q360,Upgrades!$B$3:$B$13,0))*1.15^(COUNTIF(Q$4:Q359,Q360)-COUNTIF(Q$4:Q359,""Sell_""&amp;Q360))))))"),304175.0)</f>
        <v>304175</v>
      </c>
      <c r="V360" s="10">
        <f t="shared" si="11"/>
        <v>304175</v>
      </c>
      <c r="W360" s="68">
        <f t="shared" si="12"/>
        <v>7344.807099</v>
      </c>
      <c r="X360" s="59" t="str">
        <f t="shared" si="13"/>
        <v>2h 02m 24s</v>
      </c>
      <c r="Y360" s="69">
        <f t="shared" si="14"/>
        <v>812476503</v>
      </c>
      <c r="Z360" s="11"/>
    </row>
    <row r="361">
      <c r="A361" s="8"/>
      <c r="B361" s="56" t="str">
        <f t="shared" si="2"/>
        <v/>
      </c>
      <c r="C361" s="105"/>
      <c r="D361" s="10"/>
      <c r="E361" s="59" t="str">
        <f t="array" ref="E361">IF(COUNTA(C361:C1673)=0,"",SUM((COUNTIF(C$4:C361,Upgrades!$B$3:$B$13)-COUNTIF(C$4:C361,"Sell_"&amp;Upgrades!$B$3:$B$13))*Upgrades!$D$3:$D$13))</f>
        <v/>
      </c>
      <c r="F361" s="66" t="str">
        <f>IFERROR(__xludf.DUMMYFUNCTION("IF(COUNTA(C361:C1673)=0,"""",IF(REGEXMATCH(INDEX(FILTER(C$4:C361,C$4:C361&lt;&gt;""""),ROWS(FILTER(C$4:C361,C$4:C361&lt;&gt;""""))),""^Sell_""),INDEX(FILTER(F$4:F360,C$4:C360&lt;&gt;""""),ROWS(FILTER(C$4:C360,C$4:C360&lt;&gt;""""))),$AC$5+E361))"),"")</f>
        <v/>
      </c>
      <c r="G361" s="10" t="str">
        <f>IFERROR(__xludf.DUMMYFUNCTION("IF(COUNTA(C361:C1673)=0,"""",IF(C361="""",0,IF(REGEXMATCH(C361,""^Sell_""),-ROUNDDOWN(ROUNDUP(INDEX(Upgrades!$C$3:$C$13,MATCH(SUBSTITUTE(C361,""Sell_"",""""),Upgrades!$B$3:$B$13,0))*1.15^(COUNTIF(C$4:C360,SUBSTITUTE(C361,""Sell_"",""""))-COUNTIF(C$4:C360,"&amp;"""Sell_""&amp;SUBSTITUTE(C361,""Sell_"",""""))))/2),ROUNDUP(INDEX(Upgrades!$C$3:$C$13,MATCH(C361,Upgrades!$B$3:$B$13,0))*1.15^(COUNTIF(C$4:C360,C361)-COUNTIF(C$4:C360,""Sell_""&amp;C361))))))"),"")</f>
        <v/>
      </c>
      <c r="H361" s="10" t="str">
        <f t="shared" si="3"/>
        <v/>
      </c>
      <c r="I361" s="68" t="str">
        <f t="shared" si="4"/>
        <v/>
      </c>
      <c r="J361" s="59" t="str">
        <f t="shared" si="5"/>
        <v/>
      </c>
      <c r="K361" s="69" t="str">
        <f t="shared" si="6"/>
        <v/>
      </c>
      <c r="L361" s="60">
        <f t="shared" si="7"/>
        <v>-155.28629</v>
      </c>
      <c r="M361" s="61">
        <f>IFERROR(__xludf.DUMMYFUNCTION("IFS(AND(COUNTA(C361:C1673)=0,COUNTA(Q361:Q1673)=0),"""",OR(AND(K361&gt;=1000000000,OR(Y361&gt;=1000000000,COUNTA(Q361:Q1673)=0)),OR(Y361&gt;=1000000000,AND(COUNTA(C361:C1673)=0,P$3=TRUE))),
ROUNDDOWN((AB$1-AC$1)*MAX(INDEX(T$4:T1673,MATCH(LARGE(FILTER(Y$4:Y1673,Y$4"&amp;":Y1673&lt;1000000000),1),Y$4:Y1673)),INDEX(F$4:F1673,MATCH(LARGE(FILTER(K$4:K1673,K$4:K1673&lt;1000000000),1),K$4:K1673)))),AND(K361&lt;1000000000,COUNTA(C361:C1673)&gt;0,P$3=FALSE),
ROUNDDOWN(INDEX(Y$4:Y1673,MATCH(LARGE(FILTER(W$4:W1673,W$4:W1673&lt;=I361),1),W$4:W1673"&amp;"))+(I361-LARGE(FILTER(W$4:W1673,W$4:W1673&lt;=I361),1))*INDEX(T$4:T1673,MATCH(LARGE(FILTER(W$4:W1673,W$4:W1673&lt;=I361),1),W$4:W1673))-K361),1,
ROUNDDOWN(Y361-INDEX(K$4:K1673,MATCH(LARGE(FILTER(I$4:I1673,I$4:I1673&lt;=W361),1),I$4:I1673))-(W361-LARGE(FILTER(I$4:I"&amp;"1673,I$4:I1673&lt;=W361),1))*INDEX(F$4:F1673,MATCH(LARGE(FILTER(I$4:I1673,I$4:I1673&lt;=W361),1),I$4:I1673))))"),8.1515009E7)</f>
        <v>81515009</v>
      </c>
      <c r="N361" s="60">
        <f t="shared" si="8"/>
        <v>-155.28629</v>
      </c>
      <c r="O361" s="61" t="str">
        <f t="shared" si="9"/>
        <v>81,5M</v>
      </c>
      <c r="P361" s="56">
        <f t="shared" si="10"/>
        <v>6</v>
      </c>
      <c r="Q361" s="105" t="s">
        <v>8</v>
      </c>
      <c r="R361" s="10"/>
      <c r="S361" s="59">
        <f t="array" ref="S361">IF(COUNTA(Q361:Q1673)=0,"",SUM((COUNTIF(Q$4:Q361,Upgrades!$B$3:$B$13)-COUNTIF(Q$4:Q361,"Sell_"&amp;Upgrades!$B$3:$B$13))*Upgrades!$D$3:$D$13))</f>
        <v>511685.4</v>
      </c>
      <c r="T361" s="66">
        <f>IFERROR(__xludf.DUMMYFUNCTION("IF(COUNTA(Q361:Q1673)=0,"""",IF(REGEXMATCH(INDEX(FILTER(Q$4:Q361,Q$4:Q361&lt;&gt;""""),ROWS(FILTER(Q$4:Q361,Q$4:Q361&lt;&gt;""""))),""^Sell_""),INDEX(FILTER(T$4:T360,Q$4:Q360&lt;&gt;""""),ROWS(FILTER(Q$4:Q360,Q$4:Q360&lt;&gt;""""))),$AD$5+S361))"),511700.4)</f>
        <v>511700.4</v>
      </c>
      <c r="U361" s="10">
        <f>IFERROR(__xludf.DUMMYFUNCTION("IF(COUNTA(Q361:Q1673)=0,"""",IF(Q361="""",0,IF(REGEXMATCH(Q361,""^Sell_""),-ROUNDDOWN(ROUNDUP(INDEX(Upgrades!$C$3:$C$13,MATCH(SUBSTITUTE(Q361,""Sell_"",""""),Upgrades!$B$3:$B$13,0))*1.15^(COUNTIF(Q$4:Q360,SUBSTITUTE(Q361,""Sell_"",""""))-COUNTIF(Q$4:Q360,"&amp;"""Sell_""&amp;SUBSTITUTE(Q361,""Sell_"",""""))))/2),ROUNDUP(INDEX(Upgrades!$C$3:$C$13,MATCH(Q361,Upgrades!$B$3:$B$13,0))*1.15^(COUNTIF(Q$4:Q360,Q361)-COUNTIF(Q$4:Q360,""Sell_""&amp;Q361))))))"),80455.0)</f>
        <v>80455</v>
      </c>
      <c r="V361" s="10">
        <f t="shared" si="11"/>
        <v>80455</v>
      </c>
      <c r="W361" s="68">
        <f t="shared" si="12"/>
        <v>7344.964361</v>
      </c>
      <c r="X361" s="59" t="str">
        <f t="shared" si="13"/>
        <v>2h 02m 24s</v>
      </c>
      <c r="Y361" s="69">
        <f t="shared" si="14"/>
        <v>812556958</v>
      </c>
      <c r="Z361" s="11"/>
    </row>
    <row r="362">
      <c r="A362" s="8"/>
      <c r="B362" s="56" t="str">
        <f t="shared" si="2"/>
        <v/>
      </c>
      <c r="C362" s="105"/>
      <c r="D362" s="10"/>
      <c r="E362" s="59" t="str">
        <f t="array" ref="E362">IF(COUNTA(C362:C1673)=0,"",SUM((COUNTIF(C$4:C362,Upgrades!$B$3:$B$13)-COUNTIF(C$4:C362,"Sell_"&amp;Upgrades!$B$3:$B$13))*Upgrades!$D$3:$D$13))</f>
        <v/>
      </c>
      <c r="F362" s="66" t="str">
        <f>IFERROR(__xludf.DUMMYFUNCTION("IF(COUNTA(C362:C1673)=0,"""",IF(REGEXMATCH(INDEX(FILTER(C$4:C362,C$4:C362&lt;&gt;""""),ROWS(FILTER(C$4:C362,C$4:C362&lt;&gt;""""))),""^Sell_""),INDEX(FILTER(F$4:F361,C$4:C361&lt;&gt;""""),ROWS(FILTER(C$4:C361,C$4:C361&lt;&gt;""""))),$AC$5+E362))"),"")</f>
        <v/>
      </c>
      <c r="G362" s="10" t="str">
        <f>IFERROR(__xludf.DUMMYFUNCTION("IF(COUNTA(C362:C1673)=0,"""",IF(C362="""",0,IF(REGEXMATCH(C362,""^Sell_""),-ROUNDDOWN(ROUNDUP(INDEX(Upgrades!$C$3:$C$13,MATCH(SUBSTITUTE(C362,""Sell_"",""""),Upgrades!$B$3:$B$13,0))*1.15^(COUNTIF(C$4:C361,SUBSTITUTE(C362,""Sell_"",""""))-COUNTIF(C$4:C361,"&amp;"""Sell_""&amp;SUBSTITUTE(C362,""Sell_"",""""))))/2),ROUNDUP(INDEX(Upgrades!$C$3:$C$13,MATCH(C362,Upgrades!$B$3:$B$13,0))*1.15^(COUNTIF(C$4:C361,C362)-COUNTIF(C$4:C361,""Sell_""&amp;C362))))))"),"")</f>
        <v/>
      </c>
      <c r="H362" s="10" t="str">
        <f t="shared" si="3"/>
        <v/>
      </c>
      <c r="I362" s="68" t="str">
        <f t="shared" si="4"/>
        <v/>
      </c>
      <c r="J362" s="59" t="str">
        <f t="shared" si="5"/>
        <v/>
      </c>
      <c r="K362" s="69" t="str">
        <f t="shared" si="6"/>
        <v/>
      </c>
      <c r="L362" s="60">
        <f t="shared" si="7"/>
        <v>-155.25586</v>
      </c>
      <c r="M362" s="61">
        <f>IFERROR(__xludf.DUMMYFUNCTION("IFS(AND(COUNTA(C362:C1673)=0,COUNTA(Q362:Q1673)=0),"""",OR(AND(K362&gt;=1000000000,OR(Y362&gt;=1000000000,COUNTA(Q362:Q1673)=0)),OR(Y362&gt;=1000000000,AND(COUNTA(C362:C1673)=0,P$3=TRUE))),
ROUNDDOWN((AB$1-AC$1)*MAX(INDEX(T$4:T1673,MATCH(LARGE(FILTER(Y$4:Y1673,Y$4"&amp;":Y1673&lt;1000000000),1),Y$4:Y1673)),INDEX(F$4:F1673,MATCH(LARGE(FILTER(K$4:K1673,K$4:K1673&lt;1000000000),1),K$4:K1673)))),AND(K362&lt;1000000000,COUNTA(C362:C1673)&gt;0,P$3=FALSE),
ROUNDDOWN(INDEX(Y$4:Y1673,MATCH(LARGE(FILTER(W$4:W1673,W$4:W1673&lt;=I362),1),W$4:W1673"&amp;"))+(I362-LARGE(FILTER(W$4:W1673,W$4:W1673&lt;=I362),1))*INDEX(T$4:T1673,MATCH(LARGE(FILTER(W$4:W1673,W$4:W1673&lt;=I362),1),W$4:W1673))-K362),1,
ROUNDDOWN(Y362-INDEX(K$4:K1673,MATCH(LARGE(FILTER(I$4:I1673,I$4:I1673&lt;=W362),1),I$4:I1673))-(W362-LARGE(FILTER(I$4:I"&amp;"1673,I$4:I1673&lt;=W362),1))*INDEX(F$4:F1673,MATCH(LARGE(FILTER(I$4:I1673,I$4:I1673&lt;=W362),1),I$4:I1673))))"),8.1517019E7)</f>
        <v>81517019</v>
      </c>
      <c r="N362" s="60">
        <f t="shared" si="8"/>
        <v>-155.25586</v>
      </c>
      <c r="O362" s="61" t="str">
        <f t="shared" si="9"/>
        <v>81,5M</v>
      </c>
      <c r="P362" s="56">
        <f t="shared" si="10"/>
        <v>5</v>
      </c>
      <c r="Q362" s="105" t="s">
        <v>9</v>
      </c>
      <c r="R362" s="10"/>
      <c r="S362" s="59">
        <f t="array" ref="S362">IF(COUNTA(Q362:Q1673)=0,"",SUM((COUNTIF(Q$4:Q362,Upgrades!$B$3:$B$13)-COUNTIF(Q$4:Q362,"Sell_"&amp;Upgrades!$B$3:$B$13))*Upgrades!$D$3:$D$13))</f>
        <v>512085.4</v>
      </c>
      <c r="T362" s="66">
        <f>IFERROR(__xludf.DUMMYFUNCTION("IF(COUNTA(Q362:Q1673)=0,"""",IF(REGEXMATCH(INDEX(FILTER(Q$4:Q362,Q$4:Q362&lt;&gt;""""),ROWS(FILTER(Q$4:Q362,Q$4:Q362&lt;&gt;""""))),""^Sell_""),INDEX(FILTER(T$4:T361,Q$4:Q361&lt;&gt;""""),ROWS(FILTER(Q$4:Q361,Q$4:Q361&lt;&gt;""""))),$AD$5+S362))"),512100.4)</f>
        <v>512100.4</v>
      </c>
      <c r="U362" s="10">
        <f>IFERROR(__xludf.DUMMYFUNCTION("IF(COUNTA(Q362:Q1673)=0,"""",IF(Q362="""",0,IF(REGEXMATCH(Q362,""^Sell_""),-ROUNDDOWN(ROUNDUP(INDEX(Upgrades!$C$3:$C$13,MATCH(SUBSTITUTE(Q362,""Sell_"",""""),Upgrades!$B$3:$B$13,0))*1.15^(COUNTIF(Q$4:Q361,SUBSTITUTE(Q362,""Sell_"",""""))-COUNTIF(Q$4:Q361,"&amp;"""Sell_""&amp;SUBSTITUTE(Q362,""Sell_"",""""))))/2),ROUNDUP(INDEX(Upgrades!$C$3:$C$13,MATCH(Q362,Upgrades!$B$3:$B$13,0))*1.15^(COUNTIF(Q$4:Q361,Q362)-COUNTIF(Q$4:Q361,""Sell_""&amp;Q362))))))"),349802.0)</f>
        <v>349802</v>
      </c>
      <c r="V362" s="10">
        <f t="shared" si="11"/>
        <v>349802</v>
      </c>
      <c r="W362" s="68">
        <f t="shared" si="12"/>
        <v>7345.647968</v>
      </c>
      <c r="X362" s="59" t="str">
        <f t="shared" si="13"/>
        <v>2h 02m 25s</v>
      </c>
      <c r="Y362" s="69">
        <f t="shared" si="14"/>
        <v>812906760</v>
      </c>
      <c r="Z362" s="11"/>
    </row>
    <row r="363">
      <c r="A363" s="8"/>
      <c r="B363" s="56" t="str">
        <f t="shared" si="2"/>
        <v/>
      </c>
      <c r="C363" s="105"/>
      <c r="D363" s="10"/>
      <c r="E363" s="59" t="str">
        <f t="array" ref="E363">IF(COUNTA(C363:C1673)=0,"",SUM((COUNTIF(C$4:C363,Upgrades!$B$3:$B$13)-COUNTIF(C$4:C363,"Sell_"&amp;Upgrades!$B$3:$B$13))*Upgrades!$D$3:$D$13))</f>
        <v/>
      </c>
      <c r="F363" s="66" t="str">
        <f>IFERROR(__xludf.DUMMYFUNCTION("IF(COUNTA(C363:C1673)=0,"""",IF(REGEXMATCH(INDEX(FILTER(C$4:C363,C$4:C363&lt;&gt;""""),ROWS(FILTER(C$4:C363,C$4:C363&lt;&gt;""""))),""^Sell_""),INDEX(FILTER(F$4:F362,C$4:C362&lt;&gt;""""),ROWS(FILTER(C$4:C362,C$4:C362&lt;&gt;""""))),$AC$5+E363))"),"")</f>
        <v/>
      </c>
      <c r="G363" s="10" t="str">
        <f>IFERROR(__xludf.DUMMYFUNCTION("IF(COUNTA(C363:C1673)=0,"""",IF(C363="""",0,IF(REGEXMATCH(C363,""^Sell_""),-ROUNDDOWN(ROUNDUP(INDEX(Upgrades!$C$3:$C$13,MATCH(SUBSTITUTE(C363,""Sell_"",""""),Upgrades!$B$3:$B$13,0))*1.15^(COUNTIF(C$4:C362,SUBSTITUTE(C363,""Sell_"",""""))-COUNTIF(C$4:C362,"&amp;"""Sell_""&amp;SUBSTITUTE(C363,""Sell_"",""""))))/2),ROUNDUP(INDEX(Upgrades!$C$3:$C$13,MATCH(C363,Upgrades!$B$3:$B$13,0))*1.15^(COUNTIF(C$4:C362,C363)-COUNTIF(C$4:C362,""Sell_""&amp;C363))))))"),"")</f>
        <v/>
      </c>
      <c r="H363" s="10" t="str">
        <f t="shared" si="3"/>
        <v/>
      </c>
      <c r="I363" s="68" t="str">
        <f t="shared" si="4"/>
        <v/>
      </c>
      <c r="J363" s="59" t="str">
        <f t="shared" si="5"/>
        <v/>
      </c>
      <c r="K363" s="69" t="str">
        <f t="shared" si="6"/>
        <v/>
      </c>
      <c r="L363" s="60">
        <f t="shared" si="7"/>
        <v>-155.24796</v>
      </c>
      <c r="M363" s="61">
        <f>IFERROR(__xludf.DUMMYFUNCTION("IFS(AND(COUNTA(C363:C1673)=0,COUNTA(Q363:Q1673)=0),"""",OR(AND(K363&gt;=1000000000,OR(Y363&gt;=1000000000,COUNTA(Q363:Q1673)=0)),OR(Y363&gt;=1000000000,AND(COUNTA(C363:C1673)=0,P$3=TRUE))),
ROUNDDOWN((AB$1-AC$1)*MAX(INDEX(T$4:T1673,MATCH(LARGE(FILTER(Y$4:Y1673,Y$4"&amp;":Y1673&lt;1000000000),1),Y$4:Y1673)),INDEX(F$4:F1673,MATCH(LARGE(FILTER(K$4:K1673,K$4:K1673&lt;1000000000),1),K$4:K1673)))),AND(K363&lt;1000000000,COUNTA(C363:C1673)&gt;0,P$3=FALSE),
ROUNDDOWN(INDEX(Y$4:Y1673,MATCH(LARGE(FILTER(W$4:W1673,W$4:W1673&lt;=I363),1),W$4:W1673"&amp;"))+(I363-LARGE(FILTER(W$4:W1673,W$4:W1673&lt;=I363),1))*INDEX(T$4:T1673,MATCH(LARGE(FILTER(W$4:W1673,W$4:W1673&lt;=I363),1),W$4:W1673))-K363),1,
ROUNDDOWN(Y363-INDEX(K$4:K1673,MATCH(LARGE(FILTER(I$4:I1673,I$4:I1673&lt;=W363),1),I$4:I1673))-(W363-LARGE(FILTER(I$4:I"&amp;"1673,I$4:I1673&lt;=W363),1))*INDEX(F$4:F1673,MATCH(LARGE(FILTER(I$4:I1673,I$4:I1673&lt;=W363),1),I$4:I1673))))"),8.1517623E7)</f>
        <v>81517623</v>
      </c>
      <c r="N363" s="60">
        <f t="shared" si="8"/>
        <v>-155.24796</v>
      </c>
      <c r="O363" s="61" t="str">
        <f t="shared" si="9"/>
        <v>81,5M</v>
      </c>
      <c r="P363" s="56">
        <f t="shared" si="10"/>
        <v>7</v>
      </c>
      <c r="Q363" s="105" t="s">
        <v>8</v>
      </c>
      <c r="R363" s="10"/>
      <c r="S363" s="59">
        <f t="array" ref="S363">IF(COUNTA(Q363:Q1673)=0,"",SUM((COUNTIF(Q$4:Q363,Upgrades!$B$3:$B$13)-COUNTIF(Q$4:Q363,"Sell_"&amp;Upgrades!$B$3:$B$13))*Upgrades!$D$3:$D$13))</f>
        <v>512185.4</v>
      </c>
      <c r="T363" s="66">
        <f>IFERROR(__xludf.DUMMYFUNCTION("IF(COUNTA(Q363:Q1673)=0,"""",IF(REGEXMATCH(INDEX(FILTER(Q$4:Q363,Q$4:Q363&lt;&gt;""""),ROWS(FILTER(Q$4:Q363,Q$4:Q363&lt;&gt;""""))),""^Sell_""),INDEX(FILTER(T$4:T362,Q$4:Q362&lt;&gt;""""),ROWS(FILTER(Q$4:Q362,Q$4:Q362&lt;&gt;""""))),$AD$5+S363))"),512200.4)</f>
        <v>512200.4</v>
      </c>
      <c r="U363" s="10">
        <f>IFERROR(__xludf.DUMMYFUNCTION("IF(COUNTA(Q363:Q1673)=0,"""",IF(Q363="""",0,IF(REGEXMATCH(Q363,""^Sell_""),-ROUNDDOWN(ROUNDUP(INDEX(Upgrades!$C$3:$C$13,MATCH(SUBSTITUTE(Q363,""Sell_"",""""),Upgrades!$B$3:$B$13,0))*1.15^(COUNTIF(Q$4:Q362,SUBSTITUTE(Q363,""Sell_"",""""))-COUNTIF(Q$4:Q362,"&amp;"""Sell_""&amp;SUBSTITUTE(Q363,""Sell_"",""""))))/2),ROUNDUP(INDEX(Upgrades!$C$3:$C$13,MATCH(Q363,Upgrades!$B$3:$B$13,0))*1.15^(COUNTIF(Q$4:Q362,Q363)-COUNTIF(Q$4:Q362,""Sell_""&amp;Q363))))))"),92523.0)</f>
        <v>92523</v>
      </c>
      <c r="V363" s="10">
        <f t="shared" si="11"/>
        <v>92523</v>
      </c>
      <c r="W363" s="68">
        <f t="shared" si="12"/>
        <v>7345.828641</v>
      </c>
      <c r="X363" s="59" t="str">
        <f t="shared" si="13"/>
        <v>2h 02m 25s</v>
      </c>
      <c r="Y363" s="69">
        <f t="shared" si="14"/>
        <v>812999283</v>
      </c>
      <c r="Z363" s="11"/>
    </row>
    <row r="364">
      <c r="A364" s="8"/>
      <c r="B364" s="56" t="str">
        <f t="shared" si="2"/>
        <v/>
      </c>
      <c r="C364" s="105"/>
      <c r="D364" s="10"/>
      <c r="E364" s="59" t="str">
        <f t="array" ref="E364">IF(COUNTA(C364:C1673)=0,"",SUM((COUNTIF(C$4:C364,Upgrades!$B$3:$B$13)-COUNTIF(C$4:C364,"Sell_"&amp;Upgrades!$B$3:$B$13))*Upgrades!$D$3:$D$13))</f>
        <v/>
      </c>
      <c r="F364" s="66" t="str">
        <f>IFERROR(__xludf.DUMMYFUNCTION("IF(COUNTA(C364:C1673)=0,"""",IF(REGEXMATCH(INDEX(FILTER(C$4:C364,C$4:C364&lt;&gt;""""),ROWS(FILTER(C$4:C364,C$4:C364&lt;&gt;""""))),""^Sell_""),INDEX(FILTER(F$4:F363,C$4:C363&lt;&gt;""""),ROWS(FILTER(C$4:C363,C$4:C363&lt;&gt;""""))),$AC$5+E364))"),"")</f>
        <v/>
      </c>
      <c r="G364" s="10" t="str">
        <f>IFERROR(__xludf.DUMMYFUNCTION("IF(COUNTA(C364:C1673)=0,"""",IF(C364="""",0,IF(REGEXMATCH(C364,""^Sell_""),-ROUNDDOWN(ROUNDUP(INDEX(Upgrades!$C$3:$C$13,MATCH(SUBSTITUTE(C364,""Sell_"",""""),Upgrades!$B$3:$B$13,0))*1.15^(COUNTIF(C$4:C363,SUBSTITUTE(C364,""Sell_"",""""))-COUNTIF(C$4:C363,"&amp;"""Sell_""&amp;SUBSTITUTE(C364,""Sell_"",""""))))/2),ROUNDUP(INDEX(Upgrades!$C$3:$C$13,MATCH(C364,Upgrades!$B$3:$B$13,0))*1.15^(COUNTIF(C$4:C363,C364)-COUNTIF(C$4:C363,""Sell_""&amp;C364))))))"),"")</f>
        <v/>
      </c>
      <c r="H364" s="10" t="str">
        <f t="shared" si="3"/>
        <v/>
      </c>
      <c r="I364" s="68" t="str">
        <f t="shared" si="4"/>
        <v/>
      </c>
      <c r="J364" s="59" t="str">
        <f t="shared" si="5"/>
        <v/>
      </c>
      <c r="K364" s="69" t="str">
        <f t="shared" si="6"/>
        <v/>
      </c>
      <c r="L364" s="60">
        <f t="shared" si="7"/>
        <v>-155.21374</v>
      </c>
      <c r="M364" s="61">
        <f>IFERROR(__xludf.DUMMYFUNCTION("IFS(AND(COUNTA(C364:C1673)=0,COUNTA(Q364:Q1673)=0),"""",OR(AND(K364&gt;=1000000000,OR(Y364&gt;=1000000000,COUNTA(Q364:Q1673)=0)),OR(Y364&gt;=1000000000,AND(COUNTA(C364:C1673)=0,P$3=TRUE))),
ROUNDDOWN((AB$1-AC$1)*MAX(INDEX(T$4:T1673,MATCH(LARGE(FILTER(Y$4:Y1673,Y$4"&amp;":Y1673&lt;1000000000),1),Y$4:Y1673)),INDEX(F$4:F1673,MATCH(LARGE(FILTER(K$4:K1673,K$4:K1673&lt;1000000000),1),K$4:K1673)))),AND(K364&lt;1000000000,COUNTA(C364:C1673)&gt;0,P$3=FALSE),
ROUNDDOWN(INDEX(Y$4:Y1673,MATCH(LARGE(FILTER(W$4:W1673,W$4:W1673&lt;=I364),1),W$4:W1673"&amp;"))+(I364-LARGE(FILTER(W$4:W1673,W$4:W1673&lt;=I364),1))*INDEX(T$4:T1673,MATCH(LARGE(FILTER(W$4:W1673,W$4:W1673&lt;=I364),1),W$4:W1673))-K364),1,
ROUNDDOWN(Y364-INDEX(K$4:K1673,MATCH(LARGE(FILTER(I$4:I1673,I$4:I1673&lt;=W364),1),I$4:I1673))-(W364-LARGE(FILTER(I$4:I"&amp;"1673,I$4:I1673&lt;=W364),1))*INDEX(F$4:F1673,MATCH(LARGE(FILTER(I$4:I1673,I$4:I1673&lt;=W364),1),I$4:I1673))))"),8.1520325E7)</f>
        <v>81520325</v>
      </c>
      <c r="N364" s="60">
        <f t="shared" si="8"/>
        <v>-155.21374</v>
      </c>
      <c r="O364" s="61" t="str">
        <f t="shared" si="9"/>
        <v>81,5M</v>
      </c>
      <c r="P364" s="56">
        <f t="shared" si="10"/>
        <v>6</v>
      </c>
      <c r="Q364" s="105" t="s">
        <v>9</v>
      </c>
      <c r="R364" s="10"/>
      <c r="S364" s="59">
        <f t="array" ref="S364">IF(COUNTA(Q364:Q1673)=0,"",SUM((COUNTIF(Q$4:Q364,Upgrades!$B$3:$B$13)-COUNTIF(Q$4:Q364,"Sell_"&amp;Upgrades!$B$3:$B$13))*Upgrades!$D$3:$D$13))</f>
        <v>512585.4</v>
      </c>
      <c r="T364" s="66">
        <f>IFERROR(__xludf.DUMMYFUNCTION("IF(COUNTA(Q364:Q1673)=0,"""",IF(REGEXMATCH(INDEX(FILTER(Q$4:Q364,Q$4:Q364&lt;&gt;""""),ROWS(FILTER(Q$4:Q364,Q$4:Q364&lt;&gt;""""))),""^Sell_""),INDEX(FILTER(T$4:T363,Q$4:Q363&lt;&gt;""""),ROWS(FILTER(Q$4:Q363,Q$4:Q363&lt;&gt;""""))),$AD$5+S364))"),512600.4)</f>
        <v>512600.4</v>
      </c>
      <c r="U364" s="10">
        <f>IFERROR(__xludf.DUMMYFUNCTION("IF(COUNTA(Q364:Q1673)=0,"""",IF(Q364="""",0,IF(REGEXMATCH(Q364,""^Sell_""),-ROUNDDOWN(ROUNDUP(INDEX(Upgrades!$C$3:$C$13,MATCH(SUBSTITUTE(Q364,""Sell_"",""""),Upgrades!$B$3:$B$13,0))*1.15^(COUNTIF(Q$4:Q363,SUBSTITUTE(Q364,""Sell_"",""""))-COUNTIF(Q$4:Q363,"&amp;"""Sell_""&amp;SUBSTITUTE(Q364,""Sell_"",""""))))/2),ROUNDUP(INDEX(Upgrades!$C$3:$C$13,MATCH(Q364,Upgrades!$B$3:$B$13,0))*1.15^(COUNTIF(Q$4:Q363,Q364)-COUNTIF(Q$4:Q363,""Sell_""&amp;Q364))))))"),402272.0)</f>
        <v>402272</v>
      </c>
      <c r="V364" s="10">
        <f t="shared" si="11"/>
        <v>402272</v>
      </c>
      <c r="W364" s="68">
        <f t="shared" si="12"/>
        <v>7346.614021</v>
      </c>
      <c r="X364" s="59" t="str">
        <f t="shared" si="13"/>
        <v>2h 02m 26s</v>
      </c>
      <c r="Y364" s="69">
        <f t="shared" si="14"/>
        <v>813401555</v>
      </c>
      <c r="Z364" s="11"/>
    </row>
    <row r="365">
      <c r="A365" s="8"/>
      <c r="B365" s="56" t="str">
        <f t="shared" si="2"/>
        <v/>
      </c>
      <c r="C365" s="105"/>
      <c r="D365" s="10"/>
      <c r="E365" s="59" t="str">
        <f t="array" ref="E365">IF(COUNTA(C365:C1673)=0,"",SUM((COUNTIF(C$4:C365,Upgrades!$B$3:$B$13)-COUNTIF(C$4:C365,"Sell_"&amp;Upgrades!$B$3:$B$13))*Upgrades!$D$3:$D$13))</f>
        <v/>
      </c>
      <c r="F365" s="66" t="str">
        <f>IFERROR(__xludf.DUMMYFUNCTION("IF(COUNTA(C365:C1673)=0,"""",IF(REGEXMATCH(INDEX(FILTER(C$4:C365,C$4:C365&lt;&gt;""""),ROWS(FILTER(C$4:C365,C$4:C365&lt;&gt;""""))),""^Sell_""),INDEX(FILTER(F$4:F364,C$4:C364&lt;&gt;""""),ROWS(FILTER(C$4:C364,C$4:C364&lt;&gt;""""))),$AC$5+E365))"),"")</f>
        <v/>
      </c>
      <c r="G365" s="10" t="str">
        <f>IFERROR(__xludf.DUMMYFUNCTION("IF(COUNTA(C365:C1673)=0,"""",IF(C365="""",0,IF(REGEXMATCH(C365,""^Sell_""),-ROUNDDOWN(ROUNDUP(INDEX(Upgrades!$C$3:$C$13,MATCH(SUBSTITUTE(C365,""Sell_"",""""),Upgrades!$B$3:$B$13,0))*1.15^(COUNTIF(C$4:C364,SUBSTITUTE(C365,""Sell_"",""""))-COUNTIF(C$4:C364,"&amp;"""Sell_""&amp;SUBSTITUTE(C365,""Sell_"",""""))))/2),ROUNDUP(INDEX(Upgrades!$C$3:$C$13,MATCH(C365,Upgrades!$B$3:$B$13,0))*1.15^(COUNTIF(C$4:C364,C365)-COUNTIF(C$4:C364,""Sell_""&amp;C365))))))"),"")</f>
        <v/>
      </c>
      <c r="H365" s="10" t="str">
        <f t="shared" si="3"/>
        <v/>
      </c>
      <c r="I365" s="68" t="str">
        <f t="shared" si="4"/>
        <v/>
      </c>
      <c r="J365" s="59" t="str">
        <f t="shared" si="5"/>
        <v/>
      </c>
      <c r="K365" s="69" t="str">
        <f t="shared" si="6"/>
        <v/>
      </c>
      <c r="L365" s="60">
        <f t="shared" si="7"/>
        <v>-155.20485</v>
      </c>
      <c r="M365" s="61">
        <f>IFERROR(__xludf.DUMMYFUNCTION("IFS(AND(COUNTA(C365:C1673)=0,COUNTA(Q365:Q1673)=0),"""",OR(AND(K365&gt;=1000000000,OR(Y365&gt;=1000000000,COUNTA(Q365:Q1673)=0)),OR(Y365&gt;=1000000000,AND(COUNTA(C365:C1673)=0,P$3=TRUE))),
ROUNDDOWN((AB$1-AC$1)*MAX(INDEX(T$4:T1673,MATCH(LARGE(FILTER(Y$4:Y1673,Y$4"&amp;":Y1673&lt;1000000000),1),Y$4:Y1673)),INDEX(F$4:F1673,MATCH(LARGE(FILTER(K$4:K1673,K$4:K1673&lt;1000000000),1),K$4:K1673)))),AND(K365&lt;1000000000,COUNTA(C365:C1673)&gt;0,P$3=FALSE),
ROUNDDOWN(INDEX(Y$4:Y1673,MATCH(LARGE(FILTER(W$4:W1673,W$4:W1673&lt;=I365),1),W$4:W1673"&amp;"))+(I365-LARGE(FILTER(W$4:W1673,W$4:W1673&lt;=I365),1))*INDEX(T$4:T1673,MATCH(LARGE(FILTER(W$4:W1673,W$4:W1673&lt;=I365),1),W$4:W1673))-K365),1,
ROUNDDOWN(Y365-INDEX(K$4:K1673,MATCH(LARGE(FILTER(I$4:I1673,I$4:I1673&lt;=W365),1),I$4:I1673))-(W365-LARGE(FILTER(I$4:I"&amp;"1673,I$4:I1673&lt;=W365),1))*INDEX(F$4:F1673,MATCH(LARGE(FILTER(I$4:I1673,I$4:I1673&lt;=W365),1),I$4:I1673))))"),8.1521122E7)</f>
        <v>81521122</v>
      </c>
      <c r="N365" s="60">
        <f t="shared" si="8"/>
        <v>-155.20485</v>
      </c>
      <c r="O365" s="61" t="str">
        <f t="shared" si="9"/>
        <v>81,5M</v>
      </c>
      <c r="P365" s="56">
        <f t="shared" si="10"/>
        <v>8</v>
      </c>
      <c r="Q365" s="105" t="s">
        <v>8</v>
      </c>
      <c r="R365" s="10"/>
      <c r="S365" s="59">
        <f t="array" ref="S365">IF(COUNTA(Q365:Q1673)=0,"",SUM((COUNTIF(Q$4:Q365,Upgrades!$B$3:$B$13)-COUNTIF(Q$4:Q365,"Sell_"&amp;Upgrades!$B$3:$B$13))*Upgrades!$D$3:$D$13))</f>
        <v>512685.4</v>
      </c>
      <c r="T365" s="66">
        <f>IFERROR(__xludf.DUMMYFUNCTION("IF(COUNTA(Q365:Q1673)=0,"""",IF(REGEXMATCH(INDEX(FILTER(Q$4:Q365,Q$4:Q365&lt;&gt;""""),ROWS(FILTER(Q$4:Q365,Q$4:Q365&lt;&gt;""""))),""^Sell_""),INDEX(FILTER(T$4:T364,Q$4:Q364&lt;&gt;""""),ROWS(FILTER(Q$4:Q364,Q$4:Q364&lt;&gt;""""))),$AD$5+S365))"),512700.4)</f>
        <v>512700.4</v>
      </c>
      <c r="U365" s="10">
        <f>IFERROR(__xludf.DUMMYFUNCTION("IF(COUNTA(Q365:Q1673)=0,"""",IF(Q365="""",0,IF(REGEXMATCH(Q365,""^Sell_""),-ROUNDDOWN(ROUNDUP(INDEX(Upgrades!$C$3:$C$13,MATCH(SUBSTITUTE(Q365,""Sell_"",""""),Upgrades!$B$3:$B$13,0))*1.15^(COUNTIF(Q$4:Q364,SUBSTITUTE(Q365,""Sell_"",""""))-COUNTIF(Q$4:Q364,"&amp;"""Sell_""&amp;SUBSTITUTE(Q365,""Sell_"",""""))))/2),ROUNDUP(INDEX(Upgrades!$C$3:$C$13,MATCH(Q365,Upgrades!$B$3:$B$13,0))*1.15^(COUNTIF(Q$4:Q364,Q365)-COUNTIF(Q$4:Q364,""Sell_""&amp;Q365))))))"),106401.0)</f>
        <v>106401</v>
      </c>
      <c r="V365" s="10">
        <f t="shared" si="11"/>
        <v>106401</v>
      </c>
      <c r="W365" s="68">
        <f t="shared" si="12"/>
        <v>7346.821592</v>
      </c>
      <c r="X365" s="59" t="str">
        <f t="shared" si="13"/>
        <v>2h 02m 26s</v>
      </c>
      <c r="Y365" s="69">
        <f t="shared" si="14"/>
        <v>813507956</v>
      </c>
      <c r="Z365" s="11"/>
    </row>
    <row r="366">
      <c r="A366" s="8"/>
      <c r="B366" s="56" t="str">
        <f t="shared" si="2"/>
        <v/>
      </c>
      <c r="C366" s="105"/>
      <c r="D366" s="10"/>
      <c r="E366" s="59" t="str">
        <f t="array" ref="E366">IF(COUNTA(C366:C1673)=0,"",SUM((COUNTIF(C$4:C366,Upgrades!$B$3:$B$13)-COUNTIF(C$4:C366,"Sell_"&amp;Upgrades!$B$3:$B$13))*Upgrades!$D$3:$D$13))</f>
        <v/>
      </c>
      <c r="F366" s="66" t="str">
        <f>IFERROR(__xludf.DUMMYFUNCTION("IF(COUNTA(C366:C1673)=0,"""",IF(REGEXMATCH(INDEX(FILTER(C$4:C366,C$4:C366&lt;&gt;""""),ROWS(FILTER(C$4:C366,C$4:C366&lt;&gt;""""))),""^Sell_""),INDEX(FILTER(F$4:F365,C$4:C365&lt;&gt;""""),ROWS(FILTER(C$4:C365,C$4:C365&lt;&gt;""""))),$AC$5+E366))"),"")</f>
        <v/>
      </c>
      <c r="G366" s="10" t="str">
        <f>IFERROR(__xludf.DUMMYFUNCTION("IF(COUNTA(C366:C1673)=0,"""",IF(C366="""",0,IF(REGEXMATCH(C366,""^Sell_""),-ROUNDDOWN(ROUNDUP(INDEX(Upgrades!$C$3:$C$13,MATCH(SUBSTITUTE(C366,""Sell_"",""""),Upgrades!$B$3:$B$13,0))*1.15^(COUNTIF(C$4:C365,SUBSTITUTE(C366,""Sell_"",""""))-COUNTIF(C$4:C365,"&amp;"""Sell_""&amp;SUBSTITUTE(C366,""Sell_"",""""))))/2),ROUNDUP(INDEX(Upgrades!$C$3:$C$13,MATCH(C366,Upgrades!$B$3:$B$13,0))*1.15^(COUNTIF(C$4:C365,C366)-COUNTIF(C$4:C365,""Sell_""&amp;C366))))))"),"")</f>
        <v/>
      </c>
      <c r="H366" s="10" t="str">
        <f t="shared" si="3"/>
        <v/>
      </c>
      <c r="I366" s="68" t="str">
        <f t="shared" si="4"/>
        <v/>
      </c>
      <c r="J366" s="59" t="str">
        <f t="shared" si="5"/>
        <v/>
      </c>
      <c r="K366" s="69" t="str">
        <f t="shared" si="6"/>
        <v/>
      </c>
      <c r="L366" s="60">
        <f t="shared" si="7"/>
        <v>-155.16638</v>
      </c>
      <c r="M366" s="61">
        <f>IFERROR(__xludf.DUMMYFUNCTION("IFS(AND(COUNTA(C366:C1673)=0,COUNTA(Q366:Q1673)=0),"""",OR(AND(K366&gt;=1000000000,OR(Y366&gt;=1000000000,COUNTA(Q366:Q1673)=0)),OR(Y366&gt;=1000000000,AND(COUNTA(C366:C1673)=0,P$3=TRUE))),
ROUNDDOWN((AB$1-AC$1)*MAX(INDEX(T$4:T1673,MATCH(LARGE(FILTER(Y$4:Y1673,Y$4"&amp;":Y1673&lt;1000000000),1),Y$4:Y1673)),INDEX(F$4:F1673,MATCH(LARGE(FILTER(K$4:K1673,K$4:K1673&lt;1000000000),1),K$4:K1673)))),AND(K366&lt;1000000000,COUNTA(C366:C1673)&gt;0,P$3=FALSE),
ROUNDDOWN(INDEX(Y$4:Y1673,MATCH(LARGE(FILTER(W$4:W1673,W$4:W1673&lt;=I366),1),W$4:W1673"&amp;"))+(I366-LARGE(FILTER(W$4:W1673,W$4:W1673&lt;=I366),1))*INDEX(T$4:T1673,MATCH(LARGE(FILTER(W$4:W1673,W$4:W1673&lt;=I366),1),W$4:W1673))-K366),1,
ROUNDDOWN(Y366-INDEX(K$4:K1673,MATCH(LARGE(FILTER(I$4:I1673,I$4:I1673&lt;=W366),1),I$4:I1673))-(W366-LARGE(FILTER(I$4:I"&amp;"1673,I$4:I1673&lt;=W366),1))*INDEX(F$4:F1673,MATCH(LARGE(FILTER(I$4:I1673,I$4:I1673&lt;=W366),1),I$4:I1673))))"),8.1524677E7)</f>
        <v>81524677</v>
      </c>
      <c r="N366" s="60">
        <f t="shared" si="8"/>
        <v>-155.16638</v>
      </c>
      <c r="O366" s="61" t="str">
        <f t="shared" si="9"/>
        <v>81,5M</v>
      </c>
      <c r="P366" s="56">
        <f t="shared" si="10"/>
        <v>7</v>
      </c>
      <c r="Q366" s="105" t="s">
        <v>9</v>
      </c>
      <c r="R366" s="10"/>
      <c r="S366" s="59">
        <f t="array" ref="S366">IF(COUNTA(Q366:Q1673)=0,"",SUM((COUNTIF(Q$4:Q366,Upgrades!$B$3:$B$13)-COUNTIF(Q$4:Q366,"Sell_"&amp;Upgrades!$B$3:$B$13))*Upgrades!$D$3:$D$13))</f>
        <v>513085.4</v>
      </c>
      <c r="T366" s="66">
        <f>IFERROR(__xludf.DUMMYFUNCTION("IF(COUNTA(Q366:Q1673)=0,"""",IF(REGEXMATCH(INDEX(FILTER(Q$4:Q366,Q$4:Q366&lt;&gt;""""),ROWS(FILTER(Q$4:Q366,Q$4:Q366&lt;&gt;""""))),""^Sell_""),INDEX(FILTER(T$4:T365,Q$4:Q365&lt;&gt;""""),ROWS(FILTER(Q$4:Q365,Q$4:Q365&lt;&gt;""""))),$AD$5+S366))"),513100.4)</f>
        <v>513100.4</v>
      </c>
      <c r="U366" s="10">
        <f>IFERROR(__xludf.DUMMYFUNCTION("IF(COUNTA(Q366:Q1673)=0,"""",IF(Q366="""",0,IF(REGEXMATCH(Q366,""^Sell_""),-ROUNDDOWN(ROUNDUP(INDEX(Upgrades!$C$3:$C$13,MATCH(SUBSTITUTE(Q366,""Sell_"",""""),Upgrades!$B$3:$B$13,0))*1.15^(COUNTIF(Q$4:Q365,SUBSTITUTE(Q366,""Sell_"",""""))-COUNTIF(Q$4:Q365,"&amp;"""Sell_""&amp;SUBSTITUTE(Q366,""Sell_"",""""))))/2),ROUNDUP(INDEX(Upgrades!$C$3:$C$13,MATCH(Q366,Upgrades!$B$3:$B$13,0))*1.15^(COUNTIF(Q$4:Q365,Q366)-COUNTIF(Q$4:Q365,""Sell_""&amp;Q366))))))"),462613.0)</f>
        <v>462613</v>
      </c>
      <c r="V366" s="10">
        <f t="shared" si="11"/>
        <v>462613</v>
      </c>
      <c r="W366" s="68">
        <f t="shared" si="12"/>
        <v>7347.723899</v>
      </c>
      <c r="X366" s="59" t="str">
        <f t="shared" si="13"/>
        <v>2h 02m 27s</v>
      </c>
      <c r="Y366" s="69">
        <f t="shared" si="14"/>
        <v>813970569</v>
      </c>
      <c r="Z366" s="11"/>
    </row>
    <row r="367">
      <c r="A367" s="8"/>
      <c r="B367" s="56" t="str">
        <f t="shared" si="2"/>
        <v/>
      </c>
      <c r="C367" s="105"/>
      <c r="D367" s="10"/>
      <c r="E367" s="59" t="str">
        <f t="array" ref="E367">IF(COUNTA(C367:C1673)=0,"",SUM((COUNTIF(C$4:C367,Upgrades!$B$3:$B$13)-COUNTIF(C$4:C367,"Sell_"&amp;Upgrades!$B$3:$B$13))*Upgrades!$D$3:$D$13))</f>
        <v/>
      </c>
      <c r="F367" s="66" t="str">
        <f>IFERROR(__xludf.DUMMYFUNCTION("IF(COUNTA(C367:C1673)=0,"""",IF(REGEXMATCH(INDEX(FILTER(C$4:C367,C$4:C367&lt;&gt;""""),ROWS(FILTER(C$4:C367,C$4:C367&lt;&gt;""""))),""^Sell_""),INDEX(FILTER(F$4:F366,C$4:C366&lt;&gt;""""),ROWS(FILTER(C$4:C366,C$4:C366&lt;&gt;""""))),$AC$5+E367))"),"")</f>
        <v/>
      </c>
      <c r="G367" s="10" t="str">
        <f>IFERROR(__xludf.DUMMYFUNCTION("IF(COUNTA(C367:C1673)=0,"""",IF(C367="""",0,IF(REGEXMATCH(C367,""^Sell_""),-ROUNDDOWN(ROUNDUP(INDEX(Upgrades!$C$3:$C$13,MATCH(SUBSTITUTE(C367,""Sell_"",""""),Upgrades!$B$3:$B$13,0))*1.15^(COUNTIF(C$4:C366,SUBSTITUTE(C367,""Sell_"",""""))-COUNTIF(C$4:C366,"&amp;"""Sell_""&amp;SUBSTITUTE(C367,""Sell_"",""""))))/2),ROUNDUP(INDEX(Upgrades!$C$3:$C$13,MATCH(C367,Upgrades!$B$3:$B$13,0))*1.15^(COUNTIF(C$4:C366,C367)-COUNTIF(C$4:C366,""Sell_""&amp;C367))))))"),"")</f>
        <v/>
      </c>
      <c r="H367" s="10" t="str">
        <f t="shared" si="3"/>
        <v/>
      </c>
      <c r="I367" s="68" t="str">
        <f t="shared" si="4"/>
        <v/>
      </c>
      <c r="J367" s="59" t="str">
        <f t="shared" si="5"/>
        <v/>
      </c>
      <c r="K367" s="69" t="str">
        <f t="shared" si="6"/>
        <v/>
      </c>
      <c r="L367" s="60">
        <f t="shared" si="7"/>
        <v>-155.15639</v>
      </c>
      <c r="M367" s="61">
        <f>IFERROR(__xludf.DUMMYFUNCTION("IFS(AND(COUNTA(C367:C1673)=0,COUNTA(Q367:Q1673)=0),"""",OR(AND(K367&gt;=1000000000,OR(Y367&gt;=1000000000,COUNTA(Q367:Q1673)=0)),OR(Y367&gt;=1000000000,AND(COUNTA(C367:C1673)=0,P$3=TRUE))),
ROUNDDOWN((AB$1-AC$1)*MAX(INDEX(T$4:T1673,MATCH(LARGE(FILTER(Y$4:Y1673,Y$4"&amp;":Y1673&lt;1000000000),1),Y$4:Y1673)),INDEX(F$4:F1673,MATCH(LARGE(FILTER(K$4:K1673,K$4:K1673&lt;1000000000),1),K$4:K1673)))),AND(K367&lt;1000000000,COUNTA(C367:C1673)&gt;0,P$3=FALSE),
ROUNDDOWN(INDEX(Y$4:Y1673,MATCH(LARGE(FILTER(W$4:W1673,W$4:W1673&lt;=I367),1),W$4:W1673"&amp;"))+(I367-LARGE(FILTER(W$4:W1673,W$4:W1673&lt;=I367),1))*INDEX(T$4:T1673,MATCH(LARGE(FILTER(W$4:W1673,W$4:W1673&lt;=I367),1),W$4:W1673))-K367),1,
ROUNDDOWN(Y367-INDEX(K$4:K1673,MATCH(LARGE(FILTER(I$4:I1673,I$4:I1673&lt;=W367),1),I$4:I1673))-(W367-LARGE(FILTER(I$4:I"&amp;"1673,I$4:I1673&lt;=W367),1))*INDEX(F$4:F1673,MATCH(LARGE(FILTER(I$4:I1673,I$4:I1673&lt;=W367),1),I$4:I1673))))"),8.1525713E7)</f>
        <v>81525713</v>
      </c>
      <c r="N367" s="60">
        <f t="shared" si="8"/>
        <v>-155.15639</v>
      </c>
      <c r="O367" s="61" t="str">
        <f t="shared" si="9"/>
        <v>81,5M</v>
      </c>
      <c r="P367" s="56">
        <f t="shared" si="10"/>
        <v>9</v>
      </c>
      <c r="Q367" s="105" t="s">
        <v>8</v>
      </c>
      <c r="R367" s="10"/>
      <c r="S367" s="59">
        <f t="array" ref="S367">IF(COUNTA(Q367:Q1673)=0,"",SUM((COUNTIF(Q$4:Q367,Upgrades!$B$3:$B$13)-COUNTIF(Q$4:Q367,"Sell_"&amp;Upgrades!$B$3:$B$13))*Upgrades!$D$3:$D$13))</f>
        <v>513185.4</v>
      </c>
      <c r="T367" s="66">
        <f>IFERROR(__xludf.DUMMYFUNCTION("IF(COUNTA(Q367:Q1673)=0,"""",IF(REGEXMATCH(INDEX(FILTER(Q$4:Q367,Q$4:Q367&lt;&gt;""""),ROWS(FILTER(Q$4:Q367,Q$4:Q367&lt;&gt;""""))),""^Sell_""),INDEX(FILTER(T$4:T366,Q$4:Q366&lt;&gt;""""),ROWS(FILTER(Q$4:Q366,Q$4:Q366&lt;&gt;""""))),$AD$5+S367))"),513200.4)</f>
        <v>513200.4</v>
      </c>
      <c r="U367" s="10">
        <f>IFERROR(__xludf.DUMMYFUNCTION("IF(COUNTA(Q367:Q1673)=0,"""",IF(Q367="""",0,IF(REGEXMATCH(Q367,""^Sell_""),-ROUNDDOWN(ROUNDUP(INDEX(Upgrades!$C$3:$C$13,MATCH(SUBSTITUTE(Q367,""Sell_"",""""),Upgrades!$B$3:$B$13,0))*1.15^(COUNTIF(Q$4:Q366,SUBSTITUTE(Q367,""Sell_"",""""))-COUNTIF(Q$4:Q366,"&amp;"""Sell_""&amp;SUBSTITUTE(Q367,""Sell_"",""""))))/2),ROUNDUP(INDEX(Upgrades!$C$3:$C$13,MATCH(Q367,Upgrades!$B$3:$B$13,0))*1.15^(COUNTIF(Q$4:Q366,Q367)-COUNTIF(Q$4:Q366,""Sell_""&amp;Q367))))))"),122361.0)</f>
        <v>122361</v>
      </c>
      <c r="V367" s="10">
        <f t="shared" si="11"/>
        <v>122361</v>
      </c>
      <c r="W367" s="68">
        <f t="shared" si="12"/>
        <v>7347.962373</v>
      </c>
      <c r="X367" s="59" t="str">
        <f t="shared" si="13"/>
        <v>2h 02m 27s</v>
      </c>
      <c r="Y367" s="69">
        <f t="shared" si="14"/>
        <v>814092930</v>
      </c>
      <c r="Z367" s="11"/>
    </row>
    <row r="368">
      <c r="A368" s="8"/>
      <c r="B368" s="56" t="str">
        <f t="shared" si="2"/>
        <v/>
      </c>
      <c r="C368" s="105"/>
      <c r="D368" s="10"/>
      <c r="E368" s="59" t="str">
        <f t="array" ref="E368">IF(COUNTA(C368:C1673)=0,"",SUM((COUNTIF(C$4:C368,Upgrades!$B$3:$B$13)-COUNTIF(C$4:C368,"Sell_"&amp;Upgrades!$B$3:$B$13))*Upgrades!$D$3:$D$13))</f>
        <v/>
      </c>
      <c r="F368" s="66" t="str">
        <f>IFERROR(__xludf.DUMMYFUNCTION("IF(COUNTA(C368:C1673)=0,"""",IF(REGEXMATCH(INDEX(FILTER(C$4:C368,C$4:C368&lt;&gt;""""),ROWS(FILTER(C$4:C368,C$4:C368&lt;&gt;""""))),""^Sell_""),INDEX(FILTER(F$4:F367,C$4:C367&lt;&gt;""""),ROWS(FILTER(C$4:C367,C$4:C367&lt;&gt;""""))),$AC$5+E368))"),"")</f>
        <v/>
      </c>
      <c r="G368" s="10" t="str">
        <f>IFERROR(__xludf.DUMMYFUNCTION("IF(COUNTA(C368:C1673)=0,"""",IF(C368="""",0,IF(REGEXMATCH(C368,""^Sell_""),-ROUNDDOWN(ROUNDUP(INDEX(Upgrades!$C$3:$C$13,MATCH(SUBSTITUTE(C368,""Sell_"",""""),Upgrades!$B$3:$B$13,0))*1.15^(COUNTIF(C$4:C367,SUBSTITUTE(C368,""Sell_"",""""))-COUNTIF(C$4:C367,"&amp;"""Sell_""&amp;SUBSTITUTE(C368,""Sell_"",""""))))/2),ROUNDUP(INDEX(Upgrades!$C$3:$C$13,MATCH(C368,Upgrades!$B$3:$B$13,0))*1.15^(COUNTIF(C$4:C367,C368)-COUNTIF(C$4:C367,""Sell_""&amp;C368))))))"),"")</f>
        <v/>
      </c>
      <c r="H368" s="10" t="str">
        <f t="shared" si="3"/>
        <v/>
      </c>
      <c r="I368" s="68" t="str">
        <f t="shared" si="4"/>
        <v/>
      </c>
      <c r="J368" s="59" t="str">
        <f t="shared" si="5"/>
        <v/>
      </c>
      <c r="K368" s="69" t="str">
        <f t="shared" si="6"/>
        <v/>
      </c>
      <c r="L368" s="60">
        <f t="shared" si="7"/>
        <v>-155.11315</v>
      </c>
      <c r="M368" s="61">
        <f>IFERROR(__xludf.DUMMYFUNCTION("IFS(AND(COUNTA(C368:C1673)=0,COUNTA(Q368:Q1673)=0),"""",OR(AND(K368&gt;=1000000000,OR(Y368&gt;=1000000000,COUNTA(Q368:Q1673)=0)),OR(Y368&gt;=1000000000,AND(COUNTA(C368:C1673)=0,P$3=TRUE))),
ROUNDDOWN((AB$1-AC$1)*MAX(INDEX(T$4:T1673,MATCH(LARGE(FILTER(Y$4:Y1673,Y$4"&amp;":Y1673&lt;1000000000),1),Y$4:Y1673)),INDEX(F$4:F1673,MATCH(LARGE(FILTER(K$4:K1673,K$4:K1673&lt;1000000000),1),K$4:K1673)))),AND(K368&lt;1000000000,COUNTA(C368:C1673)&gt;0,P$3=FALSE),
ROUNDDOWN(INDEX(Y$4:Y1673,MATCH(LARGE(FILTER(W$4:W1673,W$4:W1673&lt;=I368),1),W$4:W1673"&amp;"))+(I368-LARGE(FILTER(W$4:W1673,W$4:W1673&lt;=I368),1))*INDEX(T$4:T1673,MATCH(LARGE(FILTER(W$4:W1673,W$4:W1673&lt;=I368),1),W$4:W1673))-K368),1,
ROUNDDOWN(Y368-INDEX(K$4:K1673,MATCH(LARGE(FILTER(I$4:I1673,I$4:I1673&lt;=W368),1),I$4:I1673))-(W368-LARGE(FILTER(I$4:I"&amp;"1673,I$4:I1673&lt;=W368),1))*INDEX(F$4:F1673,MATCH(LARGE(FILTER(I$4:I1673,I$4:I1673&lt;=W368),1),I$4:I1673))))"),8.1530316E7)</f>
        <v>81530316</v>
      </c>
      <c r="N368" s="60">
        <f t="shared" si="8"/>
        <v>-155.11315</v>
      </c>
      <c r="O368" s="61" t="str">
        <f t="shared" si="9"/>
        <v>81,5M</v>
      </c>
      <c r="P368" s="56">
        <f t="shared" si="10"/>
        <v>8</v>
      </c>
      <c r="Q368" s="105" t="s">
        <v>9</v>
      </c>
      <c r="R368" s="10"/>
      <c r="S368" s="59">
        <f t="array" ref="S368">IF(COUNTA(Q368:Q1673)=0,"",SUM((COUNTIF(Q$4:Q368,Upgrades!$B$3:$B$13)-COUNTIF(Q$4:Q368,"Sell_"&amp;Upgrades!$B$3:$B$13))*Upgrades!$D$3:$D$13))</f>
        <v>513585.4</v>
      </c>
      <c r="T368" s="66">
        <f>IFERROR(__xludf.DUMMYFUNCTION("IF(COUNTA(Q368:Q1673)=0,"""",IF(REGEXMATCH(INDEX(FILTER(Q$4:Q368,Q$4:Q368&lt;&gt;""""),ROWS(FILTER(Q$4:Q368,Q$4:Q368&lt;&gt;""""))),""^Sell_""),INDEX(FILTER(T$4:T367,Q$4:Q367&lt;&gt;""""),ROWS(FILTER(Q$4:Q367,Q$4:Q367&lt;&gt;""""))),$AD$5+S368))"),513600.4)</f>
        <v>513600.4</v>
      </c>
      <c r="U368" s="10">
        <f>IFERROR(__xludf.DUMMYFUNCTION("IF(COUNTA(Q368:Q1673)=0,"""",IF(Q368="""",0,IF(REGEXMATCH(Q368,""^Sell_""),-ROUNDDOWN(ROUNDUP(INDEX(Upgrades!$C$3:$C$13,MATCH(SUBSTITUTE(Q368,""Sell_"",""""),Upgrades!$B$3:$B$13,0))*1.15^(COUNTIF(Q$4:Q367,SUBSTITUTE(Q368,""Sell_"",""""))-COUNTIF(Q$4:Q367,"&amp;"""Sell_""&amp;SUBSTITUTE(Q368,""Sell_"",""""))))/2),ROUNDUP(INDEX(Upgrades!$C$3:$C$13,MATCH(Q368,Upgrades!$B$3:$B$13,0))*1.15^(COUNTIF(Q$4:Q367,Q368)-COUNTIF(Q$4:Q367,""Sell_""&amp;Q368))))))"),532004.0)</f>
        <v>532004</v>
      </c>
      <c r="V368" s="10">
        <f t="shared" si="11"/>
        <v>532004</v>
      </c>
      <c r="W368" s="68">
        <f t="shared" si="12"/>
        <v>7348.999013</v>
      </c>
      <c r="X368" s="59" t="str">
        <f t="shared" si="13"/>
        <v>2h 02m 28s</v>
      </c>
      <c r="Y368" s="69">
        <f t="shared" si="14"/>
        <v>814624934</v>
      </c>
      <c r="Z368" s="11"/>
    </row>
    <row r="369">
      <c r="A369" s="8"/>
      <c r="B369" s="56" t="str">
        <f t="shared" si="2"/>
        <v/>
      </c>
      <c r="C369" s="105"/>
      <c r="D369" s="10"/>
      <c r="E369" s="59" t="str">
        <f t="array" ref="E369">IF(COUNTA(C369:C1673)=0,"",SUM((COUNTIF(C$4:C369,Upgrades!$B$3:$B$13)-COUNTIF(C$4:C369,"Sell_"&amp;Upgrades!$B$3:$B$13))*Upgrades!$D$3:$D$13))</f>
        <v/>
      </c>
      <c r="F369" s="66" t="str">
        <f>IFERROR(__xludf.DUMMYFUNCTION("IF(COUNTA(C369:C1673)=0,"""",IF(REGEXMATCH(INDEX(FILTER(C$4:C369,C$4:C369&lt;&gt;""""),ROWS(FILTER(C$4:C369,C$4:C369&lt;&gt;""""))),""^Sell_""),INDEX(FILTER(F$4:F368,C$4:C368&lt;&gt;""""),ROWS(FILTER(C$4:C368,C$4:C368&lt;&gt;""""))),$AC$5+E369))"),"")</f>
        <v/>
      </c>
      <c r="G369" s="10" t="str">
        <f>IFERROR(__xludf.DUMMYFUNCTION("IF(COUNTA(C369:C1673)=0,"""",IF(C369="""",0,IF(REGEXMATCH(C369,""^Sell_""),-ROUNDDOWN(ROUNDUP(INDEX(Upgrades!$C$3:$C$13,MATCH(SUBSTITUTE(C369,""Sell_"",""""),Upgrades!$B$3:$B$13,0))*1.15^(COUNTIF(C$4:C368,SUBSTITUTE(C369,""Sell_"",""""))-COUNTIF(C$4:C368,"&amp;"""Sell_""&amp;SUBSTITUTE(C369,""Sell_"",""""))))/2),ROUNDUP(INDEX(Upgrades!$C$3:$C$13,MATCH(C369,Upgrades!$B$3:$B$13,0))*1.15^(COUNTIF(C$4:C368,C369)-COUNTIF(C$4:C368,""Sell_""&amp;C369))))))"),"")</f>
        <v/>
      </c>
      <c r="H369" s="10" t="str">
        <f t="shared" si="3"/>
        <v/>
      </c>
      <c r="I369" s="68" t="str">
        <f t="shared" si="4"/>
        <v/>
      </c>
      <c r="J369" s="59" t="str">
        <f t="shared" si="5"/>
        <v/>
      </c>
      <c r="K369" s="69" t="str">
        <f t="shared" si="6"/>
        <v/>
      </c>
      <c r="L369" s="60">
        <f t="shared" si="7"/>
        <v>-155.10193</v>
      </c>
      <c r="M369" s="61">
        <f>IFERROR(__xludf.DUMMYFUNCTION("IFS(AND(COUNTA(C369:C1673)=0,COUNTA(Q369:Q1673)=0),"""",OR(AND(K369&gt;=1000000000,OR(Y369&gt;=1000000000,COUNTA(Q369:Q1673)=0)),OR(Y369&gt;=1000000000,AND(COUNTA(C369:C1673)=0,P$3=TRUE))),
ROUNDDOWN((AB$1-AC$1)*MAX(INDEX(T$4:T1673,MATCH(LARGE(FILTER(Y$4:Y1673,Y$4"&amp;":Y1673&lt;1000000000),1),Y$4:Y1673)),INDEX(F$4:F1673,MATCH(LARGE(FILTER(K$4:K1673,K$4:K1673&lt;1000000000),1),K$4:K1673)))),AND(K369&lt;1000000000,COUNTA(C369:C1673)&gt;0,P$3=FALSE),
ROUNDDOWN(INDEX(Y$4:Y1673,MATCH(LARGE(FILTER(W$4:W1673,W$4:W1673&lt;=I369),1),W$4:W1673"&amp;"))+(I369-LARGE(FILTER(W$4:W1673,W$4:W1673&lt;=I369),1))*INDEX(T$4:T1673,MATCH(LARGE(FILTER(W$4:W1673,W$4:W1673&lt;=I369),1),W$4:W1673))-K369),1,
ROUNDDOWN(Y369-INDEX(K$4:K1673,MATCH(LARGE(FILTER(I$4:I1673,I$4:I1673&lt;=W369),1),I$4:I1673))-(W369-LARGE(FILTER(I$4:I"&amp;"1673,I$4:I1673&lt;=W369),1))*INDEX(F$4:F1673,MATCH(LARGE(FILTER(I$4:I1673,I$4:I1673&lt;=W369),1),I$4:I1673))))"),8.1531375E7)</f>
        <v>81531375</v>
      </c>
      <c r="N369" s="60">
        <f t="shared" si="8"/>
        <v>-155.10193</v>
      </c>
      <c r="O369" s="61" t="str">
        <f t="shared" si="9"/>
        <v>81,5M</v>
      </c>
      <c r="P369" s="56">
        <f t="shared" si="10"/>
        <v>10</v>
      </c>
      <c r="Q369" s="105" t="s">
        <v>8</v>
      </c>
      <c r="R369" s="10"/>
      <c r="S369" s="59">
        <f t="array" ref="S369">IF(COUNTA(Q369:Q1673)=0,"",SUM((COUNTIF(Q$4:Q369,Upgrades!$B$3:$B$13)-COUNTIF(Q$4:Q369,"Sell_"&amp;Upgrades!$B$3:$B$13))*Upgrades!$D$3:$D$13))</f>
        <v>513685.4</v>
      </c>
      <c r="T369" s="66">
        <f>IFERROR(__xludf.DUMMYFUNCTION("IF(COUNTA(Q369:Q1673)=0,"""",IF(REGEXMATCH(INDEX(FILTER(Q$4:Q369,Q$4:Q369&lt;&gt;""""),ROWS(FILTER(Q$4:Q369,Q$4:Q369&lt;&gt;""""))),""^Sell_""),INDEX(FILTER(T$4:T368,Q$4:Q368&lt;&gt;""""),ROWS(FILTER(Q$4:Q368,Q$4:Q368&lt;&gt;""""))),$AD$5+S369))"),513700.4)</f>
        <v>513700.4</v>
      </c>
      <c r="U369" s="10">
        <f>IFERROR(__xludf.DUMMYFUNCTION("IF(COUNTA(Q369:Q1673)=0,"""",IF(Q369="""",0,IF(REGEXMATCH(Q369,""^Sell_""),-ROUNDDOWN(ROUNDUP(INDEX(Upgrades!$C$3:$C$13,MATCH(SUBSTITUTE(Q369,""Sell_"",""""),Upgrades!$B$3:$B$13,0))*1.15^(COUNTIF(Q$4:Q368,SUBSTITUTE(Q369,""Sell_"",""""))-COUNTIF(Q$4:Q368,"&amp;"""Sell_""&amp;SUBSTITUTE(Q369,""Sell_"",""""))))/2),ROUNDUP(INDEX(Upgrades!$C$3:$C$13,MATCH(Q369,Upgrades!$B$3:$B$13,0))*1.15^(COUNTIF(Q$4:Q368,Q369)-COUNTIF(Q$4:Q368,""Sell_""&amp;Q369))))))"),140716.0)</f>
        <v>140716</v>
      </c>
      <c r="V369" s="10">
        <f t="shared" si="11"/>
        <v>140716</v>
      </c>
      <c r="W369" s="68">
        <f t="shared" si="12"/>
        <v>7349.272992</v>
      </c>
      <c r="X369" s="59" t="str">
        <f t="shared" si="13"/>
        <v>2h 02m 29s</v>
      </c>
      <c r="Y369" s="69">
        <f t="shared" si="14"/>
        <v>814765650</v>
      </c>
      <c r="Z369" s="11"/>
    </row>
    <row r="370">
      <c r="A370" s="8"/>
      <c r="B370" s="56" t="str">
        <f t="shared" si="2"/>
        <v/>
      </c>
      <c r="C370" s="105"/>
      <c r="D370" s="10"/>
      <c r="E370" s="59" t="str">
        <f t="array" ref="E370">IF(COUNTA(C370:C1673)=0,"",SUM((COUNTIF(C$4:C370,Upgrades!$B$3:$B$13)-COUNTIF(C$4:C370,"Sell_"&amp;Upgrades!$B$3:$B$13))*Upgrades!$D$3:$D$13))</f>
        <v/>
      </c>
      <c r="F370" s="66" t="str">
        <f>IFERROR(__xludf.DUMMYFUNCTION("IF(COUNTA(C370:C1673)=0,"""",IF(REGEXMATCH(INDEX(FILTER(C$4:C370,C$4:C370&lt;&gt;""""),ROWS(FILTER(C$4:C370,C$4:C370&lt;&gt;""""))),""^Sell_""),INDEX(FILTER(F$4:F369,C$4:C369&lt;&gt;""""),ROWS(FILTER(C$4:C369,C$4:C369&lt;&gt;""""))),$AC$5+E370))"),"")</f>
        <v/>
      </c>
      <c r="G370" s="10" t="str">
        <f>IFERROR(__xludf.DUMMYFUNCTION("IF(COUNTA(C370:C1673)=0,"""",IF(C370="""",0,IF(REGEXMATCH(C370,""^Sell_""),-ROUNDDOWN(ROUNDUP(INDEX(Upgrades!$C$3:$C$13,MATCH(SUBSTITUTE(C370,""Sell_"",""""),Upgrades!$B$3:$B$13,0))*1.15^(COUNTIF(C$4:C369,SUBSTITUTE(C370,""Sell_"",""""))-COUNTIF(C$4:C369,"&amp;"""Sell_""&amp;SUBSTITUTE(C370,""Sell_"",""""))))/2),ROUNDUP(INDEX(Upgrades!$C$3:$C$13,MATCH(C370,Upgrades!$B$3:$B$13,0))*1.15^(COUNTIF(C$4:C369,C370)-COUNTIF(C$4:C369,""Sell_""&amp;C370))))))"),"")</f>
        <v/>
      </c>
      <c r="H370" s="10" t="str">
        <f t="shared" si="3"/>
        <v/>
      </c>
      <c r="I370" s="68" t="str">
        <f t="shared" si="4"/>
        <v/>
      </c>
      <c r="J370" s="59" t="str">
        <f t="shared" si="5"/>
        <v/>
      </c>
      <c r="K370" s="69" t="str">
        <f t="shared" si="6"/>
        <v/>
      </c>
      <c r="L370" s="60">
        <f t="shared" si="7"/>
        <v>-155.05338</v>
      </c>
      <c r="M370" s="61">
        <f>IFERROR(__xludf.DUMMYFUNCTION("IFS(AND(COUNTA(C370:C1673)=0,COUNTA(Q370:Q1673)=0),"""",OR(AND(K370&gt;=1000000000,OR(Y370&gt;=1000000000,COUNTA(Q370:Q1673)=0)),OR(Y370&gt;=1000000000,AND(COUNTA(C370:C1673)=0,P$3=TRUE))),
ROUNDDOWN((AB$1-AC$1)*MAX(INDEX(T$4:T1673,MATCH(LARGE(FILTER(Y$4:Y1673,Y$4"&amp;":Y1673&lt;1000000000),1),Y$4:Y1673)),INDEX(F$4:F1673,MATCH(LARGE(FILTER(K$4:K1673,K$4:K1673&lt;1000000000),1),K$4:K1673)))),AND(K370&lt;1000000000,COUNTA(C370:C1673)&gt;0,P$3=FALSE),
ROUNDDOWN(INDEX(Y$4:Y1673,MATCH(LARGE(FILTER(W$4:W1673,W$4:W1673&lt;=I370),1),W$4:W1673"&amp;"))+(I370-LARGE(FILTER(W$4:W1673,W$4:W1673&lt;=I370),1))*INDEX(T$4:T1673,MATCH(LARGE(FILTER(W$4:W1673,W$4:W1673&lt;=I370),1),W$4:W1673))-K370),1,
ROUNDDOWN(Y370-INDEX(K$4:K1673,MATCH(LARGE(FILTER(I$4:I1673,I$4:I1673&lt;=W370),1),I$4:I1673))-(W370-LARGE(FILTER(I$4:I"&amp;"1673,I$4:I1673&lt;=W370),1))*INDEX(F$4:F1673,MATCH(LARGE(FILTER(I$4:I1673,I$4:I1673&lt;=W370),1),I$4:I1673))))"),8.1529237E7)</f>
        <v>81529237</v>
      </c>
      <c r="N370" s="60">
        <f t="shared" si="8"/>
        <v>-155.05338</v>
      </c>
      <c r="O370" s="61" t="str">
        <f t="shared" si="9"/>
        <v>81,5M</v>
      </c>
      <c r="P370" s="56">
        <f t="shared" si="10"/>
        <v>9</v>
      </c>
      <c r="Q370" s="105" t="s">
        <v>9</v>
      </c>
      <c r="R370" s="10"/>
      <c r="S370" s="59">
        <f t="array" ref="S370">IF(COUNTA(Q370:Q1673)=0,"",SUM((COUNTIF(Q$4:Q370,Upgrades!$B$3:$B$13)-COUNTIF(Q$4:Q370,"Sell_"&amp;Upgrades!$B$3:$B$13))*Upgrades!$D$3:$D$13))</f>
        <v>514085.4</v>
      </c>
      <c r="T370" s="66">
        <f>IFERROR(__xludf.DUMMYFUNCTION("IF(COUNTA(Q370:Q1673)=0,"""",IF(REGEXMATCH(INDEX(FILTER(Q$4:Q370,Q$4:Q370&lt;&gt;""""),ROWS(FILTER(Q$4:Q370,Q$4:Q370&lt;&gt;""""))),""^Sell_""),INDEX(FILTER(T$4:T369,Q$4:Q369&lt;&gt;""""),ROWS(FILTER(Q$4:Q369,Q$4:Q369&lt;&gt;""""))),$AD$5+S370))"),514100.4)</f>
        <v>514100.4</v>
      </c>
      <c r="U370" s="10">
        <f>IFERROR(__xludf.DUMMYFUNCTION("IF(COUNTA(Q370:Q1673)=0,"""",IF(Q370="""",0,IF(REGEXMATCH(Q370,""^Sell_""),-ROUNDDOWN(ROUNDUP(INDEX(Upgrades!$C$3:$C$13,MATCH(SUBSTITUTE(Q370,""Sell_"",""""),Upgrades!$B$3:$B$13,0))*1.15^(COUNTIF(Q$4:Q369,SUBSTITUTE(Q370,""Sell_"",""""))-COUNTIF(Q$4:Q369,"&amp;"""Sell_""&amp;SUBSTITUTE(Q370,""Sell_"",""""))))/2),ROUNDUP(INDEX(Upgrades!$C$3:$C$13,MATCH(Q370,Upgrades!$B$3:$B$13,0))*1.15^(COUNTIF(Q$4:Q369,Q370)-COUNTIF(Q$4:Q369,""Sell_""&amp;Q370))))))"),611805.0)</f>
        <v>611805</v>
      </c>
      <c r="V370" s="10">
        <f t="shared" si="11"/>
        <v>611805</v>
      </c>
      <c r="W370" s="68">
        <f t="shared" si="12"/>
        <v>7350.463969</v>
      </c>
      <c r="X370" s="59" t="str">
        <f t="shared" si="13"/>
        <v>2h 02m 30s</v>
      </c>
      <c r="Y370" s="69">
        <f t="shared" si="14"/>
        <v>815377455</v>
      </c>
      <c r="Z370" s="11"/>
    </row>
    <row r="371">
      <c r="A371" s="8"/>
      <c r="B371" s="56" t="str">
        <f t="shared" si="2"/>
        <v/>
      </c>
      <c r="C371" s="105"/>
      <c r="D371" s="10"/>
      <c r="E371" s="59" t="str">
        <f t="array" ref="E371">IF(COUNTA(C371:C1673)=0,"",SUM((COUNTIF(C$4:C371,Upgrades!$B$3:$B$13)-COUNTIF(C$4:C371,"Sell_"&amp;Upgrades!$B$3:$B$13))*Upgrades!$D$3:$D$13))</f>
        <v/>
      </c>
      <c r="F371" s="66" t="str">
        <f>IFERROR(__xludf.DUMMYFUNCTION("IF(COUNTA(C371:C1673)=0,"""",IF(REGEXMATCH(INDEX(FILTER(C$4:C371,C$4:C371&lt;&gt;""""),ROWS(FILTER(C$4:C371,C$4:C371&lt;&gt;""""))),""^Sell_""),INDEX(FILTER(F$4:F370,C$4:C370&lt;&gt;""""),ROWS(FILTER(C$4:C370,C$4:C370&lt;&gt;""""))),$AC$5+E371))"),"")</f>
        <v/>
      </c>
      <c r="G371" s="10" t="str">
        <f>IFERROR(__xludf.DUMMYFUNCTION("IF(COUNTA(C371:C1673)=0,"""",IF(C371="""",0,IF(REGEXMATCH(C371,""^Sell_""),-ROUNDDOWN(ROUNDUP(INDEX(Upgrades!$C$3:$C$13,MATCH(SUBSTITUTE(C371,""Sell_"",""""),Upgrades!$B$3:$B$13,0))*1.15^(COUNTIF(C$4:C370,SUBSTITUTE(C371,""Sell_"",""""))-COUNTIF(C$4:C370,"&amp;"""Sell_""&amp;SUBSTITUTE(C371,""Sell_"",""""))))/2),ROUNDUP(INDEX(Upgrades!$C$3:$C$13,MATCH(C371,Upgrades!$B$3:$B$13,0))*1.15^(COUNTIF(C$4:C370,C371)-COUNTIF(C$4:C370,""Sell_""&amp;C371))))))"),"")</f>
        <v/>
      </c>
      <c r="H371" s="10" t="str">
        <f t="shared" si="3"/>
        <v/>
      </c>
      <c r="I371" s="68" t="str">
        <f t="shared" si="4"/>
        <v/>
      </c>
      <c r="J371" s="59" t="str">
        <f t="shared" si="5"/>
        <v/>
      </c>
      <c r="K371" s="69" t="str">
        <f t="shared" si="6"/>
        <v/>
      </c>
      <c r="L371" s="60">
        <f t="shared" si="7"/>
        <v>-155.04078</v>
      </c>
      <c r="M371" s="61">
        <f>IFERROR(__xludf.DUMMYFUNCTION("IFS(AND(COUNTA(C371:C1673)=0,COUNTA(Q371:Q1673)=0),"""",OR(AND(K371&gt;=1000000000,OR(Y371&gt;=1000000000,COUNTA(Q371:Q1673)=0)),OR(Y371&gt;=1000000000,AND(COUNTA(C371:C1673)=0,P$3=TRUE))),
ROUNDDOWN((AB$1-AC$1)*MAX(INDEX(T$4:T1673,MATCH(LARGE(FILTER(Y$4:Y1673,Y$4"&amp;":Y1673&lt;1000000000),1),Y$4:Y1673)),INDEX(F$4:F1673,MATCH(LARGE(FILTER(K$4:K1673,K$4:K1673&lt;1000000000),1),K$4:K1673)))),AND(K371&lt;1000000000,COUNTA(C371:C1673)&gt;0,P$3=FALSE),
ROUNDDOWN(INDEX(Y$4:Y1673,MATCH(LARGE(FILTER(W$4:W1673,W$4:W1673&lt;=I371),1),W$4:W1673"&amp;"))+(I371-LARGE(FILTER(W$4:W1673,W$4:W1673&lt;=I371),1))*INDEX(T$4:T1673,MATCH(LARGE(FILTER(W$4:W1673,W$4:W1673&lt;=I371),1),W$4:W1673))-K371),1,
ROUNDDOWN(Y371-INDEX(K$4:K1673,MATCH(LARGE(FILTER(I$4:I1673,I$4:I1673&lt;=W371),1),I$4:I1673))-(W371-LARGE(FILTER(I$4:I"&amp;"1673,I$4:I1673&lt;=W371),1))*INDEX(F$4:F1673,MATCH(LARGE(FILTER(I$4:I1673,I$4:I1673&lt;=W371),1),I$4:I1673))))"),8.1528785E7)</f>
        <v>81528785</v>
      </c>
      <c r="N371" s="60">
        <f t="shared" si="8"/>
        <v>-155.04078</v>
      </c>
      <c r="O371" s="61" t="str">
        <f t="shared" si="9"/>
        <v>81,5M</v>
      </c>
      <c r="P371" s="56">
        <f t="shared" si="10"/>
        <v>11</v>
      </c>
      <c r="Q371" s="105" t="s">
        <v>8</v>
      </c>
      <c r="R371" s="10"/>
      <c r="S371" s="59">
        <f t="array" ref="S371">IF(COUNTA(Q371:Q1673)=0,"",SUM((COUNTIF(Q$4:Q371,Upgrades!$B$3:$B$13)-COUNTIF(Q$4:Q371,"Sell_"&amp;Upgrades!$B$3:$B$13))*Upgrades!$D$3:$D$13))</f>
        <v>514185.4</v>
      </c>
      <c r="T371" s="66">
        <f>IFERROR(__xludf.DUMMYFUNCTION("IF(COUNTA(Q371:Q1673)=0,"""",IF(REGEXMATCH(INDEX(FILTER(Q$4:Q371,Q$4:Q371&lt;&gt;""""),ROWS(FILTER(Q$4:Q371,Q$4:Q371&lt;&gt;""""))),""^Sell_""),INDEX(FILTER(T$4:T370,Q$4:Q370&lt;&gt;""""),ROWS(FILTER(Q$4:Q370,Q$4:Q370&lt;&gt;""""))),$AD$5+S371))"),514200.4)</f>
        <v>514200.4</v>
      </c>
      <c r="U371" s="10">
        <f>IFERROR(__xludf.DUMMYFUNCTION("IF(COUNTA(Q371:Q1673)=0,"""",IF(Q371="""",0,IF(REGEXMATCH(Q371,""^Sell_""),-ROUNDDOWN(ROUNDUP(INDEX(Upgrades!$C$3:$C$13,MATCH(SUBSTITUTE(Q371,""Sell_"",""""),Upgrades!$B$3:$B$13,0))*1.15^(COUNTIF(Q$4:Q370,SUBSTITUTE(Q371,""Sell_"",""""))-COUNTIF(Q$4:Q370,"&amp;"""Sell_""&amp;SUBSTITUTE(Q371,""Sell_"",""""))))/2),ROUNDUP(INDEX(Upgrades!$C$3:$C$13,MATCH(Q371,Upgrades!$B$3:$B$13,0))*1.15^(COUNTIF(Q$4:Q370,Q371)-COUNTIF(Q$4:Q370,""Sell_""&amp;Q371))))))"),161823.0)</f>
        <v>161823</v>
      </c>
      <c r="V371" s="10">
        <f t="shared" si="11"/>
        <v>161823</v>
      </c>
      <c r="W371" s="68">
        <f t="shared" si="12"/>
        <v>7350.778738</v>
      </c>
      <c r="X371" s="59" t="str">
        <f t="shared" si="13"/>
        <v>2h 02m 30s</v>
      </c>
      <c r="Y371" s="69">
        <f t="shared" si="14"/>
        <v>815539278</v>
      </c>
      <c r="Z371" s="11"/>
    </row>
    <row r="372">
      <c r="A372" s="8"/>
      <c r="B372" s="56" t="str">
        <f t="shared" si="2"/>
        <v/>
      </c>
      <c r="C372" s="105"/>
      <c r="D372" s="10"/>
      <c r="E372" s="59" t="str">
        <f t="array" ref="E372">IF(COUNTA(C372:C1673)=0,"",SUM((COUNTIF(C$4:C372,Upgrades!$B$3:$B$13)-COUNTIF(C$4:C372,"Sell_"&amp;Upgrades!$B$3:$B$13))*Upgrades!$D$3:$D$13))</f>
        <v/>
      </c>
      <c r="F372" s="66" t="str">
        <f>IFERROR(__xludf.DUMMYFUNCTION("IF(COUNTA(C372:C1673)=0,"""",IF(REGEXMATCH(INDEX(FILTER(C$4:C372,C$4:C372&lt;&gt;""""),ROWS(FILTER(C$4:C372,C$4:C372&lt;&gt;""""))),""^Sell_""),INDEX(FILTER(F$4:F371,C$4:C371&lt;&gt;""""),ROWS(FILTER(C$4:C371,C$4:C371&lt;&gt;""""))),$AC$5+E372))"),"")</f>
        <v/>
      </c>
      <c r="G372" s="10" t="str">
        <f>IFERROR(__xludf.DUMMYFUNCTION("IF(COUNTA(C372:C1673)=0,"""",IF(C372="""",0,IF(REGEXMATCH(C372,""^Sell_""),-ROUNDDOWN(ROUNDUP(INDEX(Upgrades!$C$3:$C$13,MATCH(SUBSTITUTE(C372,""Sell_"",""""),Upgrades!$B$3:$B$13,0))*1.15^(COUNTIF(C$4:C371,SUBSTITUTE(C372,""Sell_"",""""))-COUNTIF(C$4:C371,"&amp;"""Sell_""&amp;SUBSTITUTE(C372,""Sell_"",""""))))/2),ROUNDUP(INDEX(Upgrades!$C$3:$C$13,MATCH(C372,Upgrades!$B$3:$B$13,0))*1.15^(COUNTIF(C$4:C371,C372)-COUNTIF(C$4:C371,""Sell_""&amp;C372))))))"),"")</f>
        <v/>
      </c>
      <c r="H372" s="10" t="str">
        <f t="shared" si="3"/>
        <v/>
      </c>
      <c r="I372" s="68" t="str">
        <f t="shared" si="4"/>
        <v/>
      </c>
      <c r="J372" s="59" t="str">
        <f t="shared" si="5"/>
        <v/>
      </c>
      <c r="K372" s="69" t="str">
        <f t="shared" si="6"/>
        <v/>
      </c>
      <c r="L372" s="60">
        <f t="shared" si="7"/>
        <v>-154.98627</v>
      </c>
      <c r="M372" s="61">
        <f>IFERROR(__xludf.DUMMYFUNCTION("IFS(AND(COUNTA(C372:C1673)=0,COUNTA(Q372:Q1673)=0),"""",OR(AND(K372&gt;=1000000000,OR(Y372&gt;=1000000000,COUNTA(Q372:Q1673)=0)),OR(Y372&gt;=1000000000,AND(COUNTA(C372:C1673)=0,P$3=TRUE))),
ROUNDDOWN((AB$1-AC$1)*MAX(INDEX(T$4:T1673,MATCH(LARGE(FILTER(Y$4:Y1673,Y$4"&amp;":Y1673&lt;1000000000),1),Y$4:Y1673)),INDEX(F$4:F1673,MATCH(LARGE(FILTER(K$4:K1673,K$4:K1673&lt;1000000000),1),K$4:K1673)))),AND(K372&lt;1000000000,COUNTA(C372:C1673)&gt;0,P$3=FALSE),
ROUNDDOWN(INDEX(Y$4:Y1673,MATCH(LARGE(FILTER(W$4:W1673,W$4:W1673&lt;=I372),1),W$4:W1673"&amp;"))+(I372-LARGE(FILTER(W$4:W1673,W$4:W1673&lt;=I372),1))*INDEX(T$4:T1673,MATCH(LARGE(FILTER(W$4:W1673,W$4:W1673&lt;=I372),1),W$4:W1673))-K372),1,
ROUNDDOWN(Y372-INDEX(K$4:K1673,MATCH(LARGE(FILTER(I$4:I1673,I$4:I1673&lt;=W372),1),I$4:I1673))-(W372-LARGE(FILTER(I$4:I"&amp;"1673,I$4:I1673&lt;=W372),1))*INDEX(F$4:F1673,MATCH(LARGE(FILTER(I$4:I1673,I$4:I1673&lt;=W372),1),I$4:I1673))))"),8.1526956E7)</f>
        <v>81526956</v>
      </c>
      <c r="N372" s="60">
        <f t="shared" si="8"/>
        <v>-154.98627</v>
      </c>
      <c r="O372" s="61" t="str">
        <f t="shared" si="9"/>
        <v>81,5M</v>
      </c>
      <c r="P372" s="56">
        <f t="shared" si="10"/>
        <v>10</v>
      </c>
      <c r="Q372" s="105" t="s">
        <v>9</v>
      </c>
      <c r="R372" s="10"/>
      <c r="S372" s="59">
        <f t="array" ref="S372">IF(COUNTA(Q372:Q1673)=0,"",SUM((COUNTIF(Q$4:Q372,Upgrades!$B$3:$B$13)-COUNTIF(Q$4:Q372,"Sell_"&amp;Upgrades!$B$3:$B$13))*Upgrades!$D$3:$D$13))</f>
        <v>514585.4</v>
      </c>
      <c r="T372" s="66">
        <f>IFERROR(__xludf.DUMMYFUNCTION("IF(COUNTA(Q372:Q1673)=0,"""",IF(REGEXMATCH(INDEX(FILTER(Q$4:Q372,Q$4:Q372&lt;&gt;""""),ROWS(FILTER(Q$4:Q372,Q$4:Q372&lt;&gt;""""))),""^Sell_""),INDEX(FILTER(T$4:T371,Q$4:Q371&lt;&gt;""""),ROWS(FILTER(Q$4:Q371,Q$4:Q371&lt;&gt;""""))),$AD$5+S372))"),514600.4)</f>
        <v>514600.4</v>
      </c>
      <c r="U372" s="10">
        <f>IFERROR(__xludf.DUMMYFUNCTION("IF(COUNTA(Q372:Q1673)=0,"""",IF(Q372="""",0,IF(REGEXMATCH(Q372,""^Sell_""),-ROUNDDOWN(ROUNDUP(INDEX(Upgrades!$C$3:$C$13,MATCH(SUBSTITUTE(Q372,""Sell_"",""""),Upgrades!$B$3:$B$13,0))*1.15^(COUNTIF(Q$4:Q371,SUBSTITUTE(Q372,""Sell_"",""""))-COUNTIF(Q$4:Q371,"&amp;"""Sell_""&amp;SUBSTITUTE(Q372,""Sell_"",""""))))/2),ROUNDUP(INDEX(Upgrades!$C$3:$C$13,MATCH(Q372,Upgrades!$B$3:$B$13,0))*1.15^(COUNTIF(Q$4:Q371,Q372)-COUNTIF(Q$4:Q371,""Sell_""&amp;Q372))))))"),703576.0)</f>
        <v>703576</v>
      </c>
      <c r="V372" s="10">
        <f t="shared" si="11"/>
        <v>703576</v>
      </c>
      <c r="W372" s="68">
        <f t="shared" si="12"/>
        <v>7352.147029</v>
      </c>
      <c r="X372" s="59" t="str">
        <f t="shared" si="13"/>
        <v>2h 02m 32s</v>
      </c>
      <c r="Y372" s="69">
        <f t="shared" si="14"/>
        <v>816242854</v>
      </c>
      <c r="Z372" s="11"/>
    </row>
    <row r="373">
      <c r="A373" s="8"/>
      <c r="B373" s="56" t="str">
        <f t="shared" si="2"/>
        <v/>
      </c>
      <c r="C373" s="105"/>
      <c r="D373" s="10"/>
      <c r="E373" s="59" t="str">
        <f t="array" ref="E373">IF(COUNTA(C373:C1673)=0,"",SUM((COUNTIF(C$4:C373,Upgrades!$B$3:$B$13)-COUNTIF(C$4:C373,"Sell_"&amp;Upgrades!$B$3:$B$13))*Upgrades!$D$3:$D$13))</f>
        <v/>
      </c>
      <c r="F373" s="66" t="str">
        <f>IFERROR(__xludf.DUMMYFUNCTION("IF(COUNTA(C373:C1673)=0,"""",IF(REGEXMATCH(INDEX(FILTER(C$4:C373,C$4:C373&lt;&gt;""""),ROWS(FILTER(C$4:C373,C$4:C373&lt;&gt;""""))),""^Sell_""),INDEX(FILTER(F$4:F372,C$4:C372&lt;&gt;""""),ROWS(FILTER(C$4:C372,C$4:C372&lt;&gt;""""))),$AC$5+E373))"),"")</f>
        <v/>
      </c>
      <c r="G373" s="10" t="str">
        <f>IFERROR(__xludf.DUMMYFUNCTION("IF(COUNTA(C373:C1673)=0,"""",IF(C373="""",0,IF(REGEXMATCH(C373,""^Sell_""),-ROUNDDOWN(ROUNDUP(INDEX(Upgrades!$C$3:$C$13,MATCH(SUBSTITUTE(C373,""Sell_"",""""),Upgrades!$B$3:$B$13,0))*1.15^(COUNTIF(C$4:C372,SUBSTITUTE(C373,""Sell_"",""""))-COUNTIF(C$4:C372,"&amp;"""Sell_""&amp;SUBSTITUTE(C373,""Sell_"",""""))))/2),ROUNDUP(INDEX(Upgrades!$C$3:$C$13,MATCH(C373,Upgrades!$B$3:$B$13,0))*1.15^(COUNTIF(C$4:C372,C373)-COUNTIF(C$4:C372,""Sell_""&amp;C373))))))"),"")</f>
        <v/>
      </c>
      <c r="H373" s="10" t="str">
        <f t="shared" si="3"/>
        <v/>
      </c>
      <c r="I373" s="68" t="str">
        <f t="shared" si="4"/>
        <v/>
      </c>
      <c r="J373" s="59" t="str">
        <f t="shared" si="5"/>
        <v/>
      </c>
      <c r="K373" s="69" t="str">
        <f t="shared" si="6"/>
        <v/>
      </c>
      <c r="L373" s="60">
        <f t="shared" si="7"/>
        <v>-154.97213</v>
      </c>
      <c r="M373" s="61">
        <f>IFERROR(__xludf.DUMMYFUNCTION("IFS(AND(COUNTA(C373:C1673)=0,COUNTA(Q373:Q1673)=0),"""",OR(AND(K373&gt;=1000000000,OR(Y373&gt;=1000000000,COUNTA(Q373:Q1673)=0)),OR(Y373&gt;=1000000000,AND(COUNTA(C373:C1673)=0,P$3=TRUE))),
ROUNDDOWN((AB$1-AC$1)*MAX(INDEX(T$4:T1673,MATCH(LARGE(FILTER(Y$4:Y1673,Y$4"&amp;":Y1673&lt;1000000000),1),Y$4:Y1673)),INDEX(F$4:F1673,MATCH(LARGE(FILTER(K$4:K1673,K$4:K1673&lt;1000000000),1),K$4:K1673)))),AND(K373&lt;1000000000,COUNTA(C373:C1673)&gt;0,P$3=FALSE),
ROUNDDOWN(INDEX(Y$4:Y1673,MATCH(LARGE(FILTER(W$4:W1673,W$4:W1673&lt;=I373),1),W$4:W1673"&amp;"))+(I373-LARGE(FILTER(W$4:W1673,W$4:W1673&lt;=I373),1))*INDEX(T$4:T1673,MATCH(LARGE(FILTER(W$4:W1673,W$4:W1673&lt;=I373),1),W$4:W1673))-K373),1,
ROUNDDOWN(Y373-INDEX(K$4:K1673,MATCH(LARGE(FILTER(I$4:I1673,I$4:I1673&lt;=W373),1),I$4:I1673))-(W373-LARGE(FILTER(I$4:I"&amp;"1673,I$4:I1673&lt;=W373),1))*INDEX(F$4:F1673,MATCH(LARGE(FILTER(I$4:I1673,I$4:I1673&lt;=W373),1),I$4:I1673))))"),8.1526618E7)</f>
        <v>81526618</v>
      </c>
      <c r="N373" s="60">
        <f t="shared" si="8"/>
        <v>-154.97213</v>
      </c>
      <c r="O373" s="61" t="str">
        <f t="shared" si="9"/>
        <v>81,5M</v>
      </c>
      <c r="P373" s="56">
        <f t="shared" si="10"/>
        <v>12</v>
      </c>
      <c r="Q373" s="105" t="s">
        <v>8</v>
      </c>
      <c r="R373" s="10"/>
      <c r="S373" s="59">
        <f t="array" ref="S373">IF(COUNTA(Q373:Q1673)=0,"",SUM((COUNTIF(Q$4:Q373,Upgrades!$B$3:$B$13)-COUNTIF(Q$4:Q373,"Sell_"&amp;Upgrades!$B$3:$B$13))*Upgrades!$D$3:$D$13))</f>
        <v>514685.4</v>
      </c>
      <c r="T373" s="66">
        <f>IFERROR(__xludf.DUMMYFUNCTION("IF(COUNTA(Q373:Q1673)=0,"""",IF(REGEXMATCH(INDEX(FILTER(Q$4:Q373,Q$4:Q373&lt;&gt;""""),ROWS(FILTER(Q$4:Q373,Q$4:Q373&lt;&gt;""""))),""^Sell_""),INDEX(FILTER(T$4:T372,Q$4:Q372&lt;&gt;""""),ROWS(FILTER(Q$4:Q372,Q$4:Q372&lt;&gt;""""))),$AD$5+S373))"),514700.4)</f>
        <v>514700.4</v>
      </c>
      <c r="U373" s="10">
        <f>IFERROR(__xludf.DUMMYFUNCTION("IF(COUNTA(Q373:Q1673)=0,"""",IF(Q373="""",0,IF(REGEXMATCH(Q373,""^Sell_""),-ROUNDDOWN(ROUNDUP(INDEX(Upgrades!$C$3:$C$13,MATCH(SUBSTITUTE(Q373,""Sell_"",""""),Upgrades!$B$3:$B$13,0))*1.15^(COUNTIF(Q$4:Q372,SUBSTITUTE(Q373,""Sell_"",""""))-COUNTIF(Q$4:Q372,"&amp;"""Sell_""&amp;SUBSTITUTE(Q373,""Sell_"",""""))))/2),ROUNDUP(INDEX(Upgrades!$C$3:$C$13,MATCH(Q373,Upgrades!$B$3:$B$13,0))*1.15^(COUNTIF(Q$4:Q372,Q373)-COUNTIF(Q$4:Q372,""Sell_""&amp;Q373))))))"),186096.0)</f>
        <v>186096</v>
      </c>
      <c r="V373" s="10">
        <f t="shared" si="11"/>
        <v>186096</v>
      </c>
      <c r="W373" s="68">
        <f t="shared" si="12"/>
        <v>7352.508661</v>
      </c>
      <c r="X373" s="59" t="str">
        <f t="shared" si="13"/>
        <v>2h 02m 32s</v>
      </c>
      <c r="Y373" s="69">
        <f t="shared" si="14"/>
        <v>816428950</v>
      </c>
      <c r="Z373" s="11"/>
    </row>
    <row r="374">
      <c r="A374" s="8"/>
      <c r="B374" s="56" t="str">
        <f t="shared" si="2"/>
        <v/>
      </c>
      <c r="C374" s="105"/>
      <c r="D374" s="10"/>
      <c r="E374" s="59" t="str">
        <f t="array" ref="E374">IF(COUNTA(C374:C1673)=0,"",SUM((COUNTIF(C$4:C374,Upgrades!$B$3:$B$13)-COUNTIF(C$4:C374,"Sell_"&amp;Upgrades!$B$3:$B$13))*Upgrades!$D$3:$D$13))</f>
        <v/>
      </c>
      <c r="F374" s="66" t="str">
        <f>IFERROR(__xludf.DUMMYFUNCTION("IF(COUNTA(C374:C1673)=0,"""",IF(REGEXMATCH(INDEX(FILTER(C$4:C374,C$4:C374&lt;&gt;""""),ROWS(FILTER(C$4:C374,C$4:C374&lt;&gt;""""))),""^Sell_""),INDEX(FILTER(F$4:F373,C$4:C373&lt;&gt;""""),ROWS(FILTER(C$4:C373,C$4:C373&lt;&gt;""""))),$AC$5+E374))"),"")</f>
        <v/>
      </c>
      <c r="G374" s="10" t="str">
        <f>IFERROR(__xludf.DUMMYFUNCTION("IF(COUNTA(C374:C1673)=0,"""",IF(C374="""",0,IF(REGEXMATCH(C374,""^Sell_""),-ROUNDDOWN(ROUNDUP(INDEX(Upgrades!$C$3:$C$13,MATCH(SUBSTITUTE(C374,""Sell_"",""""),Upgrades!$B$3:$B$13,0))*1.15^(COUNTIF(C$4:C373,SUBSTITUTE(C374,""Sell_"",""""))-COUNTIF(C$4:C373,"&amp;"""Sell_""&amp;SUBSTITUTE(C374,""Sell_"",""""))))/2),ROUNDUP(INDEX(Upgrades!$C$3:$C$13,MATCH(C374,Upgrades!$B$3:$B$13,0))*1.15^(COUNTIF(C$4:C373,C374)-COUNTIF(C$4:C373,""Sell_""&amp;C374))))))"),"")</f>
        <v/>
      </c>
      <c r="H374" s="10" t="str">
        <f t="shared" si="3"/>
        <v/>
      </c>
      <c r="I374" s="68" t="str">
        <f t="shared" si="4"/>
        <v/>
      </c>
      <c r="J374" s="59" t="str">
        <f t="shared" si="5"/>
        <v/>
      </c>
      <c r="K374" s="69" t="str">
        <f t="shared" si="6"/>
        <v/>
      </c>
      <c r="L374" s="60">
        <f t="shared" si="7"/>
        <v>-154.91098</v>
      </c>
      <c r="M374" s="61">
        <f>IFERROR(__xludf.DUMMYFUNCTION("IFS(AND(COUNTA(C374:C1673)=0,COUNTA(Q374:Q1673)=0),"""",OR(AND(K374&gt;=1000000000,OR(Y374&gt;=1000000000,COUNTA(Q374:Q1673)=0)),OR(Y374&gt;=1000000000,AND(COUNTA(C374:C1673)=0,P$3=TRUE))),
ROUNDDOWN((AB$1-AC$1)*MAX(INDEX(T$4:T1673,MATCH(LARGE(FILTER(Y$4:Y1673,Y$4"&amp;":Y1673&lt;1000000000),1),Y$4:Y1673)),INDEX(F$4:F1673,MATCH(LARGE(FILTER(K$4:K1673,K$4:K1673&lt;1000000000),1),K$4:K1673)))),AND(K374&lt;1000000000,COUNTA(C374:C1673)&gt;0,P$3=FALSE),
ROUNDDOWN(INDEX(Y$4:Y1673,MATCH(LARGE(FILTER(W$4:W1673,W$4:W1673&lt;=I374),1),W$4:W1673"&amp;"))+(I374-LARGE(FILTER(W$4:W1673,W$4:W1673&lt;=I374),1))*INDEX(T$4:T1673,MATCH(LARGE(FILTER(W$4:W1673,W$4:W1673&lt;=I374),1),W$4:W1673))-K374),1,
ROUNDDOWN(Y374-INDEX(K$4:K1673,MATCH(LARGE(FILTER(I$4:I1673,I$4:I1673&lt;=W374),1),I$4:I1673))-(W374-LARGE(FILTER(I$4:I"&amp;"1673,I$4:I1673&lt;=W374),1))*INDEX(F$4:F1673,MATCH(LARGE(FILTER(I$4:I1673,I$4:I1673&lt;=W374),1),I$4:I1673))))"),8.1525303E7)</f>
        <v>81525303</v>
      </c>
      <c r="N374" s="60">
        <f t="shared" si="8"/>
        <v>-154.91098</v>
      </c>
      <c r="O374" s="61" t="str">
        <f t="shared" si="9"/>
        <v>81,5M</v>
      </c>
      <c r="P374" s="56">
        <f t="shared" si="10"/>
        <v>11</v>
      </c>
      <c r="Q374" s="105" t="s">
        <v>9</v>
      </c>
      <c r="R374" s="10"/>
      <c r="S374" s="59">
        <f t="array" ref="S374">IF(COUNTA(Q374:Q1673)=0,"",SUM((COUNTIF(Q$4:Q374,Upgrades!$B$3:$B$13)-COUNTIF(Q$4:Q374,"Sell_"&amp;Upgrades!$B$3:$B$13))*Upgrades!$D$3:$D$13))</f>
        <v>515085.4</v>
      </c>
      <c r="T374" s="66">
        <f>IFERROR(__xludf.DUMMYFUNCTION("IF(COUNTA(Q374:Q1673)=0,"""",IF(REGEXMATCH(INDEX(FILTER(Q$4:Q374,Q$4:Q374&lt;&gt;""""),ROWS(FILTER(Q$4:Q374,Q$4:Q374&lt;&gt;""""))),""^Sell_""),INDEX(FILTER(T$4:T373,Q$4:Q373&lt;&gt;""""),ROWS(FILTER(Q$4:Q373,Q$4:Q373&lt;&gt;""""))),$AD$5+S374))"),515100.4)</f>
        <v>515100.4</v>
      </c>
      <c r="U374" s="10">
        <f>IFERROR(__xludf.DUMMYFUNCTION("IF(COUNTA(Q374:Q1673)=0,"""",IF(Q374="""",0,IF(REGEXMATCH(Q374,""^Sell_""),-ROUNDDOWN(ROUNDUP(INDEX(Upgrades!$C$3:$C$13,MATCH(SUBSTITUTE(Q374,""Sell_"",""""),Upgrades!$B$3:$B$13,0))*1.15^(COUNTIF(Q$4:Q373,SUBSTITUTE(Q374,""Sell_"",""""))-COUNTIF(Q$4:Q373,"&amp;"""Sell_""&amp;SUBSTITUTE(Q374,""Sell_"",""""))))/2),ROUNDUP(INDEX(Upgrades!$C$3:$C$13,MATCH(Q374,Upgrades!$B$3:$B$13,0))*1.15^(COUNTIF(Q$4:Q373,Q374)-COUNTIF(Q$4:Q373,""Sell_""&amp;Q374))))))"),809112.0)</f>
        <v>809112</v>
      </c>
      <c r="V374" s="10">
        <f t="shared" si="11"/>
        <v>809112</v>
      </c>
      <c r="W374" s="68">
        <f t="shared" si="12"/>
        <v>7354.080667</v>
      </c>
      <c r="X374" s="59" t="str">
        <f t="shared" si="13"/>
        <v>2h 02m 34s</v>
      </c>
      <c r="Y374" s="69">
        <f t="shared" si="14"/>
        <v>817238062</v>
      </c>
      <c r="Z374" s="11"/>
    </row>
    <row r="375">
      <c r="A375" s="8"/>
      <c r="B375" s="56" t="str">
        <f t="shared" si="2"/>
        <v/>
      </c>
      <c r="C375" s="105"/>
      <c r="D375" s="10"/>
      <c r="E375" s="59" t="str">
        <f t="array" ref="E375">IF(COUNTA(C375:C1673)=0,"",SUM((COUNTIF(C$4:C375,Upgrades!$B$3:$B$13)-COUNTIF(C$4:C375,"Sell_"&amp;Upgrades!$B$3:$B$13))*Upgrades!$D$3:$D$13))</f>
        <v/>
      </c>
      <c r="F375" s="66" t="str">
        <f>IFERROR(__xludf.DUMMYFUNCTION("IF(COUNTA(C375:C1673)=0,"""",IF(REGEXMATCH(INDEX(FILTER(C$4:C375,C$4:C375&lt;&gt;""""),ROWS(FILTER(C$4:C375,C$4:C375&lt;&gt;""""))),""^Sell_""),INDEX(FILTER(F$4:F374,C$4:C374&lt;&gt;""""),ROWS(FILTER(C$4:C374,C$4:C374&lt;&gt;""""))),$AC$5+E375))"),"")</f>
        <v/>
      </c>
      <c r="G375" s="10" t="str">
        <f>IFERROR(__xludf.DUMMYFUNCTION("IF(COUNTA(C375:C1673)=0,"""",IF(C375="""",0,IF(REGEXMATCH(C375,""^Sell_""),-ROUNDDOWN(ROUNDUP(INDEX(Upgrades!$C$3:$C$13,MATCH(SUBSTITUTE(C375,""Sell_"",""""),Upgrades!$B$3:$B$13,0))*1.15^(COUNTIF(C$4:C374,SUBSTITUTE(C375,""Sell_"",""""))-COUNTIF(C$4:C374,"&amp;"""Sell_""&amp;SUBSTITUTE(C375,""Sell_"",""""))))/2),ROUNDUP(INDEX(Upgrades!$C$3:$C$13,MATCH(C375,Upgrades!$B$3:$B$13,0))*1.15^(COUNTIF(C$4:C374,C375)-COUNTIF(C$4:C374,""Sell_""&amp;C375))))))"),"")</f>
        <v/>
      </c>
      <c r="H375" s="10" t="str">
        <f t="shared" si="3"/>
        <v/>
      </c>
      <c r="I375" s="68" t="str">
        <f t="shared" si="4"/>
        <v/>
      </c>
      <c r="J375" s="59" t="str">
        <f t="shared" si="5"/>
        <v/>
      </c>
      <c r="K375" s="69" t="str">
        <f t="shared" si="6"/>
        <v/>
      </c>
      <c r="L375" s="60">
        <f t="shared" si="7"/>
        <v>-154.89512</v>
      </c>
      <c r="M375" s="61">
        <f>IFERROR(__xludf.DUMMYFUNCTION("IFS(AND(COUNTA(C375:C1673)=0,COUNTA(Q375:Q1673)=0),"""",OR(AND(K375&gt;=1000000000,OR(Y375&gt;=1000000000,COUNTA(Q375:Q1673)=0)),OR(Y375&gt;=1000000000,AND(COUNTA(C375:C1673)=0,P$3=TRUE))),
ROUNDDOWN((AB$1-AC$1)*MAX(INDEX(T$4:T1673,MATCH(LARGE(FILTER(Y$4:Y1673,Y$4"&amp;":Y1673&lt;1000000000),1),Y$4:Y1673)),INDEX(F$4:F1673,MATCH(LARGE(FILTER(K$4:K1673,K$4:K1673&lt;1000000000),1),K$4:K1673)))),AND(K375&lt;1000000000,COUNTA(C375:C1673)&gt;0,P$3=FALSE),
ROUNDDOWN(INDEX(Y$4:Y1673,MATCH(LARGE(FILTER(W$4:W1673,W$4:W1673&lt;=I375),1),W$4:W1673"&amp;"))+(I375-LARGE(FILTER(W$4:W1673,W$4:W1673&lt;=I375),1))*INDEX(T$4:T1673,MATCH(LARGE(FILTER(W$4:W1673,W$4:W1673&lt;=I375),1),W$4:W1673))-K375),1,
ROUNDDOWN(Y375-INDEX(K$4:K1673,MATCH(LARGE(FILTER(I$4:I1673,I$4:I1673&lt;=W375),1),I$4:I1673))-(W375-LARGE(FILTER(I$4:I"&amp;"1673,I$4:I1673&lt;=W375),1))*INDEX(F$4:F1673,MATCH(LARGE(FILTER(I$4:I1673,I$4:I1673&lt;=W375),1),I$4:I1673))))"),8.1525122E7)</f>
        <v>81525122</v>
      </c>
      <c r="N375" s="60">
        <f t="shared" si="8"/>
        <v>-154.89512</v>
      </c>
      <c r="O375" s="61" t="str">
        <f t="shared" si="9"/>
        <v>81,5M</v>
      </c>
      <c r="P375" s="56">
        <f t="shared" si="10"/>
        <v>13</v>
      </c>
      <c r="Q375" s="105" t="s">
        <v>8</v>
      </c>
      <c r="R375" s="10"/>
      <c r="S375" s="59">
        <f t="array" ref="S375">IF(COUNTA(Q375:Q1673)=0,"",SUM((COUNTIF(Q$4:Q375,Upgrades!$B$3:$B$13)-COUNTIF(Q$4:Q375,"Sell_"&amp;Upgrades!$B$3:$B$13))*Upgrades!$D$3:$D$13))</f>
        <v>515185.4</v>
      </c>
      <c r="T375" s="66">
        <f>IFERROR(__xludf.DUMMYFUNCTION("IF(COUNTA(Q375:Q1673)=0,"""",IF(REGEXMATCH(INDEX(FILTER(Q$4:Q375,Q$4:Q375&lt;&gt;""""),ROWS(FILTER(Q$4:Q375,Q$4:Q375&lt;&gt;""""))),""^Sell_""),INDEX(FILTER(T$4:T374,Q$4:Q374&lt;&gt;""""),ROWS(FILTER(Q$4:Q374,Q$4:Q374&lt;&gt;""""))),$AD$5+S375))"),515200.4)</f>
        <v>515200.4</v>
      </c>
      <c r="U375" s="10">
        <f>IFERROR(__xludf.DUMMYFUNCTION("IF(COUNTA(Q375:Q1673)=0,"""",IF(Q375="""",0,IF(REGEXMATCH(Q375,""^Sell_""),-ROUNDDOWN(ROUNDUP(INDEX(Upgrades!$C$3:$C$13,MATCH(SUBSTITUTE(Q375,""Sell_"",""""),Upgrades!$B$3:$B$13,0))*1.15^(COUNTIF(Q$4:Q374,SUBSTITUTE(Q375,""Sell_"",""""))-COUNTIF(Q$4:Q374,"&amp;"""Sell_""&amp;SUBSTITUTE(Q375,""Sell_"",""""))))/2),ROUNDUP(INDEX(Upgrades!$C$3:$C$13,MATCH(Q375,Upgrades!$B$3:$B$13,0))*1.15^(COUNTIF(Q$4:Q374,Q375)-COUNTIF(Q$4:Q374,""Sell_""&amp;Q375))))))"),214011.0)</f>
        <v>214011</v>
      </c>
      <c r="V375" s="10">
        <f t="shared" si="11"/>
        <v>214011</v>
      </c>
      <c r="W375" s="68">
        <f t="shared" si="12"/>
        <v>7354.496141</v>
      </c>
      <c r="X375" s="59" t="str">
        <f t="shared" si="13"/>
        <v>2h 02m 34s</v>
      </c>
      <c r="Y375" s="69">
        <f t="shared" si="14"/>
        <v>817452073</v>
      </c>
      <c r="Z375" s="11"/>
    </row>
    <row r="376">
      <c r="A376" s="8"/>
      <c r="B376" s="56" t="str">
        <f t="shared" si="2"/>
        <v/>
      </c>
      <c r="C376" s="105"/>
      <c r="D376" s="10"/>
      <c r="E376" s="59" t="str">
        <f t="array" ref="E376">IF(COUNTA(C376:C1673)=0,"",SUM((COUNTIF(C$4:C376,Upgrades!$B$3:$B$13)-COUNTIF(C$4:C376,"Sell_"&amp;Upgrades!$B$3:$B$13))*Upgrades!$D$3:$D$13))</f>
        <v/>
      </c>
      <c r="F376" s="66" t="str">
        <f>IFERROR(__xludf.DUMMYFUNCTION("IF(COUNTA(C376:C1673)=0,"""",IF(REGEXMATCH(INDEX(FILTER(C$4:C376,C$4:C376&lt;&gt;""""),ROWS(FILTER(C$4:C376,C$4:C376&lt;&gt;""""))),""^Sell_""),INDEX(FILTER(F$4:F375,C$4:C375&lt;&gt;""""),ROWS(FILTER(C$4:C375,C$4:C375&lt;&gt;""""))),$AC$5+E376))"),"")</f>
        <v/>
      </c>
      <c r="G376" s="10" t="str">
        <f>IFERROR(__xludf.DUMMYFUNCTION("IF(COUNTA(C376:C1673)=0,"""",IF(C376="""",0,IF(REGEXMATCH(C376,""^Sell_""),-ROUNDDOWN(ROUNDUP(INDEX(Upgrades!$C$3:$C$13,MATCH(SUBSTITUTE(C376,""Sell_"",""""),Upgrades!$B$3:$B$13,0))*1.15^(COUNTIF(C$4:C375,SUBSTITUTE(C376,""Sell_"",""""))-COUNTIF(C$4:C375,"&amp;"""Sell_""&amp;SUBSTITUTE(C376,""Sell_"",""""))))/2),ROUNDUP(INDEX(Upgrades!$C$3:$C$13,MATCH(C376,Upgrades!$B$3:$B$13,0))*1.15^(COUNTIF(C$4:C375,C376)-COUNTIF(C$4:C375,""Sell_""&amp;C376))))))"),"")</f>
        <v/>
      </c>
      <c r="H376" s="10" t="str">
        <f t="shared" si="3"/>
        <v/>
      </c>
      <c r="I376" s="68" t="str">
        <f t="shared" si="4"/>
        <v/>
      </c>
      <c r="J376" s="59" t="str">
        <f t="shared" si="5"/>
        <v/>
      </c>
      <c r="K376" s="69" t="str">
        <f t="shared" si="6"/>
        <v/>
      </c>
      <c r="L376" s="60">
        <f t="shared" si="7"/>
        <v>-154.82655</v>
      </c>
      <c r="M376" s="61">
        <f>IFERROR(__xludf.DUMMYFUNCTION("IFS(AND(COUNTA(C376:C1673)=0,COUNTA(Q376:Q1673)=0),"""",OR(AND(K376&gt;=1000000000,OR(Y376&gt;=1000000000,COUNTA(Q376:Q1673)=0)),OR(Y376&gt;=1000000000,AND(COUNTA(C376:C1673)=0,P$3=TRUE))),
ROUNDDOWN((AB$1-AC$1)*MAX(INDEX(T$4:T1673,MATCH(LARGE(FILTER(Y$4:Y1673,Y$4"&amp;":Y1673&lt;1000000000),1),Y$4:Y1673)),INDEX(F$4:F1673,MATCH(LARGE(FILTER(K$4:K1673,K$4:K1673&lt;1000000000),1),K$4:K1673)))),AND(K376&lt;1000000000,COUNTA(C376:C1673)&gt;0,P$3=FALSE),
ROUNDDOWN(INDEX(Y$4:Y1673,MATCH(LARGE(FILTER(W$4:W1673,W$4:W1673&lt;=I376),1),W$4:W1673"&amp;"))+(I376-LARGE(FILTER(W$4:W1673,W$4:W1673&lt;=I376),1))*INDEX(T$4:T1673,MATCH(LARGE(FILTER(W$4:W1673,W$4:W1673&lt;=I376),1),W$4:W1673))-K376),1,
ROUNDDOWN(Y376-INDEX(K$4:K1673,MATCH(LARGE(FILTER(I$4:I1673,I$4:I1673&lt;=W376),1),I$4:I1673))-(W376-LARGE(FILTER(I$4:I"&amp;"1673,I$4:I1673&lt;=W376),1))*INDEX(F$4:F1673,MATCH(LARGE(FILTER(I$4:I1673,I$4:I1673&lt;=W376),1),I$4:I1673))))"),8.1524515E7)</f>
        <v>81524515</v>
      </c>
      <c r="N376" s="60">
        <f t="shared" si="8"/>
        <v>-154.82655</v>
      </c>
      <c r="O376" s="61" t="str">
        <f t="shared" si="9"/>
        <v>81,5M</v>
      </c>
      <c r="P376" s="56">
        <f t="shared" si="10"/>
        <v>12</v>
      </c>
      <c r="Q376" s="105" t="s">
        <v>9</v>
      </c>
      <c r="R376" s="10"/>
      <c r="S376" s="59">
        <f t="array" ref="S376">IF(COUNTA(Q376:Q1673)=0,"",SUM((COUNTIF(Q$4:Q376,Upgrades!$B$3:$B$13)-COUNTIF(Q$4:Q376,"Sell_"&amp;Upgrades!$B$3:$B$13))*Upgrades!$D$3:$D$13))</f>
        <v>515585.4</v>
      </c>
      <c r="T376" s="66">
        <f>IFERROR(__xludf.DUMMYFUNCTION("IF(COUNTA(Q376:Q1673)=0,"""",IF(REGEXMATCH(INDEX(FILTER(Q$4:Q376,Q$4:Q376&lt;&gt;""""),ROWS(FILTER(Q$4:Q376,Q$4:Q376&lt;&gt;""""))),""^Sell_""),INDEX(FILTER(T$4:T375,Q$4:Q375&lt;&gt;""""),ROWS(FILTER(Q$4:Q375,Q$4:Q375&lt;&gt;""""))),$AD$5+S376))"),515600.4)</f>
        <v>515600.4</v>
      </c>
      <c r="U376" s="10">
        <f>IFERROR(__xludf.DUMMYFUNCTION("IF(COUNTA(Q376:Q1673)=0,"""",IF(Q376="""",0,IF(REGEXMATCH(Q376,""^Sell_""),-ROUNDDOWN(ROUNDUP(INDEX(Upgrades!$C$3:$C$13,MATCH(SUBSTITUTE(Q376,""Sell_"",""""),Upgrades!$B$3:$B$13,0))*1.15^(COUNTIF(Q$4:Q375,SUBSTITUTE(Q376,""Sell_"",""""))-COUNTIF(Q$4:Q375,"&amp;"""Sell_""&amp;SUBSTITUTE(Q376,""Sell_"",""""))))/2),ROUNDUP(INDEX(Upgrades!$C$3:$C$13,MATCH(Q376,Upgrades!$B$3:$B$13,0))*1.15^(COUNTIF(Q$4:Q375,Q376)-COUNTIF(Q$4:Q375,""Sell_""&amp;Q376))))))"),930479.0)</f>
        <v>930479</v>
      </c>
      <c r="V376" s="10">
        <f t="shared" si="11"/>
        <v>930479</v>
      </c>
      <c r="W376" s="68">
        <f t="shared" si="12"/>
        <v>7356.302194</v>
      </c>
      <c r="X376" s="59" t="str">
        <f t="shared" si="13"/>
        <v>2h 02m 36s</v>
      </c>
      <c r="Y376" s="69">
        <f t="shared" si="14"/>
        <v>818382552</v>
      </c>
      <c r="Z376" s="11"/>
    </row>
    <row r="377">
      <c r="A377" s="8"/>
      <c r="B377" s="56" t="str">
        <f t="shared" si="2"/>
        <v/>
      </c>
      <c r="C377" s="105"/>
      <c r="D377" s="10"/>
      <c r="E377" s="59" t="str">
        <f t="array" ref="E377">IF(COUNTA(C377:C1673)=0,"",SUM((COUNTIF(C$4:C377,Upgrades!$B$3:$B$13)-COUNTIF(C$4:C377,"Sell_"&amp;Upgrades!$B$3:$B$13))*Upgrades!$D$3:$D$13))</f>
        <v/>
      </c>
      <c r="F377" s="66" t="str">
        <f>IFERROR(__xludf.DUMMYFUNCTION("IF(COUNTA(C377:C1673)=0,"""",IF(REGEXMATCH(INDEX(FILTER(C$4:C377,C$4:C377&lt;&gt;""""),ROWS(FILTER(C$4:C377,C$4:C377&lt;&gt;""""))),""^Sell_""),INDEX(FILTER(F$4:F376,C$4:C376&lt;&gt;""""),ROWS(FILTER(C$4:C376,C$4:C376&lt;&gt;""""))),$AC$5+E377))"),"")</f>
        <v/>
      </c>
      <c r="G377" s="10" t="str">
        <f>IFERROR(__xludf.DUMMYFUNCTION("IF(COUNTA(C377:C1673)=0,"""",IF(C377="""",0,IF(REGEXMATCH(C377,""^Sell_""),-ROUNDDOWN(ROUNDUP(INDEX(Upgrades!$C$3:$C$13,MATCH(SUBSTITUTE(C377,""Sell_"",""""),Upgrades!$B$3:$B$13,0))*1.15^(COUNTIF(C$4:C376,SUBSTITUTE(C377,""Sell_"",""""))-COUNTIF(C$4:C376,"&amp;"""Sell_""&amp;SUBSTITUTE(C377,""Sell_"",""""))))/2),ROUNDUP(INDEX(Upgrades!$C$3:$C$13,MATCH(C377,Upgrades!$B$3:$B$13,0))*1.15^(COUNTIF(C$4:C376,C377)-COUNTIF(C$4:C376,""Sell_""&amp;C377))))))"),"")</f>
        <v/>
      </c>
      <c r="H377" s="10" t="str">
        <f t="shared" si="3"/>
        <v/>
      </c>
      <c r="I377" s="68" t="str">
        <f t="shared" si="4"/>
        <v/>
      </c>
      <c r="J377" s="59" t="str">
        <f t="shared" si="5"/>
        <v/>
      </c>
      <c r="K377" s="69" t="str">
        <f t="shared" si="6"/>
        <v/>
      </c>
      <c r="L377" s="60">
        <f t="shared" si="7"/>
        <v>-154.80878</v>
      </c>
      <c r="M377" s="61">
        <f>IFERROR(__xludf.DUMMYFUNCTION("IFS(AND(COUNTA(C377:C1673)=0,COUNTA(Q377:Q1673)=0),"""",OR(AND(K377&gt;=1000000000,OR(Y377&gt;=1000000000,COUNTA(Q377:Q1673)=0)),OR(Y377&gt;=1000000000,AND(COUNTA(C377:C1673)=0,P$3=TRUE))),
ROUNDDOWN((AB$1-AC$1)*MAX(INDEX(T$4:T1673,MATCH(LARGE(FILTER(Y$4:Y1673,Y$4"&amp;":Y1673&lt;1000000000),1),Y$4:Y1673)),INDEX(F$4:F1673,MATCH(LARGE(FILTER(K$4:K1673,K$4:K1673&lt;1000000000),1),K$4:K1673)))),AND(K377&lt;1000000000,COUNTA(C377:C1673)&gt;0,P$3=FALSE),
ROUNDDOWN(INDEX(Y$4:Y1673,MATCH(LARGE(FILTER(W$4:W1673,W$4:W1673&lt;=I377),1),W$4:W1673"&amp;"))+(I377-LARGE(FILTER(W$4:W1673,W$4:W1673&lt;=I377),1))*INDEX(T$4:T1673,MATCH(LARGE(FILTER(W$4:W1673,W$4:W1673&lt;=I377),1),W$4:W1673))-K377),1,
ROUNDDOWN(Y377-INDEX(K$4:K1673,MATCH(LARGE(FILTER(I$4:I1673,I$4:I1673&lt;=W377),1),I$4:I1673))-(W377-LARGE(FILTER(I$4:I"&amp;"1673,I$4:I1673&lt;=W377),1))*INDEX(F$4:F1673,MATCH(LARGE(FILTER(I$4:I1673,I$4:I1673&lt;=W377),1),I$4:I1673))))"),8.1524545E7)</f>
        <v>81524545</v>
      </c>
      <c r="N377" s="60">
        <f t="shared" si="8"/>
        <v>-154.80878</v>
      </c>
      <c r="O377" s="61" t="str">
        <f t="shared" si="9"/>
        <v>81,5M</v>
      </c>
      <c r="P377" s="56">
        <f t="shared" si="10"/>
        <v>14</v>
      </c>
      <c r="Q377" s="105" t="s">
        <v>8</v>
      </c>
      <c r="R377" s="10"/>
      <c r="S377" s="59">
        <f t="array" ref="S377">IF(COUNTA(Q377:Q1673)=0,"",SUM((COUNTIF(Q$4:Q377,Upgrades!$B$3:$B$13)-COUNTIF(Q$4:Q377,"Sell_"&amp;Upgrades!$B$3:$B$13))*Upgrades!$D$3:$D$13))</f>
        <v>515685.4</v>
      </c>
      <c r="T377" s="66">
        <f>IFERROR(__xludf.DUMMYFUNCTION("IF(COUNTA(Q377:Q1673)=0,"""",IF(REGEXMATCH(INDEX(FILTER(Q$4:Q377,Q$4:Q377&lt;&gt;""""),ROWS(FILTER(Q$4:Q377,Q$4:Q377&lt;&gt;""""))),""^Sell_""),INDEX(FILTER(T$4:T376,Q$4:Q376&lt;&gt;""""),ROWS(FILTER(Q$4:Q376,Q$4:Q376&lt;&gt;""""))),$AD$5+S377))"),515700.4)</f>
        <v>515700.4</v>
      </c>
      <c r="U377" s="10">
        <f>IFERROR(__xludf.DUMMYFUNCTION("IF(COUNTA(Q377:Q1673)=0,"""",IF(Q377="""",0,IF(REGEXMATCH(Q377,""^Sell_""),-ROUNDDOWN(ROUNDUP(INDEX(Upgrades!$C$3:$C$13,MATCH(SUBSTITUTE(Q377,""Sell_"",""""),Upgrades!$B$3:$B$13,0))*1.15^(COUNTIF(Q$4:Q376,SUBSTITUTE(Q377,""Sell_"",""""))-COUNTIF(Q$4:Q376,"&amp;"""Sell_""&amp;SUBSTITUTE(Q377,""Sell_"",""""))))/2),ROUNDUP(INDEX(Upgrades!$C$3:$C$13,MATCH(Q377,Upgrades!$B$3:$B$13,0))*1.15^(COUNTIF(Q$4:Q376,Q377)-COUNTIF(Q$4:Q376,""Sell_""&amp;Q377))))))"),246112.0)</f>
        <v>246112</v>
      </c>
      <c r="V377" s="10">
        <f t="shared" si="11"/>
        <v>246112</v>
      </c>
      <c r="W377" s="68">
        <f t="shared" si="12"/>
        <v>7356.779525</v>
      </c>
      <c r="X377" s="59" t="str">
        <f t="shared" si="13"/>
        <v>2h 02m 36s</v>
      </c>
      <c r="Y377" s="69">
        <f t="shared" si="14"/>
        <v>818628664</v>
      </c>
      <c r="Z377" s="11"/>
    </row>
    <row r="378">
      <c r="A378" s="8"/>
      <c r="B378" s="56" t="str">
        <f t="shared" si="2"/>
        <v/>
      </c>
      <c r="C378" s="105"/>
      <c r="D378" s="10"/>
      <c r="E378" s="59" t="str">
        <f t="array" ref="E378">IF(COUNTA(C378:C1673)=0,"",SUM((COUNTIF(C$4:C378,Upgrades!$B$3:$B$13)-COUNTIF(C$4:C378,"Sell_"&amp;Upgrades!$B$3:$B$13))*Upgrades!$D$3:$D$13))</f>
        <v/>
      </c>
      <c r="F378" s="66" t="str">
        <f>IFERROR(__xludf.DUMMYFUNCTION("IF(COUNTA(C378:C1673)=0,"""",IF(REGEXMATCH(INDEX(FILTER(C$4:C378,C$4:C378&lt;&gt;""""),ROWS(FILTER(C$4:C378,C$4:C378&lt;&gt;""""))),""^Sell_""),INDEX(FILTER(F$4:F377,C$4:C377&lt;&gt;""""),ROWS(FILTER(C$4:C377,C$4:C377&lt;&gt;""""))),$AC$5+E378))"),"")</f>
        <v/>
      </c>
      <c r="G378" s="10" t="str">
        <f>IFERROR(__xludf.DUMMYFUNCTION("IF(COUNTA(C378:C1673)=0,"""",IF(C378="""",0,IF(REGEXMATCH(C378,""^Sell_""),-ROUNDDOWN(ROUNDUP(INDEX(Upgrades!$C$3:$C$13,MATCH(SUBSTITUTE(C378,""Sell_"",""""),Upgrades!$B$3:$B$13,0))*1.15^(COUNTIF(C$4:C377,SUBSTITUTE(C378,""Sell_"",""""))-COUNTIF(C$4:C377,"&amp;"""Sell_""&amp;SUBSTITUTE(C378,""Sell_"",""""))))/2),ROUNDUP(INDEX(Upgrades!$C$3:$C$13,MATCH(C378,Upgrades!$B$3:$B$13,0))*1.15^(COUNTIF(C$4:C377,C378)-COUNTIF(C$4:C377,""Sell_""&amp;C378))))))"),"")</f>
        <v/>
      </c>
      <c r="H378" s="10" t="str">
        <f t="shared" si="3"/>
        <v/>
      </c>
      <c r="I378" s="68" t="str">
        <f t="shared" si="4"/>
        <v/>
      </c>
      <c r="J378" s="59" t="str">
        <f t="shared" si="5"/>
        <v/>
      </c>
      <c r="K378" s="69" t="str">
        <f t="shared" si="6"/>
        <v/>
      </c>
      <c r="L378" s="60">
        <f t="shared" si="7"/>
        <v>-154.73193</v>
      </c>
      <c r="M378" s="61">
        <f>IFERROR(__xludf.DUMMYFUNCTION("IFS(AND(COUNTA(C378:C1673)=0,COUNTA(Q378:Q1673)=0),"""",OR(AND(K378&gt;=1000000000,OR(Y378&gt;=1000000000,COUNTA(Q378:Q1673)=0)),OR(Y378&gt;=1000000000,AND(COUNTA(C378:C1673)=0,P$3=TRUE))),
ROUNDDOWN((AB$1-AC$1)*MAX(INDEX(T$4:T1673,MATCH(LARGE(FILTER(Y$4:Y1673,Y$4"&amp;":Y1673&lt;1000000000),1),Y$4:Y1673)),INDEX(F$4:F1673,MATCH(LARGE(FILTER(K$4:K1673,K$4:K1673&lt;1000000000),1),K$4:K1673)))),AND(K378&lt;1000000000,COUNTA(C378:C1673)&gt;0,P$3=FALSE),
ROUNDDOWN(INDEX(Y$4:Y1673,MATCH(LARGE(FILTER(W$4:W1673,W$4:W1673&lt;=I378),1),W$4:W1673"&amp;"))+(I378-LARGE(FILTER(W$4:W1673,W$4:W1673&lt;=I378),1))*INDEX(T$4:T1673,MATCH(LARGE(FILTER(W$4:W1673,W$4:W1673&lt;=I378),1),W$4:W1673))-K378),1,
ROUNDDOWN(Y378-INDEX(K$4:K1673,MATCH(LARGE(FILTER(I$4:I1673,I$4:I1673&lt;=W378),1),I$4:I1673))-(W378-LARGE(FILTER(I$4:I"&amp;"1673,I$4:I1673&lt;=W378),1))*INDEX(F$4:F1673,MATCH(LARGE(FILTER(I$4:I1673,I$4:I1673&lt;=W378),1),I$4:I1673))))"),8.1524885E7)</f>
        <v>81524885</v>
      </c>
      <c r="N378" s="60">
        <f t="shared" si="8"/>
        <v>-154.73193</v>
      </c>
      <c r="O378" s="61" t="str">
        <f t="shared" si="9"/>
        <v>81,5M</v>
      </c>
      <c r="P378" s="56">
        <f t="shared" si="10"/>
        <v>13</v>
      </c>
      <c r="Q378" s="105" t="s">
        <v>9</v>
      </c>
      <c r="R378" s="10"/>
      <c r="S378" s="59">
        <f t="array" ref="S378">IF(COUNTA(Q378:Q1673)=0,"",SUM((COUNTIF(Q$4:Q378,Upgrades!$B$3:$B$13)-COUNTIF(Q$4:Q378,"Sell_"&amp;Upgrades!$B$3:$B$13))*Upgrades!$D$3:$D$13))</f>
        <v>516085.4</v>
      </c>
      <c r="T378" s="66">
        <f>IFERROR(__xludf.DUMMYFUNCTION("IF(COUNTA(Q378:Q1673)=0,"""",IF(REGEXMATCH(INDEX(FILTER(Q$4:Q378,Q$4:Q378&lt;&gt;""""),ROWS(FILTER(Q$4:Q378,Q$4:Q378&lt;&gt;""""))),""^Sell_""),INDEX(FILTER(T$4:T377,Q$4:Q377&lt;&gt;""""),ROWS(FILTER(Q$4:Q377,Q$4:Q377&lt;&gt;""""))),$AD$5+S378))"),516100.4)</f>
        <v>516100.4</v>
      </c>
      <c r="U378" s="10">
        <f>IFERROR(__xludf.DUMMYFUNCTION("IF(COUNTA(Q378:Q1673)=0,"""",IF(Q378="""",0,IF(REGEXMATCH(Q378,""^Sell_""),-ROUNDDOWN(ROUNDUP(INDEX(Upgrades!$C$3:$C$13,MATCH(SUBSTITUTE(Q378,""Sell_"",""""),Upgrades!$B$3:$B$13,0))*1.15^(COUNTIF(Q$4:Q377,SUBSTITUTE(Q378,""Sell_"",""""))-COUNTIF(Q$4:Q377,"&amp;"""Sell_""&amp;SUBSTITUTE(Q378,""Sell_"",""""))))/2),ROUNDUP(INDEX(Upgrades!$C$3:$C$13,MATCH(Q378,Upgrades!$B$3:$B$13,0))*1.15^(COUNTIF(Q$4:Q377,Q378)-COUNTIF(Q$4:Q377,""Sell_""&amp;Q378))))))"),1070051.0)</f>
        <v>1070051</v>
      </c>
      <c r="V378" s="10">
        <f t="shared" si="11"/>
        <v>1070051</v>
      </c>
      <c r="W378" s="68">
        <f t="shared" si="12"/>
        <v>7358.854472</v>
      </c>
      <c r="X378" s="59" t="str">
        <f t="shared" si="13"/>
        <v>2h 02m 38s</v>
      </c>
      <c r="Y378" s="69">
        <f t="shared" si="14"/>
        <v>819698715</v>
      </c>
      <c r="Z378" s="11"/>
    </row>
    <row r="379">
      <c r="A379" s="8"/>
      <c r="B379" s="56" t="str">
        <f t="shared" si="2"/>
        <v/>
      </c>
      <c r="C379" s="105"/>
      <c r="D379" s="10"/>
      <c r="E379" s="59" t="str">
        <f t="array" ref="E379">IF(COUNTA(C379:C1673)=0,"",SUM((COUNTIF(C$4:C379,Upgrades!$B$3:$B$13)-COUNTIF(C$4:C379,"Sell_"&amp;Upgrades!$B$3:$B$13))*Upgrades!$D$3:$D$13))</f>
        <v/>
      </c>
      <c r="F379" s="66" t="str">
        <f>IFERROR(__xludf.DUMMYFUNCTION("IF(COUNTA(C379:C1673)=0,"""",IF(REGEXMATCH(INDEX(FILTER(C$4:C379,C$4:C379&lt;&gt;""""),ROWS(FILTER(C$4:C379,C$4:C379&lt;&gt;""""))),""^Sell_""),INDEX(FILTER(F$4:F378,C$4:C378&lt;&gt;""""),ROWS(FILTER(C$4:C378,C$4:C378&lt;&gt;""""))),$AC$5+E379))"),"")</f>
        <v/>
      </c>
      <c r="G379" s="10" t="str">
        <f>IFERROR(__xludf.DUMMYFUNCTION("IF(COUNTA(C379:C1673)=0,"""",IF(C379="""",0,IF(REGEXMATCH(C379,""^Sell_""),-ROUNDDOWN(ROUNDUP(INDEX(Upgrades!$C$3:$C$13,MATCH(SUBSTITUTE(C379,""Sell_"",""""),Upgrades!$B$3:$B$13,0))*1.15^(COUNTIF(C$4:C378,SUBSTITUTE(C379,""Sell_"",""""))-COUNTIF(C$4:C378,"&amp;"""Sell_""&amp;SUBSTITUTE(C379,""Sell_"",""""))))/2),ROUNDUP(INDEX(Upgrades!$C$3:$C$13,MATCH(C379,Upgrades!$B$3:$B$13,0))*1.15^(COUNTIF(C$4:C378,C379)-COUNTIF(C$4:C378,""Sell_""&amp;C379))))))"),"")</f>
        <v/>
      </c>
      <c r="H379" s="10" t="str">
        <f t="shared" si="3"/>
        <v/>
      </c>
      <c r="I379" s="68" t="str">
        <f t="shared" si="4"/>
        <v/>
      </c>
      <c r="J379" s="59" t="str">
        <f t="shared" si="5"/>
        <v/>
      </c>
      <c r="K379" s="69" t="str">
        <f t="shared" si="6"/>
        <v/>
      </c>
      <c r="L379" s="60">
        <f t="shared" si="7"/>
        <v>-153.13586</v>
      </c>
      <c r="M379" s="61">
        <f>IFERROR(__xludf.DUMMYFUNCTION("IFS(AND(COUNTA(C379:C1673)=0,COUNTA(Q379:Q1673)=0),"""",OR(AND(K379&gt;=1000000000,OR(Y379&gt;=1000000000,COUNTA(Q379:Q1673)=0)),OR(Y379&gt;=1000000000,AND(COUNTA(C379:C1673)=0,P$3=TRUE))),
ROUNDDOWN((AB$1-AC$1)*MAX(INDEX(T$4:T1673,MATCH(LARGE(FILTER(Y$4:Y1673,Y$4"&amp;":Y1673&lt;1000000000),1),Y$4:Y1673)),INDEX(F$4:F1673,MATCH(LARGE(FILTER(K$4:K1673,K$4:K1673&lt;1000000000),1),K$4:K1673)))),AND(K379&lt;1000000000,COUNTA(C379:C1673)&gt;0,P$3=FALSE),
ROUNDDOWN(INDEX(Y$4:Y1673,MATCH(LARGE(FILTER(W$4:W1673,W$4:W1673&lt;=I379),1),W$4:W1673"&amp;"))+(I379-LARGE(FILTER(W$4:W1673,W$4:W1673&lt;=I379),1))*INDEX(T$4:T1673,MATCH(LARGE(FILTER(W$4:W1673,W$4:W1673&lt;=I379),1),W$4:W1673))-K379),1,
ROUNDDOWN(Y379-INDEX(K$4:K1673,MATCH(LARGE(FILTER(I$4:I1673,I$4:I1673&lt;=W379),1),I$4:I1673))-(W379-LARGE(FILTER(I$4:I"&amp;"1673,I$4:I1673&lt;=W379),1))*INDEX(F$4:F1673,MATCH(LARGE(FILTER(I$4:I1673,I$4:I1673&lt;=W379),1),I$4:I1673))))"),8.1484112E7)</f>
        <v>81484112</v>
      </c>
      <c r="N379" s="60">
        <f t="shared" si="8"/>
        <v>-153.13586</v>
      </c>
      <c r="O379" s="61" t="str">
        <f t="shared" si="9"/>
        <v>81,5M</v>
      </c>
      <c r="P379" s="56">
        <f t="shared" si="10"/>
        <v>18</v>
      </c>
      <c r="Q379" s="105" t="s">
        <v>10</v>
      </c>
      <c r="R379" s="10"/>
      <c r="S379" s="59">
        <f t="array" ref="S379">IF(COUNTA(Q379:Q1673)=0,"",SUM((COUNTIF(Q$4:Q379,Upgrades!$B$3:$B$13)-COUNTIF(Q$4:Q379,"Sell_"&amp;Upgrades!$B$3:$B$13))*Upgrades!$D$3:$D$13))</f>
        <v>522751.4</v>
      </c>
      <c r="T379" s="66">
        <f>IFERROR(__xludf.DUMMYFUNCTION("IF(COUNTA(Q379:Q1673)=0,"""",IF(REGEXMATCH(INDEX(FILTER(Q$4:Q379,Q$4:Q379&lt;&gt;""""),ROWS(FILTER(Q$4:Q379,Q$4:Q379&lt;&gt;""""))),""^Sell_""),INDEX(FILTER(T$4:T378,Q$4:Q378&lt;&gt;""""),ROWS(FILTER(Q$4:Q378,Q$4:Q378&lt;&gt;""""))),$AD$5+S379))"),522766.4)</f>
        <v>522766.4</v>
      </c>
      <c r="U379" s="10">
        <f>IFERROR(__xludf.DUMMYFUNCTION("IF(COUNTA(Q379:Q1673)=0,"""",IF(Q379="""",0,IF(REGEXMATCH(Q379,""^Sell_""),-ROUNDDOWN(ROUNDUP(INDEX(Upgrades!$C$3:$C$13,MATCH(SUBSTITUTE(Q379,""Sell_"",""""),Upgrades!$B$3:$B$13,0))*1.15^(COUNTIF(Q$4:Q378,SUBSTITUTE(Q379,""Sell_"",""""))-COUNTIF(Q$4:Q378,"&amp;"""Sell_""&amp;SUBSTITUTE(Q379,""Sell_"",""""))))/2),ROUNDUP(INDEX(Upgrades!$C$3:$C$13,MATCH(Q379,Upgrades!$B$3:$B$13,0))*1.15^(COUNTIF(Q$4:Q378,Q379)-COUNTIF(Q$4:Q378,""Sell_""&amp;Q379))))))"),1.7935433E7)</f>
        <v>17935433</v>
      </c>
      <c r="V379" s="10">
        <f t="shared" si="11"/>
        <v>17935433</v>
      </c>
      <c r="W379" s="68">
        <f t="shared" si="12"/>
        <v>7393.606301</v>
      </c>
      <c r="X379" s="59" t="str">
        <f t="shared" si="13"/>
        <v>2h 03m 13s</v>
      </c>
      <c r="Y379" s="69">
        <f t="shared" si="14"/>
        <v>837634148</v>
      </c>
      <c r="Z379" s="11"/>
    </row>
    <row r="380">
      <c r="A380" s="8"/>
      <c r="B380" s="56" t="str">
        <f t="shared" si="2"/>
        <v/>
      </c>
      <c r="C380" s="105"/>
      <c r="D380" s="10"/>
      <c r="E380" s="59" t="str">
        <f t="array" ref="E380">IF(COUNTA(C380:C1673)=0,"",SUM((COUNTIF(C$4:C380,Upgrades!$B$3:$B$13)-COUNTIF(C$4:C380,"Sell_"&amp;Upgrades!$B$3:$B$13))*Upgrades!$D$3:$D$13))</f>
        <v/>
      </c>
      <c r="F380" s="66" t="str">
        <f>IFERROR(__xludf.DUMMYFUNCTION("IF(COUNTA(C380:C1673)=0,"""",IF(REGEXMATCH(INDEX(FILTER(C$4:C380,C$4:C380&lt;&gt;""""),ROWS(FILTER(C$4:C380,C$4:C380&lt;&gt;""""))),""^Sell_""),INDEX(FILTER(F$4:F379,C$4:C379&lt;&gt;""""),ROWS(FILTER(C$4:C379,C$4:C379&lt;&gt;""""))),$AC$5+E380))"),"")</f>
        <v/>
      </c>
      <c r="G380" s="10" t="str">
        <f>IFERROR(__xludf.DUMMYFUNCTION("IF(COUNTA(C380:C1673)=0,"""",IF(C380="""",0,IF(REGEXMATCH(C380,""^Sell_""),-ROUNDDOWN(ROUNDUP(INDEX(Upgrades!$C$3:$C$13,MATCH(SUBSTITUTE(C380,""Sell_"",""""),Upgrades!$B$3:$B$13,0))*1.15^(COUNTIF(C$4:C379,SUBSTITUTE(C380,""Sell_"",""""))-COUNTIF(C$4:C379,"&amp;"""Sell_""&amp;SUBSTITUTE(C380,""Sell_"",""""))))/2),ROUNDUP(INDEX(Upgrades!$C$3:$C$13,MATCH(C380,Upgrades!$B$3:$B$13,0))*1.15^(COUNTIF(C$4:C379,C380)-COUNTIF(C$4:C379,""Sell_""&amp;C380))))))"),"")</f>
        <v/>
      </c>
      <c r="H380" s="10" t="str">
        <f t="shared" si="3"/>
        <v/>
      </c>
      <c r="I380" s="68" t="str">
        <f t="shared" si="4"/>
        <v/>
      </c>
      <c r="J380" s="59" t="str">
        <f t="shared" si="5"/>
        <v/>
      </c>
      <c r="K380" s="69" t="str">
        <f t="shared" si="6"/>
        <v/>
      </c>
      <c r="L380" s="60">
        <f t="shared" si="7"/>
        <v>-153.11646</v>
      </c>
      <c r="M380" s="61">
        <f>IFERROR(__xludf.DUMMYFUNCTION("IFS(AND(COUNTA(C380:C1673)=0,COUNTA(Q380:Q1673)=0),"""",OR(AND(K380&gt;=1000000000,OR(Y380&gt;=1000000000,COUNTA(Q380:Q1673)=0)),OR(Y380&gt;=1000000000,AND(COUNTA(C380:C1673)=0,P$3=TRUE))),
ROUNDDOWN((AB$1-AC$1)*MAX(INDEX(T$4:T1673,MATCH(LARGE(FILTER(Y$4:Y1673,Y$4"&amp;":Y1673&lt;1000000000),1),Y$4:Y1673)),INDEX(F$4:F1673,MATCH(LARGE(FILTER(K$4:K1673,K$4:K1673&lt;1000000000),1),K$4:K1673)))),AND(K380&lt;1000000000,COUNTA(C380:C1673)&gt;0,P$3=FALSE),
ROUNDDOWN(INDEX(Y$4:Y1673,MATCH(LARGE(FILTER(W$4:W1673,W$4:W1673&lt;=I380),1),W$4:W1673"&amp;"))+(I380-LARGE(FILTER(W$4:W1673,W$4:W1673&lt;=I380),1))*INDEX(T$4:T1673,MATCH(LARGE(FILTER(W$4:W1673,W$4:W1673&lt;=I380),1),W$4:W1673))-K380),1,
ROUNDDOWN(Y380-INDEX(K$4:K1673,MATCH(LARGE(FILTER(I$4:I1673,I$4:I1673&lt;=W380),1),I$4:I1673))-(W380-LARGE(FILTER(I$4:I"&amp;"1673,I$4:I1673&lt;=W380),1))*INDEX(F$4:F1673,MATCH(LARGE(FILTER(I$4:I1673,I$4:I1673&lt;=W380),1),I$4:I1673))))"),8.1484418E7)</f>
        <v>81484418</v>
      </c>
      <c r="N380" s="60">
        <f t="shared" si="8"/>
        <v>-153.11646</v>
      </c>
      <c r="O380" s="61" t="str">
        <f t="shared" si="9"/>
        <v>81,5M</v>
      </c>
      <c r="P380" s="56">
        <f t="shared" si="10"/>
        <v>15</v>
      </c>
      <c r="Q380" s="105" t="s">
        <v>8</v>
      </c>
      <c r="R380" s="10"/>
      <c r="S380" s="59">
        <f t="array" ref="S380">IF(COUNTA(Q380:Q1673)=0,"",SUM((COUNTIF(Q$4:Q380,Upgrades!$B$3:$B$13)-COUNTIF(Q$4:Q380,"Sell_"&amp;Upgrades!$B$3:$B$13))*Upgrades!$D$3:$D$13))</f>
        <v>522851.4</v>
      </c>
      <c r="T380" s="66">
        <f>IFERROR(__xludf.DUMMYFUNCTION("IF(COUNTA(Q380:Q1673)=0,"""",IF(REGEXMATCH(INDEX(FILTER(Q$4:Q380,Q$4:Q380&lt;&gt;""""),ROWS(FILTER(Q$4:Q380,Q$4:Q380&lt;&gt;""""))),""^Sell_""),INDEX(FILTER(T$4:T379,Q$4:Q379&lt;&gt;""""),ROWS(FILTER(Q$4:Q379,Q$4:Q379&lt;&gt;""""))),$AD$5+S380))"),522866.4)</f>
        <v>522866.4</v>
      </c>
      <c r="U380" s="10">
        <f>IFERROR(__xludf.DUMMYFUNCTION("IF(COUNTA(Q380:Q1673)=0,"""",IF(Q380="""",0,IF(REGEXMATCH(Q380,""^Sell_""),-ROUNDDOWN(ROUNDUP(INDEX(Upgrades!$C$3:$C$13,MATCH(SUBSTITUTE(Q380,""Sell_"",""""),Upgrades!$B$3:$B$13,0))*1.15^(COUNTIF(Q$4:Q379,SUBSTITUTE(Q380,""Sell_"",""""))-COUNTIF(Q$4:Q379,"&amp;"""Sell_""&amp;SUBSTITUTE(Q380,""Sell_"",""""))))/2),ROUNDUP(INDEX(Upgrades!$C$3:$C$13,MATCH(Q380,Upgrades!$B$3:$B$13,0))*1.15^(COUNTIF(Q$4:Q379,Q380)-COUNTIF(Q$4:Q379,""Sell_""&amp;Q380))))))"),283029.0)</f>
        <v>283029</v>
      </c>
      <c r="V380" s="10">
        <f t="shared" si="11"/>
        <v>283029</v>
      </c>
      <c r="W380" s="68">
        <f t="shared" si="12"/>
        <v>7394.147707</v>
      </c>
      <c r="X380" s="59" t="str">
        <f t="shared" si="13"/>
        <v>2h 03m 14s</v>
      </c>
      <c r="Y380" s="69">
        <f t="shared" si="14"/>
        <v>837917177</v>
      </c>
      <c r="Z380" s="11"/>
    </row>
    <row r="381">
      <c r="A381" s="8"/>
      <c r="B381" s="56" t="str">
        <f t="shared" si="2"/>
        <v/>
      </c>
      <c r="C381" s="105"/>
      <c r="D381" s="10"/>
      <c r="E381" s="59" t="str">
        <f t="array" ref="E381">IF(COUNTA(C381:C1673)=0,"",SUM((COUNTIF(C$4:C381,Upgrades!$B$3:$B$13)-COUNTIF(C$4:C381,"Sell_"&amp;Upgrades!$B$3:$B$13))*Upgrades!$D$3:$D$13))</f>
        <v/>
      </c>
      <c r="F381" s="66" t="str">
        <f>IFERROR(__xludf.DUMMYFUNCTION("IF(COUNTA(C381:C1673)=0,"""",IF(REGEXMATCH(INDEX(FILTER(C$4:C381,C$4:C381&lt;&gt;""""),ROWS(FILTER(C$4:C381,C$4:C381&lt;&gt;""""))),""^Sell_""),INDEX(FILTER(F$4:F380,C$4:C380&lt;&gt;""""),ROWS(FILTER(C$4:C380,C$4:C380&lt;&gt;""""))),$AC$5+E381))"),"")</f>
        <v/>
      </c>
      <c r="G381" s="10" t="str">
        <f>IFERROR(__xludf.DUMMYFUNCTION("IF(COUNTA(C381:C1673)=0,"""",IF(C381="""",0,IF(REGEXMATCH(C381,""^Sell_""),-ROUNDDOWN(ROUNDUP(INDEX(Upgrades!$C$3:$C$13,MATCH(SUBSTITUTE(C381,""Sell_"",""""),Upgrades!$B$3:$B$13,0))*1.15^(COUNTIF(C$4:C380,SUBSTITUTE(C381,""Sell_"",""""))-COUNTIF(C$4:C380,"&amp;"""Sell_""&amp;SUBSTITUTE(C381,""Sell_"",""""))))/2),ROUNDUP(INDEX(Upgrades!$C$3:$C$13,MATCH(C381,Upgrades!$B$3:$B$13,0))*1.15^(COUNTIF(C$4:C380,C381)-COUNTIF(C$4:C380,""Sell_""&amp;C381))))))"),"")</f>
        <v/>
      </c>
      <c r="H381" s="10" t="str">
        <f t="shared" si="3"/>
        <v/>
      </c>
      <c r="I381" s="68" t="str">
        <f t="shared" si="4"/>
        <v/>
      </c>
      <c r="J381" s="59" t="str">
        <f t="shared" si="5"/>
        <v/>
      </c>
      <c r="K381" s="69" t="str">
        <f t="shared" si="6"/>
        <v/>
      </c>
      <c r="L381" s="60">
        <f t="shared" si="7"/>
        <v>-153.03253</v>
      </c>
      <c r="M381" s="61">
        <f>IFERROR(__xludf.DUMMYFUNCTION("IFS(AND(COUNTA(C381:C1673)=0,COUNTA(Q381:Q1673)=0),"""",OR(AND(K381&gt;=1000000000,OR(Y381&gt;=1000000000,COUNTA(Q381:Q1673)=0)),OR(Y381&gt;=1000000000,AND(COUNTA(C381:C1673)=0,P$3=TRUE))),
ROUNDDOWN((AB$1-AC$1)*MAX(INDEX(T$4:T1673,MATCH(LARGE(FILTER(Y$4:Y1673,Y$4"&amp;":Y1673&lt;1000000000),1),Y$4:Y1673)),INDEX(F$4:F1673,MATCH(LARGE(FILTER(K$4:K1673,K$4:K1673&lt;1000000000),1),K$4:K1673)))),AND(K381&lt;1000000000,COUNTA(C381:C1673)&gt;0,P$3=FALSE),
ROUNDDOWN(INDEX(Y$4:Y1673,MATCH(LARGE(FILTER(W$4:W1673,W$4:W1673&lt;=I381),1),W$4:W1673"&amp;"))+(I381-LARGE(FILTER(W$4:W1673,W$4:W1673&lt;=I381),1))*INDEX(T$4:T1673,MATCH(LARGE(FILTER(W$4:W1673,W$4:W1673&lt;=I381),1),W$4:W1673))-K381),1,
ROUNDDOWN(Y381-INDEX(K$4:K1673,MATCH(LARGE(FILTER(I$4:I1673,I$4:I1673&lt;=W381),1),I$4:I1673))-(W381-LARGE(FILTER(I$4:I"&amp;"1673,I$4:I1673&lt;=W381),1))*INDEX(F$4:F1673,MATCH(LARGE(FILTER(I$4:I1673,I$4:I1673&lt;=W381),1),I$4:I1673))))"),8.148598E7)</f>
        <v>81485980</v>
      </c>
      <c r="N381" s="60">
        <f t="shared" si="8"/>
        <v>-153.03253</v>
      </c>
      <c r="O381" s="61" t="str">
        <f t="shared" si="9"/>
        <v>81,5M</v>
      </c>
      <c r="P381" s="56">
        <f t="shared" si="10"/>
        <v>14</v>
      </c>
      <c r="Q381" s="105" t="s">
        <v>9</v>
      </c>
      <c r="R381" s="10"/>
      <c r="S381" s="59">
        <f t="array" ref="S381">IF(COUNTA(Q381:Q1673)=0,"",SUM((COUNTIF(Q$4:Q381,Upgrades!$B$3:$B$13)-COUNTIF(Q$4:Q381,"Sell_"&amp;Upgrades!$B$3:$B$13))*Upgrades!$D$3:$D$13))</f>
        <v>523251.4</v>
      </c>
      <c r="T381" s="66">
        <f>IFERROR(__xludf.DUMMYFUNCTION("IF(COUNTA(Q381:Q1673)=0,"""",IF(REGEXMATCH(INDEX(FILTER(Q$4:Q381,Q$4:Q381&lt;&gt;""""),ROWS(FILTER(Q$4:Q381,Q$4:Q381&lt;&gt;""""))),""^Sell_""),INDEX(FILTER(T$4:T380,Q$4:Q380&lt;&gt;""""),ROWS(FILTER(Q$4:Q380,Q$4:Q380&lt;&gt;""""))),$AD$5+S381))"),523266.4)</f>
        <v>523266.4</v>
      </c>
      <c r="U381" s="10">
        <f>IFERROR(__xludf.DUMMYFUNCTION("IF(COUNTA(Q381:Q1673)=0,"""",IF(Q381="""",0,IF(REGEXMATCH(Q381,""^Sell_""),-ROUNDDOWN(ROUNDUP(INDEX(Upgrades!$C$3:$C$13,MATCH(SUBSTITUTE(Q381,""Sell_"",""""),Upgrades!$B$3:$B$13,0))*1.15^(COUNTIF(Q$4:Q380,SUBSTITUTE(Q381,""Sell_"",""""))-COUNTIF(Q$4:Q380,"&amp;"""Sell_""&amp;SUBSTITUTE(Q381,""Sell_"",""""))))/2),ROUNDUP(INDEX(Upgrades!$C$3:$C$13,MATCH(Q381,Upgrades!$B$3:$B$13,0))*1.15^(COUNTIF(Q$4:Q380,Q381)-COUNTIF(Q$4:Q380,""Sell_""&amp;Q381))))))"),1230558.0)</f>
        <v>1230558</v>
      </c>
      <c r="V381" s="10">
        <f t="shared" si="11"/>
        <v>1230558</v>
      </c>
      <c r="W381" s="68">
        <f t="shared" si="12"/>
        <v>7396.501192</v>
      </c>
      <c r="X381" s="59" t="str">
        <f t="shared" si="13"/>
        <v>2h 03m 16s</v>
      </c>
      <c r="Y381" s="69">
        <f t="shared" si="14"/>
        <v>839147735</v>
      </c>
      <c r="Z381" s="11"/>
    </row>
    <row r="382">
      <c r="A382" s="8"/>
      <c r="B382" s="56" t="str">
        <f t="shared" si="2"/>
        <v/>
      </c>
      <c r="C382" s="105"/>
      <c r="D382" s="10"/>
      <c r="E382" s="59" t="str">
        <f t="array" ref="E382">IF(COUNTA(C382:C1673)=0,"",SUM((COUNTIF(C$4:C382,Upgrades!$B$3:$B$13)-COUNTIF(C$4:C382,"Sell_"&amp;Upgrades!$B$3:$B$13))*Upgrades!$D$3:$D$13))</f>
        <v/>
      </c>
      <c r="F382" s="66" t="str">
        <f>IFERROR(__xludf.DUMMYFUNCTION("IF(COUNTA(C382:C1673)=0,"""",IF(REGEXMATCH(INDEX(FILTER(C$4:C382,C$4:C382&lt;&gt;""""),ROWS(FILTER(C$4:C382,C$4:C382&lt;&gt;""""))),""^Sell_""),INDEX(FILTER(F$4:F381,C$4:C381&lt;&gt;""""),ROWS(FILTER(C$4:C381,C$4:C381&lt;&gt;""""))),$AC$5+E382))"),"")</f>
        <v/>
      </c>
      <c r="G382" s="10" t="str">
        <f>IFERROR(__xludf.DUMMYFUNCTION("IF(COUNTA(C382:C1673)=0,"""",IF(C382="""",0,IF(REGEXMATCH(C382,""^Sell_""),-ROUNDDOWN(ROUNDUP(INDEX(Upgrades!$C$3:$C$13,MATCH(SUBSTITUTE(C382,""Sell_"",""""),Upgrades!$B$3:$B$13,0))*1.15^(COUNTIF(C$4:C381,SUBSTITUTE(C382,""Sell_"",""""))-COUNTIF(C$4:C381,"&amp;"""Sell_""&amp;SUBSTITUTE(C382,""Sell_"",""""))))/2),ROUNDUP(INDEX(Upgrades!$C$3:$C$13,MATCH(C382,Upgrades!$B$3:$B$13,0))*1.15^(COUNTIF(C$4:C381,C382)-COUNTIF(C$4:C381,""Sell_""&amp;C382))))))"),"")</f>
        <v/>
      </c>
      <c r="H382" s="10" t="str">
        <f t="shared" si="3"/>
        <v/>
      </c>
      <c r="I382" s="68" t="str">
        <f t="shared" si="4"/>
        <v/>
      </c>
      <c r="J382" s="59" t="str">
        <f t="shared" si="5"/>
        <v/>
      </c>
      <c r="K382" s="69" t="str">
        <f t="shared" si="6"/>
        <v/>
      </c>
      <c r="L382" s="60">
        <f t="shared" si="7"/>
        <v>-151.53597</v>
      </c>
      <c r="M382" s="61">
        <f>IFERROR(__xludf.DUMMYFUNCTION("IFS(AND(COUNTA(C382:C1673)=0,COUNTA(Q382:Q1673)=0),"""",OR(AND(K382&gt;=1000000000,OR(Y382&gt;=1000000000,COUNTA(Q382:Q1673)=0)),OR(Y382&gt;=1000000000,AND(COUNTA(C382:C1673)=0,P$3=TRUE))),
ROUNDDOWN((AB$1-AC$1)*MAX(INDEX(T$4:T1673,MATCH(LARGE(FILTER(Y$4:Y1673,Y$4"&amp;":Y1673&lt;1000000000),1),Y$4:Y1673)),INDEX(F$4:F1673,MATCH(LARGE(FILTER(K$4:K1673,K$4:K1673&lt;1000000000),1),K$4:K1673)))),AND(K382&lt;1000000000,COUNTA(C382:C1673)&gt;0,P$3=FALSE),
ROUNDDOWN(INDEX(Y$4:Y1673,MATCH(LARGE(FILTER(W$4:W1673,W$4:W1673&lt;=I382),1),W$4:W1673"&amp;"))+(I382-LARGE(FILTER(W$4:W1673,W$4:W1673&lt;=I382),1))*INDEX(T$4:T1673,MATCH(LARGE(FILTER(W$4:W1673,W$4:W1673&lt;=I382),1),W$4:W1673))-K382),1,
ROUNDDOWN(Y382-INDEX(K$4:K1673,MATCH(LARGE(FILTER(I$4:I1673,I$4:I1673&lt;=W382),1),I$4:I1673))-(W382-LARGE(FILTER(I$4:I"&amp;"1673,I$4:I1673&lt;=W382),1))*INDEX(F$4:F1673,MATCH(LARGE(FILTER(I$4:I1673,I$4:I1673&lt;=W382),1),I$4:I1673))))"),8.1448784E7)</f>
        <v>81448784</v>
      </c>
      <c r="N382" s="60">
        <f t="shared" si="8"/>
        <v>-151.53597</v>
      </c>
      <c r="O382" s="61" t="str">
        <f t="shared" si="9"/>
        <v>81,4M</v>
      </c>
      <c r="P382" s="56">
        <f t="shared" si="10"/>
        <v>19</v>
      </c>
      <c r="Q382" s="105" t="s">
        <v>10</v>
      </c>
      <c r="R382" s="10"/>
      <c r="S382" s="59">
        <f t="array" ref="S382">IF(COUNTA(Q382:Q1673)=0,"",SUM((COUNTIF(Q$4:Q382,Upgrades!$B$3:$B$13)-COUNTIF(Q$4:Q382,"Sell_"&amp;Upgrades!$B$3:$B$13))*Upgrades!$D$3:$D$13))</f>
        <v>529917.4</v>
      </c>
      <c r="T382" s="66">
        <f>IFERROR(__xludf.DUMMYFUNCTION("IF(COUNTA(Q382:Q1673)=0,"""",IF(REGEXMATCH(INDEX(FILTER(Q$4:Q382,Q$4:Q382&lt;&gt;""""),ROWS(FILTER(Q$4:Q382,Q$4:Q382&lt;&gt;""""))),""^Sell_""),INDEX(FILTER(T$4:T381,Q$4:Q381&lt;&gt;""""),ROWS(FILTER(Q$4:Q381,Q$4:Q381&lt;&gt;""""))),$AD$5+S382))"),529932.4)</f>
        <v>529932.4</v>
      </c>
      <c r="U382" s="10">
        <f>IFERROR(__xludf.DUMMYFUNCTION("IF(COUNTA(Q382:Q1673)=0,"""",IF(Q382="""",0,IF(REGEXMATCH(Q382,""^Sell_""),-ROUNDDOWN(ROUNDUP(INDEX(Upgrades!$C$3:$C$13,MATCH(SUBSTITUTE(Q382,""Sell_"",""""),Upgrades!$B$3:$B$13,0))*1.15^(COUNTIF(Q$4:Q381,SUBSTITUTE(Q382,""Sell_"",""""))-COUNTIF(Q$4:Q381,"&amp;"""Sell_""&amp;SUBSTITUTE(Q382,""Sell_"",""""))))/2),ROUNDUP(INDEX(Upgrades!$C$3:$C$13,MATCH(Q382,Upgrades!$B$3:$B$13,0))*1.15^(COUNTIF(Q$4:Q381,Q382)-COUNTIF(Q$4:Q381,""Sell_""&amp;Q382))))))"),2.0625748E7)</f>
        <v>20625748</v>
      </c>
      <c r="V382" s="10">
        <f t="shared" si="11"/>
        <v>20625748</v>
      </c>
      <c r="W382" s="68">
        <f t="shared" si="12"/>
        <v>7435.918491</v>
      </c>
      <c r="X382" s="59" t="str">
        <f t="shared" si="13"/>
        <v>2h 03m 55s</v>
      </c>
      <c r="Y382" s="69">
        <f t="shared" si="14"/>
        <v>859773483</v>
      </c>
      <c r="Z382" s="11"/>
    </row>
    <row r="383">
      <c r="A383" s="8"/>
      <c r="B383" s="56" t="str">
        <f t="shared" si="2"/>
        <v/>
      </c>
      <c r="C383" s="105"/>
      <c r="D383" s="10"/>
      <c r="E383" s="59" t="str">
        <f t="array" ref="E383">IF(COUNTA(C383:C1673)=0,"",SUM((COUNTIF(C$4:C383,Upgrades!$B$3:$B$13)-COUNTIF(C$4:C383,"Sell_"&amp;Upgrades!$B$3:$B$13))*Upgrades!$D$3:$D$13))</f>
        <v/>
      </c>
      <c r="F383" s="66" t="str">
        <f>IFERROR(__xludf.DUMMYFUNCTION("IF(COUNTA(C383:C1673)=0,"""",IF(REGEXMATCH(INDEX(FILTER(C$4:C383,C$4:C383&lt;&gt;""""),ROWS(FILTER(C$4:C383,C$4:C383&lt;&gt;""""))),""^Sell_""),INDEX(FILTER(F$4:F382,C$4:C382&lt;&gt;""""),ROWS(FILTER(C$4:C382,C$4:C382&lt;&gt;""""))),$AC$5+E383))"),"")</f>
        <v/>
      </c>
      <c r="G383" s="10" t="str">
        <f>IFERROR(__xludf.DUMMYFUNCTION("IF(COUNTA(C383:C1673)=0,"""",IF(C383="""",0,IF(REGEXMATCH(C383,""^Sell_""),-ROUNDDOWN(ROUNDUP(INDEX(Upgrades!$C$3:$C$13,MATCH(SUBSTITUTE(C383,""Sell_"",""""),Upgrades!$B$3:$B$13,0))*1.15^(COUNTIF(C$4:C382,SUBSTITUTE(C383,""Sell_"",""""))-COUNTIF(C$4:C382,"&amp;"""Sell_""&amp;SUBSTITUTE(C383,""Sell_"",""""))))/2),ROUNDUP(INDEX(Upgrades!$C$3:$C$13,MATCH(C383,Upgrades!$B$3:$B$13,0))*1.15^(COUNTIF(C$4:C382,C383)-COUNTIF(C$4:C382,""Sell_""&amp;C383))))))"),"")</f>
        <v/>
      </c>
      <c r="H383" s="10" t="str">
        <f t="shared" si="3"/>
        <v/>
      </c>
      <c r="I383" s="68" t="str">
        <f t="shared" si="4"/>
        <v/>
      </c>
      <c r="J383" s="59" t="str">
        <f t="shared" si="5"/>
        <v/>
      </c>
      <c r="K383" s="69" t="str">
        <f t="shared" si="6"/>
        <v/>
      </c>
      <c r="L383" s="60">
        <f t="shared" si="7"/>
        <v>-151.51478</v>
      </c>
      <c r="M383" s="61">
        <f>IFERROR(__xludf.DUMMYFUNCTION("IFS(AND(COUNTA(C383:C1673)=0,COUNTA(Q383:Q1673)=0),"""",OR(AND(K383&gt;=1000000000,OR(Y383&gt;=1000000000,COUNTA(Q383:Q1673)=0)),OR(Y383&gt;=1000000000,AND(COUNTA(C383:C1673)=0,P$3=TRUE))),
ROUNDDOWN((AB$1-AC$1)*MAX(INDEX(T$4:T1673,MATCH(LARGE(FILTER(Y$4:Y1673,Y$4"&amp;":Y1673&lt;1000000000),1),Y$4:Y1673)),INDEX(F$4:F1673,MATCH(LARGE(FILTER(K$4:K1673,K$4:K1673&lt;1000000000),1),K$4:K1673)))),AND(K383&lt;1000000000,COUNTA(C383:C1673)&gt;0,P$3=FALSE),
ROUNDDOWN(INDEX(Y$4:Y1673,MATCH(LARGE(FILTER(W$4:W1673,W$4:W1673&lt;=I383),1),W$4:W1673"&amp;"))+(I383-LARGE(FILTER(W$4:W1673,W$4:W1673&lt;=I383),1))*INDEX(T$4:T1673,MATCH(LARGE(FILTER(W$4:W1673,W$4:W1673&lt;=I383),1),W$4:W1673))-K383),1,
ROUNDDOWN(Y383-INDEX(K$4:K1673,MATCH(LARGE(FILTER(I$4:I1673,I$4:I1673&lt;=W383),1),I$4:I1673))-(W383-LARGE(FILTER(I$4:I"&amp;"1673,I$4:I1673&lt;=W383),1))*INDEX(F$4:F1673,MATCH(LARGE(FILTER(I$4:I1673,I$4:I1673&lt;=W383),1),I$4:I1673))))"),8.1449437E7)</f>
        <v>81449437</v>
      </c>
      <c r="N383" s="60">
        <f t="shared" si="8"/>
        <v>-151.51478</v>
      </c>
      <c r="O383" s="61" t="str">
        <f t="shared" si="9"/>
        <v>81,4M</v>
      </c>
      <c r="P383" s="56">
        <f t="shared" si="10"/>
        <v>16</v>
      </c>
      <c r="Q383" s="105" t="s">
        <v>8</v>
      </c>
      <c r="R383" s="10"/>
      <c r="S383" s="59">
        <f t="array" ref="S383">IF(COUNTA(Q383:Q1673)=0,"",SUM((COUNTIF(Q$4:Q383,Upgrades!$B$3:$B$13)-COUNTIF(Q$4:Q383,"Sell_"&amp;Upgrades!$B$3:$B$13))*Upgrades!$D$3:$D$13))</f>
        <v>530017.4</v>
      </c>
      <c r="T383" s="66">
        <f>IFERROR(__xludf.DUMMYFUNCTION("IF(COUNTA(Q383:Q1673)=0,"""",IF(REGEXMATCH(INDEX(FILTER(Q$4:Q383,Q$4:Q383&lt;&gt;""""),ROWS(FILTER(Q$4:Q383,Q$4:Q383&lt;&gt;""""))),""^Sell_""),INDEX(FILTER(T$4:T382,Q$4:Q382&lt;&gt;""""),ROWS(FILTER(Q$4:Q382,Q$4:Q382&lt;&gt;""""))),$AD$5+S383))"),530032.4)</f>
        <v>530032.4</v>
      </c>
      <c r="U383" s="10">
        <f>IFERROR(__xludf.DUMMYFUNCTION("IF(COUNTA(Q383:Q1673)=0,"""",IF(Q383="""",0,IF(REGEXMATCH(Q383,""^Sell_""),-ROUNDDOWN(ROUNDUP(INDEX(Upgrades!$C$3:$C$13,MATCH(SUBSTITUTE(Q383,""Sell_"",""""),Upgrades!$B$3:$B$13,0))*1.15^(COUNTIF(Q$4:Q382,SUBSTITUTE(Q383,""Sell_"",""""))-COUNTIF(Q$4:Q382,"&amp;"""Sell_""&amp;SUBSTITUTE(Q383,""Sell_"",""""))))/2),ROUNDUP(INDEX(Upgrades!$C$3:$C$13,MATCH(Q383,Upgrades!$B$3:$B$13,0))*1.15^(COUNTIF(Q$4:Q382,Q383)-COUNTIF(Q$4:Q382,""Sell_""&amp;Q383))))))"),325483.0)</f>
        <v>325483</v>
      </c>
      <c r="V383" s="10">
        <f t="shared" si="11"/>
        <v>325483</v>
      </c>
      <c r="W383" s="68">
        <f t="shared" si="12"/>
        <v>7436.532688</v>
      </c>
      <c r="X383" s="59" t="str">
        <f t="shared" si="13"/>
        <v>2h 03m 56s</v>
      </c>
      <c r="Y383" s="69">
        <f t="shared" si="14"/>
        <v>860098966</v>
      </c>
      <c r="Z383" s="11"/>
    </row>
    <row r="384">
      <c r="A384" s="8"/>
      <c r="B384" s="56" t="str">
        <f t="shared" si="2"/>
        <v/>
      </c>
      <c r="C384" s="105"/>
      <c r="D384" s="10"/>
      <c r="E384" s="59" t="str">
        <f t="array" ref="E384">IF(COUNTA(C384:C1673)=0,"",SUM((COUNTIF(C$4:C384,Upgrades!$B$3:$B$13)-COUNTIF(C$4:C384,"Sell_"&amp;Upgrades!$B$3:$B$13))*Upgrades!$D$3:$D$13))</f>
        <v/>
      </c>
      <c r="F384" s="66" t="str">
        <f>IFERROR(__xludf.DUMMYFUNCTION("IF(COUNTA(C384:C1673)=0,"""",IF(REGEXMATCH(INDEX(FILTER(C$4:C384,C$4:C384&lt;&gt;""""),ROWS(FILTER(C$4:C384,C$4:C384&lt;&gt;""""))),""^Sell_""),INDEX(FILTER(F$4:F383,C$4:C383&lt;&gt;""""),ROWS(FILTER(C$4:C383,C$4:C383&lt;&gt;""""))),$AC$5+E384))"),"")</f>
        <v/>
      </c>
      <c r="G384" s="10" t="str">
        <f>IFERROR(__xludf.DUMMYFUNCTION("IF(COUNTA(C384:C1673)=0,"""",IF(C384="""",0,IF(REGEXMATCH(C384,""^Sell_""),-ROUNDDOWN(ROUNDUP(INDEX(Upgrades!$C$3:$C$13,MATCH(SUBSTITUTE(C384,""Sell_"",""""),Upgrades!$B$3:$B$13,0))*1.15^(COUNTIF(C$4:C383,SUBSTITUTE(C384,""Sell_"",""""))-COUNTIF(C$4:C383,"&amp;"""Sell_""&amp;SUBSTITUTE(C384,""Sell_"",""""))))/2),ROUNDUP(INDEX(Upgrades!$C$3:$C$13,MATCH(C384,Upgrades!$B$3:$B$13,0))*1.15^(COUNTIF(C$4:C383,C384)-COUNTIF(C$4:C383,""Sell_""&amp;C384))))))"),"")</f>
        <v/>
      </c>
      <c r="H384" s="10" t="str">
        <f t="shared" si="3"/>
        <v/>
      </c>
      <c r="I384" s="68" t="str">
        <f t="shared" si="4"/>
        <v/>
      </c>
      <c r="J384" s="59" t="str">
        <f t="shared" si="5"/>
        <v/>
      </c>
      <c r="K384" s="69" t="str">
        <f t="shared" si="6"/>
        <v/>
      </c>
      <c r="L384" s="60">
        <f t="shared" si="7"/>
        <v>-151.42317</v>
      </c>
      <c r="M384" s="61">
        <f>IFERROR(__xludf.DUMMYFUNCTION("IFS(AND(COUNTA(C384:C1673)=0,COUNTA(Q384:Q1673)=0),"""",OR(AND(K384&gt;=1000000000,OR(Y384&gt;=1000000000,COUNTA(Q384:Q1673)=0)),OR(Y384&gt;=1000000000,AND(COUNTA(C384:C1673)=0,P$3=TRUE))),
ROUNDDOWN((AB$1-AC$1)*MAX(INDEX(T$4:T1673,MATCH(LARGE(FILTER(Y$4:Y1673,Y$4"&amp;":Y1673&lt;1000000000),1),Y$4:Y1673)),INDEX(F$4:F1673,MATCH(LARGE(FILTER(K$4:K1673,K$4:K1673&lt;1000000000),1),K$4:K1673)))),AND(K384&lt;1000000000,COUNTA(C384:C1673)&gt;0,P$3=FALSE),
ROUNDDOWN(INDEX(Y$4:Y1673,MATCH(LARGE(FILTER(W$4:W1673,W$4:W1673&lt;=I384),1),W$4:W1673"&amp;"))+(I384-LARGE(FILTER(W$4:W1673,W$4:W1673&lt;=I384),1))*INDEX(T$4:T1673,MATCH(LARGE(FILTER(W$4:W1673,W$4:W1673&lt;=I384),1),W$4:W1673))-K384),1,
ROUNDDOWN(Y384-INDEX(K$4:K1673,MATCH(LARGE(FILTER(I$4:I1673,I$4:I1673&lt;=W384),1),I$4:I1673))-(W384-LARGE(FILTER(I$4:I"&amp;"1673,I$4:I1673&lt;=W384),1))*INDEX(F$4:F1673,MATCH(LARGE(FILTER(I$4:I1673,I$4:I1673&lt;=W384),1),I$4:I1673))))"),8.1452545E7)</f>
        <v>81452545</v>
      </c>
      <c r="N384" s="60">
        <f t="shared" si="8"/>
        <v>-151.42317</v>
      </c>
      <c r="O384" s="61" t="str">
        <f t="shared" si="9"/>
        <v>81,5M</v>
      </c>
      <c r="P384" s="56">
        <f t="shared" si="10"/>
        <v>15</v>
      </c>
      <c r="Q384" s="105" t="s">
        <v>9</v>
      </c>
      <c r="R384" s="10"/>
      <c r="S384" s="59">
        <f t="array" ref="S384">IF(COUNTA(Q384:Q1673)=0,"",SUM((COUNTIF(Q$4:Q384,Upgrades!$B$3:$B$13)-COUNTIF(Q$4:Q384,"Sell_"&amp;Upgrades!$B$3:$B$13))*Upgrades!$D$3:$D$13))</f>
        <v>530417.4</v>
      </c>
      <c r="T384" s="66">
        <f>IFERROR(__xludf.DUMMYFUNCTION("IF(COUNTA(Q384:Q1673)=0,"""",IF(REGEXMATCH(INDEX(FILTER(Q$4:Q384,Q$4:Q384&lt;&gt;""""),ROWS(FILTER(Q$4:Q384,Q$4:Q384&lt;&gt;""""))),""^Sell_""),INDEX(FILTER(T$4:T383,Q$4:Q383&lt;&gt;""""),ROWS(FILTER(Q$4:Q383,Q$4:Q383&lt;&gt;""""))),$AD$5+S384))"),530432.4)</f>
        <v>530432.4</v>
      </c>
      <c r="U384" s="10">
        <f>IFERROR(__xludf.DUMMYFUNCTION("IF(COUNTA(Q384:Q1673)=0,"""",IF(Q384="""",0,IF(REGEXMATCH(Q384,""^Sell_""),-ROUNDDOWN(ROUNDUP(INDEX(Upgrades!$C$3:$C$13,MATCH(SUBSTITUTE(Q384,""Sell_"",""""),Upgrades!$B$3:$B$13,0))*1.15^(COUNTIF(Q$4:Q383,SUBSTITUTE(Q384,""Sell_"",""""))-COUNTIF(Q$4:Q383,"&amp;"""Sell_""&amp;SUBSTITUTE(Q384,""Sell_"",""""))))/2),ROUNDUP(INDEX(Upgrades!$C$3:$C$13,MATCH(Q384,Upgrades!$B$3:$B$13,0))*1.15^(COUNTIF(Q$4:Q383,Q384)-COUNTIF(Q$4:Q383,""Sell_""&amp;Q384))))))"),1415142.0)</f>
        <v>1415142</v>
      </c>
      <c r="V384" s="10">
        <f t="shared" si="11"/>
        <v>1415142</v>
      </c>
      <c r="W384" s="68">
        <f t="shared" si="12"/>
        <v>7439.202604</v>
      </c>
      <c r="X384" s="59" t="str">
        <f t="shared" si="13"/>
        <v>2h 03m 59s</v>
      </c>
      <c r="Y384" s="69">
        <f t="shared" si="14"/>
        <v>861514108</v>
      </c>
      <c r="Z384" s="11"/>
    </row>
    <row r="385">
      <c r="A385" s="8"/>
      <c r="B385" s="56" t="str">
        <f t="shared" si="2"/>
        <v/>
      </c>
      <c r="C385" s="105"/>
      <c r="D385" s="10"/>
      <c r="E385" s="59" t="str">
        <f t="array" ref="E385">IF(COUNTA(C385:C1673)=0,"",SUM((COUNTIF(C$4:C385,Upgrades!$B$3:$B$13)-COUNTIF(C$4:C385,"Sell_"&amp;Upgrades!$B$3:$B$13))*Upgrades!$D$3:$D$13))</f>
        <v/>
      </c>
      <c r="F385" s="66" t="str">
        <f>IFERROR(__xludf.DUMMYFUNCTION("IF(COUNTA(C385:C1673)=0,"""",IF(REGEXMATCH(INDEX(FILTER(C$4:C385,C$4:C385&lt;&gt;""""),ROWS(FILTER(C$4:C385,C$4:C385&lt;&gt;""""))),""^Sell_""),INDEX(FILTER(F$4:F384,C$4:C384&lt;&gt;""""),ROWS(FILTER(C$4:C384,C$4:C384&lt;&gt;""""))),$AC$5+E385))"),"")</f>
        <v/>
      </c>
      <c r="G385" s="10" t="str">
        <f>IFERROR(__xludf.DUMMYFUNCTION("IF(COUNTA(C385:C1673)=0,"""",IF(C385="""",0,IF(REGEXMATCH(C385,""^Sell_""),-ROUNDDOWN(ROUNDUP(INDEX(Upgrades!$C$3:$C$13,MATCH(SUBSTITUTE(C385,""Sell_"",""""),Upgrades!$B$3:$B$13,0))*1.15^(COUNTIF(C$4:C384,SUBSTITUTE(C385,""Sell_"",""""))-COUNTIF(C$4:C384,"&amp;"""Sell_""&amp;SUBSTITUTE(C385,""Sell_"",""""))))/2),ROUNDUP(INDEX(Upgrades!$C$3:$C$13,MATCH(C385,Upgrades!$B$3:$B$13,0))*1.15^(COUNTIF(C$4:C384,C385)-COUNTIF(C$4:C384,""Sell_""&amp;C385))))))"),"")</f>
        <v/>
      </c>
      <c r="H385" s="10" t="str">
        <f t="shared" si="3"/>
        <v/>
      </c>
      <c r="I385" s="68" t="str">
        <f t="shared" si="4"/>
        <v/>
      </c>
      <c r="J385" s="59" t="str">
        <f t="shared" si="5"/>
        <v/>
      </c>
      <c r="K385" s="69" t="str">
        <f t="shared" si="6"/>
        <v/>
      </c>
      <c r="L385" s="60">
        <f t="shared" si="7"/>
        <v>-149.92129</v>
      </c>
      <c r="M385" s="61">
        <f>IFERROR(__xludf.DUMMYFUNCTION("IFS(AND(COUNTA(C385:C1673)=0,COUNTA(Q385:Q1673)=0),"""",OR(AND(K385&gt;=1000000000,OR(Y385&gt;=1000000000,COUNTA(Q385:Q1673)=0)),OR(Y385&gt;=1000000000,AND(COUNTA(C385:C1673)=0,P$3=TRUE))),
ROUNDDOWN((AB$1-AC$1)*MAX(INDEX(T$4:T1673,MATCH(LARGE(FILTER(Y$4:Y1673,Y$4"&amp;":Y1673&lt;1000000000),1),Y$4:Y1673)),INDEX(F$4:F1673,MATCH(LARGE(FILTER(K$4:K1673,K$4:K1673&lt;1000000000),1),K$4:K1673)))),AND(K385&lt;1000000000,COUNTA(C385:C1673)&gt;0,P$3=FALSE),
ROUNDDOWN(INDEX(Y$4:Y1673,MATCH(LARGE(FILTER(W$4:W1673,W$4:W1673&lt;=I385),1),W$4:W1673"&amp;"))+(I385-LARGE(FILTER(W$4:W1673,W$4:W1673&lt;=I385),1))*INDEX(T$4:T1673,MATCH(LARGE(FILTER(W$4:W1673,W$4:W1673&lt;=I385),1),W$4:W1673))-K385),1,
ROUNDDOWN(Y385-INDEX(K$4:K1673,MATCH(LARGE(FILTER(I$4:I1673,I$4:I1673&lt;=W385),1),I$4:I1673))-(W385-LARGE(FILTER(I$4:I"&amp;"1673,I$4:I1673&lt;=W385),1))*INDEX(F$4:F1673,MATCH(LARGE(FILTER(I$4:I1673,I$4:I1673&lt;=W385),1),I$4:I1673))))"),8.1422335E7)</f>
        <v>81422335</v>
      </c>
      <c r="N385" s="60">
        <f t="shared" si="8"/>
        <v>-149.92129</v>
      </c>
      <c r="O385" s="61" t="str">
        <f t="shared" si="9"/>
        <v>81,4M</v>
      </c>
      <c r="P385" s="56">
        <f t="shared" si="10"/>
        <v>20</v>
      </c>
      <c r="Q385" s="105" t="s">
        <v>10</v>
      </c>
      <c r="R385" s="10"/>
      <c r="S385" s="59">
        <f t="array" ref="S385">IF(COUNTA(Q385:Q1673)=0,"",SUM((COUNTIF(Q$4:Q385,Upgrades!$B$3:$B$13)-COUNTIF(Q$4:Q385,"Sell_"&amp;Upgrades!$B$3:$B$13))*Upgrades!$D$3:$D$13))</f>
        <v>537083.4</v>
      </c>
      <c r="T385" s="66">
        <f>IFERROR(__xludf.DUMMYFUNCTION("IF(COUNTA(Q385:Q1673)=0,"""",IF(REGEXMATCH(INDEX(FILTER(Q$4:Q385,Q$4:Q385&lt;&gt;""""),ROWS(FILTER(Q$4:Q385,Q$4:Q385&lt;&gt;""""))),""^Sell_""),INDEX(FILTER(T$4:T384,Q$4:Q384&lt;&gt;""""),ROWS(FILTER(Q$4:Q384,Q$4:Q384&lt;&gt;""""))),$AD$5+S385))"),537098.4)</f>
        <v>537098.4</v>
      </c>
      <c r="U385" s="10">
        <f>IFERROR(__xludf.DUMMYFUNCTION("IF(COUNTA(Q385:Q1673)=0,"""",IF(Q385="""",0,IF(REGEXMATCH(Q385,""^Sell_""),-ROUNDDOWN(ROUNDUP(INDEX(Upgrades!$C$3:$C$13,MATCH(SUBSTITUTE(Q385,""Sell_"",""""),Upgrades!$B$3:$B$13,0))*1.15^(COUNTIF(Q$4:Q384,SUBSTITUTE(Q385,""Sell_"",""""))-COUNTIF(Q$4:Q384,"&amp;"""Sell_""&amp;SUBSTITUTE(Q385,""Sell_"",""""))))/2),ROUNDUP(INDEX(Upgrades!$C$3:$C$13,MATCH(Q385,Upgrades!$B$3:$B$13,0))*1.15^(COUNTIF(Q$4:Q384,Q385)-COUNTIF(Q$4:Q384,""Sell_""&amp;Q385))))))"),2.371961E7)</f>
        <v>23719610</v>
      </c>
      <c r="V385" s="10">
        <f t="shared" si="11"/>
        <v>23719610</v>
      </c>
      <c r="W385" s="68">
        <f t="shared" si="12"/>
        <v>7483.920102</v>
      </c>
      <c r="X385" s="59" t="str">
        <f t="shared" si="13"/>
        <v>2h 04m 43s</v>
      </c>
      <c r="Y385" s="69">
        <f t="shared" si="14"/>
        <v>885233718</v>
      </c>
      <c r="Z385" s="11"/>
    </row>
    <row r="386">
      <c r="A386" s="8"/>
      <c r="B386" s="56" t="str">
        <f t="shared" si="2"/>
        <v/>
      </c>
      <c r="C386" s="105"/>
      <c r="D386" s="10"/>
      <c r="E386" s="59" t="str">
        <f t="array" ref="E386">IF(COUNTA(C386:C1673)=0,"",SUM((COUNTIF(C$4:C386,Upgrades!$B$3:$B$13)-COUNTIF(C$4:C386,"Sell_"&amp;Upgrades!$B$3:$B$13))*Upgrades!$D$3:$D$13))</f>
        <v/>
      </c>
      <c r="F386" s="66" t="str">
        <f>IFERROR(__xludf.DUMMYFUNCTION("IF(COUNTA(C386:C1673)=0,"""",IF(REGEXMATCH(INDEX(FILTER(C$4:C386,C$4:C386&lt;&gt;""""),ROWS(FILTER(C$4:C386,C$4:C386&lt;&gt;""""))),""^Sell_""),INDEX(FILTER(F$4:F385,C$4:C385&lt;&gt;""""),ROWS(FILTER(C$4:C385,C$4:C385&lt;&gt;""""))),$AC$5+E386))"),"")</f>
        <v/>
      </c>
      <c r="G386" s="10" t="str">
        <f>IFERROR(__xludf.DUMMYFUNCTION("IF(COUNTA(C386:C1673)=0,"""",IF(C386="""",0,IF(REGEXMATCH(C386,""^Sell_""),-ROUNDDOWN(ROUNDUP(INDEX(Upgrades!$C$3:$C$13,MATCH(SUBSTITUTE(C386,""Sell_"",""""),Upgrades!$B$3:$B$13,0))*1.15^(COUNTIF(C$4:C385,SUBSTITUTE(C386,""Sell_"",""""))-COUNTIF(C$4:C385,"&amp;"""Sell_""&amp;SUBSTITUTE(C386,""Sell_"",""""))))/2),ROUNDUP(INDEX(Upgrades!$C$3:$C$13,MATCH(C386,Upgrades!$B$3:$B$13,0))*1.15^(COUNTIF(C$4:C385,C386)-COUNTIF(C$4:C385,""Sell_""&amp;C386))))))"),"")</f>
        <v/>
      </c>
      <c r="H386" s="10" t="str">
        <f t="shared" si="3"/>
        <v/>
      </c>
      <c r="I386" s="68" t="str">
        <f t="shared" si="4"/>
        <v/>
      </c>
      <c r="J386" s="59" t="str">
        <f t="shared" si="5"/>
        <v/>
      </c>
      <c r="K386" s="69" t="str">
        <f t="shared" si="6"/>
        <v/>
      </c>
      <c r="L386" s="60">
        <f t="shared" si="7"/>
        <v>-149.90635</v>
      </c>
      <c r="M386" s="61">
        <f>IFERROR(__xludf.DUMMYFUNCTION("IFS(AND(COUNTA(C386:C1673)=0,COUNTA(Q386:Q1673)=0),"""",OR(AND(K386&gt;=1000000000,OR(Y386&gt;=1000000000,COUNTA(Q386:Q1673)=0)),OR(Y386&gt;=1000000000,AND(COUNTA(C386:C1673)=0,P$3=TRUE))),
ROUNDDOWN((AB$1-AC$1)*MAX(INDEX(T$4:T1673,MATCH(LARGE(FILTER(Y$4:Y1673,Y$4"&amp;":Y1673&lt;1000000000),1),Y$4:Y1673)),INDEX(F$4:F1673,MATCH(LARGE(FILTER(K$4:K1673,K$4:K1673&lt;1000000000),1),K$4:K1673)))),AND(K386&lt;1000000000,COUNTA(C386:C1673)&gt;0,P$3=FALSE),
ROUNDDOWN(INDEX(Y$4:Y1673,MATCH(LARGE(FILTER(W$4:W1673,W$4:W1673&lt;=I386),1),W$4:W1673"&amp;"))+(I386-LARGE(FILTER(W$4:W1673,W$4:W1673&lt;=I386),1))*INDEX(T$4:T1673,MATCH(LARGE(FILTER(W$4:W1673,W$4:W1673&lt;=I386),1),W$4:W1673))-K386),1,
ROUNDDOWN(Y386-INDEX(K$4:K1673,MATCH(LARGE(FILTER(I$4:I1673,I$4:I1673&lt;=W386),1),I$4:I1673))-(W386-LARGE(FILTER(I$4:I"&amp;"1673,I$4:I1673&lt;=W386),1))*INDEX(F$4:F1673,MATCH(LARGE(FILTER(I$4:I1673,I$4:I1673&lt;=W386),1),I$4:I1673))))"),8.1423425E7)</f>
        <v>81423425</v>
      </c>
      <c r="N386" s="60">
        <f t="shared" si="8"/>
        <v>-149.90635</v>
      </c>
      <c r="O386" s="61" t="str">
        <f t="shared" si="9"/>
        <v>81,4M</v>
      </c>
      <c r="P386" s="56">
        <f t="shared" si="10"/>
        <v>17</v>
      </c>
      <c r="Q386" s="105" t="s">
        <v>8</v>
      </c>
      <c r="R386" s="10"/>
      <c r="S386" s="59">
        <f t="array" ref="S386">IF(COUNTA(Q386:Q1673)=0,"",SUM((COUNTIF(Q$4:Q386,Upgrades!$B$3:$B$13)-COUNTIF(Q$4:Q386,"Sell_"&amp;Upgrades!$B$3:$B$13))*Upgrades!$D$3:$D$13))</f>
        <v>537183.4</v>
      </c>
      <c r="T386" s="66">
        <f>IFERROR(__xludf.DUMMYFUNCTION("IF(COUNTA(Q386:Q1673)=0,"""",IF(REGEXMATCH(INDEX(FILTER(Q$4:Q386,Q$4:Q386&lt;&gt;""""),ROWS(FILTER(Q$4:Q386,Q$4:Q386&lt;&gt;""""))),""^Sell_""),INDEX(FILTER(T$4:T385,Q$4:Q385&lt;&gt;""""),ROWS(FILTER(Q$4:Q385,Q$4:Q385&lt;&gt;""""))),$AD$5+S386))"),537198.4)</f>
        <v>537198.4</v>
      </c>
      <c r="U386" s="10">
        <f>IFERROR(__xludf.DUMMYFUNCTION("IF(COUNTA(Q386:Q1673)=0,"""",IF(Q386="""",0,IF(REGEXMATCH(Q386,""^Sell_""),-ROUNDDOWN(ROUNDUP(INDEX(Upgrades!$C$3:$C$13,MATCH(SUBSTITUTE(Q386,""Sell_"",""""),Upgrades!$B$3:$B$13,0))*1.15^(COUNTIF(Q$4:Q385,SUBSTITUTE(Q386,""Sell_"",""""))-COUNTIF(Q$4:Q385,"&amp;"""Sell_""&amp;SUBSTITUTE(Q386,""Sell_"",""""))))/2),ROUNDUP(INDEX(Upgrades!$C$3:$C$13,MATCH(Q386,Upgrades!$B$3:$B$13,0))*1.15^(COUNTIF(Q$4:Q385,Q386)-COUNTIF(Q$4:Q385,""Sell_""&amp;Q386))))))"),374305.0)</f>
        <v>374305</v>
      </c>
      <c r="V386" s="10">
        <f t="shared" si="11"/>
        <v>374305</v>
      </c>
      <c r="W386" s="68">
        <f t="shared" si="12"/>
        <v>7484.617004</v>
      </c>
      <c r="X386" s="59" t="str">
        <f t="shared" si="13"/>
        <v>2h 04m 44s</v>
      </c>
      <c r="Y386" s="69">
        <f t="shared" si="14"/>
        <v>885608023</v>
      </c>
      <c r="Z386" s="11"/>
    </row>
    <row r="387">
      <c r="A387" s="8"/>
      <c r="B387" s="56" t="str">
        <f t="shared" si="2"/>
        <v/>
      </c>
      <c r="C387" s="105"/>
      <c r="D387" s="10"/>
      <c r="E387" s="59" t="str">
        <f t="array" ref="E387">IF(COUNTA(C387:C1673)=0,"",SUM((COUNTIF(C$4:C387,Upgrades!$B$3:$B$13)-COUNTIF(C$4:C387,"Sell_"&amp;Upgrades!$B$3:$B$13))*Upgrades!$D$3:$D$13))</f>
        <v/>
      </c>
      <c r="F387" s="66" t="str">
        <f>IFERROR(__xludf.DUMMYFUNCTION("IF(COUNTA(C387:C1673)=0,"""",IF(REGEXMATCH(INDEX(FILTER(C$4:C387,C$4:C387&lt;&gt;""""),ROWS(FILTER(C$4:C387,C$4:C387&lt;&gt;""""))),""^Sell_""),INDEX(FILTER(F$4:F386,C$4:C386&lt;&gt;""""),ROWS(FILTER(C$4:C386,C$4:C386&lt;&gt;""""))),$AC$5+E387))"),"")</f>
        <v/>
      </c>
      <c r="G387" s="10" t="str">
        <f>IFERROR(__xludf.DUMMYFUNCTION("IF(COUNTA(C387:C1673)=0,"""",IF(C387="""",0,IF(REGEXMATCH(C387,""^Sell_""),-ROUNDDOWN(ROUNDUP(INDEX(Upgrades!$C$3:$C$13,MATCH(SUBSTITUTE(C387,""Sell_"",""""),Upgrades!$B$3:$B$13,0))*1.15^(COUNTIF(C$4:C386,SUBSTITUTE(C387,""Sell_"",""""))-COUNTIF(C$4:C386,"&amp;"""Sell_""&amp;SUBSTITUTE(C387,""Sell_"",""""))))/2),ROUNDUP(INDEX(Upgrades!$C$3:$C$13,MATCH(C387,Upgrades!$B$3:$B$13,0))*1.15^(COUNTIF(C$4:C386,C387)-COUNTIF(C$4:C386,""Sell_""&amp;C387))))))"),"")</f>
        <v/>
      </c>
      <c r="H387" s="10" t="str">
        <f t="shared" si="3"/>
        <v/>
      </c>
      <c r="I387" s="68" t="str">
        <f t="shared" si="4"/>
        <v/>
      </c>
      <c r="J387" s="59" t="str">
        <f t="shared" si="5"/>
        <v/>
      </c>
      <c r="K387" s="69" t="str">
        <f t="shared" si="6"/>
        <v/>
      </c>
      <c r="L387" s="60">
        <f t="shared" si="7"/>
        <v>-149.84194</v>
      </c>
      <c r="M387" s="61">
        <f>IFERROR(__xludf.DUMMYFUNCTION("IFS(AND(COUNTA(C387:C1673)=0,COUNTA(Q387:Q1673)=0),"""",OR(AND(K387&gt;=1000000000,OR(Y387&gt;=1000000000,COUNTA(Q387:Q1673)=0)),OR(Y387&gt;=1000000000,AND(COUNTA(C387:C1673)=0,P$3=TRUE))),
ROUNDDOWN((AB$1-AC$1)*MAX(INDEX(T$4:T1673,MATCH(LARGE(FILTER(Y$4:Y1673,Y$4"&amp;":Y1673&lt;1000000000),1),Y$4:Y1673)),INDEX(F$4:F1673,MATCH(LARGE(FILTER(K$4:K1673,K$4:K1673&lt;1000000000),1),K$4:K1673)))),AND(K387&lt;1000000000,COUNTA(C387:C1673)&gt;0,P$3=FALSE),
ROUNDDOWN(INDEX(Y$4:Y1673,MATCH(LARGE(FILTER(W$4:W1673,W$4:W1673&lt;=I387),1),W$4:W1673"&amp;"))+(I387-LARGE(FILTER(W$4:W1673,W$4:W1673&lt;=I387),1))*INDEX(T$4:T1673,MATCH(LARGE(FILTER(W$4:W1673,W$4:W1673&lt;=I387),1),W$4:W1673))-K387),1,
ROUNDDOWN(Y387-INDEX(K$4:K1673,MATCH(LARGE(FILTER(I$4:I1673,I$4:I1673&lt;=W387),1),I$4:I1673))-(W387-LARGE(FILTER(I$4:I"&amp;"1673,I$4:I1673&lt;=W387),1))*INDEX(F$4:F1673,MATCH(LARGE(FILTER(I$4:I1673,I$4:I1673&lt;=W387),1),I$4:I1673))))"),8.1428465E7)</f>
        <v>81428465</v>
      </c>
      <c r="N387" s="60">
        <f t="shared" si="8"/>
        <v>-149.84194</v>
      </c>
      <c r="O387" s="61" t="str">
        <f t="shared" si="9"/>
        <v>81,4M</v>
      </c>
      <c r="P387" s="56">
        <f t="shared" si="10"/>
        <v>16</v>
      </c>
      <c r="Q387" s="105" t="s">
        <v>9</v>
      </c>
      <c r="R387" s="10"/>
      <c r="S387" s="59">
        <f t="array" ref="S387">IF(COUNTA(Q387:Q1673)=0,"",SUM((COUNTIF(Q$4:Q387,Upgrades!$B$3:$B$13)-COUNTIF(Q$4:Q387,"Sell_"&amp;Upgrades!$B$3:$B$13))*Upgrades!$D$3:$D$13))</f>
        <v>537583.4</v>
      </c>
      <c r="T387" s="66">
        <f>IFERROR(__xludf.DUMMYFUNCTION("IF(COUNTA(Q387:Q1673)=0,"""",IF(REGEXMATCH(INDEX(FILTER(Q$4:Q387,Q$4:Q387&lt;&gt;""""),ROWS(FILTER(Q$4:Q387,Q$4:Q387&lt;&gt;""""))),""^Sell_""),INDEX(FILTER(T$4:T386,Q$4:Q386&lt;&gt;""""),ROWS(FILTER(Q$4:Q386,Q$4:Q386&lt;&gt;""""))),$AD$5+S387))"),537598.4)</f>
        <v>537598.4</v>
      </c>
      <c r="U387" s="10">
        <f>IFERROR(__xludf.DUMMYFUNCTION("IF(COUNTA(Q387:Q1673)=0,"""",IF(Q387="""",0,IF(REGEXMATCH(Q387,""^Sell_""),-ROUNDDOWN(ROUNDUP(INDEX(Upgrades!$C$3:$C$13,MATCH(SUBSTITUTE(Q387,""Sell_"",""""),Upgrades!$B$3:$B$13,0))*1.15^(COUNTIF(Q$4:Q386,SUBSTITUTE(Q387,""Sell_"",""""))-COUNTIF(Q$4:Q386,"&amp;"""Sell_""&amp;SUBSTITUTE(Q387,""Sell_"",""""))))/2),ROUNDUP(INDEX(Upgrades!$C$3:$C$13,MATCH(Q387,Upgrades!$B$3:$B$13,0))*1.15^(COUNTIF(Q$4:Q386,Q387)-COUNTIF(Q$4:Q386,""Sell_""&amp;Q387))))))"),1627413.0)</f>
        <v>1627413</v>
      </c>
      <c r="V387" s="10">
        <f t="shared" si="11"/>
        <v>1627413</v>
      </c>
      <c r="W387" s="68">
        <f t="shared" si="12"/>
        <v>7487.646449</v>
      </c>
      <c r="X387" s="59" t="str">
        <f t="shared" si="13"/>
        <v>2h 04m 47s</v>
      </c>
      <c r="Y387" s="69">
        <f t="shared" si="14"/>
        <v>887235436</v>
      </c>
      <c r="Z387" s="11"/>
    </row>
    <row r="388">
      <c r="A388" s="8"/>
      <c r="B388" s="56" t="str">
        <f t="shared" si="2"/>
        <v/>
      </c>
      <c r="C388" s="105"/>
      <c r="D388" s="10"/>
      <c r="E388" s="59" t="str">
        <f t="array" ref="E388">IF(COUNTA(C388:C1673)=0,"",SUM((COUNTIF(C$4:C388,Upgrades!$B$3:$B$13)-COUNTIF(C$4:C388,"Sell_"&amp;Upgrades!$B$3:$B$13))*Upgrades!$D$3:$D$13))</f>
        <v/>
      </c>
      <c r="F388" s="66" t="str">
        <f>IFERROR(__xludf.DUMMYFUNCTION("IF(COUNTA(C388:C1673)=0,"""",IF(REGEXMATCH(INDEX(FILTER(C$4:C388,C$4:C388&lt;&gt;""""),ROWS(FILTER(C$4:C388,C$4:C388&lt;&gt;""""))),""^Sell_""),INDEX(FILTER(F$4:F387,C$4:C387&lt;&gt;""""),ROWS(FILTER(C$4:C387,C$4:C387&lt;&gt;""""))),$AC$5+E388))"),"")</f>
        <v/>
      </c>
      <c r="G388" s="10" t="str">
        <f>IFERROR(__xludf.DUMMYFUNCTION("IF(COUNTA(C388:C1673)=0,"""",IF(C388="""",0,IF(REGEXMATCH(C388,""^Sell_""),-ROUNDDOWN(ROUNDUP(INDEX(Upgrades!$C$3:$C$13,MATCH(SUBSTITUTE(C388,""Sell_"",""""),Upgrades!$B$3:$B$13,0))*1.15^(COUNTIF(C$4:C387,SUBSTITUTE(C388,""Sell_"",""""))-COUNTIF(C$4:C387,"&amp;"""Sell_""&amp;SUBSTITUTE(C388,""Sell_"",""""))))/2),ROUNDUP(INDEX(Upgrades!$C$3:$C$13,MATCH(C388,Upgrades!$B$3:$B$13,0))*1.15^(COUNTIF(C$4:C387,C388)-COUNTIF(C$4:C387,""Sell_""&amp;C388))))))"),"")</f>
        <v/>
      </c>
      <c r="H388" s="10" t="str">
        <f t="shared" si="3"/>
        <v/>
      </c>
      <c r="I388" s="68" t="str">
        <f t="shared" si="4"/>
        <v/>
      </c>
      <c r="J388" s="59" t="str">
        <f t="shared" si="5"/>
        <v/>
      </c>
      <c r="K388" s="69" t="str">
        <f t="shared" si="6"/>
        <v/>
      </c>
      <c r="L388" s="60">
        <f t="shared" si="7"/>
        <v>-149.83569</v>
      </c>
      <c r="M388" s="61">
        <f>IFERROR(__xludf.DUMMYFUNCTION("IFS(AND(COUNTA(C388:C1673)=0,COUNTA(Q388:Q1673)=0),"""",OR(AND(K388&gt;=1000000000,OR(Y388&gt;=1000000000,COUNTA(Q388:Q1673)=0)),OR(Y388&gt;=1000000000,AND(COUNTA(C388:C1673)=0,P$3=TRUE))),
ROUNDDOWN((AB$1-AC$1)*MAX(INDEX(T$4:T1673,MATCH(LARGE(FILTER(Y$4:Y1673,Y$4"&amp;":Y1673&lt;1000000000),1),Y$4:Y1673)),INDEX(F$4:F1673,MATCH(LARGE(FILTER(K$4:K1673,K$4:K1673&lt;1000000000),1),K$4:K1673)))),AND(K388&lt;1000000000,COUNTA(C388:C1673)&gt;0,P$3=FALSE),
ROUNDDOWN(INDEX(Y$4:Y1673,MATCH(LARGE(FILTER(W$4:W1673,W$4:W1673&lt;=I388),1),W$4:W1673"&amp;"))+(I388-LARGE(FILTER(W$4:W1673,W$4:W1673&lt;=I388),1))*INDEX(T$4:T1673,MATCH(LARGE(FILTER(W$4:W1673,W$4:W1673&lt;=I388),1),W$4:W1673))-K388),1,
ROUNDDOWN(Y388-INDEX(K$4:K1673,MATCH(LARGE(FILTER(I$4:I1673,I$4:I1673&lt;=W388),1),I$4:I1673))-(W388-LARGE(FILTER(I$4:I"&amp;"1673,I$4:I1673&lt;=W388),1))*INDEX(F$4:F1673,MATCH(LARGE(FILTER(I$4:I1673,I$4:I1673&lt;=W388),1),I$4:I1673))))"),8.1429094E7)</f>
        <v>81429094</v>
      </c>
      <c r="N388" s="60">
        <f t="shared" si="8"/>
        <v>-149.83569</v>
      </c>
      <c r="O388" s="61" t="str">
        <f t="shared" si="9"/>
        <v>81,4M</v>
      </c>
      <c r="P388" s="56">
        <f t="shared" si="10"/>
        <v>21</v>
      </c>
      <c r="Q388" s="105" t="s">
        <v>7</v>
      </c>
      <c r="R388" s="10"/>
      <c r="S388" s="59">
        <f t="array" ref="S388">IF(COUNTA(Q388:Q1673)=0,"",SUM((COUNTIF(Q$4:Q388,Upgrades!$B$3:$B$13)-COUNTIF(Q$4:Q388,"Sell_"&amp;Upgrades!$B$3:$B$13))*Upgrades!$D$3:$D$13))</f>
        <v>537623.4</v>
      </c>
      <c r="T388" s="66">
        <f>IFERROR(__xludf.DUMMYFUNCTION("IF(COUNTA(Q388:Q1673)=0,"""",IF(REGEXMATCH(INDEX(FILTER(Q$4:Q388,Q$4:Q388&lt;&gt;""""),ROWS(FILTER(Q$4:Q388,Q$4:Q388&lt;&gt;""""))),""^Sell_""),INDEX(FILTER(T$4:T387,Q$4:Q387&lt;&gt;""""),ROWS(FILTER(Q$4:Q387,Q$4:Q387&lt;&gt;""""))),$AD$5+S388))"),537638.4)</f>
        <v>537638.4</v>
      </c>
      <c r="U388" s="10">
        <f>IFERROR(__xludf.DUMMYFUNCTION("IF(COUNTA(Q388:Q1673)=0,"""",IF(Q388="""",0,IF(REGEXMATCH(Q388,""^Sell_""),-ROUNDDOWN(ROUNDUP(INDEX(Upgrades!$C$3:$C$13,MATCH(SUBSTITUTE(Q388,""Sell_"",""""),Upgrades!$B$3:$B$13,0))*1.15^(COUNTIF(Q$4:Q387,SUBSTITUTE(Q388,""Sell_"",""""))-COUNTIF(Q$4:Q387,"&amp;"""Sell_""&amp;SUBSTITUTE(Q388,""Sell_"",""""))))/2),ROUNDUP(INDEX(Upgrades!$C$3:$C$13,MATCH(Q388,Upgrades!$B$3:$B$13,0))*1.15^(COUNTIF(Q$4:Q387,Q388)-COUNTIF(Q$4:Q387,""Sell_""&amp;Q388))))))"),163666.0)</f>
        <v>163666</v>
      </c>
      <c r="V388" s="10">
        <f t="shared" si="11"/>
        <v>163666</v>
      </c>
      <c r="W388" s="68">
        <f t="shared" si="12"/>
        <v>7487.950889</v>
      </c>
      <c r="X388" s="59" t="str">
        <f t="shared" si="13"/>
        <v>2h 04m 47s</v>
      </c>
      <c r="Y388" s="69">
        <f t="shared" si="14"/>
        <v>887399102</v>
      </c>
      <c r="Z388" s="11"/>
    </row>
    <row r="389">
      <c r="A389" s="8"/>
      <c r="B389" s="56" t="str">
        <f t="shared" si="2"/>
        <v/>
      </c>
      <c r="C389" s="105"/>
      <c r="D389" s="10"/>
      <c r="E389" s="59" t="str">
        <f t="array" ref="E389">IF(COUNTA(C389:C1673)=0,"",SUM((COUNTIF(C$4:C389,Upgrades!$B$3:$B$13)-COUNTIF(C$4:C389,"Sell_"&amp;Upgrades!$B$3:$B$13))*Upgrades!$D$3:$D$13))</f>
        <v/>
      </c>
      <c r="F389" s="66" t="str">
        <f>IFERROR(__xludf.DUMMYFUNCTION("IF(COUNTA(C389:C1673)=0,"""",IF(REGEXMATCH(INDEX(FILTER(C$4:C389,C$4:C389&lt;&gt;""""),ROWS(FILTER(C$4:C389,C$4:C389&lt;&gt;""""))),""^Sell_""),INDEX(FILTER(F$4:F388,C$4:C388&lt;&gt;""""),ROWS(FILTER(C$4:C388,C$4:C388&lt;&gt;""""))),$AC$5+E389))"),"")</f>
        <v/>
      </c>
      <c r="G389" s="10" t="str">
        <f>IFERROR(__xludf.DUMMYFUNCTION("IF(COUNTA(C389:C1673)=0,"""",IF(C389="""",0,IF(REGEXMATCH(C389,""^Sell_""),-ROUNDDOWN(ROUNDUP(INDEX(Upgrades!$C$3:$C$13,MATCH(SUBSTITUTE(C389,""Sell_"",""""),Upgrades!$B$3:$B$13,0))*1.15^(COUNTIF(C$4:C388,SUBSTITUTE(C389,""Sell_"",""""))-COUNTIF(C$4:C388,"&amp;"""Sell_""&amp;SUBSTITUTE(C389,""Sell_"",""""))))/2),ROUNDUP(INDEX(Upgrades!$C$3:$C$13,MATCH(C389,Upgrades!$B$3:$B$13,0))*1.15^(COUNTIF(C$4:C388,C389)-COUNTIF(C$4:C388,""Sell_""&amp;C389))))))"),"")</f>
        <v/>
      </c>
      <c r="H389" s="10" t="str">
        <f t="shared" si="3"/>
        <v/>
      </c>
      <c r="I389" s="68" t="str">
        <f t="shared" si="4"/>
        <v/>
      </c>
      <c r="J389" s="59" t="str">
        <f t="shared" si="5"/>
        <v/>
      </c>
      <c r="K389" s="69" t="str">
        <f t="shared" si="6"/>
        <v/>
      </c>
      <c r="L389" s="60">
        <f t="shared" si="7"/>
        <v>-148.26897</v>
      </c>
      <c r="M389" s="61">
        <f>IFERROR(__xludf.DUMMYFUNCTION("IFS(AND(COUNTA(C389:C1673)=0,COUNTA(Q389:Q1673)=0),"""",OR(AND(K389&gt;=1000000000,OR(Y389&gt;=1000000000,COUNTA(Q389:Q1673)=0)),OR(Y389&gt;=1000000000,AND(COUNTA(C389:C1673)=0,P$3=TRUE))),
ROUNDDOWN((AB$1-AC$1)*MAX(INDEX(T$4:T1673,MATCH(LARGE(FILTER(Y$4:Y1673,Y$4"&amp;":Y1673&lt;1000000000),1),Y$4:Y1673)),INDEX(F$4:F1673,MATCH(LARGE(FILTER(K$4:K1673,K$4:K1673&lt;1000000000),1),K$4:K1673)))),AND(K389&lt;1000000000,COUNTA(C389:C1673)&gt;0,P$3=FALSE),
ROUNDDOWN(INDEX(Y$4:Y1673,MATCH(LARGE(FILTER(W$4:W1673,W$4:W1673&lt;=I389),1),W$4:W1673"&amp;"))+(I389-LARGE(FILTER(W$4:W1673,W$4:W1673&lt;=I389),1))*INDEX(T$4:T1673,MATCH(LARGE(FILTER(W$4:W1673,W$4:W1673&lt;=I389),1),W$4:W1673))-K389),1,
ROUNDDOWN(Y389-INDEX(K$4:K1673,MATCH(LARGE(FILTER(I$4:I1673,I$4:I1673&lt;=W389),1),I$4:I1673))-(W389-LARGE(FILTER(I$4:I"&amp;"1673,I$4:I1673&lt;=W389),1))*INDEX(F$4:F1673,MATCH(LARGE(FILTER(I$4:I1673,I$4:I1673&lt;=W389),1),I$4:I1673))))"),8.1410153E7)</f>
        <v>81410153</v>
      </c>
      <c r="N389" s="60">
        <f t="shared" si="8"/>
        <v>-148.26897</v>
      </c>
      <c r="O389" s="61" t="str">
        <f t="shared" si="9"/>
        <v>81,4M</v>
      </c>
      <c r="P389" s="56">
        <f t="shared" si="10"/>
        <v>21</v>
      </c>
      <c r="Q389" s="105" t="s">
        <v>10</v>
      </c>
      <c r="R389" s="10"/>
      <c r="S389" s="59">
        <f t="array" ref="S389">IF(COUNTA(Q389:Q1673)=0,"",SUM((COUNTIF(Q$4:Q389,Upgrades!$B$3:$B$13)-COUNTIF(Q$4:Q389,"Sell_"&amp;Upgrades!$B$3:$B$13))*Upgrades!$D$3:$D$13))</f>
        <v>544289.4</v>
      </c>
      <c r="T389" s="66">
        <f>IFERROR(__xludf.DUMMYFUNCTION("IF(COUNTA(Q389:Q1673)=0,"""",IF(REGEXMATCH(INDEX(FILTER(Q$4:Q389,Q$4:Q389&lt;&gt;""""),ROWS(FILTER(Q$4:Q389,Q$4:Q389&lt;&gt;""""))),""^Sell_""),INDEX(FILTER(T$4:T388,Q$4:Q388&lt;&gt;""""),ROWS(FILTER(Q$4:Q388,Q$4:Q388&lt;&gt;""""))),$AD$5+S389))"),544304.4)</f>
        <v>544304.4</v>
      </c>
      <c r="U389" s="10">
        <f>IFERROR(__xludf.DUMMYFUNCTION("IF(COUNTA(Q389:Q1673)=0,"""",IF(Q389="""",0,IF(REGEXMATCH(Q389,""^Sell_""),-ROUNDDOWN(ROUNDUP(INDEX(Upgrades!$C$3:$C$13,MATCH(SUBSTITUTE(Q389,""Sell_"",""""),Upgrades!$B$3:$B$13,0))*1.15^(COUNTIF(Q$4:Q388,SUBSTITUTE(Q389,""Sell_"",""""))-COUNTIF(Q$4:Q388,"&amp;"""Sell_""&amp;SUBSTITUTE(Q389,""Sell_"",""""))))/2),ROUNDUP(INDEX(Upgrades!$C$3:$C$13,MATCH(Q389,Upgrades!$B$3:$B$13,0))*1.15^(COUNTIF(Q$4:Q388,Q389)-COUNTIF(Q$4:Q388,""Sell_""&amp;Q389))))))"),2.7277552E7)</f>
        <v>27277552</v>
      </c>
      <c r="V389" s="10">
        <f t="shared" si="11"/>
        <v>27277552</v>
      </c>
      <c r="W389" s="68">
        <f t="shared" si="12"/>
        <v>7538.686759</v>
      </c>
      <c r="X389" s="59" t="str">
        <f t="shared" si="13"/>
        <v>2h 05m 38s</v>
      </c>
      <c r="Y389" s="69">
        <f t="shared" si="14"/>
        <v>914676654</v>
      </c>
      <c r="Z389" s="11"/>
    </row>
    <row r="390">
      <c r="A390" s="8"/>
      <c r="B390" s="56" t="str">
        <f t="shared" si="2"/>
        <v/>
      </c>
      <c r="C390" s="105"/>
      <c r="D390" s="10"/>
      <c r="E390" s="59" t="str">
        <f t="array" ref="E390">IF(COUNTA(C390:C1673)=0,"",SUM((COUNTIF(C$4:C390,Upgrades!$B$3:$B$13)-COUNTIF(C$4:C390,"Sell_"&amp;Upgrades!$B$3:$B$13))*Upgrades!$D$3:$D$13))</f>
        <v/>
      </c>
      <c r="F390" s="66" t="str">
        <f>IFERROR(__xludf.DUMMYFUNCTION("IF(COUNTA(C390:C1673)=0,"""",IF(REGEXMATCH(INDEX(FILTER(C$4:C390,C$4:C390&lt;&gt;""""),ROWS(FILTER(C$4:C390,C$4:C390&lt;&gt;""""))),""^Sell_""),INDEX(FILTER(F$4:F389,C$4:C389&lt;&gt;""""),ROWS(FILTER(C$4:C389,C$4:C389&lt;&gt;""""))),$AC$5+E390))"),"")</f>
        <v/>
      </c>
      <c r="G390" s="10" t="str">
        <f>IFERROR(__xludf.DUMMYFUNCTION("IF(COUNTA(C390:C1673)=0,"""",IF(C390="""",0,IF(REGEXMATCH(C390,""^Sell_""),-ROUNDDOWN(ROUNDUP(INDEX(Upgrades!$C$3:$C$13,MATCH(SUBSTITUTE(C390,""Sell_"",""""),Upgrades!$B$3:$B$13,0))*1.15^(COUNTIF(C$4:C389,SUBSTITUTE(C390,""Sell_"",""""))-COUNTIF(C$4:C389,"&amp;"""Sell_""&amp;SUBSTITUTE(C390,""Sell_"",""""))))/2),ROUNDUP(INDEX(Upgrades!$C$3:$C$13,MATCH(C390,Upgrades!$B$3:$B$13,0))*1.15^(COUNTIF(C$4:C389,C390)-COUNTIF(C$4:C389,""Sell_""&amp;C390))))))"),"")</f>
        <v/>
      </c>
      <c r="H390" s="10" t="str">
        <f t="shared" si="3"/>
        <v/>
      </c>
      <c r="I390" s="68" t="str">
        <f t="shared" si="4"/>
        <v/>
      </c>
      <c r="J390" s="59" t="str">
        <f t="shared" si="5"/>
        <v/>
      </c>
      <c r="K390" s="69" t="str">
        <f t="shared" si="6"/>
        <v/>
      </c>
      <c r="L390" s="60">
        <f t="shared" si="7"/>
        <v>-148.26836</v>
      </c>
      <c r="M390" s="61">
        <f>IFERROR(__xludf.DUMMYFUNCTION("IFS(AND(COUNTA(C390:C1673)=0,COUNTA(Q390:Q1673)=0),"""",OR(AND(K390&gt;=1000000000,OR(Y390&gt;=1000000000,COUNTA(Q390:Q1673)=0)),OR(Y390&gt;=1000000000,AND(COUNTA(C390:C1673)=0,P$3=TRUE))),
ROUNDDOWN((AB$1-AC$1)*MAX(INDEX(T$4:T1673,MATCH(LARGE(FILTER(Y$4:Y1673,Y$4"&amp;":Y1673&lt;1000000000),1),Y$4:Y1673)),INDEX(F$4:F1673,MATCH(LARGE(FILTER(K$4:K1673,K$4:K1673&lt;1000000000),1),K$4:K1673)))),AND(K390&lt;1000000000,COUNTA(C390:C1673)&gt;0,P$3=FALSE),
ROUNDDOWN(INDEX(Y$4:Y1673,MATCH(LARGE(FILTER(W$4:W1673,W$4:W1673&lt;=I390),1),W$4:W1673"&amp;"))+(I390-LARGE(FILTER(W$4:W1673,W$4:W1673&lt;=I390),1))*INDEX(T$4:T1673,MATCH(LARGE(FILTER(W$4:W1673,W$4:W1673&lt;=I390),1),W$4:W1673))-K390),1,
ROUNDDOWN(Y390-INDEX(K$4:K1673,MATCH(LARGE(FILTER(I$4:I1673,I$4:I1673&lt;=W390),1),I$4:I1673))-(W390-LARGE(FILTER(I$4:I"&amp;"1673,I$4:I1673&lt;=W390),1))*INDEX(F$4:F1673,MATCH(LARGE(FILTER(I$4:I1673,I$4:I1673&lt;=W390),1),I$4:I1673))))"),8.1410216E7)</f>
        <v>81410216</v>
      </c>
      <c r="N390" s="60">
        <f t="shared" si="8"/>
        <v>-148.26836</v>
      </c>
      <c r="O390" s="61" t="str">
        <f t="shared" si="9"/>
        <v>81,4M</v>
      </c>
      <c r="P390" s="56">
        <f t="shared" si="10"/>
        <v>26</v>
      </c>
      <c r="Q390" s="105" t="s">
        <v>5</v>
      </c>
      <c r="R390" s="10"/>
      <c r="S390" s="59">
        <f t="array" ref="S390">IF(COUNTA(Q390:Q1673)=0,"",SUM((COUNTIF(Q$4:Q390,Upgrades!$B$3:$B$13)-COUNTIF(Q$4:Q390,"Sell_"&amp;Upgrades!$B$3:$B$13))*Upgrades!$D$3:$D$13))</f>
        <v>544293.4</v>
      </c>
      <c r="T390" s="66">
        <f>IFERROR(__xludf.DUMMYFUNCTION("IF(COUNTA(Q390:Q1673)=0,"""",IF(REGEXMATCH(INDEX(FILTER(Q$4:Q390,Q$4:Q390&lt;&gt;""""),ROWS(FILTER(Q$4:Q390,Q$4:Q390&lt;&gt;""""))),""^Sell_""),INDEX(FILTER(T$4:T389,Q$4:Q389&lt;&gt;""""),ROWS(FILTER(Q$4:Q389,Q$4:Q389&lt;&gt;""""))),$AD$5+S390))"),544308.4)</f>
        <v>544308.4</v>
      </c>
      <c r="U390" s="10">
        <f>IFERROR(__xludf.DUMMYFUNCTION("IF(COUNTA(Q390:Q1673)=0,"""",IF(Q390="""",0,IF(REGEXMATCH(Q390,""^Sell_""),-ROUNDDOWN(ROUNDUP(INDEX(Upgrades!$C$3:$C$13,MATCH(SUBSTITUTE(Q390,""Sell_"",""""),Upgrades!$B$3:$B$13,0))*1.15^(COUNTIF(Q$4:Q389,SUBSTITUTE(Q390,""Sell_"",""""))-COUNTIF(Q$4:Q389,"&amp;"""Sell_""&amp;SUBSTITUTE(Q390,""Sell_"",""""))))/2),ROUNDUP(INDEX(Upgrades!$C$3:$C$13,MATCH(Q390,Upgrades!$B$3:$B$13,0))*1.15^(COUNTIF(Q$4:Q389,Q390)-COUNTIF(Q$4:Q389,""Sell_""&amp;Q390))))))"),16460.0)</f>
        <v>16460</v>
      </c>
      <c r="V390" s="10">
        <f t="shared" si="11"/>
        <v>16460</v>
      </c>
      <c r="W390" s="68">
        <f t="shared" si="12"/>
        <v>7538.716999</v>
      </c>
      <c r="X390" s="59" t="str">
        <f t="shared" si="13"/>
        <v>2h 05m 38s</v>
      </c>
      <c r="Y390" s="69">
        <f t="shared" si="14"/>
        <v>914693114</v>
      </c>
      <c r="Z390" s="11"/>
    </row>
    <row r="391">
      <c r="A391" s="8"/>
      <c r="B391" s="56" t="str">
        <f t="shared" si="2"/>
        <v/>
      </c>
      <c r="C391" s="105"/>
      <c r="D391" s="10"/>
      <c r="E391" s="59" t="str">
        <f t="array" ref="E391">IF(COUNTA(C391:C1673)=0,"",SUM((COUNTIF(C$4:C391,Upgrades!$B$3:$B$13)-COUNTIF(C$4:C391,"Sell_"&amp;Upgrades!$B$3:$B$13))*Upgrades!$D$3:$D$13))</f>
        <v/>
      </c>
      <c r="F391" s="66" t="str">
        <f>IFERROR(__xludf.DUMMYFUNCTION("IF(COUNTA(C391:C1673)=0,"""",IF(REGEXMATCH(INDEX(FILTER(C$4:C391,C$4:C391&lt;&gt;""""),ROWS(FILTER(C$4:C391,C$4:C391&lt;&gt;""""))),""^Sell_""),INDEX(FILTER(F$4:F390,C$4:C390&lt;&gt;""""),ROWS(FILTER(C$4:C390,C$4:C390&lt;&gt;""""))),$AC$5+E391))"),"")</f>
        <v/>
      </c>
      <c r="G391" s="10" t="str">
        <f>IFERROR(__xludf.DUMMYFUNCTION("IF(COUNTA(C391:C1673)=0,"""",IF(C391="""",0,IF(REGEXMATCH(C391,""^Sell_""),-ROUNDDOWN(ROUNDUP(INDEX(Upgrades!$C$3:$C$13,MATCH(SUBSTITUTE(C391,""Sell_"",""""),Upgrades!$B$3:$B$13,0))*1.15^(COUNTIF(C$4:C390,SUBSTITUTE(C391,""Sell_"",""""))-COUNTIF(C$4:C390,"&amp;"""Sell_""&amp;SUBSTITUTE(C391,""Sell_"",""""))))/2),ROUNDUP(INDEX(Upgrades!$C$3:$C$13,MATCH(C391,Upgrades!$B$3:$B$13,0))*1.15^(COUNTIF(C$4:C390,C391)-COUNTIF(C$4:C390,""Sell_""&amp;C391))))))"),"")</f>
        <v/>
      </c>
      <c r="H391" s="10" t="str">
        <f t="shared" si="3"/>
        <v/>
      </c>
      <c r="I391" s="68" t="str">
        <f t="shared" si="4"/>
        <v/>
      </c>
      <c r="J391" s="59" t="str">
        <f t="shared" si="5"/>
        <v/>
      </c>
      <c r="K391" s="69" t="str">
        <f t="shared" si="6"/>
        <v/>
      </c>
      <c r="L391" s="60">
        <f t="shared" si="7"/>
        <v>-148.26677</v>
      </c>
      <c r="M391" s="61">
        <f>IFERROR(__xludf.DUMMYFUNCTION("IFS(AND(COUNTA(C391:C1673)=0,COUNTA(Q391:Q1673)=0),"""",OR(AND(K391&gt;=1000000000,OR(Y391&gt;=1000000000,COUNTA(Q391:Q1673)=0)),OR(Y391&gt;=1000000000,AND(COUNTA(C391:C1673)=0,P$3=TRUE))),
ROUNDDOWN((AB$1-AC$1)*MAX(INDEX(T$4:T1673,MATCH(LARGE(FILTER(Y$4:Y1673,Y$4"&amp;":Y1673&lt;1000000000),1),Y$4:Y1673)),INDEX(F$4:F1673,MATCH(LARGE(FILTER(K$4:K1673,K$4:K1673&lt;1000000000),1),K$4:K1673)))),AND(K391&lt;1000000000,COUNTA(C391:C1673)&gt;0,P$3=FALSE),
ROUNDDOWN(INDEX(Y$4:Y1673,MATCH(LARGE(FILTER(W$4:W1673,W$4:W1673&lt;=I391),1),W$4:W1673"&amp;"))+(I391-LARGE(FILTER(W$4:W1673,W$4:W1673&lt;=I391),1))*INDEX(T$4:T1673,MATCH(LARGE(FILTER(W$4:W1673,W$4:W1673&lt;=I391),1),W$4:W1673))-K391),1,
ROUNDDOWN(Y391-INDEX(K$4:K1673,MATCH(LARGE(FILTER(I$4:I1673,I$4:I1673&lt;=W391),1),I$4:I1673))-(W391-LARGE(FILTER(I$4:I"&amp;"1673,I$4:I1673&lt;=W391),1))*INDEX(F$4:F1673,MATCH(LARGE(FILTER(I$4:I1673,I$4:I1673&lt;=W391),1),I$4:I1673))))"),8.1410382E7)</f>
        <v>81410382</v>
      </c>
      <c r="N391" s="60">
        <f t="shared" si="8"/>
        <v>-148.26677</v>
      </c>
      <c r="O391" s="61" t="str">
        <f t="shared" si="9"/>
        <v>81,4M</v>
      </c>
      <c r="P391" s="56">
        <f t="shared" si="10"/>
        <v>20</v>
      </c>
      <c r="Q391" s="105" t="s">
        <v>6</v>
      </c>
      <c r="R391" s="10"/>
      <c r="S391" s="59">
        <f t="array" ref="S391">IF(COUNTA(Q391:Q1673)=0,"",SUM((COUNTIF(Q$4:Q391,Upgrades!$B$3:$B$13)-COUNTIF(Q$4:Q391,"Sell_"&amp;Upgrades!$B$3:$B$13))*Upgrades!$D$3:$D$13))</f>
        <v>544303.4</v>
      </c>
      <c r="T391" s="66">
        <f>IFERROR(__xludf.DUMMYFUNCTION("IF(COUNTA(Q391:Q1673)=0,"""",IF(REGEXMATCH(INDEX(FILTER(Q$4:Q391,Q$4:Q391&lt;&gt;""""),ROWS(FILTER(Q$4:Q391,Q$4:Q391&lt;&gt;""""))),""^Sell_""),INDEX(FILTER(T$4:T390,Q$4:Q390&lt;&gt;""""),ROWS(FILTER(Q$4:Q390,Q$4:Q390&lt;&gt;""""))),$AD$5+S391))"),544318.4)</f>
        <v>544318.4</v>
      </c>
      <c r="U391" s="10">
        <f>IFERROR(__xludf.DUMMYFUNCTION("IF(COUNTA(Q391:Q1673)=0,"""",IF(Q391="""",0,IF(REGEXMATCH(Q391,""^Sell_""),-ROUNDDOWN(ROUNDUP(INDEX(Upgrades!$C$3:$C$13,MATCH(SUBSTITUTE(Q391,""Sell_"",""""),Upgrades!$B$3:$B$13,0))*1.15^(COUNTIF(Q$4:Q390,SUBSTITUTE(Q391,""Sell_"",""""))-COUNTIF(Q$4:Q390,"&amp;"""Sell_""&amp;SUBSTITUTE(Q391,""Sell_"",""""))))/2),ROUNDUP(INDEX(Upgrades!$C$3:$C$13,MATCH(Q391,Upgrades!$B$3:$B$13,0))*1.15^(COUNTIF(Q$4:Q390,Q391)-COUNTIF(Q$4:Q390,""Sell_""&amp;Q391))))))"),42696.0)</f>
        <v>42696</v>
      </c>
      <c r="V391" s="10">
        <f t="shared" si="11"/>
        <v>42696</v>
      </c>
      <c r="W391" s="68">
        <f t="shared" si="12"/>
        <v>7538.79544</v>
      </c>
      <c r="X391" s="59" t="str">
        <f t="shared" si="13"/>
        <v>2h 05m 38s</v>
      </c>
      <c r="Y391" s="69">
        <f t="shared" si="14"/>
        <v>914735810</v>
      </c>
      <c r="Z391" s="11"/>
    </row>
    <row r="392">
      <c r="A392" s="8"/>
      <c r="B392" s="56" t="str">
        <f t="shared" si="2"/>
        <v/>
      </c>
      <c r="C392" s="105"/>
      <c r="D392" s="10"/>
      <c r="E392" s="59" t="str">
        <f t="array" ref="E392">IF(COUNTA(C392:C1673)=0,"",SUM((COUNTIF(C$4:C392,Upgrades!$B$3:$B$13)-COUNTIF(C$4:C392,"Sell_"&amp;Upgrades!$B$3:$B$13))*Upgrades!$D$3:$D$13))</f>
        <v/>
      </c>
      <c r="F392" s="66" t="str">
        <f>IFERROR(__xludf.DUMMYFUNCTION("IF(COUNTA(C392:C1673)=0,"""",IF(REGEXMATCH(INDEX(FILTER(C$4:C392,C$4:C392&lt;&gt;""""),ROWS(FILTER(C$4:C392,C$4:C392&lt;&gt;""""))),""^Sell_""),INDEX(FILTER(F$4:F391,C$4:C391&lt;&gt;""""),ROWS(FILTER(C$4:C391,C$4:C391&lt;&gt;""""))),$AC$5+E392))"),"")</f>
        <v/>
      </c>
      <c r="G392" s="10" t="str">
        <f>IFERROR(__xludf.DUMMYFUNCTION("IF(COUNTA(C392:C1673)=0,"""",IF(C392="""",0,IF(REGEXMATCH(C392,""^Sell_""),-ROUNDDOWN(ROUNDUP(INDEX(Upgrades!$C$3:$C$13,MATCH(SUBSTITUTE(C392,""Sell_"",""""),Upgrades!$B$3:$B$13,0))*1.15^(COUNTIF(C$4:C391,SUBSTITUTE(C392,""Sell_"",""""))-COUNTIF(C$4:C391,"&amp;"""Sell_""&amp;SUBSTITUTE(C392,""Sell_"",""""))))/2),ROUNDUP(INDEX(Upgrades!$C$3:$C$13,MATCH(C392,Upgrades!$B$3:$B$13,0))*1.15^(COUNTIF(C$4:C391,C392)-COUNTIF(C$4:C391,""Sell_""&amp;C392))))))"),"")</f>
        <v/>
      </c>
      <c r="H392" s="10" t="str">
        <f t="shared" si="3"/>
        <v/>
      </c>
      <c r="I392" s="68" t="str">
        <f t="shared" si="4"/>
        <v/>
      </c>
      <c r="J392" s="59" t="str">
        <f t="shared" si="5"/>
        <v/>
      </c>
      <c r="K392" s="69" t="str">
        <f t="shared" si="6"/>
        <v/>
      </c>
      <c r="L392" s="60">
        <f t="shared" si="7"/>
        <v>-148.26676</v>
      </c>
      <c r="M392" s="61">
        <f>IFERROR(__xludf.DUMMYFUNCTION("IFS(AND(COUNTA(C392:C1673)=0,COUNTA(Q392:Q1673)=0),"""",OR(AND(K392&gt;=1000000000,OR(Y392&gt;=1000000000,COUNTA(Q392:Q1673)=0)),OR(Y392&gt;=1000000000,AND(COUNTA(C392:C1673)=0,P$3=TRUE))),
ROUNDDOWN((AB$1-AC$1)*MAX(INDEX(T$4:T1673,MATCH(LARGE(FILTER(Y$4:Y1673,Y$4"&amp;":Y1673&lt;1000000000),1),Y$4:Y1673)),INDEX(F$4:F1673,MATCH(LARGE(FILTER(K$4:K1673,K$4:K1673&lt;1000000000),1),K$4:K1673)))),AND(K392&lt;1000000000,COUNTA(C392:C1673)&gt;0,P$3=FALSE),
ROUNDDOWN(INDEX(Y$4:Y1673,MATCH(LARGE(FILTER(W$4:W1673,W$4:W1673&lt;=I392),1),W$4:W1673"&amp;"))+(I392-LARGE(FILTER(W$4:W1673,W$4:W1673&lt;=I392),1))*INDEX(T$4:T1673,MATCH(LARGE(FILTER(W$4:W1673,W$4:W1673&lt;=I392),1),W$4:W1673))-K392),1,
ROUNDDOWN(Y392-INDEX(K$4:K1673,MATCH(LARGE(FILTER(I$4:I1673,I$4:I1673&lt;=W392),1),I$4:I1673))-(W392-LARGE(FILTER(I$4:I"&amp;"1673,I$4:I1673&lt;=W392),1))*INDEX(F$4:F1673,MATCH(LARGE(FILTER(I$4:I1673,I$4:I1673&lt;=W392),1),I$4:I1673))))"),8.1410383E7)</f>
        <v>81410383</v>
      </c>
      <c r="N392" s="60">
        <f t="shared" si="8"/>
        <v>-148.26676</v>
      </c>
      <c r="O392" s="61" t="str">
        <f t="shared" si="9"/>
        <v>81,4M</v>
      </c>
      <c r="P392" s="56">
        <f t="shared" si="10"/>
        <v>25</v>
      </c>
      <c r="Q392" s="105" t="s">
        <v>3</v>
      </c>
      <c r="R392" s="10"/>
      <c r="S392" s="59">
        <f t="array" ref="S392">IF(COUNTA(Q392:Q1673)=0,"",SUM((COUNTIF(Q$4:Q392,Upgrades!$B$3:$B$13)-COUNTIF(Q$4:Q392,"Sell_"&amp;Upgrades!$B$3:$B$13))*Upgrades!$D$3:$D$13))</f>
        <v>544303.5</v>
      </c>
      <c r="T392" s="66">
        <f>IFERROR(__xludf.DUMMYFUNCTION("IF(COUNTA(Q392:Q1673)=0,"""",IF(REGEXMATCH(INDEX(FILTER(Q$4:Q392,Q$4:Q392&lt;&gt;""""),ROWS(FILTER(Q$4:Q392,Q$4:Q392&lt;&gt;""""))),""^Sell_""),INDEX(FILTER(T$4:T391,Q$4:Q391&lt;&gt;""""),ROWS(FILTER(Q$4:Q391,Q$4:Q391&lt;&gt;""""))),$AD$5+S392))"),544318.5)</f>
        <v>544318.5</v>
      </c>
      <c r="U392" s="10">
        <f>IFERROR(__xludf.DUMMYFUNCTION("IF(COUNTA(Q392:Q1673)=0,"""",IF(Q392="""",0,IF(REGEXMATCH(Q392,""^Sell_""),-ROUNDDOWN(ROUNDUP(INDEX(Upgrades!$C$3:$C$13,MATCH(SUBSTITUTE(Q392,""Sell_"",""""),Upgrades!$B$3:$B$13,0))*1.15^(COUNTIF(Q$4:Q391,SUBSTITUTE(Q392,""Sell_"",""""))-COUNTIF(Q$4:Q391,"&amp;"""Sell_""&amp;SUBSTITUTE(Q392,""Sell_"",""""))))/2),ROUNDUP(INDEX(Upgrades!$C$3:$C$13,MATCH(Q392,Upgrades!$B$3:$B$13,0))*1.15^(COUNTIF(Q$4:Q391,Q392)-COUNTIF(Q$4:Q391,""Sell_""&amp;Q392))))))"),430.0)</f>
        <v>430</v>
      </c>
      <c r="V392" s="10">
        <f t="shared" si="11"/>
        <v>430</v>
      </c>
      <c r="W392" s="68">
        <f t="shared" si="12"/>
        <v>7538.79623</v>
      </c>
      <c r="X392" s="59" t="str">
        <f t="shared" si="13"/>
        <v>2h 05m 38s</v>
      </c>
      <c r="Y392" s="69">
        <f t="shared" si="14"/>
        <v>914736240</v>
      </c>
      <c r="Z392" s="11"/>
    </row>
    <row r="393">
      <c r="A393" s="8"/>
      <c r="B393" s="56" t="str">
        <f t="shared" si="2"/>
        <v/>
      </c>
      <c r="C393" s="105"/>
      <c r="D393" s="10"/>
      <c r="E393" s="59" t="str">
        <f t="array" ref="E393">IF(COUNTA(C393:C1673)=0,"",SUM((COUNTIF(C$4:C393,Upgrades!$B$3:$B$13)-COUNTIF(C$4:C393,"Sell_"&amp;Upgrades!$B$3:$B$13))*Upgrades!$D$3:$D$13))</f>
        <v/>
      </c>
      <c r="F393" s="66" t="str">
        <f>IFERROR(__xludf.DUMMYFUNCTION("IF(COUNTA(C393:C1673)=0,"""",IF(REGEXMATCH(INDEX(FILTER(C$4:C393,C$4:C393&lt;&gt;""""),ROWS(FILTER(C$4:C393,C$4:C393&lt;&gt;""""))),""^Sell_""),INDEX(FILTER(F$4:F392,C$4:C392&lt;&gt;""""),ROWS(FILTER(C$4:C392,C$4:C392&lt;&gt;""""))),$AC$5+E393))"),"")</f>
        <v/>
      </c>
      <c r="G393" s="10" t="str">
        <f>IFERROR(__xludf.DUMMYFUNCTION("IF(COUNTA(C393:C1673)=0,"""",IF(C393="""",0,IF(REGEXMATCH(C393,""^Sell_""),-ROUNDDOWN(ROUNDUP(INDEX(Upgrades!$C$3:$C$13,MATCH(SUBSTITUTE(C393,""Sell_"",""""),Upgrades!$B$3:$B$13,0))*1.15^(COUNTIF(C$4:C392,SUBSTITUTE(C393,""Sell_"",""""))-COUNTIF(C$4:C392,"&amp;"""Sell_""&amp;SUBSTITUTE(C393,""Sell_"",""""))))/2),ROUNDUP(INDEX(Upgrades!$C$3:$C$13,MATCH(C393,Upgrades!$B$3:$B$13,0))*1.15^(COUNTIF(C$4:C392,C393)-COUNTIF(C$4:C392,""Sell_""&amp;C393))))))"),"")</f>
        <v/>
      </c>
      <c r="H393" s="10" t="str">
        <f t="shared" si="3"/>
        <v/>
      </c>
      <c r="I393" s="68" t="str">
        <f t="shared" si="4"/>
        <v/>
      </c>
      <c r="J393" s="59" t="str">
        <f t="shared" si="5"/>
        <v/>
      </c>
      <c r="K393" s="69" t="str">
        <f t="shared" si="6"/>
        <v/>
      </c>
      <c r="L393" s="60">
        <f t="shared" si="7"/>
        <v>-148.25079</v>
      </c>
      <c r="M393" s="61">
        <f>IFERROR(__xludf.DUMMYFUNCTION("IFS(AND(COUNTA(C393:C1673)=0,COUNTA(Q393:Q1673)=0),"""",OR(AND(K393&gt;=1000000000,OR(Y393&gt;=1000000000,COUNTA(Q393:Q1673)=0)),OR(Y393&gt;=1000000000,AND(COUNTA(C393:C1673)=0,P$3=TRUE))),
ROUNDDOWN((AB$1-AC$1)*MAX(INDEX(T$4:T1673,MATCH(LARGE(FILTER(Y$4:Y1673,Y$4"&amp;":Y1673&lt;1000000000),1),Y$4:Y1673)),INDEX(F$4:F1673,MATCH(LARGE(FILTER(K$4:K1673,K$4:K1673&lt;1000000000),1),K$4:K1673)))),AND(K393&lt;1000000000,COUNTA(C393:C1673)&gt;0,P$3=FALSE),
ROUNDDOWN(INDEX(Y$4:Y1673,MATCH(LARGE(FILTER(W$4:W1673,W$4:W1673&lt;=I393),1),W$4:W1673"&amp;"))+(I393-LARGE(FILTER(W$4:W1673,W$4:W1673&lt;=I393),1))*INDEX(T$4:T1673,MATCH(LARGE(FILTER(W$4:W1673,W$4:W1673&lt;=I393),1),W$4:W1673))-K393),1,
ROUNDDOWN(Y393-INDEX(K$4:K1673,MATCH(LARGE(FILTER(I$4:I1673,I$4:I1673&lt;=W393),1),I$4:I1673))-(W393-LARGE(FILTER(I$4:I"&amp;"1673,I$4:I1673&lt;=W393),1))*INDEX(F$4:F1673,MATCH(LARGE(FILTER(I$4:I1673,I$4:I1673&lt;=W393),1),I$4:I1673))))"),8.1412058E7)</f>
        <v>81412058</v>
      </c>
      <c r="N393" s="60">
        <f t="shared" si="8"/>
        <v>-148.25079</v>
      </c>
      <c r="O393" s="61" t="str">
        <f t="shared" si="9"/>
        <v>81,4M</v>
      </c>
      <c r="P393" s="56">
        <f t="shared" si="10"/>
        <v>18</v>
      </c>
      <c r="Q393" s="105" t="s">
        <v>8</v>
      </c>
      <c r="R393" s="10"/>
      <c r="S393" s="59">
        <f t="array" ref="S393">IF(COUNTA(Q393:Q1673)=0,"",SUM((COUNTIF(Q$4:Q393,Upgrades!$B$3:$B$13)-COUNTIF(Q$4:Q393,"Sell_"&amp;Upgrades!$B$3:$B$13))*Upgrades!$D$3:$D$13))</f>
        <v>544403.5</v>
      </c>
      <c r="T393" s="66">
        <f>IFERROR(__xludf.DUMMYFUNCTION("IF(COUNTA(Q393:Q1673)=0,"""",IF(REGEXMATCH(INDEX(FILTER(Q$4:Q393,Q$4:Q393&lt;&gt;""""),ROWS(FILTER(Q$4:Q393,Q$4:Q393&lt;&gt;""""))),""^Sell_""),INDEX(FILTER(T$4:T392,Q$4:Q392&lt;&gt;""""),ROWS(FILTER(Q$4:Q392,Q$4:Q392&lt;&gt;""""))),$AD$5+S393))"),544418.5)</f>
        <v>544418.5</v>
      </c>
      <c r="U393" s="10">
        <f>IFERROR(__xludf.DUMMYFUNCTION("IF(COUNTA(Q393:Q1673)=0,"""",IF(Q393="""",0,IF(REGEXMATCH(Q393,""^Sell_""),-ROUNDDOWN(ROUNDUP(INDEX(Upgrades!$C$3:$C$13,MATCH(SUBSTITUTE(Q393,""Sell_"",""""),Upgrades!$B$3:$B$13,0))*1.15^(COUNTIF(Q$4:Q392,SUBSTITUTE(Q393,""Sell_"",""""))-COUNTIF(Q$4:Q392,"&amp;"""Sell_""&amp;SUBSTITUTE(Q393,""Sell_"",""""))))/2),ROUNDUP(INDEX(Upgrades!$C$3:$C$13,MATCH(Q393,Upgrades!$B$3:$B$13,0))*1.15^(COUNTIF(Q$4:Q392,Q393)-COUNTIF(Q$4:Q392,""Sell_""&amp;Q393))))))"),430451.0)</f>
        <v>430451</v>
      </c>
      <c r="V393" s="10">
        <f t="shared" si="11"/>
        <v>430451</v>
      </c>
      <c r="W393" s="68">
        <f t="shared" si="12"/>
        <v>7539.587037</v>
      </c>
      <c r="X393" s="59" t="str">
        <f t="shared" si="13"/>
        <v>2h 05m 39s</v>
      </c>
      <c r="Y393" s="69">
        <f t="shared" si="14"/>
        <v>915166691</v>
      </c>
      <c r="Z393" s="11"/>
    </row>
    <row r="394">
      <c r="A394" s="8"/>
      <c r="B394" s="56" t="str">
        <f t="shared" si="2"/>
        <v/>
      </c>
      <c r="C394" s="105"/>
      <c r="D394" s="10"/>
      <c r="E394" s="59" t="str">
        <f t="array" ref="E394">IF(COUNTA(C394:C1673)=0,"",SUM((COUNTIF(C$4:C394,Upgrades!$B$3:$B$13)-COUNTIF(C$4:C394,"Sell_"&amp;Upgrades!$B$3:$B$13))*Upgrades!$D$3:$D$13))</f>
        <v/>
      </c>
      <c r="F394" s="66" t="str">
        <f>IFERROR(__xludf.DUMMYFUNCTION("IF(COUNTA(C394:C1673)=0,"""",IF(REGEXMATCH(INDEX(FILTER(C$4:C394,C$4:C394&lt;&gt;""""),ROWS(FILTER(C$4:C394,C$4:C394&lt;&gt;""""))),""^Sell_""),INDEX(FILTER(F$4:F393,C$4:C393&lt;&gt;""""),ROWS(FILTER(C$4:C393,C$4:C393&lt;&gt;""""))),$AC$5+E394))"),"")</f>
        <v/>
      </c>
      <c r="G394" s="10" t="str">
        <f>IFERROR(__xludf.DUMMYFUNCTION("IF(COUNTA(C394:C1673)=0,"""",IF(C394="""",0,IF(REGEXMATCH(C394,""^Sell_""),-ROUNDDOWN(ROUNDUP(INDEX(Upgrades!$C$3:$C$13,MATCH(SUBSTITUTE(C394,""Sell_"",""""),Upgrades!$B$3:$B$13,0))*1.15^(COUNTIF(C$4:C393,SUBSTITUTE(C394,""Sell_"",""""))-COUNTIF(C$4:C393,"&amp;"""Sell_""&amp;SUBSTITUTE(C394,""Sell_"",""""))))/2),ROUNDUP(INDEX(Upgrades!$C$3:$C$13,MATCH(C394,Upgrades!$B$3:$B$13,0))*1.15^(COUNTIF(C$4:C393,C394)-COUNTIF(C$4:C393,""Sell_""&amp;C394))))))"),"")</f>
        <v/>
      </c>
      <c r="H394" s="10" t="str">
        <f t="shared" si="3"/>
        <v/>
      </c>
      <c r="I394" s="68" t="str">
        <f t="shared" si="4"/>
        <v/>
      </c>
      <c r="J394" s="59" t="str">
        <f t="shared" si="5"/>
        <v/>
      </c>
      <c r="K394" s="69" t="str">
        <f t="shared" si="6"/>
        <v/>
      </c>
      <c r="L394" s="60">
        <f t="shared" si="7"/>
        <v>-148.25071</v>
      </c>
      <c r="M394" s="61">
        <f>IFERROR(__xludf.DUMMYFUNCTION("IFS(AND(COUNTA(C394:C1673)=0,COUNTA(Q394:Q1673)=0),"""",OR(AND(K394&gt;=1000000000,OR(Y394&gt;=1000000000,COUNTA(Q394:Q1673)=0)),OR(Y394&gt;=1000000000,AND(COUNTA(C394:C1673)=0,P$3=TRUE))),
ROUNDDOWN((AB$1-AC$1)*MAX(INDEX(T$4:T1673,MATCH(LARGE(FILTER(Y$4:Y1673,Y$4"&amp;":Y1673&lt;1000000000),1),Y$4:Y1673)),INDEX(F$4:F1673,MATCH(LARGE(FILTER(K$4:K1673,K$4:K1673&lt;1000000000),1),K$4:K1673)))),AND(K394&lt;1000000000,COUNTA(C394:C1673)&gt;0,P$3=FALSE),
ROUNDDOWN(INDEX(Y$4:Y1673,MATCH(LARGE(FILTER(W$4:W1673,W$4:W1673&lt;=I394),1),W$4:W1673"&amp;"))+(I394-LARGE(FILTER(W$4:W1673,W$4:W1673&lt;=I394),1))*INDEX(T$4:T1673,MATCH(LARGE(FILTER(W$4:W1673,W$4:W1673&lt;=I394),1),W$4:W1673))-K394),1,
ROUNDDOWN(Y394-INDEX(K$4:K1673,MATCH(LARGE(FILTER(I$4:I1673,I$4:I1673&lt;=W394),1),I$4:I1673))-(W394-LARGE(FILTER(I$4:I"&amp;"1673,I$4:I1673&lt;=W394),1))*INDEX(F$4:F1673,MATCH(LARGE(FILTER(I$4:I1673,I$4:I1673&lt;=W394),1),I$4:I1673))))"),8.1412067E7)</f>
        <v>81412067</v>
      </c>
      <c r="N394" s="60">
        <f t="shared" si="8"/>
        <v>-148.25071</v>
      </c>
      <c r="O394" s="61" t="str">
        <f t="shared" si="9"/>
        <v>81,4M</v>
      </c>
      <c r="P394" s="56">
        <f t="shared" si="10"/>
        <v>23</v>
      </c>
      <c r="Q394" s="105" t="s">
        <v>4</v>
      </c>
      <c r="R394" s="10"/>
      <c r="S394" s="59">
        <f t="array" ref="S394">IF(COUNTA(Q394:Q1673)=0,"",SUM((COUNTIF(Q$4:Q394,Upgrades!$B$3:$B$13)-COUNTIF(Q$4:Q394,"Sell_"&amp;Upgrades!$B$3:$B$13))*Upgrades!$D$3:$D$13))</f>
        <v>544404</v>
      </c>
      <c r="T394" s="66">
        <f>IFERROR(__xludf.DUMMYFUNCTION("IF(COUNTA(Q394:Q1673)=0,"""",IF(REGEXMATCH(INDEX(FILTER(Q$4:Q394,Q$4:Q394&lt;&gt;""""),ROWS(FILTER(Q$4:Q394,Q$4:Q394&lt;&gt;""""))),""^Sell_""),INDEX(FILTER(T$4:T393,Q$4:Q393&lt;&gt;""""),ROWS(FILTER(Q$4:Q393,Q$4:Q393&lt;&gt;""""))),$AD$5+S394))"),544419.0)</f>
        <v>544419</v>
      </c>
      <c r="U394" s="10">
        <f>IFERROR(__xludf.DUMMYFUNCTION("IF(COUNTA(Q394:Q1673)=0,"""",IF(Q394="""",0,IF(REGEXMATCH(Q394,""^Sell_""),-ROUNDDOWN(ROUNDUP(INDEX(Upgrades!$C$3:$C$13,MATCH(SUBSTITUTE(Q394,""Sell_"",""""),Upgrades!$B$3:$B$13,0))*1.15^(COUNTIF(Q$4:Q393,SUBSTITUTE(Q394,""Sell_"",""""))-COUNTIF(Q$4:Q393,"&amp;"""Sell_""&amp;SUBSTITUTE(Q394,""Sell_"",""""))))/2),ROUNDUP(INDEX(Upgrades!$C$3:$C$13,MATCH(Q394,Upgrades!$B$3:$B$13,0))*1.15^(COUNTIF(Q$4:Q393,Q394)-COUNTIF(Q$4:Q393,""Sell_""&amp;Q394))))))"),2165.0)</f>
        <v>2165</v>
      </c>
      <c r="V394" s="10">
        <f t="shared" si="11"/>
        <v>2165</v>
      </c>
      <c r="W394" s="68">
        <f t="shared" si="12"/>
        <v>7539.591014</v>
      </c>
      <c r="X394" s="59" t="str">
        <f t="shared" si="13"/>
        <v>2h 05m 39s</v>
      </c>
      <c r="Y394" s="69">
        <f t="shared" si="14"/>
        <v>915168856</v>
      </c>
      <c r="Z394" s="11"/>
    </row>
    <row r="395">
      <c r="A395" s="8"/>
      <c r="B395" s="56" t="str">
        <f t="shared" si="2"/>
        <v/>
      </c>
      <c r="C395" s="105"/>
      <c r="D395" s="10"/>
      <c r="E395" s="59" t="str">
        <f t="array" ref="E395">IF(COUNTA(C395:C1673)=0,"",SUM((COUNTIF(C$4:C395,Upgrades!$B$3:$B$13)-COUNTIF(C$4:C395,"Sell_"&amp;Upgrades!$B$3:$B$13))*Upgrades!$D$3:$D$13))</f>
        <v/>
      </c>
      <c r="F395" s="66" t="str">
        <f>IFERROR(__xludf.DUMMYFUNCTION("IF(COUNTA(C395:C1673)=0,"""",IF(REGEXMATCH(INDEX(FILTER(C$4:C395,C$4:C395&lt;&gt;""""),ROWS(FILTER(C$4:C395,C$4:C395&lt;&gt;""""))),""^Sell_""),INDEX(FILTER(F$4:F394,C$4:C394&lt;&gt;""""),ROWS(FILTER(C$4:C394,C$4:C394&lt;&gt;""""))),$AC$5+E395))"),"")</f>
        <v/>
      </c>
      <c r="G395" s="10" t="str">
        <f>IFERROR(__xludf.DUMMYFUNCTION("IF(COUNTA(C395:C1673)=0,"""",IF(C395="""",0,IF(REGEXMATCH(C395,""^Sell_""),-ROUNDDOWN(ROUNDUP(INDEX(Upgrades!$C$3:$C$13,MATCH(SUBSTITUTE(C395,""Sell_"",""""),Upgrades!$B$3:$B$13,0))*1.15^(COUNTIF(C$4:C394,SUBSTITUTE(C395,""Sell_"",""""))-COUNTIF(C$4:C394,"&amp;"""Sell_""&amp;SUBSTITUTE(C395,""Sell_"",""""))))/2),ROUNDUP(INDEX(Upgrades!$C$3:$C$13,MATCH(C395,Upgrades!$B$3:$B$13,0))*1.15^(COUNTIF(C$4:C394,C395)-COUNTIF(C$4:C394,""Sell_""&amp;C395))))))"),"")</f>
        <v/>
      </c>
      <c r="H395" s="10" t="str">
        <f t="shared" si="3"/>
        <v/>
      </c>
      <c r="I395" s="68" t="str">
        <f t="shared" si="4"/>
        <v/>
      </c>
      <c r="J395" s="59" t="str">
        <f t="shared" si="5"/>
        <v/>
      </c>
      <c r="K395" s="69" t="str">
        <f t="shared" si="6"/>
        <v/>
      </c>
      <c r="L395" s="60">
        <f t="shared" si="7"/>
        <v>-148.18194</v>
      </c>
      <c r="M395" s="61">
        <f>IFERROR(__xludf.DUMMYFUNCTION("IFS(AND(COUNTA(C395:C1673)=0,COUNTA(Q395:Q1673)=0),"""",OR(AND(K395&gt;=1000000000,OR(Y395&gt;=1000000000,COUNTA(Q395:Q1673)=0)),OR(Y395&gt;=1000000000,AND(COUNTA(C395:C1673)=0,P$3=TRUE))),
ROUNDDOWN((AB$1-AC$1)*MAX(INDEX(T$4:T1673,MATCH(LARGE(FILTER(Y$4:Y1673,Y$4"&amp;":Y1673&lt;1000000000),1),Y$4:Y1673)),INDEX(F$4:F1673,MATCH(LARGE(FILTER(K$4:K1673,K$4:K1673&lt;1000000000),1),K$4:K1673)))),AND(K395&lt;1000000000,COUNTA(C395:C1673)&gt;0,P$3=FALSE),
ROUNDDOWN(INDEX(Y$4:Y1673,MATCH(LARGE(FILTER(W$4:W1673,W$4:W1673&lt;=I395),1),W$4:W1673"&amp;"))+(I395-LARGE(FILTER(W$4:W1673,W$4:W1673&lt;=I395),1))*INDEX(T$4:T1673,MATCH(LARGE(FILTER(W$4:W1673,W$4:W1673&lt;=I395),1),W$4:W1673))-K395),1,
ROUNDDOWN(Y395-INDEX(K$4:K1673,MATCH(LARGE(FILTER(I$4:I1673,I$4:I1673&lt;=W395),1),I$4:I1673))-(W395-LARGE(FILTER(I$4:I"&amp;"1673,I$4:I1673&lt;=W395),1))*INDEX(F$4:F1673,MATCH(LARGE(FILTER(I$4:I1673,I$4:I1673&lt;=W395),1),I$4:I1673))))"),8.1419693E7)</f>
        <v>81419693</v>
      </c>
      <c r="N395" s="60">
        <f t="shared" si="8"/>
        <v>-148.18194</v>
      </c>
      <c r="O395" s="61" t="str">
        <f t="shared" si="9"/>
        <v>81,4M</v>
      </c>
      <c r="P395" s="56">
        <f t="shared" si="10"/>
        <v>17</v>
      </c>
      <c r="Q395" s="105" t="s">
        <v>9</v>
      </c>
      <c r="R395" s="10"/>
      <c r="S395" s="59">
        <f t="array" ref="S395">IF(COUNTA(Q395:Q1673)=0,"",SUM((COUNTIF(Q$4:Q395,Upgrades!$B$3:$B$13)-COUNTIF(Q$4:Q395,"Sell_"&amp;Upgrades!$B$3:$B$13))*Upgrades!$D$3:$D$13))</f>
        <v>544804</v>
      </c>
      <c r="T395" s="66">
        <f>IFERROR(__xludf.DUMMYFUNCTION("IF(COUNTA(Q395:Q1673)=0,"""",IF(REGEXMATCH(INDEX(FILTER(Q$4:Q395,Q$4:Q395&lt;&gt;""""),ROWS(FILTER(Q$4:Q395,Q$4:Q395&lt;&gt;""""))),""^Sell_""),INDEX(FILTER(T$4:T394,Q$4:Q394&lt;&gt;""""),ROWS(FILTER(Q$4:Q394,Q$4:Q394&lt;&gt;""""))),$AD$5+S395))"),544819.0)</f>
        <v>544819</v>
      </c>
      <c r="U395" s="10">
        <f>IFERROR(__xludf.DUMMYFUNCTION("IF(COUNTA(Q395:Q1673)=0,"""",IF(Q395="""",0,IF(REGEXMATCH(Q395,""^Sell_""),-ROUNDDOWN(ROUNDUP(INDEX(Upgrades!$C$3:$C$13,MATCH(SUBSTITUTE(Q395,""Sell_"",""""),Upgrades!$B$3:$B$13,0))*1.15^(COUNTIF(Q$4:Q394,SUBSTITUTE(Q395,""Sell_"",""""))-COUNTIF(Q$4:Q394,"&amp;"""Sell_""&amp;SUBSTITUTE(Q395,""Sell_"",""""))))/2),ROUNDUP(INDEX(Upgrades!$C$3:$C$13,MATCH(Q395,Upgrades!$B$3:$B$13,0))*1.15^(COUNTIF(Q$4:Q394,Q395)-COUNTIF(Q$4:Q394,""Sell_""&amp;Q395))))))"),1871525.0)</f>
        <v>1871525</v>
      </c>
      <c r="V395" s="10">
        <f t="shared" si="11"/>
        <v>1871525</v>
      </c>
      <c r="W395" s="68">
        <f t="shared" si="12"/>
        <v>7543.028669</v>
      </c>
      <c r="X395" s="59" t="str">
        <f t="shared" si="13"/>
        <v>2h 05m 43s</v>
      </c>
      <c r="Y395" s="69">
        <f t="shared" si="14"/>
        <v>917040381</v>
      </c>
      <c r="Z395" s="11"/>
    </row>
    <row r="396">
      <c r="A396" s="8"/>
      <c r="B396" s="56" t="str">
        <f t="shared" si="2"/>
        <v/>
      </c>
      <c r="C396" s="105"/>
      <c r="D396" s="10"/>
      <c r="E396" s="59" t="str">
        <f t="array" ref="E396">IF(COUNTA(C396:C1673)=0,"",SUM((COUNTIF(C$4:C396,Upgrades!$B$3:$B$13)-COUNTIF(C$4:C396,"Sell_"&amp;Upgrades!$B$3:$B$13))*Upgrades!$D$3:$D$13))</f>
        <v/>
      </c>
      <c r="F396" s="66" t="str">
        <f>IFERROR(__xludf.DUMMYFUNCTION("IF(COUNTA(C396:C1673)=0,"""",IF(REGEXMATCH(INDEX(FILTER(C$4:C396,C$4:C396&lt;&gt;""""),ROWS(FILTER(C$4:C396,C$4:C396&lt;&gt;""""))),""^Sell_""),INDEX(FILTER(F$4:F395,C$4:C395&lt;&gt;""""),ROWS(FILTER(C$4:C395,C$4:C395&lt;&gt;""""))),$AC$5+E396))"),"")</f>
        <v/>
      </c>
      <c r="G396" s="10" t="str">
        <f>IFERROR(__xludf.DUMMYFUNCTION("IF(COUNTA(C396:C1673)=0,"""",IF(C396="""",0,IF(REGEXMATCH(C396,""^Sell_""),-ROUNDDOWN(ROUNDUP(INDEX(Upgrades!$C$3:$C$13,MATCH(SUBSTITUTE(C396,""Sell_"",""""),Upgrades!$B$3:$B$13,0))*1.15^(COUNTIF(C$4:C395,SUBSTITUTE(C396,""Sell_"",""""))-COUNTIF(C$4:C395,"&amp;"""Sell_""&amp;SUBSTITUTE(C396,""Sell_"",""""))))/2),ROUNDUP(INDEX(Upgrades!$C$3:$C$13,MATCH(C396,Upgrades!$B$3:$B$13,0))*1.15^(COUNTIF(C$4:C395,C396)-COUNTIF(C$4:C395,""Sell_""&amp;C396))))))"),"")</f>
        <v/>
      </c>
      <c r="H396" s="10" t="str">
        <f t="shared" si="3"/>
        <v/>
      </c>
      <c r="I396" s="68" t="str">
        <f t="shared" si="4"/>
        <v/>
      </c>
      <c r="J396" s="59" t="str">
        <f t="shared" si="5"/>
        <v/>
      </c>
      <c r="K396" s="69" t="str">
        <f t="shared" si="6"/>
        <v/>
      </c>
      <c r="L396" s="60">
        <f t="shared" si="7"/>
        <v>-148.17528</v>
      </c>
      <c r="M396" s="61">
        <f>IFERROR(__xludf.DUMMYFUNCTION("IFS(AND(COUNTA(C396:C1673)=0,COUNTA(Q396:Q1673)=0),"""",OR(AND(K396&gt;=1000000000,OR(Y396&gt;=1000000000,COUNTA(Q396:Q1673)=0)),OR(Y396&gt;=1000000000,AND(COUNTA(C396:C1673)=0,P$3=TRUE))),
ROUNDDOWN((AB$1-AC$1)*MAX(INDEX(T$4:T1673,MATCH(LARGE(FILTER(Y$4:Y1673,Y$4"&amp;":Y1673&lt;1000000000),1),Y$4:Y1673)),INDEX(F$4:F1673,MATCH(LARGE(FILTER(K$4:K1673,K$4:K1673&lt;1000000000),1),K$4:K1673)))),AND(K396&lt;1000000000,COUNTA(C396:C1673)&gt;0,P$3=FALSE),
ROUNDDOWN(INDEX(Y$4:Y1673,MATCH(LARGE(FILTER(W$4:W1673,W$4:W1673&lt;=I396),1),W$4:W1673"&amp;"))+(I396-LARGE(FILTER(W$4:W1673,W$4:W1673&lt;=I396),1))*INDEX(T$4:T1673,MATCH(LARGE(FILTER(W$4:W1673,W$4:W1673&lt;=I396),1),W$4:W1673))-K396),1,
ROUNDDOWN(Y396-INDEX(K$4:K1673,MATCH(LARGE(FILTER(I$4:I1673,I$4:I1673&lt;=W396),1),I$4:I1673))-(W396-LARGE(FILTER(I$4:I"&amp;"1673,I$4:I1673&lt;=W396),1))*INDEX(F$4:F1673,MATCH(LARGE(FILTER(I$4:I1673,I$4:I1673&lt;=W396),1),I$4:I1673))))"),8.1420598E7)</f>
        <v>81420598</v>
      </c>
      <c r="N396" s="60">
        <f t="shared" si="8"/>
        <v>-148.17528</v>
      </c>
      <c r="O396" s="61" t="str">
        <f t="shared" si="9"/>
        <v>81,4M</v>
      </c>
      <c r="P396" s="56">
        <f t="shared" si="10"/>
        <v>22</v>
      </c>
      <c r="Q396" s="105" t="s">
        <v>7</v>
      </c>
      <c r="R396" s="10"/>
      <c r="S396" s="59">
        <f t="array" ref="S396">IF(COUNTA(Q396:Q1673)=0,"",SUM((COUNTIF(Q$4:Q396,Upgrades!$B$3:$B$13)-COUNTIF(Q$4:Q396,"Sell_"&amp;Upgrades!$B$3:$B$13))*Upgrades!$D$3:$D$13))</f>
        <v>544844</v>
      </c>
      <c r="T396" s="66">
        <f>IFERROR(__xludf.DUMMYFUNCTION("IF(COUNTA(Q396:Q1673)=0,"""",IF(REGEXMATCH(INDEX(FILTER(Q$4:Q396,Q$4:Q396&lt;&gt;""""),ROWS(FILTER(Q$4:Q396,Q$4:Q396&lt;&gt;""""))),""^Sell_""),INDEX(FILTER(T$4:T395,Q$4:Q395&lt;&gt;""""),ROWS(FILTER(Q$4:Q395,Q$4:Q395&lt;&gt;""""))),$AD$5+S396))"),544859.0)</f>
        <v>544859</v>
      </c>
      <c r="U396" s="10">
        <f>IFERROR(__xludf.DUMMYFUNCTION("IF(COUNTA(Q396:Q1673)=0,"""",IF(Q396="""",0,IF(REGEXMATCH(Q396,""^Sell_""),-ROUNDDOWN(ROUNDUP(INDEX(Upgrades!$C$3:$C$13,MATCH(SUBSTITUTE(Q396,""Sell_"",""""),Upgrades!$B$3:$B$13,0))*1.15^(COUNTIF(Q$4:Q395,SUBSTITUTE(Q396,""Sell_"",""""))-COUNTIF(Q$4:Q395,"&amp;"""Sell_""&amp;SUBSTITUTE(Q396,""Sell_"",""""))))/2),ROUNDUP(INDEX(Upgrades!$C$3:$C$13,MATCH(Q396,Upgrades!$B$3:$B$13,0))*1.15^(COUNTIF(Q$4:Q395,Q396)-COUNTIF(Q$4:Q395,""Sell_""&amp;Q396))))))"),188216.0)</f>
        <v>188216</v>
      </c>
      <c r="V396" s="10">
        <f t="shared" si="11"/>
        <v>188216</v>
      </c>
      <c r="W396" s="68">
        <f t="shared" si="12"/>
        <v>7543.374135</v>
      </c>
      <c r="X396" s="59" t="str">
        <f t="shared" si="13"/>
        <v>2h 05m 43s</v>
      </c>
      <c r="Y396" s="69">
        <f t="shared" si="14"/>
        <v>917228597</v>
      </c>
      <c r="Z396" s="11"/>
    </row>
    <row r="397">
      <c r="A397" s="8"/>
      <c r="B397" s="56" t="str">
        <f t="shared" si="2"/>
        <v/>
      </c>
      <c r="C397" s="105"/>
      <c r="D397" s="10"/>
      <c r="E397" s="59" t="str">
        <f t="array" ref="E397">IF(COUNTA(C397:C1673)=0,"",SUM((COUNTIF(C$4:C397,Upgrades!$B$3:$B$13)-COUNTIF(C$4:C397,"Sell_"&amp;Upgrades!$B$3:$B$13))*Upgrades!$D$3:$D$13))</f>
        <v/>
      </c>
      <c r="F397" s="66" t="str">
        <f>IFERROR(__xludf.DUMMYFUNCTION("IF(COUNTA(C397:C1673)=0,"""",IF(REGEXMATCH(INDEX(FILTER(C$4:C397,C$4:C397&lt;&gt;""""),ROWS(FILTER(C$4:C397,C$4:C397&lt;&gt;""""))),""^Sell_""),INDEX(FILTER(F$4:F396,C$4:C396&lt;&gt;""""),ROWS(FILTER(C$4:C396,C$4:C396&lt;&gt;""""))),$AC$5+E397))"),"")</f>
        <v/>
      </c>
      <c r="G397" s="10" t="str">
        <f>IFERROR(__xludf.DUMMYFUNCTION("IF(COUNTA(C397:C1673)=0,"""",IF(C397="""",0,IF(REGEXMATCH(C397,""^Sell_""),-ROUNDDOWN(ROUNDUP(INDEX(Upgrades!$C$3:$C$13,MATCH(SUBSTITUTE(C397,""Sell_"",""""),Upgrades!$B$3:$B$13,0))*1.15^(COUNTIF(C$4:C396,SUBSTITUTE(C397,""Sell_"",""""))-COUNTIF(C$4:C396,"&amp;"""Sell_""&amp;SUBSTITUTE(C397,""Sell_"",""""))))/2),ROUNDUP(INDEX(Upgrades!$C$3:$C$13,MATCH(C397,Upgrades!$B$3:$B$13,0))*1.15^(COUNTIF(C$4:C396,C397)-COUNTIF(C$4:C396,""Sell_""&amp;C397))))))"),"")</f>
        <v/>
      </c>
      <c r="H397" s="10" t="str">
        <f t="shared" si="3"/>
        <v/>
      </c>
      <c r="I397" s="68" t="str">
        <f t="shared" si="4"/>
        <v/>
      </c>
      <c r="J397" s="59" t="str">
        <f t="shared" si="5"/>
        <v/>
      </c>
      <c r="K397" s="69" t="str">
        <f t="shared" si="6"/>
        <v/>
      </c>
      <c r="L397" s="60">
        <f t="shared" si="7"/>
        <v>-146.61668</v>
      </c>
      <c r="M397" s="61">
        <f>IFERROR(__xludf.DUMMYFUNCTION("IFS(AND(COUNTA(C397:C1673)=0,COUNTA(Q397:Q1673)=0),"""",OR(AND(K397&gt;=1000000000,OR(Y397&gt;=1000000000,COUNTA(Q397:Q1673)=0)),OR(Y397&gt;=1000000000,AND(COUNTA(C397:C1673)=0,P$3=TRUE))),
ROUNDDOWN((AB$1-AC$1)*MAX(INDEX(T$4:T1673,MATCH(LARGE(FILTER(Y$4:Y1673,Y$4"&amp;":Y1673&lt;1000000000),1),Y$4:Y1673)),INDEX(F$4:F1673,MATCH(LARGE(FILTER(K$4:K1673,K$4:K1673&lt;1000000000),1),K$4:K1673)))),AND(K397&lt;1000000000,COUNTA(C397:C1673)&gt;0,P$3=FALSE),
ROUNDDOWN(INDEX(Y$4:Y1673,MATCH(LARGE(FILTER(W$4:W1673,W$4:W1673&lt;=I397),1),W$4:W1673"&amp;"))+(I397-LARGE(FILTER(W$4:W1673,W$4:W1673&lt;=I397),1))*INDEX(T$4:T1673,MATCH(LARGE(FILTER(W$4:W1673,W$4:W1673&lt;=I397),1),W$4:W1673))-K397),1,
ROUNDDOWN(Y397-INDEX(K$4:K1673,MATCH(LARGE(FILTER(I$4:I1673,I$4:I1673&lt;=W397),1),I$4:I1673))-(W397-LARGE(FILTER(I$4:I"&amp;"1673,I$4:I1673&lt;=W397),1))*INDEX(F$4:F1673,MATCH(LARGE(FILTER(I$4:I1673,I$4:I1673&lt;=W397),1),I$4:I1673))))"),8.1418606E7)</f>
        <v>81418606</v>
      </c>
      <c r="N397" s="60">
        <f t="shared" si="8"/>
        <v>-146.61668</v>
      </c>
      <c r="O397" s="61" t="str">
        <f t="shared" si="9"/>
        <v>81,4M</v>
      </c>
      <c r="P397" s="56">
        <f t="shared" si="10"/>
        <v>22</v>
      </c>
      <c r="Q397" s="105" t="s">
        <v>10</v>
      </c>
      <c r="R397" s="10"/>
      <c r="S397" s="59">
        <f t="array" ref="S397">IF(COUNTA(Q397:Q1673)=0,"",SUM((COUNTIF(Q$4:Q397,Upgrades!$B$3:$B$13)-COUNTIF(Q$4:Q397,"Sell_"&amp;Upgrades!$B$3:$B$13))*Upgrades!$D$3:$D$13))</f>
        <v>551510</v>
      </c>
      <c r="T397" s="66">
        <f>IFERROR(__xludf.DUMMYFUNCTION("IF(COUNTA(Q397:Q1673)=0,"""",IF(REGEXMATCH(INDEX(FILTER(Q$4:Q397,Q$4:Q397&lt;&gt;""""),ROWS(FILTER(Q$4:Q397,Q$4:Q397&lt;&gt;""""))),""^Sell_""),INDEX(FILTER(T$4:T396,Q$4:Q396&lt;&gt;""""),ROWS(FILTER(Q$4:Q396,Q$4:Q396&lt;&gt;""""))),$AD$5+S397))"),551525.0)</f>
        <v>551525</v>
      </c>
      <c r="U397" s="10">
        <f>IFERROR(__xludf.DUMMYFUNCTION("IF(COUNTA(Q397:Q1673)=0,"""",IF(Q397="""",0,IF(REGEXMATCH(Q397,""^Sell_""),-ROUNDDOWN(ROUNDUP(INDEX(Upgrades!$C$3:$C$13,MATCH(SUBSTITUTE(Q397,""Sell_"",""""),Upgrades!$B$3:$B$13,0))*1.15^(COUNTIF(Q$4:Q396,SUBSTITUTE(Q397,""Sell_"",""""))-COUNTIF(Q$4:Q396,"&amp;"""Sell_""&amp;SUBSTITUTE(Q397,""Sell_"",""""))))/2),ROUNDUP(INDEX(Upgrades!$C$3:$C$13,MATCH(Q397,Upgrades!$B$3:$B$13,0))*1.15^(COUNTIF(Q$4:Q396,Q397)-COUNTIF(Q$4:Q396,""Sell_""&amp;Q397))))))"),3.1369185E7)</f>
        <v>31369185</v>
      </c>
      <c r="V397" s="10">
        <f t="shared" si="11"/>
        <v>31369185</v>
      </c>
      <c r="W397" s="68">
        <f t="shared" si="12"/>
        <v>7600.947167</v>
      </c>
      <c r="X397" s="59" t="str">
        <f t="shared" si="13"/>
        <v>2h 06m 40s</v>
      </c>
      <c r="Y397" s="69">
        <f t="shared" si="14"/>
        <v>948597782</v>
      </c>
      <c r="Z397" s="11"/>
    </row>
    <row r="398">
      <c r="A398" s="8"/>
      <c r="B398" s="56" t="str">
        <f t="shared" si="2"/>
        <v/>
      </c>
      <c r="C398" s="105"/>
      <c r="D398" s="10"/>
      <c r="E398" s="59" t="str">
        <f t="array" ref="E398">IF(COUNTA(C398:C1673)=0,"",SUM((COUNTIF(C$4:C398,Upgrades!$B$3:$B$13)-COUNTIF(C$4:C398,"Sell_"&amp;Upgrades!$B$3:$B$13))*Upgrades!$D$3:$D$13))</f>
        <v/>
      </c>
      <c r="F398" s="66" t="str">
        <f>IFERROR(__xludf.DUMMYFUNCTION("IF(COUNTA(C398:C1673)=0,"""",IF(REGEXMATCH(INDEX(FILTER(C$4:C398,C$4:C398&lt;&gt;""""),ROWS(FILTER(C$4:C398,C$4:C398&lt;&gt;""""))),""^Sell_""),INDEX(FILTER(F$4:F397,C$4:C397&lt;&gt;""""),ROWS(FILTER(C$4:C397,C$4:C397&lt;&gt;""""))),$AC$5+E398))"),"")</f>
        <v/>
      </c>
      <c r="G398" s="10" t="str">
        <f>IFERROR(__xludf.DUMMYFUNCTION("IF(COUNTA(C398:C1673)=0,"""",IF(C398="""",0,IF(REGEXMATCH(C398,""^Sell_""),-ROUNDDOWN(ROUNDUP(INDEX(Upgrades!$C$3:$C$13,MATCH(SUBSTITUTE(C398,""Sell_"",""""),Upgrades!$B$3:$B$13,0))*1.15^(COUNTIF(C$4:C397,SUBSTITUTE(C398,""Sell_"",""""))-COUNTIF(C$4:C397,"&amp;"""Sell_""&amp;SUBSTITUTE(C398,""Sell_"",""""))))/2),ROUNDUP(INDEX(Upgrades!$C$3:$C$13,MATCH(C398,Upgrades!$B$3:$B$13,0))*1.15^(COUNTIF(C$4:C397,C398)-COUNTIF(C$4:C397,""Sell_""&amp;C398))))))"),"")</f>
        <v/>
      </c>
      <c r="H398" s="10" t="str">
        <f t="shared" si="3"/>
        <v/>
      </c>
      <c r="I398" s="68" t="str">
        <f t="shared" si="4"/>
        <v/>
      </c>
      <c r="J398" s="59" t="str">
        <f t="shared" si="5"/>
        <v/>
      </c>
      <c r="K398" s="69" t="str">
        <f t="shared" si="6"/>
        <v/>
      </c>
      <c r="L398" s="60">
        <f t="shared" si="7"/>
        <v>-146.61584</v>
      </c>
      <c r="M398" s="61">
        <f>IFERROR(__xludf.DUMMYFUNCTION("IFS(AND(COUNTA(C398:C1673)=0,COUNTA(Q398:Q1673)=0),"""",OR(AND(K398&gt;=1000000000,OR(Y398&gt;=1000000000,COUNTA(Q398:Q1673)=0)),OR(Y398&gt;=1000000000,AND(COUNTA(C398:C1673)=0,P$3=TRUE))),
ROUNDDOWN((AB$1-AC$1)*MAX(INDEX(T$4:T1673,MATCH(LARGE(FILTER(Y$4:Y1673,Y$4"&amp;":Y1673&lt;1000000000),1),Y$4:Y1673)),INDEX(F$4:F1673,MATCH(LARGE(FILTER(K$4:K1673,K$4:K1673&lt;1000000000),1),K$4:K1673)))),AND(K398&lt;1000000000,COUNTA(C398:C1673)&gt;0,P$3=FALSE),
ROUNDDOWN(INDEX(Y$4:Y1673,MATCH(LARGE(FILTER(W$4:W1673,W$4:W1673&lt;=I398),1),W$4:W1673"&amp;"))+(I398-LARGE(FILTER(W$4:W1673,W$4:W1673&lt;=I398),1))*INDEX(T$4:T1673,MATCH(LARGE(FILTER(W$4:W1673,W$4:W1673&lt;=I398),1),W$4:W1673))-K398),1,
ROUNDDOWN(Y398-INDEX(K$4:K1673,MATCH(LARGE(FILTER(I$4:I1673,I$4:I1673&lt;=W398),1),I$4:I1673))-(W398-LARGE(FILTER(I$4:I"&amp;"1673,I$4:I1673&lt;=W398),1))*INDEX(F$4:F1673,MATCH(LARGE(FILTER(I$4:I1673,I$4:I1673&lt;=W398),1),I$4:I1673))))"),8.1418698E7)</f>
        <v>81418698</v>
      </c>
      <c r="N398" s="60">
        <f t="shared" si="8"/>
        <v>-146.61584</v>
      </c>
      <c r="O398" s="61" t="str">
        <f t="shared" si="9"/>
        <v>81,4M</v>
      </c>
      <c r="P398" s="56">
        <f t="shared" si="10"/>
        <v>27</v>
      </c>
      <c r="Q398" s="105" t="s">
        <v>5</v>
      </c>
      <c r="R398" s="10"/>
      <c r="S398" s="59">
        <f t="array" ref="S398">IF(COUNTA(Q398:Q1673)=0,"",SUM((COUNTIF(Q$4:Q398,Upgrades!$B$3:$B$13)-COUNTIF(Q$4:Q398,"Sell_"&amp;Upgrades!$B$3:$B$13))*Upgrades!$D$3:$D$13))</f>
        <v>551514</v>
      </c>
      <c r="T398" s="66">
        <f>IFERROR(__xludf.DUMMYFUNCTION("IF(COUNTA(Q398:Q1673)=0,"""",IF(REGEXMATCH(INDEX(FILTER(Q$4:Q398,Q$4:Q398&lt;&gt;""""),ROWS(FILTER(Q$4:Q398,Q$4:Q398&lt;&gt;""""))),""^Sell_""),INDEX(FILTER(T$4:T397,Q$4:Q397&lt;&gt;""""),ROWS(FILTER(Q$4:Q397,Q$4:Q397&lt;&gt;""""))),$AD$5+S398))"),551529.0)</f>
        <v>551529</v>
      </c>
      <c r="U398" s="10">
        <f>IFERROR(__xludf.DUMMYFUNCTION("IF(COUNTA(Q398:Q1673)=0,"""",IF(Q398="""",0,IF(REGEXMATCH(Q398,""^Sell_""),-ROUNDDOWN(ROUNDUP(INDEX(Upgrades!$C$3:$C$13,MATCH(SUBSTITUTE(Q398,""Sell_"",""""),Upgrades!$B$3:$B$13,0))*1.15^(COUNTIF(Q$4:Q397,SUBSTITUTE(Q398,""Sell_"",""""))-COUNTIF(Q$4:Q397,"&amp;"""Sell_""&amp;SUBSTITUTE(Q398,""Sell_"",""""))))/2),ROUNDUP(INDEX(Upgrades!$C$3:$C$13,MATCH(Q398,Upgrades!$B$3:$B$13,0))*1.15^(COUNTIF(Q$4:Q397,Q398)-COUNTIF(Q$4:Q397,""Sell_""&amp;Q398))))))"),18929.0)</f>
        <v>18929</v>
      </c>
      <c r="V398" s="10">
        <f t="shared" si="11"/>
        <v>18929</v>
      </c>
      <c r="W398" s="68">
        <f t="shared" si="12"/>
        <v>7600.981488</v>
      </c>
      <c r="X398" s="59" t="str">
        <f t="shared" si="13"/>
        <v>2h 06m 40s</v>
      </c>
      <c r="Y398" s="69">
        <f t="shared" si="14"/>
        <v>948616711</v>
      </c>
      <c r="Z398" s="11"/>
    </row>
    <row r="399">
      <c r="A399" s="8"/>
      <c r="B399" s="56" t="str">
        <f t="shared" si="2"/>
        <v/>
      </c>
      <c r="C399" s="105"/>
      <c r="D399" s="10"/>
      <c r="E399" s="59" t="str">
        <f t="array" ref="E399">IF(COUNTA(C399:C1673)=0,"",SUM((COUNTIF(C$4:C399,Upgrades!$B$3:$B$13)-COUNTIF(C$4:C399,"Sell_"&amp;Upgrades!$B$3:$B$13))*Upgrades!$D$3:$D$13))</f>
        <v/>
      </c>
      <c r="F399" s="66" t="str">
        <f>IFERROR(__xludf.DUMMYFUNCTION("IF(COUNTA(C399:C1673)=0,"""",IF(REGEXMATCH(INDEX(FILTER(C$4:C399,C$4:C399&lt;&gt;""""),ROWS(FILTER(C$4:C399,C$4:C399&lt;&gt;""""))),""^Sell_""),INDEX(FILTER(F$4:F398,C$4:C398&lt;&gt;""""),ROWS(FILTER(C$4:C398,C$4:C398&lt;&gt;""""))),$AC$5+E399))"),"")</f>
        <v/>
      </c>
      <c r="G399" s="10" t="str">
        <f>IFERROR(__xludf.DUMMYFUNCTION("IF(COUNTA(C399:C1673)=0,"""",IF(C399="""",0,IF(REGEXMATCH(C399,""^Sell_""),-ROUNDDOWN(ROUNDUP(INDEX(Upgrades!$C$3:$C$13,MATCH(SUBSTITUTE(C399,""Sell_"",""""),Upgrades!$B$3:$B$13,0))*1.15^(COUNTIF(C$4:C398,SUBSTITUTE(C399,""Sell_"",""""))-COUNTIF(C$4:C398,"&amp;"""Sell_""&amp;SUBSTITUTE(C399,""Sell_"",""""))))/2),ROUNDUP(INDEX(Upgrades!$C$3:$C$13,MATCH(C399,Upgrades!$B$3:$B$13,0))*1.15^(COUNTIF(C$4:C398,C399)-COUNTIF(C$4:C398,""Sell_""&amp;C399))))))"),"")</f>
        <v/>
      </c>
      <c r="H399" s="10" t="str">
        <f t="shared" si="3"/>
        <v/>
      </c>
      <c r="I399" s="68" t="str">
        <f t="shared" si="4"/>
        <v/>
      </c>
      <c r="J399" s="59" t="str">
        <f t="shared" si="5"/>
        <v/>
      </c>
      <c r="K399" s="69" t="str">
        <f t="shared" si="6"/>
        <v/>
      </c>
      <c r="L399" s="60">
        <f t="shared" si="7"/>
        <v>-146.61366</v>
      </c>
      <c r="M399" s="61">
        <f>IFERROR(__xludf.DUMMYFUNCTION("IFS(AND(COUNTA(C399:C1673)=0,COUNTA(Q399:Q1673)=0),"""",OR(AND(K399&gt;=1000000000,OR(Y399&gt;=1000000000,COUNTA(Q399:Q1673)=0)),OR(Y399&gt;=1000000000,AND(COUNTA(C399:C1673)=0,P$3=TRUE))),
ROUNDDOWN((AB$1-AC$1)*MAX(INDEX(T$4:T1673,MATCH(LARGE(FILTER(Y$4:Y1673,Y$4"&amp;":Y1673&lt;1000000000),1),Y$4:Y1673)),INDEX(F$4:F1673,MATCH(LARGE(FILTER(K$4:K1673,K$4:K1673&lt;1000000000),1),K$4:K1673)))),AND(K399&lt;1000000000,COUNTA(C399:C1673)&gt;0,P$3=FALSE),
ROUNDDOWN(INDEX(Y$4:Y1673,MATCH(LARGE(FILTER(W$4:W1673,W$4:W1673&lt;=I399),1),W$4:W1673"&amp;"))+(I399-LARGE(FILTER(W$4:W1673,W$4:W1673&lt;=I399),1))*INDEX(T$4:T1673,MATCH(LARGE(FILTER(W$4:W1673,W$4:W1673&lt;=I399),1),W$4:W1673))-K399),1,
ROUNDDOWN(Y399-INDEX(K$4:K1673,MATCH(LARGE(FILTER(I$4:I1673,I$4:I1673&lt;=W399),1),I$4:I1673))-(W399-LARGE(FILTER(I$4:I"&amp;"1673,I$4:I1673&lt;=W399),1))*INDEX(F$4:F1673,MATCH(LARGE(FILTER(I$4:I1673,I$4:I1673&lt;=W399),1),I$4:I1673))))"),8.1418935E7)</f>
        <v>81418935</v>
      </c>
      <c r="N399" s="60">
        <f t="shared" si="8"/>
        <v>-146.61366</v>
      </c>
      <c r="O399" s="61" t="str">
        <f t="shared" si="9"/>
        <v>81,4M</v>
      </c>
      <c r="P399" s="56">
        <f t="shared" si="10"/>
        <v>21</v>
      </c>
      <c r="Q399" s="105" t="s">
        <v>6</v>
      </c>
      <c r="R399" s="10"/>
      <c r="S399" s="59">
        <f t="array" ref="S399">IF(COUNTA(Q399:Q1673)=0,"",SUM((COUNTIF(Q$4:Q399,Upgrades!$B$3:$B$13)-COUNTIF(Q$4:Q399,"Sell_"&amp;Upgrades!$B$3:$B$13))*Upgrades!$D$3:$D$13))</f>
        <v>551524</v>
      </c>
      <c r="T399" s="66">
        <f>IFERROR(__xludf.DUMMYFUNCTION("IF(COUNTA(Q399:Q1673)=0,"""",IF(REGEXMATCH(INDEX(FILTER(Q$4:Q399,Q$4:Q399&lt;&gt;""""),ROWS(FILTER(Q$4:Q399,Q$4:Q399&lt;&gt;""""))),""^Sell_""),INDEX(FILTER(T$4:T398,Q$4:Q398&lt;&gt;""""),ROWS(FILTER(Q$4:Q398,Q$4:Q398&lt;&gt;""""))),$AD$5+S399))"),551539.0)</f>
        <v>551539</v>
      </c>
      <c r="U399" s="10">
        <f>IFERROR(__xludf.DUMMYFUNCTION("IF(COUNTA(Q399:Q1673)=0,"""",IF(Q399="""",0,IF(REGEXMATCH(Q399,""^Sell_""),-ROUNDDOWN(ROUNDUP(INDEX(Upgrades!$C$3:$C$13,MATCH(SUBSTITUTE(Q399,""Sell_"",""""),Upgrades!$B$3:$B$13,0))*1.15^(COUNTIF(Q$4:Q398,SUBSTITUTE(Q399,""Sell_"",""""))-COUNTIF(Q$4:Q398,"&amp;"""Sell_""&amp;SUBSTITUTE(Q399,""Sell_"",""""))))/2),ROUNDUP(INDEX(Upgrades!$C$3:$C$13,MATCH(Q399,Upgrades!$B$3:$B$13,0))*1.15^(COUNTIF(Q$4:Q398,Q399)-COUNTIF(Q$4:Q398,""Sell_""&amp;Q399))))))"),49100.0)</f>
        <v>49100</v>
      </c>
      <c r="V399" s="10">
        <f t="shared" si="11"/>
        <v>49100</v>
      </c>
      <c r="W399" s="68">
        <f t="shared" si="12"/>
        <v>7601.070514</v>
      </c>
      <c r="X399" s="59" t="str">
        <f t="shared" si="13"/>
        <v>2h 06m 41s</v>
      </c>
      <c r="Y399" s="69">
        <f t="shared" si="14"/>
        <v>948665811</v>
      </c>
      <c r="Z399" s="11"/>
    </row>
    <row r="400">
      <c r="A400" s="8"/>
      <c r="B400" s="56" t="str">
        <f t="shared" si="2"/>
        <v/>
      </c>
      <c r="C400" s="105"/>
      <c r="D400" s="10"/>
      <c r="E400" s="59" t="str">
        <f t="array" ref="E400">IF(COUNTA(C400:C1673)=0,"",SUM((COUNTIF(C$4:C400,Upgrades!$B$3:$B$13)-COUNTIF(C$4:C400,"Sell_"&amp;Upgrades!$B$3:$B$13))*Upgrades!$D$3:$D$13))</f>
        <v/>
      </c>
      <c r="F400" s="66" t="str">
        <f>IFERROR(__xludf.DUMMYFUNCTION("IF(COUNTA(C400:C1673)=0,"""",IF(REGEXMATCH(INDEX(FILTER(C$4:C400,C$4:C400&lt;&gt;""""),ROWS(FILTER(C$4:C400,C$4:C400&lt;&gt;""""))),""^Sell_""),INDEX(FILTER(F$4:F399,C$4:C399&lt;&gt;""""),ROWS(FILTER(C$4:C399,C$4:C399&lt;&gt;""""))),$AC$5+E400))"),"")</f>
        <v/>
      </c>
      <c r="G400" s="10" t="str">
        <f>IFERROR(__xludf.DUMMYFUNCTION("IF(COUNTA(C400:C1673)=0,"""",IF(C400="""",0,IF(REGEXMATCH(C400,""^Sell_""),-ROUNDDOWN(ROUNDUP(INDEX(Upgrades!$C$3:$C$13,MATCH(SUBSTITUTE(C400,""Sell_"",""""),Upgrades!$B$3:$B$13,0))*1.15^(COUNTIF(C$4:C399,SUBSTITUTE(C400,""Sell_"",""""))-COUNTIF(C$4:C399,"&amp;"""Sell_""&amp;SUBSTITUTE(C400,""Sell_"",""""))))/2),ROUNDUP(INDEX(Upgrades!$C$3:$C$13,MATCH(C400,Upgrades!$B$3:$B$13,0))*1.15^(COUNTIF(C$4:C399,C400)-COUNTIF(C$4:C399,""Sell_""&amp;C400))))))"),"")</f>
        <v/>
      </c>
      <c r="H400" s="10" t="str">
        <f t="shared" si="3"/>
        <v/>
      </c>
      <c r="I400" s="68" t="str">
        <f t="shared" si="4"/>
        <v/>
      </c>
      <c r="J400" s="59" t="str">
        <f t="shared" si="5"/>
        <v/>
      </c>
      <c r="K400" s="69" t="str">
        <f t="shared" si="6"/>
        <v/>
      </c>
      <c r="L400" s="60">
        <f t="shared" si="7"/>
        <v>-146.61363</v>
      </c>
      <c r="M400" s="61">
        <f>IFERROR(__xludf.DUMMYFUNCTION("IFS(AND(COUNTA(C400:C1673)=0,COUNTA(Q400:Q1673)=0),"""",OR(AND(K400&gt;=1000000000,OR(Y400&gt;=1000000000,COUNTA(Q400:Q1673)=0)),OR(Y400&gt;=1000000000,AND(COUNTA(C400:C1673)=0,P$3=TRUE))),
ROUNDDOWN((AB$1-AC$1)*MAX(INDEX(T$4:T1673,MATCH(LARGE(FILTER(Y$4:Y1673,Y$4"&amp;":Y1673&lt;1000000000),1),Y$4:Y1673)),INDEX(F$4:F1673,MATCH(LARGE(FILTER(K$4:K1673,K$4:K1673&lt;1000000000),1),K$4:K1673)))),AND(K400&lt;1000000000,COUNTA(C400:C1673)&gt;0,P$3=FALSE),
ROUNDDOWN(INDEX(Y$4:Y1673,MATCH(LARGE(FILTER(W$4:W1673,W$4:W1673&lt;=I400),1),W$4:W1673"&amp;"))+(I400-LARGE(FILTER(W$4:W1673,W$4:W1673&lt;=I400),1))*INDEX(T$4:T1673,MATCH(LARGE(FILTER(W$4:W1673,W$4:W1673&lt;=I400),1),W$4:W1673))-K400),1,
ROUNDDOWN(Y400-INDEX(K$4:K1673,MATCH(LARGE(FILTER(I$4:I1673,I$4:I1673&lt;=W400),1),I$4:I1673))-(W400-LARGE(FILTER(I$4:I"&amp;"1673,I$4:I1673&lt;=W400),1))*INDEX(F$4:F1673,MATCH(LARGE(FILTER(I$4:I1673,I$4:I1673&lt;=W400),1),I$4:I1673))))"),8.1418937E7)</f>
        <v>81418937</v>
      </c>
      <c r="N400" s="60">
        <f t="shared" si="8"/>
        <v>-146.61363</v>
      </c>
      <c r="O400" s="61" t="str">
        <f t="shared" si="9"/>
        <v>81,4M</v>
      </c>
      <c r="P400" s="56">
        <f t="shared" si="10"/>
        <v>26</v>
      </c>
      <c r="Q400" s="105" t="s">
        <v>3</v>
      </c>
      <c r="R400" s="10"/>
      <c r="S400" s="59">
        <f t="array" ref="S400">IF(COUNTA(Q400:Q1673)=0,"",SUM((COUNTIF(Q$4:Q400,Upgrades!$B$3:$B$13)-COUNTIF(Q$4:Q400,"Sell_"&amp;Upgrades!$B$3:$B$13))*Upgrades!$D$3:$D$13))</f>
        <v>551524.1</v>
      </c>
      <c r="T400" s="66">
        <f>IFERROR(__xludf.DUMMYFUNCTION("IF(COUNTA(Q400:Q1673)=0,"""",IF(REGEXMATCH(INDEX(FILTER(Q$4:Q400,Q$4:Q400&lt;&gt;""""),ROWS(FILTER(Q$4:Q400,Q$4:Q400&lt;&gt;""""))),""^Sell_""),INDEX(FILTER(T$4:T399,Q$4:Q399&lt;&gt;""""),ROWS(FILTER(Q$4:Q399,Q$4:Q399&lt;&gt;""""))),$AD$5+S400))"),551539.1)</f>
        <v>551539.1</v>
      </c>
      <c r="U400" s="10">
        <f>IFERROR(__xludf.DUMMYFUNCTION("IF(COUNTA(Q400:Q1673)=0,"""",IF(Q400="""",0,IF(REGEXMATCH(Q400,""^Sell_""),-ROUNDDOWN(ROUNDUP(INDEX(Upgrades!$C$3:$C$13,MATCH(SUBSTITUTE(Q400,""Sell_"",""""),Upgrades!$B$3:$B$13,0))*1.15^(COUNTIF(Q$4:Q399,SUBSTITUTE(Q400,""Sell_"",""""))-COUNTIF(Q$4:Q399,"&amp;"""Sell_""&amp;SUBSTITUTE(Q400,""Sell_"",""""))))/2),ROUNDUP(INDEX(Upgrades!$C$3:$C$13,MATCH(Q400,Upgrades!$B$3:$B$13,0))*1.15^(COUNTIF(Q$4:Q399,Q400)-COUNTIF(Q$4:Q399,""Sell_""&amp;Q400))))))"),494.0)</f>
        <v>494</v>
      </c>
      <c r="V400" s="10">
        <f t="shared" si="11"/>
        <v>494</v>
      </c>
      <c r="W400" s="68">
        <f t="shared" si="12"/>
        <v>7601.071409</v>
      </c>
      <c r="X400" s="59" t="str">
        <f t="shared" si="13"/>
        <v>2h 06m 41s</v>
      </c>
      <c r="Y400" s="69">
        <f t="shared" si="14"/>
        <v>948666305</v>
      </c>
      <c r="Z400" s="11"/>
    </row>
    <row r="401">
      <c r="A401" s="8"/>
      <c r="B401" s="56" t="str">
        <f t="shared" si="2"/>
        <v/>
      </c>
      <c r="C401" s="105"/>
      <c r="D401" s="10"/>
      <c r="E401" s="59" t="str">
        <f t="array" ref="E401">IF(COUNTA(C401:C1673)=0,"",SUM((COUNTIF(C$4:C401,Upgrades!$B$3:$B$13)-COUNTIF(C$4:C401,"Sell_"&amp;Upgrades!$B$3:$B$13))*Upgrades!$D$3:$D$13))</f>
        <v/>
      </c>
      <c r="F401" s="66" t="str">
        <f>IFERROR(__xludf.DUMMYFUNCTION("IF(COUNTA(C401:C1673)=0,"""",IF(REGEXMATCH(INDEX(FILTER(C$4:C401,C$4:C401&lt;&gt;""""),ROWS(FILTER(C$4:C401,C$4:C401&lt;&gt;""""))),""^Sell_""),INDEX(FILTER(F$4:F400,C$4:C400&lt;&gt;""""),ROWS(FILTER(C$4:C400,C$4:C400&lt;&gt;""""))),$AC$5+E401))"),"")</f>
        <v/>
      </c>
      <c r="G401" s="10" t="str">
        <f>IFERROR(__xludf.DUMMYFUNCTION("IF(COUNTA(C401:C1673)=0,"""",IF(C401="""",0,IF(REGEXMATCH(C401,""^Sell_""),-ROUNDDOWN(ROUNDUP(INDEX(Upgrades!$C$3:$C$13,MATCH(SUBSTITUTE(C401,""Sell_"",""""),Upgrades!$B$3:$B$13,0))*1.15^(COUNTIF(C$4:C400,SUBSTITUTE(C401,""Sell_"",""""))-COUNTIF(C$4:C400,"&amp;"""Sell_""&amp;SUBSTITUTE(C401,""Sell_"",""""))))/2),ROUNDUP(INDEX(Upgrades!$C$3:$C$13,MATCH(C401,Upgrades!$B$3:$B$13,0))*1.15^(COUNTIF(C$4:C400,C401)-COUNTIF(C$4:C400,""Sell_""&amp;C401))))))"),"")</f>
        <v/>
      </c>
      <c r="H401" s="10" t="str">
        <f t="shared" si="3"/>
        <v/>
      </c>
      <c r="I401" s="68" t="str">
        <f t="shared" si="4"/>
        <v/>
      </c>
      <c r="J401" s="59" t="str">
        <f t="shared" si="5"/>
        <v/>
      </c>
      <c r="K401" s="69" t="str">
        <f t="shared" si="6"/>
        <v/>
      </c>
      <c r="L401" s="60">
        <f t="shared" si="7"/>
        <v>-146.59163</v>
      </c>
      <c r="M401" s="61">
        <f>IFERROR(__xludf.DUMMYFUNCTION("IFS(AND(COUNTA(C401:C1673)=0,COUNTA(Q401:Q1673)=0),"""",OR(AND(K401&gt;=1000000000,OR(Y401&gt;=1000000000,COUNTA(Q401:Q1673)=0)),OR(Y401&gt;=1000000000,AND(COUNTA(C401:C1673)=0,P$3=TRUE))),
ROUNDDOWN((AB$1-AC$1)*MAX(INDEX(T$4:T1673,MATCH(LARGE(FILTER(Y$4:Y1673,Y$4"&amp;":Y1673&lt;1000000000),1),Y$4:Y1673)),INDEX(F$4:F1673,MATCH(LARGE(FILTER(K$4:K1673,K$4:K1673&lt;1000000000),1),K$4:K1673)))),AND(K401&lt;1000000000,COUNTA(C401:C1673)&gt;0,P$3=FALSE),
ROUNDDOWN(INDEX(Y$4:Y1673,MATCH(LARGE(FILTER(W$4:W1673,W$4:W1673&lt;=I401),1),W$4:W1673"&amp;"))+(I401-LARGE(FILTER(W$4:W1673,W$4:W1673&lt;=I401),1))*INDEX(T$4:T1673,MATCH(LARGE(FILTER(W$4:W1673,W$4:W1673&lt;=I401),1),W$4:W1673))-K401),1,
ROUNDDOWN(Y401-INDEX(K$4:K1673,MATCH(LARGE(FILTER(I$4:I1673,I$4:I1673&lt;=W401),1),I$4:I1673))-(W401-LARGE(FILTER(I$4:I"&amp;"1673,I$4:I1673&lt;=W401),1))*INDEX(F$4:F1673,MATCH(LARGE(FILTER(I$4:I1673,I$4:I1673&lt;=W401),1),I$4:I1673))))"),8.1421336E7)</f>
        <v>81421336</v>
      </c>
      <c r="N401" s="60">
        <f t="shared" si="8"/>
        <v>-146.59163</v>
      </c>
      <c r="O401" s="61" t="str">
        <f t="shared" si="9"/>
        <v>81,4M</v>
      </c>
      <c r="P401" s="56">
        <f t="shared" si="10"/>
        <v>19</v>
      </c>
      <c r="Q401" s="105" t="s">
        <v>8</v>
      </c>
      <c r="R401" s="10"/>
      <c r="S401" s="59">
        <f t="array" ref="S401">IF(COUNTA(Q401:Q1673)=0,"",SUM((COUNTIF(Q$4:Q401,Upgrades!$B$3:$B$13)-COUNTIF(Q$4:Q401,"Sell_"&amp;Upgrades!$B$3:$B$13))*Upgrades!$D$3:$D$13))</f>
        <v>551624.1</v>
      </c>
      <c r="T401" s="66">
        <f>IFERROR(__xludf.DUMMYFUNCTION("IF(COUNTA(Q401:Q1673)=0,"""",IF(REGEXMATCH(INDEX(FILTER(Q$4:Q401,Q$4:Q401&lt;&gt;""""),ROWS(FILTER(Q$4:Q401,Q$4:Q401&lt;&gt;""""))),""^Sell_""),INDEX(FILTER(T$4:T400,Q$4:Q400&lt;&gt;""""),ROWS(FILTER(Q$4:Q400,Q$4:Q400&lt;&gt;""""))),$AD$5+S401))"),551639.1)</f>
        <v>551639.1</v>
      </c>
      <c r="U401" s="10">
        <f>IFERROR(__xludf.DUMMYFUNCTION("IF(COUNTA(Q401:Q1673)=0,"""",IF(Q401="""",0,IF(REGEXMATCH(Q401,""^Sell_""),-ROUNDDOWN(ROUNDUP(INDEX(Upgrades!$C$3:$C$13,MATCH(SUBSTITUTE(Q401,""Sell_"",""""),Upgrades!$B$3:$B$13,0))*1.15^(COUNTIF(Q$4:Q400,SUBSTITUTE(Q401,""Sell_"",""""))-COUNTIF(Q$4:Q400,"&amp;"""Sell_""&amp;SUBSTITUTE(Q401,""Sell_"",""""))))/2),ROUNDUP(INDEX(Upgrades!$C$3:$C$13,MATCH(Q401,Upgrades!$B$3:$B$13,0))*1.15^(COUNTIF(Q$4:Q400,Q401)-COUNTIF(Q$4:Q400,""Sell_""&amp;Q401))))))"),495019.0)</f>
        <v>495019</v>
      </c>
      <c r="V401" s="10">
        <f t="shared" si="11"/>
        <v>495019</v>
      </c>
      <c r="W401" s="68">
        <f t="shared" si="12"/>
        <v>7601.968932</v>
      </c>
      <c r="X401" s="59" t="str">
        <f t="shared" si="13"/>
        <v>2h 06m 41s</v>
      </c>
      <c r="Y401" s="69">
        <f t="shared" si="14"/>
        <v>949161324</v>
      </c>
      <c r="Z401" s="11"/>
    </row>
    <row r="402">
      <c r="A402" s="8"/>
      <c r="B402" s="56" t="str">
        <f t="shared" si="2"/>
        <v/>
      </c>
      <c r="C402" s="105"/>
      <c r="D402" s="10"/>
      <c r="E402" s="59" t="str">
        <f t="array" ref="E402">IF(COUNTA(C402:C1673)=0,"",SUM((COUNTIF(C$4:C402,Upgrades!$B$3:$B$13)-COUNTIF(C$4:C402,"Sell_"&amp;Upgrades!$B$3:$B$13))*Upgrades!$D$3:$D$13))</f>
        <v/>
      </c>
      <c r="F402" s="66" t="str">
        <f>IFERROR(__xludf.DUMMYFUNCTION("IF(COUNTA(C402:C1673)=0,"""",IF(REGEXMATCH(INDEX(FILTER(C$4:C402,C$4:C402&lt;&gt;""""),ROWS(FILTER(C$4:C402,C$4:C402&lt;&gt;""""))),""^Sell_""),INDEX(FILTER(F$4:F401,C$4:C401&lt;&gt;""""),ROWS(FILTER(C$4:C401,C$4:C401&lt;&gt;""""))),$AC$5+E402))"),"")</f>
        <v/>
      </c>
      <c r="G402" s="10" t="str">
        <f>IFERROR(__xludf.DUMMYFUNCTION("IF(COUNTA(C402:C1673)=0,"""",IF(C402="""",0,IF(REGEXMATCH(C402,""^Sell_""),-ROUNDDOWN(ROUNDUP(INDEX(Upgrades!$C$3:$C$13,MATCH(SUBSTITUTE(C402,""Sell_"",""""),Upgrades!$B$3:$B$13,0))*1.15^(COUNTIF(C$4:C401,SUBSTITUTE(C402,""Sell_"",""""))-COUNTIF(C$4:C401,"&amp;"""Sell_""&amp;SUBSTITUTE(C402,""Sell_"",""""))))/2),ROUNDUP(INDEX(Upgrades!$C$3:$C$13,MATCH(C402,Upgrades!$B$3:$B$13,0))*1.15^(COUNTIF(C$4:C401,C402)-COUNTIF(C$4:C401,""Sell_""&amp;C402))))))"),"")</f>
        <v/>
      </c>
      <c r="H402" s="10" t="str">
        <f t="shared" si="3"/>
        <v/>
      </c>
      <c r="I402" s="68" t="str">
        <f t="shared" si="4"/>
        <v/>
      </c>
      <c r="J402" s="59" t="str">
        <f t="shared" si="5"/>
        <v/>
      </c>
      <c r="K402" s="69" t="str">
        <f t="shared" si="6"/>
        <v/>
      </c>
      <c r="L402" s="60">
        <f t="shared" si="7"/>
        <v>-146.59152</v>
      </c>
      <c r="M402" s="61">
        <f>IFERROR(__xludf.DUMMYFUNCTION("IFS(AND(COUNTA(C402:C1673)=0,COUNTA(Q402:Q1673)=0),"""",OR(AND(K402&gt;=1000000000,OR(Y402&gt;=1000000000,COUNTA(Q402:Q1673)=0)),OR(Y402&gt;=1000000000,AND(COUNTA(C402:C1673)=0,P$3=TRUE))),
ROUNDDOWN((AB$1-AC$1)*MAX(INDEX(T$4:T1673,MATCH(LARGE(FILTER(Y$4:Y1673,Y$4"&amp;":Y1673&lt;1000000000),1),Y$4:Y1673)),INDEX(F$4:F1673,MATCH(LARGE(FILTER(K$4:K1673,K$4:K1673&lt;1000000000),1),K$4:K1673)))),AND(K402&lt;1000000000,COUNTA(C402:C1673)&gt;0,P$3=FALSE),
ROUNDDOWN(INDEX(Y$4:Y1673,MATCH(LARGE(FILTER(W$4:W1673,W$4:W1673&lt;=I402),1),W$4:W1673"&amp;"))+(I402-LARGE(FILTER(W$4:W1673,W$4:W1673&lt;=I402),1))*INDEX(T$4:T1673,MATCH(LARGE(FILTER(W$4:W1673,W$4:W1673&lt;=I402),1),W$4:W1673))-K402),1,
ROUNDDOWN(Y402-INDEX(K$4:K1673,MATCH(LARGE(FILTER(I$4:I1673,I$4:I1673&lt;=W402),1),I$4:I1673))-(W402-LARGE(FILTER(I$4:I"&amp;"1673,I$4:I1673&lt;=W402),1))*INDEX(F$4:F1673,MATCH(LARGE(FILTER(I$4:I1673,I$4:I1673&lt;=W402),1),I$4:I1673))))"),8.1421348E7)</f>
        <v>81421348</v>
      </c>
      <c r="N402" s="60">
        <f t="shared" si="8"/>
        <v>-146.59152</v>
      </c>
      <c r="O402" s="61" t="str">
        <f t="shared" si="9"/>
        <v>81,4M</v>
      </c>
      <c r="P402" s="56">
        <f t="shared" si="10"/>
        <v>24</v>
      </c>
      <c r="Q402" s="105" t="s">
        <v>4</v>
      </c>
      <c r="R402" s="10"/>
      <c r="S402" s="59">
        <f t="array" ref="S402">IF(COUNTA(Q402:Q1673)=0,"",SUM((COUNTIF(Q$4:Q402,Upgrades!$B$3:$B$13)-COUNTIF(Q$4:Q402,"Sell_"&amp;Upgrades!$B$3:$B$13))*Upgrades!$D$3:$D$13))</f>
        <v>551624.6</v>
      </c>
      <c r="T402" s="66">
        <f>IFERROR(__xludf.DUMMYFUNCTION("IF(COUNTA(Q402:Q1673)=0,"""",IF(REGEXMATCH(INDEX(FILTER(Q$4:Q402,Q$4:Q402&lt;&gt;""""),ROWS(FILTER(Q$4:Q402,Q$4:Q402&lt;&gt;""""))),""^Sell_""),INDEX(FILTER(T$4:T401,Q$4:Q401&lt;&gt;""""),ROWS(FILTER(Q$4:Q401,Q$4:Q401&lt;&gt;""""))),$AD$5+S402))"),551639.6)</f>
        <v>551639.6</v>
      </c>
      <c r="U402" s="10">
        <f>IFERROR(__xludf.DUMMYFUNCTION("IF(COUNTA(Q402:Q1673)=0,"""",IF(Q402="""",0,IF(REGEXMATCH(Q402,""^Sell_""),-ROUNDDOWN(ROUNDUP(INDEX(Upgrades!$C$3:$C$13,MATCH(SUBSTITUTE(Q402,""Sell_"",""""),Upgrades!$B$3:$B$13,0))*1.15^(COUNTIF(Q$4:Q401,SUBSTITUTE(Q402,""Sell_"",""""))-COUNTIF(Q$4:Q401,"&amp;"""Sell_""&amp;SUBSTITUTE(Q402,""Sell_"",""""))))/2),ROUNDUP(INDEX(Upgrades!$C$3:$C$13,MATCH(Q402,Upgrades!$B$3:$B$13,0))*1.15^(COUNTIF(Q$4:Q401,Q402)-COUNTIF(Q$4:Q401,""Sell_""&amp;Q402))))))"),2490.0)</f>
        <v>2490</v>
      </c>
      <c r="V402" s="10">
        <f t="shared" si="11"/>
        <v>2490</v>
      </c>
      <c r="W402" s="68">
        <f t="shared" si="12"/>
        <v>7601.973446</v>
      </c>
      <c r="X402" s="59" t="str">
        <f t="shared" si="13"/>
        <v>2h 06m 41s</v>
      </c>
      <c r="Y402" s="69">
        <f t="shared" si="14"/>
        <v>949163814</v>
      </c>
      <c r="Z402" s="11"/>
    </row>
    <row r="403">
      <c r="A403" s="8"/>
      <c r="B403" s="56" t="str">
        <f t="shared" si="2"/>
        <v/>
      </c>
      <c r="C403" s="105"/>
      <c r="D403" s="10"/>
      <c r="E403" s="59" t="str">
        <f t="array" ref="E403">IF(COUNTA(C403:C1673)=0,"",SUM((COUNTIF(C$4:C403,Upgrades!$B$3:$B$13)-COUNTIF(C$4:C403,"Sell_"&amp;Upgrades!$B$3:$B$13))*Upgrades!$D$3:$D$13))</f>
        <v/>
      </c>
      <c r="F403" s="66" t="str">
        <f>IFERROR(__xludf.DUMMYFUNCTION("IF(COUNTA(C403:C1673)=0,"""",IF(REGEXMATCH(INDEX(FILTER(C$4:C403,C$4:C403&lt;&gt;""""),ROWS(FILTER(C$4:C403,C$4:C403&lt;&gt;""""))),""^Sell_""),INDEX(FILTER(F$4:F402,C$4:C402&lt;&gt;""""),ROWS(FILTER(C$4:C402,C$4:C402&lt;&gt;""""))),$AC$5+E403))"),"")</f>
        <v/>
      </c>
      <c r="G403" s="10" t="str">
        <f>IFERROR(__xludf.DUMMYFUNCTION("IF(COUNTA(C403:C1673)=0,"""",IF(C403="""",0,IF(REGEXMATCH(C403,""^Sell_""),-ROUNDDOWN(ROUNDUP(INDEX(Upgrades!$C$3:$C$13,MATCH(SUBSTITUTE(C403,""Sell_"",""""),Upgrades!$B$3:$B$13,0))*1.15^(COUNTIF(C$4:C402,SUBSTITUTE(C403,""Sell_"",""""))-COUNTIF(C$4:C402,"&amp;"""Sell_""&amp;SUBSTITUTE(C403,""Sell_"",""""))))/2),ROUNDUP(INDEX(Upgrades!$C$3:$C$13,MATCH(C403,Upgrades!$B$3:$B$13,0))*1.15^(COUNTIF(C$4:C402,C403)-COUNTIF(C$4:C402,""Sell_""&amp;C403))))))"),"")</f>
        <v/>
      </c>
      <c r="H403" s="10" t="str">
        <f t="shared" si="3"/>
        <v/>
      </c>
      <c r="I403" s="68" t="str">
        <f t="shared" si="4"/>
        <v/>
      </c>
      <c r="J403" s="59" t="str">
        <f t="shared" si="5"/>
        <v/>
      </c>
      <c r="K403" s="69" t="str">
        <f t="shared" si="6"/>
        <v/>
      </c>
      <c r="L403" s="60">
        <f t="shared" si="7"/>
        <v>-146.49485</v>
      </c>
      <c r="M403" s="61">
        <f>IFERROR(__xludf.DUMMYFUNCTION("IFS(AND(COUNTA(C403:C1673)=0,COUNTA(Q403:Q1673)=0),"""",OR(AND(K403&gt;=1000000000,OR(Y403&gt;=1000000000,COUNTA(Q403:Q1673)=0)),OR(Y403&gt;=1000000000,AND(COUNTA(C403:C1673)=0,P$3=TRUE))),
ROUNDDOWN((AB$1-AC$1)*MAX(INDEX(T$4:T1673,MATCH(LARGE(FILTER(Y$4:Y1673,Y$4"&amp;":Y1673&lt;1000000000),1),Y$4:Y1673)),INDEX(F$4:F1673,MATCH(LARGE(FILTER(K$4:K1673,K$4:K1673&lt;1000000000),1),K$4:K1673)))),AND(K403&lt;1000000000,COUNTA(C403:C1673)&gt;0,P$3=FALSE),
ROUNDDOWN(INDEX(Y$4:Y1673,MATCH(LARGE(FILTER(W$4:W1673,W$4:W1673&lt;=I403),1),W$4:W1673"&amp;"))+(I403-LARGE(FILTER(W$4:W1673,W$4:W1673&lt;=I403),1))*INDEX(T$4:T1673,MATCH(LARGE(FILTER(W$4:W1673,W$4:W1673&lt;=I403),1),W$4:W1673))-K403),1,
ROUNDDOWN(Y403-INDEX(K$4:K1673,MATCH(LARGE(FILTER(I$4:I1673,I$4:I1673&lt;=W403),1),I$4:I1673))-(W403-LARGE(FILTER(I$4:I"&amp;"1673,I$4:I1673&lt;=W403),1))*INDEX(F$4:F1673,MATCH(LARGE(FILTER(I$4:I1673,I$4:I1673&lt;=W403),1),I$4:I1673))))"),8.1432167E7)</f>
        <v>81432167</v>
      </c>
      <c r="N403" s="60">
        <f t="shared" si="8"/>
        <v>-146.49485</v>
      </c>
      <c r="O403" s="61" t="str">
        <f t="shared" si="9"/>
        <v>81,4M</v>
      </c>
      <c r="P403" s="56">
        <f t="shared" si="10"/>
        <v>18</v>
      </c>
      <c r="Q403" s="105" t="s">
        <v>9</v>
      </c>
      <c r="R403" s="10"/>
      <c r="S403" s="59">
        <f t="array" ref="S403">IF(COUNTA(Q403:Q1673)=0,"",SUM((COUNTIF(Q$4:Q403,Upgrades!$B$3:$B$13)-COUNTIF(Q$4:Q403,"Sell_"&amp;Upgrades!$B$3:$B$13))*Upgrades!$D$3:$D$13))</f>
        <v>552024.6</v>
      </c>
      <c r="T403" s="66">
        <f>IFERROR(__xludf.DUMMYFUNCTION("IF(COUNTA(Q403:Q1673)=0,"""",IF(REGEXMATCH(INDEX(FILTER(Q$4:Q403,Q$4:Q403&lt;&gt;""""),ROWS(FILTER(Q$4:Q403,Q$4:Q403&lt;&gt;""""))),""^Sell_""),INDEX(FILTER(T$4:T402,Q$4:Q402&lt;&gt;""""),ROWS(FILTER(Q$4:Q402,Q$4:Q402&lt;&gt;""""))),$AD$5+S403))"),552039.6)</f>
        <v>552039.6</v>
      </c>
      <c r="U403" s="10">
        <f>IFERROR(__xludf.DUMMYFUNCTION("IF(COUNTA(Q403:Q1673)=0,"""",IF(Q403="""",0,IF(REGEXMATCH(Q403,""^Sell_""),-ROUNDDOWN(ROUNDUP(INDEX(Upgrades!$C$3:$C$13,MATCH(SUBSTITUTE(Q403,""Sell_"",""""),Upgrades!$B$3:$B$13,0))*1.15^(COUNTIF(Q$4:Q402,SUBSTITUTE(Q403,""Sell_"",""""))-COUNTIF(Q$4:Q402,"&amp;"""Sell_""&amp;SUBSTITUTE(Q403,""Sell_"",""""))))/2),ROUNDUP(INDEX(Upgrades!$C$3:$C$13,MATCH(Q403,Upgrades!$B$3:$B$13,0))*1.15^(COUNTIF(Q$4:Q402,Q403)-COUNTIF(Q$4:Q402,""Sell_""&amp;Q403))))))"),2152253.0)</f>
        <v>2152253</v>
      </c>
      <c r="V403" s="10">
        <f t="shared" si="11"/>
        <v>2152253</v>
      </c>
      <c r="W403" s="68">
        <f t="shared" si="12"/>
        <v>7605.875002</v>
      </c>
      <c r="X403" s="59" t="str">
        <f t="shared" si="13"/>
        <v>2h 06m 45s</v>
      </c>
      <c r="Y403" s="69">
        <f t="shared" si="14"/>
        <v>951316067</v>
      </c>
      <c r="Z403" s="11"/>
    </row>
    <row r="404">
      <c r="A404" s="8"/>
      <c r="B404" s="56" t="str">
        <f t="shared" si="2"/>
        <v/>
      </c>
      <c r="C404" s="105"/>
      <c r="D404" s="10"/>
      <c r="E404" s="59" t="str">
        <f t="array" ref="E404">IF(COUNTA(C404:C1673)=0,"",SUM((COUNTIF(C$4:C404,Upgrades!$B$3:$B$13)-COUNTIF(C$4:C404,"Sell_"&amp;Upgrades!$B$3:$B$13))*Upgrades!$D$3:$D$13))</f>
        <v/>
      </c>
      <c r="F404" s="66" t="str">
        <f>IFERROR(__xludf.DUMMYFUNCTION("IF(COUNTA(C404:C1673)=0,"""",IF(REGEXMATCH(INDEX(FILTER(C$4:C404,C$4:C404&lt;&gt;""""),ROWS(FILTER(C$4:C404,C$4:C404&lt;&gt;""""))),""^Sell_""),INDEX(FILTER(F$4:F403,C$4:C403&lt;&gt;""""),ROWS(FILTER(C$4:C403,C$4:C403&lt;&gt;""""))),$AC$5+E404))"),"")</f>
        <v/>
      </c>
      <c r="G404" s="10" t="str">
        <f>IFERROR(__xludf.DUMMYFUNCTION("IF(COUNTA(C404:C1673)=0,"""",IF(C404="""",0,IF(REGEXMATCH(C404,""^Sell_""),-ROUNDDOWN(ROUNDUP(INDEX(Upgrades!$C$3:$C$13,MATCH(SUBSTITUTE(C404,""Sell_"",""""),Upgrades!$B$3:$B$13,0))*1.15^(COUNTIF(C$4:C403,SUBSTITUTE(C404,""Sell_"",""""))-COUNTIF(C$4:C403,"&amp;"""Sell_""&amp;SUBSTITUTE(C404,""Sell_"",""""))))/2),ROUNDUP(INDEX(Upgrades!$C$3:$C$13,MATCH(C404,Upgrades!$B$3:$B$13,0))*1.15^(COUNTIF(C$4:C403,C404)-COUNTIF(C$4:C403,""Sell_""&amp;C404))))))"),"")</f>
        <v/>
      </c>
      <c r="H404" s="10" t="str">
        <f t="shared" si="3"/>
        <v/>
      </c>
      <c r="I404" s="68" t="str">
        <f t="shared" si="4"/>
        <v/>
      </c>
      <c r="J404" s="59" t="str">
        <f t="shared" si="5"/>
        <v/>
      </c>
      <c r="K404" s="69" t="str">
        <f t="shared" si="6"/>
        <v/>
      </c>
      <c r="L404" s="60">
        <f t="shared" si="7"/>
        <v>-146.48532</v>
      </c>
      <c r="M404" s="61">
        <f>IFERROR(__xludf.DUMMYFUNCTION("IFS(AND(COUNTA(C404:C1673)=0,COUNTA(Q404:Q1673)=0),"""",OR(AND(K404&gt;=1000000000,OR(Y404&gt;=1000000000,COUNTA(Q404:Q1673)=0)),OR(Y404&gt;=1000000000,AND(COUNTA(C404:C1673)=0,P$3=TRUE))),
ROUNDDOWN((AB$1-AC$1)*MAX(INDEX(T$4:T1673,MATCH(LARGE(FILTER(Y$4:Y1673,Y$4"&amp;":Y1673&lt;1000000000),1),Y$4:Y1673)),INDEX(F$4:F1673,MATCH(LARGE(FILTER(K$4:K1673,K$4:K1673&lt;1000000000),1),K$4:K1673)))),AND(K404&lt;1000000000,COUNTA(C404:C1673)&gt;0,P$3=FALSE),
ROUNDDOWN(INDEX(Y$4:Y1673,MATCH(LARGE(FILTER(W$4:W1673,W$4:W1673&lt;=I404),1),W$4:W1673"&amp;"))+(I404-LARGE(FILTER(W$4:W1673,W$4:W1673&lt;=I404),1))*INDEX(T$4:T1673,MATCH(LARGE(FILTER(W$4:W1673,W$4:W1673&lt;=I404),1),W$4:W1673))-K404),1,
ROUNDDOWN(Y404-INDEX(K$4:K1673,MATCH(LARGE(FILTER(I$4:I1673,I$4:I1673&lt;=W404),1),I$4:I1673))-(W404-LARGE(FILTER(I$4:I"&amp;"1673,I$4:I1673&lt;=W404),1))*INDEX(F$4:F1673,MATCH(LARGE(FILTER(I$4:I1673,I$4:I1673&lt;=W404),1),I$4:I1673))))"),8.1433411E7)</f>
        <v>81433411</v>
      </c>
      <c r="N404" s="60">
        <f t="shared" si="8"/>
        <v>-146.48532</v>
      </c>
      <c r="O404" s="61" t="str">
        <f t="shared" si="9"/>
        <v>81,4M</v>
      </c>
      <c r="P404" s="56">
        <f t="shared" si="10"/>
        <v>23</v>
      </c>
      <c r="Q404" s="105" t="s">
        <v>7</v>
      </c>
      <c r="R404" s="10"/>
      <c r="S404" s="59">
        <f t="array" ref="S404">IF(COUNTA(Q404:Q1673)=0,"",SUM((COUNTIF(Q$4:Q404,Upgrades!$B$3:$B$13)-COUNTIF(Q$4:Q404,"Sell_"&amp;Upgrades!$B$3:$B$13))*Upgrades!$D$3:$D$13))</f>
        <v>552064.6</v>
      </c>
      <c r="T404" s="66">
        <f>IFERROR(__xludf.DUMMYFUNCTION("IF(COUNTA(Q404:Q1673)=0,"""",IF(REGEXMATCH(INDEX(FILTER(Q$4:Q404,Q$4:Q404&lt;&gt;""""),ROWS(FILTER(Q$4:Q404,Q$4:Q404&lt;&gt;""""))),""^Sell_""),INDEX(FILTER(T$4:T403,Q$4:Q403&lt;&gt;""""),ROWS(FILTER(Q$4:Q403,Q$4:Q403&lt;&gt;""""))),$AD$5+S404))"),552079.6)</f>
        <v>552079.6</v>
      </c>
      <c r="U404" s="10">
        <f>IFERROR(__xludf.DUMMYFUNCTION("IF(COUNTA(Q404:Q1673)=0,"""",IF(Q404="""",0,IF(REGEXMATCH(Q404,""^Sell_""),-ROUNDDOWN(ROUNDUP(INDEX(Upgrades!$C$3:$C$13,MATCH(SUBSTITUTE(Q404,""Sell_"",""""),Upgrades!$B$3:$B$13,0))*1.15^(COUNTIF(Q$4:Q403,SUBSTITUTE(Q404,""Sell_"",""""))-COUNTIF(Q$4:Q403,"&amp;"""Sell_""&amp;SUBSTITUTE(Q404,""Sell_"",""""))))/2),ROUNDUP(INDEX(Upgrades!$C$3:$C$13,MATCH(Q404,Upgrades!$B$3:$B$13,0))*1.15^(COUNTIF(Q$4:Q403,Q404)-COUNTIF(Q$4:Q403,""Sell_""&amp;Q404))))))"),216448.0)</f>
        <v>216448</v>
      </c>
      <c r="V404" s="10">
        <f t="shared" si="11"/>
        <v>216448</v>
      </c>
      <c r="W404" s="68">
        <f t="shared" si="12"/>
        <v>7606.26709</v>
      </c>
      <c r="X404" s="59" t="str">
        <f t="shared" si="13"/>
        <v>2h 06m 46s</v>
      </c>
      <c r="Y404" s="69">
        <f t="shared" si="14"/>
        <v>951532515</v>
      </c>
      <c r="Z404" s="11"/>
    </row>
    <row r="405">
      <c r="A405" s="8"/>
      <c r="B405" s="56" t="str">
        <f t="shared" si="2"/>
        <v/>
      </c>
      <c r="C405" s="105"/>
      <c r="D405" s="10"/>
      <c r="E405" s="59" t="str">
        <f t="array" ref="E405">IF(COUNTA(C405:C1673)=0,"",SUM((COUNTIF(C$4:C405,Upgrades!$B$3:$B$13)-COUNTIF(C$4:C405,"Sell_"&amp;Upgrades!$B$3:$B$13))*Upgrades!$D$3:$D$13))</f>
        <v/>
      </c>
      <c r="F405" s="66" t="str">
        <f>IFERROR(__xludf.DUMMYFUNCTION("IF(COUNTA(C405:C1673)=0,"""",IF(REGEXMATCH(INDEX(FILTER(C$4:C405,C$4:C405&lt;&gt;""""),ROWS(FILTER(C$4:C405,C$4:C405&lt;&gt;""""))),""^Sell_""),INDEX(FILTER(F$4:F404,C$4:C404&lt;&gt;""""),ROWS(FILTER(C$4:C404,C$4:C404&lt;&gt;""""))),$AC$5+E405))"),"")</f>
        <v/>
      </c>
      <c r="G405" s="10" t="str">
        <f>IFERROR(__xludf.DUMMYFUNCTION("IF(COUNTA(C405:C1673)=0,"""",IF(C405="""",0,IF(REGEXMATCH(C405,""^Sell_""),-ROUNDDOWN(ROUNDUP(INDEX(Upgrades!$C$3:$C$13,MATCH(SUBSTITUTE(C405,""Sell_"",""""),Upgrades!$B$3:$B$13,0))*1.15^(COUNTIF(C$4:C404,SUBSTITUTE(C405,""Sell_"",""""))-COUNTIF(C$4:C404,"&amp;"""Sell_""&amp;SUBSTITUTE(C405,""Sell_"",""""))))/2),ROUNDUP(INDEX(Upgrades!$C$3:$C$13,MATCH(C405,Upgrades!$B$3:$B$13,0))*1.15^(COUNTIF(C$4:C404,C405)-COUNTIF(C$4:C404,""Sell_""&amp;C405))))))"),"")</f>
        <v/>
      </c>
      <c r="H405" s="10" t="str">
        <f t="shared" si="3"/>
        <v/>
      </c>
      <c r="I405" s="68" t="str">
        <f t="shared" si="4"/>
        <v/>
      </c>
      <c r="J405" s="59" t="str">
        <f t="shared" si="5"/>
        <v/>
      </c>
      <c r="K405" s="69" t="str">
        <f t="shared" si="6"/>
        <v/>
      </c>
      <c r="L405" s="60">
        <f t="shared" si="7"/>
        <v>-144.73944</v>
      </c>
      <c r="M405" s="61">
        <f>IFERROR(__xludf.DUMMYFUNCTION("IFS(AND(COUNTA(C405:C1673)=0,COUNTA(Q405:Q1673)=0),"""",OR(AND(K405&gt;=1000000000,OR(Y405&gt;=1000000000,COUNTA(Q405:Q1673)=0)),OR(Y405&gt;=1000000000,AND(COUNTA(C405:C1673)=0,P$3=TRUE))),
ROUNDDOWN((AB$1-AC$1)*MAX(INDEX(T$4:T1673,MATCH(LARGE(FILTER(Y$4:Y1673,Y$4"&amp;":Y1673&lt;1000000000),1),Y$4:Y1673)),INDEX(F$4:F1673,MATCH(LARGE(FILTER(K$4:K1673,K$4:K1673&lt;1000000000),1),K$4:K1673)))),AND(K405&lt;1000000000,COUNTA(C405:C1673)&gt;0,P$3=FALSE),
ROUNDDOWN(INDEX(Y$4:Y1673,MATCH(LARGE(FILTER(W$4:W1673,W$4:W1673&lt;=I405),1),W$4:W1673"&amp;"))+(I405-LARGE(FILTER(W$4:W1673,W$4:W1673&lt;=I405),1))*INDEX(T$4:T1673,MATCH(LARGE(FILTER(W$4:W1673,W$4:W1673&lt;=I405),1),W$4:W1673))-K405),1,
ROUNDDOWN(Y405-INDEX(K$4:K1673,MATCH(LARGE(FILTER(I$4:I1673,I$4:I1673&lt;=W405),1),I$4:I1673))-(W405-LARGE(FILTER(I$4:I"&amp;"1673,I$4:I1673&lt;=W405),1))*INDEX(F$4:F1673,MATCH(LARGE(FILTER(I$4:I1673,I$4:I1673&lt;=W405),1),I$4:I1673))))"),8.1455402E7)</f>
        <v>81455402</v>
      </c>
      <c r="N405" s="60">
        <f t="shared" si="8"/>
        <v>-144.73944</v>
      </c>
      <c r="O405" s="61" t="str">
        <f t="shared" si="9"/>
        <v>81,5M</v>
      </c>
      <c r="P405" s="56">
        <f t="shared" si="10"/>
        <v>23</v>
      </c>
      <c r="Q405" s="105" t="s">
        <v>10</v>
      </c>
      <c r="R405" s="10"/>
      <c r="S405" s="59">
        <f t="array" ref="S405">IF(COUNTA(Q405:Q1673)=0,"",SUM((COUNTIF(Q$4:Q405,Upgrades!$B$3:$B$13)-COUNTIF(Q$4:Q405,"Sell_"&amp;Upgrades!$B$3:$B$13))*Upgrades!$D$3:$D$13))</f>
        <v>558730.6</v>
      </c>
      <c r="T405" s="66">
        <f>IFERROR(__xludf.DUMMYFUNCTION("IF(COUNTA(Q405:Q1673)=0,"""",IF(REGEXMATCH(INDEX(FILTER(Q$4:Q405,Q$4:Q405&lt;&gt;""""),ROWS(FILTER(Q$4:Q405,Q$4:Q405&lt;&gt;""""))),""^Sell_""),INDEX(FILTER(T$4:T404,Q$4:Q404&lt;&gt;""""),ROWS(FILTER(Q$4:Q404,Q$4:Q404&lt;&gt;""""))),$AD$5+S405))"),558745.6)</f>
        <v>558745.6</v>
      </c>
      <c r="U405" s="10">
        <f>IFERROR(__xludf.DUMMYFUNCTION("IF(COUNTA(Q405:Q1673)=0,"""",IF(Q405="""",0,IF(REGEXMATCH(Q405,""^Sell_""),-ROUNDDOWN(ROUNDUP(INDEX(Upgrades!$C$3:$C$13,MATCH(SUBSTITUTE(Q405,""Sell_"",""""),Upgrades!$B$3:$B$13,0))*1.15^(COUNTIF(Q$4:Q404,SUBSTITUTE(Q405,""Sell_"",""""))-COUNTIF(Q$4:Q404,"&amp;"""Sell_""&amp;SUBSTITUTE(Q405,""Sell_"",""""))))/2),ROUNDUP(INDEX(Upgrades!$C$3:$C$13,MATCH(Q405,Upgrades!$B$3:$B$13,0))*1.15^(COUNTIF(Q$4:Q404,Q405)-COUNTIF(Q$4:Q404,""Sell_""&amp;Q405))))))"),3.6074562E7)</f>
        <v>36074562</v>
      </c>
      <c r="V405" s="10">
        <f t="shared" si="11"/>
        <v>36074562</v>
      </c>
      <c r="W405" s="68">
        <f t="shared" si="12"/>
        <v>7671.610135</v>
      </c>
      <c r="X405" s="59" t="str">
        <f t="shared" si="13"/>
        <v>2h 07m 51s</v>
      </c>
      <c r="Y405" s="69">
        <f t="shared" si="14"/>
        <v>987607077</v>
      </c>
      <c r="Z405" s="11"/>
    </row>
    <row r="406">
      <c r="A406" s="8"/>
      <c r="B406" s="56" t="str">
        <f t="shared" si="2"/>
        <v/>
      </c>
      <c r="C406" s="105"/>
      <c r="D406" s="10"/>
      <c r="E406" s="59" t="str">
        <f t="array" ref="E406">IF(COUNTA(C406:C1673)=0,"",SUM((COUNTIF(C$4:C406,Upgrades!$B$3:$B$13)-COUNTIF(C$4:C406,"Sell_"&amp;Upgrades!$B$3:$B$13))*Upgrades!$D$3:$D$13))</f>
        <v/>
      </c>
      <c r="F406" s="66" t="str">
        <f>IFERROR(__xludf.DUMMYFUNCTION("IF(COUNTA(C406:C1673)=0,"""",IF(REGEXMATCH(INDEX(FILTER(C$4:C406,C$4:C406&lt;&gt;""""),ROWS(FILTER(C$4:C406,C$4:C406&lt;&gt;""""))),""^Sell_""),INDEX(FILTER(F$4:F405,C$4:C405&lt;&gt;""""),ROWS(FILTER(C$4:C405,C$4:C405&lt;&gt;""""))),$AC$5+E406))"),"")</f>
        <v/>
      </c>
      <c r="G406" s="10" t="str">
        <f>IFERROR(__xludf.DUMMYFUNCTION("IF(COUNTA(C406:C1673)=0,"""",IF(C406="""",0,IF(REGEXMATCH(C406,""^Sell_""),-ROUNDDOWN(ROUNDUP(INDEX(Upgrades!$C$3:$C$13,MATCH(SUBSTITUTE(C406,""Sell_"",""""),Upgrades!$B$3:$B$13,0))*1.15^(COUNTIF(C$4:C405,SUBSTITUTE(C406,""Sell_"",""""))-COUNTIF(C$4:C405,"&amp;"""Sell_""&amp;SUBSTITUTE(C406,""Sell_"",""""))))/2),ROUNDUP(INDEX(Upgrades!$C$3:$C$13,MATCH(C406,Upgrades!$B$3:$B$13,0))*1.15^(COUNTIF(C$4:C405,C406)-COUNTIF(C$4:C405,""Sell_""&amp;C406))))))"),"")</f>
        <v/>
      </c>
      <c r="H406" s="10" t="str">
        <f t="shared" si="3"/>
        <v/>
      </c>
      <c r="I406" s="68" t="str">
        <f t="shared" si="4"/>
        <v/>
      </c>
      <c r="J406" s="59" t="str">
        <f t="shared" si="5"/>
        <v/>
      </c>
      <c r="K406" s="69" t="str">
        <f t="shared" si="6"/>
        <v/>
      </c>
      <c r="L406" s="60">
        <f t="shared" si="7"/>
        <v>-144.73874</v>
      </c>
      <c r="M406" s="61">
        <f>IFERROR(__xludf.DUMMYFUNCTION("IFS(AND(COUNTA(C406:C1673)=0,COUNTA(Q406:Q1673)=0),"""",OR(AND(K406&gt;=1000000000,OR(Y406&gt;=1000000000,COUNTA(Q406:Q1673)=0)),OR(Y406&gt;=1000000000,AND(COUNTA(C406:C1673)=0,P$3=TRUE))),
ROUNDDOWN((AB$1-AC$1)*MAX(INDEX(T$4:T1673,MATCH(LARGE(FILTER(Y$4:Y1673,Y$4"&amp;":Y1673&lt;1000000000),1),Y$4:Y1673)),INDEX(F$4:F1673,MATCH(LARGE(FILTER(K$4:K1673,K$4:K1673&lt;1000000000),1),K$4:K1673)))),AND(K406&lt;1000000000,COUNTA(C406:C1673)&gt;0,P$3=FALSE),
ROUNDDOWN(INDEX(Y$4:Y1673,MATCH(LARGE(FILTER(W$4:W1673,W$4:W1673&lt;=I406),1),W$4:W1673"&amp;"))+(I406-LARGE(FILTER(W$4:W1673,W$4:W1673&lt;=I406),1))*INDEX(T$4:T1673,MATCH(LARGE(FILTER(W$4:W1673,W$4:W1673&lt;=I406),1),W$4:W1673))-K406),1,
ROUNDDOWN(Y406-INDEX(K$4:K1673,MATCH(LARGE(FILTER(I$4:I1673,I$4:I1673&lt;=W406),1),I$4:I1673))-(W406-LARGE(FILTER(I$4:I"&amp;"1673,I$4:I1673&lt;=W406),1))*INDEX(F$4:F1673,MATCH(LARGE(FILTER(I$4:I1673,I$4:I1673&lt;=W406),1),I$4:I1673))))"),8.1455527E7)</f>
        <v>81455527</v>
      </c>
      <c r="N406" s="60">
        <f t="shared" si="8"/>
        <v>-144.73874</v>
      </c>
      <c r="O406" s="61" t="str">
        <f t="shared" si="9"/>
        <v>81,5M</v>
      </c>
      <c r="P406" s="56">
        <f t="shared" si="10"/>
        <v>28</v>
      </c>
      <c r="Q406" s="105" t="s">
        <v>5</v>
      </c>
      <c r="R406" s="10"/>
      <c r="S406" s="59">
        <f t="array" ref="S406">IF(COUNTA(Q406:Q1673)=0,"",SUM((COUNTIF(Q$4:Q406,Upgrades!$B$3:$B$13)-COUNTIF(Q$4:Q406,"Sell_"&amp;Upgrades!$B$3:$B$13))*Upgrades!$D$3:$D$13))</f>
        <v>558734.6</v>
      </c>
      <c r="T406" s="66">
        <f>IFERROR(__xludf.DUMMYFUNCTION("IF(COUNTA(Q406:Q1673)=0,"""",IF(REGEXMATCH(INDEX(FILTER(Q$4:Q406,Q$4:Q406&lt;&gt;""""),ROWS(FILTER(Q$4:Q406,Q$4:Q406&lt;&gt;""""))),""^Sell_""),INDEX(FILTER(T$4:T405,Q$4:Q405&lt;&gt;""""),ROWS(FILTER(Q$4:Q405,Q$4:Q405&lt;&gt;""""))),$AD$5+S406))"),558749.6)</f>
        <v>558749.6</v>
      </c>
      <c r="U406" s="10">
        <f>IFERROR(__xludf.DUMMYFUNCTION("IF(COUNTA(Q406:Q1673)=0,"""",IF(Q406="""",0,IF(REGEXMATCH(Q406,""^Sell_""),-ROUNDDOWN(ROUNDUP(INDEX(Upgrades!$C$3:$C$13,MATCH(SUBSTITUTE(Q406,""Sell_"",""""),Upgrades!$B$3:$B$13,0))*1.15^(COUNTIF(Q$4:Q405,SUBSTITUTE(Q406,""Sell_"",""""))-COUNTIF(Q$4:Q405,"&amp;"""Sell_""&amp;SUBSTITUTE(Q406,""Sell_"",""""))))/2),ROUNDUP(INDEX(Upgrades!$C$3:$C$13,MATCH(Q406,Upgrades!$B$3:$B$13,0))*1.15^(COUNTIF(Q$4:Q405,Q406)-COUNTIF(Q$4:Q405,""Sell_""&amp;Q406))))))"),21768.0)</f>
        <v>21768</v>
      </c>
      <c r="V406" s="10">
        <f t="shared" si="11"/>
        <v>21768</v>
      </c>
      <c r="W406" s="68">
        <f t="shared" si="12"/>
        <v>7671.649094</v>
      </c>
      <c r="X406" s="59" t="str">
        <f t="shared" si="13"/>
        <v>2h 07m 51s</v>
      </c>
      <c r="Y406" s="69">
        <f t="shared" si="14"/>
        <v>987628845</v>
      </c>
      <c r="Z406" s="11"/>
    </row>
    <row r="407">
      <c r="A407" s="8"/>
      <c r="B407" s="56" t="str">
        <f t="shared" si="2"/>
        <v/>
      </c>
      <c r="C407" s="105"/>
      <c r="D407" s="10"/>
      <c r="E407" s="59" t="str">
        <f t="array" ref="E407">IF(COUNTA(C407:C1673)=0,"",SUM((COUNTIF(C$4:C407,Upgrades!$B$3:$B$13)-COUNTIF(C$4:C407,"Sell_"&amp;Upgrades!$B$3:$B$13))*Upgrades!$D$3:$D$13))</f>
        <v/>
      </c>
      <c r="F407" s="66" t="str">
        <f>IFERROR(__xludf.DUMMYFUNCTION("IF(COUNTA(C407:C1673)=0,"""",IF(REGEXMATCH(INDEX(FILTER(C$4:C407,C$4:C407&lt;&gt;""""),ROWS(FILTER(C$4:C407,C$4:C407&lt;&gt;""""))),""^Sell_""),INDEX(FILTER(F$4:F406,C$4:C406&lt;&gt;""""),ROWS(FILTER(C$4:C406,C$4:C406&lt;&gt;""""))),$AC$5+E407))"),"")</f>
        <v/>
      </c>
      <c r="G407" s="10" t="str">
        <f>IFERROR(__xludf.DUMMYFUNCTION("IF(COUNTA(C407:C1673)=0,"""",IF(C407="""",0,IF(REGEXMATCH(C407,""^Sell_""),-ROUNDDOWN(ROUNDUP(INDEX(Upgrades!$C$3:$C$13,MATCH(SUBSTITUTE(C407,""Sell_"",""""),Upgrades!$B$3:$B$13,0))*1.15^(COUNTIF(C$4:C406,SUBSTITUTE(C407,""Sell_"",""""))-COUNTIF(C$4:C406,"&amp;"""Sell_""&amp;SUBSTITUTE(C407,""Sell_"",""""))))/2),ROUNDUP(INDEX(Upgrades!$C$3:$C$13,MATCH(C407,Upgrades!$B$3:$B$13,0))*1.15^(COUNTIF(C$4:C406,C407)-COUNTIF(C$4:C406,""Sell_""&amp;C407))))))"),"")</f>
        <v/>
      </c>
      <c r="H407" s="10" t="str">
        <f t="shared" si="3"/>
        <v/>
      </c>
      <c r="I407" s="68" t="str">
        <f t="shared" si="4"/>
        <v/>
      </c>
      <c r="J407" s="59" t="str">
        <f t="shared" si="5"/>
        <v/>
      </c>
      <c r="K407" s="69" t="str">
        <f t="shared" si="6"/>
        <v/>
      </c>
      <c r="L407" s="60">
        <f t="shared" si="7"/>
        <v>-144.73691</v>
      </c>
      <c r="M407" s="61">
        <f>IFERROR(__xludf.DUMMYFUNCTION("IFS(AND(COUNTA(C407:C1673)=0,COUNTA(Q407:Q1673)=0),"""",OR(AND(K407&gt;=1000000000,OR(Y407&gt;=1000000000,COUNTA(Q407:Q1673)=0)),OR(Y407&gt;=1000000000,AND(COUNTA(C407:C1673)=0,P$3=TRUE))),
ROUNDDOWN((AB$1-AC$1)*MAX(INDEX(T$4:T1673,MATCH(LARGE(FILTER(Y$4:Y1673,Y$4"&amp;":Y1673&lt;1000000000),1),Y$4:Y1673)),INDEX(F$4:F1673,MATCH(LARGE(FILTER(K$4:K1673,K$4:K1673&lt;1000000000),1),K$4:K1673)))),AND(K407&lt;1000000000,COUNTA(C407:C1673)&gt;0,P$3=FALSE),
ROUNDDOWN(INDEX(Y$4:Y1673,MATCH(LARGE(FILTER(W$4:W1673,W$4:W1673&lt;=I407),1),W$4:W1673"&amp;"))+(I407-LARGE(FILTER(W$4:W1673,W$4:W1673&lt;=I407),1))*INDEX(T$4:T1673,MATCH(LARGE(FILTER(W$4:W1673,W$4:W1673&lt;=I407),1),W$4:W1673))-K407),1,
ROUNDDOWN(Y407-INDEX(K$4:K1673,MATCH(LARGE(FILTER(I$4:I1673,I$4:I1673&lt;=W407),1),I$4:I1673))-(W407-LARGE(FILTER(I$4:I"&amp;"1673,I$4:I1673&lt;=W407),1))*INDEX(F$4:F1673,MATCH(LARGE(FILTER(I$4:I1673,I$4:I1673&lt;=W407),1),I$4:I1673))))"),8.1455852E7)</f>
        <v>81455852</v>
      </c>
      <c r="N407" s="60">
        <f t="shared" si="8"/>
        <v>-144.73691</v>
      </c>
      <c r="O407" s="61" t="str">
        <f t="shared" si="9"/>
        <v>81,5M</v>
      </c>
      <c r="P407" s="56">
        <f t="shared" si="10"/>
        <v>22</v>
      </c>
      <c r="Q407" s="105" t="s">
        <v>6</v>
      </c>
      <c r="R407" s="10"/>
      <c r="S407" s="59">
        <f t="array" ref="S407">IF(COUNTA(Q407:Q1673)=0,"",SUM((COUNTIF(Q$4:Q407,Upgrades!$B$3:$B$13)-COUNTIF(Q$4:Q407,"Sell_"&amp;Upgrades!$B$3:$B$13))*Upgrades!$D$3:$D$13))</f>
        <v>558744.6</v>
      </c>
      <c r="T407" s="66">
        <f>IFERROR(__xludf.DUMMYFUNCTION("IF(COUNTA(Q407:Q1673)=0,"""",IF(REGEXMATCH(INDEX(FILTER(Q$4:Q407,Q$4:Q407&lt;&gt;""""),ROWS(FILTER(Q$4:Q407,Q$4:Q407&lt;&gt;""""))),""^Sell_""),INDEX(FILTER(T$4:T406,Q$4:Q406&lt;&gt;""""),ROWS(FILTER(Q$4:Q406,Q$4:Q406&lt;&gt;""""))),$AD$5+S407))"),558759.6)</f>
        <v>558759.6</v>
      </c>
      <c r="U407" s="10">
        <f>IFERROR(__xludf.DUMMYFUNCTION("IF(COUNTA(Q407:Q1673)=0,"""",IF(Q407="""",0,IF(REGEXMATCH(Q407,""^Sell_""),-ROUNDDOWN(ROUNDUP(INDEX(Upgrades!$C$3:$C$13,MATCH(SUBSTITUTE(Q407,""Sell_"",""""),Upgrades!$B$3:$B$13,0))*1.15^(COUNTIF(Q$4:Q406,SUBSTITUTE(Q407,""Sell_"",""""))-COUNTIF(Q$4:Q406,"&amp;"""Sell_""&amp;SUBSTITUTE(Q407,""Sell_"",""""))))/2),ROUNDUP(INDEX(Upgrades!$C$3:$C$13,MATCH(Q407,Upgrades!$B$3:$B$13,0))*1.15^(COUNTIF(Q$4:Q406,Q407)-COUNTIF(Q$4:Q406,""Sell_""&amp;Q407))))))"),56465.0)</f>
        <v>56465</v>
      </c>
      <c r="V407" s="10">
        <f t="shared" si="11"/>
        <v>56465</v>
      </c>
      <c r="W407" s="68">
        <f t="shared" si="12"/>
        <v>7671.75015</v>
      </c>
      <c r="X407" s="59" t="str">
        <f t="shared" si="13"/>
        <v>2h 07m 51s</v>
      </c>
      <c r="Y407" s="69">
        <f t="shared" si="14"/>
        <v>987685310</v>
      </c>
      <c r="Z407" s="11"/>
    </row>
    <row r="408">
      <c r="A408" s="8"/>
      <c r="B408" s="56" t="str">
        <f t="shared" si="2"/>
        <v/>
      </c>
      <c r="C408" s="105"/>
      <c r="D408" s="10"/>
      <c r="E408" s="59" t="str">
        <f t="array" ref="E408">IF(COUNTA(C408:C1673)=0,"",SUM((COUNTIF(C$4:C408,Upgrades!$B$3:$B$13)-COUNTIF(C$4:C408,"Sell_"&amp;Upgrades!$B$3:$B$13))*Upgrades!$D$3:$D$13))</f>
        <v/>
      </c>
      <c r="F408" s="66" t="str">
        <f>IFERROR(__xludf.DUMMYFUNCTION("IF(COUNTA(C408:C1673)=0,"""",IF(REGEXMATCH(INDEX(FILTER(C$4:C408,C$4:C408&lt;&gt;""""),ROWS(FILTER(C$4:C408,C$4:C408&lt;&gt;""""))),""^Sell_""),INDEX(FILTER(F$4:F407,C$4:C407&lt;&gt;""""),ROWS(FILTER(C$4:C407,C$4:C407&lt;&gt;""""))),$AC$5+E408))"),"")</f>
        <v/>
      </c>
      <c r="G408" s="10" t="str">
        <f>IFERROR(__xludf.DUMMYFUNCTION("IF(COUNTA(C408:C1673)=0,"""",IF(C408="""",0,IF(REGEXMATCH(C408,""^Sell_""),-ROUNDDOWN(ROUNDUP(INDEX(Upgrades!$C$3:$C$13,MATCH(SUBSTITUTE(C408,""Sell_"",""""),Upgrades!$B$3:$B$13,0))*1.15^(COUNTIF(C$4:C407,SUBSTITUTE(C408,""Sell_"",""""))-COUNTIF(C$4:C407,"&amp;"""Sell_""&amp;SUBSTITUTE(C408,""Sell_"",""""))))/2),ROUNDUP(INDEX(Upgrades!$C$3:$C$13,MATCH(C408,Upgrades!$B$3:$B$13,0))*1.15^(COUNTIF(C$4:C407,C408)-COUNTIF(C$4:C407,""Sell_""&amp;C408))))))"),"")</f>
        <v/>
      </c>
      <c r="H408" s="10" t="str">
        <f t="shared" si="3"/>
        <v/>
      </c>
      <c r="I408" s="68" t="str">
        <f t="shared" si="4"/>
        <v/>
      </c>
      <c r="J408" s="59" t="str">
        <f t="shared" si="5"/>
        <v/>
      </c>
      <c r="K408" s="69" t="str">
        <f t="shared" si="6"/>
        <v/>
      </c>
      <c r="L408" s="60">
        <f t="shared" si="7"/>
        <v>-144.73689</v>
      </c>
      <c r="M408" s="61">
        <f>IFERROR(__xludf.DUMMYFUNCTION("IFS(AND(COUNTA(C408:C1673)=0,COUNTA(Q408:Q1673)=0),"""",OR(AND(K408&gt;=1000000000,OR(Y408&gt;=1000000000,COUNTA(Q408:Q1673)=0)),OR(Y408&gt;=1000000000,AND(COUNTA(C408:C1673)=0,P$3=TRUE))),
ROUNDDOWN((AB$1-AC$1)*MAX(INDEX(T$4:T1673,MATCH(LARGE(FILTER(Y$4:Y1673,Y$4"&amp;":Y1673&lt;1000000000),1),Y$4:Y1673)),INDEX(F$4:F1673,MATCH(LARGE(FILTER(K$4:K1673,K$4:K1673&lt;1000000000),1),K$4:K1673)))),AND(K408&lt;1000000000,COUNTA(C408:C1673)&gt;0,P$3=FALSE),
ROUNDDOWN(INDEX(Y$4:Y1673,MATCH(LARGE(FILTER(W$4:W1673,W$4:W1673&lt;=I408),1),W$4:W1673"&amp;"))+(I408-LARGE(FILTER(W$4:W1673,W$4:W1673&lt;=I408),1))*INDEX(T$4:T1673,MATCH(LARGE(FILTER(W$4:W1673,W$4:W1673&lt;=I408),1),W$4:W1673))-K408),1,
ROUNDDOWN(Y408-INDEX(K$4:K1673,MATCH(LARGE(FILTER(I$4:I1673,I$4:I1673&lt;=W408),1),I$4:I1673))-(W408-LARGE(FILTER(I$4:I"&amp;"1673,I$4:I1673&lt;=W408),1))*INDEX(F$4:F1673,MATCH(LARGE(FILTER(I$4:I1673,I$4:I1673&lt;=W408),1),I$4:I1673))))"),8.1455856E7)</f>
        <v>81455856</v>
      </c>
      <c r="N408" s="60">
        <f t="shared" si="8"/>
        <v>-144.73689</v>
      </c>
      <c r="O408" s="61" t="str">
        <f t="shared" si="9"/>
        <v>81,5M</v>
      </c>
      <c r="P408" s="56">
        <f t="shared" si="10"/>
        <v>27</v>
      </c>
      <c r="Q408" s="105" t="s">
        <v>3</v>
      </c>
      <c r="R408" s="10"/>
      <c r="S408" s="59">
        <f t="array" ref="S408">IF(COUNTA(Q408:Q1673)=0,"",SUM((COUNTIF(Q$4:Q408,Upgrades!$B$3:$B$13)-COUNTIF(Q$4:Q408,"Sell_"&amp;Upgrades!$B$3:$B$13))*Upgrades!$D$3:$D$13))</f>
        <v>558744.7</v>
      </c>
      <c r="T408" s="66">
        <f>IFERROR(__xludf.DUMMYFUNCTION("IF(COUNTA(Q408:Q1673)=0,"""",IF(REGEXMATCH(INDEX(FILTER(Q$4:Q408,Q$4:Q408&lt;&gt;""""),ROWS(FILTER(Q$4:Q408,Q$4:Q408&lt;&gt;""""))),""^Sell_""),INDEX(FILTER(T$4:T407,Q$4:Q407&lt;&gt;""""),ROWS(FILTER(Q$4:Q407,Q$4:Q407&lt;&gt;""""))),$AD$5+S408))"),558759.7)</f>
        <v>558759.7</v>
      </c>
      <c r="U408" s="10">
        <f>IFERROR(__xludf.DUMMYFUNCTION("IF(COUNTA(Q408:Q1673)=0,"""",IF(Q408="""",0,IF(REGEXMATCH(Q408,""^Sell_""),-ROUNDDOWN(ROUNDUP(INDEX(Upgrades!$C$3:$C$13,MATCH(SUBSTITUTE(Q408,""Sell_"",""""),Upgrades!$B$3:$B$13,0))*1.15^(COUNTIF(Q$4:Q407,SUBSTITUTE(Q408,""Sell_"",""""))-COUNTIF(Q$4:Q407,"&amp;"""Sell_""&amp;SUBSTITUTE(Q408,""Sell_"",""""))))/2),ROUNDUP(INDEX(Upgrades!$C$3:$C$13,MATCH(Q408,Upgrades!$B$3:$B$13,0))*1.15^(COUNTIF(Q$4:Q407,Q408)-COUNTIF(Q$4:Q407,""Sell_""&amp;Q408))))))"),568.0)</f>
        <v>568</v>
      </c>
      <c r="V408" s="10">
        <f t="shared" si="11"/>
        <v>568</v>
      </c>
      <c r="W408" s="68">
        <f t="shared" si="12"/>
        <v>7671.751166</v>
      </c>
      <c r="X408" s="59" t="str">
        <f t="shared" si="13"/>
        <v>2h 07m 51s</v>
      </c>
      <c r="Y408" s="69">
        <f t="shared" si="14"/>
        <v>987685878</v>
      </c>
      <c r="Z408" s="11"/>
    </row>
    <row r="409">
      <c r="A409" s="8"/>
      <c r="B409" s="56" t="str">
        <f t="shared" si="2"/>
        <v/>
      </c>
      <c r="C409" s="105"/>
      <c r="D409" s="10"/>
      <c r="E409" s="59" t="str">
        <f t="array" ref="E409">IF(COUNTA(C409:C1673)=0,"",SUM((COUNTIF(C$4:C409,Upgrades!$B$3:$B$13)-COUNTIF(C$4:C409,"Sell_"&amp;Upgrades!$B$3:$B$13))*Upgrades!$D$3:$D$13))</f>
        <v/>
      </c>
      <c r="F409" s="66" t="str">
        <f>IFERROR(__xludf.DUMMYFUNCTION("IF(COUNTA(C409:C1673)=0,"""",IF(REGEXMATCH(INDEX(FILTER(C$4:C409,C$4:C409&lt;&gt;""""),ROWS(FILTER(C$4:C409,C$4:C409&lt;&gt;""""))),""^Sell_""),INDEX(FILTER(F$4:F408,C$4:C408&lt;&gt;""""),ROWS(FILTER(C$4:C408,C$4:C408&lt;&gt;""""))),$AC$5+E409))"),"")</f>
        <v/>
      </c>
      <c r="G409" s="10" t="str">
        <f>IFERROR(__xludf.DUMMYFUNCTION("IF(COUNTA(C409:C1673)=0,"""",IF(C409="""",0,IF(REGEXMATCH(C409,""^Sell_""),-ROUNDDOWN(ROUNDUP(INDEX(Upgrades!$C$3:$C$13,MATCH(SUBSTITUTE(C409,""Sell_"",""""),Upgrades!$B$3:$B$13,0))*1.15^(COUNTIF(C$4:C408,SUBSTITUTE(C409,""Sell_"",""""))-COUNTIF(C$4:C408,"&amp;"""Sell_""&amp;SUBSTITUTE(C409,""Sell_"",""""))))/2),ROUNDUP(INDEX(Upgrades!$C$3:$C$13,MATCH(C409,Upgrades!$B$3:$B$13,0))*1.15^(COUNTIF(C$4:C408,C409)-COUNTIF(C$4:C408,""Sell_""&amp;C409))))))"),"")</f>
        <v/>
      </c>
      <c r="H409" s="10" t="str">
        <f t="shared" si="3"/>
        <v/>
      </c>
      <c r="I409" s="68" t="str">
        <f t="shared" si="4"/>
        <v/>
      </c>
      <c r="J409" s="59" t="str">
        <f t="shared" si="5"/>
        <v/>
      </c>
      <c r="K409" s="69" t="str">
        <f t="shared" si="6"/>
        <v/>
      </c>
      <c r="L409" s="60">
        <f t="shared" si="7"/>
        <v>-144.71848</v>
      </c>
      <c r="M409" s="61">
        <f>IFERROR(__xludf.DUMMYFUNCTION("IFS(AND(COUNTA(C409:C1673)=0,COUNTA(Q409:Q1673)=0),"""",OR(AND(K409&gt;=1000000000,OR(Y409&gt;=1000000000,COUNTA(Q409:Q1673)=0)),OR(Y409&gt;=1000000000,AND(COUNTA(C409:C1673)=0,P$3=TRUE))),
ROUNDDOWN((AB$1-AC$1)*MAX(INDEX(T$4:T1673,MATCH(LARGE(FILTER(Y$4:Y1673,Y$4"&amp;":Y1673&lt;1000000000),1),Y$4:Y1673)),INDEX(F$4:F1673,MATCH(LARGE(FILTER(K$4:K1673,K$4:K1673&lt;1000000000),1),K$4:K1673)))),AND(K409&lt;1000000000,COUNTA(C409:C1673)&gt;0,P$3=FALSE),
ROUNDDOWN(INDEX(Y$4:Y1673,MATCH(LARGE(FILTER(W$4:W1673,W$4:W1673&lt;=I409),1),W$4:W1673"&amp;"))+(I409-LARGE(FILTER(W$4:W1673,W$4:W1673&lt;=I409),1))*INDEX(T$4:T1673,MATCH(LARGE(FILTER(W$4:W1673,W$4:W1673&lt;=I409),1),W$4:W1673))-K409),1,
ROUNDDOWN(Y409-INDEX(K$4:K1673,MATCH(LARGE(FILTER(I$4:I1673,I$4:I1673&lt;=W409),1),I$4:I1673))-(W409-LARGE(FILTER(I$4:I"&amp;"1673,I$4:I1673&lt;=W409),1))*INDEX(F$4:F1673,MATCH(LARGE(FILTER(I$4:I1673,I$4:I1673&lt;=W409),1),I$4:I1673))))"),8.1459144E7)</f>
        <v>81459144</v>
      </c>
      <c r="N409" s="60">
        <f t="shared" si="8"/>
        <v>-144.71848</v>
      </c>
      <c r="O409" s="61" t="str">
        <f t="shared" si="9"/>
        <v>81,5M</v>
      </c>
      <c r="P409" s="56">
        <f t="shared" si="10"/>
        <v>20</v>
      </c>
      <c r="Q409" s="105" t="s">
        <v>8</v>
      </c>
      <c r="R409" s="10"/>
      <c r="S409" s="59">
        <f t="array" ref="S409">IF(COUNTA(Q409:Q1673)=0,"",SUM((COUNTIF(Q$4:Q409,Upgrades!$B$3:$B$13)-COUNTIF(Q$4:Q409,"Sell_"&amp;Upgrades!$B$3:$B$13))*Upgrades!$D$3:$D$13))</f>
        <v>558844.7</v>
      </c>
      <c r="T409" s="66">
        <f>IFERROR(__xludf.DUMMYFUNCTION("IF(COUNTA(Q409:Q1673)=0,"""",IF(REGEXMATCH(INDEX(FILTER(Q$4:Q409,Q$4:Q409&lt;&gt;""""),ROWS(FILTER(Q$4:Q409,Q$4:Q409&lt;&gt;""""))),""^Sell_""),INDEX(FILTER(T$4:T408,Q$4:Q408&lt;&gt;""""),ROWS(FILTER(Q$4:Q408,Q$4:Q408&lt;&gt;""""))),$AD$5+S409))"),558859.7)</f>
        <v>558859.7</v>
      </c>
      <c r="U409" s="10">
        <f>IFERROR(__xludf.DUMMYFUNCTION("IF(COUNTA(Q409:Q1673)=0,"""",IF(Q409="""",0,IF(REGEXMATCH(Q409,""^Sell_""),-ROUNDDOWN(ROUNDUP(INDEX(Upgrades!$C$3:$C$13,MATCH(SUBSTITUTE(Q409,""Sell_"",""""),Upgrades!$B$3:$B$13,0))*1.15^(COUNTIF(Q$4:Q408,SUBSTITUTE(Q409,""Sell_"",""""))-COUNTIF(Q$4:Q408,"&amp;"""Sell_""&amp;SUBSTITUTE(Q409,""Sell_"",""""))))/2),ROUNDUP(INDEX(Upgrades!$C$3:$C$13,MATCH(Q409,Upgrades!$B$3:$B$13,0))*1.15^(COUNTIF(Q$4:Q408,Q409)-COUNTIF(Q$4:Q408,""Sell_""&amp;Q409))))))"),569271.0)</f>
        <v>569271</v>
      </c>
      <c r="V409" s="10">
        <f t="shared" si="11"/>
        <v>569271</v>
      </c>
      <c r="W409" s="68">
        <f t="shared" si="12"/>
        <v>7672.769978</v>
      </c>
      <c r="X409" s="59" t="str">
        <f t="shared" si="13"/>
        <v>2h 07m 52s</v>
      </c>
      <c r="Y409" s="69">
        <f t="shared" si="14"/>
        <v>988255149</v>
      </c>
      <c r="Z409" s="11"/>
    </row>
    <row r="410">
      <c r="A410" s="8"/>
      <c r="B410" s="56" t="str">
        <f t="shared" si="2"/>
        <v/>
      </c>
      <c r="C410" s="105"/>
      <c r="D410" s="10"/>
      <c r="E410" s="59" t="str">
        <f t="array" ref="E410">IF(COUNTA(C410:C1673)=0,"",SUM((COUNTIF(C$4:C410,Upgrades!$B$3:$B$13)-COUNTIF(C$4:C410,"Sell_"&amp;Upgrades!$B$3:$B$13))*Upgrades!$D$3:$D$13))</f>
        <v/>
      </c>
      <c r="F410" s="66" t="str">
        <f>IFERROR(__xludf.DUMMYFUNCTION("IF(COUNTA(C410:C1673)=0,"""",IF(REGEXMATCH(INDEX(FILTER(C$4:C410,C$4:C410&lt;&gt;""""),ROWS(FILTER(C$4:C410,C$4:C410&lt;&gt;""""))),""^Sell_""),INDEX(FILTER(F$4:F409,C$4:C409&lt;&gt;""""),ROWS(FILTER(C$4:C409,C$4:C409&lt;&gt;""""))),$AC$5+E410))"),"")</f>
        <v/>
      </c>
      <c r="G410" s="10" t="str">
        <f>IFERROR(__xludf.DUMMYFUNCTION("IF(COUNTA(C410:C1673)=0,"""",IF(C410="""",0,IF(REGEXMATCH(C410,""^Sell_""),-ROUNDDOWN(ROUNDUP(INDEX(Upgrades!$C$3:$C$13,MATCH(SUBSTITUTE(C410,""Sell_"",""""),Upgrades!$B$3:$B$13,0))*1.15^(COUNTIF(C$4:C409,SUBSTITUTE(C410,""Sell_"",""""))-COUNTIF(C$4:C409,"&amp;"""Sell_""&amp;SUBSTITUTE(C410,""Sell_"",""""))))/2),ROUNDUP(INDEX(Upgrades!$C$3:$C$13,MATCH(C410,Upgrades!$B$3:$B$13,0))*1.15^(COUNTIF(C$4:C409,C410)-COUNTIF(C$4:C409,""Sell_""&amp;C410))))))"),"")</f>
        <v/>
      </c>
      <c r="H410" s="10" t="str">
        <f t="shared" si="3"/>
        <v/>
      </c>
      <c r="I410" s="68" t="str">
        <f t="shared" si="4"/>
        <v/>
      </c>
      <c r="J410" s="59" t="str">
        <f t="shared" si="5"/>
        <v/>
      </c>
      <c r="K410" s="69" t="str">
        <f t="shared" si="6"/>
        <v/>
      </c>
      <c r="L410" s="60">
        <f t="shared" si="7"/>
        <v>-144.71839</v>
      </c>
      <c r="M410" s="61">
        <f>IFERROR(__xludf.DUMMYFUNCTION("IFS(AND(COUNTA(C410:C1673)=0,COUNTA(Q410:Q1673)=0),"""",OR(AND(K410&gt;=1000000000,OR(Y410&gt;=1000000000,COUNTA(Q410:Q1673)=0)),OR(Y410&gt;=1000000000,AND(COUNTA(C410:C1673)=0,P$3=TRUE))),
ROUNDDOWN((AB$1-AC$1)*MAX(INDEX(T$4:T1673,MATCH(LARGE(FILTER(Y$4:Y1673,Y$4"&amp;":Y1673&lt;1000000000),1),Y$4:Y1673)),INDEX(F$4:F1673,MATCH(LARGE(FILTER(K$4:K1673,K$4:K1673&lt;1000000000),1),K$4:K1673)))),AND(K410&lt;1000000000,COUNTA(C410:C1673)&gt;0,P$3=FALSE),
ROUNDDOWN(INDEX(Y$4:Y1673,MATCH(LARGE(FILTER(W$4:W1673,W$4:W1673&lt;=I410),1),W$4:W1673"&amp;"))+(I410-LARGE(FILTER(W$4:W1673,W$4:W1673&lt;=I410),1))*INDEX(T$4:T1673,MATCH(LARGE(FILTER(W$4:W1673,W$4:W1673&lt;=I410),1),W$4:W1673))-K410),1,
ROUNDDOWN(Y410-INDEX(K$4:K1673,MATCH(LARGE(FILTER(I$4:I1673,I$4:I1673&lt;=W410),1),I$4:I1673))-(W410-LARGE(FILTER(I$4:I"&amp;"1673,I$4:I1673&lt;=W410),1))*INDEX(F$4:F1673,MATCH(LARGE(FILTER(I$4:I1673,I$4:I1673&lt;=W410),1),I$4:I1673))))"),8.1459161E7)</f>
        <v>81459161</v>
      </c>
      <c r="N410" s="60">
        <f t="shared" si="8"/>
        <v>-144.71839</v>
      </c>
      <c r="O410" s="61" t="str">
        <f t="shared" si="9"/>
        <v>81,5M</v>
      </c>
      <c r="P410" s="56">
        <f t="shared" si="10"/>
        <v>25</v>
      </c>
      <c r="Q410" s="105" t="s">
        <v>4</v>
      </c>
      <c r="R410" s="10"/>
      <c r="S410" s="59">
        <f t="array" ref="S410">IF(COUNTA(Q410:Q1673)=0,"",SUM((COUNTIF(Q$4:Q410,Upgrades!$B$3:$B$13)-COUNTIF(Q$4:Q410,"Sell_"&amp;Upgrades!$B$3:$B$13))*Upgrades!$D$3:$D$13))</f>
        <v>558845.2</v>
      </c>
      <c r="T410" s="66">
        <f>IFERROR(__xludf.DUMMYFUNCTION("IF(COUNTA(Q410:Q1673)=0,"""",IF(REGEXMATCH(INDEX(FILTER(Q$4:Q410,Q$4:Q410&lt;&gt;""""),ROWS(FILTER(Q$4:Q410,Q$4:Q410&lt;&gt;""""))),""^Sell_""),INDEX(FILTER(T$4:T409,Q$4:Q409&lt;&gt;""""),ROWS(FILTER(Q$4:Q409,Q$4:Q409&lt;&gt;""""))),$AD$5+S410))"),558860.2)</f>
        <v>558860.2</v>
      </c>
      <c r="U410" s="10">
        <f>IFERROR(__xludf.DUMMYFUNCTION("IF(COUNTA(Q410:Q1673)=0,"""",IF(Q410="""",0,IF(REGEXMATCH(Q410,""^Sell_""),-ROUNDDOWN(ROUNDUP(INDEX(Upgrades!$C$3:$C$13,MATCH(SUBSTITUTE(Q410,""Sell_"",""""),Upgrades!$B$3:$B$13,0))*1.15^(COUNTIF(Q$4:Q409,SUBSTITUTE(Q410,""Sell_"",""""))-COUNTIF(Q$4:Q409,"&amp;"""Sell_""&amp;SUBSTITUTE(Q410,""Sell_"",""""))))/2),ROUNDUP(INDEX(Upgrades!$C$3:$C$13,MATCH(Q410,Upgrades!$B$3:$B$13,0))*1.15^(COUNTIF(Q$4:Q409,Q410)-COUNTIF(Q$4:Q409,""Sell_""&amp;Q410))))))"),2863.0)</f>
        <v>2863</v>
      </c>
      <c r="V410" s="10">
        <f t="shared" si="11"/>
        <v>2863</v>
      </c>
      <c r="W410" s="68">
        <f t="shared" si="12"/>
        <v>7672.775101</v>
      </c>
      <c r="X410" s="59" t="str">
        <f t="shared" si="13"/>
        <v>2h 07m 52s</v>
      </c>
      <c r="Y410" s="69">
        <f t="shared" si="14"/>
        <v>988258012</v>
      </c>
      <c r="Z410" s="11"/>
    </row>
    <row r="411">
      <c r="A411" s="8"/>
      <c r="B411" s="56" t="str">
        <f t="shared" si="2"/>
        <v/>
      </c>
      <c r="C411" s="105"/>
      <c r="D411" s="10"/>
      <c r="E411" s="59" t="str">
        <f t="array" ref="E411">IF(COUNTA(C411:C1673)=0,"",SUM((COUNTIF(C$4:C411,Upgrades!$B$3:$B$13)-COUNTIF(C$4:C411,"Sell_"&amp;Upgrades!$B$3:$B$13))*Upgrades!$D$3:$D$13))</f>
        <v/>
      </c>
      <c r="F411" s="66" t="str">
        <f>IFERROR(__xludf.DUMMYFUNCTION("IF(COUNTA(C411:C1673)=0,"""",IF(REGEXMATCH(INDEX(FILTER(C$4:C411,C$4:C411&lt;&gt;""""),ROWS(FILTER(C$4:C411,C$4:C411&lt;&gt;""""))),""^Sell_""),INDEX(FILTER(F$4:F410,C$4:C410&lt;&gt;""""),ROWS(FILTER(C$4:C410,C$4:C410&lt;&gt;""""))),$AC$5+E411))"),"")</f>
        <v/>
      </c>
      <c r="G411" s="10" t="str">
        <f>IFERROR(__xludf.DUMMYFUNCTION("IF(COUNTA(C411:C1673)=0,"""",IF(C411="""",0,IF(REGEXMATCH(C411,""^Sell_""),-ROUNDDOWN(ROUNDUP(INDEX(Upgrades!$C$3:$C$13,MATCH(SUBSTITUTE(C411,""Sell_"",""""),Upgrades!$B$3:$B$13,0))*1.15^(COUNTIF(C$4:C410,SUBSTITUTE(C411,""Sell_"",""""))-COUNTIF(C$4:C410,"&amp;"""Sell_""&amp;SUBSTITUTE(C411,""Sell_"",""""))))/2),ROUNDUP(INDEX(Upgrades!$C$3:$C$13,MATCH(C411,Upgrades!$B$3:$B$13,0))*1.15^(COUNTIF(C$4:C410,C411)-COUNTIF(C$4:C410,""Sell_""&amp;C411))))))"),"")</f>
        <v/>
      </c>
      <c r="H411" s="10" t="str">
        <f t="shared" si="3"/>
        <v/>
      </c>
      <c r="I411" s="68" t="str">
        <f t="shared" si="4"/>
        <v/>
      </c>
      <c r="J411" s="59" t="str">
        <f t="shared" si="5"/>
        <v/>
      </c>
      <c r="K411" s="69" t="str">
        <f t="shared" si="6"/>
        <v/>
      </c>
      <c r="L411" s="60">
        <f t="shared" si="7"/>
        <v>-144.63915</v>
      </c>
      <c r="M411" s="61">
        <f>IFERROR(__xludf.DUMMYFUNCTION("IFS(AND(COUNTA(C411:C1673)=0,COUNTA(Q411:Q1673)=0),"""",OR(AND(K411&gt;=1000000000,OR(Y411&gt;=1000000000,COUNTA(Q411:Q1673)=0)),OR(Y411&gt;=1000000000,AND(COUNTA(C411:C1673)=0,P$3=TRUE))),
ROUNDDOWN((AB$1-AC$1)*MAX(INDEX(T$4:T1673,MATCH(LARGE(FILTER(Y$4:Y1673,Y$4"&amp;":Y1673&lt;1000000000),1),Y$4:Y1673)),INDEX(F$4:F1673,MATCH(LARGE(FILTER(K$4:K1673,K$4:K1673&lt;1000000000),1),K$4:K1673)))),AND(K411&lt;1000000000,COUNTA(C411:C1673)&gt;0,P$3=FALSE),
ROUNDDOWN(INDEX(Y$4:Y1673,MATCH(LARGE(FILTER(W$4:W1673,W$4:W1673&lt;=I411),1),W$4:W1673"&amp;"))+(I411-LARGE(FILTER(W$4:W1673,W$4:W1673&lt;=I411),1))*INDEX(T$4:T1673,MATCH(LARGE(FILTER(W$4:W1673,W$4:W1673&lt;=I411),1),W$4:W1673))-K411),1,
ROUNDDOWN(Y411-INDEX(K$4:K1673,MATCH(LARGE(FILTER(I$4:I1673,I$4:I1673&lt;=W411),1),I$4:I1673))-(W411-LARGE(FILTER(I$4:I"&amp;"1673,I$4:I1673&lt;=W411),1))*INDEX(F$4:F1673,MATCH(LARGE(FILTER(I$4:I1673,I$4:I1673&lt;=W411),1),I$4:I1673))))"),8.1473898E7)</f>
        <v>81473898</v>
      </c>
      <c r="N411" s="60">
        <f t="shared" si="8"/>
        <v>-144.63915</v>
      </c>
      <c r="O411" s="61" t="str">
        <f t="shared" si="9"/>
        <v>81,5M</v>
      </c>
      <c r="P411" s="56">
        <f t="shared" si="10"/>
        <v>19</v>
      </c>
      <c r="Q411" s="105" t="s">
        <v>9</v>
      </c>
      <c r="R411" s="10"/>
      <c r="S411" s="59">
        <f t="array" ref="S411">IF(COUNTA(Q411:Q1673)=0,"",SUM((COUNTIF(Q$4:Q411,Upgrades!$B$3:$B$13)-COUNTIF(Q$4:Q411,"Sell_"&amp;Upgrades!$B$3:$B$13))*Upgrades!$D$3:$D$13))</f>
        <v>559245.2</v>
      </c>
      <c r="T411" s="66">
        <f>IFERROR(__xludf.DUMMYFUNCTION("IF(COUNTA(Q411:Q1673)=0,"""",IF(REGEXMATCH(INDEX(FILTER(Q$4:Q411,Q$4:Q411&lt;&gt;""""),ROWS(FILTER(Q$4:Q411,Q$4:Q411&lt;&gt;""""))),""^Sell_""),INDEX(FILTER(T$4:T410,Q$4:Q410&lt;&gt;""""),ROWS(FILTER(Q$4:Q410,Q$4:Q410&lt;&gt;""""))),$AD$5+S411))"),559260.2)</f>
        <v>559260.2</v>
      </c>
      <c r="U411" s="10">
        <f>IFERROR(__xludf.DUMMYFUNCTION("IF(COUNTA(Q411:Q1673)=0,"""",IF(Q411="""",0,IF(REGEXMATCH(Q411,""^Sell_""),-ROUNDDOWN(ROUNDUP(INDEX(Upgrades!$C$3:$C$13,MATCH(SUBSTITUTE(Q411,""Sell_"",""""),Upgrades!$B$3:$B$13,0))*1.15^(COUNTIF(Q$4:Q410,SUBSTITUTE(Q411,""Sell_"",""""))-COUNTIF(Q$4:Q410,"&amp;"""Sell_""&amp;SUBSTITUTE(Q411,""Sell_"",""""))))/2),ROUNDUP(INDEX(Upgrades!$C$3:$C$13,MATCH(Q411,Upgrades!$B$3:$B$13,0))*1.15^(COUNTIF(Q$4:Q410,Q411)-COUNTIF(Q$4:Q410,""Sell_""&amp;Q411))))))"),2475091.0)</f>
        <v>2475091</v>
      </c>
      <c r="V411" s="10">
        <f t="shared" si="11"/>
        <v>2475091</v>
      </c>
      <c r="W411" s="68">
        <f t="shared" si="12"/>
        <v>7677.203921</v>
      </c>
      <c r="X411" s="59" t="str">
        <f t="shared" si="13"/>
        <v>2h 07m 57s</v>
      </c>
      <c r="Y411" s="69">
        <f t="shared" si="14"/>
        <v>990733103</v>
      </c>
      <c r="Z411" s="11"/>
    </row>
    <row r="412">
      <c r="A412" s="8"/>
      <c r="B412" s="56" t="str">
        <f t="shared" si="2"/>
        <v/>
      </c>
      <c r="C412" s="105"/>
      <c r="D412" s="10"/>
      <c r="E412" s="59" t="str">
        <f t="array" ref="E412">IF(COUNTA(C412:C1673)=0,"",SUM((COUNTIF(C$4:C412,Upgrades!$B$3:$B$13)-COUNTIF(C$4:C412,"Sell_"&amp;Upgrades!$B$3:$B$13))*Upgrades!$D$3:$D$13))</f>
        <v/>
      </c>
      <c r="F412" s="66" t="str">
        <f>IFERROR(__xludf.DUMMYFUNCTION("IF(COUNTA(C412:C1673)=0,"""",IF(REGEXMATCH(INDEX(FILTER(C$4:C412,C$4:C412&lt;&gt;""""),ROWS(FILTER(C$4:C412,C$4:C412&lt;&gt;""""))),""^Sell_""),INDEX(FILTER(F$4:F411,C$4:C411&lt;&gt;""""),ROWS(FILTER(C$4:C411,C$4:C411&lt;&gt;""""))),$AC$5+E412))"),"")</f>
        <v/>
      </c>
      <c r="G412" s="10" t="str">
        <f>IFERROR(__xludf.DUMMYFUNCTION("IF(COUNTA(C412:C1673)=0,"""",IF(C412="""",0,IF(REGEXMATCH(C412,""^Sell_""),-ROUNDDOWN(ROUNDUP(INDEX(Upgrades!$C$3:$C$13,MATCH(SUBSTITUTE(C412,""Sell_"",""""),Upgrades!$B$3:$B$13,0))*1.15^(COUNTIF(C$4:C411,SUBSTITUTE(C412,""Sell_"",""""))-COUNTIF(C$4:C411,"&amp;"""Sell_""&amp;SUBSTITUTE(C412,""Sell_"",""""))))/2),ROUNDUP(INDEX(Upgrades!$C$3:$C$13,MATCH(C412,Upgrades!$B$3:$B$13,0))*1.15^(COUNTIF(C$4:C411,C412)-COUNTIF(C$4:C411,""Sell_""&amp;C412))))))"),"")</f>
        <v/>
      </c>
      <c r="H412" s="10" t="str">
        <f t="shared" si="3"/>
        <v/>
      </c>
      <c r="I412" s="68" t="str">
        <f t="shared" si="4"/>
        <v/>
      </c>
      <c r="J412" s="59" t="str">
        <f t="shared" si="5"/>
        <v/>
      </c>
      <c r="K412" s="69" t="str">
        <f t="shared" si="6"/>
        <v/>
      </c>
      <c r="L412" s="60">
        <f t="shared" si="7"/>
        <v>-144.6315</v>
      </c>
      <c r="M412" s="61">
        <f>IFERROR(__xludf.DUMMYFUNCTION("IFS(AND(COUNTA(C412:C1673)=0,COUNTA(Q412:Q1673)=0),"""",OR(AND(K412&gt;=1000000000,OR(Y412&gt;=1000000000,COUNTA(Q412:Q1673)=0)),OR(Y412&gt;=1000000000,AND(COUNTA(C412:C1673)=0,P$3=TRUE))),
ROUNDDOWN((AB$1-AC$1)*MAX(INDEX(T$4:T1673,MATCH(LARGE(FILTER(Y$4:Y1673,Y$4"&amp;":Y1673&lt;1000000000),1),Y$4:Y1673)),INDEX(F$4:F1673,MATCH(LARGE(FILTER(K$4:K1673,K$4:K1673&lt;1000000000),1),K$4:K1673)))),AND(K412&lt;1000000000,COUNTA(C412:C1673)&gt;0,P$3=FALSE),
ROUNDDOWN(INDEX(Y$4:Y1673,MATCH(LARGE(FILTER(W$4:W1673,W$4:W1673&lt;=I412),1),W$4:W1673"&amp;"))+(I412-LARGE(FILTER(W$4:W1673,W$4:W1673&lt;=I412),1))*INDEX(T$4:T1673,MATCH(LARGE(FILTER(W$4:W1673,W$4:W1673&lt;=I412),1),W$4:W1673))-K412),1,
ROUNDDOWN(Y412-INDEX(K$4:K1673,MATCH(LARGE(FILTER(I$4:I1673,I$4:I1673&lt;=W412),1),I$4:I1673))-(W412-LARGE(FILTER(I$4:I"&amp;"1673,I$4:I1673&lt;=W412),1))*INDEX(F$4:F1673,MATCH(LARGE(FILTER(I$4:I1673,I$4:I1673&lt;=W412),1),I$4:I1673))))"),8.1475557E7)</f>
        <v>81475557</v>
      </c>
      <c r="N412" s="60">
        <f t="shared" si="8"/>
        <v>-144.6315</v>
      </c>
      <c r="O412" s="61" t="str">
        <f t="shared" si="9"/>
        <v>81,5M</v>
      </c>
      <c r="P412" s="56">
        <f t="shared" si="10"/>
        <v>24</v>
      </c>
      <c r="Q412" s="105" t="s">
        <v>7</v>
      </c>
      <c r="R412" s="10"/>
      <c r="S412" s="59">
        <f t="array" ref="S412">IF(COUNTA(Q412:Q1673)=0,"",SUM((COUNTIF(Q$4:Q412,Upgrades!$B$3:$B$13)-COUNTIF(Q$4:Q412,"Sell_"&amp;Upgrades!$B$3:$B$13))*Upgrades!$D$3:$D$13))</f>
        <v>559285.2</v>
      </c>
      <c r="T412" s="66">
        <f>IFERROR(__xludf.DUMMYFUNCTION("IF(COUNTA(Q412:Q1673)=0,"""",IF(REGEXMATCH(INDEX(FILTER(Q$4:Q412,Q$4:Q412&lt;&gt;""""),ROWS(FILTER(Q$4:Q412,Q$4:Q412&lt;&gt;""""))),""^Sell_""),INDEX(FILTER(T$4:T411,Q$4:Q411&lt;&gt;""""),ROWS(FILTER(Q$4:Q411,Q$4:Q411&lt;&gt;""""))),$AD$5+S412))"),559300.2)</f>
        <v>559300.2</v>
      </c>
      <c r="U412" s="10">
        <f>IFERROR(__xludf.DUMMYFUNCTION("IF(COUNTA(Q412:Q1673)=0,"""",IF(Q412="""",0,IF(REGEXMATCH(Q412,""^Sell_""),-ROUNDDOWN(ROUNDUP(INDEX(Upgrades!$C$3:$C$13,MATCH(SUBSTITUTE(Q412,""Sell_"",""""),Upgrades!$B$3:$B$13,0))*1.15^(COUNTIF(Q$4:Q411,SUBSTITUTE(Q412,""Sell_"",""""))-COUNTIF(Q$4:Q411,"&amp;"""Sell_""&amp;SUBSTITUTE(Q412,""Sell_"",""""))))/2),ROUNDUP(INDEX(Upgrades!$C$3:$C$13,MATCH(Q412,Upgrades!$B$3:$B$13,0))*1.15^(COUNTIF(Q$4:Q411,Q412)-COUNTIF(Q$4:Q411,""Sell_""&amp;Q412))))))"),248915.0)</f>
        <v>248915</v>
      </c>
      <c r="V412" s="10">
        <f t="shared" si="11"/>
        <v>248915</v>
      </c>
      <c r="W412" s="68">
        <f t="shared" si="12"/>
        <v>7677.649</v>
      </c>
      <c r="X412" s="59" t="str">
        <f t="shared" si="13"/>
        <v>2h 07m 57s</v>
      </c>
      <c r="Y412" s="69">
        <f t="shared" si="14"/>
        <v>990982018</v>
      </c>
      <c r="Z412" s="11"/>
    </row>
    <row r="413">
      <c r="A413" s="8"/>
      <c r="B413" s="56" t="str">
        <f t="shared" si="2"/>
        <v/>
      </c>
      <c r="C413" s="105"/>
      <c r="D413" s="10"/>
      <c r="E413" s="59" t="str">
        <f t="array" ref="E413">IF(COUNTA(C413:C1673)=0,"",SUM((COUNTIF(C$4:C413,Upgrades!$B$3:$B$13)-COUNTIF(C$4:C413,"Sell_"&amp;Upgrades!$B$3:$B$13))*Upgrades!$D$3:$D$13))</f>
        <v/>
      </c>
      <c r="F413" s="66" t="str">
        <f>IFERROR(__xludf.DUMMYFUNCTION("IF(COUNTA(C413:C1673)=0,"""",IF(REGEXMATCH(INDEX(FILTER(C$4:C413,C$4:C413&lt;&gt;""""),ROWS(FILTER(C$4:C413,C$4:C413&lt;&gt;""""))),""^Sell_""),INDEX(FILTER(F$4:F412,C$4:C412&lt;&gt;""""),ROWS(FILTER(C$4:C412,C$4:C412&lt;&gt;""""))),$AC$5+E413))"),"")</f>
        <v/>
      </c>
      <c r="G413" s="10" t="str">
        <f>IFERROR(__xludf.DUMMYFUNCTION("IF(COUNTA(C413:C1673)=0,"""",IF(C413="""",0,IF(REGEXMATCH(C413,""^Sell_""),-ROUNDDOWN(ROUNDUP(INDEX(Upgrades!$C$3:$C$13,MATCH(SUBSTITUTE(C413,""Sell_"",""""),Upgrades!$B$3:$B$13,0))*1.15^(COUNTIF(C$4:C412,SUBSTITUTE(C413,""Sell_"",""""))-COUNTIF(C$4:C412,"&amp;"""Sell_""&amp;SUBSTITUTE(C413,""Sell_"",""""))))/2),ROUNDUP(INDEX(Upgrades!$C$3:$C$13,MATCH(C413,Upgrades!$B$3:$B$13,0))*1.15^(COUNTIF(C$4:C412,C413)-COUNTIF(C$4:C412,""Sell_""&amp;C413))))))"),"")</f>
        <v/>
      </c>
      <c r="H413" s="10" t="str">
        <f t="shared" si="3"/>
        <v/>
      </c>
      <c r="I413" s="68" t="str">
        <f t="shared" si="4"/>
        <v/>
      </c>
      <c r="J413" s="59" t="str">
        <f t="shared" si="5"/>
        <v/>
      </c>
      <c r="K413" s="69" t="str">
        <f t="shared" si="6"/>
        <v/>
      </c>
      <c r="L413" s="60">
        <f t="shared" si="7"/>
        <v>-144.63074</v>
      </c>
      <c r="M413" s="61">
        <f>IFERROR(__xludf.DUMMYFUNCTION("IFS(AND(COUNTA(C413:C1673)=0,COUNTA(Q413:Q1673)=0),"""",OR(AND(K413&gt;=1000000000,OR(Y413&gt;=1000000000,COUNTA(Q413:Q1673)=0)),OR(Y413&gt;=1000000000,AND(COUNTA(C413:C1673)=0,P$3=TRUE))),
ROUNDDOWN((AB$1-AC$1)*MAX(INDEX(T$4:T1673,MATCH(LARGE(FILTER(Y$4:Y1673,Y$4"&amp;":Y1673&lt;1000000000),1),Y$4:Y1673)),INDEX(F$4:F1673,MATCH(LARGE(FILTER(K$4:K1673,K$4:K1673&lt;1000000000),1),K$4:K1673)))),AND(K413&lt;1000000000,COUNTA(C413:C1673)&gt;0,P$3=FALSE),
ROUNDDOWN(INDEX(Y$4:Y1673,MATCH(LARGE(FILTER(W$4:W1673,W$4:W1673&lt;=I413),1),W$4:W1673"&amp;"))+(I413-LARGE(FILTER(W$4:W1673,W$4:W1673&lt;=I413),1))*INDEX(T$4:T1673,MATCH(LARGE(FILTER(W$4:W1673,W$4:W1673&lt;=I413),1),W$4:W1673))-K413),1,
ROUNDDOWN(Y413-INDEX(K$4:K1673,MATCH(LARGE(FILTER(I$4:I1673,I$4:I1673&lt;=W413),1),I$4:I1673))-(W413-LARGE(FILTER(I$4:I"&amp;"1673,I$4:I1673&lt;=W413),1))*INDEX(F$4:F1673,MATCH(LARGE(FILTER(I$4:I1673,I$4:I1673&lt;=W413),1),I$4:I1673))))"),8.1475726E7)</f>
        <v>81475726</v>
      </c>
      <c r="N413" s="60">
        <f t="shared" si="8"/>
        <v>-144.63074</v>
      </c>
      <c r="O413" s="61" t="str">
        <f t="shared" si="9"/>
        <v>81,5M</v>
      </c>
      <c r="P413" s="56">
        <f t="shared" si="10"/>
        <v>29</v>
      </c>
      <c r="Q413" s="105" t="s">
        <v>5</v>
      </c>
      <c r="R413" s="10"/>
      <c r="S413" s="59">
        <f t="array" ref="S413">IF(COUNTA(Q413:Q1673)=0,"",SUM((COUNTIF(Q$4:Q413,Upgrades!$B$3:$B$13)-COUNTIF(Q$4:Q413,"Sell_"&amp;Upgrades!$B$3:$B$13))*Upgrades!$D$3:$D$13))</f>
        <v>559289.2</v>
      </c>
      <c r="T413" s="66">
        <f>IFERROR(__xludf.DUMMYFUNCTION("IF(COUNTA(Q413:Q1673)=0,"""",IF(REGEXMATCH(INDEX(FILTER(Q$4:Q413,Q$4:Q413&lt;&gt;""""),ROWS(FILTER(Q$4:Q413,Q$4:Q413&lt;&gt;""""))),""^Sell_""),INDEX(FILTER(T$4:T412,Q$4:Q412&lt;&gt;""""),ROWS(FILTER(Q$4:Q412,Q$4:Q412&lt;&gt;""""))),$AD$5+S413))"),559304.2)</f>
        <v>559304.2</v>
      </c>
      <c r="U413" s="10">
        <f>IFERROR(__xludf.DUMMYFUNCTION("IF(COUNTA(Q413:Q1673)=0,"""",IF(Q413="""",0,IF(REGEXMATCH(Q413,""^Sell_""),-ROUNDDOWN(ROUNDUP(INDEX(Upgrades!$C$3:$C$13,MATCH(SUBSTITUTE(Q413,""Sell_"",""""),Upgrades!$B$3:$B$13,0))*1.15^(COUNTIF(Q$4:Q412,SUBSTITUTE(Q413,""Sell_"",""""))-COUNTIF(Q$4:Q412,"&amp;"""Sell_""&amp;SUBSTITUTE(Q413,""Sell_"",""""))))/2),ROUNDUP(INDEX(Upgrades!$C$3:$C$13,MATCH(Q413,Upgrades!$B$3:$B$13,0))*1.15^(COUNTIF(Q$4:Q412,Q413)-COUNTIF(Q$4:Q412,""Sell_""&amp;Q413))))))"),25033.0)</f>
        <v>25033</v>
      </c>
      <c r="V413" s="10">
        <f t="shared" si="11"/>
        <v>25033</v>
      </c>
      <c r="W413" s="68">
        <f t="shared" si="12"/>
        <v>7677.693757</v>
      </c>
      <c r="X413" s="59" t="str">
        <f t="shared" si="13"/>
        <v>2h 07m 57s</v>
      </c>
      <c r="Y413" s="69">
        <f t="shared" si="14"/>
        <v>991007051</v>
      </c>
      <c r="Z413" s="11"/>
    </row>
    <row r="414">
      <c r="A414" s="8"/>
      <c r="B414" s="56" t="str">
        <f t="shared" si="2"/>
        <v/>
      </c>
      <c r="C414" s="105"/>
      <c r="D414" s="10"/>
      <c r="E414" s="59" t="str">
        <f t="array" ref="E414">IF(COUNTA(C414:C1673)=0,"",SUM((COUNTIF(C$4:C414,Upgrades!$B$3:$B$13)-COUNTIF(C$4:C414,"Sell_"&amp;Upgrades!$B$3:$B$13))*Upgrades!$D$3:$D$13))</f>
        <v/>
      </c>
      <c r="F414" s="66" t="str">
        <f>IFERROR(__xludf.DUMMYFUNCTION("IF(COUNTA(C414:C1673)=0,"""",IF(REGEXMATCH(INDEX(FILTER(C$4:C414,C$4:C414&lt;&gt;""""),ROWS(FILTER(C$4:C414,C$4:C414&lt;&gt;""""))),""^Sell_""),INDEX(FILTER(F$4:F413,C$4:C413&lt;&gt;""""),ROWS(FILTER(C$4:C413,C$4:C413&lt;&gt;""""))),$AC$5+E414))"),"")</f>
        <v/>
      </c>
      <c r="G414" s="10" t="str">
        <f>IFERROR(__xludf.DUMMYFUNCTION("IF(COUNTA(C414:C1673)=0,"""",IF(C414="""",0,IF(REGEXMATCH(C414,""^Sell_""),-ROUNDDOWN(ROUNDUP(INDEX(Upgrades!$C$3:$C$13,MATCH(SUBSTITUTE(C414,""Sell_"",""""),Upgrades!$B$3:$B$13,0))*1.15^(COUNTIF(C$4:C413,SUBSTITUTE(C414,""Sell_"",""""))-COUNTIF(C$4:C413,"&amp;"""Sell_""&amp;SUBSTITUTE(C414,""Sell_"",""""))))/2),ROUNDUP(INDEX(Upgrades!$C$3:$C$13,MATCH(C414,Upgrades!$B$3:$B$13,0))*1.15^(COUNTIF(C$4:C413,C414)-COUNTIF(C$4:C413,""Sell_""&amp;C414))))))"),"")</f>
        <v/>
      </c>
      <c r="H414" s="10" t="str">
        <f t="shared" si="3"/>
        <v/>
      </c>
      <c r="I414" s="68" t="str">
        <f t="shared" si="4"/>
        <v/>
      </c>
      <c r="J414" s="59" t="str">
        <f t="shared" si="5"/>
        <v/>
      </c>
      <c r="K414" s="69" t="str">
        <f t="shared" si="6"/>
        <v/>
      </c>
      <c r="L414" s="60">
        <f t="shared" si="7"/>
        <v>-144.62875</v>
      </c>
      <c r="M414" s="61">
        <f>IFERROR(__xludf.DUMMYFUNCTION("IFS(AND(COUNTA(C414:C1673)=0,COUNTA(Q414:Q1673)=0),"""",OR(AND(K414&gt;=1000000000,OR(Y414&gt;=1000000000,COUNTA(Q414:Q1673)=0)),OR(Y414&gt;=1000000000,AND(COUNTA(C414:C1673)=0,P$3=TRUE))),
ROUNDDOWN((AB$1-AC$1)*MAX(INDEX(T$4:T1673,MATCH(LARGE(FILTER(Y$4:Y1673,Y$4"&amp;":Y1673&lt;1000000000),1),Y$4:Y1673)),INDEX(F$4:F1673,MATCH(LARGE(FILTER(K$4:K1673,K$4:K1673&lt;1000000000),1),K$4:K1673)))),AND(K414&lt;1000000000,COUNTA(C414:C1673)&gt;0,P$3=FALSE),
ROUNDDOWN(INDEX(Y$4:Y1673,MATCH(LARGE(FILTER(W$4:W1673,W$4:W1673&lt;=I414),1),W$4:W1673"&amp;"))+(I414-LARGE(FILTER(W$4:W1673,W$4:W1673&lt;=I414),1))*INDEX(T$4:T1673,MATCH(LARGE(FILTER(W$4:W1673,W$4:W1673&lt;=I414),1),W$4:W1673))-K414),1,
ROUNDDOWN(Y414-INDEX(K$4:K1673,MATCH(LARGE(FILTER(I$4:I1673,I$4:I1673&lt;=W414),1),I$4:I1673))-(W414-LARGE(FILTER(I$4:I"&amp;"1673,I$4:I1673&lt;=W414),1))*INDEX(F$4:F1673,MATCH(LARGE(FILTER(I$4:I1673,I$4:I1673&lt;=W414),1),I$4:I1673))))"),8.1476164E7)</f>
        <v>81476164</v>
      </c>
      <c r="N414" s="60">
        <f t="shared" si="8"/>
        <v>-144.62875</v>
      </c>
      <c r="O414" s="61" t="str">
        <f t="shared" si="9"/>
        <v>81,5M</v>
      </c>
      <c r="P414" s="56">
        <f t="shared" si="10"/>
        <v>23</v>
      </c>
      <c r="Q414" s="105" t="s">
        <v>6</v>
      </c>
      <c r="R414" s="10"/>
      <c r="S414" s="59">
        <f t="array" ref="S414">IF(COUNTA(Q414:Q1673)=0,"",SUM((COUNTIF(Q$4:Q414,Upgrades!$B$3:$B$13)-COUNTIF(Q$4:Q414,"Sell_"&amp;Upgrades!$B$3:$B$13))*Upgrades!$D$3:$D$13))</f>
        <v>559299.2</v>
      </c>
      <c r="T414" s="66">
        <f>IFERROR(__xludf.DUMMYFUNCTION("IF(COUNTA(Q414:Q1673)=0,"""",IF(REGEXMATCH(INDEX(FILTER(Q$4:Q414,Q$4:Q414&lt;&gt;""""),ROWS(FILTER(Q$4:Q414,Q$4:Q414&lt;&gt;""""))),""^Sell_""),INDEX(FILTER(T$4:T413,Q$4:Q413&lt;&gt;""""),ROWS(FILTER(Q$4:Q413,Q$4:Q413&lt;&gt;""""))),$AD$5+S414))"),559314.2)</f>
        <v>559314.2</v>
      </c>
      <c r="U414" s="10">
        <f>IFERROR(__xludf.DUMMYFUNCTION("IF(COUNTA(Q414:Q1673)=0,"""",IF(Q414="""",0,IF(REGEXMATCH(Q414,""^Sell_""),-ROUNDDOWN(ROUNDUP(INDEX(Upgrades!$C$3:$C$13,MATCH(SUBSTITUTE(Q414,""Sell_"",""""),Upgrades!$B$3:$B$13,0))*1.15^(COUNTIF(Q$4:Q413,SUBSTITUTE(Q414,""Sell_"",""""))-COUNTIF(Q$4:Q413,"&amp;"""Sell_""&amp;SUBSTITUTE(Q414,""Sell_"",""""))))/2),ROUNDUP(INDEX(Upgrades!$C$3:$C$13,MATCH(Q414,Upgrades!$B$3:$B$13,0))*1.15^(COUNTIF(Q$4:Q413,Q414)-COUNTIF(Q$4:Q413,""Sell_""&amp;Q414))))))"),64935.0)</f>
        <v>64935</v>
      </c>
      <c r="V414" s="10">
        <f t="shared" si="11"/>
        <v>64935</v>
      </c>
      <c r="W414" s="68">
        <f t="shared" si="12"/>
        <v>7677.809857</v>
      </c>
      <c r="X414" s="59" t="str">
        <f t="shared" si="13"/>
        <v>2h 07m 57s</v>
      </c>
      <c r="Y414" s="69">
        <f t="shared" si="14"/>
        <v>991071986</v>
      </c>
      <c r="Z414" s="11"/>
    </row>
    <row r="415">
      <c r="A415" s="8"/>
      <c r="B415" s="56" t="str">
        <f t="shared" si="2"/>
        <v/>
      </c>
      <c r="C415" s="105"/>
      <c r="D415" s="10"/>
      <c r="E415" s="59" t="str">
        <f t="array" ref="E415">IF(COUNTA(C415:C1673)=0,"",SUM((COUNTIF(C$4:C415,Upgrades!$B$3:$B$13)-COUNTIF(C$4:C415,"Sell_"&amp;Upgrades!$B$3:$B$13))*Upgrades!$D$3:$D$13))</f>
        <v/>
      </c>
      <c r="F415" s="66" t="str">
        <f>IFERROR(__xludf.DUMMYFUNCTION("IF(COUNTA(C415:C1673)=0,"""",IF(REGEXMATCH(INDEX(FILTER(C$4:C415,C$4:C415&lt;&gt;""""),ROWS(FILTER(C$4:C415,C$4:C415&lt;&gt;""""))),""^Sell_""),INDEX(FILTER(F$4:F414,C$4:C414&lt;&gt;""""),ROWS(FILTER(C$4:C414,C$4:C414&lt;&gt;""""))),$AC$5+E415))"),"")</f>
        <v/>
      </c>
      <c r="G415" s="10" t="str">
        <f>IFERROR(__xludf.DUMMYFUNCTION("IF(COUNTA(C415:C1673)=0,"""",IF(C415="""",0,IF(REGEXMATCH(C415,""^Sell_""),-ROUNDDOWN(ROUNDUP(INDEX(Upgrades!$C$3:$C$13,MATCH(SUBSTITUTE(C415,""Sell_"",""""),Upgrades!$B$3:$B$13,0))*1.15^(COUNTIF(C$4:C414,SUBSTITUTE(C415,""Sell_"",""""))-COUNTIF(C$4:C414,"&amp;"""Sell_""&amp;SUBSTITUTE(C415,""Sell_"",""""))))/2),ROUNDUP(INDEX(Upgrades!$C$3:$C$13,MATCH(C415,Upgrades!$B$3:$B$13,0))*1.15^(COUNTIF(C$4:C414,C415)-COUNTIF(C$4:C414,""Sell_""&amp;C415))))))"),"")</f>
        <v/>
      </c>
      <c r="H415" s="10" t="str">
        <f t="shared" si="3"/>
        <v/>
      </c>
      <c r="I415" s="68" t="str">
        <f t="shared" si="4"/>
        <v/>
      </c>
      <c r="J415" s="59" t="str">
        <f t="shared" si="5"/>
        <v/>
      </c>
      <c r="K415" s="69" t="str">
        <f t="shared" si="6"/>
        <v/>
      </c>
      <c r="L415" s="60">
        <f t="shared" si="7"/>
        <v>-144.62873</v>
      </c>
      <c r="M415" s="61">
        <f>IFERROR(__xludf.DUMMYFUNCTION("IFS(AND(COUNTA(C415:C1673)=0,COUNTA(Q415:Q1673)=0),"""",OR(AND(K415&gt;=1000000000,OR(Y415&gt;=1000000000,COUNTA(Q415:Q1673)=0)),OR(Y415&gt;=1000000000,AND(COUNTA(C415:C1673)=0,P$3=TRUE))),
ROUNDDOWN((AB$1-AC$1)*MAX(INDEX(T$4:T1673,MATCH(LARGE(FILTER(Y$4:Y1673,Y$4"&amp;":Y1673&lt;1000000000),1),Y$4:Y1673)),INDEX(F$4:F1673,MATCH(LARGE(FILTER(K$4:K1673,K$4:K1673&lt;1000000000),1),K$4:K1673)))),AND(K415&lt;1000000000,COUNTA(C415:C1673)&gt;0,P$3=FALSE),
ROUNDDOWN(INDEX(Y$4:Y1673,MATCH(LARGE(FILTER(W$4:W1673,W$4:W1673&lt;=I415),1),W$4:W1673"&amp;"))+(I415-LARGE(FILTER(W$4:W1673,W$4:W1673&lt;=I415),1))*INDEX(T$4:T1673,MATCH(LARGE(FILTER(W$4:W1673,W$4:W1673&lt;=I415),1),W$4:W1673))-K415),1,
ROUNDDOWN(Y415-INDEX(K$4:K1673,MATCH(LARGE(FILTER(I$4:I1673,I$4:I1673&lt;=W415),1),I$4:I1673))-(W415-LARGE(FILTER(I$4:I"&amp;"1673,I$4:I1673&lt;=W415),1))*INDEX(F$4:F1673,MATCH(LARGE(FILTER(I$4:I1673,I$4:I1673&lt;=W415),1),I$4:I1673))))"),8.1476168E7)</f>
        <v>81476168</v>
      </c>
      <c r="N415" s="60">
        <f t="shared" si="8"/>
        <v>-144.62873</v>
      </c>
      <c r="O415" s="61" t="str">
        <f t="shared" si="9"/>
        <v>81,5M</v>
      </c>
      <c r="P415" s="56">
        <f t="shared" si="10"/>
        <v>28</v>
      </c>
      <c r="Q415" s="105" t="s">
        <v>3</v>
      </c>
      <c r="R415" s="10"/>
      <c r="S415" s="59">
        <f t="array" ref="S415">IF(COUNTA(Q415:Q1673)=0,"",SUM((COUNTIF(Q$4:Q415,Upgrades!$B$3:$B$13)-COUNTIF(Q$4:Q415,"Sell_"&amp;Upgrades!$B$3:$B$13))*Upgrades!$D$3:$D$13))</f>
        <v>559299.3</v>
      </c>
      <c r="T415" s="66">
        <f>IFERROR(__xludf.DUMMYFUNCTION("IF(COUNTA(Q415:Q1673)=0,"""",IF(REGEXMATCH(INDEX(FILTER(Q$4:Q415,Q$4:Q415&lt;&gt;""""),ROWS(FILTER(Q$4:Q415,Q$4:Q415&lt;&gt;""""))),""^Sell_""),INDEX(FILTER(T$4:T414,Q$4:Q414&lt;&gt;""""),ROWS(FILTER(Q$4:Q414,Q$4:Q414&lt;&gt;""""))),$AD$5+S415))"),559314.3)</f>
        <v>559314.3</v>
      </c>
      <c r="U415" s="10">
        <f>IFERROR(__xludf.DUMMYFUNCTION("IF(COUNTA(Q415:Q1673)=0,"""",IF(Q415="""",0,IF(REGEXMATCH(Q415,""^Sell_""),-ROUNDDOWN(ROUNDUP(INDEX(Upgrades!$C$3:$C$13,MATCH(SUBSTITUTE(Q415,""Sell_"",""""),Upgrades!$B$3:$B$13,0))*1.15^(COUNTIF(Q$4:Q414,SUBSTITUTE(Q415,""Sell_"",""""))-COUNTIF(Q$4:Q414,"&amp;"""Sell_""&amp;SUBSTITUTE(Q415,""Sell_"",""""))))/2),ROUNDUP(INDEX(Upgrades!$C$3:$C$13,MATCH(Q415,Upgrades!$B$3:$B$13,0))*1.15^(COUNTIF(Q$4:Q414,Q415)-COUNTIF(Q$4:Q414,""Sell_""&amp;Q415))))))"),654.0)</f>
        <v>654</v>
      </c>
      <c r="V415" s="10">
        <f t="shared" si="11"/>
        <v>654</v>
      </c>
      <c r="W415" s="68">
        <f t="shared" si="12"/>
        <v>7677.811026</v>
      </c>
      <c r="X415" s="59" t="str">
        <f t="shared" si="13"/>
        <v>2h 07m 57s</v>
      </c>
      <c r="Y415" s="69">
        <f t="shared" si="14"/>
        <v>991072640</v>
      </c>
      <c r="Z415" s="11"/>
    </row>
    <row r="416">
      <c r="A416" s="8"/>
      <c r="B416" s="56" t="str">
        <f t="shared" si="2"/>
        <v/>
      </c>
      <c r="C416" s="105"/>
      <c r="D416" s="10"/>
      <c r="E416" s="59" t="str">
        <f t="array" ref="E416">IF(COUNTA(C416:C1673)=0,"",SUM((COUNTIF(C$4:C416,Upgrades!$B$3:$B$13)-COUNTIF(C$4:C416,"Sell_"&amp;Upgrades!$B$3:$B$13))*Upgrades!$D$3:$D$13))</f>
        <v/>
      </c>
      <c r="F416" s="66" t="str">
        <f>IFERROR(__xludf.DUMMYFUNCTION("IF(COUNTA(C416:C1673)=0,"""",IF(REGEXMATCH(INDEX(FILTER(C$4:C416,C$4:C416&lt;&gt;""""),ROWS(FILTER(C$4:C416,C$4:C416&lt;&gt;""""))),""^Sell_""),INDEX(FILTER(F$4:F415,C$4:C415&lt;&gt;""""),ROWS(FILTER(C$4:C415,C$4:C415&lt;&gt;""""))),$AC$5+E416))"),"")</f>
        <v/>
      </c>
      <c r="G416" s="10" t="str">
        <f>IFERROR(__xludf.DUMMYFUNCTION("IF(COUNTA(C416:C1673)=0,"""",IF(C416="""",0,IF(REGEXMATCH(C416,""^Sell_""),-ROUNDDOWN(ROUNDUP(INDEX(Upgrades!$C$3:$C$13,MATCH(SUBSTITUTE(C416,""Sell_"",""""),Upgrades!$B$3:$B$13,0))*1.15^(COUNTIF(C$4:C415,SUBSTITUTE(C416,""Sell_"",""""))-COUNTIF(C$4:C415,"&amp;"""Sell_""&amp;SUBSTITUTE(C416,""Sell_"",""""))))/2),ROUNDUP(INDEX(Upgrades!$C$3:$C$13,MATCH(C416,Upgrades!$B$3:$B$13,0))*1.15^(COUNTIF(C$4:C415,C416)-COUNTIF(C$4:C415,""Sell_""&amp;C416))))))"),"")</f>
        <v/>
      </c>
      <c r="H416" s="10" t="str">
        <f t="shared" si="3"/>
        <v/>
      </c>
      <c r="I416" s="68" t="str">
        <f t="shared" si="4"/>
        <v/>
      </c>
      <c r="J416" s="59" t="str">
        <f t="shared" si="5"/>
        <v/>
      </c>
      <c r="K416" s="69" t="str">
        <f t="shared" si="6"/>
        <v/>
      </c>
      <c r="L416" s="60">
        <f t="shared" si="7"/>
        <v>-144.60872</v>
      </c>
      <c r="M416" s="61">
        <f>IFERROR(__xludf.DUMMYFUNCTION("IFS(AND(COUNTA(C416:C1673)=0,COUNTA(Q416:Q1673)=0),"""",OR(AND(K416&gt;=1000000000,OR(Y416&gt;=1000000000,COUNTA(Q416:Q1673)=0)),OR(Y416&gt;=1000000000,AND(COUNTA(C416:C1673)=0,P$3=TRUE))),
ROUNDDOWN((AB$1-AC$1)*MAX(INDEX(T$4:T1673,MATCH(LARGE(FILTER(Y$4:Y1673,Y$4"&amp;":Y1673&lt;1000000000),1),Y$4:Y1673)),INDEX(F$4:F1673,MATCH(LARGE(FILTER(K$4:K1673,K$4:K1673&lt;1000000000),1),K$4:K1673)))),AND(K416&lt;1000000000,COUNTA(C416:C1673)&gt;0,P$3=FALSE),
ROUNDDOWN(INDEX(Y$4:Y1673,MATCH(LARGE(FILTER(W$4:W1673,W$4:W1673&lt;=I416),1),W$4:W1673"&amp;"))+(I416-LARGE(FILTER(W$4:W1673,W$4:W1673&lt;=I416),1))*INDEX(T$4:T1673,MATCH(LARGE(FILTER(W$4:W1673,W$4:W1673&lt;=I416),1),W$4:W1673))-K416),1,
ROUNDDOWN(Y416-INDEX(K$4:K1673,MATCH(LARGE(FILTER(I$4:I1673,I$4:I1673&lt;=W416),1),I$4:I1673))-(W416-LARGE(FILTER(I$4:I"&amp;"1673,I$4:I1673&lt;=W416),1))*INDEX(F$4:F1673,MATCH(LARGE(FILTER(I$4:I1673,I$4:I1673&lt;=W416),1),I$4:I1673))))"),8.1480594E7)</f>
        <v>81480594</v>
      </c>
      <c r="N416" s="60">
        <f t="shared" si="8"/>
        <v>-144.60872</v>
      </c>
      <c r="O416" s="61" t="str">
        <f t="shared" si="9"/>
        <v>81,5M</v>
      </c>
      <c r="P416" s="56">
        <f t="shared" si="10"/>
        <v>21</v>
      </c>
      <c r="Q416" s="105" t="s">
        <v>8</v>
      </c>
      <c r="R416" s="10"/>
      <c r="S416" s="59">
        <f t="array" ref="S416">IF(COUNTA(Q416:Q1673)=0,"",SUM((COUNTIF(Q$4:Q416,Upgrades!$B$3:$B$13)-COUNTIF(Q$4:Q416,"Sell_"&amp;Upgrades!$B$3:$B$13))*Upgrades!$D$3:$D$13))</f>
        <v>559399.3</v>
      </c>
      <c r="T416" s="66">
        <f>IFERROR(__xludf.DUMMYFUNCTION("IF(COUNTA(Q416:Q1673)=0,"""",IF(REGEXMATCH(INDEX(FILTER(Q$4:Q416,Q$4:Q416&lt;&gt;""""),ROWS(FILTER(Q$4:Q416,Q$4:Q416&lt;&gt;""""))),""^Sell_""),INDEX(FILTER(T$4:T415,Q$4:Q415&lt;&gt;""""),ROWS(FILTER(Q$4:Q415,Q$4:Q415&lt;&gt;""""))),$AD$5+S416))"),559414.3)</f>
        <v>559414.3</v>
      </c>
      <c r="U416" s="10">
        <f>IFERROR(__xludf.DUMMYFUNCTION("IF(COUNTA(Q416:Q1673)=0,"""",IF(Q416="""",0,IF(REGEXMATCH(Q416,""^Sell_""),-ROUNDDOWN(ROUNDUP(INDEX(Upgrades!$C$3:$C$13,MATCH(SUBSTITUTE(Q416,""Sell_"",""""),Upgrades!$B$3:$B$13,0))*1.15^(COUNTIF(Q$4:Q415,SUBSTITUTE(Q416,""Sell_"",""""))-COUNTIF(Q$4:Q415,"&amp;"""Sell_""&amp;SUBSTITUTE(Q416,""Sell_"",""""))))/2),ROUNDUP(INDEX(Upgrades!$C$3:$C$13,MATCH(Q416,Upgrades!$B$3:$B$13,0))*1.15^(COUNTIF(Q$4:Q415,Q416)-COUNTIF(Q$4:Q415,""Sell_""&amp;Q416))))))"),654662.0)</f>
        <v>654662</v>
      </c>
      <c r="V416" s="10">
        <f t="shared" si="11"/>
        <v>654662</v>
      </c>
      <c r="W416" s="68">
        <f t="shared" si="12"/>
        <v>7678.981499</v>
      </c>
      <c r="X416" s="59" t="str">
        <f t="shared" si="13"/>
        <v>2h 07m 58s</v>
      </c>
      <c r="Y416" s="69">
        <f t="shared" si="14"/>
        <v>991727302</v>
      </c>
      <c r="Z416" s="11"/>
    </row>
    <row r="417">
      <c r="A417" s="8"/>
      <c r="B417" s="56" t="str">
        <f t="shared" si="2"/>
        <v/>
      </c>
      <c r="C417" s="105"/>
      <c r="D417" s="10"/>
      <c r="E417" s="59" t="str">
        <f t="array" ref="E417">IF(COUNTA(C417:C1673)=0,"",SUM((COUNTIF(C$4:C417,Upgrades!$B$3:$B$13)-COUNTIF(C$4:C417,"Sell_"&amp;Upgrades!$B$3:$B$13))*Upgrades!$D$3:$D$13))</f>
        <v/>
      </c>
      <c r="F417" s="66" t="str">
        <f>IFERROR(__xludf.DUMMYFUNCTION("IF(COUNTA(C417:C1673)=0,"""",IF(REGEXMATCH(INDEX(FILTER(C$4:C417,C$4:C417&lt;&gt;""""),ROWS(FILTER(C$4:C417,C$4:C417&lt;&gt;""""))),""^Sell_""),INDEX(FILTER(F$4:F416,C$4:C416&lt;&gt;""""),ROWS(FILTER(C$4:C416,C$4:C416&lt;&gt;""""))),$AC$5+E417))"),"")</f>
        <v/>
      </c>
      <c r="G417" s="10" t="str">
        <f>IFERROR(__xludf.DUMMYFUNCTION("IF(COUNTA(C417:C1673)=0,"""",IF(C417="""",0,IF(REGEXMATCH(C417,""^Sell_""),-ROUNDDOWN(ROUNDUP(INDEX(Upgrades!$C$3:$C$13,MATCH(SUBSTITUTE(C417,""Sell_"",""""),Upgrades!$B$3:$B$13,0))*1.15^(COUNTIF(C$4:C416,SUBSTITUTE(C417,""Sell_"",""""))-COUNTIF(C$4:C416,"&amp;"""Sell_""&amp;SUBSTITUTE(C417,""Sell_"",""""))))/2),ROUNDUP(INDEX(Upgrades!$C$3:$C$13,MATCH(C417,Upgrades!$B$3:$B$13,0))*1.15^(COUNTIF(C$4:C416,C417)-COUNTIF(C$4:C416,""Sell_""&amp;C417))))))"),"")</f>
        <v/>
      </c>
      <c r="H417" s="10" t="str">
        <f t="shared" si="3"/>
        <v/>
      </c>
      <c r="I417" s="68" t="str">
        <f t="shared" si="4"/>
        <v/>
      </c>
      <c r="J417" s="59" t="str">
        <f t="shared" si="5"/>
        <v/>
      </c>
      <c r="K417" s="69" t="str">
        <f t="shared" si="6"/>
        <v/>
      </c>
      <c r="L417" s="60">
        <f t="shared" si="7"/>
        <v>-144.60862</v>
      </c>
      <c r="M417" s="61">
        <f>IFERROR(__xludf.DUMMYFUNCTION("IFS(AND(COUNTA(C417:C1673)=0,COUNTA(Q417:Q1673)=0),"""",OR(AND(K417&gt;=1000000000,OR(Y417&gt;=1000000000,COUNTA(Q417:Q1673)=0)),OR(Y417&gt;=1000000000,AND(COUNTA(C417:C1673)=0,P$3=TRUE))),
ROUNDDOWN((AB$1-AC$1)*MAX(INDEX(T$4:T1673,MATCH(LARGE(FILTER(Y$4:Y1673,Y$4"&amp;":Y1673&lt;1000000000),1),Y$4:Y1673)),INDEX(F$4:F1673,MATCH(LARGE(FILTER(K$4:K1673,K$4:K1673&lt;1000000000),1),K$4:K1673)))),AND(K417&lt;1000000000,COUNTA(C417:C1673)&gt;0,P$3=FALSE),
ROUNDDOWN(INDEX(Y$4:Y1673,MATCH(LARGE(FILTER(W$4:W1673,W$4:W1673&lt;=I417),1),W$4:W1673"&amp;"))+(I417-LARGE(FILTER(W$4:W1673,W$4:W1673&lt;=I417),1))*INDEX(T$4:T1673,MATCH(LARGE(FILTER(W$4:W1673,W$4:W1673&lt;=I417),1),W$4:W1673))-K417),1,
ROUNDDOWN(Y417-INDEX(K$4:K1673,MATCH(LARGE(FILTER(I$4:I1673,I$4:I1673&lt;=W417),1),I$4:I1673))-(W417-LARGE(FILTER(I$4:I"&amp;"1673,I$4:I1673&lt;=W417),1))*INDEX(F$4:F1673,MATCH(LARGE(FILTER(I$4:I1673,I$4:I1673&lt;=W417),1),I$4:I1673))))"),8.1480617E7)</f>
        <v>81480617</v>
      </c>
      <c r="N417" s="60">
        <f t="shared" si="8"/>
        <v>-144.60862</v>
      </c>
      <c r="O417" s="61" t="str">
        <f t="shared" si="9"/>
        <v>81,5M</v>
      </c>
      <c r="P417" s="56">
        <f t="shared" si="10"/>
        <v>26</v>
      </c>
      <c r="Q417" s="105" t="s">
        <v>4</v>
      </c>
      <c r="R417" s="10"/>
      <c r="S417" s="59">
        <f t="array" ref="S417">IF(COUNTA(Q417:Q1673)=0,"",SUM((COUNTIF(Q$4:Q417,Upgrades!$B$3:$B$13)-COUNTIF(Q$4:Q417,"Sell_"&amp;Upgrades!$B$3:$B$13))*Upgrades!$D$3:$D$13))</f>
        <v>559399.8</v>
      </c>
      <c r="T417" s="66">
        <f>IFERROR(__xludf.DUMMYFUNCTION("IF(COUNTA(Q417:Q1673)=0,"""",IF(REGEXMATCH(INDEX(FILTER(Q$4:Q417,Q$4:Q417&lt;&gt;""""),ROWS(FILTER(Q$4:Q417,Q$4:Q417&lt;&gt;""""))),""^Sell_""),INDEX(FILTER(T$4:T416,Q$4:Q416&lt;&gt;""""),ROWS(FILTER(Q$4:Q416,Q$4:Q416&lt;&gt;""""))),$AD$5+S417))"),559414.8)</f>
        <v>559414.8</v>
      </c>
      <c r="U417" s="10">
        <f>IFERROR(__xludf.DUMMYFUNCTION("IF(COUNTA(Q417:Q1673)=0,"""",IF(Q417="""",0,IF(REGEXMATCH(Q417,""^Sell_""),-ROUNDDOWN(ROUNDUP(INDEX(Upgrades!$C$3:$C$13,MATCH(SUBSTITUTE(Q417,""Sell_"",""""),Upgrades!$B$3:$B$13,0))*1.15^(COUNTIF(Q$4:Q416,SUBSTITUTE(Q417,""Sell_"",""""))-COUNTIF(Q$4:Q416,"&amp;"""Sell_""&amp;SUBSTITUTE(Q417,""Sell_"",""""))))/2),ROUNDUP(INDEX(Upgrades!$C$3:$C$13,MATCH(Q417,Upgrades!$B$3:$B$13,0))*1.15^(COUNTIF(Q$4:Q416,Q417)-COUNTIF(Q$4:Q416,""Sell_""&amp;Q417))))))"),3292.0)</f>
        <v>3292</v>
      </c>
      <c r="V417" s="10">
        <f t="shared" si="11"/>
        <v>3292</v>
      </c>
      <c r="W417" s="68">
        <f t="shared" si="12"/>
        <v>7678.987383</v>
      </c>
      <c r="X417" s="59" t="str">
        <f t="shared" si="13"/>
        <v>2h 07m 58s</v>
      </c>
      <c r="Y417" s="69">
        <f t="shared" si="14"/>
        <v>991730594</v>
      </c>
      <c r="Z417" s="11"/>
    </row>
    <row r="418">
      <c r="A418" s="8"/>
      <c r="B418" s="56" t="str">
        <f t="shared" si="2"/>
        <v/>
      </c>
      <c r="C418" s="105"/>
      <c r="D418" s="10"/>
      <c r="E418" s="59" t="str">
        <f t="array" ref="E418">IF(COUNTA(C418:C1673)=0,"",SUM((COUNTIF(C$4:C418,Upgrades!$B$3:$B$13)-COUNTIF(C$4:C418,"Sell_"&amp;Upgrades!$B$3:$B$13))*Upgrades!$D$3:$D$13))</f>
        <v/>
      </c>
      <c r="F418" s="66" t="str">
        <f>IFERROR(__xludf.DUMMYFUNCTION("IF(COUNTA(C418:C1673)=0,"""",IF(REGEXMATCH(INDEX(FILTER(C$4:C418,C$4:C418&lt;&gt;""""),ROWS(FILTER(C$4:C418,C$4:C418&lt;&gt;""""))),""^Sell_""),INDEX(FILTER(F$4:F417,C$4:C417&lt;&gt;""""),ROWS(FILTER(C$4:C417,C$4:C417&lt;&gt;""""))),$AC$5+E418))"),"")</f>
        <v/>
      </c>
      <c r="G418" s="10" t="str">
        <f>IFERROR(__xludf.DUMMYFUNCTION("IF(COUNTA(C418:C1673)=0,"""",IF(C418="""",0,IF(REGEXMATCH(C418,""^Sell_""),-ROUNDDOWN(ROUNDUP(INDEX(Upgrades!$C$3:$C$13,MATCH(SUBSTITUTE(C418,""Sell_"",""""),Upgrades!$B$3:$B$13,0))*1.15^(COUNTIF(C$4:C417,SUBSTITUTE(C418,""Sell_"",""""))-COUNTIF(C$4:C417,"&amp;"""Sell_""&amp;SUBSTITUTE(C418,""Sell_"",""""))))/2),ROUNDUP(INDEX(Upgrades!$C$3:$C$13,MATCH(C418,Upgrades!$B$3:$B$13,0))*1.15^(COUNTIF(C$4:C417,C418)-COUNTIF(C$4:C417,""Sell_""&amp;C418))))))"),"")</f>
        <v/>
      </c>
      <c r="H418" s="10" t="str">
        <f t="shared" si="3"/>
        <v/>
      </c>
      <c r="I418" s="68" t="str">
        <f t="shared" si="4"/>
        <v/>
      </c>
      <c r="J418" s="59" t="str">
        <f t="shared" si="5"/>
        <v/>
      </c>
      <c r="K418" s="69" t="str">
        <f t="shared" si="6"/>
        <v/>
      </c>
      <c r="L418" s="60">
        <f t="shared" si="7"/>
        <v>-144.52255</v>
      </c>
      <c r="M418" s="61">
        <f>IFERROR(__xludf.DUMMYFUNCTION("IFS(AND(COUNTA(C418:C1673)=0,COUNTA(Q418:Q1673)=0),"""",OR(AND(K418&gt;=1000000000,OR(Y418&gt;=1000000000,COUNTA(Q418:Q1673)=0)),OR(Y418&gt;=1000000000,AND(COUNTA(C418:C1673)=0,P$3=TRUE))),
ROUNDDOWN((AB$1-AC$1)*MAX(INDEX(T$4:T1673,MATCH(LARGE(FILTER(Y$4:Y1673,Y$4"&amp;":Y1673&lt;1000000000),1),Y$4:Y1673)),INDEX(F$4:F1673,MATCH(LARGE(FILTER(K$4:K1673,K$4:K1673&lt;1000000000),1),K$4:K1673)))),AND(K418&lt;1000000000,COUNTA(C418:C1673)&gt;0,P$3=FALSE),
ROUNDDOWN(INDEX(Y$4:Y1673,MATCH(LARGE(FILTER(W$4:W1673,W$4:W1673&lt;=I418),1),W$4:W1673"&amp;"))+(I418-LARGE(FILTER(W$4:W1673,W$4:W1673&lt;=I418),1))*INDEX(T$4:T1673,MATCH(LARGE(FILTER(W$4:W1673,W$4:W1673&lt;=I418),1),W$4:W1673))-K418),1,
ROUNDDOWN(Y418-INDEX(K$4:K1673,MATCH(LARGE(FILTER(I$4:I1673,I$4:I1673&lt;=W418),1),I$4:I1673))-(W418-LARGE(FILTER(I$4:I"&amp;"1673,I$4:I1673&lt;=W418),1))*INDEX(F$4:F1673,MATCH(LARGE(FILTER(I$4:I1673,I$4:I1673&lt;=W418),1),I$4:I1673))))"),8.150037E7)</f>
        <v>81500370</v>
      </c>
      <c r="N418" s="60">
        <f t="shared" si="8"/>
        <v>-144.52255</v>
      </c>
      <c r="O418" s="61" t="str">
        <f t="shared" si="9"/>
        <v>81,5M</v>
      </c>
      <c r="P418" s="56">
        <f t="shared" si="10"/>
        <v>20</v>
      </c>
      <c r="Q418" s="105" t="s">
        <v>9</v>
      </c>
      <c r="R418" s="10"/>
      <c r="S418" s="59">
        <f t="array" ref="S418">IF(COUNTA(Q418:Q1673)=0,"",SUM((COUNTIF(Q$4:Q418,Upgrades!$B$3:$B$13)-COUNTIF(Q$4:Q418,"Sell_"&amp;Upgrades!$B$3:$B$13))*Upgrades!$D$3:$D$13))</f>
        <v>559799.8</v>
      </c>
      <c r="T418" s="66">
        <f>IFERROR(__xludf.DUMMYFUNCTION("IF(COUNTA(Q418:Q1673)=0,"""",IF(REGEXMATCH(INDEX(FILTER(Q$4:Q418,Q$4:Q418&lt;&gt;""""),ROWS(FILTER(Q$4:Q418,Q$4:Q418&lt;&gt;""""))),""^Sell_""),INDEX(FILTER(T$4:T417,Q$4:Q417&lt;&gt;""""),ROWS(FILTER(Q$4:Q417,Q$4:Q417&lt;&gt;""""))),$AD$5+S418))"),559814.8)</f>
        <v>559814.8</v>
      </c>
      <c r="U418" s="10">
        <f>IFERROR(__xludf.DUMMYFUNCTION("IF(COUNTA(Q418:Q1673)=0,"""",IF(Q418="""",0,IF(REGEXMATCH(Q418,""^Sell_""),-ROUNDDOWN(ROUNDUP(INDEX(Upgrades!$C$3:$C$13,MATCH(SUBSTITUTE(Q418,""Sell_"",""""),Upgrades!$B$3:$B$13,0))*1.15^(COUNTIF(Q$4:Q417,SUBSTITUTE(Q418,""Sell_"",""""))-COUNTIF(Q$4:Q417,"&amp;"""Sell_""&amp;SUBSTITUTE(Q418,""Sell_"",""""))))/2),ROUNDUP(INDEX(Upgrades!$C$3:$C$13,MATCH(Q418,Upgrades!$B$3:$B$13,0))*1.15^(COUNTIF(Q$4:Q417,Q418)-COUNTIF(Q$4:Q417,""Sell_""&amp;Q418))))))"),2846355.0)</f>
        <v>2846355</v>
      </c>
      <c r="V418" s="10">
        <f t="shared" si="11"/>
        <v>2846355</v>
      </c>
      <c r="W418" s="68">
        <f t="shared" si="12"/>
        <v>7684.075477</v>
      </c>
      <c r="X418" s="59" t="str">
        <f t="shared" si="13"/>
        <v>2h 08m 04s</v>
      </c>
      <c r="Y418" s="69">
        <f t="shared" si="14"/>
        <v>994576949</v>
      </c>
      <c r="Z418" s="11"/>
    </row>
    <row r="419">
      <c r="A419" s="8"/>
      <c r="B419" s="56" t="str">
        <f t="shared" si="2"/>
        <v/>
      </c>
      <c r="C419" s="105"/>
      <c r="D419" s="10"/>
      <c r="E419" s="59" t="str">
        <f t="array" ref="E419">IF(COUNTA(C419:C1673)=0,"",SUM((COUNTIF(C$4:C419,Upgrades!$B$3:$B$13)-COUNTIF(C$4:C419,"Sell_"&amp;Upgrades!$B$3:$B$13))*Upgrades!$D$3:$D$13))</f>
        <v/>
      </c>
      <c r="F419" s="66" t="str">
        <f>IFERROR(__xludf.DUMMYFUNCTION("IF(COUNTA(C419:C1673)=0,"""",IF(REGEXMATCH(INDEX(FILTER(C$4:C419,C$4:C419&lt;&gt;""""),ROWS(FILTER(C$4:C419,C$4:C419&lt;&gt;""""))),""^Sell_""),INDEX(FILTER(F$4:F418,C$4:C418&lt;&gt;""""),ROWS(FILTER(C$4:C418,C$4:C418&lt;&gt;""""))),$AC$5+E419))"),"")</f>
        <v/>
      </c>
      <c r="G419" s="10" t="str">
        <f>IFERROR(__xludf.DUMMYFUNCTION("IF(COUNTA(C419:C1673)=0,"""",IF(C419="""",0,IF(REGEXMATCH(C419,""^Sell_""),-ROUNDDOWN(ROUNDUP(INDEX(Upgrades!$C$3:$C$13,MATCH(SUBSTITUTE(C419,""Sell_"",""""),Upgrades!$B$3:$B$13,0))*1.15^(COUNTIF(C$4:C418,SUBSTITUTE(C419,""Sell_"",""""))-COUNTIF(C$4:C418,"&amp;"""Sell_""&amp;SUBSTITUTE(C419,""Sell_"",""""))))/2),ROUNDUP(INDEX(Upgrades!$C$3:$C$13,MATCH(C419,Upgrades!$B$3:$B$13,0))*1.15^(COUNTIF(C$4:C418,C419)-COUNTIF(C$4:C418,""Sell_""&amp;C419))))))"),"")</f>
        <v/>
      </c>
      <c r="H419" s="10" t="str">
        <f t="shared" si="3"/>
        <v/>
      </c>
      <c r="I419" s="68" t="str">
        <f t="shared" si="4"/>
        <v/>
      </c>
      <c r="J419" s="59" t="str">
        <f t="shared" si="5"/>
        <v/>
      </c>
      <c r="K419" s="69" t="str">
        <f t="shared" si="6"/>
        <v/>
      </c>
      <c r="L419" s="60">
        <f t="shared" si="7"/>
        <v>-144.51426</v>
      </c>
      <c r="M419" s="61">
        <f>IFERROR(__xludf.DUMMYFUNCTION("IFS(AND(COUNTA(C419:C1673)=0,COUNTA(Q419:Q1673)=0),"""",OR(AND(K419&gt;=1000000000,OR(Y419&gt;=1000000000,COUNTA(Q419:Q1673)=0)),OR(Y419&gt;=1000000000,AND(COUNTA(C419:C1673)=0,P$3=TRUE))),
ROUNDDOWN((AB$1-AC$1)*MAX(INDEX(T$4:T1673,MATCH(LARGE(FILTER(Y$4:Y1673,Y$4"&amp;":Y1673&lt;1000000000),1),Y$4:Y1673)),INDEX(F$4:F1673,MATCH(LARGE(FILTER(K$4:K1673,K$4:K1673&lt;1000000000),1),K$4:K1673)))),AND(K419&lt;1000000000,COUNTA(C419:C1673)&gt;0,P$3=FALSE),
ROUNDDOWN(INDEX(Y$4:Y1673,MATCH(LARGE(FILTER(W$4:W1673,W$4:W1673&lt;=I419),1),W$4:W1673"&amp;"))+(I419-LARGE(FILTER(W$4:W1673,W$4:W1673&lt;=I419),1))*INDEX(T$4:T1673,MATCH(LARGE(FILTER(W$4:W1673,W$4:W1673&lt;=I419),1),W$4:W1673))-K419),1,
ROUNDDOWN(Y419-INDEX(K$4:K1673,MATCH(LARGE(FILTER(I$4:I1673,I$4:I1673&lt;=W419),1),I$4:I1673))-(W419-LARGE(FILTER(I$4:I"&amp;"1673,I$4:I1673&lt;=W419),1))*INDEX(F$4:F1673,MATCH(LARGE(FILTER(I$4:I1673,I$4:I1673&lt;=W419),1),I$4:I1673))))"),8.150256E7)</f>
        <v>81502560</v>
      </c>
      <c r="N419" s="60">
        <f t="shared" si="8"/>
        <v>-144.51426</v>
      </c>
      <c r="O419" s="61" t="str">
        <f t="shared" si="9"/>
        <v>81,5M</v>
      </c>
      <c r="P419" s="56">
        <f t="shared" si="10"/>
        <v>25</v>
      </c>
      <c r="Q419" s="105" t="s">
        <v>7</v>
      </c>
      <c r="R419" s="10"/>
      <c r="S419" s="59">
        <f t="array" ref="S419">IF(COUNTA(Q419:Q1673)=0,"",SUM((COUNTIF(Q$4:Q419,Upgrades!$B$3:$B$13)-COUNTIF(Q$4:Q419,"Sell_"&amp;Upgrades!$B$3:$B$13))*Upgrades!$D$3:$D$13))</f>
        <v>559839.8</v>
      </c>
      <c r="T419" s="66">
        <f>IFERROR(__xludf.DUMMYFUNCTION("IF(COUNTA(Q419:Q1673)=0,"""",IF(REGEXMATCH(INDEX(FILTER(Q$4:Q419,Q$4:Q419&lt;&gt;""""),ROWS(FILTER(Q$4:Q419,Q$4:Q419&lt;&gt;""""))),""^Sell_""),INDEX(FILTER(T$4:T418,Q$4:Q418&lt;&gt;""""),ROWS(FILTER(Q$4:Q418,Q$4:Q418&lt;&gt;""""))),$AD$5+S419))"),559854.8)</f>
        <v>559854.8</v>
      </c>
      <c r="U419" s="10">
        <f>IFERROR(__xludf.DUMMYFUNCTION("IF(COUNTA(Q419:Q1673)=0,"""",IF(Q419="""",0,IF(REGEXMATCH(Q419,""^Sell_""),-ROUNDDOWN(ROUNDUP(INDEX(Upgrades!$C$3:$C$13,MATCH(SUBSTITUTE(Q419,""Sell_"",""""),Upgrades!$B$3:$B$13,0))*1.15^(COUNTIF(Q$4:Q418,SUBSTITUTE(Q419,""Sell_"",""""))-COUNTIF(Q$4:Q418,"&amp;"""Sell_""&amp;SUBSTITUTE(Q419,""Sell_"",""""))))/2),ROUNDUP(INDEX(Upgrades!$C$3:$C$13,MATCH(Q419,Upgrades!$B$3:$B$13,0))*1.15^(COUNTIF(Q$4:Q418,Q419)-COUNTIF(Q$4:Q418,""Sell_""&amp;Q419))))))"),286252.0)</f>
        <v>286252</v>
      </c>
      <c r="V419" s="10">
        <f t="shared" si="11"/>
        <v>286252</v>
      </c>
      <c r="W419" s="68">
        <f t="shared" si="12"/>
        <v>7684.586811</v>
      </c>
      <c r="X419" s="59" t="str">
        <f t="shared" si="13"/>
        <v>2h 08m 04s</v>
      </c>
      <c r="Y419" s="69">
        <f t="shared" si="14"/>
        <v>994863201</v>
      </c>
      <c r="Z419" s="11"/>
    </row>
    <row r="420">
      <c r="A420" s="8"/>
      <c r="B420" s="56" t="str">
        <f t="shared" si="2"/>
        <v/>
      </c>
      <c r="C420" s="105"/>
      <c r="D420" s="10"/>
      <c r="E420" s="59" t="str">
        <f t="array" ref="E420">IF(COUNTA(C420:C1673)=0,"",SUM((COUNTIF(C$4:C420,Upgrades!$B$3:$B$13)-COUNTIF(C$4:C420,"Sell_"&amp;Upgrades!$B$3:$B$13))*Upgrades!$D$3:$D$13))</f>
        <v/>
      </c>
      <c r="F420" s="66" t="str">
        <f>IFERROR(__xludf.DUMMYFUNCTION("IF(COUNTA(C420:C1673)=0,"""",IF(REGEXMATCH(INDEX(FILTER(C$4:C420,C$4:C420&lt;&gt;""""),ROWS(FILTER(C$4:C420,C$4:C420&lt;&gt;""""))),""^Sell_""),INDEX(FILTER(F$4:F419,C$4:C419&lt;&gt;""""),ROWS(FILTER(C$4:C419,C$4:C419&lt;&gt;""""))),$AC$5+E420))"),"")</f>
        <v/>
      </c>
      <c r="G420" s="10" t="str">
        <f>IFERROR(__xludf.DUMMYFUNCTION("IF(COUNTA(C420:C1673)=0,"""",IF(C420="""",0,IF(REGEXMATCH(C420,""^Sell_""),-ROUNDDOWN(ROUNDUP(INDEX(Upgrades!$C$3:$C$13,MATCH(SUBSTITUTE(C420,""Sell_"",""""),Upgrades!$B$3:$B$13,0))*1.15^(COUNTIF(C$4:C419,SUBSTITUTE(C420,""Sell_"",""""))-COUNTIF(C$4:C419,"&amp;"""Sell_""&amp;SUBSTITUTE(C420,""Sell_"",""""))))/2),ROUNDUP(INDEX(Upgrades!$C$3:$C$13,MATCH(C420,Upgrades!$B$3:$B$13,0))*1.15^(COUNTIF(C$4:C419,C420)-COUNTIF(C$4:C419,""Sell_""&amp;C420))))))"),"")</f>
        <v/>
      </c>
      <c r="H420" s="10" t="str">
        <f t="shared" si="3"/>
        <v/>
      </c>
      <c r="I420" s="68" t="str">
        <f t="shared" si="4"/>
        <v/>
      </c>
      <c r="J420" s="59" t="str">
        <f t="shared" si="5"/>
        <v/>
      </c>
      <c r="K420" s="69" t="str">
        <f t="shared" si="6"/>
        <v/>
      </c>
      <c r="L420" s="60">
        <f t="shared" si="7"/>
        <v>-144.51343</v>
      </c>
      <c r="M420" s="61">
        <f>IFERROR(__xludf.DUMMYFUNCTION("IFS(AND(COUNTA(C420:C1673)=0,COUNTA(Q420:Q1673)=0),"""",OR(AND(K420&gt;=1000000000,OR(Y420&gt;=1000000000,COUNTA(Q420:Q1673)=0)),OR(Y420&gt;=1000000000,AND(COUNTA(C420:C1673)=0,P$3=TRUE))),
ROUNDDOWN((AB$1-AC$1)*MAX(INDEX(T$4:T1673,MATCH(LARGE(FILTER(Y$4:Y1673,Y$4"&amp;":Y1673&lt;1000000000),1),Y$4:Y1673)),INDEX(F$4:F1673,MATCH(LARGE(FILTER(K$4:K1673,K$4:K1673&lt;1000000000),1),K$4:K1673)))),AND(K420&lt;1000000000,COUNTA(C420:C1673)&gt;0,P$3=FALSE),
ROUNDDOWN(INDEX(Y$4:Y1673,MATCH(LARGE(FILTER(W$4:W1673,W$4:W1673&lt;=I420),1),W$4:W1673"&amp;"))+(I420-LARGE(FILTER(W$4:W1673,W$4:W1673&lt;=I420),1))*INDEX(T$4:T1673,MATCH(LARGE(FILTER(W$4:W1673,W$4:W1673&lt;=I420),1),W$4:W1673))-K420),1,
ROUNDDOWN(Y420-INDEX(K$4:K1673,MATCH(LARGE(FILTER(I$4:I1673,I$4:I1673&lt;=W420),1),I$4:I1673))-(W420-LARGE(FILTER(I$4:I"&amp;"1673,I$4:I1673&lt;=W420),1))*INDEX(F$4:F1673,MATCH(LARGE(FILTER(I$4:I1673,I$4:I1673&lt;=W420),1),I$4:I1673))))"),8.1502782E7)</f>
        <v>81502782</v>
      </c>
      <c r="N420" s="60">
        <f t="shared" si="8"/>
        <v>-144.51343</v>
      </c>
      <c r="O420" s="61" t="str">
        <f t="shared" si="9"/>
        <v>81,5M</v>
      </c>
      <c r="P420" s="56">
        <f t="shared" si="10"/>
        <v>30</v>
      </c>
      <c r="Q420" s="105" t="s">
        <v>5</v>
      </c>
      <c r="R420" s="10"/>
      <c r="S420" s="59">
        <f t="array" ref="S420">IF(COUNTA(Q420:Q1673)=0,"",SUM((COUNTIF(Q$4:Q420,Upgrades!$B$3:$B$13)-COUNTIF(Q$4:Q420,"Sell_"&amp;Upgrades!$B$3:$B$13))*Upgrades!$D$3:$D$13))</f>
        <v>559843.8</v>
      </c>
      <c r="T420" s="66">
        <f>IFERROR(__xludf.DUMMYFUNCTION("IF(COUNTA(Q420:Q1673)=0,"""",IF(REGEXMATCH(INDEX(FILTER(Q$4:Q420,Q$4:Q420&lt;&gt;""""),ROWS(FILTER(Q$4:Q420,Q$4:Q420&lt;&gt;""""))),""^Sell_""),INDEX(FILTER(T$4:T419,Q$4:Q419&lt;&gt;""""),ROWS(FILTER(Q$4:Q419,Q$4:Q419&lt;&gt;""""))),$AD$5+S420))"),559858.8)</f>
        <v>559858.8</v>
      </c>
      <c r="U420" s="10">
        <f>IFERROR(__xludf.DUMMYFUNCTION("IF(COUNTA(Q420:Q1673)=0,"""",IF(Q420="""",0,IF(REGEXMATCH(Q420,""^Sell_""),-ROUNDDOWN(ROUNDUP(INDEX(Upgrades!$C$3:$C$13,MATCH(SUBSTITUTE(Q420,""Sell_"",""""),Upgrades!$B$3:$B$13,0))*1.15^(COUNTIF(Q$4:Q419,SUBSTITUTE(Q420,""Sell_"",""""))-COUNTIF(Q$4:Q419,"&amp;"""Sell_""&amp;SUBSTITUTE(Q420,""Sell_"",""""))))/2),ROUNDUP(INDEX(Upgrades!$C$3:$C$13,MATCH(Q420,Upgrades!$B$3:$B$13,0))*1.15^(COUNTIF(Q$4:Q419,Q420)-COUNTIF(Q$4:Q419,""Sell_""&amp;Q420))))))"),28788.0)</f>
        <v>28788</v>
      </c>
      <c r="V420" s="10">
        <f t="shared" si="11"/>
        <v>28788</v>
      </c>
      <c r="W420" s="68">
        <f t="shared" si="12"/>
        <v>7684.638231</v>
      </c>
      <c r="X420" s="59" t="str">
        <f t="shared" si="13"/>
        <v>2h 08m 04s</v>
      </c>
      <c r="Y420" s="69">
        <f t="shared" si="14"/>
        <v>994891989</v>
      </c>
      <c r="Z420" s="11"/>
    </row>
    <row r="421">
      <c r="A421" s="8"/>
      <c r="B421" s="56" t="str">
        <f t="shared" si="2"/>
        <v/>
      </c>
      <c r="C421" s="105"/>
      <c r="D421" s="10"/>
      <c r="E421" s="59" t="str">
        <f t="array" ref="E421">IF(COUNTA(C421:C1673)=0,"",SUM((COUNTIF(C$4:C421,Upgrades!$B$3:$B$13)-COUNTIF(C$4:C421,"Sell_"&amp;Upgrades!$B$3:$B$13))*Upgrades!$D$3:$D$13))</f>
        <v/>
      </c>
      <c r="F421" s="66" t="str">
        <f>IFERROR(__xludf.DUMMYFUNCTION("IF(COUNTA(C421:C1673)=0,"""",IF(REGEXMATCH(INDEX(FILTER(C$4:C421,C$4:C421&lt;&gt;""""),ROWS(FILTER(C$4:C421,C$4:C421&lt;&gt;""""))),""^Sell_""),INDEX(FILTER(F$4:F420,C$4:C420&lt;&gt;""""),ROWS(FILTER(C$4:C420,C$4:C420&lt;&gt;""""))),$AC$5+E421))"),"")</f>
        <v/>
      </c>
      <c r="G421" s="10" t="str">
        <f>IFERROR(__xludf.DUMMYFUNCTION("IF(COUNTA(C421:C1673)=0,"""",IF(C421="""",0,IF(REGEXMATCH(C421,""^Sell_""),-ROUNDDOWN(ROUNDUP(INDEX(Upgrades!$C$3:$C$13,MATCH(SUBSTITUTE(C421,""Sell_"",""""),Upgrades!$B$3:$B$13,0))*1.15^(COUNTIF(C$4:C420,SUBSTITUTE(C421,""Sell_"",""""))-COUNTIF(C$4:C420,"&amp;"""Sell_""&amp;SUBSTITUTE(C421,""Sell_"",""""))))/2),ROUNDUP(INDEX(Upgrades!$C$3:$C$13,MATCH(C421,Upgrades!$B$3:$B$13,0))*1.15^(COUNTIF(C$4:C420,C421)-COUNTIF(C$4:C420,""Sell_""&amp;C421))))))"),"")</f>
        <v/>
      </c>
      <c r="H421" s="10" t="str">
        <f t="shared" si="3"/>
        <v/>
      </c>
      <c r="I421" s="68" t="str">
        <f t="shared" si="4"/>
        <v/>
      </c>
      <c r="J421" s="59" t="str">
        <f t="shared" si="5"/>
        <v/>
      </c>
      <c r="K421" s="69" t="str">
        <f t="shared" si="6"/>
        <v/>
      </c>
      <c r="L421" s="60">
        <f t="shared" si="7"/>
        <v>-144.51128</v>
      </c>
      <c r="M421" s="61">
        <f>IFERROR(__xludf.DUMMYFUNCTION("IFS(AND(COUNTA(C421:C1673)=0,COUNTA(Q421:Q1673)=0),"""",OR(AND(K421&gt;=1000000000,OR(Y421&gt;=1000000000,COUNTA(Q421:Q1673)=0)),OR(Y421&gt;=1000000000,AND(COUNTA(C421:C1673)=0,P$3=TRUE))),
ROUNDDOWN((AB$1-AC$1)*MAX(INDEX(T$4:T1673,MATCH(LARGE(FILTER(Y$4:Y1673,Y$4"&amp;":Y1673&lt;1000000000),1),Y$4:Y1673)),INDEX(F$4:F1673,MATCH(LARGE(FILTER(K$4:K1673,K$4:K1673&lt;1000000000),1),K$4:K1673)))),AND(K421&lt;1000000000,COUNTA(C421:C1673)&gt;0,P$3=FALSE),
ROUNDDOWN(INDEX(Y$4:Y1673,MATCH(LARGE(FILTER(W$4:W1673,W$4:W1673&lt;=I421),1),W$4:W1673"&amp;"))+(I421-LARGE(FILTER(W$4:W1673,W$4:W1673&lt;=I421),1))*INDEX(T$4:T1673,MATCH(LARGE(FILTER(W$4:W1673,W$4:W1673&lt;=I421),1),W$4:W1673))-K421),1,
ROUNDDOWN(Y421-INDEX(K$4:K1673,MATCH(LARGE(FILTER(I$4:I1673,I$4:I1673&lt;=W421),1),I$4:I1673))-(W421-LARGE(FILTER(I$4:I"&amp;"1673,I$4:I1673&lt;=W421),1))*INDEX(F$4:F1673,MATCH(LARGE(FILTER(I$4:I1673,I$4:I1673&lt;=W421),1),I$4:I1673))))"),8.1503359E7)</f>
        <v>81503359</v>
      </c>
      <c r="N421" s="60">
        <f t="shared" si="8"/>
        <v>-144.51128</v>
      </c>
      <c r="O421" s="61" t="str">
        <f t="shared" si="9"/>
        <v>81,5M</v>
      </c>
      <c r="P421" s="56">
        <f t="shared" si="10"/>
        <v>24</v>
      </c>
      <c r="Q421" s="105" t="s">
        <v>6</v>
      </c>
      <c r="R421" s="10"/>
      <c r="S421" s="59">
        <f t="array" ref="S421">IF(COUNTA(Q421:Q1673)=0,"",SUM((COUNTIF(Q$4:Q421,Upgrades!$B$3:$B$13)-COUNTIF(Q$4:Q421,"Sell_"&amp;Upgrades!$B$3:$B$13))*Upgrades!$D$3:$D$13))</f>
        <v>559853.8</v>
      </c>
      <c r="T421" s="66">
        <f>IFERROR(__xludf.DUMMYFUNCTION("IF(COUNTA(Q421:Q1673)=0,"""",IF(REGEXMATCH(INDEX(FILTER(Q$4:Q421,Q$4:Q421&lt;&gt;""""),ROWS(FILTER(Q$4:Q421,Q$4:Q421&lt;&gt;""""))),""^Sell_""),INDEX(FILTER(T$4:T420,Q$4:Q420&lt;&gt;""""),ROWS(FILTER(Q$4:Q420,Q$4:Q420&lt;&gt;""""))),$AD$5+S421))"),559868.8)</f>
        <v>559868.8</v>
      </c>
      <c r="U421" s="10">
        <f>IFERROR(__xludf.DUMMYFUNCTION("IF(COUNTA(Q421:Q1673)=0,"""",IF(Q421="""",0,IF(REGEXMATCH(Q421,""^Sell_""),-ROUNDDOWN(ROUNDUP(INDEX(Upgrades!$C$3:$C$13,MATCH(SUBSTITUTE(Q421,""Sell_"",""""),Upgrades!$B$3:$B$13,0))*1.15^(COUNTIF(Q$4:Q420,SUBSTITUTE(Q421,""Sell_"",""""))-COUNTIF(Q$4:Q420,"&amp;"""Sell_""&amp;SUBSTITUTE(Q421,""Sell_"",""""))))/2),ROUNDUP(INDEX(Upgrades!$C$3:$C$13,MATCH(Q421,Upgrades!$B$3:$B$13,0))*1.15^(COUNTIF(Q$4:Q420,Q421)-COUNTIF(Q$4:Q420,""Sell_""&amp;Q421))))))"),74675.0)</f>
        <v>74675</v>
      </c>
      <c r="V421" s="10">
        <f t="shared" si="11"/>
        <v>74675</v>
      </c>
      <c r="W421" s="68">
        <f t="shared" si="12"/>
        <v>7684.771613</v>
      </c>
      <c r="X421" s="59" t="str">
        <f t="shared" si="13"/>
        <v>2h 08m 04s</v>
      </c>
      <c r="Y421" s="69">
        <f t="shared" si="14"/>
        <v>994966664</v>
      </c>
      <c r="Z421" s="11"/>
    </row>
    <row r="422">
      <c r="A422" s="8"/>
      <c r="B422" s="56" t="str">
        <f t="shared" si="2"/>
        <v/>
      </c>
      <c r="C422" s="105"/>
      <c r="D422" s="10"/>
      <c r="E422" s="59" t="str">
        <f t="array" ref="E422">IF(COUNTA(C422:C1673)=0,"",SUM((COUNTIF(C$4:C422,Upgrades!$B$3:$B$13)-COUNTIF(C$4:C422,"Sell_"&amp;Upgrades!$B$3:$B$13))*Upgrades!$D$3:$D$13))</f>
        <v/>
      </c>
      <c r="F422" s="66" t="str">
        <f>IFERROR(__xludf.DUMMYFUNCTION("IF(COUNTA(C422:C1673)=0,"""",IF(REGEXMATCH(INDEX(FILTER(C$4:C422,C$4:C422&lt;&gt;""""),ROWS(FILTER(C$4:C422,C$4:C422&lt;&gt;""""))),""^Sell_""),INDEX(FILTER(F$4:F421,C$4:C421&lt;&gt;""""),ROWS(FILTER(C$4:C421,C$4:C421&lt;&gt;""""))),$AC$5+E422))"),"")</f>
        <v/>
      </c>
      <c r="G422" s="10" t="str">
        <f>IFERROR(__xludf.DUMMYFUNCTION("IF(COUNTA(C422:C1673)=0,"""",IF(C422="""",0,IF(REGEXMATCH(C422,""^Sell_""),-ROUNDDOWN(ROUNDUP(INDEX(Upgrades!$C$3:$C$13,MATCH(SUBSTITUTE(C422,""Sell_"",""""),Upgrades!$B$3:$B$13,0))*1.15^(COUNTIF(C$4:C421,SUBSTITUTE(C422,""Sell_"",""""))-COUNTIF(C$4:C421,"&amp;"""Sell_""&amp;SUBSTITUTE(C422,""Sell_"",""""))))/2),ROUNDUP(INDEX(Upgrades!$C$3:$C$13,MATCH(C422,Upgrades!$B$3:$B$13,0))*1.15^(COUNTIF(C$4:C421,C422)-COUNTIF(C$4:C421,""Sell_""&amp;C422))))))"),"")</f>
        <v/>
      </c>
      <c r="H422" s="10" t="str">
        <f t="shared" si="3"/>
        <v/>
      </c>
      <c r="I422" s="68" t="str">
        <f t="shared" si="4"/>
        <v/>
      </c>
      <c r="J422" s="59" t="str">
        <f t="shared" si="5"/>
        <v/>
      </c>
      <c r="K422" s="69" t="str">
        <f t="shared" si="6"/>
        <v/>
      </c>
      <c r="L422" s="60">
        <f t="shared" si="7"/>
        <v>-144.51126</v>
      </c>
      <c r="M422" s="61">
        <f>IFERROR(__xludf.DUMMYFUNCTION("IFS(AND(COUNTA(C422:C1673)=0,COUNTA(Q422:Q1673)=0),"""",OR(AND(K422&gt;=1000000000,OR(Y422&gt;=1000000000,COUNTA(Q422:Q1673)=0)),OR(Y422&gt;=1000000000,AND(COUNTA(C422:C1673)=0,P$3=TRUE))),
ROUNDDOWN((AB$1-AC$1)*MAX(INDEX(T$4:T1673,MATCH(LARGE(FILTER(Y$4:Y1673,Y$4"&amp;":Y1673&lt;1000000000),1),Y$4:Y1673)),INDEX(F$4:F1673,MATCH(LARGE(FILTER(K$4:K1673,K$4:K1673&lt;1000000000),1),K$4:K1673)))),AND(K422&lt;1000000000,COUNTA(C422:C1673)&gt;0,P$3=FALSE),
ROUNDDOWN(INDEX(Y$4:Y1673,MATCH(LARGE(FILTER(W$4:W1673,W$4:W1673&lt;=I422),1),W$4:W1673"&amp;"))+(I422-LARGE(FILTER(W$4:W1673,W$4:W1673&lt;=I422),1))*INDEX(T$4:T1673,MATCH(LARGE(FILTER(W$4:W1673,W$4:W1673&lt;=I422),1),W$4:W1673))-K422),1,
ROUNDDOWN(Y422-INDEX(K$4:K1673,MATCH(LARGE(FILTER(I$4:I1673,I$4:I1673&lt;=W422),1),I$4:I1673))-(W422-LARGE(FILTER(I$4:I"&amp;"1673,I$4:I1673&lt;=W422),1))*INDEX(F$4:F1673,MATCH(LARGE(FILTER(I$4:I1673,I$4:I1673&lt;=W422),1),I$4:I1673))))"),8.1503365E7)</f>
        <v>81503365</v>
      </c>
      <c r="N422" s="60">
        <f t="shared" si="8"/>
        <v>-144.51126</v>
      </c>
      <c r="O422" s="61" t="str">
        <f t="shared" si="9"/>
        <v>81,5M</v>
      </c>
      <c r="P422" s="56">
        <f t="shared" si="10"/>
        <v>29</v>
      </c>
      <c r="Q422" s="105" t="s">
        <v>3</v>
      </c>
      <c r="R422" s="10"/>
      <c r="S422" s="59">
        <f t="array" ref="S422">IF(COUNTA(Q422:Q1673)=0,"",SUM((COUNTIF(Q$4:Q422,Upgrades!$B$3:$B$13)-COUNTIF(Q$4:Q422,"Sell_"&amp;Upgrades!$B$3:$B$13))*Upgrades!$D$3:$D$13))</f>
        <v>559853.9</v>
      </c>
      <c r="T422" s="66">
        <f>IFERROR(__xludf.DUMMYFUNCTION("IF(COUNTA(Q422:Q1673)=0,"""",IF(REGEXMATCH(INDEX(FILTER(Q$4:Q422,Q$4:Q422&lt;&gt;""""),ROWS(FILTER(Q$4:Q422,Q$4:Q422&lt;&gt;""""))),""^Sell_""),INDEX(FILTER(T$4:T421,Q$4:Q421&lt;&gt;""""),ROWS(FILTER(Q$4:Q421,Q$4:Q421&lt;&gt;""""))),$AD$5+S422))"),559868.9)</f>
        <v>559868.9</v>
      </c>
      <c r="U422" s="10">
        <f>IFERROR(__xludf.DUMMYFUNCTION("IF(COUNTA(Q422:Q1673)=0,"""",IF(Q422="""",0,IF(REGEXMATCH(Q422,""^Sell_""),-ROUNDDOWN(ROUNDUP(INDEX(Upgrades!$C$3:$C$13,MATCH(SUBSTITUTE(Q422,""Sell_"",""""),Upgrades!$B$3:$B$13,0))*1.15^(COUNTIF(Q$4:Q421,SUBSTITUTE(Q422,""Sell_"",""""))-COUNTIF(Q$4:Q421,"&amp;"""Sell_""&amp;SUBSTITUTE(Q422,""Sell_"",""""))))/2),ROUNDUP(INDEX(Upgrades!$C$3:$C$13,MATCH(Q422,Upgrades!$B$3:$B$13,0))*1.15^(COUNTIF(Q$4:Q421,Q422)-COUNTIF(Q$4:Q421,""Sell_""&amp;Q422))))))"),751.0)</f>
        <v>751</v>
      </c>
      <c r="V422" s="10">
        <f t="shared" si="11"/>
        <v>751</v>
      </c>
      <c r="W422" s="68">
        <f t="shared" si="12"/>
        <v>7684.772954</v>
      </c>
      <c r="X422" s="59" t="str">
        <f t="shared" si="13"/>
        <v>2h 08m 04s</v>
      </c>
      <c r="Y422" s="69">
        <f t="shared" si="14"/>
        <v>994967415</v>
      </c>
      <c r="Z422" s="11"/>
    </row>
    <row r="423">
      <c r="A423" s="8"/>
      <c r="B423" s="56" t="str">
        <f t="shared" si="2"/>
        <v/>
      </c>
      <c r="C423" s="105"/>
      <c r="D423" s="10"/>
      <c r="E423" s="59" t="str">
        <f t="array" ref="E423">IF(COUNTA(C423:C1673)=0,"",SUM((COUNTIF(C$4:C423,Upgrades!$B$3:$B$13)-COUNTIF(C$4:C423,"Sell_"&amp;Upgrades!$B$3:$B$13))*Upgrades!$D$3:$D$13))</f>
        <v/>
      </c>
      <c r="F423" s="66" t="str">
        <f>IFERROR(__xludf.DUMMYFUNCTION("IF(COUNTA(C423:C1673)=0,"""",IF(REGEXMATCH(INDEX(FILTER(C$4:C423,C$4:C423&lt;&gt;""""),ROWS(FILTER(C$4:C423,C$4:C423&lt;&gt;""""))),""^Sell_""),INDEX(FILTER(F$4:F422,C$4:C422&lt;&gt;""""),ROWS(FILTER(C$4:C422,C$4:C422&lt;&gt;""""))),$AC$5+E423))"),"")</f>
        <v/>
      </c>
      <c r="G423" s="10" t="str">
        <f>IFERROR(__xludf.DUMMYFUNCTION("IF(COUNTA(C423:C1673)=0,"""",IF(C423="""",0,IF(REGEXMATCH(C423,""^Sell_""),-ROUNDDOWN(ROUNDUP(INDEX(Upgrades!$C$3:$C$13,MATCH(SUBSTITUTE(C423,""Sell_"",""""),Upgrades!$B$3:$B$13,0))*1.15^(COUNTIF(C$4:C422,SUBSTITUTE(C423,""Sell_"",""""))-COUNTIF(C$4:C422,"&amp;"""Sell_""&amp;SUBSTITUTE(C423,""Sell_"",""""))))/2),ROUNDUP(INDEX(Upgrades!$C$3:$C$13,MATCH(C423,Upgrades!$B$3:$B$13,0))*1.15^(COUNTIF(C$4:C422,C423)-COUNTIF(C$4:C422,""Sell_""&amp;C423))))))"),"")</f>
        <v/>
      </c>
      <c r="H423" s="10" t="str">
        <f t="shared" si="3"/>
        <v/>
      </c>
      <c r="I423" s="68" t="str">
        <f t="shared" si="4"/>
        <v/>
      </c>
      <c r="J423" s="59" t="str">
        <f t="shared" si="5"/>
        <v/>
      </c>
      <c r="K423" s="69" t="str">
        <f t="shared" si="6"/>
        <v/>
      </c>
      <c r="L423" s="60">
        <f t="shared" si="7"/>
        <v>-144.48958</v>
      </c>
      <c r="M423" s="61">
        <f>IFERROR(__xludf.DUMMYFUNCTION("IFS(AND(COUNTA(C423:C1673)=0,COUNTA(Q423:Q1673)=0),"""",OR(AND(K423&gt;=1000000000,OR(Y423&gt;=1000000000,COUNTA(Q423:Q1673)=0)),OR(Y423&gt;=1000000000,AND(COUNTA(C423:C1673)=0,P$3=TRUE))),
ROUNDDOWN((AB$1-AC$1)*MAX(INDEX(T$4:T1673,MATCH(LARGE(FILTER(Y$4:Y1673,Y$4"&amp;":Y1673&lt;1000000000),1),Y$4:Y1673)),INDEX(F$4:F1673,MATCH(LARGE(FILTER(K$4:K1673,K$4:K1673&lt;1000000000),1),K$4:K1673)))),AND(K423&lt;1000000000,COUNTA(C423:C1673)&gt;0,P$3=FALSE),
ROUNDDOWN(INDEX(Y$4:Y1673,MATCH(LARGE(FILTER(W$4:W1673,W$4:W1673&lt;=I423),1),W$4:W1673"&amp;"))+(I423-LARGE(FILTER(W$4:W1673,W$4:W1673&lt;=I423),1))*INDEX(T$4:T1673,MATCH(LARGE(FILTER(W$4:W1673,W$4:W1673&lt;=I423),1),W$4:W1673))-K423),1,
ROUNDDOWN(Y423-INDEX(K$4:K1673,MATCH(LARGE(FILTER(I$4:I1673,I$4:I1673&lt;=W423),1),I$4:I1673))-(W423-LARGE(FILTER(I$4:I"&amp;"1673,I$4:I1673&lt;=W423),1))*INDEX(F$4:F1673,MATCH(LARGE(FILTER(I$4:I1673,I$4:I1673&lt;=W423),1),I$4:I1673))))"),8.1509196E7)</f>
        <v>81509196</v>
      </c>
      <c r="N423" s="60">
        <f t="shared" si="8"/>
        <v>-144.48958</v>
      </c>
      <c r="O423" s="61" t="str">
        <f t="shared" si="9"/>
        <v>81,5M</v>
      </c>
      <c r="P423" s="56">
        <f t="shared" si="10"/>
        <v>22</v>
      </c>
      <c r="Q423" s="105" t="s">
        <v>8</v>
      </c>
      <c r="R423" s="10"/>
      <c r="S423" s="59">
        <f t="array" ref="S423">IF(COUNTA(Q423:Q1673)=0,"",SUM((COUNTIF(Q$4:Q423,Upgrades!$B$3:$B$13)-COUNTIF(Q$4:Q423,"Sell_"&amp;Upgrades!$B$3:$B$13))*Upgrades!$D$3:$D$13))</f>
        <v>559953.9</v>
      </c>
      <c r="T423" s="66">
        <f>IFERROR(__xludf.DUMMYFUNCTION("IF(COUNTA(Q423:Q1673)=0,"""",IF(REGEXMATCH(INDEX(FILTER(Q$4:Q423,Q$4:Q423&lt;&gt;""""),ROWS(FILTER(Q$4:Q423,Q$4:Q423&lt;&gt;""""))),""^Sell_""),INDEX(FILTER(T$4:T422,Q$4:Q422&lt;&gt;""""),ROWS(FILTER(Q$4:Q422,Q$4:Q422&lt;&gt;""""))),$AD$5+S423))"),559968.9)</f>
        <v>559968.9</v>
      </c>
      <c r="U423" s="10">
        <f>IFERROR(__xludf.DUMMYFUNCTION("IF(COUNTA(Q423:Q1673)=0,"""",IF(Q423="""",0,IF(REGEXMATCH(Q423,""^Sell_""),-ROUNDDOWN(ROUNDUP(INDEX(Upgrades!$C$3:$C$13,MATCH(SUBSTITUTE(Q423,""Sell_"",""""),Upgrades!$B$3:$B$13,0))*1.15^(COUNTIF(Q$4:Q422,SUBSTITUTE(Q423,""Sell_"",""""))-COUNTIF(Q$4:Q422,"&amp;"""Sell_""&amp;SUBSTITUTE(Q423,""Sell_"",""""))))/2),ROUNDUP(INDEX(Upgrades!$C$3:$C$13,MATCH(Q423,Upgrades!$B$3:$B$13,0))*1.15^(COUNTIF(Q$4:Q422,Q423)-COUNTIF(Q$4:Q422,""Sell_""&amp;Q423))))))"),752861.0)</f>
        <v>752861</v>
      </c>
      <c r="V423" s="10">
        <f t="shared" si="11"/>
        <v>752861</v>
      </c>
      <c r="W423" s="68">
        <f t="shared" si="12"/>
        <v>7686.117664</v>
      </c>
      <c r="X423" s="59" t="str">
        <f t="shared" si="13"/>
        <v>2h 08m 06s</v>
      </c>
      <c r="Y423" s="69">
        <f t="shared" si="14"/>
        <v>995720276</v>
      </c>
      <c r="Z423" s="11"/>
    </row>
    <row r="424">
      <c r="A424" s="8"/>
      <c r="B424" s="56" t="str">
        <f t="shared" si="2"/>
        <v/>
      </c>
      <c r="C424" s="105"/>
      <c r="D424" s="10"/>
      <c r="E424" s="59" t="str">
        <f t="array" ref="E424">IF(COUNTA(C424:C1673)=0,"",SUM((COUNTIF(C$4:C424,Upgrades!$B$3:$B$13)-COUNTIF(C$4:C424,"Sell_"&amp;Upgrades!$B$3:$B$13))*Upgrades!$D$3:$D$13))</f>
        <v/>
      </c>
      <c r="F424" s="66" t="str">
        <f>IFERROR(__xludf.DUMMYFUNCTION("IF(COUNTA(C424:C1673)=0,"""",IF(REGEXMATCH(INDEX(FILTER(C$4:C424,C$4:C424&lt;&gt;""""),ROWS(FILTER(C$4:C424,C$4:C424&lt;&gt;""""))),""^Sell_""),INDEX(FILTER(F$4:F423,C$4:C423&lt;&gt;""""),ROWS(FILTER(C$4:C423,C$4:C423&lt;&gt;""""))),$AC$5+E424))"),"")</f>
        <v/>
      </c>
      <c r="G424" s="10" t="str">
        <f>IFERROR(__xludf.DUMMYFUNCTION("IF(COUNTA(C424:C1673)=0,"""",IF(C424="""",0,IF(REGEXMATCH(C424,""^Sell_""),-ROUNDDOWN(ROUNDUP(INDEX(Upgrades!$C$3:$C$13,MATCH(SUBSTITUTE(C424,""Sell_"",""""),Upgrades!$B$3:$B$13,0))*1.15^(COUNTIF(C$4:C423,SUBSTITUTE(C424,""Sell_"",""""))-COUNTIF(C$4:C423,"&amp;"""Sell_""&amp;SUBSTITUTE(C424,""Sell_"",""""))))/2),ROUNDUP(INDEX(Upgrades!$C$3:$C$13,MATCH(C424,Upgrades!$B$3:$B$13,0))*1.15^(COUNTIF(C$4:C423,C424)-COUNTIF(C$4:C423,""Sell_""&amp;C424))))))"),"")</f>
        <v/>
      </c>
      <c r="H424" s="10" t="str">
        <f t="shared" si="3"/>
        <v/>
      </c>
      <c r="I424" s="68" t="str">
        <f t="shared" si="4"/>
        <v/>
      </c>
      <c r="J424" s="59" t="str">
        <f t="shared" si="5"/>
        <v/>
      </c>
      <c r="K424" s="69" t="str">
        <f t="shared" si="6"/>
        <v/>
      </c>
      <c r="L424" s="60">
        <f t="shared" si="7"/>
        <v>-144.48947</v>
      </c>
      <c r="M424" s="61">
        <f>IFERROR(__xludf.DUMMYFUNCTION("IFS(AND(COUNTA(C424:C1673)=0,COUNTA(Q424:Q1673)=0),"""",OR(AND(K424&gt;=1000000000,OR(Y424&gt;=1000000000,COUNTA(Q424:Q1673)=0)),OR(Y424&gt;=1000000000,AND(COUNTA(C424:C1673)=0,P$3=TRUE))),
ROUNDDOWN((AB$1-AC$1)*MAX(INDEX(T$4:T1673,MATCH(LARGE(FILTER(Y$4:Y1673,Y$4"&amp;":Y1673&lt;1000000000),1),Y$4:Y1673)),INDEX(F$4:F1673,MATCH(LARGE(FILTER(K$4:K1673,K$4:K1673&lt;1000000000),1),K$4:K1673)))),AND(K424&lt;1000000000,COUNTA(C424:C1673)&gt;0,P$3=FALSE),
ROUNDDOWN(INDEX(Y$4:Y1673,MATCH(LARGE(FILTER(W$4:W1673,W$4:W1673&lt;=I424),1),W$4:W1673"&amp;"))+(I424-LARGE(FILTER(W$4:W1673,W$4:W1673&lt;=I424),1))*INDEX(T$4:T1673,MATCH(LARGE(FILTER(W$4:W1673,W$4:W1673&lt;=I424),1),W$4:W1673))-K424),1,
ROUNDDOWN(Y424-INDEX(K$4:K1673,MATCH(LARGE(FILTER(I$4:I1673,I$4:I1673&lt;=W424),1),I$4:I1673))-(W424-LARGE(FILTER(I$4:I"&amp;"1673,I$4:I1673&lt;=W424),1))*INDEX(F$4:F1673,MATCH(LARGE(FILTER(I$4:I1673,I$4:I1673&lt;=W424),1),I$4:I1673))))"),8.1509226E7)</f>
        <v>81509226</v>
      </c>
      <c r="N424" s="60">
        <f t="shared" si="8"/>
        <v>-144.48947</v>
      </c>
      <c r="O424" s="61" t="str">
        <f t="shared" si="9"/>
        <v>81,5M</v>
      </c>
      <c r="P424" s="56">
        <f t="shared" si="10"/>
        <v>27</v>
      </c>
      <c r="Q424" s="105" t="s">
        <v>4</v>
      </c>
      <c r="R424" s="10"/>
      <c r="S424" s="59">
        <f t="array" ref="S424">IF(COUNTA(Q424:Q1673)=0,"",SUM((COUNTIF(Q$4:Q424,Upgrades!$B$3:$B$13)-COUNTIF(Q$4:Q424,"Sell_"&amp;Upgrades!$B$3:$B$13))*Upgrades!$D$3:$D$13))</f>
        <v>559954.4</v>
      </c>
      <c r="T424" s="66">
        <f>IFERROR(__xludf.DUMMYFUNCTION("IF(COUNTA(Q424:Q1673)=0,"""",IF(REGEXMATCH(INDEX(FILTER(Q$4:Q424,Q$4:Q424&lt;&gt;""""),ROWS(FILTER(Q$4:Q424,Q$4:Q424&lt;&gt;""""))),""^Sell_""),INDEX(FILTER(T$4:T423,Q$4:Q423&lt;&gt;""""),ROWS(FILTER(Q$4:Q423,Q$4:Q423&lt;&gt;""""))),$AD$5+S424))"),559969.4)</f>
        <v>559969.4</v>
      </c>
      <c r="U424" s="10">
        <f>IFERROR(__xludf.DUMMYFUNCTION("IF(COUNTA(Q424:Q1673)=0,"""",IF(Q424="""",0,IF(REGEXMATCH(Q424,""^Sell_""),-ROUNDDOWN(ROUNDUP(INDEX(Upgrades!$C$3:$C$13,MATCH(SUBSTITUTE(Q424,""Sell_"",""""),Upgrades!$B$3:$B$13,0))*1.15^(COUNTIF(Q$4:Q423,SUBSTITUTE(Q424,""Sell_"",""""))-COUNTIF(Q$4:Q423,"&amp;"""Sell_""&amp;SUBSTITUTE(Q424,""Sell_"",""""))))/2),ROUNDUP(INDEX(Upgrades!$C$3:$C$13,MATCH(Q424,Upgrades!$B$3:$B$13,0))*1.15^(COUNTIF(Q$4:Q423,Q424)-COUNTIF(Q$4:Q423,""Sell_""&amp;Q424))))))"),3786.0)</f>
        <v>3786</v>
      </c>
      <c r="V424" s="10">
        <f t="shared" si="11"/>
        <v>3786</v>
      </c>
      <c r="W424" s="68">
        <f t="shared" si="12"/>
        <v>7686.124425</v>
      </c>
      <c r="X424" s="59" t="str">
        <f t="shared" si="13"/>
        <v>2h 08m 06s</v>
      </c>
      <c r="Y424" s="69">
        <f t="shared" si="14"/>
        <v>995724062</v>
      </c>
      <c r="Z424" s="11"/>
    </row>
    <row r="425">
      <c r="A425" s="8"/>
      <c r="B425" s="56" t="str">
        <f t="shared" si="2"/>
        <v/>
      </c>
      <c r="C425" s="105"/>
      <c r="D425" s="10"/>
      <c r="E425" s="59" t="str">
        <f t="array" ref="E425">IF(COUNTA(C425:C1673)=0,"",SUM((COUNTIF(C$4:C425,Upgrades!$B$3:$B$13)-COUNTIF(C$4:C425,"Sell_"&amp;Upgrades!$B$3:$B$13))*Upgrades!$D$3:$D$13))</f>
        <v/>
      </c>
      <c r="F425" s="66" t="str">
        <f>IFERROR(__xludf.DUMMYFUNCTION("IF(COUNTA(C425:C1673)=0,"""",IF(REGEXMATCH(INDEX(FILTER(C$4:C425,C$4:C425&lt;&gt;""""),ROWS(FILTER(C$4:C425,C$4:C425&lt;&gt;""""))),""^Sell_""),INDEX(FILTER(F$4:F424,C$4:C424&lt;&gt;""""),ROWS(FILTER(C$4:C424,C$4:C424&lt;&gt;""""))),$AC$5+E425))"),"")</f>
        <v/>
      </c>
      <c r="G425" s="10" t="str">
        <f>IFERROR(__xludf.DUMMYFUNCTION("IF(COUNTA(C425:C1673)=0,"""",IF(C425="""",0,IF(REGEXMATCH(C425,""^Sell_""),-ROUNDDOWN(ROUNDUP(INDEX(Upgrades!$C$3:$C$13,MATCH(SUBSTITUTE(C425,""Sell_"",""""),Upgrades!$B$3:$B$13,0))*1.15^(COUNTIF(C$4:C424,SUBSTITUTE(C425,""Sell_"",""""))-COUNTIF(C$4:C424,"&amp;"""Sell_""&amp;SUBSTITUTE(C425,""Sell_"",""""))))/2),ROUNDUP(INDEX(Upgrades!$C$3:$C$13,MATCH(C425,Upgrades!$B$3:$B$13,0))*1.15^(COUNTIF(C$4:C424,C425)-COUNTIF(C$4:C424,""Sell_""&amp;C425))))))"),"")</f>
        <v/>
      </c>
      <c r="H425" s="10" t="str">
        <f t="shared" si="3"/>
        <v/>
      </c>
      <c r="I425" s="68" t="str">
        <f t="shared" si="4"/>
        <v/>
      </c>
      <c r="J425" s="59" t="str">
        <f t="shared" si="5"/>
        <v/>
      </c>
      <c r="K425" s="69" t="str">
        <f t="shared" si="6"/>
        <v/>
      </c>
      <c r="L425" s="60">
        <f t="shared" si="7"/>
        <v>-144.39628</v>
      </c>
      <c r="M425" s="61">
        <f>IFERROR(__xludf.DUMMYFUNCTION("IFS(AND(COUNTA(C425:C1673)=0,COUNTA(Q425:Q1673)=0),"""",OR(AND(K425&gt;=1000000000,OR(Y425&gt;=1000000000,COUNTA(Q425:Q1673)=0)),OR(Y425&gt;=1000000000,AND(COUNTA(C425:C1673)=0,P$3=TRUE))),
ROUNDDOWN((AB$1-AC$1)*MAX(INDEX(T$4:T1673,MATCH(LARGE(FILTER(Y$4:Y1673,Y$4"&amp;":Y1673&lt;1000000000),1),Y$4:Y1673)),INDEX(F$4:F1673,MATCH(LARGE(FILTER(K$4:K1673,K$4:K1673&lt;1000000000),1),K$4:K1673)))),AND(K425&lt;1000000000,COUNTA(C425:C1673)&gt;0,P$3=FALSE),
ROUNDDOWN(INDEX(Y$4:Y1673,MATCH(LARGE(FILTER(W$4:W1673,W$4:W1673&lt;=I425),1),W$4:W1673"&amp;"))+(I425-LARGE(FILTER(W$4:W1673,W$4:W1673&lt;=I425),1))*INDEX(T$4:T1673,MATCH(LARGE(FILTER(W$4:W1673,W$4:W1673&lt;=I425),1),W$4:W1673))-K425),1,
ROUNDDOWN(Y425-INDEX(K$4:K1673,MATCH(LARGE(FILTER(I$4:I1673,I$4:I1673&lt;=W425),1),I$4:I1673))-(W425-LARGE(FILTER(I$4:I"&amp;"1673,I$4:I1673&lt;=W425),1))*INDEX(F$4:F1673,MATCH(LARGE(FILTER(I$4:I1673,I$4:I1673&lt;=W425),1),I$4:I1673))))"),8.1535161E7)</f>
        <v>81535161</v>
      </c>
      <c r="N425" s="60">
        <f t="shared" si="8"/>
        <v>-144.39628</v>
      </c>
      <c r="O425" s="61" t="str">
        <f t="shared" si="9"/>
        <v>81,5M</v>
      </c>
      <c r="P425" s="56">
        <f t="shared" si="10"/>
        <v>21</v>
      </c>
      <c r="Q425" s="105" t="s">
        <v>9</v>
      </c>
      <c r="R425" s="10"/>
      <c r="S425" s="59">
        <f t="array" ref="S425">IF(COUNTA(Q425:Q1673)=0,"",SUM((COUNTIF(Q$4:Q425,Upgrades!$B$3:$B$13)-COUNTIF(Q$4:Q425,"Sell_"&amp;Upgrades!$B$3:$B$13))*Upgrades!$D$3:$D$13))</f>
        <v>560354.4</v>
      </c>
      <c r="T425" s="66">
        <f>IFERROR(__xludf.DUMMYFUNCTION("IF(COUNTA(Q425:Q1673)=0,"""",IF(REGEXMATCH(INDEX(FILTER(Q$4:Q425,Q$4:Q425&lt;&gt;""""),ROWS(FILTER(Q$4:Q425,Q$4:Q425&lt;&gt;""""))),""^Sell_""),INDEX(FILTER(T$4:T424,Q$4:Q424&lt;&gt;""""),ROWS(FILTER(Q$4:Q424,Q$4:Q424&lt;&gt;""""))),$AD$5+S425))"),560369.4)</f>
        <v>560369.4</v>
      </c>
      <c r="U425" s="10">
        <f>IFERROR(__xludf.DUMMYFUNCTION("IF(COUNTA(Q425:Q1673)=0,"""",IF(Q425="""",0,IF(REGEXMATCH(Q425,""^Sell_""),-ROUNDDOWN(ROUNDUP(INDEX(Upgrades!$C$3:$C$13,MATCH(SUBSTITUTE(Q425,""Sell_"",""""),Upgrades!$B$3:$B$13,0))*1.15^(COUNTIF(Q$4:Q424,SUBSTITUTE(Q425,""Sell_"",""""))-COUNTIF(Q$4:Q424,"&amp;"""Sell_""&amp;SUBSTITUTE(Q425,""Sell_"",""""))))/2),ROUNDUP(INDEX(Upgrades!$C$3:$C$13,MATCH(Q425,Upgrades!$B$3:$B$13,0))*1.15^(COUNTIF(Q$4:Q424,Q425)-COUNTIF(Q$4:Q424,""Sell_""&amp;Q425))))))"),3273308.0)</f>
        <v>3273308</v>
      </c>
      <c r="V425" s="10">
        <f t="shared" si="11"/>
        <v>3273308</v>
      </c>
      <c r="W425" s="68">
        <f t="shared" si="12"/>
        <v>7691.969937</v>
      </c>
      <c r="X425" s="59" t="str">
        <f t="shared" si="13"/>
        <v>2h 08m 11s</v>
      </c>
      <c r="Y425" s="69">
        <f t="shared" si="14"/>
        <v>998997370</v>
      </c>
      <c r="Z425" s="11"/>
    </row>
    <row r="426">
      <c r="A426" s="8"/>
      <c r="B426" s="56" t="str">
        <f t="shared" si="2"/>
        <v/>
      </c>
      <c r="C426" s="105"/>
      <c r="D426" s="10"/>
      <c r="E426" s="59" t="str">
        <f t="array" ref="E426">IF(COUNTA(C426:C1673)=0,"",SUM((COUNTIF(C$4:C426,Upgrades!$B$3:$B$13)-COUNTIF(C$4:C426,"Sell_"&amp;Upgrades!$B$3:$B$13))*Upgrades!$D$3:$D$13))</f>
        <v/>
      </c>
      <c r="F426" s="66" t="str">
        <f>IFERROR(__xludf.DUMMYFUNCTION("IF(COUNTA(C426:C1673)=0,"""",IF(REGEXMATCH(INDEX(FILTER(C$4:C426,C$4:C426&lt;&gt;""""),ROWS(FILTER(C$4:C426,C$4:C426&lt;&gt;""""))),""^Sell_""),INDEX(FILTER(F$4:F425,C$4:C425&lt;&gt;""""),ROWS(FILTER(C$4:C425,C$4:C425&lt;&gt;""""))),$AC$5+E426))"),"")</f>
        <v/>
      </c>
      <c r="G426" s="10" t="str">
        <f>IFERROR(__xludf.DUMMYFUNCTION("IF(COUNTA(C426:C1673)=0,"""",IF(C426="""",0,IF(REGEXMATCH(C426,""^Sell_""),-ROUNDDOWN(ROUNDUP(INDEX(Upgrades!$C$3:$C$13,MATCH(SUBSTITUTE(C426,""Sell_"",""""),Upgrades!$B$3:$B$13,0))*1.15^(COUNTIF(C$4:C425,SUBSTITUTE(C426,""Sell_"",""""))-COUNTIF(C$4:C425,"&amp;"""Sell_""&amp;SUBSTITUTE(C426,""Sell_"",""""))))/2),ROUNDUP(INDEX(Upgrades!$C$3:$C$13,MATCH(C426,Upgrades!$B$3:$B$13,0))*1.15^(COUNTIF(C$4:C425,C426)-COUNTIF(C$4:C425,""Sell_""&amp;C426))))))"),"")</f>
        <v/>
      </c>
      <c r="H426" s="10" t="str">
        <f t="shared" si="3"/>
        <v/>
      </c>
      <c r="I426" s="68" t="str">
        <f t="shared" si="4"/>
        <v/>
      </c>
      <c r="J426" s="59" t="str">
        <f t="shared" si="5"/>
        <v/>
      </c>
      <c r="K426" s="69" t="str">
        <f t="shared" si="6"/>
        <v/>
      </c>
      <c r="L426" s="60">
        <f t="shared" si="7"/>
        <v>-144.38733</v>
      </c>
      <c r="M426" s="61">
        <f>IFERROR(__xludf.DUMMYFUNCTION("IFS(AND(COUNTA(C426:C1673)=0,COUNTA(Q426:Q1673)=0),"""",OR(AND(K426&gt;=1000000000,OR(Y426&gt;=1000000000,COUNTA(Q426:Q1673)=0)),OR(Y426&gt;=1000000000,AND(COUNTA(C426:C1673)=0,P$3=TRUE))),
ROUNDDOWN((AB$1-AC$1)*MAX(INDEX(T$4:T1673,MATCH(LARGE(FILTER(Y$4:Y1673,Y$4"&amp;":Y1673&lt;1000000000),1),Y$4:Y1673)),INDEX(F$4:F1673,MATCH(LARGE(FILTER(K$4:K1673,K$4:K1673&lt;1000000000),1),K$4:K1673)))),AND(K426&lt;1000000000,COUNTA(C426:C1673)&gt;0,P$3=FALSE),
ROUNDDOWN(INDEX(Y$4:Y1673,MATCH(LARGE(FILTER(W$4:W1673,W$4:W1673&lt;=I426),1),W$4:W1673"&amp;"))+(I426-LARGE(FILTER(W$4:W1673,W$4:W1673&lt;=I426),1))*INDEX(T$4:T1673,MATCH(LARGE(FILTER(W$4:W1673,W$4:W1673&lt;=I426),1),W$4:W1673))-K426),1,
ROUNDDOWN(Y426-INDEX(K$4:K1673,MATCH(LARGE(FILTER(I$4:I1673,I$4:I1673&lt;=W426),1),I$4:I1673))-(W426-LARGE(FILTER(I$4:I"&amp;"1673,I$4:I1673&lt;=W426),1))*INDEX(F$4:F1673,MATCH(LARGE(FILTER(I$4:I1673,I$4:I1673&lt;=W426),1),I$4:I1673))))"),8.1538003E7)</f>
        <v>81538003</v>
      </c>
      <c r="N426" s="60">
        <f t="shared" si="8"/>
        <v>-144.38733</v>
      </c>
      <c r="O426" s="61" t="str">
        <f t="shared" si="9"/>
        <v>81,5M</v>
      </c>
      <c r="P426" s="56">
        <f t="shared" si="10"/>
        <v>26</v>
      </c>
      <c r="Q426" s="105" t="s">
        <v>7</v>
      </c>
      <c r="R426" s="10"/>
      <c r="S426" s="59">
        <f t="array" ref="S426">IF(COUNTA(Q426:Q1673)=0,"",SUM((COUNTIF(Q$4:Q426,Upgrades!$B$3:$B$13)-COUNTIF(Q$4:Q426,"Sell_"&amp;Upgrades!$B$3:$B$13))*Upgrades!$D$3:$D$13))</f>
        <v>560394.4</v>
      </c>
      <c r="T426" s="66">
        <f>IFERROR(__xludf.DUMMYFUNCTION("IF(COUNTA(Q426:Q1673)=0,"""",IF(REGEXMATCH(INDEX(FILTER(Q$4:Q426,Q$4:Q426&lt;&gt;""""),ROWS(FILTER(Q$4:Q426,Q$4:Q426&lt;&gt;""""))),""^Sell_""),INDEX(FILTER(T$4:T425,Q$4:Q425&lt;&gt;""""),ROWS(FILTER(Q$4:Q425,Q$4:Q425&lt;&gt;""""))),$AD$5+S426))"),560409.4)</f>
        <v>560409.4</v>
      </c>
      <c r="U426" s="10">
        <f>IFERROR(__xludf.DUMMYFUNCTION("IF(COUNTA(Q426:Q1673)=0,"""",IF(Q426="""",0,IF(REGEXMATCH(Q426,""^Sell_""),-ROUNDDOWN(ROUNDUP(INDEX(Upgrades!$C$3:$C$13,MATCH(SUBSTITUTE(Q426,""Sell_"",""""),Upgrades!$B$3:$B$13,0))*1.15^(COUNTIF(Q$4:Q425,SUBSTITUTE(Q426,""Sell_"",""""))-COUNTIF(Q$4:Q425,"&amp;"""Sell_""&amp;SUBSTITUTE(Q426,""Sell_"",""""))))/2),ROUNDUP(INDEX(Upgrades!$C$3:$C$13,MATCH(Q426,Upgrades!$B$3:$B$13,0))*1.15^(COUNTIF(Q$4:Q425,Q426)-COUNTIF(Q$4:Q425,""Sell_""&amp;Q426))))))"),329190.0)</f>
        <v>329190</v>
      </c>
      <c r="V426" s="10">
        <f t="shared" si="11"/>
        <v>329190</v>
      </c>
      <c r="W426" s="68">
        <f t="shared" si="12"/>
        <v>7692.557389</v>
      </c>
      <c r="X426" s="59" t="str">
        <f t="shared" si="13"/>
        <v>2h 08m 12s</v>
      </c>
      <c r="Y426" s="69">
        <f t="shared" si="14"/>
        <v>999326560</v>
      </c>
      <c r="Z426" s="11"/>
    </row>
    <row r="427">
      <c r="A427" s="8"/>
      <c r="B427" s="56" t="str">
        <f t="shared" si="2"/>
        <v/>
      </c>
      <c r="C427" s="105"/>
      <c r="D427" s="10"/>
      <c r="E427" s="59" t="str">
        <f t="array" ref="E427">IF(COUNTA(C427:C1673)=0,"",SUM((COUNTIF(C$4:C427,Upgrades!$B$3:$B$13)-COUNTIF(C$4:C427,"Sell_"&amp;Upgrades!$B$3:$B$13))*Upgrades!$D$3:$D$13))</f>
        <v/>
      </c>
      <c r="F427" s="66" t="str">
        <f>IFERROR(__xludf.DUMMYFUNCTION("IF(COUNTA(C427:C1673)=0,"""",IF(REGEXMATCH(INDEX(FILTER(C$4:C427,C$4:C427&lt;&gt;""""),ROWS(FILTER(C$4:C427,C$4:C427&lt;&gt;""""))),""^Sell_""),INDEX(FILTER(F$4:F426,C$4:C426&lt;&gt;""""),ROWS(FILTER(C$4:C426,C$4:C426&lt;&gt;""""))),$AC$5+E427))"),"")</f>
        <v/>
      </c>
      <c r="G427" s="10" t="str">
        <f>IFERROR(__xludf.DUMMYFUNCTION("IF(COUNTA(C427:C1673)=0,"""",IF(C427="""",0,IF(REGEXMATCH(C427,""^Sell_""),-ROUNDDOWN(ROUNDUP(INDEX(Upgrades!$C$3:$C$13,MATCH(SUBSTITUTE(C427,""Sell_"",""""),Upgrades!$B$3:$B$13,0))*1.15^(COUNTIF(C$4:C426,SUBSTITUTE(C427,""Sell_"",""""))-COUNTIF(C$4:C426,"&amp;"""Sell_""&amp;SUBSTITUTE(C427,""Sell_"",""""))))/2),ROUNDUP(INDEX(Upgrades!$C$3:$C$13,MATCH(C427,Upgrades!$B$3:$B$13,0))*1.15^(COUNTIF(C$4:C426,C427)-COUNTIF(C$4:C426,""Sell_""&amp;C427))))))"),"")</f>
        <v/>
      </c>
      <c r="H427" s="10" t="str">
        <f t="shared" si="3"/>
        <v/>
      </c>
      <c r="I427" s="68" t="str">
        <f t="shared" si="4"/>
        <v/>
      </c>
      <c r="J427" s="59" t="str">
        <f t="shared" si="5"/>
        <v/>
      </c>
      <c r="K427" s="69" t="str">
        <f t="shared" si="6"/>
        <v/>
      </c>
      <c r="L427" s="60">
        <f t="shared" si="7"/>
        <v>-144.38644</v>
      </c>
      <c r="M427" s="61">
        <f>IFERROR(__xludf.DUMMYFUNCTION("IFS(AND(COUNTA(C427:C1673)=0,COUNTA(Q427:Q1673)=0),"""",OR(AND(K427&gt;=1000000000,OR(Y427&gt;=1000000000,COUNTA(Q427:Q1673)=0)),OR(Y427&gt;=1000000000,AND(COUNTA(C427:C1673)=0,P$3=TRUE))),
ROUNDDOWN((AB$1-AC$1)*MAX(INDEX(T$4:T1673,MATCH(LARGE(FILTER(Y$4:Y1673,Y$4"&amp;":Y1673&lt;1000000000),1),Y$4:Y1673)),INDEX(F$4:F1673,MATCH(LARGE(FILTER(K$4:K1673,K$4:K1673&lt;1000000000),1),K$4:K1673)))),AND(K427&lt;1000000000,COUNTA(C427:C1673)&gt;0,P$3=FALSE),
ROUNDDOWN(INDEX(Y$4:Y1673,MATCH(LARGE(FILTER(W$4:W1673,W$4:W1673&lt;=I427),1),W$4:W1673"&amp;"))+(I427-LARGE(FILTER(W$4:W1673,W$4:W1673&lt;=I427),1))*INDEX(T$4:T1673,MATCH(LARGE(FILTER(W$4:W1673,W$4:W1673&lt;=I427),1),W$4:W1673))-K427),1,
ROUNDDOWN(Y427-INDEX(K$4:K1673,MATCH(LARGE(FILTER(I$4:I1673,I$4:I1673&lt;=W427),1),I$4:I1673))-(W427-LARGE(FILTER(I$4:I"&amp;"1673,I$4:I1673&lt;=W427),1))*INDEX(F$4:F1673,MATCH(LARGE(FILTER(I$4:I1673,I$4:I1673&lt;=W427),1),I$4:I1673))))"),8.1538291E7)</f>
        <v>81538291</v>
      </c>
      <c r="N427" s="60">
        <f t="shared" si="8"/>
        <v>-144.38644</v>
      </c>
      <c r="O427" s="61" t="str">
        <f t="shared" si="9"/>
        <v>81,5M</v>
      </c>
      <c r="P427" s="56">
        <f t="shared" si="10"/>
        <v>31</v>
      </c>
      <c r="Q427" s="105" t="s">
        <v>5</v>
      </c>
      <c r="R427" s="10"/>
      <c r="S427" s="59">
        <f t="array" ref="S427">IF(COUNTA(Q427:Q1673)=0,"",SUM((COUNTIF(Q$4:Q427,Upgrades!$B$3:$B$13)-COUNTIF(Q$4:Q427,"Sell_"&amp;Upgrades!$B$3:$B$13))*Upgrades!$D$3:$D$13))</f>
        <v>560398.4</v>
      </c>
      <c r="T427" s="66">
        <f>IFERROR(__xludf.DUMMYFUNCTION("IF(COUNTA(Q427:Q1673)=0,"""",IF(REGEXMATCH(INDEX(FILTER(Q$4:Q427,Q$4:Q427&lt;&gt;""""),ROWS(FILTER(Q$4:Q427,Q$4:Q427&lt;&gt;""""))),""^Sell_""),INDEX(FILTER(T$4:T426,Q$4:Q426&lt;&gt;""""),ROWS(FILTER(Q$4:Q426,Q$4:Q426&lt;&gt;""""))),$AD$5+S427))"),560413.4)</f>
        <v>560413.4</v>
      </c>
      <c r="U427" s="10">
        <f>IFERROR(__xludf.DUMMYFUNCTION("IF(COUNTA(Q427:Q1673)=0,"""",IF(Q427="""",0,IF(REGEXMATCH(Q427,""^Sell_""),-ROUNDDOWN(ROUNDUP(INDEX(Upgrades!$C$3:$C$13,MATCH(SUBSTITUTE(Q427,""Sell_"",""""),Upgrades!$B$3:$B$13,0))*1.15^(COUNTIF(Q$4:Q426,SUBSTITUTE(Q427,""Sell_"",""""))-COUNTIF(Q$4:Q426,"&amp;"""Sell_""&amp;SUBSTITUTE(Q427,""Sell_"",""""))))/2),ROUNDUP(INDEX(Upgrades!$C$3:$C$13,MATCH(Q427,Upgrades!$B$3:$B$13,0))*1.15^(COUNTIF(Q$4:Q426,Q427)-COUNTIF(Q$4:Q426,""Sell_""&amp;Q427))))))"),33106.0)</f>
        <v>33106</v>
      </c>
      <c r="V427" s="10">
        <f t="shared" si="11"/>
        <v>33106</v>
      </c>
      <c r="W427" s="68">
        <f t="shared" si="12"/>
        <v>7692.616464</v>
      </c>
      <c r="X427" s="59" t="str">
        <f t="shared" si="13"/>
        <v>2h 08m 12s</v>
      </c>
      <c r="Y427" s="69">
        <f t="shared" si="14"/>
        <v>999359666</v>
      </c>
      <c r="Z427" s="11"/>
    </row>
    <row r="428">
      <c r="A428" s="8"/>
      <c r="B428" s="56" t="str">
        <f t="shared" si="2"/>
        <v/>
      </c>
      <c r="C428" s="105"/>
      <c r="D428" s="10"/>
      <c r="E428" s="59" t="str">
        <f t="array" ref="E428">IF(COUNTA(C428:C1673)=0,"",SUM((COUNTIF(C$4:C428,Upgrades!$B$3:$B$13)-COUNTIF(C$4:C428,"Sell_"&amp;Upgrades!$B$3:$B$13))*Upgrades!$D$3:$D$13))</f>
        <v/>
      </c>
      <c r="F428" s="66" t="str">
        <f>IFERROR(__xludf.DUMMYFUNCTION("IF(COUNTA(C428:C1673)=0,"""",IF(REGEXMATCH(INDEX(FILTER(C$4:C428,C$4:C428&lt;&gt;""""),ROWS(FILTER(C$4:C428,C$4:C428&lt;&gt;""""))),""^Sell_""),INDEX(FILTER(F$4:F427,C$4:C427&lt;&gt;""""),ROWS(FILTER(C$4:C427,C$4:C427&lt;&gt;""""))),$AC$5+E428))"),"")</f>
        <v/>
      </c>
      <c r="G428" s="10" t="str">
        <f>IFERROR(__xludf.DUMMYFUNCTION("IF(COUNTA(C428:C1673)=0,"""",IF(C428="""",0,IF(REGEXMATCH(C428,""^Sell_""),-ROUNDDOWN(ROUNDUP(INDEX(Upgrades!$C$3:$C$13,MATCH(SUBSTITUTE(C428,""Sell_"",""""),Upgrades!$B$3:$B$13,0))*1.15^(COUNTIF(C$4:C427,SUBSTITUTE(C428,""Sell_"",""""))-COUNTIF(C$4:C427,"&amp;"""Sell_""&amp;SUBSTITUTE(C428,""Sell_"",""""))))/2),ROUNDUP(INDEX(Upgrades!$C$3:$C$13,MATCH(C428,Upgrades!$B$3:$B$13,0))*1.15^(COUNTIF(C$4:C427,C428)-COUNTIF(C$4:C427,""Sell_""&amp;C428))))))"),"")</f>
        <v/>
      </c>
      <c r="H428" s="10" t="str">
        <f t="shared" si="3"/>
        <v/>
      </c>
      <c r="I428" s="68" t="str">
        <f t="shared" si="4"/>
        <v/>
      </c>
      <c r="J428" s="59" t="str">
        <f t="shared" si="5"/>
        <v/>
      </c>
      <c r="K428" s="69" t="str">
        <f t="shared" si="6"/>
        <v/>
      </c>
      <c r="L428" s="60">
        <f t="shared" si="7"/>
        <v>-144.38411</v>
      </c>
      <c r="M428" s="61">
        <f>IFERROR(__xludf.DUMMYFUNCTION("IFS(AND(COUNTA(C428:C1673)=0,COUNTA(Q428:Q1673)=0),"""",OR(AND(K428&gt;=1000000000,OR(Y428&gt;=1000000000,COUNTA(Q428:Q1673)=0)),OR(Y428&gt;=1000000000,AND(COUNTA(C428:C1673)=0,P$3=TRUE))),
ROUNDDOWN((AB$1-AC$1)*MAX(INDEX(T$4:T1673,MATCH(LARGE(FILTER(Y$4:Y1673,Y$4"&amp;":Y1673&lt;1000000000),1),Y$4:Y1673)),INDEX(F$4:F1673,MATCH(LARGE(FILTER(K$4:K1673,K$4:K1673&lt;1000000000),1),K$4:K1673)))),AND(K428&lt;1000000000,COUNTA(C428:C1673)&gt;0,P$3=FALSE),
ROUNDDOWN(INDEX(Y$4:Y1673,MATCH(LARGE(FILTER(W$4:W1673,W$4:W1673&lt;=I428),1),W$4:W1673"&amp;"))+(I428-LARGE(FILTER(W$4:W1673,W$4:W1673&lt;=I428),1))*INDEX(T$4:T1673,MATCH(LARGE(FILTER(W$4:W1673,W$4:W1673&lt;=I428),1),W$4:W1673))-K428),1,
ROUNDDOWN(Y428-INDEX(K$4:K1673,MATCH(LARGE(FILTER(I$4:I1673,I$4:I1673&lt;=W428),1),I$4:I1673))-(W428-LARGE(FILTER(I$4:I"&amp;"1673,I$4:I1673&lt;=W428),1))*INDEX(F$4:F1673,MATCH(LARGE(FILTER(I$4:I1673,I$4:I1673&lt;=W428),1),I$4:I1673))))"),8.1539039E7)</f>
        <v>81539039</v>
      </c>
      <c r="N428" s="60">
        <f t="shared" si="8"/>
        <v>-144.38411</v>
      </c>
      <c r="O428" s="61" t="str">
        <f t="shared" si="9"/>
        <v>81,5M</v>
      </c>
      <c r="P428" s="56">
        <f t="shared" si="10"/>
        <v>25</v>
      </c>
      <c r="Q428" s="105" t="s">
        <v>6</v>
      </c>
      <c r="R428" s="10"/>
      <c r="S428" s="59">
        <f t="array" ref="S428">IF(COUNTA(Q428:Q1673)=0,"",SUM((COUNTIF(Q$4:Q428,Upgrades!$B$3:$B$13)-COUNTIF(Q$4:Q428,"Sell_"&amp;Upgrades!$B$3:$B$13))*Upgrades!$D$3:$D$13))</f>
        <v>560408.4</v>
      </c>
      <c r="T428" s="66">
        <f>IFERROR(__xludf.DUMMYFUNCTION("IF(COUNTA(Q428:Q1673)=0,"""",IF(REGEXMATCH(INDEX(FILTER(Q$4:Q428,Q$4:Q428&lt;&gt;""""),ROWS(FILTER(Q$4:Q428,Q$4:Q428&lt;&gt;""""))),""^Sell_""),INDEX(FILTER(T$4:T427,Q$4:Q427&lt;&gt;""""),ROWS(FILTER(Q$4:Q427,Q$4:Q427&lt;&gt;""""))),$AD$5+S428))"),560423.4)</f>
        <v>560423.4</v>
      </c>
      <c r="U428" s="10">
        <f>IFERROR(__xludf.DUMMYFUNCTION("IF(COUNTA(Q428:Q1673)=0,"""",IF(Q428="""",0,IF(REGEXMATCH(Q428,""^Sell_""),-ROUNDDOWN(ROUNDUP(INDEX(Upgrades!$C$3:$C$13,MATCH(SUBSTITUTE(Q428,""Sell_"",""""),Upgrades!$B$3:$B$13,0))*1.15^(COUNTIF(Q$4:Q427,SUBSTITUTE(Q428,""Sell_"",""""))-COUNTIF(Q$4:Q427,"&amp;"""Sell_""&amp;SUBSTITUTE(Q428,""Sell_"",""""))))/2),ROUNDUP(INDEX(Upgrades!$C$3:$C$13,MATCH(Q428,Upgrades!$B$3:$B$13,0))*1.15^(COUNTIF(Q$4:Q427,Q428)-COUNTIF(Q$4:Q427,""Sell_""&amp;Q428))))))"),85876.0)</f>
        <v>85876</v>
      </c>
      <c r="V428" s="10">
        <f t="shared" si="11"/>
        <v>85876</v>
      </c>
      <c r="W428" s="68">
        <f t="shared" si="12"/>
        <v>7692.769701</v>
      </c>
      <c r="X428" s="59" t="str">
        <f t="shared" si="13"/>
        <v>2h 08m 12s</v>
      </c>
      <c r="Y428" s="69">
        <f t="shared" si="14"/>
        <v>999445542</v>
      </c>
      <c r="Z428" s="11"/>
    </row>
    <row r="429">
      <c r="A429" s="8"/>
      <c r="B429" s="56" t="str">
        <f t="shared" si="2"/>
        <v/>
      </c>
      <c r="C429" s="105"/>
      <c r="D429" s="10"/>
      <c r="E429" s="59" t="str">
        <f t="array" ref="E429">IF(COUNTA(C429:C1673)=0,"",SUM((COUNTIF(C$4:C429,Upgrades!$B$3:$B$13)-COUNTIF(C$4:C429,"Sell_"&amp;Upgrades!$B$3:$B$13))*Upgrades!$D$3:$D$13))</f>
        <v/>
      </c>
      <c r="F429" s="66" t="str">
        <f>IFERROR(__xludf.DUMMYFUNCTION("IF(COUNTA(C429:C1673)=0,"""",IF(REGEXMATCH(INDEX(FILTER(C$4:C429,C$4:C429&lt;&gt;""""),ROWS(FILTER(C$4:C429,C$4:C429&lt;&gt;""""))),""^Sell_""),INDEX(FILTER(F$4:F428,C$4:C428&lt;&gt;""""),ROWS(FILTER(C$4:C428,C$4:C428&lt;&gt;""""))),$AC$5+E429))"),"")</f>
        <v/>
      </c>
      <c r="G429" s="10" t="str">
        <f>IFERROR(__xludf.DUMMYFUNCTION("IF(COUNTA(C429:C1673)=0,"""",IF(C429="""",0,IF(REGEXMATCH(C429,""^Sell_""),-ROUNDDOWN(ROUNDUP(INDEX(Upgrades!$C$3:$C$13,MATCH(SUBSTITUTE(C429,""Sell_"",""""),Upgrades!$B$3:$B$13,0))*1.15^(COUNTIF(C$4:C428,SUBSTITUTE(C429,""Sell_"",""""))-COUNTIF(C$4:C428,"&amp;"""Sell_""&amp;SUBSTITUTE(C429,""Sell_"",""""))))/2),ROUNDUP(INDEX(Upgrades!$C$3:$C$13,MATCH(C429,Upgrades!$B$3:$B$13,0))*1.15^(COUNTIF(C$4:C428,C429)-COUNTIF(C$4:C428,""Sell_""&amp;C429))))))"),"")</f>
        <v/>
      </c>
      <c r="H429" s="10" t="str">
        <f t="shared" si="3"/>
        <v/>
      </c>
      <c r="I429" s="68" t="str">
        <f t="shared" si="4"/>
        <v/>
      </c>
      <c r="J429" s="59" t="str">
        <f t="shared" si="5"/>
        <v/>
      </c>
      <c r="K429" s="69" t="str">
        <f t="shared" si="6"/>
        <v/>
      </c>
      <c r="L429" s="60">
        <f t="shared" si="7"/>
        <v>-144.38409</v>
      </c>
      <c r="M429" s="61">
        <f>IFERROR(__xludf.DUMMYFUNCTION("IFS(AND(COUNTA(C429:C1673)=0,COUNTA(Q429:Q1673)=0),"""",OR(AND(K429&gt;=1000000000,OR(Y429&gt;=1000000000,COUNTA(Q429:Q1673)=0)),OR(Y429&gt;=1000000000,AND(COUNTA(C429:C1673)=0,P$3=TRUE))),
ROUNDDOWN((AB$1-AC$1)*MAX(INDEX(T$4:T1673,MATCH(LARGE(FILTER(Y$4:Y1673,Y$4"&amp;":Y1673&lt;1000000000),1),Y$4:Y1673)),INDEX(F$4:F1673,MATCH(LARGE(FILTER(K$4:K1673,K$4:K1673&lt;1000000000),1),K$4:K1673)))),AND(K429&lt;1000000000,COUNTA(C429:C1673)&gt;0,P$3=FALSE),
ROUNDDOWN(INDEX(Y$4:Y1673,MATCH(LARGE(FILTER(W$4:W1673,W$4:W1673&lt;=I429),1),W$4:W1673"&amp;"))+(I429-LARGE(FILTER(W$4:W1673,W$4:W1673&lt;=I429),1))*INDEX(T$4:T1673,MATCH(LARGE(FILTER(W$4:W1673,W$4:W1673&lt;=I429),1),W$4:W1673))-K429),1,
ROUNDDOWN(Y429-INDEX(K$4:K1673,MATCH(LARGE(FILTER(I$4:I1673,I$4:I1673&lt;=W429),1),I$4:I1673))-(W429-LARGE(FILTER(I$4:I"&amp;"1673,I$4:I1673&lt;=W429),1))*INDEX(F$4:F1673,MATCH(LARGE(FILTER(I$4:I1673,I$4:I1673&lt;=W429),1),I$4:I1673))))"),8.1539046E7)</f>
        <v>81539046</v>
      </c>
      <c r="N429" s="60">
        <f t="shared" si="8"/>
        <v>-144.38409</v>
      </c>
      <c r="O429" s="61" t="str">
        <f t="shared" si="9"/>
        <v>81,5M</v>
      </c>
      <c r="P429" s="56">
        <f t="shared" si="10"/>
        <v>30</v>
      </c>
      <c r="Q429" s="105" t="s">
        <v>3</v>
      </c>
      <c r="R429" s="10"/>
      <c r="S429" s="59">
        <f t="array" ref="S429">IF(COUNTA(Q429:Q1673)=0,"",SUM((COUNTIF(Q$4:Q429,Upgrades!$B$3:$B$13)-COUNTIF(Q$4:Q429,"Sell_"&amp;Upgrades!$B$3:$B$13))*Upgrades!$D$3:$D$13))</f>
        <v>560408.5</v>
      </c>
      <c r="T429" s="66">
        <f>IFERROR(__xludf.DUMMYFUNCTION("IF(COUNTA(Q429:Q1673)=0,"""",IF(REGEXMATCH(INDEX(FILTER(Q$4:Q429,Q$4:Q429&lt;&gt;""""),ROWS(FILTER(Q$4:Q429,Q$4:Q429&lt;&gt;""""))),""^Sell_""),INDEX(FILTER(T$4:T428,Q$4:Q428&lt;&gt;""""),ROWS(FILTER(Q$4:Q428,Q$4:Q428&lt;&gt;""""))),$AD$5+S429))"),560423.5)</f>
        <v>560423.5</v>
      </c>
      <c r="U429" s="10">
        <f>IFERROR(__xludf.DUMMYFUNCTION("IF(COUNTA(Q429:Q1673)=0,"""",IF(Q429="""",0,IF(REGEXMATCH(Q429,""^Sell_""),-ROUNDDOWN(ROUNDUP(INDEX(Upgrades!$C$3:$C$13,MATCH(SUBSTITUTE(Q429,""Sell_"",""""),Upgrades!$B$3:$B$13,0))*1.15^(COUNTIF(Q$4:Q428,SUBSTITUTE(Q429,""Sell_"",""""))-COUNTIF(Q$4:Q428,"&amp;"""Sell_""&amp;SUBSTITUTE(Q429,""Sell_"",""""))))/2),ROUNDUP(INDEX(Upgrades!$C$3:$C$13,MATCH(Q429,Upgrades!$B$3:$B$13,0))*1.15^(COUNTIF(Q$4:Q428,Q429)-COUNTIF(Q$4:Q428,""Sell_""&amp;Q429))))))"),864.0)</f>
        <v>864</v>
      </c>
      <c r="V429" s="10">
        <f t="shared" si="11"/>
        <v>864</v>
      </c>
      <c r="W429" s="68">
        <f t="shared" si="12"/>
        <v>7692.771242</v>
      </c>
      <c r="X429" s="59" t="str">
        <f t="shared" si="13"/>
        <v>2h 08m 12s</v>
      </c>
      <c r="Y429" s="69">
        <f t="shared" si="14"/>
        <v>999446406</v>
      </c>
      <c r="Z429" s="11"/>
    </row>
    <row r="430">
      <c r="A430" s="8"/>
      <c r="B430" s="56" t="str">
        <f t="shared" si="2"/>
        <v/>
      </c>
      <c r="C430" s="105"/>
      <c r="D430" s="10"/>
      <c r="E430" s="59" t="str">
        <f t="array" ref="E430">IF(COUNTA(C430:C1673)=0,"",SUM((COUNTIF(C$4:C430,Upgrades!$B$3:$B$13)-COUNTIF(C$4:C430,"Sell_"&amp;Upgrades!$B$3:$B$13))*Upgrades!$D$3:$D$13))</f>
        <v/>
      </c>
      <c r="F430" s="66" t="str">
        <f>IFERROR(__xludf.DUMMYFUNCTION("IF(COUNTA(C430:C1673)=0,"""",IF(REGEXMATCH(INDEX(FILTER(C$4:C430,C$4:C430&lt;&gt;""""),ROWS(FILTER(C$4:C430,C$4:C430&lt;&gt;""""))),""^Sell_""),INDEX(FILTER(F$4:F429,C$4:C429&lt;&gt;""""),ROWS(FILTER(C$4:C429,C$4:C429&lt;&gt;""""))),$AC$5+E430))"),"")</f>
        <v/>
      </c>
      <c r="G430" s="10" t="str">
        <f>IFERROR(__xludf.DUMMYFUNCTION("IF(COUNTA(C430:C1673)=0,"""",IF(C430="""",0,IF(REGEXMATCH(C430,""^Sell_""),-ROUNDDOWN(ROUNDUP(INDEX(Upgrades!$C$3:$C$13,MATCH(SUBSTITUTE(C430,""Sell_"",""""),Upgrades!$B$3:$B$13,0))*1.15^(COUNTIF(C$4:C429,SUBSTITUTE(C430,""Sell_"",""""))-COUNTIF(C$4:C429,"&amp;"""Sell_""&amp;SUBSTITUTE(C430,""Sell_"",""""))))/2),ROUNDUP(INDEX(Upgrades!$C$3:$C$13,MATCH(C430,Upgrades!$B$3:$B$13,0))*1.15^(COUNTIF(C$4:C429,C430)-COUNTIF(C$4:C429,""Sell_""&amp;C430))))))"),"")</f>
        <v/>
      </c>
      <c r="H430" s="10" t="str">
        <f t="shared" si="3"/>
        <v/>
      </c>
      <c r="I430" s="68" t="str">
        <f t="shared" si="4"/>
        <v/>
      </c>
      <c r="J430" s="59" t="str">
        <f t="shared" si="5"/>
        <v/>
      </c>
      <c r="K430" s="69" t="str">
        <f t="shared" si="6"/>
        <v/>
      </c>
      <c r="L430" s="60">
        <f t="shared" si="7"/>
        <v>-144.38397</v>
      </c>
      <c r="M430" s="61">
        <f>IFERROR(__xludf.DUMMYFUNCTION("IFS(AND(COUNTA(C430:C1673)=0,COUNTA(Q430:Q1673)=0),"""",OR(AND(K430&gt;=1000000000,OR(Y430&gt;=1000000000,COUNTA(Q430:Q1673)=0)),OR(Y430&gt;=1000000000,AND(COUNTA(C430:C1673)=0,P$3=TRUE))),
ROUNDDOWN((AB$1-AC$1)*MAX(INDEX(T$4:T1673,MATCH(LARGE(FILTER(Y$4:Y1673,Y$4"&amp;":Y1673&lt;1000000000),1),Y$4:Y1673)),INDEX(F$4:F1673,MATCH(LARGE(FILTER(K$4:K1673,K$4:K1673&lt;1000000000),1),K$4:K1673)))),AND(K430&lt;1000000000,COUNTA(C430:C1673)&gt;0,P$3=FALSE),
ROUNDDOWN(INDEX(Y$4:Y1673,MATCH(LARGE(FILTER(W$4:W1673,W$4:W1673&lt;=I430),1),W$4:W1673"&amp;"))+(I430-LARGE(FILTER(W$4:W1673,W$4:W1673&lt;=I430),1))*INDEX(T$4:T1673,MATCH(LARGE(FILTER(W$4:W1673,W$4:W1673&lt;=I430),1),W$4:W1673))-K430),1,
ROUNDDOWN(Y430-INDEX(K$4:K1673,MATCH(LARGE(FILTER(I$4:I1673,I$4:I1673&lt;=W430),1),I$4:I1673))-(W430-LARGE(FILTER(I$4:I"&amp;"1673,I$4:I1673&lt;=W430),1))*INDEX(F$4:F1673,MATCH(LARGE(FILTER(I$4:I1673,I$4:I1673&lt;=W430),1),I$4:I1673))))"),8.1539084E7)</f>
        <v>81539084</v>
      </c>
      <c r="N430" s="60">
        <f t="shared" si="8"/>
        <v>-144.38397</v>
      </c>
      <c r="O430" s="61" t="str">
        <f t="shared" si="9"/>
        <v>81,5M</v>
      </c>
      <c r="P430" s="56">
        <f t="shared" si="10"/>
        <v>28</v>
      </c>
      <c r="Q430" s="105" t="s">
        <v>4</v>
      </c>
      <c r="R430" s="10"/>
      <c r="S430" s="59">
        <f t="array" ref="S430">IF(COUNTA(Q430:Q1673)=0,"",SUM((COUNTIF(Q$4:Q430,Upgrades!$B$3:$B$13)-COUNTIF(Q$4:Q430,"Sell_"&amp;Upgrades!$B$3:$B$13))*Upgrades!$D$3:$D$13))</f>
        <v>560409</v>
      </c>
      <c r="T430" s="66">
        <f>IFERROR(__xludf.DUMMYFUNCTION("IF(COUNTA(Q430:Q1673)=0,"""",IF(REGEXMATCH(INDEX(FILTER(Q$4:Q430,Q$4:Q430&lt;&gt;""""),ROWS(FILTER(Q$4:Q430,Q$4:Q430&lt;&gt;""""))),""^Sell_""),INDEX(FILTER(T$4:T429,Q$4:Q429&lt;&gt;""""),ROWS(FILTER(Q$4:Q429,Q$4:Q429&lt;&gt;""""))),$AD$5+S430))"),560424.0)</f>
        <v>560424</v>
      </c>
      <c r="U430" s="10">
        <f>IFERROR(__xludf.DUMMYFUNCTION("IF(COUNTA(Q430:Q1673)=0,"""",IF(Q430="""",0,IF(REGEXMATCH(Q430,""^Sell_""),-ROUNDDOWN(ROUNDUP(INDEX(Upgrades!$C$3:$C$13,MATCH(SUBSTITUTE(Q430,""Sell_"",""""),Upgrades!$B$3:$B$13,0))*1.15^(COUNTIF(Q$4:Q429,SUBSTITUTE(Q430,""Sell_"",""""))-COUNTIF(Q$4:Q429,"&amp;"""Sell_""&amp;SUBSTITUTE(Q430,""Sell_"",""""))))/2),ROUNDUP(INDEX(Upgrades!$C$3:$C$13,MATCH(Q430,Upgrades!$B$3:$B$13,0))*1.15^(COUNTIF(Q$4:Q429,Q430)-COUNTIF(Q$4:Q429,""Sell_""&amp;Q430))))))"),4354.0)</f>
        <v>4354</v>
      </c>
      <c r="V430" s="10">
        <f t="shared" si="11"/>
        <v>4354</v>
      </c>
      <c r="W430" s="68">
        <f t="shared" si="12"/>
        <v>7692.779011</v>
      </c>
      <c r="X430" s="59" t="str">
        <f t="shared" si="13"/>
        <v>2h 08m 12s</v>
      </c>
      <c r="Y430" s="69">
        <f t="shared" si="14"/>
        <v>999450760</v>
      </c>
      <c r="Z430" s="11"/>
    </row>
    <row r="431">
      <c r="A431" s="8"/>
      <c r="B431" s="56" t="str">
        <f t="shared" si="2"/>
        <v/>
      </c>
      <c r="C431" s="105"/>
      <c r="D431" s="10"/>
      <c r="E431" s="59" t="str">
        <f t="array" ref="E431">IF(COUNTA(C431:C1673)=0,"",SUM((COUNTIF(C$4:C431,Upgrades!$B$3:$B$13)-COUNTIF(C$4:C431,"Sell_"&amp;Upgrades!$B$3:$B$13))*Upgrades!$D$3:$D$13))</f>
        <v/>
      </c>
      <c r="F431" s="66" t="str">
        <f>IFERROR(__xludf.DUMMYFUNCTION("IF(COUNTA(C431:C1673)=0,"""",IF(REGEXMATCH(INDEX(FILTER(C$4:C431,C$4:C431&lt;&gt;""""),ROWS(FILTER(C$4:C431,C$4:C431&lt;&gt;""""))),""^Sell_""),INDEX(FILTER(F$4:F430,C$4:C430&lt;&gt;""""),ROWS(FILTER(C$4:C430,C$4:C430&lt;&gt;""""))),$AC$5+E431))"),"")</f>
        <v/>
      </c>
      <c r="G431" s="10" t="str">
        <f>IFERROR(__xludf.DUMMYFUNCTION("IF(COUNTA(C431:C1673)=0,"""",IF(C431="""",0,IF(REGEXMATCH(C431,""^Sell_""),-ROUNDDOWN(ROUNDUP(INDEX(Upgrades!$C$3:$C$13,MATCH(SUBSTITUTE(C431,""Sell_"",""""),Upgrades!$B$3:$B$13,0))*1.15^(COUNTIF(C$4:C430,SUBSTITUTE(C431,""Sell_"",""""))-COUNTIF(C$4:C430,"&amp;"""Sell_""&amp;SUBSTITUTE(C431,""Sell_"",""""))))/2),ROUNDUP(INDEX(Upgrades!$C$3:$C$13,MATCH(C431,Upgrades!$B$3:$B$13,0))*1.15^(COUNTIF(C$4:C430,C431)-COUNTIF(C$4:C430,""Sell_""&amp;C431))))))"),"")</f>
        <v/>
      </c>
      <c r="H431" s="10" t="str">
        <f t="shared" si="3"/>
        <v/>
      </c>
      <c r="I431" s="68" t="str">
        <f t="shared" si="4"/>
        <v/>
      </c>
      <c r="J431" s="59" t="str">
        <f t="shared" si="5"/>
        <v/>
      </c>
      <c r="K431" s="69" t="str">
        <f t="shared" si="6"/>
        <v/>
      </c>
      <c r="L431" s="60">
        <f t="shared" si="7"/>
        <v>-144.37374</v>
      </c>
      <c r="M431" s="61">
        <f>IFERROR(__xludf.DUMMYFUNCTION("IFS(AND(COUNTA(C431:C1673)=0,COUNTA(Q431:Q1673)=0),"""",OR(AND(K431&gt;=1000000000,OR(Y431&gt;=1000000000,COUNTA(Q431:Q1673)=0)),OR(Y431&gt;=1000000000,AND(COUNTA(C431:C1673)=0,P$3=TRUE))),
ROUNDDOWN((AB$1-AC$1)*MAX(INDEX(T$4:T1673,MATCH(LARGE(FILTER(Y$4:Y1673,Y$4"&amp;":Y1673&lt;1000000000),1),Y$4:Y1673)),INDEX(F$4:F1673,MATCH(LARGE(FILTER(K$4:K1673,K$4:K1673&lt;1000000000),1),K$4:K1673)))),AND(K431&lt;1000000000,COUNTA(C431:C1673)&gt;0,P$3=FALSE),
ROUNDDOWN(INDEX(Y$4:Y1673,MATCH(LARGE(FILTER(W$4:W1673,W$4:W1673&lt;=I431),1),W$4:W1673"&amp;"))+(I431-LARGE(FILTER(W$4:W1673,W$4:W1673&lt;=I431),1))*INDEX(T$4:T1673,MATCH(LARGE(FILTER(W$4:W1673,W$4:W1673&lt;=I431),1),W$4:W1673))-K431),1,
ROUNDDOWN(Y431-INDEX(K$4:K1673,MATCH(LARGE(FILTER(I$4:I1673,I$4:I1673&lt;=W431),1),I$4:I1673))-(W431-LARGE(FILTER(I$4:I"&amp;"1673,I$4:I1673&lt;=W431),1))*INDEX(F$4:F1673,MATCH(LARGE(FILTER(I$4:I1673,I$4:I1673&lt;=W431),1),I$4:I1673))))"),8.1542388E7)</f>
        <v>81542388</v>
      </c>
      <c r="N431" s="60">
        <f t="shared" si="8"/>
        <v>-144.37374</v>
      </c>
      <c r="O431" s="61" t="str">
        <f t="shared" si="9"/>
        <v>81,5M</v>
      </c>
      <c r="P431" s="56">
        <f t="shared" si="10"/>
        <v>27</v>
      </c>
      <c r="Q431" s="105" t="s">
        <v>7</v>
      </c>
      <c r="R431" s="10"/>
      <c r="S431" s="59">
        <f t="array" ref="S431">IF(COUNTA(Q431:Q1673)=0,"",SUM((COUNTIF(Q$4:Q431,Upgrades!$B$3:$B$13)-COUNTIF(Q$4:Q431,"Sell_"&amp;Upgrades!$B$3:$B$13))*Upgrades!$D$3:$D$13))</f>
        <v>560449</v>
      </c>
      <c r="T431" s="66">
        <f>IFERROR(__xludf.DUMMYFUNCTION("IF(COUNTA(Q431:Q1673)=0,"""",IF(REGEXMATCH(INDEX(FILTER(Q$4:Q431,Q$4:Q431&lt;&gt;""""),ROWS(FILTER(Q$4:Q431,Q$4:Q431&lt;&gt;""""))),""^Sell_""),INDEX(FILTER(T$4:T430,Q$4:Q430&lt;&gt;""""),ROWS(FILTER(Q$4:Q430,Q$4:Q430&lt;&gt;""""))),$AD$5+S431))"),560464.0)</f>
        <v>560464</v>
      </c>
      <c r="U431" s="10">
        <f>IFERROR(__xludf.DUMMYFUNCTION("IF(COUNTA(Q431:Q1673)=0,"""",IF(Q431="""",0,IF(REGEXMATCH(Q431,""^Sell_""),-ROUNDDOWN(ROUNDUP(INDEX(Upgrades!$C$3:$C$13,MATCH(SUBSTITUTE(Q431,""Sell_"",""""),Upgrades!$B$3:$B$13,0))*1.15^(COUNTIF(Q$4:Q430,SUBSTITUTE(Q431,""Sell_"",""""))-COUNTIF(Q$4:Q430,"&amp;"""Sell_""&amp;SUBSTITUTE(Q431,""Sell_"",""""))))/2),ROUNDUP(INDEX(Upgrades!$C$3:$C$13,MATCH(Q431,Upgrades!$B$3:$B$13,0))*1.15^(COUNTIF(Q$4:Q430,Q431)-COUNTIF(Q$4:Q430,""Sell_""&amp;Q431))))))"),378568.0)</f>
        <v>378568</v>
      </c>
      <c r="V431" s="10">
        <f t="shared" si="11"/>
        <v>378568</v>
      </c>
      <c r="W431" s="68">
        <f t="shared" si="12"/>
        <v>7693.454514</v>
      </c>
      <c r="X431" s="59" t="str">
        <f t="shared" si="13"/>
        <v>2h 08m 13s</v>
      </c>
      <c r="Y431" s="69">
        <f t="shared" si="14"/>
        <v>999829328</v>
      </c>
      <c r="Z431" s="11"/>
    </row>
    <row r="432">
      <c r="A432" s="8"/>
      <c r="B432" s="56" t="str">
        <f t="shared" si="2"/>
        <v/>
      </c>
      <c r="C432" s="105"/>
      <c r="D432" s="10"/>
      <c r="E432" s="59" t="str">
        <f t="array" ref="E432">IF(COUNTA(C432:C1673)=0,"",SUM((COUNTIF(C$4:C432,Upgrades!$B$3:$B$13)-COUNTIF(C$4:C432,"Sell_"&amp;Upgrades!$B$3:$B$13))*Upgrades!$D$3:$D$13))</f>
        <v/>
      </c>
      <c r="F432" s="66" t="str">
        <f>IFERROR(__xludf.DUMMYFUNCTION("IF(COUNTA(C432:C1673)=0,"""",IF(REGEXMATCH(INDEX(FILTER(C$4:C432,C$4:C432&lt;&gt;""""),ROWS(FILTER(C$4:C432,C$4:C432&lt;&gt;""""))),""^Sell_""),INDEX(FILTER(F$4:F431,C$4:C431&lt;&gt;""""),ROWS(FILTER(C$4:C431,C$4:C431&lt;&gt;""""))),$AC$5+E432))"),"")</f>
        <v/>
      </c>
      <c r="G432" s="10" t="str">
        <f>IFERROR(__xludf.DUMMYFUNCTION("IF(COUNTA(C432:C1673)=0,"""",IF(C432="""",0,IF(REGEXMATCH(C432,""^Sell_""),-ROUNDDOWN(ROUNDUP(INDEX(Upgrades!$C$3:$C$13,MATCH(SUBSTITUTE(C432,""Sell_"",""""),Upgrades!$B$3:$B$13,0))*1.15^(COUNTIF(C$4:C431,SUBSTITUTE(C432,""Sell_"",""""))-COUNTIF(C$4:C431,"&amp;"""Sell_""&amp;SUBSTITUTE(C432,""Sell_"",""""))))/2),ROUNDUP(INDEX(Upgrades!$C$3:$C$13,MATCH(C432,Upgrades!$B$3:$B$13,0))*1.15^(COUNTIF(C$4:C431,C432)-COUNTIF(C$4:C431,""Sell_""&amp;C432))))))"),"")</f>
        <v/>
      </c>
      <c r="H432" s="10" t="str">
        <f t="shared" si="3"/>
        <v/>
      </c>
      <c r="I432" s="68" t="str">
        <f t="shared" si="4"/>
        <v/>
      </c>
      <c r="J432" s="59" t="str">
        <f t="shared" si="5"/>
        <v/>
      </c>
      <c r="K432" s="69" t="str">
        <f t="shared" si="6"/>
        <v/>
      </c>
      <c r="L432" s="60">
        <f t="shared" si="7"/>
        <v>-144.37272</v>
      </c>
      <c r="M432" s="61">
        <f>IFERROR(__xludf.DUMMYFUNCTION("IFS(AND(COUNTA(C432:C1673)=0,COUNTA(Q432:Q1673)=0),"""",OR(AND(K432&gt;=1000000000,OR(Y432&gt;=1000000000,COUNTA(Q432:Q1673)=0)),OR(Y432&gt;=1000000000,AND(COUNTA(C432:C1673)=0,P$3=TRUE))),
ROUNDDOWN((AB$1-AC$1)*MAX(INDEX(T$4:T1673,MATCH(LARGE(FILTER(Y$4:Y1673,Y$4"&amp;":Y1673&lt;1000000000),1),Y$4:Y1673)),INDEX(F$4:F1673,MATCH(LARGE(FILTER(K$4:K1673,K$4:K1673&lt;1000000000),1),K$4:K1673)))),AND(K432&lt;1000000000,COUNTA(C432:C1673)&gt;0,P$3=FALSE),
ROUNDDOWN(INDEX(Y$4:Y1673,MATCH(LARGE(FILTER(W$4:W1673,W$4:W1673&lt;=I432),1),W$4:W1673"&amp;"))+(I432-LARGE(FILTER(W$4:W1673,W$4:W1673&lt;=I432),1))*INDEX(T$4:T1673,MATCH(LARGE(FILTER(W$4:W1673,W$4:W1673&lt;=I432),1),W$4:W1673))-K432),1,
ROUNDDOWN(Y432-INDEX(K$4:K1673,MATCH(LARGE(FILTER(I$4:I1673,I$4:I1673&lt;=W432),1),I$4:I1673))-(W432-LARGE(FILTER(I$4:I"&amp;"1673,I$4:I1673&lt;=W432),1))*INDEX(F$4:F1673,MATCH(LARGE(FILTER(I$4:I1673,I$4:I1673&lt;=W432),1),I$4:I1673))))"),8.1542723E7)</f>
        <v>81542723</v>
      </c>
      <c r="N432" s="60">
        <f t="shared" si="8"/>
        <v>-144.37272</v>
      </c>
      <c r="O432" s="61" t="str">
        <f t="shared" si="9"/>
        <v>81,5M</v>
      </c>
      <c r="P432" s="56">
        <f t="shared" si="10"/>
        <v>32</v>
      </c>
      <c r="Q432" s="105" t="s">
        <v>5</v>
      </c>
      <c r="R432" s="10"/>
      <c r="S432" s="59">
        <f t="array" ref="S432">IF(COUNTA(Q432:Q1673)=0,"",SUM((COUNTIF(Q$4:Q432,Upgrades!$B$3:$B$13)-COUNTIF(Q$4:Q432,"Sell_"&amp;Upgrades!$B$3:$B$13))*Upgrades!$D$3:$D$13))</f>
        <v>560453</v>
      </c>
      <c r="T432" s="66">
        <f>IFERROR(__xludf.DUMMYFUNCTION("IF(COUNTA(Q432:Q1673)=0,"""",IF(REGEXMATCH(INDEX(FILTER(Q$4:Q432,Q$4:Q432&lt;&gt;""""),ROWS(FILTER(Q$4:Q432,Q$4:Q432&lt;&gt;""""))),""^Sell_""),INDEX(FILTER(T$4:T431,Q$4:Q431&lt;&gt;""""),ROWS(FILTER(Q$4:Q431,Q$4:Q431&lt;&gt;""""))),$AD$5+S432))"),560468.0)</f>
        <v>560468</v>
      </c>
      <c r="U432" s="10">
        <f>IFERROR(__xludf.DUMMYFUNCTION("IF(COUNTA(Q432:Q1673)=0,"""",IF(Q432="""",0,IF(REGEXMATCH(Q432,""^Sell_""),-ROUNDDOWN(ROUNDUP(INDEX(Upgrades!$C$3:$C$13,MATCH(SUBSTITUTE(Q432,""Sell_"",""""),Upgrades!$B$3:$B$13,0))*1.15^(COUNTIF(Q$4:Q431,SUBSTITUTE(Q432,""Sell_"",""""))-COUNTIF(Q$4:Q431,"&amp;"""Sell_""&amp;SUBSTITUTE(Q432,""Sell_"",""""))))/2),ROUNDUP(INDEX(Upgrades!$C$3:$C$13,MATCH(Q432,Upgrades!$B$3:$B$13,0))*1.15^(COUNTIF(Q$4:Q431,Q432)-COUNTIF(Q$4:Q431,""Sell_""&amp;Q432))))))"),38072.0)</f>
        <v>38072</v>
      </c>
      <c r="V432" s="10">
        <f t="shared" si="11"/>
        <v>38072</v>
      </c>
      <c r="W432" s="68">
        <f t="shared" si="12"/>
        <v>7693.522444</v>
      </c>
      <c r="X432" s="59" t="str">
        <f t="shared" si="13"/>
        <v>2h 08m 13s</v>
      </c>
      <c r="Y432" s="69">
        <f t="shared" si="14"/>
        <v>999867400</v>
      </c>
      <c r="Z432" s="11"/>
    </row>
    <row r="433">
      <c r="A433" s="8"/>
      <c r="B433" s="56" t="str">
        <f t="shared" si="2"/>
        <v/>
      </c>
      <c r="C433" s="105"/>
      <c r="D433" s="10"/>
      <c r="E433" s="59" t="str">
        <f t="array" ref="E433">IF(COUNTA(C433:C1673)=0,"",SUM((COUNTIF(C$4:C433,Upgrades!$B$3:$B$13)-COUNTIF(C$4:C433,"Sell_"&amp;Upgrades!$B$3:$B$13))*Upgrades!$D$3:$D$13))</f>
        <v/>
      </c>
      <c r="F433" s="66" t="str">
        <f>IFERROR(__xludf.DUMMYFUNCTION("IF(COUNTA(C433:C1673)=0,"""",IF(REGEXMATCH(INDEX(FILTER(C$4:C433,C$4:C433&lt;&gt;""""),ROWS(FILTER(C$4:C433,C$4:C433&lt;&gt;""""))),""^Sell_""),INDEX(FILTER(F$4:F432,C$4:C432&lt;&gt;""""),ROWS(FILTER(C$4:C432,C$4:C432&lt;&gt;""""))),$AC$5+E433))"),"")</f>
        <v/>
      </c>
      <c r="G433" s="10" t="str">
        <f>IFERROR(__xludf.DUMMYFUNCTION("IF(COUNTA(C433:C1673)=0,"""",IF(C433="""",0,IF(REGEXMATCH(C433,""^Sell_""),-ROUNDDOWN(ROUNDUP(INDEX(Upgrades!$C$3:$C$13,MATCH(SUBSTITUTE(C433,""Sell_"",""""),Upgrades!$B$3:$B$13,0))*1.15^(COUNTIF(C$4:C432,SUBSTITUTE(C433,""Sell_"",""""))-COUNTIF(C$4:C432,"&amp;"""Sell_""&amp;SUBSTITUTE(C433,""Sell_"",""""))))/2),ROUNDUP(INDEX(Upgrades!$C$3:$C$13,MATCH(C433,Upgrades!$B$3:$B$13,0))*1.15^(COUNTIF(C$4:C432,C433)-COUNTIF(C$4:C432,""Sell_""&amp;C433))))))"),"")</f>
        <v/>
      </c>
      <c r="H433" s="10" t="str">
        <f t="shared" si="3"/>
        <v/>
      </c>
      <c r="I433" s="68" t="str">
        <f t="shared" si="4"/>
        <v/>
      </c>
      <c r="J433" s="59" t="str">
        <f t="shared" si="5"/>
        <v/>
      </c>
      <c r="K433" s="69" t="str">
        <f t="shared" si="6"/>
        <v/>
      </c>
      <c r="L433" s="60">
        <f t="shared" si="7"/>
        <v>-144.37006</v>
      </c>
      <c r="M433" s="61">
        <f>IFERROR(__xludf.DUMMYFUNCTION("IFS(AND(COUNTA(C433:C1673)=0,COUNTA(Q433:Q1673)=0),"""",OR(AND(K433&gt;=1000000000,OR(Y433&gt;=1000000000,COUNTA(Q433:Q1673)=0)),OR(Y433&gt;=1000000000,AND(COUNTA(C433:C1673)=0,P$3=TRUE))),
ROUNDDOWN((AB$1-AC$1)*MAX(INDEX(T$4:T1673,MATCH(LARGE(FILTER(Y$4:Y1673,Y$4"&amp;":Y1673&lt;1000000000),1),Y$4:Y1673)),INDEX(F$4:F1673,MATCH(LARGE(FILTER(K$4:K1673,K$4:K1673&lt;1000000000),1),K$4:K1673)))),AND(K433&lt;1000000000,COUNTA(C433:C1673)&gt;0,P$3=FALSE),
ROUNDDOWN(INDEX(Y$4:Y1673,MATCH(LARGE(FILTER(W$4:W1673,W$4:W1673&lt;=I433),1),W$4:W1673"&amp;"))+(I433-LARGE(FILTER(W$4:W1673,W$4:W1673&lt;=I433),1))*INDEX(T$4:T1673,MATCH(LARGE(FILTER(W$4:W1673,W$4:W1673&lt;=I433),1),W$4:W1673))-K433),1,
ROUNDDOWN(Y433-INDEX(K$4:K1673,MATCH(LARGE(FILTER(I$4:I1673,I$4:I1673&lt;=W433),1),I$4:I1673))-(W433-LARGE(FILTER(I$4:I"&amp;"1673,I$4:I1673&lt;=W433),1))*INDEX(F$4:F1673,MATCH(LARGE(FILTER(I$4:I1673,I$4:I1673&lt;=W433),1),I$4:I1673))))"),8.1543593E7)</f>
        <v>81543593</v>
      </c>
      <c r="N433" s="60">
        <f t="shared" si="8"/>
        <v>-144.37006</v>
      </c>
      <c r="O433" s="61" t="str">
        <f t="shared" si="9"/>
        <v>81,5M</v>
      </c>
      <c r="P433" s="56">
        <f t="shared" si="10"/>
        <v>26</v>
      </c>
      <c r="Q433" s="105" t="s">
        <v>6</v>
      </c>
      <c r="R433" s="10"/>
      <c r="S433" s="59">
        <f t="array" ref="S433">IF(COUNTA(Q433:Q1673)=0,"",SUM((COUNTIF(Q$4:Q433,Upgrades!$B$3:$B$13)-COUNTIF(Q$4:Q433,"Sell_"&amp;Upgrades!$B$3:$B$13))*Upgrades!$D$3:$D$13))</f>
        <v>560463</v>
      </c>
      <c r="T433" s="66">
        <f>IFERROR(__xludf.DUMMYFUNCTION("IF(COUNTA(Q433:Q1673)=0,"""",IF(REGEXMATCH(INDEX(FILTER(Q$4:Q433,Q$4:Q433&lt;&gt;""""),ROWS(FILTER(Q$4:Q433,Q$4:Q433&lt;&gt;""""))),""^Sell_""),INDEX(FILTER(T$4:T432,Q$4:Q432&lt;&gt;""""),ROWS(FILTER(Q$4:Q432,Q$4:Q432&lt;&gt;""""))),$AD$5+S433))"),560478.0)</f>
        <v>560478</v>
      </c>
      <c r="U433" s="10">
        <f>IFERROR(__xludf.DUMMYFUNCTION("IF(COUNTA(Q433:Q1673)=0,"""",IF(Q433="""",0,IF(REGEXMATCH(Q433,""^Sell_""),-ROUNDDOWN(ROUNDUP(INDEX(Upgrades!$C$3:$C$13,MATCH(SUBSTITUTE(Q433,""Sell_"",""""),Upgrades!$B$3:$B$13,0))*1.15^(COUNTIF(Q$4:Q432,SUBSTITUTE(Q433,""Sell_"",""""))-COUNTIF(Q$4:Q432,"&amp;"""Sell_""&amp;SUBSTITUTE(Q433,""Sell_"",""""))))/2),ROUNDUP(INDEX(Upgrades!$C$3:$C$13,MATCH(Q433,Upgrades!$B$3:$B$13,0))*1.15^(COUNTIF(Q$4:Q432,Q433)-COUNTIF(Q$4:Q432,""Sell_""&amp;Q433))))))"),98757.0)</f>
        <v>98757</v>
      </c>
      <c r="V433" s="10">
        <f t="shared" si="11"/>
        <v>98757</v>
      </c>
      <c r="W433" s="68">
        <f t="shared" si="12"/>
        <v>7693.698648</v>
      </c>
      <c r="X433" s="59" t="str">
        <f t="shared" si="13"/>
        <v>2h 08m 13s</v>
      </c>
      <c r="Y433" s="69">
        <f t="shared" si="14"/>
        <v>999966157</v>
      </c>
      <c r="Z433" s="11"/>
    </row>
    <row r="434">
      <c r="A434" s="8"/>
      <c r="B434" s="56" t="str">
        <f t="shared" si="2"/>
        <v/>
      </c>
      <c r="C434" s="105"/>
      <c r="D434" s="10"/>
      <c r="E434" s="59" t="str">
        <f t="array" ref="E434">IF(COUNTA(C434:C1673)=0,"",SUM((COUNTIF(C$4:C434,Upgrades!$B$3:$B$13)-COUNTIF(C$4:C434,"Sell_"&amp;Upgrades!$B$3:$B$13))*Upgrades!$D$3:$D$13))</f>
        <v/>
      </c>
      <c r="F434" s="66" t="str">
        <f>IFERROR(__xludf.DUMMYFUNCTION("IF(COUNTA(C434:C1673)=0,"""",IF(REGEXMATCH(INDEX(FILTER(C$4:C434,C$4:C434&lt;&gt;""""),ROWS(FILTER(C$4:C434,C$4:C434&lt;&gt;""""))),""^Sell_""),INDEX(FILTER(F$4:F433,C$4:C433&lt;&gt;""""),ROWS(FILTER(C$4:C433,C$4:C433&lt;&gt;""""))),$AC$5+E434))"),"")</f>
        <v/>
      </c>
      <c r="G434" s="10" t="str">
        <f>IFERROR(__xludf.DUMMYFUNCTION("IF(COUNTA(C434:C1673)=0,"""",IF(C434="""",0,IF(REGEXMATCH(C434,""^Sell_""),-ROUNDDOWN(ROUNDUP(INDEX(Upgrades!$C$3:$C$13,MATCH(SUBSTITUTE(C434,""Sell_"",""""),Upgrades!$B$3:$B$13,0))*1.15^(COUNTIF(C$4:C433,SUBSTITUTE(C434,""Sell_"",""""))-COUNTIF(C$4:C433,"&amp;"""Sell_""&amp;SUBSTITUTE(C434,""Sell_"",""""))))/2),ROUNDUP(INDEX(Upgrades!$C$3:$C$13,MATCH(C434,Upgrades!$B$3:$B$13,0))*1.15^(COUNTIF(C$4:C433,C434)-COUNTIF(C$4:C433,""Sell_""&amp;C434))))))"),"")</f>
        <v/>
      </c>
      <c r="H434" s="10" t="str">
        <f t="shared" si="3"/>
        <v/>
      </c>
      <c r="I434" s="68" t="str">
        <f t="shared" si="4"/>
        <v/>
      </c>
      <c r="J434" s="59" t="str">
        <f t="shared" si="5"/>
        <v/>
      </c>
      <c r="K434" s="69" t="str">
        <f t="shared" si="6"/>
        <v/>
      </c>
      <c r="L434" s="60">
        <f t="shared" si="7"/>
        <v>-144.37004</v>
      </c>
      <c r="M434" s="61">
        <f>IFERROR(__xludf.DUMMYFUNCTION("IFS(AND(COUNTA(C434:C1673)=0,COUNTA(Q434:Q1673)=0),"""",OR(AND(K434&gt;=1000000000,OR(Y434&gt;=1000000000,COUNTA(Q434:Q1673)=0)),OR(Y434&gt;=1000000000,AND(COUNTA(C434:C1673)=0,P$3=TRUE))),
ROUNDDOWN((AB$1-AC$1)*MAX(INDEX(T$4:T1673,MATCH(LARGE(FILTER(Y$4:Y1673,Y$4"&amp;":Y1673&lt;1000000000),1),Y$4:Y1673)),INDEX(F$4:F1673,MATCH(LARGE(FILTER(K$4:K1673,K$4:K1673&lt;1000000000),1),K$4:K1673)))),AND(K434&lt;1000000000,COUNTA(C434:C1673)&gt;0,P$3=FALSE),
ROUNDDOWN(INDEX(Y$4:Y1673,MATCH(LARGE(FILTER(W$4:W1673,W$4:W1673&lt;=I434),1),W$4:W1673"&amp;"))+(I434-LARGE(FILTER(W$4:W1673,W$4:W1673&lt;=I434),1))*INDEX(T$4:T1673,MATCH(LARGE(FILTER(W$4:W1673,W$4:W1673&lt;=I434),1),W$4:W1673))-K434),1,
ROUNDDOWN(Y434-INDEX(K$4:K1673,MATCH(LARGE(FILTER(I$4:I1673,I$4:I1673&lt;=W434),1),I$4:I1673))-(W434-LARGE(FILTER(I$4:I"&amp;"1673,I$4:I1673&lt;=W434),1))*INDEX(F$4:F1673,MATCH(LARGE(FILTER(I$4:I1673,I$4:I1673&lt;=W434),1),I$4:I1673))))"),8.1543602E7)</f>
        <v>81543602</v>
      </c>
      <c r="N434" s="60">
        <f t="shared" si="8"/>
        <v>-144.37004</v>
      </c>
      <c r="O434" s="61" t="str">
        <f t="shared" si="9"/>
        <v>81,5M</v>
      </c>
      <c r="P434" s="56">
        <f t="shared" si="10"/>
        <v>31</v>
      </c>
      <c r="Q434" s="105" t="s">
        <v>3</v>
      </c>
      <c r="R434" s="10"/>
      <c r="S434" s="59">
        <f t="array" ref="S434">IF(COUNTA(Q434:Q1673)=0,"",SUM((COUNTIF(Q$4:Q434,Upgrades!$B$3:$B$13)-COUNTIF(Q$4:Q434,"Sell_"&amp;Upgrades!$B$3:$B$13))*Upgrades!$D$3:$D$13))</f>
        <v>560463.1</v>
      </c>
      <c r="T434" s="66">
        <f>IFERROR(__xludf.DUMMYFUNCTION("IF(COUNTA(Q434:Q1673)=0,"""",IF(REGEXMATCH(INDEX(FILTER(Q$4:Q434,Q$4:Q434&lt;&gt;""""),ROWS(FILTER(Q$4:Q434,Q$4:Q434&lt;&gt;""""))),""^Sell_""),INDEX(FILTER(T$4:T433,Q$4:Q433&lt;&gt;""""),ROWS(FILTER(Q$4:Q433,Q$4:Q433&lt;&gt;""""))),$AD$5+S434))"),560478.1)</f>
        <v>560478.1</v>
      </c>
      <c r="U434" s="10">
        <f>IFERROR(__xludf.DUMMYFUNCTION("IF(COUNTA(Q434:Q1673)=0,"""",IF(Q434="""",0,IF(REGEXMATCH(Q434,""^Sell_""),-ROUNDDOWN(ROUNDUP(INDEX(Upgrades!$C$3:$C$13,MATCH(SUBSTITUTE(Q434,""Sell_"",""""),Upgrades!$B$3:$B$13,0))*1.15^(COUNTIF(Q$4:Q433,SUBSTITUTE(Q434,""Sell_"",""""))-COUNTIF(Q$4:Q433,"&amp;"""Sell_""&amp;SUBSTITUTE(Q434,""Sell_"",""""))))/2),ROUNDUP(INDEX(Upgrades!$C$3:$C$13,MATCH(Q434,Upgrades!$B$3:$B$13,0))*1.15^(COUNTIF(Q$4:Q433,Q434)-COUNTIF(Q$4:Q433,""Sell_""&amp;Q434))))))"),994.0)</f>
        <v>994</v>
      </c>
      <c r="V434" s="10">
        <f t="shared" si="11"/>
        <v>994</v>
      </c>
      <c r="W434" s="68">
        <f t="shared" si="12"/>
        <v>7693.700422</v>
      </c>
      <c r="X434" s="59" t="str">
        <f t="shared" si="13"/>
        <v>2h 08m 13s</v>
      </c>
      <c r="Y434" s="69">
        <f t="shared" si="14"/>
        <v>999967151</v>
      </c>
      <c r="Z434" s="11"/>
    </row>
    <row r="435">
      <c r="A435" s="8"/>
      <c r="B435" s="56" t="str">
        <f t="shared" si="2"/>
        <v/>
      </c>
      <c r="C435" s="105"/>
      <c r="D435" s="10"/>
      <c r="E435" s="59" t="str">
        <f t="array" ref="E435">IF(COUNTA(C435:C1673)=0,"",SUM((COUNTIF(C$4:C435,Upgrades!$B$3:$B$13)-COUNTIF(C$4:C435,"Sell_"&amp;Upgrades!$B$3:$B$13))*Upgrades!$D$3:$D$13))</f>
        <v/>
      </c>
      <c r="F435" s="66" t="str">
        <f>IFERROR(__xludf.DUMMYFUNCTION("IF(COUNTA(C435:C1673)=0,"""",IF(REGEXMATCH(INDEX(FILTER(C$4:C435,C$4:C435&lt;&gt;""""),ROWS(FILTER(C$4:C435,C$4:C435&lt;&gt;""""))),""^Sell_""),INDEX(FILTER(F$4:F434,C$4:C434&lt;&gt;""""),ROWS(FILTER(C$4:C434,C$4:C434&lt;&gt;""""))),$AC$5+E435))"),"")</f>
        <v/>
      </c>
      <c r="G435" s="10" t="str">
        <f>IFERROR(__xludf.DUMMYFUNCTION("IF(COUNTA(C435:C1673)=0,"""",IF(C435="""",0,IF(REGEXMATCH(C435,""^Sell_""),-ROUNDDOWN(ROUNDUP(INDEX(Upgrades!$C$3:$C$13,MATCH(SUBSTITUTE(C435,""Sell_"",""""),Upgrades!$B$3:$B$13,0))*1.15^(COUNTIF(C$4:C434,SUBSTITUTE(C435,""Sell_"",""""))-COUNTIF(C$4:C434,"&amp;"""Sell_""&amp;SUBSTITUTE(C435,""Sell_"",""""))))/2),ROUNDUP(INDEX(Upgrades!$C$3:$C$13,MATCH(C435,Upgrades!$B$3:$B$13,0))*1.15^(COUNTIF(C$4:C434,C435)-COUNTIF(C$4:C434,""Sell_""&amp;C435))))))"),"")</f>
        <v/>
      </c>
      <c r="H435" s="10" t="str">
        <f t="shared" si="3"/>
        <v/>
      </c>
      <c r="I435" s="68" t="str">
        <f t="shared" si="4"/>
        <v/>
      </c>
      <c r="J435" s="59" t="str">
        <f t="shared" si="5"/>
        <v/>
      </c>
      <c r="K435" s="69" t="str">
        <f t="shared" si="6"/>
        <v/>
      </c>
      <c r="L435" s="60">
        <f t="shared" si="7"/>
        <v>-144.3699</v>
      </c>
      <c r="M435" s="61">
        <f>IFERROR(__xludf.DUMMYFUNCTION("IFS(AND(COUNTA(C435:C1673)=0,COUNTA(Q435:Q1673)=0),"""",OR(AND(K435&gt;=1000000000,OR(Y435&gt;=1000000000,COUNTA(Q435:Q1673)=0)),OR(Y435&gt;=1000000000,AND(COUNTA(C435:C1673)=0,P$3=TRUE))),
ROUNDDOWN((AB$1-AC$1)*MAX(INDEX(T$4:T1673,MATCH(LARGE(FILTER(Y$4:Y1673,Y$4"&amp;":Y1673&lt;1000000000),1),Y$4:Y1673)),INDEX(F$4:F1673,MATCH(LARGE(FILTER(K$4:K1673,K$4:K1673&lt;1000000000),1),K$4:K1673)))),AND(K435&lt;1000000000,COUNTA(C435:C1673)&gt;0,P$3=FALSE),
ROUNDDOWN(INDEX(Y$4:Y1673,MATCH(LARGE(FILTER(W$4:W1673,W$4:W1673&lt;=I435),1),W$4:W1673"&amp;"))+(I435-LARGE(FILTER(W$4:W1673,W$4:W1673&lt;=I435),1))*INDEX(T$4:T1673,MATCH(LARGE(FILTER(W$4:W1673,W$4:W1673&lt;=I435),1),W$4:W1673))-K435),1,
ROUNDDOWN(Y435-INDEX(K$4:K1673,MATCH(LARGE(FILTER(I$4:I1673,I$4:I1673&lt;=W435),1),I$4:I1673))-(W435-LARGE(FILTER(I$4:I"&amp;"1673,I$4:I1673&lt;=W435),1))*INDEX(F$4:F1673,MATCH(LARGE(FILTER(I$4:I1673,I$4:I1673&lt;=W435),1),I$4:I1673))))"),8.1543646E7)</f>
        <v>81543646</v>
      </c>
      <c r="N435" s="60">
        <f t="shared" si="8"/>
        <v>-144.3699</v>
      </c>
      <c r="O435" s="61" t="str">
        <f t="shared" si="9"/>
        <v>81,5M</v>
      </c>
      <c r="P435" s="56">
        <f t="shared" si="10"/>
        <v>29</v>
      </c>
      <c r="Q435" s="105" t="s">
        <v>4</v>
      </c>
      <c r="R435" s="10"/>
      <c r="S435" s="59">
        <f t="array" ref="S435">IF(COUNTA(Q435:Q1673)=0,"",SUM((COUNTIF(Q$4:Q435,Upgrades!$B$3:$B$13)-COUNTIF(Q$4:Q435,"Sell_"&amp;Upgrades!$B$3:$B$13))*Upgrades!$D$3:$D$13))</f>
        <v>560463.6</v>
      </c>
      <c r="T435" s="66">
        <f>IFERROR(__xludf.DUMMYFUNCTION("IF(COUNTA(Q435:Q1673)=0,"""",IF(REGEXMATCH(INDEX(FILTER(Q$4:Q435,Q$4:Q435&lt;&gt;""""),ROWS(FILTER(Q$4:Q435,Q$4:Q435&lt;&gt;""""))),""^Sell_""),INDEX(FILTER(T$4:T434,Q$4:Q434&lt;&gt;""""),ROWS(FILTER(Q$4:Q434,Q$4:Q434&lt;&gt;""""))),$AD$5+S435))"),560478.6)</f>
        <v>560478.6</v>
      </c>
      <c r="U435" s="10">
        <f>IFERROR(__xludf.DUMMYFUNCTION("IF(COUNTA(Q435:Q1673)=0,"""",IF(Q435="""",0,IF(REGEXMATCH(Q435,""^Sell_""),-ROUNDDOWN(ROUNDUP(INDEX(Upgrades!$C$3:$C$13,MATCH(SUBSTITUTE(Q435,""Sell_"",""""),Upgrades!$B$3:$B$13,0))*1.15^(COUNTIF(Q$4:Q434,SUBSTITUTE(Q435,""Sell_"",""""))-COUNTIF(Q$4:Q434,"&amp;"""Sell_""&amp;SUBSTITUTE(Q435,""Sell_"",""""))))/2),ROUNDUP(INDEX(Upgrades!$C$3:$C$13,MATCH(Q435,Upgrades!$B$3:$B$13,0))*1.15^(COUNTIF(Q$4:Q434,Q435)-COUNTIF(Q$4:Q434,""Sell_""&amp;Q435))))))"),5007.0)</f>
        <v>5007</v>
      </c>
      <c r="V435" s="10">
        <f t="shared" si="11"/>
        <v>5007</v>
      </c>
      <c r="W435" s="68">
        <f t="shared" si="12"/>
        <v>7693.709355</v>
      </c>
      <c r="X435" s="59" t="str">
        <f t="shared" si="13"/>
        <v>2h 08m 13s</v>
      </c>
      <c r="Y435" s="69">
        <f t="shared" si="14"/>
        <v>999972158</v>
      </c>
      <c r="Z435" s="11"/>
    </row>
    <row r="436">
      <c r="A436" s="8"/>
      <c r="B436" s="56" t="str">
        <f t="shared" si="2"/>
        <v/>
      </c>
      <c r="C436" s="105"/>
      <c r="D436" s="10"/>
      <c r="E436" s="59" t="str">
        <f t="array" ref="E436">IF(COUNTA(C436:C1673)=0,"",SUM((COUNTIF(C$4:C436,Upgrades!$B$3:$B$13)-COUNTIF(C$4:C436,"Sell_"&amp;Upgrades!$B$3:$B$13))*Upgrades!$D$3:$D$13))</f>
        <v/>
      </c>
      <c r="F436" s="66" t="str">
        <f>IFERROR(__xludf.DUMMYFUNCTION("IF(COUNTA(C436:C1673)=0,"""",IF(REGEXMATCH(INDEX(FILTER(C$4:C436,C$4:C436&lt;&gt;""""),ROWS(FILTER(C$4:C436,C$4:C436&lt;&gt;""""))),""^Sell_""),INDEX(FILTER(F$4:F435,C$4:C435&lt;&gt;""""),ROWS(FILTER(C$4:C435,C$4:C435&lt;&gt;""""))),$AC$5+E436))"),"")</f>
        <v/>
      </c>
      <c r="G436" s="10" t="str">
        <f>IFERROR(__xludf.DUMMYFUNCTION("IF(COUNTA(C436:C1673)=0,"""",IF(C436="""",0,IF(REGEXMATCH(C436,""^Sell_""),-ROUNDDOWN(ROUNDUP(INDEX(Upgrades!$C$3:$C$13,MATCH(SUBSTITUTE(C436,""Sell_"",""""),Upgrades!$B$3:$B$13,0))*1.15^(COUNTIF(C$4:C435,SUBSTITUTE(C436,""Sell_"",""""))-COUNTIF(C$4:C435,"&amp;"""Sell_""&amp;SUBSTITUTE(C436,""Sell_"",""""))))/2),ROUNDUP(INDEX(Upgrades!$C$3:$C$13,MATCH(C436,Upgrades!$B$3:$B$13,0))*1.15^(COUNTIF(C$4:C435,C436)-COUNTIF(C$4:C435,""Sell_""&amp;C436))))))"),"")</f>
        <v/>
      </c>
      <c r="H436" s="10" t="str">
        <f t="shared" si="3"/>
        <v/>
      </c>
      <c r="I436" s="68" t="str">
        <f t="shared" si="4"/>
        <v/>
      </c>
      <c r="J436" s="59" t="str">
        <f t="shared" si="5"/>
        <v/>
      </c>
      <c r="K436" s="69" t="str">
        <f t="shared" si="6"/>
        <v/>
      </c>
      <c r="L436" s="60">
        <f t="shared" si="7"/>
        <v>-144.36987</v>
      </c>
      <c r="M436" s="61">
        <f>IFERROR(__xludf.DUMMYFUNCTION("IFS(AND(COUNTA(C436:C1673)=0,COUNTA(Q436:Q1673)=0),"""",OR(AND(K436&gt;=1000000000,OR(Y436&gt;=1000000000,COUNTA(Q436:Q1673)=0)),OR(Y436&gt;=1000000000,AND(COUNTA(C436:C1673)=0,P$3=TRUE))),
ROUNDDOWN((AB$1-AC$1)*MAX(INDEX(T$4:T1673,MATCH(LARGE(FILTER(Y$4:Y1673,Y$4"&amp;":Y1673&lt;1000000000),1),Y$4:Y1673)),INDEX(F$4:F1673,MATCH(LARGE(FILTER(K$4:K1673,K$4:K1673&lt;1000000000),1),K$4:K1673)))),AND(K436&lt;1000000000,COUNTA(C436:C1673)&gt;0,P$3=FALSE),
ROUNDDOWN(INDEX(Y$4:Y1673,MATCH(LARGE(FILTER(W$4:W1673,W$4:W1673&lt;=I436),1),W$4:W1673"&amp;"))+(I436-LARGE(FILTER(W$4:W1673,W$4:W1673&lt;=I436),1))*INDEX(T$4:T1673,MATCH(LARGE(FILTER(W$4:W1673,W$4:W1673&lt;=I436),1),W$4:W1673))-K436),1,
ROUNDDOWN(Y436-INDEX(K$4:K1673,MATCH(LARGE(FILTER(I$4:I1673,I$4:I1673&lt;=W436),1),I$4:I1673))-(W436-LARGE(FILTER(I$4:I"&amp;"1673,I$4:I1673&lt;=W436),1))*INDEX(F$4:F1673,MATCH(LARGE(FILTER(I$4:I1673,I$4:I1673&lt;=W436),1),I$4:I1673))))"),8.1543656E7)</f>
        <v>81543656</v>
      </c>
      <c r="N436" s="60">
        <f t="shared" si="8"/>
        <v>-144.36987</v>
      </c>
      <c r="O436" s="61" t="str">
        <f t="shared" si="9"/>
        <v>81,5M</v>
      </c>
      <c r="P436" s="56">
        <f t="shared" si="10"/>
        <v>32</v>
      </c>
      <c r="Q436" s="105" t="s">
        <v>3</v>
      </c>
      <c r="R436" s="10"/>
      <c r="S436" s="59">
        <f t="array" ref="S436">IF(COUNTA(Q436:Q1673)=0,"",SUM((COUNTIF(Q$4:Q436,Upgrades!$B$3:$B$13)-COUNTIF(Q$4:Q436,"Sell_"&amp;Upgrades!$B$3:$B$13))*Upgrades!$D$3:$D$13))</f>
        <v>560463.7</v>
      </c>
      <c r="T436" s="66">
        <f>IFERROR(__xludf.DUMMYFUNCTION("IF(COUNTA(Q436:Q1673)=0,"""",IF(REGEXMATCH(INDEX(FILTER(Q$4:Q436,Q$4:Q436&lt;&gt;""""),ROWS(FILTER(Q$4:Q436,Q$4:Q436&lt;&gt;""""))),""^Sell_""),INDEX(FILTER(T$4:T435,Q$4:Q435&lt;&gt;""""),ROWS(FILTER(Q$4:Q435,Q$4:Q435&lt;&gt;""""))),$AD$5+S436))"),560478.7)</f>
        <v>560478.7</v>
      </c>
      <c r="U436" s="10">
        <f>IFERROR(__xludf.DUMMYFUNCTION("IF(COUNTA(Q436:Q1673)=0,"""",IF(Q436="""",0,IF(REGEXMATCH(Q436,""^Sell_""),-ROUNDDOWN(ROUNDUP(INDEX(Upgrades!$C$3:$C$13,MATCH(SUBSTITUTE(Q436,""Sell_"",""""),Upgrades!$B$3:$B$13,0))*1.15^(COUNTIF(Q$4:Q435,SUBSTITUTE(Q436,""Sell_"",""""))-COUNTIF(Q$4:Q435,"&amp;"""Sell_""&amp;SUBSTITUTE(Q436,""Sell_"",""""))))/2),ROUNDUP(INDEX(Upgrades!$C$3:$C$13,MATCH(Q436,Upgrades!$B$3:$B$13,0))*1.15^(COUNTIF(Q$4:Q435,Q436)-COUNTIF(Q$4:Q435,""Sell_""&amp;Q436))))))"),1143.0)</f>
        <v>1143</v>
      </c>
      <c r="V436" s="10">
        <f t="shared" si="11"/>
        <v>1143</v>
      </c>
      <c r="W436" s="68">
        <f t="shared" si="12"/>
        <v>7693.711394</v>
      </c>
      <c r="X436" s="59" t="str">
        <f t="shared" si="13"/>
        <v>2h 08m 13s</v>
      </c>
      <c r="Y436" s="69">
        <f t="shared" si="14"/>
        <v>999973301</v>
      </c>
      <c r="Z436" s="11"/>
    </row>
    <row r="437">
      <c r="A437" s="8"/>
      <c r="B437" s="56" t="str">
        <f t="shared" si="2"/>
        <v/>
      </c>
      <c r="C437" s="105"/>
      <c r="D437" s="10"/>
      <c r="E437" s="59" t="str">
        <f t="array" ref="E437">IF(COUNTA(C437:C1673)=0,"",SUM((COUNTIF(C$4:C437,Upgrades!$B$3:$B$13)-COUNTIF(C$4:C437,"Sell_"&amp;Upgrades!$B$3:$B$13))*Upgrades!$D$3:$D$13))</f>
        <v/>
      </c>
      <c r="F437" s="66" t="str">
        <f>IFERROR(__xludf.DUMMYFUNCTION("IF(COUNTA(C437:C1673)=0,"""",IF(REGEXMATCH(INDEX(FILTER(C$4:C437,C$4:C437&lt;&gt;""""),ROWS(FILTER(C$4:C437,C$4:C437&lt;&gt;""""))),""^Sell_""),INDEX(FILTER(F$4:F436,C$4:C436&lt;&gt;""""),ROWS(FILTER(C$4:C436,C$4:C436&lt;&gt;""""))),$AC$5+E437))"),"")</f>
        <v/>
      </c>
      <c r="G437" s="10" t="str">
        <f>IFERROR(__xludf.DUMMYFUNCTION("IF(COUNTA(C437:C1673)=0,"""",IF(C437="""",0,IF(REGEXMATCH(C437,""^Sell_""),-ROUNDDOWN(ROUNDUP(INDEX(Upgrades!$C$3:$C$13,MATCH(SUBSTITUTE(C437,""Sell_"",""""),Upgrades!$B$3:$B$13,0))*1.15^(COUNTIF(C$4:C436,SUBSTITUTE(C437,""Sell_"",""""))-COUNTIF(C$4:C436,"&amp;"""Sell_""&amp;SUBSTITUTE(C437,""Sell_"",""""))))/2),ROUNDUP(INDEX(Upgrades!$C$3:$C$13,MATCH(C437,Upgrades!$B$3:$B$13,0))*1.15^(COUNTIF(C$4:C436,C437)-COUNTIF(C$4:C436,""Sell_""&amp;C437))))))"),"")</f>
        <v/>
      </c>
      <c r="H437" s="10" t="str">
        <f t="shared" si="3"/>
        <v/>
      </c>
      <c r="I437" s="68" t="str">
        <f t="shared" si="4"/>
        <v/>
      </c>
      <c r="J437" s="59" t="str">
        <f t="shared" si="5"/>
        <v/>
      </c>
      <c r="K437" s="69" t="str">
        <f t="shared" si="6"/>
        <v/>
      </c>
      <c r="L437" s="60">
        <f t="shared" si="7"/>
        <v>-144.36972</v>
      </c>
      <c r="M437" s="61">
        <f>IFERROR(__xludf.DUMMYFUNCTION("IFS(AND(COUNTA(C437:C1673)=0,COUNTA(Q437:Q1673)=0),"""",OR(AND(K437&gt;=1000000000,OR(Y437&gt;=1000000000,COUNTA(Q437:Q1673)=0)),OR(Y437&gt;=1000000000,AND(COUNTA(C437:C1673)=0,P$3=TRUE))),
ROUNDDOWN((AB$1-AC$1)*MAX(INDEX(T$4:T1673,MATCH(LARGE(FILTER(Y$4:Y1673,Y$4"&amp;":Y1673&lt;1000000000),1),Y$4:Y1673)),INDEX(F$4:F1673,MATCH(LARGE(FILTER(K$4:K1673,K$4:K1673&lt;1000000000),1),K$4:K1673)))),AND(K437&lt;1000000000,COUNTA(C437:C1673)&gt;0,P$3=FALSE),
ROUNDDOWN(INDEX(Y$4:Y1673,MATCH(LARGE(FILTER(W$4:W1673,W$4:W1673&lt;=I437),1),W$4:W1673"&amp;"))+(I437-LARGE(FILTER(W$4:W1673,W$4:W1673&lt;=I437),1))*INDEX(T$4:T1673,MATCH(LARGE(FILTER(W$4:W1673,W$4:W1673&lt;=I437),1),W$4:W1673))-K437),1,
ROUNDDOWN(Y437-INDEX(K$4:K1673,MATCH(LARGE(FILTER(I$4:I1673,I$4:I1673&lt;=W437),1),I$4:I1673))-(W437-LARGE(FILTER(I$4:I"&amp;"1673,I$4:I1673&lt;=W437),1))*INDEX(F$4:F1673,MATCH(LARGE(FILTER(I$4:I1673,I$4:I1673&lt;=W437),1),I$4:I1673))))"),8.1543707E7)</f>
        <v>81543707</v>
      </c>
      <c r="N437" s="60">
        <f t="shared" si="8"/>
        <v>-144.36972</v>
      </c>
      <c r="O437" s="61" t="str">
        <f t="shared" si="9"/>
        <v>81,5M</v>
      </c>
      <c r="P437" s="56">
        <f t="shared" si="10"/>
        <v>30</v>
      </c>
      <c r="Q437" s="105" t="s">
        <v>4</v>
      </c>
      <c r="R437" s="10"/>
      <c r="S437" s="59">
        <f t="array" ref="S437">IF(COUNTA(Q437:Q1673)=0,"",SUM((COUNTIF(Q$4:Q437,Upgrades!$B$3:$B$13)-COUNTIF(Q$4:Q437,"Sell_"&amp;Upgrades!$B$3:$B$13))*Upgrades!$D$3:$D$13))</f>
        <v>560464.2</v>
      </c>
      <c r="T437" s="66">
        <f>IFERROR(__xludf.DUMMYFUNCTION("IF(COUNTA(Q437:Q1673)=0,"""",IF(REGEXMATCH(INDEX(FILTER(Q$4:Q437,Q$4:Q437&lt;&gt;""""),ROWS(FILTER(Q$4:Q437,Q$4:Q437&lt;&gt;""""))),""^Sell_""),INDEX(FILTER(T$4:T436,Q$4:Q436&lt;&gt;""""),ROWS(FILTER(Q$4:Q436,Q$4:Q436&lt;&gt;""""))),$AD$5+S437))"),560479.2)</f>
        <v>560479.2</v>
      </c>
      <c r="U437" s="10">
        <f>IFERROR(__xludf.DUMMYFUNCTION("IF(COUNTA(Q437:Q1673)=0,"""",IF(Q437="""",0,IF(REGEXMATCH(Q437,""^Sell_""),-ROUNDDOWN(ROUNDUP(INDEX(Upgrades!$C$3:$C$13,MATCH(SUBSTITUTE(Q437,""Sell_"",""""),Upgrades!$B$3:$B$13,0))*1.15^(COUNTIF(Q$4:Q436,SUBSTITUTE(Q437,""Sell_"",""""))-COUNTIF(Q$4:Q436,"&amp;"""Sell_""&amp;SUBSTITUTE(Q437,""Sell_"",""""))))/2),ROUNDUP(INDEX(Upgrades!$C$3:$C$13,MATCH(Q437,Upgrades!$B$3:$B$13,0))*1.15^(COUNTIF(Q$4:Q436,Q437)-COUNTIF(Q$4:Q436,""Sell_""&amp;Q437))))))"),5758.0)</f>
        <v>5758</v>
      </c>
      <c r="V437" s="10">
        <f t="shared" si="11"/>
        <v>5758</v>
      </c>
      <c r="W437" s="68">
        <f t="shared" si="12"/>
        <v>7693.721668</v>
      </c>
      <c r="X437" s="59" t="str">
        <f t="shared" si="13"/>
        <v>2h 08m 13s</v>
      </c>
      <c r="Y437" s="69">
        <f t="shared" si="14"/>
        <v>999979059</v>
      </c>
      <c r="Z437" s="11"/>
    </row>
    <row r="438">
      <c r="A438" s="8"/>
      <c r="B438" s="56" t="str">
        <f t="shared" si="2"/>
        <v/>
      </c>
      <c r="C438" s="105"/>
      <c r="D438" s="10"/>
      <c r="E438" s="59" t="str">
        <f t="array" ref="E438">IF(COUNTA(C438:C1673)=0,"",SUM((COUNTIF(C$4:C438,Upgrades!$B$3:$B$13)-COUNTIF(C$4:C438,"Sell_"&amp;Upgrades!$B$3:$B$13))*Upgrades!$D$3:$D$13))</f>
        <v/>
      </c>
      <c r="F438" s="66" t="str">
        <f>IFERROR(__xludf.DUMMYFUNCTION("IF(COUNTA(C438:C1673)=0,"""",IF(REGEXMATCH(INDEX(FILTER(C$4:C438,C$4:C438&lt;&gt;""""),ROWS(FILTER(C$4:C438,C$4:C438&lt;&gt;""""))),""^Sell_""),INDEX(FILTER(F$4:F437,C$4:C437&lt;&gt;""""),ROWS(FILTER(C$4:C437,C$4:C437&lt;&gt;""""))),$AC$5+E438))"),"")</f>
        <v/>
      </c>
      <c r="G438" s="10" t="str">
        <f>IFERROR(__xludf.DUMMYFUNCTION("IF(COUNTA(C438:C1673)=0,"""",IF(C438="""",0,IF(REGEXMATCH(C438,""^Sell_""),-ROUNDDOWN(ROUNDUP(INDEX(Upgrades!$C$3:$C$13,MATCH(SUBSTITUTE(C438,""Sell_"",""""),Upgrades!$B$3:$B$13,0))*1.15^(COUNTIF(C$4:C437,SUBSTITUTE(C438,""Sell_"",""""))-COUNTIF(C$4:C437,"&amp;"""Sell_""&amp;SUBSTITUTE(C438,""Sell_"",""""))))/2),ROUNDUP(INDEX(Upgrades!$C$3:$C$13,MATCH(C438,Upgrades!$B$3:$B$13,0))*1.15^(COUNTIF(C$4:C437,C438)-COUNTIF(C$4:C437,""Sell_""&amp;C438))))))"),"")</f>
        <v/>
      </c>
      <c r="H438" s="10" t="str">
        <f t="shared" si="3"/>
        <v/>
      </c>
      <c r="I438" s="68" t="str">
        <f t="shared" si="4"/>
        <v/>
      </c>
      <c r="J438" s="59" t="str">
        <f t="shared" si="5"/>
        <v/>
      </c>
      <c r="K438" s="69" t="str">
        <f t="shared" si="6"/>
        <v/>
      </c>
      <c r="L438" s="60">
        <f t="shared" si="7"/>
        <v>-144.36968</v>
      </c>
      <c r="M438" s="61">
        <f>IFERROR(__xludf.DUMMYFUNCTION("IFS(AND(COUNTA(C438:C1673)=0,COUNTA(Q438:Q1673)=0),"""",OR(AND(K438&gt;=1000000000,OR(Y438&gt;=1000000000,COUNTA(Q438:Q1673)=0)),OR(Y438&gt;=1000000000,AND(COUNTA(C438:C1673)=0,P$3=TRUE))),
ROUNDDOWN((AB$1-AC$1)*MAX(INDEX(T$4:T1673,MATCH(LARGE(FILTER(Y$4:Y1673,Y$4"&amp;":Y1673&lt;1000000000),1),Y$4:Y1673)),INDEX(F$4:F1673,MATCH(LARGE(FILTER(K$4:K1673,K$4:K1673&lt;1000000000),1),K$4:K1673)))),AND(K438&lt;1000000000,COUNTA(C438:C1673)&gt;0,P$3=FALSE),
ROUNDDOWN(INDEX(Y$4:Y1673,MATCH(LARGE(FILTER(W$4:W1673,W$4:W1673&lt;=I438),1),W$4:W1673"&amp;"))+(I438-LARGE(FILTER(W$4:W1673,W$4:W1673&lt;=I438),1))*INDEX(T$4:T1673,MATCH(LARGE(FILTER(W$4:W1673,W$4:W1673&lt;=I438),1),W$4:W1673))-K438),1,
ROUNDDOWN(Y438-INDEX(K$4:K1673,MATCH(LARGE(FILTER(I$4:I1673,I$4:I1673&lt;=W438),1),I$4:I1673))-(W438-LARGE(FILTER(I$4:I"&amp;"1673,I$4:I1673&lt;=W438),1))*INDEX(F$4:F1673,MATCH(LARGE(FILTER(I$4:I1673,I$4:I1673&lt;=W438),1),I$4:I1673))))"),8.1543718E7)</f>
        <v>81543718</v>
      </c>
      <c r="N438" s="60">
        <f t="shared" si="8"/>
        <v>-144.36968</v>
      </c>
      <c r="O438" s="61" t="str">
        <f t="shared" si="9"/>
        <v>81,5M</v>
      </c>
      <c r="P438" s="56">
        <f t="shared" si="10"/>
        <v>33</v>
      </c>
      <c r="Q438" s="105" t="s">
        <v>3</v>
      </c>
      <c r="R438" s="10"/>
      <c r="S438" s="59">
        <f t="array" ref="S438">IF(COUNTA(Q438:Q1673)=0,"",SUM((COUNTIF(Q$4:Q438,Upgrades!$B$3:$B$13)-COUNTIF(Q$4:Q438,"Sell_"&amp;Upgrades!$B$3:$B$13))*Upgrades!$D$3:$D$13))</f>
        <v>560464.3</v>
      </c>
      <c r="T438" s="66">
        <f>IFERROR(__xludf.DUMMYFUNCTION("IF(COUNTA(Q438:Q1673)=0,"""",IF(REGEXMATCH(INDEX(FILTER(Q$4:Q438,Q$4:Q438&lt;&gt;""""),ROWS(FILTER(Q$4:Q438,Q$4:Q438&lt;&gt;""""))),""^Sell_""),INDEX(FILTER(T$4:T437,Q$4:Q437&lt;&gt;""""),ROWS(FILTER(Q$4:Q437,Q$4:Q437&lt;&gt;""""))),$AD$5+S438))"),560479.3)</f>
        <v>560479.3</v>
      </c>
      <c r="U438" s="10">
        <f>IFERROR(__xludf.DUMMYFUNCTION("IF(COUNTA(Q438:Q1673)=0,"""",IF(Q438="""",0,IF(REGEXMATCH(Q438,""^Sell_""),-ROUNDDOWN(ROUNDUP(INDEX(Upgrades!$C$3:$C$13,MATCH(SUBSTITUTE(Q438,""Sell_"",""""),Upgrades!$B$3:$B$13,0))*1.15^(COUNTIF(Q$4:Q437,SUBSTITUTE(Q438,""Sell_"",""""))-COUNTIF(Q$4:Q437,"&amp;"""Sell_""&amp;SUBSTITUTE(Q438,""Sell_"",""""))))/2),ROUNDUP(INDEX(Upgrades!$C$3:$C$13,MATCH(Q438,Upgrades!$B$3:$B$13,0))*1.15^(COUNTIF(Q$4:Q437,Q438)-COUNTIF(Q$4:Q437,""Sell_""&amp;Q438))))))"),1314.0)</f>
        <v>1314</v>
      </c>
      <c r="V438" s="10">
        <f t="shared" si="11"/>
        <v>1314</v>
      </c>
      <c r="W438" s="68">
        <f t="shared" si="12"/>
        <v>7693.724012</v>
      </c>
      <c r="X438" s="59" t="str">
        <f t="shared" si="13"/>
        <v>2h 08m 13s</v>
      </c>
      <c r="Y438" s="69">
        <f t="shared" si="14"/>
        <v>999980373</v>
      </c>
      <c r="Z438" s="11"/>
    </row>
    <row r="439">
      <c r="A439" s="8"/>
      <c r="B439" s="56" t="str">
        <f t="shared" si="2"/>
        <v/>
      </c>
      <c r="C439" s="105"/>
      <c r="D439" s="10"/>
      <c r="E439" s="59" t="str">
        <f t="array" ref="E439">IF(COUNTA(C439:C1673)=0,"",SUM((COUNTIF(C$4:C439,Upgrades!$B$3:$B$13)-COUNTIF(C$4:C439,"Sell_"&amp;Upgrades!$B$3:$B$13))*Upgrades!$D$3:$D$13))</f>
        <v/>
      </c>
      <c r="F439" s="66" t="str">
        <f>IFERROR(__xludf.DUMMYFUNCTION("IF(COUNTA(C439:C1673)=0,"""",IF(REGEXMATCH(INDEX(FILTER(C$4:C439,C$4:C439&lt;&gt;""""),ROWS(FILTER(C$4:C439,C$4:C439&lt;&gt;""""))),""^Sell_""),INDEX(FILTER(F$4:F438,C$4:C438&lt;&gt;""""),ROWS(FILTER(C$4:C438,C$4:C438&lt;&gt;""""))),$AC$5+E439))"),"")</f>
        <v/>
      </c>
      <c r="G439" s="10" t="str">
        <f>IFERROR(__xludf.DUMMYFUNCTION("IF(COUNTA(C439:C1673)=0,"""",IF(C439="""",0,IF(REGEXMATCH(C439,""^Sell_""),-ROUNDDOWN(ROUNDUP(INDEX(Upgrades!$C$3:$C$13,MATCH(SUBSTITUTE(C439,""Sell_"",""""),Upgrades!$B$3:$B$13,0))*1.15^(COUNTIF(C$4:C438,SUBSTITUTE(C439,""Sell_"",""""))-COUNTIF(C$4:C438,"&amp;"""Sell_""&amp;SUBSTITUTE(C439,""Sell_"",""""))))/2),ROUNDUP(INDEX(Upgrades!$C$3:$C$13,MATCH(C439,Upgrades!$B$3:$B$13,0))*1.15^(COUNTIF(C$4:C438,C439)-COUNTIF(C$4:C438,""Sell_""&amp;C439))))))"),"")</f>
        <v/>
      </c>
      <c r="H439" s="10" t="str">
        <f t="shared" si="3"/>
        <v/>
      </c>
      <c r="I439" s="68" t="str">
        <f t="shared" si="4"/>
        <v/>
      </c>
      <c r="J439" s="59" t="str">
        <f t="shared" si="5"/>
        <v/>
      </c>
      <c r="K439" s="69" t="str">
        <f t="shared" si="6"/>
        <v/>
      </c>
      <c r="L439" s="60">
        <f t="shared" si="7"/>
        <v>-144.3695</v>
      </c>
      <c r="M439" s="61">
        <f>IFERROR(__xludf.DUMMYFUNCTION("IFS(AND(COUNTA(C439:C1673)=0,COUNTA(Q439:Q1673)=0),"""",OR(AND(K439&gt;=1000000000,OR(Y439&gt;=1000000000,COUNTA(Q439:Q1673)=0)),OR(Y439&gt;=1000000000,AND(COUNTA(C439:C1673)=0,P$3=TRUE))),
ROUNDDOWN((AB$1-AC$1)*MAX(INDEX(T$4:T1673,MATCH(LARGE(FILTER(Y$4:Y1673,Y$4"&amp;":Y1673&lt;1000000000),1),Y$4:Y1673)),INDEX(F$4:F1673,MATCH(LARGE(FILTER(K$4:K1673,K$4:K1673&lt;1000000000),1),K$4:K1673)))),AND(K439&lt;1000000000,COUNTA(C439:C1673)&gt;0,P$3=FALSE),
ROUNDDOWN(INDEX(Y$4:Y1673,MATCH(LARGE(FILTER(W$4:W1673,W$4:W1673&lt;=I439),1),W$4:W1673"&amp;"))+(I439-LARGE(FILTER(W$4:W1673,W$4:W1673&lt;=I439),1))*INDEX(T$4:T1673,MATCH(LARGE(FILTER(W$4:W1673,W$4:W1673&lt;=I439),1),W$4:W1673))-K439),1,
ROUNDDOWN(Y439-INDEX(K$4:K1673,MATCH(LARGE(FILTER(I$4:I1673,I$4:I1673&lt;=W439),1),I$4:I1673))-(W439-LARGE(FILTER(I$4:I"&amp;"1673,I$4:I1673&lt;=W439),1))*INDEX(F$4:F1673,MATCH(LARGE(FILTER(I$4:I1673,I$4:I1673&lt;=W439),1),I$4:I1673))))"),8.1543777E7)</f>
        <v>81543777</v>
      </c>
      <c r="N439" s="60">
        <f t="shared" si="8"/>
        <v>-144.3695</v>
      </c>
      <c r="O439" s="61" t="str">
        <f t="shared" si="9"/>
        <v>81,5M</v>
      </c>
      <c r="P439" s="56">
        <f t="shared" si="10"/>
        <v>31</v>
      </c>
      <c r="Q439" s="105" t="s">
        <v>4</v>
      </c>
      <c r="R439" s="10"/>
      <c r="S439" s="59">
        <f t="array" ref="S439">IF(COUNTA(Q439:Q1673)=0,"",SUM((COUNTIF(Q$4:Q439,Upgrades!$B$3:$B$13)-COUNTIF(Q$4:Q439,"Sell_"&amp;Upgrades!$B$3:$B$13))*Upgrades!$D$3:$D$13))</f>
        <v>560464.8</v>
      </c>
      <c r="T439" s="66">
        <f>IFERROR(__xludf.DUMMYFUNCTION("IF(COUNTA(Q439:Q1673)=0,"""",IF(REGEXMATCH(INDEX(FILTER(Q$4:Q439,Q$4:Q439&lt;&gt;""""),ROWS(FILTER(Q$4:Q439,Q$4:Q439&lt;&gt;""""))),""^Sell_""),INDEX(FILTER(T$4:T438,Q$4:Q438&lt;&gt;""""),ROWS(FILTER(Q$4:Q438,Q$4:Q438&lt;&gt;""""))),$AD$5+S439))"),560479.8)</f>
        <v>560479.8</v>
      </c>
      <c r="U439" s="10">
        <f>IFERROR(__xludf.DUMMYFUNCTION("IF(COUNTA(Q439:Q1673)=0,"""",IF(Q439="""",0,IF(REGEXMATCH(Q439,""^Sell_""),-ROUNDDOWN(ROUNDUP(INDEX(Upgrades!$C$3:$C$13,MATCH(SUBSTITUTE(Q439,""Sell_"",""""),Upgrades!$B$3:$B$13,0))*1.15^(COUNTIF(Q$4:Q438,SUBSTITUTE(Q439,""Sell_"",""""))-COUNTIF(Q$4:Q438,"&amp;"""Sell_""&amp;SUBSTITUTE(Q439,""Sell_"",""""))))/2),ROUNDUP(INDEX(Upgrades!$C$3:$C$13,MATCH(Q439,Upgrades!$B$3:$B$13,0))*1.15^(COUNTIF(Q$4:Q438,Q439)-COUNTIF(Q$4:Q438,""Sell_""&amp;Q439))))))"),6622.0)</f>
        <v>6622</v>
      </c>
      <c r="V439" s="10">
        <f t="shared" si="11"/>
        <v>6622</v>
      </c>
      <c r="W439" s="68">
        <f t="shared" si="12"/>
        <v>7693.735827</v>
      </c>
      <c r="X439" s="59" t="str">
        <f t="shared" si="13"/>
        <v>2h 08m 13s</v>
      </c>
      <c r="Y439" s="69">
        <f t="shared" si="14"/>
        <v>999986995</v>
      </c>
      <c r="Z439" s="11"/>
    </row>
    <row r="440">
      <c r="A440" s="8"/>
      <c r="B440" s="56" t="str">
        <f t="shared" si="2"/>
        <v/>
      </c>
      <c r="C440" s="105"/>
      <c r="D440" s="10"/>
      <c r="E440" s="59" t="str">
        <f t="array" ref="E440">IF(COUNTA(C440:C1673)=0,"",SUM((COUNTIF(C$4:C440,Upgrades!$B$3:$B$13)-COUNTIF(C$4:C440,"Sell_"&amp;Upgrades!$B$3:$B$13))*Upgrades!$D$3:$D$13))</f>
        <v/>
      </c>
      <c r="F440" s="66" t="str">
        <f>IFERROR(__xludf.DUMMYFUNCTION("IF(COUNTA(C440:C1673)=0,"""",IF(REGEXMATCH(INDEX(FILTER(C$4:C440,C$4:C440&lt;&gt;""""),ROWS(FILTER(C$4:C440,C$4:C440&lt;&gt;""""))),""^Sell_""),INDEX(FILTER(F$4:F439,C$4:C439&lt;&gt;""""),ROWS(FILTER(C$4:C439,C$4:C439&lt;&gt;""""))),$AC$5+E440))"),"")</f>
        <v/>
      </c>
      <c r="G440" s="10" t="str">
        <f>IFERROR(__xludf.DUMMYFUNCTION("IF(COUNTA(C440:C1673)=0,"""",IF(C440="""",0,IF(REGEXMATCH(C440,""^Sell_""),-ROUNDDOWN(ROUNDUP(INDEX(Upgrades!$C$3:$C$13,MATCH(SUBSTITUTE(C440,""Sell_"",""""),Upgrades!$B$3:$B$13,0))*1.15^(COUNTIF(C$4:C439,SUBSTITUTE(C440,""Sell_"",""""))-COUNTIF(C$4:C439,"&amp;"""Sell_""&amp;SUBSTITUTE(C440,""Sell_"",""""))))/2),ROUNDUP(INDEX(Upgrades!$C$3:$C$13,MATCH(C440,Upgrades!$B$3:$B$13,0))*1.15^(COUNTIF(C$4:C439,C440)-COUNTIF(C$4:C439,""Sell_""&amp;C440))))))"),"")</f>
        <v/>
      </c>
      <c r="H440" s="10" t="str">
        <f t="shared" si="3"/>
        <v/>
      </c>
      <c r="I440" s="68" t="str">
        <f t="shared" si="4"/>
        <v/>
      </c>
      <c r="J440" s="59" t="str">
        <f t="shared" si="5"/>
        <v/>
      </c>
      <c r="K440" s="69" t="str">
        <f t="shared" si="6"/>
        <v/>
      </c>
      <c r="L440" s="60">
        <f t="shared" si="7"/>
        <v>-144.36946</v>
      </c>
      <c r="M440" s="61">
        <f>IFERROR(__xludf.DUMMYFUNCTION("IFS(AND(COUNTA(C440:C1673)=0,COUNTA(Q440:Q1673)=0),"""",OR(AND(K440&gt;=1000000000,OR(Y440&gt;=1000000000,COUNTA(Q440:Q1673)=0)),OR(Y440&gt;=1000000000,AND(COUNTA(C440:C1673)=0,P$3=TRUE))),
ROUNDDOWN((AB$1-AC$1)*MAX(INDEX(T$4:T1673,MATCH(LARGE(FILTER(Y$4:Y1673,Y$4"&amp;":Y1673&lt;1000000000),1),Y$4:Y1673)),INDEX(F$4:F1673,MATCH(LARGE(FILTER(K$4:K1673,K$4:K1673&lt;1000000000),1),K$4:K1673)))),AND(K440&lt;1000000000,COUNTA(C440:C1673)&gt;0,P$3=FALSE),
ROUNDDOWN(INDEX(Y$4:Y1673,MATCH(LARGE(FILTER(W$4:W1673,W$4:W1673&lt;=I440),1),W$4:W1673"&amp;"))+(I440-LARGE(FILTER(W$4:W1673,W$4:W1673&lt;=I440),1))*INDEX(T$4:T1673,MATCH(LARGE(FILTER(W$4:W1673,W$4:W1673&lt;=I440),1),W$4:W1673))-K440),1,
ROUNDDOWN(Y440-INDEX(K$4:K1673,MATCH(LARGE(FILTER(I$4:I1673,I$4:I1673&lt;=W440),1),I$4:I1673))-(W440-LARGE(FILTER(I$4:I"&amp;"1673,I$4:I1673&lt;=W440),1))*INDEX(F$4:F1673,MATCH(LARGE(FILTER(I$4:I1673,I$4:I1673&lt;=W440),1),I$4:I1673))))"),8.154379E7)</f>
        <v>81543790</v>
      </c>
      <c r="N440" s="60">
        <f t="shared" si="8"/>
        <v>-144.36946</v>
      </c>
      <c r="O440" s="61" t="str">
        <f t="shared" si="9"/>
        <v>81,5M</v>
      </c>
      <c r="P440" s="56">
        <f t="shared" si="10"/>
        <v>34</v>
      </c>
      <c r="Q440" s="105" t="s">
        <v>3</v>
      </c>
      <c r="R440" s="10"/>
      <c r="S440" s="59">
        <f t="array" ref="S440">IF(COUNTA(Q440:Q1673)=0,"",SUM((COUNTIF(Q$4:Q440,Upgrades!$B$3:$B$13)-COUNTIF(Q$4:Q440,"Sell_"&amp;Upgrades!$B$3:$B$13))*Upgrades!$D$3:$D$13))</f>
        <v>560464.9</v>
      </c>
      <c r="T440" s="66">
        <f>IFERROR(__xludf.DUMMYFUNCTION("IF(COUNTA(Q440:Q1673)=0,"""",IF(REGEXMATCH(INDEX(FILTER(Q$4:Q440,Q$4:Q440&lt;&gt;""""),ROWS(FILTER(Q$4:Q440,Q$4:Q440&lt;&gt;""""))),""^Sell_""),INDEX(FILTER(T$4:T439,Q$4:Q439&lt;&gt;""""),ROWS(FILTER(Q$4:Q439,Q$4:Q439&lt;&gt;""""))),$AD$5+S440))"),560479.9)</f>
        <v>560479.9</v>
      </c>
      <c r="U440" s="10">
        <f>IFERROR(__xludf.DUMMYFUNCTION("IF(COUNTA(Q440:Q1673)=0,"""",IF(Q440="""",0,IF(REGEXMATCH(Q440,""^Sell_""),-ROUNDDOWN(ROUNDUP(INDEX(Upgrades!$C$3:$C$13,MATCH(SUBSTITUTE(Q440,""Sell_"",""""),Upgrades!$B$3:$B$13,0))*1.15^(COUNTIF(Q$4:Q439,SUBSTITUTE(Q440,""Sell_"",""""))-COUNTIF(Q$4:Q439,"&amp;"""Sell_""&amp;SUBSTITUTE(Q440,""Sell_"",""""))))/2),ROUNDUP(INDEX(Upgrades!$C$3:$C$13,MATCH(Q440,Upgrades!$B$3:$B$13,0))*1.15^(COUNTIF(Q$4:Q439,Q440)-COUNTIF(Q$4:Q439,""Sell_""&amp;Q440))))))"),1511.0)</f>
        <v>1511</v>
      </c>
      <c r="V440" s="10">
        <f t="shared" si="11"/>
        <v>1511</v>
      </c>
      <c r="W440" s="68">
        <f t="shared" si="12"/>
        <v>7693.738523</v>
      </c>
      <c r="X440" s="59" t="str">
        <f t="shared" si="13"/>
        <v>2h 08m 13s</v>
      </c>
      <c r="Y440" s="69">
        <f t="shared" si="14"/>
        <v>999988506</v>
      </c>
      <c r="Z440" s="11"/>
    </row>
    <row r="441">
      <c r="A441" s="8"/>
      <c r="B441" s="56" t="str">
        <f t="shared" si="2"/>
        <v/>
      </c>
      <c r="C441" s="105"/>
      <c r="D441" s="10"/>
      <c r="E441" s="59" t="str">
        <f t="array" ref="E441">IF(COUNTA(C441:C1673)=0,"",SUM((COUNTIF(C$4:C441,Upgrades!$B$3:$B$13)-COUNTIF(C$4:C441,"Sell_"&amp;Upgrades!$B$3:$B$13))*Upgrades!$D$3:$D$13))</f>
        <v/>
      </c>
      <c r="F441" s="66" t="str">
        <f>IFERROR(__xludf.DUMMYFUNCTION("IF(COUNTA(C441:C1673)=0,"""",IF(REGEXMATCH(INDEX(FILTER(C$4:C441,C$4:C441&lt;&gt;""""),ROWS(FILTER(C$4:C441,C$4:C441&lt;&gt;""""))),""^Sell_""),INDEX(FILTER(F$4:F440,C$4:C440&lt;&gt;""""),ROWS(FILTER(C$4:C440,C$4:C440&lt;&gt;""""))),$AC$5+E441))"),"")</f>
        <v/>
      </c>
      <c r="G441" s="10" t="str">
        <f>IFERROR(__xludf.DUMMYFUNCTION("IF(COUNTA(C441:C1673)=0,"""",IF(C441="""",0,IF(REGEXMATCH(C441,""^Sell_""),-ROUNDDOWN(ROUNDUP(INDEX(Upgrades!$C$3:$C$13,MATCH(SUBSTITUTE(C441,""Sell_"",""""),Upgrades!$B$3:$B$13,0))*1.15^(COUNTIF(C$4:C440,SUBSTITUTE(C441,""Sell_"",""""))-COUNTIF(C$4:C440,"&amp;"""Sell_""&amp;SUBSTITUTE(C441,""Sell_"",""""))))/2),ROUNDUP(INDEX(Upgrades!$C$3:$C$13,MATCH(C441,Upgrades!$B$3:$B$13,0))*1.15^(COUNTIF(C$4:C440,C441)-COUNTIF(C$4:C440,""Sell_""&amp;C441))))))"),"")</f>
        <v/>
      </c>
      <c r="H441" s="10" t="str">
        <f t="shared" si="3"/>
        <v/>
      </c>
      <c r="I441" s="68" t="str">
        <f t="shared" si="4"/>
        <v/>
      </c>
      <c r="J441" s="59" t="str">
        <f t="shared" si="5"/>
        <v/>
      </c>
      <c r="K441" s="69" t="str">
        <f t="shared" si="6"/>
        <v/>
      </c>
      <c r="L441" s="60">
        <f t="shared" si="7"/>
        <v>-144.36926</v>
      </c>
      <c r="M441" s="61">
        <f>IFERROR(__xludf.DUMMYFUNCTION("IFS(AND(COUNTA(C441:C1673)=0,COUNTA(Q441:Q1673)=0),"""",OR(AND(K441&gt;=1000000000,OR(Y441&gt;=1000000000,COUNTA(Q441:Q1673)=0)),OR(Y441&gt;=1000000000,AND(COUNTA(C441:C1673)=0,P$3=TRUE))),
ROUNDDOWN((AB$1-AC$1)*MAX(INDEX(T$4:T1673,MATCH(LARGE(FILTER(Y$4:Y1673,Y$4"&amp;":Y1673&lt;1000000000),1),Y$4:Y1673)),INDEX(F$4:F1673,MATCH(LARGE(FILTER(K$4:K1673,K$4:K1673&lt;1000000000),1),K$4:K1673)))),AND(K441&lt;1000000000,COUNTA(C441:C1673)&gt;0,P$3=FALSE),
ROUNDDOWN(INDEX(Y$4:Y1673,MATCH(LARGE(FILTER(W$4:W1673,W$4:W1673&lt;=I441),1),W$4:W1673"&amp;"))+(I441-LARGE(FILTER(W$4:W1673,W$4:W1673&lt;=I441),1))*INDEX(T$4:T1673,MATCH(LARGE(FILTER(W$4:W1673,W$4:W1673&lt;=I441),1),W$4:W1673))-K441),1,
ROUNDDOWN(Y441-INDEX(K$4:K1673,MATCH(LARGE(FILTER(I$4:I1673,I$4:I1673&lt;=W441),1),I$4:I1673))-(W441-LARGE(FILTER(I$4:I"&amp;"1673,I$4:I1673&lt;=W441),1))*INDEX(F$4:F1673,MATCH(LARGE(FILTER(I$4:I1673,I$4:I1673&lt;=W441),1),I$4:I1673))))"),8.1543857E7)</f>
        <v>81543857</v>
      </c>
      <c r="N441" s="60">
        <f t="shared" si="8"/>
        <v>-144.36926</v>
      </c>
      <c r="O441" s="61" t="str">
        <f t="shared" si="9"/>
        <v>81,5M</v>
      </c>
      <c r="P441" s="56">
        <f t="shared" si="10"/>
        <v>32</v>
      </c>
      <c r="Q441" s="105" t="s">
        <v>4</v>
      </c>
      <c r="R441" s="10"/>
      <c r="S441" s="59">
        <f t="array" ref="S441">IF(COUNTA(Q441:Q1673)=0,"",SUM((COUNTIF(Q$4:Q441,Upgrades!$B$3:$B$13)-COUNTIF(Q$4:Q441,"Sell_"&amp;Upgrades!$B$3:$B$13))*Upgrades!$D$3:$D$13))</f>
        <v>560465.4</v>
      </c>
      <c r="T441" s="66">
        <f>IFERROR(__xludf.DUMMYFUNCTION("IF(COUNTA(Q441:Q1673)=0,"""",IF(REGEXMATCH(INDEX(FILTER(Q$4:Q441,Q$4:Q441&lt;&gt;""""),ROWS(FILTER(Q$4:Q441,Q$4:Q441&lt;&gt;""""))),""^Sell_""),INDEX(FILTER(T$4:T440,Q$4:Q440&lt;&gt;""""),ROWS(FILTER(Q$4:Q440,Q$4:Q440&lt;&gt;""""))),$AD$5+S441))"),560480.4)</f>
        <v>560480.4</v>
      </c>
      <c r="U441" s="10">
        <f>IFERROR(__xludf.DUMMYFUNCTION("IF(COUNTA(Q441:Q1673)=0,"""",IF(Q441="""",0,IF(REGEXMATCH(Q441,""^Sell_""),-ROUNDDOWN(ROUNDUP(INDEX(Upgrades!$C$3:$C$13,MATCH(SUBSTITUTE(Q441,""Sell_"",""""),Upgrades!$B$3:$B$13,0))*1.15^(COUNTIF(Q$4:Q440,SUBSTITUTE(Q441,""Sell_"",""""))-COUNTIF(Q$4:Q440,"&amp;"""Sell_""&amp;SUBSTITUTE(Q441,""Sell_"",""""))))/2),ROUNDUP(INDEX(Upgrades!$C$3:$C$13,MATCH(Q441,Upgrades!$B$3:$B$13,0))*1.15^(COUNTIF(Q$4:Q440,Q441)-COUNTIF(Q$4:Q440,""Sell_""&amp;Q441))))))"),7615.0)</f>
        <v>7615</v>
      </c>
      <c r="V441" s="10">
        <f t="shared" si="11"/>
        <v>7615</v>
      </c>
      <c r="W441" s="68">
        <f t="shared" si="12"/>
        <v>7693.75211</v>
      </c>
      <c r="X441" s="59" t="str">
        <f t="shared" si="13"/>
        <v>2h 08m 13s</v>
      </c>
      <c r="Y441" s="69">
        <f t="shared" si="14"/>
        <v>999996121</v>
      </c>
      <c r="Z441" s="11"/>
    </row>
    <row r="442">
      <c r="A442" s="8"/>
      <c r="B442" s="56" t="str">
        <f t="shared" si="2"/>
        <v/>
      </c>
      <c r="C442" s="105"/>
      <c r="D442" s="10"/>
      <c r="E442" s="59" t="str">
        <f t="array" ref="E442">IF(COUNTA(C442:C1673)=0,"",SUM((COUNTIF(C$4:C442,Upgrades!$B$3:$B$13)-COUNTIF(C$4:C442,"Sell_"&amp;Upgrades!$B$3:$B$13))*Upgrades!$D$3:$D$13))</f>
        <v/>
      </c>
      <c r="F442" s="66" t="str">
        <f>IFERROR(__xludf.DUMMYFUNCTION("IF(COUNTA(C442:C1673)=0,"""",IF(REGEXMATCH(INDEX(FILTER(C$4:C442,C$4:C442&lt;&gt;""""),ROWS(FILTER(C$4:C442,C$4:C442&lt;&gt;""""))),""^Sell_""),INDEX(FILTER(F$4:F441,C$4:C441&lt;&gt;""""),ROWS(FILTER(C$4:C441,C$4:C441&lt;&gt;""""))),$AC$5+E442))"),"")</f>
        <v/>
      </c>
      <c r="G442" s="10" t="str">
        <f>IFERROR(__xludf.DUMMYFUNCTION("IF(COUNTA(C442:C1673)=0,"""",IF(C442="""",0,IF(REGEXMATCH(C442,""^Sell_""),-ROUNDDOWN(ROUNDUP(INDEX(Upgrades!$C$3:$C$13,MATCH(SUBSTITUTE(C442,""Sell_"",""""),Upgrades!$B$3:$B$13,0))*1.15^(COUNTIF(C$4:C441,SUBSTITUTE(C442,""Sell_"",""""))-COUNTIF(C$4:C441,"&amp;"""Sell_""&amp;SUBSTITUTE(C442,""Sell_"",""""))))/2),ROUNDUP(INDEX(Upgrades!$C$3:$C$13,MATCH(C442,Upgrades!$B$3:$B$13,0))*1.15^(COUNTIF(C$4:C441,C442)-COUNTIF(C$4:C441,""Sell_""&amp;C442))))))"),"")</f>
        <v/>
      </c>
      <c r="H442" s="10" t="str">
        <f t="shared" si="3"/>
        <v/>
      </c>
      <c r="I442" s="68" t="str">
        <f t="shared" si="4"/>
        <v/>
      </c>
      <c r="J442" s="59" t="str">
        <f t="shared" si="5"/>
        <v/>
      </c>
      <c r="K442" s="69" t="str">
        <f t="shared" si="6"/>
        <v/>
      </c>
      <c r="L442" s="60">
        <f t="shared" si="7"/>
        <v>-144.36921</v>
      </c>
      <c r="M442" s="61">
        <f>IFERROR(__xludf.DUMMYFUNCTION("IFS(AND(COUNTA(C442:C1673)=0,COUNTA(Q442:Q1673)=0),"""",OR(AND(K442&gt;=1000000000,OR(Y442&gt;=1000000000,COUNTA(Q442:Q1673)=0)),OR(Y442&gt;=1000000000,AND(COUNTA(C442:C1673)=0,P$3=TRUE))),
ROUNDDOWN((AB$1-AC$1)*MAX(INDEX(T$4:T1673,MATCH(LARGE(FILTER(Y$4:Y1673,Y$4"&amp;":Y1673&lt;1000000000),1),Y$4:Y1673)),INDEX(F$4:F1673,MATCH(LARGE(FILTER(K$4:K1673,K$4:K1673&lt;1000000000),1),K$4:K1673)))),AND(K442&lt;1000000000,COUNTA(C442:C1673)&gt;0,P$3=FALSE),
ROUNDDOWN(INDEX(Y$4:Y1673,MATCH(LARGE(FILTER(W$4:W1673,W$4:W1673&lt;=I442),1),W$4:W1673"&amp;"))+(I442-LARGE(FILTER(W$4:W1673,W$4:W1673&lt;=I442),1))*INDEX(T$4:T1673,MATCH(LARGE(FILTER(W$4:W1673,W$4:W1673&lt;=I442),1),W$4:W1673))-K442),1,
ROUNDDOWN(Y442-INDEX(K$4:K1673,MATCH(LARGE(FILTER(I$4:I1673,I$4:I1673&lt;=W442),1),I$4:I1673))-(W442-LARGE(FILTER(I$4:I"&amp;"1673,I$4:I1673&lt;=W442),1))*INDEX(F$4:F1673,MATCH(LARGE(FILTER(I$4:I1673,I$4:I1673&lt;=W442),1),I$4:I1673))))"),8.1543873E7)</f>
        <v>81543873</v>
      </c>
      <c r="N442" s="60">
        <f t="shared" si="8"/>
        <v>-144.36921</v>
      </c>
      <c r="O442" s="61" t="str">
        <f t="shared" si="9"/>
        <v>81,5M</v>
      </c>
      <c r="P442" s="56">
        <f t="shared" si="10"/>
        <v>35</v>
      </c>
      <c r="Q442" s="105" t="s">
        <v>3</v>
      </c>
      <c r="R442" s="10"/>
      <c r="S442" s="59">
        <f t="array" ref="S442">IF(COUNTA(Q442:Q1673)=0,"",SUM((COUNTIF(Q$4:Q442,Upgrades!$B$3:$B$13)-COUNTIF(Q$4:Q442,"Sell_"&amp;Upgrades!$B$3:$B$13))*Upgrades!$D$3:$D$13))</f>
        <v>560465.5</v>
      </c>
      <c r="T442" s="66">
        <f>IFERROR(__xludf.DUMMYFUNCTION("IF(COUNTA(Q442:Q1673)=0,"""",IF(REGEXMATCH(INDEX(FILTER(Q$4:Q442,Q$4:Q442&lt;&gt;""""),ROWS(FILTER(Q$4:Q442,Q$4:Q442&lt;&gt;""""))),""^Sell_""),INDEX(FILTER(T$4:T441,Q$4:Q441&lt;&gt;""""),ROWS(FILTER(Q$4:Q441,Q$4:Q441&lt;&gt;""""))),$AD$5+S442))"),560480.5)</f>
        <v>560480.5</v>
      </c>
      <c r="U442" s="10">
        <f>IFERROR(__xludf.DUMMYFUNCTION("IF(COUNTA(Q442:Q1673)=0,"""",IF(Q442="""",0,IF(REGEXMATCH(Q442,""^Sell_""),-ROUNDDOWN(ROUNDUP(INDEX(Upgrades!$C$3:$C$13,MATCH(SUBSTITUTE(Q442,""Sell_"",""""),Upgrades!$B$3:$B$13,0))*1.15^(COUNTIF(Q$4:Q441,SUBSTITUTE(Q442,""Sell_"",""""))-COUNTIF(Q$4:Q441,"&amp;"""Sell_""&amp;SUBSTITUTE(Q442,""Sell_"",""""))))/2),ROUNDUP(INDEX(Upgrades!$C$3:$C$13,MATCH(Q442,Upgrades!$B$3:$B$13,0))*1.15^(COUNTIF(Q$4:Q441,Q442)-COUNTIF(Q$4:Q441,""Sell_""&amp;Q442))))))"),1738.0)</f>
        <v>1738</v>
      </c>
      <c r="V442" s="10">
        <f t="shared" si="11"/>
        <v>1738</v>
      </c>
      <c r="W442" s="68">
        <f t="shared" si="12"/>
        <v>7693.75521</v>
      </c>
      <c r="X442" s="59" t="str">
        <f t="shared" si="13"/>
        <v>2h 08m 13s</v>
      </c>
      <c r="Y442" s="69">
        <f t="shared" si="14"/>
        <v>999997859</v>
      </c>
      <c r="Z442" s="11"/>
    </row>
    <row r="443">
      <c r="A443" s="8"/>
      <c r="B443" s="56" t="str">
        <f t="shared" si="2"/>
        <v/>
      </c>
      <c r="C443" s="105"/>
      <c r="D443" s="10"/>
      <c r="E443" s="59" t="str">
        <f t="array" ref="E443">IF(COUNTA(C443:C1673)=0,"",SUM((COUNTIF(C$4:C443,Upgrades!$B$3:$B$13)-COUNTIF(C$4:C443,"Sell_"&amp;Upgrades!$B$3:$B$13))*Upgrades!$D$3:$D$13))</f>
        <v/>
      </c>
      <c r="F443" s="66" t="str">
        <f>IFERROR(__xludf.DUMMYFUNCTION("IF(COUNTA(C443:C1673)=0,"""",IF(REGEXMATCH(INDEX(FILTER(C$4:C443,C$4:C443&lt;&gt;""""),ROWS(FILTER(C$4:C443,C$4:C443&lt;&gt;""""))),""^Sell_""),INDEX(FILTER(F$4:F442,C$4:C442&lt;&gt;""""),ROWS(FILTER(C$4:C442,C$4:C442&lt;&gt;""""))),$AC$5+E443))"),"")</f>
        <v/>
      </c>
      <c r="G443" s="10" t="str">
        <f>IFERROR(__xludf.DUMMYFUNCTION("IF(COUNTA(C443:C1673)=0,"""",IF(C443="""",0,IF(REGEXMATCH(C443,""^Sell_""),-ROUNDDOWN(ROUNDUP(INDEX(Upgrades!$C$3:$C$13,MATCH(SUBSTITUTE(C443,""Sell_"",""""),Upgrades!$B$3:$B$13,0))*1.15^(COUNTIF(C$4:C442,SUBSTITUTE(C443,""Sell_"",""""))-COUNTIF(C$4:C442,"&amp;"""Sell_""&amp;SUBSTITUTE(C443,""Sell_"",""""))))/2),ROUNDUP(INDEX(Upgrades!$C$3:$C$13,MATCH(C443,Upgrades!$B$3:$B$13,0))*1.15^(COUNTIF(C$4:C442,C443)-COUNTIF(C$4:C442,""Sell_""&amp;C443))))))"),"")</f>
        <v/>
      </c>
      <c r="H443" s="10" t="str">
        <f t="shared" si="3"/>
        <v/>
      </c>
      <c r="I443" s="68" t="str">
        <f t="shared" si="4"/>
        <v/>
      </c>
      <c r="J443" s="59" t="str">
        <f t="shared" si="5"/>
        <v/>
      </c>
      <c r="K443" s="69" t="str">
        <f t="shared" si="6"/>
        <v/>
      </c>
      <c r="L443" s="60">
        <f t="shared" si="7"/>
        <v>-144.36916</v>
      </c>
      <c r="M443" s="61">
        <f>IFERROR(__xludf.DUMMYFUNCTION("IFS(AND(COUNTA(C443:C1673)=0,COUNTA(Q443:Q1673)=0),"""",OR(AND(K443&gt;=1000000000,OR(Y443&gt;=1000000000,COUNTA(Q443:Q1673)=0)),OR(Y443&gt;=1000000000,AND(COUNTA(C443:C1673)=0,P$3=TRUE))),
ROUNDDOWN((AB$1-AC$1)*MAX(INDEX(T$4:T1673,MATCH(LARGE(FILTER(Y$4:Y1673,Y$4"&amp;":Y1673&lt;1000000000),1),Y$4:Y1673)),INDEX(F$4:F1673,MATCH(LARGE(FILTER(K$4:K1673,K$4:K1673&lt;1000000000),1),K$4:K1673)))),AND(K443&lt;1000000000,COUNTA(C443:C1673)&gt;0,P$3=FALSE),
ROUNDDOWN(INDEX(Y$4:Y1673,MATCH(LARGE(FILTER(W$4:W1673,W$4:W1673&lt;=I443),1),W$4:W1673"&amp;"))+(I443-LARGE(FILTER(W$4:W1673,W$4:W1673&lt;=I443),1))*INDEX(T$4:T1673,MATCH(LARGE(FILTER(W$4:W1673,W$4:W1673&lt;=I443),1),W$4:W1673))-K443),1,
ROUNDDOWN(Y443-INDEX(K$4:K1673,MATCH(LARGE(FILTER(I$4:I1673,I$4:I1673&lt;=W443),1),I$4:I1673))-(W443-LARGE(FILTER(I$4:I"&amp;"1673,I$4:I1673&lt;=W443),1))*INDEX(F$4:F1673,MATCH(LARGE(FILTER(I$4:I1673,I$4:I1673&lt;=W443),1),I$4:I1673))))"),8.154389E7)</f>
        <v>81543890</v>
      </c>
      <c r="N443" s="60">
        <f t="shared" si="8"/>
        <v>-144.36916</v>
      </c>
      <c r="O443" s="61" t="str">
        <f t="shared" si="9"/>
        <v>81,5M</v>
      </c>
      <c r="P443" s="56">
        <f t="shared" si="10"/>
        <v>36</v>
      </c>
      <c r="Q443" s="105" t="s">
        <v>3</v>
      </c>
      <c r="R443" s="10"/>
      <c r="S443" s="59">
        <f t="array" ref="S443">IF(COUNTA(Q443:Q1673)=0,"",SUM((COUNTIF(Q$4:Q443,Upgrades!$B$3:$B$13)-COUNTIF(Q$4:Q443,"Sell_"&amp;Upgrades!$B$3:$B$13))*Upgrades!$D$3:$D$13))</f>
        <v>560465.6</v>
      </c>
      <c r="T443" s="66">
        <f>IFERROR(__xludf.DUMMYFUNCTION("IF(COUNTA(Q443:Q1673)=0,"""",IF(REGEXMATCH(INDEX(FILTER(Q$4:Q443,Q$4:Q443&lt;&gt;""""),ROWS(FILTER(Q$4:Q443,Q$4:Q443&lt;&gt;""""))),""^Sell_""),INDEX(FILTER(T$4:T442,Q$4:Q442&lt;&gt;""""),ROWS(FILTER(Q$4:Q442,Q$4:Q442&lt;&gt;""""))),$AD$5+S443))"),560480.6)</f>
        <v>560480.6</v>
      </c>
      <c r="U443" s="10">
        <f>IFERROR(__xludf.DUMMYFUNCTION("IF(COUNTA(Q443:Q1673)=0,"""",IF(Q443="""",0,IF(REGEXMATCH(Q443,""^Sell_""),-ROUNDDOWN(ROUNDUP(INDEX(Upgrades!$C$3:$C$13,MATCH(SUBSTITUTE(Q443,""Sell_"",""""),Upgrades!$B$3:$B$13,0))*1.15^(COUNTIF(Q$4:Q442,SUBSTITUTE(Q443,""Sell_"",""""))-COUNTIF(Q$4:Q442,"&amp;"""Sell_""&amp;SUBSTITUTE(Q443,""Sell_"",""""))))/2),ROUNDUP(INDEX(Upgrades!$C$3:$C$13,MATCH(Q443,Upgrades!$B$3:$B$13,0))*1.15^(COUNTIF(Q$4:Q442,Q443)-COUNTIF(Q$4:Q442,""Sell_""&amp;Q443))))))"),1998.0)</f>
        <v>1998</v>
      </c>
      <c r="V443" s="10">
        <f t="shared" si="11"/>
        <v>1998</v>
      </c>
      <c r="W443" s="68">
        <f t="shared" si="12"/>
        <v>7693.758775</v>
      </c>
      <c r="X443" s="59" t="str">
        <f t="shared" si="13"/>
        <v>2h 08m 13s</v>
      </c>
      <c r="Y443" s="69">
        <f t="shared" si="14"/>
        <v>999999857</v>
      </c>
      <c r="Z443" s="11"/>
    </row>
    <row r="444">
      <c r="A444" s="8"/>
      <c r="B444" s="56" t="str">
        <f t="shared" si="2"/>
        <v/>
      </c>
      <c r="C444" s="105"/>
      <c r="D444" s="10"/>
      <c r="E444" s="59" t="str">
        <f t="array" ref="E444">IF(COUNTA(C444:C1673)=0,"",SUM((COUNTIF(C$4:C444,Upgrades!$B$3:$B$13)-COUNTIF(C$4:C444,"Sell_"&amp;Upgrades!$B$3:$B$13))*Upgrades!$D$3:$D$13))</f>
        <v/>
      </c>
      <c r="F444" s="66" t="str">
        <f>IFERROR(__xludf.DUMMYFUNCTION("IF(COUNTA(C444:C1673)=0,"""",IF(REGEXMATCH(INDEX(FILTER(C$4:C444,C$4:C444&lt;&gt;""""),ROWS(FILTER(C$4:C444,C$4:C444&lt;&gt;""""))),""^Sell_""),INDEX(FILTER(F$4:F443,C$4:C443&lt;&gt;""""),ROWS(FILTER(C$4:C443,C$4:C443&lt;&gt;""""))),$AC$5+E444))"),"")</f>
        <v/>
      </c>
      <c r="G444" s="10" t="str">
        <f>IFERROR(__xludf.DUMMYFUNCTION("IF(COUNTA(C444:C1673)=0,"""",IF(C444="""",0,IF(REGEXMATCH(C444,""^Sell_""),-ROUNDDOWN(ROUNDUP(INDEX(Upgrades!$C$3:$C$13,MATCH(SUBSTITUTE(C444,""Sell_"",""""),Upgrades!$B$3:$B$13,0))*1.15^(COUNTIF(C$4:C443,SUBSTITUTE(C444,""Sell_"",""""))-COUNTIF(C$4:C443,"&amp;"""Sell_""&amp;SUBSTITUTE(C444,""Sell_"",""""))))/2),ROUNDUP(INDEX(Upgrades!$C$3:$C$13,MATCH(C444,Upgrades!$B$3:$B$13,0))*1.15^(COUNTIF(C$4:C443,C444)-COUNTIF(C$4:C443,""Sell_""&amp;C444))))))"),"")</f>
        <v/>
      </c>
      <c r="H444" s="10" t="str">
        <f t="shared" si="3"/>
        <v/>
      </c>
      <c r="I444" s="68" t="str">
        <f t="shared" si="4"/>
        <v/>
      </c>
      <c r="J444" s="59" t="str">
        <f t="shared" si="5"/>
        <v/>
      </c>
      <c r="K444" s="69" t="str">
        <f t="shared" si="6"/>
        <v/>
      </c>
      <c r="L444" s="60" t="str">
        <f t="shared" si="7"/>
        <v/>
      </c>
      <c r="M444" s="61" t="str">
        <f>IFERROR(__xludf.DUMMYFUNCTION("IFS(AND(COUNTA(C444:C1673)=0,COUNTA(Q444:Q1673)=0),"""",OR(AND(K444&gt;=1000000000,OR(Y444&gt;=1000000000,COUNTA(Q444:Q1673)=0)),OR(Y444&gt;=1000000000,AND(COUNTA(C444:C1673)=0,P$3=TRUE))),
ROUNDDOWN((AB$1-AC$1)*MAX(INDEX(T$4:T1673,MATCH(LARGE(FILTER(Y$4:Y1673,Y$4"&amp;":Y1673&lt;1000000000),1),Y$4:Y1673)),INDEX(F$4:F1673,MATCH(LARGE(FILTER(K$4:K1673,K$4:K1673&lt;1000000000),1),K$4:K1673)))),AND(K444&lt;1000000000,COUNTA(C444:C1673)&gt;0,P$3=FALSE),
ROUNDDOWN(INDEX(Y$4:Y1673,MATCH(LARGE(FILTER(W$4:W1673,W$4:W1673&lt;=I444),1),W$4:W1673"&amp;"))+(I444-LARGE(FILTER(W$4:W1673,W$4:W1673&lt;=I444),1))*INDEX(T$4:T1673,MATCH(LARGE(FILTER(W$4:W1673,W$4:W1673&lt;=I444),1),W$4:W1673))-K444),1,
ROUNDDOWN(Y444-INDEX(K$4:K1673,MATCH(LARGE(FILTER(I$4:I1673,I$4:I1673&lt;=W444),1),I$4:I1673))-(W444-LARGE(FILTER(I$4:I"&amp;"1673,I$4:I1673&lt;=W444),1))*INDEX(F$4:F1673,MATCH(LARGE(FILTER(I$4:I1673,I$4:I1673&lt;=W444),1),I$4:I1673))))"),"")</f>
        <v/>
      </c>
      <c r="N444" s="60" t="str">
        <f t="shared" si="8"/>
        <v/>
      </c>
      <c r="O444" s="61" t="str">
        <f t="shared" si="9"/>
        <v/>
      </c>
      <c r="P444" s="56" t="str">
        <f t="shared" si="10"/>
        <v/>
      </c>
      <c r="Q444" s="105"/>
      <c r="R444" s="10"/>
      <c r="S444" s="59" t="str">
        <f t="array" ref="S444">IF(COUNTA(Q444:Q1673)=0,"",SUM((COUNTIF(Q$4:Q444,Upgrades!$B$3:$B$13)-COUNTIF(Q$4:Q444,"Sell_"&amp;Upgrades!$B$3:$B$13))*Upgrades!$D$3:$D$13))</f>
        <v/>
      </c>
      <c r="T444" s="66" t="str">
        <f>IFERROR(__xludf.DUMMYFUNCTION("IF(COUNTA(Q444:Q1673)=0,"""",IF(REGEXMATCH(INDEX(FILTER(Q$4:Q444,Q$4:Q444&lt;&gt;""""),ROWS(FILTER(Q$4:Q444,Q$4:Q444&lt;&gt;""""))),""^Sell_""),INDEX(FILTER(T$4:T443,Q$4:Q443&lt;&gt;""""),ROWS(FILTER(Q$4:Q443,Q$4:Q443&lt;&gt;""""))),$AD$5+S444))"),"")</f>
        <v/>
      </c>
      <c r="U444" s="10" t="str">
        <f>IFERROR(__xludf.DUMMYFUNCTION("IF(COUNTA(Q444:Q1673)=0,"""",IF(Q444="""",0,IF(REGEXMATCH(Q444,""^Sell_""),-ROUNDDOWN(ROUNDUP(INDEX(Upgrades!$C$3:$C$13,MATCH(SUBSTITUTE(Q444,""Sell_"",""""),Upgrades!$B$3:$B$13,0))*1.15^(COUNTIF(Q$4:Q443,SUBSTITUTE(Q444,""Sell_"",""""))-COUNTIF(Q$4:Q443,"&amp;"""Sell_""&amp;SUBSTITUTE(Q444,""Sell_"",""""))))/2),ROUNDUP(INDEX(Upgrades!$C$3:$C$13,MATCH(Q444,Upgrades!$B$3:$B$13,0))*1.15^(COUNTIF(Q$4:Q443,Q444)-COUNTIF(Q$4:Q443,""Sell_""&amp;Q444))))))"),"")</f>
        <v/>
      </c>
      <c r="V444" s="10" t="str">
        <f t="shared" si="11"/>
        <v/>
      </c>
      <c r="W444" s="68" t="str">
        <f t="shared" si="12"/>
        <v/>
      </c>
      <c r="X444" s="59" t="str">
        <f t="shared" si="13"/>
        <v/>
      </c>
      <c r="Y444" s="69" t="str">
        <f t="shared" si="14"/>
        <v/>
      </c>
      <c r="Z444" s="11"/>
    </row>
    <row r="445">
      <c r="A445" s="8"/>
      <c r="B445" s="56" t="str">
        <f t="shared" si="2"/>
        <v/>
      </c>
      <c r="C445" s="105"/>
      <c r="D445" s="10"/>
      <c r="E445" s="59" t="str">
        <f t="array" ref="E445">IF(COUNTA(C445:C1673)=0,"",SUM((COUNTIF(C$4:C445,Upgrades!$B$3:$B$13)-COUNTIF(C$4:C445,"Sell_"&amp;Upgrades!$B$3:$B$13))*Upgrades!$D$3:$D$13))</f>
        <v/>
      </c>
      <c r="F445" s="66" t="str">
        <f>IFERROR(__xludf.DUMMYFUNCTION("IF(COUNTA(C445:C1673)=0,"""",IF(REGEXMATCH(INDEX(FILTER(C$4:C445,C$4:C445&lt;&gt;""""),ROWS(FILTER(C$4:C445,C$4:C445&lt;&gt;""""))),""^Sell_""),INDEX(FILTER(F$4:F444,C$4:C444&lt;&gt;""""),ROWS(FILTER(C$4:C444,C$4:C444&lt;&gt;""""))),$AC$5+E445))"),"")</f>
        <v/>
      </c>
      <c r="G445" s="10" t="str">
        <f>IFERROR(__xludf.DUMMYFUNCTION("IF(COUNTA(C445:C1673)=0,"""",IF(C445="""",0,IF(REGEXMATCH(C445,""^Sell_""),-ROUNDDOWN(ROUNDUP(INDEX(Upgrades!$C$3:$C$13,MATCH(SUBSTITUTE(C445,""Sell_"",""""),Upgrades!$B$3:$B$13,0))*1.15^(COUNTIF(C$4:C444,SUBSTITUTE(C445,""Sell_"",""""))-COUNTIF(C$4:C444,"&amp;"""Sell_""&amp;SUBSTITUTE(C445,""Sell_"",""""))))/2),ROUNDUP(INDEX(Upgrades!$C$3:$C$13,MATCH(C445,Upgrades!$B$3:$B$13,0))*1.15^(COUNTIF(C$4:C444,C445)-COUNTIF(C$4:C444,""Sell_""&amp;C445))))))"),"")</f>
        <v/>
      </c>
      <c r="H445" s="10" t="str">
        <f t="shared" si="3"/>
        <v/>
      </c>
      <c r="I445" s="68" t="str">
        <f t="shared" si="4"/>
        <v/>
      </c>
      <c r="J445" s="59" t="str">
        <f t="shared" si="5"/>
        <v/>
      </c>
      <c r="K445" s="69" t="str">
        <f t="shared" si="6"/>
        <v/>
      </c>
      <c r="L445" s="60" t="str">
        <f t="shared" si="7"/>
        <v/>
      </c>
      <c r="M445" s="61" t="str">
        <f>IFERROR(__xludf.DUMMYFUNCTION("IFS(AND(COUNTA(C445:C1673)=0,COUNTA(Q445:Q1673)=0),"""",OR(AND(K445&gt;=1000000000,OR(Y445&gt;=1000000000,COUNTA(Q445:Q1673)=0)),OR(Y445&gt;=1000000000,AND(COUNTA(C445:C1673)=0,P$3=TRUE))),
ROUNDDOWN((AB$1-AC$1)*MAX(INDEX(T$4:T1673,MATCH(LARGE(FILTER(Y$4:Y1673,Y$4"&amp;":Y1673&lt;1000000000),1),Y$4:Y1673)),INDEX(F$4:F1673,MATCH(LARGE(FILTER(K$4:K1673,K$4:K1673&lt;1000000000),1),K$4:K1673)))),AND(K445&lt;1000000000,COUNTA(C445:C1673)&gt;0,P$3=FALSE),
ROUNDDOWN(INDEX(Y$4:Y1673,MATCH(LARGE(FILTER(W$4:W1673,W$4:W1673&lt;=I445),1),W$4:W1673"&amp;"))+(I445-LARGE(FILTER(W$4:W1673,W$4:W1673&lt;=I445),1))*INDEX(T$4:T1673,MATCH(LARGE(FILTER(W$4:W1673,W$4:W1673&lt;=I445),1),W$4:W1673))-K445),1,
ROUNDDOWN(Y445-INDEX(K$4:K1673,MATCH(LARGE(FILTER(I$4:I1673,I$4:I1673&lt;=W445),1),I$4:I1673))-(W445-LARGE(FILTER(I$4:I"&amp;"1673,I$4:I1673&lt;=W445),1))*INDEX(F$4:F1673,MATCH(LARGE(FILTER(I$4:I1673,I$4:I1673&lt;=W445),1),I$4:I1673))))"),"")</f>
        <v/>
      </c>
      <c r="N445" s="60" t="str">
        <f t="shared" si="8"/>
        <v/>
      </c>
      <c r="O445" s="61" t="str">
        <f t="shared" si="9"/>
        <v/>
      </c>
      <c r="P445" s="56" t="str">
        <f t="shared" si="10"/>
        <v/>
      </c>
      <c r="Q445" s="105"/>
      <c r="R445" s="10"/>
      <c r="S445" s="59" t="str">
        <f t="array" ref="S445">IF(COUNTA(Q445:Q1673)=0,"",SUM((COUNTIF(Q$4:Q445,Upgrades!$B$3:$B$13)-COUNTIF(Q$4:Q445,"Sell_"&amp;Upgrades!$B$3:$B$13))*Upgrades!$D$3:$D$13))</f>
        <v/>
      </c>
      <c r="T445" s="66" t="str">
        <f>IFERROR(__xludf.DUMMYFUNCTION("IF(COUNTA(Q445:Q1673)=0,"""",IF(REGEXMATCH(INDEX(FILTER(Q$4:Q445,Q$4:Q445&lt;&gt;""""),ROWS(FILTER(Q$4:Q445,Q$4:Q445&lt;&gt;""""))),""^Sell_""),INDEX(FILTER(T$4:T444,Q$4:Q444&lt;&gt;""""),ROWS(FILTER(Q$4:Q444,Q$4:Q444&lt;&gt;""""))),$AD$5+S445))"),"")</f>
        <v/>
      </c>
      <c r="U445" s="10" t="str">
        <f>IFERROR(__xludf.DUMMYFUNCTION("IF(COUNTA(Q445:Q1673)=0,"""",IF(Q445="""",0,IF(REGEXMATCH(Q445,""^Sell_""),-ROUNDDOWN(ROUNDUP(INDEX(Upgrades!$C$3:$C$13,MATCH(SUBSTITUTE(Q445,""Sell_"",""""),Upgrades!$B$3:$B$13,0))*1.15^(COUNTIF(Q$4:Q444,SUBSTITUTE(Q445,""Sell_"",""""))-COUNTIF(Q$4:Q444,"&amp;"""Sell_""&amp;SUBSTITUTE(Q445,""Sell_"",""""))))/2),ROUNDUP(INDEX(Upgrades!$C$3:$C$13,MATCH(Q445,Upgrades!$B$3:$B$13,0))*1.15^(COUNTIF(Q$4:Q444,Q445)-COUNTIF(Q$4:Q444,""Sell_""&amp;Q445))))))"),"")</f>
        <v/>
      </c>
      <c r="V445" s="10" t="str">
        <f t="shared" si="11"/>
        <v/>
      </c>
      <c r="W445" s="68" t="str">
        <f t="shared" si="12"/>
        <v/>
      </c>
      <c r="X445" s="59" t="str">
        <f t="shared" si="13"/>
        <v/>
      </c>
      <c r="Y445" s="69" t="str">
        <f t="shared" si="14"/>
        <v/>
      </c>
      <c r="Z445" s="11"/>
    </row>
    <row r="446">
      <c r="A446" s="8"/>
      <c r="B446" s="56" t="str">
        <f t="shared" si="2"/>
        <v/>
      </c>
      <c r="C446" s="105"/>
      <c r="D446" s="10"/>
      <c r="E446" s="59" t="str">
        <f t="array" ref="E446">IF(COUNTA(C446:C1673)=0,"",SUM((COUNTIF(C$4:C446,Upgrades!$B$3:$B$13)-COUNTIF(C$4:C446,"Sell_"&amp;Upgrades!$B$3:$B$13))*Upgrades!$D$3:$D$13))</f>
        <v/>
      </c>
      <c r="F446" s="66" t="str">
        <f>IFERROR(__xludf.DUMMYFUNCTION("IF(COUNTA(C446:C1673)=0,"""",IF(REGEXMATCH(INDEX(FILTER(C$4:C446,C$4:C446&lt;&gt;""""),ROWS(FILTER(C$4:C446,C$4:C446&lt;&gt;""""))),""^Sell_""),INDEX(FILTER(F$4:F445,C$4:C445&lt;&gt;""""),ROWS(FILTER(C$4:C445,C$4:C445&lt;&gt;""""))),$AC$5+E446))"),"")</f>
        <v/>
      </c>
      <c r="G446" s="10" t="str">
        <f>IFERROR(__xludf.DUMMYFUNCTION("IF(COUNTA(C446:C1673)=0,"""",IF(C446="""",0,IF(REGEXMATCH(C446,""^Sell_""),-ROUNDDOWN(ROUNDUP(INDEX(Upgrades!$C$3:$C$13,MATCH(SUBSTITUTE(C446,""Sell_"",""""),Upgrades!$B$3:$B$13,0))*1.15^(COUNTIF(C$4:C445,SUBSTITUTE(C446,""Sell_"",""""))-COUNTIF(C$4:C445,"&amp;"""Sell_""&amp;SUBSTITUTE(C446,""Sell_"",""""))))/2),ROUNDUP(INDEX(Upgrades!$C$3:$C$13,MATCH(C446,Upgrades!$B$3:$B$13,0))*1.15^(COUNTIF(C$4:C445,C446)-COUNTIF(C$4:C445,""Sell_""&amp;C446))))))"),"")</f>
        <v/>
      </c>
      <c r="H446" s="10" t="str">
        <f t="shared" si="3"/>
        <v/>
      </c>
      <c r="I446" s="68" t="str">
        <f t="shared" si="4"/>
        <v/>
      </c>
      <c r="J446" s="59" t="str">
        <f t="shared" si="5"/>
        <v/>
      </c>
      <c r="K446" s="69" t="str">
        <f t="shared" si="6"/>
        <v/>
      </c>
      <c r="L446" s="60" t="str">
        <f t="shared" si="7"/>
        <v/>
      </c>
      <c r="M446" s="61" t="str">
        <f>IFERROR(__xludf.DUMMYFUNCTION("IFS(AND(COUNTA(C446:C1673)=0,COUNTA(Q446:Q1673)=0),"""",OR(AND(K446&gt;=1000000000,OR(Y446&gt;=1000000000,COUNTA(Q446:Q1673)=0)),OR(Y446&gt;=1000000000,AND(COUNTA(C446:C1673)=0,P$3=TRUE))),
ROUNDDOWN((AB$1-AC$1)*MAX(INDEX(T$4:T1673,MATCH(LARGE(FILTER(Y$4:Y1673,Y$4"&amp;":Y1673&lt;1000000000),1),Y$4:Y1673)),INDEX(F$4:F1673,MATCH(LARGE(FILTER(K$4:K1673,K$4:K1673&lt;1000000000),1),K$4:K1673)))),AND(K446&lt;1000000000,COUNTA(C446:C1673)&gt;0,P$3=FALSE),
ROUNDDOWN(INDEX(Y$4:Y1673,MATCH(LARGE(FILTER(W$4:W1673,W$4:W1673&lt;=I446),1),W$4:W1673"&amp;"))+(I446-LARGE(FILTER(W$4:W1673,W$4:W1673&lt;=I446),1))*INDEX(T$4:T1673,MATCH(LARGE(FILTER(W$4:W1673,W$4:W1673&lt;=I446),1),W$4:W1673))-K446),1,
ROUNDDOWN(Y446-INDEX(K$4:K1673,MATCH(LARGE(FILTER(I$4:I1673,I$4:I1673&lt;=W446),1),I$4:I1673))-(W446-LARGE(FILTER(I$4:I"&amp;"1673,I$4:I1673&lt;=W446),1))*INDEX(F$4:F1673,MATCH(LARGE(FILTER(I$4:I1673,I$4:I1673&lt;=W446),1),I$4:I1673))))"),"")</f>
        <v/>
      </c>
      <c r="N446" s="60" t="str">
        <f t="shared" si="8"/>
        <v/>
      </c>
      <c r="O446" s="61" t="str">
        <f t="shared" si="9"/>
        <v/>
      </c>
      <c r="P446" s="56" t="str">
        <f t="shared" si="10"/>
        <v/>
      </c>
      <c r="Q446" s="105"/>
      <c r="R446" s="10"/>
      <c r="S446" s="59" t="str">
        <f t="array" ref="S446">IF(COUNTA(Q446:Q1673)=0,"",SUM((COUNTIF(Q$4:Q446,Upgrades!$B$3:$B$13)-COUNTIF(Q$4:Q446,"Sell_"&amp;Upgrades!$B$3:$B$13))*Upgrades!$D$3:$D$13))</f>
        <v/>
      </c>
      <c r="T446" s="66" t="str">
        <f>IFERROR(__xludf.DUMMYFUNCTION("IF(COUNTA(Q446:Q1673)=0,"""",IF(REGEXMATCH(INDEX(FILTER(Q$4:Q446,Q$4:Q446&lt;&gt;""""),ROWS(FILTER(Q$4:Q446,Q$4:Q446&lt;&gt;""""))),""^Sell_""),INDEX(FILTER(T$4:T445,Q$4:Q445&lt;&gt;""""),ROWS(FILTER(Q$4:Q445,Q$4:Q445&lt;&gt;""""))),$AD$5+S446))"),"")</f>
        <v/>
      </c>
      <c r="U446" s="10" t="str">
        <f>IFERROR(__xludf.DUMMYFUNCTION("IF(COUNTA(Q446:Q1673)=0,"""",IF(Q446="""",0,IF(REGEXMATCH(Q446,""^Sell_""),-ROUNDDOWN(ROUNDUP(INDEX(Upgrades!$C$3:$C$13,MATCH(SUBSTITUTE(Q446,""Sell_"",""""),Upgrades!$B$3:$B$13,0))*1.15^(COUNTIF(Q$4:Q445,SUBSTITUTE(Q446,""Sell_"",""""))-COUNTIF(Q$4:Q445,"&amp;"""Sell_""&amp;SUBSTITUTE(Q446,""Sell_"",""""))))/2),ROUNDUP(INDEX(Upgrades!$C$3:$C$13,MATCH(Q446,Upgrades!$B$3:$B$13,0))*1.15^(COUNTIF(Q$4:Q445,Q446)-COUNTIF(Q$4:Q445,""Sell_""&amp;Q446))))))"),"")</f>
        <v/>
      </c>
      <c r="V446" s="10" t="str">
        <f t="shared" si="11"/>
        <v/>
      </c>
      <c r="W446" s="68" t="str">
        <f t="shared" si="12"/>
        <v/>
      </c>
      <c r="X446" s="59" t="str">
        <f t="shared" si="13"/>
        <v/>
      </c>
      <c r="Y446" s="69" t="str">
        <f t="shared" si="14"/>
        <v/>
      </c>
      <c r="Z446" s="11"/>
    </row>
    <row r="447">
      <c r="A447" s="8"/>
      <c r="B447" s="56" t="str">
        <f t="shared" si="2"/>
        <v/>
      </c>
      <c r="C447" s="105"/>
      <c r="D447" s="10"/>
      <c r="E447" s="59" t="str">
        <f t="array" ref="E447">IF(COUNTA(C447:C1673)=0,"",SUM((COUNTIF(C$4:C447,Upgrades!$B$3:$B$13)-COUNTIF(C$4:C447,"Sell_"&amp;Upgrades!$B$3:$B$13))*Upgrades!$D$3:$D$13))</f>
        <v/>
      </c>
      <c r="F447" s="66" t="str">
        <f>IFERROR(__xludf.DUMMYFUNCTION("IF(COUNTA(C447:C1673)=0,"""",IF(REGEXMATCH(INDEX(FILTER(C$4:C447,C$4:C447&lt;&gt;""""),ROWS(FILTER(C$4:C447,C$4:C447&lt;&gt;""""))),""^Sell_""),INDEX(FILTER(F$4:F446,C$4:C446&lt;&gt;""""),ROWS(FILTER(C$4:C446,C$4:C446&lt;&gt;""""))),$AC$5+E447))"),"")</f>
        <v/>
      </c>
      <c r="G447" s="10" t="str">
        <f>IFERROR(__xludf.DUMMYFUNCTION("IF(COUNTA(C447:C1673)=0,"""",IF(C447="""",0,IF(REGEXMATCH(C447,""^Sell_""),-ROUNDDOWN(ROUNDUP(INDEX(Upgrades!$C$3:$C$13,MATCH(SUBSTITUTE(C447,""Sell_"",""""),Upgrades!$B$3:$B$13,0))*1.15^(COUNTIF(C$4:C446,SUBSTITUTE(C447,""Sell_"",""""))-COUNTIF(C$4:C446,"&amp;"""Sell_""&amp;SUBSTITUTE(C447,""Sell_"",""""))))/2),ROUNDUP(INDEX(Upgrades!$C$3:$C$13,MATCH(C447,Upgrades!$B$3:$B$13,0))*1.15^(COUNTIF(C$4:C446,C447)-COUNTIF(C$4:C446,""Sell_""&amp;C447))))))"),"")</f>
        <v/>
      </c>
      <c r="H447" s="10" t="str">
        <f t="shared" si="3"/>
        <v/>
      </c>
      <c r="I447" s="68" t="str">
        <f t="shared" si="4"/>
        <v/>
      </c>
      <c r="J447" s="59" t="str">
        <f t="shared" si="5"/>
        <v/>
      </c>
      <c r="K447" s="69" t="str">
        <f t="shared" si="6"/>
        <v/>
      </c>
      <c r="L447" s="60" t="str">
        <f t="shared" si="7"/>
        <v/>
      </c>
      <c r="M447" s="61" t="str">
        <f>IFERROR(__xludf.DUMMYFUNCTION("IFS(AND(COUNTA(C447:C1673)=0,COUNTA(Q447:Q1673)=0),"""",OR(AND(K447&gt;=1000000000,OR(Y447&gt;=1000000000,COUNTA(Q447:Q1673)=0)),OR(Y447&gt;=1000000000,AND(COUNTA(C447:C1673)=0,P$3=TRUE))),
ROUNDDOWN((AB$1-AC$1)*MAX(INDEX(T$4:T1673,MATCH(LARGE(FILTER(Y$4:Y1673,Y$4"&amp;":Y1673&lt;1000000000),1),Y$4:Y1673)),INDEX(F$4:F1673,MATCH(LARGE(FILTER(K$4:K1673,K$4:K1673&lt;1000000000),1),K$4:K1673)))),AND(K447&lt;1000000000,COUNTA(C447:C1673)&gt;0,P$3=FALSE),
ROUNDDOWN(INDEX(Y$4:Y1673,MATCH(LARGE(FILTER(W$4:W1673,W$4:W1673&lt;=I447),1),W$4:W1673"&amp;"))+(I447-LARGE(FILTER(W$4:W1673,W$4:W1673&lt;=I447),1))*INDEX(T$4:T1673,MATCH(LARGE(FILTER(W$4:W1673,W$4:W1673&lt;=I447),1),W$4:W1673))-K447),1,
ROUNDDOWN(Y447-INDEX(K$4:K1673,MATCH(LARGE(FILTER(I$4:I1673,I$4:I1673&lt;=W447),1),I$4:I1673))-(W447-LARGE(FILTER(I$4:I"&amp;"1673,I$4:I1673&lt;=W447),1))*INDEX(F$4:F1673,MATCH(LARGE(FILTER(I$4:I1673,I$4:I1673&lt;=W447),1),I$4:I1673))))"),"")</f>
        <v/>
      </c>
      <c r="N447" s="60" t="str">
        <f t="shared" si="8"/>
        <v/>
      </c>
      <c r="O447" s="61" t="str">
        <f t="shared" si="9"/>
        <v/>
      </c>
      <c r="P447" s="56" t="str">
        <f t="shared" si="10"/>
        <v/>
      </c>
      <c r="Q447" s="105"/>
      <c r="R447" s="10"/>
      <c r="S447" s="59" t="str">
        <f t="array" ref="S447">IF(COUNTA(Q447:Q1673)=0,"",SUM((COUNTIF(Q$4:Q447,Upgrades!$B$3:$B$13)-COUNTIF(Q$4:Q447,"Sell_"&amp;Upgrades!$B$3:$B$13))*Upgrades!$D$3:$D$13))</f>
        <v/>
      </c>
      <c r="T447" s="66" t="str">
        <f>IFERROR(__xludf.DUMMYFUNCTION("IF(COUNTA(Q447:Q1673)=0,"""",IF(REGEXMATCH(INDEX(FILTER(Q$4:Q447,Q$4:Q447&lt;&gt;""""),ROWS(FILTER(Q$4:Q447,Q$4:Q447&lt;&gt;""""))),""^Sell_""),INDEX(FILTER(T$4:T446,Q$4:Q446&lt;&gt;""""),ROWS(FILTER(Q$4:Q446,Q$4:Q446&lt;&gt;""""))),$AD$5+S447))"),"")</f>
        <v/>
      </c>
      <c r="U447" s="10" t="str">
        <f>IFERROR(__xludf.DUMMYFUNCTION("IF(COUNTA(Q447:Q1673)=0,"""",IF(Q447="""",0,IF(REGEXMATCH(Q447,""^Sell_""),-ROUNDDOWN(ROUNDUP(INDEX(Upgrades!$C$3:$C$13,MATCH(SUBSTITUTE(Q447,""Sell_"",""""),Upgrades!$B$3:$B$13,0))*1.15^(COUNTIF(Q$4:Q446,SUBSTITUTE(Q447,""Sell_"",""""))-COUNTIF(Q$4:Q446,"&amp;"""Sell_""&amp;SUBSTITUTE(Q447,""Sell_"",""""))))/2),ROUNDUP(INDEX(Upgrades!$C$3:$C$13,MATCH(Q447,Upgrades!$B$3:$B$13,0))*1.15^(COUNTIF(Q$4:Q446,Q447)-COUNTIF(Q$4:Q446,""Sell_""&amp;Q447))))))"),"")</f>
        <v/>
      </c>
      <c r="V447" s="10" t="str">
        <f t="shared" si="11"/>
        <v/>
      </c>
      <c r="W447" s="68" t="str">
        <f t="shared" si="12"/>
        <v/>
      </c>
      <c r="X447" s="59" t="str">
        <f t="shared" si="13"/>
        <v/>
      </c>
      <c r="Y447" s="69" t="str">
        <f t="shared" si="14"/>
        <v/>
      </c>
      <c r="Z447" s="11"/>
    </row>
    <row r="448">
      <c r="A448" s="8"/>
      <c r="B448" s="56" t="str">
        <f t="shared" si="2"/>
        <v/>
      </c>
      <c r="C448" s="105"/>
      <c r="D448" s="10"/>
      <c r="E448" s="59" t="str">
        <f t="array" ref="E448">IF(COUNTA(C448:C1673)=0,"",SUM((COUNTIF(C$4:C448,Upgrades!$B$3:$B$13)-COUNTIF(C$4:C448,"Sell_"&amp;Upgrades!$B$3:$B$13))*Upgrades!$D$3:$D$13))</f>
        <v/>
      </c>
      <c r="F448" s="66" t="str">
        <f>IFERROR(__xludf.DUMMYFUNCTION("IF(COUNTA(C448:C1673)=0,"""",IF(REGEXMATCH(INDEX(FILTER(C$4:C448,C$4:C448&lt;&gt;""""),ROWS(FILTER(C$4:C448,C$4:C448&lt;&gt;""""))),""^Sell_""),INDEX(FILTER(F$4:F447,C$4:C447&lt;&gt;""""),ROWS(FILTER(C$4:C447,C$4:C447&lt;&gt;""""))),$AC$5+E448))"),"")</f>
        <v/>
      </c>
      <c r="G448" s="10" t="str">
        <f>IFERROR(__xludf.DUMMYFUNCTION("IF(COUNTA(C448:C1673)=0,"""",IF(C448="""",0,IF(REGEXMATCH(C448,""^Sell_""),-ROUNDDOWN(ROUNDUP(INDEX(Upgrades!$C$3:$C$13,MATCH(SUBSTITUTE(C448,""Sell_"",""""),Upgrades!$B$3:$B$13,0))*1.15^(COUNTIF(C$4:C447,SUBSTITUTE(C448,""Sell_"",""""))-COUNTIF(C$4:C447,"&amp;"""Sell_""&amp;SUBSTITUTE(C448,""Sell_"",""""))))/2),ROUNDUP(INDEX(Upgrades!$C$3:$C$13,MATCH(C448,Upgrades!$B$3:$B$13,0))*1.15^(COUNTIF(C$4:C447,C448)-COUNTIF(C$4:C447,""Sell_""&amp;C448))))))"),"")</f>
        <v/>
      </c>
      <c r="H448" s="10" t="str">
        <f t="shared" si="3"/>
        <v/>
      </c>
      <c r="I448" s="68" t="str">
        <f t="shared" si="4"/>
        <v/>
      </c>
      <c r="J448" s="59" t="str">
        <f t="shared" si="5"/>
        <v/>
      </c>
      <c r="K448" s="69" t="str">
        <f t="shared" si="6"/>
        <v/>
      </c>
      <c r="L448" s="60" t="str">
        <f t="shared" si="7"/>
        <v/>
      </c>
      <c r="M448" s="61" t="str">
        <f>IFERROR(__xludf.DUMMYFUNCTION("IFS(AND(COUNTA(C448:C1673)=0,COUNTA(Q448:Q1673)=0),"""",OR(AND(K448&gt;=1000000000,OR(Y448&gt;=1000000000,COUNTA(Q448:Q1673)=0)),OR(Y448&gt;=1000000000,AND(COUNTA(C448:C1673)=0,P$3=TRUE))),
ROUNDDOWN((AB$1-AC$1)*MAX(INDEX(T$4:T1673,MATCH(LARGE(FILTER(Y$4:Y1673,Y$4"&amp;":Y1673&lt;1000000000),1),Y$4:Y1673)),INDEX(F$4:F1673,MATCH(LARGE(FILTER(K$4:K1673,K$4:K1673&lt;1000000000),1),K$4:K1673)))),AND(K448&lt;1000000000,COUNTA(C448:C1673)&gt;0,P$3=FALSE),
ROUNDDOWN(INDEX(Y$4:Y1673,MATCH(LARGE(FILTER(W$4:W1673,W$4:W1673&lt;=I448),1),W$4:W1673"&amp;"))+(I448-LARGE(FILTER(W$4:W1673,W$4:W1673&lt;=I448),1))*INDEX(T$4:T1673,MATCH(LARGE(FILTER(W$4:W1673,W$4:W1673&lt;=I448),1),W$4:W1673))-K448),1,
ROUNDDOWN(Y448-INDEX(K$4:K1673,MATCH(LARGE(FILTER(I$4:I1673,I$4:I1673&lt;=W448),1),I$4:I1673))-(W448-LARGE(FILTER(I$4:I"&amp;"1673,I$4:I1673&lt;=W448),1))*INDEX(F$4:F1673,MATCH(LARGE(FILTER(I$4:I1673,I$4:I1673&lt;=W448),1),I$4:I1673))))"),"")</f>
        <v/>
      </c>
      <c r="N448" s="60" t="str">
        <f t="shared" si="8"/>
        <v/>
      </c>
      <c r="O448" s="61" t="str">
        <f t="shared" si="9"/>
        <v/>
      </c>
      <c r="P448" s="56" t="str">
        <f t="shared" si="10"/>
        <v/>
      </c>
      <c r="Q448" s="105"/>
      <c r="R448" s="10"/>
      <c r="S448" s="59" t="str">
        <f t="array" ref="S448">IF(COUNTA(Q448:Q1673)=0,"",SUM((COUNTIF(Q$4:Q448,Upgrades!$B$3:$B$13)-COUNTIF(Q$4:Q448,"Sell_"&amp;Upgrades!$B$3:$B$13))*Upgrades!$D$3:$D$13))</f>
        <v/>
      </c>
      <c r="T448" s="66" t="str">
        <f>IFERROR(__xludf.DUMMYFUNCTION("IF(COUNTA(Q448:Q1673)=0,"""",IF(REGEXMATCH(INDEX(FILTER(Q$4:Q448,Q$4:Q448&lt;&gt;""""),ROWS(FILTER(Q$4:Q448,Q$4:Q448&lt;&gt;""""))),""^Sell_""),INDEX(FILTER(T$4:T447,Q$4:Q447&lt;&gt;""""),ROWS(FILTER(Q$4:Q447,Q$4:Q447&lt;&gt;""""))),$AD$5+S448))"),"")</f>
        <v/>
      </c>
      <c r="U448" s="10" t="str">
        <f>IFERROR(__xludf.DUMMYFUNCTION("IF(COUNTA(Q448:Q1673)=0,"""",IF(Q448="""",0,IF(REGEXMATCH(Q448,""^Sell_""),-ROUNDDOWN(ROUNDUP(INDEX(Upgrades!$C$3:$C$13,MATCH(SUBSTITUTE(Q448,""Sell_"",""""),Upgrades!$B$3:$B$13,0))*1.15^(COUNTIF(Q$4:Q447,SUBSTITUTE(Q448,""Sell_"",""""))-COUNTIF(Q$4:Q447,"&amp;"""Sell_""&amp;SUBSTITUTE(Q448,""Sell_"",""""))))/2),ROUNDUP(INDEX(Upgrades!$C$3:$C$13,MATCH(Q448,Upgrades!$B$3:$B$13,0))*1.15^(COUNTIF(Q$4:Q447,Q448)-COUNTIF(Q$4:Q447,""Sell_""&amp;Q448))))))"),"")</f>
        <v/>
      </c>
      <c r="V448" s="10" t="str">
        <f t="shared" si="11"/>
        <v/>
      </c>
      <c r="W448" s="68" t="str">
        <f t="shared" si="12"/>
        <v/>
      </c>
      <c r="X448" s="59" t="str">
        <f t="shared" si="13"/>
        <v/>
      </c>
      <c r="Y448" s="69" t="str">
        <f t="shared" si="14"/>
        <v/>
      </c>
      <c r="Z448" s="11"/>
    </row>
    <row r="449">
      <c r="A449" s="8"/>
      <c r="B449" s="56" t="str">
        <f t="shared" si="2"/>
        <v/>
      </c>
      <c r="C449" s="105"/>
      <c r="D449" s="10"/>
      <c r="E449" s="59" t="str">
        <f t="array" ref="E449">IF(COUNTA(C449:C1673)=0,"",SUM((COUNTIF(C$4:C449,Upgrades!$B$3:$B$13)-COUNTIF(C$4:C449,"Sell_"&amp;Upgrades!$B$3:$B$13))*Upgrades!$D$3:$D$13))</f>
        <v/>
      </c>
      <c r="F449" s="66" t="str">
        <f>IFERROR(__xludf.DUMMYFUNCTION("IF(COUNTA(C449:C1673)=0,"""",IF(REGEXMATCH(INDEX(FILTER(C$4:C449,C$4:C449&lt;&gt;""""),ROWS(FILTER(C$4:C449,C$4:C449&lt;&gt;""""))),""^Sell_""),INDEX(FILTER(F$4:F448,C$4:C448&lt;&gt;""""),ROWS(FILTER(C$4:C448,C$4:C448&lt;&gt;""""))),$AC$5+E449))"),"")</f>
        <v/>
      </c>
      <c r="G449" s="10" t="str">
        <f>IFERROR(__xludf.DUMMYFUNCTION("IF(COUNTA(C449:C1673)=0,"""",IF(C449="""",0,IF(REGEXMATCH(C449,""^Sell_""),-ROUNDDOWN(ROUNDUP(INDEX(Upgrades!$C$3:$C$13,MATCH(SUBSTITUTE(C449,""Sell_"",""""),Upgrades!$B$3:$B$13,0))*1.15^(COUNTIF(C$4:C448,SUBSTITUTE(C449,""Sell_"",""""))-COUNTIF(C$4:C448,"&amp;"""Sell_""&amp;SUBSTITUTE(C449,""Sell_"",""""))))/2),ROUNDUP(INDEX(Upgrades!$C$3:$C$13,MATCH(C449,Upgrades!$B$3:$B$13,0))*1.15^(COUNTIF(C$4:C448,C449)-COUNTIF(C$4:C448,""Sell_""&amp;C449))))))"),"")</f>
        <v/>
      </c>
      <c r="H449" s="10" t="str">
        <f t="shared" si="3"/>
        <v/>
      </c>
      <c r="I449" s="68" t="str">
        <f t="shared" si="4"/>
        <v/>
      </c>
      <c r="J449" s="59" t="str">
        <f t="shared" si="5"/>
        <v/>
      </c>
      <c r="K449" s="69" t="str">
        <f t="shared" si="6"/>
        <v/>
      </c>
      <c r="L449" s="60" t="str">
        <f t="shared" si="7"/>
        <v/>
      </c>
      <c r="M449" s="61" t="str">
        <f>IFERROR(__xludf.DUMMYFUNCTION("IFS(AND(COUNTA(C449:C1673)=0,COUNTA(Q449:Q1673)=0),"""",OR(AND(K449&gt;=1000000000,OR(Y449&gt;=1000000000,COUNTA(Q449:Q1673)=0)),OR(Y449&gt;=1000000000,AND(COUNTA(C449:C1673)=0,P$3=TRUE))),
ROUNDDOWN((AB$1-AC$1)*MAX(INDEX(T$4:T1673,MATCH(LARGE(FILTER(Y$4:Y1673,Y$4"&amp;":Y1673&lt;1000000000),1),Y$4:Y1673)),INDEX(F$4:F1673,MATCH(LARGE(FILTER(K$4:K1673,K$4:K1673&lt;1000000000),1),K$4:K1673)))),AND(K449&lt;1000000000,COUNTA(C449:C1673)&gt;0,P$3=FALSE),
ROUNDDOWN(INDEX(Y$4:Y1673,MATCH(LARGE(FILTER(W$4:W1673,W$4:W1673&lt;=I449),1),W$4:W1673"&amp;"))+(I449-LARGE(FILTER(W$4:W1673,W$4:W1673&lt;=I449),1))*INDEX(T$4:T1673,MATCH(LARGE(FILTER(W$4:W1673,W$4:W1673&lt;=I449),1),W$4:W1673))-K449),1,
ROUNDDOWN(Y449-INDEX(K$4:K1673,MATCH(LARGE(FILTER(I$4:I1673,I$4:I1673&lt;=W449),1),I$4:I1673))-(W449-LARGE(FILTER(I$4:I"&amp;"1673,I$4:I1673&lt;=W449),1))*INDEX(F$4:F1673,MATCH(LARGE(FILTER(I$4:I1673,I$4:I1673&lt;=W449),1),I$4:I1673))))"),"")</f>
        <v/>
      </c>
      <c r="N449" s="60" t="str">
        <f t="shared" si="8"/>
        <v/>
      </c>
      <c r="O449" s="61" t="str">
        <f t="shared" si="9"/>
        <v/>
      </c>
      <c r="P449" s="56" t="str">
        <f t="shared" si="10"/>
        <v/>
      </c>
      <c r="Q449" s="105"/>
      <c r="R449" s="10"/>
      <c r="S449" s="59" t="str">
        <f t="array" ref="S449">IF(COUNTA(Q449:Q1673)=0,"",SUM((COUNTIF(Q$4:Q449,Upgrades!$B$3:$B$13)-COUNTIF(Q$4:Q449,"Sell_"&amp;Upgrades!$B$3:$B$13))*Upgrades!$D$3:$D$13))</f>
        <v/>
      </c>
      <c r="T449" s="66" t="str">
        <f>IFERROR(__xludf.DUMMYFUNCTION("IF(COUNTA(Q449:Q1673)=0,"""",IF(REGEXMATCH(INDEX(FILTER(Q$4:Q449,Q$4:Q449&lt;&gt;""""),ROWS(FILTER(Q$4:Q449,Q$4:Q449&lt;&gt;""""))),""^Sell_""),INDEX(FILTER(T$4:T448,Q$4:Q448&lt;&gt;""""),ROWS(FILTER(Q$4:Q448,Q$4:Q448&lt;&gt;""""))),$AD$5+S449))"),"")</f>
        <v/>
      </c>
      <c r="U449" s="10" t="str">
        <f>IFERROR(__xludf.DUMMYFUNCTION("IF(COUNTA(Q449:Q1673)=0,"""",IF(Q449="""",0,IF(REGEXMATCH(Q449,""^Sell_""),-ROUNDDOWN(ROUNDUP(INDEX(Upgrades!$C$3:$C$13,MATCH(SUBSTITUTE(Q449,""Sell_"",""""),Upgrades!$B$3:$B$13,0))*1.15^(COUNTIF(Q$4:Q448,SUBSTITUTE(Q449,""Sell_"",""""))-COUNTIF(Q$4:Q448,"&amp;"""Sell_""&amp;SUBSTITUTE(Q449,""Sell_"",""""))))/2),ROUNDUP(INDEX(Upgrades!$C$3:$C$13,MATCH(Q449,Upgrades!$B$3:$B$13,0))*1.15^(COUNTIF(Q$4:Q448,Q449)-COUNTIF(Q$4:Q448,""Sell_""&amp;Q449))))))"),"")</f>
        <v/>
      </c>
      <c r="V449" s="10" t="str">
        <f t="shared" si="11"/>
        <v/>
      </c>
      <c r="W449" s="68" t="str">
        <f t="shared" si="12"/>
        <v/>
      </c>
      <c r="X449" s="59" t="str">
        <f t="shared" si="13"/>
        <v/>
      </c>
      <c r="Y449" s="69" t="str">
        <f t="shared" si="14"/>
        <v/>
      </c>
      <c r="Z449" s="11"/>
    </row>
    <row r="450">
      <c r="A450" s="8"/>
      <c r="B450" s="56" t="str">
        <f t="shared" si="2"/>
        <v/>
      </c>
      <c r="C450" s="105"/>
      <c r="D450" s="10"/>
      <c r="E450" s="59" t="str">
        <f t="array" ref="E450">IF(COUNTA(C450:C1673)=0,"",SUM((COUNTIF(C$4:C450,Upgrades!$B$3:$B$13)-COUNTIF(C$4:C450,"Sell_"&amp;Upgrades!$B$3:$B$13))*Upgrades!$D$3:$D$13))</f>
        <v/>
      </c>
      <c r="F450" s="66" t="str">
        <f>IFERROR(__xludf.DUMMYFUNCTION("IF(COUNTA(C450:C1673)=0,"""",IF(REGEXMATCH(INDEX(FILTER(C$4:C450,C$4:C450&lt;&gt;""""),ROWS(FILTER(C$4:C450,C$4:C450&lt;&gt;""""))),""^Sell_""),INDEX(FILTER(F$4:F449,C$4:C449&lt;&gt;""""),ROWS(FILTER(C$4:C449,C$4:C449&lt;&gt;""""))),$AC$5+E450))"),"")</f>
        <v/>
      </c>
      <c r="G450" s="10" t="str">
        <f>IFERROR(__xludf.DUMMYFUNCTION("IF(COUNTA(C450:C1673)=0,"""",IF(C450="""",0,IF(REGEXMATCH(C450,""^Sell_""),-ROUNDDOWN(ROUNDUP(INDEX(Upgrades!$C$3:$C$13,MATCH(SUBSTITUTE(C450,""Sell_"",""""),Upgrades!$B$3:$B$13,0))*1.15^(COUNTIF(C$4:C449,SUBSTITUTE(C450,""Sell_"",""""))-COUNTIF(C$4:C449,"&amp;"""Sell_""&amp;SUBSTITUTE(C450,""Sell_"",""""))))/2),ROUNDUP(INDEX(Upgrades!$C$3:$C$13,MATCH(C450,Upgrades!$B$3:$B$13,0))*1.15^(COUNTIF(C$4:C449,C450)-COUNTIF(C$4:C449,""Sell_""&amp;C450))))))"),"")</f>
        <v/>
      </c>
      <c r="H450" s="10" t="str">
        <f t="shared" si="3"/>
        <v/>
      </c>
      <c r="I450" s="68" t="str">
        <f t="shared" si="4"/>
        <v/>
      </c>
      <c r="J450" s="59" t="str">
        <f t="shared" si="5"/>
        <v/>
      </c>
      <c r="K450" s="69" t="str">
        <f t="shared" si="6"/>
        <v/>
      </c>
      <c r="L450" s="60" t="str">
        <f t="shared" si="7"/>
        <v/>
      </c>
      <c r="M450" s="61" t="str">
        <f>IFERROR(__xludf.DUMMYFUNCTION("IFS(AND(COUNTA(C450:C1673)=0,COUNTA(Q450:Q1673)=0),"""",OR(AND(K450&gt;=1000000000,OR(Y450&gt;=1000000000,COUNTA(Q450:Q1673)=0)),OR(Y450&gt;=1000000000,AND(COUNTA(C450:C1673)=0,P$3=TRUE))),
ROUNDDOWN((AB$1-AC$1)*MAX(INDEX(T$4:T1673,MATCH(LARGE(FILTER(Y$4:Y1673,Y$4"&amp;":Y1673&lt;1000000000),1),Y$4:Y1673)),INDEX(F$4:F1673,MATCH(LARGE(FILTER(K$4:K1673,K$4:K1673&lt;1000000000),1),K$4:K1673)))),AND(K450&lt;1000000000,COUNTA(C450:C1673)&gt;0,P$3=FALSE),
ROUNDDOWN(INDEX(Y$4:Y1673,MATCH(LARGE(FILTER(W$4:W1673,W$4:W1673&lt;=I450),1),W$4:W1673"&amp;"))+(I450-LARGE(FILTER(W$4:W1673,W$4:W1673&lt;=I450),1))*INDEX(T$4:T1673,MATCH(LARGE(FILTER(W$4:W1673,W$4:W1673&lt;=I450),1),W$4:W1673))-K450),1,
ROUNDDOWN(Y450-INDEX(K$4:K1673,MATCH(LARGE(FILTER(I$4:I1673,I$4:I1673&lt;=W450),1),I$4:I1673))-(W450-LARGE(FILTER(I$4:I"&amp;"1673,I$4:I1673&lt;=W450),1))*INDEX(F$4:F1673,MATCH(LARGE(FILTER(I$4:I1673,I$4:I1673&lt;=W450),1),I$4:I1673))))"),"")</f>
        <v/>
      </c>
      <c r="N450" s="60" t="str">
        <f t="shared" si="8"/>
        <v/>
      </c>
      <c r="O450" s="61" t="str">
        <f t="shared" si="9"/>
        <v/>
      </c>
      <c r="P450" s="56" t="str">
        <f t="shared" si="10"/>
        <v/>
      </c>
      <c r="Q450" s="105"/>
      <c r="R450" s="10"/>
      <c r="S450" s="59" t="str">
        <f t="array" ref="S450">IF(COUNTA(Q450:Q1673)=0,"",SUM((COUNTIF(Q$4:Q450,Upgrades!$B$3:$B$13)-COUNTIF(Q$4:Q450,"Sell_"&amp;Upgrades!$B$3:$B$13))*Upgrades!$D$3:$D$13))</f>
        <v/>
      </c>
      <c r="T450" s="66" t="str">
        <f>IFERROR(__xludf.DUMMYFUNCTION("IF(COUNTA(Q450:Q1673)=0,"""",IF(REGEXMATCH(INDEX(FILTER(Q$4:Q450,Q$4:Q450&lt;&gt;""""),ROWS(FILTER(Q$4:Q450,Q$4:Q450&lt;&gt;""""))),""^Sell_""),INDEX(FILTER(T$4:T449,Q$4:Q449&lt;&gt;""""),ROWS(FILTER(Q$4:Q449,Q$4:Q449&lt;&gt;""""))),$AD$5+S450))"),"")</f>
        <v/>
      </c>
      <c r="U450" s="10" t="str">
        <f>IFERROR(__xludf.DUMMYFUNCTION("IF(COUNTA(Q450:Q1673)=0,"""",IF(Q450="""",0,IF(REGEXMATCH(Q450,""^Sell_""),-ROUNDDOWN(ROUNDUP(INDEX(Upgrades!$C$3:$C$13,MATCH(SUBSTITUTE(Q450,""Sell_"",""""),Upgrades!$B$3:$B$13,0))*1.15^(COUNTIF(Q$4:Q449,SUBSTITUTE(Q450,""Sell_"",""""))-COUNTIF(Q$4:Q449,"&amp;"""Sell_""&amp;SUBSTITUTE(Q450,""Sell_"",""""))))/2),ROUNDUP(INDEX(Upgrades!$C$3:$C$13,MATCH(Q450,Upgrades!$B$3:$B$13,0))*1.15^(COUNTIF(Q$4:Q449,Q450)-COUNTIF(Q$4:Q449,""Sell_""&amp;Q450))))))"),"")</f>
        <v/>
      </c>
      <c r="V450" s="10" t="str">
        <f t="shared" si="11"/>
        <v/>
      </c>
      <c r="W450" s="68" t="str">
        <f t="shared" si="12"/>
        <v/>
      </c>
      <c r="X450" s="59" t="str">
        <f t="shared" si="13"/>
        <v/>
      </c>
      <c r="Y450" s="69" t="str">
        <f t="shared" si="14"/>
        <v/>
      </c>
      <c r="Z450" s="11"/>
    </row>
    <row r="451">
      <c r="A451" s="8"/>
      <c r="B451" s="56" t="str">
        <f t="shared" si="2"/>
        <v/>
      </c>
      <c r="C451" s="105"/>
      <c r="D451" s="10"/>
      <c r="E451" s="59" t="str">
        <f t="array" ref="E451">IF(COUNTA(C451:C1673)=0,"",SUM((COUNTIF(C$4:C451,Upgrades!$B$3:$B$13)-COUNTIF(C$4:C451,"Sell_"&amp;Upgrades!$B$3:$B$13))*Upgrades!$D$3:$D$13))</f>
        <v/>
      </c>
      <c r="F451" s="66" t="str">
        <f>IFERROR(__xludf.DUMMYFUNCTION("IF(COUNTA(C451:C1673)=0,"""",IF(REGEXMATCH(INDEX(FILTER(C$4:C451,C$4:C451&lt;&gt;""""),ROWS(FILTER(C$4:C451,C$4:C451&lt;&gt;""""))),""^Sell_""),INDEX(FILTER(F$4:F450,C$4:C450&lt;&gt;""""),ROWS(FILTER(C$4:C450,C$4:C450&lt;&gt;""""))),$AC$5+E451))"),"")</f>
        <v/>
      </c>
      <c r="G451" s="10" t="str">
        <f>IFERROR(__xludf.DUMMYFUNCTION("IF(COUNTA(C451:C1673)=0,"""",IF(C451="""",0,IF(REGEXMATCH(C451,""^Sell_""),-ROUNDDOWN(ROUNDUP(INDEX(Upgrades!$C$3:$C$13,MATCH(SUBSTITUTE(C451,""Sell_"",""""),Upgrades!$B$3:$B$13,0))*1.15^(COUNTIF(C$4:C450,SUBSTITUTE(C451,""Sell_"",""""))-COUNTIF(C$4:C450,"&amp;"""Sell_""&amp;SUBSTITUTE(C451,""Sell_"",""""))))/2),ROUNDUP(INDEX(Upgrades!$C$3:$C$13,MATCH(C451,Upgrades!$B$3:$B$13,0))*1.15^(COUNTIF(C$4:C450,C451)-COUNTIF(C$4:C450,""Sell_""&amp;C451))))))"),"")</f>
        <v/>
      </c>
      <c r="H451" s="10" t="str">
        <f t="shared" si="3"/>
        <v/>
      </c>
      <c r="I451" s="68" t="str">
        <f t="shared" si="4"/>
        <v/>
      </c>
      <c r="J451" s="59" t="str">
        <f t="shared" si="5"/>
        <v/>
      </c>
      <c r="K451" s="69" t="str">
        <f t="shared" si="6"/>
        <v/>
      </c>
      <c r="L451" s="60" t="str">
        <f t="shared" si="7"/>
        <v/>
      </c>
      <c r="M451" s="61" t="str">
        <f>IFERROR(__xludf.DUMMYFUNCTION("IFS(AND(COUNTA(C451:C1673)=0,COUNTA(Q451:Q1673)=0),"""",OR(AND(K451&gt;=1000000000,OR(Y451&gt;=1000000000,COUNTA(Q451:Q1673)=0)),OR(Y451&gt;=1000000000,AND(COUNTA(C451:C1673)=0,P$3=TRUE))),
ROUNDDOWN((AB$1-AC$1)*MAX(INDEX(T$4:T1673,MATCH(LARGE(FILTER(Y$4:Y1673,Y$4"&amp;":Y1673&lt;1000000000),1),Y$4:Y1673)),INDEX(F$4:F1673,MATCH(LARGE(FILTER(K$4:K1673,K$4:K1673&lt;1000000000),1),K$4:K1673)))),AND(K451&lt;1000000000,COUNTA(C451:C1673)&gt;0,P$3=FALSE),
ROUNDDOWN(INDEX(Y$4:Y1673,MATCH(LARGE(FILTER(W$4:W1673,W$4:W1673&lt;=I451),1),W$4:W1673"&amp;"))+(I451-LARGE(FILTER(W$4:W1673,W$4:W1673&lt;=I451),1))*INDEX(T$4:T1673,MATCH(LARGE(FILTER(W$4:W1673,W$4:W1673&lt;=I451),1),W$4:W1673))-K451),1,
ROUNDDOWN(Y451-INDEX(K$4:K1673,MATCH(LARGE(FILTER(I$4:I1673,I$4:I1673&lt;=W451),1),I$4:I1673))-(W451-LARGE(FILTER(I$4:I"&amp;"1673,I$4:I1673&lt;=W451),1))*INDEX(F$4:F1673,MATCH(LARGE(FILTER(I$4:I1673,I$4:I1673&lt;=W451),1),I$4:I1673))))"),"")</f>
        <v/>
      </c>
      <c r="N451" s="60" t="str">
        <f t="shared" si="8"/>
        <v/>
      </c>
      <c r="O451" s="61" t="str">
        <f t="shared" si="9"/>
        <v/>
      </c>
      <c r="P451" s="56" t="str">
        <f t="shared" si="10"/>
        <v/>
      </c>
      <c r="Q451" s="105"/>
      <c r="R451" s="10"/>
      <c r="S451" s="59" t="str">
        <f t="array" ref="S451">IF(COUNTA(Q451:Q1673)=0,"",SUM((COUNTIF(Q$4:Q451,Upgrades!$B$3:$B$13)-COUNTIF(Q$4:Q451,"Sell_"&amp;Upgrades!$B$3:$B$13))*Upgrades!$D$3:$D$13))</f>
        <v/>
      </c>
      <c r="T451" s="66" t="str">
        <f>IFERROR(__xludf.DUMMYFUNCTION("IF(COUNTA(Q451:Q1673)=0,"""",IF(REGEXMATCH(INDEX(FILTER(Q$4:Q451,Q$4:Q451&lt;&gt;""""),ROWS(FILTER(Q$4:Q451,Q$4:Q451&lt;&gt;""""))),""^Sell_""),INDEX(FILTER(T$4:T450,Q$4:Q450&lt;&gt;""""),ROWS(FILTER(Q$4:Q450,Q$4:Q450&lt;&gt;""""))),$AD$5+S451))"),"")</f>
        <v/>
      </c>
      <c r="U451" s="10" t="str">
        <f>IFERROR(__xludf.DUMMYFUNCTION("IF(COUNTA(Q451:Q1673)=0,"""",IF(Q451="""",0,IF(REGEXMATCH(Q451,""^Sell_""),-ROUNDDOWN(ROUNDUP(INDEX(Upgrades!$C$3:$C$13,MATCH(SUBSTITUTE(Q451,""Sell_"",""""),Upgrades!$B$3:$B$13,0))*1.15^(COUNTIF(Q$4:Q450,SUBSTITUTE(Q451,""Sell_"",""""))-COUNTIF(Q$4:Q450,"&amp;"""Sell_""&amp;SUBSTITUTE(Q451,""Sell_"",""""))))/2),ROUNDUP(INDEX(Upgrades!$C$3:$C$13,MATCH(Q451,Upgrades!$B$3:$B$13,0))*1.15^(COUNTIF(Q$4:Q450,Q451)-COUNTIF(Q$4:Q450,""Sell_""&amp;Q451))))))"),"")</f>
        <v/>
      </c>
      <c r="V451" s="10" t="str">
        <f t="shared" si="11"/>
        <v/>
      </c>
      <c r="W451" s="68" t="str">
        <f t="shared" si="12"/>
        <v/>
      </c>
      <c r="X451" s="59" t="str">
        <f t="shared" si="13"/>
        <v/>
      </c>
      <c r="Y451" s="69" t="str">
        <f t="shared" si="14"/>
        <v/>
      </c>
      <c r="Z451" s="11"/>
    </row>
    <row r="452">
      <c r="A452" s="8"/>
      <c r="B452" s="56" t="str">
        <f t="shared" si="2"/>
        <v/>
      </c>
      <c r="C452" s="105"/>
      <c r="D452" s="10"/>
      <c r="E452" s="59" t="str">
        <f t="array" ref="E452">IF(COUNTA(C452:C1673)=0,"",SUM((COUNTIF(C$4:C452,Upgrades!$B$3:$B$13)-COUNTIF(C$4:C452,"Sell_"&amp;Upgrades!$B$3:$B$13))*Upgrades!$D$3:$D$13))</f>
        <v/>
      </c>
      <c r="F452" s="66" t="str">
        <f>IFERROR(__xludf.DUMMYFUNCTION("IF(COUNTA(C452:C1673)=0,"""",IF(REGEXMATCH(INDEX(FILTER(C$4:C452,C$4:C452&lt;&gt;""""),ROWS(FILTER(C$4:C452,C$4:C452&lt;&gt;""""))),""^Sell_""),INDEX(FILTER(F$4:F451,C$4:C451&lt;&gt;""""),ROWS(FILTER(C$4:C451,C$4:C451&lt;&gt;""""))),$AC$5+E452))"),"")</f>
        <v/>
      </c>
      <c r="G452" s="10" t="str">
        <f>IFERROR(__xludf.DUMMYFUNCTION("IF(COUNTA(C452:C1673)=0,"""",IF(C452="""",0,IF(REGEXMATCH(C452,""^Sell_""),-ROUNDDOWN(ROUNDUP(INDEX(Upgrades!$C$3:$C$13,MATCH(SUBSTITUTE(C452,""Sell_"",""""),Upgrades!$B$3:$B$13,0))*1.15^(COUNTIF(C$4:C451,SUBSTITUTE(C452,""Sell_"",""""))-COUNTIF(C$4:C451,"&amp;"""Sell_""&amp;SUBSTITUTE(C452,""Sell_"",""""))))/2),ROUNDUP(INDEX(Upgrades!$C$3:$C$13,MATCH(C452,Upgrades!$B$3:$B$13,0))*1.15^(COUNTIF(C$4:C451,C452)-COUNTIF(C$4:C451,""Sell_""&amp;C452))))))"),"")</f>
        <v/>
      </c>
      <c r="H452" s="10" t="str">
        <f t="shared" si="3"/>
        <v/>
      </c>
      <c r="I452" s="68" t="str">
        <f t="shared" si="4"/>
        <v/>
      </c>
      <c r="J452" s="59" t="str">
        <f t="shared" si="5"/>
        <v/>
      </c>
      <c r="K452" s="69" t="str">
        <f t="shared" si="6"/>
        <v/>
      </c>
      <c r="L452" s="60" t="str">
        <f t="shared" si="7"/>
        <v/>
      </c>
      <c r="M452" s="61" t="str">
        <f>IFERROR(__xludf.DUMMYFUNCTION("IFS(AND(COUNTA(C452:C1673)=0,COUNTA(Q452:Q1673)=0),"""",OR(AND(K452&gt;=1000000000,OR(Y452&gt;=1000000000,COUNTA(Q452:Q1673)=0)),OR(Y452&gt;=1000000000,AND(COUNTA(C452:C1673)=0,P$3=TRUE))),
ROUNDDOWN((AB$1-AC$1)*MAX(INDEX(T$4:T1673,MATCH(LARGE(FILTER(Y$4:Y1673,Y$4"&amp;":Y1673&lt;1000000000),1),Y$4:Y1673)),INDEX(F$4:F1673,MATCH(LARGE(FILTER(K$4:K1673,K$4:K1673&lt;1000000000),1),K$4:K1673)))),AND(K452&lt;1000000000,COUNTA(C452:C1673)&gt;0,P$3=FALSE),
ROUNDDOWN(INDEX(Y$4:Y1673,MATCH(LARGE(FILTER(W$4:W1673,W$4:W1673&lt;=I452),1),W$4:W1673"&amp;"))+(I452-LARGE(FILTER(W$4:W1673,W$4:W1673&lt;=I452),1))*INDEX(T$4:T1673,MATCH(LARGE(FILTER(W$4:W1673,W$4:W1673&lt;=I452),1),W$4:W1673))-K452),1,
ROUNDDOWN(Y452-INDEX(K$4:K1673,MATCH(LARGE(FILTER(I$4:I1673,I$4:I1673&lt;=W452),1),I$4:I1673))-(W452-LARGE(FILTER(I$4:I"&amp;"1673,I$4:I1673&lt;=W452),1))*INDEX(F$4:F1673,MATCH(LARGE(FILTER(I$4:I1673,I$4:I1673&lt;=W452),1),I$4:I1673))))"),"")</f>
        <v/>
      </c>
      <c r="N452" s="60" t="str">
        <f t="shared" si="8"/>
        <v/>
      </c>
      <c r="O452" s="61" t="str">
        <f t="shared" si="9"/>
        <v/>
      </c>
      <c r="P452" s="56" t="str">
        <f t="shared" si="10"/>
        <v/>
      </c>
      <c r="Q452" s="105"/>
      <c r="R452" s="10"/>
      <c r="S452" s="59" t="str">
        <f t="array" ref="S452">IF(COUNTA(Q452:Q1673)=0,"",SUM((COUNTIF(Q$4:Q452,Upgrades!$B$3:$B$13)-COUNTIF(Q$4:Q452,"Sell_"&amp;Upgrades!$B$3:$B$13))*Upgrades!$D$3:$D$13))</f>
        <v/>
      </c>
      <c r="T452" s="66" t="str">
        <f>IFERROR(__xludf.DUMMYFUNCTION("IF(COUNTA(Q452:Q1673)=0,"""",IF(REGEXMATCH(INDEX(FILTER(Q$4:Q452,Q$4:Q452&lt;&gt;""""),ROWS(FILTER(Q$4:Q452,Q$4:Q452&lt;&gt;""""))),""^Sell_""),INDEX(FILTER(T$4:T451,Q$4:Q451&lt;&gt;""""),ROWS(FILTER(Q$4:Q451,Q$4:Q451&lt;&gt;""""))),$AD$5+S452))"),"")</f>
        <v/>
      </c>
      <c r="U452" s="10" t="str">
        <f>IFERROR(__xludf.DUMMYFUNCTION("IF(COUNTA(Q452:Q1673)=0,"""",IF(Q452="""",0,IF(REGEXMATCH(Q452,""^Sell_""),-ROUNDDOWN(ROUNDUP(INDEX(Upgrades!$C$3:$C$13,MATCH(SUBSTITUTE(Q452,""Sell_"",""""),Upgrades!$B$3:$B$13,0))*1.15^(COUNTIF(Q$4:Q451,SUBSTITUTE(Q452,""Sell_"",""""))-COUNTIF(Q$4:Q451,"&amp;"""Sell_""&amp;SUBSTITUTE(Q452,""Sell_"",""""))))/2),ROUNDUP(INDEX(Upgrades!$C$3:$C$13,MATCH(Q452,Upgrades!$B$3:$B$13,0))*1.15^(COUNTIF(Q$4:Q451,Q452)-COUNTIF(Q$4:Q451,""Sell_""&amp;Q452))))))"),"")</f>
        <v/>
      </c>
      <c r="V452" s="10" t="str">
        <f t="shared" si="11"/>
        <v/>
      </c>
      <c r="W452" s="68" t="str">
        <f t="shared" si="12"/>
        <v/>
      </c>
      <c r="X452" s="59" t="str">
        <f t="shared" si="13"/>
        <v/>
      </c>
      <c r="Y452" s="69" t="str">
        <f t="shared" si="14"/>
        <v/>
      </c>
      <c r="Z452" s="11"/>
    </row>
    <row r="453">
      <c r="A453" s="8"/>
      <c r="B453" s="56" t="str">
        <f t="shared" si="2"/>
        <v/>
      </c>
      <c r="C453" s="105"/>
      <c r="D453" s="10"/>
      <c r="E453" s="59" t="str">
        <f t="array" ref="E453">IF(COUNTA(C453:C1673)=0,"",SUM((COUNTIF(C$4:C453,Upgrades!$B$3:$B$13)-COUNTIF(C$4:C453,"Sell_"&amp;Upgrades!$B$3:$B$13))*Upgrades!$D$3:$D$13))</f>
        <v/>
      </c>
      <c r="F453" s="66" t="str">
        <f>IFERROR(__xludf.DUMMYFUNCTION("IF(COUNTA(C453:C1673)=0,"""",IF(REGEXMATCH(INDEX(FILTER(C$4:C453,C$4:C453&lt;&gt;""""),ROWS(FILTER(C$4:C453,C$4:C453&lt;&gt;""""))),""^Sell_""),INDEX(FILTER(F$4:F452,C$4:C452&lt;&gt;""""),ROWS(FILTER(C$4:C452,C$4:C452&lt;&gt;""""))),$AC$5+E453))"),"")</f>
        <v/>
      </c>
      <c r="G453" s="10" t="str">
        <f>IFERROR(__xludf.DUMMYFUNCTION("IF(COUNTA(C453:C1673)=0,"""",IF(C453="""",0,IF(REGEXMATCH(C453,""^Sell_""),-ROUNDDOWN(ROUNDUP(INDEX(Upgrades!$C$3:$C$13,MATCH(SUBSTITUTE(C453,""Sell_"",""""),Upgrades!$B$3:$B$13,0))*1.15^(COUNTIF(C$4:C452,SUBSTITUTE(C453,""Sell_"",""""))-COUNTIF(C$4:C452,"&amp;"""Sell_""&amp;SUBSTITUTE(C453,""Sell_"",""""))))/2),ROUNDUP(INDEX(Upgrades!$C$3:$C$13,MATCH(C453,Upgrades!$B$3:$B$13,0))*1.15^(COUNTIF(C$4:C452,C453)-COUNTIF(C$4:C452,""Sell_""&amp;C453))))))"),"")</f>
        <v/>
      </c>
      <c r="H453" s="10" t="str">
        <f t="shared" si="3"/>
        <v/>
      </c>
      <c r="I453" s="68" t="str">
        <f t="shared" si="4"/>
        <v/>
      </c>
      <c r="J453" s="59" t="str">
        <f t="shared" si="5"/>
        <v/>
      </c>
      <c r="K453" s="69" t="str">
        <f t="shared" si="6"/>
        <v/>
      </c>
      <c r="L453" s="60" t="str">
        <f t="shared" si="7"/>
        <v/>
      </c>
      <c r="M453" s="61" t="str">
        <f>IFERROR(__xludf.DUMMYFUNCTION("IFS(AND(COUNTA(C453:C1673)=0,COUNTA(Q453:Q1673)=0),"""",OR(AND(K453&gt;=1000000000,OR(Y453&gt;=1000000000,COUNTA(Q453:Q1673)=0)),OR(Y453&gt;=1000000000,AND(COUNTA(C453:C1673)=0,P$3=TRUE))),
ROUNDDOWN((AB$1-AC$1)*MAX(INDEX(T$4:T1673,MATCH(LARGE(FILTER(Y$4:Y1673,Y$4"&amp;":Y1673&lt;1000000000),1),Y$4:Y1673)),INDEX(F$4:F1673,MATCH(LARGE(FILTER(K$4:K1673,K$4:K1673&lt;1000000000),1),K$4:K1673)))),AND(K453&lt;1000000000,COUNTA(C453:C1673)&gt;0,P$3=FALSE),
ROUNDDOWN(INDEX(Y$4:Y1673,MATCH(LARGE(FILTER(W$4:W1673,W$4:W1673&lt;=I453),1),W$4:W1673"&amp;"))+(I453-LARGE(FILTER(W$4:W1673,W$4:W1673&lt;=I453),1))*INDEX(T$4:T1673,MATCH(LARGE(FILTER(W$4:W1673,W$4:W1673&lt;=I453),1),W$4:W1673))-K453),1,
ROUNDDOWN(Y453-INDEX(K$4:K1673,MATCH(LARGE(FILTER(I$4:I1673,I$4:I1673&lt;=W453),1),I$4:I1673))-(W453-LARGE(FILTER(I$4:I"&amp;"1673,I$4:I1673&lt;=W453),1))*INDEX(F$4:F1673,MATCH(LARGE(FILTER(I$4:I1673,I$4:I1673&lt;=W453),1),I$4:I1673))))"),"")</f>
        <v/>
      </c>
      <c r="N453" s="60" t="str">
        <f t="shared" si="8"/>
        <v/>
      </c>
      <c r="O453" s="61" t="str">
        <f t="shared" si="9"/>
        <v/>
      </c>
      <c r="P453" s="56" t="str">
        <f t="shared" si="10"/>
        <v/>
      </c>
      <c r="Q453" s="105"/>
      <c r="R453" s="10"/>
      <c r="S453" s="59" t="str">
        <f t="array" ref="S453">IF(COUNTA(Q453:Q1673)=0,"",SUM((COUNTIF(Q$4:Q453,Upgrades!$B$3:$B$13)-COUNTIF(Q$4:Q453,"Sell_"&amp;Upgrades!$B$3:$B$13))*Upgrades!$D$3:$D$13))</f>
        <v/>
      </c>
      <c r="T453" s="66" t="str">
        <f>IFERROR(__xludf.DUMMYFUNCTION("IF(COUNTA(Q453:Q1673)=0,"""",IF(REGEXMATCH(INDEX(FILTER(Q$4:Q453,Q$4:Q453&lt;&gt;""""),ROWS(FILTER(Q$4:Q453,Q$4:Q453&lt;&gt;""""))),""^Sell_""),INDEX(FILTER(T$4:T452,Q$4:Q452&lt;&gt;""""),ROWS(FILTER(Q$4:Q452,Q$4:Q452&lt;&gt;""""))),$AD$5+S453))"),"")</f>
        <v/>
      </c>
      <c r="U453" s="10" t="str">
        <f>IFERROR(__xludf.DUMMYFUNCTION("IF(COUNTA(Q453:Q1673)=0,"""",IF(Q453="""",0,IF(REGEXMATCH(Q453,""^Sell_""),-ROUNDDOWN(ROUNDUP(INDEX(Upgrades!$C$3:$C$13,MATCH(SUBSTITUTE(Q453,""Sell_"",""""),Upgrades!$B$3:$B$13,0))*1.15^(COUNTIF(Q$4:Q452,SUBSTITUTE(Q453,""Sell_"",""""))-COUNTIF(Q$4:Q452,"&amp;"""Sell_""&amp;SUBSTITUTE(Q453,""Sell_"",""""))))/2),ROUNDUP(INDEX(Upgrades!$C$3:$C$13,MATCH(Q453,Upgrades!$B$3:$B$13,0))*1.15^(COUNTIF(Q$4:Q452,Q453)-COUNTIF(Q$4:Q452,""Sell_""&amp;Q453))))))"),"")</f>
        <v/>
      </c>
      <c r="V453" s="10" t="str">
        <f t="shared" si="11"/>
        <v/>
      </c>
      <c r="W453" s="68" t="str">
        <f t="shared" si="12"/>
        <v/>
      </c>
      <c r="X453" s="59" t="str">
        <f t="shared" si="13"/>
        <v/>
      </c>
      <c r="Y453" s="69" t="str">
        <f t="shared" si="14"/>
        <v/>
      </c>
      <c r="Z453" s="11"/>
    </row>
    <row r="454">
      <c r="A454" s="8"/>
      <c r="B454" s="56" t="str">
        <f t="shared" si="2"/>
        <v/>
      </c>
      <c r="C454" s="105"/>
      <c r="D454" s="10"/>
      <c r="E454" s="59" t="str">
        <f t="array" ref="E454">IF(COUNTA(C454:C1673)=0,"",SUM((COUNTIF(C$4:C454,Upgrades!$B$3:$B$13)-COUNTIF(C$4:C454,"Sell_"&amp;Upgrades!$B$3:$B$13))*Upgrades!$D$3:$D$13))</f>
        <v/>
      </c>
      <c r="F454" s="66" t="str">
        <f>IFERROR(__xludf.DUMMYFUNCTION("IF(COUNTA(C454:C1673)=0,"""",IF(REGEXMATCH(INDEX(FILTER(C$4:C454,C$4:C454&lt;&gt;""""),ROWS(FILTER(C$4:C454,C$4:C454&lt;&gt;""""))),""^Sell_""),INDEX(FILTER(F$4:F453,C$4:C453&lt;&gt;""""),ROWS(FILTER(C$4:C453,C$4:C453&lt;&gt;""""))),$AC$5+E454))"),"")</f>
        <v/>
      </c>
      <c r="G454" s="10" t="str">
        <f>IFERROR(__xludf.DUMMYFUNCTION("IF(COUNTA(C454:C1673)=0,"""",IF(C454="""",0,IF(REGEXMATCH(C454,""^Sell_""),-ROUNDDOWN(ROUNDUP(INDEX(Upgrades!$C$3:$C$13,MATCH(SUBSTITUTE(C454,""Sell_"",""""),Upgrades!$B$3:$B$13,0))*1.15^(COUNTIF(C$4:C453,SUBSTITUTE(C454,""Sell_"",""""))-COUNTIF(C$4:C453,"&amp;"""Sell_""&amp;SUBSTITUTE(C454,""Sell_"",""""))))/2),ROUNDUP(INDEX(Upgrades!$C$3:$C$13,MATCH(C454,Upgrades!$B$3:$B$13,0))*1.15^(COUNTIF(C$4:C453,C454)-COUNTIF(C$4:C453,""Sell_""&amp;C454))))))"),"")</f>
        <v/>
      </c>
      <c r="H454" s="10" t="str">
        <f t="shared" si="3"/>
        <v/>
      </c>
      <c r="I454" s="68" t="str">
        <f t="shared" si="4"/>
        <v/>
      </c>
      <c r="J454" s="59" t="str">
        <f t="shared" si="5"/>
        <v/>
      </c>
      <c r="K454" s="69" t="str">
        <f t="shared" si="6"/>
        <v/>
      </c>
      <c r="L454" s="60" t="str">
        <f t="shared" si="7"/>
        <v/>
      </c>
      <c r="M454" s="61" t="str">
        <f>IFERROR(__xludf.DUMMYFUNCTION("IFS(AND(COUNTA(C454:C1673)=0,COUNTA(Q454:Q1673)=0),"""",OR(AND(K454&gt;=1000000000,OR(Y454&gt;=1000000000,COUNTA(Q454:Q1673)=0)),OR(Y454&gt;=1000000000,AND(COUNTA(C454:C1673)=0,P$3=TRUE))),
ROUNDDOWN((AB$1-AC$1)*MAX(INDEX(T$4:T1673,MATCH(LARGE(FILTER(Y$4:Y1673,Y$4"&amp;":Y1673&lt;1000000000),1),Y$4:Y1673)),INDEX(F$4:F1673,MATCH(LARGE(FILTER(K$4:K1673,K$4:K1673&lt;1000000000),1),K$4:K1673)))),AND(K454&lt;1000000000,COUNTA(C454:C1673)&gt;0,P$3=FALSE),
ROUNDDOWN(INDEX(Y$4:Y1673,MATCH(LARGE(FILTER(W$4:W1673,W$4:W1673&lt;=I454),1),W$4:W1673"&amp;"))+(I454-LARGE(FILTER(W$4:W1673,W$4:W1673&lt;=I454),1))*INDEX(T$4:T1673,MATCH(LARGE(FILTER(W$4:W1673,W$4:W1673&lt;=I454),1),W$4:W1673))-K454),1,
ROUNDDOWN(Y454-INDEX(K$4:K1673,MATCH(LARGE(FILTER(I$4:I1673,I$4:I1673&lt;=W454),1),I$4:I1673))-(W454-LARGE(FILTER(I$4:I"&amp;"1673,I$4:I1673&lt;=W454),1))*INDEX(F$4:F1673,MATCH(LARGE(FILTER(I$4:I1673,I$4:I1673&lt;=W454),1),I$4:I1673))))"),"")</f>
        <v/>
      </c>
      <c r="N454" s="60" t="str">
        <f t="shared" si="8"/>
        <v/>
      </c>
      <c r="O454" s="61" t="str">
        <f t="shared" si="9"/>
        <v/>
      </c>
      <c r="P454" s="56" t="str">
        <f t="shared" si="10"/>
        <v/>
      </c>
      <c r="Q454" s="105"/>
      <c r="R454" s="10"/>
      <c r="S454" s="59" t="str">
        <f t="array" ref="S454">IF(COUNTA(Q454:Q1673)=0,"",SUM((COUNTIF(Q$4:Q454,Upgrades!$B$3:$B$13)-COUNTIF(Q$4:Q454,"Sell_"&amp;Upgrades!$B$3:$B$13))*Upgrades!$D$3:$D$13))</f>
        <v/>
      </c>
      <c r="T454" s="66" t="str">
        <f>IFERROR(__xludf.DUMMYFUNCTION("IF(COUNTA(Q454:Q1673)=0,"""",IF(REGEXMATCH(INDEX(FILTER(Q$4:Q454,Q$4:Q454&lt;&gt;""""),ROWS(FILTER(Q$4:Q454,Q$4:Q454&lt;&gt;""""))),""^Sell_""),INDEX(FILTER(T$4:T453,Q$4:Q453&lt;&gt;""""),ROWS(FILTER(Q$4:Q453,Q$4:Q453&lt;&gt;""""))),$AD$5+S454))"),"")</f>
        <v/>
      </c>
      <c r="U454" s="10" t="str">
        <f>IFERROR(__xludf.DUMMYFUNCTION("IF(COUNTA(Q454:Q1673)=0,"""",IF(Q454="""",0,IF(REGEXMATCH(Q454,""^Sell_""),-ROUNDDOWN(ROUNDUP(INDEX(Upgrades!$C$3:$C$13,MATCH(SUBSTITUTE(Q454,""Sell_"",""""),Upgrades!$B$3:$B$13,0))*1.15^(COUNTIF(Q$4:Q453,SUBSTITUTE(Q454,""Sell_"",""""))-COUNTIF(Q$4:Q453,"&amp;"""Sell_""&amp;SUBSTITUTE(Q454,""Sell_"",""""))))/2),ROUNDUP(INDEX(Upgrades!$C$3:$C$13,MATCH(Q454,Upgrades!$B$3:$B$13,0))*1.15^(COUNTIF(Q$4:Q453,Q454)-COUNTIF(Q$4:Q453,""Sell_""&amp;Q454))))))"),"")</f>
        <v/>
      </c>
      <c r="V454" s="10" t="str">
        <f t="shared" si="11"/>
        <v/>
      </c>
      <c r="W454" s="68" t="str">
        <f t="shared" si="12"/>
        <v/>
      </c>
      <c r="X454" s="59" t="str">
        <f t="shared" si="13"/>
        <v/>
      </c>
      <c r="Y454" s="69" t="str">
        <f t="shared" si="14"/>
        <v/>
      </c>
      <c r="Z454" s="11"/>
    </row>
    <row r="455">
      <c r="A455" s="8"/>
      <c r="B455" s="56" t="str">
        <f t="shared" si="2"/>
        <v/>
      </c>
      <c r="C455" s="105"/>
      <c r="D455" s="10"/>
      <c r="E455" s="59" t="str">
        <f t="array" ref="E455">IF(COUNTA(C455:C1673)=0,"",SUM((COUNTIF(C$4:C455,Upgrades!$B$3:$B$13)-COUNTIF(C$4:C455,"Sell_"&amp;Upgrades!$B$3:$B$13))*Upgrades!$D$3:$D$13))</f>
        <v/>
      </c>
      <c r="F455" s="66" t="str">
        <f>IFERROR(__xludf.DUMMYFUNCTION("IF(COUNTA(C455:C1673)=0,"""",IF(REGEXMATCH(INDEX(FILTER(C$4:C455,C$4:C455&lt;&gt;""""),ROWS(FILTER(C$4:C455,C$4:C455&lt;&gt;""""))),""^Sell_""),INDEX(FILTER(F$4:F454,C$4:C454&lt;&gt;""""),ROWS(FILTER(C$4:C454,C$4:C454&lt;&gt;""""))),$AC$5+E455))"),"")</f>
        <v/>
      </c>
      <c r="G455" s="10" t="str">
        <f>IFERROR(__xludf.DUMMYFUNCTION("IF(COUNTA(C455:C1673)=0,"""",IF(C455="""",0,IF(REGEXMATCH(C455,""^Sell_""),-ROUNDDOWN(ROUNDUP(INDEX(Upgrades!$C$3:$C$13,MATCH(SUBSTITUTE(C455,""Sell_"",""""),Upgrades!$B$3:$B$13,0))*1.15^(COUNTIF(C$4:C454,SUBSTITUTE(C455,""Sell_"",""""))-COUNTIF(C$4:C454,"&amp;"""Sell_""&amp;SUBSTITUTE(C455,""Sell_"",""""))))/2),ROUNDUP(INDEX(Upgrades!$C$3:$C$13,MATCH(C455,Upgrades!$B$3:$B$13,0))*1.15^(COUNTIF(C$4:C454,C455)-COUNTIF(C$4:C454,""Sell_""&amp;C455))))))"),"")</f>
        <v/>
      </c>
      <c r="H455" s="10" t="str">
        <f t="shared" si="3"/>
        <v/>
      </c>
      <c r="I455" s="68" t="str">
        <f t="shared" si="4"/>
        <v/>
      </c>
      <c r="J455" s="59" t="str">
        <f t="shared" si="5"/>
        <v/>
      </c>
      <c r="K455" s="69" t="str">
        <f t="shared" si="6"/>
        <v/>
      </c>
      <c r="L455" s="60" t="str">
        <f t="shared" si="7"/>
        <v/>
      </c>
      <c r="M455" s="61" t="str">
        <f>IFERROR(__xludf.DUMMYFUNCTION("IFS(AND(COUNTA(C455:C1673)=0,COUNTA(Q455:Q1673)=0),"""",OR(AND(K455&gt;=1000000000,OR(Y455&gt;=1000000000,COUNTA(Q455:Q1673)=0)),OR(Y455&gt;=1000000000,AND(COUNTA(C455:C1673)=0,P$3=TRUE))),
ROUNDDOWN((AB$1-AC$1)*MAX(INDEX(T$4:T1673,MATCH(LARGE(FILTER(Y$4:Y1673,Y$4"&amp;":Y1673&lt;1000000000),1),Y$4:Y1673)),INDEX(F$4:F1673,MATCH(LARGE(FILTER(K$4:K1673,K$4:K1673&lt;1000000000),1),K$4:K1673)))),AND(K455&lt;1000000000,COUNTA(C455:C1673)&gt;0,P$3=FALSE),
ROUNDDOWN(INDEX(Y$4:Y1673,MATCH(LARGE(FILTER(W$4:W1673,W$4:W1673&lt;=I455),1),W$4:W1673"&amp;"))+(I455-LARGE(FILTER(W$4:W1673,W$4:W1673&lt;=I455),1))*INDEX(T$4:T1673,MATCH(LARGE(FILTER(W$4:W1673,W$4:W1673&lt;=I455),1),W$4:W1673))-K455),1,
ROUNDDOWN(Y455-INDEX(K$4:K1673,MATCH(LARGE(FILTER(I$4:I1673,I$4:I1673&lt;=W455),1),I$4:I1673))-(W455-LARGE(FILTER(I$4:I"&amp;"1673,I$4:I1673&lt;=W455),1))*INDEX(F$4:F1673,MATCH(LARGE(FILTER(I$4:I1673,I$4:I1673&lt;=W455),1),I$4:I1673))))"),"")</f>
        <v/>
      </c>
      <c r="N455" s="60" t="str">
        <f t="shared" si="8"/>
        <v/>
      </c>
      <c r="O455" s="61" t="str">
        <f t="shared" si="9"/>
        <v/>
      </c>
      <c r="P455" s="56" t="str">
        <f t="shared" si="10"/>
        <v/>
      </c>
      <c r="Q455" s="105"/>
      <c r="R455" s="10"/>
      <c r="S455" s="59" t="str">
        <f t="array" ref="S455">IF(COUNTA(Q455:Q1673)=0,"",SUM((COUNTIF(Q$4:Q455,Upgrades!$B$3:$B$13)-COUNTIF(Q$4:Q455,"Sell_"&amp;Upgrades!$B$3:$B$13))*Upgrades!$D$3:$D$13))</f>
        <v/>
      </c>
      <c r="T455" s="66" t="str">
        <f>IFERROR(__xludf.DUMMYFUNCTION("IF(COUNTA(Q455:Q1673)=0,"""",IF(REGEXMATCH(INDEX(FILTER(Q$4:Q455,Q$4:Q455&lt;&gt;""""),ROWS(FILTER(Q$4:Q455,Q$4:Q455&lt;&gt;""""))),""^Sell_""),INDEX(FILTER(T$4:T454,Q$4:Q454&lt;&gt;""""),ROWS(FILTER(Q$4:Q454,Q$4:Q454&lt;&gt;""""))),$AD$5+S455))"),"")</f>
        <v/>
      </c>
      <c r="U455" s="10" t="str">
        <f>IFERROR(__xludf.DUMMYFUNCTION("IF(COUNTA(Q455:Q1673)=0,"""",IF(Q455="""",0,IF(REGEXMATCH(Q455,""^Sell_""),-ROUNDDOWN(ROUNDUP(INDEX(Upgrades!$C$3:$C$13,MATCH(SUBSTITUTE(Q455,""Sell_"",""""),Upgrades!$B$3:$B$13,0))*1.15^(COUNTIF(Q$4:Q454,SUBSTITUTE(Q455,""Sell_"",""""))-COUNTIF(Q$4:Q454,"&amp;"""Sell_""&amp;SUBSTITUTE(Q455,""Sell_"",""""))))/2),ROUNDUP(INDEX(Upgrades!$C$3:$C$13,MATCH(Q455,Upgrades!$B$3:$B$13,0))*1.15^(COUNTIF(Q$4:Q454,Q455)-COUNTIF(Q$4:Q454,""Sell_""&amp;Q455))))))"),"")</f>
        <v/>
      </c>
      <c r="V455" s="10" t="str">
        <f t="shared" si="11"/>
        <v/>
      </c>
      <c r="W455" s="68" t="str">
        <f t="shared" si="12"/>
        <v/>
      </c>
      <c r="X455" s="59" t="str">
        <f t="shared" si="13"/>
        <v/>
      </c>
      <c r="Y455" s="69" t="str">
        <f t="shared" si="14"/>
        <v/>
      </c>
      <c r="Z455" s="11"/>
    </row>
    <row r="456">
      <c r="A456" s="8"/>
      <c r="B456" s="56" t="str">
        <f t="shared" si="2"/>
        <v/>
      </c>
      <c r="C456" s="105"/>
      <c r="D456" s="10"/>
      <c r="E456" s="59" t="str">
        <f t="array" ref="E456">IF(COUNTA(C456:C1673)=0,"",SUM((COUNTIF(C$4:C456,Upgrades!$B$3:$B$13)-COUNTIF(C$4:C456,"Sell_"&amp;Upgrades!$B$3:$B$13))*Upgrades!$D$3:$D$13))</f>
        <v/>
      </c>
      <c r="F456" s="66" t="str">
        <f>IFERROR(__xludf.DUMMYFUNCTION("IF(COUNTA(C456:C1673)=0,"""",IF(REGEXMATCH(INDEX(FILTER(C$4:C456,C$4:C456&lt;&gt;""""),ROWS(FILTER(C$4:C456,C$4:C456&lt;&gt;""""))),""^Sell_""),INDEX(FILTER(F$4:F455,C$4:C455&lt;&gt;""""),ROWS(FILTER(C$4:C455,C$4:C455&lt;&gt;""""))),$AC$5+E456))"),"")</f>
        <v/>
      </c>
      <c r="G456" s="10" t="str">
        <f>IFERROR(__xludf.DUMMYFUNCTION("IF(COUNTA(C456:C1673)=0,"""",IF(C456="""",0,IF(REGEXMATCH(C456,""^Sell_""),-ROUNDDOWN(ROUNDUP(INDEX(Upgrades!$C$3:$C$13,MATCH(SUBSTITUTE(C456,""Sell_"",""""),Upgrades!$B$3:$B$13,0))*1.15^(COUNTIF(C$4:C455,SUBSTITUTE(C456,""Sell_"",""""))-COUNTIF(C$4:C455,"&amp;"""Sell_""&amp;SUBSTITUTE(C456,""Sell_"",""""))))/2),ROUNDUP(INDEX(Upgrades!$C$3:$C$13,MATCH(C456,Upgrades!$B$3:$B$13,0))*1.15^(COUNTIF(C$4:C455,C456)-COUNTIF(C$4:C455,""Sell_""&amp;C456))))))"),"")</f>
        <v/>
      </c>
      <c r="H456" s="10" t="str">
        <f t="shared" si="3"/>
        <v/>
      </c>
      <c r="I456" s="68" t="str">
        <f t="shared" si="4"/>
        <v/>
      </c>
      <c r="J456" s="59" t="str">
        <f t="shared" si="5"/>
        <v/>
      </c>
      <c r="K456" s="69" t="str">
        <f t="shared" si="6"/>
        <v/>
      </c>
      <c r="L456" s="60" t="str">
        <f t="shared" si="7"/>
        <v/>
      </c>
      <c r="M456" s="61" t="str">
        <f>IFERROR(__xludf.DUMMYFUNCTION("IFS(AND(COUNTA(C456:C1673)=0,COUNTA(Q456:Q1673)=0),"""",OR(AND(K456&gt;=1000000000,OR(Y456&gt;=1000000000,COUNTA(Q456:Q1673)=0)),OR(Y456&gt;=1000000000,AND(COUNTA(C456:C1673)=0,P$3=TRUE))),
ROUNDDOWN((AB$1-AC$1)*MAX(INDEX(T$4:T1673,MATCH(LARGE(FILTER(Y$4:Y1673,Y$4"&amp;":Y1673&lt;1000000000),1),Y$4:Y1673)),INDEX(F$4:F1673,MATCH(LARGE(FILTER(K$4:K1673,K$4:K1673&lt;1000000000),1),K$4:K1673)))),AND(K456&lt;1000000000,COUNTA(C456:C1673)&gt;0,P$3=FALSE),
ROUNDDOWN(INDEX(Y$4:Y1673,MATCH(LARGE(FILTER(W$4:W1673,W$4:W1673&lt;=I456),1),W$4:W1673"&amp;"))+(I456-LARGE(FILTER(W$4:W1673,W$4:W1673&lt;=I456),1))*INDEX(T$4:T1673,MATCH(LARGE(FILTER(W$4:W1673,W$4:W1673&lt;=I456),1),W$4:W1673))-K456),1,
ROUNDDOWN(Y456-INDEX(K$4:K1673,MATCH(LARGE(FILTER(I$4:I1673,I$4:I1673&lt;=W456),1),I$4:I1673))-(W456-LARGE(FILTER(I$4:I"&amp;"1673,I$4:I1673&lt;=W456),1))*INDEX(F$4:F1673,MATCH(LARGE(FILTER(I$4:I1673,I$4:I1673&lt;=W456),1),I$4:I1673))))"),"")</f>
        <v/>
      </c>
      <c r="N456" s="60" t="str">
        <f t="shared" si="8"/>
        <v/>
      </c>
      <c r="O456" s="61" t="str">
        <f t="shared" si="9"/>
        <v/>
      </c>
      <c r="P456" s="56" t="str">
        <f t="shared" si="10"/>
        <v/>
      </c>
      <c r="Q456" s="105"/>
      <c r="R456" s="10"/>
      <c r="S456" s="59" t="str">
        <f t="array" ref="S456">IF(COUNTA(Q456:Q1673)=0,"",SUM((COUNTIF(Q$4:Q456,Upgrades!$B$3:$B$13)-COUNTIF(Q$4:Q456,"Sell_"&amp;Upgrades!$B$3:$B$13))*Upgrades!$D$3:$D$13))</f>
        <v/>
      </c>
      <c r="T456" s="66" t="str">
        <f>IFERROR(__xludf.DUMMYFUNCTION("IF(COUNTA(Q456:Q1673)=0,"""",IF(REGEXMATCH(INDEX(FILTER(Q$4:Q456,Q$4:Q456&lt;&gt;""""),ROWS(FILTER(Q$4:Q456,Q$4:Q456&lt;&gt;""""))),""^Sell_""),INDEX(FILTER(T$4:T455,Q$4:Q455&lt;&gt;""""),ROWS(FILTER(Q$4:Q455,Q$4:Q455&lt;&gt;""""))),$AD$5+S456))"),"")</f>
        <v/>
      </c>
      <c r="U456" s="10" t="str">
        <f>IFERROR(__xludf.DUMMYFUNCTION("IF(COUNTA(Q456:Q1673)=0,"""",IF(Q456="""",0,IF(REGEXMATCH(Q456,""^Sell_""),-ROUNDDOWN(ROUNDUP(INDEX(Upgrades!$C$3:$C$13,MATCH(SUBSTITUTE(Q456,""Sell_"",""""),Upgrades!$B$3:$B$13,0))*1.15^(COUNTIF(Q$4:Q455,SUBSTITUTE(Q456,""Sell_"",""""))-COUNTIF(Q$4:Q455,"&amp;"""Sell_""&amp;SUBSTITUTE(Q456,""Sell_"",""""))))/2),ROUNDUP(INDEX(Upgrades!$C$3:$C$13,MATCH(Q456,Upgrades!$B$3:$B$13,0))*1.15^(COUNTIF(Q$4:Q455,Q456)-COUNTIF(Q$4:Q455,""Sell_""&amp;Q456))))))"),"")</f>
        <v/>
      </c>
      <c r="V456" s="10" t="str">
        <f t="shared" si="11"/>
        <v/>
      </c>
      <c r="W456" s="68" t="str">
        <f t="shared" si="12"/>
        <v/>
      </c>
      <c r="X456" s="59" t="str">
        <f t="shared" si="13"/>
        <v/>
      </c>
      <c r="Y456" s="69" t="str">
        <f t="shared" si="14"/>
        <v/>
      </c>
      <c r="Z456" s="11"/>
    </row>
    <row r="457">
      <c r="A457" s="8"/>
      <c r="B457" s="56" t="str">
        <f t="shared" si="2"/>
        <v/>
      </c>
      <c r="C457" s="105"/>
      <c r="D457" s="10"/>
      <c r="E457" s="59" t="str">
        <f t="array" ref="E457">IF(COUNTA(C457:C1673)=0,"",SUM((COUNTIF(C$4:C457,Upgrades!$B$3:$B$13)-COUNTIF(C$4:C457,"Sell_"&amp;Upgrades!$B$3:$B$13))*Upgrades!$D$3:$D$13))</f>
        <v/>
      </c>
      <c r="F457" s="66" t="str">
        <f>IFERROR(__xludf.DUMMYFUNCTION("IF(COUNTA(C457:C1673)=0,"""",IF(REGEXMATCH(INDEX(FILTER(C$4:C457,C$4:C457&lt;&gt;""""),ROWS(FILTER(C$4:C457,C$4:C457&lt;&gt;""""))),""^Sell_""),INDEX(FILTER(F$4:F456,C$4:C456&lt;&gt;""""),ROWS(FILTER(C$4:C456,C$4:C456&lt;&gt;""""))),$AC$5+E457))"),"")</f>
        <v/>
      </c>
      <c r="G457" s="10" t="str">
        <f>IFERROR(__xludf.DUMMYFUNCTION("IF(COUNTA(C457:C1673)=0,"""",IF(C457="""",0,IF(REGEXMATCH(C457,""^Sell_""),-ROUNDDOWN(ROUNDUP(INDEX(Upgrades!$C$3:$C$13,MATCH(SUBSTITUTE(C457,""Sell_"",""""),Upgrades!$B$3:$B$13,0))*1.15^(COUNTIF(C$4:C456,SUBSTITUTE(C457,""Sell_"",""""))-COUNTIF(C$4:C456,"&amp;"""Sell_""&amp;SUBSTITUTE(C457,""Sell_"",""""))))/2),ROUNDUP(INDEX(Upgrades!$C$3:$C$13,MATCH(C457,Upgrades!$B$3:$B$13,0))*1.15^(COUNTIF(C$4:C456,C457)-COUNTIF(C$4:C456,""Sell_""&amp;C457))))))"),"")</f>
        <v/>
      </c>
      <c r="H457" s="10" t="str">
        <f t="shared" si="3"/>
        <v/>
      </c>
      <c r="I457" s="68" t="str">
        <f t="shared" si="4"/>
        <v/>
      </c>
      <c r="J457" s="59" t="str">
        <f t="shared" si="5"/>
        <v/>
      </c>
      <c r="K457" s="69" t="str">
        <f t="shared" si="6"/>
        <v/>
      </c>
      <c r="L457" s="60" t="str">
        <f t="shared" si="7"/>
        <v/>
      </c>
      <c r="M457" s="61" t="str">
        <f>IFERROR(__xludf.DUMMYFUNCTION("IFS(AND(COUNTA(C457:C1673)=0,COUNTA(Q457:Q1673)=0),"""",OR(AND(K457&gt;=1000000000,OR(Y457&gt;=1000000000,COUNTA(Q457:Q1673)=0)),OR(Y457&gt;=1000000000,AND(COUNTA(C457:C1673)=0,P$3=TRUE))),
ROUNDDOWN((AB$1-AC$1)*MAX(INDEX(T$4:T1673,MATCH(LARGE(FILTER(Y$4:Y1673,Y$4"&amp;":Y1673&lt;1000000000),1),Y$4:Y1673)),INDEX(F$4:F1673,MATCH(LARGE(FILTER(K$4:K1673,K$4:K1673&lt;1000000000),1),K$4:K1673)))),AND(K457&lt;1000000000,COUNTA(C457:C1673)&gt;0,P$3=FALSE),
ROUNDDOWN(INDEX(Y$4:Y1673,MATCH(LARGE(FILTER(W$4:W1673,W$4:W1673&lt;=I457),1),W$4:W1673"&amp;"))+(I457-LARGE(FILTER(W$4:W1673,W$4:W1673&lt;=I457),1))*INDEX(T$4:T1673,MATCH(LARGE(FILTER(W$4:W1673,W$4:W1673&lt;=I457),1),W$4:W1673))-K457),1,
ROUNDDOWN(Y457-INDEX(K$4:K1673,MATCH(LARGE(FILTER(I$4:I1673,I$4:I1673&lt;=W457),1),I$4:I1673))-(W457-LARGE(FILTER(I$4:I"&amp;"1673,I$4:I1673&lt;=W457),1))*INDEX(F$4:F1673,MATCH(LARGE(FILTER(I$4:I1673,I$4:I1673&lt;=W457),1),I$4:I1673))))"),"")</f>
        <v/>
      </c>
      <c r="N457" s="60" t="str">
        <f t="shared" si="8"/>
        <v/>
      </c>
      <c r="O457" s="61" t="str">
        <f t="shared" si="9"/>
        <v/>
      </c>
      <c r="P457" s="56" t="str">
        <f t="shared" si="10"/>
        <v/>
      </c>
      <c r="Q457" s="105"/>
      <c r="R457" s="10"/>
      <c r="S457" s="59" t="str">
        <f t="array" ref="S457">IF(COUNTA(Q457:Q1673)=0,"",SUM((COUNTIF(Q$4:Q457,Upgrades!$B$3:$B$13)-COUNTIF(Q$4:Q457,"Sell_"&amp;Upgrades!$B$3:$B$13))*Upgrades!$D$3:$D$13))</f>
        <v/>
      </c>
      <c r="T457" s="66" t="str">
        <f>IFERROR(__xludf.DUMMYFUNCTION("IF(COUNTA(Q457:Q1673)=0,"""",IF(REGEXMATCH(INDEX(FILTER(Q$4:Q457,Q$4:Q457&lt;&gt;""""),ROWS(FILTER(Q$4:Q457,Q$4:Q457&lt;&gt;""""))),""^Sell_""),INDEX(FILTER(T$4:T456,Q$4:Q456&lt;&gt;""""),ROWS(FILTER(Q$4:Q456,Q$4:Q456&lt;&gt;""""))),$AD$5+S457))"),"")</f>
        <v/>
      </c>
      <c r="U457" s="10" t="str">
        <f>IFERROR(__xludf.DUMMYFUNCTION("IF(COUNTA(Q457:Q1673)=0,"""",IF(Q457="""",0,IF(REGEXMATCH(Q457,""^Sell_""),-ROUNDDOWN(ROUNDUP(INDEX(Upgrades!$C$3:$C$13,MATCH(SUBSTITUTE(Q457,""Sell_"",""""),Upgrades!$B$3:$B$13,0))*1.15^(COUNTIF(Q$4:Q456,SUBSTITUTE(Q457,""Sell_"",""""))-COUNTIF(Q$4:Q456,"&amp;"""Sell_""&amp;SUBSTITUTE(Q457,""Sell_"",""""))))/2),ROUNDUP(INDEX(Upgrades!$C$3:$C$13,MATCH(Q457,Upgrades!$B$3:$B$13,0))*1.15^(COUNTIF(Q$4:Q456,Q457)-COUNTIF(Q$4:Q456,""Sell_""&amp;Q457))))))"),"")</f>
        <v/>
      </c>
      <c r="V457" s="10" t="str">
        <f t="shared" si="11"/>
        <v/>
      </c>
      <c r="W457" s="68" t="str">
        <f t="shared" si="12"/>
        <v/>
      </c>
      <c r="X457" s="59" t="str">
        <f t="shared" si="13"/>
        <v/>
      </c>
      <c r="Y457" s="69" t="str">
        <f t="shared" si="14"/>
        <v/>
      </c>
      <c r="Z457" s="11"/>
    </row>
    <row r="458">
      <c r="A458" s="8"/>
      <c r="B458" s="56" t="str">
        <f t="shared" si="2"/>
        <v/>
      </c>
      <c r="C458" s="105"/>
      <c r="D458" s="10"/>
      <c r="E458" s="59" t="str">
        <f t="array" ref="E458">IF(COUNTA(C458:C1673)=0,"",SUM((COUNTIF(C$4:C458,Upgrades!$B$3:$B$13)-COUNTIF(C$4:C458,"Sell_"&amp;Upgrades!$B$3:$B$13))*Upgrades!$D$3:$D$13))</f>
        <v/>
      </c>
      <c r="F458" s="66" t="str">
        <f>IFERROR(__xludf.DUMMYFUNCTION("IF(COUNTA(C458:C1673)=0,"""",IF(REGEXMATCH(INDEX(FILTER(C$4:C458,C$4:C458&lt;&gt;""""),ROWS(FILTER(C$4:C458,C$4:C458&lt;&gt;""""))),""^Sell_""),INDEX(FILTER(F$4:F457,C$4:C457&lt;&gt;""""),ROWS(FILTER(C$4:C457,C$4:C457&lt;&gt;""""))),$AC$5+E458))"),"")</f>
        <v/>
      </c>
      <c r="G458" s="10" t="str">
        <f>IFERROR(__xludf.DUMMYFUNCTION("IF(COUNTA(C458:C1673)=0,"""",IF(C458="""",0,IF(REGEXMATCH(C458,""^Sell_""),-ROUNDDOWN(ROUNDUP(INDEX(Upgrades!$C$3:$C$13,MATCH(SUBSTITUTE(C458,""Sell_"",""""),Upgrades!$B$3:$B$13,0))*1.15^(COUNTIF(C$4:C457,SUBSTITUTE(C458,""Sell_"",""""))-COUNTIF(C$4:C457,"&amp;"""Sell_""&amp;SUBSTITUTE(C458,""Sell_"",""""))))/2),ROUNDUP(INDEX(Upgrades!$C$3:$C$13,MATCH(C458,Upgrades!$B$3:$B$13,0))*1.15^(COUNTIF(C$4:C457,C458)-COUNTIF(C$4:C457,""Sell_""&amp;C458))))))"),"")</f>
        <v/>
      </c>
      <c r="H458" s="10" t="str">
        <f t="shared" si="3"/>
        <v/>
      </c>
      <c r="I458" s="68" t="str">
        <f t="shared" si="4"/>
        <v/>
      </c>
      <c r="J458" s="59" t="str">
        <f t="shared" si="5"/>
        <v/>
      </c>
      <c r="K458" s="69" t="str">
        <f t="shared" si="6"/>
        <v/>
      </c>
      <c r="L458" s="60" t="str">
        <f t="shared" si="7"/>
        <v/>
      </c>
      <c r="M458" s="61" t="str">
        <f>IFERROR(__xludf.DUMMYFUNCTION("IFS(AND(COUNTA(C458:C1673)=0,COUNTA(Q458:Q1673)=0),"""",OR(AND(K458&gt;=1000000000,OR(Y458&gt;=1000000000,COUNTA(Q458:Q1673)=0)),OR(Y458&gt;=1000000000,AND(COUNTA(C458:C1673)=0,P$3=TRUE))),
ROUNDDOWN((AB$1-AC$1)*MAX(INDEX(T$4:T1673,MATCH(LARGE(FILTER(Y$4:Y1673,Y$4"&amp;":Y1673&lt;1000000000),1),Y$4:Y1673)),INDEX(F$4:F1673,MATCH(LARGE(FILTER(K$4:K1673,K$4:K1673&lt;1000000000),1),K$4:K1673)))),AND(K458&lt;1000000000,COUNTA(C458:C1673)&gt;0,P$3=FALSE),
ROUNDDOWN(INDEX(Y$4:Y1673,MATCH(LARGE(FILTER(W$4:W1673,W$4:W1673&lt;=I458),1),W$4:W1673"&amp;"))+(I458-LARGE(FILTER(W$4:W1673,W$4:W1673&lt;=I458),1))*INDEX(T$4:T1673,MATCH(LARGE(FILTER(W$4:W1673,W$4:W1673&lt;=I458),1),W$4:W1673))-K458),1,
ROUNDDOWN(Y458-INDEX(K$4:K1673,MATCH(LARGE(FILTER(I$4:I1673,I$4:I1673&lt;=W458),1),I$4:I1673))-(W458-LARGE(FILTER(I$4:I"&amp;"1673,I$4:I1673&lt;=W458),1))*INDEX(F$4:F1673,MATCH(LARGE(FILTER(I$4:I1673,I$4:I1673&lt;=W458),1),I$4:I1673))))"),"")</f>
        <v/>
      </c>
      <c r="N458" s="60" t="str">
        <f t="shared" si="8"/>
        <v/>
      </c>
      <c r="O458" s="61" t="str">
        <f t="shared" si="9"/>
        <v/>
      </c>
      <c r="P458" s="56" t="str">
        <f t="shared" si="10"/>
        <v/>
      </c>
      <c r="Q458" s="105"/>
      <c r="R458" s="10"/>
      <c r="S458" s="59" t="str">
        <f t="array" ref="S458">IF(COUNTA(Q458:Q1673)=0,"",SUM((COUNTIF(Q$4:Q458,Upgrades!$B$3:$B$13)-COUNTIF(Q$4:Q458,"Sell_"&amp;Upgrades!$B$3:$B$13))*Upgrades!$D$3:$D$13))</f>
        <v/>
      </c>
      <c r="T458" s="66" t="str">
        <f>IFERROR(__xludf.DUMMYFUNCTION("IF(COUNTA(Q458:Q1673)=0,"""",IF(REGEXMATCH(INDEX(FILTER(Q$4:Q458,Q$4:Q458&lt;&gt;""""),ROWS(FILTER(Q$4:Q458,Q$4:Q458&lt;&gt;""""))),""^Sell_""),INDEX(FILTER(T$4:T457,Q$4:Q457&lt;&gt;""""),ROWS(FILTER(Q$4:Q457,Q$4:Q457&lt;&gt;""""))),$AD$5+S458))"),"")</f>
        <v/>
      </c>
      <c r="U458" s="10" t="str">
        <f>IFERROR(__xludf.DUMMYFUNCTION("IF(COUNTA(Q458:Q1673)=0,"""",IF(Q458="""",0,IF(REGEXMATCH(Q458,""^Sell_""),-ROUNDDOWN(ROUNDUP(INDEX(Upgrades!$C$3:$C$13,MATCH(SUBSTITUTE(Q458,""Sell_"",""""),Upgrades!$B$3:$B$13,0))*1.15^(COUNTIF(Q$4:Q457,SUBSTITUTE(Q458,""Sell_"",""""))-COUNTIF(Q$4:Q457,"&amp;"""Sell_""&amp;SUBSTITUTE(Q458,""Sell_"",""""))))/2),ROUNDUP(INDEX(Upgrades!$C$3:$C$13,MATCH(Q458,Upgrades!$B$3:$B$13,0))*1.15^(COUNTIF(Q$4:Q457,Q458)-COUNTIF(Q$4:Q457,""Sell_""&amp;Q458))))))"),"")</f>
        <v/>
      </c>
      <c r="V458" s="10" t="str">
        <f t="shared" si="11"/>
        <v/>
      </c>
      <c r="W458" s="68" t="str">
        <f t="shared" si="12"/>
        <v/>
      </c>
      <c r="X458" s="59" t="str">
        <f t="shared" si="13"/>
        <v/>
      </c>
      <c r="Y458" s="69" t="str">
        <f t="shared" si="14"/>
        <v/>
      </c>
      <c r="Z458" s="11"/>
    </row>
    <row r="459">
      <c r="A459" s="8"/>
      <c r="B459" s="56" t="str">
        <f t="shared" si="2"/>
        <v/>
      </c>
      <c r="C459" s="105"/>
      <c r="D459" s="10"/>
      <c r="E459" s="59" t="str">
        <f t="array" ref="E459">IF(COUNTA(C459:C1673)=0,"",SUM((COUNTIF(C$4:C459,Upgrades!$B$3:$B$13)-COUNTIF(C$4:C459,"Sell_"&amp;Upgrades!$B$3:$B$13))*Upgrades!$D$3:$D$13))</f>
        <v/>
      </c>
      <c r="F459" s="66" t="str">
        <f>IFERROR(__xludf.DUMMYFUNCTION("IF(COUNTA(C459:C1673)=0,"""",IF(REGEXMATCH(INDEX(FILTER(C$4:C459,C$4:C459&lt;&gt;""""),ROWS(FILTER(C$4:C459,C$4:C459&lt;&gt;""""))),""^Sell_""),INDEX(FILTER(F$4:F458,C$4:C458&lt;&gt;""""),ROWS(FILTER(C$4:C458,C$4:C458&lt;&gt;""""))),$AC$5+E459))"),"")</f>
        <v/>
      </c>
      <c r="G459" s="10" t="str">
        <f>IFERROR(__xludf.DUMMYFUNCTION("IF(COUNTA(C459:C1673)=0,"""",IF(C459="""",0,IF(REGEXMATCH(C459,""^Sell_""),-ROUNDDOWN(ROUNDUP(INDEX(Upgrades!$C$3:$C$13,MATCH(SUBSTITUTE(C459,""Sell_"",""""),Upgrades!$B$3:$B$13,0))*1.15^(COUNTIF(C$4:C458,SUBSTITUTE(C459,""Sell_"",""""))-COUNTIF(C$4:C458,"&amp;"""Sell_""&amp;SUBSTITUTE(C459,""Sell_"",""""))))/2),ROUNDUP(INDEX(Upgrades!$C$3:$C$13,MATCH(C459,Upgrades!$B$3:$B$13,0))*1.15^(COUNTIF(C$4:C458,C459)-COUNTIF(C$4:C458,""Sell_""&amp;C459))))))"),"")</f>
        <v/>
      </c>
      <c r="H459" s="10" t="str">
        <f t="shared" si="3"/>
        <v/>
      </c>
      <c r="I459" s="68" t="str">
        <f t="shared" si="4"/>
        <v/>
      </c>
      <c r="J459" s="59" t="str">
        <f t="shared" si="5"/>
        <v/>
      </c>
      <c r="K459" s="69" t="str">
        <f t="shared" si="6"/>
        <v/>
      </c>
      <c r="L459" s="60" t="str">
        <f t="shared" si="7"/>
        <v/>
      </c>
      <c r="M459" s="61" t="str">
        <f>IFERROR(__xludf.DUMMYFUNCTION("IFS(AND(COUNTA(C459:C1673)=0,COUNTA(Q459:Q1673)=0),"""",OR(AND(K459&gt;=1000000000,OR(Y459&gt;=1000000000,COUNTA(Q459:Q1673)=0)),OR(Y459&gt;=1000000000,AND(COUNTA(C459:C1673)=0,P$3=TRUE))),
ROUNDDOWN((AB$1-AC$1)*MAX(INDEX(T$4:T1673,MATCH(LARGE(FILTER(Y$4:Y1673,Y$4"&amp;":Y1673&lt;1000000000),1),Y$4:Y1673)),INDEX(F$4:F1673,MATCH(LARGE(FILTER(K$4:K1673,K$4:K1673&lt;1000000000),1),K$4:K1673)))),AND(K459&lt;1000000000,COUNTA(C459:C1673)&gt;0,P$3=FALSE),
ROUNDDOWN(INDEX(Y$4:Y1673,MATCH(LARGE(FILTER(W$4:W1673,W$4:W1673&lt;=I459),1),W$4:W1673"&amp;"))+(I459-LARGE(FILTER(W$4:W1673,W$4:W1673&lt;=I459),1))*INDEX(T$4:T1673,MATCH(LARGE(FILTER(W$4:W1673,W$4:W1673&lt;=I459),1),W$4:W1673))-K459),1,
ROUNDDOWN(Y459-INDEX(K$4:K1673,MATCH(LARGE(FILTER(I$4:I1673,I$4:I1673&lt;=W459),1),I$4:I1673))-(W459-LARGE(FILTER(I$4:I"&amp;"1673,I$4:I1673&lt;=W459),1))*INDEX(F$4:F1673,MATCH(LARGE(FILTER(I$4:I1673,I$4:I1673&lt;=W459),1),I$4:I1673))))"),"")</f>
        <v/>
      </c>
      <c r="N459" s="60" t="str">
        <f t="shared" si="8"/>
        <v/>
      </c>
      <c r="O459" s="61" t="str">
        <f t="shared" si="9"/>
        <v/>
      </c>
      <c r="P459" s="56" t="str">
        <f t="shared" si="10"/>
        <v/>
      </c>
      <c r="Q459" s="105"/>
      <c r="R459" s="10"/>
      <c r="S459" s="59" t="str">
        <f t="array" ref="S459">IF(COUNTA(Q459:Q1673)=0,"",SUM((COUNTIF(Q$4:Q459,Upgrades!$B$3:$B$13)-COUNTIF(Q$4:Q459,"Sell_"&amp;Upgrades!$B$3:$B$13))*Upgrades!$D$3:$D$13))</f>
        <v/>
      </c>
      <c r="T459" s="66" t="str">
        <f>IFERROR(__xludf.DUMMYFUNCTION("IF(COUNTA(Q459:Q1673)=0,"""",IF(REGEXMATCH(INDEX(FILTER(Q$4:Q459,Q$4:Q459&lt;&gt;""""),ROWS(FILTER(Q$4:Q459,Q$4:Q459&lt;&gt;""""))),""^Sell_""),INDEX(FILTER(T$4:T458,Q$4:Q458&lt;&gt;""""),ROWS(FILTER(Q$4:Q458,Q$4:Q458&lt;&gt;""""))),$AD$5+S459))"),"")</f>
        <v/>
      </c>
      <c r="U459" s="10" t="str">
        <f>IFERROR(__xludf.DUMMYFUNCTION("IF(COUNTA(Q459:Q1673)=0,"""",IF(Q459="""",0,IF(REGEXMATCH(Q459,""^Sell_""),-ROUNDDOWN(ROUNDUP(INDEX(Upgrades!$C$3:$C$13,MATCH(SUBSTITUTE(Q459,""Sell_"",""""),Upgrades!$B$3:$B$13,0))*1.15^(COUNTIF(Q$4:Q458,SUBSTITUTE(Q459,""Sell_"",""""))-COUNTIF(Q$4:Q458,"&amp;"""Sell_""&amp;SUBSTITUTE(Q459,""Sell_"",""""))))/2),ROUNDUP(INDEX(Upgrades!$C$3:$C$13,MATCH(Q459,Upgrades!$B$3:$B$13,0))*1.15^(COUNTIF(Q$4:Q458,Q459)-COUNTIF(Q$4:Q458,""Sell_""&amp;Q459))))))"),"")</f>
        <v/>
      </c>
      <c r="V459" s="10" t="str">
        <f t="shared" si="11"/>
        <v/>
      </c>
      <c r="W459" s="68" t="str">
        <f t="shared" si="12"/>
        <v/>
      </c>
      <c r="X459" s="59" t="str">
        <f t="shared" si="13"/>
        <v/>
      </c>
      <c r="Y459" s="69" t="str">
        <f t="shared" si="14"/>
        <v/>
      </c>
      <c r="Z459" s="11"/>
    </row>
    <row r="460">
      <c r="A460" s="8"/>
      <c r="B460" s="56" t="str">
        <f t="shared" si="2"/>
        <v/>
      </c>
      <c r="C460" s="105"/>
      <c r="D460" s="10"/>
      <c r="E460" s="59" t="str">
        <f t="array" ref="E460">IF(COUNTA(C460:C1673)=0,"",SUM((COUNTIF(C$4:C460,Upgrades!$B$3:$B$13)-COUNTIF(C$4:C460,"Sell_"&amp;Upgrades!$B$3:$B$13))*Upgrades!$D$3:$D$13))</f>
        <v/>
      </c>
      <c r="F460" s="66" t="str">
        <f>IFERROR(__xludf.DUMMYFUNCTION("IF(COUNTA(C460:C1673)=0,"""",IF(REGEXMATCH(INDEX(FILTER(C$4:C460,C$4:C460&lt;&gt;""""),ROWS(FILTER(C$4:C460,C$4:C460&lt;&gt;""""))),""^Sell_""),INDEX(FILTER(F$4:F459,C$4:C459&lt;&gt;""""),ROWS(FILTER(C$4:C459,C$4:C459&lt;&gt;""""))),$AC$5+E460))"),"")</f>
        <v/>
      </c>
      <c r="G460" s="10" t="str">
        <f>IFERROR(__xludf.DUMMYFUNCTION("IF(COUNTA(C460:C1673)=0,"""",IF(C460="""",0,IF(REGEXMATCH(C460,""^Sell_""),-ROUNDDOWN(ROUNDUP(INDEX(Upgrades!$C$3:$C$13,MATCH(SUBSTITUTE(C460,""Sell_"",""""),Upgrades!$B$3:$B$13,0))*1.15^(COUNTIF(C$4:C459,SUBSTITUTE(C460,""Sell_"",""""))-COUNTIF(C$4:C459,"&amp;"""Sell_""&amp;SUBSTITUTE(C460,""Sell_"",""""))))/2),ROUNDUP(INDEX(Upgrades!$C$3:$C$13,MATCH(C460,Upgrades!$B$3:$B$13,0))*1.15^(COUNTIF(C$4:C459,C460)-COUNTIF(C$4:C459,""Sell_""&amp;C460))))))"),"")</f>
        <v/>
      </c>
      <c r="H460" s="10" t="str">
        <f t="shared" si="3"/>
        <v/>
      </c>
      <c r="I460" s="68" t="str">
        <f t="shared" si="4"/>
        <v/>
      </c>
      <c r="J460" s="59" t="str">
        <f t="shared" si="5"/>
        <v/>
      </c>
      <c r="K460" s="69" t="str">
        <f t="shared" si="6"/>
        <v/>
      </c>
      <c r="L460" s="60" t="str">
        <f t="shared" si="7"/>
        <v/>
      </c>
      <c r="M460" s="61" t="str">
        <f>IFERROR(__xludf.DUMMYFUNCTION("IFS(AND(COUNTA(C460:C1673)=0,COUNTA(Q460:Q1673)=0),"""",OR(AND(K460&gt;=1000000000,OR(Y460&gt;=1000000000,COUNTA(Q460:Q1673)=0)),OR(Y460&gt;=1000000000,AND(COUNTA(C460:C1673)=0,P$3=TRUE))),
ROUNDDOWN((AB$1-AC$1)*MAX(INDEX(T$4:T1673,MATCH(LARGE(FILTER(Y$4:Y1673,Y$4"&amp;":Y1673&lt;1000000000),1),Y$4:Y1673)),INDEX(F$4:F1673,MATCH(LARGE(FILTER(K$4:K1673,K$4:K1673&lt;1000000000),1),K$4:K1673)))),AND(K460&lt;1000000000,COUNTA(C460:C1673)&gt;0,P$3=FALSE),
ROUNDDOWN(INDEX(Y$4:Y1673,MATCH(LARGE(FILTER(W$4:W1673,W$4:W1673&lt;=I460),1),W$4:W1673"&amp;"))+(I460-LARGE(FILTER(W$4:W1673,W$4:W1673&lt;=I460),1))*INDEX(T$4:T1673,MATCH(LARGE(FILTER(W$4:W1673,W$4:W1673&lt;=I460),1),W$4:W1673))-K460),1,
ROUNDDOWN(Y460-INDEX(K$4:K1673,MATCH(LARGE(FILTER(I$4:I1673,I$4:I1673&lt;=W460),1),I$4:I1673))-(W460-LARGE(FILTER(I$4:I"&amp;"1673,I$4:I1673&lt;=W460),1))*INDEX(F$4:F1673,MATCH(LARGE(FILTER(I$4:I1673,I$4:I1673&lt;=W460),1),I$4:I1673))))"),"")</f>
        <v/>
      </c>
      <c r="N460" s="60" t="str">
        <f t="shared" si="8"/>
        <v/>
      </c>
      <c r="O460" s="61" t="str">
        <f t="shared" si="9"/>
        <v/>
      </c>
      <c r="P460" s="56" t="str">
        <f t="shared" si="10"/>
        <v/>
      </c>
      <c r="Q460" s="105"/>
      <c r="R460" s="10"/>
      <c r="S460" s="59" t="str">
        <f t="array" ref="S460">IF(COUNTA(Q460:Q1673)=0,"",SUM((COUNTIF(Q$4:Q460,Upgrades!$B$3:$B$13)-COUNTIF(Q$4:Q460,"Sell_"&amp;Upgrades!$B$3:$B$13))*Upgrades!$D$3:$D$13))</f>
        <v/>
      </c>
      <c r="T460" s="66" t="str">
        <f>IFERROR(__xludf.DUMMYFUNCTION("IF(COUNTA(Q460:Q1673)=0,"""",IF(REGEXMATCH(INDEX(FILTER(Q$4:Q460,Q$4:Q460&lt;&gt;""""),ROWS(FILTER(Q$4:Q460,Q$4:Q460&lt;&gt;""""))),""^Sell_""),INDEX(FILTER(T$4:T459,Q$4:Q459&lt;&gt;""""),ROWS(FILTER(Q$4:Q459,Q$4:Q459&lt;&gt;""""))),$AD$5+S460))"),"")</f>
        <v/>
      </c>
      <c r="U460" s="10" t="str">
        <f>IFERROR(__xludf.DUMMYFUNCTION("IF(COUNTA(Q460:Q1673)=0,"""",IF(Q460="""",0,IF(REGEXMATCH(Q460,""^Sell_""),-ROUNDDOWN(ROUNDUP(INDEX(Upgrades!$C$3:$C$13,MATCH(SUBSTITUTE(Q460,""Sell_"",""""),Upgrades!$B$3:$B$13,0))*1.15^(COUNTIF(Q$4:Q459,SUBSTITUTE(Q460,""Sell_"",""""))-COUNTIF(Q$4:Q459,"&amp;"""Sell_""&amp;SUBSTITUTE(Q460,""Sell_"",""""))))/2),ROUNDUP(INDEX(Upgrades!$C$3:$C$13,MATCH(Q460,Upgrades!$B$3:$B$13,0))*1.15^(COUNTIF(Q$4:Q459,Q460)-COUNTIF(Q$4:Q459,""Sell_""&amp;Q460))))))"),"")</f>
        <v/>
      </c>
      <c r="V460" s="10" t="str">
        <f t="shared" si="11"/>
        <v/>
      </c>
      <c r="W460" s="68" t="str">
        <f t="shared" si="12"/>
        <v/>
      </c>
      <c r="X460" s="59" t="str">
        <f t="shared" si="13"/>
        <v/>
      </c>
      <c r="Y460" s="69" t="str">
        <f t="shared" si="14"/>
        <v/>
      </c>
      <c r="Z460" s="11"/>
    </row>
    <row r="461">
      <c r="A461" s="8"/>
      <c r="B461" s="56" t="str">
        <f t="shared" si="2"/>
        <v/>
      </c>
      <c r="C461" s="105"/>
      <c r="D461" s="10"/>
      <c r="E461" s="59" t="str">
        <f t="array" ref="E461">IF(COUNTA(C461:C1673)=0,"",SUM((COUNTIF(C$4:C461,Upgrades!$B$3:$B$13)-COUNTIF(C$4:C461,"Sell_"&amp;Upgrades!$B$3:$B$13))*Upgrades!$D$3:$D$13))</f>
        <v/>
      </c>
      <c r="F461" s="66" t="str">
        <f>IFERROR(__xludf.DUMMYFUNCTION("IF(COUNTA(C461:C1673)=0,"""",IF(REGEXMATCH(INDEX(FILTER(C$4:C461,C$4:C461&lt;&gt;""""),ROWS(FILTER(C$4:C461,C$4:C461&lt;&gt;""""))),""^Sell_""),INDEX(FILTER(F$4:F460,C$4:C460&lt;&gt;""""),ROWS(FILTER(C$4:C460,C$4:C460&lt;&gt;""""))),$AC$5+E461))"),"")</f>
        <v/>
      </c>
      <c r="G461" s="10" t="str">
        <f>IFERROR(__xludf.DUMMYFUNCTION("IF(COUNTA(C461:C1673)=0,"""",IF(C461="""",0,IF(REGEXMATCH(C461,""^Sell_""),-ROUNDDOWN(ROUNDUP(INDEX(Upgrades!$C$3:$C$13,MATCH(SUBSTITUTE(C461,""Sell_"",""""),Upgrades!$B$3:$B$13,0))*1.15^(COUNTIF(C$4:C460,SUBSTITUTE(C461,""Sell_"",""""))-COUNTIF(C$4:C460,"&amp;"""Sell_""&amp;SUBSTITUTE(C461,""Sell_"",""""))))/2),ROUNDUP(INDEX(Upgrades!$C$3:$C$13,MATCH(C461,Upgrades!$B$3:$B$13,0))*1.15^(COUNTIF(C$4:C460,C461)-COUNTIF(C$4:C460,""Sell_""&amp;C461))))))"),"")</f>
        <v/>
      </c>
      <c r="H461" s="10" t="str">
        <f t="shared" si="3"/>
        <v/>
      </c>
      <c r="I461" s="68" t="str">
        <f t="shared" si="4"/>
        <v/>
      </c>
      <c r="J461" s="59" t="str">
        <f t="shared" si="5"/>
        <v/>
      </c>
      <c r="K461" s="69" t="str">
        <f t="shared" si="6"/>
        <v/>
      </c>
      <c r="L461" s="60" t="str">
        <f t="shared" si="7"/>
        <v/>
      </c>
      <c r="M461" s="61" t="str">
        <f>IFERROR(__xludf.DUMMYFUNCTION("IFS(AND(COUNTA(C461:C1673)=0,COUNTA(Q461:Q1673)=0),"""",OR(AND(K461&gt;=1000000000,OR(Y461&gt;=1000000000,COUNTA(Q461:Q1673)=0)),OR(Y461&gt;=1000000000,AND(COUNTA(C461:C1673)=0,P$3=TRUE))),
ROUNDDOWN((AB$1-AC$1)*MAX(INDEX(T$4:T1673,MATCH(LARGE(FILTER(Y$4:Y1673,Y$4"&amp;":Y1673&lt;1000000000),1),Y$4:Y1673)),INDEX(F$4:F1673,MATCH(LARGE(FILTER(K$4:K1673,K$4:K1673&lt;1000000000),1),K$4:K1673)))),AND(K461&lt;1000000000,COUNTA(C461:C1673)&gt;0,P$3=FALSE),
ROUNDDOWN(INDEX(Y$4:Y1673,MATCH(LARGE(FILTER(W$4:W1673,W$4:W1673&lt;=I461),1),W$4:W1673"&amp;"))+(I461-LARGE(FILTER(W$4:W1673,W$4:W1673&lt;=I461),1))*INDEX(T$4:T1673,MATCH(LARGE(FILTER(W$4:W1673,W$4:W1673&lt;=I461),1),W$4:W1673))-K461),1,
ROUNDDOWN(Y461-INDEX(K$4:K1673,MATCH(LARGE(FILTER(I$4:I1673,I$4:I1673&lt;=W461),1),I$4:I1673))-(W461-LARGE(FILTER(I$4:I"&amp;"1673,I$4:I1673&lt;=W461),1))*INDEX(F$4:F1673,MATCH(LARGE(FILTER(I$4:I1673,I$4:I1673&lt;=W461),1),I$4:I1673))))"),"")</f>
        <v/>
      </c>
      <c r="N461" s="60" t="str">
        <f t="shared" si="8"/>
        <v/>
      </c>
      <c r="O461" s="61" t="str">
        <f t="shared" si="9"/>
        <v/>
      </c>
      <c r="P461" s="56" t="str">
        <f t="shared" si="10"/>
        <v/>
      </c>
      <c r="Q461" s="105"/>
      <c r="R461" s="10"/>
      <c r="S461" s="59" t="str">
        <f t="array" ref="S461">IF(COUNTA(Q461:Q1673)=0,"",SUM((COUNTIF(Q$4:Q461,Upgrades!$B$3:$B$13)-COUNTIF(Q$4:Q461,"Sell_"&amp;Upgrades!$B$3:$B$13))*Upgrades!$D$3:$D$13))</f>
        <v/>
      </c>
      <c r="T461" s="66" t="str">
        <f>IFERROR(__xludf.DUMMYFUNCTION("IF(COUNTA(Q461:Q1673)=0,"""",IF(REGEXMATCH(INDEX(FILTER(Q$4:Q461,Q$4:Q461&lt;&gt;""""),ROWS(FILTER(Q$4:Q461,Q$4:Q461&lt;&gt;""""))),""^Sell_""),INDEX(FILTER(T$4:T460,Q$4:Q460&lt;&gt;""""),ROWS(FILTER(Q$4:Q460,Q$4:Q460&lt;&gt;""""))),$AD$5+S461))"),"")</f>
        <v/>
      </c>
      <c r="U461" s="10" t="str">
        <f>IFERROR(__xludf.DUMMYFUNCTION("IF(COUNTA(Q461:Q1673)=0,"""",IF(Q461="""",0,IF(REGEXMATCH(Q461,""^Sell_""),-ROUNDDOWN(ROUNDUP(INDEX(Upgrades!$C$3:$C$13,MATCH(SUBSTITUTE(Q461,""Sell_"",""""),Upgrades!$B$3:$B$13,0))*1.15^(COUNTIF(Q$4:Q460,SUBSTITUTE(Q461,""Sell_"",""""))-COUNTIF(Q$4:Q460,"&amp;"""Sell_""&amp;SUBSTITUTE(Q461,""Sell_"",""""))))/2),ROUNDUP(INDEX(Upgrades!$C$3:$C$13,MATCH(Q461,Upgrades!$B$3:$B$13,0))*1.15^(COUNTIF(Q$4:Q460,Q461)-COUNTIF(Q$4:Q460,""Sell_""&amp;Q461))))))"),"")</f>
        <v/>
      </c>
      <c r="V461" s="10" t="str">
        <f t="shared" si="11"/>
        <v/>
      </c>
      <c r="W461" s="68" t="str">
        <f t="shared" si="12"/>
        <v/>
      </c>
      <c r="X461" s="59" t="str">
        <f t="shared" si="13"/>
        <v/>
      </c>
      <c r="Y461" s="69" t="str">
        <f t="shared" si="14"/>
        <v/>
      </c>
      <c r="Z461" s="11"/>
    </row>
    <row r="462">
      <c r="A462" s="8"/>
      <c r="B462" s="56" t="str">
        <f t="shared" si="2"/>
        <v/>
      </c>
      <c r="C462" s="105"/>
      <c r="D462" s="10"/>
      <c r="E462" s="59" t="str">
        <f t="array" ref="E462">IF(COUNTA(C462:C1673)=0,"",SUM((COUNTIF(C$4:C462,Upgrades!$B$3:$B$13)-COUNTIF(C$4:C462,"Sell_"&amp;Upgrades!$B$3:$B$13))*Upgrades!$D$3:$D$13))</f>
        <v/>
      </c>
      <c r="F462" s="66" t="str">
        <f>IFERROR(__xludf.DUMMYFUNCTION("IF(COUNTA(C462:C1673)=0,"""",IF(REGEXMATCH(INDEX(FILTER(C$4:C462,C$4:C462&lt;&gt;""""),ROWS(FILTER(C$4:C462,C$4:C462&lt;&gt;""""))),""^Sell_""),INDEX(FILTER(F$4:F461,C$4:C461&lt;&gt;""""),ROWS(FILTER(C$4:C461,C$4:C461&lt;&gt;""""))),$AC$5+E462))"),"")</f>
        <v/>
      </c>
      <c r="G462" s="10" t="str">
        <f>IFERROR(__xludf.DUMMYFUNCTION("IF(COUNTA(C462:C1673)=0,"""",IF(C462="""",0,IF(REGEXMATCH(C462,""^Sell_""),-ROUNDDOWN(ROUNDUP(INDEX(Upgrades!$C$3:$C$13,MATCH(SUBSTITUTE(C462,""Sell_"",""""),Upgrades!$B$3:$B$13,0))*1.15^(COUNTIF(C$4:C461,SUBSTITUTE(C462,""Sell_"",""""))-COUNTIF(C$4:C461,"&amp;"""Sell_""&amp;SUBSTITUTE(C462,""Sell_"",""""))))/2),ROUNDUP(INDEX(Upgrades!$C$3:$C$13,MATCH(C462,Upgrades!$B$3:$B$13,0))*1.15^(COUNTIF(C$4:C461,C462)-COUNTIF(C$4:C461,""Sell_""&amp;C462))))))"),"")</f>
        <v/>
      </c>
      <c r="H462" s="10" t="str">
        <f t="shared" si="3"/>
        <v/>
      </c>
      <c r="I462" s="68" t="str">
        <f t="shared" si="4"/>
        <v/>
      </c>
      <c r="J462" s="59" t="str">
        <f t="shared" si="5"/>
        <v/>
      </c>
      <c r="K462" s="69" t="str">
        <f t="shared" si="6"/>
        <v/>
      </c>
      <c r="L462" s="60" t="str">
        <f t="shared" si="7"/>
        <v/>
      </c>
      <c r="M462" s="61" t="str">
        <f>IFERROR(__xludf.DUMMYFUNCTION("IFS(AND(COUNTA(C462:C1673)=0,COUNTA(Q462:Q1673)=0),"""",OR(AND(K462&gt;=1000000000,OR(Y462&gt;=1000000000,COUNTA(Q462:Q1673)=0)),OR(Y462&gt;=1000000000,AND(COUNTA(C462:C1673)=0,P$3=TRUE))),
ROUNDDOWN((AB$1-AC$1)*MAX(INDEX(T$4:T1673,MATCH(LARGE(FILTER(Y$4:Y1673,Y$4"&amp;":Y1673&lt;1000000000),1),Y$4:Y1673)),INDEX(F$4:F1673,MATCH(LARGE(FILTER(K$4:K1673,K$4:K1673&lt;1000000000),1),K$4:K1673)))),AND(K462&lt;1000000000,COUNTA(C462:C1673)&gt;0,P$3=FALSE),
ROUNDDOWN(INDEX(Y$4:Y1673,MATCH(LARGE(FILTER(W$4:W1673,W$4:W1673&lt;=I462),1),W$4:W1673"&amp;"))+(I462-LARGE(FILTER(W$4:W1673,W$4:W1673&lt;=I462),1))*INDEX(T$4:T1673,MATCH(LARGE(FILTER(W$4:W1673,W$4:W1673&lt;=I462),1),W$4:W1673))-K462),1,
ROUNDDOWN(Y462-INDEX(K$4:K1673,MATCH(LARGE(FILTER(I$4:I1673,I$4:I1673&lt;=W462),1),I$4:I1673))-(W462-LARGE(FILTER(I$4:I"&amp;"1673,I$4:I1673&lt;=W462),1))*INDEX(F$4:F1673,MATCH(LARGE(FILTER(I$4:I1673,I$4:I1673&lt;=W462),1),I$4:I1673))))"),"")</f>
        <v/>
      </c>
      <c r="N462" s="60" t="str">
        <f t="shared" si="8"/>
        <v/>
      </c>
      <c r="O462" s="61" t="str">
        <f t="shared" si="9"/>
        <v/>
      </c>
      <c r="P462" s="56" t="str">
        <f t="shared" si="10"/>
        <v/>
      </c>
      <c r="Q462" s="105"/>
      <c r="R462" s="10"/>
      <c r="S462" s="59" t="str">
        <f t="array" ref="S462">IF(COUNTA(Q462:Q1673)=0,"",SUM((COUNTIF(Q$4:Q462,Upgrades!$B$3:$B$13)-COUNTIF(Q$4:Q462,"Sell_"&amp;Upgrades!$B$3:$B$13))*Upgrades!$D$3:$D$13))</f>
        <v/>
      </c>
      <c r="T462" s="66" t="str">
        <f>IFERROR(__xludf.DUMMYFUNCTION("IF(COUNTA(Q462:Q1673)=0,"""",IF(REGEXMATCH(INDEX(FILTER(Q$4:Q462,Q$4:Q462&lt;&gt;""""),ROWS(FILTER(Q$4:Q462,Q$4:Q462&lt;&gt;""""))),""^Sell_""),INDEX(FILTER(T$4:T461,Q$4:Q461&lt;&gt;""""),ROWS(FILTER(Q$4:Q461,Q$4:Q461&lt;&gt;""""))),$AD$5+S462))"),"")</f>
        <v/>
      </c>
      <c r="U462" s="10" t="str">
        <f>IFERROR(__xludf.DUMMYFUNCTION("IF(COUNTA(Q462:Q1673)=0,"""",IF(Q462="""",0,IF(REGEXMATCH(Q462,""^Sell_""),-ROUNDDOWN(ROUNDUP(INDEX(Upgrades!$C$3:$C$13,MATCH(SUBSTITUTE(Q462,""Sell_"",""""),Upgrades!$B$3:$B$13,0))*1.15^(COUNTIF(Q$4:Q461,SUBSTITUTE(Q462,""Sell_"",""""))-COUNTIF(Q$4:Q461,"&amp;"""Sell_""&amp;SUBSTITUTE(Q462,""Sell_"",""""))))/2),ROUNDUP(INDEX(Upgrades!$C$3:$C$13,MATCH(Q462,Upgrades!$B$3:$B$13,0))*1.15^(COUNTIF(Q$4:Q461,Q462)-COUNTIF(Q$4:Q461,""Sell_""&amp;Q462))))))"),"")</f>
        <v/>
      </c>
      <c r="V462" s="10" t="str">
        <f t="shared" si="11"/>
        <v/>
      </c>
      <c r="W462" s="68" t="str">
        <f t="shared" si="12"/>
        <v/>
      </c>
      <c r="X462" s="59" t="str">
        <f t="shared" si="13"/>
        <v/>
      </c>
      <c r="Y462" s="69" t="str">
        <f t="shared" si="14"/>
        <v/>
      </c>
      <c r="Z462" s="11"/>
    </row>
    <row r="463">
      <c r="A463" s="8"/>
      <c r="B463" s="56" t="str">
        <f t="shared" si="2"/>
        <v/>
      </c>
      <c r="C463" s="105"/>
      <c r="D463" s="10"/>
      <c r="E463" s="59" t="str">
        <f t="array" ref="E463">IF(COUNTA(C463:C1673)=0,"",SUM((COUNTIF(C$4:C463,Upgrades!$B$3:$B$13)-COUNTIF(C$4:C463,"Sell_"&amp;Upgrades!$B$3:$B$13))*Upgrades!$D$3:$D$13))</f>
        <v/>
      </c>
      <c r="F463" s="66" t="str">
        <f>IFERROR(__xludf.DUMMYFUNCTION("IF(COUNTA(C463:C1673)=0,"""",IF(REGEXMATCH(INDEX(FILTER(C$4:C463,C$4:C463&lt;&gt;""""),ROWS(FILTER(C$4:C463,C$4:C463&lt;&gt;""""))),""^Sell_""),INDEX(FILTER(F$4:F462,C$4:C462&lt;&gt;""""),ROWS(FILTER(C$4:C462,C$4:C462&lt;&gt;""""))),$AC$5+E463))"),"")</f>
        <v/>
      </c>
      <c r="G463" s="10" t="str">
        <f>IFERROR(__xludf.DUMMYFUNCTION("IF(COUNTA(C463:C1673)=0,"""",IF(C463="""",0,IF(REGEXMATCH(C463,""^Sell_""),-ROUNDDOWN(ROUNDUP(INDEX(Upgrades!$C$3:$C$13,MATCH(SUBSTITUTE(C463,""Sell_"",""""),Upgrades!$B$3:$B$13,0))*1.15^(COUNTIF(C$4:C462,SUBSTITUTE(C463,""Sell_"",""""))-COUNTIF(C$4:C462,"&amp;"""Sell_""&amp;SUBSTITUTE(C463,""Sell_"",""""))))/2),ROUNDUP(INDEX(Upgrades!$C$3:$C$13,MATCH(C463,Upgrades!$B$3:$B$13,0))*1.15^(COUNTIF(C$4:C462,C463)-COUNTIF(C$4:C462,""Sell_""&amp;C463))))))"),"")</f>
        <v/>
      </c>
      <c r="H463" s="10" t="str">
        <f t="shared" si="3"/>
        <v/>
      </c>
      <c r="I463" s="68" t="str">
        <f t="shared" si="4"/>
        <v/>
      </c>
      <c r="J463" s="59" t="str">
        <f t="shared" si="5"/>
        <v/>
      </c>
      <c r="K463" s="69" t="str">
        <f t="shared" si="6"/>
        <v/>
      </c>
      <c r="L463" s="60" t="str">
        <f t="shared" si="7"/>
        <v/>
      </c>
      <c r="M463" s="61" t="str">
        <f>IFERROR(__xludf.DUMMYFUNCTION("IFS(AND(COUNTA(C463:C1673)=0,COUNTA(Q463:Q1673)=0),"""",OR(AND(K463&gt;=1000000000,OR(Y463&gt;=1000000000,COUNTA(Q463:Q1673)=0)),OR(Y463&gt;=1000000000,AND(COUNTA(C463:C1673)=0,P$3=TRUE))),
ROUNDDOWN((AB$1-AC$1)*MAX(INDEX(T$4:T1673,MATCH(LARGE(FILTER(Y$4:Y1673,Y$4"&amp;":Y1673&lt;1000000000),1),Y$4:Y1673)),INDEX(F$4:F1673,MATCH(LARGE(FILTER(K$4:K1673,K$4:K1673&lt;1000000000),1),K$4:K1673)))),AND(K463&lt;1000000000,COUNTA(C463:C1673)&gt;0,P$3=FALSE),
ROUNDDOWN(INDEX(Y$4:Y1673,MATCH(LARGE(FILTER(W$4:W1673,W$4:W1673&lt;=I463),1),W$4:W1673"&amp;"))+(I463-LARGE(FILTER(W$4:W1673,W$4:W1673&lt;=I463),1))*INDEX(T$4:T1673,MATCH(LARGE(FILTER(W$4:W1673,W$4:W1673&lt;=I463),1),W$4:W1673))-K463),1,
ROUNDDOWN(Y463-INDEX(K$4:K1673,MATCH(LARGE(FILTER(I$4:I1673,I$4:I1673&lt;=W463),1),I$4:I1673))-(W463-LARGE(FILTER(I$4:I"&amp;"1673,I$4:I1673&lt;=W463),1))*INDEX(F$4:F1673,MATCH(LARGE(FILTER(I$4:I1673,I$4:I1673&lt;=W463),1),I$4:I1673))))"),"")</f>
        <v/>
      </c>
      <c r="N463" s="60" t="str">
        <f t="shared" si="8"/>
        <v/>
      </c>
      <c r="O463" s="61" t="str">
        <f t="shared" si="9"/>
        <v/>
      </c>
      <c r="P463" s="56" t="str">
        <f t="shared" si="10"/>
        <v/>
      </c>
      <c r="Q463" s="105"/>
      <c r="R463" s="10"/>
      <c r="S463" s="59" t="str">
        <f t="array" ref="S463">IF(COUNTA(Q463:Q1673)=0,"",SUM((COUNTIF(Q$4:Q463,Upgrades!$B$3:$B$13)-COUNTIF(Q$4:Q463,"Sell_"&amp;Upgrades!$B$3:$B$13))*Upgrades!$D$3:$D$13))</f>
        <v/>
      </c>
      <c r="T463" s="66" t="str">
        <f>IFERROR(__xludf.DUMMYFUNCTION("IF(COUNTA(Q463:Q1673)=0,"""",IF(REGEXMATCH(INDEX(FILTER(Q$4:Q463,Q$4:Q463&lt;&gt;""""),ROWS(FILTER(Q$4:Q463,Q$4:Q463&lt;&gt;""""))),""^Sell_""),INDEX(FILTER(T$4:T462,Q$4:Q462&lt;&gt;""""),ROWS(FILTER(Q$4:Q462,Q$4:Q462&lt;&gt;""""))),$AD$5+S463))"),"")</f>
        <v/>
      </c>
      <c r="U463" s="10" t="str">
        <f>IFERROR(__xludf.DUMMYFUNCTION("IF(COUNTA(Q463:Q1673)=0,"""",IF(Q463="""",0,IF(REGEXMATCH(Q463,""^Sell_""),-ROUNDDOWN(ROUNDUP(INDEX(Upgrades!$C$3:$C$13,MATCH(SUBSTITUTE(Q463,""Sell_"",""""),Upgrades!$B$3:$B$13,0))*1.15^(COUNTIF(Q$4:Q462,SUBSTITUTE(Q463,""Sell_"",""""))-COUNTIF(Q$4:Q462,"&amp;"""Sell_""&amp;SUBSTITUTE(Q463,""Sell_"",""""))))/2),ROUNDUP(INDEX(Upgrades!$C$3:$C$13,MATCH(Q463,Upgrades!$B$3:$B$13,0))*1.15^(COUNTIF(Q$4:Q462,Q463)-COUNTIF(Q$4:Q462,""Sell_""&amp;Q463))))))"),"")</f>
        <v/>
      </c>
      <c r="V463" s="10" t="str">
        <f t="shared" si="11"/>
        <v/>
      </c>
      <c r="W463" s="68" t="str">
        <f t="shared" si="12"/>
        <v/>
      </c>
      <c r="X463" s="59" t="str">
        <f t="shared" si="13"/>
        <v/>
      </c>
      <c r="Y463" s="69" t="str">
        <f t="shared" si="14"/>
        <v/>
      </c>
      <c r="Z463" s="11"/>
    </row>
    <row r="464">
      <c r="A464" s="8"/>
      <c r="B464" s="56" t="str">
        <f t="shared" si="2"/>
        <v/>
      </c>
      <c r="C464" s="105"/>
      <c r="D464" s="10"/>
      <c r="E464" s="59" t="str">
        <f t="array" ref="E464">IF(COUNTA(C464:C1673)=0,"",SUM((COUNTIF(C$4:C464,Upgrades!$B$3:$B$13)-COUNTIF(C$4:C464,"Sell_"&amp;Upgrades!$B$3:$B$13))*Upgrades!$D$3:$D$13))</f>
        <v/>
      </c>
      <c r="F464" s="66" t="str">
        <f>IFERROR(__xludf.DUMMYFUNCTION("IF(COUNTA(C464:C1673)=0,"""",IF(REGEXMATCH(INDEX(FILTER(C$4:C464,C$4:C464&lt;&gt;""""),ROWS(FILTER(C$4:C464,C$4:C464&lt;&gt;""""))),""^Sell_""),INDEX(FILTER(F$4:F463,C$4:C463&lt;&gt;""""),ROWS(FILTER(C$4:C463,C$4:C463&lt;&gt;""""))),$AC$5+E464))"),"")</f>
        <v/>
      </c>
      <c r="G464" s="10" t="str">
        <f>IFERROR(__xludf.DUMMYFUNCTION("IF(COUNTA(C464:C1673)=0,"""",IF(C464="""",0,IF(REGEXMATCH(C464,""^Sell_""),-ROUNDDOWN(ROUNDUP(INDEX(Upgrades!$C$3:$C$13,MATCH(SUBSTITUTE(C464,""Sell_"",""""),Upgrades!$B$3:$B$13,0))*1.15^(COUNTIF(C$4:C463,SUBSTITUTE(C464,""Sell_"",""""))-COUNTIF(C$4:C463,"&amp;"""Sell_""&amp;SUBSTITUTE(C464,""Sell_"",""""))))/2),ROUNDUP(INDEX(Upgrades!$C$3:$C$13,MATCH(C464,Upgrades!$B$3:$B$13,0))*1.15^(COUNTIF(C$4:C463,C464)-COUNTIF(C$4:C463,""Sell_""&amp;C464))))))"),"")</f>
        <v/>
      </c>
      <c r="H464" s="10" t="str">
        <f t="shared" si="3"/>
        <v/>
      </c>
      <c r="I464" s="68" t="str">
        <f t="shared" si="4"/>
        <v/>
      </c>
      <c r="J464" s="59" t="str">
        <f t="shared" si="5"/>
        <v/>
      </c>
      <c r="K464" s="69" t="str">
        <f t="shared" si="6"/>
        <v/>
      </c>
      <c r="L464" s="60" t="str">
        <f t="shared" si="7"/>
        <v/>
      </c>
      <c r="M464" s="61" t="str">
        <f>IFERROR(__xludf.DUMMYFUNCTION("IFS(AND(COUNTA(C464:C1673)=0,COUNTA(Q464:Q1673)=0),"""",OR(AND(K464&gt;=1000000000,OR(Y464&gt;=1000000000,COUNTA(Q464:Q1673)=0)),OR(Y464&gt;=1000000000,AND(COUNTA(C464:C1673)=0,P$3=TRUE))),
ROUNDDOWN((AB$1-AC$1)*MAX(INDEX(T$4:T1673,MATCH(LARGE(FILTER(Y$4:Y1673,Y$4"&amp;":Y1673&lt;1000000000),1),Y$4:Y1673)),INDEX(F$4:F1673,MATCH(LARGE(FILTER(K$4:K1673,K$4:K1673&lt;1000000000),1),K$4:K1673)))),AND(K464&lt;1000000000,COUNTA(C464:C1673)&gt;0,P$3=FALSE),
ROUNDDOWN(INDEX(Y$4:Y1673,MATCH(LARGE(FILTER(W$4:W1673,W$4:W1673&lt;=I464),1),W$4:W1673"&amp;"))+(I464-LARGE(FILTER(W$4:W1673,W$4:W1673&lt;=I464),1))*INDEX(T$4:T1673,MATCH(LARGE(FILTER(W$4:W1673,W$4:W1673&lt;=I464),1),W$4:W1673))-K464),1,
ROUNDDOWN(Y464-INDEX(K$4:K1673,MATCH(LARGE(FILTER(I$4:I1673,I$4:I1673&lt;=W464),1),I$4:I1673))-(W464-LARGE(FILTER(I$4:I"&amp;"1673,I$4:I1673&lt;=W464),1))*INDEX(F$4:F1673,MATCH(LARGE(FILTER(I$4:I1673,I$4:I1673&lt;=W464),1),I$4:I1673))))"),"")</f>
        <v/>
      </c>
      <c r="N464" s="60" t="str">
        <f t="shared" si="8"/>
        <v/>
      </c>
      <c r="O464" s="61" t="str">
        <f t="shared" si="9"/>
        <v/>
      </c>
      <c r="P464" s="56" t="str">
        <f t="shared" si="10"/>
        <v/>
      </c>
      <c r="Q464" s="105"/>
      <c r="R464" s="10"/>
      <c r="S464" s="59" t="str">
        <f t="array" ref="S464">IF(COUNTA(Q464:Q1673)=0,"",SUM((COUNTIF(Q$4:Q464,Upgrades!$B$3:$B$13)-COUNTIF(Q$4:Q464,"Sell_"&amp;Upgrades!$B$3:$B$13))*Upgrades!$D$3:$D$13))</f>
        <v/>
      </c>
      <c r="T464" s="66" t="str">
        <f>IFERROR(__xludf.DUMMYFUNCTION("IF(COUNTA(Q464:Q1673)=0,"""",IF(REGEXMATCH(INDEX(FILTER(Q$4:Q464,Q$4:Q464&lt;&gt;""""),ROWS(FILTER(Q$4:Q464,Q$4:Q464&lt;&gt;""""))),""^Sell_""),INDEX(FILTER(T$4:T463,Q$4:Q463&lt;&gt;""""),ROWS(FILTER(Q$4:Q463,Q$4:Q463&lt;&gt;""""))),$AD$5+S464))"),"")</f>
        <v/>
      </c>
      <c r="U464" s="10" t="str">
        <f>IFERROR(__xludf.DUMMYFUNCTION("IF(COUNTA(Q464:Q1673)=0,"""",IF(Q464="""",0,IF(REGEXMATCH(Q464,""^Sell_""),-ROUNDDOWN(ROUNDUP(INDEX(Upgrades!$C$3:$C$13,MATCH(SUBSTITUTE(Q464,""Sell_"",""""),Upgrades!$B$3:$B$13,0))*1.15^(COUNTIF(Q$4:Q463,SUBSTITUTE(Q464,""Sell_"",""""))-COUNTIF(Q$4:Q463,"&amp;"""Sell_""&amp;SUBSTITUTE(Q464,""Sell_"",""""))))/2),ROUNDUP(INDEX(Upgrades!$C$3:$C$13,MATCH(Q464,Upgrades!$B$3:$B$13,0))*1.15^(COUNTIF(Q$4:Q463,Q464)-COUNTIF(Q$4:Q463,""Sell_""&amp;Q464))))))"),"")</f>
        <v/>
      </c>
      <c r="V464" s="10" t="str">
        <f t="shared" si="11"/>
        <v/>
      </c>
      <c r="W464" s="68" t="str">
        <f t="shared" si="12"/>
        <v/>
      </c>
      <c r="X464" s="59" t="str">
        <f t="shared" si="13"/>
        <v/>
      </c>
      <c r="Y464" s="69" t="str">
        <f t="shared" si="14"/>
        <v/>
      </c>
      <c r="Z464" s="11"/>
    </row>
    <row r="465">
      <c r="A465" s="8"/>
      <c r="B465" s="56" t="str">
        <f t="shared" si="2"/>
        <v/>
      </c>
      <c r="C465" s="105"/>
      <c r="D465" s="10"/>
      <c r="E465" s="59" t="str">
        <f t="array" ref="E465">IF(COUNTA(C465:C1673)=0,"",SUM((COUNTIF(C$4:C465,Upgrades!$B$3:$B$13)-COUNTIF(C$4:C465,"Sell_"&amp;Upgrades!$B$3:$B$13))*Upgrades!$D$3:$D$13))</f>
        <v/>
      </c>
      <c r="F465" s="66" t="str">
        <f>IFERROR(__xludf.DUMMYFUNCTION("IF(COUNTA(C465:C1673)=0,"""",IF(REGEXMATCH(INDEX(FILTER(C$4:C465,C$4:C465&lt;&gt;""""),ROWS(FILTER(C$4:C465,C$4:C465&lt;&gt;""""))),""^Sell_""),INDEX(FILTER(F$4:F464,C$4:C464&lt;&gt;""""),ROWS(FILTER(C$4:C464,C$4:C464&lt;&gt;""""))),$AC$5+E465))"),"")</f>
        <v/>
      </c>
      <c r="G465" s="10" t="str">
        <f>IFERROR(__xludf.DUMMYFUNCTION("IF(COUNTA(C465:C1673)=0,"""",IF(C465="""",0,IF(REGEXMATCH(C465,""^Sell_""),-ROUNDDOWN(ROUNDUP(INDEX(Upgrades!$C$3:$C$13,MATCH(SUBSTITUTE(C465,""Sell_"",""""),Upgrades!$B$3:$B$13,0))*1.15^(COUNTIF(C$4:C464,SUBSTITUTE(C465,""Sell_"",""""))-COUNTIF(C$4:C464,"&amp;"""Sell_""&amp;SUBSTITUTE(C465,""Sell_"",""""))))/2),ROUNDUP(INDEX(Upgrades!$C$3:$C$13,MATCH(C465,Upgrades!$B$3:$B$13,0))*1.15^(COUNTIF(C$4:C464,C465)-COUNTIF(C$4:C464,""Sell_""&amp;C465))))))"),"")</f>
        <v/>
      </c>
      <c r="H465" s="10" t="str">
        <f t="shared" si="3"/>
        <v/>
      </c>
      <c r="I465" s="68" t="str">
        <f t="shared" si="4"/>
        <v/>
      </c>
      <c r="J465" s="59" t="str">
        <f t="shared" si="5"/>
        <v/>
      </c>
      <c r="K465" s="69" t="str">
        <f t="shared" si="6"/>
        <v/>
      </c>
      <c r="L465" s="60" t="str">
        <f t="shared" si="7"/>
        <v/>
      </c>
      <c r="M465" s="61" t="str">
        <f>IFERROR(__xludf.DUMMYFUNCTION("IFS(AND(COUNTA(C465:C1673)=0,COUNTA(Q465:Q1673)=0),"""",OR(AND(K465&gt;=1000000000,OR(Y465&gt;=1000000000,COUNTA(Q465:Q1673)=0)),OR(Y465&gt;=1000000000,AND(COUNTA(C465:C1673)=0,P$3=TRUE))),
ROUNDDOWN((AB$1-AC$1)*MAX(INDEX(T$4:T1673,MATCH(LARGE(FILTER(Y$4:Y1673,Y$4"&amp;":Y1673&lt;1000000000),1),Y$4:Y1673)),INDEX(F$4:F1673,MATCH(LARGE(FILTER(K$4:K1673,K$4:K1673&lt;1000000000),1),K$4:K1673)))),AND(K465&lt;1000000000,COUNTA(C465:C1673)&gt;0,P$3=FALSE),
ROUNDDOWN(INDEX(Y$4:Y1673,MATCH(LARGE(FILTER(W$4:W1673,W$4:W1673&lt;=I465),1),W$4:W1673"&amp;"))+(I465-LARGE(FILTER(W$4:W1673,W$4:W1673&lt;=I465),1))*INDEX(T$4:T1673,MATCH(LARGE(FILTER(W$4:W1673,W$4:W1673&lt;=I465),1),W$4:W1673))-K465),1,
ROUNDDOWN(Y465-INDEX(K$4:K1673,MATCH(LARGE(FILTER(I$4:I1673,I$4:I1673&lt;=W465),1),I$4:I1673))-(W465-LARGE(FILTER(I$4:I"&amp;"1673,I$4:I1673&lt;=W465),1))*INDEX(F$4:F1673,MATCH(LARGE(FILTER(I$4:I1673,I$4:I1673&lt;=W465),1),I$4:I1673))))"),"")</f>
        <v/>
      </c>
      <c r="N465" s="60" t="str">
        <f t="shared" si="8"/>
        <v/>
      </c>
      <c r="O465" s="61" t="str">
        <f t="shared" si="9"/>
        <v/>
      </c>
      <c r="P465" s="56" t="str">
        <f t="shared" si="10"/>
        <v/>
      </c>
      <c r="Q465" s="105"/>
      <c r="R465" s="10"/>
      <c r="S465" s="59" t="str">
        <f t="array" ref="S465">IF(COUNTA(Q465:Q1673)=0,"",SUM((COUNTIF(Q$4:Q465,Upgrades!$B$3:$B$13)-COUNTIF(Q$4:Q465,"Sell_"&amp;Upgrades!$B$3:$B$13))*Upgrades!$D$3:$D$13))</f>
        <v/>
      </c>
      <c r="T465" s="66" t="str">
        <f>IFERROR(__xludf.DUMMYFUNCTION("IF(COUNTA(Q465:Q1673)=0,"""",IF(REGEXMATCH(INDEX(FILTER(Q$4:Q465,Q$4:Q465&lt;&gt;""""),ROWS(FILTER(Q$4:Q465,Q$4:Q465&lt;&gt;""""))),""^Sell_""),INDEX(FILTER(T$4:T464,Q$4:Q464&lt;&gt;""""),ROWS(FILTER(Q$4:Q464,Q$4:Q464&lt;&gt;""""))),$AD$5+S465))"),"")</f>
        <v/>
      </c>
      <c r="U465" s="10" t="str">
        <f>IFERROR(__xludf.DUMMYFUNCTION("IF(COUNTA(Q465:Q1673)=0,"""",IF(Q465="""",0,IF(REGEXMATCH(Q465,""^Sell_""),-ROUNDDOWN(ROUNDUP(INDEX(Upgrades!$C$3:$C$13,MATCH(SUBSTITUTE(Q465,""Sell_"",""""),Upgrades!$B$3:$B$13,0))*1.15^(COUNTIF(Q$4:Q464,SUBSTITUTE(Q465,""Sell_"",""""))-COUNTIF(Q$4:Q464,"&amp;"""Sell_""&amp;SUBSTITUTE(Q465,""Sell_"",""""))))/2),ROUNDUP(INDEX(Upgrades!$C$3:$C$13,MATCH(Q465,Upgrades!$B$3:$B$13,0))*1.15^(COUNTIF(Q$4:Q464,Q465)-COUNTIF(Q$4:Q464,""Sell_""&amp;Q465))))))"),"")</f>
        <v/>
      </c>
      <c r="V465" s="10" t="str">
        <f t="shared" si="11"/>
        <v/>
      </c>
      <c r="W465" s="68" t="str">
        <f t="shared" si="12"/>
        <v/>
      </c>
      <c r="X465" s="59" t="str">
        <f t="shared" si="13"/>
        <v/>
      </c>
      <c r="Y465" s="69" t="str">
        <f t="shared" si="14"/>
        <v/>
      </c>
      <c r="Z465" s="11"/>
    </row>
    <row r="466">
      <c r="A466" s="8"/>
      <c r="B466" s="56" t="str">
        <f t="shared" si="2"/>
        <v/>
      </c>
      <c r="C466" s="105"/>
      <c r="D466" s="10"/>
      <c r="E466" s="59" t="str">
        <f t="array" ref="E466">IF(COUNTA(C466:C1673)=0,"",SUM((COUNTIF(C$4:C466,Upgrades!$B$3:$B$13)-COUNTIF(C$4:C466,"Sell_"&amp;Upgrades!$B$3:$B$13))*Upgrades!$D$3:$D$13))</f>
        <v/>
      </c>
      <c r="F466" s="66" t="str">
        <f>IFERROR(__xludf.DUMMYFUNCTION("IF(COUNTA(C466:C1673)=0,"""",IF(REGEXMATCH(INDEX(FILTER(C$4:C466,C$4:C466&lt;&gt;""""),ROWS(FILTER(C$4:C466,C$4:C466&lt;&gt;""""))),""^Sell_""),INDEX(FILTER(F$4:F465,C$4:C465&lt;&gt;""""),ROWS(FILTER(C$4:C465,C$4:C465&lt;&gt;""""))),$AC$5+E466))"),"")</f>
        <v/>
      </c>
      <c r="G466" s="10" t="str">
        <f>IFERROR(__xludf.DUMMYFUNCTION("IF(COUNTA(C466:C1673)=0,"""",IF(C466="""",0,IF(REGEXMATCH(C466,""^Sell_""),-ROUNDDOWN(ROUNDUP(INDEX(Upgrades!$C$3:$C$13,MATCH(SUBSTITUTE(C466,""Sell_"",""""),Upgrades!$B$3:$B$13,0))*1.15^(COUNTIF(C$4:C465,SUBSTITUTE(C466,""Sell_"",""""))-COUNTIF(C$4:C465,"&amp;"""Sell_""&amp;SUBSTITUTE(C466,""Sell_"",""""))))/2),ROUNDUP(INDEX(Upgrades!$C$3:$C$13,MATCH(C466,Upgrades!$B$3:$B$13,0))*1.15^(COUNTIF(C$4:C465,C466)-COUNTIF(C$4:C465,""Sell_""&amp;C466))))))"),"")</f>
        <v/>
      </c>
      <c r="H466" s="10" t="str">
        <f t="shared" si="3"/>
        <v/>
      </c>
      <c r="I466" s="68" t="str">
        <f t="shared" si="4"/>
        <v/>
      </c>
      <c r="J466" s="59" t="str">
        <f t="shared" si="5"/>
        <v/>
      </c>
      <c r="K466" s="69" t="str">
        <f t="shared" si="6"/>
        <v/>
      </c>
      <c r="L466" s="60" t="str">
        <f t="shared" si="7"/>
        <v/>
      </c>
      <c r="M466" s="61" t="str">
        <f>IFERROR(__xludf.DUMMYFUNCTION("IFS(AND(COUNTA(C466:C1673)=0,COUNTA(Q466:Q1673)=0),"""",OR(AND(K466&gt;=1000000000,OR(Y466&gt;=1000000000,COUNTA(Q466:Q1673)=0)),OR(Y466&gt;=1000000000,AND(COUNTA(C466:C1673)=0,P$3=TRUE))),
ROUNDDOWN((AB$1-AC$1)*MAX(INDEX(T$4:T1673,MATCH(LARGE(FILTER(Y$4:Y1673,Y$4"&amp;":Y1673&lt;1000000000),1),Y$4:Y1673)),INDEX(F$4:F1673,MATCH(LARGE(FILTER(K$4:K1673,K$4:K1673&lt;1000000000),1),K$4:K1673)))),AND(K466&lt;1000000000,COUNTA(C466:C1673)&gt;0,P$3=FALSE),
ROUNDDOWN(INDEX(Y$4:Y1673,MATCH(LARGE(FILTER(W$4:W1673,W$4:W1673&lt;=I466),1),W$4:W1673"&amp;"))+(I466-LARGE(FILTER(W$4:W1673,W$4:W1673&lt;=I466),1))*INDEX(T$4:T1673,MATCH(LARGE(FILTER(W$4:W1673,W$4:W1673&lt;=I466),1),W$4:W1673))-K466),1,
ROUNDDOWN(Y466-INDEX(K$4:K1673,MATCH(LARGE(FILTER(I$4:I1673,I$4:I1673&lt;=W466),1),I$4:I1673))-(W466-LARGE(FILTER(I$4:I"&amp;"1673,I$4:I1673&lt;=W466),1))*INDEX(F$4:F1673,MATCH(LARGE(FILTER(I$4:I1673,I$4:I1673&lt;=W466),1),I$4:I1673))))"),"")</f>
        <v/>
      </c>
      <c r="N466" s="60" t="str">
        <f t="shared" si="8"/>
        <v/>
      </c>
      <c r="O466" s="61" t="str">
        <f t="shared" si="9"/>
        <v/>
      </c>
      <c r="P466" s="56" t="str">
        <f t="shared" si="10"/>
        <v/>
      </c>
      <c r="Q466" s="105"/>
      <c r="R466" s="10"/>
      <c r="S466" s="59" t="str">
        <f t="array" ref="S466">IF(COUNTA(Q466:Q1673)=0,"",SUM((COUNTIF(Q$4:Q466,Upgrades!$B$3:$B$13)-COUNTIF(Q$4:Q466,"Sell_"&amp;Upgrades!$B$3:$B$13))*Upgrades!$D$3:$D$13))</f>
        <v/>
      </c>
      <c r="T466" s="66" t="str">
        <f>IFERROR(__xludf.DUMMYFUNCTION("IF(COUNTA(Q466:Q1673)=0,"""",IF(REGEXMATCH(INDEX(FILTER(Q$4:Q466,Q$4:Q466&lt;&gt;""""),ROWS(FILTER(Q$4:Q466,Q$4:Q466&lt;&gt;""""))),""^Sell_""),INDEX(FILTER(T$4:T465,Q$4:Q465&lt;&gt;""""),ROWS(FILTER(Q$4:Q465,Q$4:Q465&lt;&gt;""""))),$AD$5+S466))"),"")</f>
        <v/>
      </c>
      <c r="U466" s="10" t="str">
        <f>IFERROR(__xludf.DUMMYFUNCTION("IF(COUNTA(Q466:Q1673)=0,"""",IF(Q466="""",0,IF(REGEXMATCH(Q466,""^Sell_""),-ROUNDDOWN(ROUNDUP(INDEX(Upgrades!$C$3:$C$13,MATCH(SUBSTITUTE(Q466,""Sell_"",""""),Upgrades!$B$3:$B$13,0))*1.15^(COUNTIF(Q$4:Q465,SUBSTITUTE(Q466,""Sell_"",""""))-COUNTIF(Q$4:Q465,"&amp;"""Sell_""&amp;SUBSTITUTE(Q466,""Sell_"",""""))))/2),ROUNDUP(INDEX(Upgrades!$C$3:$C$13,MATCH(Q466,Upgrades!$B$3:$B$13,0))*1.15^(COUNTIF(Q$4:Q465,Q466)-COUNTIF(Q$4:Q465,""Sell_""&amp;Q466))))))"),"")</f>
        <v/>
      </c>
      <c r="V466" s="10" t="str">
        <f t="shared" si="11"/>
        <v/>
      </c>
      <c r="W466" s="68" t="str">
        <f t="shared" si="12"/>
        <v/>
      </c>
      <c r="X466" s="59" t="str">
        <f t="shared" si="13"/>
        <v/>
      </c>
      <c r="Y466" s="69" t="str">
        <f t="shared" si="14"/>
        <v/>
      </c>
      <c r="Z466" s="11"/>
    </row>
    <row r="467">
      <c r="A467" s="8"/>
      <c r="B467" s="56" t="str">
        <f t="shared" si="2"/>
        <v/>
      </c>
      <c r="C467" s="105"/>
      <c r="D467" s="10"/>
      <c r="E467" s="59" t="str">
        <f t="array" ref="E467">IF(COUNTA(C467:C1673)=0,"",SUM((COUNTIF(C$4:C467,Upgrades!$B$3:$B$13)-COUNTIF(C$4:C467,"Sell_"&amp;Upgrades!$B$3:$B$13))*Upgrades!$D$3:$D$13))</f>
        <v/>
      </c>
      <c r="F467" s="66" t="str">
        <f>IFERROR(__xludf.DUMMYFUNCTION("IF(COUNTA(C467:C1673)=0,"""",IF(REGEXMATCH(INDEX(FILTER(C$4:C467,C$4:C467&lt;&gt;""""),ROWS(FILTER(C$4:C467,C$4:C467&lt;&gt;""""))),""^Sell_""),INDEX(FILTER(F$4:F466,C$4:C466&lt;&gt;""""),ROWS(FILTER(C$4:C466,C$4:C466&lt;&gt;""""))),$AC$5+E467))"),"")</f>
        <v/>
      </c>
      <c r="G467" s="10" t="str">
        <f>IFERROR(__xludf.DUMMYFUNCTION("IF(COUNTA(C467:C1673)=0,"""",IF(C467="""",0,IF(REGEXMATCH(C467,""^Sell_""),-ROUNDDOWN(ROUNDUP(INDEX(Upgrades!$C$3:$C$13,MATCH(SUBSTITUTE(C467,""Sell_"",""""),Upgrades!$B$3:$B$13,0))*1.15^(COUNTIF(C$4:C466,SUBSTITUTE(C467,""Sell_"",""""))-COUNTIF(C$4:C466,"&amp;"""Sell_""&amp;SUBSTITUTE(C467,""Sell_"",""""))))/2),ROUNDUP(INDEX(Upgrades!$C$3:$C$13,MATCH(C467,Upgrades!$B$3:$B$13,0))*1.15^(COUNTIF(C$4:C466,C467)-COUNTIF(C$4:C466,""Sell_""&amp;C467))))))"),"")</f>
        <v/>
      </c>
      <c r="H467" s="10" t="str">
        <f t="shared" si="3"/>
        <v/>
      </c>
      <c r="I467" s="68" t="str">
        <f t="shared" si="4"/>
        <v/>
      </c>
      <c r="J467" s="59" t="str">
        <f t="shared" si="5"/>
        <v/>
      </c>
      <c r="K467" s="69" t="str">
        <f t="shared" si="6"/>
        <v/>
      </c>
      <c r="L467" s="60" t="str">
        <f t="shared" si="7"/>
        <v/>
      </c>
      <c r="M467" s="61" t="str">
        <f>IFERROR(__xludf.DUMMYFUNCTION("IFS(AND(COUNTA(C467:C1673)=0,COUNTA(Q467:Q1673)=0),"""",OR(AND(K467&gt;=1000000000,OR(Y467&gt;=1000000000,COUNTA(Q467:Q1673)=0)),OR(Y467&gt;=1000000000,AND(COUNTA(C467:C1673)=0,P$3=TRUE))),
ROUNDDOWN((AB$1-AC$1)*MAX(INDEX(T$4:T1673,MATCH(LARGE(FILTER(Y$4:Y1673,Y$4"&amp;":Y1673&lt;1000000000),1),Y$4:Y1673)),INDEX(F$4:F1673,MATCH(LARGE(FILTER(K$4:K1673,K$4:K1673&lt;1000000000),1),K$4:K1673)))),AND(K467&lt;1000000000,COUNTA(C467:C1673)&gt;0,P$3=FALSE),
ROUNDDOWN(INDEX(Y$4:Y1673,MATCH(LARGE(FILTER(W$4:W1673,W$4:W1673&lt;=I467),1),W$4:W1673"&amp;"))+(I467-LARGE(FILTER(W$4:W1673,W$4:W1673&lt;=I467),1))*INDEX(T$4:T1673,MATCH(LARGE(FILTER(W$4:W1673,W$4:W1673&lt;=I467),1),W$4:W1673))-K467),1,
ROUNDDOWN(Y467-INDEX(K$4:K1673,MATCH(LARGE(FILTER(I$4:I1673,I$4:I1673&lt;=W467),1),I$4:I1673))-(W467-LARGE(FILTER(I$4:I"&amp;"1673,I$4:I1673&lt;=W467),1))*INDEX(F$4:F1673,MATCH(LARGE(FILTER(I$4:I1673,I$4:I1673&lt;=W467),1),I$4:I1673))))"),"")</f>
        <v/>
      </c>
      <c r="N467" s="60" t="str">
        <f t="shared" si="8"/>
        <v/>
      </c>
      <c r="O467" s="61" t="str">
        <f t="shared" si="9"/>
        <v/>
      </c>
      <c r="P467" s="56" t="str">
        <f t="shared" si="10"/>
        <v/>
      </c>
      <c r="Q467" s="105"/>
      <c r="R467" s="10"/>
      <c r="S467" s="59" t="str">
        <f t="array" ref="S467">IF(COUNTA(Q467:Q1673)=0,"",SUM((COUNTIF(Q$4:Q467,Upgrades!$B$3:$B$13)-COUNTIF(Q$4:Q467,"Sell_"&amp;Upgrades!$B$3:$B$13))*Upgrades!$D$3:$D$13))</f>
        <v/>
      </c>
      <c r="T467" s="66" t="str">
        <f>IFERROR(__xludf.DUMMYFUNCTION("IF(COUNTA(Q467:Q1673)=0,"""",IF(REGEXMATCH(INDEX(FILTER(Q$4:Q467,Q$4:Q467&lt;&gt;""""),ROWS(FILTER(Q$4:Q467,Q$4:Q467&lt;&gt;""""))),""^Sell_""),INDEX(FILTER(T$4:T466,Q$4:Q466&lt;&gt;""""),ROWS(FILTER(Q$4:Q466,Q$4:Q466&lt;&gt;""""))),$AD$5+S467))"),"")</f>
        <v/>
      </c>
      <c r="U467" s="10" t="str">
        <f>IFERROR(__xludf.DUMMYFUNCTION("IF(COUNTA(Q467:Q1673)=0,"""",IF(Q467="""",0,IF(REGEXMATCH(Q467,""^Sell_""),-ROUNDDOWN(ROUNDUP(INDEX(Upgrades!$C$3:$C$13,MATCH(SUBSTITUTE(Q467,""Sell_"",""""),Upgrades!$B$3:$B$13,0))*1.15^(COUNTIF(Q$4:Q466,SUBSTITUTE(Q467,""Sell_"",""""))-COUNTIF(Q$4:Q466,"&amp;"""Sell_""&amp;SUBSTITUTE(Q467,""Sell_"",""""))))/2),ROUNDUP(INDEX(Upgrades!$C$3:$C$13,MATCH(Q467,Upgrades!$B$3:$B$13,0))*1.15^(COUNTIF(Q$4:Q466,Q467)-COUNTIF(Q$4:Q466,""Sell_""&amp;Q467))))))"),"")</f>
        <v/>
      </c>
      <c r="V467" s="10" t="str">
        <f t="shared" si="11"/>
        <v/>
      </c>
      <c r="W467" s="68" t="str">
        <f t="shared" si="12"/>
        <v/>
      </c>
      <c r="X467" s="59" t="str">
        <f t="shared" si="13"/>
        <v/>
      </c>
      <c r="Y467" s="69" t="str">
        <f t="shared" si="14"/>
        <v/>
      </c>
      <c r="Z467" s="11"/>
    </row>
    <row r="468">
      <c r="A468" s="8"/>
      <c r="B468" s="56" t="str">
        <f t="shared" si="2"/>
        <v/>
      </c>
      <c r="C468" s="105"/>
      <c r="D468" s="10"/>
      <c r="E468" s="59" t="str">
        <f t="array" ref="E468">IF(COUNTA(C468:C1673)=0,"",SUM((COUNTIF(C$4:C468,Upgrades!$B$3:$B$13)-COUNTIF(C$4:C468,"Sell_"&amp;Upgrades!$B$3:$B$13))*Upgrades!$D$3:$D$13))</f>
        <v/>
      </c>
      <c r="F468" s="66" t="str">
        <f>IFERROR(__xludf.DUMMYFUNCTION("IF(COUNTA(C468:C1673)=0,"""",IF(REGEXMATCH(INDEX(FILTER(C$4:C468,C$4:C468&lt;&gt;""""),ROWS(FILTER(C$4:C468,C$4:C468&lt;&gt;""""))),""^Sell_""),INDEX(FILTER(F$4:F467,C$4:C467&lt;&gt;""""),ROWS(FILTER(C$4:C467,C$4:C467&lt;&gt;""""))),$AC$5+E468))"),"")</f>
        <v/>
      </c>
      <c r="G468" s="10" t="str">
        <f>IFERROR(__xludf.DUMMYFUNCTION("IF(COUNTA(C468:C1673)=0,"""",IF(C468="""",0,IF(REGEXMATCH(C468,""^Sell_""),-ROUNDDOWN(ROUNDUP(INDEX(Upgrades!$C$3:$C$13,MATCH(SUBSTITUTE(C468,""Sell_"",""""),Upgrades!$B$3:$B$13,0))*1.15^(COUNTIF(C$4:C467,SUBSTITUTE(C468,""Sell_"",""""))-COUNTIF(C$4:C467,"&amp;"""Sell_""&amp;SUBSTITUTE(C468,""Sell_"",""""))))/2),ROUNDUP(INDEX(Upgrades!$C$3:$C$13,MATCH(C468,Upgrades!$B$3:$B$13,0))*1.15^(COUNTIF(C$4:C467,C468)-COUNTIF(C$4:C467,""Sell_""&amp;C468))))))"),"")</f>
        <v/>
      </c>
      <c r="H468" s="10" t="str">
        <f t="shared" si="3"/>
        <v/>
      </c>
      <c r="I468" s="68" t="str">
        <f t="shared" si="4"/>
        <v/>
      </c>
      <c r="J468" s="59" t="str">
        <f t="shared" si="5"/>
        <v/>
      </c>
      <c r="K468" s="69" t="str">
        <f t="shared" si="6"/>
        <v/>
      </c>
      <c r="L468" s="60" t="str">
        <f t="shared" si="7"/>
        <v/>
      </c>
      <c r="M468" s="61" t="str">
        <f>IFERROR(__xludf.DUMMYFUNCTION("IFS(AND(COUNTA(C468:C1673)=0,COUNTA(Q468:Q1673)=0),"""",OR(AND(K468&gt;=1000000000,OR(Y468&gt;=1000000000,COUNTA(Q468:Q1673)=0)),OR(Y468&gt;=1000000000,AND(COUNTA(C468:C1673)=0,P$3=TRUE))),
ROUNDDOWN((AB$1-AC$1)*MAX(INDEX(T$4:T1673,MATCH(LARGE(FILTER(Y$4:Y1673,Y$4"&amp;":Y1673&lt;1000000000),1),Y$4:Y1673)),INDEX(F$4:F1673,MATCH(LARGE(FILTER(K$4:K1673,K$4:K1673&lt;1000000000),1),K$4:K1673)))),AND(K468&lt;1000000000,COUNTA(C468:C1673)&gt;0,P$3=FALSE),
ROUNDDOWN(INDEX(Y$4:Y1673,MATCH(LARGE(FILTER(W$4:W1673,W$4:W1673&lt;=I468),1),W$4:W1673"&amp;"))+(I468-LARGE(FILTER(W$4:W1673,W$4:W1673&lt;=I468),1))*INDEX(T$4:T1673,MATCH(LARGE(FILTER(W$4:W1673,W$4:W1673&lt;=I468),1),W$4:W1673))-K468),1,
ROUNDDOWN(Y468-INDEX(K$4:K1673,MATCH(LARGE(FILTER(I$4:I1673,I$4:I1673&lt;=W468),1),I$4:I1673))-(W468-LARGE(FILTER(I$4:I"&amp;"1673,I$4:I1673&lt;=W468),1))*INDEX(F$4:F1673,MATCH(LARGE(FILTER(I$4:I1673,I$4:I1673&lt;=W468),1),I$4:I1673))))"),"")</f>
        <v/>
      </c>
      <c r="N468" s="60" t="str">
        <f t="shared" si="8"/>
        <v/>
      </c>
      <c r="O468" s="61" t="str">
        <f t="shared" si="9"/>
        <v/>
      </c>
      <c r="P468" s="56" t="str">
        <f t="shared" si="10"/>
        <v/>
      </c>
      <c r="Q468" s="105"/>
      <c r="R468" s="10"/>
      <c r="S468" s="59" t="str">
        <f t="array" ref="S468">IF(COUNTA(Q468:Q1673)=0,"",SUM((COUNTIF(Q$4:Q468,Upgrades!$B$3:$B$13)-COUNTIF(Q$4:Q468,"Sell_"&amp;Upgrades!$B$3:$B$13))*Upgrades!$D$3:$D$13))</f>
        <v/>
      </c>
      <c r="T468" s="66" t="str">
        <f>IFERROR(__xludf.DUMMYFUNCTION("IF(COUNTA(Q468:Q1673)=0,"""",IF(REGEXMATCH(INDEX(FILTER(Q$4:Q468,Q$4:Q468&lt;&gt;""""),ROWS(FILTER(Q$4:Q468,Q$4:Q468&lt;&gt;""""))),""^Sell_""),INDEX(FILTER(T$4:T467,Q$4:Q467&lt;&gt;""""),ROWS(FILTER(Q$4:Q467,Q$4:Q467&lt;&gt;""""))),$AD$5+S468))"),"")</f>
        <v/>
      </c>
      <c r="U468" s="10" t="str">
        <f>IFERROR(__xludf.DUMMYFUNCTION("IF(COUNTA(Q468:Q1673)=0,"""",IF(Q468="""",0,IF(REGEXMATCH(Q468,""^Sell_""),-ROUNDDOWN(ROUNDUP(INDEX(Upgrades!$C$3:$C$13,MATCH(SUBSTITUTE(Q468,""Sell_"",""""),Upgrades!$B$3:$B$13,0))*1.15^(COUNTIF(Q$4:Q467,SUBSTITUTE(Q468,""Sell_"",""""))-COUNTIF(Q$4:Q467,"&amp;"""Sell_""&amp;SUBSTITUTE(Q468,""Sell_"",""""))))/2),ROUNDUP(INDEX(Upgrades!$C$3:$C$13,MATCH(Q468,Upgrades!$B$3:$B$13,0))*1.15^(COUNTIF(Q$4:Q467,Q468)-COUNTIF(Q$4:Q467,""Sell_""&amp;Q468))))))"),"")</f>
        <v/>
      </c>
      <c r="V468" s="10" t="str">
        <f t="shared" si="11"/>
        <v/>
      </c>
      <c r="W468" s="68" t="str">
        <f t="shared" si="12"/>
        <v/>
      </c>
      <c r="X468" s="59" t="str">
        <f t="shared" si="13"/>
        <v/>
      </c>
      <c r="Y468" s="69" t="str">
        <f t="shared" si="14"/>
        <v/>
      </c>
      <c r="Z468" s="11"/>
    </row>
    <row r="469">
      <c r="A469" s="8"/>
      <c r="B469" s="56" t="str">
        <f t="shared" si="2"/>
        <v/>
      </c>
      <c r="C469" s="105"/>
      <c r="D469" s="10"/>
      <c r="E469" s="59" t="str">
        <f t="array" ref="E469">IF(COUNTA(C469:C1673)=0,"",SUM((COUNTIF(C$4:C469,Upgrades!$B$3:$B$13)-COUNTIF(C$4:C469,"Sell_"&amp;Upgrades!$B$3:$B$13))*Upgrades!$D$3:$D$13))</f>
        <v/>
      </c>
      <c r="F469" s="66" t="str">
        <f>IFERROR(__xludf.DUMMYFUNCTION("IF(COUNTA(C469:C1673)=0,"""",IF(REGEXMATCH(INDEX(FILTER(C$4:C469,C$4:C469&lt;&gt;""""),ROWS(FILTER(C$4:C469,C$4:C469&lt;&gt;""""))),""^Sell_""),INDEX(FILTER(F$4:F468,C$4:C468&lt;&gt;""""),ROWS(FILTER(C$4:C468,C$4:C468&lt;&gt;""""))),$AC$5+E469))"),"")</f>
        <v/>
      </c>
      <c r="G469" s="10" t="str">
        <f>IFERROR(__xludf.DUMMYFUNCTION("IF(COUNTA(C469:C1673)=0,"""",IF(C469="""",0,IF(REGEXMATCH(C469,""^Sell_""),-ROUNDDOWN(ROUNDUP(INDEX(Upgrades!$C$3:$C$13,MATCH(SUBSTITUTE(C469,""Sell_"",""""),Upgrades!$B$3:$B$13,0))*1.15^(COUNTIF(C$4:C468,SUBSTITUTE(C469,""Sell_"",""""))-COUNTIF(C$4:C468,"&amp;"""Sell_""&amp;SUBSTITUTE(C469,""Sell_"",""""))))/2),ROUNDUP(INDEX(Upgrades!$C$3:$C$13,MATCH(C469,Upgrades!$B$3:$B$13,0))*1.15^(COUNTIF(C$4:C468,C469)-COUNTIF(C$4:C468,""Sell_""&amp;C469))))))"),"")</f>
        <v/>
      </c>
      <c r="H469" s="10" t="str">
        <f t="shared" si="3"/>
        <v/>
      </c>
      <c r="I469" s="68" t="str">
        <f t="shared" si="4"/>
        <v/>
      </c>
      <c r="J469" s="59" t="str">
        <f t="shared" si="5"/>
        <v/>
      </c>
      <c r="K469" s="69" t="str">
        <f t="shared" si="6"/>
        <v/>
      </c>
      <c r="L469" s="60" t="str">
        <f t="shared" si="7"/>
        <v/>
      </c>
      <c r="M469" s="61" t="str">
        <f>IFERROR(__xludf.DUMMYFUNCTION("IFS(AND(COUNTA(C469:C1673)=0,COUNTA(Q469:Q1673)=0),"""",OR(AND(K469&gt;=1000000000,OR(Y469&gt;=1000000000,COUNTA(Q469:Q1673)=0)),OR(Y469&gt;=1000000000,AND(COUNTA(C469:C1673)=0,P$3=TRUE))),
ROUNDDOWN((AB$1-AC$1)*MAX(INDEX(T$4:T1673,MATCH(LARGE(FILTER(Y$4:Y1673,Y$4"&amp;":Y1673&lt;1000000000),1),Y$4:Y1673)),INDEX(F$4:F1673,MATCH(LARGE(FILTER(K$4:K1673,K$4:K1673&lt;1000000000),1),K$4:K1673)))),AND(K469&lt;1000000000,COUNTA(C469:C1673)&gt;0,P$3=FALSE),
ROUNDDOWN(INDEX(Y$4:Y1673,MATCH(LARGE(FILTER(W$4:W1673,W$4:W1673&lt;=I469),1),W$4:W1673"&amp;"))+(I469-LARGE(FILTER(W$4:W1673,W$4:W1673&lt;=I469),1))*INDEX(T$4:T1673,MATCH(LARGE(FILTER(W$4:W1673,W$4:W1673&lt;=I469),1),W$4:W1673))-K469),1,
ROUNDDOWN(Y469-INDEX(K$4:K1673,MATCH(LARGE(FILTER(I$4:I1673,I$4:I1673&lt;=W469),1),I$4:I1673))-(W469-LARGE(FILTER(I$4:I"&amp;"1673,I$4:I1673&lt;=W469),1))*INDEX(F$4:F1673,MATCH(LARGE(FILTER(I$4:I1673,I$4:I1673&lt;=W469),1),I$4:I1673))))"),"")</f>
        <v/>
      </c>
      <c r="N469" s="60" t="str">
        <f t="shared" si="8"/>
        <v/>
      </c>
      <c r="O469" s="61" t="str">
        <f t="shared" si="9"/>
        <v/>
      </c>
      <c r="P469" s="56" t="str">
        <f t="shared" si="10"/>
        <v/>
      </c>
      <c r="Q469" s="105"/>
      <c r="R469" s="10"/>
      <c r="S469" s="59" t="str">
        <f t="array" ref="S469">IF(COUNTA(Q469:Q1673)=0,"",SUM((COUNTIF(Q$4:Q469,Upgrades!$B$3:$B$13)-COUNTIF(Q$4:Q469,"Sell_"&amp;Upgrades!$B$3:$B$13))*Upgrades!$D$3:$D$13))</f>
        <v/>
      </c>
      <c r="T469" s="66" t="str">
        <f>IFERROR(__xludf.DUMMYFUNCTION("IF(COUNTA(Q469:Q1673)=0,"""",IF(REGEXMATCH(INDEX(FILTER(Q$4:Q469,Q$4:Q469&lt;&gt;""""),ROWS(FILTER(Q$4:Q469,Q$4:Q469&lt;&gt;""""))),""^Sell_""),INDEX(FILTER(T$4:T468,Q$4:Q468&lt;&gt;""""),ROWS(FILTER(Q$4:Q468,Q$4:Q468&lt;&gt;""""))),$AD$5+S469))"),"")</f>
        <v/>
      </c>
      <c r="U469" s="10" t="str">
        <f>IFERROR(__xludf.DUMMYFUNCTION("IF(COUNTA(Q469:Q1673)=0,"""",IF(Q469="""",0,IF(REGEXMATCH(Q469,""^Sell_""),-ROUNDDOWN(ROUNDUP(INDEX(Upgrades!$C$3:$C$13,MATCH(SUBSTITUTE(Q469,""Sell_"",""""),Upgrades!$B$3:$B$13,0))*1.15^(COUNTIF(Q$4:Q468,SUBSTITUTE(Q469,""Sell_"",""""))-COUNTIF(Q$4:Q468,"&amp;"""Sell_""&amp;SUBSTITUTE(Q469,""Sell_"",""""))))/2),ROUNDUP(INDEX(Upgrades!$C$3:$C$13,MATCH(Q469,Upgrades!$B$3:$B$13,0))*1.15^(COUNTIF(Q$4:Q468,Q469)-COUNTIF(Q$4:Q468,""Sell_""&amp;Q469))))))"),"")</f>
        <v/>
      </c>
      <c r="V469" s="10" t="str">
        <f t="shared" si="11"/>
        <v/>
      </c>
      <c r="W469" s="68" t="str">
        <f t="shared" si="12"/>
        <v/>
      </c>
      <c r="X469" s="59" t="str">
        <f t="shared" si="13"/>
        <v/>
      </c>
      <c r="Y469" s="69" t="str">
        <f t="shared" si="14"/>
        <v/>
      </c>
      <c r="Z469" s="11"/>
    </row>
    <row r="470">
      <c r="A470" s="8"/>
      <c r="B470" s="56" t="str">
        <f t="shared" si="2"/>
        <v/>
      </c>
      <c r="C470" s="105"/>
      <c r="D470" s="10"/>
      <c r="E470" s="59" t="str">
        <f t="array" ref="E470">IF(COUNTA(C470:C1673)=0,"",SUM((COUNTIF(C$4:C470,Upgrades!$B$3:$B$13)-COUNTIF(C$4:C470,"Sell_"&amp;Upgrades!$B$3:$B$13))*Upgrades!$D$3:$D$13))</f>
        <v/>
      </c>
      <c r="F470" s="66" t="str">
        <f>IFERROR(__xludf.DUMMYFUNCTION("IF(COUNTA(C470:C1673)=0,"""",IF(REGEXMATCH(INDEX(FILTER(C$4:C470,C$4:C470&lt;&gt;""""),ROWS(FILTER(C$4:C470,C$4:C470&lt;&gt;""""))),""^Sell_""),INDEX(FILTER(F$4:F469,C$4:C469&lt;&gt;""""),ROWS(FILTER(C$4:C469,C$4:C469&lt;&gt;""""))),$AC$5+E470))"),"")</f>
        <v/>
      </c>
      <c r="G470" s="10" t="str">
        <f>IFERROR(__xludf.DUMMYFUNCTION("IF(COUNTA(C470:C1673)=0,"""",IF(C470="""",0,IF(REGEXMATCH(C470,""^Sell_""),-ROUNDDOWN(ROUNDUP(INDEX(Upgrades!$C$3:$C$13,MATCH(SUBSTITUTE(C470,""Sell_"",""""),Upgrades!$B$3:$B$13,0))*1.15^(COUNTIF(C$4:C469,SUBSTITUTE(C470,""Sell_"",""""))-COUNTIF(C$4:C469,"&amp;"""Sell_""&amp;SUBSTITUTE(C470,""Sell_"",""""))))/2),ROUNDUP(INDEX(Upgrades!$C$3:$C$13,MATCH(C470,Upgrades!$B$3:$B$13,0))*1.15^(COUNTIF(C$4:C469,C470)-COUNTIF(C$4:C469,""Sell_""&amp;C470))))))"),"")</f>
        <v/>
      </c>
      <c r="H470" s="10" t="str">
        <f t="shared" si="3"/>
        <v/>
      </c>
      <c r="I470" s="68" t="str">
        <f t="shared" si="4"/>
        <v/>
      </c>
      <c r="J470" s="59" t="str">
        <f t="shared" si="5"/>
        <v/>
      </c>
      <c r="K470" s="69" t="str">
        <f t="shared" si="6"/>
        <v/>
      </c>
      <c r="L470" s="60" t="str">
        <f t="shared" si="7"/>
        <v/>
      </c>
      <c r="M470" s="61" t="str">
        <f>IFERROR(__xludf.DUMMYFUNCTION("IFS(AND(COUNTA(C470:C1673)=0,COUNTA(Q470:Q1673)=0),"""",OR(AND(K470&gt;=1000000000,OR(Y470&gt;=1000000000,COUNTA(Q470:Q1673)=0)),OR(Y470&gt;=1000000000,AND(COUNTA(C470:C1673)=0,P$3=TRUE))),
ROUNDDOWN((AB$1-AC$1)*MAX(INDEX(T$4:T1673,MATCH(LARGE(FILTER(Y$4:Y1673,Y$4"&amp;":Y1673&lt;1000000000),1),Y$4:Y1673)),INDEX(F$4:F1673,MATCH(LARGE(FILTER(K$4:K1673,K$4:K1673&lt;1000000000),1),K$4:K1673)))),AND(K470&lt;1000000000,COUNTA(C470:C1673)&gt;0,P$3=FALSE),
ROUNDDOWN(INDEX(Y$4:Y1673,MATCH(LARGE(FILTER(W$4:W1673,W$4:W1673&lt;=I470),1),W$4:W1673"&amp;"))+(I470-LARGE(FILTER(W$4:W1673,W$4:W1673&lt;=I470),1))*INDEX(T$4:T1673,MATCH(LARGE(FILTER(W$4:W1673,W$4:W1673&lt;=I470),1),W$4:W1673))-K470),1,
ROUNDDOWN(Y470-INDEX(K$4:K1673,MATCH(LARGE(FILTER(I$4:I1673,I$4:I1673&lt;=W470),1),I$4:I1673))-(W470-LARGE(FILTER(I$4:I"&amp;"1673,I$4:I1673&lt;=W470),1))*INDEX(F$4:F1673,MATCH(LARGE(FILTER(I$4:I1673,I$4:I1673&lt;=W470),1),I$4:I1673))))"),"")</f>
        <v/>
      </c>
      <c r="N470" s="60" t="str">
        <f t="shared" si="8"/>
        <v/>
      </c>
      <c r="O470" s="61" t="str">
        <f t="shared" si="9"/>
        <v/>
      </c>
      <c r="P470" s="56" t="str">
        <f t="shared" si="10"/>
        <v/>
      </c>
      <c r="Q470" s="105"/>
      <c r="R470" s="10"/>
      <c r="S470" s="59" t="str">
        <f t="array" ref="S470">IF(COUNTA(Q470:Q1673)=0,"",SUM((COUNTIF(Q$4:Q470,Upgrades!$B$3:$B$13)-COUNTIF(Q$4:Q470,"Sell_"&amp;Upgrades!$B$3:$B$13))*Upgrades!$D$3:$D$13))</f>
        <v/>
      </c>
      <c r="T470" s="66" t="str">
        <f>IFERROR(__xludf.DUMMYFUNCTION("IF(COUNTA(Q470:Q1673)=0,"""",IF(REGEXMATCH(INDEX(FILTER(Q$4:Q470,Q$4:Q470&lt;&gt;""""),ROWS(FILTER(Q$4:Q470,Q$4:Q470&lt;&gt;""""))),""^Sell_""),INDEX(FILTER(T$4:T469,Q$4:Q469&lt;&gt;""""),ROWS(FILTER(Q$4:Q469,Q$4:Q469&lt;&gt;""""))),$AD$5+S470))"),"")</f>
        <v/>
      </c>
      <c r="U470" s="10" t="str">
        <f>IFERROR(__xludf.DUMMYFUNCTION("IF(COUNTA(Q470:Q1673)=0,"""",IF(Q470="""",0,IF(REGEXMATCH(Q470,""^Sell_""),-ROUNDDOWN(ROUNDUP(INDEX(Upgrades!$C$3:$C$13,MATCH(SUBSTITUTE(Q470,""Sell_"",""""),Upgrades!$B$3:$B$13,0))*1.15^(COUNTIF(Q$4:Q469,SUBSTITUTE(Q470,""Sell_"",""""))-COUNTIF(Q$4:Q469,"&amp;"""Sell_""&amp;SUBSTITUTE(Q470,""Sell_"",""""))))/2),ROUNDUP(INDEX(Upgrades!$C$3:$C$13,MATCH(Q470,Upgrades!$B$3:$B$13,0))*1.15^(COUNTIF(Q$4:Q469,Q470)-COUNTIF(Q$4:Q469,""Sell_""&amp;Q470))))))"),"")</f>
        <v/>
      </c>
      <c r="V470" s="10" t="str">
        <f t="shared" si="11"/>
        <v/>
      </c>
      <c r="W470" s="68" t="str">
        <f t="shared" si="12"/>
        <v/>
      </c>
      <c r="X470" s="59" t="str">
        <f t="shared" si="13"/>
        <v/>
      </c>
      <c r="Y470" s="69" t="str">
        <f t="shared" si="14"/>
        <v/>
      </c>
      <c r="Z470" s="11"/>
    </row>
    <row r="471">
      <c r="A471" s="8"/>
      <c r="B471" s="56" t="str">
        <f t="shared" si="2"/>
        <v/>
      </c>
      <c r="C471" s="105"/>
      <c r="D471" s="10"/>
      <c r="E471" s="59" t="str">
        <f t="array" ref="E471">IF(COUNTA(C471:C1673)=0,"",SUM((COUNTIF(C$4:C471,Upgrades!$B$3:$B$13)-COUNTIF(C$4:C471,"Sell_"&amp;Upgrades!$B$3:$B$13))*Upgrades!$D$3:$D$13))</f>
        <v/>
      </c>
      <c r="F471" s="66" t="str">
        <f>IFERROR(__xludf.DUMMYFUNCTION("IF(COUNTA(C471:C1673)=0,"""",IF(REGEXMATCH(INDEX(FILTER(C$4:C471,C$4:C471&lt;&gt;""""),ROWS(FILTER(C$4:C471,C$4:C471&lt;&gt;""""))),""^Sell_""),INDEX(FILTER(F$4:F470,C$4:C470&lt;&gt;""""),ROWS(FILTER(C$4:C470,C$4:C470&lt;&gt;""""))),$AC$5+E471))"),"")</f>
        <v/>
      </c>
      <c r="G471" s="10" t="str">
        <f>IFERROR(__xludf.DUMMYFUNCTION("IF(COUNTA(C471:C1673)=0,"""",IF(C471="""",0,IF(REGEXMATCH(C471,""^Sell_""),-ROUNDDOWN(ROUNDUP(INDEX(Upgrades!$C$3:$C$13,MATCH(SUBSTITUTE(C471,""Sell_"",""""),Upgrades!$B$3:$B$13,0))*1.15^(COUNTIF(C$4:C470,SUBSTITUTE(C471,""Sell_"",""""))-COUNTIF(C$4:C470,"&amp;"""Sell_""&amp;SUBSTITUTE(C471,""Sell_"",""""))))/2),ROUNDUP(INDEX(Upgrades!$C$3:$C$13,MATCH(C471,Upgrades!$B$3:$B$13,0))*1.15^(COUNTIF(C$4:C470,C471)-COUNTIF(C$4:C470,""Sell_""&amp;C471))))))"),"")</f>
        <v/>
      </c>
      <c r="H471" s="10" t="str">
        <f t="shared" si="3"/>
        <v/>
      </c>
      <c r="I471" s="68" t="str">
        <f t="shared" si="4"/>
        <v/>
      </c>
      <c r="J471" s="59" t="str">
        <f t="shared" si="5"/>
        <v/>
      </c>
      <c r="K471" s="69" t="str">
        <f t="shared" si="6"/>
        <v/>
      </c>
      <c r="L471" s="60" t="str">
        <f t="shared" si="7"/>
        <v/>
      </c>
      <c r="M471" s="61" t="str">
        <f>IFERROR(__xludf.DUMMYFUNCTION("IFS(AND(COUNTA(C471:C1673)=0,COUNTA(Q471:Q1673)=0),"""",OR(AND(K471&gt;=1000000000,OR(Y471&gt;=1000000000,COUNTA(Q471:Q1673)=0)),OR(Y471&gt;=1000000000,AND(COUNTA(C471:C1673)=0,P$3=TRUE))),
ROUNDDOWN((AB$1-AC$1)*MAX(INDEX(T$4:T1673,MATCH(LARGE(FILTER(Y$4:Y1673,Y$4"&amp;":Y1673&lt;1000000000),1),Y$4:Y1673)),INDEX(F$4:F1673,MATCH(LARGE(FILTER(K$4:K1673,K$4:K1673&lt;1000000000),1),K$4:K1673)))),AND(K471&lt;1000000000,COUNTA(C471:C1673)&gt;0,P$3=FALSE),
ROUNDDOWN(INDEX(Y$4:Y1673,MATCH(LARGE(FILTER(W$4:W1673,W$4:W1673&lt;=I471),1),W$4:W1673"&amp;"))+(I471-LARGE(FILTER(W$4:W1673,W$4:W1673&lt;=I471),1))*INDEX(T$4:T1673,MATCH(LARGE(FILTER(W$4:W1673,W$4:W1673&lt;=I471),1),W$4:W1673))-K471),1,
ROUNDDOWN(Y471-INDEX(K$4:K1673,MATCH(LARGE(FILTER(I$4:I1673,I$4:I1673&lt;=W471),1),I$4:I1673))-(W471-LARGE(FILTER(I$4:I"&amp;"1673,I$4:I1673&lt;=W471),1))*INDEX(F$4:F1673,MATCH(LARGE(FILTER(I$4:I1673,I$4:I1673&lt;=W471),1),I$4:I1673))))"),"")</f>
        <v/>
      </c>
      <c r="N471" s="60" t="str">
        <f t="shared" si="8"/>
        <v/>
      </c>
      <c r="O471" s="61" t="str">
        <f t="shared" si="9"/>
        <v/>
      </c>
      <c r="P471" s="56" t="str">
        <f t="shared" si="10"/>
        <v/>
      </c>
      <c r="Q471" s="105"/>
      <c r="R471" s="10"/>
      <c r="S471" s="59" t="str">
        <f t="array" ref="S471">IF(COUNTA(Q471:Q1673)=0,"",SUM((COUNTIF(Q$4:Q471,Upgrades!$B$3:$B$13)-COUNTIF(Q$4:Q471,"Sell_"&amp;Upgrades!$B$3:$B$13))*Upgrades!$D$3:$D$13))</f>
        <v/>
      </c>
      <c r="T471" s="66" t="str">
        <f>IFERROR(__xludf.DUMMYFUNCTION("IF(COUNTA(Q471:Q1673)=0,"""",IF(REGEXMATCH(INDEX(FILTER(Q$4:Q471,Q$4:Q471&lt;&gt;""""),ROWS(FILTER(Q$4:Q471,Q$4:Q471&lt;&gt;""""))),""^Sell_""),INDEX(FILTER(T$4:T470,Q$4:Q470&lt;&gt;""""),ROWS(FILTER(Q$4:Q470,Q$4:Q470&lt;&gt;""""))),$AD$5+S471))"),"")</f>
        <v/>
      </c>
      <c r="U471" s="10" t="str">
        <f>IFERROR(__xludf.DUMMYFUNCTION("IF(COUNTA(Q471:Q1673)=0,"""",IF(Q471="""",0,IF(REGEXMATCH(Q471,""^Sell_""),-ROUNDDOWN(ROUNDUP(INDEX(Upgrades!$C$3:$C$13,MATCH(SUBSTITUTE(Q471,""Sell_"",""""),Upgrades!$B$3:$B$13,0))*1.15^(COUNTIF(Q$4:Q470,SUBSTITUTE(Q471,""Sell_"",""""))-COUNTIF(Q$4:Q470,"&amp;"""Sell_""&amp;SUBSTITUTE(Q471,""Sell_"",""""))))/2),ROUNDUP(INDEX(Upgrades!$C$3:$C$13,MATCH(Q471,Upgrades!$B$3:$B$13,0))*1.15^(COUNTIF(Q$4:Q470,Q471)-COUNTIF(Q$4:Q470,""Sell_""&amp;Q471))))))"),"")</f>
        <v/>
      </c>
      <c r="V471" s="10" t="str">
        <f t="shared" si="11"/>
        <v/>
      </c>
      <c r="W471" s="68" t="str">
        <f t="shared" si="12"/>
        <v/>
      </c>
      <c r="X471" s="59" t="str">
        <f t="shared" si="13"/>
        <v/>
      </c>
      <c r="Y471" s="69" t="str">
        <f t="shared" si="14"/>
        <v/>
      </c>
      <c r="Z471" s="11"/>
    </row>
    <row r="472">
      <c r="A472" s="8"/>
      <c r="B472" s="56" t="str">
        <f t="shared" si="2"/>
        <v/>
      </c>
      <c r="C472" s="105"/>
      <c r="D472" s="10"/>
      <c r="E472" s="59" t="str">
        <f t="array" ref="E472">IF(COUNTA(C472:C1673)=0,"",SUM((COUNTIF(C$4:C472,Upgrades!$B$3:$B$13)-COUNTIF(C$4:C472,"Sell_"&amp;Upgrades!$B$3:$B$13))*Upgrades!$D$3:$D$13))</f>
        <v/>
      </c>
      <c r="F472" s="66" t="str">
        <f>IFERROR(__xludf.DUMMYFUNCTION("IF(COUNTA(C472:C1673)=0,"""",IF(REGEXMATCH(INDEX(FILTER(C$4:C472,C$4:C472&lt;&gt;""""),ROWS(FILTER(C$4:C472,C$4:C472&lt;&gt;""""))),""^Sell_""),INDEX(FILTER(F$4:F471,C$4:C471&lt;&gt;""""),ROWS(FILTER(C$4:C471,C$4:C471&lt;&gt;""""))),$AC$5+E472))"),"")</f>
        <v/>
      </c>
      <c r="G472" s="10" t="str">
        <f>IFERROR(__xludf.DUMMYFUNCTION("IF(COUNTA(C472:C1673)=0,"""",IF(C472="""",0,IF(REGEXMATCH(C472,""^Sell_""),-ROUNDDOWN(ROUNDUP(INDEX(Upgrades!$C$3:$C$13,MATCH(SUBSTITUTE(C472,""Sell_"",""""),Upgrades!$B$3:$B$13,0))*1.15^(COUNTIF(C$4:C471,SUBSTITUTE(C472,""Sell_"",""""))-COUNTIF(C$4:C471,"&amp;"""Sell_""&amp;SUBSTITUTE(C472,""Sell_"",""""))))/2),ROUNDUP(INDEX(Upgrades!$C$3:$C$13,MATCH(C472,Upgrades!$B$3:$B$13,0))*1.15^(COUNTIF(C$4:C471,C472)-COUNTIF(C$4:C471,""Sell_""&amp;C472))))))"),"")</f>
        <v/>
      </c>
      <c r="H472" s="10" t="str">
        <f t="shared" si="3"/>
        <v/>
      </c>
      <c r="I472" s="68" t="str">
        <f t="shared" si="4"/>
        <v/>
      </c>
      <c r="J472" s="59" t="str">
        <f t="shared" si="5"/>
        <v/>
      </c>
      <c r="K472" s="69" t="str">
        <f t="shared" si="6"/>
        <v/>
      </c>
      <c r="L472" s="60" t="str">
        <f t="shared" si="7"/>
        <v/>
      </c>
      <c r="M472" s="61" t="str">
        <f>IFERROR(__xludf.DUMMYFUNCTION("IFS(AND(COUNTA(C472:C1673)=0,COUNTA(Q472:Q1673)=0),"""",OR(AND(K472&gt;=1000000000,OR(Y472&gt;=1000000000,COUNTA(Q472:Q1673)=0)),OR(Y472&gt;=1000000000,AND(COUNTA(C472:C1673)=0,P$3=TRUE))),
ROUNDDOWN((AB$1-AC$1)*MAX(INDEX(T$4:T1673,MATCH(LARGE(FILTER(Y$4:Y1673,Y$4"&amp;":Y1673&lt;1000000000),1),Y$4:Y1673)),INDEX(F$4:F1673,MATCH(LARGE(FILTER(K$4:K1673,K$4:K1673&lt;1000000000),1),K$4:K1673)))),AND(K472&lt;1000000000,COUNTA(C472:C1673)&gt;0,P$3=FALSE),
ROUNDDOWN(INDEX(Y$4:Y1673,MATCH(LARGE(FILTER(W$4:W1673,W$4:W1673&lt;=I472),1),W$4:W1673"&amp;"))+(I472-LARGE(FILTER(W$4:W1673,W$4:W1673&lt;=I472),1))*INDEX(T$4:T1673,MATCH(LARGE(FILTER(W$4:W1673,W$4:W1673&lt;=I472),1),W$4:W1673))-K472),1,
ROUNDDOWN(Y472-INDEX(K$4:K1673,MATCH(LARGE(FILTER(I$4:I1673,I$4:I1673&lt;=W472),1),I$4:I1673))-(W472-LARGE(FILTER(I$4:I"&amp;"1673,I$4:I1673&lt;=W472),1))*INDEX(F$4:F1673,MATCH(LARGE(FILTER(I$4:I1673,I$4:I1673&lt;=W472),1),I$4:I1673))))"),"")</f>
        <v/>
      </c>
      <c r="N472" s="60" t="str">
        <f t="shared" si="8"/>
        <v/>
      </c>
      <c r="O472" s="61" t="str">
        <f t="shared" si="9"/>
        <v/>
      </c>
      <c r="P472" s="56" t="str">
        <f t="shared" si="10"/>
        <v/>
      </c>
      <c r="Q472" s="105"/>
      <c r="R472" s="10"/>
      <c r="S472" s="59" t="str">
        <f t="array" ref="S472">IF(COUNTA(Q472:Q1673)=0,"",SUM((COUNTIF(Q$4:Q472,Upgrades!$B$3:$B$13)-COUNTIF(Q$4:Q472,"Sell_"&amp;Upgrades!$B$3:$B$13))*Upgrades!$D$3:$D$13))</f>
        <v/>
      </c>
      <c r="T472" s="66" t="str">
        <f>IFERROR(__xludf.DUMMYFUNCTION("IF(COUNTA(Q472:Q1673)=0,"""",IF(REGEXMATCH(INDEX(FILTER(Q$4:Q472,Q$4:Q472&lt;&gt;""""),ROWS(FILTER(Q$4:Q472,Q$4:Q472&lt;&gt;""""))),""^Sell_""),INDEX(FILTER(T$4:T471,Q$4:Q471&lt;&gt;""""),ROWS(FILTER(Q$4:Q471,Q$4:Q471&lt;&gt;""""))),$AD$5+S472))"),"")</f>
        <v/>
      </c>
      <c r="U472" s="10" t="str">
        <f>IFERROR(__xludf.DUMMYFUNCTION("IF(COUNTA(Q472:Q1673)=0,"""",IF(Q472="""",0,IF(REGEXMATCH(Q472,""^Sell_""),-ROUNDDOWN(ROUNDUP(INDEX(Upgrades!$C$3:$C$13,MATCH(SUBSTITUTE(Q472,""Sell_"",""""),Upgrades!$B$3:$B$13,0))*1.15^(COUNTIF(Q$4:Q471,SUBSTITUTE(Q472,""Sell_"",""""))-COUNTIF(Q$4:Q471,"&amp;"""Sell_""&amp;SUBSTITUTE(Q472,""Sell_"",""""))))/2),ROUNDUP(INDEX(Upgrades!$C$3:$C$13,MATCH(Q472,Upgrades!$B$3:$B$13,0))*1.15^(COUNTIF(Q$4:Q471,Q472)-COUNTIF(Q$4:Q471,""Sell_""&amp;Q472))))))"),"")</f>
        <v/>
      </c>
      <c r="V472" s="10" t="str">
        <f t="shared" si="11"/>
        <v/>
      </c>
      <c r="W472" s="68" t="str">
        <f t="shared" si="12"/>
        <v/>
      </c>
      <c r="X472" s="59" t="str">
        <f t="shared" si="13"/>
        <v/>
      </c>
      <c r="Y472" s="69" t="str">
        <f t="shared" si="14"/>
        <v/>
      </c>
      <c r="Z472" s="11"/>
    </row>
    <row r="473">
      <c r="A473" s="8"/>
      <c r="B473" s="56" t="str">
        <f t="shared" si="2"/>
        <v/>
      </c>
      <c r="C473" s="105"/>
      <c r="D473" s="10"/>
      <c r="E473" s="59" t="str">
        <f t="array" ref="E473">IF(COUNTA(C473:C1673)=0,"",SUM((COUNTIF(C$4:C473,Upgrades!$B$3:$B$13)-COUNTIF(C$4:C473,"Sell_"&amp;Upgrades!$B$3:$B$13))*Upgrades!$D$3:$D$13))</f>
        <v/>
      </c>
      <c r="F473" s="66" t="str">
        <f>IFERROR(__xludf.DUMMYFUNCTION("IF(COUNTA(C473:C1673)=0,"""",IF(REGEXMATCH(INDEX(FILTER(C$4:C473,C$4:C473&lt;&gt;""""),ROWS(FILTER(C$4:C473,C$4:C473&lt;&gt;""""))),""^Sell_""),INDEX(FILTER(F$4:F472,C$4:C472&lt;&gt;""""),ROWS(FILTER(C$4:C472,C$4:C472&lt;&gt;""""))),$AC$5+E473))"),"")</f>
        <v/>
      </c>
      <c r="G473" s="10" t="str">
        <f>IFERROR(__xludf.DUMMYFUNCTION("IF(COUNTA(C473:C1673)=0,"""",IF(C473="""",0,IF(REGEXMATCH(C473,""^Sell_""),-ROUNDDOWN(ROUNDUP(INDEX(Upgrades!$C$3:$C$13,MATCH(SUBSTITUTE(C473,""Sell_"",""""),Upgrades!$B$3:$B$13,0))*1.15^(COUNTIF(C$4:C472,SUBSTITUTE(C473,""Sell_"",""""))-COUNTIF(C$4:C472,"&amp;"""Sell_""&amp;SUBSTITUTE(C473,""Sell_"",""""))))/2),ROUNDUP(INDEX(Upgrades!$C$3:$C$13,MATCH(C473,Upgrades!$B$3:$B$13,0))*1.15^(COUNTIF(C$4:C472,C473)-COUNTIF(C$4:C472,""Sell_""&amp;C473))))))"),"")</f>
        <v/>
      </c>
      <c r="H473" s="10" t="str">
        <f t="shared" si="3"/>
        <v/>
      </c>
      <c r="I473" s="68" t="str">
        <f t="shared" si="4"/>
        <v/>
      </c>
      <c r="J473" s="59" t="str">
        <f t="shared" si="5"/>
        <v/>
      </c>
      <c r="K473" s="69" t="str">
        <f t="shared" si="6"/>
        <v/>
      </c>
      <c r="L473" s="60" t="str">
        <f t="shared" si="7"/>
        <v/>
      </c>
      <c r="M473" s="61" t="str">
        <f>IFERROR(__xludf.DUMMYFUNCTION("IFS(AND(COUNTA(C473:C1673)=0,COUNTA(Q473:Q1673)=0),"""",OR(AND(K473&gt;=1000000000,OR(Y473&gt;=1000000000,COUNTA(Q473:Q1673)=0)),OR(Y473&gt;=1000000000,AND(COUNTA(C473:C1673)=0,P$3=TRUE))),
ROUNDDOWN((AB$1-AC$1)*MAX(INDEX(T$4:T1673,MATCH(LARGE(FILTER(Y$4:Y1673,Y$4"&amp;":Y1673&lt;1000000000),1),Y$4:Y1673)),INDEX(F$4:F1673,MATCH(LARGE(FILTER(K$4:K1673,K$4:K1673&lt;1000000000),1),K$4:K1673)))),AND(K473&lt;1000000000,COUNTA(C473:C1673)&gt;0,P$3=FALSE),
ROUNDDOWN(INDEX(Y$4:Y1673,MATCH(LARGE(FILTER(W$4:W1673,W$4:W1673&lt;=I473),1),W$4:W1673"&amp;"))+(I473-LARGE(FILTER(W$4:W1673,W$4:W1673&lt;=I473),1))*INDEX(T$4:T1673,MATCH(LARGE(FILTER(W$4:W1673,W$4:W1673&lt;=I473),1),W$4:W1673))-K473),1,
ROUNDDOWN(Y473-INDEX(K$4:K1673,MATCH(LARGE(FILTER(I$4:I1673,I$4:I1673&lt;=W473),1),I$4:I1673))-(W473-LARGE(FILTER(I$4:I"&amp;"1673,I$4:I1673&lt;=W473),1))*INDEX(F$4:F1673,MATCH(LARGE(FILTER(I$4:I1673,I$4:I1673&lt;=W473),1),I$4:I1673))))"),"")</f>
        <v/>
      </c>
      <c r="N473" s="60" t="str">
        <f t="shared" si="8"/>
        <v/>
      </c>
      <c r="O473" s="61" t="str">
        <f t="shared" si="9"/>
        <v/>
      </c>
      <c r="P473" s="56" t="str">
        <f t="shared" si="10"/>
        <v/>
      </c>
      <c r="Q473" s="105"/>
      <c r="R473" s="10"/>
      <c r="S473" s="59" t="str">
        <f t="array" ref="S473">IF(COUNTA(Q473:Q1673)=0,"",SUM((COUNTIF(Q$4:Q473,Upgrades!$B$3:$B$13)-COUNTIF(Q$4:Q473,"Sell_"&amp;Upgrades!$B$3:$B$13))*Upgrades!$D$3:$D$13))</f>
        <v/>
      </c>
      <c r="T473" s="66" t="str">
        <f>IFERROR(__xludf.DUMMYFUNCTION("IF(COUNTA(Q473:Q1673)=0,"""",IF(REGEXMATCH(INDEX(FILTER(Q$4:Q473,Q$4:Q473&lt;&gt;""""),ROWS(FILTER(Q$4:Q473,Q$4:Q473&lt;&gt;""""))),""^Sell_""),INDEX(FILTER(T$4:T472,Q$4:Q472&lt;&gt;""""),ROWS(FILTER(Q$4:Q472,Q$4:Q472&lt;&gt;""""))),$AD$5+S473))"),"")</f>
        <v/>
      </c>
      <c r="U473" s="10" t="str">
        <f>IFERROR(__xludf.DUMMYFUNCTION("IF(COUNTA(Q473:Q1673)=0,"""",IF(Q473="""",0,IF(REGEXMATCH(Q473,""^Sell_""),-ROUNDDOWN(ROUNDUP(INDEX(Upgrades!$C$3:$C$13,MATCH(SUBSTITUTE(Q473,""Sell_"",""""),Upgrades!$B$3:$B$13,0))*1.15^(COUNTIF(Q$4:Q472,SUBSTITUTE(Q473,""Sell_"",""""))-COUNTIF(Q$4:Q472,"&amp;"""Sell_""&amp;SUBSTITUTE(Q473,""Sell_"",""""))))/2),ROUNDUP(INDEX(Upgrades!$C$3:$C$13,MATCH(Q473,Upgrades!$B$3:$B$13,0))*1.15^(COUNTIF(Q$4:Q472,Q473)-COUNTIF(Q$4:Q472,""Sell_""&amp;Q473))))))"),"")</f>
        <v/>
      </c>
      <c r="V473" s="10" t="str">
        <f t="shared" si="11"/>
        <v/>
      </c>
      <c r="W473" s="68" t="str">
        <f t="shared" si="12"/>
        <v/>
      </c>
      <c r="X473" s="59" t="str">
        <f t="shared" si="13"/>
        <v/>
      </c>
      <c r="Y473" s="69" t="str">
        <f t="shared" si="14"/>
        <v/>
      </c>
      <c r="Z473" s="11"/>
    </row>
    <row r="474">
      <c r="A474" s="8"/>
      <c r="B474" s="56" t="str">
        <f t="shared" si="2"/>
        <v/>
      </c>
      <c r="C474" s="105"/>
      <c r="D474" s="10"/>
      <c r="E474" s="59" t="str">
        <f t="array" ref="E474">IF(COUNTA(C474:C1673)=0,"",SUM((COUNTIF(C$4:C474,Upgrades!$B$3:$B$13)-COUNTIF(C$4:C474,"Sell_"&amp;Upgrades!$B$3:$B$13))*Upgrades!$D$3:$D$13))</f>
        <v/>
      </c>
      <c r="F474" s="66" t="str">
        <f>IFERROR(__xludf.DUMMYFUNCTION("IF(COUNTA(C474:C1673)=0,"""",IF(REGEXMATCH(INDEX(FILTER(C$4:C474,C$4:C474&lt;&gt;""""),ROWS(FILTER(C$4:C474,C$4:C474&lt;&gt;""""))),""^Sell_""),INDEX(FILTER(F$4:F473,C$4:C473&lt;&gt;""""),ROWS(FILTER(C$4:C473,C$4:C473&lt;&gt;""""))),$AC$5+E474))"),"")</f>
        <v/>
      </c>
      <c r="G474" s="10" t="str">
        <f>IFERROR(__xludf.DUMMYFUNCTION("IF(COUNTA(C474:C1673)=0,"""",IF(C474="""",0,IF(REGEXMATCH(C474,""^Sell_""),-ROUNDDOWN(ROUNDUP(INDEX(Upgrades!$C$3:$C$13,MATCH(SUBSTITUTE(C474,""Sell_"",""""),Upgrades!$B$3:$B$13,0))*1.15^(COUNTIF(C$4:C473,SUBSTITUTE(C474,""Sell_"",""""))-COUNTIF(C$4:C473,"&amp;"""Sell_""&amp;SUBSTITUTE(C474,""Sell_"",""""))))/2),ROUNDUP(INDEX(Upgrades!$C$3:$C$13,MATCH(C474,Upgrades!$B$3:$B$13,0))*1.15^(COUNTIF(C$4:C473,C474)-COUNTIF(C$4:C473,""Sell_""&amp;C474))))))"),"")</f>
        <v/>
      </c>
      <c r="H474" s="10" t="str">
        <f t="shared" si="3"/>
        <v/>
      </c>
      <c r="I474" s="68" t="str">
        <f t="shared" si="4"/>
        <v/>
      </c>
      <c r="J474" s="59" t="str">
        <f t="shared" si="5"/>
        <v/>
      </c>
      <c r="K474" s="69" t="str">
        <f t="shared" si="6"/>
        <v/>
      </c>
      <c r="L474" s="60" t="str">
        <f t="shared" si="7"/>
        <v/>
      </c>
      <c r="M474" s="61" t="str">
        <f>IFERROR(__xludf.DUMMYFUNCTION("IFS(AND(COUNTA(C474:C1673)=0,COUNTA(Q474:Q1673)=0),"""",OR(AND(K474&gt;=1000000000,OR(Y474&gt;=1000000000,COUNTA(Q474:Q1673)=0)),OR(Y474&gt;=1000000000,AND(COUNTA(C474:C1673)=0,P$3=TRUE))),
ROUNDDOWN((AB$1-AC$1)*MAX(INDEX(T$4:T1673,MATCH(LARGE(FILTER(Y$4:Y1673,Y$4"&amp;":Y1673&lt;1000000000),1),Y$4:Y1673)),INDEX(F$4:F1673,MATCH(LARGE(FILTER(K$4:K1673,K$4:K1673&lt;1000000000),1),K$4:K1673)))),AND(K474&lt;1000000000,COUNTA(C474:C1673)&gt;0,P$3=FALSE),
ROUNDDOWN(INDEX(Y$4:Y1673,MATCH(LARGE(FILTER(W$4:W1673,W$4:W1673&lt;=I474),1),W$4:W1673"&amp;"))+(I474-LARGE(FILTER(W$4:W1673,W$4:W1673&lt;=I474),1))*INDEX(T$4:T1673,MATCH(LARGE(FILTER(W$4:W1673,W$4:W1673&lt;=I474),1),W$4:W1673))-K474),1,
ROUNDDOWN(Y474-INDEX(K$4:K1673,MATCH(LARGE(FILTER(I$4:I1673,I$4:I1673&lt;=W474),1),I$4:I1673))-(W474-LARGE(FILTER(I$4:I"&amp;"1673,I$4:I1673&lt;=W474),1))*INDEX(F$4:F1673,MATCH(LARGE(FILTER(I$4:I1673,I$4:I1673&lt;=W474),1),I$4:I1673))))"),"")</f>
        <v/>
      </c>
      <c r="N474" s="60" t="str">
        <f t="shared" si="8"/>
        <v/>
      </c>
      <c r="O474" s="61" t="str">
        <f t="shared" si="9"/>
        <v/>
      </c>
      <c r="P474" s="56" t="str">
        <f t="shared" si="10"/>
        <v/>
      </c>
      <c r="Q474" s="105"/>
      <c r="R474" s="10"/>
      <c r="S474" s="59" t="str">
        <f t="array" ref="S474">IF(COUNTA(Q474:Q1673)=0,"",SUM((COUNTIF(Q$4:Q474,Upgrades!$B$3:$B$13)-COUNTIF(Q$4:Q474,"Sell_"&amp;Upgrades!$B$3:$B$13))*Upgrades!$D$3:$D$13))</f>
        <v/>
      </c>
      <c r="T474" s="66" t="str">
        <f>IFERROR(__xludf.DUMMYFUNCTION("IF(COUNTA(Q474:Q1673)=0,"""",IF(REGEXMATCH(INDEX(FILTER(Q$4:Q474,Q$4:Q474&lt;&gt;""""),ROWS(FILTER(Q$4:Q474,Q$4:Q474&lt;&gt;""""))),""^Sell_""),INDEX(FILTER(T$4:T473,Q$4:Q473&lt;&gt;""""),ROWS(FILTER(Q$4:Q473,Q$4:Q473&lt;&gt;""""))),$AD$5+S474))"),"")</f>
        <v/>
      </c>
      <c r="U474" s="10" t="str">
        <f>IFERROR(__xludf.DUMMYFUNCTION("IF(COUNTA(Q474:Q1673)=0,"""",IF(Q474="""",0,IF(REGEXMATCH(Q474,""^Sell_""),-ROUNDDOWN(ROUNDUP(INDEX(Upgrades!$C$3:$C$13,MATCH(SUBSTITUTE(Q474,""Sell_"",""""),Upgrades!$B$3:$B$13,0))*1.15^(COUNTIF(Q$4:Q473,SUBSTITUTE(Q474,""Sell_"",""""))-COUNTIF(Q$4:Q473,"&amp;"""Sell_""&amp;SUBSTITUTE(Q474,""Sell_"",""""))))/2),ROUNDUP(INDEX(Upgrades!$C$3:$C$13,MATCH(Q474,Upgrades!$B$3:$B$13,0))*1.15^(COUNTIF(Q$4:Q473,Q474)-COUNTIF(Q$4:Q473,""Sell_""&amp;Q474))))))"),"")</f>
        <v/>
      </c>
      <c r="V474" s="10" t="str">
        <f t="shared" si="11"/>
        <v/>
      </c>
      <c r="W474" s="68" t="str">
        <f t="shared" si="12"/>
        <v/>
      </c>
      <c r="X474" s="59" t="str">
        <f t="shared" si="13"/>
        <v/>
      </c>
      <c r="Y474" s="69" t="str">
        <f t="shared" si="14"/>
        <v/>
      </c>
      <c r="Z474" s="11"/>
    </row>
    <row r="475">
      <c r="A475" s="8"/>
      <c r="B475" s="56" t="str">
        <f t="shared" si="2"/>
        <v/>
      </c>
      <c r="C475" s="105"/>
      <c r="D475" s="10"/>
      <c r="E475" s="59" t="str">
        <f t="array" ref="E475">IF(COUNTA(C475:C1673)=0,"",SUM((COUNTIF(C$4:C475,Upgrades!$B$3:$B$13)-COUNTIF(C$4:C475,"Sell_"&amp;Upgrades!$B$3:$B$13))*Upgrades!$D$3:$D$13))</f>
        <v/>
      </c>
      <c r="F475" s="66" t="str">
        <f>IFERROR(__xludf.DUMMYFUNCTION("IF(COUNTA(C475:C1673)=0,"""",IF(REGEXMATCH(INDEX(FILTER(C$4:C475,C$4:C475&lt;&gt;""""),ROWS(FILTER(C$4:C475,C$4:C475&lt;&gt;""""))),""^Sell_""),INDEX(FILTER(F$4:F474,C$4:C474&lt;&gt;""""),ROWS(FILTER(C$4:C474,C$4:C474&lt;&gt;""""))),$AC$5+E475))"),"")</f>
        <v/>
      </c>
      <c r="G475" s="10" t="str">
        <f>IFERROR(__xludf.DUMMYFUNCTION("IF(COUNTA(C475:C1673)=0,"""",IF(C475="""",0,IF(REGEXMATCH(C475,""^Sell_""),-ROUNDDOWN(ROUNDUP(INDEX(Upgrades!$C$3:$C$13,MATCH(SUBSTITUTE(C475,""Sell_"",""""),Upgrades!$B$3:$B$13,0))*1.15^(COUNTIF(C$4:C474,SUBSTITUTE(C475,""Sell_"",""""))-COUNTIF(C$4:C474,"&amp;"""Sell_""&amp;SUBSTITUTE(C475,""Sell_"",""""))))/2),ROUNDUP(INDEX(Upgrades!$C$3:$C$13,MATCH(C475,Upgrades!$B$3:$B$13,0))*1.15^(COUNTIF(C$4:C474,C475)-COUNTIF(C$4:C474,""Sell_""&amp;C475))))))"),"")</f>
        <v/>
      </c>
      <c r="H475" s="10" t="str">
        <f t="shared" si="3"/>
        <v/>
      </c>
      <c r="I475" s="68" t="str">
        <f t="shared" si="4"/>
        <v/>
      </c>
      <c r="J475" s="59" t="str">
        <f t="shared" si="5"/>
        <v/>
      </c>
      <c r="K475" s="69" t="str">
        <f t="shared" si="6"/>
        <v/>
      </c>
      <c r="L475" s="60" t="str">
        <f t="shared" si="7"/>
        <v/>
      </c>
      <c r="M475" s="61" t="str">
        <f>IFERROR(__xludf.DUMMYFUNCTION("IFS(AND(COUNTA(C475:C1673)=0,COUNTA(Q475:Q1673)=0),"""",OR(AND(K475&gt;=1000000000,OR(Y475&gt;=1000000000,COUNTA(Q475:Q1673)=0)),OR(Y475&gt;=1000000000,AND(COUNTA(C475:C1673)=0,P$3=TRUE))),
ROUNDDOWN((AB$1-AC$1)*MAX(INDEX(T$4:T1673,MATCH(LARGE(FILTER(Y$4:Y1673,Y$4"&amp;":Y1673&lt;1000000000),1),Y$4:Y1673)),INDEX(F$4:F1673,MATCH(LARGE(FILTER(K$4:K1673,K$4:K1673&lt;1000000000),1),K$4:K1673)))),AND(K475&lt;1000000000,COUNTA(C475:C1673)&gt;0,P$3=FALSE),
ROUNDDOWN(INDEX(Y$4:Y1673,MATCH(LARGE(FILTER(W$4:W1673,W$4:W1673&lt;=I475),1),W$4:W1673"&amp;"))+(I475-LARGE(FILTER(W$4:W1673,W$4:W1673&lt;=I475),1))*INDEX(T$4:T1673,MATCH(LARGE(FILTER(W$4:W1673,W$4:W1673&lt;=I475),1),W$4:W1673))-K475),1,
ROUNDDOWN(Y475-INDEX(K$4:K1673,MATCH(LARGE(FILTER(I$4:I1673,I$4:I1673&lt;=W475),1),I$4:I1673))-(W475-LARGE(FILTER(I$4:I"&amp;"1673,I$4:I1673&lt;=W475),1))*INDEX(F$4:F1673,MATCH(LARGE(FILTER(I$4:I1673,I$4:I1673&lt;=W475),1),I$4:I1673))))"),"")</f>
        <v/>
      </c>
      <c r="N475" s="60" t="str">
        <f t="shared" si="8"/>
        <v/>
      </c>
      <c r="O475" s="61" t="str">
        <f t="shared" si="9"/>
        <v/>
      </c>
      <c r="P475" s="56" t="str">
        <f t="shared" si="10"/>
        <v/>
      </c>
      <c r="Q475" s="105"/>
      <c r="R475" s="10"/>
      <c r="S475" s="59" t="str">
        <f t="array" ref="S475">IF(COUNTA(Q475:Q1673)=0,"",SUM((COUNTIF(Q$4:Q475,Upgrades!$B$3:$B$13)-COUNTIF(Q$4:Q475,"Sell_"&amp;Upgrades!$B$3:$B$13))*Upgrades!$D$3:$D$13))</f>
        <v/>
      </c>
      <c r="T475" s="66" t="str">
        <f>IFERROR(__xludf.DUMMYFUNCTION("IF(COUNTA(Q475:Q1673)=0,"""",IF(REGEXMATCH(INDEX(FILTER(Q$4:Q475,Q$4:Q475&lt;&gt;""""),ROWS(FILTER(Q$4:Q475,Q$4:Q475&lt;&gt;""""))),""^Sell_""),INDEX(FILTER(T$4:T474,Q$4:Q474&lt;&gt;""""),ROWS(FILTER(Q$4:Q474,Q$4:Q474&lt;&gt;""""))),$AD$5+S475))"),"")</f>
        <v/>
      </c>
      <c r="U475" s="10" t="str">
        <f>IFERROR(__xludf.DUMMYFUNCTION("IF(COUNTA(Q475:Q1673)=0,"""",IF(Q475="""",0,IF(REGEXMATCH(Q475,""^Sell_""),-ROUNDDOWN(ROUNDUP(INDEX(Upgrades!$C$3:$C$13,MATCH(SUBSTITUTE(Q475,""Sell_"",""""),Upgrades!$B$3:$B$13,0))*1.15^(COUNTIF(Q$4:Q474,SUBSTITUTE(Q475,""Sell_"",""""))-COUNTIF(Q$4:Q474,"&amp;"""Sell_""&amp;SUBSTITUTE(Q475,""Sell_"",""""))))/2),ROUNDUP(INDEX(Upgrades!$C$3:$C$13,MATCH(Q475,Upgrades!$B$3:$B$13,0))*1.15^(COUNTIF(Q$4:Q474,Q475)-COUNTIF(Q$4:Q474,""Sell_""&amp;Q475))))))"),"")</f>
        <v/>
      </c>
      <c r="V475" s="10" t="str">
        <f t="shared" si="11"/>
        <v/>
      </c>
      <c r="W475" s="68" t="str">
        <f t="shared" si="12"/>
        <v/>
      </c>
      <c r="X475" s="59" t="str">
        <f t="shared" si="13"/>
        <v/>
      </c>
      <c r="Y475" s="69" t="str">
        <f t="shared" si="14"/>
        <v/>
      </c>
      <c r="Z475" s="11"/>
    </row>
    <row r="476">
      <c r="A476" s="8"/>
      <c r="B476" s="56" t="str">
        <f t="shared" si="2"/>
        <v/>
      </c>
      <c r="C476" s="105"/>
      <c r="D476" s="10"/>
      <c r="E476" s="59" t="str">
        <f t="array" ref="E476">IF(COUNTA(C476:C1673)=0,"",SUM((COUNTIF(C$4:C476,Upgrades!$B$3:$B$13)-COUNTIF(C$4:C476,"Sell_"&amp;Upgrades!$B$3:$B$13))*Upgrades!$D$3:$D$13))</f>
        <v/>
      </c>
      <c r="F476" s="66" t="str">
        <f>IFERROR(__xludf.DUMMYFUNCTION("IF(COUNTA(C476:C1673)=0,"""",IF(REGEXMATCH(INDEX(FILTER(C$4:C476,C$4:C476&lt;&gt;""""),ROWS(FILTER(C$4:C476,C$4:C476&lt;&gt;""""))),""^Sell_""),INDEX(FILTER(F$4:F475,C$4:C475&lt;&gt;""""),ROWS(FILTER(C$4:C475,C$4:C475&lt;&gt;""""))),$AC$5+E476))"),"")</f>
        <v/>
      </c>
      <c r="G476" s="10" t="str">
        <f>IFERROR(__xludf.DUMMYFUNCTION("IF(COUNTA(C476:C1673)=0,"""",IF(C476="""",0,IF(REGEXMATCH(C476,""^Sell_""),-ROUNDDOWN(ROUNDUP(INDEX(Upgrades!$C$3:$C$13,MATCH(SUBSTITUTE(C476,""Sell_"",""""),Upgrades!$B$3:$B$13,0))*1.15^(COUNTIF(C$4:C475,SUBSTITUTE(C476,""Sell_"",""""))-COUNTIF(C$4:C475,"&amp;"""Sell_""&amp;SUBSTITUTE(C476,""Sell_"",""""))))/2),ROUNDUP(INDEX(Upgrades!$C$3:$C$13,MATCH(C476,Upgrades!$B$3:$B$13,0))*1.15^(COUNTIF(C$4:C475,C476)-COUNTIF(C$4:C475,""Sell_""&amp;C476))))))"),"")</f>
        <v/>
      </c>
      <c r="H476" s="10" t="str">
        <f t="shared" si="3"/>
        <v/>
      </c>
      <c r="I476" s="68" t="str">
        <f t="shared" si="4"/>
        <v/>
      </c>
      <c r="J476" s="59" t="str">
        <f t="shared" si="5"/>
        <v/>
      </c>
      <c r="K476" s="69" t="str">
        <f t="shared" si="6"/>
        <v/>
      </c>
      <c r="L476" s="60" t="str">
        <f t="shared" si="7"/>
        <v/>
      </c>
      <c r="M476" s="61" t="str">
        <f>IFERROR(__xludf.DUMMYFUNCTION("IFS(AND(COUNTA(C476:C1673)=0,COUNTA(Q476:Q1673)=0),"""",OR(AND(K476&gt;=1000000000,OR(Y476&gt;=1000000000,COUNTA(Q476:Q1673)=0)),OR(Y476&gt;=1000000000,AND(COUNTA(C476:C1673)=0,P$3=TRUE))),
ROUNDDOWN((AB$1-AC$1)*MAX(INDEX(T$4:T1673,MATCH(LARGE(FILTER(Y$4:Y1673,Y$4"&amp;":Y1673&lt;1000000000),1),Y$4:Y1673)),INDEX(F$4:F1673,MATCH(LARGE(FILTER(K$4:K1673,K$4:K1673&lt;1000000000),1),K$4:K1673)))),AND(K476&lt;1000000000,COUNTA(C476:C1673)&gt;0,P$3=FALSE),
ROUNDDOWN(INDEX(Y$4:Y1673,MATCH(LARGE(FILTER(W$4:W1673,W$4:W1673&lt;=I476),1),W$4:W1673"&amp;"))+(I476-LARGE(FILTER(W$4:W1673,W$4:W1673&lt;=I476),1))*INDEX(T$4:T1673,MATCH(LARGE(FILTER(W$4:W1673,W$4:W1673&lt;=I476),1),W$4:W1673))-K476),1,
ROUNDDOWN(Y476-INDEX(K$4:K1673,MATCH(LARGE(FILTER(I$4:I1673,I$4:I1673&lt;=W476),1),I$4:I1673))-(W476-LARGE(FILTER(I$4:I"&amp;"1673,I$4:I1673&lt;=W476),1))*INDEX(F$4:F1673,MATCH(LARGE(FILTER(I$4:I1673,I$4:I1673&lt;=W476),1),I$4:I1673))))"),"")</f>
        <v/>
      </c>
      <c r="N476" s="60" t="str">
        <f t="shared" si="8"/>
        <v/>
      </c>
      <c r="O476" s="61" t="str">
        <f t="shared" si="9"/>
        <v/>
      </c>
      <c r="P476" s="56" t="str">
        <f t="shared" si="10"/>
        <v/>
      </c>
      <c r="Q476" s="105"/>
      <c r="R476" s="10"/>
      <c r="S476" s="59" t="str">
        <f t="array" ref="S476">IF(COUNTA(Q476:Q1673)=0,"",SUM((COUNTIF(Q$4:Q476,Upgrades!$B$3:$B$13)-COUNTIF(Q$4:Q476,"Sell_"&amp;Upgrades!$B$3:$B$13))*Upgrades!$D$3:$D$13))</f>
        <v/>
      </c>
      <c r="T476" s="66" t="str">
        <f>IFERROR(__xludf.DUMMYFUNCTION("IF(COUNTA(Q476:Q1673)=0,"""",IF(REGEXMATCH(INDEX(FILTER(Q$4:Q476,Q$4:Q476&lt;&gt;""""),ROWS(FILTER(Q$4:Q476,Q$4:Q476&lt;&gt;""""))),""^Sell_""),INDEX(FILTER(T$4:T475,Q$4:Q475&lt;&gt;""""),ROWS(FILTER(Q$4:Q475,Q$4:Q475&lt;&gt;""""))),$AD$5+S476))"),"")</f>
        <v/>
      </c>
      <c r="U476" s="10" t="str">
        <f>IFERROR(__xludf.DUMMYFUNCTION("IF(COUNTA(Q476:Q1673)=0,"""",IF(Q476="""",0,IF(REGEXMATCH(Q476,""^Sell_""),-ROUNDDOWN(ROUNDUP(INDEX(Upgrades!$C$3:$C$13,MATCH(SUBSTITUTE(Q476,""Sell_"",""""),Upgrades!$B$3:$B$13,0))*1.15^(COUNTIF(Q$4:Q475,SUBSTITUTE(Q476,""Sell_"",""""))-COUNTIF(Q$4:Q475,"&amp;"""Sell_""&amp;SUBSTITUTE(Q476,""Sell_"",""""))))/2),ROUNDUP(INDEX(Upgrades!$C$3:$C$13,MATCH(Q476,Upgrades!$B$3:$B$13,0))*1.15^(COUNTIF(Q$4:Q475,Q476)-COUNTIF(Q$4:Q475,""Sell_""&amp;Q476))))))"),"")</f>
        <v/>
      </c>
      <c r="V476" s="10" t="str">
        <f t="shared" si="11"/>
        <v/>
      </c>
      <c r="W476" s="68" t="str">
        <f t="shared" si="12"/>
        <v/>
      </c>
      <c r="X476" s="59" t="str">
        <f t="shared" si="13"/>
        <v/>
      </c>
      <c r="Y476" s="69" t="str">
        <f t="shared" si="14"/>
        <v/>
      </c>
      <c r="Z476" s="11"/>
    </row>
    <row r="477">
      <c r="A477" s="8"/>
      <c r="B477" s="56" t="str">
        <f t="shared" si="2"/>
        <v/>
      </c>
      <c r="C477" s="105"/>
      <c r="D477" s="10"/>
      <c r="E477" s="59" t="str">
        <f t="array" ref="E477">IF(COUNTA(C477:C1673)=0,"",SUM((COUNTIF(C$4:C477,Upgrades!$B$3:$B$13)-COUNTIF(C$4:C477,"Sell_"&amp;Upgrades!$B$3:$B$13))*Upgrades!$D$3:$D$13))</f>
        <v/>
      </c>
      <c r="F477" s="66" t="str">
        <f>IFERROR(__xludf.DUMMYFUNCTION("IF(COUNTA(C477:C1673)=0,"""",IF(REGEXMATCH(INDEX(FILTER(C$4:C477,C$4:C477&lt;&gt;""""),ROWS(FILTER(C$4:C477,C$4:C477&lt;&gt;""""))),""^Sell_""),INDEX(FILTER(F$4:F476,C$4:C476&lt;&gt;""""),ROWS(FILTER(C$4:C476,C$4:C476&lt;&gt;""""))),$AC$5+E477))"),"")</f>
        <v/>
      </c>
      <c r="G477" s="10" t="str">
        <f>IFERROR(__xludf.DUMMYFUNCTION("IF(COUNTA(C477:C1673)=0,"""",IF(C477="""",0,IF(REGEXMATCH(C477,""^Sell_""),-ROUNDDOWN(ROUNDUP(INDEX(Upgrades!$C$3:$C$13,MATCH(SUBSTITUTE(C477,""Sell_"",""""),Upgrades!$B$3:$B$13,0))*1.15^(COUNTIF(C$4:C476,SUBSTITUTE(C477,""Sell_"",""""))-COUNTIF(C$4:C476,"&amp;"""Sell_""&amp;SUBSTITUTE(C477,""Sell_"",""""))))/2),ROUNDUP(INDEX(Upgrades!$C$3:$C$13,MATCH(C477,Upgrades!$B$3:$B$13,0))*1.15^(COUNTIF(C$4:C476,C477)-COUNTIF(C$4:C476,""Sell_""&amp;C477))))))"),"")</f>
        <v/>
      </c>
      <c r="H477" s="10" t="str">
        <f t="shared" si="3"/>
        <v/>
      </c>
      <c r="I477" s="68" t="str">
        <f t="shared" si="4"/>
        <v/>
      </c>
      <c r="J477" s="59" t="str">
        <f t="shared" si="5"/>
        <v/>
      </c>
      <c r="K477" s="69" t="str">
        <f t="shared" si="6"/>
        <v/>
      </c>
      <c r="L477" s="60" t="str">
        <f t="shared" si="7"/>
        <v/>
      </c>
      <c r="M477" s="61" t="str">
        <f>IFERROR(__xludf.DUMMYFUNCTION("IFS(AND(COUNTA(C477:C1673)=0,COUNTA(Q477:Q1673)=0),"""",OR(AND(K477&gt;=1000000000,OR(Y477&gt;=1000000000,COUNTA(Q477:Q1673)=0)),OR(Y477&gt;=1000000000,AND(COUNTA(C477:C1673)=0,P$3=TRUE))),
ROUNDDOWN((AB$1-AC$1)*MAX(INDEX(T$4:T1673,MATCH(LARGE(FILTER(Y$4:Y1673,Y$4"&amp;":Y1673&lt;1000000000),1),Y$4:Y1673)),INDEX(F$4:F1673,MATCH(LARGE(FILTER(K$4:K1673,K$4:K1673&lt;1000000000),1),K$4:K1673)))),AND(K477&lt;1000000000,COUNTA(C477:C1673)&gt;0,P$3=FALSE),
ROUNDDOWN(INDEX(Y$4:Y1673,MATCH(LARGE(FILTER(W$4:W1673,W$4:W1673&lt;=I477),1),W$4:W1673"&amp;"))+(I477-LARGE(FILTER(W$4:W1673,W$4:W1673&lt;=I477),1))*INDEX(T$4:T1673,MATCH(LARGE(FILTER(W$4:W1673,W$4:W1673&lt;=I477),1),W$4:W1673))-K477),1,
ROUNDDOWN(Y477-INDEX(K$4:K1673,MATCH(LARGE(FILTER(I$4:I1673,I$4:I1673&lt;=W477),1),I$4:I1673))-(W477-LARGE(FILTER(I$4:I"&amp;"1673,I$4:I1673&lt;=W477),1))*INDEX(F$4:F1673,MATCH(LARGE(FILTER(I$4:I1673,I$4:I1673&lt;=W477),1),I$4:I1673))))"),"")</f>
        <v/>
      </c>
      <c r="N477" s="60" t="str">
        <f t="shared" si="8"/>
        <v/>
      </c>
      <c r="O477" s="61" t="str">
        <f t="shared" si="9"/>
        <v/>
      </c>
      <c r="P477" s="56" t="str">
        <f t="shared" si="10"/>
        <v/>
      </c>
      <c r="Q477" s="105"/>
      <c r="R477" s="10"/>
      <c r="S477" s="59" t="str">
        <f t="array" ref="S477">IF(COUNTA(Q477:Q1673)=0,"",SUM((COUNTIF(Q$4:Q477,Upgrades!$B$3:$B$13)-COUNTIF(Q$4:Q477,"Sell_"&amp;Upgrades!$B$3:$B$13))*Upgrades!$D$3:$D$13))</f>
        <v/>
      </c>
      <c r="T477" s="66" t="str">
        <f>IFERROR(__xludf.DUMMYFUNCTION("IF(COUNTA(Q477:Q1673)=0,"""",IF(REGEXMATCH(INDEX(FILTER(Q$4:Q477,Q$4:Q477&lt;&gt;""""),ROWS(FILTER(Q$4:Q477,Q$4:Q477&lt;&gt;""""))),""^Sell_""),INDEX(FILTER(T$4:T476,Q$4:Q476&lt;&gt;""""),ROWS(FILTER(Q$4:Q476,Q$4:Q476&lt;&gt;""""))),$AD$5+S477))"),"")</f>
        <v/>
      </c>
      <c r="U477" s="10" t="str">
        <f>IFERROR(__xludf.DUMMYFUNCTION("IF(COUNTA(Q477:Q1673)=0,"""",IF(Q477="""",0,IF(REGEXMATCH(Q477,""^Sell_""),-ROUNDDOWN(ROUNDUP(INDEX(Upgrades!$C$3:$C$13,MATCH(SUBSTITUTE(Q477,""Sell_"",""""),Upgrades!$B$3:$B$13,0))*1.15^(COUNTIF(Q$4:Q476,SUBSTITUTE(Q477,""Sell_"",""""))-COUNTIF(Q$4:Q476,"&amp;"""Sell_""&amp;SUBSTITUTE(Q477,""Sell_"",""""))))/2),ROUNDUP(INDEX(Upgrades!$C$3:$C$13,MATCH(Q477,Upgrades!$B$3:$B$13,0))*1.15^(COUNTIF(Q$4:Q476,Q477)-COUNTIF(Q$4:Q476,""Sell_""&amp;Q477))))))"),"")</f>
        <v/>
      </c>
      <c r="V477" s="10" t="str">
        <f t="shared" si="11"/>
        <v/>
      </c>
      <c r="W477" s="68" t="str">
        <f t="shared" si="12"/>
        <v/>
      </c>
      <c r="X477" s="59" t="str">
        <f t="shared" si="13"/>
        <v/>
      </c>
      <c r="Y477" s="69" t="str">
        <f t="shared" si="14"/>
        <v/>
      </c>
      <c r="Z477" s="11"/>
    </row>
    <row r="478">
      <c r="A478" s="8"/>
      <c r="B478" s="56" t="str">
        <f t="shared" si="2"/>
        <v/>
      </c>
      <c r="C478" s="105"/>
      <c r="D478" s="10"/>
      <c r="E478" s="59" t="str">
        <f t="array" ref="E478">IF(COUNTA(C478:C1673)=0,"",SUM((COUNTIF(C$4:C478,Upgrades!$B$3:$B$13)-COUNTIF(C$4:C478,"Sell_"&amp;Upgrades!$B$3:$B$13))*Upgrades!$D$3:$D$13))</f>
        <v/>
      </c>
      <c r="F478" s="66" t="str">
        <f>IFERROR(__xludf.DUMMYFUNCTION("IF(COUNTA(C478:C1673)=0,"""",IF(REGEXMATCH(INDEX(FILTER(C$4:C478,C$4:C478&lt;&gt;""""),ROWS(FILTER(C$4:C478,C$4:C478&lt;&gt;""""))),""^Sell_""),INDEX(FILTER(F$4:F477,C$4:C477&lt;&gt;""""),ROWS(FILTER(C$4:C477,C$4:C477&lt;&gt;""""))),$AC$5+E478))"),"")</f>
        <v/>
      </c>
      <c r="G478" s="10" t="str">
        <f>IFERROR(__xludf.DUMMYFUNCTION("IF(COUNTA(C478:C1673)=0,"""",IF(C478="""",0,IF(REGEXMATCH(C478,""^Sell_""),-ROUNDDOWN(ROUNDUP(INDEX(Upgrades!$C$3:$C$13,MATCH(SUBSTITUTE(C478,""Sell_"",""""),Upgrades!$B$3:$B$13,0))*1.15^(COUNTIF(C$4:C477,SUBSTITUTE(C478,""Sell_"",""""))-COUNTIF(C$4:C477,"&amp;"""Sell_""&amp;SUBSTITUTE(C478,""Sell_"",""""))))/2),ROUNDUP(INDEX(Upgrades!$C$3:$C$13,MATCH(C478,Upgrades!$B$3:$B$13,0))*1.15^(COUNTIF(C$4:C477,C478)-COUNTIF(C$4:C477,""Sell_""&amp;C478))))))"),"")</f>
        <v/>
      </c>
      <c r="H478" s="10" t="str">
        <f t="shared" si="3"/>
        <v/>
      </c>
      <c r="I478" s="68" t="str">
        <f t="shared" si="4"/>
        <v/>
      </c>
      <c r="J478" s="59" t="str">
        <f t="shared" si="5"/>
        <v/>
      </c>
      <c r="K478" s="69" t="str">
        <f t="shared" si="6"/>
        <v/>
      </c>
      <c r="L478" s="60" t="str">
        <f t="shared" si="7"/>
        <v/>
      </c>
      <c r="M478" s="61" t="str">
        <f>IFERROR(__xludf.DUMMYFUNCTION("IFS(AND(COUNTA(C478:C1673)=0,COUNTA(Q478:Q1673)=0),"""",OR(AND(K478&gt;=1000000000,OR(Y478&gt;=1000000000,COUNTA(Q478:Q1673)=0)),OR(Y478&gt;=1000000000,AND(COUNTA(C478:C1673)=0,P$3=TRUE))),
ROUNDDOWN((AB$1-AC$1)*MAX(INDEX(T$4:T1673,MATCH(LARGE(FILTER(Y$4:Y1673,Y$4"&amp;":Y1673&lt;1000000000),1),Y$4:Y1673)),INDEX(F$4:F1673,MATCH(LARGE(FILTER(K$4:K1673,K$4:K1673&lt;1000000000),1),K$4:K1673)))),AND(K478&lt;1000000000,COUNTA(C478:C1673)&gt;0,P$3=FALSE),
ROUNDDOWN(INDEX(Y$4:Y1673,MATCH(LARGE(FILTER(W$4:W1673,W$4:W1673&lt;=I478),1),W$4:W1673"&amp;"))+(I478-LARGE(FILTER(W$4:W1673,W$4:W1673&lt;=I478),1))*INDEX(T$4:T1673,MATCH(LARGE(FILTER(W$4:W1673,W$4:W1673&lt;=I478),1),W$4:W1673))-K478),1,
ROUNDDOWN(Y478-INDEX(K$4:K1673,MATCH(LARGE(FILTER(I$4:I1673,I$4:I1673&lt;=W478),1),I$4:I1673))-(W478-LARGE(FILTER(I$4:I"&amp;"1673,I$4:I1673&lt;=W478),1))*INDEX(F$4:F1673,MATCH(LARGE(FILTER(I$4:I1673,I$4:I1673&lt;=W478),1),I$4:I1673))))"),"")</f>
        <v/>
      </c>
      <c r="N478" s="60" t="str">
        <f t="shared" si="8"/>
        <v/>
      </c>
      <c r="O478" s="61" t="str">
        <f t="shared" si="9"/>
        <v/>
      </c>
      <c r="P478" s="56" t="str">
        <f t="shared" si="10"/>
        <v/>
      </c>
      <c r="Q478" s="105"/>
      <c r="R478" s="10"/>
      <c r="S478" s="59" t="str">
        <f t="array" ref="S478">IF(COUNTA(Q478:Q1673)=0,"",SUM((COUNTIF(Q$4:Q478,Upgrades!$B$3:$B$13)-COUNTIF(Q$4:Q478,"Sell_"&amp;Upgrades!$B$3:$B$13))*Upgrades!$D$3:$D$13))</f>
        <v/>
      </c>
      <c r="T478" s="66" t="str">
        <f>IFERROR(__xludf.DUMMYFUNCTION("IF(COUNTA(Q478:Q1673)=0,"""",IF(REGEXMATCH(INDEX(FILTER(Q$4:Q478,Q$4:Q478&lt;&gt;""""),ROWS(FILTER(Q$4:Q478,Q$4:Q478&lt;&gt;""""))),""^Sell_""),INDEX(FILTER(T$4:T477,Q$4:Q477&lt;&gt;""""),ROWS(FILTER(Q$4:Q477,Q$4:Q477&lt;&gt;""""))),$AD$5+S478))"),"")</f>
        <v/>
      </c>
      <c r="U478" s="10" t="str">
        <f>IFERROR(__xludf.DUMMYFUNCTION("IF(COUNTA(Q478:Q1673)=0,"""",IF(Q478="""",0,IF(REGEXMATCH(Q478,""^Sell_""),-ROUNDDOWN(ROUNDUP(INDEX(Upgrades!$C$3:$C$13,MATCH(SUBSTITUTE(Q478,""Sell_"",""""),Upgrades!$B$3:$B$13,0))*1.15^(COUNTIF(Q$4:Q477,SUBSTITUTE(Q478,""Sell_"",""""))-COUNTIF(Q$4:Q477,"&amp;"""Sell_""&amp;SUBSTITUTE(Q478,""Sell_"",""""))))/2),ROUNDUP(INDEX(Upgrades!$C$3:$C$13,MATCH(Q478,Upgrades!$B$3:$B$13,0))*1.15^(COUNTIF(Q$4:Q477,Q478)-COUNTIF(Q$4:Q477,""Sell_""&amp;Q478))))))"),"")</f>
        <v/>
      </c>
      <c r="V478" s="10" t="str">
        <f t="shared" si="11"/>
        <v/>
      </c>
      <c r="W478" s="68" t="str">
        <f t="shared" si="12"/>
        <v/>
      </c>
      <c r="X478" s="59" t="str">
        <f t="shared" si="13"/>
        <v/>
      </c>
      <c r="Y478" s="69" t="str">
        <f t="shared" si="14"/>
        <v/>
      </c>
      <c r="Z478" s="11"/>
    </row>
    <row r="479">
      <c r="A479" s="8"/>
      <c r="B479" s="56" t="str">
        <f t="shared" si="2"/>
        <v/>
      </c>
      <c r="C479" s="105"/>
      <c r="D479" s="10"/>
      <c r="E479" s="59" t="str">
        <f t="array" ref="E479">IF(COUNTA(C479:C1673)=0,"",SUM((COUNTIF(C$4:C479,Upgrades!$B$3:$B$13)-COUNTIF(C$4:C479,"Sell_"&amp;Upgrades!$B$3:$B$13))*Upgrades!$D$3:$D$13))</f>
        <v/>
      </c>
      <c r="F479" s="66" t="str">
        <f>IFERROR(__xludf.DUMMYFUNCTION("IF(COUNTA(C479:C1673)=0,"""",IF(REGEXMATCH(INDEX(FILTER(C$4:C479,C$4:C479&lt;&gt;""""),ROWS(FILTER(C$4:C479,C$4:C479&lt;&gt;""""))),""^Sell_""),INDEX(FILTER(F$4:F478,C$4:C478&lt;&gt;""""),ROWS(FILTER(C$4:C478,C$4:C478&lt;&gt;""""))),$AC$5+E479))"),"")</f>
        <v/>
      </c>
      <c r="G479" s="10" t="str">
        <f>IFERROR(__xludf.DUMMYFUNCTION("IF(COUNTA(C479:C1673)=0,"""",IF(C479="""",0,IF(REGEXMATCH(C479,""^Sell_""),-ROUNDDOWN(ROUNDUP(INDEX(Upgrades!$C$3:$C$13,MATCH(SUBSTITUTE(C479,""Sell_"",""""),Upgrades!$B$3:$B$13,0))*1.15^(COUNTIF(C$4:C478,SUBSTITUTE(C479,""Sell_"",""""))-COUNTIF(C$4:C478,"&amp;"""Sell_""&amp;SUBSTITUTE(C479,""Sell_"",""""))))/2),ROUNDUP(INDEX(Upgrades!$C$3:$C$13,MATCH(C479,Upgrades!$B$3:$B$13,0))*1.15^(COUNTIF(C$4:C478,C479)-COUNTIF(C$4:C478,""Sell_""&amp;C479))))))"),"")</f>
        <v/>
      </c>
      <c r="H479" s="10" t="str">
        <f t="shared" si="3"/>
        <v/>
      </c>
      <c r="I479" s="68" t="str">
        <f t="shared" si="4"/>
        <v/>
      </c>
      <c r="J479" s="59" t="str">
        <f t="shared" si="5"/>
        <v/>
      </c>
      <c r="K479" s="69" t="str">
        <f t="shared" si="6"/>
        <v/>
      </c>
      <c r="L479" s="60" t="str">
        <f t="shared" si="7"/>
        <v/>
      </c>
      <c r="M479" s="61" t="str">
        <f>IFERROR(__xludf.DUMMYFUNCTION("IFS(AND(COUNTA(C479:C1673)=0,COUNTA(Q479:Q1673)=0),"""",OR(AND(K479&gt;=1000000000,OR(Y479&gt;=1000000000,COUNTA(Q479:Q1673)=0)),OR(Y479&gt;=1000000000,AND(COUNTA(C479:C1673)=0,P$3=TRUE))),
ROUNDDOWN((AB$1-AC$1)*MAX(INDEX(T$4:T1673,MATCH(LARGE(FILTER(Y$4:Y1673,Y$4"&amp;":Y1673&lt;1000000000),1),Y$4:Y1673)),INDEX(F$4:F1673,MATCH(LARGE(FILTER(K$4:K1673,K$4:K1673&lt;1000000000),1),K$4:K1673)))),AND(K479&lt;1000000000,COUNTA(C479:C1673)&gt;0,P$3=FALSE),
ROUNDDOWN(INDEX(Y$4:Y1673,MATCH(LARGE(FILTER(W$4:W1673,W$4:W1673&lt;=I479),1),W$4:W1673"&amp;"))+(I479-LARGE(FILTER(W$4:W1673,W$4:W1673&lt;=I479),1))*INDEX(T$4:T1673,MATCH(LARGE(FILTER(W$4:W1673,W$4:W1673&lt;=I479),1),W$4:W1673))-K479),1,
ROUNDDOWN(Y479-INDEX(K$4:K1673,MATCH(LARGE(FILTER(I$4:I1673,I$4:I1673&lt;=W479),1),I$4:I1673))-(W479-LARGE(FILTER(I$4:I"&amp;"1673,I$4:I1673&lt;=W479),1))*INDEX(F$4:F1673,MATCH(LARGE(FILTER(I$4:I1673,I$4:I1673&lt;=W479),1),I$4:I1673))))"),"")</f>
        <v/>
      </c>
      <c r="N479" s="60" t="str">
        <f t="shared" si="8"/>
        <v/>
      </c>
      <c r="O479" s="61" t="str">
        <f t="shared" si="9"/>
        <v/>
      </c>
      <c r="P479" s="56" t="str">
        <f t="shared" si="10"/>
        <v/>
      </c>
      <c r="Q479" s="105"/>
      <c r="R479" s="10"/>
      <c r="S479" s="59" t="str">
        <f t="array" ref="S479">IF(COUNTA(Q479:Q1673)=0,"",SUM((COUNTIF(Q$4:Q479,Upgrades!$B$3:$B$13)-COUNTIF(Q$4:Q479,"Sell_"&amp;Upgrades!$B$3:$B$13))*Upgrades!$D$3:$D$13))</f>
        <v/>
      </c>
      <c r="T479" s="66" t="str">
        <f>IFERROR(__xludf.DUMMYFUNCTION("IF(COUNTA(Q479:Q1673)=0,"""",IF(REGEXMATCH(INDEX(FILTER(Q$4:Q479,Q$4:Q479&lt;&gt;""""),ROWS(FILTER(Q$4:Q479,Q$4:Q479&lt;&gt;""""))),""^Sell_""),INDEX(FILTER(T$4:T478,Q$4:Q478&lt;&gt;""""),ROWS(FILTER(Q$4:Q478,Q$4:Q478&lt;&gt;""""))),$AD$5+S479))"),"")</f>
        <v/>
      </c>
      <c r="U479" s="10" t="str">
        <f>IFERROR(__xludf.DUMMYFUNCTION("IF(COUNTA(Q479:Q1673)=0,"""",IF(Q479="""",0,IF(REGEXMATCH(Q479,""^Sell_""),-ROUNDDOWN(ROUNDUP(INDEX(Upgrades!$C$3:$C$13,MATCH(SUBSTITUTE(Q479,""Sell_"",""""),Upgrades!$B$3:$B$13,0))*1.15^(COUNTIF(Q$4:Q478,SUBSTITUTE(Q479,""Sell_"",""""))-COUNTIF(Q$4:Q478,"&amp;"""Sell_""&amp;SUBSTITUTE(Q479,""Sell_"",""""))))/2),ROUNDUP(INDEX(Upgrades!$C$3:$C$13,MATCH(Q479,Upgrades!$B$3:$B$13,0))*1.15^(COUNTIF(Q$4:Q478,Q479)-COUNTIF(Q$4:Q478,""Sell_""&amp;Q479))))))"),"")</f>
        <v/>
      </c>
      <c r="V479" s="10" t="str">
        <f t="shared" si="11"/>
        <v/>
      </c>
      <c r="W479" s="68" t="str">
        <f t="shared" si="12"/>
        <v/>
      </c>
      <c r="X479" s="59" t="str">
        <f t="shared" si="13"/>
        <v/>
      </c>
      <c r="Y479" s="69" t="str">
        <f t="shared" si="14"/>
        <v/>
      </c>
      <c r="Z479" s="11"/>
    </row>
    <row r="480">
      <c r="A480" s="8"/>
      <c r="B480" s="56" t="str">
        <f t="shared" si="2"/>
        <v/>
      </c>
      <c r="C480" s="105"/>
      <c r="D480" s="10"/>
      <c r="E480" s="59" t="str">
        <f t="array" ref="E480">IF(COUNTA(C480:C1673)=0,"",SUM((COUNTIF(C$4:C480,Upgrades!$B$3:$B$13)-COUNTIF(C$4:C480,"Sell_"&amp;Upgrades!$B$3:$B$13))*Upgrades!$D$3:$D$13))</f>
        <v/>
      </c>
      <c r="F480" s="66" t="str">
        <f>IFERROR(__xludf.DUMMYFUNCTION("IF(COUNTA(C480:C1673)=0,"""",IF(REGEXMATCH(INDEX(FILTER(C$4:C480,C$4:C480&lt;&gt;""""),ROWS(FILTER(C$4:C480,C$4:C480&lt;&gt;""""))),""^Sell_""),INDEX(FILTER(F$4:F479,C$4:C479&lt;&gt;""""),ROWS(FILTER(C$4:C479,C$4:C479&lt;&gt;""""))),$AC$5+E480))"),"")</f>
        <v/>
      </c>
      <c r="G480" s="10" t="str">
        <f>IFERROR(__xludf.DUMMYFUNCTION("IF(COUNTA(C480:C1673)=0,"""",IF(C480="""",0,IF(REGEXMATCH(C480,""^Sell_""),-ROUNDDOWN(ROUNDUP(INDEX(Upgrades!$C$3:$C$13,MATCH(SUBSTITUTE(C480,""Sell_"",""""),Upgrades!$B$3:$B$13,0))*1.15^(COUNTIF(C$4:C479,SUBSTITUTE(C480,""Sell_"",""""))-COUNTIF(C$4:C479,"&amp;"""Sell_""&amp;SUBSTITUTE(C480,""Sell_"",""""))))/2),ROUNDUP(INDEX(Upgrades!$C$3:$C$13,MATCH(C480,Upgrades!$B$3:$B$13,0))*1.15^(COUNTIF(C$4:C479,C480)-COUNTIF(C$4:C479,""Sell_""&amp;C480))))))"),"")</f>
        <v/>
      </c>
      <c r="H480" s="10" t="str">
        <f t="shared" si="3"/>
        <v/>
      </c>
      <c r="I480" s="68" t="str">
        <f t="shared" si="4"/>
        <v/>
      </c>
      <c r="J480" s="59" t="str">
        <f t="shared" si="5"/>
        <v/>
      </c>
      <c r="K480" s="69" t="str">
        <f t="shared" si="6"/>
        <v/>
      </c>
      <c r="L480" s="60" t="str">
        <f t="shared" si="7"/>
        <v/>
      </c>
      <c r="M480" s="61" t="str">
        <f>IFERROR(__xludf.DUMMYFUNCTION("IFS(AND(COUNTA(C480:C1673)=0,COUNTA(Q480:Q1673)=0),"""",OR(AND(K480&gt;=1000000000,OR(Y480&gt;=1000000000,COUNTA(Q480:Q1673)=0)),OR(Y480&gt;=1000000000,AND(COUNTA(C480:C1673)=0,P$3=TRUE))),
ROUNDDOWN((AB$1-AC$1)*MAX(INDEX(T$4:T1673,MATCH(LARGE(FILTER(Y$4:Y1673,Y$4"&amp;":Y1673&lt;1000000000),1),Y$4:Y1673)),INDEX(F$4:F1673,MATCH(LARGE(FILTER(K$4:K1673,K$4:K1673&lt;1000000000),1),K$4:K1673)))),AND(K480&lt;1000000000,COUNTA(C480:C1673)&gt;0,P$3=FALSE),
ROUNDDOWN(INDEX(Y$4:Y1673,MATCH(LARGE(FILTER(W$4:W1673,W$4:W1673&lt;=I480),1),W$4:W1673"&amp;"))+(I480-LARGE(FILTER(W$4:W1673,W$4:W1673&lt;=I480),1))*INDEX(T$4:T1673,MATCH(LARGE(FILTER(W$4:W1673,W$4:W1673&lt;=I480),1),W$4:W1673))-K480),1,
ROUNDDOWN(Y480-INDEX(K$4:K1673,MATCH(LARGE(FILTER(I$4:I1673,I$4:I1673&lt;=W480),1),I$4:I1673))-(W480-LARGE(FILTER(I$4:I"&amp;"1673,I$4:I1673&lt;=W480),1))*INDEX(F$4:F1673,MATCH(LARGE(FILTER(I$4:I1673,I$4:I1673&lt;=W480),1),I$4:I1673))))"),"")</f>
        <v/>
      </c>
      <c r="N480" s="60" t="str">
        <f t="shared" si="8"/>
        <v/>
      </c>
      <c r="O480" s="61" t="str">
        <f t="shared" si="9"/>
        <v/>
      </c>
      <c r="P480" s="56" t="str">
        <f t="shared" si="10"/>
        <v/>
      </c>
      <c r="Q480" s="105"/>
      <c r="R480" s="10"/>
      <c r="S480" s="59" t="str">
        <f t="array" ref="S480">IF(COUNTA(Q480:Q1673)=0,"",SUM((COUNTIF(Q$4:Q480,Upgrades!$B$3:$B$13)-COUNTIF(Q$4:Q480,"Sell_"&amp;Upgrades!$B$3:$B$13))*Upgrades!$D$3:$D$13))</f>
        <v/>
      </c>
      <c r="T480" s="66" t="str">
        <f>IFERROR(__xludf.DUMMYFUNCTION("IF(COUNTA(Q480:Q1673)=0,"""",IF(REGEXMATCH(INDEX(FILTER(Q$4:Q480,Q$4:Q480&lt;&gt;""""),ROWS(FILTER(Q$4:Q480,Q$4:Q480&lt;&gt;""""))),""^Sell_""),INDEX(FILTER(T$4:T479,Q$4:Q479&lt;&gt;""""),ROWS(FILTER(Q$4:Q479,Q$4:Q479&lt;&gt;""""))),$AD$5+S480))"),"")</f>
        <v/>
      </c>
      <c r="U480" s="10" t="str">
        <f>IFERROR(__xludf.DUMMYFUNCTION("IF(COUNTA(Q480:Q1673)=0,"""",IF(Q480="""",0,IF(REGEXMATCH(Q480,""^Sell_""),-ROUNDDOWN(ROUNDUP(INDEX(Upgrades!$C$3:$C$13,MATCH(SUBSTITUTE(Q480,""Sell_"",""""),Upgrades!$B$3:$B$13,0))*1.15^(COUNTIF(Q$4:Q479,SUBSTITUTE(Q480,""Sell_"",""""))-COUNTIF(Q$4:Q479,"&amp;"""Sell_""&amp;SUBSTITUTE(Q480,""Sell_"",""""))))/2),ROUNDUP(INDEX(Upgrades!$C$3:$C$13,MATCH(Q480,Upgrades!$B$3:$B$13,0))*1.15^(COUNTIF(Q$4:Q479,Q480)-COUNTIF(Q$4:Q479,""Sell_""&amp;Q480))))))"),"")</f>
        <v/>
      </c>
      <c r="V480" s="10" t="str">
        <f t="shared" si="11"/>
        <v/>
      </c>
      <c r="W480" s="68" t="str">
        <f t="shared" si="12"/>
        <v/>
      </c>
      <c r="X480" s="59" t="str">
        <f t="shared" si="13"/>
        <v/>
      </c>
      <c r="Y480" s="69" t="str">
        <f t="shared" si="14"/>
        <v/>
      </c>
      <c r="Z480" s="11"/>
    </row>
    <row r="481">
      <c r="A481" s="8"/>
      <c r="B481" s="56" t="str">
        <f t="shared" si="2"/>
        <v/>
      </c>
      <c r="C481" s="105"/>
      <c r="D481" s="10"/>
      <c r="E481" s="59" t="str">
        <f t="array" ref="E481">IF(COUNTA(C481:C1673)=0,"",SUM((COUNTIF(C$4:C481,Upgrades!$B$3:$B$13)-COUNTIF(C$4:C481,"Sell_"&amp;Upgrades!$B$3:$B$13))*Upgrades!$D$3:$D$13))</f>
        <v/>
      </c>
      <c r="F481" s="66" t="str">
        <f>IFERROR(__xludf.DUMMYFUNCTION("IF(COUNTA(C481:C1673)=0,"""",IF(REGEXMATCH(INDEX(FILTER(C$4:C481,C$4:C481&lt;&gt;""""),ROWS(FILTER(C$4:C481,C$4:C481&lt;&gt;""""))),""^Sell_""),INDEX(FILTER(F$4:F480,C$4:C480&lt;&gt;""""),ROWS(FILTER(C$4:C480,C$4:C480&lt;&gt;""""))),$AC$5+E481))"),"")</f>
        <v/>
      </c>
      <c r="G481" s="10" t="str">
        <f>IFERROR(__xludf.DUMMYFUNCTION("IF(COUNTA(C481:C1673)=0,"""",IF(C481="""",0,IF(REGEXMATCH(C481,""^Sell_""),-ROUNDDOWN(ROUNDUP(INDEX(Upgrades!$C$3:$C$13,MATCH(SUBSTITUTE(C481,""Sell_"",""""),Upgrades!$B$3:$B$13,0))*1.15^(COUNTIF(C$4:C480,SUBSTITUTE(C481,""Sell_"",""""))-COUNTIF(C$4:C480,"&amp;"""Sell_""&amp;SUBSTITUTE(C481,""Sell_"",""""))))/2),ROUNDUP(INDEX(Upgrades!$C$3:$C$13,MATCH(C481,Upgrades!$B$3:$B$13,0))*1.15^(COUNTIF(C$4:C480,C481)-COUNTIF(C$4:C480,""Sell_""&amp;C481))))))"),"")</f>
        <v/>
      </c>
      <c r="H481" s="10" t="str">
        <f t="shared" si="3"/>
        <v/>
      </c>
      <c r="I481" s="68" t="str">
        <f t="shared" si="4"/>
        <v/>
      </c>
      <c r="J481" s="59" t="str">
        <f t="shared" si="5"/>
        <v/>
      </c>
      <c r="K481" s="69" t="str">
        <f t="shared" si="6"/>
        <v/>
      </c>
      <c r="L481" s="60" t="str">
        <f t="shared" si="7"/>
        <v/>
      </c>
      <c r="M481" s="61" t="str">
        <f>IFERROR(__xludf.DUMMYFUNCTION("IFS(AND(COUNTA(C481:C1673)=0,COUNTA(Q481:Q1673)=0),"""",OR(AND(K481&gt;=1000000000,OR(Y481&gt;=1000000000,COUNTA(Q481:Q1673)=0)),OR(Y481&gt;=1000000000,AND(COUNTA(C481:C1673)=0,P$3=TRUE))),
ROUNDDOWN((AB$1-AC$1)*MAX(INDEX(T$4:T1673,MATCH(LARGE(FILTER(Y$4:Y1673,Y$4"&amp;":Y1673&lt;1000000000),1),Y$4:Y1673)),INDEX(F$4:F1673,MATCH(LARGE(FILTER(K$4:K1673,K$4:K1673&lt;1000000000),1),K$4:K1673)))),AND(K481&lt;1000000000,COUNTA(C481:C1673)&gt;0,P$3=FALSE),
ROUNDDOWN(INDEX(Y$4:Y1673,MATCH(LARGE(FILTER(W$4:W1673,W$4:W1673&lt;=I481),1),W$4:W1673"&amp;"))+(I481-LARGE(FILTER(W$4:W1673,W$4:W1673&lt;=I481),1))*INDEX(T$4:T1673,MATCH(LARGE(FILTER(W$4:W1673,W$4:W1673&lt;=I481),1),W$4:W1673))-K481),1,
ROUNDDOWN(Y481-INDEX(K$4:K1673,MATCH(LARGE(FILTER(I$4:I1673,I$4:I1673&lt;=W481),1),I$4:I1673))-(W481-LARGE(FILTER(I$4:I"&amp;"1673,I$4:I1673&lt;=W481),1))*INDEX(F$4:F1673,MATCH(LARGE(FILTER(I$4:I1673,I$4:I1673&lt;=W481),1),I$4:I1673))))"),"")</f>
        <v/>
      </c>
      <c r="N481" s="60" t="str">
        <f t="shared" si="8"/>
        <v/>
      </c>
      <c r="O481" s="61" t="str">
        <f t="shared" si="9"/>
        <v/>
      </c>
      <c r="P481" s="56" t="str">
        <f t="shared" si="10"/>
        <v/>
      </c>
      <c r="Q481" s="105"/>
      <c r="R481" s="10"/>
      <c r="S481" s="59" t="str">
        <f t="array" ref="S481">IF(COUNTA(Q481:Q1673)=0,"",SUM((COUNTIF(Q$4:Q481,Upgrades!$B$3:$B$13)-COUNTIF(Q$4:Q481,"Sell_"&amp;Upgrades!$B$3:$B$13))*Upgrades!$D$3:$D$13))</f>
        <v/>
      </c>
      <c r="T481" s="66" t="str">
        <f>IFERROR(__xludf.DUMMYFUNCTION("IF(COUNTA(Q481:Q1673)=0,"""",IF(REGEXMATCH(INDEX(FILTER(Q$4:Q481,Q$4:Q481&lt;&gt;""""),ROWS(FILTER(Q$4:Q481,Q$4:Q481&lt;&gt;""""))),""^Sell_""),INDEX(FILTER(T$4:T480,Q$4:Q480&lt;&gt;""""),ROWS(FILTER(Q$4:Q480,Q$4:Q480&lt;&gt;""""))),$AD$5+S481))"),"")</f>
        <v/>
      </c>
      <c r="U481" s="10" t="str">
        <f>IFERROR(__xludf.DUMMYFUNCTION("IF(COUNTA(Q481:Q1673)=0,"""",IF(Q481="""",0,IF(REGEXMATCH(Q481,""^Sell_""),-ROUNDDOWN(ROUNDUP(INDEX(Upgrades!$C$3:$C$13,MATCH(SUBSTITUTE(Q481,""Sell_"",""""),Upgrades!$B$3:$B$13,0))*1.15^(COUNTIF(Q$4:Q480,SUBSTITUTE(Q481,""Sell_"",""""))-COUNTIF(Q$4:Q480,"&amp;"""Sell_""&amp;SUBSTITUTE(Q481,""Sell_"",""""))))/2),ROUNDUP(INDEX(Upgrades!$C$3:$C$13,MATCH(Q481,Upgrades!$B$3:$B$13,0))*1.15^(COUNTIF(Q$4:Q480,Q481)-COUNTIF(Q$4:Q480,""Sell_""&amp;Q481))))))"),"")</f>
        <v/>
      </c>
      <c r="V481" s="10" t="str">
        <f t="shared" si="11"/>
        <v/>
      </c>
      <c r="W481" s="68" t="str">
        <f t="shared" si="12"/>
        <v/>
      </c>
      <c r="X481" s="59" t="str">
        <f t="shared" si="13"/>
        <v/>
      </c>
      <c r="Y481" s="69" t="str">
        <f t="shared" si="14"/>
        <v/>
      </c>
      <c r="Z481" s="11"/>
    </row>
    <row r="482">
      <c r="A482" s="8"/>
      <c r="B482" s="56" t="str">
        <f t="shared" si="2"/>
        <v/>
      </c>
      <c r="C482" s="105"/>
      <c r="D482" s="10"/>
      <c r="E482" s="59" t="str">
        <f t="array" ref="E482">IF(COUNTA(C482:C1673)=0,"",SUM((COUNTIF(C$4:C482,Upgrades!$B$3:$B$13)-COUNTIF(C$4:C482,"Sell_"&amp;Upgrades!$B$3:$B$13))*Upgrades!$D$3:$D$13))</f>
        <v/>
      </c>
      <c r="F482" s="66" t="str">
        <f>IFERROR(__xludf.DUMMYFUNCTION("IF(COUNTA(C482:C1673)=0,"""",IF(REGEXMATCH(INDEX(FILTER(C$4:C482,C$4:C482&lt;&gt;""""),ROWS(FILTER(C$4:C482,C$4:C482&lt;&gt;""""))),""^Sell_""),INDEX(FILTER(F$4:F481,C$4:C481&lt;&gt;""""),ROWS(FILTER(C$4:C481,C$4:C481&lt;&gt;""""))),$AC$5+E482))"),"")</f>
        <v/>
      </c>
      <c r="G482" s="10" t="str">
        <f>IFERROR(__xludf.DUMMYFUNCTION("IF(COUNTA(C482:C1673)=0,"""",IF(C482="""",0,IF(REGEXMATCH(C482,""^Sell_""),-ROUNDDOWN(ROUNDUP(INDEX(Upgrades!$C$3:$C$13,MATCH(SUBSTITUTE(C482,""Sell_"",""""),Upgrades!$B$3:$B$13,0))*1.15^(COUNTIF(C$4:C481,SUBSTITUTE(C482,""Sell_"",""""))-COUNTIF(C$4:C481,"&amp;"""Sell_""&amp;SUBSTITUTE(C482,""Sell_"",""""))))/2),ROUNDUP(INDEX(Upgrades!$C$3:$C$13,MATCH(C482,Upgrades!$B$3:$B$13,0))*1.15^(COUNTIF(C$4:C481,C482)-COUNTIF(C$4:C481,""Sell_""&amp;C482))))))"),"")</f>
        <v/>
      </c>
      <c r="H482" s="10" t="str">
        <f t="shared" si="3"/>
        <v/>
      </c>
      <c r="I482" s="68" t="str">
        <f t="shared" si="4"/>
        <v/>
      </c>
      <c r="J482" s="59" t="str">
        <f t="shared" si="5"/>
        <v/>
      </c>
      <c r="K482" s="69" t="str">
        <f t="shared" si="6"/>
        <v/>
      </c>
      <c r="L482" s="60" t="str">
        <f t="shared" si="7"/>
        <v/>
      </c>
      <c r="M482" s="61" t="str">
        <f>IFERROR(__xludf.DUMMYFUNCTION("IFS(AND(COUNTA(C482:C1673)=0,COUNTA(Q482:Q1673)=0),"""",OR(AND(K482&gt;=1000000000,OR(Y482&gt;=1000000000,COUNTA(Q482:Q1673)=0)),OR(Y482&gt;=1000000000,AND(COUNTA(C482:C1673)=0,P$3=TRUE))),
ROUNDDOWN((AB$1-AC$1)*MAX(INDEX(T$4:T1673,MATCH(LARGE(FILTER(Y$4:Y1673,Y$4"&amp;":Y1673&lt;1000000000),1),Y$4:Y1673)),INDEX(F$4:F1673,MATCH(LARGE(FILTER(K$4:K1673,K$4:K1673&lt;1000000000),1),K$4:K1673)))),AND(K482&lt;1000000000,COUNTA(C482:C1673)&gt;0,P$3=FALSE),
ROUNDDOWN(INDEX(Y$4:Y1673,MATCH(LARGE(FILTER(W$4:W1673,W$4:W1673&lt;=I482),1),W$4:W1673"&amp;"))+(I482-LARGE(FILTER(W$4:W1673,W$4:W1673&lt;=I482),1))*INDEX(T$4:T1673,MATCH(LARGE(FILTER(W$4:W1673,W$4:W1673&lt;=I482),1),W$4:W1673))-K482),1,
ROUNDDOWN(Y482-INDEX(K$4:K1673,MATCH(LARGE(FILTER(I$4:I1673,I$4:I1673&lt;=W482),1),I$4:I1673))-(W482-LARGE(FILTER(I$4:I"&amp;"1673,I$4:I1673&lt;=W482),1))*INDEX(F$4:F1673,MATCH(LARGE(FILTER(I$4:I1673,I$4:I1673&lt;=W482),1),I$4:I1673))))"),"")</f>
        <v/>
      </c>
      <c r="N482" s="60" t="str">
        <f t="shared" si="8"/>
        <v/>
      </c>
      <c r="O482" s="61" t="str">
        <f t="shared" si="9"/>
        <v/>
      </c>
      <c r="P482" s="56" t="str">
        <f t="shared" si="10"/>
        <v/>
      </c>
      <c r="Q482" s="105"/>
      <c r="R482" s="10"/>
      <c r="S482" s="59" t="str">
        <f t="array" ref="S482">IF(COUNTA(Q482:Q1673)=0,"",SUM((COUNTIF(Q$4:Q482,Upgrades!$B$3:$B$13)-COUNTIF(Q$4:Q482,"Sell_"&amp;Upgrades!$B$3:$B$13))*Upgrades!$D$3:$D$13))</f>
        <v/>
      </c>
      <c r="T482" s="66" t="str">
        <f>IFERROR(__xludf.DUMMYFUNCTION("IF(COUNTA(Q482:Q1673)=0,"""",IF(REGEXMATCH(INDEX(FILTER(Q$4:Q482,Q$4:Q482&lt;&gt;""""),ROWS(FILTER(Q$4:Q482,Q$4:Q482&lt;&gt;""""))),""^Sell_""),INDEX(FILTER(T$4:T481,Q$4:Q481&lt;&gt;""""),ROWS(FILTER(Q$4:Q481,Q$4:Q481&lt;&gt;""""))),$AD$5+S482))"),"")</f>
        <v/>
      </c>
      <c r="U482" s="10" t="str">
        <f>IFERROR(__xludf.DUMMYFUNCTION("IF(COUNTA(Q482:Q1673)=0,"""",IF(Q482="""",0,IF(REGEXMATCH(Q482,""^Sell_""),-ROUNDDOWN(ROUNDUP(INDEX(Upgrades!$C$3:$C$13,MATCH(SUBSTITUTE(Q482,""Sell_"",""""),Upgrades!$B$3:$B$13,0))*1.15^(COUNTIF(Q$4:Q481,SUBSTITUTE(Q482,""Sell_"",""""))-COUNTIF(Q$4:Q481,"&amp;"""Sell_""&amp;SUBSTITUTE(Q482,""Sell_"",""""))))/2),ROUNDUP(INDEX(Upgrades!$C$3:$C$13,MATCH(Q482,Upgrades!$B$3:$B$13,0))*1.15^(COUNTIF(Q$4:Q481,Q482)-COUNTIF(Q$4:Q481,""Sell_""&amp;Q482))))))"),"")</f>
        <v/>
      </c>
      <c r="V482" s="10" t="str">
        <f t="shared" si="11"/>
        <v/>
      </c>
      <c r="W482" s="68" t="str">
        <f t="shared" si="12"/>
        <v/>
      </c>
      <c r="X482" s="59" t="str">
        <f t="shared" si="13"/>
        <v/>
      </c>
      <c r="Y482" s="69" t="str">
        <f t="shared" si="14"/>
        <v/>
      </c>
      <c r="Z482" s="11"/>
    </row>
    <row r="483">
      <c r="A483" s="8"/>
      <c r="B483" s="56" t="str">
        <f t="shared" si="2"/>
        <v/>
      </c>
      <c r="C483" s="105"/>
      <c r="D483" s="10"/>
      <c r="E483" s="59" t="str">
        <f t="array" ref="E483">IF(COUNTA(C483:C1673)=0,"",SUM((COUNTIF(C$4:C483,Upgrades!$B$3:$B$13)-COUNTIF(C$4:C483,"Sell_"&amp;Upgrades!$B$3:$B$13))*Upgrades!$D$3:$D$13))</f>
        <v/>
      </c>
      <c r="F483" s="66" t="str">
        <f>IFERROR(__xludf.DUMMYFUNCTION("IF(COUNTA(C483:C1673)=0,"""",IF(REGEXMATCH(INDEX(FILTER(C$4:C483,C$4:C483&lt;&gt;""""),ROWS(FILTER(C$4:C483,C$4:C483&lt;&gt;""""))),""^Sell_""),INDEX(FILTER(F$4:F482,C$4:C482&lt;&gt;""""),ROWS(FILTER(C$4:C482,C$4:C482&lt;&gt;""""))),$AC$5+E483))"),"")</f>
        <v/>
      </c>
      <c r="G483" s="10" t="str">
        <f>IFERROR(__xludf.DUMMYFUNCTION("IF(COUNTA(C483:C1673)=0,"""",IF(C483="""",0,IF(REGEXMATCH(C483,""^Sell_""),-ROUNDDOWN(ROUNDUP(INDEX(Upgrades!$C$3:$C$13,MATCH(SUBSTITUTE(C483,""Sell_"",""""),Upgrades!$B$3:$B$13,0))*1.15^(COUNTIF(C$4:C482,SUBSTITUTE(C483,""Sell_"",""""))-COUNTIF(C$4:C482,"&amp;"""Sell_""&amp;SUBSTITUTE(C483,""Sell_"",""""))))/2),ROUNDUP(INDEX(Upgrades!$C$3:$C$13,MATCH(C483,Upgrades!$B$3:$B$13,0))*1.15^(COUNTIF(C$4:C482,C483)-COUNTIF(C$4:C482,""Sell_""&amp;C483))))))"),"")</f>
        <v/>
      </c>
      <c r="H483" s="10" t="str">
        <f t="shared" si="3"/>
        <v/>
      </c>
      <c r="I483" s="68" t="str">
        <f t="shared" si="4"/>
        <v/>
      </c>
      <c r="J483" s="59" t="str">
        <f t="shared" si="5"/>
        <v/>
      </c>
      <c r="K483" s="69" t="str">
        <f t="shared" si="6"/>
        <v/>
      </c>
      <c r="L483" s="60" t="str">
        <f t="shared" si="7"/>
        <v/>
      </c>
      <c r="M483" s="61" t="str">
        <f>IFERROR(__xludf.DUMMYFUNCTION("IFS(AND(COUNTA(C483:C1673)=0,COUNTA(Q483:Q1673)=0),"""",OR(AND(K483&gt;=1000000000,OR(Y483&gt;=1000000000,COUNTA(Q483:Q1673)=0)),OR(Y483&gt;=1000000000,AND(COUNTA(C483:C1673)=0,P$3=TRUE))),
ROUNDDOWN((AB$1-AC$1)*MAX(INDEX(T$4:T1673,MATCH(LARGE(FILTER(Y$4:Y1673,Y$4"&amp;":Y1673&lt;1000000000),1),Y$4:Y1673)),INDEX(F$4:F1673,MATCH(LARGE(FILTER(K$4:K1673,K$4:K1673&lt;1000000000),1),K$4:K1673)))),AND(K483&lt;1000000000,COUNTA(C483:C1673)&gt;0,P$3=FALSE),
ROUNDDOWN(INDEX(Y$4:Y1673,MATCH(LARGE(FILTER(W$4:W1673,W$4:W1673&lt;=I483),1),W$4:W1673"&amp;"))+(I483-LARGE(FILTER(W$4:W1673,W$4:W1673&lt;=I483),1))*INDEX(T$4:T1673,MATCH(LARGE(FILTER(W$4:W1673,W$4:W1673&lt;=I483),1),W$4:W1673))-K483),1,
ROUNDDOWN(Y483-INDEX(K$4:K1673,MATCH(LARGE(FILTER(I$4:I1673,I$4:I1673&lt;=W483),1),I$4:I1673))-(W483-LARGE(FILTER(I$4:I"&amp;"1673,I$4:I1673&lt;=W483),1))*INDEX(F$4:F1673,MATCH(LARGE(FILTER(I$4:I1673,I$4:I1673&lt;=W483),1),I$4:I1673))))"),"")</f>
        <v/>
      </c>
      <c r="N483" s="60" t="str">
        <f t="shared" si="8"/>
        <v/>
      </c>
      <c r="O483" s="61" t="str">
        <f t="shared" si="9"/>
        <v/>
      </c>
      <c r="P483" s="56" t="str">
        <f t="shared" si="10"/>
        <v/>
      </c>
      <c r="Q483" s="105"/>
      <c r="R483" s="10"/>
      <c r="S483" s="59" t="str">
        <f t="array" ref="S483">IF(COUNTA(Q483:Q1673)=0,"",SUM((COUNTIF(Q$4:Q483,Upgrades!$B$3:$B$13)-COUNTIF(Q$4:Q483,"Sell_"&amp;Upgrades!$B$3:$B$13))*Upgrades!$D$3:$D$13))</f>
        <v/>
      </c>
      <c r="T483" s="66" t="str">
        <f>IFERROR(__xludf.DUMMYFUNCTION("IF(COUNTA(Q483:Q1673)=0,"""",IF(REGEXMATCH(INDEX(FILTER(Q$4:Q483,Q$4:Q483&lt;&gt;""""),ROWS(FILTER(Q$4:Q483,Q$4:Q483&lt;&gt;""""))),""^Sell_""),INDEX(FILTER(T$4:T482,Q$4:Q482&lt;&gt;""""),ROWS(FILTER(Q$4:Q482,Q$4:Q482&lt;&gt;""""))),$AD$5+S483))"),"")</f>
        <v/>
      </c>
      <c r="U483" s="10" t="str">
        <f>IFERROR(__xludf.DUMMYFUNCTION("IF(COUNTA(Q483:Q1673)=0,"""",IF(Q483="""",0,IF(REGEXMATCH(Q483,""^Sell_""),-ROUNDDOWN(ROUNDUP(INDEX(Upgrades!$C$3:$C$13,MATCH(SUBSTITUTE(Q483,""Sell_"",""""),Upgrades!$B$3:$B$13,0))*1.15^(COUNTIF(Q$4:Q482,SUBSTITUTE(Q483,""Sell_"",""""))-COUNTIF(Q$4:Q482,"&amp;"""Sell_""&amp;SUBSTITUTE(Q483,""Sell_"",""""))))/2),ROUNDUP(INDEX(Upgrades!$C$3:$C$13,MATCH(Q483,Upgrades!$B$3:$B$13,0))*1.15^(COUNTIF(Q$4:Q482,Q483)-COUNTIF(Q$4:Q482,""Sell_""&amp;Q483))))))"),"")</f>
        <v/>
      </c>
      <c r="V483" s="10" t="str">
        <f t="shared" si="11"/>
        <v/>
      </c>
      <c r="W483" s="68" t="str">
        <f t="shared" si="12"/>
        <v/>
      </c>
      <c r="X483" s="59" t="str">
        <f t="shared" si="13"/>
        <v/>
      </c>
      <c r="Y483" s="69" t="str">
        <f t="shared" si="14"/>
        <v/>
      </c>
      <c r="Z483" s="11"/>
    </row>
    <row r="484">
      <c r="A484" s="8"/>
      <c r="B484" s="56" t="str">
        <f t="shared" si="2"/>
        <v/>
      </c>
      <c r="C484" s="105"/>
      <c r="D484" s="10"/>
      <c r="E484" s="59" t="str">
        <f t="array" ref="E484">IF(COUNTA(C484:C1673)=0,"",SUM((COUNTIF(C$4:C484,Upgrades!$B$3:$B$13)-COUNTIF(C$4:C484,"Sell_"&amp;Upgrades!$B$3:$B$13))*Upgrades!$D$3:$D$13))</f>
        <v/>
      </c>
      <c r="F484" s="66" t="str">
        <f>IFERROR(__xludf.DUMMYFUNCTION("IF(COUNTA(C484:C1673)=0,"""",IF(REGEXMATCH(INDEX(FILTER(C$4:C484,C$4:C484&lt;&gt;""""),ROWS(FILTER(C$4:C484,C$4:C484&lt;&gt;""""))),""^Sell_""),INDEX(FILTER(F$4:F483,C$4:C483&lt;&gt;""""),ROWS(FILTER(C$4:C483,C$4:C483&lt;&gt;""""))),$AC$5+E484))"),"")</f>
        <v/>
      </c>
      <c r="G484" s="10" t="str">
        <f>IFERROR(__xludf.DUMMYFUNCTION("IF(COUNTA(C484:C1673)=0,"""",IF(C484="""",0,IF(REGEXMATCH(C484,""^Sell_""),-ROUNDDOWN(ROUNDUP(INDEX(Upgrades!$C$3:$C$13,MATCH(SUBSTITUTE(C484,""Sell_"",""""),Upgrades!$B$3:$B$13,0))*1.15^(COUNTIF(C$4:C483,SUBSTITUTE(C484,""Sell_"",""""))-COUNTIF(C$4:C483,"&amp;"""Sell_""&amp;SUBSTITUTE(C484,""Sell_"",""""))))/2),ROUNDUP(INDEX(Upgrades!$C$3:$C$13,MATCH(C484,Upgrades!$B$3:$B$13,0))*1.15^(COUNTIF(C$4:C483,C484)-COUNTIF(C$4:C483,""Sell_""&amp;C484))))))"),"")</f>
        <v/>
      </c>
      <c r="H484" s="10" t="str">
        <f t="shared" si="3"/>
        <v/>
      </c>
      <c r="I484" s="68" t="str">
        <f t="shared" si="4"/>
        <v/>
      </c>
      <c r="J484" s="59" t="str">
        <f t="shared" si="5"/>
        <v/>
      </c>
      <c r="K484" s="69" t="str">
        <f t="shared" si="6"/>
        <v/>
      </c>
      <c r="L484" s="60" t="str">
        <f t="shared" si="7"/>
        <v/>
      </c>
      <c r="M484" s="61" t="str">
        <f>IFERROR(__xludf.DUMMYFUNCTION("IFS(AND(COUNTA(C484:C1673)=0,COUNTA(Q484:Q1673)=0),"""",OR(AND(K484&gt;=1000000000,OR(Y484&gt;=1000000000,COUNTA(Q484:Q1673)=0)),OR(Y484&gt;=1000000000,AND(COUNTA(C484:C1673)=0,P$3=TRUE))),
ROUNDDOWN((AB$1-AC$1)*MAX(INDEX(T$4:T1673,MATCH(LARGE(FILTER(Y$4:Y1673,Y$4"&amp;":Y1673&lt;1000000000),1),Y$4:Y1673)),INDEX(F$4:F1673,MATCH(LARGE(FILTER(K$4:K1673,K$4:K1673&lt;1000000000),1),K$4:K1673)))),AND(K484&lt;1000000000,COUNTA(C484:C1673)&gt;0,P$3=FALSE),
ROUNDDOWN(INDEX(Y$4:Y1673,MATCH(LARGE(FILTER(W$4:W1673,W$4:W1673&lt;=I484),1),W$4:W1673"&amp;"))+(I484-LARGE(FILTER(W$4:W1673,W$4:W1673&lt;=I484),1))*INDEX(T$4:T1673,MATCH(LARGE(FILTER(W$4:W1673,W$4:W1673&lt;=I484),1),W$4:W1673))-K484),1,
ROUNDDOWN(Y484-INDEX(K$4:K1673,MATCH(LARGE(FILTER(I$4:I1673,I$4:I1673&lt;=W484),1),I$4:I1673))-(W484-LARGE(FILTER(I$4:I"&amp;"1673,I$4:I1673&lt;=W484),1))*INDEX(F$4:F1673,MATCH(LARGE(FILTER(I$4:I1673,I$4:I1673&lt;=W484),1),I$4:I1673))))"),"")</f>
        <v/>
      </c>
      <c r="N484" s="60" t="str">
        <f t="shared" si="8"/>
        <v/>
      </c>
      <c r="O484" s="61" t="str">
        <f t="shared" si="9"/>
        <v/>
      </c>
      <c r="P484" s="56" t="str">
        <f t="shared" si="10"/>
        <v/>
      </c>
      <c r="Q484" s="105"/>
      <c r="R484" s="10"/>
      <c r="S484" s="59" t="str">
        <f t="array" ref="S484">IF(COUNTA(Q484:Q1673)=0,"",SUM((COUNTIF(Q$4:Q484,Upgrades!$B$3:$B$13)-COUNTIF(Q$4:Q484,"Sell_"&amp;Upgrades!$B$3:$B$13))*Upgrades!$D$3:$D$13))</f>
        <v/>
      </c>
      <c r="T484" s="66" t="str">
        <f>IFERROR(__xludf.DUMMYFUNCTION("IF(COUNTA(Q484:Q1673)=0,"""",IF(REGEXMATCH(INDEX(FILTER(Q$4:Q484,Q$4:Q484&lt;&gt;""""),ROWS(FILTER(Q$4:Q484,Q$4:Q484&lt;&gt;""""))),""^Sell_""),INDEX(FILTER(T$4:T483,Q$4:Q483&lt;&gt;""""),ROWS(FILTER(Q$4:Q483,Q$4:Q483&lt;&gt;""""))),$AD$5+S484))"),"")</f>
        <v/>
      </c>
      <c r="U484" s="10" t="str">
        <f>IFERROR(__xludf.DUMMYFUNCTION("IF(COUNTA(Q484:Q1673)=0,"""",IF(Q484="""",0,IF(REGEXMATCH(Q484,""^Sell_""),-ROUNDDOWN(ROUNDUP(INDEX(Upgrades!$C$3:$C$13,MATCH(SUBSTITUTE(Q484,""Sell_"",""""),Upgrades!$B$3:$B$13,0))*1.15^(COUNTIF(Q$4:Q483,SUBSTITUTE(Q484,""Sell_"",""""))-COUNTIF(Q$4:Q483,"&amp;"""Sell_""&amp;SUBSTITUTE(Q484,""Sell_"",""""))))/2),ROUNDUP(INDEX(Upgrades!$C$3:$C$13,MATCH(Q484,Upgrades!$B$3:$B$13,0))*1.15^(COUNTIF(Q$4:Q483,Q484)-COUNTIF(Q$4:Q483,""Sell_""&amp;Q484))))))"),"")</f>
        <v/>
      </c>
      <c r="V484" s="10" t="str">
        <f t="shared" si="11"/>
        <v/>
      </c>
      <c r="W484" s="68" t="str">
        <f t="shared" si="12"/>
        <v/>
      </c>
      <c r="X484" s="59" t="str">
        <f t="shared" si="13"/>
        <v/>
      </c>
      <c r="Y484" s="69" t="str">
        <f t="shared" si="14"/>
        <v/>
      </c>
      <c r="Z484" s="11"/>
    </row>
    <row r="485">
      <c r="A485" s="8"/>
      <c r="B485" s="56" t="str">
        <f t="shared" si="2"/>
        <v/>
      </c>
      <c r="C485" s="105"/>
      <c r="D485" s="10"/>
      <c r="E485" s="59" t="str">
        <f t="array" ref="E485">IF(COUNTA(C485:C1673)=0,"",SUM((COUNTIF(C$4:C485,Upgrades!$B$3:$B$13)-COUNTIF(C$4:C485,"Sell_"&amp;Upgrades!$B$3:$B$13))*Upgrades!$D$3:$D$13))</f>
        <v/>
      </c>
      <c r="F485" s="66" t="str">
        <f>IFERROR(__xludf.DUMMYFUNCTION("IF(COUNTA(C485:C1673)=0,"""",IF(REGEXMATCH(INDEX(FILTER(C$4:C485,C$4:C485&lt;&gt;""""),ROWS(FILTER(C$4:C485,C$4:C485&lt;&gt;""""))),""^Sell_""),INDEX(FILTER(F$4:F484,C$4:C484&lt;&gt;""""),ROWS(FILTER(C$4:C484,C$4:C484&lt;&gt;""""))),$AC$5+E485))"),"")</f>
        <v/>
      </c>
      <c r="G485" s="10" t="str">
        <f>IFERROR(__xludf.DUMMYFUNCTION("IF(COUNTA(C485:C1673)=0,"""",IF(C485="""",0,IF(REGEXMATCH(C485,""^Sell_""),-ROUNDDOWN(ROUNDUP(INDEX(Upgrades!$C$3:$C$13,MATCH(SUBSTITUTE(C485,""Sell_"",""""),Upgrades!$B$3:$B$13,0))*1.15^(COUNTIF(C$4:C484,SUBSTITUTE(C485,""Sell_"",""""))-COUNTIF(C$4:C484,"&amp;"""Sell_""&amp;SUBSTITUTE(C485,""Sell_"",""""))))/2),ROUNDUP(INDEX(Upgrades!$C$3:$C$13,MATCH(C485,Upgrades!$B$3:$B$13,0))*1.15^(COUNTIF(C$4:C484,C485)-COUNTIF(C$4:C484,""Sell_""&amp;C485))))))"),"")</f>
        <v/>
      </c>
      <c r="H485" s="10" t="str">
        <f t="shared" si="3"/>
        <v/>
      </c>
      <c r="I485" s="68" t="str">
        <f t="shared" si="4"/>
        <v/>
      </c>
      <c r="J485" s="59" t="str">
        <f t="shared" si="5"/>
        <v/>
      </c>
      <c r="K485" s="69" t="str">
        <f t="shared" si="6"/>
        <v/>
      </c>
      <c r="L485" s="60" t="str">
        <f t="shared" si="7"/>
        <v/>
      </c>
      <c r="M485" s="61" t="str">
        <f>IFERROR(__xludf.DUMMYFUNCTION("IFS(AND(COUNTA(C485:C1673)=0,COUNTA(Q485:Q1673)=0),"""",OR(AND(K485&gt;=1000000000,OR(Y485&gt;=1000000000,COUNTA(Q485:Q1673)=0)),OR(Y485&gt;=1000000000,AND(COUNTA(C485:C1673)=0,P$3=TRUE))),
ROUNDDOWN((AB$1-AC$1)*MAX(INDEX(T$4:T1673,MATCH(LARGE(FILTER(Y$4:Y1673,Y$4"&amp;":Y1673&lt;1000000000),1),Y$4:Y1673)),INDEX(F$4:F1673,MATCH(LARGE(FILTER(K$4:K1673,K$4:K1673&lt;1000000000),1),K$4:K1673)))),AND(K485&lt;1000000000,COUNTA(C485:C1673)&gt;0,P$3=FALSE),
ROUNDDOWN(INDEX(Y$4:Y1673,MATCH(LARGE(FILTER(W$4:W1673,W$4:W1673&lt;=I485),1),W$4:W1673"&amp;"))+(I485-LARGE(FILTER(W$4:W1673,W$4:W1673&lt;=I485),1))*INDEX(T$4:T1673,MATCH(LARGE(FILTER(W$4:W1673,W$4:W1673&lt;=I485),1),W$4:W1673))-K485),1,
ROUNDDOWN(Y485-INDEX(K$4:K1673,MATCH(LARGE(FILTER(I$4:I1673,I$4:I1673&lt;=W485),1),I$4:I1673))-(W485-LARGE(FILTER(I$4:I"&amp;"1673,I$4:I1673&lt;=W485),1))*INDEX(F$4:F1673,MATCH(LARGE(FILTER(I$4:I1673,I$4:I1673&lt;=W485),1),I$4:I1673))))"),"")</f>
        <v/>
      </c>
      <c r="N485" s="60" t="str">
        <f t="shared" si="8"/>
        <v/>
      </c>
      <c r="O485" s="61" t="str">
        <f t="shared" si="9"/>
        <v/>
      </c>
      <c r="P485" s="56" t="str">
        <f t="shared" si="10"/>
        <v/>
      </c>
      <c r="Q485" s="105"/>
      <c r="R485" s="10"/>
      <c r="S485" s="59" t="str">
        <f t="array" ref="S485">IF(COUNTA(Q485:Q1673)=0,"",SUM((COUNTIF(Q$4:Q485,Upgrades!$B$3:$B$13)-COUNTIF(Q$4:Q485,"Sell_"&amp;Upgrades!$B$3:$B$13))*Upgrades!$D$3:$D$13))</f>
        <v/>
      </c>
      <c r="T485" s="66" t="str">
        <f>IFERROR(__xludf.DUMMYFUNCTION("IF(COUNTA(Q485:Q1673)=0,"""",IF(REGEXMATCH(INDEX(FILTER(Q$4:Q485,Q$4:Q485&lt;&gt;""""),ROWS(FILTER(Q$4:Q485,Q$4:Q485&lt;&gt;""""))),""^Sell_""),INDEX(FILTER(T$4:T484,Q$4:Q484&lt;&gt;""""),ROWS(FILTER(Q$4:Q484,Q$4:Q484&lt;&gt;""""))),$AD$5+S485))"),"")</f>
        <v/>
      </c>
      <c r="U485" s="10" t="str">
        <f>IFERROR(__xludf.DUMMYFUNCTION("IF(COUNTA(Q485:Q1673)=0,"""",IF(Q485="""",0,IF(REGEXMATCH(Q485,""^Sell_""),-ROUNDDOWN(ROUNDUP(INDEX(Upgrades!$C$3:$C$13,MATCH(SUBSTITUTE(Q485,""Sell_"",""""),Upgrades!$B$3:$B$13,0))*1.15^(COUNTIF(Q$4:Q484,SUBSTITUTE(Q485,""Sell_"",""""))-COUNTIF(Q$4:Q484,"&amp;"""Sell_""&amp;SUBSTITUTE(Q485,""Sell_"",""""))))/2),ROUNDUP(INDEX(Upgrades!$C$3:$C$13,MATCH(Q485,Upgrades!$B$3:$B$13,0))*1.15^(COUNTIF(Q$4:Q484,Q485)-COUNTIF(Q$4:Q484,""Sell_""&amp;Q485))))))"),"")</f>
        <v/>
      </c>
      <c r="V485" s="10" t="str">
        <f t="shared" si="11"/>
        <v/>
      </c>
      <c r="W485" s="68" t="str">
        <f t="shared" si="12"/>
        <v/>
      </c>
      <c r="X485" s="59" t="str">
        <f t="shared" si="13"/>
        <v/>
      </c>
      <c r="Y485" s="69" t="str">
        <f t="shared" si="14"/>
        <v/>
      </c>
      <c r="Z485" s="11"/>
    </row>
    <row r="486">
      <c r="A486" s="8"/>
      <c r="B486" s="56" t="str">
        <f t="shared" si="2"/>
        <v/>
      </c>
      <c r="C486" s="105"/>
      <c r="D486" s="10"/>
      <c r="E486" s="59" t="str">
        <f t="array" ref="E486">IF(COUNTA(C486:C1673)=0,"",SUM((COUNTIF(C$4:C486,Upgrades!$B$3:$B$13)-COUNTIF(C$4:C486,"Sell_"&amp;Upgrades!$B$3:$B$13))*Upgrades!$D$3:$D$13))</f>
        <v/>
      </c>
      <c r="F486" s="66" t="str">
        <f>IFERROR(__xludf.DUMMYFUNCTION("IF(COUNTA(C486:C1673)=0,"""",IF(REGEXMATCH(INDEX(FILTER(C$4:C486,C$4:C486&lt;&gt;""""),ROWS(FILTER(C$4:C486,C$4:C486&lt;&gt;""""))),""^Sell_""),INDEX(FILTER(F$4:F485,C$4:C485&lt;&gt;""""),ROWS(FILTER(C$4:C485,C$4:C485&lt;&gt;""""))),$AC$5+E486))"),"")</f>
        <v/>
      </c>
      <c r="G486" s="10" t="str">
        <f>IFERROR(__xludf.DUMMYFUNCTION("IF(COUNTA(C486:C1673)=0,"""",IF(C486="""",0,IF(REGEXMATCH(C486,""^Sell_""),-ROUNDDOWN(ROUNDUP(INDEX(Upgrades!$C$3:$C$13,MATCH(SUBSTITUTE(C486,""Sell_"",""""),Upgrades!$B$3:$B$13,0))*1.15^(COUNTIF(C$4:C485,SUBSTITUTE(C486,""Sell_"",""""))-COUNTIF(C$4:C485,"&amp;"""Sell_""&amp;SUBSTITUTE(C486,""Sell_"",""""))))/2),ROUNDUP(INDEX(Upgrades!$C$3:$C$13,MATCH(C486,Upgrades!$B$3:$B$13,0))*1.15^(COUNTIF(C$4:C485,C486)-COUNTIF(C$4:C485,""Sell_""&amp;C486))))))"),"")</f>
        <v/>
      </c>
      <c r="H486" s="10" t="str">
        <f t="shared" si="3"/>
        <v/>
      </c>
      <c r="I486" s="68" t="str">
        <f t="shared" si="4"/>
        <v/>
      </c>
      <c r="J486" s="59" t="str">
        <f t="shared" si="5"/>
        <v/>
      </c>
      <c r="K486" s="69" t="str">
        <f t="shared" si="6"/>
        <v/>
      </c>
      <c r="L486" s="60" t="str">
        <f t="shared" si="7"/>
        <v/>
      </c>
      <c r="M486" s="61" t="str">
        <f>IFERROR(__xludf.DUMMYFUNCTION("IFS(AND(COUNTA(C486:C1673)=0,COUNTA(Q486:Q1673)=0),"""",OR(AND(K486&gt;=1000000000,OR(Y486&gt;=1000000000,COUNTA(Q486:Q1673)=0)),OR(Y486&gt;=1000000000,AND(COUNTA(C486:C1673)=0,P$3=TRUE))),
ROUNDDOWN((AB$1-AC$1)*MAX(INDEX(T$4:T1673,MATCH(LARGE(FILTER(Y$4:Y1673,Y$4"&amp;":Y1673&lt;1000000000),1),Y$4:Y1673)),INDEX(F$4:F1673,MATCH(LARGE(FILTER(K$4:K1673,K$4:K1673&lt;1000000000),1),K$4:K1673)))),AND(K486&lt;1000000000,COUNTA(C486:C1673)&gt;0,P$3=FALSE),
ROUNDDOWN(INDEX(Y$4:Y1673,MATCH(LARGE(FILTER(W$4:W1673,W$4:W1673&lt;=I486),1),W$4:W1673"&amp;"))+(I486-LARGE(FILTER(W$4:W1673,W$4:W1673&lt;=I486),1))*INDEX(T$4:T1673,MATCH(LARGE(FILTER(W$4:W1673,W$4:W1673&lt;=I486),1),W$4:W1673))-K486),1,
ROUNDDOWN(Y486-INDEX(K$4:K1673,MATCH(LARGE(FILTER(I$4:I1673,I$4:I1673&lt;=W486),1),I$4:I1673))-(W486-LARGE(FILTER(I$4:I"&amp;"1673,I$4:I1673&lt;=W486),1))*INDEX(F$4:F1673,MATCH(LARGE(FILTER(I$4:I1673,I$4:I1673&lt;=W486),1),I$4:I1673))))"),"")</f>
        <v/>
      </c>
      <c r="N486" s="60" t="str">
        <f t="shared" si="8"/>
        <v/>
      </c>
      <c r="O486" s="61" t="str">
        <f t="shared" si="9"/>
        <v/>
      </c>
      <c r="P486" s="56" t="str">
        <f t="shared" si="10"/>
        <v/>
      </c>
      <c r="Q486" s="105"/>
      <c r="R486" s="10"/>
      <c r="S486" s="59" t="str">
        <f t="array" ref="S486">IF(COUNTA(Q486:Q1673)=0,"",SUM((COUNTIF(Q$4:Q486,Upgrades!$B$3:$B$13)-COUNTIF(Q$4:Q486,"Sell_"&amp;Upgrades!$B$3:$B$13))*Upgrades!$D$3:$D$13))</f>
        <v/>
      </c>
      <c r="T486" s="66" t="str">
        <f>IFERROR(__xludf.DUMMYFUNCTION("IF(COUNTA(Q486:Q1673)=0,"""",IF(REGEXMATCH(INDEX(FILTER(Q$4:Q486,Q$4:Q486&lt;&gt;""""),ROWS(FILTER(Q$4:Q486,Q$4:Q486&lt;&gt;""""))),""^Sell_""),INDEX(FILTER(T$4:T485,Q$4:Q485&lt;&gt;""""),ROWS(FILTER(Q$4:Q485,Q$4:Q485&lt;&gt;""""))),$AD$5+S486))"),"")</f>
        <v/>
      </c>
      <c r="U486" s="10" t="str">
        <f>IFERROR(__xludf.DUMMYFUNCTION("IF(COUNTA(Q486:Q1673)=0,"""",IF(Q486="""",0,IF(REGEXMATCH(Q486,""^Sell_""),-ROUNDDOWN(ROUNDUP(INDEX(Upgrades!$C$3:$C$13,MATCH(SUBSTITUTE(Q486,""Sell_"",""""),Upgrades!$B$3:$B$13,0))*1.15^(COUNTIF(Q$4:Q485,SUBSTITUTE(Q486,""Sell_"",""""))-COUNTIF(Q$4:Q485,"&amp;"""Sell_""&amp;SUBSTITUTE(Q486,""Sell_"",""""))))/2),ROUNDUP(INDEX(Upgrades!$C$3:$C$13,MATCH(Q486,Upgrades!$B$3:$B$13,0))*1.15^(COUNTIF(Q$4:Q485,Q486)-COUNTIF(Q$4:Q485,""Sell_""&amp;Q486))))))"),"")</f>
        <v/>
      </c>
      <c r="V486" s="10" t="str">
        <f t="shared" si="11"/>
        <v/>
      </c>
      <c r="W486" s="68" t="str">
        <f t="shared" si="12"/>
        <v/>
      </c>
      <c r="X486" s="59" t="str">
        <f t="shared" si="13"/>
        <v/>
      </c>
      <c r="Y486" s="69" t="str">
        <f t="shared" si="14"/>
        <v/>
      </c>
      <c r="Z486" s="11"/>
    </row>
    <row r="487">
      <c r="A487" s="8"/>
      <c r="B487" s="56" t="str">
        <f t="shared" si="2"/>
        <v/>
      </c>
      <c r="C487" s="105"/>
      <c r="D487" s="10"/>
      <c r="E487" s="59" t="str">
        <f t="array" ref="E487">IF(COUNTA(C487:C1673)=0,"",SUM((COUNTIF(C$4:C487,Upgrades!$B$3:$B$13)-COUNTIF(C$4:C487,"Sell_"&amp;Upgrades!$B$3:$B$13))*Upgrades!$D$3:$D$13))</f>
        <v/>
      </c>
      <c r="F487" s="66" t="str">
        <f>IFERROR(__xludf.DUMMYFUNCTION("IF(COUNTA(C487:C1673)=0,"""",IF(REGEXMATCH(INDEX(FILTER(C$4:C487,C$4:C487&lt;&gt;""""),ROWS(FILTER(C$4:C487,C$4:C487&lt;&gt;""""))),""^Sell_""),INDEX(FILTER(F$4:F486,C$4:C486&lt;&gt;""""),ROWS(FILTER(C$4:C486,C$4:C486&lt;&gt;""""))),$AC$5+E487))"),"")</f>
        <v/>
      </c>
      <c r="G487" s="10" t="str">
        <f>IFERROR(__xludf.DUMMYFUNCTION("IF(COUNTA(C487:C1673)=0,"""",IF(C487="""",0,IF(REGEXMATCH(C487,""^Sell_""),-ROUNDDOWN(ROUNDUP(INDEX(Upgrades!$C$3:$C$13,MATCH(SUBSTITUTE(C487,""Sell_"",""""),Upgrades!$B$3:$B$13,0))*1.15^(COUNTIF(C$4:C486,SUBSTITUTE(C487,""Sell_"",""""))-COUNTIF(C$4:C486,"&amp;"""Sell_""&amp;SUBSTITUTE(C487,""Sell_"",""""))))/2),ROUNDUP(INDEX(Upgrades!$C$3:$C$13,MATCH(C487,Upgrades!$B$3:$B$13,0))*1.15^(COUNTIF(C$4:C486,C487)-COUNTIF(C$4:C486,""Sell_""&amp;C487))))))"),"")</f>
        <v/>
      </c>
      <c r="H487" s="10" t="str">
        <f t="shared" si="3"/>
        <v/>
      </c>
      <c r="I487" s="68" t="str">
        <f t="shared" si="4"/>
        <v/>
      </c>
      <c r="J487" s="59" t="str">
        <f t="shared" si="5"/>
        <v/>
      </c>
      <c r="K487" s="69" t="str">
        <f t="shared" si="6"/>
        <v/>
      </c>
      <c r="L487" s="60" t="str">
        <f t="shared" si="7"/>
        <v/>
      </c>
      <c r="M487" s="61" t="str">
        <f>IFERROR(__xludf.DUMMYFUNCTION("IFS(AND(COUNTA(C487:C1673)=0,COUNTA(Q487:Q1673)=0),"""",OR(AND(K487&gt;=1000000000,OR(Y487&gt;=1000000000,COUNTA(Q487:Q1673)=0)),OR(Y487&gt;=1000000000,AND(COUNTA(C487:C1673)=0,P$3=TRUE))),
ROUNDDOWN((AB$1-AC$1)*MAX(INDEX(T$4:T1673,MATCH(LARGE(FILTER(Y$4:Y1673,Y$4"&amp;":Y1673&lt;1000000000),1),Y$4:Y1673)),INDEX(F$4:F1673,MATCH(LARGE(FILTER(K$4:K1673,K$4:K1673&lt;1000000000),1),K$4:K1673)))),AND(K487&lt;1000000000,COUNTA(C487:C1673)&gt;0,P$3=FALSE),
ROUNDDOWN(INDEX(Y$4:Y1673,MATCH(LARGE(FILTER(W$4:W1673,W$4:W1673&lt;=I487),1),W$4:W1673"&amp;"))+(I487-LARGE(FILTER(W$4:W1673,W$4:W1673&lt;=I487),1))*INDEX(T$4:T1673,MATCH(LARGE(FILTER(W$4:W1673,W$4:W1673&lt;=I487),1),W$4:W1673))-K487),1,
ROUNDDOWN(Y487-INDEX(K$4:K1673,MATCH(LARGE(FILTER(I$4:I1673,I$4:I1673&lt;=W487),1),I$4:I1673))-(W487-LARGE(FILTER(I$4:I"&amp;"1673,I$4:I1673&lt;=W487),1))*INDEX(F$4:F1673,MATCH(LARGE(FILTER(I$4:I1673,I$4:I1673&lt;=W487),1),I$4:I1673))))"),"")</f>
        <v/>
      </c>
      <c r="N487" s="60" t="str">
        <f t="shared" si="8"/>
        <v/>
      </c>
      <c r="O487" s="61" t="str">
        <f t="shared" si="9"/>
        <v/>
      </c>
      <c r="P487" s="56" t="str">
        <f t="shared" si="10"/>
        <v/>
      </c>
      <c r="Q487" s="105"/>
      <c r="R487" s="10"/>
      <c r="S487" s="59" t="str">
        <f t="array" ref="S487">IF(COUNTA(Q487:Q1673)=0,"",SUM((COUNTIF(Q$4:Q487,Upgrades!$B$3:$B$13)-COUNTIF(Q$4:Q487,"Sell_"&amp;Upgrades!$B$3:$B$13))*Upgrades!$D$3:$D$13))</f>
        <v/>
      </c>
      <c r="T487" s="66" t="str">
        <f>IFERROR(__xludf.DUMMYFUNCTION("IF(COUNTA(Q487:Q1673)=0,"""",IF(REGEXMATCH(INDEX(FILTER(Q$4:Q487,Q$4:Q487&lt;&gt;""""),ROWS(FILTER(Q$4:Q487,Q$4:Q487&lt;&gt;""""))),""^Sell_""),INDEX(FILTER(T$4:T486,Q$4:Q486&lt;&gt;""""),ROWS(FILTER(Q$4:Q486,Q$4:Q486&lt;&gt;""""))),$AD$5+S487))"),"")</f>
        <v/>
      </c>
      <c r="U487" s="10" t="str">
        <f>IFERROR(__xludf.DUMMYFUNCTION("IF(COUNTA(Q487:Q1673)=0,"""",IF(Q487="""",0,IF(REGEXMATCH(Q487,""^Sell_""),-ROUNDDOWN(ROUNDUP(INDEX(Upgrades!$C$3:$C$13,MATCH(SUBSTITUTE(Q487,""Sell_"",""""),Upgrades!$B$3:$B$13,0))*1.15^(COUNTIF(Q$4:Q486,SUBSTITUTE(Q487,""Sell_"",""""))-COUNTIF(Q$4:Q486,"&amp;"""Sell_""&amp;SUBSTITUTE(Q487,""Sell_"",""""))))/2),ROUNDUP(INDEX(Upgrades!$C$3:$C$13,MATCH(Q487,Upgrades!$B$3:$B$13,0))*1.15^(COUNTIF(Q$4:Q486,Q487)-COUNTIF(Q$4:Q486,""Sell_""&amp;Q487))))))"),"")</f>
        <v/>
      </c>
      <c r="V487" s="10" t="str">
        <f t="shared" si="11"/>
        <v/>
      </c>
      <c r="W487" s="68" t="str">
        <f t="shared" si="12"/>
        <v/>
      </c>
      <c r="X487" s="59" t="str">
        <f t="shared" si="13"/>
        <v/>
      </c>
      <c r="Y487" s="69" t="str">
        <f t="shared" si="14"/>
        <v/>
      </c>
      <c r="Z487" s="11"/>
    </row>
    <row r="488">
      <c r="A488" s="8"/>
      <c r="B488" s="56" t="str">
        <f t="shared" si="2"/>
        <v/>
      </c>
      <c r="C488" s="105"/>
      <c r="D488" s="10"/>
      <c r="E488" s="59" t="str">
        <f t="array" ref="E488">IF(COUNTA(C488:C1673)=0,"",SUM((COUNTIF(C$4:C488,Upgrades!$B$3:$B$13)-COUNTIF(C$4:C488,"Sell_"&amp;Upgrades!$B$3:$B$13))*Upgrades!$D$3:$D$13))</f>
        <v/>
      </c>
      <c r="F488" s="66" t="str">
        <f>IFERROR(__xludf.DUMMYFUNCTION("IF(COUNTA(C488:C1673)=0,"""",IF(REGEXMATCH(INDEX(FILTER(C$4:C488,C$4:C488&lt;&gt;""""),ROWS(FILTER(C$4:C488,C$4:C488&lt;&gt;""""))),""^Sell_""),INDEX(FILTER(F$4:F487,C$4:C487&lt;&gt;""""),ROWS(FILTER(C$4:C487,C$4:C487&lt;&gt;""""))),$AC$5+E488))"),"")</f>
        <v/>
      </c>
      <c r="G488" s="10" t="str">
        <f>IFERROR(__xludf.DUMMYFUNCTION("IF(COUNTA(C488:C1673)=0,"""",IF(C488="""",0,IF(REGEXMATCH(C488,""^Sell_""),-ROUNDDOWN(ROUNDUP(INDEX(Upgrades!$C$3:$C$13,MATCH(SUBSTITUTE(C488,""Sell_"",""""),Upgrades!$B$3:$B$13,0))*1.15^(COUNTIF(C$4:C487,SUBSTITUTE(C488,""Sell_"",""""))-COUNTIF(C$4:C487,"&amp;"""Sell_""&amp;SUBSTITUTE(C488,""Sell_"",""""))))/2),ROUNDUP(INDEX(Upgrades!$C$3:$C$13,MATCH(C488,Upgrades!$B$3:$B$13,0))*1.15^(COUNTIF(C$4:C487,C488)-COUNTIF(C$4:C487,""Sell_""&amp;C488))))))"),"")</f>
        <v/>
      </c>
      <c r="H488" s="10" t="str">
        <f t="shared" si="3"/>
        <v/>
      </c>
      <c r="I488" s="68" t="str">
        <f t="shared" si="4"/>
        <v/>
      </c>
      <c r="J488" s="59" t="str">
        <f t="shared" si="5"/>
        <v/>
      </c>
      <c r="K488" s="69" t="str">
        <f t="shared" si="6"/>
        <v/>
      </c>
      <c r="L488" s="60" t="str">
        <f t="shared" si="7"/>
        <v/>
      </c>
      <c r="M488" s="61" t="str">
        <f>IFERROR(__xludf.DUMMYFUNCTION("IFS(AND(COUNTA(C488:C1673)=0,COUNTA(Q488:Q1673)=0),"""",OR(AND(K488&gt;=1000000000,OR(Y488&gt;=1000000000,COUNTA(Q488:Q1673)=0)),OR(Y488&gt;=1000000000,AND(COUNTA(C488:C1673)=0,P$3=TRUE))),
ROUNDDOWN((AB$1-AC$1)*MAX(INDEX(T$4:T1673,MATCH(LARGE(FILTER(Y$4:Y1673,Y$4"&amp;":Y1673&lt;1000000000),1),Y$4:Y1673)),INDEX(F$4:F1673,MATCH(LARGE(FILTER(K$4:K1673,K$4:K1673&lt;1000000000),1),K$4:K1673)))),AND(K488&lt;1000000000,COUNTA(C488:C1673)&gt;0,P$3=FALSE),
ROUNDDOWN(INDEX(Y$4:Y1673,MATCH(LARGE(FILTER(W$4:W1673,W$4:W1673&lt;=I488),1),W$4:W1673"&amp;"))+(I488-LARGE(FILTER(W$4:W1673,W$4:W1673&lt;=I488),1))*INDEX(T$4:T1673,MATCH(LARGE(FILTER(W$4:W1673,W$4:W1673&lt;=I488),1),W$4:W1673))-K488),1,
ROUNDDOWN(Y488-INDEX(K$4:K1673,MATCH(LARGE(FILTER(I$4:I1673,I$4:I1673&lt;=W488),1),I$4:I1673))-(W488-LARGE(FILTER(I$4:I"&amp;"1673,I$4:I1673&lt;=W488),1))*INDEX(F$4:F1673,MATCH(LARGE(FILTER(I$4:I1673,I$4:I1673&lt;=W488),1),I$4:I1673))))"),"")</f>
        <v/>
      </c>
      <c r="N488" s="60" t="str">
        <f t="shared" si="8"/>
        <v/>
      </c>
      <c r="O488" s="61" t="str">
        <f t="shared" si="9"/>
        <v/>
      </c>
      <c r="P488" s="56" t="str">
        <f t="shared" si="10"/>
        <v/>
      </c>
      <c r="Q488" s="105"/>
      <c r="R488" s="10"/>
      <c r="S488" s="59" t="str">
        <f t="array" ref="S488">IF(COUNTA(Q488:Q1673)=0,"",SUM((COUNTIF(Q$4:Q488,Upgrades!$B$3:$B$13)-COUNTIF(Q$4:Q488,"Sell_"&amp;Upgrades!$B$3:$B$13))*Upgrades!$D$3:$D$13))</f>
        <v/>
      </c>
      <c r="T488" s="66" t="str">
        <f>IFERROR(__xludf.DUMMYFUNCTION("IF(COUNTA(Q488:Q1673)=0,"""",IF(REGEXMATCH(INDEX(FILTER(Q$4:Q488,Q$4:Q488&lt;&gt;""""),ROWS(FILTER(Q$4:Q488,Q$4:Q488&lt;&gt;""""))),""^Sell_""),INDEX(FILTER(T$4:T487,Q$4:Q487&lt;&gt;""""),ROWS(FILTER(Q$4:Q487,Q$4:Q487&lt;&gt;""""))),$AD$5+S488))"),"")</f>
        <v/>
      </c>
      <c r="U488" s="10" t="str">
        <f>IFERROR(__xludf.DUMMYFUNCTION("IF(COUNTA(Q488:Q1673)=0,"""",IF(Q488="""",0,IF(REGEXMATCH(Q488,""^Sell_""),-ROUNDDOWN(ROUNDUP(INDEX(Upgrades!$C$3:$C$13,MATCH(SUBSTITUTE(Q488,""Sell_"",""""),Upgrades!$B$3:$B$13,0))*1.15^(COUNTIF(Q$4:Q487,SUBSTITUTE(Q488,""Sell_"",""""))-COUNTIF(Q$4:Q487,"&amp;"""Sell_""&amp;SUBSTITUTE(Q488,""Sell_"",""""))))/2),ROUNDUP(INDEX(Upgrades!$C$3:$C$13,MATCH(Q488,Upgrades!$B$3:$B$13,0))*1.15^(COUNTIF(Q$4:Q487,Q488)-COUNTIF(Q$4:Q487,""Sell_""&amp;Q488))))))"),"")</f>
        <v/>
      </c>
      <c r="V488" s="10" t="str">
        <f t="shared" si="11"/>
        <v/>
      </c>
      <c r="W488" s="68" t="str">
        <f t="shared" si="12"/>
        <v/>
      </c>
      <c r="X488" s="59" t="str">
        <f t="shared" si="13"/>
        <v/>
      </c>
      <c r="Y488" s="69" t="str">
        <f t="shared" si="14"/>
        <v/>
      </c>
      <c r="Z488" s="11"/>
    </row>
    <row r="489">
      <c r="A489" s="8"/>
      <c r="B489" s="56" t="str">
        <f t="shared" si="2"/>
        <v/>
      </c>
      <c r="C489" s="105"/>
      <c r="D489" s="10"/>
      <c r="E489" s="59" t="str">
        <f t="array" ref="E489">IF(COUNTA(C489:C1673)=0,"",SUM((COUNTIF(C$4:C489,Upgrades!$B$3:$B$13)-COUNTIF(C$4:C489,"Sell_"&amp;Upgrades!$B$3:$B$13))*Upgrades!$D$3:$D$13))</f>
        <v/>
      </c>
      <c r="F489" s="66" t="str">
        <f>IFERROR(__xludf.DUMMYFUNCTION("IF(COUNTA(C489:C1673)=0,"""",IF(REGEXMATCH(INDEX(FILTER(C$4:C489,C$4:C489&lt;&gt;""""),ROWS(FILTER(C$4:C489,C$4:C489&lt;&gt;""""))),""^Sell_""),INDEX(FILTER(F$4:F488,C$4:C488&lt;&gt;""""),ROWS(FILTER(C$4:C488,C$4:C488&lt;&gt;""""))),$AC$5+E489))"),"")</f>
        <v/>
      </c>
      <c r="G489" s="10" t="str">
        <f>IFERROR(__xludf.DUMMYFUNCTION("IF(COUNTA(C489:C1673)=0,"""",IF(C489="""",0,IF(REGEXMATCH(C489,""^Sell_""),-ROUNDDOWN(ROUNDUP(INDEX(Upgrades!$C$3:$C$13,MATCH(SUBSTITUTE(C489,""Sell_"",""""),Upgrades!$B$3:$B$13,0))*1.15^(COUNTIF(C$4:C488,SUBSTITUTE(C489,""Sell_"",""""))-COUNTIF(C$4:C488,"&amp;"""Sell_""&amp;SUBSTITUTE(C489,""Sell_"",""""))))/2),ROUNDUP(INDEX(Upgrades!$C$3:$C$13,MATCH(C489,Upgrades!$B$3:$B$13,0))*1.15^(COUNTIF(C$4:C488,C489)-COUNTIF(C$4:C488,""Sell_""&amp;C489))))))"),"")</f>
        <v/>
      </c>
      <c r="H489" s="10" t="str">
        <f t="shared" si="3"/>
        <v/>
      </c>
      <c r="I489" s="68" t="str">
        <f t="shared" si="4"/>
        <v/>
      </c>
      <c r="J489" s="59" t="str">
        <f t="shared" si="5"/>
        <v/>
      </c>
      <c r="K489" s="69" t="str">
        <f t="shared" si="6"/>
        <v/>
      </c>
      <c r="L489" s="60" t="str">
        <f t="shared" si="7"/>
        <v/>
      </c>
      <c r="M489" s="61" t="str">
        <f>IFERROR(__xludf.DUMMYFUNCTION("IFS(AND(COUNTA(C489:C1673)=0,COUNTA(Q489:Q1673)=0),"""",OR(AND(K489&gt;=1000000000,OR(Y489&gt;=1000000000,COUNTA(Q489:Q1673)=0)),OR(Y489&gt;=1000000000,AND(COUNTA(C489:C1673)=0,P$3=TRUE))),
ROUNDDOWN((AB$1-AC$1)*MAX(INDEX(T$4:T1673,MATCH(LARGE(FILTER(Y$4:Y1673,Y$4"&amp;":Y1673&lt;1000000000),1),Y$4:Y1673)),INDEX(F$4:F1673,MATCH(LARGE(FILTER(K$4:K1673,K$4:K1673&lt;1000000000),1),K$4:K1673)))),AND(K489&lt;1000000000,COUNTA(C489:C1673)&gt;0,P$3=FALSE),
ROUNDDOWN(INDEX(Y$4:Y1673,MATCH(LARGE(FILTER(W$4:W1673,W$4:W1673&lt;=I489),1),W$4:W1673"&amp;"))+(I489-LARGE(FILTER(W$4:W1673,W$4:W1673&lt;=I489),1))*INDEX(T$4:T1673,MATCH(LARGE(FILTER(W$4:W1673,W$4:W1673&lt;=I489),1),W$4:W1673))-K489),1,
ROUNDDOWN(Y489-INDEX(K$4:K1673,MATCH(LARGE(FILTER(I$4:I1673,I$4:I1673&lt;=W489),1),I$4:I1673))-(W489-LARGE(FILTER(I$4:I"&amp;"1673,I$4:I1673&lt;=W489),1))*INDEX(F$4:F1673,MATCH(LARGE(FILTER(I$4:I1673,I$4:I1673&lt;=W489),1),I$4:I1673))))"),"")</f>
        <v/>
      </c>
      <c r="N489" s="60" t="str">
        <f t="shared" si="8"/>
        <v/>
      </c>
      <c r="O489" s="61" t="str">
        <f t="shared" si="9"/>
        <v/>
      </c>
      <c r="P489" s="56" t="str">
        <f t="shared" si="10"/>
        <v/>
      </c>
      <c r="Q489" s="105"/>
      <c r="R489" s="10"/>
      <c r="S489" s="59" t="str">
        <f t="array" ref="S489">IF(COUNTA(Q489:Q1673)=0,"",SUM((COUNTIF(Q$4:Q489,Upgrades!$B$3:$B$13)-COUNTIF(Q$4:Q489,"Sell_"&amp;Upgrades!$B$3:$B$13))*Upgrades!$D$3:$D$13))</f>
        <v/>
      </c>
      <c r="T489" s="66" t="str">
        <f>IFERROR(__xludf.DUMMYFUNCTION("IF(COUNTA(Q489:Q1673)=0,"""",IF(REGEXMATCH(INDEX(FILTER(Q$4:Q489,Q$4:Q489&lt;&gt;""""),ROWS(FILTER(Q$4:Q489,Q$4:Q489&lt;&gt;""""))),""^Sell_""),INDEX(FILTER(T$4:T488,Q$4:Q488&lt;&gt;""""),ROWS(FILTER(Q$4:Q488,Q$4:Q488&lt;&gt;""""))),$AD$5+S489))"),"")</f>
        <v/>
      </c>
      <c r="U489" s="10" t="str">
        <f>IFERROR(__xludf.DUMMYFUNCTION("IF(COUNTA(Q489:Q1673)=0,"""",IF(Q489="""",0,IF(REGEXMATCH(Q489,""^Sell_""),-ROUNDDOWN(ROUNDUP(INDEX(Upgrades!$C$3:$C$13,MATCH(SUBSTITUTE(Q489,""Sell_"",""""),Upgrades!$B$3:$B$13,0))*1.15^(COUNTIF(Q$4:Q488,SUBSTITUTE(Q489,""Sell_"",""""))-COUNTIF(Q$4:Q488,"&amp;"""Sell_""&amp;SUBSTITUTE(Q489,""Sell_"",""""))))/2),ROUNDUP(INDEX(Upgrades!$C$3:$C$13,MATCH(Q489,Upgrades!$B$3:$B$13,0))*1.15^(COUNTIF(Q$4:Q488,Q489)-COUNTIF(Q$4:Q488,""Sell_""&amp;Q489))))))"),"")</f>
        <v/>
      </c>
      <c r="V489" s="10" t="str">
        <f t="shared" si="11"/>
        <v/>
      </c>
      <c r="W489" s="68" t="str">
        <f t="shared" si="12"/>
        <v/>
      </c>
      <c r="X489" s="59" t="str">
        <f t="shared" si="13"/>
        <v/>
      </c>
      <c r="Y489" s="69" t="str">
        <f t="shared" si="14"/>
        <v/>
      </c>
      <c r="Z489" s="11"/>
    </row>
    <row r="490">
      <c r="A490" s="8"/>
      <c r="B490" s="56" t="str">
        <f t="shared" si="2"/>
        <v/>
      </c>
      <c r="C490" s="105"/>
      <c r="D490" s="10"/>
      <c r="E490" s="59" t="str">
        <f t="array" ref="E490">IF(COUNTA(C490:C1673)=0,"",SUM((COUNTIF(C$4:C490,Upgrades!$B$3:$B$13)-COUNTIF(C$4:C490,"Sell_"&amp;Upgrades!$B$3:$B$13))*Upgrades!$D$3:$D$13))</f>
        <v/>
      </c>
      <c r="F490" s="66" t="str">
        <f>IFERROR(__xludf.DUMMYFUNCTION("IF(COUNTA(C490:C1673)=0,"""",IF(REGEXMATCH(INDEX(FILTER(C$4:C490,C$4:C490&lt;&gt;""""),ROWS(FILTER(C$4:C490,C$4:C490&lt;&gt;""""))),""^Sell_""),INDEX(FILTER(F$4:F489,C$4:C489&lt;&gt;""""),ROWS(FILTER(C$4:C489,C$4:C489&lt;&gt;""""))),$AC$5+E490))"),"")</f>
        <v/>
      </c>
      <c r="G490" s="10" t="str">
        <f>IFERROR(__xludf.DUMMYFUNCTION("IF(COUNTA(C490:C1673)=0,"""",IF(C490="""",0,IF(REGEXMATCH(C490,""^Sell_""),-ROUNDDOWN(ROUNDUP(INDEX(Upgrades!$C$3:$C$13,MATCH(SUBSTITUTE(C490,""Sell_"",""""),Upgrades!$B$3:$B$13,0))*1.15^(COUNTIF(C$4:C489,SUBSTITUTE(C490,""Sell_"",""""))-COUNTIF(C$4:C489,"&amp;"""Sell_""&amp;SUBSTITUTE(C490,""Sell_"",""""))))/2),ROUNDUP(INDEX(Upgrades!$C$3:$C$13,MATCH(C490,Upgrades!$B$3:$B$13,0))*1.15^(COUNTIF(C$4:C489,C490)-COUNTIF(C$4:C489,""Sell_""&amp;C490))))))"),"")</f>
        <v/>
      </c>
      <c r="H490" s="10" t="str">
        <f t="shared" si="3"/>
        <v/>
      </c>
      <c r="I490" s="68" t="str">
        <f t="shared" si="4"/>
        <v/>
      </c>
      <c r="J490" s="59" t="str">
        <f t="shared" si="5"/>
        <v/>
      </c>
      <c r="K490" s="69" t="str">
        <f t="shared" si="6"/>
        <v/>
      </c>
      <c r="L490" s="60" t="str">
        <f t="shared" si="7"/>
        <v/>
      </c>
      <c r="M490" s="61" t="str">
        <f>IFERROR(__xludf.DUMMYFUNCTION("IFS(AND(COUNTA(C490:C1673)=0,COUNTA(Q490:Q1673)=0),"""",OR(AND(K490&gt;=1000000000,OR(Y490&gt;=1000000000,COUNTA(Q490:Q1673)=0)),OR(Y490&gt;=1000000000,AND(COUNTA(C490:C1673)=0,P$3=TRUE))),
ROUNDDOWN((AB$1-AC$1)*MAX(INDEX(T$4:T1673,MATCH(LARGE(FILTER(Y$4:Y1673,Y$4"&amp;":Y1673&lt;1000000000),1),Y$4:Y1673)),INDEX(F$4:F1673,MATCH(LARGE(FILTER(K$4:K1673,K$4:K1673&lt;1000000000),1),K$4:K1673)))),AND(K490&lt;1000000000,COUNTA(C490:C1673)&gt;0,P$3=FALSE),
ROUNDDOWN(INDEX(Y$4:Y1673,MATCH(LARGE(FILTER(W$4:W1673,W$4:W1673&lt;=I490),1),W$4:W1673"&amp;"))+(I490-LARGE(FILTER(W$4:W1673,W$4:W1673&lt;=I490),1))*INDEX(T$4:T1673,MATCH(LARGE(FILTER(W$4:W1673,W$4:W1673&lt;=I490),1),W$4:W1673))-K490),1,
ROUNDDOWN(Y490-INDEX(K$4:K1673,MATCH(LARGE(FILTER(I$4:I1673,I$4:I1673&lt;=W490),1),I$4:I1673))-(W490-LARGE(FILTER(I$4:I"&amp;"1673,I$4:I1673&lt;=W490),1))*INDEX(F$4:F1673,MATCH(LARGE(FILTER(I$4:I1673,I$4:I1673&lt;=W490),1),I$4:I1673))))"),"")</f>
        <v/>
      </c>
      <c r="N490" s="60" t="str">
        <f t="shared" si="8"/>
        <v/>
      </c>
      <c r="O490" s="61" t="str">
        <f t="shared" si="9"/>
        <v/>
      </c>
      <c r="P490" s="56" t="str">
        <f t="shared" si="10"/>
        <v/>
      </c>
      <c r="Q490" s="105"/>
      <c r="R490" s="10"/>
      <c r="S490" s="59" t="str">
        <f t="array" ref="S490">IF(COUNTA(Q490:Q1673)=0,"",SUM((COUNTIF(Q$4:Q490,Upgrades!$B$3:$B$13)-COUNTIF(Q$4:Q490,"Sell_"&amp;Upgrades!$B$3:$B$13))*Upgrades!$D$3:$D$13))</f>
        <v/>
      </c>
      <c r="T490" s="66" t="str">
        <f>IFERROR(__xludf.DUMMYFUNCTION("IF(COUNTA(Q490:Q1673)=0,"""",IF(REGEXMATCH(INDEX(FILTER(Q$4:Q490,Q$4:Q490&lt;&gt;""""),ROWS(FILTER(Q$4:Q490,Q$4:Q490&lt;&gt;""""))),""^Sell_""),INDEX(FILTER(T$4:T489,Q$4:Q489&lt;&gt;""""),ROWS(FILTER(Q$4:Q489,Q$4:Q489&lt;&gt;""""))),$AD$5+S490))"),"")</f>
        <v/>
      </c>
      <c r="U490" s="10" t="str">
        <f>IFERROR(__xludf.DUMMYFUNCTION("IF(COUNTA(Q490:Q1673)=0,"""",IF(Q490="""",0,IF(REGEXMATCH(Q490,""^Sell_""),-ROUNDDOWN(ROUNDUP(INDEX(Upgrades!$C$3:$C$13,MATCH(SUBSTITUTE(Q490,""Sell_"",""""),Upgrades!$B$3:$B$13,0))*1.15^(COUNTIF(Q$4:Q489,SUBSTITUTE(Q490,""Sell_"",""""))-COUNTIF(Q$4:Q489,"&amp;"""Sell_""&amp;SUBSTITUTE(Q490,""Sell_"",""""))))/2),ROUNDUP(INDEX(Upgrades!$C$3:$C$13,MATCH(Q490,Upgrades!$B$3:$B$13,0))*1.15^(COUNTIF(Q$4:Q489,Q490)-COUNTIF(Q$4:Q489,""Sell_""&amp;Q490))))))"),"")</f>
        <v/>
      </c>
      <c r="V490" s="10" t="str">
        <f t="shared" si="11"/>
        <v/>
      </c>
      <c r="W490" s="68" t="str">
        <f t="shared" si="12"/>
        <v/>
      </c>
      <c r="X490" s="59" t="str">
        <f t="shared" si="13"/>
        <v/>
      </c>
      <c r="Y490" s="69" t="str">
        <f t="shared" si="14"/>
        <v/>
      </c>
      <c r="Z490" s="11"/>
    </row>
    <row r="491">
      <c r="A491" s="8"/>
      <c r="B491" s="56" t="str">
        <f t="shared" si="2"/>
        <v/>
      </c>
      <c r="C491" s="105"/>
      <c r="D491" s="10"/>
      <c r="E491" s="59" t="str">
        <f t="array" ref="E491">IF(COUNTA(C491:C1673)=0,"",SUM((COUNTIF(C$4:C491,Upgrades!$B$3:$B$13)-COUNTIF(C$4:C491,"Sell_"&amp;Upgrades!$B$3:$B$13))*Upgrades!$D$3:$D$13))</f>
        <v/>
      </c>
      <c r="F491" s="66" t="str">
        <f>IFERROR(__xludf.DUMMYFUNCTION("IF(COUNTA(C491:C1673)=0,"""",IF(REGEXMATCH(INDEX(FILTER(C$4:C491,C$4:C491&lt;&gt;""""),ROWS(FILTER(C$4:C491,C$4:C491&lt;&gt;""""))),""^Sell_""),INDEX(FILTER(F$4:F490,C$4:C490&lt;&gt;""""),ROWS(FILTER(C$4:C490,C$4:C490&lt;&gt;""""))),$AC$5+E491))"),"")</f>
        <v/>
      </c>
      <c r="G491" s="10" t="str">
        <f>IFERROR(__xludf.DUMMYFUNCTION("IF(COUNTA(C491:C1673)=0,"""",IF(C491="""",0,IF(REGEXMATCH(C491,""^Sell_""),-ROUNDDOWN(ROUNDUP(INDEX(Upgrades!$C$3:$C$13,MATCH(SUBSTITUTE(C491,""Sell_"",""""),Upgrades!$B$3:$B$13,0))*1.15^(COUNTIF(C$4:C490,SUBSTITUTE(C491,""Sell_"",""""))-COUNTIF(C$4:C490,"&amp;"""Sell_""&amp;SUBSTITUTE(C491,""Sell_"",""""))))/2),ROUNDUP(INDEX(Upgrades!$C$3:$C$13,MATCH(C491,Upgrades!$B$3:$B$13,0))*1.15^(COUNTIF(C$4:C490,C491)-COUNTIF(C$4:C490,""Sell_""&amp;C491))))))"),"")</f>
        <v/>
      </c>
      <c r="H491" s="10" t="str">
        <f t="shared" si="3"/>
        <v/>
      </c>
      <c r="I491" s="68" t="str">
        <f t="shared" si="4"/>
        <v/>
      </c>
      <c r="J491" s="59" t="str">
        <f t="shared" si="5"/>
        <v/>
      </c>
      <c r="K491" s="69" t="str">
        <f t="shared" si="6"/>
        <v/>
      </c>
      <c r="L491" s="60" t="str">
        <f t="shared" si="7"/>
        <v/>
      </c>
      <c r="M491" s="61" t="str">
        <f>IFERROR(__xludf.DUMMYFUNCTION("IFS(AND(COUNTA(C491:C1673)=0,COUNTA(Q491:Q1673)=0),"""",OR(AND(K491&gt;=1000000000,OR(Y491&gt;=1000000000,COUNTA(Q491:Q1673)=0)),OR(Y491&gt;=1000000000,AND(COUNTA(C491:C1673)=0,P$3=TRUE))),
ROUNDDOWN((AB$1-AC$1)*MAX(INDEX(T$4:T1673,MATCH(LARGE(FILTER(Y$4:Y1673,Y$4"&amp;":Y1673&lt;1000000000),1),Y$4:Y1673)),INDEX(F$4:F1673,MATCH(LARGE(FILTER(K$4:K1673,K$4:K1673&lt;1000000000),1),K$4:K1673)))),AND(K491&lt;1000000000,COUNTA(C491:C1673)&gt;0,P$3=FALSE),
ROUNDDOWN(INDEX(Y$4:Y1673,MATCH(LARGE(FILTER(W$4:W1673,W$4:W1673&lt;=I491),1),W$4:W1673"&amp;"))+(I491-LARGE(FILTER(W$4:W1673,W$4:W1673&lt;=I491),1))*INDEX(T$4:T1673,MATCH(LARGE(FILTER(W$4:W1673,W$4:W1673&lt;=I491),1),W$4:W1673))-K491),1,
ROUNDDOWN(Y491-INDEX(K$4:K1673,MATCH(LARGE(FILTER(I$4:I1673,I$4:I1673&lt;=W491),1),I$4:I1673))-(W491-LARGE(FILTER(I$4:I"&amp;"1673,I$4:I1673&lt;=W491),1))*INDEX(F$4:F1673,MATCH(LARGE(FILTER(I$4:I1673,I$4:I1673&lt;=W491),1),I$4:I1673))))"),"")</f>
        <v/>
      </c>
      <c r="N491" s="60" t="str">
        <f t="shared" si="8"/>
        <v/>
      </c>
      <c r="O491" s="61" t="str">
        <f t="shared" si="9"/>
        <v/>
      </c>
      <c r="P491" s="56" t="str">
        <f t="shared" si="10"/>
        <v/>
      </c>
      <c r="Q491" s="105"/>
      <c r="R491" s="10"/>
      <c r="S491" s="59" t="str">
        <f t="array" ref="S491">IF(COUNTA(Q491:Q1673)=0,"",SUM((COUNTIF(Q$4:Q491,Upgrades!$B$3:$B$13)-COUNTIF(Q$4:Q491,"Sell_"&amp;Upgrades!$B$3:$B$13))*Upgrades!$D$3:$D$13))</f>
        <v/>
      </c>
      <c r="T491" s="66" t="str">
        <f>IFERROR(__xludf.DUMMYFUNCTION("IF(COUNTA(Q491:Q1673)=0,"""",IF(REGEXMATCH(INDEX(FILTER(Q$4:Q491,Q$4:Q491&lt;&gt;""""),ROWS(FILTER(Q$4:Q491,Q$4:Q491&lt;&gt;""""))),""^Sell_""),INDEX(FILTER(T$4:T490,Q$4:Q490&lt;&gt;""""),ROWS(FILTER(Q$4:Q490,Q$4:Q490&lt;&gt;""""))),$AD$5+S491))"),"")</f>
        <v/>
      </c>
      <c r="U491" s="10" t="str">
        <f>IFERROR(__xludf.DUMMYFUNCTION("IF(COUNTA(Q491:Q1673)=0,"""",IF(Q491="""",0,IF(REGEXMATCH(Q491,""^Sell_""),-ROUNDDOWN(ROUNDUP(INDEX(Upgrades!$C$3:$C$13,MATCH(SUBSTITUTE(Q491,""Sell_"",""""),Upgrades!$B$3:$B$13,0))*1.15^(COUNTIF(Q$4:Q490,SUBSTITUTE(Q491,""Sell_"",""""))-COUNTIF(Q$4:Q490,"&amp;"""Sell_""&amp;SUBSTITUTE(Q491,""Sell_"",""""))))/2),ROUNDUP(INDEX(Upgrades!$C$3:$C$13,MATCH(Q491,Upgrades!$B$3:$B$13,0))*1.15^(COUNTIF(Q$4:Q490,Q491)-COUNTIF(Q$4:Q490,""Sell_""&amp;Q491))))))"),"")</f>
        <v/>
      </c>
      <c r="V491" s="10" t="str">
        <f t="shared" si="11"/>
        <v/>
      </c>
      <c r="W491" s="68" t="str">
        <f t="shared" si="12"/>
        <v/>
      </c>
      <c r="X491" s="59" t="str">
        <f t="shared" si="13"/>
        <v/>
      </c>
      <c r="Y491" s="69" t="str">
        <f t="shared" si="14"/>
        <v/>
      </c>
      <c r="Z491" s="11"/>
    </row>
    <row r="492">
      <c r="A492" s="8"/>
      <c r="B492" s="56" t="str">
        <f t="shared" si="2"/>
        <v/>
      </c>
      <c r="C492" s="105"/>
      <c r="D492" s="10"/>
      <c r="E492" s="59" t="str">
        <f t="array" ref="E492">IF(COUNTA(C492:C1673)=0,"",SUM((COUNTIF(C$4:C492,Upgrades!$B$3:$B$13)-COUNTIF(C$4:C492,"Sell_"&amp;Upgrades!$B$3:$B$13))*Upgrades!$D$3:$D$13))</f>
        <v/>
      </c>
      <c r="F492" s="66" t="str">
        <f>IFERROR(__xludf.DUMMYFUNCTION("IF(COUNTA(C492:C1673)=0,"""",IF(REGEXMATCH(INDEX(FILTER(C$4:C492,C$4:C492&lt;&gt;""""),ROWS(FILTER(C$4:C492,C$4:C492&lt;&gt;""""))),""^Sell_""),INDEX(FILTER(F$4:F491,C$4:C491&lt;&gt;""""),ROWS(FILTER(C$4:C491,C$4:C491&lt;&gt;""""))),$AC$5+E492))"),"")</f>
        <v/>
      </c>
      <c r="G492" s="10" t="str">
        <f>IFERROR(__xludf.DUMMYFUNCTION("IF(COUNTA(C492:C1673)=0,"""",IF(C492="""",0,IF(REGEXMATCH(C492,""^Sell_""),-ROUNDDOWN(ROUNDUP(INDEX(Upgrades!$C$3:$C$13,MATCH(SUBSTITUTE(C492,""Sell_"",""""),Upgrades!$B$3:$B$13,0))*1.15^(COUNTIF(C$4:C491,SUBSTITUTE(C492,""Sell_"",""""))-COUNTIF(C$4:C491,"&amp;"""Sell_""&amp;SUBSTITUTE(C492,""Sell_"",""""))))/2),ROUNDUP(INDEX(Upgrades!$C$3:$C$13,MATCH(C492,Upgrades!$B$3:$B$13,0))*1.15^(COUNTIF(C$4:C491,C492)-COUNTIF(C$4:C491,""Sell_""&amp;C492))))))"),"")</f>
        <v/>
      </c>
      <c r="H492" s="10" t="str">
        <f t="shared" si="3"/>
        <v/>
      </c>
      <c r="I492" s="68" t="str">
        <f t="shared" si="4"/>
        <v/>
      </c>
      <c r="J492" s="59" t="str">
        <f t="shared" si="5"/>
        <v/>
      </c>
      <c r="K492" s="69" t="str">
        <f t="shared" si="6"/>
        <v/>
      </c>
      <c r="L492" s="60" t="str">
        <f t="shared" si="7"/>
        <v/>
      </c>
      <c r="M492" s="61" t="str">
        <f>IFERROR(__xludf.DUMMYFUNCTION("IFS(AND(COUNTA(C492:C1673)=0,COUNTA(Q492:Q1673)=0),"""",OR(AND(K492&gt;=1000000000,OR(Y492&gt;=1000000000,COUNTA(Q492:Q1673)=0)),OR(Y492&gt;=1000000000,AND(COUNTA(C492:C1673)=0,P$3=TRUE))),
ROUNDDOWN((AB$1-AC$1)*MAX(INDEX(T$4:T1673,MATCH(LARGE(FILTER(Y$4:Y1673,Y$4"&amp;":Y1673&lt;1000000000),1),Y$4:Y1673)),INDEX(F$4:F1673,MATCH(LARGE(FILTER(K$4:K1673,K$4:K1673&lt;1000000000),1),K$4:K1673)))),AND(K492&lt;1000000000,COUNTA(C492:C1673)&gt;0,P$3=FALSE),
ROUNDDOWN(INDEX(Y$4:Y1673,MATCH(LARGE(FILTER(W$4:W1673,W$4:W1673&lt;=I492),1),W$4:W1673"&amp;"))+(I492-LARGE(FILTER(W$4:W1673,W$4:W1673&lt;=I492),1))*INDEX(T$4:T1673,MATCH(LARGE(FILTER(W$4:W1673,W$4:W1673&lt;=I492),1),W$4:W1673))-K492),1,
ROUNDDOWN(Y492-INDEX(K$4:K1673,MATCH(LARGE(FILTER(I$4:I1673,I$4:I1673&lt;=W492),1),I$4:I1673))-(W492-LARGE(FILTER(I$4:I"&amp;"1673,I$4:I1673&lt;=W492),1))*INDEX(F$4:F1673,MATCH(LARGE(FILTER(I$4:I1673,I$4:I1673&lt;=W492),1),I$4:I1673))))"),"")</f>
        <v/>
      </c>
      <c r="N492" s="60" t="str">
        <f t="shared" si="8"/>
        <v/>
      </c>
      <c r="O492" s="61" t="str">
        <f t="shared" si="9"/>
        <v/>
      </c>
      <c r="P492" s="56" t="str">
        <f t="shared" si="10"/>
        <v/>
      </c>
      <c r="Q492" s="105"/>
      <c r="R492" s="10"/>
      <c r="S492" s="59" t="str">
        <f t="array" ref="S492">IF(COUNTA(Q492:Q1673)=0,"",SUM((COUNTIF(Q$4:Q492,Upgrades!$B$3:$B$13)-COUNTIF(Q$4:Q492,"Sell_"&amp;Upgrades!$B$3:$B$13))*Upgrades!$D$3:$D$13))</f>
        <v/>
      </c>
      <c r="T492" s="66" t="str">
        <f>IFERROR(__xludf.DUMMYFUNCTION("IF(COUNTA(Q492:Q1673)=0,"""",IF(REGEXMATCH(INDEX(FILTER(Q$4:Q492,Q$4:Q492&lt;&gt;""""),ROWS(FILTER(Q$4:Q492,Q$4:Q492&lt;&gt;""""))),""^Sell_""),INDEX(FILTER(T$4:T491,Q$4:Q491&lt;&gt;""""),ROWS(FILTER(Q$4:Q491,Q$4:Q491&lt;&gt;""""))),$AD$5+S492))"),"")</f>
        <v/>
      </c>
      <c r="U492" s="10" t="str">
        <f>IFERROR(__xludf.DUMMYFUNCTION("IF(COUNTA(Q492:Q1673)=0,"""",IF(Q492="""",0,IF(REGEXMATCH(Q492,""^Sell_""),-ROUNDDOWN(ROUNDUP(INDEX(Upgrades!$C$3:$C$13,MATCH(SUBSTITUTE(Q492,""Sell_"",""""),Upgrades!$B$3:$B$13,0))*1.15^(COUNTIF(Q$4:Q491,SUBSTITUTE(Q492,""Sell_"",""""))-COUNTIF(Q$4:Q491,"&amp;"""Sell_""&amp;SUBSTITUTE(Q492,""Sell_"",""""))))/2),ROUNDUP(INDEX(Upgrades!$C$3:$C$13,MATCH(Q492,Upgrades!$B$3:$B$13,0))*1.15^(COUNTIF(Q$4:Q491,Q492)-COUNTIF(Q$4:Q491,""Sell_""&amp;Q492))))))"),"")</f>
        <v/>
      </c>
      <c r="V492" s="10" t="str">
        <f t="shared" si="11"/>
        <v/>
      </c>
      <c r="W492" s="68" t="str">
        <f t="shared" si="12"/>
        <v/>
      </c>
      <c r="X492" s="59" t="str">
        <f t="shared" si="13"/>
        <v/>
      </c>
      <c r="Y492" s="69" t="str">
        <f t="shared" si="14"/>
        <v/>
      </c>
      <c r="Z492" s="11"/>
    </row>
    <row r="493">
      <c r="A493" s="8"/>
      <c r="B493" s="56" t="str">
        <f t="shared" si="2"/>
        <v/>
      </c>
      <c r="C493" s="105"/>
      <c r="D493" s="10"/>
      <c r="E493" s="59" t="str">
        <f t="array" ref="E493">IF(COUNTA(C493:C1673)=0,"",SUM((COUNTIF(C$4:C493,Upgrades!$B$3:$B$13)-COUNTIF(C$4:C493,"Sell_"&amp;Upgrades!$B$3:$B$13))*Upgrades!$D$3:$D$13))</f>
        <v/>
      </c>
      <c r="F493" s="66" t="str">
        <f>IFERROR(__xludf.DUMMYFUNCTION("IF(COUNTA(C493:C1673)=0,"""",IF(REGEXMATCH(INDEX(FILTER(C$4:C493,C$4:C493&lt;&gt;""""),ROWS(FILTER(C$4:C493,C$4:C493&lt;&gt;""""))),""^Sell_""),INDEX(FILTER(F$4:F492,C$4:C492&lt;&gt;""""),ROWS(FILTER(C$4:C492,C$4:C492&lt;&gt;""""))),$AC$5+E493))"),"")</f>
        <v/>
      </c>
      <c r="G493" s="10" t="str">
        <f>IFERROR(__xludf.DUMMYFUNCTION("IF(COUNTA(C493:C1673)=0,"""",IF(C493="""",0,IF(REGEXMATCH(C493,""^Sell_""),-ROUNDDOWN(ROUNDUP(INDEX(Upgrades!$C$3:$C$13,MATCH(SUBSTITUTE(C493,""Sell_"",""""),Upgrades!$B$3:$B$13,0))*1.15^(COUNTIF(C$4:C492,SUBSTITUTE(C493,""Sell_"",""""))-COUNTIF(C$4:C492,"&amp;"""Sell_""&amp;SUBSTITUTE(C493,""Sell_"",""""))))/2),ROUNDUP(INDEX(Upgrades!$C$3:$C$13,MATCH(C493,Upgrades!$B$3:$B$13,0))*1.15^(COUNTIF(C$4:C492,C493)-COUNTIF(C$4:C492,""Sell_""&amp;C493))))))"),"")</f>
        <v/>
      </c>
      <c r="H493" s="10" t="str">
        <f t="shared" si="3"/>
        <v/>
      </c>
      <c r="I493" s="68" t="str">
        <f t="shared" si="4"/>
        <v/>
      </c>
      <c r="J493" s="59" t="str">
        <f t="shared" si="5"/>
        <v/>
      </c>
      <c r="K493" s="69" t="str">
        <f t="shared" si="6"/>
        <v/>
      </c>
      <c r="L493" s="60" t="str">
        <f t="shared" si="7"/>
        <v/>
      </c>
      <c r="M493" s="61" t="str">
        <f>IFERROR(__xludf.DUMMYFUNCTION("IFS(AND(COUNTA(C493:C1673)=0,COUNTA(Q493:Q1673)=0),"""",OR(AND(K493&gt;=1000000000,OR(Y493&gt;=1000000000,COUNTA(Q493:Q1673)=0)),OR(Y493&gt;=1000000000,AND(COUNTA(C493:C1673)=0,P$3=TRUE))),
ROUNDDOWN((AB$1-AC$1)*MAX(INDEX(T$4:T1673,MATCH(LARGE(FILTER(Y$4:Y1673,Y$4"&amp;":Y1673&lt;1000000000),1),Y$4:Y1673)),INDEX(F$4:F1673,MATCH(LARGE(FILTER(K$4:K1673,K$4:K1673&lt;1000000000),1),K$4:K1673)))),AND(K493&lt;1000000000,COUNTA(C493:C1673)&gt;0,P$3=FALSE),
ROUNDDOWN(INDEX(Y$4:Y1673,MATCH(LARGE(FILTER(W$4:W1673,W$4:W1673&lt;=I493),1),W$4:W1673"&amp;"))+(I493-LARGE(FILTER(W$4:W1673,W$4:W1673&lt;=I493),1))*INDEX(T$4:T1673,MATCH(LARGE(FILTER(W$4:W1673,W$4:W1673&lt;=I493),1),W$4:W1673))-K493),1,
ROUNDDOWN(Y493-INDEX(K$4:K1673,MATCH(LARGE(FILTER(I$4:I1673,I$4:I1673&lt;=W493),1),I$4:I1673))-(W493-LARGE(FILTER(I$4:I"&amp;"1673,I$4:I1673&lt;=W493),1))*INDEX(F$4:F1673,MATCH(LARGE(FILTER(I$4:I1673,I$4:I1673&lt;=W493),1),I$4:I1673))))"),"")</f>
        <v/>
      </c>
      <c r="N493" s="60" t="str">
        <f t="shared" si="8"/>
        <v/>
      </c>
      <c r="O493" s="61" t="str">
        <f t="shared" si="9"/>
        <v/>
      </c>
      <c r="P493" s="56" t="str">
        <f t="shared" si="10"/>
        <v/>
      </c>
      <c r="Q493" s="105"/>
      <c r="R493" s="10"/>
      <c r="S493" s="59" t="str">
        <f t="array" ref="S493">IF(COUNTA(Q493:Q1673)=0,"",SUM((COUNTIF(Q$4:Q493,Upgrades!$B$3:$B$13)-COUNTIF(Q$4:Q493,"Sell_"&amp;Upgrades!$B$3:$B$13))*Upgrades!$D$3:$D$13))</f>
        <v/>
      </c>
      <c r="T493" s="66" t="str">
        <f>IFERROR(__xludf.DUMMYFUNCTION("IF(COUNTA(Q493:Q1673)=0,"""",IF(REGEXMATCH(INDEX(FILTER(Q$4:Q493,Q$4:Q493&lt;&gt;""""),ROWS(FILTER(Q$4:Q493,Q$4:Q493&lt;&gt;""""))),""^Sell_""),INDEX(FILTER(T$4:T492,Q$4:Q492&lt;&gt;""""),ROWS(FILTER(Q$4:Q492,Q$4:Q492&lt;&gt;""""))),$AD$5+S493))"),"")</f>
        <v/>
      </c>
      <c r="U493" s="10" t="str">
        <f>IFERROR(__xludf.DUMMYFUNCTION("IF(COUNTA(Q493:Q1673)=0,"""",IF(Q493="""",0,IF(REGEXMATCH(Q493,""^Sell_""),-ROUNDDOWN(ROUNDUP(INDEX(Upgrades!$C$3:$C$13,MATCH(SUBSTITUTE(Q493,""Sell_"",""""),Upgrades!$B$3:$B$13,0))*1.15^(COUNTIF(Q$4:Q492,SUBSTITUTE(Q493,""Sell_"",""""))-COUNTIF(Q$4:Q492,"&amp;"""Sell_""&amp;SUBSTITUTE(Q493,""Sell_"",""""))))/2),ROUNDUP(INDEX(Upgrades!$C$3:$C$13,MATCH(Q493,Upgrades!$B$3:$B$13,0))*1.15^(COUNTIF(Q$4:Q492,Q493)-COUNTIF(Q$4:Q492,""Sell_""&amp;Q493))))))"),"")</f>
        <v/>
      </c>
      <c r="V493" s="10" t="str">
        <f t="shared" si="11"/>
        <v/>
      </c>
      <c r="W493" s="68" t="str">
        <f t="shared" si="12"/>
        <v/>
      </c>
      <c r="X493" s="59" t="str">
        <f t="shared" si="13"/>
        <v/>
      </c>
      <c r="Y493" s="69" t="str">
        <f t="shared" si="14"/>
        <v/>
      </c>
      <c r="Z493" s="11"/>
    </row>
    <row r="494">
      <c r="A494" s="8"/>
      <c r="B494" s="56" t="str">
        <f t="shared" si="2"/>
        <v/>
      </c>
      <c r="C494" s="105"/>
      <c r="D494" s="10"/>
      <c r="E494" s="59" t="str">
        <f t="array" ref="E494">IF(COUNTA(C494:C1673)=0,"",SUM((COUNTIF(C$4:C494,Upgrades!$B$3:$B$13)-COUNTIF(C$4:C494,"Sell_"&amp;Upgrades!$B$3:$B$13))*Upgrades!$D$3:$D$13))</f>
        <v/>
      </c>
      <c r="F494" s="66" t="str">
        <f>IFERROR(__xludf.DUMMYFUNCTION("IF(COUNTA(C494:C1673)=0,"""",IF(REGEXMATCH(INDEX(FILTER(C$4:C494,C$4:C494&lt;&gt;""""),ROWS(FILTER(C$4:C494,C$4:C494&lt;&gt;""""))),""^Sell_""),INDEX(FILTER(F$4:F493,C$4:C493&lt;&gt;""""),ROWS(FILTER(C$4:C493,C$4:C493&lt;&gt;""""))),$AC$5+E494))"),"")</f>
        <v/>
      </c>
      <c r="G494" s="10" t="str">
        <f>IFERROR(__xludf.DUMMYFUNCTION("IF(COUNTA(C494:C1673)=0,"""",IF(C494="""",0,IF(REGEXMATCH(C494,""^Sell_""),-ROUNDDOWN(ROUNDUP(INDEX(Upgrades!$C$3:$C$13,MATCH(SUBSTITUTE(C494,""Sell_"",""""),Upgrades!$B$3:$B$13,0))*1.15^(COUNTIF(C$4:C493,SUBSTITUTE(C494,""Sell_"",""""))-COUNTIF(C$4:C493,"&amp;"""Sell_""&amp;SUBSTITUTE(C494,""Sell_"",""""))))/2),ROUNDUP(INDEX(Upgrades!$C$3:$C$13,MATCH(C494,Upgrades!$B$3:$B$13,0))*1.15^(COUNTIF(C$4:C493,C494)-COUNTIF(C$4:C493,""Sell_""&amp;C494))))))"),"")</f>
        <v/>
      </c>
      <c r="H494" s="10" t="str">
        <f t="shared" si="3"/>
        <v/>
      </c>
      <c r="I494" s="68" t="str">
        <f t="shared" si="4"/>
        <v/>
      </c>
      <c r="J494" s="59" t="str">
        <f t="shared" si="5"/>
        <v/>
      </c>
      <c r="K494" s="69" t="str">
        <f t="shared" si="6"/>
        <v/>
      </c>
      <c r="L494" s="60" t="str">
        <f t="shared" si="7"/>
        <v/>
      </c>
      <c r="M494" s="61" t="str">
        <f>IFERROR(__xludf.DUMMYFUNCTION("IFS(AND(COUNTA(C494:C1673)=0,COUNTA(Q494:Q1673)=0),"""",OR(AND(K494&gt;=1000000000,OR(Y494&gt;=1000000000,COUNTA(Q494:Q1673)=0)),OR(Y494&gt;=1000000000,AND(COUNTA(C494:C1673)=0,P$3=TRUE))),
ROUNDDOWN((AB$1-AC$1)*MAX(INDEX(T$4:T1673,MATCH(LARGE(FILTER(Y$4:Y1673,Y$4"&amp;":Y1673&lt;1000000000),1),Y$4:Y1673)),INDEX(F$4:F1673,MATCH(LARGE(FILTER(K$4:K1673,K$4:K1673&lt;1000000000),1),K$4:K1673)))),AND(K494&lt;1000000000,COUNTA(C494:C1673)&gt;0,P$3=FALSE),
ROUNDDOWN(INDEX(Y$4:Y1673,MATCH(LARGE(FILTER(W$4:W1673,W$4:W1673&lt;=I494),1),W$4:W1673"&amp;"))+(I494-LARGE(FILTER(W$4:W1673,W$4:W1673&lt;=I494),1))*INDEX(T$4:T1673,MATCH(LARGE(FILTER(W$4:W1673,W$4:W1673&lt;=I494),1),W$4:W1673))-K494),1,
ROUNDDOWN(Y494-INDEX(K$4:K1673,MATCH(LARGE(FILTER(I$4:I1673,I$4:I1673&lt;=W494),1),I$4:I1673))-(W494-LARGE(FILTER(I$4:I"&amp;"1673,I$4:I1673&lt;=W494),1))*INDEX(F$4:F1673,MATCH(LARGE(FILTER(I$4:I1673,I$4:I1673&lt;=W494),1),I$4:I1673))))"),"")</f>
        <v/>
      </c>
      <c r="N494" s="60" t="str">
        <f t="shared" si="8"/>
        <v/>
      </c>
      <c r="O494" s="61" t="str">
        <f t="shared" si="9"/>
        <v/>
      </c>
      <c r="P494" s="56" t="str">
        <f t="shared" si="10"/>
        <v/>
      </c>
      <c r="Q494" s="105"/>
      <c r="R494" s="10"/>
      <c r="S494" s="59" t="str">
        <f t="array" ref="S494">IF(COUNTA(Q494:Q1673)=0,"",SUM((COUNTIF(Q$4:Q494,Upgrades!$B$3:$B$13)-COUNTIF(Q$4:Q494,"Sell_"&amp;Upgrades!$B$3:$B$13))*Upgrades!$D$3:$D$13))</f>
        <v/>
      </c>
      <c r="T494" s="66" t="str">
        <f>IFERROR(__xludf.DUMMYFUNCTION("IF(COUNTA(Q494:Q1673)=0,"""",IF(REGEXMATCH(INDEX(FILTER(Q$4:Q494,Q$4:Q494&lt;&gt;""""),ROWS(FILTER(Q$4:Q494,Q$4:Q494&lt;&gt;""""))),""^Sell_""),INDEX(FILTER(T$4:T493,Q$4:Q493&lt;&gt;""""),ROWS(FILTER(Q$4:Q493,Q$4:Q493&lt;&gt;""""))),$AD$5+S494))"),"")</f>
        <v/>
      </c>
      <c r="U494" s="10" t="str">
        <f>IFERROR(__xludf.DUMMYFUNCTION("IF(COUNTA(Q494:Q1673)=0,"""",IF(Q494="""",0,IF(REGEXMATCH(Q494,""^Sell_""),-ROUNDDOWN(ROUNDUP(INDEX(Upgrades!$C$3:$C$13,MATCH(SUBSTITUTE(Q494,""Sell_"",""""),Upgrades!$B$3:$B$13,0))*1.15^(COUNTIF(Q$4:Q493,SUBSTITUTE(Q494,""Sell_"",""""))-COUNTIF(Q$4:Q493,"&amp;"""Sell_""&amp;SUBSTITUTE(Q494,""Sell_"",""""))))/2),ROUNDUP(INDEX(Upgrades!$C$3:$C$13,MATCH(Q494,Upgrades!$B$3:$B$13,0))*1.15^(COUNTIF(Q$4:Q493,Q494)-COUNTIF(Q$4:Q493,""Sell_""&amp;Q494))))))"),"")</f>
        <v/>
      </c>
      <c r="V494" s="10" t="str">
        <f t="shared" si="11"/>
        <v/>
      </c>
      <c r="W494" s="68" t="str">
        <f t="shared" si="12"/>
        <v/>
      </c>
      <c r="X494" s="59" t="str">
        <f t="shared" si="13"/>
        <v/>
      </c>
      <c r="Y494" s="69" t="str">
        <f t="shared" si="14"/>
        <v/>
      </c>
      <c r="Z494" s="11"/>
    </row>
    <row r="495">
      <c r="A495" s="8"/>
      <c r="B495" s="56" t="str">
        <f t="shared" si="2"/>
        <v/>
      </c>
      <c r="C495" s="105"/>
      <c r="D495" s="10"/>
      <c r="E495" s="59" t="str">
        <f t="array" ref="E495">IF(COUNTA(C495:C1673)=0,"",SUM((COUNTIF(C$4:C495,Upgrades!$B$3:$B$13)-COUNTIF(C$4:C495,"Sell_"&amp;Upgrades!$B$3:$B$13))*Upgrades!$D$3:$D$13))</f>
        <v/>
      </c>
      <c r="F495" s="66" t="str">
        <f>IFERROR(__xludf.DUMMYFUNCTION("IF(COUNTA(C495:C1673)=0,"""",IF(REGEXMATCH(INDEX(FILTER(C$4:C495,C$4:C495&lt;&gt;""""),ROWS(FILTER(C$4:C495,C$4:C495&lt;&gt;""""))),""^Sell_""),INDEX(FILTER(F$4:F494,C$4:C494&lt;&gt;""""),ROWS(FILTER(C$4:C494,C$4:C494&lt;&gt;""""))),$AC$5+E495))"),"")</f>
        <v/>
      </c>
      <c r="G495" s="10" t="str">
        <f>IFERROR(__xludf.DUMMYFUNCTION("IF(COUNTA(C495:C1673)=0,"""",IF(C495="""",0,IF(REGEXMATCH(C495,""^Sell_""),-ROUNDDOWN(ROUNDUP(INDEX(Upgrades!$C$3:$C$13,MATCH(SUBSTITUTE(C495,""Sell_"",""""),Upgrades!$B$3:$B$13,0))*1.15^(COUNTIF(C$4:C494,SUBSTITUTE(C495,""Sell_"",""""))-COUNTIF(C$4:C494,"&amp;"""Sell_""&amp;SUBSTITUTE(C495,""Sell_"",""""))))/2),ROUNDUP(INDEX(Upgrades!$C$3:$C$13,MATCH(C495,Upgrades!$B$3:$B$13,0))*1.15^(COUNTIF(C$4:C494,C495)-COUNTIF(C$4:C494,""Sell_""&amp;C495))))))"),"")</f>
        <v/>
      </c>
      <c r="H495" s="10" t="str">
        <f t="shared" si="3"/>
        <v/>
      </c>
      <c r="I495" s="68" t="str">
        <f t="shared" si="4"/>
        <v/>
      </c>
      <c r="J495" s="59" t="str">
        <f t="shared" si="5"/>
        <v/>
      </c>
      <c r="K495" s="69" t="str">
        <f t="shared" si="6"/>
        <v/>
      </c>
      <c r="L495" s="60" t="str">
        <f t="shared" si="7"/>
        <v/>
      </c>
      <c r="M495" s="61" t="str">
        <f>IFERROR(__xludf.DUMMYFUNCTION("IFS(AND(COUNTA(C495:C1673)=0,COUNTA(Q495:Q1673)=0),"""",OR(AND(K495&gt;=1000000000,OR(Y495&gt;=1000000000,COUNTA(Q495:Q1673)=0)),OR(Y495&gt;=1000000000,AND(COUNTA(C495:C1673)=0,P$3=TRUE))),
ROUNDDOWN((AB$1-AC$1)*MAX(INDEX(T$4:T1673,MATCH(LARGE(FILTER(Y$4:Y1673,Y$4"&amp;":Y1673&lt;1000000000),1),Y$4:Y1673)),INDEX(F$4:F1673,MATCH(LARGE(FILTER(K$4:K1673,K$4:K1673&lt;1000000000),1),K$4:K1673)))),AND(K495&lt;1000000000,COUNTA(C495:C1673)&gt;0,P$3=FALSE),
ROUNDDOWN(INDEX(Y$4:Y1673,MATCH(LARGE(FILTER(W$4:W1673,W$4:W1673&lt;=I495),1),W$4:W1673"&amp;"))+(I495-LARGE(FILTER(W$4:W1673,W$4:W1673&lt;=I495),1))*INDEX(T$4:T1673,MATCH(LARGE(FILTER(W$4:W1673,W$4:W1673&lt;=I495),1),W$4:W1673))-K495),1,
ROUNDDOWN(Y495-INDEX(K$4:K1673,MATCH(LARGE(FILTER(I$4:I1673,I$4:I1673&lt;=W495),1),I$4:I1673))-(W495-LARGE(FILTER(I$4:I"&amp;"1673,I$4:I1673&lt;=W495),1))*INDEX(F$4:F1673,MATCH(LARGE(FILTER(I$4:I1673,I$4:I1673&lt;=W495),1),I$4:I1673))))"),"")</f>
        <v/>
      </c>
      <c r="N495" s="60" t="str">
        <f t="shared" si="8"/>
        <v/>
      </c>
      <c r="O495" s="61" t="str">
        <f t="shared" si="9"/>
        <v/>
      </c>
      <c r="P495" s="56" t="str">
        <f t="shared" si="10"/>
        <v/>
      </c>
      <c r="Q495" s="105"/>
      <c r="R495" s="10"/>
      <c r="S495" s="59" t="str">
        <f t="array" ref="S495">IF(COUNTA(Q495:Q1673)=0,"",SUM((COUNTIF(Q$4:Q495,Upgrades!$B$3:$B$13)-COUNTIF(Q$4:Q495,"Sell_"&amp;Upgrades!$B$3:$B$13))*Upgrades!$D$3:$D$13))</f>
        <v/>
      </c>
      <c r="T495" s="66" t="str">
        <f>IFERROR(__xludf.DUMMYFUNCTION("IF(COUNTA(Q495:Q1673)=0,"""",IF(REGEXMATCH(INDEX(FILTER(Q$4:Q495,Q$4:Q495&lt;&gt;""""),ROWS(FILTER(Q$4:Q495,Q$4:Q495&lt;&gt;""""))),""^Sell_""),INDEX(FILTER(T$4:T494,Q$4:Q494&lt;&gt;""""),ROWS(FILTER(Q$4:Q494,Q$4:Q494&lt;&gt;""""))),$AD$5+S495))"),"")</f>
        <v/>
      </c>
      <c r="U495" s="10" t="str">
        <f>IFERROR(__xludf.DUMMYFUNCTION("IF(COUNTA(Q495:Q1673)=0,"""",IF(Q495="""",0,IF(REGEXMATCH(Q495,""^Sell_""),-ROUNDDOWN(ROUNDUP(INDEX(Upgrades!$C$3:$C$13,MATCH(SUBSTITUTE(Q495,""Sell_"",""""),Upgrades!$B$3:$B$13,0))*1.15^(COUNTIF(Q$4:Q494,SUBSTITUTE(Q495,""Sell_"",""""))-COUNTIF(Q$4:Q494,"&amp;"""Sell_""&amp;SUBSTITUTE(Q495,""Sell_"",""""))))/2),ROUNDUP(INDEX(Upgrades!$C$3:$C$13,MATCH(Q495,Upgrades!$B$3:$B$13,0))*1.15^(COUNTIF(Q$4:Q494,Q495)-COUNTIF(Q$4:Q494,""Sell_""&amp;Q495))))))"),"")</f>
        <v/>
      </c>
      <c r="V495" s="10" t="str">
        <f t="shared" si="11"/>
        <v/>
      </c>
      <c r="W495" s="68" t="str">
        <f t="shared" si="12"/>
        <v/>
      </c>
      <c r="X495" s="59" t="str">
        <f t="shared" si="13"/>
        <v/>
      </c>
      <c r="Y495" s="69" t="str">
        <f t="shared" si="14"/>
        <v/>
      </c>
      <c r="Z495" s="11"/>
    </row>
    <row r="496">
      <c r="A496" s="8"/>
      <c r="B496" s="56" t="str">
        <f t="shared" si="2"/>
        <v/>
      </c>
      <c r="C496" s="105"/>
      <c r="D496" s="10"/>
      <c r="E496" s="59" t="str">
        <f t="array" ref="E496">IF(COUNTA(C496:C1673)=0,"",SUM((COUNTIF(C$4:C496,Upgrades!$B$3:$B$13)-COUNTIF(C$4:C496,"Sell_"&amp;Upgrades!$B$3:$B$13))*Upgrades!$D$3:$D$13))</f>
        <v/>
      </c>
      <c r="F496" s="66" t="str">
        <f>IFERROR(__xludf.DUMMYFUNCTION("IF(COUNTA(C496:C1673)=0,"""",IF(REGEXMATCH(INDEX(FILTER(C$4:C496,C$4:C496&lt;&gt;""""),ROWS(FILTER(C$4:C496,C$4:C496&lt;&gt;""""))),""^Sell_""),INDEX(FILTER(F$4:F495,C$4:C495&lt;&gt;""""),ROWS(FILTER(C$4:C495,C$4:C495&lt;&gt;""""))),$AC$5+E496))"),"")</f>
        <v/>
      </c>
      <c r="G496" s="10" t="str">
        <f>IFERROR(__xludf.DUMMYFUNCTION("IF(COUNTA(C496:C1673)=0,"""",IF(C496="""",0,IF(REGEXMATCH(C496,""^Sell_""),-ROUNDDOWN(ROUNDUP(INDEX(Upgrades!$C$3:$C$13,MATCH(SUBSTITUTE(C496,""Sell_"",""""),Upgrades!$B$3:$B$13,0))*1.15^(COUNTIF(C$4:C495,SUBSTITUTE(C496,""Sell_"",""""))-COUNTIF(C$4:C495,"&amp;"""Sell_""&amp;SUBSTITUTE(C496,""Sell_"",""""))))/2),ROUNDUP(INDEX(Upgrades!$C$3:$C$13,MATCH(C496,Upgrades!$B$3:$B$13,0))*1.15^(COUNTIF(C$4:C495,C496)-COUNTIF(C$4:C495,""Sell_""&amp;C496))))))"),"")</f>
        <v/>
      </c>
      <c r="H496" s="10" t="str">
        <f t="shared" si="3"/>
        <v/>
      </c>
      <c r="I496" s="68" t="str">
        <f t="shared" si="4"/>
        <v/>
      </c>
      <c r="J496" s="59" t="str">
        <f t="shared" si="5"/>
        <v/>
      </c>
      <c r="K496" s="69" t="str">
        <f t="shared" si="6"/>
        <v/>
      </c>
      <c r="L496" s="60" t="str">
        <f t="shared" si="7"/>
        <v/>
      </c>
      <c r="M496" s="61" t="str">
        <f>IFERROR(__xludf.DUMMYFUNCTION("IFS(AND(COUNTA(C496:C1673)=0,COUNTA(Q496:Q1673)=0),"""",OR(AND(K496&gt;=1000000000,OR(Y496&gt;=1000000000,COUNTA(Q496:Q1673)=0)),OR(Y496&gt;=1000000000,AND(COUNTA(C496:C1673)=0,P$3=TRUE))),
ROUNDDOWN((AB$1-AC$1)*MAX(INDEX(T$4:T1673,MATCH(LARGE(FILTER(Y$4:Y1673,Y$4"&amp;":Y1673&lt;1000000000),1),Y$4:Y1673)),INDEX(F$4:F1673,MATCH(LARGE(FILTER(K$4:K1673,K$4:K1673&lt;1000000000),1),K$4:K1673)))),AND(K496&lt;1000000000,COUNTA(C496:C1673)&gt;0,P$3=FALSE),
ROUNDDOWN(INDEX(Y$4:Y1673,MATCH(LARGE(FILTER(W$4:W1673,W$4:W1673&lt;=I496),1),W$4:W1673"&amp;"))+(I496-LARGE(FILTER(W$4:W1673,W$4:W1673&lt;=I496),1))*INDEX(T$4:T1673,MATCH(LARGE(FILTER(W$4:W1673,W$4:W1673&lt;=I496),1),W$4:W1673))-K496),1,
ROUNDDOWN(Y496-INDEX(K$4:K1673,MATCH(LARGE(FILTER(I$4:I1673,I$4:I1673&lt;=W496),1),I$4:I1673))-(W496-LARGE(FILTER(I$4:I"&amp;"1673,I$4:I1673&lt;=W496),1))*INDEX(F$4:F1673,MATCH(LARGE(FILTER(I$4:I1673,I$4:I1673&lt;=W496),1),I$4:I1673))))"),"")</f>
        <v/>
      </c>
      <c r="N496" s="60" t="str">
        <f t="shared" si="8"/>
        <v/>
      </c>
      <c r="O496" s="61" t="str">
        <f t="shared" si="9"/>
        <v/>
      </c>
      <c r="P496" s="56" t="str">
        <f t="shared" si="10"/>
        <v/>
      </c>
      <c r="Q496" s="105"/>
      <c r="R496" s="10"/>
      <c r="S496" s="59" t="str">
        <f t="array" ref="S496">IF(COUNTA(Q496:Q1673)=0,"",SUM((COUNTIF(Q$4:Q496,Upgrades!$B$3:$B$13)-COUNTIF(Q$4:Q496,"Sell_"&amp;Upgrades!$B$3:$B$13))*Upgrades!$D$3:$D$13))</f>
        <v/>
      </c>
      <c r="T496" s="66" t="str">
        <f>IFERROR(__xludf.DUMMYFUNCTION("IF(COUNTA(Q496:Q1673)=0,"""",IF(REGEXMATCH(INDEX(FILTER(Q$4:Q496,Q$4:Q496&lt;&gt;""""),ROWS(FILTER(Q$4:Q496,Q$4:Q496&lt;&gt;""""))),""^Sell_""),INDEX(FILTER(T$4:T495,Q$4:Q495&lt;&gt;""""),ROWS(FILTER(Q$4:Q495,Q$4:Q495&lt;&gt;""""))),$AD$5+S496))"),"")</f>
        <v/>
      </c>
      <c r="U496" s="10" t="str">
        <f>IFERROR(__xludf.DUMMYFUNCTION("IF(COUNTA(Q496:Q1673)=0,"""",IF(Q496="""",0,IF(REGEXMATCH(Q496,""^Sell_""),-ROUNDDOWN(ROUNDUP(INDEX(Upgrades!$C$3:$C$13,MATCH(SUBSTITUTE(Q496,""Sell_"",""""),Upgrades!$B$3:$B$13,0))*1.15^(COUNTIF(Q$4:Q495,SUBSTITUTE(Q496,""Sell_"",""""))-COUNTIF(Q$4:Q495,"&amp;"""Sell_""&amp;SUBSTITUTE(Q496,""Sell_"",""""))))/2),ROUNDUP(INDEX(Upgrades!$C$3:$C$13,MATCH(Q496,Upgrades!$B$3:$B$13,0))*1.15^(COUNTIF(Q$4:Q495,Q496)-COUNTIF(Q$4:Q495,""Sell_""&amp;Q496))))))"),"")</f>
        <v/>
      </c>
      <c r="V496" s="10" t="str">
        <f t="shared" si="11"/>
        <v/>
      </c>
      <c r="W496" s="68" t="str">
        <f t="shared" si="12"/>
        <v/>
      </c>
      <c r="X496" s="59" t="str">
        <f t="shared" si="13"/>
        <v/>
      </c>
      <c r="Y496" s="69" t="str">
        <f t="shared" si="14"/>
        <v/>
      </c>
      <c r="Z496" s="11"/>
    </row>
    <row r="497">
      <c r="A497" s="8"/>
      <c r="B497" s="56" t="str">
        <f t="shared" si="2"/>
        <v/>
      </c>
      <c r="C497" s="105"/>
      <c r="D497" s="10"/>
      <c r="E497" s="59" t="str">
        <f t="array" ref="E497">IF(COUNTA(C497:C1673)=0,"",SUM((COUNTIF(C$4:C497,Upgrades!$B$3:$B$13)-COUNTIF(C$4:C497,"Sell_"&amp;Upgrades!$B$3:$B$13))*Upgrades!$D$3:$D$13))</f>
        <v/>
      </c>
      <c r="F497" s="66" t="str">
        <f>IFERROR(__xludf.DUMMYFUNCTION("IF(COUNTA(C497:C1673)=0,"""",IF(REGEXMATCH(INDEX(FILTER(C$4:C497,C$4:C497&lt;&gt;""""),ROWS(FILTER(C$4:C497,C$4:C497&lt;&gt;""""))),""^Sell_""),INDEX(FILTER(F$4:F496,C$4:C496&lt;&gt;""""),ROWS(FILTER(C$4:C496,C$4:C496&lt;&gt;""""))),$AC$5+E497))"),"")</f>
        <v/>
      </c>
      <c r="G497" s="10" t="str">
        <f>IFERROR(__xludf.DUMMYFUNCTION("IF(COUNTA(C497:C1673)=0,"""",IF(C497="""",0,IF(REGEXMATCH(C497,""^Sell_""),-ROUNDDOWN(ROUNDUP(INDEX(Upgrades!$C$3:$C$13,MATCH(SUBSTITUTE(C497,""Sell_"",""""),Upgrades!$B$3:$B$13,0))*1.15^(COUNTIF(C$4:C496,SUBSTITUTE(C497,""Sell_"",""""))-COUNTIF(C$4:C496,"&amp;"""Sell_""&amp;SUBSTITUTE(C497,""Sell_"",""""))))/2),ROUNDUP(INDEX(Upgrades!$C$3:$C$13,MATCH(C497,Upgrades!$B$3:$B$13,0))*1.15^(COUNTIF(C$4:C496,C497)-COUNTIF(C$4:C496,""Sell_""&amp;C497))))))"),"")</f>
        <v/>
      </c>
      <c r="H497" s="10" t="str">
        <f t="shared" si="3"/>
        <v/>
      </c>
      <c r="I497" s="68" t="str">
        <f t="shared" si="4"/>
        <v/>
      </c>
      <c r="J497" s="59" t="str">
        <f t="shared" si="5"/>
        <v/>
      </c>
      <c r="K497" s="69" t="str">
        <f t="shared" si="6"/>
        <v/>
      </c>
      <c r="L497" s="60" t="str">
        <f t="shared" si="7"/>
        <v/>
      </c>
      <c r="M497" s="61" t="str">
        <f>IFERROR(__xludf.DUMMYFUNCTION("IFS(AND(COUNTA(C497:C1673)=0,COUNTA(Q497:Q1673)=0),"""",OR(AND(K497&gt;=1000000000,OR(Y497&gt;=1000000000,COUNTA(Q497:Q1673)=0)),OR(Y497&gt;=1000000000,AND(COUNTA(C497:C1673)=0,P$3=TRUE))),
ROUNDDOWN((AB$1-AC$1)*MAX(INDEX(T$4:T1673,MATCH(LARGE(FILTER(Y$4:Y1673,Y$4"&amp;":Y1673&lt;1000000000),1),Y$4:Y1673)),INDEX(F$4:F1673,MATCH(LARGE(FILTER(K$4:K1673,K$4:K1673&lt;1000000000),1),K$4:K1673)))),AND(K497&lt;1000000000,COUNTA(C497:C1673)&gt;0,P$3=FALSE),
ROUNDDOWN(INDEX(Y$4:Y1673,MATCH(LARGE(FILTER(W$4:W1673,W$4:W1673&lt;=I497),1),W$4:W1673"&amp;"))+(I497-LARGE(FILTER(W$4:W1673,W$4:W1673&lt;=I497),1))*INDEX(T$4:T1673,MATCH(LARGE(FILTER(W$4:W1673,W$4:W1673&lt;=I497),1),W$4:W1673))-K497),1,
ROUNDDOWN(Y497-INDEX(K$4:K1673,MATCH(LARGE(FILTER(I$4:I1673,I$4:I1673&lt;=W497),1),I$4:I1673))-(W497-LARGE(FILTER(I$4:I"&amp;"1673,I$4:I1673&lt;=W497),1))*INDEX(F$4:F1673,MATCH(LARGE(FILTER(I$4:I1673,I$4:I1673&lt;=W497),1),I$4:I1673))))"),"")</f>
        <v/>
      </c>
      <c r="N497" s="60" t="str">
        <f t="shared" si="8"/>
        <v/>
      </c>
      <c r="O497" s="61" t="str">
        <f t="shared" si="9"/>
        <v/>
      </c>
      <c r="P497" s="56" t="str">
        <f t="shared" si="10"/>
        <v/>
      </c>
      <c r="Q497" s="105"/>
      <c r="R497" s="10"/>
      <c r="S497" s="59" t="str">
        <f t="array" ref="S497">IF(COUNTA(Q497:Q1673)=0,"",SUM((COUNTIF(Q$4:Q497,Upgrades!$B$3:$B$13)-COUNTIF(Q$4:Q497,"Sell_"&amp;Upgrades!$B$3:$B$13))*Upgrades!$D$3:$D$13))</f>
        <v/>
      </c>
      <c r="T497" s="66" t="str">
        <f>IFERROR(__xludf.DUMMYFUNCTION("IF(COUNTA(Q497:Q1673)=0,"""",IF(REGEXMATCH(INDEX(FILTER(Q$4:Q497,Q$4:Q497&lt;&gt;""""),ROWS(FILTER(Q$4:Q497,Q$4:Q497&lt;&gt;""""))),""^Sell_""),INDEX(FILTER(T$4:T496,Q$4:Q496&lt;&gt;""""),ROWS(FILTER(Q$4:Q496,Q$4:Q496&lt;&gt;""""))),$AD$5+S497))"),"")</f>
        <v/>
      </c>
      <c r="U497" s="10" t="str">
        <f>IFERROR(__xludf.DUMMYFUNCTION("IF(COUNTA(Q497:Q1673)=0,"""",IF(Q497="""",0,IF(REGEXMATCH(Q497,""^Sell_""),-ROUNDDOWN(ROUNDUP(INDEX(Upgrades!$C$3:$C$13,MATCH(SUBSTITUTE(Q497,""Sell_"",""""),Upgrades!$B$3:$B$13,0))*1.15^(COUNTIF(Q$4:Q496,SUBSTITUTE(Q497,""Sell_"",""""))-COUNTIF(Q$4:Q496,"&amp;"""Sell_""&amp;SUBSTITUTE(Q497,""Sell_"",""""))))/2),ROUNDUP(INDEX(Upgrades!$C$3:$C$13,MATCH(Q497,Upgrades!$B$3:$B$13,0))*1.15^(COUNTIF(Q$4:Q496,Q497)-COUNTIF(Q$4:Q496,""Sell_""&amp;Q497))))))"),"")</f>
        <v/>
      </c>
      <c r="V497" s="10" t="str">
        <f t="shared" si="11"/>
        <v/>
      </c>
      <c r="W497" s="68" t="str">
        <f t="shared" si="12"/>
        <v/>
      </c>
      <c r="X497" s="59" t="str">
        <f t="shared" si="13"/>
        <v/>
      </c>
      <c r="Y497" s="69" t="str">
        <f t="shared" si="14"/>
        <v/>
      </c>
      <c r="Z497" s="11"/>
    </row>
    <row r="498">
      <c r="A498" s="8"/>
      <c r="B498" s="56" t="str">
        <f t="shared" si="2"/>
        <v/>
      </c>
      <c r="C498" s="105"/>
      <c r="D498" s="10"/>
      <c r="E498" s="59" t="str">
        <f t="array" ref="E498">IF(COUNTA(C498:C1673)=0,"",SUM((COUNTIF(C$4:C498,Upgrades!$B$3:$B$13)-COUNTIF(C$4:C498,"Sell_"&amp;Upgrades!$B$3:$B$13))*Upgrades!$D$3:$D$13))</f>
        <v/>
      </c>
      <c r="F498" s="66" t="str">
        <f>IFERROR(__xludf.DUMMYFUNCTION("IF(COUNTA(C498:C1673)=0,"""",IF(REGEXMATCH(INDEX(FILTER(C$4:C498,C$4:C498&lt;&gt;""""),ROWS(FILTER(C$4:C498,C$4:C498&lt;&gt;""""))),""^Sell_""),INDEX(FILTER(F$4:F497,C$4:C497&lt;&gt;""""),ROWS(FILTER(C$4:C497,C$4:C497&lt;&gt;""""))),$AC$5+E498))"),"")</f>
        <v/>
      </c>
      <c r="G498" s="10" t="str">
        <f>IFERROR(__xludf.DUMMYFUNCTION("IF(COUNTA(C498:C1673)=0,"""",IF(C498="""",0,IF(REGEXMATCH(C498,""^Sell_""),-ROUNDDOWN(ROUNDUP(INDEX(Upgrades!$C$3:$C$13,MATCH(SUBSTITUTE(C498,""Sell_"",""""),Upgrades!$B$3:$B$13,0))*1.15^(COUNTIF(C$4:C497,SUBSTITUTE(C498,""Sell_"",""""))-COUNTIF(C$4:C497,"&amp;"""Sell_""&amp;SUBSTITUTE(C498,""Sell_"",""""))))/2),ROUNDUP(INDEX(Upgrades!$C$3:$C$13,MATCH(C498,Upgrades!$B$3:$B$13,0))*1.15^(COUNTIF(C$4:C497,C498)-COUNTIF(C$4:C497,""Sell_""&amp;C498))))))"),"")</f>
        <v/>
      </c>
      <c r="H498" s="10" t="str">
        <f t="shared" si="3"/>
        <v/>
      </c>
      <c r="I498" s="68" t="str">
        <f t="shared" si="4"/>
        <v/>
      </c>
      <c r="J498" s="59" t="str">
        <f t="shared" si="5"/>
        <v/>
      </c>
      <c r="K498" s="69" t="str">
        <f t="shared" si="6"/>
        <v/>
      </c>
      <c r="L498" s="60" t="str">
        <f t="shared" si="7"/>
        <v/>
      </c>
      <c r="M498" s="61" t="str">
        <f>IFERROR(__xludf.DUMMYFUNCTION("IFS(AND(COUNTA(C498:C1673)=0,COUNTA(Q498:Q1673)=0),"""",OR(AND(K498&gt;=1000000000,OR(Y498&gt;=1000000000,COUNTA(Q498:Q1673)=0)),OR(Y498&gt;=1000000000,AND(COUNTA(C498:C1673)=0,P$3=TRUE))),
ROUNDDOWN((AB$1-AC$1)*MAX(INDEX(T$4:T1673,MATCH(LARGE(FILTER(Y$4:Y1673,Y$4"&amp;":Y1673&lt;1000000000),1),Y$4:Y1673)),INDEX(F$4:F1673,MATCH(LARGE(FILTER(K$4:K1673,K$4:K1673&lt;1000000000),1),K$4:K1673)))),AND(K498&lt;1000000000,COUNTA(C498:C1673)&gt;0,P$3=FALSE),
ROUNDDOWN(INDEX(Y$4:Y1673,MATCH(LARGE(FILTER(W$4:W1673,W$4:W1673&lt;=I498),1),W$4:W1673"&amp;"))+(I498-LARGE(FILTER(W$4:W1673,W$4:W1673&lt;=I498),1))*INDEX(T$4:T1673,MATCH(LARGE(FILTER(W$4:W1673,W$4:W1673&lt;=I498),1),W$4:W1673))-K498),1,
ROUNDDOWN(Y498-INDEX(K$4:K1673,MATCH(LARGE(FILTER(I$4:I1673,I$4:I1673&lt;=W498),1),I$4:I1673))-(W498-LARGE(FILTER(I$4:I"&amp;"1673,I$4:I1673&lt;=W498),1))*INDEX(F$4:F1673,MATCH(LARGE(FILTER(I$4:I1673,I$4:I1673&lt;=W498),1),I$4:I1673))))"),"")</f>
        <v/>
      </c>
      <c r="N498" s="60" t="str">
        <f t="shared" si="8"/>
        <v/>
      </c>
      <c r="O498" s="61" t="str">
        <f t="shared" si="9"/>
        <v/>
      </c>
      <c r="P498" s="56" t="str">
        <f t="shared" si="10"/>
        <v/>
      </c>
      <c r="Q498" s="105"/>
      <c r="R498" s="10"/>
      <c r="S498" s="59" t="str">
        <f t="array" ref="S498">IF(COUNTA(Q498:Q1673)=0,"",SUM((COUNTIF(Q$4:Q498,Upgrades!$B$3:$B$13)-COUNTIF(Q$4:Q498,"Sell_"&amp;Upgrades!$B$3:$B$13))*Upgrades!$D$3:$D$13))</f>
        <v/>
      </c>
      <c r="T498" s="66" t="str">
        <f>IFERROR(__xludf.DUMMYFUNCTION("IF(COUNTA(Q498:Q1673)=0,"""",IF(REGEXMATCH(INDEX(FILTER(Q$4:Q498,Q$4:Q498&lt;&gt;""""),ROWS(FILTER(Q$4:Q498,Q$4:Q498&lt;&gt;""""))),""^Sell_""),INDEX(FILTER(T$4:T497,Q$4:Q497&lt;&gt;""""),ROWS(FILTER(Q$4:Q497,Q$4:Q497&lt;&gt;""""))),$AD$5+S498))"),"")</f>
        <v/>
      </c>
      <c r="U498" s="10" t="str">
        <f>IFERROR(__xludf.DUMMYFUNCTION("IF(COUNTA(Q498:Q1673)=0,"""",IF(Q498="""",0,IF(REGEXMATCH(Q498,""^Sell_""),-ROUNDDOWN(ROUNDUP(INDEX(Upgrades!$C$3:$C$13,MATCH(SUBSTITUTE(Q498,""Sell_"",""""),Upgrades!$B$3:$B$13,0))*1.15^(COUNTIF(Q$4:Q497,SUBSTITUTE(Q498,""Sell_"",""""))-COUNTIF(Q$4:Q497,"&amp;"""Sell_""&amp;SUBSTITUTE(Q498,""Sell_"",""""))))/2),ROUNDUP(INDEX(Upgrades!$C$3:$C$13,MATCH(Q498,Upgrades!$B$3:$B$13,0))*1.15^(COUNTIF(Q$4:Q497,Q498)-COUNTIF(Q$4:Q497,""Sell_""&amp;Q498))))))"),"")</f>
        <v/>
      </c>
      <c r="V498" s="10" t="str">
        <f t="shared" si="11"/>
        <v/>
      </c>
      <c r="W498" s="68" t="str">
        <f t="shared" si="12"/>
        <v/>
      </c>
      <c r="X498" s="59" t="str">
        <f t="shared" si="13"/>
        <v/>
      </c>
      <c r="Y498" s="69" t="str">
        <f t="shared" si="14"/>
        <v/>
      </c>
      <c r="Z498" s="11"/>
    </row>
    <row r="499">
      <c r="A499" s="8"/>
      <c r="B499" s="56" t="str">
        <f t="shared" si="2"/>
        <v/>
      </c>
      <c r="C499" s="105"/>
      <c r="D499" s="10"/>
      <c r="E499" s="59" t="str">
        <f t="array" ref="E499">IF(COUNTA(C499:C1673)=0,"",SUM((COUNTIF(C$4:C499,Upgrades!$B$3:$B$13)-COUNTIF(C$4:C499,"Sell_"&amp;Upgrades!$B$3:$B$13))*Upgrades!$D$3:$D$13))</f>
        <v/>
      </c>
      <c r="F499" s="66" t="str">
        <f>IFERROR(__xludf.DUMMYFUNCTION("IF(COUNTA(C499:C1673)=0,"""",IF(REGEXMATCH(INDEX(FILTER(C$4:C499,C$4:C499&lt;&gt;""""),ROWS(FILTER(C$4:C499,C$4:C499&lt;&gt;""""))),""^Sell_""),INDEX(FILTER(F$4:F498,C$4:C498&lt;&gt;""""),ROWS(FILTER(C$4:C498,C$4:C498&lt;&gt;""""))),$AC$5+E499))"),"")</f>
        <v/>
      </c>
      <c r="G499" s="10" t="str">
        <f>IFERROR(__xludf.DUMMYFUNCTION("IF(COUNTA(C499:C1673)=0,"""",IF(C499="""",0,IF(REGEXMATCH(C499,""^Sell_""),-ROUNDDOWN(ROUNDUP(INDEX(Upgrades!$C$3:$C$13,MATCH(SUBSTITUTE(C499,""Sell_"",""""),Upgrades!$B$3:$B$13,0))*1.15^(COUNTIF(C$4:C498,SUBSTITUTE(C499,""Sell_"",""""))-COUNTIF(C$4:C498,"&amp;"""Sell_""&amp;SUBSTITUTE(C499,""Sell_"",""""))))/2),ROUNDUP(INDEX(Upgrades!$C$3:$C$13,MATCH(C499,Upgrades!$B$3:$B$13,0))*1.15^(COUNTIF(C$4:C498,C499)-COUNTIF(C$4:C498,""Sell_""&amp;C499))))))"),"")</f>
        <v/>
      </c>
      <c r="H499" s="10" t="str">
        <f t="shared" si="3"/>
        <v/>
      </c>
      <c r="I499" s="68" t="str">
        <f t="shared" si="4"/>
        <v/>
      </c>
      <c r="J499" s="59" t="str">
        <f t="shared" si="5"/>
        <v/>
      </c>
      <c r="K499" s="69" t="str">
        <f t="shared" si="6"/>
        <v/>
      </c>
      <c r="L499" s="60" t="str">
        <f t="shared" si="7"/>
        <v/>
      </c>
      <c r="M499" s="61" t="str">
        <f>IFERROR(__xludf.DUMMYFUNCTION("IFS(AND(COUNTA(C499:C1673)=0,COUNTA(Q499:Q1673)=0),"""",OR(AND(K499&gt;=1000000000,OR(Y499&gt;=1000000000,COUNTA(Q499:Q1673)=0)),OR(Y499&gt;=1000000000,AND(COUNTA(C499:C1673)=0,P$3=TRUE))),
ROUNDDOWN((AB$1-AC$1)*MAX(INDEX(T$4:T1673,MATCH(LARGE(FILTER(Y$4:Y1673,Y$4"&amp;":Y1673&lt;1000000000),1),Y$4:Y1673)),INDEX(F$4:F1673,MATCH(LARGE(FILTER(K$4:K1673,K$4:K1673&lt;1000000000),1),K$4:K1673)))),AND(K499&lt;1000000000,COUNTA(C499:C1673)&gt;0,P$3=FALSE),
ROUNDDOWN(INDEX(Y$4:Y1673,MATCH(LARGE(FILTER(W$4:W1673,W$4:W1673&lt;=I499),1),W$4:W1673"&amp;"))+(I499-LARGE(FILTER(W$4:W1673,W$4:W1673&lt;=I499),1))*INDEX(T$4:T1673,MATCH(LARGE(FILTER(W$4:W1673,W$4:W1673&lt;=I499),1),W$4:W1673))-K499),1,
ROUNDDOWN(Y499-INDEX(K$4:K1673,MATCH(LARGE(FILTER(I$4:I1673,I$4:I1673&lt;=W499),1),I$4:I1673))-(W499-LARGE(FILTER(I$4:I"&amp;"1673,I$4:I1673&lt;=W499),1))*INDEX(F$4:F1673,MATCH(LARGE(FILTER(I$4:I1673,I$4:I1673&lt;=W499),1),I$4:I1673))))"),"")</f>
        <v/>
      </c>
      <c r="N499" s="60" t="str">
        <f t="shared" si="8"/>
        <v/>
      </c>
      <c r="O499" s="61" t="str">
        <f t="shared" si="9"/>
        <v/>
      </c>
      <c r="P499" s="56" t="str">
        <f t="shared" si="10"/>
        <v/>
      </c>
      <c r="Q499" s="105"/>
      <c r="R499" s="10"/>
      <c r="S499" s="59" t="str">
        <f t="array" ref="S499">IF(COUNTA(Q499:Q1673)=0,"",SUM((COUNTIF(Q$4:Q499,Upgrades!$B$3:$B$13)-COUNTIF(Q$4:Q499,"Sell_"&amp;Upgrades!$B$3:$B$13))*Upgrades!$D$3:$D$13))</f>
        <v/>
      </c>
      <c r="T499" s="66" t="str">
        <f>IFERROR(__xludf.DUMMYFUNCTION("IF(COUNTA(Q499:Q1673)=0,"""",IF(REGEXMATCH(INDEX(FILTER(Q$4:Q499,Q$4:Q499&lt;&gt;""""),ROWS(FILTER(Q$4:Q499,Q$4:Q499&lt;&gt;""""))),""^Sell_""),INDEX(FILTER(T$4:T498,Q$4:Q498&lt;&gt;""""),ROWS(FILTER(Q$4:Q498,Q$4:Q498&lt;&gt;""""))),$AD$5+S499))"),"")</f>
        <v/>
      </c>
      <c r="U499" s="10" t="str">
        <f>IFERROR(__xludf.DUMMYFUNCTION("IF(COUNTA(Q499:Q1673)=0,"""",IF(Q499="""",0,IF(REGEXMATCH(Q499,""^Sell_""),-ROUNDDOWN(ROUNDUP(INDEX(Upgrades!$C$3:$C$13,MATCH(SUBSTITUTE(Q499,""Sell_"",""""),Upgrades!$B$3:$B$13,0))*1.15^(COUNTIF(Q$4:Q498,SUBSTITUTE(Q499,""Sell_"",""""))-COUNTIF(Q$4:Q498,"&amp;"""Sell_""&amp;SUBSTITUTE(Q499,""Sell_"",""""))))/2),ROUNDUP(INDEX(Upgrades!$C$3:$C$13,MATCH(Q499,Upgrades!$B$3:$B$13,0))*1.15^(COUNTIF(Q$4:Q498,Q499)-COUNTIF(Q$4:Q498,""Sell_""&amp;Q499))))))"),"")</f>
        <v/>
      </c>
      <c r="V499" s="10" t="str">
        <f t="shared" si="11"/>
        <v/>
      </c>
      <c r="W499" s="68" t="str">
        <f t="shared" si="12"/>
        <v/>
      </c>
      <c r="X499" s="59" t="str">
        <f t="shared" si="13"/>
        <v/>
      </c>
      <c r="Y499" s="69" t="str">
        <f t="shared" si="14"/>
        <v/>
      </c>
      <c r="Z499" s="11"/>
    </row>
    <row r="500">
      <c r="A500" s="8"/>
      <c r="B500" s="56" t="str">
        <f t="shared" si="2"/>
        <v/>
      </c>
      <c r="C500" s="105"/>
      <c r="D500" s="10"/>
      <c r="E500" s="59" t="str">
        <f t="array" ref="E500">IF(COUNTA(C500:C1673)=0,"",SUM((COUNTIF(C$4:C500,Upgrades!$B$3:$B$13)-COUNTIF(C$4:C500,"Sell_"&amp;Upgrades!$B$3:$B$13))*Upgrades!$D$3:$D$13))</f>
        <v/>
      </c>
      <c r="F500" s="66" t="str">
        <f>IFERROR(__xludf.DUMMYFUNCTION("IF(COUNTA(C500:C1673)=0,"""",IF(REGEXMATCH(INDEX(FILTER(C$4:C500,C$4:C500&lt;&gt;""""),ROWS(FILTER(C$4:C500,C$4:C500&lt;&gt;""""))),""^Sell_""),INDEX(FILTER(F$4:F499,C$4:C499&lt;&gt;""""),ROWS(FILTER(C$4:C499,C$4:C499&lt;&gt;""""))),$AC$5+E500))"),"")</f>
        <v/>
      </c>
      <c r="G500" s="10" t="str">
        <f>IFERROR(__xludf.DUMMYFUNCTION("IF(COUNTA(C500:C1673)=0,"""",IF(C500="""",0,IF(REGEXMATCH(C500,""^Sell_""),-ROUNDDOWN(ROUNDUP(INDEX(Upgrades!$C$3:$C$13,MATCH(SUBSTITUTE(C500,""Sell_"",""""),Upgrades!$B$3:$B$13,0))*1.15^(COUNTIF(C$4:C499,SUBSTITUTE(C500,""Sell_"",""""))-COUNTIF(C$4:C499,"&amp;"""Sell_""&amp;SUBSTITUTE(C500,""Sell_"",""""))))/2),ROUNDUP(INDEX(Upgrades!$C$3:$C$13,MATCH(C500,Upgrades!$B$3:$B$13,0))*1.15^(COUNTIF(C$4:C499,C500)-COUNTIF(C$4:C499,""Sell_""&amp;C500))))))"),"")</f>
        <v/>
      </c>
      <c r="H500" s="10" t="str">
        <f t="shared" si="3"/>
        <v/>
      </c>
      <c r="I500" s="68" t="str">
        <f t="shared" si="4"/>
        <v/>
      </c>
      <c r="J500" s="59" t="str">
        <f t="shared" si="5"/>
        <v/>
      </c>
      <c r="K500" s="69" t="str">
        <f t="shared" si="6"/>
        <v/>
      </c>
      <c r="L500" s="60" t="str">
        <f t="shared" si="7"/>
        <v/>
      </c>
      <c r="M500" s="61" t="str">
        <f>IFERROR(__xludf.DUMMYFUNCTION("IFS(AND(COUNTA(C500:C1673)=0,COUNTA(Q500:Q1673)=0),"""",OR(AND(K500&gt;=1000000000,OR(Y500&gt;=1000000000,COUNTA(Q500:Q1673)=0)),OR(Y500&gt;=1000000000,AND(COUNTA(C500:C1673)=0,P$3=TRUE))),
ROUNDDOWN((AB$1-AC$1)*MAX(INDEX(T$4:T1673,MATCH(LARGE(FILTER(Y$4:Y1673,Y$4"&amp;":Y1673&lt;1000000000),1),Y$4:Y1673)),INDEX(F$4:F1673,MATCH(LARGE(FILTER(K$4:K1673,K$4:K1673&lt;1000000000),1),K$4:K1673)))),AND(K500&lt;1000000000,COUNTA(C500:C1673)&gt;0,P$3=FALSE),
ROUNDDOWN(INDEX(Y$4:Y1673,MATCH(LARGE(FILTER(W$4:W1673,W$4:W1673&lt;=I500),1),W$4:W1673"&amp;"))+(I500-LARGE(FILTER(W$4:W1673,W$4:W1673&lt;=I500),1))*INDEX(T$4:T1673,MATCH(LARGE(FILTER(W$4:W1673,W$4:W1673&lt;=I500),1),W$4:W1673))-K500),1,
ROUNDDOWN(Y500-INDEX(K$4:K1673,MATCH(LARGE(FILTER(I$4:I1673,I$4:I1673&lt;=W500),1),I$4:I1673))-(W500-LARGE(FILTER(I$4:I"&amp;"1673,I$4:I1673&lt;=W500),1))*INDEX(F$4:F1673,MATCH(LARGE(FILTER(I$4:I1673,I$4:I1673&lt;=W500),1),I$4:I1673))))"),"")</f>
        <v/>
      </c>
      <c r="N500" s="60" t="str">
        <f t="shared" si="8"/>
        <v/>
      </c>
      <c r="O500" s="61" t="str">
        <f t="shared" si="9"/>
        <v/>
      </c>
      <c r="P500" s="56" t="str">
        <f t="shared" si="10"/>
        <v/>
      </c>
      <c r="Q500" s="105"/>
      <c r="R500" s="10"/>
      <c r="S500" s="59" t="str">
        <f t="array" ref="S500">IF(COUNTA(Q500:Q1673)=0,"",SUM((COUNTIF(Q$4:Q500,Upgrades!$B$3:$B$13)-COUNTIF(Q$4:Q500,"Sell_"&amp;Upgrades!$B$3:$B$13))*Upgrades!$D$3:$D$13))</f>
        <v/>
      </c>
      <c r="T500" s="66" t="str">
        <f>IFERROR(__xludf.DUMMYFUNCTION("IF(COUNTA(Q500:Q1673)=0,"""",IF(REGEXMATCH(INDEX(FILTER(Q$4:Q500,Q$4:Q500&lt;&gt;""""),ROWS(FILTER(Q$4:Q500,Q$4:Q500&lt;&gt;""""))),""^Sell_""),INDEX(FILTER(T$4:T499,Q$4:Q499&lt;&gt;""""),ROWS(FILTER(Q$4:Q499,Q$4:Q499&lt;&gt;""""))),$AD$5+S500))"),"")</f>
        <v/>
      </c>
      <c r="U500" s="10" t="str">
        <f>IFERROR(__xludf.DUMMYFUNCTION("IF(COUNTA(Q500:Q1673)=0,"""",IF(Q500="""",0,IF(REGEXMATCH(Q500,""^Sell_""),-ROUNDDOWN(ROUNDUP(INDEX(Upgrades!$C$3:$C$13,MATCH(SUBSTITUTE(Q500,""Sell_"",""""),Upgrades!$B$3:$B$13,0))*1.15^(COUNTIF(Q$4:Q499,SUBSTITUTE(Q500,""Sell_"",""""))-COUNTIF(Q$4:Q499,"&amp;"""Sell_""&amp;SUBSTITUTE(Q500,""Sell_"",""""))))/2),ROUNDUP(INDEX(Upgrades!$C$3:$C$13,MATCH(Q500,Upgrades!$B$3:$B$13,0))*1.15^(COUNTIF(Q$4:Q499,Q500)-COUNTIF(Q$4:Q499,""Sell_""&amp;Q500))))))"),"")</f>
        <v/>
      </c>
      <c r="V500" s="10" t="str">
        <f t="shared" si="11"/>
        <v/>
      </c>
      <c r="W500" s="68" t="str">
        <f t="shared" si="12"/>
        <v/>
      </c>
      <c r="X500" s="59" t="str">
        <f t="shared" si="13"/>
        <v/>
      </c>
      <c r="Y500" s="69" t="str">
        <f t="shared" si="14"/>
        <v/>
      </c>
      <c r="Z500" s="11"/>
    </row>
    <row r="501">
      <c r="A501" s="8"/>
      <c r="B501" s="56" t="str">
        <f t="shared" si="2"/>
        <v/>
      </c>
      <c r="C501" s="105"/>
      <c r="D501" s="10"/>
      <c r="E501" s="59" t="str">
        <f t="array" ref="E501">IF(COUNTA(C501:C1673)=0,"",SUM((COUNTIF(C$4:C501,Upgrades!$B$3:$B$13)-COUNTIF(C$4:C501,"Sell_"&amp;Upgrades!$B$3:$B$13))*Upgrades!$D$3:$D$13))</f>
        <v/>
      </c>
      <c r="F501" s="66" t="str">
        <f>IFERROR(__xludf.DUMMYFUNCTION("IF(COUNTA(C501:C1673)=0,"""",IF(REGEXMATCH(INDEX(FILTER(C$4:C501,C$4:C501&lt;&gt;""""),ROWS(FILTER(C$4:C501,C$4:C501&lt;&gt;""""))),""^Sell_""),INDEX(FILTER(F$4:F500,C$4:C500&lt;&gt;""""),ROWS(FILTER(C$4:C500,C$4:C500&lt;&gt;""""))),$AC$5+E501))"),"")</f>
        <v/>
      </c>
      <c r="G501" s="10" t="str">
        <f>IFERROR(__xludf.DUMMYFUNCTION("IF(COUNTA(C501:C1673)=0,"""",IF(C501="""",0,IF(REGEXMATCH(C501,""^Sell_""),-ROUNDDOWN(ROUNDUP(INDEX(Upgrades!$C$3:$C$13,MATCH(SUBSTITUTE(C501,""Sell_"",""""),Upgrades!$B$3:$B$13,0))*1.15^(COUNTIF(C$4:C500,SUBSTITUTE(C501,""Sell_"",""""))-COUNTIF(C$4:C500,"&amp;"""Sell_""&amp;SUBSTITUTE(C501,""Sell_"",""""))))/2),ROUNDUP(INDEX(Upgrades!$C$3:$C$13,MATCH(C501,Upgrades!$B$3:$B$13,0))*1.15^(COUNTIF(C$4:C500,C501)-COUNTIF(C$4:C500,""Sell_""&amp;C501))))))"),"")</f>
        <v/>
      </c>
      <c r="H501" s="10" t="str">
        <f t="shared" si="3"/>
        <v/>
      </c>
      <c r="I501" s="68" t="str">
        <f t="shared" si="4"/>
        <v/>
      </c>
      <c r="J501" s="59" t="str">
        <f t="shared" si="5"/>
        <v/>
      </c>
      <c r="K501" s="69" t="str">
        <f t="shared" si="6"/>
        <v/>
      </c>
      <c r="L501" s="60" t="str">
        <f t="shared" si="7"/>
        <v/>
      </c>
      <c r="M501" s="61" t="str">
        <f>IFERROR(__xludf.DUMMYFUNCTION("IFS(AND(COUNTA(C501:C1673)=0,COUNTA(Q501:Q1673)=0),"""",OR(AND(K501&gt;=1000000000,OR(Y501&gt;=1000000000,COUNTA(Q501:Q1673)=0)),OR(Y501&gt;=1000000000,AND(COUNTA(C501:C1673)=0,P$3=TRUE))),
ROUNDDOWN((AB$1-AC$1)*MAX(INDEX(T$4:T1673,MATCH(LARGE(FILTER(Y$4:Y1673,Y$4"&amp;":Y1673&lt;1000000000),1),Y$4:Y1673)),INDEX(F$4:F1673,MATCH(LARGE(FILTER(K$4:K1673,K$4:K1673&lt;1000000000),1),K$4:K1673)))),AND(K501&lt;1000000000,COUNTA(C501:C1673)&gt;0,P$3=FALSE),
ROUNDDOWN(INDEX(Y$4:Y1673,MATCH(LARGE(FILTER(W$4:W1673,W$4:W1673&lt;=I501),1),W$4:W1673"&amp;"))+(I501-LARGE(FILTER(W$4:W1673,W$4:W1673&lt;=I501),1))*INDEX(T$4:T1673,MATCH(LARGE(FILTER(W$4:W1673,W$4:W1673&lt;=I501),1),W$4:W1673))-K501),1,
ROUNDDOWN(Y501-INDEX(K$4:K1673,MATCH(LARGE(FILTER(I$4:I1673,I$4:I1673&lt;=W501),1),I$4:I1673))-(W501-LARGE(FILTER(I$4:I"&amp;"1673,I$4:I1673&lt;=W501),1))*INDEX(F$4:F1673,MATCH(LARGE(FILTER(I$4:I1673,I$4:I1673&lt;=W501),1),I$4:I1673))))"),"")</f>
        <v/>
      </c>
      <c r="N501" s="60" t="str">
        <f t="shared" si="8"/>
        <v/>
      </c>
      <c r="O501" s="61" t="str">
        <f t="shared" si="9"/>
        <v/>
      </c>
      <c r="P501" s="56" t="str">
        <f t="shared" si="10"/>
        <v/>
      </c>
      <c r="Q501" s="105"/>
      <c r="R501" s="10"/>
      <c r="S501" s="59" t="str">
        <f t="array" ref="S501">IF(COUNTA(Q501:Q1673)=0,"",SUM((COUNTIF(Q$4:Q501,Upgrades!$B$3:$B$13)-COUNTIF(Q$4:Q501,"Sell_"&amp;Upgrades!$B$3:$B$13))*Upgrades!$D$3:$D$13))</f>
        <v/>
      </c>
      <c r="T501" s="66" t="str">
        <f>IFERROR(__xludf.DUMMYFUNCTION("IF(COUNTA(Q501:Q1673)=0,"""",IF(REGEXMATCH(INDEX(FILTER(Q$4:Q501,Q$4:Q501&lt;&gt;""""),ROWS(FILTER(Q$4:Q501,Q$4:Q501&lt;&gt;""""))),""^Sell_""),INDEX(FILTER(T$4:T500,Q$4:Q500&lt;&gt;""""),ROWS(FILTER(Q$4:Q500,Q$4:Q500&lt;&gt;""""))),$AD$5+S501))"),"")</f>
        <v/>
      </c>
      <c r="U501" s="10" t="str">
        <f>IFERROR(__xludf.DUMMYFUNCTION("IF(COUNTA(Q501:Q1673)=0,"""",IF(Q501="""",0,IF(REGEXMATCH(Q501,""^Sell_""),-ROUNDDOWN(ROUNDUP(INDEX(Upgrades!$C$3:$C$13,MATCH(SUBSTITUTE(Q501,""Sell_"",""""),Upgrades!$B$3:$B$13,0))*1.15^(COUNTIF(Q$4:Q500,SUBSTITUTE(Q501,""Sell_"",""""))-COUNTIF(Q$4:Q500,"&amp;"""Sell_""&amp;SUBSTITUTE(Q501,""Sell_"",""""))))/2),ROUNDUP(INDEX(Upgrades!$C$3:$C$13,MATCH(Q501,Upgrades!$B$3:$B$13,0))*1.15^(COUNTIF(Q$4:Q500,Q501)-COUNTIF(Q$4:Q500,""Sell_""&amp;Q501))))))"),"")</f>
        <v/>
      </c>
      <c r="V501" s="10" t="str">
        <f t="shared" si="11"/>
        <v/>
      </c>
      <c r="W501" s="68" t="str">
        <f t="shared" si="12"/>
        <v/>
      </c>
      <c r="X501" s="59" t="str">
        <f t="shared" si="13"/>
        <v/>
      </c>
      <c r="Y501" s="69" t="str">
        <f t="shared" si="14"/>
        <v/>
      </c>
      <c r="Z501" s="11"/>
    </row>
    <row r="502">
      <c r="A502" s="8"/>
      <c r="B502" s="56" t="str">
        <f t="shared" si="2"/>
        <v/>
      </c>
      <c r="C502" s="105"/>
      <c r="D502" s="10"/>
      <c r="E502" s="59" t="str">
        <f t="array" ref="E502">IF(COUNTA(C502:C1673)=0,"",SUM((COUNTIF(C$4:C502,Upgrades!$B$3:$B$13)-COUNTIF(C$4:C502,"Sell_"&amp;Upgrades!$B$3:$B$13))*Upgrades!$D$3:$D$13))</f>
        <v/>
      </c>
      <c r="F502" s="66" t="str">
        <f>IFERROR(__xludf.DUMMYFUNCTION("IF(COUNTA(C502:C1673)=0,"""",IF(REGEXMATCH(INDEX(FILTER(C$4:C502,C$4:C502&lt;&gt;""""),ROWS(FILTER(C$4:C502,C$4:C502&lt;&gt;""""))),""^Sell_""),INDEX(FILTER(F$4:F501,C$4:C501&lt;&gt;""""),ROWS(FILTER(C$4:C501,C$4:C501&lt;&gt;""""))),$AC$5+E502))"),"")</f>
        <v/>
      </c>
      <c r="G502" s="10" t="str">
        <f>IFERROR(__xludf.DUMMYFUNCTION("IF(COUNTA(C502:C1673)=0,"""",IF(C502="""",0,IF(REGEXMATCH(C502,""^Sell_""),-ROUNDDOWN(ROUNDUP(INDEX(Upgrades!$C$3:$C$13,MATCH(SUBSTITUTE(C502,""Sell_"",""""),Upgrades!$B$3:$B$13,0))*1.15^(COUNTIF(C$4:C501,SUBSTITUTE(C502,""Sell_"",""""))-COUNTIF(C$4:C501,"&amp;"""Sell_""&amp;SUBSTITUTE(C502,""Sell_"",""""))))/2),ROUNDUP(INDEX(Upgrades!$C$3:$C$13,MATCH(C502,Upgrades!$B$3:$B$13,0))*1.15^(COUNTIF(C$4:C501,C502)-COUNTIF(C$4:C501,""Sell_""&amp;C502))))))"),"")</f>
        <v/>
      </c>
      <c r="H502" s="10" t="str">
        <f t="shared" si="3"/>
        <v/>
      </c>
      <c r="I502" s="68" t="str">
        <f t="shared" si="4"/>
        <v/>
      </c>
      <c r="J502" s="59" t="str">
        <f t="shared" si="5"/>
        <v/>
      </c>
      <c r="K502" s="69" t="str">
        <f t="shared" si="6"/>
        <v/>
      </c>
      <c r="L502" s="60" t="str">
        <f t="shared" si="7"/>
        <v/>
      </c>
      <c r="M502" s="61" t="str">
        <f>IFERROR(__xludf.DUMMYFUNCTION("IFS(AND(COUNTA(C502:C1673)=0,COUNTA(Q502:Q1673)=0),"""",OR(AND(K502&gt;=1000000000,OR(Y502&gt;=1000000000,COUNTA(Q502:Q1673)=0)),OR(Y502&gt;=1000000000,AND(COUNTA(C502:C1673)=0,P$3=TRUE))),
ROUNDDOWN((AB$1-AC$1)*MAX(INDEX(T$4:T1673,MATCH(LARGE(FILTER(Y$4:Y1673,Y$4"&amp;":Y1673&lt;1000000000),1),Y$4:Y1673)),INDEX(F$4:F1673,MATCH(LARGE(FILTER(K$4:K1673,K$4:K1673&lt;1000000000),1),K$4:K1673)))),AND(K502&lt;1000000000,COUNTA(C502:C1673)&gt;0,P$3=FALSE),
ROUNDDOWN(INDEX(Y$4:Y1673,MATCH(LARGE(FILTER(W$4:W1673,W$4:W1673&lt;=I502),1),W$4:W1673"&amp;"))+(I502-LARGE(FILTER(W$4:W1673,W$4:W1673&lt;=I502),1))*INDEX(T$4:T1673,MATCH(LARGE(FILTER(W$4:W1673,W$4:W1673&lt;=I502),1),W$4:W1673))-K502),1,
ROUNDDOWN(Y502-INDEX(K$4:K1673,MATCH(LARGE(FILTER(I$4:I1673,I$4:I1673&lt;=W502),1),I$4:I1673))-(W502-LARGE(FILTER(I$4:I"&amp;"1673,I$4:I1673&lt;=W502),1))*INDEX(F$4:F1673,MATCH(LARGE(FILTER(I$4:I1673,I$4:I1673&lt;=W502),1),I$4:I1673))))"),"")</f>
        <v/>
      </c>
      <c r="N502" s="60" t="str">
        <f t="shared" si="8"/>
        <v/>
      </c>
      <c r="O502" s="61" t="str">
        <f t="shared" si="9"/>
        <v/>
      </c>
      <c r="P502" s="56" t="str">
        <f t="shared" si="10"/>
        <v/>
      </c>
      <c r="Q502" s="105"/>
      <c r="R502" s="10"/>
      <c r="S502" s="59" t="str">
        <f t="array" ref="S502">IF(COUNTA(Q502:Q1673)=0,"",SUM((COUNTIF(Q$4:Q502,Upgrades!$B$3:$B$13)-COUNTIF(Q$4:Q502,"Sell_"&amp;Upgrades!$B$3:$B$13))*Upgrades!$D$3:$D$13))</f>
        <v/>
      </c>
      <c r="T502" s="66" t="str">
        <f>IFERROR(__xludf.DUMMYFUNCTION("IF(COUNTA(Q502:Q1673)=0,"""",IF(REGEXMATCH(INDEX(FILTER(Q$4:Q502,Q$4:Q502&lt;&gt;""""),ROWS(FILTER(Q$4:Q502,Q$4:Q502&lt;&gt;""""))),""^Sell_""),INDEX(FILTER(T$4:T501,Q$4:Q501&lt;&gt;""""),ROWS(FILTER(Q$4:Q501,Q$4:Q501&lt;&gt;""""))),$AD$5+S502))"),"")</f>
        <v/>
      </c>
      <c r="U502" s="10" t="str">
        <f>IFERROR(__xludf.DUMMYFUNCTION("IF(COUNTA(Q502:Q1673)=0,"""",IF(Q502="""",0,IF(REGEXMATCH(Q502,""^Sell_""),-ROUNDDOWN(ROUNDUP(INDEX(Upgrades!$C$3:$C$13,MATCH(SUBSTITUTE(Q502,""Sell_"",""""),Upgrades!$B$3:$B$13,0))*1.15^(COUNTIF(Q$4:Q501,SUBSTITUTE(Q502,""Sell_"",""""))-COUNTIF(Q$4:Q501,"&amp;"""Sell_""&amp;SUBSTITUTE(Q502,""Sell_"",""""))))/2),ROUNDUP(INDEX(Upgrades!$C$3:$C$13,MATCH(Q502,Upgrades!$B$3:$B$13,0))*1.15^(COUNTIF(Q$4:Q501,Q502)-COUNTIF(Q$4:Q501,""Sell_""&amp;Q502))))))"),"")</f>
        <v/>
      </c>
      <c r="V502" s="10" t="str">
        <f t="shared" si="11"/>
        <v/>
      </c>
      <c r="W502" s="68" t="str">
        <f t="shared" si="12"/>
        <v/>
      </c>
      <c r="X502" s="59" t="str">
        <f t="shared" si="13"/>
        <v/>
      </c>
      <c r="Y502" s="69" t="str">
        <f t="shared" si="14"/>
        <v/>
      </c>
      <c r="Z502" s="11"/>
    </row>
    <row r="503">
      <c r="A503" s="8"/>
      <c r="B503" s="56" t="str">
        <f t="shared" si="2"/>
        <v/>
      </c>
      <c r="C503" s="105"/>
      <c r="D503" s="10"/>
      <c r="E503" s="59" t="str">
        <f t="array" ref="E503">IF(COUNTA(C503:C1673)=0,"",SUM((COUNTIF(C$4:C503,Upgrades!$B$3:$B$13)-COUNTIF(C$4:C503,"Sell_"&amp;Upgrades!$B$3:$B$13))*Upgrades!$D$3:$D$13))</f>
        <v/>
      </c>
      <c r="F503" s="66" t="str">
        <f>IFERROR(__xludf.DUMMYFUNCTION("IF(COUNTA(C503:C1673)=0,"""",IF(REGEXMATCH(INDEX(FILTER(C$4:C503,C$4:C503&lt;&gt;""""),ROWS(FILTER(C$4:C503,C$4:C503&lt;&gt;""""))),""^Sell_""),INDEX(FILTER(F$4:F502,C$4:C502&lt;&gt;""""),ROWS(FILTER(C$4:C502,C$4:C502&lt;&gt;""""))),$AC$5+E503))"),"")</f>
        <v/>
      </c>
      <c r="G503" s="10" t="str">
        <f>IFERROR(__xludf.DUMMYFUNCTION("IF(COUNTA(C503:C1673)=0,"""",IF(C503="""",0,IF(REGEXMATCH(C503,""^Sell_""),-ROUNDDOWN(ROUNDUP(INDEX(Upgrades!$C$3:$C$13,MATCH(SUBSTITUTE(C503,""Sell_"",""""),Upgrades!$B$3:$B$13,0))*1.15^(COUNTIF(C$4:C502,SUBSTITUTE(C503,""Sell_"",""""))-COUNTIF(C$4:C502,"&amp;"""Sell_""&amp;SUBSTITUTE(C503,""Sell_"",""""))))/2),ROUNDUP(INDEX(Upgrades!$C$3:$C$13,MATCH(C503,Upgrades!$B$3:$B$13,0))*1.15^(COUNTIF(C$4:C502,C503)-COUNTIF(C$4:C502,""Sell_""&amp;C503))))))"),"")</f>
        <v/>
      </c>
      <c r="H503" s="10" t="str">
        <f t="shared" si="3"/>
        <v/>
      </c>
      <c r="I503" s="68" t="str">
        <f t="shared" si="4"/>
        <v/>
      </c>
      <c r="J503" s="59" t="str">
        <f t="shared" si="5"/>
        <v/>
      </c>
      <c r="K503" s="69" t="str">
        <f t="shared" si="6"/>
        <v/>
      </c>
      <c r="L503" s="60" t="str">
        <f t="shared" si="7"/>
        <v/>
      </c>
      <c r="M503" s="61" t="str">
        <f>IFERROR(__xludf.DUMMYFUNCTION("IFS(AND(COUNTA(C503:C1673)=0,COUNTA(Q503:Q1673)=0),"""",OR(AND(K503&gt;=1000000000,OR(Y503&gt;=1000000000,COUNTA(Q503:Q1673)=0)),OR(Y503&gt;=1000000000,AND(COUNTA(C503:C1673)=0,P$3=TRUE))),
ROUNDDOWN((AB$1-AC$1)*MAX(INDEX(T$4:T1673,MATCH(LARGE(FILTER(Y$4:Y1673,Y$4"&amp;":Y1673&lt;1000000000),1),Y$4:Y1673)),INDEX(F$4:F1673,MATCH(LARGE(FILTER(K$4:K1673,K$4:K1673&lt;1000000000),1),K$4:K1673)))),AND(K503&lt;1000000000,COUNTA(C503:C1673)&gt;0,P$3=FALSE),
ROUNDDOWN(INDEX(Y$4:Y1673,MATCH(LARGE(FILTER(W$4:W1673,W$4:W1673&lt;=I503),1),W$4:W1673"&amp;"))+(I503-LARGE(FILTER(W$4:W1673,W$4:W1673&lt;=I503),1))*INDEX(T$4:T1673,MATCH(LARGE(FILTER(W$4:W1673,W$4:W1673&lt;=I503),1),W$4:W1673))-K503),1,
ROUNDDOWN(Y503-INDEX(K$4:K1673,MATCH(LARGE(FILTER(I$4:I1673,I$4:I1673&lt;=W503),1),I$4:I1673))-(W503-LARGE(FILTER(I$4:I"&amp;"1673,I$4:I1673&lt;=W503),1))*INDEX(F$4:F1673,MATCH(LARGE(FILTER(I$4:I1673,I$4:I1673&lt;=W503),1),I$4:I1673))))"),"")</f>
        <v/>
      </c>
      <c r="N503" s="60" t="str">
        <f t="shared" si="8"/>
        <v/>
      </c>
      <c r="O503" s="61" t="str">
        <f t="shared" si="9"/>
        <v/>
      </c>
      <c r="P503" s="56" t="str">
        <f t="shared" si="10"/>
        <v/>
      </c>
      <c r="Q503" s="105"/>
      <c r="R503" s="10"/>
      <c r="S503" s="59" t="str">
        <f t="array" ref="S503">IF(COUNTA(Q503:Q1673)=0,"",SUM((COUNTIF(Q$4:Q503,Upgrades!$B$3:$B$13)-COUNTIF(Q$4:Q503,"Sell_"&amp;Upgrades!$B$3:$B$13))*Upgrades!$D$3:$D$13))</f>
        <v/>
      </c>
      <c r="T503" s="66" t="str">
        <f>IFERROR(__xludf.DUMMYFUNCTION("IF(COUNTA(Q503:Q1673)=0,"""",IF(REGEXMATCH(INDEX(FILTER(Q$4:Q503,Q$4:Q503&lt;&gt;""""),ROWS(FILTER(Q$4:Q503,Q$4:Q503&lt;&gt;""""))),""^Sell_""),INDEX(FILTER(T$4:T502,Q$4:Q502&lt;&gt;""""),ROWS(FILTER(Q$4:Q502,Q$4:Q502&lt;&gt;""""))),$AD$5+S503))"),"")</f>
        <v/>
      </c>
      <c r="U503" s="10" t="str">
        <f>IFERROR(__xludf.DUMMYFUNCTION("IF(COUNTA(Q503:Q1673)=0,"""",IF(Q503="""",0,IF(REGEXMATCH(Q503,""^Sell_""),-ROUNDDOWN(ROUNDUP(INDEX(Upgrades!$C$3:$C$13,MATCH(SUBSTITUTE(Q503,""Sell_"",""""),Upgrades!$B$3:$B$13,0))*1.15^(COUNTIF(Q$4:Q502,SUBSTITUTE(Q503,""Sell_"",""""))-COUNTIF(Q$4:Q502,"&amp;"""Sell_""&amp;SUBSTITUTE(Q503,""Sell_"",""""))))/2),ROUNDUP(INDEX(Upgrades!$C$3:$C$13,MATCH(Q503,Upgrades!$B$3:$B$13,0))*1.15^(COUNTIF(Q$4:Q502,Q503)-COUNTIF(Q$4:Q502,""Sell_""&amp;Q503))))))"),"")</f>
        <v/>
      </c>
      <c r="V503" s="10" t="str">
        <f t="shared" si="11"/>
        <v/>
      </c>
      <c r="W503" s="68" t="str">
        <f t="shared" si="12"/>
        <v/>
      </c>
      <c r="X503" s="59" t="str">
        <f t="shared" si="13"/>
        <v/>
      </c>
      <c r="Y503" s="69" t="str">
        <f t="shared" si="14"/>
        <v/>
      </c>
      <c r="Z503" s="11"/>
    </row>
    <row r="504">
      <c r="A504" s="8"/>
      <c r="B504" s="56" t="str">
        <f t="shared" si="2"/>
        <v/>
      </c>
      <c r="C504" s="105"/>
      <c r="D504" s="10"/>
      <c r="E504" s="59" t="str">
        <f t="array" ref="E504">IF(COUNTA(C504:C1673)=0,"",SUM((COUNTIF(C$4:C504,Upgrades!$B$3:$B$13)-COUNTIF(C$4:C504,"Sell_"&amp;Upgrades!$B$3:$B$13))*Upgrades!$D$3:$D$13))</f>
        <v/>
      </c>
      <c r="F504" s="66" t="str">
        <f>IFERROR(__xludf.DUMMYFUNCTION("IF(COUNTA(C504:C1673)=0,"""",IF(REGEXMATCH(INDEX(FILTER(C$4:C504,C$4:C504&lt;&gt;""""),ROWS(FILTER(C$4:C504,C$4:C504&lt;&gt;""""))),""^Sell_""),INDEX(FILTER(F$4:F503,C$4:C503&lt;&gt;""""),ROWS(FILTER(C$4:C503,C$4:C503&lt;&gt;""""))),$AC$5+E504))"),"")</f>
        <v/>
      </c>
      <c r="G504" s="10" t="str">
        <f>IFERROR(__xludf.DUMMYFUNCTION("IF(COUNTA(C504:C1673)=0,"""",IF(C504="""",0,IF(REGEXMATCH(C504,""^Sell_""),-ROUNDDOWN(ROUNDUP(INDEX(Upgrades!$C$3:$C$13,MATCH(SUBSTITUTE(C504,""Sell_"",""""),Upgrades!$B$3:$B$13,0))*1.15^(COUNTIF(C$4:C503,SUBSTITUTE(C504,""Sell_"",""""))-COUNTIF(C$4:C503,"&amp;"""Sell_""&amp;SUBSTITUTE(C504,""Sell_"",""""))))/2),ROUNDUP(INDEX(Upgrades!$C$3:$C$13,MATCH(C504,Upgrades!$B$3:$B$13,0))*1.15^(COUNTIF(C$4:C503,C504)-COUNTIF(C$4:C503,""Sell_""&amp;C504))))))"),"")</f>
        <v/>
      </c>
      <c r="H504" s="10" t="str">
        <f t="shared" si="3"/>
        <v/>
      </c>
      <c r="I504" s="68" t="str">
        <f t="shared" si="4"/>
        <v/>
      </c>
      <c r="J504" s="59" t="str">
        <f t="shared" si="5"/>
        <v/>
      </c>
      <c r="K504" s="69" t="str">
        <f t="shared" si="6"/>
        <v/>
      </c>
      <c r="L504" s="60" t="str">
        <f t="shared" si="7"/>
        <v/>
      </c>
      <c r="M504" s="61" t="str">
        <f>IFERROR(__xludf.DUMMYFUNCTION("IFS(AND(COUNTA(C504:C1673)=0,COUNTA(Q504:Q1673)=0),"""",OR(AND(K504&gt;=1000000000,OR(Y504&gt;=1000000000,COUNTA(Q504:Q1673)=0)),OR(Y504&gt;=1000000000,AND(COUNTA(C504:C1673)=0,P$3=TRUE))),
ROUNDDOWN((AB$1-AC$1)*MAX(INDEX(T$4:T1673,MATCH(LARGE(FILTER(Y$4:Y1673,Y$4"&amp;":Y1673&lt;1000000000),1),Y$4:Y1673)),INDEX(F$4:F1673,MATCH(LARGE(FILTER(K$4:K1673,K$4:K1673&lt;1000000000),1),K$4:K1673)))),AND(K504&lt;1000000000,COUNTA(C504:C1673)&gt;0,P$3=FALSE),
ROUNDDOWN(INDEX(Y$4:Y1673,MATCH(LARGE(FILTER(W$4:W1673,W$4:W1673&lt;=I504),1),W$4:W1673"&amp;"))+(I504-LARGE(FILTER(W$4:W1673,W$4:W1673&lt;=I504),1))*INDEX(T$4:T1673,MATCH(LARGE(FILTER(W$4:W1673,W$4:W1673&lt;=I504),1),W$4:W1673))-K504),1,
ROUNDDOWN(Y504-INDEX(K$4:K1673,MATCH(LARGE(FILTER(I$4:I1673,I$4:I1673&lt;=W504),1),I$4:I1673))-(W504-LARGE(FILTER(I$4:I"&amp;"1673,I$4:I1673&lt;=W504),1))*INDEX(F$4:F1673,MATCH(LARGE(FILTER(I$4:I1673,I$4:I1673&lt;=W504),1),I$4:I1673))))"),"")</f>
        <v/>
      </c>
      <c r="N504" s="60" t="str">
        <f t="shared" si="8"/>
        <v/>
      </c>
      <c r="O504" s="61" t="str">
        <f t="shared" si="9"/>
        <v/>
      </c>
      <c r="P504" s="56" t="str">
        <f t="shared" si="10"/>
        <v/>
      </c>
      <c r="Q504" s="105"/>
      <c r="R504" s="10"/>
      <c r="S504" s="59" t="str">
        <f t="array" ref="S504">IF(COUNTA(Q504:Q1673)=0,"",SUM((COUNTIF(Q$4:Q504,Upgrades!$B$3:$B$13)-COUNTIF(Q$4:Q504,"Sell_"&amp;Upgrades!$B$3:$B$13))*Upgrades!$D$3:$D$13))</f>
        <v/>
      </c>
      <c r="T504" s="66" t="str">
        <f>IFERROR(__xludf.DUMMYFUNCTION("IF(COUNTA(Q504:Q1673)=0,"""",IF(REGEXMATCH(INDEX(FILTER(Q$4:Q504,Q$4:Q504&lt;&gt;""""),ROWS(FILTER(Q$4:Q504,Q$4:Q504&lt;&gt;""""))),""^Sell_""),INDEX(FILTER(T$4:T503,Q$4:Q503&lt;&gt;""""),ROWS(FILTER(Q$4:Q503,Q$4:Q503&lt;&gt;""""))),$AD$5+S504))"),"")</f>
        <v/>
      </c>
      <c r="U504" s="10" t="str">
        <f>IFERROR(__xludf.DUMMYFUNCTION("IF(COUNTA(Q504:Q1673)=0,"""",IF(Q504="""",0,IF(REGEXMATCH(Q504,""^Sell_""),-ROUNDDOWN(ROUNDUP(INDEX(Upgrades!$C$3:$C$13,MATCH(SUBSTITUTE(Q504,""Sell_"",""""),Upgrades!$B$3:$B$13,0))*1.15^(COUNTIF(Q$4:Q503,SUBSTITUTE(Q504,""Sell_"",""""))-COUNTIF(Q$4:Q503,"&amp;"""Sell_""&amp;SUBSTITUTE(Q504,""Sell_"",""""))))/2),ROUNDUP(INDEX(Upgrades!$C$3:$C$13,MATCH(Q504,Upgrades!$B$3:$B$13,0))*1.15^(COUNTIF(Q$4:Q503,Q504)-COUNTIF(Q$4:Q503,""Sell_""&amp;Q504))))))"),"")</f>
        <v/>
      </c>
      <c r="V504" s="10" t="str">
        <f t="shared" si="11"/>
        <v/>
      </c>
      <c r="W504" s="68" t="str">
        <f t="shared" si="12"/>
        <v/>
      </c>
      <c r="X504" s="59" t="str">
        <f t="shared" si="13"/>
        <v/>
      </c>
      <c r="Y504" s="69" t="str">
        <f t="shared" si="14"/>
        <v/>
      </c>
      <c r="Z504" s="11"/>
    </row>
    <row r="505">
      <c r="A505" s="8"/>
      <c r="B505" s="56" t="str">
        <f t="shared" si="2"/>
        <v/>
      </c>
      <c r="C505" s="105"/>
      <c r="D505" s="10"/>
      <c r="E505" s="59" t="str">
        <f t="array" ref="E505">IF(COUNTA(C505:C1673)=0,"",SUM((COUNTIF(C$4:C505,Upgrades!$B$3:$B$13)-COUNTIF(C$4:C505,"Sell_"&amp;Upgrades!$B$3:$B$13))*Upgrades!$D$3:$D$13))</f>
        <v/>
      </c>
      <c r="F505" s="66" t="str">
        <f>IFERROR(__xludf.DUMMYFUNCTION("IF(COUNTA(C505:C1673)=0,"""",IF(REGEXMATCH(INDEX(FILTER(C$4:C505,C$4:C505&lt;&gt;""""),ROWS(FILTER(C$4:C505,C$4:C505&lt;&gt;""""))),""^Sell_""),INDEX(FILTER(F$4:F504,C$4:C504&lt;&gt;""""),ROWS(FILTER(C$4:C504,C$4:C504&lt;&gt;""""))),$AC$5+E505))"),"")</f>
        <v/>
      </c>
      <c r="G505" s="10" t="str">
        <f>IFERROR(__xludf.DUMMYFUNCTION("IF(COUNTA(C505:C1673)=0,"""",IF(C505="""",0,IF(REGEXMATCH(C505,""^Sell_""),-ROUNDDOWN(ROUNDUP(INDEX(Upgrades!$C$3:$C$13,MATCH(SUBSTITUTE(C505,""Sell_"",""""),Upgrades!$B$3:$B$13,0))*1.15^(COUNTIF(C$4:C504,SUBSTITUTE(C505,""Sell_"",""""))-COUNTIF(C$4:C504,"&amp;"""Sell_""&amp;SUBSTITUTE(C505,""Sell_"",""""))))/2),ROUNDUP(INDEX(Upgrades!$C$3:$C$13,MATCH(C505,Upgrades!$B$3:$B$13,0))*1.15^(COUNTIF(C$4:C504,C505)-COUNTIF(C$4:C504,""Sell_""&amp;C505))))))"),"")</f>
        <v/>
      </c>
      <c r="H505" s="10" t="str">
        <f t="shared" si="3"/>
        <v/>
      </c>
      <c r="I505" s="68" t="str">
        <f t="shared" si="4"/>
        <v/>
      </c>
      <c r="J505" s="59" t="str">
        <f t="shared" si="5"/>
        <v/>
      </c>
      <c r="K505" s="69" t="str">
        <f t="shared" si="6"/>
        <v/>
      </c>
      <c r="L505" s="60" t="str">
        <f t="shared" si="7"/>
        <v/>
      </c>
      <c r="M505" s="61" t="str">
        <f>IFERROR(__xludf.DUMMYFUNCTION("IFS(AND(COUNTA(C505:C1673)=0,COUNTA(Q505:Q1673)=0),"""",OR(AND(K505&gt;=1000000000,OR(Y505&gt;=1000000000,COUNTA(Q505:Q1673)=0)),OR(Y505&gt;=1000000000,AND(COUNTA(C505:C1673)=0,P$3=TRUE))),
ROUNDDOWN((AB$1-AC$1)*MAX(INDEX(T$4:T1673,MATCH(LARGE(FILTER(Y$4:Y1673,Y$4"&amp;":Y1673&lt;1000000000),1),Y$4:Y1673)),INDEX(F$4:F1673,MATCH(LARGE(FILTER(K$4:K1673,K$4:K1673&lt;1000000000),1),K$4:K1673)))),AND(K505&lt;1000000000,COUNTA(C505:C1673)&gt;0,P$3=FALSE),
ROUNDDOWN(INDEX(Y$4:Y1673,MATCH(LARGE(FILTER(W$4:W1673,W$4:W1673&lt;=I505),1),W$4:W1673"&amp;"))+(I505-LARGE(FILTER(W$4:W1673,W$4:W1673&lt;=I505),1))*INDEX(T$4:T1673,MATCH(LARGE(FILTER(W$4:W1673,W$4:W1673&lt;=I505),1),W$4:W1673))-K505),1,
ROUNDDOWN(Y505-INDEX(K$4:K1673,MATCH(LARGE(FILTER(I$4:I1673,I$4:I1673&lt;=W505),1),I$4:I1673))-(W505-LARGE(FILTER(I$4:I"&amp;"1673,I$4:I1673&lt;=W505),1))*INDEX(F$4:F1673,MATCH(LARGE(FILTER(I$4:I1673,I$4:I1673&lt;=W505),1),I$4:I1673))))"),"")</f>
        <v/>
      </c>
      <c r="N505" s="60" t="str">
        <f t="shared" si="8"/>
        <v/>
      </c>
      <c r="O505" s="61" t="str">
        <f t="shared" si="9"/>
        <v/>
      </c>
      <c r="P505" s="56" t="str">
        <f t="shared" si="10"/>
        <v/>
      </c>
      <c r="Q505" s="105"/>
      <c r="R505" s="10"/>
      <c r="S505" s="59" t="str">
        <f t="array" ref="S505">IF(COUNTA(Q505:Q1673)=0,"",SUM((COUNTIF(Q$4:Q505,Upgrades!$B$3:$B$13)-COUNTIF(Q$4:Q505,"Sell_"&amp;Upgrades!$B$3:$B$13))*Upgrades!$D$3:$D$13))</f>
        <v/>
      </c>
      <c r="T505" s="66" t="str">
        <f>IFERROR(__xludf.DUMMYFUNCTION("IF(COUNTA(Q505:Q1673)=0,"""",IF(REGEXMATCH(INDEX(FILTER(Q$4:Q505,Q$4:Q505&lt;&gt;""""),ROWS(FILTER(Q$4:Q505,Q$4:Q505&lt;&gt;""""))),""^Sell_""),INDEX(FILTER(T$4:T504,Q$4:Q504&lt;&gt;""""),ROWS(FILTER(Q$4:Q504,Q$4:Q504&lt;&gt;""""))),$AD$5+S505))"),"")</f>
        <v/>
      </c>
      <c r="U505" s="10" t="str">
        <f>IFERROR(__xludf.DUMMYFUNCTION("IF(COUNTA(Q505:Q1673)=0,"""",IF(Q505="""",0,IF(REGEXMATCH(Q505,""^Sell_""),-ROUNDDOWN(ROUNDUP(INDEX(Upgrades!$C$3:$C$13,MATCH(SUBSTITUTE(Q505,""Sell_"",""""),Upgrades!$B$3:$B$13,0))*1.15^(COUNTIF(Q$4:Q504,SUBSTITUTE(Q505,""Sell_"",""""))-COUNTIF(Q$4:Q504,"&amp;"""Sell_""&amp;SUBSTITUTE(Q505,""Sell_"",""""))))/2),ROUNDUP(INDEX(Upgrades!$C$3:$C$13,MATCH(Q505,Upgrades!$B$3:$B$13,0))*1.15^(COUNTIF(Q$4:Q504,Q505)-COUNTIF(Q$4:Q504,""Sell_""&amp;Q505))))))"),"")</f>
        <v/>
      </c>
      <c r="V505" s="10" t="str">
        <f t="shared" si="11"/>
        <v/>
      </c>
      <c r="W505" s="68" t="str">
        <f t="shared" si="12"/>
        <v/>
      </c>
      <c r="X505" s="59" t="str">
        <f t="shared" si="13"/>
        <v/>
      </c>
      <c r="Y505" s="69" t="str">
        <f t="shared" si="14"/>
        <v/>
      </c>
      <c r="Z505" s="11"/>
    </row>
    <row r="506">
      <c r="A506" s="8"/>
      <c r="B506" s="56" t="str">
        <f t="shared" si="2"/>
        <v/>
      </c>
      <c r="C506" s="105"/>
      <c r="D506" s="10"/>
      <c r="E506" s="59" t="str">
        <f t="array" ref="E506">IF(COUNTA(C506:C1673)=0,"",SUM((COUNTIF(C$4:C506,Upgrades!$B$3:$B$13)-COUNTIF(C$4:C506,"Sell_"&amp;Upgrades!$B$3:$B$13))*Upgrades!$D$3:$D$13))</f>
        <v/>
      </c>
      <c r="F506" s="66" t="str">
        <f>IFERROR(__xludf.DUMMYFUNCTION("IF(COUNTA(C506:C1673)=0,"""",IF(REGEXMATCH(INDEX(FILTER(C$4:C506,C$4:C506&lt;&gt;""""),ROWS(FILTER(C$4:C506,C$4:C506&lt;&gt;""""))),""^Sell_""),INDEX(FILTER(F$4:F505,C$4:C505&lt;&gt;""""),ROWS(FILTER(C$4:C505,C$4:C505&lt;&gt;""""))),$AC$5+E506))"),"")</f>
        <v/>
      </c>
      <c r="G506" s="10" t="str">
        <f>IFERROR(__xludf.DUMMYFUNCTION("IF(COUNTA(C506:C1673)=0,"""",IF(C506="""",0,IF(REGEXMATCH(C506,""^Sell_""),-ROUNDDOWN(ROUNDUP(INDEX(Upgrades!$C$3:$C$13,MATCH(SUBSTITUTE(C506,""Sell_"",""""),Upgrades!$B$3:$B$13,0))*1.15^(COUNTIF(C$4:C505,SUBSTITUTE(C506,""Sell_"",""""))-COUNTIF(C$4:C505,"&amp;"""Sell_""&amp;SUBSTITUTE(C506,""Sell_"",""""))))/2),ROUNDUP(INDEX(Upgrades!$C$3:$C$13,MATCH(C506,Upgrades!$B$3:$B$13,0))*1.15^(COUNTIF(C$4:C505,C506)-COUNTIF(C$4:C505,""Sell_""&amp;C506))))))"),"")</f>
        <v/>
      </c>
      <c r="H506" s="10" t="str">
        <f t="shared" si="3"/>
        <v/>
      </c>
      <c r="I506" s="68" t="str">
        <f t="shared" si="4"/>
        <v/>
      </c>
      <c r="J506" s="59" t="str">
        <f t="shared" si="5"/>
        <v/>
      </c>
      <c r="K506" s="69" t="str">
        <f t="shared" si="6"/>
        <v/>
      </c>
      <c r="L506" s="60" t="str">
        <f t="shared" si="7"/>
        <v/>
      </c>
      <c r="M506" s="61" t="str">
        <f>IFERROR(__xludf.DUMMYFUNCTION("IFS(AND(COUNTA(C506:C1673)=0,COUNTA(Q506:Q1673)=0),"""",OR(AND(K506&gt;=1000000000,OR(Y506&gt;=1000000000,COUNTA(Q506:Q1673)=0)),OR(Y506&gt;=1000000000,AND(COUNTA(C506:C1673)=0,P$3=TRUE))),
ROUNDDOWN((AB$1-AC$1)*MAX(INDEX(T$4:T1673,MATCH(LARGE(FILTER(Y$4:Y1673,Y$4"&amp;":Y1673&lt;1000000000),1),Y$4:Y1673)),INDEX(F$4:F1673,MATCH(LARGE(FILTER(K$4:K1673,K$4:K1673&lt;1000000000),1),K$4:K1673)))),AND(K506&lt;1000000000,COUNTA(C506:C1673)&gt;0,P$3=FALSE),
ROUNDDOWN(INDEX(Y$4:Y1673,MATCH(LARGE(FILTER(W$4:W1673,W$4:W1673&lt;=I506),1),W$4:W1673"&amp;"))+(I506-LARGE(FILTER(W$4:W1673,W$4:W1673&lt;=I506),1))*INDEX(T$4:T1673,MATCH(LARGE(FILTER(W$4:W1673,W$4:W1673&lt;=I506),1),W$4:W1673))-K506),1,
ROUNDDOWN(Y506-INDEX(K$4:K1673,MATCH(LARGE(FILTER(I$4:I1673,I$4:I1673&lt;=W506),1),I$4:I1673))-(W506-LARGE(FILTER(I$4:I"&amp;"1673,I$4:I1673&lt;=W506),1))*INDEX(F$4:F1673,MATCH(LARGE(FILTER(I$4:I1673,I$4:I1673&lt;=W506),1),I$4:I1673))))"),"")</f>
        <v/>
      </c>
      <c r="N506" s="60" t="str">
        <f t="shared" si="8"/>
        <v/>
      </c>
      <c r="O506" s="61" t="str">
        <f t="shared" si="9"/>
        <v/>
      </c>
      <c r="P506" s="56" t="str">
        <f t="shared" si="10"/>
        <v/>
      </c>
      <c r="Q506" s="105"/>
      <c r="R506" s="10"/>
      <c r="S506" s="59" t="str">
        <f t="array" ref="S506">IF(COUNTA(Q506:Q1673)=0,"",SUM((COUNTIF(Q$4:Q506,Upgrades!$B$3:$B$13)-COUNTIF(Q$4:Q506,"Sell_"&amp;Upgrades!$B$3:$B$13))*Upgrades!$D$3:$D$13))</f>
        <v/>
      </c>
      <c r="T506" s="66" t="str">
        <f>IFERROR(__xludf.DUMMYFUNCTION("IF(COUNTA(Q506:Q1673)=0,"""",IF(REGEXMATCH(INDEX(FILTER(Q$4:Q506,Q$4:Q506&lt;&gt;""""),ROWS(FILTER(Q$4:Q506,Q$4:Q506&lt;&gt;""""))),""^Sell_""),INDEX(FILTER(T$4:T505,Q$4:Q505&lt;&gt;""""),ROWS(FILTER(Q$4:Q505,Q$4:Q505&lt;&gt;""""))),$AD$5+S506))"),"")</f>
        <v/>
      </c>
      <c r="U506" s="10" t="str">
        <f>IFERROR(__xludf.DUMMYFUNCTION("IF(COUNTA(Q506:Q1673)=0,"""",IF(Q506="""",0,IF(REGEXMATCH(Q506,""^Sell_""),-ROUNDDOWN(ROUNDUP(INDEX(Upgrades!$C$3:$C$13,MATCH(SUBSTITUTE(Q506,""Sell_"",""""),Upgrades!$B$3:$B$13,0))*1.15^(COUNTIF(Q$4:Q505,SUBSTITUTE(Q506,""Sell_"",""""))-COUNTIF(Q$4:Q505,"&amp;"""Sell_""&amp;SUBSTITUTE(Q506,""Sell_"",""""))))/2),ROUNDUP(INDEX(Upgrades!$C$3:$C$13,MATCH(Q506,Upgrades!$B$3:$B$13,0))*1.15^(COUNTIF(Q$4:Q505,Q506)-COUNTIF(Q$4:Q505,""Sell_""&amp;Q506))))))"),"")</f>
        <v/>
      </c>
      <c r="V506" s="10" t="str">
        <f t="shared" si="11"/>
        <v/>
      </c>
      <c r="W506" s="68" t="str">
        <f t="shared" si="12"/>
        <v/>
      </c>
      <c r="X506" s="59" t="str">
        <f t="shared" si="13"/>
        <v/>
      </c>
      <c r="Y506" s="69" t="str">
        <f t="shared" si="14"/>
        <v/>
      </c>
      <c r="Z506" s="11"/>
    </row>
    <row r="507">
      <c r="A507" s="8"/>
      <c r="B507" s="56" t="str">
        <f t="shared" si="2"/>
        <v/>
      </c>
      <c r="C507" s="105"/>
      <c r="D507" s="10"/>
      <c r="E507" s="59" t="str">
        <f t="array" ref="E507">IF(COUNTA(C507:C1673)=0,"",SUM((COUNTIF(C$4:C507,Upgrades!$B$3:$B$13)-COUNTIF(C$4:C507,"Sell_"&amp;Upgrades!$B$3:$B$13))*Upgrades!$D$3:$D$13))</f>
        <v/>
      </c>
      <c r="F507" s="66" t="str">
        <f>IFERROR(__xludf.DUMMYFUNCTION("IF(COUNTA(C507:C1673)=0,"""",IF(REGEXMATCH(INDEX(FILTER(C$4:C507,C$4:C507&lt;&gt;""""),ROWS(FILTER(C$4:C507,C$4:C507&lt;&gt;""""))),""^Sell_""),INDEX(FILTER(F$4:F506,C$4:C506&lt;&gt;""""),ROWS(FILTER(C$4:C506,C$4:C506&lt;&gt;""""))),$AC$5+E507))"),"")</f>
        <v/>
      </c>
      <c r="G507" s="10" t="str">
        <f>IFERROR(__xludf.DUMMYFUNCTION("IF(COUNTA(C507:C1673)=0,"""",IF(C507="""",0,IF(REGEXMATCH(C507,""^Sell_""),-ROUNDDOWN(ROUNDUP(INDEX(Upgrades!$C$3:$C$13,MATCH(SUBSTITUTE(C507,""Sell_"",""""),Upgrades!$B$3:$B$13,0))*1.15^(COUNTIF(C$4:C506,SUBSTITUTE(C507,""Sell_"",""""))-COUNTIF(C$4:C506,"&amp;"""Sell_""&amp;SUBSTITUTE(C507,""Sell_"",""""))))/2),ROUNDUP(INDEX(Upgrades!$C$3:$C$13,MATCH(C507,Upgrades!$B$3:$B$13,0))*1.15^(COUNTIF(C$4:C506,C507)-COUNTIF(C$4:C506,""Sell_""&amp;C507))))))"),"")</f>
        <v/>
      </c>
      <c r="H507" s="10" t="str">
        <f t="shared" si="3"/>
        <v/>
      </c>
      <c r="I507" s="68" t="str">
        <f t="shared" si="4"/>
        <v/>
      </c>
      <c r="J507" s="59" t="str">
        <f t="shared" si="5"/>
        <v/>
      </c>
      <c r="K507" s="69" t="str">
        <f t="shared" si="6"/>
        <v/>
      </c>
      <c r="L507" s="60" t="str">
        <f t="shared" si="7"/>
        <v/>
      </c>
      <c r="M507" s="61" t="str">
        <f>IFERROR(__xludf.DUMMYFUNCTION("IFS(AND(COUNTA(C507:C1673)=0,COUNTA(Q507:Q1673)=0),"""",OR(AND(K507&gt;=1000000000,OR(Y507&gt;=1000000000,COUNTA(Q507:Q1673)=0)),OR(Y507&gt;=1000000000,AND(COUNTA(C507:C1673)=0,P$3=TRUE))),
ROUNDDOWN((AB$1-AC$1)*MAX(INDEX(T$4:T1673,MATCH(LARGE(FILTER(Y$4:Y1673,Y$4"&amp;":Y1673&lt;1000000000),1),Y$4:Y1673)),INDEX(F$4:F1673,MATCH(LARGE(FILTER(K$4:K1673,K$4:K1673&lt;1000000000),1),K$4:K1673)))),AND(K507&lt;1000000000,COUNTA(C507:C1673)&gt;0,P$3=FALSE),
ROUNDDOWN(INDEX(Y$4:Y1673,MATCH(LARGE(FILTER(W$4:W1673,W$4:W1673&lt;=I507),1),W$4:W1673"&amp;"))+(I507-LARGE(FILTER(W$4:W1673,W$4:W1673&lt;=I507),1))*INDEX(T$4:T1673,MATCH(LARGE(FILTER(W$4:W1673,W$4:W1673&lt;=I507),1),W$4:W1673))-K507),1,
ROUNDDOWN(Y507-INDEX(K$4:K1673,MATCH(LARGE(FILTER(I$4:I1673,I$4:I1673&lt;=W507),1),I$4:I1673))-(W507-LARGE(FILTER(I$4:I"&amp;"1673,I$4:I1673&lt;=W507),1))*INDEX(F$4:F1673,MATCH(LARGE(FILTER(I$4:I1673,I$4:I1673&lt;=W507),1),I$4:I1673))))"),"")</f>
        <v/>
      </c>
      <c r="N507" s="60" t="str">
        <f t="shared" si="8"/>
        <v/>
      </c>
      <c r="O507" s="61" t="str">
        <f t="shared" si="9"/>
        <v/>
      </c>
      <c r="P507" s="56" t="str">
        <f t="shared" si="10"/>
        <v/>
      </c>
      <c r="Q507" s="105"/>
      <c r="R507" s="10"/>
      <c r="S507" s="59" t="str">
        <f t="array" ref="S507">IF(COUNTA(Q507:Q1673)=0,"",SUM((COUNTIF(Q$4:Q507,Upgrades!$B$3:$B$13)-COUNTIF(Q$4:Q507,"Sell_"&amp;Upgrades!$B$3:$B$13))*Upgrades!$D$3:$D$13))</f>
        <v/>
      </c>
      <c r="T507" s="66" t="str">
        <f>IFERROR(__xludf.DUMMYFUNCTION("IF(COUNTA(Q507:Q1673)=0,"""",IF(REGEXMATCH(INDEX(FILTER(Q$4:Q507,Q$4:Q507&lt;&gt;""""),ROWS(FILTER(Q$4:Q507,Q$4:Q507&lt;&gt;""""))),""^Sell_""),INDEX(FILTER(T$4:T506,Q$4:Q506&lt;&gt;""""),ROWS(FILTER(Q$4:Q506,Q$4:Q506&lt;&gt;""""))),$AD$5+S507))"),"")</f>
        <v/>
      </c>
      <c r="U507" s="10" t="str">
        <f>IFERROR(__xludf.DUMMYFUNCTION("IF(COUNTA(Q507:Q1673)=0,"""",IF(Q507="""",0,IF(REGEXMATCH(Q507,""^Sell_""),-ROUNDDOWN(ROUNDUP(INDEX(Upgrades!$C$3:$C$13,MATCH(SUBSTITUTE(Q507,""Sell_"",""""),Upgrades!$B$3:$B$13,0))*1.15^(COUNTIF(Q$4:Q506,SUBSTITUTE(Q507,""Sell_"",""""))-COUNTIF(Q$4:Q506,"&amp;"""Sell_""&amp;SUBSTITUTE(Q507,""Sell_"",""""))))/2),ROUNDUP(INDEX(Upgrades!$C$3:$C$13,MATCH(Q507,Upgrades!$B$3:$B$13,0))*1.15^(COUNTIF(Q$4:Q506,Q507)-COUNTIF(Q$4:Q506,""Sell_""&amp;Q507))))))"),"")</f>
        <v/>
      </c>
      <c r="V507" s="10" t="str">
        <f t="shared" si="11"/>
        <v/>
      </c>
      <c r="W507" s="68" t="str">
        <f t="shared" si="12"/>
        <v/>
      </c>
      <c r="X507" s="59" t="str">
        <f t="shared" si="13"/>
        <v/>
      </c>
      <c r="Y507" s="69" t="str">
        <f t="shared" si="14"/>
        <v/>
      </c>
      <c r="Z507" s="11"/>
    </row>
    <row r="508">
      <c r="A508" s="8"/>
      <c r="B508" s="56" t="str">
        <f t="shared" si="2"/>
        <v/>
      </c>
      <c r="C508" s="105"/>
      <c r="D508" s="10"/>
      <c r="E508" s="59" t="str">
        <f t="array" ref="E508">IF(COUNTA(C508:C1673)=0,"",SUM((COUNTIF(C$4:C508,Upgrades!$B$3:$B$13)-COUNTIF(C$4:C508,"Sell_"&amp;Upgrades!$B$3:$B$13))*Upgrades!$D$3:$D$13))</f>
        <v/>
      </c>
      <c r="F508" s="66" t="str">
        <f>IFERROR(__xludf.DUMMYFUNCTION("IF(COUNTA(C508:C1673)=0,"""",IF(REGEXMATCH(INDEX(FILTER(C$4:C508,C$4:C508&lt;&gt;""""),ROWS(FILTER(C$4:C508,C$4:C508&lt;&gt;""""))),""^Sell_""),INDEX(FILTER(F$4:F507,C$4:C507&lt;&gt;""""),ROWS(FILTER(C$4:C507,C$4:C507&lt;&gt;""""))),$AC$5+E508))"),"")</f>
        <v/>
      </c>
      <c r="G508" s="10" t="str">
        <f>IFERROR(__xludf.DUMMYFUNCTION("IF(COUNTA(C508:C1673)=0,"""",IF(C508="""",0,IF(REGEXMATCH(C508,""^Sell_""),-ROUNDDOWN(ROUNDUP(INDEX(Upgrades!$C$3:$C$13,MATCH(SUBSTITUTE(C508,""Sell_"",""""),Upgrades!$B$3:$B$13,0))*1.15^(COUNTIF(C$4:C507,SUBSTITUTE(C508,""Sell_"",""""))-COUNTIF(C$4:C507,"&amp;"""Sell_""&amp;SUBSTITUTE(C508,""Sell_"",""""))))/2),ROUNDUP(INDEX(Upgrades!$C$3:$C$13,MATCH(C508,Upgrades!$B$3:$B$13,0))*1.15^(COUNTIF(C$4:C507,C508)-COUNTIF(C$4:C507,""Sell_""&amp;C508))))))"),"")</f>
        <v/>
      </c>
      <c r="H508" s="10" t="str">
        <f t="shared" si="3"/>
        <v/>
      </c>
      <c r="I508" s="68" t="str">
        <f t="shared" si="4"/>
        <v/>
      </c>
      <c r="J508" s="59" t="str">
        <f t="shared" si="5"/>
        <v/>
      </c>
      <c r="K508" s="69" t="str">
        <f t="shared" si="6"/>
        <v/>
      </c>
      <c r="L508" s="60" t="str">
        <f t="shared" si="7"/>
        <v/>
      </c>
      <c r="M508" s="61" t="str">
        <f>IFERROR(__xludf.DUMMYFUNCTION("IFS(AND(COUNTA(C508:C1673)=0,COUNTA(Q508:Q1673)=0),"""",OR(AND(K508&gt;=1000000000,OR(Y508&gt;=1000000000,COUNTA(Q508:Q1673)=0)),OR(Y508&gt;=1000000000,AND(COUNTA(C508:C1673)=0,P$3=TRUE))),
ROUNDDOWN((AB$1-AC$1)*MAX(INDEX(T$4:T1673,MATCH(LARGE(FILTER(Y$4:Y1673,Y$4"&amp;":Y1673&lt;1000000000),1),Y$4:Y1673)),INDEX(F$4:F1673,MATCH(LARGE(FILTER(K$4:K1673,K$4:K1673&lt;1000000000),1),K$4:K1673)))),AND(K508&lt;1000000000,COUNTA(C508:C1673)&gt;0,P$3=FALSE),
ROUNDDOWN(INDEX(Y$4:Y1673,MATCH(LARGE(FILTER(W$4:W1673,W$4:W1673&lt;=I508),1),W$4:W1673"&amp;"))+(I508-LARGE(FILTER(W$4:W1673,W$4:W1673&lt;=I508),1))*INDEX(T$4:T1673,MATCH(LARGE(FILTER(W$4:W1673,W$4:W1673&lt;=I508),1),W$4:W1673))-K508),1,
ROUNDDOWN(Y508-INDEX(K$4:K1673,MATCH(LARGE(FILTER(I$4:I1673,I$4:I1673&lt;=W508),1),I$4:I1673))-(W508-LARGE(FILTER(I$4:I"&amp;"1673,I$4:I1673&lt;=W508),1))*INDEX(F$4:F1673,MATCH(LARGE(FILTER(I$4:I1673,I$4:I1673&lt;=W508),1),I$4:I1673))))"),"")</f>
        <v/>
      </c>
      <c r="N508" s="60" t="str">
        <f t="shared" si="8"/>
        <v/>
      </c>
      <c r="O508" s="61" t="str">
        <f t="shared" si="9"/>
        <v/>
      </c>
      <c r="P508" s="56" t="str">
        <f t="shared" si="10"/>
        <v/>
      </c>
      <c r="Q508" s="105"/>
      <c r="R508" s="10"/>
      <c r="S508" s="59" t="str">
        <f t="array" ref="S508">IF(COUNTA(Q508:Q1673)=0,"",SUM((COUNTIF(Q$4:Q508,Upgrades!$B$3:$B$13)-COUNTIF(Q$4:Q508,"Sell_"&amp;Upgrades!$B$3:$B$13))*Upgrades!$D$3:$D$13))</f>
        <v/>
      </c>
      <c r="T508" s="66" t="str">
        <f>IFERROR(__xludf.DUMMYFUNCTION("IF(COUNTA(Q508:Q1673)=0,"""",IF(REGEXMATCH(INDEX(FILTER(Q$4:Q508,Q$4:Q508&lt;&gt;""""),ROWS(FILTER(Q$4:Q508,Q$4:Q508&lt;&gt;""""))),""^Sell_""),INDEX(FILTER(T$4:T507,Q$4:Q507&lt;&gt;""""),ROWS(FILTER(Q$4:Q507,Q$4:Q507&lt;&gt;""""))),$AD$5+S508))"),"")</f>
        <v/>
      </c>
      <c r="U508" s="10" t="str">
        <f>IFERROR(__xludf.DUMMYFUNCTION("IF(COUNTA(Q508:Q1673)=0,"""",IF(Q508="""",0,IF(REGEXMATCH(Q508,""^Sell_""),-ROUNDDOWN(ROUNDUP(INDEX(Upgrades!$C$3:$C$13,MATCH(SUBSTITUTE(Q508,""Sell_"",""""),Upgrades!$B$3:$B$13,0))*1.15^(COUNTIF(Q$4:Q507,SUBSTITUTE(Q508,""Sell_"",""""))-COUNTIF(Q$4:Q507,"&amp;"""Sell_""&amp;SUBSTITUTE(Q508,""Sell_"",""""))))/2),ROUNDUP(INDEX(Upgrades!$C$3:$C$13,MATCH(Q508,Upgrades!$B$3:$B$13,0))*1.15^(COUNTIF(Q$4:Q507,Q508)-COUNTIF(Q$4:Q507,""Sell_""&amp;Q508))))))"),"")</f>
        <v/>
      </c>
      <c r="V508" s="10" t="str">
        <f t="shared" si="11"/>
        <v/>
      </c>
      <c r="W508" s="68" t="str">
        <f t="shared" si="12"/>
        <v/>
      </c>
      <c r="X508" s="59" t="str">
        <f t="shared" si="13"/>
        <v/>
      </c>
      <c r="Y508" s="69" t="str">
        <f t="shared" si="14"/>
        <v/>
      </c>
      <c r="Z508" s="11"/>
    </row>
    <row r="509">
      <c r="A509" s="8"/>
      <c r="B509" s="56" t="str">
        <f t="shared" si="2"/>
        <v/>
      </c>
      <c r="C509" s="105"/>
      <c r="D509" s="10"/>
      <c r="E509" s="59" t="str">
        <f t="array" ref="E509">IF(COUNTA(C509:C1673)=0,"",SUM((COUNTIF(C$4:C509,Upgrades!$B$3:$B$13)-COUNTIF(C$4:C509,"Sell_"&amp;Upgrades!$B$3:$B$13))*Upgrades!$D$3:$D$13))</f>
        <v/>
      </c>
      <c r="F509" s="66" t="str">
        <f>IFERROR(__xludf.DUMMYFUNCTION("IF(COUNTA(C509:C1673)=0,"""",IF(REGEXMATCH(INDEX(FILTER(C$4:C509,C$4:C509&lt;&gt;""""),ROWS(FILTER(C$4:C509,C$4:C509&lt;&gt;""""))),""^Sell_""),INDEX(FILTER(F$4:F508,C$4:C508&lt;&gt;""""),ROWS(FILTER(C$4:C508,C$4:C508&lt;&gt;""""))),$AC$5+E509))"),"")</f>
        <v/>
      </c>
      <c r="G509" s="10" t="str">
        <f>IFERROR(__xludf.DUMMYFUNCTION("IF(COUNTA(C509:C1673)=0,"""",IF(C509="""",0,IF(REGEXMATCH(C509,""^Sell_""),-ROUNDDOWN(ROUNDUP(INDEX(Upgrades!$C$3:$C$13,MATCH(SUBSTITUTE(C509,""Sell_"",""""),Upgrades!$B$3:$B$13,0))*1.15^(COUNTIF(C$4:C508,SUBSTITUTE(C509,""Sell_"",""""))-COUNTIF(C$4:C508,"&amp;"""Sell_""&amp;SUBSTITUTE(C509,""Sell_"",""""))))/2),ROUNDUP(INDEX(Upgrades!$C$3:$C$13,MATCH(C509,Upgrades!$B$3:$B$13,0))*1.15^(COUNTIF(C$4:C508,C509)-COUNTIF(C$4:C508,""Sell_""&amp;C509))))))"),"")</f>
        <v/>
      </c>
      <c r="H509" s="10" t="str">
        <f t="shared" si="3"/>
        <v/>
      </c>
      <c r="I509" s="68" t="str">
        <f t="shared" si="4"/>
        <v/>
      </c>
      <c r="J509" s="59" t="str">
        <f t="shared" si="5"/>
        <v/>
      </c>
      <c r="K509" s="69" t="str">
        <f t="shared" si="6"/>
        <v/>
      </c>
      <c r="L509" s="60" t="str">
        <f t="shared" si="7"/>
        <v/>
      </c>
      <c r="M509" s="61" t="str">
        <f>IFERROR(__xludf.DUMMYFUNCTION("IFS(AND(COUNTA(C509:C1673)=0,COUNTA(Q509:Q1673)=0),"""",OR(AND(K509&gt;=1000000000,OR(Y509&gt;=1000000000,COUNTA(Q509:Q1673)=0)),OR(Y509&gt;=1000000000,AND(COUNTA(C509:C1673)=0,P$3=TRUE))),
ROUNDDOWN((AB$1-AC$1)*MAX(INDEX(T$4:T1673,MATCH(LARGE(FILTER(Y$4:Y1673,Y$4"&amp;":Y1673&lt;1000000000),1),Y$4:Y1673)),INDEX(F$4:F1673,MATCH(LARGE(FILTER(K$4:K1673,K$4:K1673&lt;1000000000),1),K$4:K1673)))),AND(K509&lt;1000000000,COUNTA(C509:C1673)&gt;0,P$3=FALSE),
ROUNDDOWN(INDEX(Y$4:Y1673,MATCH(LARGE(FILTER(W$4:W1673,W$4:W1673&lt;=I509),1),W$4:W1673"&amp;"))+(I509-LARGE(FILTER(W$4:W1673,W$4:W1673&lt;=I509),1))*INDEX(T$4:T1673,MATCH(LARGE(FILTER(W$4:W1673,W$4:W1673&lt;=I509),1),W$4:W1673))-K509),1,
ROUNDDOWN(Y509-INDEX(K$4:K1673,MATCH(LARGE(FILTER(I$4:I1673,I$4:I1673&lt;=W509),1),I$4:I1673))-(W509-LARGE(FILTER(I$4:I"&amp;"1673,I$4:I1673&lt;=W509),1))*INDEX(F$4:F1673,MATCH(LARGE(FILTER(I$4:I1673,I$4:I1673&lt;=W509),1),I$4:I1673))))"),"")</f>
        <v/>
      </c>
      <c r="N509" s="60" t="str">
        <f t="shared" si="8"/>
        <v/>
      </c>
      <c r="O509" s="61" t="str">
        <f t="shared" si="9"/>
        <v/>
      </c>
      <c r="P509" s="56" t="str">
        <f t="shared" si="10"/>
        <v/>
      </c>
      <c r="Q509" s="105"/>
      <c r="R509" s="10"/>
      <c r="S509" s="59" t="str">
        <f t="array" ref="S509">IF(COUNTA(Q509:Q1673)=0,"",SUM((COUNTIF(Q$4:Q509,Upgrades!$B$3:$B$13)-COUNTIF(Q$4:Q509,"Sell_"&amp;Upgrades!$B$3:$B$13))*Upgrades!$D$3:$D$13))</f>
        <v/>
      </c>
      <c r="T509" s="66" t="str">
        <f>IFERROR(__xludf.DUMMYFUNCTION("IF(COUNTA(Q509:Q1673)=0,"""",IF(REGEXMATCH(INDEX(FILTER(Q$4:Q509,Q$4:Q509&lt;&gt;""""),ROWS(FILTER(Q$4:Q509,Q$4:Q509&lt;&gt;""""))),""^Sell_""),INDEX(FILTER(T$4:T508,Q$4:Q508&lt;&gt;""""),ROWS(FILTER(Q$4:Q508,Q$4:Q508&lt;&gt;""""))),$AD$5+S509))"),"")</f>
        <v/>
      </c>
      <c r="U509" s="10" t="str">
        <f>IFERROR(__xludf.DUMMYFUNCTION("IF(COUNTA(Q509:Q1673)=0,"""",IF(Q509="""",0,IF(REGEXMATCH(Q509,""^Sell_""),-ROUNDDOWN(ROUNDUP(INDEX(Upgrades!$C$3:$C$13,MATCH(SUBSTITUTE(Q509,""Sell_"",""""),Upgrades!$B$3:$B$13,0))*1.15^(COUNTIF(Q$4:Q508,SUBSTITUTE(Q509,""Sell_"",""""))-COUNTIF(Q$4:Q508,"&amp;"""Sell_""&amp;SUBSTITUTE(Q509,""Sell_"",""""))))/2),ROUNDUP(INDEX(Upgrades!$C$3:$C$13,MATCH(Q509,Upgrades!$B$3:$B$13,0))*1.15^(COUNTIF(Q$4:Q508,Q509)-COUNTIF(Q$4:Q508,""Sell_""&amp;Q509))))))"),"")</f>
        <v/>
      </c>
      <c r="V509" s="10" t="str">
        <f t="shared" si="11"/>
        <v/>
      </c>
      <c r="W509" s="68" t="str">
        <f t="shared" si="12"/>
        <v/>
      </c>
      <c r="X509" s="59" t="str">
        <f t="shared" si="13"/>
        <v/>
      </c>
      <c r="Y509" s="69" t="str">
        <f t="shared" si="14"/>
        <v/>
      </c>
      <c r="Z509" s="11"/>
    </row>
    <row r="510">
      <c r="A510" s="8"/>
      <c r="B510" s="56" t="str">
        <f t="shared" si="2"/>
        <v/>
      </c>
      <c r="C510" s="105"/>
      <c r="D510" s="10"/>
      <c r="E510" s="59" t="str">
        <f t="array" ref="E510">IF(COUNTA(C510:C1673)=0,"",SUM((COUNTIF(C$4:C510,Upgrades!$B$3:$B$13)-COUNTIF(C$4:C510,"Sell_"&amp;Upgrades!$B$3:$B$13))*Upgrades!$D$3:$D$13))</f>
        <v/>
      </c>
      <c r="F510" s="66" t="str">
        <f>IFERROR(__xludf.DUMMYFUNCTION("IF(COUNTA(C510:C1673)=0,"""",IF(REGEXMATCH(INDEX(FILTER(C$4:C510,C$4:C510&lt;&gt;""""),ROWS(FILTER(C$4:C510,C$4:C510&lt;&gt;""""))),""^Sell_""),INDEX(FILTER(F$4:F509,C$4:C509&lt;&gt;""""),ROWS(FILTER(C$4:C509,C$4:C509&lt;&gt;""""))),$AC$5+E510))"),"")</f>
        <v/>
      </c>
      <c r="G510" s="10" t="str">
        <f>IFERROR(__xludf.DUMMYFUNCTION("IF(COUNTA(C510:C1673)=0,"""",IF(C510="""",0,IF(REGEXMATCH(C510,""^Sell_""),-ROUNDDOWN(ROUNDUP(INDEX(Upgrades!$C$3:$C$13,MATCH(SUBSTITUTE(C510,""Sell_"",""""),Upgrades!$B$3:$B$13,0))*1.15^(COUNTIF(C$4:C509,SUBSTITUTE(C510,""Sell_"",""""))-COUNTIF(C$4:C509,"&amp;"""Sell_""&amp;SUBSTITUTE(C510,""Sell_"",""""))))/2),ROUNDUP(INDEX(Upgrades!$C$3:$C$13,MATCH(C510,Upgrades!$B$3:$B$13,0))*1.15^(COUNTIF(C$4:C509,C510)-COUNTIF(C$4:C509,""Sell_""&amp;C510))))))"),"")</f>
        <v/>
      </c>
      <c r="H510" s="10" t="str">
        <f t="shared" si="3"/>
        <v/>
      </c>
      <c r="I510" s="68" t="str">
        <f t="shared" si="4"/>
        <v/>
      </c>
      <c r="J510" s="59" t="str">
        <f t="shared" si="5"/>
        <v/>
      </c>
      <c r="K510" s="69" t="str">
        <f t="shared" si="6"/>
        <v/>
      </c>
      <c r="L510" s="60" t="str">
        <f t="shared" si="7"/>
        <v/>
      </c>
      <c r="M510" s="61" t="str">
        <f>IFERROR(__xludf.DUMMYFUNCTION("IFS(AND(COUNTA(C510:C1673)=0,COUNTA(Q510:Q1673)=0),"""",OR(AND(K510&gt;=1000000000,OR(Y510&gt;=1000000000,COUNTA(Q510:Q1673)=0)),OR(Y510&gt;=1000000000,AND(COUNTA(C510:C1673)=0,P$3=TRUE))),
ROUNDDOWN((AB$1-AC$1)*MAX(INDEX(T$4:T1673,MATCH(LARGE(FILTER(Y$4:Y1673,Y$4"&amp;":Y1673&lt;1000000000),1),Y$4:Y1673)),INDEX(F$4:F1673,MATCH(LARGE(FILTER(K$4:K1673,K$4:K1673&lt;1000000000),1),K$4:K1673)))),AND(K510&lt;1000000000,COUNTA(C510:C1673)&gt;0,P$3=FALSE),
ROUNDDOWN(INDEX(Y$4:Y1673,MATCH(LARGE(FILTER(W$4:W1673,W$4:W1673&lt;=I510),1),W$4:W1673"&amp;"))+(I510-LARGE(FILTER(W$4:W1673,W$4:W1673&lt;=I510),1))*INDEX(T$4:T1673,MATCH(LARGE(FILTER(W$4:W1673,W$4:W1673&lt;=I510),1),W$4:W1673))-K510),1,
ROUNDDOWN(Y510-INDEX(K$4:K1673,MATCH(LARGE(FILTER(I$4:I1673,I$4:I1673&lt;=W510),1),I$4:I1673))-(W510-LARGE(FILTER(I$4:I"&amp;"1673,I$4:I1673&lt;=W510),1))*INDEX(F$4:F1673,MATCH(LARGE(FILTER(I$4:I1673,I$4:I1673&lt;=W510),1),I$4:I1673))))"),"")</f>
        <v/>
      </c>
      <c r="N510" s="60" t="str">
        <f t="shared" si="8"/>
        <v/>
      </c>
      <c r="O510" s="61" t="str">
        <f t="shared" si="9"/>
        <v/>
      </c>
      <c r="P510" s="56" t="str">
        <f t="shared" si="10"/>
        <v/>
      </c>
      <c r="Q510" s="105"/>
      <c r="R510" s="10"/>
      <c r="S510" s="59" t="str">
        <f t="array" ref="S510">IF(COUNTA(Q510:Q1673)=0,"",SUM((COUNTIF(Q$4:Q510,Upgrades!$B$3:$B$13)-COUNTIF(Q$4:Q510,"Sell_"&amp;Upgrades!$B$3:$B$13))*Upgrades!$D$3:$D$13))</f>
        <v/>
      </c>
      <c r="T510" s="66" t="str">
        <f>IFERROR(__xludf.DUMMYFUNCTION("IF(COUNTA(Q510:Q1673)=0,"""",IF(REGEXMATCH(INDEX(FILTER(Q$4:Q510,Q$4:Q510&lt;&gt;""""),ROWS(FILTER(Q$4:Q510,Q$4:Q510&lt;&gt;""""))),""^Sell_""),INDEX(FILTER(T$4:T509,Q$4:Q509&lt;&gt;""""),ROWS(FILTER(Q$4:Q509,Q$4:Q509&lt;&gt;""""))),$AD$5+S510))"),"")</f>
        <v/>
      </c>
      <c r="U510" s="10" t="str">
        <f>IFERROR(__xludf.DUMMYFUNCTION("IF(COUNTA(Q510:Q1673)=0,"""",IF(Q510="""",0,IF(REGEXMATCH(Q510,""^Sell_""),-ROUNDDOWN(ROUNDUP(INDEX(Upgrades!$C$3:$C$13,MATCH(SUBSTITUTE(Q510,""Sell_"",""""),Upgrades!$B$3:$B$13,0))*1.15^(COUNTIF(Q$4:Q509,SUBSTITUTE(Q510,""Sell_"",""""))-COUNTIF(Q$4:Q509,"&amp;"""Sell_""&amp;SUBSTITUTE(Q510,""Sell_"",""""))))/2),ROUNDUP(INDEX(Upgrades!$C$3:$C$13,MATCH(Q510,Upgrades!$B$3:$B$13,0))*1.15^(COUNTIF(Q$4:Q509,Q510)-COUNTIF(Q$4:Q509,""Sell_""&amp;Q510))))))"),"")</f>
        <v/>
      </c>
      <c r="V510" s="10" t="str">
        <f t="shared" si="11"/>
        <v/>
      </c>
      <c r="W510" s="68" t="str">
        <f t="shared" si="12"/>
        <v/>
      </c>
      <c r="X510" s="59" t="str">
        <f t="shared" si="13"/>
        <v/>
      </c>
      <c r="Y510" s="69" t="str">
        <f t="shared" si="14"/>
        <v/>
      </c>
      <c r="Z510" s="11"/>
    </row>
    <row r="511">
      <c r="A511" s="8"/>
      <c r="B511" s="56" t="str">
        <f t="shared" si="2"/>
        <v/>
      </c>
      <c r="C511" s="105"/>
      <c r="D511" s="10"/>
      <c r="E511" s="59" t="str">
        <f t="array" ref="E511">IF(COUNTA(C511:C1673)=0,"",SUM((COUNTIF(C$4:C511,Upgrades!$B$3:$B$13)-COUNTIF(C$4:C511,"Sell_"&amp;Upgrades!$B$3:$B$13))*Upgrades!$D$3:$D$13))</f>
        <v/>
      </c>
      <c r="F511" s="66" t="str">
        <f>IFERROR(__xludf.DUMMYFUNCTION("IF(COUNTA(C511:C1673)=0,"""",IF(REGEXMATCH(INDEX(FILTER(C$4:C511,C$4:C511&lt;&gt;""""),ROWS(FILTER(C$4:C511,C$4:C511&lt;&gt;""""))),""^Sell_""),INDEX(FILTER(F$4:F510,C$4:C510&lt;&gt;""""),ROWS(FILTER(C$4:C510,C$4:C510&lt;&gt;""""))),$AC$5+E511))"),"")</f>
        <v/>
      </c>
      <c r="G511" s="10" t="str">
        <f>IFERROR(__xludf.DUMMYFUNCTION("IF(COUNTA(C511:C1673)=0,"""",IF(C511="""",0,IF(REGEXMATCH(C511,""^Sell_""),-ROUNDDOWN(ROUNDUP(INDEX(Upgrades!$C$3:$C$13,MATCH(SUBSTITUTE(C511,""Sell_"",""""),Upgrades!$B$3:$B$13,0))*1.15^(COUNTIF(C$4:C510,SUBSTITUTE(C511,""Sell_"",""""))-COUNTIF(C$4:C510,"&amp;"""Sell_""&amp;SUBSTITUTE(C511,""Sell_"",""""))))/2),ROUNDUP(INDEX(Upgrades!$C$3:$C$13,MATCH(C511,Upgrades!$B$3:$B$13,0))*1.15^(COUNTIF(C$4:C510,C511)-COUNTIF(C$4:C510,""Sell_""&amp;C511))))))"),"")</f>
        <v/>
      </c>
      <c r="H511" s="10" t="str">
        <f t="shared" si="3"/>
        <v/>
      </c>
      <c r="I511" s="68" t="str">
        <f t="shared" si="4"/>
        <v/>
      </c>
      <c r="J511" s="59" t="str">
        <f t="shared" si="5"/>
        <v/>
      </c>
      <c r="K511" s="69" t="str">
        <f t="shared" si="6"/>
        <v/>
      </c>
      <c r="L511" s="60" t="str">
        <f t="shared" si="7"/>
        <v/>
      </c>
      <c r="M511" s="61" t="str">
        <f>IFERROR(__xludf.DUMMYFUNCTION("IFS(AND(COUNTA(C511:C1673)=0,COUNTA(Q511:Q1673)=0),"""",OR(AND(K511&gt;=1000000000,OR(Y511&gt;=1000000000,COUNTA(Q511:Q1673)=0)),OR(Y511&gt;=1000000000,AND(COUNTA(C511:C1673)=0,P$3=TRUE))),
ROUNDDOWN((AB$1-AC$1)*MAX(INDEX(T$4:T1673,MATCH(LARGE(FILTER(Y$4:Y1673,Y$4"&amp;":Y1673&lt;1000000000),1),Y$4:Y1673)),INDEX(F$4:F1673,MATCH(LARGE(FILTER(K$4:K1673,K$4:K1673&lt;1000000000),1),K$4:K1673)))),AND(K511&lt;1000000000,COUNTA(C511:C1673)&gt;0,P$3=FALSE),
ROUNDDOWN(INDEX(Y$4:Y1673,MATCH(LARGE(FILTER(W$4:W1673,W$4:W1673&lt;=I511),1),W$4:W1673"&amp;"))+(I511-LARGE(FILTER(W$4:W1673,W$4:W1673&lt;=I511),1))*INDEX(T$4:T1673,MATCH(LARGE(FILTER(W$4:W1673,W$4:W1673&lt;=I511),1),W$4:W1673))-K511),1,
ROUNDDOWN(Y511-INDEX(K$4:K1673,MATCH(LARGE(FILTER(I$4:I1673,I$4:I1673&lt;=W511),1),I$4:I1673))-(W511-LARGE(FILTER(I$4:I"&amp;"1673,I$4:I1673&lt;=W511),1))*INDEX(F$4:F1673,MATCH(LARGE(FILTER(I$4:I1673,I$4:I1673&lt;=W511),1),I$4:I1673))))"),"")</f>
        <v/>
      </c>
      <c r="N511" s="60" t="str">
        <f t="shared" si="8"/>
        <v/>
      </c>
      <c r="O511" s="61" t="str">
        <f t="shared" si="9"/>
        <v/>
      </c>
      <c r="P511" s="56" t="str">
        <f t="shared" si="10"/>
        <v/>
      </c>
      <c r="Q511" s="105"/>
      <c r="R511" s="10"/>
      <c r="S511" s="59" t="str">
        <f t="array" ref="S511">IF(COUNTA(Q511:Q1673)=0,"",SUM((COUNTIF(Q$4:Q511,Upgrades!$B$3:$B$13)-COUNTIF(Q$4:Q511,"Sell_"&amp;Upgrades!$B$3:$B$13))*Upgrades!$D$3:$D$13))</f>
        <v/>
      </c>
      <c r="T511" s="66" t="str">
        <f>IFERROR(__xludf.DUMMYFUNCTION("IF(COUNTA(Q511:Q1673)=0,"""",IF(REGEXMATCH(INDEX(FILTER(Q$4:Q511,Q$4:Q511&lt;&gt;""""),ROWS(FILTER(Q$4:Q511,Q$4:Q511&lt;&gt;""""))),""^Sell_""),INDEX(FILTER(T$4:T510,Q$4:Q510&lt;&gt;""""),ROWS(FILTER(Q$4:Q510,Q$4:Q510&lt;&gt;""""))),$AD$5+S511))"),"")</f>
        <v/>
      </c>
      <c r="U511" s="10" t="str">
        <f>IFERROR(__xludf.DUMMYFUNCTION("IF(COUNTA(Q511:Q1673)=0,"""",IF(Q511="""",0,IF(REGEXMATCH(Q511,""^Sell_""),-ROUNDDOWN(ROUNDUP(INDEX(Upgrades!$C$3:$C$13,MATCH(SUBSTITUTE(Q511,""Sell_"",""""),Upgrades!$B$3:$B$13,0))*1.15^(COUNTIF(Q$4:Q510,SUBSTITUTE(Q511,""Sell_"",""""))-COUNTIF(Q$4:Q510,"&amp;"""Sell_""&amp;SUBSTITUTE(Q511,""Sell_"",""""))))/2),ROUNDUP(INDEX(Upgrades!$C$3:$C$13,MATCH(Q511,Upgrades!$B$3:$B$13,0))*1.15^(COUNTIF(Q$4:Q510,Q511)-COUNTIF(Q$4:Q510,""Sell_""&amp;Q511))))))"),"")</f>
        <v/>
      </c>
      <c r="V511" s="10" t="str">
        <f t="shared" si="11"/>
        <v/>
      </c>
      <c r="W511" s="68" t="str">
        <f t="shared" si="12"/>
        <v/>
      </c>
      <c r="X511" s="59" t="str">
        <f t="shared" si="13"/>
        <v/>
      </c>
      <c r="Y511" s="69" t="str">
        <f t="shared" si="14"/>
        <v/>
      </c>
      <c r="Z511" s="11"/>
    </row>
    <row r="512">
      <c r="A512" s="8"/>
      <c r="B512" s="56" t="str">
        <f t="shared" si="2"/>
        <v/>
      </c>
      <c r="C512" s="105"/>
      <c r="D512" s="10"/>
      <c r="E512" s="59" t="str">
        <f t="array" ref="E512">IF(COUNTA(C512:C1673)=0,"",SUM((COUNTIF(C$4:C512,Upgrades!$B$3:$B$13)-COUNTIF(C$4:C512,"Sell_"&amp;Upgrades!$B$3:$B$13))*Upgrades!$D$3:$D$13))</f>
        <v/>
      </c>
      <c r="F512" s="66" t="str">
        <f>IFERROR(__xludf.DUMMYFUNCTION("IF(COUNTA(C512:C1673)=0,"""",IF(REGEXMATCH(INDEX(FILTER(C$4:C512,C$4:C512&lt;&gt;""""),ROWS(FILTER(C$4:C512,C$4:C512&lt;&gt;""""))),""^Sell_""),INDEX(FILTER(F$4:F511,C$4:C511&lt;&gt;""""),ROWS(FILTER(C$4:C511,C$4:C511&lt;&gt;""""))),$AC$5+E512))"),"")</f>
        <v/>
      </c>
      <c r="G512" s="10" t="str">
        <f>IFERROR(__xludf.DUMMYFUNCTION("IF(COUNTA(C512:C1673)=0,"""",IF(C512="""",0,IF(REGEXMATCH(C512,""^Sell_""),-ROUNDDOWN(ROUNDUP(INDEX(Upgrades!$C$3:$C$13,MATCH(SUBSTITUTE(C512,""Sell_"",""""),Upgrades!$B$3:$B$13,0))*1.15^(COUNTIF(C$4:C511,SUBSTITUTE(C512,""Sell_"",""""))-COUNTIF(C$4:C511,"&amp;"""Sell_""&amp;SUBSTITUTE(C512,""Sell_"",""""))))/2),ROUNDUP(INDEX(Upgrades!$C$3:$C$13,MATCH(C512,Upgrades!$B$3:$B$13,0))*1.15^(COUNTIF(C$4:C511,C512)-COUNTIF(C$4:C511,""Sell_""&amp;C512))))))"),"")</f>
        <v/>
      </c>
      <c r="H512" s="10" t="str">
        <f t="shared" si="3"/>
        <v/>
      </c>
      <c r="I512" s="68" t="str">
        <f t="shared" si="4"/>
        <v/>
      </c>
      <c r="J512" s="59" t="str">
        <f t="shared" si="5"/>
        <v/>
      </c>
      <c r="K512" s="69" t="str">
        <f t="shared" si="6"/>
        <v/>
      </c>
      <c r="L512" s="60" t="str">
        <f t="shared" si="7"/>
        <v/>
      </c>
      <c r="M512" s="61" t="str">
        <f>IFERROR(__xludf.DUMMYFUNCTION("IFS(AND(COUNTA(C512:C1673)=0,COUNTA(Q512:Q1673)=0),"""",OR(AND(K512&gt;=1000000000,OR(Y512&gt;=1000000000,COUNTA(Q512:Q1673)=0)),OR(Y512&gt;=1000000000,AND(COUNTA(C512:C1673)=0,P$3=TRUE))),
ROUNDDOWN((AB$1-AC$1)*MAX(INDEX(T$4:T1673,MATCH(LARGE(FILTER(Y$4:Y1673,Y$4"&amp;":Y1673&lt;1000000000),1),Y$4:Y1673)),INDEX(F$4:F1673,MATCH(LARGE(FILTER(K$4:K1673,K$4:K1673&lt;1000000000),1),K$4:K1673)))),AND(K512&lt;1000000000,COUNTA(C512:C1673)&gt;0,P$3=FALSE),
ROUNDDOWN(INDEX(Y$4:Y1673,MATCH(LARGE(FILTER(W$4:W1673,W$4:W1673&lt;=I512),1),W$4:W1673"&amp;"))+(I512-LARGE(FILTER(W$4:W1673,W$4:W1673&lt;=I512),1))*INDEX(T$4:T1673,MATCH(LARGE(FILTER(W$4:W1673,W$4:W1673&lt;=I512),1),W$4:W1673))-K512),1,
ROUNDDOWN(Y512-INDEX(K$4:K1673,MATCH(LARGE(FILTER(I$4:I1673,I$4:I1673&lt;=W512),1),I$4:I1673))-(W512-LARGE(FILTER(I$4:I"&amp;"1673,I$4:I1673&lt;=W512),1))*INDEX(F$4:F1673,MATCH(LARGE(FILTER(I$4:I1673,I$4:I1673&lt;=W512),1),I$4:I1673))))"),"")</f>
        <v/>
      </c>
      <c r="N512" s="60" t="str">
        <f t="shared" si="8"/>
        <v/>
      </c>
      <c r="O512" s="61" t="str">
        <f t="shared" si="9"/>
        <v/>
      </c>
      <c r="P512" s="56" t="str">
        <f t="shared" si="10"/>
        <v/>
      </c>
      <c r="Q512" s="105"/>
      <c r="R512" s="10"/>
      <c r="S512" s="59" t="str">
        <f t="array" ref="S512">IF(COUNTA(Q512:Q1673)=0,"",SUM((COUNTIF(Q$4:Q512,Upgrades!$B$3:$B$13)-COUNTIF(Q$4:Q512,"Sell_"&amp;Upgrades!$B$3:$B$13))*Upgrades!$D$3:$D$13))</f>
        <v/>
      </c>
      <c r="T512" s="66" t="str">
        <f>IFERROR(__xludf.DUMMYFUNCTION("IF(COUNTA(Q512:Q1673)=0,"""",IF(REGEXMATCH(INDEX(FILTER(Q$4:Q512,Q$4:Q512&lt;&gt;""""),ROWS(FILTER(Q$4:Q512,Q$4:Q512&lt;&gt;""""))),""^Sell_""),INDEX(FILTER(T$4:T511,Q$4:Q511&lt;&gt;""""),ROWS(FILTER(Q$4:Q511,Q$4:Q511&lt;&gt;""""))),$AD$5+S512))"),"")</f>
        <v/>
      </c>
      <c r="U512" s="10" t="str">
        <f>IFERROR(__xludf.DUMMYFUNCTION("IF(COUNTA(Q512:Q1673)=0,"""",IF(Q512="""",0,IF(REGEXMATCH(Q512,""^Sell_""),-ROUNDDOWN(ROUNDUP(INDEX(Upgrades!$C$3:$C$13,MATCH(SUBSTITUTE(Q512,""Sell_"",""""),Upgrades!$B$3:$B$13,0))*1.15^(COUNTIF(Q$4:Q511,SUBSTITUTE(Q512,""Sell_"",""""))-COUNTIF(Q$4:Q511,"&amp;"""Sell_""&amp;SUBSTITUTE(Q512,""Sell_"",""""))))/2),ROUNDUP(INDEX(Upgrades!$C$3:$C$13,MATCH(Q512,Upgrades!$B$3:$B$13,0))*1.15^(COUNTIF(Q$4:Q511,Q512)-COUNTIF(Q$4:Q511,""Sell_""&amp;Q512))))))"),"")</f>
        <v/>
      </c>
      <c r="V512" s="10" t="str">
        <f t="shared" si="11"/>
        <v/>
      </c>
      <c r="W512" s="68" t="str">
        <f t="shared" si="12"/>
        <v/>
      </c>
      <c r="X512" s="59" t="str">
        <f t="shared" si="13"/>
        <v/>
      </c>
      <c r="Y512" s="69" t="str">
        <f t="shared" si="14"/>
        <v/>
      </c>
      <c r="Z512" s="11"/>
    </row>
    <row r="513">
      <c r="A513" s="8"/>
      <c r="B513" s="56" t="str">
        <f t="shared" si="2"/>
        <v/>
      </c>
      <c r="C513" s="105"/>
      <c r="D513" s="10"/>
      <c r="E513" s="59" t="str">
        <f t="array" ref="E513">IF(COUNTA(C513:C1673)=0,"",SUM((COUNTIF(C$4:C513,Upgrades!$B$3:$B$13)-COUNTIF(C$4:C513,"Sell_"&amp;Upgrades!$B$3:$B$13))*Upgrades!$D$3:$D$13))</f>
        <v/>
      </c>
      <c r="F513" s="66" t="str">
        <f>IFERROR(__xludf.DUMMYFUNCTION("IF(COUNTA(C513:C1673)=0,"""",IF(REGEXMATCH(INDEX(FILTER(C$4:C513,C$4:C513&lt;&gt;""""),ROWS(FILTER(C$4:C513,C$4:C513&lt;&gt;""""))),""^Sell_""),INDEX(FILTER(F$4:F512,C$4:C512&lt;&gt;""""),ROWS(FILTER(C$4:C512,C$4:C512&lt;&gt;""""))),$AC$5+E513))"),"")</f>
        <v/>
      </c>
      <c r="G513" s="10" t="str">
        <f>IFERROR(__xludf.DUMMYFUNCTION("IF(COUNTA(C513:C1673)=0,"""",IF(C513="""",0,IF(REGEXMATCH(C513,""^Sell_""),-ROUNDDOWN(ROUNDUP(INDEX(Upgrades!$C$3:$C$13,MATCH(SUBSTITUTE(C513,""Sell_"",""""),Upgrades!$B$3:$B$13,0))*1.15^(COUNTIF(C$4:C512,SUBSTITUTE(C513,""Sell_"",""""))-COUNTIF(C$4:C512,"&amp;"""Sell_""&amp;SUBSTITUTE(C513,""Sell_"",""""))))/2),ROUNDUP(INDEX(Upgrades!$C$3:$C$13,MATCH(C513,Upgrades!$B$3:$B$13,0))*1.15^(COUNTIF(C$4:C512,C513)-COUNTIF(C$4:C512,""Sell_""&amp;C513))))))"),"")</f>
        <v/>
      </c>
      <c r="H513" s="10" t="str">
        <f t="shared" si="3"/>
        <v/>
      </c>
      <c r="I513" s="68" t="str">
        <f t="shared" si="4"/>
        <v/>
      </c>
      <c r="J513" s="59" t="str">
        <f t="shared" si="5"/>
        <v/>
      </c>
      <c r="K513" s="69" t="str">
        <f t="shared" si="6"/>
        <v/>
      </c>
      <c r="L513" s="60" t="str">
        <f t="shared" si="7"/>
        <v/>
      </c>
      <c r="M513" s="61" t="str">
        <f>IFERROR(__xludf.DUMMYFUNCTION("IFS(AND(COUNTA(C513:C1673)=0,COUNTA(Q513:Q1673)=0),"""",OR(AND(K513&gt;=1000000000,OR(Y513&gt;=1000000000,COUNTA(Q513:Q1673)=0)),OR(Y513&gt;=1000000000,AND(COUNTA(C513:C1673)=0,P$3=TRUE))),
ROUNDDOWN((AB$1-AC$1)*MAX(INDEX(T$4:T1673,MATCH(LARGE(FILTER(Y$4:Y1673,Y$4"&amp;":Y1673&lt;1000000000),1),Y$4:Y1673)),INDEX(F$4:F1673,MATCH(LARGE(FILTER(K$4:K1673,K$4:K1673&lt;1000000000),1),K$4:K1673)))),AND(K513&lt;1000000000,COUNTA(C513:C1673)&gt;0,P$3=FALSE),
ROUNDDOWN(INDEX(Y$4:Y1673,MATCH(LARGE(FILTER(W$4:W1673,W$4:W1673&lt;=I513),1),W$4:W1673"&amp;"))+(I513-LARGE(FILTER(W$4:W1673,W$4:W1673&lt;=I513),1))*INDEX(T$4:T1673,MATCH(LARGE(FILTER(W$4:W1673,W$4:W1673&lt;=I513),1),W$4:W1673))-K513),1,
ROUNDDOWN(Y513-INDEX(K$4:K1673,MATCH(LARGE(FILTER(I$4:I1673,I$4:I1673&lt;=W513),1),I$4:I1673))-(W513-LARGE(FILTER(I$4:I"&amp;"1673,I$4:I1673&lt;=W513),1))*INDEX(F$4:F1673,MATCH(LARGE(FILTER(I$4:I1673,I$4:I1673&lt;=W513),1),I$4:I1673))))"),"")</f>
        <v/>
      </c>
      <c r="N513" s="60" t="str">
        <f t="shared" si="8"/>
        <v/>
      </c>
      <c r="O513" s="61" t="str">
        <f t="shared" si="9"/>
        <v/>
      </c>
      <c r="P513" s="56" t="str">
        <f t="shared" si="10"/>
        <v/>
      </c>
      <c r="Q513" s="105"/>
      <c r="R513" s="10"/>
      <c r="S513" s="59" t="str">
        <f t="array" ref="S513">IF(COUNTA(Q513:Q1673)=0,"",SUM((COUNTIF(Q$4:Q513,Upgrades!$B$3:$B$13)-COUNTIF(Q$4:Q513,"Sell_"&amp;Upgrades!$B$3:$B$13))*Upgrades!$D$3:$D$13))</f>
        <v/>
      </c>
      <c r="T513" s="66" t="str">
        <f>IFERROR(__xludf.DUMMYFUNCTION("IF(COUNTA(Q513:Q1673)=0,"""",IF(REGEXMATCH(INDEX(FILTER(Q$4:Q513,Q$4:Q513&lt;&gt;""""),ROWS(FILTER(Q$4:Q513,Q$4:Q513&lt;&gt;""""))),""^Sell_""),INDEX(FILTER(T$4:T512,Q$4:Q512&lt;&gt;""""),ROWS(FILTER(Q$4:Q512,Q$4:Q512&lt;&gt;""""))),$AD$5+S513))"),"")</f>
        <v/>
      </c>
      <c r="U513" s="10" t="str">
        <f>IFERROR(__xludf.DUMMYFUNCTION("IF(COUNTA(Q513:Q1673)=0,"""",IF(Q513="""",0,IF(REGEXMATCH(Q513,""^Sell_""),-ROUNDDOWN(ROUNDUP(INDEX(Upgrades!$C$3:$C$13,MATCH(SUBSTITUTE(Q513,""Sell_"",""""),Upgrades!$B$3:$B$13,0))*1.15^(COUNTIF(Q$4:Q512,SUBSTITUTE(Q513,""Sell_"",""""))-COUNTIF(Q$4:Q512,"&amp;"""Sell_""&amp;SUBSTITUTE(Q513,""Sell_"",""""))))/2),ROUNDUP(INDEX(Upgrades!$C$3:$C$13,MATCH(Q513,Upgrades!$B$3:$B$13,0))*1.15^(COUNTIF(Q$4:Q512,Q513)-COUNTIF(Q$4:Q512,""Sell_""&amp;Q513))))))"),"")</f>
        <v/>
      </c>
      <c r="V513" s="10" t="str">
        <f t="shared" si="11"/>
        <v/>
      </c>
      <c r="W513" s="68" t="str">
        <f t="shared" si="12"/>
        <v/>
      </c>
      <c r="X513" s="59" t="str">
        <f t="shared" si="13"/>
        <v/>
      </c>
      <c r="Y513" s="69" t="str">
        <f t="shared" si="14"/>
        <v/>
      </c>
      <c r="Z513" s="11"/>
    </row>
    <row r="514">
      <c r="A514" s="8"/>
      <c r="B514" s="56" t="str">
        <f t="shared" si="2"/>
        <v/>
      </c>
      <c r="C514" s="105"/>
      <c r="D514" s="10"/>
      <c r="E514" s="59" t="str">
        <f t="array" ref="E514">IF(COUNTA(C514:C1673)=0,"",SUM((COUNTIF(C$4:C514,Upgrades!$B$3:$B$13)-COUNTIF(C$4:C514,"Sell_"&amp;Upgrades!$B$3:$B$13))*Upgrades!$D$3:$D$13))</f>
        <v/>
      </c>
      <c r="F514" s="66" t="str">
        <f>IFERROR(__xludf.DUMMYFUNCTION("IF(COUNTA(C514:C1673)=0,"""",IF(REGEXMATCH(INDEX(FILTER(C$4:C514,C$4:C514&lt;&gt;""""),ROWS(FILTER(C$4:C514,C$4:C514&lt;&gt;""""))),""^Sell_""),INDEX(FILTER(F$4:F513,C$4:C513&lt;&gt;""""),ROWS(FILTER(C$4:C513,C$4:C513&lt;&gt;""""))),$AC$5+E514))"),"")</f>
        <v/>
      </c>
      <c r="G514" s="10" t="str">
        <f>IFERROR(__xludf.DUMMYFUNCTION("IF(COUNTA(C514:C1673)=0,"""",IF(C514="""",0,IF(REGEXMATCH(C514,""^Sell_""),-ROUNDDOWN(ROUNDUP(INDEX(Upgrades!$C$3:$C$13,MATCH(SUBSTITUTE(C514,""Sell_"",""""),Upgrades!$B$3:$B$13,0))*1.15^(COUNTIF(C$4:C513,SUBSTITUTE(C514,""Sell_"",""""))-COUNTIF(C$4:C513,"&amp;"""Sell_""&amp;SUBSTITUTE(C514,""Sell_"",""""))))/2),ROUNDUP(INDEX(Upgrades!$C$3:$C$13,MATCH(C514,Upgrades!$B$3:$B$13,0))*1.15^(COUNTIF(C$4:C513,C514)-COUNTIF(C$4:C513,""Sell_""&amp;C514))))))"),"")</f>
        <v/>
      </c>
      <c r="H514" s="10" t="str">
        <f t="shared" si="3"/>
        <v/>
      </c>
      <c r="I514" s="68" t="str">
        <f t="shared" si="4"/>
        <v/>
      </c>
      <c r="J514" s="59" t="str">
        <f t="shared" si="5"/>
        <v/>
      </c>
      <c r="K514" s="69" t="str">
        <f t="shared" si="6"/>
        <v/>
      </c>
      <c r="L514" s="60" t="str">
        <f t="shared" si="7"/>
        <v/>
      </c>
      <c r="M514" s="61" t="str">
        <f>IFERROR(__xludf.DUMMYFUNCTION("IFS(AND(COUNTA(C514:C1673)=0,COUNTA(Q514:Q1673)=0),"""",OR(AND(K514&gt;=1000000000,OR(Y514&gt;=1000000000,COUNTA(Q514:Q1673)=0)),OR(Y514&gt;=1000000000,AND(COUNTA(C514:C1673)=0,P$3=TRUE))),
ROUNDDOWN((AB$1-AC$1)*MAX(INDEX(T$4:T1673,MATCH(LARGE(FILTER(Y$4:Y1673,Y$4"&amp;":Y1673&lt;1000000000),1),Y$4:Y1673)),INDEX(F$4:F1673,MATCH(LARGE(FILTER(K$4:K1673,K$4:K1673&lt;1000000000),1),K$4:K1673)))),AND(K514&lt;1000000000,COUNTA(C514:C1673)&gt;0,P$3=FALSE),
ROUNDDOWN(INDEX(Y$4:Y1673,MATCH(LARGE(FILTER(W$4:W1673,W$4:W1673&lt;=I514),1),W$4:W1673"&amp;"))+(I514-LARGE(FILTER(W$4:W1673,W$4:W1673&lt;=I514),1))*INDEX(T$4:T1673,MATCH(LARGE(FILTER(W$4:W1673,W$4:W1673&lt;=I514),1),W$4:W1673))-K514),1,
ROUNDDOWN(Y514-INDEX(K$4:K1673,MATCH(LARGE(FILTER(I$4:I1673,I$4:I1673&lt;=W514),1),I$4:I1673))-(W514-LARGE(FILTER(I$4:I"&amp;"1673,I$4:I1673&lt;=W514),1))*INDEX(F$4:F1673,MATCH(LARGE(FILTER(I$4:I1673,I$4:I1673&lt;=W514),1),I$4:I1673))))"),"")</f>
        <v/>
      </c>
      <c r="N514" s="60" t="str">
        <f t="shared" si="8"/>
        <v/>
      </c>
      <c r="O514" s="61" t="str">
        <f t="shared" si="9"/>
        <v/>
      </c>
      <c r="P514" s="56" t="str">
        <f t="shared" si="10"/>
        <v/>
      </c>
      <c r="Q514" s="105"/>
      <c r="R514" s="10"/>
      <c r="S514" s="59" t="str">
        <f t="array" ref="S514">IF(COUNTA(Q514:Q1673)=0,"",SUM((COUNTIF(Q$4:Q514,Upgrades!$B$3:$B$13)-COUNTIF(Q$4:Q514,"Sell_"&amp;Upgrades!$B$3:$B$13))*Upgrades!$D$3:$D$13))</f>
        <v/>
      </c>
      <c r="T514" s="66" t="str">
        <f>IFERROR(__xludf.DUMMYFUNCTION("IF(COUNTA(Q514:Q1673)=0,"""",IF(REGEXMATCH(INDEX(FILTER(Q$4:Q514,Q$4:Q514&lt;&gt;""""),ROWS(FILTER(Q$4:Q514,Q$4:Q514&lt;&gt;""""))),""^Sell_""),INDEX(FILTER(T$4:T513,Q$4:Q513&lt;&gt;""""),ROWS(FILTER(Q$4:Q513,Q$4:Q513&lt;&gt;""""))),$AD$5+S514))"),"")</f>
        <v/>
      </c>
      <c r="U514" s="10" t="str">
        <f>IFERROR(__xludf.DUMMYFUNCTION("IF(COUNTA(Q514:Q1673)=0,"""",IF(Q514="""",0,IF(REGEXMATCH(Q514,""^Sell_""),-ROUNDDOWN(ROUNDUP(INDEX(Upgrades!$C$3:$C$13,MATCH(SUBSTITUTE(Q514,""Sell_"",""""),Upgrades!$B$3:$B$13,0))*1.15^(COUNTIF(Q$4:Q513,SUBSTITUTE(Q514,""Sell_"",""""))-COUNTIF(Q$4:Q513,"&amp;"""Sell_""&amp;SUBSTITUTE(Q514,""Sell_"",""""))))/2),ROUNDUP(INDEX(Upgrades!$C$3:$C$13,MATCH(Q514,Upgrades!$B$3:$B$13,0))*1.15^(COUNTIF(Q$4:Q513,Q514)-COUNTIF(Q$4:Q513,""Sell_""&amp;Q514))))))"),"")</f>
        <v/>
      </c>
      <c r="V514" s="10" t="str">
        <f t="shared" si="11"/>
        <v/>
      </c>
      <c r="W514" s="68" t="str">
        <f t="shared" si="12"/>
        <v/>
      </c>
      <c r="X514" s="59" t="str">
        <f t="shared" si="13"/>
        <v/>
      </c>
      <c r="Y514" s="69" t="str">
        <f t="shared" si="14"/>
        <v/>
      </c>
      <c r="Z514" s="11"/>
    </row>
    <row r="515">
      <c r="A515" s="8"/>
      <c r="B515" s="56" t="str">
        <f t="shared" si="2"/>
        <v/>
      </c>
      <c r="C515" s="105"/>
      <c r="D515" s="10"/>
      <c r="E515" s="59" t="str">
        <f t="array" ref="E515">IF(COUNTA(C515:C1673)=0,"",SUM((COUNTIF(C$4:C515,Upgrades!$B$3:$B$13)-COUNTIF(C$4:C515,"Sell_"&amp;Upgrades!$B$3:$B$13))*Upgrades!$D$3:$D$13))</f>
        <v/>
      </c>
      <c r="F515" s="66" t="str">
        <f>IFERROR(__xludf.DUMMYFUNCTION("IF(COUNTA(C515:C1673)=0,"""",IF(REGEXMATCH(INDEX(FILTER(C$4:C515,C$4:C515&lt;&gt;""""),ROWS(FILTER(C$4:C515,C$4:C515&lt;&gt;""""))),""^Sell_""),INDEX(FILTER(F$4:F514,C$4:C514&lt;&gt;""""),ROWS(FILTER(C$4:C514,C$4:C514&lt;&gt;""""))),$AC$5+E515))"),"")</f>
        <v/>
      </c>
      <c r="G515" s="10" t="str">
        <f>IFERROR(__xludf.DUMMYFUNCTION("IF(COUNTA(C515:C1673)=0,"""",IF(C515="""",0,IF(REGEXMATCH(C515,""^Sell_""),-ROUNDDOWN(ROUNDUP(INDEX(Upgrades!$C$3:$C$13,MATCH(SUBSTITUTE(C515,""Sell_"",""""),Upgrades!$B$3:$B$13,0))*1.15^(COUNTIF(C$4:C514,SUBSTITUTE(C515,""Sell_"",""""))-COUNTIF(C$4:C514,"&amp;"""Sell_""&amp;SUBSTITUTE(C515,""Sell_"",""""))))/2),ROUNDUP(INDEX(Upgrades!$C$3:$C$13,MATCH(C515,Upgrades!$B$3:$B$13,0))*1.15^(COUNTIF(C$4:C514,C515)-COUNTIF(C$4:C514,""Sell_""&amp;C515))))))"),"")</f>
        <v/>
      </c>
      <c r="H515" s="10" t="str">
        <f t="shared" si="3"/>
        <v/>
      </c>
      <c r="I515" s="68" t="str">
        <f t="shared" si="4"/>
        <v/>
      </c>
      <c r="J515" s="59" t="str">
        <f t="shared" si="5"/>
        <v/>
      </c>
      <c r="K515" s="69" t="str">
        <f t="shared" si="6"/>
        <v/>
      </c>
      <c r="L515" s="60" t="str">
        <f t="shared" si="7"/>
        <v/>
      </c>
      <c r="M515" s="61" t="str">
        <f>IFERROR(__xludf.DUMMYFUNCTION("IFS(AND(COUNTA(C515:C1673)=0,COUNTA(Q515:Q1673)=0),"""",OR(AND(K515&gt;=1000000000,OR(Y515&gt;=1000000000,COUNTA(Q515:Q1673)=0)),OR(Y515&gt;=1000000000,AND(COUNTA(C515:C1673)=0,P$3=TRUE))),
ROUNDDOWN((AB$1-AC$1)*MAX(INDEX(T$4:T1673,MATCH(LARGE(FILTER(Y$4:Y1673,Y$4"&amp;":Y1673&lt;1000000000),1),Y$4:Y1673)),INDEX(F$4:F1673,MATCH(LARGE(FILTER(K$4:K1673,K$4:K1673&lt;1000000000),1),K$4:K1673)))),AND(K515&lt;1000000000,COUNTA(C515:C1673)&gt;0,P$3=FALSE),
ROUNDDOWN(INDEX(Y$4:Y1673,MATCH(LARGE(FILTER(W$4:W1673,W$4:W1673&lt;=I515),1),W$4:W1673"&amp;"))+(I515-LARGE(FILTER(W$4:W1673,W$4:W1673&lt;=I515),1))*INDEX(T$4:T1673,MATCH(LARGE(FILTER(W$4:W1673,W$4:W1673&lt;=I515),1),W$4:W1673))-K515),1,
ROUNDDOWN(Y515-INDEX(K$4:K1673,MATCH(LARGE(FILTER(I$4:I1673,I$4:I1673&lt;=W515),1),I$4:I1673))-(W515-LARGE(FILTER(I$4:I"&amp;"1673,I$4:I1673&lt;=W515),1))*INDEX(F$4:F1673,MATCH(LARGE(FILTER(I$4:I1673,I$4:I1673&lt;=W515),1),I$4:I1673))))"),"")</f>
        <v/>
      </c>
      <c r="N515" s="60" t="str">
        <f t="shared" si="8"/>
        <v/>
      </c>
      <c r="O515" s="61" t="str">
        <f t="shared" si="9"/>
        <v/>
      </c>
      <c r="P515" s="56" t="str">
        <f t="shared" si="10"/>
        <v/>
      </c>
      <c r="Q515" s="105"/>
      <c r="R515" s="10"/>
      <c r="S515" s="59" t="str">
        <f t="array" ref="S515">IF(COUNTA(Q515:Q1673)=0,"",SUM((COUNTIF(Q$4:Q515,Upgrades!$B$3:$B$13)-COUNTIF(Q$4:Q515,"Sell_"&amp;Upgrades!$B$3:$B$13))*Upgrades!$D$3:$D$13))</f>
        <v/>
      </c>
      <c r="T515" s="66" t="str">
        <f>IFERROR(__xludf.DUMMYFUNCTION("IF(COUNTA(Q515:Q1673)=0,"""",IF(REGEXMATCH(INDEX(FILTER(Q$4:Q515,Q$4:Q515&lt;&gt;""""),ROWS(FILTER(Q$4:Q515,Q$4:Q515&lt;&gt;""""))),""^Sell_""),INDEX(FILTER(T$4:T514,Q$4:Q514&lt;&gt;""""),ROWS(FILTER(Q$4:Q514,Q$4:Q514&lt;&gt;""""))),$AD$5+S515))"),"")</f>
        <v/>
      </c>
      <c r="U515" s="10" t="str">
        <f>IFERROR(__xludf.DUMMYFUNCTION("IF(COUNTA(Q515:Q1673)=0,"""",IF(Q515="""",0,IF(REGEXMATCH(Q515,""^Sell_""),-ROUNDDOWN(ROUNDUP(INDEX(Upgrades!$C$3:$C$13,MATCH(SUBSTITUTE(Q515,""Sell_"",""""),Upgrades!$B$3:$B$13,0))*1.15^(COUNTIF(Q$4:Q514,SUBSTITUTE(Q515,""Sell_"",""""))-COUNTIF(Q$4:Q514,"&amp;"""Sell_""&amp;SUBSTITUTE(Q515,""Sell_"",""""))))/2),ROUNDUP(INDEX(Upgrades!$C$3:$C$13,MATCH(Q515,Upgrades!$B$3:$B$13,0))*1.15^(COUNTIF(Q$4:Q514,Q515)-COUNTIF(Q$4:Q514,""Sell_""&amp;Q515))))))"),"")</f>
        <v/>
      </c>
      <c r="V515" s="10" t="str">
        <f t="shared" si="11"/>
        <v/>
      </c>
      <c r="W515" s="68" t="str">
        <f t="shared" si="12"/>
        <v/>
      </c>
      <c r="X515" s="59" t="str">
        <f t="shared" si="13"/>
        <v/>
      </c>
      <c r="Y515" s="69" t="str">
        <f t="shared" si="14"/>
        <v/>
      </c>
      <c r="Z515" s="11"/>
    </row>
    <row r="516">
      <c r="A516" s="8"/>
      <c r="B516" s="56" t="str">
        <f t="shared" si="2"/>
        <v/>
      </c>
      <c r="C516" s="105"/>
      <c r="D516" s="10"/>
      <c r="E516" s="59" t="str">
        <f t="array" ref="E516">IF(COUNTA(C516:C1673)=0,"",SUM((COUNTIF(C$4:C516,Upgrades!$B$3:$B$13)-COUNTIF(C$4:C516,"Sell_"&amp;Upgrades!$B$3:$B$13))*Upgrades!$D$3:$D$13))</f>
        <v/>
      </c>
      <c r="F516" s="66" t="str">
        <f>IFERROR(__xludf.DUMMYFUNCTION("IF(COUNTA(C516:C1673)=0,"""",IF(REGEXMATCH(INDEX(FILTER(C$4:C516,C$4:C516&lt;&gt;""""),ROWS(FILTER(C$4:C516,C$4:C516&lt;&gt;""""))),""^Sell_""),INDEX(FILTER(F$4:F515,C$4:C515&lt;&gt;""""),ROWS(FILTER(C$4:C515,C$4:C515&lt;&gt;""""))),$AC$5+E516))"),"")</f>
        <v/>
      </c>
      <c r="G516" s="10" t="str">
        <f>IFERROR(__xludf.DUMMYFUNCTION("IF(COUNTA(C516:C1673)=0,"""",IF(C516="""",0,IF(REGEXMATCH(C516,""^Sell_""),-ROUNDDOWN(ROUNDUP(INDEX(Upgrades!$C$3:$C$13,MATCH(SUBSTITUTE(C516,""Sell_"",""""),Upgrades!$B$3:$B$13,0))*1.15^(COUNTIF(C$4:C515,SUBSTITUTE(C516,""Sell_"",""""))-COUNTIF(C$4:C515,"&amp;"""Sell_""&amp;SUBSTITUTE(C516,""Sell_"",""""))))/2),ROUNDUP(INDEX(Upgrades!$C$3:$C$13,MATCH(C516,Upgrades!$B$3:$B$13,0))*1.15^(COUNTIF(C$4:C515,C516)-COUNTIF(C$4:C515,""Sell_""&amp;C516))))))"),"")</f>
        <v/>
      </c>
      <c r="H516" s="10" t="str">
        <f t="shared" si="3"/>
        <v/>
      </c>
      <c r="I516" s="68" t="str">
        <f t="shared" si="4"/>
        <v/>
      </c>
      <c r="J516" s="59" t="str">
        <f t="shared" si="5"/>
        <v/>
      </c>
      <c r="K516" s="69" t="str">
        <f t="shared" si="6"/>
        <v/>
      </c>
      <c r="L516" s="60" t="str">
        <f t="shared" si="7"/>
        <v/>
      </c>
      <c r="M516" s="61" t="str">
        <f>IFERROR(__xludf.DUMMYFUNCTION("IFS(AND(COUNTA(C516:C1673)=0,COUNTA(Q516:Q1673)=0),"""",OR(AND(K516&gt;=1000000000,OR(Y516&gt;=1000000000,COUNTA(Q516:Q1673)=0)),OR(Y516&gt;=1000000000,AND(COUNTA(C516:C1673)=0,P$3=TRUE))),
ROUNDDOWN((AB$1-AC$1)*MAX(INDEX(T$4:T1673,MATCH(LARGE(FILTER(Y$4:Y1673,Y$4"&amp;":Y1673&lt;1000000000),1),Y$4:Y1673)),INDEX(F$4:F1673,MATCH(LARGE(FILTER(K$4:K1673,K$4:K1673&lt;1000000000),1),K$4:K1673)))),AND(K516&lt;1000000000,COUNTA(C516:C1673)&gt;0,P$3=FALSE),
ROUNDDOWN(INDEX(Y$4:Y1673,MATCH(LARGE(FILTER(W$4:W1673,W$4:W1673&lt;=I516),1),W$4:W1673"&amp;"))+(I516-LARGE(FILTER(W$4:W1673,W$4:W1673&lt;=I516),1))*INDEX(T$4:T1673,MATCH(LARGE(FILTER(W$4:W1673,W$4:W1673&lt;=I516),1),W$4:W1673))-K516),1,
ROUNDDOWN(Y516-INDEX(K$4:K1673,MATCH(LARGE(FILTER(I$4:I1673,I$4:I1673&lt;=W516),1),I$4:I1673))-(W516-LARGE(FILTER(I$4:I"&amp;"1673,I$4:I1673&lt;=W516),1))*INDEX(F$4:F1673,MATCH(LARGE(FILTER(I$4:I1673,I$4:I1673&lt;=W516),1),I$4:I1673))))"),"")</f>
        <v/>
      </c>
      <c r="N516" s="60" t="str">
        <f t="shared" si="8"/>
        <v/>
      </c>
      <c r="O516" s="61" t="str">
        <f t="shared" si="9"/>
        <v/>
      </c>
      <c r="P516" s="56" t="str">
        <f t="shared" si="10"/>
        <v/>
      </c>
      <c r="Q516" s="105"/>
      <c r="R516" s="10"/>
      <c r="S516" s="59" t="str">
        <f t="array" ref="S516">IF(COUNTA(Q516:Q1673)=0,"",SUM((COUNTIF(Q$4:Q516,Upgrades!$B$3:$B$13)-COUNTIF(Q$4:Q516,"Sell_"&amp;Upgrades!$B$3:$B$13))*Upgrades!$D$3:$D$13))</f>
        <v/>
      </c>
      <c r="T516" s="66" t="str">
        <f>IFERROR(__xludf.DUMMYFUNCTION("IF(COUNTA(Q516:Q1673)=0,"""",IF(REGEXMATCH(INDEX(FILTER(Q$4:Q516,Q$4:Q516&lt;&gt;""""),ROWS(FILTER(Q$4:Q516,Q$4:Q516&lt;&gt;""""))),""^Sell_""),INDEX(FILTER(T$4:T515,Q$4:Q515&lt;&gt;""""),ROWS(FILTER(Q$4:Q515,Q$4:Q515&lt;&gt;""""))),$AD$5+S516))"),"")</f>
        <v/>
      </c>
      <c r="U516" s="10" t="str">
        <f>IFERROR(__xludf.DUMMYFUNCTION("IF(COUNTA(Q516:Q1673)=0,"""",IF(Q516="""",0,IF(REGEXMATCH(Q516,""^Sell_""),-ROUNDDOWN(ROUNDUP(INDEX(Upgrades!$C$3:$C$13,MATCH(SUBSTITUTE(Q516,""Sell_"",""""),Upgrades!$B$3:$B$13,0))*1.15^(COUNTIF(Q$4:Q515,SUBSTITUTE(Q516,""Sell_"",""""))-COUNTIF(Q$4:Q515,"&amp;"""Sell_""&amp;SUBSTITUTE(Q516,""Sell_"",""""))))/2),ROUNDUP(INDEX(Upgrades!$C$3:$C$13,MATCH(Q516,Upgrades!$B$3:$B$13,0))*1.15^(COUNTIF(Q$4:Q515,Q516)-COUNTIF(Q$4:Q515,""Sell_""&amp;Q516))))))"),"")</f>
        <v/>
      </c>
      <c r="V516" s="10" t="str">
        <f t="shared" si="11"/>
        <v/>
      </c>
      <c r="W516" s="68" t="str">
        <f t="shared" si="12"/>
        <v/>
      </c>
      <c r="X516" s="59" t="str">
        <f t="shared" si="13"/>
        <v/>
      </c>
      <c r="Y516" s="69" t="str">
        <f t="shared" si="14"/>
        <v/>
      </c>
      <c r="Z516" s="11"/>
    </row>
    <row r="517">
      <c r="A517" s="8"/>
      <c r="B517" s="56" t="str">
        <f t="shared" si="2"/>
        <v/>
      </c>
      <c r="C517" s="105"/>
      <c r="D517" s="10"/>
      <c r="E517" s="59" t="str">
        <f t="array" ref="E517">IF(COUNTA(C517:C1673)=0,"",SUM((COUNTIF(C$4:C517,Upgrades!$B$3:$B$13)-COUNTIF(C$4:C517,"Sell_"&amp;Upgrades!$B$3:$B$13))*Upgrades!$D$3:$D$13))</f>
        <v/>
      </c>
      <c r="F517" s="66" t="str">
        <f>IFERROR(__xludf.DUMMYFUNCTION("IF(COUNTA(C517:C1673)=0,"""",IF(REGEXMATCH(INDEX(FILTER(C$4:C517,C$4:C517&lt;&gt;""""),ROWS(FILTER(C$4:C517,C$4:C517&lt;&gt;""""))),""^Sell_""),INDEX(FILTER(F$4:F516,C$4:C516&lt;&gt;""""),ROWS(FILTER(C$4:C516,C$4:C516&lt;&gt;""""))),$AC$5+E517))"),"")</f>
        <v/>
      </c>
      <c r="G517" s="10" t="str">
        <f>IFERROR(__xludf.DUMMYFUNCTION("IF(COUNTA(C517:C1673)=0,"""",IF(C517="""",0,IF(REGEXMATCH(C517,""^Sell_""),-ROUNDDOWN(ROUNDUP(INDEX(Upgrades!$C$3:$C$13,MATCH(SUBSTITUTE(C517,""Sell_"",""""),Upgrades!$B$3:$B$13,0))*1.15^(COUNTIF(C$4:C516,SUBSTITUTE(C517,""Sell_"",""""))-COUNTIF(C$4:C516,"&amp;"""Sell_""&amp;SUBSTITUTE(C517,""Sell_"",""""))))/2),ROUNDUP(INDEX(Upgrades!$C$3:$C$13,MATCH(C517,Upgrades!$B$3:$B$13,0))*1.15^(COUNTIF(C$4:C516,C517)-COUNTIF(C$4:C516,""Sell_""&amp;C517))))))"),"")</f>
        <v/>
      </c>
      <c r="H517" s="10" t="str">
        <f t="shared" si="3"/>
        <v/>
      </c>
      <c r="I517" s="68" t="str">
        <f t="shared" si="4"/>
        <v/>
      </c>
      <c r="J517" s="59" t="str">
        <f t="shared" si="5"/>
        <v/>
      </c>
      <c r="K517" s="69" t="str">
        <f t="shared" si="6"/>
        <v/>
      </c>
      <c r="L517" s="60" t="str">
        <f t="shared" si="7"/>
        <v/>
      </c>
      <c r="M517" s="61" t="str">
        <f>IFERROR(__xludf.DUMMYFUNCTION("IFS(AND(COUNTA(C517:C1673)=0,COUNTA(Q517:Q1673)=0),"""",OR(AND(K517&gt;=1000000000,OR(Y517&gt;=1000000000,COUNTA(Q517:Q1673)=0)),OR(Y517&gt;=1000000000,AND(COUNTA(C517:C1673)=0,P$3=TRUE))),
ROUNDDOWN((AB$1-AC$1)*MAX(INDEX(T$4:T1673,MATCH(LARGE(FILTER(Y$4:Y1673,Y$4"&amp;":Y1673&lt;1000000000),1),Y$4:Y1673)),INDEX(F$4:F1673,MATCH(LARGE(FILTER(K$4:K1673,K$4:K1673&lt;1000000000),1),K$4:K1673)))),AND(K517&lt;1000000000,COUNTA(C517:C1673)&gt;0,P$3=FALSE),
ROUNDDOWN(INDEX(Y$4:Y1673,MATCH(LARGE(FILTER(W$4:W1673,W$4:W1673&lt;=I517),1),W$4:W1673"&amp;"))+(I517-LARGE(FILTER(W$4:W1673,W$4:W1673&lt;=I517),1))*INDEX(T$4:T1673,MATCH(LARGE(FILTER(W$4:W1673,W$4:W1673&lt;=I517),1),W$4:W1673))-K517),1,
ROUNDDOWN(Y517-INDEX(K$4:K1673,MATCH(LARGE(FILTER(I$4:I1673,I$4:I1673&lt;=W517),1),I$4:I1673))-(W517-LARGE(FILTER(I$4:I"&amp;"1673,I$4:I1673&lt;=W517),1))*INDEX(F$4:F1673,MATCH(LARGE(FILTER(I$4:I1673,I$4:I1673&lt;=W517),1),I$4:I1673))))"),"")</f>
        <v/>
      </c>
      <c r="N517" s="60" t="str">
        <f t="shared" si="8"/>
        <v/>
      </c>
      <c r="O517" s="61" t="str">
        <f t="shared" si="9"/>
        <v/>
      </c>
      <c r="P517" s="56" t="str">
        <f t="shared" si="10"/>
        <v/>
      </c>
      <c r="Q517" s="105"/>
      <c r="R517" s="10"/>
      <c r="S517" s="59" t="str">
        <f t="array" ref="S517">IF(COUNTA(Q517:Q1673)=0,"",SUM((COUNTIF(Q$4:Q517,Upgrades!$B$3:$B$13)-COUNTIF(Q$4:Q517,"Sell_"&amp;Upgrades!$B$3:$B$13))*Upgrades!$D$3:$D$13))</f>
        <v/>
      </c>
      <c r="T517" s="66" t="str">
        <f>IFERROR(__xludf.DUMMYFUNCTION("IF(COUNTA(Q517:Q1673)=0,"""",IF(REGEXMATCH(INDEX(FILTER(Q$4:Q517,Q$4:Q517&lt;&gt;""""),ROWS(FILTER(Q$4:Q517,Q$4:Q517&lt;&gt;""""))),""^Sell_""),INDEX(FILTER(T$4:T516,Q$4:Q516&lt;&gt;""""),ROWS(FILTER(Q$4:Q516,Q$4:Q516&lt;&gt;""""))),$AD$5+S517))"),"")</f>
        <v/>
      </c>
      <c r="U517" s="10" t="str">
        <f>IFERROR(__xludf.DUMMYFUNCTION("IF(COUNTA(Q517:Q1673)=0,"""",IF(Q517="""",0,IF(REGEXMATCH(Q517,""^Sell_""),-ROUNDDOWN(ROUNDUP(INDEX(Upgrades!$C$3:$C$13,MATCH(SUBSTITUTE(Q517,""Sell_"",""""),Upgrades!$B$3:$B$13,0))*1.15^(COUNTIF(Q$4:Q516,SUBSTITUTE(Q517,""Sell_"",""""))-COUNTIF(Q$4:Q516,"&amp;"""Sell_""&amp;SUBSTITUTE(Q517,""Sell_"",""""))))/2),ROUNDUP(INDEX(Upgrades!$C$3:$C$13,MATCH(Q517,Upgrades!$B$3:$B$13,0))*1.15^(COUNTIF(Q$4:Q516,Q517)-COUNTIF(Q$4:Q516,""Sell_""&amp;Q517))))))"),"")</f>
        <v/>
      </c>
      <c r="V517" s="10" t="str">
        <f t="shared" si="11"/>
        <v/>
      </c>
      <c r="W517" s="68" t="str">
        <f t="shared" si="12"/>
        <v/>
      </c>
      <c r="X517" s="59" t="str">
        <f t="shared" si="13"/>
        <v/>
      </c>
      <c r="Y517" s="69" t="str">
        <f t="shared" si="14"/>
        <v/>
      </c>
      <c r="Z517" s="11"/>
    </row>
    <row r="518">
      <c r="A518" s="8"/>
      <c r="B518" s="56" t="str">
        <f t="shared" si="2"/>
        <v/>
      </c>
      <c r="C518" s="105"/>
      <c r="D518" s="10"/>
      <c r="E518" s="59" t="str">
        <f t="array" ref="E518">IF(COUNTA(C518:C1673)=0,"",SUM((COUNTIF(C$4:C518,Upgrades!$B$3:$B$13)-COUNTIF(C$4:C518,"Sell_"&amp;Upgrades!$B$3:$B$13))*Upgrades!$D$3:$D$13))</f>
        <v/>
      </c>
      <c r="F518" s="66" t="str">
        <f>IFERROR(__xludf.DUMMYFUNCTION("IF(COUNTA(C518:C1673)=0,"""",IF(REGEXMATCH(INDEX(FILTER(C$4:C518,C$4:C518&lt;&gt;""""),ROWS(FILTER(C$4:C518,C$4:C518&lt;&gt;""""))),""^Sell_""),INDEX(FILTER(F$4:F517,C$4:C517&lt;&gt;""""),ROWS(FILTER(C$4:C517,C$4:C517&lt;&gt;""""))),$AC$5+E518))"),"")</f>
        <v/>
      </c>
      <c r="G518" s="10" t="str">
        <f>IFERROR(__xludf.DUMMYFUNCTION("IF(COUNTA(C518:C1673)=0,"""",IF(C518="""",0,IF(REGEXMATCH(C518,""^Sell_""),-ROUNDDOWN(ROUNDUP(INDEX(Upgrades!$C$3:$C$13,MATCH(SUBSTITUTE(C518,""Sell_"",""""),Upgrades!$B$3:$B$13,0))*1.15^(COUNTIF(C$4:C517,SUBSTITUTE(C518,""Sell_"",""""))-COUNTIF(C$4:C517,"&amp;"""Sell_""&amp;SUBSTITUTE(C518,""Sell_"",""""))))/2),ROUNDUP(INDEX(Upgrades!$C$3:$C$13,MATCH(C518,Upgrades!$B$3:$B$13,0))*1.15^(COUNTIF(C$4:C517,C518)-COUNTIF(C$4:C517,""Sell_""&amp;C518))))))"),"")</f>
        <v/>
      </c>
      <c r="H518" s="10" t="str">
        <f t="shared" si="3"/>
        <v/>
      </c>
      <c r="I518" s="68" t="str">
        <f t="shared" si="4"/>
        <v/>
      </c>
      <c r="J518" s="59" t="str">
        <f t="shared" si="5"/>
        <v/>
      </c>
      <c r="K518" s="69" t="str">
        <f t="shared" si="6"/>
        <v/>
      </c>
      <c r="L518" s="60" t="str">
        <f t="shared" si="7"/>
        <v/>
      </c>
      <c r="M518" s="61" t="str">
        <f>IFERROR(__xludf.DUMMYFUNCTION("IFS(AND(COUNTA(C518:C1673)=0,COUNTA(Q518:Q1673)=0),"""",OR(AND(K518&gt;=1000000000,OR(Y518&gt;=1000000000,COUNTA(Q518:Q1673)=0)),OR(Y518&gt;=1000000000,AND(COUNTA(C518:C1673)=0,P$3=TRUE))),
ROUNDDOWN((AB$1-AC$1)*MAX(INDEX(T$4:T1673,MATCH(LARGE(FILTER(Y$4:Y1673,Y$4"&amp;":Y1673&lt;1000000000),1),Y$4:Y1673)),INDEX(F$4:F1673,MATCH(LARGE(FILTER(K$4:K1673,K$4:K1673&lt;1000000000),1),K$4:K1673)))),AND(K518&lt;1000000000,COUNTA(C518:C1673)&gt;0,P$3=FALSE),
ROUNDDOWN(INDEX(Y$4:Y1673,MATCH(LARGE(FILTER(W$4:W1673,W$4:W1673&lt;=I518),1),W$4:W1673"&amp;"))+(I518-LARGE(FILTER(W$4:W1673,W$4:W1673&lt;=I518),1))*INDEX(T$4:T1673,MATCH(LARGE(FILTER(W$4:W1673,W$4:W1673&lt;=I518),1),W$4:W1673))-K518),1,
ROUNDDOWN(Y518-INDEX(K$4:K1673,MATCH(LARGE(FILTER(I$4:I1673,I$4:I1673&lt;=W518),1),I$4:I1673))-(W518-LARGE(FILTER(I$4:I"&amp;"1673,I$4:I1673&lt;=W518),1))*INDEX(F$4:F1673,MATCH(LARGE(FILTER(I$4:I1673,I$4:I1673&lt;=W518),1),I$4:I1673))))"),"")</f>
        <v/>
      </c>
      <c r="N518" s="60" t="str">
        <f t="shared" si="8"/>
        <v/>
      </c>
      <c r="O518" s="61" t="str">
        <f t="shared" si="9"/>
        <v/>
      </c>
      <c r="P518" s="56" t="str">
        <f t="shared" si="10"/>
        <v/>
      </c>
      <c r="Q518" s="105"/>
      <c r="R518" s="10"/>
      <c r="S518" s="59" t="str">
        <f t="array" ref="S518">IF(COUNTA(Q518:Q1673)=0,"",SUM((COUNTIF(Q$4:Q518,Upgrades!$B$3:$B$13)-COUNTIF(Q$4:Q518,"Sell_"&amp;Upgrades!$B$3:$B$13))*Upgrades!$D$3:$D$13))</f>
        <v/>
      </c>
      <c r="T518" s="66" t="str">
        <f>IFERROR(__xludf.DUMMYFUNCTION("IF(COUNTA(Q518:Q1673)=0,"""",IF(REGEXMATCH(INDEX(FILTER(Q$4:Q518,Q$4:Q518&lt;&gt;""""),ROWS(FILTER(Q$4:Q518,Q$4:Q518&lt;&gt;""""))),""^Sell_""),INDEX(FILTER(T$4:T517,Q$4:Q517&lt;&gt;""""),ROWS(FILTER(Q$4:Q517,Q$4:Q517&lt;&gt;""""))),$AD$5+S518))"),"")</f>
        <v/>
      </c>
      <c r="U518" s="10" t="str">
        <f>IFERROR(__xludf.DUMMYFUNCTION("IF(COUNTA(Q518:Q1673)=0,"""",IF(Q518="""",0,IF(REGEXMATCH(Q518,""^Sell_""),-ROUNDDOWN(ROUNDUP(INDEX(Upgrades!$C$3:$C$13,MATCH(SUBSTITUTE(Q518,""Sell_"",""""),Upgrades!$B$3:$B$13,0))*1.15^(COUNTIF(Q$4:Q517,SUBSTITUTE(Q518,""Sell_"",""""))-COUNTIF(Q$4:Q517,"&amp;"""Sell_""&amp;SUBSTITUTE(Q518,""Sell_"",""""))))/2),ROUNDUP(INDEX(Upgrades!$C$3:$C$13,MATCH(Q518,Upgrades!$B$3:$B$13,0))*1.15^(COUNTIF(Q$4:Q517,Q518)-COUNTIF(Q$4:Q517,""Sell_""&amp;Q518))))))"),"")</f>
        <v/>
      </c>
      <c r="V518" s="10" t="str">
        <f t="shared" si="11"/>
        <v/>
      </c>
      <c r="W518" s="68" t="str">
        <f t="shared" si="12"/>
        <v/>
      </c>
      <c r="X518" s="59" t="str">
        <f t="shared" si="13"/>
        <v/>
      </c>
      <c r="Y518" s="69" t="str">
        <f t="shared" si="14"/>
        <v/>
      </c>
      <c r="Z518" s="11"/>
    </row>
    <row r="519">
      <c r="A519" s="8"/>
      <c r="B519" s="56" t="str">
        <f t="shared" si="2"/>
        <v/>
      </c>
      <c r="C519" s="105"/>
      <c r="D519" s="10"/>
      <c r="E519" s="59" t="str">
        <f t="array" ref="E519">IF(COUNTA(C519:C1673)=0,"",SUM((COUNTIF(C$4:C519,Upgrades!$B$3:$B$13)-COUNTIF(C$4:C519,"Sell_"&amp;Upgrades!$B$3:$B$13))*Upgrades!$D$3:$D$13))</f>
        <v/>
      </c>
      <c r="F519" s="66" t="str">
        <f>IFERROR(__xludf.DUMMYFUNCTION("IF(COUNTA(C519:C1673)=0,"""",IF(REGEXMATCH(INDEX(FILTER(C$4:C519,C$4:C519&lt;&gt;""""),ROWS(FILTER(C$4:C519,C$4:C519&lt;&gt;""""))),""^Sell_""),INDEX(FILTER(F$4:F518,C$4:C518&lt;&gt;""""),ROWS(FILTER(C$4:C518,C$4:C518&lt;&gt;""""))),$AC$5+E519))"),"")</f>
        <v/>
      </c>
      <c r="G519" s="10" t="str">
        <f>IFERROR(__xludf.DUMMYFUNCTION("IF(COUNTA(C519:C1673)=0,"""",IF(C519="""",0,IF(REGEXMATCH(C519,""^Sell_""),-ROUNDDOWN(ROUNDUP(INDEX(Upgrades!$C$3:$C$13,MATCH(SUBSTITUTE(C519,""Sell_"",""""),Upgrades!$B$3:$B$13,0))*1.15^(COUNTIF(C$4:C518,SUBSTITUTE(C519,""Sell_"",""""))-COUNTIF(C$4:C518,"&amp;"""Sell_""&amp;SUBSTITUTE(C519,""Sell_"",""""))))/2),ROUNDUP(INDEX(Upgrades!$C$3:$C$13,MATCH(C519,Upgrades!$B$3:$B$13,0))*1.15^(COUNTIF(C$4:C518,C519)-COUNTIF(C$4:C518,""Sell_""&amp;C519))))))"),"")</f>
        <v/>
      </c>
      <c r="H519" s="10" t="str">
        <f t="shared" si="3"/>
        <v/>
      </c>
      <c r="I519" s="68" t="str">
        <f t="shared" si="4"/>
        <v/>
      </c>
      <c r="J519" s="59" t="str">
        <f t="shared" si="5"/>
        <v/>
      </c>
      <c r="K519" s="69" t="str">
        <f t="shared" si="6"/>
        <v/>
      </c>
      <c r="L519" s="60" t="str">
        <f t="shared" si="7"/>
        <v/>
      </c>
      <c r="M519" s="61" t="str">
        <f>IFERROR(__xludf.DUMMYFUNCTION("IFS(AND(COUNTA(C519:C1673)=0,COUNTA(Q519:Q1673)=0),"""",OR(AND(K519&gt;=1000000000,OR(Y519&gt;=1000000000,COUNTA(Q519:Q1673)=0)),OR(Y519&gt;=1000000000,AND(COUNTA(C519:C1673)=0,P$3=TRUE))),
ROUNDDOWN((AB$1-AC$1)*MAX(INDEX(T$4:T1673,MATCH(LARGE(FILTER(Y$4:Y1673,Y$4"&amp;":Y1673&lt;1000000000),1),Y$4:Y1673)),INDEX(F$4:F1673,MATCH(LARGE(FILTER(K$4:K1673,K$4:K1673&lt;1000000000),1),K$4:K1673)))),AND(K519&lt;1000000000,COUNTA(C519:C1673)&gt;0,P$3=FALSE),
ROUNDDOWN(INDEX(Y$4:Y1673,MATCH(LARGE(FILTER(W$4:W1673,W$4:W1673&lt;=I519),1),W$4:W1673"&amp;"))+(I519-LARGE(FILTER(W$4:W1673,W$4:W1673&lt;=I519),1))*INDEX(T$4:T1673,MATCH(LARGE(FILTER(W$4:W1673,W$4:W1673&lt;=I519),1),W$4:W1673))-K519),1,
ROUNDDOWN(Y519-INDEX(K$4:K1673,MATCH(LARGE(FILTER(I$4:I1673,I$4:I1673&lt;=W519),1),I$4:I1673))-(W519-LARGE(FILTER(I$4:I"&amp;"1673,I$4:I1673&lt;=W519),1))*INDEX(F$4:F1673,MATCH(LARGE(FILTER(I$4:I1673,I$4:I1673&lt;=W519),1),I$4:I1673))))"),"")</f>
        <v/>
      </c>
      <c r="N519" s="60" t="str">
        <f t="shared" si="8"/>
        <v/>
      </c>
      <c r="O519" s="61" t="str">
        <f t="shared" si="9"/>
        <v/>
      </c>
      <c r="P519" s="56" t="str">
        <f t="shared" si="10"/>
        <v/>
      </c>
      <c r="Q519" s="105"/>
      <c r="R519" s="10"/>
      <c r="S519" s="59" t="str">
        <f t="array" ref="S519">IF(COUNTA(Q519:Q1673)=0,"",SUM((COUNTIF(Q$4:Q519,Upgrades!$B$3:$B$13)-COUNTIF(Q$4:Q519,"Sell_"&amp;Upgrades!$B$3:$B$13))*Upgrades!$D$3:$D$13))</f>
        <v/>
      </c>
      <c r="T519" s="66" t="str">
        <f>IFERROR(__xludf.DUMMYFUNCTION("IF(COUNTA(Q519:Q1673)=0,"""",IF(REGEXMATCH(INDEX(FILTER(Q$4:Q519,Q$4:Q519&lt;&gt;""""),ROWS(FILTER(Q$4:Q519,Q$4:Q519&lt;&gt;""""))),""^Sell_""),INDEX(FILTER(T$4:T518,Q$4:Q518&lt;&gt;""""),ROWS(FILTER(Q$4:Q518,Q$4:Q518&lt;&gt;""""))),$AD$5+S519))"),"")</f>
        <v/>
      </c>
      <c r="U519" s="10" t="str">
        <f>IFERROR(__xludf.DUMMYFUNCTION("IF(COUNTA(Q519:Q1673)=0,"""",IF(Q519="""",0,IF(REGEXMATCH(Q519,""^Sell_""),-ROUNDDOWN(ROUNDUP(INDEX(Upgrades!$C$3:$C$13,MATCH(SUBSTITUTE(Q519,""Sell_"",""""),Upgrades!$B$3:$B$13,0))*1.15^(COUNTIF(Q$4:Q518,SUBSTITUTE(Q519,""Sell_"",""""))-COUNTIF(Q$4:Q518,"&amp;"""Sell_""&amp;SUBSTITUTE(Q519,""Sell_"",""""))))/2),ROUNDUP(INDEX(Upgrades!$C$3:$C$13,MATCH(Q519,Upgrades!$B$3:$B$13,0))*1.15^(COUNTIF(Q$4:Q518,Q519)-COUNTIF(Q$4:Q518,""Sell_""&amp;Q519))))))"),"")</f>
        <v/>
      </c>
      <c r="V519" s="10" t="str">
        <f t="shared" si="11"/>
        <v/>
      </c>
      <c r="W519" s="68" t="str">
        <f t="shared" si="12"/>
        <v/>
      </c>
      <c r="X519" s="59" t="str">
        <f t="shared" si="13"/>
        <v/>
      </c>
      <c r="Y519" s="69" t="str">
        <f t="shared" si="14"/>
        <v/>
      </c>
      <c r="Z519" s="11"/>
    </row>
    <row r="520">
      <c r="A520" s="8"/>
      <c r="B520" s="56" t="str">
        <f t="shared" si="2"/>
        <v/>
      </c>
      <c r="C520" s="105"/>
      <c r="D520" s="10"/>
      <c r="E520" s="59" t="str">
        <f t="array" ref="E520">IF(COUNTA(C520:C1673)=0,"",SUM((COUNTIF(C$4:C520,Upgrades!$B$3:$B$13)-COUNTIF(C$4:C520,"Sell_"&amp;Upgrades!$B$3:$B$13))*Upgrades!$D$3:$D$13))</f>
        <v/>
      </c>
      <c r="F520" s="66" t="str">
        <f>IFERROR(__xludf.DUMMYFUNCTION("IF(COUNTA(C520:C1673)=0,"""",IF(REGEXMATCH(INDEX(FILTER(C$4:C520,C$4:C520&lt;&gt;""""),ROWS(FILTER(C$4:C520,C$4:C520&lt;&gt;""""))),""^Sell_""),INDEX(FILTER(F$4:F519,C$4:C519&lt;&gt;""""),ROWS(FILTER(C$4:C519,C$4:C519&lt;&gt;""""))),$AC$5+E520))"),"")</f>
        <v/>
      </c>
      <c r="G520" s="10" t="str">
        <f>IFERROR(__xludf.DUMMYFUNCTION("IF(COUNTA(C520:C1673)=0,"""",IF(C520="""",0,IF(REGEXMATCH(C520,""^Sell_""),-ROUNDDOWN(ROUNDUP(INDEX(Upgrades!$C$3:$C$13,MATCH(SUBSTITUTE(C520,""Sell_"",""""),Upgrades!$B$3:$B$13,0))*1.15^(COUNTIF(C$4:C519,SUBSTITUTE(C520,""Sell_"",""""))-COUNTIF(C$4:C519,"&amp;"""Sell_""&amp;SUBSTITUTE(C520,""Sell_"",""""))))/2),ROUNDUP(INDEX(Upgrades!$C$3:$C$13,MATCH(C520,Upgrades!$B$3:$B$13,0))*1.15^(COUNTIF(C$4:C519,C520)-COUNTIF(C$4:C519,""Sell_""&amp;C520))))))"),"")</f>
        <v/>
      </c>
      <c r="H520" s="10" t="str">
        <f t="shared" si="3"/>
        <v/>
      </c>
      <c r="I520" s="68" t="str">
        <f t="shared" si="4"/>
        <v/>
      </c>
      <c r="J520" s="59" t="str">
        <f t="shared" si="5"/>
        <v/>
      </c>
      <c r="K520" s="69" t="str">
        <f t="shared" si="6"/>
        <v/>
      </c>
      <c r="L520" s="60" t="str">
        <f t="shared" si="7"/>
        <v/>
      </c>
      <c r="M520" s="61" t="str">
        <f>IFERROR(__xludf.DUMMYFUNCTION("IFS(AND(COUNTA(C520:C1673)=0,COUNTA(Q520:Q1673)=0),"""",OR(AND(K520&gt;=1000000000,OR(Y520&gt;=1000000000,COUNTA(Q520:Q1673)=0)),OR(Y520&gt;=1000000000,AND(COUNTA(C520:C1673)=0,P$3=TRUE))),
ROUNDDOWN((AB$1-AC$1)*MAX(INDEX(T$4:T1673,MATCH(LARGE(FILTER(Y$4:Y1673,Y$4"&amp;":Y1673&lt;1000000000),1),Y$4:Y1673)),INDEX(F$4:F1673,MATCH(LARGE(FILTER(K$4:K1673,K$4:K1673&lt;1000000000),1),K$4:K1673)))),AND(K520&lt;1000000000,COUNTA(C520:C1673)&gt;0,P$3=FALSE),
ROUNDDOWN(INDEX(Y$4:Y1673,MATCH(LARGE(FILTER(W$4:W1673,W$4:W1673&lt;=I520),1),W$4:W1673"&amp;"))+(I520-LARGE(FILTER(W$4:W1673,W$4:W1673&lt;=I520),1))*INDEX(T$4:T1673,MATCH(LARGE(FILTER(W$4:W1673,W$4:W1673&lt;=I520),1),W$4:W1673))-K520),1,
ROUNDDOWN(Y520-INDEX(K$4:K1673,MATCH(LARGE(FILTER(I$4:I1673,I$4:I1673&lt;=W520),1),I$4:I1673))-(W520-LARGE(FILTER(I$4:I"&amp;"1673,I$4:I1673&lt;=W520),1))*INDEX(F$4:F1673,MATCH(LARGE(FILTER(I$4:I1673,I$4:I1673&lt;=W520),1),I$4:I1673))))"),"")</f>
        <v/>
      </c>
      <c r="N520" s="60" t="str">
        <f t="shared" si="8"/>
        <v/>
      </c>
      <c r="O520" s="61" t="str">
        <f t="shared" si="9"/>
        <v/>
      </c>
      <c r="P520" s="56" t="str">
        <f t="shared" si="10"/>
        <v/>
      </c>
      <c r="Q520" s="105"/>
      <c r="R520" s="10"/>
      <c r="S520" s="59" t="str">
        <f t="array" ref="S520">IF(COUNTA(Q520:Q1673)=0,"",SUM((COUNTIF(Q$4:Q520,Upgrades!$B$3:$B$13)-COUNTIF(Q$4:Q520,"Sell_"&amp;Upgrades!$B$3:$B$13))*Upgrades!$D$3:$D$13))</f>
        <v/>
      </c>
      <c r="T520" s="66" t="str">
        <f>IFERROR(__xludf.DUMMYFUNCTION("IF(COUNTA(Q520:Q1673)=0,"""",IF(REGEXMATCH(INDEX(FILTER(Q$4:Q520,Q$4:Q520&lt;&gt;""""),ROWS(FILTER(Q$4:Q520,Q$4:Q520&lt;&gt;""""))),""^Sell_""),INDEX(FILTER(T$4:T519,Q$4:Q519&lt;&gt;""""),ROWS(FILTER(Q$4:Q519,Q$4:Q519&lt;&gt;""""))),$AD$5+S520))"),"")</f>
        <v/>
      </c>
      <c r="U520" s="10" t="str">
        <f>IFERROR(__xludf.DUMMYFUNCTION("IF(COUNTA(Q520:Q1673)=0,"""",IF(Q520="""",0,IF(REGEXMATCH(Q520,""^Sell_""),-ROUNDDOWN(ROUNDUP(INDEX(Upgrades!$C$3:$C$13,MATCH(SUBSTITUTE(Q520,""Sell_"",""""),Upgrades!$B$3:$B$13,0))*1.15^(COUNTIF(Q$4:Q519,SUBSTITUTE(Q520,""Sell_"",""""))-COUNTIF(Q$4:Q519,"&amp;"""Sell_""&amp;SUBSTITUTE(Q520,""Sell_"",""""))))/2),ROUNDUP(INDEX(Upgrades!$C$3:$C$13,MATCH(Q520,Upgrades!$B$3:$B$13,0))*1.15^(COUNTIF(Q$4:Q519,Q520)-COUNTIF(Q$4:Q519,""Sell_""&amp;Q520))))))"),"")</f>
        <v/>
      </c>
      <c r="V520" s="10" t="str">
        <f t="shared" si="11"/>
        <v/>
      </c>
      <c r="W520" s="68" t="str">
        <f t="shared" si="12"/>
        <v/>
      </c>
      <c r="X520" s="59" t="str">
        <f t="shared" si="13"/>
        <v/>
      </c>
      <c r="Y520" s="69" t="str">
        <f t="shared" si="14"/>
        <v/>
      </c>
      <c r="Z520" s="11"/>
    </row>
    <row r="521">
      <c r="A521" s="8"/>
      <c r="B521" s="56" t="str">
        <f t="shared" si="2"/>
        <v/>
      </c>
      <c r="C521" s="105"/>
      <c r="D521" s="10"/>
      <c r="E521" s="59" t="str">
        <f t="array" ref="E521">IF(COUNTA(C521:C1673)=0,"",SUM((COUNTIF(C$4:C521,Upgrades!$B$3:$B$13)-COUNTIF(C$4:C521,"Sell_"&amp;Upgrades!$B$3:$B$13))*Upgrades!$D$3:$D$13))</f>
        <v/>
      </c>
      <c r="F521" s="66" t="str">
        <f>IFERROR(__xludf.DUMMYFUNCTION("IF(COUNTA(C521:C1673)=0,"""",IF(REGEXMATCH(INDEX(FILTER(C$4:C521,C$4:C521&lt;&gt;""""),ROWS(FILTER(C$4:C521,C$4:C521&lt;&gt;""""))),""^Sell_""),INDEX(FILTER(F$4:F520,C$4:C520&lt;&gt;""""),ROWS(FILTER(C$4:C520,C$4:C520&lt;&gt;""""))),$AC$5+E521))"),"")</f>
        <v/>
      </c>
      <c r="G521" s="10" t="str">
        <f>IFERROR(__xludf.DUMMYFUNCTION("IF(COUNTA(C521:C1673)=0,"""",IF(C521="""",0,IF(REGEXMATCH(C521,""^Sell_""),-ROUNDDOWN(ROUNDUP(INDEX(Upgrades!$C$3:$C$13,MATCH(SUBSTITUTE(C521,""Sell_"",""""),Upgrades!$B$3:$B$13,0))*1.15^(COUNTIF(C$4:C520,SUBSTITUTE(C521,""Sell_"",""""))-COUNTIF(C$4:C520,"&amp;"""Sell_""&amp;SUBSTITUTE(C521,""Sell_"",""""))))/2),ROUNDUP(INDEX(Upgrades!$C$3:$C$13,MATCH(C521,Upgrades!$B$3:$B$13,0))*1.15^(COUNTIF(C$4:C520,C521)-COUNTIF(C$4:C520,""Sell_""&amp;C521))))))"),"")</f>
        <v/>
      </c>
      <c r="H521" s="10" t="str">
        <f t="shared" si="3"/>
        <v/>
      </c>
      <c r="I521" s="68" t="str">
        <f t="shared" si="4"/>
        <v/>
      </c>
      <c r="J521" s="59" t="str">
        <f t="shared" si="5"/>
        <v/>
      </c>
      <c r="K521" s="69" t="str">
        <f t="shared" si="6"/>
        <v/>
      </c>
      <c r="L521" s="60" t="str">
        <f t="shared" si="7"/>
        <v/>
      </c>
      <c r="M521" s="61" t="str">
        <f>IFERROR(__xludf.DUMMYFUNCTION("IFS(AND(COUNTA(C521:C1673)=0,COUNTA(Q521:Q1673)=0),"""",OR(AND(K521&gt;=1000000000,OR(Y521&gt;=1000000000,COUNTA(Q521:Q1673)=0)),OR(Y521&gt;=1000000000,AND(COUNTA(C521:C1673)=0,P$3=TRUE))),
ROUNDDOWN((AB$1-AC$1)*MAX(INDEX(T$4:T1673,MATCH(LARGE(FILTER(Y$4:Y1673,Y$4"&amp;":Y1673&lt;1000000000),1),Y$4:Y1673)),INDEX(F$4:F1673,MATCH(LARGE(FILTER(K$4:K1673,K$4:K1673&lt;1000000000),1),K$4:K1673)))),AND(K521&lt;1000000000,COUNTA(C521:C1673)&gt;0,P$3=FALSE),
ROUNDDOWN(INDEX(Y$4:Y1673,MATCH(LARGE(FILTER(W$4:W1673,W$4:W1673&lt;=I521),1),W$4:W1673"&amp;"))+(I521-LARGE(FILTER(W$4:W1673,W$4:W1673&lt;=I521),1))*INDEX(T$4:T1673,MATCH(LARGE(FILTER(W$4:W1673,W$4:W1673&lt;=I521),1),W$4:W1673))-K521),1,
ROUNDDOWN(Y521-INDEX(K$4:K1673,MATCH(LARGE(FILTER(I$4:I1673,I$4:I1673&lt;=W521),1),I$4:I1673))-(W521-LARGE(FILTER(I$4:I"&amp;"1673,I$4:I1673&lt;=W521),1))*INDEX(F$4:F1673,MATCH(LARGE(FILTER(I$4:I1673,I$4:I1673&lt;=W521),1),I$4:I1673))))"),"")</f>
        <v/>
      </c>
      <c r="N521" s="60" t="str">
        <f t="shared" si="8"/>
        <v/>
      </c>
      <c r="O521" s="61" t="str">
        <f t="shared" si="9"/>
        <v/>
      </c>
      <c r="P521" s="56" t="str">
        <f t="shared" si="10"/>
        <v/>
      </c>
      <c r="Q521" s="105"/>
      <c r="R521" s="10"/>
      <c r="S521" s="59" t="str">
        <f t="array" ref="S521">IF(COUNTA(Q521:Q1673)=0,"",SUM((COUNTIF(Q$4:Q521,Upgrades!$B$3:$B$13)-COUNTIF(Q$4:Q521,"Sell_"&amp;Upgrades!$B$3:$B$13))*Upgrades!$D$3:$D$13))</f>
        <v/>
      </c>
      <c r="T521" s="66" t="str">
        <f>IFERROR(__xludf.DUMMYFUNCTION("IF(COUNTA(Q521:Q1673)=0,"""",IF(REGEXMATCH(INDEX(FILTER(Q$4:Q521,Q$4:Q521&lt;&gt;""""),ROWS(FILTER(Q$4:Q521,Q$4:Q521&lt;&gt;""""))),""^Sell_""),INDEX(FILTER(T$4:T520,Q$4:Q520&lt;&gt;""""),ROWS(FILTER(Q$4:Q520,Q$4:Q520&lt;&gt;""""))),$AD$5+S521))"),"")</f>
        <v/>
      </c>
      <c r="U521" s="10" t="str">
        <f>IFERROR(__xludf.DUMMYFUNCTION("IF(COUNTA(Q521:Q1673)=0,"""",IF(Q521="""",0,IF(REGEXMATCH(Q521,""^Sell_""),-ROUNDDOWN(ROUNDUP(INDEX(Upgrades!$C$3:$C$13,MATCH(SUBSTITUTE(Q521,""Sell_"",""""),Upgrades!$B$3:$B$13,0))*1.15^(COUNTIF(Q$4:Q520,SUBSTITUTE(Q521,""Sell_"",""""))-COUNTIF(Q$4:Q520,"&amp;"""Sell_""&amp;SUBSTITUTE(Q521,""Sell_"",""""))))/2),ROUNDUP(INDEX(Upgrades!$C$3:$C$13,MATCH(Q521,Upgrades!$B$3:$B$13,0))*1.15^(COUNTIF(Q$4:Q520,Q521)-COUNTIF(Q$4:Q520,""Sell_""&amp;Q521))))))"),"")</f>
        <v/>
      </c>
      <c r="V521" s="10" t="str">
        <f t="shared" si="11"/>
        <v/>
      </c>
      <c r="W521" s="68" t="str">
        <f t="shared" si="12"/>
        <v/>
      </c>
      <c r="X521" s="59" t="str">
        <f t="shared" si="13"/>
        <v/>
      </c>
      <c r="Y521" s="69" t="str">
        <f t="shared" si="14"/>
        <v/>
      </c>
      <c r="Z521" s="11"/>
    </row>
    <row r="522">
      <c r="A522" s="8"/>
      <c r="B522" s="56" t="str">
        <f t="shared" si="2"/>
        <v/>
      </c>
      <c r="C522" s="105"/>
      <c r="D522" s="10"/>
      <c r="E522" s="59" t="str">
        <f t="array" ref="E522">IF(COUNTA(C522:C1673)=0,"",SUM((COUNTIF(C$4:C522,Upgrades!$B$3:$B$13)-COUNTIF(C$4:C522,"Sell_"&amp;Upgrades!$B$3:$B$13))*Upgrades!$D$3:$D$13))</f>
        <v/>
      </c>
      <c r="F522" s="66" t="str">
        <f>IFERROR(__xludf.DUMMYFUNCTION("IF(COUNTA(C522:C1673)=0,"""",IF(REGEXMATCH(INDEX(FILTER(C$4:C522,C$4:C522&lt;&gt;""""),ROWS(FILTER(C$4:C522,C$4:C522&lt;&gt;""""))),""^Sell_""),INDEX(FILTER(F$4:F521,C$4:C521&lt;&gt;""""),ROWS(FILTER(C$4:C521,C$4:C521&lt;&gt;""""))),$AC$5+E522))"),"")</f>
        <v/>
      </c>
      <c r="G522" s="10" t="str">
        <f>IFERROR(__xludf.DUMMYFUNCTION("IF(COUNTA(C522:C1673)=0,"""",IF(C522="""",0,IF(REGEXMATCH(C522,""^Sell_""),-ROUNDDOWN(ROUNDUP(INDEX(Upgrades!$C$3:$C$13,MATCH(SUBSTITUTE(C522,""Sell_"",""""),Upgrades!$B$3:$B$13,0))*1.15^(COUNTIF(C$4:C521,SUBSTITUTE(C522,""Sell_"",""""))-COUNTIF(C$4:C521,"&amp;"""Sell_""&amp;SUBSTITUTE(C522,""Sell_"",""""))))/2),ROUNDUP(INDEX(Upgrades!$C$3:$C$13,MATCH(C522,Upgrades!$B$3:$B$13,0))*1.15^(COUNTIF(C$4:C521,C522)-COUNTIF(C$4:C521,""Sell_""&amp;C522))))))"),"")</f>
        <v/>
      </c>
      <c r="H522" s="10" t="str">
        <f t="shared" si="3"/>
        <v/>
      </c>
      <c r="I522" s="68" t="str">
        <f t="shared" si="4"/>
        <v/>
      </c>
      <c r="J522" s="59" t="str">
        <f t="shared" si="5"/>
        <v/>
      </c>
      <c r="K522" s="69" t="str">
        <f t="shared" si="6"/>
        <v/>
      </c>
      <c r="L522" s="60" t="str">
        <f t="shared" si="7"/>
        <v/>
      </c>
      <c r="M522" s="61" t="str">
        <f>IFERROR(__xludf.DUMMYFUNCTION("IFS(AND(COUNTA(C522:C1673)=0,COUNTA(Q522:Q1673)=0),"""",OR(AND(K522&gt;=1000000000,OR(Y522&gt;=1000000000,COUNTA(Q522:Q1673)=0)),OR(Y522&gt;=1000000000,AND(COUNTA(C522:C1673)=0,P$3=TRUE))),
ROUNDDOWN((AB$1-AC$1)*MAX(INDEX(T$4:T1673,MATCH(LARGE(FILTER(Y$4:Y1673,Y$4"&amp;":Y1673&lt;1000000000),1),Y$4:Y1673)),INDEX(F$4:F1673,MATCH(LARGE(FILTER(K$4:K1673,K$4:K1673&lt;1000000000),1),K$4:K1673)))),AND(K522&lt;1000000000,COUNTA(C522:C1673)&gt;0,P$3=FALSE),
ROUNDDOWN(INDEX(Y$4:Y1673,MATCH(LARGE(FILTER(W$4:W1673,W$4:W1673&lt;=I522),1),W$4:W1673"&amp;"))+(I522-LARGE(FILTER(W$4:W1673,W$4:W1673&lt;=I522),1))*INDEX(T$4:T1673,MATCH(LARGE(FILTER(W$4:W1673,W$4:W1673&lt;=I522),1),W$4:W1673))-K522),1,
ROUNDDOWN(Y522-INDEX(K$4:K1673,MATCH(LARGE(FILTER(I$4:I1673,I$4:I1673&lt;=W522),1),I$4:I1673))-(W522-LARGE(FILTER(I$4:I"&amp;"1673,I$4:I1673&lt;=W522),1))*INDEX(F$4:F1673,MATCH(LARGE(FILTER(I$4:I1673,I$4:I1673&lt;=W522),1),I$4:I1673))))"),"")</f>
        <v/>
      </c>
      <c r="N522" s="60" t="str">
        <f t="shared" si="8"/>
        <v/>
      </c>
      <c r="O522" s="61" t="str">
        <f t="shared" si="9"/>
        <v/>
      </c>
      <c r="P522" s="56" t="str">
        <f t="shared" si="10"/>
        <v/>
      </c>
      <c r="Q522" s="105"/>
      <c r="R522" s="10"/>
      <c r="S522" s="59" t="str">
        <f t="array" ref="S522">IF(COUNTA(Q522:Q1673)=0,"",SUM((COUNTIF(Q$4:Q522,Upgrades!$B$3:$B$13)-COUNTIF(Q$4:Q522,"Sell_"&amp;Upgrades!$B$3:$B$13))*Upgrades!$D$3:$D$13))</f>
        <v/>
      </c>
      <c r="T522" s="66" t="str">
        <f>IFERROR(__xludf.DUMMYFUNCTION("IF(COUNTA(Q522:Q1673)=0,"""",IF(REGEXMATCH(INDEX(FILTER(Q$4:Q522,Q$4:Q522&lt;&gt;""""),ROWS(FILTER(Q$4:Q522,Q$4:Q522&lt;&gt;""""))),""^Sell_""),INDEX(FILTER(T$4:T521,Q$4:Q521&lt;&gt;""""),ROWS(FILTER(Q$4:Q521,Q$4:Q521&lt;&gt;""""))),$AD$5+S522))"),"")</f>
        <v/>
      </c>
      <c r="U522" s="10" t="str">
        <f>IFERROR(__xludf.DUMMYFUNCTION("IF(COUNTA(Q522:Q1673)=0,"""",IF(Q522="""",0,IF(REGEXMATCH(Q522,""^Sell_""),-ROUNDDOWN(ROUNDUP(INDEX(Upgrades!$C$3:$C$13,MATCH(SUBSTITUTE(Q522,""Sell_"",""""),Upgrades!$B$3:$B$13,0))*1.15^(COUNTIF(Q$4:Q521,SUBSTITUTE(Q522,""Sell_"",""""))-COUNTIF(Q$4:Q521,"&amp;"""Sell_""&amp;SUBSTITUTE(Q522,""Sell_"",""""))))/2),ROUNDUP(INDEX(Upgrades!$C$3:$C$13,MATCH(Q522,Upgrades!$B$3:$B$13,0))*1.15^(COUNTIF(Q$4:Q521,Q522)-COUNTIF(Q$4:Q521,""Sell_""&amp;Q522))))))"),"")</f>
        <v/>
      </c>
      <c r="V522" s="10" t="str">
        <f t="shared" si="11"/>
        <v/>
      </c>
      <c r="W522" s="68" t="str">
        <f t="shared" si="12"/>
        <v/>
      </c>
      <c r="X522" s="59" t="str">
        <f t="shared" si="13"/>
        <v/>
      </c>
      <c r="Y522" s="69" t="str">
        <f t="shared" si="14"/>
        <v/>
      </c>
      <c r="Z522" s="11"/>
    </row>
    <row r="523">
      <c r="A523" s="8"/>
      <c r="B523" s="56" t="str">
        <f t="shared" si="2"/>
        <v/>
      </c>
      <c r="C523" s="105"/>
      <c r="D523" s="10"/>
      <c r="E523" s="59" t="str">
        <f t="array" ref="E523">IF(COUNTA(C523:C1673)=0,"",SUM((COUNTIF(C$4:C523,Upgrades!$B$3:$B$13)-COUNTIF(C$4:C523,"Sell_"&amp;Upgrades!$B$3:$B$13))*Upgrades!$D$3:$D$13))</f>
        <v/>
      </c>
      <c r="F523" s="66" t="str">
        <f>IFERROR(__xludf.DUMMYFUNCTION("IF(COUNTA(C523:C1673)=0,"""",IF(REGEXMATCH(INDEX(FILTER(C$4:C523,C$4:C523&lt;&gt;""""),ROWS(FILTER(C$4:C523,C$4:C523&lt;&gt;""""))),""^Sell_""),INDEX(FILTER(F$4:F522,C$4:C522&lt;&gt;""""),ROWS(FILTER(C$4:C522,C$4:C522&lt;&gt;""""))),$AC$5+E523))"),"")</f>
        <v/>
      </c>
      <c r="G523" s="10" t="str">
        <f>IFERROR(__xludf.DUMMYFUNCTION("IF(COUNTA(C523:C1673)=0,"""",IF(C523="""",0,IF(REGEXMATCH(C523,""^Sell_""),-ROUNDDOWN(ROUNDUP(INDEX(Upgrades!$C$3:$C$13,MATCH(SUBSTITUTE(C523,""Sell_"",""""),Upgrades!$B$3:$B$13,0))*1.15^(COUNTIF(C$4:C522,SUBSTITUTE(C523,""Sell_"",""""))-COUNTIF(C$4:C522,"&amp;"""Sell_""&amp;SUBSTITUTE(C523,""Sell_"",""""))))/2),ROUNDUP(INDEX(Upgrades!$C$3:$C$13,MATCH(C523,Upgrades!$B$3:$B$13,0))*1.15^(COUNTIF(C$4:C522,C523)-COUNTIF(C$4:C522,""Sell_""&amp;C523))))))"),"")</f>
        <v/>
      </c>
      <c r="H523" s="10" t="str">
        <f t="shared" si="3"/>
        <v/>
      </c>
      <c r="I523" s="68" t="str">
        <f t="shared" si="4"/>
        <v/>
      </c>
      <c r="J523" s="59" t="str">
        <f t="shared" si="5"/>
        <v/>
      </c>
      <c r="K523" s="69" t="str">
        <f t="shared" si="6"/>
        <v/>
      </c>
      <c r="L523" s="60" t="str">
        <f t="shared" si="7"/>
        <v/>
      </c>
      <c r="M523" s="61" t="str">
        <f>IFERROR(__xludf.DUMMYFUNCTION("IFS(AND(COUNTA(C523:C1673)=0,COUNTA(Q523:Q1673)=0),"""",OR(AND(K523&gt;=1000000000,OR(Y523&gt;=1000000000,COUNTA(Q523:Q1673)=0)),OR(Y523&gt;=1000000000,AND(COUNTA(C523:C1673)=0,P$3=TRUE))),
ROUNDDOWN((AB$1-AC$1)*MAX(INDEX(T$4:T1673,MATCH(LARGE(FILTER(Y$4:Y1673,Y$4"&amp;":Y1673&lt;1000000000),1),Y$4:Y1673)),INDEX(F$4:F1673,MATCH(LARGE(FILTER(K$4:K1673,K$4:K1673&lt;1000000000),1),K$4:K1673)))),AND(K523&lt;1000000000,COUNTA(C523:C1673)&gt;0,P$3=FALSE),
ROUNDDOWN(INDEX(Y$4:Y1673,MATCH(LARGE(FILTER(W$4:W1673,W$4:W1673&lt;=I523),1),W$4:W1673"&amp;"))+(I523-LARGE(FILTER(W$4:W1673,W$4:W1673&lt;=I523),1))*INDEX(T$4:T1673,MATCH(LARGE(FILTER(W$4:W1673,W$4:W1673&lt;=I523),1),W$4:W1673))-K523),1,
ROUNDDOWN(Y523-INDEX(K$4:K1673,MATCH(LARGE(FILTER(I$4:I1673,I$4:I1673&lt;=W523),1),I$4:I1673))-(W523-LARGE(FILTER(I$4:I"&amp;"1673,I$4:I1673&lt;=W523),1))*INDEX(F$4:F1673,MATCH(LARGE(FILTER(I$4:I1673,I$4:I1673&lt;=W523),1),I$4:I1673))))"),"")</f>
        <v/>
      </c>
      <c r="N523" s="60" t="str">
        <f t="shared" si="8"/>
        <v/>
      </c>
      <c r="O523" s="61" t="str">
        <f t="shared" si="9"/>
        <v/>
      </c>
      <c r="P523" s="56" t="str">
        <f t="shared" si="10"/>
        <v/>
      </c>
      <c r="Q523" s="105"/>
      <c r="R523" s="10"/>
      <c r="S523" s="59" t="str">
        <f t="array" ref="S523">IF(COUNTA(Q523:Q1673)=0,"",SUM((COUNTIF(Q$4:Q523,Upgrades!$B$3:$B$13)-COUNTIF(Q$4:Q523,"Sell_"&amp;Upgrades!$B$3:$B$13))*Upgrades!$D$3:$D$13))</f>
        <v/>
      </c>
      <c r="T523" s="66" t="str">
        <f>IFERROR(__xludf.DUMMYFUNCTION("IF(COUNTA(Q523:Q1673)=0,"""",IF(REGEXMATCH(INDEX(FILTER(Q$4:Q523,Q$4:Q523&lt;&gt;""""),ROWS(FILTER(Q$4:Q523,Q$4:Q523&lt;&gt;""""))),""^Sell_""),INDEX(FILTER(T$4:T522,Q$4:Q522&lt;&gt;""""),ROWS(FILTER(Q$4:Q522,Q$4:Q522&lt;&gt;""""))),$AD$5+S523))"),"")</f>
        <v/>
      </c>
      <c r="U523" s="10" t="str">
        <f>IFERROR(__xludf.DUMMYFUNCTION("IF(COUNTA(Q523:Q1673)=0,"""",IF(Q523="""",0,IF(REGEXMATCH(Q523,""^Sell_""),-ROUNDDOWN(ROUNDUP(INDEX(Upgrades!$C$3:$C$13,MATCH(SUBSTITUTE(Q523,""Sell_"",""""),Upgrades!$B$3:$B$13,0))*1.15^(COUNTIF(Q$4:Q522,SUBSTITUTE(Q523,""Sell_"",""""))-COUNTIF(Q$4:Q522,"&amp;"""Sell_""&amp;SUBSTITUTE(Q523,""Sell_"",""""))))/2),ROUNDUP(INDEX(Upgrades!$C$3:$C$13,MATCH(Q523,Upgrades!$B$3:$B$13,0))*1.15^(COUNTIF(Q$4:Q522,Q523)-COUNTIF(Q$4:Q522,""Sell_""&amp;Q523))))))"),"")</f>
        <v/>
      </c>
      <c r="V523" s="10" t="str">
        <f t="shared" si="11"/>
        <v/>
      </c>
      <c r="W523" s="68" t="str">
        <f t="shared" si="12"/>
        <v/>
      </c>
      <c r="X523" s="59" t="str">
        <f t="shared" si="13"/>
        <v/>
      </c>
      <c r="Y523" s="69" t="str">
        <f t="shared" si="14"/>
        <v/>
      </c>
      <c r="Z523" s="11"/>
    </row>
    <row r="524">
      <c r="A524" s="8"/>
      <c r="B524" s="56" t="str">
        <f t="shared" si="2"/>
        <v/>
      </c>
      <c r="C524" s="105"/>
      <c r="D524" s="10"/>
      <c r="E524" s="59" t="str">
        <f t="array" ref="E524">IF(COUNTA(C524:C1673)=0,"",SUM((COUNTIF(C$4:C524,Upgrades!$B$3:$B$13)-COUNTIF(C$4:C524,"Sell_"&amp;Upgrades!$B$3:$B$13))*Upgrades!$D$3:$D$13))</f>
        <v/>
      </c>
      <c r="F524" s="66" t="str">
        <f>IFERROR(__xludf.DUMMYFUNCTION("IF(COUNTA(C524:C1673)=0,"""",IF(REGEXMATCH(INDEX(FILTER(C$4:C524,C$4:C524&lt;&gt;""""),ROWS(FILTER(C$4:C524,C$4:C524&lt;&gt;""""))),""^Sell_""),INDEX(FILTER(F$4:F523,C$4:C523&lt;&gt;""""),ROWS(FILTER(C$4:C523,C$4:C523&lt;&gt;""""))),$AC$5+E524))"),"")</f>
        <v/>
      </c>
      <c r="G524" s="10" t="str">
        <f>IFERROR(__xludf.DUMMYFUNCTION("IF(COUNTA(C524:C1673)=0,"""",IF(C524="""",0,IF(REGEXMATCH(C524,""^Sell_""),-ROUNDDOWN(ROUNDUP(INDEX(Upgrades!$C$3:$C$13,MATCH(SUBSTITUTE(C524,""Sell_"",""""),Upgrades!$B$3:$B$13,0))*1.15^(COUNTIF(C$4:C523,SUBSTITUTE(C524,""Sell_"",""""))-COUNTIF(C$4:C523,"&amp;"""Sell_""&amp;SUBSTITUTE(C524,""Sell_"",""""))))/2),ROUNDUP(INDEX(Upgrades!$C$3:$C$13,MATCH(C524,Upgrades!$B$3:$B$13,0))*1.15^(COUNTIF(C$4:C523,C524)-COUNTIF(C$4:C523,""Sell_""&amp;C524))))))"),"")</f>
        <v/>
      </c>
      <c r="H524" s="10" t="str">
        <f t="shared" si="3"/>
        <v/>
      </c>
      <c r="I524" s="68" t="str">
        <f t="shared" si="4"/>
        <v/>
      </c>
      <c r="J524" s="59" t="str">
        <f t="shared" si="5"/>
        <v/>
      </c>
      <c r="K524" s="69" t="str">
        <f t="shared" si="6"/>
        <v/>
      </c>
      <c r="L524" s="60" t="str">
        <f t="shared" si="7"/>
        <v/>
      </c>
      <c r="M524" s="61" t="str">
        <f>IFERROR(__xludf.DUMMYFUNCTION("IFS(AND(COUNTA(C524:C1673)=0,COUNTA(Q524:Q1673)=0),"""",OR(AND(K524&gt;=1000000000,OR(Y524&gt;=1000000000,COUNTA(Q524:Q1673)=0)),OR(Y524&gt;=1000000000,AND(COUNTA(C524:C1673)=0,P$3=TRUE))),
ROUNDDOWN((AB$1-AC$1)*MAX(INDEX(T$4:T1673,MATCH(LARGE(FILTER(Y$4:Y1673,Y$4"&amp;":Y1673&lt;1000000000),1),Y$4:Y1673)),INDEX(F$4:F1673,MATCH(LARGE(FILTER(K$4:K1673,K$4:K1673&lt;1000000000),1),K$4:K1673)))),AND(K524&lt;1000000000,COUNTA(C524:C1673)&gt;0,P$3=FALSE),
ROUNDDOWN(INDEX(Y$4:Y1673,MATCH(LARGE(FILTER(W$4:W1673,W$4:W1673&lt;=I524),1),W$4:W1673"&amp;"))+(I524-LARGE(FILTER(W$4:W1673,W$4:W1673&lt;=I524),1))*INDEX(T$4:T1673,MATCH(LARGE(FILTER(W$4:W1673,W$4:W1673&lt;=I524),1),W$4:W1673))-K524),1,
ROUNDDOWN(Y524-INDEX(K$4:K1673,MATCH(LARGE(FILTER(I$4:I1673,I$4:I1673&lt;=W524),1),I$4:I1673))-(W524-LARGE(FILTER(I$4:I"&amp;"1673,I$4:I1673&lt;=W524),1))*INDEX(F$4:F1673,MATCH(LARGE(FILTER(I$4:I1673,I$4:I1673&lt;=W524),1),I$4:I1673))))"),"")</f>
        <v/>
      </c>
      <c r="N524" s="60" t="str">
        <f t="shared" si="8"/>
        <v/>
      </c>
      <c r="O524" s="61" t="str">
        <f t="shared" si="9"/>
        <v/>
      </c>
      <c r="P524" s="56" t="str">
        <f t="shared" si="10"/>
        <v/>
      </c>
      <c r="Q524" s="105"/>
      <c r="R524" s="10"/>
      <c r="S524" s="59" t="str">
        <f t="array" ref="S524">IF(COUNTA(Q524:Q1673)=0,"",SUM((COUNTIF(Q$4:Q524,Upgrades!$B$3:$B$13)-COUNTIF(Q$4:Q524,"Sell_"&amp;Upgrades!$B$3:$B$13))*Upgrades!$D$3:$D$13))</f>
        <v/>
      </c>
      <c r="T524" s="66" t="str">
        <f>IFERROR(__xludf.DUMMYFUNCTION("IF(COUNTA(Q524:Q1673)=0,"""",IF(REGEXMATCH(INDEX(FILTER(Q$4:Q524,Q$4:Q524&lt;&gt;""""),ROWS(FILTER(Q$4:Q524,Q$4:Q524&lt;&gt;""""))),""^Sell_""),INDEX(FILTER(T$4:T523,Q$4:Q523&lt;&gt;""""),ROWS(FILTER(Q$4:Q523,Q$4:Q523&lt;&gt;""""))),$AD$5+S524))"),"")</f>
        <v/>
      </c>
      <c r="U524" s="10" t="str">
        <f>IFERROR(__xludf.DUMMYFUNCTION("IF(COUNTA(Q524:Q1673)=0,"""",IF(Q524="""",0,IF(REGEXMATCH(Q524,""^Sell_""),-ROUNDDOWN(ROUNDUP(INDEX(Upgrades!$C$3:$C$13,MATCH(SUBSTITUTE(Q524,""Sell_"",""""),Upgrades!$B$3:$B$13,0))*1.15^(COUNTIF(Q$4:Q523,SUBSTITUTE(Q524,""Sell_"",""""))-COUNTIF(Q$4:Q523,"&amp;"""Sell_""&amp;SUBSTITUTE(Q524,""Sell_"",""""))))/2),ROUNDUP(INDEX(Upgrades!$C$3:$C$13,MATCH(Q524,Upgrades!$B$3:$B$13,0))*1.15^(COUNTIF(Q$4:Q523,Q524)-COUNTIF(Q$4:Q523,""Sell_""&amp;Q524))))))"),"")</f>
        <v/>
      </c>
      <c r="V524" s="10" t="str">
        <f t="shared" si="11"/>
        <v/>
      </c>
      <c r="W524" s="68" t="str">
        <f t="shared" si="12"/>
        <v/>
      </c>
      <c r="X524" s="59" t="str">
        <f t="shared" si="13"/>
        <v/>
      </c>
      <c r="Y524" s="69" t="str">
        <f t="shared" si="14"/>
        <v/>
      </c>
      <c r="Z524" s="11"/>
    </row>
    <row r="525">
      <c r="A525" s="8"/>
      <c r="B525" s="56" t="str">
        <f t="shared" si="2"/>
        <v/>
      </c>
      <c r="C525" s="105"/>
      <c r="D525" s="10"/>
      <c r="E525" s="59" t="str">
        <f t="array" ref="E525">IF(COUNTA(C525:C1673)=0,"",SUM((COUNTIF(C$4:C525,Upgrades!$B$3:$B$13)-COUNTIF(C$4:C525,"Sell_"&amp;Upgrades!$B$3:$B$13))*Upgrades!$D$3:$D$13))</f>
        <v/>
      </c>
      <c r="F525" s="66" t="str">
        <f>IFERROR(__xludf.DUMMYFUNCTION("IF(COUNTA(C525:C1673)=0,"""",IF(REGEXMATCH(INDEX(FILTER(C$4:C525,C$4:C525&lt;&gt;""""),ROWS(FILTER(C$4:C525,C$4:C525&lt;&gt;""""))),""^Sell_""),INDEX(FILTER(F$4:F524,C$4:C524&lt;&gt;""""),ROWS(FILTER(C$4:C524,C$4:C524&lt;&gt;""""))),$AC$5+E525))"),"")</f>
        <v/>
      </c>
      <c r="G525" s="10" t="str">
        <f>IFERROR(__xludf.DUMMYFUNCTION("IF(COUNTA(C525:C1673)=0,"""",IF(C525="""",0,IF(REGEXMATCH(C525,""^Sell_""),-ROUNDDOWN(ROUNDUP(INDEX(Upgrades!$C$3:$C$13,MATCH(SUBSTITUTE(C525,""Sell_"",""""),Upgrades!$B$3:$B$13,0))*1.15^(COUNTIF(C$4:C524,SUBSTITUTE(C525,""Sell_"",""""))-COUNTIF(C$4:C524,"&amp;"""Sell_""&amp;SUBSTITUTE(C525,""Sell_"",""""))))/2),ROUNDUP(INDEX(Upgrades!$C$3:$C$13,MATCH(C525,Upgrades!$B$3:$B$13,0))*1.15^(COUNTIF(C$4:C524,C525)-COUNTIF(C$4:C524,""Sell_""&amp;C525))))))"),"")</f>
        <v/>
      </c>
      <c r="H525" s="10" t="str">
        <f t="shared" si="3"/>
        <v/>
      </c>
      <c r="I525" s="68" t="str">
        <f t="shared" si="4"/>
        <v/>
      </c>
      <c r="J525" s="59" t="str">
        <f t="shared" si="5"/>
        <v/>
      </c>
      <c r="K525" s="69" t="str">
        <f t="shared" si="6"/>
        <v/>
      </c>
      <c r="L525" s="60" t="str">
        <f t="shared" si="7"/>
        <v/>
      </c>
      <c r="M525" s="61" t="str">
        <f>IFERROR(__xludf.DUMMYFUNCTION("IFS(AND(COUNTA(C525:C1673)=0,COUNTA(Q525:Q1673)=0),"""",OR(AND(K525&gt;=1000000000,OR(Y525&gt;=1000000000,COUNTA(Q525:Q1673)=0)),OR(Y525&gt;=1000000000,AND(COUNTA(C525:C1673)=0,P$3=TRUE))),
ROUNDDOWN((AB$1-AC$1)*MAX(INDEX(T$4:T1673,MATCH(LARGE(FILTER(Y$4:Y1673,Y$4"&amp;":Y1673&lt;1000000000),1),Y$4:Y1673)),INDEX(F$4:F1673,MATCH(LARGE(FILTER(K$4:K1673,K$4:K1673&lt;1000000000),1),K$4:K1673)))),AND(K525&lt;1000000000,COUNTA(C525:C1673)&gt;0,P$3=FALSE),
ROUNDDOWN(INDEX(Y$4:Y1673,MATCH(LARGE(FILTER(W$4:W1673,W$4:W1673&lt;=I525),1),W$4:W1673"&amp;"))+(I525-LARGE(FILTER(W$4:W1673,W$4:W1673&lt;=I525),1))*INDEX(T$4:T1673,MATCH(LARGE(FILTER(W$4:W1673,W$4:W1673&lt;=I525),1),W$4:W1673))-K525),1,
ROUNDDOWN(Y525-INDEX(K$4:K1673,MATCH(LARGE(FILTER(I$4:I1673,I$4:I1673&lt;=W525),1),I$4:I1673))-(W525-LARGE(FILTER(I$4:I"&amp;"1673,I$4:I1673&lt;=W525),1))*INDEX(F$4:F1673,MATCH(LARGE(FILTER(I$4:I1673,I$4:I1673&lt;=W525),1),I$4:I1673))))"),"")</f>
        <v/>
      </c>
      <c r="N525" s="60" t="str">
        <f t="shared" si="8"/>
        <v/>
      </c>
      <c r="O525" s="61" t="str">
        <f t="shared" si="9"/>
        <v/>
      </c>
      <c r="P525" s="56" t="str">
        <f t="shared" si="10"/>
        <v/>
      </c>
      <c r="Q525" s="105"/>
      <c r="R525" s="10"/>
      <c r="S525" s="59" t="str">
        <f t="array" ref="S525">IF(COUNTA(Q525:Q1673)=0,"",SUM((COUNTIF(Q$4:Q525,Upgrades!$B$3:$B$13)-COUNTIF(Q$4:Q525,"Sell_"&amp;Upgrades!$B$3:$B$13))*Upgrades!$D$3:$D$13))</f>
        <v/>
      </c>
      <c r="T525" s="66" t="str">
        <f>IFERROR(__xludf.DUMMYFUNCTION("IF(COUNTA(Q525:Q1673)=0,"""",IF(REGEXMATCH(INDEX(FILTER(Q$4:Q525,Q$4:Q525&lt;&gt;""""),ROWS(FILTER(Q$4:Q525,Q$4:Q525&lt;&gt;""""))),""^Sell_""),INDEX(FILTER(T$4:T524,Q$4:Q524&lt;&gt;""""),ROWS(FILTER(Q$4:Q524,Q$4:Q524&lt;&gt;""""))),$AD$5+S525))"),"")</f>
        <v/>
      </c>
      <c r="U525" s="10" t="str">
        <f>IFERROR(__xludf.DUMMYFUNCTION("IF(COUNTA(Q525:Q1673)=0,"""",IF(Q525="""",0,IF(REGEXMATCH(Q525,""^Sell_""),-ROUNDDOWN(ROUNDUP(INDEX(Upgrades!$C$3:$C$13,MATCH(SUBSTITUTE(Q525,""Sell_"",""""),Upgrades!$B$3:$B$13,0))*1.15^(COUNTIF(Q$4:Q524,SUBSTITUTE(Q525,""Sell_"",""""))-COUNTIF(Q$4:Q524,"&amp;"""Sell_""&amp;SUBSTITUTE(Q525,""Sell_"",""""))))/2),ROUNDUP(INDEX(Upgrades!$C$3:$C$13,MATCH(Q525,Upgrades!$B$3:$B$13,0))*1.15^(COUNTIF(Q$4:Q524,Q525)-COUNTIF(Q$4:Q524,""Sell_""&amp;Q525))))))"),"")</f>
        <v/>
      </c>
      <c r="V525" s="10" t="str">
        <f t="shared" si="11"/>
        <v/>
      </c>
      <c r="W525" s="68" t="str">
        <f t="shared" si="12"/>
        <v/>
      </c>
      <c r="X525" s="59" t="str">
        <f t="shared" si="13"/>
        <v/>
      </c>
      <c r="Y525" s="69" t="str">
        <f t="shared" si="14"/>
        <v/>
      </c>
      <c r="Z525" s="11"/>
    </row>
    <row r="526">
      <c r="A526" s="8"/>
      <c r="B526" s="56" t="str">
        <f t="shared" si="2"/>
        <v/>
      </c>
      <c r="C526" s="105"/>
      <c r="D526" s="10"/>
      <c r="E526" s="59" t="str">
        <f t="array" ref="E526">IF(COUNTA(C526:C1673)=0,"",SUM((COUNTIF(C$4:C526,Upgrades!$B$3:$B$13)-COUNTIF(C$4:C526,"Sell_"&amp;Upgrades!$B$3:$B$13))*Upgrades!$D$3:$D$13))</f>
        <v/>
      </c>
      <c r="F526" s="66" t="str">
        <f>IFERROR(__xludf.DUMMYFUNCTION("IF(COUNTA(C526:C1673)=0,"""",IF(REGEXMATCH(INDEX(FILTER(C$4:C526,C$4:C526&lt;&gt;""""),ROWS(FILTER(C$4:C526,C$4:C526&lt;&gt;""""))),""^Sell_""),INDEX(FILTER(F$4:F525,C$4:C525&lt;&gt;""""),ROWS(FILTER(C$4:C525,C$4:C525&lt;&gt;""""))),$AC$5+E526))"),"")</f>
        <v/>
      </c>
      <c r="G526" s="10" t="str">
        <f>IFERROR(__xludf.DUMMYFUNCTION("IF(COUNTA(C526:C1673)=0,"""",IF(C526="""",0,IF(REGEXMATCH(C526,""^Sell_""),-ROUNDDOWN(ROUNDUP(INDEX(Upgrades!$C$3:$C$13,MATCH(SUBSTITUTE(C526,""Sell_"",""""),Upgrades!$B$3:$B$13,0))*1.15^(COUNTIF(C$4:C525,SUBSTITUTE(C526,""Sell_"",""""))-COUNTIF(C$4:C525,"&amp;"""Sell_""&amp;SUBSTITUTE(C526,""Sell_"",""""))))/2),ROUNDUP(INDEX(Upgrades!$C$3:$C$13,MATCH(C526,Upgrades!$B$3:$B$13,0))*1.15^(COUNTIF(C$4:C525,C526)-COUNTIF(C$4:C525,""Sell_""&amp;C526))))))"),"")</f>
        <v/>
      </c>
      <c r="H526" s="10" t="str">
        <f t="shared" si="3"/>
        <v/>
      </c>
      <c r="I526" s="68" t="str">
        <f t="shared" si="4"/>
        <v/>
      </c>
      <c r="J526" s="59" t="str">
        <f t="shared" si="5"/>
        <v/>
      </c>
      <c r="K526" s="69" t="str">
        <f t="shared" si="6"/>
        <v/>
      </c>
      <c r="L526" s="60" t="str">
        <f t="shared" si="7"/>
        <v/>
      </c>
      <c r="M526" s="61" t="str">
        <f>IFERROR(__xludf.DUMMYFUNCTION("IFS(AND(COUNTA(C526:C1673)=0,COUNTA(Q526:Q1673)=0),"""",OR(AND(K526&gt;=1000000000,OR(Y526&gt;=1000000000,COUNTA(Q526:Q1673)=0)),OR(Y526&gt;=1000000000,AND(COUNTA(C526:C1673)=0,P$3=TRUE))),
ROUNDDOWN((AB$1-AC$1)*MAX(INDEX(T$4:T1673,MATCH(LARGE(FILTER(Y$4:Y1673,Y$4"&amp;":Y1673&lt;1000000000),1),Y$4:Y1673)),INDEX(F$4:F1673,MATCH(LARGE(FILTER(K$4:K1673,K$4:K1673&lt;1000000000),1),K$4:K1673)))),AND(K526&lt;1000000000,COUNTA(C526:C1673)&gt;0,P$3=FALSE),
ROUNDDOWN(INDEX(Y$4:Y1673,MATCH(LARGE(FILTER(W$4:W1673,W$4:W1673&lt;=I526),1),W$4:W1673"&amp;"))+(I526-LARGE(FILTER(W$4:W1673,W$4:W1673&lt;=I526),1))*INDEX(T$4:T1673,MATCH(LARGE(FILTER(W$4:W1673,W$4:W1673&lt;=I526),1),W$4:W1673))-K526),1,
ROUNDDOWN(Y526-INDEX(K$4:K1673,MATCH(LARGE(FILTER(I$4:I1673,I$4:I1673&lt;=W526),1),I$4:I1673))-(W526-LARGE(FILTER(I$4:I"&amp;"1673,I$4:I1673&lt;=W526),1))*INDEX(F$4:F1673,MATCH(LARGE(FILTER(I$4:I1673,I$4:I1673&lt;=W526),1),I$4:I1673))))"),"")</f>
        <v/>
      </c>
      <c r="N526" s="60" t="str">
        <f t="shared" si="8"/>
        <v/>
      </c>
      <c r="O526" s="61" t="str">
        <f t="shared" si="9"/>
        <v/>
      </c>
      <c r="P526" s="56" t="str">
        <f t="shared" si="10"/>
        <v/>
      </c>
      <c r="Q526" s="105"/>
      <c r="R526" s="10"/>
      <c r="S526" s="59" t="str">
        <f t="array" ref="S526">IF(COUNTA(Q526:Q1673)=0,"",SUM((COUNTIF(Q$4:Q526,Upgrades!$B$3:$B$13)-COUNTIF(Q$4:Q526,"Sell_"&amp;Upgrades!$B$3:$B$13))*Upgrades!$D$3:$D$13))</f>
        <v/>
      </c>
      <c r="T526" s="66" t="str">
        <f>IFERROR(__xludf.DUMMYFUNCTION("IF(COUNTA(Q526:Q1673)=0,"""",IF(REGEXMATCH(INDEX(FILTER(Q$4:Q526,Q$4:Q526&lt;&gt;""""),ROWS(FILTER(Q$4:Q526,Q$4:Q526&lt;&gt;""""))),""^Sell_""),INDEX(FILTER(T$4:T525,Q$4:Q525&lt;&gt;""""),ROWS(FILTER(Q$4:Q525,Q$4:Q525&lt;&gt;""""))),$AD$5+S526))"),"")</f>
        <v/>
      </c>
      <c r="U526" s="10" t="str">
        <f>IFERROR(__xludf.DUMMYFUNCTION("IF(COUNTA(Q526:Q1673)=0,"""",IF(Q526="""",0,IF(REGEXMATCH(Q526,""^Sell_""),-ROUNDDOWN(ROUNDUP(INDEX(Upgrades!$C$3:$C$13,MATCH(SUBSTITUTE(Q526,""Sell_"",""""),Upgrades!$B$3:$B$13,0))*1.15^(COUNTIF(Q$4:Q525,SUBSTITUTE(Q526,""Sell_"",""""))-COUNTIF(Q$4:Q525,"&amp;"""Sell_""&amp;SUBSTITUTE(Q526,""Sell_"",""""))))/2),ROUNDUP(INDEX(Upgrades!$C$3:$C$13,MATCH(Q526,Upgrades!$B$3:$B$13,0))*1.15^(COUNTIF(Q$4:Q525,Q526)-COUNTIF(Q$4:Q525,""Sell_""&amp;Q526))))))"),"")</f>
        <v/>
      </c>
      <c r="V526" s="10" t="str">
        <f t="shared" si="11"/>
        <v/>
      </c>
      <c r="W526" s="68" t="str">
        <f t="shared" si="12"/>
        <v/>
      </c>
      <c r="X526" s="59" t="str">
        <f t="shared" si="13"/>
        <v/>
      </c>
      <c r="Y526" s="69" t="str">
        <f t="shared" si="14"/>
        <v/>
      </c>
      <c r="Z526" s="11"/>
    </row>
    <row r="527">
      <c r="A527" s="8"/>
      <c r="B527" s="56" t="str">
        <f t="shared" si="2"/>
        <v/>
      </c>
      <c r="C527" s="105"/>
      <c r="D527" s="10"/>
      <c r="E527" s="59" t="str">
        <f t="array" ref="E527">IF(COUNTA(C527:C1673)=0,"",SUM((COUNTIF(C$4:C527,Upgrades!$B$3:$B$13)-COUNTIF(C$4:C527,"Sell_"&amp;Upgrades!$B$3:$B$13))*Upgrades!$D$3:$D$13))</f>
        <v/>
      </c>
      <c r="F527" s="66" t="str">
        <f>IFERROR(__xludf.DUMMYFUNCTION("IF(COUNTA(C527:C1673)=0,"""",IF(REGEXMATCH(INDEX(FILTER(C$4:C527,C$4:C527&lt;&gt;""""),ROWS(FILTER(C$4:C527,C$4:C527&lt;&gt;""""))),""^Sell_""),INDEX(FILTER(F$4:F526,C$4:C526&lt;&gt;""""),ROWS(FILTER(C$4:C526,C$4:C526&lt;&gt;""""))),$AC$5+E527))"),"")</f>
        <v/>
      </c>
      <c r="G527" s="10" t="str">
        <f>IFERROR(__xludf.DUMMYFUNCTION("IF(COUNTA(C527:C1673)=0,"""",IF(C527="""",0,IF(REGEXMATCH(C527,""^Sell_""),-ROUNDDOWN(ROUNDUP(INDEX(Upgrades!$C$3:$C$13,MATCH(SUBSTITUTE(C527,""Sell_"",""""),Upgrades!$B$3:$B$13,0))*1.15^(COUNTIF(C$4:C526,SUBSTITUTE(C527,""Sell_"",""""))-COUNTIF(C$4:C526,"&amp;"""Sell_""&amp;SUBSTITUTE(C527,""Sell_"",""""))))/2),ROUNDUP(INDEX(Upgrades!$C$3:$C$13,MATCH(C527,Upgrades!$B$3:$B$13,0))*1.15^(COUNTIF(C$4:C526,C527)-COUNTIF(C$4:C526,""Sell_""&amp;C527))))))"),"")</f>
        <v/>
      </c>
      <c r="H527" s="10" t="str">
        <f t="shared" si="3"/>
        <v/>
      </c>
      <c r="I527" s="68" t="str">
        <f t="shared" si="4"/>
        <v/>
      </c>
      <c r="J527" s="59" t="str">
        <f t="shared" si="5"/>
        <v/>
      </c>
      <c r="K527" s="69" t="str">
        <f t="shared" si="6"/>
        <v/>
      </c>
      <c r="L527" s="60" t="str">
        <f t="shared" si="7"/>
        <v/>
      </c>
      <c r="M527" s="61" t="str">
        <f>IFERROR(__xludf.DUMMYFUNCTION("IFS(AND(COUNTA(C527:C1673)=0,COUNTA(Q527:Q1673)=0),"""",OR(AND(K527&gt;=1000000000,OR(Y527&gt;=1000000000,COUNTA(Q527:Q1673)=0)),OR(Y527&gt;=1000000000,AND(COUNTA(C527:C1673)=0,P$3=TRUE))),
ROUNDDOWN((AB$1-AC$1)*MAX(INDEX(T$4:T1673,MATCH(LARGE(FILTER(Y$4:Y1673,Y$4"&amp;":Y1673&lt;1000000000),1),Y$4:Y1673)),INDEX(F$4:F1673,MATCH(LARGE(FILTER(K$4:K1673,K$4:K1673&lt;1000000000),1),K$4:K1673)))),AND(K527&lt;1000000000,COUNTA(C527:C1673)&gt;0,P$3=FALSE),
ROUNDDOWN(INDEX(Y$4:Y1673,MATCH(LARGE(FILTER(W$4:W1673,W$4:W1673&lt;=I527),1),W$4:W1673"&amp;"))+(I527-LARGE(FILTER(W$4:W1673,W$4:W1673&lt;=I527),1))*INDEX(T$4:T1673,MATCH(LARGE(FILTER(W$4:W1673,W$4:W1673&lt;=I527),1),W$4:W1673))-K527),1,
ROUNDDOWN(Y527-INDEX(K$4:K1673,MATCH(LARGE(FILTER(I$4:I1673,I$4:I1673&lt;=W527),1),I$4:I1673))-(W527-LARGE(FILTER(I$4:I"&amp;"1673,I$4:I1673&lt;=W527),1))*INDEX(F$4:F1673,MATCH(LARGE(FILTER(I$4:I1673,I$4:I1673&lt;=W527),1),I$4:I1673))))"),"")</f>
        <v/>
      </c>
      <c r="N527" s="60" t="str">
        <f t="shared" si="8"/>
        <v/>
      </c>
      <c r="O527" s="61" t="str">
        <f t="shared" si="9"/>
        <v/>
      </c>
      <c r="P527" s="56" t="str">
        <f t="shared" si="10"/>
        <v/>
      </c>
      <c r="Q527" s="105"/>
      <c r="R527" s="10"/>
      <c r="S527" s="59" t="str">
        <f t="array" ref="S527">IF(COUNTA(Q527:Q1673)=0,"",SUM((COUNTIF(Q$4:Q527,Upgrades!$B$3:$B$13)-COUNTIF(Q$4:Q527,"Sell_"&amp;Upgrades!$B$3:$B$13))*Upgrades!$D$3:$D$13))</f>
        <v/>
      </c>
      <c r="T527" s="66" t="str">
        <f>IFERROR(__xludf.DUMMYFUNCTION("IF(COUNTA(Q527:Q1673)=0,"""",IF(REGEXMATCH(INDEX(FILTER(Q$4:Q527,Q$4:Q527&lt;&gt;""""),ROWS(FILTER(Q$4:Q527,Q$4:Q527&lt;&gt;""""))),""^Sell_""),INDEX(FILTER(T$4:T526,Q$4:Q526&lt;&gt;""""),ROWS(FILTER(Q$4:Q526,Q$4:Q526&lt;&gt;""""))),$AD$5+S527))"),"")</f>
        <v/>
      </c>
      <c r="U527" s="10" t="str">
        <f>IFERROR(__xludf.DUMMYFUNCTION("IF(COUNTA(Q527:Q1673)=0,"""",IF(Q527="""",0,IF(REGEXMATCH(Q527,""^Sell_""),-ROUNDDOWN(ROUNDUP(INDEX(Upgrades!$C$3:$C$13,MATCH(SUBSTITUTE(Q527,""Sell_"",""""),Upgrades!$B$3:$B$13,0))*1.15^(COUNTIF(Q$4:Q526,SUBSTITUTE(Q527,""Sell_"",""""))-COUNTIF(Q$4:Q526,"&amp;"""Sell_""&amp;SUBSTITUTE(Q527,""Sell_"",""""))))/2),ROUNDUP(INDEX(Upgrades!$C$3:$C$13,MATCH(Q527,Upgrades!$B$3:$B$13,0))*1.15^(COUNTIF(Q$4:Q526,Q527)-COUNTIF(Q$4:Q526,""Sell_""&amp;Q527))))))"),"")</f>
        <v/>
      </c>
      <c r="V527" s="10" t="str">
        <f t="shared" si="11"/>
        <v/>
      </c>
      <c r="W527" s="68" t="str">
        <f t="shared" si="12"/>
        <v/>
      </c>
      <c r="X527" s="59" t="str">
        <f t="shared" si="13"/>
        <v/>
      </c>
      <c r="Y527" s="69" t="str">
        <f t="shared" si="14"/>
        <v/>
      </c>
      <c r="Z527" s="11"/>
    </row>
    <row r="528">
      <c r="A528" s="8"/>
      <c r="B528" s="56" t="str">
        <f t="shared" si="2"/>
        <v/>
      </c>
      <c r="C528" s="105"/>
      <c r="D528" s="10"/>
      <c r="E528" s="59" t="str">
        <f t="array" ref="E528">IF(COUNTA(C528:C1673)=0,"",SUM((COUNTIF(C$4:C528,Upgrades!$B$3:$B$13)-COUNTIF(C$4:C528,"Sell_"&amp;Upgrades!$B$3:$B$13))*Upgrades!$D$3:$D$13))</f>
        <v/>
      </c>
      <c r="F528" s="66" t="str">
        <f>IFERROR(__xludf.DUMMYFUNCTION("IF(COUNTA(C528:C1673)=0,"""",IF(REGEXMATCH(INDEX(FILTER(C$4:C528,C$4:C528&lt;&gt;""""),ROWS(FILTER(C$4:C528,C$4:C528&lt;&gt;""""))),""^Sell_""),INDEX(FILTER(F$4:F527,C$4:C527&lt;&gt;""""),ROWS(FILTER(C$4:C527,C$4:C527&lt;&gt;""""))),$AC$5+E528))"),"")</f>
        <v/>
      </c>
      <c r="G528" s="10" t="str">
        <f>IFERROR(__xludf.DUMMYFUNCTION("IF(COUNTA(C528:C1673)=0,"""",IF(C528="""",0,IF(REGEXMATCH(C528,""^Sell_""),-ROUNDDOWN(ROUNDUP(INDEX(Upgrades!$C$3:$C$13,MATCH(SUBSTITUTE(C528,""Sell_"",""""),Upgrades!$B$3:$B$13,0))*1.15^(COUNTIF(C$4:C527,SUBSTITUTE(C528,""Sell_"",""""))-COUNTIF(C$4:C527,"&amp;"""Sell_""&amp;SUBSTITUTE(C528,""Sell_"",""""))))/2),ROUNDUP(INDEX(Upgrades!$C$3:$C$13,MATCH(C528,Upgrades!$B$3:$B$13,0))*1.15^(COUNTIF(C$4:C527,C528)-COUNTIF(C$4:C527,""Sell_""&amp;C528))))))"),"")</f>
        <v/>
      </c>
      <c r="H528" s="10" t="str">
        <f t="shared" si="3"/>
        <v/>
      </c>
      <c r="I528" s="68" t="str">
        <f t="shared" si="4"/>
        <v/>
      </c>
      <c r="J528" s="59" t="str">
        <f t="shared" si="5"/>
        <v/>
      </c>
      <c r="K528" s="69" t="str">
        <f t="shared" si="6"/>
        <v/>
      </c>
      <c r="L528" s="60" t="str">
        <f t="shared" si="7"/>
        <v/>
      </c>
      <c r="M528" s="61" t="str">
        <f>IFERROR(__xludf.DUMMYFUNCTION("IFS(AND(COUNTA(C528:C1673)=0,COUNTA(Q528:Q1673)=0),"""",OR(AND(K528&gt;=1000000000,OR(Y528&gt;=1000000000,COUNTA(Q528:Q1673)=0)),OR(Y528&gt;=1000000000,AND(COUNTA(C528:C1673)=0,P$3=TRUE))),
ROUNDDOWN((AB$1-AC$1)*MAX(INDEX(T$4:T1673,MATCH(LARGE(FILTER(Y$4:Y1673,Y$4"&amp;":Y1673&lt;1000000000),1),Y$4:Y1673)),INDEX(F$4:F1673,MATCH(LARGE(FILTER(K$4:K1673,K$4:K1673&lt;1000000000),1),K$4:K1673)))),AND(K528&lt;1000000000,COUNTA(C528:C1673)&gt;0,P$3=FALSE),
ROUNDDOWN(INDEX(Y$4:Y1673,MATCH(LARGE(FILTER(W$4:W1673,W$4:W1673&lt;=I528),1),W$4:W1673"&amp;"))+(I528-LARGE(FILTER(W$4:W1673,W$4:W1673&lt;=I528),1))*INDEX(T$4:T1673,MATCH(LARGE(FILTER(W$4:W1673,W$4:W1673&lt;=I528),1),W$4:W1673))-K528),1,
ROUNDDOWN(Y528-INDEX(K$4:K1673,MATCH(LARGE(FILTER(I$4:I1673,I$4:I1673&lt;=W528),1),I$4:I1673))-(W528-LARGE(FILTER(I$4:I"&amp;"1673,I$4:I1673&lt;=W528),1))*INDEX(F$4:F1673,MATCH(LARGE(FILTER(I$4:I1673,I$4:I1673&lt;=W528),1),I$4:I1673))))"),"")</f>
        <v/>
      </c>
      <c r="N528" s="60" t="str">
        <f t="shared" si="8"/>
        <v/>
      </c>
      <c r="O528" s="61" t="str">
        <f t="shared" si="9"/>
        <v/>
      </c>
      <c r="P528" s="56" t="str">
        <f t="shared" si="10"/>
        <v/>
      </c>
      <c r="Q528" s="105"/>
      <c r="R528" s="10"/>
      <c r="S528" s="59" t="str">
        <f t="array" ref="S528">IF(COUNTA(Q528:Q1673)=0,"",SUM((COUNTIF(Q$4:Q528,Upgrades!$B$3:$B$13)-COUNTIF(Q$4:Q528,"Sell_"&amp;Upgrades!$B$3:$B$13))*Upgrades!$D$3:$D$13))</f>
        <v/>
      </c>
      <c r="T528" s="66" t="str">
        <f>IFERROR(__xludf.DUMMYFUNCTION("IF(COUNTA(Q528:Q1673)=0,"""",IF(REGEXMATCH(INDEX(FILTER(Q$4:Q528,Q$4:Q528&lt;&gt;""""),ROWS(FILTER(Q$4:Q528,Q$4:Q528&lt;&gt;""""))),""^Sell_""),INDEX(FILTER(T$4:T527,Q$4:Q527&lt;&gt;""""),ROWS(FILTER(Q$4:Q527,Q$4:Q527&lt;&gt;""""))),$AD$5+S528))"),"")</f>
        <v/>
      </c>
      <c r="U528" s="10" t="str">
        <f>IFERROR(__xludf.DUMMYFUNCTION("IF(COUNTA(Q528:Q1673)=0,"""",IF(Q528="""",0,IF(REGEXMATCH(Q528,""^Sell_""),-ROUNDDOWN(ROUNDUP(INDEX(Upgrades!$C$3:$C$13,MATCH(SUBSTITUTE(Q528,""Sell_"",""""),Upgrades!$B$3:$B$13,0))*1.15^(COUNTIF(Q$4:Q527,SUBSTITUTE(Q528,""Sell_"",""""))-COUNTIF(Q$4:Q527,"&amp;"""Sell_""&amp;SUBSTITUTE(Q528,""Sell_"",""""))))/2),ROUNDUP(INDEX(Upgrades!$C$3:$C$13,MATCH(Q528,Upgrades!$B$3:$B$13,0))*1.15^(COUNTIF(Q$4:Q527,Q528)-COUNTIF(Q$4:Q527,""Sell_""&amp;Q528))))))"),"")</f>
        <v/>
      </c>
      <c r="V528" s="10" t="str">
        <f t="shared" si="11"/>
        <v/>
      </c>
      <c r="W528" s="68" t="str">
        <f t="shared" si="12"/>
        <v/>
      </c>
      <c r="X528" s="59" t="str">
        <f t="shared" si="13"/>
        <v/>
      </c>
      <c r="Y528" s="69" t="str">
        <f t="shared" si="14"/>
        <v/>
      </c>
      <c r="Z528" s="11"/>
    </row>
    <row r="529">
      <c r="A529" s="8"/>
      <c r="B529" s="56" t="str">
        <f t="shared" si="2"/>
        <v/>
      </c>
      <c r="C529" s="105"/>
      <c r="D529" s="10"/>
      <c r="E529" s="59" t="str">
        <f t="array" ref="E529">IF(COUNTA(C529:C1673)=0,"",SUM((COUNTIF(C$4:C529,Upgrades!$B$3:$B$13)-COUNTIF(C$4:C529,"Sell_"&amp;Upgrades!$B$3:$B$13))*Upgrades!$D$3:$D$13))</f>
        <v/>
      </c>
      <c r="F529" s="66" t="str">
        <f>IFERROR(__xludf.DUMMYFUNCTION("IF(COUNTA(C529:C1673)=0,"""",IF(REGEXMATCH(INDEX(FILTER(C$4:C529,C$4:C529&lt;&gt;""""),ROWS(FILTER(C$4:C529,C$4:C529&lt;&gt;""""))),""^Sell_""),INDEX(FILTER(F$4:F528,C$4:C528&lt;&gt;""""),ROWS(FILTER(C$4:C528,C$4:C528&lt;&gt;""""))),$AC$5+E529))"),"")</f>
        <v/>
      </c>
      <c r="G529" s="10" t="str">
        <f>IFERROR(__xludf.DUMMYFUNCTION("IF(COUNTA(C529:C1673)=0,"""",IF(C529="""",0,IF(REGEXMATCH(C529,""^Sell_""),-ROUNDDOWN(ROUNDUP(INDEX(Upgrades!$C$3:$C$13,MATCH(SUBSTITUTE(C529,""Sell_"",""""),Upgrades!$B$3:$B$13,0))*1.15^(COUNTIF(C$4:C528,SUBSTITUTE(C529,""Sell_"",""""))-COUNTIF(C$4:C528,"&amp;"""Sell_""&amp;SUBSTITUTE(C529,""Sell_"",""""))))/2),ROUNDUP(INDEX(Upgrades!$C$3:$C$13,MATCH(C529,Upgrades!$B$3:$B$13,0))*1.15^(COUNTIF(C$4:C528,C529)-COUNTIF(C$4:C528,""Sell_""&amp;C529))))))"),"")</f>
        <v/>
      </c>
      <c r="H529" s="10" t="str">
        <f t="shared" si="3"/>
        <v/>
      </c>
      <c r="I529" s="68" t="str">
        <f t="shared" si="4"/>
        <v/>
      </c>
      <c r="J529" s="59" t="str">
        <f t="shared" si="5"/>
        <v/>
      </c>
      <c r="K529" s="69" t="str">
        <f t="shared" si="6"/>
        <v/>
      </c>
      <c r="L529" s="60" t="str">
        <f t="shared" si="7"/>
        <v/>
      </c>
      <c r="M529" s="61" t="str">
        <f>IFERROR(__xludf.DUMMYFUNCTION("IFS(AND(COUNTA(C529:C1673)=0,COUNTA(Q529:Q1673)=0),"""",OR(AND(K529&gt;=1000000000,OR(Y529&gt;=1000000000,COUNTA(Q529:Q1673)=0)),OR(Y529&gt;=1000000000,AND(COUNTA(C529:C1673)=0,P$3=TRUE))),
ROUNDDOWN((AB$1-AC$1)*MAX(INDEX(T$4:T1673,MATCH(LARGE(FILTER(Y$4:Y1673,Y$4"&amp;":Y1673&lt;1000000000),1),Y$4:Y1673)),INDEX(F$4:F1673,MATCH(LARGE(FILTER(K$4:K1673,K$4:K1673&lt;1000000000),1),K$4:K1673)))),AND(K529&lt;1000000000,COUNTA(C529:C1673)&gt;0,P$3=FALSE),
ROUNDDOWN(INDEX(Y$4:Y1673,MATCH(LARGE(FILTER(W$4:W1673,W$4:W1673&lt;=I529),1),W$4:W1673"&amp;"))+(I529-LARGE(FILTER(W$4:W1673,W$4:W1673&lt;=I529),1))*INDEX(T$4:T1673,MATCH(LARGE(FILTER(W$4:W1673,W$4:W1673&lt;=I529),1),W$4:W1673))-K529),1,
ROUNDDOWN(Y529-INDEX(K$4:K1673,MATCH(LARGE(FILTER(I$4:I1673,I$4:I1673&lt;=W529),1),I$4:I1673))-(W529-LARGE(FILTER(I$4:I"&amp;"1673,I$4:I1673&lt;=W529),1))*INDEX(F$4:F1673,MATCH(LARGE(FILTER(I$4:I1673,I$4:I1673&lt;=W529),1),I$4:I1673))))"),"")</f>
        <v/>
      </c>
      <c r="N529" s="60" t="str">
        <f t="shared" si="8"/>
        <v/>
      </c>
      <c r="O529" s="61" t="str">
        <f t="shared" si="9"/>
        <v/>
      </c>
      <c r="P529" s="56" t="str">
        <f t="shared" si="10"/>
        <v/>
      </c>
      <c r="Q529" s="105"/>
      <c r="R529" s="10"/>
      <c r="S529" s="59" t="str">
        <f t="array" ref="S529">IF(COUNTA(Q529:Q1673)=0,"",SUM((COUNTIF(Q$4:Q529,Upgrades!$B$3:$B$13)-COUNTIF(Q$4:Q529,"Sell_"&amp;Upgrades!$B$3:$B$13))*Upgrades!$D$3:$D$13))</f>
        <v/>
      </c>
      <c r="T529" s="66" t="str">
        <f>IFERROR(__xludf.DUMMYFUNCTION("IF(COUNTA(Q529:Q1673)=0,"""",IF(REGEXMATCH(INDEX(FILTER(Q$4:Q529,Q$4:Q529&lt;&gt;""""),ROWS(FILTER(Q$4:Q529,Q$4:Q529&lt;&gt;""""))),""^Sell_""),INDEX(FILTER(T$4:T528,Q$4:Q528&lt;&gt;""""),ROWS(FILTER(Q$4:Q528,Q$4:Q528&lt;&gt;""""))),$AD$5+S529))"),"")</f>
        <v/>
      </c>
      <c r="U529" s="10" t="str">
        <f>IFERROR(__xludf.DUMMYFUNCTION("IF(COUNTA(Q529:Q1673)=0,"""",IF(Q529="""",0,IF(REGEXMATCH(Q529,""^Sell_""),-ROUNDDOWN(ROUNDUP(INDEX(Upgrades!$C$3:$C$13,MATCH(SUBSTITUTE(Q529,""Sell_"",""""),Upgrades!$B$3:$B$13,0))*1.15^(COUNTIF(Q$4:Q528,SUBSTITUTE(Q529,""Sell_"",""""))-COUNTIF(Q$4:Q528,"&amp;"""Sell_""&amp;SUBSTITUTE(Q529,""Sell_"",""""))))/2),ROUNDUP(INDEX(Upgrades!$C$3:$C$13,MATCH(Q529,Upgrades!$B$3:$B$13,0))*1.15^(COUNTIF(Q$4:Q528,Q529)-COUNTIF(Q$4:Q528,""Sell_""&amp;Q529))))))"),"")</f>
        <v/>
      </c>
      <c r="V529" s="10" t="str">
        <f t="shared" si="11"/>
        <v/>
      </c>
      <c r="W529" s="68" t="str">
        <f t="shared" si="12"/>
        <v/>
      </c>
      <c r="X529" s="59" t="str">
        <f t="shared" si="13"/>
        <v/>
      </c>
      <c r="Y529" s="69" t="str">
        <f t="shared" si="14"/>
        <v/>
      </c>
      <c r="Z529" s="11"/>
    </row>
    <row r="530">
      <c r="A530" s="8"/>
      <c r="B530" s="56" t="str">
        <f t="shared" si="2"/>
        <v/>
      </c>
      <c r="C530" s="105"/>
      <c r="D530" s="10"/>
      <c r="E530" s="59" t="str">
        <f t="array" ref="E530">IF(COUNTA(C530:C1673)=0,"",SUM((COUNTIF(C$4:C530,Upgrades!$B$3:$B$13)-COUNTIF(C$4:C530,"Sell_"&amp;Upgrades!$B$3:$B$13))*Upgrades!$D$3:$D$13))</f>
        <v/>
      </c>
      <c r="F530" s="66" t="str">
        <f>IFERROR(__xludf.DUMMYFUNCTION("IF(COUNTA(C530:C1673)=0,"""",IF(REGEXMATCH(INDEX(FILTER(C$4:C530,C$4:C530&lt;&gt;""""),ROWS(FILTER(C$4:C530,C$4:C530&lt;&gt;""""))),""^Sell_""),INDEX(FILTER(F$4:F529,C$4:C529&lt;&gt;""""),ROWS(FILTER(C$4:C529,C$4:C529&lt;&gt;""""))),$AC$5+E530))"),"")</f>
        <v/>
      </c>
      <c r="G530" s="10" t="str">
        <f>IFERROR(__xludf.DUMMYFUNCTION("IF(COUNTA(C530:C1673)=0,"""",IF(C530="""",0,IF(REGEXMATCH(C530,""^Sell_""),-ROUNDDOWN(ROUNDUP(INDEX(Upgrades!$C$3:$C$13,MATCH(SUBSTITUTE(C530,""Sell_"",""""),Upgrades!$B$3:$B$13,0))*1.15^(COUNTIF(C$4:C529,SUBSTITUTE(C530,""Sell_"",""""))-COUNTIF(C$4:C529,"&amp;"""Sell_""&amp;SUBSTITUTE(C530,""Sell_"",""""))))/2),ROUNDUP(INDEX(Upgrades!$C$3:$C$13,MATCH(C530,Upgrades!$B$3:$B$13,0))*1.15^(COUNTIF(C$4:C529,C530)-COUNTIF(C$4:C529,""Sell_""&amp;C530))))))"),"")</f>
        <v/>
      </c>
      <c r="H530" s="10" t="str">
        <f t="shared" si="3"/>
        <v/>
      </c>
      <c r="I530" s="68" t="str">
        <f t="shared" si="4"/>
        <v/>
      </c>
      <c r="J530" s="59" t="str">
        <f t="shared" si="5"/>
        <v/>
      </c>
      <c r="K530" s="69" t="str">
        <f t="shared" si="6"/>
        <v/>
      </c>
      <c r="L530" s="60" t="str">
        <f t="shared" si="7"/>
        <v/>
      </c>
      <c r="M530" s="61" t="str">
        <f>IFERROR(__xludf.DUMMYFUNCTION("IFS(AND(COUNTA(C530:C1673)=0,COUNTA(Q530:Q1673)=0),"""",OR(AND(K530&gt;=1000000000,OR(Y530&gt;=1000000000,COUNTA(Q530:Q1673)=0)),OR(Y530&gt;=1000000000,AND(COUNTA(C530:C1673)=0,P$3=TRUE))),
ROUNDDOWN((AB$1-AC$1)*MAX(INDEX(T$4:T1673,MATCH(LARGE(FILTER(Y$4:Y1673,Y$4"&amp;":Y1673&lt;1000000000),1),Y$4:Y1673)),INDEX(F$4:F1673,MATCH(LARGE(FILTER(K$4:K1673,K$4:K1673&lt;1000000000),1),K$4:K1673)))),AND(K530&lt;1000000000,COUNTA(C530:C1673)&gt;0,P$3=FALSE),
ROUNDDOWN(INDEX(Y$4:Y1673,MATCH(LARGE(FILTER(W$4:W1673,W$4:W1673&lt;=I530),1),W$4:W1673"&amp;"))+(I530-LARGE(FILTER(W$4:W1673,W$4:W1673&lt;=I530),1))*INDEX(T$4:T1673,MATCH(LARGE(FILTER(W$4:W1673,W$4:W1673&lt;=I530),1),W$4:W1673))-K530),1,
ROUNDDOWN(Y530-INDEX(K$4:K1673,MATCH(LARGE(FILTER(I$4:I1673,I$4:I1673&lt;=W530),1),I$4:I1673))-(W530-LARGE(FILTER(I$4:I"&amp;"1673,I$4:I1673&lt;=W530),1))*INDEX(F$4:F1673,MATCH(LARGE(FILTER(I$4:I1673,I$4:I1673&lt;=W530),1),I$4:I1673))))"),"")</f>
        <v/>
      </c>
      <c r="N530" s="60" t="str">
        <f t="shared" si="8"/>
        <v/>
      </c>
      <c r="O530" s="61" t="str">
        <f t="shared" si="9"/>
        <v/>
      </c>
      <c r="P530" s="56" t="str">
        <f t="shared" si="10"/>
        <v/>
      </c>
      <c r="Q530" s="105"/>
      <c r="R530" s="10"/>
      <c r="S530" s="59" t="str">
        <f t="array" ref="S530">IF(COUNTA(Q530:Q1673)=0,"",SUM((COUNTIF(Q$4:Q530,Upgrades!$B$3:$B$13)-COUNTIF(Q$4:Q530,"Sell_"&amp;Upgrades!$B$3:$B$13))*Upgrades!$D$3:$D$13))</f>
        <v/>
      </c>
      <c r="T530" s="66" t="str">
        <f>IFERROR(__xludf.DUMMYFUNCTION("IF(COUNTA(Q530:Q1673)=0,"""",IF(REGEXMATCH(INDEX(FILTER(Q$4:Q530,Q$4:Q530&lt;&gt;""""),ROWS(FILTER(Q$4:Q530,Q$4:Q530&lt;&gt;""""))),""^Sell_""),INDEX(FILTER(T$4:T529,Q$4:Q529&lt;&gt;""""),ROWS(FILTER(Q$4:Q529,Q$4:Q529&lt;&gt;""""))),$AD$5+S530))"),"")</f>
        <v/>
      </c>
      <c r="U530" s="10" t="str">
        <f>IFERROR(__xludf.DUMMYFUNCTION("IF(COUNTA(Q530:Q1673)=0,"""",IF(Q530="""",0,IF(REGEXMATCH(Q530,""^Sell_""),-ROUNDDOWN(ROUNDUP(INDEX(Upgrades!$C$3:$C$13,MATCH(SUBSTITUTE(Q530,""Sell_"",""""),Upgrades!$B$3:$B$13,0))*1.15^(COUNTIF(Q$4:Q529,SUBSTITUTE(Q530,""Sell_"",""""))-COUNTIF(Q$4:Q529,"&amp;"""Sell_""&amp;SUBSTITUTE(Q530,""Sell_"",""""))))/2),ROUNDUP(INDEX(Upgrades!$C$3:$C$13,MATCH(Q530,Upgrades!$B$3:$B$13,0))*1.15^(COUNTIF(Q$4:Q529,Q530)-COUNTIF(Q$4:Q529,""Sell_""&amp;Q530))))))"),"")</f>
        <v/>
      </c>
      <c r="V530" s="10" t="str">
        <f t="shared" si="11"/>
        <v/>
      </c>
      <c r="W530" s="68" t="str">
        <f t="shared" si="12"/>
        <v/>
      </c>
      <c r="X530" s="59" t="str">
        <f t="shared" si="13"/>
        <v/>
      </c>
      <c r="Y530" s="69" t="str">
        <f t="shared" si="14"/>
        <v/>
      </c>
      <c r="Z530" s="11"/>
    </row>
    <row r="531">
      <c r="A531" s="8"/>
      <c r="B531" s="56" t="str">
        <f t="shared" si="2"/>
        <v/>
      </c>
      <c r="C531" s="105"/>
      <c r="D531" s="10"/>
      <c r="E531" s="59" t="str">
        <f t="array" ref="E531">IF(COUNTA(C531:C1673)=0,"",SUM((COUNTIF(C$4:C531,Upgrades!$B$3:$B$13)-COUNTIF(C$4:C531,"Sell_"&amp;Upgrades!$B$3:$B$13))*Upgrades!$D$3:$D$13))</f>
        <v/>
      </c>
      <c r="F531" s="66" t="str">
        <f>IFERROR(__xludf.DUMMYFUNCTION("IF(COUNTA(C531:C1673)=0,"""",IF(REGEXMATCH(INDEX(FILTER(C$4:C531,C$4:C531&lt;&gt;""""),ROWS(FILTER(C$4:C531,C$4:C531&lt;&gt;""""))),""^Sell_""),INDEX(FILTER(F$4:F530,C$4:C530&lt;&gt;""""),ROWS(FILTER(C$4:C530,C$4:C530&lt;&gt;""""))),$AC$5+E531))"),"")</f>
        <v/>
      </c>
      <c r="G531" s="10" t="str">
        <f>IFERROR(__xludf.DUMMYFUNCTION("IF(COUNTA(C531:C1673)=0,"""",IF(C531="""",0,IF(REGEXMATCH(C531,""^Sell_""),-ROUNDDOWN(ROUNDUP(INDEX(Upgrades!$C$3:$C$13,MATCH(SUBSTITUTE(C531,""Sell_"",""""),Upgrades!$B$3:$B$13,0))*1.15^(COUNTIF(C$4:C530,SUBSTITUTE(C531,""Sell_"",""""))-COUNTIF(C$4:C530,"&amp;"""Sell_""&amp;SUBSTITUTE(C531,""Sell_"",""""))))/2),ROUNDUP(INDEX(Upgrades!$C$3:$C$13,MATCH(C531,Upgrades!$B$3:$B$13,0))*1.15^(COUNTIF(C$4:C530,C531)-COUNTIF(C$4:C530,""Sell_""&amp;C531))))))"),"")</f>
        <v/>
      </c>
      <c r="H531" s="10" t="str">
        <f t="shared" si="3"/>
        <v/>
      </c>
      <c r="I531" s="68" t="str">
        <f t="shared" si="4"/>
        <v/>
      </c>
      <c r="J531" s="59" t="str">
        <f t="shared" si="5"/>
        <v/>
      </c>
      <c r="K531" s="69" t="str">
        <f t="shared" si="6"/>
        <v/>
      </c>
      <c r="L531" s="60" t="str">
        <f t="shared" si="7"/>
        <v/>
      </c>
      <c r="M531" s="61" t="str">
        <f>IFERROR(__xludf.DUMMYFUNCTION("IFS(AND(COUNTA(C531:C1673)=0,COUNTA(Q531:Q1673)=0),"""",OR(AND(K531&gt;=1000000000,OR(Y531&gt;=1000000000,COUNTA(Q531:Q1673)=0)),OR(Y531&gt;=1000000000,AND(COUNTA(C531:C1673)=0,P$3=TRUE))),
ROUNDDOWN((AB$1-AC$1)*MAX(INDEX(T$4:T1673,MATCH(LARGE(FILTER(Y$4:Y1673,Y$4"&amp;":Y1673&lt;1000000000),1),Y$4:Y1673)),INDEX(F$4:F1673,MATCH(LARGE(FILTER(K$4:K1673,K$4:K1673&lt;1000000000),1),K$4:K1673)))),AND(K531&lt;1000000000,COUNTA(C531:C1673)&gt;0,P$3=FALSE),
ROUNDDOWN(INDEX(Y$4:Y1673,MATCH(LARGE(FILTER(W$4:W1673,W$4:W1673&lt;=I531),1),W$4:W1673"&amp;"))+(I531-LARGE(FILTER(W$4:W1673,W$4:W1673&lt;=I531),1))*INDEX(T$4:T1673,MATCH(LARGE(FILTER(W$4:W1673,W$4:W1673&lt;=I531),1),W$4:W1673))-K531),1,
ROUNDDOWN(Y531-INDEX(K$4:K1673,MATCH(LARGE(FILTER(I$4:I1673,I$4:I1673&lt;=W531),1),I$4:I1673))-(W531-LARGE(FILTER(I$4:I"&amp;"1673,I$4:I1673&lt;=W531),1))*INDEX(F$4:F1673,MATCH(LARGE(FILTER(I$4:I1673,I$4:I1673&lt;=W531),1),I$4:I1673))))"),"")</f>
        <v/>
      </c>
      <c r="N531" s="60" t="str">
        <f t="shared" si="8"/>
        <v/>
      </c>
      <c r="O531" s="61" t="str">
        <f t="shared" si="9"/>
        <v/>
      </c>
      <c r="P531" s="56" t="str">
        <f t="shared" si="10"/>
        <v/>
      </c>
      <c r="Q531" s="105"/>
      <c r="R531" s="10"/>
      <c r="S531" s="59" t="str">
        <f t="array" ref="S531">IF(COUNTA(Q531:Q1673)=0,"",SUM((COUNTIF(Q$4:Q531,Upgrades!$B$3:$B$13)-COUNTIF(Q$4:Q531,"Sell_"&amp;Upgrades!$B$3:$B$13))*Upgrades!$D$3:$D$13))</f>
        <v/>
      </c>
      <c r="T531" s="66" t="str">
        <f>IFERROR(__xludf.DUMMYFUNCTION("IF(COUNTA(Q531:Q1673)=0,"""",IF(REGEXMATCH(INDEX(FILTER(Q$4:Q531,Q$4:Q531&lt;&gt;""""),ROWS(FILTER(Q$4:Q531,Q$4:Q531&lt;&gt;""""))),""^Sell_""),INDEX(FILTER(T$4:T530,Q$4:Q530&lt;&gt;""""),ROWS(FILTER(Q$4:Q530,Q$4:Q530&lt;&gt;""""))),$AD$5+S531))"),"")</f>
        <v/>
      </c>
      <c r="U531" s="10" t="str">
        <f>IFERROR(__xludf.DUMMYFUNCTION("IF(COUNTA(Q531:Q1673)=0,"""",IF(Q531="""",0,IF(REGEXMATCH(Q531,""^Sell_""),-ROUNDDOWN(ROUNDUP(INDEX(Upgrades!$C$3:$C$13,MATCH(SUBSTITUTE(Q531,""Sell_"",""""),Upgrades!$B$3:$B$13,0))*1.15^(COUNTIF(Q$4:Q530,SUBSTITUTE(Q531,""Sell_"",""""))-COUNTIF(Q$4:Q530,"&amp;"""Sell_""&amp;SUBSTITUTE(Q531,""Sell_"",""""))))/2),ROUNDUP(INDEX(Upgrades!$C$3:$C$13,MATCH(Q531,Upgrades!$B$3:$B$13,0))*1.15^(COUNTIF(Q$4:Q530,Q531)-COUNTIF(Q$4:Q530,""Sell_""&amp;Q531))))))"),"")</f>
        <v/>
      </c>
      <c r="V531" s="10" t="str">
        <f t="shared" si="11"/>
        <v/>
      </c>
      <c r="W531" s="68" t="str">
        <f t="shared" si="12"/>
        <v/>
      </c>
      <c r="X531" s="59" t="str">
        <f t="shared" si="13"/>
        <v/>
      </c>
      <c r="Y531" s="69" t="str">
        <f t="shared" si="14"/>
        <v/>
      </c>
      <c r="Z531" s="11"/>
    </row>
    <row r="532">
      <c r="A532" s="8"/>
      <c r="B532" s="56" t="str">
        <f t="shared" si="2"/>
        <v/>
      </c>
      <c r="C532" s="105"/>
      <c r="D532" s="10"/>
      <c r="E532" s="59" t="str">
        <f t="array" ref="E532">IF(COUNTA(C532:C1673)=0,"",SUM((COUNTIF(C$4:C532,Upgrades!$B$3:$B$13)-COUNTIF(C$4:C532,"Sell_"&amp;Upgrades!$B$3:$B$13))*Upgrades!$D$3:$D$13))</f>
        <v/>
      </c>
      <c r="F532" s="66" t="str">
        <f>IFERROR(__xludf.DUMMYFUNCTION("IF(COUNTA(C532:C1673)=0,"""",IF(REGEXMATCH(INDEX(FILTER(C$4:C532,C$4:C532&lt;&gt;""""),ROWS(FILTER(C$4:C532,C$4:C532&lt;&gt;""""))),""^Sell_""),INDEX(FILTER(F$4:F531,C$4:C531&lt;&gt;""""),ROWS(FILTER(C$4:C531,C$4:C531&lt;&gt;""""))),$AC$5+E532))"),"")</f>
        <v/>
      </c>
      <c r="G532" s="10" t="str">
        <f>IFERROR(__xludf.DUMMYFUNCTION("IF(COUNTA(C532:C1673)=0,"""",IF(C532="""",0,IF(REGEXMATCH(C532,""^Sell_""),-ROUNDDOWN(ROUNDUP(INDEX(Upgrades!$C$3:$C$13,MATCH(SUBSTITUTE(C532,""Sell_"",""""),Upgrades!$B$3:$B$13,0))*1.15^(COUNTIF(C$4:C531,SUBSTITUTE(C532,""Sell_"",""""))-COUNTIF(C$4:C531,"&amp;"""Sell_""&amp;SUBSTITUTE(C532,""Sell_"",""""))))/2),ROUNDUP(INDEX(Upgrades!$C$3:$C$13,MATCH(C532,Upgrades!$B$3:$B$13,0))*1.15^(COUNTIF(C$4:C531,C532)-COUNTIF(C$4:C531,""Sell_""&amp;C532))))))"),"")</f>
        <v/>
      </c>
      <c r="H532" s="10" t="str">
        <f t="shared" si="3"/>
        <v/>
      </c>
      <c r="I532" s="68" t="str">
        <f t="shared" si="4"/>
        <v/>
      </c>
      <c r="J532" s="59" t="str">
        <f t="shared" si="5"/>
        <v/>
      </c>
      <c r="K532" s="69" t="str">
        <f t="shared" si="6"/>
        <v/>
      </c>
      <c r="L532" s="60" t="str">
        <f t="shared" si="7"/>
        <v/>
      </c>
      <c r="M532" s="61" t="str">
        <f>IFERROR(__xludf.DUMMYFUNCTION("IFS(AND(COUNTA(C532:C1673)=0,COUNTA(Q532:Q1673)=0),"""",OR(AND(K532&gt;=1000000000,OR(Y532&gt;=1000000000,COUNTA(Q532:Q1673)=0)),OR(Y532&gt;=1000000000,AND(COUNTA(C532:C1673)=0,P$3=TRUE))),
ROUNDDOWN((AB$1-AC$1)*MAX(INDEX(T$4:T1673,MATCH(LARGE(FILTER(Y$4:Y1673,Y$4"&amp;":Y1673&lt;1000000000),1),Y$4:Y1673)),INDEX(F$4:F1673,MATCH(LARGE(FILTER(K$4:K1673,K$4:K1673&lt;1000000000),1),K$4:K1673)))),AND(K532&lt;1000000000,COUNTA(C532:C1673)&gt;0,P$3=FALSE),
ROUNDDOWN(INDEX(Y$4:Y1673,MATCH(LARGE(FILTER(W$4:W1673,W$4:W1673&lt;=I532),1),W$4:W1673"&amp;"))+(I532-LARGE(FILTER(W$4:W1673,W$4:W1673&lt;=I532),1))*INDEX(T$4:T1673,MATCH(LARGE(FILTER(W$4:W1673,W$4:W1673&lt;=I532),1),W$4:W1673))-K532),1,
ROUNDDOWN(Y532-INDEX(K$4:K1673,MATCH(LARGE(FILTER(I$4:I1673,I$4:I1673&lt;=W532),1),I$4:I1673))-(W532-LARGE(FILTER(I$4:I"&amp;"1673,I$4:I1673&lt;=W532),1))*INDEX(F$4:F1673,MATCH(LARGE(FILTER(I$4:I1673,I$4:I1673&lt;=W532),1),I$4:I1673))))"),"")</f>
        <v/>
      </c>
      <c r="N532" s="60" t="str">
        <f t="shared" si="8"/>
        <v/>
      </c>
      <c r="O532" s="61" t="str">
        <f t="shared" si="9"/>
        <v/>
      </c>
      <c r="P532" s="56" t="str">
        <f t="shared" si="10"/>
        <v/>
      </c>
      <c r="Q532" s="105"/>
      <c r="R532" s="10"/>
      <c r="S532" s="59" t="str">
        <f t="array" ref="S532">IF(COUNTA(Q532:Q1673)=0,"",SUM((COUNTIF(Q$4:Q532,Upgrades!$B$3:$B$13)-COUNTIF(Q$4:Q532,"Sell_"&amp;Upgrades!$B$3:$B$13))*Upgrades!$D$3:$D$13))</f>
        <v/>
      </c>
      <c r="T532" s="66" t="str">
        <f>IFERROR(__xludf.DUMMYFUNCTION("IF(COUNTA(Q532:Q1673)=0,"""",IF(REGEXMATCH(INDEX(FILTER(Q$4:Q532,Q$4:Q532&lt;&gt;""""),ROWS(FILTER(Q$4:Q532,Q$4:Q532&lt;&gt;""""))),""^Sell_""),INDEX(FILTER(T$4:T531,Q$4:Q531&lt;&gt;""""),ROWS(FILTER(Q$4:Q531,Q$4:Q531&lt;&gt;""""))),$AD$5+S532))"),"")</f>
        <v/>
      </c>
      <c r="U532" s="10" t="str">
        <f>IFERROR(__xludf.DUMMYFUNCTION("IF(COUNTA(Q532:Q1673)=0,"""",IF(Q532="""",0,IF(REGEXMATCH(Q532,""^Sell_""),-ROUNDDOWN(ROUNDUP(INDEX(Upgrades!$C$3:$C$13,MATCH(SUBSTITUTE(Q532,""Sell_"",""""),Upgrades!$B$3:$B$13,0))*1.15^(COUNTIF(Q$4:Q531,SUBSTITUTE(Q532,""Sell_"",""""))-COUNTIF(Q$4:Q531,"&amp;"""Sell_""&amp;SUBSTITUTE(Q532,""Sell_"",""""))))/2),ROUNDUP(INDEX(Upgrades!$C$3:$C$13,MATCH(Q532,Upgrades!$B$3:$B$13,0))*1.15^(COUNTIF(Q$4:Q531,Q532)-COUNTIF(Q$4:Q531,""Sell_""&amp;Q532))))))"),"")</f>
        <v/>
      </c>
      <c r="V532" s="10" t="str">
        <f t="shared" si="11"/>
        <v/>
      </c>
      <c r="W532" s="68" t="str">
        <f t="shared" si="12"/>
        <v/>
      </c>
      <c r="X532" s="59" t="str">
        <f t="shared" si="13"/>
        <v/>
      </c>
      <c r="Y532" s="69" t="str">
        <f t="shared" si="14"/>
        <v/>
      </c>
      <c r="Z532" s="11"/>
    </row>
    <row r="533">
      <c r="A533" s="8"/>
      <c r="B533" s="56" t="str">
        <f t="shared" si="2"/>
        <v/>
      </c>
      <c r="C533" s="105"/>
      <c r="D533" s="10"/>
      <c r="E533" s="59" t="str">
        <f t="array" ref="E533">IF(COUNTA(C533:C1673)=0,"",SUM((COUNTIF(C$4:C533,Upgrades!$B$3:$B$13)-COUNTIF(C$4:C533,"Sell_"&amp;Upgrades!$B$3:$B$13))*Upgrades!$D$3:$D$13))</f>
        <v/>
      </c>
      <c r="F533" s="66" t="str">
        <f>IFERROR(__xludf.DUMMYFUNCTION("IF(COUNTA(C533:C1673)=0,"""",IF(REGEXMATCH(INDEX(FILTER(C$4:C533,C$4:C533&lt;&gt;""""),ROWS(FILTER(C$4:C533,C$4:C533&lt;&gt;""""))),""^Sell_""),INDEX(FILTER(F$4:F532,C$4:C532&lt;&gt;""""),ROWS(FILTER(C$4:C532,C$4:C532&lt;&gt;""""))),$AC$5+E533))"),"")</f>
        <v/>
      </c>
      <c r="G533" s="10" t="str">
        <f>IFERROR(__xludf.DUMMYFUNCTION("IF(COUNTA(C533:C1673)=0,"""",IF(C533="""",0,IF(REGEXMATCH(C533,""^Sell_""),-ROUNDDOWN(ROUNDUP(INDEX(Upgrades!$C$3:$C$13,MATCH(SUBSTITUTE(C533,""Sell_"",""""),Upgrades!$B$3:$B$13,0))*1.15^(COUNTIF(C$4:C532,SUBSTITUTE(C533,""Sell_"",""""))-COUNTIF(C$4:C532,"&amp;"""Sell_""&amp;SUBSTITUTE(C533,""Sell_"",""""))))/2),ROUNDUP(INDEX(Upgrades!$C$3:$C$13,MATCH(C533,Upgrades!$B$3:$B$13,0))*1.15^(COUNTIF(C$4:C532,C533)-COUNTIF(C$4:C532,""Sell_""&amp;C533))))))"),"")</f>
        <v/>
      </c>
      <c r="H533" s="10" t="str">
        <f t="shared" si="3"/>
        <v/>
      </c>
      <c r="I533" s="68" t="str">
        <f t="shared" si="4"/>
        <v/>
      </c>
      <c r="J533" s="59" t="str">
        <f t="shared" si="5"/>
        <v/>
      </c>
      <c r="K533" s="69" t="str">
        <f t="shared" si="6"/>
        <v/>
      </c>
      <c r="L533" s="60" t="str">
        <f t="shared" si="7"/>
        <v/>
      </c>
      <c r="M533" s="61" t="str">
        <f>IFERROR(__xludf.DUMMYFUNCTION("IFS(AND(COUNTA(C533:C1673)=0,COUNTA(Q533:Q1673)=0),"""",OR(AND(K533&gt;=1000000000,OR(Y533&gt;=1000000000,COUNTA(Q533:Q1673)=0)),OR(Y533&gt;=1000000000,AND(COUNTA(C533:C1673)=0,P$3=TRUE))),
ROUNDDOWN((AB$1-AC$1)*MAX(INDEX(T$4:T1673,MATCH(LARGE(FILTER(Y$4:Y1673,Y$4"&amp;":Y1673&lt;1000000000),1),Y$4:Y1673)),INDEX(F$4:F1673,MATCH(LARGE(FILTER(K$4:K1673,K$4:K1673&lt;1000000000),1),K$4:K1673)))),AND(K533&lt;1000000000,COUNTA(C533:C1673)&gt;0,P$3=FALSE),
ROUNDDOWN(INDEX(Y$4:Y1673,MATCH(LARGE(FILTER(W$4:W1673,W$4:W1673&lt;=I533),1),W$4:W1673"&amp;"))+(I533-LARGE(FILTER(W$4:W1673,W$4:W1673&lt;=I533),1))*INDEX(T$4:T1673,MATCH(LARGE(FILTER(W$4:W1673,W$4:W1673&lt;=I533),1),W$4:W1673))-K533),1,
ROUNDDOWN(Y533-INDEX(K$4:K1673,MATCH(LARGE(FILTER(I$4:I1673,I$4:I1673&lt;=W533),1),I$4:I1673))-(W533-LARGE(FILTER(I$4:I"&amp;"1673,I$4:I1673&lt;=W533),1))*INDEX(F$4:F1673,MATCH(LARGE(FILTER(I$4:I1673,I$4:I1673&lt;=W533),1),I$4:I1673))))"),"")</f>
        <v/>
      </c>
      <c r="N533" s="60" t="str">
        <f t="shared" si="8"/>
        <v/>
      </c>
      <c r="O533" s="61" t="str">
        <f t="shared" si="9"/>
        <v/>
      </c>
      <c r="P533" s="56" t="str">
        <f t="shared" si="10"/>
        <v/>
      </c>
      <c r="Q533" s="105"/>
      <c r="R533" s="10"/>
      <c r="S533" s="59" t="str">
        <f t="array" ref="S533">IF(COUNTA(Q533:Q1673)=0,"",SUM((COUNTIF(Q$4:Q533,Upgrades!$B$3:$B$13)-COUNTIF(Q$4:Q533,"Sell_"&amp;Upgrades!$B$3:$B$13))*Upgrades!$D$3:$D$13))</f>
        <v/>
      </c>
      <c r="T533" s="66" t="str">
        <f>IFERROR(__xludf.DUMMYFUNCTION("IF(COUNTA(Q533:Q1673)=0,"""",IF(REGEXMATCH(INDEX(FILTER(Q$4:Q533,Q$4:Q533&lt;&gt;""""),ROWS(FILTER(Q$4:Q533,Q$4:Q533&lt;&gt;""""))),""^Sell_""),INDEX(FILTER(T$4:T532,Q$4:Q532&lt;&gt;""""),ROWS(FILTER(Q$4:Q532,Q$4:Q532&lt;&gt;""""))),$AD$5+S533))"),"")</f>
        <v/>
      </c>
      <c r="U533" s="10" t="str">
        <f>IFERROR(__xludf.DUMMYFUNCTION("IF(COUNTA(Q533:Q1673)=0,"""",IF(Q533="""",0,IF(REGEXMATCH(Q533,""^Sell_""),-ROUNDDOWN(ROUNDUP(INDEX(Upgrades!$C$3:$C$13,MATCH(SUBSTITUTE(Q533,""Sell_"",""""),Upgrades!$B$3:$B$13,0))*1.15^(COUNTIF(Q$4:Q532,SUBSTITUTE(Q533,""Sell_"",""""))-COUNTIF(Q$4:Q532,"&amp;"""Sell_""&amp;SUBSTITUTE(Q533,""Sell_"",""""))))/2),ROUNDUP(INDEX(Upgrades!$C$3:$C$13,MATCH(Q533,Upgrades!$B$3:$B$13,0))*1.15^(COUNTIF(Q$4:Q532,Q533)-COUNTIF(Q$4:Q532,""Sell_""&amp;Q533))))))"),"")</f>
        <v/>
      </c>
      <c r="V533" s="10" t="str">
        <f t="shared" si="11"/>
        <v/>
      </c>
      <c r="W533" s="68" t="str">
        <f t="shared" si="12"/>
        <v/>
      </c>
      <c r="X533" s="59" t="str">
        <f t="shared" si="13"/>
        <v/>
      </c>
      <c r="Y533" s="69" t="str">
        <f t="shared" si="14"/>
        <v/>
      </c>
      <c r="Z533" s="11"/>
    </row>
    <row r="534">
      <c r="A534" s="8"/>
      <c r="B534" s="56" t="str">
        <f t="shared" si="2"/>
        <v/>
      </c>
      <c r="C534" s="105"/>
      <c r="D534" s="10"/>
      <c r="E534" s="59" t="str">
        <f t="array" ref="E534">IF(COUNTA(C534:C1673)=0,"",SUM((COUNTIF(C$4:C534,Upgrades!$B$3:$B$13)-COUNTIF(C$4:C534,"Sell_"&amp;Upgrades!$B$3:$B$13))*Upgrades!$D$3:$D$13))</f>
        <v/>
      </c>
      <c r="F534" s="66" t="str">
        <f>IFERROR(__xludf.DUMMYFUNCTION("IF(COUNTA(C534:C1673)=0,"""",IF(REGEXMATCH(INDEX(FILTER(C$4:C534,C$4:C534&lt;&gt;""""),ROWS(FILTER(C$4:C534,C$4:C534&lt;&gt;""""))),""^Sell_""),INDEX(FILTER(F$4:F533,C$4:C533&lt;&gt;""""),ROWS(FILTER(C$4:C533,C$4:C533&lt;&gt;""""))),$AC$5+E534))"),"")</f>
        <v/>
      </c>
      <c r="G534" s="10" t="str">
        <f>IFERROR(__xludf.DUMMYFUNCTION("IF(COUNTA(C534:C1673)=0,"""",IF(C534="""",0,IF(REGEXMATCH(C534,""^Sell_""),-ROUNDDOWN(ROUNDUP(INDEX(Upgrades!$C$3:$C$13,MATCH(SUBSTITUTE(C534,""Sell_"",""""),Upgrades!$B$3:$B$13,0))*1.15^(COUNTIF(C$4:C533,SUBSTITUTE(C534,""Sell_"",""""))-COUNTIF(C$4:C533,"&amp;"""Sell_""&amp;SUBSTITUTE(C534,""Sell_"",""""))))/2),ROUNDUP(INDEX(Upgrades!$C$3:$C$13,MATCH(C534,Upgrades!$B$3:$B$13,0))*1.15^(COUNTIF(C$4:C533,C534)-COUNTIF(C$4:C533,""Sell_""&amp;C534))))))"),"")</f>
        <v/>
      </c>
      <c r="H534" s="10" t="str">
        <f t="shared" si="3"/>
        <v/>
      </c>
      <c r="I534" s="68" t="str">
        <f t="shared" si="4"/>
        <v/>
      </c>
      <c r="J534" s="59" t="str">
        <f t="shared" si="5"/>
        <v/>
      </c>
      <c r="K534" s="69" t="str">
        <f t="shared" si="6"/>
        <v/>
      </c>
      <c r="L534" s="60" t="str">
        <f t="shared" si="7"/>
        <v/>
      </c>
      <c r="M534" s="61" t="str">
        <f>IFERROR(__xludf.DUMMYFUNCTION("IFS(AND(COUNTA(C534:C1673)=0,COUNTA(Q534:Q1673)=0),"""",OR(AND(K534&gt;=1000000000,OR(Y534&gt;=1000000000,COUNTA(Q534:Q1673)=0)),OR(Y534&gt;=1000000000,AND(COUNTA(C534:C1673)=0,P$3=TRUE))),
ROUNDDOWN((AB$1-AC$1)*MAX(INDEX(T$4:T1673,MATCH(LARGE(FILTER(Y$4:Y1673,Y$4"&amp;":Y1673&lt;1000000000),1),Y$4:Y1673)),INDEX(F$4:F1673,MATCH(LARGE(FILTER(K$4:K1673,K$4:K1673&lt;1000000000),1),K$4:K1673)))),AND(K534&lt;1000000000,COUNTA(C534:C1673)&gt;0,P$3=FALSE),
ROUNDDOWN(INDEX(Y$4:Y1673,MATCH(LARGE(FILTER(W$4:W1673,W$4:W1673&lt;=I534),1),W$4:W1673"&amp;"))+(I534-LARGE(FILTER(W$4:W1673,W$4:W1673&lt;=I534),1))*INDEX(T$4:T1673,MATCH(LARGE(FILTER(W$4:W1673,W$4:W1673&lt;=I534),1),W$4:W1673))-K534),1,
ROUNDDOWN(Y534-INDEX(K$4:K1673,MATCH(LARGE(FILTER(I$4:I1673,I$4:I1673&lt;=W534),1),I$4:I1673))-(W534-LARGE(FILTER(I$4:I"&amp;"1673,I$4:I1673&lt;=W534),1))*INDEX(F$4:F1673,MATCH(LARGE(FILTER(I$4:I1673,I$4:I1673&lt;=W534),1),I$4:I1673))))"),"")</f>
        <v/>
      </c>
      <c r="N534" s="60" t="str">
        <f t="shared" si="8"/>
        <v/>
      </c>
      <c r="O534" s="61" t="str">
        <f t="shared" si="9"/>
        <v/>
      </c>
      <c r="P534" s="56" t="str">
        <f t="shared" si="10"/>
        <v/>
      </c>
      <c r="Q534" s="105"/>
      <c r="R534" s="10"/>
      <c r="S534" s="59" t="str">
        <f t="array" ref="S534">IF(COUNTA(Q534:Q1673)=0,"",SUM((COUNTIF(Q$4:Q534,Upgrades!$B$3:$B$13)-COUNTIF(Q$4:Q534,"Sell_"&amp;Upgrades!$B$3:$B$13))*Upgrades!$D$3:$D$13))</f>
        <v/>
      </c>
      <c r="T534" s="66" t="str">
        <f>IFERROR(__xludf.DUMMYFUNCTION("IF(COUNTA(Q534:Q1673)=0,"""",IF(REGEXMATCH(INDEX(FILTER(Q$4:Q534,Q$4:Q534&lt;&gt;""""),ROWS(FILTER(Q$4:Q534,Q$4:Q534&lt;&gt;""""))),""^Sell_""),INDEX(FILTER(T$4:T533,Q$4:Q533&lt;&gt;""""),ROWS(FILTER(Q$4:Q533,Q$4:Q533&lt;&gt;""""))),$AD$5+S534))"),"")</f>
        <v/>
      </c>
      <c r="U534" s="10" t="str">
        <f>IFERROR(__xludf.DUMMYFUNCTION("IF(COUNTA(Q534:Q1673)=0,"""",IF(Q534="""",0,IF(REGEXMATCH(Q534,""^Sell_""),-ROUNDDOWN(ROUNDUP(INDEX(Upgrades!$C$3:$C$13,MATCH(SUBSTITUTE(Q534,""Sell_"",""""),Upgrades!$B$3:$B$13,0))*1.15^(COUNTIF(Q$4:Q533,SUBSTITUTE(Q534,""Sell_"",""""))-COUNTIF(Q$4:Q533,"&amp;"""Sell_""&amp;SUBSTITUTE(Q534,""Sell_"",""""))))/2),ROUNDUP(INDEX(Upgrades!$C$3:$C$13,MATCH(Q534,Upgrades!$B$3:$B$13,0))*1.15^(COUNTIF(Q$4:Q533,Q534)-COUNTIF(Q$4:Q533,""Sell_""&amp;Q534))))))"),"")</f>
        <v/>
      </c>
      <c r="V534" s="10" t="str">
        <f t="shared" si="11"/>
        <v/>
      </c>
      <c r="W534" s="68" t="str">
        <f t="shared" si="12"/>
        <v/>
      </c>
      <c r="X534" s="59" t="str">
        <f t="shared" si="13"/>
        <v/>
      </c>
      <c r="Y534" s="69" t="str">
        <f t="shared" si="14"/>
        <v/>
      </c>
      <c r="Z534" s="11"/>
    </row>
    <row r="535">
      <c r="A535" s="8"/>
      <c r="B535" s="56" t="str">
        <f t="shared" si="2"/>
        <v/>
      </c>
      <c r="C535" s="105"/>
      <c r="D535" s="10"/>
      <c r="E535" s="59" t="str">
        <f t="array" ref="E535">IF(COUNTA(C535:C1673)=0,"",SUM((COUNTIF(C$4:C535,Upgrades!$B$3:$B$13)-COUNTIF(C$4:C535,"Sell_"&amp;Upgrades!$B$3:$B$13))*Upgrades!$D$3:$D$13))</f>
        <v/>
      </c>
      <c r="F535" s="66" t="str">
        <f>IFERROR(__xludf.DUMMYFUNCTION("IF(COUNTA(C535:C1673)=0,"""",IF(REGEXMATCH(INDEX(FILTER(C$4:C535,C$4:C535&lt;&gt;""""),ROWS(FILTER(C$4:C535,C$4:C535&lt;&gt;""""))),""^Sell_""),INDEX(FILTER(F$4:F534,C$4:C534&lt;&gt;""""),ROWS(FILTER(C$4:C534,C$4:C534&lt;&gt;""""))),$AC$5+E535))"),"")</f>
        <v/>
      </c>
      <c r="G535" s="10" t="str">
        <f>IFERROR(__xludf.DUMMYFUNCTION("IF(COUNTA(C535:C1673)=0,"""",IF(C535="""",0,IF(REGEXMATCH(C535,""^Sell_""),-ROUNDDOWN(ROUNDUP(INDEX(Upgrades!$C$3:$C$13,MATCH(SUBSTITUTE(C535,""Sell_"",""""),Upgrades!$B$3:$B$13,0))*1.15^(COUNTIF(C$4:C534,SUBSTITUTE(C535,""Sell_"",""""))-COUNTIF(C$4:C534,"&amp;"""Sell_""&amp;SUBSTITUTE(C535,""Sell_"",""""))))/2),ROUNDUP(INDEX(Upgrades!$C$3:$C$13,MATCH(C535,Upgrades!$B$3:$B$13,0))*1.15^(COUNTIF(C$4:C534,C535)-COUNTIF(C$4:C534,""Sell_""&amp;C535))))))"),"")</f>
        <v/>
      </c>
      <c r="H535" s="10" t="str">
        <f t="shared" si="3"/>
        <v/>
      </c>
      <c r="I535" s="68" t="str">
        <f t="shared" si="4"/>
        <v/>
      </c>
      <c r="J535" s="59" t="str">
        <f t="shared" si="5"/>
        <v/>
      </c>
      <c r="K535" s="69" t="str">
        <f t="shared" si="6"/>
        <v/>
      </c>
      <c r="L535" s="60" t="str">
        <f t="shared" si="7"/>
        <v/>
      </c>
      <c r="M535" s="61" t="str">
        <f>IFERROR(__xludf.DUMMYFUNCTION("IFS(AND(COUNTA(C535:C1673)=0,COUNTA(Q535:Q1673)=0),"""",OR(AND(K535&gt;=1000000000,OR(Y535&gt;=1000000000,COUNTA(Q535:Q1673)=0)),OR(Y535&gt;=1000000000,AND(COUNTA(C535:C1673)=0,P$3=TRUE))),
ROUNDDOWN((AB$1-AC$1)*MAX(INDEX(T$4:T1673,MATCH(LARGE(FILTER(Y$4:Y1673,Y$4"&amp;":Y1673&lt;1000000000),1),Y$4:Y1673)),INDEX(F$4:F1673,MATCH(LARGE(FILTER(K$4:K1673,K$4:K1673&lt;1000000000),1),K$4:K1673)))),AND(K535&lt;1000000000,COUNTA(C535:C1673)&gt;0,P$3=FALSE),
ROUNDDOWN(INDEX(Y$4:Y1673,MATCH(LARGE(FILTER(W$4:W1673,W$4:W1673&lt;=I535),1),W$4:W1673"&amp;"))+(I535-LARGE(FILTER(W$4:W1673,W$4:W1673&lt;=I535),1))*INDEX(T$4:T1673,MATCH(LARGE(FILTER(W$4:W1673,W$4:W1673&lt;=I535),1),W$4:W1673))-K535),1,
ROUNDDOWN(Y535-INDEX(K$4:K1673,MATCH(LARGE(FILTER(I$4:I1673,I$4:I1673&lt;=W535),1),I$4:I1673))-(W535-LARGE(FILTER(I$4:I"&amp;"1673,I$4:I1673&lt;=W535),1))*INDEX(F$4:F1673,MATCH(LARGE(FILTER(I$4:I1673,I$4:I1673&lt;=W535),1),I$4:I1673))))"),"")</f>
        <v/>
      </c>
      <c r="N535" s="60" t="str">
        <f t="shared" si="8"/>
        <v/>
      </c>
      <c r="O535" s="61" t="str">
        <f t="shared" si="9"/>
        <v/>
      </c>
      <c r="P535" s="56" t="str">
        <f t="shared" si="10"/>
        <v/>
      </c>
      <c r="Q535" s="105"/>
      <c r="R535" s="10"/>
      <c r="S535" s="59" t="str">
        <f t="array" ref="S535">IF(COUNTA(Q535:Q1673)=0,"",SUM((COUNTIF(Q$4:Q535,Upgrades!$B$3:$B$13)-COUNTIF(Q$4:Q535,"Sell_"&amp;Upgrades!$B$3:$B$13))*Upgrades!$D$3:$D$13))</f>
        <v/>
      </c>
      <c r="T535" s="66" t="str">
        <f>IFERROR(__xludf.DUMMYFUNCTION("IF(COUNTA(Q535:Q1673)=0,"""",IF(REGEXMATCH(INDEX(FILTER(Q$4:Q535,Q$4:Q535&lt;&gt;""""),ROWS(FILTER(Q$4:Q535,Q$4:Q535&lt;&gt;""""))),""^Sell_""),INDEX(FILTER(T$4:T534,Q$4:Q534&lt;&gt;""""),ROWS(FILTER(Q$4:Q534,Q$4:Q534&lt;&gt;""""))),$AD$5+S535))"),"")</f>
        <v/>
      </c>
      <c r="U535" s="10" t="str">
        <f>IFERROR(__xludf.DUMMYFUNCTION("IF(COUNTA(Q535:Q1673)=0,"""",IF(Q535="""",0,IF(REGEXMATCH(Q535,""^Sell_""),-ROUNDDOWN(ROUNDUP(INDEX(Upgrades!$C$3:$C$13,MATCH(SUBSTITUTE(Q535,""Sell_"",""""),Upgrades!$B$3:$B$13,0))*1.15^(COUNTIF(Q$4:Q534,SUBSTITUTE(Q535,""Sell_"",""""))-COUNTIF(Q$4:Q534,"&amp;"""Sell_""&amp;SUBSTITUTE(Q535,""Sell_"",""""))))/2),ROUNDUP(INDEX(Upgrades!$C$3:$C$13,MATCH(Q535,Upgrades!$B$3:$B$13,0))*1.15^(COUNTIF(Q$4:Q534,Q535)-COUNTIF(Q$4:Q534,""Sell_""&amp;Q535))))))"),"")</f>
        <v/>
      </c>
      <c r="V535" s="10" t="str">
        <f t="shared" si="11"/>
        <v/>
      </c>
      <c r="W535" s="68" t="str">
        <f t="shared" si="12"/>
        <v/>
      </c>
      <c r="X535" s="59" t="str">
        <f t="shared" si="13"/>
        <v/>
      </c>
      <c r="Y535" s="69" t="str">
        <f t="shared" si="14"/>
        <v/>
      </c>
      <c r="Z535" s="11"/>
    </row>
    <row r="536">
      <c r="A536" s="8"/>
      <c r="B536" s="56" t="str">
        <f t="shared" si="2"/>
        <v/>
      </c>
      <c r="C536" s="105"/>
      <c r="D536" s="10"/>
      <c r="E536" s="59" t="str">
        <f t="array" ref="E536">IF(COUNTA(C536:C1673)=0,"",SUM((COUNTIF(C$4:C536,Upgrades!$B$3:$B$13)-COUNTIF(C$4:C536,"Sell_"&amp;Upgrades!$B$3:$B$13))*Upgrades!$D$3:$D$13))</f>
        <v/>
      </c>
      <c r="F536" s="66" t="str">
        <f>IFERROR(__xludf.DUMMYFUNCTION("IF(COUNTA(C536:C1673)=0,"""",IF(REGEXMATCH(INDEX(FILTER(C$4:C536,C$4:C536&lt;&gt;""""),ROWS(FILTER(C$4:C536,C$4:C536&lt;&gt;""""))),""^Sell_""),INDEX(FILTER(F$4:F535,C$4:C535&lt;&gt;""""),ROWS(FILTER(C$4:C535,C$4:C535&lt;&gt;""""))),$AC$5+E536))"),"")</f>
        <v/>
      </c>
      <c r="G536" s="10" t="str">
        <f>IFERROR(__xludf.DUMMYFUNCTION("IF(COUNTA(C536:C1673)=0,"""",IF(C536="""",0,IF(REGEXMATCH(C536,""^Sell_""),-ROUNDDOWN(ROUNDUP(INDEX(Upgrades!$C$3:$C$13,MATCH(SUBSTITUTE(C536,""Sell_"",""""),Upgrades!$B$3:$B$13,0))*1.15^(COUNTIF(C$4:C535,SUBSTITUTE(C536,""Sell_"",""""))-COUNTIF(C$4:C535,"&amp;"""Sell_""&amp;SUBSTITUTE(C536,""Sell_"",""""))))/2),ROUNDUP(INDEX(Upgrades!$C$3:$C$13,MATCH(C536,Upgrades!$B$3:$B$13,0))*1.15^(COUNTIF(C$4:C535,C536)-COUNTIF(C$4:C535,""Sell_""&amp;C536))))))"),"")</f>
        <v/>
      </c>
      <c r="H536" s="10" t="str">
        <f t="shared" si="3"/>
        <v/>
      </c>
      <c r="I536" s="68" t="str">
        <f t="shared" si="4"/>
        <v/>
      </c>
      <c r="J536" s="59" t="str">
        <f t="shared" si="5"/>
        <v/>
      </c>
      <c r="K536" s="69" t="str">
        <f t="shared" si="6"/>
        <v/>
      </c>
      <c r="L536" s="60" t="str">
        <f t="shared" si="7"/>
        <v/>
      </c>
      <c r="M536" s="61" t="str">
        <f>IFERROR(__xludf.DUMMYFUNCTION("IFS(AND(COUNTA(C536:C1673)=0,COUNTA(Q536:Q1673)=0),"""",OR(AND(K536&gt;=1000000000,OR(Y536&gt;=1000000000,COUNTA(Q536:Q1673)=0)),OR(Y536&gt;=1000000000,AND(COUNTA(C536:C1673)=0,P$3=TRUE))),
ROUNDDOWN((AB$1-AC$1)*MAX(INDEX(T$4:T1673,MATCH(LARGE(FILTER(Y$4:Y1673,Y$4"&amp;":Y1673&lt;1000000000),1),Y$4:Y1673)),INDEX(F$4:F1673,MATCH(LARGE(FILTER(K$4:K1673,K$4:K1673&lt;1000000000),1),K$4:K1673)))),AND(K536&lt;1000000000,COUNTA(C536:C1673)&gt;0,P$3=FALSE),
ROUNDDOWN(INDEX(Y$4:Y1673,MATCH(LARGE(FILTER(W$4:W1673,W$4:W1673&lt;=I536),1),W$4:W1673"&amp;"))+(I536-LARGE(FILTER(W$4:W1673,W$4:W1673&lt;=I536),1))*INDEX(T$4:T1673,MATCH(LARGE(FILTER(W$4:W1673,W$4:W1673&lt;=I536),1),W$4:W1673))-K536),1,
ROUNDDOWN(Y536-INDEX(K$4:K1673,MATCH(LARGE(FILTER(I$4:I1673,I$4:I1673&lt;=W536),1),I$4:I1673))-(W536-LARGE(FILTER(I$4:I"&amp;"1673,I$4:I1673&lt;=W536),1))*INDEX(F$4:F1673,MATCH(LARGE(FILTER(I$4:I1673,I$4:I1673&lt;=W536),1),I$4:I1673))))"),"")</f>
        <v/>
      </c>
      <c r="N536" s="60" t="str">
        <f t="shared" si="8"/>
        <v/>
      </c>
      <c r="O536" s="61" t="str">
        <f t="shared" si="9"/>
        <v/>
      </c>
      <c r="P536" s="56" t="str">
        <f t="shared" si="10"/>
        <v/>
      </c>
      <c r="Q536" s="105"/>
      <c r="R536" s="10"/>
      <c r="S536" s="59" t="str">
        <f t="array" ref="S536">IF(COUNTA(Q536:Q1673)=0,"",SUM((COUNTIF(Q$4:Q536,Upgrades!$B$3:$B$13)-COUNTIF(Q$4:Q536,"Sell_"&amp;Upgrades!$B$3:$B$13))*Upgrades!$D$3:$D$13))</f>
        <v/>
      </c>
      <c r="T536" s="66" t="str">
        <f>IFERROR(__xludf.DUMMYFUNCTION("IF(COUNTA(Q536:Q1673)=0,"""",IF(REGEXMATCH(INDEX(FILTER(Q$4:Q536,Q$4:Q536&lt;&gt;""""),ROWS(FILTER(Q$4:Q536,Q$4:Q536&lt;&gt;""""))),""^Sell_""),INDEX(FILTER(T$4:T535,Q$4:Q535&lt;&gt;""""),ROWS(FILTER(Q$4:Q535,Q$4:Q535&lt;&gt;""""))),$AD$5+S536))"),"")</f>
        <v/>
      </c>
      <c r="U536" s="10" t="str">
        <f>IFERROR(__xludf.DUMMYFUNCTION("IF(COUNTA(Q536:Q1673)=0,"""",IF(Q536="""",0,IF(REGEXMATCH(Q536,""^Sell_""),-ROUNDDOWN(ROUNDUP(INDEX(Upgrades!$C$3:$C$13,MATCH(SUBSTITUTE(Q536,""Sell_"",""""),Upgrades!$B$3:$B$13,0))*1.15^(COUNTIF(Q$4:Q535,SUBSTITUTE(Q536,""Sell_"",""""))-COUNTIF(Q$4:Q535,"&amp;"""Sell_""&amp;SUBSTITUTE(Q536,""Sell_"",""""))))/2),ROUNDUP(INDEX(Upgrades!$C$3:$C$13,MATCH(Q536,Upgrades!$B$3:$B$13,0))*1.15^(COUNTIF(Q$4:Q535,Q536)-COUNTIF(Q$4:Q535,""Sell_""&amp;Q536))))))"),"")</f>
        <v/>
      </c>
      <c r="V536" s="10" t="str">
        <f t="shared" si="11"/>
        <v/>
      </c>
      <c r="W536" s="68" t="str">
        <f t="shared" si="12"/>
        <v/>
      </c>
      <c r="X536" s="59" t="str">
        <f t="shared" si="13"/>
        <v/>
      </c>
      <c r="Y536" s="69" t="str">
        <f t="shared" si="14"/>
        <v/>
      </c>
      <c r="Z536" s="11"/>
    </row>
    <row r="537">
      <c r="A537" s="8"/>
      <c r="B537" s="56" t="str">
        <f t="shared" si="2"/>
        <v/>
      </c>
      <c r="C537" s="105"/>
      <c r="D537" s="10"/>
      <c r="E537" s="59" t="str">
        <f t="array" ref="E537">IF(COUNTA(C537:C1673)=0,"",SUM((COUNTIF(C$4:C537,Upgrades!$B$3:$B$13)-COUNTIF(C$4:C537,"Sell_"&amp;Upgrades!$B$3:$B$13))*Upgrades!$D$3:$D$13))</f>
        <v/>
      </c>
      <c r="F537" s="66" t="str">
        <f>IFERROR(__xludf.DUMMYFUNCTION("IF(COUNTA(C537:C1673)=0,"""",IF(REGEXMATCH(INDEX(FILTER(C$4:C537,C$4:C537&lt;&gt;""""),ROWS(FILTER(C$4:C537,C$4:C537&lt;&gt;""""))),""^Sell_""),INDEX(FILTER(F$4:F536,C$4:C536&lt;&gt;""""),ROWS(FILTER(C$4:C536,C$4:C536&lt;&gt;""""))),$AC$5+E537))"),"")</f>
        <v/>
      </c>
      <c r="G537" s="10" t="str">
        <f>IFERROR(__xludf.DUMMYFUNCTION("IF(COUNTA(C537:C1673)=0,"""",IF(C537="""",0,IF(REGEXMATCH(C537,""^Sell_""),-ROUNDDOWN(ROUNDUP(INDEX(Upgrades!$C$3:$C$13,MATCH(SUBSTITUTE(C537,""Sell_"",""""),Upgrades!$B$3:$B$13,0))*1.15^(COUNTIF(C$4:C536,SUBSTITUTE(C537,""Sell_"",""""))-COUNTIF(C$4:C536,"&amp;"""Sell_""&amp;SUBSTITUTE(C537,""Sell_"",""""))))/2),ROUNDUP(INDEX(Upgrades!$C$3:$C$13,MATCH(C537,Upgrades!$B$3:$B$13,0))*1.15^(COUNTIF(C$4:C536,C537)-COUNTIF(C$4:C536,""Sell_""&amp;C537))))))"),"")</f>
        <v/>
      </c>
      <c r="H537" s="10" t="str">
        <f t="shared" si="3"/>
        <v/>
      </c>
      <c r="I537" s="68" t="str">
        <f t="shared" si="4"/>
        <v/>
      </c>
      <c r="J537" s="59" t="str">
        <f t="shared" si="5"/>
        <v/>
      </c>
      <c r="K537" s="69" t="str">
        <f t="shared" si="6"/>
        <v/>
      </c>
      <c r="L537" s="60" t="str">
        <f t="shared" si="7"/>
        <v/>
      </c>
      <c r="M537" s="61" t="str">
        <f>IFERROR(__xludf.DUMMYFUNCTION("IFS(AND(COUNTA(C537:C1673)=0,COUNTA(Q537:Q1673)=0),"""",OR(AND(K537&gt;=1000000000,OR(Y537&gt;=1000000000,COUNTA(Q537:Q1673)=0)),OR(Y537&gt;=1000000000,AND(COUNTA(C537:C1673)=0,P$3=TRUE))),
ROUNDDOWN((AB$1-AC$1)*MAX(INDEX(T$4:T1673,MATCH(LARGE(FILTER(Y$4:Y1673,Y$4"&amp;":Y1673&lt;1000000000),1),Y$4:Y1673)),INDEX(F$4:F1673,MATCH(LARGE(FILTER(K$4:K1673,K$4:K1673&lt;1000000000),1),K$4:K1673)))),AND(K537&lt;1000000000,COUNTA(C537:C1673)&gt;0,P$3=FALSE),
ROUNDDOWN(INDEX(Y$4:Y1673,MATCH(LARGE(FILTER(W$4:W1673,W$4:W1673&lt;=I537),1),W$4:W1673"&amp;"))+(I537-LARGE(FILTER(W$4:W1673,W$4:W1673&lt;=I537),1))*INDEX(T$4:T1673,MATCH(LARGE(FILTER(W$4:W1673,W$4:W1673&lt;=I537),1),W$4:W1673))-K537),1,
ROUNDDOWN(Y537-INDEX(K$4:K1673,MATCH(LARGE(FILTER(I$4:I1673,I$4:I1673&lt;=W537),1),I$4:I1673))-(W537-LARGE(FILTER(I$4:I"&amp;"1673,I$4:I1673&lt;=W537),1))*INDEX(F$4:F1673,MATCH(LARGE(FILTER(I$4:I1673,I$4:I1673&lt;=W537),1),I$4:I1673))))"),"")</f>
        <v/>
      </c>
      <c r="N537" s="60" t="str">
        <f t="shared" si="8"/>
        <v/>
      </c>
      <c r="O537" s="61" t="str">
        <f t="shared" si="9"/>
        <v/>
      </c>
      <c r="P537" s="56" t="str">
        <f t="shared" si="10"/>
        <v/>
      </c>
      <c r="Q537" s="105"/>
      <c r="R537" s="10"/>
      <c r="S537" s="59" t="str">
        <f t="array" ref="S537">IF(COUNTA(Q537:Q1673)=0,"",SUM((COUNTIF(Q$4:Q537,Upgrades!$B$3:$B$13)-COUNTIF(Q$4:Q537,"Sell_"&amp;Upgrades!$B$3:$B$13))*Upgrades!$D$3:$D$13))</f>
        <v/>
      </c>
      <c r="T537" s="66" t="str">
        <f>IFERROR(__xludf.DUMMYFUNCTION("IF(COUNTA(Q537:Q1673)=0,"""",IF(REGEXMATCH(INDEX(FILTER(Q$4:Q537,Q$4:Q537&lt;&gt;""""),ROWS(FILTER(Q$4:Q537,Q$4:Q537&lt;&gt;""""))),""^Sell_""),INDEX(FILTER(T$4:T536,Q$4:Q536&lt;&gt;""""),ROWS(FILTER(Q$4:Q536,Q$4:Q536&lt;&gt;""""))),$AD$5+S537))"),"")</f>
        <v/>
      </c>
      <c r="U537" s="10" t="str">
        <f>IFERROR(__xludf.DUMMYFUNCTION("IF(COUNTA(Q537:Q1673)=0,"""",IF(Q537="""",0,IF(REGEXMATCH(Q537,""^Sell_""),-ROUNDDOWN(ROUNDUP(INDEX(Upgrades!$C$3:$C$13,MATCH(SUBSTITUTE(Q537,""Sell_"",""""),Upgrades!$B$3:$B$13,0))*1.15^(COUNTIF(Q$4:Q536,SUBSTITUTE(Q537,""Sell_"",""""))-COUNTIF(Q$4:Q536,"&amp;"""Sell_""&amp;SUBSTITUTE(Q537,""Sell_"",""""))))/2),ROUNDUP(INDEX(Upgrades!$C$3:$C$13,MATCH(Q537,Upgrades!$B$3:$B$13,0))*1.15^(COUNTIF(Q$4:Q536,Q537)-COUNTIF(Q$4:Q536,""Sell_""&amp;Q537))))))"),"")</f>
        <v/>
      </c>
      <c r="V537" s="10" t="str">
        <f t="shared" si="11"/>
        <v/>
      </c>
      <c r="W537" s="68" t="str">
        <f t="shared" si="12"/>
        <v/>
      </c>
      <c r="X537" s="59" t="str">
        <f t="shared" si="13"/>
        <v/>
      </c>
      <c r="Y537" s="69" t="str">
        <f t="shared" si="14"/>
        <v/>
      </c>
      <c r="Z537" s="11"/>
    </row>
    <row r="538">
      <c r="A538" s="8"/>
      <c r="B538" s="56" t="str">
        <f t="shared" si="2"/>
        <v/>
      </c>
      <c r="C538" s="105"/>
      <c r="D538" s="10"/>
      <c r="E538" s="59" t="str">
        <f t="array" ref="E538">IF(COUNTA(C538:C1673)=0,"",SUM((COUNTIF(C$4:C538,Upgrades!$B$3:$B$13)-COUNTIF(C$4:C538,"Sell_"&amp;Upgrades!$B$3:$B$13))*Upgrades!$D$3:$D$13))</f>
        <v/>
      </c>
      <c r="F538" s="66" t="str">
        <f>IFERROR(__xludf.DUMMYFUNCTION("IF(COUNTA(C538:C1673)=0,"""",IF(REGEXMATCH(INDEX(FILTER(C$4:C538,C$4:C538&lt;&gt;""""),ROWS(FILTER(C$4:C538,C$4:C538&lt;&gt;""""))),""^Sell_""),INDEX(FILTER(F$4:F537,C$4:C537&lt;&gt;""""),ROWS(FILTER(C$4:C537,C$4:C537&lt;&gt;""""))),$AC$5+E538))"),"")</f>
        <v/>
      </c>
      <c r="G538" s="10" t="str">
        <f>IFERROR(__xludf.DUMMYFUNCTION("IF(COUNTA(C538:C1673)=0,"""",IF(C538="""",0,IF(REGEXMATCH(C538,""^Sell_""),-ROUNDDOWN(ROUNDUP(INDEX(Upgrades!$C$3:$C$13,MATCH(SUBSTITUTE(C538,""Sell_"",""""),Upgrades!$B$3:$B$13,0))*1.15^(COUNTIF(C$4:C537,SUBSTITUTE(C538,""Sell_"",""""))-COUNTIF(C$4:C537,"&amp;"""Sell_""&amp;SUBSTITUTE(C538,""Sell_"",""""))))/2),ROUNDUP(INDEX(Upgrades!$C$3:$C$13,MATCH(C538,Upgrades!$B$3:$B$13,0))*1.15^(COUNTIF(C$4:C537,C538)-COUNTIF(C$4:C537,""Sell_""&amp;C538))))))"),"")</f>
        <v/>
      </c>
      <c r="H538" s="10" t="str">
        <f t="shared" si="3"/>
        <v/>
      </c>
      <c r="I538" s="68" t="str">
        <f t="shared" si="4"/>
        <v/>
      </c>
      <c r="J538" s="59" t="str">
        <f t="shared" si="5"/>
        <v/>
      </c>
      <c r="K538" s="69" t="str">
        <f t="shared" si="6"/>
        <v/>
      </c>
      <c r="L538" s="60" t="str">
        <f t="shared" si="7"/>
        <v/>
      </c>
      <c r="M538" s="61" t="str">
        <f>IFERROR(__xludf.DUMMYFUNCTION("IFS(AND(COUNTA(C538:C1673)=0,COUNTA(Q538:Q1673)=0),"""",OR(AND(K538&gt;=1000000000,OR(Y538&gt;=1000000000,COUNTA(Q538:Q1673)=0)),OR(Y538&gt;=1000000000,AND(COUNTA(C538:C1673)=0,P$3=TRUE))),
ROUNDDOWN((AB$1-AC$1)*MAX(INDEX(T$4:T1673,MATCH(LARGE(FILTER(Y$4:Y1673,Y$4"&amp;":Y1673&lt;1000000000),1),Y$4:Y1673)),INDEX(F$4:F1673,MATCH(LARGE(FILTER(K$4:K1673,K$4:K1673&lt;1000000000),1),K$4:K1673)))),AND(K538&lt;1000000000,COUNTA(C538:C1673)&gt;0,P$3=FALSE),
ROUNDDOWN(INDEX(Y$4:Y1673,MATCH(LARGE(FILTER(W$4:W1673,W$4:W1673&lt;=I538),1),W$4:W1673"&amp;"))+(I538-LARGE(FILTER(W$4:W1673,W$4:W1673&lt;=I538),1))*INDEX(T$4:T1673,MATCH(LARGE(FILTER(W$4:W1673,W$4:W1673&lt;=I538),1),W$4:W1673))-K538),1,
ROUNDDOWN(Y538-INDEX(K$4:K1673,MATCH(LARGE(FILTER(I$4:I1673,I$4:I1673&lt;=W538),1),I$4:I1673))-(W538-LARGE(FILTER(I$4:I"&amp;"1673,I$4:I1673&lt;=W538),1))*INDEX(F$4:F1673,MATCH(LARGE(FILTER(I$4:I1673,I$4:I1673&lt;=W538),1),I$4:I1673))))"),"")</f>
        <v/>
      </c>
      <c r="N538" s="60" t="str">
        <f t="shared" si="8"/>
        <v/>
      </c>
      <c r="O538" s="61" t="str">
        <f t="shared" si="9"/>
        <v/>
      </c>
      <c r="P538" s="56" t="str">
        <f t="shared" si="10"/>
        <v/>
      </c>
      <c r="Q538" s="105"/>
      <c r="R538" s="10"/>
      <c r="S538" s="59" t="str">
        <f t="array" ref="S538">IF(COUNTA(Q538:Q1673)=0,"",SUM((COUNTIF(Q$4:Q538,Upgrades!$B$3:$B$13)-COUNTIF(Q$4:Q538,"Sell_"&amp;Upgrades!$B$3:$B$13))*Upgrades!$D$3:$D$13))</f>
        <v/>
      </c>
      <c r="T538" s="66" t="str">
        <f>IFERROR(__xludf.DUMMYFUNCTION("IF(COUNTA(Q538:Q1673)=0,"""",IF(REGEXMATCH(INDEX(FILTER(Q$4:Q538,Q$4:Q538&lt;&gt;""""),ROWS(FILTER(Q$4:Q538,Q$4:Q538&lt;&gt;""""))),""^Sell_""),INDEX(FILTER(T$4:T537,Q$4:Q537&lt;&gt;""""),ROWS(FILTER(Q$4:Q537,Q$4:Q537&lt;&gt;""""))),$AD$5+S538))"),"")</f>
        <v/>
      </c>
      <c r="U538" s="10" t="str">
        <f>IFERROR(__xludf.DUMMYFUNCTION("IF(COUNTA(Q538:Q1673)=0,"""",IF(Q538="""",0,IF(REGEXMATCH(Q538,""^Sell_""),-ROUNDDOWN(ROUNDUP(INDEX(Upgrades!$C$3:$C$13,MATCH(SUBSTITUTE(Q538,""Sell_"",""""),Upgrades!$B$3:$B$13,0))*1.15^(COUNTIF(Q$4:Q537,SUBSTITUTE(Q538,""Sell_"",""""))-COUNTIF(Q$4:Q537,"&amp;"""Sell_""&amp;SUBSTITUTE(Q538,""Sell_"",""""))))/2),ROUNDUP(INDEX(Upgrades!$C$3:$C$13,MATCH(Q538,Upgrades!$B$3:$B$13,0))*1.15^(COUNTIF(Q$4:Q537,Q538)-COUNTIF(Q$4:Q537,""Sell_""&amp;Q538))))))"),"")</f>
        <v/>
      </c>
      <c r="V538" s="10" t="str">
        <f t="shared" si="11"/>
        <v/>
      </c>
      <c r="W538" s="68" t="str">
        <f t="shared" si="12"/>
        <v/>
      </c>
      <c r="X538" s="59" t="str">
        <f t="shared" si="13"/>
        <v/>
      </c>
      <c r="Y538" s="69" t="str">
        <f t="shared" si="14"/>
        <v/>
      </c>
      <c r="Z538" s="11"/>
    </row>
    <row r="539">
      <c r="A539" s="8"/>
      <c r="B539" s="56" t="str">
        <f t="shared" si="2"/>
        <v/>
      </c>
      <c r="C539" s="105"/>
      <c r="D539" s="10"/>
      <c r="E539" s="59" t="str">
        <f t="array" ref="E539">IF(COUNTA(C539:C1673)=0,"",SUM((COUNTIF(C$4:C539,Upgrades!$B$3:$B$13)-COUNTIF(C$4:C539,"Sell_"&amp;Upgrades!$B$3:$B$13))*Upgrades!$D$3:$D$13))</f>
        <v/>
      </c>
      <c r="F539" s="66" t="str">
        <f>IFERROR(__xludf.DUMMYFUNCTION("IF(COUNTA(C539:C1673)=0,"""",IF(REGEXMATCH(INDEX(FILTER(C$4:C539,C$4:C539&lt;&gt;""""),ROWS(FILTER(C$4:C539,C$4:C539&lt;&gt;""""))),""^Sell_""),INDEX(FILTER(F$4:F538,C$4:C538&lt;&gt;""""),ROWS(FILTER(C$4:C538,C$4:C538&lt;&gt;""""))),$AC$5+E539))"),"")</f>
        <v/>
      </c>
      <c r="G539" s="10" t="str">
        <f>IFERROR(__xludf.DUMMYFUNCTION("IF(COUNTA(C539:C1673)=0,"""",IF(C539="""",0,IF(REGEXMATCH(C539,""^Sell_""),-ROUNDDOWN(ROUNDUP(INDEX(Upgrades!$C$3:$C$13,MATCH(SUBSTITUTE(C539,""Sell_"",""""),Upgrades!$B$3:$B$13,0))*1.15^(COUNTIF(C$4:C538,SUBSTITUTE(C539,""Sell_"",""""))-COUNTIF(C$4:C538,"&amp;"""Sell_""&amp;SUBSTITUTE(C539,""Sell_"",""""))))/2),ROUNDUP(INDEX(Upgrades!$C$3:$C$13,MATCH(C539,Upgrades!$B$3:$B$13,0))*1.15^(COUNTIF(C$4:C538,C539)-COUNTIF(C$4:C538,""Sell_""&amp;C539))))))"),"")</f>
        <v/>
      </c>
      <c r="H539" s="10" t="str">
        <f t="shared" si="3"/>
        <v/>
      </c>
      <c r="I539" s="68" t="str">
        <f t="shared" si="4"/>
        <v/>
      </c>
      <c r="J539" s="59" t="str">
        <f t="shared" si="5"/>
        <v/>
      </c>
      <c r="K539" s="69" t="str">
        <f t="shared" si="6"/>
        <v/>
      </c>
      <c r="L539" s="60" t="str">
        <f t="shared" si="7"/>
        <v/>
      </c>
      <c r="M539" s="61" t="str">
        <f>IFERROR(__xludf.DUMMYFUNCTION("IFS(AND(COUNTA(C539:C1673)=0,COUNTA(Q539:Q1673)=0),"""",OR(AND(K539&gt;=1000000000,OR(Y539&gt;=1000000000,COUNTA(Q539:Q1673)=0)),OR(Y539&gt;=1000000000,AND(COUNTA(C539:C1673)=0,P$3=TRUE))),
ROUNDDOWN((AB$1-AC$1)*MAX(INDEX(T$4:T1673,MATCH(LARGE(FILTER(Y$4:Y1673,Y$4"&amp;":Y1673&lt;1000000000),1),Y$4:Y1673)),INDEX(F$4:F1673,MATCH(LARGE(FILTER(K$4:K1673,K$4:K1673&lt;1000000000),1),K$4:K1673)))),AND(K539&lt;1000000000,COUNTA(C539:C1673)&gt;0,P$3=FALSE),
ROUNDDOWN(INDEX(Y$4:Y1673,MATCH(LARGE(FILTER(W$4:W1673,W$4:W1673&lt;=I539),1),W$4:W1673"&amp;"))+(I539-LARGE(FILTER(W$4:W1673,W$4:W1673&lt;=I539),1))*INDEX(T$4:T1673,MATCH(LARGE(FILTER(W$4:W1673,W$4:W1673&lt;=I539),1),W$4:W1673))-K539),1,
ROUNDDOWN(Y539-INDEX(K$4:K1673,MATCH(LARGE(FILTER(I$4:I1673,I$4:I1673&lt;=W539),1),I$4:I1673))-(W539-LARGE(FILTER(I$4:I"&amp;"1673,I$4:I1673&lt;=W539),1))*INDEX(F$4:F1673,MATCH(LARGE(FILTER(I$4:I1673,I$4:I1673&lt;=W539),1),I$4:I1673))))"),"")</f>
        <v/>
      </c>
      <c r="N539" s="60" t="str">
        <f t="shared" si="8"/>
        <v/>
      </c>
      <c r="O539" s="61" t="str">
        <f t="shared" si="9"/>
        <v/>
      </c>
      <c r="P539" s="56" t="str">
        <f t="shared" si="10"/>
        <v/>
      </c>
      <c r="Q539" s="105"/>
      <c r="R539" s="10"/>
      <c r="S539" s="59" t="str">
        <f t="array" ref="S539">IF(COUNTA(Q539:Q1673)=0,"",SUM((COUNTIF(Q$4:Q539,Upgrades!$B$3:$B$13)-COUNTIF(Q$4:Q539,"Sell_"&amp;Upgrades!$B$3:$B$13))*Upgrades!$D$3:$D$13))</f>
        <v/>
      </c>
      <c r="T539" s="66" t="str">
        <f>IFERROR(__xludf.DUMMYFUNCTION("IF(COUNTA(Q539:Q1673)=0,"""",IF(REGEXMATCH(INDEX(FILTER(Q$4:Q539,Q$4:Q539&lt;&gt;""""),ROWS(FILTER(Q$4:Q539,Q$4:Q539&lt;&gt;""""))),""^Sell_""),INDEX(FILTER(T$4:T538,Q$4:Q538&lt;&gt;""""),ROWS(FILTER(Q$4:Q538,Q$4:Q538&lt;&gt;""""))),$AD$5+S539))"),"")</f>
        <v/>
      </c>
      <c r="U539" s="10" t="str">
        <f>IFERROR(__xludf.DUMMYFUNCTION("IF(COUNTA(Q539:Q1673)=0,"""",IF(Q539="""",0,IF(REGEXMATCH(Q539,""^Sell_""),-ROUNDDOWN(ROUNDUP(INDEX(Upgrades!$C$3:$C$13,MATCH(SUBSTITUTE(Q539,""Sell_"",""""),Upgrades!$B$3:$B$13,0))*1.15^(COUNTIF(Q$4:Q538,SUBSTITUTE(Q539,""Sell_"",""""))-COUNTIF(Q$4:Q538,"&amp;"""Sell_""&amp;SUBSTITUTE(Q539,""Sell_"",""""))))/2),ROUNDUP(INDEX(Upgrades!$C$3:$C$13,MATCH(Q539,Upgrades!$B$3:$B$13,0))*1.15^(COUNTIF(Q$4:Q538,Q539)-COUNTIF(Q$4:Q538,""Sell_""&amp;Q539))))))"),"")</f>
        <v/>
      </c>
      <c r="V539" s="10" t="str">
        <f t="shared" si="11"/>
        <v/>
      </c>
      <c r="W539" s="68" t="str">
        <f t="shared" si="12"/>
        <v/>
      </c>
      <c r="X539" s="59" t="str">
        <f t="shared" si="13"/>
        <v/>
      </c>
      <c r="Y539" s="69" t="str">
        <f t="shared" si="14"/>
        <v/>
      </c>
      <c r="Z539" s="11"/>
    </row>
    <row r="540">
      <c r="A540" s="8"/>
      <c r="B540" s="56" t="str">
        <f t="shared" si="2"/>
        <v/>
      </c>
      <c r="C540" s="105"/>
      <c r="D540" s="10"/>
      <c r="E540" s="59" t="str">
        <f t="array" ref="E540">IF(COUNTA(C540:C1673)=0,"",SUM((COUNTIF(C$4:C540,Upgrades!$B$3:$B$13)-COUNTIF(C$4:C540,"Sell_"&amp;Upgrades!$B$3:$B$13))*Upgrades!$D$3:$D$13))</f>
        <v/>
      </c>
      <c r="F540" s="66" t="str">
        <f>IFERROR(__xludf.DUMMYFUNCTION("IF(COUNTA(C540:C1673)=0,"""",IF(REGEXMATCH(INDEX(FILTER(C$4:C540,C$4:C540&lt;&gt;""""),ROWS(FILTER(C$4:C540,C$4:C540&lt;&gt;""""))),""^Sell_""),INDEX(FILTER(F$4:F539,C$4:C539&lt;&gt;""""),ROWS(FILTER(C$4:C539,C$4:C539&lt;&gt;""""))),$AC$5+E540))"),"")</f>
        <v/>
      </c>
      <c r="G540" s="10" t="str">
        <f>IFERROR(__xludf.DUMMYFUNCTION("IF(COUNTA(C540:C1673)=0,"""",IF(C540="""",0,IF(REGEXMATCH(C540,""^Sell_""),-ROUNDDOWN(ROUNDUP(INDEX(Upgrades!$C$3:$C$13,MATCH(SUBSTITUTE(C540,""Sell_"",""""),Upgrades!$B$3:$B$13,0))*1.15^(COUNTIF(C$4:C539,SUBSTITUTE(C540,""Sell_"",""""))-COUNTIF(C$4:C539,"&amp;"""Sell_""&amp;SUBSTITUTE(C540,""Sell_"",""""))))/2),ROUNDUP(INDEX(Upgrades!$C$3:$C$13,MATCH(C540,Upgrades!$B$3:$B$13,0))*1.15^(COUNTIF(C$4:C539,C540)-COUNTIF(C$4:C539,""Sell_""&amp;C540))))))"),"")</f>
        <v/>
      </c>
      <c r="H540" s="10" t="str">
        <f t="shared" si="3"/>
        <v/>
      </c>
      <c r="I540" s="68" t="str">
        <f t="shared" si="4"/>
        <v/>
      </c>
      <c r="J540" s="59" t="str">
        <f t="shared" si="5"/>
        <v/>
      </c>
      <c r="K540" s="69" t="str">
        <f t="shared" si="6"/>
        <v/>
      </c>
      <c r="L540" s="60" t="str">
        <f t="shared" si="7"/>
        <v/>
      </c>
      <c r="M540" s="61" t="str">
        <f>IFERROR(__xludf.DUMMYFUNCTION("IFS(AND(COUNTA(C540:C1673)=0,COUNTA(Q540:Q1673)=0),"""",OR(AND(K540&gt;=1000000000,OR(Y540&gt;=1000000000,COUNTA(Q540:Q1673)=0)),OR(Y540&gt;=1000000000,AND(COUNTA(C540:C1673)=0,P$3=TRUE))),
ROUNDDOWN((AB$1-AC$1)*MAX(INDEX(T$4:T1673,MATCH(LARGE(FILTER(Y$4:Y1673,Y$4"&amp;":Y1673&lt;1000000000),1),Y$4:Y1673)),INDEX(F$4:F1673,MATCH(LARGE(FILTER(K$4:K1673,K$4:K1673&lt;1000000000),1),K$4:K1673)))),AND(K540&lt;1000000000,COUNTA(C540:C1673)&gt;0,P$3=FALSE),
ROUNDDOWN(INDEX(Y$4:Y1673,MATCH(LARGE(FILTER(W$4:W1673,W$4:W1673&lt;=I540),1),W$4:W1673"&amp;"))+(I540-LARGE(FILTER(W$4:W1673,W$4:W1673&lt;=I540),1))*INDEX(T$4:T1673,MATCH(LARGE(FILTER(W$4:W1673,W$4:W1673&lt;=I540),1),W$4:W1673))-K540),1,
ROUNDDOWN(Y540-INDEX(K$4:K1673,MATCH(LARGE(FILTER(I$4:I1673,I$4:I1673&lt;=W540),1),I$4:I1673))-(W540-LARGE(FILTER(I$4:I"&amp;"1673,I$4:I1673&lt;=W540),1))*INDEX(F$4:F1673,MATCH(LARGE(FILTER(I$4:I1673,I$4:I1673&lt;=W540),1),I$4:I1673))))"),"")</f>
        <v/>
      </c>
      <c r="N540" s="60" t="str">
        <f t="shared" si="8"/>
        <v/>
      </c>
      <c r="O540" s="61" t="str">
        <f t="shared" si="9"/>
        <v/>
      </c>
      <c r="P540" s="56" t="str">
        <f t="shared" si="10"/>
        <v/>
      </c>
      <c r="Q540" s="105"/>
      <c r="R540" s="10"/>
      <c r="S540" s="59" t="str">
        <f t="array" ref="S540">IF(COUNTA(Q540:Q1673)=0,"",SUM((COUNTIF(Q$4:Q540,Upgrades!$B$3:$B$13)-COUNTIF(Q$4:Q540,"Sell_"&amp;Upgrades!$B$3:$B$13))*Upgrades!$D$3:$D$13))</f>
        <v/>
      </c>
      <c r="T540" s="66" t="str">
        <f>IFERROR(__xludf.DUMMYFUNCTION("IF(COUNTA(Q540:Q1673)=0,"""",IF(REGEXMATCH(INDEX(FILTER(Q$4:Q540,Q$4:Q540&lt;&gt;""""),ROWS(FILTER(Q$4:Q540,Q$4:Q540&lt;&gt;""""))),""^Sell_""),INDEX(FILTER(T$4:T539,Q$4:Q539&lt;&gt;""""),ROWS(FILTER(Q$4:Q539,Q$4:Q539&lt;&gt;""""))),$AD$5+S540))"),"")</f>
        <v/>
      </c>
      <c r="U540" s="10" t="str">
        <f>IFERROR(__xludf.DUMMYFUNCTION("IF(COUNTA(Q540:Q1673)=0,"""",IF(Q540="""",0,IF(REGEXMATCH(Q540,""^Sell_""),-ROUNDDOWN(ROUNDUP(INDEX(Upgrades!$C$3:$C$13,MATCH(SUBSTITUTE(Q540,""Sell_"",""""),Upgrades!$B$3:$B$13,0))*1.15^(COUNTIF(Q$4:Q539,SUBSTITUTE(Q540,""Sell_"",""""))-COUNTIF(Q$4:Q539,"&amp;"""Sell_""&amp;SUBSTITUTE(Q540,""Sell_"",""""))))/2),ROUNDUP(INDEX(Upgrades!$C$3:$C$13,MATCH(Q540,Upgrades!$B$3:$B$13,0))*1.15^(COUNTIF(Q$4:Q539,Q540)-COUNTIF(Q$4:Q539,""Sell_""&amp;Q540))))))"),"")</f>
        <v/>
      </c>
      <c r="V540" s="10" t="str">
        <f t="shared" si="11"/>
        <v/>
      </c>
      <c r="W540" s="68" t="str">
        <f t="shared" si="12"/>
        <v/>
      </c>
      <c r="X540" s="59" t="str">
        <f t="shared" si="13"/>
        <v/>
      </c>
      <c r="Y540" s="69" t="str">
        <f t="shared" si="14"/>
        <v/>
      </c>
      <c r="Z540" s="11"/>
    </row>
    <row r="541">
      <c r="A541" s="8"/>
      <c r="B541" s="56" t="str">
        <f t="shared" si="2"/>
        <v/>
      </c>
      <c r="C541" s="105"/>
      <c r="D541" s="10"/>
      <c r="E541" s="59" t="str">
        <f t="array" ref="E541">IF(COUNTA(C541:C1673)=0,"",SUM((COUNTIF(C$4:C541,Upgrades!$B$3:$B$13)-COUNTIF(C$4:C541,"Sell_"&amp;Upgrades!$B$3:$B$13))*Upgrades!$D$3:$D$13))</f>
        <v/>
      </c>
      <c r="F541" s="66" t="str">
        <f>IFERROR(__xludf.DUMMYFUNCTION("IF(COUNTA(C541:C1673)=0,"""",IF(REGEXMATCH(INDEX(FILTER(C$4:C541,C$4:C541&lt;&gt;""""),ROWS(FILTER(C$4:C541,C$4:C541&lt;&gt;""""))),""^Sell_""),INDEX(FILTER(F$4:F540,C$4:C540&lt;&gt;""""),ROWS(FILTER(C$4:C540,C$4:C540&lt;&gt;""""))),$AC$5+E541))"),"")</f>
        <v/>
      </c>
      <c r="G541" s="10" t="str">
        <f>IFERROR(__xludf.DUMMYFUNCTION("IF(COUNTA(C541:C1673)=0,"""",IF(C541="""",0,IF(REGEXMATCH(C541,""^Sell_""),-ROUNDDOWN(ROUNDUP(INDEX(Upgrades!$C$3:$C$13,MATCH(SUBSTITUTE(C541,""Sell_"",""""),Upgrades!$B$3:$B$13,0))*1.15^(COUNTIF(C$4:C540,SUBSTITUTE(C541,""Sell_"",""""))-COUNTIF(C$4:C540,"&amp;"""Sell_""&amp;SUBSTITUTE(C541,""Sell_"",""""))))/2),ROUNDUP(INDEX(Upgrades!$C$3:$C$13,MATCH(C541,Upgrades!$B$3:$B$13,0))*1.15^(COUNTIF(C$4:C540,C541)-COUNTIF(C$4:C540,""Sell_""&amp;C541))))))"),"")</f>
        <v/>
      </c>
      <c r="H541" s="10" t="str">
        <f t="shared" si="3"/>
        <v/>
      </c>
      <c r="I541" s="68" t="str">
        <f t="shared" si="4"/>
        <v/>
      </c>
      <c r="J541" s="59" t="str">
        <f t="shared" si="5"/>
        <v/>
      </c>
      <c r="K541" s="69" t="str">
        <f t="shared" si="6"/>
        <v/>
      </c>
      <c r="L541" s="60" t="str">
        <f t="shared" si="7"/>
        <v/>
      </c>
      <c r="M541" s="61" t="str">
        <f>IFERROR(__xludf.DUMMYFUNCTION("IFS(AND(COUNTA(C541:C1673)=0,COUNTA(Q541:Q1673)=0),"""",OR(AND(K541&gt;=1000000000,OR(Y541&gt;=1000000000,COUNTA(Q541:Q1673)=0)),OR(Y541&gt;=1000000000,AND(COUNTA(C541:C1673)=0,P$3=TRUE))),
ROUNDDOWN((AB$1-AC$1)*MAX(INDEX(T$4:T1673,MATCH(LARGE(FILTER(Y$4:Y1673,Y$4"&amp;":Y1673&lt;1000000000),1),Y$4:Y1673)),INDEX(F$4:F1673,MATCH(LARGE(FILTER(K$4:K1673,K$4:K1673&lt;1000000000),1),K$4:K1673)))),AND(K541&lt;1000000000,COUNTA(C541:C1673)&gt;0,P$3=FALSE),
ROUNDDOWN(INDEX(Y$4:Y1673,MATCH(LARGE(FILTER(W$4:W1673,W$4:W1673&lt;=I541),1),W$4:W1673"&amp;"))+(I541-LARGE(FILTER(W$4:W1673,W$4:W1673&lt;=I541),1))*INDEX(T$4:T1673,MATCH(LARGE(FILTER(W$4:W1673,W$4:W1673&lt;=I541),1),W$4:W1673))-K541),1,
ROUNDDOWN(Y541-INDEX(K$4:K1673,MATCH(LARGE(FILTER(I$4:I1673,I$4:I1673&lt;=W541),1),I$4:I1673))-(W541-LARGE(FILTER(I$4:I"&amp;"1673,I$4:I1673&lt;=W541),1))*INDEX(F$4:F1673,MATCH(LARGE(FILTER(I$4:I1673,I$4:I1673&lt;=W541),1),I$4:I1673))))"),"")</f>
        <v/>
      </c>
      <c r="N541" s="60" t="str">
        <f t="shared" si="8"/>
        <v/>
      </c>
      <c r="O541" s="61" t="str">
        <f t="shared" si="9"/>
        <v/>
      </c>
      <c r="P541" s="56" t="str">
        <f t="shared" si="10"/>
        <v/>
      </c>
      <c r="Q541" s="105"/>
      <c r="R541" s="10"/>
      <c r="S541" s="59" t="str">
        <f t="array" ref="S541">IF(COUNTA(Q541:Q1673)=0,"",SUM((COUNTIF(Q$4:Q541,Upgrades!$B$3:$B$13)-COUNTIF(Q$4:Q541,"Sell_"&amp;Upgrades!$B$3:$B$13))*Upgrades!$D$3:$D$13))</f>
        <v/>
      </c>
      <c r="T541" s="66" t="str">
        <f>IFERROR(__xludf.DUMMYFUNCTION("IF(COUNTA(Q541:Q1673)=0,"""",IF(REGEXMATCH(INDEX(FILTER(Q$4:Q541,Q$4:Q541&lt;&gt;""""),ROWS(FILTER(Q$4:Q541,Q$4:Q541&lt;&gt;""""))),""^Sell_""),INDEX(FILTER(T$4:T540,Q$4:Q540&lt;&gt;""""),ROWS(FILTER(Q$4:Q540,Q$4:Q540&lt;&gt;""""))),$AD$5+S541))"),"")</f>
        <v/>
      </c>
      <c r="U541" s="10" t="str">
        <f>IFERROR(__xludf.DUMMYFUNCTION("IF(COUNTA(Q541:Q1673)=0,"""",IF(Q541="""",0,IF(REGEXMATCH(Q541,""^Sell_""),-ROUNDDOWN(ROUNDUP(INDEX(Upgrades!$C$3:$C$13,MATCH(SUBSTITUTE(Q541,""Sell_"",""""),Upgrades!$B$3:$B$13,0))*1.15^(COUNTIF(Q$4:Q540,SUBSTITUTE(Q541,""Sell_"",""""))-COUNTIF(Q$4:Q540,"&amp;"""Sell_""&amp;SUBSTITUTE(Q541,""Sell_"",""""))))/2),ROUNDUP(INDEX(Upgrades!$C$3:$C$13,MATCH(Q541,Upgrades!$B$3:$B$13,0))*1.15^(COUNTIF(Q$4:Q540,Q541)-COUNTIF(Q$4:Q540,""Sell_""&amp;Q541))))))"),"")</f>
        <v/>
      </c>
      <c r="V541" s="10" t="str">
        <f t="shared" si="11"/>
        <v/>
      </c>
      <c r="W541" s="68" t="str">
        <f t="shared" si="12"/>
        <v/>
      </c>
      <c r="X541" s="59" t="str">
        <f t="shared" si="13"/>
        <v/>
      </c>
      <c r="Y541" s="69" t="str">
        <f t="shared" si="14"/>
        <v/>
      </c>
      <c r="Z541" s="11"/>
    </row>
    <row r="542">
      <c r="A542" s="8"/>
      <c r="B542" s="56" t="str">
        <f t="shared" si="2"/>
        <v/>
      </c>
      <c r="C542" s="105"/>
      <c r="D542" s="10"/>
      <c r="E542" s="59" t="str">
        <f t="array" ref="E542">IF(COUNTA(C542:C1673)=0,"",SUM((COUNTIF(C$4:C542,Upgrades!$B$3:$B$13)-COUNTIF(C$4:C542,"Sell_"&amp;Upgrades!$B$3:$B$13))*Upgrades!$D$3:$D$13))</f>
        <v/>
      </c>
      <c r="F542" s="66" t="str">
        <f>IFERROR(__xludf.DUMMYFUNCTION("IF(COUNTA(C542:C1673)=0,"""",IF(REGEXMATCH(INDEX(FILTER(C$4:C542,C$4:C542&lt;&gt;""""),ROWS(FILTER(C$4:C542,C$4:C542&lt;&gt;""""))),""^Sell_""),INDEX(FILTER(F$4:F541,C$4:C541&lt;&gt;""""),ROWS(FILTER(C$4:C541,C$4:C541&lt;&gt;""""))),$AC$5+E542))"),"")</f>
        <v/>
      </c>
      <c r="G542" s="10" t="str">
        <f>IFERROR(__xludf.DUMMYFUNCTION("IF(COUNTA(C542:C1673)=0,"""",IF(C542="""",0,IF(REGEXMATCH(C542,""^Sell_""),-ROUNDDOWN(ROUNDUP(INDEX(Upgrades!$C$3:$C$13,MATCH(SUBSTITUTE(C542,""Sell_"",""""),Upgrades!$B$3:$B$13,0))*1.15^(COUNTIF(C$4:C541,SUBSTITUTE(C542,""Sell_"",""""))-COUNTIF(C$4:C541,"&amp;"""Sell_""&amp;SUBSTITUTE(C542,""Sell_"",""""))))/2),ROUNDUP(INDEX(Upgrades!$C$3:$C$13,MATCH(C542,Upgrades!$B$3:$B$13,0))*1.15^(COUNTIF(C$4:C541,C542)-COUNTIF(C$4:C541,""Sell_""&amp;C542))))))"),"")</f>
        <v/>
      </c>
      <c r="H542" s="10" t="str">
        <f t="shared" si="3"/>
        <v/>
      </c>
      <c r="I542" s="68" t="str">
        <f t="shared" si="4"/>
        <v/>
      </c>
      <c r="J542" s="59" t="str">
        <f t="shared" si="5"/>
        <v/>
      </c>
      <c r="K542" s="69" t="str">
        <f t="shared" si="6"/>
        <v/>
      </c>
      <c r="L542" s="60" t="str">
        <f t="shared" si="7"/>
        <v/>
      </c>
      <c r="M542" s="61" t="str">
        <f>IFERROR(__xludf.DUMMYFUNCTION("IFS(AND(COUNTA(C542:C1673)=0,COUNTA(Q542:Q1673)=0),"""",OR(AND(K542&gt;=1000000000,OR(Y542&gt;=1000000000,COUNTA(Q542:Q1673)=0)),OR(Y542&gt;=1000000000,AND(COUNTA(C542:C1673)=0,P$3=TRUE))),
ROUNDDOWN((AB$1-AC$1)*MAX(INDEX(T$4:T1673,MATCH(LARGE(FILTER(Y$4:Y1673,Y$4"&amp;":Y1673&lt;1000000000),1),Y$4:Y1673)),INDEX(F$4:F1673,MATCH(LARGE(FILTER(K$4:K1673,K$4:K1673&lt;1000000000),1),K$4:K1673)))),AND(K542&lt;1000000000,COUNTA(C542:C1673)&gt;0,P$3=FALSE),
ROUNDDOWN(INDEX(Y$4:Y1673,MATCH(LARGE(FILTER(W$4:W1673,W$4:W1673&lt;=I542),1),W$4:W1673"&amp;"))+(I542-LARGE(FILTER(W$4:W1673,W$4:W1673&lt;=I542),1))*INDEX(T$4:T1673,MATCH(LARGE(FILTER(W$4:W1673,W$4:W1673&lt;=I542),1),W$4:W1673))-K542),1,
ROUNDDOWN(Y542-INDEX(K$4:K1673,MATCH(LARGE(FILTER(I$4:I1673,I$4:I1673&lt;=W542),1),I$4:I1673))-(W542-LARGE(FILTER(I$4:I"&amp;"1673,I$4:I1673&lt;=W542),1))*INDEX(F$4:F1673,MATCH(LARGE(FILTER(I$4:I1673,I$4:I1673&lt;=W542),1),I$4:I1673))))"),"")</f>
        <v/>
      </c>
      <c r="N542" s="60" t="str">
        <f t="shared" si="8"/>
        <v/>
      </c>
      <c r="O542" s="61" t="str">
        <f t="shared" si="9"/>
        <v/>
      </c>
      <c r="P542" s="56" t="str">
        <f t="shared" si="10"/>
        <v/>
      </c>
      <c r="Q542" s="105"/>
      <c r="R542" s="10"/>
      <c r="S542" s="59" t="str">
        <f t="array" ref="S542">IF(COUNTA(Q542:Q1673)=0,"",SUM((COUNTIF(Q$4:Q542,Upgrades!$B$3:$B$13)-COUNTIF(Q$4:Q542,"Sell_"&amp;Upgrades!$B$3:$B$13))*Upgrades!$D$3:$D$13))</f>
        <v/>
      </c>
      <c r="T542" s="66" t="str">
        <f>IFERROR(__xludf.DUMMYFUNCTION("IF(COUNTA(Q542:Q1673)=0,"""",IF(REGEXMATCH(INDEX(FILTER(Q$4:Q542,Q$4:Q542&lt;&gt;""""),ROWS(FILTER(Q$4:Q542,Q$4:Q542&lt;&gt;""""))),""^Sell_""),INDEX(FILTER(T$4:T541,Q$4:Q541&lt;&gt;""""),ROWS(FILTER(Q$4:Q541,Q$4:Q541&lt;&gt;""""))),$AD$5+S542))"),"")</f>
        <v/>
      </c>
      <c r="U542" s="10" t="str">
        <f>IFERROR(__xludf.DUMMYFUNCTION("IF(COUNTA(Q542:Q1673)=0,"""",IF(Q542="""",0,IF(REGEXMATCH(Q542,""^Sell_""),-ROUNDDOWN(ROUNDUP(INDEX(Upgrades!$C$3:$C$13,MATCH(SUBSTITUTE(Q542,""Sell_"",""""),Upgrades!$B$3:$B$13,0))*1.15^(COUNTIF(Q$4:Q541,SUBSTITUTE(Q542,""Sell_"",""""))-COUNTIF(Q$4:Q541,"&amp;"""Sell_""&amp;SUBSTITUTE(Q542,""Sell_"",""""))))/2),ROUNDUP(INDEX(Upgrades!$C$3:$C$13,MATCH(Q542,Upgrades!$B$3:$B$13,0))*1.15^(COUNTIF(Q$4:Q541,Q542)-COUNTIF(Q$4:Q541,""Sell_""&amp;Q542))))))"),"")</f>
        <v/>
      </c>
      <c r="V542" s="10" t="str">
        <f t="shared" si="11"/>
        <v/>
      </c>
      <c r="W542" s="68" t="str">
        <f t="shared" si="12"/>
        <v/>
      </c>
      <c r="X542" s="59" t="str">
        <f t="shared" si="13"/>
        <v/>
      </c>
      <c r="Y542" s="69" t="str">
        <f t="shared" si="14"/>
        <v/>
      </c>
      <c r="Z542" s="11"/>
    </row>
    <row r="543">
      <c r="A543" s="8"/>
      <c r="B543" s="56" t="str">
        <f t="shared" si="2"/>
        <v/>
      </c>
      <c r="C543" s="105"/>
      <c r="D543" s="10"/>
      <c r="E543" s="59" t="str">
        <f t="array" ref="E543">IF(COUNTA(C543:C1673)=0,"",SUM((COUNTIF(C$4:C543,Upgrades!$B$3:$B$13)-COUNTIF(C$4:C543,"Sell_"&amp;Upgrades!$B$3:$B$13))*Upgrades!$D$3:$D$13))</f>
        <v/>
      </c>
      <c r="F543" s="66" t="str">
        <f>IFERROR(__xludf.DUMMYFUNCTION("IF(COUNTA(C543:C1673)=0,"""",IF(REGEXMATCH(INDEX(FILTER(C$4:C543,C$4:C543&lt;&gt;""""),ROWS(FILTER(C$4:C543,C$4:C543&lt;&gt;""""))),""^Sell_""),INDEX(FILTER(F$4:F542,C$4:C542&lt;&gt;""""),ROWS(FILTER(C$4:C542,C$4:C542&lt;&gt;""""))),$AC$5+E543))"),"")</f>
        <v/>
      </c>
      <c r="G543" s="10" t="str">
        <f>IFERROR(__xludf.DUMMYFUNCTION("IF(COUNTA(C543:C1673)=0,"""",IF(C543="""",0,IF(REGEXMATCH(C543,""^Sell_""),-ROUNDDOWN(ROUNDUP(INDEX(Upgrades!$C$3:$C$13,MATCH(SUBSTITUTE(C543,""Sell_"",""""),Upgrades!$B$3:$B$13,0))*1.15^(COUNTIF(C$4:C542,SUBSTITUTE(C543,""Sell_"",""""))-COUNTIF(C$4:C542,"&amp;"""Sell_""&amp;SUBSTITUTE(C543,""Sell_"",""""))))/2),ROUNDUP(INDEX(Upgrades!$C$3:$C$13,MATCH(C543,Upgrades!$B$3:$B$13,0))*1.15^(COUNTIF(C$4:C542,C543)-COUNTIF(C$4:C542,""Sell_""&amp;C543))))))"),"")</f>
        <v/>
      </c>
      <c r="H543" s="10" t="str">
        <f t="shared" si="3"/>
        <v/>
      </c>
      <c r="I543" s="68" t="str">
        <f t="shared" si="4"/>
        <v/>
      </c>
      <c r="J543" s="59" t="str">
        <f t="shared" si="5"/>
        <v/>
      </c>
      <c r="K543" s="69" t="str">
        <f t="shared" si="6"/>
        <v/>
      </c>
      <c r="L543" s="60" t="str">
        <f t="shared" si="7"/>
        <v/>
      </c>
      <c r="M543" s="61" t="str">
        <f>IFERROR(__xludf.DUMMYFUNCTION("IFS(AND(COUNTA(C543:C1673)=0,COUNTA(Q543:Q1673)=0),"""",OR(AND(K543&gt;=1000000000,OR(Y543&gt;=1000000000,COUNTA(Q543:Q1673)=0)),OR(Y543&gt;=1000000000,AND(COUNTA(C543:C1673)=0,P$3=TRUE))),
ROUNDDOWN((AB$1-AC$1)*MAX(INDEX(T$4:T1673,MATCH(LARGE(FILTER(Y$4:Y1673,Y$4"&amp;":Y1673&lt;1000000000),1),Y$4:Y1673)),INDEX(F$4:F1673,MATCH(LARGE(FILTER(K$4:K1673,K$4:K1673&lt;1000000000),1),K$4:K1673)))),AND(K543&lt;1000000000,COUNTA(C543:C1673)&gt;0,P$3=FALSE),
ROUNDDOWN(INDEX(Y$4:Y1673,MATCH(LARGE(FILTER(W$4:W1673,W$4:W1673&lt;=I543),1),W$4:W1673"&amp;"))+(I543-LARGE(FILTER(W$4:W1673,W$4:W1673&lt;=I543),1))*INDEX(T$4:T1673,MATCH(LARGE(FILTER(W$4:W1673,W$4:W1673&lt;=I543),1),W$4:W1673))-K543),1,
ROUNDDOWN(Y543-INDEX(K$4:K1673,MATCH(LARGE(FILTER(I$4:I1673,I$4:I1673&lt;=W543),1),I$4:I1673))-(W543-LARGE(FILTER(I$4:I"&amp;"1673,I$4:I1673&lt;=W543),1))*INDEX(F$4:F1673,MATCH(LARGE(FILTER(I$4:I1673,I$4:I1673&lt;=W543),1),I$4:I1673))))"),"")</f>
        <v/>
      </c>
      <c r="N543" s="60" t="str">
        <f t="shared" si="8"/>
        <v/>
      </c>
      <c r="O543" s="61" t="str">
        <f t="shared" si="9"/>
        <v/>
      </c>
      <c r="P543" s="56" t="str">
        <f t="shared" si="10"/>
        <v/>
      </c>
      <c r="Q543" s="105"/>
      <c r="R543" s="10"/>
      <c r="S543" s="59" t="str">
        <f t="array" ref="S543">IF(COUNTA(Q543:Q1673)=0,"",SUM((COUNTIF(Q$4:Q543,Upgrades!$B$3:$B$13)-COUNTIF(Q$4:Q543,"Sell_"&amp;Upgrades!$B$3:$B$13))*Upgrades!$D$3:$D$13))</f>
        <v/>
      </c>
      <c r="T543" s="66" t="str">
        <f>IFERROR(__xludf.DUMMYFUNCTION("IF(COUNTA(Q543:Q1673)=0,"""",IF(REGEXMATCH(INDEX(FILTER(Q$4:Q543,Q$4:Q543&lt;&gt;""""),ROWS(FILTER(Q$4:Q543,Q$4:Q543&lt;&gt;""""))),""^Sell_""),INDEX(FILTER(T$4:T542,Q$4:Q542&lt;&gt;""""),ROWS(FILTER(Q$4:Q542,Q$4:Q542&lt;&gt;""""))),$AD$5+S543))"),"")</f>
        <v/>
      </c>
      <c r="U543" s="10" t="str">
        <f>IFERROR(__xludf.DUMMYFUNCTION("IF(COUNTA(Q543:Q1673)=0,"""",IF(Q543="""",0,IF(REGEXMATCH(Q543,""^Sell_""),-ROUNDDOWN(ROUNDUP(INDEX(Upgrades!$C$3:$C$13,MATCH(SUBSTITUTE(Q543,""Sell_"",""""),Upgrades!$B$3:$B$13,0))*1.15^(COUNTIF(Q$4:Q542,SUBSTITUTE(Q543,""Sell_"",""""))-COUNTIF(Q$4:Q542,"&amp;"""Sell_""&amp;SUBSTITUTE(Q543,""Sell_"",""""))))/2),ROUNDUP(INDEX(Upgrades!$C$3:$C$13,MATCH(Q543,Upgrades!$B$3:$B$13,0))*1.15^(COUNTIF(Q$4:Q542,Q543)-COUNTIF(Q$4:Q542,""Sell_""&amp;Q543))))))"),"")</f>
        <v/>
      </c>
      <c r="V543" s="10" t="str">
        <f t="shared" si="11"/>
        <v/>
      </c>
      <c r="W543" s="68" t="str">
        <f t="shared" si="12"/>
        <v/>
      </c>
      <c r="X543" s="59" t="str">
        <f t="shared" si="13"/>
        <v/>
      </c>
      <c r="Y543" s="69" t="str">
        <f t="shared" si="14"/>
        <v/>
      </c>
      <c r="Z543" s="11"/>
    </row>
    <row r="544">
      <c r="A544" s="8"/>
      <c r="B544" s="56" t="str">
        <f t="shared" si="2"/>
        <v/>
      </c>
      <c r="C544" s="105"/>
      <c r="D544" s="10"/>
      <c r="E544" s="59" t="str">
        <f t="array" ref="E544">IF(COUNTA(C544:C1673)=0,"",SUM((COUNTIF(C$4:C544,Upgrades!$B$3:$B$13)-COUNTIF(C$4:C544,"Sell_"&amp;Upgrades!$B$3:$B$13))*Upgrades!$D$3:$D$13))</f>
        <v/>
      </c>
      <c r="F544" s="66" t="str">
        <f>IFERROR(__xludf.DUMMYFUNCTION("IF(COUNTA(C544:C1673)=0,"""",IF(REGEXMATCH(INDEX(FILTER(C$4:C544,C$4:C544&lt;&gt;""""),ROWS(FILTER(C$4:C544,C$4:C544&lt;&gt;""""))),""^Sell_""),INDEX(FILTER(F$4:F543,C$4:C543&lt;&gt;""""),ROWS(FILTER(C$4:C543,C$4:C543&lt;&gt;""""))),$AC$5+E544))"),"")</f>
        <v/>
      </c>
      <c r="G544" s="10" t="str">
        <f>IFERROR(__xludf.DUMMYFUNCTION("IF(COUNTA(C544:C1673)=0,"""",IF(C544="""",0,IF(REGEXMATCH(C544,""^Sell_""),-ROUNDDOWN(ROUNDUP(INDEX(Upgrades!$C$3:$C$13,MATCH(SUBSTITUTE(C544,""Sell_"",""""),Upgrades!$B$3:$B$13,0))*1.15^(COUNTIF(C$4:C543,SUBSTITUTE(C544,""Sell_"",""""))-COUNTIF(C$4:C543,"&amp;"""Sell_""&amp;SUBSTITUTE(C544,""Sell_"",""""))))/2),ROUNDUP(INDEX(Upgrades!$C$3:$C$13,MATCH(C544,Upgrades!$B$3:$B$13,0))*1.15^(COUNTIF(C$4:C543,C544)-COUNTIF(C$4:C543,""Sell_""&amp;C544))))))"),"")</f>
        <v/>
      </c>
      <c r="H544" s="10" t="str">
        <f t="shared" si="3"/>
        <v/>
      </c>
      <c r="I544" s="68" t="str">
        <f t="shared" si="4"/>
        <v/>
      </c>
      <c r="J544" s="59" t="str">
        <f t="shared" si="5"/>
        <v/>
      </c>
      <c r="K544" s="69" t="str">
        <f t="shared" si="6"/>
        <v/>
      </c>
      <c r="L544" s="60" t="str">
        <f t="shared" si="7"/>
        <v/>
      </c>
      <c r="M544" s="61" t="str">
        <f>IFERROR(__xludf.DUMMYFUNCTION("IFS(AND(COUNTA(C544:C1673)=0,COUNTA(Q544:Q1673)=0),"""",OR(AND(K544&gt;=1000000000,OR(Y544&gt;=1000000000,COUNTA(Q544:Q1673)=0)),OR(Y544&gt;=1000000000,AND(COUNTA(C544:C1673)=0,P$3=TRUE))),
ROUNDDOWN((AB$1-AC$1)*MAX(INDEX(T$4:T1673,MATCH(LARGE(FILTER(Y$4:Y1673,Y$4"&amp;":Y1673&lt;1000000000),1),Y$4:Y1673)),INDEX(F$4:F1673,MATCH(LARGE(FILTER(K$4:K1673,K$4:K1673&lt;1000000000),1),K$4:K1673)))),AND(K544&lt;1000000000,COUNTA(C544:C1673)&gt;0,P$3=FALSE),
ROUNDDOWN(INDEX(Y$4:Y1673,MATCH(LARGE(FILTER(W$4:W1673,W$4:W1673&lt;=I544),1),W$4:W1673"&amp;"))+(I544-LARGE(FILTER(W$4:W1673,W$4:W1673&lt;=I544),1))*INDEX(T$4:T1673,MATCH(LARGE(FILTER(W$4:W1673,W$4:W1673&lt;=I544),1),W$4:W1673))-K544),1,
ROUNDDOWN(Y544-INDEX(K$4:K1673,MATCH(LARGE(FILTER(I$4:I1673,I$4:I1673&lt;=W544),1),I$4:I1673))-(W544-LARGE(FILTER(I$4:I"&amp;"1673,I$4:I1673&lt;=W544),1))*INDEX(F$4:F1673,MATCH(LARGE(FILTER(I$4:I1673,I$4:I1673&lt;=W544),1),I$4:I1673))))"),"")</f>
        <v/>
      </c>
      <c r="N544" s="60" t="str">
        <f t="shared" si="8"/>
        <v/>
      </c>
      <c r="O544" s="61" t="str">
        <f t="shared" si="9"/>
        <v/>
      </c>
      <c r="P544" s="56" t="str">
        <f t="shared" si="10"/>
        <v/>
      </c>
      <c r="Q544" s="105"/>
      <c r="R544" s="10"/>
      <c r="S544" s="59" t="str">
        <f t="array" ref="S544">IF(COUNTA(Q544:Q1673)=0,"",SUM((COUNTIF(Q$4:Q544,Upgrades!$B$3:$B$13)-COUNTIF(Q$4:Q544,"Sell_"&amp;Upgrades!$B$3:$B$13))*Upgrades!$D$3:$D$13))</f>
        <v/>
      </c>
      <c r="T544" s="66" t="str">
        <f>IFERROR(__xludf.DUMMYFUNCTION("IF(COUNTA(Q544:Q1673)=0,"""",IF(REGEXMATCH(INDEX(FILTER(Q$4:Q544,Q$4:Q544&lt;&gt;""""),ROWS(FILTER(Q$4:Q544,Q$4:Q544&lt;&gt;""""))),""^Sell_""),INDEX(FILTER(T$4:T543,Q$4:Q543&lt;&gt;""""),ROWS(FILTER(Q$4:Q543,Q$4:Q543&lt;&gt;""""))),$AD$5+S544))"),"")</f>
        <v/>
      </c>
      <c r="U544" s="10" t="str">
        <f>IFERROR(__xludf.DUMMYFUNCTION("IF(COUNTA(Q544:Q1673)=0,"""",IF(Q544="""",0,IF(REGEXMATCH(Q544,""^Sell_""),-ROUNDDOWN(ROUNDUP(INDEX(Upgrades!$C$3:$C$13,MATCH(SUBSTITUTE(Q544,""Sell_"",""""),Upgrades!$B$3:$B$13,0))*1.15^(COUNTIF(Q$4:Q543,SUBSTITUTE(Q544,""Sell_"",""""))-COUNTIF(Q$4:Q543,"&amp;"""Sell_""&amp;SUBSTITUTE(Q544,""Sell_"",""""))))/2),ROUNDUP(INDEX(Upgrades!$C$3:$C$13,MATCH(Q544,Upgrades!$B$3:$B$13,0))*1.15^(COUNTIF(Q$4:Q543,Q544)-COUNTIF(Q$4:Q543,""Sell_""&amp;Q544))))))"),"")</f>
        <v/>
      </c>
      <c r="V544" s="10" t="str">
        <f t="shared" si="11"/>
        <v/>
      </c>
      <c r="W544" s="68" t="str">
        <f t="shared" si="12"/>
        <v/>
      </c>
      <c r="X544" s="59" t="str">
        <f t="shared" si="13"/>
        <v/>
      </c>
      <c r="Y544" s="69" t="str">
        <f t="shared" si="14"/>
        <v/>
      </c>
      <c r="Z544" s="11"/>
    </row>
    <row r="545">
      <c r="A545" s="8"/>
      <c r="B545" s="56" t="str">
        <f t="shared" si="2"/>
        <v/>
      </c>
      <c r="C545" s="105"/>
      <c r="D545" s="10"/>
      <c r="E545" s="59" t="str">
        <f t="array" ref="E545">IF(COUNTA(C545:C1673)=0,"",SUM((COUNTIF(C$4:C545,Upgrades!$B$3:$B$13)-COUNTIF(C$4:C545,"Sell_"&amp;Upgrades!$B$3:$B$13))*Upgrades!$D$3:$D$13))</f>
        <v/>
      </c>
      <c r="F545" s="66" t="str">
        <f>IFERROR(__xludf.DUMMYFUNCTION("IF(COUNTA(C545:C1673)=0,"""",IF(REGEXMATCH(INDEX(FILTER(C$4:C545,C$4:C545&lt;&gt;""""),ROWS(FILTER(C$4:C545,C$4:C545&lt;&gt;""""))),""^Sell_""),INDEX(FILTER(F$4:F544,C$4:C544&lt;&gt;""""),ROWS(FILTER(C$4:C544,C$4:C544&lt;&gt;""""))),$AC$5+E545))"),"")</f>
        <v/>
      </c>
      <c r="G545" s="10" t="str">
        <f>IFERROR(__xludf.DUMMYFUNCTION("IF(COUNTA(C545:C1673)=0,"""",IF(C545="""",0,IF(REGEXMATCH(C545,""^Sell_""),-ROUNDDOWN(ROUNDUP(INDEX(Upgrades!$C$3:$C$13,MATCH(SUBSTITUTE(C545,""Sell_"",""""),Upgrades!$B$3:$B$13,0))*1.15^(COUNTIF(C$4:C544,SUBSTITUTE(C545,""Sell_"",""""))-COUNTIF(C$4:C544,"&amp;"""Sell_""&amp;SUBSTITUTE(C545,""Sell_"",""""))))/2),ROUNDUP(INDEX(Upgrades!$C$3:$C$13,MATCH(C545,Upgrades!$B$3:$B$13,0))*1.15^(COUNTIF(C$4:C544,C545)-COUNTIF(C$4:C544,""Sell_""&amp;C545))))))"),"")</f>
        <v/>
      </c>
      <c r="H545" s="10" t="str">
        <f t="shared" si="3"/>
        <v/>
      </c>
      <c r="I545" s="68" t="str">
        <f t="shared" si="4"/>
        <v/>
      </c>
      <c r="J545" s="59" t="str">
        <f t="shared" si="5"/>
        <v/>
      </c>
      <c r="K545" s="69" t="str">
        <f t="shared" si="6"/>
        <v/>
      </c>
      <c r="L545" s="60" t="str">
        <f t="shared" si="7"/>
        <v/>
      </c>
      <c r="M545" s="61" t="str">
        <f>IFERROR(__xludf.DUMMYFUNCTION("IFS(AND(COUNTA(C545:C1673)=0,COUNTA(Q545:Q1673)=0),"""",OR(AND(K545&gt;=1000000000,OR(Y545&gt;=1000000000,COUNTA(Q545:Q1673)=0)),OR(Y545&gt;=1000000000,AND(COUNTA(C545:C1673)=0,P$3=TRUE))),
ROUNDDOWN((AB$1-AC$1)*MAX(INDEX(T$4:T1673,MATCH(LARGE(FILTER(Y$4:Y1673,Y$4"&amp;":Y1673&lt;1000000000),1),Y$4:Y1673)),INDEX(F$4:F1673,MATCH(LARGE(FILTER(K$4:K1673,K$4:K1673&lt;1000000000),1),K$4:K1673)))),AND(K545&lt;1000000000,COUNTA(C545:C1673)&gt;0,P$3=FALSE),
ROUNDDOWN(INDEX(Y$4:Y1673,MATCH(LARGE(FILTER(W$4:W1673,W$4:W1673&lt;=I545),1),W$4:W1673"&amp;"))+(I545-LARGE(FILTER(W$4:W1673,W$4:W1673&lt;=I545),1))*INDEX(T$4:T1673,MATCH(LARGE(FILTER(W$4:W1673,W$4:W1673&lt;=I545),1),W$4:W1673))-K545),1,
ROUNDDOWN(Y545-INDEX(K$4:K1673,MATCH(LARGE(FILTER(I$4:I1673,I$4:I1673&lt;=W545),1),I$4:I1673))-(W545-LARGE(FILTER(I$4:I"&amp;"1673,I$4:I1673&lt;=W545),1))*INDEX(F$4:F1673,MATCH(LARGE(FILTER(I$4:I1673,I$4:I1673&lt;=W545),1),I$4:I1673))))"),"")</f>
        <v/>
      </c>
      <c r="N545" s="60" t="str">
        <f t="shared" si="8"/>
        <v/>
      </c>
      <c r="O545" s="61" t="str">
        <f t="shared" si="9"/>
        <v/>
      </c>
      <c r="P545" s="56" t="str">
        <f t="shared" si="10"/>
        <v/>
      </c>
      <c r="Q545" s="105"/>
      <c r="R545" s="10"/>
      <c r="S545" s="59" t="str">
        <f t="array" ref="S545">IF(COUNTA(Q545:Q1673)=0,"",SUM((COUNTIF(Q$4:Q545,Upgrades!$B$3:$B$13)-COUNTIF(Q$4:Q545,"Sell_"&amp;Upgrades!$B$3:$B$13))*Upgrades!$D$3:$D$13))</f>
        <v/>
      </c>
      <c r="T545" s="66" t="str">
        <f>IFERROR(__xludf.DUMMYFUNCTION("IF(COUNTA(Q545:Q1673)=0,"""",IF(REGEXMATCH(INDEX(FILTER(Q$4:Q545,Q$4:Q545&lt;&gt;""""),ROWS(FILTER(Q$4:Q545,Q$4:Q545&lt;&gt;""""))),""^Sell_""),INDEX(FILTER(T$4:T544,Q$4:Q544&lt;&gt;""""),ROWS(FILTER(Q$4:Q544,Q$4:Q544&lt;&gt;""""))),$AD$5+S545))"),"")</f>
        <v/>
      </c>
      <c r="U545" s="10" t="str">
        <f>IFERROR(__xludf.DUMMYFUNCTION("IF(COUNTA(Q545:Q1673)=0,"""",IF(Q545="""",0,IF(REGEXMATCH(Q545,""^Sell_""),-ROUNDDOWN(ROUNDUP(INDEX(Upgrades!$C$3:$C$13,MATCH(SUBSTITUTE(Q545,""Sell_"",""""),Upgrades!$B$3:$B$13,0))*1.15^(COUNTIF(Q$4:Q544,SUBSTITUTE(Q545,""Sell_"",""""))-COUNTIF(Q$4:Q544,"&amp;"""Sell_""&amp;SUBSTITUTE(Q545,""Sell_"",""""))))/2),ROUNDUP(INDEX(Upgrades!$C$3:$C$13,MATCH(Q545,Upgrades!$B$3:$B$13,0))*1.15^(COUNTIF(Q$4:Q544,Q545)-COUNTIF(Q$4:Q544,""Sell_""&amp;Q545))))))"),"")</f>
        <v/>
      </c>
      <c r="V545" s="10" t="str">
        <f t="shared" si="11"/>
        <v/>
      </c>
      <c r="W545" s="68" t="str">
        <f t="shared" si="12"/>
        <v/>
      </c>
      <c r="X545" s="59" t="str">
        <f t="shared" si="13"/>
        <v/>
      </c>
      <c r="Y545" s="69" t="str">
        <f t="shared" si="14"/>
        <v/>
      </c>
      <c r="Z545" s="11"/>
    </row>
    <row r="546">
      <c r="A546" s="8"/>
      <c r="B546" s="56" t="str">
        <f t="shared" si="2"/>
        <v/>
      </c>
      <c r="C546" s="105"/>
      <c r="D546" s="10"/>
      <c r="E546" s="59" t="str">
        <f t="array" ref="E546">IF(COUNTA(C546:C1673)=0,"",SUM((COUNTIF(C$4:C546,Upgrades!$B$3:$B$13)-COUNTIF(C$4:C546,"Sell_"&amp;Upgrades!$B$3:$B$13))*Upgrades!$D$3:$D$13))</f>
        <v/>
      </c>
      <c r="F546" s="66" t="str">
        <f>IFERROR(__xludf.DUMMYFUNCTION("IF(COUNTA(C546:C1673)=0,"""",IF(REGEXMATCH(INDEX(FILTER(C$4:C546,C$4:C546&lt;&gt;""""),ROWS(FILTER(C$4:C546,C$4:C546&lt;&gt;""""))),""^Sell_""),INDEX(FILTER(F$4:F545,C$4:C545&lt;&gt;""""),ROWS(FILTER(C$4:C545,C$4:C545&lt;&gt;""""))),$AC$5+E546))"),"")</f>
        <v/>
      </c>
      <c r="G546" s="10" t="str">
        <f>IFERROR(__xludf.DUMMYFUNCTION("IF(COUNTA(C546:C1673)=0,"""",IF(C546="""",0,IF(REGEXMATCH(C546,""^Sell_""),-ROUNDDOWN(ROUNDUP(INDEX(Upgrades!$C$3:$C$13,MATCH(SUBSTITUTE(C546,""Sell_"",""""),Upgrades!$B$3:$B$13,0))*1.15^(COUNTIF(C$4:C545,SUBSTITUTE(C546,""Sell_"",""""))-COUNTIF(C$4:C545,"&amp;"""Sell_""&amp;SUBSTITUTE(C546,""Sell_"",""""))))/2),ROUNDUP(INDEX(Upgrades!$C$3:$C$13,MATCH(C546,Upgrades!$B$3:$B$13,0))*1.15^(COUNTIF(C$4:C545,C546)-COUNTIF(C$4:C545,""Sell_""&amp;C546))))))"),"")</f>
        <v/>
      </c>
      <c r="H546" s="10" t="str">
        <f t="shared" si="3"/>
        <v/>
      </c>
      <c r="I546" s="68" t="str">
        <f t="shared" si="4"/>
        <v/>
      </c>
      <c r="J546" s="59" t="str">
        <f t="shared" si="5"/>
        <v/>
      </c>
      <c r="K546" s="69" t="str">
        <f t="shared" si="6"/>
        <v/>
      </c>
      <c r="L546" s="60" t="str">
        <f t="shared" si="7"/>
        <v/>
      </c>
      <c r="M546" s="61" t="str">
        <f>IFERROR(__xludf.DUMMYFUNCTION("IFS(AND(COUNTA(C546:C1673)=0,COUNTA(Q546:Q1673)=0),"""",OR(AND(K546&gt;=1000000000,OR(Y546&gt;=1000000000,COUNTA(Q546:Q1673)=0)),OR(Y546&gt;=1000000000,AND(COUNTA(C546:C1673)=0,P$3=TRUE))),
ROUNDDOWN((AB$1-AC$1)*MAX(INDEX(T$4:T1673,MATCH(LARGE(FILTER(Y$4:Y1673,Y$4"&amp;":Y1673&lt;1000000000),1),Y$4:Y1673)),INDEX(F$4:F1673,MATCH(LARGE(FILTER(K$4:K1673,K$4:K1673&lt;1000000000),1),K$4:K1673)))),AND(K546&lt;1000000000,COUNTA(C546:C1673)&gt;0,P$3=FALSE),
ROUNDDOWN(INDEX(Y$4:Y1673,MATCH(LARGE(FILTER(W$4:W1673,W$4:W1673&lt;=I546),1),W$4:W1673"&amp;"))+(I546-LARGE(FILTER(W$4:W1673,W$4:W1673&lt;=I546),1))*INDEX(T$4:T1673,MATCH(LARGE(FILTER(W$4:W1673,W$4:W1673&lt;=I546),1),W$4:W1673))-K546),1,
ROUNDDOWN(Y546-INDEX(K$4:K1673,MATCH(LARGE(FILTER(I$4:I1673,I$4:I1673&lt;=W546),1),I$4:I1673))-(W546-LARGE(FILTER(I$4:I"&amp;"1673,I$4:I1673&lt;=W546),1))*INDEX(F$4:F1673,MATCH(LARGE(FILTER(I$4:I1673,I$4:I1673&lt;=W546),1),I$4:I1673))))"),"")</f>
        <v/>
      </c>
      <c r="N546" s="60" t="str">
        <f t="shared" si="8"/>
        <v/>
      </c>
      <c r="O546" s="61" t="str">
        <f t="shared" si="9"/>
        <v/>
      </c>
      <c r="P546" s="56" t="str">
        <f t="shared" si="10"/>
        <v/>
      </c>
      <c r="Q546" s="105"/>
      <c r="R546" s="10"/>
      <c r="S546" s="59" t="str">
        <f t="array" ref="S546">IF(COUNTA(Q546:Q1673)=0,"",SUM((COUNTIF(Q$4:Q546,Upgrades!$B$3:$B$13)-COUNTIF(Q$4:Q546,"Sell_"&amp;Upgrades!$B$3:$B$13))*Upgrades!$D$3:$D$13))</f>
        <v/>
      </c>
      <c r="T546" s="66" t="str">
        <f>IFERROR(__xludf.DUMMYFUNCTION("IF(COUNTA(Q546:Q1673)=0,"""",IF(REGEXMATCH(INDEX(FILTER(Q$4:Q546,Q$4:Q546&lt;&gt;""""),ROWS(FILTER(Q$4:Q546,Q$4:Q546&lt;&gt;""""))),""^Sell_""),INDEX(FILTER(T$4:T545,Q$4:Q545&lt;&gt;""""),ROWS(FILTER(Q$4:Q545,Q$4:Q545&lt;&gt;""""))),$AD$5+S546))"),"")</f>
        <v/>
      </c>
      <c r="U546" s="10" t="str">
        <f>IFERROR(__xludf.DUMMYFUNCTION("IF(COUNTA(Q546:Q1673)=0,"""",IF(Q546="""",0,IF(REGEXMATCH(Q546,""^Sell_""),-ROUNDDOWN(ROUNDUP(INDEX(Upgrades!$C$3:$C$13,MATCH(SUBSTITUTE(Q546,""Sell_"",""""),Upgrades!$B$3:$B$13,0))*1.15^(COUNTIF(Q$4:Q545,SUBSTITUTE(Q546,""Sell_"",""""))-COUNTIF(Q$4:Q545,"&amp;"""Sell_""&amp;SUBSTITUTE(Q546,""Sell_"",""""))))/2),ROUNDUP(INDEX(Upgrades!$C$3:$C$13,MATCH(Q546,Upgrades!$B$3:$B$13,0))*1.15^(COUNTIF(Q$4:Q545,Q546)-COUNTIF(Q$4:Q545,""Sell_""&amp;Q546))))))"),"")</f>
        <v/>
      </c>
      <c r="V546" s="10" t="str">
        <f t="shared" si="11"/>
        <v/>
      </c>
      <c r="W546" s="68" t="str">
        <f t="shared" si="12"/>
        <v/>
      </c>
      <c r="X546" s="59" t="str">
        <f t="shared" si="13"/>
        <v/>
      </c>
      <c r="Y546" s="69" t="str">
        <f t="shared" si="14"/>
        <v/>
      </c>
      <c r="Z546" s="11"/>
    </row>
    <row r="547">
      <c r="A547" s="8"/>
      <c r="B547" s="56" t="str">
        <f t="shared" si="2"/>
        <v/>
      </c>
      <c r="C547" s="105"/>
      <c r="D547" s="10"/>
      <c r="E547" s="59" t="str">
        <f t="array" ref="E547">IF(COUNTA(C547:C1673)=0,"",SUM((COUNTIF(C$4:C547,Upgrades!$B$3:$B$13)-COUNTIF(C$4:C547,"Sell_"&amp;Upgrades!$B$3:$B$13))*Upgrades!$D$3:$D$13))</f>
        <v/>
      </c>
      <c r="F547" s="66" t="str">
        <f>IFERROR(__xludf.DUMMYFUNCTION("IF(COUNTA(C547:C1673)=0,"""",IF(REGEXMATCH(INDEX(FILTER(C$4:C547,C$4:C547&lt;&gt;""""),ROWS(FILTER(C$4:C547,C$4:C547&lt;&gt;""""))),""^Sell_""),INDEX(FILTER(F$4:F546,C$4:C546&lt;&gt;""""),ROWS(FILTER(C$4:C546,C$4:C546&lt;&gt;""""))),$AC$5+E547))"),"")</f>
        <v/>
      </c>
      <c r="G547" s="10" t="str">
        <f>IFERROR(__xludf.DUMMYFUNCTION("IF(COUNTA(C547:C1673)=0,"""",IF(C547="""",0,IF(REGEXMATCH(C547,""^Sell_""),-ROUNDDOWN(ROUNDUP(INDEX(Upgrades!$C$3:$C$13,MATCH(SUBSTITUTE(C547,""Sell_"",""""),Upgrades!$B$3:$B$13,0))*1.15^(COUNTIF(C$4:C546,SUBSTITUTE(C547,""Sell_"",""""))-COUNTIF(C$4:C546,"&amp;"""Sell_""&amp;SUBSTITUTE(C547,""Sell_"",""""))))/2),ROUNDUP(INDEX(Upgrades!$C$3:$C$13,MATCH(C547,Upgrades!$B$3:$B$13,0))*1.15^(COUNTIF(C$4:C546,C547)-COUNTIF(C$4:C546,""Sell_""&amp;C547))))))"),"")</f>
        <v/>
      </c>
      <c r="H547" s="10" t="str">
        <f t="shared" si="3"/>
        <v/>
      </c>
      <c r="I547" s="68" t="str">
        <f t="shared" si="4"/>
        <v/>
      </c>
      <c r="J547" s="59" t="str">
        <f t="shared" si="5"/>
        <v/>
      </c>
      <c r="K547" s="69" t="str">
        <f t="shared" si="6"/>
        <v/>
      </c>
      <c r="L547" s="60" t="str">
        <f t="shared" si="7"/>
        <v/>
      </c>
      <c r="M547" s="61" t="str">
        <f>IFERROR(__xludf.DUMMYFUNCTION("IFS(AND(COUNTA(C547:C1673)=0,COUNTA(Q547:Q1673)=0),"""",OR(AND(K547&gt;=1000000000,OR(Y547&gt;=1000000000,COUNTA(Q547:Q1673)=0)),OR(Y547&gt;=1000000000,AND(COUNTA(C547:C1673)=0,P$3=TRUE))),
ROUNDDOWN((AB$1-AC$1)*MAX(INDEX(T$4:T1673,MATCH(LARGE(FILTER(Y$4:Y1673,Y$4"&amp;":Y1673&lt;1000000000),1),Y$4:Y1673)),INDEX(F$4:F1673,MATCH(LARGE(FILTER(K$4:K1673,K$4:K1673&lt;1000000000),1),K$4:K1673)))),AND(K547&lt;1000000000,COUNTA(C547:C1673)&gt;0,P$3=FALSE),
ROUNDDOWN(INDEX(Y$4:Y1673,MATCH(LARGE(FILTER(W$4:W1673,W$4:W1673&lt;=I547),1),W$4:W1673"&amp;"))+(I547-LARGE(FILTER(W$4:W1673,W$4:W1673&lt;=I547),1))*INDEX(T$4:T1673,MATCH(LARGE(FILTER(W$4:W1673,W$4:W1673&lt;=I547),1),W$4:W1673))-K547),1,
ROUNDDOWN(Y547-INDEX(K$4:K1673,MATCH(LARGE(FILTER(I$4:I1673,I$4:I1673&lt;=W547),1),I$4:I1673))-(W547-LARGE(FILTER(I$4:I"&amp;"1673,I$4:I1673&lt;=W547),1))*INDEX(F$4:F1673,MATCH(LARGE(FILTER(I$4:I1673,I$4:I1673&lt;=W547),1),I$4:I1673))))"),"")</f>
        <v/>
      </c>
      <c r="N547" s="60" t="str">
        <f t="shared" si="8"/>
        <v/>
      </c>
      <c r="O547" s="61" t="str">
        <f t="shared" si="9"/>
        <v/>
      </c>
      <c r="P547" s="56" t="str">
        <f t="shared" si="10"/>
        <v/>
      </c>
      <c r="Q547" s="105"/>
      <c r="R547" s="10"/>
      <c r="S547" s="59" t="str">
        <f t="array" ref="S547">IF(COUNTA(Q547:Q1673)=0,"",SUM((COUNTIF(Q$4:Q547,Upgrades!$B$3:$B$13)-COUNTIF(Q$4:Q547,"Sell_"&amp;Upgrades!$B$3:$B$13))*Upgrades!$D$3:$D$13))</f>
        <v/>
      </c>
      <c r="T547" s="66" t="str">
        <f>IFERROR(__xludf.DUMMYFUNCTION("IF(COUNTA(Q547:Q1673)=0,"""",IF(REGEXMATCH(INDEX(FILTER(Q$4:Q547,Q$4:Q547&lt;&gt;""""),ROWS(FILTER(Q$4:Q547,Q$4:Q547&lt;&gt;""""))),""^Sell_""),INDEX(FILTER(T$4:T546,Q$4:Q546&lt;&gt;""""),ROWS(FILTER(Q$4:Q546,Q$4:Q546&lt;&gt;""""))),$AD$5+S547))"),"")</f>
        <v/>
      </c>
      <c r="U547" s="10" t="str">
        <f>IFERROR(__xludf.DUMMYFUNCTION("IF(COUNTA(Q547:Q1673)=0,"""",IF(Q547="""",0,IF(REGEXMATCH(Q547,""^Sell_""),-ROUNDDOWN(ROUNDUP(INDEX(Upgrades!$C$3:$C$13,MATCH(SUBSTITUTE(Q547,""Sell_"",""""),Upgrades!$B$3:$B$13,0))*1.15^(COUNTIF(Q$4:Q546,SUBSTITUTE(Q547,""Sell_"",""""))-COUNTIF(Q$4:Q546,"&amp;"""Sell_""&amp;SUBSTITUTE(Q547,""Sell_"",""""))))/2),ROUNDUP(INDEX(Upgrades!$C$3:$C$13,MATCH(Q547,Upgrades!$B$3:$B$13,0))*1.15^(COUNTIF(Q$4:Q546,Q547)-COUNTIF(Q$4:Q546,""Sell_""&amp;Q547))))))"),"")</f>
        <v/>
      </c>
      <c r="V547" s="10" t="str">
        <f t="shared" si="11"/>
        <v/>
      </c>
      <c r="W547" s="68" t="str">
        <f t="shared" si="12"/>
        <v/>
      </c>
      <c r="X547" s="59" t="str">
        <f t="shared" si="13"/>
        <v/>
      </c>
      <c r="Y547" s="69" t="str">
        <f t="shared" si="14"/>
        <v/>
      </c>
      <c r="Z547" s="11"/>
    </row>
    <row r="548">
      <c r="A548" s="8"/>
      <c r="B548" s="56" t="str">
        <f t="shared" si="2"/>
        <v/>
      </c>
      <c r="C548" s="105"/>
      <c r="D548" s="10"/>
      <c r="E548" s="59" t="str">
        <f t="array" ref="E548">IF(COUNTA(C548:C1673)=0,"",SUM((COUNTIF(C$4:C548,Upgrades!$B$3:$B$13)-COUNTIF(C$4:C548,"Sell_"&amp;Upgrades!$B$3:$B$13))*Upgrades!$D$3:$D$13))</f>
        <v/>
      </c>
      <c r="F548" s="66" t="str">
        <f>IFERROR(__xludf.DUMMYFUNCTION("IF(COUNTA(C548:C1673)=0,"""",IF(REGEXMATCH(INDEX(FILTER(C$4:C548,C$4:C548&lt;&gt;""""),ROWS(FILTER(C$4:C548,C$4:C548&lt;&gt;""""))),""^Sell_""),INDEX(FILTER(F$4:F547,C$4:C547&lt;&gt;""""),ROWS(FILTER(C$4:C547,C$4:C547&lt;&gt;""""))),$AC$5+E548))"),"")</f>
        <v/>
      </c>
      <c r="G548" s="10" t="str">
        <f>IFERROR(__xludf.DUMMYFUNCTION("IF(COUNTA(C548:C1673)=0,"""",IF(C548="""",0,IF(REGEXMATCH(C548,""^Sell_""),-ROUNDDOWN(ROUNDUP(INDEX(Upgrades!$C$3:$C$13,MATCH(SUBSTITUTE(C548,""Sell_"",""""),Upgrades!$B$3:$B$13,0))*1.15^(COUNTIF(C$4:C547,SUBSTITUTE(C548,""Sell_"",""""))-COUNTIF(C$4:C547,"&amp;"""Sell_""&amp;SUBSTITUTE(C548,""Sell_"",""""))))/2),ROUNDUP(INDEX(Upgrades!$C$3:$C$13,MATCH(C548,Upgrades!$B$3:$B$13,0))*1.15^(COUNTIF(C$4:C547,C548)-COUNTIF(C$4:C547,""Sell_""&amp;C548))))))"),"")</f>
        <v/>
      </c>
      <c r="H548" s="10" t="str">
        <f t="shared" si="3"/>
        <v/>
      </c>
      <c r="I548" s="68" t="str">
        <f t="shared" si="4"/>
        <v/>
      </c>
      <c r="J548" s="59" t="str">
        <f t="shared" si="5"/>
        <v/>
      </c>
      <c r="K548" s="69" t="str">
        <f t="shared" si="6"/>
        <v/>
      </c>
      <c r="L548" s="60" t="str">
        <f t="shared" si="7"/>
        <v/>
      </c>
      <c r="M548" s="61" t="str">
        <f>IFERROR(__xludf.DUMMYFUNCTION("IFS(AND(COUNTA(C548:C1673)=0,COUNTA(Q548:Q1673)=0),"""",OR(AND(K548&gt;=1000000000,OR(Y548&gt;=1000000000,COUNTA(Q548:Q1673)=0)),OR(Y548&gt;=1000000000,AND(COUNTA(C548:C1673)=0,P$3=TRUE))),
ROUNDDOWN((AB$1-AC$1)*MAX(INDEX(T$4:T1673,MATCH(LARGE(FILTER(Y$4:Y1673,Y$4"&amp;":Y1673&lt;1000000000),1),Y$4:Y1673)),INDEX(F$4:F1673,MATCH(LARGE(FILTER(K$4:K1673,K$4:K1673&lt;1000000000),1),K$4:K1673)))),AND(K548&lt;1000000000,COUNTA(C548:C1673)&gt;0,P$3=FALSE),
ROUNDDOWN(INDEX(Y$4:Y1673,MATCH(LARGE(FILTER(W$4:W1673,W$4:W1673&lt;=I548),1),W$4:W1673"&amp;"))+(I548-LARGE(FILTER(W$4:W1673,W$4:W1673&lt;=I548),1))*INDEX(T$4:T1673,MATCH(LARGE(FILTER(W$4:W1673,W$4:W1673&lt;=I548),1),W$4:W1673))-K548),1,
ROUNDDOWN(Y548-INDEX(K$4:K1673,MATCH(LARGE(FILTER(I$4:I1673,I$4:I1673&lt;=W548),1),I$4:I1673))-(W548-LARGE(FILTER(I$4:I"&amp;"1673,I$4:I1673&lt;=W548),1))*INDEX(F$4:F1673,MATCH(LARGE(FILTER(I$4:I1673,I$4:I1673&lt;=W548),1),I$4:I1673))))"),"")</f>
        <v/>
      </c>
      <c r="N548" s="60" t="str">
        <f t="shared" si="8"/>
        <v/>
      </c>
      <c r="O548" s="61" t="str">
        <f t="shared" si="9"/>
        <v/>
      </c>
      <c r="P548" s="56" t="str">
        <f t="shared" si="10"/>
        <v/>
      </c>
      <c r="Q548" s="105"/>
      <c r="R548" s="10"/>
      <c r="S548" s="59" t="str">
        <f t="array" ref="S548">IF(COUNTA(Q548:Q1673)=0,"",SUM((COUNTIF(Q$4:Q548,Upgrades!$B$3:$B$13)-COUNTIF(Q$4:Q548,"Sell_"&amp;Upgrades!$B$3:$B$13))*Upgrades!$D$3:$D$13))</f>
        <v/>
      </c>
      <c r="T548" s="66" t="str">
        <f>IFERROR(__xludf.DUMMYFUNCTION("IF(COUNTA(Q548:Q1673)=0,"""",IF(REGEXMATCH(INDEX(FILTER(Q$4:Q548,Q$4:Q548&lt;&gt;""""),ROWS(FILTER(Q$4:Q548,Q$4:Q548&lt;&gt;""""))),""^Sell_""),INDEX(FILTER(T$4:T547,Q$4:Q547&lt;&gt;""""),ROWS(FILTER(Q$4:Q547,Q$4:Q547&lt;&gt;""""))),$AD$5+S548))"),"")</f>
        <v/>
      </c>
      <c r="U548" s="10" t="str">
        <f>IFERROR(__xludf.DUMMYFUNCTION("IF(COUNTA(Q548:Q1673)=0,"""",IF(Q548="""",0,IF(REGEXMATCH(Q548,""^Sell_""),-ROUNDDOWN(ROUNDUP(INDEX(Upgrades!$C$3:$C$13,MATCH(SUBSTITUTE(Q548,""Sell_"",""""),Upgrades!$B$3:$B$13,0))*1.15^(COUNTIF(Q$4:Q547,SUBSTITUTE(Q548,""Sell_"",""""))-COUNTIF(Q$4:Q547,"&amp;"""Sell_""&amp;SUBSTITUTE(Q548,""Sell_"",""""))))/2),ROUNDUP(INDEX(Upgrades!$C$3:$C$13,MATCH(Q548,Upgrades!$B$3:$B$13,0))*1.15^(COUNTIF(Q$4:Q547,Q548)-COUNTIF(Q$4:Q547,""Sell_""&amp;Q548))))))"),"")</f>
        <v/>
      </c>
      <c r="V548" s="10" t="str">
        <f t="shared" si="11"/>
        <v/>
      </c>
      <c r="W548" s="68" t="str">
        <f t="shared" si="12"/>
        <v/>
      </c>
      <c r="X548" s="59" t="str">
        <f t="shared" si="13"/>
        <v/>
      </c>
      <c r="Y548" s="69" t="str">
        <f t="shared" si="14"/>
        <v/>
      </c>
      <c r="Z548" s="11"/>
    </row>
    <row r="549">
      <c r="A549" s="8"/>
      <c r="B549" s="56" t="str">
        <f t="shared" si="2"/>
        <v/>
      </c>
      <c r="C549" s="105"/>
      <c r="D549" s="10"/>
      <c r="E549" s="59" t="str">
        <f t="array" ref="E549">IF(COUNTA(C549:C1673)=0,"",SUM((COUNTIF(C$4:C549,Upgrades!$B$3:$B$13)-COUNTIF(C$4:C549,"Sell_"&amp;Upgrades!$B$3:$B$13))*Upgrades!$D$3:$D$13))</f>
        <v/>
      </c>
      <c r="F549" s="66" t="str">
        <f>IFERROR(__xludf.DUMMYFUNCTION("IF(COUNTA(C549:C1673)=0,"""",IF(REGEXMATCH(INDEX(FILTER(C$4:C549,C$4:C549&lt;&gt;""""),ROWS(FILTER(C$4:C549,C$4:C549&lt;&gt;""""))),""^Sell_""),INDEX(FILTER(F$4:F548,C$4:C548&lt;&gt;""""),ROWS(FILTER(C$4:C548,C$4:C548&lt;&gt;""""))),$AC$5+E549))"),"")</f>
        <v/>
      </c>
      <c r="G549" s="10" t="str">
        <f>IFERROR(__xludf.DUMMYFUNCTION("IF(COUNTA(C549:C1673)=0,"""",IF(C549="""",0,IF(REGEXMATCH(C549,""^Sell_""),-ROUNDDOWN(ROUNDUP(INDEX(Upgrades!$C$3:$C$13,MATCH(SUBSTITUTE(C549,""Sell_"",""""),Upgrades!$B$3:$B$13,0))*1.15^(COUNTIF(C$4:C548,SUBSTITUTE(C549,""Sell_"",""""))-COUNTIF(C$4:C548,"&amp;"""Sell_""&amp;SUBSTITUTE(C549,""Sell_"",""""))))/2),ROUNDUP(INDEX(Upgrades!$C$3:$C$13,MATCH(C549,Upgrades!$B$3:$B$13,0))*1.15^(COUNTIF(C$4:C548,C549)-COUNTIF(C$4:C548,""Sell_""&amp;C549))))))"),"")</f>
        <v/>
      </c>
      <c r="H549" s="10" t="str">
        <f t="shared" si="3"/>
        <v/>
      </c>
      <c r="I549" s="68" t="str">
        <f t="shared" si="4"/>
        <v/>
      </c>
      <c r="J549" s="59" t="str">
        <f t="shared" si="5"/>
        <v/>
      </c>
      <c r="K549" s="69" t="str">
        <f t="shared" si="6"/>
        <v/>
      </c>
      <c r="L549" s="60" t="str">
        <f t="shared" si="7"/>
        <v/>
      </c>
      <c r="M549" s="61" t="str">
        <f>IFERROR(__xludf.DUMMYFUNCTION("IFS(AND(COUNTA(C549:C1673)=0,COUNTA(Q549:Q1673)=0),"""",OR(AND(K549&gt;=1000000000,OR(Y549&gt;=1000000000,COUNTA(Q549:Q1673)=0)),OR(Y549&gt;=1000000000,AND(COUNTA(C549:C1673)=0,P$3=TRUE))),
ROUNDDOWN((AB$1-AC$1)*MAX(INDEX(T$4:T1673,MATCH(LARGE(FILTER(Y$4:Y1673,Y$4"&amp;":Y1673&lt;1000000000),1),Y$4:Y1673)),INDEX(F$4:F1673,MATCH(LARGE(FILTER(K$4:K1673,K$4:K1673&lt;1000000000),1),K$4:K1673)))),AND(K549&lt;1000000000,COUNTA(C549:C1673)&gt;0,P$3=FALSE),
ROUNDDOWN(INDEX(Y$4:Y1673,MATCH(LARGE(FILTER(W$4:W1673,W$4:W1673&lt;=I549),1),W$4:W1673"&amp;"))+(I549-LARGE(FILTER(W$4:W1673,W$4:W1673&lt;=I549),1))*INDEX(T$4:T1673,MATCH(LARGE(FILTER(W$4:W1673,W$4:W1673&lt;=I549),1),W$4:W1673))-K549),1,
ROUNDDOWN(Y549-INDEX(K$4:K1673,MATCH(LARGE(FILTER(I$4:I1673,I$4:I1673&lt;=W549),1),I$4:I1673))-(W549-LARGE(FILTER(I$4:I"&amp;"1673,I$4:I1673&lt;=W549),1))*INDEX(F$4:F1673,MATCH(LARGE(FILTER(I$4:I1673,I$4:I1673&lt;=W549),1),I$4:I1673))))"),"")</f>
        <v/>
      </c>
      <c r="N549" s="60" t="str">
        <f t="shared" si="8"/>
        <v/>
      </c>
      <c r="O549" s="61" t="str">
        <f t="shared" si="9"/>
        <v/>
      </c>
      <c r="P549" s="56" t="str">
        <f t="shared" si="10"/>
        <v/>
      </c>
      <c r="Q549" s="105"/>
      <c r="R549" s="10"/>
      <c r="S549" s="59" t="str">
        <f t="array" ref="S549">IF(COUNTA(Q549:Q1673)=0,"",SUM((COUNTIF(Q$4:Q549,Upgrades!$B$3:$B$13)-COUNTIF(Q$4:Q549,"Sell_"&amp;Upgrades!$B$3:$B$13))*Upgrades!$D$3:$D$13))</f>
        <v/>
      </c>
      <c r="T549" s="66" t="str">
        <f>IFERROR(__xludf.DUMMYFUNCTION("IF(COUNTA(Q549:Q1673)=0,"""",IF(REGEXMATCH(INDEX(FILTER(Q$4:Q549,Q$4:Q549&lt;&gt;""""),ROWS(FILTER(Q$4:Q549,Q$4:Q549&lt;&gt;""""))),""^Sell_""),INDEX(FILTER(T$4:T548,Q$4:Q548&lt;&gt;""""),ROWS(FILTER(Q$4:Q548,Q$4:Q548&lt;&gt;""""))),$AD$5+S549))"),"")</f>
        <v/>
      </c>
      <c r="U549" s="10" t="str">
        <f>IFERROR(__xludf.DUMMYFUNCTION("IF(COUNTA(Q549:Q1673)=0,"""",IF(Q549="""",0,IF(REGEXMATCH(Q549,""^Sell_""),-ROUNDDOWN(ROUNDUP(INDEX(Upgrades!$C$3:$C$13,MATCH(SUBSTITUTE(Q549,""Sell_"",""""),Upgrades!$B$3:$B$13,0))*1.15^(COUNTIF(Q$4:Q548,SUBSTITUTE(Q549,""Sell_"",""""))-COUNTIF(Q$4:Q548,"&amp;"""Sell_""&amp;SUBSTITUTE(Q549,""Sell_"",""""))))/2),ROUNDUP(INDEX(Upgrades!$C$3:$C$13,MATCH(Q549,Upgrades!$B$3:$B$13,0))*1.15^(COUNTIF(Q$4:Q548,Q549)-COUNTIF(Q$4:Q548,""Sell_""&amp;Q549))))))"),"")</f>
        <v/>
      </c>
      <c r="V549" s="10" t="str">
        <f t="shared" si="11"/>
        <v/>
      </c>
      <c r="W549" s="68" t="str">
        <f t="shared" si="12"/>
        <v/>
      </c>
      <c r="X549" s="59" t="str">
        <f t="shared" si="13"/>
        <v/>
      </c>
      <c r="Y549" s="69" t="str">
        <f t="shared" si="14"/>
        <v/>
      </c>
      <c r="Z549" s="11"/>
    </row>
    <row r="550">
      <c r="A550" s="8"/>
      <c r="B550" s="56" t="str">
        <f t="shared" si="2"/>
        <v/>
      </c>
      <c r="C550" s="105"/>
      <c r="D550" s="10"/>
      <c r="E550" s="59" t="str">
        <f t="array" ref="E550">IF(COUNTA(C550:C1673)=0,"",SUM((COUNTIF(C$4:C550,Upgrades!$B$3:$B$13)-COUNTIF(C$4:C550,"Sell_"&amp;Upgrades!$B$3:$B$13))*Upgrades!$D$3:$D$13))</f>
        <v/>
      </c>
      <c r="F550" s="66" t="str">
        <f>IFERROR(__xludf.DUMMYFUNCTION("IF(COUNTA(C550:C1673)=0,"""",IF(REGEXMATCH(INDEX(FILTER(C$4:C550,C$4:C550&lt;&gt;""""),ROWS(FILTER(C$4:C550,C$4:C550&lt;&gt;""""))),""^Sell_""),INDEX(FILTER(F$4:F549,C$4:C549&lt;&gt;""""),ROWS(FILTER(C$4:C549,C$4:C549&lt;&gt;""""))),$AC$5+E550))"),"")</f>
        <v/>
      </c>
      <c r="G550" s="10" t="str">
        <f>IFERROR(__xludf.DUMMYFUNCTION("IF(COUNTA(C550:C1673)=0,"""",IF(C550="""",0,IF(REGEXMATCH(C550,""^Sell_""),-ROUNDDOWN(ROUNDUP(INDEX(Upgrades!$C$3:$C$13,MATCH(SUBSTITUTE(C550,""Sell_"",""""),Upgrades!$B$3:$B$13,0))*1.15^(COUNTIF(C$4:C549,SUBSTITUTE(C550,""Sell_"",""""))-COUNTIF(C$4:C549,"&amp;"""Sell_""&amp;SUBSTITUTE(C550,""Sell_"",""""))))/2),ROUNDUP(INDEX(Upgrades!$C$3:$C$13,MATCH(C550,Upgrades!$B$3:$B$13,0))*1.15^(COUNTIF(C$4:C549,C550)-COUNTIF(C$4:C549,""Sell_""&amp;C550))))))"),"")</f>
        <v/>
      </c>
      <c r="H550" s="10" t="str">
        <f t="shared" si="3"/>
        <v/>
      </c>
      <c r="I550" s="68" t="str">
        <f t="shared" si="4"/>
        <v/>
      </c>
      <c r="J550" s="59" t="str">
        <f t="shared" si="5"/>
        <v/>
      </c>
      <c r="K550" s="69" t="str">
        <f t="shared" si="6"/>
        <v/>
      </c>
      <c r="L550" s="60" t="str">
        <f t="shared" si="7"/>
        <v/>
      </c>
      <c r="M550" s="61" t="str">
        <f>IFERROR(__xludf.DUMMYFUNCTION("IFS(AND(COUNTA(C550:C1673)=0,COUNTA(Q550:Q1673)=0),"""",OR(AND(K550&gt;=1000000000,OR(Y550&gt;=1000000000,COUNTA(Q550:Q1673)=0)),OR(Y550&gt;=1000000000,AND(COUNTA(C550:C1673)=0,P$3=TRUE))),
ROUNDDOWN((AB$1-AC$1)*MAX(INDEX(T$4:T1673,MATCH(LARGE(FILTER(Y$4:Y1673,Y$4"&amp;":Y1673&lt;1000000000),1),Y$4:Y1673)),INDEX(F$4:F1673,MATCH(LARGE(FILTER(K$4:K1673,K$4:K1673&lt;1000000000),1),K$4:K1673)))),AND(K550&lt;1000000000,COUNTA(C550:C1673)&gt;0,P$3=FALSE),
ROUNDDOWN(INDEX(Y$4:Y1673,MATCH(LARGE(FILTER(W$4:W1673,W$4:W1673&lt;=I550),1),W$4:W1673"&amp;"))+(I550-LARGE(FILTER(W$4:W1673,W$4:W1673&lt;=I550),1))*INDEX(T$4:T1673,MATCH(LARGE(FILTER(W$4:W1673,W$4:W1673&lt;=I550),1),W$4:W1673))-K550),1,
ROUNDDOWN(Y550-INDEX(K$4:K1673,MATCH(LARGE(FILTER(I$4:I1673,I$4:I1673&lt;=W550),1),I$4:I1673))-(W550-LARGE(FILTER(I$4:I"&amp;"1673,I$4:I1673&lt;=W550),1))*INDEX(F$4:F1673,MATCH(LARGE(FILTER(I$4:I1673,I$4:I1673&lt;=W550),1),I$4:I1673))))"),"")</f>
        <v/>
      </c>
      <c r="N550" s="60" t="str">
        <f t="shared" si="8"/>
        <v/>
      </c>
      <c r="O550" s="61" t="str">
        <f t="shared" si="9"/>
        <v/>
      </c>
      <c r="P550" s="56" t="str">
        <f t="shared" si="10"/>
        <v/>
      </c>
      <c r="Q550" s="105"/>
      <c r="R550" s="10"/>
      <c r="S550" s="59" t="str">
        <f t="array" ref="S550">IF(COUNTA(Q550:Q1673)=0,"",SUM((COUNTIF(Q$4:Q550,Upgrades!$B$3:$B$13)-COUNTIF(Q$4:Q550,"Sell_"&amp;Upgrades!$B$3:$B$13))*Upgrades!$D$3:$D$13))</f>
        <v/>
      </c>
      <c r="T550" s="66" t="str">
        <f>IFERROR(__xludf.DUMMYFUNCTION("IF(COUNTA(Q550:Q1673)=0,"""",IF(REGEXMATCH(INDEX(FILTER(Q$4:Q550,Q$4:Q550&lt;&gt;""""),ROWS(FILTER(Q$4:Q550,Q$4:Q550&lt;&gt;""""))),""^Sell_""),INDEX(FILTER(T$4:T549,Q$4:Q549&lt;&gt;""""),ROWS(FILTER(Q$4:Q549,Q$4:Q549&lt;&gt;""""))),$AD$5+S550))"),"")</f>
        <v/>
      </c>
      <c r="U550" s="10" t="str">
        <f>IFERROR(__xludf.DUMMYFUNCTION("IF(COUNTA(Q550:Q1673)=0,"""",IF(Q550="""",0,IF(REGEXMATCH(Q550,""^Sell_""),-ROUNDDOWN(ROUNDUP(INDEX(Upgrades!$C$3:$C$13,MATCH(SUBSTITUTE(Q550,""Sell_"",""""),Upgrades!$B$3:$B$13,0))*1.15^(COUNTIF(Q$4:Q549,SUBSTITUTE(Q550,""Sell_"",""""))-COUNTIF(Q$4:Q549,"&amp;"""Sell_""&amp;SUBSTITUTE(Q550,""Sell_"",""""))))/2),ROUNDUP(INDEX(Upgrades!$C$3:$C$13,MATCH(Q550,Upgrades!$B$3:$B$13,0))*1.15^(COUNTIF(Q$4:Q549,Q550)-COUNTIF(Q$4:Q549,""Sell_""&amp;Q550))))))"),"")</f>
        <v/>
      </c>
      <c r="V550" s="10" t="str">
        <f t="shared" si="11"/>
        <v/>
      </c>
      <c r="W550" s="68" t="str">
        <f t="shared" si="12"/>
        <v/>
      </c>
      <c r="X550" s="59" t="str">
        <f t="shared" si="13"/>
        <v/>
      </c>
      <c r="Y550" s="69" t="str">
        <f t="shared" si="14"/>
        <v/>
      </c>
      <c r="Z550" s="11"/>
    </row>
    <row r="551">
      <c r="A551" s="8"/>
      <c r="B551" s="56" t="str">
        <f t="shared" si="2"/>
        <v/>
      </c>
      <c r="C551" s="105"/>
      <c r="D551" s="10"/>
      <c r="E551" s="59" t="str">
        <f t="array" ref="E551">IF(COUNTA(C551:C1673)=0,"",SUM((COUNTIF(C$4:C551,Upgrades!$B$3:$B$13)-COUNTIF(C$4:C551,"Sell_"&amp;Upgrades!$B$3:$B$13))*Upgrades!$D$3:$D$13))</f>
        <v/>
      </c>
      <c r="F551" s="66" t="str">
        <f>IFERROR(__xludf.DUMMYFUNCTION("IF(COUNTA(C551:C1673)=0,"""",IF(REGEXMATCH(INDEX(FILTER(C$4:C551,C$4:C551&lt;&gt;""""),ROWS(FILTER(C$4:C551,C$4:C551&lt;&gt;""""))),""^Sell_""),INDEX(FILTER(F$4:F550,C$4:C550&lt;&gt;""""),ROWS(FILTER(C$4:C550,C$4:C550&lt;&gt;""""))),$AC$5+E551))"),"")</f>
        <v/>
      </c>
      <c r="G551" s="10" t="str">
        <f>IFERROR(__xludf.DUMMYFUNCTION("IF(COUNTA(C551:C1673)=0,"""",IF(C551="""",0,IF(REGEXMATCH(C551,""^Sell_""),-ROUNDDOWN(ROUNDUP(INDEX(Upgrades!$C$3:$C$13,MATCH(SUBSTITUTE(C551,""Sell_"",""""),Upgrades!$B$3:$B$13,0))*1.15^(COUNTIF(C$4:C550,SUBSTITUTE(C551,""Sell_"",""""))-COUNTIF(C$4:C550,"&amp;"""Sell_""&amp;SUBSTITUTE(C551,""Sell_"",""""))))/2),ROUNDUP(INDEX(Upgrades!$C$3:$C$13,MATCH(C551,Upgrades!$B$3:$B$13,0))*1.15^(COUNTIF(C$4:C550,C551)-COUNTIF(C$4:C550,""Sell_""&amp;C551))))))"),"")</f>
        <v/>
      </c>
      <c r="H551" s="10" t="str">
        <f t="shared" si="3"/>
        <v/>
      </c>
      <c r="I551" s="68" t="str">
        <f t="shared" si="4"/>
        <v/>
      </c>
      <c r="J551" s="59" t="str">
        <f t="shared" si="5"/>
        <v/>
      </c>
      <c r="K551" s="69" t="str">
        <f t="shared" si="6"/>
        <v/>
      </c>
      <c r="L551" s="60" t="str">
        <f t="shared" si="7"/>
        <v/>
      </c>
      <c r="M551" s="61" t="str">
        <f>IFERROR(__xludf.DUMMYFUNCTION("IFS(AND(COUNTA(C551:C1673)=0,COUNTA(Q551:Q1673)=0),"""",OR(AND(K551&gt;=1000000000,OR(Y551&gt;=1000000000,COUNTA(Q551:Q1673)=0)),OR(Y551&gt;=1000000000,AND(COUNTA(C551:C1673)=0,P$3=TRUE))),
ROUNDDOWN((AB$1-AC$1)*MAX(INDEX(T$4:T1673,MATCH(LARGE(FILTER(Y$4:Y1673,Y$4"&amp;":Y1673&lt;1000000000),1),Y$4:Y1673)),INDEX(F$4:F1673,MATCH(LARGE(FILTER(K$4:K1673,K$4:K1673&lt;1000000000),1),K$4:K1673)))),AND(K551&lt;1000000000,COUNTA(C551:C1673)&gt;0,P$3=FALSE),
ROUNDDOWN(INDEX(Y$4:Y1673,MATCH(LARGE(FILTER(W$4:W1673,W$4:W1673&lt;=I551),1),W$4:W1673"&amp;"))+(I551-LARGE(FILTER(W$4:W1673,W$4:W1673&lt;=I551),1))*INDEX(T$4:T1673,MATCH(LARGE(FILTER(W$4:W1673,W$4:W1673&lt;=I551),1),W$4:W1673))-K551),1,
ROUNDDOWN(Y551-INDEX(K$4:K1673,MATCH(LARGE(FILTER(I$4:I1673,I$4:I1673&lt;=W551),1),I$4:I1673))-(W551-LARGE(FILTER(I$4:I"&amp;"1673,I$4:I1673&lt;=W551),1))*INDEX(F$4:F1673,MATCH(LARGE(FILTER(I$4:I1673,I$4:I1673&lt;=W551),1),I$4:I1673))))"),"")</f>
        <v/>
      </c>
      <c r="N551" s="60" t="str">
        <f t="shared" si="8"/>
        <v/>
      </c>
      <c r="O551" s="61" t="str">
        <f t="shared" si="9"/>
        <v/>
      </c>
      <c r="P551" s="56" t="str">
        <f t="shared" si="10"/>
        <v/>
      </c>
      <c r="Q551" s="105"/>
      <c r="R551" s="10"/>
      <c r="S551" s="59" t="str">
        <f t="array" ref="S551">IF(COUNTA(Q551:Q1673)=0,"",SUM((COUNTIF(Q$4:Q551,Upgrades!$B$3:$B$13)-COUNTIF(Q$4:Q551,"Sell_"&amp;Upgrades!$B$3:$B$13))*Upgrades!$D$3:$D$13))</f>
        <v/>
      </c>
      <c r="T551" s="66" t="str">
        <f>IFERROR(__xludf.DUMMYFUNCTION("IF(COUNTA(Q551:Q1673)=0,"""",IF(REGEXMATCH(INDEX(FILTER(Q$4:Q551,Q$4:Q551&lt;&gt;""""),ROWS(FILTER(Q$4:Q551,Q$4:Q551&lt;&gt;""""))),""^Sell_""),INDEX(FILTER(T$4:T550,Q$4:Q550&lt;&gt;""""),ROWS(FILTER(Q$4:Q550,Q$4:Q550&lt;&gt;""""))),$AD$5+S551))"),"")</f>
        <v/>
      </c>
      <c r="U551" s="10" t="str">
        <f>IFERROR(__xludf.DUMMYFUNCTION("IF(COUNTA(Q551:Q1673)=0,"""",IF(Q551="""",0,IF(REGEXMATCH(Q551,""^Sell_""),-ROUNDDOWN(ROUNDUP(INDEX(Upgrades!$C$3:$C$13,MATCH(SUBSTITUTE(Q551,""Sell_"",""""),Upgrades!$B$3:$B$13,0))*1.15^(COUNTIF(Q$4:Q550,SUBSTITUTE(Q551,""Sell_"",""""))-COUNTIF(Q$4:Q550,"&amp;"""Sell_""&amp;SUBSTITUTE(Q551,""Sell_"",""""))))/2),ROUNDUP(INDEX(Upgrades!$C$3:$C$13,MATCH(Q551,Upgrades!$B$3:$B$13,0))*1.15^(COUNTIF(Q$4:Q550,Q551)-COUNTIF(Q$4:Q550,""Sell_""&amp;Q551))))))"),"")</f>
        <v/>
      </c>
      <c r="V551" s="10" t="str">
        <f t="shared" si="11"/>
        <v/>
      </c>
      <c r="W551" s="68" t="str">
        <f t="shared" si="12"/>
        <v/>
      </c>
      <c r="X551" s="59" t="str">
        <f t="shared" si="13"/>
        <v/>
      </c>
      <c r="Y551" s="69" t="str">
        <f t="shared" si="14"/>
        <v/>
      </c>
      <c r="Z551" s="11"/>
    </row>
    <row r="552">
      <c r="A552" s="8"/>
      <c r="B552" s="56" t="str">
        <f t="shared" si="2"/>
        <v/>
      </c>
      <c r="C552" s="105"/>
      <c r="D552" s="10"/>
      <c r="E552" s="59" t="str">
        <f t="array" ref="E552">IF(COUNTA(C552:C1673)=0,"",SUM((COUNTIF(C$4:C552,Upgrades!$B$3:$B$13)-COUNTIF(C$4:C552,"Sell_"&amp;Upgrades!$B$3:$B$13))*Upgrades!$D$3:$D$13))</f>
        <v/>
      </c>
      <c r="F552" s="66" t="str">
        <f>IFERROR(__xludf.DUMMYFUNCTION("IF(COUNTA(C552:C1673)=0,"""",IF(REGEXMATCH(INDEX(FILTER(C$4:C552,C$4:C552&lt;&gt;""""),ROWS(FILTER(C$4:C552,C$4:C552&lt;&gt;""""))),""^Sell_""),INDEX(FILTER(F$4:F551,C$4:C551&lt;&gt;""""),ROWS(FILTER(C$4:C551,C$4:C551&lt;&gt;""""))),$AC$5+E552))"),"")</f>
        <v/>
      </c>
      <c r="G552" s="10" t="str">
        <f>IFERROR(__xludf.DUMMYFUNCTION("IF(COUNTA(C552:C1673)=0,"""",IF(C552="""",0,IF(REGEXMATCH(C552,""^Sell_""),-ROUNDDOWN(ROUNDUP(INDEX(Upgrades!$C$3:$C$13,MATCH(SUBSTITUTE(C552,""Sell_"",""""),Upgrades!$B$3:$B$13,0))*1.15^(COUNTIF(C$4:C551,SUBSTITUTE(C552,""Sell_"",""""))-COUNTIF(C$4:C551,"&amp;"""Sell_""&amp;SUBSTITUTE(C552,""Sell_"",""""))))/2),ROUNDUP(INDEX(Upgrades!$C$3:$C$13,MATCH(C552,Upgrades!$B$3:$B$13,0))*1.15^(COUNTIF(C$4:C551,C552)-COUNTIF(C$4:C551,""Sell_""&amp;C552))))))"),"")</f>
        <v/>
      </c>
      <c r="H552" s="10" t="str">
        <f t="shared" si="3"/>
        <v/>
      </c>
      <c r="I552" s="68" t="str">
        <f t="shared" si="4"/>
        <v/>
      </c>
      <c r="J552" s="59" t="str">
        <f t="shared" si="5"/>
        <v/>
      </c>
      <c r="K552" s="69" t="str">
        <f t="shared" si="6"/>
        <v/>
      </c>
      <c r="L552" s="60" t="str">
        <f t="shared" si="7"/>
        <v/>
      </c>
      <c r="M552" s="61" t="str">
        <f>IFERROR(__xludf.DUMMYFUNCTION("IFS(AND(COUNTA(C552:C1673)=0,COUNTA(Q552:Q1673)=0),"""",OR(AND(K552&gt;=1000000000,OR(Y552&gt;=1000000000,COUNTA(Q552:Q1673)=0)),OR(Y552&gt;=1000000000,AND(COUNTA(C552:C1673)=0,P$3=TRUE))),
ROUNDDOWN((AB$1-AC$1)*MAX(INDEX(T$4:T1673,MATCH(LARGE(FILTER(Y$4:Y1673,Y$4"&amp;":Y1673&lt;1000000000),1),Y$4:Y1673)),INDEX(F$4:F1673,MATCH(LARGE(FILTER(K$4:K1673,K$4:K1673&lt;1000000000),1),K$4:K1673)))),AND(K552&lt;1000000000,COUNTA(C552:C1673)&gt;0,P$3=FALSE),
ROUNDDOWN(INDEX(Y$4:Y1673,MATCH(LARGE(FILTER(W$4:W1673,W$4:W1673&lt;=I552),1),W$4:W1673"&amp;"))+(I552-LARGE(FILTER(W$4:W1673,W$4:W1673&lt;=I552),1))*INDEX(T$4:T1673,MATCH(LARGE(FILTER(W$4:W1673,W$4:W1673&lt;=I552),1),W$4:W1673))-K552),1,
ROUNDDOWN(Y552-INDEX(K$4:K1673,MATCH(LARGE(FILTER(I$4:I1673,I$4:I1673&lt;=W552),1),I$4:I1673))-(W552-LARGE(FILTER(I$4:I"&amp;"1673,I$4:I1673&lt;=W552),1))*INDEX(F$4:F1673,MATCH(LARGE(FILTER(I$4:I1673,I$4:I1673&lt;=W552),1),I$4:I1673))))"),"")</f>
        <v/>
      </c>
      <c r="N552" s="60" t="str">
        <f t="shared" si="8"/>
        <v/>
      </c>
      <c r="O552" s="61" t="str">
        <f t="shared" si="9"/>
        <v/>
      </c>
      <c r="P552" s="56" t="str">
        <f t="shared" si="10"/>
        <v/>
      </c>
      <c r="Q552" s="105"/>
      <c r="R552" s="10"/>
      <c r="S552" s="59" t="str">
        <f t="array" ref="S552">IF(COUNTA(Q552:Q1673)=0,"",SUM((COUNTIF(Q$4:Q552,Upgrades!$B$3:$B$13)-COUNTIF(Q$4:Q552,"Sell_"&amp;Upgrades!$B$3:$B$13))*Upgrades!$D$3:$D$13))</f>
        <v/>
      </c>
      <c r="T552" s="66" t="str">
        <f>IFERROR(__xludf.DUMMYFUNCTION("IF(COUNTA(Q552:Q1673)=0,"""",IF(REGEXMATCH(INDEX(FILTER(Q$4:Q552,Q$4:Q552&lt;&gt;""""),ROWS(FILTER(Q$4:Q552,Q$4:Q552&lt;&gt;""""))),""^Sell_""),INDEX(FILTER(T$4:T551,Q$4:Q551&lt;&gt;""""),ROWS(FILTER(Q$4:Q551,Q$4:Q551&lt;&gt;""""))),$AD$5+S552))"),"")</f>
        <v/>
      </c>
      <c r="U552" s="10" t="str">
        <f>IFERROR(__xludf.DUMMYFUNCTION("IF(COUNTA(Q552:Q1673)=0,"""",IF(Q552="""",0,IF(REGEXMATCH(Q552,""^Sell_""),-ROUNDDOWN(ROUNDUP(INDEX(Upgrades!$C$3:$C$13,MATCH(SUBSTITUTE(Q552,""Sell_"",""""),Upgrades!$B$3:$B$13,0))*1.15^(COUNTIF(Q$4:Q551,SUBSTITUTE(Q552,""Sell_"",""""))-COUNTIF(Q$4:Q551,"&amp;"""Sell_""&amp;SUBSTITUTE(Q552,""Sell_"",""""))))/2),ROUNDUP(INDEX(Upgrades!$C$3:$C$13,MATCH(Q552,Upgrades!$B$3:$B$13,0))*1.15^(COUNTIF(Q$4:Q551,Q552)-COUNTIF(Q$4:Q551,""Sell_""&amp;Q552))))))"),"")</f>
        <v/>
      </c>
      <c r="V552" s="10" t="str">
        <f t="shared" si="11"/>
        <v/>
      </c>
      <c r="W552" s="68" t="str">
        <f t="shared" si="12"/>
        <v/>
      </c>
      <c r="X552" s="59" t="str">
        <f t="shared" si="13"/>
        <v/>
      </c>
      <c r="Y552" s="69" t="str">
        <f t="shared" si="14"/>
        <v/>
      </c>
      <c r="Z552" s="11"/>
    </row>
    <row r="553">
      <c r="A553" s="8"/>
      <c r="B553" s="56" t="str">
        <f t="shared" si="2"/>
        <v/>
      </c>
      <c r="C553" s="105"/>
      <c r="D553" s="10"/>
      <c r="E553" s="59" t="str">
        <f t="array" ref="E553">IF(COUNTA(C553:C1673)=0,"",SUM((COUNTIF(C$4:C553,Upgrades!$B$3:$B$13)-COUNTIF(C$4:C553,"Sell_"&amp;Upgrades!$B$3:$B$13))*Upgrades!$D$3:$D$13))</f>
        <v/>
      </c>
      <c r="F553" s="66" t="str">
        <f>IFERROR(__xludf.DUMMYFUNCTION("IF(COUNTA(C553:C1673)=0,"""",IF(REGEXMATCH(INDEX(FILTER(C$4:C553,C$4:C553&lt;&gt;""""),ROWS(FILTER(C$4:C553,C$4:C553&lt;&gt;""""))),""^Sell_""),INDEX(FILTER(F$4:F552,C$4:C552&lt;&gt;""""),ROWS(FILTER(C$4:C552,C$4:C552&lt;&gt;""""))),$AC$5+E553))"),"")</f>
        <v/>
      </c>
      <c r="G553" s="10" t="str">
        <f>IFERROR(__xludf.DUMMYFUNCTION("IF(COUNTA(C553:C1673)=0,"""",IF(C553="""",0,IF(REGEXMATCH(C553,""^Sell_""),-ROUNDDOWN(ROUNDUP(INDEX(Upgrades!$C$3:$C$13,MATCH(SUBSTITUTE(C553,""Sell_"",""""),Upgrades!$B$3:$B$13,0))*1.15^(COUNTIF(C$4:C552,SUBSTITUTE(C553,""Sell_"",""""))-COUNTIF(C$4:C552,"&amp;"""Sell_""&amp;SUBSTITUTE(C553,""Sell_"",""""))))/2),ROUNDUP(INDEX(Upgrades!$C$3:$C$13,MATCH(C553,Upgrades!$B$3:$B$13,0))*1.15^(COUNTIF(C$4:C552,C553)-COUNTIF(C$4:C552,""Sell_""&amp;C553))))))"),"")</f>
        <v/>
      </c>
      <c r="H553" s="10" t="str">
        <f t="shared" si="3"/>
        <v/>
      </c>
      <c r="I553" s="68" t="str">
        <f t="shared" si="4"/>
        <v/>
      </c>
      <c r="J553" s="59" t="str">
        <f t="shared" si="5"/>
        <v/>
      </c>
      <c r="K553" s="69" t="str">
        <f t="shared" si="6"/>
        <v/>
      </c>
      <c r="L553" s="60" t="str">
        <f t="shared" si="7"/>
        <v/>
      </c>
      <c r="M553" s="61" t="str">
        <f>IFERROR(__xludf.DUMMYFUNCTION("IFS(AND(COUNTA(C553:C1673)=0,COUNTA(Q553:Q1673)=0),"""",OR(AND(K553&gt;=1000000000,OR(Y553&gt;=1000000000,COUNTA(Q553:Q1673)=0)),OR(Y553&gt;=1000000000,AND(COUNTA(C553:C1673)=0,P$3=TRUE))),
ROUNDDOWN((AB$1-AC$1)*MAX(INDEX(T$4:T1673,MATCH(LARGE(FILTER(Y$4:Y1673,Y$4"&amp;":Y1673&lt;1000000000),1),Y$4:Y1673)),INDEX(F$4:F1673,MATCH(LARGE(FILTER(K$4:K1673,K$4:K1673&lt;1000000000),1),K$4:K1673)))),AND(K553&lt;1000000000,COUNTA(C553:C1673)&gt;0,P$3=FALSE),
ROUNDDOWN(INDEX(Y$4:Y1673,MATCH(LARGE(FILTER(W$4:W1673,W$4:W1673&lt;=I553),1),W$4:W1673"&amp;"))+(I553-LARGE(FILTER(W$4:W1673,W$4:W1673&lt;=I553),1))*INDEX(T$4:T1673,MATCH(LARGE(FILTER(W$4:W1673,W$4:W1673&lt;=I553),1),W$4:W1673))-K553),1,
ROUNDDOWN(Y553-INDEX(K$4:K1673,MATCH(LARGE(FILTER(I$4:I1673,I$4:I1673&lt;=W553),1),I$4:I1673))-(W553-LARGE(FILTER(I$4:I"&amp;"1673,I$4:I1673&lt;=W553),1))*INDEX(F$4:F1673,MATCH(LARGE(FILTER(I$4:I1673,I$4:I1673&lt;=W553),1),I$4:I1673))))"),"")</f>
        <v/>
      </c>
      <c r="N553" s="60" t="str">
        <f t="shared" si="8"/>
        <v/>
      </c>
      <c r="O553" s="61" t="str">
        <f t="shared" si="9"/>
        <v/>
      </c>
      <c r="P553" s="56" t="str">
        <f t="shared" si="10"/>
        <v/>
      </c>
      <c r="Q553" s="105"/>
      <c r="R553" s="10"/>
      <c r="S553" s="59" t="str">
        <f t="array" ref="S553">IF(COUNTA(Q553:Q1673)=0,"",SUM((COUNTIF(Q$4:Q553,Upgrades!$B$3:$B$13)-COUNTIF(Q$4:Q553,"Sell_"&amp;Upgrades!$B$3:$B$13))*Upgrades!$D$3:$D$13))</f>
        <v/>
      </c>
      <c r="T553" s="66" t="str">
        <f>IFERROR(__xludf.DUMMYFUNCTION("IF(COUNTA(Q553:Q1673)=0,"""",IF(REGEXMATCH(INDEX(FILTER(Q$4:Q553,Q$4:Q553&lt;&gt;""""),ROWS(FILTER(Q$4:Q553,Q$4:Q553&lt;&gt;""""))),""^Sell_""),INDEX(FILTER(T$4:T552,Q$4:Q552&lt;&gt;""""),ROWS(FILTER(Q$4:Q552,Q$4:Q552&lt;&gt;""""))),$AD$5+S553))"),"")</f>
        <v/>
      </c>
      <c r="U553" s="10" t="str">
        <f>IFERROR(__xludf.DUMMYFUNCTION("IF(COUNTA(Q553:Q1673)=0,"""",IF(Q553="""",0,IF(REGEXMATCH(Q553,""^Sell_""),-ROUNDDOWN(ROUNDUP(INDEX(Upgrades!$C$3:$C$13,MATCH(SUBSTITUTE(Q553,""Sell_"",""""),Upgrades!$B$3:$B$13,0))*1.15^(COUNTIF(Q$4:Q552,SUBSTITUTE(Q553,""Sell_"",""""))-COUNTIF(Q$4:Q552,"&amp;"""Sell_""&amp;SUBSTITUTE(Q553,""Sell_"",""""))))/2),ROUNDUP(INDEX(Upgrades!$C$3:$C$13,MATCH(Q553,Upgrades!$B$3:$B$13,0))*1.15^(COUNTIF(Q$4:Q552,Q553)-COUNTIF(Q$4:Q552,""Sell_""&amp;Q553))))))"),"")</f>
        <v/>
      </c>
      <c r="V553" s="10" t="str">
        <f t="shared" si="11"/>
        <v/>
      </c>
      <c r="W553" s="68" t="str">
        <f t="shared" si="12"/>
        <v/>
      </c>
      <c r="X553" s="59" t="str">
        <f t="shared" si="13"/>
        <v/>
      </c>
      <c r="Y553" s="69" t="str">
        <f t="shared" si="14"/>
        <v/>
      </c>
      <c r="Z553" s="11"/>
    </row>
    <row r="554">
      <c r="A554" s="8"/>
      <c r="B554" s="56" t="str">
        <f t="shared" si="2"/>
        <v/>
      </c>
      <c r="C554" s="105"/>
      <c r="D554" s="10"/>
      <c r="E554" s="59" t="str">
        <f t="array" ref="E554">IF(COUNTA(C554:C1673)=0,"",SUM((COUNTIF(C$4:C554,Upgrades!$B$3:$B$13)-COUNTIF(C$4:C554,"Sell_"&amp;Upgrades!$B$3:$B$13))*Upgrades!$D$3:$D$13))</f>
        <v/>
      </c>
      <c r="F554" s="66" t="str">
        <f>IFERROR(__xludf.DUMMYFUNCTION("IF(COUNTA(C554:C1673)=0,"""",IF(REGEXMATCH(INDEX(FILTER(C$4:C554,C$4:C554&lt;&gt;""""),ROWS(FILTER(C$4:C554,C$4:C554&lt;&gt;""""))),""^Sell_""),INDEX(FILTER(F$4:F553,C$4:C553&lt;&gt;""""),ROWS(FILTER(C$4:C553,C$4:C553&lt;&gt;""""))),$AC$5+E554))"),"")</f>
        <v/>
      </c>
      <c r="G554" s="10" t="str">
        <f>IFERROR(__xludf.DUMMYFUNCTION("IF(COUNTA(C554:C1673)=0,"""",IF(C554="""",0,IF(REGEXMATCH(C554,""^Sell_""),-ROUNDDOWN(ROUNDUP(INDEX(Upgrades!$C$3:$C$13,MATCH(SUBSTITUTE(C554,""Sell_"",""""),Upgrades!$B$3:$B$13,0))*1.15^(COUNTIF(C$4:C553,SUBSTITUTE(C554,""Sell_"",""""))-COUNTIF(C$4:C553,"&amp;"""Sell_""&amp;SUBSTITUTE(C554,""Sell_"",""""))))/2),ROUNDUP(INDEX(Upgrades!$C$3:$C$13,MATCH(C554,Upgrades!$B$3:$B$13,0))*1.15^(COUNTIF(C$4:C553,C554)-COUNTIF(C$4:C553,""Sell_""&amp;C554))))))"),"")</f>
        <v/>
      </c>
      <c r="H554" s="10" t="str">
        <f t="shared" si="3"/>
        <v/>
      </c>
      <c r="I554" s="68" t="str">
        <f t="shared" si="4"/>
        <v/>
      </c>
      <c r="J554" s="59" t="str">
        <f t="shared" si="5"/>
        <v/>
      </c>
      <c r="K554" s="69" t="str">
        <f t="shared" si="6"/>
        <v/>
      </c>
      <c r="L554" s="60" t="str">
        <f t="shared" si="7"/>
        <v/>
      </c>
      <c r="M554" s="61" t="str">
        <f>IFERROR(__xludf.DUMMYFUNCTION("IFS(AND(COUNTA(C554:C1673)=0,COUNTA(Q554:Q1673)=0),"""",OR(AND(K554&gt;=1000000000,OR(Y554&gt;=1000000000,COUNTA(Q554:Q1673)=0)),OR(Y554&gt;=1000000000,AND(COUNTA(C554:C1673)=0,P$3=TRUE))),
ROUNDDOWN((AB$1-AC$1)*MAX(INDEX(T$4:T1673,MATCH(LARGE(FILTER(Y$4:Y1673,Y$4"&amp;":Y1673&lt;1000000000),1),Y$4:Y1673)),INDEX(F$4:F1673,MATCH(LARGE(FILTER(K$4:K1673,K$4:K1673&lt;1000000000),1),K$4:K1673)))),AND(K554&lt;1000000000,COUNTA(C554:C1673)&gt;0,P$3=FALSE),
ROUNDDOWN(INDEX(Y$4:Y1673,MATCH(LARGE(FILTER(W$4:W1673,W$4:W1673&lt;=I554),1),W$4:W1673"&amp;"))+(I554-LARGE(FILTER(W$4:W1673,W$4:W1673&lt;=I554),1))*INDEX(T$4:T1673,MATCH(LARGE(FILTER(W$4:W1673,W$4:W1673&lt;=I554),1),W$4:W1673))-K554),1,
ROUNDDOWN(Y554-INDEX(K$4:K1673,MATCH(LARGE(FILTER(I$4:I1673,I$4:I1673&lt;=W554),1),I$4:I1673))-(W554-LARGE(FILTER(I$4:I"&amp;"1673,I$4:I1673&lt;=W554),1))*INDEX(F$4:F1673,MATCH(LARGE(FILTER(I$4:I1673,I$4:I1673&lt;=W554),1),I$4:I1673))))"),"")</f>
        <v/>
      </c>
      <c r="N554" s="60" t="str">
        <f t="shared" si="8"/>
        <v/>
      </c>
      <c r="O554" s="61" t="str">
        <f t="shared" si="9"/>
        <v/>
      </c>
      <c r="P554" s="56" t="str">
        <f t="shared" si="10"/>
        <v/>
      </c>
      <c r="Q554" s="105"/>
      <c r="R554" s="10"/>
      <c r="S554" s="59" t="str">
        <f t="array" ref="S554">IF(COUNTA(Q554:Q1673)=0,"",SUM((COUNTIF(Q$4:Q554,Upgrades!$B$3:$B$13)-COUNTIF(Q$4:Q554,"Sell_"&amp;Upgrades!$B$3:$B$13))*Upgrades!$D$3:$D$13))</f>
        <v/>
      </c>
      <c r="T554" s="66" t="str">
        <f>IFERROR(__xludf.DUMMYFUNCTION("IF(COUNTA(Q554:Q1673)=0,"""",IF(REGEXMATCH(INDEX(FILTER(Q$4:Q554,Q$4:Q554&lt;&gt;""""),ROWS(FILTER(Q$4:Q554,Q$4:Q554&lt;&gt;""""))),""^Sell_""),INDEX(FILTER(T$4:T553,Q$4:Q553&lt;&gt;""""),ROWS(FILTER(Q$4:Q553,Q$4:Q553&lt;&gt;""""))),$AD$5+S554))"),"")</f>
        <v/>
      </c>
      <c r="U554" s="10" t="str">
        <f>IFERROR(__xludf.DUMMYFUNCTION("IF(COUNTA(Q554:Q1673)=0,"""",IF(Q554="""",0,IF(REGEXMATCH(Q554,""^Sell_""),-ROUNDDOWN(ROUNDUP(INDEX(Upgrades!$C$3:$C$13,MATCH(SUBSTITUTE(Q554,""Sell_"",""""),Upgrades!$B$3:$B$13,0))*1.15^(COUNTIF(Q$4:Q553,SUBSTITUTE(Q554,""Sell_"",""""))-COUNTIF(Q$4:Q553,"&amp;"""Sell_""&amp;SUBSTITUTE(Q554,""Sell_"",""""))))/2),ROUNDUP(INDEX(Upgrades!$C$3:$C$13,MATCH(Q554,Upgrades!$B$3:$B$13,0))*1.15^(COUNTIF(Q$4:Q553,Q554)-COUNTIF(Q$4:Q553,""Sell_""&amp;Q554))))))"),"")</f>
        <v/>
      </c>
      <c r="V554" s="10" t="str">
        <f t="shared" si="11"/>
        <v/>
      </c>
      <c r="W554" s="68" t="str">
        <f t="shared" si="12"/>
        <v/>
      </c>
      <c r="X554" s="59" t="str">
        <f t="shared" si="13"/>
        <v/>
      </c>
      <c r="Y554" s="69" t="str">
        <f t="shared" si="14"/>
        <v/>
      </c>
      <c r="Z554" s="11"/>
    </row>
    <row r="555">
      <c r="A555" s="8"/>
      <c r="B555" s="56" t="str">
        <f t="shared" si="2"/>
        <v/>
      </c>
      <c r="C555" s="105"/>
      <c r="D555" s="10"/>
      <c r="E555" s="59" t="str">
        <f t="array" ref="E555">IF(COUNTA(C555:C1673)=0,"",SUM((COUNTIF(C$4:C555,Upgrades!$B$3:$B$13)-COUNTIF(C$4:C555,"Sell_"&amp;Upgrades!$B$3:$B$13))*Upgrades!$D$3:$D$13))</f>
        <v/>
      </c>
      <c r="F555" s="66" t="str">
        <f>IFERROR(__xludf.DUMMYFUNCTION("IF(COUNTA(C555:C1673)=0,"""",IF(REGEXMATCH(INDEX(FILTER(C$4:C555,C$4:C555&lt;&gt;""""),ROWS(FILTER(C$4:C555,C$4:C555&lt;&gt;""""))),""^Sell_""),INDEX(FILTER(F$4:F554,C$4:C554&lt;&gt;""""),ROWS(FILTER(C$4:C554,C$4:C554&lt;&gt;""""))),$AC$5+E555))"),"")</f>
        <v/>
      </c>
      <c r="G555" s="10" t="str">
        <f>IFERROR(__xludf.DUMMYFUNCTION("IF(COUNTA(C555:C1673)=0,"""",IF(C555="""",0,IF(REGEXMATCH(C555,""^Sell_""),-ROUNDDOWN(ROUNDUP(INDEX(Upgrades!$C$3:$C$13,MATCH(SUBSTITUTE(C555,""Sell_"",""""),Upgrades!$B$3:$B$13,0))*1.15^(COUNTIF(C$4:C554,SUBSTITUTE(C555,""Sell_"",""""))-COUNTIF(C$4:C554,"&amp;"""Sell_""&amp;SUBSTITUTE(C555,""Sell_"",""""))))/2),ROUNDUP(INDEX(Upgrades!$C$3:$C$13,MATCH(C555,Upgrades!$B$3:$B$13,0))*1.15^(COUNTIF(C$4:C554,C555)-COUNTIF(C$4:C554,""Sell_""&amp;C555))))))"),"")</f>
        <v/>
      </c>
      <c r="H555" s="10" t="str">
        <f t="shared" si="3"/>
        <v/>
      </c>
      <c r="I555" s="68" t="str">
        <f t="shared" si="4"/>
        <v/>
      </c>
      <c r="J555" s="59" t="str">
        <f t="shared" si="5"/>
        <v/>
      </c>
      <c r="K555" s="69" t="str">
        <f t="shared" si="6"/>
        <v/>
      </c>
      <c r="L555" s="60" t="str">
        <f t="shared" si="7"/>
        <v/>
      </c>
      <c r="M555" s="61" t="str">
        <f>IFERROR(__xludf.DUMMYFUNCTION("IFS(AND(COUNTA(C555:C1673)=0,COUNTA(Q555:Q1673)=0),"""",OR(AND(K555&gt;=1000000000,OR(Y555&gt;=1000000000,COUNTA(Q555:Q1673)=0)),OR(Y555&gt;=1000000000,AND(COUNTA(C555:C1673)=0,P$3=TRUE))),
ROUNDDOWN((AB$1-AC$1)*MAX(INDEX(T$4:T1673,MATCH(LARGE(FILTER(Y$4:Y1673,Y$4"&amp;":Y1673&lt;1000000000),1),Y$4:Y1673)),INDEX(F$4:F1673,MATCH(LARGE(FILTER(K$4:K1673,K$4:K1673&lt;1000000000),1),K$4:K1673)))),AND(K555&lt;1000000000,COUNTA(C555:C1673)&gt;0,P$3=FALSE),
ROUNDDOWN(INDEX(Y$4:Y1673,MATCH(LARGE(FILTER(W$4:W1673,W$4:W1673&lt;=I555),1),W$4:W1673"&amp;"))+(I555-LARGE(FILTER(W$4:W1673,W$4:W1673&lt;=I555),1))*INDEX(T$4:T1673,MATCH(LARGE(FILTER(W$4:W1673,W$4:W1673&lt;=I555),1),W$4:W1673))-K555),1,
ROUNDDOWN(Y555-INDEX(K$4:K1673,MATCH(LARGE(FILTER(I$4:I1673,I$4:I1673&lt;=W555),1),I$4:I1673))-(W555-LARGE(FILTER(I$4:I"&amp;"1673,I$4:I1673&lt;=W555),1))*INDEX(F$4:F1673,MATCH(LARGE(FILTER(I$4:I1673,I$4:I1673&lt;=W555),1),I$4:I1673))))"),"")</f>
        <v/>
      </c>
      <c r="N555" s="60" t="str">
        <f t="shared" si="8"/>
        <v/>
      </c>
      <c r="O555" s="61" t="str">
        <f t="shared" si="9"/>
        <v/>
      </c>
      <c r="P555" s="56" t="str">
        <f t="shared" si="10"/>
        <v/>
      </c>
      <c r="Q555" s="105"/>
      <c r="R555" s="10"/>
      <c r="S555" s="59" t="str">
        <f t="array" ref="S555">IF(COUNTA(Q555:Q1673)=0,"",SUM((COUNTIF(Q$4:Q555,Upgrades!$B$3:$B$13)-COUNTIF(Q$4:Q555,"Sell_"&amp;Upgrades!$B$3:$B$13))*Upgrades!$D$3:$D$13))</f>
        <v/>
      </c>
      <c r="T555" s="66" t="str">
        <f>IFERROR(__xludf.DUMMYFUNCTION("IF(COUNTA(Q555:Q1673)=0,"""",IF(REGEXMATCH(INDEX(FILTER(Q$4:Q555,Q$4:Q555&lt;&gt;""""),ROWS(FILTER(Q$4:Q555,Q$4:Q555&lt;&gt;""""))),""^Sell_""),INDEX(FILTER(T$4:T554,Q$4:Q554&lt;&gt;""""),ROWS(FILTER(Q$4:Q554,Q$4:Q554&lt;&gt;""""))),$AD$5+S555))"),"")</f>
        <v/>
      </c>
      <c r="U555" s="10" t="str">
        <f>IFERROR(__xludf.DUMMYFUNCTION("IF(COUNTA(Q555:Q1673)=0,"""",IF(Q555="""",0,IF(REGEXMATCH(Q555,""^Sell_""),-ROUNDDOWN(ROUNDUP(INDEX(Upgrades!$C$3:$C$13,MATCH(SUBSTITUTE(Q555,""Sell_"",""""),Upgrades!$B$3:$B$13,0))*1.15^(COUNTIF(Q$4:Q554,SUBSTITUTE(Q555,""Sell_"",""""))-COUNTIF(Q$4:Q554,"&amp;"""Sell_""&amp;SUBSTITUTE(Q555,""Sell_"",""""))))/2),ROUNDUP(INDEX(Upgrades!$C$3:$C$13,MATCH(Q555,Upgrades!$B$3:$B$13,0))*1.15^(COUNTIF(Q$4:Q554,Q555)-COUNTIF(Q$4:Q554,""Sell_""&amp;Q555))))))"),"")</f>
        <v/>
      </c>
      <c r="V555" s="10" t="str">
        <f t="shared" si="11"/>
        <v/>
      </c>
      <c r="W555" s="68" t="str">
        <f t="shared" si="12"/>
        <v/>
      </c>
      <c r="X555" s="59" t="str">
        <f t="shared" si="13"/>
        <v/>
      </c>
      <c r="Y555" s="69" t="str">
        <f t="shared" si="14"/>
        <v/>
      </c>
      <c r="Z555" s="11"/>
    </row>
    <row r="556">
      <c r="A556" s="8"/>
      <c r="B556" s="56" t="str">
        <f t="shared" si="2"/>
        <v/>
      </c>
      <c r="C556" s="105"/>
      <c r="D556" s="10"/>
      <c r="E556" s="59" t="str">
        <f t="array" ref="E556">IF(COUNTA(C556:C1673)=0,"",SUM((COUNTIF(C$4:C556,Upgrades!$B$3:$B$13)-COUNTIF(C$4:C556,"Sell_"&amp;Upgrades!$B$3:$B$13))*Upgrades!$D$3:$D$13))</f>
        <v/>
      </c>
      <c r="F556" s="66" t="str">
        <f>IFERROR(__xludf.DUMMYFUNCTION("IF(COUNTA(C556:C1673)=0,"""",IF(REGEXMATCH(INDEX(FILTER(C$4:C556,C$4:C556&lt;&gt;""""),ROWS(FILTER(C$4:C556,C$4:C556&lt;&gt;""""))),""^Sell_""),INDEX(FILTER(F$4:F555,C$4:C555&lt;&gt;""""),ROWS(FILTER(C$4:C555,C$4:C555&lt;&gt;""""))),$AC$5+E556))"),"")</f>
        <v/>
      </c>
      <c r="G556" s="10" t="str">
        <f>IFERROR(__xludf.DUMMYFUNCTION("IF(COUNTA(C556:C1673)=0,"""",IF(C556="""",0,IF(REGEXMATCH(C556,""^Sell_""),-ROUNDDOWN(ROUNDUP(INDEX(Upgrades!$C$3:$C$13,MATCH(SUBSTITUTE(C556,""Sell_"",""""),Upgrades!$B$3:$B$13,0))*1.15^(COUNTIF(C$4:C555,SUBSTITUTE(C556,""Sell_"",""""))-COUNTIF(C$4:C555,"&amp;"""Sell_""&amp;SUBSTITUTE(C556,""Sell_"",""""))))/2),ROUNDUP(INDEX(Upgrades!$C$3:$C$13,MATCH(C556,Upgrades!$B$3:$B$13,0))*1.15^(COUNTIF(C$4:C555,C556)-COUNTIF(C$4:C555,""Sell_""&amp;C556))))))"),"")</f>
        <v/>
      </c>
      <c r="H556" s="10" t="str">
        <f t="shared" si="3"/>
        <v/>
      </c>
      <c r="I556" s="68" t="str">
        <f t="shared" si="4"/>
        <v/>
      </c>
      <c r="J556" s="59" t="str">
        <f t="shared" si="5"/>
        <v/>
      </c>
      <c r="K556" s="69" t="str">
        <f t="shared" si="6"/>
        <v/>
      </c>
      <c r="L556" s="60" t="str">
        <f t="shared" si="7"/>
        <v/>
      </c>
      <c r="M556" s="61" t="str">
        <f>IFERROR(__xludf.DUMMYFUNCTION("IFS(AND(COUNTA(C556:C1673)=0,COUNTA(Q556:Q1673)=0),"""",OR(AND(K556&gt;=1000000000,OR(Y556&gt;=1000000000,COUNTA(Q556:Q1673)=0)),OR(Y556&gt;=1000000000,AND(COUNTA(C556:C1673)=0,P$3=TRUE))),
ROUNDDOWN((AB$1-AC$1)*MAX(INDEX(T$4:T1673,MATCH(LARGE(FILTER(Y$4:Y1673,Y$4"&amp;":Y1673&lt;1000000000),1),Y$4:Y1673)),INDEX(F$4:F1673,MATCH(LARGE(FILTER(K$4:K1673,K$4:K1673&lt;1000000000),1),K$4:K1673)))),AND(K556&lt;1000000000,COUNTA(C556:C1673)&gt;0,P$3=FALSE),
ROUNDDOWN(INDEX(Y$4:Y1673,MATCH(LARGE(FILTER(W$4:W1673,W$4:W1673&lt;=I556),1),W$4:W1673"&amp;"))+(I556-LARGE(FILTER(W$4:W1673,W$4:W1673&lt;=I556),1))*INDEX(T$4:T1673,MATCH(LARGE(FILTER(W$4:W1673,W$4:W1673&lt;=I556),1),W$4:W1673))-K556),1,
ROUNDDOWN(Y556-INDEX(K$4:K1673,MATCH(LARGE(FILTER(I$4:I1673,I$4:I1673&lt;=W556),1),I$4:I1673))-(W556-LARGE(FILTER(I$4:I"&amp;"1673,I$4:I1673&lt;=W556),1))*INDEX(F$4:F1673,MATCH(LARGE(FILTER(I$4:I1673,I$4:I1673&lt;=W556),1),I$4:I1673))))"),"")</f>
        <v/>
      </c>
      <c r="N556" s="60" t="str">
        <f t="shared" si="8"/>
        <v/>
      </c>
      <c r="O556" s="61" t="str">
        <f t="shared" si="9"/>
        <v/>
      </c>
      <c r="P556" s="56" t="str">
        <f t="shared" si="10"/>
        <v/>
      </c>
      <c r="Q556" s="105"/>
      <c r="R556" s="10"/>
      <c r="S556" s="59" t="str">
        <f t="array" ref="S556">IF(COUNTA(Q556:Q1673)=0,"",SUM((COUNTIF(Q$4:Q556,Upgrades!$B$3:$B$13)-COUNTIF(Q$4:Q556,"Sell_"&amp;Upgrades!$B$3:$B$13))*Upgrades!$D$3:$D$13))</f>
        <v/>
      </c>
      <c r="T556" s="66" t="str">
        <f>IFERROR(__xludf.DUMMYFUNCTION("IF(COUNTA(Q556:Q1673)=0,"""",IF(REGEXMATCH(INDEX(FILTER(Q$4:Q556,Q$4:Q556&lt;&gt;""""),ROWS(FILTER(Q$4:Q556,Q$4:Q556&lt;&gt;""""))),""^Sell_""),INDEX(FILTER(T$4:T555,Q$4:Q555&lt;&gt;""""),ROWS(FILTER(Q$4:Q555,Q$4:Q555&lt;&gt;""""))),$AD$5+S556))"),"")</f>
        <v/>
      </c>
      <c r="U556" s="10" t="str">
        <f>IFERROR(__xludf.DUMMYFUNCTION("IF(COUNTA(Q556:Q1673)=0,"""",IF(Q556="""",0,IF(REGEXMATCH(Q556,""^Sell_""),-ROUNDDOWN(ROUNDUP(INDEX(Upgrades!$C$3:$C$13,MATCH(SUBSTITUTE(Q556,""Sell_"",""""),Upgrades!$B$3:$B$13,0))*1.15^(COUNTIF(Q$4:Q555,SUBSTITUTE(Q556,""Sell_"",""""))-COUNTIF(Q$4:Q555,"&amp;"""Sell_""&amp;SUBSTITUTE(Q556,""Sell_"",""""))))/2),ROUNDUP(INDEX(Upgrades!$C$3:$C$13,MATCH(Q556,Upgrades!$B$3:$B$13,0))*1.15^(COUNTIF(Q$4:Q555,Q556)-COUNTIF(Q$4:Q555,""Sell_""&amp;Q556))))))"),"")</f>
        <v/>
      </c>
      <c r="V556" s="10" t="str">
        <f t="shared" si="11"/>
        <v/>
      </c>
      <c r="W556" s="68" t="str">
        <f t="shared" si="12"/>
        <v/>
      </c>
      <c r="X556" s="59" t="str">
        <f t="shared" si="13"/>
        <v/>
      </c>
      <c r="Y556" s="69" t="str">
        <f t="shared" si="14"/>
        <v/>
      </c>
      <c r="Z556" s="11"/>
    </row>
    <row r="557">
      <c r="A557" s="8"/>
      <c r="B557" s="56" t="str">
        <f t="shared" si="2"/>
        <v/>
      </c>
      <c r="C557" s="105"/>
      <c r="D557" s="10"/>
      <c r="E557" s="59" t="str">
        <f t="array" ref="E557">IF(COUNTA(C557:C1673)=0,"",SUM((COUNTIF(C$4:C557,Upgrades!$B$3:$B$13)-COUNTIF(C$4:C557,"Sell_"&amp;Upgrades!$B$3:$B$13))*Upgrades!$D$3:$D$13))</f>
        <v/>
      </c>
      <c r="F557" s="66" t="str">
        <f>IFERROR(__xludf.DUMMYFUNCTION("IF(COUNTA(C557:C1673)=0,"""",IF(REGEXMATCH(INDEX(FILTER(C$4:C557,C$4:C557&lt;&gt;""""),ROWS(FILTER(C$4:C557,C$4:C557&lt;&gt;""""))),""^Sell_""),INDEX(FILTER(F$4:F556,C$4:C556&lt;&gt;""""),ROWS(FILTER(C$4:C556,C$4:C556&lt;&gt;""""))),$AC$5+E557))"),"")</f>
        <v/>
      </c>
      <c r="G557" s="10" t="str">
        <f>IFERROR(__xludf.DUMMYFUNCTION("IF(COUNTA(C557:C1673)=0,"""",IF(C557="""",0,IF(REGEXMATCH(C557,""^Sell_""),-ROUNDDOWN(ROUNDUP(INDEX(Upgrades!$C$3:$C$13,MATCH(SUBSTITUTE(C557,""Sell_"",""""),Upgrades!$B$3:$B$13,0))*1.15^(COUNTIF(C$4:C556,SUBSTITUTE(C557,""Sell_"",""""))-COUNTIF(C$4:C556,"&amp;"""Sell_""&amp;SUBSTITUTE(C557,""Sell_"",""""))))/2),ROUNDUP(INDEX(Upgrades!$C$3:$C$13,MATCH(C557,Upgrades!$B$3:$B$13,0))*1.15^(COUNTIF(C$4:C556,C557)-COUNTIF(C$4:C556,""Sell_""&amp;C557))))))"),"")</f>
        <v/>
      </c>
      <c r="H557" s="10" t="str">
        <f t="shared" si="3"/>
        <v/>
      </c>
      <c r="I557" s="68" t="str">
        <f t="shared" si="4"/>
        <v/>
      </c>
      <c r="J557" s="59" t="str">
        <f t="shared" si="5"/>
        <v/>
      </c>
      <c r="K557" s="69" t="str">
        <f t="shared" si="6"/>
        <v/>
      </c>
      <c r="L557" s="60" t="str">
        <f t="shared" si="7"/>
        <v/>
      </c>
      <c r="M557" s="61" t="str">
        <f>IFERROR(__xludf.DUMMYFUNCTION("IFS(AND(COUNTA(C557:C1673)=0,COUNTA(Q557:Q1673)=0),"""",OR(AND(K557&gt;=1000000000,OR(Y557&gt;=1000000000,COUNTA(Q557:Q1673)=0)),OR(Y557&gt;=1000000000,AND(COUNTA(C557:C1673)=0,P$3=TRUE))),
ROUNDDOWN((AB$1-AC$1)*MAX(INDEX(T$4:T1673,MATCH(LARGE(FILTER(Y$4:Y1673,Y$4"&amp;":Y1673&lt;1000000000),1),Y$4:Y1673)),INDEX(F$4:F1673,MATCH(LARGE(FILTER(K$4:K1673,K$4:K1673&lt;1000000000),1),K$4:K1673)))),AND(K557&lt;1000000000,COUNTA(C557:C1673)&gt;0,P$3=FALSE),
ROUNDDOWN(INDEX(Y$4:Y1673,MATCH(LARGE(FILTER(W$4:W1673,W$4:W1673&lt;=I557),1),W$4:W1673"&amp;"))+(I557-LARGE(FILTER(W$4:W1673,W$4:W1673&lt;=I557),1))*INDEX(T$4:T1673,MATCH(LARGE(FILTER(W$4:W1673,W$4:W1673&lt;=I557),1),W$4:W1673))-K557),1,
ROUNDDOWN(Y557-INDEX(K$4:K1673,MATCH(LARGE(FILTER(I$4:I1673,I$4:I1673&lt;=W557),1),I$4:I1673))-(W557-LARGE(FILTER(I$4:I"&amp;"1673,I$4:I1673&lt;=W557),1))*INDEX(F$4:F1673,MATCH(LARGE(FILTER(I$4:I1673,I$4:I1673&lt;=W557),1),I$4:I1673))))"),"")</f>
        <v/>
      </c>
      <c r="N557" s="60" t="str">
        <f t="shared" si="8"/>
        <v/>
      </c>
      <c r="O557" s="61" t="str">
        <f t="shared" si="9"/>
        <v/>
      </c>
      <c r="P557" s="56" t="str">
        <f t="shared" si="10"/>
        <v/>
      </c>
      <c r="Q557" s="105"/>
      <c r="R557" s="10"/>
      <c r="S557" s="59" t="str">
        <f t="array" ref="S557">IF(COUNTA(Q557:Q1673)=0,"",SUM((COUNTIF(Q$4:Q557,Upgrades!$B$3:$B$13)-COUNTIF(Q$4:Q557,"Sell_"&amp;Upgrades!$B$3:$B$13))*Upgrades!$D$3:$D$13))</f>
        <v/>
      </c>
      <c r="T557" s="66" t="str">
        <f>IFERROR(__xludf.DUMMYFUNCTION("IF(COUNTA(Q557:Q1673)=0,"""",IF(REGEXMATCH(INDEX(FILTER(Q$4:Q557,Q$4:Q557&lt;&gt;""""),ROWS(FILTER(Q$4:Q557,Q$4:Q557&lt;&gt;""""))),""^Sell_""),INDEX(FILTER(T$4:T556,Q$4:Q556&lt;&gt;""""),ROWS(FILTER(Q$4:Q556,Q$4:Q556&lt;&gt;""""))),$AD$5+S557))"),"")</f>
        <v/>
      </c>
      <c r="U557" s="10" t="str">
        <f>IFERROR(__xludf.DUMMYFUNCTION("IF(COUNTA(Q557:Q1673)=0,"""",IF(Q557="""",0,IF(REGEXMATCH(Q557,""^Sell_""),-ROUNDDOWN(ROUNDUP(INDEX(Upgrades!$C$3:$C$13,MATCH(SUBSTITUTE(Q557,""Sell_"",""""),Upgrades!$B$3:$B$13,0))*1.15^(COUNTIF(Q$4:Q556,SUBSTITUTE(Q557,""Sell_"",""""))-COUNTIF(Q$4:Q556,"&amp;"""Sell_""&amp;SUBSTITUTE(Q557,""Sell_"",""""))))/2),ROUNDUP(INDEX(Upgrades!$C$3:$C$13,MATCH(Q557,Upgrades!$B$3:$B$13,0))*1.15^(COUNTIF(Q$4:Q556,Q557)-COUNTIF(Q$4:Q556,""Sell_""&amp;Q557))))))"),"")</f>
        <v/>
      </c>
      <c r="V557" s="10" t="str">
        <f t="shared" si="11"/>
        <v/>
      </c>
      <c r="W557" s="68" t="str">
        <f t="shared" si="12"/>
        <v/>
      </c>
      <c r="X557" s="59" t="str">
        <f t="shared" si="13"/>
        <v/>
      </c>
      <c r="Y557" s="69" t="str">
        <f t="shared" si="14"/>
        <v/>
      </c>
      <c r="Z557" s="11"/>
    </row>
    <row r="558">
      <c r="A558" s="8"/>
      <c r="B558" s="56" t="str">
        <f t="shared" si="2"/>
        <v/>
      </c>
      <c r="C558" s="105"/>
      <c r="D558" s="10"/>
      <c r="E558" s="59" t="str">
        <f t="array" ref="E558">IF(COUNTA(C558:C1673)=0,"",SUM((COUNTIF(C$4:C558,Upgrades!$B$3:$B$13)-COUNTIF(C$4:C558,"Sell_"&amp;Upgrades!$B$3:$B$13))*Upgrades!$D$3:$D$13))</f>
        <v/>
      </c>
      <c r="F558" s="66" t="str">
        <f>IFERROR(__xludf.DUMMYFUNCTION("IF(COUNTA(C558:C1673)=0,"""",IF(REGEXMATCH(INDEX(FILTER(C$4:C558,C$4:C558&lt;&gt;""""),ROWS(FILTER(C$4:C558,C$4:C558&lt;&gt;""""))),""^Sell_""),INDEX(FILTER(F$4:F557,C$4:C557&lt;&gt;""""),ROWS(FILTER(C$4:C557,C$4:C557&lt;&gt;""""))),$AC$5+E558))"),"")</f>
        <v/>
      </c>
      <c r="G558" s="10" t="str">
        <f>IFERROR(__xludf.DUMMYFUNCTION("IF(COUNTA(C558:C1673)=0,"""",IF(C558="""",0,IF(REGEXMATCH(C558,""^Sell_""),-ROUNDDOWN(ROUNDUP(INDEX(Upgrades!$C$3:$C$13,MATCH(SUBSTITUTE(C558,""Sell_"",""""),Upgrades!$B$3:$B$13,0))*1.15^(COUNTIF(C$4:C557,SUBSTITUTE(C558,""Sell_"",""""))-COUNTIF(C$4:C557,"&amp;"""Sell_""&amp;SUBSTITUTE(C558,""Sell_"",""""))))/2),ROUNDUP(INDEX(Upgrades!$C$3:$C$13,MATCH(C558,Upgrades!$B$3:$B$13,0))*1.15^(COUNTIF(C$4:C557,C558)-COUNTIF(C$4:C557,""Sell_""&amp;C558))))))"),"")</f>
        <v/>
      </c>
      <c r="H558" s="10" t="str">
        <f t="shared" si="3"/>
        <v/>
      </c>
      <c r="I558" s="68" t="str">
        <f t="shared" si="4"/>
        <v/>
      </c>
      <c r="J558" s="59" t="str">
        <f t="shared" si="5"/>
        <v/>
      </c>
      <c r="K558" s="69" t="str">
        <f t="shared" si="6"/>
        <v/>
      </c>
      <c r="L558" s="60" t="str">
        <f t="shared" si="7"/>
        <v/>
      </c>
      <c r="M558" s="61" t="str">
        <f>IFERROR(__xludf.DUMMYFUNCTION("IFS(AND(COUNTA(C558:C1673)=0,COUNTA(Q558:Q1673)=0),"""",OR(AND(K558&gt;=1000000000,OR(Y558&gt;=1000000000,COUNTA(Q558:Q1673)=0)),OR(Y558&gt;=1000000000,AND(COUNTA(C558:C1673)=0,P$3=TRUE))),
ROUNDDOWN((AB$1-AC$1)*MAX(INDEX(T$4:T1673,MATCH(LARGE(FILTER(Y$4:Y1673,Y$4"&amp;":Y1673&lt;1000000000),1),Y$4:Y1673)),INDEX(F$4:F1673,MATCH(LARGE(FILTER(K$4:K1673,K$4:K1673&lt;1000000000),1),K$4:K1673)))),AND(K558&lt;1000000000,COUNTA(C558:C1673)&gt;0,P$3=FALSE),
ROUNDDOWN(INDEX(Y$4:Y1673,MATCH(LARGE(FILTER(W$4:W1673,W$4:W1673&lt;=I558),1),W$4:W1673"&amp;"))+(I558-LARGE(FILTER(W$4:W1673,W$4:W1673&lt;=I558),1))*INDEX(T$4:T1673,MATCH(LARGE(FILTER(W$4:W1673,W$4:W1673&lt;=I558),1),W$4:W1673))-K558),1,
ROUNDDOWN(Y558-INDEX(K$4:K1673,MATCH(LARGE(FILTER(I$4:I1673,I$4:I1673&lt;=W558),1),I$4:I1673))-(W558-LARGE(FILTER(I$4:I"&amp;"1673,I$4:I1673&lt;=W558),1))*INDEX(F$4:F1673,MATCH(LARGE(FILTER(I$4:I1673,I$4:I1673&lt;=W558),1),I$4:I1673))))"),"")</f>
        <v/>
      </c>
      <c r="N558" s="60" t="str">
        <f t="shared" si="8"/>
        <v/>
      </c>
      <c r="O558" s="61" t="str">
        <f t="shared" si="9"/>
        <v/>
      </c>
      <c r="P558" s="56" t="str">
        <f t="shared" si="10"/>
        <v/>
      </c>
      <c r="Q558" s="105"/>
      <c r="R558" s="10"/>
      <c r="S558" s="59" t="str">
        <f t="array" ref="S558">IF(COUNTA(Q558:Q1673)=0,"",SUM((COUNTIF(Q$4:Q558,Upgrades!$B$3:$B$13)-COUNTIF(Q$4:Q558,"Sell_"&amp;Upgrades!$B$3:$B$13))*Upgrades!$D$3:$D$13))</f>
        <v/>
      </c>
      <c r="T558" s="66" t="str">
        <f>IFERROR(__xludf.DUMMYFUNCTION("IF(COUNTA(Q558:Q1673)=0,"""",IF(REGEXMATCH(INDEX(FILTER(Q$4:Q558,Q$4:Q558&lt;&gt;""""),ROWS(FILTER(Q$4:Q558,Q$4:Q558&lt;&gt;""""))),""^Sell_""),INDEX(FILTER(T$4:T557,Q$4:Q557&lt;&gt;""""),ROWS(FILTER(Q$4:Q557,Q$4:Q557&lt;&gt;""""))),$AD$5+S558))"),"")</f>
        <v/>
      </c>
      <c r="U558" s="10" t="str">
        <f>IFERROR(__xludf.DUMMYFUNCTION("IF(COUNTA(Q558:Q1673)=0,"""",IF(Q558="""",0,IF(REGEXMATCH(Q558,""^Sell_""),-ROUNDDOWN(ROUNDUP(INDEX(Upgrades!$C$3:$C$13,MATCH(SUBSTITUTE(Q558,""Sell_"",""""),Upgrades!$B$3:$B$13,0))*1.15^(COUNTIF(Q$4:Q557,SUBSTITUTE(Q558,""Sell_"",""""))-COUNTIF(Q$4:Q557,"&amp;"""Sell_""&amp;SUBSTITUTE(Q558,""Sell_"",""""))))/2),ROUNDUP(INDEX(Upgrades!$C$3:$C$13,MATCH(Q558,Upgrades!$B$3:$B$13,0))*1.15^(COUNTIF(Q$4:Q557,Q558)-COUNTIF(Q$4:Q557,""Sell_""&amp;Q558))))))"),"")</f>
        <v/>
      </c>
      <c r="V558" s="10" t="str">
        <f t="shared" si="11"/>
        <v/>
      </c>
      <c r="W558" s="68" t="str">
        <f t="shared" si="12"/>
        <v/>
      </c>
      <c r="X558" s="59" t="str">
        <f t="shared" si="13"/>
        <v/>
      </c>
      <c r="Y558" s="69" t="str">
        <f t="shared" si="14"/>
        <v/>
      </c>
      <c r="Z558" s="11"/>
    </row>
    <row r="559">
      <c r="A559" s="8"/>
      <c r="B559" s="56" t="str">
        <f t="shared" si="2"/>
        <v/>
      </c>
      <c r="C559" s="105"/>
      <c r="D559" s="10"/>
      <c r="E559" s="59" t="str">
        <f t="array" ref="E559">IF(COUNTA(C559:C1673)=0,"",SUM((COUNTIF(C$4:C559,Upgrades!$B$3:$B$13)-COUNTIF(C$4:C559,"Sell_"&amp;Upgrades!$B$3:$B$13))*Upgrades!$D$3:$D$13))</f>
        <v/>
      </c>
      <c r="F559" s="66" t="str">
        <f>IFERROR(__xludf.DUMMYFUNCTION("IF(COUNTA(C559:C1673)=0,"""",IF(REGEXMATCH(INDEX(FILTER(C$4:C559,C$4:C559&lt;&gt;""""),ROWS(FILTER(C$4:C559,C$4:C559&lt;&gt;""""))),""^Sell_""),INDEX(FILTER(F$4:F558,C$4:C558&lt;&gt;""""),ROWS(FILTER(C$4:C558,C$4:C558&lt;&gt;""""))),$AC$5+E559))"),"")</f>
        <v/>
      </c>
      <c r="G559" s="10" t="str">
        <f>IFERROR(__xludf.DUMMYFUNCTION("IF(COUNTA(C559:C1673)=0,"""",IF(C559="""",0,IF(REGEXMATCH(C559,""^Sell_""),-ROUNDDOWN(ROUNDUP(INDEX(Upgrades!$C$3:$C$13,MATCH(SUBSTITUTE(C559,""Sell_"",""""),Upgrades!$B$3:$B$13,0))*1.15^(COUNTIF(C$4:C558,SUBSTITUTE(C559,""Sell_"",""""))-COUNTIF(C$4:C558,"&amp;"""Sell_""&amp;SUBSTITUTE(C559,""Sell_"",""""))))/2),ROUNDUP(INDEX(Upgrades!$C$3:$C$13,MATCH(C559,Upgrades!$B$3:$B$13,0))*1.15^(COUNTIF(C$4:C558,C559)-COUNTIF(C$4:C558,""Sell_""&amp;C559))))))"),"")</f>
        <v/>
      </c>
      <c r="H559" s="10" t="str">
        <f t="shared" si="3"/>
        <v/>
      </c>
      <c r="I559" s="68" t="str">
        <f t="shared" si="4"/>
        <v/>
      </c>
      <c r="J559" s="59" t="str">
        <f t="shared" si="5"/>
        <v/>
      </c>
      <c r="K559" s="69" t="str">
        <f t="shared" si="6"/>
        <v/>
      </c>
      <c r="L559" s="60" t="str">
        <f t="shared" si="7"/>
        <v/>
      </c>
      <c r="M559" s="61" t="str">
        <f>IFERROR(__xludf.DUMMYFUNCTION("IFS(AND(COUNTA(C559:C1673)=0,COUNTA(Q559:Q1673)=0),"""",OR(AND(K559&gt;=1000000000,OR(Y559&gt;=1000000000,COUNTA(Q559:Q1673)=0)),OR(Y559&gt;=1000000000,AND(COUNTA(C559:C1673)=0,P$3=TRUE))),
ROUNDDOWN((AB$1-AC$1)*MAX(INDEX(T$4:T1673,MATCH(LARGE(FILTER(Y$4:Y1673,Y$4"&amp;":Y1673&lt;1000000000),1),Y$4:Y1673)),INDEX(F$4:F1673,MATCH(LARGE(FILTER(K$4:K1673,K$4:K1673&lt;1000000000),1),K$4:K1673)))),AND(K559&lt;1000000000,COUNTA(C559:C1673)&gt;0,P$3=FALSE),
ROUNDDOWN(INDEX(Y$4:Y1673,MATCH(LARGE(FILTER(W$4:W1673,W$4:W1673&lt;=I559),1),W$4:W1673"&amp;"))+(I559-LARGE(FILTER(W$4:W1673,W$4:W1673&lt;=I559),1))*INDEX(T$4:T1673,MATCH(LARGE(FILTER(W$4:W1673,W$4:W1673&lt;=I559),1),W$4:W1673))-K559),1,
ROUNDDOWN(Y559-INDEX(K$4:K1673,MATCH(LARGE(FILTER(I$4:I1673,I$4:I1673&lt;=W559),1),I$4:I1673))-(W559-LARGE(FILTER(I$4:I"&amp;"1673,I$4:I1673&lt;=W559),1))*INDEX(F$4:F1673,MATCH(LARGE(FILTER(I$4:I1673,I$4:I1673&lt;=W559),1),I$4:I1673))))"),"")</f>
        <v/>
      </c>
      <c r="N559" s="60" t="str">
        <f t="shared" si="8"/>
        <v/>
      </c>
      <c r="O559" s="61" t="str">
        <f t="shared" si="9"/>
        <v/>
      </c>
      <c r="P559" s="56" t="str">
        <f t="shared" si="10"/>
        <v/>
      </c>
      <c r="Q559" s="105"/>
      <c r="R559" s="10"/>
      <c r="S559" s="59" t="str">
        <f t="array" ref="S559">IF(COUNTA(Q559:Q1673)=0,"",SUM((COUNTIF(Q$4:Q559,Upgrades!$B$3:$B$13)-COUNTIF(Q$4:Q559,"Sell_"&amp;Upgrades!$B$3:$B$13))*Upgrades!$D$3:$D$13))</f>
        <v/>
      </c>
      <c r="T559" s="66" t="str">
        <f>IFERROR(__xludf.DUMMYFUNCTION("IF(COUNTA(Q559:Q1673)=0,"""",IF(REGEXMATCH(INDEX(FILTER(Q$4:Q559,Q$4:Q559&lt;&gt;""""),ROWS(FILTER(Q$4:Q559,Q$4:Q559&lt;&gt;""""))),""^Sell_""),INDEX(FILTER(T$4:T558,Q$4:Q558&lt;&gt;""""),ROWS(FILTER(Q$4:Q558,Q$4:Q558&lt;&gt;""""))),$AD$5+S559))"),"")</f>
        <v/>
      </c>
      <c r="U559" s="10" t="str">
        <f>IFERROR(__xludf.DUMMYFUNCTION("IF(COUNTA(Q559:Q1673)=0,"""",IF(Q559="""",0,IF(REGEXMATCH(Q559,""^Sell_""),-ROUNDDOWN(ROUNDUP(INDEX(Upgrades!$C$3:$C$13,MATCH(SUBSTITUTE(Q559,""Sell_"",""""),Upgrades!$B$3:$B$13,0))*1.15^(COUNTIF(Q$4:Q558,SUBSTITUTE(Q559,""Sell_"",""""))-COUNTIF(Q$4:Q558,"&amp;"""Sell_""&amp;SUBSTITUTE(Q559,""Sell_"",""""))))/2),ROUNDUP(INDEX(Upgrades!$C$3:$C$13,MATCH(Q559,Upgrades!$B$3:$B$13,0))*1.15^(COUNTIF(Q$4:Q558,Q559)-COUNTIF(Q$4:Q558,""Sell_""&amp;Q559))))))"),"")</f>
        <v/>
      </c>
      <c r="V559" s="10" t="str">
        <f t="shared" si="11"/>
        <v/>
      </c>
      <c r="W559" s="68" t="str">
        <f t="shared" si="12"/>
        <v/>
      </c>
      <c r="X559" s="59" t="str">
        <f t="shared" si="13"/>
        <v/>
      </c>
      <c r="Y559" s="69" t="str">
        <f t="shared" si="14"/>
        <v/>
      </c>
      <c r="Z559" s="11"/>
    </row>
    <row r="560">
      <c r="A560" s="8"/>
      <c r="B560" s="56" t="str">
        <f t="shared" si="2"/>
        <v/>
      </c>
      <c r="C560" s="105"/>
      <c r="D560" s="10"/>
      <c r="E560" s="59" t="str">
        <f t="array" ref="E560">IF(COUNTA(C560:C1673)=0,"",SUM((COUNTIF(C$4:C560,Upgrades!$B$3:$B$13)-COUNTIF(C$4:C560,"Sell_"&amp;Upgrades!$B$3:$B$13))*Upgrades!$D$3:$D$13))</f>
        <v/>
      </c>
      <c r="F560" s="66" t="str">
        <f>IFERROR(__xludf.DUMMYFUNCTION("IF(COUNTA(C560:C1673)=0,"""",IF(REGEXMATCH(INDEX(FILTER(C$4:C560,C$4:C560&lt;&gt;""""),ROWS(FILTER(C$4:C560,C$4:C560&lt;&gt;""""))),""^Sell_""),INDEX(FILTER(F$4:F559,C$4:C559&lt;&gt;""""),ROWS(FILTER(C$4:C559,C$4:C559&lt;&gt;""""))),$AC$5+E560))"),"")</f>
        <v/>
      </c>
      <c r="G560" s="10" t="str">
        <f>IFERROR(__xludf.DUMMYFUNCTION("IF(COUNTA(C560:C1673)=0,"""",IF(C560="""",0,IF(REGEXMATCH(C560,""^Sell_""),-ROUNDDOWN(ROUNDUP(INDEX(Upgrades!$C$3:$C$13,MATCH(SUBSTITUTE(C560,""Sell_"",""""),Upgrades!$B$3:$B$13,0))*1.15^(COUNTIF(C$4:C559,SUBSTITUTE(C560,""Sell_"",""""))-COUNTIF(C$4:C559,"&amp;"""Sell_""&amp;SUBSTITUTE(C560,""Sell_"",""""))))/2),ROUNDUP(INDEX(Upgrades!$C$3:$C$13,MATCH(C560,Upgrades!$B$3:$B$13,0))*1.15^(COUNTIF(C$4:C559,C560)-COUNTIF(C$4:C559,""Sell_""&amp;C560))))))"),"")</f>
        <v/>
      </c>
      <c r="H560" s="10" t="str">
        <f t="shared" si="3"/>
        <v/>
      </c>
      <c r="I560" s="68" t="str">
        <f t="shared" si="4"/>
        <v/>
      </c>
      <c r="J560" s="59" t="str">
        <f t="shared" si="5"/>
        <v/>
      </c>
      <c r="K560" s="69" t="str">
        <f t="shared" si="6"/>
        <v/>
      </c>
      <c r="L560" s="60" t="str">
        <f t="shared" si="7"/>
        <v/>
      </c>
      <c r="M560" s="61" t="str">
        <f>IFERROR(__xludf.DUMMYFUNCTION("IFS(AND(COUNTA(C560:C1673)=0,COUNTA(Q560:Q1673)=0),"""",OR(AND(K560&gt;=1000000000,OR(Y560&gt;=1000000000,COUNTA(Q560:Q1673)=0)),OR(Y560&gt;=1000000000,AND(COUNTA(C560:C1673)=0,P$3=TRUE))),
ROUNDDOWN((AB$1-AC$1)*MAX(INDEX(T$4:T1673,MATCH(LARGE(FILTER(Y$4:Y1673,Y$4"&amp;":Y1673&lt;1000000000),1),Y$4:Y1673)),INDEX(F$4:F1673,MATCH(LARGE(FILTER(K$4:K1673,K$4:K1673&lt;1000000000),1),K$4:K1673)))),AND(K560&lt;1000000000,COUNTA(C560:C1673)&gt;0,P$3=FALSE),
ROUNDDOWN(INDEX(Y$4:Y1673,MATCH(LARGE(FILTER(W$4:W1673,W$4:W1673&lt;=I560),1),W$4:W1673"&amp;"))+(I560-LARGE(FILTER(W$4:W1673,W$4:W1673&lt;=I560),1))*INDEX(T$4:T1673,MATCH(LARGE(FILTER(W$4:W1673,W$4:W1673&lt;=I560),1),W$4:W1673))-K560),1,
ROUNDDOWN(Y560-INDEX(K$4:K1673,MATCH(LARGE(FILTER(I$4:I1673,I$4:I1673&lt;=W560),1),I$4:I1673))-(W560-LARGE(FILTER(I$4:I"&amp;"1673,I$4:I1673&lt;=W560),1))*INDEX(F$4:F1673,MATCH(LARGE(FILTER(I$4:I1673,I$4:I1673&lt;=W560),1),I$4:I1673))))"),"")</f>
        <v/>
      </c>
      <c r="N560" s="60" t="str">
        <f t="shared" si="8"/>
        <v/>
      </c>
      <c r="O560" s="61" t="str">
        <f t="shared" si="9"/>
        <v/>
      </c>
      <c r="P560" s="56" t="str">
        <f t="shared" si="10"/>
        <v/>
      </c>
      <c r="Q560" s="105"/>
      <c r="R560" s="10"/>
      <c r="S560" s="59" t="str">
        <f t="array" ref="S560">IF(COUNTA(Q560:Q1673)=0,"",SUM((COUNTIF(Q$4:Q560,Upgrades!$B$3:$B$13)-COUNTIF(Q$4:Q560,"Sell_"&amp;Upgrades!$B$3:$B$13))*Upgrades!$D$3:$D$13))</f>
        <v/>
      </c>
      <c r="T560" s="66" t="str">
        <f>IFERROR(__xludf.DUMMYFUNCTION("IF(COUNTA(Q560:Q1673)=0,"""",IF(REGEXMATCH(INDEX(FILTER(Q$4:Q560,Q$4:Q560&lt;&gt;""""),ROWS(FILTER(Q$4:Q560,Q$4:Q560&lt;&gt;""""))),""^Sell_""),INDEX(FILTER(T$4:T559,Q$4:Q559&lt;&gt;""""),ROWS(FILTER(Q$4:Q559,Q$4:Q559&lt;&gt;""""))),$AD$5+S560))"),"")</f>
        <v/>
      </c>
      <c r="U560" s="10" t="str">
        <f>IFERROR(__xludf.DUMMYFUNCTION("IF(COUNTA(Q560:Q1673)=0,"""",IF(Q560="""",0,IF(REGEXMATCH(Q560,""^Sell_""),-ROUNDDOWN(ROUNDUP(INDEX(Upgrades!$C$3:$C$13,MATCH(SUBSTITUTE(Q560,""Sell_"",""""),Upgrades!$B$3:$B$13,0))*1.15^(COUNTIF(Q$4:Q559,SUBSTITUTE(Q560,""Sell_"",""""))-COUNTIF(Q$4:Q559,"&amp;"""Sell_""&amp;SUBSTITUTE(Q560,""Sell_"",""""))))/2),ROUNDUP(INDEX(Upgrades!$C$3:$C$13,MATCH(Q560,Upgrades!$B$3:$B$13,0))*1.15^(COUNTIF(Q$4:Q559,Q560)-COUNTIF(Q$4:Q559,""Sell_""&amp;Q560))))))"),"")</f>
        <v/>
      </c>
      <c r="V560" s="10" t="str">
        <f t="shared" si="11"/>
        <v/>
      </c>
      <c r="W560" s="68" t="str">
        <f t="shared" si="12"/>
        <v/>
      </c>
      <c r="X560" s="59" t="str">
        <f t="shared" si="13"/>
        <v/>
      </c>
      <c r="Y560" s="69" t="str">
        <f t="shared" si="14"/>
        <v/>
      </c>
      <c r="Z560" s="11"/>
    </row>
    <row r="561">
      <c r="A561" s="8"/>
      <c r="B561" s="56" t="str">
        <f t="shared" si="2"/>
        <v/>
      </c>
      <c r="C561" s="105"/>
      <c r="D561" s="10"/>
      <c r="E561" s="59" t="str">
        <f t="array" ref="E561">IF(COUNTA(C561:C1673)=0,"",SUM((COUNTIF(C$4:C561,Upgrades!$B$3:$B$13)-COUNTIF(C$4:C561,"Sell_"&amp;Upgrades!$B$3:$B$13))*Upgrades!$D$3:$D$13))</f>
        <v/>
      </c>
      <c r="F561" s="66" t="str">
        <f>IFERROR(__xludf.DUMMYFUNCTION("IF(COUNTA(C561:C1673)=0,"""",IF(REGEXMATCH(INDEX(FILTER(C$4:C561,C$4:C561&lt;&gt;""""),ROWS(FILTER(C$4:C561,C$4:C561&lt;&gt;""""))),""^Sell_""),INDEX(FILTER(F$4:F560,C$4:C560&lt;&gt;""""),ROWS(FILTER(C$4:C560,C$4:C560&lt;&gt;""""))),$AC$5+E561))"),"")</f>
        <v/>
      </c>
      <c r="G561" s="10" t="str">
        <f>IFERROR(__xludf.DUMMYFUNCTION("IF(COUNTA(C561:C1673)=0,"""",IF(C561="""",0,IF(REGEXMATCH(C561,""^Sell_""),-ROUNDDOWN(ROUNDUP(INDEX(Upgrades!$C$3:$C$13,MATCH(SUBSTITUTE(C561,""Sell_"",""""),Upgrades!$B$3:$B$13,0))*1.15^(COUNTIF(C$4:C560,SUBSTITUTE(C561,""Sell_"",""""))-COUNTIF(C$4:C560,"&amp;"""Sell_""&amp;SUBSTITUTE(C561,""Sell_"",""""))))/2),ROUNDUP(INDEX(Upgrades!$C$3:$C$13,MATCH(C561,Upgrades!$B$3:$B$13,0))*1.15^(COUNTIF(C$4:C560,C561)-COUNTIF(C$4:C560,""Sell_""&amp;C561))))))"),"")</f>
        <v/>
      </c>
      <c r="H561" s="10" t="str">
        <f t="shared" si="3"/>
        <v/>
      </c>
      <c r="I561" s="68" t="str">
        <f t="shared" si="4"/>
        <v/>
      </c>
      <c r="J561" s="59" t="str">
        <f t="shared" si="5"/>
        <v/>
      </c>
      <c r="K561" s="69" t="str">
        <f t="shared" si="6"/>
        <v/>
      </c>
      <c r="L561" s="60" t="str">
        <f t="shared" si="7"/>
        <v/>
      </c>
      <c r="M561" s="61" t="str">
        <f>IFERROR(__xludf.DUMMYFUNCTION("IFS(AND(COUNTA(C561:C1673)=0,COUNTA(Q561:Q1673)=0),"""",OR(AND(K561&gt;=1000000000,OR(Y561&gt;=1000000000,COUNTA(Q561:Q1673)=0)),OR(Y561&gt;=1000000000,AND(COUNTA(C561:C1673)=0,P$3=TRUE))),
ROUNDDOWN((AB$1-AC$1)*MAX(INDEX(T$4:T1673,MATCH(LARGE(FILTER(Y$4:Y1673,Y$4"&amp;":Y1673&lt;1000000000),1),Y$4:Y1673)),INDEX(F$4:F1673,MATCH(LARGE(FILTER(K$4:K1673,K$4:K1673&lt;1000000000),1),K$4:K1673)))),AND(K561&lt;1000000000,COUNTA(C561:C1673)&gt;0,P$3=FALSE),
ROUNDDOWN(INDEX(Y$4:Y1673,MATCH(LARGE(FILTER(W$4:W1673,W$4:W1673&lt;=I561),1),W$4:W1673"&amp;"))+(I561-LARGE(FILTER(W$4:W1673,W$4:W1673&lt;=I561),1))*INDEX(T$4:T1673,MATCH(LARGE(FILTER(W$4:W1673,W$4:W1673&lt;=I561),1),W$4:W1673))-K561),1,
ROUNDDOWN(Y561-INDEX(K$4:K1673,MATCH(LARGE(FILTER(I$4:I1673,I$4:I1673&lt;=W561),1),I$4:I1673))-(W561-LARGE(FILTER(I$4:I"&amp;"1673,I$4:I1673&lt;=W561),1))*INDEX(F$4:F1673,MATCH(LARGE(FILTER(I$4:I1673,I$4:I1673&lt;=W561),1),I$4:I1673))))"),"")</f>
        <v/>
      </c>
      <c r="N561" s="60" t="str">
        <f t="shared" si="8"/>
        <v/>
      </c>
      <c r="O561" s="61" t="str">
        <f t="shared" si="9"/>
        <v/>
      </c>
      <c r="P561" s="56" t="str">
        <f t="shared" si="10"/>
        <v/>
      </c>
      <c r="Q561" s="105"/>
      <c r="R561" s="10"/>
      <c r="S561" s="59" t="str">
        <f t="array" ref="S561">IF(COUNTA(Q561:Q1673)=0,"",SUM((COUNTIF(Q$4:Q561,Upgrades!$B$3:$B$13)-COUNTIF(Q$4:Q561,"Sell_"&amp;Upgrades!$B$3:$B$13))*Upgrades!$D$3:$D$13))</f>
        <v/>
      </c>
      <c r="T561" s="66" t="str">
        <f>IFERROR(__xludf.DUMMYFUNCTION("IF(COUNTA(Q561:Q1673)=0,"""",IF(REGEXMATCH(INDEX(FILTER(Q$4:Q561,Q$4:Q561&lt;&gt;""""),ROWS(FILTER(Q$4:Q561,Q$4:Q561&lt;&gt;""""))),""^Sell_""),INDEX(FILTER(T$4:T560,Q$4:Q560&lt;&gt;""""),ROWS(FILTER(Q$4:Q560,Q$4:Q560&lt;&gt;""""))),$AD$5+S561))"),"")</f>
        <v/>
      </c>
      <c r="U561" s="10" t="str">
        <f>IFERROR(__xludf.DUMMYFUNCTION("IF(COUNTA(Q561:Q1673)=0,"""",IF(Q561="""",0,IF(REGEXMATCH(Q561,""^Sell_""),-ROUNDDOWN(ROUNDUP(INDEX(Upgrades!$C$3:$C$13,MATCH(SUBSTITUTE(Q561,""Sell_"",""""),Upgrades!$B$3:$B$13,0))*1.15^(COUNTIF(Q$4:Q560,SUBSTITUTE(Q561,""Sell_"",""""))-COUNTIF(Q$4:Q560,"&amp;"""Sell_""&amp;SUBSTITUTE(Q561,""Sell_"",""""))))/2),ROUNDUP(INDEX(Upgrades!$C$3:$C$13,MATCH(Q561,Upgrades!$B$3:$B$13,0))*1.15^(COUNTIF(Q$4:Q560,Q561)-COUNTIF(Q$4:Q560,""Sell_""&amp;Q561))))))"),"")</f>
        <v/>
      </c>
      <c r="V561" s="10" t="str">
        <f t="shared" si="11"/>
        <v/>
      </c>
      <c r="W561" s="68" t="str">
        <f t="shared" si="12"/>
        <v/>
      </c>
      <c r="X561" s="59" t="str">
        <f t="shared" si="13"/>
        <v/>
      </c>
      <c r="Y561" s="69" t="str">
        <f t="shared" si="14"/>
        <v/>
      </c>
      <c r="Z561" s="11"/>
    </row>
    <row r="562">
      <c r="A562" s="8"/>
      <c r="B562" s="56" t="str">
        <f t="shared" si="2"/>
        <v/>
      </c>
      <c r="C562" s="105"/>
      <c r="D562" s="10"/>
      <c r="E562" s="59" t="str">
        <f t="array" ref="E562">IF(COUNTA(C562:C1673)=0,"",SUM((COUNTIF(C$4:C562,Upgrades!$B$3:$B$13)-COUNTIF(C$4:C562,"Sell_"&amp;Upgrades!$B$3:$B$13))*Upgrades!$D$3:$D$13))</f>
        <v/>
      </c>
      <c r="F562" s="66" t="str">
        <f>IFERROR(__xludf.DUMMYFUNCTION("IF(COUNTA(C562:C1673)=0,"""",IF(REGEXMATCH(INDEX(FILTER(C$4:C562,C$4:C562&lt;&gt;""""),ROWS(FILTER(C$4:C562,C$4:C562&lt;&gt;""""))),""^Sell_""),INDEX(FILTER(F$4:F561,C$4:C561&lt;&gt;""""),ROWS(FILTER(C$4:C561,C$4:C561&lt;&gt;""""))),$AC$5+E562))"),"")</f>
        <v/>
      </c>
      <c r="G562" s="10" t="str">
        <f>IFERROR(__xludf.DUMMYFUNCTION("IF(COUNTA(C562:C1673)=0,"""",IF(C562="""",0,IF(REGEXMATCH(C562,""^Sell_""),-ROUNDDOWN(ROUNDUP(INDEX(Upgrades!$C$3:$C$13,MATCH(SUBSTITUTE(C562,""Sell_"",""""),Upgrades!$B$3:$B$13,0))*1.15^(COUNTIF(C$4:C561,SUBSTITUTE(C562,""Sell_"",""""))-COUNTIF(C$4:C561,"&amp;"""Sell_""&amp;SUBSTITUTE(C562,""Sell_"",""""))))/2),ROUNDUP(INDEX(Upgrades!$C$3:$C$13,MATCH(C562,Upgrades!$B$3:$B$13,0))*1.15^(COUNTIF(C$4:C561,C562)-COUNTIF(C$4:C561,""Sell_""&amp;C562))))))"),"")</f>
        <v/>
      </c>
      <c r="H562" s="10" t="str">
        <f t="shared" si="3"/>
        <v/>
      </c>
      <c r="I562" s="68" t="str">
        <f t="shared" si="4"/>
        <v/>
      </c>
      <c r="J562" s="59" t="str">
        <f t="shared" si="5"/>
        <v/>
      </c>
      <c r="K562" s="69" t="str">
        <f t="shared" si="6"/>
        <v/>
      </c>
      <c r="L562" s="60" t="str">
        <f t="shared" si="7"/>
        <v/>
      </c>
      <c r="M562" s="61" t="str">
        <f>IFERROR(__xludf.DUMMYFUNCTION("IFS(AND(COUNTA(C562:C1673)=0,COUNTA(Q562:Q1673)=0),"""",OR(AND(K562&gt;=1000000000,OR(Y562&gt;=1000000000,COUNTA(Q562:Q1673)=0)),OR(Y562&gt;=1000000000,AND(COUNTA(C562:C1673)=0,P$3=TRUE))),
ROUNDDOWN((AB$1-AC$1)*MAX(INDEX(T$4:T1673,MATCH(LARGE(FILTER(Y$4:Y1673,Y$4"&amp;":Y1673&lt;1000000000),1),Y$4:Y1673)),INDEX(F$4:F1673,MATCH(LARGE(FILTER(K$4:K1673,K$4:K1673&lt;1000000000),1),K$4:K1673)))),AND(K562&lt;1000000000,COUNTA(C562:C1673)&gt;0,P$3=FALSE),
ROUNDDOWN(INDEX(Y$4:Y1673,MATCH(LARGE(FILTER(W$4:W1673,W$4:W1673&lt;=I562),1),W$4:W1673"&amp;"))+(I562-LARGE(FILTER(W$4:W1673,W$4:W1673&lt;=I562),1))*INDEX(T$4:T1673,MATCH(LARGE(FILTER(W$4:W1673,W$4:W1673&lt;=I562),1),W$4:W1673))-K562),1,
ROUNDDOWN(Y562-INDEX(K$4:K1673,MATCH(LARGE(FILTER(I$4:I1673,I$4:I1673&lt;=W562),1),I$4:I1673))-(W562-LARGE(FILTER(I$4:I"&amp;"1673,I$4:I1673&lt;=W562),1))*INDEX(F$4:F1673,MATCH(LARGE(FILTER(I$4:I1673,I$4:I1673&lt;=W562),1),I$4:I1673))))"),"")</f>
        <v/>
      </c>
      <c r="N562" s="60" t="str">
        <f t="shared" si="8"/>
        <v/>
      </c>
      <c r="O562" s="61" t="str">
        <f t="shared" si="9"/>
        <v/>
      </c>
      <c r="P562" s="56" t="str">
        <f t="shared" si="10"/>
        <v/>
      </c>
      <c r="Q562" s="105"/>
      <c r="R562" s="10"/>
      <c r="S562" s="59" t="str">
        <f t="array" ref="S562">IF(COUNTA(Q562:Q1673)=0,"",SUM((COUNTIF(Q$4:Q562,Upgrades!$B$3:$B$13)-COUNTIF(Q$4:Q562,"Sell_"&amp;Upgrades!$B$3:$B$13))*Upgrades!$D$3:$D$13))</f>
        <v/>
      </c>
      <c r="T562" s="66" t="str">
        <f>IFERROR(__xludf.DUMMYFUNCTION("IF(COUNTA(Q562:Q1673)=0,"""",IF(REGEXMATCH(INDEX(FILTER(Q$4:Q562,Q$4:Q562&lt;&gt;""""),ROWS(FILTER(Q$4:Q562,Q$4:Q562&lt;&gt;""""))),""^Sell_""),INDEX(FILTER(T$4:T561,Q$4:Q561&lt;&gt;""""),ROWS(FILTER(Q$4:Q561,Q$4:Q561&lt;&gt;""""))),$AD$5+S562))"),"")</f>
        <v/>
      </c>
      <c r="U562" s="10" t="str">
        <f>IFERROR(__xludf.DUMMYFUNCTION("IF(COUNTA(Q562:Q1673)=0,"""",IF(Q562="""",0,IF(REGEXMATCH(Q562,""^Sell_""),-ROUNDDOWN(ROUNDUP(INDEX(Upgrades!$C$3:$C$13,MATCH(SUBSTITUTE(Q562,""Sell_"",""""),Upgrades!$B$3:$B$13,0))*1.15^(COUNTIF(Q$4:Q561,SUBSTITUTE(Q562,""Sell_"",""""))-COUNTIF(Q$4:Q561,"&amp;"""Sell_""&amp;SUBSTITUTE(Q562,""Sell_"",""""))))/2),ROUNDUP(INDEX(Upgrades!$C$3:$C$13,MATCH(Q562,Upgrades!$B$3:$B$13,0))*1.15^(COUNTIF(Q$4:Q561,Q562)-COUNTIF(Q$4:Q561,""Sell_""&amp;Q562))))))"),"")</f>
        <v/>
      </c>
      <c r="V562" s="10" t="str">
        <f t="shared" si="11"/>
        <v/>
      </c>
      <c r="W562" s="68" t="str">
        <f t="shared" si="12"/>
        <v/>
      </c>
      <c r="X562" s="59" t="str">
        <f t="shared" si="13"/>
        <v/>
      </c>
      <c r="Y562" s="69" t="str">
        <f t="shared" si="14"/>
        <v/>
      </c>
      <c r="Z562" s="11"/>
    </row>
    <row r="563">
      <c r="A563" s="8"/>
      <c r="B563" s="56" t="str">
        <f t="shared" si="2"/>
        <v/>
      </c>
      <c r="C563" s="105"/>
      <c r="D563" s="10"/>
      <c r="E563" s="59" t="str">
        <f t="array" ref="E563">IF(COUNTA(C563:C1673)=0,"",SUM((COUNTIF(C$4:C563,Upgrades!$B$3:$B$13)-COUNTIF(C$4:C563,"Sell_"&amp;Upgrades!$B$3:$B$13))*Upgrades!$D$3:$D$13))</f>
        <v/>
      </c>
      <c r="F563" s="66" t="str">
        <f>IFERROR(__xludf.DUMMYFUNCTION("IF(COUNTA(C563:C1673)=0,"""",IF(REGEXMATCH(INDEX(FILTER(C$4:C563,C$4:C563&lt;&gt;""""),ROWS(FILTER(C$4:C563,C$4:C563&lt;&gt;""""))),""^Sell_""),INDEX(FILTER(F$4:F562,C$4:C562&lt;&gt;""""),ROWS(FILTER(C$4:C562,C$4:C562&lt;&gt;""""))),$AC$5+E563))"),"")</f>
        <v/>
      </c>
      <c r="G563" s="10" t="str">
        <f>IFERROR(__xludf.DUMMYFUNCTION("IF(COUNTA(C563:C1673)=0,"""",IF(C563="""",0,IF(REGEXMATCH(C563,""^Sell_""),-ROUNDDOWN(ROUNDUP(INDEX(Upgrades!$C$3:$C$13,MATCH(SUBSTITUTE(C563,""Sell_"",""""),Upgrades!$B$3:$B$13,0))*1.15^(COUNTIF(C$4:C562,SUBSTITUTE(C563,""Sell_"",""""))-COUNTIF(C$4:C562,"&amp;"""Sell_""&amp;SUBSTITUTE(C563,""Sell_"",""""))))/2),ROUNDUP(INDEX(Upgrades!$C$3:$C$13,MATCH(C563,Upgrades!$B$3:$B$13,0))*1.15^(COUNTIF(C$4:C562,C563)-COUNTIF(C$4:C562,""Sell_""&amp;C563))))))"),"")</f>
        <v/>
      </c>
      <c r="H563" s="10" t="str">
        <f t="shared" si="3"/>
        <v/>
      </c>
      <c r="I563" s="68" t="str">
        <f t="shared" si="4"/>
        <v/>
      </c>
      <c r="J563" s="59" t="str">
        <f t="shared" si="5"/>
        <v/>
      </c>
      <c r="K563" s="69" t="str">
        <f t="shared" si="6"/>
        <v/>
      </c>
      <c r="L563" s="60" t="str">
        <f t="shared" si="7"/>
        <v/>
      </c>
      <c r="M563" s="61" t="str">
        <f>IFERROR(__xludf.DUMMYFUNCTION("IFS(AND(COUNTA(C563:C1673)=0,COUNTA(Q563:Q1673)=0),"""",OR(AND(K563&gt;=1000000000,OR(Y563&gt;=1000000000,COUNTA(Q563:Q1673)=0)),OR(Y563&gt;=1000000000,AND(COUNTA(C563:C1673)=0,P$3=TRUE))),
ROUNDDOWN((AB$1-AC$1)*MAX(INDEX(T$4:T1673,MATCH(LARGE(FILTER(Y$4:Y1673,Y$4"&amp;":Y1673&lt;1000000000),1),Y$4:Y1673)),INDEX(F$4:F1673,MATCH(LARGE(FILTER(K$4:K1673,K$4:K1673&lt;1000000000),1),K$4:K1673)))),AND(K563&lt;1000000000,COUNTA(C563:C1673)&gt;0,P$3=FALSE),
ROUNDDOWN(INDEX(Y$4:Y1673,MATCH(LARGE(FILTER(W$4:W1673,W$4:W1673&lt;=I563),1),W$4:W1673"&amp;"))+(I563-LARGE(FILTER(W$4:W1673,W$4:W1673&lt;=I563),1))*INDEX(T$4:T1673,MATCH(LARGE(FILTER(W$4:W1673,W$4:W1673&lt;=I563),1),W$4:W1673))-K563),1,
ROUNDDOWN(Y563-INDEX(K$4:K1673,MATCH(LARGE(FILTER(I$4:I1673,I$4:I1673&lt;=W563),1),I$4:I1673))-(W563-LARGE(FILTER(I$4:I"&amp;"1673,I$4:I1673&lt;=W563),1))*INDEX(F$4:F1673,MATCH(LARGE(FILTER(I$4:I1673,I$4:I1673&lt;=W563),1),I$4:I1673))))"),"")</f>
        <v/>
      </c>
      <c r="N563" s="60" t="str">
        <f t="shared" si="8"/>
        <v/>
      </c>
      <c r="O563" s="61" t="str">
        <f t="shared" si="9"/>
        <v/>
      </c>
      <c r="P563" s="56" t="str">
        <f t="shared" si="10"/>
        <v/>
      </c>
      <c r="Q563" s="105"/>
      <c r="R563" s="10"/>
      <c r="S563" s="59" t="str">
        <f t="array" ref="S563">IF(COUNTA(Q563:Q1673)=0,"",SUM((COUNTIF(Q$4:Q563,Upgrades!$B$3:$B$13)-COUNTIF(Q$4:Q563,"Sell_"&amp;Upgrades!$B$3:$B$13))*Upgrades!$D$3:$D$13))</f>
        <v/>
      </c>
      <c r="T563" s="66" t="str">
        <f>IFERROR(__xludf.DUMMYFUNCTION("IF(COUNTA(Q563:Q1673)=0,"""",IF(REGEXMATCH(INDEX(FILTER(Q$4:Q563,Q$4:Q563&lt;&gt;""""),ROWS(FILTER(Q$4:Q563,Q$4:Q563&lt;&gt;""""))),""^Sell_""),INDEX(FILTER(T$4:T562,Q$4:Q562&lt;&gt;""""),ROWS(FILTER(Q$4:Q562,Q$4:Q562&lt;&gt;""""))),$AD$5+S563))"),"")</f>
        <v/>
      </c>
      <c r="U563" s="10" t="str">
        <f>IFERROR(__xludf.DUMMYFUNCTION("IF(COUNTA(Q563:Q1673)=0,"""",IF(Q563="""",0,IF(REGEXMATCH(Q563,""^Sell_""),-ROUNDDOWN(ROUNDUP(INDEX(Upgrades!$C$3:$C$13,MATCH(SUBSTITUTE(Q563,""Sell_"",""""),Upgrades!$B$3:$B$13,0))*1.15^(COUNTIF(Q$4:Q562,SUBSTITUTE(Q563,""Sell_"",""""))-COUNTIF(Q$4:Q562,"&amp;"""Sell_""&amp;SUBSTITUTE(Q563,""Sell_"",""""))))/2),ROUNDUP(INDEX(Upgrades!$C$3:$C$13,MATCH(Q563,Upgrades!$B$3:$B$13,0))*1.15^(COUNTIF(Q$4:Q562,Q563)-COUNTIF(Q$4:Q562,""Sell_""&amp;Q563))))))"),"")</f>
        <v/>
      </c>
      <c r="V563" s="10" t="str">
        <f t="shared" si="11"/>
        <v/>
      </c>
      <c r="W563" s="68" t="str">
        <f t="shared" si="12"/>
        <v/>
      </c>
      <c r="X563" s="59" t="str">
        <f t="shared" si="13"/>
        <v/>
      </c>
      <c r="Y563" s="69" t="str">
        <f t="shared" si="14"/>
        <v/>
      </c>
      <c r="Z563" s="11"/>
    </row>
    <row r="564">
      <c r="A564" s="8"/>
      <c r="B564" s="56" t="str">
        <f t="shared" si="2"/>
        <v/>
      </c>
      <c r="C564" s="105"/>
      <c r="D564" s="10"/>
      <c r="E564" s="59" t="str">
        <f t="array" ref="E564">IF(COUNTA(C564:C1673)=0,"",SUM((COUNTIF(C$4:C564,Upgrades!$B$3:$B$13)-COUNTIF(C$4:C564,"Sell_"&amp;Upgrades!$B$3:$B$13))*Upgrades!$D$3:$D$13))</f>
        <v/>
      </c>
      <c r="F564" s="66" t="str">
        <f>IFERROR(__xludf.DUMMYFUNCTION("IF(COUNTA(C564:C1673)=0,"""",IF(REGEXMATCH(INDEX(FILTER(C$4:C564,C$4:C564&lt;&gt;""""),ROWS(FILTER(C$4:C564,C$4:C564&lt;&gt;""""))),""^Sell_""),INDEX(FILTER(F$4:F563,C$4:C563&lt;&gt;""""),ROWS(FILTER(C$4:C563,C$4:C563&lt;&gt;""""))),$AC$5+E564))"),"")</f>
        <v/>
      </c>
      <c r="G564" s="10" t="str">
        <f>IFERROR(__xludf.DUMMYFUNCTION("IF(COUNTA(C564:C1673)=0,"""",IF(C564="""",0,IF(REGEXMATCH(C564,""^Sell_""),-ROUNDDOWN(ROUNDUP(INDEX(Upgrades!$C$3:$C$13,MATCH(SUBSTITUTE(C564,""Sell_"",""""),Upgrades!$B$3:$B$13,0))*1.15^(COUNTIF(C$4:C563,SUBSTITUTE(C564,""Sell_"",""""))-COUNTIF(C$4:C563,"&amp;"""Sell_""&amp;SUBSTITUTE(C564,""Sell_"",""""))))/2),ROUNDUP(INDEX(Upgrades!$C$3:$C$13,MATCH(C564,Upgrades!$B$3:$B$13,0))*1.15^(COUNTIF(C$4:C563,C564)-COUNTIF(C$4:C563,""Sell_""&amp;C564))))))"),"")</f>
        <v/>
      </c>
      <c r="H564" s="10" t="str">
        <f t="shared" si="3"/>
        <v/>
      </c>
      <c r="I564" s="68" t="str">
        <f t="shared" si="4"/>
        <v/>
      </c>
      <c r="J564" s="59" t="str">
        <f t="shared" si="5"/>
        <v/>
      </c>
      <c r="K564" s="69" t="str">
        <f t="shared" si="6"/>
        <v/>
      </c>
      <c r="L564" s="60" t="str">
        <f t="shared" si="7"/>
        <v/>
      </c>
      <c r="M564" s="61" t="str">
        <f>IFERROR(__xludf.DUMMYFUNCTION("IFS(AND(COUNTA(C564:C1673)=0,COUNTA(Q564:Q1673)=0),"""",OR(AND(K564&gt;=1000000000,OR(Y564&gt;=1000000000,COUNTA(Q564:Q1673)=0)),OR(Y564&gt;=1000000000,AND(COUNTA(C564:C1673)=0,P$3=TRUE))),
ROUNDDOWN((AB$1-AC$1)*MAX(INDEX(T$4:T1673,MATCH(LARGE(FILTER(Y$4:Y1673,Y$4"&amp;":Y1673&lt;1000000000),1),Y$4:Y1673)),INDEX(F$4:F1673,MATCH(LARGE(FILTER(K$4:K1673,K$4:K1673&lt;1000000000),1),K$4:K1673)))),AND(K564&lt;1000000000,COUNTA(C564:C1673)&gt;0,P$3=FALSE),
ROUNDDOWN(INDEX(Y$4:Y1673,MATCH(LARGE(FILTER(W$4:W1673,W$4:W1673&lt;=I564),1),W$4:W1673"&amp;"))+(I564-LARGE(FILTER(W$4:W1673,W$4:W1673&lt;=I564),1))*INDEX(T$4:T1673,MATCH(LARGE(FILTER(W$4:W1673,W$4:W1673&lt;=I564),1),W$4:W1673))-K564),1,
ROUNDDOWN(Y564-INDEX(K$4:K1673,MATCH(LARGE(FILTER(I$4:I1673,I$4:I1673&lt;=W564),1),I$4:I1673))-(W564-LARGE(FILTER(I$4:I"&amp;"1673,I$4:I1673&lt;=W564),1))*INDEX(F$4:F1673,MATCH(LARGE(FILTER(I$4:I1673,I$4:I1673&lt;=W564),1),I$4:I1673))))"),"")</f>
        <v/>
      </c>
      <c r="N564" s="60" t="str">
        <f t="shared" si="8"/>
        <v/>
      </c>
      <c r="O564" s="61" t="str">
        <f t="shared" si="9"/>
        <v/>
      </c>
      <c r="P564" s="56" t="str">
        <f t="shared" si="10"/>
        <v/>
      </c>
      <c r="Q564" s="105"/>
      <c r="R564" s="10"/>
      <c r="S564" s="59" t="str">
        <f t="array" ref="S564">IF(COUNTA(Q564:Q1673)=0,"",SUM((COUNTIF(Q$4:Q564,Upgrades!$B$3:$B$13)-COUNTIF(Q$4:Q564,"Sell_"&amp;Upgrades!$B$3:$B$13))*Upgrades!$D$3:$D$13))</f>
        <v/>
      </c>
      <c r="T564" s="66" t="str">
        <f>IFERROR(__xludf.DUMMYFUNCTION("IF(COUNTA(Q564:Q1673)=0,"""",IF(REGEXMATCH(INDEX(FILTER(Q$4:Q564,Q$4:Q564&lt;&gt;""""),ROWS(FILTER(Q$4:Q564,Q$4:Q564&lt;&gt;""""))),""^Sell_""),INDEX(FILTER(T$4:T563,Q$4:Q563&lt;&gt;""""),ROWS(FILTER(Q$4:Q563,Q$4:Q563&lt;&gt;""""))),$AD$5+S564))"),"")</f>
        <v/>
      </c>
      <c r="U564" s="10" t="str">
        <f>IFERROR(__xludf.DUMMYFUNCTION("IF(COUNTA(Q564:Q1673)=0,"""",IF(Q564="""",0,IF(REGEXMATCH(Q564,""^Sell_""),-ROUNDDOWN(ROUNDUP(INDEX(Upgrades!$C$3:$C$13,MATCH(SUBSTITUTE(Q564,""Sell_"",""""),Upgrades!$B$3:$B$13,0))*1.15^(COUNTIF(Q$4:Q563,SUBSTITUTE(Q564,""Sell_"",""""))-COUNTIF(Q$4:Q563,"&amp;"""Sell_""&amp;SUBSTITUTE(Q564,""Sell_"",""""))))/2),ROUNDUP(INDEX(Upgrades!$C$3:$C$13,MATCH(Q564,Upgrades!$B$3:$B$13,0))*1.15^(COUNTIF(Q$4:Q563,Q564)-COUNTIF(Q$4:Q563,""Sell_""&amp;Q564))))))"),"")</f>
        <v/>
      </c>
      <c r="V564" s="10" t="str">
        <f t="shared" si="11"/>
        <v/>
      </c>
      <c r="W564" s="68" t="str">
        <f t="shared" si="12"/>
        <v/>
      </c>
      <c r="X564" s="59" t="str">
        <f t="shared" si="13"/>
        <v/>
      </c>
      <c r="Y564" s="69" t="str">
        <f t="shared" si="14"/>
        <v/>
      </c>
      <c r="Z564" s="11"/>
    </row>
    <row r="565">
      <c r="A565" s="8"/>
      <c r="B565" s="56" t="str">
        <f t="shared" si="2"/>
        <v/>
      </c>
      <c r="C565" s="105"/>
      <c r="D565" s="10"/>
      <c r="E565" s="59" t="str">
        <f t="array" ref="E565">IF(COUNTA(C565:C1673)=0,"",SUM((COUNTIF(C$4:C565,Upgrades!$B$3:$B$13)-COUNTIF(C$4:C565,"Sell_"&amp;Upgrades!$B$3:$B$13))*Upgrades!$D$3:$D$13))</f>
        <v/>
      </c>
      <c r="F565" s="66" t="str">
        <f>IFERROR(__xludf.DUMMYFUNCTION("IF(COUNTA(C565:C1673)=0,"""",IF(REGEXMATCH(INDEX(FILTER(C$4:C565,C$4:C565&lt;&gt;""""),ROWS(FILTER(C$4:C565,C$4:C565&lt;&gt;""""))),""^Sell_""),INDEX(FILTER(F$4:F564,C$4:C564&lt;&gt;""""),ROWS(FILTER(C$4:C564,C$4:C564&lt;&gt;""""))),$AC$5+E565))"),"")</f>
        <v/>
      </c>
      <c r="G565" s="10" t="str">
        <f>IFERROR(__xludf.DUMMYFUNCTION("IF(COUNTA(C565:C1673)=0,"""",IF(C565="""",0,IF(REGEXMATCH(C565,""^Sell_""),-ROUNDDOWN(ROUNDUP(INDEX(Upgrades!$C$3:$C$13,MATCH(SUBSTITUTE(C565,""Sell_"",""""),Upgrades!$B$3:$B$13,0))*1.15^(COUNTIF(C$4:C564,SUBSTITUTE(C565,""Sell_"",""""))-COUNTIF(C$4:C564,"&amp;"""Sell_""&amp;SUBSTITUTE(C565,""Sell_"",""""))))/2),ROUNDUP(INDEX(Upgrades!$C$3:$C$13,MATCH(C565,Upgrades!$B$3:$B$13,0))*1.15^(COUNTIF(C$4:C564,C565)-COUNTIF(C$4:C564,""Sell_""&amp;C565))))))"),"")</f>
        <v/>
      </c>
      <c r="H565" s="10" t="str">
        <f t="shared" si="3"/>
        <v/>
      </c>
      <c r="I565" s="68" t="str">
        <f t="shared" si="4"/>
        <v/>
      </c>
      <c r="J565" s="59" t="str">
        <f t="shared" si="5"/>
        <v/>
      </c>
      <c r="K565" s="69" t="str">
        <f t="shared" si="6"/>
        <v/>
      </c>
      <c r="L565" s="60" t="str">
        <f t="shared" si="7"/>
        <v/>
      </c>
      <c r="M565" s="61" t="str">
        <f>IFERROR(__xludf.DUMMYFUNCTION("IFS(AND(COUNTA(C565:C1673)=0,COUNTA(Q565:Q1673)=0),"""",OR(AND(K565&gt;=1000000000,OR(Y565&gt;=1000000000,COUNTA(Q565:Q1673)=0)),OR(Y565&gt;=1000000000,AND(COUNTA(C565:C1673)=0,P$3=TRUE))),
ROUNDDOWN((AB$1-AC$1)*MAX(INDEX(T$4:T1673,MATCH(LARGE(FILTER(Y$4:Y1673,Y$4"&amp;":Y1673&lt;1000000000),1),Y$4:Y1673)),INDEX(F$4:F1673,MATCH(LARGE(FILTER(K$4:K1673,K$4:K1673&lt;1000000000),1),K$4:K1673)))),AND(K565&lt;1000000000,COUNTA(C565:C1673)&gt;0,P$3=FALSE),
ROUNDDOWN(INDEX(Y$4:Y1673,MATCH(LARGE(FILTER(W$4:W1673,W$4:W1673&lt;=I565),1),W$4:W1673"&amp;"))+(I565-LARGE(FILTER(W$4:W1673,W$4:W1673&lt;=I565),1))*INDEX(T$4:T1673,MATCH(LARGE(FILTER(W$4:W1673,W$4:W1673&lt;=I565),1),W$4:W1673))-K565),1,
ROUNDDOWN(Y565-INDEX(K$4:K1673,MATCH(LARGE(FILTER(I$4:I1673,I$4:I1673&lt;=W565),1),I$4:I1673))-(W565-LARGE(FILTER(I$4:I"&amp;"1673,I$4:I1673&lt;=W565),1))*INDEX(F$4:F1673,MATCH(LARGE(FILTER(I$4:I1673,I$4:I1673&lt;=W565),1),I$4:I1673))))"),"")</f>
        <v/>
      </c>
      <c r="N565" s="60" t="str">
        <f t="shared" si="8"/>
        <v/>
      </c>
      <c r="O565" s="61" t="str">
        <f t="shared" si="9"/>
        <v/>
      </c>
      <c r="P565" s="56" t="str">
        <f t="shared" si="10"/>
        <v/>
      </c>
      <c r="Q565" s="105"/>
      <c r="R565" s="10"/>
      <c r="S565" s="59" t="str">
        <f t="array" ref="S565">IF(COUNTA(Q565:Q1673)=0,"",SUM((COUNTIF(Q$4:Q565,Upgrades!$B$3:$B$13)-COUNTIF(Q$4:Q565,"Sell_"&amp;Upgrades!$B$3:$B$13))*Upgrades!$D$3:$D$13))</f>
        <v/>
      </c>
      <c r="T565" s="66" t="str">
        <f>IFERROR(__xludf.DUMMYFUNCTION("IF(COUNTA(Q565:Q1673)=0,"""",IF(REGEXMATCH(INDEX(FILTER(Q$4:Q565,Q$4:Q565&lt;&gt;""""),ROWS(FILTER(Q$4:Q565,Q$4:Q565&lt;&gt;""""))),""^Sell_""),INDEX(FILTER(T$4:T564,Q$4:Q564&lt;&gt;""""),ROWS(FILTER(Q$4:Q564,Q$4:Q564&lt;&gt;""""))),$AD$5+S565))"),"")</f>
        <v/>
      </c>
      <c r="U565" s="10" t="str">
        <f>IFERROR(__xludf.DUMMYFUNCTION("IF(COUNTA(Q565:Q1673)=0,"""",IF(Q565="""",0,IF(REGEXMATCH(Q565,""^Sell_""),-ROUNDDOWN(ROUNDUP(INDEX(Upgrades!$C$3:$C$13,MATCH(SUBSTITUTE(Q565,""Sell_"",""""),Upgrades!$B$3:$B$13,0))*1.15^(COUNTIF(Q$4:Q564,SUBSTITUTE(Q565,""Sell_"",""""))-COUNTIF(Q$4:Q564,"&amp;"""Sell_""&amp;SUBSTITUTE(Q565,""Sell_"",""""))))/2),ROUNDUP(INDEX(Upgrades!$C$3:$C$13,MATCH(Q565,Upgrades!$B$3:$B$13,0))*1.15^(COUNTIF(Q$4:Q564,Q565)-COUNTIF(Q$4:Q564,""Sell_""&amp;Q565))))))"),"")</f>
        <v/>
      </c>
      <c r="V565" s="10" t="str">
        <f t="shared" si="11"/>
        <v/>
      </c>
      <c r="W565" s="68" t="str">
        <f t="shared" si="12"/>
        <v/>
      </c>
      <c r="X565" s="59" t="str">
        <f t="shared" si="13"/>
        <v/>
      </c>
      <c r="Y565" s="69" t="str">
        <f t="shared" si="14"/>
        <v/>
      </c>
      <c r="Z565" s="11"/>
    </row>
    <row r="566">
      <c r="A566" s="8"/>
      <c r="B566" s="56" t="str">
        <f t="shared" si="2"/>
        <v/>
      </c>
      <c r="C566" s="105"/>
      <c r="D566" s="10"/>
      <c r="E566" s="59" t="str">
        <f t="array" ref="E566">IF(COUNTA(C566:C1673)=0,"",SUM((COUNTIF(C$4:C566,Upgrades!$B$3:$B$13)-COUNTIF(C$4:C566,"Sell_"&amp;Upgrades!$B$3:$B$13))*Upgrades!$D$3:$D$13))</f>
        <v/>
      </c>
      <c r="F566" s="66" t="str">
        <f>IFERROR(__xludf.DUMMYFUNCTION("IF(COUNTA(C566:C1673)=0,"""",IF(REGEXMATCH(INDEX(FILTER(C$4:C566,C$4:C566&lt;&gt;""""),ROWS(FILTER(C$4:C566,C$4:C566&lt;&gt;""""))),""^Sell_""),INDEX(FILTER(F$4:F565,C$4:C565&lt;&gt;""""),ROWS(FILTER(C$4:C565,C$4:C565&lt;&gt;""""))),$AC$5+E566))"),"")</f>
        <v/>
      </c>
      <c r="G566" s="10" t="str">
        <f>IFERROR(__xludf.DUMMYFUNCTION("IF(COUNTA(C566:C1673)=0,"""",IF(C566="""",0,IF(REGEXMATCH(C566,""^Sell_""),-ROUNDDOWN(ROUNDUP(INDEX(Upgrades!$C$3:$C$13,MATCH(SUBSTITUTE(C566,""Sell_"",""""),Upgrades!$B$3:$B$13,0))*1.15^(COUNTIF(C$4:C565,SUBSTITUTE(C566,""Sell_"",""""))-COUNTIF(C$4:C565,"&amp;"""Sell_""&amp;SUBSTITUTE(C566,""Sell_"",""""))))/2),ROUNDUP(INDEX(Upgrades!$C$3:$C$13,MATCH(C566,Upgrades!$B$3:$B$13,0))*1.15^(COUNTIF(C$4:C565,C566)-COUNTIF(C$4:C565,""Sell_""&amp;C566))))))"),"")</f>
        <v/>
      </c>
      <c r="H566" s="10" t="str">
        <f t="shared" si="3"/>
        <v/>
      </c>
      <c r="I566" s="68" t="str">
        <f t="shared" si="4"/>
        <v/>
      </c>
      <c r="J566" s="59" t="str">
        <f t="shared" si="5"/>
        <v/>
      </c>
      <c r="K566" s="69" t="str">
        <f t="shared" si="6"/>
        <v/>
      </c>
      <c r="L566" s="60" t="str">
        <f t="shared" si="7"/>
        <v/>
      </c>
      <c r="M566" s="61" t="str">
        <f>IFERROR(__xludf.DUMMYFUNCTION("IFS(AND(COUNTA(C566:C1673)=0,COUNTA(Q566:Q1673)=0),"""",OR(AND(K566&gt;=1000000000,OR(Y566&gt;=1000000000,COUNTA(Q566:Q1673)=0)),OR(Y566&gt;=1000000000,AND(COUNTA(C566:C1673)=0,P$3=TRUE))),
ROUNDDOWN((AB$1-AC$1)*MAX(INDEX(T$4:T1673,MATCH(LARGE(FILTER(Y$4:Y1673,Y$4"&amp;":Y1673&lt;1000000000),1),Y$4:Y1673)),INDEX(F$4:F1673,MATCH(LARGE(FILTER(K$4:K1673,K$4:K1673&lt;1000000000),1),K$4:K1673)))),AND(K566&lt;1000000000,COUNTA(C566:C1673)&gt;0,P$3=FALSE),
ROUNDDOWN(INDEX(Y$4:Y1673,MATCH(LARGE(FILTER(W$4:W1673,W$4:W1673&lt;=I566),1),W$4:W1673"&amp;"))+(I566-LARGE(FILTER(W$4:W1673,W$4:W1673&lt;=I566),1))*INDEX(T$4:T1673,MATCH(LARGE(FILTER(W$4:W1673,W$4:W1673&lt;=I566),1),W$4:W1673))-K566),1,
ROUNDDOWN(Y566-INDEX(K$4:K1673,MATCH(LARGE(FILTER(I$4:I1673,I$4:I1673&lt;=W566),1),I$4:I1673))-(W566-LARGE(FILTER(I$4:I"&amp;"1673,I$4:I1673&lt;=W566),1))*INDEX(F$4:F1673,MATCH(LARGE(FILTER(I$4:I1673,I$4:I1673&lt;=W566),1),I$4:I1673))))"),"")</f>
        <v/>
      </c>
      <c r="N566" s="60" t="str">
        <f t="shared" si="8"/>
        <v/>
      </c>
      <c r="O566" s="61" t="str">
        <f t="shared" si="9"/>
        <v/>
      </c>
      <c r="P566" s="56" t="str">
        <f t="shared" si="10"/>
        <v/>
      </c>
      <c r="Q566" s="105"/>
      <c r="R566" s="10"/>
      <c r="S566" s="59" t="str">
        <f t="array" ref="S566">IF(COUNTA(Q566:Q1673)=0,"",SUM((COUNTIF(Q$4:Q566,Upgrades!$B$3:$B$13)-COUNTIF(Q$4:Q566,"Sell_"&amp;Upgrades!$B$3:$B$13))*Upgrades!$D$3:$D$13))</f>
        <v/>
      </c>
      <c r="T566" s="66" t="str">
        <f>IFERROR(__xludf.DUMMYFUNCTION("IF(COUNTA(Q566:Q1673)=0,"""",IF(REGEXMATCH(INDEX(FILTER(Q$4:Q566,Q$4:Q566&lt;&gt;""""),ROWS(FILTER(Q$4:Q566,Q$4:Q566&lt;&gt;""""))),""^Sell_""),INDEX(FILTER(T$4:T565,Q$4:Q565&lt;&gt;""""),ROWS(FILTER(Q$4:Q565,Q$4:Q565&lt;&gt;""""))),$AD$5+S566))"),"")</f>
        <v/>
      </c>
      <c r="U566" s="10" t="str">
        <f>IFERROR(__xludf.DUMMYFUNCTION("IF(COUNTA(Q566:Q1673)=0,"""",IF(Q566="""",0,IF(REGEXMATCH(Q566,""^Sell_""),-ROUNDDOWN(ROUNDUP(INDEX(Upgrades!$C$3:$C$13,MATCH(SUBSTITUTE(Q566,""Sell_"",""""),Upgrades!$B$3:$B$13,0))*1.15^(COUNTIF(Q$4:Q565,SUBSTITUTE(Q566,""Sell_"",""""))-COUNTIF(Q$4:Q565,"&amp;"""Sell_""&amp;SUBSTITUTE(Q566,""Sell_"",""""))))/2),ROUNDUP(INDEX(Upgrades!$C$3:$C$13,MATCH(Q566,Upgrades!$B$3:$B$13,0))*1.15^(COUNTIF(Q$4:Q565,Q566)-COUNTIF(Q$4:Q565,""Sell_""&amp;Q566))))))"),"")</f>
        <v/>
      </c>
      <c r="V566" s="10" t="str">
        <f t="shared" si="11"/>
        <v/>
      </c>
      <c r="W566" s="68" t="str">
        <f t="shared" si="12"/>
        <v/>
      </c>
      <c r="X566" s="59" t="str">
        <f t="shared" si="13"/>
        <v/>
      </c>
      <c r="Y566" s="69" t="str">
        <f t="shared" si="14"/>
        <v/>
      </c>
      <c r="Z566" s="11"/>
    </row>
    <row r="567">
      <c r="A567" s="8"/>
      <c r="B567" s="56" t="str">
        <f t="shared" si="2"/>
        <v/>
      </c>
      <c r="C567" s="105"/>
      <c r="D567" s="10"/>
      <c r="E567" s="59" t="str">
        <f t="array" ref="E567">IF(COUNTA(C567:C1673)=0,"",SUM((COUNTIF(C$4:C567,Upgrades!$B$3:$B$13)-COUNTIF(C$4:C567,"Sell_"&amp;Upgrades!$B$3:$B$13))*Upgrades!$D$3:$D$13))</f>
        <v/>
      </c>
      <c r="F567" s="66" t="str">
        <f>IFERROR(__xludf.DUMMYFUNCTION("IF(COUNTA(C567:C1673)=0,"""",IF(REGEXMATCH(INDEX(FILTER(C$4:C567,C$4:C567&lt;&gt;""""),ROWS(FILTER(C$4:C567,C$4:C567&lt;&gt;""""))),""^Sell_""),INDEX(FILTER(F$4:F566,C$4:C566&lt;&gt;""""),ROWS(FILTER(C$4:C566,C$4:C566&lt;&gt;""""))),$AC$5+E567))"),"")</f>
        <v/>
      </c>
      <c r="G567" s="10" t="str">
        <f>IFERROR(__xludf.DUMMYFUNCTION("IF(COUNTA(C567:C1673)=0,"""",IF(C567="""",0,IF(REGEXMATCH(C567,""^Sell_""),-ROUNDDOWN(ROUNDUP(INDEX(Upgrades!$C$3:$C$13,MATCH(SUBSTITUTE(C567,""Sell_"",""""),Upgrades!$B$3:$B$13,0))*1.15^(COUNTIF(C$4:C566,SUBSTITUTE(C567,""Sell_"",""""))-COUNTIF(C$4:C566,"&amp;"""Sell_""&amp;SUBSTITUTE(C567,""Sell_"",""""))))/2),ROUNDUP(INDEX(Upgrades!$C$3:$C$13,MATCH(C567,Upgrades!$B$3:$B$13,0))*1.15^(COUNTIF(C$4:C566,C567)-COUNTIF(C$4:C566,""Sell_""&amp;C567))))))"),"")</f>
        <v/>
      </c>
      <c r="H567" s="10" t="str">
        <f t="shared" si="3"/>
        <v/>
      </c>
      <c r="I567" s="68" t="str">
        <f t="shared" si="4"/>
        <v/>
      </c>
      <c r="J567" s="59" t="str">
        <f t="shared" si="5"/>
        <v/>
      </c>
      <c r="K567" s="69" t="str">
        <f t="shared" si="6"/>
        <v/>
      </c>
      <c r="L567" s="60" t="str">
        <f t="shared" si="7"/>
        <v/>
      </c>
      <c r="M567" s="61" t="str">
        <f>IFERROR(__xludf.DUMMYFUNCTION("IFS(AND(COUNTA(C567:C1673)=0,COUNTA(Q567:Q1673)=0),"""",OR(AND(K567&gt;=1000000000,OR(Y567&gt;=1000000000,COUNTA(Q567:Q1673)=0)),OR(Y567&gt;=1000000000,AND(COUNTA(C567:C1673)=0,P$3=TRUE))),
ROUNDDOWN((AB$1-AC$1)*MAX(INDEX(T$4:T1673,MATCH(LARGE(FILTER(Y$4:Y1673,Y$4"&amp;":Y1673&lt;1000000000),1),Y$4:Y1673)),INDEX(F$4:F1673,MATCH(LARGE(FILTER(K$4:K1673,K$4:K1673&lt;1000000000),1),K$4:K1673)))),AND(K567&lt;1000000000,COUNTA(C567:C1673)&gt;0,P$3=FALSE),
ROUNDDOWN(INDEX(Y$4:Y1673,MATCH(LARGE(FILTER(W$4:W1673,W$4:W1673&lt;=I567),1),W$4:W1673"&amp;"))+(I567-LARGE(FILTER(W$4:W1673,W$4:W1673&lt;=I567),1))*INDEX(T$4:T1673,MATCH(LARGE(FILTER(W$4:W1673,W$4:W1673&lt;=I567),1),W$4:W1673))-K567),1,
ROUNDDOWN(Y567-INDEX(K$4:K1673,MATCH(LARGE(FILTER(I$4:I1673,I$4:I1673&lt;=W567),1),I$4:I1673))-(W567-LARGE(FILTER(I$4:I"&amp;"1673,I$4:I1673&lt;=W567),1))*INDEX(F$4:F1673,MATCH(LARGE(FILTER(I$4:I1673,I$4:I1673&lt;=W567),1),I$4:I1673))))"),"")</f>
        <v/>
      </c>
      <c r="N567" s="60" t="str">
        <f t="shared" si="8"/>
        <v/>
      </c>
      <c r="O567" s="61" t="str">
        <f t="shared" si="9"/>
        <v/>
      </c>
      <c r="P567" s="56" t="str">
        <f t="shared" si="10"/>
        <v/>
      </c>
      <c r="Q567" s="105"/>
      <c r="R567" s="10"/>
      <c r="S567" s="59" t="str">
        <f t="array" ref="S567">IF(COUNTA(Q567:Q1673)=0,"",SUM((COUNTIF(Q$4:Q567,Upgrades!$B$3:$B$13)-COUNTIF(Q$4:Q567,"Sell_"&amp;Upgrades!$B$3:$B$13))*Upgrades!$D$3:$D$13))</f>
        <v/>
      </c>
      <c r="T567" s="66" t="str">
        <f>IFERROR(__xludf.DUMMYFUNCTION("IF(COUNTA(Q567:Q1673)=0,"""",IF(REGEXMATCH(INDEX(FILTER(Q$4:Q567,Q$4:Q567&lt;&gt;""""),ROWS(FILTER(Q$4:Q567,Q$4:Q567&lt;&gt;""""))),""^Sell_""),INDEX(FILTER(T$4:T566,Q$4:Q566&lt;&gt;""""),ROWS(FILTER(Q$4:Q566,Q$4:Q566&lt;&gt;""""))),$AD$5+S567))"),"")</f>
        <v/>
      </c>
      <c r="U567" s="10" t="str">
        <f>IFERROR(__xludf.DUMMYFUNCTION("IF(COUNTA(Q567:Q1673)=0,"""",IF(Q567="""",0,IF(REGEXMATCH(Q567,""^Sell_""),-ROUNDDOWN(ROUNDUP(INDEX(Upgrades!$C$3:$C$13,MATCH(SUBSTITUTE(Q567,""Sell_"",""""),Upgrades!$B$3:$B$13,0))*1.15^(COUNTIF(Q$4:Q566,SUBSTITUTE(Q567,""Sell_"",""""))-COUNTIF(Q$4:Q566,"&amp;"""Sell_""&amp;SUBSTITUTE(Q567,""Sell_"",""""))))/2),ROUNDUP(INDEX(Upgrades!$C$3:$C$13,MATCH(Q567,Upgrades!$B$3:$B$13,0))*1.15^(COUNTIF(Q$4:Q566,Q567)-COUNTIF(Q$4:Q566,""Sell_""&amp;Q567))))))"),"")</f>
        <v/>
      </c>
      <c r="V567" s="10" t="str">
        <f t="shared" si="11"/>
        <v/>
      </c>
      <c r="W567" s="68" t="str">
        <f t="shared" si="12"/>
        <v/>
      </c>
      <c r="X567" s="59" t="str">
        <f t="shared" si="13"/>
        <v/>
      </c>
      <c r="Y567" s="69" t="str">
        <f t="shared" si="14"/>
        <v/>
      </c>
      <c r="Z567" s="11"/>
    </row>
    <row r="568">
      <c r="A568" s="8"/>
      <c r="B568" s="56" t="str">
        <f t="shared" si="2"/>
        <v/>
      </c>
      <c r="C568" s="105"/>
      <c r="D568" s="10"/>
      <c r="E568" s="59" t="str">
        <f t="array" ref="E568">IF(COUNTA(C568:C1673)=0,"",SUM((COUNTIF(C$4:C568,Upgrades!$B$3:$B$13)-COUNTIF(C$4:C568,"Sell_"&amp;Upgrades!$B$3:$B$13))*Upgrades!$D$3:$D$13))</f>
        <v/>
      </c>
      <c r="F568" s="66" t="str">
        <f>IFERROR(__xludf.DUMMYFUNCTION("IF(COUNTA(C568:C1673)=0,"""",IF(REGEXMATCH(INDEX(FILTER(C$4:C568,C$4:C568&lt;&gt;""""),ROWS(FILTER(C$4:C568,C$4:C568&lt;&gt;""""))),""^Sell_""),INDEX(FILTER(F$4:F567,C$4:C567&lt;&gt;""""),ROWS(FILTER(C$4:C567,C$4:C567&lt;&gt;""""))),$AC$5+E568))"),"")</f>
        <v/>
      </c>
      <c r="G568" s="10" t="str">
        <f>IFERROR(__xludf.DUMMYFUNCTION("IF(COUNTA(C568:C1673)=0,"""",IF(C568="""",0,IF(REGEXMATCH(C568,""^Sell_""),-ROUNDDOWN(ROUNDUP(INDEX(Upgrades!$C$3:$C$13,MATCH(SUBSTITUTE(C568,""Sell_"",""""),Upgrades!$B$3:$B$13,0))*1.15^(COUNTIF(C$4:C567,SUBSTITUTE(C568,""Sell_"",""""))-COUNTIF(C$4:C567,"&amp;"""Sell_""&amp;SUBSTITUTE(C568,""Sell_"",""""))))/2),ROUNDUP(INDEX(Upgrades!$C$3:$C$13,MATCH(C568,Upgrades!$B$3:$B$13,0))*1.15^(COUNTIF(C$4:C567,C568)-COUNTIF(C$4:C567,""Sell_""&amp;C568))))))"),"")</f>
        <v/>
      </c>
      <c r="H568" s="10" t="str">
        <f t="shared" si="3"/>
        <v/>
      </c>
      <c r="I568" s="68" t="str">
        <f t="shared" si="4"/>
        <v/>
      </c>
      <c r="J568" s="59" t="str">
        <f t="shared" si="5"/>
        <v/>
      </c>
      <c r="K568" s="69" t="str">
        <f t="shared" si="6"/>
        <v/>
      </c>
      <c r="L568" s="60" t="str">
        <f t="shared" si="7"/>
        <v/>
      </c>
      <c r="M568" s="61" t="str">
        <f>IFERROR(__xludf.DUMMYFUNCTION("IFS(AND(COUNTA(C568:C1673)=0,COUNTA(Q568:Q1673)=0),"""",OR(AND(K568&gt;=1000000000,OR(Y568&gt;=1000000000,COUNTA(Q568:Q1673)=0)),OR(Y568&gt;=1000000000,AND(COUNTA(C568:C1673)=0,P$3=TRUE))),
ROUNDDOWN((AB$1-AC$1)*MAX(INDEX(T$4:T1673,MATCH(LARGE(FILTER(Y$4:Y1673,Y$4"&amp;":Y1673&lt;1000000000),1),Y$4:Y1673)),INDEX(F$4:F1673,MATCH(LARGE(FILTER(K$4:K1673,K$4:K1673&lt;1000000000),1),K$4:K1673)))),AND(K568&lt;1000000000,COUNTA(C568:C1673)&gt;0,P$3=FALSE),
ROUNDDOWN(INDEX(Y$4:Y1673,MATCH(LARGE(FILTER(W$4:W1673,W$4:W1673&lt;=I568),1),W$4:W1673"&amp;"))+(I568-LARGE(FILTER(W$4:W1673,W$4:W1673&lt;=I568),1))*INDEX(T$4:T1673,MATCH(LARGE(FILTER(W$4:W1673,W$4:W1673&lt;=I568),1),W$4:W1673))-K568),1,
ROUNDDOWN(Y568-INDEX(K$4:K1673,MATCH(LARGE(FILTER(I$4:I1673,I$4:I1673&lt;=W568),1),I$4:I1673))-(W568-LARGE(FILTER(I$4:I"&amp;"1673,I$4:I1673&lt;=W568),1))*INDEX(F$4:F1673,MATCH(LARGE(FILTER(I$4:I1673,I$4:I1673&lt;=W568),1),I$4:I1673))))"),"")</f>
        <v/>
      </c>
      <c r="N568" s="60" t="str">
        <f t="shared" si="8"/>
        <v/>
      </c>
      <c r="O568" s="61" t="str">
        <f t="shared" si="9"/>
        <v/>
      </c>
      <c r="P568" s="56" t="str">
        <f t="shared" si="10"/>
        <v/>
      </c>
      <c r="Q568" s="105"/>
      <c r="R568" s="10"/>
      <c r="S568" s="59" t="str">
        <f t="array" ref="S568">IF(COUNTA(Q568:Q1673)=0,"",SUM((COUNTIF(Q$4:Q568,Upgrades!$B$3:$B$13)-COUNTIF(Q$4:Q568,"Sell_"&amp;Upgrades!$B$3:$B$13))*Upgrades!$D$3:$D$13))</f>
        <v/>
      </c>
      <c r="T568" s="66" t="str">
        <f>IFERROR(__xludf.DUMMYFUNCTION("IF(COUNTA(Q568:Q1673)=0,"""",IF(REGEXMATCH(INDEX(FILTER(Q$4:Q568,Q$4:Q568&lt;&gt;""""),ROWS(FILTER(Q$4:Q568,Q$4:Q568&lt;&gt;""""))),""^Sell_""),INDEX(FILTER(T$4:T567,Q$4:Q567&lt;&gt;""""),ROWS(FILTER(Q$4:Q567,Q$4:Q567&lt;&gt;""""))),$AD$5+S568))"),"")</f>
        <v/>
      </c>
      <c r="U568" s="10" t="str">
        <f>IFERROR(__xludf.DUMMYFUNCTION("IF(COUNTA(Q568:Q1673)=0,"""",IF(Q568="""",0,IF(REGEXMATCH(Q568,""^Sell_""),-ROUNDDOWN(ROUNDUP(INDEX(Upgrades!$C$3:$C$13,MATCH(SUBSTITUTE(Q568,""Sell_"",""""),Upgrades!$B$3:$B$13,0))*1.15^(COUNTIF(Q$4:Q567,SUBSTITUTE(Q568,""Sell_"",""""))-COUNTIF(Q$4:Q567,"&amp;"""Sell_""&amp;SUBSTITUTE(Q568,""Sell_"",""""))))/2),ROUNDUP(INDEX(Upgrades!$C$3:$C$13,MATCH(Q568,Upgrades!$B$3:$B$13,0))*1.15^(COUNTIF(Q$4:Q567,Q568)-COUNTIF(Q$4:Q567,""Sell_""&amp;Q568))))))"),"")</f>
        <v/>
      </c>
      <c r="V568" s="10" t="str">
        <f t="shared" si="11"/>
        <v/>
      </c>
      <c r="W568" s="68" t="str">
        <f t="shared" si="12"/>
        <v/>
      </c>
      <c r="X568" s="59" t="str">
        <f t="shared" si="13"/>
        <v/>
      </c>
      <c r="Y568" s="69" t="str">
        <f t="shared" si="14"/>
        <v/>
      </c>
      <c r="Z568" s="11"/>
    </row>
    <row r="569">
      <c r="A569" s="8"/>
      <c r="B569" s="56" t="str">
        <f t="shared" si="2"/>
        <v/>
      </c>
      <c r="C569" s="105"/>
      <c r="D569" s="10"/>
      <c r="E569" s="59" t="str">
        <f t="array" ref="E569">IF(COUNTA(C569:C1673)=0,"",SUM((COUNTIF(C$4:C569,Upgrades!$B$3:$B$13)-COUNTIF(C$4:C569,"Sell_"&amp;Upgrades!$B$3:$B$13))*Upgrades!$D$3:$D$13))</f>
        <v/>
      </c>
      <c r="F569" s="66" t="str">
        <f>IFERROR(__xludf.DUMMYFUNCTION("IF(COUNTA(C569:C1673)=0,"""",IF(REGEXMATCH(INDEX(FILTER(C$4:C569,C$4:C569&lt;&gt;""""),ROWS(FILTER(C$4:C569,C$4:C569&lt;&gt;""""))),""^Sell_""),INDEX(FILTER(F$4:F568,C$4:C568&lt;&gt;""""),ROWS(FILTER(C$4:C568,C$4:C568&lt;&gt;""""))),$AC$5+E569))"),"")</f>
        <v/>
      </c>
      <c r="G569" s="10" t="str">
        <f>IFERROR(__xludf.DUMMYFUNCTION("IF(COUNTA(C569:C1673)=0,"""",IF(C569="""",0,IF(REGEXMATCH(C569,""^Sell_""),-ROUNDDOWN(ROUNDUP(INDEX(Upgrades!$C$3:$C$13,MATCH(SUBSTITUTE(C569,""Sell_"",""""),Upgrades!$B$3:$B$13,0))*1.15^(COUNTIF(C$4:C568,SUBSTITUTE(C569,""Sell_"",""""))-COUNTIF(C$4:C568,"&amp;"""Sell_""&amp;SUBSTITUTE(C569,""Sell_"",""""))))/2),ROUNDUP(INDEX(Upgrades!$C$3:$C$13,MATCH(C569,Upgrades!$B$3:$B$13,0))*1.15^(COUNTIF(C$4:C568,C569)-COUNTIF(C$4:C568,""Sell_""&amp;C569))))))"),"")</f>
        <v/>
      </c>
      <c r="H569" s="10" t="str">
        <f t="shared" si="3"/>
        <v/>
      </c>
      <c r="I569" s="68" t="str">
        <f t="shared" si="4"/>
        <v/>
      </c>
      <c r="J569" s="59" t="str">
        <f t="shared" si="5"/>
        <v/>
      </c>
      <c r="K569" s="69" t="str">
        <f t="shared" si="6"/>
        <v/>
      </c>
      <c r="L569" s="60" t="str">
        <f t="shared" si="7"/>
        <v/>
      </c>
      <c r="M569" s="61" t="str">
        <f>IFERROR(__xludf.DUMMYFUNCTION("IFS(AND(COUNTA(C569:C1673)=0,COUNTA(Q569:Q1673)=0),"""",OR(AND(K569&gt;=1000000000,OR(Y569&gt;=1000000000,COUNTA(Q569:Q1673)=0)),OR(Y569&gt;=1000000000,AND(COUNTA(C569:C1673)=0,P$3=TRUE))),
ROUNDDOWN((AB$1-AC$1)*MAX(INDEX(T$4:T1673,MATCH(LARGE(FILTER(Y$4:Y1673,Y$4"&amp;":Y1673&lt;1000000000),1),Y$4:Y1673)),INDEX(F$4:F1673,MATCH(LARGE(FILTER(K$4:K1673,K$4:K1673&lt;1000000000),1),K$4:K1673)))),AND(K569&lt;1000000000,COUNTA(C569:C1673)&gt;0,P$3=FALSE),
ROUNDDOWN(INDEX(Y$4:Y1673,MATCH(LARGE(FILTER(W$4:W1673,W$4:W1673&lt;=I569),1),W$4:W1673"&amp;"))+(I569-LARGE(FILTER(W$4:W1673,W$4:W1673&lt;=I569),1))*INDEX(T$4:T1673,MATCH(LARGE(FILTER(W$4:W1673,W$4:W1673&lt;=I569),1),W$4:W1673))-K569),1,
ROUNDDOWN(Y569-INDEX(K$4:K1673,MATCH(LARGE(FILTER(I$4:I1673,I$4:I1673&lt;=W569),1),I$4:I1673))-(W569-LARGE(FILTER(I$4:I"&amp;"1673,I$4:I1673&lt;=W569),1))*INDEX(F$4:F1673,MATCH(LARGE(FILTER(I$4:I1673,I$4:I1673&lt;=W569),1),I$4:I1673))))"),"")</f>
        <v/>
      </c>
      <c r="N569" s="60" t="str">
        <f t="shared" si="8"/>
        <v/>
      </c>
      <c r="O569" s="61" t="str">
        <f t="shared" si="9"/>
        <v/>
      </c>
      <c r="P569" s="56" t="str">
        <f t="shared" si="10"/>
        <v/>
      </c>
      <c r="Q569" s="105"/>
      <c r="R569" s="10"/>
      <c r="S569" s="59" t="str">
        <f t="array" ref="S569">IF(COUNTA(Q569:Q1673)=0,"",SUM((COUNTIF(Q$4:Q569,Upgrades!$B$3:$B$13)-COUNTIF(Q$4:Q569,"Sell_"&amp;Upgrades!$B$3:$B$13))*Upgrades!$D$3:$D$13))</f>
        <v/>
      </c>
      <c r="T569" s="66" t="str">
        <f>IFERROR(__xludf.DUMMYFUNCTION("IF(COUNTA(Q569:Q1673)=0,"""",IF(REGEXMATCH(INDEX(FILTER(Q$4:Q569,Q$4:Q569&lt;&gt;""""),ROWS(FILTER(Q$4:Q569,Q$4:Q569&lt;&gt;""""))),""^Sell_""),INDEX(FILTER(T$4:T568,Q$4:Q568&lt;&gt;""""),ROWS(FILTER(Q$4:Q568,Q$4:Q568&lt;&gt;""""))),$AD$5+S569))"),"")</f>
        <v/>
      </c>
      <c r="U569" s="10" t="str">
        <f>IFERROR(__xludf.DUMMYFUNCTION("IF(COUNTA(Q569:Q1673)=0,"""",IF(Q569="""",0,IF(REGEXMATCH(Q569,""^Sell_""),-ROUNDDOWN(ROUNDUP(INDEX(Upgrades!$C$3:$C$13,MATCH(SUBSTITUTE(Q569,""Sell_"",""""),Upgrades!$B$3:$B$13,0))*1.15^(COUNTIF(Q$4:Q568,SUBSTITUTE(Q569,""Sell_"",""""))-COUNTIF(Q$4:Q568,"&amp;"""Sell_""&amp;SUBSTITUTE(Q569,""Sell_"",""""))))/2),ROUNDUP(INDEX(Upgrades!$C$3:$C$13,MATCH(Q569,Upgrades!$B$3:$B$13,0))*1.15^(COUNTIF(Q$4:Q568,Q569)-COUNTIF(Q$4:Q568,""Sell_""&amp;Q569))))))"),"")</f>
        <v/>
      </c>
      <c r="V569" s="10" t="str">
        <f t="shared" si="11"/>
        <v/>
      </c>
      <c r="W569" s="68" t="str">
        <f t="shared" si="12"/>
        <v/>
      </c>
      <c r="X569" s="59" t="str">
        <f t="shared" si="13"/>
        <v/>
      </c>
      <c r="Y569" s="69" t="str">
        <f t="shared" si="14"/>
        <v/>
      </c>
      <c r="Z569" s="11"/>
    </row>
    <row r="570">
      <c r="A570" s="8"/>
      <c r="B570" s="56" t="str">
        <f t="shared" si="2"/>
        <v/>
      </c>
      <c r="C570" s="105"/>
      <c r="D570" s="10"/>
      <c r="E570" s="59" t="str">
        <f t="array" ref="E570">IF(COUNTA(C570:C1673)=0,"",SUM((COUNTIF(C$4:C570,Upgrades!$B$3:$B$13)-COUNTIF(C$4:C570,"Sell_"&amp;Upgrades!$B$3:$B$13))*Upgrades!$D$3:$D$13))</f>
        <v/>
      </c>
      <c r="F570" s="66" t="str">
        <f>IFERROR(__xludf.DUMMYFUNCTION("IF(COUNTA(C570:C1673)=0,"""",IF(REGEXMATCH(INDEX(FILTER(C$4:C570,C$4:C570&lt;&gt;""""),ROWS(FILTER(C$4:C570,C$4:C570&lt;&gt;""""))),""^Sell_""),INDEX(FILTER(F$4:F569,C$4:C569&lt;&gt;""""),ROWS(FILTER(C$4:C569,C$4:C569&lt;&gt;""""))),$AC$5+E570))"),"")</f>
        <v/>
      </c>
      <c r="G570" s="10" t="str">
        <f>IFERROR(__xludf.DUMMYFUNCTION("IF(COUNTA(C570:C1673)=0,"""",IF(C570="""",0,IF(REGEXMATCH(C570,""^Sell_""),-ROUNDDOWN(ROUNDUP(INDEX(Upgrades!$C$3:$C$13,MATCH(SUBSTITUTE(C570,""Sell_"",""""),Upgrades!$B$3:$B$13,0))*1.15^(COUNTIF(C$4:C569,SUBSTITUTE(C570,""Sell_"",""""))-COUNTIF(C$4:C569,"&amp;"""Sell_""&amp;SUBSTITUTE(C570,""Sell_"",""""))))/2),ROUNDUP(INDEX(Upgrades!$C$3:$C$13,MATCH(C570,Upgrades!$B$3:$B$13,0))*1.15^(COUNTIF(C$4:C569,C570)-COUNTIF(C$4:C569,""Sell_""&amp;C570))))))"),"")</f>
        <v/>
      </c>
      <c r="H570" s="10" t="str">
        <f t="shared" si="3"/>
        <v/>
      </c>
      <c r="I570" s="68" t="str">
        <f t="shared" si="4"/>
        <v/>
      </c>
      <c r="J570" s="59" t="str">
        <f t="shared" si="5"/>
        <v/>
      </c>
      <c r="K570" s="69" t="str">
        <f t="shared" si="6"/>
        <v/>
      </c>
      <c r="L570" s="60" t="str">
        <f t="shared" si="7"/>
        <v/>
      </c>
      <c r="M570" s="61" t="str">
        <f>IFERROR(__xludf.DUMMYFUNCTION("IFS(AND(COUNTA(C570:C1673)=0,COUNTA(Q570:Q1673)=0),"""",OR(AND(K570&gt;=1000000000,OR(Y570&gt;=1000000000,COUNTA(Q570:Q1673)=0)),OR(Y570&gt;=1000000000,AND(COUNTA(C570:C1673)=0,P$3=TRUE))),
ROUNDDOWN((AB$1-AC$1)*MAX(INDEX(T$4:T1673,MATCH(LARGE(FILTER(Y$4:Y1673,Y$4"&amp;":Y1673&lt;1000000000),1),Y$4:Y1673)),INDEX(F$4:F1673,MATCH(LARGE(FILTER(K$4:K1673,K$4:K1673&lt;1000000000),1),K$4:K1673)))),AND(K570&lt;1000000000,COUNTA(C570:C1673)&gt;0,P$3=FALSE),
ROUNDDOWN(INDEX(Y$4:Y1673,MATCH(LARGE(FILTER(W$4:W1673,W$4:W1673&lt;=I570),1),W$4:W1673"&amp;"))+(I570-LARGE(FILTER(W$4:W1673,W$4:W1673&lt;=I570),1))*INDEX(T$4:T1673,MATCH(LARGE(FILTER(W$4:W1673,W$4:W1673&lt;=I570),1),W$4:W1673))-K570),1,
ROUNDDOWN(Y570-INDEX(K$4:K1673,MATCH(LARGE(FILTER(I$4:I1673,I$4:I1673&lt;=W570),1),I$4:I1673))-(W570-LARGE(FILTER(I$4:I"&amp;"1673,I$4:I1673&lt;=W570),1))*INDEX(F$4:F1673,MATCH(LARGE(FILTER(I$4:I1673,I$4:I1673&lt;=W570),1),I$4:I1673))))"),"")</f>
        <v/>
      </c>
      <c r="N570" s="60" t="str">
        <f t="shared" si="8"/>
        <v/>
      </c>
      <c r="O570" s="61" t="str">
        <f t="shared" si="9"/>
        <v/>
      </c>
      <c r="P570" s="56" t="str">
        <f t="shared" si="10"/>
        <v/>
      </c>
      <c r="Q570" s="105"/>
      <c r="R570" s="10"/>
      <c r="S570" s="59" t="str">
        <f t="array" ref="S570">IF(COUNTA(Q570:Q1673)=0,"",SUM((COUNTIF(Q$4:Q570,Upgrades!$B$3:$B$13)-COUNTIF(Q$4:Q570,"Sell_"&amp;Upgrades!$B$3:$B$13))*Upgrades!$D$3:$D$13))</f>
        <v/>
      </c>
      <c r="T570" s="66" t="str">
        <f>IFERROR(__xludf.DUMMYFUNCTION("IF(COUNTA(Q570:Q1673)=0,"""",IF(REGEXMATCH(INDEX(FILTER(Q$4:Q570,Q$4:Q570&lt;&gt;""""),ROWS(FILTER(Q$4:Q570,Q$4:Q570&lt;&gt;""""))),""^Sell_""),INDEX(FILTER(T$4:T569,Q$4:Q569&lt;&gt;""""),ROWS(FILTER(Q$4:Q569,Q$4:Q569&lt;&gt;""""))),$AD$5+S570))"),"")</f>
        <v/>
      </c>
      <c r="U570" s="10" t="str">
        <f>IFERROR(__xludf.DUMMYFUNCTION("IF(COUNTA(Q570:Q1673)=0,"""",IF(Q570="""",0,IF(REGEXMATCH(Q570,""^Sell_""),-ROUNDDOWN(ROUNDUP(INDEX(Upgrades!$C$3:$C$13,MATCH(SUBSTITUTE(Q570,""Sell_"",""""),Upgrades!$B$3:$B$13,0))*1.15^(COUNTIF(Q$4:Q569,SUBSTITUTE(Q570,""Sell_"",""""))-COUNTIF(Q$4:Q569,"&amp;"""Sell_""&amp;SUBSTITUTE(Q570,""Sell_"",""""))))/2),ROUNDUP(INDEX(Upgrades!$C$3:$C$13,MATCH(Q570,Upgrades!$B$3:$B$13,0))*1.15^(COUNTIF(Q$4:Q569,Q570)-COUNTIF(Q$4:Q569,""Sell_""&amp;Q570))))))"),"")</f>
        <v/>
      </c>
      <c r="V570" s="10" t="str">
        <f t="shared" si="11"/>
        <v/>
      </c>
      <c r="W570" s="68" t="str">
        <f t="shared" si="12"/>
        <v/>
      </c>
      <c r="X570" s="59" t="str">
        <f t="shared" si="13"/>
        <v/>
      </c>
      <c r="Y570" s="69" t="str">
        <f t="shared" si="14"/>
        <v/>
      </c>
      <c r="Z570" s="11"/>
    </row>
    <row r="571">
      <c r="A571" s="8"/>
      <c r="B571" s="56" t="str">
        <f t="shared" si="2"/>
        <v/>
      </c>
      <c r="C571" s="105"/>
      <c r="D571" s="10"/>
      <c r="E571" s="59" t="str">
        <f t="array" ref="E571">IF(COUNTA(C571:C1673)=0,"",SUM((COUNTIF(C$4:C571,Upgrades!$B$3:$B$13)-COUNTIF(C$4:C571,"Sell_"&amp;Upgrades!$B$3:$B$13))*Upgrades!$D$3:$D$13))</f>
        <v/>
      </c>
      <c r="F571" s="66" t="str">
        <f>IFERROR(__xludf.DUMMYFUNCTION("IF(COUNTA(C571:C1673)=0,"""",IF(REGEXMATCH(INDEX(FILTER(C$4:C571,C$4:C571&lt;&gt;""""),ROWS(FILTER(C$4:C571,C$4:C571&lt;&gt;""""))),""^Sell_""),INDEX(FILTER(F$4:F570,C$4:C570&lt;&gt;""""),ROWS(FILTER(C$4:C570,C$4:C570&lt;&gt;""""))),$AC$5+E571))"),"")</f>
        <v/>
      </c>
      <c r="G571" s="10" t="str">
        <f>IFERROR(__xludf.DUMMYFUNCTION("IF(COUNTA(C571:C1673)=0,"""",IF(C571="""",0,IF(REGEXMATCH(C571,""^Sell_""),-ROUNDDOWN(ROUNDUP(INDEX(Upgrades!$C$3:$C$13,MATCH(SUBSTITUTE(C571,""Sell_"",""""),Upgrades!$B$3:$B$13,0))*1.15^(COUNTIF(C$4:C570,SUBSTITUTE(C571,""Sell_"",""""))-COUNTIF(C$4:C570,"&amp;"""Sell_""&amp;SUBSTITUTE(C571,""Sell_"",""""))))/2),ROUNDUP(INDEX(Upgrades!$C$3:$C$13,MATCH(C571,Upgrades!$B$3:$B$13,0))*1.15^(COUNTIF(C$4:C570,C571)-COUNTIF(C$4:C570,""Sell_""&amp;C571))))))"),"")</f>
        <v/>
      </c>
      <c r="H571" s="10" t="str">
        <f t="shared" si="3"/>
        <v/>
      </c>
      <c r="I571" s="68" t="str">
        <f t="shared" si="4"/>
        <v/>
      </c>
      <c r="J571" s="59" t="str">
        <f t="shared" si="5"/>
        <v/>
      </c>
      <c r="K571" s="69" t="str">
        <f t="shared" si="6"/>
        <v/>
      </c>
      <c r="L571" s="60" t="str">
        <f t="shared" si="7"/>
        <v/>
      </c>
      <c r="M571" s="61" t="str">
        <f>IFERROR(__xludf.DUMMYFUNCTION("IFS(AND(COUNTA(C571:C1673)=0,COUNTA(Q571:Q1673)=0),"""",OR(AND(K571&gt;=1000000000,OR(Y571&gt;=1000000000,COUNTA(Q571:Q1673)=0)),OR(Y571&gt;=1000000000,AND(COUNTA(C571:C1673)=0,P$3=TRUE))),
ROUNDDOWN((AB$1-AC$1)*MAX(INDEX(T$4:T1673,MATCH(LARGE(FILTER(Y$4:Y1673,Y$4"&amp;":Y1673&lt;1000000000),1),Y$4:Y1673)),INDEX(F$4:F1673,MATCH(LARGE(FILTER(K$4:K1673,K$4:K1673&lt;1000000000),1),K$4:K1673)))),AND(K571&lt;1000000000,COUNTA(C571:C1673)&gt;0,P$3=FALSE),
ROUNDDOWN(INDEX(Y$4:Y1673,MATCH(LARGE(FILTER(W$4:W1673,W$4:W1673&lt;=I571),1),W$4:W1673"&amp;"))+(I571-LARGE(FILTER(W$4:W1673,W$4:W1673&lt;=I571),1))*INDEX(T$4:T1673,MATCH(LARGE(FILTER(W$4:W1673,W$4:W1673&lt;=I571),1),W$4:W1673))-K571),1,
ROUNDDOWN(Y571-INDEX(K$4:K1673,MATCH(LARGE(FILTER(I$4:I1673,I$4:I1673&lt;=W571),1),I$4:I1673))-(W571-LARGE(FILTER(I$4:I"&amp;"1673,I$4:I1673&lt;=W571),1))*INDEX(F$4:F1673,MATCH(LARGE(FILTER(I$4:I1673,I$4:I1673&lt;=W571),1),I$4:I1673))))"),"")</f>
        <v/>
      </c>
      <c r="N571" s="60" t="str">
        <f t="shared" si="8"/>
        <v/>
      </c>
      <c r="O571" s="61" t="str">
        <f t="shared" si="9"/>
        <v/>
      </c>
      <c r="P571" s="56" t="str">
        <f t="shared" si="10"/>
        <v/>
      </c>
      <c r="Q571" s="105"/>
      <c r="R571" s="10"/>
      <c r="S571" s="59" t="str">
        <f t="array" ref="S571">IF(COUNTA(Q571:Q1673)=0,"",SUM((COUNTIF(Q$4:Q571,Upgrades!$B$3:$B$13)-COUNTIF(Q$4:Q571,"Sell_"&amp;Upgrades!$B$3:$B$13))*Upgrades!$D$3:$D$13))</f>
        <v/>
      </c>
      <c r="T571" s="66" t="str">
        <f>IFERROR(__xludf.DUMMYFUNCTION("IF(COUNTA(Q571:Q1673)=0,"""",IF(REGEXMATCH(INDEX(FILTER(Q$4:Q571,Q$4:Q571&lt;&gt;""""),ROWS(FILTER(Q$4:Q571,Q$4:Q571&lt;&gt;""""))),""^Sell_""),INDEX(FILTER(T$4:T570,Q$4:Q570&lt;&gt;""""),ROWS(FILTER(Q$4:Q570,Q$4:Q570&lt;&gt;""""))),$AD$5+S571))"),"")</f>
        <v/>
      </c>
      <c r="U571" s="10" t="str">
        <f>IFERROR(__xludf.DUMMYFUNCTION("IF(COUNTA(Q571:Q1673)=0,"""",IF(Q571="""",0,IF(REGEXMATCH(Q571,""^Sell_""),-ROUNDDOWN(ROUNDUP(INDEX(Upgrades!$C$3:$C$13,MATCH(SUBSTITUTE(Q571,""Sell_"",""""),Upgrades!$B$3:$B$13,0))*1.15^(COUNTIF(Q$4:Q570,SUBSTITUTE(Q571,""Sell_"",""""))-COUNTIF(Q$4:Q570,"&amp;"""Sell_""&amp;SUBSTITUTE(Q571,""Sell_"",""""))))/2),ROUNDUP(INDEX(Upgrades!$C$3:$C$13,MATCH(Q571,Upgrades!$B$3:$B$13,0))*1.15^(COUNTIF(Q$4:Q570,Q571)-COUNTIF(Q$4:Q570,""Sell_""&amp;Q571))))))"),"")</f>
        <v/>
      </c>
      <c r="V571" s="10" t="str">
        <f t="shared" si="11"/>
        <v/>
      </c>
      <c r="W571" s="68" t="str">
        <f t="shared" si="12"/>
        <v/>
      </c>
      <c r="X571" s="59" t="str">
        <f t="shared" si="13"/>
        <v/>
      </c>
      <c r="Y571" s="69" t="str">
        <f t="shared" si="14"/>
        <v/>
      </c>
      <c r="Z571" s="11"/>
    </row>
    <row r="572">
      <c r="A572" s="8"/>
      <c r="B572" s="56" t="str">
        <f t="shared" si="2"/>
        <v/>
      </c>
      <c r="C572" s="105"/>
      <c r="D572" s="10"/>
      <c r="E572" s="59" t="str">
        <f t="array" ref="E572">IF(COUNTA(C572:C1673)=0,"",SUM((COUNTIF(C$4:C572,Upgrades!$B$3:$B$13)-COUNTIF(C$4:C572,"Sell_"&amp;Upgrades!$B$3:$B$13))*Upgrades!$D$3:$D$13))</f>
        <v/>
      </c>
      <c r="F572" s="66" t="str">
        <f>IFERROR(__xludf.DUMMYFUNCTION("IF(COUNTA(C572:C1673)=0,"""",IF(REGEXMATCH(INDEX(FILTER(C$4:C572,C$4:C572&lt;&gt;""""),ROWS(FILTER(C$4:C572,C$4:C572&lt;&gt;""""))),""^Sell_""),INDEX(FILTER(F$4:F571,C$4:C571&lt;&gt;""""),ROWS(FILTER(C$4:C571,C$4:C571&lt;&gt;""""))),$AC$5+E572))"),"")</f>
        <v/>
      </c>
      <c r="G572" s="10" t="str">
        <f>IFERROR(__xludf.DUMMYFUNCTION("IF(COUNTA(C572:C1673)=0,"""",IF(C572="""",0,IF(REGEXMATCH(C572,""^Sell_""),-ROUNDDOWN(ROUNDUP(INDEX(Upgrades!$C$3:$C$13,MATCH(SUBSTITUTE(C572,""Sell_"",""""),Upgrades!$B$3:$B$13,0))*1.15^(COUNTIF(C$4:C571,SUBSTITUTE(C572,""Sell_"",""""))-COUNTIF(C$4:C571,"&amp;"""Sell_""&amp;SUBSTITUTE(C572,""Sell_"",""""))))/2),ROUNDUP(INDEX(Upgrades!$C$3:$C$13,MATCH(C572,Upgrades!$B$3:$B$13,0))*1.15^(COUNTIF(C$4:C571,C572)-COUNTIF(C$4:C571,""Sell_""&amp;C572))))))"),"")</f>
        <v/>
      </c>
      <c r="H572" s="10" t="str">
        <f t="shared" si="3"/>
        <v/>
      </c>
      <c r="I572" s="68" t="str">
        <f t="shared" si="4"/>
        <v/>
      </c>
      <c r="J572" s="59" t="str">
        <f t="shared" si="5"/>
        <v/>
      </c>
      <c r="K572" s="69" t="str">
        <f t="shared" si="6"/>
        <v/>
      </c>
      <c r="L572" s="60" t="str">
        <f t="shared" si="7"/>
        <v/>
      </c>
      <c r="M572" s="61" t="str">
        <f>IFERROR(__xludf.DUMMYFUNCTION("IFS(AND(COUNTA(C572:C1673)=0,COUNTA(Q572:Q1673)=0),"""",OR(AND(K572&gt;=1000000000,OR(Y572&gt;=1000000000,COUNTA(Q572:Q1673)=0)),OR(Y572&gt;=1000000000,AND(COUNTA(C572:C1673)=0,P$3=TRUE))),
ROUNDDOWN((AB$1-AC$1)*MAX(INDEX(T$4:T1673,MATCH(LARGE(FILTER(Y$4:Y1673,Y$4"&amp;":Y1673&lt;1000000000),1),Y$4:Y1673)),INDEX(F$4:F1673,MATCH(LARGE(FILTER(K$4:K1673,K$4:K1673&lt;1000000000),1),K$4:K1673)))),AND(K572&lt;1000000000,COUNTA(C572:C1673)&gt;0,P$3=FALSE),
ROUNDDOWN(INDEX(Y$4:Y1673,MATCH(LARGE(FILTER(W$4:W1673,W$4:W1673&lt;=I572),1),W$4:W1673"&amp;"))+(I572-LARGE(FILTER(W$4:W1673,W$4:W1673&lt;=I572),1))*INDEX(T$4:T1673,MATCH(LARGE(FILTER(W$4:W1673,W$4:W1673&lt;=I572),1),W$4:W1673))-K572),1,
ROUNDDOWN(Y572-INDEX(K$4:K1673,MATCH(LARGE(FILTER(I$4:I1673,I$4:I1673&lt;=W572),1),I$4:I1673))-(W572-LARGE(FILTER(I$4:I"&amp;"1673,I$4:I1673&lt;=W572),1))*INDEX(F$4:F1673,MATCH(LARGE(FILTER(I$4:I1673,I$4:I1673&lt;=W572),1),I$4:I1673))))"),"")</f>
        <v/>
      </c>
      <c r="N572" s="60" t="str">
        <f t="shared" si="8"/>
        <v/>
      </c>
      <c r="O572" s="61" t="str">
        <f t="shared" si="9"/>
        <v/>
      </c>
      <c r="P572" s="56" t="str">
        <f t="shared" si="10"/>
        <v/>
      </c>
      <c r="Q572" s="105"/>
      <c r="R572" s="10"/>
      <c r="S572" s="59" t="str">
        <f t="array" ref="S572">IF(COUNTA(Q572:Q1673)=0,"",SUM((COUNTIF(Q$4:Q572,Upgrades!$B$3:$B$13)-COUNTIF(Q$4:Q572,"Sell_"&amp;Upgrades!$B$3:$B$13))*Upgrades!$D$3:$D$13))</f>
        <v/>
      </c>
      <c r="T572" s="66" t="str">
        <f>IFERROR(__xludf.DUMMYFUNCTION("IF(COUNTA(Q572:Q1673)=0,"""",IF(REGEXMATCH(INDEX(FILTER(Q$4:Q572,Q$4:Q572&lt;&gt;""""),ROWS(FILTER(Q$4:Q572,Q$4:Q572&lt;&gt;""""))),""^Sell_""),INDEX(FILTER(T$4:T571,Q$4:Q571&lt;&gt;""""),ROWS(FILTER(Q$4:Q571,Q$4:Q571&lt;&gt;""""))),$AD$5+S572))"),"")</f>
        <v/>
      </c>
      <c r="U572" s="10" t="str">
        <f>IFERROR(__xludf.DUMMYFUNCTION("IF(COUNTA(Q572:Q1673)=0,"""",IF(Q572="""",0,IF(REGEXMATCH(Q572,""^Sell_""),-ROUNDDOWN(ROUNDUP(INDEX(Upgrades!$C$3:$C$13,MATCH(SUBSTITUTE(Q572,""Sell_"",""""),Upgrades!$B$3:$B$13,0))*1.15^(COUNTIF(Q$4:Q571,SUBSTITUTE(Q572,""Sell_"",""""))-COUNTIF(Q$4:Q571,"&amp;"""Sell_""&amp;SUBSTITUTE(Q572,""Sell_"",""""))))/2),ROUNDUP(INDEX(Upgrades!$C$3:$C$13,MATCH(Q572,Upgrades!$B$3:$B$13,0))*1.15^(COUNTIF(Q$4:Q571,Q572)-COUNTIF(Q$4:Q571,""Sell_""&amp;Q572))))))"),"")</f>
        <v/>
      </c>
      <c r="V572" s="10" t="str">
        <f t="shared" si="11"/>
        <v/>
      </c>
      <c r="W572" s="68" t="str">
        <f t="shared" si="12"/>
        <v/>
      </c>
      <c r="X572" s="59" t="str">
        <f t="shared" si="13"/>
        <v/>
      </c>
      <c r="Y572" s="69" t="str">
        <f t="shared" si="14"/>
        <v/>
      </c>
      <c r="Z572" s="11"/>
    </row>
    <row r="573">
      <c r="A573" s="8"/>
      <c r="B573" s="56" t="str">
        <f t="shared" si="2"/>
        <v/>
      </c>
      <c r="C573" s="105"/>
      <c r="D573" s="10"/>
      <c r="E573" s="59" t="str">
        <f t="array" ref="E573">IF(COUNTA(C573:C1673)=0,"",SUM((COUNTIF(C$4:C573,Upgrades!$B$3:$B$13)-COUNTIF(C$4:C573,"Sell_"&amp;Upgrades!$B$3:$B$13))*Upgrades!$D$3:$D$13))</f>
        <v/>
      </c>
      <c r="F573" s="66" t="str">
        <f>IFERROR(__xludf.DUMMYFUNCTION("IF(COUNTA(C573:C1673)=0,"""",IF(REGEXMATCH(INDEX(FILTER(C$4:C573,C$4:C573&lt;&gt;""""),ROWS(FILTER(C$4:C573,C$4:C573&lt;&gt;""""))),""^Sell_""),INDEX(FILTER(F$4:F572,C$4:C572&lt;&gt;""""),ROWS(FILTER(C$4:C572,C$4:C572&lt;&gt;""""))),$AC$5+E573))"),"")</f>
        <v/>
      </c>
      <c r="G573" s="10" t="str">
        <f>IFERROR(__xludf.DUMMYFUNCTION("IF(COUNTA(C573:C1673)=0,"""",IF(C573="""",0,IF(REGEXMATCH(C573,""^Sell_""),-ROUNDDOWN(ROUNDUP(INDEX(Upgrades!$C$3:$C$13,MATCH(SUBSTITUTE(C573,""Sell_"",""""),Upgrades!$B$3:$B$13,0))*1.15^(COUNTIF(C$4:C572,SUBSTITUTE(C573,""Sell_"",""""))-COUNTIF(C$4:C572,"&amp;"""Sell_""&amp;SUBSTITUTE(C573,""Sell_"",""""))))/2),ROUNDUP(INDEX(Upgrades!$C$3:$C$13,MATCH(C573,Upgrades!$B$3:$B$13,0))*1.15^(COUNTIF(C$4:C572,C573)-COUNTIF(C$4:C572,""Sell_""&amp;C573))))))"),"")</f>
        <v/>
      </c>
      <c r="H573" s="10" t="str">
        <f t="shared" si="3"/>
        <v/>
      </c>
      <c r="I573" s="68" t="str">
        <f t="shared" si="4"/>
        <v/>
      </c>
      <c r="J573" s="59" t="str">
        <f t="shared" si="5"/>
        <v/>
      </c>
      <c r="K573" s="69" t="str">
        <f t="shared" si="6"/>
        <v/>
      </c>
      <c r="L573" s="60" t="str">
        <f t="shared" si="7"/>
        <v/>
      </c>
      <c r="M573" s="61" t="str">
        <f>IFERROR(__xludf.DUMMYFUNCTION("IFS(AND(COUNTA(C573:C1673)=0,COUNTA(Q573:Q1673)=0),"""",OR(AND(K573&gt;=1000000000,OR(Y573&gt;=1000000000,COUNTA(Q573:Q1673)=0)),OR(Y573&gt;=1000000000,AND(COUNTA(C573:C1673)=0,P$3=TRUE))),
ROUNDDOWN((AB$1-AC$1)*MAX(INDEX(T$4:T1673,MATCH(LARGE(FILTER(Y$4:Y1673,Y$4"&amp;":Y1673&lt;1000000000),1),Y$4:Y1673)),INDEX(F$4:F1673,MATCH(LARGE(FILTER(K$4:K1673,K$4:K1673&lt;1000000000),1),K$4:K1673)))),AND(K573&lt;1000000000,COUNTA(C573:C1673)&gt;0,P$3=FALSE),
ROUNDDOWN(INDEX(Y$4:Y1673,MATCH(LARGE(FILTER(W$4:W1673,W$4:W1673&lt;=I573),1),W$4:W1673"&amp;"))+(I573-LARGE(FILTER(W$4:W1673,W$4:W1673&lt;=I573),1))*INDEX(T$4:T1673,MATCH(LARGE(FILTER(W$4:W1673,W$4:W1673&lt;=I573),1),W$4:W1673))-K573),1,
ROUNDDOWN(Y573-INDEX(K$4:K1673,MATCH(LARGE(FILTER(I$4:I1673,I$4:I1673&lt;=W573),1),I$4:I1673))-(W573-LARGE(FILTER(I$4:I"&amp;"1673,I$4:I1673&lt;=W573),1))*INDEX(F$4:F1673,MATCH(LARGE(FILTER(I$4:I1673,I$4:I1673&lt;=W573),1),I$4:I1673))))"),"")</f>
        <v/>
      </c>
      <c r="N573" s="60" t="str">
        <f t="shared" si="8"/>
        <v/>
      </c>
      <c r="O573" s="61" t="str">
        <f t="shared" si="9"/>
        <v/>
      </c>
      <c r="P573" s="56" t="str">
        <f t="shared" si="10"/>
        <v/>
      </c>
      <c r="Q573" s="105"/>
      <c r="R573" s="10"/>
      <c r="S573" s="59" t="str">
        <f t="array" ref="S573">IF(COUNTA(Q573:Q1673)=0,"",SUM((COUNTIF(Q$4:Q573,Upgrades!$B$3:$B$13)-COUNTIF(Q$4:Q573,"Sell_"&amp;Upgrades!$B$3:$B$13))*Upgrades!$D$3:$D$13))</f>
        <v/>
      </c>
      <c r="T573" s="66" t="str">
        <f>IFERROR(__xludf.DUMMYFUNCTION("IF(COUNTA(Q573:Q1673)=0,"""",IF(REGEXMATCH(INDEX(FILTER(Q$4:Q573,Q$4:Q573&lt;&gt;""""),ROWS(FILTER(Q$4:Q573,Q$4:Q573&lt;&gt;""""))),""^Sell_""),INDEX(FILTER(T$4:T572,Q$4:Q572&lt;&gt;""""),ROWS(FILTER(Q$4:Q572,Q$4:Q572&lt;&gt;""""))),$AD$5+S573))"),"")</f>
        <v/>
      </c>
      <c r="U573" s="10" t="str">
        <f>IFERROR(__xludf.DUMMYFUNCTION("IF(COUNTA(Q573:Q1673)=0,"""",IF(Q573="""",0,IF(REGEXMATCH(Q573,""^Sell_""),-ROUNDDOWN(ROUNDUP(INDEX(Upgrades!$C$3:$C$13,MATCH(SUBSTITUTE(Q573,""Sell_"",""""),Upgrades!$B$3:$B$13,0))*1.15^(COUNTIF(Q$4:Q572,SUBSTITUTE(Q573,""Sell_"",""""))-COUNTIF(Q$4:Q572,"&amp;"""Sell_""&amp;SUBSTITUTE(Q573,""Sell_"",""""))))/2),ROUNDUP(INDEX(Upgrades!$C$3:$C$13,MATCH(Q573,Upgrades!$B$3:$B$13,0))*1.15^(COUNTIF(Q$4:Q572,Q573)-COUNTIF(Q$4:Q572,""Sell_""&amp;Q573))))))"),"")</f>
        <v/>
      </c>
      <c r="V573" s="10" t="str">
        <f t="shared" si="11"/>
        <v/>
      </c>
      <c r="W573" s="68" t="str">
        <f t="shared" si="12"/>
        <v/>
      </c>
      <c r="X573" s="59" t="str">
        <f t="shared" si="13"/>
        <v/>
      </c>
      <c r="Y573" s="69" t="str">
        <f t="shared" si="14"/>
        <v/>
      </c>
      <c r="Z573" s="11"/>
    </row>
    <row r="574">
      <c r="A574" s="8"/>
      <c r="B574" s="56" t="str">
        <f t="shared" si="2"/>
        <v/>
      </c>
      <c r="C574" s="105"/>
      <c r="D574" s="10"/>
      <c r="E574" s="59" t="str">
        <f t="array" ref="E574">IF(COUNTA(C574:C1673)=0,"",SUM((COUNTIF(C$4:C574,Upgrades!$B$3:$B$13)-COUNTIF(C$4:C574,"Sell_"&amp;Upgrades!$B$3:$B$13))*Upgrades!$D$3:$D$13))</f>
        <v/>
      </c>
      <c r="F574" s="66" t="str">
        <f>IFERROR(__xludf.DUMMYFUNCTION("IF(COUNTA(C574:C1673)=0,"""",IF(REGEXMATCH(INDEX(FILTER(C$4:C574,C$4:C574&lt;&gt;""""),ROWS(FILTER(C$4:C574,C$4:C574&lt;&gt;""""))),""^Sell_""),INDEX(FILTER(F$4:F573,C$4:C573&lt;&gt;""""),ROWS(FILTER(C$4:C573,C$4:C573&lt;&gt;""""))),$AC$5+E574))"),"")</f>
        <v/>
      </c>
      <c r="G574" s="10" t="str">
        <f>IFERROR(__xludf.DUMMYFUNCTION("IF(COUNTA(C574:C1673)=0,"""",IF(C574="""",0,IF(REGEXMATCH(C574,""^Sell_""),-ROUNDDOWN(ROUNDUP(INDEX(Upgrades!$C$3:$C$13,MATCH(SUBSTITUTE(C574,""Sell_"",""""),Upgrades!$B$3:$B$13,0))*1.15^(COUNTIF(C$4:C573,SUBSTITUTE(C574,""Sell_"",""""))-COUNTIF(C$4:C573,"&amp;"""Sell_""&amp;SUBSTITUTE(C574,""Sell_"",""""))))/2),ROUNDUP(INDEX(Upgrades!$C$3:$C$13,MATCH(C574,Upgrades!$B$3:$B$13,0))*1.15^(COUNTIF(C$4:C573,C574)-COUNTIF(C$4:C573,""Sell_""&amp;C574))))))"),"")</f>
        <v/>
      </c>
      <c r="H574" s="10" t="str">
        <f t="shared" si="3"/>
        <v/>
      </c>
      <c r="I574" s="68" t="str">
        <f t="shared" si="4"/>
        <v/>
      </c>
      <c r="J574" s="59" t="str">
        <f t="shared" si="5"/>
        <v/>
      </c>
      <c r="K574" s="69" t="str">
        <f t="shared" si="6"/>
        <v/>
      </c>
      <c r="L574" s="60" t="str">
        <f t="shared" si="7"/>
        <v/>
      </c>
      <c r="M574" s="61" t="str">
        <f>IFERROR(__xludf.DUMMYFUNCTION("IFS(AND(COUNTA(C574:C1673)=0,COUNTA(Q574:Q1673)=0),"""",OR(AND(K574&gt;=1000000000,OR(Y574&gt;=1000000000,COUNTA(Q574:Q1673)=0)),OR(Y574&gt;=1000000000,AND(COUNTA(C574:C1673)=0,P$3=TRUE))),
ROUNDDOWN((AB$1-AC$1)*MAX(INDEX(T$4:T1673,MATCH(LARGE(FILTER(Y$4:Y1673,Y$4"&amp;":Y1673&lt;1000000000),1),Y$4:Y1673)),INDEX(F$4:F1673,MATCH(LARGE(FILTER(K$4:K1673,K$4:K1673&lt;1000000000),1),K$4:K1673)))),AND(K574&lt;1000000000,COUNTA(C574:C1673)&gt;0,P$3=FALSE),
ROUNDDOWN(INDEX(Y$4:Y1673,MATCH(LARGE(FILTER(W$4:W1673,W$4:W1673&lt;=I574),1),W$4:W1673"&amp;"))+(I574-LARGE(FILTER(W$4:W1673,W$4:W1673&lt;=I574),1))*INDEX(T$4:T1673,MATCH(LARGE(FILTER(W$4:W1673,W$4:W1673&lt;=I574),1),W$4:W1673))-K574),1,
ROUNDDOWN(Y574-INDEX(K$4:K1673,MATCH(LARGE(FILTER(I$4:I1673,I$4:I1673&lt;=W574),1),I$4:I1673))-(W574-LARGE(FILTER(I$4:I"&amp;"1673,I$4:I1673&lt;=W574),1))*INDEX(F$4:F1673,MATCH(LARGE(FILTER(I$4:I1673,I$4:I1673&lt;=W574),1),I$4:I1673))))"),"")</f>
        <v/>
      </c>
      <c r="N574" s="60" t="str">
        <f t="shared" si="8"/>
        <v/>
      </c>
      <c r="O574" s="61" t="str">
        <f t="shared" si="9"/>
        <v/>
      </c>
      <c r="P574" s="56" t="str">
        <f t="shared" si="10"/>
        <v/>
      </c>
      <c r="Q574" s="105"/>
      <c r="R574" s="10"/>
      <c r="S574" s="59" t="str">
        <f t="array" ref="S574">IF(COUNTA(Q574:Q1673)=0,"",SUM((COUNTIF(Q$4:Q574,Upgrades!$B$3:$B$13)-COUNTIF(Q$4:Q574,"Sell_"&amp;Upgrades!$B$3:$B$13))*Upgrades!$D$3:$D$13))</f>
        <v/>
      </c>
      <c r="T574" s="66" t="str">
        <f>IFERROR(__xludf.DUMMYFUNCTION("IF(COUNTA(Q574:Q1673)=0,"""",IF(REGEXMATCH(INDEX(FILTER(Q$4:Q574,Q$4:Q574&lt;&gt;""""),ROWS(FILTER(Q$4:Q574,Q$4:Q574&lt;&gt;""""))),""^Sell_""),INDEX(FILTER(T$4:T573,Q$4:Q573&lt;&gt;""""),ROWS(FILTER(Q$4:Q573,Q$4:Q573&lt;&gt;""""))),$AD$5+S574))"),"")</f>
        <v/>
      </c>
      <c r="U574" s="10" t="str">
        <f>IFERROR(__xludf.DUMMYFUNCTION("IF(COUNTA(Q574:Q1673)=0,"""",IF(Q574="""",0,IF(REGEXMATCH(Q574,""^Sell_""),-ROUNDDOWN(ROUNDUP(INDEX(Upgrades!$C$3:$C$13,MATCH(SUBSTITUTE(Q574,""Sell_"",""""),Upgrades!$B$3:$B$13,0))*1.15^(COUNTIF(Q$4:Q573,SUBSTITUTE(Q574,""Sell_"",""""))-COUNTIF(Q$4:Q573,"&amp;"""Sell_""&amp;SUBSTITUTE(Q574,""Sell_"",""""))))/2),ROUNDUP(INDEX(Upgrades!$C$3:$C$13,MATCH(Q574,Upgrades!$B$3:$B$13,0))*1.15^(COUNTIF(Q$4:Q573,Q574)-COUNTIF(Q$4:Q573,""Sell_""&amp;Q574))))))"),"")</f>
        <v/>
      </c>
      <c r="V574" s="10" t="str">
        <f t="shared" si="11"/>
        <v/>
      </c>
      <c r="W574" s="68" t="str">
        <f t="shared" si="12"/>
        <v/>
      </c>
      <c r="X574" s="59" t="str">
        <f t="shared" si="13"/>
        <v/>
      </c>
      <c r="Y574" s="69" t="str">
        <f t="shared" si="14"/>
        <v/>
      </c>
      <c r="Z574" s="11"/>
    </row>
    <row r="575">
      <c r="A575" s="8"/>
      <c r="B575" s="56" t="str">
        <f t="shared" si="2"/>
        <v/>
      </c>
      <c r="C575" s="105"/>
      <c r="D575" s="10"/>
      <c r="E575" s="59" t="str">
        <f t="array" ref="E575">IF(COUNTA(C575:C1673)=0,"",SUM((COUNTIF(C$4:C575,Upgrades!$B$3:$B$13)-COUNTIF(C$4:C575,"Sell_"&amp;Upgrades!$B$3:$B$13))*Upgrades!$D$3:$D$13))</f>
        <v/>
      </c>
      <c r="F575" s="66" t="str">
        <f>IFERROR(__xludf.DUMMYFUNCTION("IF(COUNTA(C575:C1673)=0,"""",IF(REGEXMATCH(INDEX(FILTER(C$4:C575,C$4:C575&lt;&gt;""""),ROWS(FILTER(C$4:C575,C$4:C575&lt;&gt;""""))),""^Sell_""),INDEX(FILTER(F$4:F574,C$4:C574&lt;&gt;""""),ROWS(FILTER(C$4:C574,C$4:C574&lt;&gt;""""))),$AC$5+E575))"),"")</f>
        <v/>
      </c>
      <c r="G575" s="10" t="str">
        <f>IFERROR(__xludf.DUMMYFUNCTION("IF(COUNTA(C575:C1673)=0,"""",IF(C575="""",0,IF(REGEXMATCH(C575,""^Sell_""),-ROUNDDOWN(ROUNDUP(INDEX(Upgrades!$C$3:$C$13,MATCH(SUBSTITUTE(C575,""Sell_"",""""),Upgrades!$B$3:$B$13,0))*1.15^(COUNTIF(C$4:C574,SUBSTITUTE(C575,""Sell_"",""""))-COUNTIF(C$4:C574,"&amp;"""Sell_""&amp;SUBSTITUTE(C575,""Sell_"",""""))))/2),ROUNDUP(INDEX(Upgrades!$C$3:$C$13,MATCH(C575,Upgrades!$B$3:$B$13,0))*1.15^(COUNTIF(C$4:C574,C575)-COUNTIF(C$4:C574,""Sell_""&amp;C575))))))"),"")</f>
        <v/>
      </c>
      <c r="H575" s="10" t="str">
        <f t="shared" si="3"/>
        <v/>
      </c>
      <c r="I575" s="68" t="str">
        <f t="shared" si="4"/>
        <v/>
      </c>
      <c r="J575" s="59" t="str">
        <f t="shared" si="5"/>
        <v/>
      </c>
      <c r="K575" s="69" t="str">
        <f t="shared" si="6"/>
        <v/>
      </c>
      <c r="L575" s="60" t="str">
        <f t="shared" si="7"/>
        <v/>
      </c>
      <c r="M575" s="61" t="str">
        <f>IFERROR(__xludf.DUMMYFUNCTION("IFS(AND(COUNTA(C575:C1673)=0,COUNTA(Q575:Q1673)=0),"""",OR(AND(K575&gt;=1000000000,OR(Y575&gt;=1000000000,COUNTA(Q575:Q1673)=0)),OR(Y575&gt;=1000000000,AND(COUNTA(C575:C1673)=0,P$3=TRUE))),
ROUNDDOWN((AB$1-AC$1)*MAX(INDEX(T$4:T1673,MATCH(LARGE(FILTER(Y$4:Y1673,Y$4"&amp;":Y1673&lt;1000000000),1),Y$4:Y1673)),INDEX(F$4:F1673,MATCH(LARGE(FILTER(K$4:K1673,K$4:K1673&lt;1000000000),1),K$4:K1673)))),AND(K575&lt;1000000000,COUNTA(C575:C1673)&gt;0,P$3=FALSE),
ROUNDDOWN(INDEX(Y$4:Y1673,MATCH(LARGE(FILTER(W$4:W1673,W$4:W1673&lt;=I575),1),W$4:W1673"&amp;"))+(I575-LARGE(FILTER(W$4:W1673,W$4:W1673&lt;=I575),1))*INDEX(T$4:T1673,MATCH(LARGE(FILTER(W$4:W1673,W$4:W1673&lt;=I575),1),W$4:W1673))-K575),1,
ROUNDDOWN(Y575-INDEX(K$4:K1673,MATCH(LARGE(FILTER(I$4:I1673,I$4:I1673&lt;=W575),1),I$4:I1673))-(W575-LARGE(FILTER(I$4:I"&amp;"1673,I$4:I1673&lt;=W575),1))*INDEX(F$4:F1673,MATCH(LARGE(FILTER(I$4:I1673,I$4:I1673&lt;=W575),1),I$4:I1673))))"),"")</f>
        <v/>
      </c>
      <c r="N575" s="60" t="str">
        <f t="shared" si="8"/>
        <v/>
      </c>
      <c r="O575" s="61" t="str">
        <f t="shared" si="9"/>
        <v/>
      </c>
      <c r="P575" s="56" t="str">
        <f t="shared" si="10"/>
        <v/>
      </c>
      <c r="Q575" s="105"/>
      <c r="R575" s="10"/>
      <c r="S575" s="59" t="str">
        <f t="array" ref="S575">IF(COUNTA(Q575:Q1673)=0,"",SUM((COUNTIF(Q$4:Q575,Upgrades!$B$3:$B$13)-COUNTIF(Q$4:Q575,"Sell_"&amp;Upgrades!$B$3:$B$13))*Upgrades!$D$3:$D$13))</f>
        <v/>
      </c>
      <c r="T575" s="66" t="str">
        <f>IFERROR(__xludf.DUMMYFUNCTION("IF(COUNTA(Q575:Q1673)=0,"""",IF(REGEXMATCH(INDEX(FILTER(Q$4:Q575,Q$4:Q575&lt;&gt;""""),ROWS(FILTER(Q$4:Q575,Q$4:Q575&lt;&gt;""""))),""^Sell_""),INDEX(FILTER(T$4:T574,Q$4:Q574&lt;&gt;""""),ROWS(FILTER(Q$4:Q574,Q$4:Q574&lt;&gt;""""))),$AD$5+S575))"),"")</f>
        <v/>
      </c>
      <c r="U575" s="10" t="str">
        <f>IFERROR(__xludf.DUMMYFUNCTION("IF(COUNTA(Q575:Q1673)=0,"""",IF(Q575="""",0,IF(REGEXMATCH(Q575,""^Sell_""),-ROUNDDOWN(ROUNDUP(INDEX(Upgrades!$C$3:$C$13,MATCH(SUBSTITUTE(Q575,""Sell_"",""""),Upgrades!$B$3:$B$13,0))*1.15^(COUNTIF(Q$4:Q574,SUBSTITUTE(Q575,""Sell_"",""""))-COUNTIF(Q$4:Q574,"&amp;"""Sell_""&amp;SUBSTITUTE(Q575,""Sell_"",""""))))/2),ROUNDUP(INDEX(Upgrades!$C$3:$C$13,MATCH(Q575,Upgrades!$B$3:$B$13,0))*1.15^(COUNTIF(Q$4:Q574,Q575)-COUNTIF(Q$4:Q574,""Sell_""&amp;Q575))))))"),"")</f>
        <v/>
      </c>
      <c r="V575" s="10" t="str">
        <f t="shared" si="11"/>
        <v/>
      </c>
      <c r="W575" s="68" t="str">
        <f t="shared" si="12"/>
        <v/>
      </c>
      <c r="X575" s="59" t="str">
        <f t="shared" si="13"/>
        <v/>
      </c>
      <c r="Y575" s="69" t="str">
        <f t="shared" si="14"/>
        <v/>
      </c>
      <c r="Z575" s="11"/>
    </row>
    <row r="576">
      <c r="A576" s="8"/>
      <c r="B576" s="56" t="str">
        <f t="shared" si="2"/>
        <v/>
      </c>
      <c r="C576" s="105"/>
      <c r="D576" s="10"/>
      <c r="E576" s="59" t="str">
        <f t="array" ref="E576">IF(COUNTA(C576:C1673)=0,"",SUM((COUNTIF(C$4:C576,Upgrades!$B$3:$B$13)-COUNTIF(C$4:C576,"Sell_"&amp;Upgrades!$B$3:$B$13))*Upgrades!$D$3:$D$13))</f>
        <v/>
      </c>
      <c r="F576" s="66" t="str">
        <f>IFERROR(__xludf.DUMMYFUNCTION("IF(COUNTA(C576:C1673)=0,"""",IF(REGEXMATCH(INDEX(FILTER(C$4:C576,C$4:C576&lt;&gt;""""),ROWS(FILTER(C$4:C576,C$4:C576&lt;&gt;""""))),""^Sell_""),INDEX(FILTER(F$4:F575,C$4:C575&lt;&gt;""""),ROWS(FILTER(C$4:C575,C$4:C575&lt;&gt;""""))),$AC$5+E576))"),"")</f>
        <v/>
      </c>
      <c r="G576" s="10" t="str">
        <f>IFERROR(__xludf.DUMMYFUNCTION("IF(COUNTA(C576:C1673)=0,"""",IF(C576="""",0,IF(REGEXMATCH(C576,""^Sell_""),-ROUNDDOWN(ROUNDUP(INDEX(Upgrades!$C$3:$C$13,MATCH(SUBSTITUTE(C576,""Sell_"",""""),Upgrades!$B$3:$B$13,0))*1.15^(COUNTIF(C$4:C575,SUBSTITUTE(C576,""Sell_"",""""))-COUNTIF(C$4:C575,"&amp;"""Sell_""&amp;SUBSTITUTE(C576,""Sell_"",""""))))/2),ROUNDUP(INDEX(Upgrades!$C$3:$C$13,MATCH(C576,Upgrades!$B$3:$B$13,0))*1.15^(COUNTIF(C$4:C575,C576)-COUNTIF(C$4:C575,""Sell_""&amp;C576))))))"),"")</f>
        <v/>
      </c>
      <c r="H576" s="10" t="str">
        <f t="shared" si="3"/>
        <v/>
      </c>
      <c r="I576" s="68" t="str">
        <f t="shared" si="4"/>
        <v/>
      </c>
      <c r="J576" s="59" t="str">
        <f t="shared" si="5"/>
        <v/>
      </c>
      <c r="K576" s="69" t="str">
        <f t="shared" si="6"/>
        <v/>
      </c>
      <c r="L576" s="60" t="str">
        <f t="shared" si="7"/>
        <v/>
      </c>
      <c r="M576" s="61" t="str">
        <f>IFERROR(__xludf.DUMMYFUNCTION("IFS(AND(COUNTA(C576:C1673)=0,COUNTA(Q576:Q1673)=0),"""",OR(AND(K576&gt;=1000000000,OR(Y576&gt;=1000000000,COUNTA(Q576:Q1673)=0)),OR(Y576&gt;=1000000000,AND(COUNTA(C576:C1673)=0,P$3=TRUE))),
ROUNDDOWN((AB$1-AC$1)*MAX(INDEX(T$4:T1673,MATCH(LARGE(FILTER(Y$4:Y1673,Y$4"&amp;":Y1673&lt;1000000000),1),Y$4:Y1673)),INDEX(F$4:F1673,MATCH(LARGE(FILTER(K$4:K1673,K$4:K1673&lt;1000000000),1),K$4:K1673)))),AND(K576&lt;1000000000,COUNTA(C576:C1673)&gt;0,P$3=FALSE),
ROUNDDOWN(INDEX(Y$4:Y1673,MATCH(LARGE(FILTER(W$4:W1673,W$4:W1673&lt;=I576),1),W$4:W1673"&amp;"))+(I576-LARGE(FILTER(W$4:W1673,W$4:W1673&lt;=I576),1))*INDEX(T$4:T1673,MATCH(LARGE(FILTER(W$4:W1673,W$4:W1673&lt;=I576),1),W$4:W1673))-K576),1,
ROUNDDOWN(Y576-INDEX(K$4:K1673,MATCH(LARGE(FILTER(I$4:I1673,I$4:I1673&lt;=W576),1),I$4:I1673))-(W576-LARGE(FILTER(I$4:I"&amp;"1673,I$4:I1673&lt;=W576),1))*INDEX(F$4:F1673,MATCH(LARGE(FILTER(I$4:I1673,I$4:I1673&lt;=W576),1),I$4:I1673))))"),"")</f>
        <v/>
      </c>
      <c r="N576" s="60" t="str">
        <f t="shared" si="8"/>
        <v/>
      </c>
      <c r="O576" s="61" t="str">
        <f t="shared" si="9"/>
        <v/>
      </c>
      <c r="P576" s="56" t="str">
        <f t="shared" si="10"/>
        <v/>
      </c>
      <c r="Q576" s="105"/>
      <c r="R576" s="10"/>
      <c r="S576" s="59" t="str">
        <f t="array" ref="S576">IF(COUNTA(Q576:Q1673)=0,"",SUM((COUNTIF(Q$4:Q576,Upgrades!$B$3:$B$13)-COUNTIF(Q$4:Q576,"Sell_"&amp;Upgrades!$B$3:$B$13))*Upgrades!$D$3:$D$13))</f>
        <v/>
      </c>
      <c r="T576" s="66" t="str">
        <f>IFERROR(__xludf.DUMMYFUNCTION("IF(COUNTA(Q576:Q1673)=0,"""",IF(REGEXMATCH(INDEX(FILTER(Q$4:Q576,Q$4:Q576&lt;&gt;""""),ROWS(FILTER(Q$4:Q576,Q$4:Q576&lt;&gt;""""))),""^Sell_""),INDEX(FILTER(T$4:T575,Q$4:Q575&lt;&gt;""""),ROWS(FILTER(Q$4:Q575,Q$4:Q575&lt;&gt;""""))),$AD$5+S576))"),"")</f>
        <v/>
      </c>
      <c r="U576" s="10" t="str">
        <f>IFERROR(__xludf.DUMMYFUNCTION("IF(COUNTA(Q576:Q1673)=0,"""",IF(Q576="""",0,IF(REGEXMATCH(Q576,""^Sell_""),-ROUNDDOWN(ROUNDUP(INDEX(Upgrades!$C$3:$C$13,MATCH(SUBSTITUTE(Q576,""Sell_"",""""),Upgrades!$B$3:$B$13,0))*1.15^(COUNTIF(Q$4:Q575,SUBSTITUTE(Q576,""Sell_"",""""))-COUNTIF(Q$4:Q575,"&amp;"""Sell_""&amp;SUBSTITUTE(Q576,""Sell_"",""""))))/2),ROUNDUP(INDEX(Upgrades!$C$3:$C$13,MATCH(Q576,Upgrades!$B$3:$B$13,0))*1.15^(COUNTIF(Q$4:Q575,Q576)-COUNTIF(Q$4:Q575,""Sell_""&amp;Q576))))))"),"")</f>
        <v/>
      </c>
      <c r="V576" s="10" t="str">
        <f t="shared" si="11"/>
        <v/>
      </c>
      <c r="W576" s="68" t="str">
        <f t="shared" si="12"/>
        <v/>
      </c>
      <c r="X576" s="59" t="str">
        <f t="shared" si="13"/>
        <v/>
      </c>
      <c r="Y576" s="69" t="str">
        <f t="shared" si="14"/>
        <v/>
      </c>
      <c r="Z576" s="11"/>
    </row>
    <row r="577">
      <c r="A577" s="8"/>
      <c r="B577" s="56" t="str">
        <f t="shared" si="2"/>
        <v/>
      </c>
      <c r="C577" s="105"/>
      <c r="D577" s="10"/>
      <c r="E577" s="59" t="str">
        <f t="array" ref="E577">IF(COUNTA(C577:C1673)=0,"",SUM((COUNTIF(C$4:C577,Upgrades!$B$3:$B$13)-COUNTIF(C$4:C577,"Sell_"&amp;Upgrades!$B$3:$B$13))*Upgrades!$D$3:$D$13))</f>
        <v/>
      </c>
      <c r="F577" s="66" t="str">
        <f>IFERROR(__xludf.DUMMYFUNCTION("IF(COUNTA(C577:C1673)=0,"""",IF(REGEXMATCH(INDEX(FILTER(C$4:C577,C$4:C577&lt;&gt;""""),ROWS(FILTER(C$4:C577,C$4:C577&lt;&gt;""""))),""^Sell_""),INDEX(FILTER(F$4:F576,C$4:C576&lt;&gt;""""),ROWS(FILTER(C$4:C576,C$4:C576&lt;&gt;""""))),$AC$5+E577))"),"")</f>
        <v/>
      </c>
      <c r="G577" s="10" t="str">
        <f>IFERROR(__xludf.DUMMYFUNCTION("IF(COUNTA(C577:C1673)=0,"""",IF(C577="""",0,IF(REGEXMATCH(C577,""^Sell_""),-ROUNDDOWN(ROUNDUP(INDEX(Upgrades!$C$3:$C$13,MATCH(SUBSTITUTE(C577,""Sell_"",""""),Upgrades!$B$3:$B$13,0))*1.15^(COUNTIF(C$4:C576,SUBSTITUTE(C577,""Sell_"",""""))-COUNTIF(C$4:C576,"&amp;"""Sell_""&amp;SUBSTITUTE(C577,""Sell_"",""""))))/2),ROUNDUP(INDEX(Upgrades!$C$3:$C$13,MATCH(C577,Upgrades!$B$3:$B$13,0))*1.15^(COUNTIF(C$4:C576,C577)-COUNTIF(C$4:C576,""Sell_""&amp;C577))))))"),"")</f>
        <v/>
      </c>
      <c r="H577" s="10" t="str">
        <f t="shared" si="3"/>
        <v/>
      </c>
      <c r="I577" s="68" t="str">
        <f t="shared" si="4"/>
        <v/>
      </c>
      <c r="J577" s="59" t="str">
        <f t="shared" si="5"/>
        <v/>
      </c>
      <c r="K577" s="69" t="str">
        <f t="shared" si="6"/>
        <v/>
      </c>
      <c r="L577" s="60" t="str">
        <f t="shared" si="7"/>
        <v/>
      </c>
      <c r="M577" s="61" t="str">
        <f>IFERROR(__xludf.DUMMYFUNCTION("IFS(AND(COUNTA(C577:C1673)=0,COUNTA(Q577:Q1673)=0),"""",OR(AND(K577&gt;=1000000000,OR(Y577&gt;=1000000000,COUNTA(Q577:Q1673)=0)),OR(Y577&gt;=1000000000,AND(COUNTA(C577:C1673)=0,P$3=TRUE))),
ROUNDDOWN((AB$1-AC$1)*MAX(INDEX(T$4:T1673,MATCH(LARGE(FILTER(Y$4:Y1673,Y$4"&amp;":Y1673&lt;1000000000),1),Y$4:Y1673)),INDEX(F$4:F1673,MATCH(LARGE(FILTER(K$4:K1673,K$4:K1673&lt;1000000000),1),K$4:K1673)))),AND(K577&lt;1000000000,COUNTA(C577:C1673)&gt;0,P$3=FALSE),
ROUNDDOWN(INDEX(Y$4:Y1673,MATCH(LARGE(FILTER(W$4:W1673,W$4:W1673&lt;=I577),1),W$4:W1673"&amp;"))+(I577-LARGE(FILTER(W$4:W1673,W$4:W1673&lt;=I577),1))*INDEX(T$4:T1673,MATCH(LARGE(FILTER(W$4:W1673,W$4:W1673&lt;=I577),1),W$4:W1673))-K577),1,
ROUNDDOWN(Y577-INDEX(K$4:K1673,MATCH(LARGE(FILTER(I$4:I1673,I$4:I1673&lt;=W577),1),I$4:I1673))-(W577-LARGE(FILTER(I$4:I"&amp;"1673,I$4:I1673&lt;=W577),1))*INDEX(F$4:F1673,MATCH(LARGE(FILTER(I$4:I1673,I$4:I1673&lt;=W577),1),I$4:I1673))))"),"")</f>
        <v/>
      </c>
      <c r="N577" s="60" t="str">
        <f t="shared" si="8"/>
        <v/>
      </c>
      <c r="O577" s="61" t="str">
        <f t="shared" si="9"/>
        <v/>
      </c>
      <c r="P577" s="56" t="str">
        <f t="shared" si="10"/>
        <v/>
      </c>
      <c r="Q577" s="105"/>
      <c r="R577" s="10"/>
      <c r="S577" s="59" t="str">
        <f t="array" ref="S577">IF(COUNTA(Q577:Q1673)=0,"",SUM((COUNTIF(Q$4:Q577,Upgrades!$B$3:$B$13)-COUNTIF(Q$4:Q577,"Sell_"&amp;Upgrades!$B$3:$B$13))*Upgrades!$D$3:$D$13))</f>
        <v/>
      </c>
      <c r="T577" s="66" t="str">
        <f>IFERROR(__xludf.DUMMYFUNCTION("IF(COUNTA(Q577:Q1673)=0,"""",IF(REGEXMATCH(INDEX(FILTER(Q$4:Q577,Q$4:Q577&lt;&gt;""""),ROWS(FILTER(Q$4:Q577,Q$4:Q577&lt;&gt;""""))),""^Sell_""),INDEX(FILTER(T$4:T576,Q$4:Q576&lt;&gt;""""),ROWS(FILTER(Q$4:Q576,Q$4:Q576&lt;&gt;""""))),$AD$5+S577))"),"")</f>
        <v/>
      </c>
      <c r="U577" s="10" t="str">
        <f>IFERROR(__xludf.DUMMYFUNCTION("IF(COUNTA(Q577:Q1673)=0,"""",IF(Q577="""",0,IF(REGEXMATCH(Q577,""^Sell_""),-ROUNDDOWN(ROUNDUP(INDEX(Upgrades!$C$3:$C$13,MATCH(SUBSTITUTE(Q577,""Sell_"",""""),Upgrades!$B$3:$B$13,0))*1.15^(COUNTIF(Q$4:Q576,SUBSTITUTE(Q577,""Sell_"",""""))-COUNTIF(Q$4:Q576,"&amp;"""Sell_""&amp;SUBSTITUTE(Q577,""Sell_"",""""))))/2),ROUNDUP(INDEX(Upgrades!$C$3:$C$13,MATCH(Q577,Upgrades!$B$3:$B$13,0))*1.15^(COUNTIF(Q$4:Q576,Q577)-COUNTIF(Q$4:Q576,""Sell_""&amp;Q577))))))"),"")</f>
        <v/>
      </c>
      <c r="V577" s="10" t="str">
        <f t="shared" si="11"/>
        <v/>
      </c>
      <c r="W577" s="68" t="str">
        <f t="shared" si="12"/>
        <v/>
      </c>
      <c r="X577" s="59" t="str">
        <f t="shared" si="13"/>
        <v/>
      </c>
      <c r="Y577" s="69" t="str">
        <f t="shared" si="14"/>
        <v/>
      </c>
      <c r="Z577" s="11"/>
    </row>
    <row r="578">
      <c r="A578" s="8"/>
      <c r="B578" s="56" t="str">
        <f t="shared" si="2"/>
        <v/>
      </c>
      <c r="C578" s="105"/>
      <c r="D578" s="10"/>
      <c r="E578" s="59" t="str">
        <f t="array" ref="E578">IF(COUNTA(C578:C1673)=0,"",SUM((COUNTIF(C$4:C578,Upgrades!$B$3:$B$13)-COUNTIF(C$4:C578,"Sell_"&amp;Upgrades!$B$3:$B$13))*Upgrades!$D$3:$D$13))</f>
        <v/>
      </c>
      <c r="F578" s="66" t="str">
        <f>IFERROR(__xludf.DUMMYFUNCTION("IF(COUNTA(C578:C1673)=0,"""",IF(REGEXMATCH(INDEX(FILTER(C$4:C578,C$4:C578&lt;&gt;""""),ROWS(FILTER(C$4:C578,C$4:C578&lt;&gt;""""))),""^Sell_""),INDEX(FILTER(F$4:F577,C$4:C577&lt;&gt;""""),ROWS(FILTER(C$4:C577,C$4:C577&lt;&gt;""""))),$AC$5+E578))"),"")</f>
        <v/>
      </c>
      <c r="G578" s="10" t="str">
        <f>IFERROR(__xludf.DUMMYFUNCTION("IF(COUNTA(C578:C1673)=0,"""",IF(C578="""",0,IF(REGEXMATCH(C578,""^Sell_""),-ROUNDDOWN(ROUNDUP(INDEX(Upgrades!$C$3:$C$13,MATCH(SUBSTITUTE(C578,""Sell_"",""""),Upgrades!$B$3:$B$13,0))*1.15^(COUNTIF(C$4:C577,SUBSTITUTE(C578,""Sell_"",""""))-COUNTIF(C$4:C577,"&amp;"""Sell_""&amp;SUBSTITUTE(C578,""Sell_"",""""))))/2),ROUNDUP(INDEX(Upgrades!$C$3:$C$13,MATCH(C578,Upgrades!$B$3:$B$13,0))*1.15^(COUNTIF(C$4:C577,C578)-COUNTIF(C$4:C577,""Sell_""&amp;C578))))))"),"")</f>
        <v/>
      </c>
      <c r="H578" s="10" t="str">
        <f t="shared" si="3"/>
        <v/>
      </c>
      <c r="I578" s="68" t="str">
        <f t="shared" si="4"/>
        <v/>
      </c>
      <c r="J578" s="59" t="str">
        <f t="shared" si="5"/>
        <v/>
      </c>
      <c r="K578" s="69" t="str">
        <f t="shared" si="6"/>
        <v/>
      </c>
      <c r="L578" s="60" t="str">
        <f t="shared" si="7"/>
        <v/>
      </c>
      <c r="M578" s="61" t="str">
        <f>IFERROR(__xludf.DUMMYFUNCTION("IFS(AND(COUNTA(C578:C1673)=0,COUNTA(Q578:Q1673)=0),"""",OR(AND(K578&gt;=1000000000,OR(Y578&gt;=1000000000,COUNTA(Q578:Q1673)=0)),OR(Y578&gt;=1000000000,AND(COUNTA(C578:C1673)=0,P$3=TRUE))),
ROUNDDOWN((AB$1-AC$1)*MAX(INDEX(T$4:T1673,MATCH(LARGE(FILTER(Y$4:Y1673,Y$4"&amp;":Y1673&lt;1000000000),1),Y$4:Y1673)),INDEX(F$4:F1673,MATCH(LARGE(FILTER(K$4:K1673,K$4:K1673&lt;1000000000),1),K$4:K1673)))),AND(K578&lt;1000000000,COUNTA(C578:C1673)&gt;0,P$3=FALSE),
ROUNDDOWN(INDEX(Y$4:Y1673,MATCH(LARGE(FILTER(W$4:W1673,W$4:W1673&lt;=I578),1),W$4:W1673"&amp;"))+(I578-LARGE(FILTER(W$4:W1673,W$4:W1673&lt;=I578),1))*INDEX(T$4:T1673,MATCH(LARGE(FILTER(W$4:W1673,W$4:W1673&lt;=I578),1),W$4:W1673))-K578),1,
ROUNDDOWN(Y578-INDEX(K$4:K1673,MATCH(LARGE(FILTER(I$4:I1673,I$4:I1673&lt;=W578),1),I$4:I1673))-(W578-LARGE(FILTER(I$4:I"&amp;"1673,I$4:I1673&lt;=W578),1))*INDEX(F$4:F1673,MATCH(LARGE(FILTER(I$4:I1673,I$4:I1673&lt;=W578),1),I$4:I1673))))"),"")</f>
        <v/>
      </c>
      <c r="N578" s="60" t="str">
        <f t="shared" si="8"/>
        <v/>
      </c>
      <c r="O578" s="61" t="str">
        <f t="shared" si="9"/>
        <v/>
      </c>
      <c r="P578" s="56" t="str">
        <f t="shared" si="10"/>
        <v/>
      </c>
      <c r="Q578" s="105"/>
      <c r="R578" s="10"/>
      <c r="S578" s="59" t="str">
        <f t="array" ref="S578">IF(COUNTA(Q578:Q1673)=0,"",SUM((COUNTIF(Q$4:Q578,Upgrades!$B$3:$B$13)-COUNTIF(Q$4:Q578,"Sell_"&amp;Upgrades!$B$3:$B$13))*Upgrades!$D$3:$D$13))</f>
        <v/>
      </c>
      <c r="T578" s="66" t="str">
        <f>IFERROR(__xludf.DUMMYFUNCTION("IF(COUNTA(Q578:Q1673)=0,"""",IF(REGEXMATCH(INDEX(FILTER(Q$4:Q578,Q$4:Q578&lt;&gt;""""),ROWS(FILTER(Q$4:Q578,Q$4:Q578&lt;&gt;""""))),""^Sell_""),INDEX(FILTER(T$4:T577,Q$4:Q577&lt;&gt;""""),ROWS(FILTER(Q$4:Q577,Q$4:Q577&lt;&gt;""""))),$AD$5+S578))"),"")</f>
        <v/>
      </c>
      <c r="U578" s="10" t="str">
        <f>IFERROR(__xludf.DUMMYFUNCTION("IF(COUNTA(Q578:Q1673)=0,"""",IF(Q578="""",0,IF(REGEXMATCH(Q578,""^Sell_""),-ROUNDDOWN(ROUNDUP(INDEX(Upgrades!$C$3:$C$13,MATCH(SUBSTITUTE(Q578,""Sell_"",""""),Upgrades!$B$3:$B$13,0))*1.15^(COUNTIF(Q$4:Q577,SUBSTITUTE(Q578,""Sell_"",""""))-COUNTIF(Q$4:Q577,"&amp;"""Sell_""&amp;SUBSTITUTE(Q578,""Sell_"",""""))))/2),ROUNDUP(INDEX(Upgrades!$C$3:$C$13,MATCH(Q578,Upgrades!$B$3:$B$13,0))*1.15^(COUNTIF(Q$4:Q577,Q578)-COUNTIF(Q$4:Q577,""Sell_""&amp;Q578))))))"),"")</f>
        <v/>
      </c>
      <c r="V578" s="10" t="str">
        <f t="shared" si="11"/>
        <v/>
      </c>
      <c r="W578" s="68" t="str">
        <f t="shared" si="12"/>
        <v/>
      </c>
      <c r="X578" s="59" t="str">
        <f t="shared" si="13"/>
        <v/>
      </c>
      <c r="Y578" s="69" t="str">
        <f t="shared" si="14"/>
        <v/>
      </c>
      <c r="Z578" s="11"/>
    </row>
    <row r="579">
      <c r="A579" s="8"/>
      <c r="B579" s="56" t="str">
        <f t="shared" si="2"/>
        <v/>
      </c>
      <c r="C579" s="105"/>
      <c r="D579" s="10"/>
      <c r="E579" s="59" t="str">
        <f t="array" ref="E579">IF(COUNTA(C579:C1673)=0,"",SUM((COUNTIF(C$4:C579,Upgrades!$B$3:$B$13)-COUNTIF(C$4:C579,"Sell_"&amp;Upgrades!$B$3:$B$13))*Upgrades!$D$3:$D$13))</f>
        <v/>
      </c>
      <c r="F579" s="66" t="str">
        <f>IFERROR(__xludf.DUMMYFUNCTION("IF(COUNTA(C579:C1673)=0,"""",IF(REGEXMATCH(INDEX(FILTER(C$4:C579,C$4:C579&lt;&gt;""""),ROWS(FILTER(C$4:C579,C$4:C579&lt;&gt;""""))),""^Sell_""),INDEX(FILTER(F$4:F578,C$4:C578&lt;&gt;""""),ROWS(FILTER(C$4:C578,C$4:C578&lt;&gt;""""))),$AC$5+E579))"),"")</f>
        <v/>
      </c>
      <c r="G579" s="10" t="str">
        <f>IFERROR(__xludf.DUMMYFUNCTION("IF(COUNTA(C579:C1673)=0,"""",IF(C579="""",0,IF(REGEXMATCH(C579,""^Sell_""),-ROUNDDOWN(ROUNDUP(INDEX(Upgrades!$C$3:$C$13,MATCH(SUBSTITUTE(C579,""Sell_"",""""),Upgrades!$B$3:$B$13,0))*1.15^(COUNTIF(C$4:C578,SUBSTITUTE(C579,""Sell_"",""""))-COUNTIF(C$4:C578,"&amp;"""Sell_""&amp;SUBSTITUTE(C579,""Sell_"",""""))))/2),ROUNDUP(INDEX(Upgrades!$C$3:$C$13,MATCH(C579,Upgrades!$B$3:$B$13,0))*1.15^(COUNTIF(C$4:C578,C579)-COUNTIF(C$4:C578,""Sell_""&amp;C579))))))"),"")</f>
        <v/>
      </c>
      <c r="H579" s="10" t="str">
        <f t="shared" si="3"/>
        <v/>
      </c>
      <c r="I579" s="68" t="str">
        <f t="shared" si="4"/>
        <v/>
      </c>
      <c r="J579" s="59" t="str">
        <f t="shared" si="5"/>
        <v/>
      </c>
      <c r="K579" s="69" t="str">
        <f t="shared" si="6"/>
        <v/>
      </c>
      <c r="L579" s="60" t="str">
        <f t="shared" si="7"/>
        <v/>
      </c>
      <c r="M579" s="61" t="str">
        <f>IFERROR(__xludf.DUMMYFUNCTION("IFS(AND(COUNTA(C579:C1673)=0,COUNTA(Q579:Q1673)=0),"""",OR(AND(K579&gt;=1000000000,OR(Y579&gt;=1000000000,COUNTA(Q579:Q1673)=0)),OR(Y579&gt;=1000000000,AND(COUNTA(C579:C1673)=0,P$3=TRUE))),
ROUNDDOWN((AB$1-AC$1)*MAX(INDEX(T$4:T1673,MATCH(LARGE(FILTER(Y$4:Y1673,Y$4"&amp;":Y1673&lt;1000000000),1),Y$4:Y1673)),INDEX(F$4:F1673,MATCH(LARGE(FILTER(K$4:K1673,K$4:K1673&lt;1000000000),1),K$4:K1673)))),AND(K579&lt;1000000000,COUNTA(C579:C1673)&gt;0,P$3=FALSE),
ROUNDDOWN(INDEX(Y$4:Y1673,MATCH(LARGE(FILTER(W$4:W1673,W$4:W1673&lt;=I579),1),W$4:W1673"&amp;"))+(I579-LARGE(FILTER(W$4:W1673,W$4:W1673&lt;=I579),1))*INDEX(T$4:T1673,MATCH(LARGE(FILTER(W$4:W1673,W$4:W1673&lt;=I579),1),W$4:W1673))-K579),1,
ROUNDDOWN(Y579-INDEX(K$4:K1673,MATCH(LARGE(FILTER(I$4:I1673,I$4:I1673&lt;=W579),1),I$4:I1673))-(W579-LARGE(FILTER(I$4:I"&amp;"1673,I$4:I1673&lt;=W579),1))*INDEX(F$4:F1673,MATCH(LARGE(FILTER(I$4:I1673,I$4:I1673&lt;=W579),1),I$4:I1673))))"),"")</f>
        <v/>
      </c>
      <c r="N579" s="60" t="str">
        <f t="shared" si="8"/>
        <v/>
      </c>
      <c r="O579" s="61" t="str">
        <f t="shared" si="9"/>
        <v/>
      </c>
      <c r="P579" s="56" t="str">
        <f t="shared" si="10"/>
        <v/>
      </c>
      <c r="Q579" s="105"/>
      <c r="R579" s="10"/>
      <c r="S579" s="59" t="str">
        <f t="array" ref="S579">IF(COUNTA(Q579:Q1673)=0,"",SUM((COUNTIF(Q$4:Q579,Upgrades!$B$3:$B$13)-COUNTIF(Q$4:Q579,"Sell_"&amp;Upgrades!$B$3:$B$13))*Upgrades!$D$3:$D$13))</f>
        <v/>
      </c>
      <c r="T579" s="66" t="str">
        <f>IFERROR(__xludf.DUMMYFUNCTION("IF(COUNTA(Q579:Q1673)=0,"""",IF(REGEXMATCH(INDEX(FILTER(Q$4:Q579,Q$4:Q579&lt;&gt;""""),ROWS(FILTER(Q$4:Q579,Q$4:Q579&lt;&gt;""""))),""^Sell_""),INDEX(FILTER(T$4:T578,Q$4:Q578&lt;&gt;""""),ROWS(FILTER(Q$4:Q578,Q$4:Q578&lt;&gt;""""))),$AD$5+S579))"),"")</f>
        <v/>
      </c>
      <c r="U579" s="10" t="str">
        <f>IFERROR(__xludf.DUMMYFUNCTION("IF(COUNTA(Q579:Q1673)=0,"""",IF(Q579="""",0,IF(REGEXMATCH(Q579,""^Sell_""),-ROUNDDOWN(ROUNDUP(INDEX(Upgrades!$C$3:$C$13,MATCH(SUBSTITUTE(Q579,""Sell_"",""""),Upgrades!$B$3:$B$13,0))*1.15^(COUNTIF(Q$4:Q578,SUBSTITUTE(Q579,""Sell_"",""""))-COUNTIF(Q$4:Q578,"&amp;"""Sell_""&amp;SUBSTITUTE(Q579,""Sell_"",""""))))/2),ROUNDUP(INDEX(Upgrades!$C$3:$C$13,MATCH(Q579,Upgrades!$B$3:$B$13,0))*1.15^(COUNTIF(Q$4:Q578,Q579)-COUNTIF(Q$4:Q578,""Sell_""&amp;Q579))))))"),"")</f>
        <v/>
      </c>
      <c r="V579" s="10" t="str">
        <f t="shared" si="11"/>
        <v/>
      </c>
      <c r="W579" s="68" t="str">
        <f t="shared" si="12"/>
        <v/>
      </c>
      <c r="X579" s="59" t="str">
        <f t="shared" si="13"/>
        <v/>
      </c>
      <c r="Y579" s="69" t="str">
        <f t="shared" si="14"/>
        <v/>
      </c>
      <c r="Z579" s="11"/>
    </row>
    <row r="580">
      <c r="A580" s="8"/>
      <c r="B580" s="56" t="str">
        <f t="shared" si="2"/>
        <v/>
      </c>
      <c r="C580" s="105"/>
      <c r="D580" s="10"/>
      <c r="E580" s="59" t="str">
        <f t="array" ref="E580">IF(COUNTA(C580:C1673)=0,"",SUM((COUNTIF(C$4:C580,Upgrades!$B$3:$B$13)-COUNTIF(C$4:C580,"Sell_"&amp;Upgrades!$B$3:$B$13))*Upgrades!$D$3:$D$13))</f>
        <v/>
      </c>
      <c r="F580" s="66" t="str">
        <f>IFERROR(__xludf.DUMMYFUNCTION("IF(COUNTA(C580:C1673)=0,"""",IF(REGEXMATCH(INDEX(FILTER(C$4:C580,C$4:C580&lt;&gt;""""),ROWS(FILTER(C$4:C580,C$4:C580&lt;&gt;""""))),""^Sell_""),INDEX(FILTER(F$4:F579,C$4:C579&lt;&gt;""""),ROWS(FILTER(C$4:C579,C$4:C579&lt;&gt;""""))),$AC$5+E580))"),"")</f>
        <v/>
      </c>
      <c r="G580" s="10" t="str">
        <f>IFERROR(__xludf.DUMMYFUNCTION("IF(COUNTA(C580:C1673)=0,"""",IF(C580="""",0,IF(REGEXMATCH(C580,""^Sell_""),-ROUNDDOWN(ROUNDUP(INDEX(Upgrades!$C$3:$C$13,MATCH(SUBSTITUTE(C580,""Sell_"",""""),Upgrades!$B$3:$B$13,0))*1.15^(COUNTIF(C$4:C579,SUBSTITUTE(C580,""Sell_"",""""))-COUNTIF(C$4:C579,"&amp;"""Sell_""&amp;SUBSTITUTE(C580,""Sell_"",""""))))/2),ROUNDUP(INDEX(Upgrades!$C$3:$C$13,MATCH(C580,Upgrades!$B$3:$B$13,0))*1.15^(COUNTIF(C$4:C579,C580)-COUNTIF(C$4:C579,""Sell_""&amp;C580))))))"),"")</f>
        <v/>
      </c>
      <c r="H580" s="10" t="str">
        <f t="shared" si="3"/>
        <v/>
      </c>
      <c r="I580" s="68" t="str">
        <f t="shared" si="4"/>
        <v/>
      </c>
      <c r="J580" s="59" t="str">
        <f t="shared" si="5"/>
        <v/>
      </c>
      <c r="K580" s="69" t="str">
        <f t="shared" si="6"/>
        <v/>
      </c>
      <c r="L580" s="60" t="str">
        <f t="shared" si="7"/>
        <v/>
      </c>
      <c r="M580" s="61" t="str">
        <f>IFERROR(__xludf.DUMMYFUNCTION("IFS(AND(COUNTA(C580:C1673)=0,COUNTA(Q580:Q1673)=0),"""",OR(AND(K580&gt;=1000000000,OR(Y580&gt;=1000000000,COUNTA(Q580:Q1673)=0)),OR(Y580&gt;=1000000000,AND(COUNTA(C580:C1673)=0,P$3=TRUE))),
ROUNDDOWN((AB$1-AC$1)*MAX(INDEX(T$4:T1673,MATCH(LARGE(FILTER(Y$4:Y1673,Y$4"&amp;":Y1673&lt;1000000000),1),Y$4:Y1673)),INDEX(F$4:F1673,MATCH(LARGE(FILTER(K$4:K1673,K$4:K1673&lt;1000000000),1),K$4:K1673)))),AND(K580&lt;1000000000,COUNTA(C580:C1673)&gt;0,P$3=FALSE),
ROUNDDOWN(INDEX(Y$4:Y1673,MATCH(LARGE(FILTER(W$4:W1673,W$4:W1673&lt;=I580),1),W$4:W1673"&amp;"))+(I580-LARGE(FILTER(W$4:W1673,W$4:W1673&lt;=I580),1))*INDEX(T$4:T1673,MATCH(LARGE(FILTER(W$4:W1673,W$4:W1673&lt;=I580),1),W$4:W1673))-K580),1,
ROUNDDOWN(Y580-INDEX(K$4:K1673,MATCH(LARGE(FILTER(I$4:I1673,I$4:I1673&lt;=W580),1),I$4:I1673))-(W580-LARGE(FILTER(I$4:I"&amp;"1673,I$4:I1673&lt;=W580),1))*INDEX(F$4:F1673,MATCH(LARGE(FILTER(I$4:I1673,I$4:I1673&lt;=W580),1),I$4:I1673))))"),"")</f>
        <v/>
      </c>
      <c r="N580" s="60" t="str">
        <f t="shared" si="8"/>
        <v/>
      </c>
      <c r="O580" s="61" t="str">
        <f t="shared" si="9"/>
        <v/>
      </c>
      <c r="P580" s="56" t="str">
        <f t="shared" si="10"/>
        <v/>
      </c>
      <c r="Q580" s="105"/>
      <c r="R580" s="10"/>
      <c r="S580" s="59" t="str">
        <f t="array" ref="S580">IF(COUNTA(Q580:Q1673)=0,"",SUM((COUNTIF(Q$4:Q580,Upgrades!$B$3:$B$13)-COUNTIF(Q$4:Q580,"Sell_"&amp;Upgrades!$B$3:$B$13))*Upgrades!$D$3:$D$13))</f>
        <v/>
      </c>
      <c r="T580" s="66" t="str">
        <f>IFERROR(__xludf.DUMMYFUNCTION("IF(COUNTA(Q580:Q1673)=0,"""",IF(REGEXMATCH(INDEX(FILTER(Q$4:Q580,Q$4:Q580&lt;&gt;""""),ROWS(FILTER(Q$4:Q580,Q$4:Q580&lt;&gt;""""))),""^Sell_""),INDEX(FILTER(T$4:T579,Q$4:Q579&lt;&gt;""""),ROWS(FILTER(Q$4:Q579,Q$4:Q579&lt;&gt;""""))),$AD$5+S580))"),"")</f>
        <v/>
      </c>
      <c r="U580" s="10" t="str">
        <f>IFERROR(__xludf.DUMMYFUNCTION("IF(COUNTA(Q580:Q1673)=0,"""",IF(Q580="""",0,IF(REGEXMATCH(Q580,""^Sell_""),-ROUNDDOWN(ROUNDUP(INDEX(Upgrades!$C$3:$C$13,MATCH(SUBSTITUTE(Q580,""Sell_"",""""),Upgrades!$B$3:$B$13,0))*1.15^(COUNTIF(Q$4:Q579,SUBSTITUTE(Q580,""Sell_"",""""))-COUNTIF(Q$4:Q579,"&amp;"""Sell_""&amp;SUBSTITUTE(Q580,""Sell_"",""""))))/2),ROUNDUP(INDEX(Upgrades!$C$3:$C$13,MATCH(Q580,Upgrades!$B$3:$B$13,0))*1.15^(COUNTIF(Q$4:Q579,Q580)-COUNTIF(Q$4:Q579,""Sell_""&amp;Q580))))))"),"")</f>
        <v/>
      </c>
      <c r="V580" s="10" t="str">
        <f t="shared" si="11"/>
        <v/>
      </c>
      <c r="W580" s="68" t="str">
        <f t="shared" si="12"/>
        <v/>
      </c>
      <c r="X580" s="59" t="str">
        <f t="shared" si="13"/>
        <v/>
      </c>
      <c r="Y580" s="69" t="str">
        <f t="shared" si="14"/>
        <v/>
      </c>
      <c r="Z580" s="11"/>
    </row>
    <row r="581">
      <c r="A581" s="8"/>
      <c r="B581" s="56" t="str">
        <f t="shared" si="2"/>
        <v/>
      </c>
      <c r="C581" s="105"/>
      <c r="D581" s="10"/>
      <c r="E581" s="59" t="str">
        <f t="array" ref="E581">IF(COUNTA(C581:C1673)=0,"",SUM((COUNTIF(C$4:C581,Upgrades!$B$3:$B$13)-COUNTIF(C$4:C581,"Sell_"&amp;Upgrades!$B$3:$B$13))*Upgrades!$D$3:$D$13))</f>
        <v/>
      </c>
      <c r="F581" s="66" t="str">
        <f>IFERROR(__xludf.DUMMYFUNCTION("IF(COUNTA(C581:C1673)=0,"""",IF(REGEXMATCH(INDEX(FILTER(C$4:C581,C$4:C581&lt;&gt;""""),ROWS(FILTER(C$4:C581,C$4:C581&lt;&gt;""""))),""^Sell_""),INDEX(FILTER(F$4:F580,C$4:C580&lt;&gt;""""),ROWS(FILTER(C$4:C580,C$4:C580&lt;&gt;""""))),$AC$5+E581))"),"")</f>
        <v/>
      </c>
      <c r="G581" s="10" t="str">
        <f>IFERROR(__xludf.DUMMYFUNCTION("IF(COUNTA(C581:C1673)=0,"""",IF(C581="""",0,IF(REGEXMATCH(C581,""^Sell_""),-ROUNDDOWN(ROUNDUP(INDEX(Upgrades!$C$3:$C$13,MATCH(SUBSTITUTE(C581,""Sell_"",""""),Upgrades!$B$3:$B$13,0))*1.15^(COUNTIF(C$4:C580,SUBSTITUTE(C581,""Sell_"",""""))-COUNTIF(C$4:C580,"&amp;"""Sell_""&amp;SUBSTITUTE(C581,""Sell_"",""""))))/2),ROUNDUP(INDEX(Upgrades!$C$3:$C$13,MATCH(C581,Upgrades!$B$3:$B$13,0))*1.15^(COUNTIF(C$4:C580,C581)-COUNTIF(C$4:C580,""Sell_""&amp;C581))))))"),"")</f>
        <v/>
      </c>
      <c r="H581" s="10" t="str">
        <f t="shared" si="3"/>
        <v/>
      </c>
      <c r="I581" s="68" t="str">
        <f t="shared" si="4"/>
        <v/>
      </c>
      <c r="J581" s="59" t="str">
        <f t="shared" si="5"/>
        <v/>
      </c>
      <c r="K581" s="69" t="str">
        <f t="shared" si="6"/>
        <v/>
      </c>
      <c r="L581" s="60" t="str">
        <f t="shared" si="7"/>
        <v/>
      </c>
      <c r="M581" s="61" t="str">
        <f>IFERROR(__xludf.DUMMYFUNCTION("IFS(AND(COUNTA(C581:C1673)=0,COUNTA(Q581:Q1673)=0),"""",OR(AND(K581&gt;=1000000000,OR(Y581&gt;=1000000000,COUNTA(Q581:Q1673)=0)),OR(Y581&gt;=1000000000,AND(COUNTA(C581:C1673)=0,P$3=TRUE))),
ROUNDDOWN((AB$1-AC$1)*MAX(INDEX(T$4:T1673,MATCH(LARGE(FILTER(Y$4:Y1673,Y$4"&amp;":Y1673&lt;1000000000),1),Y$4:Y1673)),INDEX(F$4:F1673,MATCH(LARGE(FILTER(K$4:K1673,K$4:K1673&lt;1000000000),1),K$4:K1673)))),AND(K581&lt;1000000000,COUNTA(C581:C1673)&gt;0,P$3=FALSE),
ROUNDDOWN(INDEX(Y$4:Y1673,MATCH(LARGE(FILTER(W$4:W1673,W$4:W1673&lt;=I581),1),W$4:W1673"&amp;"))+(I581-LARGE(FILTER(W$4:W1673,W$4:W1673&lt;=I581),1))*INDEX(T$4:T1673,MATCH(LARGE(FILTER(W$4:W1673,W$4:W1673&lt;=I581),1),W$4:W1673))-K581),1,
ROUNDDOWN(Y581-INDEX(K$4:K1673,MATCH(LARGE(FILTER(I$4:I1673,I$4:I1673&lt;=W581),1),I$4:I1673))-(W581-LARGE(FILTER(I$4:I"&amp;"1673,I$4:I1673&lt;=W581),1))*INDEX(F$4:F1673,MATCH(LARGE(FILTER(I$4:I1673,I$4:I1673&lt;=W581),1),I$4:I1673))))"),"")</f>
        <v/>
      </c>
      <c r="N581" s="60" t="str">
        <f t="shared" si="8"/>
        <v/>
      </c>
      <c r="O581" s="61" t="str">
        <f t="shared" si="9"/>
        <v/>
      </c>
      <c r="P581" s="56" t="str">
        <f t="shared" si="10"/>
        <v/>
      </c>
      <c r="Q581" s="105"/>
      <c r="R581" s="10"/>
      <c r="S581" s="59" t="str">
        <f t="array" ref="S581">IF(COUNTA(Q581:Q1673)=0,"",SUM((COUNTIF(Q$4:Q581,Upgrades!$B$3:$B$13)-COUNTIF(Q$4:Q581,"Sell_"&amp;Upgrades!$B$3:$B$13))*Upgrades!$D$3:$D$13))</f>
        <v/>
      </c>
      <c r="T581" s="66" t="str">
        <f>IFERROR(__xludf.DUMMYFUNCTION("IF(COUNTA(Q581:Q1673)=0,"""",IF(REGEXMATCH(INDEX(FILTER(Q$4:Q581,Q$4:Q581&lt;&gt;""""),ROWS(FILTER(Q$4:Q581,Q$4:Q581&lt;&gt;""""))),""^Sell_""),INDEX(FILTER(T$4:T580,Q$4:Q580&lt;&gt;""""),ROWS(FILTER(Q$4:Q580,Q$4:Q580&lt;&gt;""""))),$AD$5+S581))"),"")</f>
        <v/>
      </c>
      <c r="U581" s="10" t="str">
        <f>IFERROR(__xludf.DUMMYFUNCTION("IF(COUNTA(Q581:Q1673)=0,"""",IF(Q581="""",0,IF(REGEXMATCH(Q581,""^Sell_""),-ROUNDDOWN(ROUNDUP(INDEX(Upgrades!$C$3:$C$13,MATCH(SUBSTITUTE(Q581,""Sell_"",""""),Upgrades!$B$3:$B$13,0))*1.15^(COUNTIF(Q$4:Q580,SUBSTITUTE(Q581,""Sell_"",""""))-COUNTIF(Q$4:Q580,"&amp;"""Sell_""&amp;SUBSTITUTE(Q581,""Sell_"",""""))))/2),ROUNDUP(INDEX(Upgrades!$C$3:$C$13,MATCH(Q581,Upgrades!$B$3:$B$13,0))*1.15^(COUNTIF(Q$4:Q580,Q581)-COUNTIF(Q$4:Q580,""Sell_""&amp;Q581))))))"),"")</f>
        <v/>
      </c>
      <c r="V581" s="10" t="str">
        <f t="shared" si="11"/>
        <v/>
      </c>
      <c r="W581" s="68" t="str">
        <f t="shared" si="12"/>
        <v/>
      </c>
      <c r="X581" s="59" t="str">
        <f t="shared" si="13"/>
        <v/>
      </c>
      <c r="Y581" s="69" t="str">
        <f t="shared" si="14"/>
        <v/>
      </c>
      <c r="Z581" s="11"/>
    </row>
    <row r="582">
      <c r="A582" s="8"/>
      <c r="B582" s="56" t="str">
        <f t="shared" si="2"/>
        <v/>
      </c>
      <c r="C582" s="105"/>
      <c r="D582" s="10"/>
      <c r="E582" s="59" t="str">
        <f t="array" ref="E582">IF(COUNTA(C582:C1673)=0,"",SUM((COUNTIF(C$4:C582,Upgrades!$B$3:$B$13)-COUNTIF(C$4:C582,"Sell_"&amp;Upgrades!$B$3:$B$13))*Upgrades!$D$3:$D$13))</f>
        <v/>
      </c>
      <c r="F582" s="66" t="str">
        <f>IFERROR(__xludf.DUMMYFUNCTION("IF(COUNTA(C582:C1673)=0,"""",IF(REGEXMATCH(INDEX(FILTER(C$4:C582,C$4:C582&lt;&gt;""""),ROWS(FILTER(C$4:C582,C$4:C582&lt;&gt;""""))),""^Sell_""),INDEX(FILTER(F$4:F581,C$4:C581&lt;&gt;""""),ROWS(FILTER(C$4:C581,C$4:C581&lt;&gt;""""))),$AC$5+E582))"),"")</f>
        <v/>
      </c>
      <c r="G582" s="10" t="str">
        <f>IFERROR(__xludf.DUMMYFUNCTION("IF(COUNTA(C582:C1673)=0,"""",IF(C582="""",0,IF(REGEXMATCH(C582,""^Sell_""),-ROUNDDOWN(ROUNDUP(INDEX(Upgrades!$C$3:$C$13,MATCH(SUBSTITUTE(C582,""Sell_"",""""),Upgrades!$B$3:$B$13,0))*1.15^(COUNTIF(C$4:C581,SUBSTITUTE(C582,""Sell_"",""""))-COUNTIF(C$4:C581,"&amp;"""Sell_""&amp;SUBSTITUTE(C582,""Sell_"",""""))))/2),ROUNDUP(INDEX(Upgrades!$C$3:$C$13,MATCH(C582,Upgrades!$B$3:$B$13,0))*1.15^(COUNTIF(C$4:C581,C582)-COUNTIF(C$4:C581,""Sell_""&amp;C582))))))"),"")</f>
        <v/>
      </c>
      <c r="H582" s="10" t="str">
        <f t="shared" si="3"/>
        <v/>
      </c>
      <c r="I582" s="68" t="str">
        <f t="shared" si="4"/>
        <v/>
      </c>
      <c r="J582" s="59" t="str">
        <f t="shared" si="5"/>
        <v/>
      </c>
      <c r="K582" s="69" t="str">
        <f t="shared" si="6"/>
        <v/>
      </c>
      <c r="L582" s="60" t="str">
        <f t="shared" si="7"/>
        <v/>
      </c>
      <c r="M582" s="61" t="str">
        <f>IFERROR(__xludf.DUMMYFUNCTION("IFS(AND(COUNTA(C582:C1673)=0,COUNTA(Q582:Q1673)=0),"""",OR(AND(K582&gt;=1000000000,OR(Y582&gt;=1000000000,COUNTA(Q582:Q1673)=0)),OR(Y582&gt;=1000000000,AND(COUNTA(C582:C1673)=0,P$3=TRUE))),
ROUNDDOWN((AB$1-AC$1)*MAX(INDEX(T$4:T1673,MATCH(LARGE(FILTER(Y$4:Y1673,Y$4"&amp;":Y1673&lt;1000000000),1),Y$4:Y1673)),INDEX(F$4:F1673,MATCH(LARGE(FILTER(K$4:K1673,K$4:K1673&lt;1000000000),1),K$4:K1673)))),AND(K582&lt;1000000000,COUNTA(C582:C1673)&gt;0,P$3=FALSE),
ROUNDDOWN(INDEX(Y$4:Y1673,MATCH(LARGE(FILTER(W$4:W1673,W$4:W1673&lt;=I582),1),W$4:W1673"&amp;"))+(I582-LARGE(FILTER(W$4:W1673,W$4:W1673&lt;=I582),1))*INDEX(T$4:T1673,MATCH(LARGE(FILTER(W$4:W1673,W$4:W1673&lt;=I582),1),W$4:W1673))-K582),1,
ROUNDDOWN(Y582-INDEX(K$4:K1673,MATCH(LARGE(FILTER(I$4:I1673,I$4:I1673&lt;=W582),1),I$4:I1673))-(W582-LARGE(FILTER(I$4:I"&amp;"1673,I$4:I1673&lt;=W582),1))*INDEX(F$4:F1673,MATCH(LARGE(FILTER(I$4:I1673,I$4:I1673&lt;=W582),1),I$4:I1673))))"),"")</f>
        <v/>
      </c>
      <c r="N582" s="60" t="str">
        <f t="shared" si="8"/>
        <v/>
      </c>
      <c r="O582" s="61" t="str">
        <f t="shared" si="9"/>
        <v/>
      </c>
      <c r="P582" s="56" t="str">
        <f t="shared" si="10"/>
        <v/>
      </c>
      <c r="Q582" s="105"/>
      <c r="R582" s="10"/>
      <c r="S582" s="59" t="str">
        <f t="array" ref="S582">IF(COUNTA(Q582:Q1673)=0,"",SUM((COUNTIF(Q$4:Q582,Upgrades!$B$3:$B$13)-COUNTIF(Q$4:Q582,"Sell_"&amp;Upgrades!$B$3:$B$13))*Upgrades!$D$3:$D$13))</f>
        <v/>
      </c>
      <c r="T582" s="66" t="str">
        <f>IFERROR(__xludf.DUMMYFUNCTION("IF(COUNTA(Q582:Q1673)=0,"""",IF(REGEXMATCH(INDEX(FILTER(Q$4:Q582,Q$4:Q582&lt;&gt;""""),ROWS(FILTER(Q$4:Q582,Q$4:Q582&lt;&gt;""""))),""^Sell_""),INDEX(FILTER(T$4:T581,Q$4:Q581&lt;&gt;""""),ROWS(FILTER(Q$4:Q581,Q$4:Q581&lt;&gt;""""))),$AD$5+S582))"),"")</f>
        <v/>
      </c>
      <c r="U582" s="10" t="str">
        <f>IFERROR(__xludf.DUMMYFUNCTION("IF(COUNTA(Q582:Q1673)=0,"""",IF(Q582="""",0,IF(REGEXMATCH(Q582,""^Sell_""),-ROUNDDOWN(ROUNDUP(INDEX(Upgrades!$C$3:$C$13,MATCH(SUBSTITUTE(Q582,""Sell_"",""""),Upgrades!$B$3:$B$13,0))*1.15^(COUNTIF(Q$4:Q581,SUBSTITUTE(Q582,""Sell_"",""""))-COUNTIF(Q$4:Q581,"&amp;"""Sell_""&amp;SUBSTITUTE(Q582,""Sell_"",""""))))/2),ROUNDUP(INDEX(Upgrades!$C$3:$C$13,MATCH(Q582,Upgrades!$B$3:$B$13,0))*1.15^(COUNTIF(Q$4:Q581,Q582)-COUNTIF(Q$4:Q581,""Sell_""&amp;Q582))))))"),"")</f>
        <v/>
      </c>
      <c r="V582" s="10" t="str">
        <f t="shared" si="11"/>
        <v/>
      </c>
      <c r="W582" s="68" t="str">
        <f t="shared" si="12"/>
        <v/>
      </c>
      <c r="X582" s="59" t="str">
        <f t="shared" si="13"/>
        <v/>
      </c>
      <c r="Y582" s="69" t="str">
        <f t="shared" si="14"/>
        <v/>
      </c>
      <c r="Z582" s="11"/>
    </row>
    <row r="583">
      <c r="A583" s="8"/>
      <c r="B583" s="56" t="str">
        <f t="shared" si="2"/>
        <v/>
      </c>
      <c r="C583" s="105"/>
      <c r="D583" s="10"/>
      <c r="E583" s="59" t="str">
        <f t="array" ref="E583">IF(COUNTA(C583:C1673)=0,"",SUM((COUNTIF(C$4:C583,Upgrades!$B$3:$B$13)-COUNTIF(C$4:C583,"Sell_"&amp;Upgrades!$B$3:$B$13))*Upgrades!$D$3:$D$13))</f>
        <v/>
      </c>
      <c r="F583" s="66" t="str">
        <f>IFERROR(__xludf.DUMMYFUNCTION("IF(COUNTA(C583:C1673)=0,"""",IF(REGEXMATCH(INDEX(FILTER(C$4:C583,C$4:C583&lt;&gt;""""),ROWS(FILTER(C$4:C583,C$4:C583&lt;&gt;""""))),""^Sell_""),INDEX(FILTER(F$4:F582,C$4:C582&lt;&gt;""""),ROWS(FILTER(C$4:C582,C$4:C582&lt;&gt;""""))),$AC$5+E583))"),"")</f>
        <v/>
      </c>
      <c r="G583" s="10" t="str">
        <f>IFERROR(__xludf.DUMMYFUNCTION("IF(COUNTA(C583:C1673)=0,"""",IF(C583="""",0,IF(REGEXMATCH(C583,""^Sell_""),-ROUNDDOWN(ROUNDUP(INDEX(Upgrades!$C$3:$C$13,MATCH(SUBSTITUTE(C583,""Sell_"",""""),Upgrades!$B$3:$B$13,0))*1.15^(COUNTIF(C$4:C582,SUBSTITUTE(C583,""Sell_"",""""))-COUNTIF(C$4:C582,"&amp;"""Sell_""&amp;SUBSTITUTE(C583,""Sell_"",""""))))/2),ROUNDUP(INDEX(Upgrades!$C$3:$C$13,MATCH(C583,Upgrades!$B$3:$B$13,0))*1.15^(COUNTIF(C$4:C582,C583)-COUNTIF(C$4:C582,""Sell_""&amp;C583))))))"),"")</f>
        <v/>
      </c>
      <c r="H583" s="10" t="str">
        <f t="shared" si="3"/>
        <v/>
      </c>
      <c r="I583" s="68" t="str">
        <f t="shared" si="4"/>
        <v/>
      </c>
      <c r="J583" s="59" t="str">
        <f t="shared" si="5"/>
        <v/>
      </c>
      <c r="K583" s="69" t="str">
        <f t="shared" si="6"/>
        <v/>
      </c>
      <c r="L583" s="60" t="str">
        <f t="shared" si="7"/>
        <v/>
      </c>
      <c r="M583" s="61" t="str">
        <f>IFERROR(__xludf.DUMMYFUNCTION("IFS(AND(COUNTA(C583:C1673)=0,COUNTA(Q583:Q1673)=0),"""",OR(AND(K583&gt;=1000000000,OR(Y583&gt;=1000000000,COUNTA(Q583:Q1673)=0)),OR(Y583&gt;=1000000000,AND(COUNTA(C583:C1673)=0,P$3=TRUE))),
ROUNDDOWN((AB$1-AC$1)*MAX(INDEX(T$4:T1673,MATCH(LARGE(FILTER(Y$4:Y1673,Y$4"&amp;":Y1673&lt;1000000000),1),Y$4:Y1673)),INDEX(F$4:F1673,MATCH(LARGE(FILTER(K$4:K1673,K$4:K1673&lt;1000000000),1),K$4:K1673)))),AND(K583&lt;1000000000,COUNTA(C583:C1673)&gt;0,P$3=FALSE),
ROUNDDOWN(INDEX(Y$4:Y1673,MATCH(LARGE(FILTER(W$4:W1673,W$4:W1673&lt;=I583),1),W$4:W1673"&amp;"))+(I583-LARGE(FILTER(W$4:W1673,W$4:W1673&lt;=I583),1))*INDEX(T$4:T1673,MATCH(LARGE(FILTER(W$4:W1673,W$4:W1673&lt;=I583),1),W$4:W1673))-K583),1,
ROUNDDOWN(Y583-INDEX(K$4:K1673,MATCH(LARGE(FILTER(I$4:I1673,I$4:I1673&lt;=W583),1),I$4:I1673))-(W583-LARGE(FILTER(I$4:I"&amp;"1673,I$4:I1673&lt;=W583),1))*INDEX(F$4:F1673,MATCH(LARGE(FILTER(I$4:I1673,I$4:I1673&lt;=W583),1),I$4:I1673))))"),"")</f>
        <v/>
      </c>
      <c r="N583" s="60" t="str">
        <f t="shared" si="8"/>
        <v/>
      </c>
      <c r="O583" s="61" t="str">
        <f t="shared" si="9"/>
        <v/>
      </c>
      <c r="P583" s="56" t="str">
        <f t="shared" si="10"/>
        <v/>
      </c>
      <c r="Q583" s="105"/>
      <c r="R583" s="10"/>
      <c r="S583" s="59" t="str">
        <f t="array" ref="S583">IF(COUNTA(Q583:Q1673)=0,"",SUM((COUNTIF(Q$4:Q583,Upgrades!$B$3:$B$13)-COUNTIF(Q$4:Q583,"Sell_"&amp;Upgrades!$B$3:$B$13))*Upgrades!$D$3:$D$13))</f>
        <v/>
      </c>
      <c r="T583" s="66" t="str">
        <f>IFERROR(__xludf.DUMMYFUNCTION("IF(COUNTA(Q583:Q1673)=0,"""",IF(REGEXMATCH(INDEX(FILTER(Q$4:Q583,Q$4:Q583&lt;&gt;""""),ROWS(FILTER(Q$4:Q583,Q$4:Q583&lt;&gt;""""))),""^Sell_""),INDEX(FILTER(T$4:T582,Q$4:Q582&lt;&gt;""""),ROWS(FILTER(Q$4:Q582,Q$4:Q582&lt;&gt;""""))),$AD$5+S583))"),"")</f>
        <v/>
      </c>
      <c r="U583" s="10" t="str">
        <f>IFERROR(__xludf.DUMMYFUNCTION("IF(COUNTA(Q583:Q1673)=0,"""",IF(Q583="""",0,IF(REGEXMATCH(Q583,""^Sell_""),-ROUNDDOWN(ROUNDUP(INDEX(Upgrades!$C$3:$C$13,MATCH(SUBSTITUTE(Q583,""Sell_"",""""),Upgrades!$B$3:$B$13,0))*1.15^(COUNTIF(Q$4:Q582,SUBSTITUTE(Q583,""Sell_"",""""))-COUNTIF(Q$4:Q582,"&amp;"""Sell_""&amp;SUBSTITUTE(Q583,""Sell_"",""""))))/2),ROUNDUP(INDEX(Upgrades!$C$3:$C$13,MATCH(Q583,Upgrades!$B$3:$B$13,0))*1.15^(COUNTIF(Q$4:Q582,Q583)-COUNTIF(Q$4:Q582,""Sell_""&amp;Q583))))))"),"")</f>
        <v/>
      </c>
      <c r="V583" s="10" t="str">
        <f t="shared" si="11"/>
        <v/>
      </c>
      <c r="W583" s="68" t="str">
        <f t="shared" si="12"/>
        <v/>
      </c>
      <c r="X583" s="59" t="str">
        <f t="shared" si="13"/>
        <v/>
      </c>
      <c r="Y583" s="69" t="str">
        <f t="shared" si="14"/>
        <v/>
      </c>
      <c r="Z583" s="11"/>
    </row>
    <row r="584">
      <c r="A584" s="8"/>
      <c r="B584" s="56" t="str">
        <f t="shared" si="2"/>
        <v/>
      </c>
      <c r="C584" s="105"/>
      <c r="D584" s="10"/>
      <c r="E584" s="59" t="str">
        <f t="array" ref="E584">IF(COUNTA(C584:C1673)=0,"",SUM((COUNTIF(C$4:C584,Upgrades!$B$3:$B$13)-COUNTIF(C$4:C584,"Sell_"&amp;Upgrades!$B$3:$B$13))*Upgrades!$D$3:$D$13))</f>
        <v/>
      </c>
      <c r="F584" s="66" t="str">
        <f>IFERROR(__xludf.DUMMYFUNCTION("IF(COUNTA(C584:C1673)=0,"""",IF(REGEXMATCH(INDEX(FILTER(C$4:C584,C$4:C584&lt;&gt;""""),ROWS(FILTER(C$4:C584,C$4:C584&lt;&gt;""""))),""^Sell_""),INDEX(FILTER(F$4:F583,C$4:C583&lt;&gt;""""),ROWS(FILTER(C$4:C583,C$4:C583&lt;&gt;""""))),$AC$5+E584))"),"")</f>
        <v/>
      </c>
      <c r="G584" s="10" t="str">
        <f>IFERROR(__xludf.DUMMYFUNCTION("IF(COUNTA(C584:C1673)=0,"""",IF(C584="""",0,IF(REGEXMATCH(C584,""^Sell_""),-ROUNDDOWN(ROUNDUP(INDEX(Upgrades!$C$3:$C$13,MATCH(SUBSTITUTE(C584,""Sell_"",""""),Upgrades!$B$3:$B$13,0))*1.15^(COUNTIF(C$4:C583,SUBSTITUTE(C584,""Sell_"",""""))-COUNTIF(C$4:C583,"&amp;"""Sell_""&amp;SUBSTITUTE(C584,""Sell_"",""""))))/2),ROUNDUP(INDEX(Upgrades!$C$3:$C$13,MATCH(C584,Upgrades!$B$3:$B$13,0))*1.15^(COUNTIF(C$4:C583,C584)-COUNTIF(C$4:C583,""Sell_""&amp;C584))))))"),"")</f>
        <v/>
      </c>
      <c r="H584" s="10" t="str">
        <f t="shared" si="3"/>
        <v/>
      </c>
      <c r="I584" s="68" t="str">
        <f t="shared" si="4"/>
        <v/>
      </c>
      <c r="J584" s="59" t="str">
        <f t="shared" si="5"/>
        <v/>
      </c>
      <c r="K584" s="69" t="str">
        <f t="shared" si="6"/>
        <v/>
      </c>
      <c r="L584" s="60" t="str">
        <f t="shared" si="7"/>
        <v/>
      </c>
      <c r="M584" s="61" t="str">
        <f>IFERROR(__xludf.DUMMYFUNCTION("IFS(AND(COUNTA(C584:C1673)=0,COUNTA(Q584:Q1673)=0),"""",OR(AND(K584&gt;=1000000000,OR(Y584&gt;=1000000000,COUNTA(Q584:Q1673)=0)),OR(Y584&gt;=1000000000,AND(COUNTA(C584:C1673)=0,P$3=TRUE))),
ROUNDDOWN((AB$1-AC$1)*MAX(INDEX(T$4:T1673,MATCH(LARGE(FILTER(Y$4:Y1673,Y$4"&amp;":Y1673&lt;1000000000),1),Y$4:Y1673)),INDEX(F$4:F1673,MATCH(LARGE(FILTER(K$4:K1673,K$4:K1673&lt;1000000000),1),K$4:K1673)))),AND(K584&lt;1000000000,COUNTA(C584:C1673)&gt;0,P$3=FALSE),
ROUNDDOWN(INDEX(Y$4:Y1673,MATCH(LARGE(FILTER(W$4:W1673,W$4:W1673&lt;=I584),1),W$4:W1673"&amp;"))+(I584-LARGE(FILTER(W$4:W1673,W$4:W1673&lt;=I584),1))*INDEX(T$4:T1673,MATCH(LARGE(FILTER(W$4:W1673,W$4:W1673&lt;=I584),1),W$4:W1673))-K584),1,
ROUNDDOWN(Y584-INDEX(K$4:K1673,MATCH(LARGE(FILTER(I$4:I1673,I$4:I1673&lt;=W584),1),I$4:I1673))-(W584-LARGE(FILTER(I$4:I"&amp;"1673,I$4:I1673&lt;=W584),1))*INDEX(F$4:F1673,MATCH(LARGE(FILTER(I$4:I1673,I$4:I1673&lt;=W584),1),I$4:I1673))))"),"")</f>
        <v/>
      </c>
      <c r="N584" s="60" t="str">
        <f t="shared" si="8"/>
        <v/>
      </c>
      <c r="O584" s="61" t="str">
        <f t="shared" si="9"/>
        <v/>
      </c>
      <c r="P584" s="56" t="str">
        <f t="shared" si="10"/>
        <v/>
      </c>
      <c r="Q584" s="105"/>
      <c r="R584" s="10"/>
      <c r="S584" s="59" t="str">
        <f t="array" ref="S584">IF(COUNTA(Q584:Q1673)=0,"",SUM((COUNTIF(Q$4:Q584,Upgrades!$B$3:$B$13)-COUNTIF(Q$4:Q584,"Sell_"&amp;Upgrades!$B$3:$B$13))*Upgrades!$D$3:$D$13))</f>
        <v/>
      </c>
      <c r="T584" s="66" t="str">
        <f>IFERROR(__xludf.DUMMYFUNCTION("IF(COUNTA(Q584:Q1673)=0,"""",IF(REGEXMATCH(INDEX(FILTER(Q$4:Q584,Q$4:Q584&lt;&gt;""""),ROWS(FILTER(Q$4:Q584,Q$4:Q584&lt;&gt;""""))),""^Sell_""),INDEX(FILTER(T$4:T583,Q$4:Q583&lt;&gt;""""),ROWS(FILTER(Q$4:Q583,Q$4:Q583&lt;&gt;""""))),$AD$5+S584))"),"")</f>
        <v/>
      </c>
      <c r="U584" s="10" t="str">
        <f>IFERROR(__xludf.DUMMYFUNCTION("IF(COUNTA(Q584:Q1673)=0,"""",IF(Q584="""",0,IF(REGEXMATCH(Q584,""^Sell_""),-ROUNDDOWN(ROUNDUP(INDEX(Upgrades!$C$3:$C$13,MATCH(SUBSTITUTE(Q584,""Sell_"",""""),Upgrades!$B$3:$B$13,0))*1.15^(COUNTIF(Q$4:Q583,SUBSTITUTE(Q584,""Sell_"",""""))-COUNTIF(Q$4:Q583,"&amp;"""Sell_""&amp;SUBSTITUTE(Q584,""Sell_"",""""))))/2),ROUNDUP(INDEX(Upgrades!$C$3:$C$13,MATCH(Q584,Upgrades!$B$3:$B$13,0))*1.15^(COUNTIF(Q$4:Q583,Q584)-COUNTIF(Q$4:Q583,""Sell_""&amp;Q584))))))"),"")</f>
        <v/>
      </c>
      <c r="V584" s="10" t="str">
        <f t="shared" si="11"/>
        <v/>
      </c>
      <c r="W584" s="68" t="str">
        <f t="shared" si="12"/>
        <v/>
      </c>
      <c r="X584" s="59" t="str">
        <f t="shared" si="13"/>
        <v/>
      </c>
      <c r="Y584" s="69" t="str">
        <f t="shared" si="14"/>
        <v/>
      </c>
      <c r="Z584" s="11"/>
    </row>
    <row r="585">
      <c r="A585" s="8"/>
      <c r="B585" s="56" t="str">
        <f t="shared" si="2"/>
        <v/>
      </c>
      <c r="C585" s="105"/>
      <c r="D585" s="10"/>
      <c r="E585" s="59" t="str">
        <f t="array" ref="E585">IF(COUNTA(C585:C1673)=0,"",SUM((COUNTIF(C$4:C585,Upgrades!$B$3:$B$13)-COUNTIF(C$4:C585,"Sell_"&amp;Upgrades!$B$3:$B$13))*Upgrades!$D$3:$D$13))</f>
        <v/>
      </c>
      <c r="F585" s="66" t="str">
        <f>IFERROR(__xludf.DUMMYFUNCTION("IF(COUNTA(C585:C1673)=0,"""",IF(REGEXMATCH(INDEX(FILTER(C$4:C585,C$4:C585&lt;&gt;""""),ROWS(FILTER(C$4:C585,C$4:C585&lt;&gt;""""))),""^Sell_""),INDEX(FILTER(F$4:F584,C$4:C584&lt;&gt;""""),ROWS(FILTER(C$4:C584,C$4:C584&lt;&gt;""""))),$AC$5+E585))"),"")</f>
        <v/>
      </c>
      <c r="G585" s="10" t="str">
        <f>IFERROR(__xludf.DUMMYFUNCTION("IF(COUNTA(C585:C1673)=0,"""",IF(C585="""",0,IF(REGEXMATCH(C585,""^Sell_""),-ROUNDDOWN(ROUNDUP(INDEX(Upgrades!$C$3:$C$13,MATCH(SUBSTITUTE(C585,""Sell_"",""""),Upgrades!$B$3:$B$13,0))*1.15^(COUNTIF(C$4:C584,SUBSTITUTE(C585,""Sell_"",""""))-COUNTIF(C$4:C584,"&amp;"""Sell_""&amp;SUBSTITUTE(C585,""Sell_"",""""))))/2),ROUNDUP(INDEX(Upgrades!$C$3:$C$13,MATCH(C585,Upgrades!$B$3:$B$13,0))*1.15^(COUNTIF(C$4:C584,C585)-COUNTIF(C$4:C584,""Sell_""&amp;C585))))))"),"")</f>
        <v/>
      </c>
      <c r="H585" s="10" t="str">
        <f t="shared" si="3"/>
        <v/>
      </c>
      <c r="I585" s="68" t="str">
        <f t="shared" si="4"/>
        <v/>
      </c>
      <c r="J585" s="59" t="str">
        <f t="shared" si="5"/>
        <v/>
      </c>
      <c r="K585" s="69" t="str">
        <f t="shared" si="6"/>
        <v/>
      </c>
      <c r="L585" s="60" t="str">
        <f t="shared" si="7"/>
        <v/>
      </c>
      <c r="M585" s="61" t="str">
        <f>IFERROR(__xludf.DUMMYFUNCTION("IFS(AND(COUNTA(C585:C1673)=0,COUNTA(Q585:Q1673)=0),"""",OR(AND(K585&gt;=1000000000,OR(Y585&gt;=1000000000,COUNTA(Q585:Q1673)=0)),OR(Y585&gt;=1000000000,AND(COUNTA(C585:C1673)=0,P$3=TRUE))),
ROUNDDOWN((AB$1-AC$1)*MAX(INDEX(T$4:T1673,MATCH(LARGE(FILTER(Y$4:Y1673,Y$4"&amp;":Y1673&lt;1000000000),1),Y$4:Y1673)),INDEX(F$4:F1673,MATCH(LARGE(FILTER(K$4:K1673,K$4:K1673&lt;1000000000),1),K$4:K1673)))),AND(K585&lt;1000000000,COUNTA(C585:C1673)&gt;0,P$3=FALSE),
ROUNDDOWN(INDEX(Y$4:Y1673,MATCH(LARGE(FILTER(W$4:W1673,W$4:W1673&lt;=I585),1),W$4:W1673"&amp;"))+(I585-LARGE(FILTER(W$4:W1673,W$4:W1673&lt;=I585),1))*INDEX(T$4:T1673,MATCH(LARGE(FILTER(W$4:W1673,W$4:W1673&lt;=I585),1),W$4:W1673))-K585),1,
ROUNDDOWN(Y585-INDEX(K$4:K1673,MATCH(LARGE(FILTER(I$4:I1673,I$4:I1673&lt;=W585),1),I$4:I1673))-(W585-LARGE(FILTER(I$4:I"&amp;"1673,I$4:I1673&lt;=W585),1))*INDEX(F$4:F1673,MATCH(LARGE(FILTER(I$4:I1673,I$4:I1673&lt;=W585),1),I$4:I1673))))"),"")</f>
        <v/>
      </c>
      <c r="N585" s="60" t="str">
        <f t="shared" si="8"/>
        <v/>
      </c>
      <c r="O585" s="61" t="str">
        <f t="shared" si="9"/>
        <v/>
      </c>
      <c r="P585" s="56" t="str">
        <f t="shared" si="10"/>
        <v/>
      </c>
      <c r="Q585" s="105"/>
      <c r="R585" s="10"/>
      <c r="S585" s="59" t="str">
        <f t="array" ref="S585">IF(COUNTA(Q585:Q1673)=0,"",SUM((COUNTIF(Q$4:Q585,Upgrades!$B$3:$B$13)-COUNTIF(Q$4:Q585,"Sell_"&amp;Upgrades!$B$3:$B$13))*Upgrades!$D$3:$D$13))</f>
        <v/>
      </c>
      <c r="T585" s="66" t="str">
        <f>IFERROR(__xludf.DUMMYFUNCTION("IF(COUNTA(Q585:Q1673)=0,"""",IF(REGEXMATCH(INDEX(FILTER(Q$4:Q585,Q$4:Q585&lt;&gt;""""),ROWS(FILTER(Q$4:Q585,Q$4:Q585&lt;&gt;""""))),""^Sell_""),INDEX(FILTER(T$4:T584,Q$4:Q584&lt;&gt;""""),ROWS(FILTER(Q$4:Q584,Q$4:Q584&lt;&gt;""""))),$AD$5+S585))"),"")</f>
        <v/>
      </c>
      <c r="U585" s="10" t="str">
        <f>IFERROR(__xludf.DUMMYFUNCTION("IF(COUNTA(Q585:Q1673)=0,"""",IF(Q585="""",0,IF(REGEXMATCH(Q585,""^Sell_""),-ROUNDDOWN(ROUNDUP(INDEX(Upgrades!$C$3:$C$13,MATCH(SUBSTITUTE(Q585,""Sell_"",""""),Upgrades!$B$3:$B$13,0))*1.15^(COUNTIF(Q$4:Q584,SUBSTITUTE(Q585,""Sell_"",""""))-COUNTIF(Q$4:Q584,"&amp;"""Sell_""&amp;SUBSTITUTE(Q585,""Sell_"",""""))))/2),ROUNDUP(INDEX(Upgrades!$C$3:$C$13,MATCH(Q585,Upgrades!$B$3:$B$13,0))*1.15^(COUNTIF(Q$4:Q584,Q585)-COUNTIF(Q$4:Q584,""Sell_""&amp;Q585))))))"),"")</f>
        <v/>
      </c>
      <c r="V585" s="10" t="str">
        <f t="shared" si="11"/>
        <v/>
      </c>
      <c r="W585" s="68" t="str">
        <f t="shared" si="12"/>
        <v/>
      </c>
      <c r="X585" s="59" t="str">
        <f t="shared" si="13"/>
        <v/>
      </c>
      <c r="Y585" s="69" t="str">
        <f t="shared" si="14"/>
        <v/>
      </c>
      <c r="Z585" s="11"/>
    </row>
    <row r="586">
      <c r="A586" s="8"/>
      <c r="B586" s="56" t="str">
        <f t="shared" si="2"/>
        <v/>
      </c>
      <c r="C586" s="105"/>
      <c r="D586" s="10"/>
      <c r="E586" s="59" t="str">
        <f t="array" ref="E586">IF(COUNTA(C586:C1673)=0,"",SUM((COUNTIF(C$4:C586,Upgrades!$B$3:$B$13)-COUNTIF(C$4:C586,"Sell_"&amp;Upgrades!$B$3:$B$13))*Upgrades!$D$3:$D$13))</f>
        <v/>
      </c>
      <c r="F586" s="66" t="str">
        <f>IFERROR(__xludf.DUMMYFUNCTION("IF(COUNTA(C586:C1673)=0,"""",IF(REGEXMATCH(INDEX(FILTER(C$4:C586,C$4:C586&lt;&gt;""""),ROWS(FILTER(C$4:C586,C$4:C586&lt;&gt;""""))),""^Sell_""),INDEX(FILTER(F$4:F585,C$4:C585&lt;&gt;""""),ROWS(FILTER(C$4:C585,C$4:C585&lt;&gt;""""))),$AC$5+E586))"),"")</f>
        <v/>
      </c>
      <c r="G586" s="10" t="str">
        <f>IFERROR(__xludf.DUMMYFUNCTION("IF(COUNTA(C586:C1673)=0,"""",IF(C586="""",0,IF(REGEXMATCH(C586,""^Sell_""),-ROUNDDOWN(ROUNDUP(INDEX(Upgrades!$C$3:$C$13,MATCH(SUBSTITUTE(C586,""Sell_"",""""),Upgrades!$B$3:$B$13,0))*1.15^(COUNTIF(C$4:C585,SUBSTITUTE(C586,""Sell_"",""""))-COUNTIF(C$4:C585,"&amp;"""Sell_""&amp;SUBSTITUTE(C586,""Sell_"",""""))))/2),ROUNDUP(INDEX(Upgrades!$C$3:$C$13,MATCH(C586,Upgrades!$B$3:$B$13,0))*1.15^(COUNTIF(C$4:C585,C586)-COUNTIF(C$4:C585,""Sell_""&amp;C586))))))"),"")</f>
        <v/>
      </c>
      <c r="H586" s="10" t="str">
        <f t="shared" si="3"/>
        <v/>
      </c>
      <c r="I586" s="68" t="str">
        <f t="shared" si="4"/>
        <v/>
      </c>
      <c r="J586" s="59" t="str">
        <f t="shared" si="5"/>
        <v/>
      </c>
      <c r="K586" s="69" t="str">
        <f t="shared" si="6"/>
        <v/>
      </c>
      <c r="L586" s="60" t="str">
        <f t="shared" si="7"/>
        <v/>
      </c>
      <c r="M586" s="61" t="str">
        <f>IFERROR(__xludf.DUMMYFUNCTION("IFS(AND(COUNTA(C586:C1673)=0,COUNTA(Q586:Q1673)=0),"""",OR(AND(K586&gt;=1000000000,OR(Y586&gt;=1000000000,COUNTA(Q586:Q1673)=0)),OR(Y586&gt;=1000000000,AND(COUNTA(C586:C1673)=0,P$3=TRUE))),
ROUNDDOWN((AB$1-AC$1)*MAX(INDEX(T$4:T1673,MATCH(LARGE(FILTER(Y$4:Y1673,Y$4"&amp;":Y1673&lt;1000000000),1),Y$4:Y1673)),INDEX(F$4:F1673,MATCH(LARGE(FILTER(K$4:K1673,K$4:K1673&lt;1000000000),1),K$4:K1673)))),AND(K586&lt;1000000000,COUNTA(C586:C1673)&gt;0,P$3=FALSE),
ROUNDDOWN(INDEX(Y$4:Y1673,MATCH(LARGE(FILTER(W$4:W1673,W$4:W1673&lt;=I586),1),W$4:W1673"&amp;"))+(I586-LARGE(FILTER(W$4:W1673,W$4:W1673&lt;=I586),1))*INDEX(T$4:T1673,MATCH(LARGE(FILTER(W$4:W1673,W$4:W1673&lt;=I586),1),W$4:W1673))-K586),1,
ROUNDDOWN(Y586-INDEX(K$4:K1673,MATCH(LARGE(FILTER(I$4:I1673,I$4:I1673&lt;=W586),1),I$4:I1673))-(W586-LARGE(FILTER(I$4:I"&amp;"1673,I$4:I1673&lt;=W586),1))*INDEX(F$4:F1673,MATCH(LARGE(FILTER(I$4:I1673,I$4:I1673&lt;=W586),1),I$4:I1673))))"),"")</f>
        <v/>
      </c>
      <c r="N586" s="60" t="str">
        <f t="shared" si="8"/>
        <v/>
      </c>
      <c r="O586" s="61" t="str">
        <f t="shared" si="9"/>
        <v/>
      </c>
      <c r="P586" s="56" t="str">
        <f t="shared" si="10"/>
        <v/>
      </c>
      <c r="Q586" s="105"/>
      <c r="R586" s="10"/>
      <c r="S586" s="59" t="str">
        <f t="array" ref="S586">IF(COUNTA(Q586:Q1673)=0,"",SUM((COUNTIF(Q$4:Q586,Upgrades!$B$3:$B$13)-COUNTIF(Q$4:Q586,"Sell_"&amp;Upgrades!$B$3:$B$13))*Upgrades!$D$3:$D$13))</f>
        <v/>
      </c>
      <c r="T586" s="66" t="str">
        <f>IFERROR(__xludf.DUMMYFUNCTION("IF(COUNTA(Q586:Q1673)=0,"""",IF(REGEXMATCH(INDEX(FILTER(Q$4:Q586,Q$4:Q586&lt;&gt;""""),ROWS(FILTER(Q$4:Q586,Q$4:Q586&lt;&gt;""""))),""^Sell_""),INDEX(FILTER(T$4:T585,Q$4:Q585&lt;&gt;""""),ROWS(FILTER(Q$4:Q585,Q$4:Q585&lt;&gt;""""))),$AD$5+S586))"),"")</f>
        <v/>
      </c>
      <c r="U586" s="10" t="str">
        <f>IFERROR(__xludf.DUMMYFUNCTION("IF(COUNTA(Q586:Q1673)=0,"""",IF(Q586="""",0,IF(REGEXMATCH(Q586,""^Sell_""),-ROUNDDOWN(ROUNDUP(INDEX(Upgrades!$C$3:$C$13,MATCH(SUBSTITUTE(Q586,""Sell_"",""""),Upgrades!$B$3:$B$13,0))*1.15^(COUNTIF(Q$4:Q585,SUBSTITUTE(Q586,""Sell_"",""""))-COUNTIF(Q$4:Q585,"&amp;"""Sell_""&amp;SUBSTITUTE(Q586,""Sell_"",""""))))/2),ROUNDUP(INDEX(Upgrades!$C$3:$C$13,MATCH(Q586,Upgrades!$B$3:$B$13,0))*1.15^(COUNTIF(Q$4:Q585,Q586)-COUNTIF(Q$4:Q585,""Sell_""&amp;Q586))))))"),"")</f>
        <v/>
      </c>
      <c r="V586" s="10" t="str">
        <f t="shared" si="11"/>
        <v/>
      </c>
      <c r="W586" s="68" t="str">
        <f t="shared" si="12"/>
        <v/>
      </c>
      <c r="X586" s="59" t="str">
        <f t="shared" si="13"/>
        <v/>
      </c>
      <c r="Y586" s="69" t="str">
        <f t="shared" si="14"/>
        <v/>
      </c>
      <c r="Z586" s="11"/>
    </row>
    <row r="587">
      <c r="A587" s="8"/>
      <c r="B587" s="56" t="str">
        <f t="shared" si="2"/>
        <v/>
      </c>
      <c r="C587" s="105"/>
      <c r="D587" s="10"/>
      <c r="E587" s="59" t="str">
        <f t="array" ref="E587">IF(COUNTA(C587:C1673)=0,"",SUM((COUNTIF(C$4:C587,Upgrades!$B$3:$B$13)-COUNTIF(C$4:C587,"Sell_"&amp;Upgrades!$B$3:$B$13))*Upgrades!$D$3:$D$13))</f>
        <v/>
      </c>
      <c r="F587" s="66" t="str">
        <f>IFERROR(__xludf.DUMMYFUNCTION("IF(COUNTA(C587:C1673)=0,"""",IF(REGEXMATCH(INDEX(FILTER(C$4:C587,C$4:C587&lt;&gt;""""),ROWS(FILTER(C$4:C587,C$4:C587&lt;&gt;""""))),""^Sell_""),INDEX(FILTER(F$4:F586,C$4:C586&lt;&gt;""""),ROWS(FILTER(C$4:C586,C$4:C586&lt;&gt;""""))),$AC$5+E587))"),"")</f>
        <v/>
      </c>
      <c r="G587" s="10" t="str">
        <f>IFERROR(__xludf.DUMMYFUNCTION("IF(COUNTA(C587:C1673)=0,"""",IF(C587="""",0,IF(REGEXMATCH(C587,""^Sell_""),-ROUNDDOWN(ROUNDUP(INDEX(Upgrades!$C$3:$C$13,MATCH(SUBSTITUTE(C587,""Sell_"",""""),Upgrades!$B$3:$B$13,0))*1.15^(COUNTIF(C$4:C586,SUBSTITUTE(C587,""Sell_"",""""))-COUNTIF(C$4:C586,"&amp;"""Sell_""&amp;SUBSTITUTE(C587,""Sell_"",""""))))/2),ROUNDUP(INDEX(Upgrades!$C$3:$C$13,MATCH(C587,Upgrades!$B$3:$B$13,0))*1.15^(COUNTIF(C$4:C586,C587)-COUNTIF(C$4:C586,""Sell_""&amp;C587))))))"),"")</f>
        <v/>
      </c>
      <c r="H587" s="10" t="str">
        <f t="shared" si="3"/>
        <v/>
      </c>
      <c r="I587" s="68" t="str">
        <f t="shared" si="4"/>
        <v/>
      </c>
      <c r="J587" s="59" t="str">
        <f t="shared" si="5"/>
        <v/>
      </c>
      <c r="K587" s="69" t="str">
        <f t="shared" si="6"/>
        <v/>
      </c>
      <c r="L587" s="60" t="str">
        <f t="shared" si="7"/>
        <v/>
      </c>
      <c r="M587" s="61" t="str">
        <f>IFERROR(__xludf.DUMMYFUNCTION("IFS(AND(COUNTA(C587:C1673)=0,COUNTA(Q587:Q1673)=0),"""",OR(AND(K587&gt;=1000000000,OR(Y587&gt;=1000000000,COUNTA(Q587:Q1673)=0)),OR(Y587&gt;=1000000000,AND(COUNTA(C587:C1673)=0,P$3=TRUE))),
ROUNDDOWN((AB$1-AC$1)*MAX(INDEX(T$4:T1673,MATCH(LARGE(FILTER(Y$4:Y1673,Y$4"&amp;":Y1673&lt;1000000000),1),Y$4:Y1673)),INDEX(F$4:F1673,MATCH(LARGE(FILTER(K$4:K1673,K$4:K1673&lt;1000000000),1),K$4:K1673)))),AND(K587&lt;1000000000,COUNTA(C587:C1673)&gt;0,P$3=FALSE),
ROUNDDOWN(INDEX(Y$4:Y1673,MATCH(LARGE(FILTER(W$4:W1673,W$4:W1673&lt;=I587),1),W$4:W1673"&amp;"))+(I587-LARGE(FILTER(W$4:W1673,W$4:W1673&lt;=I587),1))*INDEX(T$4:T1673,MATCH(LARGE(FILTER(W$4:W1673,W$4:W1673&lt;=I587),1),W$4:W1673))-K587),1,
ROUNDDOWN(Y587-INDEX(K$4:K1673,MATCH(LARGE(FILTER(I$4:I1673,I$4:I1673&lt;=W587),1),I$4:I1673))-(W587-LARGE(FILTER(I$4:I"&amp;"1673,I$4:I1673&lt;=W587),1))*INDEX(F$4:F1673,MATCH(LARGE(FILTER(I$4:I1673,I$4:I1673&lt;=W587),1),I$4:I1673))))"),"")</f>
        <v/>
      </c>
      <c r="N587" s="60" t="str">
        <f t="shared" si="8"/>
        <v/>
      </c>
      <c r="O587" s="61" t="str">
        <f t="shared" si="9"/>
        <v/>
      </c>
      <c r="P587" s="56" t="str">
        <f t="shared" si="10"/>
        <v/>
      </c>
      <c r="Q587" s="105"/>
      <c r="R587" s="10"/>
      <c r="S587" s="59" t="str">
        <f t="array" ref="S587">IF(COUNTA(Q587:Q1673)=0,"",SUM((COUNTIF(Q$4:Q587,Upgrades!$B$3:$B$13)-COUNTIF(Q$4:Q587,"Sell_"&amp;Upgrades!$B$3:$B$13))*Upgrades!$D$3:$D$13))</f>
        <v/>
      </c>
      <c r="T587" s="66" t="str">
        <f>IFERROR(__xludf.DUMMYFUNCTION("IF(COUNTA(Q587:Q1673)=0,"""",IF(REGEXMATCH(INDEX(FILTER(Q$4:Q587,Q$4:Q587&lt;&gt;""""),ROWS(FILTER(Q$4:Q587,Q$4:Q587&lt;&gt;""""))),""^Sell_""),INDEX(FILTER(T$4:T586,Q$4:Q586&lt;&gt;""""),ROWS(FILTER(Q$4:Q586,Q$4:Q586&lt;&gt;""""))),$AD$5+S587))"),"")</f>
        <v/>
      </c>
      <c r="U587" s="10" t="str">
        <f>IFERROR(__xludf.DUMMYFUNCTION("IF(COUNTA(Q587:Q1673)=0,"""",IF(Q587="""",0,IF(REGEXMATCH(Q587,""^Sell_""),-ROUNDDOWN(ROUNDUP(INDEX(Upgrades!$C$3:$C$13,MATCH(SUBSTITUTE(Q587,""Sell_"",""""),Upgrades!$B$3:$B$13,0))*1.15^(COUNTIF(Q$4:Q586,SUBSTITUTE(Q587,""Sell_"",""""))-COUNTIF(Q$4:Q586,"&amp;"""Sell_""&amp;SUBSTITUTE(Q587,""Sell_"",""""))))/2),ROUNDUP(INDEX(Upgrades!$C$3:$C$13,MATCH(Q587,Upgrades!$B$3:$B$13,0))*1.15^(COUNTIF(Q$4:Q586,Q587)-COUNTIF(Q$4:Q586,""Sell_""&amp;Q587))))))"),"")</f>
        <v/>
      </c>
      <c r="V587" s="10" t="str">
        <f t="shared" si="11"/>
        <v/>
      </c>
      <c r="W587" s="68" t="str">
        <f t="shared" si="12"/>
        <v/>
      </c>
      <c r="X587" s="59" t="str">
        <f t="shared" si="13"/>
        <v/>
      </c>
      <c r="Y587" s="69" t="str">
        <f t="shared" si="14"/>
        <v/>
      </c>
      <c r="Z587" s="11"/>
    </row>
    <row r="588">
      <c r="A588" s="8"/>
      <c r="B588" s="56" t="str">
        <f t="shared" si="2"/>
        <v/>
      </c>
      <c r="C588" s="105"/>
      <c r="D588" s="10"/>
      <c r="E588" s="59" t="str">
        <f t="array" ref="E588">IF(COUNTA(C588:C1673)=0,"",SUM((COUNTIF(C$4:C588,Upgrades!$B$3:$B$13)-COUNTIF(C$4:C588,"Sell_"&amp;Upgrades!$B$3:$B$13))*Upgrades!$D$3:$D$13))</f>
        <v/>
      </c>
      <c r="F588" s="66" t="str">
        <f>IFERROR(__xludf.DUMMYFUNCTION("IF(COUNTA(C588:C1673)=0,"""",IF(REGEXMATCH(INDEX(FILTER(C$4:C588,C$4:C588&lt;&gt;""""),ROWS(FILTER(C$4:C588,C$4:C588&lt;&gt;""""))),""^Sell_""),INDEX(FILTER(F$4:F587,C$4:C587&lt;&gt;""""),ROWS(FILTER(C$4:C587,C$4:C587&lt;&gt;""""))),$AC$5+E588))"),"")</f>
        <v/>
      </c>
      <c r="G588" s="10" t="str">
        <f>IFERROR(__xludf.DUMMYFUNCTION("IF(COUNTA(C588:C1673)=0,"""",IF(C588="""",0,IF(REGEXMATCH(C588,""^Sell_""),-ROUNDDOWN(ROUNDUP(INDEX(Upgrades!$C$3:$C$13,MATCH(SUBSTITUTE(C588,""Sell_"",""""),Upgrades!$B$3:$B$13,0))*1.15^(COUNTIF(C$4:C587,SUBSTITUTE(C588,""Sell_"",""""))-COUNTIF(C$4:C587,"&amp;"""Sell_""&amp;SUBSTITUTE(C588,""Sell_"",""""))))/2),ROUNDUP(INDEX(Upgrades!$C$3:$C$13,MATCH(C588,Upgrades!$B$3:$B$13,0))*1.15^(COUNTIF(C$4:C587,C588)-COUNTIF(C$4:C587,""Sell_""&amp;C588))))))"),"")</f>
        <v/>
      </c>
      <c r="H588" s="10" t="str">
        <f t="shared" si="3"/>
        <v/>
      </c>
      <c r="I588" s="68" t="str">
        <f t="shared" si="4"/>
        <v/>
      </c>
      <c r="J588" s="59" t="str">
        <f t="shared" si="5"/>
        <v/>
      </c>
      <c r="K588" s="69" t="str">
        <f t="shared" si="6"/>
        <v/>
      </c>
      <c r="L588" s="60" t="str">
        <f t="shared" si="7"/>
        <v/>
      </c>
      <c r="M588" s="61" t="str">
        <f>IFERROR(__xludf.DUMMYFUNCTION("IFS(AND(COUNTA(C588:C1673)=0,COUNTA(Q588:Q1673)=0),"""",OR(AND(K588&gt;=1000000000,OR(Y588&gt;=1000000000,COUNTA(Q588:Q1673)=0)),OR(Y588&gt;=1000000000,AND(COUNTA(C588:C1673)=0,P$3=TRUE))),
ROUNDDOWN((AB$1-AC$1)*MAX(INDEX(T$4:T1673,MATCH(LARGE(FILTER(Y$4:Y1673,Y$4"&amp;":Y1673&lt;1000000000),1),Y$4:Y1673)),INDEX(F$4:F1673,MATCH(LARGE(FILTER(K$4:K1673,K$4:K1673&lt;1000000000),1),K$4:K1673)))),AND(K588&lt;1000000000,COUNTA(C588:C1673)&gt;0,P$3=FALSE),
ROUNDDOWN(INDEX(Y$4:Y1673,MATCH(LARGE(FILTER(W$4:W1673,W$4:W1673&lt;=I588),1),W$4:W1673"&amp;"))+(I588-LARGE(FILTER(W$4:W1673,W$4:W1673&lt;=I588),1))*INDEX(T$4:T1673,MATCH(LARGE(FILTER(W$4:W1673,W$4:W1673&lt;=I588),1),W$4:W1673))-K588),1,
ROUNDDOWN(Y588-INDEX(K$4:K1673,MATCH(LARGE(FILTER(I$4:I1673,I$4:I1673&lt;=W588),1),I$4:I1673))-(W588-LARGE(FILTER(I$4:I"&amp;"1673,I$4:I1673&lt;=W588),1))*INDEX(F$4:F1673,MATCH(LARGE(FILTER(I$4:I1673,I$4:I1673&lt;=W588),1),I$4:I1673))))"),"")</f>
        <v/>
      </c>
      <c r="N588" s="60" t="str">
        <f t="shared" si="8"/>
        <v/>
      </c>
      <c r="O588" s="61" t="str">
        <f t="shared" si="9"/>
        <v/>
      </c>
      <c r="P588" s="56" t="str">
        <f t="shared" si="10"/>
        <v/>
      </c>
      <c r="Q588" s="105"/>
      <c r="R588" s="10"/>
      <c r="S588" s="59" t="str">
        <f t="array" ref="S588">IF(COUNTA(Q588:Q1673)=0,"",SUM((COUNTIF(Q$4:Q588,Upgrades!$B$3:$B$13)-COUNTIF(Q$4:Q588,"Sell_"&amp;Upgrades!$B$3:$B$13))*Upgrades!$D$3:$D$13))</f>
        <v/>
      </c>
      <c r="T588" s="66" t="str">
        <f>IFERROR(__xludf.DUMMYFUNCTION("IF(COUNTA(Q588:Q1673)=0,"""",IF(REGEXMATCH(INDEX(FILTER(Q$4:Q588,Q$4:Q588&lt;&gt;""""),ROWS(FILTER(Q$4:Q588,Q$4:Q588&lt;&gt;""""))),""^Sell_""),INDEX(FILTER(T$4:T587,Q$4:Q587&lt;&gt;""""),ROWS(FILTER(Q$4:Q587,Q$4:Q587&lt;&gt;""""))),$AD$5+S588))"),"")</f>
        <v/>
      </c>
      <c r="U588" s="10" t="str">
        <f>IFERROR(__xludf.DUMMYFUNCTION("IF(COUNTA(Q588:Q1673)=0,"""",IF(Q588="""",0,IF(REGEXMATCH(Q588,""^Sell_""),-ROUNDDOWN(ROUNDUP(INDEX(Upgrades!$C$3:$C$13,MATCH(SUBSTITUTE(Q588,""Sell_"",""""),Upgrades!$B$3:$B$13,0))*1.15^(COUNTIF(Q$4:Q587,SUBSTITUTE(Q588,""Sell_"",""""))-COUNTIF(Q$4:Q587,"&amp;"""Sell_""&amp;SUBSTITUTE(Q588,""Sell_"",""""))))/2),ROUNDUP(INDEX(Upgrades!$C$3:$C$13,MATCH(Q588,Upgrades!$B$3:$B$13,0))*1.15^(COUNTIF(Q$4:Q587,Q588)-COUNTIF(Q$4:Q587,""Sell_""&amp;Q588))))))"),"")</f>
        <v/>
      </c>
      <c r="V588" s="10" t="str">
        <f t="shared" si="11"/>
        <v/>
      </c>
      <c r="W588" s="68" t="str">
        <f t="shared" si="12"/>
        <v/>
      </c>
      <c r="X588" s="59" t="str">
        <f t="shared" si="13"/>
        <v/>
      </c>
      <c r="Y588" s="69" t="str">
        <f t="shared" si="14"/>
        <v/>
      </c>
      <c r="Z588" s="11"/>
    </row>
    <row r="589">
      <c r="A589" s="8"/>
      <c r="B589" s="56" t="str">
        <f t="shared" si="2"/>
        <v/>
      </c>
      <c r="C589" s="105"/>
      <c r="D589" s="10"/>
      <c r="E589" s="59" t="str">
        <f t="array" ref="E589">IF(COUNTA(C589:C1673)=0,"",SUM((COUNTIF(C$4:C589,Upgrades!$B$3:$B$13)-COUNTIF(C$4:C589,"Sell_"&amp;Upgrades!$B$3:$B$13))*Upgrades!$D$3:$D$13))</f>
        <v/>
      </c>
      <c r="F589" s="66" t="str">
        <f>IFERROR(__xludf.DUMMYFUNCTION("IF(COUNTA(C589:C1673)=0,"""",IF(REGEXMATCH(INDEX(FILTER(C$4:C589,C$4:C589&lt;&gt;""""),ROWS(FILTER(C$4:C589,C$4:C589&lt;&gt;""""))),""^Sell_""),INDEX(FILTER(F$4:F588,C$4:C588&lt;&gt;""""),ROWS(FILTER(C$4:C588,C$4:C588&lt;&gt;""""))),$AC$5+E589))"),"")</f>
        <v/>
      </c>
      <c r="G589" s="10" t="str">
        <f>IFERROR(__xludf.DUMMYFUNCTION("IF(COUNTA(C589:C1673)=0,"""",IF(C589="""",0,IF(REGEXMATCH(C589,""^Sell_""),-ROUNDDOWN(ROUNDUP(INDEX(Upgrades!$C$3:$C$13,MATCH(SUBSTITUTE(C589,""Sell_"",""""),Upgrades!$B$3:$B$13,0))*1.15^(COUNTIF(C$4:C588,SUBSTITUTE(C589,""Sell_"",""""))-COUNTIF(C$4:C588,"&amp;"""Sell_""&amp;SUBSTITUTE(C589,""Sell_"",""""))))/2),ROUNDUP(INDEX(Upgrades!$C$3:$C$13,MATCH(C589,Upgrades!$B$3:$B$13,0))*1.15^(COUNTIF(C$4:C588,C589)-COUNTIF(C$4:C588,""Sell_""&amp;C589))))))"),"")</f>
        <v/>
      </c>
      <c r="H589" s="10" t="str">
        <f t="shared" si="3"/>
        <v/>
      </c>
      <c r="I589" s="68" t="str">
        <f t="shared" si="4"/>
        <v/>
      </c>
      <c r="J589" s="59" t="str">
        <f t="shared" si="5"/>
        <v/>
      </c>
      <c r="K589" s="69" t="str">
        <f t="shared" si="6"/>
        <v/>
      </c>
      <c r="L589" s="60" t="str">
        <f t="shared" si="7"/>
        <v/>
      </c>
      <c r="M589" s="61" t="str">
        <f>IFERROR(__xludf.DUMMYFUNCTION("IFS(AND(COUNTA(C589:C1673)=0,COUNTA(Q589:Q1673)=0),"""",OR(AND(K589&gt;=1000000000,OR(Y589&gt;=1000000000,COUNTA(Q589:Q1673)=0)),OR(Y589&gt;=1000000000,AND(COUNTA(C589:C1673)=0,P$3=TRUE))),
ROUNDDOWN((AB$1-AC$1)*MAX(INDEX(T$4:T1673,MATCH(LARGE(FILTER(Y$4:Y1673,Y$4"&amp;":Y1673&lt;1000000000),1),Y$4:Y1673)),INDEX(F$4:F1673,MATCH(LARGE(FILTER(K$4:K1673,K$4:K1673&lt;1000000000),1),K$4:K1673)))),AND(K589&lt;1000000000,COUNTA(C589:C1673)&gt;0,P$3=FALSE),
ROUNDDOWN(INDEX(Y$4:Y1673,MATCH(LARGE(FILTER(W$4:W1673,W$4:W1673&lt;=I589),1),W$4:W1673"&amp;"))+(I589-LARGE(FILTER(W$4:W1673,W$4:W1673&lt;=I589),1))*INDEX(T$4:T1673,MATCH(LARGE(FILTER(W$4:W1673,W$4:W1673&lt;=I589),1),W$4:W1673))-K589),1,
ROUNDDOWN(Y589-INDEX(K$4:K1673,MATCH(LARGE(FILTER(I$4:I1673,I$4:I1673&lt;=W589),1),I$4:I1673))-(W589-LARGE(FILTER(I$4:I"&amp;"1673,I$4:I1673&lt;=W589),1))*INDEX(F$4:F1673,MATCH(LARGE(FILTER(I$4:I1673,I$4:I1673&lt;=W589),1),I$4:I1673))))"),"")</f>
        <v/>
      </c>
      <c r="N589" s="60" t="str">
        <f t="shared" si="8"/>
        <v/>
      </c>
      <c r="O589" s="61" t="str">
        <f t="shared" si="9"/>
        <v/>
      </c>
      <c r="P589" s="56" t="str">
        <f t="shared" si="10"/>
        <v/>
      </c>
      <c r="Q589" s="105"/>
      <c r="R589" s="10"/>
      <c r="S589" s="59" t="str">
        <f t="array" ref="S589">IF(COUNTA(Q589:Q1673)=0,"",SUM((COUNTIF(Q$4:Q589,Upgrades!$B$3:$B$13)-COUNTIF(Q$4:Q589,"Sell_"&amp;Upgrades!$B$3:$B$13))*Upgrades!$D$3:$D$13))</f>
        <v/>
      </c>
      <c r="T589" s="66" t="str">
        <f>IFERROR(__xludf.DUMMYFUNCTION("IF(COUNTA(Q589:Q1673)=0,"""",IF(REGEXMATCH(INDEX(FILTER(Q$4:Q589,Q$4:Q589&lt;&gt;""""),ROWS(FILTER(Q$4:Q589,Q$4:Q589&lt;&gt;""""))),""^Sell_""),INDEX(FILTER(T$4:T588,Q$4:Q588&lt;&gt;""""),ROWS(FILTER(Q$4:Q588,Q$4:Q588&lt;&gt;""""))),$AD$5+S589))"),"")</f>
        <v/>
      </c>
      <c r="U589" s="10" t="str">
        <f>IFERROR(__xludf.DUMMYFUNCTION("IF(COUNTA(Q589:Q1673)=0,"""",IF(Q589="""",0,IF(REGEXMATCH(Q589,""^Sell_""),-ROUNDDOWN(ROUNDUP(INDEX(Upgrades!$C$3:$C$13,MATCH(SUBSTITUTE(Q589,""Sell_"",""""),Upgrades!$B$3:$B$13,0))*1.15^(COUNTIF(Q$4:Q588,SUBSTITUTE(Q589,""Sell_"",""""))-COUNTIF(Q$4:Q588,"&amp;"""Sell_""&amp;SUBSTITUTE(Q589,""Sell_"",""""))))/2),ROUNDUP(INDEX(Upgrades!$C$3:$C$13,MATCH(Q589,Upgrades!$B$3:$B$13,0))*1.15^(COUNTIF(Q$4:Q588,Q589)-COUNTIF(Q$4:Q588,""Sell_""&amp;Q589))))))"),"")</f>
        <v/>
      </c>
      <c r="V589" s="10" t="str">
        <f t="shared" si="11"/>
        <v/>
      </c>
      <c r="W589" s="68" t="str">
        <f t="shared" si="12"/>
        <v/>
      </c>
      <c r="X589" s="59" t="str">
        <f t="shared" si="13"/>
        <v/>
      </c>
      <c r="Y589" s="69" t="str">
        <f t="shared" si="14"/>
        <v/>
      </c>
      <c r="Z589" s="11"/>
    </row>
    <row r="590">
      <c r="A590" s="8"/>
      <c r="B590" s="56" t="str">
        <f t="shared" si="2"/>
        <v/>
      </c>
      <c r="C590" s="105"/>
      <c r="D590" s="10"/>
      <c r="E590" s="59" t="str">
        <f t="array" ref="E590">IF(COUNTA(C590:C1673)=0,"",SUM((COUNTIF(C$4:C590,Upgrades!$B$3:$B$13)-COUNTIF(C$4:C590,"Sell_"&amp;Upgrades!$B$3:$B$13))*Upgrades!$D$3:$D$13))</f>
        <v/>
      </c>
      <c r="F590" s="66" t="str">
        <f>IFERROR(__xludf.DUMMYFUNCTION("IF(COUNTA(C590:C1673)=0,"""",IF(REGEXMATCH(INDEX(FILTER(C$4:C590,C$4:C590&lt;&gt;""""),ROWS(FILTER(C$4:C590,C$4:C590&lt;&gt;""""))),""^Sell_""),INDEX(FILTER(F$4:F589,C$4:C589&lt;&gt;""""),ROWS(FILTER(C$4:C589,C$4:C589&lt;&gt;""""))),$AC$5+E590))"),"")</f>
        <v/>
      </c>
      <c r="G590" s="10" t="str">
        <f>IFERROR(__xludf.DUMMYFUNCTION("IF(COUNTA(C590:C1673)=0,"""",IF(C590="""",0,IF(REGEXMATCH(C590,""^Sell_""),-ROUNDDOWN(ROUNDUP(INDEX(Upgrades!$C$3:$C$13,MATCH(SUBSTITUTE(C590,""Sell_"",""""),Upgrades!$B$3:$B$13,0))*1.15^(COUNTIF(C$4:C589,SUBSTITUTE(C590,""Sell_"",""""))-COUNTIF(C$4:C589,"&amp;"""Sell_""&amp;SUBSTITUTE(C590,""Sell_"",""""))))/2),ROUNDUP(INDEX(Upgrades!$C$3:$C$13,MATCH(C590,Upgrades!$B$3:$B$13,0))*1.15^(COUNTIF(C$4:C589,C590)-COUNTIF(C$4:C589,""Sell_""&amp;C590))))))"),"")</f>
        <v/>
      </c>
      <c r="H590" s="10" t="str">
        <f t="shared" si="3"/>
        <v/>
      </c>
      <c r="I590" s="68" t="str">
        <f t="shared" si="4"/>
        <v/>
      </c>
      <c r="J590" s="59" t="str">
        <f t="shared" si="5"/>
        <v/>
      </c>
      <c r="K590" s="69" t="str">
        <f t="shared" si="6"/>
        <v/>
      </c>
      <c r="L590" s="60" t="str">
        <f t="shared" si="7"/>
        <v/>
      </c>
      <c r="M590" s="61" t="str">
        <f>IFERROR(__xludf.DUMMYFUNCTION("IFS(AND(COUNTA(C590:C1673)=0,COUNTA(Q590:Q1673)=0),"""",OR(AND(K590&gt;=1000000000,OR(Y590&gt;=1000000000,COUNTA(Q590:Q1673)=0)),OR(Y590&gt;=1000000000,AND(COUNTA(C590:C1673)=0,P$3=TRUE))),
ROUNDDOWN((AB$1-AC$1)*MAX(INDEX(T$4:T1673,MATCH(LARGE(FILTER(Y$4:Y1673,Y$4"&amp;":Y1673&lt;1000000000),1),Y$4:Y1673)),INDEX(F$4:F1673,MATCH(LARGE(FILTER(K$4:K1673,K$4:K1673&lt;1000000000),1),K$4:K1673)))),AND(K590&lt;1000000000,COUNTA(C590:C1673)&gt;0,P$3=FALSE),
ROUNDDOWN(INDEX(Y$4:Y1673,MATCH(LARGE(FILTER(W$4:W1673,W$4:W1673&lt;=I590),1),W$4:W1673"&amp;"))+(I590-LARGE(FILTER(W$4:W1673,W$4:W1673&lt;=I590),1))*INDEX(T$4:T1673,MATCH(LARGE(FILTER(W$4:W1673,W$4:W1673&lt;=I590),1),W$4:W1673))-K590),1,
ROUNDDOWN(Y590-INDEX(K$4:K1673,MATCH(LARGE(FILTER(I$4:I1673,I$4:I1673&lt;=W590),1),I$4:I1673))-(W590-LARGE(FILTER(I$4:I"&amp;"1673,I$4:I1673&lt;=W590),1))*INDEX(F$4:F1673,MATCH(LARGE(FILTER(I$4:I1673,I$4:I1673&lt;=W590),1),I$4:I1673))))"),"")</f>
        <v/>
      </c>
      <c r="N590" s="60" t="str">
        <f t="shared" si="8"/>
        <v/>
      </c>
      <c r="O590" s="61" t="str">
        <f t="shared" si="9"/>
        <v/>
      </c>
      <c r="P590" s="56" t="str">
        <f t="shared" si="10"/>
        <v/>
      </c>
      <c r="Q590" s="105"/>
      <c r="R590" s="10"/>
      <c r="S590" s="59" t="str">
        <f t="array" ref="S590">IF(COUNTA(Q590:Q1673)=0,"",SUM((COUNTIF(Q$4:Q590,Upgrades!$B$3:$B$13)-COUNTIF(Q$4:Q590,"Sell_"&amp;Upgrades!$B$3:$B$13))*Upgrades!$D$3:$D$13))</f>
        <v/>
      </c>
      <c r="T590" s="66" t="str">
        <f>IFERROR(__xludf.DUMMYFUNCTION("IF(COUNTA(Q590:Q1673)=0,"""",IF(REGEXMATCH(INDEX(FILTER(Q$4:Q590,Q$4:Q590&lt;&gt;""""),ROWS(FILTER(Q$4:Q590,Q$4:Q590&lt;&gt;""""))),""^Sell_""),INDEX(FILTER(T$4:T589,Q$4:Q589&lt;&gt;""""),ROWS(FILTER(Q$4:Q589,Q$4:Q589&lt;&gt;""""))),$AD$5+S590))"),"")</f>
        <v/>
      </c>
      <c r="U590" s="10" t="str">
        <f>IFERROR(__xludf.DUMMYFUNCTION("IF(COUNTA(Q590:Q1673)=0,"""",IF(Q590="""",0,IF(REGEXMATCH(Q590,""^Sell_""),-ROUNDDOWN(ROUNDUP(INDEX(Upgrades!$C$3:$C$13,MATCH(SUBSTITUTE(Q590,""Sell_"",""""),Upgrades!$B$3:$B$13,0))*1.15^(COUNTIF(Q$4:Q589,SUBSTITUTE(Q590,""Sell_"",""""))-COUNTIF(Q$4:Q589,"&amp;"""Sell_""&amp;SUBSTITUTE(Q590,""Sell_"",""""))))/2),ROUNDUP(INDEX(Upgrades!$C$3:$C$13,MATCH(Q590,Upgrades!$B$3:$B$13,0))*1.15^(COUNTIF(Q$4:Q589,Q590)-COUNTIF(Q$4:Q589,""Sell_""&amp;Q590))))))"),"")</f>
        <v/>
      </c>
      <c r="V590" s="10" t="str">
        <f t="shared" si="11"/>
        <v/>
      </c>
      <c r="W590" s="68" t="str">
        <f t="shared" si="12"/>
        <v/>
      </c>
      <c r="X590" s="59" t="str">
        <f t="shared" si="13"/>
        <v/>
      </c>
      <c r="Y590" s="69" t="str">
        <f t="shared" si="14"/>
        <v/>
      </c>
      <c r="Z590" s="11"/>
    </row>
    <row r="591">
      <c r="A591" s="8"/>
      <c r="B591" s="56" t="str">
        <f t="shared" si="2"/>
        <v/>
      </c>
      <c r="C591" s="105"/>
      <c r="D591" s="10"/>
      <c r="E591" s="59" t="str">
        <f t="array" ref="E591">IF(COUNTA(C591:C1673)=0,"",SUM((COUNTIF(C$4:C591,Upgrades!$B$3:$B$13)-COUNTIF(C$4:C591,"Sell_"&amp;Upgrades!$B$3:$B$13))*Upgrades!$D$3:$D$13))</f>
        <v/>
      </c>
      <c r="F591" s="66" t="str">
        <f>IFERROR(__xludf.DUMMYFUNCTION("IF(COUNTA(C591:C1673)=0,"""",IF(REGEXMATCH(INDEX(FILTER(C$4:C591,C$4:C591&lt;&gt;""""),ROWS(FILTER(C$4:C591,C$4:C591&lt;&gt;""""))),""^Sell_""),INDEX(FILTER(F$4:F590,C$4:C590&lt;&gt;""""),ROWS(FILTER(C$4:C590,C$4:C590&lt;&gt;""""))),$AC$5+E591))"),"")</f>
        <v/>
      </c>
      <c r="G591" s="10" t="str">
        <f>IFERROR(__xludf.DUMMYFUNCTION("IF(COUNTA(C591:C1673)=0,"""",IF(C591="""",0,IF(REGEXMATCH(C591,""^Sell_""),-ROUNDDOWN(ROUNDUP(INDEX(Upgrades!$C$3:$C$13,MATCH(SUBSTITUTE(C591,""Sell_"",""""),Upgrades!$B$3:$B$13,0))*1.15^(COUNTIF(C$4:C590,SUBSTITUTE(C591,""Sell_"",""""))-COUNTIF(C$4:C590,"&amp;"""Sell_""&amp;SUBSTITUTE(C591,""Sell_"",""""))))/2),ROUNDUP(INDEX(Upgrades!$C$3:$C$13,MATCH(C591,Upgrades!$B$3:$B$13,0))*1.15^(COUNTIF(C$4:C590,C591)-COUNTIF(C$4:C590,""Sell_""&amp;C591))))))"),"")</f>
        <v/>
      </c>
      <c r="H591" s="10" t="str">
        <f t="shared" si="3"/>
        <v/>
      </c>
      <c r="I591" s="68" t="str">
        <f t="shared" si="4"/>
        <v/>
      </c>
      <c r="J591" s="59" t="str">
        <f t="shared" si="5"/>
        <v/>
      </c>
      <c r="K591" s="69" t="str">
        <f t="shared" si="6"/>
        <v/>
      </c>
      <c r="L591" s="60" t="str">
        <f t="shared" si="7"/>
        <v/>
      </c>
      <c r="M591" s="61" t="str">
        <f>IFERROR(__xludf.DUMMYFUNCTION("IFS(AND(COUNTA(C591:C1673)=0,COUNTA(Q591:Q1673)=0),"""",OR(AND(K591&gt;=1000000000,OR(Y591&gt;=1000000000,COUNTA(Q591:Q1673)=0)),OR(Y591&gt;=1000000000,AND(COUNTA(C591:C1673)=0,P$3=TRUE))),
ROUNDDOWN((AB$1-AC$1)*MAX(INDEX(T$4:T1673,MATCH(LARGE(FILTER(Y$4:Y1673,Y$4"&amp;":Y1673&lt;1000000000),1),Y$4:Y1673)),INDEX(F$4:F1673,MATCH(LARGE(FILTER(K$4:K1673,K$4:K1673&lt;1000000000),1),K$4:K1673)))),AND(K591&lt;1000000000,COUNTA(C591:C1673)&gt;0,P$3=FALSE),
ROUNDDOWN(INDEX(Y$4:Y1673,MATCH(LARGE(FILTER(W$4:W1673,W$4:W1673&lt;=I591),1),W$4:W1673"&amp;"))+(I591-LARGE(FILTER(W$4:W1673,W$4:W1673&lt;=I591),1))*INDEX(T$4:T1673,MATCH(LARGE(FILTER(W$4:W1673,W$4:W1673&lt;=I591),1),W$4:W1673))-K591),1,
ROUNDDOWN(Y591-INDEX(K$4:K1673,MATCH(LARGE(FILTER(I$4:I1673,I$4:I1673&lt;=W591),1),I$4:I1673))-(W591-LARGE(FILTER(I$4:I"&amp;"1673,I$4:I1673&lt;=W591),1))*INDEX(F$4:F1673,MATCH(LARGE(FILTER(I$4:I1673,I$4:I1673&lt;=W591),1),I$4:I1673))))"),"")</f>
        <v/>
      </c>
      <c r="N591" s="60" t="str">
        <f t="shared" si="8"/>
        <v/>
      </c>
      <c r="O591" s="61" t="str">
        <f t="shared" si="9"/>
        <v/>
      </c>
      <c r="P591" s="56" t="str">
        <f t="shared" si="10"/>
        <v/>
      </c>
      <c r="Q591" s="105"/>
      <c r="R591" s="10"/>
      <c r="S591" s="59" t="str">
        <f t="array" ref="S591">IF(COUNTA(Q591:Q1673)=0,"",SUM((COUNTIF(Q$4:Q591,Upgrades!$B$3:$B$13)-COUNTIF(Q$4:Q591,"Sell_"&amp;Upgrades!$B$3:$B$13))*Upgrades!$D$3:$D$13))</f>
        <v/>
      </c>
      <c r="T591" s="66" t="str">
        <f>IFERROR(__xludf.DUMMYFUNCTION("IF(COUNTA(Q591:Q1673)=0,"""",IF(REGEXMATCH(INDEX(FILTER(Q$4:Q591,Q$4:Q591&lt;&gt;""""),ROWS(FILTER(Q$4:Q591,Q$4:Q591&lt;&gt;""""))),""^Sell_""),INDEX(FILTER(T$4:T590,Q$4:Q590&lt;&gt;""""),ROWS(FILTER(Q$4:Q590,Q$4:Q590&lt;&gt;""""))),$AD$5+S591))"),"")</f>
        <v/>
      </c>
      <c r="U591" s="10" t="str">
        <f>IFERROR(__xludf.DUMMYFUNCTION("IF(COUNTA(Q591:Q1673)=0,"""",IF(Q591="""",0,IF(REGEXMATCH(Q591,""^Sell_""),-ROUNDDOWN(ROUNDUP(INDEX(Upgrades!$C$3:$C$13,MATCH(SUBSTITUTE(Q591,""Sell_"",""""),Upgrades!$B$3:$B$13,0))*1.15^(COUNTIF(Q$4:Q590,SUBSTITUTE(Q591,""Sell_"",""""))-COUNTIF(Q$4:Q590,"&amp;"""Sell_""&amp;SUBSTITUTE(Q591,""Sell_"",""""))))/2),ROUNDUP(INDEX(Upgrades!$C$3:$C$13,MATCH(Q591,Upgrades!$B$3:$B$13,0))*1.15^(COUNTIF(Q$4:Q590,Q591)-COUNTIF(Q$4:Q590,""Sell_""&amp;Q591))))))"),"")</f>
        <v/>
      </c>
      <c r="V591" s="10" t="str">
        <f t="shared" si="11"/>
        <v/>
      </c>
      <c r="W591" s="68" t="str">
        <f t="shared" si="12"/>
        <v/>
      </c>
      <c r="X591" s="59" t="str">
        <f t="shared" si="13"/>
        <v/>
      </c>
      <c r="Y591" s="69" t="str">
        <f t="shared" si="14"/>
        <v/>
      </c>
      <c r="Z591" s="11"/>
    </row>
    <row r="592">
      <c r="A592" s="8"/>
      <c r="B592" s="56" t="str">
        <f t="shared" si="2"/>
        <v/>
      </c>
      <c r="C592" s="105"/>
      <c r="D592" s="10"/>
      <c r="E592" s="59" t="str">
        <f t="array" ref="E592">IF(COUNTA(C592:C1673)=0,"",SUM((COUNTIF(C$4:C592,Upgrades!$B$3:$B$13)-COUNTIF(C$4:C592,"Sell_"&amp;Upgrades!$B$3:$B$13))*Upgrades!$D$3:$D$13))</f>
        <v/>
      </c>
      <c r="F592" s="66" t="str">
        <f>IFERROR(__xludf.DUMMYFUNCTION("IF(COUNTA(C592:C1673)=0,"""",IF(REGEXMATCH(INDEX(FILTER(C$4:C592,C$4:C592&lt;&gt;""""),ROWS(FILTER(C$4:C592,C$4:C592&lt;&gt;""""))),""^Sell_""),INDEX(FILTER(F$4:F591,C$4:C591&lt;&gt;""""),ROWS(FILTER(C$4:C591,C$4:C591&lt;&gt;""""))),$AC$5+E592))"),"")</f>
        <v/>
      </c>
      <c r="G592" s="10" t="str">
        <f>IFERROR(__xludf.DUMMYFUNCTION("IF(COUNTA(C592:C1673)=0,"""",IF(C592="""",0,IF(REGEXMATCH(C592,""^Sell_""),-ROUNDDOWN(ROUNDUP(INDEX(Upgrades!$C$3:$C$13,MATCH(SUBSTITUTE(C592,""Sell_"",""""),Upgrades!$B$3:$B$13,0))*1.15^(COUNTIF(C$4:C591,SUBSTITUTE(C592,""Sell_"",""""))-COUNTIF(C$4:C591,"&amp;"""Sell_""&amp;SUBSTITUTE(C592,""Sell_"",""""))))/2),ROUNDUP(INDEX(Upgrades!$C$3:$C$13,MATCH(C592,Upgrades!$B$3:$B$13,0))*1.15^(COUNTIF(C$4:C591,C592)-COUNTIF(C$4:C591,""Sell_""&amp;C592))))))"),"")</f>
        <v/>
      </c>
      <c r="H592" s="10" t="str">
        <f t="shared" si="3"/>
        <v/>
      </c>
      <c r="I592" s="68" t="str">
        <f t="shared" si="4"/>
        <v/>
      </c>
      <c r="J592" s="59" t="str">
        <f t="shared" si="5"/>
        <v/>
      </c>
      <c r="K592" s="69" t="str">
        <f t="shared" si="6"/>
        <v/>
      </c>
      <c r="L592" s="60" t="str">
        <f t="shared" si="7"/>
        <v/>
      </c>
      <c r="M592" s="61" t="str">
        <f>IFERROR(__xludf.DUMMYFUNCTION("IFS(AND(COUNTA(C592:C1673)=0,COUNTA(Q592:Q1673)=0),"""",OR(AND(K592&gt;=1000000000,OR(Y592&gt;=1000000000,COUNTA(Q592:Q1673)=0)),OR(Y592&gt;=1000000000,AND(COUNTA(C592:C1673)=0,P$3=TRUE))),
ROUNDDOWN((AB$1-AC$1)*MAX(INDEX(T$4:T1673,MATCH(LARGE(FILTER(Y$4:Y1673,Y$4"&amp;":Y1673&lt;1000000000),1),Y$4:Y1673)),INDEX(F$4:F1673,MATCH(LARGE(FILTER(K$4:K1673,K$4:K1673&lt;1000000000),1),K$4:K1673)))),AND(K592&lt;1000000000,COUNTA(C592:C1673)&gt;0,P$3=FALSE),
ROUNDDOWN(INDEX(Y$4:Y1673,MATCH(LARGE(FILTER(W$4:W1673,W$4:W1673&lt;=I592),1),W$4:W1673"&amp;"))+(I592-LARGE(FILTER(W$4:W1673,W$4:W1673&lt;=I592),1))*INDEX(T$4:T1673,MATCH(LARGE(FILTER(W$4:W1673,W$4:W1673&lt;=I592),1),W$4:W1673))-K592),1,
ROUNDDOWN(Y592-INDEX(K$4:K1673,MATCH(LARGE(FILTER(I$4:I1673,I$4:I1673&lt;=W592),1),I$4:I1673))-(W592-LARGE(FILTER(I$4:I"&amp;"1673,I$4:I1673&lt;=W592),1))*INDEX(F$4:F1673,MATCH(LARGE(FILTER(I$4:I1673,I$4:I1673&lt;=W592),1),I$4:I1673))))"),"")</f>
        <v/>
      </c>
      <c r="N592" s="60" t="str">
        <f t="shared" si="8"/>
        <v/>
      </c>
      <c r="O592" s="61" t="str">
        <f t="shared" si="9"/>
        <v/>
      </c>
      <c r="P592" s="56" t="str">
        <f t="shared" si="10"/>
        <v/>
      </c>
      <c r="Q592" s="105"/>
      <c r="R592" s="10"/>
      <c r="S592" s="59" t="str">
        <f t="array" ref="S592">IF(COUNTA(Q592:Q1673)=0,"",SUM((COUNTIF(Q$4:Q592,Upgrades!$B$3:$B$13)-COUNTIF(Q$4:Q592,"Sell_"&amp;Upgrades!$B$3:$B$13))*Upgrades!$D$3:$D$13))</f>
        <v/>
      </c>
      <c r="T592" s="66" t="str">
        <f>IFERROR(__xludf.DUMMYFUNCTION("IF(COUNTA(Q592:Q1673)=0,"""",IF(REGEXMATCH(INDEX(FILTER(Q$4:Q592,Q$4:Q592&lt;&gt;""""),ROWS(FILTER(Q$4:Q592,Q$4:Q592&lt;&gt;""""))),""^Sell_""),INDEX(FILTER(T$4:T591,Q$4:Q591&lt;&gt;""""),ROWS(FILTER(Q$4:Q591,Q$4:Q591&lt;&gt;""""))),$AD$5+S592))"),"")</f>
        <v/>
      </c>
      <c r="U592" s="10" t="str">
        <f>IFERROR(__xludf.DUMMYFUNCTION("IF(COUNTA(Q592:Q1673)=0,"""",IF(Q592="""",0,IF(REGEXMATCH(Q592,""^Sell_""),-ROUNDDOWN(ROUNDUP(INDEX(Upgrades!$C$3:$C$13,MATCH(SUBSTITUTE(Q592,""Sell_"",""""),Upgrades!$B$3:$B$13,0))*1.15^(COUNTIF(Q$4:Q591,SUBSTITUTE(Q592,""Sell_"",""""))-COUNTIF(Q$4:Q591,"&amp;"""Sell_""&amp;SUBSTITUTE(Q592,""Sell_"",""""))))/2),ROUNDUP(INDEX(Upgrades!$C$3:$C$13,MATCH(Q592,Upgrades!$B$3:$B$13,0))*1.15^(COUNTIF(Q$4:Q591,Q592)-COUNTIF(Q$4:Q591,""Sell_""&amp;Q592))))))"),"")</f>
        <v/>
      </c>
      <c r="V592" s="10" t="str">
        <f t="shared" si="11"/>
        <v/>
      </c>
      <c r="W592" s="68" t="str">
        <f t="shared" si="12"/>
        <v/>
      </c>
      <c r="X592" s="59" t="str">
        <f t="shared" si="13"/>
        <v/>
      </c>
      <c r="Y592" s="69" t="str">
        <f t="shared" si="14"/>
        <v/>
      </c>
      <c r="Z592" s="11"/>
    </row>
    <row r="593">
      <c r="A593" s="8"/>
      <c r="B593" s="56" t="str">
        <f t="shared" si="2"/>
        <v/>
      </c>
      <c r="C593" s="105"/>
      <c r="D593" s="10"/>
      <c r="E593" s="59" t="str">
        <f t="array" ref="E593">IF(COUNTA(C593:C1673)=0,"",SUM((COUNTIF(C$4:C593,Upgrades!$B$3:$B$13)-COUNTIF(C$4:C593,"Sell_"&amp;Upgrades!$B$3:$B$13))*Upgrades!$D$3:$D$13))</f>
        <v/>
      </c>
      <c r="F593" s="66" t="str">
        <f>IFERROR(__xludf.DUMMYFUNCTION("IF(COUNTA(C593:C1673)=0,"""",IF(REGEXMATCH(INDEX(FILTER(C$4:C593,C$4:C593&lt;&gt;""""),ROWS(FILTER(C$4:C593,C$4:C593&lt;&gt;""""))),""^Sell_""),INDEX(FILTER(F$4:F592,C$4:C592&lt;&gt;""""),ROWS(FILTER(C$4:C592,C$4:C592&lt;&gt;""""))),$AC$5+E593))"),"")</f>
        <v/>
      </c>
      <c r="G593" s="10" t="str">
        <f>IFERROR(__xludf.DUMMYFUNCTION("IF(COUNTA(C593:C1673)=0,"""",IF(C593="""",0,IF(REGEXMATCH(C593,""^Sell_""),-ROUNDDOWN(ROUNDUP(INDEX(Upgrades!$C$3:$C$13,MATCH(SUBSTITUTE(C593,""Sell_"",""""),Upgrades!$B$3:$B$13,0))*1.15^(COUNTIF(C$4:C592,SUBSTITUTE(C593,""Sell_"",""""))-COUNTIF(C$4:C592,"&amp;"""Sell_""&amp;SUBSTITUTE(C593,""Sell_"",""""))))/2),ROUNDUP(INDEX(Upgrades!$C$3:$C$13,MATCH(C593,Upgrades!$B$3:$B$13,0))*1.15^(COUNTIF(C$4:C592,C593)-COUNTIF(C$4:C592,""Sell_""&amp;C593))))))"),"")</f>
        <v/>
      </c>
      <c r="H593" s="10" t="str">
        <f t="shared" si="3"/>
        <v/>
      </c>
      <c r="I593" s="68" t="str">
        <f t="shared" si="4"/>
        <v/>
      </c>
      <c r="J593" s="59" t="str">
        <f t="shared" si="5"/>
        <v/>
      </c>
      <c r="K593" s="69" t="str">
        <f t="shared" si="6"/>
        <v/>
      </c>
      <c r="L593" s="60" t="str">
        <f t="shared" si="7"/>
        <v/>
      </c>
      <c r="M593" s="61" t="str">
        <f>IFERROR(__xludf.DUMMYFUNCTION("IFS(AND(COUNTA(C593:C1673)=0,COUNTA(Q593:Q1673)=0),"""",OR(AND(K593&gt;=1000000000,OR(Y593&gt;=1000000000,COUNTA(Q593:Q1673)=0)),OR(Y593&gt;=1000000000,AND(COUNTA(C593:C1673)=0,P$3=TRUE))),
ROUNDDOWN((AB$1-AC$1)*MAX(INDEX(T$4:T1673,MATCH(LARGE(FILTER(Y$4:Y1673,Y$4"&amp;":Y1673&lt;1000000000),1),Y$4:Y1673)),INDEX(F$4:F1673,MATCH(LARGE(FILTER(K$4:K1673,K$4:K1673&lt;1000000000),1),K$4:K1673)))),AND(K593&lt;1000000000,COUNTA(C593:C1673)&gt;0,P$3=FALSE),
ROUNDDOWN(INDEX(Y$4:Y1673,MATCH(LARGE(FILTER(W$4:W1673,W$4:W1673&lt;=I593),1),W$4:W1673"&amp;"))+(I593-LARGE(FILTER(W$4:W1673,W$4:W1673&lt;=I593),1))*INDEX(T$4:T1673,MATCH(LARGE(FILTER(W$4:W1673,W$4:W1673&lt;=I593),1),W$4:W1673))-K593),1,
ROUNDDOWN(Y593-INDEX(K$4:K1673,MATCH(LARGE(FILTER(I$4:I1673,I$4:I1673&lt;=W593),1),I$4:I1673))-(W593-LARGE(FILTER(I$4:I"&amp;"1673,I$4:I1673&lt;=W593),1))*INDEX(F$4:F1673,MATCH(LARGE(FILTER(I$4:I1673,I$4:I1673&lt;=W593),1),I$4:I1673))))"),"")</f>
        <v/>
      </c>
      <c r="N593" s="60" t="str">
        <f t="shared" si="8"/>
        <v/>
      </c>
      <c r="O593" s="61" t="str">
        <f t="shared" si="9"/>
        <v/>
      </c>
      <c r="P593" s="56" t="str">
        <f t="shared" si="10"/>
        <v/>
      </c>
      <c r="Q593" s="105"/>
      <c r="R593" s="10"/>
      <c r="S593" s="59" t="str">
        <f t="array" ref="S593">IF(COUNTA(Q593:Q1673)=0,"",SUM((COUNTIF(Q$4:Q593,Upgrades!$B$3:$B$13)-COUNTIF(Q$4:Q593,"Sell_"&amp;Upgrades!$B$3:$B$13))*Upgrades!$D$3:$D$13))</f>
        <v/>
      </c>
      <c r="T593" s="66" t="str">
        <f>IFERROR(__xludf.DUMMYFUNCTION("IF(COUNTA(Q593:Q1673)=0,"""",IF(REGEXMATCH(INDEX(FILTER(Q$4:Q593,Q$4:Q593&lt;&gt;""""),ROWS(FILTER(Q$4:Q593,Q$4:Q593&lt;&gt;""""))),""^Sell_""),INDEX(FILTER(T$4:T592,Q$4:Q592&lt;&gt;""""),ROWS(FILTER(Q$4:Q592,Q$4:Q592&lt;&gt;""""))),$AD$5+S593))"),"")</f>
        <v/>
      </c>
      <c r="U593" s="10" t="str">
        <f>IFERROR(__xludf.DUMMYFUNCTION("IF(COUNTA(Q593:Q1673)=0,"""",IF(Q593="""",0,IF(REGEXMATCH(Q593,""^Sell_""),-ROUNDDOWN(ROUNDUP(INDEX(Upgrades!$C$3:$C$13,MATCH(SUBSTITUTE(Q593,""Sell_"",""""),Upgrades!$B$3:$B$13,0))*1.15^(COUNTIF(Q$4:Q592,SUBSTITUTE(Q593,""Sell_"",""""))-COUNTIF(Q$4:Q592,"&amp;"""Sell_""&amp;SUBSTITUTE(Q593,""Sell_"",""""))))/2),ROUNDUP(INDEX(Upgrades!$C$3:$C$13,MATCH(Q593,Upgrades!$B$3:$B$13,0))*1.15^(COUNTIF(Q$4:Q592,Q593)-COUNTIF(Q$4:Q592,""Sell_""&amp;Q593))))))"),"")</f>
        <v/>
      </c>
      <c r="V593" s="10" t="str">
        <f t="shared" si="11"/>
        <v/>
      </c>
      <c r="W593" s="68" t="str">
        <f t="shared" si="12"/>
        <v/>
      </c>
      <c r="X593" s="59" t="str">
        <f t="shared" si="13"/>
        <v/>
      </c>
      <c r="Y593" s="69" t="str">
        <f t="shared" si="14"/>
        <v/>
      </c>
      <c r="Z593" s="11"/>
    </row>
    <row r="594">
      <c r="A594" s="8"/>
      <c r="B594" s="56" t="str">
        <f t="shared" si="2"/>
        <v/>
      </c>
      <c r="C594" s="105"/>
      <c r="D594" s="10"/>
      <c r="E594" s="59" t="str">
        <f t="array" ref="E594">IF(COUNTA(C594:C1673)=0,"",SUM((COUNTIF(C$4:C594,Upgrades!$B$3:$B$13)-COUNTIF(C$4:C594,"Sell_"&amp;Upgrades!$B$3:$B$13))*Upgrades!$D$3:$D$13))</f>
        <v/>
      </c>
      <c r="F594" s="66" t="str">
        <f>IFERROR(__xludf.DUMMYFUNCTION("IF(COUNTA(C594:C1673)=0,"""",IF(REGEXMATCH(INDEX(FILTER(C$4:C594,C$4:C594&lt;&gt;""""),ROWS(FILTER(C$4:C594,C$4:C594&lt;&gt;""""))),""^Sell_""),INDEX(FILTER(F$4:F593,C$4:C593&lt;&gt;""""),ROWS(FILTER(C$4:C593,C$4:C593&lt;&gt;""""))),$AC$5+E594))"),"")</f>
        <v/>
      </c>
      <c r="G594" s="10" t="str">
        <f>IFERROR(__xludf.DUMMYFUNCTION("IF(COUNTA(C594:C1673)=0,"""",IF(C594="""",0,IF(REGEXMATCH(C594,""^Sell_""),-ROUNDDOWN(ROUNDUP(INDEX(Upgrades!$C$3:$C$13,MATCH(SUBSTITUTE(C594,""Sell_"",""""),Upgrades!$B$3:$B$13,0))*1.15^(COUNTIF(C$4:C593,SUBSTITUTE(C594,""Sell_"",""""))-COUNTIF(C$4:C593,"&amp;"""Sell_""&amp;SUBSTITUTE(C594,""Sell_"",""""))))/2),ROUNDUP(INDEX(Upgrades!$C$3:$C$13,MATCH(C594,Upgrades!$B$3:$B$13,0))*1.15^(COUNTIF(C$4:C593,C594)-COUNTIF(C$4:C593,""Sell_""&amp;C594))))))"),"")</f>
        <v/>
      </c>
      <c r="H594" s="10" t="str">
        <f t="shared" si="3"/>
        <v/>
      </c>
      <c r="I594" s="68" t="str">
        <f t="shared" si="4"/>
        <v/>
      </c>
      <c r="J594" s="59" t="str">
        <f t="shared" si="5"/>
        <v/>
      </c>
      <c r="K594" s="69" t="str">
        <f t="shared" si="6"/>
        <v/>
      </c>
      <c r="L594" s="60" t="str">
        <f t="shared" si="7"/>
        <v/>
      </c>
      <c r="M594" s="61" t="str">
        <f>IFERROR(__xludf.DUMMYFUNCTION("IFS(AND(COUNTA(C594:C1673)=0,COUNTA(Q594:Q1673)=0),"""",OR(AND(K594&gt;=1000000000,OR(Y594&gt;=1000000000,COUNTA(Q594:Q1673)=0)),OR(Y594&gt;=1000000000,AND(COUNTA(C594:C1673)=0,P$3=TRUE))),
ROUNDDOWN((AB$1-AC$1)*MAX(INDEX(T$4:T1673,MATCH(LARGE(FILTER(Y$4:Y1673,Y$4"&amp;":Y1673&lt;1000000000),1),Y$4:Y1673)),INDEX(F$4:F1673,MATCH(LARGE(FILTER(K$4:K1673,K$4:K1673&lt;1000000000),1),K$4:K1673)))),AND(K594&lt;1000000000,COUNTA(C594:C1673)&gt;0,P$3=FALSE),
ROUNDDOWN(INDEX(Y$4:Y1673,MATCH(LARGE(FILTER(W$4:W1673,W$4:W1673&lt;=I594),1),W$4:W1673"&amp;"))+(I594-LARGE(FILTER(W$4:W1673,W$4:W1673&lt;=I594),1))*INDEX(T$4:T1673,MATCH(LARGE(FILTER(W$4:W1673,W$4:W1673&lt;=I594),1),W$4:W1673))-K594),1,
ROUNDDOWN(Y594-INDEX(K$4:K1673,MATCH(LARGE(FILTER(I$4:I1673,I$4:I1673&lt;=W594),1),I$4:I1673))-(W594-LARGE(FILTER(I$4:I"&amp;"1673,I$4:I1673&lt;=W594),1))*INDEX(F$4:F1673,MATCH(LARGE(FILTER(I$4:I1673,I$4:I1673&lt;=W594),1),I$4:I1673))))"),"")</f>
        <v/>
      </c>
      <c r="N594" s="60" t="str">
        <f t="shared" si="8"/>
        <v/>
      </c>
      <c r="O594" s="61" t="str">
        <f t="shared" si="9"/>
        <v/>
      </c>
      <c r="P594" s="56" t="str">
        <f t="shared" si="10"/>
        <v/>
      </c>
      <c r="Q594" s="105"/>
      <c r="R594" s="10"/>
      <c r="S594" s="59" t="str">
        <f t="array" ref="S594">IF(COUNTA(Q594:Q1673)=0,"",SUM((COUNTIF(Q$4:Q594,Upgrades!$B$3:$B$13)-COUNTIF(Q$4:Q594,"Sell_"&amp;Upgrades!$B$3:$B$13))*Upgrades!$D$3:$D$13))</f>
        <v/>
      </c>
      <c r="T594" s="66" t="str">
        <f>IFERROR(__xludf.DUMMYFUNCTION("IF(COUNTA(Q594:Q1673)=0,"""",IF(REGEXMATCH(INDEX(FILTER(Q$4:Q594,Q$4:Q594&lt;&gt;""""),ROWS(FILTER(Q$4:Q594,Q$4:Q594&lt;&gt;""""))),""^Sell_""),INDEX(FILTER(T$4:T593,Q$4:Q593&lt;&gt;""""),ROWS(FILTER(Q$4:Q593,Q$4:Q593&lt;&gt;""""))),$AD$5+S594))"),"")</f>
        <v/>
      </c>
      <c r="U594" s="10" t="str">
        <f>IFERROR(__xludf.DUMMYFUNCTION("IF(COUNTA(Q594:Q1673)=0,"""",IF(Q594="""",0,IF(REGEXMATCH(Q594,""^Sell_""),-ROUNDDOWN(ROUNDUP(INDEX(Upgrades!$C$3:$C$13,MATCH(SUBSTITUTE(Q594,""Sell_"",""""),Upgrades!$B$3:$B$13,0))*1.15^(COUNTIF(Q$4:Q593,SUBSTITUTE(Q594,""Sell_"",""""))-COUNTIF(Q$4:Q593,"&amp;"""Sell_""&amp;SUBSTITUTE(Q594,""Sell_"",""""))))/2),ROUNDUP(INDEX(Upgrades!$C$3:$C$13,MATCH(Q594,Upgrades!$B$3:$B$13,0))*1.15^(COUNTIF(Q$4:Q593,Q594)-COUNTIF(Q$4:Q593,""Sell_""&amp;Q594))))))"),"")</f>
        <v/>
      </c>
      <c r="V594" s="10" t="str">
        <f t="shared" si="11"/>
        <v/>
      </c>
      <c r="W594" s="68" t="str">
        <f t="shared" si="12"/>
        <v/>
      </c>
      <c r="X594" s="59" t="str">
        <f t="shared" si="13"/>
        <v/>
      </c>
      <c r="Y594" s="69" t="str">
        <f t="shared" si="14"/>
        <v/>
      </c>
      <c r="Z594" s="11"/>
    </row>
    <row r="595">
      <c r="A595" s="8"/>
      <c r="B595" s="56" t="str">
        <f t="shared" si="2"/>
        <v/>
      </c>
      <c r="C595" s="105"/>
      <c r="D595" s="10"/>
      <c r="E595" s="59" t="str">
        <f t="array" ref="E595">IF(COUNTA(C595:C1673)=0,"",SUM((COUNTIF(C$4:C595,Upgrades!$B$3:$B$13)-COUNTIF(C$4:C595,"Sell_"&amp;Upgrades!$B$3:$B$13))*Upgrades!$D$3:$D$13))</f>
        <v/>
      </c>
      <c r="F595" s="66" t="str">
        <f>IFERROR(__xludf.DUMMYFUNCTION("IF(COUNTA(C595:C1673)=0,"""",IF(REGEXMATCH(INDEX(FILTER(C$4:C595,C$4:C595&lt;&gt;""""),ROWS(FILTER(C$4:C595,C$4:C595&lt;&gt;""""))),""^Sell_""),INDEX(FILTER(F$4:F594,C$4:C594&lt;&gt;""""),ROWS(FILTER(C$4:C594,C$4:C594&lt;&gt;""""))),$AC$5+E595))"),"")</f>
        <v/>
      </c>
      <c r="G595" s="10" t="str">
        <f>IFERROR(__xludf.DUMMYFUNCTION("IF(COUNTA(C595:C1673)=0,"""",IF(C595="""",0,IF(REGEXMATCH(C595,""^Sell_""),-ROUNDDOWN(ROUNDUP(INDEX(Upgrades!$C$3:$C$13,MATCH(SUBSTITUTE(C595,""Sell_"",""""),Upgrades!$B$3:$B$13,0))*1.15^(COUNTIF(C$4:C594,SUBSTITUTE(C595,""Sell_"",""""))-COUNTIF(C$4:C594,"&amp;"""Sell_""&amp;SUBSTITUTE(C595,""Sell_"",""""))))/2),ROUNDUP(INDEX(Upgrades!$C$3:$C$13,MATCH(C595,Upgrades!$B$3:$B$13,0))*1.15^(COUNTIF(C$4:C594,C595)-COUNTIF(C$4:C594,""Sell_""&amp;C595))))))"),"")</f>
        <v/>
      </c>
      <c r="H595" s="10" t="str">
        <f t="shared" si="3"/>
        <v/>
      </c>
      <c r="I595" s="68" t="str">
        <f t="shared" si="4"/>
        <v/>
      </c>
      <c r="J595" s="59" t="str">
        <f t="shared" si="5"/>
        <v/>
      </c>
      <c r="K595" s="69" t="str">
        <f t="shared" si="6"/>
        <v/>
      </c>
      <c r="L595" s="60" t="str">
        <f t="shared" si="7"/>
        <v/>
      </c>
      <c r="M595" s="61" t="str">
        <f>IFERROR(__xludf.DUMMYFUNCTION("IFS(AND(COUNTA(C595:C1673)=0,COUNTA(Q595:Q1673)=0),"""",OR(AND(K595&gt;=1000000000,OR(Y595&gt;=1000000000,COUNTA(Q595:Q1673)=0)),OR(Y595&gt;=1000000000,AND(COUNTA(C595:C1673)=0,P$3=TRUE))),
ROUNDDOWN((AB$1-AC$1)*MAX(INDEX(T$4:T1673,MATCH(LARGE(FILTER(Y$4:Y1673,Y$4"&amp;":Y1673&lt;1000000000),1),Y$4:Y1673)),INDEX(F$4:F1673,MATCH(LARGE(FILTER(K$4:K1673,K$4:K1673&lt;1000000000),1),K$4:K1673)))),AND(K595&lt;1000000000,COUNTA(C595:C1673)&gt;0,P$3=FALSE),
ROUNDDOWN(INDEX(Y$4:Y1673,MATCH(LARGE(FILTER(W$4:W1673,W$4:W1673&lt;=I595),1),W$4:W1673"&amp;"))+(I595-LARGE(FILTER(W$4:W1673,W$4:W1673&lt;=I595),1))*INDEX(T$4:T1673,MATCH(LARGE(FILTER(W$4:W1673,W$4:W1673&lt;=I595),1),W$4:W1673))-K595),1,
ROUNDDOWN(Y595-INDEX(K$4:K1673,MATCH(LARGE(FILTER(I$4:I1673,I$4:I1673&lt;=W595),1),I$4:I1673))-(W595-LARGE(FILTER(I$4:I"&amp;"1673,I$4:I1673&lt;=W595),1))*INDEX(F$4:F1673,MATCH(LARGE(FILTER(I$4:I1673,I$4:I1673&lt;=W595),1),I$4:I1673))))"),"")</f>
        <v/>
      </c>
      <c r="N595" s="60" t="str">
        <f t="shared" si="8"/>
        <v/>
      </c>
      <c r="O595" s="61" t="str">
        <f t="shared" si="9"/>
        <v/>
      </c>
      <c r="P595" s="56" t="str">
        <f t="shared" si="10"/>
        <v/>
      </c>
      <c r="Q595" s="105"/>
      <c r="R595" s="10"/>
      <c r="S595" s="59" t="str">
        <f t="array" ref="S595">IF(COUNTA(Q595:Q1673)=0,"",SUM((COUNTIF(Q$4:Q595,Upgrades!$B$3:$B$13)-COUNTIF(Q$4:Q595,"Sell_"&amp;Upgrades!$B$3:$B$13))*Upgrades!$D$3:$D$13))</f>
        <v/>
      </c>
      <c r="T595" s="66" t="str">
        <f>IFERROR(__xludf.DUMMYFUNCTION("IF(COUNTA(Q595:Q1673)=0,"""",IF(REGEXMATCH(INDEX(FILTER(Q$4:Q595,Q$4:Q595&lt;&gt;""""),ROWS(FILTER(Q$4:Q595,Q$4:Q595&lt;&gt;""""))),""^Sell_""),INDEX(FILTER(T$4:T594,Q$4:Q594&lt;&gt;""""),ROWS(FILTER(Q$4:Q594,Q$4:Q594&lt;&gt;""""))),$AD$5+S595))"),"")</f>
        <v/>
      </c>
      <c r="U595" s="10" t="str">
        <f>IFERROR(__xludf.DUMMYFUNCTION("IF(COUNTA(Q595:Q1673)=0,"""",IF(Q595="""",0,IF(REGEXMATCH(Q595,""^Sell_""),-ROUNDDOWN(ROUNDUP(INDEX(Upgrades!$C$3:$C$13,MATCH(SUBSTITUTE(Q595,""Sell_"",""""),Upgrades!$B$3:$B$13,0))*1.15^(COUNTIF(Q$4:Q594,SUBSTITUTE(Q595,""Sell_"",""""))-COUNTIF(Q$4:Q594,"&amp;"""Sell_""&amp;SUBSTITUTE(Q595,""Sell_"",""""))))/2),ROUNDUP(INDEX(Upgrades!$C$3:$C$13,MATCH(Q595,Upgrades!$B$3:$B$13,0))*1.15^(COUNTIF(Q$4:Q594,Q595)-COUNTIF(Q$4:Q594,""Sell_""&amp;Q595))))))"),"")</f>
        <v/>
      </c>
      <c r="V595" s="10" t="str">
        <f t="shared" si="11"/>
        <v/>
      </c>
      <c r="W595" s="68" t="str">
        <f t="shared" si="12"/>
        <v/>
      </c>
      <c r="X595" s="59" t="str">
        <f t="shared" si="13"/>
        <v/>
      </c>
      <c r="Y595" s="69" t="str">
        <f t="shared" si="14"/>
        <v/>
      </c>
      <c r="Z595" s="11"/>
    </row>
    <row r="596">
      <c r="A596" s="8"/>
      <c r="B596" s="56" t="str">
        <f t="shared" si="2"/>
        <v/>
      </c>
      <c r="C596" s="105"/>
      <c r="D596" s="10"/>
      <c r="E596" s="59" t="str">
        <f t="array" ref="E596">IF(COUNTA(C596:C1673)=0,"",SUM((COUNTIF(C$4:C596,Upgrades!$B$3:$B$13)-COUNTIF(C$4:C596,"Sell_"&amp;Upgrades!$B$3:$B$13))*Upgrades!$D$3:$D$13))</f>
        <v/>
      </c>
      <c r="F596" s="66" t="str">
        <f>IFERROR(__xludf.DUMMYFUNCTION("IF(COUNTA(C596:C1673)=0,"""",IF(REGEXMATCH(INDEX(FILTER(C$4:C596,C$4:C596&lt;&gt;""""),ROWS(FILTER(C$4:C596,C$4:C596&lt;&gt;""""))),""^Sell_""),INDEX(FILTER(F$4:F595,C$4:C595&lt;&gt;""""),ROWS(FILTER(C$4:C595,C$4:C595&lt;&gt;""""))),$AC$5+E596))"),"")</f>
        <v/>
      </c>
      <c r="G596" s="10" t="str">
        <f>IFERROR(__xludf.DUMMYFUNCTION("IF(COUNTA(C596:C1673)=0,"""",IF(C596="""",0,IF(REGEXMATCH(C596,""^Sell_""),-ROUNDDOWN(ROUNDUP(INDEX(Upgrades!$C$3:$C$13,MATCH(SUBSTITUTE(C596,""Sell_"",""""),Upgrades!$B$3:$B$13,0))*1.15^(COUNTIF(C$4:C595,SUBSTITUTE(C596,""Sell_"",""""))-COUNTIF(C$4:C595,"&amp;"""Sell_""&amp;SUBSTITUTE(C596,""Sell_"",""""))))/2),ROUNDUP(INDEX(Upgrades!$C$3:$C$13,MATCH(C596,Upgrades!$B$3:$B$13,0))*1.15^(COUNTIF(C$4:C595,C596)-COUNTIF(C$4:C595,""Sell_""&amp;C596))))))"),"")</f>
        <v/>
      </c>
      <c r="H596" s="10" t="str">
        <f t="shared" si="3"/>
        <v/>
      </c>
      <c r="I596" s="68" t="str">
        <f t="shared" si="4"/>
        <v/>
      </c>
      <c r="J596" s="59" t="str">
        <f t="shared" si="5"/>
        <v/>
      </c>
      <c r="K596" s="69" t="str">
        <f t="shared" si="6"/>
        <v/>
      </c>
      <c r="L596" s="60" t="str">
        <f t="shared" si="7"/>
        <v/>
      </c>
      <c r="M596" s="61" t="str">
        <f>IFERROR(__xludf.DUMMYFUNCTION("IFS(AND(COUNTA(C596:C1673)=0,COUNTA(Q596:Q1673)=0),"""",OR(AND(K596&gt;=1000000000,OR(Y596&gt;=1000000000,COUNTA(Q596:Q1673)=0)),OR(Y596&gt;=1000000000,AND(COUNTA(C596:C1673)=0,P$3=TRUE))),
ROUNDDOWN((AB$1-AC$1)*MAX(INDEX(T$4:T1673,MATCH(LARGE(FILTER(Y$4:Y1673,Y$4"&amp;":Y1673&lt;1000000000),1),Y$4:Y1673)),INDEX(F$4:F1673,MATCH(LARGE(FILTER(K$4:K1673,K$4:K1673&lt;1000000000),1),K$4:K1673)))),AND(K596&lt;1000000000,COUNTA(C596:C1673)&gt;0,P$3=FALSE),
ROUNDDOWN(INDEX(Y$4:Y1673,MATCH(LARGE(FILTER(W$4:W1673,W$4:W1673&lt;=I596),1),W$4:W1673"&amp;"))+(I596-LARGE(FILTER(W$4:W1673,W$4:W1673&lt;=I596),1))*INDEX(T$4:T1673,MATCH(LARGE(FILTER(W$4:W1673,W$4:W1673&lt;=I596),1),W$4:W1673))-K596),1,
ROUNDDOWN(Y596-INDEX(K$4:K1673,MATCH(LARGE(FILTER(I$4:I1673,I$4:I1673&lt;=W596),1),I$4:I1673))-(W596-LARGE(FILTER(I$4:I"&amp;"1673,I$4:I1673&lt;=W596),1))*INDEX(F$4:F1673,MATCH(LARGE(FILTER(I$4:I1673,I$4:I1673&lt;=W596),1),I$4:I1673))))"),"")</f>
        <v/>
      </c>
      <c r="N596" s="60" t="str">
        <f t="shared" si="8"/>
        <v/>
      </c>
      <c r="O596" s="61" t="str">
        <f t="shared" si="9"/>
        <v/>
      </c>
      <c r="P596" s="56" t="str">
        <f t="shared" si="10"/>
        <v/>
      </c>
      <c r="Q596" s="105"/>
      <c r="R596" s="10"/>
      <c r="S596" s="59" t="str">
        <f t="array" ref="S596">IF(COUNTA(Q596:Q1673)=0,"",SUM((COUNTIF(Q$4:Q596,Upgrades!$B$3:$B$13)-COUNTIF(Q$4:Q596,"Sell_"&amp;Upgrades!$B$3:$B$13))*Upgrades!$D$3:$D$13))</f>
        <v/>
      </c>
      <c r="T596" s="66" t="str">
        <f>IFERROR(__xludf.DUMMYFUNCTION("IF(COUNTA(Q596:Q1673)=0,"""",IF(REGEXMATCH(INDEX(FILTER(Q$4:Q596,Q$4:Q596&lt;&gt;""""),ROWS(FILTER(Q$4:Q596,Q$4:Q596&lt;&gt;""""))),""^Sell_""),INDEX(FILTER(T$4:T595,Q$4:Q595&lt;&gt;""""),ROWS(FILTER(Q$4:Q595,Q$4:Q595&lt;&gt;""""))),$AD$5+S596))"),"")</f>
        <v/>
      </c>
      <c r="U596" s="10" t="str">
        <f>IFERROR(__xludf.DUMMYFUNCTION("IF(COUNTA(Q596:Q1673)=0,"""",IF(Q596="""",0,IF(REGEXMATCH(Q596,""^Sell_""),-ROUNDDOWN(ROUNDUP(INDEX(Upgrades!$C$3:$C$13,MATCH(SUBSTITUTE(Q596,""Sell_"",""""),Upgrades!$B$3:$B$13,0))*1.15^(COUNTIF(Q$4:Q595,SUBSTITUTE(Q596,""Sell_"",""""))-COUNTIF(Q$4:Q595,"&amp;"""Sell_""&amp;SUBSTITUTE(Q596,""Sell_"",""""))))/2),ROUNDUP(INDEX(Upgrades!$C$3:$C$13,MATCH(Q596,Upgrades!$B$3:$B$13,0))*1.15^(COUNTIF(Q$4:Q595,Q596)-COUNTIF(Q$4:Q595,""Sell_""&amp;Q596))))))"),"")</f>
        <v/>
      </c>
      <c r="V596" s="10" t="str">
        <f t="shared" si="11"/>
        <v/>
      </c>
      <c r="W596" s="68" t="str">
        <f t="shared" si="12"/>
        <v/>
      </c>
      <c r="X596" s="59" t="str">
        <f t="shared" si="13"/>
        <v/>
      </c>
      <c r="Y596" s="69" t="str">
        <f t="shared" si="14"/>
        <v/>
      </c>
      <c r="Z596" s="11"/>
    </row>
    <row r="597">
      <c r="A597" s="8"/>
      <c r="B597" s="56" t="str">
        <f t="shared" si="2"/>
        <v/>
      </c>
      <c r="C597" s="105"/>
      <c r="D597" s="10"/>
      <c r="E597" s="59" t="str">
        <f t="array" ref="E597">IF(COUNTA(C597:C1673)=0,"",SUM((COUNTIF(C$4:C597,Upgrades!$B$3:$B$13)-COUNTIF(C$4:C597,"Sell_"&amp;Upgrades!$B$3:$B$13))*Upgrades!$D$3:$D$13))</f>
        <v/>
      </c>
      <c r="F597" s="66" t="str">
        <f>IFERROR(__xludf.DUMMYFUNCTION("IF(COUNTA(C597:C1673)=0,"""",IF(REGEXMATCH(INDEX(FILTER(C$4:C597,C$4:C597&lt;&gt;""""),ROWS(FILTER(C$4:C597,C$4:C597&lt;&gt;""""))),""^Sell_""),INDEX(FILTER(F$4:F596,C$4:C596&lt;&gt;""""),ROWS(FILTER(C$4:C596,C$4:C596&lt;&gt;""""))),$AC$5+E597))"),"")</f>
        <v/>
      </c>
      <c r="G597" s="10" t="str">
        <f>IFERROR(__xludf.DUMMYFUNCTION("IF(COUNTA(C597:C1673)=0,"""",IF(C597="""",0,IF(REGEXMATCH(C597,""^Sell_""),-ROUNDDOWN(ROUNDUP(INDEX(Upgrades!$C$3:$C$13,MATCH(SUBSTITUTE(C597,""Sell_"",""""),Upgrades!$B$3:$B$13,0))*1.15^(COUNTIF(C$4:C596,SUBSTITUTE(C597,""Sell_"",""""))-COUNTIF(C$4:C596,"&amp;"""Sell_""&amp;SUBSTITUTE(C597,""Sell_"",""""))))/2),ROUNDUP(INDEX(Upgrades!$C$3:$C$13,MATCH(C597,Upgrades!$B$3:$B$13,0))*1.15^(COUNTIF(C$4:C596,C597)-COUNTIF(C$4:C596,""Sell_""&amp;C597))))))"),"")</f>
        <v/>
      </c>
      <c r="H597" s="10" t="str">
        <f t="shared" si="3"/>
        <v/>
      </c>
      <c r="I597" s="68" t="str">
        <f t="shared" si="4"/>
        <v/>
      </c>
      <c r="J597" s="59" t="str">
        <f t="shared" si="5"/>
        <v/>
      </c>
      <c r="K597" s="69" t="str">
        <f t="shared" si="6"/>
        <v/>
      </c>
      <c r="L597" s="60" t="str">
        <f t="shared" si="7"/>
        <v/>
      </c>
      <c r="M597" s="61" t="str">
        <f>IFERROR(__xludf.DUMMYFUNCTION("IFS(AND(COUNTA(C597:C1673)=0,COUNTA(Q597:Q1673)=0),"""",OR(AND(K597&gt;=1000000000,OR(Y597&gt;=1000000000,COUNTA(Q597:Q1673)=0)),OR(Y597&gt;=1000000000,AND(COUNTA(C597:C1673)=0,P$3=TRUE))),
ROUNDDOWN((AB$1-AC$1)*MAX(INDEX(T$4:T1673,MATCH(LARGE(FILTER(Y$4:Y1673,Y$4"&amp;":Y1673&lt;1000000000),1),Y$4:Y1673)),INDEX(F$4:F1673,MATCH(LARGE(FILTER(K$4:K1673,K$4:K1673&lt;1000000000),1),K$4:K1673)))),AND(K597&lt;1000000000,COUNTA(C597:C1673)&gt;0,P$3=FALSE),
ROUNDDOWN(INDEX(Y$4:Y1673,MATCH(LARGE(FILTER(W$4:W1673,W$4:W1673&lt;=I597),1),W$4:W1673"&amp;"))+(I597-LARGE(FILTER(W$4:W1673,W$4:W1673&lt;=I597),1))*INDEX(T$4:T1673,MATCH(LARGE(FILTER(W$4:W1673,W$4:W1673&lt;=I597),1),W$4:W1673))-K597),1,
ROUNDDOWN(Y597-INDEX(K$4:K1673,MATCH(LARGE(FILTER(I$4:I1673,I$4:I1673&lt;=W597),1),I$4:I1673))-(W597-LARGE(FILTER(I$4:I"&amp;"1673,I$4:I1673&lt;=W597),1))*INDEX(F$4:F1673,MATCH(LARGE(FILTER(I$4:I1673,I$4:I1673&lt;=W597),1),I$4:I1673))))"),"")</f>
        <v/>
      </c>
      <c r="N597" s="60" t="str">
        <f t="shared" si="8"/>
        <v/>
      </c>
      <c r="O597" s="61" t="str">
        <f t="shared" si="9"/>
        <v/>
      </c>
      <c r="P597" s="56" t="str">
        <f t="shared" si="10"/>
        <v/>
      </c>
      <c r="Q597" s="105"/>
      <c r="R597" s="10"/>
      <c r="S597" s="59" t="str">
        <f t="array" ref="S597">IF(COUNTA(Q597:Q1673)=0,"",SUM((COUNTIF(Q$4:Q597,Upgrades!$B$3:$B$13)-COUNTIF(Q$4:Q597,"Sell_"&amp;Upgrades!$B$3:$B$13))*Upgrades!$D$3:$D$13))</f>
        <v/>
      </c>
      <c r="T597" s="66" t="str">
        <f>IFERROR(__xludf.DUMMYFUNCTION("IF(COUNTA(Q597:Q1673)=0,"""",IF(REGEXMATCH(INDEX(FILTER(Q$4:Q597,Q$4:Q597&lt;&gt;""""),ROWS(FILTER(Q$4:Q597,Q$4:Q597&lt;&gt;""""))),""^Sell_""),INDEX(FILTER(T$4:T596,Q$4:Q596&lt;&gt;""""),ROWS(FILTER(Q$4:Q596,Q$4:Q596&lt;&gt;""""))),$AD$5+S597))"),"")</f>
        <v/>
      </c>
      <c r="U597" s="10" t="str">
        <f>IFERROR(__xludf.DUMMYFUNCTION("IF(COUNTA(Q597:Q1673)=0,"""",IF(Q597="""",0,IF(REGEXMATCH(Q597,""^Sell_""),-ROUNDDOWN(ROUNDUP(INDEX(Upgrades!$C$3:$C$13,MATCH(SUBSTITUTE(Q597,""Sell_"",""""),Upgrades!$B$3:$B$13,0))*1.15^(COUNTIF(Q$4:Q596,SUBSTITUTE(Q597,""Sell_"",""""))-COUNTIF(Q$4:Q596,"&amp;"""Sell_""&amp;SUBSTITUTE(Q597,""Sell_"",""""))))/2),ROUNDUP(INDEX(Upgrades!$C$3:$C$13,MATCH(Q597,Upgrades!$B$3:$B$13,0))*1.15^(COUNTIF(Q$4:Q596,Q597)-COUNTIF(Q$4:Q596,""Sell_""&amp;Q597))))))"),"")</f>
        <v/>
      </c>
      <c r="V597" s="10" t="str">
        <f t="shared" si="11"/>
        <v/>
      </c>
      <c r="W597" s="68" t="str">
        <f t="shared" si="12"/>
        <v/>
      </c>
      <c r="X597" s="59" t="str">
        <f t="shared" si="13"/>
        <v/>
      </c>
      <c r="Y597" s="69" t="str">
        <f t="shared" si="14"/>
        <v/>
      </c>
      <c r="Z597" s="11"/>
    </row>
    <row r="598">
      <c r="A598" s="8"/>
      <c r="B598" s="56" t="str">
        <f t="shared" si="2"/>
        <v/>
      </c>
      <c r="C598" s="105"/>
      <c r="D598" s="10"/>
      <c r="E598" s="59" t="str">
        <f t="array" ref="E598">IF(COUNTA(C598:C1673)=0,"",SUM((COUNTIF(C$4:C598,Upgrades!$B$3:$B$13)-COUNTIF(C$4:C598,"Sell_"&amp;Upgrades!$B$3:$B$13))*Upgrades!$D$3:$D$13))</f>
        <v/>
      </c>
      <c r="F598" s="66" t="str">
        <f>IFERROR(__xludf.DUMMYFUNCTION("IF(COUNTA(C598:C1673)=0,"""",IF(REGEXMATCH(INDEX(FILTER(C$4:C598,C$4:C598&lt;&gt;""""),ROWS(FILTER(C$4:C598,C$4:C598&lt;&gt;""""))),""^Sell_""),INDEX(FILTER(F$4:F597,C$4:C597&lt;&gt;""""),ROWS(FILTER(C$4:C597,C$4:C597&lt;&gt;""""))),$AC$5+E598))"),"")</f>
        <v/>
      </c>
      <c r="G598" s="10" t="str">
        <f>IFERROR(__xludf.DUMMYFUNCTION("IF(COUNTA(C598:C1673)=0,"""",IF(C598="""",0,IF(REGEXMATCH(C598,""^Sell_""),-ROUNDDOWN(ROUNDUP(INDEX(Upgrades!$C$3:$C$13,MATCH(SUBSTITUTE(C598,""Sell_"",""""),Upgrades!$B$3:$B$13,0))*1.15^(COUNTIF(C$4:C597,SUBSTITUTE(C598,""Sell_"",""""))-COUNTIF(C$4:C597,"&amp;"""Sell_""&amp;SUBSTITUTE(C598,""Sell_"",""""))))/2),ROUNDUP(INDEX(Upgrades!$C$3:$C$13,MATCH(C598,Upgrades!$B$3:$B$13,0))*1.15^(COUNTIF(C$4:C597,C598)-COUNTIF(C$4:C597,""Sell_""&amp;C598))))))"),"")</f>
        <v/>
      </c>
      <c r="H598" s="10" t="str">
        <f t="shared" si="3"/>
        <v/>
      </c>
      <c r="I598" s="68" t="str">
        <f t="shared" si="4"/>
        <v/>
      </c>
      <c r="J598" s="59" t="str">
        <f t="shared" si="5"/>
        <v/>
      </c>
      <c r="K598" s="69" t="str">
        <f t="shared" si="6"/>
        <v/>
      </c>
      <c r="L598" s="60" t="str">
        <f t="shared" si="7"/>
        <v/>
      </c>
      <c r="M598" s="61" t="str">
        <f>IFERROR(__xludf.DUMMYFUNCTION("IFS(AND(COUNTA(C598:C1673)=0,COUNTA(Q598:Q1673)=0),"""",OR(AND(K598&gt;=1000000000,OR(Y598&gt;=1000000000,COUNTA(Q598:Q1673)=0)),OR(Y598&gt;=1000000000,AND(COUNTA(C598:C1673)=0,P$3=TRUE))),
ROUNDDOWN((AB$1-AC$1)*MAX(INDEX(T$4:T1673,MATCH(LARGE(FILTER(Y$4:Y1673,Y$4"&amp;":Y1673&lt;1000000000),1),Y$4:Y1673)),INDEX(F$4:F1673,MATCH(LARGE(FILTER(K$4:K1673,K$4:K1673&lt;1000000000),1),K$4:K1673)))),AND(K598&lt;1000000000,COUNTA(C598:C1673)&gt;0,P$3=FALSE),
ROUNDDOWN(INDEX(Y$4:Y1673,MATCH(LARGE(FILTER(W$4:W1673,W$4:W1673&lt;=I598),1),W$4:W1673"&amp;"))+(I598-LARGE(FILTER(W$4:W1673,W$4:W1673&lt;=I598),1))*INDEX(T$4:T1673,MATCH(LARGE(FILTER(W$4:W1673,W$4:W1673&lt;=I598),1),W$4:W1673))-K598),1,
ROUNDDOWN(Y598-INDEX(K$4:K1673,MATCH(LARGE(FILTER(I$4:I1673,I$4:I1673&lt;=W598),1),I$4:I1673))-(W598-LARGE(FILTER(I$4:I"&amp;"1673,I$4:I1673&lt;=W598),1))*INDEX(F$4:F1673,MATCH(LARGE(FILTER(I$4:I1673,I$4:I1673&lt;=W598),1),I$4:I1673))))"),"")</f>
        <v/>
      </c>
      <c r="N598" s="60" t="str">
        <f t="shared" si="8"/>
        <v/>
      </c>
      <c r="O598" s="61" t="str">
        <f t="shared" si="9"/>
        <v/>
      </c>
      <c r="P598" s="56" t="str">
        <f t="shared" si="10"/>
        <v/>
      </c>
      <c r="Q598" s="105"/>
      <c r="R598" s="10"/>
      <c r="S598" s="59" t="str">
        <f t="array" ref="S598">IF(COUNTA(Q598:Q1673)=0,"",SUM((COUNTIF(Q$4:Q598,Upgrades!$B$3:$B$13)-COUNTIF(Q$4:Q598,"Sell_"&amp;Upgrades!$B$3:$B$13))*Upgrades!$D$3:$D$13))</f>
        <v/>
      </c>
      <c r="T598" s="66" t="str">
        <f>IFERROR(__xludf.DUMMYFUNCTION("IF(COUNTA(Q598:Q1673)=0,"""",IF(REGEXMATCH(INDEX(FILTER(Q$4:Q598,Q$4:Q598&lt;&gt;""""),ROWS(FILTER(Q$4:Q598,Q$4:Q598&lt;&gt;""""))),""^Sell_""),INDEX(FILTER(T$4:T597,Q$4:Q597&lt;&gt;""""),ROWS(FILTER(Q$4:Q597,Q$4:Q597&lt;&gt;""""))),$AD$5+S598))"),"")</f>
        <v/>
      </c>
      <c r="U598" s="10" t="str">
        <f>IFERROR(__xludf.DUMMYFUNCTION("IF(COUNTA(Q598:Q1673)=0,"""",IF(Q598="""",0,IF(REGEXMATCH(Q598,""^Sell_""),-ROUNDDOWN(ROUNDUP(INDEX(Upgrades!$C$3:$C$13,MATCH(SUBSTITUTE(Q598,""Sell_"",""""),Upgrades!$B$3:$B$13,0))*1.15^(COUNTIF(Q$4:Q597,SUBSTITUTE(Q598,""Sell_"",""""))-COUNTIF(Q$4:Q597,"&amp;"""Sell_""&amp;SUBSTITUTE(Q598,""Sell_"",""""))))/2),ROUNDUP(INDEX(Upgrades!$C$3:$C$13,MATCH(Q598,Upgrades!$B$3:$B$13,0))*1.15^(COUNTIF(Q$4:Q597,Q598)-COUNTIF(Q$4:Q597,""Sell_""&amp;Q598))))))"),"")</f>
        <v/>
      </c>
      <c r="V598" s="10" t="str">
        <f t="shared" si="11"/>
        <v/>
      </c>
      <c r="W598" s="68" t="str">
        <f t="shared" si="12"/>
        <v/>
      </c>
      <c r="X598" s="59" t="str">
        <f t="shared" si="13"/>
        <v/>
      </c>
      <c r="Y598" s="69" t="str">
        <f t="shared" si="14"/>
        <v/>
      </c>
      <c r="Z598" s="11"/>
    </row>
    <row r="599">
      <c r="A599" s="8"/>
      <c r="B599" s="56" t="str">
        <f t="shared" si="2"/>
        <v/>
      </c>
      <c r="C599" s="105"/>
      <c r="D599" s="10"/>
      <c r="E599" s="59" t="str">
        <f t="array" ref="E599">IF(COUNTA(C599:C1673)=0,"",SUM((COUNTIF(C$4:C599,Upgrades!$B$3:$B$13)-COUNTIF(C$4:C599,"Sell_"&amp;Upgrades!$B$3:$B$13))*Upgrades!$D$3:$D$13))</f>
        <v/>
      </c>
      <c r="F599" s="66" t="str">
        <f>IFERROR(__xludf.DUMMYFUNCTION("IF(COUNTA(C599:C1673)=0,"""",IF(REGEXMATCH(INDEX(FILTER(C$4:C599,C$4:C599&lt;&gt;""""),ROWS(FILTER(C$4:C599,C$4:C599&lt;&gt;""""))),""^Sell_""),INDEX(FILTER(F$4:F598,C$4:C598&lt;&gt;""""),ROWS(FILTER(C$4:C598,C$4:C598&lt;&gt;""""))),$AC$5+E599))"),"")</f>
        <v/>
      </c>
      <c r="G599" s="10" t="str">
        <f>IFERROR(__xludf.DUMMYFUNCTION("IF(COUNTA(C599:C1673)=0,"""",IF(C599="""",0,IF(REGEXMATCH(C599,""^Sell_""),-ROUNDDOWN(ROUNDUP(INDEX(Upgrades!$C$3:$C$13,MATCH(SUBSTITUTE(C599,""Sell_"",""""),Upgrades!$B$3:$B$13,0))*1.15^(COUNTIF(C$4:C598,SUBSTITUTE(C599,""Sell_"",""""))-COUNTIF(C$4:C598,"&amp;"""Sell_""&amp;SUBSTITUTE(C599,""Sell_"",""""))))/2),ROUNDUP(INDEX(Upgrades!$C$3:$C$13,MATCH(C599,Upgrades!$B$3:$B$13,0))*1.15^(COUNTIF(C$4:C598,C599)-COUNTIF(C$4:C598,""Sell_""&amp;C599))))))"),"")</f>
        <v/>
      </c>
      <c r="H599" s="10" t="str">
        <f t="shared" si="3"/>
        <v/>
      </c>
      <c r="I599" s="68" t="str">
        <f t="shared" si="4"/>
        <v/>
      </c>
      <c r="J599" s="59" t="str">
        <f t="shared" si="5"/>
        <v/>
      </c>
      <c r="K599" s="69" t="str">
        <f t="shared" si="6"/>
        <v/>
      </c>
      <c r="L599" s="60" t="str">
        <f t="shared" si="7"/>
        <v/>
      </c>
      <c r="M599" s="61" t="str">
        <f>IFERROR(__xludf.DUMMYFUNCTION("IFS(AND(COUNTA(C599:C1673)=0,COUNTA(Q599:Q1673)=0),"""",OR(AND(K599&gt;=1000000000,OR(Y599&gt;=1000000000,COUNTA(Q599:Q1673)=0)),OR(Y599&gt;=1000000000,AND(COUNTA(C599:C1673)=0,P$3=TRUE))),
ROUNDDOWN((AB$1-AC$1)*MAX(INDEX(T$4:T1673,MATCH(LARGE(FILTER(Y$4:Y1673,Y$4"&amp;":Y1673&lt;1000000000),1),Y$4:Y1673)),INDEX(F$4:F1673,MATCH(LARGE(FILTER(K$4:K1673,K$4:K1673&lt;1000000000),1),K$4:K1673)))),AND(K599&lt;1000000000,COUNTA(C599:C1673)&gt;0,P$3=FALSE),
ROUNDDOWN(INDEX(Y$4:Y1673,MATCH(LARGE(FILTER(W$4:W1673,W$4:W1673&lt;=I599),1),W$4:W1673"&amp;"))+(I599-LARGE(FILTER(W$4:W1673,W$4:W1673&lt;=I599),1))*INDEX(T$4:T1673,MATCH(LARGE(FILTER(W$4:W1673,W$4:W1673&lt;=I599),1),W$4:W1673))-K599),1,
ROUNDDOWN(Y599-INDEX(K$4:K1673,MATCH(LARGE(FILTER(I$4:I1673,I$4:I1673&lt;=W599),1),I$4:I1673))-(W599-LARGE(FILTER(I$4:I"&amp;"1673,I$4:I1673&lt;=W599),1))*INDEX(F$4:F1673,MATCH(LARGE(FILTER(I$4:I1673,I$4:I1673&lt;=W599),1),I$4:I1673))))"),"")</f>
        <v/>
      </c>
      <c r="N599" s="60" t="str">
        <f t="shared" si="8"/>
        <v/>
      </c>
      <c r="O599" s="61" t="str">
        <f t="shared" si="9"/>
        <v/>
      </c>
      <c r="P599" s="56" t="str">
        <f t="shared" si="10"/>
        <v/>
      </c>
      <c r="Q599" s="105"/>
      <c r="R599" s="10"/>
      <c r="S599" s="59" t="str">
        <f t="array" ref="S599">IF(COUNTA(Q599:Q1673)=0,"",SUM((COUNTIF(Q$4:Q599,Upgrades!$B$3:$B$13)-COUNTIF(Q$4:Q599,"Sell_"&amp;Upgrades!$B$3:$B$13))*Upgrades!$D$3:$D$13))</f>
        <v/>
      </c>
      <c r="T599" s="66" t="str">
        <f>IFERROR(__xludf.DUMMYFUNCTION("IF(COUNTA(Q599:Q1673)=0,"""",IF(REGEXMATCH(INDEX(FILTER(Q$4:Q599,Q$4:Q599&lt;&gt;""""),ROWS(FILTER(Q$4:Q599,Q$4:Q599&lt;&gt;""""))),""^Sell_""),INDEX(FILTER(T$4:T598,Q$4:Q598&lt;&gt;""""),ROWS(FILTER(Q$4:Q598,Q$4:Q598&lt;&gt;""""))),$AD$5+S599))"),"")</f>
        <v/>
      </c>
      <c r="U599" s="10" t="str">
        <f>IFERROR(__xludf.DUMMYFUNCTION("IF(COUNTA(Q599:Q1673)=0,"""",IF(Q599="""",0,IF(REGEXMATCH(Q599,""^Sell_""),-ROUNDDOWN(ROUNDUP(INDEX(Upgrades!$C$3:$C$13,MATCH(SUBSTITUTE(Q599,""Sell_"",""""),Upgrades!$B$3:$B$13,0))*1.15^(COUNTIF(Q$4:Q598,SUBSTITUTE(Q599,""Sell_"",""""))-COUNTIF(Q$4:Q598,"&amp;"""Sell_""&amp;SUBSTITUTE(Q599,""Sell_"",""""))))/2),ROUNDUP(INDEX(Upgrades!$C$3:$C$13,MATCH(Q599,Upgrades!$B$3:$B$13,0))*1.15^(COUNTIF(Q$4:Q598,Q599)-COUNTIF(Q$4:Q598,""Sell_""&amp;Q599))))))"),"")</f>
        <v/>
      </c>
      <c r="V599" s="10" t="str">
        <f t="shared" si="11"/>
        <v/>
      </c>
      <c r="W599" s="68" t="str">
        <f t="shared" si="12"/>
        <v/>
      </c>
      <c r="X599" s="59" t="str">
        <f t="shared" si="13"/>
        <v/>
      </c>
      <c r="Y599" s="69" t="str">
        <f t="shared" si="14"/>
        <v/>
      </c>
      <c r="Z599" s="11"/>
    </row>
    <row r="600">
      <c r="A600" s="8"/>
      <c r="B600" s="56" t="str">
        <f t="shared" si="2"/>
        <v/>
      </c>
      <c r="C600" s="105"/>
      <c r="D600" s="10"/>
      <c r="E600" s="59" t="str">
        <f t="array" ref="E600">IF(COUNTA(C600:C1673)=0,"",SUM((COUNTIF(C$4:C600,Upgrades!$B$3:$B$13)-COUNTIF(C$4:C600,"Sell_"&amp;Upgrades!$B$3:$B$13))*Upgrades!$D$3:$D$13))</f>
        <v/>
      </c>
      <c r="F600" s="66" t="str">
        <f>IFERROR(__xludf.DUMMYFUNCTION("IF(COUNTA(C600:C1673)=0,"""",IF(REGEXMATCH(INDEX(FILTER(C$4:C600,C$4:C600&lt;&gt;""""),ROWS(FILTER(C$4:C600,C$4:C600&lt;&gt;""""))),""^Sell_""),INDEX(FILTER(F$4:F599,C$4:C599&lt;&gt;""""),ROWS(FILTER(C$4:C599,C$4:C599&lt;&gt;""""))),$AC$5+E600))"),"")</f>
        <v/>
      </c>
      <c r="G600" s="10" t="str">
        <f>IFERROR(__xludf.DUMMYFUNCTION("IF(COUNTA(C600:C1673)=0,"""",IF(C600="""",0,IF(REGEXMATCH(C600,""^Sell_""),-ROUNDDOWN(ROUNDUP(INDEX(Upgrades!$C$3:$C$13,MATCH(SUBSTITUTE(C600,""Sell_"",""""),Upgrades!$B$3:$B$13,0))*1.15^(COUNTIF(C$4:C599,SUBSTITUTE(C600,""Sell_"",""""))-COUNTIF(C$4:C599,"&amp;"""Sell_""&amp;SUBSTITUTE(C600,""Sell_"",""""))))/2),ROUNDUP(INDEX(Upgrades!$C$3:$C$13,MATCH(C600,Upgrades!$B$3:$B$13,0))*1.15^(COUNTIF(C$4:C599,C600)-COUNTIF(C$4:C599,""Sell_""&amp;C600))))))"),"")</f>
        <v/>
      </c>
      <c r="H600" s="10" t="str">
        <f t="shared" si="3"/>
        <v/>
      </c>
      <c r="I600" s="68" t="str">
        <f t="shared" si="4"/>
        <v/>
      </c>
      <c r="J600" s="59" t="str">
        <f t="shared" si="5"/>
        <v/>
      </c>
      <c r="K600" s="69" t="str">
        <f t="shared" si="6"/>
        <v/>
      </c>
      <c r="L600" s="60" t="str">
        <f t="shared" si="7"/>
        <v/>
      </c>
      <c r="M600" s="61" t="str">
        <f>IFERROR(__xludf.DUMMYFUNCTION("IFS(AND(COUNTA(C600:C1673)=0,COUNTA(Q600:Q1673)=0),"""",OR(AND(K600&gt;=1000000000,OR(Y600&gt;=1000000000,COUNTA(Q600:Q1673)=0)),OR(Y600&gt;=1000000000,AND(COUNTA(C600:C1673)=0,P$3=TRUE))),
ROUNDDOWN((AB$1-AC$1)*MAX(INDEX(T$4:T1673,MATCH(LARGE(FILTER(Y$4:Y1673,Y$4"&amp;":Y1673&lt;1000000000),1),Y$4:Y1673)),INDEX(F$4:F1673,MATCH(LARGE(FILTER(K$4:K1673,K$4:K1673&lt;1000000000),1),K$4:K1673)))),AND(K600&lt;1000000000,COUNTA(C600:C1673)&gt;0,P$3=FALSE),
ROUNDDOWN(INDEX(Y$4:Y1673,MATCH(LARGE(FILTER(W$4:W1673,W$4:W1673&lt;=I600),1),W$4:W1673"&amp;"))+(I600-LARGE(FILTER(W$4:W1673,W$4:W1673&lt;=I600),1))*INDEX(T$4:T1673,MATCH(LARGE(FILTER(W$4:W1673,W$4:W1673&lt;=I600),1),W$4:W1673))-K600),1,
ROUNDDOWN(Y600-INDEX(K$4:K1673,MATCH(LARGE(FILTER(I$4:I1673,I$4:I1673&lt;=W600),1),I$4:I1673))-(W600-LARGE(FILTER(I$4:I"&amp;"1673,I$4:I1673&lt;=W600),1))*INDEX(F$4:F1673,MATCH(LARGE(FILTER(I$4:I1673,I$4:I1673&lt;=W600),1),I$4:I1673))))"),"")</f>
        <v/>
      </c>
      <c r="N600" s="60" t="str">
        <f t="shared" si="8"/>
        <v/>
      </c>
      <c r="O600" s="61" t="str">
        <f t="shared" si="9"/>
        <v/>
      </c>
      <c r="P600" s="56" t="str">
        <f t="shared" si="10"/>
        <v/>
      </c>
      <c r="Q600" s="105"/>
      <c r="R600" s="10"/>
      <c r="S600" s="59" t="str">
        <f t="array" ref="S600">IF(COUNTA(Q600:Q1673)=0,"",SUM((COUNTIF(Q$4:Q600,Upgrades!$B$3:$B$13)-COUNTIF(Q$4:Q600,"Sell_"&amp;Upgrades!$B$3:$B$13))*Upgrades!$D$3:$D$13))</f>
        <v/>
      </c>
      <c r="T600" s="66" t="str">
        <f>IFERROR(__xludf.DUMMYFUNCTION("IF(COUNTA(Q600:Q1673)=0,"""",IF(REGEXMATCH(INDEX(FILTER(Q$4:Q600,Q$4:Q600&lt;&gt;""""),ROWS(FILTER(Q$4:Q600,Q$4:Q600&lt;&gt;""""))),""^Sell_""),INDEX(FILTER(T$4:T599,Q$4:Q599&lt;&gt;""""),ROWS(FILTER(Q$4:Q599,Q$4:Q599&lt;&gt;""""))),$AD$5+S600))"),"")</f>
        <v/>
      </c>
      <c r="U600" s="10" t="str">
        <f>IFERROR(__xludf.DUMMYFUNCTION("IF(COUNTA(Q600:Q1673)=0,"""",IF(Q600="""",0,IF(REGEXMATCH(Q600,""^Sell_""),-ROUNDDOWN(ROUNDUP(INDEX(Upgrades!$C$3:$C$13,MATCH(SUBSTITUTE(Q600,""Sell_"",""""),Upgrades!$B$3:$B$13,0))*1.15^(COUNTIF(Q$4:Q599,SUBSTITUTE(Q600,""Sell_"",""""))-COUNTIF(Q$4:Q599,"&amp;"""Sell_""&amp;SUBSTITUTE(Q600,""Sell_"",""""))))/2),ROUNDUP(INDEX(Upgrades!$C$3:$C$13,MATCH(Q600,Upgrades!$B$3:$B$13,0))*1.15^(COUNTIF(Q$4:Q599,Q600)-COUNTIF(Q$4:Q599,""Sell_""&amp;Q600))))))"),"")</f>
        <v/>
      </c>
      <c r="V600" s="10" t="str">
        <f t="shared" si="11"/>
        <v/>
      </c>
      <c r="W600" s="68" t="str">
        <f t="shared" si="12"/>
        <v/>
      </c>
      <c r="X600" s="59" t="str">
        <f t="shared" si="13"/>
        <v/>
      </c>
      <c r="Y600" s="69" t="str">
        <f t="shared" si="14"/>
        <v/>
      </c>
      <c r="Z600" s="11"/>
    </row>
    <row r="601">
      <c r="A601" s="8"/>
      <c r="B601" s="56" t="str">
        <f t="shared" si="2"/>
        <v/>
      </c>
      <c r="C601" s="105"/>
      <c r="D601" s="10"/>
      <c r="E601" s="59" t="str">
        <f t="array" ref="E601">IF(COUNTA(C601:C1673)=0,"",SUM((COUNTIF(C$4:C601,Upgrades!$B$3:$B$13)-COUNTIF(C$4:C601,"Sell_"&amp;Upgrades!$B$3:$B$13))*Upgrades!$D$3:$D$13))</f>
        <v/>
      </c>
      <c r="F601" s="66" t="str">
        <f>IFERROR(__xludf.DUMMYFUNCTION("IF(COUNTA(C601:C1673)=0,"""",IF(REGEXMATCH(INDEX(FILTER(C$4:C601,C$4:C601&lt;&gt;""""),ROWS(FILTER(C$4:C601,C$4:C601&lt;&gt;""""))),""^Sell_""),INDEX(FILTER(F$4:F600,C$4:C600&lt;&gt;""""),ROWS(FILTER(C$4:C600,C$4:C600&lt;&gt;""""))),$AC$5+E601))"),"")</f>
        <v/>
      </c>
      <c r="G601" s="10" t="str">
        <f>IFERROR(__xludf.DUMMYFUNCTION("IF(COUNTA(C601:C1673)=0,"""",IF(C601="""",0,IF(REGEXMATCH(C601,""^Sell_""),-ROUNDDOWN(ROUNDUP(INDEX(Upgrades!$C$3:$C$13,MATCH(SUBSTITUTE(C601,""Sell_"",""""),Upgrades!$B$3:$B$13,0))*1.15^(COUNTIF(C$4:C600,SUBSTITUTE(C601,""Sell_"",""""))-COUNTIF(C$4:C600,"&amp;"""Sell_""&amp;SUBSTITUTE(C601,""Sell_"",""""))))/2),ROUNDUP(INDEX(Upgrades!$C$3:$C$13,MATCH(C601,Upgrades!$B$3:$B$13,0))*1.15^(COUNTIF(C$4:C600,C601)-COUNTIF(C$4:C600,""Sell_""&amp;C601))))))"),"")</f>
        <v/>
      </c>
      <c r="H601" s="10" t="str">
        <f t="shared" si="3"/>
        <v/>
      </c>
      <c r="I601" s="68" t="str">
        <f t="shared" si="4"/>
        <v/>
      </c>
      <c r="J601" s="59" t="str">
        <f t="shared" si="5"/>
        <v/>
      </c>
      <c r="K601" s="69" t="str">
        <f t="shared" si="6"/>
        <v/>
      </c>
      <c r="L601" s="60" t="str">
        <f t="shared" si="7"/>
        <v/>
      </c>
      <c r="M601" s="61" t="str">
        <f>IFERROR(__xludf.DUMMYFUNCTION("IFS(AND(COUNTA(C601:C1673)=0,COUNTA(Q601:Q1673)=0),"""",OR(AND(K601&gt;=1000000000,OR(Y601&gt;=1000000000,COUNTA(Q601:Q1673)=0)),OR(Y601&gt;=1000000000,AND(COUNTA(C601:C1673)=0,P$3=TRUE))),
ROUNDDOWN((AB$1-AC$1)*MAX(INDEX(T$4:T1673,MATCH(LARGE(FILTER(Y$4:Y1673,Y$4"&amp;":Y1673&lt;1000000000),1),Y$4:Y1673)),INDEX(F$4:F1673,MATCH(LARGE(FILTER(K$4:K1673,K$4:K1673&lt;1000000000),1),K$4:K1673)))),AND(K601&lt;1000000000,COUNTA(C601:C1673)&gt;0,P$3=FALSE),
ROUNDDOWN(INDEX(Y$4:Y1673,MATCH(LARGE(FILTER(W$4:W1673,W$4:W1673&lt;=I601),1),W$4:W1673"&amp;"))+(I601-LARGE(FILTER(W$4:W1673,W$4:W1673&lt;=I601),1))*INDEX(T$4:T1673,MATCH(LARGE(FILTER(W$4:W1673,W$4:W1673&lt;=I601),1),W$4:W1673))-K601),1,
ROUNDDOWN(Y601-INDEX(K$4:K1673,MATCH(LARGE(FILTER(I$4:I1673,I$4:I1673&lt;=W601),1),I$4:I1673))-(W601-LARGE(FILTER(I$4:I"&amp;"1673,I$4:I1673&lt;=W601),1))*INDEX(F$4:F1673,MATCH(LARGE(FILTER(I$4:I1673,I$4:I1673&lt;=W601),1),I$4:I1673))))"),"")</f>
        <v/>
      </c>
      <c r="N601" s="60" t="str">
        <f t="shared" si="8"/>
        <v/>
      </c>
      <c r="O601" s="61" t="str">
        <f t="shared" si="9"/>
        <v/>
      </c>
      <c r="P601" s="56" t="str">
        <f t="shared" si="10"/>
        <v/>
      </c>
      <c r="Q601" s="105"/>
      <c r="R601" s="10"/>
      <c r="S601" s="59" t="str">
        <f t="array" ref="S601">IF(COUNTA(Q601:Q1673)=0,"",SUM((COUNTIF(Q$4:Q601,Upgrades!$B$3:$B$13)-COUNTIF(Q$4:Q601,"Sell_"&amp;Upgrades!$B$3:$B$13))*Upgrades!$D$3:$D$13))</f>
        <v/>
      </c>
      <c r="T601" s="66" t="str">
        <f>IFERROR(__xludf.DUMMYFUNCTION("IF(COUNTA(Q601:Q1673)=0,"""",IF(REGEXMATCH(INDEX(FILTER(Q$4:Q601,Q$4:Q601&lt;&gt;""""),ROWS(FILTER(Q$4:Q601,Q$4:Q601&lt;&gt;""""))),""^Sell_""),INDEX(FILTER(T$4:T600,Q$4:Q600&lt;&gt;""""),ROWS(FILTER(Q$4:Q600,Q$4:Q600&lt;&gt;""""))),$AD$5+S601))"),"")</f>
        <v/>
      </c>
      <c r="U601" s="10" t="str">
        <f>IFERROR(__xludf.DUMMYFUNCTION("IF(COUNTA(Q601:Q1673)=0,"""",IF(Q601="""",0,IF(REGEXMATCH(Q601,""^Sell_""),-ROUNDDOWN(ROUNDUP(INDEX(Upgrades!$C$3:$C$13,MATCH(SUBSTITUTE(Q601,""Sell_"",""""),Upgrades!$B$3:$B$13,0))*1.15^(COUNTIF(Q$4:Q600,SUBSTITUTE(Q601,""Sell_"",""""))-COUNTIF(Q$4:Q600,"&amp;"""Sell_""&amp;SUBSTITUTE(Q601,""Sell_"",""""))))/2),ROUNDUP(INDEX(Upgrades!$C$3:$C$13,MATCH(Q601,Upgrades!$B$3:$B$13,0))*1.15^(COUNTIF(Q$4:Q600,Q601)-COUNTIF(Q$4:Q600,""Sell_""&amp;Q601))))))"),"")</f>
        <v/>
      </c>
      <c r="V601" s="10" t="str">
        <f t="shared" si="11"/>
        <v/>
      </c>
      <c r="W601" s="68" t="str">
        <f t="shared" si="12"/>
        <v/>
      </c>
      <c r="X601" s="59" t="str">
        <f t="shared" si="13"/>
        <v/>
      </c>
      <c r="Y601" s="69" t="str">
        <f t="shared" si="14"/>
        <v/>
      </c>
      <c r="Z601" s="11"/>
    </row>
    <row r="602">
      <c r="A602" s="8"/>
      <c r="B602" s="56" t="str">
        <f t="shared" si="2"/>
        <v/>
      </c>
      <c r="C602" s="105"/>
      <c r="D602" s="10"/>
      <c r="E602" s="59" t="str">
        <f t="array" ref="E602">IF(COUNTA(C602:C1673)=0,"",SUM((COUNTIF(C$4:C602,Upgrades!$B$3:$B$13)-COUNTIF(C$4:C602,"Sell_"&amp;Upgrades!$B$3:$B$13))*Upgrades!$D$3:$D$13))</f>
        <v/>
      </c>
      <c r="F602" s="66" t="str">
        <f>IFERROR(__xludf.DUMMYFUNCTION("IF(COUNTA(C602:C1673)=0,"""",IF(REGEXMATCH(INDEX(FILTER(C$4:C602,C$4:C602&lt;&gt;""""),ROWS(FILTER(C$4:C602,C$4:C602&lt;&gt;""""))),""^Sell_""),INDEX(FILTER(F$4:F601,C$4:C601&lt;&gt;""""),ROWS(FILTER(C$4:C601,C$4:C601&lt;&gt;""""))),$AC$5+E602))"),"")</f>
        <v/>
      </c>
      <c r="G602" s="10" t="str">
        <f>IFERROR(__xludf.DUMMYFUNCTION("IF(COUNTA(C602:C1673)=0,"""",IF(C602="""",0,IF(REGEXMATCH(C602,""^Sell_""),-ROUNDDOWN(ROUNDUP(INDEX(Upgrades!$C$3:$C$13,MATCH(SUBSTITUTE(C602,""Sell_"",""""),Upgrades!$B$3:$B$13,0))*1.15^(COUNTIF(C$4:C601,SUBSTITUTE(C602,""Sell_"",""""))-COUNTIF(C$4:C601,"&amp;"""Sell_""&amp;SUBSTITUTE(C602,""Sell_"",""""))))/2),ROUNDUP(INDEX(Upgrades!$C$3:$C$13,MATCH(C602,Upgrades!$B$3:$B$13,0))*1.15^(COUNTIF(C$4:C601,C602)-COUNTIF(C$4:C601,""Sell_""&amp;C602))))))"),"")</f>
        <v/>
      </c>
      <c r="H602" s="10" t="str">
        <f t="shared" si="3"/>
        <v/>
      </c>
      <c r="I602" s="68" t="str">
        <f t="shared" si="4"/>
        <v/>
      </c>
      <c r="J602" s="59" t="str">
        <f t="shared" si="5"/>
        <v/>
      </c>
      <c r="K602" s="69" t="str">
        <f t="shared" si="6"/>
        <v/>
      </c>
      <c r="L602" s="60" t="str">
        <f t="shared" si="7"/>
        <v/>
      </c>
      <c r="M602" s="61" t="str">
        <f>IFERROR(__xludf.DUMMYFUNCTION("IFS(AND(COUNTA(C602:C1673)=0,COUNTA(Q602:Q1673)=0),"""",OR(AND(K602&gt;=1000000000,OR(Y602&gt;=1000000000,COUNTA(Q602:Q1673)=0)),OR(Y602&gt;=1000000000,AND(COUNTA(C602:C1673)=0,P$3=TRUE))),
ROUNDDOWN((AB$1-AC$1)*MAX(INDEX(T$4:T1673,MATCH(LARGE(FILTER(Y$4:Y1673,Y$4"&amp;":Y1673&lt;1000000000),1),Y$4:Y1673)),INDEX(F$4:F1673,MATCH(LARGE(FILTER(K$4:K1673,K$4:K1673&lt;1000000000),1),K$4:K1673)))),AND(K602&lt;1000000000,COUNTA(C602:C1673)&gt;0,P$3=FALSE),
ROUNDDOWN(INDEX(Y$4:Y1673,MATCH(LARGE(FILTER(W$4:W1673,W$4:W1673&lt;=I602),1),W$4:W1673"&amp;"))+(I602-LARGE(FILTER(W$4:W1673,W$4:W1673&lt;=I602),1))*INDEX(T$4:T1673,MATCH(LARGE(FILTER(W$4:W1673,W$4:W1673&lt;=I602),1),W$4:W1673))-K602),1,
ROUNDDOWN(Y602-INDEX(K$4:K1673,MATCH(LARGE(FILTER(I$4:I1673,I$4:I1673&lt;=W602),1),I$4:I1673))-(W602-LARGE(FILTER(I$4:I"&amp;"1673,I$4:I1673&lt;=W602),1))*INDEX(F$4:F1673,MATCH(LARGE(FILTER(I$4:I1673,I$4:I1673&lt;=W602),1),I$4:I1673))))"),"")</f>
        <v/>
      </c>
      <c r="N602" s="60" t="str">
        <f t="shared" si="8"/>
        <v/>
      </c>
      <c r="O602" s="61" t="str">
        <f t="shared" si="9"/>
        <v/>
      </c>
      <c r="P602" s="56" t="str">
        <f t="shared" si="10"/>
        <v/>
      </c>
      <c r="Q602" s="105"/>
      <c r="R602" s="10"/>
      <c r="S602" s="59" t="str">
        <f t="array" ref="S602">IF(COUNTA(Q602:Q1673)=0,"",SUM((COUNTIF(Q$4:Q602,Upgrades!$B$3:$B$13)-COUNTIF(Q$4:Q602,"Sell_"&amp;Upgrades!$B$3:$B$13))*Upgrades!$D$3:$D$13))</f>
        <v/>
      </c>
      <c r="T602" s="66" t="str">
        <f>IFERROR(__xludf.DUMMYFUNCTION("IF(COUNTA(Q602:Q1673)=0,"""",IF(REGEXMATCH(INDEX(FILTER(Q$4:Q602,Q$4:Q602&lt;&gt;""""),ROWS(FILTER(Q$4:Q602,Q$4:Q602&lt;&gt;""""))),""^Sell_""),INDEX(FILTER(T$4:T601,Q$4:Q601&lt;&gt;""""),ROWS(FILTER(Q$4:Q601,Q$4:Q601&lt;&gt;""""))),$AD$5+S602))"),"")</f>
        <v/>
      </c>
      <c r="U602" s="10" t="str">
        <f>IFERROR(__xludf.DUMMYFUNCTION("IF(COUNTA(Q602:Q1673)=0,"""",IF(Q602="""",0,IF(REGEXMATCH(Q602,""^Sell_""),-ROUNDDOWN(ROUNDUP(INDEX(Upgrades!$C$3:$C$13,MATCH(SUBSTITUTE(Q602,""Sell_"",""""),Upgrades!$B$3:$B$13,0))*1.15^(COUNTIF(Q$4:Q601,SUBSTITUTE(Q602,""Sell_"",""""))-COUNTIF(Q$4:Q601,"&amp;"""Sell_""&amp;SUBSTITUTE(Q602,""Sell_"",""""))))/2),ROUNDUP(INDEX(Upgrades!$C$3:$C$13,MATCH(Q602,Upgrades!$B$3:$B$13,0))*1.15^(COUNTIF(Q$4:Q601,Q602)-COUNTIF(Q$4:Q601,""Sell_""&amp;Q602))))))"),"")</f>
        <v/>
      </c>
      <c r="V602" s="10" t="str">
        <f t="shared" si="11"/>
        <v/>
      </c>
      <c r="W602" s="68" t="str">
        <f t="shared" si="12"/>
        <v/>
      </c>
      <c r="X602" s="59" t="str">
        <f t="shared" si="13"/>
        <v/>
      </c>
      <c r="Y602" s="69" t="str">
        <f t="shared" si="14"/>
        <v/>
      </c>
      <c r="Z602" s="11"/>
    </row>
    <row r="603">
      <c r="A603" s="8"/>
      <c r="B603" s="56" t="str">
        <f t="shared" si="2"/>
        <v/>
      </c>
      <c r="C603" s="105"/>
      <c r="D603" s="10"/>
      <c r="E603" s="59" t="str">
        <f t="array" ref="E603">IF(COUNTA(C603:C1673)=0,"",SUM((COUNTIF(C$4:C603,Upgrades!$B$3:$B$13)-COUNTIF(C$4:C603,"Sell_"&amp;Upgrades!$B$3:$B$13))*Upgrades!$D$3:$D$13))</f>
        <v/>
      </c>
      <c r="F603" s="66" t="str">
        <f>IFERROR(__xludf.DUMMYFUNCTION("IF(COUNTA(C603:C1673)=0,"""",IF(REGEXMATCH(INDEX(FILTER(C$4:C603,C$4:C603&lt;&gt;""""),ROWS(FILTER(C$4:C603,C$4:C603&lt;&gt;""""))),""^Sell_""),INDEX(FILTER(F$4:F602,C$4:C602&lt;&gt;""""),ROWS(FILTER(C$4:C602,C$4:C602&lt;&gt;""""))),$AC$5+E603))"),"")</f>
        <v/>
      </c>
      <c r="G603" s="10" t="str">
        <f>IFERROR(__xludf.DUMMYFUNCTION("IF(COUNTA(C603:C1673)=0,"""",IF(C603="""",0,IF(REGEXMATCH(C603,""^Sell_""),-ROUNDDOWN(ROUNDUP(INDEX(Upgrades!$C$3:$C$13,MATCH(SUBSTITUTE(C603,""Sell_"",""""),Upgrades!$B$3:$B$13,0))*1.15^(COUNTIF(C$4:C602,SUBSTITUTE(C603,""Sell_"",""""))-COUNTIF(C$4:C602,"&amp;"""Sell_""&amp;SUBSTITUTE(C603,""Sell_"",""""))))/2),ROUNDUP(INDEX(Upgrades!$C$3:$C$13,MATCH(C603,Upgrades!$B$3:$B$13,0))*1.15^(COUNTIF(C$4:C602,C603)-COUNTIF(C$4:C602,""Sell_""&amp;C603))))))"),"")</f>
        <v/>
      </c>
      <c r="H603" s="10" t="str">
        <f t="shared" si="3"/>
        <v/>
      </c>
      <c r="I603" s="68" t="str">
        <f t="shared" si="4"/>
        <v/>
      </c>
      <c r="J603" s="59" t="str">
        <f t="shared" si="5"/>
        <v/>
      </c>
      <c r="K603" s="69" t="str">
        <f t="shared" si="6"/>
        <v/>
      </c>
      <c r="L603" s="60" t="str">
        <f t="shared" si="7"/>
        <v/>
      </c>
      <c r="M603" s="61" t="str">
        <f>IFERROR(__xludf.DUMMYFUNCTION("IFS(AND(COUNTA(C603:C1673)=0,COUNTA(Q603:Q1673)=0),"""",OR(AND(K603&gt;=1000000000,OR(Y603&gt;=1000000000,COUNTA(Q603:Q1673)=0)),OR(Y603&gt;=1000000000,AND(COUNTA(C603:C1673)=0,P$3=TRUE))),
ROUNDDOWN((AB$1-AC$1)*MAX(INDEX(T$4:T1673,MATCH(LARGE(FILTER(Y$4:Y1673,Y$4"&amp;":Y1673&lt;1000000000),1),Y$4:Y1673)),INDEX(F$4:F1673,MATCH(LARGE(FILTER(K$4:K1673,K$4:K1673&lt;1000000000),1),K$4:K1673)))),AND(K603&lt;1000000000,COUNTA(C603:C1673)&gt;0,P$3=FALSE),
ROUNDDOWN(INDEX(Y$4:Y1673,MATCH(LARGE(FILTER(W$4:W1673,W$4:W1673&lt;=I603),1),W$4:W1673"&amp;"))+(I603-LARGE(FILTER(W$4:W1673,W$4:W1673&lt;=I603),1))*INDEX(T$4:T1673,MATCH(LARGE(FILTER(W$4:W1673,W$4:W1673&lt;=I603),1),W$4:W1673))-K603),1,
ROUNDDOWN(Y603-INDEX(K$4:K1673,MATCH(LARGE(FILTER(I$4:I1673,I$4:I1673&lt;=W603),1),I$4:I1673))-(W603-LARGE(FILTER(I$4:I"&amp;"1673,I$4:I1673&lt;=W603),1))*INDEX(F$4:F1673,MATCH(LARGE(FILTER(I$4:I1673,I$4:I1673&lt;=W603),1),I$4:I1673))))"),"")</f>
        <v/>
      </c>
      <c r="N603" s="60" t="str">
        <f t="shared" si="8"/>
        <v/>
      </c>
      <c r="O603" s="61" t="str">
        <f t="shared" si="9"/>
        <v/>
      </c>
      <c r="P603" s="56" t="str">
        <f t="shared" si="10"/>
        <v/>
      </c>
      <c r="Q603" s="105"/>
      <c r="R603" s="10"/>
      <c r="S603" s="59" t="str">
        <f t="array" ref="S603">IF(COUNTA(Q603:Q1673)=0,"",SUM((COUNTIF(Q$4:Q603,Upgrades!$B$3:$B$13)-COUNTIF(Q$4:Q603,"Sell_"&amp;Upgrades!$B$3:$B$13))*Upgrades!$D$3:$D$13))</f>
        <v/>
      </c>
      <c r="T603" s="66" t="str">
        <f>IFERROR(__xludf.DUMMYFUNCTION("IF(COUNTA(Q603:Q1673)=0,"""",IF(REGEXMATCH(INDEX(FILTER(Q$4:Q603,Q$4:Q603&lt;&gt;""""),ROWS(FILTER(Q$4:Q603,Q$4:Q603&lt;&gt;""""))),""^Sell_""),INDEX(FILTER(T$4:T602,Q$4:Q602&lt;&gt;""""),ROWS(FILTER(Q$4:Q602,Q$4:Q602&lt;&gt;""""))),$AD$5+S603))"),"")</f>
        <v/>
      </c>
      <c r="U603" s="10" t="str">
        <f>IFERROR(__xludf.DUMMYFUNCTION("IF(COUNTA(Q603:Q1673)=0,"""",IF(Q603="""",0,IF(REGEXMATCH(Q603,""^Sell_""),-ROUNDDOWN(ROUNDUP(INDEX(Upgrades!$C$3:$C$13,MATCH(SUBSTITUTE(Q603,""Sell_"",""""),Upgrades!$B$3:$B$13,0))*1.15^(COUNTIF(Q$4:Q602,SUBSTITUTE(Q603,""Sell_"",""""))-COUNTIF(Q$4:Q602,"&amp;"""Sell_""&amp;SUBSTITUTE(Q603,""Sell_"",""""))))/2),ROUNDUP(INDEX(Upgrades!$C$3:$C$13,MATCH(Q603,Upgrades!$B$3:$B$13,0))*1.15^(COUNTIF(Q$4:Q602,Q603)-COUNTIF(Q$4:Q602,""Sell_""&amp;Q603))))))"),"")</f>
        <v/>
      </c>
      <c r="V603" s="10" t="str">
        <f t="shared" si="11"/>
        <v/>
      </c>
      <c r="W603" s="68" t="str">
        <f t="shared" si="12"/>
        <v/>
      </c>
      <c r="X603" s="59" t="str">
        <f t="shared" si="13"/>
        <v/>
      </c>
      <c r="Y603" s="69" t="str">
        <f t="shared" si="14"/>
        <v/>
      </c>
      <c r="Z603" s="11"/>
    </row>
    <row r="604">
      <c r="A604" s="8"/>
      <c r="B604" s="56" t="str">
        <f t="shared" si="2"/>
        <v/>
      </c>
      <c r="C604" s="105"/>
      <c r="D604" s="10"/>
      <c r="E604" s="59" t="str">
        <f t="array" ref="E604">IF(COUNTA(C604:C1673)=0,"",SUM((COUNTIF(C$4:C604,Upgrades!$B$3:$B$13)-COUNTIF(C$4:C604,"Sell_"&amp;Upgrades!$B$3:$B$13))*Upgrades!$D$3:$D$13))</f>
        <v/>
      </c>
      <c r="F604" s="66" t="str">
        <f>IFERROR(__xludf.DUMMYFUNCTION("IF(COUNTA(C604:C1673)=0,"""",IF(REGEXMATCH(INDEX(FILTER(C$4:C604,C$4:C604&lt;&gt;""""),ROWS(FILTER(C$4:C604,C$4:C604&lt;&gt;""""))),""^Sell_""),INDEX(FILTER(F$4:F603,C$4:C603&lt;&gt;""""),ROWS(FILTER(C$4:C603,C$4:C603&lt;&gt;""""))),$AC$5+E604))"),"")</f>
        <v/>
      </c>
      <c r="G604" s="10" t="str">
        <f>IFERROR(__xludf.DUMMYFUNCTION("IF(COUNTA(C604:C1673)=0,"""",IF(C604="""",0,IF(REGEXMATCH(C604,""^Sell_""),-ROUNDDOWN(ROUNDUP(INDEX(Upgrades!$C$3:$C$13,MATCH(SUBSTITUTE(C604,""Sell_"",""""),Upgrades!$B$3:$B$13,0))*1.15^(COUNTIF(C$4:C603,SUBSTITUTE(C604,""Sell_"",""""))-COUNTIF(C$4:C603,"&amp;"""Sell_""&amp;SUBSTITUTE(C604,""Sell_"",""""))))/2),ROUNDUP(INDEX(Upgrades!$C$3:$C$13,MATCH(C604,Upgrades!$B$3:$B$13,0))*1.15^(COUNTIF(C$4:C603,C604)-COUNTIF(C$4:C603,""Sell_""&amp;C604))))))"),"")</f>
        <v/>
      </c>
      <c r="H604" s="10" t="str">
        <f t="shared" si="3"/>
        <v/>
      </c>
      <c r="I604" s="68" t="str">
        <f t="shared" si="4"/>
        <v/>
      </c>
      <c r="J604" s="59" t="str">
        <f t="shared" si="5"/>
        <v/>
      </c>
      <c r="K604" s="69" t="str">
        <f t="shared" si="6"/>
        <v/>
      </c>
      <c r="L604" s="60" t="str">
        <f t="shared" si="7"/>
        <v/>
      </c>
      <c r="M604" s="61" t="str">
        <f>IFERROR(__xludf.DUMMYFUNCTION("IFS(AND(COUNTA(C604:C1673)=0,COUNTA(Q604:Q1673)=0),"""",OR(AND(K604&gt;=1000000000,OR(Y604&gt;=1000000000,COUNTA(Q604:Q1673)=0)),OR(Y604&gt;=1000000000,AND(COUNTA(C604:C1673)=0,P$3=TRUE))),
ROUNDDOWN((AB$1-AC$1)*MAX(INDEX(T$4:T1673,MATCH(LARGE(FILTER(Y$4:Y1673,Y$4"&amp;":Y1673&lt;1000000000),1),Y$4:Y1673)),INDEX(F$4:F1673,MATCH(LARGE(FILTER(K$4:K1673,K$4:K1673&lt;1000000000),1),K$4:K1673)))),AND(K604&lt;1000000000,COUNTA(C604:C1673)&gt;0,P$3=FALSE),
ROUNDDOWN(INDEX(Y$4:Y1673,MATCH(LARGE(FILTER(W$4:W1673,W$4:W1673&lt;=I604),1),W$4:W1673"&amp;"))+(I604-LARGE(FILTER(W$4:W1673,W$4:W1673&lt;=I604),1))*INDEX(T$4:T1673,MATCH(LARGE(FILTER(W$4:W1673,W$4:W1673&lt;=I604),1),W$4:W1673))-K604),1,
ROUNDDOWN(Y604-INDEX(K$4:K1673,MATCH(LARGE(FILTER(I$4:I1673,I$4:I1673&lt;=W604),1),I$4:I1673))-(W604-LARGE(FILTER(I$4:I"&amp;"1673,I$4:I1673&lt;=W604),1))*INDEX(F$4:F1673,MATCH(LARGE(FILTER(I$4:I1673,I$4:I1673&lt;=W604),1),I$4:I1673))))"),"")</f>
        <v/>
      </c>
      <c r="N604" s="60" t="str">
        <f t="shared" si="8"/>
        <v/>
      </c>
      <c r="O604" s="61" t="str">
        <f t="shared" si="9"/>
        <v/>
      </c>
      <c r="P604" s="56" t="str">
        <f t="shared" si="10"/>
        <v/>
      </c>
      <c r="Q604" s="105"/>
      <c r="R604" s="10"/>
      <c r="S604" s="59" t="str">
        <f t="array" ref="S604">IF(COUNTA(Q604:Q1673)=0,"",SUM((COUNTIF(Q$4:Q604,Upgrades!$B$3:$B$13)-COUNTIF(Q$4:Q604,"Sell_"&amp;Upgrades!$B$3:$B$13))*Upgrades!$D$3:$D$13))</f>
        <v/>
      </c>
      <c r="T604" s="66" t="str">
        <f>IFERROR(__xludf.DUMMYFUNCTION("IF(COUNTA(Q604:Q1673)=0,"""",IF(REGEXMATCH(INDEX(FILTER(Q$4:Q604,Q$4:Q604&lt;&gt;""""),ROWS(FILTER(Q$4:Q604,Q$4:Q604&lt;&gt;""""))),""^Sell_""),INDEX(FILTER(T$4:T603,Q$4:Q603&lt;&gt;""""),ROWS(FILTER(Q$4:Q603,Q$4:Q603&lt;&gt;""""))),$AD$5+S604))"),"")</f>
        <v/>
      </c>
      <c r="U604" s="10" t="str">
        <f>IFERROR(__xludf.DUMMYFUNCTION("IF(COUNTA(Q604:Q1673)=0,"""",IF(Q604="""",0,IF(REGEXMATCH(Q604,""^Sell_""),-ROUNDDOWN(ROUNDUP(INDEX(Upgrades!$C$3:$C$13,MATCH(SUBSTITUTE(Q604,""Sell_"",""""),Upgrades!$B$3:$B$13,0))*1.15^(COUNTIF(Q$4:Q603,SUBSTITUTE(Q604,""Sell_"",""""))-COUNTIF(Q$4:Q603,"&amp;"""Sell_""&amp;SUBSTITUTE(Q604,""Sell_"",""""))))/2),ROUNDUP(INDEX(Upgrades!$C$3:$C$13,MATCH(Q604,Upgrades!$B$3:$B$13,0))*1.15^(COUNTIF(Q$4:Q603,Q604)-COUNTIF(Q$4:Q603,""Sell_""&amp;Q604))))))"),"")</f>
        <v/>
      </c>
      <c r="V604" s="10" t="str">
        <f t="shared" si="11"/>
        <v/>
      </c>
      <c r="W604" s="68" t="str">
        <f t="shared" si="12"/>
        <v/>
      </c>
      <c r="X604" s="59" t="str">
        <f t="shared" si="13"/>
        <v/>
      </c>
      <c r="Y604" s="69" t="str">
        <f t="shared" si="14"/>
        <v/>
      </c>
      <c r="Z604" s="11"/>
    </row>
    <row r="605">
      <c r="A605" s="8"/>
      <c r="B605" s="56" t="str">
        <f t="shared" si="2"/>
        <v/>
      </c>
      <c r="C605" s="105"/>
      <c r="D605" s="10"/>
      <c r="E605" s="59" t="str">
        <f t="array" ref="E605">IF(COUNTA(C605:C1673)=0,"",SUM((COUNTIF(C$4:C605,Upgrades!$B$3:$B$13)-COUNTIF(C$4:C605,"Sell_"&amp;Upgrades!$B$3:$B$13))*Upgrades!$D$3:$D$13))</f>
        <v/>
      </c>
      <c r="F605" s="66" t="str">
        <f>IFERROR(__xludf.DUMMYFUNCTION("IF(COUNTA(C605:C1673)=0,"""",IF(REGEXMATCH(INDEX(FILTER(C$4:C605,C$4:C605&lt;&gt;""""),ROWS(FILTER(C$4:C605,C$4:C605&lt;&gt;""""))),""^Sell_""),INDEX(FILTER(F$4:F604,C$4:C604&lt;&gt;""""),ROWS(FILTER(C$4:C604,C$4:C604&lt;&gt;""""))),$AC$5+E605))"),"")</f>
        <v/>
      </c>
      <c r="G605" s="10" t="str">
        <f>IFERROR(__xludf.DUMMYFUNCTION("IF(COUNTA(C605:C1673)=0,"""",IF(C605="""",0,IF(REGEXMATCH(C605,""^Sell_""),-ROUNDDOWN(ROUNDUP(INDEX(Upgrades!$C$3:$C$13,MATCH(SUBSTITUTE(C605,""Sell_"",""""),Upgrades!$B$3:$B$13,0))*1.15^(COUNTIF(C$4:C604,SUBSTITUTE(C605,""Sell_"",""""))-COUNTIF(C$4:C604,"&amp;"""Sell_""&amp;SUBSTITUTE(C605,""Sell_"",""""))))/2),ROUNDUP(INDEX(Upgrades!$C$3:$C$13,MATCH(C605,Upgrades!$B$3:$B$13,0))*1.15^(COUNTIF(C$4:C604,C605)-COUNTIF(C$4:C604,""Sell_""&amp;C605))))))"),"")</f>
        <v/>
      </c>
      <c r="H605" s="10" t="str">
        <f t="shared" si="3"/>
        <v/>
      </c>
      <c r="I605" s="68" t="str">
        <f t="shared" si="4"/>
        <v/>
      </c>
      <c r="J605" s="59" t="str">
        <f t="shared" si="5"/>
        <v/>
      </c>
      <c r="K605" s="69" t="str">
        <f t="shared" si="6"/>
        <v/>
      </c>
      <c r="L605" s="60" t="str">
        <f t="shared" si="7"/>
        <v/>
      </c>
      <c r="M605" s="61" t="str">
        <f>IFERROR(__xludf.DUMMYFUNCTION("IFS(AND(COUNTA(C605:C1673)=0,COUNTA(Q605:Q1673)=0),"""",OR(AND(K605&gt;=1000000000,OR(Y605&gt;=1000000000,COUNTA(Q605:Q1673)=0)),OR(Y605&gt;=1000000000,AND(COUNTA(C605:C1673)=0,P$3=TRUE))),
ROUNDDOWN((AB$1-AC$1)*MAX(INDEX(T$4:T1673,MATCH(LARGE(FILTER(Y$4:Y1673,Y$4"&amp;":Y1673&lt;1000000000),1),Y$4:Y1673)),INDEX(F$4:F1673,MATCH(LARGE(FILTER(K$4:K1673,K$4:K1673&lt;1000000000),1),K$4:K1673)))),AND(K605&lt;1000000000,COUNTA(C605:C1673)&gt;0,P$3=FALSE),
ROUNDDOWN(INDEX(Y$4:Y1673,MATCH(LARGE(FILTER(W$4:W1673,W$4:W1673&lt;=I605),1),W$4:W1673"&amp;"))+(I605-LARGE(FILTER(W$4:W1673,W$4:W1673&lt;=I605),1))*INDEX(T$4:T1673,MATCH(LARGE(FILTER(W$4:W1673,W$4:W1673&lt;=I605),1),W$4:W1673))-K605),1,
ROUNDDOWN(Y605-INDEX(K$4:K1673,MATCH(LARGE(FILTER(I$4:I1673,I$4:I1673&lt;=W605),1),I$4:I1673))-(W605-LARGE(FILTER(I$4:I"&amp;"1673,I$4:I1673&lt;=W605),1))*INDEX(F$4:F1673,MATCH(LARGE(FILTER(I$4:I1673,I$4:I1673&lt;=W605),1),I$4:I1673))))"),"")</f>
        <v/>
      </c>
      <c r="N605" s="60" t="str">
        <f t="shared" si="8"/>
        <v/>
      </c>
      <c r="O605" s="61" t="str">
        <f t="shared" si="9"/>
        <v/>
      </c>
      <c r="P605" s="56" t="str">
        <f t="shared" si="10"/>
        <v/>
      </c>
      <c r="Q605" s="105"/>
      <c r="R605" s="10"/>
      <c r="S605" s="59" t="str">
        <f t="array" ref="S605">IF(COUNTA(Q605:Q1673)=0,"",SUM((COUNTIF(Q$4:Q605,Upgrades!$B$3:$B$13)-COUNTIF(Q$4:Q605,"Sell_"&amp;Upgrades!$B$3:$B$13))*Upgrades!$D$3:$D$13))</f>
        <v/>
      </c>
      <c r="T605" s="66" t="str">
        <f>IFERROR(__xludf.DUMMYFUNCTION("IF(COUNTA(Q605:Q1673)=0,"""",IF(REGEXMATCH(INDEX(FILTER(Q$4:Q605,Q$4:Q605&lt;&gt;""""),ROWS(FILTER(Q$4:Q605,Q$4:Q605&lt;&gt;""""))),""^Sell_""),INDEX(FILTER(T$4:T604,Q$4:Q604&lt;&gt;""""),ROWS(FILTER(Q$4:Q604,Q$4:Q604&lt;&gt;""""))),$AD$5+S605))"),"")</f>
        <v/>
      </c>
      <c r="U605" s="10" t="str">
        <f>IFERROR(__xludf.DUMMYFUNCTION("IF(COUNTA(Q605:Q1673)=0,"""",IF(Q605="""",0,IF(REGEXMATCH(Q605,""^Sell_""),-ROUNDDOWN(ROUNDUP(INDEX(Upgrades!$C$3:$C$13,MATCH(SUBSTITUTE(Q605,""Sell_"",""""),Upgrades!$B$3:$B$13,0))*1.15^(COUNTIF(Q$4:Q604,SUBSTITUTE(Q605,""Sell_"",""""))-COUNTIF(Q$4:Q604,"&amp;"""Sell_""&amp;SUBSTITUTE(Q605,""Sell_"",""""))))/2),ROUNDUP(INDEX(Upgrades!$C$3:$C$13,MATCH(Q605,Upgrades!$B$3:$B$13,0))*1.15^(COUNTIF(Q$4:Q604,Q605)-COUNTIF(Q$4:Q604,""Sell_""&amp;Q605))))))"),"")</f>
        <v/>
      </c>
      <c r="V605" s="10" t="str">
        <f t="shared" si="11"/>
        <v/>
      </c>
      <c r="W605" s="68" t="str">
        <f t="shared" si="12"/>
        <v/>
      </c>
      <c r="X605" s="59" t="str">
        <f t="shared" si="13"/>
        <v/>
      </c>
      <c r="Y605" s="69" t="str">
        <f t="shared" si="14"/>
        <v/>
      </c>
      <c r="Z605" s="11"/>
    </row>
    <row r="606">
      <c r="A606" s="8"/>
      <c r="B606" s="56" t="str">
        <f t="shared" si="2"/>
        <v/>
      </c>
      <c r="C606" s="105"/>
      <c r="D606" s="10"/>
      <c r="E606" s="59" t="str">
        <f t="array" ref="E606">IF(COUNTA(C606:C1673)=0,"",SUM((COUNTIF(C$4:C606,Upgrades!$B$3:$B$13)-COUNTIF(C$4:C606,"Sell_"&amp;Upgrades!$B$3:$B$13))*Upgrades!$D$3:$D$13))</f>
        <v/>
      </c>
      <c r="F606" s="66" t="str">
        <f>IFERROR(__xludf.DUMMYFUNCTION("IF(COUNTA(C606:C1673)=0,"""",IF(REGEXMATCH(INDEX(FILTER(C$4:C606,C$4:C606&lt;&gt;""""),ROWS(FILTER(C$4:C606,C$4:C606&lt;&gt;""""))),""^Sell_""),INDEX(FILTER(F$4:F605,C$4:C605&lt;&gt;""""),ROWS(FILTER(C$4:C605,C$4:C605&lt;&gt;""""))),$AC$5+E606))"),"")</f>
        <v/>
      </c>
      <c r="G606" s="10" t="str">
        <f>IFERROR(__xludf.DUMMYFUNCTION("IF(COUNTA(C606:C1673)=0,"""",IF(C606="""",0,IF(REGEXMATCH(C606,""^Sell_""),-ROUNDDOWN(ROUNDUP(INDEX(Upgrades!$C$3:$C$13,MATCH(SUBSTITUTE(C606,""Sell_"",""""),Upgrades!$B$3:$B$13,0))*1.15^(COUNTIF(C$4:C605,SUBSTITUTE(C606,""Sell_"",""""))-COUNTIF(C$4:C605,"&amp;"""Sell_""&amp;SUBSTITUTE(C606,""Sell_"",""""))))/2),ROUNDUP(INDEX(Upgrades!$C$3:$C$13,MATCH(C606,Upgrades!$B$3:$B$13,0))*1.15^(COUNTIF(C$4:C605,C606)-COUNTIF(C$4:C605,""Sell_""&amp;C606))))))"),"")</f>
        <v/>
      </c>
      <c r="H606" s="10" t="str">
        <f t="shared" si="3"/>
        <v/>
      </c>
      <c r="I606" s="68" t="str">
        <f t="shared" si="4"/>
        <v/>
      </c>
      <c r="J606" s="59" t="str">
        <f t="shared" si="5"/>
        <v/>
      </c>
      <c r="K606" s="69" t="str">
        <f t="shared" si="6"/>
        <v/>
      </c>
      <c r="L606" s="60" t="str">
        <f t="shared" si="7"/>
        <v/>
      </c>
      <c r="M606" s="61" t="str">
        <f>IFERROR(__xludf.DUMMYFUNCTION("IFS(AND(COUNTA(C606:C1673)=0,COUNTA(Q606:Q1673)=0),"""",OR(AND(K606&gt;=1000000000,OR(Y606&gt;=1000000000,COUNTA(Q606:Q1673)=0)),OR(Y606&gt;=1000000000,AND(COUNTA(C606:C1673)=0,P$3=TRUE))),
ROUNDDOWN((AB$1-AC$1)*MAX(INDEX(T$4:T1673,MATCH(LARGE(FILTER(Y$4:Y1673,Y$4"&amp;":Y1673&lt;1000000000),1),Y$4:Y1673)),INDEX(F$4:F1673,MATCH(LARGE(FILTER(K$4:K1673,K$4:K1673&lt;1000000000),1),K$4:K1673)))),AND(K606&lt;1000000000,COUNTA(C606:C1673)&gt;0,P$3=FALSE),
ROUNDDOWN(INDEX(Y$4:Y1673,MATCH(LARGE(FILTER(W$4:W1673,W$4:W1673&lt;=I606),1),W$4:W1673"&amp;"))+(I606-LARGE(FILTER(W$4:W1673,W$4:W1673&lt;=I606),1))*INDEX(T$4:T1673,MATCH(LARGE(FILTER(W$4:W1673,W$4:W1673&lt;=I606),1),W$4:W1673))-K606),1,
ROUNDDOWN(Y606-INDEX(K$4:K1673,MATCH(LARGE(FILTER(I$4:I1673,I$4:I1673&lt;=W606),1),I$4:I1673))-(W606-LARGE(FILTER(I$4:I"&amp;"1673,I$4:I1673&lt;=W606),1))*INDEX(F$4:F1673,MATCH(LARGE(FILTER(I$4:I1673,I$4:I1673&lt;=W606),1),I$4:I1673))))"),"")</f>
        <v/>
      </c>
      <c r="N606" s="60" t="str">
        <f t="shared" si="8"/>
        <v/>
      </c>
      <c r="O606" s="61" t="str">
        <f t="shared" si="9"/>
        <v/>
      </c>
      <c r="P606" s="56" t="str">
        <f t="shared" si="10"/>
        <v/>
      </c>
      <c r="Q606" s="105"/>
      <c r="R606" s="10"/>
      <c r="S606" s="59" t="str">
        <f t="array" ref="S606">IF(COUNTA(Q606:Q1673)=0,"",SUM((COUNTIF(Q$4:Q606,Upgrades!$B$3:$B$13)-COUNTIF(Q$4:Q606,"Sell_"&amp;Upgrades!$B$3:$B$13))*Upgrades!$D$3:$D$13))</f>
        <v/>
      </c>
      <c r="T606" s="66" t="str">
        <f>IFERROR(__xludf.DUMMYFUNCTION("IF(COUNTA(Q606:Q1673)=0,"""",IF(REGEXMATCH(INDEX(FILTER(Q$4:Q606,Q$4:Q606&lt;&gt;""""),ROWS(FILTER(Q$4:Q606,Q$4:Q606&lt;&gt;""""))),""^Sell_""),INDEX(FILTER(T$4:T605,Q$4:Q605&lt;&gt;""""),ROWS(FILTER(Q$4:Q605,Q$4:Q605&lt;&gt;""""))),$AD$5+S606))"),"")</f>
        <v/>
      </c>
      <c r="U606" s="10" t="str">
        <f>IFERROR(__xludf.DUMMYFUNCTION("IF(COUNTA(Q606:Q1673)=0,"""",IF(Q606="""",0,IF(REGEXMATCH(Q606,""^Sell_""),-ROUNDDOWN(ROUNDUP(INDEX(Upgrades!$C$3:$C$13,MATCH(SUBSTITUTE(Q606,""Sell_"",""""),Upgrades!$B$3:$B$13,0))*1.15^(COUNTIF(Q$4:Q605,SUBSTITUTE(Q606,""Sell_"",""""))-COUNTIF(Q$4:Q605,"&amp;"""Sell_""&amp;SUBSTITUTE(Q606,""Sell_"",""""))))/2),ROUNDUP(INDEX(Upgrades!$C$3:$C$13,MATCH(Q606,Upgrades!$B$3:$B$13,0))*1.15^(COUNTIF(Q$4:Q605,Q606)-COUNTIF(Q$4:Q605,""Sell_""&amp;Q606))))))"),"")</f>
        <v/>
      </c>
      <c r="V606" s="10" t="str">
        <f t="shared" si="11"/>
        <v/>
      </c>
      <c r="W606" s="68" t="str">
        <f t="shared" si="12"/>
        <v/>
      </c>
      <c r="X606" s="59" t="str">
        <f t="shared" si="13"/>
        <v/>
      </c>
      <c r="Y606" s="69" t="str">
        <f t="shared" si="14"/>
        <v/>
      </c>
      <c r="Z606" s="11"/>
    </row>
    <row r="607">
      <c r="A607" s="8"/>
      <c r="B607" s="56" t="str">
        <f t="shared" si="2"/>
        <v/>
      </c>
      <c r="C607" s="105"/>
      <c r="D607" s="10"/>
      <c r="E607" s="59" t="str">
        <f t="array" ref="E607">IF(COUNTA(C607:C1673)=0,"",SUM((COUNTIF(C$4:C607,Upgrades!$B$3:$B$13)-COUNTIF(C$4:C607,"Sell_"&amp;Upgrades!$B$3:$B$13))*Upgrades!$D$3:$D$13))</f>
        <v/>
      </c>
      <c r="F607" s="66" t="str">
        <f>IFERROR(__xludf.DUMMYFUNCTION("IF(COUNTA(C607:C1673)=0,"""",IF(REGEXMATCH(INDEX(FILTER(C$4:C607,C$4:C607&lt;&gt;""""),ROWS(FILTER(C$4:C607,C$4:C607&lt;&gt;""""))),""^Sell_""),INDEX(FILTER(F$4:F606,C$4:C606&lt;&gt;""""),ROWS(FILTER(C$4:C606,C$4:C606&lt;&gt;""""))),$AC$5+E607))"),"")</f>
        <v/>
      </c>
      <c r="G607" s="10" t="str">
        <f>IFERROR(__xludf.DUMMYFUNCTION("IF(COUNTA(C607:C1673)=0,"""",IF(C607="""",0,IF(REGEXMATCH(C607,""^Sell_""),-ROUNDDOWN(ROUNDUP(INDEX(Upgrades!$C$3:$C$13,MATCH(SUBSTITUTE(C607,""Sell_"",""""),Upgrades!$B$3:$B$13,0))*1.15^(COUNTIF(C$4:C606,SUBSTITUTE(C607,""Sell_"",""""))-COUNTIF(C$4:C606,"&amp;"""Sell_""&amp;SUBSTITUTE(C607,""Sell_"",""""))))/2),ROUNDUP(INDEX(Upgrades!$C$3:$C$13,MATCH(C607,Upgrades!$B$3:$B$13,0))*1.15^(COUNTIF(C$4:C606,C607)-COUNTIF(C$4:C606,""Sell_""&amp;C607))))))"),"")</f>
        <v/>
      </c>
      <c r="H607" s="10" t="str">
        <f t="shared" si="3"/>
        <v/>
      </c>
      <c r="I607" s="68" t="str">
        <f t="shared" si="4"/>
        <v/>
      </c>
      <c r="J607" s="59" t="str">
        <f t="shared" si="5"/>
        <v/>
      </c>
      <c r="K607" s="69" t="str">
        <f t="shared" si="6"/>
        <v/>
      </c>
      <c r="L607" s="60" t="str">
        <f t="shared" si="7"/>
        <v/>
      </c>
      <c r="M607" s="61" t="str">
        <f>IFERROR(__xludf.DUMMYFUNCTION("IFS(AND(COUNTA(C607:C1673)=0,COUNTA(Q607:Q1673)=0),"""",OR(AND(K607&gt;=1000000000,OR(Y607&gt;=1000000000,COUNTA(Q607:Q1673)=0)),OR(Y607&gt;=1000000000,AND(COUNTA(C607:C1673)=0,P$3=TRUE))),
ROUNDDOWN((AB$1-AC$1)*MAX(INDEX(T$4:T1673,MATCH(LARGE(FILTER(Y$4:Y1673,Y$4"&amp;":Y1673&lt;1000000000),1),Y$4:Y1673)),INDEX(F$4:F1673,MATCH(LARGE(FILTER(K$4:K1673,K$4:K1673&lt;1000000000),1),K$4:K1673)))),AND(K607&lt;1000000000,COUNTA(C607:C1673)&gt;0,P$3=FALSE),
ROUNDDOWN(INDEX(Y$4:Y1673,MATCH(LARGE(FILTER(W$4:W1673,W$4:W1673&lt;=I607),1),W$4:W1673"&amp;"))+(I607-LARGE(FILTER(W$4:W1673,W$4:W1673&lt;=I607),1))*INDEX(T$4:T1673,MATCH(LARGE(FILTER(W$4:W1673,W$4:W1673&lt;=I607),1),W$4:W1673))-K607),1,
ROUNDDOWN(Y607-INDEX(K$4:K1673,MATCH(LARGE(FILTER(I$4:I1673,I$4:I1673&lt;=W607),1),I$4:I1673))-(W607-LARGE(FILTER(I$4:I"&amp;"1673,I$4:I1673&lt;=W607),1))*INDEX(F$4:F1673,MATCH(LARGE(FILTER(I$4:I1673,I$4:I1673&lt;=W607),1),I$4:I1673))))"),"")</f>
        <v/>
      </c>
      <c r="N607" s="60" t="str">
        <f t="shared" si="8"/>
        <v/>
      </c>
      <c r="O607" s="61" t="str">
        <f t="shared" si="9"/>
        <v/>
      </c>
      <c r="P607" s="56" t="str">
        <f t="shared" si="10"/>
        <v/>
      </c>
      <c r="Q607" s="105"/>
      <c r="R607" s="10"/>
      <c r="S607" s="59" t="str">
        <f t="array" ref="S607">IF(COUNTA(Q607:Q1673)=0,"",SUM((COUNTIF(Q$4:Q607,Upgrades!$B$3:$B$13)-COUNTIF(Q$4:Q607,"Sell_"&amp;Upgrades!$B$3:$B$13))*Upgrades!$D$3:$D$13))</f>
        <v/>
      </c>
      <c r="T607" s="66" t="str">
        <f>IFERROR(__xludf.DUMMYFUNCTION("IF(COUNTA(Q607:Q1673)=0,"""",IF(REGEXMATCH(INDEX(FILTER(Q$4:Q607,Q$4:Q607&lt;&gt;""""),ROWS(FILTER(Q$4:Q607,Q$4:Q607&lt;&gt;""""))),""^Sell_""),INDEX(FILTER(T$4:T606,Q$4:Q606&lt;&gt;""""),ROWS(FILTER(Q$4:Q606,Q$4:Q606&lt;&gt;""""))),$AD$5+S607))"),"")</f>
        <v/>
      </c>
      <c r="U607" s="10" t="str">
        <f>IFERROR(__xludf.DUMMYFUNCTION("IF(COUNTA(Q607:Q1673)=0,"""",IF(Q607="""",0,IF(REGEXMATCH(Q607,""^Sell_""),-ROUNDDOWN(ROUNDUP(INDEX(Upgrades!$C$3:$C$13,MATCH(SUBSTITUTE(Q607,""Sell_"",""""),Upgrades!$B$3:$B$13,0))*1.15^(COUNTIF(Q$4:Q606,SUBSTITUTE(Q607,""Sell_"",""""))-COUNTIF(Q$4:Q606,"&amp;"""Sell_""&amp;SUBSTITUTE(Q607,""Sell_"",""""))))/2),ROUNDUP(INDEX(Upgrades!$C$3:$C$13,MATCH(Q607,Upgrades!$B$3:$B$13,0))*1.15^(COUNTIF(Q$4:Q606,Q607)-COUNTIF(Q$4:Q606,""Sell_""&amp;Q607))))))"),"")</f>
        <v/>
      </c>
      <c r="V607" s="10" t="str">
        <f t="shared" si="11"/>
        <v/>
      </c>
      <c r="W607" s="68" t="str">
        <f t="shared" si="12"/>
        <v/>
      </c>
      <c r="X607" s="59" t="str">
        <f t="shared" si="13"/>
        <v/>
      </c>
      <c r="Y607" s="69" t="str">
        <f t="shared" si="14"/>
        <v/>
      </c>
      <c r="Z607" s="11"/>
    </row>
    <row r="608">
      <c r="A608" s="8"/>
      <c r="B608" s="56" t="str">
        <f t="shared" si="2"/>
        <v/>
      </c>
      <c r="C608" s="105"/>
      <c r="D608" s="10"/>
      <c r="E608" s="59" t="str">
        <f t="array" ref="E608">IF(COUNTA(C608:C1673)=0,"",SUM((COUNTIF(C$4:C608,Upgrades!$B$3:$B$13)-COUNTIF(C$4:C608,"Sell_"&amp;Upgrades!$B$3:$B$13))*Upgrades!$D$3:$D$13))</f>
        <v/>
      </c>
      <c r="F608" s="66" t="str">
        <f>IFERROR(__xludf.DUMMYFUNCTION("IF(COUNTA(C608:C1673)=0,"""",IF(REGEXMATCH(INDEX(FILTER(C$4:C608,C$4:C608&lt;&gt;""""),ROWS(FILTER(C$4:C608,C$4:C608&lt;&gt;""""))),""^Sell_""),INDEX(FILTER(F$4:F607,C$4:C607&lt;&gt;""""),ROWS(FILTER(C$4:C607,C$4:C607&lt;&gt;""""))),$AC$5+E608))"),"")</f>
        <v/>
      </c>
      <c r="G608" s="10" t="str">
        <f>IFERROR(__xludf.DUMMYFUNCTION("IF(COUNTA(C608:C1673)=0,"""",IF(C608="""",0,IF(REGEXMATCH(C608,""^Sell_""),-ROUNDDOWN(ROUNDUP(INDEX(Upgrades!$C$3:$C$13,MATCH(SUBSTITUTE(C608,""Sell_"",""""),Upgrades!$B$3:$B$13,0))*1.15^(COUNTIF(C$4:C607,SUBSTITUTE(C608,""Sell_"",""""))-COUNTIF(C$4:C607,"&amp;"""Sell_""&amp;SUBSTITUTE(C608,""Sell_"",""""))))/2),ROUNDUP(INDEX(Upgrades!$C$3:$C$13,MATCH(C608,Upgrades!$B$3:$B$13,0))*1.15^(COUNTIF(C$4:C607,C608)-COUNTIF(C$4:C607,""Sell_""&amp;C608))))))"),"")</f>
        <v/>
      </c>
      <c r="H608" s="10" t="str">
        <f t="shared" si="3"/>
        <v/>
      </c>
      <c r="I608" s="68" t="str">
        <f t="shared" si="4"/>
        <v/>
      </c>
      <c r="J608" s="59" t="str">
        <f t="shared" si="5"/>
        <v/>
      </c>
      <c r="K608" s="69" t="str">
        <f t="shared" si="6"/>
        <v/>
      </c>
      <c r="L608" s="60" t="str">
        <f t="shared" si="7"/>
        <v/>
      </c>
      <c r="M608" s="61" t="str">
        <f>IFERROR(__xludf.DUMMYFUNCTION("IFS(AND(COUNTA(C608:C1673)=0,COUNTA(Q608:Q1673)=0),"""",OR(AND(K608&gt;=1000000000,OR(Y608&gt;=1000000000,COUNTA(Q608:Q1673)=0)),OR(Y608&gt;=1000000000,AND(COUNTA(C608:C1673)=0,P$3=TRUE))),
ROUNDDOWN((AB$1-AC$1)*MAX(INDEX(T$4:T1673,MATCH(LARGE(FILTER(Y$4:Y1673,Y$4"&amp;":Y1673&lt;1000000000),1),Y$4:Y1673)),INDEX(F$4:F1673,MATCH(LARGE(FILTER(K$4:K1673,K$4:K1673&lt;1000000000),1),K$4:K1673)))),AND(K608&lt;1000000000,COUNTA(C608:C1673)&gt;0,P$3=FALSE),
ROUNDDOWN(INDEX(Y$4:Y1673,MATCH(LARGE(FILTER(W$4:W1673,W$4:W1673&lt;=I608),1),W$4:W1673"&amp;"))+(I608-LARGE(FILTER(W$4:W1673,W$4:W1673&lt;=I608),1))*INDEX(T$4:T1673,MATCH(LARGE(FILTER(W$4:W1673,W$4:W1673&lt;=I608),1),W$4:W1673))-K608),1,
ROUNDDOWN(Y608-INDEX(K$4:K1673,MATCH(LARGE(FILTER(I$4:I1673,I$4:I1673&lt;=W608),1),I$4:I1673))-(W608-LARGE(FILTER(I$4:I"&amp;"1673,I$4:I1673&lt;=W608),1))*INDEX(F$4:F1673,MATCH(LARGE(FILTER(I$4:I1673,I$4:I1673&lt;=W608),1),I$4:I1673))))"),"")</f>
        <v/>
      </c>
      <c r="N608" s="60" t="str">
        <f t="shared" si="8"/>
        <v/>
      </c>
      <c r="O608" s="61" t="str">
        <f t="shared" si="9"/>
        <v/>
      </c>
      <c r="P608" s="56" t="str">
        <f t="shared" si="10"/>
        <v/>
      </c>
      <c r="Q608" s="105"/>
      <c r="R608" s="10"/>
      <c r="S608" s="59" t="str">
        <f t="array" ref="S608">IF(COUNTA(Q608:Q1673)=0,"",SUM((COUNTIF(Q$4:Q608,Upgrades!$B$3:$B$13)-COUNTIF(Q$4:Q608,"Sell_"&amp;Upgrades!$B$3:$B$13))*Upgrades!$D$3:$D$13))</f>
        <v/>
      </c>
      <c r="T608" s="66" t="str">
        <f>IFERROR(__xludf.DUMMYFUNCTION("IF(COUNTA(Q608:Q1673)=0,"""",IF(REGEXMATCH(INDEX(FILTER(Q$4:Q608,Q$4:Q608&lt;&gt;""""),ROWS(FILTER(Q$4:Q608,Q$4:Q608&lt;&gt;""""))),""^Sell_""),INDEX(FILTER(T$4:T607,Q$4:Q607&lt;&gt;""""),ROWS(FILTER(Q$4:Q607,Q$4:Q607&lt;&gt;""""))),$AD$5+S608))"),"")</f>
        <v/>
      </c>
      <c r="U608" s="10" t="str">
        <f>IFERROR(__xludf.DUMMYFUNCTION("IF(COUNTA(Q608:Q1673)=0,"""",IF(Q608="""",0,IF(REGEXMATCH(Q608,""^Sell_""),-ROUNDDOWN(ROUNDUP(INDEX(Upgrades!$C$3:$C$13,MATCH(SUBSTITUTE(Q608,""Sell_"",""""),Upgrades!$B$3:$B$13,0))*1.15^(COUNTIF(Q$4:Q607,SUBSTITUTE(Q608,""Sell_"",""""))-COUNTIF(Q$4:Q607,"&amp;"""Sell_""&amp;SUBSTITUTE(Q608,""Sell_"",""""))))/2),ROUNDUP(INDEX(Upgrades!$C$3:$C$13,MATCH(Q608,Upgrades!$B$3:$B$13,0))*1.15^(COUNTIF(Q$4:Q607,Q608)-COUNTIF(Q$4:Q607,""Sell_""&amp;Q608))))))"),"")</f>
        <v/>
      </c>
      <c r="V608" s="10" t="str">
        <f t="shared" si="11"/>
        <v/>
      </c>
      <c r="W608" s="68" t="str">
        <f t="shared" si="12"/>
        <v/>
      </c>
      <c r="X608" s="59" t="str">
        <f t="shared" si="13"/>
        <v/>
      </c>
      <c r="Y608" s="69" t="str">
        <f t="shared" si="14"/>
        <v/>
      </c>
      <c r="Z608" s="11"/>
    </row>
    <row r="609">
      <c r="A609" s="8"/>
      <c r="B609" s="56" t="str">
        <f t="shared" si="2"/>
        <v/>
      </c>
      <c r="C609" s="105"/>
      <c r="D609" s="10"/>
      <c r="E609" s="59" t="str">
        <f t="array" ref="E609">IF(COUNTA(C609:C1673)=0,"",SUM((COUNTIF(C$4:C609,Upgrades!$B$3:$B$13)-COUNTIF(C$4:C609,"Sell_"&amp;Upgrades!$B$3:$B$13))*Upgrades!$D$3:$D$13))</f>
        <v/>
      </c>
      <c r="F609" s="66" t="str">
        <f>IFERROR(__xludf.DUMMYFUNCTION("IF(COUNTA(C609:C1673)=0,"""",IF(REGEXMATCH(INDEX(FILTER(C$4:C609,C$4:C609&lt;&gt;""""),ROWS(FILTER(C$4:C609,C$4:C609&lt;&gt;""""))),""^Sell_""),INDEX(FILTER(F$4:F608,C$4:C608&lt;&gt;""""),ROWS(FILTER(C$4:C608,C$4:C608&lt;&gt;""""))),$AC$5+E609))"),"")</f>
        <v/>
      </c>
      <c r="G609" s="10" t="str">
        <f>IFERROR(__xludf.DUMMYFUNCTION("IF(COUNTA(C609:C1673)=0,"""",IF(C609="""",0,IF(REGEXMATCH(C609,""^Sell_""),-ROUNDDOWN(ROUNDUP(INDEX(Upgrades!$C$3:$C$13,MATCH(SUBSTITUTE(C609,""Sell_"",""""),Upgrades!$B$3:$B$13,0))*1.15^(COUNTIF(C$4:C608,SUBSTITUTE(C609,""Sell_"",""""))-COUNTIF(C$4:C608,"&amp;"""Sell_""&amp;SUBSTITUTE(C609,""Sell_"",""""))))/2),ROUNDUP(INDEX(Upgrades!$C$3:$C$13,MATCH(C609,Upgrades!$B$3:$B$13,0))*1.15^(COUNTIF(C$4:C608,C609)-COUNTIF(C$4:C608,""Sell_""&amp;C609))))))"),"")</f>
        <v/>
      </c>
      <c r="H609" s="10" t="str">
        <f t="shared" si="3"/>
        <v/>
      </c>
      <c r="I609" s="68" t="str">
        <f t="shared" si="4"/>
        <v/>
      </c>
      <c r="J609" s="59" t="str">
        <f t="shared" si="5"/>
        <v/>
      </c>
      <c r="K609" s="69" t="str">
        <f t="shared" si="6"/>
        <v/>
      </c>
      <c r="L609" s="60" t="str">
        <f t="shared" si="7"/>
        <v/>
      </c>
      <c r="M609" s="61" t="str">
        <f>IFERROR(__xludf.DUMMYFUNCTION("IFS(AND(COUNTA(C609:C1673)=0,COUNTA(Q609:Q1673)=0),"""",OR(AND(K609&gt;=1000000000,OR(Y609&gt;=1000000000,COUNTA(Q609:Q1673)=0)),OR(Y609&gt;=1000000000,AND(COUNTA(C609:C1673)=0,P$3=TRUE))),
ROUNDDOWN((AB$1-AC$1)*MAX(INDEX(T$4:T1673,MATCH(LARGE(FILTER(Y$4:Y1673,Y$4"&amp;":Y1673&lt;1000000000),1),Y$4:Y1673)),INDEX(F$4:F1673,MATCH(LARGE(FILTER(K$4:K1673,K$4:K1673&lt;1000000000),1),K$4:K1673)))),AND(K609&lt;1000000000,COUNTA(C609:C1673)&gt;0,P$3=FALSE),
ROUNDDOWN(INDEX(Y$4:Y1673,MATCH(LARGE(FILTER(W$4:W1673,W$4:W1673&lt;=I609),1),W$4:W1673"&amp;"))+(I609-LARGE(FILTER(W$4:W1673,W$4:W1673&lt;=I609),1))*INDEX(T$4:T1673,MATCH(LARGE(FILTER(W$4:W1673,W$4:W1673&lt;=I609),1),W$4:W1673))-K609),1,
ROUNDDOWN(Y609-INDEX(K$4:K1673,MATCH(LARGE(FILTER(I$4:I1673,I$4:I1673&lt;=W609),1),I$4:I1673))-(W609-LARGE(FILTER(I$4:I"&amp;"1673,I$4:I1673&lt;=W609),1))*INDEX(F$4:F1673,MATCH(LARGE(FILTER(I$4:I1673,I$4:I1673&lt;=W609),1),I$4:I1673))))"),"")</f>
        <v/>
      </c>
      <c r="N609" s="60" t="str">
        <f t="shared" si="8"/>
        <v/>
      </c>
      <c r="O609" s="61" t="str">
        <f t="shared" si="9"/>
        <v/>
      </c>
      <c r="P609" s="56" t="str">
        <f t="shared" si="10"/>
        <v/>
      </c>
      <c r="Q609" s="105"/>
      <c r="R609" s="10"/>
      <c r="S609" s="59" t="str">
        <f t="array" ref="S609">IF(COUNTA(Q609:Q1673)=0,"",SUM((COUNTIF(Q$4:Q609,Upgrades!$B$3:$B$13)-COUNTIF(Q$4:Q609,"Sell_"&amp;Upgrades!$B$3:$B$13))*Upgrades!$D$3:$D$13))</f>
        <v/>
      </c>
      <c r="T609" s="66" t="str">
        <f>IFERROR(__xludf.DUMMYFUNCTION("IF(COUNTA(Q609:Q1673)=0,"""",IF(REGEXMATCH(INDEX(FILTER(Q$4:Q609,Q$4:Q609&lt;&gt;""""),ROWS(FILTER(Q$4:Q609,Q$4:Q609&lt;&gt;""""))),""^Sell_""),INDEX(FILTER(T$4:T608,Q$4:Q608&lt;&gt;""""),ROWS(FILTER(Q$4:Q608,Q$4:Q608&lt;&gt;""""))),$AD$5+S609))"),"")</f>
        <v/>
      </c>
      <c r="U609" s="10" t="str">
        <f>IFERROR(__xludf.DUMMYFUNCTION("IF(COUNTA(Q609:Q1673)=0,"""",IF(Q609="""",0,IF(REGEXMATCH(Q609,""^Sell_""),-ROUNDDOWN(ROUNDUP(INDEX(Upgrades!$C$3:$C$13,MATCH(SUBSTITUTE(Q609,""Sell_"",""""),Upgrades!$B$3:$B$13,0))*1.15^(COUNTIF(Q$4:Q608,SUBSTITUTE(Q609,""Sell_"",""""))-COUNTIF(Q$4:Q608,"&amp;"""Sell_""&amp;SUBSTITUTE(Q609,""Sell_"",""""))))/2),ROUNDUP(INDEX(Upgrades!$C$3:$C$13,MATCH(Q609,Upgrades!$B$3:$B$13,0))*1.15^(COUNTIF(Q$4:Q608,Q609)-COUNTIF(Q$4:Q608,""Sell_""&amp;Q609))))))"),"")</f>
        <v/>
      </c>
      <c r="V609" s="10" t="str">
        <f t="shared" si="11"/>
        <v/>
      </c>
      <c r="W609" s="68" t="str">
        <f t="shared" si="12"/>
        <v/>
      </c>
      <c r="X609" s="59" t="str">
        <f t="shared" si="13"/>
        <v/>
      </c>
      <c r="Y609" s="69" t="str">
        <f t="shared" si="14"/>
        <v/>
      </c>
      <c r="Z609" s="11"/>
    </row>
    <row r="610">
      <c r="A610" s="8"/>
      <c r="B610" s="56" t="str">
        <f t="shared" si="2"/>
        <v/>
      </c>
      <c r="C610" s="105"/>
      <c r="D610" s="10"/>
      <c r="E610" s="59" t="str">
        <f t="array" ref="E610">IF(COUNTA(C610:C1673)=0,"",SUM((COUNTIF(C$4:C610,Upgrades!$B$3:$B$13)-COUNTIF(C$4:C610,"Sell_"&amp;Upgrades!$B$3:$B$13))*Upgrades!$D$3:$D$13))</f>
        <v/>
      </c>
      <c r="F610" s="66" t="str">
        <f>IFERROR(__xludf.DUMMYFUNCTION("IF(COUNTA(C610:C1673)=0,"""",IF(REGEXMATCH(INDEX(FILTER(C$4:C610,C$4:C610&lt;&gt;""""),ROWS(FILTER(C$4:C610,C$4:C610&lt;&gt;""""))),""^Sell_""),INDEX(FILTER(F$4:F609,C$4:C609&lt;&gt;""""),ROWS(FILTER(C$4:C609,C$4:C609&lt;&gt;""""))),$AC$5+E610))"),"")</f>
        <v/>
      </c>
      <c r="G610" s="10" t="str">
        <f>IFERROR(__xludf.DUMMYFUNCTION("IF(COUNTA(C610:C1673)=0,"""",IF(C610="""",0,IF(REGEXMATCH(C610,""^Sell_""),-ROUNDDOWN(ROUNDUP(INDEX(Upgrades!$C$3:$C$13,MATCH(SUBSTITUTE(C610,""Sell_"",""""),Upgrades!$B$3:$B$13,0))*1.15^(COUNTIF(C$4:C609,SUBSTITUTE(C610,""Sell_"",""""))-COUNTIF(C$4:C609,"&amp;"""Sell_""&amp;SUBSTITUTE(C610,""Sell_"",""""))))/2),ROUNDUP(INDEX(Upgrades!$C$3:$C$13,MATCH(C610,Upgrades!$B$3:$B$13,0))*1.15^(COUNTIF(C$4:C609,C610)-COUNTIF(C$4:C609,""Sell_""&amp;C610))))))"),"")</f>
        <v/>
      </c>
      <c r="H610" s="10" t="str">
        <f t="shared" si="3"/>
        <v/>
      </c>
      <c r="I610" s="68" t="str">
        <f t="shared" si="4"/>
        <v/>
      </c>
      <c r="J610" s="59" t="str">
        <f t="shared" si="5"/>
        <v/>
      </c>
      <c r="K610" s="69" t="str">
        <f t="shared" si="6"/>
        <v/>
      </c>
      <c r="L610" s="60" t="str">
        <f t="shared" si="7"/>
        <v/>
      </c>
      <c r="M610" s="61" t="str">
        <f>IFERROR(__xludf.DUMMYFUNCTION("IFS(AND(COUNTA(C610:C1673)=0,COUNTA(Q610:Q1673)=0),"""",OR(AND(K610&gt;=1000000000,OR(Y610&gt;=1000000000,COUNTA(Q610:Q1673)=0)),OR(Y610&gt;=1000000000,AND(COUNTA(C610:C1673)=0,P$3=TRUE))),
ROUNDDOWN((AB$1-AC$1)*MAX(INDEX(T$4:T1673,MATCH(LARGE(FILTER(Y$4:Y1673,Y$4"&amp;":Y1673&lt;1000000000),1),Y$4:Y1673)),INDEX(F$4:F1673,MATCH(LARGE(FILTER(K$4:K1673,K$4:K1673&lt;1000000000),1),K$4:K1673)))),AND(K610&lt;1000000000,COUNTA(C610:C1673)&gt;0,P$3=FALSE),
ROUNDDOWN(INDEX(Y$4:Y1673,MATCH(LARGE(FILTER(W$4:W1673,W$4:W1673&lt;=I610),1),W$4:W1673"&amp;"))+(I610-LARGE(FILTER(W$4:W1673,W$4:W1673&lt;=I610),1))*INDEX(T$4:T1673,MATCH(LARGE(FILTER(W$4:W1673,W$4:W1673&lt;=I610),1),W$4:W1673))-K610),1,
ROUNDDOWN(Y610-INDEX(K$4:K1673,MATCH(LARGE(FILTER(I$4:I1673,I$4:I1673&lt;=W610),1),I$4:I1673))-(W610-LARGE(FILTER(I$4:I"&amp;"1673,I$4:I1673&lt;=W610),1))*INDEX(F$4:F1673,MATCH(LARGE(FILTER(I$4:I1673,I$4:I1673&lt;=W610),1),I$4:I1673))))"),"")</f>
        <v/>
      </c>
      <c r="N610" s="60" t="str">
        <f t="shared" si="8"/>
        <v/>
      </c>
      <c r="O610" s="61" t="str">
        <f t="shared" si="9"/>
        <v/>
      </c>
      <c r="P610" s="56" t="str">
        <f t="shared" si="10"/>
        <v/>
      </c>
      <c r="Q610" s="105"/>
      <c r="R610" s="10"/>
      <c r="S610" s="59" t="str">
        <f t="array" ref="S610">IF(COUNTA(Q610:Q1673)=0,"",SUM((COUNTIF(Q$4:Q610,Upgrades!$B$3:$B$13)-COUNTIF(Q$4:Q610,"Sell_"&amp;Upgrades!$B$3:$B$13))*Upgrades!$D$3:$D$13))</f>
        <v/>
      </c>
      <c r="T610" s="66" t="str">
        <f>IFERROR(__xludf.DUMMYFUNCTION("IF(COUNTA(Q610:Q1673)=0,"""",IF(REGEXMATCH(INDEX(FILTER(Q$4:Q610,Q$4:Q610&lt;&gt;""""),ROWS(FILTER(Q$4:Q610,Q$4:Q610&lt;&gt;""""))),""^Sell_""),INDEX(FILTER(T$4:T609,Q$4:Q609&lt;&gt;""""),ROWS(FILTER(Q$4:Q609,Q$4:Q609&lt;&gt;""""))),$AD$5+S610))"),"")</f>
        <v/>
      </c>
      <c r="U610" s="10" t="str">
        <f>IFERROR(__xludf.DUMMYFUNCTION("IF(COUNTA(Q610:Q1673)=0,"""",IF(Q610="""",0,IF(REGEXMATCH(Q610,""^Sell_""),-ROUNDDOWN(ROUNDUP(INDEX(Upgrades!$C$3:$C$13,MATCH(SUBSTITUTE(Q610,""Sell_"",""""),Upgrades!$B$3:$B$13,0))*1.15^(COUNTIF(Q$4:Q609,SUBSTITUTE(Q610,""Sell_"",""""))-COUNTIF(Q$4:Q609,"&amp;"""Sell_""&amp;SUBSTITUTE(Q610,""Sell_"",""""))))/2),ROUNDUP(INDEX(Upgrades!$C$3:$C$13,MATCH(Q610,Upgrades!$B$3:$B$13,0))*1.15^(COUNTIF(Q$4:Q609,Q610)-COUNTIF(Q$4:Q609,""Sell_""&amp;Q610))))))"),"")</f>
        <v/>
      </c>
      <c r="V610" s="10" t="str">
        <f t="shared" si="11"/>
        <v/>
      </c>
      <c r="W610" s="68" t="str">
        <f t="shared" si="12"/>
        <v/>
      </c>
      <c r="X610" s="59" t="str">
        <f t="shared" si="13"/>
        <v/>
      </c>
      <c r="Y610" s="69" t="str">
        <f t="shared" si="14"/>
        <v/>
      </c>
      <c r="Z610" s="11"/>
    </row>
    <row r="611">
      <c r="A611" s="8"/>
      <c r="B611" s="56" t="str">
        <f t="shared" si="2"/>
        <v/>
      </c>
      <c r="C611" s="105"/>
      <c r="D611" s="10"/>
      <c r="E611" s="59" t="str">
        <f t="array" ref="E611">IF(COUNTA(C611:C1673)=0,"",SUM((COUNTIF(C$4:C611,Upgrades!$B$3:$B$13)-COUNTIF(C$4:C611,"Sell_"&amp;Upgrades!$B$3:$B$13))*Upgrades!$D$3:$D$13))</f>
        <v/>
      </c>
      <c r="F611" s="66" t="str">
        <f>IFERROR(__xludf.DUMMYFUNCTION("IF(COUNTA(C611:C1673)=0,"""",IF(REGEXMATCH(INDEX(FILTER(C$4:C611,C$4:C611&lt;&gt;""""),ROWS(FILTER(C$4:C611,C$4:C611&lt;&gt;""""))),""^Sell_""),INDEX(FILTER(F$4:F610,C$4:C610&lt;&gt;""""),ROWS(FILTER(C$4:C610,C$4:C610&lt;&gt;""""))),$AC$5+E611))"),"")</f>
        <v/>
      </c>
      <c r="G611" s="10" t="str">
        <f>IFERROR(__xludf.DUMMYFUNCTION("IF(COUNTA(C611:C1673)=0,"""",IF(C611="""",0,IF(REGEXMATCH(C611,""^Sell_""),-ROUNDDOWN(ROUNDUP(INDEX(Upgrades!$C$3:$C$13,MATCH(SUBSTITUTE(C611,""Sell_"",""""),Upgrades!$B$3:$B$13,0))*1.15^(COUNTIF(C$4:C610,SUBSTITUTE(C611,""Sell_"",""""))-COUNTIF(C$4:C610,"&amp;"""Sell_""&amp;SUBSTITUTE(C611,""Sell_"",""""))))/2),ROUNDUP(INDEX(Upgrades!$C$3:$C$13,MATCH(C611,Upgrades!$B$3:$B$13,0))*1.15^(COUNTIF(C$4:C610,C611)-COUNTIF(C$4:C610,""Sell_""&amp;C611))))))"),"")</f>
        <v/>
      </c>
      <c r="H611" s="10" t="str">
        <f t="shared" si="3"/>
        <v/>
      </c>
      <c r="I611" s="68" t="str">
        <f t="shared" si="4"/>
        <v/>
      </c>
      <c r="J611" s="59" t="str">
        <f t="shared" si="5"/>
        <v/>
      </c>
      <c r="K611" s="69" t="str">
        <f t="shared" si="6"/>
        <v/>
      </c>
      <c r="L611" s="60" t="str">
        <f t="shared" si="7"/>
        <v/>
      </c>
      <c r="M611" s="61" t="str">
        <f>IFERROR(__xludf.DUMMYFUNCTION("IFS(AND(COUNTA(C611:C1673)=0,COUNTA(Q611:Q1673)=0),"""",OR(AND(K611&gt;=1000000000,OR(Y611&gt;=1000000000,COUNTA(Q611:Q1673)=0)),OR(Y611&gt;=1000000000,AND(COUNTA(C611:C1673)=0,P$3=TRUE))),
ROUNDDOWN((AB$1-AC$1)*MAX(INDEX(T$4:T1673,MATCH(LARGE(FILTER(Y$4:Y1673,Y$4"&amp;":Y1673&lt;1000000000),1),Y$4:Y1673)),INDEX(F$4:F1673,MATCH(LARGE(FILTER(K$4:K1673,K$4:K1673&lt;1000000000),1),K$4:K1673)))),AND(K611&lt;1000000000,COUNTA(C611:C1673)&gt;0,P$3=FALSE),
ROUNDDOWN(INDEX(Y$4:Y1673,MATCH(LARGE(FILTER(W$4:W1673,W$4:W1673&lt;=I611),1),W$4:W1673"&amp;"))+(I611-LARGE(FILTER(W$4:W1673,W$4:W1673&lt;=I611),1))*INDEX(T$4:T1673,MATCH(LARGE(FILTER(W$4:W1673,W$4:W1673&lt;=I611),1),W$4:W1673))-K611),1,
ROUNDDOWN(Y611-INDEX(K$4:K1673,MATCH(LARGE(FILTER(I$4:I1673,I$4:I1673&lt;=W611),1),I$4:I1673))-(W611-LARGE(FILTER(I$4:I"&amp;"1673,I$4:I1673&lt;=W611),1))*INDEX(F$4:F1673,MATCH(LARGE(FILTER(I$4:I1673,I$4:I1673&lt;=W611),1),I$4:I1673))))"),"")</f>
        <v/>
      </c>
      <c r="N611" s="60" t="str">
        <f t="shared" si="8"/>
        <v/>
      </c>
      <c r="O611" s="61" t="str">
        <f t="shared" si="9"/>
        <v/>
      </c>
      <c r="P611" s="56" t="str">
        <f t="shared" si="10"/>
        <v/>
      </c>
      <c r="Q611" s="105"/>
      <c r="R611" s="10"/>
      <c r="S611" s="59" t="str">
        <f t="array" ref="S611">IF(COUNTA(Q611:Q1673)=0,"",SUM((COUNTIF(Q$4:Q611,Upgrades!$B$3:$B$13)-COUNTIF(Q$4:Q611,"Sell_"&amp;Upgrades!$B$3:$B$13))*Upgrades!$D$3:$D$13))</f>
        <v/>
      </c>
      <c r="T611" s="66" t="str">
        <f>IFERROR(__xludf.DUMMYFUNCTION("IF(COUNTA(Q611:Q1673)=0,"""",IF(REGEXMATCH(INDEX(FILTER(Q$4:Q611,Q$4:Q611&lt;&gt;""""),ROWS(FILTER(Q$4:Q611,Q$4:Q611&lt;&gt;""""))),""^Sell_""),INDEX(FILTER(T$4:T610,Q$4:Q610&lt;&gt;""""),ROWS(FILTER(Q$4:Q610,Q$4:Q610&lt;&gt;""""))),$AD$5+S611))"),"")</f>
        <v/>
      </c>
      <c r="U611" s="10" t="str">
        <f>IFERROR(__xludf.DUMMYFUNCTION("IF(COUNTA(Q611:Q1673)=0,"""",IF(Q611="""",0,IF(REGEXMATCH(Q611,""^Sell_""),-ROUNDDOWN(ROUNDUP(INDEX(Upgrades!$C$3:$C$13,MATCH(SUBSTITUTE(Q611,""Sell_"",""""),Upgrades!$B$3:$B$13,0))*1.15^(COUNTIF(Q$4:Q610,SUBSTITUTE(Q611,""Sell_"",""""))-COUNTIF(Q$4:Q610,"&amp;"""Sell_""&amp;SUBSTITUTE(Q611,""Sell_"",""""))))/2),ROUNDUP(INDEX(Upgrades!$C$3:$C$13,MATCH(Q611,Upgrades!$B$3:$B$13,0))*1.15^(COUNTIF(Q$4:Q610,Q611)-COUNTIF(Q$4:Q610,""Sell_""&amp;Q611))))))"),"")</f>
        <v/>
      </c>
      <c r="V611" s="10" t="str">
        <f t="shared" si="11"/>
        <v/>
      </c>
      <c r="W611" s="68" t="str">
        <f t="shared" si="12"/>
        <v/>
      </c>
      <c r="X611" s="59" t="str">
        <f t="shared" si="13"/>
        <v/>
      </c>
      <c r="Y611" s="69" t="str">
        <f t="shared" si="14"/>
        <v/>
      </c>
      <c r="Z611" s="11"/>
    </row>
    <row r="612">
      <c r="A612" s="8"/>
      <c r="B612" s="56" t="str">
        <f t="shared" si="2"/>
        <v/>
      </c>
      <c r="C612" s="105"/>
      <c r="D612" s="10"/>
      <c r="E612" s="59" t="str">
        <f t="array" ref="E612">IF(COUNTA(C612:C1673)=0,"",SUM((COUNTIF(C$4:C612,Upgrades!$B$3:$B$13)-COUNTIF(C$4:C612,"Sell_"&amp;Upgrades!$B$3:$B$13))*Upgrades!$D$3:$D$13))</f>
        <v/>
      </c>
      <c r="F612" s="66" t="str">
        <f>IFERROR(__xludf.DUMMYFUNCTION("IF(COUNTA(C612:C1673)=0,"""",IF(REGEXMATCH(INDEX(FILTER(C$4:C612,C$4:C612&lt;&gt;""""),ROWS(FILTER(C$4:C612,C$4:C612&lt;&gt;""""))),""^Sell_""),INDEX(FILTER(F$4:F611,C$4:C611&lt;&gt;""""),ROWS(FILTER(C$4:C611,C$4:C611&lt;&gt;""""))),$AC$5+E612))"),"")</f>
        <v/>
      </c>
      <c r="G612" s="10" t="str">
        <f>IFERROR(__xludf.DUMMYFUNCTION("IF(COUNTA(C612:C1673)=0,"""",IF(C612="""",0,IF(REGEXMATCH(C612,""^Sell_""),-ROUNDDOWN(ROUNDUP(INDEX(Upgrades!$C$3:$C$13,MATCH(SUBSTITUTE(C612,""Sell_"",""""),Upgrades!$B$3:$B$13,0))*1.15^(COUNTIF(C$4:C611,SUBSTITUTE(C612,""Sell_"",""""))-COUNTIF(C$4:C611,"&amp;"""Sell_""&amp;SUBSTITUTE(C612,""Sell_"",""""))))/2),ROUNDUP(INDEX(Upgrades!$C$3:$C$13,MATCH(C612,Upgrades!$B$3:$B$13,0))*1.15^(COUNTIF(C$4:C611,C612)-COUNTIF(C$4:C611,""Sell_""&amp;C612))))))"),"")</f>
        <v/>
      </c>
      <c r="H612" s="10" t="str">
        <f t="shared" si="3"/>
        <v/>
      </c>
      <c r="I612" s="68" t="str">
        <f t="shared" si="4"/>
        <v/>
      </c>
      <c r="J612" s="59" t="str">
        <f t="shared" si="5"/>
        <v/>
      </c>
      <c r="K612" s="69" t="str">
        <f t="shared" si="6"/>
        <v/>
      </c>
      <c r="L612" s="60" t="str">
        <f t="shared" si="7"/>
        <v/>
      </c>
      <c r="M612" s="61" t="str">
        <f>IFERROR(__xludf.DUMMYFUNCTION("IFS(AND(COUNTA(C612:C1673)=0,COUNTA(Q612:Q1673)=0),"""",OR(AND(K612&gt;=1000000000,OR(Y612&gt;=1000000000,COUNTA(Q612:Q1673)=0)),OR(Y612&gt;=1000000000,AND(COUNTA(C612:C1673)=0,P$3=TRUE))),
ROUNDDOWN((AB$1-AC$1)*MAX(INDEX(T$4:T1673,MATCH(LARGE(FILTER(Y$4:Y1673,Y$4"&amp;":Y1673&lt;1000000000),1),Y$4:Y1673)),INDEX(F$4:F1673,MATCH(LARGE(FILTER(K$4:K1673,K$4:K1673&lt;1000000000),1),K$4:K1673)))),AND(K612&lt;1000000000,COUNTA(C612:C1673)&gt;0,P$3=FALSE),
ROUNDDOWN(INDEX(Y$4:Y1673,MATCH(LARGE(FILTER(W$4:W1673,W$4:W1673&lt;=I612),1),W$4:W1673"&amp;"))+(I612-LARGE(FILTER(W$4:W1673,W$4:W1673&lt;=I612),1))*INDEX(T$4:T1673,MATCH(LARGE(FILTER(W$4:W1673,W$4:W1673&lt;=I612),1),W$4:W1673))-K612),1,
ROUNDDOWN(Y612-INDEX(K$4:K1673,MATCH(LARGE(FILTER(I$4:I1673,I$4:I1673&lt;=W612),1),I$4:I1673))-(W612-LARGE(FILTER(I$4:I"&amp;"1673,I$4:I1673&lt;=W612),1))*INDEX(F$4:F1673,MATCH(LARGE(FILTER(I$4:I1673,I$4:I1673&lt;=W612),1),I$4:I1673))))"),"")</f>
        <v/>
      </c>
      <c r="N612" s="60" t="str">
        <f t="shared" si="8"/>
        <v/>
      </c>
      <c r="O612" s="61" t="str">
        <f t="shared" si="9"/>
        <v/>
      </c>
      <c r="P612" s="56" t="str">
        <f t="shared" si="10"/>
        <v/>
      </c>
      <c r="Q612" s="105"/>
      <c r="R612" s="10"/>
      <c r="S612" s="59" t="str">
        <f t="array" ref="S612">IF(COUNTA(Q612:Q1673)=0,"",SUM((COUNTIF(Q$4:Q612,Upgrades!$B$3:$B$13)-COUNTIF(Q$4:Q612,"Sell_"&amp;Upgrades!$B$3:$B$13))*Upgrades!$D$3:$D$13))</f>
        <v/>
      </c>
      <c r="T612" s="66" t="str">
        <f>IFERROR(__xludf.DUMMYFUNCTION("IF(COUNTA(Q612:Q1673)=0,"""",IF(REGEXMATCH(INDEX(FILTER(Q$4:Q612,Q$4:Q612&lt;&gt;""""),ROWS(FILTER(Q$4:Q612,Q$4:Q612&lt;&gt;""""))),""^Sell_""),INDEX(FILTER(T$4:T611,Q$4:Q611&lt;&gt;""""),ROWS(FILTER(Q$4:Q611,Q$4:Q611&lt;&gt;""""))),$AD$5+S612))"),"")</f>
        <v/>
      </c>
      <c r="U612" s="10" t="str">
        <f>IFERROR(__xludf.DUMMYFUNCTION("IF(COUNTA(Q612:Q1673)=0,"""",IF(Q612="""",0,IF(REGEXMATCH(Q612,""^Sell_""),-ROUNDDOWN(ROUNDUP(INDEX(Upgrades!$C$3:$C$13,MATCH(SUBSTITUTE(Q612,""Sell_"",""""),Upgrades!$B$3:$B$13,0))*1.15^(COUNTIF(Q$4:Q611,SUBSTITUTE(Q612,""Sell_"",""""))-COUNTIF(Q$4:Q611,"&amp;"""Sell_""&amp;SUBSTITUTE(Q612,""Sell_"",""""))))/2),ROUNDUP(INDEX(Upgrades!$C$3:$C$13,MATCH(Q612,Upgrades!$B$3:$B$13,0))*1.15^(COUNTIF(Q$4:Q611,Q612)-COUNTIF(Q$4:Q611,""Sell_""&amp;Q612))))))"),"")</f>
        <v/>
      </c>
      <c r="V612" s="10" t="str">
        <f t="shared" si="11"/>
        <v/>
      </c>
      <c r="W612" s="68" t="str">
        <f t="shared" si="12"/>
        <v/>
      </c>
      <c r="X612" s="59" t="str">
        <f t="shared" si="13"/>
        <v/>
      </c>
      <c r="Y612" s="69" t="str">
        <f t="shared" si="14"/>
        <v/>
      </c>
      <c r="Z612" s="11"/>
    </row>
    <row r="613">
      <c r="A613" s="8"/>
      <c r="B613" s="56" t="str">
        <f t="shared" si="2"/>
        <v/>
      </c>
      <c r="C613" s="105"/>
      <c r="D613" s="10"/>
      <c r="E613" s="59" t="str">
        <f t="array" ref="E613">IF(COUNTA(C613:C1673)=0,"",SUM((COUNTIF(C$4:C613,Upgrades!$B$3:$B$13)-COUNTIF(C$4:C613,"Sell_"&amp;Upgrades!$B$3:$B$13))*Upgrades!$D$3:$D$13))</f>
        <v/>
      </c>
      <c r="F613" s="66" t="str">
        <f>IFERROR(__xludf.DUMMYFUNCTION("IF(COUNTA(C613:C1673)=0,"""",IF(REGEXMATCH(INDEX(FILTER(C$4:C613,C$4:C613&lt;&gt;""""),ROWS(FILTER(C$4:C613,C$4:C613&lt;&gt;""""))),""^Sell_""),INDEX(FILTER(F$4:F612,C$4:C612&lt;&gt;""""),ROWS(FILTER(C$4:C612,C$4:C612&lt;&gt;""""))),$AC$5+E613))"),"")</f>
        <v/>
      </c>
      <c r="G613" s="10" t="str">
        <f>IFERROR(__xludf.DUMMYFUNCTION("IF(COUNTA(C613:C1673)=0,"""",IF(C613="""",0,IF(REGEXMATCH(C613,""^Sell_""),-ROUNDDOWN(ROUNDUP(INDEX(Upgrades!$C$3:$C$13,MATCH(SUBSTITUTE(C613,""Sell_"",""""),Upgrades!$B$3:$B$13,0))*1.15^(COUNTIF(C$4:C612,SUBSTITUTE(C613,""Sell_"",""""))-COUNTIF(C$4:C612,"&amp;"""Sell_""&amp;SUBSTITUTE(C613,""Sell_"",""""))))/2),ROUNDUP(INDEX(Upgrades!$C$3:$C$13,MATCH(C613,Upgrades!$B$3:$B$13,0))*1.15^(COUNTIF(C$4:C612,C613)-COUNTIF(C$4:C612,""Sell_""&amp;C613))))))"),"")</f>
        <v/>
      </c>
      <c r="H613" s="10" t="str">
        <f t="shared" si="3"/>
        <v/>
      </c>
      <c r="I613" s="68" t="str">
        <f t="shared" si="4"/>
        <v/>
      </c>
      <c r="J613" s="59" t="str">
        <f t="shared" si="5"/>
        <v/>
      </c>
      <c r="K613" s="69" t="str">
        <f t="shared" si="6"/>
        <v/>
      </c>
      <c r="L613" s="60" t="str">
        <f t="shared" si="7"/>
        <v/>
      </c>
      <c r="M613" s="61" t="str">
        <f>IFERROR(__xludf.DUMMYFUNCTION("IFS(AND(COUNTA(C613:C1673)=0,COUNTA(Q613:Q1673)=0),"""",OR(AND(K613&gt;=1000000000,OR(Y613&gt;=1000000000,COUNTA(Q613:Q1673)=0)),OR(Y613&gt;=1000000000,AND(COUNTA(C613:C1673)=0,P$3=TRUE))),
ROUNDDOWN((AB$1-AC$1)*MAX(INDEX(T$4:T1673,MATCH(LARGE(FILTER(Y$4:Y1673,Y$4"&amp;":Y1673&lt;1000000000),1),Y$4:Y1673)),INDEX(F$4:F1673,MATCH(LARGE(FILTER(K$4:K1673,K$4:K1673&lt;1000000000),1),K$4:K1673)))),AND(K613&lt;1000000000,COUNTA(C613:C1673)&gt;0,P$3=FALSE),
ROUNDDOWN(INDEX(Y$4:Y1673,MATCH(LARGE(FILTER(W$4:W1673,W$4:W1673&lt;=I613),1),W$4:W1673"&amp;"))+(I613-LARGE(FILTER(W$4:W1673,W$4:W1673&lt;=I613),1))*INDEX(T$4:T1673,MATCH(LARGE(FILTER(W$4:W1673,W$4:W1673&lt;=I613),1),W$4:W1673))-K613),1,
ROUNDDOWN(Y613-INDEX(K$4:K1673,MATCH(LARGE(FILTER(I$4:I1673,I$4:I1673&lt;=W613),1),I$4:I1673))-(W613-LARGE(FILTER(I$4:I"&amp;"1673,I$4:I1673&lt;=W613),1))*INDEX(F$4:F1673,MATCH(LARGE(FILTER(I$4:I1673,I$4:I1673&lt;=W613),1),I$4:I1673))))"),"")</f>
        <v/>
      </c>
      <c r="N613" s="60" t="str">
        <f t="shared" si="8"/>
        <v/>
      </c>
      <c r="O613" s="61" t="str">
        <f t="shared" si="9"/>
        <v/>
      </c>
      <c r="P613" s="56" t="str">
        <f t="shared" si="10"/>
        <v/>
      </c>
      <c r="Q613" s="105"/>
      <c r="R613" s="10"/>
      <c r="S613" s="59" t="str">
        <f t="array" ref="S613">IF(COUNTA(Q613:Q1673)=0,"",SUM((COUNTIF(Q$4:Q613,Upgrades!$B$3:$B$13)-COUNTIF(Q$4:Q613,"Sell_"&amp;Upgrades!$B$3:$B$13))*Upgrades!$D$3:$D$13))</f>
        <v/>
      </c>
      <c r="T613" s="66" t="str">
        <f>IFERROR(__xludf.DUMMYFUNCTION("IF(COUNTA(Q613:Q1673)=0,"""",IF(REGEXMATCH(INDEX(FILTER(Q$4:Q613,Q$4:Q613&lt;&gt;""""),ROWS(FILTER(Q$4:Q613,Q$4:Q613&lt;&gt;""""))),""^Sell_""),INDEX(FILTER(T$4:T612,Q$4:Q612&lt;&gt;""""),ROWS(FILTER(Q$4:Q612,Q$4:Q612&lt;&gt;""""))),$AD$5+S613))"),"")</f>
        <v/>
      </c>
      <c r="U613" s="10" t="str">
        <f>IFERROR(__xludf.DUMMYFUNCTION("IF(COUNTA(Q613:Q1673)=0,"""",IF(Q613="""",0,IF(REGEXMATCH(Q613,""^Sell_""),-ROUNDDOWN(ROUNDUP(INDEX(Upgrades!$C$3:$C$13,MATCH(SUBSTITUTE(Q613,""Sell_"",""""),Upgrades!$B$3:$B$13,0))*1.15^(COUNTIF(Q$4:Q612,SUBSTITUTE(Q613,""Sell_"",""""))-COUNTIF(Q$4:Q612,"&amp;"""Sell_""&amp;SUBSTITUTE(Q613,""Sell_"",""""))))/2),ROUNDUP(INDEX(Upgrades!$C$3:$C$13,MATCH(Q613,Upgrades!$B$3:$B$13,0))*1.15^(COUNTIF(Q$4:Q612,Q613)-COUNTIF(Q$4:Q612,""Sell_""&amp;Q613))))))"),"")</f>
        <v/>
      </c>
      <c r="V613" s="10" t="str">
        <f t="shared" si="11"/>
        <v/>
      </c>
      <c r="W613" s="68" t="str">
        <f t="shared" si="12"/>
        <v/>
      </c>
      <c r="X613" s="59" t="str">
        <f t="shared" si="13"/>
        <v/>
      </c>
      <c r="Y613" s="69" t="str">
        <f t="shared" si="14"/>
        <v/>
      </c>
      <c r="Z613" s="11"/>
    </row>
    <row r="614">
      <c r="A614" s="8"/>
      <c r="B614" s="56" t="str">
        <f t="shared" si="2"/>
        <v/>
      </c>
      <c r="C614" s="105"/>
      <c r="D614" s="10"/>
      <c r="E614" s="59" t="str">
        <f t="array" ref="E614">IF(COUNTA(C614:C1673)=0,"",SUM((COUNTIF(C$4:C614,Upgrades!$B$3:$B$13)-COUNTIF(C$4:C614,"Sell_"&amp;Upgrades!$B$3:$B$13))*Upgrades!$D$3:$D$13))</f>
        <v/>
      </c>
      <c r="F614" s="66" t="str">
        <f>IFERROR(__xludf.DUMMYFUNCTION("IF(COUNTA(C614:C1673)=0,"""",IF(REGEXMATCH(INDEX(FILTER(C$4:C614,C$4:C614&lt;&gt;""""),ROWS(FILTER(C$4:C614,C$4:C614&lt;&gt;""""))),""^Sell_""),INDEX(FILTER(F$4:F613,C$4:C613&lt;&gt;""""),ROWS(FILTER(C$4:C613,C$4:C613&lt;&gt;""""))),$AC$5+E614))"),"")</f>
        <v/>
      </c>
      <c r="G614" s="10" t="str">
        <f>IFERROR(__xludf.DUMMYFUNCTION("IF(COUNTA(C614:C1673)=0,"""",IF(C614="""",0,IF(REGEXMATCH(C614,""^Sell_""),-ROUNDDOWN(ROUNDUP(INDEX(Upgrades!$C$3:$C$13,MATCH(SUBSTITUTE(C614,""Sell_"",""""),Upgrades!$B$3:$B$13,0))*1.15^(COUNTIF(C$4:C613,SUBSTITUTE(C614,""Sell_"",""""))-COUNTIF(C$4:C613,"&amp;"""Sell_""&amp;SUBSTITUTE(C614,""Sell_"",""""))))/2),ROUNDUP(INDEX(Upgrades!$C$3:$C$13,MATCH(C614,Upgrades!$B$3:$B$13,0))*1.15^(COUNTIF(C$4:C613,C614)-COUNTIF(C$4:C613,""Sell_""&amp;C614))))))"),"")</f>
        <v/>
      </c>
      <c r="H614" s="10" t="str">
        <f t="shared" si="3"/>
        <v/>
      </c>
      <c r="I614" s="68" t="str">
        <f t="shared" si="4"/>
        <v/>
      </c>
      <c r="J614" s="59" t="str">
        <f t="shared" si="5"/>
        <v/>
      </c>
      <c r="K614" s="69" t="str">
        <f t="shared" si="6"/>
        <v/>
      </c>
      <c r="L614" s="60" t="str">
        <f t="shared" si="7"/>
        <v/>
      </c>
      <c r="M614" s="61" t="str">
        <f>IFERROR(__xludf.DUMMYFUNCTION("IFS(AND(COUNTA(C614:C1673)=0,COUNTA(Q614:Q1673)=0),"""",OR(AND(K614&gt;=1000000000,OR(Y614&gt;=1000000000,COUNTA(Q614:Q1673)=0)),OR(Y614&gt;=1000000000,AND(COUNTA(C614:C1673)=0,P$3=TRUE))),
ROUNDDOWN((AB$1-AC$1)*MAX(INDEX(T$4:T1673,MATCH(LARGE(FILTER(Y$4:Y1673,Y$4"&amp;":Y1673&lt;1000000000),1),Y$4:Y1673)),INDEX(F$4:F1673,MATCH(LARGE(FILTER(K$4:K1673,K$4:K1673&lt;1000000000),1),K$4:K1673)))),AND(K614&lt;1000000000,COUNTA(C614:C1673)&gt;0,P$3=FALSE),
ROUNDDOWN(INDEX(Y$4:Y1673,MATCH(LARGE(FILTER(W$4:W1673,W$4:W1673&lt;=I614),1),W$4:W1673"&amp;"))+(I614-LARGE(FILTER(W$4:W1673,W$4:W1673&lt;=I614),1))*INDEX(T$4:T1673,MATCH(LARGE(FILTER(W$4:W1673,W$4:W1673&lt;=I614),1),W$4:W1673))-K614),1,
ROUNDDOWN(Y614-INDEX(K$4:K1673,MATCH(LARGE(FILTER(I$4:I1673,I$4:I1673&lt;=W614),1),I$4:I1673))-(W614-LARGE(FILTER(I$4:I"&amp;"1673,I$4:I1673&lt;=W614),1))*INDEX(F$4:F1673,MATCH(LARGE(FILTER(I$4:I1673,I$4:I1673&lt;=W614),1),I$4:I1673))))"),"")</f>
        <v/>
      </c>
      <c r="N614" s="60" t="str">
        <f t="shared" si="8"/>
        <v/>
      </c>
      <c r="O614" s="61" t="str">
        <f t="shared" si="9"/>
        <v/>
      </c>
      <c r="P614" s="56" t="str">
        <f t="shared" si="10"/>
        <v/>
      </c>
      <c r="Q614" s="105"/>
      <c r="R614" s="10"/>
      <c r="S614" s="59" t="str">
        <f t="array" ref="S614">IF(COUNTA(Q614:Q1673)=0,"",SUM((COUNTIF(Q$4:Q614,Upgrades!$B$3:$B$13)-COUNTIF(Q$4:Q614,"Sell_"&amp;Upgrades!$B$3:$B$13))*Upgrades!$D$3:$D$13))</f>
        <v/>
      </c>
      <c r="T614" s="66" t="str">
        <f>IFERROR(__xludf.DUMMYFUNCTION("IF(COUNTA(Q614:Q1673)=0,"""",IF(REGEXMATCH(INDEX(FILTER(Q$4:Q614,Q$4:Q614&lt;&gt;""""),ROWS(FILTER(Q$4:Q614,Q$4:Q614&lt;&gt;""""))),""^Sell_""),INDEX(FILTER(T$4:T613,Q$4:Q613&lt;&gt;""""),ROWS(FILTER(Q$4:Q613,Q$4:Q613&lt;&gt;""""))),$AD$5+S614))"),"")</f>
        <v/>
      </c>
      <c r="U614" s="10" t="str">
        <f>IFERROR(__xludf.DUMMYFUNCTION("IF(COUNTA(Q614:Q1673)=0,"""",IF(Q614="""",0,IF(REGEXMATCH(Q614,""^Sell_""),-ROUNDDOWN(ROUNDUP(INDEX(Upgrades!$C$3:$C$13,MATCH(SUBSTITUTE(Q614,""Sell_"",""""),Upgrades!$B$3:$B$13,0))*1.15^(COUNTIF(Q$4:Q613,SUBSTITUTE(Q614,""Sell_"",""""))-COUNTIF(Q$4:Q613,"&amp;"""Sell_""&amp;SUBSTITUTE(Q614,""Sell_"",""""))))/2),ROUNDUP(INDEX(Upgrades!$C$3:$C$13,MATCH(Q614,Upgrades!$B$3:$B$13,0))*1.15^(COUNTIF(Q$4:Q613,Q614)-COUNTIF(Q$4:Q613,""Sell_""&amp;Q614))))))"),"")</f>
        <v/>
      </c>
      <c r="V614" s="10" t="str">
        <f t="shared" si="11"/>
        <v/>
      </c>
      <c r="W614" s="68" t="str">
        <f t="shared" si="12"/>
        <v/>
      </c>
      <c r="X614" s="59" t="str">
        <f t="shared" si="13"/>
        <v/>
      </c>
      <c r="Y614" s="69" t="str">
        <f t="shared" si="14"/>
        <v/>
      </c>
      <c r="Z614" s="11"/>
    </row>
    <row r="615">
      <c r="A615" s="8"/>
      <c r="B615" s="56" t="str">
        <f t="shared" si="2"/>
        <v/>
      </c>
      <c r="C615" s="105"/>
      <c r="D615" s="10"/>
      <c r="E615" s="59" t="str">
        <f t="array" ref="E615">IF(COUNTA(C615:C1673)=0,"",SUM((COUNTIF(C$4:C615,Upgrades!$B$3:$B$13)-COUNTIF(C$4:C615,"Sell_"&amp;Upgrades!$B$3:$B$13))*Upgrades!$D$3:$D$13))</f>
        <v/>
      </c>
      <c r="F615" s="66" t="str">
        <f>IFERROR(__xludf.DUMMYFUNCTION("IF(COUNTA(C615:C1673)=0,"""",IF(REGEXMATCH(INDEX(FILTER(C$4:C615,C$4:C615&lt;&gt;""""),ROWS(FILTER(C$4:C615,C$4:C615&lt;&gt;""""))),""^Sell_""),INDEX(FILTER(F$4:F614,C$4:C614&lt;&gt;""""),ROWS(FILTER(C$4:C614,C$4:C614&lt;&gt;""""))),$AC$5+E615))"),"")</f>
        <v/>
      </c>
      <c r="G615" s="10" t="str">
        <f>IFERROR(__xludf.DUMMYFUNCTION("IF(COUNTA(C615:C1673)=0,"""",IF(C615="""",0,IF(REGEXMATCH(C615,""^Sell_""),-ROUNDDOWN(ROUNDUP(INDEX(Upgrades!$C$3:$C$13,MATCH(SUBSTITUTE(C615,""Sell_"",""""),Upgrades!$B$3:$B$13,0))*1.15^(COUNTIF(C$4:C614,SUBSTITUTE(C615,""Sell_"",""""))-COUNTIF(C$4:C614,"&amp;"""Sell_""&amp;SUBSTITUTE(C615,""Sell_"",""""))))/2),ROUNDUP(INDEX(Upgrades!$C$3:$C$13,MATCH(C615,Upgrades!$B$3:$B$13,0))*1.15^(COUNTIF(C$4:C614,C615)-COUNTIF(C$4:C614,""Sell_""&amp;C615))))))"),"")</f>
        <v/>
      </c>
      <c r="H615" s="10" t="str">
        <f t="shared" si="3"/>
        <v/>
      </c>
      <c r="I615" s="68" t="str">
        <f t="shared" si="4"/>
        <v/>
      </c>
      <c r="J615" s="59" t="str">
        <f t="shared" si="5"/>
        <v/>
      </c>
      <c r="K615" s="69" t="str">
        <f t="shared" si="6"/>
        <v/>
      </c>
      <c r="L615" s="60" t="str">
        <f t="shared" si="7"/>
        <v/>
      </c>
      <c r="M615" s="61" t="str">
        <f>IFERROR(__xludf.DUMMYFUNCTION("IFS(AND(COUNTA(C615:C1673)=0,COUNTA(Q615:Q1673)=0),"""",OR(AND(K615&gt;=1000000000,OR(Y615&gt;=1000000000,COUNTA(Q615:Q1673)=0)),OR(Y615&gt;=1000000000,AND(COUNTA(C615:C1673)=0,P$3=TRUE))),
ROUNDDOWN((AB$1-AC$1)*MAX(INDEX(T$4:T1673,MATCH(LARGE(FILTER(Y$4:Y1673,Y$4"&amp;":Y1673&lt;1000000000),1),Y$4:Y1673)),INDEX(F$4:F1673,MATCH(LARGE(FILTER(K$4:K1673,K$4:K1673&lt;1000000000),1),K$4:K1673)))),AND(K615&lt;1000000000,COUNTA(C615:C1673)&gt;0,P$3=FALSE),
ROUNDDOWN(INDEX(Y$4:Y1673,MATCH(LARGE(FILTER(W$4:W1673,W$4:W1673&lt;=I615),1),W$4:W1673"&amp;"))+(I615-LARGE(FILTER(W$4:W1673,W$4:W1673&lt;=I615),1))*INDEX(T$4:T1673,MATCH(LARGE(FILTER(W$4:W1673,W$4:W1673&lt;=I615),1),W$4:W1673))-K615),1,
ROUNDDOWN(Y615-INDEX(K$4:K1673,MATCH(LARGE(FILTER(I$4:I1673,I$4:I1673&lt;=W615),1),I$4:I1673))-(W615-LARGE(FILTER(I$4:I"&amp;"1673,I$4:I1673&lt;=W615),1))*INDEX(F$4:F1673,MATCH(LARGE(FILTER(I$4:I1673,I$4:I1673&lt;=W615),1),I$4:I1673))))"),"")</f>
        <v/>
      </c>
      <c r="N615" s="60" t="str">
        <f t="shared" si="8"/>
        <v/>
      </c>
      <c r="O615" s="61" t="str">
        <f t="shared" si="9"/>
        <v/>
      </c>
      <c r="P615" s="56" t="str">
        <f t="shared" si="10"/>
        <v/>
      </c>
      <c r="Q615" s="105"/>
      <c r="R615" s="10"/>
      <c r="S615" s="59" t="str">
        <f t="array" ref="S615">IF(COUNTA(Q615:Q1673)=0,"",SUM((COUNTIF(Q$4:Q615,Upgrades!$B$3:$B$13)-COUNTIF(Q$4:Q615,"Sell_"&amp;Upgrades!$B$3:$B$13))*Upgrades!$D$3:$D$13))</f>
        <v/>
      </c>
      <c r="T615" s="66" t="str">
        <f>IFERROR(__xludf.DUMMYFUNCTION("IF(COUNTA(Q615:Q1673)=0,"""",IF(REGEXMATCH(INDEX(FILTER(Q$4:Q615,Q$4:Q615&lt;&gt;""""),ROWS(FILTER(Q$4:Q615,Q$4:Q615&lt;&gt;""""))),""^Sell_""),INDEX(FILTER(T$4:T614,Q$4:Q614&lt;&gt;""""),ROWS(FILTER(Q$4:Q614,Q$4:Q614&lt;&gt;""""))),$AD$5+S615))"),"")</f>
        <v/>
      </c>
      <c r="U615" s="10" t="str">
        <f>IFERROR(__xludf.DUMMYFUNCTION("IF(COUNTA(Q615:Q1673)=0,"""",IF(Q615="""",0,IF(REGEXMATCH(Q615,""^Sell_""),-ROUNDDOWN(ROUNDUP(INDEX(Upgrades!$C$3:$C$13,MATCH(SUBSTITUTE(Q615,""Sell_"",""""),Upgrades!$B$3:$B$13,0))*1.15^(COUNTIF(Q$4:Q614,SUBSTITUTE(Q615,""Sell_"",""""))-COUNTIF(Q$4:Q614,"&amp;"""Sell_""&amp;SUBSTITUTE(Q615,""Sell_"",""""))))/2),ROUNDUP(INDEX(Upgrades!$C$3:$C$13,MATCH(Q615,Upgrades!$B$3:$B$13,0))*1.15^(COUNTIF(Q$4:Q614,Q615)-COUNTIF(Q$4:Q614,""Sell_""&amp;Q615))))))"),"")</f>
        <v/>
      </c>
      <c r="V615" s="10" t="str">
        <f t="shared" si="11"/>
        <v/>
      </c>
      <c r="W615" s="68" t="str">
        <f t="shared" si="12"/>
        <v/>
      </c>
      <c r="X615" s="59" t="str">
        <f t="shared" si="13"/>
        <v/>
      </c>
      <c r="Y615" s="69" t="str">
        <f t="shared" si="14"/>
        <v/>
      </c>
      <c r="Z615" s="11"/>
    </row>
    <row r="616">
      <c r="A616" s="8"/>
      <c r="B616" s="56" t="str">
        <f t="shared" si="2"/>
        <v/>
      </c>
      <c r="C616" s="105"/>
      <c r="D616" s="10"/>
      <c r="E616" s="59" t="str">
        <f t="array" ref="E616">IF(COUNTA(C616:C1673)=0,"",SUM((COUNTIF(C$4:C616,Upgrades!$B$3:$B$13)-COUNTIF(C$4:C616,"Sell_"&amp;Upgrades!$B$3:$B$13))*Upgrades!$D$3:$D$13))</f>
        <v/>
      </c>
      <c r="F616" s="66" t="str">
        <f>IFERROR(__xludf.DUMMYFUNCTION("IF(COUNTA(C616:C1673)=0,"""",IF(REGEXMATCH(INDEX(FILTER(C$4:C616,C$4:C616&lt;&gt;""""),ROWS(FILTER(C$4:C616,C$4:C616&lt;&gt;""""))),""^Sell_""),INDEX(FILTER(F$4:F615,C$4:C615&lt;&gt;""""),ROWS(FILTER(C$4:C615,C$4:C615&lt;&gt;""""))),$AC$5+E616))"),"")</f>
        <v/>
      </c>
      <c r="G616" s="10" t="str">
        <f>IFERROR(__xludf.DUMMYFUNCTION("IF(COUNTA(C616:C1673)=0,"""",IF(C616="""",0,IF(REGEXMATCH(C616,""^Sell_""),-ROUNDDOWN(ROUNDUP(INDEX(Upgrades!$C$3:$C$13,MATCH(SUBSTITUTE(C616,""Sell_"",""""),Upgrades!$B$3:$B$13,0))*1.15^(COUNTIF(C$4:C615,SUBSTITUTE(C616,""Sell_"",""""))-COUNTIF(C$4:C615,"&amp;"""Sell_""&amp;SUBSTITUTE(C616,""Sell_"",""""))))/2),ROUNDUP(INDEX(Upgrades!$C$3:$C$13,MATCH(C616,Upgrades!$B$3:$B$13,0))*1.15^(COUNTIF(C$4:C615,C616)-COUNTIF(C$4:C615,""Sell_""&amp;C616))))))"),"")</f>
        <v/>
      </c>
      <c r="H616" s="10" t="str">
        <f t="shared" si="3"/>
        <v/>
      </c>
      <c r="I616" s="68" t="str">
        <f t="shared" si="4"/>
        <v/>
      </c>
      <c r="J616" s="59" t="str">
        <f t="shared" si="5"/>
        <v/>
      </c>
      <c r="K616" s="69" t="str">
        <f t="shared" si="6"/>
        <v/>
      </c>
      <c r="L616" s="60" t="str">
        <f t="shared" si="7"/>
        <v/>
      </c>
      <c r="M616" s="61" t="str">
        <f>IFERROR(__xludf.DUMMYFUNCTION("IFS(AND(COUNTA(C616:C1673)=0,COUNTA(Q616:Q1673)=0),"""",OR(AND(K616&gt;=1000000000,OR(Y616&gt;=1000000000,COUNTA(Q616:Q1673)=0)),OR(Y616&gt;=1000000000,AND(COUNTA(C616:C1673)=0,P$3=TRUE))),
ROUNDDOWN((AB$1-AC$1)*MAX(INDEX(T$4:T1673,MATCH(LARGE(FILTER(Y$4:Y1673,Y$4"&amp;":Y1673&lt;1000000000),1),Y$4:Y1673)),INDEX(F$4:F1673,MATCH(LARGE(FILTER(K$4:K1673,K$4:K1673&lt;1000000000),1),K$4:K1673)))),AND(K616&lt;1000000000,COUNTA(C616:C1673)&gt;0,P$3=FALSE),
ROUNDDOWN(INDEX(Y$4:Y1673,MATCH(LARGE(FILTER(W$4:W1673,W$4:W1673&lt;=I616),1),W$4:W1673"&amp;"))+(I616-LARGE(FILTER(W$4:W1673,W$4:W1673&lt;=I616),1))*INDEX(T$4:T1673,MATCH(LARGE(FILTER(W$4:W1673,W$4:W1673&lt;=I616),1),W$4:W1673))-K616),1,
ROUNDDOWN(Y616-INDEX(K$4:K1673,MATCH(LARGE(FILTER(I$4:I1673,I$4:I1673&lt;=W616),1),I$4:I1673))-(W616-LARGE(FILTER(I$4:I"&amp;"1673,I$4:I1673&lt;=W616),1))*INDEX(F$4:F1673,MATCH(LARGE(FILTER(I$4:I1673,I$4:I1673&lt;=W616),1),I$4:I1673))))"),"")</f>
        <v/>
      </c>
      <c r="N616" s="60" t="str">
        <f t="shared" si="8"/>
        <v/>
      </c>
      <c r="O616" s="61" t="str">
        <f t="shared" si="9"/>
        <v/>
      </c>
      <c r="P616" s="56" t="str">
        <f t="shared" si="10"/>
        <v/>
      </c>
      <c r="Q616" s="105"/>
      <c r="R616" s="10"/>
      <c r="S616" s="59" t="str">
        <f t="array" ref="S616">IF(COUNTA(Q616:Q1673)=0,"",SUM((COUNTIF(Q$4:Q616,Upgrades!$B$3:$B$13)-COUNTIF(Q$4:Q616,"Sell_"&amp;Upgrades!$B$3:$B$13))*Upgrades!$D$3:$D$13))</f>
        <v/>
      </c>
      <c r="T616" s="66" t="str">
        <f>IFERROR(__xludf.DUMMYFUNCTION("IF(COUNTA(Q616:Q1673)=0,"""",IF(REGEXMATCH(INDEX(FILTER(Q$4:Q616,Q$4:Q616&lt;&gt;""""),ROWS(FILTER(Q$4:Q616,Q$4:Q616&lt;&gt;""""))),""^Sell_""),INDEX(FILTER(T$4:T615,Q$4:Q615&lt;&gt;""""),ROWS(FILTER(Q$4:Q615,Q$4:Q615&lt;&gt;""""))),$AD$5+S616))"),"")</f>
        <v/>
      </c>
      <c r="U616" s="10" t="str">
        <f>IFERROR(__xludf.DUMMYFUNCTION("IF(COUNTA(Q616:Q1673)=0,"""",IF(Q616="""",0,IF(REGEXMATCH(Q616,""^Sell_""),-ROUNDDOWN(ROUNDUP(INDEX(Upgrades!$C$3:$C$13,MATCH(SUBSTITUTE(Q616,""Sell_"",""""),Upgrades!$B$3:$B$13,0))*1.15^(COUNTIF(Q$4:Q615,SUBSTITUTE(Q616,""Sell_"",""""))-COUNTIF(Q$4:Q615,"&amp;"""Sell_""&amp;SUBSTITUTE(Q616,""Sell_"",""""))))/2),ROUNDUP(INDEX(Upgrades!$C$3:$C$13,MATCH(Q616,Upgrades!$B$3:$B$13,0))*1.15^(COUNTIF(Q$4:Q615,Q616)-COUNTIF(Q$4:Q615,""Sell_""&amp;Q616))))))"),"")</f>
        <v/>
      </c>
      <c r="V616" s="10" t="str">
        <f t="shared" si="11"/>
        <v/>
      </c>
      <c r="W616" s="68" t="str">
        <f t="shared" si="12"/>
        <v/>
      </c>
      <c r="X616" s="59" t="str">
        <f t="shared" si="13"/>
        <v/>
      </c>
      <c r="Y616" s="69" t="str">
        <f t="shared" si="14"/>
        <v/>
      </c>
      <c r="Z616" s="11"/>
    </row>
    <row r="617">
      <c r="A617" s="8"/>
      <c r="B617" s="56" t="str">
        <f t="shared" si="2"/>
        <v/>
      </c>
      <c r="C617" s="105"/>
      <c r="D617" s="10"/>
      <c r="E617" s="59" t="str">
        <f t="array" ref="E617">IF(COUNTA(C617:C1673)=0,"",SUM((COUNTIF(C$4:C617,Upgrades!$B$3:$B$13)-COUNTIF(C$4:C617,"Sell_"&amp;Upgrades!$B$3:$B$13))*Upgrades!$D$3:$D$13))</f>
        <v/>
      </c>
      <c r="F617" s="66" t="str">
        <f>IFERROR(__xludf.DUMMYFUNCTION("IF(COUNTA(C617:C1673)=0,"""",IF(REGEXMATCH(INDEX(FILTER(C$4:C617,C$4:C617&lt;&gt;""""),ROWS(FILTER(C$4:C617,C$4:C617&lt;&gt;""""))),""^Sell_""),INDEX(FILTER(F$4:F616,C$4:C616&lt;&gt;""""),ROWS(FILTER(C$4:C616,C$4:C616&lt;&gt;""""))),$AC$5+E617))"),"")</f>
        <v/>
      </c>
      <c r="G617" s="10" t="str">
        <f>IFERROR(__xludf.DUMMYFUNCTION("IF(COUNTA(C617:C1673)=0,"""",IF(C617="""",0,IF(REGEXMATCH(C617,""^Sell_""),-ROUNDDOWN(ROUNDUP(INDEX(Upgrades!$C$3:$C$13,MATCH(SUBSTITUTE(C617,""Sell_"",""""),Upgrades!$B$3:$B$13,0))*1.15^(COUNTIF(C$4:C616,SUBSTITUTE(C617,""Sell_"",""""))-COUNTIF(C$4:C616,"&amp;"""Sell_""&amp;SUBSTITUTE(C617,""Sell_"",""""))))/2),ROUNDUP(INDEX(Upgrades!$C$3:$C$13,MATCH(C617,Upgrades!$B$3:$B$13,0))*1.15^(COUNTIF(C$4:C616,C617)-COUNTIF(C$4:C616,""Sell_""&amp;C617))))))"),"")</f>
        <v/>
      </c>
      <c r="H617" s="10" t="str">
        <f t="shared" si="3"/>
        <v/>
      </c>
      <c r="I617" s="68" t="str">
        <f t="shared" si="4"/>
        <v/>
      </c>
      <c r="J617" s="59" t="str">
        <f t="shared" si="5"/>
        <v/>
      </c>
      <c r="K617" s="69" t="str">
        <f t="shared" si="6"/>
        <v/>
      </c>
      <c r="L617" s="60" t="str">
        <f t="shared" si="7"/>
        <v/>
      </c>
      <c r="M617" s="61" t="str">
        <f>IFERROR(__xludf.DUMMYFUNCTION("IFS(AND(COUNTA(C617:C1673)=0,COUNTA(Q617:Q1673)=0),"""",OR(AND(K617&gt;=1000000000,OR(Y617&gt;=1000000000,COUNTA(Q617:Q1673)=0)),OR(Y617&gt;=1000000000,AND(COUNTA(C617:C1673)=0,P$3=TRUE))),
ROUNDDOWN((AB$1-AC$1)*MAX(INDEX(T$4:T1673,MATCH(LARGE(FILTER(Y$4:Y1673,Y$4"&amp;":Y1673&lt;1000000000),1),Y$4:Y1673)),INDEX(F$4:F1673,MATCH(LARGE(FILTER(K$4:K1673,K$4:K1673&lt;1000000000),1),K$4:K1673)))),AND(K617&lt;1000000000,COUNTA(C617:C1673)&gt;0,P$3=FALSE),
ROUNDDOWN(INDEX(Y$4:Y1673,MATCH(LARGE(FILTER(W$4:W1673,W$4:W1673&lt;=I617),1),W$4:W1673"&amp;"))+(I617-LARGE(FILTER(W$4:W1673,W$4:W1673&lt;=I617),1))*INDEX(T$4:T1673,MATCH(LARGE(FILTER(W$4:W1673,W$4:W1673&lt;=I617),1),W$4:W1673))-K617),1,
ROUNDDOWN(Y617-INDEX(K$4:K1673,MATCH(LARGE(FILTER(I$4:I1673,I$4:I1673&lt;=W617),1),I$4:I1673))-(W617-LARGE(FILTER(I$4:I"&amp;"1673,I$4:I1673&lt;=W617),1))*INDEX(F$4:F1673,MATCH(LARGE(FILTER(I$4:I1673,I$4:I1673&lt;=W617),1),I$4:I1673))))"),"")</f>
        <v/>
      </c>
      <c r="N617" s="60" t="str">
        <f t="shared" si="8"/>
        <v/>
      </c>
      <c r="O617" s="61" t="str">
        <f t="shared" si="9"/>
        <v/>
      </c>
      <c r="P617" s="56" t="str">
        <f t="shared" si="10"/>
        <v/>
      </c>
      <c r="Q617" s="105"/>
      <c r="R617" s="10"/>
      <c r="S617" s="59" t="str">
        <f t="array" ref="S617">IF(COUNTA(Q617:Q1673)=0,"",SUM((COUNTIF(Q$4:Q617,Upgrades!$B$3:$B$13)-COUNTIF(Q$4:Q617,"Sell_"&amp;Upgrades!$B$3:$B$13))*Upgrades!$D$3:$D$13))</f>
        <v/>
      </c>
      <c r="T617" s="66" t="str">
        <f>IFERROR(__xludf.DUMMYFUNCTION("IF(COUNTA(Q617:Q1673)=0,"""",IF(REGEXMATCH(INDEX(FILTER(Q$4:Q617,Q$4:Q617&lt;&gt;""""),ROWS(FILTER(Q$4:Q617,Q$4:Q617&lt;&gt;""""))),""^Sell_""),INDEX(FILTER(T$4:T616,Q$4:Q616&lt;&gt;""""),ROWS(FILTER(Q$4:Q616,Q$4:Q616&lt;&gt;""""))),$AD$5+S617))"),"")</f>
        <v/>
      </c>
      <c r="U617" s="10" t="str">
        <f>IFERROR(__xludf.DUMMYFUNCTION("IF(COUNTA(Q617:Q1673)=0,"""",IF(Q617="""",0,IF(REGEXMATCH(Q617,""^Sell_""),-ROUNDDOWN(ROUNDUP(INDEX(Upgrades!$C$3:$C$13,MATCH(SUBSTITUTE(Q617,""Sell_"",""""),Upgrades!$B$3:$B$13,0))*1.15^(COUNTIF(Q$4:Q616,SUBSTITUTE(Q617,""Sell_"",""""))-COUNTIF(Q$4:Q616,"&amp;"""Sell_""&amp;SUBSTITUTE(Q617,""Sell_"",""""))))/2),ROUNDUP(INDEX(Upgrades!$C$3:$C$13,MATCH(Q617,Upgrades!$B$3:$B$13,0))*1.15^(COUNTIF(Q$4:Q616,Q617)-COUNTIF(Q$4:Q616,""Sell_""&amp;Q617))))))"),"")</f>
        <v/>
      </c>
      <c r="V617" s="10" t="str">
        <f t="shared" si="11"/>
        <v/>
      </c>
      <c r="W617" s="68" t="str">
        <f t="shared" si="12"/>
        <v/>
      </c>
      <c r="X617" s="59" t="str">
        <f t="shared" si="13"/>
        <v/>
      </c>
      <c r="Y617" s="69" t="str">
        <f t="shared" si="14"/>
        <v/>
      </c>
      <c r="Z617" s="11"/>
    </row>
    <row r="618">
      <c r="A618" s="8"/>
      <c r="B618" s="56" t="str">
        <f t="shared" si="2"/>
        <v/>
      </c>
      <c r="C618" s="105"/>
      <c r="D618" s="10"/>
      <c r="E618" s="59" t="str">
        <f t="array" ref="E618">IF(COUNTA(C618:C1673)=0,"",SUM((COUNTIF(C$4:C618,Upgrades!$B$3:$B$13)-COUNTIF(C$4:C618,"Sell_"&amp;Upgrades!$B$3:$B$13))*Upgrades!$D$3:$D$13))</f>
        <v/>
      </c>
      <c r="F618" s="66" t="str">
        <f>IFERROR(__xludf.DUMMYFUNCTION("IF(COUNTA(C618:C1673)=0,"""",IF(REGEXMATCH(INDEX(FILTER(C$4:C618,C$4:C618&lt;&gt;""""),ROWS(FILTER(C$4:C618,C$4:C618&lt;&gt;""""))),""^Sell_""),INDEX(FILTER(F$4:F617,C$4:C617&lt;&gt;""""),ROWS(FILTER(C$4:C617,C$4:C617&lt;&gt;""""))),$AC$5+E618))"),"")</f>
        <v/>
      </c>
      <c r="G618" s="10" t="str">
        <f>IFERROR(__xludf.DUMMYFUNCTION("IF(COUNTA(C618:C1673)=0,"""",IF(C618="""",0,IF(REGEXMATCH(C618,""^Sell_""),-ROUNDDOWN(ROUNDUP(INDEX(Upgrades!$C$3:$C$13,MATCH(SUBSTITUTE(C618,""Sell_"",""""),Upgrades!$B$3:$B$13,0))*1.15^(COUNTIF(C$4:C617,SUBSTITUTE(C618,""Sell_"",""""))-COUNTIF(C$4:C617,"&amp;"""Sell_""&amp;SUBSTITUTE(C618,""Sell_"",""""))))/2),ROUNDUP(INDEX(Upgrades!$C$3:$C$13,MATCH(C618,Upgrades!$B$3:$B$13,0))*1.15^(COUNTIF(C$4:C617,C618)-COUNTIF(C$4:C617,""Sell_""&amp;C618))))))"),"")</f>
        <v/>
      </c>
      <c r="H618" s="10" t="str">
        <f t="shared" si="3"/>
        <v/>
      </c>
      <c r="I618" s="68" t="str">
        <f t="shared" si="4"/>
        <v/>
      </c>
      <c r="J618" s="59" t="str">
        <f t="shared" si="5"/>
        <v/>
      </c>
      <c r="K618" s="69" t="str">
        <f t="shared" si="6"/>
        <v/>
      </c>
      <c r="L618" s="60" t="str">
        <f t="shared" si="7"/>
        <v/>
      </c>
      <c r="M618" s="61" t="str">
        <f>IFERROR(__xludf.DUMMYFUNCTION("IFS(AND(COUNTA(C618:C1673)=0,COUNTA(Q618:Q1673)=0),"""",OR(AND(K618&gt;=1000000000,OR(Y618&gt;=1000000000,COUNTA(Q618:Q1673)=0)),OR(Y618&gt;=1000000000,AND(COUNTA(C618:C1673)=0,P$3=TRUE))),
ROUNDDOWN((AB$1-AC$1)*MAX(INDEX(T$4:T1673,MATCH(LARGE(FILTER(Y$4:Y1673,Y$4"&amp;":Y1673&lt;1000000000),1),Y$4:Y1673)),INDEX(F$4:F1673,MATCH(LARGE(FILTER(K$4:K1673,K$4:K1673&lt;1000000000),1),K$4:K1673)))),AND(K618&lt;1000000000,COUNTA(C618:C1673)&gt;0,P$3=FALSE),
ROUNDDOWN(INDEX(Y$4:Y1673,MATCH(LARGE(FILTER(W$4:W1673,W$4:W1673&lt;=I618),1),W$4:W1673"&amp;"))+(I618-LARGE(FILTER(W$4:W1673,W$4:W1673&lt;=I618),1))*INDEX(T$4:T1673,MATCH(LARGE(FILTER(W$4:W1673,W$4:W1673&lt;=I618),1),W$4:W1673))-K618),1,
ROUNDDOWN(Y618-INDEX(K$4:K1673,MATCH(LARGE(FILTER(I$4:I1673,I$4:I1673&lt;=W618),1),I$4:I1673))-(W618-LARGE(FILTER(I$4:I"&amp;"1673,I$4:I1673&lt;=W618),1))*INDEX(F$4:F1673,MATCH(LARGE(FILTER(I$4:I1673,I$4:I1673&lt;=W618),1),I$4:I1673))))"),"")</f>
        <v/>
      </c>
      <c r="N618" s="60" t="str">
        <f t="shared" si="8"/>
        <v/>
      </c>
      <c r="O618" s="61" t="str">
        <f t="shared" si="9"/>
        <v/>
      </c>
      <c r="P618" s="56" t="str">
        <f t="shared" si="10"/>
        <v/>
      </c>
      <c r="Q618" s="105"/>
      <c r="R618" s="10"/>
      <c r="S618" s="59" t="str">
        <f t="array" ref="S618">IF(COUNTA(Q618:Q1673)=0,"",SUM((COUNTIF(Q$4:Q618,Upgrades!$B$3:$B$13)-COUNTIF(Q$4:Q618,"Sell_"&amp;Upgrades!$B$3:$B$13))*Upgrades!$D$3:$D$13))</f>
        <v/>
      </c>
      <c r="T618" s="66" t="str">
        <f>IFERROR(__xludf.DUMMYFUNCTION("IF(COUNTA(Q618:Q1673)=0,"""",IF(REGEXMATCH(INDEX(FILTER(Q$4:Q618,Q$4:Q618&lt;&gt;""""),ROWS(FILTER(Q$4:Q618,Q$4:Q618&lt;&gt;""""))),""^Sell_""),INDEX(FILTER(T$4:T617,Q$4:Q617&lt;&gt;""""),ROWS(FILTER(Q$4:Q617,Q$4:Q617&lt;&gt;""""))),$AD$5+S618))"),"")</f>
        <v/>
      </c>
      <c r="U618" s="10" t="str">
        <f>IFERROR(__xludf.DUMMYFUNCTION("IF(COUNTA(Q618:Q1673)=0,"""",IF(Q618="""",0,IF(REGEXMATCH(Q618,""^Sell_""),-ROUNDDOWN(ROUNDUP(INDEX(Upgrades!$C$3:$C$13,MATCH(SUBSTITUTE(Q618,""Sell_"",""""),Upgrades!$B$3:$B$13,0))*1.15^(COUNTIF(Q$4:Q617,SUBSTITUTE(Q618,""Sell_"",""""))-COUNTIF(Q$4:Q617,"&amp;"""Sell_""&amp;SUBSTITUTE(Q618,""Sell_"",""""))))/2),ROUNDUP(INDEX(Upgrades!$C$3:$C$13,MATCH(Q618,Upgrades!$B$3:$B$13,0))*1.15^(COUNTIF(Q$4:Q617,Q618)-COUNTIF(Q$4:Q617,""Sell_""&amp;Q618))))))"),"")</f>
        <v/>
      </c>
      <c r="V618" s="10" t="str">
        <f t="shared" si="11"/>
        <v/>
      </c>
      <c r="W618" s="68" t="str">
        <f t="shared" si="12"/>
        <v/>
      </c>
      <c r="X618" s="59" t="str">
        <f t="shared" si="13"/>
        <v/>
      </c>
      <c r="Y618" s="69" t="str">
        <f t="shared" si="14"/>
        <v/>
      </c>
      <c r="Z618" s="11"/>
    </row>
    <row r="619">
      <c r="A619" s="8"/>
      <c r="B619" s="56" t="str">
        <f t="shared" si="2"/>
        <v/>
      </c>
      <c r="C619" s="105"/>
      <c r="D619" s="10"/>
      <c r="E619" s="59" t="str">
        <f t="array" ref="E619">IF(COUNTA(C619:C1673)=0,"",SUM((COUNTIF(C$4:C619,Upgrades!$B$3:$B$13)-COUNTIF(C$4:C619,"Sell_"&amp;Upgrades!$B$3:$B$13))*Upgrades!$D$3:$D$13))</f>
        <v/>
      </c>
      <c r="F619" s="66" t="str">
        <f>IFERROR(__xludf.DUMMYFUNCTION("IF(COUNTA(C619:C1673)=0,"""",IF(REGEXMATCH(INDEX(FILTER(C$4:C619,C$4:C619&lt;&gt;""""),ROWS(FILTER(C$4:C619,C$4:C619&lt;&gt;""""))),""^Sell_""),INDEX(FILTER(F$4:F618,C$4:C618&lt;&gt;""""),ROWS(FILTER(C$4:C618,C$4:C618&lt;&gt;""""))),$AC$5+E619))"),"")</f>
        <v/>
      </c>
      <c r="G619" s="10" t="str">
        <f>IFERROR(__xludf.DUMMYFUNCTION("IF(COUNTA(C619:C1673)=0,"""",IF(C619="""",0,IF(REGEXMATCH(C619,""^Sell_""),-ROUNDDOWN(ROUNDUP(INDEX(Upgrades!$C$3:$C$13,MATCH(SUBSTITUTE(C619,""Sell_"",""""),Upgrades!$B$3:$B$13,0))*1.15^(COUNTIF(C$4:C618,SUBSTITUTE(C619,""Sell_"",""""))-COUNTIF(C$4:C618,"&amp;"""Sell_""&amp;SUBSTITUTE(C619,""Sell_"",""""))))/2),ROUNDUP(INDEX(Upgrades!$C$3:$C$13,MATCH(C619,Upgrades!$B$3:$B$13,0))*1.15^(COUNTIF(C$4:C618,C619)-COUNTIF(C$4:C618,""Sell_""&amp;C619))))))"),"")</f>
        <v/>
      </c>
      <c r="H619" s="10" t="str">
        <f t="shared" si="3"/>
        <v/>
      </c>
      <c r="I619" s="68" t="str">
        <f t="shared" si="4"/>
        <v/>
      </c>
      <c r="J619" s="59" t="str">
        <f t="shared" si="5"/>
        <v/>
      </c>
      <c r="K619" s="69" t="str">
        <f t="shared" si="6"/>
        <v/>
      </c>
      <c r="L619" s="60" t="str">
        <f t="shared" si="7"/>
        <v/>
      </c>
      <c r="M619" s="61" t="str">
        <f>IFERROR(__xludf.DUMMYFUNCTION("IFS(AND(COUNTA(C619:C1673)=0,COUNTA(Q619:Q1673)=0),"""",OR(AND(K619&gt;=1000000000,OR(Y619&gt;=1000000000,COUNTA(Q619:Q1673)=0)),OR(Y619&gt;=1000000000,AND(COUNTA(C619:C1673)=0,P$3=TRUE))),
ROUNDDOWN((AB$1-AC$1)*MAX(INDEX(T$4:T1673,MATCH(LARGE(FILTER(Y$4:Y1673,Y$4"&amp;":Y1673&lt;1000000000),1),Y$4:Y1673)),INDEX(F$4:F1673,MATCH(LARGE(FILTER(K$4:K1673,K$4:K1673&lt;1000000000),1),K$4:K1673)))),AND(K619&lt;1000000000,COUNTA(C619:C1673)&gt;0,P$3=FALSE),
ROUNDDOWN(INDEX(Y$4:Y1673,MATCH(LARGE(FILTER(W$4:W1673,W$4:W1673&lt;=I619),1),W$4:W1673"&amp;"))+(I619-LARGE(FILTER(W$4:W1673,W$4:W1673&lt;=I619),1))*INDEX(T$4:T1673,MATCH(LARGE(FILTER(W$4:W1673,W$4:W1673&lt;=I619),1),W$4:W1673))-K619),1,
ROUNDDOWN(Y619-INDEX(K$4:K1673,MATCH(LARGE(FILTER(I$4:I1673,I$4:I1673&lt;=W619),1),I$4:I1673))-(W619-LARGE(FILTER(I$4:I"&amp;"1673,I$4:I1673&lt;=W619),1))*INDEX(F$4:F1673,MATCH(LARGE(FILTER(I$4:I1673,I$4:I1673&lt;=W619),1),I$4:I1673))))"),"")</f>
        <v/>
      </c>
      <c r="N619" s="60" t="str">
        <f t="shared" si="8"/>
        <v/>
      </c>
      <c r="O619" s="61" t="str">
        <f t="shared" si="9"/>
        <v/>
      </c>
      <c r="P619" s="56" t="str">
        <f t="shared" si="10"/>
        <v/>
      </c>
      <c r="Q619" s="105"/>
      <c r="R619" s="10"/>
      <c r="S619" s="59" t="str">
        <f t="array" ref="S619">IF(COUNTA(Q619:Q1673)=0,"",SUM((COUNTIF(Q$4:Q619,Upgrades!$B$3:$B$13)-COUNTIF(Q$4:Q619,"Sell_"&amp;Upgrades!$B$3:$B$13))*Upgrades!$D$3:$D$13))</f>
        <v/>
      </c>
      <c r="T619" s="66" t="str">
        <f>IFERROR(__xludf.DUMMYFUNCTION("IF(COUNTA(Q619:Q1673)=0,"""",IF(REGEXMATCH(INDEX(FILTER(Q$4:Q619,Q$4:Q619&lt;&gt;""""),ROWS(FILTER(Q$4:Q619,Q$4:Q619&lt;&gt;""""))),""^Sell_""),INDEX(FILTER(T$4:T618,Q$4:Q618&lt;&gt;""""),ROWS(FILTER(Q$4:Q618,Q$4:Q618&lt;&gt;""""))),$AD$5+S619))"),"")</f>
        <v/>
      </c>
      <c r="U619" s="10" t="str">
        <f>IFERROR(__xludf.DUMMYFUNCTION("IF(COUNTA(Q619:Q1673)=0,"""",IF(Q619="""",0,IF(REGEXMATCH(Q619,""^Sell_""),-ROUNDDOWN(ROUNDUP(INDEX(Upgrades!$C$3:$C$13,MATCH(SUBSTITUTE(Q619,""Sell_"",""""),Upgrades!$B$3:$B$13,0))*1.15^(COUNTIF(Q$4:Q618,SUBSTITUTE(Q619,""Sell_"",""""))-COUNTIF(Q$4:Q618,"&amp;"""Sell_""&amp;SUBSTITUTE(Q619,""Sell_"",""""))))/2),ROUNDUP(INDEX(Upgrades!$C$3:$C$13,MATCH(Q619,Upgrades!$B$3:$B$13,0))*1.15^(COUNTIF(Q$4:Q618,Q619)-COUNTIF(Q$4:Q618,""Sell_""&amp;Q619))))))"),"")</f>
        <v/>
      </c>
      <c r="V619" s="10" t="str">
        <f t="shared" si="11"/>
        <v/>
      </c>
      <c r="W619" s="68" t="str">
        <f t="shared" si="12"/>
        <v/>
      </c>
      <c r="X619" s="59" t="str">
        <f t="shared" si="13"/>
        <v/>
      </c>
      <c r="Y619" s="69" t="str">
        <f t="shared" si="14"/>
        <v/>
      </c>
      <c r="Z619" s="11"/>
    </row>
    <row r="620">
      <c r="A620" s="8"/>
      <c r="B620" s="56" t="str">
        <f t="shared" si="2"/>
        <v/>
      </c>
      <c r="C620" s="105"/>
      <c r="D620" s="10"/>
      <c r="E620" s="59" t="str">
        <f t="array" ref="E620">IF(COUNTA(C620:C1673)=0,"",SUM((COUNTIF(C$4:C620,Upgrades!$B$3:$B$13)-COUNTIF(C$4:C620,"Sell_"&amp;Upgrades!$B$3:$B$13))*Upgrades!$D$3:$D$13))</f>
        <v/>
      </c>
      <c r="F620" s="66" t="str">
        <f>IFERROR(__xludf.DUMMYFUNCTION("IF(COUNTA(C620:C1673)=0,"""",IF(REGEXMATCH(INDEX(FILTER(C$4:C620,C$4:C620&lt;&gt;""""),ROWS(FILTER(C$4:C620,C$4:C620&lt;&gt;""""))),""^Sell_""),INDEX(FILTER(F$4:F619,C$4:C619&lt;&gt;""""),ROWS(FILTER(C$4:C619,C$4:C619&lt;&gt;""""))),$AC$5+E620))"),"")</f>
        <v/>
      </c>
      <c r="G620" s="10" t="str">
        <f>IFERROR(__xludf.DUMMYFUNCTION("IF(COUNTA(C620:C1673)=0,"""",IF(C620="""",0,IF(REGEXMATCH(C620,""^Sell_""),-ROUNDDOWN(ROUNDUP(INDEX(Upgrades!$C$3:$C$13,MATCH(SUBSTITUTE(C620,""Sell_"",""""),Upgrades!$B$3:$B$13,0))*1.15^(COUNTIF(C$4:C619,SUBSTITUTE(C620,""Sell_"",""""))-COUNTIF(C$4:C619,"&amp;"""Sell_""&amp;SUBSTITUTE(C620,""Sell_"",""""))))/2),ROUNDUP(INDEX(Upgrades!$C$3:$C$13,MATCH(C620,Upgrades!$B$3:$B$13,0))*1.15^(COUNTIF(C$4:C619,C620)-COUNTIF(C$4:C619,""Sell_""&amp;C620))))))"),"")</f>
        <v/>
      </c>
      <c r="H620" s="10" t="str">
        <f t="shared" si="3"/>
        <v/>
      </c>
      <c r="I620" s="68" t="str">
        <f t="shared" si="4"/>
        <v/>
      </c>
      <c r="J620" s="59" t="str">
        <f t="shared" si="5"/>
        <v/>
      </c>
      <c r="K620" s="69" t="str">
        <f t="shared" si="6"/>
        <v/>
      </c>
      <c r="L620" s="60" t="str">
        <f t="shared" si="7"/>
        <v/>
      </c>
      <c r="M620" s="61" t="str">
        <f>IFERROR(__xludf.DUMMYFUNCTION("IFS(AND(COUNTA(C620:C1673)=0,COUNTA(Q620:Q1673)=0),"""",OR(AND(K620&gt;=1000000000,OR(Y620&gt;=1000000000,COUNTA(Q620:Q1673)=0)),OR(Y620&gt;=1000000000,AND(COUNTA(C620:C1673)=0,P$3=TRUE))),
ROUNDDOWN((AB$1-AC$1)*MAX(INDEX(T$4:T1673,MATCH(LARGE(FILTER(Y$4:Y1673,Y$4"&amp;":Y1673&lt;1000000000),1),Y$4:Y1673)),INDEX(F$4:F1673,MATCH(LARGE(FILTER(K$4:K1673,K$4:K1673&lt;1000000000),1),K$4:K1673)))),AND(K620&lt;1000000000,COUNTA(C620:C1673)&gt;0,P$3=FALSE),
ROUNDDOWN(INDEX(Y$4:Y1673,MATCH(LARGE(FILTER(W$4:W1673,W$4:W1673&lt;=I620),1),W$4:W1673"&amp;"))+(I620-LARGE(FILTER(W$4:W1673,W$4:W1673&lt;=I620),1))*INDEX(T$4:T1673,MATCH(LARGE(FILTER(W$4:W1673,W$4:W1673&lt;=I620),1),W$4:W1673))-K620),1,
ROUNDDOWN(Y620-INDEX(K$4:K1673,MATCH(LARGE(FILTER(I$4:I1673,I$4:I1673&lt;=W620),1),I$4:I1673))-(W620-LARGE(FILTER(I$4:I"&amp;"1673,I$4:I1673&lt;=W620),1))*INDEX(F$4:F1673,MATCH(LARGE(FILTER(I$4:I1673,I$4:I1673&lt;=W620),1),I$4:I1673))))"),"")</f>
        <v/>
      </c>
      <c r="N620" s="60" t="str">
        <f t="shared" si="8"/>
        <v/>
      </c>
      <c r="O620" s="61" t="str">
        <f t="shared" si="9"/>
        <v/>
      </c>
      <c r="P620" s="56" t="str">
        <f t="shared" si="10"/>
        <v/>
      </c>
      <c r="Q620" s="105"/>
      <c r="R620" s="10"/>
      <c r="S620" s="59" t="str">
        <f t="array" ref="S620">IF(COUNTA(Q620:Q1673)=0,"",SUM((COUNTIF(Q$4:Q620,Upgrades!$B$3:$B$13)-COUNTIF(Q$4:Q620,"Sell_"&amp;Upgrades!$B$3:$B$13))*Upgrades!$D$3:$D$13))</f>
        <v/>
      </c>
      <c r="T620" s="66" t="str">
        <f>IFERROR(__xludf.DUMMYFUNCTION("IF(COUNTA(Q620:Q1673)=0,"""",IF(REGEXMATCH(INDEX(FILTER(Q$4:Q620,Q$4:Q620&lt;&gt;""""),ROWS(FILTER(Q$4:Q620,Q$4:Q620&lt;&gt;""""))),""^Sell_""),INDEX(FILTER(T$4:T619,Q$4:Q619&lt;&gt;""""),ROWS(FILTER(Q$4:Q619,Q$4:Q619&lt;&gt;""""))),$AD$5+S620))"),"")</f>
        <v/>
      </c>
      <c r="U620" s="10" t="str">
        <f>IFERROR(__xludf.DUMMYFUNCTION("IF(COUNTA(Q620:Q1673)=0,"""",IF(Q620="""",0,IF(REGEXMATCH(Q620,""^Sell_""),-ROUNDDOWN(ROUNDUP(INDEX(Upgrades!$C$3:$C$13,MATCH(SUBSTITUTE(Q620,""Sell_"",""""),Upgrades!$B$3:$B$13,0))*1.15^(COUNTIF(Q$4:Q619,SUBSTITUTE(Q620,""Sell_"",""""))-COUNTIF(Q$4:Q619,"&amp;"""Sell_""&amp;SUBSTITUTE(Q620,""Sell_"",""""))))/2),ROUNDUP(INDEX(Upgrades!$C$3:$C$13,MATCH(Q620,Upgrades!$B$3:$B$13,0))*1.15^(COUNTIF(Q$4:Q619,Q620)-COUNTIF(Q$4:Q619,""Sell_""&amp;Q620))))))"),"")</f>
        <v/>
      </c>
      <c r="V620" s="10" t="str">
        <f t="shared" si="11"/>
        <v/>
      </c>
      <c r="W620" s="68" t="str">
        <f t="shared" si="12"/>
        <v/>
      </c>
      <c r="X620" s="59" t="str">
        <f t="shared" si="13"/>
        <v/>
      </c>
      <c r="Y620" s="69" t="str">
        <f t="shared" si="14"/>
        <v/>
      </c>
      <c r="Z620" s="11"/>
    </row>
    <row r="621">
      <c r="A621" s="8"/>
      <c r="B621" s="56" t="str">
        <f t="shared" si="2"/>
        <v/>
      </c>
      <c r="C621" s="105"/>
      <c r="D621" s="10"/>
      <c r="E621" s="59" t="str">
        <f t="array" ref="E621">IF(COUNTA(C621:C1673)=0,"",SUM((COUNTIF(C$4:C621,Upgrades!$B$3:$B$13)-COUNTIF(C$4:C621,"Sell_"&amp;Upgrades!$B$3:$B$13))*Upgrades!$D$3:$D$13))</f>
        <v/>
      </c>
      <c r="F621" s="66" t="str">
        <f>IFERROR(__xludf.DUMMYFUNCTION("IF(COUNTA(C621:C1673)=0,"""",IF(REGEXMATCH(INDEX(FILTER(C$4:C621,C$4:C621&lt;&gt;""""),ROWS(FILTER(C$4:C621,C$4:C621&lt;&gt;""""))),""^Sell_""),INDEX(FILTER(F$4:F620,C$4:C620&lt;&gt;""""),ROWS(FILTER(C$4:C620,C$4:C620&lt;&gt;""""))),$AC$5+E621))"),"")</f>
        <v/>
      </c>
      <c r="G621" s="10" t="str">
        <f>IFERROR(__xludf.DUMMYFUNCTION("IF(COUNTA(C621:C1673)=0,"""",IF(C621="""",0,IF(REGEXMATCH(C621,""^Sell_""),-ROUNDDOWN(ROUNDUP(INDEX(Upgrades!$C$3:$C$13,MATCH(SUBSTITUTE(C621,""Sell_"",""""),Upgrades!$B$3:$B$13,0))*1.15^(COUNTIF(C$4:C620,SUBSTITUTE(C621,""Sell_"",""""))-COUNTIF(C$4:C620,"&amp;"""Sell_""&amp;SUBSTITUTE(C621,""Sell_"",""""))))/2),ROUNDUP(INDEX(Upgrades!$C$3:$C$13,MATCH(C621,Upgrades!$B$3:$B$13,0))*1.15^(COUNTIF(C$4:C620,C621)-COUNTIF(C$4:C620,""Sell_""&amp;C621))))))"),"")</f>
        <v/>
      </c>
      <c r="H621" s="10" t="str">
        <f t="shared" si="3"/>
        <v/>
      </c>
      <c r="I621" s="68" t="str">
        <f t="shared" si="4"/>
        <v/>
      </c>
      <c r="J621" s="59" t="str">
        <f t="shared" si="5"/>
        <v/>
      </c>
      <c r="K621" s="69" t="str">
        <f t="shared" si="6"/>
        <v/>
      </c>
      <c r="L621" s="60" t="str">
        <f t="shared" si="7"/>
        <v/>
      </c>
      <c r="M621" s="61" t="str">
        <f>IFERROR(__xludf.DUMMYFUNCTION("IFS(AND(COUNTA(C621:C1673)=0,COUNTA(Q621:Q1673)=0),"""",OR(AND(K621&gt;=1000000000,OR(Y621&gt;=1000000000,COUNTA(Q621:Q1673)=0)),OR(Y621&gt;=1000000000,AND(COUNTA(C621:C1673)=0,P$3=TRUE))),
ROUNDDOWN((AB$1-AC$1)*MAX(INDEX(T$4:T1673,MATCH(LARGE(FILTER(Y$4:Y1673,Y$4"&amp;":Y1673&lt;1000000000),1),Y$4:Y1673)),INDEX(F$4:F1673,MATCH(LARGE(FILTER(K$4:K1673,K$4:K1673&lt;1000000000),1),K$4:K1673)))),AND(K621&lt;1000000000,COUNTA(C621:C1673)&gt;0,P$3=FALSE),
ROUNDDOWN(INDEX(Y$4:Y1673,MATCH(LARGE(FILTER(W$4:W1673,W$4:W1673&lt;=I621),1),W$4:W1673"&amp;"))+(I621-LARGE(FILTER(W$4:W1673,W$4:W1673&lt;=I621),1))*INDEX(T$4:T1673,MATCH(LARGE(FILTER(W$4:W1673,W$4:W1673&lt;=I621),1),W$4:W1673))-K621),1,
ROUNDDOWN(Y621-INDEX(K$4:K1673,MATCH(LARGE(FILTER(I$4:I1673,I$4:I1673&lt;=W621),1),I$4:I1673))-(W621-LARGE(FILTER(I$4:I"&amp;"1673,I$4:I1673&lt;=W621),1))*INDEX(F$4:F1673,MATCH(LARGE(FILTER(I$4:I1673,I$4:I1673&lt;=W621),1),I$4:I1673))))"),"")</f>
        <v/>
      </c>
      <c r="N621" s="60" t="str">
        <f t="shared" si="8"/>
        <v/>
      </c>
      <c r="O621" s="61" t="str">
        <f t="shared" si="9"/>
        <v/>
      </c>
      <c r="P621" s="56" t="str">
        <f t="shared" si="10"/>
        <v/>
      </c>
      <c r="Q621" s="105"/>
      <c r="R621" s="10"/>
      <c r="S621" s="59" t="str">
        <f t="array" ref="S621">IF(COUNTA(Q621:Q1673)=0,"",SUM((COUNTIF(Q$4:Q621,Upgrades!$B$3:$B$13)-COUNTIF(Q$4:Q621,"Sell_"&amp;Upgrades!$B$3:$B$13))*Upgrades!$D$3:$D$13))</f>
        <v/>
      </c>
      <c r="T621" s="66" t="str">
        <f>IFERROR(__xludf.DUMMYFUNCTION("IF(COUNTA(Q621:Q1673)=0,"""",IF(REGEXMATCH(INDEX(FILTER(Q$4:Q621,Q$4:Q621&lt;&gt;""""),ROWS(FILTER(Q$4:Q621,Q$4:Q621&lt;&gt;""""))),""^Sell_""),INDEX(FILTER(T$4:T620,Q$4:Q620&lt;&gt;""""),ROWS(FILTER(Q$4:Q620,Q$4:Q620&lt;&gt;""""))),$AD$5+S621))"),"")</f>
        <v/>
      </c>
      <c r="U621" s="10" t="str">
        <f>IFERROR(__xludf.DUMMYFUNCTION("IF(COUNTA(Q621:Q1673)=0,"""",IF(Q621="""",0,IF(REGEXMATCH(Q621,""^Sell_""),-ROUNDDOWN(ROUNDUP(INDEX(Upgrades!$C$3:$C$13,MATCH(SUBSTITUTE(Q621,""Sell_"",""""),Upgrades!$B$3:$B$13,0))*1.15^(COUNTIF(Q$4:Q620,SUBSTITUTE(Q621,""Sell_"",""""))-COUNTIF(Q$4:Q620,"&amp;"""Sell_""&amp;SUBSTITUTE(Q621,""Sell_"",""""))))/2),ROUNDUP(INDEX(Upgrades!$C$3:$C$13,MATCH(Q621,Upgrades!$B$3:$B$13,0))*1.15^(COUNTIF(Q$4:Q620,Q621)-COUNTIF(Q$4:Q620,""Sell_""&amp;Q621))))))"),"")</f>
        <v/>
      </c>
      <c r="V621" s="10" t="str">
        <f t="shared" si="11"/>
        <v/>
      </c>
      <c r="W621" s="68" t="str">
        <f t="shared" si="12"/>
        <v/>
      </c>
      <c r="X621" s="59" t="str">
        <f t="shared" si="13"/>
        <v/>
      </c>
      <c r="Y621" s="69" t="str">
        <f t="shared" si="14"/>
        <v/>
      </c>
      <c r="Z621" s="11"/>
    </row>
    <row r="622">
      <c r="A622" s="8"/>
      <c r="B622" s="56" t="str">
        <f t="shared" si="2"/>
        <v/>
      </c>
      <c r="C622" s="105"/>
      <c r="D622" s="10"/>
      <c r="E622" s="59" t="str">
        <f t="array" ref="E622">IF(COUNTA(C622:C1673)=0,"",SUM((COUNTIF(C$4:C622,Upgrades!$B$3:$B$13)-COUNTIF(C$4:C622,"Sell_"&amp;Upgrades!$B$3:$B$13))*Upgrades!$D$3:$D$13))</f>
        <v/>
      </c>
      <c r="F622" s="66" t="str">
        <f>IFERROR(__xludf.DUMMYFUNCTION("IF(COUNTA(C622:C1673)=0,"""",IF(REGEXMATCH(INDEX(FILTER(C$4:C622,C$4:C622&lt;&gt;""""),ROWS(FILTER(C$4:C622,C$4:C622&lt;&gt;""""))),""^Sell_""),INDEX(FILTER(F$4:F621,C$4:C621&lt;&gt;""""),ROWS(FILTER(C$4:C621,C$4:C621&lt;&gt;""""))),$AC$5+E622))"),"")</f>
        <v/>
      </c>
      <c r="G622" s="10" t="str">
        <f>IFERROR(__xludf.DUMMYFUNCTION("IF(COUNTA(C622:C1673)=0,"""",IF(C622="""",0,IF(REGEXMATCH(C622,""^Sell_""),-ROUNDDOWN(ROUNDUP(INDEX(Upgrades!$C$3:$C$13,MATCH(SUBSTITUTE(C622,""Sell_"",""""),Upgrades!$B$3:$B$13,0))*1.15^(COUNTIF(C$4:C621,SUBSTITUTE(C622,""Sell_"",""""))-COUNTIF(C$4:C621,"&amp;"""Sell_""&amp;SUBSTITUTE(C622,""Sell_"",""""))))/2),ROUNDUP(INDEX(Upgrades!$C$3:$C$13,MATCH(C622,Upgrades!$B$3:$B$13,0))*1.15^(COUNTIF(C$4:C621,C622)-COUNTIF(C$4:C621,""Sell_""&amp;C622))))))"),"")</f>
        <v/>
      </c>
      <c r="H622" s="10" t="str">
        <f t="shared" si="3"/>
        <v/>
      </c>
      <c r="I622" s="68" t="str">
        <f t="shared" si="4"/>
        <v/>
      </c>
      <c r="J622" s="59" t="str">
        <f t="shared" si="5"/>
        <v/>
      </c>
      <c r="K622" s="69" t="str">
        <f t="shared" si="6"/>
        <v/>
      </c>
      <c r="L622" s="60" t="str">
        <f t="shared" si="7"/>
        <v/>
      </c>
      <c r="M622" s="61" t="str">
        <f>IFERROR(__xludf.DUMMYFUNCTION("IFS(AND(COUNTA(C622:C1673)=0,COUNTA(Q622:Q1673)=0),"""",OR(AND(K622&gt;=1000000000,OR(Y622&gt;=1000000000,COUNTA(Q622:Q1673)=0)),OR(Y622&gt;=1000000000,AND(COUNTA(C622:C1673)=0,P$3=TRUE))),
ROUNDDOWN((AB$1-AC$1)*MAX(INDEX(T$4:T1673,MATCH(LARGE(FILTER(Y$4:Y1673,Y$4"&amp;":Y1673&lt;1000000000),1),Y$4:Y1673)),INDEX(F$4:F1673,MATCH(LARGE(FILTER(K$4:K1673,K$4:K1673&lt;1000000000),1),K$4:K1673)))),AND(K622&lt;1000000000,COUNTA(C622:C1673)&gt;0,P$3=FALSE),
ROUNDDOWN(INDEX(Y$4:Y1673,MATCH(LARGE(FILTER(W$4:W1673,W$4:W1673&lt;=I622),1),W$4:W1673"&amp;"))+(I622-LARGE(FILTER(W$4:W1673,W$4:W1673&lt;=I622),1))*INDEX(T$4:T1673,MATCH(LARGE(FILTER(W$4:W1673,W$4:W1673&lt;=I622),1),W$4:W1673))-K622),1,
ROUNDDOWN(Y622-INDEX(K$4:K1673,MATCH(LARGE(FILTER(I$4:I1673,I$4:I1673&lt;=W622),1),I$4:I1673))-(W622-LARGE(FILTER(I$4:I"&amp;"1673,I$4:I1673&lt;=W622),1))*INDEX(F$4:F1673,MATCH(LARGE(FILTER(I$4:I1673,I$4:I1673&lt;=W622),1),I$4:I1673))))"),"")</f>
        <v/>
      </c>
      <c r="N622" s="60" t="str">
        <f t="shared" si="8"/>
        <v/>
      </c>
      <c r="O622" s="61" t="str">
        <f t="shared" si="9"/>
        <v/>
      </c>
      <c r="P622" s="56" t="str">
        <f t="shared" si="10"/>
        <v/>
      </c>
      <c r="Q622" s="105"/>
      <c r="R622" s="10"/>
      <c r="S622" s="59" t="str">
        <f t="array" ref="S622">IF(COUNTA(Q622:Q1673)=0,"",SUM((COUNTIF(Q$4:Q622,Upgrades!$B$3:$B$13)-COUNTIF(Q$4:Q622,"Sell_"&amp;Upgrades!$B$3:$B$13))*Upgrades!$D$3:$D$13))</f>
        <v/>
      </c>
      <c r="T622" s="66" t="str">
        <f>IFERROR(__xludf.DUMMYFUNCTION("IF(COUNTA(Q622:Q1673)=0,"""",IF(REGEXMATCH(INDEX(FILTER(Q$4:Q622,Q$4:Q622&lt;&gt;""""),ROWS(FILTER(Q$4:Q622,Q$4:Q622&lt;&gt;""""))),""^Sell_""),INDEX(FILTER(T$4:T621,Q$4:Q621&lt;&gt;""""),ROWS(FILTER(Q$4:Q621,Q$4:Q621&lt;&gt;""""))),$AD$5+S622))"),"")</f>
        <v/>
      </c>
      <c r="U622" s="10" t="str">
        <f>IFERROR(__xludf.DUMMYFUNCTION("IF(COUNTA(Q622:Q1673)=0,"""",IF(Q622="""",0,IF(REGEXMATCH(Q622,""^Sell_""),-ROUNDDOWN(ROUNDUP(INDEX(Upgrades!$C$3:$C$13,MATCH(SUBSTITUTE(Q622,""Sell_"",""""),Upgrades!$B$3:$B$13,0))*1.15^(COUNTIF(Q$4:Q621,SUBSTITUTE(Q622,""Sell_"",""""))-COUNTIF(Q$4:Q621,"&amp;"""Sell_""&amp;SUBSTITUTE(Q622,""Sell_"",""""))))/2),ROUNDUP(INDEX(Upgrades!$C$3:$C$13,MATCH(Q622,Upgrades!$B$3:$B$13,0))*1.15^(COUNTIF(Q$4:Q621,Q622)-COUNTIF(Q$4:Q621,""Sell_""&amp;Q622))))))"),"")</f>
        <v/>
      </c>
      <c r="V622" s="10" t="str">
        <f t="shared" si="11"/>
        <v/>
      </c>
      <c r="W622" s="68" t="str">
        <f t="shared" si="12"/>
        <v/>
      </c>
      <c r="X622" s="59" t="str">
        <f t="shared" si="13"/>
        <v/>
      </c>
      <c r="Y622" s="69" t="str">
        <f t="shared" si="14"/>
        <v/>
      </c>
      <c r="Z622" s="11"/>
    </row>
    <row r="623">
      <c r="A623" s="8"/>
      <c r="B623" s="56" t="str">
        <f t="shared" si="2"/>
        <v/>
      </c>
      <c r="C623" s="105"/>
      <c r="D623" s="10"/>
      <c r="E623" s="59" t="str">
        <f t="array" ref="E623">IF(COUNTA(C623:C1673)=0,"",SUM((COUNTIF(C$4:C623,Upgrades!$B$3:$B$13)-COUNTIF(C$4:C623,"Sell_"&amp;Upgrades!$B$3:$B$13))*Upgrades!$D$3:$D$13))</f>
        <v/>
      </c>
      <c r="F623" s="66" t="str">
        <f>IFERROR(__xludf.DUMMYFUNCTION("IF(COUNTA(C623:C1673)=0,"""",IF(REGEXMATCH(INDEX(FILTER(C$4:C623,C$4:C623&lt;&gt;""""),ROWS(FILTER(C$4:C623,C$4:C623&lt;&gt;""""))),""^Sell_""),INDEX(FILTER(F$4:F622,C$4:C622&lt;&gt;""""),ROWS(FILTER(C$4:C622,C$4:C622&lt;&gt;""""))),$AC$5+E623))"),"")</f>
        <v/>
      </c>
      <c r="G623" s="10" t="str">
        <f>IFERROR(__xludf.DUMMYFUNCTION("IF(COUNTA(C623:C1673)=0,"""",IF(C623="""",0,IF(REGEXMATCH(C623,""^Sell_""),-ROUNDDOWN(ROUNDUP(INDEX(Upgrades!$C$3:$C$13,MATCH(SUBSTITUTE(C623,""Sell_"",""""),Upgrades!$B$3:$B$13,0))*1.15^(COUNTIF(C$4:C622,SUBSTITUTE(C623,""Sell_"",""""))-COUNTIF(C$4:C622,"&amp;"""Sell_""&amp;SUBSTITUTE(C623,""Sell_"",""""))))/2),ROUNDUP(INDEX(Upgrades!$C$3:$C$13,MATCH(C623,Upgrades!$B$3:$B$13,0))*1.15^(COUNTIF(C$4:C622,C623)-COUNTIF(C$4:C622,""Sell_""&amp;C623))))))"),"")</f>
        <v/>
      </c>
      <c r="H623" s="10" t="str">
        <f t="shared" si="3"/>
        <v/>
      </c>
      <c r="I623" s="68" t="str">
        <f t="shared" si="4"/>
        <v/>
      </c>
      <c r="J623" s="59" t="str">
        <f t="shared" si="5"/>
        <v/>
      </c>
      <c r="K623" s="69" t="str">
        <f t="shared" si="6"/>
        <v/>
      </c>
      <c r="L623" s="60" t="str">
        <f t="shared" si="7"/>
        <v/>
      </c>
      <c r="M623" s="61" t="str">
        <f>IFERROR(__xludf.DUMMYFUNCTION("IFS(AND(COUNTA(C623:C1673)=0,COUNTA(Q623:Q1673)=0),"""",OR(AND(K623&gt;=1000000000,OR(Y623&gt;=1000000000,COUNTA(Q623:Q1673)=0)),OR(Y623&gt;=1000000000,AND(COUNTA(C623:C1673)=0,P$3=TRUE))),
ROUNDDOWN((AB$1-AC$1)*MAX(INDEX(T$4:T1673,MATCH(LARGE(FILTER(Y$4:Y1673,Y$4"&amp;":Y1673&lt;1000000000),1),Y$4:Y1673)),INDEX(F$4:F1673,MATCH(LARGE(FILTER(K$4:K1673,K$4:K1673&lt;1000000000),1),K$4:K1673)))),AND(K623&lt;1000000000,COUNTA(C623:C1673)&gt;0,P$3=FALSE),
ROUNDDOWN(INDEX(Y$4:Y1673,MATCH(LARGE(FILTER(W$4:W1673,W$4:W1673&lt;=I623),1),W$4:W1673"&amp;"))+(I623-LARGE(FILTER(W$4:W1673,W$4:W1673&lt;=I623),1))*INDEX(T$4:T1673,MATCH(LARGE(FILTER(W$4:W1673,W$4:W1673&lt;=I623),1),W$4:W1673))-K623),1,
ROUNDDOWN(Y623-INDEX(K$4:K1673,MATCH(LARGE(FILTER(I$4:I1673,I$4:I1673&lt;=W623),1),I$4:I1673))-(W623-LARGE(FILTER(I$4:I"&amp;"1673,I$4:I1673&lt;=W623),1))*INDEX(F$4:F1673,MATCH(LARGE(FILTER(I$4:I1673,I$4:I1673&lt;=W623),1),I$4:I1673))))"),"")</f>
        <v/>
      </c>
      <c r="N623" s="60" t="str">
        <f t="shared" si="8"/>
        <v/>
      </c>
      <c r="O623" s="61" t="str">
        <f t="shared" si="9"/>
        <v/>
      </c>
      <c r="P623" s="56" t="str">
        <f t="shared" si="10"/>
        <v/>
      </c>
      <c r="Q623" s="105"/>
      <c r="R623" s="10"/>
      <c r="S623" s="59" t="str">
        <f t="array" ref="S623">IF(COUNTA(Q623:Q1673)=0,"",SUM((COUNTIF(Q$4:Q623,Upgrades!$B$3:$B$13)-COUNTIF(Q$4:Q623,"Sell_"&amp;Upgrades!$B$3:$B$13))*Upgrades!$D$3:$D$13))</f>
        <v/>
      </c>
      <c r="T623" s="66" t="str">
        <f>IFERROR(__xludf.DUMMYFUNCTION("IF(COUNTA(Q623:Q1673)=0,"""",IF(REGEXMATCH(INDEX(FILTER(Q$4:Q623,Q$4:Q623&lt;&gt;""""),ROWS(FILTER(Q$4:Q623,Q$4:Q623&lt;&gt;""""))),""^Sell_""),INDEX(FILTER(T$4:T622,Q$4:Q622&lt;&gt;""""),ROWS(FILTER(Q$4:Q622,Q$4:Q622&lt;&gt;""""))),$AD$5+S623))"),"")</f>
        <v/>
      </c>
      <c r="U623" s="10" t="str">
        <f>IFERROR(__xludf.DUMMYFUNCTION("IF(COUNTA(Q623:Q1673)=0,"""",IF(Q623="""",0,IF(REGEXMATCH(Q623,""^Sell_""),-ROUNDDOWN(ROUNDUP(INDEX(Upgrades!$C$3:$C$13,MATCH(SUBSTITUTE(Q623,""Sell_"",""""),Upgrades!$B$3:$B$13,0))*1.15^(COUNTIF(Q$4:Q622,SUBSTITUTE(Q623,""Sell_"",""""))-COUNTIF(Q$4:Q622,"&amp;"""Sell_""&amp;SUBSTITUTE(Q623,""Sell_"",""""))))/2),ROUNDUP(INDEX(Upgrades!$C$3:$C$13,MATCH(Q623,Upgrades!$B$3:$B$13,0))*1.15^(COUNTIF(Q$4:Q622,Q623)-COUNTIF(Q$4:Q622,""Sell_""&amp;Q623))))))"),"")</f>
        <v/>
      </c>
      <c r="V623" s="10" t="str">
        <f t="shared" si="11"/>
        <v/>
      </c>
      <c r="W623" s="68" t="str">
        <f t="shared" si="12"/>
        <v/>
      </c>
      <c r="X623" s="59" t="str">
        <f t="shared" si="13"/>
        <v/>
      </c>
      <c r="Y623" s="69" t="str">
        <f t="shared" si="14"/>
        <v/>
      </c>
      <c r="Z623" s="11"/>
    </row>
    <row r="624">
      <c r="A624" s="8"/>
      <c r="B624" s="56" t="str">
        <f t="shared" si="2"/>
        <v/>
      </c>
      <c r="C624" s="105"/>
      <c r="D624" s="10"/>
      <c r="E624" s="59" t="str">
        <f t="array" ref="E624">IF(COUNTA(C624:C1673)=0,"",SUM((COUNTIF(C$4:C624,Upgrades!$B$3:$B$13)-COUNTIF(C$4:C624,"Sell_"&amp;Upgrades!$B$3:$B$13))*Upgrades!$D$3:$D$13))</f>
        <v/>
      </c>
      <c r="F624" s="66" t="str">
        <f>IFERROR(__xludf.DUMMYFUNCTION("IF(COUNTA(C624:C1673)=0,"""",IF(REGEXMATCH(INDEX(FILTER(C$4:C624,C$4:C624&lt;&gt;""""),ROWS(FILTER(C$4:C624,C$4:C624&lt;&gt;""""))),""^Sell_""),INDEX(FILTER(F$4:F623,C$4:C623&lt;&gt;""""),ROWS(FILTER(C$4:C623,C$4:C623&lt;&gt;""""))),$AC$5+E624))"),"")</f>
        <v/>
      </c>
      <c r="G624" s="10" t="str">
        <f>IFERROR(__xludf.DUMMYFUNCTION("IF(COUNTA(C624:C1673)=0,"""",IF(C624="""",0,IF(REGEXMATCH(C624,""^Sell_""),-ROUNDDOWN(ROUNDUP(INDEX(Upgrades!$C$3:$C$13,MATCH(SUBSTITUTE(C624,""Sell_"",""""),Upgrades!$B$3:$B$13,0))*1.15^(COUNTIF(C$4:C623,SUBSTITUTE(C624,""Sell_"",""""))-COUNTIF(C$4:C623,"&amp;"""Sell_""&amp;SUBSTITUTE(C624,""Sell_"",""""))))/2),ROUNDUP(INDEX(Upgrades!$C$3:$C$13,MATCH(C624,Upgrades!$B$3:$B$13,0))*1.15^(COUNTIF(C$4:C623,C624)-COUNTIF(C$4:C623,""Sell_""&amp;C624))))))"),"")</f>
        <v/>
      </c>
      <c r="H624" s="10" t="str">
        <f t="shared" si="3"/>
        <v/>
      </c>
      <c r="I624" s="68" t="str">
        <f t="shared" si="4"/>
        <v/>
      </c>
      <c r="J624" s="59" t="str">
        <f t="shared" si="5"/>
        <v/>
      </c>
      <c r="K624" s="69" t="str">
        <f t="shared" si="6"/>
        <v/>
      </c>
      <c r="L624" s="60" t="str">
        <f t="shared" si="7"/>
        <v/>
      </c>
      <c r="M624" s="61" t="str">
        <f>IFERROR(__xludf.DUMMYFUNCTION("IFS(AND(COUNTA(C624:C1673)=0,COUNTA(Q624:Q1673)=0),"""",OR(AND(K624&gt;=1000000000,OR(Y624&gt;=1000000000,COUNTA(Q624:Q1673)=0)),OR(Y624&gt;=1000000000,AND(COUNTA(C624:C1673)=0,P$3=TRUE))),
ROUNDDOWN((AB$1-AC$1)*MAX(INDEX(T$4:T1673,MATCH(LARGE(FILTER(Y$4:Y1673,Y$4"&amp;":Y1673&lt;1000000000),1),Y$4:Y1673)),INDEX(F$4:F1673,MATCH(LARGE(FILTER(K$4:K1673,K$4:K1673&lt;1000000000),1),K$4:K1673)))),AND(K624&lt;1000000000,COUNTA(C624:C1673)&gt;0,P$3=FALSE),
ROUNDDOWN(INDEX(Y$4:Y1673,MATCH(LARGE(FILTER(W$4:W1673,W$4:W1673&lt;=I624),1),W$4:W1673"&amp;"))+(I624-LARGE(FILTER(W$4:W1673,W$4:W1673&lt;=I624),1))*INDEX(T$4:T1673,MATCH(LARGE(FILTER(W$4:W1673,W$4:W1673&lt;=I624),1),W$4:W1673))-K624),1,
ROUNDDOWN(Y624-INDEX(K$4:K1673,MATCH(LARGE(FILTER(I$4:I1673,I$4:I1673&lt;=W624),1),I$4:I1673))-(W624-LARGE(FILTER(I$4:I"&amp;"1673,I$4:I1673&lt;=W624),1))*INDEX(F$4:F1673,MATCH(LARGE(FILTER(I$4:I1673,I$4:I1673&lt;=W624),1),I$4:I1673))))"),"")</f>
        <v/>
      </c>
      <c r="N624" s="60" t="str">
        <f t="shared" si="8"/>
        <v/>
      </c>
      <c r="O624" s="61" t="str">
        <f t="shared" si="9"/>
        <v/>
      </c>
      <c r="P624" s="56" t="str">
        <f t="shared" si="10"/>
        <v/>
      </c>
      <c r="Q624" s="105"/>
      <c r="R624" s="10"/>
      <c r="S624" s="59" t="str">
        <f t="array" ref="S624">IF(COUNTA(Q624:Q1673)=0,"",SUM((COUNTIF(Q$4:Q624,Upgrades!$B$3:$B$13)-COUNTIF(Q$4:Q624,"Sell_"&amp;Upgrades!$B$3:$B$13))*Upgrades!$D$3:$D$13))</f>
        <v/>
      </c>
      <c r="T624" s="66" t="str">
        <f>IFERROR(__xludf.DUMMYFUNCTION("IF(COUNTA(Q624:Q1673)=0,"""",IF(REGEXMATCH(INDEX(FILTER(Q$4:Q624,Q$4:Q624&lt;&gt;""""),ROWS(FILTER(Q$4:Q624,Q$4:Q624&lt;&gt;""""))),""^Sell_""),INDEX(FILTER(T$4:T623,Q$4:Q623&lt;&gt;""""),ROWS(FILTER(Q$4:Q623,Q$4:Q623&lt;&gt;""""))),$AD$5+S624))"),"")</f>
        <v/>
      </c>
      <c r="U624" s="10" t="str">
        <f>IFERROR(__xludf.DUMMYFUNCTION("IF(COUNTA(Q624:Q1673)=0,"""",IF(Q624="""",0,IF(REGEXMATCH(Q624,""^Sell_""),-ROUNDDOWN(ROUNDUP(INDEX(Upgrades!$C$3:$C$13,MATCH(SUBSTITUTE(Q624,""Sell_"",""""),Upgrades!$B$3:$B$13,0))*1.15^(COUNTIF(Q$4:Q623,SUBSTITUTE(Q624,""Sell_"",""""))-COUNTIF(Q$4:Q623,"&amp;"""Sell_""&amp;SUBSTITUTE(Q624,""Sell_"",""""))))/2),ROUNDUP(INDEX(Upgrades!$C$3:$C$13,MATCH(Q624,Upgrades!$B$3:$B$13,0))*1.15^(COUNTIF(Q$4:Q623,Q624)-COUNTIF(Q$4:Q623,""Sell_""&amp;Q624))))))"),"")</f>
        <v/>
      </c>
      <c r="V624" s="10" t="str">
        <f t="shared" si="11"/>
        <v/>
      </c>
      <c r="W624" s="68" t="str">
        <f t="shared" si="12"/>
        <v/>
      </c>
      <c r="X624" s="59" t="str">
        <f t="shared" si="13"/>
        <v/>
      </c>
      <c r="Y624" s="69" t="str">
        <f t="shared" si="14"/>
        <v/>
      </c>
      <c r="Z624" s="11"/>
    </row>
    <row r="625">
      <c r="A625" s="8"/>
      <c r="B625" s="56" t="str">
        <f t="shared" si="2"/>
        <v/>
      </c>
      <c r="C625" s="105"/>
      <c r="D625" s="10"/>
      <c r="E625" s="59" t="str">
        <f t="array" ref="E625">IF(COUNTA(C625:C1673)=0,"",SUM((COUNTIF(C$4:C625,Upgrades!$B$3:$B$13)-COUNTIF(C$4:C625,"Sell_"&amp;Upgrades!$B$3:$B$13))*Upgrades!$D$3:$D$13))</f>
        <v/>
      </c>
      <c r="F625" s="66" t="str">
        <f>IFERROR(__xludf.DUMMYFUNCTION("IF(COUNTA(C625:C1673)=0,"""",IF(REGEXMATCH(INDEX(FILTER(C$4:C625,C$4:C625&lt;&gt;""""),ROWS(FILTER(C$4:C625,C$4:C625&lt;&gt;""""))),""^Sell_""),INDEX(FILTER(F$4:F624,C$4:C624&lt;&gt;""""),ROWS(FILTER(C$4:C624,C$4:C624&lt;&gt;""""))),$AC$5+E625))"),"")</f>
        <v/>
      </c>
      <c r="G625" s="10" t="str">
        <f>IFERROR(__xludf.DUMMYFUNCTION("IF(COUNTA(C625:C1673)=0,"""",IF(C625="""",0,IF(REGEXMATCH(C625,""^Sell_""),-ROUNDDOWN(ROUNDUP(INDEX(Upgrades!$C$3:$C$13,MATCH(SUBSTITUTE(C625,""Sell_"",""""),Upgrades!$B$3:$B$13,0))*1.15^(COUNTIF(C$4:C624,SUBSTITUTE(C625,""Sell_"",""""))-COUNTIF(C$4:C624,"&amp;"""Sell_""&amp;SUBSTITUTE(C625,""Sell_"",""""))))/2),ROUNDUP(INDEX(Upgrades!$C$3:$C$13,MATCH(C625,Upgrades!$B$3:$B$13,0))*1.15^(COUNTIF(C$4:C624,C625)-COUNTIF(C$4:C624,""Sell_""&amp;C625))))))"),"")</f>
        <v/>
      </c>
      <c r="H625" s="10" t="str">
        <f t="shared" si="3"/>
        <v/>
      </c>
      <c r="I625" s="68" t="str">
        <f t="shared" si="4"/>
        <v/>
      </c>
      <c r="J625" s="59" t="str">
        <f t="shared" si="5"/>
        <v/>
      </c>
      <c r="K625" s="69" t="str">
        <f t="shared" si="6"/>
        <v/>
      </c>
      <c r="L625" s="60" t="str">
        <f t="shared" si="7"/>
        <v/>
      </c>
      <c r="M625" s="61" t="str">
        <f>IFERROR(__xludf.DUMMYFUNCTION("IFS(AND(COUNTA(C625:C1673)=0,COUNTA(Q625:Q1673)=0),"""",OR(AND(K625&gt;=1000000000,OR(Y625&gt;=1000000000,COUNTA(Q625:Q1673)=0)),OR(Y625&gt;=1000000000,AND(COUNTA(C625:C1673)=0,P$3=TRUE))),
ROUNDDOWN((AB$1-AC$1)*MAX(INDEX(T$4:T1673,MATCH(LARGE(FILTER(Y$4:Y1673,Y$4"&amp;":Y1673&lt;1000000000),1),Y$4:Y1673)),INDEX(F$4:F1673,MATCH(LARGE(FILTER(K$4:K1673,K$4:K1673&lt;1000000000),1),K$4:K1673)))),AND(K625&lt;1000000000,COUNTA(C625:C1673)&gt;0,P$3=FALSE),
ROUNDDOWN(INDEX(Y$4:Y1673,MATCH(LARGE(FILTER(W$4:W1673,W$4:W1673&lt;=I625),1),W$4:W1673"&amp;"))+(I625-LARGE(FILTER(W$4:W1673,W$4:W1673&lt;=I625),1))*INDEX(T$4:T1673,MATCH(LARGE(FILTER(W$4:W1673,W$4:W1673&lt;=I625),1),W$4:W1673))-K625),1,
ROUNDDOWN(Y625-INDEX(K$4:K1673,MATCH(LARGE(FILTER(I$4:I1673,I$4:I1673&lt;=W625),1),I$4:I1673))-(W625-LARGE(FILTER(I$4:I"&amp;"1673,I$4:I1673&lt;=W625),1))*INDEX(F$4:F1673,MATCH(LARGE(FILTER(I$4:I1673,I$4:I1673&lt;=W625),1),I$4:I1673))))"),"")</f>
        <v/>
      </c>
      <c r="N625" s="60" t="str">
        <f t="shared" si="8"/>
        <v/>
      </c>
      <c r="O625" s="61" t="str">
        <f t="shared" si="9"/>
        <v/>
      </c>
      <c r="P625" s="56" t="str">
        <f t="shared" si="10"/>
        <v/>
      </c>
      <c r="Q625" s="105"/>
      <c r="R625" s="10"/>
      <c r="S625" s="59" t="str">
        <f t="array" ref="S625">IF(COUNTA(Q625:Q1673)=0,"",SUM((COUNTIF(Q$4:Q625,Upgrades!$B$3:$B$13)-COUNTIF(Q$4:Q625,"Sell_"&amp;Upgrades!$B$3:$B$13))*Upgrades!$D$3:$D$13))</f>
        <v/>
      </c>
      <c r="T625" s="66" t="str">
        <f>IFERROR(__xludf.DUMMYFUNCTION("IF(COUNTA(Q625:Q1673)=0,"""",IF(REGEXMATCH(INDEX(FILTER(Q$4:Q625,Q$4:Q625&lt;&gt;""""),ROWS(FILTER(Q$4:Q625,Q$4:Q625&lt;&gt;""""))),""^Sell_""),INDEX(FILTER(T$4:T624,Q$4:Q624&lt;&gt;""""),ROWS(FILTER(Q$4:Q624,Q$4:Q624&lt;&gt;""""))),$AD$5+S625))"),"")</f>
        <v/>
      </c>
      <c r="U625" s="10" t="str">
        <f>IFERROR(__xludf.DUMMYFUNCTION("IF(COUNTA(Q625:Q1673)=0,"""",IF(Q625="""",0,IF(REGEXMATCH(Q625,""^Sell_""),-ROUNDDOWN(ROUNDUP(INDEX(Upgrades!$C$3:$C$13,MATCH(SUBSTITUTE(Q625,""Sell_"",""""),Upgrades!$B$3:$B$13,0))*1.15^(COUNTIF(Q$4:Q624,SUBSTITUTE(Q625,""Sell_"",""""))-COUNTIF(Q$4:Q624,"&amp;"""Sell_""&amp;SUBSTITUTE(Q625,""Sell_"",""""))))/2),ROUNDUP(INDEX(Upgrades!$C$3:$C$13,MATCH(Q625,Upgrades!$B$3:$B$13,0))*1.15^(COUNTIF(Q$4:Q624,Q625)-COUNTIF(Q$4:Q624,""Sell_""&amp;Q625))))))"),"")</f>
        <v/>
      </c>
      <c r="V625" s="10" t="str">
        <f t="shared" si="11"/>
        <v/>
      </c>
      <c r="W625" s="68" t="str">
        <f t="shared" si="12"/>
        <v/>
      </c>
      <c r="X625" s="59" t="str">
        <f t="shared" si="13"/>
        <v/>
      </c>
      <c r="Y625" s="69" t="str">
        <f t="shared" si="14"/>
        <v/>
      </c>
      <c r="Z625" s="11"/>
    </row>
    <row r="626">
      <c r="A626" s="8"/>
      <c r="B626" s="56" t="str">
        <f t="shared" si="2"/>
        <v/>
      </c>
      <c r="C626" s="105"/>
      <c r="D626" s="10"/>
      <c r="E626" s="59" t="str">
        <f t="array" ref="E626">IF(COUNTA(C626:C1673)=0,"",SUM((COUNTIF(C$4:C626,Upgrades!$B$3:$B$13)-COUNTIF(C$4:C626,"Sell_"&amp;Upgrades!$B$3:$B$13))*Upgrades!$D$3:$D$13))</f>
        <v/>
      </c>
      <c r="F626" s="66" t="str">
        <f>IFERROR(__xludf.DUMMYFUNCTION("IF(COUNTA(C626:C1673)=0,"""",IF(REGEXMATCH(INDEX(FILTER(C$4:C626,C$4:C626&lt;&gt;""""),ROWS(FILTER(C$4:C626,C$4:C626&lt;&gt;""""))),""^Sell_""),INDEX(FILTER(F$4:F625,C$4:C625&lt;&gt;""""),ROWS(FILTER(C$4:C625,C$4:C625&lt;&gt;""""))),$AC$5+E626))"),"")</f>
        <v/>
      </c>
      <c r="G626" s="10" t="str">
        <f>IFERROR(__xludf.DUMMYFUNCTION("IF(COUNTA(C626:C1673)=0,"""",IF(C626="""",0,IF(REGEXMATCH(C626,""^Sell_""),-ROUNDDOWN(ROUNDUP(INDEX(Upgrades!$C$3:$C$13,MATCH(SUBSTITUTE(C626,""Sell_"",""""),Upgrades!$B$3:$B$13,0))*1.15^(COUNTIF(C$4:C625,SUBSTITUTE(C626,""Sell_"",""""))-COUNTIF(C$4:C625,"&amp;"""Sell_""&amp;SUBSTITUTE(C626,""Sell_"",""""))))/2),ROUNDUP(INDEX(Upgrades!$C$3:$C$13,MATCH(C626,Upgrades!$B$3:$B$13,0))*1.15^(COUNTIF(C$4:C625,C626)-COUNTIF(C$4:C625,""Sell_""&amp;C626))))))"),"")</f>
        <v/>
      </c>
      <c r="H626" s="10" t="str">
        <f t="shared" si="3"/>
        <v/>
      </c>
      <c r="I626" s="68" t="str">
        <f t="shared" si="4"/>
        <v/>
      </c>
      <c r="J626" s="59" t="str">
        <f t="shared" si="5"/>
        <v/>
      </c>
      <c r="K626" s="69" t="str">
        <f t="shared" si="6"/>
        <v/>
      </c>
      <c r="L626" s="60" t="str">
        <f t="shared" si="7"/>
        <v/>
      </c>
      <c r="M626" s="61" t="str">
        <f>IFERROR(__xludf.DUMMYFUNCTION("IFS(AND(COUNTA(C626:C1673)=0,COUNTA(Q626:Q1673)=0),"""",OR(AND(K626&gt;=1000000000,OR(Y626&gt;=1000000000,COUNTA(Q626:Q1673)=0)),OR(Y626&gt;=1000000000,AND(COUNTA(C626:C1673)=0,P$3=TRUE))),
ROUNDDOWN((AB$1-AC$1)*MAX(INDEX(T$4:T1673,MATCH(LARGE(FILTER(Y$4:Y1673,Y$4"&amp;":Y1673&lt;1000000000),1),Y$4:Y1673)),INDEX(F$4:F1673,MATCH(LARGE(FILTER(K$4:K1673,K$4:K1673&lt;1000000000),1),K$4:K1673)))),AND(K626&lt;1000000000,COUNTA(C626:C1673)&gt;0,P$3=FALSE),
ROUNDDOWN(INDEX(Y$4:Y1673,MATCH(LARGE(FILTER(W$4:W1673,W$4:W1673&lt;=I626),1),W$4:W1673"&amp;"))+(I626-LARGE(FILTER(W$4:W1673,W$4:W1673&lt;=I626),1))*INDEX(T$4:T1673,MATCH(LARGE(FILTER(W$4:W1673,W$4:W1673&lt;=I626),1),W$4:W1673))-K626),1,
ROUNDDOWN(Y626-INDEX(K$4:K1673,MATCH(LARGE(FILTER(I$4:I1673,I$4:I1673&lt;=W626),1),I$4:I1673))-(W626-LARGE(FILTER(I$4:I"&amp;"1673,I$4:I1673&lt;=W626),1))*INDEX(F$4:F1673,MATCH(LARGE(FILTER(I$4:I1673,I$4:I1673&lt;=W626),1),I$4:I1673))))"),"")</f>
        <v/>
      </c>
      <c r="N626" s="60" t="str">
        <f t="shared" si="8"/>
        <v/>
      </c>
      <c r="O626" s="61" t="str">
        <f t="shared" si="9"/>
        <v/>
      </c>
      <c r="P626" s="56" t="str">
        <f t="shared" si="10"/>
        <v/>
      </c>
      <c r="Q626" s="105"/>
      <c r="R626" s="10"/>
      <c r="S626" s="59" t="str">
        <f t="array" ref="S626">IF(COUNTA(Q626:Q1673)=0,"",SUM((COUNTIF(Q$4:Q626,Upgrades!$B$3:$B$13)-COUNTIF(Q$4:Q626,"Sell_"&amp;Upgrades!$B$3:$B$13))*Upgrades!$D$3:$D$13))</f>
        <v/>
      </c>
      <c r="T626" s="66" t="str">
        <f>IFERROR(__xludf.DUMMYFUNCTION("IF(COUNTA(Q626:Q1673)=0,"""",IF(REGEXMATCH(INDEX(FILTER(Q$4:Q626,Q$4:Q626&lt;&gt;""""),ROWS(FILTER(Q$4:Q626,Q$4:Q626&lt;&gt;""""))),""^Sell_""),INDEX(FILTER(T$4:T625,Q$4:Q625&lt;&gt;""""),ROWS(FILTER(Q$4:Q625,Q$4:Q625&lt;&gt;""""))),$AD$5+S626))"),"")</f>
        <v/>
      </c>
      <c r="U626" s="10" t="str">
        <f>IFERROR(__xludf.DUMMYFUNCTION("IF(COUNTA(Q626:Q1673)=0,"""",IF(Q626="""",0,IF(REGEXMATCH(Q626,""^Sell_""),-ROUNDDOWN(ROUNDUP(INDEX(Upgrades!$C$3:$C$13,MATCH(SUBSTITUTE(Q626,""Sell_"",""""),Upgrades!$B$3:$B$13,0))*1.15^(COUNTIF(Q$4:Q625,SUBSTITUTE(Q626,""Sell_"",""""))-COUNTIF(Q$4:Q625,"&amp;"""Sell_""&amp;SUBSTITUTE(Q626,""Sell_"",""""))))/2),ROUNDUP(INDEX(Upgrades!$C$3:$C$13,MATCH(Q626,Upgrades!$B$3:$B$13,0))*1.15^(COUNTIF(Q$4:Q625,Q626)-COUNTIF(Q$4:Q625,""Sell_""&amp;Q626))))))"),"")</f>
        <v/>
      </c>
      <c r="V626" s="10" t="str">
        <f t="shared" si="11"/>
        <v/>
      </c>
      <c r="W626" s="68" t="str">
        <f t="shared" si="12"/>
        <v/>
      </c>
      <c r="X626" s="59" t="str">
        <f t="shared" si="13"/>
        <v/>
      </c>
      <c r="Y626" s="69" t="str">
        <f t="shared" si="14"/>
        <v/>
      </c>
      <c r="Z626" s="11"/>
    </row>
    <row r="627">
      <c r="A627" s="8"/>
      <c r="B627" s="56" t="str">
        <f t="shared" si="2"/>
        <v/>
      </c>
      <c r="C627" s="105"/>
      <c r="D627" s="10"/>
      <c r="E627" s="59" t="str">
        <f t="array" ref="E627">IF(COUNTA(C627:C1673)=0,"",SUM((COUNTIF(C$4:C627,Upgrades!$B$3:$B$13)-COUNTIF(C$4:C627,"Sell_"&amp;Upgrades!$B$3:$B$13))*Upgrades!$D$3:$D$13))</f>
        <v/>
      </c>
      <c r="F627" s="66" t="str">
        <f>IFERROR(__xludf.DUMMYFUNCTION("IF(COUNTA(C627:C1673)=0,"""",IF(REGEXMATCH(INDEX(FILTER(C$4:C627,C$4:C627&lt;&gt;""""),ROWS(FILTER(C$4:C627,C$4:C627&lt;&gt;""""))),""^Sell_""),INDEX(FILTER(F$4:F626,C$4:C626&lt;&gt;""""),ROWS(FILTER(C$4:C626,C$4:C626&lt;&gt;""""))),$AC$5+E627))"),"")</f>
        <v/>
      </c>
      <c r="G627" s="10" t="str">
        <f>IFERROR(__xludf.DUMMYFUNCTION("IF(COUNTA(C627:C1673)=0,"""",IF(C627="""",0,IF(REGEXMATCH(C627,""^Sell_""),-ROUNDDOWN(ROUNDUP(INDEX(Upgrades!$C$3:$C$13,MATCH(SUBSTITUTE(C627,""Sell_"",""""),Upgrades!$B$3:$B$13,0))*1.15^(COUNTIF(C$4:C626,SUBSTITUTE(C627,""Sell_"",""""))-COUNTIF(C$4:C626,"&amp;"""Sell_""&amp;SUBSTITUTE(C627,""Sell_"",""""))))/2),ROUNDUP(INDEX(Upgrades!$C$3:$C$13,MATCH(C627,Upgrades!$B$3:$B$13,0))*1.15^(COUNTIF(C$4:C626,C627)-COUNTIF(C$4:C626,""Sell_""&amp;C627))))))"),"")</f>
        <v/>
      </c>
      <c r="H627" s="10" t="str">
        <f t="shared" si="3"/>
        <v/>
      </c>
      <c r="I627" s="68" t="str">
        <f t="shared" si="4"/>
        <v/>
      </c>
      <c r="J627" s="59" t="str">
        <f t="shared" si="5"/>
        <v/>
      </c>
      <c r="K627" s="69" t="str">
        <f t="shared" si="6"/>
        <v/>
      </c>
      <c r="L627" s="60" t="str">
        <f t="shared" si="7"/>
        <v/>
      </c>
      <c r="M627" s="61" t="str">
        <f>IFERROR(__xludf.DUMMYFUNCTION("IFS(AND(COUNTA(C627:C1673)=0,COUNTA(Q627:Q1673)=0),"""",OR(AND(K627&gt;=1000000000,OR(Y627&gt;=1000000000,COUNTA(Q627:Q1673)=0)),OR(Y627&gt;=1000000000,AND(COUNTA(C627:C1673)=0,P$3=TRUE))),
ROUNDDOWN((AB$1-AC$1)*MAX(INDEX(T$4:T1673,MATCH(LARGE(FILTER(Y$4:Y1673,Y$4"&amp;":Y1673&lt;1000000000),1),Y$4:Y1673)),INDEX(F$4:F1673,MATCH(LARGE(FILTER(K$4:K1673,K$4:K1673&lt;1000000000),1),K$4:K1673)))),AND(K627&lt;1000000000,COUNTA(C627:C1673)&gt;0,P$3=FALSE),
ROUNDDOWN(INDEX(Y$4:Y1673,MATCH(LARGE(FILTER(W$4:W1673,W$4:W1673&lt;=I627),1),W$4:W1673"&amp;"))+(I627-LARGE(FILTER(W$4:W1673,W$4:W1673&lt;=I627),1))*INDEX(T$4:T1673,MATCH(LARGE(FILTER(W$4:W1673,W$4:W1673&lt;=I627),1),W$4:W1673))-K627),1,
ROUNDDOWN(Y627-INDEX(K$4:K1673,MATCH(LARGE(FILTER(I$4:I1673,I$4:I1673&lt;=W627),1),I$4:I1673))-(W627-LARGE(FILTER(I$4:I"&amp;"1673,I$4:I1673&lt;=W627),1))*INDEX(F$4:F1673,MATCH(LARGE(FILTER(I$4:I1673,I$4:I1673&lt;=W627),1),I$4:I1673))))"),"")</f>
        <v/>
      </c>
      <c r="N627" s="60" t="str">
        <f t="shared" si="8"/>
        <v/>
      </c>
      <c r="O627" s="61" t="str">
        <f t="shared" si="9"/>
        <v/>
      </c>
      <c r="P627" s="56" t="str">
        <f t="shared" si="10"/>
        <v/>
      </c>
      <c r="Q627" s="105"/>
      <c r="R627" s="10"/>
      <c r="S627" s="59" t="str">
        <f t="array" ref="S627">IF(COUNTA(Q627:Q1673)=0,"",SUM((COUNTIF(Q$4:Q627,Upgrades!$B$3:$B$13)-COUNTIF(Q$4:Q627,"Sell_"&amp;Upgrades!$B$3:$B$13))*Upgrades!$D$3:$D$13))</f>
        <v/>
      </c>
      <c r="T627" s="66" t="str">
        <f>IFERROR(__xludf.DUMMYFUNCTION("IF(COUNTA(Q627:Q1673)=0,"""",IF(REGEXMATCH(INDEX(FILTER(Q$4:Q627,Q$4:Q627&lt;&gt;""""),ROWS(FILTER(Q$4:Q627,Q$4:Q627&lt;&gt;""""))),""^Sell_""),INDEX(FILTER(T$4:T626,Q$4:Q626&lt;&gt;""""),ROWS(FILTER(Q$4:Q626,Q$4:Q626&lt;&gt;""""))),$AD$5+S627))"),"")</f>
        <v/>
      </c>
      <c r="U627" s="10" t="str">
        <f>IFERROR(__xludf.DUMMYFUNCTION("IF(COUNTA(Q627:Q1673)=0,"""",IF(Q627="""",0,IF(REGEXMATCH(Q627,""^Sell_""),-ROUNDDOWN(ROUNDUP(INDEX(Upgrades!$C$3:$C$13,MATCH(SUBSTITUTE(Q627,""Sell_"",""""),Upgrades!$B$3:$B$13,0))*1.15^(COUNTIF(Q$4:Q626,SUBSTITUTE(Q627,""Sell_"",""""))-COUNTIF(Q$4:Q626,"&amp;"""Sell_""&amp;SUBSTITUTE(Q627,""Sell_"",""""))))/2),ROUNDUP(INDEX(Upgrades!$C$3:$C$13,MATCH(Q627,Upgrades!$B$3:$B$13,0))*1.15^(COUNTIF(Q$4:Q626,Q627)-COUNTIF(Q$4:Q626,""Sell_""&amp;Q627))))))"),"")</f>
        <v/>
      </c>
      <c r="V627" s="10" t="str">
        <f t="shared" si="11"/>
        <v/>
      </c>
      <c r="W627" s="68" t="str">
        <f t="shared" si="12"/>
        <v/>
      </c>
      <c r="X627" s="59" t="str">
        <f t="shared" si="13"/>
        <v/>
      </c>
      <c r="Y627" s="69" t="str">
        <f t="shared" si="14"/>
        <v/>
      </c>
      <c r="Z627" s="11"/>
    </row>
    <row r="628">
      <c r="A628" s="8"/>
      <c r="B628" s="56" t="str">
        <f t="shared" si="2"/>
        <v/>
      </c>
      <c r="C628" s="105"/>
      <c r="D628" s="10"/>
      <c r="E628" s="59" t="str">
        <f t="array" ref="E628">IF(COUNTA(C628:C1673)=0,"",SUM((COUNTIF(C$4:C628,Upgrades!$B$3:$B$13)-COUNTIF(C$4:C628,"Sell_"&amp;Upgrades!$B$3:$B$13))*Upgrades!$D$3:$D$13))</f>
        <v/>
      </c>
      <c r="F628" s="66" t="str">
        <f>IFERROR(__xludf.DUMMYFUNCTION("IF(COUNTA(C628:C1673)=0,"""",IF(REGEXMATCH(INDEX(FILTER(C$4:C628,C$4:C628&lt;&gt;""""),ROWS(FILTER(C$4:C628,C$4:C628&lt;&gt;""""))),""^Sell_""),INDEX(FILTER(F$4:F627,C$4:C627&lt;&gt;""""),ROWS(FILTER(C$4:C627,C$4:C627&lt;&gt;""""))),$AC$5+E628))"),"")</f>
        <v/>
      </c>
      <c r="G628" s="10" t="str">
        <f>IFERROR(__xludf.DUMMYFUNCTION("IF(COUNTA(C628:C1673)=0,"""",IF(C628="""",0,IF(REGEXMATCH(C628,""^Sell_""),-ROUNDDOWN(ROUNDUP(INDEX(Upgrades!$C$3:$C$13,MATCH(SUBSTITUTE(C628,""Sell_"",""""),Upgrades!$B$3:$B$13,0))*1.15^(COUNTIF(C$4:C627,SUBSTITUTE(C628,""Sell_"",""""))-COUNTIF(C$4:C627,"&amp;"""Sell_""&amp;SUBSTITUTE(C628,""Sell_"",""""))))/2),ROUNDUP(INDEX(Upgrades!$C$3:$C$13,MATCH(C628,Upgrades!$B$3:$B$13,0))*1.15^(COUNTIF(C$4:C627,C628)-COUNTIF(C$4:C627,""Sell_""&amp;C628))))))"),"")</f>
        <v/>
      </c>
      <c r="H628" s="10" t="str">
        <f t="shared" si="3"/>
        <v/>
      </c>
      <c r="I628" s="68" t="str">
        <f t="shared" si="4"/>
        <v/>
      </c>
      <c r="J628" s="59" t="str">
        <f t="shared" si="5"/>
        <v/>
      </c>
      <c r="K628" s="69" t="str">
        <f t="shared" si="6"/>
        <v/>
      </c>
      <c r="L628" s="60" t="str">
        <f t="shared" si="7"/>
        <v/>
      </c>
      <c r="M628" s="61" t="str">
        <f>IFERROR(__xludf.DUMMYFUNCTION("IFS(AND(COUNTA(C628:C1673)=0,COUNTA(Q628:Q1673)=0),"""",OR(AND(K628&gt;=1000000000,OR(Y628&gt;=1000000000,COUNTA(Q628:Q1673)=0)),OR(Y628&gt;=1000000000,AND(COUNTA(C628:C1673)=0,P$3=TRUE))),
ROUNDDOWN((AB$1-AC$1)*MAX(INDEX(T$4:T1673,MATCH(LARGE(FILTER(Y$4:Y1673,Y$4"&amp;":Y1673&lt;1000000000),1),Y$4:Y1673)),INDEX(F$4:F1673,MATCH(LARGE(FILTER(K$4:K1673,K$4:K1673&lt;1000000000),1),K$4:K1673)))),AND(K628&lt;1000000000,COUNTA(C628:C1673)&gt;0,P$3=FALSE),
ROUNDDOWN(INDEX(Y$4:Y1673,MATCH(LARGE(FILTER(W$4:W1673,W$4:W1673&lt;=I628),1),W$4:W1673"&amp;"))+(I628-LARGE(FILTER(W$4:W1673,W$4:W1673&lt;=I628),1))*INDEX(T$4:T1673,MATCH(LARGE(FILTER(W$4:W1673,W$4:W1673&lt;=I628),1),W$4:W1673))-K628),1,
ROUNDDOWN(Y628-INDEX(K$4:K1673,MATCH(LARGE(FILTER(I$4:I1673,I$4:I1673&lt;=W628),1),I$4:I1673))-(W628-LARGE(FILTER(I$4:I"&amp;"1673,I$4:I1673&lt;=W628),1))*INDEX(F$4:F1673,MATCH(LARGE(FILTER(I$4:I1673,I$4:I1673&lt;=W628),1),I$4:I1673))))"),"")</f>
        <v/>
      </c>
      <c r="N628" s="60" t="str">
        <f t="shared" si="8"/>
        <v/>
      </c>
      <c r="O628" s="61" t="str">
        <f t="shared" si="9"/>
        <v/>
      </c>
      <c r="P628" s="56" t="str">
        <f t="shared" si="10"/>
        <v/>
      </c>
      <c r="Q628" s="105"/>
      <c r="R628" s="10"/>
      <c r="S628" s="59" t="str">
        <f t="array" ref="S628">IF(COUNTA(Q628:Q1673)=0,"",SUM((COUNTIF(Q$4:Q628,Upgrades!$B$3:$B$13)-COUNTIF(Q$4:Q628,"Sell_"&amp;Upgrades!$B$3:$B$13))*Upgrades!$D$3:$D$13))</f>
        <v/>
      </c>
      <c r="T628" s="66" t="str">
        <f>IFERROR(__xludf.DUMMYFUNCTION("IF(COUNTA(Q628:Q1673)=0,"""",IF(REGEXMATCH(INDEX(FILTER(Q$4:Q628,Q$4:Q628&lt;&gt;""""),ROWS(FILTER(Q$4:Q628,Q$4:Q628&lt;&gt;""""))),""^Sell_""),INDEX(FILTER(T$4:T627,Q$4:Q627&lt;&gt;""""),ROWS(FILTER(Q$4:Q627,Q$4:Q627&lt;&gt;""""))),$AD$5+S628))"),"")</f>
        <v/>
      </c>
      <c r="U628" s="10" t="str">
        <f>IFERROR(__xludf.DUMMYFUNCTION("IF(COUNTA(Q628:Q1673)=0,"""",IF(Q628="""",0,IF(REGEXMATCH(Q628,""^Sell_""),-ROUNDDOWN(ROUNDUP(INDEX(Upgrades!$C$3:$C$13,MATCH(SUBSTITUTE(Q628,""Sell_"",""""),Upgrades!$B$3:$B$13,0))*1.15^(COUNTIF(Q$4:Q627,SUBSTITUTE(Q628,""Sell_"",""""))-COUNTIF(Q$4:Q627,"&amp;"""Sell_""&amp;SUBSTITUTE(Q628,""Sell_"",""""))))/2),ROUNDUP(INDEX(Upgrades!$C$3:$C$13,MATCH(Q628,Upgrades!$B$3:$B$13,0))*1.15^(COUNTIF(Q$4:Q627,Q628)-COUNTIF(Q$4:Q627,""Sell_""&amp;Q628))))))"),"")</f>
        <v/>
      </c>
      <c r="V628" s="10" t="str">
        <f t="shared" si="11"/>
        <v/>
      </c>
      <c r="W628" s="68" t="str">
        <f t="shared" si="12"/>
        <v/>
      </c>
      <c r="X628" s="59" t="str">
        <f t="shared" si="13"/>
        <v/>
      </c>
      <c r="Y628" s="69" t="str">
        <f t="shared" si="14"/>
        <v/>
      </c>
      <c r="Z628" s="11"/>
    </row>
    <row r="629">
      <c r="A629" s="8"/>
      <c r="B629" s="56" t="str">
        <f t="shared" si="2"/>
        <v/>
      </c>
      <c r="C629" s="105"/>
      <c r="D629" s="10"/>
      <c r="E629" s="59" t="str">
        <f t="array" ref="E629">IF(COUNTA(C629:C1673)=0,"",SUM((COUNTIF(C$4:C629,Upgrades!$B$3:$B$13)-COUNTIF(C$4:C629,"Sell_"&amp;Upgrades!$B$3:$B$13))*Upgrades!$D$3:$D$13))</f>
        <v/>
      </c>
      <c r="F629" s="66" t="str">
        <f>IFERROR(__xludf.DUMMYFUNCTION("IF(COUNTA(C629:C1673)=0,"""",IF(REGEXMATCH(INDEX(FILTER(C$4:C629,C$4:C629&lt;&gt;""""),ROWS(FILTER(C$4:C629,C$4:C629&lt;&gt;""""))),""^Sell_""),INDEX(FILTER(F$4:F628,C$4:C628&lt;&gt;""""),ROWS(FILTER(C$4:C628,C$4:C628&lt;&gt;""""))),$AC$5+E629))"),"")</f>
        <v/>
      </c>
      <c r="G629" s="10" t="str">
        <f>IFERROR(__xludf.DUMMYFUNCTION("IF(COUNTA(C629:C1673)=0,"""",IF(C629="""",0,IF(REGEXMATCH(C629,""^Sell_""),-ROUNDDOWN(ROUNDUP(INDEX(Upgrades!$C$3:$C$13,MATCH(SUBSTITUTE(C629,""Sell_"",""""),Upgrades!$B$3:$B$13,0))*1.15^(COUNTIF(C$4:C628,SUBSTITUTE(C629,""Sell_"",""""))-COUNTIF(C$4:C628,"&amp;"""Sell_""&amp;SUBSTITUTE(C629,""Sell_"",""""))))/2),ROUNDUP(INDEX(Upgrades!$C$3:$C$13,MATCH(C629,Upgrades!$B$3:$B$13,0))*1.15^(COUNTIF(C$4:C628,C629)-COUNTIF(C$4:C628,""Sell_""&amp;C629))))))"),"")</f>
        <v/>
      </c>
      <c r="H629" s="10" t="str">
        <f t="shared" si="3"/>
        <v/>
      </c>
      <c r="I629" s="68" t="str">
        <f t="shared" si="4"/>
        <v/>
      </c>
      <c r="J629" s="59" t="str">
        <f t="shared" si="5"/>
        <v/>
      </c>
      <c r="K629" s="69" t="str">
        <f t="shared" si="6"/>
        <v/>
      </c>
      <c r="L629" s="60" t="str">
        <f t="shared" si="7"/>
        <v/>
      </c>
      <c r="M629" s="61" t="str">
        <f>IFERROR(__xludf.DUMMYFUNCTION("IFS(AND(COUNTA(C629:C1673)=0,COUNTA(Q629:Q1673)=0),"""",OR(AND(K629&gt;=1000000000,OR(Y629&gt;=1000000000,COUNTA(Q629:Q1673)=0)),OR(Y629&gt;=1000000000,AND(COUNTA(C629:C1673)=0,P$3=TRUE))),
ROUNDDOWN((AB$1-AC$1)*MAX(INDEX(T$4:T1673,MATCH(LARGE(FILTER(Y$4:Y1673,Y$4"&amp;":Y1673&lt;1000000000),1),Y$4:Y1673)),INDEX(F$4:F1673,MATCH(LARGE(FILTER(K$4:K1673,K$4:K1673&lt;1000000000),1),K$4:K1673)))),AND(K629&lt;1000000000,COUNTA(C629:C1673)&gt;0,P$3=FALSE),
ROUNDDOWN(INDEX(Y$4:Y1673,MATCH(LARGE(FILTER(W$4:W1673,W$4:W1673&lt;=I629),1),W$4:W1673"&amp;"))+(I629-LARGE(FILTER(W$4:W1673,W$4:W1673&lt;=I629),1))*INDEX(T$4:T1673,MATCH(LARGE(FILTER(W$4:W1673,W$4:W1673&lt;=I629),1),W$4:W1673))-K629),1,
ROUNDDOWN(Y629-INDEX(K$4:K1673,MATCH(LARGE(FILTER(I$4:I1673,I$4:I1673&lt;=W629),1),I$4:I1673))-(W629-LARGE(FILTER(I$4:I"&amp;"1673,I$4:I1673&lt;=W629),1))*INDEX(F$4:F1673,MATCH(LARGE(FILTER(I$4:I1673,I$4:I1673&lt;=W629),1),I$4:I1673))))"),"")</f>
        <v/>
      </c>
      <c r="N629" s="60" t="str">
        <f t="shared" si="8"/>
        <v/>
      </c>
      <c r="O629" s="61" t="str">
        <f t="shared" si="9"/>
        <v/>
      </c>
      <c r="P629" s="56" t="str">
        <f t="shared" si="10"/>
        <v/>
      </c>
      <c r="Q629" s="105"/>
      <c r="R629" s="10"/>
      <c r="S629" s="59" t="str">
        <f t="array" ref="S629">IF(COUNTA(Q629:Q1673)=0,"",SUM((COUNTIF(Q$4:Q629,Upgrades!$B$3:$B$13)-COUNTIF(Q$4:Q629,"Sell_"&amp;Upgrades!$B$3:$B$13))*Upgrades!$D$3:$D$13))</f>
        <v/>
      </c>
      <c r="T629" s="66" t="str">
        <f>IFERROR(__xludf.DUMMYFUNCTION("IF(COUNTA(Q629:Q1673)=0,"""",IF(REGEXMATCH(INDEX(FILTER(Q$4:Q629,Q$4:Q629&lt;&gt;""""),ROWS(FILTER(Q$4:Q629,Q$4:Q629&lt;&gt;""""))),""^Sell_""),INDEX(FILTER(T$4:T628,Q$4:Q628&lt;&gt;""""),ROWS(FILTER(Q$4:Q628,Q$4:Q628&lt;&gt;""""))),$AD$5+S629))"),"")</f>
        <v/>
      </c>
      <c r="U629" s="10" t="str">
        <f>IFERROR(__xludf.DUMMYFUNCTION("IF(COUNTA(Q629:Q1673)=0,"""",IF(Q629="""",0,IF(REGEXMATCH(Q629,""^Sell_""),-ROUNDDOWN(ROUNDUP(INDEX(Upgrades!$C$3:$C$13,MATCH(SUBSTITUTE(Q629,""Sell_"",""""),Upgrades!$B$3:$B$13,0))*1.15^(COUNTIF(Q$4:Q628,SUBSTITUTE(Q629,""Sell_"",""""))-COUNTIF(Q$4:Q628,"&amp;"""Sell_""&amp;SUBSTITUTE(Q629,""Sell_"",""""))))/2),ROUNDUP(INDEX(Upgrades!$C$3:$C$13,MATCH(Q629,Upgrades!$B$3:$B$13,0))*1.15^(COUNTIF(Q$4:Q628,Q629)-COUNTIF(Q$4:Q628,""Sell_""&amp;Q629))))))"),"")</f>
        <v/>
      </c>
      <c r="V629" s="10" t="str">
        <f t="shared" si="11"/>
        <v/>
      </c>
      <c r="W629" s="68" t="str">
        <f t="shared" si="12"/>
        <v/>
      </c>
      <c r="X629" s="59" t="str">
        <f t="shared" si="13"/>
        <v/>
      </c>
      <c r="Y629" s="69" t="str">
        <f t="shared" si="14"/>
        <v/>
      </c>
      <c r="Z629" s="11"/>
    </row>
    <row r="630">
      <c r="A630" s="8"/>
      <c r="B630" s="56" t="str">
        <f t="shared" si="2"/>
        <v/>
      </c>
      <c r="C630" s="105"/>
      <c r="D630" s="10"/>
      <c r="E630" s="59" t="str">
        <f t="array" ref="E630">IF(COUNTA(C630:C1673)=0,"",SUM((COUNTIF(C$4:C630,Upgrades!$B$3:$B$13)-COUNTIF(C$4:C630,"Sell_"&amp;Upgrades!$B$3:$B$13))*Upgrades!$D$3:$D$13))</f>
        <v/>
      </c>
      <c r="F630" s="66" t="str">
        <f>IFERROR(__xludf.DUMMYFUNCTION("IF(COUNTA(C630:C1673)=0,"""",IF(REGEXMATCH(INDEX(FILTER(C$4:C630,C$4:C630&lt;&gt;""""),ROWS(FILTER(C$4:C630,C$4:C630&lt;&gt;""""))),""^Sell_""),INDEX(FILTER(F$4:F629,C$4:C629&lt;&gt;""""),ROWS(FILTER(C$4:C629,C$4:C629&lt;&gt;""""))),$AC$5+E630))"),"")</f>
        <v/>
      </c>
      <c r="G630" s="10" t="str">
        <f>IFERROR(__xludf.DUMMYFUNCTION("IF(COUNTA(C630:C1673)=0,"""",IF(C630="""",0,IF(REGEXMATCH(C630,""^Sell_""),-ROUNDDOWN(ROUNDUP(INDEX(Upgrades!$C$3:$C$13,MATCH(SUBSTITUTE(C630,""Sell_"",""""),Upgrades!$B$3:$B$13,0))*1.15^(COUNTIF(C$4:C629,SUBSTITUTE(C630,""Sell_"",""""))-COUNTIF(C$4:C629,"&amp;"""Sell_""&amp;SUBSTITUTE(C630,""Sell_"",""""))))/2),ROUNDUP(INDEX(Upgrades!$C$3:$C$13,MATCH(C630,Upgrades!$B$3:$B$13,0))*1.15^(COUNTIF(C$4:C629,C630)-COUNTIF(C$4:C629,""Sell_""&amp;C630))))))"),"")</f>
        <v/>
      </c>
      <c r="H630" s="10" t="str">
        <f t="shared" si="3"/>
        <v/>
      </c>
      <c r="I630" s="68" t="str">
        <f t="shared" si="4"/>
        <v/>
      </c>
      <c r="J630" s="59" t="str">
        <f t="shared" si="5"/>
        <v/>
      </c>
      <c r="K630" s="69" t="str">
        <f t="shared" si="6"/>
        <v/>
      </c>
      <c r="L630" s="60" t="str">
        <f t="shared" si="7"/>
        <v/>
      </c>
      <c r="M630" s="61" t="str">
        <f>IFERROR(__xludf.DUMMYFUNCTION("IFS(AND(COUNTA(C630:C1673)=0,COUNTA(Q630:Q1673)=0),"""",OR(AND(K630&gt;=1000000000,OR(Y630&gt;=1000000000,COUNTA(Q630:Q1673)=0)),OR(Y630&gt;=1000000000,AND(COUNTA(C630:C1673)=0,P$3=TRUE))),
ROUNDDOWN((AB$1-AC$1)*MAX(INDEX(T$4:T1673,MATCH(LARGE(FILTER(Y$4:Y1673,Y$4"&amp;":Y1673&lt;1000000000),1),Y$4:Y1673)),INDEX(F$4:F1673,MATCH(LARGE(FILTER(K$4:K1673,K$4:K1673&lt;1000000000),1),K$4:K1673)))),AND(K630&lt;1000000000,COUNTA(C630:C1673)&gt;0,P$3=FALSE),
ROUNDDOWN(INDEX(Y$4:Y1673,MATCH(LARGE(FILTER(W$4:W1673,W$4:W1673&lt;=I630),1),W$4:W1673"&amp;"))+(I630-LARGE(FILTER(W$4:W1673,W$4:W1673&lt;=I630),1))*INDEX(T$4:T1673,MATCH(LARGE(FILTER(W$4:W1673,W$4:W1673&lt;=I630),1),W$4:W1673))-K630),1,
ROUNDDOWN(Y630-INDEX(K$4:K1673,MATCH(LARGE(FILTER(I$4:I1673,I$4:I1673&lt;=W630),1),I$4:I1673))-(W630-LARGE(FILTER(I$4:I"&amp;"1673,I$4:I1673&lt;=W630),1))*INDEX(F$4:F1673,MATCH(LARGE(FILTER(I$4:I1673,I$4:I1673&lt;=W630),1),I$4:I1673))))"),"")</f>
        <v/>
      </c>
      <c r="N630" s="60" t="str">
        <f t="shared" si="8"/>
        <v/>
      </c>
      <c r="O630" s="61" t="str">
        <f t="shared" si="9"/>
        <v/>
      </c>
      <c r="P630" s="56" t="str">
        <f t="shared" si="10"/>
        <v/>
      </c>
      <c r="Q630" s="105"/>
      <c r="R630" s="10"/>
      <c r="S630" s="59" t="str">
        <f t="array" ref="S630">IF(COUNTA(Q630:Q1673)=0,"",SUM((COUNTIF(Q$4:Q630,Upgrades!$B$3:$B$13)-COUNTIF(Q$4:Q630,"Sell_"&amp;Upgrades!$B$3:$B$13))*Upgrades!$D$3:$D$13))</f>
        <v/>
      </c>
      <c r="T630" s="66" t="str">
        <f>IFERROR(__xludf.DUMMYFUNCTION("IF(COUNTA(Q630:Q1673)=0,"""",IF(REGEXMATCH(INDEX(FILTER(Q$4:Q630,Q$4:Q630&lt;&gt;""""),ROWS(FILTER(Q$4:Q630,Q$4:Q630&lt;&gt;""""))),""^Sell_""),INDEX(FILTER(T$4:T629,Q$4:Q629&lt;&gt;""""),ROWS(FILTER(Q$4:Q629,Q$4:Q629&lt;&gt;""""))),$AD$5+S630))"),"")</f>
        <v/>
      </c>
      <c r="U630" s="10" t="str">
        <f>IFERROR(__xludf.DUMMYFUNCTION("IF(COUNTA(Q630:Q1673)=0,"""",IF(Q630="""",0,IF(REGEXMATCH(Q630,""^Sell_""),-ROUNDDOWN(ROUNDUP(INDEX(Upgrades!$C$3:$C$13,MATCH(SUBSTITUTE(Q630,""Sell_"",""""),Upgrades!$B$3:$B$13,0))*1.15^(COUNTIF(Q$4:Q629,SUBSTITUTE(Q630,""Sell_"",""""))-COUNTIF(Q$4:Q629,"&amp;"""Sell_""&amp;SUBSTITUTE(Q630,""Sell_"",""""))))/2),ROUNDUP(INDEX(Upgrades!$C$3:$C$13,MATCH(Q630,Upgrades!$B$3:$B$13,0))*1.15^(COUNTIF(Q$4:Q629,Q630)-COUNTIF(Q$4:Q629,""Sell_""&amp;Q630))))))"),"")</f>
        <v/>
      </c>
      <c r="V630" s="10" t="str">
        <f t="shared" si="11"/>
        <v/>
      </c>
      <c r="W630" s="68" t="str">
        <f t="shared" si="12"/>
        <v/>
      </c>
      <c r="X630" s="59" t="str">
        <f t="shared" si="13"/>
        <v/>
      </c>
      <c r="Y630" s="69" t="str">
        <f t="shared" si="14"/>
        <v/>
      </c>
      <c r="Z630" s="11"/>
    </row>
    <row r="631">
      <c r="A631" s="8"/>
      <c r="B631" s="56" t="str">
        <f t="shared" si="2"/>
        <v/>
      </c>
      <c r="C631" s="105"/>
      <c r="D631" s="10"/>
      <c r="E631" s="59" t="str">
        <f t="array" ref="E631">IF(COUNTA(C631:C1673)=0,"",SUM((COUNTIF(C$4:C631,Upgrades!$B$3:$B$13)-COUNTIF(C$4:C631,"Sell_"&amp;Upgrades!$B$3:$B$13))*Upgrades!$D$3:$D$13))</f>
        <v/>
      </c>
      <c r="F631" s="66" t="str">
        <f>IFERROR(__xludf.DUMMYFUNCTION("IF(COUNTA(C631:C1673)=0,"""",IF(REGEXMATCH(INDEX(FILTER(C$4:C631,C$4:C631&lt;&gt;""""),ROWS(FILTER(C$4:C631,C$4:C631&lt;&gt;""""))),""^Sell_""),INDEX(FILTER(F$4:F630,C$4:C630&lt;&gt;""""),ROWS(FILTER(C$4:C630,C$4:C630&lt;&gt;""""))),$AC$5+E631))"),"")</f>
        <v/>
      </c>
      <c r="G631" s="10" t="str">
        <f>IFERROR(__xludf.DUMMYFUNCTION("IF(COUNTA(C631:C1673)=0,"""",IF(C631="""",0,IF(REGEXMATCH(C631,""^Sell_""),-ROUNDDOWN(ROUNDUP(INDEX(Upgrades!$C$3:$C$13,MATCH(SUBSTITUTE(C631,""Sell_"",""""),Upgrades!$B$3:$B$13,0))*1.15^(COUNTIF(C$4:C630,SUBSTITUTE(C631,""Sell_"",""""))-COUNTIF(C$4:C630,"&amp;"""Sell_""&amp;SUBSTITUTE(C631,""Sell_"",""""))))/2),ROUNDUP(INDEX(Upgrades!$C$3:$C$13,MATCH(C631,Upgrades!$B$3:$B$13,0))*1.15^(COUNTIF(C$4:C630,C631)-COUNTIF(C$4:C630,""Sell_""&amp;C631))))))"),"")</f>
        <v/>
      </c>
      <c r="H631" s="10" t="str">
        <f t="shared" si="3"/>
        <v/>
      </c>
      <c r="I631" s="68" t="str">
        <f t="shared" si="4"/>
        <v/>
      </c>
      <c r="J631" s="59" t="str">
        <f t="shared" si="5"/>
        <v/>
      </c>
      <c r="K631" s="69" t="str">
        <f t="shared" si="6"/>
        <v/>
      </c>
      <c r="L631" s="60" t="str">
        <f t="shared" si="7"/>
        <v/>
      </c>
      <c r="M631" s="61" t="str">
        <f>IFERROR(__xludf.DUMMYFUNCTION("IFS(AND(COUNTA(C631:C1673)=0,COUNTA(Q631:Q1673)=0),"""",OR(AND(K631&gt;=1000000000,OR(Y631&gt;=1000000000,COUNTA(Q631:Q1673)=0)),OR(Y631&gt;=1000000000,AND(COUNTA(C631:C1673)=0,P$3=TRUE))),
ROUNDDOWN((AB$1-AC$1)*MAX(INDEX(T$4:T1673,MATCH(LARGE(FILTER(Y$4:Y1673,Y$4"&amp;":Y1673&lt;1000000000),1),Y$4:Y1673)),INDEX(F$4:F1673,MATCH(LARGE(FILTER(K$4:K1673,K$4:K1673&lt;1000000000),1),K$4:K1673)))),AND(K631&lt;1000000000,COUNTA(C631:C1673)&gt;0,P$3=FALSE),
ROUNDDOWN(INDEX(Y$4:Y1673,MATCH(LARGE(FILTER(W$4:W1673,W$4:W1673&lt;=I631),1),W$4:W1673"&amp;"))+(I631-LARGE(FILTER(W$4:W1673,W$4:W1673&lt;=I631),1))*INDEX(T$4:T1673,MATCH(LARGE(FILTER(W$4:W1673,W$4:W1673&lt;=I631),1),W$4:W1673))-K631),1,
ROUNDDOWN(Y631-INDEX(K$4:K1673,MATCH(LARGE(FILTER(I$4:I1673,I$4:I1673&lt;=W631),1),I$4:I1673))-(W631-LARGE(FILTER(I$4:I"&amp;"1673,I$4:I1673&lt;=W631),1))*INDEX(F$4:F1673,MATCH(LARGE(FILTER(I$4:I1673,I$4:I1673&lt;=W631),1),I$4:I1673))))"),"")</f>
        <v/>
      </c>
      <c r="N631" s="60" t="str">
        <f t="shared" si="8"/>
        <v/>
      </c>
      <c r="O631" s="61" t="str">
        <f t="shared" si="9"/>
        <v/>
      </c>
      <c r="P631" s="56" t="str">
        <f t="shared" si="10"/>
        <v/>
      </c>
      <c r="Q631" s="105"/>
      <c r="R631" s="10"/>
      <c r="S631" s="59" t="str">
        <f t="array" ref="S631">IF(COUNTA(Q631:Q1673)=0,"",SUM((COUNTIF(Q$4:Q631,Upgrades!$B$3:$B$13)-COUNTIF(Q$4:Q631,"Sell_"&amp;Upgrades!$B$3:$B$13))*Upgrades!$D$3:$D$13))</f>
        <v/>
      </c>
      <c r="T631" s="66" t="str">
        <f>IFERROR(__xludf.DUMMYFUNCTION("IF(COUNTA(Q631:Q1673)=0,"""",IF(REGEXMATCH(INDEX(FILTER(Q$4:Q631,Q$4:Q631&lt;&gt;""""),ROWS(FILTER(Q$4:Q631,Q$4:Q631&lt;&gt;""""))),""^Sell_""),INDEX(FILTER(T$4:T630,Q$4:Q630&lt;&gt;""""),ROWS(FILTER(Q$4:Q630,Q$4:Q630&lt;&gt;""""))),$AD$5+S631))"),"")</f>
        <v/>
      </c>
      <c r="U631" s="10" t="str">
        <f>IFERROR(__xludf.DUMMYFUNCTION("IF(COUNTA(Q631:Q1673)=0,"""",IF(Q631="""",0,IF(REGEXMATCH(Q631,""^Sell_""),-ROUNDDOWN(ROUNDUP(INDEX(Upgrades!$C$3:$C$13,MATCH(SUBSTITUTE(Q631,""Sell_"",""""),Upgrades!$B$3:$B$13,0))*1.15^(COUNTIF(Q$4:Q630,SUBSTITUTE(Q631,""Sell_"",""""))-COUNTIF(Q$4:Q630,"&amp;"""Sell_""&amp;SUBSTITUTE(Q631,""Sell_"",""""))))/2),ROUNDUP(INDEX(Upgrades!$C$3:$C$13,MATCH(Q631,Upgrades!$B$3:$B$13,0))*1.15^(COUNTIF(Q$4:Q630,Q631)-COUNTIF(Q$4:Q630,""Sell_""&amp;Q631))))))"),"")</f>
        <v/>
      </c>
      <c r="V631" s="10" t="str">
        <f t="shared" si="11"/>
        <v/>
      </c>
      <c r="W631" s="68" t="str">
        <f t="shared" si="12"/>
        <v/>
      </c>
      <c r="X631" s="59" t="str">
        <f t="shared" si="13"/>
        <v/>
      </c>
      <c r="Y631" s="69" t="str">
        <f t="shared" si="14"/>
        <v/>
      </c>
      <c r="Z631" s="11"/>
    </row>
    <row r="632">
      <c r="A632" s="8"/>
      <c r="B632" s="56" t="str">
        <f t="shared" si="2"/>
        <v/>
      </c>
      <c r="C632" s="105"/>
      <c r="D632" s="10"/>
      <c r="E632" s="59" t="str">
        <f t="array" ref="E632">IF(COUNTA(C632:C1673)=0,"",SUM((COUNTIF(C$4:C632,Upgrades!$B$3:$B$13)-COUNTIF(C$4:C632,"Sell_"&amp;Upgrades!$B$3:$B$13))*Upgrades!$D$3:$D$13))</f>
        <v/>
      </c>
      <c r="F632" s="66" t="str">
        <f>IFERROR(__xludf.DUMMYFUNCTION("IF(COUNTA(C632:C1673)=0,"""",IF(REGEXMATCH(INDEX(FILTER(C$4:C632,C$4:C632&lt;&gt;""""),ROWS(FILTER(C$4:C632,C$4:C632&lt;&gt;""""))),""^Sell_""),INDEX(FILTER(F$4:F631,C$4:C631&lt;&gt;""""),ROWS(FILTER(C$4:C631,C$4:C631&lt;&gt;""""))),$AC$5+E632))"),"")</f>
        <v/>
      </c>
      <c r="G632" s="10" t="str">
        <f>IFERROR(__xludf.DUMMYFUNCTION("IF(COUNTA(C632:C1673)=0,"""",IF(C632="""",0,IF(REGEXMATCH(C632,""^Sell_""),-ROUNDDOWN(ROUNDUP(INDEX(Upgrades!$C$3:$C$13,MATCH(SUBSTITUTE(C632,""Sell_"",""""),Upgrades!$B$3:$B$13,0))*1.15^(COUNTIF(C$4:C631,SUBSTITUTE(C632,""Sell_"",""""))-COUNTIF(C$4:C631,"&amp;"""Sell_""&amp;SUBSTITUTE(C632,""Sell_"",""""))))/2),ROUNDUP(INDEX(Upgrades!$C$3:$C$13,MATCH(C632,Upgrades!$B$3:$B$13,0))*1.15^(COUNTIF(C$4:C631,C632)-COUNTIF(C$4:C631,""Sell_""&amp;C632))))))"),"")</f>
        <v/>
      </c>
      <c r="H632" s="10" t="str">
        <f t="shared" si="3"/>
        <v/>
      </c>
      <c r="I632" s="68" t="str">
        <f t="shared" si="4"/>
        <v/>
      </c>
      <c r="J632" s="59" t="str">
        <f t="shared" si="5"/>
        <v/>
      </c>
      <c r="K632" s="69" t="str">
        <f t="shared" si="6"/>
        <v/>
      </c>
      <c r="L632" s="60" t="str">
        <f t="shared" si="7"/>
        <v/>
      </c>
      <c r="M632" s="61" t="str">
        <f>IFERROR(__xludf.DUMMYFUNCTION("IFS(AND(COUNTA(C632:C1673)=0,COUNTA(Q632:Q1673)=0),"""",OR(AND(K632&gt;=1000000000,OR(Y632&gt;=1000000000,COUNTA(Q632:Q1673)=0)),OR(Y632&gt;=1000000000,AND(COUNTA(C632:C1673)=0,P$3=TRUE))),
ROUNDDOWN((AB$1-AC$1)*MAX(INDEX(T$4:T1673,MATCH(LARGE(FILTER(Y$4:Y1673,Y$4"&amp;":Y1673&lt;1000000000),1),Y$4:Y1673)),INDEX(F$4:F1673,MATCH(LARGE(FILTER(K$4:K1673,K$4:K1673&lt;1000000000),1),K$4:K1673)))),AND(K632&lt;1000000000,COUNTA(C632:C1673)&gt;0,P$3=FALSE),
ROUNDDOWN(INDEX(Y$4:Y1673,MATCH(LARGE(FILTER(W$4:W1673,W$4:W1673&lt;=I632),1),W$4:W1673"&amp;"))+(I632-LARGE(FILTER(W$4:W1673,W$4:W1673&lt;=I632),1))*INDEX(T$4:T1673,MATCH(LARGE(FILTER(W$4:W1673,W$4:W1673&lt;=I632),1),W$4:W1673))-K632),1,
ROUNDDOWN(Y632-INDEX(K$4:K1673,MATCH(LARGE(FILTER(I$4:I1673,I$4:I1673&lt;=W632),1),I$4:I1673))-(W632-LARGE(FILTER(I$4:I"&amp;"1673,I$4:I1673&lt;=W632),1))*INDEX(F$4:F1673,MATCH(LARGE(FILTER(I$4:I1673,I$4:I1673&lt;=W632),1),I$4:I1673))))"),"")</f>
        <v/>
      </c>
      <c r="N632" s="60" t="str">
        <f t="shared" si="8"/>
        <v/>
      </c>
      <c r="O632" s="61" t="str">
        <f t="shared" si="9"/>
        <v/>
      </c>
      <c r="P632" s="56" t="str">
        <f t="shared" si="10"/>
        <v/>
      </c>
      <c r="Q632" s="105"/>
      <c r="R632" s="10"/>
      <c r="S632" s="59" t="str">
        <f t="array" ref="S632">IF(COUNTA(Q632:Q1673)=0,"",SUM((COUNTIF(Q$4:Q632,Upgrades!$B$3:$B$13)-COUNTIF(Q$4:Q632,"Sell_"&amp;Upgrades!$B$3:$B$13))*Upgrades!$D$3:$D$13))</f>
        <v/>
      </c>
      <c r="T632" s="66" t="str">
        <f>IFERROR(__xludf.DUMMYFUNCTION("IF(COUNTA(Q632:Q1673)=0,"""",IF(REGEXMATCH(INDEX(FILTER(Q$4:Q632,Q$4:Q632&lt;&gt;""""),ROWS(FILTER(Q$4:Q632,Q$4:Q632&lt;&gt;""""))),""^Sell_""),INDEX(FILTER(T$4:T631,Q$4:Q631&lt;&gt;""""),ROWS(FILTER(Q$4:Q631,Q$4:Q631&lt;&gt;""""))),$AD$5+S632))"),"")</f>
        <v/>
      </c>
      <c r="U632" s="10" t="str">
        <f>IFERROR(__xludf.DUMMYFUNCTION("IF(COUNTA(Q632:Q1673)=0,"""",IF(Q632="""",0,IF(REGEXMATCH(Q632,""^Sell_""),-ROUNDDOWN(ROUNDUP(INDEX(Upgrades!$C$3:$C$13,MATCH(SUBSTITUTE(Q632,""Sell_"",""""),Upgrades!$B$3:$B$13,0))*1.15^(COUNTIF(Q$4:Q631,SUBSTITUTE(Q632,""Sell_"",""""))-COUNTIF(Q$4:Q631,"&amp;"""Sell_""&amp;SUBSTITUTE(Q632,""Sell_"",""""))))/2),ROUNDUP(INDEX(Upgrades!$C$3:$C$13,MATCH(Q632,Upgrades!$B$3:$B$13,0))*1.15^(COUNTIF(Q$4:Q631,Q632)-COUNTIF(Q$4:Q631,""Sell_""&amp;Q632))))))"),"")</f>
        <v/>
      </c>
      <c r="V632" s="10" t="str">
        <f t="shared" si="11"/>
        <v/>
      </c>
      <c r="W632" s="68" t="str">
        <f t="shared" si="12"/>
        <v/>
      </c>
      <c r="X632" s="59" t="str">
        <f t="shared" si="13"/>
        <v/>
      </c>
      <c r="Y632" s="69" t="str">
        <f t="shared" si="14"/>
        <v/>
      </c>
      <c r="Z632" s="11"/>
    </row>
    <row r="633">
      <c r="A633" s="8"/>
      <c r="B633" s="56" t="str">
        <f t="shared" si="2"/>
        <v/>
      </c>
      <c r="C633" s="105"/>
      <c r="D633" s="10"/>
      <c r="E633" s="59" t="str">
        <f t="array" ref="E633">IF(COUNTA(C633:C1673)=0,"",SUM((COUNTIF(C$4:C633,Upgrades!$B$3:$B$13)-COUNTIF(C$4:C633,"Sell_"&amp;Upgrades!$B$3:$B$13))*Upgrades!$D$3:$D$13))</f>
        <v/>
      </c>
      <c r="F633" s="66" t="str">
        <f>IFERROR(__xludf.DUMMYFUNCTION("IF(COUNTA(C633:C1673)=0,"""",IF(REGEXMATCH(INDEX(FILTER(C$4:C633,C$4:C633&lt;&gt;""""),ROWS(FILTER(C$4:C633,C$4:C633&lt;&gt;""""))),""^Sell_""),INDEX(FILTER(F$4:F632,C$4:C632&lt;&gt;""""),ROWS(FILTER(C$4:C632,C$4:C632&lt;&gt;""""))),$AC$5+E633))"),"")</f>
        <v/>
      </c>
      <c r="G633" s="10" t="str">
        <f>IFERROR(__xludf.DUMMYFUNCTION("IF(COUNTA(C633:C1673)=0,"""",IF(C633="""",0,IF(REGEXMATCH(C633,""^Sell_""),-ROUNDDOWN(ROUNDUP(INDEX(Upgrades!$C$3:$C$13,MATCH(SUBSTITUTE(C633,""Sell_"",""""),Upgrades!$B$3:$B$13,0))*1.15^(COUNTIF(C$4:C632,SUBSTITUTE(C633,""Sell_"",""""))-COUNTIF(C$4:C632,"&amp;"""Sell_""&amp;SUBSTITUTE(C633,""Sell_"",""""))))/2),ROUNDUP(INDEX(Upgrades!$C$3:$C$13,MATCH(C633,Upgrades!$B$3:$B$13,0))*1.15^(COUNTIF(C$4:C632,C633)-COUNTIF(C$4:C632,""Sell_""&amp;C633))))))"),"")</f>
        <v/>
      </c>
      <c r="H633" s="10" t="str">
        <f t="shared" si="3"/>
        <v/>
      </c>
      <c r="I633" s="68" t="str">
        <f t="shared" si="4"/>
        <v/>
      </c>
      <c r="J633" s="59" t="str">
        <f t="shared" si="5"/>
        <v/>
      </c>
      <c r="K633" s="69" t="str">
        <f t="shared" si="6"/>
        <v/>
      </c>
      <c r="L633" s="60" t="str">
        <f t="shared" si="7"/>
        <v/>
      </c>
      <c r="M633" s="61" t="str">
        <f>IFERROR(__xludf.DUMMYFUNCTION("IFS(AND(COUNTA(C633:C1673)=0,COUNTA(Q633:Q1673)=0),"""",OR(AND(K633&gt;=1000000000,OR(Y633&gt;=1000000000,COUNTA(Q633:Q1673)=0)),OR(Y633&gt;=1000000000,AND(COUNTA(C633:C1673)=0,P$3=TRUE))),
ROUNDDOWN((AB$1-AC$1)*MAX(INDEX(T$4:T1673,MATCH(LARGE(FILTER(Y$4:Y1673,Y$4"&amp;":Y1673&lt;1000000000),1),Y$4:Y1673)),INDEX(F$4:F1673,MATCH(LARGE(FILTER(K$4:K1673,K$4:K1673&lt;1000000000),1),K$4:K1673)))),AND(K633&lt;1000000000,COUNTA(C633:C1673)&gt;0,P$3=FALSE),
ROUNDDOWN(INDEX(Y$4:Y1673,MATCH(LARGE(FILTER(W$4:W1673,W$4:W1673&lt;=I633),1),W$4:W1673"&amp;"))+(I633-LARGE(FILTER(W$4:W1673,W$4:W1673&lt;=I633),1))*INDEX(T$4:T1673,MATCH(LARGE(FILTER(W$4:W1673,W$4:W1673&lt;=I633),1),W$4:W1673))-K633),1,
ROUNDDOWN(Y633-INDEX(K$4:K1673,MATCH(LARGE(FILTER(I$4:I1673,I$4:I1673&lt;=W633),1),I$4:I1673))-(W633-LARGE(FILTER(I$4:I"&amp;"1673,I$4:I1673&lt;=W633),1))*INDEX(F$4:F1673,MATCH(LARGE(FILTER(I$4:I1673,I$4:I1673&lt;=W633),1),I$4:I1673))))"),"")</f>
        <v/>
      </c>
      <c r="N633" s="60" t="str">
        <f t="shared" si="8"/>
        <v/>
      </c>
      <c r="O633" s="61" t="str">
        <f t="shared" si="9"/>
        <v/>
      </c>
      <c r="P633" s="56" t="str">
        <f t="shared" si="10"/>
        <v/>
      </c>
      <c r="Q633" s="105"/>
      <c r="R633" s="10"/>
      <c r="S633" s="59" t="str">
        <f t="array" ref="S633">IF(COUNTA(Q633:Q1673)=0,"",SUM((COUNTIF(Q$4:Q633,Upgrades!$B$3:$B$13)-COUNTIF(Q$4:Q633,"Sell_"&amp;Upgrades!$B$3:$B$13))*Upgrades!$D$3:$D$13))</f>
        <v/>
      </c>
      <c r="T633" s="66" t="str">
        <f>IFERROR(__xludf.DUMMYFUNCTION("IF(COUNTA(Q633:Q1673)=0,"""",IF(REGEXMATCH(INDEX(FILTER(Q$4:Q633,Q$4:Q633&lt;&gt;""""),ROWS(FILTER(Q$4:Q633,Q$4:Q633&lt;&gt;""""))),""^Sell_""),INDEX(FILTER(T$4:T632,Q$4:Q632&lt;&gt;""""),ROWS(FILTER(Q$4:Q632,Q$4:Q632&lt;&gt;""""))),$AD$5+S633))"),"")</f>
        <v/>
      </c>
      <c r="U633" s="10" t="str">
        <f>IFERROR(__xludf.DUMMYFUNCTION("IF(COUNTA(Q633:Q1673)=0,"""",IF(Q633="""",0,IF(REGEXMATCH(Q633,""^Sell_""),-ROUNDDOWN(ROUNDUP(INDEX(Upgrades!$C$3:$C$13,MATCH(SUBSTITUTE(Q633,""Sell_"",""""),Upgrades!$B$3:$B$13,0))*1.15^(COUNTIF(Q$4:Q632,SUBSTITUTE(Q633,""Sell_"",""""))-COUNTIF(Q$4:Q632,"&amp;"""Sell_""&amp;SUBSTITUTE(Q633,""Sell_"",""""))))/2),ROUNDUP(INDEX(Upgrades!$C$3:$C$13,MATCH(Q633,Upgrades!$B$3:$B$13,0))*1.15^(COUNTIF(Q$4:Q632,Q633)-COUNTIF(Q$4:Q632,""Sell_""&amp;Q633))))))"),"")</f>
        <v/>
      </c>
      <c r="V633" s="10" t="str">
        <f t="shared" si="11"/>
        <v/>
      </c>
      <c r="W633" s="68" t="str">
        <f t="shared" si="12"/>
        <v/>
      </c>
      <c r="X633" s="59" t="str">
        <f t="shared" si="13"/>
        <v/>
      </c>
      <c r="Y633" s="69" t="str">
        <f t="shared" si="14"/>
        <v/>
      </c>
      <c r="Z633" s="11"/>
    </row>
    <row r="634">
      <c r="A634" s="8"/>
      <c r="B634" s="56" t="str">
        <f t="shared" si="2"/>
        <v/>
      </c>
      <c r="C634" s="105"/>
      <c r="D634" s="10"/>
      <c r="E634" s="59" t="str">
        <f t="array" ref="E634">IF(COUNTA(C634:C1673)=0,"",SUM((COUNTIF(C$4:C634,Upgrades!$B$3:$B$13)-COUNTIF(C$4:C634,"Sell_"&amp;Upgrades!$B$3:$B$13))*Upgrades!$D$3:$D$13))</f>
        <v/>
      </c>
      <c r="F634" s="66" t="str">
        <f>IFERROR(__xludf.DUMMYFUNCTION("IF(COUNTA(C634:C1673)=0,"""",IF(REGEXMATCH(INDEX(FILTER(C$4:C634,C$4:C634&lt;&gt;""""),ROWS(FILTER(C$4:C634,C$4:C634&lt;&gt;""""))),""^Sell_""),INDEX(FILTER(F$4:F633,C$4:C633&lt;&gt;""""),ROWS(FILTER(C$4:C633,C$4:C633&lt;&gt;""""))),$AC$5+E634))"),"")</f>
        <v/>
      </c>
      <c r="G634" s="10" t="str">
        <f>IFERROR(__xludf.DUMMYFUNCTION("IF(COUNTA(C634:C1673)=0,"""",IF(C634="""",0,IF(REGEXMATCH(C634,""^Sell_""),-ROUNDDOWN(ROUNDUP(INDEX(Upgrades!$C$3:$C$13,MATCH(SUBSTITUTE(C634,""Sell_"",""""),Upgrades!$B$3:$B$13,0))*1.15^(COUNTIF(C$4:C633,SUBSTITUTE(C634,""Sell_"",""""))-COUNTIF(C$4:C633,"&amp;"""Sell_""&amp;SUBSTITUTE(C634,""Sell_"",""""))))/2),ROUNDUP(INDEX(Upgrades!$C$3:$C$13,MATCH(C634,Upgrades!$B$3:$B$13,0))*1.15^(COUNTIF(C$4:C633,C634)-COUNTIF(C$4:C633,""Sell_""&amp;C634))))))"),"")</f>
        <v/>
      </c>
      <c r="H634" s="10" t="str">
        <f t="shared" si="3"/>
        <v/>
      </c>
      <c r="I634" s="68" t="str">
        <f t="shared" si="4"/>
        <v/>
      </c>
      <c r="J634" s="59" t="str">
        <f t="shared" si="5"/>
        <v/>
      </c>
      <c r="K634" s="69" t="str">
        <f t="shared" si="6"/>
        <v/>
      </c>
      <c r="L634" s="60" t="str">
        <f t="shared" si="7"/>
        <v/>
      </c>
      <c r="M634" s="61" t="str">
        <f>IFERROR(__xludf.DUMMYFUNCTION("IFS(AND(COUNTA(C634:C1673)=0,COUNTA(Q634:Q1673)=0),"""",OR(AND(K634&gt;=1000000000,OR(Y634&gt;=1000000000,COUNTA(Q634:Q1673)=0)),OR(Y634&gt;=1000000000,AND(COUNTA(C634:C1673)=0,P$3=TRUE))),
ROUNDDOWN((AB$1-AC$1)*MAX(INDEX(T$4:T1673,MATCH(LARGE(FILTER(Y$4:Y1673,Y$4"&amp;":Y1673&lt;1000000000),1),Y$4:Y1673)),INDEX(F$4:F1673,MATCH(LARGE(FILTER(K$4:K1673,K$4:K1673&lt;1000000000),1),K$4:K1673)))),AND(K634&lt;1000000000,COUNTA(C634:C1673)&gt;0,P$3=FALSE),
ROUNDDOWN(INDEX(Y$4:Y1673,MATCH(LARGE(FILTER(W$4:W1673,W$4:W1673&lt;=I634),1),W$4:W1673"&amp;"))+(I634-LARGE(FILTER(W$4:W1673,W$4:W1673&lt;=I634),1))*INDEX(T$4:T1673,MATCH(LARGE(FILTER(W$4:W1673,W$4:W1673&lt;=I634),1),W$4:W1673))-K634),1,
ROUNDDOWN(Y634-INDEX(K$4:K1673,MATCH(LARGE(FILTER(I$4:I1673,I$4:I1673&lt;=W634),1),I$4:I1673))-(W634-LARGE(FILTER(I$4:I"&amp;"1673,I$4:I1673&lt;=W634),1))*INDEX(F$4:F1673,MATCH(LARGE(FILTER(I$4:I1673,I$4:I1673&lt;=W634),1),I$4:I1673))))"),"")</f>
        <v/>
      </c>
      <c r="N634" s="60" t="str">
        <f t="shared" si="8"/>
        <v/>
      </c>
      <c r="O634" s="61" t="str">
        <f t="shared" si="9"/>
        <v/>
      </c>
      <c r="P634" s="56" t="str">
        <f t="shared" si="10"/>
        <v/>
      </c>
      <c r="Q634" s="105"/>
      <c r="R634" s="10"/>
      <c r="S634" s="59" t="str">
        <f t="array" ref="S634">IF(COUNTA(Q634:Q1673)=0,"",SUM((COUNTIF(Q$4:Q634,Upgrades!$B$3:$B$13)-COUNTIF(Q$4:Q634,"Sell_"&amp;Upgrades!$B$3:$B$13))*Upgrades!$D$3:$D$13))</f>
        <v/>
      </c>
      <c r="T634" s="66" t="str">
        <f>IFERROR(__xludf.DUMMYFUNCTION("IF(COUNTA(Q634:Q1673)=0,"""",IF(REGEXMATCH(INDEX(FILTER(Q$4:Q634,Q$4:Q634&lt;&gt;""""),ROWS(FILTER(Q$4:Q634,Q$4:Q634&lt;&gt;""""))),""^Sell_""),INDEX(FILTER(T$4:T633,Q$4:Q633&lt;&gt;""""),ROWS(FILTER(Q$4:Q633,Q$4:Q633&lt;&gt;""""))),$AD$5+S634))"),"")</f>
        <v/>
      </c>
      <c r="U634" s="10" t="str">
        <f>IFERROR(__xludf.DUMMYFUNCTION("IF(COUNTA(Q634:Q1673)=0,"""",IF(Q634="""",0,IF(REGEXMATCH(Q634,""^Sell_""),-ROUNDDOWN(ROUNDUP(INDEX(Upgrades!$C$3:$C$13,MATCH(SUBSTITUTE(Q634,""Sell_"",""""),Upgrades!$B$3:$B$13,0))*1.15^(COUNTIF(Q$4:Q633,SUBSTITUTE(Q634,""Sell_"",""""))-COUNTIF(Q$4:Q633,"&amp;"""Sell_""&amp;SUBSTITUTE(Q634,""Sell_"",""""))))/2),ROUNDUP(INDEX(Upgrades!$C$3:$C$13,MATCH(Q634,Upgrades!$B$3:$B$13,0))*1.15^(COUNTIF(Q$4:Q633,Q634)-COUNTIF(Q$4:Q633,""Sell_""&amp;Q634))))))"),"")</f>
        <v/>
      </c>
      <c r="V634" s="10" t="str">
        <f t="shared" si="11"/>
        <v/>
      </c>
      <c r="W634" s="68" t="str">
        <f t="shared" si="12"/>
        <v/>
      </c>
      <c r="X634" s="59" t="str">
        <f t="shared" si="13"/>
        <v/>
      </c>
      <c r="Y634" s="69" t="str">
        <f t="shared" si="14"/>
        <v/>
      </c>
      <c r="Z634" s="11"/>
    </row>
    <row r="635">
      <c r="A635" s="8"/>
      <c r="B635" s="56" t="str">
        <f t="shared" si="2"/>
        <v/>
      </c>
      <c r="C635" s="105"/>
      <c r="D635" s="10"/>
      <c r="E635" s="59" t="str">
        <f t="array" ref="E635">IF(COUNTA(C635:C1673)=0,"",SUM((COUNTIF(C$4:C635,Upgrades!$B$3:$B$13)-COUNTIF(C$4:C635,"Sell_"&amp;Upgrades!$B$3:$B$13))*Upgrades!$D$3:$D$13))</f>
        <v/>
      </c>
      <c r="F635" s="66" t="str">
        <f>IFERROR(__xludf.DUMMYFUNCTION("IF(COUNTA(C635:C1673)=0,"""",IF(REGEXMATCH(INDEX(FILTER(C$4:C635,C$4:C635&lt;&gt;""""),ROWS(FILTER(C$4:C635,C$4:C635&lt;&gt;""""))),""^Sell_""),INDEX(FILTER(F$4:F634,C$4:C634&lt;&gt;""""),ROWS(FILTER(C$4:C634,C$4:C634&lt;&gt;""""))),$AC$5+E635))"),"")</f>
        <v/>
      </c>
      <c r="G635" s="10" t="str">
        <f>IFERROR(__xludf.DUMMYFUNCTION("IF(COUNTA(C635:C1673)=0,"""",IF(C635="""",0,IF(REGEXMATCH(C635,""^Sell_""),-ROUNDDOWN(ROUNDUP(INDEX(Upgrades!$C$3:$C$13,MATCH(SUBSTITUTE(C635,""Sell_"",""""),Upgrades!$B$3:$B$13,0))*1.15^(COUNTIF(C$4:C634,SUBSTITUTE(C635,""Sell_"",""""))-COUNTIF(C$4:C634,"&amp;"""Sell_""&amp;SUBSTITUTE(C635,""Sell_"",""""))))/2),ROUNDUP(INDEX(Upgrades!$C$3:$C$13,MATCH(C635,Upgrades!$B$3:$B$13,0))*1.15^(COUNTIF(C$4:C634,C635)-COUNTIF(C$4:C634,""Sell_""&amp;C635))))))"),"")</f>
        <v/>
      </c>
      <c r="H635" s="10" t="str">
        <f t="shared" si="3"/>
        <v/>
      </c>
      <c r="I635" s="68" t="str">
        <f t="shared" si="4"/>
        <v/>
      </c>
      <c r="J635" s="59" t="str">
        <f t="shared" si="5"/>
        <v/>
      </c>
      <c r="K635" s="69" t="str">
        <f t="shared" si="6"/>
        <v/>
      </c>
      <c r="L635" s="60" t="str">
        <f t="shared" si="7"/>
        <v/>
      </c>
      <c r="M635" s="61" t="str">
        <f>IFERROR(__xludf.DUMMYFUNCTION("IFS(AND(COUNTA(C635:C1673)=0,COUNTA(Q635:Q1673)=0),"""",OR(AND(K635&gt;=1000000000,OR(Y635&gt;=1000000000,COUNTA(Q635:Q1673)=0)),OR(Y635&gt;=1000000000,AND(COUNTA(C635:C1673)=0,P$3=TRUE))),
ROUNDDOWN((AB$1-AC$1)*MAX(INDEX(T$4:T1673,MATCH(LARGE(FILTER(Y$4:Y1673,Y$4"&amp;":Y1673&lt;1000000000),1),Y$4:Y1673)),INDEX(F$4:F1673,MATCH(LARGE(FILTER(K$4:K1673,K$4:K1673&lt;1000000000),1),K$4:K1673)))),AND(K635&lt;1000000000,COUNTA(C635:C1673)&gt;0,P$3=FALSE),
ROUNDDOWN(INDEX(Y$4:Y1673,MATCH(LARGE(FILTER(W$4:W1673,W$4:W1673&lt;=I635),1),W$4:W1673"&amp;"))+(I635-LARGE(FILTER(W$4:W1673,W$4:W1673&lt;=I635),1))*INDEX(T$4:T1673,MATCH(LARGE(FILTER(W$4:W1673,W$4:W1673&lt;=I635),1),W$4:W1673))-K635),1,
ROUNDDOWN(Y635-INDEX(K$4:K1673,MATCH(LARGE(FILTER(I$4:I1673,I$4:I1673&lt;=W635),1),I$4:I1673))-(W635-LARGE(FILTER(I$4:I"&amp;"1673,I$4:I1673&lt;=W635),1))*INDEX(F$4:F1673,MATCH(LARGE(FILTER(I$4:I1673,I$4:I1673&lt;=W635),1),I$4:I1673))))"),"")</f>
        <v/>
      </c>
      <c r="N635" s="60" t="str">
        <f t="shared" si="8"/>
        <v/>
      </c>
      <c r="O635" s="61" t="str">
        <f t="shared" si="9"/>
        <v/>
      </c>
      <c r="P635" s="56" t="str">
        <f t="shared" si="10"/>
        <v/>
      </c>
      <c r="Q635" s="105"/>
      <c r="R635" s="10"/>
      <c r="S635" s="59" t="str">
        <f t="array" ref="S635">IF(COUNTA(Q635:Q1673)=0,"",SUM((COUNTIF(Q$4:Q635,Upgrades!$B$3:$B$13)-COUNTIF(Q$4:Q635,"Sell_"&amp;Upgrades!$B$3:$B$13))*Upgrades!$D$3:$D$13))</f>
        <v/>
      </c>
      <c r="T635" s="66" t="str">
        <f>IFERROR(__xludf.DUMMYFUNCTION("IF(COUNTA(Q635:Q1673)=0,"""",IF(REGEXMATCH(INDEX(FILTER(Q$4:Q635,Q$4:Q635&lt;&gt;""""),ROWS(FILTER(Q$4:Q635,Q$4:Q635&lt;&gt;""""))),""^Sell_""),INDEX(FILTER(T$4:T634,Q$4:Q634&lt;&gt;""""),ROWS(FILTER(Q$4:Q634,Q$4:Q634&lt;&gt;""""))),$AD$5+S635))"),"")</f>
        <v/>
      </c>
      <c r="U635" s="10" t="str">
        <f>IFERROR(__xludf.DUMMYFUNCTION("IF(COUNTA(Q635:Q1673)=0,"""",IF(Q635="""",0,IF(REGEXMATCH(Q635,""^Sell_""),-ROUNDDOWN(ROUNDUP(INDEX(Upgrades!$C$3:$C$13,MATCH(SUBSTITUTE(Q635,""Sell_"",""""),Upgrades!$B$3:$B$13,0))*1.15^(COUNTIF(Q$4:Q634,SUBSTITUTE(Q635,""Sell_"",""""))-COUNTIF(Q$4:Q634,"&amp;"""Sell_""&amp;SUBSTITUTE(Q635,""Sell_"",""""))))/2),ROUNDUP(INDEX(Upgrades!$C$3:$C$13,MATCH(Q635,Upgrades!$B$3:$B$13,0))*1.15^(COUNTIF(Q$4:Q634,Q635)-COUNTIF(Q$4:Q634,""Sell_""&amp;Q635))))))"),"")</f>
        <v/>
      </c>
      <c r="V635" s="10" t="str">
        <f t="shared" si="11"/>
        <v/>
      </c>
      <c r="W635" s="68" t="str">
        <f t="shared" si="12"/>
        <v/>
      </c>
      <c r="X635" s="59" t="str">
        <f t="shared" si="13"/>
        <v/>
      </c>
      <c r="Y635" s="69" t="str">
        <f t="shared" si="14"/>
        <v/>
      </c>
      <c r="Z635" s="11"/>
    </row>
    <row r="636">
      <c r="A636" s="8"/>
      <c r="B636" s="56" t="str">
        <f t="shared" si="2"/>
        <v/>
      </c>
      <c r="C636" s="105"/>
      <c r="D636" s="10"/>
      <c r="E636" s="59" t="str">
        <f t="array" ref="E636">IF(COUNTA(C636:C1673)=0,"",SUM((COUNTIF(C$4:C636,Upgrades!$B$3:$B$13)-COUNTIF(C$4:C636,"Sell_"&amp;Upgrades!$B$3:$B$13))*Upgrades!$D$3:$D$13))</f>
        <v/>
      </c>
      <c r="F636" s="66" t="str">
        <f>IFERROR(__xludf.DUMMYFUNCTION("IF(COUNTA(C636:C1673)=0,"""",IF(REGEXMATCH(INDEX(FILTER(C$4:C636,C$4:C636&lt;&gt;""""),ROWS(FILTER(C$4:C636,C$4:C636&lt;&gt;""""))),""^Sell_""),INDEX(FILTER(F$4:F635,C$4:C635&lt;&gt;""""),ROWS(FILTER(C$4:C635,C$4:C635&lt;&gt;""""))),$AC$5+E636))"),"")</f>
        <v/>
      </c>
      <c r="G636" s="10" t="str">
        <f>IFERROR(__xludf.DUMMYFUNCTION("IF(COUNTA(C636:C1673)=0,"""",IF(C636="""",0,IF(REGEXMATCH(C636,""^Sell_""),-ROUNDDOWN(ROUNDUP(INDEX(Upgrades!$C$3:$C$13,MATCH(SUBSTITUTE(C636,""Sell_"",""""),Upgrades!$B$3:$B$13,0))*1.15^(COUNTIF(C$4:C635,SUBSTITUTE(C636,""Sell_"",""""))-COUNTIF(C$4:C635,"&amp;"""Sell_""&amp;SUBSTITUTE(C636,""Sell_"",""""))))/2),ROUNDUP(INDEX(Upgrades!$C$3:$C$13,MATCH(C636,Upgrades!$B$3:$B$13,0))*1.15^(COUNTIF(C$4:C635,C636)-COUNTIF(C$4:C635,""Sell_""&amp;C636))))))"),"")</f>
        <v/>
      </c>
      <c r="H636" s="10" t="str">
        <f t="shared" si="3"/>
        <v/>
      </c>
      <c r="I636" s="68" t="str">
        <f t="shared" si="4"/>
        <v/>
      </c>
      <c r="J636" s="59" t="str">
        <f t="shared" si="5"/>
        <v/>
      </c>
      <c r="K636" s="69" t="str">
        <f t="shared" si="6"/>
        <v/>
      </c>
      <c r="L636" s="60" t="str">
        <f t="shared" si="7"/>
        <v/>
      </c>
      <c r="M636" s="61" t="str">
        <f>IFERROR(__xludf.DUMMYFUNCTION("IFS(AND(COUNTA(C636:C1673)=0,COUNTA(Q636:Q1673)=0),"""",OR(AND(K636&gt;=1000000000,OR(Y636&gt;=1000000000,COUNTA(Q636:Q1673)=0)),OR(Y636&gt;=1000000000,AND(COUNTA(C636:C1673)=0,P$3=TRUE))),
ROUNDDOWN((AB$1-AC$1)*MAX(INDEX(T$4:T1673,MATCH(LARGE(FILTER(Y$4:Y1673,Y$4"&amp;":Y1673&lt;1000000000),1),Y$4:Y1673)),INDEX(F$4:F1673,MATCH(LARGE(FILTER(K$4:K1673,K$4:K1673&lt;1000000000),1),K$4:K1673)))),AND(K636&lt;1000000000,COUNTA(C636:C1673)&gt;0,P$3=FALSE),
ROUNDDOWN(INDEX(Y$4:Y1673,MATCH(LARGE(FILTER(W$4:W1673,W$4:W1673&lt;=I636),1),W$4:W1673"&amp;"))+(I636-LARGE(FILTER(W$4:W1673,W$4:W1673&lt;=I636),1))*INDEX(T$4:T1673,MATCH(LARGE(FILTER(W$4:W1673,W$4:W1673&lt;=I636),1),W$4:W1673))-K636),1,
ROUNDDOWN(Y636-INDEX(K$4:K1673,MATCH(LARGE(FILTER(I$4:I1673,I$4:I1673&lt;=W636),1),I$4:I1673))-(W636-LARGE(FILTER(I$4:I"&amp;"1673,I$4:I1673&lt;=W636),1))*INDEX(F$4:F1673,MATCH(LARGE(FILTER(I$4:I1673,I$4:I1673&lt;=W636),1),I$4:I1673))))"),"")</f>
        <v/>
      </c>
      <c r="N636" s="60" t="str">
        <f t="shared" si="8"/>
        <v/>
      </c>
      <c r="O636" s="61" t="str">
        <f t="shared" si="9"/>
        <v/>
      </c>
      <c r="P636" s="56" t="str">
        <f t="shared" si="10"/>
        <v/>
      </c>
      <c r="Q636" s="105"/>
      <c r="R636" s="10"/>
      <c r="S636" s="59" t="str">
        <f t="array" ref="S636">IF(COUNTA(Q636:Q1673)=0,"",SUM((COUNTIF(Q$4:Q636,Upgrades!$B$3:$B$13)-COUNTIF(Q$4:Q636,"Sell_"&amp;Upgrades!$B$3:$B$13))*Upgrades!$D$3:$D$13))</f>
        <v/>
      </c>
      <c r="T636" s="66" t="str">
        <f>IFERROR(__xludf.DUMMYFUNCTION("IF(COUNTA(Q636:Q1673)=0,"""",IF(REGEXMATCH(INDEX(FILTER(Q$4:Q636,Q$4:Q636&lt;&gt;""""),ROWS(FILTER(Q$4:Q636,Q$4:Q636&lt;&gt;""""))),""^Sell_""),INDEX(FILTER(T$4:T635,Q$4:Q635&lt;&gt;""""),ROWS(FILTER(Q$4:Q635,Q$4:Q635&lt;&gt;""""))),$AD$5+S636))"),"")</f>
        <v/>
      </c>
      <c r="U636" s="10" t="str">
        <f>IFERROR(__xludf.DUMMYFUNCTION("IF(COUNTA(Q636:Q1673)=0,"""",IF(Q636="""",0,IF(REGEXMATCH(Q636,""^Sell_""),-ROUNDDOWN(ROUNDUP(INDEX(Upgrades!$C$3:$C$13,MATCH(SUBSTITUTE(Q636,""Sell_"",""""),Upgrades!$B$3:$B$13,0))*1.15^(COUNTIF(Q$4:Q635,SUBSTITUTE(Q636,""Sell_"",""""))-COUNTIF(Q$4:Q635,"&amp;"""Sell_""&amp;SUBSTITUTE(Q636,""Sell_"",""""))))/2),ROUNDUP(INDEX(Upgrades!$C$3:$C$13,MATCH(Q636,Upgrades!$B$3:$B$13,0))*1.15^(COUNTIF(Q$4:Q635,Q636)-COUNTIF(Q$4:Q635,""Sell_""&amp;Q636))))))"),"")</f>
        <v/>
      </c>
      <c r="V636" s="10" t="str">
        <f t="shared" si="11"/>
        <v/>
      </c>
      <c r="W636" s="68" t="str">
        <f t="shared" si="12"/>
        <v/>
      </c>
      <c r="X636" s="59" t="str">
        <f t="shared" si="13"/>
        <v/>
      </c>
      <c r="Y636" s="69" t="str">
        <f t="shared" si="14"/>
        <v/>
      </c>
      <c r="Z636" s="11"/>
    </row>
    <row r="637">
      <c r="A637" s="8"/>
      <c r="B637" s="56" t="str">
        <f t="shared" si="2"/>
        <v/>
      </c>
      <c r="C637" s="105"/>
      <c r="D637" s="10"/>
      <c r="E637" s="59" t="str">
        <f t="array" ref="E637">IF(COUNTA(C637:C1673)=0,"",SUM((COUNTIF(C$4:C637,Upgrades!$B$3:$B$13)-COUNTIF(C$4:C637,"Sell_"&amp;Upgrades!$B$3:$B$13))*Upgrades!$D$3:$D$13))</f>
        <v/>
      </c>
      <c r="F637" s="66" t="str">
        <f>IFERROR(__xludf.DUMMYFUNCTION("IF(COUNTA(C637:C1673)=0,"""",IF(REGEXMATCH(INDEX(FILTER(C$4:C637,C$4:C637&lt;&gt;""""),ROWS(FILTER(C$4:C637,C$4:C637&lt;&gt;""""))),""^Sell_""),INDEX(FILTER(F$4:F636,C$4:C636&lt;&gt;""""),ROWS(FILTER(C$4:C636,C$4:C636&lt;&gt;""""))),$AC$5+E637))"),"")</f>
        <v/>
      </c>
      <c r="G637" s="10" t="str">
        <f>IFERROR(__xludf.DUMMYFUNCTION("IF(COUNTA(C637:C1673)=0,"""",IF(C637="""",0,IF(REGEXMATCH(C637,""^Sell_""),-ROUNDDOWN(ROUNDUP(INDEX(Upgrades!$C$3:$C$13,MATCH(SUBSTITUTE(C637,""Sell_"",""""),Upgrades!$B$3:$B$13,0))*1.15^(COUNTIF(C$4:C636,SUBSTITUTE(C637,""Sell_"",""""))-COUNTIF(C$4:C636,"&amp;"""Sell_""&amp;SUBSTITUTE(C637,""Sell_"",""""))))/2),ROUNDUP(INDEX(Upgrades!$C$3:$C$13,MATCH(C637,Upgrades!$B$3:$B$13,0))*1.15^(COUNTIF(C$4:C636,C637)-COUNTIF(C$4:C636,""Sell_""&amp;C637))))))"),"")</f>
        <v/>
      </c>
      <c r="H637" s="10" t="str">
        <f t="shared" si="3"/>
        <v/>
      </c>
      <c r="I637" s="68" t="str">
        <f t="shared" si="4"/>
        <v/>
      </c>
      <c r="J637" s="59" t="str">
        <f t="shared" si="5"/>
        <v/>
      </c>
      <c r="K637" s="69" t="str">
        <f t="shared" si="6"/>
        <v/>
      </c>
      <c r="L637" s="60" t="str">
        <f t="shared" si="7"/>
        <v/>
      </c>
      <c r="M637" s="61" t="str">
        <f>IFERROR(__xludf.DUMMYFUNCTION("IFS(AND(COUNTA(C637:C1673)=0,COUNTA(Q637:Q1673)=0),"""",OR(AND(K637&gt;=1000000000,OR(Y637&gt;=1000000000,COUNTA(Q637:Q1673)=0)),OR(Y637&gt;=1000000000,AND(COUNTA(C637:C1673)=0,P$3=TRUE))),
ROUNDDOWN((AB$1-AC$1)*MAX(INDEX(T$4:T1673,MATCH(LARGE(FILTER(Y$4:Y1673,Y$4"&amp;":Y1673&lt;1000000000),1),Y$4:Y1673)),INDEX(F$4:F1673,MATCH(LARGE(FILTER(K$4:K1673,K$4:K1673&lt;1000000000),1),K$4:K1673)))),AND(K637&lt;1000000000,COUNTA(C637:C1673)&gt;0,P$3=FALSE),
ROUNDDOWN(INDEX(Y$4:Y1673,MATCH(LARGE(FILTER(W$4:W1673,W$4:W1673&lt;=I637),1),W$4:W1673"&amp;"))+(I637-LARGE(FILTER(W$4:W1673,W$4:W1673&lt;=I637),1))*INDEX(T$4:T1673,MATCH(LARGE(FILTER(W$4:W1673,W$4:W1673&lt;=I637),1),W$4:W1673))-K637),1,
ROUNDDOWN(Y637-INDEX(K$4:K1673,MATCH(LARGE(FILTER(I$4:I1673,I$4:I1673&lt;=W637),1),I$4:I1673))-(W637-LARGE(FILTER(I$4:I"&amp;"1673,I$4:I1673&lt;=W637),1))*INDEX(F$4:F1673,MATCH(LARGE(FILTER(I$4:I1673,I$4:I1673&lt;=W637),1),I$4:I1673))))"),"")</f>
        <v/>
      </c>
      <c r="N637" s="60" t="str">
        <f t="shared" si="8"/>
        <v/>
      </c>
      <c r="O637" s="61" t="str">
        <f t="shared" si="9"/>
        <v/>
      </c>
      <c r="P637" s="56" t="str">
        <f t="shared" si="10"/>
        <v/>
      </c>
      <c r="Q637" s="105"/>
      <c r="R637" s="10"/>
      <c r="S637" s="59" t="str">
        <f t="array" ref="S637">IF(COUNTA(Q637:Q1673)=0,"",SUM((COUNTIF(Q$4:Q637,Upgrades!$B$3:$B$13)-COUNTIF(Q$4:Q637,"Sell_"&amp;Upgrades!$B$3:$B$13))*Upgrades!$D$3:$D$13))</f>
        <v/>
      </c>
      <c r="T637" s="66" t="str">
        <f>IFERROR(__xludf.DUMMYFUNCTION("IF(COUNTA(Q637:Q1673)=0,"""",IF(REGEXMATCH(INDEX(FILTER(Q$4:Q637,Q$4:Q637&lt;&gt;""""),ROWS(FILTER(Q$4:Q637,Q$4:Q637&lt;&gt;""""))),""^Sell_""),INDEX(FILTER(T$4:T636,Q$4:Q636&lt;&gt;""""),ROWS(FILTER(Q$4:Q636,Q$4:Q636&lt;&gt;""""))),$AD$5+S637))"),"")</f>
        <v/>
      </c>
      <c r="U637" s="10" t="str">
        <f>IFERROR(__xludf.DUMMYFUNCTION("IF(COUNTA(Q637:Q1673)=0,"""",IF(Q637="""",0,IF(REGEXMATCH(Q637,""^Sell_""),-ROUNDDOWN(ROUNDUP(INDEX(Upgrades!$C$3:$C$13,MATCH(SUBSTITUTE(Q637,""Sell_"",""""),Upgrades!$B$3:$B$13,0))*1.15^(COUNTIF(Q$4:Q636,SUBSTITUTE(Q637,""Sell_"",""""))-COUNTIF(Q$4:Q636,"&amp;"""Sell_""&amp;SUBSTITUTE(Q637,""Sell_"",""""))))/2),ROUNDUP(INDEX(Upgrades!$C$3:$C$13,MATCH(Q637,Upgrades!$B$3:$B$13,0))*1.15^(COUNTIF(Q$4:Q636,Q637)-COUNTIF(Q$4:Q636,""Sell_""&amp;Q637))))))"),"")</f>
        <v/>
      </c>
      <c r="V637" s="10" t="str">
        <f t="shared" si="11"/>
        <v/>
      </c>
      <c r="W637" s="68" t="str">
        <f t="shared" si="12"/>
        <v/>
      </c>
      <c r="X637" s="59" t="str">
        <f t="shared" si="13"/>
        <v/>
      </c>
      <c r="Y637" s="69" t="str">
        <f t="shared" si="14"/>
        <v/>
      </c>
      <c r="Z637" s="11"/>
    </row>
    <row r="638">
      <c r="A638" s="8"/>
      <c r="B638" s="56" t="str">
        <f t="shared" si="2"/>
        <v/>
      </c>
      <c r="C638" s="105"/>
      <c r="D638" s="10"/>
      <c r="E638" s="59" t="str">
        <f t="array" ref="E638">IF(COUNTA(C638:C1673)=0,"",SUM((COUNTIF(C$4:C638,Upgrades!$B$3:$B$13)-COUNTIF(C$4:C638,"Sell_"&amp;Upgrades!$B$3:$B$13))*Upgrades!$D$3:$D$13))</f>
        <v/>
      </c>
      <c r="F638" s="66" t="str">
        <f>IFERROR(__xludf.DUMMYFUNCTION("IF(COUNTA(C638:C1673)=0,"""",IF(REGEXMATCH(INDEX(FILTER(C$4:C638,C$4:C638&lt;&gt;""""),ROWS(FILTER(C$4:C638,C$4:C638&lt;&gt;""""))),""^Sell_""),INDEX(FILTER(F$4:F637,C$4:C637&lt;&gt;""""),ROWS(FILTER(C$4:C637,C$4:C637&lt;&gt;""""))),$AC$5+E638))"),"")</f>
        <v/>
      </c>
      <c r="G638" s="10" t="str">
        <f>IFERROR(__xludf.DUMMYFUNCTION("IF(COUNTA(C638:C1673)=0,"""",IF(C638="""",0,IF(REGEXMATCH(C638,""^Sell_""),-ROUNDDOWN(ROUNDUP(INDEX(Upgrades!$C$3:$C$13,MATCH(SUBSTITUTE(C638,""Sell_"",""""),Upgrades!$B$3:$B$13,0))*1.15^(COUNTIF(C$4:C637,SUBSTITUTE(C638,""Sell_"",""""))-COUNTIF(C$4:C637,"&amp;"""Sell_""&amp;SUBSTITUTE(C638,""Sell_"",""""))))/2),ROUNDUP(INDEX(Upgrades!$C$3:$C$13,MATCH(C638,Upgrades!$B$3:$B$13,0))*1.15^(COUNTIF(C$4:C637,C638)-COUNTIF(C$4:C637,""Sell_""&amp;C638))))))"),"")</f>
        <v/>
      </c>
      <c r="H638" s="10" t="str">
        <f t="shared" si="3"/>
        <v/>
      </c>
      <c r="I638" s="68" t="str">
        <f t="shared" si="4"/>
        <v/>
      </c>
      <c r="J638" s="59" t="str">
        <f t="shared" si="5"/>
        <v/>
      </c>
      <c r="K638" s="69" t="str">
        <f t="shared" si="6"/>
        <v/>
      </c>
      <c r="L638" s="60" t="str">
        <f t="shared" si="7"/>
        <v/>
      </c>
      <c r="M638" s="61" t="str">
        <f>IFERROR(__xludf.DUMMYFUNCTION("IFS(AND(COUNTA(C638:C1673)=0,COUNTA(Q638:Q1673)=0),"""",OR(AND(K638&gt;=1000000000,OR(Y638&gt;=1000000000,COUNTA(Q638:Q1673)=0)),OR(Y638&gt;=1000000000,AND(COUNTA(C638:C1673)=0,P$3=TRUE))),
ROUNDDOWN((AB$1-AC$1)*MAX(INDEX(T$4:T1673,MATCH(LARGE(FILTER(Y$4:Y1673,Y$4"&amp;":Y1673&lt;1000000000),1),Y$4:Y1673)),INDEX(F$4:F1673,MATCH(LARGE(FILTER(K$4:K1673,K$4:K1673&lt;1000000000),1),K$4:K1673)))),AND(K638&lt;1000000000,COUNTA(C638:C1673)&gt;0,P$3=FALSE),
ROUNDDOWN(INDEX(Y$4:Y1673,MATCH(LARGE(FILTER(W$4:W1673,W$4:W1673&lt;=I638),1),W$4:W1673"&amp;"))+(I638-LARGE(FILTER(W$4:W1673,W$4:W1673&lt;=I638),1))*INDEX(T$4:T1673,MATCH(LARGE(FILTER(W$4:W1673,W$4:W1673&lt;=I638),1),W$4:W1673))-K638),1,
ROUNDDOWN(Y638-INDEX(K$4:K1673,MATCH(LARGE(FILTER(I$4:I1673,I$4:I1673&lt;=W638),1),I$4:I1673))-(W638-LARGE(FILTER(I$4:I"&amp;"1673,I$4:I1673&lt;=W638),1))*INDEX(F$4:F1673,MATCH(LARGE(FILTER(I$4:I1673,I$4:I1673&lt;=W638),1),I$4:I1673))))"),"")</f>
        <v/>
      </c>
      <c r="N638" s="60" t="str">
        <f t="shared" si="8"/>
        <v/>
      </c>
      <c r="O638" s="61" t="str">
        <f t="shared" si="9"/>
        <v/>
      </c>
      <c r="P638" s="56" t="str">
        <f t="shared" si="10"/>
        <v/>
      </c>
      <c r="Q638" s="105"/>
      <c r="R638" s="10"/>
      <c r="S638" s="59" t="str">
        <f t="array" ref="S638">IF(COUNTA(Q638:Q1673)=0,"",SUM((COUNTIF(Q$4:Q638,Upgrades!$B$3:$B$13)-COUNTIF(Q$4:Q638,"Sell_"&amp;Upgrades!$B$3:$B$13))*Upgrades!$D$3:$D$13))</f>
        <v/>
      </c>
      <c r="T638" s="66" t="str">
        <f>IFERROR(__xludf.DUMMYFUNCTION("IF(COUNTA(Q638:Q1673)=0,"""",IF(REGEXMATCH(INDEX(FILTER(Q$4:Q638,Q$4:Q638&lt;&gt;""""),ROWS(FILTER(Q$4:Q638,Q$4:Q638&lt;&gt;""""))),""^Sell_""),INDEX(FILTER(T$4:T637,Q$4:Q637&lt;&gt;""""),ROWS(FILTER(Q$4:Q637,Q$4:Q637&lt;&gt;""""))),$AD$5+S638))"),"")</f>
        <v/>
      </c>
      <c r="U638" s="10" t="str">
        <f>IFERROR(__xludf.DUMMYFUNCTION("IF(COUNTA(Q638:Q1673)=0,"""",IF(Q638="""",0,IF(REGEXMATCH(Q638,""^Sell_""),-ROUNDDOWN(ROUNDUP(INDEX(Upgrades!$C$3:$C$13,MATCH(SUBSTITUTE(Q638,""Sell_"",""""),Upgrades!$B$3:$B$13,0))*1.15^(COUNTIF(Q$4:Q637,SUBSTITUTE(Q638,""Sell_"",""""))-COUNTIF(Q$4:Q637,"&amp;"""Sell_""&amp;SUBSTITUTE(Q638,""Sell_"",""""))))/2),ROUNDUP(INDEX(Upgrades!$C$3:$C$13,MATCH(Q638,Upgrades!$B$3:$B$13,0))*1.15^(COUNTIF(Q$4:Q637,Q638)-COUNTIF(Q$4:Q637,""Sell_""&amp;Q638))))))"),"")</f>
        <v/>
      </c>
      <c r="V638" s="10" t="str">
        <f t="shared" si="11"/>
        <v/>
      </c>
      <c r="W638" s="68" t="str">
        <f t="shared" si="12"/>
        <v/>
      </c>
      <c r="X638" s="59" t="str">
        <f t="shared" si="13"/>
        <v/>
      </c>
      <c r="Y638" s="69" t="str">
        <f t="shared" si="14"/>
        <v/>
      </c>
      <c r="Z638" s="11"/>
    </row>
    <row r="639">
      <c r="A639" s="8"/>
      <c r="B639" s="56" t="str">
        <f t="shared" si="2"/>
        <v/>
      </c>
      <c r="C639" s="105"/>
      <c r="D639" s="10"/>
      <c r="E639" s="59" t="str">
        <f t="array" ref="E639">IF(COUNTA(C639:C1673)=0,"",SUM((COUNTIF(C$4:C639,Upgrades!$B$3:$B$13)-COUNTIF(C$4:C639,"Sell_"&amp;Upgrades!$B$3:$B$13))*Upgrades!$D$3:$D$13))</f>
        <v/>
      </c>
      <c r="F639" s="66" t="str">
        <f>IFERROR(__xludf.DUMMYFUNCTION("IF(COUNTA(C639:C1673)=0,"""",IF(REGEXMATCH(INDEX(FILTER(C$4:C639,C$4:C639&lt;&gt;""""),ROWS(FILTER(C$4:C639,C$4:C639&lt;&gt;""""))),""^Sell_""),INDEX(FILTER(F$4:F638,C$4:C638&lt;&gt;""""),ROWS(FILTER(C$4:C638,C$4:C638&lt;&gt;""""))),$AC$5+E639))"),"")</f>
        <v/>
      </c>
      <c r="G639" s="10" t="str">
        <f>IFERROR(__xludf.DUMMYFUNCTION("IF(COUNTA(C639:C1673)=0,"""",IF(C639="""",0,IF(REGEXMATCH(C639,""^Sell_""),-ROUNDDOWN(ROUNDUP(INDEX(Upgrades!$C$3:$C$13,MATCH(SUBSTITUTE(C639,""Sell_"",""""),Upgrades!$B$3:$B$13,0))*1.15^(COUNTIF(C$4:C638,SUBSTITUTE(C639,""Sell_"",""""))-COUNTIF(C$4:C638,"&amp;"""Sell_""&amp;SUBSTITUTE(C639,""Sell_"",""""))))/2),ROUNDUP(INDEX(Upgrades!$C$3:$C$13,MATCH(C639,Upgrades!$B$3:$B$13,0))*1.15^(COUNTIF(C$4:C638,C639)-COUNTIF(C$4:C638,""Sell_""&amp;C639))))))"),"")</f>
        <v/>
      </c>
      <c r="H639" s="10" t="str">
        <f t="shared" si="3"/>
        <v/>
      </c>
      <c r="I639" s="68" t="str">
        <f t="shared" si="4"/>
        <v/>
      </c>
      <c r="J639" s="59" t="str">
        <f t="shared" si="5"/>
        <v/>
      </c>
      <c r="K639" s="69" t="str">
        <f t="shared" si="6"/>
        <v/>
      </c>
      <c r="L639" s="60" t="str">
        <f t="shared" si="7"/>
        <v/>
      </c>
      <c r="M639" s="61" t="str">
        <f>IFERROR(__xludf.DUMMYFUNCTION("IFS(AND(COUNTA(C639:C1673)=0,COUNTA(Q639:Q1673)=0),"""",OR(AND(K639&gt;=1000000000,OR(Y639&gt;=1000000000,COUNTA(Q639:Q1673)=0)),OR(Y639&gt;=1000000000,AND(COUNTA(C639:C1673)=0,P$3=TRUE))),
ROUNDDOWN((AB$1-AC$1)*MAX(INDEX(T$4:T1673,MATCH(LARGE(FILTER(Y$4:Y1673,Y$4"&amp;":Y1673&lt;1000000000),1),Y$4:Y1673)),INDEX(F$4:F1673,MATCH(LARGE(FILTER(K$4:K1673,K$4:K1673&lt;1000000000),1),K$4:K1673)))),AND(K639&lt;1000000000,COUNTA(C639:C1673)&gt;0,P$3=FALSE),
ROUNDDOWN(INDEX(Y$4:Y1673,MATCH(LARGE(FILTER(W$4:W1673,W$4:W1673&lt;=I639),1),W$4:W1673"&amp;"))+(I639-LARGE(FILTER(W$4:W1673,W$4:W1673&lt;=I639),1))*INDEX(T$4:T1673,MATCH(LARGE(FILTER(W$4:W1673,W$4:W1673&lt;=I639),1),W$4:W1673))-K639),1,
ROUNDDOWN(Y639-INDEX(K$4:K1673,MATCH(LARGE(FILTER(I$4:I1673,I$4:I1673&lt;=W639),1),I$4:I1673))-(W639-LARGE(FILTER(I$4:I"&amp;"1673,I$4:I1673&lt;=W639),1))*INDEX(F$4:F1673,MATCH(LARGE(FILTER(I$4:I1673,I$4:I1673&lt;=W639),1),I$4:I1673))))"),"")</f>
        <v/>
      </c>
      <c r="N639" s="60" t="str">
        <f t="shared" si="8"/>
        <v/>
      </c>
      <c r="O639" s="61" t="str">
        <f t="shared" si="9"/>
        <v/>
      </c>
      <c r="P639" s="56" t="str">
        <f t="shared" si="10"/>
        <v/>
      </c>
      <c r="Q639" s="105"/>
      <c r="R639" s="10"/>
      <c r="S639" s="59" t="str">
        <f t="array" ref="S639">IF(COUNTA(Q639:Q1673)=0,"",SUM((COUNTIF(Q$4:Q639,Upgrades!$B$3:$B$13)-COUNTIF(Q$4:Q639,"Sell_"&amp;Upgrades!$B$3:$B$13))*Upgrades!$D$3:$D$13))</f>
        <v/>
      </c>
      <c r="T639" s="66" t="str">
        <f>IFERROR(__xludf.DUMMYFUNCTION("IF(COUNTA(Q639:Q1673)=0,"""",IF(REGEXMATCH(INDEX(FILTER(Q$4:Q639,Q$4:Q639&lt;&gt;""""),ROWS(FILTER(Q$4:Q639,Q$4:Q639&lt;&gt;""""))),""^Sell_""),INDEX(FILTER(T$4:T638,Q$4:Q638&lt;&gt;""""),ROWS(FILTER(Q$4:Q638,Q$4:Q638&lt;&gt;""""))),$AD$5+S639))"),"")</f>
        <v/>
      </c>
      <c r="U639" s="10" t="str">
        <f>IFERROR(__xludf.DUMMYFUNCTION("IF(COUNTA(Q639:Q1673)=0,"""",IF(Q639="""",0,IF(REGEXMATCH(Q639,""^Sell_""),-ROUNDDOWN(ROUNDUP(INDEX(Upgrades!$C$3:$C$13,MATCH(SUBSTITUTE(Q639,""Sell_"",""""),Upgrades!$B$3:$B$13,0))*1.15^(COUNTIF(Q$4:Q638,SUBSTITUTE(Q639,""Sell_"",""""))-COUNTIF(Q$4:Q638,"&amp;"""Sell_""&amp;SUBSTITUTE(Q639,""Sell_"",""""))))/2),ROUNDUP(INDEX(Upgrades!$C$3:$C$13,MATCH(Q639,Upgrades!$B$3:$B$13,0))*1.15^(COUNTIF(Q$4:Q638,Q639)-COUNTIF(Q$4:Q638,""Sell_""&amp;Q639))))))"),"")</f>
        <v/>
      </c>
      <c r="V639" s="10" t="str">
        <f t="shared" si="11"/>
        <v/>
      </c>
      <c r="W639" s="68" t="str">
        <f t="shared" si="12"/>
        <v/>
      </c>
      <c r="X639" s="59" t="str">
        <f t="shared" si="13"/>
        <v/>
      </c>
      <c r="Y639" s="69" t="str">
        <f t="shared" si="14"/>
        <v/>
      </c>
      <c r="Z639" s="11"/>
    </row>
    <row r="640">
      <c r="A640" s="8"/>
      <c r="B640" s="56" t="str">
        <f t="shared" si="2"/>
        <v/>
      </c>
      <c r="C640" s="105"/>
      <c r="D640" s="10"/>
      <c r="E640" s="59" t="str">
        <f t="array" ref="E640">IF(COUNTA(C640:C1673)=0,"",SUM((COUNTIF(C$4:C640,Upgrades!$B$3:$B$13)-COUNTIF(C$4:C640,"Sell_"&amp;Upgrades!$B$3:$B$13))*Upgrades!$D$3:$D$13))</f>
        <v/>
      </c>
      <c r="F640" s="66" t="str">
        <f>IFERROR(__xludf.DUMMYFUNCTION("IF(COUNTA(C640:C1673)=0,"""",IF(REGEXMATCH(INDEX(FILTER(C$4:C640,C$4:C640&lt;&gt;""""),ROWS(FILTER(C$4:C640,C$4:C640&lt;&gt;""""))),""^Sell_""),INDEX(FILTER(F$4:F639,C$4:C639&lt;&gt;""""),ROWS(FILTER(C$4:C639,C$4:C639&lt;&gt;""""))),$AC$5+E640))"),"")</f>
        <v/>
      </c>
      <c r="G640" s="10" t="str">
        <f>IFERROR(__xludf.DUMMYFUNCTION("IF(COUNTA(C640:C1673)=0,"""",IF(C640="""",0,IF(REGEXMATCH(C640,""^Sell_""),-ROUNDDOWN(ROUNDUP(INDEX(Upgrades!$C$3:$C$13,MATCH(SUBSTITUTE(C640,""Sell_"",""""),Upgrades!$B$3:$B$13,0))*1.15^(COUNTIF(C$4:C639,SUBSTITUTE(C640,""Sell_"",""""))-COUNTIF(C$4:C639,"&amp;"""Sell_""&amp;SUBSTITUTE(C640,""Sell_"",""""))))/2),ROUNDUP(INDEX(Upgrades!$C$3:$C$13,MATCH(C640,Upgrades!$B$3:$B$13,0))*1.15^(COUNTIF(C$4:C639,C640)-COUNTIF(C$4:C639,""Sell_""&amp;C640))))))"),"")</f>
        <v/>
      </c>
      <c r="H640" s="10" t="str">
        <f t="shared" si="3"/>
        <v/>
      </c>
      <c r="I640" s="68" t="str">
        <f t="shared" si="4"/>
        <v/>
      </c>
      <c r="J640" s="59" t="str">
        <f t="shared" si="5"/>
        <v/>
      </c>
      <c r="K640" s="69" t="str">
        <f t="shared" si="6"/>
        <v/>
      </c>
      <c r="L640" s="60" t="str">
        <f t="shared" si="7"/>
        <v/>
      </c>
      <c r="M640" s="61" t="str">
        <f>IFERROR(__xludf.DUMMYFUNCTION("IFS(AND(COUNTA(C640:C1673)=0,COUNTA(Q640:Q1673)=0),"""",OR(AND(K640&gt;=1000000000,OR(Y640&gt;=1000000000,COUNTA(Q640:Q1673)=0)),OR(Y640&gt;=1000000000,AND(COUNTA(C640:C1673)=0,P$3=TRUE))),
ROUNDDOWN((AB$1-AC$1)*MAX(INDEX(T$4:T1673,MATCH(LARGE(FILTER(Y$4:Y1673,Y$4"&amp;":Y1673&lt;1000000000),1),Y$4:Y1673)),INDEX(F$4:F1673,MATCH(LARGE(FILTER(K$4:K1673,K$4:K1673&lt;1000000000),1),K$4:K1673)))),AND(K640&lt;1000000000,COUNTA(C640:C1673)&gt;0,P$3=FALSE),
ROUNDDOWN(INDEX(Y$4:Y1673,MATCH(LARGE(FILTER(W$4:W1673,W$4:W1673&lt;=I640),1),W$4:W1673"&amp;"))+(I640-LARGE(FILTER(W$4:W1673,W$4:W1673&lt;=I640),1))*INDEX(T$4:T1673,MATCH(LARGE(FILTER(W$4:W1673,W$4:W1673&lt;=I640),1),W$4:W1673))-K640),1,
ROUNDDOWN(Y640-INDEX(K$4:K1673,MATCH(LARGE(FILTER(I$4:I1673,I$4:I1673&lt;=W640),1),I$4:I1673))-(W640-LARGE(FILTER(I$4:I"&amp;"1673,I$4:I1673&lt;=W640),1))*INDEX(F$4:F1673,MATCH(LARGE(FILTER(I$4:I1673,I$4:I1673&lt;=W640),1),I$4:I1673))))"),"")</f>
        <v/>
      </c>
      <c r="N640" s="60" t="str">
        <f t="shared" si="8"/>
        <v/>
      </c>
      <c r="O640" s="61" t="str">
        <f t="shared" si="9"/>
        <v/>
      </c>
      <c r="P640" s="56" t="str">
        <f t="shared" si="10"/>
        <v/>
      </c>
      <c r="Q640" s="105"/>
      <c r="R640" s="10"/>
      <c r="S640" s="59" t="str">
        <f t="array" ref="S640">IF(COUNTA(Q640:Q1673)=0,"",SUM((COUNTIF(Q$4:Q640,Upgrades!$B$3:$B$13)-COUNTIF(Q$4:Q640,"Sell_"&amp;Upgrades!$B$3:$B$13))*Upgrades!$D$3:$D$13))</f>
        <v/>
      </c>
      <c r="T640" s="66" t="str">
        <f>IFERROR(__xludf.DUMMYFUNCTION("IF(COUNTA(Q640:Q1673)=0,"""",IF(REGEXMATCH(INDEX(FILTER(Q$4:Q640,Q$4:Q640&lt;&gt;""""),ROWS(FILTER(Q$4:Q640,Q$4:Q640&lt;&gt;""""))),""^Sell_""),INDEX(FILTER(T$4:T639,Q$4:Q639&lt;&gt;""""),ROWS(FILTER(Q$4:Q639,Q$4:Q639&lt;&gt;""""))),$AD$5+S640))"),"")</f>
        <v/>
      </c>
      <c r="U640" s="10" t="str">
        <f>IFERROR(__xludf.DUMMYFUNCTION("IF(COUNTA(Q640:Q1673)=0,"""",IF(Q640="""",0,IF(REGEXMATCH(Q640,""^Sell_""),-ROUNDDOWN(ROUNDUP(INDEX(Upgrades!$C$3:$C$13,MATCH(SUBSTITUTE(Q640,""Sell_"",""""),Upgrades!$B$3:$B$13,0))*1.15^(COUNTIF(Q$4:Q639,SUBSTITUTE(Q640,""Sell_"",""""))-COUNTIF(Q$4:Q639,"&amp;"""Sell_""&amp;SUBSTITUTE(Q640,""Sell_"",""""))))/2),ROUNDUP(INDEX(Upgrades!$C$3:$C$13,MATCH(Q640,Upgrades!$B$3:$B$13,0))*1.15^(COUNTIF(Q$4:Q639,Q640)-COUNTIF(Q$4:Q639,""Sell_""&amp;Q640))))))"),"")</f>
        <v/>
      </c>
      <c r="V640" s="10" t="str">
        <f t="shared" si="11"/>
        <v/>
      </c>
      <c r="W640" s="68" t="str">
        <f t="shared" si="12"/>
        <v/>
      </c>
      <c r="X640" s="59" t="str">
        <f t="shared" si="13"/>
        <v/>
      </c>
      <c r="Y640" s="69" t="str">
        <f t="shared" si="14"/>
        <v/>
      </c>
      <c r="Z640" s="11"/>
    </row>
    <row r="641">
      <c r="A641" s="8"/>
      <c r="B641" s="56" t="str">
        <f t="shared" si="2"/>
        <v/>
      </c>
      <c r="C641" s="105"/>
      <c r="D641" s="10"/>
      <c r="E641" s="59" t="str">
        <f t="array" ref="E641">IF(COUNTA(C641:C1673)=0,"",SUM((COUNTIF(C$4:C641,Upgrades!$B$3:$B$13)-COUNTIF(C$4:C641,"Sell_"&amp;Upgrades!$B$3:$B$13))*Upgrades!$D$3:$D$13))</f>
        <v/>
      </c>
      <c r="F641" s="66" t="str">
        <f>IFERROR(__xludf.DUMMYFUNCTION("IF(COUNTA(C641:C1673)=0,"""",IF(REGEXMATCH(INDEX(FILTER(C$4:C641,C$4:C641&lt;&gt;""""),ROWS(FILTER(C$4:C641,C$4:C641&lt;&gt;""""))),""^Sell_""),INDEX(FILTER(F$4:F640,C$4:C640&lt;&gt;""""),ROWS(FILTER(C$4:C640,C$4:C640&lt;&gt;""""))),$AC$5+E641))"),"")</f>
        <v/>
      </c>
      <c r="G641" s="10" t="str">
        <f>IFERROR(__xludf.DUMMYFUNCTION("IF(COUNTA(C641:C1673)=0,"""",IF(C641="""",0,IF(REGEXMATCH(C641,""^Sell_""),-ROUNDDOWN(ROUNDUP(INDEX(Upgrades!$C$3:$C$13,MATCH(SUBSTITUTE(C641,""Sell_"",""""),Upgrades!$B$3:$B$13,0))*1.15^(COUNTIF(C$4:C640,SUBSTITUTE(C641,""Sell_"",""""))-COUNTIF(C$4:C640,"&amp;"""Sell_""&amp;SUBSTITUTE(C641,""Sell_"",""""))))/2),ROUNDUP(INDEX(Upgrades!$C$3:$C$13,MATCH(C641,Upgrades!$B$3:$B$13,0))*1.15^(COUNTIF(C$4:C640,C641)-COUNTIF(C$4:C640,""Sell_""&amp;C641))))))"),"")</f>
        <v/>
      </c>
      <c r="H641" s="10" t="str">
        <f t="shared" si="3"/>
        <v/>
      </c>
      <c r="I641" s="68" t="str">
        <f t="shared" si="4"/>
        <v/>
      </c>
      <c r="J641" s="59" t="str">
        <f t="shared" si="5"/>
        <v/>
      </c>
      <c r="K641" s="69" t="str">
        <f t="shared" si="6"/>
        <v/>
      </c>
      <c r="L641" s="60" t="str">
        <f t="shared" si="7"/>
        <v/>
      </c>
      <c r="M641" s="61" t="str">
        <f>IFERROR(__xludf.DUMMYFUNCTION("IFS(AND(COUNTA(C641:C1673)=0,COUNTA(Q641:Q1673)=0),"""",OR(AND(K641&gt;=1000000000,OR(Y641&gt;=1000000000,COUNTA(Q641:Q1673)=0)),OR(Y641&gt;=1000000000,AND(COUNTA(C641:C1673)=0,P$3=TRUE))),
ROUNDDOWN((AB$1-AC$1)*MAX(INDEX(T$4:T1673,MATCH(LARGE(FILTER(Y$4:Y1673,Y$4"&amp;":Y1673&lt;1000000000),1),Y$4:Y1673)),INDEX(F$4:F1673,MATCH(LARGE(FILTER(K$4:K1673,K$4:K1673&lt;1000000000),1),K$4:K1673)))),AND(K641&lt;1000000000,COUNTA(C641:C1673)&gt;0,P$3=FALSE),
ROUNDDOWN(INDEX(Y$4:Y1673,MATCH(LARGE(FILTER(W$4:W1673,W$4:W1673&lt;=I641),1),W$4:W1673"&amp;"))+(I641-LARGE(FILTER(W$4:W1673,W$4:W1673&lt;=I641),1))*INDEX(T$4:T1673,MATCH(LARGE(FILTER(W$4:W1673,W$4:W1673&lt;=I641),1),W$4:W1673))-K641),1,
ROUNDDOWN(Y641-INDEX(K$4:K1673,MATCH(LARGE(FILTER(I$4:I1673,I$4:I1673&lt;=W641),1),I$4:I1673))-(W641-LARGE(FILTER(I$4:I"&amp;"1673,I$4:I1673&lt;=W641),1))*INDEX(F$4:F1673,MATCH(LARGE(FILTER(I$4:I1673,I$4:I1673&lt;=W641),1),I$4:I1673))))"),"")</f>
        <v/>
      </c>
      <c r="N641" s="60" t="str">
        <f t="shared" si="8"/>
        <v/>
      </c>
      <c r="O641" s="61" t="str">
        <f t="shared" si="9"/>
        <v/>
      </c>
      <c r="P641" s="56" t="str">
        <f t="shared" si="10"/>
        <v/>
      </c>
      <c r="Q641" s="105"/>
      <c r="R641" s="10"/>
      <c r="S641" s="59" t="str">
        <f t="array" ref="S641">IF(COUNTA(Q641:Q1673)=0,"",SUM((COUNTIF(Q$4:Q641,Upgrades!$B$3:$B$13)-COUNTIF(Q$4:Q641,"Sell_"&amp;Upgrades!$B$3:$B$13))*Upgrades!$D$3:$D$13))</f>
        <v/>
      </c>
      <c r="T641" s="66" t="str">
        <f>IFERROR(__xludf.DUMMYFUNCTION("IF(COUNTA(Q641:Q1673)=0,"""",IF(REGEXMATCH(INDEX(FILTER(Q$4:Q641,Q$4:Q641&lt;&gt;""""),ROWS(FILTER(Q$4:Q641,Q$4:Q641&lt;&gt;""""))),""^Sell_""),INDEX(FILTER(T$4:T640,Q$4:Q640&lt;&gt;""""),ROWS(FILTER(Q$4:Q640,Q$4:Q640&lt;&gt;""""))),$AD$5+S641))"),"")</f>
        <v/>
      </c>
      <c r="U641" s="10" t="str">
        <f>IFERROR(__xludf.DUMMYFUNCTION("IF(COUNTA(Q641:Q1673)=0,"""",IF(Q641="""",0,IF(REGEXMATCH(Q641,""^Sell_""),-ROUNDDOWN(ROUNDUP(INDEX(Upgrades!$C$3:$C$13,MATCH(SUBSTITUTE(Q641,""Sell_"",""""),Upgrades!$B$3:$B$13,0))*1.15^(COUNTIF(Q$4:Q640,SUBSTITUTE(Q641,""Sell_"",""""))-COUNTIF(Q$4:Q640,"&amp;"""Sell_""&amp;SUBSTITUTE(Q641,""Sell_"",""""))))/2),ROUNDUP(INDEX(Upgrades!$C$3:$C$13,MATCH(Q641,Upgrades!$B$3:$B$13,0))*1.15^(COUNTIF(Q$4:Q640,Q641)-COUNTIF(Q$4:Q640,""Sell_""&amp;Q641))))))"),"")</f>
        <v/>
      </c>
      <c r="V641" s="10" t="str">
        <f t="shared" si="11"/>
        <v/>
      </c>
      <c r="W641" s="68" t="str">
        <f t="shared" si="12"/>
        <v/>
      </c>
      <c r="X641" s="59" t="str">
        <f t="shared" si="13"/>
        <v/>
      </c>
      <c r="Y641" s="69" t="str">
        <f t="shared" si="14"/>
        <v/>
      </c>
      <c r="Z641" s="11"/>
    </row>
    <row r="642">
      <c r="A642" s="8"/>
      <c r="B642" s="56" t="str">
        <f t="shared" si="2"/>
        <v/>
      </c>
      <c r="C642" s="105"/>
      <c r="D642" s="10"/>
      <c r="E642" s="59" t="str">
        <f t="array" ref="E642">IF(COUNTA(C642:C1673)=0,"",SUM((COUNTIF(C$4:C642,Upgrades!$B$3:$B$13)-COUNTIF(C$4:C642,"Sell_"&amp;Upgrades!$B$3:$B$13))*Upgrades!$D$3:$D$13))</f>
        <v/>
      </c>
      <c r="F642" s="66" t="str">
        <f>IFERROR(__xludf.DUMMYFUNCTION("IF(COUNTA(C642:C1673)=0,"""",IF(REGEXMATCH(INDEX(FILTER(C$4:C642,C$4:C642&lt;&gt;""""),ROWS(FILTER(C$4:C642,C$4:C642&lt;&gt;""""))),""^Sell_""),INDEX(FILTER(F$4:F641,C$4:C641&lt;&gt;""""),ROWS(FILTER(C$4:C641,C$4:C641&lt;&gt;""""))),$AC$5+E642))"),"")</f>
        <v/>
      </c>
      <c r="G642" s="10" t="str">
        <f>IFERROR(__xludf.DUMMYFUNCTION("IF(COUNTA(C642:C1673)=0,"""",IF(C642="""",0,IF(REGEXMATCH(C642,""^Sell_""),-ROUNDDOWN(ROUNDUP(INDEX(Upgrades!$C$3:$C$13,MATCH(SUBSTITUTE(C642,""Sell_"",""""),Upgrades!$B$3:$B$13,0))*1.15^(COUNTIF(C$4:C641,SUBSTITUTE(C642,""Sell_"",""""))-COUNTIF(C$4:C641,"&amp;"""Sell_""&amp;SUBSTITUTE(C642,""Sell_"",""""))))/2),ROUNDUP(INDEX(Upgrades!$C$3:$C$13,MATCH(C642,Upgrades!$B$3:$B$13,0))*1.15^(COUNTIF(C$4:C641,C642)-COUNTIF(C$4:C641,""Sell_""&amp;C642))))))"),"")</f>
        <v/>
      </c>
      <c r="H642" s="10" t="str">
        <f t="shared" si="3"/>
        <v/>
      </c>
      <c r="I642" s="68" t="str">
        <f t="shared" si="4"/>
        <v/>
      </c>
      <c r="J642" s="59" t="str">
        <f t="shared" si="5"/>
        <v/>
      </c>
      <c r="K642" s="69" t="str">
        <f t="shared" si="6"/>
        <v/>
      </c>
      <c r="L642" s="60" t="str">
        <f t="shared" si="7"/>
        <v/>
      </c>
      <c r="M642" s="61" t="str">
        <f>IFERROR(__xludf.DUMMYFUNCTION("IFS(AND(COUNTA(C642:C1673)=0,COUNTA(Q642:Q1673)=0),"""",OR(AND(K642&gt;=1000000000,OR(Y642&gt;=1000000000,COUNTA(Q642:Q1673)=0)),OR(Y642&gt;=1000000000,AND(COUNTA(C642:C1673)=0,P$3=TRUE))),
ROUNDDOWN((AB$1-AC$1)*MAX(INDEX(T$4:T1673,MATCH(LARGE(FILTER(Y$4:Y1673,Y$4"&amp;":Y1673&lt;1000000000),1),Y$4:Y1673)),INDEX(F$4:F1673,MATCH(LARGE(FILTER(K$4:K1673,K$4:K1673&lt;1000000000),1),K$4:K1673)))),AND(K642&lt;1000000000,COUNTA(C642:C1673)&gt;0,P$3=FALSE),
ROUNDDOWN(INDEX(Y$4:Y1673,MATCH(LARGE(FILTER(W$4:W1673,W$4:W1673&lt;=I642),1),W$4:W1673"&amp;"))+(I642-LARGE(FILTER(W$4:W1673,W$4:W1673&lt;=I642),1))*INDEX(T$4:T1673,MATCH(LARGE(FILTER(W$4:W1673,W$4:W1673&lt;=I642),1),W$4:W1673))-K642),1,
ROUNDDOWN(Y642-INDEX(K$4:K1673,MATCH(LARGE(FILTER(I$4:I1673,I$4:I1673&lt;=W642),1),I$4:I1673))-(W642-LARGE(FILTER(I$4:I"&amp;"1673,I$4:I1673&lt;=W642),1))*INDEX(F$4:F1673,MATCH(LARGE(FILTER(I$4:I1673,I$4:I1673&lt;=W642),1),I$4:I1673))))"),"")</f>
        <v/>
      </c>
      <c r="N642" s="60" t="str">
        <f t="shared" si="8"/>
        <v/>
      </c>
      <c r="O642" s="61" t="str">
        <f t="shared" si="9"/>
        <v/>
      </c>
      <c r="P642" s="56" t="str">
        <f t="shared" si="10"/>
        <v/>
      </c>
      <c r="Q642" s="105"/>
      <c r="R642" s="10"/>
      <c r="S642" s="59" t="str">
        <f t="array" ref="S642">IF(COUNTA(Q642:Q1673)=0,"",SUM((COUNTIF(Q$4:Q642,Upgrades!$B$3:$B$13)-COUNTIF(Q$4:Q642,"Sell_"&amp;Upgrades!$B$3:$B$13))*Upgrades!$D$3:$D$13))</f>
        <v/>
      </c>
      <c r="T642" s="66" t="str">
        <f>IFERROR(__xludf.DUMMYFUNCTION("IF(COUNTA(Q642:Q1673)=0,"""",IF(REGEXMATCH(INDEX(FILTER(Q$4:Q642,Q$4:Q642&lt;&gt;""""),ROWS(FILTER(Q$4:Q642,Q$4:Q642&lt;&gt;""""))),""^Sell_""),INDEX(FILTER(T$4:T641,Q$4:Q641&lt;&gt;""""),ROWS(FILTER(Q$4:Q641,Q$4:Q641&lt;&gt;""""))),$AD$5+S642))"),"")</f>
        <v/>
      </c>
      <c r="U642" s="10" t="str">
        <f>IFERROR(__xludf.DUMMYFUNCTION("IF(COUNTA(Q642:Q1673)=0,"""",IF(Q642="""",0,IF(REGEXMATCH(Q642,""^Sell_""),-ROUNDDOWN(ROUNDUP(INDEX(Upgrades!$C$3:$C$13,MATCH(SUBSTITUTE(Q642,""Sell_"",""""),Upgrades!$B$3:$B$13,0))*1.15^(COUNTIF(Q$4:Q641,SUBSTITUTE(Q642,""Sell_"",""""))-COUNTIF(Q$4:Q641,"&amp;"""Sell_""&amp;SUBSTITUTE(Q642,""Sell_"",""""))))/2),ROUNDUP(INDEX(Upgrades!$C$3:$C$13,MATCH(Q642,Upgrades!$B$3:$B$13,0))*1.15^(COUNTIF(Q$4:Q641,Q642)-COUNTIF(Q$4:Q641,""Sell_""&amp;Q642))))))"),"")</f>
        <v/>
      </c>
      <c r="V642" s="10" t="str">
        <f t="shared" si="11"/>
        <v/>
      </c>
      <c r="W642" s="68" t="str">
        <f t="shared" si="12"/>
        <v/>
      </c>
      <c r="X642" s="59" t="str">
        <f t="shared" si="13"/>
        <v/>
      </c>
      <c r="Y642" s="69" t="str">
        <f t="shared" si="14"/>
        <v/>
      </c>
      <c r="Z642" s="11"/>
    </row>
    <row r="643">
      <c r="A643" s="8"/>
      <c r="B643" s="56" t="str">
        <f t="shared" si="2"/>
        <v/>
      </c>
      <c r="C643" s="105"/>
      <c r="D643" s="10"/>
      <c r="E643" s="59" t="str">
        <f t="array" ref="E643">IF(COUNTA(C643:C1673)=0,"",SUM((COUNTIF(C$4:C643,Upgrades!$B$3:$B$13)-COUNTIF(C$4:C643,"Sell_"&amp;Upgrades!$B$3:$B$13))*Upgrades!$D$3:$D$13))</f>
        <v/>
      </c>
      <c r="F643" s="66" t="str">
        <f>IFERROR(__xludf.DUMMYFUNCTION("IF(COUNTA(C643:C1673)=0,"""",IF(REGEXMATCH(INDEX(FILTER(C$4:C643,C$4:C643&lt;&gt;""""),ROWS(FILTER(C$4:C643,C$4:C643&lt;&gt;""""))),""^Sell_""),INDEX(FILTER(F$4:F642,C$4:C642&lt;&gt;""""),ROWS(FILTER(C$4:C642,C$4:C642&lt;&gt;""""))),$AC$5+E643))"),"")</f>
        <v/>
      </c>
      <c r="G643" s="10" t="str">
        <f>IFERROR(__xludf.DUMMYFUNCTION("IF(COUNTA(C643:C1673)=0,"""",IF(C643="""",0,IF(REGEXMATCH(C643,""^Sell_""),-ROUNDDOWN(ROUNDUP(INDEX(Upgrades!$C$3:$C$13,MATCH(SUBSTITUTE(C643,""Sell_"",""""),Upgrades!$B$3:$B$13,0))*1.15^(COUNTIF(C$4:C642,SUBSTITUTE(C643,""Sell_"",""""))-COUNTIF(C$4:C642,"&amp;"""Sell_""&amp;SUBSTITUTE(C643,""Sell_"",""""))))/2),ROUNDUP(INDEX(Upgrades!$C$3:$C$13,MATCH(C643,Upgrades!$B$3:$B$13,0))*1.15^(COUNTIF(C$4:C642,C643)-COUNTIF(C$4:C642,""Sell_""&amp;C643))))))"),"")</f>
        <v/>
      </c>
      <c r="H643" s="10" t="str">
        <f t="shared" si="3"/>
        <v/>
      </c>
      <c r="I643" s="68" t="str">
        <f t="shared" si="4"/>
        <v/>
      </c>
      <c r="J643" s="59" t="str">
        <f t="shared" si="5"/>
        <v/>
      </c>
      <c r="K643" s="69" t="str">
        <f t="shared" si="6"/>
        <v/>
      </c>
      <c r="L643" s="60" t="str">
        <f t="shared" si="7"/>
        <v/>
      </c>
      <c r="M643" s="61" t="str">
        <f>IFERROR(__xludf.DUMMYFUNCTION("IFS(AND(COUNTA(C643:C1673)=0,COUNTA(Q643:Q1673)=0),"""",OR(AND(K643&gt;=1000000000,OR(Y643&gt;=1000000000,COUNTA(Q643:Q1673)=0)),OR(Y643&gt;=1000000000,AND(COUNTA(C643:C1673)=0,P$3=TRUE))),
ROUNDDOWN((AB$1-AC$1)*MAX(INDEX(T$4:T1673,MATCH(LARGE(FILTER(Y$4:Y1673,Y$4"&amp;":Y1673&lt;1000000000),1),Y$4:Y1673)),INDEX(F$4:F1673,MATCH(LARGE(FILTER(K$4:K1673,K$4:K1673&lt;1000000000),1),K$4:K1673)))),AND(K643&lt;1000000000,COUNTA(C643:C1673)&gt;0,P$3=FALSE),
ROUNDDOWN(INDEX(Y$4:Y1673,MATCH(LARGE(FILTER(W$4:W1673,W$4:W1673&lt;=I643),1),W$4:W1673"&amp;"))+(I643-LARGE(FILTER(W$4:W1673,W$4:W1673&lt;=I643),1))*INDEX(T$4:T1673,MATCH(LARGE(FILTER(W$4:W1673,W$4:W1673&lt;=I643),1),W$4:W1673))-K643),1,
ROUNDDOWN(Y643-INDEX(K$4:K1673,MATCH(LARGE(FILTER(I$4:I1673,I$4:I1673&lt;=W643),1),I$4:I1673))-(W643-LARGE(FILTER(I$4:I"&amp;"1673,I$4:I1673&lt;=W643),1))*INDEX(F$4:F1673,MATCH(LARGE(FILTER(I$4:I1673,I$4:I1673&lt;=W643),1),I$4:I1673))))"),"")</f>
        <v/>
      </c>
      <c r="N643" s="60" t="str">
        <f t="shared" si="8"/>
        <v/>
      </c>
      <c r="O643" s="61" t="str">
        <f t="shared" si="9"/>
        <v/>
      </c>
      <c r="P643" s="56" t="str">
        <f t="shared" si="10"/>
        <v/>
      </c>
      <c r="Q643" s="105"/>
      <c r="R643" s="10"/>
      <c r="S643" s="59" t="str">
        <f t="array" ref="S643">IF(COUNTA(Q643:Q1673)=0,"",SUM((COUNTIF(Q$4:Q643,Upgrades!$B$3:$B$13)-COUNTIF(Q$4:Q643,"Sell_"&amp;Upgrades!$B$3:$B$13))*Upgrades!$D$3:$D$13))</f>
        <v/>
      </c>
      <c r="T643" s="66" t="str">
        <f>IFERROR(__xludf.DUMMYFUNCTION("IF(COUNTA(Q643:Q1673)=0,"""",IF(REGEXMATCH(INDEX(FILTER(Q$4:Q643,Q$4:Q643&lt;&gt;""""),ROWS(FILTER(Q$4:Q643,Q$4:Q643&lt;&gt;""""))),""^Sell_""),INDEX(FILTER(T$4:T642,Q$4:Q642&lt;&gt;""""),ROWS(FILTER(Q$4:Q642,Q$4:Q642&lt;&gt;""""))),$AD$5+S643))"),"")</f>
        <v/>
      </c>
      <c r="U643" s="10" t="str">
        <f>IFERROR(__xludf.DUMMYFUNCTION("IF(COUNTA(Q643:Q1673)=0,"""",IF(Q643="""",0,IF(REGEXMATCH(Q643,""^Sell_""),-ROUNDDOWN(ROUNDUP(INDEX(Upgrades!$C$3:$C$13,MATCH(SUBSTITUTE(Q643,""Sell_"",""""),Upgrades!$B$3:$B$13,0))*1.15^(COUNTIF(Q$4:Q642,SUBSTITUTE(Q643,""Sell_"",""""))-COUNTIF(Q$4:Q642,"&amp;"""Sell_""&amp;SUBSTITUTE(Q643,""Sell_"",""""))))/2),ROUNDUP(INDEX(Upgrades!$C$3:$C$13,MATCH(Q643,Upgrades!$B$3:$B$13,0))*1.15^(COUNTIF(Q$4:Q642,Q643)-COUNTIF(Q$4:Q642,""Sell_""&amp;Q643))))))"),"")</f>
        <v/>
      </c>
      <c r="V643" s="10" t="str">
        <f t="shared" si="11"/>
        <v/>
      </c>
      <c r="W643" s="68" t="str">
        <f t="shared" si="12"/>
        <v/>
      </c>
      <c r="X643" s="59" t="str">
        <f t="shared" si="13"/>
        <v/>
      </c>
      <c r="Y643" s="69" t="str">
        <f t="shared" si="14"/>
        <v/>
      </c>
      <c r="Z643" s="11"/>
    </row>
    <row r="644">
      <c r="A644" s="8"/>
      <c r="B644" s="56" t="str">
        <f t="shared" si="2"/>
        <v/>
      </c>
      <c r="C644" s="105"/>
      <c r="D644" s="10"/>
      <c r="E644" s="59" t="str">
        <f t="array" ref="E644">IF(COUNTA(C644:C1673)=0,"",SUM((COUNTIF(C$4:C644,Upgrades!$B$3:$B$13)-COUNTIF(C$4:C644,"Sell_"&amp;Upgrades!$B$3:$B$13))*Upgrades!$D$3:$D$13))</f>
        <v/>
      </c>
      <c r="F644" s="66" t="str">
        <f>IFERROR(__xludf.DUMMYFUNCTION("IF(COUNTA(C644:C1673)=0,"""",IF(REGEXMATCH(INDEX(FILTER(C$4:C644,C$4:C644&lt;&gt;""""),ROWS(FILTER(C$4:C644,C$4:C644&lt;&gt;""""))),""^Sell_""),INDEX(FILTER(F$4:F643,C$4:C643&lt;&gt;""""),ROWS(FILTER(C$4:C643,C$4:C643&lt;&gt;""""))),$AC$5+E644))"),"")</f>
        <v/>
      </c>
      <c r="G644" s="10" t="str">
        <f>IFERROR(__xludf.DUMMYFUNCTION("IF(COUNTA(C644:C1673)=0,"""",IF(C644="""",0,IF(REGEXMATCH(C644,""^Sell_""),-ROUNDDOWN(ROUNDUP(INDEX(Upgrades!$C$3:$C$13,MATCH(SUBSTITUTE(C644,""Sell_"",""""),Upgrades!$B$3:$B$13,0))*1.15^(COUNTIF(C$4:C643,SUBSTITUTE(C644,""Sell_"",""""))-COUNTIF(C$4:C643,"&amp;"""Sell_""&amp;SUBSTITUTE(C644,""Sell_"",""""))))/2),ROUNDUP(INDEX(Upgrades!$C$3:$C$13,MATCH(C644,Upgrades!$B$3:$B$13,0))*1.15^(COUNTIF(C$4:C643,C644)-COUNTIF(C$4:C643,""Sell_""&amp;C644))))))"),"")</f>
        <v/>
      </c>
      <c r="H644" s="10" t="str">
        <f t="shared" si="3"/>
        <v/>
      </c>
      <c r="I644" s="68" t="str">
        <f t="shared" si="4"/>
        <v/>
      </c>
      <c r="J644" s="59" t="str">
        <f t="shared" si="5"/>
        <v/>
      </c>
      <c r="K644" s="69" t="str">
        <f t="shared" si="6"/>
        <v/>
      </c>
      <c r="L644" s="60" t="str">
        <f t="shared" si="7"/>
        <v/>
      </c>
      <c r="M644" s="61" t="str">
        <f>IFERROR(__xludf.DUMMYFUNCTION("IFS(AND(COUNTA(C644:C1673)=0,COUNTA(Q644:Q1673)=0),"""",OR(AND(K644&gt;=1000000000,OR(Y644&gt;=1000000000,COUNTA(Q644:Q1673)=0)),OR(Y644&gt;=1000000000,AND(COUNTA(C644:C1673)=0,P$3=TRUE))),
ROUNDDOWN((AB$1-AC$1)*MAX(INDEX(T$4:T1673,MATCH(LARGE(FILTER(Y$4:Y1673,Y$4"&amp;":Y1673&lt;1000000000),1),Y$4:Y1673)),INDEX(F$4:F1673,MATCH(LARGE(FILTER(K$4:K1673,K$4:K1673&lt;1000000000),1),K$4:K1673)))),AND(K644&lt;1000000000,COUNTA(C644:C1673)&gt;0,P$3=FALSE),
ROUNDDOWN(INDEX(Y$4:Y1673,MATCH(LARGE(FILTER(W$4:W1673,W$4:W1673&lt;=I644),1),W$4:W1673"&amp;"))+(I644-LARGE(FILTER(W$4:W1673,W$4:W1673&lt;=I644),1))*INDEX(T$4:T1673,MATCH(LARGE(FILTER(W$4:W1673,W$4:W1673&lt;=I644),1),W$4:W1673))-K644),1,
ROUNDDOWN(Y644-INDEX(K$4:K1673,MATCH(LARGE(FILTER(I$4:I1673,I$4:I1673&lt;=W644),1),I$4:I1673))-(W644-LARGE(FILTER(I$4:I"&amp;"1673,I$4:I1673&lt;=W644),1))*INDEX(F$4:F1673,MATCH(LARGE(FILTER(I$4:I1673,I$4:I1673&lt;=W644),1),I$4:I1673))))"),"")</f>
        <v/>
      </c>
      <c r="N644" s="60" t="str">
        <f t="shared" si="8"/>
        <v/>
      </c>
      <c r="O644" s="61" t="str">
        <f t="shared" si="9"/>
        <v/>
      </c>
      <c r="P644" s="56" t="str">
        <f t="shared" si="10"/>
        <v/>
      </c>
      <c r="Q644" s="105"/>
      <c r="R644" s="10"/>
      <c r="S644" s="59" t="str">
        <f t="array" ref="S644">IF(COUNTA(Q644:Q1673)=0,"",SUM((COUNTIF(Q$4:Q644,Upgrades!$B$3:$B$13)-COUNTIF(Q$4:Q644,"Sell_"&amp;Upgrades!$B$3:$B$13))*Upgrades!$D$3:$D$13))</f>
        <v/>
      </c>
      <c r="T644" s="66" t="str">
        <f>IFERROR(__xludf.DUMMYFUNCTION("IF(COUNTA(Q644:Q1673)=0,"""",IF(REGEXMATCH(INDEX(FILTER(Q$4:Q644,Q$4:Q644&lt;&gt;""""),ROWS(FILTER(Q$4:Q644,Q$4:Q644&lt;&gt;""""))),""^Sell_""),INDEX(FILTER(T$4:T643,Q$4:Q643&lt;&gt;""""),ROWS(FILTER(Q$4:Q643,Q$4:Q643&lt;&gt;""""))),$AD$5+S644))"),"")</f>
        <v/>
      </c>
      <c r="U644" s="10" t="str">
        <f>IFERROR(__xludf.DUMMYFUNCTION("IF(COUNTA(Q644:Q1673)=0,"""",IF(Q644="""",0,IF(REGEXMATCH(Q644,""^Sell_""),-ROUNDDOWN(ROUNDUP(INDEX(Upgrades!$C$3:$C$13,MATCH(SUBSTITUTE(Q644,""Sell_"",""""),Upgrades!$B$3:$B$13,0))*1.15^(COUNTIF(Q$4:Q643,SUBSTITUTE(Q644,""Sell_"",""""))-COUNTIF(Q$4:Q643,"&amp;"""Sell_""&amp;SUBSTITUTE(Q644,""Sell_"",""""))))/2),ROUNDUP(INDEX(Upgrades!$C$3:$C$13,MATCH(Q644,Upgrades!$B$3:$B$13,0))*1.15^(COUNTIF(Q$4:Q643,Q644)-COUNTIF(Q$4:Q643,""Sell_""&amp;Q644))))))"),"")</f>
        <v/>
      </c>
      <c r="V644" s="10" t="str">
        <f t="shared" si="11"/>
        <v/>
      </c>
      <c r="W644" s="68" t="str">
        <f t="shared" si="12"/>
        <v/>
      </c>
      <c r="X644" s="59" t="str">
        <f t="shared" si="13"/>
        <v/>
      </c>
      <c r="Y644" s="69" t="str">
        <f t="shared" si="14"/>
        <v/>
      </c>
      <c r="Z644" s="11"/>
    </row>
    <row r="645">
      <c r="A645" s="8"/>
      <c r="B645" s="56" t="str">
        <f t="shared" si="2"/>
        <v/>
      </c>
      <c r="C645" s="105"/>
      <c r="D645" s="10"/>
      <c r="E645" s="59" t="str">
        <f t="array" ref="E645">IF(COUNTA(C645:C1673)=0,"",SUM((COUNTIF(C$4:C645,Upgrades!$B$3:$B$13)-COUNTIF(C$4:C645,"Sell_"&amp;Upgrades!$B$3:$B$13))*Upgrades!$D$3:$D$13))</f>
        <v/>
      </c>
      <c r="F645" s="66" t="str">
        <f>IFERROR(__xludf.DUMMYFUNCTION("IF(COUNTA(C645:C1673)=0,"""",IF(REGEXMATCH(INDEX(FILTER(C$4:C645,C$4:C645&lt;&gt;""""),ROWS(FILTER(C$4:C645,C$4:C645&lt;&gt;""""))),""^Sell_""),INDEX(FILTER(F$4:F644,C$4:C644&lt;&gt;""""),ROWS(FILTER(C$4:C644,C$4:C644&lt;&gt;""""))),$AC$5+E645))"),"")</f>
        <v/>
      </c>
      <c r="G645" s="10" t="str">
        <f>IFERROR(__xludf.DUMMYFUNCTION("IF(COUNTA(C645:C1673)=0,"""",IF(C645="""",0,IF(REGEXMATCH(C645,""^Sell_""),-ROUNDDOWN(ROUNDUP(INDEX(Upgrades!$C$3:$C$13,MATCH(SUBSTITUTE(C645,""Sell_"",""""),Upgrades!$B$3:$B$13,0))*1.15^(COUNTIF(C$4:C644,SUBSTITUTE(C645,""Sell_"",""""))-COUNTIF(C$4:C644,"&amp;"""Sell_""&amp;SUBSTITUTE(C645,""Sell_"",""""))))/2),ROUNDUP(INDEX(Upgrades!$C$3:$C$13,MATCH(C645,Upgrades!$B$3:$B$13,0))*1.15^(COUNTIF(C$4:C644,C645)-COUNTIF(C$4:C644,""Sell_""&amp;C645))))))"),"")</f>
        <v/>
      </c>
      <c r="H645" s="10" t="str">
        <f t="shared" si="3"/>
        <v/>
      </c>
      <c r="I645" s="68" t="str">
        <f t="shared" si="4"/>
        <v/>
      </c>
      <c r="J645" s="59" t="str">
        <f t="shared" si="5"/>
        <v/>
      </c>
      <c r="K645" s="69" t="str">
        <f t="shared" si="6"/>
        <v/>
      </c>
      <c r="L645" s="60" t="str">
        <f t="shared" si="7"/>
        <v/>
      </c>
      <c r="M645" s="61" t="str">
        <f>IFERROR(__xludf.DUMMYFUNCTION("IFS(AND(COUNTA(C645:C1673)=0,COUNTA(Q645:Q1673)=0),"""",OR(AND(K645&gt;=1000000000,OR(Y645&gt;=1000000000,COUNTA(Q645:Q1673)=0)),OR(Y645&gt;=1000000000,AND(COUNTA(C645:C1673)=0,P$3=TRUE))),
ROUNDDOWN((AB$1-AC$1)*MAX(INDEX(T$4:T1673,MATCH(LARGE(FILTER(Y$4:Y1673,Y$4"&amp;":Y1673&lt;1000000000),1),Y$4:Y1673)),INDEX(F$4:F1673,MATCH(LARGE(FILTER(K$4:K1673,K$4:K1673&lt;1000000000),1),K$4:K1673)))),AND(K645&lt;1000000000,COUNTA(C645:C1673)&gt;0,P$3=FALSE),
ROUNDDOWN(INDEX(Y$4:Y1673,MATCH(LARGE(FILTER(W$4:W1673,W$4:W1673&lt;=I645),1),W$4:W1673"&amp;"))+(I645-LARGE(FILTER(W$4:W1673,W$4:W1673&lt;=I645),1))*INDEX(T$4:T1673,MATCH(LARGE(FILTER(W$4:W1673,W$4:W1673&lt;=I645),1),W$4:W1673))-K645),1,
ROUNDDOWN(Y645-INDEX(K$4:K1673,MATCH(LARGE(FILTER(I$4:I1673,I$4:I1673&lt;=W645),1),I$4:I1673))-(W645-LARGE(FILTER(I$4:I"&amp;"1673,I$4:I1673&lt;=W645),1))*INDEX(F$4:F1673,MATCH(LARGE(FILTER(I$4:I1673,I$4:I1673&lt;=W645),1),I$4:I1673))))"),"")</f>
        <v/>
      </c>
      <c r="N645" s="60" t="str">
        <f t="shared" si="8"/>
        <v/>
      </c>
      <c r="O645" s="61" t="str">
        <f t="shared" si="9"/>
        <v/>
      </c>
      <c r="P645" s="56" t="str">
        <f t="shared" si="10"/>
        <v/>
      </c>
      <c r="Q645" s="105"/>
      <c r="R645" s="10"/>
      <c r="S645" s="59" t="str">
        <f t="array" ref="S645">IF(COUNTA(Q645:Q1673)=0,"",SUM((COUNTIF(Q$4:Q645,Upgrades!$B$3:$B$13)-COUNTIF(Q$4:Q645,"Sell_"&amp;Upgrades!$B$3:$B$13))*Upgrades!$D$3:$D$13))</f>
        <v/>
      </c>
      <c r="T645" s="66" t="str">
        <f>IFERROR(__xludf.DUMMYFUNCTION("IF(COUNTA(Q645:Q1673)=0,"""",IF(REGEXMATCH(INDEX(FILTER(Q$4:Q645,Q$4:Q645&lt;&gt;""""),ROWS(FILTER(Q$4:Q645,Q$4:Q645&lt;&gt;""""))),""^Sell_""),INDEX(FILTER(T$4:T644,Q$4:Q644&lt;&gt;""""),ROWS(FILTER(Q$4:Q644,Q$4:Q644&lt;&gt;""""))),$AD$5+S645))"),"")</f>
        <v/>
      </c>
      <c r="U645" s="10" t="str">
        <f>IFERROR(__xludf.DUMMYFUNCTION("IF(COUNTA(Q645:Q1673)=0,"""",IF(Q645="""",0,IF(REGEXMATCH(Q645,""^Sell_""),-ROUNDDOWN(ROUNDUP(INDEX(Upgrades!$C$3:$C$13,MATCH(SUBSTITUTE(Q645,""Sell_"",""""),Upgrades!$B$3:$B$13,0))*1.15^(COUNTIF(Q$4:Q644,SUBSTITUTE(Q645,""Sell_"",""""))-COUNTIF(Q$4:Q644,"&amp;"""Sell_""&amp;SUBSTITUTE(Q645,""Sell_"",""""))))/2),ROUNDUP(INDEX(Upgrades!$C$3:$C$13,MATCH(Q645,Upgrades!$B$3:$B$13,0))*1.15^(COUNTIF(Q$4:Q644,Q645)-COUNTIF(Q$4:Q644,""Sell_""&amp;Q645))))))"),"")</f>
        <v/>
      </c>
      <c r="V645" s="10" t="str">
        <f t="shared" si="11"/>
        <v/>
      </c>
      <c r="W645" s="68" t="str">
        <f t="shared" si="12"/>
        <v/>
      </c>
      <c r="X645" s="59" t="str">
        <f t="shared" si="13"/>
        <v/>
      </c>
      <c r="Y645" s="69" t="str">
        <f t="shared" si="14"/>
        <v/>
      </c>
      <c r="Z645" s="11"/>
    </row>
    <row r="646">
      <c r="A646" s="8"/>
      <c r="B646" s="56" t="str">
        <f t="shared" si="2"/>
        <v/>
      </c>
      <c r="C646" s="105"/>
      <c r="D646" s="10"/>
      <c r="E646" s="59" t="str">
        <f t="array" ref="E646">IF(COUNTA(C646:C1673)=0,"",SUM((COUNTIF(C$4:C646,Upgrades!$B$3:$B$13)-COUNTIF(C$4:C646,"Sell_"&amp;Upgrades!$B$3:$B$13))*Upgrades!$D$3:$D$13))</f>
        <v/>
      </c>
      <c r="F646" s="66" t="str">
        <f>IFERROR(__xludf.DUMMYFUNCTION("IF(COUNTA(C646:C1673)=0,"""",IF(REGEXMATCH(INDEX(FILTER(C$4:C646,C$4:C646&lt;&gt;""""),ROWS(FILTER(C$4:C646,C$4:C646&lt;&gt;""""))),""^Sell_""),INDEX(FILTER(F$4:F645,C$4:C645&lt;&gt;""""),ROWS(FILTER(C$4:C645,C$4:C645&lt;&gt;""""))),$AC$5+E646))"),"")</f>
        <v/>
      </c>
      <c r="G646" s="10" t="str">
        <f>IFERROR(__xludf.DUMMYFUNCTION("IF(COUNTA(C646:C1673)=0,"""",IF(C646="""",0,IF(REGEXMATCH(C646,""^Sell_""),-ROUNDDOWN(ROUNDUP(INDEX(Upgrades!$C$3:$C$13,MATCH(SUBSTITUTE(C646,""Sell_"",""""),Upgrades!$B$3:$B$13,0))*1.15^(COUNTIF(C$4:C645,SUBSTITUTE(C646,""Sell_"",""""))-COUNTIF(C$4:C645,"&amp;"""Sell_""&amp;SUBSTITUTE(C646,""Sell_"",""""))))/2),ROUNDUP(INDEX(Upgrades!$C$3:$C$13,MATCH(C646,Upgrades!$B$3:$B$13,0))*1.15^(COUNTIF(C$4:C645,C646)-COUNTIF(C$4:C645,""Sell_""&amp;C646))))))"),"")</f>
        <v/>
      </c>
      <c r="H646" s="10" t="str">
        <f t="shared" si="3"/>
        <v/>
      </c>
      <c r="I646" s="68" t="str">
        <f t="shared" si="4"/>
        <v/>
      </c>
      <c r="J646" s="59" t="str">
        <f t="shared" si="5"/>
        <v/>
      </c>
      <c r="K646" s="69" t="str">
        <f t="shared" si="6"/>
        <v/>
      </c>
      <c r="L646" s="60" t="str">
        <f t="shared" si="7"/>
        <v/>
      </c>
      <c r="M646" s="61" t="str">
        <f>IFERROR(__xludf.DUMMYFUNCTION("IFS(AND(COUNTA(C646:C1673)=0,COUNTA(Q646:Q1673)=0),"""",OR(AND(K646&gt;=1000000000,OR(Y646&gt;=1000000000,COUNTA(Q646:Q1673)=0)),OR(Y646&gt;=1000000000,AND(COUNTA(C646:C1673)=0,P$3=TRUE))),
ROUNDDOWN((AB$1-AC$1)*MAX(INDEX(T$4:T1673,MATCH(LARGE(FILTER(Y$4:Y1673,Y$4"&amp;":Y1673&lt;1000000000),1),Y$4:Y1673)),INDEX(F$4:F1673,MATCH(LARGE(FILTER(K$4:K1673,K$4:K1673&lt;1000000000),1),K$4:K1673)))),AND(K646&lt;1000000000,COUNTA(C646:C1673)&gt;0,P$3=FALSE),
ROUNDDOWN(INDEX(Y$4:Y1673,MATCH(LARGE(FILTER(W$4:W1673,W$4:W1673&lt;=I646),1),W$4:W1673"&amp;"))+(I646-LARGE(FILTER(W$4:W1673,W$4:W1673&lt;=I646),1))*INDEX(T$4:T1673,MATCH(LARGE(FILTER(W$4:W1673,W$4:W1673&lt;=I646),1),W$4:W1673))-K646),1,
ROUNDDOWN(Y646-INDEX(K$4:K1673,MATCH(LARGE(FILTER(I$4:I1673,I$4:I1673&lt;=W646),1),I$4:I1673))-(W646-LARGE(FILTER(I$4:I"&amp;"1673,I$4:I1673&lt;=W646),1))*INDEX(F$4:F1673,MATCH(LARGE(FILTER(I$4:I1673,I$4:I1673&lt;=W646),1),I$4:I1673))))"),"")</f>
        <v/>
      </c>
      <c r="N646" s="60" t="str">
        <f t="shared" si="8"/>
        <v/>
      </c>
      <c r="O646" s="61" t="str">
        <f t="shared" si="9"/>
        <v/>
      </c>
      <c r="P646" s="56" t="str">
        <f t="shared" si="10"/>
        <v/>
      </c>
      <c r="Q646" s="105"/>
      <c r="R646" s="10"/>
      <c r="S646" s="59" t="str">
        <f t="array" ref="S646">IF(COUNTA(Q646:Q1673)=0,"",SUM((COUNTIF(Q$4:Q646,Upgrades!$B$3:$B$13)-COUNTIF(Q$4:Q646,"Sell_"&amp;Upgrades!$B$3:$B$13))*Upgrades!$D$3:$D$13))</f>
        <v/>
      </c>
      <c r="T646" s="66" t="str">
        <f>IFERROR(__xludf.DUMMYFUNCTION("IF(COUNTA(Q646:Q1673)=0,"""",IF(REGEXMATCH(INDEX(FILTER(Q$4:Q646,Q$4:Q646&lt;&gt;""""),ROWS(FILTER(Q$4:Q646,Q$4:Q646&lt;&gt;""""))),""^Sell_""),INDEX(FILTER(T$4:T645,Q$4:Q645&lt;&gt;""""),ROWS(FILTER(Q$4:Q645,Q$4:Q645&lt;&gt;""""))),$AD$5+S646))"),"")</f>
        <v/>
      </c>
      <c r="U646" s="10" t="str">
        <f>IFERROR(__xludf.DUMMYFUNCTION("IF(COUNTA(Q646:Q1673)=0,"""",IF(Q646="""",0,IF(REGEXMATCH(Q646,""^Sell_""),-ROUNDDOWN(ROUNDUP(INDEX(Upgrades!$C$3:$C$13,MATCH(SUBSTITUTE(Q646,""Sell_"",""""),Upgrades!$B$3:$B$13,0))*1.15^(COUNTIF(Q$4:Q645,SUBSTITUTE(Q646,""Sell_"",""""))-COUNTIF(Q$4:Q645,"&amp;"""Sell_""&amp;SUBSTITUTE(Q646,""Sell_"",""""))))/2),ROUNDUP(INDEX(Upgrades!$C$3:$C$13,MATCH(Q646,Upgrades!$B$3:$B$13,0))*1.15^(COUNTIF(Q$4:Q645,Q646)-COUNTIF(Q$4:Q645,""Sell_""&amp;Q646))))))"),"")</f>
        <v/>
      </c>
      <c r="V646" s="10" t="str">
        <f t="shared" si="11"/>
        <v/>
      </c>
      <c r="W646" s="68" t="str">
        <f t="shared" si="12"/>
        <v/>
      </c>
      <c r="X646" s="59" t="str">
        <f t="shared" si="13"/>
        <v/>
      </c>
      <c r="Y646" s="69" t="str">
        <f t="shared" si="14"/>
        <v/>
      </c>
      <c r="Z646" s="11"/>
    </row>
    <row r="647">
      <c r="A647" s="8"/>
      <c r="B647" s="56" t="str">
        <f t="shared" si="2"/>
        <v/>
      </c>
      <c r="C647" s="105"/>
      <c r="D647" s="10"/>
      <c r="E647" s="59" t="str">
        <f t="array" ref="E647">IF(COUNTA(C647:C1673)=0,"",SUM((COUNTIF(C$4:C647,Upgrades!$B$3:$B$13)-COUNTIF(C$4:C647,"Sell_"&amp;Upgrades!$B$3:$B$13))*Upgrades!$D$3:$D$13))</f>
        <v/>
      </c>
      <c r="F647" s="66" t="str">
        <f>IFERROR(__xludf.DUMMYFUNCTION("IF(COUNTA(C647:C1673)=0,"""",IF(REGEXMATCH(INDEX(FILTER(C$4:C647,C$4:C647&lt;&gt;""""),ROWS(FILTER(C$4:C647,C$4:C647&lt;&gt;""""))),""^Sell_""),INDEX(FILTER(F$4:F646,C$4:C646&lt;&gt;""""),ROWS(FILTER(C$4:C646,C$4:C646&lt;&gt;""""))),$AC$5+E647))"),"")</f>
        <v/>
      </c>
      <c r="G647" s="10" t="str">
        <f>IFERROR(__xludf.DUMMYFUNCTION("IF(COUNTA(C647:C1673)=0,"""",IF(C647="""",0,IF(REGEXMATCH(C647,""^Sell_""),-ROUNDDOWN(ROUNDUP(INDEX(Upgrades!$C$3:$C$13,MATCH(SUBSTITUTE(C647,""Sell_"",""""),Upgrades!$B$3:$B$13,0))*1.15^(COUNTIF(C$4:C646,SUBSTITUTE(C647,""Sell_"",""""))-COUNTIF(C$4:C646,"&amp;"""Sell_""&amp;SUBSTITUTE(C647,""Sell_"",""""))))/2),ROUNDUP(INDEX(Upgrades!$C$3:$C$13,MATCH(C647,Upgrades!$B$3:$B$13,0))*1.15^(COUNTIF(C$4:C646,C647)-COUNTIF(C$4:C646,""Sell_""&amp;C647))))))"),"")</f>
        <v/>
      </c>
      <c r="H647" s="10" t="str">
        <f t="shared" si="3"/>
        <v/>
      </c>
      <c r="I647" s="68" t="str">
        <f t="shared" si="4"/>
        <v/>
      </c>
      <c r="J647" s="59" t="str">
        <f t="shared" si="5"/>
        <v/>
      </c>
      <c r="K647" s="69" t="str">
        <f t="shared" si="6"/>
        <v/>
      </c>
      <c r="L647" s="60" t="str">
        <f t="shared" si="7"/>
        <v/>
      </c>
      <c r="M647" s="61" t="str">
        <f>IFERROR(__xludf.DUMMYFUNCTION("IFS(AND(COUNTA(C647:C1673)=0,COUNTA(Q647:Q1673)=0),"""",OR(AND(K647&gt;=1000000000,OR(Y647&gt;=1000000000,COUNTA(Q647:Q1673)=0)),OR(Y647&gt;=1000000000,AND(COUNTA(C647:C1673)=0,P$3=TRUE))),
ROUNDDOWN((AB$1-AC$1)*MAX(INDEX(T$4:T1673,MATCH(LARGE(FILTER(Y$4:Y1673,Y$4"&amp;":Y1673&lt;1000000000),1),Y$4:Y1673)),INDEX(F$4:F1673,MATCH(LARGE(FILTER(K$4:K1673,K$4:K1673&lt;1000000000),1),K$4:K1673)))),AND(K647&lt;1000000000,COUNTA(C647:C1673)&gt;0,P$3=FALSE),
ROUNDDOWN(INDEX(Y$4:Y1673,MATCH(LARGE(FILTER(W$4:W1673,W$4:W1673&lt;=I647),1),W$4:W1673"&amp;"))+(I647-LARGE(FILTER(W$4:W1673,W$4:W1673&lt;=I647),1))*INDEX(T$4:T1673,MATCH(LARGE(FILTER(W$4:W1673,W$4:W1673&lt;=I647),1),W$4:W1673))-K647),1,
ROUNDDOWN(Y647-INDEX(K$4:K1673,MATCH(LARGE(FILTER(I$4:I1673,I$4:I1673&lt;=W647),1),I$4:I1673))-(W647-LARGE(FILTER(I$4:I"&amp;"1673,I$4:I1673&lt;=W647),1))*INDEX(F$4:F1673,MATCH(LARGE(FILTER(I$4:I1673,I$4:I1673&lt;=W647),1),I$4:I1673))))"),"")</f>
        <v/>
      </c>
      <c r="N647" s="60" t="str">
        <f t="shared" si="8"/>
        <v/>
      </c>
      <c r="O647" s="61" t="str">
        <f t="shared" si="9"/>
        <v/>
      </c>
      <c r="P647" s="56" t="str">
        <f t="shared" si="10"/>
        <v/>
      </c>
      <c r="Q647" s="105"/>
      <c r="R647" s="10"/>
      <c r="S647" s="59" t="str">
        <f t="array" ref="S647">IF(COUNTA(Q647:Q1673)=0,"",SUM((COUNTIF(Q$4:Q647,Upgrades!$B$3:$B$13)-COUNTIF(Q$4:Q647,"Sell_"&amp;Upgrades!$B$3:$B$13))*Upgrades!$D$3:$D$13))</f>
        <v/>
      </c>
      <c r="T647" s="66" t="str">
        <f>IFERROR(__xludf.DUMMYFUNCTION("IF(COUNTA(Q647:Q1673)=0,"""",IF(REGEXMATCH(INDEX(FILTER(Q$4:Q647,Q$4:Q647&lt;&gt;""""),ROWS(FILTER(Q$4:Q647,Q$4:Q647&lt;&gt;""""))),""^Sell_""),INDEX(FILTER(T$4:T646,Q$4:Q646&lt;&gt;""""),ROWS(FILTER(Q$4:Q646,Q$4:Q646&lt;&gt;""""))),$AD$5+S647))"),"")</f>
        <v/>
      </c>
      <c r="U647" s="10" t="str">
        <f>IFERROR(__xludf.DUMMYFUNCTION("IF(COUNTA(Q647:Q1673)=0,"""",IF(Q647="""",0,IF(REGEXMATCH(Q647,""^Sell_""),-ROUNDDOWN(ROUNDUP(INDEX(Upgrades!$C$3:$C$13,MATCH(SUBSTITUTE(Q647,""Sell_"",""""),Upgrades!$B$3:$B$13,0))*1.15^(COUNTIF(Q$4:Q646,SUBSTITUTE(Q647,""Sell_"",""""))-COUNTIF(Q$4:Q646,"&amp;"""Sell_""&amp;SUBSTITUTE(Q647,""Sell_"",""""))))/2),ROUNDUP(INDEX(Upgrades!$C$3:$C$13,MATCH(Q647,Upgrades!$B$3:$B$13,0))*1.15^(COUNTIF(Q$4:Q646,Q647)-COUNTIF(Q$4:Q646,""Sell_""&amp;Q647))))))"),"")</f>
        <v/>
      </c>
      <c r="V647" s="10" t="str">
        <f t="shared" si="11"/>
        <v/>
      </c>
      <c r="W647" s="68" t="str">
        <f t="shared" si="12"/>
        <v/>
      </c>
      <c r="X647" s="59" t="str">
        <f t="shared" si="13"/>
        <v/>
      </c>
      <c r="Y647" s="69" t="str">
        <f t="shared" si="14"/>
        <v/>
      </c>
      <c r="Z647" s="11"/>
    </row>
    <row r="648">
      <c r="A648" s="8"/>
      <c r="B648" s="56" t="str">
        <f t="shared" si="2"/>
        <v/>
      </c>
      <c r="C648" s="105"/>
      <c r="D648" s="10"/>
      <c r="E648" s="59" t="str">
        <f t="array" ref="E648">IF(COUNTA(C648:C1673)=0,"",SUM((COUNTIF(C$4:C648,Upgrades!$B$3:$B$13)-COUNTIF(C$4:C648,"Sell_"&amp;Upgrades!$B$3:$B$13))*Upgrades!$D$3:$D$13))</f>
        <v/>
      </c>
      <c r="F648" s="66" t="str">
        <f>IFERROR(__xludf.DUMMYFUNCTION("IF(COUNTA(C648:C1673)=0,"""",IF(REGEXMATCH(INDEX(FILTER(C$4:C648,C$4:C648&lt;&gt;""""),ROWS(FILTER(C$4:C648,C$4:C648&lt;&gt;""""))),""^Sell_""),INDEX(FILTER(F$4:F647,C$4:C647&lt;&gt;""""),ROWS(FILTER(C$4:C647,C$4:C647&lt;&gt;""""))),$AC$5+E648))"),"")</f>
        <v/>
      </c>
      <c r="G648" s="10" t="str">
        <f>IFERROR(__xludf.DUMMYFUNCTION("IF(COUNTA(C648:C1673)=0,"""",IF(C648="""",0,IF(REGEXMATCH(C648,""^Sell_""),-ROUNDDOWN(ROUNDUP(INDEX(Upgrades!$C$3:$C$13,MATCH(SUBSTITUTE(C648,""Sell_"",""""),Upgrades!$B$3:$B$13,0))*1.15^(COUNTIF(C$4:C647,SUBSTITUTE(C648,""Sell_"",""""))-COUNTIF(C$4:C647,"&amp;"""Sell_""&amp;SUBSTITUTE(C648,""Sell_"",""""))))/2),ROUNDUP(INDEX(Upgrades!$C$3:$C$13,MATCH(C648,Upgrades!$B$3:$B$13,0))*1.15^(COUNTIF(C$4:C647,C648)-COUNTIF(C$4:C647,""Sell_""&amp;C648))))))"),"")</f>
        <v/>
      </c>
      <c r="H648" s="10" t="str">
        <f t="shared" si="3"/>
        <v/>
      </c>
      <c r="I648" s="68" t="str">
        <f t="shared" si="4"/>
        <v/>
      </c>
      <c r="J648" s="59" t="str">
        <f t="shared" si="5"/>
        <v/>
      </c>
      <c r="K648" s="69" t="str">
        <f t="shared" si="6"/>
        <v/>
      </c>
      <c r="L648" s="60" t="str">
        <f t="shared" si="7"/>
        <v/>
      </c>
      <c r="M648" s="61" t="str">
        <f>IFERROR(__xludf.DUMMYFUNCTION("IFS(AND(COUNTA(C648:C1673)=0,COUNTA(Q648:Q1673)=0),"""",OR(AND(K648&gt;=1000000000,OR(Y648&gt;=1000000000,COUNTA(Q648:Q1673)=0)),OR(Y648&gt;=1000000000,AND(COUNTA(C648:C1673)=0,P$3=TRUE))),
ROUNDDOWN((AB$1-AC$1)*MAX(INDEX(T$4:T1673,MATCH(LARGE(FILTER(Y$4:Y1673,Y$4"&amp;":Y1673&lt;1000000000),1),Y$4:Y1673)),INDEX(F$4:F1673,MATCH(LARGE(FILTER(K$4:K1673,K$4:K1673&lt;1000000000),1),K$4:K1673)))),AND(K648&lt;1000000000,COUNTA(C648:C1673)&gt;0,P$3=FALSE),
ROUNDDOWN(INDEX(Y$4:Y1673,MATCH(LARGE(FILTER(W$4:W1673,W$4:W1673&lt;=I648),1),W$4:W1673"&amp;"))+(I648-LARGE(FILTER(W$4:W1673,W$4:W1673&lt;=I648),1))*INDEX(T$4:T1673,MATCH(LARGE(FILTER(W$4:W1673,W$4:W1673&lt;=I648),1),W$4:W1673))-K648),1,
ROUNDDOWN(Y648-INDEX(K$4:K1673,MATCH(LARGE(FILTER(I$4:I1673,I$4:I1673&lt;=W648),1),I$4:I1673))-(W648-LARGE(FILTER(I$4:I"&amp;"1673,I$4:I1673&lt;=W648),1))*INDEX(F$4:F1673,MATCH(LARGE(FILTER(I$4:I1673,I$4:I1673&lt;=W648),1),I$4:I1673))))"),"")</f>
        <v/>
      </c>
      <c r="N648" s="60" t="str">
        <f t="shared" si="8"/>
        <v/>
      </c>
      <c r="O648" s="61" t="str">
        <f t="shared" si="9"/>
        <v/>
      </c>
      <c r="P648" s="56" t="str">
        <f t="shared" si="10"/>
        <v/>
      </c>
      <c r="Q648" s="105"/>
      <c r="R648" s="10"/>
      <c r="S648" s="59" t="str">
        <f t="array" ref="S648">IF(COUNTA(Q648:Q1673)=0,"",SUM((COUNTIF(Q$4:Q648,Upgrades!$B$3:$B$13)-COUNTIF(Q$4:Q648,"Sell_"&amp;Upgrades!$B$3:$B$13))*Upgrades!$D$3:$D$13))</f>
        <v/>
      </c>
      <c r="T648" s="66" t="str">
        <f>IFERROR(__xludf.DUMMYFUNCTION("IF(COUNTA(Q648:Q1673)=0,"""",IF(REGEXMATCH(INDEX(FILTER(Q$4:Q648,Q$4:Q648&lt;&gt;""""),ROWS(FILTER(Q$4:Q648,Q$4:Q648&lt;&gt;""""))),""^Sell_""),INDEX(FILTER(T$4:T647,Q$4:Q647&lt;&gt;""""),ROWS(FILTER(Q$4:Q647,Q$4:Q647&lt;&gt;""""))),$AD$5+S648))"),"")</f>
        <v/>
      </c>
      <c r="U648" s="10" t="str">
        <f>IFERROR(__xludf.DUMMYFUNCTION("IF(COUNTA(Q648:Q1673)=0,"""",IF(Q648="""",0,IF(REGEXMATCH(Q648,""^Sell_""),-ROUNDDOWN(ROUNDUP(INDEX(Upgrades!$C$3:$C$13,MATCH(SUBSTITUTE(Q648,""Sell_"",""""),Upgrades!$B$3:$B$13,0))*1.15^(COUNTIF(Q$4:Q647,SUBSTITUTE(Q648,""Sell_"",""""))-COUNTIF(Q$4:Q647,"&amp;"""Sell_""&amp;SUBSTITUTE(Q648,""Sell_"",""""))))/2),ROUNDUP(INDEX(Upgrades!$C$3:$C$13,MATCH(Q648,Upgrades!$B$3:$B$13,0))*1.15^(COUNTIF(Q$4:Q647,Q648)-COUNTIF(Q$4:Q647,""Sell_""&amp;Q648))))))"),"")</f>
        <v/>
      </c>
      <c r="V648" s="10" t="str">
        <f t="shared" si="11"/>
        <v/>
      </c>
      <c r="W648" s="68" t="str">
        <f t="shared" si="12"/>
        <v/>
      </c>
      <c r="X648" s="59" t="str">
        <f t="shared" si="13"/>
        <v/>
      </c>
      <c r="Y648" s="69" t="str">
        <f t="shared" si="14"/>
        <v/>
      </c>
      <c r="Z648" s="11"/>
    </row>
    <row r="649">
      <c r="A649" s="8"/>
      <c r="B649" s="56" t="str">
        <f t="shared" si="2"/>
        <v/>
      </c>
      <c r="C649" s="105"/>
      <c r="D649" s="10"/>
      <c r="E649" s="59" t="str">
        <f t="array" ref="E649">IF(COUNTA(C649:C1673)=0,"",SUM((COUNTIF(C$4:C649,Upgrades!$B$3:$B$13)-COUNTIF(C$4:C649,"Sell_"&amp;Upgrades!$B$3:$B$13))*Upgrades!$D$3:$D$13))</f>
        <v/>
      </c>
      <c r="F649" s="66" t="str">
        <f>IFERROR(__xludf.DUMMYFUNCTION("IF(COUNTA(C649:C1673)=0,"""",IF(REGEXMATCH(INDEX(FILTER(C$4:C649,C$4:C649&lt;&gt;""""),ROWS(FILTER(C$4:C649,C$4:C649&lt;&gt;""""))),""^Sell_""),INDEX(FILTER(F$4:F648,C$4:C648&lt;&gt;""""),ROWS(FILTER(C$4:C648,C$4:C648&lt;&gt;""""))),$AC$5+E649))"),"")</f>
        <v/>
      </c>
      <c r="G649" s="10" t="str">
        <f>IFERROR(__xludf.DUMMYFUNCTION("IF(COUNTA(C649:C1673)=0,"""",IF(C649="""",0,IF(REGEXMATCH(C649,""^Sell_""),-ROUNDDOWN(ROUNDUP(INDEX(Upgrades!$C$3:$C$13,MATCH(SUBSTITUTE(C649,""Sell_"",""""),Upgrades!$B$3:$B$13,0))*1.15^(COUNTIF(C$4:C648,SUBSTITUTE(C649,""Sell_"",""""))-COUNTIF(C$4:C648,"&amp;"""Sell_""&amp;SUBSTITUTE(C649,""Sell_"",""""))))/2),ROUNDUP(INDEX(Upgrades!$C$3:$C$13,MATCH(C649,Upgrades!$B$3:$B$13,0))*1.15^(COUNTIF(C$4:C648,C649)-COUNTIF(C$4:C648,""Sell_""&amp;C649))))))"),"")</f>
        <v/>
      </c>
      <c r="H649" s="10" t="str">
        <f t="shared" si="3"/>
        <v/>
      </c>
      <c r="I649" s="68" t="str">
        <f t="shared" si="4"/>
        <v/>
      </c>
      <c r="J649" s="59" t="str">
        <f t="shared" si="5"/>
        <v/>
      </c>
      <c r="K649" s="69" t="str">
        <f t="shared" si="6"/>
        <v/>
      </c>
      <c r="L649" s="60" t="str">
        <f t="shared" si="7"/>
        <v/>
      </c>
      <c r="M649" s="61" t="str">
        <f>IFERROR(__xludf.DUMMYFUNCTION("IFS(AND(COUNTA(C649:C1673)=0,COUNTA(Q649:Q1673)=0),"""",OR(AND(K649&gt;=1000000000,OR(Y649&gt;=1000000000,COUNTA(Q649:Q1673)=0)),OR(Y649&gt;=1000000000,AND(COUNTA(C649:C1673)=0,P$3=TRUE))),
ROUNDDOWN((AB$1-AC$1)*MAX(INDEX(T$4:T1673,MATCH(LARGE(FILTER(Y$4:Y1673,Y$4"&amp;":Y1673&lt;1000000000),1),Y$4:Y1673)),INDEX(F$4:F1673,MATCH(LARGE(FILTER(K$4:K1673,K$4:K1673&lt;1000000000),1),K$4:K1673)))),AND(K649&lt;1000000000,COUNTA(C649:C1673)&gt;0,P$3=FALSE),
ROUNDDOWN(INDEX(Y$4:Y1673,MATCH(LARGE(FILTER(W$4:W1673,W$4:W1673&lt;=I649),1),W$4:W1673"&amp;"))+(I649-LARGE(FILTER(W$4:W1673,W$4:W1673&lt;=I649),1))*INDEX(T$4:T1673,MATCH(LARGE(FILTER(W$4:W1673,W$4:W1673&lt;=I649),1),W$4:W1673))-K649),1,
ROUNDDOWN(Y649-INDEX(K$4:K1673,MATCH(LARGE(FILTER(I$4:I1673,I$4:I1673&lt;=W649),1),I$4:I1673))-(W649-LARGE(FILTER(I$4:I"&amp;"1673,I$4:I1673&lt;=W649),1))*INDEX(F$4:F1673,MATCH(LARGE(FILTER(I$4:I1673,I$4:I1673&lt;=W649),1),I$4:I1673))))"),"")</f>
        <v/>
      </c>
      <c r="N649" s="60" t="str">
        <f t="shared" si="8"/>
        <v/>
      </c>
      <c r="O649" s="61" t="str">
        <f t="shared" si="9"/>
        <v/>
      </c>
      <c r="P649" s="56" t="str">
        <f t="shared" si="10"/>
        <v/>
      </c>
      <c r="Q649" s="105"/>
      <c r="R649" s="10"/>
      <c r="S649" s="59" t="str">
        <f t="array" ref="S649">IF(COUNTA(Q649:Q1673)=0,"",SUM((COUNTIF(Q$4:Q649,Upgrades!$B$3:$B$13)-COUNTIF(Q$4:Q649,"Sell_"&amp;Upgrades!$B$3:$B$13))*Upgrades!$D$3:$D$13))</f>
        <v/>
      </c>
      <c r="T649" s="66" t="str">
        <f>IFERROR(__xludf.DUMMYFUNCTION("IF(COUNTA(Q649:Q1673)=0,"""",IF(REGEXMATCH(INDEX(FILTER(Q$4:Q649,Q$4:Q649&lt;&gt;""""),ROWS(FILTER(Q$4:Q649,Q$4:Q649&lt;&gt;""""))),""^Sell_""),INDEX(FILTER(T$4:T648,Q$4:Q648&lt;&gt;""""),ROWS(FILTER(Q$4:Q648,Q$4:Q648&lt;&gt;""""))),$AD$5+S649))"),"")</f>
        <v/>
      </c>
      <c r="U649" s="10" t="str">
        <f>IFERROR(__xludf.DUMMYFUNCTION("IF(COUNTA(Q649:Q1673)=0,"""",IF(Q649="""",0,IF(REGEXMATCH(Q649,""^Sell_""),-ROUNDDOWN(ROUNDUP(INDEX(Upgrades!$C$3:$C$13,MATCH(SUBSTITUTE(Q649,""Sell_"",""""),Upgrades!$B$3:$B$13,0))*1.15^(COUNTIF(Q$4:Q648,SUBSTITUTE(Q649,""Sell_"",""""))-COUNTIF(Q$4:Q648,"&amp;"""Sell_""&amp;SUBSTITUTE(Q649,""Sell_"",""""))))/2),ROUNDUP(INDEX(Upgrades!$C$3:$C$13,MATCH(Q649,Upgrades!$B$3:$B$13,0))*1.15^(COUNTIF(Q$4:Q648,Q649)-COUNTIF(Q$4:Q648,""Sell_""&amp;Q649))))))"),"")</f>
        <v/>
      </c>
      <c r="V649" s="10" t="str">
        <f t="shared" si="11"/>
        <v/>
      </c>
      <c r="W649" s="68" t="str">
        <f t="shared" si="12"/>
        <v/>
      </c>
      <c r="X649" s="59" t="str">
        <f t="shared" si="13"/>
        <v/>
      </c>
      <c r="Y649" s="69" t="str">
        <f t="shared" si="14"/>
        <v/>
      </c>
      <c r="Z649" s="11"/>
    </row>
    <row r="650">
      <c r="A650" s="8"/>
      <c r="B650" s="56" t="str">
        <f t="shared" si="2"/>
        <v/>
      </c>
      <c r="C650" s="105"/>
      <c r="D650" s="10"/>
      <c r="E650" s="59" t="str">
        <f t="array" ref="E650">IF(COUNTA(C650:C1673)=0,"",SUM((COUNTIF(C$4:C650,Upgrades!$B$3:$B$13)-COUNTIF(C$4:C650,"Sell_"&amp;Upgrades!$B$3:$B$13))*Upgrades!$D$3:$D$13))</f>
        <v/>
      </c>
      <c r="F650" s="66" t="str">
        <f>IFERROR(__xludf.DUMMYFUNCTION("IF(COUNTA(C650:C1673)=0,"""",IF(REGEXMATCH(INDEX(FILTER(C$4:C650,C$4:C650&lt;&gt;""""),ROWS(FILTER(C$4:C650,C$4:C650&lt;&gt;""""))),""^Sell_""),INDEX(FILTER(F$4:F649,C$4:C649&lt;&gt;""""),ROWS(FILTER(C$4:C649,C$4:C649&lt;&gt;""""))),$AC$5+E650))"),"")</f>
        <v/>
      </c>
      <c r="G650" s="10" t="str">
        <f>IFERROR(__xludf.DUMMYFUNCTION("IF(COUNTA(C650:C1673)=0,"""",IF(C650="""",0,IF(REGEXMATCH(C650,""^Sell_""),-ROUNDDOWN(ROUNDUP(INDEX(Upgrades!$C$3:$C$13,MATCH(SUBSTITUTE(C650,""Sell_"",""""),Upgrades!$B$3:$B$13,0))*1.15^(COUNTIF(C$4:C649,SUBSTITUTE(C650,""Sell_"",""""))-COUNTIF(C$4:C649,"&amp;"""Sell_""&amp;SUBSTITUTE(C650,""Sell_"",""""))))/2),ROUNDUP(INDEX(Upgrades!$C$3:$C$13,MATCH(C650,Upgrades!$B$3:$B$13,0))*1.15^(COUNTIF(C$4:C649,C650)-COUNTIF(C$4:C649,""Sell_""&amp;C650))))))"),"")</f>
        <v/>
      </c>
      <c r="H650" s="10" t="str">
        <f t="shared" si="3"/>
        <v/>
      </c>
      <c r="I650" s="68" t="str">
        <f t="shared" si="4"/>
        <v/>
      </c>
      <c r="J650" s="59" t="str">
        <f t="shared" si="5"/>
        <v/>
      </c>
      <c r="K650" s="69" t="str">
        <f t="shared" si="6"/>
        <v/>
      </c>
      <c r="L650" s="60" t="str">
        <f t="shared" si="7"/>
        <v/>
      </c>
      <c r="M650" s="61" t="str">
        <f>IFERROR(__xludf.DUMMYFUNCTION("IFS(AND(COUNTA(C650:C1673)=0,COUNTA(Q650:Q1673)=0),"""",OR(AND(K650&gt;=1000000000,OR(Y650&gt;=1000000000,COUNTA(Q650:Q1673)=0)),OR(Y650&gt;=1000000000,AND(COUNTA(C650:C1673)=0,P$3=TRUE))),
ROUNDDOWN((AB$1-AC$1)*MAX(INDEX(T$4:T1673,MATCH(LARGE(FILTER(Y$4:Y1673,Y$4"&amp;":Y1673&lt;1000000000),1),Y$4:Y1673)),INDEX(F$4:F1673,MATCH(LARGE(FILTER(K$4:K1673,K$4:K1673&lt;1000000000),1),K$4:K1673)))),AND(K650&lt;1000000000,COUNTA(C650:C1673)&gt;0,P$3=FALSE),
ROUNDDOWN(INDEX(Y$4:Y1673,MATCH(LARGE(FILTER(W$4:W1673,W$4:W1673&lt;=I650),1),W$4:W1673"&amp;"))+(I650-LARGE(FILTER(W$4:W1673,W$4:W1673&lt;=I650),1))*INDEX(T$4:T1673,MATCH(LARGE(FILTER(W$4:W1673,W$4:W1673&lt;=I650),1),W$4:W1673))-K650),1,
ROUNDDOWN(Y650-INDEX(K$4:K1673,MATCH(LARGE(FILTER(I$4:I1673,I$4:I1673&lt;=W650),1),I$4:I1673))-(W650-LARGE(FILTER(I$4:I"&amp;"1673,I$4:I1673&lt;=W650),1))*INDEX(F$4:F1673,MATCH(LARGE(FILTER(I$4:I1673,I$4:I1673&lt;=W650),1),I$4:I1673))))"),"")</f>
        <v/>
      </c>
      <c r="N650" s="60" t="str">
        <f t="shared" si="8"/>
        <v/>
      </c>
      <c r="O650" s="61" t="str">
        <f t="shared" si="9"/>
        <v/>
      </c>
      <c r="P650" s="56" t="str">
        <f t="shared" si="10"/>
        <v/>
      </c>
      <c r="Q650" s="105"/>
      <c r="R650" s="10"/>
      <c r="S650" s="59" t="str">
        <f t="array" ref="S650">IF(COUNTA(Q650:Q1673)=0,"",SUM((COUNTIF(Q$4:Q650,Upgrades!$B$3:$B$13)-COUNTIF(Q$4:Q650,"Sell_"&amp;Upgrades!$B$3:$B$13))*Upgrades!$D$3:$D$13))</f>
        <v/>
      </c>
      <c r="T650" s="66" t="str">
        <f>IFERROR(__xludf.DUMMYFUNCTION("IF(COUNTA(Q650:Q1673)=0,"""",IF(REGEXMATCH(INDEX(FILTER(Q$4:Q650,Q$4:Q650&lt;&gt;""""),ROWS(FILTER(Q$4:Q650,Q$4:Q650&lt;&gt;""""))),""^Sell_""),INDEX(FILTER(T$4:T649,Q$4:Q649&lt;&gt;""""),ROWS(FILTER(Q$4:Q649,Q$4:Q649&lt;&gt;""""))),$AD$5+S650))"),"")</f>
        <v/>
      </c>
      <c r="U650" s="10" t="str">
        <f>IFERROR(__xludf.DUMMYFUNCTION("IF(COUNTA(Q650:Q1673)=0,"""",IF(Q650="""",0,IF(REGEXMATCH(Q650,""^Sell_""),-ROUNDDOWN(ROUNDUP(INDEX(Upgrades!$C$3:$C$13,MATCH(SUBSTITUTE(Q650,""Sell_"",""""),Upgrades!$B$3:$B$13,0))*1.15^(COUNTIF(Q$4:Q649,SUBSTITUTE(Q650,""Sell_"",""""))-COUNTIF(Q$4:Q649,"&amp;"""Sell_""&amp;SUBSTITUTE(Q650,""Sell_"",""""))))/2),ROUNDUP(INDEX(Upgrades!$C$3:$C$13,MATCH(Q650,Upgrades!$B$3:$B$13,0))*1.15^(COUNTIF(Q$4:Q649,Q650)-COUNTIF(Q$4:Q649,""Sell_""&amp;Q650))))))"),"")</f>
        <v/>
      </c>
      <c r="V650" s="10" t="str">
        <f t="shared" si="11"/>
        <v/>
      </c>
      <c r="W650" s="68" t="str">
        <f t="shared" si="12"/>
        <v/>
      </c>
      <c r="X650" s="59" t="str">
        <f t="shared" si="13"/>
        <v/>
      </c>
      <c r="Y650" s="69" t="str">
        <f t="shared" si="14"/>
        <v/>
      </c>
      <c r="Z650" s="11"/>
    </row>
    <row r="651">
      <c r="A651" s="8"/>
      <c r="B651" s="56" t="str">
        <f t="shared" si="2"/>
        <v/>
      </c>
      <c r="C651" s="105"/>
      <c r="D651" s="10"/>
      <c r="E651" s="59" t="str">
        <f t="array" ref="E651">IF(COUNTA(C651:C1673)=0,"",SUM((COUNTIF(C$4:C651,Upgrades!$B$3:$B$13)-COUNTIF(C$4:C651,"Sell_"&amp;Upgrades!$B$3:$B$13))*Upgrades!$D$3:$D$13))</f>
        <v/>
      </c>
      <c r="F651" s="66" t="str">
        <f>IFERROR(__xludf.DUMMYFUNCTION("IF(COUNTA(C651:C1673)=0,"""",IF(REGEXMATCH(INDEX(FILTER(C$4:C651,C$4:C651&lt;&gt;""""),ROWS(FILTER(C$4:C651,C$4:C651&lt;&gt;""""))),""^Sell_""),INDEX(FILTER(F$4:F650,C$4:C650&lt;&gt;""""),ROWS(FILTER(C$4:C650,C$4:C650&lt;&gt;""""))),$AC$5+E651))"),"")</f>
        <v/>
      </c>
      <c r="G651" s="10" t="str">
        <f>IFERROR(__xludf.DUMMYFUNCTION("IF(COUNTA(C651:C1673)=0,"""",IF(C651="""",0,IF(REGEXMATCH(C651,""^Sell_""),-ROUNDDOWN(ROUNDUP(INDEX(Upgrades!$C$3:$C$13,MATCH(SUBSTITUTE(C651,""Sell_"",""""),Upgrades!$B$3:$B$13,0))*1.15^(COUNTIF(C$4:C650,SUBSTITUTE(C651,""Sell_"",""""))-COUNTIF(C$4:C650,"&amp;"""Sell_""&amp;SUBSTITUTE(C651,""Sell_"",""""))))/2),ROUNDUP(INDEX(Upgrades!$C$3:$C$13,MATCH(C651,Upgrades!$B$3:$B$13,0))*1.15^(COUNTIF(C$4:C650,C651)-COUNTIF(C$4:C650,""Sell_""&amp;C651))))))"),"")</f>
        <v/>
      </c>
      <c r="H651" s="10" t="str">
        <f t="shared" si="3"/>
        <v/>
      </c>
      <c r="I651" s="68" t="str">
        <f t="shared" si="4"/>
        <v/>
      </c>
      <c r="J651" s="59" t="str">
        <f t="shared" si="5"/>
        <v/>
      </c>
      <c r="K651" s="69" t="str">
        <f t="shared" si="6"/>
        <v/>
      </c>
      <c r="L651" s="60" t="str">
        <f t="shared" si="7"/>
        <v/>
      </c>
      <c r="M651" s="61" t="str">
        <f>IFERROR(__xludf.DUMMYFUNCTION("IFS(AND(COUNTA(C651:C1673)=0,COUNTA(Q651:Q1673)=0),"""",OR(AND(K651&gt;=1000000000,OR(Y651&gt;=1000000000,COUNTA(Q651:Q1673)=0)),OR(Y651&gt;=1000000000,AND(COUNTA(C651:C1673)=0,P$3=TRUE))),
ROUNDDOWN((AB$1-AC$1)*MAX(INDEX(T$4:T1673,MATCH(LARGE(FILTER(Y$4:Y1673,Y$4"&amp;":Y1673&lt;1000000000),1),Y$4:Y1673)),INDEX(F$4:F1673,MATCH(LARGE(FILTER(K$4:K1673,K$4:K1673&lt;1000000000),1),K$4:K1673)))),AND(K651&lt;1000000000,COUNTA(C651:C1673)&gt;0,P$3=FALSE),
ROUNDDOWN(INDEX(Y$4:Y1673,MATCH(LARGE(FILTER(W$4:W1673,W$4:W1673&lt;=I651),1),W$4:W1673"&amp;"))+(I651-LARGE(FILTER(W$4:W1673,W$4:W1673&lt;=I651),1))*INDEX(T$4:T1673,MATCH(LARGE(FILTER(W$4:W1673,W$4:W1673&lt;=I651),1),W$4:W1673))-K651),1,
ROUNDDOWN(Y651-INDEX(K$4:K1673,MATCH(LARGE(FILTER(I$4:I1673,I$4:I1673&lt;=W651),1),I$4:I1673))-(W651-LARGE(FILTER(I$4:I"&amp;"1673,I$4:I1673&lt;=W651),1))*INDEX(F$4:F1673,MATCH(LARGE(FILTER(I$4:I1673,I$4:I1673&lt;=W651),1),I$4:I1673))))"),"")</f>
        <v/>
      </c>
      <c r="N651" s="60" t="str">
        <f t="shared" si="8"/>
        <v/>
      </c>
      <c r="O651" s="61" t="str">
        <f t="shared" si="9"/>
        <v/>
      </c>
      <c r="P651" s="56" t="str">
        <f t="shared" si="10"/>
        <v/>
      </c>
      <c r="Q651" s="105"/>
      <c r="R651" s="10"/>
      <c r="S651" s="59" t="str">
        <f t="array" ref="S651">IF(COUNTA(Q651:Q1673)=0,"",SUM((COUNTIF(Q$4:Q651,Upgrades!$B$3:$B$13)-COUNTIF(Q$4:Q651,"Sell_"&amp;Upgrades!$B$3:$B$13))*Upgrades!$D$3:$D$13))</f>
        <v/>
      </c>
      <c r="T651" s="66" t="str">
        <f>IFERROR(__xludf.DUMMYFUNCTION("IF(COUNTA(Q651:Q1673)=0,"""",IF(REGEXMATCH(INDEX(FILTER(Q$4:Q651,Q$4:Q651&lt;&gt;""""),ROWS(FILTER(Q$4:Q651,Q$4:Q651&lt;&gt;""""))),""^Sell_""),INDEX(FILTER(T$4:T650,Q$4:Q650&lt;&gt;""""),ROWS(FILTER(Q$4:Q650,Q$4:Q650&lt;&gt;""""))),$AD$5+S651))"),"")</f>
        <v/>
      </c>
      <c r="U651" s="10" t="str">
        <f>IFERROR(__xludf.DUMMYFUNCTION("IF(COUNTA(Q651:Q1673)=0,"""",IF(Q651="""",0,IF(REGEXMATCH(Q651,""^Sell_""),-ROUNDDOWN(ROUNDUP(INDEX(Upgrades!$C$3:$C$13,MATCH(SUBSTITUTE(Q651,""Sell_"",""""),Upgrades!$B$3:$B$13,0))*1.15^(COUNTIF(Q$4:Q650,SUBSTITUTE(Q651,""Sell_"",""""))-COUNTIF(Q$4:Q650,"&amp;"""Sell_""&amp;SUBSTITUTE(Q651,""Sell_"",""""))))/2),ROUNDUP(INDEX(Upgrades!$C$3:$C$13,MATCH(Q651,Upgrades!$B$3:$B$13,0))*1.15^(COUNTIF(Q$4:Q650,Q651)-COUNTIF(Q$4:Q650,""Sell_""&amp;Q651))))))"),"")</f>
        <v/>
      </c>
      <c r="V651" s="10" t="str">
        <f t="shared" si="11"/>
        <v/>
      </c>
      <c r="W651" s="68" t="str">
        <f t="shared" si="12"/>
        <v/>
      </c>
      <c r="X651" s="59" t="str">
        <f t="shared" si="13"/>
        <v/>
      </c>
      <c r="Y651" s="69" t="str">
        <f t="shared" si="14"/>
        <v/>
      </c>
      <c r="Z651" s="11"/>
    </row>
    <row r="652">
      <c r="A652" s="8"/>
      <c r="B652" s="56" t="str">
        <f t="shared" si="2"/>
        <v/>
      </c>
      <c r="C652" s="105"/>
      <c r="D652" s="10"/>
      <c r="E652" s="59" t="str">
        <f t="array" ref="E652">IF(COUNTA(C652:C1673)=0,"",SUM((COUNTIF(C$4:C652,Upgrades!$B$3:$B$13)-COUNTIF(C$4:C652,"Sell_"&amp;Upgrades!$B$3:$B$13))*Upgrades!$D$3:$D$13))</f>
        <v/>
      </c>
      <c r="F652" s="66" t="str">
        <f>IFERROR(__xludf.DUMMYFUNCTION("IF(COUNTA(C652:C1673)=0,"""",IF(REGEXMATCH(INDEX(FILTER(C$4:C652,C$4:C652&lt;&gt;""""),ROWS(FILTER(C$4:C652,C$4:C652&lt;&gt;""""))),""^Sell_""),INDEX(FILTER(F$4:F651,C$4:C651&lt;&gt;""""),ROWS(FILTER(C$4:C651,C$4:C651&lt;&gt;""""))),$AC$5+E652))"),"")</f>
        <v/>
      </c>
      <c r="G652" s="10" t="str">
        <f>IFERROR(__xludf.DUMMYFUNCTION("IF(COUNTA(C652:C1673)=0,"""",IF(C652="""",0,IF(REGEXMATCH(C652,""^Sell_""),-ROUNDDOWN(ROUNDUP(INDEX(Upgrades!$C$3:$C$13,MATCH(SUBSTITUTE(C652,""Sell_"",""""),Upgrades!$B$3:$B$13,0))*1.15^(COUNTIF(C$4:C651,SUBSTITUTE(C652,""Sell_"",""""))-COUNTIF(C$4:C651,"&amp;"""Sell_""&amp;SUBSTITUTE(C652,""Sell_"",""""))))/2),ROUNDUP(INDEX(Upgrades!$C$3:$C$13,MATCH(C652,Upgrades!$B$3:$B$13,0))*1.15^(COUNTIF(C$4:C651,C652)-COUNTIF(C$4:C651,""Sell_""&amp;C652))))))"),"")</f>
        <v/>
      </c>
      <c r="H652" s="10" t="str">
        <f t="shared" si="3"/>
        <v/>
      </c>
      <c r="I652" s="68" t="str">
        <f t="shared" si="4"/>
        <v/>
      </c>
      <c r="J652" s="59" t="str">
        <f t="shared" si="5"/>
        <v/>
      </c>
      <c r="K652" s="69" t="str">
        <f t="shared" si="6"/>
        <v/>
      </c>
      <c r="L652" s="60" t="str">
        <f t="shared" si="7"/>
        <v/>
      </c>
      <c r="M652" s="61" t="str">
        <f>IFERROR(__xludf.DUMMYFUNCTION("IFS(AND(COUNTA(C652:C1673)=0,COUNTA(Q652:Q1673)=0),"""",OR(AND(K652&gt;=1000000000,OR(Y652&gt;=1000000000,COUNTA(Q652:Q1673)=0)),OR(Y652&gt;=1000000000,AND(COUNTA(C652:C1673)=0,P$3=TRUE))),
ROUNDDOWN((AB$1-AC$1)*MAX(INDEX(T$4:T1673,MATCH(LARGE(FILTER(Y$4:Y1673,Y$4"&amp;":Y1673&lt;1000000000),1),Y$4:Y1673)),INDEX(F$4:F1673,MATCH(LARGE(FILTER(K$4:K1673,K$4:K1673&lt;1000000000),1),K$4:K1673)))),AND(K652&lt;1000000000,COUNTA(C652:C1673)&gt;0,P$3=FALSE),
ROUNDDOWN(INDEX(Y$4:Y1673,MATCH(LARGE(FILTER(W$4:W1673,W$4:W1673&lt;=I652),1),W$4:W1673"&amp;"))+(I652-LARGE(FILTER(W$4:W1673,W$4:W1673&lt;=I652),1))*INDEX(T$4:T1673,MATCH(LARGE(FILTER(W$4:W1673,W$4:W1673&lt;=I652),1),W$4:W1673))-K652),1,
ROUNDDOWN(Y652-INDEX(K$4:K1673,MATCH(LARGE(FILTER(I$4:I1673,I$4:I1673&lt;=W652),1),I$4:I1673))-(W652-LARGE(FILTER(I$4:I"&amp;"1673,I$4:I1673&lt;=W652),1))*INDEX(F$4:F1673,MATCH(LARGE(FILTER(I$4:I1673,I$4:I1673&lt;=W652),1),I$4:I1673))))"),"")</f>
        <v/>
      </c>
      <c r="N652" s="60" t="str">
        <f t="shared" si="8"/>
        <v/>
      </c>
      <c r="O652" s="61" t="str">
        <f t="shared" si="9"/>
        <v/>
      </c>
      <c r="P652" s="56" t="str">
        <f t="shared" si="10"/>
        <v/>
      </c>
      <c r="Q652" s="105"/>
      <c r="R652" s="10"/>
      <c r="S652" s="59" t="str">
        <f t="array" ref="S652">IF(COUNTA(Q652:Q1673)=0,"",SUM((COUNTIF(Q$4:Q652,Upgrades!$B$3:$B$13)-COUNTIF(Q$4:Q652,"Sell_"&amp;Upgrades!$B$3:$B$13))*Upgrades!$D$3:$D$13))</f>
        <v/>
      </c>
      <c r="T652" s="66" t="str">
        <f>IFERROR(__xludf.DUMMYFUNCTION("IF(COUNTA(Q652:Q1673)=0,"""",IF(REGEXMATCH(INDEX(FILTER(Q$4:Q652,Q$4:Q652&lt;&gt;""""),ROWS(FILTER(Q$4:Q652,Q$4:Q652&lt;&gt;""""))),""^Sell_""),INDEX(FILTER(T$4:T651,Q$4:Q651&lt;&gt;""""),ROWS(FILTER(Q$4:Q651,Q$4:Q651&lt;&gt;""""))),$AD$5+S652))"),"")</f>
        <v/>
      </c>
      <c r="U652" s="10" t="str">
        <f>IFERROR(__xludf.DUMMYFUNCTION("IF(COUNTA(Q652:Q1673)=0,"""",IF(Q652="""",0,IF(REGEXMATCH(Q652,""^Sell_""),-ROUNDDOWN(ROUNDUP(INDEX(Upgrades!$C$3:$C$13,MATCH(SUBSTITUTE(Q652,""Sell_"",""""),Upgrades!$B$3:$B$13,0))*1.15^(COUNTIF(Q$4:Q651,SUBSTITUTE(Q652,""Sell_"",""""))-COUNTIF(Q$4:Q651,"&amp;"""Sell_""&amp;SUBSTITUTE(Q652,""Sell_"",""""))))/2),ROUNDUP(INDEX(Upgrades!$C$3:$C$13,MATCH(Q652,Upgrades!$B$3:$B$13,0))*1.15^(COUNTIF(Q$4:Q651,Q652)-COUNTIF(Q$4:Q651,""Sell_""&amp;Q652))))))"),"")</f>
        <v/>
      </c>
      <c r="V652" s="10" t="str">
        <f t="shared" si="11"/>
        <v/>
      </c>
      <c r="W652" s="68" t="str">
        <f t="shared" si="12"/>
        <v/>
      </c>
      <c r="X652" s="59" t="str">
        <f t="shared" si="13"/>
        <v/>
      </c>
      <c r="Y652" s="69" t="str">
        <f t="shared" si="14"/>
        <v/>
      </c>
      <c r="Z652" s="11"/>
    </row>
    <row r="653">
      <c r="A653" s="8"/>
      <c r="B653" s="56" t="str">
        <f t="shared" si="2"/>
        <v/>
      </c>
      <c r="C653" s="105"/>
      <c r="D653" s="10"/>
      <c r="E653" s="59" t="str">
        <f t="array" ref="E653">IF(COUNTA(C653:C1673)=0,"",SUM((COUNTIF(C$4:C653,Upgrades!$B$3:$B$13)-COUNTIF(C$4:C653,"Sell_"&amp;Upgrades!$B$3:$B$13))*Upgrades!$D$3:$D$13))</f>
        <v/>
      </c>
      <c r="F653" s="66" t="str">
        <f>IFERROR(__xludf.DUMMYFUNCTION("IF(COUNTA(C653:C1673)=0,"""",IF(REGEXMATCH(INDEX(FILTER(C$4:C653,C$4:C653&lt;&gt;""""),ROWS(FILTER(C$4:C653,C$4:C653&lt;&gt;""""))),""^Sell_""),INDEX(FILTER(F$4:F652,C$4:C652&lt;&gt;""""),ROWS(FILTER(C$4:C652,C$4:C652&lt;&gt;""""))),$AC$5+E653))"),"")</f>
        <v/>
      </c>
      <c r="G653" s="10" t="str">
        <f>IFERROR(__xludf.DUMMYFUNCTION("IF(COUNTA(C653:C1673)=0,"""",IF(C653="""",0,IF(REGEXMATCH(C653,""^Sell_""),-ROUNDDOWN(ROUNDUP(INDEX(Upgrades!$C$3:$C$13,MATCH(SUBSTITUTE(C653,""Sell_"",""""),Upgrades!$B$3:$B$13,0))*1.15^(COUNTIF(C$4:C652,SUBSTITUTE(C653,""Sell_"",""""))-COUNTIF(C$4:C652,"&amp;"""Sell_""&amp;SUBSTITUTE(C653,""Sell_"",""""))))/2),ROUNDUP(INDEX(Upgrades!$C$3:$C$13,MATCH(C653,Upgrades!$B$3:$B$13,0))*1.15^(COUNTIF(C$4:C652,C653)-COUNTIF(C$4:C652,""Sell_""&amp;C653))))))"),"")</f>
        <v/>
      </c>
      <c r="H653" s="10" t="str">
        <f t="shared" si="3"/>
        <v/>
      </c>
      <c r="I653" s="68" t="str">
        <f t="shared" si="4"/>
        <v/>
      </c>
      <c r="J653" s="59" t="str">
        <f t="shared" si="5"/>
        <v/>
      </c>
      <c r="K653" s="69" t="str">
        <f t="shared" si="6"/>
        <v/>
      </c>
      <c r="L653" s="60" t="str">
        <f t="shared" si="7"/>
        <v/>
      </c>
      <c r="M653" s="61" t="str">
        <f>IFERROR(__xludf.DUMMYFUNCTION("IFS(AND(COUNTA(C653:C1673)=0,COUNTA(Q653:Q1673)=0),"""",OR(AND(K653&gt;=1000000000,OR(Y653&gt;=1000000000,COUNTA(Q653:Q1673)=0)),OR(Y653&gt;=1000000000,AND(COUNTA(C653:C1673)=0,P$3=TRUE))),
ROUNDDOWN((AB$1-AC$1)*MAX(INDEX(T$4:T1673,MATCH(LARGE(FILTER(Y$4:Y1673,Y$4"&amp;":Y1673&lt;1000000000),1),Y$4:Y1673)),INDEX(F$4:F1673,MATCH(LARGE(FILTER(K$4:K1673,K$4:K1673&lt;1000000000),1),K$4:K1673)))),AND(K653&lt;1000000000,COUNTA(C653:C1673)&gt;0,P$3=FALSE),
ROUNDDOWN(INDEX(Y$4:Y1673,MATCH(LARGE(FILTER(W$4:W1673,W$4:W1673&lt;=I653),1),W$4:W1673"&amp;"))+(I653-LARGE(FILTER(W$4:W1673,W$4:W1673&lt;=I653),1))*INDEX(T$4:T1673,MATCH(LARGE(FILTER(W$4:W1673,W$4:W1673&lt;=I653),1),W$4:W1673))-K653),1,
ROUNDDOWN(Y653-INDEX(K$4:K1673,MATCH(LARGE(FILTER(I$4:I1673,I$4:I1673&lt;=W653),1),I$4:I1673))-(W653-LARGE(FILTER(I$4:I"&amp;"1673,I$4:I1673&lt;=W653),1))*INDEX(F$4:F1673,MATCH(LARGE(FILTER(I$4:I1673,I$4:I1673&lt;=W653),1),I$4:I1673))))"),"")</f>
        <v/>
      </c>
      <c r="N653" s="60" t="str">
        <f t="shared" si="8"/>
        <v/>
      </c>
      <c r="O653" s="61" t="str">
        <f t="shared" si="9"/>
        <v/>
      </c>
      <c r="P653" s="56" t="str">
        <f t="shared" si="10"/>
        <v/>
      </c>
      <c r="Q653" s="105"/>
      <c r="R653" s="10"/>
      <c r="S653" s="59" t="str">
        <f t="array" ref="S653">IF(COUNTA(Q653:Q1673)=0,"",SUM((COUNTIF(Q$4:Q653,Upgrades!$B$3:$B$13)-COUNTIF(Q$4:Q653,"Sell_"&amp;Upgrades!$B$3:$B$13))*Upgrades!$D$3:$D$13))</f>
        <v/>
      </c>
      <c r="T653" s="66" t="str">
        <f>IFERROR(__xludf.DUMMYFUNCTION("IF(COUNTA(Q653:Q1673)=0,"""",IF(REGEXMATCH(INDEX(FILTER(Q$4:Q653,Q$4:Q653&lt;&gt;""""),ROWS(FILTER(Q$4:Q653,Q$4:Q653&lt;&gt;""""))),""^Sell_""),INDEX(FILTER(T$4:T652,Q$4:Q652&lt;&gt;""""),ROWS(FILTER(Q$4:Q652,Q$4:Q652&lt;&gt;""""))),$AD$5+S653))"),"")</f>
        <v/>
      </c>
      <c r="U653" s="10" t="str">
        <f>IFERROR(__xludf.DUMMYFUNCTION("IF(COUNTA(Q653:Q1673)=0,"""",IF(Q653="""",0,IF(REGEXMATCH(Q653,""^Sell_""),-ROUNDDOWN(ROUNDUP(INDEX(Upgrades!$C$3:$C$13,MATCH(SUBSTITUTE(Q653,""Sell_"",""""),Upgrades!$B$3:$B$13,0))*1.15^(COUNTIF(Q$4:Q652,SUBSTITUTE(Q653,""Sell_"",""""))-COUNTIF(Q$4:Q652,"&amp;"""Sell_""&amp;SUBSTITUTE(Q653,""Sell_"",""""))))/2),ROUNDUP(INDEX(Upgrades!$C$3:$C$13,MATCH(Q653,Upgrades!$B$3:$B$13,0))*1.15^(COUNTIF(Q$4:Q652,Q653)-COUNTIF(Q$4:Q652,""Sell_""&amp;Q653))))))"),"")</f>
        <v/>
      </c>
      <c r="V653" s="10" t="str">
        <f t="shared" si="11"/>
        <v/>
      </c>
      <c r="W653" s="68" t="str">
        <f t="shared" si="12"/>
        <v/>
      </c>
      <c r="X653" s="59" t="str">
        <f t="shared" si="13"/>
        <v/>
      </c>
      <c r="Y653" s="69" t="str">
        <f t="shared" si="14"/>
        <v/>
      </c>
      <c r="Z653" s="11"/>
    </row>
    <row r="654">
      <c r="A654" s="8"/>
      <c r="B654" s="56" t="str">
        <f t="shared" si="2"/>
        <v/>
      </c>
      <c r="C654" s="105"/>
      <c r="D654" s="10"/>
      <c r="E654" s="59" t="str">
        <f t="array" ref="E654">IF(COUNTA(C654:C1673)=0,"",SUM((COUNTIF(C$4:C654,Upgrades!$B$3:$B$13)-COUNTIF(C$4:C654,"Sell_"&amp;Upgrades!$B$3:$B$13))*Upgrades!$D$3:$D$13))</f>
        <v/>
      </c>
      <c r="F654" s="66" t="str">
        <f>IFERROR(__xludf.DUMMYFUNCTION("IF(COUNTA(C654:C1673)=0,"""",IF(REGEXMATCH(INDEX(FILTER(C$4:C654,C$4:C654&lt;&gt;""""),ROWS(FILTER(C$4:C654,C$4:C654&lt;&gt;""""))),""^Sell_""),INDEX(FILTER(F$4:F653,C$4:C653&lt;&gt;""""),ROWS(FILTER(C$4:C653,C$4:C653&lt;&gt;""""))),$AC$5+E654))"),"")</f>
        <v/>
      </c>
      <c r="G654" s="10" t="str">
        <f>IFERROR(__xludf.DUMMYFUNCTION("IF(COUNTA(C654:C1673)=0,"""",IF(C654="""",0,IF(REGEXMATCH(C654,""^Sell_""),-ROUNDDOWN(ROUNDUP(INDEX(Upgrades!$C$3:$C$13,MATCH(SUBSTITUTE(C654,""Sell_"",""""),Upgrades!$B$3:$B$13,0))*1.15^(COUNTIF(C$4:C653,SUBSTITUTE(C654,""Sell_"",""""))-COUNTIF(C$4:C653,"&amp;"""Sell_""&amp;SUBSTITUTE(C654,""Sell_"",""""))))/2),ROUNDUP(INDEX(Upgrades!$C$3:$C$13,MATCH(C654,Upgrades!$B$3:$B$13,0))*1.15^(COUNTIF(C$4:C653,C654)-COUNTIF(C$4:C653,""Sell_""&amp;C654))))))"),"")</f>
        <v/>
      </c>
      <c r="H654" s="10" t="str">
        <f t="shared" si="3"/>
        <v/>
      </c>
      <c r="I654" s="68" t="str">
        <f t="shared" si="4"/>
        <v/>
      </c>
      <c r="J654" s="59" t="str">
        <f t="shared" si="5"/>
        <v/>
      </c>
      <c r="K654" s="69" t="str">
        <f t="shared" si="6"/>
        <v/>
      </c>
      <c r="L654" s="60" t="str">
        <f t="shared" si="7"/>
        <v/>
      </c>
      <c r="M654" s="61" t="str">
        <f>IFERROR(__xludf.DUMMYFUNCTION("IFS(AND(COUNTA(C654:C1673)=0,COUNTA(Q654:Q1673)=0),"""",OR(AND(K654&gt;=1000000000,OR(Y654&gt;=1000000000,COUNTA(Q654:Q1673)=0)),OR(Y654&gt;=1000000000,AND(COUNTA(C654:C1673)=0,P$3=TRUE))),
ROUNDDOWN((AB$1-AC$1)*MAX(INDEX(T$4:T1673,MATCH(LARGE(FILTER(Y$4:Y1673,Y$4"&amp;":Y1673&lt;1000000000),1),Y$4:Y1673)),INDEX(F$4:F1673,MATCH(LARGE(FILTER(K$4:K1673,K$4:K1673&lt;1000000000),1),K$4:K1673)))),AND(K654&lt;1000000000,COUNTA(C654:C1673)&gt;0,P$3=FALSE),
ROUNDDOWN(INDEX(Y$4:Y1673,MATCH(LARGE(FILTER(W$4:W1673,W$4:W1673&lt;=I654),1),W$4:W1673"&amp;"))+(I654-LARGE(FILTER(W$4:W1673,W$4:W1673&lt;=I654),1))*INDEX(T$4:T1673,MATCH(LARGE(FILTER(W$4:W1673,W$4:W1673&lt;=I654),1),W$4:W1673))-K654),1,
ROUNDDOWN(Y654-INDEX(K$4:K1673,MATCH(LARGE(FILTER(I$4:I1673,I$4:I1673&lt;=W654),1),I$4:I1673))-(W654-LARGE(FILTER(I$4:I"&amp;"1673,I$4:I1673&lt;=W654),1))*INDEX(F$4:F1673,MATCH(LARGE(FILTER(I$4:I1673,I$4:I1673&lt;=W654),1),I$4:I1673))))"),"")</f>
        <v/>
      </c>
      <c r="N654" s="60" t="str">
        <f t="shared" si="8"/>
        <v/>
      </c>
      <c r="O654" s="61" t="str">
        <f t="shared" si="9"/>
        <v/>
      </c>
      <c r="P654" s="56" t="str">
        <f t="shared" si="10"/>
        <v/>
      </c>
      <c r="Q654" s="105"/>
      <c r="R654" s="10"/>
      <c r="S654" s="59" t="str">
        <f t="array" ref="S654">IF(COUNTA(Q654:Q1673)=0,"",SUM((COUNTIF(Q$4:Q654,Upgrades!$B$3:$B$13)-COUNTIF(Q$4:Q654,"Sell_"&amp;Upgrades!$B$3:$B$13))*Upgrades!$D$3:$D$13))</f>
        <v/>
      </c>
      <c r="T654" s="66" t="str">
        <f>IFERROR(__xludf.DUMMYFUNCTION("IF(COUNTA(Q654:Q1673)=0,"""",IF(REGEXMATCH(INDEX(FILTER(Q$4:Q654,Q$4:Q654&lt;&gt;""""),ROWS(FILTER(Q$4:Q654,Q$4:Q654&lt;&gt;""""))),""^Sell_""),INDEX(FILTER(T$4:T653,Q$4:Q653&lt;&gt;""""),ROWS(FILTER(Q$4:Q653,Q$4:Q653&lt;&gt;""""))),$AD$5+S654))"),"")</f>
        <v/>
      </c>
      <c r="U654" s="10" t="str">
        <f>IFERROR(__xludf.DUMMYFUNCTION("IF(COUNTA(Q654:Q1673)=0,"""",IF(Q654="""",0,IF(REGEXMATCH(Q654,""^Sell_""),-ROUNDDOWN(ROUNDUP(INDEX(Upgrades!$C$3:$C$13,MATCH(SUBSTITUTE(Q654,""Sell_"",""""),Upgrades!$B$3:$B$13,0))*1.15^(COUNTIF(Q$4:Q653,SUBSTITUTE(Q654,""Sell_"",""""))-COUNTIF(Q$4:Q653,"&amp;"""Sell_""&amp;SUBSTITUTE(Q654,""Sell_"",""""))))/2),ROUNDUP(INDEX(Upgrades!$C$3:$C$13,MATCH(Q654,Upgrades!$B$3:$B$13,0))*1.15^(COUNTIF(Q$4:Q653,Q654)-COUNTIF(Q$4:Q653,""Sell_""&amp;Q654))))))"),"")</f>
        <v/>
      </c>
      <c r="V654" s="10" t="str">
        <f t="shared" si="11"/>
        <v/>
      </c>
      <c r="W654" s="68" t="str">
        <f t="shared" si="12"/>
        <v/>
      </c>
      <c r="X654" s="59" t="str">
        <f t="shared" si="13"/>
        <v/>
      </c>
      <c r="Y654" s="69" t="str">
        <f t="shared" si="14"/>
        <v/>
      </c>
      <c r="Z654" s="11"/>
    </row>
    <row r="655">
      <c r="A655" s="8"/>
      <c r="B655" s="56" t="str">
        <f t="shared" si="2"/>
        <v/>
      </c>
      <c r="C655" s="105"/>
      <c r="D655" s="10"/>
      <c r="E655" s="59" t="str">
        <f t="array" ref="E655">IF(COUNTA(C655:C1673)=0,"",SUM((COUNTIF(C$4:C655,Upgrades!$B$3:$B$13)-COUNTIF(C$4:C655,"Sell_"&amp;Upgrades!$B$3:$B$13))*Upgrades!$D$3:$D$13))</f>
        <v/>
      </c>
      <c r="F655" s="66" t="str">
        <f>IFERROR(__xludf.DUMMYFUNCTION("IF(COUNTA(C655:C1673)=0,"""",IF(REGEXMATCH(INDEX(FILTER(C$4:C655,C$4:C655&lt;&gt;""""),ROWS(FILTER(C$4:C655,C$4:C655&lt;&gt;""""))),""^Sell_""),INDEX(FILTER(F$4:F654,C$4:C654&lt;&gt;""""),ROWS(FILTER(C$4:C654,C$4:C654&lt;&gt;""""))),$AC$5+E655))"),"")</f>
        <v/>
      </c>
      <c r="G655" s="10" t="str">
        <f>IFERROR(__xludf.DUMMYFUNCTION("IF(COUNTA(C655:C1673)=0,"""",IF(C655="""",0,IF(REGEXMATCH(C655,""^Sell_""),-ROUNDDOWN(ROUNDUP(INDEX(Upgrades!$C$3:$C$13,MATCH(SUBSTITUTE(C655,""Sell_"",""""),Upgrades!$B$3:$B$13,0))*1.15^(COUNTIF(C$4:C654,SUBSTITUTE(C655,""Sell_"",""""))-COUNTIF(C$4:C654,"&amp;"""Sell_""&amp;SUBSTITUTE(C655,""Sell_"",""""))))/2),ROUNDUP(INDEX(Upgrades!$C$3:$C$13,MATCH(C655,Upgrades!$B$3:$B$13,0))*1.15^(COUNTIF(C$4:C654,C655)-COUNTIF(C$4:C654,""Sell_""&amp;C655))))))"),"")</f>
        <v/>
      </c>
      <c r="H655" s="10" t="str">
        <f t="shared" si="3"/>
        <v/>
      </c>
      <c r="I655" s="68" t="str">
        <f t="shared" si="4"/>
        <v/>
      </c>
      <c r="J655" s="59" t="str">
        <f t="shared" si="5"/>
        <v/>
      </c>
      <c r="K655" s="69" t="str">
        <f t="shared" si="6"/>
        <v/>
      </c>
      <c r="L655" s="60" t="str">
        <f t="shared" si="7"/>
        <v/>
      </c>
      <c r="M655" s="61" t="str">
        <f>IFERROR(__xludf.DUMMYFUNCTION("IFS(AND(COUNTA(C655:C1673)=0,COUNTA(Q655:Q1673)=0),"""",OR(AND(K655&gt;=1000000000,OR(Y655&gt;=1000000000,COUNTA(Q655:Q1673)=0)),OR(Y655&gt;=1000000000,AND(COUNTA(C655:C1673)=0,P$3=TRUE))),
ROUNDDOWN((AB$1-AC$1)*MAX(INDEX(T$4:T1673,MATCH(LARGE(FILTER(Y$4:Y1673,Y$4"&amp;":Y1673&lt;1000000000),1),Y$4:Y1673)),INDEX(F$4:F1673,MATCH(LARGE(FILTER(K$4:K1673,K$4:K1673&lt;1000000000),1),K$4:K1673)))),AND(K655&lt;1000000000,COUNTA(C655:C1673)&gt;0,P$3=FALSE),
ROUNDDOWN(INDEX(Y$4:Y1673,MATCH(LARGE(FILTER(W$4:W1673,W$4:W1673&lt;=I655),1),W$4:W1673"&amp;"))+(I655-LARGE(FILTER(W$4:W1673,W$4:W1673&lt;=I655),1))*INDEX(T$4:T1673,MATCH(LARGE(FILTER(W$4:W1673,W$4:W1673&lt;=I655),1),W$4:W1673))-K655),1,
ROUNDDOWN(Y655-INDEX(K$4:K1673,MATCH(LARGE(FILTER(I$4:I1673,I$4:I1673&lt;=W655),1),I$4:I1673))-(W655-LARGE(FILTER(I$4:I"&amp;"1673,I$4:I1673&lt;=W655),1))*INDEX(F$4:F1673,MATCH(LARGE(FILTER(I$4:I1673,I$4:I1673&lt;=W655),1),I$4:I1673))))"),"")</f>
        <v/>
      </c>
      <c r="N655" s="60" t="str">
        <f t="shared" si="8"/>
        <v/>
      </c>
      <c r="O655" s="61" t="str">
        <f t="shared" si="9"/>
        <v/>
      </c>
      <c r="P655" s="56" t="str">
        <f t="shared" si="10"/>
        <v/>
      </c>
      <c r="Q655" s="105"/>
      <c r="R655" s="10"/>
      <c r="S655" s="59" t="str">
        <f t="array" ref="S655">IF(COUNTA(Q655:Q1673)=0,"",SUM((COUNTIF(Q$4:Q655,Upgrades!$B$3:$B$13)-COUNTIF(Q$4:Q655,"Sell_"&amp;Upgrades!$B$3:$B$13))*Upgrades!$D$3:$D$13))</f>
        <v/>
      </c>
      <c r="T655" s="66" t="str">
        <f>IFERROR(__xludf.DUMMYFUNCTION("IF(COUNTA(Q655:Q1673)=0,"""",IF(REGEXMATCH(INDEX(FILTER(Q$4:Q655,Q$4:Q655&lt;&gt;""""),ROWS(FILTER(Q$4:Q655,Q$4:Q655&lt;&gt;""""))),""^Sell_""),INDEX(FILTER(T$4:T654,Q$4:Q654&lt;&gt;""""),ROWS(FILTER(Q$4:Q654,Q$4:Q654&lt;&gt;""""))),$AD$5+S655))"),"")</f>
        <v/>
      </c>
      <c r="U655" s="10" t="str">
        <f>IFERROR(__xludf.DUMMYFUNCTION("IF(COUNTA(Q655:Q1673)=0,"""",IF(Q655="""",0,IF(REGEXMATCH(Q655,""^Sell_""),-ROUNDDOWN(ROUNDUP(INDEX(Upgrades!$C$3:$C$13,MATCH(SUBSTITUTE(Q655,""Sell_"",""""),Upgrades!$B$3:$B$13,0))*1.15^(COUNTIF(Q$4:Q654,SUBSTITUTE(Q655,""Sell_"",""""))-COUNTIF(Q$4:Q654,"&amp;"""Sell_""&amp;SUBSTITUTE(Q655,""Sell_"",""""))))/2),ROUNDUP(INDEX(Upgrades!$C$3:$C$13,MATCH(Q655,Upgrades!$B$3:$B$13,0))*1.15^(COUNTIF(Q$4:Q654,Q655)-COUNTIF(Q$4:Q654,""Sell_""&amp;Q655))))))"),"")</f>
        <v/>
      </c>
      <c r="V655" s="10" t="str">
        <f t="shared" si="11"/>
        <v/>
      </c>
      <c r="W655" s="68" t="str">
        <f t="shared" si="12"/>
        <v/>
      </c>
      <c r="X655" s="59" t="str">
        <f t="shared" si="13"/>
        <v/>
      </c>
      <c r="Y655" s="69" t="str">
        <f t="shared" si="14"/>
        <v/>
      </c>
      <c r="Z655" s="11"/>
    </row>
    <row r="656">
      <c r="A656" s="8"/>
      <c r="B656" s="56" t="str">
        <f t="shared" si="2"/>
        <v/>
      </c>
      <c r="C656" s="105"/>
      <c r="D656" s="10"/>
      <c r="E656" s="59" t="str">
        <f t="array" ref="E656">IF(COUNTA(C656:C1673)=0,"",SUM((COUNTIF(C$4:C656,Upgrades!$B$3:$B$13)-COUNTIF(C$4:C656,"Sell_"&amp;Upgrades!$B$3:$B$13))*Upgrades!$D$3:$D$13))</f>
        <v/>
      </c>
      <c r="F656" s="66" t="str">
        <f>IFERROR(__xludf.DUMMYFUNCTION("IF(COUNTA(C656:C1673)=0,"""",IF(REGEXMATCH(INDEX(FILTER(C$4:C656,C$4:C656&lt;&gt;""""),ROWS(FILTER(C$4:C656,C$4:C656&lt;&gt;""""))),""^Sell_""),INDEX(FILTER(F$4:F655,C$4:C655&lt;&gt;""""),ROWS(FILTER(C$4:C655,C$4:C655&lt;&gt;""""))),$AC$5+E656))"),"")</f>
        <v/>
      </c>
      <c r="G656" s="10" t="str">
        <f>IFERROR(__xludf.DUMMYFUNCTION("IF(COUNTA(C656:C1673)=0,"""",IF(C656="""",0,IF(REGEXMATCH(C656,""^Sell_""),-ROUNDDOWN(ROUNDUP(INDEX(Upgrades!$C$3:$C$13,MATCH(SUBSTITUTE(C656,""Sell_"",""""),Upgrades!$B$3:$B$13,0))*1.15^(COUNTIF(C$4:C655,SUBSTITUTE(C656,""Sell_"",""""))-COUNTIF(C$4:C655,"&amp;"""Sell_""&amp;SUBSTITUTE(C656,""Sell_"",""""))))/2),ROUNDUP(INDEX(Upgrades!$C$3:$C$13,MATCH(C656,Upgrades!$B$3:$B$13,0))*1.15^(COUNTIF(C$4:C655,C656)-COUNTIF(C$4:C655,""Sell_""&amp;C656))))))"),"")</f>
        <v/>
      </c>
      <c r="H656" s="10" t="str">
        <f t="shared" si="3"/>
        <v/>
      </c>
      <c r="I656" s="68" t="str">
        <f t="shared" si="4"/>
        <v/>
      </c>
      <c r="J656" s="59" t="str">
        <f t="shared" si="5"/>
        <v/>
      </c>
      <c r="K656" s="69" t="str">
        <f t="shared" si="6"/>
        <v/>
      </c>
      <c r="L656" s="60" t="str">
        <f t="shared" si="7"/>
        <v/>
      </c>
      <c r="M656" s="61" t="str">
        <f>IFERROR(__xludf.DUMMYFUNCTION("IFS(AND(COUNTA(C656:C1673)=0,COUNTA(Q656:Q1673)=0),"""",OR(AND(K656&gt;=1000000000,OR(Y656&gt;=1000000000,COUNTA(Q656:Q1673)=0)),OR(Y656&gt;=1000000000,AND(COUNTA(C656:C1673)=0,P$3=TRUE))),
ROUNDDOWN((AB$1-AC$1)*MAX(INDEX(T$4:T1673,MATCH(LARGE(FILTER(Y$4:Y1673,Y$4"&amp;":Y1673&lt;1000000000),1),Y$4:Y1673)),INDEX(F$4:F1673,MATCH(LARGE(FILTER(K$4:K1673,K$4:K1673&lt;1000000000),1),K$4:K1673)))),AND(K656&lt;1000000000,COUNTA(C656:C1673)&gt;0,P$3=FALSE),
ROUNDDOWN(INDEX(Y$4:Y1673,MATCH(LARGE(FILTER(W$4:W1673,W$4:W1673&lt;=I656),1),W$4:W1673"&amp;"))+(I656-LARGE(FILTER(W$4:W1673,W$4:W1673&lt;=I656),1))*INDEX(T$4:T1673,MATCH(LARGE(FILTER(W$4:W1673,W$4:W1673&lt;=I656),1),W$4:W1673))-K656),1,
ROUNDDOWN(Y656-INDEX(K$4:K1673,MATCH(LARGE(FILTER(I$4:I1673,I$4:I1673&lt;=W656),1),I$4:I1673))-(W656-LARGE(FILTER(I$4:I"&amp;"1673,I$4:I1673&lt;=W656),1))*INDEX(F$4:F1673,MATCH(LARGE(FILTER(I$4:I1673,I$4:I1673&lt;=W656),1),I$4:I1673))))"),"")</f>
        <v/>
      </c>
      <c r="N656" s="60" t="str">
        <f t="shared" si="8"/>
        <v/>
      </c>
      <c r="O656" s="61" t="str">
        <f t="shared" si="9"/>
        <v/>
      </c>
      <c r="P656" s="56" t="str">
        <f t="shared" si="10"/>
        <v/>
      </c>
      <c r="Q656" s="105"/>
      <c r="R656" s="10"/>
      <c r="S656" s="59" t="str">
        <f t="array" ref="S656">IF(COUNTA(Q656:Q1673)=0,"",SUM((COUNTIF(Q$4:Q656,Upgrades!$B$3:$B$13)-COUNTIF(Q$4:Q656,"Sell_"&amp;Upgrades!$B$3:$B$13))*Upgrades!$D$3:$D$13))</f>
        <v/>
      </c>
      <c r="T656" s="66" t="str">
        <f>IFERROR(__xludf.DUMMYFUNCTION("IF(COUNTA(Q656:Q1673)=0,"""",IF(REGEXMATCH(INDEX(FILTER(Q$4:Q656,Q$4:Q656&lt;&gt;""""),ROWS(FILTER(Q$4:Q656,Q$4:Q656&lt;&gt;""""))),""^Sell_""),INDEX(FILTER(T$4:T655,Q$4:Q655&lt;&gt;""""),ROWS(FILTER(Q$4:Q655,Q$4:Q655&lt;&gt;""""))),$AD$5+S656))"),"")</f>
        <v/>
      </c>
      <c r="U656" s="10" t="str">
        <f>IFERROR(__xludf.DUMMYFUNCTION("IF(COUNTA(Q656:Q1673)=0,"""",IF(Q656="""",0,IF(REGEXMATCH(Q656,""^Sell_""),-ROUNDDOWN(ROUNDUP(INDEX(Upgrades!$C$3:$C$13,MATCH(SUBSTITUTE(Q656,""Sell_"",""""),Upgrades!$B$3:$B$13,0))*1.15^(COUNTIF(Q$4:Q655,SUBSTITUTE(Q656,""Sell_"",""""))-COUNTIF(Q$4:Q655,"&amp;"""Sell_""&amp;SUBSTITUTE(Q656,""Sell_"",""""))))/2),ROUNDUP(INDEX(Upgrades!$C$3:$C$13,MATCH(Q656,Upgrades!$B$3:$B$13,0))*1.15^(COUNTIF(Q$4:Q655,Q656)-COUNTIF(Q$4:Q655,""Sell_""&amp;Q656))))))"),"")</f>
        <v/>
      </c>
      <c r="V656" s="10" t="str">
        <f t="shared" si="11"/>
        <v/>
      </c>
      <c r="W656" s="68" t="str">
        <f t="shared" si="12"/>
        <v/>
      </c>
      <c r="X656" s="59" t="str">
        <f t="shared" si="13"/>
        <v/>
      </c>
      <c r="Y656" s="69" t="str">
        <f t="shared" si="14"/>
        <v/>
      </c>
      <c r="Z656" s="11"/>
    </row>
    <row r="657">
      <c r="A657" s="8"/>
      <c r="B657" s="56" t="str">
        <f t="shared" si="2"/>
        <v/>
      </c>
      <c r="C657" s="105"/>
      <c r="D657" s="10"/>
      <c r="E657" s="59" t="str">
        <f t="array" ref="E657">IF(COUNTA(C657:C1673)=0,"",SUM((COUNTIF(C$4:C657,Upgrades!$B$3:$B$13)-COUNTIF(C$4:C657,"Sell_"&amp;Upgrades!$B$3:$B$13))*Upgrades!$D$3:$D$13))</f>
        <v/>
      </c>
      <c r="F657" s="66" t="str">
        <f>IFERROR(__xludf.DUMMYFUNCTION("IF(COUNTA(C657:C1673)=0,"""",IF(REGEXMATCH(INDEX(FILTER(C$4:C657,C$4:C657&lt;&gt;""""),ROWS(FILTER(C$4:C657,C$4:C657&lt;&gt;""""))),""^Sell_""),INDEX(FILTER(F$4:F656,C$4:C656&lt;&gt;""""),ROWS(FILTER(C$4:C656,C$4:C656&lt;&gt;""""))),$AC$5+E657))"),"")</f>
        <v/>
      </c>
      <c r="G657" s="10" t="str">
        <f>IFERROR(__xludf.DUMMYFUNCTION("IF(COUNTA(C657:C1673)=0,"""",IF(C657="""",0,IF(REGEXMATCH(C657,""^Sell_""),-ROUNDDOWN(ROUNDUP(INDEX(Upgrades!$C$3:$C$13,MATCH(SUBSTITUTE(C657,""Sell_"",""""),Upgrades!$B$3:$B$13,0))*1.15^(COUNTIF(C$4:C656,SUBSTITUTE(C657,""Sell_"",""""))-COUNTIF(C$4:C656,"&amp;"""Sell_""&amp;SUBSTITUTE(C657,""Sell_"",""""))))/2),ROUNDUP(INDEX(Upgrades!$C$3:$C$13,MATCH(C657,Upgrades!$B$3:$B$13,0))*1.15^(COUNTIF(C$4:C656,C657)-COUNTIF(C$4:C656,""Sell_""&amp;C657))))))"),"")</f>
        <v/>
      </c>
      <c r="H657" s="10" t="str">
        <f t="shared" si="3"/>
        <v/>
      </c>
      <c r="I657" s="68" t="str">
        <f t="shared" si="4"/>
        <v/>
      </c>
      <c r="J657" s="59" t="str">
        <f t="shared" si="5"/>
        <v/>
      </c>
      <c r="K657" s="69" t="str">
        <f t="shared" si="6"/>
        <v/>
      </c>
      <c r="L657" s="60" t="str">
        <f t="shared" si="7"/>
        <v/>
      </c>
      <c r="M657" s="61" t="str">
        <f>IFERROR(__xludf.DUMMYFUNCTION("IFS(AND(COUNTA(C657:C1673)=0,COUNTA(Q657:Q1673)=0),"""",OR(AND(K657&gt;=1000000000,OR(Y657&gt;=1000000000,COUNTA(Q657:Q1673)=0)),OR(Y657&gt;=1000000000,AND(COUNTA(C657:C1673)=0,P$3=TRUE))),
ROUNDDOWN((AB$1-AC$1)*MAX(INDEX(T$4:T1673,MATCH(LARGE(FILTER(Y$4:Y1673,Y$4"&amp;":Y1673&lt;1000000000),1),Y$4:Y1673)),INDEX(F$4:F1673,MATCH(LARGE(FILTER(K$4:K1673,K$4:K1673&lt;1000000000),1),K$4:K1673)))),AND(K657&lt;1000000000,COUNTA(C657:C1673)&gt;0,P$3=FALSE),
ROUNDDOWN(INDEX(Y$4:Y1673,MATCH(LARGE(FILTER(W$4:W1673,W$4:W1673&lt;=I657),1),W$4:W1673"&amp;"))+(I657-LARGE(FILTER(W$4:W1673,W$4:W1673&lt;=I657),1))*INDEX(T$4:T1673,MATCH(LARGE(FILTER(W$4:W1673,W$4:W1673&lt;=I657),1),W$4:W1673))-K657),1,
ROUNDDOWN(Y657-INDEX(K$4:K1673,MATCH(LARGE(FILTER(I$4:I1673,I$4:I1673&lt;=W657),1),I$4:I1673))-(W657-LARGE(FILTER(I$4:I"&amp;"1673,I$4:I1673&lt;=W657),1))*INDEX(F$4:F1673,MATCH(LARGE(FILTER(I$4:I1673,I$4:I1673&lt;=W657),1),I$4:I1673))))"),"")</f>
        <v/>
      </c>
      <c r="N657" s="60" t="str">
        <f t="shared" si="8"/>
        <v/>
      </c>
      <c r="O657" s="61" t="str">
        <f t="shared" si="9"/>
        <v/>
      </c>
      <c r="P657" s="56" t="str">
        <f t="shared" si="10"/>
        <v/>
      </c>
      <c r="Q657" s="105"/>
      <c r="R657" s="10"/>
      <c r="S657" s="59" t="str">
        <f t="array" ref="S657">IF(COUNTA(Q657:Q1673)=0,"",SUM((COUNTIF(Q$4:Q657,Upgrades!$B$3:$B$13)-COUNTIF(Q$4:Q657,"Sell_"&amp;Upgrades!$B$3:$B$13))*Upgrades!$D$3:$D$13))</f>
        <v/>
      </c>
      <c r="T657" s="66" t="str">
        <f>IFERROR(__xludf.DUMMYFUNCTION("IF(COUNTA(Q657:Q1673)=0,"""",IF(REGEXMATCH(INDEX(FILTER(Q$4:Q657,Q$4:Q657&lt;&gt;""""),ROWS(FILTER(Q$4:Q657,Q$4:Q657&lt;&gt;""""))),""^Sell_""),INDEX(FILTER(T$4:T656,Q$4:Q656&lt;&gt;""""),ROWS(FILTER(Q$4:Q656,Q$4:Q656&lt;&gt;""""))),$AD$5+S657))"),"")</f>
        <v/>
      </c>
      <c r="U657" s="10" t="str">
        <f>IFERROR(__xludf.DUMMYFUNCTION("IF(COUNTA(Q657:Q1673)=0,"""",IF(Q657="""",0,IF(REGEXMATCH(Q657,""^Sell_""),-ROUNDDOWN(ROUNDUP(INDEX(Upgrades!$C$3:$C$13,MATCH(SUBSTITUTE(Q657,""Sell_"",""""),Upgrades!$B$3:$B$13,0))*1.15^(COUNTIF(Q$4:Q656,SUBSTITUTE(Q657,""Sell_"",""""))-COUNTIF(Q$4:Q656,"&amp;"""Sell_""&amp;SUBSTITUTE(Q657,""Sell_"",""""))))/2),ROUNDUP(INDEX(Upgrades!$C$3:$C$13,MATCH(Q657,Upgrades!$B$3:$B$13,0))*1.15^(COUNTIF(Q$4:Q656,Q657)-COUNTIF(Q$4:Q656,""Sell_""&amp;Q657))))))"),"")</f>
        <v/>
      </c>
      <c r="V657" s="10" t="str">
        <f t="shared" si="11"/>
        <v/>
      </c>
      <c r="W657" s="68" t="str">
        <f t="shared" si="12"/>
        <v/>
      </c>
      <c r="X657" s="59" t="str">
        <f t="shared" si="13"/>
        <v/>
      </c>
      <c r="Y657" s="69" t="str">
        <f t="shared" si="14"/>
        <v/>
      </c>
      <c r="Z657" s="11"/>
    </row>
    <row r="658">
      <c r="A658" s="8"/>
      <c r="B658" s="56" t="str">
        <f t="shared" si="2"/>
        <v/>
      </c>
      <c r="C658" s="105"/>
      <c r="D658" s="10"/>
      <c r="E658" s="59" t="str">
        <f t="array" ref="E658">IF(COUNTA(C658:C1673)=0,"",SUM((COUNTIF(C$4:C658,Upgrades!$B$3:$B$13)-COUNTIF(C$4:C658,"Sell_"&amp;Upgrades!$B$3:$B$13))*Upgrades!$D$3:$D$13))</f>
        <v/>
      </c>
      <c r="F658" s="66" t="str">
        <f>IFERROR(__xludf.DUMMYFUNCTION("IF(COUNTA(C658:C1673)=0,"""",IF(REGEXMATCH(INDEX(FILTER(C$4:C658,C$4:C658&lt;&gt;""""),ROWS(FILTER(C$4:C658,C$4:C658&lt;&gt;""""))),""^Sell_""),INDEX(FILTER(F$4:F657,C$4:C657&lt;&gt;""""),ROWS(FILTER(C$4:C657,C$4:C657&lt;&gt;""""))),$AC$5+E658))"),"")</f>
        <v/>
      </c>
      <c r="G658" s="10" t="str">
        <f>IFERROR(__xludf.DUMMYFUNCTION("IF(COUNTA(C658:C1673)=0,"""",IF(C658="""",0,IF(REGEXMATCH(C658,""^Sell_""),-ROUNDDOWN(ROUNDUP(INDEX(Upgrades!$C$3:$C$13,MATCH(SUBSTITUTE(C658,""Sell_"",""""),Upgrades!$B$3:$B$13,0))*1.15^(COUNTIF(C$4:C657,SUBSTITUTE(C658,""Sell_"",""""))-COUNTIF(C$4:C657,"&amp;"""Sell_""&amp;SUBSTITUTE(C658,""Sell_"",""""))))/2),ROUNDUP(INDEX(Upgrades!$C$3:$C$13,MATCH(C658,Upgrades!$B$3:$B$13,0))*1.15^(COUNTIF(C$4:C657,C658)-COUNTIF(C$4:C657,""Sell_""&amp;C658))))))"),"")</f>
        <v/>
      </c>
      <c r="H658" s="10" t="str">
        <f t="shared" si="3"/>
        <v/>
      </c>
      <c r="I658" s="68" t="str">
        <f t="shared" si="4"/>
        <v/>
      </c>
      <c r="J658" s="59" t="str">
        <f t="shared" si="5"/>
        <v/>
      </c>
      <c r="K658" s="69" t="str">
        <f t="shared" si="6"/>
        <v/>
      </c>
      <c r="L658" s="60" t="str">
        <f t="shared" si="7"/>
        <v/>
      </c>
      <c r="M658" s="61" t="str">
        <f>IFERROR(__xludf.DUMMYFUNCTION("IFS(AND(COUNTA(C658:C1673)=0,COUNTA(Q658:Q1673)=0),"""",OR(AND(K658&gt;=1000000000,OR(Y658&gt;=1000000000,COUNTA(Q658:Q1673)=0)),OR(Y658&gt;=1000000000,AND(COUNTA(C658:C1673)=0,P$3=TRUE))),
ROUNDDOWN((AB$1-AC$1)*MAX(INDEX(T$4:T1673,MATCH(LARGE(FILTER(Y$4:Y1673,Y$4"&amp;":Y1673&lt;1000000000),1),Y$4:Y1673)),INDEX(F$4:F1673,MATCH(LARGE(FILTER(K$4:K1673,K$4:K1673&lt;1000000000),1),K$4:K1673)))),AND(K658&lt;1000000000,COUNTA(C658:C1673)&gt;0,P$3=FALSE),
ROUNDDOWN(INDEX(Y$4:Y1673,MATCH(LARGE(FILTER(W$4:W1673,W$4:W1673&lt;=I658),1),W$4:W1673"&amp;"))+(I658-LARGE(FILTER(W$4:W1673,W$4:W1673&lt;=I658),1))*INDEX(T$4:T1673,MATCH(LARGE(FILTER(W$4:W1673,W$4:W1673&lt;=I658),1),W$4:W1673))-K658),1,
ROUNDDOWN(Y658-INDEX(K$4:K1673,MATCH(LARGE(FILTER(I$4:I1673,I$4:I1673&lt;=W658),1),I$4:I1673))-(W658-LARGE(FILTER(I$4:I"&amp;"1673,I$4:I1673&lt;=W658),1))*INDEX(F$4:F1673,MATCH(LARGE(FILTER(I$4:I1673,I$4:I1673&lt;=W658),1),I$4:I1673))))"),"")</f>
        <v/>
      </c>
      <c r="N658" s="60" t="str">
        <f t="shared" si="8"/>
        <v/>
      </c>
      <c r="O658" s="61" t="str">
        <f t="shared" si="9"/>
        <v/>
      </c>
      <c r="P658" s="56" t="str">
        <f t="shared" si="10"/>
        <v/>
      </c>
      <c r="Q658" s="105"/>
      <c r="R658" s="10"/>
      <c r="S658" s="59" t="str">
        <f t="array" ref="S658">IF(COUNTA(Q658:Q1673)=0,"",SUM((COUNTIF(Q$4:Q658,Upgrades!$B$3:$B$13)-COUNTIF(Q$4:Q658,"Sell_"&amp;Upgrades!$B$3:$B$13))*Upgrades!$D$3:$D$13))</f>
        <v/>
      </c>
      <c r="T658" s="66" t="str">
        <f>IFERROR(__xludf.DUMMYFUNCTION("IF(COUNTA(Q658:Q1673)=0,"""",IF(REGEXMATCH(INDEX(FILTER(Q$4:Q658,Q$4:Q658&lt;&gt;""""),ROWS(FILTER(Q$4:Q658,Q$4:Q658&lt;&gt;""""))),""^Sell_""),INDEX(FILTER(T$4:T657,Q$4:Q657&lt;&gt;""""),ROWS(FILTER(Q$4:Q657,Q$4:Q657&lt;&gt;""""))),$AD$5+S658))"),"")</f>
        <v/>
      </c>
      <c r="U658" s="10" t="str">
        <f>IFERROR(__xludf.DUMMYFUNCTION("IF(COUNTA(Q658:Q1673)=0,"""",IF(Q658="""",0,IF(REGEXMATCH(Q658,""^Sell_""),-ROUNDDOWN(ROUNDUP(INDEX(Upgrades!$C$3:$C$13,MATCH(SUBSTITUTE(Q658,""Sell_"",""""),Upgrades!$B$3:$B$13,0))*1.15^(COUNTIF(Q$4:Q657,SUBSTITUTE(Q658,""Sell_"",""""))-COUNTIF(Q$4:Q657,"&amp;"""Sell_""&amp;SUBSTITUTE(Q658,""Sell_"",""""))))/2),ROUNDUP(INDEX(Upgrades!$C$3:$C$13,MATCH(Q658,Upgrades!$B$3:$B$13,0))*1.15^(COUNTIF(Q$4:Q657,Q658)-COUNTIF(Q$4:Q657,""Sell_""&amp;Q658))))))"),"")</f>
        <v/>
      </c>
      <c r="V658" s="10" t="str">
        <f t="shared" si="11"/>
        <v/>
      </c>
      <c r="W658" s="68" t="str">
        <f t="shared" si="12"/>
        <v/>
      </c>
      <c r="X658" s="59" t="str">
        <f t="shared" si="13"/>
        <v/>
      </c>
      <c r="Y658" s="69" t="str">
        <f t="shared" si="14"/>
        <v/>
      </c>
      <c r="Z658" s="11"/>
    </row>
    <row r="659">
      <c r="A659" s="8"/>
      <c r="B659" s="56" t="str">
        <f t="shared" si="2"/>
        <v/>
      </c>
      <c r="C659" s="105"/>
      <c r="D659" s="10"/>
      <c r="E659" s="59" t="str">
        <f t="array" ref="E659">IF(COUNTA(C659:C1673)=0,"",SUM((COUNTIF(C$4:C659,Upgrades!$B$3:$B$13)-COUNTIF(C$4:C659,"Sell_"&amp;Upgrades!$B$3:$B$13))*Upgrades!$D$3:$D$13))</f>
        <v/>
      </c>
      <c r="F659" s="66" t="str">
        <f>IFERROR(__xludf.DUMMYFUNCTION("IF(COUNTA(C659:C1673)=0,"""",IF(REGEXMATCH(INDEX(FILTER(C$4:C659,C$4:C659&lt;&gt;""""),ROWS(FILTER(C$4:C659,C$4:C659&lt;&gt;""""))),""^Sell_""),INDEX(FILTER(F$4:F658,C$4:C658&lt;&gt;""""),ROWS(FILTER(C$4:C658,C$4:C658&lt;&gt;""""))),$AC$5+E659))"),"")</f>
        <v/>
      </c>
      <c r="G659" s="10" t="str">
        <f>IFERROR(__xludf.DUMMYFUNCTION("IF(COUNTA(C659:C1673)=0,"""",IF(C659="""",0,IF(REGEXMATCH(C659,""^Sell_""),-ROUNDDOWN(ROUNDUP(INDEX(Upgrades!$C$3:$C$13,MATCH(SUBSTITUTE(C659,""Sell_"",""""),Upgrades!$B$3:$B$13,0))*1.15^(COUNTIF(C$4:C658,SUBSTITUTE(C659,""Sell_"",""""))-COUNTIF(C$4:C658,"&amp;"""Sell_""&amp;SUBSTITUTE(C659,""Sell_"",""""))))/2),ROUNDUP(INDEX(Upgrades!$C$3:$C$13,MATCH(C659,Upgrades!$B$3:$B$13,0))*1.15^(COUNTIF(C$4:C658,C659)-COUNTIF(C$4:C658,""Sell_""&amp;C659))))))"),"")</f>
        <v/>
      </c>
      <c r="H659" s="10" t="str">
        <f t="shared" si="3"/>
        <v/>
      </c>
      <c r="I659" s="68" t="str">
        <f t="shared" si="4"/>
        <v/>
      </c>
      <c r="J659" s="59" t="str">
        <f t="shared" si="5"/>
        <v/>
      </c>
      <c r="K659" s="69" t="str">
        <f t="shared" si="6"/>
        <v/>
      </c>
      <c r="L659" s="60" t="str">
        <f t="shared" si="7"/>
        <v/>
      </c>
      <c r="M659" s="61" t="str">
        <f>IFERROR(__xludf.DUMMYFUNCTION("IFS(AND(COUNTA(C659:C1673)=0,COUNTA(Q659:Q1673)=0),"""",OR(AND(K659&gt;=1000000000,OR(Y659&gt;=1000000000,COUNTA(Q659:Q1673)=0)),OR(Y659&gt;=1000000000,AND(COUNTA(C659:C1673)=0,P$3=TRUE))),
ROUNDDOWN((AB$1-AC$1)*MAX(INDEX(T$4:T1673,MATCH(LARGE(FILTER(Y$4:Y1673,Y$4"&amp;":Y1673&lt;1000000000),1),Y$4:Y1673)),INDEX(F$4:F1673,MATCH(LARGE(FILTER(K$4:K1673,K$4:K1673&lt;1000000000),1),K$4:K1673)))),AND(K659&lt;1000000000,COUNTA(C659:C1673)&gt;0,P$3=FALSE),
ROUNDDOWN(INDEX(Y$4:Y1673,MATCH(LARGE(FILTER(W$4:W1673,W$4:W1673&lt;=I659),1),W$4:W1673"&amp;"))+(I659-LARGE(FILTER(W$4:W1673,W$4:W1673&lt;=I659),1))*INDEX(T$4:T1673,MATCH(LARGE(FILTER(W$4:W1673,W$4:W1673&lt;=I659),1),W$4:W1673))-K659),1,
ROUNDDOWN(Y659-INDEX(K$4:K1673,MATCH(LARGE(FILTER(I$4:I1673,I$4:I1673&lt;=W659),1),I$4:I1673))-(W659-LARGE(FILTER(I$4:I"&amp;"1673,I$4:I1673&lt;=W659),1))*INDEX(F$4:F1673,MATCH(LARGE(FILTER(I$4:I1673,I$4:I1673&lt;=W659),1),I$4:I1673))))"),"")</f>
        <v/>
      </c>
      <c r="N659" s="60" t="str">
        <f t="shared" si="8"/>
        <v/>
      </c>
      <c r="O659" s="61" t="str">
        <f t="shared" si="9"/>
        <v/>
      </c>
      <c r="P659" s="56" t="str">
        <f t="shared" si="10"/>
        <v/>
      </c>
      <c r="Q659" s="105"/>
      <c r="R659" s="10"/>
      <c r="S659" s="59" t="str">
        <f t="array" ref="S659">IF(COUNTA(Q659:Q1673)=0,"",SUM((COUNTIF(Q$4:Q659,Upgrades!$B$3:$B$13)-COUNTIF(Q$4:Q659,"Sell_"&amp;Upgrades!$B$3:$B$13))*Upgrades!$D$3:$D$13))</f>
        <v/>
      </c>
      <c r="T659" s="66" t="str">
        <f>IFERROR(__xludf.DUMMYFUNCTION("IF(COUNTA(Q659:Q1673)=0,"""",IF(REGEXMATCH(INDEX(FILTER(Q$4:Q659,Q$4:Q659&lt;&gt;""""),ROWS(FILTER(Q$4:Q659,Q$4:Q659&lt;&gt;""""))),""^Sell_""),INDEX(FILTER(T$4:T658,Q$4:Q658&lt;&gt;""""),ROWS(FILTER(Q$4:Q658,Q$4:Q658&lt;&gt;""""))),$AD$5+S659))"),"")</f>
        <v/>
      </c>
      <c r="U659" s="10" t="str">
        <f>IFERROR(__xludf.DUMMYFUNCTION("IF(COUNTA(Q659:Q1673)=0,"""",IF(Q659="""",0,IF(REGEXMATCH(Q659,""^Sell_""),-ROUNDDOWN(ROUNDUP(INDEX(Upgrades!$C$3:$C$13,MATCH(SUBSTITUTE(Q659,""Sell_"",""""),Upgrades!$B$3:$B$13,0))*1.15^(COUNTIF(Q$4:Q658,SUBSTITUTE(Q659,""Sell_"",""""))-COUNTIF(Q$4:Q658,"&amp;"""Sell_""&amp;SUBSTITUTE(Q659,""Sell_"",""""))))/2),ROUNDUP(INDEX(Upgrades!$C$3:$C$13,MATCH(Q659,Upgrades!$B$3:$B$13,0))*1.15^(COUNTIF(Q$4:Q658,Q659)-COUNTIF(Q$4:Q658,""Sell_""&amp;Q659))))))"),"")</f>
        <v/>
      </c>
      <c r="V659" s="10" t="str">
        <f t="shared" si="11"/>
        <v/>
      </c>
      <c r="W659" s="68" t="str">
        <f t="shared" si="12"/>
        <v/>
      </c>
      <c r="X659" s="59" t="str">
        <f t="shared" si="13"/>
        <v/>
      </c>
      <c r="Y659" s="69" t="str">
        <f t="shared" si="14"/>
        <v/>
      </c>
      <c r="Z659" s="11"/>
    </row>
    <row r="660">
      <c r="A660" s="8"/>
      <c r="B660" s="56" t="str">
        <f t="shared" si="2"/>
        <v/>
      </c>
      <c r="C660" s="105"/>
      <c r="D660" s="10"/>
      <c r="E660" s="59" t="str">
        <f t="array" ref="E660">IF(COUNTA(C660:C1673)=0,"",SUM((COUNTIF(C$4:C660,Upgrades!$B$3:$B$13)-COUNTIF(C$4:C660,"Sell_"&amp;Upgrades!$B$3:$B$13))*Upgrades!$D$3:$D$13))</f>
        <v/>
      </c>
      <c r="F660" s="66" t="str">
        <f>IFERROR(__xludf.DUMMYFUNCTION("IF(COUNTA(C660:C1673)=0,"""",IF(REGEXMATCH(INDEX(FILTER(C$4:C660,C$4:C660&lt;&gt;""""),ROWS(FILTER(C$4:C660,C$4:C660&lt;&gt;""""))),""^Sell_""),INDEX(FILTER(F$4:F659,C$4:C659&lt;&gt;""""),ROWS(FILTER(C$4:C659,C$4:C659&lt;&gt;""""))),$AC$5+E660))"),"")</f>
        <v/>
      </c>
      <c r="G660" s="10" t="str">
        <f>IFERROR(__xludf.DUMMYFUNCTION("IF(COUNTA(C660:C1673)=0,"""",IF(C660="""",0,IF(REGEXMATCH(C660,""^Sell_""),-ROUNDDOWN(ROUNDUP(INDEX(Upgrades!$C$3:$C$13,MATCH(SUBSTITUTE(C660,""Sell_"",""""),Upgrades!$B$3:$B$13,0))*1.15^(COUNTIF(C$4:C659,SUBSTITUTE(C660,""Sell_"",""""))-COUNTIF(C$4:C659,"&amp;"""Sell_""&amp;SUBSTITUTE(C660,""Sell_"",""""))))/2),ROUNDUP(INDEX(Upgrades!$C$3:$C$13,MATCH(C660,Upgrades!$B$3:$B$13,0))*1.15^(COUNTIF(C$4:C659,C660)-COUNTIF(C$4:C659,""Sell_""&amp;C660))))))"),"")</f>
        <v/>
      </c>
      <c r="H660" s="10" t="str">
        <f t="shared" si="3"/>
        <v/>
      </c>
      <c r="I660" s="68" t="str">
        <f t="shared" si="4"/>
        <v/>
      </c>
      <c r="J660" s="59" t="str">
        <f t="shared" si="5"/>
        <v/>
      </c>
      <c r="K660" s="69" t="str">
        <f t="shared" si="6"/>
        <v/>
      </c>
      <c r="L660" s="60" t="str">
        <f t="shared" si="7"/>
        <v/>
      </c>
      <c r="M660" s="61" t="str">
        <f>IFERROR(__xludf.DUMMYFUNCTION("IFS(AND(COUNTA(C660:C1673)=0,COUNTA(Q660:Q1673)=0),"""",OR(AND(K660&gt;=1000000000,OR(Y660&gt;=1000000000,COUNTA(Q660:Q1673)=0)),OR(Y660&gt;=1000000000,AND(COUNTA(C660:C1673)=0,P$3=TRUE))),
ROUNDDOWN((AB$1-AC$1)*MAX(INDEX(T$4:T1673,MATCH(LARGE(FILTER(Y$4:Y1673,Y$4"&amp;":Y1673&lt;1000000000),1),Y$4:Y1673)),INDEX(F$4:F1673,MATCH(LARGE(FILTER(K$4:K1673,K$4:K1673&lt;1000000000),1),K$4:K1673)))),AND(K660&lt;1000000000,COUNTA(C660:C1673)&gt;0,P$3=FALSE),
ROUNDDOWN(INDEX(Y$4:Y1673,MATCH(LARGE(FILTER(W$4:W1673,W$4:W1673&lt;=I660),1),W$4:W1673"&amp;"))+(I660-LARGE(FILTER(W$4:W1673,W$4:W1673&lt;=I660),1))*INDEX(T$4:T1673,MATCH(LARGE(FILTER(W$4:W1673,W$4:W1673&lt;=I660),1),W$4:W1673))-K660),1,
ROUNDDOWN(Y660-INDEX(K$4:K1673,MATCH(LARGE(FILTER(I$4:I1673,I$4:I1673&lt;=W660),1),I$4:I1673))-(W660-LARGE(FILTER(I$4:I"&amp;"1673,I$4:I1673&lt;=W660),1))*INDEX(F$4:F1673,MATCH(LARGE(FILTER(I$4:I1673,I$4:I1673&lt;=W660),1),I$4:I1673))))"),"")</f>
        <v/>
      </c>
      <c r="N660" s="60" t="str">
        <f t="shared" si="8"/>
        <v/>
      </c>
      <c r="O660" s="61" t="str">
        <f t="shared" si="9"/>
        <v/>
      </c>
      <c r="P660" s="56" t="str">
        <f t="shared" si="10"/>
        <v/>
      </c>
      <c r="Q660" s="105"/>
      <c r="R660" s="10"/>
      <c r="S660" s="59" t="str">
        <f t="array" ref="S660">IF(COUNTA(Q660:Q1673)=0,"",SUM((COUNTIF(Q$4:Q660,Upgrades!$B$3:$B$13)-COUNTIF(Q$4:Q660,"Sell_"&amp;Upgrades!$B$3:$B$13))*Upgrades!$D$3:$D$13))</f>
        <v/>
      </c>
      <c r="T660" s="66" t="str">
        <f>IFERROR(__xludf.DUMMYFUNCTION("IF(COUNTA(Q660:Q1673)=0,"""",IF(REGEXMATCH(INDEX(FILTER(Q$4:Q660,Q$4:Q660&lt;&gt;""""),ROWS(FILTER(Q$4:Q660,Q$4:Q660&lt;&gt;""""))),""^Sell_""),INDEX(FILTER(T$4:T659,Q$4:Q659&lt;&gt;""""),ROWS(FILTER(Q$4:Q659,Q$4:Q659&lt;&gt;""""))),$AD$5+S660))"),"")</f>
        <v/>
      </c>
      <c r="U660" s="10" t="str">
        <f>IFERROR(__xludf.DUMMYFUNCTION("IF(COUNTA(Q660:Q1673)=0,"""",IF(Q660="""",0,IF(REGEXMATCH(Q660,""^Sell_""),-ROUNDDOWN(ROUNDUP(INDEX(Upgrades!$C$3:$C$13,MATCH(SUBSTITUTE(Q660,""Sell_"",""""),Upgrades!$B$3:$B$13,0))*1.15^(COUNTIF(Q$4:Q659,SUBSTITUTE(Q660,""Sell_"",""""))-COUNTIF(Q$4:Q659,"&amp;"""Sell_""&amp;SUBSTITUTE(Q660,""Sell_"",""""))))/2),ROUNDUP(INDEX(Upgrades!$C$3:$C$13,MATCH(Q660,Upgrades!$B$3:$B$13,0))*1.15^(COUNTIF(Q$4:Q659,Q660)-COUNTIF(Q$4:Q659,""Sell_""&amp;Q660))))))"),"")</f>
        <v/>
      </c>
      <c r="V660" s="10" t="str">
        <f t="shared" si="11"/>
        <v/>
      </c>
      <c r="W660" s="68" t="str">
        <f t="shared" si="12"/>
        <v/>
      </c>
      <c r="X660" s="59" t="str">
        <f t="shared" si="13"/>
        <v/>
      </c>
      <c r="Y660" s="69" t="str">
        <f t="shared" si="14"/>
        <v/>
      </c>
      <c r="Z660" s="11"/>
    </row>
    <row r="661">
      <c r="A661" s="8"/>
      <c r="B661" s="56" t="str">
        <f t="shared" si="2"/>
        <v/>
      </c>
      <c r="C661" s="105"/>
      <c r="D661" s="10"/>
      <c r="E661" s="59" t="str">
        <f t="array" ref="E661">IF(COUNTA(C661:C1673)=0,"",SUM((COUNTIF(C$4:C661,Upgrades!$B$3:$B$13)-COUNTIF(C$4:C661,"Sell_"&amp;Upgrades!$B$3:$B$13))*Upgrades!$D$3:$D$13))</f>
        <v/>
      </c>
      <c r="F661" s="66" t="str">
        <f>IFERROR(__xludf.DUMMYFUNCTION("IF(COUNTA(C661:C1673)=0,"""",IF(REGEXMATCH(INDEX(FILTER(C$4:C661,C$4:C661&lt;&gt;""""),ROWS(FILTER(C$4:C661,C$4:C661&lt;&gt;""""))),""^Sell_""),INDEX(FILTER(F$4:F660,C$4:C660&lt;&gt;""""),ROWS(FILTER(C$4:C660,C$4:C660&lt;&gt;""""))),$AC$5+E661))"),"")</f>
        <v/>
      </c>
      <c r="G661" s="10" t="str">
        <f>IFERROR(__xludf.DUMMYFUNCTION("IF(COUNTA(C661:C1673)=0,"""",IF(C661="""",0,IF(REGEXMATCH(C661,""^Sell_""),-ROUNDDOWN(ROUNDUP(INDEX(Upgrades!$C$3:$C$13,MATCH(SUBSTITUTE(C661,""Sell_"",""""),Upgrades!$B$3:$B$13,0))*1.15^(COUNTIF(C$4:C660,SUBSTITUTE(C661,""Sell_"",""""))-COUNTIF(C$4:C660,"&amp;"""Sell_""&amp;SUBSTITUTE(C661,""Sell_"",""""))))/2),ROUNDUP(INDEX(Upgrades!$C$3:$C$13,MATCH(C661,Upgrades!$B$3:$B$13,0))*1.15^(COUNTIF(C$4:C660,C661)-COUNTIF(C$4:C660,""Sell_""&amp;C661))))))"),"")</f>
        <v/>
      </c>
      <c r="H661" s="10" t="str">
        <f t="shared" si="3"/>
        <v/>
      </c>
      <c r="I661" s="68" t="str">
        <f t="shared" si="4"/>
        <v/>
      </c>
      <c r="J661" s="59" t="str">
        <f t="shared" si="5"/>
        <v/>
      </c>
      <c r="K661" s="69" t="str">
        <f t="shared" si="6"/>
        <v/>
      </c>
      <c r="L661" s="60" t="str">
        <f t="shared" si="7"/>
        <v/>
      </c>
      <c r="M661" s="61" t="str">
        <f>IFERROR(__xludf.DUMMYFUNCTION("IFS(AND(COUNTA(C661:C1673)=0,COUNTA(Q661:Q1673)=0),"""",OR(AND(K661&gt;=1000000000,OR(Y661&gt;=1000000000,COUNTA(Q661:Q1673)=0)),OR(Y661&gt;=1000000000,AND(COUNTA(C661:C1673)=0,P$3=TRUE))),
ROUNDDOWN((AB$1-AC$1)*MAX(INDEX(T$4:T1673,MATCH(LARGE(FILTER(Y$4:Y1673,Y$4"&amp;":Y1673&lt;1000000000),1),Y$4:Y1673)),INDEX(F$4:F1673,MATCH(LARGE(FILTER(K$4:K1673,K$4:K1673&lt;1000000000),1),K$4:K1673)))),AND(K661&lt;1000000000,COUNTA(C661:C1673)&gt;0,P$3=FALSE),
ROUNDDOWN(INDEX(Y$4:Y1673,MATCH(LARGE(FILTER(W$4:W1673,W$4:W1673&lt;=I661),1),W$4:W1673"&amp;"))+(I661-LARGE(FILTER(W$4:W1673,W$4:W1673&lt;=I661),1))*INDEX(T$4:T1673,MATCH(LARGE(FILTER(W$4:W1673,W$4:W1673&lt;=I661),1),W$4:W1673))-K661),1,
ROUNDDOWN(Y661-INDEX(K$4:K1673,MATCH(LARGE(FILTER(I$4:I1673,I$4:I1673&lt;=W661),1),I$4:I1673))-(W661-LARGE(FILTER(I$4:I"&amp;"1673,I$4:I1673&lt;=W661),1))*INDEX(F$4:F1673,MATCH(LARGE(FILTER(I$4:I1673,I$4:I1673&lt;=W661),1),I$4:I1673))))"),"")</f>
        <v/>
      </c>
      <c r="N661" s="60" t="str">
        <f t="shared" si="8"/>
        <v/>
      </c>
      <c r="O661" s="61" t="str">
        <f t="shared" si="9"/>
        <v/>
      </c>
      <c r="P661" s="56" t="str">
        <f t="shared" si="10"/>
        <v/>
      </c>
      <c r="Q661" s="105"/>
      <c r="R661" s="10"/>
      <c r="S661" s="59" t="str">
        <f t="array" ref="S661">IF(COUNTA(Q661:Q1673)=0,"",SUM((COUNTIF(Q$4:Q661,Upgrades!$B$3:$B$13)-COUNTIF(Q$4:Q661,"Sell_"&amp;Upgrades!$B$3:$B$13))*Upgrades!$D$3:$D$13))</f>
        <v/>
      </c>
      <c r="T661" s="66" t="str">
        <f>IFERROR(__xludf.DUMMYFUNCTION("IF(COUNTA(Q661:Q1673)=0,"""",IF(REGEXMATCH(INDEX(FILTER(Q$4:Q661,Q$4:Q661&lt;&gt;""""),ROWS(FILTER(Q$4:Q661,Q$4:Q661&lt;&gt;""""))),""^Sell_""),INDEX(FILTER(T$4:T660,Q$4:Q660&lt;&gt;""""),ROWS(FILTER(Q$4:Q660,Q$4:Q660&lt;&gt;""""))),$AD$5+S661))"),"")</f>
        <v/>
      </c>
      <c r="U661" s="10" t="str">
        <f>IFERROR(__xludf.DUMMYFUNCTION("IF(COUNTA(Q661:Q1673)=0,"""",IF(Q661="""",0,IF(REGEXMATCH(Q661,""^Sell_""),-ROUNDDOWN(ROUNDUP(INDEX(Upgrades!$C$3:$C$13,MATCH(SUBSTITUTE(Q661,""Sell_"",""""),Upgrades!$B$3:$B$13,0))*1.15^(COUNTIF(Q$4:Q660,SUBSTITUTE(Q661,""Sell_"",""""))-COUNTIF(Q$4:Q660,"&amp;"""Sell_""&amp;SUBSTITUTE(Q661,""Sell_"",""""))))/2),ROUNDUP(INDEX(Upgrades!$C$3:$C$13,MATCH(Q661,Upgrades!$B$3:$B$13,0))*1.15^(COUNTIF(Q$4:Q660,Q661)-COUNTIF(Q$4:Q660,""Sell_""&amp;Q661))))))"),"")</f>
        <v/>
      </c>
      <c r="V661" s="10" t="str">
        <f t="shared" si="11"/>
        <v/>
      </c>
      <c r="W661" s="68" t="str">
        <f t="shared" si="12"/>
        <v/>
      </c>
      <c r="X661" s="59" t="str">
        <f t="shared" si="13"/>
        <v/>
      </c>
      <c r="Y661" s="69" t="str">
        <f t="shared" si="14"/>
        <v/>
      </c>
      <c r="Z661" s="11"/>
    </row>
    <row r="662">
      <c r="A662" s="8"/>
      <c r="B662" s="56" t="str">
        <f t="shared" si="2"/>
        <v/>
      </c>
      <c r="C662" s="105"/>
      <c r="D662" s="10"/>
      <c r="E662" s="59" t="str">
        <f t="array" ref="E662">IF(COUNTA(C662:C1673)=0,"",SUM((COUNTIF(C$4:C662,Upgrades!$B$3:$B$13)-COUNTIF(C$4:C662,"Sell_"&amp;Upgrades!$B$3:$B$13))*Upgrades!$D$3:$D$13))</f>
        <v/>
      </c>
      <c r="F662" s="66" t="str">
        <f>IFERROR(__xludf.DUMMYFUNCTION("IF(COUNTA(C662:C1673)=0,"""",IF(REGEXMATCH(INDEX(FILTER(C$4:C662,C$4:C662&lt;&gt;""""),ROWS(FILTER(C$4:C662,C$4:C662&lt;&gt;""""))),""^Sell_""),INDEX(FILTER(F$4:F661,C$4:C661&lt;&gt;""""),ROWS(FILTER(C$4:C661,C$4:C661&lt;&gt;""""))),$AC$5+E662))"),"")</f>
        <v/>
      </c>
      <c r="G662" s="10" t="str">
        <f>IFERROR(__xludf.DUMMYFUNCTION("IF(COUNTA(C662:C1673)=0,"""",IF(C662="""",0,IF(REGEXMATCH(C662,""^Sell_""),-ROUNDDOWN(ROUNDUP(INDEX(Upgrades!$C$3:$C$13,MATCH(SUBSTITUTE(C662,""Sell_"",""""),Upgrades!$B$3:$B$13,0))*1.15^(COUNTIF(C$4:C661,SUBSTITUTE(C662,""Sell_"",""""))-COUNTIF(C$4:C661,"&amp;"""Sell_""&amp;SUBSTITUTE(C662,""Sell_"",""""))))/2),ROUNDUP(INDEX(Upgrades!$C$3:$C$13,MATCH(C662,Upgrades!$B$3:$B$13,0))*1.15^(COUNTIF(C$4:C661,C662)-COUNTIF(C$4:C661,""Sell_""&amp;C662))))))"),"")</f>
        <v/>
      </c>
      <c r="H662" s="10" t="str">
        <f t="shared" si="3"/>
        <v/>
      </c>
      <c r="I662" s="68" t="str">
        <f t="shared" si="4"/>
        <v/>
      </c>
      <c r="J662" s="59" t="str">
        <f t="shared" si="5"/>
        <v/>
      </c>
      <c r="K662" s="69" t="str">
        <f t="shared" si="6"/>
        <v/>
      </c>
      <c r="L662" s="60" t="str">
        <f t="shared" si="7"/>
        <v/>
      </c>
      <c r="M662" s="61" t="str">
        <f>IFERROR(__xludf.DUMMYFUNCTION("IFS(AND(COUNTA(C662:C1673)=0,COUNTA(Q662:Q1673)=0),"""",OR(AND(K662&gt;=1000000000,OR(Y662&gt;=1000000000,COUNTA(Q662:Q1673)=0)),OR(Y662&gt;=1000000000,AND(COUNTA(C662:C1673)=0,P$3=TRUE))),
ROUNDDOWN((AB$1-AC$1)*MAX(INDEX(T$4:T1673,MATCH(LARGE(FILTER(Y$4:Y1673,Y$4"&amp;":Y1673&lt;1000000000),1),Y$4:Y1673)),INDEX(F$4:F1673,MATCH(LARGE(FILTER(K$4:K1673,K$4:K1673&lt;1000000000),1),K$4:K1673)))),AND(K662&lt;1000000000,COUNTA(C662:C1673)&gt;0,P$3=FALSE),
ROUNDDOWN(INDEX(Y$4:Y1673,MATCH(LARGE(FILTER(W$4:W1673,W$4:W1673&lt;=I662),1),W$4:W1673"&amp;"))+(I662-LARGE(FILTER(W$4:W1673,W$4:W1673&lt;=I662),1))*INDEX(T$4:T1673,MATCH(LARGE(FILTER(W$4:W1673,W$4:W1673&lt;=I662),1),W$4:W1673))-K662),1,
ROUNDDOWN(Y662-INDEX(K$4:K1673,MATCH(LARGE(FILTER(I$4:I1673,I$4:I1673&lt;=W662),1),I$4:I1673))-(W662-LARGE(FILTER(I$4:I"&amp;"1673,I$4:I1673&lt;=W662),1))*INDEX(F$4:F1673,MATCH(LARGE(FILTER(I$4:I1673,I$4:I1673&lt;=W662),1),I$4:I1673))))"),"")</f>
        <v/>
      </c>
      <c r="N662" s="60" t="str">
        <f t="shared" si="8"/>
        <v/>
      </c>
      <c r="O662" s="61" t="str">
        <f t="shared" si="9"/>
        <v/>
      </c>
      <c r="P662" s="56" t="str">
        <f t="shared" si="10"/>
        <v/>
      </c>
      <c r="Q662" s="105"/>
      <c r="R662" s="10"/>
      <c r="S662" s="59" t="str">
        <f t="array" ref="S662">IF(COUNTA(Q662:Q1673)=0,"",SUM((COUNTIF(Q$4:Q662,Upgrades!$B$3:$B$13)-COUNTIF(Q$4:Q662,"Sell_"&amp;Upgrades!$B$3:$B$13))*Upgrades!$D$3:$D$13))</f>
        <v/>
      </c>
      <c r="T662" s="66" t="str">
        <f>IFERROR(__xludf.DUMMYFUNCTION("IF(COUNTA(Q662:Q1673)=0,"""",IF(REGEXMATCH(INDEX(FILTER(Q$4:Q662,Q$4:Q662&lt;&gt;""""),ROWS(FILTER(Q$4:Q662,Q$4:Q662&lt;&gt;""""))),""^Sell_""),INDEX(FILTER(T$4:T661,Q$4:Q661&lt;&gt;""""),ROWS(FILTER(Q$4:Q661,Q$4:Q661&lt;&gt;""""))),$AD$5+S662))"),"")</f>
        <v/>
      </c>
      <c r="U662" s="10" t="str">
        <f>IFERROR(__xludf.DUMMYFUNCTION("IF(COUNTA(Q662:Q1673)=0,"""",IF(Q662="""",0,IF(REGEXMATCH(Q662,""^Sell_""),-ROUNDDOWN(ROUNDUP(INDEX(Upgrades!$C$3:$C$13,MATCH(SUBSTITUTE(Q662,""Sell_"",""""),Upgrades!$B$3:$B$13,0))*1.15^(COUNTIF(Q$4:Q661,SUBSTITUTE(Q662,""Sell_"",""""))-COUNTIF(Q$4:Q661,"&amp;"""Sell_""&amp;SUBSTITUTE(Q662,""Sell_"",""""))))/2),ROUNDUP(INDEX(Upgrades!$C$3:$C$13,MATCH(Q662,Upgrades!$B$3:$B$13,0))*1.15^(COUNTIF(Q$4:Q661,Q662)-COUNTIF(Q$4:Q661,""Sell_""&amp;Q662))))))"),"")</f>
        <v/>
      </c>
      <c r="V662" s="10" t="str">
        <f t="shared" si="11"/>
        <v/>
      </c>
      <c r="W662" s="68" t="str">
        <f t="shared" si="12"/>
        <v/>
      </c>
      <c r="X662" s="59" t="str">
        <f t="shared" si="13"/>
        <v/>
      </c>
      <c r="Y662" s="69" t="str">
        <f t="shared" si="14"/>
        <v/>
      </c>
      <c r="Z662" s="11"/>
    </row>
    <row r="663">
      <c r="A663" s="8"/>
      <c r="B663" s="56" t="str">
        <f t="shared" si="2"/>
        <v/>
      </c>
      <c r="C663" s="105"/>
      <c r="D663" s="10"/>
      <c r="E663" s="59" t="str">
        <f t="array" ref="E663">IF(COUNTA(C663:C1673)=0,"",SUM((COUNTIF(C$4:C663,Upgrades!$B$3:$B$13)-COUNTIF(C$4:C663,"Sell_"&amp;Upgrades!$B$3:$B$13))*Upgrades!$D$3:$D$13))</f>
        <v/>
      </c>
      <c r="F663" s="66" t="str">
        <f>IFERROR(__xludf.DUMMYFUNCTION("IF(COUNTA(C663:C1673)=0,"""",IF(REGEXMATCH(INDEX(FILTER(C$4:C663,C$4:C663&lt;&gt;""""),ROWS(FILTER(C$4:C663,C$4:C663&lt;&gt;""""))),""^Sell_""),INDEX(FILTER(F$4:F662,C$4:C662&lt;&gt;""""),ROWS(FILTER(C$4:C662,C$4:C662&lt;&gt;""""))),$AC$5+E663))"),"")</f>
        <v/>
      </c>
      <c r="G663" s="10" t="str">
        <f>IFERROR(__xludf.DUMMYFUNCTION("IF(COUNTA(C663:C1673)=0,"""",IF(C663="""",0,IF(REGEXMATCH(C663,""^Sell_""),-ROUNDDOWN(ROUNDUP(INDEX(Upgrades!$C$3:$C$13,MATCH(SUBSTITUTE(C663,""Sell_"",""""),Upgrades!$B$3:$B$13,0))*1.15^(COUNTIF(C$4:C662,SUBSTITUTE(C663,""Sell_"",""""))-COUNTIF(C$4:C662,"&amp;"""Sell_""&amp;SUBSTITUTE(C663,""Sell_"",""""))))/2),ROUNDUP(INDEX(Upgrades!$C$3:$C$13,MATCH(C663,Upgrades!$B$3:$B$13,0))*1.15^(COUNTIF(C$4:C662,C663)-COUNTIF(C$4:C662,""Sell_""&amp;C663))))))"),"")</f>
        <v/>
      </c>
      <c r="H663" s="10" t="str">
        <f t="shared" si="3"/>
        <v/>
      </c>
      <c r="I663" s="68" t="str">
        <f t="shared" si="4"/>
        <v/>
      </c>
      <c r="J663" s="59" t="str">
        <f t="shared" si="5"/>
        <v/>
      </c>
      <c r="K663" s="69" t="str">
        <f t="shared" si="6"/>
        <v/>
      </c>
      <c r="L663" s="60" t="str">
        <f t="shared" si="7"/>
        <v/>
      </c>
      <c r="M663" s="61" t="str">
        <f>IFERROR(__xludf.DUMMYFUNCTION("IFS(AND(COUNTA(C663:C1673)=0,COUNTA(Q663:Q1673)=0),"""",OR(AND(K663&gt;=1000000000,OR(Y663&gt;=1000000000,COUNTA(Q663:Q1673)=0)),OR(Y663&gt;=1000000000,AND(COUNTA(C663:C1673)=0,P$3=TRUE))),
ROUNDDOWN((AB$1-AC$1)*MAX(INDEX(T$4:T1673,MATCH(LARGE(FILTER(Y$4:Y1673,Y$4"&amp;":Y1673&lt;1000000000),1),Y$4:Y1673)),INDEX(F$4:F1673,MATCH(LARGE(FILTER(K$4:K1673,K$4:K1673&lt;1000000000),1),K$4:K1673)))),AND(K663&lt;1000000000,COUNTA(C663:C1673)&gt;0,P$3=FALSE),
ROUNDDOWN(INDEX(Y$4:Y1673,MATCH(LARGE(FILTER(W$4:W1673,W$4:W1673&lt;=I663),1),W$4:W1673"&amp;"))+(I663-LARGE(FILTER(W$4:W1673,W$4:W1673&lt;=I663),1))*INDEX(T$4:T1673,MATCH(LARGE(FILTER(W$4:W1673,W$4:W1673&lt;=I663),1),W$4:W1673))-K663),1,
ROUNDDOWN(Y663-INDEX(K$4:K1673,MATCH(LARGE(FILTER(I$4:I1673,I$4:I1673&lt;=W663),1),I$4:I1673))-(W663-LARGE(FILTER(I$4:I"&amp;"1673,I$4:I1673&lt;=W663),1))*INDEX(F$4:F1673,MATCH(LARGE(FILTER(I$4:I1673,I$4:I1673&lt;=W663),1),I$4:I1673))))"),"")</f>
        <v/>
      </c>
      <c r="N663" s="60" t="str">
        <f t="shared" si="8"/>
        <v/>
      </c>
      <c r="O663" s="61" t="str">
        <f t="shared" si="9"/>
        <v/>
      </c>
      <c r="P663" s="56" t="str">
        <f t="shared" si="10"/>
        <v/>
      </c>
      <c r="Q663" s="105"/>
      <c r="R663" s="10"/>
      <c r="S663" s="59" t="str">
        <f t="array" ref="S663">IF(COUNTA(Q663:Q1673)=0,"",SUM((COUNTIF(Q$4:Q663,Upgrades!$B$3:$B$13)-COUNTIF(Q$4:Q663,"Sell_"&amp;Upgrades!$B$3:$B$13))*Upgrades!$D$3:$D$13))</f>
        <v/>
      </c>
      <c r="T663" s="66" t="str">
        <f>IFERROR(__xludf.DUMMYFUNCTION("IF(COUNTA(Q663:Q1673)=0,"""",IF(REGEXMATCH(INDEX(FILTER(Q$4:Q663,Q$4:Q663&lt;&gt;""""),ROWS(FILTER(Q$4:Q663,Q$4:Q663&lt;&gt;""""))),""^Sell_""),INDEX(FILTER(T$4:T662,Q$4:Q662&lt;&gt;""""),ROWS(FILTER(Q$4:Q662,Q$4:Q662&lt;&gt;""""))),$AD$5+S663))"),"")</f>
        <v/>
      </c>
      <c r="U663" s="10" t="str">
        <f>IFERROR(__xludf.DUMMYFUNCTION("IF(COUNTA(Q663:Q1673)=0,"""",IF(Q663="""",0,IF(REGEXMATCH(Q663,""^Sell_""),-ROUNDDOWN(ROUNDUP(INDEX(Upgrades!$C$3:$C$13,MATCH(SUBSTITUTE(Q663,""Sell_"",""""),Upgrades!$B$3:$B$13,0))*1.15^(COUNTIF(Q$4:Q662,SUBSTITUTE(Q663,""Sell_"",""""))-COUNTIF(Q$4:Q662,"&amp;"""Sell_""&amp;SUBSTITUTE(Q663,""Sell_"",""""))))/2),ROUNDUP(INDEX(Upgrades!$C$3:$C$13,MATCH(Q663,Upgrades!$B$3:$B$13,0))*1.15^(COUNTIF(Q$4:Q662,Q663)-COUNTIF(Q$4:Q662,""Sell_""&amp;Q663))))))"),"")</f>
        <v/>
      </c>
      <c r="V663" s="10" t="str">
        <f t="shared" si="11"/>
        <v/>
      </c>
      <c r="W663" s="68" t="str">
        <f t="shared" si="12"/>
        <v/>
      </c>
      <c r="X663" s="59" t="str">
        <f t="shared" si="13"/>
        <v/>
      </c>
      <c r="Y663" s="69" t="str">
        <f t="shared" si="14"/>
        <v/>
      </c>
      <c r="Z663" s="11"/>
    </row>
    <row r="664">
      <c r="A664" s="8"/>
      <c r="B664" s="56" t="str">
        <f t="shared" si="2"/>
        <v/>
      </c>
      <c r="C664" s="105"/>
      <c r="D664" s="10"/>
      <c r="E664" s="59" t="str">
        <f t="array" ref="E664">IF(COUNTA(C664:C1673)=0,"",SUM((COUNTIF(C$4:C664,Upgrades!$B$3:$B$13)-COUNTIF(C$4:C664,"Sell_"&amp;Upgrades!$B$3:$B$13))*Upgrades!$D$3:$D$13))</f>
        <v/>
      </c>
      <c r="F664" s="66" t="str">
        <f>IFERROR(__xludf.DUMMYFUNCTION("IF(COUNTA(C664:C1673)=0,"""",IF(REGEXMATCH(INDEX(FILTER(C$4:C664,C$4:C664&lt;&gt;""""),ROWS(FILTER(C$4:C664,C$4:C664&lt;&gt;""""))),""^Sell_""),INDEX(FILTER(F$4:F663,C$4:C663&lt;&gt;""""),ROWS(FILTER(C$4:C663,C$4:C663&lt;&gt;""""))),$AC$5+E664))"),"")</f>
        <v/>
      </c>
      <c r="G664" s="10" t="str">
        <f>IFERROR(__xludf.DUMMYFUNCTION("IF(COUNTA(C664:C1673)=0,"""",IF(C664="""",0,IF(REGEXMATCH(C664,""^Sell_""),-ROUNDDOWN(ROUNDUP(INDEX(Upgrades!$C$3:$C$13,MATCH(SUBSTITUTE(C664,""Sell_"",""""),Upgrades!$B$3:$B$13,0))*1.15^(COUNTIF(C$4:C663,SUBSTITUTE(C664,""Sell_"",""""))-COUNTIF(C$4:C663,"&amp;"""Sell_""&amp;SUBSTITUTE(C664,""Sell_"",""""))))/2),ROUNDUP(INDEX(Upgrades!$C$3:$C$13,MATCH(C664,Upgrades!$B$3:$B$13,0))*1.15^(COUNTIF(C$4:C663,C664)-COUNTIF(C$4:C663,""Sell_""&amp;C664))))))"),"")</f>
        <v/>
      </c>
      <c r="H664" s="10" t="str">
        <f t="shared" si="3"/>
        <v/>
      </c>
      <c r="I664" s="68" t="str">
        <f t="shared" si="4"/>
        <v/>
      </c>
      <c r="J664" s="59" t="str">
        <f t="shared" si="5"/>
        <v/>
      </c>
      <c r="K664" s="69" t="str">
        <f t="shared" si="6"/>
        <v/>
      </c>
      <c r="L664" s="60" t="str">
        <f t="shared" si="7"/>
        <v/>
      </c>
      <c r="M664" s="61" t="str">
        <f>IFERROR(__xludf.DUMMYFUNCTION("IFS(AND(COUNTA(C664:C1673)=0,COUNTA(Q664:Q1673)=0),"""",OR(AND(K664&gt;=1000000000,OR(Y664&gt;=1000000000,COUNTA(Q664:Q1673)=0)),OR(Y664&gt;=1000000000,AND(COUNTA(C664:C1673)=0,P$3=TRUE))),
ROUNDDOWN((AB$1-AC$1)*MAX(INDEX(T$4:T1673,MATCH(LARGE(FILTER(Y$4:Y1673,Y$4"&amp;":Y1673&lt;1000000000),1),Y$4:Y1673)),INDEX(F$4:F1673,MATCH(LARGE(FILTER(K$4:K1673,K$4:K1673&lt;1000000000),1),K$4:K1673)))),AND(K664&lt;1000000000,COUNTA(C664:C1673)&gt;0,P$3=FALSE),
ROUNDDOWN(INDEX(Y$4:Y1673,MATCH(LARGE(FILTER(W$4:W1673,W$4:W1673&lt;=I664),1),W$4:W1673"&amp;"))+(I664-LARGE(FILTER(W$4:W1673,W$4:W1673&lt;=I664),1))*INDEX(T$4:T1673,MATCH(LARGE(FILTER(W$4:W1673,W$4:W1673&lt;=I664),1),W$4:W1673))-K664),1,
ROUNDDOWN(Y664-INDEX(K$4:K1673,MATCH(LARGE(FILTER(I$4:I1673,I$4:I1673&lt;=W664),1),I$4:I1673))-(W664-LARGE(FILTER(I$4:I"&amp;"1673,I$4:I1673&lt;=W664),1))*INDEX(F$4:F1673,MATCH(LARGE(FILTER(I$4:I1673,I$4:I1673&lt;=W664),1),I$4:I1673))))"),"")</f>
        <v/>
      </c>
      <c r="N664" s="60" t="str">
        <f t="shared" si="8"/>
        <v/>
      </c>
      <c r="O664" s="61" t="str">
        <f t="shared" si="9"/>
        <v/>
      </c>
      <c r="P664" s="56" t="str">
        <f t="shared" si="10"/>
        <v/>
      </c>
      <c r="Q664" s="105"/>
      <c r="R664" s="10"/>
      <c r="S664" s="59" t="str">
        <f t="array" ref="S664">IF(COUNTA(Q664:Q1673)=0,"",SUM((COUNTIF(Q$4:Q664,Upgrades!$B$3:$B$13)-COUNTIF(Q$4:Q664,"Sell_"&amp;Upgrades!$B$3:$B$13))*Upgrades!$D$3:$D$13))</f>
        <v/>
      </c>
      <c r="T664" s="66" t="str">
        <f>IFERROR(__xludf.DUMMYFUNCTION("IF(COUNTA(Q664:Q1673)=0,"""",IF(REGEXMATCH(INDEX(FILTER(Q$4:Q664,Q$4:Q664&lt;&gt;""""),ROWS(FILTER(Q$4:Q664,Q$4:Q664&lt;&gt;""""))),""^Sell_""),INDEX(FILTER(T$4:T663,Q$4:Q663&lt;&gt;""""),ROWS(FILTER(Q$4:Q663,Q$4:Q663&lt;&gt;""""))),$AD$5+S664))"),"")</f>
        <v/>
      </c>
      <c r="U664" s="10" t="str">
        <f>IFERROR(__xludf.DUMMYFUNCTION("IF(COUNTA(Q664:Q1673)=0,"""",IF(Q664="""",0,IF(REGEXMATCH(Q664,""^Sell_""),-ROUNDDOWN(ROUNDUP(INDEX(Upgrades!$C$3:$C$13,MATCH(SUBSTITUTE(Q664,""Sell_"",""""),Upgrades!$B$3:$B$13,0))*1.15^(COUNTIF(Q$4:Q663,SUBSTITUTE(Q664,""Sell_"",""""))-COUNTIF(Q$4:Q663,"&amp;"""Sell_""&amp;SUBSTITUTE(Q664,""Sell_"",""""))))/2),ROUNDUP(INDEX(Upgrades!$C$3:$C$13,MATCH(Q664,Upgrades!$B$3:$B$13,0))*1.15^(COUNTIF(Q$4:Q663,Q664)-COUNTIF(Q$4:Q663,""Sell_""&amp;Q664))))))"),"")</f>
        <v/>
      </c>
      <c r="V664" s="10" t="str">
        <f t="shared" si="11"/>
        <v/>
      </c>
      <c r="W664" s="68" t="str">
        <f t="shared" si="12"/>
        <v/>
      </c>
      <c r="X664" s="59" t="str">
        <f t="shared" si="13"/>
        <v/>
      </c>
      <c r="Y664" s="69" t="str">
        <f t="shared" si="14"/>
        <v/>
      </c>
      <c r="Z664" s="11"/>
    </row>
    <row r="665">
      <c r="A665" s="8"/>
      <c r="B665" s="56" t="str">
        <f t="shared" si="2"/>
        <v/>
      </c>
      <c r="C665" s="105"/>
      <c r="D665" s="10"/>
      <c r="E665" s="59" t="str">
        <f t="array" ref="E665">IF(COUNTA(C665:C1673)=0,"",SUM((COUNTIF(C$4:C665,Upgrades!$B$3:$B$13)-COUNTIF(C$4:C665,"Sell_"&amp;Upgrades!$B$3:$B$13))*Upgrades!$D$3:$D$13))</f>
        <v/>
      </c>
      <c r="F665" s="66" t="str">
        <f>IFERROR(__xludf.DUMMYFUNCTION("IF(COUNTA(C665:C1673)=0,"""",IF(REGEXMATCH(INDEX(FILTER(C$4:C665,C$4:C665&lt;&gt;""""),ROWS(FILTER(C$4:C665,C$4:C665&lt;&gt;""""))),""^Sell_""),INDEX(FILTER(F$4:F664,C$4:C664&lt;&gt;""""),ROWS(FILTER(C$4:C664,C$4:C664&lt;&gt;""""))),$AC$5+E665))"),"")</f>
        <v/>
      </c>
      <c r="G665" s="10" t="str">
        <f>IFERROR(__xludf.DUMMYFUNCTION("IF(COUNTA(C665:C1673)=0,"""",IF(C665="""",0,IF(REGEXMATCH(C665,""^Sell_""),-ROUNDDOWN(ROUNDUP(INDEX(Upgrades!$C$3:$C$13,MATCH(SUBSTITUTE(C665,""Sell_"",""""),Upgrades!$B$3:$B$13,0))*1.15^(COUNTIF(C$4:C664,SUBSTITUTE(C665,""Sell_"",""""))-COUNTIF(C$4:C664,"&amp;"""Sell_""&amp;SUBSTITUTE(C665,""Sell_"",""""))))/2),ROUNDUP(INDEX(Upgrades!$C$3:$C$13,MATCH(C665,Upgrades!$B$3:$B$13,0))*1.15^(COUNTIF(C$4:C664,C665)-COUNTIF(C$4:C664,""Sell_""&amp;C665))))))"),"")</f>
        <v/>
      </c>
      <c r="H665" s="10" t="str">
        <f t="shared" si="3"/>
        <v/>
      </c>
      <c r="I665" s="68" t="str">
        <f t="shared" si="4"/>
        <v/>
      </c>
      <c r="J665" s="59" t="str">
        <f t="shared" si="5"/>
        <v/>
      </c>
      <c r="K665" s="69" t="str">
        <f t="shared" si="6"/>
        <v/>
      </c>
      <c r="L665" s="60" t="str">
        <f t="shared" si="7"/>
        <v/>
      </c>
      <c r="M665" s="61" t="str">
        <f>IFERROR(__xludf.DUMMYFUNCTION("IFS(AND(COUNTA(C665:C1673)=0,COUNTA(Q665:Q1673)=0),"""",OR(AND(K665&gt;=1000000000,OR(Y665&gt;=1000000000,COUNTA(Q665:Q1673)=0)),OR(Y665&gt;=1000000000,AND(COUNTA(C665:C1673)=0,P$3=TRUE))),
ROUNDDOWN((AB$1-AC$1)*MAX(INDEX(T$4:T1673,MATCH(LARGE(FILTER(Y$4:Y1673,Y$4"&amp;":Y1673&lt;1000000000),1),Y$4:Y1673)),INDEX(F$4:F1673,MATCH(LARGE(FILTER(K$4:K1673,K$4:K1673&lt;1000000000),1),K$4:K1673)))),AND(K665&lt;1000000000,COUNTA(C665:C1673)&gt;0,P$3=FALSE),
ROUNDDOWN(INDEX(Y$4:Y1673,MATCH(LARGE(FILTER(W$4:W1673,W$4:W1673&lt;=I665),1),W$4:W1673"&amp;"))+(I665-LARGE(FILTER(W$4:W1673,W$4:W1673&lt;=I665),1))*INDEX(T$4:T1673,MATCH(LARGE(FILTER(W$4:W1673,W$4:W1673&lt;=I665),1),W$4:W1673))-K665),1,
ROUNDDOWN(Y665-INDEX(K$4:K1673,MATCH(LARGE(FILTER(I$4:I1673,I$4:I1673&lt;=W665),1),I$4:I1673))-(W665-LARGE(FILTER(I$4:I"&amp;"1673,I$4:I1673&lt;=W665),1))*INDEX(F$4:F1673,MATCH(LARGE(FILTER(I$4:I1673,I$4:I1673&lt;=W665),1),I$4:I1673))))"),"")</f>
        <v/>
      </c>
      <c r="N665" s="60" t="str">
        <f t="shared" si="8"/>
        <v/>
      </c>
      <c r="O665" s="61" t="str">
        <f t="shared" si="9"/>
        <v/>
      </c>
      <c r="P665" s="56" t="str">
        <f t="shared" si="10"/>
        <v/>
      </c>
      <c r="Q665" s="105"/>
      <c r="R665" s="10"/>
      <c r="S665" s="59" t="str">
        <f t="array" ref="S665">IF(COUNTA(Q665:Q1673)=0,"",SUM((COUNTIF(Q$4:Q665,Upgrades!$B$3:$B$13)-COUNTIF(Q$4:Q665,"Sell_"&amp;Upgrades!$B$3:$B$13))*Upgrades!$D$3:$D$13))</f>
        <v/>
      </c>
      <c r="T665" s="66" t="str">
        <f>IFERROR(__xludf.DUMMYFUNCTION("IF(COUNTA(Q665:Q1673)=0,"""",IF(REGEXMATCH(INDEX(FILTER(Q$4:Q665,Q$4:Q665&lt;&gt;""""),ROWS(FILTER(Q$4:Q665,Q$4:Q665&lt;&gt;""""))),""^Sell_""),INDEX(FILTER(T$4:T664,Q$4:Q664&lt;&gt;""""),ROWS(FILTER(Q$4:Q664,Q$4:Q664&lt;&gt;""""))),$AD$5+S665))"),"")</f>
        <v/>
      </c>
      <c r="U665" s="10" t="str">
        <f>IFERROR(__xludf.DUMMYFUNCTION("IF(COUNTA(Q665:Q1673)=0,"""",IF(Q665="""",0,IF(REGEXMATCH(Q665,""^Sell_""),-ROUNDDOWN(ROUNDUP(INDEX(Upgrades!$C$3:$C$13,MATCH(SUBSTITUTE(Q665,""Sell_"",""""),Upgrades!$B$3:$B$13,0))*1.15^(COUNTIF(Q$4:Q664,SUBSTITUTE(Q665,""Sell_"",""""))-COUNTIF(Q$4:Q664,"&amp;"""Sell_""&amp;SUBSTITUTE(Q665,""Sell_"",""""))))/2),ROUNDUP(INDEX(Upgrades!$C$3:$C$13,MATCH(Q665,Upgrades!$B$3:$B$13,0))*1.15^(COUNTIF(Q$4:Q664,Q665)-COUNTIF(Q$4:Q664,""Sell_""&amp;Q665))))))"),"")</f>
        <v/>
      </c>
      <c r="V665" s="10" t="str">
        <f t="shared" si="11"/>
        <v/>
      </c>
      <c r="W665" s="68" t="str">
        <f t="shared" si="12"/>
        <v/>
      </c>
      <c r="X665" s="59" t="str">
        <f t="shared" si="13"/>
        <v/>
      </c>
      <c r="Y665" s="69" t="str">
        <f t="shared" si="14"/>
        <v/>
      </c>
      <c r="Z665" s="11"/>
    </row>
    <row r="666">
      <c r="A666" s="8"/>
      <c r="B666" s="56" t="str">
        <f t="shared" si="2"/>
        <v/>
      </c>
      <c r="C666" s="105"/>
      <c r="D666" s="10"/>
      <c r="E666" s="59" t="str">
        <f t="array" ref="E666">IF(COUNTA(C666:C1673)=0,"",SUM((COUNTIF(C$4:C666,Upgrades!$B$3:$B$13)-COUNTIF(C$4:C666,"Sell_"&amp;Upgrades!$B$3:$B$13))*Upgrades!$D$3:$D$13))</f>
        <v/>
      </c>
      <c r="F666" s="66" t="str">
        <f>IFERROR(__xludf.DUMMYFUNCTION("IF(COUNTA(C666:C1673)=0,"""",IF(REGEXMATCH(INDEX(FILTER(C$4:C666,C$4:C666&lt;&gt;""""),ROWS(FILTER(C$4:C666,C$4:C666&lt;&gt;""""))),""^Sell_""),INDEX(FILTER(F$4:F665,C$4:C665&lt;&gt;""""),ROWS(FILTER(C$4:C665,C$4:C665&lt;&gt;""""))),$AC$5+E666))"),"")</f>
        <v/>
      </c>
      <c r="G666" s="10" t="str">
        <f>IFERROR(__xludf.DUMMYFUNCTION("IF(COUNTA(C666:C1673)=0,"""",IF(C666="""",0,IF(REGEXMATCH(C666,""^Sell_""),-ROUNDDOWN(ROUNDUP(INDEX(Upgrades!$C$3:$C$13,MATCH(SUBSTITUTE(C666,""Sell_"",""""),Upgrades!$B$3:$B$13,0))*1.15^(COUNTIF(C$4:C665,SUBSTITUTE(C666,""Sell_"",""""))-COUNTIF(C$4:C665,"&amp;"""Sell_""&amp;SUBSTITUTE(C666,""Sell_"",""""))))/2),ROUNDUP(INDEX(Upgrades!$C$3:$C$13,MATCH(C666,Upgrades!$B$3:$B$13,0))*1.15^(COUNTIF(C$4:C665,C666)-COUNTIF(C$4:C665,""Sell_""&amp;C666))))))"),"")</f>
        <v/>
      </c>
      <c r="H666" s="10" t="str">
        <f t="shared" si="3"/>
        <v/>
      </c>
      <c r="I666" s="68" t="str">
        <f t="shared" si="4"/>
        <v/>
      </c>
      <c r="J666" s="59" t="str">
        <f t="shared" si="5"/>
        <v/>
      </c>
      <c r="K666" s="69" t="str">
        <f t="shared" si="6"/>
        <v/>
      </c>
      <c r="L666" s="60" t="str">
        <f t="shared" si="7"/>
        <v/>
      </c>
      <c r="M666" s="61" t="str">
        <f>IFERROR(__xludf.DUMMYFUNCTION("IFS(AND(COUNTA(C666:C1673)=0,COUNTA(Q666:Q1673)=0),"""",OR(AND(K666&gt;=1000000000,OR(Y666&gt;=1000000000,COUNTA(Q666:Q1673)=0)),OR(Y666&gt;=1000000000,AND(COUNTA(C666:C1673)=0,P$3=TRUE))),
ROUNDDOWN((AB$1-AC$1)*MAX(INDEX(T$4:T1673,MATCH(LARGE(FILTER(Y$4:Y1673,Y$4"&amp;":Y1673&lt;1000000000),1),Y$4:Y1673)),INDEX(F$4:F1673,MATCH(LARGE(FILTER(K$4:K1673,K$4:K1673&lt;1000000000),1),K$4:K1673)))),AND(K666&lt;1000000000,COUNTA(C666:C1673)&gt;0,P$3=FALSE),
ROUNDDOWN(INDEX(Y$4:Y1673,MATCH(LARGE(FILTER(W$4:W1673,W$4:W1673&lt;=I666),1),W$4:W1673"&amp;"))+(I666-LARGE(FILTER(W$4:W1673,W$4:W1673&lt;=I666),1))*INDEX(T$4:T1673,MATCH(LARGE(FILTER(W$4:W1673,W$4:W1673&lt;=I666),1),W$4:W1673))-K666),1,
ROUNDDOWN(Y666-INDEX(K$4:K1673,MATCH(LARGE(FILTER(I$4:I1673,I$4:I1673&lt;=W666),1),I$4:I1673))-(W666-LARGE(FILTER(I$4:I"&amp;"1673,I$4:I1673&lt;=W666),1))*INDEX(F$4:F1673,MATCH(LARGE(FILTER(I$4:I1673,I$4:I1673&lt;=W666),1),I$4:I1673))))"),"")</f>
        <v/>
      </c>
      <c r="N666" s="60" t="str">
        <f t="shared" si="8"/>
        <v/>
      </c>
      <c r="O666" s="61" t="str">
        <f t="shared" si="9"/>
        <v/>
      </c>
      <c r="P666" s="56" t="str">
        <f t="shared" si="10"/>
        <v/>
      </c>
      <c r="Q666" s="105"/>
      <c r="R666" s="10"/>
      <c r="S666" s="59" t="str">
        <f t="array" ref="S666">IF(COUNTA(Q666:Q1673)=0,"",SUM((COUNTIF(Q$4:Q666,Upgrades!$B$3:$B$13)-COUNTIF(Q$4:Q666,"Sell_"&amp;Upgrades!$B$3:$B$13))*Upgrades!$D$3:$D$13))</f>
        <v/>
      </c>
      <c r="T666" s="66" t="str">
        <f>IFERROR(__xludf.DUMMYFUNCTION("IF(COUNTA(Q666:Q1673)=0,"""",IF(REGEXMATCH(INDEX(FILTER(Q$4:Q666,Q$4:Q666&lt;&gt;""""),ROWS(FILTER(Q$4:Q666,Q$4:Q666&lt;&gt;""""))),""^Sell_""),INDEX(FILTER(T$4:T665,Q$4:Q665&lt;&gt;""""),ROWS(FILTER(Q$4:Q665,Q$4:Q665&lt;&gt;""""))),$AD$5+S666))"),"")</f>
        <v/>
      </c>
      <c r="U666" s="10" t="str">
        <f>IFERROR(__xludf.DUMMYFUNCTION("IF(COUNTA(Q666:Q1673)=0,"""",IF(Q666="""",0,IF(REGEXMATCH(Q666,""^Sell_""),-ROUNDDOWN(ROUNDUP(INDEX(Upgrades!$C$3:$C$13,MATCH(SUBSTITUTE(Q666,""Sell_"",""""),Upgrades!$B$3:$B$13,0))*1.15^(COUNTIF(Q$4:Q665,SUBSTITUTE(Q666,""Sell_"",""""))-COUNTIF(Q$4:Q665,"&amp;"""Sell_""&amp;SUBSTITUTE(Q666,""Sell_"",""""))))/2),ROUNDUP(INDEX(Upgrades!$C$3:$C$13,MATCH(Q666,Upgrades!$B$3:$B$13,0))*1.15^(COUNTIF(Q$4:Q665,Q666)-COUNTIF(Q$4:Q665,""Sell_""&amp;Q666))))))"),"")</f>
        <v/>
      </c>
      <c r="V666" s="10" t="str">
        <f t="shared" si="11"/>
        <v/>
      </c>
      <c r="W666" s="68" t="str">
        <f t="shared" si="12"/>
        <v/>
      </c>
      <c r="X666" s="59" t="str">
        <f t="shared" si="13"/>
        <v/>
      </c>
      <c r="Y666" s="69" t="str">
        <f t="shared" si="14"/>
        <v/>
      </c>
      <c r="Z666" s="11"/>
    </row>
    <row r="667">
      <c r="A667" s="8"/>
      <c r="B667" s="56" t="str">
        <f t="shared" si="2"/>
        <v/>
      </c>
      <c r="C667" s="105"/>
      <c r="D667" s="10"/>
      <c r="E667" s="59" t="str">
        <f t="array" ref="E667">IF(COUNTA(C667:C1673)=0,"",SUM((COUNTIF(C$4:C667,Upgrades!$B$3:$B$13)-COUNTIF(C$4:C667,"Sell_"&amp;Upgrades!$B$3:$B$13))*Upgrades!$D$3:$D$13))</f>
        <v/>
      </c>
      <c r="F667" s="66" t="str">
        <f>IFERROR(__xludf.DUMMYFUNCTION("IF(COUNTA(C667:C1673)=0,"""",IF(REGEXMATCH(INDEX(FILTER(C$4:C667,C$4:C667&lt;&gt;""""),ROWS(FILTER(C$4:C667,C$4:C667&lt;&gt;""""))),""^Sell_""),INDEX(FILTER(F$4:F666,C$4:C666&lt;&gt;""""),ROWS(FILTER(C$4:C666,C$4:C666&lt;&gt;""""))),$AC$5+E667))"),"")</f>
        <v/>
      </c>
      <c r="G667" s="10" t="str">
        <f>IFERROR(__xludf.DUMMYFUNCTION("IF(COUNTA(C667:C1673)=0,"""",IF(C667="""",0,IF(REGEXMATCH(C667,""^Sell_""),-ROUNDDOWN(ROUNDUP(INDEX(Upgrades!$C$3:$C$13,MATCH(SUBSTITUTE(C667,""Sell_"",""""),Upgrades!$B$3:$B$13,0))*1.15^(COUNTIF(C$4:C666,SUBSTITUTE(C667,""Sell_"",""""))-COUNTIF(C$4:C666,"&amp;"""Sell_""&amp;SUBSTITUTE(C667,""Sell_"",""""))))/2),ROUNDUP(INDEX(Upgrades!$C$3:$C$13,MATCH(C667,Upgrades!$B$3:$B$13,0))*1.15^(COUNTIF(C$4:C666,C667)-COUNTIF(C$4:C666,""Sell_""&amp;C667))))))"),"")</f>
        <v/>
      </c>
      <c r="H667" s="10" t="str">
        <f t="shared" si="3"/>
        <v/>
      </c>
      <c r="I667" s="68" t="str">
        <f t="shared" si="4"/>
        <v/>
      </c>
      <c r="J667" s="59" t="str">
        <f t="shared" si="5"/>
        <v/>
      </c>
      <c r="K667" s="69" t="str">
        <f t="shared" si="6"/>
        <v/>
      </c>
      <c r="L667" s="60" t="str">
        <f t="shared" si="7"/>
        <v/>
      </c>
      <c r="M667" s="61" t="str">
        <f>IFERROR(__xludf.DUMMYFUNCTION("IFS(AND(COUNTA(C667:C1673)=0,COUNTA(Q667:Q1673)=0),"""",OR(AND(K667&gt;=1000000000,OR(Y667&gt;=1000000000,COUNTA(Q667:Q1673)=0)),OR(Y667&gt;=1000000000,AND(COUNTA(C667:C1673)=0,P$3=TRUE))),
ROUNDDOWN((AB$1-AC$1)*MAX(INDEX(T$4:T1673,MATCH(LARGE(FILTER(Y$4:Y1673,Y$4"&amp;":Y1673&lt;1000000000),1),Y$4:Y1673)),INDEX(F$4:F1673,MATCH(LARGE(FILTER(K$4:K1673,K$4:K1673&lt;1000000000),1),K$4:K1673)))),AND(K667&lt;1000000000,COUNTA(C667:C1673)&gt;0,P$3=FALSE),
ROUNDDOWN(INDEX(Y$4:Y1673,MATCH(LARGE(FILTER(W$4:W1673,W$4:W1673&lt;=I667),1),W$4:W1673"&amp;"))+(I667-LARGE(FILTER(W$4:W1673,W$4:W1673&lt;=I667),1))*INDEX(T$4:T1673,MATCH(LARGE(FILTER(W$4:W1673,W$4:W1673&lt;=I667),1),W$4:W1673))-K667),1,
ROUNDDOWN(Y667-INDEX(K$4:K1673,MATCH(LARGE(FILTER(I$4:I1673,I$4:I1673&lt;=W667),1),I$4:I1673))-(W667-LARGE(FILTER(I$4:I"&amp;"1673,I$4:I1673&lt;=W667),1))*INDEX(F$4:F1673,MATCH(LARGE(FILTER(I$4:I1673,I$4:I1673&lt;=W667),1),I$4:I1673))))"),"")</f>
        <v/>
      </c>
      <c r="N667" s="60" t="str">
        <f t="shared" si="8"/>
        <v/>
      </c>
      <c r="O667" s="61" t="str">
        <f t="shared" si="9"/>
        <v/>
      </c>
      <c r="P667" s="56" t="str">
        <f t="shared" si="10"/>
        <v/>
      </c>
      <c r="Q667" s="105"/>
      <c r="R667" s="10"/>
      <c r="S667" s="59" t="str">
        <f t="array" ref="S667">IF(COUNTA(Q667:Q1673)=0,"",SUM((COUNTIF(Q$4:Q667,Upgrades!$B$3:$B$13)-COUNTIF(Q$4:Q667,"Sell_"&amp;Upgrades!$B$3:$B$13))*Upgrades!$D$3:$D$13))</f>
        <v/>
      </c>
      <c r="T667" s="66" t="str">
        <f>IFERROR(__xludf.DUMMYFUNCTION("IF(COUNTA(Q667:Q1673)=0,"""",IF(REGEXMATCH(INDEX(FILTER(Q$4:Q667,Q$4:Q667&lt;&gt;""""),ROWS(FILTER(Q$4:Q667,Q$4:Q667&lt;&gt;""""))),""^Sell_""),INDEX(FILTER(T$4:T666,Q$4:Q666&lt;&gt;""""),ROWS(FILTER(Q$4:Q666,Q$4:Q666&lt;&gt;""""))),$AD$5+S667))"),"")</f>
        <v/>
      </c>
      <c r="U667" s="10" t="str">
        <f>IFERROR(__xludf.DUMMYFUNCTION("IF(COUNTA(Q667:Q1673)=0,"""",IF(Q667="""",0,IF(REGEXMATCH(Q667,""^Sell_""),-ROUNDDOWN(ROUNDUP(INDEX(Upgrades!$C$3:$C$13,MATCH(SUBSTITUTE(Q667,""Sell_"",""""),Upgrades!$B$3:$B$13,0))*1.15^(COUNTIF(Q$4:Q666,SUBSTITUTE(Q667,""Sell_"",""""))-COUNTIF(Q$4:Q666,"&amp;"""Sell_""&amp;SUBSTITUTE(Q667,""Sell_"",""""))))/2),ROUNDUP(INDEX(Upgrades!$C$3:$C$13,MATCH(Q667,Upgrades!$B$3:$B$13,0))*1.15^(COUNTIF(Q$4:Q666,Q667)-COUNTIF(Q$4:Q666,""Sell_""&amp;Q667))))))"),"")</f>
        <v/>
      </c>
      <c r="V667" s="10" t="str">
        <f t="shared" si="11"/>
        <v/>
      </c>
      <c r="W667" s="68" t="str">
        <f t="shared" si="12"/>
        <v/>
      </c>
      <c r="X667" s="59" t="str">
        <f t="shared" si="13"/>
        <v/>
      </c>
      <c r="Y667" s="69" t="str">
        <f t="shared" si="14"/>
        <v/>
      </c>
      <c r="Z667" s="11"/>
    </row>
    <row r="668">
      <c r="A668" s="8"/>
      <c r="B668" s="56" t="str">
        <f t="shared" si="2"/>
        <v/>
      </c>
      <c r="C668" s="105"/>
      <c r="D668" s="10"/>
      <c r="E668" s="59" t="str">
        <f t="array" ref="E668">IF(COUNTA(C668:C1673)=0,"",SUM((COUNTIF(C$4:C668,Upgrades!$B$3:$B$13)-COUNTIF(C$4:C668,"Sell_"&amp;Upgrades!$B$3:$B$13))*Upgrades!$D$3:$D$13))</f>
        <v/>
      </c>
      <c r="F668" s="66" t="str">
        <f>IFERROR(__xludf.DUMMYFUNCTION("IF(COUNTA(C668:C1673)=0,"""",IF(REGEXMATCH(INDEX(FILTER(C$4:C668,C$4:C668&lt;&gt;""""),ROWS(FILTER(C$4:C668,C$4:C668&lt;&gt;""""))),""^Sell_""),INDEX(FILTER(F$4:F667,C$4:C667&lt;&gt;""""),ROWS(FILTER(C$4:C667,C$4:C667&lt;&gt;""""))),$AC$5+E668))"),"")</f>
        <v/>
      </c>
      <c r="G668" s="10" t="str">
        <f>IFERROR(__xludf.DUMMYFUNCTION("IF(COUNTA(C668:C1673)=0,"""",IF(C668="""",0,IF(REGEXMATCH(C668,""^Sell_""),-ROUNDDOWN(ROUNDUP(INDEX(Upgrades!$C$3:$C$13,MATCH(SUBSTITUTE(C668,""Sell_"",""""),Upgrades!$B$3:$B$13,0))*1.15^(COUNTIF(C$4:C667,SUBSTITUTE(C668,""Sell_"",""""))-COUNTIF(C$4:C667,"&amp;"""Sell_""&amp;SUBSTITUTE(C668,""Sell_"",""""))))/2),ROUNDUP(INDEX(Upgrades!$C$3:$C$13,MATCH(C668,Upgrades!$B$3:$B$13,0))*1.15^(COUNTIF(C$4:C667,C668)-COUNTIF(C$4:C667,""Sell_""&amp;C668))))))"),"")</f>
        <v/>
      </c>
      <c r="H668" s="10" t="str">
        <f t="shared" si="3"/>
        <v/>
      </c>
      <c r="I668" s="68" t="str">
        <f t="shared" si="4"/>
        <v/>
      </c>
      <c r="J668" s="59" t="str">
        <f t="shared" si="5"/>
        <v/>
      </c>
      <c r="K668" s="69" t="str">
        <f t="shared" si="6"/>
        <v/>
      </c>
      <c r="L668" s="60" t="str">
        <f t="shared" si="7"/>
        <v/>
      </c>
      <c r="M668" s="61" t="str">
        <f>IFERROR(__xludf.DUMMYFUNCTION("IFS(AND(COUNTA(C668:C1673)=0,COUNTA(Q668:Q1673)=0),"""",OR(AND(K668&gt;=1000000000,OR(Y668&gt;=1000000000,COUNTA(Q668:Q1673)=0)),OR(Y668&gt;=1000000000,AND(COUNTA(C668:C1673)=0,P$3=TRUE))),
ROUNDDOWN((AB$1-AC$1)*MAX(INDEX(T$4:T1673,MATCH(LARGE(FILTER(Y$4:Y1673,Y$4"&amp;":Y1673&lt;1000000000),1),Y$4:Y1673)),INDEX(F$4:F1673,MATCH(LARGE(FILTER(K$4:K1673,K$4:K1673&lt;1000000000),1),K$4:K1673)))),AND(K668&lt;1000000000,COUNTA(C668:C1673)&gt;0,P$3=FALSE),
ROUNDDOWN(INDEX(Y$4:Y1673,MATCH(LARGE(FILTER(W$4:W1673,W$4:W1673&lt;=I668),1),W$4:W1673"&amp;"))+(I668-LARGE(FILTER(W$4:W1673,W$4:W1673&lt;=I668),1))*INDEX(T$4:T1673,MATCH(LARGE(FILTER(W$4:W1673,W$4:W1673&lt;=I668),1),W$4:W1673))-K668),1,
ROUNDDOWN(Y668-INDEX(K$4:K1673,MATCH(LARGE(FILTER(I$4:I1673,I$4:I1673&lt;=W668),1),I$4:I1673))-(W668-LARGE(FILTER(I$4:I"&amp;"1673,I$4:I1673&lt;=W668),1))*INDEX(F$4:F1673,MATCH(LARGE(FILTER(I$4:I1673,I$4:I1673&lt;=W668),1),I$4:I1673))))"),"")</f>
        <v/>
      </c>
      <c r="N668" s="60" t="str">
        <f t="shared" si="8"/>
        <v/>
      </c>
      <c r="O668" s="61" t="str">
        <f t="shared" si="9"/>
        <v/>
      </c>
      <c r="P668" s="56" t="str">
        <f t="shared" si="10"/>
        <v/>
      </c>
      <c r="Q668" s="105"/>
      <c r="R668" s="10"/>
      <c r="S668" s="59" t="str">
        <f t="array" ref="S668">IF(COUNTA(Q668:Q1673)=0,"",SUM((COUNTIF(Q$4:Q668,Upgrades!$B$3:$B$13)-COUNTIF(Q$4:Q668,"Sell_"&amp;Upgrades!$B$3:$B$13))*Upgrades!$D$3:$D$13))</f>
        <v/>
      </c>
      <c r="T668" s="66" t="str">
        <f>IFERROR(__xludf.DUMMYFUNCTION("IF(COUNTA(Q668:Q1673)=0,"""",IF(REGEXMATCH(INDEX(FILTER(Q$4:Q668,Q$4:Q668&lt;&gt;""""),ROWS(FILTER(Q$4:Q668,Q$4:Q668&lt;&gt;""""))),""^Sell_""),INDEX(FILTER(T$4:T667,Q$4:Q667&lt;&gt;""""),ROWS(FILTER(Q$4:Q667,Q$4:Q667&lt;&gt;""""))),$AD$5+S668))"),"")</f>
        <v/>
      </c>
      <c r="U668" s="10" t="str">
        <f>IFERROR(__xludf.DUMMYFUNCTION("IF(COUNTA(Q668:Q1673)=0,"""",IF(Q668="""",0,IF(REGEXMATCH(Q668,""^Sell_""),-ROUNDDOWN(ROUNDUP(INDEX(Upgrades!$C$3:$C$13,MATCH(SUBSTITUTE(Q668,""Sell_"",""""),Upgrades!$B$3:$B$13,0))*1.15^(COUNTIF(Q$4:Q667,SUBSTITUTE(Q668,""Sell_"",""""))-COUNTIF(Q$4:Q667,"&amp;"""Sell_""&amp;SUBSTITUTE(Q668,""Sell_"",""""))))/2),ROUNDUP(INDEX(Upgrades!$C$3:$C$13,MATCH(Q668,Upgrades!$B$3:$B$13,0))*1.15^(COUNTIF(Q$4:Q667,Q668)-COUNTIF(Q$4:Q667,""Sell_""&amp;Q668))))))"),"")</f>
        <v/>
      </c>
      <c r="V668" s="10" t="str">
        <f t="shared" si="11"/>
        <v/>
      </c>
      <c r="W668" s="68" t="str">
        <f t="shared" si="12"/>
        <v/>
      </c>
      <c r="X668" s="59" t="str">
        <f t="shared" si="13"/>
        <v/>
      </c>
      <c r="Y668" s="69" t="str">
        <f t="shared" si="14"/>
        <v/>
      </c>
      <c r="Z668" s="11"/>
    </row>
    <row r="669">
      <c r="A669" s="8"/>
      <c r="B669" s="56" t="str">
        <f t="shared" si="2"/>
        <v/>
      </c>
      <c r="C669" s="105"/>
      <c r="D669" s="10"/>
      <c r="E669" s="59" t="str">
        <f t="array" ref="E669">IF(COUNTA(C669:C1673)=0,"",SUM((COUNTIF(C$4:C669,Upgrades!$B$3:$B$13)-COUNTIF(C$4:C669,"Sell_"&amp;Upgrades!$B$3:$B$13))*Upgrades!$D$3:$D$13))</f>
        <v/>
      </c>
      <c r="F669" s="66" t="str">
        <f>IFERROR(__xludf.DUMMYFUNCTION("IF(COUNTA(C669:C1673)=0,"""",IF(REGEXMATCH(INDEX(FILTER(C$4:C669,C$4:C669&lt;&gt;""""),ROWS(FILTER(C$4:C669,C$4:C669&lt;&gt;""""))),""^Sell_""),INDEX(FILTER(F$4:F668,C$4:C668&lt;&gt;""""),ROWS(FILTER(C$4:C668,C$4:C668&lt;&gt;""""))),$AC$5+E669))"),"")</f>
        <v/>
      </c>
      <c r="G669" s="10" t="str">
        <f>IFERROR(__xludf.DUMMYFUNCTION("IF(COUNTA(C669:C1673)=0,"""",IF(C669="""",0,IF(REGEXMATCH(C669,""^Sell_""),-ROUNDDOWN(ROUNDUP(INDEX(Upgrades!$C$3:$C$13,MATCH(SUBSTITUTE(C669,""Sell_"",""""),Upgrades!$B$3:$B$13,0))*1.15^(COUNTIF(C$4:C668,SUBSTITUTE(C669,""Sell_"",""""))-COUNTIF(C$4:C668,"&amp;"""Sell_""&amp;SUBSTITUTE(C669,""Sell_"",""""))))/2),ROUNDUP(INDEX(Upgrades!$C$3:$C$13,MATCH(C669,Upgrades!$B$3:$B$13,0))*1.15^(COUNTIF(C$4:C668,C669)-COUNTIF(C$4:C668,""Sell_""&amp;C669))))))"),"")</f>
        <v/>
      </c>
      <c r="H669" s="10" t="str">
        <f t="shared" si="3"/>
        <v/>
      </c>
      <c r="I669" s="68" t="str">
        <f t="shared" si="4"/>
        <v/>
      </c>
      <c r="J669" s="59" t="str">
        <f t="shared" si="5"/>
        <v/>
      </c>
      <c r="K669" s="69" t="str">
        <f t="shared" si="6"/>
        <v/>
      </c>
      <c r="L669" s="60" t="str">
        <f t="shared" si="7"/>
        <v/>
      </c>
      <c r="M669" s="61" t="str">
        <f>IFERROR(__xludf.DUMMYFUNCTION("IFS(AND(COUNTA(C669:C1673)=0,COUNTA(Q669:Q1673)=0),"""",OR(AND(K669&gt;=1000000000,OR(Y669&gt;=1000000000,COUNTA(Q669:Q1673)=0)),OR(Y669&gt;=1000000000,AND(COUNTA(C669:C1673)=0,P$3=TRUE))),
ROUNDDOWN((AB$1-AC$1)*MAX(INDEX(T$4:T1673,MATCH(LARGE(FILTER(Y$4:Y1673,Y$4"&amp;":Y1673&lt;1000000000),1),Y$4:Y1673)),INDEX(F$4:F1673,MATCH(LARGE(FILTER(K$4:K1673,K$4:K1673&lt;1000000000),1),K$4:K1673)))),AND(K669&lt;1000000000,COUNTA(C669:C1673)&gt;0,P$3=FALSE),
ROUNDDOWN(INDEX(Y$4:Y1673,MATCH(LARGE(FILTER(W$4:W1673,W$4:W1673&lt;=I669),1),W$4:W1673"&amp;"))+(I669-LARGE(FILTER(W$4:W1673,W$4:W1673&lt;=I669),1))*INDEX(T$4:T1673,MATCH(LARGE(FILTER(W$4:W1673,W$4:W1673&lt;=I669),1),W$4:W1673))-K669),1,
ROUNDDOWN(Y669-INDEX(K$4:K1673,MATCH(LARGE(FILTER(I$4:I1673,I$4:I1673&lt;=W669),1),I$4:I1673))-(W669-LARGE(FILTER(I$4:I"&amp;"1673,I$4:I1673&lt;=W669),1))*INDEX(F$4:F1673,MATCH(LARGE(FILTER(I$4:I1673,I$4:I1673&lt;=W669),1),I$4:I1673))))"),"")</f>
        <v/>
      </c>
      <c r="N669" s="60" t="str">
        <f t="shared" si="8"/>
        <v/>
      </c>
      <c r="O669" s="61" t="str">
        <f t="shared" si="9"/>
        <v/>
      </c>
      <c r="P669" s="56" t="str">
        <f t="shared" si="10"/>
        <v/>
      </c>
      <c r="Q669" s="105"/>
      <c r="R669" s="10"/>
      <c r="S669" s="59" t="str">
        <f t="array" ref="S669">IF(COUNTA(Q669:Q1673)=0,"",SUM((COUNTIF(Q$4:Q669,Upgrades!$B$3:$B$13)-COUNTIF(Q$4:Q669,"Sell_"&amp;Upgrades!$B$3:$B$13))*Upgrades!$D$3:$D$13))</f>
        <v/>
      </c>
      <c r="T669" s="66" t="str">
        <f>IFERROR(__xludf.DUMMYFUNCTION("IF(COUNTA(Q669:Q1673)=0,"""",IF(REGEXMATCH(INDEX(FILTER(Q$4:Q669,Q$4:Q669&lt;&gt;""""),ROWS(FILTER(Q$4:Q669,Q$4:Q669&lt;&gt;""""))),""^Sell_""),INDEX(FILTER(T$4:T668,Q$4:Q668&lt;&gt;""""),ROWS(FILTER(Q$4:Q668,Q$4:Q668&lt;&gt;""""))),$AD$5+S669))"),"")</f>
        <v/>
      </c>
      <c r="U669" s="10" t="str">
        <f>IFERROR(__xludf.DUMMYFUNCTION("IF(COUNTA(Q669:Q1673)=0,"""",IF(Q669="""",0,IF(REGEXMATCH(Q669,""^Sell_""),-ROUNDDOWN(ROUNDUP(INDEX(Upgrades!$C$3:$C$13,MATCH(SUBSTITUTE(Q669,""Sell_"",""""),Upgrades!$B$3:$B$13,0))*1.15^(COUNTIF(Q$4:Q668,SUBSTITUTE(Q669,""Sell_"",""""))-COUNTIF(Q$4:Q668,"&amp;"""Sell_""&amp;SUBSTITUTE(Q669,""Sell_"",""""))))/2),ROUNDUP(INDEX(Upgrades!$C$3:$C$13,MATCH(Q669,Upgrades!$B$3:$B$13,0))*1.15^(COUNTIF(Q$4:Q668,Q669)-COUNTIF(Q$4:Q668,""Sell_""&amp;Q669))))))"),"")</f>
        <v/>
      </c>
      <c r="V669" s="10" t="str">
        <f t="shared" si="11"/>
        <v/>
      </c>
      <c r="W669" s="68" t="str">
        <f t="shared" si="12"/>
        <v/>
      </c>
      <c r="X669" s="59" t="str">
        <f t="shared" si="13"/>
        <v/>
      </c>
      <c r="Y669" s="69" t="str">
        <f t="shared" si="14"/>
        <v/>
      </c>
      <c r="Z669" s="11"/>
    </row>
    <row r="670">
      <c r="A670" s="8"/>
      <c r="B670" s="56" t="str">
        <f t="shared" si="2"/>
        <v/>
      </c>
      <c r="C670" s="105"/>
      <c r="D670" s="10"/>
      <c r="E670" s="59" t="str">
        <f t="array" ref="E670">IF(COUNTA(C670:C1673)=0,"",SUM((COUNTIF(C$4:C670,Upgrades!$B$3:$B$13)-COUNTIF(C$4:C670,"Sell_"&amp;Upgrades!$B$3:$B$13))*Upgrades!$D$3:$D$13))</f>
        <v/>
      </c>
      <c r="F670" s="66" t="str">
        <f>IFERROR(__xludf.DUMMYFUNCTION("IF(COUNTA(C670:C1673)=0,"""",IF(REGEXMATCH(INDEX(FILTER(C$4:C670,C$4:C670&lt;&gt;""""),ROWS(FILTER(C$4:C670,C$4:C670&lt;&gt;""""))),""^Sell_""),INDEX(FILTER(F$4:F669,C$4:C669&lt;&gt;""""),ROWS(FILTER(C$4:C669,C$4:C669&lt;&gt;""""))),$AC$5+E670))"),"")</f>
        <v/>
      </c>
      <c r="G670" s="10" t="str">
        <f>IFERROR(__xludf.DUMMYFUNCTION("IF(COUNTA(C670:C1673)=0,"""",IF(C670="""",0,IF(REGEXMATCH(C670,""^Sell_""),-ROUNDDOWN(ROUNDUP(INDEX(Upgrades!$C$3:$C$13,MATCH(SUBSTITUTE(C670,""Sell_"",""""),Upgrades!$B$3:$B$13,0))*1.15^(COUNTIF(C$4:C669,SUBSTITUTE(C670,""Sell_"",""""))-COUNTIF(C$4:C669,"&amp;"""Sell_""&amp;SUBSTITUTE(C670,""Sell_"",""""))))/2),ROUNDUP(INDEX(Upgrades!$C$3:$C$13,MATCH(C670,Upgrades!$B$3:$B$13,0))*1.15^(COUNTIF(C$4:C669,C670)-COUNTIF(C$4:C669,""Sell_""&amp;C670))))))"),"")</f>
        <v/>
      </c>
      <c r="H670" s="10" t="str">
        <f t="shared" si="3"/>
        <v/>
      </c>
      <c r="I670" s="68" t="str">
        <f t="shared" si="4"/>
        <v/>
      </c>
      <c r="J670" s="59" t="str">
        <f t="shared" si="5"/>
        <v/>
      </c>
      <c r="K670" s="69" t="str">
        <f t="shared" si="6"/>
        <v/>
      </c>
      <c r="L670" s="60" t="str">
        <f t="shared" si="7"/>
        <v/>
      </c>
      <c r="M670" s="61" t="str">
        <f>IFERROR(__xludf.DUMMYFUNCTION("IFS(AND(COUNTA(C670:C1673)=0,COUNTA(Q670:Q1673)=0),"""",OR(AND(K670&gt;=1000000000,OR(Y670&gt;=1000000000,COUNTA(Q670:Q1673)=0)),OR(Y670&gt;=1000000000,AND(COUNTA(C670:C1673)=0,P$3=TRUE))),
ROUNDDOWN((AB$1-AC$1)*MAX(INDEX(T$4:T1673,MATCH(LARGE(FILTER(Y$4:Y1673,Y$4"&amp;":Y1673&lt;1000000000),1),Y$4:Y1673)),INDEX(F$4:F1673,MATCH(LARGE(FILTER(K$4:K1673,K$4:K1673&lt;1000000000),1),K$4:K1673)))),AND(K670&lt;1000000000,COUNTA(C670:C1673)&gt;0,P$3=FALSE),
ROUNDDOWN(INDEX(Y$4:Y1673,MATCH(LARGE(FILTER(W$4:W1673,W$4:W1673&lt;=I670),1),W$4:W1673"&amp;"))+(I670-LARGE(FILTER(W$4:W1673,W$4:W1673&lt;=I670),1))*INDEX(T$4:T1673,MATCH(LARGE(FILTER(W$4:W1673,W$4:W1673&lt;=I670),1),W$4:W1673))-K670),1,
ROUNDDOWN(Y670-INDEX(K$4:K1673,MATCH(LARGE(FILTER(I$4:I1673,I$4:I1673&lt;=W670),1),I$4:I1673))-(W670-LARGE(FILTER(I$4:I"&amp;"1673,I$4:I1673&lt;=W670),1))*INDEX(F$4:F1673,MATCH(LARGE(FILTER(I$4:I1673,I$4:I1673&lt;=W670),1),I$4:I1673))))"),"")</f>
        <v/>
      </c>
      <c r="N670" s="60" t="str">
        <f t="shared" si="8"/>
        <v/>
      </c>
      <c r="O670" s="61" t="str">
        <f t="shared" si="9"/>
        <v/>
      </c>
      <c r="P670" s="56" t="str">
        <f t="shared" si="10"/>
        <v/>
      </c>
      <c r="Q670" s="105"/>
      <c r="R670" s="10"/>
      <c r="S670" s="59" t="str">
        <f t="array" ref="S670">IF(COUNTA(Q670:Q1673)=0,"",SUM((COUNTIF(Q$4:Q670,Upgrades!$B$3:$B$13)-COUNTIF(Q$4:Q670,"Sell_"&amp;Upgrades!$B$3:$B$13))*Upgrades!$D$3:$D$13))</f>
        <v/>
      </c>
      <c r="T670" s="66" t="str">
        <f>IFERROR(__xludf.DUMMYFUNCTION("IF(COUNTA(Q670:Q1673)=0,"""",IF(REGEXMATCH(INDEX(FILTER(Q$4:Q670,Q$4:Q670&lt;&gt;""""),ROWS(FILTER(Q$4:Q670,Q$4:Q670&lt;&gt;""""))),""^Sell_""),INDEX(FILTER(T$4:T669,Q$4:Q669&lt;&gt;""""),ROWS(FILTER(Q$4:Q669,Q$4:Q669&lt;&gt;""""))),$AD$5+S670))"),"")</f>
        <v/>
      </c>
      <c r="U670" s="10" t="str">
        <f>IFERROR(__xludf.DUMMYFUNCTION("IF(COUNTA(Q670:Q1673)=0,"""",IF(Q670="""",0,IF(REGEXMATCH(Q670,""^Sell_""),-ROUNDDOWN(ROUNDUP(INDEX(Upgrades!$C$3:$C$13,MATCH(SUBSTITUTE(Q670,""Sell_"",""""),Upgrades!$B$3:$B$13,0))*1.15^(COUNTIF(Q$4:Q669,SUBSTITUTE(Q670,""Sell_"",""""))-COUNTIF(Q$4:Q669,"&amp;"""Sell_""&amp;SUBSTITUTE(Q670,""Sell_"",""""))))/2),ROUNDUP(INDEX(Upgrades!$C$3:$C$13,MATCH(Q670,Upgrades!$B$3:$B$13,0))*1.15^(COUNTIF(Q$4:Q669,Q670)-COUNTIF(Q$4:Q669,""Sell_""&amp;Q670))))))"),"")</f>
        <v/>
      </c>
      <c r="V670" s="10" t="str">
        <f t="shared" si="11"/>
        <v/>
      </c>
      <c r="W670" s="68" t="str">
        <f t="shared" si="12"/>
        <v/>
      </c>
      <c r="X670" s="59" t="str">
        <f t="shared" si="13"/>
        <v/>
      </c>
      <c r="Y670" s="69" t="str">
        <f t="shared" si="14"/>
        <v/>
      </c>
      <c r="Z670" s="11"/>
    </row>
    <row r="671">
      <c r="A671" s="8"/>
      <c r="B671" s="56" t="str">
        <f t="shared" si="2"/>
        <v/>
      </c>
      <c r="C671" s="105"/>
      <c r="D671" s="10"/>
      <c r="E671" s="59" t="str">
        <f t="array" ref="E671">IF(COUNTA(C671:C1673)=0,"",SUM((COUNTIF(C$4:C671,Upgrades!$B$3:$B$13)-COUNTIF(C$4:C671,"Sell_"&amp;Upgrades!$B$3:$B$13))*Upgrades!$D$3:$D$13))</f>
        <v/>
      </c>
      <c r="F671" s="66" t="str">
        <f>IFERROR(__xludf.DUMMYFUNCTION("IF(COUNTA(C671:C1673)=0,"""",IF(REGEXMATCH(INDEX(FILTER(C$4:C671,C$4:C671&lt;&gt;""""),ROWS(FILTER(C$4:C671,C$4:C671&lt;&gt;""""))),""^Sell_""),INDEX(FILTER(F$4:F670,C$4:C670&lt;&gt;""""),ROWS(FILTER(C$4:C670,C$4:C670&lt;&gt;""""))),$AC$5+E671))"),"")</f>
        <v/>
      </c>
      <c r="G671" s="10" t="str">
        <f>IFERROR(__xludf.DUMMYFUNCTION("IF(COUNTA(C671:C1673)=0,"""",IF(C671="""",0,IF(REGEXMATCH(C671,""^Sell_""),-ROUNDDOWN(ROUNDUP(INDEX(Upgrades!$C$3:$C$13,MATCH(SUBSTITUTE(C671,""Sell_"",""""),Upgrades!$B$3:$B$13,0))*1.15^(COUNTIF(C$4:C670,SUBSTITUTE(C671,""Sell_"",""""))-COUNTIF(C$4:C670,"&amp;"""Sell_""&amp;SUBSTITUTE(C671,""Sell_"",""""))))/2),ROUNDUP(INDEX(Upgrades!$C$3:$C$13,MATCH(C671,Upgrades!$B$3:$B$13,0))*1.15^(COUNTIF(C$4:C670,C671)-COUNTIF(C$4:C670,""Sell_""&amp;C671))))))"),"")</f>
        <v/>
      </c>
      <c r="H671" s="10" t="str">
        <f t="shared" si="3"/>
        <v/>
      </c>
      <c r="I671" s="68" t="str">
        <f t="shared" si="4"/>
        <v/>
      </c>
      <c r="J671" s="59" t="str">
        <f t="shared" si="5"/>
        <v/>
      </c>
      <c r="K671" s="69" t="str">
        <f t="shared" si="6"/>
        <v/>
      </c>
      <c r="L671" s="60" t="str">
        <f t="shared" si="7"/>
        <v/>
      </c>
      <c r="M671" s="61" t="str">
        <f>IFERROR(__xludf.DUMMYFUNCTION("IFS(AND(COUNTA(C671:C1673)=0,COUNTA(Q671:Q1673)=0),"""",OR(AND(K671&gt;=1000000000,OR(Y671&gt;=1000000000,COUNTA(Q671:Q1673)=0)),OR(Y671&gt;=1000000000,AND(COUNTA(C671:C1673)=0,P$3=TRUE))),
ROUNDDOWN((AB$1-AC$1)*MAX(INDEX(T$4:T1673,MATCH(LARGE(FILTER(Y$4:Y1673,Y$4"&amp;":Y1673&lt;1000000000),1),Y$4:Y1673)),INDEX(F$4:F1673,MATCH(LARGE(FILTER(K$4:K1673,K$4:K1673&lt;1000000000),1),K$4:K1673)))),AND(K671&lt;1000000000,COUNTA(C671:C1673)&gt;0,P$3=FALSE),
ROUNDDOWN(INDEX(Y$4:Y1673,MATCH(LARGE(FILTER(W$4:W1673,W$4:W1673&lt;=I671),1),W$4:W1673"&amp;"))+(I671-LARGE(FILTER(W$4:W1673,W$4:W1673&lt;=I671),1))*INDEX(T$4:T1673,MATCH(LARGE(FILTER(W$4:W1673,W$4:W1673&lt;=I671),1),W$4:W1673))-K671),1,
ROUNDDOWN(Y671-INDEX(K$4:K1673,MATCH(LARGE(FILTER(I$4:I1673,I$4:I1673&lt;=W671),1),I$4:I1673))-(W671-LARGE(FILTER(I$4:I"&amp;"1673,I$4:I1673&lt;=W671),1))*INDEX(F$4:F1673,MATCH(LARGE(FILTER(I$4:I1673,I$4:I1673&lt;=W671),1),I$4:I1673))))"),"")</f>
        <v/>
      </c>
      <c r="N671" s="60" t="str">
        <f t="shared" si="8"/>
        <v/>
      </c>
      <c r="O671" s="61" t="str">
        <f t="shared" si="9"/>
        <v/>
      </c>
      <c r="P671" s="56" t="str">
        <f t="shared" si="10"/>
        <v/>
      </c>
      <c r="Q671" s="105"/>
      <c r="R671" s="10"/>
      <c r="S671" s="59" t="str">
        <f t="array" ref="S671">IF(COUNTA(Q671:Q1673)=0,"",SUM((COUNTIF(Q$4:Q671,Upgrades!$B$3:$B$13)-COUNTIF(Q$4:Q671,"Sell_"&amp;Upgrades!$B$3:$B$13))*Upgrades!$D$3:$D$13))</f>
        <v/>
      </c>
      <c r="T671" s="66" t="str">
        <f>IFERROR(__xludf.DUMMYFUNCTION("IF(COUNTA(Q671:Q1673)=0,"""",IF(REGEXMATCH(INDEX(FILTER(Q$4:Q671,Q$4:Q671&lt;&gt;""""),ROWS(FILTER(Q$4:Q671,Q$4:Q671&lt;&gt;""""))),""^Sell_""),INDEX(FILTER(T$4:T670,Q$4:Q670&lt;&gt;""""),ROWS(FILTER(Q$4:Q670,Q$4:Q670&lt;&gt;""""))),$AD$5+S671))"),"")</f>
        <v/>
      </c>
      <c r="U671" s="10" t="str">
        <f>IFERROR(__xludf.DUMMYFUNCTION("IF(COUNTA(Q671:Q1673)=0,"""",IF(Q671="""",0,IF(REGEXMATCH(Q671,""^Sell_""),-ROUNDDOWN(ROUNDUP(INDEX(Upgrades!$C$3:$C$13,MATCH(SUBSTITUTE(Q671,""Sell_"",""""),Upgrades!$B$3:$B$13,0))*1.15^(COUNTIF(Q$4:Q670,SUBSTITUTE(Q671,""Sell_"",""""))-COUNTIF(Q$4:Q670,"&amp;"""Sell_""&amp;SUBSTITUTE(Q671,""Sell_"",""""))))/2),ROUNDUP(INDEX(Upgrades!$C$3:$C$13,MATCH(Q671,Upgrades!$B$3:$B$13,0))*1.15^(COUNTIF(Q$4:Q670,Q671)-COUNTIF(Q$4:Q670,""Sell_""&amp;Q671))))))"),"")</f>
        <v/>
      </c>
      <c r="V671" s="10" t="str">
        <f t="shared" si="11"/>
        <v/>
      </c>
      <c r="W671" s="68" t="str">
        <f t="shared" si="12"/>
        <v/>
      </c>
      <c r="X671" s="59" t="str">
        <f t="shared" si="13"/>
        <v/>
      </c>
      <c r="Y671" s="69" t="str">
        <f t="shared" si="14"/>
        <v/>
      </c>
      <c r="Z671" s="11"/>
    </row>
    <row r="672">
      <c r="A672" s="8"/>
      <c r="B672" s="56" t="str">
        <f t="shared" si="2"/>
        <v/>
      </c>
      <c r="C672" s="105"/>
      <c r="D672" s="10"/>
      <c r="E672" s="59" t="str">
        <f t="array" ref="E672">IF(COUNTA(C672:C1673)=0,"",SUM((COUNTIF(C$4:C672,Upgrades!$B$3:$B$13)-COUNTIF(C$4:C672,"Sell_"&amp;Upgrades!$B$3:$B$13))*Upgrades!$D$3:$D$13))</f>
        <v/>
      </c>
      <c r="F672" s="66" t="str">
        <f>IFERROR(__xludf.DUMMYFUNCTION("IF(COUNTA(C672:C1673)=0,"""",IF(REGEXMATCH(INDEX(FILTER(C$4:C672,C$4:C672&lt;&gt;""""),ROWS(FILTER(C$4:C672,C$4:C672&lt;&gt;""""))),""^Sell_""),INDEX(FILTER(F$4:F671,C$4:C671&lt;&gt;""""),ROWS(FILTER(C$4:C671,C$4:C671&lt;&gt;""""))),$AC$5+E672))"),"")</f>
        <v/>
      </c>
      <c r="G672" s="10" t="str">
        <f>IFERROR(__xludf.DUMMYFUNCTION("IF(COUNTA(C672:C1673)=0,"""",IF(C672="""",0,IF(REGEXMATCH(C672,""^Sell_""),-ROUNDDOWN(ROUNDUP(INDEX(Upgrades!$C$3:$C$13,MATCH(SUBSTITUTE(C672,""Sell_"",""""),Upgrades!$B$3:$B$13,0))*1.15^(COUNTIF(C$4:C671,SUBSTITUTE(C672,""Sell_"",""""))-COUNTIF(C$4:C671,"&amp;"""Sell_""&amp;SUBSTITUTE(C672,""Sell_"",""""))))/2),ROUNDUP(INDEX(Upgrades!$C$3:$C$13,MATCH(C672,Upgrades!$B$3:$B$13,0))*1.15^(COUNTIF(C$4:C671,C672)-COUNTIF(C$4:C671,""Sell_""&amp;C672))))))"),"")</f>
        <v/>
      </c>
      <c r="H672" s="10" t="str">
        <f t="shared" si="3"/>
        <v/>
      </c>
      <c r="I672" s="68" t="str">
        <f t="shared" si="4"/>
        <v/>
      </c>
      <c r="J672" s="59" t="str">
        <f t="shared" si="5"/>
        <v/>
      </c>
      <c r="K672" s="69" t="str">
        <f t="shared" si="6"/>
        <v/>
      </c>
      <c r="L672" s="60" t="str">
        <f t="shared" si="7"/>
        <v/>
      </c>
      <c r="M672" s="61" t="str">
        <f>IFERROR(__xludf.DUMMYFUNCTION("IFS(AND(COUNTA(C672:C1673)=0,COUNTA(Q672:Q1673)=0),"""",OR(AND(K672&gt;=1000000000,OR(Y672&gt;=1000000000,COUNTA(Q672:Q1673)=0)),OR(Y672&gt;=1000000000,AND(COUNTA(C672:C1673)=0,P$3=TRUE))),
ROUNDDOWN((AB$1-AC$1)*MAX(INDEX(T$4:T1673,MATCH(LARGE(FILTER(Y$4:Y1673,Y$4"&amp;":Y1673&lt;1000000000),1),Y$4:Y1673)),INDEX(F$4:F1673,MATCH(LARGE(FILTER(K$4:K1673,K$4:K1673&lt;1000000000),1),K$4:K1673)))),AND(K672&lt;1000000000,COUNTA(C672:C1673)&gt;0,P$3=FALSE),
ROUNDDOWN(INDEX(Y$4:Y1673,MATCH(LARGE(FILTER(W$4:W1673,W$4:W1673&lt;=I672),1),W$4:W1673"&amp;"))+(I672-LARGE(FILTER(W$4:W1673,W$4:W1673&lt;=I672),1))*INDEX(T$4:T1673,MATCH(LARGE(FILTER(W$4:W1673,W$4:W1673&lt;=I672),1),W$4:W1673))-K672),1,
ROUNDDOWN(Y672-INDEX(K$4:K1673,MATCH(LARGE(FILTER(I$4:I1673,I$4:I1673&lt;=W672),1),I$4:I1673))-(W672-LARGE(FILTER(I$4:I"&amp;"1673,I$4:I1673&lt;=W672),1))*INDEX(F$4:F1673,MATCH(LARGE(FILTER(I$4:I1673,I$4:I1673&lt;=W672),1),I$4:I1673))))"),"")</f>
        <v/>
      </c>
      <c r="N672" s="60" t="str">
        <f t="shared" si="8"/>
        <v/>
      </c>
      <c r="O672" s="61" t="str">
        <f t="shared" si="9"/>
        <v/>
      </c>
      <c r="P672" s="56" t="str">
        <f t="shared" si="10"/>
        <v/>
      </c>
      <c r="Q672" s="105"/>
      <c r="R672" s="10"/>
      <c r="S672" s="59" t="str">
        <f t="array" ref="S672">IF(COUNTA(Q672:Q1673)=0,"",SUM((COUNTIF(Q$4:Q672,Upgrades!$B$3:$B$13)-COUNTIF(Q$4:Q672,"Sell_"&amp;Upgrades!$B$3:$B$13))*Upgrades!$D$3:$D$13))</f>
        <v/>
      </c>
      <c r="T672" s="66" t="str">
        <f>IFERROR(__xludf.DUMMYFUNCTION("IF(COUNTA(Q672:Q1673)=0,"""",IF(REGEXMATCH(INDEX(FILTER(Q$4:Q672,Q$4:Q672&lt;&gt;""""),ROWS(FILTER(Q$4:Q672,Q$4:Q672&lt;&gt;""""))),""^Sell_""),INDEX(FILTER(T$4:T671,Q$4:Q671&lt;&gt;""""),ROWS(FILTER(Q$4:Q671,Q$4:Q671&lt;&gt;""""))),$AD$5+S672))"),"")</f>
        <v/>
      </c>
      <c r="U672" s="10" t="str">
        <f>IFERROR(__xludf.DUMMYFUNCTION("IF(COUNTA(Q672:Q1673)=0,"""",IF(Q672="""",0,IF(REGEXMATCH(Q672,""^Sell_""),-ROUNDDOWN(ROUNDUP(INDEX(Upgrades!$C$3:$C$13,MATCH(SUBSTITUTE(Q672,""Sell_"",""""),Upgrades!$B$3:$B$13,0))*1.15^(COUNTIF(Q$4:Q671,SUBSTITUTE(Q672,""Sell_"",""""))-COUNTIF(Q$4:Q671,"&amp;"""Sell_""&amp;SUBSTITUTE(Q672,""Sell_"",""""))))/2),ROUNDUP(INDEX(Upgrades!$C$3:$C$13,MATCH(Q672,Upgrades!$B$3:$B$13,0))*1.15^(COUNTIF(Q$4:Q671,Q672)-COUNTIF(Q$4:Q671,""Sell_""&amp;Q672))))))"),"")</f>
        <v/>
      </c>
      <c r="V672" s="10" t="str">
        <f t="shared" si="11"/>
        <v/>
      </c>
      <c r="W672" s="68" t="str">
        <f t="shared" si="12"/>
        <v/>
      </c>
      <c r="X672" s="59" t="str">
        <f t="shared" si="13"/>
        <v/>
      </c>
      <c r="Y672" s="69" t="str">
        <f t="shared" si="14"/>
        <v/>
      </c>
      <c r="Z672" s="11"/>
    </row>
    <row r="673">
      <c r="A673" s="8"/>
      <c r="B673" s="56" t="str">
        <f t="shared" si="2"/>
        <v/>
      </c>
      <c r="C673" s="105"/>
      <c r="D673" s="10"/>
      <c r="E673" s="59" t="str">
        <f t="array" ref="E673">IF(COUNTA(C673:C1673)=0,"",SUM((COUNTIF(C$4:C673,Upgrades!$B$3:$B$13)-COUNTIF(C$4:C673,"Sell_"&amp;Upgrades!$B$3:$B$13))*Upgrades!$D$3:$D$13))</f>
        <v/>
      </c>
      <c r="F673" s="66" t="str">
        <f>IFERROR(__xludf.DUMMYFUNCTION("IF(COUNTA(C673:C1673)=0,"""",IF(REGEXMATCH(INDEX(FILTER(C$4:C673,C$4:C673&lt;&gt;""""),ROWS(FILTER(C$4:C673,C$4:C673&lt;&gt;""""))),""^Sell_""),INDEX(FILTER(F$4:F672,C$4:C672&lt;&gt;""""),ROWS(FILTER(C$4:C672,C$4:C672&lt;&gt;""""))),$AC$5+E673))"),"")</f>
        <v/>
      </c>
      <c r="G673" s="10" t="str">
        <f>IFERROR(__xludf.DUMMYFUNCTION("IF(COUNTA(C673:C1673)=0,"""",IF(C673="""",0,IF(REGEXMATCH(C673,""^Sell_""),-ROUNDDOWN(ROUNDUP(INDEX(Upgrades!$C$3:$C$13,MATCH(SUBSTITUTE(C673,""Sell_"",""""),Upgrades!$B$3:$B$13,0))*1.15^(COUNTIF(C$4:C672,SUBSTITUTE(C673,""Sell_"",""""))-COUNTIF(C$4:C672,"&amp;"""Sell_""&amp;SUBSTITUTE(C673,""Sell_"",""""))))/2),ROUNDUP(INDEX(Upgrades!$C$3:$C$13,MATCH(C673,Upgrades!$B$3:$B$13,0))*1.15^(COUNTIF(C$4:C672,C673)-COUNTIF(C$4:C672,""Sell_""&amp;C673))))))"),"")</f>
        <v/>
      </c>
      <c r="H673" s="10" t="str">
        <f t="shared" si="3"/>
        <v/>
      </c>
      <c r="I673" s="68" t="str">
        <f t="shared" si="4"/>
        <v/>
      </c>
      <c r="J673" s="59" t="str">
        <f t="shared" si="5"/>
        <v/>
      </c>
      <c r="K673" s="69" t="str">
        <f t="shared" si="6"/>
        <v/>
      </c>
      <c r="L673" s="60" t="str">
        <f t="shared" si="7"/>
        <v/>
      </c>
      <c r="M673" s="61" t="str">
        <f>IFERROR(__xludf.DUMMYFUNCTION("IFS(AND(COUNTA(C673:C1673)=0,COUNTA(Q673:Q1673)=0),"""",OR(AND(K673&gt;=1000000000,OR(Y673&gt;=1000000000,COUNTA(Q673:Q1673)=0)),OR(Y673&gt;=1000000000,AND(COUNTA(C673:C1673)=0,P$3=TRUE))),
ROUNDDOWN((AB$1-AC$1)*MAX(INDEX(T$4:T1673,MATCH(LARGE(FILTER(Y$4:Y1673,Y$4"&amp;":Y1673&lt;1000000000),1),Y$4:Y1673)),INDEX(F$4:F1673,MATCH(LARGE(FILTER(K$4:K1673,K$4:K1673&lt;1000000000),1),K$4:K1673)))),AND(K673&lt;1000000000,COUNTA(C673:C1673)&gt;0,P$3=FALSE),
ROUNDDOWN(INDEX(Y$4:Y1673,MATCH(LARGE(FILTER(W$4:W1673,W$4:W1673&lt;=I673),1),W$4:W1673"&amp;"))+(I673-LARGE(FILTER(W$4:W1673,W$4:W1673&lt;=I673),1))*INDEX(T$4:T1673,MATCH(LARGE(FILTER(W$4:W1673,W$4:W1673&lt;=I673),1),W$4:W1673))-K673),1,
ROUNDDOWN(Y673-INDEX(K$4:K1673,MATCH(LARGE(FILTER(I$4:I1673,I$4:I1673&lt;=W673),1),I$4:I1673))-(W673-LARGE(FILTER(I$4:I"&amp;"1673,I$4:I1673&lt;=W673),1))*INDEX(F$4:F1673,MATCH(LARGE(FILTER(I$4:I1673,I$4:I1673&lt;=W673),1),I$4:I1673))))"),"")</f>
        <v/>
      </c>
      <c r="N673" s="60" t="str">
        <f t="shared" si="8"/>
        <v/>
      </c>
      <c r="O673" s="61" t="str">
        <f t="shared" si="9"/>
        <v/>
      </c>
      <c r="P673" s="56" t="str">
        <f t="shared" si="10"/>
        <v/>
      </c>
      <c r="Q673" s="105"/>
      <c r="R673" s="10"/>
      <c r="S673" s="59" t="str">
        <f t="array" ref="S673">IF(COUNTA(Q673:Q1673)=0,"",SUM((COUNTIF(Q$4:Q673,Upgrades!$B$3:$B$13)-COUNTIF(Q$4:Q673,"Sell_"&amp;Upgrades!$B$3:$B$13))*Upgrades!$D$3:$D$13))</f>
        <v/>
      </c>
      <c r="T673" s="66" t="str">
        <f>IFERROR(__xludf.DUMMYFUNCTION("IF(COUNTA(Q673:Q1673)=0,"""",IF(REGEXMATCH(INDEX(FILTER(Q$4:Q673,Q$4:Q673&lt;&gt;""""),ROWS(FILTER(Q$4:Q673,Q$4:Q673&lt;&gt;""""))),""^Sell_""),INDEX(FILTER(T$4:T672,Q$4:Q672&lt;&gt;""""),ROWS(FILTER(Q$4:Q672,Q$4:Q672&lt;&gt;""""))),$AD$5+S673))"),"")</f>
        <v/>
      </c>
      <c r="U673" s="10" t="str">
        <f>IFERROR(__xludf.DUMMYFUNCTION("IF(COUNTA(Q673:Q1673)=0,"""",IF(Q673="""",0,IF(REGEXMATCH(Q673,""^Sell_""),-ROUNDDOWN(ROUNDUP(INDEX(Upgrades!$C$3:$C$13,MATCH(SUBSTITUTE(Q673,""Sell_"",""""),Upgrades!$B$3:$B$13,0))*1.15^(COUNTIF(Q$4:Q672,SUBSTITUTE(Q673,""Sell_"",""""))-COUNTIF(Q$4:Q672,"&amp;"""Sell_""&amp;SUBSTITUTE(Q673,""Sell_"",""""))))/2),ROUNDUP(INDEX(Upgrades!$C$3:$C$13,MATCH(Q673,Upgrades!$B$3:$B$13,0))*1.15^(COUNTIF(Q$4:Q672,Q673)-COUNTIF(Q$4:Q672,""Sell_""&amp;Q673))))))"),"")</f>
        <v/>
      </c>
      <c r="V673" s="10" t="str">
        <f t="shared" si="11"/>
        <v/>
      </c>
      <c r="W673" s="68" t="str">
        <f t="shared" si="12"/>
        <v/>
      </c>
      <c r="X673" s="59" t="str">
        <f t="shared" si="13"/>
        <v/>
      </c>
      <c r="Y673" s="69" t="str">
        <f t="shared" si="14"/>
        <v/>
      </c>
      <c r="Z673" s="11"/>
    </row>
    <row r="674">
      <c r="A674" s="8"/>
      <c r="B674" s="56" t="str">
        <f t="shared" si="2"/>
        <v/>
      </c>
      <c r="C674" s="105"/>
      <c r="D674" s="10"/>
      <c r="E674" s="59" t="str">
        <f t="array" ref="E674">IF(COUNTA(C674:C1673)=0,"",SUM((COUNTIF(C$4:C674,Upgrades!$B$3:$B$13)-COUNTIF(C$4:C674,"Sell_"&amp;Upgrades!$B$3:$B$13))*Upgrades!$D$3:$D$13))</f>
        <v/>
      </c>
      <c r="F674" s="66" t="str">
        <f>IFERROR(__xludf.DUMMYFUNCTION("IF(COUNTA(C674:C1673)=0,"""",IF(REGEXMATCH(INDEX(FILTER(C$4:C674,C$4:C674&lt;&gt;""""),ROWS(FILTER(C$4:C674,C$4:C674&lt;&gt;""""))),""^Sell_""),INDEX(FILTER(F$4:F673,C$4:C673&lt;&gt;""""),ROWS(FILTER(C$4:C673,C$4:C673&lt;&gt;""""))),$AC$5+E674))"),"")</f>
        <v/>
      </c>
      <c r="G674" s="10" t="str">
        <f>IFERROR(__xludf.DUMMYFUNCTION("IF(COUNTA(C674:C1673)=0,"""",IF(C674="""",0,IF(REGEXMATCH(C674,""^Sell_""),-ROUNDDOWN(ROUNDUP(INDEX(Upgrades!$C$3:$C$13,MATCH(SUBSTITUTE(C674,""Sell_"",""""),Upgrades!$B$3:$B$13,0))*1.15^(COUNTIF(C$4:C673,SUBSTITUTE(C674,""Sell_"",""""))-COUNTIF(C$4:C673,"&amp;"""Sell_""&amp;SUBSTITUTE(C674,""Sell_"",""""))))/2),ROUNDUP(INDEX(Upgrades!$C$3:$C$13,MATCH(C674,Upgrades!$B$3:$B$13,0))*1.15^(COUNTIF(C$4:C673,C674)-COUNTIF(C$4:C673,""Sell_""&amp;C674))))))"),"")</f>
        <v/>
      </c>
      <c r="H674" s="10" t="str">
        <f t="shared" si="3"/>
        <v/>
      </c>
      <c r="I674" s="68" t="str">
        <f t="shared" si="4"/>
        <v/>
      </c>
      <c r="J674" s="59" t="str">
        <f t="shared" si="5"/>
        <v/>
      </c>
      <c r="K674" s="69" t="str">
        <f t="shared" si="6"/>
        <v/>
      </c>
      <c r="L674" s="60" t="str">
        <f t="shared" si="7"/>
        <v/>
      </c>
      <c r="M674" s="61" t="str">
        <f>IFERROR(__xludf.DUMMYFUNCTION("IFS(AND(COUNTA(C674:C1673)=0,COUNTA(Q674:Q1673)=0),"""",OR(AND(K674&gt;=1000000000,OR(Y674&gt;=1000000000,COUNTA(Q674:Q1673)=0)),OR(Y674&gt;=1000000000,AND(COUNTA(C674:C1673)=0,P$3=TRUE))),
ROUNDDOWN((AB$1-AC$1)*MAX(INDEX(T$4:T1673,MATCH(LARGE(FILTER(Y$4:Y1673,Y$4"&amp;":Y1673&lt;1000000000),1),Y$4:Y1673)),INDEX(F$4:F1673,MATCH(LARGE(FILTER(K$4:K1673,K$4:K1673&lt;1000000000),1),K$4:K1673)))),AND(K674&lt;1000000000,COUNTA(C674:C1673)&gt;0,P$3=FALSE),
ROUNDDOWN(INDEX(Y$4:Y1673,MATCH(LARGE(FILTER(W$4:W1673,W$4:W1673&lt;=I674),1),W$4:W1673"&amp;"))+(I674-LARGE(FILTER(W$4:W1673,W$4:W1673&lt;=I674),1))*INDEX(T$4:T1673,MATCH(LARGE(FILTER(W$4:W1673,W$4:W1673&lt;=I674),1),W$4:W1673))-K674),1,
ROUNDDOWN(Y674-INDEX(K$4:K1673,MATCH(LARGE(FILTER(I$4:I1673,I$4:I1673&lt;=W674),1),I$4:I1673))-(W674-LARGE(FILTER(I$4:I"&amp;"1673,I$4:I1673&lt;=W674),1))*INDEX(F$4:F1673,MATCH(LARGE(FILTER(I$4:I1673,I$4:I1673&lt;=W674),1),I$4:I1673))))"),"")</f>
        <v/>
      </c>
      <c r="N674" s="60" t="str">
        <f t="shared" si="8"/>
        <v/>
      </c>
      <c r="O674" s="61" t="str">
        <f t="shared" si="9"/>
        <v/>
      </c>
      <c r="P674" s="56" t="str">
        <f t="shared" si="10"/>
        <v/>
      </c>
      <c r="Q674" s="105"/>
      <c r="R674" s="10"/>
      <c r="S674" s="59" t="str">
        <f t="array" ref="S674">IF(COUNTA(Q674:Q1673)=0,"",SUM((COUNTIF(Q$4:Q674,Upgrades!$B$3:$B$13)-COUNTIF(Q$4:Q674,"Sell_"&amp;Upgrades!$B$3:$B$13))*Upgrades!$D$3:$D$13))</f>
        <v/>
      </c>
      <c r="T674" s="66" t="str">
        <f>IFERROR(__xludf.DUMMYFUNCTION("IF(COUNTA(Q674:Q1673)=0,"""",IF(REGEXMATCH(INDEX(FILTER(Q$4:Q674,Q$4:Q674&lt;&gt;""""),ROWS(FILTER(Q$4:Q674,Q$4:Q674&lt;&gt;""""))),""^Sell_""),INDEX(FILTER(T$4:T673,Q$4:Q673&lt;&gt;""""),ROWS(FILTER(Q$4:Q673,Q$4:Q673&lt;&gt;""""))),$AD$5+S674))"),"")</f>
        <v/>
      </c>
      <c r="U674" s="10" t="str">
        <f>IFERROR(__xludf.DUMMYFUNCTION("IF(COUNTA(Q674:Q1673)=0,"""",IF(Q674="""",0,IF(REGEXMATCH(Q674,""^Sell_""),-ROUNDDOWN(ROUNDUP(INDEX(Upgrades!$C$3:$C$13,MATCH(SUBSTITUTE(Q674,""Sell_"",""""),Upgrades!$B$3:$B$13,0))*1.15^(COUNTIF(Q$4:Q673,SUBSTITUTE(Q674,""Sell_"",""""))-COUNTIF(Q$4:Q673,"&amp;"""Sell_""&amp;SUBSTITUTE(Q674,""Sell_"",""""))))/2),ROUNDUP(INDEX(Upgrades!$C$3:$C$13,MATCH(Q674,Upgrades!$B$3:$B$13,0))*1.15^(COUNTIF(Q$4:Q673,Q674)-COUNTIF(Q$4:Q673,""Sell_""&amp;Q674))))))"),"")</f>
        <v/>
      </c>
      <c r="V674" s="10" t="str">
        <f t="shared" si="11"/>
        <v/>
      </c>
      <c r="W674" s="68" t="str">
        <f t="shared" si="12"/>
        <v/>
      </c>
      <c r="X674" s="59" t="str">
        <f t="shared" si="13"/>
        <v/>
      </c>
      <c r="Y674" s="69" t="str">
        <f t="shared" si="14"/>
        <v/>
      </c>
      <c r="Z674" s="11"/>
    </row>
    <row r="675">
      <c r="A675" s="8"/>
      <c r="B675" s="56" t="str">
        <f t="shared" si="2"/>
        <v/>
      </c>
      <c r="C675" s="105"/>
      <c r="D675" s="10"/>
      <c r="E675" s="59" t="str">
        <f t="array" ref="E675">IF(COUNTA(C675:C1673)=0,"",SUM((COUNTIF(C$4:C675,Upgrades!$B$3:$B$13)-COUNTIF(C$4:C675,"Sell_"&amp;Upgrades!$B$3:$B$13))*Upgrades!$D$3:$D$13))</f>
        <v/>
      </c>
      <c r="F675" s="66" t="str">
        <f>IFERROR(__xludf.DUMMYFUNCTION("IF(COUNTA(C675:C1673)=0,"""",IF(REGEXMATCH(INDEX(FILTER(C$4:C675,C$4:C675&lt;&gt;""""),ROWS(FILTER(C$4:C675,C$4:C675&lt;&gt;""""))),""^Sell_""),INDEX(FILTER(F$4:F674,C$4:C674&lt;&gt;""""),ROWS(FILTER(C$4:C674,C$4:C674&lt;&gt;""""))),$AC$5+E675))"),"")</f>
        <v/>
      </c>
      <c r="G675" s="10" t="str">
        <f>IFERROR(__xludf.DUMMYFUNCTION("IF(COUNTA(C675:C1673)=0,"""",IF(C675="""",0,IF(REGEXMATCH(C675,""^Sell_""),-ROUNDDOWN(ROUNDUP(INDEX(Upgrades!$C$3:$C$13,MATCH(SUBSTITUTE(C675,""Sell_"",""""),Upgrades!$B$3:$B$13,0))*1.15^(COUNTIF(C$4:C674,SUBSTITUTE(C675,""Sell_"",""""))-COUNTIF(C$4:C674,"&amp;"""Sell_""&amp;SUBSTITUTE(C675,""Sell_"",""""))))/2),ROUNDUP(INDEX(Upgrades!$C$3:$C$13,MATCH(C675,Upgrades!$B$3:$B$13,0))*1.15^(COUNTIF(C$4:C674,C675)-COUNTIF(C$4:C674,""Sell_""&amp;C675))))))"),"")</f>
        <v/>
      </c>
      <c r="H675" s="10" t="str">
        <f t="shared" si="3"/>
        <v/>
      </c>
      <c r="I675" s="68" t="str">
        <f t="shared" si="4"/>
        <v/>
      </c>
      <c r="J675" s="59" t="str">
        <f t="shared" si="5"/>
        <v/>
      </c>
      <c r="K675" s="69" t="str">
        <f t="shared" si="6"/>
        <v/>
      </c>
      <c r="L675" s="60" t="str">
        <f t="shared" si="7"/>
        <v/>
      </c>
      <c r="M675" s="61" t="str">
        <f>IFERROR(__xludf.DUMMYFUNCTION("IFS(AND(COUNTA(C675:C1673)=0,COUNTA(Q675:Q1673)=0),"""",OR(AND(K675&gt;=1000000000,OR(Y675&gt;=1000000000,COUNTA(Q675:Q1673)=0)),OR(Y675&gt;=1000000000,AND(COUNTA(C675:C1673)=0,P$3=TRUE))),
ROUNDDOWN((AB$1-AC$1)*MAX(INDEX(T$4:T1673,MATCH(LARGE(FILTER(Y$4:Y1673,Y$4"&amp;":Y1673&lt;1000000000),1),Y$4:Y1673)),INDEX(F$4:F1673,MATCH(LARGE(FILTER(K$4:K1673,K$4:K1673&lt;1000000000),1),K$4:K1673)))),AND(K675&lt;1000000000,COUNTA(C675:C1673)&gt;0,P$3=FALSE),
ROUNDDOWN(INDEX(Y$4:Y1673,MATCH(LARGE(FILTER(W$4:W1673,W$4:W1673&lt;=I675),1),W$4:W1673"&amp;"))+(I675-LARGE(FILTER(W$4:W1673,W$4:W1673&lt;=I675),1))*INDEX(T$4:T1673,MATCH(LARGE(FILTER(W$4:W1673,W$4:W1673&lt;=I675),1),W$4:W1673))-K675),1,
ROUNDDOWN(Y675-INDEX(K$4:K1673,MATCH(LARGE(FILTER(I$4:I1673,I$4:I1673&lt;=W675),1),I$4:I1673))-(W675-LARGE(FILTER(I$4:I"&amp;"1673,I$4:I1673&lt;=W675),1))*INDEX(F$4:F1673,MATCH(LARGE(FILTER(I$4:I1673,I$4:I1673&lt;=W675),1),I$4:I1673))))"),"")</f>
        <v/>
      </c>
      <c r="N675" s="60" t="str">
        <f t="shared" si="8"/>
        <v/>
      </c>
      <c r="O675" s="61" t="str">
        <f t="shared" si="9"/>
        <v/>
      </c>
      <c r="P675" s="56" t="str">
        <f t="shared" si="10"/>
        <v/>
      </c>
      <c r="Q675" s="105"/>
      <c r="R675" s="10"/>
      <c r="S675" s="59" t="str">
        <f t="array" ref="S675">IF(COUNTA(Q675:Q1673)=0,"",SUM((COUNTIF(Q$4:Q675,Upgrades!$B$3:$B$13)-COUNTIF(Q$4:Q675,"Sell_"&amp;Upgrades!$B$3:$B$13))*Upgrades!$D$3:$D$13))</f>
        <v/>
      </c>
      <c r="T675" s="66" t="str">
        <f>IFERROR(__xludf.DUMMYFUNCTION("IF(COUNTA(Q675:Q1673)=0,"""",IF(REGEXMATCH(INDEX(FILTER(Q$4:Q675,Q$4:Q675&lt;&gt;""""),ROWS(FILTER(Q$4:Q675,Q$4:Q675&lt;&gt;""""))),""^Sell_""),INDEX(FILTER(T$4:T674,Q$4:Q674&lt;&gt;""""),ROWS(FILTER(Q$4:Q674,Q$4:Q674&lt;&gt;""""))),$AD$5+S675))"),"")</f>
        <v/>
      </c>
      <c r="U675" s="10" t="str">
        <f>IFERROR(__xludf.DUMMYFUNCTION("IF(COUNTA(Q675:Q1673)=0,"""",IF(Q675="""",0,IF(REGEXMATCH(Q675,""^Sell_""),-ROUNDDOWN(ROUNDUP(INDEX(Upgrades!$C$3:$C$13,MATCH(SUBSTITUTE(Q675,""Sell_"",""""),Upgrades!$B$3:$B$13,0))*1.15^(COUNTIF(Q$4:Q674,SUBSTITUTE(Q675,""Sell_"",""""))-COUNTIF(Q$4:Q674,"&amp;"""Sell_""&amp;SUBSTITUTE(Q675,""Sell_"",""""))))/2),ROUNDUP(INDEX(Upgrades!$C$3:$C$13,MATCH(Q675,Upgrades!$B$3:$B$13,0))*1.15^(COUNTIF(Q$4:Q674,Q675)-COUNTIF(Q$4:Q674,""Sell_""&amp;Q675))))))"),"")</f>
        <v/>
      </c>
      <c r="V675" s="10" t="str">
        <f t="shared" si="11"/>
        <v/>
      </c>
      <c r="W675" s="68" t="str">
        <f t="shared" si="12"/>
        <v/>
      </c>
      <c r="X675" s="59" t="str">
        <f t="shared" si="13"/>
        <v/>
      </c>
      <c r="Y675" s="69" t="str">
        <f t="shared" si="14"/>
        <v/>
      </c>
      <c r="Z675" s="11"/>
    </row>
    <row r="676">
      <c r="A676" s="8"/>
      <c r="B676" s="56" t="str">
        <f t="shared" si="2"/>
        <v/>
      </c>
      <c r="C676" s="105"/>
      <c r="D676" s="10"/>
      <c r="E676" s="59" t="str">
        <f t="array" ref="E676">IF(COUNTA(C676:C1673)=0,"",SUM((COUNTIF(C$4:C676,Upgrades!$B$3:$B$13)-COUNTIF(C$4:C676,"Sell_"&amp;Upgrades!$B$3:$B$13))*Upgrades!$D$3:$D$13))</f>
        <v/>
      </c>
      <c r="F676" s="66" t="str">
        <f>IFERROR(__xludf.DUMMYFUNCTION("IF(COUNTA(C676:C1673)=0,"""",IF(REGEXMATCH(INDEX(FILTER(C$4:C676,C$4:C676&lt;&gt;""""),ROWS(FILTER(C$4:C676,C$4:C676&lt;&gt;""""))),""^Sell_""),INDEX(FILTER(F$4:F675,C$4:C675&lt;&gt;""""),ROWS(FILTER(C$4:C675,C$4:C675&lt;&gt;""""))),$AC$5+E676))"),"")</f>
        <v/>
      </c>
      <c r="G676" s="10" t="str">
        <f>IFERROR(__xludf.DUMMYFUNCTION("IF(COUNTA(C676:C1673)=0,"""",IF(C676="""",0,IF(REGEXMATCH(C676,""^Sell_""),-ROUNDDOWN(ROUNDUP(INDEX(Upgrades!$C$3:$C$13,MATCH(SUBSTITUTE(C676,""Sell_"",""""),Upgrades!$B$3:$B$13,0))*1.15^(COUNTIF(C$4:C675,SUBSTITUTE(C676,""Sell_"",""""))-COUNTIF(C$4:C675,"&amp;"""Sell_""&amp;SUBSTITUTE(C676,""Sell_"",""""))))/2),ROUNDUP(INDEX(Upgrades!$C$3:$C$13,MATCH(C676,Upgrades!$B$3:$B$13,0))*1.15^(COUNTIF(C$4:C675,C676)-COUNTIF(C$4:C675,""Sell_""&amp;C676))))))"),"")</f>
        <v/>
      </c>
      <c r="H676" s="10" t="str">
        <f t="shared" si="3"/>
        <v/>
      </c>
      <c r="I676" s="68" t="str">
        <f t="shared" si="4"/>
        <v/>
      </c>
      <c r="J676" s="59" t="str">
        <f t="shared" si="5"/>
        <v/>
      </c>
      <c r="K676" s="69" t="str">
        <f t="shared" si="6"/>
        <v/>
      </c>
      <c r="L676" s="60" t="str">
        <f t="shared" si="7"/>
        <v/>
      </c>
      <c r="M676" s="61" t="str">
        <f>IFERROR(__xludf.DUMMYFUNCTION("IFS(AND(COUNTA(C676:C1673)=0,COUNTA(Q676:Q1673)=0),"""",OR(AND(K676&gt;=1000000000,OR(Y676&gt;=1000000000,COUNTA(Q676:Q1673)=0)),OR(Y676&gt;=1000000000,AND(COUNTA(C676:C1673)=0,P$3=TRUE))),
ROUNDDOWN((AB$1-AC$1)*MAX(INDEX(T$4:T1673,MATCH(LARGE(FILTER(Y$4:Y1673,Y$4"&amp;":Y1673&lt;1000000000),1),Y$4:Y1673)),INDEX(F$4:F1673,MATCH(LARGE(FILTER(K$4:K1673,K$4:K1673&lt;1000000000),1),K$4:K1673)))),AND(K676&lt;1000000000,COUNTA(C676:C1673)&gt;0,P$3=FALSE),
ROUNDDOWN(INDEX(Y$4:Y1673,MATCH(LARGE(FILTER(W$4:W1673,W$4:W1673&lt;=I676),1),W$4:W1673"&amp;"))+(I676-LARGE(FILTER(W$4:W1673,W$4:W1673&lt;=I676),1))*INDEX(T$4:T1673,MATCH(LARGE(FILTER(W$4:W1673,W$4:W1673&lt;=I676),1),W$4:W1673))-K676),1,
ROUNDDOWN(Y676-INDEX(K$4:K1673,MATCH(LARGE(FILTER(I$4:I1673,I$4:I1673&lt;=W676),1),I$4:I1673))-(W676-LARGE(FILTER(I$4:I"&amp;"1673,I$4:I1673&lt;=W676),1))*INDEX(F$4:F1673,MATCH(LARGE(FILTER(I$4:I1673,I$4:I1673&lt;=W676),1),I$4:I1673))))"),"")</f>
        <v/>
      </c>
      <c r="N676" s="60" t="str">
        <f t="shared" si="8"/>
        <v/>
      </c>
      <c r="O676" s="61" t="str">
        <f t="shared" si="9"/>
        <v/>
      </c>
      <c r="P676" s="56" t="str">
        <f t="shared" si="10"/>
        <v/>
      </c>
      <c r="Q676" s="105"/>
      <c r="R676" s="10"/>
      <c r="S676" s="59" t="str">
        <f t="array" ref="S676">IF(COUNTA(Q676:Q1673)=0,"",SUM((COUNTIF(Q$4:Q676,Upgrades!$B$3:$B$13)-COUNTIF(Q$4:Q676,"Sell_"&amp;Upgrades!$B$3:$B$13))*Upgrades!$D$3:$D$13))</f>
        <v/>
      </c>
      <c r="T676" s="66" t="str">
        <f>IFERROR(__xludf.DUMMYFUNCTION("IF(COUNTA(Q676:Q1673)=0,"""",IF(REGEXMATCH(INDEX(FILTER(Q$4:Q676,Q$4:Q676&lt;&gt;""""),ROWS(FILTER(Q$4:Q676,Q$4:Q676&lt;&gt;""""))),""^Sell_""),INDEX(FILTER(T$4:T675,Q$4:Q675&lt;&gt;""""),ROWS(FILTER(Q$4:Q675,Q$4:Q675&lt;&gt;""""))),$AD$5+S676))"),"")</f>
        <v/>
      </c>
      <c r="U676" s="10" t="str">
        <f>IFERROR(__xludf.DUMMYFUNCTION("IF(COUNTA(Q676:Q1673)=0,"""",IF(Q676="""",0,IF(REGEXMATCH(Q676,""^Sell_""),-ROUNDDOWN(ROUNDUP(INDEX(Upgrades!$C$3:$C$13,MATCH(SUBSTITUTE(Q676,""Sell_"",""""),Upgrades!$B$3:$B$13,0))*1.15^(COUNTIF(Q$4:Q675,SUBSTITUTE(Q676,""Sell_"",""""))-COUNTIF(Q$4:Q675,"&amp;"""Sell_""&amp;SUBSTITUTE(Q676,""Sell_"",""""))))/2),ROUNDUP(INDEX(Upgrades!$C$3:$C$13,MATCH(Q676,Upgrades!$B$3:$B$13,0))*1.15^(COUNTIF(Q$4:Q675,Q676)-COUNTIF(Q$4:Q675,""Sell_""&amp;Q676))))))"),"")</f>
        <v/>
      </c>
      <c r="V676" s="10" t="str">
        <f t="shared" si="11"/>
        <v/>
      </c>
      <c r="W676" s="68" t="str">
        <f t="shared" si="12"/>
        <v/>
      </c>
      <c r="X676" s="59" t="str">
        <f t="shared" si="13"/>
        <v/>
      </c>
      <c r="Y676" s="69" t="str">
        <f t="shared" si="14"/>
        <v/>
      </c>
      <c r="Z676" s="11"/>
    </row>
    <row r="677">
      <c r="A677" s="8"/>
      <c r="B677" s="56" t="str">
        <f t="shared" si="2"/>
        <v/>
      </c>
      <c r="C677" s="105"/>
      <c r="D677" s="10"/>
      <c r="E677" s="59" t="str">
        <f t="array" ref="E677">IF(COUNTA(C677:C1673)=0,"",SUM((COUNTIF(C$4:C677,Upgrades!$B$3:$B$13)-COUNTIF(C$4:C677,"Sell_"&amp;Upgrades!$B$3:$B$13))*Upgrades!$D$3:$D$13))</f>
        <v/>
      </c>
      <c r="F677" s="66" t="str">
        <f>IFERROR(__xludf.DUMMYFUNCTION("IF(COUNTA(C677:C1673)=0,"""",IF(REGEXMATCH(INDEX(FILTER(C$4:C677,C$4:C677&lt;&gt;""""),ROWS(FILTER(C$4:C677,C$4:C677&lt;&gt;""""))),""^Sell_""),INDEX(FILTER(F$4:F676,C$4:C676&lt;&gt;""""),ROWS(FILTER(C$4:C676,C$4:C676&lt;&gt;""""))),$AC$5+E677))"),"")</f>
        <v/>
      </c>
      <c r="G677" s="10" t="str">
        <f>IFERROR(__xludf.DUMMYFUNCTION("IF(COUNTA(C677:C1673)=0,"""",IF(C677="""",0,IF(REGEXMATCH(C677,""^Sell_""),-ROUNDDOWN(ROUNDUP(INDEX(Upgrades!$C$3:$C$13,MATCH(SUBSTITUTE(C677,""Sell_"",""""),Upgrades!$B$3:$B$13,0))*1.15^(COUNTIF(C$4:C676,SUBSTITUTE(C677,""Sell_"",""""))-COUNTIF(C$4:C676,"&amp;"""Sell_""&amp;SUBSTITUTE(C677,""Sell_"",""""))))/2),ROUNDUP(INDEX(Upgrades!$C$3:$C$13,MATCH(C677,Upgrades!$B$3:$B$13,0))*1.15^(COUNTIF(C$4:C676,C677)-COUNTIF(C$4:C676,""Sell_""&amp;C677))))))"),"")</f>
        <v/>
      </c>
      <c r="H677" s="10" t="str">
        <f t="shared" si="3"/>
        <v/>
      </c>
      <c r="I677" s="68" t="str">
        <f t="shared" si="4"/>
        <v/>
      </c>
      <c r="J677" s="59" t="str">
        <f t="shared" si="5"/>
        <v/>
      </c>
      <c r="K677" s="69" t="str">
        <f t="shared" si="6"/>
        <v/>
      </c>
      <c r="L677" s="60" t="str">
        <f t="shared" si="7"/>
        <v/>
      </c>
      <c r="M677" s="61" t="str">
        <f>IFERROR(__xludf.DUMMYFUNCTION("IFS(AND(COUNTA(C677:C1673)=0,COUNTA(Q677:Q1673)=0),"""",OR(AND(K677&gt;=1000000000,OR(Y677&gt;=1000000000,COUNTA(Q677:Q1673)=0)),OR(Y677&gt;=1000000000,AND(COUNTA(C677:C1673)=0,P$3=TRUE))),
ROUNDDOWN((AB$1-AC$1)*MAX(INDEX(T$4:T1673,MATCH(LARGE(FILTER(Y$4:Y1673,Y$4"&amp;":Y1673&lt;1000000000),1),Y$4:Y1673)),INDEX(F$4:F1673,MATCH(LARGE(FILTER(K$4:K1673,K$4:K1673&lt;1000000000),1),K$4:K1673)))),AND(K677&lt;1000000000,COUNTA(C677:C1673)&gt;0,P$3=FALSE),
ROUNDDOWN(INDEX(Y$4:Y1673,MATCH(LARGE(FILTER(W$4:W1673,W$4:W1673&lt;=I677),1),W$4:W1673"&amp;"))+(I677-LARGE(FILTER(W$4:W1673,W$4:W1673&lt;=I677),1))*INDEX(T$4:T1673,MATCH(LARGE(FILTER(W$4:W1673,W$4:W1673&lt;=I677),1),W$4:W1673))-K677),1,
ROUNDDOWN(Y677-INDEX(K$4:K1673,MATCH(LARGE(FILTER(I$4:I1673,I$4:I1673&lt;=W677),1),I$4:I1673))-(W677-LARGE(FILTER(I$4:I"&amp;"1673,I$4:I1673&lt;=W677),1))*INDEX(F$4:F1673,MATCH(LARGE(FILTER(I$4:I1673,I$4:I1673&lt;=W677),1),I$4:I1673))))"),"")</f>
        <v/>
      </c>
      <c r="N677" s="60" t="str">
        <f t="shared" si="8"/>
        <v/>
      </c>
      <c r="O677" s="61" t="str">
        <f t="shared" si="9"/>
        <v/>
      </c>
      <c r="P677" s="56" t="str">
        <f t="shared" si="10"/>
        <v/>
      </c>
      <c r="Q677" s="105"/>
      <c r="R677" s="10"/>
      <c r="S677" s="59" t="str">
        <f t="array" ref="S677">IF(COUNTA(Q677:Q1673)=0,"",SUM((COUNTIF(Q$4:Q677,Upgrades!$B$3:$B$13)-COUNTIF(Q$4:Q677,"Sell_"&amp;Upgrades!$B$3:$B$13))*Upgrades!$D$3:$D$13))</f>
        <v/>
      </c>
      <c r="T677" s="66" t="str">
        <f>IFERROR(__xludf.DUMMYFUNCTION("IF(COUNTA(Q677:Q1673)=0,"""",IF(REGEXMATCH(INDEX(FILTER(Q$4:Q677,Q$4:Q677&lt;&gt;""""),ROWS(FILTER(Q$4:Q677,Q$4:Q677&lt;&gt;""""))),""^Sell_""),INDEX(FILTER(T$4:T676,Q$4:Q676&lt;&gt;""""),ROWS(FILTER(Q$4:Q676,Q$4:Q676&lt;&gt;""""))),$AD$5+S677))"),"")</f>
        <v/>
      </c>
      <c r="U677" s="10" t="str">
        <f>IFERROR(__xludf.DUMMYFUNCTION("IF(COUNTA(Q677:Q1673)=0,"""",IF(Q677="""",0,IF(REGEXMATCH(Q677,""^Sell_""),-ROUNDDOWN(ROUNDUP(INDEX(Upgrades!$C$3:$C$13,MATCH(SUBSTITUTE(Q677,""Sell_"",""""),Upgrades!$B$3:$B$13,0))*1.15^(COUNTIF(Q$4:Q676,SUBSTITUTE(Q677,""Sell_"",""""))-COUNTIF(Q$4:Q676,"&amp;"""Sell_""&amp;SUBSTITUTE(Q677,""Sell_"",""""))))/2),ROUNDUP(INDEX(Upgrades!$C$3:$C$13,MATCH(Q677,Upgrades!$B$3:$B$13,0))*1.15^(COUNTIF(Q$4:Q676,Q677)-COUNTIF(Q$4:Q676,""Sell_""&amp;Q677))))))"),"")</f>
        <v/>
      </c>
      <c r="V677" s="10" t="str">
        <f t="shared" si="11"/>
        <v/>
      </c>
      <c r="W677" s="68" t="str">
        <f t="shared" si="12"/>
        <v/>
      </c>
      <c r="X677" s="59" t="str">
        <f t="shared" si="13"/>
        <v/>
      </c>
      <c r="Y677" s="69" t="str">
        <f t="shared" si="14"/>
        <v/>
      </c>
      <c r="Z677" s="11"/>
    </row>
    <row r="678">
      <c r="A678" s="8"/>
      <c r="B678" s="56" t="str">
        <f t="shared" si="2"/>
        <v/>
      </c>
      <c r="C678" s="105"/>
      <c r="D678" s="10"/>
      <c r="E678" s="59" t="str">
        <f t="array" ref="E678">IF(COUNTA(C678:C1673)=0,"",SUM((COUNTIF(C$4:C678,Upgrades!$B$3:$B$13)-COUNTIF(C$4:C678,"Sell_"&amp;Upgrades!$B$3:$B$13))*Upgrades!$D$3:$D$13))</f>
        <v/>
      </c>
      <c r="F678" s="66" t="str">
        <f>IFERROR(__xludf.DUMMYFUNCTION("IF(COUNTA(C678:C1673)=0,"""",IF(REGEXMATCH(INDEX(FILTER(C$4:C678,C$4:C678&lt;&gt;""""),ROWS(FILTER(C$4:C678,C$4:C678&lt;&gt;""""))),""^Sell_""),INDEX(FILTER(F$4:F677,C$4:C677&lt;&gt;""""),ROWS(FILTER(C$4:C677,C$4:C677&lt;&gt;""""))),$AC$5+E678))"),"")</f>
        <v/>
      </c>
      <c r="G678" s="10" t="str">
        <f>IFERROR(__xludf.DUMMYFUNCTION("IF(COUNTA(C678:C1673)=0,"""",IF(C678="""",0,IF(REGEXMATCH(C678,""^Sell_""),-ROUNDDOWN(ROUNDUP(INDEX(Upgrades!$C$3:$C$13,MATCH(SUBSTITUTE(C678,""Sell_"",""""),Upgrades!$B$3:$B$13,0))*1.15^(COUNTIF(C$4:C677,SUBSTITUTE(C678,""Sell_"",""""))-COUNTIF(C$4:C677,"&amp;"""Sell_""&amp;SUBSTITUTE(C678,""Sell_"",""""))))/2),ROUNDUP(INDEX(Upgrades!$C$3:$C$13,MATCH(C678,Upgrades!$B$3:$B$13,0))*1.15^(COUNTIF(C$4:C677,C678)-COUNTIF(C$4:C677,""Sell_""&amp;C678))))))"),"")</f>
        <v/>
      </c>
      <c r="H678" s="10" t="str">
        <f t="shared" si="3"/>
        <v/>
      </c>
      <c r="I678" s="68" t="str">
        <f t="shared" si="4"/>
        <v/>
      </c>
      <c r="J678" s="59" t="str">
        <f t="shared" si="5"/>
        <v/>
      </c>
      <c r="K678" s="69" t="str">
        <f t="shared" si="6"/>
        <v/>
      </c>
      <c r="L678" s="60" t="str">
        <f t="shared" si="7"/>
        <v/>
      </c>
      <c r="M678" s="61" t="str">
        <f>IFERROR(__xludf.DUMMYFUNCTION("IFS(AND(COUNTA(C678:C1673)=0,COUNTA(Q678:Q1673)=0),"""",OR(AND(K678&gt;=1000000000,OR(Y678&gt;=1000000000,COUNTA(Q678:Q1673)=0)),OR(Y678&gt;=1000000000,AND(COUNTA(C678:C1673)=0,P$3=TRUE))),
ROUNDDOWN((AB$1-AC$1)*MAX(INDEX(T$4:T1673,MATCH(LARGE(FILTER(Y$4:Y1673,Y$4"&amp;":Y1673&lt;1000000000),1),Y$4:Y1673)),INDEX(F$4:F1673,MATCH(LARGE(FILTER(K$4:K1673,K$4:K1673&lt;1000000000),1),K$4:K1673)))),AND(K678&lt;1000000000,COUNTA(C678:C1673)&gt;0,P$3=FALSE),
ROUNDDOWN(INDEX(Y$4:Y1673,MATCH(LARGE(FILTER(W$4:W1673,W$4:W1673&lt;=I678),1),W$4:W1673"&amp;"))+(I678-LARGE(FILTER(W$4:W1673,W$4:W1673&lt;=I678),1))*INDEX(T$4:T1673,MATCH(LARGE(FILTER(W$4:W1673,W$4:W1673&lt;=I678),1),W$4:W1673))-K678),1,
ROUNDDOWN(Y678-INDEX(K$4:K1673,MATCH(LARGE(FILTER(I$4:I1673,I$4:I1673&lt;=W678),1),I$4:I1673))-(W678-LARGE(FILTER(I$4:I"&amp;"1673,I$4:I1673&lt;=W678),1))*INDEX(F$4:F1673,MATCH(LARGE(FILTER(I$4:I1673,I$4:I1673&lt;=W678),1),I$4:I1673))))"),"")</f>
        <v/>
      </c>
      <c r="N678" s="60" t="str">
        <f t="shared" si="8"/>
        <v/>
      </c>
      <c r="O678" s="61" t="str">
        <f t="shared" si="9"/>
        <v/>
      </c>
      <c r="P678" s="56" t="str">
        <f t="shared" si="10"/>
        <v/>
      </c>
      <c r="Q678" s="105"/>
      <c r="R678" s="10"/>
      <c r="S678" s="59" t="str">
        <f t="array" ref="S678">IF(COUNTA(Q678:Q1673)=0,"",SUM((COUNTIF(Q$4:Q678,Upgrades!$B$3:$B$13)-COUNTIF(Q$4:Q678,"Sell_"&amp;Upgrades!$B$3:$B$13))*Upgrades!$D$3:$D$13))</f>
        <v/>
      </c>
      <c r="T678" s="66" t="str">
        <f>IFERROR(__xludf.DUMMYFUNCTION("IF(COUNTA(Q678:Q1673)=0,"""",IF(REGEXMATCH(INDEX(FILTER(Q$4:Q678,Q$4:Q678&lt;&gt;""""),ROWS(FILTER(Q$4:Q678,Q$4:Q678&lt;&gt;""""))),""^Sell_""),INDEX(FILTER(T$4:T677,Q$4:Q677&lt;&gt;""""),ROWS(FILTER(Q$4:Q677,Q$4:Q677&lt;&gt;""""))),$AD$5+S678))"),"")</f>
        <v/>
      </c>
      <c r="U678" s="10" t="str">
        <f>IFERROR(__xludf.DUMMYFUNCTION("IF(COUNTA(Q678:Q1673)=0,"""",IF(Q678="""",0,IF(REGEXMATCH(Q678,""^Sell_""),-ROUNDDOWN(ROUNDUP(INDEX(Upgrades!$C$3:$C$13,MATCH(SUBSTITUTE(Q678,""Sell_"",""""),Upgrades!$B$3:$B$13,0))*1.15^(COUNTIF(Q$4:Q677,SUBSTITUTE(Q678,""Sell_"",""""))-COUNTIF(Q$4:Q677,"&amp;"""Sell_""&amp;SUBSTITUTE(Q678,""Sell_"",""""))))/2),ROUNDUP(INDEX(Upgrades!$C$3:$C$13,MATCH(Q678,Upgrades!$B$3:$B$13,0))*1.15^(COUNTIF(Q$4:Q677,Q678)-COUNTIF(Q$4:Q677,""Sell_""&amp;Q678))))))"),"")</f>
        <v/>
      </c>
      <c r="V678" s="10" t="str">
        <f t="shared" si="11"/>
        <v/>
      </c>
      <c r="W678" s="68" t="str">
        <f t="shared" si="12"/>
        <v/>
      </c>
      <c r="X678" s="59" t="str">
        <f t="shared" si="13"/>
        <v/>
      </c>
      <c r="Y678" s="69" t="str">
        <f t="shared" si="14"/>
        <v/>
      </c>
      <c r="Z678" s="11"/>
    </row>
    <row r="679">
      <c r="A679" s="8"/>
      <c r="B679" s="56" t="str">
        <f t="shared" si="2"/>
        <v/>
      </c>
      <c r="C679" s="105"/>
      <c r="D679" s="10"/>
      <c r="E679" s="59" t="str">
        <f t="array" ref="E679">IF(COUNTA(C679:C1673)=0,"",SUM((COUNTIF(C$4:C679,Upgrades!$B$3:$B$13)-COUNTIF(C$4:C679,"Sell_"&amp;Upgrades!$B$3:$B$13))*Upgrades!$D$3:$D$13))</f>
        <v/>
      </c>
      <c r="F679" s="66" t="str">
        <f>IFERROR(__xludf.DUMMYFUNCTION("IF(COUNTA(C679:C1673)=0,"""",IF(REGEXMATCH(INDEX(FILTER(C$4:C679,C$4:C679&lt;&gt;""""),ROWS(FILTER(C$4:C679,C$4:C679&lt;&gt;""""))),""^Sell_""),INDEX(FILTER(F$4:F678,C$4:C678&lt;&gt;""""),ROWS(FILTER(C$4:C678,C$4:C678&lt;&gt;""""))),$AC$5+E679))"),"")</f>
        <v/>
      </c>
      <c r="G679" s="10" t="str">
        <f>IFERROR(__xludf.DUMMYFUNCTION("IF(COUNTA(C679:C1673)=0,"""",IF(C679="""",0,IF(REGEXMATCH(C679,""^Sell_""),-ROUNDDOWN(ROUNDUP(INDEX(Upgrades!$C$3:$C$13,MATCH(SUBSTITUTE(C679,""Sell_"",""""),Upgrades!$B$3:$B$13,0))*1.15^(COUNTIF(C$4:C678,SUBSTITUTE(C679,""Sell_"",""""))-COUNTIF(C$4:C678,"&amp;"""Sell_""&amp;SUBSTITUTE(C679,""Sell_"",""""))))/2),ROUNDUP(INDEX(Upgrades!$C$3:$C$13,MATCH(C679,Upgrades!$B$3:$B$13,0))*1.15^(COUNTIF(C$4:C678,C679)-COUNTIF(C$4:C678,""Sell_""&amp;C679))))))"),"")</f>
        <v/>
      </c>
      <c r="H679" s="10" t="str">
        <f t="shared" si="3"/>
        <v/>
      </c>
      <c r="I679" s="68" t="str">
        <f t="shared" si="4"/>
        <v/>
      </c>
      <c r="J679" s="59" t="str">
        <f t="shared" si="5"/>
        <v/>
      </c>
      <c r="K679" s="69" t="str">
        <f t="shared" si="6"/>
        <v/>
      </c>
      <c r="L679" s="60" t="str">
        <f t="shared" si="7"/>
        <v/>
      </c>
      <c r="M679" s="61" t="str">
        <f>IFERROR(__xludf.DUMMYFUNCTION("IFS(AND(COUNTA(C679:C1673)=0,COUNTA(Q679:Q1673)=0),"""",OR(AND(K679&gt;=1000000000,OR(Y679&gt;=1000000000,COUNTA(Q679:Q1673)=0)),OR(Y679&gt;=1000000000,AND(COUNTA(C679:C1673)=0,P$3=TRUE))),
ROUNDDOWN((AB$1-AC$1)*MAX(INDEX(T$4:T1673,MATCH(LARGE(FILTER(Y$4:Y1673,Y$4"&amp;":Y1673&lt;1000000000),1),Y$4:Y1673)),INDEX(F$4:F1673,MATCH(LARGE(FILTER(K$4:K1673,K$4:K1673&lt;1000000000),1),K$4:K1673)))),AND(K679&lt;1000000000,COUNTA(C679:C1673)&gt;0,P$3=FALSE),
ROUNDDOWN(INDEX(Y$4:Y1673,MATCH(LARGE(FILTER(W$4:W1673,W$4:W1673&lt;=I679),1),W$4:W1673"&amp;"))+(I679-LARGE(FILTER(W$4:W1673,W$4:W1673&lt;=I679),1))*INDEX(T$4:T1673,MATCH(LARGE(FILTER(W$4:W1673,W$4:W1673&lt;=I679),1),W$4:W1673))-K679),1,
ROUNDDOWN(Y679-INDEX(K$4:K1673,MATCH(LARGE(FILTER(I$4:I1673,I$4:I1673&lt;=W679),1),I$4:I1673))-(W679-LARGE(FILTER(I$4:I"&amp;"1673,I$4:I1673&lt;=W679),1))*INDEX(F$4:F1673,MATCH(LARGE(FILTER(I$4:I1673,I$4:I1673&lt;=W679),1),I$4:I1673))))"),"")</f>
        <v/>
      </c>
      <c r="N679" s="60" t="str">
        <f t="shared" si="8"/>
        <v/>
      </c>
      <c r="O679" s="61" t="str">
        <f t="shared" si="9"/>
        <v/>
      </c>
      <c r="P679" s="56" t="str">
        <f t="shared" si="10"/>
        <v/>
      </c>
      <c r="Q679" s="105"/>
      <c r="R679" s="10"/>
      <c r="S679" s="59" t="str">
        <f t="array" ref="S679">IF(COUNTA(Q679:Q1673)=0,"",SUM((COUNTIF(Q$4:Q679,Upgrades!$B$3:$B$13)-COUNTIF(Q$4:Q679,"Sell_"&amp;Upgrades!$B$3:$B$13))*Upgrades!$D$3:$D$13))</f>
        <v/>
      </c>
      <c r="T679" s="66" t="str">
        <f>IFERROR(__xludf.DUMMYFUNCTION("IF(COUNTA(Q679:Q1673)=0,"""",IF(REGEXMATCH(INDEX(FILTER(Q$4:Q679,Q$4:Q679&lt;&gt;""""),ROWS(FILTER(Q$4:Q679,Q$4:Q679&lt;&gt;""""))),""^Sell_""),INDEX(FILTER(T$4:T678,Q$4:Q678&lt;&gt;""""),ROWS(FILTER(Q$4:Q678,Q$4:Q678&lt;&gt;""""))),$AD$5+S679))"),"")</f>
        <v/>
      </c>
      <c r="U679" s="10" t="str">
        <f>IFERROR(__xludf.DUMMYFUNCTION("IF(COUNTA(Q679:Q1673)=0,"""",IF(Q679="""",0,IF(REGEXMATCH(Q679,""^Sell_""),-ROUNDDOWN(ROUNDUP(INDEX(Upgrades!$C$3:$C$13,MATCH(SUBSTITUTE(Q679,""Sell_"",""""),Upgrades!$B$3:$B$13,0))*1.15^(COUNTIF(Q$4:Q678,SUBSTITUTE(Q679,""Sell_"",""""))-COUNTIF(Q$4:Q678,"&amp;"""Sell_""&amp;SUBSTITUTE(Q679,""Sell_"",""""))))/2),ROUNDUP(INDEX(Upgrades!$C$3:$C$13,MATCH(Q679,Upgrades!$B$3:$B$13,0))*1.15^(COUNTIF(Q$4:Q678,Q679)-COUNTIF(Q$4:Q678,""Sell_""&amp;Q679))))))"),"")</f>
        <v/>
      </c>
      <c r="V679" s="10" t="str">
        <f t="shared" si="11"/>
        <v/>
      </c>
      <c r="W679" s="68" t="str">
        <f t="shared" si="12"/>
        <v/>
      </c>
      <c r="X679" s="59" t="str">
        <f t="shared" si="13"/>
        <v/>
      </c>
      <c r="Y679" s="69" t="str">
        <f t="shared" si="14"/>
        <v/>
      </c>
      <c r="Z679" s="11"/>
    </row>
    <row r="680">
      <c r="A680" s="8"/>
      <c r="B680" s="56" t="str">
        <f t="shared" si="2"/>
        <v/>
      </c>
      <c r="C680" s="105"/>
      <c r="D680" s="10"/>
      <c r="E680" s="59" t="str">
        <f t="array" ref="E680">IF(COUNTA(C680:C1673)=0,"",SUM((COUNTIF(C$4:C680,Upgrades!$B$3:$B$13)-COUNTIF(C$4:C680,"Sell_"&amp;Upgrades!$B$3:$B$13))*Upgrades!$D$3:$D$13))</f>
        <v/>
      </c>
      <c r="F680" s="66" t="str">
        <f>IFERROR(__xludf.DUMMYFUNCTION("IF(COUNTA(C680:C1673)=0,"""",IF(REGEXMATCH(INDEX(FILTER(C$4:C680,C$4:C680&lt;&gt;""""),ROWS(FILTER(C$4:C680,C$4:C680&lt;&gt;""""))),""^Sell_""),INDEX(FILTER(F$4:F679,C$4:C679&lt;&gt;""""),ROWS(FILTER(C$4:C679,C$4:C679&lt;&gt;""""))),$AC$5+E680))"),"")</f>
        <v/>
      </c>
      <c r="G680" s="10" t="str">
        <f>IFERROR(__xludf.DUMMYFUNCTION("IF(COUNTA(C680:C1673)=0,"""",IF(C680="""",0,IF(REGEXMATCH(C680,""^Sell_""),-ROUNDDOWN(ROUNDUP(INDEX(Upgrades!$C$3:$C$13,MATCH(SUBSTITUTE(C680,""Sell_"",""""),Upgrades!$B$3:$B$13,0))*1.15^(COUNTIF(C$4:C679,SUBSTITUTE(C680,""Sell_"",""""))-COUNTIF(C$4:C679,"&amp;"""Sell_""&amp;SUBSTITUTE(C680,""Sell_"",""""))))/2),ROUNDUP(INDEX(Upgrades!$C$3:$C$13,MATCH(C680,Upgrades!$B$3:$B$13,0))*1.15^(COUNTIF(C$4:C679,C680)-COUNTIF(C$4:C679,""Sell_""&amp;C680))))))"),"")</f>
        <v/>
      </c>
      <c r="H680" s="10" t="str">
        <f t="shared" si="3"/>
        <v/>
      </c>
      <c r="I680" s="68" t="str">
        <f t="shared" si="4"/>
        <v/>
      </c>
      <c r="J680" s="59" t="str">
        <f t="shared" si="5"/>
        <v/>
      </c>
      <c r="K680" s="69" t="str">
        <f t="shared" si="6"/>
        <v/>
      </c>
      <c r="L680" s="60" t="str">
        <f t="shared" si="7"/>
        <v/>
      </c>
      <c r="M680" s="61" t="str">
        <f>IFERROR(__xludf.DUMMYFUNCTION("IFS(AND(COUNTA(C680:C1673)=0,COUNTA(Q680:Q1673)=0),"""",OR(AND(K680&gt;=1000000000,OR(Y680&gt;=1000000000,COUNTA(Q680:Q1673)=0)),OR(Y680&gt;=1000000000,AND(COUNTA(C680:C1673)=0,P$3=TRUE))),
ROUNDDOWN((AB$1-AC$1)*MAX(INDEX(T$4:T1673,MATCH(LARGE(FILTER(Y$4:Y1673,Y$4"&amp;":Y1673&lt;1000000000),1),Y$4:Y1673)),INDEX(F$4:F1673,MATCH(LARGE(FILTER(K$4:K1673,K$4:K1673&lt;1000000000),1),K$4:K1673)))),AND(K680&lt;1000000000,COUNTA(C680:C1673)&gt;0,P$3=FALSE),
ROUNDDOWN(INDEX(Y$4:Y1673,MATCH(LARGE(FILTER(W$4:W1673,W$4:W1673&lt;=I680),1),W$4:W1673"&amp;"))+(I680-LARGE(FILTER(W$4:W1673,W$4:W1673&lt;=I680),1))*INDEX(T$4:T1673,MATCH(LARGE(FILTER(W$4:W1673,W$4:W1673&lt;=I680),1),W$4:W1673))-K680),1,
ROUNDDOWN(Y680-INDEX(K$4:K1673,MATCH(LARGE(FILTER(I$4:I1673,I$4:I1673&lt;=W680),1),I$4:I1673))-(W680-LARGE(FILTER(I$4:I"&amp;"1673,I$4:I1673&lt;=W680),1))*INDEX(F$4:F1673,MATCH(LARGE(FILTER(I$4:I1673,I$4:I1673&lt;=W680),1),I$4:I1673))))"),"")</f>
        <v/>
      </c>
      <c r="N680" s="60" t="str">
        <f t="shared" si="8"/>
        <v/>
      </c>
      <c r="O680" s="61" t="str">
        <f t="shared" si="9"/>
        <v/>
      </c>
      <c r="P680" s="56" t="str">
        <f t="shared" si="10"/>
        <v/>
      </c>
      <c r="Q680" s="105"/>
      <c r="R680" s="10"/>
      <c r="S680" s="59" t="str">
        <f t="array" ref="S680">IF(COUNTA(Q680:Q1673)=0,"",SUM((COUNTIF(Q$4:Q680,Upgrades!$B$3:$B$13)-COUNTIF(Q$4:Q680,"Sell_"&amp;Upgrades!$B$3:$B$13))*Upgrades!$D$3:$D$13))</f>
        <v/>
      </c>
      <c r="T680" s="66" t="str">
        <f>IFERROR(__xludf.DUMMYFUNCTION("IF(COUNTA(Q680:Q1673)=0,"""",IF(REGEXMATCH(INDEX(FILTER(Q$4:Q680,Q$4:Q680&lt;&gt;""""),ROWS(FILTER(Q$4:Q680,Q$4:Q680&lt;&gt;""""))),""^Sell_""),INDEX(FILTER(T$4:T679,Q$4:Q679&lt;&gt;""""),ROWS(FILTER(Q$4:Q679,Q$4:Q679&lt;&gt;""""))),$AD$5+S680))"),"")</f>
        <v/>
      </c>
      <c r="U680" s="10" t="str">
        <f>IFERROR(__xludf.DUMMYFUNCTION("IF(COUNTA(Q680:Q1673)=0,"""",IF(Q680="""",0,IF(REGEXMATCH(Q680,""^Sell_""),-ROUNDDOWN(ROUNDUP(INDEX(Upgrades!$C$3:$C$13,MATCH(SUBSTITUTE(Q680,""Sell_"",""""),Upgrades!$B$3:$B$13,0))*1.15^(COUNTIF(Q$4:Q679,SUBSTITUTE(Q680,""Sell_"",""""))-COUNTIF(Q$4:Q679,"&amp;"""Sell_""&amp;SUBSTITUTE(Q680,""Sell_"",""""))))/2),ROUNDUP(INDEX(Upgrades!$C$3:$C$13,MATCH(Q680,Upgrades!$B$3:$B$13,0))*1.15^(COUNTIF(Q$4:Q679,Q680)-COUNTIF(Q$4:Q679,""Sell_""&amp;Q680))))))"),"")</f>
        <v/>
      </c>
      <c r="V680" s="10" t="str">
        <f t="shared" si="11"/>
        <v/>
      </c>
      <c r="W680" s="68" t="str">
        <f t="shared" si="12"/>
        <v/>
      </c>
      <c r="X680" s="59" t="str">
        <f t="shared" si="13"/>
        <v/>
      </c>
      <c r="Y680" s="69" t="str">
        <f t="shared" si="14"/>
        <v/>
      </c>
      <c r="Z680" s="11"/>
    </row>
    <row r="681">
      <c r="A681" s="8"/>
      <c r="B681" s="56" t="str">
        <f t="shared" si="2"/>
        <v/>
      </c>
      <c r="C681" s="105"/>
      <c r="D681" s="10"/>
      <c r="E681" s="59" t="str">
        <f t="array" ref="E681">IF(COUNTA(C681:C1673)=0,"",SUM((COUNTIF(C$4:C681,Upgrades!$B$3:$B$13)-COUNTIF(C$4:C681,"Sell_"&amp;Upgrades!$B$3:$B$13))*Upgrades!$D$3:$D$13))</f>
        <v/>
      </c>
      <c r="F681" s="66" t="str">
        <f>IFERROR(__xludf.DUMMYFUNCTION("IF(COUNTA(C681:C1673)=0,"""",IF(REGEXMATCH(INDEX(FILTER(C$4:C681,C$4:C681&lt;&gt;""""),ROWS(FILTER(C$4:C681,C$4:C681&lt;&gt;""""))),""^Sell_""),INDEX(FILTER(F$4:F680,C$4:C680&lt;&gt;""""),ROWS(FILTER(C$4:C680,C$4:C680&lt;&gt;""""))),$AC$5+E681))"),"")</f>
        <v/>
      </c>
      <c r="G681" s="10" t="str">
        <f>IFERROR(__xludf.DUMMYFUNCTION("IF(COUNTA(C681:C1673)=0,"""",IF(C681="""",0,IF(REGEXMATCH(C681,""^Sell_""),-ROUNDDOWN(ROUNDUP(INDEX(Upgrades!$C$3:$C$13,MATCH(SUBSTITUTE(C681,""Sell_"",""""),Upgrades!$B$3:$B$13,0))*1.15^(COUNTIF(C$4:C680,SUBSTITUTE(C681,""Sell_"",""""))-COUNTIF(C$4:C680,"&amp;"""Sell_""&amp;SUBSTITUTE(C681,""Sell_"",""""))))/2),ROUNDUP(INDEX(Upgrades!$C$3:$C$13,MATCH(C681,Upgrades!$B$3:$B$13,0))*1.15^(COUNTIF(C$4:C680,C681)-COUNTIF(C$4:C680,""Sell_""&amp;C681))))))"),"")</f>
        <v/>
      </c>
      <c r="H681" s="10" t="str">
        <f t="shared" si="3"/>
        <v/>
      </c>
      <c r="I681" s="68" t="str">
        <f t="shared" si="4"/>
        <v/>
      </c>
      <c r="J681" s="59" t="str">
        <f t="shared" si="5"/>
        <v/>
      </c>
      <c r="K681" s="69" t="str">
        <f t="shared" si="6"/>
        <v/>
      </c>
      <c r="L681" s="60" t="str">
        <f t="shared" si="7"/>
        <v/>
      </c>
      <c r="M681" s="61" t="str">
        <f>IFERROR(__xludf.DUMMYFUNCTION("IFS(AND(COUNTA(C681:C1673)=0,COUNTA(Q681:Q1673)=0),"""",OR(AND(K681&gt;=1000000000,OR(Y681&gt;=1000000000,COUNTA(Q681:Q1673)=0)),OR(Y681&gt;=1000000000,AND(COUNTA(C681:C1673)=0,P$3=TRUE))),
ROUNDDOWN((AB$1-AC$1)*MAX(INDEX(T$4:T1673,MATCH(LARGE(FILTER(Y$4:Y1673,Y$4"&amp;":Y1673&lt;1000000000),1),Y$4:Y1673)),INDEX(F$4:F1673,MATCH(LARGE(FILTER(K$4:K1673,K$4:K1673&lt;1000000000),1),K$4:K1673)))),AND(K681&lt;1000000000,COUNTA(C681:C1673)&gt;0,P$3=FALSE),
ROUNDDOWN(INDEX(Y$4:Y1673,MATCH(LARGE(FILTER(W$4:W1673,W$4:W1673&lt;=I681),1),W$4:W1673"&amp;"))+(I681-LARGE(FILTER(W$4:W1673,W$4:W1673&lt;=I681),1))*INDEX(T$4:T1673,MATCH(LARGE(FILTER(W$4:W1673,W$4:W1673&lt;=I681),1),W$4:W1673))-K681),1,
ROUNDDOWN(Y681-INDEX(K$4:K1673,MATCH(LARGE(FILTER(I$4:I1673,I$4:I1673&lt;=W681),1),I$4:I1673))-(W681-LARGE(FILTER(I$4:I"&amp;"1673,I$4:I1673&lt;=W681),1))*INDEX(F$4:F1673,MATCH(LARGE(FILTER(I$4:I1673,I$4:I1673&lt;=W681),1),I$4:I1673))))"),"")</f>
        <v/>
      </c>
      <c r="N681" s="60" t="str">
        <f t="shared" si="8"/>
        <v/>
      </c>
      <c r="O681" s="61" t="str">
        <f t="shared" si="9"/>
        <v/>
      </c>
      <c r="P681" s="56" t="str">
        <f t="shared" si="10"/>
        <v/>
      </c>
      <c r="Q681" s="105"/>
      <c r="R681" s="10"/>
      <c r="S681" s="59" t="str">
        <f t="array" ref="S681">IF(COUNTA(Q681:Q1673)=0,"",SUM((COUNTIF(Q$4:Q681,Upgrades!$B$3:$B$13)-COUNTIF(Q$4:Q681,"Sell_"&amp;Upgrades!$B$3:$B$13))*Upgrades!$D$3:$D$13))</f>
        <v/>
      </c>
      <c r="T681" s="66" t="str">
        <f>IFERROR(__xludf.DUMMYFUNCTION("IF(COUNTA(Q681:Q1673)=0,"""",IF(REGEXMATCH(INDEX(FILTER(Q$4:Q681,Q$4:Q681&lt;&gt;""""),ROWS(FILTER(Q$4:Q681,Q$4:Q681&lt;&gt;""""))),""^Sell_""),INDEX(FILTER(T$4:T680,Q$4:Q680&lt;&gt;""""),ROWS(FILTER(Q$4:Q680,Q$4:Q680&lt;&gt;""""))),$AD$5+S681))"),"")</f>
        <v/>
      </c>
      <c r="U681" s="10" t="str">
        <f>IFERROR(__xludf.DUMMYFUNCTION("IF(COUNTA(Q681:Q1673)=0,"""",IF(Q681="""",0,IF(REGEXMATCH(Q681,""^Sell_""),-ROUNDDOWN(ROUNDUP(INDEX(Upgrades!$C$3:$C$13,MATCH(SUBSTITUTE(Q681,""Sell_"",""""),Upgrades!$B$3:$B$13,0))*1.15^(COUNTIF(Q$4:Q680,SUBSTITUTE(Q681,""Sell_"",""""))-COUNTIF(Q$4:Q680,"&amp;"""Sell_""&amp;SUBSTITUTE(Q681,""Sell_"",""""))))/2),ROUNDUP(INDEX(Upgrades!$C$3:$C$13,MATCH(Q681,Upgrades!$B$3:$B$13,0))*1.15^(COUNTIF(Q$4:Q680,Q681)-COUNTIF(Q$4:Q680,""Sell_""&amp;Q681))))))"),"")</f>
        <v/>
      </c>
      <c r="V681" s="10" t="str">
        <f t="shared" si="11"/>
        <v/>
      </c>
      <c r="W681" s="68" t="str">
        <f t="shared" si="12"/>
        <v/>
      </c>
      <c r="X681" s="59" t="str">
        <f t="shared" si="13"/>
        <v/>
      </c>
      <c r="Y681" s="69" t="str">
        <f t="shared" si="14"/>
        <v/>
      </c>
      <c r="Z681" s="11"/>
    </row>
    <row r="682">
      <c r="A682" s="8"/>
      <c r="B682" s="56" t="str">
        <f t="shared" si="2"/>
        <v/>
      </c>
      <c r="C682" s="105"/>
      <c r="D682" s="10"/>
      <c r="E682" s="59" t="str">
        <f t="array" ref="E682">IF(COUNTA(C682:C1673)=0,"",SUM((COUNTIF(C$4:C682,Upgrades!$B$3:$B$13)-COUNTIF(C$4:C682,"Sell_"&amp;Upgrades!$B$3:$B$13))*Upgrades!$D$3:$D$13))</f>
        <v/>
      </c>
      <c r="F682" s="66" t="str">
        <f>IFERROR(__xludf.DUMMYFUNCTION("IF(COUNTA(C682:C1673)=0,"""",IF(REGEXMATCH(INDEX(FILTER(C$4:C682,C$4:C682&lt;&gt;""""),ROWS(FILTER(C$4:C682,C$4:C682&lt;&gt;""""))),""^Sell_""),INDEX(FILTER(F$4:F681,C$4:C681&lt;&gt;""""),ROWS(FILTER(C$4:C681,C$4:C681&lt;&gt;""""))),$AC$5+E682))"),"")</f>
        <v/>
      </c>
      <c r="G682" s="10" t="str">
        <f>IFERROR(__xludf.DUMMYFUNCTION("IF(COUNTA(C682:C1673)=0,"""",IF(C682="""",0,IF(REGEXMATCH(C682,""^Sell_""),-ROUNDDOWN(ROUNDUP(INDEX(Upgrades!$C$3:$C$13,MATCH(SUBSTITUTE(C682,""Sell_"",""""),Upgrades!$B$3:$B$13,0))*1.15^(COUNTIF(C$4:C681,SUBSTITUTE(C682,""Sell_"",""""))-COUNTIF(C$4:C681,"&amp;"""Sell_""&amp;SUBSTITUTE(C682,""Sell_"",""""))))/2),ROUNDUP(INDEX(Upgrades!$C$3:$C$13,MATCH(C682,Upgrades!$B$3:$B$13,0))*1.15^(COUNTIF(C$4:C681,C682)-COUNTIF(C$4:C681,""Sell_""&amp;C682))))))"),"")</f>
        <v/>
      </c>
      <c r="H682" s="10" t="str">
        <f t="shared" si="3"/>
        <v/>
      </c>
      <c r="I682" s="68" t="str">
        <f t="shared" si="4"/>
        <v/>
      </c>
      <c r="J682" s="59" t="str">
        <f t="shared" si="5"/>
        <v/>
      </c>
      <c r="K682" s="69" t="str">
        <f t="shared" si="6"/>
        <v/>
      </c>
      <c r="L682" s="60" t="str">
        <f t="shared" si="7"/>
        <v/>
      </c>
      <c r="M682" s="61" t="str">
        <f>IFERROR(__xludf.DUMMYFUNCTION("IFS(AND(COUNTA(C682:C1673)=0,COUNTA(Q682:Q1673)=0),"""",OR(AND(K682&gt;=1000000000,OR(Y682&gt;=1000000000,COUNTA(Q682:Q1673)=0)),OR(Y682&gt;=1000000000,AND(COUNTA(C682:C1673)=0,P$3=TRUE))),
ROUNDDOWN((AB$1-AC$1)*MAX(INDEX(T$4:T1673,MATCH(LARGE(FILTER(Y$4:Y1673,Y$4"&amp;":Y1673&lt;1000000000),1),Y$4:Y1673)),INDEX(F$4:F1673,MATCH(LARGE(FILTER(K$4:K1673,K$4:K1673&lt;1000000000),1),K$4:K1673)))),AND(K682&lt;1000000000,COUNTA(C682:C1673)&gt;0,P$3=FALSE),
ROUNDDOWN(INDEX(Y$4:Y1673,MATCH(LARGE(FILTER(W$4:W1673,W$4:W1673&lt;=I682),1),W$4:W1673"&amp;"))+(I682-LARGE(FILTER(W$4:W1673,W$4:W1673&lt;=I682),1))*INDEX(T$4:T1673,MATCH(LARGE(FILTER(W$4:W1673,W$4:W1673&lt;=I682),1),W$4:W1673))-K682),1,
ROUNDDOWN(Y682-INDEX(K$4:K1673,MATCH(LARGE(FILTER(I$4:I1673,I$4:I1673&lt;=W682),1),I$4:I1673))-(W682-LARGE(FILTER(I$4:I"&amp;"1673,I$4:I1673&lt;=W682),1))*INDEX(F$4:F1673,MATCH(LARGE(FILTER(I$4:I1673,I$4:I1673&lt;=W682),1),I$4:I1673))))"),"")</f>
        <v/>
      </c>
      <c r="N682" s="60" t="str">
        <f t="shared" si="8"/>
        <v/>
      </c>
      <c r="O682" s="61" t="str">
        <f t="shared" si="9"/>
        <v/>
      </c>
      <c r="P682" s="56" t="str">
        <f t="shared" si="10"/>
        <v/>
      </c>
      <c r="Q682" s="105"/>
      <c r="R682" s="10"/>
      <c r="S682" s="59" t="str">
        <f t="array" ref="S682">IF(COUNTA(Q682:Q1673)=0,"",SUM((COUNTIF(Q$4:Q682,Upgrades!$B$3:$B$13)-COUNTIF(Q$4:Q682,"Sell_"&amp;Upgrades!$B$3:$B$13))*Upgrades!$D$3:$D$13))</f>
        <v/>
      </c>
      <c r="T682" s="66" t="str">
        <f>IFERROR(__xludf.DUMMYFUNCTION("IF(COUNTA(Q682:Q1673)=0,"""",IF(REGEXMATCH(INDEX(FILTER(Q$4:Q682,Q$4:Q682&lt;&gt;""""),ROWS(FILTER(Q$4:Q682,Q$4:Q682&lt;&gt;""""))),""^Sell_""),INDEX(FILTER(T$4:T681,Q$4:Q681&lt;&gt;""""),ROWS(FILTER(Q$4:Q681,Q$4:Q681&lt;&gt;""""))),$AD$5+S682))"),"")</f>
        <v/>
      </c>
      <c r="U682" s="10" t="str">
        <f>IFERROR(__xludf.DUMMYFUNCTION("IF(COUNTA(Q682:Q1673)=0,"""",IF(Q682="""",0,IF(REGEXMATCH(Q682,""^Sell_""),-ROUNDDOWN(ROUNDUP(INDEX(Upgrades!$C$3:$C$13,MATCH(SUBSTITUTE(Q682,""Sell_"",""""),Upgrades!$B$3:$B$13,0))*1.15^(COUNTIF(Q$4:Q681,SUBSTITUTE(Q682,""Sell_"",""""))-COUNTIF(Q$4:Q681,"&amp;"""Sell_""&amp;SUBSTITUTE(Q682,""Sell_"",""""))))/2),ROUNDUP(INDEX(Upgrades!$C$3:$C$13,MATCH(Q682,Upgrades!$B$3:$B$13,0))*1.15^(COUNTIF(Q$4:Q681,Q682)-COUNTIF(Q$4:Q681,""Sell_""&amp;Q682))))))"),"")</f>
        <v/>
      </c>
      <c r="V682" s="10" t="str">
        <f t="shared" si="11"/>
        <v/>
      </c>
      <c r="W682" s="68" t="str">
        <f t="shared" si="12"/>
        <v/>
      </c>
      <c r="X682" s="59" t="str">
        <f t="shared" si="13"/>
        <v/>
      </c>
      <c r="Y682" s="69" t="str">
        <f t="shared" si="14"/>
        <v/>
      </c>
      <c r="Z682" s="11"/>
    </row>
    <row r="683">
      <c r="A683" s="8"/>
      <c r="B683" s="56" t="str">
        <f t="shared" si="2"/>
        <v/>
      </c>
      <c r="C683" s="105"/>
      <c r="D683" s="10"/>
      <c r="E683" s="59" t="str">
        <f t="array" ref="E683">IF(COUNTA(C683:C1673)=0,"",SUM((COUNTIF(C$4:C683,Upgrades!$B$3:$B$13)-COUNTIF(C$4:C683,"Sell_"&amp;Upgrades!$B$3:$B$13))*Upgrades!$D$3:$D$13))</f>
        <v/>
      </c>
      <c r="F683" s="66" t="str">
        <f>IFERROR(__xludf.DUMMYFUNCTION("IF(COUNTA(C683:C1673)=0,"""",IF(REGEXMATCH(INDEX(FILTER(C$4:C683,C$4:C683&lt;&gt;""""),ROWS(FILTER(C$4:C683,C$4:C683&lt;&gt;""""))),""^Sell_""),INDEX(FILTER(F$4:F682,C$4:C682&lt;&gt;""""),ROWS(FILTER(C$4:C682,C$4:C682&lt;&gt;""""))),$AC$5+E683))"),"")</f>
        <v/>
      </c>
      <c r="G683" s="10" t="str">
        <f>IFERROR(__xludf.DUMMYFUNCTION("IF(COUNTA(C683:C1673)=0,"""",IF(C683="""",0,IF(REGEXMATCH(C683,""^Sell_""),-ROUNDDOWN(ROUNDUP(INDEX(Upgrades!$C$3:$C$13,MATCH(SUBSTITUTE(C683,""Sell_"",""""),Upgrades!$B$3:$B$13,0))*1.15^(COUNTIF(C$4:C682,SUBSTITUTE(C683,""Sell_"",""""))-COUNTIF(C$4:C682,"&amp;"""Sell_""&amp;SUBSTITUTE(C683,""Sell_"",""""))))/2),ROUNDUP(INDEX(Upgrades!$C$3:$C$13,MATCH(C683,Upgrades!$B$3:$B$13,0))*1.15^(COUNTIF(C$4:C682,C683)-COUNTIF(C$4:C682,""Sell_""&amp;C683))))))"),"")</f>
        <v/>
      </c>
      <c r="H683" s="10" t="str">
        <f t="shared" si="3"/>
        <v/>
      </c>
      <c r="I683" s="68" t="str">
        <f t="shared" si="4"/>
        <v/>
      </c>
      <c r="J683" s="59" t="str">
        <f t="shared" si="5"/>
        <v/>
      </c>
      <c r="K683" s="69" t="str">
        <f t="shared" si="6"/>
        <v/>
      </c>
      <c r="L683" s="60" t="str">
        <f t="shared" si="7"/>
        <v/>
      </c>
      <c r="M683" s="61" t="str">
        <f>IFERROR(__xludf.DUMMYFUNCTION("IFS(AND(COUNTA(C683:C1673)=0,COUNTA(Q683:Q1673)=0),"""",OR(AND(K683&gt;=1000000000,OR(Y683&gt;=1000000000,COUNTA(Q683:Q1673)=0)),OR(Y683&gt;=1000000000,AND(COUNTA(C683:C1673)=0,P$3=TRUE))),
ROUNDDOWN((AB$1-AC$1)*MAX(INDEX(T$4:T1673,MATCH(LARGE(FILTER(Y$4:Y1673,Y$4"&amp;":Y1673&lt;1000000000),1),Y$4:Y1673)),INDEX(F$4:F1673,MATCH(LARGE(FILTER(K$4:K1673,K$4:K1673&lt;1000000000),1),K$4:K1673)))),AND(K683&lt;1000000000,COUNTA(C683:C1673)&gt;0,P$3=FALSE),
ROUNDDOWN(INDEX(Y$4:Y1673,MATCH(LARGE(FILTER(W$4:W1673,W$4:W1673&lt;=I683),1),W$4:W1673"&amp;"))+(I683-LARGE(FILTER(W$4:W1673,W$4:W1673&lt;=I683),1))*INDEX(T$4:T1673,MATCH(LARGE(FILTER(W$4:W1673,W$4:W1673&lt;=I683),1),W$4:W1673))-K683),1,
ROUNDDOWN(Y683-INDEX(K$4:K1673,MATCH(LARGE(FILTER(I$4:I1673,I$4:I1673&lt;=W683),1),I$4:I1673))-(W683-LARGE(FILTER(I$4:I"&amp;"1673,I$4:I1673&lt;=W683),1))*INDEX(F$4:F1673,MATCH(LARGE(FILTER(I$4:I1673,I$4:I1673&lt;=W683),1),I$4:I1673))))"),"")</f>
        <v/>
      </c>
      <c r="N683" s="60" t="str">
        <f t="shared" si="8"/>
        <v/>
      </c>
      <c r="O683" s="61" t="str">
        <f t="shared" si="9"/>
        <v/>
      </c>
      <c r="P683" s="56" t="str">
        <f t="shared" si="10"/>
        <v/>
      </c>
      <c r="Q683" s="105"/>
      <c r="R683" s="10"/>
      <c r="S683" s="59" t="str">
        <f t="array" ref="S683">IF(COUNTA(Q683:Q1673)=0,"",SUM((COUNTIF(Q$4:Q683,Upgrades!$B$3:$B$13)-COUNTIF(Q$4:Q683,"Sell_"&amp;Upgrades!$B$3:$B$13))*Upgrades!$D$3:$D$13))</f>
        <v/>
      </c>
      <c r="T683" s="66" t="str">
        <f>IFERROR(__xludf.DUMMYFUNCTION("IF(COUNTA(Q683:Q1673)=0,"""",IF(REGEXMATCH(INDEX(FILTER(Q$4:Q683,Q$4:Q683&lt;&gt;""""),ROWS(FILTER(Q$4:Q683,Q$4:Q683&lt;&gt;""""))),""^Sell_""),INDEX(FILTER(T$4:T682,Q$4:Q682&lt;&gt;""""),ROWS(FILTER(Q$4:Q682,Q$4:Q682&lt;&gt;""""))),$AD$5+S683))"),"")</f>
        <v/>
      </c>
      <c r="U683" s="10" t="str">
        <f>IFERROR(__xludf.DUMMYFUNCTION("IF(COUNTA(Q683:Q1673)=0,"""",IF(Q683="""",0,IF(REGEXMATCH(Q683,""^Sell_""),-ROUNDDOWN(ROUNDUP(INDEX(Upgrades!$C$3:$C$13,MATCH(SUBSTITUTE(Q683,""Sell_"",""""),Upgrades!$B$3:$B$13,0))*1.15^(COUNTIF(Q$4:Q682,SUBSTITUTE(Q683,""Sell_"",""""))-COUNTIF(Q$4:Q682,"&amp;"""Sell_""&amp;SUBSTITUTE(Q683,""Sell_"",""""))))/2),ROUNDUP(INDEX(Upgrades!$C$3:$C$13,MATCH(Q683,Upgrades!$B$3:$B$13,0))*1.15^(COUNTIF(Q$4:Q682,Q683)-COUNTIF(Q$4:Q682,""Sell_""&amp;Q683))))))"),"")</f>
        <v/>
      </c>
      <c r="V683" s="10" t="str">
        <f t="shared" si="11"/>
        <v/>
      </c>
      <c r="W683" s="68" t="str">
        <f t="shared" si="12"/>
        <v/>
      </c>
      <c r="X683" s="59" t="str">
        <f t="shared" si="13"/>
        <v/>
      </c>
      <c r="Y683" s="69" t="str">
        <f t="shared" si="14"/>
        <v/>
      </c>
      <c r="Z683" s="11"/>
    </row>
    <row r="684">
      <c r="A684" s="8"/>
      <c r="B684" s="56" t="str">
        <f t="shared" si="2"/>
        <v/>
      </c>
      <c r="C684" s="105"/>
      <c r="D684" s="10"/>
      <c r="E684" s="59" t="str">
        <f t="array" ref="E684">IF(COUNTA(C684:C1673)=0,"",SUM((COUNTIF(C$4:C684,Upgrades!$B$3:$B$13)-COUNTIF(C$4:C684,"Sell_"&amp;Upgrades!$B$3:$B$13))*Upgrades!$D$3:$D$13))</f>
        <v/>
      </c>
      <c r="F684" s="66" t="str">
        <f>IFERROR(__xludf.DUMMYFUNCTION("IF(COUNTA(C684:C1673)=0,"""",IF(REGEXMATCH(INDEX(FILTER(C$4:C684,C$4:C684&lt;&gt;""""),ROWS(FILTER(C$4:C684,C$4:C684&lt;&gt;""""))),""^Sell_""),INDEX(FILTER(F$4:F683,C$4:C683&lt;&gt;""""),ROWS(FILTER(C$4:C683,C$4:C683&lt;&gt;""""))),$AC$5+E684))"),"")</f>
        <v/>
      </c>
      <c r="G684" s="10" t="str">
        <f>IFERROR(__xludf.DUMMYFUNCTION("IF(COUNTA(C684:C1673)=0,"""",IF(C684="""",0,IF(REGEXMATCH(C684,""^Sell_""),-ROUNDDOWN(ROUNDUP(INDEX(Upgrades!$C$3:$C$13,MATCH(SUBSTITUTE(C684,""Sell_"",""""),Upgrades!$B$3:$B$13,0))*1.15^(COUNTIF(C$4:C683,SUBSTITUTE(C684,""Sell_"",""""))-COUNTIF(C$4:C683,"&amp;"""Sell_""&amp;SUBSTITUTE(C684,""Sell_"",""""))))/2),ROUNDUP(INDEX(Upgrades!$C$3:$C$13,MATCH(C684,Upgrades!$B$3:$B$13,0))*1.15^(COUNTIF(C$4:C683,C684)-COUNTIF(C$4:C683,""Sell_""&amp;C684))))))"),"")</f>
        <v/>
      </c>
      <c r="H684" s="10" t="str">
        <f t="shared" si="3"/>
        <v/>
      </c>
      <c r="I684" s="68" t="str">
        <f t="shared" si="4"/>
        <v/>
      </c>
      <c r="J684" s="59" t="str">
        <f t="shared" si="5"/>
        <v/>
      </c>
      <c r="K684" s="69" t="str">
        <f t="shared" si="6"/>
        <v/>
      </c>
      <c r="L684" s="60" t="str">
        <f t="shared" si="7"/>
        <v/>
      </c>
      <c r="M684" s="61" t="str">
        <f>IFERROR(__xludf.DUMMYFUNCTION("IFS(AND(COUNTA(C684:C1673)=0,COUNTA(Q684:Q1673)=0),"""",OR(AND(K684&gt;=1000000000,OR(Y684&gt;=1000000000,COUNTA(Q684:Q1673)=0)),OR(Y684&gt;=1000000000,AND(COUNTA(C684:C1673)=0,P$3=TRUE))),
ROUNDDOWN((AB$1-AC$1)*MAX(INDEX(T$4:T1673,MATCH(LARGE(FILTER(Y$4:Y1673,Y$4"&amp;":Y1673&lt;1000000000),1),Y$4:Y1673)),INDEX(F$4:F1673,MATCH(LARGE(FILTER(K$4:K1673,K$4:K1673&lt;1000000000),1),K$4:K1673)))),AND(K684&lt;1000000000,COUNTA(C684:C1673)&gt;0,P$3=FALSE),
ROUNDDOWN(INDEX(Y$4:Y1673,MATCH(LARGE(FILTER(W$4:W1673,W$4:W1673&lt;=I684),1),W$4:W1673"&amp;"))+(I684-LARGE(FILTER(W$4:W1673,W$4:W1673&lt;=I684),1))*INDEX(T$4:T1673,MATCH(LARGE(FILTER(W$4:W1673,W$4:W1673&lt;=I684),1),W$4:W1673))-K684),1,
ROUNDDOWN(Y684-INDEX(K$4:K1673,MATCH(LARGE(FILTER(I$4:I1673,I$4:I1673&lt;=W684),1),I$4:I1673))-(W684-LARGE(FILTER(I$4:I"&amp;"1673,I$4:I1673&lt;=W684),1))*INDEX(F$4:F1673,MATCH(LARGE(FILTER(I$4:I1673,I$4:I1673&lt;=W684),1),I$4:I1673))))"),"")</f>
        <v/>
      </c>
      <c r="N684" s="60" t="str">
        <f t="shared" si="8"/>
        <v/>
      </c>
      <c r="O684" s="61" t="str">
        <f t="shared" si="9"/>
        <v/>
      </c>
      <c r="P684" s="56" t="str">
        <f t="shared" si="10"/>
        <v/>
      </c>
      <c r="Q684" s="105"/>
      <c r="R684" s="10"/>
      <c r="S684" s="59" t="str">
        <f t="array" ref="S684">IF(COUNTA(Q684:Q1673)=0,"",SUM((COUNTIF(Q$4:Q684,Upgrades!$B$3:$B$13)-COUNTIF(Q$4:Q684,"Sell_"&amp;Upgrades!$B$3:$B$13))*Upgrades!$D$3:$D$13))</f>
        <v/>
      </c>
      <c r="T684" s="66" t="str">
        <f>IFERROR(__xludf.DUMMYFUNCTION("IF(COUNTA(Q684:Q1673)=0,"""",IF(REGEXMATCH(INDEX(FILTER(Q$4:Q684,Q$4:Q684&lt;&gt;""""),ROWS(FILTER(Q$4:Q684,Q$4:Q684&lt;&gt;""""))),""^Sell_""),INDEX(FILTER(T$4:T683,Q$4:Q683&lt;&gt;""""),ROWS(FILTER(Q$4:Q683,Q$4:Q683&lt;&gt;""""))),$AD$5+S684))"),"")</f>
        <v/>
      </c>
      <c r="U684" s="10" t="str">
        <f>IFERROR(__xludf.DUMMYFUNCTION("IF(COUNTA(Q684:Q1673)=0,"""",IF(Q684="""",0,IF(REGEXMATCH(Q684,""^Sell_""),-ROUNDDOWN(ROUNDUP(INDEX(Upgrades!$C$3:$C$13,MATCH(SUBSTITUTE(Q684,""Sell_"",""""),Upgrades!$B$3:$B$13,0))*1.15^(COUNTIF(Q$4:Q683,SUBSTITUTE(Q684,""Sell_"",""""))-COUNTIF(Q$4:Q683,"&amp;"""Sell_""&amp;SUBSTITUTE(Q684,""Sell_"",""""))))/2),ROUNDUP(INDEX(Upgrades!$C$3:$C$13,MATCH(Q684,Upgrades!$B$3:$B$13,0))*1.15^(COUNTIF(Q$4:Q683,Q684)-COUNTIF(Q$4:Q683,""Sell_""&amp;Q684))))))"),"")</f>
        <v/>
      </c>
      <c r="V684" s="10" t="str">
        <f t="shared" si="11"/>
        <v/>
      </c>
      <c r="W684" s="68" t="str">
        <f t="shared" si="12"/>
        <v/>
      </c>
      <c r="X684" s="59" t="str">
        <f t="shared" si="13"/>
        <v/>
      </c>
      <c r="Y684" s="69" t="str">
        <f t="shared" si="14"/>
        <v/>
      </c>
      <c r="Z684" s="11"/>
    </row>
    <row r="685">
      <c r="A685" s="8"/>
      <c r="B685" s="56" t="str">
        <f t="shared" si="2"/>
        <v/>
      </c>
      <c r="C685" s="105"/>
      <c r="D685" s="10"/>
      <c r="E685" s="59" t="str">
        <f t="array" ref="E685">IF(COUNTA(C685:C1673)=0,"",SUM((COUNTIF(C$4:C685,Upgrades!$B$3:$B$13)-COUNTIF(C$4:C685,"Sell_"&amp;Upgrades!$B$3:$B$13))*Upgrades!$D$3:$D$13))</f>
        <v/>
      </c>
      <c r="F685" s="66" t="str">
        <f>IFERROR(__xludf.DUMMYFUNCTION("IF(COUNTA(C685:C1673)=0,"""",IF(REGEXMATCH(INDEX(FILTER(C$4:C685,C$4:C685&lt;&gt;""""),ROWS(FILTER(C$4:C685,C$4:C685&lt;&gt;""""))),""^Sell_""),INDEX(FILTER(F$4:F684,C$4:C684&lt;&gt;""""),ROWS(FILTER(C$4:C684,C$4:C684&lt;&gt;""""))),$AC$5+E685))"),"")</f>
        <v/>
      </c>
      <c r="G685" s="10" t="str">
        <f>IFERROR(__xludf.DUMMYFUNCTION("IF(COUNTA(C685:C1673)=0,"""",IF(C685="""",0,IF(REGEXMATCH(C685,""^Sell_""),-ROUNDDOWN(ROUNDUP(INDEX(Upgrades!$C$3:$C$13,MATCH(SUBSTITUTE(C685,""Sell_"",""""),Upgrades!$B$3:$B$13,0))*1.15^(COUNTIF(C$4:C684,SUBSTITUTE(C685,""Sell_"",""""))-COUNTIF(C$4:C684,"&amp;"""Sell_""&amp;SUBSTITUTE(C685,""Sell_"",""""))))/2),ROUNDUP(INDEX(Upgrades!$C$3:$C$13,MATCH(C685,Upgrades!$B$3:$B$13,0))*1.15^(COUNTIF(C$4:C684,C685)-COUNTIF(C$4:C684,""Sell_""&amp;C685))))))"),"")</f>
        <v/>
      </c>
      <c r="H685" s="10" t="str">
        <f t="shared" si="3"/>
        <v/>
      </c>
      <c r="I685" s="68" t="str">
        <f t="shared" si="4"/>
        <v/>
      </c>
      <c r="J685" s="59" t="str">
        <f t="shared" si="5"/>
        <v/>
      </c>
      <c r="K685" s="69" t="str">
        <f t="shared" si="6"/>
        <v/>
      </c>
      <c r="L685" s="60" t="str">
        <f t="shared" si="7"/>
        <v/>
      </c>
      <c r="M685" s="61" t="str">
        <f>IFERROR(__xludf.DUMMYFUNCTION("IFS(AND(COUNTA(C685:C1673)=0,COUNTA(Q685:Q1673)=0),"""",OR(AND(K685&gt;=1000000000,OR(Y685&gt;=1000000000,COUNTA(Q685:Q1673)=0)),OR(Y685&gt;=1000000000,AND(COUNTA(C685:C1673)=0,P$3=TRUE))),
ROUNDDOWN((AB$1-AC$1)*MAX(INDEX(T$4:T1673,MATCH(LARGE(FILTER(Y$4:Y1673,Y$4"&amp;":Y1673&lt;1000000000),1),Y$4:Y1673)),INDEX(F$4:F1673,MATCH(LARGE(FILTER(K$4:K1673,K$4:K1673&lt;1000000000),1),K$4:K1673)))),AND(K685&lt;1000000000,COUNTA(C685:C1673)&gt;0,P$3=FALSE),
ROUNDDOWN(INDEX(Y$4:Y1673,MATCH(LARGE(FILTER(W$4:W1673,W$4:W1673&lt;=I685),1),W$4:W1673"&amp;"))+(I685-LARGE(FILTER(W$4:W1673,W$4:W1673&lt;=I685),1))*INDEX(T$4:T1673,MATCH(LARGE(FILTER(W$4:W1673,W$4:W1673&lt;=I685),1),W$4:W1673))-K685),1,
ROUNDDOWN(Y685-INDEX(K$4:K1673,MATCH(LARGE(FILTER(I$4:I1673,I$4:I1673&lt;=W685),1),I$4:I1673))-(W685-LARGE(FILTER(I$4:I"&amp;"1673,I$4:I1673&lt;=W685),1))*INDEX(F$4:F1673,MATCH(LARGE(FILTER(I$4:I1673,I$4:I1673&lt;=W685),1),I$4:I1673))))"),"")</f>
        <v/>
      </c>
      <c r="N685" s="60" t="str">
        <f t="shared" si="8"/>
        <v/>
      </c>
      <c r="O685" s="61" t="str">
        <f t="shared" si="9"/>
        <v/>
      </c>
      <c r="P685" s="56" t="str">
        <f t="shared" si="10"/>
        <v/>
      </c>
      <c r="Q685" s="105"/>
      <c r="R685" s="10"/>
      <c r="S685" s="59" t="str">
        <f t="array" ref="S685">IF(COUNTA(Q685:Q1673)=0,"",SUM((COUNTIF(Q$4:Q685,Upgrades!$B$3:$B$13)-COUNTIF(Q$4:Q685,"Sell_"&amp;Upgrades!$B$3:$B$13))*Upgrades!$D$3:$D$13))</f>
        <v/>
      </c>
      <c r="T685" s="66" t="str">
        <f>IFERROR(__xludf.DUMMYFUNCTION("IF(COUNTA(Q685:Q1673)=0,"""",IF(REGEXMATCH(INDEX(FILTER(Q$4:Q685,Q$4:Q685&lt;&gt;""""),ROWS(FILTER(Q$4:Q685,Q$4:Q685&lt;&gt;""""))),""^Sell_""),INDEX(FILTER(T$4:T684,Q$4:Q684&lt;&gt;""""),ROWS(FILTER(Q$4:Q684,Q$4:Q684&lt;&gt;""""))),$AD$5+S685))"),"")</f>
        <v/>
      </c>
      <c r="U685" s="10" t="str">
        <f>IFERROR(__xludf.DUMMYFUNCTION("IF(COUNTA(Q685:Q1673)=0,"""",IF(Q685="""",0,IF(REGEXMATCH(Q685,""^Sell_""),-ROUNDDOWN(ROUNDUP(INDEX(Upgrades!$C$3:$C$13,MATCH(SUBSTITUTE(Q685,""Sell_"",""""),Upgrades!$B$3:$B$13,0))*1.15^(COUNTIF(Q$4:Q684,SUBSTITUTE(Q685,""Sell_"",""""))-COUNTIF(Q$4:Q684,"&amp;"""Sell_""&amp;SUBSTITUTE(Q685,""Sell_"",""""))))/2),ROUNDUP(INDEX(Upgrades!$C$3:$C$13,MATCH(Q685,Upgrades!$B$3:$B$13,0))*1.15^(COUNTIF(Q$4:Q684,Q685)-COUNTIF(Q$4:Q684,""Sell_""&amp;Q685))))))"),"")</f>
        <v/>
      </c>
      <c r="V685" s="10" t="str">
        <f t="shared" si="11"/>
        <v/>
      </c>
      <c r="W685" s="68" t="str">
        <f t="shared" si="12"/>
        <v/>
      </c>
      <c r="X685" s="59" t="str">
        <f t="shared" si="13"/>
        <v/>
      </c>
      <c r="Y685" s="69" t="str">
        <f t="shared" si="14"/>
        <v/>
      </c>
      <c r="Z685" s="11"/>
    </row>
    <row r="686">
      <c r="A686" s="8"/>
      <c r="B686" s="56" t="str">
        <f t="shared" si="2"/>
        <v/>
      </c>
      <c r="C686" s="105"/>
      <c r="D686" s="10"/>
      <c r="E686" s="59" t="str">
        <f t="array" ref="E686">IF(COUNTA(C686:C1673)=0,"",SUM((COUNTIF(C$4:C686,Upgrades!$B$3:$B$13)-COUNTIF(C$4:C686,"Sell_"&amp;Upgrades!$B$3:$B$13))*Upgrades!$D$3:$D$13))</f>
        <v/>
      </c>
      <c r="F686" s="66" t="str">
        <f>IFERROR(__xludf.DUMMYFUNCTION("IF(COUNTA(C686:C1673)=0,"""",IF(REGEXMATCH(INDEX(FILTER(C$4:C686,C$4:C686&lt;&gt;""""),ROWS(FILTER(C$4:C686,C$4:C686&lt;&gt;""""))),""^Sell_""),INDEX(FILTER(F$4:F685,C$4:C685&lt;&gt;""""),ROWS(FILTER(C$4:C685,C$4:C685&lt;&gt;""""))),$AC$5+E686))"),"")</f>
        <v/>
      </c>
      <c r="G686" s="10" t="str">
        <f>IFERROR(__xludf.DUMMYFUNCTION("IF(COUNTA(C686:C1673)=0,"""",IF(C686="""",0,IF(REGEXMATCH(C686,""^Sell_""),-ROUNDDOWN(ROUNDUP(INDEX(Upgrades!$C$3:$C$13,MATCH(SUBSTITUTE(C686,""Sell_"",""""),Upgrades!$B$3:$B$13,0))*1.15^(COUNTIF(C$4:C685,SUBSTITUTE(C686,""Sell_"",""""))-COUNTIF(C$4:C685,"&amp;"""Sell_""&amp;SUBSTITUTE(C686,""Sell_"",""""))))/2),ROUNDUP(INDEX(Upgrades!$C$3:$C$13,MATCH(C686,Upgrades!$B$3:$B$13,0))*1.15^(COUNTIF(C$4:C685,C686)-COUNTIF(C$4:C685,""Sell_""&amp;C686))))))"),"")</f>
        <v/>
      </c>
      <c r="H686" s="10" t="str">
        <f t="shared" si="3"/>
        <v/>
      </c>
      <c r="I686" s="68" t="str">
        <f t="shared" si="4"/>
        <v/>
      </c>
      <c r="J686" s="59" t="str">
        <f t="shared" si="5"/>
        <v/>
      </c>
      <c r="K686" s="69" t="str">
        <f t="shared" si="6"/>
        <v/>
      </c>
      <c r="L686" s="60" t="str">
        <f t="shared" si="7"/>
        <v/>
      </c>
      <c r="M686" s="61" t="str">
        <f>IFERROR(__xludf.DUMMYFUNCTION("IFS(AND(COUNTA(C686:C1673)=0,COUNTA(Q686:Q1673)=0),"""",OR(AND(K686&gt;=1000000000,OR(Y686&gt;=1000000000,COUNTA(Q686:Q1673)=0)),OR(Y686&gt;=1000000000,AND(COUNTA(C686:C1673)=0,P$3=TRUE))),
ROUNDDOWN((AB$1-AC$1)*MAX(INDEX(T$4:T1673,MATCH(LARGE(FILTER(Y$4:Y1673,Y$4"&amp;":Y1673&lt;1000000000),1),Y$4:Y1673)),INDEX(F$4:F1673,MATCH(LARGE(FILTER(K$4:K1673,K$4:K1673&lt;1000000000),1),K$4:K1673)))),AND(K686&lt;1000000000,COUNTA(C686:C1673)&gt;0,P$3=FALSE),
ROUNDDOWN(INDEX(Y$4:Y1673,MATCH(LARGE(FILTER(W$4:W1673,W$4:W1673&lt;=I686),1),W$4:W1673"&amp;"))+(I686-LARGE(FILTER(W$4:W1673,W$4:W1673&lt;=I686),1))*INDEX(T$4:T1673,MATCH(LARGE(FILTER(W$4:W1673,W$4:W1673&lt;=I686),1),W$4:W1673))-K686),1,
ROUNDDOWN(Y686-INDEX(K$4:K1673,MATCH(LARGE(FILTER(I$4:I1673,I$4:I1673&lt;=W686),1),I$4:I1673))-(W686-LARGE(FILTER(I$4:I"&amp;"1673,I$4:I1673&lt;=W686),1))*INDEX(F$4:F1673,MATCH(LARGE(FILTER(I$4:I1673,I$4:I1673&lt;=W686),1),I$4:I1673))))"),"")</f>
        <v/>
      </c>
      <c r="N686" s="60" t="str">
        <f t="shared" si="8"/>
        <v/>
      </c>
      <c r="O686" s="61" t="str">
        <f t="shared" si="9"/>
        <v/>
      </c>
      <c r="P686" s="56" t="str">
        <f t="shared" si="10"/>
        <v/>
      </c>
      <c r="Q686" s="105"/>
      <c r="R686" s="10"/>
      <c r="S686" s="59" t="str">
        <f t="array" ref="S686">IF(COUNTA(Q686:Q1673)=0,"",SUM((COUNTIF(Q$4:Q686,Upgrades!$B$3:$B$13)-COUNTIF(Q$4:Q686,"Sell_"&amp;Upgrades!$B$3:$B$13))*Upgrades!$D$3:$D$13))</f>
        <v/>
      </c>
      <c r="T686" s="66" t="str">
        <f>IFERROR(__xludf.DUMMYFUNCTION("IF(COUNTA(Q686:Q1673)=0,"""",IF(REGEXMATCH(INDEX(FILTER(Q$4:Q686,Q$4:Q686&lt;&gt;""""),ROWS(FILTER(Q$4:Q686,Q$4:Q686&lt;&gt;""""))),""^Sell_""),INDEX(FILTER(T$4:T685,Q$4:Q685&lt;&gt;""""),ROWS(FILTER(Q$4:Q685,Q$4:Q685&lt;&gt;""""))),$AD$5+S686))"),"")</f>
        <v/>
      </c>
      <c r="U686" s="10" t="str">
        <f>IFERROR(__xludf.DUMMYFUNCTION("IF(COUNTA(Q686:Q1673)=0,"""",IF(Q686="""",0,IF(REGEXMATCH(Q686,""^Sell_""),-ROUNDDOWN(ROUNDUP(INDEX(Upgrades!$C$3:$C$13,MATCH(SUBSTITUTE(Q686,""Sell_"",""""),Upgrades!$B$3:$B$13,0))*1.15^(COUNTIF(Q$4:Q685,SUBSTITUTE(Q686,""Sell_"",""""))-COUNTIF(Q$4:Q685,"&amp;"""Sell_""&amp;SUBSTITUTE(Q686,""Sell_"",""""))))/2),ROUNDUP(INDEX(Upgrades!$C$3:$C$13,MATCH(Q686,Upgrades!$B$3:$B$13,0))*1.15^(COUNTIF(Q$4:Q685,Q686)-COUNTIF(Q$4:Q685,""Sell_""&amp;Q686))))))"),"")</f>
        <v/>
      </c>
      <c r="V686" s="10" t="str">
        <f t="shared" si="11"/>
        <v/>
      </c>
      <c r="W686" s="68" t="str">
        <f t="shared" si="12"/>
        <v/>
      </c>
      <c r="X686" s="59" t="str">
        <f t="shared" si="13"/>
        <v/>
      </c>
      <c r="Y686" s="69" t="str">
        <f t="shared" si="14"/>
        <v/>
      </c>
      <c r="Z686" s="11"/>
    </row>
    <row r="687">
      <c r="A687" s="8"/>
      <c r="B687" s="56" t="str">
        <f t="shared" si="2"/>
        <v/>
      </c>
      <c r="C687" s="105"/>
      <c r="D687" s="10"/>
      <c r="E687" s="59" t="str">
        <f t="array" ref="E687">IF(COUNTA(C687:C1673)=0,"",SUM((COUNTIF(C$4:C687,Upgrades!$B$3:$B$13)-COUNTIF(C$4:C687,"Sell_"&amp;Upgrades!$B$3:$B$13))*Upgrades!$D$3:$D$13))</f>
        <v/>
      </c>
      <c r="F687" s="66" t="str">
        <f>IFERROR(__xludf.DUMMYFUNCTION("IF(COUNTA(C687:C1673)=0,"""",IF(REGEXMATCH(INDEX(FILTER(C$4:C687,C$4:C687&lt;&gt;""""),ROWS(FILTER(C$4:C687,C$4:C687&lt;&gt;""""))),""^Sell_""),INDEX(FILTER(F$4:F686,C$4:C686&lt;&gt;""""),ROWS(FILTER(C$4:C686,C$4:C686&lt;&gt;""""))),$AC$5+E687))"),"")</f>
        <v/>
      </c>
      <c r="G687" s="10" t="str">
        <f>IFERROR(__xludf.DUMMYFUNCTION("IF(COUNTA(C687:C1673)=0,"""",IF(C687="""",0,IF(REGEXMATCH(C687,""^Sell_""),-ROUNDDOWN(ROUNDUP(INDEX(Upgrades!$C$3:$C$13,MATCH(SUBSTITUTE(C687,""Sell_"",""""),Upgrades!$B$3:$B$13,0))*1.15^(COUNTIF(C$4:C686,SUBSTITUTE(C687,""Sell_"",""""))-COUNTIF(C$4:C686,"&amp;"""Sell_""&amp;SUBSTITUTE(C687,""Sell_"",""""))))/2),ROUNDUP(INDEX(Upgrades!$C$3:$C$13,MATCH(C687,Upgrades!$B$3:$B$13,0))*1.15^(COUNTIF(C$4:C686,C687)-COUNTIF(C$4:C686,""Sell_""&amp;C687))))))"),"")</f>
        <v/>
      </c>
      <c r="H687" s="10" t="str">
        <f t="shared" si="3"/>
        <v/>
      </c>
      <c r="I687" s="68" t="str">
        <f t="shared" si="4"/>
        <v/>
      </c>
      <c r="J687" s="59" t="str">
        <f t="shared" si="5"/>
        <v/>
      </c>
      <c r="K687" s="69" t="str">
        <f t="shared" si="6"/>
        <v/>
      </c>
      <c r="L687" s="60" t="str">
        <f t="shared" si="7"/>
        <v/>
      </c>
      <c r="M687" s="61" t="str">
        <f>IFERROR(__xludf.DUMMYFUNCTION("IFS(AND(COUNTA(C687:C1673)=0,COUNTA(Q687:Q1673)=0),"""",OR(AND(K687&gt;=1000000000,OR(Y687&gt;=1000000000,COUNTA(Q687:Q1673)=0)),OR(Y687&gt;=1000000000,AND(COUNTA(C687:C1673)=0,P$3=TRUE))),
ROUNDDOWN((AB$1-AC$1)*MAX(INDEX(T$4:T1673,MATCH(LARGE(FILTER(Y$4:Y1673,Y$4"&amp;":Y1673&lt;1000000000),1),Y$4:Y1673)),INDEX(F$4:F1673,MATCH(LARGE(FILTER(K$4:K1673,K$4:K1673&lt;1000000000),1),K$4:K1673)))),AND(K687&lt;1000000000,COUNTA(C687:C1673)&gt;0,P$3=FALSE),
ROUNDDOWN(INDEX(Y$4:Y1673,MATCH(LARGE(FILTER(W$4:W1673,W$4:W1673&lt;=I687),1),W$4:W1673"&amp;"))+(I687-LARGE(FILTER(W$4:W1673,W$4:W1673&lt;=I687),1))*INDEX(T$4:T1673,MATCH(LARGE(FILTER(W$4:W1673,W$4:W1673&lt;=I687),1),W$4:W1673))-K687),1,
ROUNDDOWN(Y687-INDEX(K$4:K1673,MATCH(LARGE(FILTER(I$4:I1673,I$4:I1673&lt;=W687),1),I$4:I1673))-(W687-LARGE(FILTER(I$4:I"&amp;"1673,I$4:I1673&lt;=W687),1))*INDEX(F$4:F1673,MATCH(LARGE(FILTER(I$4:I1673,I$4:I1673&lt;=W687),1),I$4:I1673))))"),"")</f>
        <v/>
      </c>
      <c r="N687" s="60" t="str">
        <f t="shared" si="8"/>
        <v/>
      </c>
      <c r="O687" s="61" t="str">
        <f t="shared" si="9"/>
        <v/>
      </c>
      <c r="P687" s="56" t="str">
        <f t="shared" si="10"/>
        <v/>
      </c>
      <c r="Q687" s="105"/>
      <c r="R687" s="10"/>
      <c r="S687" s="59" t="str">
        <f t="array" ref="S687">IF(COUNTA(Q687:Q1673)=0,"",SUM((COUNTIF(Q$4:Q687,Upgrades!$B$3:$B$13)-COUNTIF(Q$4:Q687,"Sell_"&amp;Upgrades!$B$3:$B$13))*Upgrades!$D$3:$D$13))</f>
        <v/>
      </c>
      <c r="T687" s="66" t="str">
        <f>IFERROR(__xludf.DUMMYFUNCTION("IF(COUNTA(Q687:Q1673)=0,"""",IF(REGEXMATCH(INDEX(FILTER(Q$4:Q687,Q$4:Q687&lt;&gt;""""),ROWS(FILTER(Q$4:Q687,Q$4:Q687&lt;&gt;""""))),""^Sell_""),INDEX(FILTER(T$4:T686,Q$4:Q686&lt;&gt;""""),ROWS(FILTER(Q$4:Q686,Q$4:Q686&lt;&gt;""""))),$AD$5+S687))"),"")</f>
        <v/>
      </c>
      <c r="U687" s="10" t="str">
        <f>IFERROR(__xludf.DUMMYFUNCTION("IF(COUNTA(Q687:Q1673)=0,"""",IF(Q687="""",0,IF(REGEXMATCH(Q687,""^Sell_""),-ROUNDDOWN(ROUNDUP(INDEX(Upgrades!$C$3:$C$13,MATCH(SUBSTITUTE(Q687,""Sell_"",""""),Upgrades!$B$3:$B$13,0))*1.15^(COUNTIF(Q$4:Q686,SUBSTITUTE(Q687,""Sell_"",""""))-COUNTIF(Q$4:Q686,"&amp;"""Sell_""&amp;SUBSTITUTE(Q687,""Sell_"",""""))))/2),ROUNDUP(INDEX(Upgrades!$C$3:$C$13,MATCH(Q687,Upgrades!$B$3:$B$13,0))*1.15^(COUNTIF(Q$4:Q686,Q687)-COUNTIF(Q$4:Q686,""Sell_""&amp;Q687))))))"),"")</f>
        <v/>
      </c>
      <c r="V687" s="10" t="str">
        <f t="shared" si="11"/>
        <v/>
      </c>
      <c r="W687" s="68" t="str">
        <f t="shared" si="12"/>
        <v/>
      </c>
      <c r="X687" s="59" t="str">
        <f t="shared" si="13"/>
        <v/>
      </c>
      <c r="Y687" s="69" t="str">
        <f t="shared" si="14"/>
        <v/>
      </c>
      <c r="Z687" s="11"/>
    </row>
    <row r="688">
      <c r="A688" s="8"/>
      <c r="B688" s="56" t="str">
        <f t="shared" si="2"/>
        <v/>
      </c>
      <c r="C688" s="105"/>
      <c r="D688" s="10"/>
      <c r="E688" s="59" t="str">
        <f t="array" ref="E688">IF(COUNTA(C688:C1673)=0,"",SUM((COUNTIF(C$4:C688,Upgrades!$B$3:$B$13)-COUNTIF(C$4:C688,"Sell_"&amp;Upgrades!$B$3:$B$13))*Upgrades!$D$3:$D$13))</f>
        <v/>
      </c>
      <c r="F688" s="66" t="str">
        <f>IFERROR(__xludf.DUMMYFUNCTION("IF(COUNTA(C688:C1673)=0,"""",IF(REGEXMATCH(INDEX(FILTER(C$4:C688,C$4:C688&lt;&gt;""""),ROWS(FILTER(C$4:C688,C$4:C688&lt;&gt;""""))),""^Sell_""),INDEX(FILTER(F$4:F687,C$4:C687&lt;&gt;""""),ROWS(FILTER(C$4:C687,C$4:C687&lt;&gt;""""))),$AC$5+E688))"),"")</f>
        <v/>
      </c>
      <c r="G688" s="10" t="str">
        <f>IFERROR(__xludf.DUMMYFUNCTION("IF(COUNTA(C688:C1673)=0,"""",IF(C688="""",0,IF(REGEXMATCH(C688,""^Sell_""),-ROUNDDOWN(ROUNDUP(INDEX(Upgrades!$C$3:$C$13,MATCH(SUBSTITUTE(C688,""Sell_"",""""),Upgrades!$B$3:$B$13,0))*1.15^(COUNTIF(C$4:C687,SUBSTITUTE(C688,""Sell_"",""""))-COUNTIF(C$4:C687,"&amp;"""Sell_""&amp;SUBSTITUTE(C688,""Sell_"",""""))))/2),ROUNDUP(INDEX(Upgrades!$C$3:$C$13,MATCH(C688,Upgrades!$B$3:$B$13,0))*1.15^(COUNTIF(C$4:C687,C688)-COUNTIF(C$4:C687,""Sell_""&amp;C688))))))"),"")</f>
        <v/>
      </c>
      <c r="H688" s="10" t="str">
        <f t="shared" si="3"/>
        <v/>
      </c>
      <c r="I688" s="68" t="str">
        <f t="shared" si="4"/>
        <v/>
      </c>
      <c r="J688" s="59" t="str">
        <f t="shared" si="5"/>
        <v/>
      </c>
      <c r="K688" s="69" t="str">
        <f t="shared" si="6"/>
        <v/>
      </c>
      <c r="L688" s="60" t="str">
        <f t="shared" si="7"/>
        <v/>
      </c>
      <c r="M688" s="61" t="str">
        <f>IFERROR(__xludf.DUMMYFUNCTION("IFS(AND(COUNTA(C688:C1673)=0,COUNTA(Q688:Q1673)=0),"""",OR(AND(K688&gt;=1000000000,OR(Y688&gt;=1000000000,COUNTA(Q688:Q1673)=0)),OR(Y688&gt;=1000000000,AND(COUNTA(C688:C1673)=0,P$3=TRUE))),
ROUNDDOWN((AB$1-AC$1)*MAX(INDEX(T$4:T1673,MATCH(LARGE(FILTER(Y$4:Y1673,Y$4"&amp;":Y1673&lt;1000000000),1),Y$4:Y1673)),INDEX(F$4:F1673,MATCH(LARGE(FILTER(K$4:K1673,K$4:K1673&lt;1000000000),1),K$4:K1673)))),AND(K688&lt;1000000000,COUNTA(C688:C1673)&gt;0,P$3=FALSE),
ROUNDDOWN(INDEX(Y$4:Y1673,MATCH(LARGE(FILTER(W$4:W1673,W$4:W1673&lt;=I688),1),W$4:W1673"&amp;"))+(I688-LARGE(FILTER(W$4:W1673,W$4:W1673&lt;=I688),1))*INDEX(T$4:T1673,MATCH(LARGE(FILTER(W$4:W1673,W$4:W1673&lt;=I688),1),W$4:W1673))-K688),1,
ROUNDDOWN(Y688-INDEX(K$4:K1673,MATCH(LARGE(FILTER(I$4:I1673,I$4:I1673&lt;=W688),1),I$4:I1673))-(W688-LARGE(FILTER(I$4:I"&amp;"1673,I$4:I1673&lt;=W688),1))*INDEX(F$4:F1673,MATCH(LARGE(FILTER(I$4:I1673,I$4:I1673&lt;=W688),1),I$4:I1673))))"),"")</f>
        <v/>
      </c>
      <c r="N688" s="60" t="str">
        <f t="shared" si="8"/>
        <v/>
      </c>
      <c r="O688" s="61" t="str">
        <f t="shared" si="9"/>
        <v/>
      </c>
      <c r="P688" s="56" t="str">
        <f t="shared" si="10"/>
        <v/>
      </c>
      <c r="Q688" s="105"/>
      <c r="R688" s="10"/>
      <c r="S688" s="59" t="str">
        <f t="array" ref="S688">IF(COUNTA(Q688:Q1673)=0,"",SUM((COUNTIF(Q$4:Q688,Upgrades!$B$3:$B$13)-COUNTIF(Q$4:Q688,"Sell_"&amp;Upgrades!$B$3:$B$13))*Upgrades!$D$3:$D$13))</f>
        <v/>
      </c>
      <c r="T688" s="66" t="str">
        <f>IFERROR(__xludf.DUMMYFUNCTION("IF(COUNTA(Q688:Q1673)=0,"""",IF(REGEXMATCH(INDEX(FILTER(Q$4:Q688,Q$4:Q688&lt;&gt;""""),ROWS(FILTER(Q$4:Q688,Q$4:Q688&lt;&gt;""""))),""^Sell_""),INDEX(FILTER(T$4:T687,Q$4:Q687&lt;&gt;""""),ROWS(FILTER(Q$4:Q687,Q$4:Q687&lt;&gt;""""))),$AD$5+S688))"),"")</f>
        <v/>
      </c>
      <c r="U688" s="10" t="str">
        <f>IFERROR(__xludf.DUMMYFUNCTION("IF(COUNTA(Q688:Q1673)=0,"""",IF(Q688="""",0,IF(REGEXMATCH(Q688,""^Sell_""),-ROUNDDOWN(ROUNDUP(INDEX(Upgrades!$C$3:$C$13,MATCH(SUBSTITUTE(Q688,""Sell_"",""""),Upgrades!$B$3:$B$13,0))*1.15^(COUNTIF(Q$4:Q687,SUBSTITUTE(Q688,""Sell_"",""""))-COUNTIF(Q$4:Q687,"&amp;"""Sell_""&amp;SUBSTITUTE(Q688,""Sell_"",""""))))/2),ROUNDUP(INDEX(Upgrades!$C$3:$C$13,MATCH(Q688,Upgrades!$B$3:$B$13,0))*1.15^(COUNTIF(Q$4:Q687,Q688)-COUNTIF(Q$4:Q687,""Sell_""&amp;Q688))))))"),"")</f>
        <v/>
      </c>
      <c r="V688" s="10" t="str">
        <f t="shared" si="11"/>
        <v/>
      </c>
      <c r="W688" s="68" t="str">
        <f t="shared" si="12"/>
        <v/>
      </c>
      <c r="X688" s="59" t="str">
        <f t="shared" si="13"/>
        <v/>
      </c>
      <c r="Y688" s="69" t="str">
        <f t="shared" si="14"/>
        <v/>
      </c>
      <c r="Z688" s="11"/>
    </row>
    <row r="689">
      <c r="A689" s="8"/>
      <c r="B689" s="56" t="str">
        <f t="shared" si="2"/>
        <v/>
      </c>
      <c r="C689" s="105"/>
      <c r="D689" s="10"/>
      <c r="E689" s="59" t="str">
        <f t="array" ref="E689">IF(COUNTA(C689:C1673)=0,"",SUM((COUNTIF(C$4:C689,Upgrades!$B$3:$B$13)-COUNTIF(C$4:C689,"Sell_"&amp;Upgrades!$B$3:$B$13))*Upgrades!$D$3:$D$13))</f>
        <v/>
      </c>
      <c r="F689" s="66" t="str">
        <f>IFERROR(__xludf.DUMMYFUNCTION("IF(COUNTA(C689:C1673)=0,"""",IF(REGEXMATCH(INDEX(FILTER(C$4:C689,C$4:C689&lt;&gt;""""),ROWS(FILTER(C$4:C689,C$4:C689&lt;&gt;""""))),""^Sell_""),INDEX(FILTER(F$4:F688,C$4:C688&lt;&gt;""""),ROWS(FILTER(C$4:C688,C$4:C688&lt;&gt;""""))),$AC$5+E689))"),"")</f>
        <v/>
      </c>
      <c r="G689" s="10" t="str">
        <f>IFERROR(__xludf.DUMMYFUNCTION("IF(COUNTA(C689:C1673)=0,"""",IF(C689="""",0,IF(REGEXMATCH(C689,""^Sell_""),-ROUNDDOWN(ROUNDUP(INDEX(Upgrades!$C$3:$C$13,MATCH(SUBSTITUTE(C689,""Sell_"",""""),Upgrades!$B$3:$B$13,0))*1.15^(COUNTIF(C$4:C688,SUBSTITUTE(C689,""Sell_"",""""))-COUNTIF(C$4:C688,"&amp;"""Sell_""&amp;SUBSTITUTE(C689,""Sell_"",""""))))/2),ROUNDUP(INDEX(Upgrades!$C$3:$C$13,MATCH(C689,Upgrades!$B$3:$B$13,0))*1.15^(COUNTIF(C$4:C688,C689)-COUNTIF(C$4:C688,""Sell_""&amp;C689))))))"),"")</f>
        <v/>
      </c>
      <c r="H689" s="10" t="str">
        <f t="shared" si="3"/>
        <v/>
      </c>
      <c r="I689" s="68" t="str">
        <f t="shared" si="4"/>
        <v/>
      </c>
      <c r="J689" s="59" t="str">
        <f t="shared" si="5"/>
        <v/>
      </c>
      <c r="K689" s="69" t="str">
        <f t="shared" si="6"/>
        <v/>
      </c>
      <c r="L689" s="60" t="str">
        <f t="shared" si="7"/>
        <v/>
      </c>
      <c r="M689" s="61" t="str">
        <f>IFERROR(__xludf.DUMMYFUNCTION("IFS(AND(COUNTA(C689:C1673)=0,COUNTA(Q689:Q1673)=0),"""",OR(AND(K689&gt;=1000000000,OR(Y689&gt;=1000000000,COUNTA(Q689:Q1673)=0)),OR(Y689&gt;=1000000000,AND(COUNTA(C689:C1673)=0,P$3=TRUE))),
ROUNDDOWN((AB$1-AC$1)*MAX(INDEX(T$4:T1673,MATCH(LARGE(FILTER(Y$4:Y1673,Y$4"&amp;":Y1673&lt;1000000000),1),Y$4:Y1673)),INDEX(F$4:F1673,MATCH(LARGE(FILTER(K$4:K1673,K$4:K1673&lt;1000000000),1),K$4:K1673)))),AND(K689&lt;1000000000,COUNTA(C689:C1673)&gt;0,P$3=FALSE),
ROUNDDOWN(INDEX(Y$4:Y1673,MATCH(LARGE(FILTER(W$4:W1673,W$4:W1673&lt;=I689),1),W$4:W1673"&amp;"))+(I689-LARGE(FILTER(W$4:W1673,W$4:W1673&lt;=I689),1))*INDEX(T$4:T1673,MATCH(LARGE(FILTER(W$4:W1673,W$4:W1673&lt;=I689),1),W$4:W1673))-K689),1,
ROUNDDOWN(Y689-INDEX(K$4:K1673,MATCH(LARGE(FILTER(I$4:I1673,I$4:I1673&lt;=W689),1),I$4:I1673))-(W689-LARGE(FILTER(I$4:I"&amp;"1673,I$4:I1673&lt;=W689),1))*INDEX(F$4:F1673,MATCH(LARGE(FILTER(I$4:I1673,I$4:I1673&lt;=W689),1),I$4:I1673))))"),"")</f>
        <v/>
      </c>
      <c r="N689" s="60" t="str">
        <f t="shared" si="8"/>
        <v/>
      </c>
      <c r="O689" s="61" t="str">
        <f t="shared" si="9"/>
        <v/>
      </c>
      <c r="P689" s="56" t="str">
        <f t="shared" si="10"/>
        <v/>
      </c>
      <c r="Q689" s="105"/>
      <c r="R689" s="10"/>
      <c r="S689" s="59" t="str">
        <f t="array" ref="S689">IF(COUNTA(Q689:Q1673)=0,"",SUM((COUNTIF(Q$4:Q689,Upgrades!$B$3:$B$13)-COUNTIF(Q$4:Q689,"Sell_"&amp;Upgrades!$B$3:$B$13))*Upgrades!$D$3:$D$13))</f>
        <v/>
      </c>
      <c r="T689" s="66" t="str">
        <f>IFERROR(__xludf.DUMMYFUNCTION("IF(COUNTA(Q689:Q1673)=0,"""",IF(REGEXMATCH(INDEX(FILTER(Q$4:Q689,Q$4:Q689&lt;&gt;""""),ROWS(FILTER(Q$4:Q689,Q$4:Q689&lt;&gt;""""))),""^Sell_""),INDEX(FILTER(T$4:T688,Q$4:Q688&lt;&gt;""""),ROWS(FILTER(Q$4:Q688,Q$4:Q688&lt;&gt;""""))),$AD$5+S689))"),"")</f>
        <v/>
      </c>
      <c r="U689" s="10" t="str">
        <f>IFERROR(__xludf.DUMMYFUNCTION("IF(COUNTA(Q689:Q1673)=0,"""",IF(Q689="""",0,IF(REGEXMATCH(Q689,""^Sell_""),-ROUNDDOWN(ROUNDUP(INDEX(Upgrades!$C$3:$C$13,MATCH(SUBSTITUTE(Q689,""Sell_"",""""),Upgrades!$B$3:$B$13,0))*1.15^(COUNTIF(Q$4:Q688,SUBSTITUTE(Q689,""Sell_"",""""))-COUNTIF(Q$4:Q688,"&amp;"""Sell_""&amp;SUBSTITUTE(Q689,""Sell_"",""""))))/2),ROUNDUP(INDEX(Upgrades!$C$3:$C$13,MATCH(Q689,Upgrades!$B$3:$B$13,0))*1.15^(COUNTIF(Q$4:Q688,Q689)-COUNTIF(Q$4:Q688,""Sell_""&amp;Q689))))))"),"")</f>
        <v/>
      </c>
      <c r="V689" s="10" t="str">
        <f t="shared" si="11"/>
        <v/>
      </c>
      <c r="W689" s="68" t="str">
        <f t="shared" si="12"/>
        <v/>
      </c>
      <c r="X689" s="59" t="str">
        <f t="shared" si="13"/>
        <v/>
      </c>
      <c r="Y689" s="69" t="str">
        <f t="shared" si="14"/>
        <v/>
      </c>
      <c r="Z689" s="11"/>
    </row>
    <row r="690">
      <c r="A690" s="8"/>
      <c r="B690" s="56" t="str">
        <f t="shared" si="2"/>
        <v/>
      </c>
      <c r="C690" s="105"/>
      <c r="D690" s="10"/>
      <c r="E690" s="59" t="str">
        <f t="array" ref="E690">IF(COUNTA(C690:C1673)=0,"",SUM((COUNTIF(C$4:C690,Upgrades!$B$3:$B$13)-COUNTIF(C$4:C690,"Sell_"&amp;Upgrades!$B$3:$B$13))*Upgrades!$D$3:$D$13))</f>
        <v/>
      </c>
      <c r="F690" s="66" t="str">
        <f>IFERROR(__xludf.DUMMYFUNCTION("IF(COUNTA(C690:C1673)=0,"""",IF(REGEXMATCH(INDEX(FILTER(C$4:C690,C$4:C690&lt;&gt;""""),ROWS(FILTER(C$4:C690,C$4:C690&lt;&gt;""""))),""^Sell_""),INDEX(FILTER(F$4:F689,C$4:C689&lt;&gt;""""),ROWS(FILTER(C$4:C689,C$4:C689&lt;&gt;""""))),$AC$5+E690))"),"")</f>
        <v/>
      </c>
      <c r="G690" s="10" t="str">
        <f>IFERROR(__xludf.DUMMYFUNCTION("IF(COUNTA(C690:C1673)=0,"""",IF(C690="""",0,IF(REGEXMATCH(C690,""^Sell_""),-ROUNDDOWN(ROUNDUP(INDEX(Upgrades!$C$3:$C$13,MATCH(SUBSTITUTE(C690,""Sell_"",""""),Upgrades!$B$3:$B$13,0))*1.15^(COUNTIF(C$4:C689,SUBSTITUTE(C690,""Sell_"",""""))-COUNTIF(C$4:C689,"&amp;"""Sell_""&amp;SUBSTITUTE(C690,""Sell_"",""""))))/2),ROUNDUP(INDEX(Upgrades!$C$3:$C$13,MATCH(C690,Upgrades!$B$3:$B$13,0))*1.15^(COUNTIF(C$4:C689,C690)-COUNTIF(C$4:C689,""Sell_""&amp;C690))))))"),"")</f>
        <v/>
      </c>
      <c r="H690" s="10" t="str">
        <f t="shared" si="3"/>
        <v/>
      </c>
      <c r="I690" s="68" t="str">
        <f t="shared" si="4"/>
        <v/>
      </c>
      <c r="J690" s="59" t="str">
        <f t="shared" si="5"/>
        <v/>
      </c>
      <c r="K690" s="69" t="str">
        <f t="shared" si="6"/>
        <v/>
      </c>
      <c r="L690" s="60" t="str">
        <f t="shared" si="7"/>
        <v/>
      </c>
      <c r="M690" s="61" t="str">
        <f>IFERROR(__xludf.DUMMYFUNCTION("IFS(AND(COUNTA(C690:C1673)=0,COUNTA(Q690:Q1673)=0),"""",OR(AND(K690&gt;=1000000000,OR(Y690&gt;=1000000000,COUNTA(Q690:Q1673)=0)),OR(Y690&gt;=1000000000,AND(COUNTA(C690:C1673)=0,P$3=TRUE))),
ROUNDDOWN((AB$1-AC$1)*MAX(INDEX(T$4:T1673,MATCH(LARGE(FILTER(Y$4:Y1673,Y$4"&amp;":Y1673&lt;1000000000),1),Y$4:Y1673)),INDEX(F$4:F1673,MATCH(LARGE(FILTER(K$4:K1673,K$4:K1673&lt;1000000000),1),K$4:K1673)))),AND(K690&lt;1000000000,COUNTA(C690:C1673)&gt;0,P$3=FALSE),
ROUNDDOWN(INDEX(Y$4:Y1673,MATCH(LARGE(FILTER(W$4:W1673,W$4:W1673&lt;=I690),1),W$4:W1673"&amp;"))+(I690-LARGE(FILTER(W$4:W1673,W$4:W1673&lt;=I690),1))*INDEX(T$4:T1673,MATCH(LARGE(FILTER(W$4:W1673,W$4:W1673&lt;=I690),1),W$4:W1673))-K690),1,
ROUNDDOWN(Y690-INDEX(K$4:K1673,MATCH(LARGE(FILTER(I$4:I1673,I$4:I1673&lt;=W690),1),I$4:I1673))-(W690-LARGE(FILTER(I$4:I"&amp;"1673,I$4:I1673&lt;=W690),1))*INDEX(F$4:F1673,MATCH(LARGE(FILTER(I$4:I1673,I$4:I1673&lt;=W690),1),I$4:I1673))))"),"")</f>
        <v/>
      </c>
      <c r="N690" s="60" t="str">
        <f t="shared" si="8"/>
        <v/>
      </c>
      <c r="O690" s="61" t="str">
        <f t="shared" si="9"/>
        <v/>
      </c>
      <c r="P690" s="56" t="str">
        <f t="shared" si="10"/>
        <v/>
      </c>
      <c r="Q690" s="105"/>
      <c r="R690" s="10"/>
      <c r="S690" s="59" t="str">
        <f t="array" ref="S690">IF(COUNTA(Q690:Q1673)=0,"",SUM((COUNTIF(Q$4:Q690,Upgrades!$B$3:$B$13)-COUNTIF(Q$4:Q690,"Sell_"&amp;Upgrades!$B$3:$B$13))*Upgrades!$D$3:$D$13))</f>
        <v/>
      </c>
      <c r="T690" s="66" t="str">
        <f>IFERROR(__xludf.DUMMYFUNCTION("IF(COUNTA(Q690:Q1673)=0,"""",IF(REGEXMATCH(INDEX(FILTER(Q$4:Q690,Q$4:Q690&lt;&gt;""""),ROWS(FILTER(Q$4:Q690,Q$4:Q690&lt;&gt;""""))),""^Sell_""),INDEX(FILTER(T$4:T689,Q$4:Q689&lt;&gt;""""),ROWS(FILTER(Q$4:Q689,Q$4:Q689&lt;&gt;""""))),$AD$5+S690))"),"")</f>
        <v/>
      </c>
      <c r="U690" s="10" t="str">
        <f>IFERROR(__xludf.DUMMYFUNCTION("IF(COUNTA(Q690:Q1673)=0,"""",IF(Q690="""",0,IF(REGEXMATCH(Q690,""^Sell_""),-ROUNDDOWN(ROUNDUP(INDEX(Upgrades!$C$3:$C$13,MATCH(SUBSTITUTE(Q690,""Sell_"",""""),Upgrades!$B$3:$B$13,0))*1.15^(COUNTIF(Q$4:Q689,SUBSTITUTE(Q690,""Sell_"",""""))-COUNTIF(Q$4:Q689,"&amp;"""Sell_""&amp;SUBSTITUTE(Q690,""Sell_"",""""))))/2),ROUNDUP(INDEX(Upgrades!$C$3:$C$13,MATCH(Q690,Upgrades!$B$3:$B$13,0))*1.15^(COUNTIF(Q$4:Q689,Q690)-COUNTIF(Q$4:Q689,""Sell_""&amp;Q690))))))"),"")</f>
        <v/>
      </c>
      <c r="V690" s="10" t="str">
        <f t="shared" si="11"/>
        <v/>
      </c>
      <c r="W690" s="68" t="str">
        <f t="shared" si="12"/>
        <v/>
      </c>
      <c r="X690" s="59" t="str">
        <f t="shared" si="13"/>
        <v/>
      </c>
      <c r="Y690" s="69" t="str">
        <f t="shared" si="14"/>
        <v/>
      </c>
      <c r="Z690" s="11"/>
    </row>
    <row r="691">
      <c r="A691" s="8"/>
      <c r="B691" s="56" t="str">
        <f t="shared" si="2"/>
        <v/>
      </c>
      <c r="C691" s="105"/>
      <c r="D691" s="10"/>
      <c r="E691" s="59" t="str">
        <f t="array" ref="E691">IF(COUNTA(C691:C1673)=0,"",SUM((COUNTIF(C$4:C691,Upgrades!$B$3:$B$13)-COUNTIF(C$4:C691,"Sell_"&amp;Upgrades!$B$3:$B$13))*Upgrades!$D$3:$D$13))</f>
        <v/>
      </c>
      <c r="F691" s="66" t="str">
        <f>IFERROR(__xludf.DUMMYFUNCTION("IF(COUNTA(C691:C1673)=0,"""",IF(REGEXMATCH(INDEX(FILTER(C$4:C691,C$4:C691&lt;&gt;""""),ROWS(FILTER(C$4:C691,C$4:C691&lt;&gt;""""))),""^Sell_""),INDEX(FILTER(F$4:F690,C$4:C690&lt;&gt;""""),ROWS(FILTER(C$4:C690,C$4:C690&lt;&gt;""""))),$AC$5+E691))"),"")</f>
        <v/>
      </c>
      <c r="G691" s="10" t="str">
        <f>IFERROR(__xludf.DUMMYFUNCTION("IF(COUNTA(C691:C1673)=0,"""",IF(C691="""",0,IF(REGEXMATCH(C691,""^Sell_""),-ROUNDDOWN(ROUNDUP(INDEX(Upgrades!$C$3:$C$13,MATCH(SUBSTITUTE(C691,""Sell_"",""""),Upgrades!$B$3:$B$13,0))*1.15^(COUNTIF(C$4:C690,SUBSTITUTE(C691,""Sell_"",""""))-COUNTIF(C$4:C690,"&amp;"""Sell_""&amp;SUBSTITUTE(C691,""Sell_"",""""))))/2),ROUNDUP(INDEX(Upgrades!$C$3:$C$13,MATCH(C691,Upgrades!$B$3:$B$13,0))*1.15^(COUNTIF(C$4:C690,C691)-COUNTIF(C$4:C690,""Sell_""&amp;C691))))))"),"")</f>
        <v/>
      </c>
      <c r="H691" s="10" t="str">
        <f t="shared" si="3"/>
        <v/>
      </c>
      <c r="I691" s="68" t="str">
        <f t="shared" si="4"/>
        <v/>
      </c>
      <c r="J691" s="59" t="str">
        <f t="shared" si="5"/>
        <v/>
      </c>
      <c r="K691" s="69" t="str">
        <f t="shared" si="6"/>
        <v/>
      </c>
      <c r="L691" s="60" t="str">
        <f t="shared" si="7"/>
        <v/>
      </c>
      <c r="M691" s="61" t="str">
        <f>IFERROR(__xludf.DUMMYFUNCTION("IFS(AND(COUNTA(C691:C1673)=0,COUNTA(Q691:Q1673)=0),"""",OR(AND(K691&gt;=1000000000,OR(Y691&gt;=1000000000,COUNTA(Q691:Q1673)=0)),OR(Y691&gt;=1000000000,AND(COUNTA(C691:C1673)=0,P$3=TRUE))),
ROUNDDOWN((AB$1-AC$1)*MAX(INDEX(T$4:T1673,MATCH(LARGE(FILTER(Y$4:Y1673,Y$4"&amp;":Y1673&lt;1000000000),1),Y$4:Y1673)),INDEX(F$4:F1673,MATCH(LARGE(FILTER(K$4:K1673,K$4:K1673&lt;1000000000),1),K$4:K1673)))),AND(K691&lt;1000000000,COUNTA(C691:C1673)&gt;0,P$3=FALSE),
ROUNDDOWN(INDEX(Y$4:Y1673,MATCH(LARGE(FILTER(W$4:W1673,W$4:W1673&lt;=I691),1),W$4:W1673"&amp;"))+(I691-LARGE(FILTER(W$4:W1673,W$4:W1673&lt;=I691),1))*INDEX(T$4:T1673,MATCH(LARGE(FILTER(W$4:W1673,W$4:W1673&lt;=I691),1),W$4:W1673))-K691),1,
ROUNDDOWN(Y691-INDEX(K$4:K1673,MATCH(LARGE(FILTER(I$4:I1673,I$4:I1673&lt;=W691),1),I$4:I1673))-(W691-LARGE(FILTER(I$4:I"&amp;"1673,I$4:I1673&lt;=W691),1))*INDEX(F$4:F1673,MATCH(LARGE(FILTER(I$4:I1673,I$4:I1673&lt;=W691),1),I$4:I1673))))"),"")</f>
        <v/>
      </c>
      <c r="N691" s="60" t="str">
        <f t="shared" si="8"/>
        <v/>
      </c>
      <c r="O691" s="61" t="str">
        <f t="shared" si="9"/>
        <v/>
      </c>
      <c r="P691" s="56" t="str">
        <f t="shared" si="10"/>
        <v/>
      </c>
      <c r="Q691" s="105"/>
      <c r="R691" s="10"/>
      <c r="S691" s="59" t="str">
        <f t="array" ref="S691">IF(COUNTA(Q691:Q1673)=0,"",SUM((COUNTIF(Q$4:Q691,Upgrades!$B$3:$B$13)-COUNTIF(Q$4:Q691,"Sell_"&amp;Upgrades!$B$3:$B$13))*Upgrades!$D$3:$D$13))</f>
        <v/>
      </c>
      <c r="T691" s="66" t="str">
        <f>IFERROR(__xludf.DUMMYFUNCTION("IF(COUNTA(Q691:Q1673)=0,"""",IF(REGEXMATCH(INDEX(FILTER(Q$4:Q691,Q$4:Q691&lt;&gt;""""),ROWS(FILTER(Q$4:Q691,Q$4:Q691&lt;&gt;""""))),""^Sell_""),INDEX(FILTER(T$4:T690,Q$4:Q690&lt;&gt;""""),ROWS(FILTER(Q$4:Q690,Q$4:Q690&lt;&gt;""""))),$AD$5+S691))"),"")</f>
        <v/>
      </c>
      <c r="U691" s="10" t="str">
        <f>IFERROR(__xludf.DUMMYFUNCTION("IF(COUNTA(Q691:Q1673)=0,"""",IF(Q691="""",0,IF(REGEXMATCH(Q691,""^Sell_""),-ROUNDDOWN(ROUNDUP(INDEX(Upgrades!$C$3:$C$13,MATCH(SUBSTITUTE(Q691,""Sell_"",""""),Upgrades!$B$3:$B$13,0))*1.15^(COUNTIF(Q$4:Q690,SUBSTITUTE(Q691,""Sell_"",""""))-COUNTIF(Q$4:Q690,"&amp;"""Sell_""&amp;SUBSTITUTE(Q691,""Sell_"",""""))))/2),ROUNDUP(INDEX(Upgrades!$C$3:$C$13,MATCH(Q691,Upgrades!$B$3:$B$13,0))*1.15^(COUNTIF(Q$4:Q690,Q691)-COUNTIF(Q$4:Q690,""Sell_""&amp;Q691))))))"),"")</f>
        <v/>
      </c>
      <c r="V691" s="10" t="str">
        <f t="shared" si="11"/>
        <v/>
      </c>
      <c r="W691" s="68" t="str">
        <f t="shared" si="12"/>
        <v/>
      </c>
      <c r="X691" s="59" t="str">
        <f t="shared" si="13"/>
        <v/>
      </c>
      <c r="Y691" s="69" t="str">
        <f t="shared" si="14"/>
        <v/>
      </c>
      <c r="Z691" s="11"/>
    </row>
    <row r="692">
      <c r="A692" s="8"/>
      <c r="B692" s="56" t="str">
        <f t="shared" si="2"/>
        <v/>
      </c>
      <c r="C692" s="105"/>
      <c r="D692" s="10"/>
      <c r="E692" s="59" t="str">
        <f t="array" ref="E692">IF(COUNTA(C692:C1673)=0,"",SUM((COUNTIF(C$4:C692,Upgrades!$B$3:$B$13)-COUNTIF(C$4:C692,"Sell_"&amp;Upgrades!$B$3:$B$13))*Upgrades!$D$3:$D$13))</f>
        <v/>
      </c>
      <c r="F692" s="66" t="str">
        <f>IFERROR(__xludf.DUMMYFUNCTION("IF(COUNTA(C692:C1673)=0,"""",IF(REGEXMATCH(INDEX(FILTER(C$4:C692,C$4:C692&lt;&gt;""""),ROWS(FILTER(C$4:C692,C$4:C692&lt;&gt;""""))),""^Sell_""),INDEX(FILTER(F$4:F691,C$4:C691&lt;&gt;""""),ROWS(FILTER(C$4:C691,C$4:C691&lt;&gt;""""))),$AC$5+E692))"),"")</f>
        <v/>
      </c>
      <c r="G692" s="10" t="str">
        <f>IFERROR(__xludf.DUMMYFUNCTION("IF(COUNTA(C692:C1673)=0,"""",IF(C692="""",0,IF(REGEXMATCH(C692,""^Sell_""),-ROUNDDOWN(ROUNDUP(INDEX(Upgrades!$C$3:$C$13,MATCH(SUBSTITUTE(C692,""Sell_"",""""),Upgrades!$B$3:$B$13,0))*1.15^(COUNTIF(C$4:C691,SUBSTITUTE(C692,""Sell_"",""""))-COUNTIF(C$4:C691,"&amp;"""Sell_""&amp;SUBSTITUTE(C692,""Sell_"",""""))))/2),ROUNDUP(INDEX(Upgrades!$C$3:$C$13,MATCH(C692,Upgrades!$B$3:$B$13,0))*1.15^(COUNTIF(C$4:C691,C692)-COUNTIF(C$4:C691,""Sell_""&amp;C692))))))"),"")</f>
        <v/>
      </c>
      <c r="H692" s="10" t="str">
        <f t="shared" si="3"/>
        <v/>
      </c>
      <c r="I692" s="68" t="str">
        <f t="shared" si="4"/>
        <v/>
      </c>
      <c r="J692" s="59" t="str">
        <f t="shared" si="5"/>
        <v/>
      </c>
      <c r="K692" s="69" t="str">
        <f t="shared" si="6"/>
        <v/>
      </c>
      <c r="L692" s="60" t="str">
        <f t="shared" si="7"/>
        <v/>
      </c>
      <c r="M692" s="61" t="str">
        <f>IFERROR(__xludf.DUMMYFUNCTION("IFS(AND(COUNTA(C692:C1673)=0,COUNTA(Q692:Q1673)=0),"""",OR(AND(K692&gt;=1000000000,OR(Y692&gt;=1000000000,COUNTA(Q692:Q1673)=0)),OR(Y692&gt;=1000000000,AND(COUNTA(C692:C1673)=0,P$3=TRUE))),
ROUNDDOWN((AB$1-AC$1)*MAX(INDEX(T$4:T1673,MATCH(LARGE(FILTER(Y$4:Y1673,Y$4"&amp;":Y1673&lt;1000000000),1),Y$4:Y1673)),INDEX(F$4:F1673,MATCH(LARGE(FILTER(K$4:K1673,K$4:K1673&lt;1000000000),1),K$4:K1673)))),AND(K692&lt;1000000000,COUNTA(C692:C1673)&gt;0,P$3=FALSE),
ROUNDDOWN(INDEX(Y$4:Y1673,MATCH(LARGE(FILTER(W$4:W1673,W$4:W1673&lt;=I692),1),W$4:W1673"&amp;"))+(I692-LARGE(FILTER(W$4:W1673,W$4:W1673&lt;=I692),1))*INDEX(T$4:T1673,MATCH(LARGE(FILTER(W$4:W1673,W$4:W1673&lt;=I692),1),W$4:W1673))-K692),1,
ROUNDDOWN(Y692-INDEX(K$4:K1673,MATCH(LARGE(FILTER(I$4:I1673,I$4:I1673&lt;=W692),1),I$4:I1673))-(W692-LARGE(FILTER(I$4:I"&amp;"1673,I$4:I1673&lt;=W692),1))*INDEX(F$4:F1673,MATCH(LARGE(FILTER(I$4:I1673,I$4:I1673&lt;=W692),1),I$4:I1673))))"),"")</f>
        <v/>
      </c>
      <c r="N692" s="60" t="str">
        <f t="shared" si="8"/>
        <v/>
      </c>
      <c r="O692" s="61" t="str">
        <f t="shared" si="9"/>
        <v/>
      </c>
      <c r="P692" s="56" t="str">
        <f t="shared" si="10"/>
        <v/>
      </c>
      <c r="Q692" s="105"/>
      <c r="R692" s="10"/>
      <c r="S692" s="59" t="str">
        <f t="array" ref="S692">IF(COUNTA(Q692:Q1673)=0,"",SUM((COUNTIF(Q$4:Q692,Upgrades!$B$3:$B$13)-COUNTIF(Q$4:Q692,"Sell_"&amp;Upgrades!$B$3:$B$13))*Upgrades!$D$3:$D$13))</f>
        <v/>
      </c>
      <c r="T692" s="66" t="str">
        <f>IFERROR(__xludf.DUMMYFUNCTION("IF(COUNTA(Q692:Q1673)=0,"""",IF(REGEXMATCH(INDEX(FILTER(Q$4:Q692,Q$4:Q692&lt;&gt;""""),ROWS(FILTER(Q$4:Q692,Q$4:Q692&lt;&gt;""""))),""^Sell_""),INDEX(FILTER(T$4:T691,Q$4:Q691&lt;&gt;""""),ROWS(FILTER(Q$4:Q691,Q$4:Q691&lt;&gt;""""))),$AD$5+S692))"),"")</f>
        <v/>
      </c>
      <c r="U692" s="10" t="str">
        <f>IFERROR(__xludf.DUMMYFUNCTION("IF(COUNTA(Q692:Q1673)=0,"""",IF(Q692="""",0,IF(REGEXMATCH(Q692,""^Sell_""),-ROUNDDOWN(ROUNDUP(INDEX(Upgrades!$C$3:$C$13,MATCH(SUBSTITUTE(Q692,""Sell_"",""""),Upgrades!$B$3:$B$13,0))*1.15^(COUNTIF(Q$4:Q691,SUBSTITUTE(Q692,""Sell_"",""""))-COUNTIF(Q$4:Q691,"&amp;"""Sell_""&amp;SUBSTITUTE(Q692,""Sell_"",""""))))/2),ROUNDUP(INDEX(Upgrades!$C$3:$C$13,MATCH(Q692,Upgrades!$B$3:$B$13,0))*1.15^(COUNTIF(Q$4:Q691,Q692)-COUNTIF(Q$4:Q691,""Sell_""&amp;Q692))))))"),"")</f>
        <v/>
      </c>
      <c r="V692" s="10" t="str">
        <f t="shared" si="11"/>
        <v/>
      </c>
      <c r="W692" s="68" t="str">
        <f t="shared" si="12"/>
        <v/>
      </c>
      <c r="X692" s="59" t="str">
        <f t="shared" si="13"/>
        <v/>
      </c>
      <c r="Y692" s="69" t="str">
        <f t="shared" si="14"/>
        <v/>
      </c>
      <c r="Z692" s="11"/>
    </row>
    <row r="693">
      <c r="A693" s="8"/>
      <c r="B693" s="56" t="str">
        <f t="shared" si="2"/>
        <v/>
      </c>
      <c r="C693" s="105"/>
      <c r="D693" s="10"/>
      <c r="E693" s="59" t="str">
        <f t="array" ref="E693">IF(COUNTA(C693:C1673)=0,"",SUM((COUNTIF(C$4:C693,Upgrades!$B$3:$B$13)-COUNTIF(C$4:C693,"Sell_"&amp;Upgrades!$B$3:$B$13))*Upgrades!$D$3:$D$13))</f>
        <v/>
      </c>
      <c r="F693" s="66" t="str">
        <f>IFERROR(__xludf.DUMMYFUNCTION("IF(COUNTA(C693:C1673)=0,"""",IF(REGEXMATCH(INDEX(FILTER(C$4:C693,C$4:C693&lt;&gt;""""),ROWS(FILTER(C$4:C693,C$4:C693&lt;&gt;""""))),""^Sell_""),INDEX(FILTER(F$4:F692,C$4:C692&lt;&gt;""""),ROWS(FILTER(C$4:C692,C$4:C692&lt;&gt;""""))),$AC$5+E693))"),"")</f>
        <v/>
      </c>
      <c r="G693" s="10" t="str">
        <f>IFERROR(__xludf.DUMMYFUNCTION("IF(COUNTA(C693:C1673)=0,"""",IF(C693="""",0,IF(REGEXMATCH(C693,""^Sell_""),-ROUNDDOWN(ROUNDUP(INDEX(Upgrades!$C$3:$C$13,MATCH(SUBSTITUTE(C693,""Sell_"",""""),Upgrades!$B$3:$B$13,0))*1.15^(COUNTIF(C$4:C692,SUBSTITUTE(C693,""Sell_"",""""))-COUNTIF(C$4:C692,"&amp;"""Sell_""&amp;SUBSTITUTE(C693,""Sell_"",""""))))/2),ROUNDUP(INDEX(Upgrades!$C$3:$C$13,MATCH(C693,Upgrades!$B$3:$B$13,0))*1.15^(COUNTIF(C$4:C692,C693)-COUNTIF(C$4:C692,""Sell_""&amp;C693))))))"),"")</f>
        <v/>
      </c>
      <c r="H693" s="10" t="str">
        <f t="shared" si="3"/>
        <v/>
      </c>
      <c r="I693" s="68" t="str">
        <f t="shared" si="4"/>
        <v/>
      </c>
      <c r="J693" s="59" t="str">
        <f t="shared" si="5"/>
        <v/>
      </c>
      <c r="K693" s="69" t="str">
        <f t="shared" si="6"/>
        <v/>
      </c>
      <c r="L693" s="60" t="str">
        <f t="shared" si="7"/>
        <v/>
      </c>
      <c r="M693" s="61" t="str">
        <f>IFERROR(__xludf.DUMMYFUNCTION("IFS(AND(COUNTA(C693:C1673)=0,COUNTA(Q693:Q1673)=0),"""",OR(AND(K693&gt;=1000000000,OR(Y693&gt;=1000000000,COUNTA(Q693:Q1673)=0)),OR(Y693&gt;=1000000000,AND(COUNTA(C693:C1673)=0,P$3=TRUE))),
ROUNDDOWN((AB$1-AC$1)*MAX(INDEX(T$4:T1673,MATCH(LARGE(FILTER(Y$4:Y1673,Y$4"&amp;":Y1673&lt;1000000000),1),Y$4:Y1673)),INDEX(F$4:F1673,MATCH(LARGE(FILTER(K$4:K1673,K$4:K1673&lt;1000000000),1),K$4:K1673)))),AND(K693&lt;1000000000,COUNTA(C693:C1673)&gt;0,P$3=FALSE),
ROUNDDOWN(INDEX(Y$4:Y1673,MATCH(LARGE(FILTER(W$4:W1673,W$4:W1673&lt;=I693),1),W$4:W1673"&amp;"))+(I693-LARGE(FILTER(W$4:W1673,W$4:W1673&lt;=I693),1))*INDEX(T$4:T1673,MATCH(LARGE(FILTER(W$4:W1673,W$4:W1673&lt;=I693),1),W$4:W1673))-K693),1,
ROUNDDOWN(Y693-INDEX(K$4:K1673,MATCH(LARGE(FILTER(I$4:I1673,I$4:I1673&lt;=W693),1),I$4:I1673))-(W693-LARGE(FILTER(I$4:I"&amp;"1673,I$4:I1673&lt;=W693),1))*INDEX(F$4:F1673,MATCH(LARGE(FILTER(I$4:I1673,I$4:I1673&lt;=W693),1),I$4:I1673))))"),"")</f>
        <v/>
      </c>
      <c r="N693" s="60" t="str">
        <f t="shared" si="8"/>
        <v/>
      </c>
      <c r="O693" s="61" t="str">
        <f t="shared" si="9"/>
        <v/>
      </c>
      <c r="P693" s="56" t="str">
        <f t="shared" si="10"/>
        <v/>
      </c>
      <c r="Q693" s="105"/>
      <c r="R693" s="10"/>
      <c r="S693" s="59" t="str">
        <f t="array" ref="S693">IF(COUNTA(Q693:Q1673)=0,"",SUM((COUNTIF(Q$4:Q693,Upgrades!$B$3:$B$13)-COUNTIF(Q$4:Q693,"Sell_"&amp;Upgrades!$B$3:$B$13))*Upgrades!$D$3:$D$13))</f>
        <v/>
      </c>
      <c r="T693" s="66" t="str">
        <f>IFERROR(__xludf.DUMMYFUNCTION("IF(COUNTA(Q693:Q1673)=0,"""",IF(REGEXMATCH(INDEX(FILTER(Q$4:Q693,Q$4:Q693&lt;&gt;""""),ROWS(FILTER(Q$4:Q693,Q$4:Q693&lt;&gt;""""))),""^Sell_""),INDEX(FILTER(T$4:T692,Q$4:Q692&lt;&gt;""""),ROWS(FILTER(Q$4:Q692,Q$4:Q692&lt;&gt;""""))),$AD$5+S693))"),"")</f>
        <v/>
      </c>
      <c r="U693" s="10" t="str">
        <f>IFERROR(__xludf.DUMMYFUNCTION("IF(COUNTA(Q693:Q1673)=0,"""",IF(Q693="""",0,IF(REGEXMATCH(Q693,""^Sell_""),-ROUNDDOWN(ROUNDUP(INDEX(Upgrades!$C$3:$C$13,MATCH(SUBSTITUTE(Q693,""Sell_"",""""),Upgrades!$B$3:$B$13,0))*1.15^(COUNTIF(Q$4:Q692,SUBSTITUTE(Q693,""Sell_"",""""))-COUNTIF(Q$4:Q692,"&amp;"""Sell_""&amp;SUBSTITUTE(Q693,""Sell_"",""""))))/2),ROUNDUP(INDEX(Upgrades!$C$3:$C$13,MATCH(Q693,Upgrades!$B$3:$B$13,0))*1.15^(COUNTIF(Q$4:Q692,Q693)-COUNTIF(Q$4:Q692,""Sell_""&amp;Q693))))))"),"")</f>
        <v/>
      </c>
      <c r="V693" s="10" t="str">
        <f t="shared" si="11"/>
        <v/>
      </c>
      <c r="W693" s="68" t="str">
        <f t="shared" si="12"/>
        <v/>
      </c>
      <c r="X693" s="59" t="str">
        <f t="shared" si="13"/>
        <v/>
      </c>
      <c r="Y693" s="69" t="str">
        <f t="shared" si="14"/>
        <v/>
      </c>
      <c r="Z693" s="11"/>
    </row>
    <row r="694">
      <c r="A694" s="8"/>
      <c r="B694" s="56" t="str">
        <f t="shared" si="2"/>
        <v/>
      </c>
      <c r="C694" s="105"/>
      <c r="D694" s="10"/>
      <c r="E694" s="59" t="str">
        <f t="array" ref="E694">IF(COUNTA(C694:C1673)=0,"",SUM((COUNTIF(C$4:C694,Upgrades!$B$3:$B$13)-COUNTIF(C$4:C694,"Sell_"&amp;Upgrades!$B$3:$B$13))*Upgrades!$D$3:$D$13))</f>
        <v/>
      </c>
      <c r="F694" s="66" t="str">
        <f>IFERROR(__xludf.DUMMYFUNCTION("IF(COUNTA(C694:C1673)=0,"""",IF(REGEXMATCH(INDEX(FILTER(C$4:C694,C$4:C694&lt;&gt;""""),ROWS(FILTER(C$4:C694,C$4:C694&lt;&gt;""""))),""^Sell_""),INDEX(FILTER(F$4:F693,C$4:C693&lt;&gt;""""),ROWS(FILTER(C$4:C693,C$4:C693&lt;&gt;""""))),$AC$5+E694))"),"")</f>
        <v/>
      </c>
      <c r="G694" s="10" t="str">
        <f>IFERROR(__xludf.DUMMYFUNCTION("IF(COUNTA(C694:C1673)=0,"""",IF(C694="""",0,IF(REGEXMATCH(C694,""^Sell_""),-ROUNDDOWN(ROUNDUP(INDEX(Upgrades!$C$3:$C$13,MATCH(SUBSTITUTE(C694,""Sell_"",""""),Upgrades!$B$3:$B$13,0))*1.15^(COUNTIF(C$4:C693,SUBSTITUTE(C694,""Sell_"",""""))-COUNTIF(C$4:C693,"&amp;"""Sell_""&amp;SUBSTITUTE(C694,""Sell_"",""""))))/2),ROUNDUP(INDEX(Upgrades!$C$3:$C$13,MATCH(C694,Upgrades!$B$3:$B$13,0))*1.15^(COUNTIF(C$4:C693,C694)-COUNTIF(C$4:C693,""Sell_""&amp;C694))))))"),"")</f>
        <v/>
      </c>
      <c r="H694" s="10" t="str">
        <f t="shared" si="3"/>
        <v/>
      </c>
      <c r="I694" s="68" t="str">
        <f t="shared" si="4"/>
        <v/>
      </c>
      <c r="J694" s="59" t="str">
        <f t="shared" si="5"/>
        <v/>
      </c>
      <c r="K694" s="69" t="str">
        <f t="shared" si="6"/>
        <v/>
      </c>
      <c r="L694" s="60" t="str">
        <f t="shared" si="7"/>
        <v/>
      </c>
      <c r="M694" s="61" t="str">
        <f>IFERROR(__xludf.DUMMYFUNCTION("IFS(AND(COUNTA(C694:C1673)=0,COUNTA(Q694:Q1673)=0),"""",OR(AND(K694&gt;=1000000000,OR(Y694&gt;=1000000000,COUNTA(Q694:Q1673)=0)),OR(Y694&gt;=1000000000,AND(COUNTA(C694:C1673)=0,P$3=TRUE))),
ROUNDDOWN((AB$1-AC$1)*MAX(INDEX(T$4:T1673,MATCH(LARGE(FILTER(Y$4:Y1673,Y$4"&amp;":Y1673&lt;1000000000),1),Y$4:Y1673)),INDEX(F$4:F1673,MATCH(LARGE(FILTER(K$4:K1673,K$4:K1673&lt;1000000000),1),K$4:K1673)))),AND(K694&lt;1000000000,COUNTA(C694:C1673)&gt;0,P$3=FALSE),
ROUNDDOWN(INDEX(Y$4:Y1673,MATCH(LARGE(FILTER(W$4:W1673,W$4:W1673&lt;=I694),1),W$4:W1673"&amp;"))+(I694-LARGE(FILTER(W$4:W1673,W$4:W1673&lt;=I694),1))*INDEX(T$4:T1673,MATCH(LARGE(FILTER(W$4:W1673,W$4:W1673&lt;=I694),1),W$4:W1673))-K694),1,
ROUNDDOWN(Y694-INDEX(K$4:K1673,MATCH(LARGE(FILTER(I$4:I1673,I$4:I1673&lt;=W694),1),I$4:I1673))-(W694-LARGE(FILTER(I$4:I"&amp;"1673,I$4:I1673&lt;=W694),1))*INDEX(F$4:F1673,MATCH(LARGE(FILTER(I$4:I1673,I$4:I1673&lt;=W694),1),I$4:I1673))))"),"")</f>
        <v/>
      </c>
      <c r="N694" s="60" t="str">
        <f t="shared" si="8"/>
        <v/>
      </c>
      <c r="O694" s="61" t="str">
        <f t="shared" si="9"/>
        <v/>
      </c>
      <c r="P694" s="56" t="str">
        <f t="shared" si="10"/>
        <v/>
      </c>
      <c r="Q694" s="105"/>
      <c r="R694" s="10"/>
      <c r="S694" s="59" t="str">
        <f t="array" ref="S694">IF(COUNTA(Q694:Q1673)=0,"",SUM((COUNTIF(Q$4:Q694,Upgrades!$B$3:$B$13)-COUNTIF(Q$4:Q694,"Sell_"&amp;Upgrades!$B$3:$B$13))*Upgrades!$D$3:$D$13))</f>
        <v/>
      </c>
      <c r="T694" s="66" t="str">
        <f>IFERROR(__xludf.DUMMYFUNCTION("IF(COUNTA(Q694:Q1673)=0,"""",IF(REGEXMATCH(INDEX(FILTER(Q$4:Q694,Q$4:Q694&lt;&gt;""""),ROWS(FILTER(Q$4:Q694,Q$4:Q694&lt;&gt;""""))),""^Sell_""),INDEX(FILTER(T$4:T693,Q$4:Q693&lt;&gt;""""),ROWS(FILTER(Q$4:Q693,Q$4:Q693&lt;&gt;""""))),$AD$5+S694))"),"")</f>
        <v/>
      </c>
      <c r="U694" s="10" t="str">
        <f>IFERROR(__xludf.DUMMYFUNCTION("IF(COUNTA(Q694:Q1673)=0,"""",IF(Q694="""",0,IF(REGEXMATCH(Q694,""^Sell_""),-ROUNDDOWN(ROUNDUP(INDEX(Upgrades!$C$3:$C$13,MATCH(SUBSTITUTE(Q694,""Sell_"",""""),Upgrades!$B$3:$B$13,0))*1.15^(COUNTIF(Q$4:Q693,SUBSTITUTE(Q694,""Sell_"",""""))-COUNTIF(Q$4:Q693,"&amp;"""Sell_""&amp;SUBSTITUTE(Q694,""Sell_"",""""))))/2),ROUNDUP(INDEX(Upgrades!$C$3:$C$13,MATCH(Q694,Upgrades!$B$3:$B$13,0))*1.15^(COUNTIF(Q$4:Q693,Q694)-COUNTIF(Q$4:Q693,""Sell_""&amp;Q694))))))"),"")</f>
        <v/>
      </c>
      <c r="V694" s="10" t="str">
        <f t="shared" si="11"/>
        <v/>
      </c>
      <c r="W694" s="68" t="str">
        <f t="shared" si="12"/>
        <v/>
      </c>
      <c r="X694" s="59" t="str">
        <f t="shared" si="13"/>
        <v/>
      </c>
      <c r="Y694" s="69" t="str">
        <f t="shared" si="14"/>
        <v/>
      </c>
      <c r="Z694" s="11"/>
    </row>
    <row r="695">
      <c r="A695" s="8"/>
      <c r="B695" s="56" t="str">
        <f t="shared" si="2"/>
        <v/>
      </c>
      <c r="C695" s="105"/>
      <c r="D695" s="10"/>
      <c r="E695" s="59" t="str">
        <f t="array" ref="E695">IF(COUNTA(C695:C1673)=0,"",SUM((COUNTIF(C$4:C695,Upgrades!$B$3:$B$13)-COUNTIF(C$4:C695,"Sell_"&amp;Upgrades!$B$3:$B$13))*Upgrades!$D$3:$D$13))</f>
        <v/>
      </c>
      <c r="F695" s="66" t="str">
        <f>IFERROR(__xludf.DUMMYFUNCTION("IF(COUNTA(C695:C1673)=0,"""",IF(REGEXMATCH(INDEX(FILTER(C$4:C695,C$4:C695&lt;&gt;""""),ROWS(FILTER(C$4:C695,C$4:C695&lt;&gt;""""))),""^Sell_""),INDEX(FILTER(F$4:F694,C$4:C694&lt;&gt;""""),ROWS(FILTER(C$4:C694,C$4:C694&lt;&gt;""""))),$AC$5+E695))"),"")</f>
        <v/>
      </c>
      <c r="G695" s="10" t="str">
        <f>IFERROR(__xludf.DUMMYFUNCTION("IF(COUNTA(C695:C1673)=0,"""",IF(C695="""",0,IF(REGEXMATCH(C695,""^Sell_""),-ROUNDDOWN(ROUNDUP(INDEX(Upgrades!$C$3:$C$13,MATCH(SUBSTITUTE(C695,""Sell_"",""""),Upgrades!$B$3:$B$13,0))*1.15^(COUNTIF(C$4:C694,SUBSTITUTE(C695,""Sell_"",""""))-COUNTIF(C$4:C694,"&amp;"""Sell_""&amp;SUBSTITUTE(C695,""Sell_"",""""))))/2),ROUNDUP(INDEX(Upgrades!$C$3:$C$13,MATCH(C695,Upgrades!$B$3:$B$13,0))*1.15^(COUNTIF(C$4:C694,C695)-COUNTIF(C$4:C694,""Sell_""&amp;C695))))))"),"")</f>
        <v/>
      </c>
      <c r="H695" s="10" t="str">
        <f t="shared" si="3"/>
        <v/>
      </c>
      <c r="I695" s="68" t="str">
        <f t="shared" si="4"/>
        <v/>
      </c>
      <c r="J695" s="59" t="str">
        <f t="shared" si="5"/>
        <v/>
      </c>
      <c r="K695" s="69" t="str">
        <f t="shared" si="6"/>
        <v/>
      </c>
      <c r="L695" s="60" t="str">
        <f t="shared" si="7"/>
        <v/>
      </c>
      <c r="M695" s="61" t="str">
        <f>IFERROR(__xludf.DUMMYFUNCTION("IFS(AND(COUNTA(C695:C1673)=0,COUNTA(Q695:Q1673)=0),"""",OR(AND(K695&gt;=1000000000,OR(Y695&gt;=1000000000,COUNTA(Q695:Q1673)=0)),OR(Y695&gt;=1000000000,AND(COUNTA(C695:C1673)=0,P$3=TRUE))),
ROUNDDOWN((AB$1-AC$1)*MAX(INDEX(T$4:T1673,MATCH(LARGE(FILTER(Y$4:Y1673,Y$4"&amp;":Y1673&lt;1000000000),1),Y$4:Y1673)),INDEX(F$4:F1673,MATCH(LARGE(FILTER(K$4:K1673,K$4:K1673&lt;1000000000),1),K$4:K1673)))),AND(K695&lt;1000000000,COUNTA(C695:C1673)&gt;0,P$3=FALSE),
ROUNDDOWN(INDEX(Y$4:Y1673,MATCH(LARGE(FILTER(W$4:W1673,W$4:W1673&lt;=I695),1),W$4:W1673"&amp;"))+(I695-LARGE(FILTER(W$4:W1673,W$4:W1673&lt;=I695),1))*INDEX(T$4:T1673,MATCH(LARGE(FILTER(W$4:W1673,W$4:W1673&lt;=I695),1),W$4:W1673))-K695),1,
ROUNDDOWN(Y695-INDEX(K$4:K1673,MATCH(LARGE(FILTER(I$4:I1673,I$4:I1673&lt;=W695),1),I$4:I1673))-(W695-LARGE(FILTER(I$4:I"&amp;"1673,I$4:I1673&lt;=W695),1))*INDEX(F$4:F1673,MATCH(LARGE(FILTER(I$4:I1673,I$4:I1673&lt;=W695),1),I$4:I1673))))"),"")</f>
        <v/>
      </c>
      <c r="N695" s="60" t="str">
        <f t="shared" si="8"/>
        <v/>
      </c>
      <c r="O695" s="61" t="str">
        <f t="shared" si="9"/>
        <v/>
      </c>
      <c r="P695" s="56" t="str">
        <f t="shared" si="10"/>
        <v/>
      </c>
      <c r="Q695" s="105"/>
      <c r="R695" s="10"/>
      <c r="S695" s="59" t="str">
        <f t="array" ref="S695">IF(COUNTA(Q695:Q1673)=0,"",SUM((COUNTIF(Q$4:Q695,Upgrades!$B$3:$B$13)-COUNTIF(Q$4:Q695,"Sell_"&amp;Upgrades!$B$3:$B$13))*Upgrades!$D$3:$D$13))</f>
        <v/>
      </c>
      <c r="T695" s="66" t="str">
        <f>IFERROR(__xludf.DUMMYFUNCTION("IF(COUNTA(Q695:Q1673)=0,"""",IF(REGEXMATCH(INDEX(FILTER(Q$4:Q695,Q$4:Q695&lt;&gt;""""),ROWS(FILTER(Q$4:Q695,Q$4:Q695&lt;&gt;""""))),""^Sell_""),INDEX(FILTER(T$4:T694,Q$4:Q694&lt;&gt;""""),ROWS(FILTER(Q$4:Q694,Q$4:Q694&lt;&gt;""""))),$AD$5+S695))"),"")</f>
        <v/>
      </c>
      <c r="U695" s="10" t="str">
        <f>IFERROR(__xludf.DUMMYFUNCTION("IF(COUNTA(Q695:Q1673)=0,"""",IF(Q695="""",0,IF(REGEXMATCH(Q695,""^Sell_""),-ROUNDDOWN(ROUNDUP(INDEX(Upgrades!$C$3:$C$13,MATCH(SUBSTITUTE(Q695,""Sell_"",""""),Upgrades!$B$3:$B$13,0))*1.15^(COUNTIF(Q$4:Q694,SUBSTITUTE(Q695,""Sell_"",""""))-COUNTIF(Q$4:Q694,"&amp;"""Sell_""&amp;SUBSTITUTE(Q695,""Sell_"",""""))))/2),ROUNDUP(INDEX(Upgrades!$C$3:$C$13,MATCH(Q695,Upgrades!$B$3:$B$13,0))*1.15^(COUNTIF(Q$4:Q694,Q695)-COUNTIF(Q$4:Q694,""Sell_""&amp;Q695))))))"),"")</f>
        <v/>
      </c>
      <c r="V695" s="10" t="str">
        <f t="shared" si="11"/>
        <v/>
      </c>
      <c r="W695" s="68" t="str">
        <f t="shared" si="12"/>
        <v/>
      </c>
      <c r="X695" s="59" t="str">
        <f t="shared" si="13"/>
        <v/>
      </c>
      <c r="Y695" s="69" t="str">
        <f t="shared" si="14"/>
        <v/>
      </c>
      <c r="Z695" s="11"/>
    </row>
    <row r="696">
      <c r="A696" s="8"/>
      <c r="B696" s="56" t="str">
        <f t="shared" si="2"/>
        <v/>
      </c>
      <c r="C696" s="105"/>
      <c r="D696" s="10"/>
      <c r="E696" s="59" t="str">
        <f t="array" ref="E696">IF(COUNTA(C696:C1673)=0,"",SUM((COUNTIF(C$4:C696,Upgrades!$B$3:$B$13)-COUNTIF(C$4:C696,"Sell_"&amp;Upgrades!$B$3:$B$13))*Upgrades!$D$3:$D$13))</f>
        <v/>
      </c>
      <c r="F696" s="66" t="str">
        <f>IFERROR(__xludf.DUMMYFUNCTION("IF(COUNTA(C696:C1673)=0,"""",IF(REGEXMATCH(INDEX(FILTER(C$4:C696,C$4:C696&lt;&gt;""""),ROWS(FILTER(C$4:C696,C$4:C696&lt;&gt;""""))),""^Sell_""),INDEX(FILTER(F$4:F695,C$4:C695&lt;&gt;""""),ROWS(FILTER(C$4:C695,C$4:C695&lt;&gt;""""))),$AC$5+E696))"),"")</f>
        <v/>
      </c>
      <c r="G696" s="10" t="str">
        <f>IFERROR(__xludf.DUMMYFUNCTION("IF(COUNTA(C696:C1673)=0,"""",IF(C696="""",0,IF(REGEXMATCH(C696,""^Sell_""),-ROUNDDOWN(ROUNDUP(INDEX(Upgrades!$C$3:$C$13,MATCH(SUBSTITUTE(C696,""Sell_"",""""),Upgrades!$B$3:$B$13,0))*1.15^(COUNTIF(C$4:C695,SUBSTITUTE(C696,""Sell_"",""""))-COUNTIF(C$4:C695,"&amp;"""Sell_""&amp;SUBSTITUTE(C696,""Sell_"",""""))))/2),ROUNDUP(INDEX(Upgrades!$C$3:$C$13,MATCH(C696,Upgrades!$B$3:$B$13,0))*1.15^(COUNTIF(C$4:C695,C696)-COUNTIF(C$4:C695,""Sell_""&amp;C696))))))"),"")</f>
        <v/>
      </c>
      <c r="H696" s="10" t="str">
        <f t="shared" si="3"/>
        <v/>
      </c>
      <c r="I696" s="68" t="str">
        <f t="shared" si="4"/>
        <v/>
      </c>
      <c r="J696" s="59" t="str">
        <f t="shared" si="5"/>
        <v/>
      </c>
      <c r="K696" s="69" t="str">
        <f t="shared" si="6"/>
        <v/>
      </c>
      <c r="L696" s="60" t="str">
        <f t="shared" si="7"/>
        <v/>
      </c>
      <c r="M696" s="61" t="str">
        <f>IFERROR(__xludf.DUMMYFUNCTION("IFS(AND(COUNTA(C696:C1673)=0,COUNTA(Q696:Q1673)=0),"""",OR(AND(K696&gt;=1000000000,OR(Y696&gt;=1000000000,COUNTA(Q696:Q1673)=0)),OR(Y696&gt;=1000000000,AND(COUNTA(C696:C1673)=0,P$3=TRUE))),
ROUNDDOWN((AB$1-AC$1)*MAX(INDEX(T$4:T1673,MATCH(LARGE(FILTER(Y$4:Y1673,Y$4"&amp;":Y1673&lt;1000000000),1),Y$4:Y1673)),INDEX(F$4:F1673,MATCH(LARGE(FILTER(K$4:K1673,K$4:K1673&lt;1000000000),1),K$4:K1673)))),AND(K696&lt;1000000000,COUNTA(C696:C1673)&gt;0,P$3=FALSE),
ROUNDDOWN(INDEX(Y$4:Y1673,MATCH(LARGE(FILTER(W$4:W1673,W$4:W1673&lt;=I696),1),W$4:W1673"&amp;"))+(I696-LARGE(FILTER(W$4:W1673,W$4:W1673&lt;=I696),1))*INDEX(T$4:T1673,MATCH(LARGE(FILTER(W$4:W1673,W$4:W1673&lt;=I696),1),W$4:W1673))-K696),1,
ROUNDDOWN(Y696-INDEX(K$4:K1673,MATCH(LARGE(FILTER(I$4:I1673,I$4:I1673&lt;=W696),1),I$4:I1673))-(W696-LARGE(FILTER(I$4:I"&amp;"1673,I$4:I1673&lt;=W696),1))*INDEX(F$4:F1673,MATCH(LARGE(FILTER(I$4:I1673,I$4:I1673&lt;=W696),1),I$4:I1673))))"),"")</f>
        <v/>
      </c>
      <c r="N696" s="60" t="str">
        <f t="shared" si="8"/>
        <v/>
      </c>
      <c r="O696" s="61" t="str">
        <f t="shared" si="9"/>
        <v/>
      </c>
      <c r="P696" s="56" t="str">
        <f t="shared" si="10"/>
        <v/>
      </c>
      <c r="Q696" s="105"/>
      <c r="R696" s="10"/>
      <c r="S696" s="59" t="str">
        <f t="array" ref="S696">IF(COUNTA(Q696:Q1673)=0,"",SUM((COUNTIF(Q$4:Q696,Upgrades!$B$3:$B$13)-COUNTIF(Q$4:Q696,"Sell_"&amp;Upgrades!$B$3:$B$13))*Upgrades!$D$3:$D$13))</f>
        <v/>
      </c>
      <c r="T696" s="66" t="str">
        <f>IFERROR(__xludf.DUMMYFUNCTION("IF(COUNTA(Q696:Q1673)=0,"""",IF(REGEXMATCH(INDEX(FILTER(Q$4:Q696,Q$4:Q696&lt;&gt;""""),ROWS(FILTER(Q$4:Q696,Q$4:Q696&lt;&gt;""""))),""^Sell_""),INDEX(FILTER(T$4:T695,Q$4:Q695&lt;&gt;""""),ROWS(FILTER(Q$4:Q695,Q$4:Q695&lt;&gt;""""))),$AD$5+S696))"),"")</f>
        <v/>
      </c>
      <c r="U696" s="10" t="str">
        <f>IFERROR(__xludf.DUMMYFUNCTION("IF(COUNTA(Q696:Q1673)=0,"""",IF(Q696="""",0,IF(REGEXMATCH(Q696,""^Sell_""),-ROUNDDOWN(ROUNDUP(INDEX(Upgrades!$C$3:$C$13,MATCH(SUBSTITUTE(Q696,""Sell_"",""""),Upgrades!$B$3:$B$13,0))*1.15^(COUNTIF(Q$4:Q695,SUBSTITUTE(Q696,""Sell_"",""""))-COUNTIF(Q$4:Q695,"&amp;"""Sell_""&amp;SUBSTITUTE(Q696,""Sell_"",""""))))/2),ROUNDUP(INDEX(Upgrades!$C$3:$C$13,MATCH(Q696,Upgrades!$B$3:$B$13,0))*1.15^(COUNTIF(Q$4:Q695,Q696)-COUNTIF(Q$4:Q695,""Sell_""&amp;Q696))))))"),"")</f>
        <v/>
      </c>
      <c r="V696" s="10" t="str">
        <f t="shared" si="11"/>
        <v/>
      </c>
      <c r="W696" s="68" t="str">
        <f t="shared" si="12"/>
        <v/>
      </c>
      <c r="X696" s="59" t="str">
        <f t="shared" si="13"/>
        <v/>
      </c>
      <c r="Y696" s="69" t="str">
        <f t="shared" si="14"/>
        <v/>
      </c>
      <c r="Z696" s="11"/>
    </row>
    <row r="697">
      <c r="A697" s="8"/>
      <c r="B697" s="56" t="str">
        <f t="shared" si="2"/>
        <v/>
      </c>
      <c r="C697" s="105"/>
      <c r="D697" s="10"/>
      <c r="E697" s="59" t="str">
        <f t="array" ref="E697">IF(COUNTA(C697:C1673)=0,"",SUM((COUNTIF(C$4:C697,Upgrades!$B$3:$B$13)-COUNTIF(C$4:C697,"Sell_"&amp;Upgrades!$B$3:$B$13))*Upgrades!$D$3:$D$13))</f>
        <v/>
      </c>
      <c r="F697" s="66" t="str">
        <f>IFERROR(__xludf.DUMMYFUNCTION("IF(COUNTA(C697:C1673)=0,"""",IF(REGEXMATCH(INDEX(FILTER(C$4:C697,C$4:C697&lt;&gt;""""),ROWS(FILTER(C$4:C697,C$4:C697&lt;&gt;""""))),""^Sell_""),INDEX(FILTER(F$4:F696,C$4:C696&lt;&gt;""""),ROWS(FILTER(C$4:C696,C$4:C696&lt;&gt;""""))),$AC$5+E697))"),"")</f>
        <v/>
      </c>
      <c r="G697" s="10" t="str">
        <f>IFERROR(__xludf.DUMMYFUNCTION("IF(COUNTA(C697:C1673)=0,"""",IF(C697="""",0,IF(REGEXMATCH(C697,""^Sell_""),-ROUNDDOWN(ROUNDUP(INDEX(Upgrades!$C$3:$C$13,MATCH(SUBSTITUTE(C697,""Sell_"",""""),Upgrades!$B$3:$B$13,0))*1.15^(COUNTIF(C$4:C696,SUBSTITUTE(C697,""Sell_"",""""))-COUNTIF(C$4:C696,"&amp;"""Sell_""&amp;SUBSTITUTE(C697,""Sell_"",""""))))/2),ROUNDUP(INDEX(Upgrades!$C$3:$C$13,MATCH(C697,Upgrades!$B$3:$B$13,0))*1.15^(COUNTIF(C$4:C696,C697)-COUNTIF(C$4:C696,""Sell_""&amp;C697))))))"),"")</f>
        <v/>
      </c>
      <c r="H697" s="10" t="str">
        <f t="shared" si="3"/>
        <v/>
      </c>
      <c r="I697" s="68" t="str">
        <f t="shared" si="4"/>
        <v/>
      </c>
      <c r="J697" s="59" t="str">
        <f t="shared" si="5"/>
        <v/>
      </c>
      <c r="K697" s="69" t="str">
        <f t="shared" si="6"/>
        <v/>
      </c>
      <c r="L697" s="60" t="str">
        <f t="shared" si="7"/>
        <v/>
      </c>
      <c r="M697" s="61" t="str">
        <f>IFERROR(__xludf.DUMMYFUNCTION("IFS(AND(COUNTA(C697:C1673)=0,COUNTA(Q697:Q1673)=0),"""",OR(AND(K697&gt;=1000000000,OR(Y697&gt;=1000000000,COUNTA(Q697:Q1673)=0)),OR(Y697&gt;=1000000000,AND(COUNTA(C697:C1673)=0,P$3=TRUE))),
ROUNDDOWN((AB$1-AC$1)*MAX(INDEX(T$4:T1673,MATCH(LARGE(FILTER(Y$4:Y1673,Y$4"&amp;":Y1673&lt;1000000000),1),Y$4:Y1673)),INDEX(F$4:F1673,MATCH(LARGE(FILTER(K$4:K1673,K$4:K1673&lt;1000000000),1),K$4:K1673)))),AND(K697&lt;1000000000,COUNTA(C697:C1673)&gt;0,P$3=FALSE),
ROUNDDOWN(INDEX(Y$4:Y1673,MATCH(LARGE(FILTER(W$4:W1673,W$4:W1673&lt;=I697),1),W$4:W1673"&amp;"))+(I697-LARGE(FILTER(W$4:W1673,W$4:W1673&lt;=I697),1))*INDEX(T$4:T1673,MATCH(LARGE(FILTER(W$4:W1673,W$4:W1673&lt;=I697),1),W$4:W1673))-K697),1,
ROUNDDOWN(Y697-INDEX(K$4:K1673,MATCH(LARGE(FILTER(I$4:I1673,I$4:I1673&lt;=W697),1),I$4:I1673))-(W697-LARGE(FILTER(I$4:I"&amp;"1673,I$4:I1673&lt;=W697),1))*INDEX(F$4:F1673,MATCH(LARGE(FILTER(I$4:I1673,I$4:I1673&lt;=W697),1),I$4:I1673))))"),"")</f>
        <v/>
      </c>
      <c r="N697" s="60" t="str">
        <f t="shared" si="8"/>
        <v/>
      </c>
      <c r="O697" s="61" t="str">
        <f t="shared" si="9"/>
        <v/>
      </c>
      <c r="P697" s="56" t="str">
        <f t="shared" si="10"/>
        <v/>
      </c>
      <c r="Q697" s="105"/>
      <c r="R697" s="10"/>
      <c r="S697" s="59" t="str">
        <f t="array" ref="S697">IF(COUNTA(Q697:Q1673)=0,"",SUM((COUNTIF(Q$4:Q697,Upgrades!$B$3:$B$13)-COUNTIF(Q$4:Q697,"Sell_"&amp;Upgrades!$B$3:$B$13))*Upgrades!$D$3:$D$13))</f>
        <v/>
      </c>
      <c r="T697" s="66" t="str">
        <f>IFERROR(__xludf.DUMMYFUNCTION("IF(COUNTA(Q697:Q1673)=0,"""",IF(REGEXMATCH(INDEX(FILTER(Q$4:Q697,Q$4:Q697&lt;&gt;""""),ROWS(FILTER(Q$4:Q697,Q$4:Q697&lt;&gt;""""))),""^Sell_""),INDEX(FILTER(T$4:T696,Q$4:Q696&lt;&gt;""""),ROWS(FILTER(Q$4:Q696,Q$4:Q696&lt;&gt;""""))),$AD$5+S697))"),"")</f>
        <v/>
      </c>
      <c r="U697" s="10" t="str">
        <f>IFERROR(__xludf.DUMMYFUNCTION("IF(COUNTA(Q697:Q1673)=0,"""",IF(Q697="""",0,IF(REGEXMATCH(Q697,""^Sell_""),-ROUNDDOWN(ROUNDUP(INDEX(Upgrades!$C$3:$C$13,MATCH(SUBSTITUTE(Q697,""Sell_"",""""),Upgrades!$B$3:$B$13,0))*1.15^(COUNTIF(Q$4:Q696,SUBSTITUTE(Q697,""Sell_"",""""))-COUNTIF(Q$4:Q696,"&amp;"""Sell_""&amp;SUBSTITUTE(Q697,""Sell_"",""""))))/2),ROUNDUP(INDEX(Upgrades!$C$3:$C$13,MATCH(Q697,Upgrades!$B$3:$B$13,0))*1.15^(COUNTIF(Q$4:Q696,Q697)-COUNTIF(Q$4:Q696,""Sell_""&amp;Q697))))))"),"")</f>
        <v/>
      </c>
      <c r="V697" s="10" t="str">
        <f t="shared" si="11"/>
        <v/>
      </c>
      <c r="W697" s="68" t="str">
        <f t="shared" si="12"/>
        <v/>
      </c>
      <c r="X697" s="59" t="str">
        <f t="shared" si="13"/>
        <v/>
      </c>
      <c r="Y697" s="69" t="str">
        <f t="shared" si="14"/>
        <v/>
      </c>
      <c r="Z697" s="11"/>
    </row>
    <row r="698">
      <c r="A698" s="8"/>
      <c r="B698" s="56" t="str">
        <f t="shared" si="2"/>
        <v/>
      </c>
      <c r="C698" s="105"/>
      <c r="D698" s="10"/>
      <c r="E698" s="59" t="str">
        <f t="array" ref="E698">IF(COUNTA(C698:C1673)=0,"",SUM((COUNTIF(C$4:C698,Upgrades!$B$3:$B$13)-COUNTIF(C$4:C698,"Sell_"&amp;Upgrades!$B$3:$B$13))*Upgrades!$D$3:$D$13))</f>
        <v/>
      </c>
      <c r="F698" s="66" t="str">
        <f>IFERROR(__xludf.DUMMYFUNCTION("IF(COUNTA(C698:C1673)=0,"""",IF(REGEXMATCH(INDEX(FILTER(C$4:C698,C$4:C698&lt;&gt;""""),ROWS(FILTER(C$4:C698,C$4:C698&lt;&gt;""""))),""^Sell_""),INDEX(FILTER(F$4:F697,C$4:C697&lt;&gt;""""),ROWS(FILTER(C$4:C697,C$4:C697&lt;&gt;""""))),$AC$5+E698))"),"")</f>
        <v/>
      </c>
      <c r="G698" s="10" t="str">
        <f>IFERROR(__xludf.DUMMYFUNCTION("IF(COUNTA(C698:C1673)=0,"""",IF(C698="""",0,IF(REGEXMATCH(C698,""^Sell_""),-ROUNDDOWN(ROUNDUP(INDEX(Upgrades!$C$3:$C$13,MATCH(SUBSTITUTE(C698,""Sell_"",""""),Upgrades!$B$3:$B$13,0))*1.15^(COUNTIF(C$4:C697,SUBSTITUTE(C698,""Sell_"",""""))-COUNTIF(C$4:C697,"&amp;"""Sell_""&amp;SUBSTITUTE(C698,""Sell_"",""""))))/2),ROUNDUP(INDEX(Upgrades!$C$3:$C$13,MATCH(C698,Upgrades!$B$3:$B$13,0))*1.15^(COUNTIF(C$4:C697,C698)-COUNTIF(C$4:C697,""Sell_""&amp;C698))))))"),"")</f>
        <v/>
      </c>
      <c r="H698" s="10" t="str">
        <f t="shared" si="3"/>
        <v/>
      </c>
      <c r="I698" s="68" t="str">
        <f t="shared" si="4"/>
        <v/>
      </c>
      <c r="J698" s="59" t="str">
        <f t="shared" si="5"/>
        <v/>
      </c>
      <c r="K698" s="69" t="str">
        <f t="shared" si="6"/>
        <v/>
      </c>
      <c r="L698" s="60" t="str">
        <f t="shared" si="7"/>
        <v/>
      </c>
      <c r="M698" s="61" t="str">
        <f>IFERROR(__xludf.DUMMYFUNCTION("IFS(AND(COUNTA(C698:C1673)=0,COUNTA(Q698:Q1673)=0),"""",OR(AND(K698&gt;=1000000000,OR(Y698&gt;=1000000000,COUNTA(Q698:Q1673)=0)),OR(Y698&gt;=1000000000,AND(COUNTA(C698:C1673)=0,P$3=TRUE))),
ROUNDDOWN((AB$1-AC$1)*MAX(INDEX(T$4:T1673,MATCH(LARGE(FILTER(Y$4:Y1673,Y$4"&amp;":Y1673&lt;1000000000),1),Y$4:Y1673)),INDEX(F$4:F1673,MATCH(LARGE(FILTER(K$4:K1673,K$4:K1673&lt;1000000000),1),K$4:K1673)))),AND(K698&lt;1000000000,COUNTA(C698:C1673)&gt;0,P$3=FALSE),
ROUNDDOWN(INDEX(Y$4:Y1673,MATCH(LARGE(FILTER(W$4:W1673,W$4:W1673&lt;=I698),1),W$4:W1673"&amp;"))+(I698-LARGE(FILTER(W$4:W1673,W$4:W1673&lt;=I698),1))*INDEX(T$4:T1673,MATCH(LARGE(FILTER(W$4:W1673,W$4:W1673&lt;=I698),1),W$4:W1673))-K698),1,
ROUNDDOWN(Y698-INDEX(K$4:K1673,MATCH(LARGE(FILTER(I$4:I1673,I$4:I1673&lt;=W698),1),I$4:I1673))-(W698-LARGE(FILTER(I$4:I"&amp;"1673,I$4:I1673&lt;=W698),1))*INDEX(F$4:F1673,MATCH(LARGE(FILTER(I$4:I1673,I$4:I1673&lt;=W698),1),I$4:I1673))))"),"")</f>
        <v/>
      </c>
      <c r="N698" s="60" t="str">
        <f t="shared" si="8"/>
        <v/>
      </c>
      <c r="O698" s="61" t="str">
        <f t="shared" si="9"/>
        <v/>
      </c>
      <c r="P698" s="56" t="str">
        <f t="shared" si="10"/>
        <v/>
      </c>
      <c r="Q698" s="105"/>
      <c r="R698" s="10"/>
      <c r="S698" s="59" t="str">
        <f t="array" ref="S698">IF(COUNTA(Q698:Q1673)=0,"",SUM((COUNTIF(Q$4:Q698,Upgrades!$B$3:$B$13)-COUNTIF(Q$4:Q698,"Sell_"&amp;Upgrades!$B$3:$B$13))*Upgrades!$D$3:$D$13))</f>
        <v/>
      </c>
      <c r="T698" s="66" t="str">
        <f>IFERROR(__xludf.DUMMYFUNCTION("IF(COUNTA(Q698:Q1673)=0,"""",IF(REGEXMATCH(INDEX(FILTER(Q$4:Q698,Q$4:Q698&lt;&gt;""""),ROWS(FILTER(Q$4:Q698,Q$4:Q698&lt;&gt;""""))),""^Sell_""),INDEX(FILTER(T$4:T697,Q$4:Q697&lt;&gt;""""),ROWS(FILTER(Q$4:Q697,Q$4:Q697&lt;&gt;""""))),$AD$5+S698))"),"")</f>
        <v/>
      </c>
      <c r="U698" s="10" t="str">
        <f>IFERROR(__xludf.DUMMYFUNCTION("IF(COUNTA(Q698:Q1673)=0,"""",IF(Q698="""",0,IF(REGEXMATCH(Q698,""^Sell_""),-ROUNDDOWN(ROUNDUP(INDEX(Upgrades!$C$3:$C$13,MATCH(SUBSTITUTE(Q698,""Sell_"",""""),Upgrades!$B$3:$B$13,0))*1.15^(COUNTIF(Q$4:Q697,SUBSTITUTE(Q698,""Sell_"",""""))-COUNTIF(Q$4:Q697,"&amp;"""Sell_""&amp;SUBSTITUTE(Q698,""Sell_"",""""))))/2),ROUNDUP(INDEX(Upgrades!$C$3:$C$13,MATCH(Q698,Upgrades!$B$3:$B$13,0))*1.15^(COUNTIF(Q$4:Q697,Q698)-COUNTIF(Q$4:Q697,""Sell_""&amp;Q698))))))"),"")</f>
        <v/>
      </c>
      <c r="V698" s="10" t="str">
        <f t="shared" si="11"/>
        <v/>
      </c>
      <c r="W698" s="68" t="str">
        <f t="shared" si="12"/>
        <v/>
      </c>
      <c r="X698" s="59" t="str">
        <f t="shared" si="13"/>
        <v/>
      </c>
      <c r="Y698" s="69" t="str">
        <f t="shared" si="14"/>
        <v/>
      </c>
      <c r="Z698" s="11"/>
    </row>
    <row r="699">
      <c r="A699" s="8"/>
      <c r="B699" s="56" t="str">
        <f t="shared" si="2"/>
        <v/>
      </c>
      <c r="C699" s="105"/>
      <c r="D699" s="10"/>
      <c r="E699" s="59" t="str">
        <f t="array" ref="E699">IF(COUNTA(C699:C1673)=0,"",SUM((COUNTIF(C$4:C699,Upgrades!$B$3:$B$13)-COUNTIF(C$4:C699,"Sell_"&amp;Upgrades!$B$3:$B$13))*Upgrades!$D$3:$D$13))</f>
        <v/>
      </c>
      <c r="F699" s="66" t="str">
        <f>IFERROR(__xludf.DUMMYFUNCTION("IF(COUNTA(C699:C1673)=0,"""",IF(REGEXMATCH(INDEX(FILTER(C$4:C699,C$4:C699&lt;&gt;""""),ROWS(FILTER(C$4:C699,C$4:C699&lt;&gt;""""))),""^Sell_""),INDEX(FILTER(F$4:F698,C$4:C698&lt;&gt;""""),ROWS(FILTER(C$4:C698,C$4:C698&lt;&gt;""""))),$AC$5+E699))"),"")</f>
        <v/>
      </c>
      <c r="G699" s="10" t="str">
        <f>IFERROR(__xludf.DUMMYFUNCTION("IF(COUNTA(C699:C1673)=0,"""",IF(C699="""",0,IF(REGEXMATCH(C699,""^Sell_""),-ROUNDDOWN(ROUNDUP(INDEX(Upgrades!$C$3:$C$13,MATCH(SUBSTITUTE(C699,""Sell_"",""""),Upgrades!$B$3:$B$13,0))*1.15^(COUNTIF(C$4:C698,SUBSTITUTE(C699,""Sell_"",""""))-COUNTIF(C$4:C698,"&amp;"""Sell_""&amp;SUBSTITUTE(C699,""Sell_"",""""))))/2),ROUNDUP(INDEX(Upgrades!$C$3:$C$13,MATCH(C699,Upgrades!$B$3:$B$13,0))*1.15^(COUNTIF(C$4:C698,C699)-COUNTIF(C$4:C698,""Sell_""&amp;C699))))))"),"")</f>
        <v/>
      </c>
      <c r="H699" s="10" t="str">
        <f t="shared" si="3"/>
        <v/>
      </c>
      <c r="I699" s="68" t="str">
        <f t="shared" si="4"/>
        <v/>
      </c>
      <c r="J699" s="59" t="str">
        <f t="shared" si="5"/>
        <v/>
      </c>
      <c r="K699" s="69" t="str">
        <f t="shared" si="6"/>
        <v/>
      </c>
      <c r="L699" s="60" t="str">
        <f t="shared" si="7"/>
        <v/>
      </c>
      <c r="M699" s="61" t="str">
        <f>IFERROR(__xludf.DUMMYFUNCTION("IFS(AND(COUNTA(C699:C1673)=0,COUNTA(Q699:Q1673)=0),"""",OR(AND(K699&gt;=1000000000,OR(Y699&gt;=1000000000,COUNTA(Q699:Q1673)=0)),OR(Y699&gt;=1000000000,AND(COUNTA(C699:C1673)=0,P$3=TRUE))),
ROUNDDOWN((AB$1-AC$1)*MAX(INDEX(T$4:T1673,MATCH(LARGE(FILTER(Y$4:Y1673,Y$4"&amp;":Y1673&lt;1000000000),1),Y$4:Y1673)),INDEX(F$4:F1673,MATCH(LARGE(FILTER(K$4:K1673,K$4:K1673&lt;1000000000),1),K$4:K1673)))),AND(K699&lt;1000000000,COUNTA(C699:C1673)&gt;0,P$3=FALSE),
ROUNDDOWN(INDEX(Y$4:Y1673,MATCH(LARGE(FILTER(W$4:W1673,W$4:W1673&lt;=I699),1),W$4:W1673"&amp;"))+(I699-LARGE(FILTER(W$4:W1673,W$4:W1673&lt;=I699),1))*INDEX(T$4:T1673,MATCH(LARGE(FILTER(W$4:W1673,W$4:W1673&lt;=I699),1),W$4:W1673))-K699),1,
ROUNDDOWN(Y699-INDEX(K$4:K1673,MATCH(LARGE(FILTER(I$4:I1673,I$4:I1673&lt;=W699),1),I$4:I1673))-(W699-LARGE(FILTER(I$4:I"&amp;"1673,I$4:I1673&lt;=W699),1))*INDEX(F$4:F1673,MATCH(LARGE(FILTER(I$4:I1673,I$4:I1673&lt;=W699),1),I$4:I1673))))"),"")</f>
        <v/>
      </c>
      <c r="N699" s="60" t="str">
        <f t="shared" si="8"/>
        <v/>
      </c>
      <c r="O699" s="61" t="str">
        <f t="shared" si="9"/>
        <v/>
      </c>
      <c r="P699" s="56" t="str">
        <f t="shared" si="10"/>
        <v/>
      </c>
      <c r="Q699" s="105"/>
      <c r="R699" s="10"/>
      <c r="S699" s="59" t="str">
        <f t="array" ref="S699">IF(COUNTA(Q699:Q1673)=0,"",SUM((COUNTIF(Q$4:Q699,Upgrades!$B$3:$B$13)-COUNTIF(Q$4:Q699,"Sell_"&amp;Upgrades!$B$3:$B$13))*Upgrades!$D$3:$D$13))</f>
        <v/>
      </c>
      <c r="T699" s="66" t="str">
        <f>IFERROR(__xludf.DUMMYFUNCTION("IF(COUNTA(Q699:Q1673)=0,"""",IF(REGEXMATCH(INDEX(FILTER(Q$4:Q699,Q$4:Q699&lt;&gt;""""),ROWS(FILTER(Q$4:Q699,Q$4:Q699&lt;&gt;""""))),""^Sell_""),INDEX(FILTER(T$4:T698,Q$4:Q698&lt;&gt;""""),ROWS(FILTER(Q$4:Q698,Q$4:Q698&lt;&gt;""""))),$AD$5+S699))"),"")</f>
        <v/>
      </c>
      <c r="U699" s="10" t="str">
        <f>IFERROR(__xludf.DUMMYFUNCTION("IF(COUNTA(Q699:Q1673)=0,"""",IF(Q699="""",0,IF(REGEXMATCH(Q699,""^Sell_""),-ROUNDDOWN(ROUNDUP(INDEX(Upgrades!$C$3:$C$13,MATCH(SUBSTITUTE(Q699,""Sell_"",""""),Upgrades!$B$3:$B$13,0))*1.15^(COUNTIF(Q$4:Q698,SUBSTITUTE(Q699,""Sell_"",""""))-COUNTIF(Q$4:Q698,"&amp;"""Sell_""&amp;SUBSTITUTE(Q699,""Sell_"",""""))))/2),ROUNDUP(INDEX(Upgrades!$C$3:$C$13,MATCH(Q699,Upgrades!$B$3:$B$13,0))*1.15^(COUNTIF(Q$4:Q698,Q699)-COUNTIF(Q$4:Q698,""Sell_""&amp;Q699))))))"),"")</f>
        <v/>
      </c>
      <c r="V699" s="10" t="str">
        <f t="shared" si="11"/>
        <v/>
      </c>
      <c r="W699" s="68" t="str">
        <f t="shared" si="12"/>
        <v/>
      </c>
      <c r="X699" s="59" t="str">
        <f t="shared" si="13"/>
        <v/>
      </c>
      <c r="Y699" s="69" t="str">
        <f t="shared" si="14"/>
        <v/>
      </c>
      <c r="Z699" s="11"/>
    </row>
    <row r="700">
      <c r="A700" s="8"/>
      <c r="B700" s="56" t="str">
        <f t="shared" si="2"/>
        <v/>
      </c>
      <c r="C700" s="105"/>
      <c r="D700" s="10"/>
      <c r="E700" s="59" t="str">
        <f t="array" ref="E700">IF(COUNTA(C700:C1673)=0,"",SUM((COUNTIF(C$4:C700,Upgrades!$B$3:$B$13)-COUNTIF(C$4:C700,"Sell_"&amp;Upgrades!$B$3:$B$13))*Upgrades!$D$3:$D$13))</f>
        <v/>
      </c>
      <c r="F700" s="66" t="str">
        <f>IFERROR(__xludf.DUMMYFUNCTION("IF(COUNTA(C700:C1673)=0,"""",IF(REGEXMATCH(INDEX(FILTER(C$4:C700,C$4:C700&lt;&gt;""""),ROWS(FILTER(C$4:C700,C$4:C700&lt;&gt;""""))),""^Sell_""),INDEX(FILTER(F$4:F699,C$4:C699&lt;&gt;""""),ROWS(FILTER(C$4:C699,C$4:C699&lt;&gt;""""))),$AC$5+E700))"),"")</f>
        <v/>
      </c>
      <c r="G700" s="10" t="str">
        <f>IFERROR(__xludf.DUMMYFUNCTION("IF(COUNTA(C700:C1673)=0,"""",IF(C700="""",0,IF(REGEXMATCH(C700,""^Sell_""),-ROUNDDOWN(ROUNDUP(INDEX(Upgrades!$C$3:$C$13,MATCH(SUBSTITUTE(C700,""Sell_"",""""),Upgrades!$B$3:$B$13,0))*1.15^(COUNTIF(C$4:C699,SUBSTITUTE(C700,""Sell_"",""""))-COUNTIF(C$4:C699,"&amp;"""Sell_""&amp;SUBSTITUTE(C700,""Sell_"",""""))))/2),ROUNDUP(INDEX(Upgrades!$C$3:$C$13,MATCH(C700,Upgrades!$B$3:$B$13,0))*1.15^(COUNTIF(C$4:C699,C700)-COUNTIF(C$4:C699,""Sell_""&amp;C700))))))"),"")</f>
        <v/>
      </c>
      <c r="H700" s="10" t="str">
        <f t="shared" si="3"/>
        <v/>
      </c>
      <c r="I700" s="68" t="str">
        <f t="shared" si="4"/>
        <v/>
      </c>
      <c r="J700" s="59" t="str">
        <f t="shared" si="5"/>
        <v/>
      </c>
      <c r="K700" s="69" t="str">
        <f t="shared" si="6"/>
        <v/>
      </c>
      <c r="L700" s="60" t="str">
        <f t="shared" si="7"/>
        <v/>
      </c>
      <c r="M700" s="61" t="str">
        <f>IFERROR(__xludf.DUMMYFUNCTION("IFS(AND(COUNTA(C700:C1673)=0,COUNTA(Q700:Q1673)=0),"""",OR(AND(K700&gt;=1000000000,OR(Y700&gt;=1000000000,COUNTA(Q700:Q1673)=0)),OR(Y700&gt;=1000000000,AND(COUNTA(C700:C1673)=0,P$3=TRUE))),
ROUNDDOWN((AB$1-AC$1)*MAX(INDEX(T$4:T1673,MATCH(LARGE(FILTER(Y$4:Y1673,Y$4"&amp;":Y1673&lt;1000000000),1),Y$4:Y1673)),INDEX(F$4:F1673,MATCH(LARGE(FILTER(K$4:K1673,K$4:K1673&lt;1000000000),1),K$4:K1673)))),AND(K700&lt;1000000000,COUNTA(C700:C1673)&gt;0,P$3=FALSE),
ROUNDDOWN(INDEX(Y$4:Y1673,MATCH(LARGE(FILTER(W$4:W1673,W$4:W1673&lt;=I700),1),W$4:W1673"&amp;"))+(I700-LARGE(FILTER(W$4:W1673,W$4:W1673&lt;=I700),1))*INDEX(T$4:T1673,MATCH(LARGE(FILTER(W$4:W1673,W$4:W1673&lt;=I700),1),W$4:W1673))-K700),1,
ROUNDDOWN(Y700-INDEX(K$4:K1673,MATCH(LARGE(FILTER(I$4:I1673,I$4:I1673&lt;=W700),1),I$4:I1673))-(W700-LARGE(FILTER(I$4:I"&amp;"1673,I$4:I1673&lt;=W700),1))*INDEX(F$4:F1673,MATCH(LARGE(FILTER(I$4:I1673,I$4:I1673&lt;=W700),1),I$4:I1673))))"),"")</f>
        <v/>
      </c>
      <c r="N700" s="60" t="str">
        <f t="shared" si="8"/>
        <v/>
      </c>
      <c r="O700" s="61" t="str">
        <f t="shared" si="9"/>
        <v/>
      </c>
      <c r="P700" s="56" t="str">
        <f t="shared" si="10"/>
        <v/>
      </c>
      <c r="Q700" s="105"/>
      <c r="R700" s="10"/>
      <c r="S700" s="59" t="str">
        <f t="array" ref="S700">IF(COUNTA(Q700:Q1673)=0,"",SUM((COUNTIF(Q$4:Q700,Upgrades!$B$3:$B$13)-COUNTIF(Q$4:Q700,"Sell_"&amp;Upgrades!$B$3:$B$13))*Upgrades!$D$3:$D$13))</f>
        <v/>
      </c>
      <c r="T700" s="66" t="str">
        <f>IFERROR(__xludf.DUMMYFUNCTION("IF(COUNTA(Q700:Q1673)=0,"""",IF(REGEXMATCH(INDEX(FILTER(Q$4:Q700,Q$4:Q700&lt;&gt;""""),ROWS(FILTER(Q$4:Q700,Q$4:Q700&lt;&gt;""""))),""^Sell_""),INDEX(FILTER(T$4:T699,Q$4:Q699&lt;&gt;""""),ROWS(FILTER(Q$4:Q699,Q$4:Q699&lt;&gt;""""))),$AD$5+S700))"),"")</f>
        <v/>
      </c>
      <c r="U700" s="10" t="str">
        <f>IFERROR(__xludf.DUMMYFUNCTION("IF(COUNTA(Q700:Q1673)=0,"""",IF(Q700="""",0,IF(REGEXMATCH(Q700,""^Sell_""),-ROUNDDOWN(ROUNDUP(INDEX(Upgrades!$C$3:$C$13,MATCH(SUBSTITUTE(Q700,""Sell_"",""""),Upgrades!$B$3:$B$13,0))*1.15^(COUNTIF(Q$4:Q699,SUBSTITUTE(Q700,""Sell_"",""""))-COUNTIF(Q$4:Q699,"&amp;"""Sell_""&amp;SUBSTITUTE(Q700,""Sell_"",""""))))/2),ROUNDUP(INDEX(Upgrades!$C$3:$C$13,MATCH(Q700,Upgrades!$B$3:$B$13,0))*1.15^(COUNTIF(Q$4:Q699,Q700)-COUNTIF(Q$4:Q699,""Sell_""&amp;Q700))))))"),"")</f>
        <v/>
      </c>
      <c r="V700" s="10" t="str">
        <f t="shared" si="11"/>
        <v/>
      </c>
      <c r="W700" s="68" t="str">
        <f t="shared" si="12"/>
        <v/>
      </c>
      <c r="X700" s="59" t="str">
        <f t="shared" si="13"/>
        <v/>
      </c>
      <c r="Y700" s="69" t="str">
        <f t="shared" si="14"/>
        <v/>
      </c>
      <c r="Z700" s="11"/>
    </row>
    <row r="701">
      <c r="A701" s="8"/>
      <c r="B701" s="56" t="str">
        <f t="shared" si="2"/>
        <v/>
      </c>
      <c r="C701" s="105"/>
      <c r="D701" s="10"/>
      <c r="E701" s="59" t="str">
        <f t="array" ref="E701">IF(COUNTA(C701:C1673)=0,"",SUM((COUNTIF(C$4:C701,Upgrades!$B$3:$B$13)-COUNTIF(C$4:C701,"Sell_"&amp;Upgrades!$B$3:$B$13))*Upgrades!$D$3:$D$13))</f>
        <v/>
      </c>
      <c r="F701" s="66" t="str">
        <f>IFERROR(__xludf.DUMMYFUNCTION("IF(COUNTA(C701:C1673)=0,"""",IF(REGEXMATCH(INDEX(FILTER(C$4:C701,C$4:C701&lt;&gt;""""),ROWS(FILTER(C$4:C701,C$4:C701&lt;&gt;""""))),""^Sell_""),INDEX(FILTER(F$4:F700,C$4:C700&lt;&gt;""""),ROWS(FILTER(C$4:C700,C$4:C700&lt;&gt;""""))),$AC$5+E701))"),"")</f>
        <v/>
      </c>
      <c r="G701" s="10" t="str">
        <f>IFERROR(__xludf.DUMMYFUNCTION("IF(COUNTA(C701:C1673)=0,"""",IF(C701="""",0,IF(REGEXMATCH(C701,""^Sell_""),-ROUNDDOWN(ROUNDUP(INDEX(Upgrades!$C$3:$C$13,MATCH(SUBSTITUTE(C701,""Sell_"",""""),Upgrades!$B$3:$B$13,0))*1.15^(COUNTIF(C$4:C700,SUBSTITUTE(C701,""Sell_"",""""))-COUNTIF(C$4:C700,"&amp;"""Sell_""&amp;SUBSTITUTE(C701,""Sell_"",""""))))/2),ROUNDUP(INDEX(Upgrades!$C$3:$C$13,MATCH(C701,Upgrades!$B$3:$B$13,0))*1.15^(COUNTIF(C$4:C700,C701)-COUNTIF(C$4:C700,""Sell_""&amp;C701))))))"),"")</f>
        <v/>
      </c>
      <c r="H701" s="10" t="str">
        <f t="shared" si="3"/>
        <v/>
      </c>
      <c r="I701" s="68" t="str">
        <f t="shared" si="4"/>
        <v/>
      </c>
      <c r="J701" s="59" t="str">
        <f t="shared" si="5"/>
        <v/>
      </c>
      <c r="K701" s="69" t="str">
        <f t="shared" si="6"/>
        <v/>
      </c>
      <c r="L701" s="60" t="str">
        <f t="shared" si="7"/>
        <v/>
      </c>
      <c r="M701" s="61" t="str">
        <f>IFERROR(__xludf.DUMMYFUNCTION("IFS(AND(COUNTA(C701:C1673)=0,COUNTA(Q701:Q1673)=0),"""",OR(AND(K701&gt;=1000000000,OR(Y701&gt;=1000000000,COUNTA(Q701:Q1673)=0)),OR(Y701&gt;=1000000000,AND(COUNTA(C701:C1673)=0,P$3=TRUE))),
ROUNDDOWN((AB$1-AC$1)*MAX(INDEX(T$4:T1673,MATCH(LARGE(FILTER(Y$4:Y1673,Y$4"&amp;":Y1673&lt;1000000000),1),Y$4:Y1673)),INDEX(F$4:F1673,MATCH(LARGE(FILTER(K$4:K1673,K$4:K1673&lt;1000000000),1),K$4:K1673)))),AND(K701&lt;1000000000,COUNTA(C701:C1673)&gt;0,P$3=FALSE),
ROUNDDOWN(INDEX(Y$4:Y1673,MATCH(LARGE(FILTER(W$4:W1673,W$4:W1673&lt;=I701),1),W$4:W1673"&amp;"))+(I701-LARGE(FILTER(W$4:W1673,W$4:W1673&lt;=I701),1))*INDEX(T$4:T1673,MATCH(LARGE(FILTER(W$4:W1673,W$4:W1673&lt;=I701),1),W$4:W1673))-K701),1,
ROUNDDOWN(Y701-INDEX(K$4:K1673,MATCH(LARGE(FILTER(I$4:I1673,I$4:I1673&lt;=W701),1),I$4:I1673))-(W701-LARGE(FILTER(I$4:I"&amp;"1673,I$4:I1673&lt;=W701),1))*INDEX(F$4:F1673,MATCH(LARGE(FILTER(I$4:I1673,I$4:I1673&lt;=W701),1),I$4:I1673))))"),"")</f>
        <v/>
      </c>
      <c r="N701" s="60" t="str">
        <f t="shared" si="8"/>
        <v/>
      </c>
      <c r="O701" s="61" t="str">
        <f t="shared" si="9"/>
        <v/>
      </c>
      <c r="P701" s="56" t="str">
        <f t="shared" si="10"/>
        <v/>
      </c>
      <c r="Q701" s="105"/>
      <c r="R701" s="10"/>
      <c r="S701" s="59" t="str">
        <f t="array" ref="S701">IF(COUNTA(Q701:Q1673)=0,"",SUM((COUNTIF(Q$4:Q701,Upgrades!$B$3:$B$13)-COUNTIF(Q$4:Q701,"Sell_"&amp;Upgrades!$B$3:$B$13))*Upgrades!$D$3:$D$13))</f>
        <v/>
      </c>
      <c r="T701" s="66" t="str">
        <f>IFERROR(__xludf.DUMMYFUNCTION("IF(COUNTA(Q701:Q1673)=0,"""",IF(REGEXMATCH(INDEX(FILTER(Q$4:Q701,Q$4:Q701&lt;&gt;""""),ROWS(FILTER(Q$4:Q701,Q$4:Q701&lt;&gt;""""))),""^Sell_""),INDEX(FILTER(T$4:T700,Q$4:Q700&lt;&gt;""""),ROWS(FILTER(Q$4:Q700,Q$4:Q700&lt;&gt;""""))),$AD$5+S701))"),"")</f>
        <v/>
      </c>
      <c r="U701" s="10" t="str">
        <f>IFERROR(__xludf.DUMMYFUNCTION("IF(COUNTA(Q701:Q1673)=0,"""",IF(Q701="""",0,IF(REGEXMATCH(Q701,""^Sell_""),-ROUNDDOWN(ROUNDUP(INDEX(Upgrades!$C$3:$C$13,MATCH(SUBSTITUTE(Q701,""Sell_"",""""),Upgrades!$B$3:$B$13,0))*1.15^(COUNTIF(Q$4:Q700,SUBSTITUTE(Q701,""Sell_"",""""))-COUNTIF(Q$4:Q700,"&amp;"""Sell_""&amp;SUBSTITUTE(Q701,""Sell_"",""""))))/2),ROUNDUP(INDEX(Upgrades!$C$3:$C$13,MATCH(Q701,Upgrades!$B$3:$B$13,0))*1.15^(COUNTIF(Q$4:Q700,Q701)-COUNTIF(Q$4:Q700,""Sell_""&amp;Q701))))))"),"")</f>
        <v/>
      </c>
      <c r="V701" s="10" t="str">
        <f t="shared" si="11"/>
        <v/>
      </c>
      <c r="W701" s="68" t="str">
        <f t="shared" si="12"/>
        <v/>
      </c>
      <c r="X701" s="59" t="str">
        <f t="shared" si="13"/>
        <v/>
      </c>
      <c r="Y701" s="69" t="str">
        <f t="shared" si="14"/>
        <v/>
      </c>
      <c r="Z701" s="11"/>
    </row>
    <row r="702">
      <c r="A702" s="8"/>
      <c r="B702" s="56" t="str">
        <f t="shared" si="2"/>
        <v/>
      </c>
      <c r="C702" s="105"/>
      <c r="D702" s="10"/>
      <c r="E702" s="59" t="str">
        <f t="array" ref="E702">IF(COUNTA(C702:C1673)=0,"",SUM((COUNTIF(C$4:C702,Upgrades!$B$3:$B$13)-COUNTIF(C$4:C702,"Sell_"&amp;Upgrades!$B$3:$B$13))*Upgrades!$D$3:$D$13))</f>
        <v/>
      </c>
      <c r="F702" s="66" t="str">
        <f>IFERROR(__xludf.DUMMYFUNCTION("IF(COUNTA(C702:C1673)=0,"""",IF(REGEXMATCH(INDEX(FILTER(C$4:C702,C$4:C702&lt;&gt;""""),ROWS(FILTER(C$4:C702,C$4:C702&lt;&gt;""""))),""^Sell_""),INDEX(FILTER(F$4:F701,C$4:C701&lt;&gt;""""),ROWS(FILTER(C$4:C701,C$4:C701&lt;&gt;""""))),$AC$5+E702))"),"")</f>
        <v/>
      </c>
      <c r="G702" s="10" t="str">
        <f>IFERROR(__xludf.DUMMYFUNCTION("IF(COUNTA(C702:C1673)=0,"""",IF(C702="""",0,IF(REGEXMATCH(C702,""^Sell_""),-ROUNDDOWN(ROUNDUP(INDEX(Upgrades!$C$3:$C$13,MATCH(SUBSTITUTE(C702,""Sell_"",""""),Upgrades!$B$3:$B$13,0))*1.15^(COUNTIF(C$4:C701,SUBSTITUTE(C702,""Sell_"",""""))-COUNTIF(C$4:C701,"&amp;"""Sell_""&amp;SUBSTITUTE(C702,""Sell_"",""""))))/2),ROUNDUP(INDEX(Upgrades!$C$3:$C$13,MATCH(C702,Upgrades!$B$3:$B$13,0))*1.15^(COUNTIF(C$4:C701,C702)-COUNTIF(C$4:C701,""Sell_""&amp;C702))))))"),"")</f>
        <v/>
      </c>
      <c r="H702" s="10" t="str">
        <f t="shared" si="3"/>
        <v/>
      </c>
      <c r="I702" s="68" t="str">
        <f t="shared" si="4"/>
        <v/>
      </c>
      <c r="J702" s="59" t="str">
        <f t="shared" si="5"/>
        <v/>
      </c>
      <c r="K702" s="69" t="str">
        <f t="shared" si="6"/>
        <v/>
      </c>
      <c r="L702" s="60" t="str">
        <f t="shared" si="7"/>
        <v/>
      </c>
      <c r="M702" s="61" t="str">
        <f>IFERROR(__xludf.DUMMYFUNCTION("IFS(AND(COUNTA(C702:C1673)=0,COUNTA(Q702:Q1673)=0),"""",OR(AND(K702&gt;=1000000000,OR(Y702&gt;=1000000000,COUNTA(Q702:Q1673)=0)),OR(Y702&gt;=1000000000,AND(COUNTA(C702:C1673)=0,P$3=TRUE))),
ROUNDDOWN((AB$1-AC$1)*MAX(INDEX(T$4:T1673,MATCH(LARGE(FILTER(Y$4:Y1673,Y$4"&amp;":Y1673&lt;1000000000),1),Y$4:Y1673)),INDEX(F$4:F1673,MATCH(LARGE(FILTER(K$4:K1673,K$4:K1673&lt;1000000000),1),K$4:K1673)))),AND(K702&lt;1000000000,COUNTA(C702:C1673)&gt;0,P$3=FALSE),
ROUNDDOWN(INDEX(Y$4:Y1673,MATCH(LARGE(FILTER(W$4:W1673,W$4:W1673&lt;=I702),1),W$4:W1673"&amp;"))+(I702-LARGE(FILTER(W$4:W1673,W$4:W1673&lt;=I702),1))*INDEX(T$4:T1673,MATCH(LARGE(FILTER(W$4:W1673,W$4:W1673&lt;=I702),1),W$4:W1673))-K702),1,
ROUNDDOWN(Y702-INDEX(K$4:K1673,MATCH(LARGE(FILTER(I$4:I1673,I$4:I1673&lt;=W702),1),I$4:I1673))-(W702-LARGE(FILTER(I$4:I"&amp;"1673,I$4:I1673&lt;=W702),1))*INDEX(F$4:F1673,MATCH(LARGE(FILTER(I$4:I1673,I$4:I1673&lt;=W702),1),I$4:I1673))))"),"")</f>
        <v/>
      </c>
      <c r="N702" s="60" t="str">
        <f t="shared" si="8"/>
        <v/>
      </c>
      <c r="O702" s="61" t="str">
        <f t="shared" si="9"/>
        <v/>
      </c>
      <c r="P702" s="56" t="str">
        <f t="shared" si="10"/>
        <v/>
      </c>
      <c r="Q702" s="105"/>
      <c r="R702" s="10"/>
      <c r="S702" s="59" t="str">
        <f t="array" ref="S702">IF(COUNTA(Q702:Q1673)=0,"",SUM((COUNTIF(Q$4:Q702,Upgrades!$B$3:$B$13)-COUNTIF(Q$4:Q702,"Sell_"&amp;Upgrades!$B$3:$B$13))*Upgrades!$D$3:$D$13))</f>
        <v/>
      </c>
      <c r="T702" s="66" t="str">
        <f>IFERROR(__xludf.DUMMYFUNCTION("IF(COUNTA(Q702:Q1673)=0,"""",IF(REGEXMATCH(INDEX(FILTER(Q$4:Q702,Q$4:Q702&lt;&gt;""""),ROWS(FILTER(Q$4:Q702,Q$4:Q702&lt;&gt;""""))),""^Sell_""),INDEX(FILTER(T$4:T701,Q$4:Q701&lt;&gt;""""),ROWS(FILTER(Q$4:Q701,Q$4:Q701&lt;&gt;""""))),$AD$5+S702))"),"")</f>
        <v/>
      </c>
      <c r="U702" s="10" t="str">
        <f>IFERROR(__xludf.DUMMYFUNCTION("IF(COUNTA(Q702:Q1673)=0,"""",IF(Q702="""",0,IF(REGEXMATCH(Q702,""^Sell_""),-ROUNDDOWN(ROUNDUP(INDEX(Upgrades!$C$3:$C$13,MATCH(SUBSTITUTE(Q702,""Sell_"",""""),Upgrades!$B$3:$B$13,0))*1.15^(COUNTIF(Q$4:Q701,SUBSTITUTE(Q702,""Sell_"",""""))-COUNTIF(Q$4:Q701,"&amp;"""Sell_""&amp;SUBSTITUTE(Q702,""Sell_"",""""))))/2),ROUNDUP(INDEX(Upgrades!$C$3:$C$13,MATCH(Q702,Upgrades!$B$3:$B$13,0))*1.15^(COUNTIF(Q$4:Q701,Q702)-COUNTIF(Q$4:Q701,""Sell_""&amp;Q702))))))"),"")</f>
        <v/>
      </c>
      <c r="V702" s="10" t="str">
        <f t="shared" si="11"/>
        <v/>
      </c>
      <c r="W702" s="68" t="str">
        <f t="shared" si="12"/>
        <v/>
      </c>
      <c r="X702" s="59" t="str">
        <f t="shared" si="13"/>
        <v/>
      </c>
      <c r="Y702" s="69" t="str">
        <f t="shared" si="14"/>
        <v/>
      </c>
      <c r="Z702" s="11"/>
    </row>
    <row r="703">
      <c r="A703" s="8"/>
      <c r="B703" s="56" t="str">
        <f t="shared" si="2"/>
        <v/>
      </c>
      <c r="C703" s="105"/>
      <c r="D703" s="10"/>
      <c r="E703" s="59" t="str">
        <f t="array" ref="E703">IF(COUNTA(C703:C1673)=0,"",SUM((COUNTIF(C$4:C703,Upgrades!$B$3:$B$13)-COUNTIF(C$4:C703,"Sell_"&amp;Upgrades!$B$3:$B$13))*Upgrades!$D$3:$D$13))</f>
        <v/>
      </c>
      <c r="F703" s="66" t="str">
        <f>IFERROR(__xludf.DUMMYFUNCTION("IF(COUNTA(C703:C1673)=0,"""",IF(REGEXMATCH(INDEX(FILTER(C$4:C703,C$4:C703&lt;&gt;""""),ROWS(FILTER(C$4:C703,C$4:C703&lt;&gt;""""))),""^Sell_""),INDEX(FILTER(F$4:F702,C$4:C702&lt;&gt;""""),ROWS(FILTER(C$4:C702,C$4:C702&lt;&gt;""""))),$AC$5+E703))"),"")</f>
        <v/>
      </c>
      <c r="G703" s="10" t="str">
        <f>IFERROR(__xludf.DUMMYFUNCTION("IF(COUNTA(C703:C1673)=0,"""",IF(C703="""",0,IF(REGEXMATCH(C703,""^Sell_""),-ROUNDDOWN(ROUNDUP(INDEX(Upgrades!$C$3:$C$13,MATCH(SUBSTITUTE(C703,""Sell_"",""""),Upgrades!$B$3:$B$13,0))*1.15^(COUNTIF(C$4:C702,SUBSTITUTE(C703,""Sell_"",""""))-COUNTIF(C$4:C702,"&amp;"""Sell_""&amp;SUBSTITUTE(C703,""Sell_"",""""))))/2),ROUNDUP(INDEX(Upgrades!$C$3:$C$13,MATCH(C703,Upgrades!$B$3:$B$13,0))*1.15^(COUNTIF(C$4:C702,C703)-COUNTIF(C$4:C702,""Sell_""&amp;C703))))))"),"")</f>
        <v/>
      </c>
      <c r="H703" s="10" t="str">
        <f t="shared" si="3"/>
        <v/>
      </c>
      <c r="I703" s="68" t="str">
        <f t="shared" si="4"/>
        <v/>
      </c>
      <c r="J703" s="59" t="str">
        <f t="shared" si="5"/>
        <v/>
      </c>
      <c r="K703" s="69" t="str">
        <f t="shared" si="6"/>
        <v/>
      </c>
      <c r="L703" s="60" t="str">
        <f t="shared" si="7"/>
        <v/>
      </c>
      <c r="M703" s="61" t="str">
        <f>IFERROR(__xludf.DUMMYFUNCTION("IFS(AND(COUNTA(C703:C1673)=0,COUNTA(Q703:Q1673)=0),"""",OR(AND(K703&gt;=1000000000,OR(Y703&gt;=1000000000,COUNTA(Q703:Q1673)=0)),OR(Y703&gt;=1000000000,AND(COUNTA(C703:C1673)=0,P$3=TRUE))),
ROUNDDOWN((AB$1-AC$1)*MAX(INDEX(T$4:T1673,MATCH(LARGE(FILTER(Y$4:Y1673,Y$4"&amp;":Y1673&lt;1000000000),1),Y$4:Y1673)),INDEX(F$4:F1673,MATCH(LARGE(FILTER(K$4:K1673,K$4:K1673&lt;1000000000),1),K$4:K1673)))),AND(K703&lt;1000000000,COUNTA(C703:C1673)&gt;0,P$3=FALSE),
ROUNDDOWN(INDEX(Y$4:Y1673,MATCH(LARGE(FILTER(W$4:W1673,W$4:W1673&lt;=I703),1),W$4:W1673"&amp;"))+(I703-LARGE(FILTER(W$4:W1673,W$4:W1673&lt;=I703),1))*INDEX(T$4:T1673,MATCH(LARGE(FILTER(W$4:W1673,W$4:W1673&lt;=I703),1),W$4:W1673))-K703),1,
ROUNDDOWN(Y703-INDEX(K$4:K1673,MATCH(LARGE(FILTER(I$4:I1673,I$4:I1673&lt;=W703),1),I$4:I1673))-(W703-LARGE(FILTER(I$4:I"&amp;"1673,I$4:I1673&lt;=W703),1))*INDEX(F$4:F1673,MATCH(LARGE(FILTER(I$4:I1673,I$4:I1673&lt;=W703),1),I$4:I1673))))"),"")</f>
        <v/>
      </c>
      <c r="N703" s="60" t="str">
        <f t="shared" si="8"/>
        <v/>
      </c>
      <c r="O703" s="61" t="str">
        <f t="shared" si="9"/>
        <v/>
      </c>
      <c r="P703" s="56" t="str">
        <f t="shared" si="10"/>
        <v/>
      </c>
      <c r="Q703" s="105"/>
      <c r="R703" s="10"/>
      <c r="S703" s="59" t="str">
        <f t="array" ref="S703">IF(COUNTA(Q703:Q1673)=0,"",SUM((COUNTIF(Q$4:Q703,Upgrades!$B$3:$B$13)-COUNTIF(Q$4:Q703,"Sell_"&amp;Upgrades!$B$3:$B$13))*Upgrades!$D$3:$D$13))</f>
        <v/>
      </c>
      <c r="T703" s="66" t="str">
        <f>IFERROR(__xludf.DUMMYFUNCTION("IF(COUNTA(Q703:Q1673)=0,"""",IF(REGEXMATCH(INDEX(FILTER(Q$4:Q703,Q$4:Q703&lt;&gt;""""),ROWS(FILTER(Q$4:Q703,Q$4:Q703&lt;&gt;""""))),""^Sell_""),INDEX(FILTER(T$4:T702,Q$4:Q702&lt;&gt;""""),ROWS(FILTER(Q$4:Q702,Q$4:Q702&lt;&gt;""""))),$AD$5+S703))"),"")</f>
        <v/>
      </c>
      <c r="U703" s="10" t="str">
        <f>IFERROR(__xludf.DUMMYFUNCTION("IF(COUNTA(Q703:Q1673)=0,"""",IF(Q703="""",0,IF(REGEXMATCH(Q703,""^Sell_""),-ROUNDDOWN(ROUNDUP(INDEX(Upgrades!$C$3:$C$13,MATCH(SUBSTITUTE(Q703,""Sell_"",""""),Upgrades!$B$3:$B$13,0))*1.15^(COUNTIF(Q$4:Q702,SUBSTITUTE(Q703,""Sell_"",""""))-COUNTIF(Q$4:Q702,"&amp;"""Sell_""&amp;SUBSTITUTE(Q703,""Sell_"",""""))))/2),ROUNDUP(INDEX(Upgrades!$C$3:$C$13,MATCH(Q703,Upgrades!$B$3:$B$13,0))*1.15^(COUNTIF(Q$4:Q702,Q703)-COUNTIF(Q$4:Q702,""Sell_""&amp;Q703))))))"),"")</f>
        <v/>
      </c>
      <c r="V703" s="10" t="str">
        <f t="shared" si="11"/>
        <v/>
      </c>
      <c r="W703" s="68" t="str">
        <f t="shared" si="12"/>
        <v/>
      </c>
      <c r="X703" s="59" t="str">
        <f t="shared" si="13"/>
        <v/>
      </c>
      <c r="Y703" s="69" t="str">
        <f t="shared" si="14"/>
        <v/>
      </c>
      <c r="Z703" s="11"/>
    </row>
    <row r="704">
      <c r="A704" s="8"/>
      <c r="B704" s="56" t="str">
        <f t="shared" si="2"/>
        <v/>
      </c>
      <c r="C704" s="105"/>
      <c r="D704" s="10"/>
      <c r="E704" s="59" t="str">
        <f t="array" ref="E704">IF(COUNTA(C704:C1673)=0,"",SUM((COUNTIF(C$4:C704,Upgrades!$B$3:$B$13)-COUNTIF(C$4:C704,"Sell_"&amp;Upgrades!$B$3:$B$13))*Upgrades!$D$3:$D$13))</f>
        <v/>
      </c>
      <c r="F704" s="66" t="str">
        <f>IFERROR(__xludf.DUMMYFUNCTION("IF(COUNTA(C704:C1673)=0,"""",IF(REGEXMATCH(INDEX(FILTER(C$4:C704,C$4:C704&lt;&gt;""""),ROWS(FILTER(C$4:C704,C$4:C704&lt;&gt;""""))),""^Sell_""),INDEX(FILTER(F$4:F703,C$4:C703&lt;&gt;""""),ROWS(FILTER(C$4:C703,C$4:C703&lt;&gt;""""))),$AC$5+E704))"),"")</f>
        <v/>
      </c>
      <c r="G704" s="10" t="str">
        <f>IFERROR(__xludf.DUMMYFUNCTION("IF(COUNTA(C704:C1673)=0,"""",IF(C704="""",0,IF(REGEXMATCH(C704,""^Sell_""),-ROUNDDOWN(ROUNDUP(INDEX(Upgrades!$C$3:$C$13,MATCH(SUBSTITUTE(C704,""Sell_"",""""),Upgrades!$B$3:$B$13,0))*1.15^(COUNTIF(C$4:C703,SUBSTITUTE(C704,""Sell_"",""""))-COUNTIF(C$4:C703,"&amp;"""Sell_""&amp;SUBSTITUTE(C704,""Sell_"",""""))))/2),ROUNDUP(INDEX(Upgrades!$C$3:$C$13,MATCH(C704,Upgrades!$B$3:$B$13,0))*1.15^(COUNTIF(C$4:C703,C704)-COUNTIF(C$4:C703,""Sell_""&amp;C704))))))"),"")</f>
        <v/>
      </c>
      <c r="H704" s="10" t="str">
        <f t="shared" si="3"/>
        <v/>
      </c>
      <c r="I704" s="68" t="str">
        <f t="shared" si="4"/>
        <v/>
      </c>
      <c r="J704" s="59" t="str">
        <f t="shared" si="5"/>
        <v/>
      </c>
      <c r="K704" s="69" t="str">
        <f t="shared" si="6"/>
        <v/>
      </c>
      <c r="L704" s="60" t="str">
        <f t="shared" si="7"/>
        <v/>
      </c>
      <c r="M704" s="61" t="str">
        <f>IFERROR(__xludf.DUMMYFUNCTION("IFS(AND(COUNTA(C704:C1673)=0,COUNTA(Q704:Q1673)=0),"""",OR(AND(K704&gt;=1000000000,OR(Y704&gt;=1000000000,COUNTA(Q704:Q1673)=0)),OR(Y704&gt;=1000000000,AND(COUNTA(C704:C1673)=0,P$3=TRUE))),
ROUNDDOWN((AB$1-AC$1)*MAX(INDEX(T$4:T1673,MATCH(LARGE(FILTER(Y$4:Y1673,Y$4"&amp;":Y1673&lt;1000000000),1),Y$4:Y1673)),INDEX(F$4:F1673,MATCH(LARGE(FILTER(K$4:K1673,K$4:K1673&lt;1000000000),1),K$4:K1673)))),AND(K704&lt;1000000000,COUNTA(C704:C1673)&gt;0,P$3=FALSE),
ROUNDDOWN(INDEX(Y$4:Y1673,MATCH(LARGE(FILTER(W$4:W1673,W$4:W1673&lt;=I704),1),W$4:W1673"&amp;"))+(I704-LARGE(FILTER(W$4:W1673,W$4:W1673&lt;=I704),1))*INDEX(T$4:T1673,MATCH(LARGE(FILTER(W$4:W1673,W$4:W1673&lt;=I704),1),W$4:W1673))-K704),1,
ROUNDDOWN(Y704-INDEX(K$4:K1673,MATCH(LARGE(FILTER(I$4:I1673,I$4:I1673&lt;=W704),1),I$4:I1673))-(W704-LARGE(FILTER(I$4:I"&amp;"1673,I$4:I1673&lt;=W704),1))*INDEX(F$4:F1673,MATCH(LARGE(FILTER(I$4:I1673,I$4:I1673&lt;=W704),1),I$4:I1673))))"),"")</f>
        <v/>
      </c>
      <c r="N704" s="60" t="str">
        <f t="shared" si="8"/>
        <v/>
      </c>
      <c r="O704" s="61" t="str">
        <f t="shared" si="9"/>
        <v/>
      </c>
      <c r="P704" s="56" t="str">
        <f t="shared" si="10"/>
        <v/>
      </c>
      <c r="Q704" s="105"/>
      <c r="R704" s="10"/>
      <c r="S704" s="59" t="str">
        <f t="array" ref="S704">IF(COUNTA(Q704:Q1673)=0,"",SUM((COUNTIF(Q$4:Q704,Upgrades!$B$3:$B$13)-COUNTIF(Q$4:Q704,"Sell_"&amp;Upgrades!$B$3:$B$13))*Upgrades!$D$3:$D$13))</f>
        <v/>
      </c>
      <c r="T704" s="66" t="str">
        <f>IFERROR(__xludf.DUMMYFUNCTION("IF(COUNTA(Q704:Q1673)=0,"""",IF(REGEXMATCH(INDEX(FILTER(Q$4:Q704,Q$4:Q704&lt;&gt;""""),ROWS(FILTER(Q$4:Q704,Q$4:Q704&lt;&gt;""""))),""^Sell_""),INDEX(FILTER(T$4:T703,Q$4:Q703&lt;&gt;""""),ROWS(FILTER(Q$4:Q703,Q$4:Q703&lt;&gt;""""))),$AD$5+S704))"),"")</f>
        <v/>
      </c>
      <c r="U704" s="10" t="str">
        <f>IFERROR(__xludf.DUMMYFUNCTION("IF(COUNTA(Q704:Q1673)=0,"""",IF(Q704="""",0,IF(REGEXMATCH(Q704,""^Sell_""),-ROUNDDOWN(ROUNDUP(INDEX(Upgrades!$C$3:$C$13,MATCH(SUBSTITUTE(Q704,""Sell_"",""""),Upgrades!$B$3:$B$13,0))*1.15^(COUNTIF(Q$4:Q703,SUBSTITUTE(Q704,""Sell_"",""""))-COUNTIF(Q$4:Q703,"&amp;"""Sell_""&amp;SUBSTITUTE(Q704,""Sell_"",""""))))/2),ROUNDUP(INDEX(Upgrades!$C$3:$C$13,MATCH(Q704,Upgrades!$B$3:$B$13,0))*1.15^(COUNTIF(Q$4:Q703,Q704)-COUNTIF(Q$4:Q703,""Sell_""&amp;Q704))))))"),"")</f>
        <v/>
      </c>
      <c r="V704" s="10" t="str">
        <f t="shared" si="11"/>
        <v/>
      </c>
      <c r="W704" s="68" t="str">
        <f t="shared" si="12"/>
        <v/>
      </c>
      <c r="X704" s="59" t="str">
        <f t="shared" si="13"/>
        <v/>
      </c>
      <c r="Y704" s="69" t="str">
        <f t="shared" si="14"/>
        <v/>
      </c>
      <c r="Z704" s="11"/>
    </row>
    <row r="705">
      <c r="A705" s="8"/>
      <c r="B705" s="56" t="str">
        <f t="shared" si="2"/>
        <v/>
      </c>
      <c r="C705" s="105"/>
      <c r="D705" s="10"/>
      <c r="E705" s="59" t="str">
        <f t="array" ref="E705">IF(COUNTA(C705:C1673)=0,"",SUM((COUNTIF(C$4:C705,Upgrades!$B$3:$B$13)-COUNTIF(C$4:C705,"Sell_"&amp;Upgrades!$B$3:$B$13))*Upgrades!$D$3:$D$13))</f>
        <v/>
      </c>
      <c r="F705" s="66" t="str">
        <f>IFERROR(__xludf.DUMMYFUNCTION("IF(COUNTA(C705:C1673)=0,"""",IF(REGEXMATCH(INDEX(FILTER(C$4:C705,C$4:C705&lt;&gt;""""),ROWS(FILTER(C$4:C705,C$4:C705&lt;&gt;""""))),""^Sell_""),INDEX(FILTER(F$4:F704,C$4:C704&lt;&gt;""""),ROWS(FILTER(C$4:C704,C$4:C704&lt;&gt;""""))),$AC$5+E705))"),"")</f>
        <v/>
      </c>
      <c r="G705" s="10" t="str">
        <f>IFERROR(__xludf.DUMMYFUNCTION("IF(COUNTA(C705:C1673)=0,"""",IF(C705="""",0,IF(REGEXMATCH(C705,""^Sell_""),-ROUNDDOWN(ROUNDUP(INDEX(Upgrades!$C$3:$C$13,MATCH(SUBSTITUTE(C705,""Sell_"",""""),Upgrades!$B$3:$B$13,0))*1.15^(COUNTIF(C$4:C704,SUBSTITUTE(C705,""Sell_"",""""))-COUNTIF(C$4:C704,"&amp;"""Sell_""&amp;SUBSTITUTE(C705,""Sell_"",""""))))/2),ROUNDUP(INDEX(Upgrades!$C$3:$C$13,MATCH(C705,Upgrades!$B$3:$B$13,0))*1.15^(COUNTIF(C$4:C704,C705)-COUNTIF(C$4:C704,""Sell_""&amp;C705))))))"),"")</f>
        <v/>
      </c>
      <c r="H705" s="10" t="str">
        <f t="shared" si="3"/>
        <v/>
      </c>
      <c r="I705" s="68" t="str">
        <f t="shared" si="4"/>
        <v/>
      </c>
      <c r="J705" s="59" t="str">
        <f t="shared" si="5"/>
        <v/>
      </c>
      <c r="K705" s="69" t="str">
        <f t="shared" si="6"/>
        <v/>
      </c>
      <c r="L705" s="60" t="str">
        <f t="shared" si="7"/>
        <v/>
      </c>
      <c r="M705" s="61" t="str">
        <f>IFERROR(__xludf.DUMMYFUNCTION("IFS(AND(COUNTA(C705:C1673)=0,COUNTA(Q705:Q1673)=0),"""",OR(AND(K705&gt;=1000000000,OR(Y705&gt;=1000000000,COUNTA(Q705:Q1673)=0)),OR(Y705&gt;=1000000000,AND(COUNTA(C705:C1673)=0,P$3=TRUE))),
ROUNDDOWN((AB$1-AC$1)*MAX(INDEX(T$4:T1673,MATCH(LARGE(FILTER(Y$4:Y1673,Y$4"&amp;":Y1673&lt;1000000000),1),Y$4:Y1673)),INDEX(F$4:F1673,MATCH(LARGE(FILTER(K$4:K1673,K$4:K1673&lt;1000000000),1),K$4:K1673)))),AND(K705&lt;1000000000,COUNTA(C705:C1673)&gt;0,P$3=FALSE),
ROUNDDOWN(INDEX(Y$4:Y1673,MATCH(LARGE(FILTER(W$4:W1673,W$4:W1673&lt;=I705),1),W$4:W1673"&amp;"))+(I705-LARGE(FILTER(W$4:W1673,W$4:W1673&lt;=I705),1))*INDEX(T$4:T1673,MATCH(LARGE(FILTER(W$4:W1673,W$4:W1673&lt;=I705),1),W$4:W1673))-K705),1,
ROUNDDOWN(Y705-INDEX(K$4:K1673,MATCH(LARGE(FILTER(I$4:I1673,I$4:I1673&lt;=W705),1),I$4:I1673))-(W705-LARGE(FILTER(I$4:I"&amp;"1673,I$4:I1673&lt;=W705),1))*INDEX(F$4:F1673,MATCH(LARGE(FILTER(I$4:I1673,I$4:I1673&lt;=W705),1),I$4:I1673))))"),"")</f>
        <v/>
      </c>
      <c r="N705" s="60" t="str">
        <f t="shared" si="8"/>
        <v/>
      </c>
      <c r="O705" s="61" t="str">
        <f t="shared" si="9"/>
        <v/>
      </c>
      <c r="P705" s="56" t="str">
        <f t="shared" si="10"/>
        <v/>
      </c>
      <c r="Q705" s="105"/>
      <c r="R705" s="10"/>
      <c r="S705" s="59" t="str">
        <f t="array" ref="S705">IF(COUNTA(Q705:Q1673)=0,"",SUM((COUNTIF(Q$4:Q705,Upgrades!$B$3:$B$13)-COUNTIF(Q$4:Q705,"Sell_"&amp;Upgrades!$B$3:$B$13))*Upgrades!$D$3:$D$13))</f>
        <v/>
      </c>
      <c r="T705" s="66" t="str">
        <f>IFERROR(__xludf.DUMMYFUNCTION("IF(COUNTA(Q705:Q1673)=0,"""",IF(REGEXMATCH(INDEX(FILTER(Q$4:Q705,Q$4:Q705&lt;&gt;""""),ROWS(FILTER(Q$4:Q705,Q$4:Q705&lt;&gt;""""))),""^Sell_""),INDEX(FILTER(T$4:T704,Q$4:Q704&lt;&gt;""""),ROWS(FILTER(Q$4:Q704,Q$4:Q704&lt;&gt;""""))),$AD$5+S705))"),"")</f>
        <v/>
      </c>
      <c r="U705" s="10" t="str">
        <f>IFERROR(__xludf.DUMMYFUNCTION("IF(COUNTA(Q705:Q1673)=0,"""",IF(Q705="""",0,IF(REGEXMATCH(Q705,""^Sell_""),-ROUNDDOWN(ROUNDUP(INDEX(Upgrades!$C$3:$C$13,MATCH(SUBSTITUTE(Q705,""Sell_"",""""),Upgrades!$B$3:$B$13,0))*1.15^(COUNTIF(Q$4:Q704,SUBSTITUTE(Q705,""Sell_"",""""))-COUNTIF(Q$4:Q704,"&amp;"""Sell_""&amp;SUBSTITUTE(Q705,""Sell_"",""""))))/2),ROUNDUP(INDEX(Upgrades!$C$3:$C$13,MATCH(Q705,Upgrades!$B$3:$B$13,0))*1.15^(COUNTIF(Q$4:Q704,Q705)-COUNTIF(Q$4:Q704,""Sell_""&amp;Q705))))))"),"")</f>
        <v/>
      </c>
      <c r="V705" s="10" t="str">
        <f t="shared" si="11"/>
        <v/>
      </c>
      <c r="W705" s="68" t="str">
        <f t="shared" si="12"/>
        <v/>
      </c>
      <c r="X705" s="59" t="str">
        <f t="shared" si="13"/>
        <v/>
      </c>
      <c r="Y705" s="69" t="str">
        <f t="shared" si="14"/>
        <v/>
      </c>
      <c r="Z705" s="11"/>
    </row>
    <row r="706">
      <c r="A706" s="8"/>
      <c r="B706" s="56" t="str">
        <f t="shared" si="2"/>
        <v/>
      </c>
      <c r="C706" s="105"/>
      <c r="D706" s="10"/>
      <c r="E706" s="59" t="str">
        <f t="array" ref="E706">IF(COUNTA(C706:C1673)=0,"",SUM((COUNTIF(C$4:C706,Upgrades!$B$3:$B$13)-COUNTIF(C$4:C706,"Sell_"&amp;Upgrades!$B$3:$B$13))*Upgrades!$D$3:$D$13))</f>
        <v/>
      </c>
      <c r="F706" s="66" t="str">
        <f>IFERROR(__xludf.DUMMYFUNCTION("IF(COUNTA(C706:C1673)=0,"""",IF(REGEXMATCH(INDEX(FILTER(C$4:C706,C$4:C706&lt;&gt;""""),ROWS(FILTER(C$4:C706,C$4:C706&lt;&gt;""""))),""^Sell_""),INDEX(FILTER(F$4:F705,C$4:C705&lt;&gt;""""),ROWS(FILTER(C$4:C705,C$4:C705&lt;&gt;""""))),$AC$5+E706))"),"")</f>
        <v/>
      </c>
      <c r="G706" s="10" t="str">
        <f>IFERROR(__xludf.DUMMYFUNCTION("IF(COUNTA(C706:C1673)=0,"""",IF(C706="""",0,IF(REGEXMATCH(C706,""^Sell_""),-ROUNDDOWN(ROUNDUP(INDEX(Upgrades!$C$3:$C$13,MATCH(SUBSTITUTE(C706,""Sell_"",""""),Upgrades!$B$3:$B$13,0))*1.15^(COUNTIF(C$4:C705,SUBSTITUTE(C706,""Sell_"",""""))-COUNTIF(C$4:C705,"&amp;"""Sell_""&amp;SUBSTITUTE(C706,""Sell_"",""""))))/2),ROUNDUP(INDEX(Upgrades!$C$3:$C$13,MATCH(C706,Upgrades!$B$3:$B$13,0))*1.15^(COUNTIF(C$4:C705,C706)-COUNTIF(C$4:C705,""Sell_""&amp;C706))))))"),"")</f>
        <v/>
      </c>
      <c r="H706" s="10" t="str">
        <f t="shared" si="3"/>
        <v/>
      </c>
      <c r="I706" s="68" t="str">
        <f t="shared" si="4"/>
        <v/>
      </c>
      <c r="J706" s="59" t="str">
        <f t="shared" si="5"/>
        <v/>
      </c>
      <c r="K706" s="69" t="str">
        <f t="shared" si="6"/>
        <v/>
      </c>
      <c r="L706" s="60" t="str">
        <f t="shared" si="7"/>
        <v/>
      </c>
      <c r="M706" s="61" t="str">
        <f>IFERROR(__xludf.DUMMYFUNCTION("IFS(AND(COUNTA(C706:C1673)=0,COUNTA(Q706:Q1673)=0),"""",OR(AND(K706&gt;=1000000000,OR(Y706&gt;=1000000000,COUNTA(Q706:Q1673)=0)),OR(Y706&gt;=1000000000,AND(COUNTA(C706:C1673)=0,P$3=TRUE))),
ROUNDDOWN((AB$1-AC$1)*MAX(INDEX(T$4:T1673,MATCH(LARGE(FILTER(Y$4:Y1673,Y$4"&amp;":Y1673&lt;1000000000),1),Y$4:Y1673)),INDEX(F$4:F1673,MATCH(LARGE(FILTER(K$4:K1673,K$4:K1673&lt;1000000000),1),K$4:K1673)))),AND(K706&lt;1000000000,COUNTA(C706:C1673)&gt;0,P$3=FALSE),
ROUNDDOWN(INDEX(Y$4:Y1673,MATCH(LARGE(FILTER(W$4:W1673,W$4:W1673&lt;=I706),1),W$4:W1673"&amp;"))+(I706-LARGE(FILTER(W$4:W1673,W$4:W1673&lt;=I706),1))*INDEX(T$4:T1673,MATCH(LARGE(FILTER(W$4:W1673,W$4:W1673&lt;=I706),1),W$4:W1673))-K706),1,
ROUNDDOWN(Y706-INDEX(K$4:K1673,MATCH(LARGE(FILTER(I$4:I1673,I$4:I1673&lt;=W706),1),I$4:I1673))-(W706-LARGE(FILTER(I$4:I"&amp;"1673,I$4:I1673&lt;=W706),1))*INDEX(F$4:F1673,MATCH(LARGE(FILTER(I$4:I1673,I$4:I1673&lt;=W706),1),I$4:I1673))))"),"")</f>
        <v/>
      </c>
      <c r="N706" s="60" t="str">
        <f t="shared" si="8"/>
        <v/>
      </c>
      <c r="O706" s="61" t="str">
        <f t="shared" si="9"/>
        <v/>
      </c>
      <c r="P706" s="56" t="str">
        <f t="shared" si="10"/>
        <v/>
      </c>
      <c r="Q706" s="105"/>
      <c r="R706" s="10"/>
      <c r="S706" s="59" t="str">
        <f t="array" ref="S706">IF(COUNTA(Q706:Q1673)=0,"",SUM((COUNTIF(Q$4:Q706,Upgrades!$B$3:$B$13)-COUNTIF(Q$4:Q706,"Sell_"&amp;Upgrades!$B$3:$B$13))*Upgrades!$D$3:$D$13))</f>
        <v/>
      </c>
      <c r="T706" s="66" t="str">
        <f>IFERROR(__xludf.DUMMYFUNCTION("IF(COUNTA(Q706:Q1673)=0,"""",IF(REGEXMATCH(INDEX(FILTER(Q$4:Q706,Q$4:Q706&lt;&gt;""""),ROWS(FILTER(Q$4:Q706,Q$4:Q706&lt;&gt;""""))),""^Sell_""),INDEX(FILTER(T$4:T705,Q$4:Q705&lt;&gt;""""),ROWS(FILTER(Q$4:Q705,Q$4:Q705&lt;&gt;""""))),$AD$5+S706))"),"")</f>
        <v/>
      </c>
      <c r="U706" s="10" t="str">
        <f>IFERROR(__xludf.DUMMYFUNCTION("IF(COUNTA(Q706:Q1673)=0,"""",IF(Q706="""",0,IF(REGEXMATCH(Q706,""^Sell_""),-ROUNDDOWN(ROUNDUP(INDEX(Upgrades!$C$3:$C$13,MATCH(SUBSTITUTE(Q706,""Sell_"",""""),Upgrades!$B$3:$B$13,0))*1.15^(COUNTIF(Q$4:Q705,SUBSTITUTE(Q706,""Sell_"",""""))-COUNTIF(Q$4:Q705,"&amp;"""Sell_""&amp;SUBSTITUTE(Q706,""Sell_"",""""))))/2),ROUNDUP(INDEX(Upgrades!$C$3:$C$13,MATCH(Q706,Upgrades!$B$3:$B$13,0))*1.15^(COUNTIF(Q$4:Q705,Q706)-COUNTIF(Q$4:Q705,""Sell_""&amp;Q706))))))"),"")</f>
        <v/>
      </c>
      <c r="V706" s="10" t="str">
        <f t="shared" si="11"/>
        <v/>
      </c>
      <c r="W706" s="68" t="str">
        <f t="shared" si="12"/>
        <v/>
      </c>
      <c r="X706" s="59" t="str">
        <f t="shared" si="13"/>
        <v/>
      </c>
      <c r="Y706" s="69" t="str">
        <f t="shared" si="14"/>
        <v/>
      </c>
      <c r="Z706" s="11"/>
    </row>
    <row r="707">
      <c r="A707" s="8"/>
      <c r="B707" s="56" t="str">
        <f t="shared" si="2"/>
        <v/>
      </c>
      <c r="C707" s="105"/>
      <c r="D707" s="10"/>
      <c r="E707" s="59" t="str">
        <f t="array" ref="E707">IF(COUNTA(C707:C1673)=0,"",SUM((COUNTIF(C$4:C707,Upgrades!$B$3:$B$13)-COUNTIF(C$4:C707,"Sell_"&amp;Upgrades!$B$3:$B$13))*Upgrades!$D$3:$D$13))</f>
        <v/>
      </c>
      <c r="F707" s="66" t="str">
        <f>IFERROR(__xludf.DUMMYFUNCTION("IF(COUNTA(C707:C1673)=0,"""",IF(REGEXMATCH(INDEX(FILTER(C$4:C707,C$4:C707&lt;&gt;""""),ROWS(FILTER(C$4:C707,C$4:C707&lt;&gt;""""))),""^Sell_""),INDEX(FILTER(F$4:F706,C$4:C706&lt;&gt;""""),ROWS(FILTER(C$4:C706,C$4:C706&lt;&gt;""""))),$AC$5+E707))"),"")</f>
        <v/>
      </c>
      <c r="G707" s="10" t="str">
        <f>IFERROR(__xludf.DUMMYFUNCTION("IF(COUNTA(C707:C1673)=0,"""",IF(C707="""",0,IF(REGEXMATCH(C707,""^Sell_""),-ROUNDDOWN(ROUNDUP(INDEX(Upgrades!$C$3:$C$13,MATCH(SUBSTITUTE(C707,""Sell_"",""""),Upgrades!$B$3:$B$13,0))*1.15^(COUNTIF(C$4:C706,SUBSTITUTE(C707,""Sell_"",""""))-COUNTIF(C$4:C706,"&amp;"""Sell_""&amp;SUBSTITUTE(C707,""Sell_"",""""))))/2),ROUNDUP(INDEX(Upgrades!$C$3:$C$13,MATCH(C707,Upgrades!$B$3:$B$13,0))*1.15^(COUNTIF(C$4:C706,C707)-COUNTIF(C$4:C706,""Sell_""&amp;C707))))))"),"")</f>
        <v/>
      </c>
      <c r="H707" s="10" t="str">
        <f t="shared" si="3"/>
        <v/>
      </c>
      <c r="I707" s="68" t="str">
        <f t="shared" si="4"/>
        <v/>
      </c>
      <c r="J707" s="59" t="str">
        <f t="shared" si="5"/>
        <v/>
      </c>
      <c r="K707" s="69" t="str">
        <f t="shared" si="6"/>
        <v/>
      </c>
      <c r="L707" s="60" t="str">
        <f t="shared" si="7"/>
        <v/>
      </c>
      <c r="M707" s="61" t="str">
        <f>IFERROR(__xludf.DUMMYFUNCTION("IFS(AND(COUNTA(C707:C1673)=0,COUNTA(Q707:Q1673)=0),"""",OR(AND(K707&gt;=1000000000,OR(Y707&gt;=1000000000,COUNTA(Q707:Q1673)=0)),OR(Y707&gt;=1000000000,AND(COUNTA(C707:C1673)=0,P$3=TRUE))),
ROUNDDOWN((AB$1-AC$1)*MAX(INDEX(T$4:T1673,MATCH(LARGE(FILTER(Y$4:Y1673,Y$4"&amp;":Y1673&lt;1000000000),1),Y$4:Y1673)),INDEX(F$4:F1673,MATCH(LARGE(FILTER(K$4:K1673,K$4:K1673&lt;1000000000),1),K$4:K1673)))),AND(K707&lt;1000000000,COUNTA(C707:C1673)&gt;0,P$3=FALSE),
ROUNDDOWN(INDEX(Y$4:Y1673,MATCH(LARGE(FILTER(W$4:W1673,W$4:W1673&lt;=I707),1),W$4:W1673"&amp;"))+(I707-LARGE(FILTER(W$4:W1673,W$4:W1673&lt;=I707),1))*INDEX(T$4:T1673,MATCH(LARGE(FILTER(W$4:W1673,W$4:W1673&lt;=I707),1),W$4:W1673))-K707),1,
ROUNDDOWN(Y707-INDEX(K$4:K1673,MATCH(LARGE(FILTER(I$4:I1673,I$4:I1673&lt;=W707),1),I$4:I1673))-(W707-LARGE(FILTER(I$4:I"&amp;"1673,I$4:I1673&lt;=W707),1))*INDEX(F$4:F1673,MATCH(LARGE(FILTER(I$4:I1673,I$4:I1673&lt;=W707),1),I$4:I1673))))"),"")</f>
        <v/>
      </c>
      <c r="N707" s="60" t="str">
        <f t="shared" si="8"/>
        <v/>
      </c>
      <c r="O707" s="61" t="str">
        <f t="shared" si="9"/>
        <v/>
      </c>
      <c r="P707" s="56" t="str">
        <f t="shared" si="10"/>
        <v/>
      </c>
      <c r="Q707" s="105"/>
      <c r="R707" s="10"/>
      <c r="S707" s="59" t="str">
        <f t="array" ref="S707">IF(COUNTA(Q707:Q1673)=0,"",SUM((COUNTIF(Q$4:Q707,Upgrades!$B$3:$B$13)-COUNTIF(Q$4:Q707,"Sell_"&amp;Upgrades!$B$3:$B$13))*Upgrades!$D$3:$D$13))</f>
        <v/>
      </c>
      <c r="T707" s="66" t="str">
        <f>IFERROR(__xludf.DUMMYFUNCTION("IF(COUNTA(Q707:Q1673)=0,"""",IF(REGEXMATCH(INDEX(FILTER(Q$4:Q707,Q$4:Q707&lt;&gt;""""),ROWS(FILTER(Q$4:Q707,Q$4:Q707&lt;&gt;""""))),""^Sell_""),INDEX(FILTER(T$4:T706,Q$4:Q706&lt;&gt;""""),ROWS(FILTER(Q$4:Q706,Q$4:Q706&lt;&gt;""""))),$AD$5+S707))"),"")</f>
        <v/>
      </c>
      <c r="U707" s="10" t="str">
        <f>IFERROR(__xludf.DUMMYFUNCTION("IF(COUNTA(Q707:Q1673)=0,"""",IF(Q707="""",0,IF(REGEXMATCH(Q707,""^Sell_""),-ROUNDDOWN(ROUNDUP(INDEX(Upgrades!$C$3:$C$13,MATCH(SUBSTITUTE(Q707,""Sell_"",""""),Upgrades!$B$3:$B$13,0))*1.15^(COUNTIF(Q$4:Q706,SUBSTITUTE(Q707,""Sell_"",""""))-COUNTIF(Q$4:Q706,"&amp;"""Sell_""&amp;SUBSTITUTE(Q707,""Sell_"",""""))))/2),ROUNDUP(INDEX(Upgrades!$C$3:$C$13,MATCH(Q707,Upgrades!$B$3:$B$13,0))*1.15^(COUNTIF(Q$4:Q706,Q707)-COUNTIF(Q$4:Q706,""Sell_""&amp;Q707))))))"),"")</f>
        <v/>
      </c>
      <c r="V707" s="10" t="str">
        <f t="shared" si="11"/>
        <v/>
      </c>
      <c r="W707" s="68" t="str">
        <f t="shared" si="12"/>
        <v/>
      </c>
      <c r="X707" s="59" t="str">
        <f t="shared" si="13"/>
        <v/>
      </c>
      <c r="Y707" s="69" t="str">
        <f t="shared" si="14"/>
        <v/>
      </c>
      <c r="Z707" s="11"/>
    </row>
    <row r="708">
      <c r="A708" s="8"/>
      <c r="B708" s="56" t="str">
        <f t="shared" si="2"/>
        <v/>
      </c>
      <c r="C708" s="105"/>
      <c r="D708" s="10"/>
      <c r="E708" s="59" t="str">
        <f t="array" ref="E708">IF(COUNTA(C708:C1673)=0,"",SUM((COUNTIF(C$4:C708,Upgrades!$B$3:$B$13)-COUNTIF(C$4:C708,"Sell_"&amp;Upgrades!$B$3:$B$13))*Upgrades!$D$3:$D$13))</f>
        <v/>
      </c>
      <c r="F708" s="66" t="str">
        <f>IFERROR(__xludf.DUMMYFUNCTION("IF(COUNTA(C708:C1673)=0,"""",IF(REGEXMATCH(INDEX(FILTER(C$4:C708,C$4:C708&lt;&gt;""""),ROWS(FILTER(C$4:C708,C$4:C708&lt;&gt;""""))),""^Sell_""),INDEX(FILTER(F$4:F707,C$4:C707&lt;&gt;""""),ROWS(FILTER(C$4:C707,C$4:C707&lt;&gt;""""))),$AC$5+E708))"),"")</f>
        <v/>
      </c>
      <c r="G708" s="10" t="str">
        <f>IFERROR(__xludf.DUMMYFUNCTION("IF(COUNTA(C708:C1673)=0,"""",IF(C708="""",0,IF(REGEXMATCH(C708,""^Sell_""),-ROUNDDOWN(ROUNDUP(INDEX(Upgrades!$C$3:$C$13,MATCH(SUBSTITUTE(C708,""Sell_"",""""),Upgrades!$B$3:$B$13,0))*1.15^(COUNTIF(C$4:C707,SUBSTITUTE(C708,""Sell_"",""""))-COUNTIF(C$4:C707,"&amp;"""Sell_""&amp;SUBSTITUTE(C708,""Sell_"",""""))))/2),ROUNDUP(INDEX(Upgrades!$C$3:$C$13,MATCH(C708,Upgrades!$B$3:$B$13,0))*1.15^(COUNTIF(C$4:C707,C708)-COUNTIF(C$4:C707,""Sell_""&amp;C708))))))"),"")</f>
        <v/>
      </c>
      <c r="H708" s="10" t="str">
        <f t="shared" si="3"/>
        <v/>
      </c>
      <c r="I708" s="68" t="str">
        <f t="shared" si="4"/>
        <v/>
      </c>
      <c r="J708" s="59" t="str">
        <f t="shared" si="5"/>
        <v/>
      </c>
      <c r="K708" s="69" t="str">
        <f t="shared" si="6"/>
        <v/>
      </c>
      <c r="L708" s="60" t="str">
        <f t="shared" si="7"/>
        <v/>
      </c>
      <c r="M708" s="61" t="str">
        <f>IFERROR(__xludf.DUMMYFUNCTION("IFS(AND(COUNTA(C708:C1673)=0,COUNTA(Q708:Q1673)=0),"""",OR(AND(K708&gt;=1000000000,OR(Y708&gt;=1000000000,COUNTA(Q708:Q1673)=0)),OR(Y708&gt;=1000000000,AND(COUNTA(C708:C1673)=0,P$3=TRUE))),
ROUNDDOWN((AB$1-AC$1)*MAX(INDEX(T$4:T1673,MATCH(LARGE(FILTER(Y$4:Y1673,Y$4"&amp;":Y1673&lt;1000000000),1),Y$4:Y1673)),INDEX(F$4:F1673,MATCH(LARGE(FILTER(K$4:K1673,K$4:K1673&lt;1000000000),1),K$4:K1673)))),AND(K708&lt;1000000000,COUNTA(C708:C1673)&gt;0,P$3=FALSE),
ROUNDDOWN(INDEX(Y$4:Y1673,MATCH(LARGE(FILTER(W$4:W1673,W$4:W1673&lt;=I708),1),W$4:W1673"&amp;"))+(I708-LARGE(FILTER(W$4:W1673,W$4:W1673&lt;=I708),1))*INDEX(T$4:T1673,MATCH(LARGE(FILTER(W$4:W1673,W$4:W1673&lt;=I708),1),W$4:W1673))-K708),1,
ROUNDDOWN(Y708-INDEX(K$4:K1673,MATCH(LARGE(FILTER(I$4:I1673,I$4:I1673&lt;=W708),1),I$4:I1673))-(W708-LARGE(FILTER(I$4:I"&amp;"1673,I$4:I1673&lt;=W708),1))*INDEX(F$4:F1673,MATCH(LARGE(FILTER(I$4:I1673,I$4:I1673&lt;=W708),1),I$4:I1673))))"),"")</f>
        <v/>
      </c>
      <c r="N708" s="60" t="str">
        <f t="shared" si="8"/>
        <v/>
      </c>
      <c r="O708" s="61" t="str">
        <f t="shared" si="9"/>
        <v/>
      </c>
      <c r="P708" s="56" t="str">
        <f t="shared" si="10"/>
        <v/>
      </c>
      <c r="Q708" s="105"/>
      <c r="R708" s="10"/>
      <c r="S708" s="59" t="str">
        <f t="array" ref="S708">IF(COUNTA(Q708:Q1673)=0,"",SUM((COUNTIF(Q$4:Q708,Upgrades!$B$3:$B$13)-COUNTIF(Q$4:Q708,"Sell_"&amp;Upgrades!$B$3:$B$13))*Upgrades!$D$3:$D$13))</f>
        <v/>
      </c>
      <c r="T708" s="66" t="str">
        <f>IFERROR(__xludf.DUMMYFUNCTION("IF(COUNTA(Q708:Q1673)=0,"""",IF(REGEXMATCH(INDEX(FILTER(Q$4:Q708,Q$4:Q708&lt;&gt;""""),ROWS(FILTER(Q$4:Q708,Q$4:Q708&lt;&gt;""""))),""^Sell_""),INDEX(FILTER(T$4:T707,Q$4:Q707&lt;&gt;""""),ROWS(FILTER(Q$4:Q707,Q$4:Q707&lt;&gt;""""))),$AD$5+S708))"),"")</f>
        <v/>
      </c>
      <c r="U708" s="10" t="str">
        <f>IFERROR(__xludf.DUMMYFUNCTION("IF(COUNTA(Q708:Q1673)=0,"""",IF(Q708="""",0,IF(REGEXMATCH(Q708,""^Sell_""),-ROUNDDOWN(ROUNDUP(INDEX(Upgrades!$C$3:$C$13,MATCH(SUBSTITUTE(Q708,""Sell_"",""""),Upgrades!$B$3:$B$13,0))*1.15^(COUNTIF(Q$4:Q707,SUBSTITUTE(Q708,""Sell_"",""""))-COUNTIF(Q$4:Q707,"&amp;"""Sell_""&amp;SUBSTITUTE(Q708,""Sell_"",""""))))/2),ROUNDUP(INDEX(Upgrades!$C$3:$C$13,MATCH(Q708,Upgrades!$B$3:$B$13,0))*1.15^(COUNTIF(Q$4:Q707,Q708)-COUNTIF(Q$4:Q707,""Sell_""&amp;Q708))))))"),"")</f>
        <v/>
      </c>
      <c r="V708" s="10" t="str">
        <f t="shared" si="11"/>
        <v/>
      </c>
      <c r="W708" s="68" t="str">
        <f t="shared" si="12"/>
        <v/>
      </c>
      <c r="X708" s="59" t="str">
        <f t="shared" si="13"/>
        <v/>
      </c>
      <c r="Y708" s="69" t="str">
        <f t="shared" si="14"/>
        <v/>
      </c>
      <c r="Z708" s="11"/>
    </row>
    <row r="709">
      <c r="A709" s="8"/>
      <c r="B709" s="56" t="str">
        <f t="shared" si="2"/>
        <v/>
      </c>
      <c r="C709" s="105"/>
      <c r="D709" s="10"/>
      <c r="E709" s="59" t="str">
        <f t="array" ref="E709">IF(COUNTA(C709:C1673)=0,"",SUM((COUNTIF(C$4:C709,Upgrades!$B$3:$B$13)-COUNTIF(C$4:C709,"Sell_"&amp;Upgrades!$B$3:$B$13))*Upgrades!$D$3:$D$13))</f>
        <v/>
      </c>
      <c r="F709" s="66" t="str">
        <f>IFERROR(__xludf.DUMMYFUNCTION("IF(COUNTA(C709:C1673)=0,"""",IF(REGEXMATCH(INDEX(FILTER(C$4:C709,C$4:C709&lt;&gt;""""),ROWS(FILTER(C$4:C709,C$4:C709&lt;&gt;""""))),""^Sell_""),INDEX(FILTER(F$4:F708,C$4:C708&lt;&gt;""""),ROWS(FILTER(C$4:C708,C$4:C708&lt;&gt;""""))),$AC$5+E709))"),"")</f>
        <v/>
      </c>
      <c r="G709" s="10" t="str">
        <f>IFERROR(__xludf.DUMMYFUNCTION("IF(COUNTA(C709:C1673)=0,"""",IF(C709="""",0,IF(REGEXMATCH(C709,""^Sell_""),-ROUNDDOWN(ROUNDUP(INDEX(Upgrades!$C$3:$C$13,MATCH(SUBSTITUTE(C709,""Sell_"",""""),Upgrades!$B$3:$B$13,0))*1.15^(COUNTIF(C$4:C708,SUBSTITUTE(C709,""Sell_"",""""))-COUNTIF(C$4:C708,"&amp;"""Sell_""&amp;SUBSTITUTE(C709,""Sell_"",""""))))/2),ROUNDUP(INDEX(Upgrades!$C$3:$C$13,MATCH(C709,Upgrades!$B$3:$B$13,0))*1.15^(COUNTIF(C$4:C708,C709)-COUNTIF(C$4:C708,""Sell_""&amp;C709))))))"),"")</f>
        <v/>
      </c>
      <c r="H709" s="10" t="str">
        <f t="shared" si="3"/>
        <v/>
      </c>
      <c r="I709" s="68" t="str">
        <f t="shared" si="4"/>
        <v/>
      </c>
      <c r="J709" s="59" t="str">
        <f t="shared" si="5"/>
        <v/>
      </c>
      <c r="K709" s="69" t="str">
        <f t="shared" si="6"/>
        <v/>
      </c>
      <c r="L709" s="60" t="str">
        <f t="shared" si="7"/>
        <v/>
      </c>
      <c r="M709" s="61" t="str">
        <f>IFERROR(__xludf.DUMMYFUNCTION("IFS(AND(COUNTA(C709:C1673)=0,COUNTA(Q709:Q1673)=0),"""",OR(AND(K709&gt;=1000000000,OR(Y709&gt;=1000000000,COUNTA(Q709:Q1673)=0)),OR(Y709&gt;=1000000000,AND(COUNTA(C709:C1673)=0,P$3=TRUE))),
ROUNDDOWN((AB$1-AC$1)*MAX(INDEX(T$4:T1673,MATCH(LARGE(FILTER(Y$4:Y1673,Y$4"&amp;":Y1673&lt;1000000000),1),Y$4:Y1673)),INDEX(F$4:F1673,MATCH(LARGE(FILTER(K$4:K1673,K$4:K1673&lt;1000000000),1),K$4:K1673)))),AND(K709&lt;1000000000,COUNTA(C709:C1673)&gt;0,P$3=FALSE),
ROUNDDOWN(INDEX(Y$4:Y1673,MATCH(LARGE(FILTER(W$4:W1673,W$4:W1673&lt;=I709),1),W$4:W1673"&amp;"))+(I709-LARGE(FILTER(W$4:W1673,W$4:W1673&lt;=I709),1))*INDEX(T$4:T1673,MATCH(LARGE(FILTER(W$4:W1673,W$4:W1673&lt;=I709),1),W$4:W1673))-K709),1,
ROUNDDOWN(Y709-INDEX(K$4:K1673,MATCH(LARGE(FILTER(I$4:I1673,I$4:I1673&lt;=W709),1),I$4:I1673))-(W709-LARGE(FILTER(I$4:I"&amp;"1673,I$4:I1673&lt;=W709),1))*INDEX(F$4:F1673,MATCH(LARGE(FILTER(I$4:I1673,I$4:I1673&lt;=W709),1),I$4:I1673))))"),"")</f>
        <v/>
      </c>
      <c r="N709" s="60" t="str">
        <f t="shared" si="8"/>
        <v/>
      </c>
      <c r="O709" s="61" t="str">
        <f t="shared" si="9"/>
        <v/>
      </c>
      <c r="P709" s="56" t="str">
        <f t="shared" si="10"/>
        <v/>
      </c>
      <c r="Q709" s="105"/>
      <c r="R709" s="10"/>
      <c r="S709" s="59" t="str">
        <f t="array" ref="S709">IF(COUNTA(Q709:Q1673)=0,"",SUM((COUNTIF(Q$4:Q709,Upgrades!$B$3:$B$13)-COUNTIF(Q$4:Q709,"Sell_"&amp;Upgrades!$B$3:$B$13))*Upgrades!$D$3:$D$13))</f>
        <v/>
      </c>
      <c r="T709" s="66" t="str">
        <f>IFERROR(__xludf.DUMMYFUNCTION("IF(COUNTA(Q709:Q1673)=0,"""",IF(REGEXMATCH(INDEX(FILTER(Q$4:Q709,Q$4:Q709&lt;&gt;""""),ROWS(FILTER(Q$4:Q709,Q$4:Q709&lt;&gt;""""))),""^Sell_""),INDEX(FILTER(T$4:T708,Q$4:Q708&lt;&gt;""""),ROWS(FILTER(Q$4:Q708,Q$4:Q708&lt;&gt;""""))),$AD$5+S709))"),"")</f>
        <v/>
      </c>
      <c r="U709" s="10" t="str">
        <f>IFERROR(__xludf.DUMMYFUNCTION("IF(COUNTA(Q709:Q1673)=0,"""",IF(Q709="""",0,IF(REGEXMATCH(Q709,""^Sell_""),-ROUNDDOWN(ROUNDUP(INDEX(Upgrades!$C$3:$C$13,MATCH(SUBSTITUTE(Q709,""Sell_"",""""),Upgrades!$B$3:$B$13,0))*1.15^(COUNTIF(Q$4:Q708,SUBSTITUTE(Q709,""Sell_"",""""))-COUNTIF(Q$4:Q708,"&amp;"""Sell_""&amp;SUBSTITUTE(Q709,""Sell_"",""""))))/2),ROUNDUP(INDEX(Upgrades!$C$3:$C$13,MATCH(Q709,Upgrades!$B$3:$B$13,0))*1.15^(COUNTIF(Q$4:Q708,Q709)-COUNTIF(Q$4:Q708,""Sell_""&amp;Q709))))))"),"")</f>
        <v/>
      </c>
      <c r="V709" s="10" t="str">
        <f t="shared" si="11"/>
        <v/>
      </c>
      <c r="W709" s="68" t="str">
        <f t="shared" si="12"/>
        <v/>
      </c>
      <c r="X709" s="59" t="str">
        <f t="shared" si="13"/>
        <v/>
      </c>
      <c r="Y709" s="69" t="str">
        <f t="shared" si="14"/>
        <v/>
      </c>
      <c r="Z709" s="11"/>
    </row>
    <row r="710">
      <c r="A710" s="8"/>
      <c r="B710" s="56" t="str">
        <f t="shared" si="2"/>
        <v/>
      </c>
      <c r="C710" s="105"/>
      <c r="D710" s="10"/>
      <c r="E710" s="59" t="str">
        <f t="array" ref="E710">IF(COUNTA(C710:C1673)=0,"",SUM((COUNTIF(C$4:C710,Upgrades!$B$3:$B$13)-COUNTIF(C$4:C710,"Sell_"&amp;Upgrades!$B$3:$B$13))*Upgrades!$D$3:$D$13))</f>
        <v/>
      </c>
      <c r="F710" s="66" t="str">
        <f>IFERROR(__xludf.DUMMYFUNCTION("IF(COUNTA(C710:C1673)=0,"""",IF(REGEXMATCH(INDEX(FILTER(C$4:C710,C$4:C710&lt;&gt;""""),ROWS(FILTER(C$4:C710,C$4:C710&lt;&gt;""""))),""^Sell_""),INDEX(FILTER(F$4:F709,C$4:C709&lt;&gt;""""),ROWS(FILTER(C$4:C709,C$4:C709&lt;&gt;""""))),$AC$5+E710))"),"")</f>
        <v/>
      </c>
      <c r="G710" s="10" t="str">
        <f>IFERROR(__xludf.DUMMYFUNCTION("IF(COUNTA(C710:C1673)=0,"""",IF(C710="""",0,IF(REGEXMATCH(C710,""^Sell_""),-ROUNDDOWN(ROUNDUP(INDEX(Upgrades!$C$3:$C$13,MATCH(SUBSTITUTE(C710,""Sell_"",""""),Upgrades!$B$3:$B$13,0))*1.15^(COUNTIF(C$4:C709,SUBSTITUTE(C710,""Sell_"",""""))-COUNTIF(C$4:C709,"&amp;"""Sell_""&amp;SUBSTITUTE(C710,""Sell_"",""""))))/2),ROUNDUP(INDEX(Upgrades!$C$3:$C$13,MATCH(C710,Upgrades!$B$3:$B$13,0))*1.15^(COUNTIF(C$4:C709,C710)-COUNTIF(C$4:C709,""Sell_""&amp;C710))))))"),"")</f>
        <v/>
      </c>
      <c r="H710" s="10" t="str">
        <f t="shared" si="3"/>
        <v/>
      </c>
      <c r="I710" s="68" t="str">
        <f t="shared" si="4"/>
        <v/>
      </c>
      <c r="J710" s="59" t="str">
        <f t="shared" si="5"/>
        <v/>
      </c>
      <c r="K710" s="69" t="str">
        <f t="shared" si="6"/>
        <v/>
      </c>
      <c r="L710" s="60" t="str">
        <f t="shared" si="7"/>
        <v/>
      </c>
      <c r="M710" s="61" t="str">
        <f>IFERROR(__xludf.DUMMYFUNCTION("IFS(AND(COUNTA(C710:C1673)=0,COUNTA(Q710:Q1673)=0),"""",OR(AND(K710&gt;=1000000000,OR(Y710&gt;=1000000000,COUNTA(Q710:Q1673)=0)),OR(Y710&gt;=1000000000,AND(COUNTA(C710:C1673)=0,P$3=TRUE))),
ROUNDDOWN((AB$1-AC$1)*MAX(INDEX(T$4:T1673,MATCH(LARGE(FILTER(Y$4:Y1673,Y$4"&amp;":Y1673&lt;1000000000),1),Y$4:Y1673)),INDEX(F$4:F1673,MATCH(LARGE(FILTER(K$4:K1673,K$4:K1673&lt;1000000000),1),K$4:K1673)))),AND(K710&lt;1000000000,COUNTA(C710:C1673)&gt;0,P$3=FALSE),
ROUNDDOWN(INDEX(Y$4:Y1673,MATCH(LARGE(FILTER(W$4:W1673,W$4:W1673&lt;=I710),1),W$4:W1673"&amp;"))+(I710-LARGE(FILTER(W$4:W1673,W$4:W1673&lt;=I710),1))*INDEX(T$4:T1673,MATCH(LARGE(FILTER(W$4:W1673,W$4:W1673&lt;=I710),1),W$4:W1673))-K710),1,
ROUNDDOWN(Y710-INDEX(K$4:K1673,MATCH(LARGE(FILTER(I$4:I1673,I$4:I1673&lt;=W710),1),I$4:I1673))-(W710-LARGE(FILTER(I$4:I"&amp;"1673,I$4:I1673&lt;=W710),1))*INDEX(F$4:F1673,MATCH(LARGE(FILTER(I$4:I1673,I$4:I1673&lt;=W710),1),I$4:I1673))))"),"")</f>
        <v/>
      </c>
      <c r="N710" s="60" t="str">
        <f t="shared" si="8"/>
        <v/>
      </c>
      <c r="O710" s="61" t="str">
        <f t="shared" si="9"/>
        <v/>
      </c>
      <c r="P710" s="56" t="str">
        <f t="shared" si="10"/>
        <v/>
      </c>
      <c r="Q710" s="105"/>
      <c r="R710" s="10"/>
      <c r="S710" s="59" t="str">
        <f t="array" ref="S710">IF(COUNTA(Q710:Q1673)=0,"",SUM((COUNTIF(Q$4:Q710,Upgrades!$B$3:$B$13)-COUNTIF(Q$4:Q710,"Sell_"&amp;Upgrades!$B$3:$B$13))*Upgrades!$D$3:$D$13))</f>
        <v/>
      </c>
      <c r="T710" s="66" t="str">
        <f>IFERROR(__xludf.DUMMYFUNCTION("IF(COUNTA(Q710:Q1673)=0,"""",IF(REGEXMATCH(INDEX(FILTER(Q$4:Q710,Q$4:Q710&lt;&gt;""""),ROWS(FILTER(Q$4:Q710,Q$4:Q710&lt;&gt;""""))),""^Sell_""),INDEX(FILTER(T$4:T709,Q$4:Q709&lt;&gt;""""),ROWS(FILTER(Q$4:Q709,Q$4:Q709&lt;&gt;""""))),$AD$5+S710))"),"")</f>
        <v/>
      </c>
      <c r="U710" s="10" t="str">
        <f>IFERROR(__xludf.DUMMYFUNCTION("IF(COUNTA(Q710:Q1673)=0,"""",IF(Q710="""",0,IF(REGEXMATCH(Q710,""^Sell_""),-ROUNDDOWN(ROUNDUP(INDEX(Upgrades!$C$3:$C$13,MATCH(SUBSTITUTE(Q710,""Sell_"",""""),Upgrades!$B$3:$B$13,0))*1.15^(COUNTIF(Q$4:Q709,SUBSTITUTE(Q710,""Sell_"",""""))-COUNTIF(Q$4:Q709,"&amp;"""Sell_""&amp;SUBSTITUTE(Q710,""Sell_"",""""))))/2),ROUNDUP(INDEX(Upgrades!$C$3:$C$13,MATCH(Q710,Upgrades!$B$3:$B$13,0))*1.15^(COUNTIF(Q$4:Q709,Q710)-COUNTIF(Q$4:Q709,""Sell_""&amp;Q710))))))"),"")</f>
        <v/>
      </c>
      <c r="V710" s="10" t="str">
        <f t="shared" si="11"/>
        <v/>
      </c>
      <c r="W710" s="68" t="str">
        <f t="shared" si="12"/>
        <v/>
      </c>
      <c r="X710" s="59" t="str">
        <f t="shared" si="13"/>
        <v/>
      </c>
      <c r="Y710" s="69" t="str">
        <f t="shared" si="14"/>
        <v/>
      </c>
      <c r="Z710" s="11"/>
    </row>
    <row r="711">
      <c r="A711" s="8"/>
      <c r="B711" s="56" t="str">
        <f t="shared" si="2"/>
        <v/>
      </c>
      <c r="C711" s="105"/>
      <c r="D711" s="10"/>
      <c r="E711" s="59" t="str">
        <f t="array" ref="E711">IF(COUNTA(C711:C1673)=0,"",SUM((COUNTIF(C$4:C711,Upgrades!$B$3:$B$13)-COUNTIF(C$4:C711,"Sell_"&amp;Upgrades!$B$3:$B$13))*Upgrades!$D$3:$D$13))</f>
        <v/>
      </c>
      <c r="F711" s="66" t="str">
        <f>IFERROR(__xludf.DUMMYFUNCTION("IF(COUNTA(C711:C1673)=0,"""",IF(REGEXMATCH(INDEX(FILTER(C$4:C711,C$4:C711&lt;&gt;""""),ROWS(FILTER(C$4:C711,C$4:C711&lt;&gt;""""))),""^Sell_""),INDEX(FILTER(F$4:F710,C$4:C710&lt;&gt;""""),ROWS(FILTER(C$4:C710,C$4:C710&lt;&gt;""""))),$AC$5+E711))"),"")</f>
        <v/>
      </c>
      <c r="G711" s="10" t="str">
        <f>IFERROR(__xludf.DUMMYFUNCTION("IF(COUNTA(C711:C1673)=0,"""",IF(C711="""",0,IF(REGEXMATCH(C711,""^Sell_""),-ROUNDDOWN(ROUNDUP(INDEX(Upgrades!$C$3:$C$13,MATCH(SUBSTITUTE(C711,""Sell_"",""""),Upgrades!$B$3:$B$13,0))*1.15^(COUNTIF(C$4:C710,SUBSTITUTE(C711,""Sell_"",""""))-COUNTIF(C$4:C710,"&amp;"""Sell_""&amp;SUBSTITUTE(C711,""Sell_"",""""))))/2),ROUNDUP(INDEX(Upgrades!$C$3:$C$13,MATCH(C711,Upgrades!$B$3:$B$13,0))*1.15^(COUNTIF(C$4:C710,C711)-COUNTIF(C$4:C710,""Sell_""&amp;C711))))))"),"")</f>
        <v/>
      </c>
      <c r="H711" s="10" t="str">
        <f t="shared" si="3"/>
        <v/>
      </c>
      <c r="I711" s="68" t="str">
        <f t="shared" si="4"/>
        <v/>
      </c>
      <c r="J711" s="59" t="str">
        <f t="shared" si="5"/>
        <v/>
      </c>
      <c r="K711" s="69" t="str">
        <f t="shared" si="6"/>
        <v/>
      </c>
      <c r="L711" s="60" t="str">
        <f t="shared" si="7"/>
        <v/>
      </c>
      <c r="M711" s="61" t="str">
        <f>IFERROR(__xludf.DUMMYFUNCTION("IFS(AND(COUNTA(C711:C1673)=0,COUNTA(Q711:Q1673)=0),"""",OR(AND(K711&gt;=1000000000,OR(Y711&gt;=1000000000,COUNTA(Q711:Q1673)=0)),OR(Y711&gt;=1000000000,AND(COUNTA(C711:C1673)=0,P$3=TRUE))),
ROUNDDOWN((AB$1-AC$1)*MAX(INDEX(T$4:T1673,MATCH(LARGE(FILTER(Y$4:Y1673,Y$4"&amp;":Y1673&lt;1000000000),1),Y$4:Y1673)),INDEX(F$4:F1673,MATCH(LARGE(FILTER(K$4:K1673,K$4:K1673&lt;1000000000),1),K$4:K1673)))),AND(K711&lt;1000000000,COUNTA(C711:C1673)&gt;0,P$3=FALSE),
ROUNDDOWN(INDEX(Y$4:Y1673,MATCH(LARGE(FILTER(W$4:W1673,W$4:W1673&lt;=I711),1),W$4:W1673"&amp;"))+(I711-LARGE(FILTER(W$4:W1673,W$4:W1673&lt;=I711),1))*INDEX(T$4:T1673,MATCH(LARGE(FILTER(W$4:W1673,W$4:W1673&lt;=I711),1),W$4:W1673))-K711),1,
ROUNDDOWN(Y711-INDEX(K$4:K1673,MATCH(LARGE(FILTER(I$4:I1673,I$4:I1673&lt;=W711),1),I$4:I1673))-(W711-LARGE(FILTER(I$4:I"&amp;"1673,I$4:I1673&lt;=W711),1))*INDEX(F$4:F1673,MATCH(LARGE(FILTER(I$4:I1673,I$4:I1673&lt;=W711),1),I$4:I1673))))"),"")</f>
        <v/>
      </c>
      <c r="N711" s="60" t="str">
        <f t="shared" si="8"/>
        <v/>
      </c>
      <c r="O711" s="61" t="str">
        <f t="shared" si="9"/>
        <v/>
      </c>
      <c r="P711" s="56" t="str">
        <f t="shared" si="10"/>
        <v/>
      </c>
      <c r="Q711" s="105"/>
      <c r="R711" s="10"/>
      <c r="S711" s="59" t="str">
        <f t="array" ref="S711">IF(COUNTA(Q711:Q1673)=0,"",SUM((COUNTIF(Q$4:Q711,Upgrades!$B$3:$B$13)-COUNTIF(Q$4:Q711,"Sell_"&amp;Upgrades!$B$3:$B$13))*Upgrades!$D$3:$D$13))</f>
        <v/>
      </c>
      <c r="T711" s="66" t="str">
        <f>IFERROR(__xludf.DUMMYFUNCTION("IF(COUNTA(Q711:Q1673)=0,"""",IF(REGEXMATCH(INDEX(FILTER(Q$4:Q711,Q$4:Q711&lt;&gt;""""),ROWS(FILTER(Q$4:Q711,Q$4:Q711&lt;&gt;""""))),""^Sell_""),INDEX(FILTER(T$4:T710,Q$4:Q710&lt;&gt;""""),ROWS(FILTER(Q$4:Q710,Q$4:Q710&lt;&gt;""""))),$AD$5+S711))"),"")</f>
        <v/>
      </c>
      <c r="U711" s="10" t="str">
        <f>IFERROR(__xludf.DUMMYFUNCTION("IF(COUNTA(Q711:Q1673)=0,"""",IF(Q711="""",0,IF(REGEXMATCH(Q711,""^Sell_""),-ROUNDDOWN(ROUNDUP(INDEX(Upgrades!$C$3:$C$13,MATCH(SUBSTITUTE(Q711,""Sell_"",""""),Upgrades!$B$3:$B$13,0))*1.15^(COUNTIF(Q$4:Q710,SUBSTITUTE(Q711,""Sell_"",""""))-COUNTIF(Q$4:Q710,"&amp;"""Sell_""&amp;SUBSTITUTE(Q711,""Sell_"",""""))))/2),ROUNDUP(INDEX(Upgrades!$C$3:$C$13,MATCH(Q711,Upgrades!$B$3:$B$13,0))*1.15^(COUNTIF(Q$4:Q710,Q711)-COUNTIF(Q$4:Q710,""Sell_""&amp;Q711))))))"),"")</f>
        <v/>
      </c>
      <c r="V711" s="10" t="str">
        <f t="shared" si="11"/>
        <v/>
      </c>
      <c r="W711" s="68" t="str">
        <f t="shared" si="12"/>
        <v/>
      </c>
      <c r="X711" s="59" t="str">
        <f t="shared" si="13"/>
        <v/>
      </c>
      <c r="Y711" s="69" t="str">
        <f t="shared" si="14"/>
        <v/>
      </c>
      <c r="Z711" s="11"/>
    </row>
    <row r="712">
      <c r="A712" s="8"/>
      <c r="B712" s="56" t="str">
        <f t="shared" si="2"/>
        <v/>
      </c>
      <c r="C712" s="105"/>
      <c r="D712" s="10"/>
      <c r="E712" s="59" t="str">
        <f t="array" ref="E712">IF(COUNTA(C712:C1673)=0,"",SUM((COUNTIF(C$4:C712,Upgrades!$B$3:$B$13)-COUNTIF(C$4:C712,"Sell_"&amp;Upgrades!$B$3:$B$13))*Upgrades!$D$3:$D$13))</f>
        <v/>
      </c>
      <c r="F712" s="66" t="str">
        <f>IFERROR(__xludf.DUMMYFUNCTION("IF(COUNTA(C712:C1673)=0,"""",IF(REGEXMATCH(INDEX(FILTER(C$4:C712,C$4:C712&lt;&gt;""""),ROWS(FILTER(C$4:C712,C$4:C712&lt;&gt;""""))),""^Sell_""),INDEX(FILTER(F$4:F711,C$4:C711&lt;&gt;""""),ROWS(FILTER(C$4:C711,C$4:C711&lt;&gt;""""))),$AC$5+E712))"),"")</f>
        <v/>
      </c>
      <c r="G712" s="10" t="str">
        <f>IFERROR(__xludf.DUMMYFUNCTION("IF(COUNTA(C712:C1673)=0,"""",IF(C712="""",0,IF(REGEXMATCH(C712,""^Sell_""),-ROUNDDOWN(ROUNDUP(INDEX(Upgrades!$C$3:$C$13,MATCH(SUBSTITUTE(C712,""Sell_"",""""),Upgrades!$B$3:$B$13,0))*1.15^(COUNTIF(C$4:C711,SUBSTITUTE(C712,""Sell_"",""""))-COUNTIF(C$4:C711,"&amp;"""Sell_""&amp;SUBSTITUTE(C712,""Sell_"",""""))))/2),ROUNDUP(INDEX(Upgrades!$C$3:$C$13,MATCH(C712,Upgrades!$B$3:$B$13,0))*1.15^(COUNTIF(C$4:C711,C712)-COUNTIF(C$4:C711,""Sell_""&amp;C712))))))"),"")</f>
        <v/>
      </c>
      <c r="H712" s="10" t="str">
        <f t="shared" si="3"/>
        <v/>
      </c>
      <c r="I712" s="68" t="str">
        <f t="shared" si="4"/>
        <v/>
      </c>
      <c r="J712" s="59" t="str">
        <f t="shared" si="5"/>
        <v/>
      </c>
      <c r="K712" s="69" t="str">
        <f t="shared" si="6"/>
        <v/>
      </c>
      <c r="L712" s="60" t="str">
        <f t="shared" si="7"/>
        <v/>
      </c>
      <c r="M712" s="61" t="str">
        <f>IFERROR(__xludf.DUMMYFUNCTION("IFS(AND(COUNTA(C712:C1673)=0,COUNTA(Q712:Q1673)=0),"""",OR(AND(K712&gt;=1000000000,OR(Y712&gt;=1000000000,COUNTA(Q712:Q1673)=0)),OR(Y712&gt;=1000000000,AND(COUNTA(C712:C1673)=0,P$3=TRUE))),
ROUNDDOWN((AB$1-AC$1)*MAX(INDEX(T$4:T1673,MATCH(LARGE(FILTER(Y$4:Y1673,Y$4"&amp;":Y1673&lt;1000000000),1),Y$4:Y1673)),INDEX(F$4:F1673,MATCH(LARGE(FILTER(K$4:K1673,K$4:K1673&lt;1000000000),1),K$4:K1673)))),AND(K712&lt;1000000000,COUNTA(C712:C1673)&gt;0,P$3=FALSE),
ROUNDDOWN(INDEX(Y$4:Y1673,MATCH(LARGE(FILTER(W$4:W1673,W$4:W1673&lt;=I712),1),W$4:W1673"&amp;"))+(I712-LARGE(FILTER(W$4:W1673,W$4:W1673&lt;=I712),1))*INDEX(T$4:T1673,MATCH(LARGE(FILTER(W$4:W1673,W$4:W1673&lt;=I712),1),W$4:W1673))-K712),1,
ROUNDDOWN(Y712-INDEX(K$4:K1673,MATCH(LARGE(FILTER(I$4:I1673,I$4:I1673&lt;=W712),1),I$4:I1673))-(W712-LARGE(FILTER(I$4:I"&amp;"1673,I$4:I1673&lt;=W712),1))*INDEX(F$4:F1673,MATCH(LARGE(FILTER(I$4:I1673,I$4:I1673&lt;=W712),1),I$4:I1673))))"),"")</f>
        <v/>
      </c>
      <c r="N712" s="60" t="str">
        <f t="shared" si="8"/>
        <v/>
      </c>
      <c r="O712" s="61" t="str">
        <f t="shared" si="9"/>
        <v/>
      </c>
      <c r="P712" s="56" t="str">
        <f t="shared" si="10"/>
        <v/>
      </c>
      <c r="Q712" s="105"/>
      <c r="R712" s="10"/>
      <c r="S712" s="59" t="str">
        <f t="array" ref="S712">IF(COUNTA(Q712:Q1673)=0,"",SUM((COUNTIF(Q$4:Q712,Upgrades!$B$3:$B$13)-COUNTIF(Q$4:Q712,"Sell_"&amp;Upgrades!$B$3:$B$13))*Upgrades!$D$3:$D$13))</f>
        <v/>
      </c>
      <c r="T712" s="66" t="str">
        <f>IFERROR(__xludf.DUMMYFUNCTION("IF(COUNTA(Q712:Q1673)=0,"""",IF(REGEXMATCH(INDEX(FILTER(Q$4:Q712,Q$4:Q712&lt;&gt;""""),ROWS(FILTER(Q$4:Q712,Q$4:Q712&lt;&gt;""""))),""^Sell_""),INDEX(FILTER(T$4:T711,Q$4:Q711&lt;&gt;""""),ROWS(FILTER(Q$4:Q711,Q$4:Q711&lt;&gt;""""))),$AD$5+S712))"),"")</f>
        <v/>
      </c>
      <c r="U712" s="10" t="str">
        <f>IFERROR(__xludf.DUMMYFUNCTION("IF(COUNTA(Q712:Q1673)=0,"""",IF(Q712="""",0,IF(REGEXMATCH(Q712,""^Sell_""),-ROUNDDOWN(ROUNDUP(INDEX(Upgrades!$C$3:$C$13,MATCH(SUBSTITUTE(Q712,""Sell_"",""""),Upgrades!$B$3:$B$13,0))*1.15^(COUNTIF(Q$4:Q711,SUBSTITUTE(Q712,""Sell_"",""""))-COUNTIF(Q$4:Q711,"&amp;"""Sell_""&amp;SUBSTITUTE(Q712,""Sell_"",""""))))/2),ROUNDUP(INDEX(Upgrades!$C$3:$C$13,MATCH(Q712,Upgrades!$B$3:$B$13,0))*1.15^(COUNTIF(Q$4:Q711,Q712)-COUNTIF(Q$4:Q711,""Sell_""&amp;Q712))))))"),"")</f>
        <v/>
      </c>
      <c r="V712" s="10" t="str">
        <f t="shared" si="11"/>
        <v/>
      </c>
      <c r="W712" s="68" t="str">
        <f t="shared" si="12"/>
        <v/>
      </c>
      <c r="X712" s="59" t="str">
        <f t="shared" si="13"/>
        <v/>
      </c>
      <c r="Y712" s="69" t="str">
        <f t="shared" si="14"/>
        <v/>
      </c>
      <c r="Z712" s="11"/>
    </row>
    <row r="713">
      <c r="A713" s="8"/>
      <c r="B713" s="56" t="str">
        <f t="shared" si="2"/>
        <v/>
      </c>
      <c r="C713" s="105"/>
      <c r="D713" s="10"/>
      <c r="E713" s="59" t="str">
        <f t="array" ref="E713">IF(COUNTA(C713:C1673)=0,"",SUM((COUNTIF(C$4:C713,Upgrades!$B$3:$B$13)-COUNTIF(C$4:C713,"Sell_"&amp;Upgrades!$B$3:$B$13))*Upgrades!$D$3:$D$13))</f>
        <v/>
      </c>
      <c r="F713" s="66" t="str">
        <f>IFERROR(__xludf.DUMMYFUNCTION("IF(COUNTA(C713:C1673)=0,"""",IF(REGEXMATCH(INDEX(FILTER(C$4:C713,C$4:C713&lt;&gt;""""),ROWS(FILTER(C$4:C713,C$4:C713&lt;&gt;""""))),""^Sell_""),INDEX(FILTER(F$4:F712,C$4:C712&lt;&gt;""""),ROWS(FILTER(C$4:C712,C$4:C712&lt;&gt;""""))),$AC$5+E713))"),"")</f>
        <v/>
      </c>
      <c r="G713" s="10" t="str">
        <f>IFERROR(__xludf.DUMMYFUNCTION("IF(COUNTA(C713:C1673)=0,"""",IF(C713="""",0,IF(REGEXMATCH(C713,""^Sell_""),-ROUNDDOWN(ROUNDUP(INDEX(Upgrades!$C$3:$C$13,MATCH(SUBSTITUTE(C713,""Sell_"",""""),Upgrades!$B$3:$B$13,0))*1.15^(COUNTIF(C$4:C712,SUBSTITUTE(C713,""Sell_"",""""))-COUNTIF(C$4:C712,"&amp;"""Sell_""&amp;SUBSTITUTE(C713,""Sell_"",""""))))/2),ROUNDUP(INDEX(Upgrades!$C$3:$C$13,MATCH(C713,Upgrades!$B$3:$B$13,0))*1.15^(COUNTIF(C$4:C712,C713)-COUNTIF(C$4:C712,""Sell_""&amp;C713))))))"),"")</f>
        <v/>
      </c>
      <c r="H713" s="10" t="str">
        <f t="shared" si="3"/>
        <v/>
      </c>
      <c r="I713" s="68" t="str">
        <f t="shared" si="4"/>
        <v/>
      </c>
      <c r="J713" s="59" t="str">
        <f t="shared" si="5"/>
        <v/>
      </c>
      <c r="K713" s="69" t="str">
        <f t="shared" si="6"/>
        <v/>
      </c>
      <c r="L713" s="60" t="str">
        <f t="shared" si="7"/>
        <v/>
      </c>
      <c r="M713" s="61" t="str">
        <f>IFERROR(__xludf.DUMMYFUNCTION("IFS(AND(COUNTA(C713:C1673)=0,COUNTA(Q713:Q1673)=0),"""",OR(AND(K713&gt;=1000000000,OR(Y713&gt;=1000000000,COUNTA(Q713:Q1673)=0)),OR(Y713&gt;=1000000000,AND(COUNTA(C713:C1673)=0,P$3=TRUE))),
ROUNDDOWN((AB$1-AC$1)*MAX(INDEX(T$4:T1673,MATCH(LARGE(FILTER(Y$4:Y1673,Y$4"&amp;":Y1673&lt;1000000000),1),Y$4:Y1673)),INDEX(F$4:F1673,MATCH(LARGE(FILTER(K$4:K1673,K$4:K1673&lt;1000000000),1),K$4:K1673)))),AND(K713&lt;1000000000,COUNTA(C713:C1673)&gt;0,P$3=FALSE),
ROUNDDOWN(INDEX(Y$4:Y1673,MATCH(LARGE(FILTER(W$4:W1673,W$4:W1673&lt;=I713),1),W$4:W1673"&amp;"))+(I713-LARGE(FILTER(W$4:W1673,W$4:W1673&lt;=I713),1))*INDEX(T$4:T1673,MATCH(LARGE(FILTER(W$4:W1673,W$4:W1673&lt;=I713),1),W$4:W1673))-K713),1,
ROUNDDOWN(Y713-INDEX(K$4:K1673,MATCH(LARGE(FILTER(I$4:I1673,I$4:I1673&lt;=W713),1),I$4:I1673))-(W713-LARGE(FILTER(I$4:I"&amp;"1673,I$4:I1673&lt;=W713),1))*INDEX(F$4:F1673,MATCH(LARGE(FILTER(I$4:I1673,I$4:I1673&lt;=W713),1),I$4:I1673))))"),"")</f>
        <v/>
      </c>
      <c r="N713" s="60" t="str">
        <f t="shared" si="8"/>
        <v/>
      </c>
      <c r="O713" s="61" t="str">
        <f t="shared" si="9"/>
        <v/>
      </c>
      <c r="P713" s="56" t="str">
        <f t="shared" si="10"/>
        <v/>
      </c>
      <c r="Q713" s="105"/>
      <c r="R713" s="10"/>
      <c r="S713" s="59" t="str">
        <f t="array" ref="S713">IF(COUNTA(Q713:Q1673)=0,"",SUM((COUNTIF(Q$4:Q713,Upgrades!$B$3:$B$13)-COUNTIF(Q$4:Q713,"Sell_"&amp;Upgrades!$B$3:$B$13))*Upgrades!$D$3:$D$13))</f>
        <v/>
      </c>
      <c r="T713" s="66" t="str">
        <f>IFERROR(__xludf.DUMMYFUNCTION("IF(COUNTA(Q713:Q1673)=0,"""",IF(REGEXMATCH(INDEX(FILTER(Q$4:Q713,Q$4:Q713&lt;&gt;""""),ROWS(FILTER(Q$4:Q713,Q$4:Q713&lt;&gt;""""))),""^Sell_""),INDEX(FILTER(T$4:T712,Q$4:Q712&lt;&gt;""""),ROWS(FILTER(Q$4:Q712,Q$4:Q712&lt;&gt;""""))),$AD$5+S713))"),"")</f>
        <v/>
      </c>
      <c r="U713" s="10" t="str">
        <f>IFERROR(__xludf.DUMMYFUNCTION("IF(COUNTA(Q713:Q1673)=0,"""",IF(Q713="""",0,IF(REGEXMATCH(Q713,""^Sell_""),-ROUNDDOWN(ROUNDUP(INDEX(Upgrades!$C$3:$C$13,MATCH(SUBSTITUTE(Q713,""Sell_"",""""),Upgrades!$B$3:$B$13,0))*1.15^(COUNTIF(Q$4:Q712,SUBSTITUTE(Q713,""Sell_"",""""))-COUNTIF(Q$4:Q712,"&amp;"""Sell_""&amp;SUBSTITUTE(Q713,""Sell_"",""""))))/2),ROUNDUP(INDEX(Upgrades!$C$3:$C$13,MATCH(Q713,Upgrades!$B$3:$B$13,0))*1.15^(COUNTIF(Q$4:Q712,Q713)-COUNTIF(Q$4:Q712,""Sell_""&amp;Q713))))))"),"")</f>
        <v/>
      </c>
      <c r="V713" s="10" t="str">
        <f t="shared" si="11"/>
        <v/>
      </c>
      <c r="W713" s="68" t="str">
        <f t="shared" si="12"/>
        <v/>
      </c>
      <c r="X713" s="59" t="str">
        <f t="shared" si="13"/>
        <v/>
      </c>
      <c r="Y713" s="69" t="str">
        <f t="shared" si="14"/>
        <v/>
      </c>
      <c r="Z713" s="11"/>
    </row>
    <row r="714">
      <c r="A714" s="8"/>
      <c r="B714" s="56" t="str">
        <f t="shared" si="2"/>
        <v/>
      </c>
      <c r="C714" s="105"/>
      <c r="D714" s="10"/>
      <c r="E714" s="59" t="str">
        <f t="array" ref="E714">IF(COUNTA(C714:C1673)=0,"",SUM((COUNTIF(C$4:C714,Upgrades!$B$3:$B$13)-COUNTIF(C$4:C714,"Sell_"&amp;Upgrades!$B$3:$B$13))*Upgrades!$D$3:$D$13))</f>
        <v/>
      </c>
      <c r="F714" s="66" t="str">
        <f>IFERROR(__xludf.DUMMYFUNCTION("IF(COUNTA(C714:C1673)=0,"""",IF(REGEXMATCH(INDEX(FILTER(C$4:C714,C$4:C714&lt;&gt;""""),ROWS(FILTER(C$4:C714,C$4:C714&lt;&gt;""""))),""^Sell_""),INDEX(FILTER(F$4:F713,C$4:C713&lt;&gt;""""),ROWS(FILTER(C$4:C713,C$4:C713&lt;&gt;""""))),$AC$5+E714))"),"")</f>
        <v/>
      </c>
      <c r="G714" s="10" t="str">
        <f>IFERROR(__xludf.DUMMYFUNCTION("IF(COUNTA(C714:C1673)=0,"""",IF(C714="""",0,IF(REGEXMATCH(C714,""^Sell_""),-ROUNDDOWN(ROUNDUP(INDEX(Upgrades!$C$3:$C$13,MATCH(SUBSTITUTE(C714,""Sell_"",""""),Upgrades!$B$3:$B$13,0))*1.15^(COUNTIF(C$4:C713,SUBSTITUTE(C714,""Sell_"",""""))-COUNTIF(C$4:C713,"&amp;"""Sell_""&amp;SUBSTITUTE(C714,""Sell_"",""""))))/2),ROUNDUP(INDEX(Upgrades!$C$3:$C$13,MATCH(C714,Upgrades!$B$3:$B$13,0))*1.15^(COUNTIF(C$4:C713,C714)-COUNTIF(C$4:C713,""Sell_""&amp;C714))))))"),"")</f>
        <v/>
      </c>
      <c r="H714" s="10" t="str">
        <f t="shared" si="3"/>
        <v/>
      </c>
      <c r="I714" s="68" t="str">
        <f t="shared" si="4"/>
        <v/>
      </c>
      <c r="J714" s="59" t="str">
        <f t="shared" si="5"/>
        <v/>
      </c>
      <c r="K714" s="69" t="str">
        <f t="shared" si="6"/>
        <v/>
      </c>
      <c r="L714" s="60" t="str">
        <f t="shared" si="7"/>
        <v/>
      </c>
      <c r="M714" s="61" t="str">
        <f>IFERROR(__xludf.DUMMYFUNCTION("IFS(AND(COUNTA(C714:C1673)=0,COUNTA(Q714:Q1673)=0),"""",OR(AND(K714&gt;=1000000000,OR(Y714&gt;=1000000000,COUNTA(Q714:Q1673)=0)),OR(Y714&gt;=1000000000,AND(COUNTA(C714:C1673)=0,P$3=TRUE))),
ROUNDDOWN((AB$1-AC$1)*MAX(INDEX(T$4:T1673,MATCH(LARGE(FILTER(Y$4:Y1673,Y$4"&amp;":Y1673&lt;1000000000),1),Y$4:Y1673)),INDEX(F$4:F1673,MATCH(LARGE(FILTER(K$4:K1673,K$4:K1673&lt;1000000000),1),K$4:K1673)))),AND(K714&lt;1000000000,COUNTA(C714:C1673)&gt;0,P$3=FALSE),
ROUNDDOWN(INDEX(Y$4:Y1673,MATCH(LARGE(FILTER(W$4:W1673,W$4:W1673&lt;=I714),1),W$4:W1673"&amp;"))+(I714-LARGE(FILTER(W$4:W1673,W$4:W1673&lt;=I714),1))*INDEX(T$4:T1673,MATCH(LARGE(FILTER(W$4:W1673,W$4:W1673&lt;=I714),1),W$4:W1673))-K714),1,
ROUNDDOWN(Y714-INDEX(K$4:K1673,MATCH(LARGE(FILTER(I$4:I1673,I$4:I1673&lt;=W714),1),I$4:I1673))-(W714-LARGE(FILTER(I$4:I"&amp;"1673,I$4:I1673&lt;=W714),1))*INDEX(F$4:F1673,MATCH(LARGE(FILTER(I$4:I1673,I$4:I1673&lt;=W714),1),I$4:I1673))))"),"")</f>
        <v/>
      </c>
      <c r="N714" s="60" t="str">
        <f t="shared" si="8"/>
        <v/>
      </c>
      <c r="O714" s="61" t="str">
        <f t="shared" si="9"/>
        <v/>
      </c>
      <c r="P714" s="56" t="str">
        <f t="shared" si="10"/>
        <v/>
      </c>
      <c r="Q714" s="105"/>
      <c r="R714" s="10"/>
      <c r="S714" s="59" t="str">
        <f t="array" ref="S714">IF(COUNTA(Q714:Q1673)=0,"",SUM((COUNTIF(Q$4:Q714,Upgrades!$B$3:$B$13)-COUNTIF(Q$4:Q714,"Sell_"&amp;Upgrades!$B$3:$B$13))*Upgrades!$D$3:$D$13))</f>
        <v/>
      </c>
      <c r="T714" s="66" t="str">
        <f>IFERROR(__xludf.DUMMYFUNCTION("IF(COUNTA(Q714:Q1673)=0,"""",IF(REGEXMATCH(INDEX(FILTER(Q$4:Q714,Q$4:Q714&lt;&gt;""""),ROWS(FILTER(Q$4:Q714,Q$4:Q714&lt;&gt;""""))),""^Sell_""),INDEX(FILTER(T$4:T713,Q$4:Q713&lt;&gt;""""),ROWS(FILTER(Q$4:Q713,Q$4:Q713&lt;&gt;""""))),$AD$5+S714))"),"")</f>
        <v/>
      </c>
      <c r="U714" s="10" t="str">
        <f>IFERROR(__xludf.DUMMYFUNCTION("IF(COUNTA(Q714:Q1673)=0,"""",IF(Q714="""",0,IF(REGEXMATCH(Q714,""^Sell_""),-ROUNDDOWN(ROUNDUP(INDEX(Upgrades!$C$3:$C$13,MATCH(SUBSTITUTE(Q714,""Sell_"",""""),Upgrades!$B$3:$B$13,0))*1.15^(COUNTIF(Q$4:Q713,SUBSTITUTE(Q714,""Sell_"",""""))-COUNTIF(Q$4:Q713,"&amp;"""Sell_""&amp;SUBSTITUTE(Q714,""Sell_"",""""))))/2),ROUNDUP(INDEX(Upgrades!$C$3:$C$13,MATCH(Q714,Upgrades!$B$3:$B$13,0))*1.15^(COUNTIF(Q$4:Q713,Q714)-COUNTIF(Q$4:Q713,""Sell_""&amp;Q714))))))"),"")</f>
        <v/>
      </c>
      <c r="V714" s="10" t="str">
        <f t="shared" si="11"/>
        <v/>
      </c>
      <c r="W714" s="68" t="str">
        <f t="shared" si="12"/>
        <v/>
      </c>
      <c r="X714" s="59" t="str">
        <f t="shared" si="13"/>
        <v/>
      </c>
      <c r="Y714" s="69" t="str">
        <f t="shared" si="14"/>
        <v/>
      </c>
      <c r="Z714" s="11"/>
    </row>
    <row r="715">
      <c r="A715" s="8"/>
      <c r="B715" s="56" t="str">
        <f t="shared" si="2"/>
        <v/>
      </c>
      <c r="C715" s="105"/>
      <c r="D715" s="10"/>
      <c r="E715" s="59" t="str">
        <f t="array" ref="E715">IF(COUNTA(C715:C1673)=0,"",SUM((COUNTIF(C$4:C715,Upgrades!$B$3:$B$13)-COUNTIF(C$4:C715,"Sell_"&amp;Upgrades!$B$3:$B$13))*Upgrades!$D$3:$D$13))</f>
        <v/>
      </c>
      <c r="F715" s="66" t="str">
        <f>IFERROR(__xludf.DUMMYFUNCTION("IF(COUNTA(C715:C1673)=0,"""",IF(REGEXMATCH(INDEX(FILTER(C$4:C715,C$4:C715&lt;&gt;""""),ROWS(FILTER(C$4:C715,C$4:C715&lt;&gt;""""))),""^Sell_""),INDEX(FILTER(F$4:F714,C$4:C714&lt;&gt;""""),ROWS(FILTER(C$4:C714,C$4:C714&lt;&gt;""""))),$AC$5+E715))"),"")</f>
        <v/>
      </c>
      <c r="G715" s="10" t="str">
        <f>IFERROR(__xludf.DUMMYFUNCTION("IF(COUNTA(C715:C1673)=0,"""",IF(C715="""",0,IF(REGEXMATCH(C715,""^Sell_""),-ROUNDDOWN(ROUNDUP(INDEX(Upgrades!$C$3:$C$13,MATCH(SUBSTITUTE(C715,""Sell_"",""""),Upgrades!$B$3:$B$13,0))*1.15^(COUNTIF(C$4:C714,SUBSTITUTE(C715,""Sell_"",""""))-COUNTIF(C$4:C714,"&amp;"""Sell_""&amp;SUBSTITUTE(C715,""Sell_"",""""))))/2),ROUNDUP(INDEX(Upgrades!$C$3:$C$13,MATCH(C715,Upgrades!$B$3:$B$13,0))*1.15^(COUNTIF(C$4:C714,C715)-COUNTIF(C$4:C714,""Sell_""&amp;C715))))))"),"")</f>
        <v/>
      </c>
      <c r="H715" s="10" t="str">
        <f t="shared" si="3"/>
        <v/>
      </c>
      <c r="I715" s="68" t="str">
        <f t="shared" si="4"/>
        <v/>
      </c>
      <c r="J715" s="59" t="str">
        <f t="shared" si="5"/>
        <v/>
      </c>
      <c r="K715" s="69" t="str">
        <f t="shared" si="6"/>
        <v/>
      </c>
      <c r="L715" s="60" t="str">
        <f t="shared" si="7"/>
        <v/>
      </c>
      <c r="M715" s="61" t="str">
        <f>IFERROR(__xludf.DUMMYFUNCTION("IFS(AND(COUNTA(C715:C1673)=0,COUNTA(Q715:Q1673)=0),"""",OR(AND(K715&gt;=1000000000,OR(Y715&gt;=1000000000,COUNTA(Q715:Q1673)=0)),OR(Y715&gt;=1000000000,AND(COUNTA(C715:C1673)=0,P$3=TRUE))),
ROUNDDOWN((AB$1-AC$1)*MAX(INDEX(T$4:T1673,MATCH(LARGE(FILTER(Y$4:Y1673,Y$4"&amp;":Y1673&lt;1000000000),1),Y$4:Y1673)),INDEX(F$4:F1673,MATCH(LARGE(FILTER(K$4:K1673,K$4:K1673&lt;1000000000),1),K$4:K1673)))),AND(K715&lt;1000000000,COUNTA(C715:C1673)&gt;0,P$3=FALSE),
ROUNDDOWN(INDEX(Y$4:Y1673,MATCH(LARGE(FILTER(W$4:W1673,W$4:W1673&lt;=I715),1),W$4:W1673"&amp;"))+(I715-LARGE(FILTER(W$4:W1673,W$4:W1673&lt;=I715),1))*INDEX(T$4:T1673,MATCH(LARGE(FILTER(W$4:W1673,W$4:W1673&lt;=I715),1),W$4:W1673))-K715),1,
ROUNDDOWN(Y715-INDEX(K$4:K1673,MATCH(LARGE(FILTER(I$4:I1673,I$4:I1673&lt;=W715),1),I$4:I1673))-(W715-LARGE(FILTER(I$4:I"&amp;"1673,I$4:I1673&lt;=W715),1))*INDEX(F$4:F1673,MATCH(LARGE(FILTER(I$4:I1673,I$4:I1673&lt;=W715),1),I$4:I1673))))"),"")</f>
        <v/>
      </c>
      <c r="N715" s="60" t="str">
        <f t="shared" si="8"/>
        <v/>
      </c>
      <c r="O715" s="61" t="str">
        <f t="shared" si="9"/>
        <v/>
      </c>
      <c r="P715" s="56" t="str">
        <f t="shared" si="10"/>
        <v/>
      </c>
      <c r="Q715" s="105"/>
      <c r="R715" s="10"/>
      <c r="S715" s="59" t="str">
        <f t="array" ref="S715">IF(COUNTA(Q715:Q1673)=0,"",SUM((COUNTIF(Q$4:Q715,Upgrades!$B$3:$B$13)-COUNTIF(Q$4:Q715,"Sell_"&amp;Upgrades!$B$3:$B$13))*Upgrades!$D$3:$D$13))</f>
        <v/>
      </c>
      <c r="T715" s="66" t="str">
        <f>IFERROR(__xludf.DUMMYFUNCTION("IF(COUNTA(Q715:Q1673)=0,"""",IF(REGEXMATCH(INDEX(FILTER(Q$4:Q715,Q$4:Q715&lt;&gt;""""),ROWS(FILTER(Q$4:Q715,Q$4:Q715&lt;&gt;""""))),""^Sell_""),INDEX(FILTER(T$4:T714,Q$4:Q714&lt;&gt;""""),ROWS(FILTER(Q$4:Q714,Q$4:Q714&lt;&gt;""""))),$AD$5+S715))"),"")</f>
        <v/>
      </c>
      <c r="U715" s="10" t="str">
        <f>IFERROR(__xludf.DUMMYFUNCTION("IF(COUNTA(Q715:Q1673)=0,"""",IF(Q715="""",0,IF(REGEXMATCH(Q715,""^Sell_""),-ROUNDDOWN(ROUNDUP(INDEX(Upgrades!$C$3:$C$13,MATCH(SUBSTITUTE(Q715,""Sell_"",""""),Upgrades!$B$3:$B$13,0))*1.15^(COUNTIF(Q$4:Q714,SUBSTITUTE(Q715,""Sell_"",""""))-COUNTIF(Q$4:Q714,"&amp;"""Sell_""&amp;SUBSTITUTE(Q715,""Sell_"",""""))))/2),ROUNDUP(INDEX(Upgrades!$C$3:$C$13,MATCH(Q715,Upgrades!$B$3:$B$13,0))*1.15^(COUNTIF(Q$4:Q714,Q715)-COUNTIF(Q$4:Q714,""Sell_""&amp;Q715))))))"),"")</f>
        <v/>
      </c>
      <c r="V715" s="10" t="str">
        <f t="shared" si="11"/>
        <v/>
      </c>
      <c r="W715" s="68" t="str">
        <f t="shared" si="12"/>
        <v/>
      </c>
      <c r="X715" s="59" t="str">
        <f t="shared" si="13"/>
        <v/>
      </c>
      <c r="Y715" s="69" t="str">
        <f t="shared" si="14"/>
        <v/>
      </c>
      <c r="Z715" s="11"/>
    </row>
    <row r="716">
      <c r="A716" s="8"/>
      <c r="B716" s="56" t="str">
        <f t="shared" si="2"/>
        <v/>
      </c>
      <c r="C716" s="105"/>
      <c r="D716" s="10"/>
      <c r="E716" s="59" t="str">
        <f t="array" ref="E716">IF(COUNTA(C716:C1673)=0,"",SUM((COUNTIF(C$4:C716,Upgrades!$B$3:$B$13)-COUNTIF(C$4:C716,"Sell_"&amp;Upgrades!$B$3:$B$13))*Upgrades!$D$3:$D$13))</f>
        <v/>
      </c>
      <c r="F716" s="66" t="str">
        <f>IFERROR(__xludf.DUMMYFUNCTION("IF(COUNTA(C716:C1673)=0,"""",IF(REGEXMATCH(INDEX(FILTER(C$4:C716,C$4:C716&lt;&gt;""""),ROWS(FILTER(C$4:C716,C$4:C716&lt;&gt;""""))),""^Sell_""),INDEX(FILTER(F$4:F715,C$4:C715&lt;&gt;""""),ROWS(FILTER(C$4:C715,C$4:C715&lt;&gt;""""))),$AC$5+E716))"),"")</f>
        <v/>
      </c>
      <c r="G716" s="10" t="str">
        <f>IFERROR(__xludf.DUMMYFUNCTION("IF(COUNTA(C716:C1673)=0,"""",IF(C716="""",0,IF(REGEXMATCH(C716,""^Sell_""),-ROUNDDOWN(ROUNDUP(INDEX(Upgrades!$C$3:$C$13,MATCH(SUBSTITUTE(C716,""Sell_"",""""),Upgrades!$B$3:$B$13,0))*1.15^(COUNTIF(C$4:C715,SUBSTITUTE(C716,""Sell_"",""""))-COUNTIF(C$4:C715,"&amp;"""Sell_""&amp;SUBSTITUTE(C716,""Sell_"",""""))))/2),ROUNDUP(INDEX(Upgrades!$C$3:$C$13,MATCH(C716,Upgrades!$B$3:$B$13,0))*1.15^(COUNTIF(C$4:C715,C716)-COUNTIF(C$4:C715,""Sell_""&amp;C716))))))"),"")</f>
        <v/>
      </c>
      <c r="H716" s="10" t="str">
        <f t="shared" si="3"/>
        <v/>
      </c>
      <c r="I716" s="68" t="str">
        <f t="shared" si="4"/>
        <v/>
      </c>
      <c r="J716" s="59" t="str">
        <f t="shared" si="5"/>
        <v/>
      </c>
      <c r="K716" s="69" t="str">
        <f t="shared" si="6"/>
        <v/>
      </c>
      <c r="L716" s="60" t="str">
        <f t="shared" si="7"/>
        <v/>
      </c>
      <c r="M716" s="61" t="str">
        <f>IFERROR(__xludf.DUMMYFUNCTION("IFS(AND(COUNTA(C716:C1673)=0,COUNTA(Q716:Q1673)=0),"""",OR(AND(K716&gt;=1000000000,OR(Y716&gt;=1000000000,COUNTA(Q716:Q1673)=0)),OR(Y716&gt;=1000000000,AND(COUNTA(C716:C1673)=0,P$3=TRUE))),
ROUNDDOWN((AB$1-AC$1)*MAX(INDEX(T$4:T1673,MATCH(LARGE(FILTER(Y$4:Y1673,Y$4"&amp;":Y1673&lt;1000000000),1),Y$4:Y1673)),INDEX(F$4:F1673,MATCH(LARGE(FILTER(K$4:K1673,K$4:K1673&lt;1000000000),1),K$4:K1673)))),AND(K716&lt;1000000000,COUNTA(C716:C1673)&gt;0,P$3=FALSE),
ROUNDDOWN(INDEX(Y$4:Y1673,MATCH(LARGE(FILTER(W$4:W1673,W$4:W1673&lt;=I716),1),W$4:W1673"&amp;"))+(I716-LARGE(FILTER(W$4:W1673,W$4:W1673&lt;=I716),1))*INDEX(T$4:T1673,MATCH(LARGE(FILTER(W$4:W1673,W$4:W1673&lt;=I716),1),W$4:W1673))-K716),1,
ROUNDDOWN(Y716-INDEX(K$4:K1673,MATCH(LARGE(FILTER(I$4:I1673,I$4:I1673&lt;=W716),1),I$4:I1673))-(W716-LARGE(FILTER(I$4:I"&amp;"1673,I$4:I1673&lt;=W716),1))*INDEX(F$4:F1673,MATCH(LARGE(FILTER(I$4:I1673,I$4:I1673&lt;=W716),1),I$4:I1673))))"),"")</f>
        <v/>
      </c>
      <c r="N716" s="60" t="str">
        <f t="shared" si="8"/>
        <v/>
      </c>
      <c r="O716" s="61" t="str">
        <f t="shared" si="9"/>
        <v/>
      </c>
      <c r="P716" s="56" t="str">
        <f t="shared" si="10"/>
        <v/>
      </c>
      <c r="Q716" s="105"/>
      <c r="R716" s="10"/>
      <c r="S716" s="59" t="str">
        <f t="array" ref="S716">IF(COUNTA(Q716:Q1673)=0,"",SUM((COUNTIF(Q$4:Q716,Upgrades!$B$3:$B$13)-COUNTIF(Q$4:Q716,"Sell_"&amp;Upgrades!$B$3:$B$13))*Upgrades!$D$3:$D$13))</f>
        <v/>
      </c>
      <c r="T716" s="66" t="str">
        <f>IFERROR(__xludf.DUMMYFUNCTION("IF(COUNTA(Q716:Q1673)=0,"""",IF(REGEXMATCH(INDEX(FILTER(Q$4:Q716,Q$4:Q716&lt;&gt;""""),ROWS(FILTER(Q$4:Q716,Q$4:Q716&lt;&gt;""""))),""^Sell_""),INDEX(FILTER(T$4:T715,Q$4:Q715&lt;&gt;""""),ROWS(FILTER(Q$4:Q715,Q$4:Q715&lt;&gt;""""))),$AD$5+S716))"),"")</f>
        <v/>
      </c>
      <c r="U716" s="10" t="str">
        <f>IFERROR(__xludf.DUMMYFUNCTION("IF(COUNTA(Q716:Q1673)=0,"""",IF(Q716="""",0,IF(REGEXMATCH(Q716,""^Sell_""),-ROUNDDOWN(ROUNDUP(INDEX(Upgrades!$C$3:$C$13,MATCH(SUBSTITUTE(Q716,""Sell_"",""""),Upgrades!$B$3:$B$13,0))*1.15^(COUNTIF(Q$4:Q715,SUBSTITUTE(Q716,""Sell_"",""""))-COUNTIF(Q$4:Q715,"&amp;"""Sell_""&amp;SUBSTITUTE(Q716,""Sell_"",""""))))/2),ROUNDUP(INDEX(Upgrades!$C$3:$C$13,MATCH(Q716,Upgrades!$B$3:$B$13,0))*1.15^(COUNTIF(Q$4:Q715,Q716)-COUNTIF(Q$4:Q715,""Sell_""&amp;Q716))))))"),"")</f>
        <v/>
      </c>
      <c r="V716" s="10" t="str">
        <f t="shared" si="11"/>
        <v/>
      </c>
      <c r="W716" s="68" t="str">
        <f t="shared" si="12"/>
        <v/>
      </c>
      <c r="X716" s="59" t="str">
        <f t="shared" si="13"/>
        <v/>
      </c>
      <c r="Y716" s="69" t="str">
        <f t="shared" si="14"/>
        <v/>
      </c>
      <c r="Z716" s="11"/>
    </row>
    <row r="717">
      <c r="A717" s="8"/>
      <c r="B717" s="56" t="str">
        <f t="shared" si="2"/>
        <v/>
      </c>
      <c r="C717" s="105"/>
      <c r="D717" s="10"/>
      <c r="E717" s="59" t="str">
        <f t="array" ref="E717">IF(COUNTA(C717:C1673)=0,"",SUM((COUNTIF(C$4:C717,Upgrades!$B$3:$B$13)-COUNTIF(C$4:C717,"Sell_"&amp;Upgrades!$B$3:$B$13))*Upgrades!$D$3:$D$13))</f>
        <v/>
      </c>
      <c r="F717" s="66" t="str">
        <f>IFERROR(__xludf.DUMMYFUNCTION("IF(COUNTA(C717:C1673)=0,"""",IF(REGEXMATCH(INDEX(FILTER(C$4:C717,C$4:C717&lt;&gt;""""),ROWS(FILTER(C$4:C717,C$4:C717&lt;&gt;""""))),""^Sell_""),INDEX(FILTER(F$4:F716,C$4:C716&lt;&gt;""""),ROWS(FILTER(C$4:C716,C$4:C716&lt;&gt;""""))),$AC$5+E717))"),"")</f>
        <v/>
      </c>
      <c r="G717" s="10" t="str">
        <f>IFERROR(__xludf.DUMMYFUNCTION("IF(COUNTA(C717:C1673)=0,"""",IF(C717="""",0,IF(REGEXMATCH(C717,""^Sell_""),-ROUNDDOWN(ROUNDUP(INDEX(Upgrades!$C$3:$C$13,MATCH(SUBSTITUTE(C717,""Sell_"",""""),Upgrades!$B$3:$B$13,0))*1.15^(COUNTIF(C$4:C716,SUBSTITUTE(C717,""Sell_"",""""))-COUNTIF(C$4:C716,"&amp;"""Sell_""&amp;SUBSTITUTE(C717,""Sell_"",""""))))/2),ROUNDUP(INDEX(Upgrades!$C$3:$C$13,MATCH(C717,Upgrades!$B$3:$B$13,0))*1.15^(COUNTIF(C$4:C716,C717)-COUNTIF(C$4:C716,""Sell_""&amp;C717))))))"),"")</f>
        <v/>
      </c>
      <c r="H717" s="10" t="str">
        <f t="shared" si="3"/>
        <v/>
      </c>
      <c r="I717" s="68" t="str">
        <f t="shared" si="4"/>
        <v/>
      </c>
      <c r="J717" s="59" t="str">
        <f t="shared" si="5"/>
        <v/>
      </c>
      <c r="K717" s="69" t="str">
        <f t="shared" si="6"/>
        <v/>
      </c>
      <c r="L717" s="60" t="str">
        <f t="shared" si="7"/>
        <v/>
      </c>
      <c r="M717" s="61" t="str">
        <f>IFERROR(__xludf.DUMMYFUNCTION("IFS(AND(COUNTA(C717:C1673)=0,COUNTA(Q717:Q1673)=0),"""",OR(AND(K717&gt;=1000000000,OR(Y717&gt;=1000000000,COUNTA(Q717:Q1673)=0)),OR(Y717&gt;=1000000000,AND(COUNTA(C717:C1673)=0,P$3=TRUE))),
ROUNDDOWN((AB$1-AC$1)*MAX(INDEX(T$4:T1673,MATCH(LARGE(FILTER(Y$4:Y1673,Y$4"&amp;":Y1673&lt;1000000000),1),Y$4:Y1673)),INDEX(F$4:F1673,MATCH(LARGE(FILTER(K$4:K1673,K$4:K1673&lt;1000000000),1),K$4:K1673)))),AND(K717&lt;1000000000,COUNTA(C717:C1673)&gt;0,P$3=FALSE),
ROUNDDOWN(INDEX(Y$4:Y1673,MATCH(LARGE(FILTER(W$4:W1673,W$4:W1673&lt;=I717),1),W$4:W1673"&amp;"))+(I717-LARGE(FILTER(W$4:W1673,W$4:W1673&lt;=I717),1))*INDEX(T$4:T1673,MATCH(LARGE(FILTER(W$4:W1673,W$4:W1673&lt;=I717),1),W$4:W1673))-K717),1,
ROUNDDOWN(Y717-INDEX(K$4:K1673,MATCH(LARGE(FILTER(I$4:I1673,I$4:I1673&lt;=W717),1),I$4:I1673))-(W717-LARGE(FILTER(I$4:I"&amp;"1673,I$4:I1673&lt;=W717),1))*INDEX(F$4:F1673,MATCH(LARGE(FILTER(I$4:I1673,I$4:I1673&lt;=W717),1),I$4:I1673))))"),"")</f>
        <v/>
      </c>
      <c r="N717" s="60" t="str">
        <f t="shared" si="8"/>
        <v/>
      </c>
      <c r="O717" s="61" t="str">
        <f t="shared" si="9"/>
        <v/>
      </c>
      <c r="P717" s="56" t="str">
        <f t="shared" si="10"/>
        <v/>
      </c>
      <c r="Q717" s="105"/>
      <c r="R717" s="10"/>
      <c r="S717" s="59" t="str">
        <f t="array" ref="S717">IF(COUNTA(Q717:Q1673)=0,"",SUM((COUNTIF(Q$4:Q717,Upgrades!$B$3:$B$13)-COUNTIF(Q$4:Q717,"Sell_"&amp;Upgrades!$B$3:$B$13))*Upgrades!$D$3:$D$13))</f>
        <v/>
      </c>
      <c r="T717" s="66" t="str">
        <f>IFERROR(__xludf.DUMMYFUNCTION("IF(COUNTA(Q717:Q1673)=0,"""",IF(REGEXMATCH(INDEX(FILTER(Q$4:Q717,Q$4:Q717&lt;&gt;""""),ROWS(FILTER(Q$4:Q717,Q$4:Q717&lt;&gt;""""))),""^Sell_""),INDEX(FILTER(T$4:T716,Q$4:Q716&lt;&gt;""""),ROWS(FILTER(Q$4:Q716,Q$4:Q716&lt;&gt;""""))),$AD$5+S717))"),"")</f>
        <v/>
      </c>
      <c r="U717" s="10" t="str">
        <f>IFERROR(__xludf.DUMMYFUNCTION("IF(COUNTA(Q717:Q1673)=0,"""",IF(Q717="""",0,IF(REGEXMATCH(Q717,""^Sell_""),-ROUNDDOWN(ROUNDUP(INDEX(Upgrades!$C$3:$C$13,MATCH(SUBSTITUTE(Q717,""Sell_"",""""),Upgrades!$B$3:$B$13,0))*1.15^(COUNTIF(Q$4:Q716,SUBSTITUTE(Q717,""Sell_"",""""))-COUNTIF(Q$4:Q716,"&amp;"""Sell_""&amp;SUBSTITUTE(Q717,""Sell_"",""""))))/2),ROUNDUP(INDEX(Upgrades!$C$3:$C$13,MATCH(Q717,Upgrades!$B$3:$B$13,0))*1.15^(COUNTIF(Q$4:Q716,Q717)-COUNTIF(Q$4:Q716,""Sell_""&amp;Q717))))))"),"")</f>
        <v/>
      </c>
      <c r="V717" s="10" t="str">
        <f t="shared" si="11"/>
        <v/>
      </c>
      <c r="W717" s="68" t="str">
        <f t="shared" si="12"/>
        <v/>
      </c>
      <c r="X717" s="59" t="str">
        <f t="shared" si="13"/>
        <v/>
      </c>
      <c r="Y717" s="69" t="str">
        <f t="shared" si="14"/>
        <v/>
      </c>
      <c r="Z717" s="11"/>
    </row>
    <row r="718">
      <c r="A718" s="8"/>
      <c r="B718" s="56" t="str">
        <f t="shared" si="2"/>
        <v/>
      </c>
      <c r="C718" s="105"/>
      <c r="D718" s="10"/>
      <c r="E718" s="59" t="str">
        <f t="array" ref="E718">IF(COUNTA(C718:C1673)=0,"",SUM((COUNTIF(C$4:C718,Upgrades!$B$3:$B$13)-COUNTIF(C$4:C718,"Sell_"&amp;Upgrades!$B$3:$B$13))*Upgrades!$D$3:$D$13))</f>
        <v/>
      </c>
      <c r="F718" s="66" t="str">
        <f>IFERROR(__xludf.DUMMYFUNCTION("IF(COUNTA(C718:C1673)=0,"""",IF(REGEXMATCH(INDEX(FILTER(C$4:C718,C$4:C718&lt;&gt;""""),ROWS(FILTER(C$4:C718,C$4:C718&lt;&gt;""""))),""^Sell_""),INDEX(FILTER(F$4:F717,C$4:C717&lt;&gt;""""),ROWS(FILTER(C$4:C717,C$4:C717&lt;&gt;""""))),$AC$5+E718))"),"")</f>
        <v/>
      </c>
      <c r="G718" s="10" t="str">
        <f>IFERROR(__xludf.DUMMYFUNCTION("IF(COUNTA(C718:C1673)=0,"""",IF(C718="""",0,IF(REGEXMATCH(C718,""^Sell_""),-ROUNDDOWN(ROUNDUP(INDEX(Upgrades!$C$3:$C$13,MATCH(SUBSTITUTE(C718,""Sell_"",""""),Upgrades!$B$3:$B$13,0))*1.15^(COUNTIF(C$4:C717,SUBSTITUTE(C718,""Sell_"",""""))-COUNTIF(C$4:C717,"&amp;"""Sell_""&amp;SUBSTITUTE(C718,""Sell_"",""""))))/2),ROUNDUP(INDEX(Upgrades!$C$3:$C$13,MATCH(C718,Upgrades!$B$3:$B$13,0))*1.15^(COUNTIF(C$4:C717,C718)-COUNTIF(C$4:C717,""Sell_""&amp;C718))))))"),"")</f>
        <v/>
      </c>
      <c r="H718" s="10" t="str">
        <f t="shared" si="3"/>
        <v/>
      </c>
      <c r="I718" s="68" t="str">
        <f t="shared" si="4"/>
        <v/>
      </c>
      <c r="J718" s="59" t="str">
        <f t="shared" si="5"/>
        <v/>
      </c>
      <c r="K718" s="69" t="str">
        <f t="shared" si="6"/>
        <v/>
      </c>
      <c r="L718" s="60" t="str">
        <f t="shared" si="7"/>
        <v/>
      </c>
      <c r="M718" s="61" t="str">
        <f>IFERROR(__xludf.DUMMYFUNCTION("IFS(AND(COUNTA(C718:C1673)=0,COUNTA(Q718:Q1673)=0),"""",OR(AND(K718&gt;=1000000000,OR(Y718&gt;=1000000000,COUNTA(Q718:Q1673)=0)),OR(Y718&gt;=1000000000,AND(COUNTA(C718:C1673)=0,P$3=TRUE))),
ROUNDDOWN((AB$1-AC$1)*MAX(INDEX(T$4:T1673,MATCH(LARGE(FILTER(Y$4:Y1673,Y$4"&amp;":Y1673&lt;1000000000),1),Y$4:Y1673)),INDEX(F$4:F1673,MATCH(LARGE(FILTER(K$4:K1673,K$4:K1673&lt;1000000000),1),K$4:K1673)))),AND(K718&lt;1000000000,COUNTA(C718:C1673)&gt;0,P$3=FALSE),
ROUNDDOWN(INDEX(Y$4:Y1673,MATCH(LARGE(FILTER(W$4:W1673,W$4:W1673&lt;=I718),1),W$4:W1673"&amp;"))+(I718-LARGE(FILTER(W$4:W1673,W$4:W1673&lt;=I718),1))*INDEX(T$4:T1673,MATCH(LARGE(FILTER(W$4:W1673,W$4:W1673&lt;=I718),1),W$4:W1673))-K718),1,
ROUNDDOWN(Y718-INDEX(K$4:K1673,MATCH(LARGE(FILTER(I$4:I1673,I$4:I1673&lt;=W718),1),I$4:I1673))-(W718-LARGE(FILTER(I$4:I"&amp;"1673,I$4:I1673&lt;=W718),1))*INDEX(F$4:F1673,MATCH(LARGE(FILTER(I$4:I1673,I$4:I1673&lt;=W718),1),I$4:I1673))))"),"")</f>
        <v/>
      </c>
      <c r="N718" s="60" t="str">
        <f t="shared" si="8"/>
        <v/>
      </c>
      <c r="O718" s="61" t="str">
        <f t="shared" si="9"/>
        <v/>
      </c>
      <c r="P718" s="56" t="str">
        <f t="shared" si="10"/>
        <v/>
      </c>
      <c r="Q718" s="105"/>
      <c r="R718" s="10"/>
      <c r="S718" s="59" t="str">
        <f t="array" ref="S718">IF(COUNTA(Q718:Q1673)=0,"",SUM((COUNTIF(Q$4:Q718,Upgrades!$B$3:$B$13)-COUNTIF(Q$4:Q718,"Sell_"&amp;Upgrades!$B$3:$B$13))*Upgrades!$D$3:$D$13))</f>
        <v/>
      </c>
      <c r="T718" s="66" t="str">
        <f>IFERROR(__xludf.DUMMYFUNCTION("IF(COUNTA(Q718:Q1673)=0,"""",IF(REGEXMATCH(INDEX(FILTER(Q$4:Q718,Q$4:Q718&lt;&gt;""""),ROWS(FILTER(Q$4:Q718,Q$4:Q718&lt;&gt;""""))),""^Sell_""),INDEX(FILTER(T$4:T717,Q$4:Q717&lt;&gt;""""),ROWS(FILTER(Q$4:Q717,Q$4:Q717&lt;&gt;""""))),$AD$5+S718))"),"")</f>
        <v/>
      </c>
      <c r="U718" s="10" t="str">
        <f>IFERROR(__xludf.DUMMYFUNCTION("IF(COUNTA(Q718:Q1673)=0,"""",IF(Q718="""",0,IF(REGEXMATCH(Q718,""^Sell_""),-ROUNDDOWN(ROUNDUP(INDEX(Upgrades!$C$3:$C$13,MATCH(SUBSTITUTE(Q718,""Sell_"",""""),Upgrades!$B$3:$B$13,0))*1.15^(COUNTIF(Q$4:Q717,SUBSTITUTE(Q718,""Sell_"",""""))-COUNTIF(Q$4:Q717,"&amp;"""Sell_""&amp;SUBSTITUTE(Q718,""Sell_"",""""))))/2),ROUNDUP(INDEX(Upgrades!$C$3:$C$13,MATCH(Q718,Upgrades!$B$3:$B$13,0))*1.15^(COUNTIF(Q$4:Q717,Q718)-COUNTIF(Q$4:Q717,""Sell_""&amp;Q718))))))"),"")</f>
        <v/>
      </c>
      <c r="V718" s="10" t="str">
        <f t="shared" si="11"/>
        <v/>
      </c>
      <c r="W718" s="68" t="str">
        <f t="shared" si="12"/>
        <v/>
      </c>
      <c r="X718" s="59" t="str">
        <f t="shared" si="13"/>
        <v/>
      </c>
      <c r="Y718" s="69" t="str">
        <f t="shared" si="14"/>
        <v/>
      </c>
      <c r="Z718" s="11"/>
    </row>
    <row r="719">
      <c r="A719" s="8"/>
      <c r="B719" s="56" t="str">
        <f t="shared" si="2"/>
        <v/>
      </c>
      <c r="C719" s="105"/>
      <c r="D719" s="10"/>
      <c r="E719" s="59" t="str">
        <f t="array" ref="E719">IF(COUNTA(C719:C1673)=0,"",SUM((COUNTIF(C$4:C719,Upgrades!$B$3:$B$13)-COUNTIF(C$4:C719,"Sell_"&amp;Upgrades!$B$3:$B$13))*Upgrades!$D$3:$D$13))</f>
        <v/>
      </c>
      <c r="F719" s="66" t="str">
        <f>IFERROR(__xludf.DUMMYFUNCTION("IF(COUNTA(C719:C1673)=0,"""",IF(REGEXMATCH(INDEX(FILTER(C$4:C719,C$4:C719&lt;&gt;""""),ROWS(FILTER(C$4:C719,C$4:C719&lt;&gt;""""))),""^Sell_""),INDEX(FILTER(F$4:F718,C$4:C718&lt;&gt;""""),ROWS(FILTER(C$4:C718,C$4:C718&lt;&gt;""""))),$AC$5+E719))"),"")</f>
        <v/>
      </c>
      <c r="G719" s="10" t="str">
        <f>IFERROR(__xludf.DUMMYFUNCTION("IF(COUNTA(C719:C1673)=0,"""",IF(C719="""",0,IF(REGEXMATCH(C719,""^Sell_""),-ROUNDDOWN(ROUNDUP(INDEX(Upgrades!$C$3:$C$13,MATCH(SUBSTITUTE(C719,""Sell_"",""""),Upgrades!$B$3:$B$13,0))*1.15^(COUNTIF(C$4:C718,SUBSTITUTE(C719,""Sell_"",""""))-COUNTIF(C$4:C718,"&amp;"""Sell_""&amp;SUBSTITUTE(C719,""Sell_"",""""))))/2),ROUNDUP(INDEX(Upgrades!$C$3:$C$13,MATCH(C719,Upgrades!$B$3:$B$13,0))*1.15^(COUNTIF(C$4:C718,C719)-COUNTIF(C$4:C718,""Sell_""&amp;C719))))))"),"")</f>
        <v/>
      </c>
      <c r="H719" s="10" t="str">
        <f t="shared" si="3"/>
        <v/>
      </c>
      <c r="I719" s="68" t="str">
        <f t="shared" si="4"/>
        <v/>
      </c>
      <c r="J719" s="59" t="str">
        <f t="shared" si="5"/>
        <v/>
      </c>
      <c r="K719" s="69" t="str">
        <f t="shared" si="6"/>
        <v/>
      </c>
      <c r="L719" s="60" t="str">
        <f t="shared" si="7"/>
        <v/>
      </c>
      <c r="M719" s="61" t="str">
        <f>IFERROR(__xludf.DUMMYFUNCTION("IFS(AND(COUNTA(C719:C1673)=0,COUNTA(Q719:Q1673)=0),"""",OR(AND(K719&gt;=1000000000,OR(Y719&gt;=1000000000,COUNTA(Q719:Q1673)=0)),OR(Y719&gt;=1000000000,AND(COUNTA(C719:C1673)=0,P$3=TRUE))),
ROUNDDOWN((AB$1-AC$1)*MAX(INDEX(T$4:T1673,MATCH(LARGE(FILTER(Y$4:Y1673,Y$4"&amp;":Y1673&lt;1000000000),1),Y$4:Y1673)),INDEX(F$4:F1673,MATCH(LARGE(FILTER(K$4:K1673,K$4:K1673&lt;1000000000),1),K$4:K1673)))),AND(K719&lt;1000000000,COUNTA(C719:C1673)&gt;0,P$3=FALSE),
ROUNDDOWN(INDEX(Y$4:Y1673,MATCH(LARGE(FILTER(W$4:W1673,W$4:W1673&lt;=I719),1),W$4:W1673"&amp;"))+(I719-LARGE(FILTER(W$4:W1673,W$4:W1673&lt;=I719),1))*INDEX(T$4:T1673,MATCH(LARGE(FILTER(W$4:W1673,W$4:W1673&lt;=I719),1),W$4:W1673))-K719),1,
ROUNDDOWN(Y719-INDEX(K$4:K1673,MATCH(LARGE(FILTER(I$4:I1673,I$4:I1673&lt;=W719),1),I$4:I1673))-(W719-LARGE(FILTER(I$4:I"&amp;"1673,I$4:I1673&lt;=W719),1))*INDEX(F$4:F1673,MATCH(LARGE(FILTER(I$4:I1673,I$4:I1673&lt;=W719),1),I$4:I1673))))"),"")</f>
        <v/>
      </c>
      <c r="N719" s="60" t="str">
        <f t="shared" si="8"/>
        <v/>
      </c>
      <c r="O719" s="61" t="str">
        <f t="shared" si="9"/>
        <v/>
      </c>
      <c r="P719" s="56" t="str">
        <f t="shared" si="10"/>
        <v/>
      </c>
      <c r="Q719" s="105"/>
      <c r="R719" s="10"/>
      <c r="S719" s="59" t="str">
        <f t="array" ref="S719">IF(COUNTA(Q719:Q1673)=0,"",SUM((COUNTIF(Q$4:Q719,Upgrades!$B$3:$B$13)-COUNTIF(Q$4:Q719,"Sell_"&amp;Upgrades!$B$3:$B$13))*Upgrades!$D$3:$D$13))</f>
        <v/>
      </c>
      <c r="T719" s="66" t="str">
        <f>IFERROR(__xludf.DUMMYFUNCTION("IF(COUNTA(Q719:Q1673)=0,"""",IF(REGEXMATCH(INDEX(FILTER(Q$4:Q719,Q$4:Q719&lt;&gt;""""),ROWS(FILTER(Q$4:Q719,Q$4:Q719&lt;&gt;""""))),""^Sell_""),INDEX(FILTER(T$4:T718,Q$4:Q718&lt;&gt;""""),ROWS(FILTER(Q$4:Q718,Q$4:Q718&lt;&gt;""""))),$AD$5+S719))"),"")</f>
        <v/>
      </c>
      <c r="U719" s="10" t="str">
        <f>IFERROR(__xludf.DUMMYFUNCTION("IF(COUNTA(Q719:Q1673)=0,"""",IF(Q719="""",0,IF(REGEXMATCH(Q719,""^Sell_""),-ROUNDDOWN(ROUNDUP(INDEX(Upgrades!$C$3:$C$13,MATCH(SUBSTITUTE(Q719,""Sell_"",""""),Upgrades!$B$3:$B$13,0))*1.15^(COUNTIF(Q$4:Q718,SUBSTITUTE(Q719,""Sell_"",""""))-COUNTIF(Q$4:Q718,"&amp;"""Sell_""&amp;SUBSTITUTE(Q719,""Sell_"",""""))))/2),ROUNDUP(INDEX(Upgrades!$C$3:$C$13,MATCH(Q719,Upgrades!$B$3:$B$13,0))*1.15^(COUNTIF(Q$4:Q718,Q719)-COUNTIF(Q$4:Q718,""Sell_""&amp;Q719))))))"),"")</f>
        <v/>
      </c>
      <c r="V719" s="10" t="str">
        <f t="shared" si="11"/>
        <v/>
      </c>
      <c r="W719" s="68" t="str">
        <f t="shared" si="12"/>
        <v/>
      </c>
      <c r="X719" s="59" t="str">
        <f t="shared" si="13"/>
        <v/>
      </c>
      <c r="Y719" s="69" t="str">
        <f t="shared" si="14"/>
        <v/>
      </c>
      <c r="Z719" s="11"/>
    </row>
    <row r="720">
      <c r="A720" s="8"/>
      <c r="B720" s="56" t="str">
        <f t="shared" si="2"/>
        <v/>
      </c>
      <c r="C720" s="105"/>
      <c r="D720" s="10"/>
      <c r="E720" s="59" t="str">
        <f t="array" ref="E720">IF(COUNTA(C720:C1673)=0,"",SUM((COUNTIF(C$4:C720,Upgrades!$B$3:$B$13)-COUNTIF(C$4:C720,"Sell_"&amp;Upgrades!$B$3:$B$13))*Upgrades!$D$3:$D$13))</f>
        <v/>
      </c>
      <c r="F720" s="66" t="str">
        <f>IFERROR(__xludf.DUMMYFUNCTION("IF(COUNTA(C720:C1673)=0,"""",IF(REGEXMATCH(INDEX(FILTER(C$4:C720,C$4:C720&lt;&gt;""""),ROWS(FILTER(C$4:C720,C$4:C720&lt;&gt;""""))),""^Sell_""),INDEX(FILTER(F$4:F719,C$4:C719&lt;&gt;""""),ROWS(FILTER(C$4:C719,C$4:C719&lt;&gt;""""))),$AC$5+E720))"),"")</f>
        <v/>
      </c>
      <c r="G720" s="10" t="str">
        <f>IFERROR(__xludf.DUMMYFUNCTION("IF(COUNTA(C720:C1673)=0,"""",IF(C720="""",0,IF(REGEXMATCH(C720,""^Sell_""),-ROUNDDOWN(ROUNDUP(INDEX(Upgrades!$C$3:$C$13,MATCH(SUBSTITUTE(C720,""Sell_"",""""),Upgrades!$B$3:$B$13,0))*1.15^(COUNTIF(C$4:C719,SUBSTITUTE(C720,""Sell_"",""""))-COUNTIF(C$4:C719,"&amp;"""Sell_""&amp;SUBSTITUTE(C720,""Sell_"",""""))))/2),ROUNDUP(INDEX(Upgrades!$C$3:$C$13,MATCH(C720,Upgrades!$B$3:$B$13,0))*1.15^(COUNTIF(C$4:C719,C720)-COUNTIF(C$4:C719,""Sell_""&amp;C720))))))"),"")</f>
        <v/>
      </c>
      <c r="H720" s="10" t="str">
        <f t="shared" si="3"/>
        <v/>
      </c>
      <c r="I720" s="68" t="str">
        <f t="shared" si="4"/>
        <v/>
      </c>
      <c r="J720" s="59" t="str">
        <f t="shared" si="5"/>
        <v/>
      </c>
      <c r="K720" s="69" t="str">
        <f t="shared" si="6"/>
        <v/>
      </c>
      <c r="L720" s="60" t="str">
        <f t="shared" si="7"/>
        <v/>
      </c>
      <c r="M720" s="61" t="str">
        <f>IFERROR(__xludf.DUMMYFUNCTION("IFS(AND(COUNTA(C720:C1673)=0,COUNTA(Q720:Q1673)=0),"""",OR(AND(K720&gt;=1000000000,OR(Y720&gt;=1000000000,COUNTA(Q720:Q1673)=0)),OR(Y720&gt;=1000000000,AND(COUNTA(C720:C1673)=0,P$3=TRUE))),
ROUNDDOWN((AB$1-AC$1)*MAX(INDEX(T$4:T1673,MATCH(LARGE(FILTER(Y$4:Y1673,Y$4"&amp;":Y1673&lt;1000000000),1),Y$4:Y1673)),INDEX(F$4:F1673,MATCH(LARGE(FILTER(K$4:K1673,K$4:K1673&lt;1000000000),1),K$4:K1673)))),AND(K720&lt;1000000000,COUNTA(C720:C1673)&gt;0,P$3=FALSE),
ROUNDDOWN(INDEX(Y$4:Y1673,MATCH(LARGE(FILTER(W$4:W1673,W$4:W1673&lt;=I720),1),W$4:W1673"&amp;"))+(I720-LARGE(FILTER(W$4:W1673,W$4:W1673&lt;=I720),1))*INDEX(T$4:T1673,MATCH(LARGE(FILTER(W$4:W1673,W$4:W1673&lt;=I720),1),W$4:W1673))-K720),1,
ROUNDDOWN(Y720-INDEX(K$4:K1673,MATCH(LARGE(FILTER(I$4:I1673,I$4:I1673&lt;=W720),1),I$4:I1673))-(W720-LARGE(FILTER(I$4:I"&amp;"1673,I$4:I1673&lt;=W720),1))*INDEX(F$4:F1673,MATCH(LARGE(FILTER(I$4:I1673,I$4:I1673&lt;=W720),1),I$4:I1673))))"),"")</f>
        <v/>
      </c>
      <c r="N720" s="60" t="str">
        <f t="shared" si="8"/>
        <v/>
      </c>
      <c r="O720" s="61" t="str">
        <f t="shared" si="9"/>
        <v/>
      </c>
      <c r="P720" s="56" t="str">
        <f t="shared" si="10"/>
        <v/>
      </c>
      <c r="Q720" s="105"/>
      <c r="R720" s="10"/>
      <c r="S720" s="59" t="str">
        <f t="array" ref="S720">IF(COUNTA(Q720:Q1673)=0,"",SUM((COUNTIF(Q$4:Q720,Upgrades!$B$3:$B$13)-COUNTIF(Q$4:Q720,"Sell_"&amp;Upgrades!$B$3:$B$13))*Upgrades!$D$3:$D$13))</f>
        <v/>
      </c>
      <c r="T720" s="66" t="str">
        <f>IFERROR(__xludf.DUMMYFUNCTION("IF(COUNTA(Q720:Q1673)=0,"""",IF(REGEXMATCH(INDEX(FILTER(Q$4:Q720,Q$4:Q720&lt;&gt;""""),ROWS(FILTER(Q$4:Q720,Q$4:Q720&lt;&gt;""""))),""^Sell_""),INDEX(FILTER(T$4:T719,Q$4:Q719&lt;&gt;""""),ROWS(FILTER(Q$4:Q719,Q$4:Q719&lt;&gt;""""))),$AD$5+S720))"),"")</f>
        <v/>
      </c>
      <c r="U720" s="10" t="str">
        <f>IFERROR(__xludf.DUMMYFUNCTION("IF(COUNTA(Q720:Q1673)=0,"""",IF(Q720="""",0,IF(REGEXMATCH(Q720,""^Sell_""),-ROUNDDOWN(ROUNDUP(INDEX(Upgrades!$C$3:$C$13,MATCH(SUBSTITUTE(Q720,""Sell_"",""""),Upgrades!$B$3:$B$13,0))*1.15^(COUNTIF(Q$4:Q719,SUBSTITUTE(Q720,""Sell_"",""""))-COUNTIF(Q$4:Q719,"&amp;"""Sell_""&amp;SUBSTITUTE(Q720,""Sell_"",""""))))/2),ROUNDUP(INDEX(Upgrades!$C$3:$C$13,MATCH(Q720,Upgrades!$B$3:$B$13,0))*1.15^(COUNTIF(Q$4:Q719,Q720)-COUNTIF(Q$4:Q719,""Sell_""&amp;Q720))))))"),"")</f>
        <v/>
      </c>
      <c r="V720" s="10" t="str">
        <f t="shared" si="11"/>
        <v/>
      </c>
      <c r="W720" s="68" t="str">
        <f t="shared" si="12"/>
        <v/>
      </c>
      <c r="X720" s="59" t="str">
        <f t="shared" si="13"/>
        <v/>
      </c>
      <c r="Y720" s="69" t="str">
        <f t="shared" si="14"/>
        <v/>
      </c>
      <c r="Z720" s="11"/>
    </row>
    <row r="721">
      <c r="A721" s="8"/>
      <c r="B721" s="56" t="str">
        <f t="shared" si="2"/>
        <v/>
      </c>
      <c r="C721" s="105"/>
      <c r="D721" s="10"/>
      <c r="E721" s="59" t="str">
        <f t="array" ref="E721">IF(COUNTA(C721:C1673)=0,"",SUM((COUNTIF(C$4:C721,Upgrades!$B$3:$B$13)-COUNTIF(C$4:C721,"Sell_"&amp;Upgrades!$B$3:$B$13))*Upgrades!$D$3:$D$13))</f>
        <v/>
      </c>
      <c r="F721" s="66" t="str">
        <f>IFERROR(__xludf.DUMMYFUNCTION("IF(COUNTA(C721:C1673)=0,"""",IF(REGEXMATCH(INDEX(FILTER(C$4:C721,C$4:C721&lt;&gt;""""),ROWS(FILTER(C$4:C721,C$4:C721&lt;&gt;""""))),""^Sell_""),INDEX(FILTER(F$4:F720,C$4:C720&lt;&gt;""""),ROWS(FILTER(C$4:C720,C$4:C720&lt;&gt;""""))),$AC$5+E721))"),"")</f>
        <v/>
      </c>
      <c r="G721" s="10" t="str">
        <f>IFERROR(__xludf.DUMMYFUNCTION("IF(COUNTA(C721:C1673)=0,"""",IF(C721="""",0,IF(REGEXMATCH(C721,""^Sell_""),-ROUNDDOWN(ROUNDUP(INDEX(Upgrades!$C$3:$C$13,MATCH(SUBSTITUTE(C721,""Sell_"",""""),Upgrades!$B$3:$B$13,0))*1.15^(COUNTIF(C$4:C720,SUBSTITUTE(C721,""Sell_"",""""))-COUNTIF(C$4:C720,"&amp;"""Sell_""&amp;SUBSTITUTE(C721,""Sell_"",""""))))/2),ROUNDUP(INDEX(Upgrades!$C$3:$C$13,MATCH(C721,Upgrades!$B$3:$B$13,0))*1.15^(COUNTIF(C$4:C720,C721)-COUNTIF(C$4:C720,""Sell_""&amp;C721))))))"),"")</f>
        <v/>
      </c>
      <c r="H721" s="10" t="str">
        <f t="shared" si="3"/>
        <v/>
      </c>
      <c r="I721" s="68" t="str">
        <f t="shared" si="4"/>
        <v/>
      </c>
      <c r="J721" s="59" t="str">
        <f t="shared" si="5"/>
        <v/>
      </c>
      <c r="K721" s="69" t="str">
        <f t="shared" si="6"/>
        <v/>
      </c>
      <c r="L721" s="60" t="str">
        <f t="shared" si="7"/>
        <v/>
      </c>
      <c r="M721" s="61" t="str">
        <f>IFERROR(__xludf.DUMMYFUNCTION("IFS(AND(COUNTA(C721:C1673)=0,COUNTA(Q721:Q1673)=0),"""",OR(AND(K721&gt;=1000000000,OR(Y721&gt;=1000000000,COUNTA(Q721:Q1673)=0)),OR(Y721&gt;=1000000000,AND(COUNTA(C721:C1673)=0,P$3=TRUE))),
ROUNDDOWN((AB$1-AC$1)*MAX(INDEX(T$4:T1673,MATCH(LARGE(FILTER(Y$4:Y1673,Y$4"&amp;":Y1673&lt;1000000000),1),Y$4:Y1673)),INDEX(F$4:F1673,MATCH(LARGE(FILTER(K$4:K1673,K$4:K1673&lt;1000000000),1),K$4:K1673)))),AND(K721&lt;1000000000,COUNTA(C721:C1673)&gt;0,P$3=FALSE),
ROUNDDOWN(INDEX(Y$4:Y1673,MATCH(LARGE(FILTER(W$4:W1673,W$4:W1673&lt;=I721),1),W$4:W1673"&amp;"))+(I721-LARGE(FILTER(W$4:W1673,W$4:W1673&lt;=I721),1))*INDEX(T$4:T1673,MATCH(LARGE(FILTER(W$4:W1673,W$4:W1673&lt;=I721),1),W$4:W1673))-K721),1,
ROUNDDOWN(Y721-INDEX(K$4:K1673,MATCH(LARGE(FILTER(I$4:I1673,I$4:I1673&lt;=W721),1),I$4:I1673))-(W721-LARGE(FILTER(I$4:I"&amp;"1673,I$4:I1673&lt;=W721),1))*INDEX(F$4:F1673,MATCH(LARGE(FILTER(I$4:I1673,I$4:I1673&lt;=W721),1),I$4:I1673))))"),"")</f>
        <v/>
      </c>
      <c r="N721" s="60" t="str">
        <f t="shared" si="8"/>
        <v/>
      </c>
      <c r="O721" s="61" t="str">
        <f t="shared" si="9"/>
        <v/>
      </c>
      <c r="P721" s="56" t="str">
        <f t="shared" si="10"/>
        <v/>
      </c>
      <c r="Q721" s="105"/>
      <c r="R721" s="10"/>
      <c r="S721" s="59" t="str">
        <f t="array" ref="S721">IF(COUNTA(Q721:Q1673)=0,"",SUM((COUNTIF(Q$4:Q721,Upgrades!$B$3:$B$13)-COUNTIF(Q$4:Q721,"Sell_"&amp;Upgrades!$B$3:$B$13))*Upgrades!$D$3:$D$13))</f>
        <v/>
      </c>
      <c r="T721" s="66" t="str">
        <f>IFERROR(__xludf.DUMMYFUNCTION("IF(COUNTA(Q721:Q1673)=0,"""",IF(REGEXMATCH(INDEX(FILTER(Q$4:Q721,Q$4:Q721&lt;&gt;""""),ROWS(FILTER(Q$4:Q721,Q$4:Q721&lt;&gt;""""))),""^Sell_""),INDEX(FILTER(T$4:T720,Q$4:Q720&lt;&gt;""""),ROWS(FILTER(Q$4:Q720,Q$4:Q720&lt;&gt;""""))),$AD$5+S721))"),"")</f>
        <v/>
      </c>
      <c r="U721" s="10" t="str">
        <f>IFERROR(__xludf.DUMMYFUNCTION("IF(COUNTA(Q721:Q1673)=0,"""",IF(Q721="""",0,IF(REGEXMATCH(Q721,""^Sell_""),-ROUNDDOWN(ROUNDUP(INDEX(Upgrades!$C$3:$C$13,MATCH(SUBSTITUTE(Q721,""Sell_"",""""),Upgrades!$B$3:$B$13,0))*1.15^(COUNTIF(Q$4:Q720,SUBSTITUTE(Q721,""Sell_"",""""))-COUNTIF(Q$4:Q720,"&amp;"""Sell_""&amp;SUBSTITUTE(Q721,""Sell_"",""""))))/2),ROUNDUP(INDEX(Upgrades!$C$3:$C$13,MATCH(Q721,Upgrades!$B$3:$B$13,0))*1.15^(COUNTIF(Q$4:Q720,Q721)-COUNTIF(Q$4:Q720,""Sell_""&amp;Q721))))))"),"")</f>
        <v/>
      </c>
      <c r="V721" s="10" t="str">
        <f t="shared" si="11"/>
        <v/>
      </c>
      <c r="W721" s="68" t="str">
        <f t="shared" si="12"/>
        <v/>
      </c>
      <c r="X721" s="59" t="str">
        <f t="shared" si="13"/>
        <v/>
      </c>
      <c r="Y721" s="69" t="str">
        <f t="shared" si="14"/>
        <v/>
      </c>
      <c r="Z721" s="11"/>
    </row>
    <row r="722">
      <c r="A722" s="8"/>
      <c r="B722" s="56" t="str">
        <f t="shared" si="2"/>
        <v/>
      </c>
      <c r="C722" s="105"/>
      <c r="D722" s="10"/>
      <c r="E722" s="59" t="str">
        <f t="array" ref="E722">IF(COUNTA(C722:C1673)=0,"",SUM((COUNTIF(C$4:C722,Upgrades!$B$3:$B$13)-COUNTIF(C$4:C722,"Sell_"&amp;Upgrades!$B$3:$B$13))*Upgrades!$D$3:$D$13))</f>
        <v/>
      </c>
      <c r="F722" s="66" t="str">
        <f>IFERROR(__xludf.DUMMYFUNCTION("IF(COUNTA(C722:C1673)=0,"""",IF(REGEXMATCH(INDEX(FILTER(C$4:C722,C$4:C722&lt;&gt;""""),ROWS(FILTER(C$4:C722,C$4:C722&lt;&gt;""""))),""^Sell_""),INDEX(FILTER(F$4:F721,C$4:C721&lt;&gt;""""),ROWS(FILTER(C$4:C721,C$4:C721&lt;&gt;""""))),$AC$5+E722))"),"")</f>
        <v/>
      </c>
      <c r="G722" s="10" t="str">
        <f>IFERROR(__xludf.DUMMYFUNCTION("IF(COUNTA(C722:C1673)=0,"""",IF(C722="""",0,IF(REGEXMATCH(C722,""^Sell_""),-ROUNDDOWN(ROUNDUP(INDEX(Upgrades!$C$3:$C$13,MATCH(SUBSTITUTE(C722,""Sell_"",""""),Upgrades!$B$3:$B$13,0))*1.15^(COUNTIF(C$4:C721,SUBSTITUTE(C722,""Sell_"",""""))-COUNTIF(C$4:C721,"&amp;"""Sell_""&amp;SUBSTITUTE(C722,""Sell_"",""""))))/2),ROUNDUP(INDEX(Upgrades!$C$3:$C$13,MATCH(C722,Upgrades!$B$3:$B$13,0))*1.15^(COUNTIF(C$4:C721,C722)-COUNTIF(C$4:C721,""Sell_""&amp;C722))))))"),"")</f>
        <v/>
      </c>
      <c r="H722" s="10" t="str">
        <f t="shared" si="3"/>
        <v/>
      </c>
      <c r="I722" s="68" t="str">
        <f t="shared" si="4"/>
        <v/>
      </c>
      <c r="J722" s="59" t="str">
        <f t="shared" si="5"/>
        <v/>
      </c>
      <c r="K722" s="69" t="str">
        <f t="shared" si="6"/>
        <v/>
      </c>
      <c r="L722" s="60" t="str">
        <f t="shared" si="7"/>
        <v/>
      </c>
      <c r="M722" s="61" t="str">
        <f>IFERROR(__xludf.DUMMYFUNCTION("IFS(AND(COUNTA(C722:C1673)=0,COUNTA(Q722:Q1673)=0),"""",OR(AND(K722&gt;=1000000000,OR(Y722&gt;=1000000000,COUNTA(Q722:Q1673)=0)),OR(Y722&gt;=1000000000,AND(COUNTA(C722:C1673)=0,P$3=TRUE))),
ROUNDDOWN((AB$1-AC$1)*MAX(INDEX(T$4:T1673,MATCH(LARGE(FILTER(Y$4:Y1673,Y$4"&amp;":Y1673&lt;1000000000),1),Y$4:Y1673)),INDEX(F$4:F1673,MATCH(LARGE(FILTER(K$4:K1673,K$4:K1673&lt;1000000000),1),K$4:K1673)))),AND(K722&lt;1000000000,COUNTA(C722:C1673)&gt;0,P$3=FALSE),
ROUNDDOWN(INDEX(Y$4:Y1673,MATCH(LARGE(FILTER(W$4:W1673,W$4:W1673&lt;=I722),1),W$4:W1673"&amp;"))+(I722-LARGE(FILTER(W$4:W1673,W$4:W1673&lt;=I722),1))*INDEX(T$4:T1673,MATCH(LARGE(FILTER(W$4:W1673,W$4:W1673&lt;=I722),1),W$4:W1673))-K722),1,
ROUNDDOWN(Y722-INDEX(K$4:K1673,MATCH(LARGE(FILTER(I$4:I1673,I$4:I1673&lt;=W722),1),I$4:I1673))-(W722-LARGE(FILTER(I$4:I"&amp;"1673,I$4:I1673&lt;=W722),1))*INDEX(F$4:F1673,MATCH(LARGE(FILTER(I$4:I1673,I$4:I1673&lt;=W722),1),I$4:I1673))))"),"")</f>
        <v/>
      </c>
      <c r="N722" s="60" t="str">
        <f t="shared" si="8"/>
        <v/>
      </c>
      <c r="O722" s="61" t="str">
        <f t="shared" si="9"/>
        <v/>
      </c>
      <c r="P722" s="56" t="str">
        <f t="shared" si="10"/>
        <v/>
      </c>
      <c r="Q722" s="105"/>
      <c r="R722" s="10"/>
      <c r="S722" s="59" t="str">
        <f t="array" ref="S722">IF(COUNTA(Q722:Q1673)=0,"",SUM((COUNTIF(Q$4:Q722,Upgrades!$B$3:$B$13)-COUNTIF(Q$4:Q722,"Sell_"&amp;Upgrades!$B$3:$B$13))*Upgrades!$D$3:$D$13))</f>
        <v/>
      </c>
      <c r="T722" s="66" t="str">
        <f>IFERROR(__xludf.DUMMYFUNCTION("IF(COUNTA(Q722:Q1673)=0,"""",IF(REGEXMATCH(INDEX(FILTER(Q$4:Q722,Q$4:Q722&lt;&gt;""""),ROWS(FILTER(Q$4:Q722,Q$4:Q722&lt;&gt;""""))),""^Sell_""),INDEX(FILTER(T$4:T721,Q$4:Q721&lt;&gt;""""),ROWS(FILTER(Q$4:Q721,Q$4:Q721&lt;&gt;""""))),$AD$5+S722))"),"")</f>
        <v/>
      </c>
      <c r="U722" s="10" t="str">
        <f>IFERROR(__xludf.DUMMYFUNCTION("IF(COUNTA(Q722:Q1673)=0,"""",IF(Q722="""",0,IF(REGEXMATCH(Q722,""^Sell_""),-ROUNDDOWN(ROUNDUP(INDEX(Upgrades!$C$3:$C$13,MATCH(SUBSTITUTE(Q722,""Sell_"",""""),Upgrades!$B$3:$B$13,0))*1.15^(COUNTIF(Q$4:Q721,SUBSTITUTE(Q722,""Sell_"",""""))-COUNTIF(Q$4:Q721,"&amp;"""Sell_""&amp;SUBSTITUTE(Q722,""Sell_"",""""))))/2),ROUNDUP(INDEX(Upgrades!$C$3:$C$13,MATCH(Q722,Upgrades!$B$3:$B$13,0))*1.15^(COUNTIF(Q$4:Q721,Q722)-COUNTIF(Q$4:Q721,""Sell_""&amp;Q722))))))"),"")</f>
        <v/>
      </c>
      <c r="V722" s="10" t="str">
        <f t="shared" si="11"/>
        <v/>
      </c>
      <c r="W722" s="68" t="str">
        <f t="shared" si="12"/>
        <v/>
      </c>
      <c r="X722" s="59" t="str">
        <f t="shared" si="13"/>
        <v/>
      </c>
      <c r="Y722" s="69" t="str">
        <f t="shared" si="14"/>
        <v/>
      </c>
      <c r="Z722" s="11"/>
    </row>
    <row r="723">
      <c r="A723" s="8"/>
      <c r="B723" s="56" t="str">
        <f t="shared" si="2"/>
        <v/>
      </c>
      <c r="C723" s="105"/>
      <c r="D723" s="10"/>
      <c r="E723" s="59" t="str">
        <f t="array" ref="E723">IF(COUNTA(C723:C1673)=0,"",SUM((COUNTIF(C$4:C723,Upgrades!$B$3:$B$13)-COUNTIF(C$4:C723,"Sell_"&amp;Upgrades!$B$3:$B$13))*Upgrades!$D$3:$D$13))</f>
        <v/>
      </c>
      <c r="F723" s="66" t="str">
        <f>IFERROR(__xludf.DUMMYFUNCTION("IF(COUNTA(C723:C1673)=0,"""",IF(REGEXMATCH(INDEX(FILTER(C$4:C723,C$4:C723&lt;&gt;""""),ROWS(FILTER(C$4:C723,C$4:C723&lt;&gt;""""))),""^Sell_""),INDEX(FILTER(F$4:F722,C$4:C722&lt;&gt;""""),ROWS(FILTER(C$4:C722,C$4:C722&lt;&gt;""""))),$AC$5+E723))"),"")</f>
        <v/>
      </c>
      <c r="G723" s="10" t="str">
        <f>IFERROR(__xludf.DUMMYFUNCTION("IF(COUNTA(C723:C1673)=0,"""",IF(C723="""",0,IF(REGEXMATCH(C723,""^Sell_""),-ROUNDDOWN(ROUNDUP(INDEX(Upgrades!$C$3:$C$13,MATCH(SUBSTITUTE(C723,""Sell_"",""""),Upgrades!$B$3:$B$13,0))*1.15^(COUNTIF(C$4:C722,SUBSTITUTE(C723,""Sell_"",""""))-COUNTIF(C$4:C722,"&amp;"""Sell_""&amp;SUBSTITUTE(C723,""Sell_"",""""))))/2),ROUNDUP(INDEX(Upgrades!$C$3:$C$13,MATCH(C723,Upgrades!$B$3:$B$13,0))*1.15^(COUNTIF(C$4:C722,C723)-COUNTIF(C$4:C722,""Sell_""&amp;C723))))))"),"")</f>
        <v/>
      </c>
      <c r="H723" s="10" t="str">
        <f t="shared" si="3"/>
        <v/>
      </c>
      <c r="I723" s="68" t="str">
        <f t="shared" si="4"/>
        <v/>
      </c>
      <c r="J723" s="59" t="str">
        <f t="shared" si="5"/>
        <v/>
      </c>
      <c r="K723" s="69" t="str">
        <f t="shared" si="6"/>
        <v/>
      </c>
      <c r="L723" s="60" t="str">
        <f t="shared" si="7"/>
        <v/>
      </c>
      <c r="M723" s="61" t="str">
        <f>IFERROR(__xludf.DUMMYFUNCTION("IFS(AND(COUNTA(C723:C1673)=0,COUNTA(Q723:Q1673)=0),"""",OR(AND(K723&gt;=1000000000,OR(Y723&gt;=1000000000,COUNTA(Q723:Q1673)=0)),OR(Y723&gt;=1000000000,AND(COUNTA(C723:C1673)=0,P$3=TRUE))),
ROUNDDOWN((AB$1-AC$1)*MAX(INDEX(T$4:T1673,MATCH(LARGE(FILTER(Y$4:Y1673,Y$4"&amp;":Y1673&lt;1000000000),1),Y$4:Y1673)),INDEX(F$4:F1673,MATCH(LARGE(FILTER(K$4:K1673,K$4:K1673&lt;1000000000),1),K$4:K1673)))),AND(K723&lt;1000000000,COUNTA(C723:C1673)&gt;0,P$3=FALSE),
ROUNDDOWN(INDEX(Y$4:Y1673,MATCH(LARGE(FILTER(W$4:W1673,W$4:W1673&lt;=I723),1),W$4:W1673"&amp;"))+(I723-LARGE(FILTER(W$4:W1673,W$4:W1673&lt;=I723),1))*INDEX(T$4:T1673,MATCH(LARGE(FILTER(W$4:W1673,W$4:W1673&lt;=I723),1),W$4:W1673))-K723),1,
ROUNDDOWN(Y723-INDEX(K$4:K1673,MATCH(LARGE(FILTER(I$4:I1673,I$4:I1673&lt;=W723),1),I$4:I1673))-(W723-LARGE(FILTER(I$4:I"&amp;"1673,I$4:I1673&lt;=W723),1))*INDEX(F$4:F1673,MATCH(LARGE(FILTER(I$4:I1673,I$4:I1673&lt;=W723),1),I$4:I1673))))"),"")</f>
        <v/>
      </c>
      <c r="N723" s="60" t="str">
        <f t="shared" si="8"/>
        <v/>
      </c>
      <c r="O723" s="61" t="str">
        <f t="shared" si="9"/>
        <v/>
      </c>
      <c r="P723" s="56" t="str">
        <f t="shared" si="10"/>
        <v/>
      </c>
      <c r="Q723" s="105"/>
      <c r="R723" s="10"/>
      <c r="S723" s="59" t="str">
        <f t="array" ref="S723">IF(COUNTA(Q723:Q1673)=0,"",SUM((COUNTIF(Q$4:Q723,Upgrades!$B$3:$B$13)-COUNTIF(Q$4:Q723,"Sell_"&amp;Upgrades!$B$3:$B$13))*Upgrades!$D$3:$D$13))</f>
        <v/>
      </c>
      <c r="T723" s="66" t="str">
        <f>IFERROR(__xludf.DUMMYFUNCTION("IF(COUNTA(Q723:Q1673)=0,"""",IF(REGEXMATCH(INDEX(FILTER(Q$4:Q723,Q$4:Q723&lt;&gt;""""),ROWS(FILTER(Q$4:Q723,Q$4:Q723&lt;&gt;""""))),""^Sell_""),INDEX(FILTER(T$4:T722,Q$4:Q722&lt;&gt;""""),ROWS(FILTER(Q$4:Q722,Q$4:Q722&lt;&gt;""""))),$AD$5+S723))"),"")</f>
        <v/>
      </c>
      <c r="U723" s="10" t="str">
        <f>IFERROR(__xludf.DUMMYFUNCTION("IF(COUNTA(Q723:Q1673)=0,"""",IF(Q723="""",0,IF(REGEXMATCH(Q723,""^Sell_""),-ROUNDDOWN(ROUNDUP(INDEX(Upgrades!$C$3:$C$13,MATCH(SUBSTITUTE(Q723,""Sell_"",""""),Upgrades!$B$3:$B$13,0))*1.15^(COUNTIF(Q$4:Q722,SUBSTITUTE(Q723,""Sell_"",""""))-COUNTIF(Q$4:Q722,"&amp;"""Sell_""&amp;SUBSTITUTE(Q723,""Sell_"",""""))))/2),ROUNDUP(INDEX(Upgrades!$C$3:$C$13,MATCH(Q723,Upgrades!$B$3:$B$13,0))*1.15^(COUNTIF(Q$4:Q722,Q723)-COUNTIF(Q$4:Q722,""Sell_""&amp;Q723))))))"),"")</f>
        <v/>
      </c>
      <c r="V723" s="10" t="str">
        <f t="shared" si="11"/>
        <v/>
      </c>
      <c r="W723" s="68" t="str">
        <f t="shared" si="12"/>
        <v/>
      </c>
      <c r="X723" s="59" t="str">
        <f t="shared" si="13"/>
        <v/>
      </c>
      <c r="Y723" s="69" t="str">
        <f t="shared" si="14"/>
        <v/>
      </c>
      <c r="Z723" s="11"/>
    </row>
    <row r="724">
      <c r="A724" s="8"/>
      <c r="B724" s="56" t="str">
        <f t="shared" si="2"/>
        <v/>
      </c>
      <c r="C724" s="105"/>
      <c r="D724" s="10"/>
      <c r="E724" s="59" t="str">
        <f t="array" ref="E724">IF(COUNTA(C724:C1673)=0,"",SUM((COUNTIF(C$4:C724,Upgrades!$B$3:$B$13)-COUNTIF(C$4:C724,"Sell_"&amp;Upgrades!$B$3:$B$13))*Upgrades!$D$3:$D$13))</f>
        <v/>
      </c>
      <c r="F724" s="66" t="str">
        <f>IFERROR(__xludf.DUMMYFUNCTION("IF(COUNTA(C724:C1673)=0,"""",IF(REGEXMATCH(INDEX(FILTER(C$4:C724,C$4:C724&lt;&gt;""""),ROWS(FILTER(C$4:C724,C$4:C724&lt;&gt;""""))),""^Sell_""),INDEX(FILTER(F$4:F723,C$4:C723&lt;&gt;""""),ROWS(FILTER(C$4:C723,C$4:C723&lt;&gt;""""))),$AC$5+E724))"),"")</f>
        <v/>
      </c>
      <c r="G724" s="10" t="str">
        <f>IFERROR(__xludf.DUMMYFUNCTION("IF(COUNTA(C724:C1673)=0,"""",IF(C724="""",0,IF(REGEXMATCH(C724,""^Sell_""),-ROUNDDOWN(ROUNDUP(INDEX(Upgrades!$C$3:$C$13,MATCH(SUBSTITUTE(C724,""Sell_"",""""),Upgrades!$B$3:$B$13,0))*1.15^(COUNTIF(C$4:C723,SUBSTITUTE(C724,""Sell_"",""""))-COUNTIF(C$4:C723,"&amp;"""Sell_""&amp;SUBSTITUTE(C724,""Sell_"",""""))))/2),ROUNDUP(INDEX(Upgrades!$C$3:$C$13,MATCH(C724,Upgrades!$B$3:$B$13,0))*1.15^(COUNTIF(C$4:C723,C724)-COUNTIF(C$4:C723,""Sell_""&amp;C724))))))"),"")</f>
        <v/>
      </c>
      <c r="H724" s="10" t="str">
        <f t="shared" si="3"/>
        <v/>
      </c>
      <c r="I724" s="68" t="str">
        <f t="shared" si="4"/>
        <v/>
      </c>
      <c r="J724" s="59" t="str">
        <f t="shared" si="5"/>
        <v/>
      </c>
      <c r="K724" s="69" t="str">
        <f t="shared" si="6"/>
        <v/>
      </c>
      <c r="L724" s="60" t="str">
        <f t="shared" si="7"/>
        <v/>
      </c>
      <c r="M724" s="61" t="str">
        <f>IFERROR(__xludf.DUMMYFUNCTION("IFS(AND(COUNTA(C724:C1673)=0,COUNTA(Q724:Q1673)=0),"""",OR(AND(K724&gt;=1000000000,OR(Y724&gt;=1000000000,COUNTA(Q724:Q1673)=0)),OR(Y724&gt;=1000000000,AND(COUNTA(C724:C1673)=0,P$3=TRUE))),
ROUNDDOWN((AB$1-AC$1)*MAX(INDEX(T$4:T1673,MATCH(LARGE(FILTER(Y$4:Y1673,Y$4"&amp;":Y1673&lt;1000000000),1),Y$4:Y1673)),INDEX(F$4:F1673,MATCH(LARGE(FILTER(K$4:K1673,K$4:K1673&lt;1000000000),1),K$4:K1673)))),AND(K724&lt;1000000000,COUNTA(C724:C1673)&gt;0,P$3=FALSE),
ROUNDDOWN(INDEX(Y$4:Y1673,MATCH(LARGE(FILTER(W$4:W1673,W$4:W1673&lt;=I724),1),W$4:W1673"&amp;"))+(I724-LARGE(FILTER(W$4:W1673,W$4:W1673&lt;=I724),1))*INDEX(T$4:T1673,MATCH(LARGE(FILTER(W$4:W1673,W$4:W1673&lt;=I724),1),W$4:W1673))-K724),1,
ROUNDDOWN(Y724-INDEX(K$4:K1673,MATCH(LARGE(FILTER(I$4:I1673,I$4:I1673&lt;=W724),1),I$4:I1673))-(W724-LARGE(FILTER(I$4:I"&amp;"1673,I$4:I1673&lt;=W724),1))*INDEX(F$4:F1673,MATCH(LARGE(FILTER(I$4:I1673,I$4:I1673&lt;=W724),1),I$4:I1673))))"),"")</f>
        <v/>
      </c>
      <c r="N724" s="60" t="str">
        <f t="shared" si="8"/>
        <v/>
      </c>
      <c r="O724" s="61" t="str">
        <f t="shared" si="9"/>
        <v/>
      </c>
      <c r="P724" s="56" t="str">
        <f t="shared" si="10"/>
        <v/>
      </c>
      <c r="Q724" s="105"/>
      <c r="R724" s="10"/>
      <c r="S724" s="59" t="str">
        <f t="array" ref="S724">IF(COUNTA(Q724:Q1673)=0,"",SUM((COUNTIF(Q$4:Q724,Upgrades!$B$3:$B$13)-COUNTIF(Q$4:Q724,"Sell_"&amp;Upgrades!$B$3:$B$13))*Upgrades!$D$3:$D$13))</f>
        <v/>
      </c>
      <c r="T724" s="66" t="str">
        <f>IFERROR(__xludf.DUMMYFUNCTION("IF(COUNTA(Q724:Q1673)=0,"""",IF(REGEXMATCH(INDEX(FILTER(Q$4:Q724,Q$4:Q724&lt;&gt;""""),ROWS(FILTER(Q$4:Q724,Q$4:Q724&lt;&gt;""""))),""^Sell_""),INDEX(FILTER(T$4:T723,Q$4:Q723&lt;&gt;""""),ROWS(FILTER(Q$4:Q723,Q$4:Q723&lt;&gt;""""))),$AD$5+S724))"),"")</f>
        <v/>
      </c>
      <c r="U724" s="10" t="str">
        <f>IFERROR(__xludf.DUMMYFUNCTION("IF(COUNTA(Q724:Q1673)=0,"""",IF(Q724="""",0,IF(REGEXMATCH(Q724,""^Sell_""),-ROUNDDOWN(ROUNDUP(INDEX(Upgrades!$C$3:$C$13,MATCH(SUBSTITUTE(Q724,""Sell_"",""""),Upgrades!$B$3:$B$13,0))*1.15^(COUNTIF(Q$4:Q723,SUBSTITUTE(Q724,""Sell_"",""""))-COUNTIF(Q$4:Q723,"&amp;"""Sell_""&amp;SUBSTITUTE(Q724,""Sell_"",""""))))/2),ROUNDUP(INDEX(Upgrades!$C$3:$C$13,MATCH(Q724,Upgrades!$B$3:$B$13,0))*1.15^(COUNTIF(Q$4:Q723,Q724)-COUNTIF(Q$4:Q723,""Sell_""&amp;Q724))))))"),"")</f>
        <v/>
      </c>
      <c r="V724" s="10" t="str">
        <f t="shared" si="11"/>
        <v/>
      </c>
      <c r="W724" s="68" t="str">
        <f t="shared" si="12"/>
        <v/>
      </c>
      <c r="X724" s="59" t="str">
        <f t="shared" si="13"/>
        <v/>
      </c>
      <c r="Y724" s="69" t="str">
        <f t="shared" si="14"/>
        <v/>
      </c>
      <c r="Z724" s="11"/>
    </row>
    <row r="725">
      <c r="A725" s="8"/>
      <c r="B725" s="56" t="str">
        <f t="shared" si="2"/>
        <v/>
      </c>
      <c r="C725" s="105"/>
      <c r="D725" s="10"/>
      <c r="E725" s="59" t="str">
        <f t="array" ref="E725">IF(COUNTA(C725:C1673)=0,"",SUM((COUNTIF(C$4:C725,Upgrades!$B$3:$B$13)-COUNTIF(C$4:C725,"Sell_"&amp;Upgrades!$B$3:$B$13))*Upgrades!$D$3:$D$13))</f>
        <v/>
      </c>
      <c r="F725" s="66" t="str">
        <f>IFERROR(__xludf.DUMMYFUNCTION("IF(COUNTA(C725:C1673)=0,"""",IF(REGEXMATCH(INDEX(FILTER(C$4:C725,C$4:C725&lt;&gt;""""),ROWS(FILTER(C$4:C725,C$4:C725&lt;&gt;""""))),""^Sell_""),INDEX(FILTER(F$4:F724,C$4:C724&lt;&gt;""""),ROWS(FILTER(C$4:C724,C$4:C724&lt;&gt;""""))),$AC$5+E725))"),"")</f>
        <v/>
      </c>
      <c r="G725" s="10" t="str">
        <f>IFERROR(__xludf.DUMMYFUNCTION("IF(COUNTA(C725:C1673)=0,"""",IF(C725="""",0,IF(REGEXMATCH(C725,""^Sell_""),-ROUNDDOWN(ROUNDUP(INDEX(Upgrades!$C$3:$C$13,MATCH(SUBSTITUTE(C725,""Sell_"",""""),Upgrades!$B$3:$B$13,0))*1.15^(COUNTIF(C$4:C724,SUBSTITUTE(C725,""Sell_"",""""))-COUNTIF(C$4:C724,"&amp;"""Sell_""&amp;SUBSTITUTE(C725,""Sell_"",""""))))/2),ROUNDUP(INDEX(Upgrades!$C$3:$C$13,MATCH(C725,Upgrades!$B$3:$B$13,0))*1.15^(COUNTIF(C$4:C724,C725)-COUNTIF(C$4:C724,""Sell_""&amp;C725))))))"),"")</f>
        <v/>
      </c>
      <c r="H725" s="10" t="str">
        <f t="shared" si="3"/>
        <v/>
      </c>
      <c r="I725" s="68" t="str">
        <f t="shared" si="4"/>
        <v/>
      </c>
      <c r="J725" s="59" t="str">
        <f t="shared" si="5"/>
        <v/>
      </c>
      <c r="K725" s="69" t="str">
        <f t="shared" si="6"/>
        <v/>
      </c>
      <c r="L725" s="60" t="str">
        <f t="shared" si="7"/>
        <v/>
      </c>
      <c r="M725" s="61" t="str">
        <f>IFERROR(__xludf.DUMMYFUNCTION("IFS(AND(COUNTA(C725:C1673)=0,COUNTA(Q725:Q1673)=0),"""",OR(AND(K725&gt;=1000000000,OR(Y725&gt;=1000000000,COUNTA(Q725:Q1673)=0)),OR(Y725&gt;=1000000000,AND(COUNTA(C725:C1673)=0,P$3=TRUE))),
ROUNDDOWN((AB$1-AC$1)*MAX(INDEX(T$4:T1673,MATCH(LARGE(FILTER(Y$4:Y1673,Y$4"&amp;":Y1673&lt;1000000000),1),Y$4:Y1673)),INDEX(F$4:F1673,MATCH(LARGE(FILTER(K$4:K1673,K$4:K1673&lt;1000000000),1),K$4:K1673)))),AND(K725&lt;1000000000,COUNTA(C725:C1673)&gt;0,P$3=FALSE),
ROUNDDOWN(INDEX(Y$4:Y1673,MATCH(LARGE(FILTER(W$4:W1673,W$4:W1673&lt;=I725),1),W$4:W1673"&amp;"))+(I725-LARGE(FILTER(W$4:W1673,W$4:W1673&lt;=I725),1))*INDEX(T$4:T1673,MATCH(LARGE(FILTER(W$4:W1673,W$4:W1673&lt;=I725),1),W$4:W1673))-K725),1,
ROUNDDOWN(Y725-INDEX(K$4:K1673,MATCH(LARGE(FILTER(I$4:I1673,I$4:I1673&lt;=W725),1),I$4:I1673))-(W725-LARGE(FILTER(I$4:I"&amp;"1673,I$4:I1673&lt;=W725),1))*INDEX(F$4:F1673,MATCH(LARGE(FILTER(I$4:I1673,I$4:I1673&lt;=W725),1),I$4:I1673))))"),"")</f>
        <v/>
      </c>
      <c r="N725" s="60" t="str">
        <f t="shared" si="8"/>
        <v/>
      </c>
      <c r="O725" s="61" t="str">
        <f t="shared" si="9"/>
        <v/>
      </c>
      <c r="P725" s="56" t="str">
        <f t="shared" si="10"/>
        <v/>
      </c>
      <c r="Q725" s="105"/>
      <c r="R725" s="10"/>
      <c r="S725" s="59" t="str">
        <f t="array" ref="S725">IF(COUNTA(Q725:Q1673)=0,"",SUM((COUNTIF(Q$4:Q725,Upgrades!$B$3:$B$13)-COUNTIF(Q$4:Q725,"Sell_"&amp;Upgrades!$B$3:$B$13))*Upgrades!$D$3:$D$13))</f>
        <v/>
      </c>
      <c r="T725" s="66" t="str">
        <f>IFERROR(__xludf.DUMMYFUNCTION("IF(COUNTA(Q725:Q1673)=0,"""",IF(REGEXMATCH(INDEX(FILTER(Q$4:Q725,Q$4:Q725&lt;&gt;""""),ROWS(FILTER(Q$4:Q725,Q$4:Q725&lt;&gt;""""))),""^Sell_""),INDEX(FILTER(T$4:T724,Q$4:Q724&lt;&gt;""""),ROWS(FILTER(Q$4:Q724,Q$4:Q724&lt;&gt;""""))),$AD$5+S725))"),"")</f>
        <v/>
      </c>
      <c r="U725" s="10" t="str">
        <f>IFERROR(__xludf.DUMMYFUNCTION("IF(COUNTA(Q725:Q1673)=0,"""",IF(Q725="""",0,IF(REGEXMATCH(Q725,""^Sell_""),-ROUNDDOWN(ROUNDUP(INDEX(Upgrades!$C$3:$C$13,MATCH(SUBSTITUTE(Q725,""Sell_"",""""),Upgrades!$B$3:$B$13,0))*1.15^(COUNTIF(Q$4:Q724,SUBSTITUTE(Q725,""Sell_"",""""))-COUNTIF(Q$4:Q724,"&amp;"""Sell_""&amp;SUBSTITUTE(Q725,""Sell_"",""""))))/2),ROUNDUP(INDEX(Upgrades!$C$3:$C$13,MATCH(Q725,Upgrades!$B$3:$B$13,0))*1.15^(COUNTIF(Q$4:Q724,Q725)-COUNTIF(Q$4:Q724,""Sell_""&amp;Q725))))))"),"")</f>
        <v/>
      </c>
      <c r="V725" s="10" t="str">
        <f t="shared" si="11"/>
        <v/>
      </c>
      <c r="W725" s="68" t="str">
        <f t="shared" si="12"/>
        <v/>
      </c>
      <c r="X725" s="59" t="str">
        <f t="shared" si="13"/>
        <v/>
      </c>
      <c r="Y725" s="69" t="str">
        <f t="shared" si="14"/>
        <v/>
      </c>
      <c r="Z725" s="11"/>
    </row>
    <row r="726">
      <c r="A726" s="8"/>
      <c r="B726" s="56" t="str">
        <f t="shared" si="2"/>
        <v/>
      </c>
      <c r="C726" s="105"/>
      <c r="D726" s="10"/>
      <c r="E726" s="59" t="str">
        <f t="array" ref="E726">IF(COUNTA(C726:C1673)=0,"",SUM((COUNTIF(C$4:C726,Upgrades!$B$3:$B$13)-COUNTIF(C$4:C726,"Sell_"&amp;Upgrades!$B$3:$B$13))*Upgrades!$D$3:$D$13))</f>
        <v/>
      </c>
      <c r="F726" s="66" t="str">
        <f>IFERROR(__xludf.DUMMYFUNCTION("IF(COUNTA(C726:C1673)=0,"""",IF(REGEXMATCH(INDEX(FILTER(C$4:C726,C$4:C726&lt;&gt;""""),ROWS(FILTER(C$4:C726,C$4:C726&lt;&gt;""""))),""^Sell_""),INDEX(FILTER(F$4:F725,C$4:C725&lt;&gt;""""),ROWS(FILTER(C$4:C725,C$4:C725&lt;&gt;""""))),$AC$5+E726))"),"")</f>
        <v/>
      </c>
      <c r="G726" s="10" t="str">
        <f>IFERROR(__xludf.DUMMYFUNCTION("IF(COUNTA(C726:C1673)=0,"""",IF(C726="""",0,IF(REGEXMATCH(C726,""^Sell_""),-ROUNDDOWN(ROUNDUP(INDEX(Upgrades!$C$3:$C$13,MATCH(SUBSTITUTE(C726,""Sell_"",""""),Upgrades!$B$3:$B$13,0))*1.15^(COUNTIF(C$4:C725,SUBSTITUTE(C726,""Sell_"",""""))-COUNTIF(C$4:C725,"&amp;"""Sell_""&amp;SUBSTITUTE(C726,""Sell_"",""""))))/2),ROUNDUP(INDEX(Upgrades!$C$3:$C$13,MATCH(C726,Upgrades!$B$3:$B$13,0))*1.15^(COUNTIF(C$4:C725,C726)-COUNTIF(C$4:C725,""Sell_""&amp;C726))))))"),"")</f>
        <v/>
      </c>
      <c r="H726" s="10" t="str">
        <f t="shared" si="3"/>
        <v/>
      </c>
      <c r="I726" s="68" t="str">
        <f t="shared" si="4"/>
        <v/>
      </c>
      <c r="J726" s="59" t="str">
        <f t="shared" si="5"/>
        <v/>
      </c>
      <c r="K726" s="69" t="str">
        <f t="shared" si="6"/>
        <v/>
      </c>
      <c r="L726" s="60" t="str">
        <f t="shared" si="7"/>
        <v/>
      </c>
      <c r="M726" s="61" t="str">
        <f>IFERROR(__xludf.DUMMYFUNCTION("IFS(AND(COUNTA(C726:C1673)=0,COUNTA(Q726:Q1673)=0),"""",OR(AND(K726&gt;=1000000000,OR(Y726&gt;=1000000000,COUNTA(Q726:Q1673)=0)),OR(Y726&gt;=1000000000,AND(COUNTA(C726:C1673)=0,P$3=TRUE))),
ROUNDDOWN((AB$1-AC$1)*MAX(INDEX(T$4:T1673,MATCH(LARGE(FILTER(Y$4:Y1673,Y$4"&amp;":Y1673&lt;1000000000),1),Y$4:Y1673)),INDEX(F$4:F1673,MATCH(LARGE(FILTER(K$4:K1673,K$4:K1673&lt;1000000000),1),K$4:K1673)))),AND(K726&lt;1000000000,COUNTA(C726:C1673)&gt;0,P$3=FALSE),
ROUNDDOWN(INDEX(Y$4:Y1673,MATCH(LARGE(FILTER(W$4:W1673,W$4:W1673&lt;=I726),1),W$4:W1673"&amp;"))+(I726-LARGE(FILTER(W$4:W1673,W$4:W1673&lt;=I726),1))*INDEX(T$4:T1673,MATCH(LARGE(FILTER(W$4:W1673,W$4:W1673&lt;=I726),1),W$4:W1673))-K726),1,
ROUNDDOWN(Y726-INDEX(K$4:K1673,MATCH(LARGE(FILTER(I$4:I1673,I$4:I1673&lt;=W726),1),I$4:I1673))-(W726-LARGE(FILTER(I$4:I"&amp;"1673,I$4:I1673&lt;=W726),1))*INDEX(F$4:F1673,MATCH(LARGE(FILTER(I$4:I1673,I$4:I1673&lt;=W726),1),I$4:I1673))))"),"")</f>
        <v/>
      </c>
      <c r="N726" s="60" t="str">
        <f t="shared" si="8"/>
        <v/>
      </c>
      <c r="O726" s="61" t="str">
        <f t="shared" si="9"/>
        <v/>
      </c>
      <c r="P726" s="56" t="str">
        <f t="shared" si="10"/>
        <v/>
      </c>
      <c r="Q726" s="105"/>
      <c r="R726" s="10"/>
      <c r="S726" s="59" t="str">
        <f t="array" ref="S726">IF(COUNTA(Q726:Q1673)=0,"",SUM((COUNTIF(Q$4:Q726,Upgrades!$B$3:$B$13)-COUNTIF(Q$4:Q726,"Sell_"&amp;Upgrades!$B$3:$B$13))*Upgrades!$D$3:$D$13))</f>
        <v/>
      </c>
      <c r="T726" s="66" t="str">
        <f>IFERROR(__xludf.DUMMYFUNCTION("IF(COUNTA(Q726:Q1673)=0,"""",IF(REGEXMATCH(INDEX(FILTER(Q$4:Q726,Q$4:Q726&lt;&gt;""""),ROWS(FILTER(Q$4:Q726,Q$4:Q726&lt;&gt;""""))),""^Sell_""),INDEX(FILTER(T$4:T725,Q$4:Q725&lt;&gt;""""),ROWS(FILTER(Q$4:Q725,Q$4:Q725&lt;&gt;""""))),$AD$5+S726))"),"")</f>
        <v/>
      </c>
      <c r="U726" s="10" t="str">
        <f>IFERROR(__xludf.DUMMYFUNCTION("IF(COUNTA(Q726:Q1673)=0,"""",IF(Q726="""",0,IF(REGEXMATCH(Q726,""^Sell_""),-ROUNDDOWN(ROUNDUP(INDEX(Upgrades!$C$3:$C$13,MATCH(SUBSTITUTE(Q726,""Sell_"",""""),Upgrades!$B$3:$B$13,0))*1.15^(COUNTIF(Q$4:Q725,SUBSTITUTE(Q726,""Sell_"",""""))-COUNTIF(Q$4:Q725,"&amp;"""Sell_""&amp;SUBSTITUTE(Q726,""Sell_"",""""))))/2),ROUNDUP(INDEX(Upgrades!$C$3:$C$13,MATCH(Q726,Upgrades!$B$3:$B$13,0))*1.15^(COUNTIF(Q$4:Q725,Q726)-COUNTIF(Q$4:Q725,""Sell_""&amp;Q726))))))"),"")</f>
        <v/>
      </c>
      <c r="V726" s="10" t="str">
        <f t="shared" si="11"/>
        <v/>
      </c>
      <c r="W726" s="68" t="str">
        <f t="shared" si="12"/>
        <v/>
      </c>
      <c r="X726" s="59" t="str">
        <f t="shared" si="13"/>
        <v/>
      </c>
      <c r="Y726" s="69" t="str">
        <f t="shared" si="14"/>
        <v/>
      </c>
      <c r="Z726" s="11"/>
    </row>
    <row r="727">
      <c r="A727" s="8"/>
      <c r="B727" s="56" t="str">
        <f t="shared" si="2"/>
        <v/>
      </c>
      <c r="C727" s="105"/>
      <c r="D727" s="10"/>
      <c r="E727" s="59" t="str">
        <f t="array" ref="E727">IF(COUNTA(C727:C1673)=0,"",SUM((COUNTIF(C$4:C727,Upgrades!$B$3:$B$13)-COUNTIF(C$4:C727,"Sell_"&amp;Upgrades!$B$3:$B$13))*Upgrades!$D$3:$D$13))</f>
        <v/>
      </c>
      <c r="F727" s="66" t="str">
        <f>IFERROR(__xludf.DUMMYFUNCTION("IF(COUNTA(C727:C1673)=0,"""",IF(REGEXMATCH(INDEX(FILTER(C$4:C727,C$4:C727&lt;&gt;""""),ROWS(FILTER(C$4:C727,C$4:C727&lt;&gt;""""))),""^Sell_""),INDEX(FILTER(F$4:F726,C$4:C726&lt;&gt;""""),ROWS(FILTER(C$4:C726,C$4:C726&lt;&gt;""""))),$AC$5+E727))"),"")</f>
        <v/>
      </c>
      <c r="G727" s="10" t="str">
        <f>IFERROR(__xludf.DUMMYFUNCTION("IF(COUNTA(C727:C1673)=0,"""",IF(C727="""",0,IF(REGEXMATCH(C727,""^Sell_""),-ROUNDDOWN(ROUNDUP(INDEX(Upgrades!$C$3:$C$13,MATCH(SUBSTITUTE(C727,""Sell_"",""""),Upgrades!$B$3:$B$13,0))*1.15^(COUNTIF(C$4:C726,SUBSTITUTE(C727,""Sell_"",""""))-COUNTIF(C$4:C726,"&amp;"""Sell_""&amp;SUBSTITUTE(C727,""Sell_"",""""))))/2),ROUNDUP(INDEX(Upgrades!$C$3:$C$13,MATCH(C727,Upgrades!$B$3:$B$13,0))*1.15^(COUNTIF(C$4:C726,C727)-COUNTIF(C$4:C726,""Sell_""&amp;C727))))))"),"")</f>
        <v/>
      </c>
      <c r="H727" s="10" t="str">
        <f t="shared" si="3"/>
        <v/>
      </c>
      <c r="I727" s="68" t="str">
        <f t="shared" si="4"/>
        <v/>
      </c>
      <c r="J727" s="59" t="str">
        <f t="shared" si="5"/>
        <v/>
      </c>
      <c r="K727" s="69" t="str">
        <f t="shared" si="6"/>
        <v/>
      </c>
      <c r="L727" s="60" t="str">
        <f t="shared" si="7"/>
        <v/>
      </c>
      <c r="M727" s="61" t="str">
        <f>IFERROR(__xludf.DUMMYFUNCTION("IFS(AND(COUNTA(C727:C1673)=0,COUNTA(Q727:Q1673)=0),"""",OR(AND(K727&gt;=1000000000,OR(Y727&gt;=1000000000,COUNTA(Q727:Q1673)=0)),OR(Y727&gt;=1000000000,AND(COUNTA(C727:C1673)=0,P$3=TRUE))),
ROUNDDOWN((AB$1-AC$1)*MAX(INDEX(T$4:T1673,MATCH(LARGE(FILTER(Y$4:Y1673,Y$4"&amp;":Y1673&lt;1000000000),1),Y$4:Y1673)),INDEX(F$4:F1673,MATCH(LARGE(FILTER(K$4:K1673,K$4:K1673&lt;1000000000),1),K$4:K1673)))),AND(K727&lt;1000000000,COUNTA(C727:C1673)&gt;0,P$3=FALSE),
ROUNDDOWN(INDEX(Y$4:Y1673,MATCH(LARGE(FILTER(W$4:W1673,W$4:W1673&lt;=I727),1),W$4:W1673"&amp;"))+(I727-LARGE(FILTER(W$4:W1673,W$4:W1673&lt;=I727),1))*INDEX(T$4:T1673,MATCH(LARGE(FILTER(W$4:W1673,W$4:W1673&lt;=I727),1),W$4:W1673))-K727),1,
ROUNDDOWN(Y727-INDEX(K$4:K1673,MATCH(LARGE(FILTER(I$4:I1673,I$4:I1673&lt;=W727),1),I$4:I1673))-(W727-LARGE(FILTER(I$4:I"&amp;"1673,I$4:I1673&lt;=W727),1))*INDEX(F$4:F1673,MATCH(LARGE(FILTER(I$4:I1673,I$4:I1673&lt;=W727),1),I$4:I1673))))"),"")</f>
        <v/>
      </c>
      <c r="N727" s="60" t="str">
        <f t="shared" si="8"/>
        <v/>
      </c>
      <c r="O727" s="61" t="str">
        <f t="shared" si="9"/>
        <v/>
      </c>
      <c r="P727" s="56" t="str">
        <f t="shared" si="10"/>
        <v/>
      </c>
      <c r="Q727" s="105"/>
      <c r="R727" s="10"/>
      <c r="S727" s="59" t="str">
        <f t="array" ref="S727">IF(COUNTA(Q727:Q1673)=0,"",SUM((COUNTIF(Q$4:Q727,Upgrades!$B$3:$B$13)-COUNTIF(Q$4:Q727,"Sell_"&amp;Upgrades!$B$3:$B$13))*Upgrades!$D$3:$D$13))</f>
        <v/>
      </c>
      <c r="T727" s="66" t="str">
        <f>IFERROR(__xludf.DUMMYFUNCTION("IF(COUNTA(Q727:Q1673)=0,"""",IF(REGEXMATCH(INDEX(FILTER(Q$4:Q727,Q$4:Q727&lt;&gt;""""),ROWS(FILTER(Q$4:Q727,Q$4:Q727&lt;&gt;""""))),""^Sell_""),INDEX(FILTER(T$4:T726,Q$4:Q726&lt;&gt;""""),ROWS(FILTER(Q$4:Q726,Q$4:Q726&lt;&gt;""""))),$AD$5+S727))"),"")</f>
        <v/>
      </c>
      <c r="U727" s="10" t="str">
        <f>IFERROR(__xludf.DUMMYFUNCTION("IF(COUNTA(Q727:Q1673)=0,"""",IF(Q727="""",0,IF(REGEXMATCH(Q727,""^Sell_""),-ROUNDDOWN(ROUNDUP(INDEX(Upgrades!$C$3:$C$13,MATCH(SUBSTITUTE(Q727,""Sell_"",""""),Upgrades!$B$3:$B$13,0))*1.15^(COUNTIF(Q$4:Q726,SUBSTITUTE(Q727,""Sell_"",""""))-COUNTIF(Q$4:Q726,"&amp;"""Sell_""&amp;SUBSTITUTE(Q727,""Sell_"",""""))))/2),ROUNDUP(INDEX(Upgrades!$C$3:$C$13,MATCH(Q727,Upgrades!$B$3:$B$13,0))*1.15^(COUNTIF(Q$4:Q726,Q727)-COUNTIF(Q$4:Q726,""Sell_""&amp;Q727))))))"),"")</f>
        <v/>
      </c>
      <c r="V727" s="10" t="str">
        <f t="shared" si="11"/>
        <v/>
      </c>
      <c r="W727" s="68" t="str">
        <f t="shared" si="12"/>
        <v/>
      </c>
      <c r="X727" s="59" t="str">
        <f t="shared" si="13"/>
        <v/>
      </c>
      <c r="Y727" s="69" t="str">
        <f t="shared" si="14"/>
        <v/>
      </c>
      <c r="Z727" s="11"/>
    </row>
    <row r="728">
      <c r="A728" s="8"/>
      <c r="B728" s="56" t="str">
        <f t="shared" si="2"/>
        <v/>
      </c>
      <c r="C728" s="105"/>
      <c r="D728" s="10"/>
      <c r="E728" s="59" t="str">
        <f t="array" ref="E728">IF(COUNTA(C728:C1673)=0,"",SUM((COUNTIF(C$4:C728,Upgrades!$B$3:$B$13)-COUNTIF(C$4:C728,"Sell_"&amp;Upgrades!$B$3:$B$13))*Upgrades!$D$3:$D$13))</f>
        <v/>
      </c>
      <c r="F728" s="66" t="str">
        <f>IFERROR(__xludf.DUMMYFUNCTION("IF(COUNTA(C728:C1673)=0,"""",IF(REGEXMATCH(INDEX(FILTER(C$4:C728,C$4:C728&lt;&gt;""""),ROWS(FILTER(C$4:C728,C$4:C728&lt;&gt;""""))),""^Sell_""),INDEX(FILTER(F$4:F727,C$4:C727&lt;&gt;""""),ROWS(FILTER(C$4:C727,C$4:C727&lt;&gt;""""))),$AC$5+E728))"),"")</f>
        <v/>
      </c>
      <c r="G728" s="10" t="str">
        <f>IFERROR(__xludf.DUMMYFUNCTION("IF(COUNTA(C728:C1673)=0,"""",IF(C728="""",0,IF(REGEXMATCH(C728,""^Sell_""),-ROUNDDOWN(ROUNDUP(INDEX(Upgrades!$C$3:$C$13,MATCH(SUBSTITUTE(C728,""Sell_"",""""),Upgrades!$B$3:$B$13,0))*1.15^(COUNTIF(C$4:C727,SUBSTITUTE(C728,""Sell_"",""""))-COUNTIF(C$4:C727,"&amp;"""Sell_""&amp;SUBSTITUTE(C728,""Sell_"",""""))))/2),ROUNDUP(INDEX(Upgrades!$C$3:$C$13,MATCH(C728,Upgrades!$B$3:$B$13,0))*1.15^(COUNTIF(C$4:C727,C728)-COUNTIF(C$4:C727,""Sell_""&amp;C728))))))"),"")</f>
        <v/>
      </c>
      <c r="H728" s="10" t="str">
        <f t="shared" si="3"/>
        <v/>
      </c>
      <c r="I728" s="68" t="str">
        <f t="shared" si="4"/>
        <v/>
      </c>
      <c r="J728" s="59" t="str">
        <f t="shared" si="5"/>
        <v/>
      </c>
      <c r="K728" s="69" t="str">
        <f t="shared" si="6"/>
        <v/>
      </c>
      <c r="L728" s="60" t="str">
        <f t="shared" si="7"/>
        <v/>
      </c>
      <c r="M728" s="61" t="str">
        <f>IFERROR(__xludf.DUMMYFUNCTION("IFS(AND(COUNTA(C728:C1673)=0,COUNTA(Q728:Q1673)=0),"""",OR(AND(K728&gt;=1000000000,OR(Y728&gt;=1000000000,COUNTA(Q728:Q1673)=0)),OR(Y728&gt;=1000000000,AND(COUNTA(C728:C1673)=0,P$3=TRUE))),
ROUNDDOWN((AB$1-AC$1)*MAX(INDEX(T$4:T1673,MATCH(LARGE(FILTER(Y$4:Y1673,Y$4"&amp;":Y1673&lt;1000000000),1),Y$4:Y1673)),INDEX(F$4:F1673,MATCH(LARGE(FILTER(K$4:K1673,K$4:K1673&lt;1000000000),1),K$4:K1673)))),AND(K728&lt;1000000000,COUNTA(C728:C1673)&gt;0,P$3=FALSE),
ROUNDDOWN(INDEX(Y$4:Y1673,MATCH(LARGE(FILTER(W$4:W1673,W$4:W1673&lt;=I728),1),W$4:W1673"&amp;"))+(I728-LARGE(FILTER(W$4:W1673,W$4:W1673&lt;=I728),1))*INDEX(T$4:T1673,MATCH(LARGE(FILTER(W$4:W1673,W$4:W1673&lt;=I728),1),W$4:W1673))-K728),1,
ROUNDDOWN(Y728-INDEX(K$4:K1673,MATCH(LARGE(FILTER(I$4:I1673,I$4:I1673&lt;=W728),1),I$4:I1673))-(W728-LARGE(FILTER(I$4:I"&amp;"1673,I$4:I1673&lt;=W728),1))*INDEX(F$4:F1673,MATCH(LARGE(FILTER(I$4:I1673,I$4:I1673&lt;=W728),1),I$4:I1673))))"),"")</f>
        <v/>
      </c>
      <c r="N728" s="60" t="str">
        <f t="shared" si="8"/>
        <v/>
      </c>
      <c r="O728" s="61" t="str">
        <f t="shared" si="9"/>
        <v/>
      </c>
      <c r="P728" s="56" t="str">
        <f t="shared" si="10"/>
        <v/>
      </c>
      <c r="Q728" s="105"/>
      <c r="R728" s="10"/>
      <c r="S728" s="59" t="str">
        <f t="array" ref="S728">IF(COUNTA(Q728:Q1673)=0,"",SUM((COUNTIF(Q$4:Q728,Upgrades!$B$3:$B$13)-COUNTIF(Q$4:Q728,"Sell_"&amp;Upgrades!$B$3:$B$13))*Upgrades!$D$3:$D$13))</f>
        <v/>
      </c>
      <c r="T728" s="66" t="str">
        <f>IFERROR(__xludf.DUMMYFUNCTION("IF(COUNTA(Q728:Q1673)=0,"""",IF(REGEXMATCH(INDEX(FILTER(Q$4:Q728,Q$4:Q728&lt;&gt;""""),ROWS(FILTER(Q$4:Q728,Q$4:Q728&lt;&gt;""""))),""^Sell_""),INDEX(FILTER(T$4:T727,Q$4:Q727&lt;&gt;""""),ROWS(FILTER(Q$4:Q727,Q$4:Q727&lt;&gt;""""))),$AD$5+S728))"),"")</f>
        <v/>
      </c>
      <c r="U728" s="10" t="str">
        <f>IFERROR(__xludf.DUMMYFUNCTION("IF(COUNTA(Q728:Q1673)=0,"""",IF(Q728="""",0,IF(REGEXMATCH(Q728,""^Sell_""),-ROUNDDOWN(ROUNDUP(INDEX(Upgrades!$C$3:$C$13,MATCH(SUBSTITUTE(Q728,""Sell_"",""""),Upgrades!$B$3:$B$13,0))*1.15^(COUNTIF(Q$4:Q727,SUBSTITUTE(Q728,""Sell_"",""""))-COUNTIF(Q$4:Q727,"&amp;"""Sell_""&amp;SUBSTITUTE(Q728,""Sell_"",""""))))/2),ROUNDUP(INDEX(Upgrades!$C$3:$C$13,MATCH(Q728,Upgrades!$B$3:$B$13,0))*1.15^(COUNTIF(Q$4:Q727,Q728)-COUNTIF(Q$4:Q727,""Sell_""&amp;Q728))))))"),"")</f>
        <v/>
      </c>
      <c r="V728" s="10" t="str">
        <f t="shared" si="11"/>
        <v/>
      </c>
      <c r="W728" s="68" t="str">
        <f t="shared" si="12"/>
        <v/>
      </c>
      <c r="X728" s="59" t="str">
        <f t="shared" si="13"/>
        <v/>
      </c>
      <c r="Y728" s="69" t="str">
        <f t="shared" si="14"/>
        <v/>
      </c>
      <c r="Z728" s="11"/>
    </row>
    <row r="729">
      <c r="A729" s="8"/>
      <c r="B729" s="56" t="str">
        <f t="shared" si="2"/>
        <v/>
      </c>
      <c r="C729" s="105"/>
      <c r="D729" s="10"/>
      <c r="E729" s="59" t="str">
        <f t="array" ref="E729">IF(COUNTA(C729:C1673)=0,"",SUM((COUNTIF(C$4:C729,Upgrades!$B$3:$B$13)-COUNTIF(C$4:C729,"Sell_"&amp;Upgrades!$B$3:$B$13))*Upgrades!$D$3:$D$13))</f>
        <v/>
      </c>
      <c r="F729" s="66" t="str">
        <f>IFERROR(__xludf.DUMMYFUNCTION("IF(COUNTA(C729:C1673)=0,"""",IF(REGEXMATCH(INDEX(FILTER(C$4:C729,C$4:C729&lt;&gt;""""),ROWS(FILTER(C$4:C729,C$4:C729&lt;&gt;""""))),""^Sell_""),INDEX(FILTER(F$4:F728,C$4:C728&lt;&gt;""""),ROWS(FILTER(C$4:C728,C$4:C728&lt;&gt;""""))),$AC$5+E729))"),"")</f>
        <v/>
      </c>
      <c r="G729" s="10" t="str">
        <f>IFERROR(__xludf.DUMMYFUNCTION("IF(COUNTA(C729:C1673)=0,"""",IF(C729="""",0,IF(REGEXMATCH(C729,""^Sell_""),-ROUNDDOWN(ROUNDUP(INDEX(Upgrades!$C$3:$C$13,MATCH(SUBSTITUTE(C729,""Sell_"",""""),Upgrades!$B$3:$B$13,0))*1.15^(COUNTIF(C$4:C728,SUBSTITUTE(C729,""Sell_"",""""))-COUNTIF(C$4:C728,"&amp;"""Sell_""&amp;SUBSTITUTE(C729,""Sell_"",""""))))/2),ROUNDUP(INDEX(Upgrades!$C$3:$C$13,MATCH(C729,Upgrades!$B$3:$B$13,0))*1.15^(COUNTIF(C$4:C728,C729)-COUNTIF(C$4:C728,""Sell_""&amp;C729))))))"),"")</f>
        <v/>
      </c>
      <c r="H729" s="10" t="str">
        <f t="shared" si="3"/>
        <v/>
      </c>
      <c r="I729" s="68" t="str">
        <f t="shared" si="4"/>
        <v/>
      </c>
      <c r="J729" s="59" t="str">
        <f t="shared" si="5"/>
        <v/>
      </c>
      <c r="K729" s="69" t="str">
        <f t="shared" si="6"/>
        <v/>
      </c>
      <c r="L729" s="60" t="str">
        <f t="shared" si="7"/>
        <v/>
      </c>
      <c r="M729" s="61" t="str">
        <f>IFERROR(__xludf.DUMMYFUNCTION("IFS(AND(COUNTA(C729:C1673)=0,COUNTA(Q729:Q1673)=0),"""",OR(AND(K729&gt;=1000000000,OR(Y729&gt;=1000000000,COUNTA(Q729:Q1673)=0)),OR(Y729&gt;=1000000000,AND(COUNTA(C729:C1673)=0,P$3=TRUE))),
ROUNDDOWN((AB$1-AC$1)*MAX(INDEX(T$4:T1673,MATCH(LARGE(FILTER(Y$4:Y1673,Y$4"&amp;":Y1673&lt;1000000000),1),Y$4:Y1673)),INDEX(F$4:F1673,MATCH(LARGE(FILTER(K$4:K1673,K$4:K1673&lt;1000000000),1),K$4:K1673)))),AND(K729&lt;1000000000,COUNTA(C729:C1673)&gt;0,P$3=FALSE),
ROUNDDOWN(INDEX(Y$4:Y1673,MATCH(LARGE(FILTER(W$4:W1673,W$4:W1673&lt;=I729),1),W$4:W1673"&amp;"))+(I729-LARGE(FILTER(W$4:W1673,W$4:W1673&lt;=I729),1))*INDEX(T$4:T1673,MATCH(LARGE(FILTER(W$4:W1673,W$4:W1673&lt;=I729),1),W$4:W1673))-K729),1,
ROUNDDOWN(Y729-INDEX(K$4:K1673,MATCH(LARGE(FILTER(I$4:I1673,I$4:I1673&lt;=W729),1),I$4:I1673))-(W729-LARGE(FILTER(I$4:I"&amp;"1673,I$4:I1673&lt;=W729),1))*INDEX(F$4:F1673,MATCH(LARGE(FILTER(I$4:I1673,I$4:I1673&lt;=W729),1),I$4:I1673))))"),"")</f>
        <v/>
      </c>
      <c r="N729" s="60" t="str">
        <f t="shared" si="8"/>
        <v/>
      </c>
      <c r="O729" s="61" t="str">
        <f t="shared" si="9"/>
        <v/>
      </c>
      <c r="P729" s="56" t="str">
        <f t="shared" si="10"/>
        <v/>
      </c>
      <c r="R729" s="10"/>
      <c r="S729" s="59" t="str">
        <f t="array" ref="S729">IF(COUNTA(Q729:Q1673)=0,"",SUM((COUNTIF(Q$4:Q729,Upgrades!$B$3:$B$13)-COUNTIF(Q$4:Q729,"Sell_"&amp;Upgrades!$B$3:$B$13))*Upgrades!$D$3:$D$13))</f>
        <v/>
      </c>
      <c r="T729" s="66" t="str">
        <f>IFERROR(__xludf.DUMMYFUNCTION("IF(COUNTA(Q729:Q1673)=0,"""",IF(REGEXMATCH(INDEX(FILTER(Q$4:Q729,Q$4:Q729&lt;&gt;""""),ROWS(FILTER(Q$4:Q729,Q$4:Q729&lt;&gt;""""))),""^Sell_""),INDEX(FILTER(T$4:T728,Q$4:Q728&lt;&gt;""""),ROWS(FILTER(Q$4:Q728,Q$4:Q728&lt;&gt;""""))),$AD$5+S729))"),"")</f>
        <v/>
      </c>
      <c r="U729" s="10" t="str">
        <f>IFERROR(__xludf.DUMMYFUNCTION("IF(COUNTA(Q729:Q1673)=0,"""",IF(Q729="""",0,IF(REGEXMATCH(Q729,""^Sell_""),-ROUNDDOWN(ROUNDUP(INDEX(Upgrades!$C$3:$C$13,MATCH(SUBSTITUTE(Q729,""Sell_"",""""),Upgrades!$B$3:$B$13,0))*1.15^(COUNTIF(Q$4:Q728,SUBSTITUTE(Q729,""Sell_"",""""))-COUNTIF(Q$4:Q728,"&amp;"""Sell_""&amp;SUBSTITUTE(Q729,""Sell_"",""""))))/2),ROUNDUP(INDEX(Upgrades!$C$3:$C$13,MATCH(Q729,Upgrades!$B$3:$B$13,0))*1.15^(COUNTIF(Q$4:Q728,Q729)-COUNTIF(Q$4:Q728,""Sell_""&amp;Q729))))))"),"")</f>
        <v/>
      </c>
      <c r="V729" s="10" t="str">
        <f t="shared" si="11"/>
        <v/>
      </c>
      <c r="W729" s="68" t="str">
        <f t="shared" si="12"/>
        <v/>
      </c>
      <c r="X729" s="59" t="str">
        <f t="shared" si="13"/>
        <v/>
      </c>
      <c r="Y729" s="69" t="str">
        <f t="shared" si="14"/>
        <v/>
      </c>
      <c r="Z729" s="11"/>
    </row>
    <row r="730">
      <c r="A730" s="8"/>
      <c r="B730" s="56" t="str">
        <f t="shared" si="2"/>
        <v/>
      </c>
      <c r="C730" s="105"/>
      <c r="D730" s="10"/>
      <c r="E730" s="59" t="str">
        <f t="array" ref="E730">IF(COUNTA(C730:C1673)=0,"",SUM((COUNTIF(C$4:C730,Upgrades!$B$3:$B$13)-COUNTIF(C$4:C730,"Sell_"&amp;Upgrades!$B$3:$B$13))*Upgrades!$D$3:$D$13))</f>
        <v/>
      </c>
      <c r="F730" s="66" t="str">
        <f>IFERROR(__xludf.DUMMYFUNCTION("IF(COUNTA(C730:C1673)=0,"""",IF(REGEXMATCH(INDEX(FILTER(C$4:C730,C$4:C730&lt;&gt;""""),ROWS(FILTER(C$4:C730,C$4:C730&lt;&gt;""""))),""^Sell_""),INDEX(FILTER(F$4:F729,C$4:C729&lt;&gt;""""),ROWS(FILTER(C$4:C729,C$4:C729&lt;&gt;""""))),$AC$5+E730))"),"")</f>
        <v/>
      </c>
      <c r="G730" s="10" t="str">
        <f>IFERROR(__xludf.DUMMYFUNCTION("IF(COUNTA(C730:C1673)=0,"""",IF(C730="""",0,IF(REGEXMATCH(C730,""^Sell_""),-ROUNDDOWN(ROUNDUP(INDEX(Upgrades!$C$3:$C$13,MATCH(SUBSTITUTE(C730,""Sell_"",""""),Upgrades!$B$3:$B$13,0))*1.15^(COUNTIF(C$4:C729,SUBSTITUTE(C730,""Sell_"",""""))-COUNTIF(C$4:C729,"&amp;"""Sell_""&amp;SUBSTITUTE(C730,""Sell_"",""""))))/2),ROUNDUP(INDEX(Upgrades!$C$3:$C$13,MATCH(C730,Upgrades!$B$3:$B$13,0))*1.15^(COUNTIF(C$4:C729,C730)-COUNTIF(C$4:C729,""Sell_""&amp;C730))))))"),"")</f>
        <v/>
      </c>
      <c r="H730" s="10" t="str">
        <f t="shared" si="3"/>
        <v/>
      </c>
      <c r="I730" s="68" t="str">
        <f t="shared" si="4"/>
        <v/>
      </c>
      <c r="J730" s="59" t="str">
        <f t="shared" si="5"/>
        <v/>
      </c>
      <c r="K730" s="69" t="str">
        <f t="shared" si="6"/>
        <v/>
      </c>
      <c r="L730" s="60" t="str">
        <f t="shared" si="7"/>
        <v/>
      </c>
      <c r="M730" s="61" t="str">
        <f>IFERROR(__xludf.DUMMYFUNCTION("IFS(AND(COUNTA(C730:C1673)=0,COUNTA(Q730:Q1673)=0),"""",OR(AND(K730&gt;=1000000000,OR(Y730&gt;=1000000000,COUNTA(Q730:Q1673)=0)),OR(Y730&gt;=1000000000,AND(COUNTA(C730:C1673)=0,P$3=TRUE))),
ROUNDDOWN((AB$1-AC$1)*MAX(INDEX(T$4:T1673,MATCH(LARGE(FILTER(Y$4:Y1673,Y$4"&amp;":Y1673&lt;1000000000),1),Y$4:Y1673)),INDEX(F$4:F1673,MATCH(LARGE(FILTER(K$4:K1673,K$4:K1673&lt;1000000000),1),K$4:K1673)))),AND(K730&lt;1000000000,COUNTA(C730:C1673)&gt;0,P$3=FALSE),
ROUNDDOWN(INDEX(Y$4:Y1673,MATCH(LARGE(FILTER(W$4:W1673,W$4:W1673&lt;=I730),1),W$4:W1673"&amp;"))+(I730-LARGE(FILTER(W$4:W1673,W$4:W1673&lt;=I730),1))*INDEX(T$4:T1673,MATCH(LARGE(FILTER(W$4:W1673,W$4:W1673&lt;=I730),1),W$4:W1673))-K730),1,
ROUNDDOWN(Y730-INDEX(K$4:K1673,MATCH(LARGE(FILTER(I$4:I1673,I$4:I1673&lt;=W730),1),I$4:I1673))-(W730-LARGE(FILTER(I$4:I"&amp;"1673,I$4:I1673&lt;=W730),1))*INDEX(F$4:F1673,MATCH(LARGE(FILTER(I$4:I1673,I$4:I1673&lt;=W730),1),I$4:I1673))))"),"")</f>
        <v/>
      </c>
      <c r="N730" s="60" t="str">
        <f t="shared" si="8"/>
        <v/>
      </c>
      <c r="O730" s="61" t="str">
        <f t="shared" si="9"/>
        <v/>
      </c>
      <c r="P730" s="56" t="str">
        <f t="shared" si="10"/>
        <v/>
      </c>
      <c r="R730" s="10"/>
      <c r="S730" s="59" t="str">
        <f t="array" ref="S730">IF(COUNTA(Q730:Q1673)=0,"",SUM((COUNTIF(Q$4:Q730,Upgrades!$B$3:$B$13)-COUNTIF(Q$4:Q730,"Sell_"&amp;Upgrades!$B$3:$B$13))*Upgrades!$D$3:$D$13))</f>
        <v/>
      </c>
      <c r="T730" s="66" t="str">
        <f>IFERROR(__xludf.DUMMYFUNCTION("IF(COUNTA(Q730:Q1673)=0,"""",IF(REGEXMATCH(INDEX(FILTER(Q$4:Q730,Q$4:Q730&lt;&gt;""""),ROWS(FILTER(Q$4:Q730,Q$4:Q730&lt;&gt;""""))),""^Sell_""),INDEX(FILTER(T$4:T729,Q$4:Q729&lt;&gt;""""),ROWS(FILTER(Q$4:Q729,Q$4:Q729&lt;&gt;""""))),$AD$5+S730))"),"")</f>
        <v/>
      </c>
      <c r="U730" s="10" t="str">
        <f>IFERROR(__xludf.DUMMYFUNCTION("IF(COUNTA(Q730:Q1673)=0,"""",IF(Q730="""",0,IF(REGEXMATCH(Q730,""^Sell_""),-ROUNDDOWN(ROUNDUP(INDEX(Upgrades!$C$3:$C$13,MATCH(SUBSTITUTE(Q730,""Sell_"",""""),Upgrades!$B$3:$B$13,0))*1.15^(COUNTIF(Q$4:Q729,SUBSTITUTE(Q730,""Sell_"",""""))-COUNTIF(Q$4:Q729,"&amp;"""Sell_""&amp;SUBSTITUTE(Q730,""Sell_"",""""))))/2),ROUNDUP(INDEX(Upgrades!$C$3:$C$13,MATCH(Q730,Upgrades!$B$3:$B$13,0))*1.15^(COUNTIF(Q$4:Q729,Q730)-COUNTIF(Q$4:Q729,""Sell_""&amp;Q730))))))"),"")</f>
        <v/>
      </c>
      <c r="V730" s="10" t="str">
        <f t="shared" si="11"/>
        <v/>
      </c>
      <c r="W730" s="68" t="str">
        <f t="shared" si="12"/>
        <v/>
      </c>
      <c r="X730" s="59" t="str">
        <f t="shared" si="13"/>
        <v/>
      </c>
      <c r="Y730" s="69" t="str">
        <f t="shared" si="14"/>
        <v/>
      </c>
      <c r="Z730" s="11"/>
    </row>
    <row r="731">
      <c r="A731" s="8"/>
      <c r="B731" s="56" t="str">
        <f t="shared" si="2"/>
        <v/>
      </c>
      <c r="C731" s="105"/>
      <c r="D731" s="10"/>
      <c r="E731" s="59" t="str">
        <f t="array" ref="E731">IF(COUNTA(C731:C1673)=0,"",SUM((COUNTIF(C$4:C731,Upgrades!$B$3:$B$13)-COUNTIF(C$4:C731,"Sell_"&amp;Upgrades!$B$3:$B$13))*Upgrades!$D$3:$D$13))</f>
        <v/>
      </c>
      <c r="F731" s="66" t="str">
        <f>IFERROR(__xludf.DUMMYFUNCTION("IF(COUNTA(C731:C1673)=0,"""",IF(REGEXMATCH(INDEX(FILTER(C$4:C731,C$4:C731&lt;&gt;""""),ROWS(FILTER(C$4:C731,C$4:C731&lt;&gt;""""))),""^Sell_""),INDEX(FILTER(F$4:F730,C$4:C730&lt;&gt;""""),ROWS(FILTER(C$4:C730,C$4:C730&lt;&gt;""""))),$AC$5+E731))"),"")</f>
        <v/>
      </c>
      <c r="G731" s="10" t="str">
        <f>IFERROR(__xludf.DUMMYFUNCTION("IF(COUNTA(C731:C1673)=0,"""",IF(C731="""",0,IF(REGEXMATCH(C731,""^Sell_""),-ROUNDDOWN(ROUNDUP(INDEX(Upgrades!$C$3:$C$13,MATCH(SUBSTITUTE(C731,""Sell_"",""""),Upgrades!$B$3:$B$13,0))*1.15^(COUNTIF(C$4:C730,SUBSTITUTE(C731,""Sell_"",""""))-COUNTIF(C$4:C730,"&amp;"""Sell_""&amp;SUBSTITUTE(C731,""Sell_"",""""))))/2),ROUNDUP(INDEX(Upgrades!$C$3:$C$13,MATCH(C731,Upgrades!$B$3:$B$13,0))*1.15^(COUNTIF(C$4:C730,C731)-COUNTIF(C$4:C730,""Sell_""&amp;C731))))))"),"")</f>
        <v/>
      </c>
      <c r="H731" s="10" t="str">
        <f t="shared" si="3"/>
        <v/>
      </c>
      <c r="I731" s="68" t="str">
        <f t="shared" si="4"/>
        <v/>
      </c>
      <c r="J731" s="59" t="str">
        <f t="shared" si="5"/>
        <v/>
      </c>
      <c r="K731" s="69" t="str">
        <f t="shared" si="6"/>
        <v/>
      </c>
      <c r="L731" s="60" t="str">
        <f t="shared" si="7"/>
        <v/>
      </c>
      <c r="M731" s="61" t="str">
        <f>IFERROR(__xludf.DUMMYFUNCTION("IFS(AND(COUNTA(C731:C1673)=0,COUNTA(Q731:Q1673)=0),"""",OR(AND(K731&gt;=1000000000,OR(Y731&gt;=1000000000,COUNTA(Q731:Q1673)=0)),OR(Y731&gt;=1000000000,AND(COUNTA(C731:C1673)=0,P$3=TRUE))),
ROUNDDOWN((AB$1-AC$1)*MAX(INDEX(T$4:T1673,MATCH(LARGE(FILTER(Y$4:Y1673,Y$4"&amp;":Y1673&lt;1000000000),1),Y$4:Y1673)),INDEX(F$4:F1673,MATCH(LARGE(FILTER(K$4:K1673,K$4:K1673&lt;1000000000),1),K$4:K1673)))),AND(K731&lt;1000000000,COUNTA(C731:C1673)&gt;0,P$3=FALSE),
ROUNDDOWN(INDEX(Y$4:Y1673,MATCH(LARGE(FILTER(W$4:W1673,W$4:W1673&lt;=I731),1),W$4:W1673"&amp;"))+(I731-LARGE(FILTER(W$4:W1673,W$4:W1673&lt;=I731),1))*INDEX(T$4:T1673,MATCH(LARGE(FILTER(W$4:W1673,W$4:W1673&lt;=I731),1),W$4:W1673))-K731),1,
ROUNDDOWN(Y731-INDEX(K$4:K1673,MATCH(LARGE(FILTER(I$4:I1673,I$4:I1673&lt;=W731),1),I$4:I1673))-(W731-LARGE(FILTER(I$4:I"&amp;"1673,I$4:I1673&lt;=W731),1))*INDEX(F$4:F1673,MATCH(LARGE(FILTER(I$4:I1673,I$4:I1673&lt;=W731),1),I$4:I1673))))"),"")</f>
        <v/>
      </c>
      <c r="N731" s="60" t="str">
        <f t="shared" si="8"/>
        <v/>
      </c>
      <c r="O731" s="61" t="str">
        <f t="shared" si="9"/>
        <v/>
      </c>
      <c r="P731" s="56" t="str">
        <f t="shared" si="10"/>
        <v/>
      </c>
      <c r="R731" s="10"/>
      <c r="S731" s="59" t="str">
        <f t="array" ref="S731">IF(COUNTA(Q731:Q1673)=0,"",SUM((COUNTIF(Q$4:Q731,Upgrades!$B$3:$B$13)-COUNTIF(Q$4:Q731,"Sell_"&amp;Upgrades!$B$3:$B$13))*Upgrades!$D$3:$D$13))</f>
        <v/>
      </c>
      <c r="T731" s="66" t="str">
        <f>IFERROR(__xludf.DUMMYFUNCTION("IF(COUNTA(Q731:Q1673)=0,"""",IF(REGEXMATCH(INDEX(FILTER(Q$4:Q731,Q$4:Q731&lt;&gt;""""),ROWS(FILTER(Q$4:Q731,Q$4:Q731&lt;&gt;""""))),""^Sell_""),INDEX(FILTER(T$4:T730,Q$4:Q730&lt;&gt;""""),ROWS(FILTER(Q$4:Q730,Q$4:Q730&lt;&gt;""""))),$AD$5+S731))"),"")</f>
        <v/>
      </c>
      <c r="U731" s="10" t="str">
        <f>IFERROR(__xludf.DUMMYFUNCTION("IF(COUNTA(Q731:Q1673)=0,"""",IF(Q731="""",0,IF(REGEXMATCH(Q731,""^Sell_""),-ROUNDDOWN(ROUNDUP(INDEX(Upgrades!$C$3:$C$13,MATCH(SUBSTITUTE(Q731,""Sell_"",""""),Upgrades!$B$3:$B$13,0))*1.15^(COUNTIF(Q$4:Q730,SUBSTITUTE(Q731,""Sell_"",""""))-COUNTIF(Q$4:Q730,"&amp;"""Sell_""&amp;SUBSTITUTE(Q731,""Sell_"",""""))))/2),ROUNDUP(INDEX(Upgrades!$C$3:$C$13,MATCH(Q731,Upgrades!$B$3:$B$13,0))*1.15^(COUNTIF(Q$4:Q730,Q731)-COUNTIF(Q$4:Q730,""Sell_""&amp;Q731))))))"),"")</f>
        <v/>
      </c>
      <c r="V731" s="10" t="str">
        <f t="shared" si="11"/>
        <v/>
      </c>
      <c r="W731" s="68" t="str">
        <f t="shared" si="12"/>
        <v/>
      </c>
      <c r="X731" s="59" t="str">
        <f t="shared" si="13"/>
        <v/>
      </c>
      <c r="Y731" s="69" t="str">
        <f t="shared" si="14"/>
        <v/>
      </c>
      <c r="Z731" s="11"/>
    </row>
    <row r="732">
      <c r="A732" s="8"/>
      <c r="B732" s="56" t="str">
        <f t="shared" si="2"/>
        <v/>
      </c>
      <c r="C732" s="105"/>
      <c r="D732" s="10"/>
      <c r="E732" s="59" t="str">
        <f t="array" ref="E732">IF(COUNTA(C732:C1673)=0,"",SUM((COUNTIF(C$4:C732,Upgrades!$B$3:$B$13)-COUNTIF(C$4:C732,"Sell_"&amp;Upgrades!$B$3:$B$13))*Upgrades!$D$3:$D$13))</f>
        <v/>
      </c>
      <c r="F732" s="66" t="str">
        <f>IFERROR(__xludf.DUMMYFUNCTION("IF(COUNTA(C732:C1673)=0,"""",IF(REGEXMATCH(INDEX(FILTER(C$4:C732,C$4:C732&lt;&gt;""""),ROWS(FILTER(C$4:C732,C$4:C732&lt;&gt;""""))),""^Sell_""),INDEX(FILTER(F$4:F731,C$4:C731&lt;&gt;""""),ROWS(FILTER(C$4:C731,C$4:C731&lt;&gt;""""))),$AC$5+E732))"),"")</f>
        <v/>
      </c>
      <c r="G732" s="10" t="str">
        <f>IFERROR(__xludf.DUMMYFUNCTION("IF(COUNTA(C732:C1673)=0,"""",IF(C732="""",0,IF(REGEXMATCH(C732,""^Sell_""),-ROUNDDOWN(ROUNDUP(INDEX(Upgrades!$C$3:$C$13,MATCH(SUBSTITUTE(C732,""Sell_"",""""),Upgrades!$B$3:$B$13,0))*1.15^(COUNTIF(C$4:C731,SUBSTITUTE(C732,""Sell_"",""""))-COUNTIF(C$4:C731,"&amp;"""Sell_""&amp;SUBSTITUTE(C732,""Sell_"",""""))))/2),ROUNDUP(INDEX(Upgrades!$C$3:$C$13,MATCH(C732,Upgrades!$B$3:$B$13,0))*1.15^(COUNTIF(C$4:C731,C732)-COUNTIF(C$4:C731,""Sell_""&amp;C732))))))"),"")</f>
        <v/>
      </c>
      <c r="H732" s="10" t="str">
        <f t="shared" si="3"/>
        <v/>
      </c>
      <c r="I732" s="68" t="str">
        <f t="shared" si="4"/>
        <v/>
      </c>
      <c r="J732" s="59" t="str">
        <f t="shared" si="5"/>
        <v/>
      </c>
      <c r="K732" s="69" t="str">
        <f t="shared" si="6"/>
        <v/>
      </c>
      <c r="L732" s="60" t="str">
        <f t="shared" si="7"/>
        <v/>
      </c>
      <c r="M732" s="61" t="str">
        <f>IFERROR(__xludf.DUMMYFUNCTION("IFS(AND(COUNTA(C732:C1673)=0,COUNTA(Q732:Q1673)=0),"""",OR(AND(K732&gt;=1000000000,OR(Y732&gt;=1000000000,COUNTA(Q732:Q1673)=0)),OR(Y732&gt;=1000000000,AND(COUNTA(C732:C1673)=0,P$3=TRUE))),
ROUNDDOWN((AB$1-AC$1)*MAX(INDEX(T$4:T1673,MATCH(LARGE(FILTER(Y$4:Y1673,Y$4"&amp;":Y1673&lt;1000000000),1),Y$4:Y1673)),INDEX(F$4:F1673,MATCH(LARGE(FILTER(K$4:K1673,K$4:K1673&lt;1000000000),1),K$4:K1673)))),AND(K732&lt;1000000000,COUNTA(C732:C1673)&gt;0,P$3=FALSE),
ROUNDDOWN(INDEX(Y$4:Y1673,MATCH(LARGE(FILTER(W$4:W1673,W$4:W1673&lt;=I732),1),W$4:W1673"&amp;"))+(I732-LARGE(FILTER(W$4:W1673,W$4:W1673&lt;=I732),1))*INDEX(T$4:T1673,MATCH(LARGE(FILTER(W$4:W1673,W$4:W1673&lt;=I732),1),W$4:W1673))-K732),1,
ROUNDDOWN(Y732-INDEX(K$4:K1673,MATCH(LARGE(FILTER(I$4:I1673,I$4:I1673&lt;=W732),1),I$4:I1673))-(W732-LARGE(FILTER(I$4:I"&amp;"1673,I$4:I1673&lt;=W732),1))*INDEX(F$4:F1673,MATCH(LARGE(FILTER(I$4:I1673,I$4:I1673&lt;=W732),1),I$4:I1673))))"),"")</f>
        <v/>
      </c>
      <c r="N732" s="60" t="str">
        <f t="shared" si="8"/>
        <v/>
      </c>
      <c r="O732" s="61" t="str">
        <f t="shared" si="9"/>
        <v/>
      </c>
      <c r="P732" s="56" t="str">
        <f t="shared" si="10"/>
        <v/>
      </c>
      <c r="R732" s="10"/>
      <c r="S732" s="59" t="str">
        <f t="array" ref="S732">IF(COUNTA(Q732:Q1673)=0,"",SUM((COUNTIF(Q$4:Q732,Upgrades!$B$3:$B$13)-COUNTIF(Q$4:Q732,"Sell_"&amp;Upgrades!$B$3:$B$13))*Upgrades!$D$3:$D$13))</f>
        <v/>
      </c>
      <c r="T732" s="66" t="str">
        <f>IFERROR(__xludf.DUMMYFUNCTION("IF(COUNTA(Q732:Q1673)=0,"""",IF(REGEXMATCH(INDEX(FILTER(Q$4:Q732,Q$4:Q732&lt;&gt;""""),ROWS(FILTER(Q$4:Q732,Q$4:Q732&lt;&gt;""""))),""^Sell_""),INDEX(FILTER(T$4:T731,Q$4:Q731&lt;&gt;""""),ROWS(FILTER(Q$4:Q731,Q$4:Q731&lt;&gt;""""))),$AD$5+S732))"),"")</f>
        <v/>
      </c>
      <c r="U732" s="10" t="str">
        <f>IFERROR(__xludf.DUMMYFUNCTION("IF(COUNTA(Q732:Q1673)=0,"""",IF(Q732="""",0,IF(REGEXMATCH(Q732,""^Sell_""),-ROUNDDOWN(ROUNDUP(INDEX(Upgrades!$C$3:$C$13,MATCH(SUBSTITUTE(Q732,""Sell_"",""""),Upgrades!$B$3:$B$13,0))*1.15^(COUNTIF(Q$4:Q731,SUBSTITUTE(Q732,""Sell_"",""""))-COUNTIF(Q$4:Q731,"&amp;"""Sell_""&amp;SUBSTITUTE(Q732,""Sell_"",""""))))/2),ROUNDUP(INDEX(Upgrades!$C$3:$C$13,MATCH(Q732,Upgrades!$B$3:$B$13,0))*1.15^(COUNTIF(Q$4:Q731,Q732)-COUNTIF(Q$4:Q731,""Sell_""&amp;Q732))))))"),"")</f>
        <v/>
      </c>
      <c r="V732" s="10" t="str">
        <f t="shared" si="11"/>
        <v/>
      </c>
      <c r="W732" s="68" t="str">
        <f t="shared" si="12"/>
        <v/>
      </c>
      <c r="X732" s="59" t="str">
        <f t="shared" si="13"/>
        <v/>
      </c>
      <c r="Y732" s="69" t="str">
        <f t="shared" si="14"/>
        <v/>
      </c>
      <c r="Z732" s="11"/>
    </row>
    <row r="733">
      <c r="A733" s="8"/>
      <c r="B733" s="56" t="str">
        <f t="shared" si="2"/>
        <v/>
      </c>
      <c r="C733" s="105"/>
      <c r="D733" s="10"/>
      <c r="E733" s="59" t="str">
        <f t="array" ref="E733">IF(COUNTA(C733:C1673)=0,"",SUM((COUNTIF(C$4:C733,Upgrades!$B$3:$B$13)-COUNTIF(C$4:C733,"Sell_"&amp;Upgrades!$B$3:$B$13))*Upgrades!$D$3:$D$13))</f>
        <v/>
      </c>
      <c r="F733" s="66" t="str">
        <f>IFERROR(__xludf.DUMMYFUNCTION("IF(COUNTA(C733:C1673)=0,"""",IF(REGEXMATCH(INDEX(FILTER(C$4:C733,C$4:C733&lt;&gt;""""),ROWS(FILTER(C$4:C733,C$4:C733&lt;&gt;""""))),""^Sell_""),INDEX(FILTER(F$4:F732,C$4:C732&lt;&gt;""""),ROWS(FILTER(C$4:C732,C$4:C732&lt;&gt;""""))),$AC$5+E733))"),"")</f>
        <v/>
      </c>
      <c r="G733" s="10" t="str">
        <f>IFERROR(__xludf.DUMMYFUNCTION("IF(COUNTA(C733:C1673)=0,"""",IF(C733="""",0,IF(REGEXMATCH(C733,""^Sell_""),-ROUNDDOWN(ROUNDUP(INDEX(Upgrades!$C$3:$C$13,MATCH(SUBSTITUTE(C733,""Sell_"",""""),Upgrades!$B$3:$B$13,0))*1.15^(COUNTIF(C$4:C732,SUBSTITUTE(C733,""Sell_"",""""))-COUNTIF(C$4:C732,"&amp;"""Sell_""&amp;SUBSTITUTE(C733,""Sell_"",""""))))/2),ROUNDUP(INDEX(Upgrades!$C$3:$C$13,MATCH(C733,Upgrades!$B$3:$B$13,0))*1.15^(COUNTIF(C$4:C732,C733)-COUNTIF(C$4:C732,""Sell_""&amp;C733))))))"),"")</f>
        <v/>
      </c>
      <c r="H733" s="10" t="str">
        <f t="shared" si="3"/>
        <v/>
      </c>
      <c r="I733" s="68" t="str">
        <f t="shared" si="4"/>
        <v/>
      </c>
      <c r="J733" s="59" t="str">
        <f t="shared" si="5"/>
        <v/>
      </c>
      <c r="K733" s="69" t="str">
        <f t="shared" si="6"/>
        <v/>
      </c>
      <c r="L733" s="60" t="str">
        <f t="shared" si="7"/>
        <v/>
      </c>
      <c r="M733" s="61" t="str">
        <f>IFERROR(__xludf.DUMMYFUNCTION("IFS(AND(COUNTA(C733:C1673)=0,COUNTA(Q733:Q1673)=0),"""",OR(AND(K733&gt;=1000000000,OR(Y733&gt;=1000000000,COUNTA(Q733:Q1673)=0)),OR(Y733&gt;=1000000000,AND(COUNTA(C733:C1673)=0,P$3=TRUE))),
ROUNDDOWN((AB$1-AC$1)*MAX(INDEX(T$4:T1673,MATCH(LARGE(FILTER(Y$4:Y1673,Y$4"&amp;":Y1673&lt;1000000000),1),Y$4:Y1673)),INDEX(F$4:F1673,MATCH(LARGE(FILTER(K$4:K1673,K$4:K1673&lt;1000000000),1),K$4:K1673)))),AND(K733&lt;1000000000,COUNTA(C733:C1673)&gt;0,P$3=FALSE),
ROUNDDOWN(INDEX(Y$4:Y1673,MATCH(LARGE(FILTER(W$4:W1673,W$4:W1673&lt;=I733),1),W$4:W1673"&amp;"))+(I733-LARGE(FILTER(W$4:W1673,W$4:W1673&lt;=I733),1))*INDEX(T$4:T1673,MATCH(LARGE(FILTER(W$4:W1673,W$4:W1673&lt;=I733),1),W$4:W1673))-K733),1,
ROUNDDOWN(Y733-INDEX(K$4:K1673,MATCH(LARGE(FILTER(I$4:I1673,I$4:I1673&lt;=W733),1),I$4:I1673))-(W733-LARGE(FILTER(I$4:I"&amp;"1673,I$4:I1673&lt;=W733),1))*INDEX(F$4:F1673,MATCH(LARGE(FILTER(I$4:I1673,I$4:I1673&lt;=W733),1),I$4:I1673))))"),"")</f>
        <v/>
      </c>
      <c r="N733" s="60" t="str">
        <f t="shared" si="8"/>
        <v/>
      </c>
      <c r="O733" s="61" t="str">
        <f t="shared" si="9"/>
        <v/>
      </c>
      <c r="P733" s="56" t="str">
        <f t="shared" si="10"/>
        <v/>
      </c>
      <c r="R733" s="10"/>
      <c r="S733" s="59" t="str">
        <f t="array" ref="S733">IF(COUNTA(Q733:Q1673)=0,"",SUM((COUNTIF(Q$4:Q733,Upgrades!$B$3:$B$13)-COUNTIF(Q$4:Q733,"Sell_"&amp;Upgrades!$B$3:$B$13))*Upgrades!$D$3:$D$13))</f>
        <v/>
      </c>
      <c r="T733" s="66" t="str">
        <f>IFERROR(__xludf.DUMMYFUNCTION("IF(COUNTA(Q733:Q1673)=0,"""",IF(REGEXMATCH(INDEX(FILTER(Q$4:Q733,Q$4:Q733&lt;&gt;""""),ROWS(FILTER(Q$4:Q733,Q$4:Q733&lt;&gt;""""))),""^Sell_""),INDEX(FILTER(T$4:T732,Q$4:Q732&lt;&gt;""""),ROWS(FILTER(Q$4:Q732,Q$4:Q732&lt;&gt;""""))),$AD$5+S733))"),"")</f>
        <v/>
      </c>
      <c r="U733" s="10" t="str">
        <f>IFERROR(__xludf.DUMMYFUNCTION("IF(COUNTA(Q733:Q1673)=0,"""",IF(Q733="""",0,IF(REGEXMATCH(Q733,""^Sell_""),-ROUNDDOWN(ROUNDUP(INDEX(Upgrades!$C$3:$C$13,MATCH(SUBSTITUTE(Q733,""Sell_"",""""),Upgrades!$B$3:$B$13,0))*1.15^(COUNTIF(Q$4:Q732,SUBSTITUTE(Q733,""Sell_"",""""))-COUNTIF(Q$4:Q732,"&amp;"""Sell_""&amp;SUBSTITUTE(Q733,""Sell_"",""""))))/2),ROUNDUP(INDEX(Upgrades!$C$3:$C$13,MATCH(Q733,Upgrades!$B$3:$B$13,0))*1.15^(COUNTIF(Q$4:Q732,Q733)-COUNTIF(Q$4:Q732,""Sell_""&amp;Q733))))))"),"")</f>
        <v/>
      </c>
      <c r="V733" s="10" t="str">
        <f t="shared" si="11"/>
        <v/>
      </c>
      <c r="W733" s="68" t="str">
        <f t="shared" si="12"/>
        <v/>
      </c>
      <c r="X733" s="59" t="str">
        <f t="shared" si="13"/>
        <v/>
      </c>
      <c r="Y733" s="69" t="str">
        <f t="shared" si="14"/>
        <v/>
      </c>
      <c r="Z733" s="11"/>
    </row>
    <row r="734">
      <c r="A734" s="8"/>
      <c r="B734" s="56" t="str">
        <f t="shared" si="2"/>
        <v/>
      </c>
      <c r="C734" s="105"/>
      <c r="D734" s="10"/>
      <c r="E734" s="59" t="str">
        <f t="array" ref="E734">IF(COUNTA(C734:C1673)=0,"",SUM((COUNTIF(C$4:C734,Upgrades!$B$3:$B$13)-COUNTIF(C$4:C734,"Sell_"&amp;Upgrades!$B$3:$B$13))*Upgrades!$D$3:$D$13))</f>
        <v/>
      </c>
      <c r="F734" s="66" t="str">
        <f>IFERROR(__xludf.DUMMYFUNCTION("IF(COUNTA(C734:C1673)=0,"""",IF(REGEXMATCH(INDEX(FILTER(C$4:C734,C$4:C734&lt;&gt;""""),ROWS(FILTER(C$4:C734,C$4:C734&lt;&gt;""""))),""^Sell_""),INDEX(FILTER(F$4:F733,C$4:C733&lt;&gt;""""),ROWS(FILTER(C$4:C733,C$4:C733&lt;&gt;""""))),$AC$5+E734))"),"")</f>
        <v/>
      </c>
      <c r="G734" s="10" t="str">
        <f>IFERROR(__xludf.DUMMYFUNCTION("IF(COUNTA(C734:C1673)=0,"""",IF(C734="""",0,IF(REGEXMATCH(C734,""^Sell_""),-ROUNDDOWN(ROUNDUP(INDEX(Upgrades!$C$3:$C$13,MATCH(SUBSTITUTE(C734,""Sell_"",""""),Upgrades!$B$3:$B$13,0))*1.15^(COUNTIF(C$4:C733,SUBSTITUTE(C734,""Sell_"",""""))-COUNTIF(C$4:C733,"&amp;"""Sell_""&amp;SUBSTITUTE(C734,""Sell_"",""""))))/2),ROUNDUP(INDEX(Upgrades!$C$3:$C$13,MATCH(C734,Upgrades!$B$3:$B$13,0))*1.15^(COUNTIF(C$4:C733,C734)-COUNTIF(C$4:C733,""Sell_""&amp;C734))))))"),"")</f>
        <v/>
      </c>
      <c r="H734" s="10" t="str">
        <f t="shared" si="3"/>
        <v/>
      </c>
      <c r="I734" s="68" t="str">
        <f t="shared" si="4"/>
        <v/>
      </c>
      <c r="J734" s="59" t="str">
        <f t="shared" si="5"/>
        <v/>
      </c>
      <c r="K734" s="69" t="str">
        <f t="shared" si="6"/>
        <v/>
      </c>
      <c r="L734" s="60" t="str">
        <f t="shared" si="7"/>
        <v/>
      </c>
      <c r="M734" s="61" t="str">
        <f>IFERROR(__xludf.DUMMYFUNCTION("IFS(AND(COUNTA(C734:C1673)=0,COUNTA(Q734:Q1673)=0),"""",OR(AND(K734&gt;=1000000000,OR(Y734&gt;=1000000000,COUNTA(Q734:Q1673)=0)),OR(Y734&gt;=1000000000,AND(COUNTA(C734:C1673)=0,P$3=TRUE))),
ROUNDDOWN((AB$1-AC$1)*MAX(INDEX(T$4:T1673,MATCH(LARGE(FILTER(Y$4:Y1673,Y$4"&amp;":Y1673&lt;1000000000),1),Y$4:Y1673)),INDEX(F$4:F1673,MATCH(LARGE(FILTER(K$4:K1673,K$4:K1673&lt;1000000000),1),K$4:K1673)))),AND(K734&lt;1000000000,COUNTA(C734:C1673)&gt;0,P$3=FALSE),
ROUNDDOWN(INDEX(Y$4:Y1673,MATCH(LARGE(FILTER(W$4:W1673,W$4:W1673&lt;=I734),1),W$4:W1673"&amp;"))+(I734-LARGE(FILTER(W$4:W1673,W$4:W1673&lt;=I734),1))*INDEX(T$4:T1673,MATCH(LARGE(FILTER(W$4:W1673,W$4:W1673&lt;=I734),1),W$4:W1673))-K734),1,
ROUNDDOWN(Y734-INDEX(K$4:K1673,MATCH(LARGE(FILTER(I$4:I1673,I$4:I1673&lt;=W734),1),I$4:I1673))-(W734-LARGE(FILTER(I$4:I"&amp;"1673,I$4:I1673&lt;=W734),1))*INDEX(F$4:F1673,MATCH(LARGE(FILTER(I$4:I1673,I$4:I1673&lt;=W734),1),I$4:I1673))))"),"")</f>
        <v/>
      </c>
      <c r="N734" s="60" t="str">
        <f t="shared" si="8"/>
        <v/>
      </c>
      <c r="O734" s="61" t="str">
        <f t="shared" si="9"/>
        <v/>
      </c>
      <c r="P734" s="56" t="str">
        <f t="shared" si="10"/>
        <v/>
      </c>
      <c r="R734" s="10"/>
      <c r="S734" s="59" t="str">
        <f t="array" ref="S734">IF(COUNTA(Q734:Q1673)=0,"",SUM((COUNTIF(Q$4:Q734,Upgrades!$B$3:$B$13)-COUNTIF(Q$4:Q734,"Sell_"&amp;Upgrades!$B$3:$B$13))*Upgrades!$D$3:$D$13))</f>
        <v/>
      </c>
      <c r="T734" s="66" t="str">
        <f>IFERROR(__xludf.DUMMYFUNCTION("IF(COUNTA(Q734:Q1673)=0,"""",IF(REGEXMATCH(INDEX(FILTER(Q$4:Q734,Q$4:Q734&lt;&gt;""""),ROWS(FILTER(Q$4:Q734,Q$4:Q734&lt;&gt;""""))),""^Sell_""),INDEX(FILTER(T$4:T733,Q$4:Q733&lt;&gt;""""),ROWS(FILTER(Q$4:Q733,Q$4:Q733&lt;&gt;""""))),$AD$5+S734))"),"")</f>
        <v/>
      </c>
      <c r="U734" s="10" t="str">
        <f>IFERROR(__xludf.DUMMYFUNCTION("IF(COUNTA(Q734:Q1673)=0,"""",IF(Q734="""",0,IF(REGEXMATCH(Q734,""^Sell_""),-ROUNDDOWN(ROUNDUP(INDEX(Upgrades!$C$3:$C$13,MATCH(SUBSTITUTE(Q734,""Sell_"",""""),Upgrades!$B$3:$B$13,0))*1.15^(COUNTIF(Q$4:Q733,SUBSTITUTE(Q734,""Sell_"",""""))-COUNTIF(Q$4:Q733,"&amp;"""Sell_""&amp;SUBSTITUTE(Q734,""Sell_"",""""))))/2),ROUNDUP(INDEX(Upgrades!$C$3:$C$13,MATCH(Q734,Upgrades!$B$3:$B$13,0))*1.15^(COUNTIF(Q$4:Q733,Q734)-COUNTIF(Q$4:Q733,""Sell_""&amp;Q734))))))"),"")</f>
        <v/>
      </c>
      <c r="V734" s="10" t="str">
        <f t="shared" si="11"/>
        <v/>
      </c>
      <c r="W734" s="68" t="str">
        <f t="shared" si="12"/>
        <v/>
      </c>
      <c r="X734" s="59" t="str">
        <f t="shared" si="13"/>
        <v/>
      </c>
      <c r="Y734" s="69" t="str">
        <f t="shared" si="14"/>
        <v/>
      </c>
      <c r="Z734" s="11"/>
    </row>
    <row r="735">
      <c r="A735" s="8"/>
      <c r="B735" s="56" t="str">
        <f t="shared" si="2"/>
        <v/>
      </c>
      <c r="C735" s="105"/>
      <c r="D735" s="10"/>
      <c r="E735" s="59" t="str">
        <f t="array" ref="E735">IF(COUNTA(C735:C1673)=0,"",SUM((COUNTIF(C$4:C735,Upgrades!$B$3:$B$13)-COUNTIF(C$4:C735,"Sell_"&amp;Upgrades!$B$3:$B$13))*Upgrades!$D$3:$D$13))</f>
        <v/>
      </c>
      <c r="F735" s="66" t="str">
        <f>IFERROR(__xludf.DUMMYFUNCTION("IF(COUNTA(C735:C1673)=0,"""",IF(REGEXMATCH(INDEX(FILTER(C$4:C735,C$4:C735&lt;&gt;""""),ROWS(FILTER(C$4:C735,C$4:C735&lt;&gt;""""))),""^Sell_""),INDEX(FILTER(F$4:F734,C$4:C734&lt;&gt;""""),ROWS(FILTER(C$4:C734,C$4:C734&lt;&gt;""""))),$AC$5+E735))"),"")</f>
        <v/>
      </c>
      <c r="G735" s="10" t="str">
        <f>IFERROR(__xludf.DUMMYFUNCTION("IF(COUNTA(C735:C1673)=0,"""",IF(C735="""",0,IF(REGEXMATCH(C735,""^Sell_""),-ROUNDDOWN(ROUNDUP(INDEX(Upgrades!$C$3:$C$13,MATCH(SUBSTITUTE(C735,""Sell_"",""""),Upgrades!$B$3:$B$13,0))*1.15^(COUNTIF(C$4:C734,SUBSTITUTE(C735,""Sell_"",""""))-COUNTIF(C$4:C734,"&amp;"""Sell_""&amp;SUBSTITUTE(C735,""Sell_"",""""))))/2),ROUNDUP(INDEX(Upgrades!$C$3:$C$13,MATCH(C735,Upgrades!$B$3:$B$13,0))*1.15^(COUNTIF(C$4:C734,C735)-COUNTIF(C$4:C734,""Sell_""&amp;C735))))))"),"")</f>
        <v/>
      </c>
      <c r="H735" s="10" t="str">
        <f t="shared" si="3"/>
        <v/>
      </c>
      <c r="I735" s="68" t="str">
        <f t="shared" si="4"/>
        <v/>
      </c>
      <c r="J735" s="59" t="str">
        <f t="shared" si="5"/>
        <v/>
      </c>
      <c r="K735" s="69" t="str">
        <f t="shared" si="6"/>
        <v/>
      </c>
      <c r="L735" s="60" t="str">
        <f t="shared" si="7"/>
        <v/>
      </c>
      <c r="M735" s="61" t="str">
        <f>IFERROR(__xludf.DUMMYFUNCTION("IFS(AND(COUNTA(C735:C1673)=0,COUNTA(Q735:Q1673)=0),"""",OR(AND(K735&gt;=1000000000,OR(Y735&gt;=1000000000,COUNTA(Q735:Q1673)=0)),OR(Y735&gt;=1000000000,AND(COUNTA(C735:C1673)=0,P$3=TRUE))),
ROUNDDOWN((AB$1-AC$1)*MAX(INDEX(T$4:T1673,MATCH(LARGE(FILTER(Y$4:Y1673,Y$4"&amp;":Y1673&lt;1000000000),1),Y$4:Y1673)),INDEX(F$4:F1673,MATCH(LARGE(FILTER(K$4:K1673,K$4:K1673&lt;1000000000),1),K$4:K1673)))),AND(K735&lt;1000000000,COUNTA(C735:C1673)&gt;0,P$3=FALSE),
ROUNDDOWN(INDEX(Y$4:Y1673,MATCH(LARGE(FILTER(W$4:W1673,W$4:W1673&lt;=I735),1),W$4:W1673"&amp;"))+(I735-LARGE(FILTER(W$4:W1673,W$4:W1673&lt;=I735),1))*INDEX(T$4:T1673,MATCH(LARGE(FILTER(W$4:W1673,W$4:W1673&lt;=I735),1),W$4:W1673))-K735),1,
ROUNDDOWN(Y735-INDEX(K$4:K1673,MATCH(LARGE(FILTER(I$4:I1673,I$4:I1673&lt;=W735),1),I$4:I1673))-(W735-LARGE(FILTER(I$4:I"&amp;"1673,I$4:I1673&lt;=W735),1))*INDEX(F$4:F1673,MATCH(LARGE(FILTER(I$4:I1673,I$4:I1673&lt;=W735),1),I$4:I1673))))"),"")</f>
        <v/>
      </c>
      <c r="N735" s="60" t="str">
        <f t="shared" si="8"/>
        <v/>
      </c>
      <c r="O735" s="61" t="str">
        <f t="shared" si="9"/>
        <v/>
      </c>
      <c r="P735" s="56" t="str">
        <f t="shared" si="10"/>
        <v/>
      </c>
      <c r="R735" s="10"/>
      <c r="S735" s="59" t="str">
        <f t="array" ref="S735">IF(COUNTA(Q735:Q1673)=0,"",SUM((COUNTIF(Q$4:Q735,Upgrades!$B$3:$B$13)-COUNTIF(Q$4:Q735,"Sell_"&amp;Upgrades!$B$3:$B$13))*Upgrades!$D$3:$D$13))</f>
        <v/>
      </c>
      <c r="T735" s="66" t="str">
        <f>IFERROR(__xludf.DUMMYFUNCTION("IF(COUNTA(Q735:Q1673)=0,"""",IF(REGEXMATCH(INDEX(FILTER(Q$4:Q735,Q$4:Q735&lt;&gt;""""),ROWS(FILTER(Q$4:Q735,Q$4:Q735&lt;&gt;""""))),""^Sell_""),INDEX(FILTER(T$4:T734,Q$4:Q734&lt;&gt;""""),ROWS(FILTER(Q$4:Q734,Q$4:Q734&lt;&gt;""""))),$AD$5+S735))"),"")</f>
        <v/>
      </c>
      <c r="U735" s="10" t="str">
        <f>IFERROR(__xludf.DUMMYFUNCTION("IF(COUNTA(Q735:Q1673)=0,"""",IF(Q735="""",0,IF(REGEXMATCH(Q735,""^Sell_""),-ROUNDDOWN(ROUNDUP(INDEX(Upgrades!$C$3:$C$13,MATCH(SUBSTITUTE(Q735,""Sell_"",""""),Upgrades!$B$3:$B$13,0))*1.15^(COUNTIF(Q$4:Q734,SUBSTITUTE(Q735,""Sell_"",""""))-COUNTIF(Q$4:Q734,"&amp;"""Sell_""&amp;SUBSTITUTE(Q735,""Sell_"",""""))))/2),ROUNDUP(INDEX(Upgrades!$C$3:$C$13,MATCH(Q735,Upgrades!$B$3:$B$13,0))*1.15^(COUNTIF(Q$4:Q734,Q735)-COUNTIF(Q$4:Q734,""Sell_""&amp;Q735))))))"),"")</f>
        <v/>
      </c>
      <c r="V735" s="10" t="str">
        <f t="shared" si="11"/>
        <v/>
      </c>
      <c r="W735" s="68" t="str">
        <f t="shared" si="12"/>
        <v/>
      </c>
      <c r="X735" s="59" t="str">
        <f t="shared" si="13"/>
        <v/>
      </c>
      <c r="Y735" s="69" t="str">
        <f t="shared" si="14"/>
        <v/>
      </c>
      <c r="Z735" s="11"/>
    </row>
    <row r="736">
      <c r="A736" s="8"/>
      <c r="B736" s="56" t="str">
        <f t="shared" si="2"/>
        <v/>
      </c>
      <c r="C736" s="105"/>
      <c r="D736" s="10"/>
      <c r="E736" s="59" t="str">
        <f t="array" ref="E736">IF(COUNTA(C736:C1673)=0,"",SUM((COUNTIF(C$4:C736,Upgrades!$B$3:$B$13)-COUNTIF(C$4:C736,"Sell_"&amp;Upgrades!$B$3:$B$13))*Upgrades!$D$3:$D$13))</f>
        <v/>
      </c>
      <c r="F736" s="66" t="str">
        <f>IFERROR(__xludf.DUMMYFUNCTION("IF(COUNTA(C736:C1673)=0,"""",IF(REGEXMATCH(INDEX(FILTER(C$4:C736,C$4:C736&lt;&gt;""""),ROWS(FILTER(C$4:C736,C$4:C736&lt;&gt;""""))),""^Sell_""),INDEX(FILTER(F$4:F735,C$4:C735&lt;&gt;""""),ROWS(FILTER(C$4:C735,C$4:C735&lt;&gt;""""))),$AC$5+E736))"),"")</f>
        <v/>
      </c>
      <c r="G736" s="10" t="str">
        <f>IFERROR(__xludf.DUMMYFUNCTION("IF(COUNTA(C736:C1673)=0,"""",IF(C736="""",0,IF(REGEXMATCH(C736,""^Sell_""),-ROUNDDOWN(ROUNDUP(INDEX(Upgrades!$C$3:$C$13,MATCH(SUBSTITUTE(C736,""Sell_"",""""),Upgrades!$B$3:$B$13,0))*1.15^(COUNTIF(C$4:C735,SUBSTITUTE(C736,""Sell_"",""""))-COUNTIF(C$4:C735,"&amp;"""Sell_""&amp;SUBSTITUTE(C736,""Sell_"",""""))))/2),ROUNDUP(INDEX(Upgrades!$C$3:$C$13,MATCH(C736,Upgrades!$B$3:$B$13,0))*1.15^(COUNTIF(C$4:C735,C736)-COUNTIF(C$4:C735,""Sell_""&amp;C736))))))"),"")</f>
        <v/>
      </c>
      <c r="H736" s="10" t="str">
        <f t="shared" si="3"/>
        <v/>
      </c>
      <c r="I736" s="68" t="str">
        <f t="shared" si="4"/>
        <v/>
      </c>
      <c r="J736" s="59" t="str">
        <f t="shared" si="5"/>
        <v/>
      </c>
      <c r="K736" s="69" t="str">
        <f t="shared" si="6"/>
        <v/>
      </c>
      <c r="L736" s="60" t="str">
        <f t="shared" si="7"/>
        <v/>
      </c>
      <c r="M736" s="61" t="str">
        <f>IFERROR(__xludf.DUMMYFUNCTION("IFS(AND(COUNTA(C736:C1673)=0,COUNTA(Q736:Q1673)=0),"""",OR(AND(K736&gt;=1000000000,OR(Y736&gt;=1000000000,COUNTA(Q736:Q1673)=0)),OR(Y736&gt;=1000000000,AND(COUNTA(C736:C1673)=0,P$3=TRUE))),
ROUNDDOWN((AB$1-AC$1)*MAX(INDEX(T$4:T1673,MATCH(LARGE(FILTER(Y$4:Y1673,Y$4"&amp;":Y1673&lt;1000000000),1),Y$4:Y1673)),INDEX(F$4:F1673,MATCH(LARGE(FILTER(K$4:K1673,K$4:K1673&lt;1000000000),1),K$4:K1673)))),AND(K736&lt;1000000000,COUNTA(C736:C1673)&gt;0,P$3=FALSE),
ROUNDDOWN(INDEX(Y$4:Y1673,MATCH(LARGE(FILTER(W$4:W1673,W$4:W1673&lt;=I736),1),W$4:W1673"&amp;"))+(I736-LARGE(FILTER(W$4:W1673,W$4:W1673&lt;=I736),1))*INDEX(T$4:T1673,MATCH(LARGE(FILTER(W$4:W1673,W$4:W1673&lt;=I736),1),W$4:W1673))-K736),1,
ROUNDDOWN(Y736-INDEX(K$4:K1673,MATCH(LARGE(FILTER(I$4:I1673,I$4:I1673&lt;=W736),1),I$4:I1673))-(W736-LARGE(FILTER(I$4:I"&amp;"1673,I$4:I1673&lt;=W736),1))*INDEX(F$4:F1673,MATCH(LARGE(FILTER(I$4:I1673,I$4:I1673&lt;=W736),1),I$4:I1673))))"),"")</f>
        <v/>
      </c>
      <c r="N736" s="60" t="str">
        <f t="shared" si="8"/>
        <v/>
      </c>
      <c r="O736" s="61" t="str">
        <f t="shared" si="9"/>
        <v/>
      </c>
      <c r="P736" s="56" t="str">
        <f t="shared" si="10"/>
        <v/>
      </c>
      <c r="R736" s="10"/>
      <c r="S736" s="59" t="str">
        <f t="array" ref="S736">IF(COUNTA(Q736:Q1673)=0,"",SUM((COUNTIF(Q$4:Q736,Upgrades!$B$3:$B$13)-COUNTIF(Q$4:Q736,"Sell_"&amp;Upgrades!$B$3:$B$13))*Upgrades!$D$3:$D$13))</f>
        <v/>
      </c>
      <c r="T736" s="66" t="str">
        <f>IFERROR(__xludf.DUMMYFUNCTION("IF(COUNTA(Q736:Q1673)=0,"""",IF(REGEXMATCH(INDEX(FILTER(Q$4:Q736,Q$4:Q736&lt;&gt;""""),ROWS(FILTER(Q$4:Q736,Q$4:Q736&lt;&gt;""""))),""^Sell_""),INDEX(FILTER(T$4:T735,Q$4:Q735&lt;&gt;""""),ROWS(FILTER(Q$4:Q735,Q$4:Q735&lt;&gt;""""))),$AD$5+S736))"),"")</f>
        <v/>
      </c>
      <c r="U736" s="10" t="str">
        <f>IFERROR(__xludf.DUMMYFUNCTION("IF(COUNTA(Q736:Q1673)=0,"""",IF(Q736="""",0,IF(REGEXMATCH(Q736,""^Sell_""),-ROUNDDOWN(ROUNDUP(INDEX(Upgrades!$C$3:$C$13,MATCH(SUBSTITUTE(Q736,""Sell_"",""""),Upgrades!$B$3:$B$13,0))*1.15^(COUNTIF(Q$4:Q735,SUBSTITUTE(Q736,""Sell_"",""""))-COUNTIF(Q$4:Q735,"&amp;"""Sell_""&amp;SUBSTITUTE(Q736,""Sell_"",""""))))/2),ROUNDUP(INDEX(Upgrades!$C$3:$C$13,MATCH(Q736,Upgrades!$B$3:$B$13,0))*1.15^(COUNTIF(Q$4:Q735,Q736)-COUNTIF(Q$4:Q735,""Sell_""&amp;Q736))))))"),"")</f>
        <v/>
      </c>
      <c r="V736" s="10" t="str">
        <f t="shared" si="11"/>
        <v/>
      </c>
      <c r="W736" s="68" t="str">
        <f t="shared" si="12"/>
        <v/>
      </c>
      <c r="X736" s="59" t="str">
        <f t="shared" si="13"/>
        <v/>
      </c>
      <c r="Y736" s="69" t="str">
        <f t="shared" si="14"/>
        <v/>
      </c>
      <c r="Z736" s="11"/>
    </row>
    <row r="737">
      <c r="A737" s="8"/>
      <c r="B737" s="56" t="str">
        <f t="shared" si="2"/>
        <v/>
      </c>
      <c r="C737" s="105"/>
      <c r="D737" s="10"/>
      <c r="E737" s="59" t="str">
        <f t="array" ref="E737">IF(COUNTA(C737:C1673)=0,"",SUM((COUNTIF(C$4:C737,Upgrades!$B$3:$B$13)-COUNTIF(C$4:C737,"Sell_"&amp;Upgrades!$B$3:$B$13))*Upgrades!$D$3:$D$13))</f>
        <v/>
      </c>
      <c r="F737" s="66" t="str">
        <f>IFERROR(__xludf.DUMMYFUNCTION("IF(COUNTA(C737:C1673)=0,"""",IF(REGEXMATCH(INDEX(FILTER(C$4:C737,C$4:C737&lt;&gt;""""),ROWS(FILTER(C$4:C737,C$4:C737&lt;&gt;""""))),""^Sell_""),INDEX(FILTER(F$4:F736,C$4:C736&lt;&gt;""""),ROWS(FILTER(C$4:C736,C$4:C736&lt;&gt;""""))),$AC$5+E737))"),"")</f>
        <v/>
      </c>
      <c r="G737" s="10" t="str">
        <f>IFERROR(__xludf.DUMMYFUNCTION("IF(COUNTA(C737:C1673)=0,"""",IF(C737="""",0,IF(REGEXMATCH(C737,""^Sell_""),-ROUNDDOWN(ROUNDUP(INDEX(Upgrades!$C$3:$C$13,MATCH(SUBSTITUTE(C737,""Sell_"",""""),Upgrades!$B$3:$B$13,0))*1.15^(COUNTIF(C$4:C736,SUBSTITUTE(C737,""Sell_"",""""))-COUNTIF(C$4:C736,"&amp;"""Sell_""&amp;SUBSTITUTE(C737,""Sell_"",""""))))/2),ROUNDUP(INDEX(Upgrades!$C$3:$C$13,MATCH(C737,Upgrades!$B$3:$B$13,0))*1.15^(COUNTIF(C$4:C736,C737)-COUNTIF(C$4:C736,""Sell_""&amp;C737))))))"),"")</f>
        <v/>
      </c>
      <c r="H737" s="10" t="str">
        <f t="shared" si="3"/>
        <v/>
      </c>
      <c r="I737" s="68" t="str">
        <f t="shared" si="4"/>
        <v/>
      </c>
      <c r="J737" s="59" t="str">
        <f t="shared" si="5"/>
        <v/>
      </c>
      <c r="K737" s="69" t="str">
        <f t="shared" si="6"/>
        <v/>
      </c>
      <c r="L737" s="60" t="str">
        <f t="shared" si="7"/>
        <v/>
      </c>
      <c r="M737" s="61" t="str">
        <f>IFERROR(__xludf.DUMMYFUNCTION("IFS(AND(COUNTA(C737:C1673)=0,COUNTA(Q737:Q1673)=0),"""",OR(AND(K737&gt;=1000000000,OR(Y737&gt;=1000000000,COUNTA(Q737:Q1673)=0)),OR(Y737&gt;=1000000000,AND(COUNTA(C737:C1673)=0,P$3=TRUE))),
ROUNDDOWN((AB$1-AC$1)*MAX(INDEX(T$4:T1673,MATCH(LARGE(FILTER(Y$4:Y1673,Y$4"&amp;":Y1673&lt;1000000000),1),Y$4:Y1673)),INDEX(F$4:F1673,MATCH(LARGE(FILTER(K$4:K1673,K$4:K1673&lt;1000000000),1),K$4:K1673)))),AND(K737&lt;1000000000,COUNTA(C737:C1673)&gt;0,P$3=FALSE),
ROUNDDOWN(INDEX(Y$4:Y1673,MATCH(LARGE(FILTER(W$4:W1673,W$4:W1673&lt;=I737),1),W$4:W1673"&amp;"))+(I737-LARGE(FILTER(W$4:W1673,W$4:W1673&lt;=I737),1))*INDEX(T$4:T1673,MATCH(LARGE(FILTER(W$4:W1673,W$4:W1673&lt;=I737),1),W$4:W1673))-K737),1,
ROUNDDOWN(Y737-INDEX(K$4:K1673,MATCH(LARGE(FILTER(I$4:I1673,I$4:I1673&lt;=W737),1),I$4:I1673))-(W737-LARGE(FILTER(I$4:I"&amp;"1673,I$4:I1673&lt;=W737),1))*INDEX(F$4:F1673,MATCH(LARGE(FILTER(I$4:I1673,I$4:I1673&lt;=W737),1),I$4:I1673))))"),"")</f>
        <v/>
      </c>
      <c r="N737" s="60" t="str">
        <f t="shared" si="8"/>
        <v/>
      </c>
      <c r="O737" s="61" t="str">
        <f t="shared" si="9"/>
        <v/>
      </c>
      <c r="P737" s="56" t="str">
        <f t="shared" si="10"/>
        <v/>
      </c>
      <c r="R737" s="10"/>
      <c r="S737" s="59" t="str">
        <f t="array" ref="S737">IF(COUNTA(Q737:Q1673)=0,"",SUM((COUNTIF(Q$4:Q737,Upgrades!$B$3:$B$13)-COUNTIF(Q$4:Q737,"Sell_"&amp;Upgrades!$B$3:$B$13))*Upgrades!$D$3:$D$13))</f>
        <v/>
      </c>
      <c r="T737" s="66" t="str">
        <f>IFERROR(__xludf.DUMMYFUNCTION("IF(COUNTA(Q737:Q1673)=0,"""",IF(REGEXMATCH(INDEX(FILTER(Q$4:Q737,Q$4:Q737&lt;&gt;""""),ROWS(FILTER(Q$4:Q737,Q$4:Q737&lt;&gt;""""))),""^Sell_""),INDEX(FILTER(T$4:T736,Q$4:Q736&lt;&gt;""""),ROWS(FILTER(Q$4:Q736,Q$4:Q736&lt;&gt;""""))),$AD$5+S737))"),"")</f>
        <v/>
      </c>
      <c r="U737" s="10" t="str">
        <f>IFERROR(__xludf.DUMMYFUNCTION("IF(COUNTA(Q737:Q1673)=0,"""",IF(Q737="""",0,IF(REGEXMATCH(Q737,""^Sell_""),-ROUNDDOWN(ROUNDUP(INDEX(Upgrades!$C$3:$C$13,MATCH(SUBSTITUTE(Q737,""Sell_"",""""),Upgrades!$B$3:$B$13,0))*1.15^(COUNTIF(Q$4:Q736,SUBSTITUTE(Q737,""Sell_"",""""))-COUNTIF(Q$4:Q736,"&amp;"""Sell_""&amp;SUBSTITUTE(Q737,""Sell_"",""""))))/2),ROUNDUP(INDEX(Upgrades!$C$3:$C$13,MATCH(Q737,Upgrades!$B$3:$B$13,0))*1.15^(COUNTIF(Q$4:Q736,Q737)-COUNTIF(Q$4:Q736,""Sell_""&amp;Q737))))))"),"")</f>
        <v/>
      </c>
      <c r="V737" s="10" t="str">
        <f t="shared" si="11"/>
        <v/>
      </c>
      <c r="W737" s="68" t="str">
        <f t="shared" si="12"/>
        <v/>
      </c>
      <c r="X737" s="59" t="str">
        <f t="shared" si="13"/>
        <v/>
      </c>
      <c r="Y737" s="69" t="str">
        <f t="shared" si="14"/>
        <v/>
      </c>
      <c r="Z737" s="11"/>
    </row>
    <row r="738">
      <c r="A738" s="8"/>
      <c r="B738" s="56" t="str">
        <f t="shared" si="2"/>
        <v/>
      </c>
      <c r="C738" s="105"/>
      <c r="D738" s="10"/>
      <c r="E738" s="59" t="str">
        <f t="array" ref="E738">IF(COUNTA(C738:C1673)=0,"",SUM((COUNTIF(C$4:C738,Upgrades!$B$3:$B$13)-COUNTIF(C$4:C738,"Sell_"&amp;Upgrades!$B$3:$B$13))*Upgrades!$D$3:$D$13))</f>
        <v/>
      </c>
      <c r="F738" s="66" t="str">
        <f>IFERROR(__xludf.DUMMYFUNCTION("IF(COUNTA(C738:C1673)=0,"""",IF(REGEXMATCH(INDEX(FILTER(C$4:C738,C$4:C738&lt;&gt;""""),ROWS(FILTER(C$4:C738,C$4:C738&lt;&gt;""""))),""^Sell_""),INDEX(FILTER(F$4:F737,C$4:C737&lt;&gt;""""),ROWS(FILTER(C$4:C737,C$4:C737&lt;&gt;""""))),$AC$5+E738))"),"")</f>
        <v/>
      </c>
      <c r="G738" s="10" t="str">
        <f>IFERROR(__xludf.DUMMYFUNCTION("IF(COUNTA(C738:C1673)=0,"""",IF(C738="""",0,IF(REGEXMATCH(C738,""^Sell_""),-ROUNDDOWN(ROUNDUP(INDEX(Upgrades!$C$3:$C$13,MATCH(SUBSTITUTE(C738,""Sell_"",""""),Upgrades!$B$3:$B$13,0))*1.15^(COUNTIF(C$4:C737,SUBSTITUTE(C738,""Sell_"",""""))-COUNTIF(C$4:C737,"&amp;"""Sell_""&amp;SUBSTITUTE(C738,""Sell_"",""""))))/2),ROUNDUP(INDEX(Upgrades!$C$3:$C$13,MATCH(C738,Upgrades!$B$3:$B$13,0))*1.15^(COUNTIF(C$4:C737,C738)-COUNTIF(C$4:C737,""Sell_""&amp;C738))))))"),"")</f>
        <v/>
      </c>
      <c r="H738" s="10" t="str">
        <f t="shared" si="3"/>
        <v/>
      </c>
      <c r="I738" s="68" t="str">
        <f t="shared" si="4"/>
        <v/>
      </c>
      <c r="J738" s="59" t="str">
        <f t="shared" si="5"/>
        <v/>
      </c>
      <c r="K738" s="69" t="str">
        <f t="shared" si="6"/>
        <v/>
      </c>
      <c r="L738" s="60" t="str">
        <f t="shared" si="7"/>
        <v/>
      </c>
      <c r="M738" s="61" t="str">
        <f>IFERROR(__xludf.DUMMYFUNCTION("IFS(AND(COUNTA(C738:C1673)=0,COUNTA(Q738:Q1673)=0),"""",OR(AND(K738&gt;=1000000000,OR(Y738&gt;=1000000000,COUNTA(Q738:Q1673)=0)),OR(Y738&gt;=1000000000,AND(COUNTA(C738:C1673)=0,P$3=TRUE))),
ROUNDDOWN((AB$1-AC$1)*MAX(INDEX(T$4:T1673,MATCH(LARGE(FILTER(Y$4:Y1673,Y$4"&amp;":Y1673&lt;1000000000),1),Y$4:Y1673)),INDEX(F$4:F1673,MATCH(LARGE(FILTER(K$4:K1673,K$4:K1673&lt;1000000000),1),K$4:K1673)))),AND(K738&lt;1000000000,COUNTA(C738:C1673)&gt;0,P$3=FALSE),
ROUNDDOWN(INDEX(Y$4:Y1673,MATCH(LARGE(FILTER(W$4:W1673,W$4:W1673&lt;=I738),1),W$4:W1673"&amp;"))+(I738-LARGE(FILTER(W$4:W1673,W$4:W1673&lt;=I738),1))*INDEX(T$4:T1673,MATCH(LARGE(FILTER(W$4:W1673,W$4:W1673&lt;=I738),1),W$4:W1673))-K738),1,
ROUNDDOWN(Y738-INDEX(K$4:K1673,MATCH(LARGE(FILTER(I$4:I1673,I$4:I1673&lt;=W738),1),I$4:I1673))-(W738-LARGE(FILTER(I$4:I"&amp;"1673,I$4:I1673&lt;=W738),1))*INDEX(F$4:F1673,MATCH(LARGE(FILTER(I$4:I1673,I$4:I1673&lt;=W738),1),I$4:I1673))))"),"")</f>
        <v/>
      </c>
      <c r="N738" s="60" t="str">
        <f t="shared" si="8"/>
        <v/>
      </c>
      <c r="O738" s="61" t="str">
        <f t="shared" si="9"/>
        <v/>
      </c>
      <c r="P738" s="56" t="str">
        <f t="shared" si="10"/>
        <v/>
      </c>
      <c r="R738" s="10"/>
      <c r="S738" s="59" t="str">
        <f t="array" ref="S738">IF(COUNTA(Q738:Q1673)=0,"",SUM((COUNTIF(Q$4:Q738,Upgrades!$B$3:$B$13)-COUNTIF(Q$4:Q738,"Sell_"&amp;Upgrades!$B$3:$B$13))*Upgrades!$D$3:$D$13))</f>
        <v/>
      </c>
      <c r="T738" s="66" t="str">
        <f>IFERROR(__xludf.DUMMYFUNCTION("IF(COUNTA(Q738:Q1673)=0,"""",IF(REGEXMATCH(INDEX(FILTER(Q$4:Q738,Q$4:Q738&lt;&gt;""""),ROWS(FILTER(Q$4:Q738,Q$4:Q738&lt;&gt;""""))),""^Sell_""),INDEX(FILTER(T$4:T737,Q$4:Q737&lt;&gt;""""),ROWS(FILTER(Q$4:Q737,Q$4:Q737&lt;&gt;""""))),$AD$5+S738))"),"")</f>
        <v/>
      </c>
      <c r="U738" s="10" t="str">
        <f>IFERROR(__xludf.DUMMYFUNCTION("IF(COUNTA(Q738:Q1673)=0,"""",IF(Q738="""",0,IF(REGEXMATCH(Q738,""^Sell_""),-ROUNDDOWN(ROUNDUP(INDEX(Upgrades!$C$3:$C$13,MATCH(SUBSTITUTE(Q738,""Sell_"",""""),Upgrades!$B$3:$B$13,0))*1.15^(COUNTIF(Q$4:Q737,SUBSTITUTE(Q738,""Sell_"",""""))-COUNTIF(Q$4:Q737,"&amp;"""Sell_""&amp;SUBSTITUTE(Q738,""Sell_"",""""))))/2),ROUNDUP(INDEX(Upgrades!$C$3:$C$13,MATCH(Q738,Upgrades!$B$3:$B$13,0))*1.15^(COUNTIF(Q$4:Q737,Q738)-COUNTIF(Q$4:Q737,""Sell_""&amp;Q738))))))"),"")</f>
        <v/>
      </c>
      <c r="V738" s="10" t="str">
        <f t="shared" si="11"/>
        <v/>
      </c>
      <c r="W738" s="68" t="str">
        <f t="shared" si="12"/>
        <v/>
      </c>
      <c r="X738" s="59" t="str">
        <f t="shared" si="13"/>
        <v/>
      </c>
      <c r="Y738" s="69" t="str">
        <f t="shared" si="14"/>
        <v/>
      </c>
      <c r="Z738" s="11"/>
    </row>
    <row r="739">
      <c r="A739" s="8"/>
      <c r="B739" s="56" t="str">
        <f t="shared" si="2"/>
        <v/>
      </c>
      <c r="C739" s="105"/>
      <c r="D739" s="10"/>
      <c r="E739" s="59" t="str">
        <f t="array" ref="E739">IF(COUNTA(C739:C1673)=0,"",SUM((COUNTIF(C$4:C739,Upgrades!$B$3:$B$13)-COUNTIF(C$4:C739,"Sell_"&amp;Upgrades!$B$3:$B$13))*Upgrades!$D$3:$D$13))</f>
        <v/>
      </c>
      <c r="F739" s="66" t="str">
        <f>IFERROR(__xludf.DUMMYFUNCTION("IF(COUNTA(C739:C1673)=0,"""",IF(REGEXMATCH(INDEX(FILTER(C$4:C739,C$4:C739&lt;&gt;""""),ROWS(FILTER(C$4:C739,C$4:C739&lt;&gt;""""))),""^Sell_""),INDEX(FILTER(F$4:F738,C$4:C738&lt;&gt;""""),ROWS(FILTER(C$4:C738,C$4:C738&lt;&gt;""""))),$AC$5+E739))"),"")</f>
        <v/>
      </c>
      <c r="G739" s="10" t="str">
        <f>IFERROR(__xludf.DUMMYFUNCTION("IF(COUNTA(C739:C1673)=0,"""",IF(C739="""",0,IF(REGEXMATCH(C739,""^Sell_""),-ROUNDDOWN(ROUNDUP(INDEX(Upgrades!$C$3:$C$13,MATCH(SUBSTITUTE(C739,""Sell_"",""""),Upgrades!$B$3:$B$13,0))*1.15^(COUNTIF(C$4:C738,SUBSTITUTE(C739,""Sell_"",""""))-COUNTIF(C$4:C738,"&amp;"""Sell_""&amp;SUBSTITUTE(C739,""Sell_"",""""))))/2),ROUNDUP(INDEX(Upgrades!$C$3:$C$13,MATCH(C739,Upgrades!$B$3:$B$13,0))*1.15^(COUNTIF(C$4:C738,C739)-COUNTIF(C$4:C738,""Sell_""&amp;C739))))))"),"")</f>
        <v/>
      </c>
      <c r="H739" s="10" t="str">
        <f t="shared" si="3"/>
        <v/>
      </c>
      <c r="I739" s="68" t="str">
        <f t="shared" si="4"/>
        <v/>
      </c>
      <c r="J739" s="59" t="str">
        <f t="shared" si="5"/>
        <v/>
      </c>
      <c r="K739" s="69" t="str">
        <f t="shared" si="6"/>
        <v/>
      </c>
      <c r="L739" s="60" t="str">
        <f t="shared" si="7"/>
        <v/>
      </c>
      <c r="M739" s="61" t="str">
        <f>IFERROR(__xludf.DUMMYFUNCTION("IFS(AND(COUNTA(C739:C1673)=0,COUNTA(Q739:Q1673)=0),"""",OR(AND(K739&gt;=1000000000,OR(Y739&gt;=1000000000,COUNTA(Q739:Q1673)=0)),OR(Y739&gt;=1000000000,AND(COUNTA(C739:C1673)=0,P$3=TRUE))),
ROUNDDOWN((AB$1-AC$1)*MAX(INDEX(T$4:T1673,MATCH(LARGE(FILTER(Y$4:Y1673,Y$4"&amp;":Y1673&lt;1000000000),1),Y$4:Y1673)),INDEX(F$4:F1673,MATCH(LARGE(FILTER(K$4:K1673,K$4:K1673&lt;1000000000),1),K$4:K1673)))),AND(K739&lt;1000000000,COUNTA(C739:C1673)&gt;0,P$3=FALSE),
ROUNDDOWN(INDEX(Y$4:Y1673,MATCH(LARGE(FILTER(W$4:W1673,W$4:W1673&lt;=I739),1),W$4:W1673"&amp;"))+(I739-LARGE(FILTER(W$4:W1673,W$4:W1673&lt;=I739),1))*INDEX(T$4:T1673,MATCH(LARGE(FILTER(W$4:W1673,W$4:W1673&lt;=I739),1),W$4:W1673))-K739),1,
ROUNDDOWN(Y739-INDEX(K$4:K1673,MATCH(LARGE(FILTER(I$4:I1673,I$4:I1673&lt;=W739),1),I$4:I1673))-(W739-LARGE(FILTER(I$4:I"&amp;"1673,I$4:I1673&lt;=W739),1))*INDEX(F$4:F1673,MATCH(LARGE(FILTER(I$4:I1673,I$4:I1673&lt;=W739),1),I$4:I1673))))"),"")</f>
        <v/>
      </c>
      <c r="N739" s="60" t="str">
        <f t="shared" si="8"/>
        <v/>
      </c>
      <c r="O739" s="61" t="str">
        <f t="shared" si="9"/>
        <v/>
      </c>
      <c r="P739" s="56" t="str">
        <f t="shared" si="10"/>
        <v/>
      </c>
      <c r="R739" s="10"/>
      <c r="S739" s="59" t="str">
        <f t="array" ref="S739">IF(COUNTA(Q739:Q1673)=0,"",SUM((COUNTIF(Q$4:Q739,Upgrades!$B$3:$B$13)-COUNTIF(Q$4:Q739,"Sell_"&amp;Upgrades!$B$3:$B$13))*Upgrades!$D$3:$D$13))</f>
        <v/>
      </c>
      <c r="T739" s="66" t="str">
        <f>IFERROR(__xludf.DUMMYFUNCTION("IF(COUNTA(Q739:Q1673)=0,"""",IF(REGEXMATCH(INDEX(FILTER(Q$4:Q739,Q$4:Q739&lt;&gt;""""),ROWS(FILTER(Q$4:Q739,Q$4:Q739&lt;&gt;""""))),""^Sell_""),INDEX(FILTER(T$4:T738,Q$4:Q738&lt;&gt;""""),ROWS(FILTER(Q$4:Q738,Q$4:Q738&lt;&gt;""""))),$AD$5+S739))"),"")</f>
        <v/>
      </c>
      <c r="U739" s="10" t="str">
        <f>IFERROR(__xludf.DUMMYFUNCTION("IF(COUNTA(Q739:Q1673)=0,"""",IF(Q739="""",0,IF(REGEXMATCH(Q739,""^Sell_""),-ROUNDDOWN(ROUNDUP(INDEX(Upgrades!$C$3:$C$13,MATCH(SUBSTITUTE(Q739,""Sell_"",""""),Upgrades!$B$3:$B$13,0))*1.15^(COUNTIF(Q$4:Q738,SUBSTITUTE(Q739,""Sell_"",""""))-COUNTIF(Q$4:Q738,"&amp;"""Sell_""&amp;SUBSTITUTE(Q739,""Sell_"",""""))))/2),ROUNDUP(INDEX(Upgrades!$C$3:$C$13,MATCH(Q739,Upgrades!$B$3:$B$13,0))*1.15^(COUNTIF(Q$4:Q738,Q739)-COUNTIF(Q$4:Q738,""Sell_""&amp;Q739))))))"),"")</f>
        <v/>
      </c>
      <c r="V739" s="10" t="str">
        <f t="shared" si="11"/>
        <v/>
      </c>
      <c r="W739" s="68" t="str">
        <f t="shared" si="12"/>
        <v/>
      </c>
      <c r="X739" s="59" t="str">
        <f t="shared" si="13"/>
        <v/>
      </c>
      <c r="Y739" s="69" t="str">
        <f t="shared" si="14"/>
        <v/>
      </c>
      <c r="Z739" s="11"/>
    </row>
    <row r="740">
      <c r="A740" s="8"/>
      <c r="B740" s="56" t="str">
        <f t="shared" si="2"/>
        <v/>
      </c>
      <c r="C740" s="105"/>
      <c r="D740" s="10"/>
      <c r="E740" s="59" t="str">
        <f t="array" ref="E740">IF(COUNTA(C740:C1673)=0,"",SUM((COUNTIF(C$4:C740,Upgrades!$B$3:$B$13)-COUNTIF(C$4:C740,"Sell_"&amp;Upgrades!$B$3:$B$13))*Upgrades!$D$3:$D$13))</f>
        <v/>
      </c>
      <c r="F740" s="66" t="str">
        <f>IFERROR(__xludf.DUMMYFUNCTION("IF(COUNTA(C740:C1673)=0,"""",IF(REGEXMATCH(INDEX(FILTER(C$4:C740,C$4:C740&lt;&gt;""""),ROWS(FILTER(C$4:C740,C$4:C740&lt;&gt;""""))),""^Sell_""),INDEX(FILTER(F$4:F739,C$4:C739&lt;&gt;""""),ROWS(FILTER(C$4:C739,C$4:C739&lt;&gt;""""))),$AC$5+E740))"),"")</f>
        <v/>
      </c>
      <c r="G740" s="10" t="str">
        <f>IFERROR(__xludf.DUMMYFUNCTION("IF(COUNTA(C740:C1673)=0,"""",IF(C740="""",0,IF(REGEXMATCH(C740,""^Sell_""),-ROUNDDOWN(ROUNDUP(INDEX(Upgrades!$C$3:$C$13,MATCH(SUBSTITUTE(C740,""Sell_"",""""),Upgrades!$B$3:$B$13,0))*1.15^(COUNTIF(C$4:C739,SUBSTITUTE(C740,""Sell_"",""""))-COUNTIF(C$4:C739,"&amp;"""Sell_""&amp;SUBSTITUTE(C740,""Sell_"",""""))))/2),ROUNDUP(INDEX(Upgrades!$C$3:$C$13,MATCH(C740,Upgrades!$B$3:$B$13,0))*1.15^(COUNTIF(C$4:C739,C740)-COUNTIF(C$4:C739,""Sell_""&amp;C740))))))"),"")</f>
        <v/>
      </c>
      <c r="H740" s="10" t="str">
        <f t="shared" si="3"/>
        <v/>
      </c>
      <c r="I740" s="68" t="str">
        <f t="shared" si="4"/>
        <v/>
      </c>
      <c r="J740" s="59" t="str">
        <f t="shared" si="5"/>
        <v/>
      </c>
      <c r="K740" s="69" t="str">
        <f t="shared" si="6"/>
        <v/>
      </c>
      <c r="L740" s="60" t="str">
        <f t="shared" si="7"/>
        <v/>
      </c>
      <c r="M740" s="61" t="str">
        <f>IFERROR(__xludf.DUMMYFUNCTION("IFS(AND(COUNTA(C740:C1673)=0,COUNTA(Q740:Q1673)=0),"""",OR(AND(K740&gt;=1000000000,OR(Y740&gt;=1000000000,COUNTA(Q740:Q1673)=0)),OR(Y740&gt;=1000000000,AND(COUNTA(C740:C1673)=0,P$3=TRUE))),
ROUNDDOWN((AB$1-AC$1)*MAX(INDEX(T$4:T1673,MATCH(LARGE(FILTER(Y$4:Y1673,Y$4"&amp;":Y1673&lt;1000000000),1),Y$4:Y1673)),INDEX(F$4:F1673,MATCH(LARGE(FILTER(K$4:K1673,K$4:K1673&lt;1000000000),1),K$4:K1673)))),AND(K740&lt;1000000000,COUNTA(C740:C1673)&gt;0,P$3=FALSE),
ROUNDDOWN(INDEX(Y$4:Y1673,MATCH(LARGE(FILTER(W$4:W1673,W$4:W1673&lt;=I740),1),W$4:W1673"&amp;"))+(I740-LARGE(FILTER(W$4:W1673,W$4:W1673&lt;=I740),1))*INDEX(T$4:T1673,MATCH(LARGE(FILTER(W$4:W1673,W$4:W1673&lt;=I740),1),W$4:W1673))-K740),1,
ROUNDDOWN(Y740-INDEX(K$4:K1673,MATCH(LARGE(FILTER(I$4:I1673,I$4:I1673&lt;=W740),1),I$4:I1673))-(W740-LARGE(FILTER(I$4:I"&amp;"1673,I$4:I1673&lt;=W740),1))*INDEX(F$4:F1673,MATCH(LARGE(FILTER(I$4:I1673,I$4:I1673&lt;=W740),1),I$4:I1673))))"),"")</f>
        <v/>
      </c>
      <c r="N740" s="60" t="str">
        <f t="shared" si="8"/>
        <v/>
      </c>
      <c r="O740" s="61" t="str">
        <f t="shared" si="9"/>
        <v/>
      </c>
      <c r="P740" s="56" t="str">
        <f t="shared" si="10"/>
        <v/>
      </c>
      <c r="R740" s="10"/>
      <c r="S740" s="59" t="str">
        <f t="array" ref="S740">IF(COUNTA(Q740:Q1673)=0,"",SUM((COUNTIF(Q$4:Q740,Upgrades!$B$3:$B$13)-COUNTIF(Q$4:Q740,"Sell_"&amp;Upgrades!$B$3:$B$13))*Upgrades!$D$3:$D$13))</f>
        <v/>
      </c>
      <c r="T740" s="66" t="str">
        <f>IFERROR(__xludf.DUMMYFUNCTION("IF(COUNTA(Q740:Q1673)=0,"""",IF(REGEXMATCH(INDEX(FILTER(Q$4:Q740,Q$4:Q740&lt;&gt;""""),ROWS(FILTER(Q$4:Q740,Q$4:Q740&lt;&gt;""""))),""^Sell_""),INDEX(FILTER(T$4:T739,Q$4:Q739&lt;&gt;""""),ROWS(FILTER(Q$4:Q739,Q$4:Q739&lt;&gt;""""))),$AD$5+S740))"),"")</f>
        <v/>
      </c>
      <c r="U740" s="10" t="str">
        <f>IFERROR(__xludf.DUMMYFUNCTION("IF(COUNTA(Q740:Q1673)=0,"""",IF(Q740="""",0,IF(REGEXMATCH(Q740,""^Sell_""),-ROUNDDOWN(ROUNDUP(INDEX(Upgrades!$C$3:$C$13,MATCH(SUBSTITUTE(Q740,""Sell_"",""""),Upgrades!$B$3:$B$13,0))*1.15^(COUNTIF(Q$4:Q739,SUBSTITUTE(Q740,""Sell_"",""""))-COUNTIF(Q$4:Q739,"&amp;"""Sell_""&amp;SUBSTITUTE(Q740,""Sell_"",""""))))/2),ROUNDUP(INDEX(Upgrades!$C$3:$C$13,MATCH(Q740,Upgrades!$B$3:$B$13,0))*1.15^(COUNTIF(Q$4:Q739,Q740)-COUNTIF(Q$4:Q739,""Sell_""&amp;Q740))))))"),"")</f>
        <v/>
      </c>
      <c r="V740" s="10" t="str">
        <f t="shared" si="11"/>
        <v/>
      </c>
      <c r="W740" s="68" t="str">
        <f t="shared" si="12"/>
        <v/>
      </c>
      <c r="X740" s="59" t="str">
        <f t="shared" si="13"/>
        <v/>
      </c>
      <c r="Y740" s="69" t="str">
        <f t="shared" si="14"/>
        <v/>
      </c>
      <c r="Z740" s="11"/>
    </row>
    <row r="741">
      <c r="A741" s="8"/>
      <c r="B741" s="56" t="str">
        <f t="shared" si="2"/>
        <v/>
      </c>
      <c r="C741" s="105"/>
      <c r="D741" s="10"/>
      <c r="E741" s="59" t="str">
        <f t="array" ref="E741">IF(COUNTA(C741:C1673)=0,"",SUM((COUNTIF(C$4:C741,Upgrades!$B$3:$B$13)-COUNTIF(C$4:C741,"Sell_"&amp;Upgrades!$B$3:$B$13))*Upgrades!$D$3:$D$13))</f>
        <v/>
      </c>
      <c r="F741" s="66" t="str">
        <f>IFERROR(__xludf.DUMMYFUNCTION("IF(COUNTA(C741:C1673)=0,"""",IF(REGEXMATCH(INDEX(FILTER(C$4:C741,C$4:C741&lt;&gt;""""),ROWS(FILTER(C$4:C741,C$4:C741&lt;&gt;""""))),""^Sell_""),INDEX(FILTER(F$4:F740,C$4:C740&lt;&gt;""""),ROWS(FILTER(C$4:C740,C$4:C740&lt;&gt;""""))),$AC$5+E741))"),"")</f>
        <v/>
      </c>
      <c r="G741" s="10" t="str">
        <f>IFERROR(__xludf.DUMMYFUNCTION("IF(COUNTA(C741:C1673)=0,"""",IF(C741="""",0,IF(REGEXMATCH(C741,""^Sell_""),-ROUNDDOWN(ROUNDUP(INDEX(Upgrades!$C$3:$C$13,MATCH(SUBSTITUTE(C741,""Sell_"",""""),Upgrades!$B$3:$B$13,0))*1.15^(COUNTIF(C$4:C740,SUBSTITUTE(C741,""Sell_"",""""))-COUNTIF(C$4:C740,"&amp;"""Sell_""&amp;SUBSTITUTE(C741,""Sell_"",""""))))/2),ROUNDUP(INDEX(Upgrades!$C$3:$C$13,MATCH(C741,Upgrades!$B$3:$B$13,0))*1.15^(COUNTIF(C$4:C740,C741)-COUNTIF(C$4:C740,""Sell_""&amp;C741))))))"),"")</f>
        <v/>
      </c>
      <c r="H741" s="10" t="str">
        <f t="shared" si="3"/>
        <v/>
      </c>
      <c r="I741" s="68" t="str">
        <f t="shared" si="4"/>
        <v/>
      </c>
      <c r="J741" s="59" t="str">
        <f t="shared" si="5"/>
        <v/>
      </c>
      <c r="K741" s="69" t="str">
        <f t="shared" si="6"/>
        <v/>
      </c>
      <c r="L741" s="60" t="str">
        <f t="shared" si="7"/>
        <v/>
      </c>
      <c r="M741" s="61" t="str">
        <f>IFERROR(__xludf.DUMMYFUNCTION("IFS(AND(COUNTA(C741:C1673)=0,COUNTA(Q741:Q1673)=0),"""",OR(AND(K741&gt;=1000000000,OR(Y741&gt;=1000000000,COUNTA(Q741:Q1673)=0)),OR(Y741&gt;=1000000000,AND(COUNTA(C741:C1673)=0,P$3=TRUE))),
ROUNDDOWN((AB$1-AC$1)*MAX(INDEX(T$4:T1673,MATCH(LARGE(FILTER(Y$4:Y1673,Y$4"&amp;":Y1673&lt;1000000000),1),Y$4:Y1673)),INDEX(F$4:F1673,MATCH(LARGE(FILTER(K$4:K1673,K$4:K1673&lt;1000000000),1),K$4:K1673)))),AND(K741&lt;1000000000,COUNTA(C741:C1673)&gt;0,P$3=FALSE),
ROUNDDOWN(INDEX(Y$4:Y1673,MATCH(LARGE(FILTER(W$4:W1673,W$4:W1673&lt;=I741),1),W$4:W1673"&amp;"))+(I741-LARGE(FILTER(W$4:W1673,W$4:W1673&lt;=I741),1))*INDEX(T$4:T1673,MATCH(LARGE(FILTER(W$4:W1673,W$4:W1673&lt;=I741),1),W$4:W1673))-K741),1,
ROUNDDOWN(Y741-INDEX(K$4:K1673,MATCH(LARGE(FILTER(I$4:I1673,I$4:I1673&lt;=W741),1),I$4:I1673))-(W741-LARGE(FILTER(I$4:I"&amp;"1673,I$4:I1673&lt;=W741),1))*INDEX(F$4:F1673,MATCH(LARGE(FILTER(I$4:I1673,I$4:I1673&lt;=W741),1),I$4:I1673))))"),"")</f>
        <v/>
      </c>
      <c r="N741" s="60" t="str">
        <f t="shared" si="8"/>
        <v/>
      </c>
      <c r="O741" s="61" t="str">
        <f t="shared" si="9"/>
        <v/>
      </c>
      <c r="P741" s="56" t="str">
        <f t="shared" si="10"/>
        <v/>
      </c>
      <c r="R741" s="10"/>
      <c r="S741" s="59" t="str">
        <f t="array" ref="S741">IF(COUNTA(Q741:Q1673)=0,"",SUM((COUNTIF(Q$4:Q741,Upgrades!$B$3:$B$13)-COUNTIF(Q$4:Q741,"Sell_"&amp;Upgrades!$B$3:$B$13))*Upgrades!$D$3:$D$13))</f>
        <v/>
      </c>
      <c r="T741" s="66" t="str">
        <f>IFERROR(__xludf.DUMMYFUNCTION("IF(COUNTA(Q741:Q1673)=0,"""",IF(REGEXMATCH(INDEX(FILTER(Q$4:Q741,Q$4:Q741&lt;&gt;""""),ROWS(FILTER(Q$4:Q741,Q$4:Q741&lt;&gt;""""))),""^Sell_""),INDEX(FILTER(T$4:T740,Q$4:Q740&lt;&gt;""""),ROWS(FILTER(Q$4:Q740,Q$4:Q740&lt;&gt;""""))),$AD$5+S741))"),"")</f>
        <v/>
      </c>
      <c r="U741" s="10" t="str">
        <f>IFERROR(__xludf.DUMMYFUNCTION("IF(COUNTA(Q741:Q1673)=0,"""",IF(Q741="""",0,IF(REGEXMATCH(Q741,""^Sell_""),-ROUNDDOWN(ROUNDUP(INDEX(Upgrades!$C$3:$C$13,MATCH(SUBSTITUTE(Q741,""Sell_"",""""),Upgrades!$B$3:$B$13,0))*1.15^(COUNTIF(Q$4:Q740,SUBSTITUTE(Q741,""Sell_"",""""))-COUNTIF(Q$4:Q740,"&amp;"""Sell_""&amp;SUBSTITUTE(Q741,""Sell_"",""""))))/2),ROUNDUP(INDEX(Upgrades!$C$3:$C$13,MATCH(Q741,Upgrades!$B$3:$B$13,0))*1.15^(COUNTIF(Q$4:Q740,Q741)-COUNTIF(Q$4:Q740,""Sell_""&amp;Q741))))))"),"")</f>
        <v/>
      </c>
      <c r="V741" s="10" t="str">
        <f t="shared" si="11"/>
        <v/>
      </c>
      <c r="W741" s="68" t="str">
        <f t="shared" si="12"/>
        <v/>
      </c>
      <c r="X741" s="59" t="str">
        <f t="shared" si="13"/>
        <v/>
      </c>
      <c r="Y741" s="69" t="str">
        <f t="shared" si="14"/>
        <v/>
      </c>
      <c r="Z741" s="11"/>
    </row>
    <row r="742">
      <c r="A742" s="8"/>
      <c r="B742" s="56" t="str">
        <f t="shared" si="2"/>
        <v/>
      </c>
      <c r="C742" s="105"/>
      <c r="D742" s="10"/>
      <c r="E742" s="59" t="str">
        <f t="array" ref="E742">IF(COUNTA(C742:C1673)=0,"",SUM((COUNTIF(C$4:C742,Upgrades!$B$3:$B$13)-COUNTIF(C$4:C742,"Sell_"&amp;Upgrades!$B$3:$B$13))*Upgrades!$D$3:$D$13))</f>
        <v/>
      </c>
      <c r="F742" s="66" t="str">
        <f>IFERROR(__xludf.DUMMYFUNCTION("IF(COUNTA(C742:C1673)=0,"""",IF(REGEXMATCH(INDEX(FILTER(C$4:C742,C$4:C742&lt;&gt;""""),ROWS(FILTER(C$4:C742,C$4:C742&lt;&gt;""""))),""^Sell_""),INDEX(FILTER(F$4:F741,C$4:C741&lt;&gt;""""),ROWS(FILTER(C$4:C741,C$4:C741&lt;&gt;""""))),$AC$5+E742))"),"")</f>
        <v/>
      </c>
      <c r="G742" s="10" t="str">
        <f>IFERROR(__xludf.DUMMYFUNCTION("IF(COUNTA(C742:C1673)=0,"""",IF(C742="""",0,IF(REGEXMATCH(C742,""^Sell_""),-ROUNDDOWN(ROUNDUP(INDEX(Upgrades!$C$3:$C$13,MATCH(SUBSTITUTE(C742,""Sell_"",""""),Upgrades!$B$3:$B$13,0))*1.15^(COUNTIF(C$4:C741,SUBSTITUTE(C742,""Sell_"",""""))-COUNTIF(C$4:C741,"&amp;"""Sell_""&amp;SUBSTITUTE(C742,""Sell_"",""""))))/2),ROUNDUP(INDEX(Upgrades!$C$3:$C$13,MATCH(C742,Upgrades!$B$3:$B$13,0))*1.15^(COUNTIF(C$4:C741,C742)-COUNTIF(C$4:C741,""Sell_""&amp;C742))))))"),"")</f>
        <v/>
      </c>
      <c r="H742" s="10" t="str">
        <f t="shared" si="3"/>
        <v/>
      </c>
      <c r="I742" s="68" t="str">
        <f t="shared" si="4"/>
        <v/>
      </c>
      <c r="J742" s="59" t="str">
        <f t="shared" si="5"/>
        <v/>
      </c>
      <c r="K742" s="69" t="str">
        <f t="shared" si="6"/>
        <v/>
      </c>
      <c r="L742" s="60" t="str">
        <f t="shared" si="7"/>
        <v/>
      </c>
      <c r="M742" s="61" t="str">
        <f>IFERROR(__xludf.DUMMYFUNCTION("IFS(AND(COUNTA(C742:C1673)=0,COUNTA(Q742:Q1673)=0),"""",OR(AND(K742&gt;=1000000000,OR(Y742&gt;=1000000000,COUNTA(Q742:Q1673)=0)),OR(Y742&gt;=1000000000,AND(COUNTA(C742:C1673)=0,P$3=TRUE))),
ROUNDDOWN((AB$1-AC$1)*MAX(INDEX(T$4:T1673,MATCH(LARGE(FILTER(Y$4:Y1673,Y$4"&amp;":Y1673&lt;1000000000),1),Y$4:Y1673)),INDEX(F$4:F1673,MATCH(LARGE(FILTER(K$4:K1673,K$4:K1673&lt;1000000000),1),K$4:K1673)))),AND(K742&lt;1000000000,COUNTA(C742:C1673)&gt;0,P$3=FALSE),
ROUNDDOWN(INDEX(Y$4:Y1673,MATCH(LARGE(FILTER(W$4:W1673,W$4:W1673&lt;=I742),1),W$4:W1673"&amp;"))+(I742-LARGE(FILTER(W$4:W1673,W$4:W1673&lt;=I742),1))*INDEX(T$4:T1673,MATCH(LARGE(FILTER(W$4:W1673,W$4:W1673&lt;=I742),1),W$4:W1673))-K742),1,
ROUNDDOWN(Y742-INDEX(K$4:K1673,MATCH(LARGE(FILTER(I$4:I1673,I$4:I1673&lt;=W742),1),I$4:I1673))-(W742-LARGE(FILTER(I$4:I"&amp;"1673,I$4:I1673&lt;=W742),1))*INDEX(F$4:F1673,MATCH(LARGE(FILTER(I$4:I1673,I$4:I1673&lt;=W742),1),I$4:I1673))))"),"")</f>
        <v/>
      </c>
      <c r="N742" s="60" t="str">
        <f t="shared" si="8"/>
        <v/>
      </c>
      <c r="O742" s="61" t="str">
        <f t="shared" si="9"/>
        <v/>
      </c>
      <c r="P742" s="56" t="str">
        <f t="shared" si="10"/>
        <v/>
      </c>
      <c r="R742" s="10"/>
      <c r="S742" s="59" t="str">
        <f t="array" ref="S742">IF(COUNTA(Q742:Q1673)=0,"",SUM((COUNTIF(Q$4:Q742,Upgrades!$B$3:$B$13)-COUNTIF(Q$4:Q742,"Sell_"&amp;Upgrades!$B$3:$B$13))*Upgrades!$D$3:$D$13))</f>
        <v/>
      </c>
      <c r="T742" s="66" t="str">
        <f>IFERROR(__xludf.DUMMYFUNCTION("IF(COUNTA(Q742:Q1673)=0,"""",IF(REGEXMATCH(INDEX(FILTER(Q$4:Q742,Q$4:Q742&lt;&gt;""""),ROWS(FILTER(Q$4:Q742,Q$4:Q742&lt;&gt;""""))),""^Sell_""),INDEX(FILTER(T$4:T741,Q$4:Q741&lt;&gt;""""),ROWS(FILTER(Q$4:Q741,Q$4:Q741&lt;&gt;""""))),$AD$5+S742))"),"")</f>
        <v/>
      </c>
      <c r="U742" s="10" t="str">
        <f>IFERROR(__xludf.DUMMYFUNCTION("IF(COUNTA(Q742:Q1673)=0,"""",IF(Q742="""",0,IF(REGEXMATCH(Q742,""^Sell_""),-ROUNDDOWN(ROUNDUP(INDEX(Upgrades!$C$3:$C$13,MATCH(SUBSTITUTE(Q742,""Sell_"",""""),Upgrades!$B$3:$B$13,0))*1.15^(COUNTIF(Q$4:Q741,SUBSTITUTE(Q742,""Sell_"",""""))-COUNTIF(Q$4:Q741,"&amp;"""Sell_""&amp;SUBSTITUTE(Q742,""Sell_"",""""))))/2),ROUNDUP(INDEX(Upgrades!$C$3:$C$13,MATCH(Q742,Upgrades!$B$3:$B$13,0))*1.15^(COUNTIF(Q$4:Q741,Q742)-COUNTIF(Q$4:Q741,""Sell_""&amp;Q742))))))"),"")</f>
        <v/>
      </c>
      <c r="V742" s="10" t="str">
        <f t="shared" si="11"/>
        <v/>
      </c>
      <c r="W742" s="68" t="str">
        <f t="shared" si="12"/>
        <v/>
      </c>
      <c r="X742" s="59" t="str">
        <f t="shared" si="13"/>
        <v/>
      </c>
      <c r="Y742" s="69" t="str">
        <f t="shared" si="14"/>
        <v/>
      </c>
      <c r="Z742" s="11"/>
    </row>
    <row r="743">
      <c r="A743" s="8"/>
      <c r="B743" s="56" t="str">
        <f t="shared" si="2"/>
        <v/>
      </c>
      <c r="C743" s="105"/>
      <c r="D743" s="10"/>
      <c r="E743" s="59" t="str">
        <f t="array" ref="E743">IF(COUNTA(C743:C1673)=0,"",SUM((COUNTIF(C$4:C743,Upgrades!$B$3:$B$13)-COUNTIF(C$4:C743,"Sell_"&amp;Upgrades!$B$3:$B$13))*Upgrades!$D$3:$D$13))</f>
        <v/>
      </c>
      <c r="F743" s="66" t="str">
        <f>IFERROR(__xludf.DUMMYFUNCTION("IF(COUNTA(C743:C1673)=0,"""",IF(REGEXMATCH(INDEX(FILTER(C$4:C743,C$4:C743&lt;&gt;""""),ROWS(FILTER(C$4:C743,C$4:C743&lt;&gt;""""))),""^Sell_""),INDEX(FILTER(F$4:F742,C$4:C742&lt;&gt;""""),ROWS(FILTER(C$4:C742,C$4:C742&lt;&gt;""""))),$AC$5+E743))"),"")</f>
        <v/>
      </c>
      <c r="G743" s="10" t="str">
        <f>IFERROR(__xludf.DUMMYFUNCTION("IF(COUNTA(C743:C1673)=0,"""",IF(C743="""",0,IF(REGEXMATCH(C743,""^Sell_""),-ROUNDDOWN(ROUNDUP(INDEX(Upgrades!$C$3:$C$13,MATCH(SUBSTITUTE(C743,""Sell_"",""""),Upgrades!$B$3:$B$13,0))*1.15^(COUNTIF(C$4:C742,SUBSTITUTE(C743,""Sell_"",""""))-COUNTIF(C$4:C742,"&amp;"""Sell_""&amp;SUBSTITUTE(C743,""Sell_"",""""))))/2),ROUNDUP(INDEX(Upgrades!$C$3:$C$13,MATCH(C743,Upgrades!$B$3:$B$13,0))*1.15^(COUNTIF(C$4:C742,C743)-COUNTIF(C$4:C742,""Sell_""&amp;C743))))))"),"")</f>
        <v/>
      </c>
      <c r="H743" s="10" t="str">
        <f t="shared" si="3"/>
        <v/>
      </c>
      <c r="I743" s="68" t="str">
        <f t="shared" si="4"/>
        <v/>
      </c>
      <c r="J743" s="59" t="str">
        <f t="shared" si="5"/>
        <v/>
      </c>
      <c r="K743" s="69" t="str">
        <f t="shared" si="6"/>
        <v/>
      </c>
      <c r="L743" s="60" t="str">
        <f t="shared" si="7"/>
        <v/>
      </c>
      <c r="M743" s="61" t="str">
        <f>IFERROR(__xludf.DUMMYFUNCTION("IFS(AND(COUNTA(C743:C1673)=0,COUNTA(Q743:Q1673)=0),"""",OR(AND(K743&gt;=1000000000,OR(Y743&gt;=1000000000,COUNTA(Q743:Q1673)=0)),OR(Y743&gt;=1000000000,AND(COUNTA(C743:C1673)=0,P$3=TRUE))),
ROUNDDOWN((AB$1-AC$1)*MAX(INDEX(T$4:T1673,MATCH(LARGE(FILTER(Y$4:Y1673,Y$4"&amp;":Y1673&lt;1000000000),1),Y$4:Y1673)),INDEX(F$4:F1673,MATCH(LARGE(FILTER(K$4:K1673,K$4:K1673&lt;1000000000),1),K$4:K1673)))),AND(K743&lt;1000000000,COUNTA(C743:C1673)&gt;0,P$3=FALSE),
ROUNDDOWN(INDEX(Y$4:Y1673,MATCH(LARGE(FILTER(W$4:W1673,W$4:W1673&lt;=I743),1),W$4:W1673"&amp;"))+(I743-LARGE(FILTER(W$4:W1673,W$4:W1673&lt;=I743),1))*INDEX(T$4:T1673,MATCH(LARGE(FILTER(W$4:W1673,W$4:W1673&lt;=I743),1),W$4:W1673))-K743),1,
ROUNDDOWN(Y743-INDEX(K$4:K1673,MATCH(LARGE(FILTER(I$4:I1673,I$4:I1673&lt;=W743),1),I$4:I1673))-(W743-LARGE(FILTER(I$4:I"&amp;"1673,I$4:I1673&lt;=W743),1))*INDEX(F$4:F1673,MATCH(LARGE(FILTER(I$4:I1673,I$4:I1673&lt;=W743),1),I$4:I1673))))"),"")</f>
        <v/>
      </c>
      <c r="N743" s="60" t="str">
        <f t="shared" si="8"/>
        <v/>
      </c>
      <c r="O743" s="61" t="str">
        <f t="shared" si="9"/>
        <v/>
      </c>
      <c r="P743" s="56" t="str">
        <f t="shared" si="10"/>
        <v/>
      </c>
      <c r="R743" s="10"/>
      <c r="S743" s="59" t="str">
        <f t="array" ref="S743">IF(COUNTA(Q743:Q1673)=0,"",SUM((COUNTIF(Q$4:Q743,Upgrades!$B$3:$B$13)-COUNTIF(Q$4:Q743,"Sell_"&amp;Upgrades!$B$3:$B$13))*Upgrades!$D$3:$D$13))</f>
        <v/>
      </c>
      <c r="T743" s="66" t="str">
        <f>IFERROR(__xludf.DUMMYFUNCTION("IF(COUNTA(Q743:Q1673)=0,"""",IF(REGEXMATCH(INDEX(FILTER(Q$4:Q743,Q$4:Q743&lt;&gt;""""),ROWS(FILTER(Q$4:Q743,Q$4:Q743&lt;&gt;""""))),""^Sell_""),INDEX(FILTER(T$4:T742,Q$4:Q742&lt;&gt;""""),ROWS(FILTER(Q$4:Q742,Q$4:Q742&lt;&gt;""""))),$AD$5+S743))"),"")</f>
        <v/>
      </c>
      <c r="U743" s="10" t="str">
        <f>IFERROR(__xludf.DUMMYFUNCTION("IF(COUNTA(Q743:Q1673)=0,"""",IF(Q743="""",0,IF(REGEXMATCH(Q743,""^Sell_""),-ROUNDDOWN(ROUNDUP(INDEX(Upgrades!$C$3:$C$13,MATCH(SUBSTITUTE(Q743,""Sell_"",""""),Upgrades!$B$3:$B$13,0))*1.15^(COUNTIF(Q$4:Q742,SUBSTITUTE(Q743,""Sell_"",""""))-COUNTIF(Q$4:Q742,"&amp;"""Sell_""&amp;SUBSTITUTE(Q743,""Sell_"",""""))))/2),ROUNDUP(INDEX(Upgrades!$C$3:$C$13,MATCH(Q743,Upgrades!$B$3:$B$13,0))*1.15^(COUNTIF(Q$4:Q742,Q743)-COUNTIF(Q$4:Q742,""Sell_""&amp;Q743))))))"),"")</f>
        <v/>
      </c>
      <c r="V743" s="10" t="str">
        <f t="shared" si="11"/>
        <v/>
      </c>
      <c r="W743" s="68" t="str">
        <f t="shared" si="12"/>
        <v/>
      </c>
      <c r="X743" s="59" t="str">
        <f t="shared" si="13"/>
        <v/>
      </c>
      <c r="Y743" s="69" t="str">
        <f t="shared" si="14"/>
        <v/>
      </c>
      <c r="Z743" s="11"/>
    </row>
    <row r="744">
      <c r="A744" s="8"/>
      <c r="B744" s="56" t="str">
        <f t="shared" si="2"/>
        <v/>
      </c>
      <c r="C744" s="105"/>
      <c r="D744" s="10"/>
      <c r="E744" s="59" t="str">
        <f t="array" ref="E744">IF(COUNTA(C744:C1673)=0,"",SUM((COUNTIF(C$4:C744,Upgrades!$B$3:$B$13)-COUNTIF(C$4:C744,"Sell_"&amp;Upgrades!$B$3:$B$13))*Upgrades!$D$3:$D$13))</f>
        <v/>
      </c>
      <c r="F744" s="66" t="str">
        <f>IFERROR(__xludf.DUMMYFUNCTION("IF(COUNTA(C744:C1673)=0,"""",IF(REGEXMATCH(INDEX(FILTER(C$4:C744,C$4:C744&lt;&gt;""""),ROWS(FILTER(C$4:C744,C$4:C744&lt;&gt;""""))),""^Sell_""),INDEX(FILTER(F$4:F743,C$4:C743&lt;&gt;""""),ROWS(FILTER(C$4:C743,C$4:C743&lt;&gt;""""))),$AC$5+E744))"),"")</f>
        <v/>
      </c>
      <c r="G744" s="10" t="str">
        <f>IFERROR(__xludf.DUMMYFUNCTION("IF(COUNTA(C744:C1673)=0,"""",IF(C744="""",0,IF(REGEXMATCH(C744,""^Sell_""),-ROUNDDOWN(ROUNDUP(INDEX(Upgrades!$C$3:$C$13,MATCH(SUBSTITUTE(C744,""Sell_"",""""),Upgrades!$B$3:$B$13,0))*1.15^(COUNTIF(C$4:C743,SUBSTITUTE(C744,""Sell_"",""""))-COUNTIF(C$4:C743,"&amp;"""Sell_""&amp;SUBSTITUTE(C744,""Sell_"",""""))))/2),ROUNDUP(INDEX(Upgrades!$C$3:$C$13,MATCH(C744,Upgrades!$B$3:$B$13,0))*1.15^(COUNTIF(C$4:C743,C744)-COUNTIF(C$4:C743,""Sell_""&amp;C744))))))"),"")</f>
        <v/>
      </c>
      <c r="H744" s="10" t="str">
        <f t="shared" si="3"/>
        <v/>
      </c>
      <c r="I744" s="68" t="str">
        <f t="shared" si="4"/>
        <v/>
      </c>
      <c r="J744" s="59" t="str">
        <f t="shared" si="5"/>
        <v/>
      </c>
      <c r="K744" s="69" t="str">
        <f t="shared" si="6"/>
        <v/>
      </c>
      <c r="L744" s="60" t="str">
        <f t="shared" si="7"/>
        <v/>
      </c>
      <c r="M744" s="61" t="str">
        <f>IFERROR(__xludf.DUMMYFUNCTION("IFS(AND(COUNTA(C744:C1673)=0,COUNTA(Q744:Q1673)=0),"""",OR(AND(K744&gt;=1000000000,OR(Y744&gt;=1000000000,COUNTA(Q744:Q1673)=0)),OR(Y744&gt;=1000000000,AND(COUNTA(C744:C1673)=0,P$3=TRUE))),
ROUNDDOWN((AB$1-AC$1)*MAX(INDEX(T$4:T1673,MATCH(LARGE(FILTER(Y$4:Y1673,Y$4"&amp;":Y1673&lt;1000000000),1),Y$4:Y1673)),INDEX(F$4:F1673,MATCH(LARGE(FILTER(K$4:K1673,K$4:K1673&lt;1000000000),1),K$4:K1673)))),AND(K744&lt;1000000000,COUNTA(C744:C1673)&gt;0,P$3=FALSE),
ROUNDDOWN(INDEX(Y$4:Y1673,MATCH(LARGE(FILTER(W$4:W1673,W$4:W1673&lt;=I744),1),W$4:W1673"&amp;"))+(I744-LARGE(FILTER(W$4:W1673,W$4:W1673&lt;=I744),1))*INDEX(T$4:T1673,MATCH(LARGE(FILTER(W$4:W1673,W$4:W1673&lt;=I744),1),W$4:W1673))-K744),1,
ROUNDDOWN(Y744-INDEX(K$4:K1673,MATCH(LARGE(FILTER(I$4:I1673,I$4:I1673&lt;=W744),1),I$4:I1673))-(W744-LARGE(FILTER(I$4:I"&amp;"1673,I$4:I1673&lt;=W744),1))*INDEX(F$4:F1673,MATCH(LARGE(FILTER(I$4:I1673,I$4:I1673&lt;=W744),1),I$4:I1673))))"),"")</f>
        <v/>
      </c>
      <c r="N744" s="60" t="str">
        <f t="shared" si="8"/>
        <v/>
      </c>
      <c r="O744" s="61" t="str">
        <f t="shared" si="9"/>
        <v/>
      </c>
      <c r="P744" s="56" t="str">
        <f t="shared" si="10"/>
        <v/>
      </c>
      <c r="R744" s="10"/>
      <c r="S744" s="59" t="str">
        <f t="array" ref="S744">IF(COUNTA(Q744:Q1673)=0,"",SUM((COUNTIF(Q$4:Q744,Upgrades!$B$3:$B$13)-COUNTIF(Q$4:Q744,"Sell_"&amp;Upgrades!$B$3:$B$13))*Upgrades!$D$3:$D$13))</f>
        <v/>
      </c>
      <c r="T744" s="66" t="str">
        <f>IFERROR(__xludf.DUMMYFUNCTION("IF(COUNTA(Q744:Q1673)=0,"""",IF(REGEXMATCH(INDEX(FILTER(Q$4:Q744,Q$4:Q744&lt;&gt;""""),ROWS(FILTER(Q$4:Q744,Q$4:Q744&lt;&gt;""""))),""^Sell_""),INDEX(FILTER(T$4:T743,Q$4:Q743&lt;&gt;""""),ROWS(FILTER(Q$4:Q743,Q$4:Q743&lt;&gt;""""))),$AD$5+S744))"),"")</f>
        <v/>
      </c>
      <c r="U744" s="10" t="str">
        <f>IFERROR(__xludf.DUMMYFUNCTION("IF(COUNTA(Q744:Q1673)=0,"""",IF(Q744="""",0,IF(REGEXMATCH(Q744,""^Sell_""),-ROUNDDOWN(ROUNDUP(INDEX(Upgrades!$C$3:$C$13,MATCH(SUBSTITUTE(Q744,""Sell_"",""""),Upgrades!$B$3:$B$13,0))*1.15^(COUNTIF(Q$4:Q743,SUBSTITUTE(Q744,""Sell_"",""""))-COUNTIF(Q$4:Q743,"&amp;"""Sell_""&amp;SUBSTITUTE(Q744,""Sell_"",""""))))/2),ROUNDUP(INDEX(Upgrades!$C$3:$C$13,MATCH(Q744,Upgrades!$B$3:$B$13,0))*1.15^(COUNTIF(Q$4:Q743,Q744)-COUNTIF(Q$4:Q743,""Sell_""&amp;Q744))))))"),"")</f>
        <v/>
      </c>
      <c r="V744" s="10" t="str">
        <f t="shared" si="11"/>
        <v/>
      </c>
      <c r="W744" s="68" t="str">
        <f t="shared" si="12"/>
        <v/>
      </c>
      <c r="X744" s="59" t="str">
        <f t="shared" si="13"/>
        <v/>
      </c>
      <c r="Y744" s="69" t="str">
        <f t="shared" si="14"/>
        <v/>
      </c>
      <c r="Z744" s="11"/>
    </row>
    <row r="745">
      <c r="A745" s="8"/>
      <c r="B745" s="56" t="str">
        <f t="shared" si="2"/>
        <v/>
      </c>
      <c r="C745" s="105"/>
      <c r="D745" s="10"/>
      <c r="E745" s="59" t="str">
        <f t="array" ref="E745">IF(COUNTA(C745:C1673)=0,"",SUM((COUNTIF(C$4:C745,Upgrades!$B$3:$B$13)-COUNTIF(C$4:C745,"Sell_"&amp;Upgrades!$B$3:$B$13))*Upgrades!$D$3:$D$13))</f>
        <v/>
      </c>
      <c r="F745" s="66" t="str">
        <f>IFERROR(__xludf.DUMMYFUNCTION("IF(COUNTA(C745:C1673)=0,"""",IF(REGEXMATCH(INDEX(FILTER(C$4:C745,C$4:C745&lt;&gt;""""),ROWS(FILTER(C$4:C745,C$4:C745&lt;&gt;""""))),""^Sell_""),INDEX(FILTER(F$4:F744,C$4:C744&lt;&gt;""""),ROWS(FILTER(C$4:C744,C$4:C744&lt;&gt;""""))),$AC$5+E745))"),"")</f>
        <v/>
      </c>
      <c r="G745" s="10" t="str">
        <f>IFERROR(__xludf.DUMMYFUNCTION("IF(COUNTA(C745:C1673)=0,"""",IF(C745="""",0,IF(REGEXMATCH(C745,""^Sell_""),-ROUNDDOWN(ROUNDUP(INDEX(Upgrades!$C$3:$C$13,MATCH(SUBSTITUTE(C745,""Sell_"",""""),Upgrades!$B$3:$B$13,0))*1.15^(COUNTIF(C$4:C744,SUBSTITUTE(C745,""Sell_"",""""))-COUNTIF(C$4:C744,"&amp;"""Sell_""&amp;SUBSTITUTE(C745,""Sell_"",""""))))/2),ROUNDUP(INDEX(Upgrades!$C$3:$C$13,MATCH(C745,Upgrades!$B$3:$B$13,0))*1.15^(COUNTIF(C$4:C744,C745)-COUNTIF(C$4:C744,""Sell_""&amp;C745))))))"),"")</f>
        <v/>
      </c>
      <c r="H745" s="10" t="str">
        <f t="shared" si="3"/>
        <v/>
      </c>
      <c r="I745" s="68" t="str">
        <f t="shared" si="4"/>
        <v/>
      </c>
      <c r="J745" s="59" t="str">
        <f t="shared" si="5"/>
        <v/>
      </c>
      <c r="K745" s="69" t="str">
        <f t="shared" si="6"/>
        <v/>
      </c>
      <c r="L745" s="60" t="str">
        <f t="shared" si="7"/>
        <v/>
      </c>
      <c r="M745" s="61" t="str">
        <f>IFERROR(__xludf.DUMMYFUNCTION("IFS(AND(COUNTA(C745:C1673)=0,COUNTA(Q745:Q1673)=0),"""",OR(AND(K745&gt;=1000000000,OR(Y745&gt;=1000000000,COUNTA(Q745:Q1673)=0)),OR(Y745&gt;=1000000000,AND(COUNTA(C745:C1673)=0,P$3=TRUE))),
ROUNDDOWN((AB$1-AC$1)*MAX(INDEX(T$4:T1673,MATCH(LARGE(FILTER(Y$4:Y1673,Y$4"&amp;":Y1673&lt;1000000000),1),Y$4:Y1673)),INDEX(F$4:F1673,MATCH(LARGE(FILTER(K$4:K1673,K$4:K1673&lt;1000000000),1),K$4:K1673)))),AND(K745&lt;1000000000,COUNTA(C745:C1673)&gt;0,P$3=FALSE),
ROUNDDOWN(INDEX(Y$4:Y1673,MATCH(LARGE(FILTER(W$4:W1673,W$4:W1673&lt;=I745),1),W$4:W1673"&amp;"))+(I745-LARGE(FILTER(W$4:W1673,W$4:W1673&lt;=I745),1))*INDEX(T$4:T1673,MATCH(LARGE(FILTER(W$4:W1673,W$4:W1673&lt;=I745),1),W$4:W1673))-K745),1,
ROUNDDOWN(Y745-INDEX(K$4:K1673,MATCH(LARGE(FILTER(I$4:I1673,I$4:I1673&lt;=W745),1),I$4:I1673))-(W745-LARGE(FILTER(I$4:I"&amp;"1673,I$4:I1673&lt;=W745),1))*INDEX(F$4:F1673,MATCH(LARGE(FILTER(I$4:I1673,I$4:I1673&lt;=W745),1),I$4:I1673))))"),"")</f>
        <v/>
      </c>
      <c r="N745" s="60" t="str">
        <f t="shared" si="8"/>
        <v/>
      </c>
      <c r="O745" s="61" t="str">
        <f t="shared" si="9"/>
        <v/>
      </c>
      <c r="P745" s="56" t="str">
        <f t="shared" si="10"/>
        <v/>
      </c>
      <c r="R745" s="10"/>
      <c r="S745" s="59" t="str">
        <f t="array" ref="S745">IF(COUNTA(Q745:Q1673)=0,"",SUM((COUNTIF(Q$4:Q745,Upgrades!$B$3:$B$13)-COUNTIF(Q$4:Q745,"Sell_"&amp;Upgrades!$B$3:$B$13))*Upgrades!$D$3:$D$13))</f>
        <v/>
      </c>
      <c r="T745" s="66" t="str">
        <f>IFERROR(__xludf.DUMMYFUNCTION("IF(COUNTA(Q745:Q1673)=0,"""",IF(REGEXMATCH(INDEX(FILTER(Q$4:Q745,Q$4:Q745&lt;&gt;""""),ROWS(FILTER(Q$4:Q745,Q$4:Q745&lt;&gt;""""))),""^Sell_""),INDEX(FILTER(T$4:T744,Q$4:Q744&lt;&gt;""""),ROWS(FILTER(Q$4:Q744,Q$4:Q744&lt;&gt;""""))),$AD$5+S745))"),"")</f>
        <v/>
      </c>
      <c r="U745" s="10" t="str">
        <f>IFERROR(__xludf.DUMMYFUNCTION("IF(COUNTA(Q745:Q1673)=0,"""",IF(Q745="""",0,IF(REGEXMATCH(Q745,""^Sell_""),-ROUNDDOWN(ROUNDUP(INDEX(Upgrades!$C$3:$C$13,MATCH(SUBSTITUTE(Q745,""Sell_"",""""),Upgrades!$B$3:$B$13,0))*1.15^(COUNTIF(Q$4:Q744,SUBSTITUTE(Q745,""Sell_"",""""))-COUNTIF(Q$4:Q744,"&amp;"""Sell_""&amp;SUBSTITUTE(Q745,""Sell_"",""""))))/2),ROUNDUP(INDEX(Upgrades!$C$3:$C$13,MATCH(Q745,Upgrades!$B$3:$B$13,0))*1.15^(COUNTIF(Q$4:Q744,Q745)-COUNTIF(Q$4:Q744,""Sell_""&amp;Q745))))))"),"")</f>
        <v/>
      </c>
      <c r="V745" s="10" t="str">
        <f t="shared" si="11"/>
        <v/>
      </c>
      <c r="W745" s="68" t="str">
        <f t="shared" si="12"/>
        <v/>
      </c>
      <c r="X745" s="59" t="str">
        <f t="shared" si="13"/>
        <v/>
      </c>
      <c r="Y745" s="69" t="str">
        <f t="shared" si="14"/>
        <v/>
      </c>
      <c r="Z745" s="11"/>
    </row>
    <row r="746">
      <c r="A746" s="8"/>
      <c r="B746" s="56" t="str">
        <f t="shared" si="2"/>
        <v/>
      </c>
      <c r="C746" s="105"/>
      <c r="D746" s="10"/>
      <c r="E746" s="59" t="str">
        <f t="array" ref="E746">IF(COUNTA(C746:C1673)=0,"",SUM((COUNTIF(C$4:C746,Upgrades!$B$3:$B$13)-COUNTIF(C$4:C746,"Sell_"&amp;Upgrades!$B$3:$B$13))*Upgrades!$D$3:$D$13))</f>
        <v/>
      </c>
      <c r="F746" s="66" t="str">
        <f>IFERROR(__xludf.DUMMYFUNCTION("IF(COUNTA(C746:C1673)=0,"""",IF(REGEXMATCH(INDEX(FILTER(C$4:C746,C$4:C746&lt;&gt;""""),ROWS(FILTER(C$4:C746,C$4:C746&lt;&gt;""""))),""^Sell_""),INDEX(FILTER(F$4:F745,C$4:C745&lt;&gt;""""),ROWS(FILTER(C$4:C745,C$4:C745&lt;&gt;""""))),$AC$5+E746))"),"")</f>
        <v/>
      </c>
      <c r="G746" s="10" t="str">
        <f>IFERROR(__xludf.DUMMYFUNCTION("IF(COUNTA(C746:C1673)=0,"""",IF(C746="""",0,IF(REGEXMATCH(C746,""^Sell_""),-ROUNDDOWN(ROUNDUP(INDEX(Upgrades!$C$3:$C$13,MATCH(SUBSTITUTE(C746,""Sell_"",""""),Upgrades!$B$3:$B$13,0))*1.15^(COUNTIF(C$4:C745,SUBSTITUTE(C746,""Sell_"",""""))-COUNTIF(C$4:C745,"&amp;"""Sell_""&amp;SUBSTITUTE(C746,""Sell_"",""""))))/2),ROUNDUP(INDEX(Upgrades!$C$3:$C$13,MATCH(C746,Upgrades!$B$3:$B$13,0))*1.15^(COUNTIF(C$4:C745,C746)-COUNTIF(C$4:C745,""Sell_""&amp;C746))))))"),"")</f>
        <v/>
      </c>
      <c r="H746" s="10" t="str">
        <f t="shared" si="3"/>
        <v/>
      </c>
      <c r="I746" s="68" t="str">
        <f t="shared" si="4"/>
        <v/>
      </c>
      <c r="J746" s="59" t="str">
        <f t="shared" si="5"/>
        <v/>
      </c>
      <c r="K746" s="69" t="str">
        <f t="shared" si="6"/>
        <v/>
      </c>
      <c r="L746" s="60" t="str">
        <f t="shared" si="7"/>
        <v/>
      </c>
      <c r="M746" s="61" t="str">
        <f>IFERROR(__xludf.DUMMYFUNCTION("IFS(AND(COUNTA(C746:C1673)=0,COUNTA(Q746:Q1673)=0),"""",OR(AND(K746&gt;=1000000000,OR(Y746&gt;=1000000000,COUNTA(Q746:Q1673)=0)),OR(Y746&gt;=1000000000,AND(COUNTA(C746:C1673)=0,P$3=TRUE))),
ROUNDDOWN((AB$1-AC$1)*MAX(INDEX(T$4:T1673,MATCH(LARGE(FILTER(Y$4:Y1673,Y$4"&amp;":Y1673&lt;1000000000),1),Y$4:Y1673)),INDEX(F$4:F1673,MATCH(LARGE(FILTER(K$4:K1673,K$4:K1673&lt;1000000000),1),K$4:K1673)))),AND(K746&lt;1000000000,COUNTA(C746:C1673)&gt;0,P$3=FALSE),
ROUNDDOWN(INDEX(Y$4:Y1673,MATCH(LARGE(FILTER(W$4:W1673,W$4:W1673&lt;=I746),1),W$4:W1673"&amp;"))+(I746-LARGE(FILTER(W$4:W1673,W$4:W1673&lt;=I746),1))*INDEX(T$4:T1673,MATCH(LARGE(FILTER(W$4:W1673,W$4:W1673&lt;=I746),1),W$4:W1673))-K746),1,
ROUNDDOWN(Y746-INDEX(K$4:K1673,MATCH(LARGE(FILTER(I$4:I1673,I$4:I1673&lt;=W746),1),I$4:I1673))-(W746-LARGE(FILTER(I$4:I"&amp;"1673,I$4:I1673&lt;=W746),1))*INDEX(F$4:F1673,MATCH(LARGE(FILTER(I$4:I1673,I$4:I1673&lt;=W746),1),I$4:I1673))))"),"")</f>
        <v/>
      </c>
      <c r="N746" s="60" t="str">
        <f t="shared" si="8"/>
        <v/>
      </c>
      <c r="O746" s="61" t="str">
        <f t="shared" si="9"/>
        <v/>
      </c>
      <c r="P746" s="56" t="str">
        <f t="shared" si="10"/>
        <v/>
      </c>
      <c r="R746" s="10"/>
      <c r="S746" s="59" t="str">
        <f t="array" ref="S746">IF(COUNTA(Q746:Q1673)=0,"",SUM((COUNTIF(Q$4:Q746,Upgrades!$B$3:$B$13)-COUNTIF(Q$4:Q746,"Sell_"&amp;Upgrades!$B$3:$B$13))*Upgrades!$D$3:$D$13))</f>
        <v/>
      </c>
      <c r="T746" s="66" t="str">
        <f>IFERROR(__xludf.DUMMYFUNCTION("IF(COUNTA(Q746:Q1673)=0,"""",IF(REGEXMATCH(INDEX(FILTER(Q$4:Q746,Q$4:Q746&lt;&gt;""""),ROWS(FILTER(Q$4:Q746,Q$4:Q746&lt;&gt;""""))),""^Sell_""),INDEX(FILTER(T$4:T745,Q$4:Q745&lt;&gt;""""),ROWS(FILTER(Q$4:Q745,Q$4:Q745&lt;&gt;""""))),$AD$5+S746))"),"")</f>
        <v/>
      </c>
      <c r="U746" s="10" t="str">
        <f>IFERROR(__xludf.DUMMYFUNCTION("IF(COUNTA(Q746:Q1673)=0,"""",IF(Q746="""",0,IF(REGEXMATCH(Q746,""^Sell_""),-ROUNDDOWN(ROUNDUP(INDEX(Upgrades!$C$3:$C$13,MATCH(SUBSTITUTE(Q746,""Sell_"",""""),Upgrades!$B$3:$B$13,0))*1.15^(COUNTIF(Q$4:Q745,SUBSTITUTE(Q746,""Sell_"",""""))-COUNTIF(Q$4:Q745,"&amp;"""Sell_""&amp;SUBSTITUTE(Q746,""Sell_"",""""))))/2),ROUNDUP(INDEX(Upgrades!$C$3:$C$13,MATCH(Q746,Upgrades!$B$3:$B$13,0))*1.15^(COUNTIF(Q$4:Q745,Q746)-COUNTIF(Q$4:Q745,""Sell_""&amp;Q746))))))"),"")</f>
        <v/>
      </c>
      <c r="V746" s="10" t="str">
        <f t="shared" si="11"/>
        <v/>
      </c>
      <c r="W746" s="68" t="str">
        <f t="shared" si="12"/>
        <v/>
      </c>
      <c r="X746" s="59" t="str">
        <f t="shared" si="13"/>
        <v/>
      </c>
      <c r="Y746" s="69" t="str">
        <f t="shared" si="14"/>
        <v/>
      </c>
      <c r="Z746" s="11"/>
    </row>
    <row r="747">
      <c r="A747" s="8"/>
      <c r="B747" s="56" t="str">
        <f t="shared" si="2"/>
        <v/>
      </c>
      <c r="C747" s="105"/>
      <c r="D747" s="10"/>
      <c r="E747" s="59" t="str">
        <f t="array" ref="E747">IF(COUNTA(C747:C1673)=0,"",SUM((COUNTIF(C$4:C747,Upgrades!$B$3:$B$13)-COUNTIF(C$4:C747,"Sell_"&amp;Upgrades!$B$3:$B$13))*Upgrades!$D$3:$D$13))</f>
        <v/>
      </c>
      <c r="F747" s="66" t="str">
        <f>IFERROR(__xludf.DUMMYFUNCTION("IF(COUNTA(C747:C1673)=0,"""",IF(REGEXMATCH(INDEX(FILTER(C$4:C747,C$4:C747&lt;&gt;""""),ROWS(FILTER(C$4:C747,C$4:C747&lt;&gt;""""))),""^Sell_""),INDEX(FILTER(F$4:F746,C$4:C746&lt;&gt;""""),ROWS(FILTER(C$4:C746,C$4:C746&lt;&gt;""""))),$AC$5+E747))"),"")</f>
        <v/>
      </c>
      <c r="G747" s="10" t="str">
        <f>IFERROR(__xludf.DUMMYFUNCTION("IF(COUNTA(C747:C1673)=0,"""",IF(C747="""",0,IF(REGEXMATCH(C747,""^Sell_""),-ROUNDDOWN(ROUNDUP(INDEX(Upgrades!$C$3:$C$13,MATCH(SUBSTITUTE(C747,""Sell_"",""""),Upgrades!$B$3:$B$13,0))*1.15^(COUNTIF(C$4:C746,SUBSTITUTE(C747,""Sell_"",""""))-COUNTIF(C$4:C746,"&amp;"""Sell_""&amp;SUBSTITUTE(C747,""Sell_"",""""))))/2),ROUNDUP(INDEX(Upgrades!$C$3:$C$13,MATCH(C747,Upgrades!$B$3:$B$13,0))*1.15^(COUNTIF(C$4:C746,C747)-COUNTIF(C$4:C746,""Sell_""&amp;C747))))))"),"")</f>
        <v/>
      </c>
      <c r="H747" s="10" t="str">
        <f t="shared" si="3"/>
        <v/>
      </c>
      <c r="I747" s="68" t="str">
        <f t="shared" si="4"/>
        <v/>
      </c>
      <c r="J747" s="59" t="str">
        <f t="shared" si="5"/>
        <v/>
      </c>
      <c r="K747" s="69" t="str">
        <f t="shared" si="6"/>
        <v/>
      </c>
      <c r="L747" s="60" t="str">
        <f t="shared" si="7"/>
        <v/>
      </c>
      <c r="M747" s="61" t="str">
        <f>IFERROR(__xludf.DUMMYFUNCTION("IFS(AND(COUNTA(C747:C1673)=0,COUNTA(Q747:Q1673)=0),"""",OR(AND(K747&gt;=1000000000,OR(Y747&gt;=1000000000,COUNTA(Q747:Q1673)=0)),OR(Y747&gt;=1000000000,AND(COUNTA(C747:C1673)=0,P$3=TRUE))),
ROUNDDOWN((AB$1-AC$1)*MAX(INDEX(T$4:T1673,MATCH(LARGE(FILTER(Y$4:Y1673,Y$4"&amp;":Y1673&lt;1000000000),1),Y$4:Y1673)),INDEX(F$4:F1673,MATCH(LARGE(FILTER(K$4:K1673,K$4:K1673&lt;1000000000),1),K$4:K1673)))),AND(K747&lt;1000000000,COUNTA(C747:C1673)&gt;0,P$3=FALSE),
ROUNDDOWN(INDEX(Y$4:Y1673,MATCH(LARGE(FILTER(W$4:W1673,W$4:W1673&lt;=I747),1),W$4:W1673"&amp;"))+(I747-LARGE(FILTER(W$4:W1673,W$4:W1673&lt;=I747),1))*INDEX(T$4:T1673,MATCH(LARGE(FILTER(W$4:W1673,W$4:W1673&lt;=I747),1),W$4:W1673))-K747),1,
ROUNDDOWN(Y747-INDEX(K$4:K1673,MATCH(LARGE(FILTER(I$4:I1673,I$4:I1673&lt;=W747),1),I$4:I1673))-(W747-LARGE(FILTER(I$4:I"&amp;"1673,I$4:I1673&lt;=W747),1))*INDEX(F$4:F1673,MATCH(LARGE(FILTER(I$4:I1673,I$4:I1673&lt;=W747),1),I$4:I1673))))"),"")</f>
        <v/>
      </c>
      <c r="N747" s="60" t="str">
        <f t="shared" si="8"/>
        <v/>
      </c>
      <c r="O747" s="61" t="str">
        <f t="shared" si="9"/>
        <v/>
      </c>
      <c r="P747" s="56" t="str">
        <f t="shared" si="10"/>
        <v/>
      </c>
      <c r="R747" s="10"/>
      <c r="S747" s="59" t="str">
        <f t="array" ref="S747">IF(COUNTA(Q747:Q1673)=0,"",SUM((COUNTIF(Q$4:Q747,Upgrades!$B$3:$B$13)-COUNTIF(Q$4:Q747,"Sell_"&amp;Upgrades!$B$3:$B$13))*Upgrades!$D$3:$D$13))</f>
        <v/>
      </c>
      <c r="T747" s="66" t="str">
        <f>IFERROR(__xludf.DUMMYFUNCTION("IF(COUNTA(Q747:Q1673)=0,"""",IF(REGEXMATCH(INDEX(FILTER(Q$4:Q747,Q$4:Q747&lt;&gt;""""),ROWS(FILTER(Q$4:Q747,Q$4:Q747&lt;&gt;""""))),""^Sell_""),INDEX(FILTER(T$4:T746,Q$4:Q746&lt;&gt;""""),ROWS(FILTER(Q$4:Q746,Q$4:Q746&lt;&gt;""""))),$AD$5+S747))"),"")</f>
        <v/>
      </c>
      <c r="U747" s="10" t="str">
        <f>IFERROR(__xludf.DUMMYFUNCTION("IF(COUNTA(Q747:Q1673)=0,"""",IF(Q747="""",0,IF(REGEXMATCH(Q747,""^Sell_""),-ROUNDDOWN(ROUNDUP(INDEX(Upgrades!$C$3:$C$13,MATCH(SUBSTITUTE(Q747,""Sell_"",""""),Upgrades!$B$3:$B$13,0))*1.15^(COUNTIF(Q$4:Q746,SUBSTITUTE(Q747,""Sell_"",""""))-COUNTIF(Q$4:Q746,"&amp;"""Sell_""&amp;SUBSTITUTE(Q747,""Sell_"",""""))))/2),ROUNDUP(INDEX(Upgrades!$C$3:$C$13,MATCH(Q747,Upgrades!$B$3:$B$13,0))*1.15^(COUNTIF(Q$4:Q746,Q747)-COUNTIF(Q$4:Q746,""Sell_""&amp;Q747))))))"),"")</f>
        <v/>
      </c>
      <c r="V747" s="10" t="str">
        <f t="shared" si="11"/>
        <v/>
      </c>
      <c r="W747" s="68" t="str">
        <f t="shared" si="12"/>
        <v/>
      </c>
      <c r="X747" s="59" t="str">
        <f t="shared" si="13"/>
        <v/>
      </c>
      <c r="Y747" s="69" t="str">
        <f t="shared" si="14"/>
        <v/>
      </c>
      <c r="Z747" s="11"/>
    </row>
    <row r="748">
      <c r="A748" s="8"/>
      <c r="B748" s="56" t="str">
        <f t="shared" si="2"/>
        <v/>
      </c>
      <c r="C748" s="105"/>
      <c r="D748" s="10"/>
      <c r="E748" s="59" t="str">
        <f t="array" ref="E748">IF(COUNTA(C748:C1673)=0,"",SUM((COUNTIF(C$4:C748,Upgrades!$B$3:$B$13)-COUNTIF(C$4:C748,"Sell_"&amp;Upgrades!$B$3:$B$13))*Upgrades!$D$3:$D$13))</f>
        <v/>
      </c>
      <c r="F748" s="66" t="str">
        <f>IFERROR(__xludf.DUMMYFUNCTION("IF(COUNTA(C748:C1673)=0,"""",IF(REGEXMATCH(INDEX(FILTER(C$4:C748,C$4:C748&lt;&gt;""""),ROWS(FILTER(C$4:C748,C$4:C748&lt;&gt;""""))),""^Sell_""),INDEX(FILTER(F$4:F747,C$4:C747&lt;&gt;""""),ROWS(FILTER(C$4:C747,C$4:C747&lt;&gt;""""))),$AC$5+E748))"),"")</f>
        <v/>
      </c>
      <c r="G748" s="10" t="str">
        <f>IFERROR(__xludf.DUMMYFUNCTION("IF(COUNTA(C748:C1673)=0,"""",IF(C748="""",0,IF(REGEXMATCH(C748,""^Sell_""),-ROUNDDOWN(ROUNDUP(INDEX(Upgrades!$C$3:$C$13,MATCH(SUBSTITUTE(C748,""Sell_"",""""),Upgrades!$B$3:$B$13,0))*1.15^(COUNTIF(C$4:C747,SUBSTITUTE(C748,""Sell_"",""""))-COUNTIF(C$4:C747,"&amp;"""Sell_""&amp;SUBSTITUTE(C748,""Sell_"",""""))))/2),ROUNDUP(INDEX(Upgrades!$C$3:$C$13,MATCH(C748,Upgrades!$B$3:$B$13,0))*1.15^(COUNTIF(C$4:C747,C748)-COUNTIF(C$4:C747,""Sell_""&amp;C748))))))"),"")</f>
        <v/>
      </c>
      <c r="H748" s="10" t="str">
        <f t="shared" si="3"/>
        <v/>
      </c>
      <c r="I748" s="68" t="str">
        <f t="shared" si="4"/>
        <v/>
      </c>
      <c r="J748" s="59" t="str">
        <f t="shared" si="5"/>
        <v/>
      </c>
      <c r="K748" s="69" t="str">
        <f t="shared" si="6"/>
        <v/>
      </c>
      <c r="L748" s="60" t="str">
        <f t="shared" si="7"/>
        <v/>
      </c>
      <c r="M748" s="61" t="str">
        <f>IFERROR(__xludf.DUMMYFUNCTION("IFS(AND(COUNTA(C748:C1673)=0,COUNTA(Q748:Q1673)=0),"""",OR(AND(K748&gt;=1000000000,OR(Y748&gt;=1000000000,COUNTA(Q748:Q1673)=0)),OR(Y748&gt;=1000000000,AND(COUNTA(C748:C1673)=0,P$3=TRUE))),
ROUNDDOWN((AB$1-AC$1)*MAX(INDEX(T$4:T1673,MATCH(LARGE(FILTER(Y$4:Y1673,Y$4"&amp;":Y1673&lt;1000000000),1),Y$4:Y1673)),INDEX(F$4:F1673,MATCH(LARGE(FILTER(K$4:K1673,K$4:K1673&lt;1000000000),1),K$4:K1673)))),AND(K748&lt;1000000000,COUNTA(C748:C1673)&gt;0,P$3=FALSE),
ROUNDDOWN(INDEX(Y$4:Y1673,MATCH(LARGE(FILTER(W$4:W1673,W$4:W1673&lt;=I748),1),W$4:W1673"&amp;"))+(I748-LARGE(FILTER(W$4:W1673,W$4:W1673&lt;=I748),1))*INDEX(T$4:T1673,MATCH(LARGE(FILTER(W$4:W1673,W$4:W1673&lt;=I748),1),W$4:W1673))-K748),1,
ROUNDDOWN(Y748-INDEX(K$4:K1673,MATCH(LARGE(FILTER(I$4:I1673,I$4:I1673&lt;=W748),1),I$4:I1673))-(W748-LARGE(FILTER(I$4:I"&amp;"1673,I$4:I1673&lt;=W748),1))*INDEX(F$4:F1673,MATCH(LARGE(FILTER(I$4:I1673,I$4:I1673&lt;=W748),1),I$4:I1673))))"),"")</f>
        <v/>
      </c>
      <c r="N748" s="60" t="str">
        <f t="shared" si="8"/>
        <v/>
      </c>
      <c r="O748" s="61" t="str">
        <f t="shared" si="9"/>
        <v/>
      </c>
      <c r="P748" s="56" t="str">
        <f t="shared" si="10"/>
        <v/>
      </c>
      <c r="R748" s="10"/>
      <c r="S748" s="59" t="str">
        <f t="array" ref="S748">IF(COUNTA(Q748:Q1673)=0,"",SUM((COUNTIF(Q$4:Q748,Upgrades!$B$3:$B$13)-COUNTIF(Q$4:Q748,"Sell_"&amp;Upgrades!$B$3:$B$13))*Upgrades!$D$3:$D$13))</f>
        <v/>
      </c>
      <c r="T748" s="66" t="str">
        <f>IFERROR(__xludf.DUMMYFUNCTION("IF(COUNTA(Q748:Q1673)=0,"""",IF(REGEXMATCH(INDEX(FILTER(Q$4:Q748,Q$4:Q748&lt;&gt;""""),ROWS(FILTER(Q$4:Q748,Q$4:Q748&lt;&gt;""""))),""^Sell_""),INDEX(FILTER(T$4:T747,Q$4:Q747&lt;&gt;""""),ROWS(FILTER(Q$4:Q747,Q$4:Q747&lt;&gt;""""))),$AD$5+S748))"),"")</f>
        <v/>
      </c>
      <c r="U748" s="10" t="str">
        <f>IFERROR(__xludf.DUMMYFUNCTION("IF(COUNTA(Q748:Q1673)=0,"""",IF(Q748="""",0,IF(REGEXMATCH(Q748,""^Sell_""),-ROUNDDOWN(ROUNDUP(INDEX(Upgrades!$C$3:$C$13,MATCH(SUBSTITUTE(Q748,""Sell_"",""""),Upgrades!$B$3:$B$13,0))*1.15^(COUNTIF(Q$4:Q747,SUBSTITUTE(Q748,""Sell_"",""""))-COUNTIF(Q$4:Q747,"&amp;"""Sell_""&amp;SUBSTITUTE(Q748,""Sell_"",""""))))/2),ROUNDUP(INDEX(Upgrades!$C$3:$C$13,MATCH(Q748,Upgrades!$B$3:$B$13,0))*1.15^(COUNTIF(Q$4:Q747,Q748)-COUNTIF(Q$4:Q747,""Sell_""&amp;Q748))))))"),"")</f>
        <v/>
      </c>
      <c r="V748" s="10" t="str">
        <f t="shared" si="11"/>
        <v/>
      </c>
      <c r="W748" s="68" t="str">
        <f t="shared" si="12"/>
        <v/>
      </c>
      <c r="X748" s="59" t="str">
        <f t="shared" si="13"/>
        <v/>
      </c>
      <c r="Y748" s="69" t="str">
        <f t="shared" si="14"/>
        <v/>
      </c>
      <c r="Z748" s="11"/>
    </row>
    <row r="749">
      <c r="A749" s="8"/>
      <c r="B749" s="56" t="str">
        <f t="shared" si="2"/>
        <v/>
      </c>
      <c r="C749" s="105"/>
      <c r="D749" s="10"/>
      <c r="E749" s="59" t="str">
        <f t="array" ref="E749">IF(COUNTA(C749:C1673)=0,"",SUM((COUNTIF(C$4:C749,Upgrades!$B$3:$B$13)-COUNTIF(C$4:C749,"Sell_"&amp;Upgrades!$B$3:$B$13))*Upgrades!$D$3:$D$13))</f>
        <v/>
      </c>
      <c r="F749" s="66" t="str">
        <f>IFERROR(__xludf.DUMMYFUNCTION("IF(COUNTA(C749:C1673)=0,"""",IF(REGEXMATCH(INDEX(FILTER(C$4:C749,C$4:C749&lt;&gt;""""),ROWS(FILTER(C$4:C749,C$4:C749&lt;&gt;""""))),""^Sell_""),INDEX(FILTER(F$4:F748,C$4:C748&lt;&gt;""""),ROWS(FILTER(C$4:C748,C$4:C748&lt;&gt;""""))),$AC$5+E749))"),"")</f>
        <v/>
      </c>
      <c r="G749" s="10" t="str">
        <f>IFERROR(__xludf.DUMMYFUNCTION("IF(COUNTA(C749:C1673)=0,"""",IF(C749="""",0,IF(REGEXMATCH(C749,""^Sell_""),-ROUNDDOWN(ROUNDUP(INDEX(Upgrades!$C$3:$C$13,MATCH(SUBSTITUTE(C749,""Sell_"",""""),Upgrades!$B$3:$B$13,0))*1.15^(COUNTIF(C$4:C748,SUBSTITUTE(C749,""Sell_"",""""))-COUNTIF(C$4:C748,"&amp;"""Sell_""&amp;SUBSTITUTE(C749,""Sell_"",""""))))/2),ROUNDUP(INDEX(Upgrades!$C$3:$C$13,MATCH(C749,Upgrades!$B$3:$B$13,0))*1.15^(COUNTIF(C$4:C748,C749)-COUNTIF(C$4:C748,""Sell_""&amp;C749))))))"),"")</f>
        <v/>
      </c>
      <c r="H749" s="10" t="str">
        <f t="shared" si="3"/>
        <v/>
      </c>
      <c r="I749" s="68" t="str">
        <f t="shared" si="4"/>
        <v/>
      </c>
      <c r="J749" s="59" t="str">
        <f t="shared" si="5"/>
        <v/>
      </c>
      <c r="K749" s="69" t="str">
        <f t="shared" si="6"/>
        <v/>
      </c>
      <c r="L749" s="60" t="str">
        <f t="shared" si="7"/>
        <v/>
      </c>
      <c r="M749" s="61" t="str">
        <f>IFERROR(__xludf.DUMMYFUNCTION("IFS(AND(COUNTA(C749:C1673)=0,COUNTA(Q749:Q1673)=0),"""",OR(AND(K749&gt;=1000000000,OR(Y749&gt;=1000000000,COUNTA(Q749:Q1673)=0)),OR(Y749&gt;=1000000000,AND(COUNTA(C749:C1673)=0,P$3=TRUE))),
ROUNDDOWN((AB$1-AC$1)*MAX(INDEX(T$4:T1673,MATCH(LARGE(FILTER(Y$4:Y1673,Y$4"&amp;":Y1673&lt;1000000000),1),Y$4:Y1673)),INDEX(F$4:F1673,MATCH(LARGE(FILTER(K$4:K1673,K$4:K1673&lt;1000000000),1),K$4:K1673)))),AND(K749&lt;1000000000,COUNTA(C749:C1673)&gt;0,P$3=FALSE),
ROUNDDOWN(INDEX(Y$4:Y1673,MATCH(LARGE(FILTER(W$4:W1673,W$4:W1673&lt;=I749),1),W$4:W1673"&amp;"))+(I749-LARGE(FILTER(W$4:W1673,W$4:W1673&lt;=I749),1))*INDEX(T$4:T1673,MATCH(LARGE(FILTER(W$4:W1673,W$4:W1673&lt;=I749),1),W$4:W1673))-K749),1,
ROUNDDOWN(Y749-INDEX(K$4:K1673,MATCH(LARGE(FILTER(I$4:I1673,I$4:I1673&lt;=W749),1),I$4:I1673))-(W749-LARGE(FILTER(I$4:I"&amp;"1673,I$4:I1673&lt;=W749),1))*INDEX(F$4:F1673,MATCH(LARGE(FILTER(I$4:I1673,I$4:I1673&lt;=W749),1),I$4:I1673))))"),"")</f>
        <v/>
      </c>
      <c r="N749" s="60" t="str">
        <f t="shared" si="8"/>
        <v/>
      </c>
      <c r="O749" s="61" t="str">
        <f t="shared" si="9"/>
        <v/>
      </c>
      <c r="P749" s="56" t="str">
        <f t="shared" si="10"/>
        <v/>
      </c>
      <c r="R749" s="10"/>
      <c r="S749" s="59" t="str">
        <f t="array" ref="S749">IF(COUNTA(Q749:Q1673)=0,"",SUM((COUNTIF(Q$4:Q749,Upgrades!$B$3:$B$13)-COUNTIF(Q$4:Q749,"Sell_"&amp;Upgrades!$B$3:$B$13))*Upgrades!$D$3:$D$13))</f>
        <v/>
      </c>
      <c r="T749" s="66" t="str">
        <f>IFERROR(__xludf.DUMMYFUNCTION("IF(COUNTA(Q749:Q1673)=0,"""",IF(REGEXMATCH(INDEX(FILTER(Q$4:Q749,Q$4:Q749&lt;&gt;""""),ROWS(FILTER(Q$4:Q749,Q$4:Q749&lt;&gt;""""))),""^Sell_""),INDEX(FILTER(T$4:T748,Q$4:Q748&lt;&gt;""""),ROWS(FILTER(Q$4:Q748,Q$4:Q748&lt;&gt;""""))),$AD$5+S749))"),"")</f>
        <v/>
      </c>
      <c r="U749" s="10" t="str">
        <f>IFERROR(__xludf.DUMMYFUNCTION("IF(COUNTA(Q749:Q1673)=0,"""",IF(Q749="""",0,IF(REGEXMATCH(Q749,""^Sell_""),-ROUNDDOWN(ROUNDUP(INDEX(Upgrades!$C$3:$C$13,MATCH(SUBSTITUTE(Q749,""Sell_"",""""),Upgrades!$B$3:$B$13,0))*1.15^(COUNTIF(Q$4:Q748,SUBSTITUTE(Q749,""Sell_"",""""))-COUNTIF(Q$4:Q748,"&amp;"""Sell_""&amp;SUBSTITUTE(Q749,""Sell_"",""""))))/2),ROUNDUP(INDEX(Upgrades!$C$3:$C$13,MATCH(Q749,Upgrades!$B$3:$B$13,0))*1.15^(COUNTIF(Q$4:Q748,Q749)-COUNTIF(Q$4:Q748,""Sell_""&amp;Q749))))))"),"")</f>
        <v/>
      </c>
      <c r="V749" s="10" t="str">
        <f t="shared" si="11"/>
        <v/>
      </c>
      <c r="W749" s="68" t="str">
        <f t="shared" si="12"/>
        <v/>
      </c>
      <c r="X749" s="59" t="str">
        <f t="shared" si="13"/>
        <v/>
      </c>
      <c r="Y749" s="69" t="str">
        <f t="shared" si="14"/>
        <v/>
      </c>
      <c r="Z749" s="11"/>
    </row>
    <row r="750">
      <c r="A750" s="8"/>
      <c r="B750" s="56" t="str">
        <f t="shared" si="2"/>
        <v/>
      </c>
      <c r="C750" s="105"/>
      <c r="D750" s="10"/>
      <c r="E750" s="59" t="str">
        <f t="array" ref="E750">IF(COUNTA(C750:C1673)=0,"",SUM((COUNTIF(C$4:C750,Upgrades!$B$3:$B$13)-COUNTIF(C$4:C750,"Sell_"&amp;Upgrades!$B$3:$B$13))*Upgrades!$D$3:$D$13))</f>
        <v/>
      </c>
      <c r="F750" s="66" t="str">
        <f>IFERROR(__xludf.DUMMYFUNCTION("IF(COUNTA(C750:C1673)=0,"""",IF(REGEXMATCH(INDEX(FILTER(C$4:C750,C$4:C750&lt;&gt;""""),ROWS(FILTER(C$4:C750,C$4:C750&lt;&gt;""""))),""^Sell_""),INDEX(FILTER(F$4:F749,C$4:C749&lt;&gt;""""),ROWS(FILTER(C$4:C749,C$4:C749&lt;&gt;""""))),$AC$5+E750))"),"")</f>
        <v/>
      </c>
      <c r="G750" s="10" t="str">
        <f>IFERROR(__xludf.DUMMYFUNCTION("IF(COUNTA(C750:C1673)=0,"""",IF(C750="""",0,IF(REGEXMATCH(C750,""^Sell_""),-ROUNDDOWN(ROUNDUP(INDEX(Upgrades!$C$3:$C$13,MATCH(SUBSTITUTE(C750,""Sell_"",""""),Upgrades!$B$3:$B$13,0))*1.15^(COUNTIF(C$4:C749,SUBSTITUTE(C750,""Sell_"",""""))-COUNTIF(C$4:C749,"&amp;"""Sell_""&amp;SUBSTITUTE(C750,""Sell_"",""""))))/2),ROUNDUP(INDEX(Upgrades!$C$3:$C$13,MATCH(C750,Upgrades!$B$3:$B$13,0))*1.15^(COUNTIF(C$4:C749,C750)-COUNTIF(C$4:C749,""Sell_""&amp;C750))))))"),"")</f>
        <v/>
      </c>
      <c r="H750" s="10" t="str">
        <f t="shared" si="3"/>
        <v/>
      </c>
      <c r="I750" s="68" t="str">
        <f t="shared" si="4"/>
        <v/>
      </c>
      <c r="J750" s="59" t="str">
        <f t="shared" si="5"/>
        <v/>
      </c>
      <c r="K750" s="69" t="str">
        <f t="shared" si="6"/>
        <v/>
      </c>
      <c r="L750" s="60" t="str">
        <f t="shared" si="7"/>
        <v/>
      </c>
      <c r="M750" s="61" t="str">
        <f>IFERROR(__xludf.DUMMYFUNCTION("IFS(AND(COUNTA(C750:C1673)=0,COUNTA(Q750:Q1673)=0),"""",OR(AND(K750&gt;=1000000000,OR(Y750&gt;=1000000000,COUNTA(Q750:Q1673)=0)),OR(Y750&gt;=1000000000,AND(COUNTA(C750:C1673)=0,P$3=TRUE))),
ROUNDDOWN((AB$1-AC$1)*MAX(INDEX(T$4:T1673,MATCH(LARGE(FILTER(Y$4:Y1673,Y$4"&amp;":Y1673&lt;1000000000),1),Y$4:Y1673)),INDEX(F$4:F1673,MATCH(LARGE(FILTER(K$4:K1673,K$4:K1673&lt;1000000000),1),K$4:K1673)))),AND(K750&lt;1000000000,COUNTA(C750:C1673)&gt;0,P$3=FALSE),
ROUNDDOWN(INDEX(Y$4:Y1673,MATCH(LARGE(FILTER(W$4:W1673,W$4:W1673&lt;=I750),1),W$4:W1673"&amp;"))+(I750-LARGE(FILTER(W$4:W1673,W$4:W1673&lt;=I750),1))*INDEX(T$4:T1673,MATCH(LARGE(FILTER(W$4:W1673,W$4:W1673&lt;=I750),1),W$4:W1673))-K750),1,
ROUNDDOWN(Y750-INDEX(K$4:K1673,MATCH(LARGE(FILTER(I$4:I1673,I$4:I1673&lt;=W750),1),I$4:I1673))-(W750-LARGE(FILTER(I$4:I"&amp;"1673,I$4:I1673&lt;=W750),1))*INDEX(F$4:F1673,MATCH(LARGE(FILTER(I$4:I1673,I$4:I1673&lt;=W750),1),I$4:I1673))))"),"")</f>
        <v/>
      </c>
      <c r="N750" s="60" t="str">
        <f t="shared" si="8"/>
        <v/>
      </c>
      <c r="O750" s="61" t="str">
        <f t="shared" si="9"/>
        <v/>
      </c>
      <c r="P750" s="56" t="str">
        <f t="shared" si="10"/>
        <v/>
      </c>
      <c r="R750" s="10"/>
      <c r="S750" s="59" t="str">
        <f t="array" ref="S750">IF(COUNTA(Q750:Q1673)=0,"",SUM((COUNTIF(Q$4:Q750,Upgrades!$B$3:$B$13)-COUNTIF(Q$4:Q750,"Sell_"&amp;Upgrades!$B$3:$B$13))*Upgrades!$D$3:$D$13))</f>
        <v/>
      </c>
      <c r="T750" s="66" t="str">
        <f>IFERROR(__xludf.DUMMYFUNCTION("IF(COUNTA(Q750:Q1673)=0,"""",IF(REGEXMATCH(INDEX(FILTER(Q$4:Q750,Q$4:Q750&lt;&gt;""""),ROWS(FILTER(Q$4:Q750,Q$4:Q750&lt;&gt;""""))),""^Sell_""),INDEX(FILTER(T$4:T749,Q$4:Q749&lt;&gt;""""),ROWS(FILTER(Q$4:Q749,Q$4:Q749&lt;&gt;""""))),$AD$5+S750))"),"")</f>
        <v/>
      </c>
      <c r="U750" s="10" t="str">
        <f>IFERROR(__xludf.DUMMYFUNCTION("IF(COUNTA(Q750:Q1673)=0,"""",IF(Q750="""",0,IF(REGEXMATCH(Q750,""^Sell_""),-ROUNDDOWN(ROUNDUP(INDEX(Upgrades!$C$3:$C$13,MATCH(SUBSTITUTE(Q750,""Sell_"",""""),Upgrades!$B$3:$B$13,0))*1.15^(COUNTIF(Q$4:Q749,SUBSTITUTE(Q750,""Sell_"",""""))-COUNTIF(Q$4:Q749,"&amp;"""Sell_""&amp;SUBSTITUTE(Q750,""Sell_"",""""))))/2),ROUNDUP(INDEX(Upgrades!$C$3:$C$13,MATCH(Q750,Upgrades!$B$3:$B$13,0))*1.15^(COUNTIF(Q$4:Q749,Q750)-COUNTIF(Q$4:Q749,""Sell_""&amp;Q750))))))"),"")</f>
        <v/>
      </c>
      <c r="V750" s="10" t="str">
        <f t="shared" si="11"/>
        <v/>
      </c>
      <c r="W750" s="68" t="str">
        <f t="shared" si="12"/>
        <v/>
      </c>
      <c r="X750" s="59" t="str">
        <f t="shared" si="13"/>
        <v/>
      </c>
      <c r="Y750" s="69" t="str">
        <f t="shared" si="14"/>
        <v/>
      </c>
      <c r="Z750" s="11"/>
    </row>
    <row r="751">
      <c r="A751" s="8"/>
      <c r="B751" s="56" t="str">
        <f t="shared" si="2"/>
        <v/>
      </c>
      <c r="C751" s="105"/>
      <c r="D751" s="10"/>
      <c r="E751" s="59" t="str">
        <f t="array" ref="E751">IF(COUNTA(C751:C1673)=0,"",SUM((COUNTIF(C$4:C751,Upgrades!$B$3:$B$13)-COUNTIF(C$4:C751,"Sell_"&amp;Upgrades!$B$3:$B$13))*Upgrades!$D$3:$D$13))</f>
        <v/>
      </c>
      <c r="F751" s="66" t="str">
        <f>IFERROR(__xludf.DUMMYFUNCTION("IF(COUNTA(C751:C1673)=0,"""",IF(REGEXMATCH(INDEX(FILTER(C$4:C751,C$4:C751&lt;&gt;""""),ROWS(FILTER(C$4:C751,C$4:C751&lt;&gt;""""))),""^Sell_""),INDEX(FILTER(F$4:F750,C$4:C750&lt;&gt;""""),ROWS(FILTER(C$4:C750,C$4:C750&lt;&gt;""""))),$AC$5+E751))"),"")</f>
        <v/>
      </c>
      <c r="G751" s="10" t="str">
        <f>IFERROR(__xludf.DUMMYFUNCTION("IF(COUNTA(C751:C1673)=0,"""",IF(C751="""",0,IF(REGEXMATCH(C751,""^Sell_""),-ROUNDDOWN(ROUNDUP(INDEX(Upgrades!$C$3:$C$13,MATCH(SUBSTITUTE(C751,""Sell_"",""""),Upgrades!$B$3:$B$13,0))*1.15^(COUNTIF(C$4:C750,SUBSTITUTE(C751,""Sell_"",""""))-COUNTIF(C$4:C750,"&amp;"""Sell_""&amp;SUBSTITUTE(C751,""Sell_"",""""))))/2),ROUNDUP(INDEX(Upgrades!$C$3:$C$13,MATCH(C751,Upgrades!$B$3:$B$13,0))*1.15^(COUNTIF(C$4:C750,C751)-COUNTIF(C$4:C750,""Sell_""&amp;C751))))))"),"")</f>
        <v/>
      </c>
      <c r="H751" s="10" t="str">
        <f t="shared" si="3"/>
        <v/>
      </c>
      <c r="I751" s="68" t="str">
        <f t="shared" si="4"/>
        <v/>
      </c>
      <c r="J751" s="59" t="str">
        <f t="shared" si="5"/>
        <v/>
      </c>
      <c r="K751" s="69" t="str">
        <f t="shared" si="6"/>
        <v/>
      </c>
      <c r="L751" s="60" t="str">
        <f t="shared" si="7"/>
        <v/>
      </c>
      <c r="M751" s="61" t="str">
        <f>IFERROR(__xludf.DUMMYFUNCTION("IFS(AND(COUNTA(C751:C1673)=0,COUNTA(Q751:Q1673)=0),"""",OR(AND(K751&gt;=1000000000,OR(Y751&gt;=1000000000,COUNTA(Q751:Q1673)=0)),OR(Y751&gt;=1000000000,AND(COUNTA(C751:C1673)=0,P$3=TRUE))),
ROUNDDOWN((AB$1-AC$1)*MAX(INDEX(T$4:T1673,MATCH(LARGE(FILTER(Y$4:Y1673,Y$4"&amp;":Y1673&lt;1000000000),1),Y$4:Y1673)),INDEX(F$4:F1673,MATCH(LARGE(FILTER(K$4:K1673,K$4:K1673&lt;1000000000),1),K$4:K1673)))),AND(K751&lt;1000000000,COUNTA(C751:C1673)&gt;0,P$3=FALSE),
ROUNDDOWN(INDEX(Y$4:Y1673,MATCH(LARGE(FILTER(W$4:W1673,W$4:W1673&lt;=I751),1),W$4:W1673"&amp;"))+(I751-LARGE(FILTER(W$4:W1673,W$4:W1673&lt;=I751),1))*INDEX(T$4:T1673,MATCH(LARGE(FILTER(W$4:W1673,W$4:W1673&lt;=I751),1),W$4:W1673))-K751),1,
ROUNDDOWN(Y751-INDEX(K$4:K1673,MATCH(LARGE(FILTER(I$4:I1673,I$4:I1673&lt;=W751),1),I$4:I1673))-(W751-LARGE(FILTER(I$4:I"&amp;"1673,I$4:I1673&lt;=W751),1))*INDEX(F$4:F1673,MATCH(LARGE(FILTER(I$4:I1673,I$4:I1673&lt;=W751),1),I$4:I1673))))"),"")</f>
        <v/>
      </c>
      <c r="N751" s="60" t="str">
        <f t="shared" si="8"/>
        <v/>
      </c>
      <c r="O751" s="61" t="str">
        <f t="shared" si="9"/>
        <v/>
      </c>
      <c r="P751" s="56" t="str">
        <f t="shared" si="10"/>
        <v/>
      </c>
      <c r="R751" s="10"/>
      <c r="S751" s="59" t="str">
        <f t="array" ref="S751">IF(COUNTA(Q751:Q1673)=0,"",SUM((COUNTIF(Q$4:Q751,Upgrades!$B$3:$B$13)-COUNTIF(Q$4:Q751,"Sell_"&amp;Upgrades!$B$3:$B$13))*Upgrades!$D$3:$D$13))</f>
        <v/>
      </c>
      <c r="T751" s="66" t="str">
        <f>IFERROR(__xludf.DUMMYFUNCTION("IF(COUNTA(Q751:Q1673)=0,"""",IF(REGEXMATCH(INDEX(FILTER(Q$4:Q751,Q$4:Q751&lt;&gt;""""),ROWS(FILTER(Q$4:Q751,Q$4:Q751&lt;&gt;""""))),""^Sell_""),INDEX(FILTER(T$4:T750,Q$4:Q750&lt;&gt;""""),ROWS(FILTER(Q$4:Q750,Q$4:Q750&lt;&gt;""""))),$AD$5+S751))"),"")</f>
        <v/>
      </c>
      <c r="U751" s="10" t="str">
        <f>IFERROR(__xludf.DUMMYFUNCTION("IF(COUNTA(Q751:Q1673)=0,"""",IF(Q751="""",0,IF(REGEXMATCH(Q751,""^Sell_""),-ROUNDDOWN(ROUNDUP(INDEX(Upgrades!$C$3:$C$13,MATCH(SUBSTITUTE(Q751,""Sell_"",""""),Upgrades!$B$3:$B$13,0))*1.15^(COUNTIF(Q$4:Q750,SUBSTITUTE(Q751,""Sell_"",""""))-COUNTIF(Q$4:Q750,"&amp;"""Sell_""&amp;SUBSTITUTE(Q751,""Sell_"",""""))))/2),ROUNDUP(INDEX(Upgrades!$C$3:$C$13,MATCH(Q751,Upgrades!$B$3:$B$13,0))*1.15^(COUNTIF(Q$4:Q750,Q751)-COUNTIF(Q$4:Q750,""Sell_""&amp;Q751))))))"),"")</f>
        <v/>
      </c>
      <c r="V751" s="10" t="str">
        <f t="shared" si="11"/>
        <v/>
      </c>
      <c r="W751" s="68" t="str">
        <f t="shared" si="12"/>
        <v/>
      </c>
      <c r="X751" s="59" t="str">
        <f t="shared" si="13"/>
        <v/>
      </c>
      <c r="Y751" s="69" t="str">
        <f t="shared" si="14"/>
        <v/>
      </c>
      <c r="Z751" s="11"/>
    </row>
    <row r="752">
      <c r="A752" s="8"/>
      <c r="B752" s="56" t="str">
        <f t="shared" si="2"/>
        <v/>
      </c>
      <c r="C752" s="105"/>
      <c r="D752" s="10"/>
      <c r="E752" s="59" t="str">
        <f t="array" ref="E752">IF(COUNTA(C752:C1673)=0,"",SUM((COUNTIF(C$4:C752,Upgrades!$B$3:$B$13)-COUNTIF(C$4:C752,"Sell_"&amp;Upgrades!$B$3:$B$13))*Upgrades!$D$3:$D$13))</f>
        <v/>
      </c>
      <c r="F752" s="66" t="str">
        <f>IFERROR(__xludf.DUMMYFUNCTION("IF(COUNTA(C752:C1673)=0,"""",IF(REGEXMATCH(INDEX(FILTER(C$4:C752,C$4:C752&lt;&gt;""""),ROWS(FILTER(C$4:C752,C$4:C752&lt;&gt;""""))),""^Sell_""),INDEX(FILTER(F$4:F751,C$4:C751&lt;&gt;""""),ROWS(FILTER(C$4:C751,C$4:C751&lt;&gt;""""))),$AC$5+E752))"),"")</f>
        <v/>
      </c>
      <c r="G752" s="10" t="str">
        <f>IFERROR(__xludf.DUMMYFUNCTION("IF(COUNTA(C752:C1673)=0,"""",IF(C752="""",0,IF(REGEXMATCH(C752,""^Sell_""),-ROUNDDOWN(ROUNDUP(INDEX(Upgrades!$C$3:$C$13,MATCH(SUBSTITUTE(C752,""Sell_"",""""),Upgrades!$B$3:$B$13,0))*1.15^(COUNTIF(C$4:C751,SUBSTITUTE(C752,""Sell_"",""""))-COUNTIF(C$4:C751,"&amp;"""Sell_""&amp;SUBSTITUTE(C752,""Sell_"",""""))))/2),ROUNDUP(INDEX(Upgrades!$C$3:$C$13,MATCH(C752,Upgrades!$B$3:$B$13,0))*1.15^(COUNTIF(C$4:C751,C752)-COUNTIF(C$4:C751,""Sell_""&amp;C752))))))"),"")</f>
        <v/>
      </c>
      <c r="H752" s="10" t="str">
        <f t="shared" si="3"/>
        <v/>
      </c>
      <c r="I752" s="68" t="str">
        <f t="shared" si="4"/>
        <v/>
      </c>
      <c r="J752" s="59" t="str">
        <f t="shared" si="5"/>
        <v/>
      </c>
      <c r="K752" s="69" t="str">
        <f t="shared" si="6"/>
        <v/>
      </c>
      <c r="L752" s="60" t="str">
        <f t="shared" si="7"/>
        <v/>
      </c>
      <c r="M752" s="61" t="str">
        <f>IFERROR(__xludf.DUMMYFUNCTION("IFS(AND(COUNTA(C752:C1673)=0,COUNTA(Q752:Q1673)=0),"""",OR(AND(K752&gt;=1000000000,OR(Y752&gt;=1000000000,COUNTA(Q752:Q1673)=0)),OR(Y752&gt;=1000000000,AND(COUNTA(C752:C1673)=0,P$3=TRUE))),
ROUNDDOWN((AB$1-AC$1)*MAX(INDEX(T$4:T1673,MATCH(LARGE(FILTER(Y$4:Y1673,Y$4"&amp;":Y1673&lt;1000000000),1),Y$4:Y1673)),INDEX(F$4:F1673,MATCH(LARGE(FILTER(K$4:K1673,K$4:K1673&lt;1000000000),1),K$4:K1673)))),AND(K752&lt;1000000000,COUNTA(C752:C1673)&gt;0,P$3=FALSE),
ROUNDDOWN(INDEX(Y$4:Y1673,MATCH(LARGE(FILTER(W$4:W1673,W$4:W1673&lt;=I752),1),W$4:W1673"&amp;"))+(I752-LARGE(FILTER(W$4:W1673,W$4:W1673&lt;=I752),1))*INDEX(T$4:T1673,MATCH(LARGE(FILTER(W$4:W1673,W$4:W1673&lt;=I752),1),W$4:W1673))-K752),1,
ROUNDDOWN(Y752-INDEX(K$4:K1673,MATCH(LARGE(FILTER(I$4:I1673,I$4:I1673&lt;=W752),1),I$4:I1673))-(W752-LARGE(FILTER(I$4:I"&amp;"1673,I$4:I1673&lt;=W752),1))*INDEX(F$4:F1673,MATCH(LARGE(FILTER(I$4:I1673,I$4:I1673&lt;=W752),1),I$4:I1673))))"),"")</f>
        <v/>
      </c>
      <c r="N752" s="60" t="str">
        <f t="shared" si="8"/>
        <v/>
      </c>
      <c r="O752" s="61" t="str">
        <f t="shared" si="9"/>
        <v/>
      </c>
      <c r="P752" s="56" t="str">
        <f t="shared" si="10"/>
        <v/>
      </c>
      <c r="R752" s="10"/>
      <c r="S752" s="59" t="str">
        <f t="array" ref="S752">IF(COUNTA(Q752:Q1673)=0,"",SUM((COUNTIF(Q$4:Q752,Upgrades!$B$3:$B$13)-COUNTIF(Q$4:Q752,"Sell_"&amp;Upgrades!$B$3:$B$13))*Upgrades!$D$3:$D$13))</f>
        <v/>
      </c>
      <c r="T752" s="66" t="str">
        <f>IFERROR(__xludf.DUMMYFUNCTION("IF(COUNTA(Q752:Q1673)=0,"""",IF(REGEXMATCH(INDEX(FILTER(Q$4:Q752,Q$4:Q752&lt;&gt;""""),ROWS(FILTER(Q$4:Q752,Q$4:Q752&lt;&gt;""""))),""^Sell_""),INDEX(FILTER(T$4:T751,Q$4:Q751&lt;&gt;""""),ROWS(FILTER(Q$4:Q751,Q$4:Q751&lt;&gt;""""))),$AD$5+S752))"),"")</f>
        <v/>
      </c>
      <c r="U752" s="10" t="str">
        <f>IFERROR(__xludf.DUMMYFUNCTION("IF(COUNTA(Q752:Q1673)=0,"""",IF(Q752="""",0,IF(REGEXMATCH(Q752,""^Sell_""),-ROUNDDOWN(ROUNDUP(INDEX(Upgrades!$C$3:$C$13,MATCH(SUBSTITUTE(Q752,""Sell_"",""""),Upgrades!$B$3:$B$13,0))*1.15^(COUNTIF(Q$4:Q751,SUBSTITUTE(Q752,""Sell_"",""""))-COUNTIF(Q$4:Q751,"&amp;"""Sell_""&amp;SUBSTITUTE(Q752,""Sell_"",""""))))/2),ROUNDUP(INDEX(Upgrades!$C$3:$C$13,MATCH(Q752,Upgrades!$B$3:$B$13,0))*1.15^(COUNTIF(Q$4:Q751,Q752)-COUNTIF(Q$4:Q751,""Sell_""&amp;Q752))))))"),"")</f>
        <v/>
      </c>
      <c r="V752" s="10" t="str">
        <f t="shared" si="11"/>
        <v/>
      </c>
      <c r="W752" s="68" t="str">
        <f t="shared" si="12"/>
        <v/>
      </c>
      <c r="X752" s="59" t="str">
        <f t="shared" si="13"/>
        <v/>
      </c>
      <c r="Y752" s="69" t="str">
        <f t="shared" si="14"/>
        <v/>
      </c>
      <c r="Z752" s="11"/>
    </row>
    <row r="753">
      <c r="A753" s="8"/>
      <c r="B753" s="56" t="str">
        <f t="shared" si="2"/>
        <v/>
      </c>
      <c r="C753" s="105"/>
      <c r="D753" s="10"/>
      <c r="E753" s="59" t="str">
        <f t="array" ref="E753">IF(COUNTA(C753:C1673)=0,"",SUM((COUNTIF(C$4:C753,Upgrades!$B$3:$B$13)-COUNTIF(C$4:C753,"Sell_"&amp;Upgrades!$B$3:$B$13))*Upgrades!$D$3:$D$13))</f>
        <v/>
      </c>
      <c r="F753" s="66" t="str">
        <f>IFERROR(__xludf.DUMMYFUNCTION("IF(COUNTA(C753:C1673)=0,"""",IF(REGEXMATCH(INDEX(FILTER(C$4:C753,C$4:C753&lt;&gt;""""),ROWS(FILTER(C$4:C753,C$4:C753&lt;&gt;""""))),""^Sell_""),INDEX(FILTER(F$4:F752,C$4:C752&lt;&gt;""""),ROWS(FILTER(C$4:C752,C$4:C752&lt;&gt;""""))),$AC$5+E753))"),"")</f>
        <v/>
      </c>
      <c r="G753" s="10" t="str">
        <f>IFERROR(__xludf.DUMMYFUNCTION("IF(COUNTA(C753:C1673)=0,"""",IF(C753="""",0,IF(REGEXMATCH(C753,""^Sell_""),-ROUNDDOWN(ROUNDUP(INDEX(Upgrades!$C$3:$C$13,MATCH(SUBSTITUTE(C753,""Sell_"",""""),Upgrades!$B$3:$B$13,0))*1.15^(COUNTIF(C$4:C752,SUBSTITUTE(C753,""Sell_"",""""))-COUNTIF(C$4:C752,"&amp;"""Sell_""&amp;SUBSTITUTE(C753,""Sell_"",""""))))/2),ROUNDUP(INDEX(Upgrades!$C$3:$C$13,MATCH(C753,Upgrades!$B$3:$B$13,0))*1.15^(COUNTIF(C$4:C752,C753)-COUNTIF(C$4:C752,""Sell_""&amp;C753))))))"),"")</f>
        <v/>
      </c>
      <c r="H753" s="10" t="str">
        <f t="shared" si="3"/>
        <v/>
      </c>
      <c r="I753" s="68" t="str">
        <f t="shared" si="4"/>
        <v/>
      </c>
      <c r="J753" s="59" t="str">
        <f t="shared" si="5"/>
        <v/>
      </c>
      <c r="K753" s="69" t="str">
        <f t="shared" si="6"/>
        <v/>
      </c>
      <c r="L753" s="60" t="str">
        <f t="shared" si="7"/>
        <v/>
      </c>
      <c r="M753" s="61" t="str">
        <f>IFERROR(__xludf.DUMMYFUNCTION("IFS(AND(COUNTA(C753:C1673)=0,COUNTA(Q753:Q1673)=0),"""",OR(AND(K753&gt;=1000000000,OR(Y753&gt;=1000000000,COUNTA(Q753:Q1673)=0)),OR(Y753&gt;=1000000000,AND(COUNTA(C753:C1673)=0,P$3=TRUE))),
ROUNDDOWN((AB$1-AC$1)*MAX(INDEX(T$4:T1673,MATCH(LARGE(FILTER(Y$4:Y1673,Y$4"&amp;":Y1673&lt;1000000000),1),Y$4:Y1673)),INDEX(F$4:F1673,MATCH(LARGE(FILTER(K$4:K1673,K$4:K1673&lt;1000000000),1),K$4:K1673)))),AND(K753&lt;1000000000,COUNTA(C753:C1673)&gt;0,P$3=FALSE),
ROUNDDOWN(INDEX(Y$4:Y1673,MATCH(LARGE(FILTER(W$4:W1673,W$4:W1673&lt;=I753),1),W$4:W1673"&amp;"))+(I753-LARGE(FILTER(W$4:W1673,W$4:W1673&lt;=I753),1))*INDEX(T$4:T1673,MATCH(LARGE(FILTER(W$4:W1673,W$4:W1673&lt;=I753),1),W$4:W1673))-K753),1,
ROUNDDOWN(Y753-INDEX(K$4:K1673,MATCH(LARGE(FILTER(I$4:I1673,I$4:I1673&lt;=W753),1),I$4:I1673))-(W753-LARGE(FILTER(I$4:I"&amp;"1673,I$4:I1673&lt;=W753),1))*INDEX(F$4:F1673,MATCH(LARGE(FILTER(I$4:I1673,I$4:I1673&lt;=W753),1),I$4:I1673))))"),"")</f>
        <v/>
      </c>
      <c r="N753" s="60" t="str">
        <f t="shared" si="8"/>
        <v/>
      </c>
      <c r="O753" s="61" t="str">
        <f t="shared" si="9"/>
        <v/>
      </c>
      <c r="P753" s="56" t="str">
        <f t="shared" si="10"/>
        <v/>
      </c>
      <c r="R753" s="10"/>
      <c r="S753" s="59" t="str">
        <f t="array" ref="S753">IF(COUNTA(Q753:Q1673)=0,"",SUM((COUNTIF(Q$4:Q753,Upgrades!$B$3:$B$13)-COUNTIF(Q$4:Q753,"Sell_"&amp;Upgrades!$B$3:$B$13))*Upgrades!$D$3:$D$13))</f>
        <v/>
      </c>
      <c r="T753" s="66" t="str">
        <f>IFERROR(__xludf.DUMMYFUNCTION("IF(COUNTA(Q753:Q1673)=0,"""",IF(REGEXMATCH(INDEX(FILTER(Q$4:Q753,Q$4:Q753&lt;&gt;""""),ROWS(FILTER(Q$4:Q753,Q$4:Q753&lt;&gt;""""))),""^Sell_""),INDEX(FILTER(T$4:T752,Q$4:Q752&lt;&gt;""""),ROWS(FILTER(Q$4:Q752,Q$4:Q752&lt;&gt;""""))),$AD$5+S753))"),"")</f>
        <v/>
      </c>
      <c r="U753" s="10" t="str">
        <f>IFERROR(__xludf.DUMMYFUNCTION("IF(COUNTA(Q753:Q1673)=0,"""",IF(Q753="""",0,IF(REGEXMATCH(Q753,""^Sell_""),-ROUNDDOWN(ROUNDUP(INDEX(Upgrades!$C$3:$C$13,MATCH(SUBSTITUTE(Q753,""Sell_"",""""),Upgrades!$B$3:$B$13,0))*1.15^(COUNTIF(Q$4:Q752,SUBSTITUTE(Q753,""Sell_"",""""))-COUNTIF(Q$4:Q752,"&amp;"""Sell_""&amp;SUBSTITUTE(Q753,""Sell_"",""""))))/2),ROUNDUP(INDEX(Upgrades!$C$3:$C$13,MATCH(Q753,Upgrades!$B$3:$B$13,0))*1.15^(COUNTIF(Q$4:Q752,Q753)-COUNTIF(Q$4:Q752,""Sell_""&amp;Q753))))))"),"")</f>
        <v/>
      </c>
      <c r="V753" s="10" t="str">
        <f t="shared" si="11"/>
        <v/>
      </c>
      <c r="W753" s="68" t="str">
        <f t="shared" si="12"/>
        <v/>
      </c>
      <c r="X753" s="59" t="str">
        <f t="shared" si="13"/>
        <v/>
      </c>
      <c r="Y753" s="69" t="str">
        <f t="shared" si="14"/>
        <v/>
      </c>
      <c r="Z753" s="11"/>
    </row>
    <row r="754">
      <c r="A754" s="8"/>
      <c r="B754" s="56" t="str">
        <f t="shared" si="2"/>
        <v/>
      </c>
      <c r="C754" s="105"/>
      <c r="D754" s="10"/>
      <c r="E754" s="59" t="str">
        <f t="array" ref="E754">IF(COUNTA(C754:C1673)=0,"",SUM((COUNTIF(C$4:C754,Upgrades!$B$3:$B$13)-COUNTIF(C$4:C754,"Sell_"&amp;Upgrades!$B$3:$B$13))*Upgrades!$D$3:$D$13))</f>
        <v/>
      </c>
      <c r="F754" s="66" t="str">
        <f>IFERROR(__xludf.DUMMYFUNCTION("IF(COUNTA(C754:C1673)=0,"""",IF(REGEXMATCH(INDEX(FILTER(C$4:C754,C$4:C754&lt;&gt;""""),ROWS(FILTER(C$4:C754,C$4:C754&lt;&gt;""""))),""^Sell_""),INDEX(FILTER(F$4:F753,C$4:C753&lt;&gt;""""),ROWS(FILTER(C$4:C753,C$4:C753&lt;&gt;""""))),$AC$5+E754))"),"")</f>
        <v/>
      </c>
      <c r="G754" s="10" t="str">
        <f>IFERROR(__xludf.DUMMYFUNCTION("IF(COUNTA(C754:C1673)=0,"""",IF(C754="""",0,IF(REGEXMATCH(C754,""^Sell_""),-ROUNDDOWN(ROUNDUP(INDEX(Upgrades!$C$3:$C$13,MATCH(SUBSTITUTE(C754,""Sell_"",""""),Upgrades!$B$3:$B$13,0))*1.15^(COUNTIF(C$4:C753,SUBSTITUTE(C754,""Sell_"",""""))-COUNTIF(C$4:C753,"&amp;"""Sell_""&amp;SUBSTITUTE(C754,""Sell_"",""""))))/2),ROUNDUP(INDEX(Upgrades!$C$3:$C$13,MATCH(C754,Upgrades!$B$3:$B$13,0))*1.15^(COUNTIF(C$4:C753,C754)-COUNTIF(C$4:C753,""Sell_""&amp;C754))))))"),"")</f>
        <v/>
      </c>
      <c r="H754" s="10" t="str">
        <f t="shared" si="3"/>
        <v/>
      </c>
      <c r="I754" s="68" t="str">
        <f t="shared" si="4"/>
        <v/>
      </c>
      <c r="J754" s="59" t="str">
        <f t="shared" si="5"/>
        <v/>
      </c>
      <c r="K754" s="69" t="str">
        <f t="shared" si="6"/>
        <v/>
      </c>
      <c r="L754" s="60" t="str">
        <f t="shared" si="7"/>
        <v/>
      </c>
      <c r="M754" s="61" t="str">
        <f>IFERROR(__xludf.DUMMYFUNCTION("IFS(AND(COUNTA(C754:C1673)=0,COUNTA(Q754:Q1673)=0),"""",OR(AND(K754&gt;=1000000000,OR(Y754&gt;=1000000000,COUNTA(Q754:Q1673)=0)),OR(Y754&gt;=1000000000,AND(COUNTA(C754:C1673)=0,P$3=TRUE))),
ROUNDDOWN((AB$1-AC$1)*MAX(INDEX(T$4:T1673,MATCH(LARGE(FILTER(Y$4:Y1673,Y$4"&amp;":Y1673&lt;1000000000),1),Y$4:Y1673)),INDEX(F$4:F1673,MATCH(LARGE(FILTER(K$4:K1673,K$4:K1673&lt;1000000000),1),K$4:K1673)))),AND(K754&lt;1000000000,COUNTA(C754:C1673)&gt;0,P$3=FALSE),
ROUNDDOWN(INDEX(Y$4:Y1673,MATCH(LARGE(FILTER(W$4:W1673,W$4:W1673&lt;=I754),1),W$4:W1673"&amp;"))+(I754-LARGE(FILTER(W$4:W1673,W$4:W1673&lt;=I754),1))*INDEX(T$4:T1673,MATCH(LARGE(FILTER(W$4:W1673,W$4:W1673&lt;=I754),1),W$4:W1673))-K754),1,
ROUNDDOWN(Y754-INDEX(K$4:K1673,MATCH(LARGE(FILTER(I$4:I1673,I$4:I1673&lt;=W754),1),I$4:I1673))-(W754-LARGE(FILTER(I$4:I"&amp;"1673,I$4:I1673&lt;=W754),1))*INDEX(F$4:F1673,MATCH(LARGE(FILTER(I$4:I1673,I$4:I1673&lt;=W754),1),I$4:I1673))))"),"")</f>
        <v/>
      </c>
      <c r="N754" s="60" t="str">
        <f t="shared" si="8"/>
        <v/>
      </c>
      <c r="O754" s="61" t="str">
        <f t="shared" si="9"/>
        <v/>
      </c>
      <c r="P754" s="56" t="str">
        <f t="shared" si="10"/>
        <v/>
      </c>
      <c r="R754" s="10"/>
      <c r="S754" s="59" t="str">
        <f t="array" ref="S754">IF(COUNTA(Q754:Q1673)=0,"",SUM((COUNTIF(Q$4:Q754,Upgrades!$B$3:$B$13)-COUNTIF(Q$4:Q754,"Sell_"&amp;Upgrades!$B$3:$B$13))*Upgrades!$D$3:$D$13))</f>
        <v/>
      </c>
      <c r="T754" s="66" t="str">
        <f>IFERROR(__xludf.DUMMYFUNCTION("IF(COUNTA(Q754:Q1673)=0,"""",IF(REGEXMATCH(INDEX(FILTER(Q$4:Q754,Q$4:Q754&lt;&gt;""""),ROWS(FILTER(Q$4:Q754,Q$4:Q754&lt;&gt;""""))),""^Sell_""),INDEX(FILTER(T$4:T753,Q$4:Q753&lt;&gt;""""),ROWS(FILTER(Q$4:Q753,Q$4:Q753&lt;&gt;""""))),$AD$5+S754))"),"")</f>
        <v/>
      </c>
      <c r="U754" s="10" t="str">
        <f>IFERROR(__xludf.DUMMYFUNCTION("IF(COUNTA(Q754:Q1673)=0,"""",IF(Q754="""",0,IF(REGEXMATCH(Q754,""^Sell_""),-ROUNDDOWN(ROUNDUP(INDEX(Upgrades!$C$3:$C$13,MATCH(SUBSTITUTE(Q754,""Sell_"",""""),Upgrades!$B$3:$B$13,0))*1.15^(COUNTIF(Q$4:Q753,SUBSTITUTE(Q754,""Sell_"",""""))-COUNTIF(Q$4:Q753,"&amp;"""Sell_""&amp;SUBSTITUTE(Q754,""Sell_"",""""))))/2),ROUNDUP(INDEX(Upgrades!$C$3:$C$13,MATCH(Q754,Upgrades!$B$3:$B$13,0))*1.15^(COUNTIF(Q$4:Q753,Q754)-COUNTIF(Q$4:Q753,""Sell_""&amp;Q754))))))"),"")</f>
        <v/>
      </c>
      <c r="V754" s="10" t="str">
        <f t="shared" si="11"/>
        <v/>
      </c>
      <c r="W754" s="68" t="str">
        <f t="shared" si="12"/>
        <v/>
      </c>
      <c r="X754" s="59" t="str">
        <f t="shared" si="13"/>
        <v/>
      </c>
      <c r="Y754" s="69" t="str">
        <f t="shared" si="14"/>
        <v/>
      </c>
      <c r="Z754" s="11"/>
    </row>
    <row r="755">
      <c r="A755" s="8"/>
      <c r="B755" s="56" t="str">
        <f t="shared" si="2"/>
        <v/>
      </c>
      <c r="C755" s="105"/>
      <c r="D755" s="10"/>
      <c r="E755" s="59" t="str">
        <f t="array" ref="E755">IF(COUNTA(C755:C1673)=0,"",SUM((COUNTIF(C$4:C755,Upgrades!$B$3:$B$13)-COUNTIF(C$4:C755,"Sell_"&amp;Upgrades!$B$3:$B$13))*Upgrades!$D$3:$D$13))</f>
        <v/>
      </c>
      <c r="F755" s="66" t="str">
        <f>IFERROR(__xludf.DUMMYFUNCTION("IF(COUNTA(C755:C1673)=0,"""",IF(REGEXMATCH(INDEX(FILTER(C$4:C755,C$4:C755&lt;&gt;""""),ROWS(FILTER(C$4:C755,C$4:C755&lt;&gt;""""))),""^Sell_""),INDEX(FILTER(F$4:F754,C$4:C754&lt;&gt;""""),ROWS(FILTER(C$4:C754,C$4:C754&lt;&gt;""""))),$AC$5+E755))"),"")</f>
        <v/>
      </c>
      <c r="G755" s="10" t="str">
        <f>IFERROR(__xludf.DUMMYFUNCTION("IF(COUNTA(C755:C1673)=0,"""",IF(C755="""",0,IF(REGEXMATCH(C755,""^Sell_""),-ROUNDDOWN(ROUNDUP(INDEX(Upgrades!$C$3:$C$13,MATCH(SUBSTITUTE(C755,""Sell_"",""""),Upgrades!$B$3:$B$13,0))*1.15^(COUNTIF(C$4:C754,SUBSTITUTE(C755,""Sell_"",""""))-COUNTIF(C$4:C754,"&amp;"""Sell_""&amp;SUBSTITUTE(C755,""Sell_"",""""))))/2),ROUNDUP(INDEX(Upgrades!$C$3:$C$13,MATCH(C755,Upgrades!$B$3:$B$13,0))*1.15^(COUNTIF(C$4:C754,C755)-COUNTIF(C$4:C754,""Sell_""&amp;C755))))))"),"")</f>
        <v/>
      </c>
      <c r="H755" s="10" t="str">
        <f t="shared" si="3"/>
        <v/>
      </c>
      <c r="I755" s="68" t="str">
        <f t="shared" si="4"/>
        <v/>
      </c>
      <c r="J755" s="59" t="str">
        <f t="shared" si="5"/>
        <v/>
      </c>
      <c r="K755" s="69" t="str">
        <f t="shared" si="6"/>
        <v/>
      </c>
      <c r="L755" s="60" t="str">
        <f t="shared" si="7"/>
        <v/>
      </c>
      <c r="M755" s="61" t="str">
        <f>IFERROR(__xludf.DUMMYFUNCTION("IFS(AND(COUNTA(C755:C1673)=0,COUNTA(Q755:Q1673)=0),"""",OR(AND(K755&gt;=1000000000,OR(Y755&gt;=1000000000,COUNTA(Q755:Q1673)=0)),OR(Y755&gt;=1000000000,AND(COUNTA(C755:C1673)=0,P$3=TRUE))),
ROUNDDOWN((AB$1-AC$1)*MAX(INDEX(T$4:T1673,MATCH(LARGE(FILTER(Y$4:Y1673,Y$4"&amp;":Y1673&lt;1000000000),1),Y$4:Y1673)),INDEX(F$4:F1673,MATCH(LARGE(FILTER(K$4:K1673,K$4:K1673&lt;1000000000),1),K$4:K1673)))),AND(K755&lt;1000000000,COUNTA(C755:C1673)&gt;0,P$3=FALSE),
ROUNDDOWN(INDEX(Y$4:Y1673,MATCH(LARGE(FILTER(W$4:W1673,W$4:W1673&lt;=I755),1),W$4:W1673"&amp;"))+(I755-LARGE(FILTER(W$4:W1673,W$4:W1673&lt;=I755),1))*INDEX(T$4:T1673,MATCH(LARGE(FILTER(W$4:W1673,W$4:W1673&lt;=I755),1),W$4:W1673))-K755),1,
ROUNDDOWN(Y755-INDEX(K$4:K1673,MATCH(LARGE(FILTER(I$4:I1673,I$4:I1673&lt;=W755),1),I$4:I1673))-(W755-LARGE(FILTER(I$4:I"&amp;"1673,I$4:I1673&lt;=W755),1))*INDEX(F$4:F1673,MATCH(LARGE(FILTER(I$4:I1673,I$4:I1673&lt;=W755),1),I$4:I1673))))"),"")</f>
        <v/>
      </c>
      <c r="N755" s="60" t="str">
        <f t="shared" si="8"/>
        <v/>
      </c>
      <c r="O755" s="61" t="str">
        <f t="shared" si="9"/>
        <v/>
      </c>
      <c r="P755" s="56" t="str">
        <f t="shared" si="10"/>
        <v/>
      </c>
      <c r="R755" s="10"/>
      <c r="S755" s="59" t="str">
        <f t="array" ref="S755">IF(COUNTA(Q755:Q1673)=0,"",SUM((COUNTIF(Q$4:Q755,Upgrades!$B$3:$B$13)-COUNTIF(Q$4:Q755,"Sell_"&amp;Upgrades!$B$3:$B$13))*Upgrades!$D$3:$D$13))</f>
        <v/>
      </c>
      <c r="T755" s="66" t="str">
        <f>IFERROR(__xludf.DUMMYFUNCTION("IF(COUNTA(Q755:Q1673)=0,"""",IF(REGEXMATCH(INDEX(FILTER(Q$4:Q755,Q$4:Q755&lt;&gt;""""),ROWS(FILTER(Q$4:Q755,Q$4:Q755&lt;&gt;""""))),""^Sell_""),INDEX(FILTER(T$4:T754,Q$4:Q754&lt;&gt;""""),ROWS(FILTER(Q$4:Q754,Q$4:Q754&lt;&gt;""""))),$AD$5+S755))"),"")</f>
        <v/>
      </c>
      <c r="U755" s="10" t="str">
        <f>IFERROR(__xludf.DUMMYFUNCTION("IF(COUNTA(Q755:Q1673)=0,"""",IF(Q755="""",0,IF(REGEXMATCH(Q755,""^Sell_""),-ROUNDDOWN(ROUNDUP(INDEX(Upgrades!$C$3:$C$13,MATCH(SUBSTITUTE(Q755,""Sell_"",""""),Upgrades!$B$3:$B$13,0))*1.15^(COUNTIF(Q$4:Q754,SUBSTITUTE(Q755,""Sell_"",""""))-COUNTIF(Q$4:Q754,"&amp;"""Sell_""&amp;SUBSTITUTE(Q755,""Sell_"",""""))))/2),ROUNDUP(INDEX(Upgrades!$C$3:$C$13,MATCH(Q755,Upgrades!$B$3:$B$13,0))*1.15^(COUNTIF(Q$4:Q754,Q755)-COUNTIF(Q$4:Q754,""Sell_""&amp;Q755))))))"),"")</f>
        <v/>
      </c>
      <c r="V755" s="10" t="str">
        <f t="shared" si="11"/>
        <v/>
      </c>
      <c r="W755" s="68" t="str">
        <f t="shared" si="12"/>
        <v/>
      </c>
      <c r="X755" s="59" t="str">
        <f t="shared" si="13"/>
        <v/>
      </c>
      <c r="Y755" s="69" t="str">
        <f t="shared" si="14"/>
        <v/>
      </c>
      <c r="Z755" s="11"/>
    </row>
    <row r="756">
      <c r="A756" s="8"/>
      <c r="B756" s="56" t="str">
        <f t="shared" si="2"/>
        <v/>
      </c>
      <c r="C756" s="105"/>
      <c r="D756" s="10"/>
      <c r="E756" s="59" t="str">
        <f t="array" ref="E756">IF(COUNTA(C756:C1673)=0,"",SUM((COUNTIF(C$4:C756,Upgrades!$B$3:$B$13)-COUNTIF(C$4:C756,"Sell_"&amp;Upgrades!$B$3:$B$13))*Upgrades!$D$3:$D$13))</f>
        <v/>
      </c>
      <c r="F756" s="66" t="str">
        <f>IFERROR(__xludf.DUMMYFUNCTION("IF(COUNTA(C756:C1673)=0,"""",IF(REGEXMATCH(INDEX(FILTER(C$4:C756,C$4:C756&lt;&gt;""""),ROWS(FILTER(C$4:C756,C$4:C756&lt;&gt;""""))),""^Sell_""),INDEX(FILTER(F$4:F755,C$4:C755&lt;&gt;""""),ROWS(FILTER(C$4:C755,C$4:C755&lt;&gt;""""))),$AC$5+E756))"),"")</f>
        <v/>
      </c>
      <c r="G756" s="10" t="str">
        <f>IFERROR(__xludf.DUMMYFUNCTION("IF(COUNTA(C756:C1673)=0,"""",IF(C756="""",0,IF(REGEXMATCH(C756,""^Sell_""),-ROUNDDOWN(ROUNDUP(INDEX(Upgrades!$C$3:$C$13,MATCH(SUBSTITUTE(C756,""Sell_"",""""),Upgrades!$B$3:$B$13,0))*1.15^(COUNTIF(C$4:C755,SUBSTITUTE(C756,""Sell_"",""""))-COUNTIF(C$4:C755,"&amp;"""Sell_""&amp;SUBSTITUTE(C756,""Sell_"",""""))))/2),ROUNDUP(INDEX(Upgrades!$C$3:$C$13,MATCH(C756,Upgrades!$B$3:$B$13,0))*1.15^(COUNTIF(C$4:C755,C756)-COUNTIF(C$4:C755,""Sell_""&amp;C756))))))"),"")</f>
        <v/>
      </c>
      <c r="H756" s="10" t="str">
        <f t="shared" si="3"/>
        <v/>
      </c>
      <c r="I756" s="68" t="str">
        <f t="shared" si="4"/>
        <v/>
      </c>
      <c r="J756" s="59" t="str">
        <f t="shared" si="5"/>
        <v/>
      </c>
      <c r="K756" s="69" t="str">
        <f t="shared" si="6"/>
        <v/>
      </c>
      <c r="L756" s="60" t="str">
        <f t="shared" si="7"/>
        <v/>
      </c>
      <c r="M756" s="61" t="str">
        <f>IFERROR(__xludf.DUMMYFUNCTION("IFS(AND(COUNTA(C756:C1673)=0,COUNTA(Q756:Q1673)=0),"""",OR(AND(K756&gt;=1000000000,OR(Y756&gt;=1000000000,COUNTA(Q756:Q1673)=0)),OR(Y756&gt;=1000000000,AND(COUNTA(C756:C1673)=0,P$3=TRUE))),
ROUNDDOWN((AB$1-AC$1)*MAX(INDEX(T$4:T1673,MATCH(LARGE(FILTER(Y$4:Y1673,Y$4"&amp;":Y1673&lt;1000000000),1),Y$4:Y1673)),INDEX(F$4:F1673,MATCH(LARGE(FILTER(K$4:K1673,K$4:K1673&lt;1000000000),1),K$4:K1673)))),AND(K756&lt;1000000000,COUNTA(C756:C1673)&gt;0,P$3=FALSE),
ROUNDDOWN(INDEX(Y$4:Y1673,MATCH(LARGE(FILTER(W$4:W1673,W$4:W1673&lt;=I756),1),W$4:W1673"&amp;"))+(I756-LARGE(FILTER(W$4:W1673,W$4:W1673&lt;=I756),1))*INDEX(T$4:T1673,MATCH(LARGE(FILTER(W$4:W1673,W$4:W1673&lt;=I756),1),W$4:W1673))-K756),1,
ROUNDDOWN(Y756-INDEX(K$4:K1673,MATCH(LARGE(FILTER(I$4:I1673,I$4:I1673&lt;=W756),1),I$4:I1673))-(W756-LARGE(FILTER(I$4:I"&amp;"1673,I$4:I1673&lt;=W756),1))*INDEX(F$4:F1673,MATCH(LARGE(FILTER(I$4:I1673,I$4:I1673&lt;=W756),1),I$4:I1673))))"),"")</f>
        <v/>
      </c>
      <c r="N756" s="60" t="str">
        <f t="shared" si="8"/>
        <v/>
      </c>
      <c r="O756" s="61" t="str">
        <f t="shared" si="9"/>
        <v/>
      </c>
      <c r="P756" s="56" t="str">
        <f t="shared" si="10"/>
        <v/>
      </c>
      <c r="R756" s="10"/>
      <c r="S756" s="59" t="str">
        <f t="array" ref="S756">IF(COUNTA(Q756:Q1673)=0,"",SUM((COUNTIF(Q$4:Q756,Upgrades!$B$3:$B$13)-COUNTIF(Q$4:Q756,"Sell_"&amp;Upgrades!$B$3:$B$13))*Upgrades!$D$3:$D$13))</f>
        <v/>
      </c>
      <c r="T756" s="66" t="str">
        <f>IFERROR(__xludf.DUMMYFUNCTION("IF(COUNTA(Q756:Q1673)=0,"""",IF(REGEXMATCH(INDEX(FILTER(Q$4:Q756,Q$4:Q756&lt;&gt;""""),ROWS(FILTER(Q$4:Q756,Q$4:Q756&lt;&gt;""""))),""^Sell_""),INDEX(FILTER(T$4:T755,Q$4:Q755&lt;&gt;""""),ROWS(FILTER(Q$4:Q755,Q$4:Q755&lt;&gt;""""))),$AD$5+S756))"),"")</f>
        <v/>
      </c>
      <c r="U756" s="10" t="str">
        <f>IFERROR(__xludf.DUMMYFUNCTION("IF(COUNTA(Q756:Q1673)=0,"""",IF(Q756="""",0,IF(REGEXMATCH(Q756,""^Sell_""),-ROUNDDOWN(ROUNDUP(INDEX(Upgrades!$C$3:$C$13,MATCH(SUBSTITUTE(Q756,""Sell_"",""""),Upgrades!$B$3:$B$13,0))*1.15^(COUNTIF(Q$4:Q755,SUBSTITUTE(Q756,""Sell_"",""""))-COUNTIF(Q$4:Q755,"&amp;"""Sell_""&amp;SUBSTITUTE(Q756,""Sell_"",""""))))/2),ROUNDUP(INDEX(Upgrades!$C$3:$C$13,MATCH(Q756,Upgrades!$B$3:$B$13,0))*1.15^(COUNTIF(Q$4:Q755,Q756)-COUNTIF(Q$4:Q755,""Sell_""&amp;Q756))))))"),"")</f>
        <v/>
      </c>
      <c r="V756" s="10" t="str">
        <f t="shared" si="11"/>
        <v/>
      </c>
      <c r="W756" s="68" t="str">
        <f t="shared" si="12"/>
        <v/>
      </c>
      <c r="X756" s="59" t="str">
        <f t="shared" si="13"/>
        <v/>
      </c>
      <c r="Y756" s="69" t="str">
        <f t="shared" si="14"/>
        <v/>
      </c>
      <c r="Z756" s="11"/>
    </row>
    <row r="757">
      <c r="A757" s="8"/>
      <c r="B757" s="56" t="str">
        <f t="shared" si="2"/>
        <v/>
      </c>
      <c r="C757" s="105"/>
      <c r="D757" s="10"/>
      <c r="E757" s="59" t="str">
        <f t="array" ref="E757">IF(COUNTA(C757:C1673)=0,"",SUM((COUNTIF(C$4:C757,Upgrades!$B$3:$B$13)-COUNTIF(C$4:C757,"Sell_"&amp;Upgrades!$B$3:$B$13))*Upgrades!$D$3:$D$13))</f>
        <v/>
      </c>
      <c r="F757" s="66" t="str">
        <f>IFERROR(__xludf.DUMMYFUNCTION("IF(COUNTA(C757:C1673)=0,"""",IF(REGEXMATCH(INDEX(FILTER(C$4:C757,C$4:C757&lt;&gt;""""),ROWS(FILTER(C$4:C757,C$4:C757&lt;&gt;""""))),""^Sell_""),INDEX(FILTER(F$4:F756,C$4:C756&lt;&gt;""""),ROWS(FILTER(C$4:C756,C$4:C756&lt;&gt;""""))),$AC$5+E757))"),"")</f>
        <v/>
      </c>
      <c r="G757" s="10" t="str">
        <f>IFERROR(__xludf.DUMMYFUNCTION("IF(COUNTA(C757:C1673)=0,"""",IF(C757="""",0,IF(REGEXMATCH(C757,""^Sell_""),-ROUNDDOWN(ROUNDUP(INDEX(Upgrades!$C$3:$C$13,MATCH(SUBSTITUTE(C757,""Sell_"",""""),Upgrades!$B$3:$B$13,0))*1.15^(COUNTIF(C$4:C756,SUBSTITUTE(C757,""Sell_"",""""))-COUNTIF(C$4:C756,"&amp;"""Sell_""&amp;SUBSTITUTE(C757,""Sell_"",""""))))/2),ROUNDUP(INDEX(Upgrades!$C$3:$C$13,MATCH(C757,Upgrades!$B$3:$B$13,0))*1.15^(COUNTIF(C$4:C756,C757)-COUNTIF(C$4:C756,""Sell_""&amp;C757))))))"),"")</f>
        <v/>
      </c>
      <c r="H757" s="10" t="str">
        <f t="shared" si="3"/>
        <v/>
      </c>
      <c r="I757" s="68" t="str">
        <f t="shared" si="4"/>
        <v/>
      </c>
      <c r="J757" s="59" t="str">
        <f t="shared" si="5"/>
        <v/>
      </c>
      <c r="K757" s="69" t="str">
        <f t="shared" si="6"/>
        <v/>
      </c>
      <c r="L757" s="60" t="str">
        <f t="shared" si="7"/>
        <v/>
      </c>
      <c r="M757" s="61" t="str">
        <f>IFERROR(__xludf.DUMMYFUNCTION("IFS(AND(COUNTA(C757:C1673)=0,COUNTA(Q757:Q1673)=0),"""",OR(AND(K757&gt;=1000000000,OR(Y757&gt;=1000000000,COUNTA(Q757:Q1673)=0)),OR(Y757&gt;=1000000000,AND(COUNTA(C757:C1673)=0,P$3=TRUE))),
ROUNDDOWN((AB$1-AC$1)*MAX(INDEX(T$4:T1673,MATCH(LARGE(FILTER(Y$4:Y1673,Y$4"&amp;":Y1673&lt;1000000000),1),Y$4:Y1673)),INDEX(F$4:F1673,MATCH(LARGE(FILTER(K$4:K1673,K$4:K1673&lt;1000000000),1),K$4:K1673)))),AND(K757&lt;1000000000,COUNTA(C757:C1673)&gt;0,P$3=FALSE),
ROUNDDOWN(INDEX(Y$4:Y1673,MATCH(LARGE(FILTER(W$4:W1673,W$4:W1673&lt;=I757),1),W$4:W1673"&amp;"))+(I757-LARGE(FILTER(W$4:W1673,W$4:W1673&lt;=I757),1))*INDEX(T$4:T1673,MATCH(LARGE(FILTER(W$4:W1673,W$4:W1673&lt;=I757),1),W$4:W1673))-K757),1,
ROUNDDOWN(Y757-INDEX(K$4:K1673,MATCH(LARGE(FILTER(I$4:I1673,I$4:I1673&lt;=W757),1),I$4:I1673))-(W757-LARGE(FILTER(I$4:I"&amp;"1673,I$4:I1673&lt;=W757),1))*INDEX(F$4:F1673,MATCH(LARGE(FILTER(I$4:I1673,I$4:I1673&lt;=W757),1),I$4:I1673))))"),"")</f>
        <v/>
      </c>
      <c r="N757" s="60" t="str">
        <f t="shared" si="8"/>
        <v/>
      </c>
      <c r="O757" s="61" t="str">
        <f t="shared" si="9"/>
        <v/>
      </c>
      <c r="P757" s="56" t="str">
        <f t="shared" si="10"/>
        <v/>
      </c>
      <c r="R757" s="10"/>
      <c r="S757" s="59" t="str">
        <f t="array" ref="S757">IF(COUNTA(Q757:Q1673)=0,"",SUM((COUNTIF(Q$4:Q757,Upgrades!$B$3:$B$13)-COUNTIF(Q$4:Q757,"Sell_"&amp;Upgrades!$B$3:$B$13))*Upgrades!$D$3:$D$13))</f>
        <v/>
      </c>
      <c r="T757" s="66" t="str">
        <f>IFERROR(__xludf.DUMMYFUNCTION("IF(COUNTA(Q757:Q1673)=0,"""",IF(REGEXMATCH(INDEX(FILTER(Q$4:Q757,Q$4:Q757&lt;&gt;""""),ROWS(FILTER(Q$4:Q757,Q$4:Q757&lt;&gt;""""))),""^Sell_""),INDEX(FILTER(T$4:T756,Q$4:Q756&lt;&gt;""""),ROWS(FILTER(Q$4:Q756,Q$4:Q756&lt;&gt;""""))),$AD$5+S757))"),"")</f>
        <v/>
      </c>
      <c r="U757" s="10" t="str">
        <f>IFERROR(__xludf.DUMMYFUNCTION("IF(COUNTA(Q757:Q1673)=0,"""",IF(Q757="""",0,IF(REGEXMATCH(Q757,""^Sell_""),-ROUNDDOWN(ROUNDUP(INDEX(Upgrades!$C$3:$C$13,MATCH(SUBSTITUTE(Q757,""Sell_"",""""),Upgrades!$B$3:$B$13,0))*1.15^(COUNTIF(Q$4:Q756,SUBSTITUTE(Q757,""Sell_"",""""))-COUNTIF(Q$4:Q756,"&amp;"""Sell_""&amp;SUBSTITUTE(Q757,""Sell_"",""""))))/2),ROUNDUP(INDEX(Upgrades!$C$3:$C$13,MATCH(Q757,Upgrades!$B$3:$B$13,0))*1.15^(COUNTIF(Q$4:Q756,Q757)-COUNTIF(Q$4:Q756,""Sell_""&amp;Q757))))))"),"")</f>
        <v/>
      </c>
      <c r="V757" s="10" t="str">
        <f t="shared" si="11"/>
        <v/>
      </c>
      <c r="W757" s="68" t="str">
        <f t="shared" si="12"/>
        <v/>
      </c>
      <c r="X757" s="59" t="str">
        <f t="shared" si="13"/>
        <v/>
      </c>
      <c r="Y757" s="69" t="str">
        <f t="shared" si="14"/>
        <v/>
      </c>
      <c r="Z757" s="11"/>
    </row>
    <row r="758">
      <c r="A758" s="8"/>
      <c r="B758" s="56" t="str">
        <f t="shared" si="2"/>
        <v/>
      </c>
      <c r="C758" s="105"/>
      <c r="D758" s="10"/>
      <c r="E758" s="59" t="str">
        <f t="array" ref="E758">IF(COUNTA(C758:C1673)=0,"",SUM((COUNTIF(C$4:C758,Upgrades!$B$3:$B$13)-COUNTIF(C$4:C758,"Sell_"&amp;Upgrades!$B$3:$B$13))*Upgrades!$D$3:$D$13))</f>
        <v/>
      </c>
      <c r="F758" s="66" t="str">
        <f>IFERROR(__xludf.DUMMYFUNCTION("IF(COUNTA(C758:C1673)=0,"""",IF(REGEXMATCH(INDEX(FILTER(C$4:C758,C$4:C758&lt;&gt;""""),ROWS(FILTER(C$4:C758,C$4:C758&lt;&gt;""""))),""^Sell_""),INDEX(FILTER(F$4:F757,C$4:C757&lt;&gt;""""),ROWS(FILTER(C$4:C757,C$4:C757&lt;&gt;""""))),$AC$5+E758))"),"")</f>
        <v/>
      </c>
      <c r="G758" s="10" t="str">
        <f>IFERROR(__xludf.DUMMYFUNCTION("IF(COUNTA(C758:C1673)=0,"""",IF(C758="""",0,IF(REGEXMATCH(C758,""^Sell_""),-ROUNDDOWN(ROUNDUP(INDEX(Upgrades!$C$3:$C$13,MATCH(SUBSTITUTE(C758,""Sell_"",""""),Upgrades!$B$3:$B$13,0))*1.15^(COUNTIF(C$4:C757,SUBSTITUTE(C758,""Sell_"",""""))-COUNTIF(C$4:C757,"&amp;"""Sell_""&amp;SUBSTITUTE(C758,""Sell_"",""""))))/2),ROUNDUP(INDEX(Upgrades!$C$3:$C$13,MATCH(C758,Upgrades!$B$3:$B$13,0))*1.15^(COUNTIF(C$4:C757,C758)-COUNTIF(C$4:C757,""Sell_""&amp;C758))))))"),"")</f>
        <v/>
      </c>
      <c r="H758" s="10" t="str">
        <f t="shared" si="3"/>
        <v/>
      </c>
      <c r="I758" s="68" t="str">
        <f t="shared" si="4"/>
        <v/>
      </c>
      <c r="J758" s="59" t="str">
        <f t="shared" si="5"/>
        <v/>
      </c>
      <c r="K758" s="69" t="str">
        <f t="shared" si="6"/>
        <v/>
      </c>
      <c r="L758" s="60" t="str">
        <f t="shared" si="7"/>
        <v/>
      </c>
      <c r="M758" s="61" t="str">
        <f>IFERROR(__xludf.DUMMYFUNCTION("IFS(AND(COUNTA(C758:C1673)=0,COUNTA(Q758:Q1673)=0),"""",OR(AND(K758&gt;=1000000000,OR(Y758&gt;=1000000000,COUNTA(Q758:Q1673)=0)),OR(Y758&gt;=1000000000,AND(COUNTA(C758:C1673)=0,P$3=TRUE))),
ROUNDDOWN((AB$1-AC$1)*MAX(INDEX(T$4:T1673,MATCH(LARGE(FILTER(Y$4:Y1673,Y$4"&amp;":Y1673&lt;1000000000),1),Y$4:Y1673)),INDEX(F$4:F1673,MATCH(LARGE(FILTER(K$4:K1673,K$4:K1673&lt;1000000000),1),K$4:K1673)))),AND(K758&lt;1000000000,COUNTA(C758:C1673)&gt;0,P$3=FALSE),
ROUNDDOWN(INDEX(Y$4:Y1673,MATCH(LARGE(FILTER(W$4:W1673,W$4:W1673&lt;=I758),1),W$4:W1673"&amp;"))+(I758-LARGE(FILTER(W$4:W1673,W$4:W1673&lt;=I758),1))*INDEX(T$4:T1673,MATCH(LARGE(FILTER(W$4:W1673,W$4:W1673&lt;=I758),1),W$4:W1673))-K758),1,
ROUNDDOWN(Y758-INDEX(K$4:K1673,MATCH(LARGE(FILTER(I$4:I1673,I$4:I1673&lt;=W758),1),I$4:I1673))-(W758-LARGE(FILTER(I$4:I"&amp;"1673,I$4:I1673&lt;=W758),1))*INDEX(F$4:F1673,MATCH(LARGE(FILTER(I$4:I1673,I$4:I1673&lt;=W758),1),I$4:I1673))))"),"")</f>
        <v/>
      </c>
      <c r="N758" s="60" t="str">
        <f t="shared" si="8"/>
        <v/>
      </c>
      <c r="O758" s="61" t="str">
        <f t="shared" si="9"/>
        <v/>
      </c>
      <c r="P758" s="56" t="str">
        <f t="shared" si="10"/>
        <v/>
      </c>
      <c r="R758" s="10"/>
      <c r="S758" s="59" t="str">
        <f t="array" ref="S758">IF(COUNTA(Q758:Q1673)=0,"",SUM((COUNTIF(Q$4:Q758,Upgrades!$B$3:$B$13)-COUNTIF(Q$4:Q758,"Sell_"&amp;Upgrades!$B$3:$B$13))*Upgrades!$D$3:$D$13))</f>
        <v/>
      </c>
      <c r="T758" s="66" t="str">
        <f>IFERROR(__xludf.DUMMYFUNCTION("IF(COUNTA(Q758:Q1673)=0,"""",IF(REGEXMATCH(INDEX(FILTER(Q$4:Q758,Q$4:Q758&lt;&gt;""""),ROWS(FILTER(Q$4:Q758,Q$4:Q758&lt;&gt;""""))),""^Sell_""),INDEX(FILTER(T$4:T757,Q$4:Q757&lt;&gt;""""),ROWS(FILTER(Q$4:Q757,Q$4:Q757&lt;&gt;""""))),$AD$5+S758))"),"")</f>
        <v/>
      </c>
      <c r="U758" s="10" t="str">
        <f>IFERROR(__xludf.DUMMYFUNCTION("IF(COUNTA(Q758:Q1673)=0,"""",IF(Q758="""",0,IF(REGEXMATCH(Q758,""^Sell_""),-ROUNDDOWN(ROUNDUP(INDEX(Upgrades!$C$3:$C$13,MATCH(SUBSTITUTE(Q758,""Sell_"",""""),Upgrades!$B$3:$B$13,0))*1.15^(COUNTIF(Q$4:Q757,SUBSTITUTE(Q758,""Sell_"",""""))-COUNTIF(Q$4:Q757,"&amp;"""Sell_""&amp;SUBSTITUTE(Q758,""Sell_"",""""))))/2),ROUNDUP(INDEX(Upgrades!$C$3:$C$13,MATCH(Q758,Upgrades!$B$3:$B$13,0))*1.15^(COUNTIF(Q$4:Q757,Q758)-COUNTIF(Q$4:Q757,""Sell_""&amp;Q758))))))"),"")</f>
        <v/>
      </c>
      <c r="V758" s="10" t="str">
        <f t="shared" si="11"/>
        <v/>
      </c>
      <c r="W758" s="68" t="str">
        <f t="shared" si="12"/>
        <v/>
      </c>
      <c r="X758" s="59" t="str">
        <f t="shared" si="13"/>
        <v/>
      </c>
      <c r="Y758" s="69" t="str">
        <f t="shared" si="14"/>
        <v/>
      </c>
      <c r="Z758" s="11"/>
    </row>
    <row r="759">
      <c r="A759" s="8"/>
      <c r="B759" s="56" t="str">
        <f t="shared" si="2"/>
        <v/>
      </c>
      <c r="C759" s="105"/>
      <c r="D759" s="10"/>
      <c r="E759" s="59" t="str">
        <f t="array" ref="E759">IF(COUNTA(C759:C1673)=0,"",SUM((COUNTIF(C$4:C759,Upgrades!$B$3:$B$13)-COUNTIF(C$4:C759,"Sell_"&amp;Upgrades!$B$3:$B$13))*Upgrades!$D$3:$D$13))</f>
        <v/>
      </c>
      <c r="F759" s="66" t="str">
        <f>IFERROR(__xludf.DUMMYFUNCTION("IF(COUNTA(C759:C1673)=0,"""",IF(REGEXMATCH(INDEX(FILTER(C$4:C759,C$4:C759&lt;&gt;""""),ROWS(FILTER(C$4:C759,C$4:C759&lt;&gt;""""))),""^Sell_""),INDEX(FILTER(F$4:F758,C$4:C758&lt;&gt;""""),ROWS(FILTER(C$4:C758,C$4:C758&lt;&gt;""""))),$AC$5+E759))"),"")</f>
        <v/>
      </c>
      <c r="G759" s="10" t="str">
        <f>IFERROR(__xludf.DUMMYFUNCTION("IF(COUNTA(C759:C1673)=0,"""",IF(C759="""",0,IF(REGEXMATCH(C759,""^Sell_""),-ROUNDDOWN(ROUNDUP(INDEX(Upgrades!$C$3:$C$13,MATCH(SUBSTITUTE(C759,""Sell_"",""""),Upgrades!$B$3:$B$13,0))*1.15^(COUNTIF(C$4:C758,SUBSTITUTE(C759,""Sell_"",""""))-COUNTIF(C$4:C758,"&amp;"""Sell_""&amp;SUBSTITUTE(C759,""Sell_"",""""))))/2),ROUNDUP(INDEX(Upgrades!$C$3:$C$13,MATCH(C759,Upgrades!$B$3:$B$13,0))*1.15^(COUNTIF(C$4:C758,C759)-COUNTIF(C$4:C758,""Sell_""&amp;C759))))))"),"")</f>
        <v/>
      </c>
      <c r="H759" s="10" t="str">
        <f t="shared" si="3"/>
        <v/>
      </c>
      <c r="I759" s="68" t="str">
        <f t="shared" si="4"/>
        <v/>
      </c>
      <c r="J759" s="59" t="str">
        <f t="shared" si="5"/>
        <v/>
      </c>
      <c r="K759" s="69" t="str">
        <f t="shared" si="6"/>
        <v/>
      </c>
      <c r="L759" s="60" t="str">
        <f t="shared" si="7"/>
        <v/>
      </c>
      <c r="M759" s="61" t="str">
        <f>IFERROR(__xludf.DUMMYFUNCTION("IFS(AND(COUNTA(C759:C1673)=0,COUNTA(Q759:Q1673)=0),"""",OR(AND(K759&gt;=1000000000,OR(Y759&gt;=1000000000,COUNTA(Q759:Q1673)=0)),OR(Y759&gt;=1000000000,AND(COUNTA(C759:C1673)=0,P$3=TRUE))),
ROUNDDOWN((AB$1-AC$1)*MAX(INDEX(T$4:T1673,MATCH(LARGE(FILTER(Y$4:Y1673,Y$4"&amp;":Y1673&lt;1000000000),1),Y$4:Y1673)),INDEX(F$4:F1673,MATCH(LARGE(FILTER(K$4:K1673,K$4:K1673&lt;1000000000),1),K$4:K1673)))),AND(K759&lt;1000000000,COUNTA(C759:C1673)&gt;0,P$3=FALSE),
ROUNDDOWN(INDEX(Y$4:Y1673,MATCH(LARGE(FILTER(W$4:W1673,W$4:W1673&lt;=I759),1),W$4:W1673"&amp;"))+(I759-LARGE(FILTER(W$4:W1673,W$4:W1673&lt;=I759),1))*INDEX(T$4:T1673,MATCH(LARGE(FILTER(W$4:W1673,W$4:W1673&lt;=I759),1),W$4:W1673))-K759),1,
ROUNDDOWN(Y759-INDEX(K$4:K1673,MATCH(LARGE(FILTER(I$4:I1673,I$4:I1673&lt;=W759),1),I$4:I1673))-(W759-LARGE(FILTER(I$4:I"&amp;"1673,I$4:I1673&lt;=W759),1))*INDEX(F$4:F1673,MATCH(LARGE(FILTER(I$4:I1673,I$4:I1673&lt;=W759),1),I$4:I1673))))"),"")</f>
        <v/>
      </c>
      <c r="N759" s="60" t="str">
        <f t="shared" si="8"/>
        <v/>
      </c>
      <c r="O759" s="61" t="str">
        <f t="shared" si="9"/>
        <v/>
      </c>
      <c r="P759" s="56" t="str">
        <f t="shared" si="10"/>
        <v/>
      </c>
      <c r="R759" s="10"/>
      <c r="S759" s="59" t="str">
        <f t="array" ref="S759">IF(COUNTA(Q759:Q1673)=0,"",SUM((COUNTIF(Q$4:Q759,Upgrades!$B$3:$B$13)-COUNTIF(Q$4:Q759,"Sell_"&amp;Upgrades!$B$3:$B$13))*Upgrades!$D$3:$D$13))</f>
        <v/>
      </c>
      <c r="T759" s="66" t="str">
        <f>IFERROR(__xludf.DUMMYFUNCTION("IF(COUNTA(Q759:Q1673)=0,"""",IF(REGEXMATCH(INDEX(FILTER(Q$4:Q759,Q$4:Q759&lt;&gt;""""),ROWS(FILTER(Q$4:Q759,Q$4:Q759&lt;&gt;""""))),""^Sell_""),INDEX(FILTER(T$4:T758,Q$4:Q758&lt;&gt;""""),ROWS(FILTER(Q$4:Q758,Q$4:Q758&lt;&gt;""""))),$AD$5+S759))"),"")</f>
        <v/>
      </c>
      <c r="U759" s="10" t="str">
        <f>IFERROR(__xludf.DUMMYFUNCTION("IF(COUNTA(Q759:Q1673)=0,"""",IF(Q759="""",0,IF(REGEXMATCH(Q759,""^Sell_""),-ROUNDDOWN(ROUNDUP(INDEX(Upgrades!$C$3:$C$13,MATCH(SUBSTITUTE(Q759,""Sell_"",""""),Upgrades!$B$3:$B$13,0))*1.15^(COUNTIF(Q$4:Q758,SUBSTITUTE(Q759,""Sell_"",""""))-COUNTIF(Q$4:Q758,"&amp;"""Sell_""&amp;SUBSTITUTE(Q759,""Sell_"",""""))))/2),ROUNDUP(INDEX(Upgrades!$C$3:$C$13,MATCH(Q759,Upgrades!$B$3:$B$13,0))*1.15^(COUNTIF(Q$4:Q758,Q759)-COUNTIF(Q$4:Q758,""Sell_""&amp;Q759))))))"),"")</f>
        <v/>
      </c>
      <c r="V759" s="10" t="str">
        <f t="shared" si="11"/>
        <v/>
      </c>
      <c r="W759" s="68" t="str">
        <f t="shared" si="12"/>
        <v/>
      </c>
      <c r="X759" s="59" t="str">
        <f t="shared" si="13"/>
        <v/>
      </c>
      <c r="Y759" s="69" t="str">
        <f t="shared" si="14"/>
        <v/>
      </c>
      <c r="Z759" s="11"/>
    </row>
    <row r="760">
      <c r="A760" s="8"/>
      <c r="B760" s="56" t="str">
        <f t="shared" si="2"/>
        <v/>
      </c>
      <c r="C760" s="105"/>
      <c r="D760" s="10"/>
      <c r="E760" s="59" t="str">
        <f t="array" ref="E760">IF(COUNTA(C760:C1673)=0,"",SUM((COUNTIF(C$4:C760,Upgrades!$B$3:$B$13)-COUNTIF(C$4:C760,"Sell_"&amp;Upgrades!$B$3:$B$13))*Upgrades!$D$3:$D$13))</f>
        <v/>
      </c>
      <c r="F760" s="66" t="str">
        <f>IFERROR(__xludf.DUMMYFUNCTION("IF(COUNTA(C760:C1673)=0,"""",IF(REGEXMATCH(INDEX(FILTER(C$4:C760,C$4:C760&lt;&gt;""""),ROWS(FILTER(C$4:C760,C$4:C760&lt;&gt;""""))),""^Sell_""),INDEX(FILTER(F$4:F759,C$4:C759&lt;&gt;""""),ROWS(FILTER(C$4:C759,C$4:C759&lt;&gt;""""))),$AC$5+E760))"),"")</f>
        <v/>
      </c>
      <c r="G760" s="10" t="str">
        <f>IFERROR(__xludf.DUMMYFUNCTION("IF(COUNTA(C760:C1673)=0,"""",IF(C760="""",0,IF(REGEXMATCH(C760,""^Sell_""),-ROUNDDOWN(ROUNDUP(INDEX(Upgrades!$C$3:$C$13,MATCH(SUBSTITUTE(C760,""Sell_"",""""),Upgrades!$B$3:$B$13,0))*1.15^(COUNTIF(C$4:C759,SUBSTITUTE(C760,""Sell_"",""""))-COUNTIF(C$4:C759,"&amp;"""Sell_""&amp;SUBSTITUTE(C760,""Sell_"",""""))))/2),ROUNDUP(INDEX(Upgrades!$C$3:$C$13,MATCH(C760,Upgrades!$B$3:$B$13,0))*1.15^(COUNTIF(C$4:C759,C760)-COUNTIF(C$4:C759,""Sell_""&amp;C760))))))"),"")</f>
        <v/>
      </c>
      <c r="H760" s="10" t="str">
        <f t="shared" si="3"/>
        <v/>
      </c>
      <c r="I760" s="68" t="str">
        <f t="shared" si="4"/>
        <v/>
      </c>
      <c r="J760" s="59" t="str">
        <f t="shared" si="5"/>
        <v/>
      </c>
      <c r="K760" s="69" t="str">
        <f t="shared" si="6"/>
        <v/>
      </c>
      <c r="L760" s="60" t="str">
        <f t="shared" si="7"/>
        <v/>
      </c>
      <c r="M760" s="61" t="str">
        <f>IFERROR(__xludf.DUMMYFUNCTION("IFS(AND(COUNTA(C760:C1673)=0,COUNTA(Q760:Q1673)=0),"""",OR(AND(K760&gt;=1000000000,OR(Y760&gt;=1000000000,COUNTA(Q760:Q1673)=0)),OR(Y760&gt;=1000000000,AND(COUNTA(C760:C1673)=0,P$3=TRUE))),
ROUNDDOWN((AB$1-AC$1)*MAX(INDEX(T$4:T1673,MATCH(LARGE(FILTER(Y$4:Y1673,Y$4"&amp;":Y1673&lt;1000000000),1),Y$4:Y1673)),INDEX(F$4:F1673,MATCH(LARGE(FILTER(K$4:K1673,K$4:K1673&lt;1000000000),1),K$4:K1673)))),AND(K760&lt;1000000000,COUNTA(C760:C1673)&gt;0,P$3=FALSE),
ROUNDDOWN(INDEX(Y$4:Y1673,MATCH(LARGE(FILTER(W$4:W1673,W$4:W1673&lt;=I760),1),W$4:W1673"&amp;"))+(I760-LARGE(FILTER(W$4:W1673,W$4:W1673&lt;=I760),1))*INDEX(T$4:T1673,MATCH(LARGE(FILTER(W$4:W1673,W$4:W1673&lt;=I760),1),W$4:W1673))-K760),1,
ROUNDDOWN(Y760-INDEX(K$4:K1673,MATCH(LARGE(FILTER(I$4:I1673,I$4:I1673&lt;=W760),1),I$4:I1673))-(W760-LARGE(FILTER(I$4:I"&amp;"1673,I$4:I1673&lt;=W760),1))*INDEX(F$4:F1673,MATCH(LARGE(FILTER(I$4:I1673,I$4:I1673&lt;=W760),1),I$4:I1673))))"),"")</f>
        <v/>
      </c>
      <c r="N760" s="60" t="str">
        <f t="shared" si="8"/>
        <v/>
      </c>
      <c r="O760" s="61" t="str">
        <f t="shared" si="9"/>
        <v/>
      </c>
      <c r="P760" s="56" t="str">
        <f t="shared" si="10"/>
        <v/>
      </c>
      <c r="R760" s="10"/>
      <c r="S760" s="59" t="str">
        <f t="array" ref="S760">IF(COUNTA(Q760:Q1673)=0,"",SUM((COUNTIF(Q$4:Q760,Upgrades!$B$3:$B$13)-COUNTIF(Q$4:Q760,"Sell_"&amp;Upgrades!$B$3:$B$13))*Upgrades!$D$3:$D$13))</f>
        <v/>
      </c>
      <c r="T760" s="66" t="str">
        <f>IFERROR(__xludf.DUMMYFUNCTION("IF(COUNTA(Q760:Q1673)=0,"""",IF(REGEXMATCH(INDEX(FILTER(Q$4:Q760,Q$4:Q760&lt;&gt;""""),ROWS(FILTER(Q$4:Q760,Q$4:Q760&lt;&gt;""""))),""^Sell_""),INDEX(FILTER(T$4:T759,Q$4:Q759&lt;&gt;""""),ROWS(FILTER(Q$4:Q759,Q$4:Q759&lt;&gt;""""))),$AD$5+S760))"),"")</f>
        <v/>
      </c>
      <c r="U760" s="10" t="str">
        <f>IFERROR(__xludf.DUMMYFUNCTION("IF(COUNTA(Q760:Q1673)=0,"""",IF(Q760="""",0,IF(REGEXMATCH(Q760,""^Sell_""),-ROUNDDOWN(ROUNDUP(INDEX(Upgrades!$C$3:$C$13,MATCH(SUBSTITUTE(Q760,""Sell_"",""""),Upgrades!$B$3:$B$13,0))*1.15^(COUNTIF(Q$4:Q759,SUBSTITUTE(Q760,""Sell_"",""""))-COUNTIF(Q$4:Q759,"&amp;"""Sell_""&amp;SUBSTITUTE(Q760,""Sell_"",""""))))/2),ROUNDUP(INDEX(Upgrades!$C$3:$C$13,MATCH(Q760,Upgrades!$B$3:$B$13,0))*1.15^(COUNTIF(Q$4:Q759,Q760)-COUNTIF(Q$4:Q759,""Sell_""&amp;Q760))))))"),"")</f>
        <v/>
      </c>
      <c r="V760" s="10" t="str">
        <f t="shared" si="11"/>
        <v/>
      </c>
      <c r="W760" s="68" t="str">
        <f t="shared" si="12"/>
        <v/>
      </c>
      <c r="X760" s="59" t="str">
        <f t="shared" si="13"/>
        <v/>
      </c>
      <c r="Y760" s="69" t="str">
        <f t="shared" si="14"/>
        <v/>
      </c>
      <c r="Z760" s="11"/>
    </row>
    <row r="761">
      <c r="A761" s="8"/>
      <c r="B761" s="56" t="str">
        <f t="shared" si="2"/>
        <v/>
      </c>
      <c r="C761" s="105"/>
      <c r="D761" s="10"/>
      <c r="E761" s="59" t="str">
        <f t="array" ref="E761">IF(COUNTA(C761:C1673)=0,"",SUM((COUNTIF(C$4:C761,Upgrades!$B$3:$B$13)-COUNTIF(C$4:C761,"Sell_"&amp;Upgrades!$B$3:$B$13))*Upgrades!$D$3:$D$13))</f>
        <v/>
      </c>
      <c r="F761" s="66" t="str">
        <f>IFERROR(__xludf.DUMMYFUNCTION("IF(COUNTA(C761:C1673)=0,"""",IF(REGEXMATCH(INDEX(FILTER(C$4:C761,C$4:C761&lt;&gt;""""),ROWS(FILTER(C$4:C761,C$4:C761&lt;&gt;""""))),""^Sell_""),INDEX(FILTER(F$4:F760,C$4:C760&lt;&gt;""""),ROWS(FILTER(C$4:C760,C$4:C760&lt;&gt;""""))),$AC$5+E761))"),"")</f>
        <v/>
      </c>
      <c r="G761" s="10" t="str">
        <f>IFERROR(__xludf.DUMMYFUNCTION("IF(COUNTA(C761:C1673)=0,"""",IF(C761="""",0,IF(REGEXMATCH(C761,""^Sell_""),-ROUNDDOWN(ROUNDUP(INDEX(Upgrades!$C$3:$C$13,MATCH(SUBSTITUTE(C761,""Sell_"",""""),Upgrades!$B$3:$B$13,0))*1.15^(COUNTIF(C$4:C760,SUBSTITUTE(C761,""Sell_"",""""))-COUNTIF(C$4:C760,"&amp;"""Sell_""&amp;SUBSTITUTE(C761,""Sell_"",""""))))/2),ROUNDUP(INDEX(Upgrades!$C$3:$C$13,MATCH(C761,Upgrades!$B$3:$B$13,0))*1.15^(COUNTIF(C$4:C760,C761)-COUNTIF(C$4:C760,""Sell_""&amp;C761))))))"),"")</f>
        <v/>
      </c>
      <c r="H761" s="10" t="str">
        <f t="shared" si="3"/>
        <v/>
      </c>
      <c r="I761" s="68" t="str">
        <f t="shared" si="4"/>
        <v/>
      </c>
      <c r="J761" s="59" t="str">
        <f t="shared" si="5"/>
        <v/>
      </c>
      <c r="K761" s="69" t="str">
        <f t="shared" si="6"/>
        <v/>
      </c>
      <c r="L761" s="60" t="str">
        <f t="shared" si="7"/>
        <v/>
      </c>
      <c r="M761" s="61" t="str">
        <f>IFERROR(__xludf.DUMMYFUNCTION("IFS(AND(COUNTA(C761:C1673)=0,COUNTA(Q761:Q1673)=0),"""",OR(AND(K761&gt;=1000000000,OR(Y761&gt;=1000000000,COUNTA(Q761:Q1673)=0)),OR(Y761&gt;=1000000000,AND(COUNTA(C761:C1673)=0,P$3=TRUE))),
ROUNDDOWN((AB$1-AC$1)*MAX(INDEX(T$4:T1673,MATCH(LARGE(FILTER(Y$4:Y1673,Y$4"&amp;":Y1673&lt;1000000000),1),Y$4:Y1673)),INDEX(F$4:F1673,MATCH(LARGE(FILTER(K$4:K1673,K$4:K1673&lt;1000000000),1),K$4:K1673)))),AND(K761&lt;1000000000,COUNTA(C761:C1673)&gt;0,P$3=FALSE),
ROUNDDOWN(INDEX(Y$4:Y1673,MATCH(LARGE(FILTER(W$4:W1673,W$4:W1673&lt;=I761),1),W$4:W1673"&amp;"))+(I761-LARGE(FILTER(W$4:W1673,W$4:W1673&lt;=I761),1))*INDEX(T$4:T1673,MATCH(LARGE(FILTER(W$4:W1673,W$4:W1673&lt;=I761),1),W$4:W1673))-K761),1,
ROUNDDOWN(Y761-INDEX(K$4:K1673,MATCH(LARGE(FILTER(I$4:I1673,I$4:I1673&lt;=W761),1),I$4:I1673))-(W761-LARGE(FILTER(I$4:I"&amp;"1673,I$4:I1673&lt;=W761),1))*INDEX(F$4:F1673,MATCH(LARGE(FILTER(I$4:I1673,I$4:I1673&lt;=W761),1),I$4:I1673))))"),"")</f>
        <v/>
      </c>
      <c r="N761" s="60" t="str">
        <f t="shared" si="8"/>
        <v/>
      </c>
      <c r="O761" s="61" t="str">
        <f t="shared" si="9"/>
        <v/>
      </c>
      <c r="P761" s="56" t="str">
        <f t="shared" si="10"/>
        <v/>
      </c>
      <c r="R761" s="10"/>
      <c r="S761" s="59" t="str">
        <f t="array" ref="S761">IF(COUNTA(Q761:Q1673)=0,"",SUM((COUNTIF(Q$4:Q761,Upgrades!$B$3:$B$13)-COUNTIF(Q$4:Q761,"Sell_"&amp;Upgrades!$B$3:$B$13))*Upgrades!$D$3:$D$13))</f>
        <v/>
      </c>
      <c r="T761" s="66" t="str">
        <f>IFERROR(__xludf.DUMMYFUNCTION("IF(COUNTA(Q761:Q1673)=0,"""",IF(REGEXMATCH(INDEX(FILTER(Q$4:Q761,Q$4:Q761&lt;&gt;""""),ROWS(FILTER(Q$4:Q761,Q$4:Q761&lt;&gt;""""))),""^Sell_""),INDEX(FILTER(T$4:T760,Q$4:Q760&lt;&gt;""""),ROWS(FILTER(Q$4:Q760,Q$4:Q760&lt;&gt;""""))),$AD$5+S761))"),"")</f>
        <v/>
      </c>
      <c r="U761" s="10" t="str">
        <f>IFERROR(__xludf.DUMMYFUNCTION("IF(COUNTA(Q761:Q1673)=0,"""",IF(Q761="""",0,IF(REGEXMATCH(Q761,""^Sell_""),-ROUNDDOWN(ROUNDUP(INDEX(Upgrades!$C$3:$C$13,MATCH(SUBSTITUTE(Q761,""Sell_"",""""),Upgrades!$B$3:$B$13,0))*1.15^(COUNTIF(Q$4:Q760,SUBSTITUTE(Q761,""Sell_"",""""))-COUNTIF(Q$4:Q760,"&amp;"""Sell_""&amp;SUBSTITUTE(Q761,""Sell_"",""""))))/2),ROUNDUP(INDEX(Upgrades!$C$3:$C$13,MATCH(Q761,Upgrades!$B$3:$B$13,0))*1.15^(COUNTIF(Q$4:Q760,Q761)-COUNTIF(Q$4:Q760,""Sell_""&amp;Q761))))))"),"")</f>
        <v/>
      </c>
      <c r="V761" s="10" t="str">
        <f t="shared" si="11"/>
        <v/>
      </c>
      <c r="W761" s="68" t="str">
        <f t="shared" si="12"/>
        <v/>
      </c>
      <c r="X761" s="59" t="str">
        <f t="shared" si="13"/>
        <v/>
      </c>
      <c r="Y761" s="69" t="str">
        <f t="shared" si="14"/>
        <v/>
      </c>
      <c r="Z761" s="11"/>
    </row>
    <row r="762">
      <c r="A762" s="8"/>
      <c r="B762" s="56" t="str">
        <f t="shared" si="2"/>
        <v/>
      </c>
      <c r="C762" s="105"/>
      <c r="D762" s="10"/>
      <c r="E762" s="59" t="str">
        <f t="array" ref="E762">IF(COUNTA(C762:C1673)=0,"",SUM((COUNTIF(C$4:C762,Upgrades!$B$3:$B$13)-COUNTIF(C$4:C762,"Sell_"&amp;Upgrades!$B$3:$B$13))*Upgrades!$D$3:$D$13))</f>
        <v/>
      </c>
      <c r="F762" s="66" t="str">
        <f>IFERROR(__xludf.DUMMYFUNCTION("IF(COUNTA(C762:C1673)=0,"""",IF(REGEXMATCH(INDEX(FILTER(C$4:C762,C$4:C762&lt;&gt;""""),ROWS(FILTER(C$4:C762,C$4:C762&lt;&gt;""""))),""^Sell_""),INDEX(FILTER(F$4:F761,C$4:C761&lt;&gt;""""),ROWS(FILTER(C$4:C761,C$4:C761&lt;&gt;""""))),$AC$5+E762))"),"")</f>
        <v/>
      </c>
      <c r="G762" s="10" t="str">
        <f>IFERROR(__xludf.DUMMYFUNCTION("IF(COUNTA(C762:C1673)=0,"""",IF(C762="""",0,IF(REGEXMATCH(C762,""^Sell_""),-ROUNDDOWN(ROUNDUP(INDEX(Upgrades!$C$3:$C$13,MATCH(SUBSTITUTE(C762,""Sell_"",""""),Upgrades!$B$3:$B$13,0))*1.15^(COUNTIF(C$4:C761,SUBSTITUTE(C762,""Sell_"",""""))-COUNTIF(C$4:C761,"&amp;"""Sell_""&amp;SUBSTITUTE(C762,""Sell_"",""""))))/2),ROUNDUP(INDEX(Upgrades!$C$3:$C$13,MATCH(C762,Upgrades!$B$3:$B$13,0))*1.15^(COUNTIF(C$4:C761,C762)-COUNTIF(C$4:C761,""Sell_""&amp;C762))))))"),"")</f>
        <v/>
      </c>
      <c r="H762" s="10" t="str">
        <f t="shared" si="3"/>
        <v/>
      </c>
      <c r="I762" s="68" t="str">
        <f t="shared" si="4"/>
        <v/>
      </c>
      <c r="J762" s="59" t="str">
        <f t="shared" si="5"/>
        <v/>
      </c>
      <c r="K762" s="69" t="str">
        <f t="shared" si="6"/>
        <v/>
      </c>
      <c r="L762" s="60" t="str">
        <f t="shared" si="7"/>
        <v/>
      </c>
      <c r="M762" s="61" t="str">
        <f>IFERROR(__xludf.DUMMYFUNCTION("IFS(AND(COUNTA(C762:C1673)=0,COUNTA(Q762:Q1673)=0),"""",OR(AND(K762&gt;=1000000000,OR(Y762&gt;=1000000000,COUNTA(Q762:Q1673)=0)),OR(Y762&gt;=1000000000,AND(COUNTA(C762:C1673)=0,P$3=TRUE))),
ROUNDDOWN((AB$1-AC$1)*MAX(INDEX(T$4:T1673,MATCH(LARGE(FILTER(Y$4:Y1673,Y$4"&amp;":Y1673&lt;1000000000),1),Y$4:Y1673)),INDEX(F$4:F1673,MATCH(LARGE(FILTER(K$4:K1673,K$4:K1673&lt;1000000000),1),K$4:K1673)))),AND(K762&lt;1000000000,COUNTA(C762:C1673)&gt;0,P$3=FALSE),
ROUNDDOWN(INDEX(Y$4:Y1673,MATCH(LARGE(FILTER(W$4:W1673,W$4:W1673&lt;=I762),1),W$4:W1673"&amp;"))+(I762-LARGE(FILTER(W$4:W1673,W$4:W1673&lt;=I762),1))*INDEX(T$4:T1673,MATCH(LARGE(FILTER(W$4:W1673,W$4:W1673&lt;=I762),1),W$4:W1673))-K762),1,
ROUNDDOWN(Y762-INDEX(K$4:K1673,MATCH(LARGE(FILTER(I$4:I1673,I$4:I1673&lt;=W762),1),I$4:I1673))-(W762-LARGE(FILTER(I$4:I"&amp;"1673,I$4:I1673&lt;=W762),1))*INDEX(F$4:F1673,MATCH(LARGE(FILTER(I$4:I1673,I$4:I1673&lt;=W762),1),I$4:I1673))))"),"")</f>
        <v/>
      </c>
      <c r="N762" s="60" t="str">
        <f t="shared" si="8"/>
        <v/>
      </c>
      <c r="O762" s="61" t="str">
        <f t="shared" si="9"/>
        <v/>
      </c>
      <c r="P762" s="56" t="str">
        <f t="shared" si="10"/>
        <v/>
      </c>
      <c r="R762" s="10"/>
      <c r="S762" s="59" t="str">
        <f t="array" ref="S762">IF(COUNTA(Q762:Q1673)=0,"",SUM((COUNTIF(Q$4:Q762,Upgrades!$B$3:$B$13)-COUNTIF(Q$4:Q762,"Sell_"&amp;Upgrades!$B$3:$B$13))*Upgrades!$D$3:$D$13))</f>
        <v/>
      </c>
      <c r="T762" s="66" t="str">
        <f>IFERROR(__xludf.DUMMYFUNCTION("IF(COUNTA(Q762:Q1673)=0,"""",IF(REGEXMATCH(INDEX(FILTER(Q$4:Q762,Q$4:Q762&lt;&gt;""""),ROWS(FILTER(Q$4:Q762,Q$4:Q762&lt;&gt;""""))),""^Sell_""),INDEX(FILTER(T$4:T761,Q$4:Q761&lt;&gt;""""),ROWS(FILTER(Q$4:Q761,Q$4:Q761&lt;&gt;""""))),$AD$5+S762))"),"")</f>
        <v/>
      </c>
      <c r="U762" s="10" t="str">
        <f>IFERROR(__xludf.DUMMYFUNCTION("IF(COUNTA(Q762:Q1673)=0,"""",IF(Q762="""",0,IF(REGEXMATCH(Q762,""^Sell_""),-ROUNDDOWN(ROUNDUP(INDEX(Upgrades!$C$3:$C$13,MATCH(SUBSTITUTE(Q762,""Sell_"",""""),Upgrades!$B$3:$B$13,0))*1.15^(COUNTIF(Q$4:Q761,SUBSTITUTE(Q762,""Sell_"",""""))-COUNTIF(Q$4:Q761,"&amp;"""Sell_""&amp;SUBSTITUTE(Q762,""Sell_"",""""))))/2),ROUNDUP(INDEX(Upgrades!$C$3:$C$13,MATCH(Q762,Upgrades!$B$3:$B$13,0))*1.15^(COUNTIF(Q$4:Q761,Q762)-COUNTIF(Q$4:Q761,""Sell_""&amp;Q762))))))"),"")</f>
        <v/>
      </c>
      <c r="V762" s="10" t="str">
        <f t="shared" si="11"/>
        <v/>
      </c>
      <c r="W762" s="68" t="str">
        <f t="shared" si="12"/>
        <v/>
      </c>
      <c r="X762" s="59" t="str">
        <f t="shared" si="13"/>
        <v/>
      </c>
      <c r="Y762" s="69" t="str">
        <f t="shared" si="14"/>
        <v/>
      </c>
      <c r="Z762" s="11"/>
    </row>
    <row r="763">
      <c r="A763" s="8"/>
      <c r="B763" s="56" t="str">
        <f t="shared" si="2"/>
        <v/>
      </c>
      <c r="C763" s="105"/>
      <c r="D763" s="10"/>
      <c r="E763" s="59" t="str">
        <f t="array" ref="E763">IF(COUNTA(C763:C1673)=0,"",SUM((COUNTIF(C$4:C763,Upgrades!$B$3:$B$13)-COUNTIF(C$4:C763,"Sell_"&amp;Upgrades!$B$3:$B$13))*Upgrades!$D$3:$D$13))</f>
        <v/>
      </c>
      <c r="F763" s="66" t="str">
        <f>IFERROR(__xludf.DUMMYFUNCTION("IF(COUNTA(C763:C1673)=0,"""",IF(REGEXMATCH(INDEX(FILTER(C$4:C763,C$4:C763&lt;&gt;""""),ROWS(FILTER(C$4:C763,C$4:C763&lt;&gt;""""))),""^Sell_""),INDEX(FILTER(F$4:F762,C$4:C762&lt;&gt;""""),ROWS(FILTER(C$4:C762,C$4:C762&lt;&gt;""""))),$AC$5+E763))"),"")</f>
        <v/>
      </c>
      <c r="G763" s="10" t="str">
        <f>IFERROR(__xludf.DUMMYFUNCTION("IF(COUNTA(C763:C1673)=0,"""",IF(C763="""",0,IF(REGEXMATCH(C763,""^Sell_""),-ROUNDDOWN(ROUNDUP(INDEX(Upgrades!$C$3:$C$13,MATCH(SUBSTITUTE(C763,""Sell_"",""""),Upgrades!$B$3:$B$13,0))*1.15^(COUNTIF(C$4:C762,SUBSTITUTE(C763,""Sell_"",""""))-COUNTIF(C$4:C762,"&amp;"""Sell_""&amp;SUBSTITUTE(C763,""Sell_"",""""))))/2),ROUNDUP(INDEX(Upgrades!$C$3:$C$13,MATCH(C763,Upgrades!$B$3:$B$13,0))*1.15^(COUNTIF(C$4:C762,C763)-COUNTIF(C$4:C762,""Sell_""&amp;C763))))))"),"")</f>
        <v/>
      </c>
      <c r="H763" s="10" t="str">
        <f t="shared" si="3"/>
        <v/>
      </c>
      <c r="I763" s="68" t="str">
        <f t="shared" si="4"/>
        <v/>
      </c>
      <c r="J763" s="59" t="str">
        <f t="shared" si="5"/>
        <v/>
      </c>
      <c r="K763" s="69" t="str">
        <f t="shared" si="6"/>
        <v/>
      </c>
      <c r="L763" s="60" t="str">
        <f t="shared" si="7"/>
        <v/>
      </c>
      <c r="M763" s="61" t="str">
        <f>IFERROR(__xludf.DUMMYFUNCTION("IFS(AND(COUNTA(C763:C1673)=0,COUNTA(Q763:Q1673)=0),"""",OR(AND(K763&gt;=1000000000,OR(Y763&gt;=1000000000,COUNTA(Q763:Q1673)=0)),OR(Y763&gt;=1000000000,AND(COUNTA(C763:C1673)=0,P$3=TRUE))),
ROUNDDOWN((AB$1-AC$1)*MAX(INDEX(T$4:T1673,MATCH(LARGE(FILTER(Y$4:Y1673,Y$4"&amp;":Y1673&lt;1000000000),1),Y$4:Y1673)),INDEX(F$4:F1673,MATCH(LARGE(FILTER(K$4:K1673,K$4:K1673&lt;1000000000),1),K$4:K1673)))),AND(K763&lt;1000000000,COUNTA(C763:C1673)&gt;0,P$3=FALSE),
ROUNDDOWN(INDEX(Y$4:Y1673,MATCH(LARGE(FILTER(W$4:W1673,W$4:W1673&lt;=I763),1),W$4:W1673"&amp;"))+(I763-LARGE(FILTER(W$4:W1673,W$4:W1673&lt;=I763),1))*INDEX(T$4:T1673,MATCH(LARGE(FILTER(W$4:W1673,W$4:W1673&lt;=I763),1),W$4:W1673))-K763),1,
ROUNDDOWN(Y763-INDEX(K$4:K1673,MATCH(LARGE(FILTER(I$4:I1673,I$4:I1673&lt;=W763),1),I$4:I1673))-(W763-LARGE(FILTER(I$4:I"&amp;"1673,I$4:I1673&lt;=W763),1))*INDEX(F$4:F1673,MATCH(LARGE(FILTER(I$4:I1673,I$4:I1673&lt;=W763),1),I$4:I1673))))"),"")</f>
        <v/>
      </c>
      <c r="N763" s="60" t="str">
        <f t="shared" si="8"/>
        <v/>
      </c>
      <c r="O763" s="61" t="str">
        <f t="shared" si="9"/>
        <v/>
      </c>
      <c r="P763" s="56" t="str">
        <f t="shared" si="10"/>
        <v/>
      </c>
      <c r="R763" s="10"/>
      <c r="S763" s="59" t="str">
        <f t="array" ref="S763">IF(COUNTA(Q763:Q1673)=0,"",SUM((COUNTIF(Q$4:Q763,Upgrades!$B$3:$B$13)-COUNTIF(Q$4:Q763,"Sell_"&amp;Upgrades!$B$3:$B$13))*Upgrades!$D$3:$D$13))</f>
        <v/>
      </c>
      <c r="T763" s="66" t="str">
        <f>IFERROR(__xludf.DUMMYFUNCTION("IF(COUNTA(Q763:Q1673)=0,"""",IF(REGEXMATCH(INDEX(FILTER(Q$4:Q763,Q$4:Q763&lt;&gt;""""),ROWS(FILTER(Q$4:Q763,Q$4:Q763&lt;&gt;""""))),""^Sell_""),INDEX(FILTER(T$4:T762,Q$4:Q762&lt;&gt;""""),ROWS(FILTER(Q$4:Q762,Q$4:Q762&lt;&gt;""""))),$AD$5+S763))"),"")</f>
        <v/>
      </c>
      <c r="U763" s="10" t="str">
        <f>IFERROR(__xludf.DUMMYFUNCTION("IF(COUNTA(Q763:Q1673)=0,"""",IF(Q763="""",0,IF(REGEXMATCH(Q763,""^Sell_""),-ROUNDDOWN(ROUNDUP(INDEX(Upgrades!$C$3:$C$13,MATCH(SUBSTITUTE(Q763,""Sell_"",""""),Upgrades!$B$3:$B$13,0))*1.15^(COUNTIF(Q$4:Q762,SUBSTITUTE(Q763,""Sell_"",""""))-COUNTIF(Q$4:Q762,"&amp;"""Sell_""&amp;SUBSTITUTE(Q763,""Sell_"",""""))))/2),ROUNDUP(INDEX(Upgrades!$C$3:$C$13,MATCH(Q763,Upgrades!$B$3:$B$13,0))*1.15^(COUNTIF(Q$4:Q762,Q763)-COUNTIF(Q$4:Q762,""Sell_""&amp;Q763))))))"),"")</f>
        <v/>
      </c>
      <c r="V763" s="10" t="str">
        <f t="shared" si="11"/>
        <v/>
      </c>
      <c r="W763" s="68" t="str">
        <f t="shared" si="12"/>
        <v/>
      </c>
      <c r="X763" s="59" t="str">
        <f t="shared" si="13"/>
        <v/>
      </c>
      <c r="Y763" s="69" t="str">
        <f t="shared" si="14"/>
        <v/>
      </c>
      <c r="Z763" s="11"/>
    </row>
    <row r="764">
      <c r="A764" s="8"/>
      <c r="B764" s="56" t="str">
        <f t="shared" si="2"/>
        <v/>
      </c>
      <c r="C764" s="105"/>
      <c r="D764" s="10"/>
      <c r="E764" s="59" t="str">
        <f t="array" ref="E764">IF(COUNTA(C764:C1673)=0,"",SUM((COUNTIF(C$4:C764,Upgrades!$B$3:$B$13)-COUNTIF(C$4:C764,"Sell_"&amp;Upgrades!$B$3:$B$13))*Upgrades!$D$3:$D$13))</f>
        <v/>
      </c>
      <c r="F764" s="66" t="str">
        <f>IFERROR(__xludf.DUMMYFUNCTION("IF(COUNTA(C764:C1673)=0,"""",IF(REGEXMATCH(INDEX(FILTER(C$4:C764,C$4:C764&lt;&gt;""""),ROWS(FILTER(C$4:C764,C$4:C764&lt;&gt;""""))),""^Sell_""),INDEX(FILTER(F$4:F763,C$4:C763&lt;&gt;""""),ROWS(FILTER(C$4:C763,C$4:C763&lt;&gt;""""))),$AC$5+E764))"),"")</f>
        <v/>
      </c>
      <c r="G764" s="10" t="str">
        <f>IFERROR(__xludf.DUMMYFUNCTION("IF(COUNTA(C764:C1673)=0,"""",IF(C764="""",0,IF(REGEXMATCH(C764,""^Sell_""),-ROUNDDOWN(ROUNDUP(INDEX(Upgrades!$C$3:$C$13,MATCH(SUBSTITUTE(C764,""Sell_"",""""),Upgrades!$B$3:$B$13,0))*1.15^(COUNTIF(C$4:C763,SUBSTITUTE(C764,""Sell_"",""""))-COUNTIF(C$4:C763,"&amp;"""Sell_""&amp;SUBSTITUTE(C764,""Sell_"",""""))))/2),ROUNDUP(INDEX(Upgrades!$C$3:$C$13,MATCH(C764,Upgrades!$B$3:$B$13,0))*1.15^(COUNTIF(C$4:C763,C764)-COUNTIF(C$4:C763,""Sell_""&amp;C764))))))"),"")</f>
        <v/>
      </c>
      <c r="H764" s="10" t="str">
        <f t="shared" si="3"/>
        <v/>
      </c>
      <c r="I764" s="68" t="str">
        <f t="shared" si="4"/>
        <v/>
      </c>
      <c r="J764" s="59" t="str">
        <f t="shared" si="5"/>
        <v/>
      </c>
      <c r="K764" s="69" t="str">
        <f t="shared" si="6"/>
        <v/>
      </c>
      <c r="L764" s="60" t="str">
        <f t="shared" si="7"/>
        <v/>
      </c>
      <c r="M764" s="61" t="str">
        <f>IFERROR(__xludf.DUMMYFUNCTION("IFS(AND(COUNTA(C764:C1673)=0,COUNTA(Q764:Q1673)=0),"""",OR(AND(K764&gt;=1000000000,OR(Y764&gt;=1000000000,COUNTA(Q764:Q1673)=0)),OR(Y764&gt;=1000000000,AND(COUNTA(C764:C1673)=0,P$3=TRUE))),
ROUNDDOWN((AB$1-AC$1)*MAX(INDEX(T$4:T1673,MATCH(LARGE(FILTER(Y$4:Y1673,Y$4"&amp;":Y1673&lt;1000000000),1),Y$4:Y1673)),INDEX(F$4:F1673,MATCH(LARGE(FILTER(K$4:K1673,K$4:K1673&lt;1000000000),1),K$4:K1673)))),AND(K764&lt;1000000000,COUNTA(C764:C1673)&gt;0,P$3=FALSE),
ROUNDDOWN(INDEX(Y$4:Y1673,MATCH(LARGE(FILTER(W$4:W1673,W$4:W1673&lt;=I764),1),W$4:W1673"&amp;"))+(I764-LARGE(FILTER(W$4:W1673,W$4:W1673&lt;=I764),1))*INDEX(T$4:T1673,MATCH(LARGE(FILTER(W$4:W1673,W$4:W1673&lt;=I764),1),W$4:W1673))-K764),1,
ROUNDDOWN(Y764-INDEX(K$4:K1673,MATCH(LARGE(FILTER(I$4:I1673,I$4:I1673&lt;=W764),1),I$4:I1673))-(W764-LARGE(FILTER(I$4:I"&amp;"1673,I$4:I1673&lt;=W764),1))*INDEX(F$4:F1673,MATCH(LARGE(FILTER(I$4:I1673,I$4:I1673&lt;=W764),1),I$4:I1673))))"),"")</f>
        <v/>
      </c>
      <c r="N764" s="60" t="str">
        <f t="shared" si="8"/>
        <v/>
      </c>
      <c r="O764" s="61" t="str">
        <f t="shared" si="9"/>
        <v/>
      </c>
      <c r="P764" s="56" t="str">
        <f t="shared" si="10"/>
        <v/>
      </c>
      <c r="R764" s="10"/>
      <c r="S764" s="59" t="str">
        <f t="array" ref="S764">IF(COUNTA(Q764:Q1673)=0,"",SUM((COUNTIF(Q$4:Q764,Upgrades!$B$3:$B$13)-COUNTIF(Q$4:Q764,"Sell_"&amp;Upgrades!$B$3:$B$13))*Upgrades!$D$3:$D$13))</f>
        <v/>
      </c>
      <c r="T764" s="66" t="str">
        <f>IFERROR(__xludf.DUMMYFUNCTION("IF(COUNTA(Q764:Q1673)=0,"""",IF(REGEXMATCH(INDEX(FILTER(Q$4:Q764,Q$4:Q764&lt;&gt;""""),ROWS(FILTER(Q$4:Q764,Q$4:Q764&lt;&gt;""""))),""^Sell_""),INDEX(FILTER(T$4:T763,Q$4:Q763&lt;&gt;""""),ROWS(FILTER(Q$4:Q763,Q$4:Q763&lt;&gt;""""))),$AD$5+S764))"),"")</f>
        <v/>
      </c>
      <c r="U764" s="10" t="str">
        <f>IFERROR(__xludf.DUMMYFUNCTION("IF(COUNTA(Q764:Q1673)=0,"""",IF(Q764="""",0,IF(REGEXMATCH(Q764,""^Sell_""),-ROUNDDOWN(ROUNDUP(INDEX(Upgrades!$C$3:$C$13,MATCH(SUBSTITUTE(Q764,""Sell_"",""""),Upgrades!$B$3:$B$13,0))*1.15^(COUNTIF(Q$4:Q763,SUBSTITUTE(Q764,""Sell_"",""""))-COUNTIF(Q$4:Q763,"&amp;"""Sell_""&amp;SUBSTITUTE(Q764,""Sell_"",""""))))/2),ROUNDUP(INDEX(Upgrades!$C$3:$C$13,MATCH(Q764,Upgrades!$B$3:$B$13,0))*1.15^(COUNTIF(Q$4:Q763,Q764)-COUNTIF(Q$4:Q763,""Sell_""&amp;Q764))))))"),"")</f>
        <v/>
      </c>
      <c r="V764" s="10" t="str">
        <f t="shared" si="11"/>
        <v/>
      </c>
      <c r="W764" s="68" t="str">
        <f t="shared" si="12"/>
        <v/>
      </c>
      <c r="X764" s="59" t="str">
        <f t="shared" si="13"/>
        <v/>
      </c>
      <c r="Y764" s="69" t="str">
        <f t="shared" si="14"/>
        <v/>
      </c>
      <c r="Z764" s="11"/>
    </row>
    <row r="765">
      <c r="A765" s="8"/>
      <c r="B765" s="56" t="str">
        <f t="shared" si="2"/>
        <v/>
      </c>
      <c r="C765" s="105"/>
      <c r="D765" s="10"/>
      <c r="E765" s="59" t="str">
        <f t="array" ref="E765">IF(COUNTA(C765:C1673)=0,"",SUM((COUNTIF(C$4:C765,Upgrades!$B$3:$B$13)-COUNTIF(C$4:C765,"Sell_"&amp;Upgrades!$B$3:$B$13))*Upgrades!$D$3:$D$13))</f>
        <v/>
      </c>
      <c r="F765" s="66" t="str">
        <f>IFERROR(__xludf.DUMMYFUNCTION("IF(COUNTA(C765:C1673)=0,"""",IF(REGEXMATCH(INDEX(FILTER(C$4:C765,C$4:C765&lt;&gt;""""),ROWS(FILTER(C$4:C765,C$4:C765&lt;&gt;""""))),""^Sell_""),INDEX(FILTER(F$4:F764,C$4:C764&lt;&gt;""""),ROWS(FILTER(C$4:C764,C$4:C764&lt;&gt;""""))),$AC$5+E765))"),"")</f>
        <v/>
      </c>
      <c r="G765" s="10" t="str">
        <f>IFERROR(__xludf.DUMMYFUNCTION("IF(COUNTA(C765:C1673)=0,"""",IF(C765="""",0,IF(REGEXMATCH(C765,""^Sell_""),-ROUNDDOWN(ROUNDUP(INDEX(Upgrades!$C$3:$C$13,MATCH(SUBSTITUTE(C765,""Sell_"",""""),Upgrades!$B$3:$B$13,0))*1.15^(COUNTIF(C$4:C764,SUBSTITUTE(C765,""Sell_"",""""))-COUNTIF(C$4:C764,"&amp;"""Sell_""&amp;SUBSTITUTE(C765,""Sell_"",""""))))/2),ROUNDUP(INDEX(Upgrades!$C$3:$C$13,MATCH(C765,Upgrades!$B$3:$B$13,0))*1.15^(COUNTIF(C$4:C764,C765)-COUNTIF(C$4:C764,""Sell_""&amp;C765))))))"),"")</f>
        <v/>
      </c>
      <c r="H765" s="10" t="str">
        <f t="shared" si="3"/>
        <v/>
      </c>
      <c r="I765" s="68" t="str">
        <f t="shared" si="4"/>
        <v/>
      </c>
      <c r="J765" s="59" t="str">
        <f t="shared" si="5"/>
        <v/>
      </c>
      <c r="K765" s="69" t="str">
        <f t="shared" si="6"/>
        <v/>
      </c>
      <c r="L765" s="60" t="str">
        <f t="shared" si="7"/>
        <v/>
      </c>
      <c r="M765" s="61" t="str">
        <f>IFERROR(__xludf.DUMMYFUNCTION("IFS(AND(COUNTA(C765:C1673)=0,COUNTA(Q765:Q1673)=0),"""",OR(AND(K765&gt;=1000000000,OR(Y765&gt;=1000000000,COUNTA(Q765:Q1673)=0)),OR(Y765&gt;=1000000000,AND(COUNTA(C765:C1673)=0,P$3=TRUE))),
ROUNDDOWN((AB$1-AC$1)*MAX(INDEX(T$4:T1673,MATCH(LARGE(FILTER(Y$4:Y1673,Y$4"&amp;":Y1673&lt;1000000000),1),Y$4:Y1673)),INDEX(F$4:F1673,MATCH(LARGE(FILTER(K$4:K1673,K$4:K1673&lt;1000000000),1),K$4:K1673)))),AND(K765&lt;1000000000,COUNTA(C765:C1673)&gt;0,P$3=FALSE),
ROUNDDOWN(INDEX(Y$4:Y1673,MATCH(LARGE(FILTER(W$4:W1673,W$4:W1673&lt;=I765),1),W$4:W1673"&amp;"))+(I765-LARGE(FILTER(W$4:W1673,W$4:W1673&lt;=I765),1))*INDEX(T$4:T1673,MATCH(LARGE(FILTER(W$4:W1673,W$4:W1673&lt;=I765),1),W$4:W1673))-K765),1,
ROUNDDOWN(Y765-INDEX(K$4:K1673,MATCH(LARGE(FILTER(I$4:I1673,I$4:I1673&lt;=W765),1),I$4:I1673))-(W765-LARGE(FILTER(I$4:I"&amp;"1673,I$4:I1673&lt;=W765),1))*INDEX(F$4:F1673,MATCH(LARGE(FILTER(I$4:I1673,I$4:I1673&lt;=W765),1),I$4:I1673))))"),"")</f>
        <v/>
      </c>
      <c r="N765" s="60" t="str">
        <f t="shared" si="8"/>
        <v/>
      </c>
      <c r="O765" s="61" t="str">
        <f t="shared" si="9"/>
        <v/>
      </c>
      <c r="P765" s="56" t="str">
        <f t="shared" si="10"/>
        <v/>
      </c>
      <c r="R765" s="10"/>
      <c r="S765" s="59" t="str">
        <f t="array" ref="S765">IF(COUNTA(Q765:Q1673)=0,"",SUM((COUNTIF(Q$4:Q765,Upgrades!$B$3:$B$13)-COUNTIF(Q$4:Q765,"Sell_"&amp;Upgrades!$B$3:$B$13))*Upgrades!$D$3:$D$13))</f>
        <v/>
      </c>
      <c r="T765" s="66" t="str">
        <f>IFERROR(__xludf.DUMMYFUNCTION("IF(COUNTA(Q765:Q1673)=0,"""",IF(REGEXMATCH(INDEX(FILTER(Q$4:Q765,Q$4:Q765&lt;&gt;""""),ROWS(FILTER(Q$4:Q765,Q$4:Q765&lt;&gt;""""))),""^Sell_""),INDEX(FILTER(T$4:T764,Q$4:Q764&lt;&gt;""""),ROWS(FILTER(Q$4:Q764,Q$4:Q764&lt;&gt;""""))),$AD$5+S765))"),"")</f>
        <v/>
      </c>
      <c r="U765" s="10" t="str">
        <f>IFERROR(__xludf.DUMMYFUNCTION("IF(COUNTA(Q765:Q1673)=0,"""",IF(Q765="""",0,IF(REGEXMATCH(Q765,""^Sell_""),-ROUNDDOWN(ROUNDUP(INDEX(Upgrades!$C$3:$C$13,MATCH(SUBSTITUTE(Q765,""Sell_"",""""),Upgrades!$B$3:$B$13,0))*1.15^(COUNTIF(Q$4:Q764,SUBSTITUTE(Q765,""Sell_"",""""))-COUNTIF(Q$4:Q764,"&amp;"""Sell_""&amp;SUBSTITUTE(Q765,""Sell_"",""""))))/2),ROUNDUP(INDEX(Upgrades!$C$3:$C$13,MATCH(Q765,Upgrades!$B$3:$B$13,0))*1.15^(COUNTIF(Q$4:Q764,Q765)-COUNTIF(Q$4:Q764,""Sell_""&amp;Q765))))))"),"")</f>
        <v/>
      </c>
      <c r="V765" s="10" t="str">
        <f t="shared" si="11"/>
        <v/>
      </c>
      <c r="W765" s="68" t="str">
        <f t="shared" si="12"/>
        <v/>
      </c>
      <c r="X765" s="59" t="str">
        <f t="shared" si="13"/>
        <v/>
      </c>
      <c r="Y765" s="69" t="str">
        <f t="shared" si="14"/>
        <v/>
      </c>
      <c r="Z765" s="11"/>
    </row>
    <row r="766">
      <c r="A766" s="8"/>
      <c r="B766" s="56" t="str">
        <f t="shared" si="2"/>
        <v/>
      </c>
      <c r="C766" s="105"/>
      <c r="D766" s="10"/>
      <c r="E766" s="59" t="str">
        <f t="array" ref="E766">IF(COUNTA(C766:C1673)=0,"",SUM((COUNTIF(C$4:C766,Upgrades!$B$3:$B$13)-COUNTIF(C$4:C766,"Sell_"&amp;Upgrades!$B$3:$B$13))*Upgrades!$D$3:$D$13))</f>
        <v/>
      </c>
      <c r="F766" s="66" t="str">
        <f>IFERROR(__xludf.DUMMYFUNCTION("IF(COUNTA(C766:C1673)=0,"""",IF(REGEXMATCH(INDEX(FILTER(C$4:C766,C$4:C766&lt;&gt;""""),ROWS(FILTER(C$4:C766,C$4:C766&lt;&gt;""""))),""^Sell_""),INDEX(FILTER(F$4:F765,C$4:C765&lt;&gt;""""),ROWS(FILTER(C$4:C765,C$4:C765&lt;&gt;""""))),$AC$5+E766))"),"")</f>
        <v/>
      </c>
      <c r="G766" s="10" t="str">
        <f>IFERROR(__xludf.DUMMYFUNCTION("IF(COUNTA(C766:C1673)=0,"""",IF(C766="""",0,IF(REGEXMATCH(C766,""^Sell_""),-ROUNDDOWN(ROUNDUP(INDEX(Upgrades!$C$3:$C$13,MATCH(SUBSTITUTE(C766,""Sell_"",""""),Upgrades!$B$3:$B$13,0))*1.15^(COUNTIF(C$4:C765,SUBSTITUTE(C766,""Sell_"",""""))-COUNTIF(C$4:C765,"&amp;"""Sell_""&amp;SUBSTITUTE(C766,""Sell_"",""""))))/2),ROUNDUP(INDEX(Upgrades!$C$3:$C$13,MATCH(C766,Upgrades!$B$3:$B$13,0))*1.15^(COUNTIF(C$4:C765,C766)-COUNTIF(C$4:C765,""Sell_""&amp;C766))))))"),"")</f>
        <v/>
      </c>
      <c r="H766" s="10" t="str">
        <f t="shared" si="3"/>
        <v/>
      </c>
      <c r="I766" s="68" t="str">
        <f t="shared" si="4"/>
        <v/>
      </c>
      <c r="J766" s="59" t="str">
        <f t="shared" si="5"/>
        <v/>
      </c>
      <c r="K766" s="69" t="str">
        <f t="shared" si="6"/>
        <v/>
      </c>
      <c r="L766" s="60" t="str">
        <f t="shared" si="7"/>
        <v/>
      </c>
      <c r="M766" s="61" t="str">
        <f>IFERROR(__xludf.DUMMYFUNCTION("IFS(AND(COUNTA(C766:C1673)=0,COUNTA(Q766:Q1673)=0),"""",OR(AND(K766&gt;=1000000000,OR(Y766&gt;=1000000000,COUNTA(Q766:Q1673)=0)),OR(Y766&gt;=1000000000,AND(COUNTA(C766:C1673)=0,P$3=TRUE))),
ROUNDDOWN((AB$1-AC$1)*MAX(INDEX(T$4:T1673,MATCH(LARGE(FILTER(Y$4:Y1673,Y$4"&amp;":Y1673&lt;1000000000),1),Y$4:Y1673)),INDEX(F$4:F1673,MATCH(LARGE(FILTER(K$4:K1673,K$4:K1673&lt;1000000000),1),K$4:K1673)))),AND(K766&lt;1000000000,COUNTA(C766:C1673)&gt;0,P$3=FALSE),
ROUNDDOWN(INDEX(Y$4:Y1673,MATCH(LARGE(FILTER(W$4:W1673,W$4:W1673&lt;=I766),1),W$4:W1673"&amp;"))+(I766-LARGE(FILTER(W$4:W1673,W$4:W1673&lt;=I766),1))*INDEX(T$4:T1673,MATCH(LARGE(FILTER(W$4:W1673,W$4:W1673&lt;=I766),1),W$4:W1673))-K766),1,
ROUNDDOWN(Y766-INDEX(K$4:K1673,MATCH(LARGE(FILTER(I$4:I1673,I$4:I1673&lt;=W766),1),I$4:I1673))-(W766-LARGE(FILTER(I$4:I"&amp;"1673,I$4:I1673&lt;=W766),1))*INDEX(F$4:F1673,MATCH(LARGE(FILTER(I$4:I1673,I$4:I1673&lt;=W766),1),I$4:I1673))))"),"")</f>
        <v/>
      </c>
      <c r="N766" s="60" t="str">
        <f t="shared" si="8"/>
        <v/>
      </c>
      <c r="O766" s="61" t="str">
        <f t="shared" si="9"/>
        <v/>
      </c>
      <c r="P766" s="56" t="str">
        <f t="shared" si="10"/>
        <v/>
      </c>
      <c r="R766" s="10"/>
      <c r="S766" s="59" t="str">
        <f t="array" ref="S766">IF(COUNTA(Q766:Q1673)=0,"",SUM((COUNTIF(Q$4:Q766,Upgrades!$B$3:$B$13)-COUNTIF(Q$4:Q766,"Sell_"&amp;Upgrades!$B$3:$B$13))*Upgrades!$D$3:$D$13))</f>
        <v/>
      </c>
      <c r="T766" s="66" t="str">
        <f>IFERROR(__xludf.DUMMYFUNCTION("IF(COUNTA(Q766:Q1673)=0,"""",IF(REGEXMATCH(INDEX(FILTER(Q$4:Q766,Q$4:Q766&lt;&gt;""""),ROWS(FILTER(Q$4:Q766,Q$4:Q766&lt;&gt;""""))),""^Sell_""),INDEX(FILTER(T$4:T765,Q$4:Q765&lt;&gt;""""),ROWS(FILTER(Q$4:Q765,Q$4:Q765&lt;&gt;""""))),$AD$5+S766))"),"")</f>
        <v/>
      </c>
      <c r="U766" s="10" t="str">
        <f>IFERROR(__xludf.DUMMYFUNCTION("IF(COUNTA(Q766:Q1673)=0,"""",IF(Q766="""",0,IF(REGEXMATCH(Q766,""^Sell_""),-ROUNDDOWN(ROUNDUP(INDEX(Upgrades!$C$3:$C$13,MATCH(SUBSTITUTE(Q766,""Sell_"",""""),Upgrades!$B$3:$B$13,0))*1.15^(COUNTIF(Q$4:Q765,SUBSTITUTE(Q766,""Sell_"",""""))-COUNTIF(Q$4:Q765,"&amp;"""Sell_""&amp;SUBSTITUTE(Q766,""Sell_"",""""))))/2),ROUNDUP(INDEX(Upgrades!$C$3:$C$13,MATCH(Q766,Upgrades!$B$3:$B$13,0))*1.15^(COUNTIF(Q$4:Q765,Q766)-COUNTIF(Q$4:Q765,""Sell_""&amp;Q766))))))"),"")</f>
        <v/>
      </c>
      <c r="V766" s="10" t="str">
        <f t="shared" si="11"/>
        <v/>
      </c>
      <c r="W766" s="68" t="str">
        <f t="shared" si="12"/>
        <v/>
      </c>
      <c r="X766" s="59" t="str">
        <f t="shared" si="13"/>
        <v/>
      </c>
      <c r="Y766" s="69" t="str">
        <f t="shared" si="14"/>
        <v/>
      </c>
      <c r="Z766" s="11"/>
    </row>
    <row r="767">
      <c r="A767" s="8"/>
      <c r="B767" s="56" t="str">
        <f t="shared" si="2"/>
        <v/>
      </c>
      <c r="C767" s="105"/>
      <c r="D767" s="10"/>
      <c r="E767" s="59" t="str">
        <f t="array" ref="E767">IF(COUNTA(C767:C1673)=0,"",SUM((COUNTIF(C$4:C767,Upgrades!$B$3:$B$13)-COUNTIF(C$4:C767,"Sell_"&amp;Upgrades!$B$3:$B$13))*Upgrades!$D$3:$D$13))</f>
        <v/>
      </c>
      <c r="F767" s="66" t="str">
        <f>IFERROR(__xludf.DUMMYFUNCTION("IF(COUNTA(C767:C1673)=0,"""",IF(REGEXMATCH(INDEX(FILTER(C$4:C767,C$4:C767&lt;&gt;""""),ROWS(FILTER(C$4:C767,C$4:C767&lt;&gt;""""))),""^Sell_""),INDEX(FILTER(F$4:F766,C$4:C766&lt;&gt;""""),ROWS(FILTER(C$4:C766,C$4:C766&lt;&gt;""""))),$AC$5+E767))"),"")</f>
        <v/>
      </c>
      <c r="G767" s="10" t="str">
        <f>IFERROR(__xludf.DUMMYFUNCTION("IF(COUNTA(C767:C1673)=0,"""",IF(C767="""",0,IF(REGEXMATCH(C767,""^Sell_""),-ROUNDDOWN(ROUNDUP(INDEX(Upgrades!$C$3:$C$13,MATCH(SUBSTITUTE(C767,""Sell_"",""""),Upgrades!$B$3:$B$13,0))*1.15^(COUNTIF(C$4:C766,SUBSTITUTE(C767,""Sell_"",""""))-COUNTIF(C$4:C766,"&amp;"""Sell_""&amp;SUBSTITUTE(C767,""Sell_"",""""))))/2),ROUNDUP(INDEX(Upgrades!$C$3:$C$13,MATCH(C767,Upgrades!$B$3:$B$13,0))*1.15^(COUNTIF(C$4:C766,C767)-COUNTIF(C$4:C766,""Sell_""&amp;C767))))))"),"")</f>
        <v/>
      </c>
      <c r="H767" s="10" t="str">
        <f t="shared" si="3"/>
        <v/>
      </c>
      <c r="I767" s="68" t="str">
        <f t="shared" si="4"/>
        <v/>
      </c>
      <c r="J767" s="59" t="str">
        <f t="shared" si="5"/>
        <v/>
      </c>
      <c r="K767" s="69" t="str">
        <f t="shared" si="6"/>
        <v/>
      </c>
      <c r="L767" s="60" t="str">
        <f t="shared" si="7"/>
        <v/>
      </c>
      <c r="M767" s="61" t="str">
        <f>IFERROR(__xludf.DUMMYFUNCTION("IFS(AND(COUNTA(C767:C1673)=0,COUNTA(Q767:Q1673)=0),"""",OR(AND(K767&gt;=1000000000,OR(Y767&gt;=1000000000,COUNTA(Q767:Q1673)=0)),OR(Y767&gt;=1000000000,AND(COUNTA(C767:C1673)=0,P$3=TRUE))),
ROUNDDOWN((AB$1-AC$1)*MAX(INDEX(T$4:T1673,MATCH(LARGE(FILTER(Y$4:Y1673,Y$4"&amp;":Y1673&lt;1000000000),1),Y$4:Y1673)),INDEX(F$4:F1673,MATCH(LARGE(FILTER(K$4:K1673,K$4:K1673&lt;1000000000),1),K$4:K1673)))),AND(K767&lt;1000000000,COUNTA(C767:C1673)&gt;0,P$3=FALSE),
ROUNDDOWN(INDEX(Y$4:Y1673,MATCH(LARGE(FILTER(W$4:W1673,W$4:W1673&lt;=I767),1),W$4:W1673"&amp;"))+(I767-LARGE(FILTER(W$4:W1673,W$4:W1673&lt;=I767),1))*INDEX(T$4:T1673,MATCH(LARGE(FILTER(W$4:W1673,W$4:W1673&lt;=I767),1),W$4:W1673))-K767),1,
ROUNDDOWN(Y767-INDEX(K$4:K1673,MATCH(LARGE(FILTER(I$4:I1673,I$4:I1673&lt;=W767),1),I$4:I1673))-(W767-LARGE(FILTER(I$4:I"&amp;"1673,I$4:I1673&lt;=W767),1))*INDEX(F$4:F1673,MATCH(LARGE(FILTER(I$4:I1673,I$4:I1673&lt;=W767),1),I$4:I1673))))"),"")</f>
        <v/>
      </c>
      <c r="N767" s="60" t="str">
        <f t="shared" si="8"/>
        <v/>
      </c>
      <c r="O767" s="61" t="str">
        <f t="shared" si="9"/>
        <v/>
      </c>
      <c r="P767" s="56" t="str">
        <f t="shared" si="10"/>
        <v/>
      </c>
      <c r="R767" s="10"/>
      <c r="S767" s="59" t="str">
        <f t="array" ref="S767">IF(COUNTA(Q767:Q1673)=0,"",SUM((COUNTIF(Q$4:Q767,Upgrades!$B$3:$B$13)-COUNTIF(Q$4:Q767,"Sell_"&amp;Upgrades!$B$3:$B$13))*Upgrades!$D$3:$D$13))</f>
        <v/>
      </c>
      <c r="T767" s="66" t="str">
        <f>IFERROR(__xludf.DUMMYFUNCTION("IF(COUNTA(Q767:Q1673)=0,"""",IF(REGEXMATCH(INDEX(FILTER(Q$4:Q767,Q$4:Q767&lt;&gt;""""),ROWS(FILTER(Q$4:Q767,Q$4:Q767&lt;&gt;""""))),""^Sell_""),INDEX(FILTER(T$4:T766,Q$4:Q766&lt;&gt;""""),ROWS(FILTER(Q$4:Q766,Q$4:Q766&lt;&gt;""""))),$AD$5+S767))"),"")</f>
        <v/>
      </c>
      <c r="U767" s="10" t="str">
        <f>IFERROR(__xludf.DUMMYFUNCTION("IF(COUNTA(Q767:Q1673)=0,"""",IF(Q767="""",0,IF(REGEXMATCH(Q767,""^Sell_""),-ROUNDDOWN(ROUNDUP(INDEX(Upgrades!$C$3:$C$13,MATCH(SUBSTITUTE(Q767,""Sell_"",""""),Upgrades!$B$3:$B$13,0))*1.15^(COUNTIF(Q$4:Q766,SUBSTITUTE(Q767,""Sell_"",""""))-COUNTIF(Q$4:Q766,"&amp;"""Sell_""&amp;SUBSTITUTE(Q767,""Sell_"",""""))))/2),ROUNDUP(INDEX(Upgrades!$C$3:$C$13,MATCH(Q767,Upgrades!$B$3:$B$13,0))*1.15^(COUNTIF(Q$4:Q766,Q767)-COUNTIF(Q$4:Q766,""Sell_""&amp;Q767))))))"),"")</f>
        <v/>
      </c>
      <c r="V767" s="10" t="str">
        <f t="shared" si="11"/>
        <v/>
      </c>
      <c r="W767" s="68" t="str">
        <f t="shared" si="12"/>
        <v/>
      </c>
      <c r="X767" s="59" t="str">
        <f t="shared" si="13"/>
        <v/>
      </c>
      <c r="Y767" s="69" t="str">
        <f t="shared" si="14"/>
        <v/>
      </c>
      <c r="Z767" s="11"/>
    </row>
    <row r="768">
      <c r="A768" s="8"/>
      <c r="B768" s="56" t="str">
        <f t="shared" si="2"/>
        <v/>
      </c>
      <c r="C768" s="105"/>
      <c r="D768" s="10"/>
      <c r="E768" s="59" t="str">
        <f t="array" ref="E768">IF(COUNTA(C768:C1673)=0,"",SUM((COUNTIF(C$4:C768,Upgrades!$B$3:$B$13)-COUNTIF(C$4:C768,"Sell_"&amp;Upgrades!$B$3:$B$13))*Upgrades!$D$3:$D$13))</f>
        <v/>
      </c>
      <c r="F768" s="66" t="str">
        <f>IFERROR(__xludf.DUMMYFUNCTION("IF(COUNTA(C768:C1673)=0,"""",IF(REGEXMATCH(INDEX(FILTER(C$4:C768,C$4:C768&lt;&gt;""""),ROWS(FILTER(C$4:C768,C$4:C768&lt;&gt;""""))),""^Sell_""),INDEX(FILTER(F$4:F767,C$4:C767&lt;&gt;""""),ROWS(FILTER(C$4:C767,C$4:C767&lt;&gt;""""))),$AC$5+E768))"),"")</f>
        <v/>
      </c>
      <c r="G768" s="10" t="str">
        <f>IFERROR(__xludf.DUMMYFUNCTION("IF(COUNTA(C768:C1673)=0,"""",IF(C768="""",0,IF(REGEXMATCH(C768,""^Sell_""),-ROUNDDOWN(ROUNDUP(INDEX(Upgrades!$C$3:$C$13,MATCH(SUBSTITUTE(C768,""Sell_"",""""),Upgrades!$B$3:$B$13,0))*1.15^(COUNTIF(C$4:C767,SUBSTITUTE(C768,""Sell_"",""""))-COUNTIF(C$4:C767,"&amp;"""Sell_""&amp;SUBSTITUTE(C768,""Sell_"",""""))))/2),ROUNDUP(INDEX(Upgrades!$C$3:$C$13,MATCH(C768,Upgrades!$B$3:$B$13,0))*1.15^(COUNTIF(C$4:C767,C768)-COUNTIF(C$4:C767,""Sell_""&amp;C768))))))"),"")</f>
        <v/>
      </c>
      <c r="H768" s="10" t="str">
        <f t="shared" si="3"/>
        <v/>
      </c>
      <c r="I768" s="68" t="str">
        <f t="shared" si="4"/>
        <v/>
      </c>
      <c r="J768" s="59" t="str">
        <f t="shared" si="5"/>
        <v/>
      </c>
      <c r="K768" s="69" t="str">
        <f t="shared" si="6"/>
        <v/>
      </c>
      <c r="L768" s="60" t="str">
        <f t="shared" si="7"/>
        <v/>
      </c>
      <c r="M768" s="61" t="str">
        <f>IFERROR(__xludf.DUMMYFUNCTION("IFS(AND(COUNTA(C768:C1673)=0,COUNTA(Q768:Q1673)=0),"""",OR(AND(K768&gt;=1000000000,OR(Y768&gt;=1000000000,COUNTA(Q768:Q1673)=0)),OR(Y768&gt;=1000000000,AND(COUNTA(C768:C1673)=0,P$3=TRUE))),
ROUNDDOWN((AB$1-AC$1)*MAX(INDEX(T$4:T1673,MATCH(LARGE(FILTER(Y$4:Y1673,Y$4"&amp;":Y1673&lt;1000000000),1),Y$4:Y1673)),INDEX(F$4:F1673,MATCH(LARGE(FILTER(K$4:K1673,K$4:K1673&lt;1000000000),1),K$4:K1673)))),AND(K768&lt;1000000000,COUNTA(C768:C1673)&gt;0,P$3=FALSE),
ROUNDDOWN(INDEX(Y$4:Y1673,MATCH(LARGE(FILTER(W$4:W1673,W$4:W1673&lt;=I768),1),W$4:W1673"&amp;"))+(I768-LARGE(FILTER(W$4:W1673,W$4:W1673&lt;=I768),1))*INDEX(T$4:T1673,MATCH(LARGE(FILTER(W$4:W1673,W$4:W1673&lt;=I768),1),W$4:W1673))-K768),1,
ROUNDDOWN(Y768-INDEX(K$4:K1673,MATCH(LARGE(FILTER(I$4:I1673,I$4:I1673&lt;=W768),1),I$4:I1673))-(W768-LARGE(FILTER(I$4:I"&amp;"1673,I$4:I1673&lt;=W768),1))*INDEX(F$4:F1673,MATCH(LARGE(FILTER(I$4:I1673,I$4:I1673&lt;=W768),1),I$4:I1673))))"),"")</f>
        <v/>
      </c>
      <c r="N768" s="60" t="str">
        <f t="shared" si="8"/>
        <v/>
      </c>
      <c r="O768" s="61" t="str">
        <f t="shared" si="9"/>
        <v/>
      </c>
      <c r="P768" s="56" t="str">
        <f t="shared" si="10"/>
        <v/>
      </c>
      <c r="R768" s="10"/>
      <c r="S768" s="59" t="str">
        <f t="array" ref="S768">IF(COUNTA(Q768:Q1673)=0,"",SUM((COUNTIF(Q$4:Q768,Upgrades!$B$3:$B$13)-COUNTIF(Q$4:Q768,"Sell_"&amp;Upgrades!$B$3:$B$13))*Upgrades!$D$3:$D$13))</f>
        <v/>
      </c>
      <c r="T768" s="66" t="str">
        <f>IFERROR(__xludf.DUMMYFUNCTION("IF(COUNTA(Q768:Q1673)=0,"""",IF(REGEXMATCH(INDEX(FILTER(Q$4:Q768,Q$4:Q768&lt;&gt;""""),ROWS(FILTER(Q$4:Q768,Q$4:Q768&lt;&gt;""""))),""^Sell_""),INDEX(FILTER(T$4:T767,Q$4:Q767&lt;&gt;""""),ROWS(FILTER(Q$4:Q767,Q$4:Q767&lt;&gt;""""))),$AD$5+S768))"),"")</f>
        <v/>
      </c>
      <c r="U768" s="10" t="str">
        <f>IFERROR(__xludf.DUMMYFUNCTION("IF(COUNTA(Q768:Q1673)=0,"""",IF(Q768="""",0,IF(REGEXMATCH(Q768,""^Sell_""),-ROUNDDOWN(ROUNDUP(INDEX(Upgrades!$C$3:$C$13,MATCH(SUBSTITUTE(Q768,""Sell_"",""""),Upgrades!$B$3:$B$13,0))*1.15^(COUNTIF(Q$4:Q767,SUBSTITUTE(Q768,""Sell_"",""""))-COUNTIF(Q$4:Q767,"&amp;"""Sell_""&amp;SUBSTITUTE(Q768,""Sell_"",""""))))/2),ROUNDUP(INDEX(Upgrades!$C$3:$C$13,MATCH(Q768,Upgrades!$B$3:$B$13,0))*1.15^(COUNTIF(Q$4:Q767,Q768)-COUNTIF(Q$4:Q767,""Sell_""&amp;Q768))))))"),"")</f>
        <v/>
      </c>
      <c r="V768" s="10" t="str">
        <f t="shared" si="11"/>
        <v/>
      </c>
      <c r="W768" s="68" t="str">
        <f t="shared" si="12"/>
        <v/>
      </c>
      <c r="X768" s="59" t="str">
        <f t="shared" si="13"/>
        <v/>
      </c>
      <c r="Y768" s="69" t="str">
        <f t="shared" si="14"/>
        <v/>
      </c>
      <c r="Z768" s="11"/>
    </row>
    <row r="769">
      <c r="A769" s="8"/>
      <c r="B769" s="56" t="str">
        <f t="shared" si="2"/>
        <v/>
      </c>
      <c r="C769" s="105"/>
      <c r="D769" s="10"/>
      <c r="E769" s="59" t="str">
        <f t="array" ref="E769">IF(COUNTA(C769:C1673)=0,"",SUM((COUNTIF(C$4:C769,Upgrades!$B$3:$B$13)-COUNTIF(C$4:C769,"Sell_"&amp;Upgrades!$B$3:$B$13))*Upgrades!$D$3:$D$13))</f>
        <v/>
      </c>
      <c r="F769" s="66" t="str">
        <f>IFERROR(__xludf.DUMMYFUNCTION("IF(COUNTA(C769:C1673)=0,"""",IF(REGEXMATCH(INDEX(FILTER(C$4:C769,C$4:C769&lt;&gt;""""),ROWS(FILTER(C$4:C769,C$4:C769&lt;&gt;""""))),""^Sell_""),INDEX(FILTER(F$4:F768,C$4:C768&lt;&gt;""""),ROWS(FILTER(C$4:C768,C$4:C768&lt;&gt;""""))),$AC$5+E769))"),"")</f>
        <v/>
      </c>
      <c r="G769" s="10" t="str">
        <f>IFERROR(__xludf.DUMMYFUNCTION("IF(COUNTA(C769:C1673)=0,"""",IF(C769="""",0,IF(REGEXMATCH(C769,""^Sell_""),-ROUNDDOWN(ROUNDUP(INDEX(Upgrades!$C$3:$C$13,MATCH(SUBSTITUTE(C769,""Sell_"",""""),Upgrades!$B$3:$B$13,0))*1.15^(COUNTIF(C$4:C768,SUBSTITUTE(C769,""Sell_"",""""))-COUNTIF(C$4:C768,"&amp;"""Sell_""&amp;SUBSTITUTE(C769,""Sell_"",""""))))/2),ROUNDUP(INDEX(Upgrades!$C$3:$C$13,MATCH(C769,Upgrades!$B$3:$B$13,0))*1.15^(COUNTIF(C$4:C768,C769)-COUNTIF(C$4:C768,""Sell_""&amp;C769))))))"),"")</f>
        <v/>
      </c>
      <c r="H769" s="10" t="str">
        <f t="shared" si="3"/>
        <v/>
      </c>
      <c r="I769" s="68" t="str">
        <f t="shared" si="4"/>
        <v/>
      </c>
      <c r="J769" s="59" t="str">
        <f t="shared" si="5"/>
        <v/>
      </c>
      <c r="K769" s="69" t="str">
        <f t="shared" si="6"/>
        <v/>
      </c>
      <c r="L769" s="60" t="str">
        <f t="shared" si="7"/>
        <v/>
      </c>
      <c r="M769" s="61" t="str">
        <f>IFERROR(__xludf.DUMMYFUNCTION("IFS(AND(COUNTA(C769:C1673)=0,COUNTA(Q769:Q1673)=0),"""",OR(AND(K769&gt;=1000000000,OR(Y769&gt;=1000000000,COUNTA(Q769:Q1673)=0)),OR(Y769&gt;=1000000000,AND(COUNTA(C769:C1673)=0,P$3=TRUE))),
ROUNDDOWN((AB$1-AC$1)*MAX(INDEX(T$4:T1673,MATCH(LARGE(FILTER(Y$4:Y1673,Y$4"&amp;":Y1673&lt;1000000000),1),Y$4:Y1673)),INDEX(F$4:F1673,MATCH(LARGE(FILTER(K$4:K1673,K$4:K1673&lt;1000000000),1),K$4:K1673)))),AND(K769&lt;1000000000,COUNTA(C769:C1673)&gt;0,P$3=FALSE),
ROUNDDOWN(INDEX(Y$4:Y1673,MATCH(LARGE(FILTER(W$4:W1673,W$4:W1673&lt;=I769),1),W$4:W1673"&amp;"))+(I769-LARGE(FILTER(W$4:W1673,W$4:W1673&lt;=I769),1))*INDEX(T$4:T1673,MATCH(LARGE(FILTER(W$4:W1673,W$4:W1673&lt;=I769),1),W$4:W1673))-K769),1,
ROUNDDOWN(Y769-INDEX(K$4:K1673,MATCH(LARGE(FILTER(I$4:I1673,I$4:I1673&lt;=W769),1),I$4:I1673))-(W769-LARGE(FILTER(I$4:I"&amp;"1673,I$4:I1673&lt;=W769),1))*INDEX(F$4:F1673,MATCH(LARGE(FILTER(I$4:I1673,I$4:I1673&lt;=W769),1),I$4:I1673))))"),"")</f>
        <v/>
      </c>
      <c r="N769" s="60" t="str">
        <f t="shared" si="8"/>
        <v/>
      </c>
      <c r="O769" s="61" t="str">
        <f t="shared" si="9"/>
        <v/>
      </c>
      <c r="P769" s="56" t="str">
        <f t="shared" si="10"/>
        <v/>
      </c>
      <c r="R769" s="10"/>
      <c r="S769" s="59" t="str">
        <f t="array" ref="S769">IF(COUNTA(Q769:Q1673)=0,"",SUM((COUNTIF(Q$4:Q769,Upgrades!$B$3:$B$13)-COUNTIF(Q$4:Q769,"Sell_"&amp;Upgrades!$B$3:$B$13))*Upgrades!$D$3:$D$13))</f>
        <v/>
      </c>
      <c r="T769" s="66" t="str">
        <f>IFERROR(__xludf.DUMMYFUNCTION("IF(COUNTA(Q769:Q1673)=0,"""",IF(REGEXMATCH(INDEX(FILTER(Q$4:Q769,Q$4:Q769&lt;&gt;""""),ROWS(FILTER(Q$4:Q769,Q$4:Q769&lt;&gt;""""))),""^Sell_""),INDEX(FILTER(T$4:T768,Q$4:Q768&lt;&gt;""""),ROWS(FILTER(Q$4:Q768,Q$4:Q768&lt;&gt;""""))),$AD$5+S769))"),"")</f>
        <v/>
      </c>
      <c r="U769" s="10" t="str">
        <f>IFERROR(__xludf.DUMMYFUNCTION("IF(COUNTA(Q769:Q1673)=0,"""",IF(Q769="""",0,IF(REGEXMATCH(Q769,""^Sell_""),-ROUNDDOWN(ROUNDUP(INDEX(Upgrades!$C$3:$C$13,MATCH(SUBSTITUTE(Q769,""Sell_"",""""),Upgrades!$B$3:$B$13,0))*1.15^(COUNTIF(Q$4:Q768,SUBSTITUTE(Q769,""Sell_"",""""))-COUNTIF(Q$4:Q768,"&amp;"""Sell_""&amp;SUBSTITUTE(Q769,""Sell_"",""""))))/2),ROUNDUP(INDEX(Upgrades!$C$3:$C$13,MATCH(Q769,Upgrades!$B$3:$B$13,0))*1.15^(COUNTIF(Q$4:Q768,Q769)-COUNTIF(Q$4:Q768,""Sell_""&amp;Q769))))))"),"")</f>
        <v/>
      </c>
      <c r="V769" s="10" t="str">
        <f t="shared" si="11"/>
        <v/>
      </c>
      <c r="W769" s="68" t="str">
        <f t="shared" si="12"/>
        <v/>
      </c>
      <c r="X769" s="59" t="str">
        <f t="shared" si="13"/>
        <v/>
      </c>
      <c r="Y769" s="69" t="str">
        <f t="shared" si="14"/>
        <v/>
      </c>
      <c r="Z769" s="11"/>
    </row>
    <row r="770">
      <c r="A770" s="8"/>
      <c r="B770" s="56" t="str">
        <f t="shared" si="2"/>
        <v/>
      </c>
      <c r="C770" s="105"/>
      <c r="D770" s="10"/>
      <c r="E770" s="59" t="str">
        <f t="array" ref="E770">IF(COUNTA(C770:C1673)=0,"",SUM((COUNTIF(C$4:C770,Upgrades!$B$3:$B$13)-COUNTIF(C$4:C770,"Sell_"&amp;Upgrades!$B$3:$B$13))*Upgrades!$D$3:$D$13))</f>
        <v/>
      </c>
      <c r="F770" s="66" t="str">
        <f>IFERROR(__xludf.DUMMYFUNCTION("IF(COUNTA(C770:C1673)=0,"""",IF(REGEXMATCH(INDEX(FILTER(C$4:C770,C$4:C770&lt;&gt;""""),ROWS(FILTER(C$4:C770,C$4:C770&lt;&gt;""""))),""^Sell_""),INDEX(FILTER(F$4:F769,C$4:C769&lt;&gt;""""),ROWS(FILTER(C$4:C769,C$4:C769&lt;&gt;""""))),$AC$5+E770))"),"")</f>
        <v/>
      </c>
      <c r="G770" s="10" t="str">
        <f>IFERROR(__xludf.DUMMYFUNCTION("IF(COUNTA(C770:C1673)=0,"""",IF(C770="""",0,IF(REGEXMATCH(C770,""^Sell_""),-ROUNDDOWN(ROUNDUP(INDEX(Upgrades!$C$3:$C$13,MATCH(SUBSTITUTE(C770,""Sell_"",""""),Upgrades!$B$3:$B$13,0))*1.15^(COUNTIF(C$4:C769,SUBSTITUTE(C770,""Sell_"",""""))-COUNTIF(C$4:C769,"&amp;"""Sell_""&amp;SUBSTITUTE(C770,""Sell_"",""""))))/2),ROUNDUP(INDEX(Upgrades!$C$3:$C$13,MATCH(C770,Upgrades!$B$3:$B$13,0))*1.15^(COUNTIF(C$4:C769,C770)-COUNTIF(C$4:C769,""Sell_""&amp;C770))))))"),"")</f>
        <v/>
      </c>
      <c r="H770" s="10" t="str">
        <f t="shared" si="3"/>
        <v/>
      </c>
      <c r="I770" s="68" t="str">
        <f t="shared" si="4"/>
        <v/>
      </c>
      <c r="J770" s="59" t="str">
        <f t="shared" si="5"/>
        <v/>
      </c>
      <c r="K770" s="69" t="str">
        <f t="shared" si="6"/>
        <v/>
      </c>
      <c r="L770" s="60" t="str">
        <f t="shared" si="7"/>
        <v/>
      </c>
      <c r="M770" s="61" t="str">
        <f>IFERROR(__xludf.DUMMYFUNCTION("IFS(AND(COUNTA(C770:C1673)=0,COUNTA(Q770:Q1673)=0),"""",OR(AND(K770&gt;=1000000000,OR(Y770&gt;=1000000000,COUNTA(Q770:Q1673)=0)),OR(Y770&gt;=1000000000,AND(COUNTA(C770:C1673)=0,P$3=TRUE))),
ROUNDDOWN((AB$1-AC$1)*MAX(INDEX(T$4:T1673,MATCH(LARGE(FILTER(Y$4:Y1673,Y$4"&amp;":Y1673&lt;1000000000),1),Y$4:Y1673)),INDEX(F$4:F1673,MATCH(LARGE(FILTER(K$4:K1673,K$4:K1673&lt;1000000000),1),K$4:K1673)))),AND(K770&lt;1000000000,COUNTA(C770:C1673)&gt;0,P$3=FALSE),
ROUNDDOWN(INDEX(Y$4:Y1673,MATCH(LARGE(FILTER(W$4:W1673,W$4:W1673&lt;=I770),1),W$4:W1673"&amp;"))+(I770-LARGE(FILTER(W$4:W1673,W$4:W1673&lt;=I770),1))*INDEX(T$4:T1673,MATCH(LARGE(FILTER(W$4:W1673,W$4:W1673&lt;=I770),1),W$4:W1673))-K770),1,
ROUNDDOWN(Y770-INDEX(K$4:K1673,MATCH(LARGE(FILTER(I$4:I1673,I$4:I1673&lt;=W770),1),I$4:I1673))-(W770-LARGE(FILTER(I$4:I"&amp;"1673,I$4:I1673&lt;=W770),1))*INDEX(F$4:F1673,MATCH(LARGE(FILTER(I$4:I1673,I$4:I1673&lt;=W770),1),I$4:I1673))))"),"")</f>
        <v/>
      </c>
      <c r="N770" s="60" t="str">
        <f t="shared" si="8"/>
        <v/>
      </c>
      <c r="O770" s="61" t="str">
        <f t="shared" si="9"/>
        <v/>
      </c>
      <c r="P770" s="56" t="str">
        <f t="shared" si="10"/>
        <v/>
      </c>
      <c r="R770" s="10"/>
      <c r="S770" s="59" t="str">
        <f t="array" ref="S770">IF(COUNTA(Q770:Q1673)=0,"",SUM((COUNTIF(Q$4:Q770,Upgrades!$B$3:$B$13)-COUNTIF(Q$4:Q770,"Sell_"&amp;Upgrades!$B$3:$B$13))*Upgrades!$D$3:$D$13))</f>
        <v/>
      </c>
      <c r="T770" s="66" t="str">
        <f>IFERROR(__xludf.DUMMYFUNCTION("IF(COUNTA(Q770:Q1673)=0,"""",IF(REGEXMATCH(INDEX(FILTER(Q$4:Q770,Q$4:Q770&lt;&gt;""""),ROWS(FILTER(Q$4:Q770,Q$4:Q770&lt;&gt;""""))),""^Sell_""),INDEX(FILTER(T$4:T769,Q$4:Q769&lt;&gt;""""),ROWS(FILTER(Q$4:Q769,Q$4:Q769&lt;&gt;""""))),$AD$5+S770))"),"")</f>
        <v/>
      </c>
      <c r="U770" s="10" t="str">
        <f>IFERROR(__xludf.DUMMYFUNCTION("IF(COUNTA(Q770:Q1673)=0,"""",IF(Q770="""",0,IF(REGEXMATCH(Q770,""^Sell_""),-ROUNDDOWN(ROUNDUP(INDEX(Upgrades!$C$3:$C$13,MATCH(SUBSTITUTE(Q770,""Sell_"",""""),Upgrades!$B$3:$B$13,0))*1.15^(COUNTIF(Q$4:Q769,SUBSTITUTE(Q770,""Sell_"",""""))-COUNTIF(Q$4:Q769,"&amp;"""Sell_""&amp;SUBSTITUTE(Q770,""Sell_"",""""))))/2),ROUNDUP(INDEX(Upgrades!$C$3:$C$13,MATCH(Q770,Upgrades!$B$3:$B$13,0))*1.15^(COUNTIF(Q$4:Q769,Q770)-COUNTIF(Q$4:Q769,""Sell_""&amp;Q770))))))"),"")</f>
        <v/>
      </c>
      <c r="V770" s="10" t="str">
        <f t="shared" si="11"/>
        <v/>
      </c>
      <c r="W770" s="68" t="str">
        <f t="shared" si="12"/>
        <v/>
      </c>
      <c r="X770" s="59" t="str">
        <f t="shared" si="13"/>
        <v/>
      </c>
      <c r="Y770" s="69" t="str">
        <f t="shared" si="14"/>
        <v/>
      </c>
      <c r="Z770" s="11"/>
    </row>
    <row r="771">
      <c r="A771" s="8"/>
      <c r="B771" s="56" t="str">
        <f t="shared" si="2"/>
        <v/>
      </c>
      <c r="C771" s="105"/>
      <c r="D771" s="10"/>
      <c r="E771" s="59" t="str">
        <f t="array" ref="E771">IF(COUNTA(C771:C1673)=0,"",SUM((COUNTIF(C$4:C771,Upgrades!$B$3:$B$13)-COUNTIF(C$4:C771,"Sell_"&amp;Upgrades!$B$3:$B$13))*Upgrades!$D$3:$D$13))</f>
        <v/>
      </c>
      <c r="F771" s="66" t="str">
        <f>IFERROR(__xludf.DUMMYFUNCTION("IF(COUNTA(C771:C1673)=0,"""",IF(REGEXMATCH(INDEX(FILTER(C$4:C771,C$4:C771&lt;&gt;""""),ROWS(FILTER(C$4:C771,C$4:C771&lt;&gt;""""))),""^Sell_""),INDEX(FILTER(F$4:F770,C$4:C770&lt;&gt;""""),ROWS(FILTER(C$4:C770,C$4:C770&lt;&gt;""""))),$AC$5+E771))"),"")</f>
        <v/>
      </c>
      <c r="G771" s="10" t="str">
        <f>IFERROR(__xludf.DUMMYFUNCTION("IF(COUNTA(C771:C1673)=0,"""",IF(C771="""",0,IF(REGEXMATCH(C771,""^Sell_""),-ROUNDDOWN(ROUNDUP(INDEX(Upgrades!$C$3:$C$13,MATCH(SUBSTITUTE(C771,""Sell_"",""""),Upgrades!$B$3:$B$13,0))*1.15^(COUNTIF(C$4:C770,SUBSTITUTE(C771,""Sell_"",""""))-COUNTIF(C$4:C770,"&amp;"""Sell_""&amp;SUBSTITUTE(C771,""Sell_"",""""))))/2),ROUNDUP(INDEX(Upgrades!$C$3:$C$13,MATCH(C771,Upgrades!$B$3:$B$13,0))*1.15^(COUNTIF(C$4:C770,C771)-COUNTIF(C$4:C770,""Sell_""&amp;C771))))))"),"")</f>
        <v/>
      </c>
      <c r="H771" s="10" t="str">
        <f t="shared" si="3"/>
        <v/>
      </c>
      <c r="I771" s="68" t="str">
        <f t="shared" si="4"/>
        <v/>
      </c>
      <c r="J771" s="59" t="str">
        <f t="shared" si="5"/>
        <v/>
      </c>
      <c r="K771" s="69" t="str">
        <f t="shared" si="6"/>
        <v/>
      </c>
      <c r="L771" s="60" t="str">
        <f t="shared" si="7"/>
        <v/>
      </c>
      <c r="M771" s="61" t="str">
        <f>IFERROR(__xludf.DUMMYFUNCTION("IFS(AND(COUNTA(C771:C1673)=0,COUNTA(Q771:Q1673)=0),"""",OR(AND(K771&gt;=1000000000,OR(Y771&gt;=1000000000,COUNTA(Q771:Q1673)=0)),OR(Y771&gt;=1000000000,AND(COUNTA(C771:C1673)=0,P$3=TRUE))),
ROUNDDOWN((AB$1-AC$1)*MAX(INDEX(T$4:T1673,MATCH(LARGE(FILTER(Y$4:Y1673,Y$4"&amp;":Y1673&lt;1000000000),1),Y$4:Y1673)),INDEX(F$4:F1673,MATCH(LARGE(FILTER(K$4:K1673,K$4:K1673&lt;1000000000),1),K$4:K1673)))),AND(K771&lt;1000000000,COUNTA(C771:C1673)&gt;0,P$3=FALSE),
ROUNDDOWN(INDEX(Y$4:Y1673,MATCH(LARGE(FILTER(W$4:W1673,W$4:W1673&lt;=I771),1),W$4:W1673"&amp;"))+(I771-LARGE(FILTER(W$4:W1673,W$4:W1673&lt;=I771),1))*INDEX(T$4:T1673,MATCH(LARGE(FILTER(W$4:W1673,W$4:W1673&lt;=I771),1),W$4:W1673))-K771),1,
ROUNDDOWN(Y771-INDEX(K$4:K1673,MATCH(LARGE(FILTER(I$4:I1673,I$4:I1673&lt;=W771),1),I$4:I1673))-(W771-LARGE(FILTER(I$4:I"&amp;"1673,I$4:I1673&lt;=W771),1))*INDEX(F$4:F1673,MATCH(LARGE(FILTER(I$4:I1673,I$4:I1673&lt;=W771),1),I$4:I1673))))"),"")</f>
        <v/>
      </c>
      <c r="N771" s="60" t="str">
        <f t="shared" si="8"/>
        <v/>
      </c>
      <c r="O771" s="61" t="str">
        <f t="shared" si="9"/>
        <v/>
      </c>
      <c r="P771" s="56" t="str">
        <f t="shared" si="10"/>
        <v/>
      </c>
      <c r="R771" s="10"/>
      <c r="S771" s="59" t="str">
        <f t="array" ref="S771">IF(COUNTA(Q771:Q1673)=0,"",SUM((COUNTIF(Q$4:Q771,Upgrades!$B$3:$B$13)-COUNTIF(Q$4:Q771,"Sell_"&amp;Upgrades!$B$3:$B$13))*Upgrades!$D$3:$D$13))</f>
        <v/>
      </c>
      <c r="T771" s="66" t="str">
        <f>IFERROR(__xludf.DUMMYFUNCTION("IF(COUNTA(Q771:Q1673)=0,"""",IF(REGEXMATCH(INDEX(FILTER(Q$4:Q771,Q$4:Q771&lt;&gt;""""),ROWS(FILTER(Q$4:Q771,Q$4:Q771&lt;&gt;""""))),""^Sell_""),INDEX(FILTER(T$4:T770,Q$4:Q770&lt;&gt;""""),ROWS(FILTER(Q$4:Q770,Q$4:Q770&lt;&gt;""""))),$AD$5+S771))"),"")</f>
        <v/>
      </c>
      <c r="U771" s="10" t="str">
        <f>IFERROR(__xludf.DUMMYFUNCTION("IF(COUNTA(Q771:Q1673)=0,"""",IF(Q771="""",0,IF(REGEXMATCH(Q771,""^Sell_""),-ROUNDDOWN(ROUNDUP(INDEX(Upgrades!$C$3:$C$13,MATCH(SUBSTITUTE(Q771,""Sell_"",""""),Upgrades!$B$3:$B$13,0))*1.15^(COUNTIF(Q$4:Q770,SUBSTITUTE(Q771,""Sell_"",""""))-COUNTIF(Q$4:Q770,"&amp;"""Sell_""&amp;SUBSTITUTE(Q771,""Sell_"",""""))))/2),ROUNDUP(INDEX(Upgrades!$C$3:$C$13,MATCH(Q771,Upgrades!$B$3:$B$13,0))*1.15^(COUNTIF(Q$4:Q770,Q771)-COUNTIF(Q$4:Q770,""Sell_""&amp;Q771))))))"),"")</f>
        <v/>
      </c>
      <c r="V771" s="10" t="str">
        <f t="shared" si="11"/>
        <v/>
      </c>
      <c r="W771" s="68" t="str">
        <f t="shared" si="12"/>
        <v/>
      </c>
      <c r="X771" s="59" t="str">
        <f t="shared" si="13"/>
        <v/>
      </c>
      <c r="Y771" s="69" t="str">
        <f t="shared" si="14"/>
        <v/>
      </c>
      <c r="Z771" s="11"/>
    </row>
    <row r="772">
      <c r="A772" s="8"/>
      <c r="B772" s="56" t="str">
        <f t="shared" si="2"/>
        <v/>
      </c>
      <c r="C772" s="105"/>
      <c r="D772" s="10"/>
      <c r="E772" s="59" t="str">
        <f t="array" ref="E772">IF(COUNTA(C772:C1673)=0,"",SUM((COUNTIF(C$4:C772,Upgrades!$B$3:$B$13)-COUNTIF(C$4:C772,"Sell_"&amp;Upgrades!$B$3:$B$13))*Upgrades!$D$3:$D$13))</f>
        <v/>
      </c>
      <c r="F772" s="66" t="str">
        <f>IFERROR(__xludf.DUMMYFUNCTION("IF(COUNTA(C772:C1673)=0,"""",IF(REGEXMATCH(INDEX(FILTER(C$4:C772,C$4:C772&lt;&gt;""""),ROWS(FILTER(C$4:C772,C$4:C772&lt;&gt;""""))),""^Sell_""),INDEX(FILTER(F$4:F771,C$4:C771&lt;&gt;""""),ROWS(FILTER(C$4:C771,C$4:C771&lt;&gt;""""))),$AC$5+E772))"),"")</f>
        <v/>
      </c>
      <c r="G772" s="10" t="str">
        <f>IFERROR(__xludf.DUMMYFUNCTION("IF(COUNTA(C772:C1673)=0,"""",IF(C772="""",0,IF(REGEXMATCH(C772,""^Sell_""),-ROUNDDOWN(ROUNDUP(INDEX(Upgrades!$C$3:$C$13,MATCH(SUBSTITUTE(C772,""Sell_"",""""),Upgrades!$B$3:$B$13,0))*1.15^(COUNTIF(C$4:C771,SUBSTITUTE(C772,""Sell_"",""""))-COUNTIF(C$4:C771,"&amp;"""Sell_""&amp;SUBSTITUTE(C772,""Sell_"",""""))))/2),ROUNDUP(INDEX(Upgrades!$C$3:$C$13,MATCH(C772,Upgrades!$B$3:$B$13,0))*1.15^(COUNTIF(C$4:C771,C772)-COUNTIF(C$4:C771,""Sell_""&amp;C772))))))"),"")</f>
        <v/>
      </c>
      <c r="H772" s="10" t="str">
        <f t="shared" si="3"/>
        <v/>
      </c>
      <c r="I772" s="68" t="str">
        <f t="shared" si="4"/>
        <v/>
      </c>
      <c r="J772" s="59" t="str">
        <f t="shared" si="5"/>
        <v/>
      </c>
      <c r="K772" s="69" t="str">
        <f t="shared" si="6"/>
        <v/>
      </c>
      <c r="L772" s="60" t="str">
        <f t="shared" si="7"/>
        <v/>
      </c>
      <c r="M772" s="61" t="str">
        <f>IFERROR(__xludf.DUMMYFUNCTION("IFS(AND(COUNTA(C772:C1673)=0,COUNTA(Q772:Q1673)=0),"""",OR(AND(K772&gt;=1000000000,OR(Y772&gt;=1000000000,COUNTA(Q772:Q1673)=0)),OR(Y772&gt;=1000000000,AND(COUNTA(C772:C1673)=0,P$3=TRUE))),
ROUNDDOWN((AB$1-AC$1)*MAX(INDEX(T$4:T1673,MATCH(LARGE(FILTER(Y$4:Y1673,Y$4"&amp;":Y1673&lt;1000000000),1),Y$4:Y1673)),INDEX(F$4:F1673,MATCH(LARGE(FILTER(K$4:K1673,K$4:K1673&lt;1000000000),1),K$4:K1673)))),AND(K772&lt;1000000000,COUNTA(C772:C1673)&gt;0,P$3=FALSE),
ROUNDDOWN(INDEX(Y$4:Y1673,MATCH(LARGE(FILTER(W$4:W1673,W$4:W1673&lt;=I772),1),W$4:W1673"&amp;"))+(I772-LARGE(FILTER(W$4:W1673,W$4:W1673&lt;=I772),1))*INDEX(T$4:T1673,MATCH(LARGE(FILTER(W$4:W1673,W$4:W1673&lt;=I772),1),W$4:W1673))-K772),1,
ROUNDDOWN(Y772-INDEX(K$4:K1673,MATCH(LARGE(FILTER(I$4:I1673,I$4:I1673&lt;=W772),1),I$4:I1673))-(W772-LARGE(FILTER(I$4:I"&amp;"1673,I$4:I1673&lt;=W772),1))*INDEX(F$4:F1673,MATCH(LARGE(FILTER(I$4:I1673,I$4:I1673&lt;=W772),1),I$4:I1673))))"),"")</f>
        <v/>
      </c>
      <c r="N772" s="60" t="str">
        <f t="shared" si="8"/>
        <v/>
      </c>
      <c r="O772" s="61" t="str">
        <f t="shared" si="9"/>
        <v/>
      </c>
      <c r="P772" s="56" t="str">
        <f t="shared" si="10"/>
        <v/>
      </c>
      <c r="R772" s="10"/>
      <c r="S772" s="59" t="str">
        <f t="array" ref="S772">IF(COUNTA(Q772:Q1673)=0,"",SUM((COUNTIF(Q$4:Q772,Upgrades!$B$3:$B$13)-COUNTIF(Q$4:Q772,"Sell_"&amp;Upgrades!$B$3:$B$13))*Upgrades!$D$3:$D$13))</f>
        <v/>
      </c>
      <c r="T772" s="66" t="str">
        <f>IFERROR(__xludf.DUMMYFUNCTION("IF(COUNTA(Q772:Q1673)=0,"""",IF(REGEXMATCH(INDEX(FILTER(Q$4:Q772,Q$4:Q772&lt;&gt;""""),ROWS(FILTER(Q$4:Q772,Q$4:Q772&lt;&gt;""""))),""^Sell_""),INDEX(FILTER(T$4:T771,Q$4:Q771&lt;&gt;""""),ROWS(FILTER(Q$4:Q771,Q$4:Q771&lt;&gt;""""))),$AD$5+S772))"),"")</f>
        <v/>
      </c>
      <c r="U772" s="10" t="str">
        <f>IFERROR(__xludf.DUMMYFUNCTION("IF(COUNTA(Q772:Q1673)=0,"""",IF(Q772="""",0,IF(REGEXMATCH(Q772,""^Sell_""),-ROUNDDOWN(ROUNDUP(INDEX(Upgrades!$C$3:$C$13,MATCH(SUBSTITUTE(Q772,""Sell_"",""""),Upgrades!$B$3:$B$13,0))*1.15^(COUNTIF(Q$4:Q771,SUBSTITUTE(Q772,""Sell_"",""""))-COUNTIF(Q$4:Q771,"&amp;"""Sell_""&amp;SUBSTITUTE(Q772,""Sell_"",""""))))/2),ROUNDUP(INDEX(Upgrades!$C$3:$C$13,MATCH(Q772,Upgrades!$B$3:$B$13,0))*1.15^(COUNTIF(Q$4:Q771,Q772)-COUNTIF(Q$4:Q771,""Sell_""&amp;Q772))))))"),"")</f>
        <v/>
      </c>
      <c r="V772" s="10" t="str">
        <f t="shared" si="11"/>
        <v/>
      </c>
      <c r="W772" s="68" t="str">
        <f t="shared" si="12"/>
        <v/>
      </c>
      <c r="X772" s="59" t="str">
        <f t="shared" si="13"/>
        <v/>
      </c>
      <c r="Y772" s="69" t="str">
        <f t="shared" si="14"/>
        <v/>
      </c>
      <c r="Z772" s="11"/>
    </row>
    <row r="773">
      <c r="A773" s="8"/>
      <c r="B773" s="56" t="str">
        <f t="shared" si="2"/>
        <v/>
      </c>
      <c r="C773" s="105"/>
      <c r="D773" s="10"/>
      <c r="E773" s="59" t="str">
        <f t="array" ref="E773">IF(COUNTA(C773:C1673)=0,"",SUM((COUNTIF(C$4:C773,Upgrades!$B$3:$B$13)-COUNTIF(C$4:C773,"Sell_"&amp;Upgrades!$B$3:$B$13))*Upgrades!$D$3:$D$13))</f>
        <v/>
      </c>
      <c r="F773" s="66" t="str">
        <f>IFERROR(__xludf.DUMMYFUNCTION("IF(COUNTA(C773:C1673)=0,"""",IF(REGEXMATCH(INDEX(FILTER(C$4:C773,C$4:C773&lt;&gt;""""),ROWS(FILTER(C$4:C773,C$4:C773&lt;&gt;""""))),""^Sell_""),INDEX(FILTER(F$4:F772,C$4:C772&lt;&gt;""""),ROWS(FILTER(C$4:C772,C$4:C772&lt;&gt;""""))),$AC$5+E773))"),"")</f>
        <v/>
      </c>
      <c r="G773" s="10" t="str">
        <f>IFERROR(__xludf.DUMMYFUNCTION("IF(COUNTA(C773:C1673)=0,"""",IF(C773="""",0,IF(REGEXMATCH(C773,""^Sell_""),-ROUNDDOWN(ROUNDUP(INDEX(Upgrades!$C$3:$C$13,MATCH(SUBSTITUTE(C773,""Sell_"",""""),Upgrades!$B$3:$B$13,0))*1.15^(COUNTIF(C$4:C772,SUBSTITUTE(C773,""Sell_"",""""))-COUNTIF(C$4:C772,"&amp;"""Sell_""&amp;SUBSTITUTE(C773,""Sell_"",""""))))/2),ROUNDUP(INDEX(Upgrades!$C$3:$C$13,MATCH(C773,Upgrades!$B$3:$B$13,0))*1.15^(COUNTIF(C$4:C772,C773)-COUNTIF(C$4:C772,""Sell_""&amp;C773))))))"),"")</f>
        <v/>
      </c>
      <c r="H773" s="10" t="str">
        <f t="shared" si="3"/>
        <v/>
      </c>
      <c r="I773" s="68" t="str">
        <f t="shared" si="4"/>
        <v/>
      </c>
      <c r="J773" s="59" t="str">
        <f t="shared" si="5"/>
        <v/>
      </c>
      <c r="K773" s="69" t="str">
        <f t="shared" si="6"/>
        <v/>
      </c>
      <c r="L773" s="60" t="str">
        <f t="shared" si="7"/>
        <v/>
      </c>
      <c r="M773" s="61" t="str">
        <f>IFERROR(__xludf.DUMMYFUNCTION("IFS(AND(COUNTA(C773:C1673)=0,COUNTA(Q773:Q1673)=0),"""",OR(AND(K773&gt;=1000000000,OR(Y773&gt;=1000000000,COUNTA(Q773:Q1673)=0)),OR(Y773&gt;=1000000000,AND(COUNTA(C773:C1673)=0,P$3=TRUE))),
ROUNDDOWN((AB$1-AC$1)*MAX(INDEX(T$4:T1673,MATCH(LARGE(FILTER(Y$4:Y1673,Y$4"&amp;":Y1673&lt;1000000000),1),Y$4:Y1673)),INDEX(F$4:F1673,MATCH(LARGE(FILTER(K$4:K1673,K$4:K1673&lt;1000000000),1),K$4:K1673)))),AND(K773&lt;1000000000,COUNTA(C773:C1673)&gt;0,P$3=FALSE),
ROUNDDOWN(INDEX(Y$4:Y1673,MATCH(LARGE(FILTER(W$4:W1673,W$4:W1673&lt;=I773),1),W$4:W1673"&amp;"))+(I773-LARGE(FILTER(W$4:W1673,W$4:W1673&lt;=I773),1))*INDEX(T$4:T1673,MATCH(LARGE(FILTER(W$4:W1673,W$4:W1673&lt;=I773),1),W$4:W1673))-K773),1,
ROUNDDOWN(Y773-INDEX(K$4:K1673,MATCH(LARGE(FILTER(I$4:I1673,I$4:I1673&lt;=W773),1),I$4:I1673))-(W773-LARGE(FILTER(I$4:I"&amp;"1673,I$4:I1673&lt;=W773),1))*INDEX(F$4:F1673,MATCH(LARGE(FILTER(I$4:I1673,I$4:I1673&lt;=W773),1),I$4:I1673))))"),"")</f>
        <v/>
      </c>
      <c r="N773" s="60" t="str">
        <f t="shared" si="8"/>
        <v/>
      </c>
      <c r="O773" s="61" t="str">
        <f t="shared" si="9"/>
        <v/>
      </c>
      <c r="P773" s="56" t="str">
        <f t="shared" si="10"/>
        <v/>
      </c>
      <c r="R773" s="10"/>
      <c r="S773" s="59" t="str">
        <f t="array" ref="S773">IF(COUNTA(Q773:Q1673)=0,"",SUM((COUNTIF(Q$4:Q773,Upgrades!$B$3:$B$13)-COUNTIF(Q$4:Q773,"Sell_"&amp;Upgrades!$B$3:$B$13))*Upgrades!$D$3:$D$13))</f>
        <v/>
      </c>
      <c r="T773" s="66" t="str">
        <f>IFERROR(__xludf.DUMMYFUNCTION("IF(COUNTA(Q773:Q1673)=0,"""",IF(REGEXMATCH(INDEX(FILTER(Q$4:Q773,Q$4:Q773&lt;&gt;""""),ROWS(FILTER(Q$4:Q773,Q$4:Q773&lt;&gt;""""))),""^Sell_""),INDEX(FILTER(T$4:T772,Q$4:Q772&lt;&gt;""""),ROWS(FILTER(Q$4:Q772,Q$4:Q772&lt;&gt;""""))),$AD$5+S773))"),"")</f>
        <v/>
      </c>
      <c r="U773" s="10" t="str">
        <f>IFERROR(__xludf.DUMMYFUNCTION("IF(COUNTA(Q773:Q1673)=0,"""",IF(Q773="""",0,IF(REGEXMATCH(Q773,""^Sell_""),-ROUNDDOWN(ROUNDUP(INDEX(Upgrades!$C$3:$C$13,MATCH(SUBSTITUTE(Q773,""Sell_"",""""),Upgrades!$B$3:$B$13,0))*1.15^(COUNTIF(Q$4:Q772,SUBSTITUTE(Q773,""Sell_"",""""))-COUNTIF(Q$4:Q772,"&amp;"""Sell_""&amp;SUBSTITUTE(Q773,""Sell_"",""""))))/2),ROUNDUP(INDEX(Upgrades!$C$3:$C$13,MATCH(Q773,Upgrades!$B$3:$B$13,0))*1.15^(COUNTIF(Q$4:Q772,Q773)-COUNTIF(Q$4:Q772,""Sell_""&amp;Q773))))))"),"")</f>
        <v/>
      </c>
      <c r="V773" s="10" t="str">
        <f t="shared" si="11"/>
        <v/>
      </c>
      <c r="W773" s="68" t="str">
        <f t="shared" si="12"/>
        <v/>
      </c>
      <c r="X773" s="59" t="str">
        <f t="shared" si="13"/>
        <v/>
      </c>
      <c r="Y773" s="69" t="str">
        <f t="shared" si="14"/>
        <v/>
      </c>
      <c r="Z773" s="11"/>
    </row>
    <row r="774">
      <c r="A774" s="8"/>
      <c r="B774" s="56" t="str">
        <f t="shared" si="2"/>
        <v/>
      </c>
      <c r="C774" s="105"/>
      <c r="D774" s="10"/>
      <c r="E774" s="59" t="str">
        <f t="array" ref="E774">IF(COUNTA(C774:C1673)=0,"",SUM((COUNTIF(C$4:C774,Upgrades!$B$3:$B$13)-COUNTIF(C$4:C774,"Sell_"&amp;Upgrades!$B$3:$B$13))*Upgrades!$D$3:$D$13))</f>
        <v/>
      </c>
      <c r="F774" s="66" t="str">
        <f>IFERROR(__xludf.DUMMYFUNCTION("IF(COUNTA(C774:C1673)=0,"""",IF(REGEXMATCH(INDEX(FILTER(C$4:C774,C$4:C774&lt;&gt;""""),ROWS(FILTER(C$4:C774,C$4:C774&lt;&gt;""""))),""^Sell_""),INDEX(FILTER(F$4:F773,C$4:C773&lt;&gt;""""),ROWS(FILTER(C$4:C773,C$4:C773&lt;&gt;""""))),$AC$5+E774))"),"")</f>
        <v/>
      </c>
      <c r="G774" s="10" t="str">
        <f>IFERROR(__xludf.DUMMYFUNCTION("IF(COUNTA(C774:C1673)=0,"""",IF(C774="""",0,IF(REGEXMATCH(C774,""^Sell_""),-ROUNDDOWN(ROUNDUP(INDEX(Upgrades!$C$3:$C$13,MATCH(SUBSTITUTE(C774,""Sell_"",""""),Upgrades!$B$3:$B$13,0))*1.15^(COUNTIF(C$4:C773,SUBSTITUTE(C774,""Sell_"",""""))-COUNTIF(C$4:C773,"&amp;"""Sell_""&amp;SUBSTITUTE(C774,""Sell_"",""""))))/2),ROUNDUP(INDEX(Upgrades!$C$3:$C$13,MATCH(C774,Upgrades!$B$3:$B$13,0))*1.15^(COUNTIF(C$4:C773,C774)-COUNTIF(C$4:C773,""Sell_""&amp;C774))))))"),"")</f>
        <v/>
      </c>
      <c r="H774" s="10" t="str">
        <f t="shared" si="3"/>
        <v/>
      </c>
      <c r="I774" s="68" t="str">
        <f t="shared" si="4"/>
        <v/>
      </c>
      <c r="J774" s="59" t="str">
        <f t="shared" si="5"/>
        <v/>
      </c>
      <c r="K774" s="69" t="str">
        <f t="shared" si="6"/>
        <v/>
      </c>
      <c r="L774" s="60" t="str">
        <f t="shared" si="7"/>
        <v/>
      </c>
      <c r="M774" s="61" t="str">
        <f>IFERROR(__xludf.DUMMYFUNCTION("IFS(AND(COUNTA(C774:C1673)=0,COUNTA(Q774:Q1673)=0),"""",OR(AND(K774&gt;=1000000000,OR(Y774&gt;=1000000000,COUNTA(Q774:Q1673)=0)),OR(Y774&gt;=1000000000,AND(COUNTA(C774:C1673)=0,P$3=TRUE))),
ROUNDDOWN((AB$1-AC$1)*MAX(INDEX(T$4:T1673,MATCH(LARGE(FILTER(Y$4:Y1673,Y$4"&amp;":Y1673&lt;1000000000),1),Y$4:Y1673)),INDEX(F$4:F1673,MATCH(LARGE(FILTER(K$4:K1673,K$4:K1673&lt;1000000000),1),K$4:K1673)))),AND(K774&lt;1000000000,COUNTA(C774:C1673)&gt;0,P$3=FALSE),
ROUNDDOWN(INDEX(Y$4:Y1673,MATCH(LARGE(FILTER(W$4:W1673,W$4:W1673&lt;=I774),1),W$4:W1673"&amp;"))+(I774-LARGE(FILTER(W$4:W1673,W$4:W1673&lt;=I774),1))*INDEX(T$4:T1673,MATCH(LARGE(FILTER(W$4:W1673,W$4:W1673&lt;=I774),1),W$4:W1673))-K774),1,
ROUNDDOWN(Y774-INDEX(K$4:K1673,MATCH(LARGE(FILTER(I$4:I1673,I$4:I1673&lt;=W774),1),I$4:I1673))-(W774-LARGE(FILTER(I$4:I"&amp;"1673,I$4:I1673&lt;=W774),1))*INDEX(F$4:F1673,MATCH(LARGE(FILTER(I$4:I1673,I$4:I1673&lt;=W774),1),I$4:I1673))))"),"")</f>
        <v/>
      </c>
      <c r="N774" s="60" t="str">
        <f t="shared" si="8"/>
        <v/>
      </c>
      <c r="O774" s="61" t="str">
        <f t="shared" si="9"/>
        <v/>
      </c>
      <c r="P774" s="56" t="str">
        <f t="shared" si="10"/>
        <v/>
      </c>
      <c r="R774" s="10"/>
      <c r="S774" s="59" t="str">
        <f t="array" ref="S774">IF(COUNTA(Q774:Q1673)=0,"",SUM((COUNTIF(Q$4:Q774,Upgrades!$B$3:$B$13)-COUNTIF(Q$4:Q774,"Sell_"&amp;Upgrades!$B$3:$B$13))*Upgrades!$D$3:$D$13))</f>
        <v/>
      </c>
      <c r="T774" s="66" t="str">
        <f>IFERROR(__xludf.DUMMYFUNCTION("IF(COUNTA(Q774:Q1673)=0,"""",IF(REGEXMATCH(INDEX(FILTER(Q$4:Q774,Q$4:Q774&lt;&gt;""""),ROWS(FILTER(Q$4:Q774,Q$4:Q774&lt;&gt;""""))),""^Sell_""),INDEX(FILTER(T$4:T773,Q$4:Q773&lt;&gt;""""),ROWS(FILTER(Q$4:Q773,Q$4:Q773&lt;&gt;""""))),$AD$5+S774))"),"")</f>
        <v/>
      </c>
      <c r="U774" s="10" t="str">
        <f>IFERROR(__xludf.DUMMYFUNCTION("IF(COUNTA(Q774:Q1673)=0,"""",IF(Q774="""",0,IF(REGEXMATCH(Q774,""^Sell_""),-ROUNDDOWN(ROUNDUP(INDEX(Upgrades!$C$3:$C$13,MATCH(SUBSTITUTE(Q774,""Sell_"",""""),Upgrades!$B$3:$B$13,0))*1.15^(COUNTIF(Q$4:Q773,SUBSTITUTE(Q774,""Sell_"",""""))-COUNTIF(Q$4:Q773,"&amp;"""Sell_""&amp;SUBSTITUTE(Q774,""Sell_"",""""))))/2),ROUNDUP(INDEX(Upgrades!$C$3:$C$13,MATCH(Q774,Upgrades!$B$3:$B$13,0))*1.15^(COUNTIF(Q$4:Q773,Q774)-COUNTIF(Q$4:Q773,""Sell_""&amp;Q774))))))"),"")</f>
        <v/>
      </c>
      <c r="V774" s="10" t="str">
        <f t="shared" si="11"/>
        <v/>
      </c>
      <c r="W774" s="68" t="str">
        <f t="shared" si="12"/>
        <v/>
      </c>
      <c r="X774" s="59" t="str">
        <f t="shared" si="13"/>
        <v/>
      </c>
      <c r="Y774" s="69" t="str">
        <f t="shared" si="14"/>
        <v/>
      </c>
      <c r="Z774" s="11"/>
    </row>
    <row r="775">
      <c r="A775" s="8"/>
      <c r="B775" s="56" t="str">
        <f t="shared" si="2"/>
        <v/>
      </c>
      <c r="C775" s="105"/>
      <c r="D775" s="10"/>
      <c r="E775" s="59" t="str">
        <f t="array" ref="E775">IF(COUNTA(C775:C1673)=0,"",SUM((COUNTIF(C$4:C775,Upgrades!$B$3:$B$13)-COUNTIF(C$4:C775,"Sell_"&amp;Upgrades!$B$3:$B$13))*Upgrades!$D$3:$D$13))</f>
        <v/>
      </c>
      <c r="F775" s="66" t="str">
        <f>IFERROR(__xludf.DUMMYFUNCTION("IF(COUNTA(C775:C1673)=0,"""",IF(REGEXMATCH(INDEX(FILTER(C$4:C775,C$4:C775&lt;&gt;""""),ROWS(FILTER(C$4:C775,C$4:C775&lt;&gt;""""))),""^Sell_""),INDEX(FILTER(F$4:F774,C$4:C774&lt;&gt;""""),ROWS(FILTER(C$4:C774,C$4:C774&lt;&gt;""""))),$AC$5+E775))"),"")</f>
        <v/>
      </c>
      <c r="G775" s="10" t="str">
        <f>IFERROR(__xludf.DUMMYFUNCTION("IF(COUNTA(C775:C1673)=0,"""",IF(C775="""",0,IF(REGEXMATCH(C775,""^Sell_""),-ROUNDDOWN(ROUNDUP(INDEX(Upgrades!$C$3:$C$13,MATCH(SUBSTITUTE(C775,""Sell_"",""""),Upgrades!$B$3:$B$13,0))*1.15^(COUNTIF(C$4:C774,SUBSTITUTE(C775,""Sell_"",""""))-COUNTIF(C$4:C774,"&amp;"""Sell_""&amp;SUBSTITUTE(C775,""Sell_"",""""))))/2),ROUNDUP(INDEX(Upgrades!$C$3:$C$13,MATCH(C775,Upgrades!$B$3:$B$13,0))*1.15^(COUNTIF(C$4:C774,C775)-COUNTIF(C$4:C774,""Sell_""&amp;C775))))))"),"")</f>
        <v/>
      </c>
      <c r="H775" s="10" t="str">
        <f t="shared" si="3"/>
        <v/>
      </c>
      <c r="I775" s="68" t="str">
        <f t="shared" si="4"/>
        <v/>
      </c>
      <c r="J775" s="59" t="str">
        <f t="shared" si="5"/>
        <v/>
      </c>
      <c r="K775" s="69" t="str">
        <f t="shared" si="6"/>
        <v/>
      </c>
      <c r="L775" s="60" t="str">
        <f t="shared" si="7"/>
        <v/>
      </c>
      <c r="M775" s="61" t="str">
        <f>IFERROR(__xludf.DUMMYFUNCTION("IFS(AND(COUNTA(C775:C1673)=0,COUNTA(Q775:Q1673)=0),"""",OR(AND(K775&gt;=1000000000,OR(Y775&gt;=1000000000,COUNTA(Q775:Q1673)=0)),OR(Y775&gt;=1000000000,AND(COUNTA(C775:C1673)=0,P$3=TRUE))),
ROUNDDOWN((AB$1-AC$1)*MAX(INDEX(T$4:T1673,MATCH(LARGE(FILTER(Y$4:Y1673,Y$4"&amp;":Y1673&lt;1000000000),1),Y$4:Y1673)),INDEX(F$4:F1673,MATCH(LARGE(FILTER(K$4:K1673,K$4:K1673&lt;1000000000),1),K$4:K1673)))),AND(K775&lt;1000000000,COUNTA(C775:C1673)&gt;0,P$3=FALSE),
ROUNDDOWN(INDEX(Y$4:Y1673,MATCH(LARGE(FILTER(W$4:W1673,W$4:W1673&lt;=I775),1),W$4:W1673"&amp;"))+(I775-LARGE(FILTER(W$4:W1673,W$4:W1673&lt;=I775),1))*INDEX(T$4:T1673,MATCH(LARGE(FILTER(W$4:W1673,W$4:W1673&lt;=I775),1),W$4:W1673))-K775),1,
ROUNDDOWN(Y775-INDEX(K$4:K1673,MATCH(LARGE(FILTER(I$4:I1673,I$4:I1673&lt;=W775),1),I$4:I1673))-(W775-LARGE(FILTER(I$4:I"&amp;"1673,I$4:I1673&lt;=W775),1))*INDEX(F$4:F1673,MATCH(LARGE(FILTER(I$4:I1673,I$4:I1673&lt;=W775),1),I$4:I1673))))"),"")</f>
        <v/>
      </c>
      <c r="N775" s="60" t="str">
        <f t="shared" si="8"/>
        <v/>
      </c>
      <c r="O775" s="61" t="str">
        <f t="shared" si="9"/>
        <v/>
      </c>
      <c r="P775" s="56" t="str">
        <f t="shared" si="10"/>
        <v/>
      </c>
      <c r="R775" s="10"/>
      <c r="S775" s="59" t="str">
        <f t="array" ref="S775">IF(COUNTA(Q775:Q1673)=0,"",SUM((COUNTIF(Q$4:Q775,Upgrades!$B$3:$B$13)-COUNTIF(Q$4:Q775,"Sell_"&amp;Upgrades!$B$3:$B$13))*Upgrades!$D$3:$D$13))</f>
        <v/>
      </c>
      <c r="T775" s="66" t="str">
        <f>IFERROR(__xludf.DUMMYFUNCTION("IF(COUNTA(Q775:Q1673)=0,"""",IF(REGEXMATCH(INDEX(FILTER(Q$4:Q775,Q$4:Q775&lt;&gt;""""),ROWS(FILTER(Q$4:Q775,Q$4:Q775&lt;&gt;""""))),""^Sell_""),INDEX(FILTER(T$4:T774,Q$4:Q774&lt;&gt;""""),ROWS(FILTER(Q$4:Q774,Q$4:Q774&lt;&gt;""""))),$AD$5+S775))"),"")</f>
        <v/>
      </c>
      <c r="U775" s="10" t="str">
        <f>IFERROR(__xludf.DUMMYFUNCTION("IF(COUNTA(Q775:Q1673)=0,"""",IF(Q775="""",0,IF(REGEXMATCH(Q775,""^Sell_""),-ROUNDDOWN(ROUNDUP(INDEX(Upgrades!$C$3:$C$13,MATCH(SUBSTITUTE(Q775,""Sell_"",""""),Upgrades!$B$3:$B$13,0))*1.15^(COUNTIF(Q$4:Q774,SUBSTITUTE(Q775,""Sell_"",""""))-COUNTIF(Q$4:Q774,"&amp;"""Sell_""&amp;SUBSTITUTE(Q775,""Sell_"",""""))))/2),ROUNDUP(INDEX(Upgrades!$C$3:$C$13,MATCH(Q775,Upgrades!$B$3:$B$13,0))*1.15^(COUNTIF(Q$4:Q774,Q775)-COUNTIF(Q$4:Q774,""Sell_""&amp;Q775))))))"),"")</f>
        <v/>
      </c>
      <c r="V775" s="10" t="str">
        <f t="shared" si="11"/>
        <v/>
      </c>
      <c r="W775" s="68" t="str">
        <f t="shared" si="12"/>
        <v/>
      </c>
      <c r="X775" s="59" t="str">
        <f t="shared" si="13"/>
        <v/>
      </c>
      <c r="Y775" s="69" t="str">
        <f t="shared" si="14"/>
        <v/>
      </c>
      <c r="Z775" s="11"/>
    </row>
    <row r="776">
      <c r="A776" s="8"/>
      <c r="B776" s="56" t="str">
        <f t="shared" si="2"/>
        <v/>
      </c>
      <c r="C776" s="105"/>
      <c r="D776" s="10"/>
      <c r="E776" s="59" t="str">
        <f t="array" ref="E776">IF(COUNTA(C776:C1673)=0,"",SUM((COUNTIF(C$4:C776,Upgrades!$B$3:$B$13)-COUNTIF(C$4:C776,"Sell_"&amp;Upgrades!$B$3:$B$13))*Upgrades!$D$3:$D$13))</f>
        <v/>
      </c>
      <c r="F776" s="66" t="str">
        <f>IFERROR(__xludf.DUMMYFUNCTION("IF(COUNTA(C776:C1673)=0,"""",IF(REGEXMATCH(INDEX(FILTER(C$4:C776,C$4:C776&lt;&gt;""""),ROWS(FILTER(C$4:C776,C$4:C776&lt;&gt;""""))),""^Sell_""),INDEX(FILTER(F$4:F775,C$4:C775&lt;&gt;""""),ROWS(FILTER(C$4:C775,C$4:C775&lt;&gt;""""))),$AC$5+E776))"),"")</f>
        <v/>
      </c>
      <c r="G776" s="10" t="str">
        <f>IFERROR(__xludf.DUMMYFUNCTION("IF(COUNTA(C776:C1673)=0,"""",IF(C776="""",0,IF(REGEXMATCH(C776,""^Sell_""),-ROUNDDOWN(ROUNDUP(INDEX(Upgrades!$C$3:$C$13,MATCH(SUBSTITUTE(C776,""Sell_"",""""),Upgrades!$B$3:$B$13,0))*1.15^(COUNTIF(C$4:C775,SUBSTITUTE(C776,""Sell_"",""""))-COUNTIF(C$4:C775,"&amp;"""Sell_""&amp;SUBSTITUTE(C776,""Sell_"",""""))))/2),ROUNDUP(INDEX(Upgrades!$C$3:$C$13,MATCH(C776,Upgrades!$B$3:$B$13,0))*1.15^(COUNTIF(C$4:C775,C776)-COUNTIF(C$4:C775,""Sell_""&amp;C776))))))"),"")</f>
        <v/>
      </c>
      <c r="H776" s="10" t="str">
        <f t="shared" si="3"/>
        <v/>
      </c>
      <c r="I776" s="68" t="str">
        <f t="shared" si="4"/>
        <v/>
      </c>
      <c r="J776" s="59" t="str">
        <f t="shared" si="5"/>
        <v/>
      </c>
      <c r="K776" s="69" t="str">
        <f t="shared" si="6"/>
        <v/>
      </c>
      <c r="L776" s="60" t="str">
        <f t="shared" si="7"/>
        <v/>
      </c>
      <c r="M776" s="61" t="str">
        <f>IFERROR(__xludf.DUMMYFUNCTION("IFS(AND(COUNTA(C776:C1673)=0,COUNTA(Q776:Q1673)=0),"""",OR(AND(K776&gt;=1000000000,OR(Y776&gt;=1000000000,COUNTA(Q776:Q1673)=0)),OR(Y776&gt;=1000000000,AND(COUNTA(C776:C1673)=0,P$3=TRUE))),
ROUNDDOWN((AB$1-AC$1)*MAX(INDEX(T$4:T1673,MATCH(LARGE(FILTER(Y$4:Y1673,Y$4"&amp;":Y1673&lt;1000000000),1),Y$4:Y1673)),INDEX(F$4:F1673,MATCH(LARGE(FILTER(K$4:K1673,K$4:K1673&lt;1000000000),1),K$4:K1673)))),AND(K776&lt;1000000000,COUNTA(C776:C1673)&gt;0,P$3=FALSE),
ROUNDDOWN(INDEX(Y$4:Y1673,MATCH(LARGE(FILTER(W$4:W1673,W$4:W1673&lt;=I776),1),W$4:W1673"&amp;"))+(I776-LARGE(FILTER(W$4:W1673,W$4:W1673&lt;=I776),1))*INDEX(T$4:T1673,MATCH(LARGE(FILTER(W$4:W1673,W$4:W1673&lt;=I776),1),W$4:W1673))-K776),1,
ROUNDDOWN(Y776-INDEX(K$4:K1673,MATCH(LARGE(FILTER(I$4:I1673,I$4:I1673&lt;=W776),1),I$4:I1673))-(W776-LARGE(FILTER(I$4:I"&amp;"1673,I$4:I1673&lt;=W776),1))*INDEX(F$4:F1673,MATCH(LARGE(FILTER(I$4:I1673,I$4:I1673&lt;=W776),1),I$4:I1673))))"),"")</f>
        <v/>
      </c>
      <c r="N776" s="60" t="str">
        <f t="shared" si="8"/>
        <v/>
      </c>
      <c r="O776" s="61" t="str">
        <f t="shared" si="9"/>
        <v/>
      </c>
      <c r="P776" s="56" t="str">
        <f t="shared" si="10"/>
        <v/>
      </c>
      <c r="R776" s="10"/>
      <c r="S776" s="59" t="str">
        <f t="array" ref="S776">IF(COUNTA(Q776:Q1673)=0,"",SUM((COUNTIF(Q$4:Q776,Upgrades!$B$3:$B$13)-COUNTIF(Q$4:Q776,"Sell_"&amp;Upgrades!$B$3:$B$13))*Upgrades!$D$3:$D$13))</f>
        <v/>
      </c>
      <c r="T776" s="66" t="str">
        <f>IFERROR(__xludf.DUMMYFUNCTION("IF(COUNTA(Q776:Q1673)=0,"""",IF(REGEXMATCH(INDEX(FILTER(Q$4:Q776,Q$4:Q776&lt;&gt;""""),ROWS(FILTER(Q$4:Q776,Q$4:Q776&lt;&gt;""""))),""^Sell_""),INDEX(FILTER(T$4:T775,Q$4:Q775&lt;&gt;""""),ROWS(FILTER(Q$4:Q775,Q$4:Q775&lt;&gt;""""))),$AD$5+S776))"),"")</f>
        <v/>
      </c>
      <c r="U776" s="10" t="str">
        <f>IFERROR(__xludf.DUMMYFUNCTION("IF(COUNTA(Q776:Q1673)=0,"""",IF(Q776="""",0,IF(REGEXMATCH(Q776,""^Sell_""),-ROUNDDOWN(ROUNDUP(INDEX(Upgrades!$C$3:$C$13,MATCH(SUBSTITUTE(Q776,""Sell_"",""""),Upgrades!$B$3:$B$13,0))*1.15^(COUNTIF(Q$4:Q775,SUBSTITUTE(Q776,""Sell_"",""""))-COUNTIF(Q$4:Q775,"&amp;"""Sell_""&amp;SUBSTITUTE(Q776,""Sell_"",""""))))/2),ROUNDUP(INDEX(Upgrades!$C$3:$C$13,MATCH(Q776,Upgrades!$B$3:$B$13,0))*1.15^(COUNTIF(Q$4:Q775,Q776)-COUNTIF(Q$4:Q775,""Sell_""&amp;Q776))))))"),"")</f>
        <v/>
      </c>
      <c r="V776" s="10" t="str">
        <f t="shared" si="11"/>
        <v/>
      </c>
      <c r="W776" s="68" t="str">
        <f t="shared" si="12"/>
        <v/>
      </c>
      <c r="X776" s="59" t="str">
        <f t="shared" si="13"/>
        <v/>
      </c>
      <c r="Y776" s="69" t="str">
        <f t="shared" si="14"/>
        <v/>
      </c>
      <c r="Z776" s="11"/>
    </row>
    <row r="777">
      <c r="A777" s="8"/>
      <c r="B777" s="56" t="str">
        <f t="shared" si="2"/>
        <v/>
      </c>
      <c r="C777" s="105"/>
      <c r="D777" s="10"/>
      <c r="E777" s="59" t="str">
        <f t="array" ref="E777">IF(COUNTA(C777:C1673)=0,"",SUM((COUNTIF(C$4:C777,Upgrades!$B$3:$B$13)-COUNTIF(C$4:C777,"Sell_"&amp;Upgrades!$B$3:$B$13))*Upgrades!$D$3:$D$13))</f>
        <v/>
      </c>
      <c r="F777" s="66" t="str">
        <f>IFERROR(__xludf.DUMMYFUNCTION("IF(COUNTA(C777:C1673)=0,"""",IF(REGEXMATCH(INDEX(FILTER(C$4:C777,C$4:C777&lt;&gt;""""),ROWS(FILTER(C$4:C777,C$4:C777&lt;&gt;""""))),""^Sell_""),INDEX(FILTER(F$4:F776,C$4:C776&lt;&gt;""""),ROWS(FILTER(C$4:C776,C$4:C776&lt;&gt;""""))),$AC$5+E777))"),"")</f>
        <v/>
      </c>
      <c r="G777" s="10" t="str">
        <f>IFERROR(__xludf.DUMMYFUNCTION("IF(COUNTA(C777:C1673)=0,"""",IF(C777="""",0,IF(REGEXMATCH(C777,""^Sell_""),-ROUNDDOWN(ROUNDUP(INDEX(Upgrades!$C$3:$C$13,MATCH(SUBSTITUTE(C777,""Sell_"",""""),Upgrades!$B$3:$B$13,0))*1.15^(COUNTIF(C$4:C776,SUBSTITUTE(C777,""Sell_"",""""))-COUNTIF(C$4:C776,"&amp;"""Sell_""&amp;SUBSTITUTE(C777,""Sell_"",""""))))/2),ROUNDUP(INDEX(Upgrades!$C$3:$C$13,MATCH(C777,Upgrades!$B$3:$B$13,0))*1.15^(COUNTIF(C$4:C776,C777)-COUNTIF(C$4:C776,""Sell_""&amp;C777))))))"),"")</f>
        <v/>
      </c>
      <c r="H777" s="10" t="str">
        <f t="shared" si="3"/>
        <v/>
      </c>
      <c r="I777" s="68" t="str">
        <f t="shared" si="4"/>
        <v/>
      </c>
      <c r="J777" s="59" t="str">
        <f t="shared" si="5"/>
        <v/>
      </c>
      <c r="K777" s="69" t="str">
        <f t="shared" si="6"/>
        <v/>
      </c>
      <c r="L777" s="60" t="str">
        <f t="shared" si="7"/>
        <v/>
      </c>
      <c r="M777" s="61" t="str">
        <f>IFERROR(__xludf.DUMMYFUNCTION("IFS(AND(COUNTA(C777:C1673)=0,COUNTA(Q777:Q1673)=0),"""",OR(AND(K777&gt;=1000000000,OR(Y777&gt;=1000000000,COUNTA(Q777:Q1673)=0)),OR(Y777&gt;=1000000000,AND(COUNTA(C777:C1673)=0,P$3=TRUE))),
ROUNDDOWN((AB$1-AC$1)*MAX(INDEX(T$4:T1673,MATCH(LARGE(FILTER(Y$4:Y1673,Y$4"&amp;":Y1673&lt;1000000000),1),Y$4:Y1673)),INDEX(F$4:F1673,MATCH(LARGE(FILTER(K$4:K1673,K$4:K1673&lt;1000000000),1),K$4:K1673)))),AND(K777&lt;1000000000,COUNTA(C777:C1673)&gt;0,P$3=FALSE),
ROUNDDOWN(INDEX(Y$4:Y1673,MATCH(LARGE(FILTER(W$4:W1673,W$4:W1673&lt;=I777),1),W$4:W1673"&amp;"))+(I777-LARGE(FILTER(W$4:W1673,W$4:W1673&lt;=I777),1))*INDEX(T$4:T1673,MATCH(LARGE(FILTER(W$4:W1673,W$4:W1673&lt;=I777),1),W$4:W1673))-K777),1,
ROUNDDOWN(Y777-INDEX(K$4:K1673,MATCH(LARGE(FILTER(I$4:I1673,I$4:I1673&lt;=W777),1),I$4:I1673))-(W777-LARGE(FILTER(I$4:I"&amp;"1673,I$4:I1673&lt;=W777),1))*INDEX(F$4:F1673,MATCH(LARGE(FILTER(I$4:I1673,I$4:I1673&lt;=W777),1),I$4:I1673))))"),"")</f>
        <v/>
      </c>
      <c r="N777" s="60" t="str">
        <f t="shared" si="8"/>
        <v/>
      </c>
      <c r="O777" s="61" t="str">
        <f t="shared" si="9"/>
        <v/>
      </c>
      <c r="P777" s="56" t="str">
        <f t="shared" si="10"/>
        <v/>
      </c>
      <c r="R777" s="10"/>
      <c r="S777" s="59" t="str">
        <f t="array" ref="S777">IF(COUNTA(Q777:Q1673)=0,"",SUM((COUNTIF(Q$4:Q777,Upgrades!$B$3:$B$13)-COUNTIF(Q$4:Q777,"Sell_"&amp;Upgrades!$B$3:$B$13))*Upgrades!$D$3:$D$13))</f>
        <v/>
      </c>
      <c r="T777" s="66" t="str">
        <f>IFERROR(__xludf.DUMMYFUNCTION("IF(COUNTA(Q777:Q1673)=0,"""",IF(REGEXMATCH(INDEX(FILTER(Q$4:Q777,Q$4:Q777&lt;&gt;""""),ROWS(FILTER(Q$4:Q777,Q$4:Q777&lt;&gt;""""))),""^Sell_""),INDEX(FILTER(T$4:T776,Q$4:Q776&lt;&gt;""""),ROWS(FILTER(Q$4:Q776,Q$4:Q776&lt;&gt;""""))),$AD$5+S777))"),"")</f>
        <v/>
      </c>
      <c r="U777" s="10" t="str">
        <f>IFERROR(__xludf.DUMMYFUNCTION("IF(COUNTA(Q777:Q1673)=0,"""",IF(Q777="""",0,IF(REGEXMATCH(Q777,""^Sell_""),-ROUNDDOWN(ROUNDUP(INDEX(Upgrades!$C$3:$C$13,MATCH(SUBSTITUTE(Q777,""Sell_"",""""),Upgrades!$B$3:$B$13,0))*1.15^(COUNTIF(Q$4:Q776,SUBSTITUTE(Q777,""Sell_"",""""))-COUNTIF(Q$4:Q776,"&amp;"""Sell_""&amp;SUBSTITUTE(Q777,""Sell_"",""""))))/2),ROUNDUP(INDEX(Upgrades!$C$3:$C$13,MATCH(Q777,Upgrades!$B$3:$B$13,0))*1.15^(COUNTIF(Q$4:Q776,Q777)-COUNTIF(Q$4:Q776,""Sell_""&amp;Q777))))))"),"")</f>
        <v/>
      </c>
      <c r="V777" s="10" t="str">
        <f t="shared" si="11"/>
        <v/>
      </c>
      <c r="W777" s="68" t="str">
        <f t="shared" si="12"/>
        <v/>
      </c>
      <c r="X777" s="59" t="str">
        <f t="shared" si="13"/>
        <v/>
      </c>
      <c r="Y777" s="69" t="str">
        <f t="shared" si="14"/>
        <v/>
      </c>
      <c r="Z777" s="11"/>
    </row>
    <row r="778">
      <c r="A778" s="8"/>
      <c r="B778" s="56" t="str">
        <f t="shared" si="2"/>
        <v/>
      </c>
      <c r="C778" s="105"/>
      <c r="D778" s="10"/>
      <c r="E778" s="59" t="str">
        <f t="array" ref="E778">IF(COUNTA(C778:C1673)=0,"",SUM((COUNTIF(C$4:C778,Upgrades!$B$3:$B$13)-COUNTIF(C$4:C778,"Sell_"&amp;Upgrades!$B$3:$B$13))*Upgrades!$D$3:$D$13))</f>
        <v/>
      </c>
      <c r="F778" s="66" t="str">
        <f>IFERROR(__xludf.DUMMYFUNCTION("IF(COUNTA(C778:C1673)=0,"""",IF(REGEXMATCH(INDEX(FILTER(C$4:C778,C$4:C778&lt;&gt;""""),ROWS(FILTER(C$4:C778,C$4:C778&lt;&gt;""""))),""^Sell_""),INDEX(FILTER(F$4:F777,C$4:C777&lt;&gt;""""),ROWS(FILTER(C$4:C777,C$4:C777&lt;&gt;""""))),$AC$5+E778))"),"")</f>
        <v/>
      </c>
      <c r="G778" s="10" t="str">
        <f>IFERROR(__xludf.DUMMYFUNCTION("IF(COUNTA(C778:C1673)=0,"""",IF(C778="""",0,IF(REGEXMATCH(C778,""^Sell_""),-ROUNDDOWN(ROUNDUP(INDEX(Upgrades!$C$3:$C$13,MATCH(SUBSTITUTE(C778,""Sell_"",""""),Upgrades!$B$3:$B$13,0))*1.15^(COUNTIF(C$4:C777,SUBSTITUTE(C778,""Sell_"",""""))-COUNTIF(C$4:C777,"&amp;"""Sell_""&amp;SUBSTITUTE(C778,""Sell_"",""""))))/2),ROUNDUP(INDEX(Upgrades!$C$3:$C$13,MATCH(C778,Upgrades!$B$3:$B$13,0))*1.15^(COUNTIF(C$4:C777,C778)-COUNTIF(C$4:C777,""Sell_""&amp;C778))))))"),"")</f>
        <v/>
      </c>
      <c r="H778" s="10" t="str">
        <f t="shared" si="3"/>
        <v/>
      </c>
      <c r="I778" s="68" t="str">
        <f t="shared" si="4"/>
        <v/>
      </c>
      <c r="J778" s="59" t="str">
        <f t="shared" si="5"/>
        <v/>
      </c>
      <c r="K778" s="69" t="str">
        <f t="shared" si="6"/>
        <v/>
      </c>
      <c r="L778" s="60" t="str">
        <f t="shared" si="7"/>
        <v/>
      </c>
      <c r="M778" s="61" t="str">
        <f>IFERROR(__xludf.DUMMYFUNCTION("IFS(AND(COUNTA(C778:C1673)=0,COUNTA(Q778:Q1673)=0),"""",OR(AND(K778&gt;=1000000000,OR(Y778&gt;=1000000000,COUNTA(Q778:Q1673)=0)),OR(Y778&gt;=1000000000,AND(COUNTA(C778:C1673)=0,P$3=TRUE))),
ROUNDDOWN((AB$1-AC$1)*MAX(INDEX(T$4:T1673,MATCH(LARGE(FILTER(Y$4:Y1673,Y$4"&amp;":Y1673&lt;1000000000),1),Y$4:Y1673)),INDEX(F$4:F1673,MATCH(LARGE(FILTER(K$4:K1673,K$4:K1673&lt;1000000000),1),K$4:K1673)))),AND(K778&lt;1000000000,COUNTA(C778:C1673)&gt;0,P$3=FALSE),
ROUNDDOWN(INDEX(Y$4:Y1673,MATCH(LARGE(FILTER(W$4:W1673,W$4:W1673&lt;=I778),1),W$4:W1673"&amp;"))+(I778-LARGE(FILTER(W$4:W1673,W$4:W1673&lt;=I778),1))*INDEX(T$4:T1673,MATCH(LARGE(FILTER(W$4:W1673,W$4:W1673&lt;=I778),1),W$4:W1673))-K778),1,
ROUNDDOWN(Y778-INDEX(K$4:K1673,MATCH(LARGE(FILTER(I$4:I1673,I$4:I1673&lt;=W778),1),I$4:I1673))-(W778-LARGE(FILTER(I$4:I"&amp;"1673,I$4:I1673&lt;=W778),1))*INDEX(F$4:F1673,MATCH(LARGE(FILTER(I$4:I1673,I$4:I1673&lt;=W778),1),I$4:I1673))))"),"")</f>
        <v/>
      </c>
      <c r="N778" s="60" t="str">
        <f t="shared" si="8"/>
        <v/>
      </c>
      <c r="O778" s="61" t="str">
        <f t="shared" si="9"/>
        <v/>
      </c>
      <c r="P778" s="56" t="str">
        <f t="shared" si="10"/>
        <v/>
      </c>
      <c r="R778" s="10"/>
      <c r="S778" s="59" t="str">
        <f t="array" ref="S778">IF(COUNTA(Q778:Q1673)=0,"",SUM((COUNTIF(Q$4:Q778,Upgrades!$B$3:$B$13)-COUNTIF(Q$4:Q778,"Sell_"&amp;Upgrades!$B$3:$B$13))*Upgrades!$D$3:$D$13))</f>
        <v/>
      </c>
      <c r="T778" s="66" t="str">
        <f>IFERROR(__xludf.DUMMYFUNCTION("IF(COUNTA(Q778:Q1673)=0,"""",IF(REGEXMATCH(INDEX(FILTER(Q$4:Q778,Q$4:Q778&lt;&gt;""""),ROWS(FILTER(Q$4:Q778,Q$4:Q778&lt;&gt;""""))),""^Sell_""),INDEX(FILTER(T$4:T777,Q$4:Q777&lt;&gt;""""),ROWS(FILTER(Q$4:Q777,Q$4:Q777&lt;&gt;""""))),$AD$5+S778))"),"")</f>
        <v/>
      </c>
      <c r="U778" s="10" t="str">
        <f>IFERROR(__xludf.DUMMYFUNCTION("IF(COUNTA(Q778:Q1673)=0,"""",IF(Q778="""",0,IF(REGEXMATCH(Q778,""^Sell_""),-ROUNDDOWN(ROUNDUP(INDEX(Upgrades!$C$3:$C$13,MATCH(SUBSTITUTE(Q778,""Sell_"",""""),Upgrades!$B$3:$B$13,0))*1.15^(COUNTIF(Q$4:Q777,SUBSTITUTE(Q778,""Sell_"",""""))-COUNTIF(Q$4:Q777,"&amp;"""Sell_""&amp;SUBSTITUTE(Q778,""Sell_"",""""))))/2),ROUNDUP(INDEX(Upgrades!$C$3:$C$13,MATCH(Q778,Upgrades!$B$3:$B$13,0))*1.15^(COUNTIF(Q$4:Q777,Q778)-COUNTIF(Q$4:Q777,""Sell_""&amp;Q778))))))"),"")</f>
        <v/>
      </c>
      <c r="V778" s="10" t="str">
        <f t="shared" si="11"/>
        <v/>
      </c>
      <c r="W778" s="68" t="str">
        <f t="shared" si="12"/>
        <v/>
      </c>
      <c r="X778" s="59" t="str">
        <f t="shared" si="13"/>
        <v/>
      </c>
      <c r="Y778" s="69" t="str">
        <f t="shared" si="14"/>
        <v/>
      </c>
      <c r="Z778" s="11"/>
    </row>
    <row r="779">
      <c r="A779" s="8"/>
      <c r="B779" s="56" t="str">
        <f t="shared" si="2"/>
        <v/>
      </c>
      <c r="C779" s="105"/>
      <c r="D779" s="10"/>
      <c r="E779" s="59" t="str">
        <f t="array" ref="E779">IF(COUNTA(C779:C1673)=0,"",SUM((COUNTIF(C$4:C779,Upgrades!$B$3:$B$13)-COUNTIF(C$4:C779,"Sell_"&amp;Upgrades!$B$3:$B$13))*Upgrades!$D$3:$D$13))</f>
        <v/>
      </c>
      <c r="F779" s="66" t="str">
        <f>IFERROR(__xludf.DUMMYFUNCTION("IF(COUNTA(C779:C1673)=0,"""",IF(REGEXMATCH(INDEX(FILTER(C$4:C779,C$4:C779&lt;&gt;""""),ROWS(FILTER(C$4:C779,C$4:C779&lt;&gt;""""))),""^Sell_""),INDEX(FILTER(F$4:F778,C$4:C778&lt;&gt;""""),ROWS(FILTER(C$4:C778,C$4:C778&lt;&gt;""""))),$AC$5+E779))"),"")</f>
        <v/>
      </c>
      <c r="G779" s="10" t="str">
        <f>IFERROR(__xludf.DUMMYFUNCTION("IF(COUNTA(C779:C1673)=0,"""",IF(C779="""",0,IF(REGEXMATCH(C779,""^Sell_""),-ROUNDDOWN(ROUNDUP(INDEX(Upgrades!$C$3:$C$13,MATCH(SUBSTITUTE(C779,""Sell_"",""""),Upgrades!$B$3:$B$13,0))*1.15^(COUNTIF(C$4:C778,SUBSTITUTE(C779,""Sell_"",""""))-COUNTIF(C$4:C778,"&amp;"""Sell_""&amp;SUBSTITUTE(C779,""Sell_"",""""))))/2),ROUNDUP(INDEX(Upgrades!$C$3:$C$13,MATCH(C779,Upgrades!$B$3:$B$13,0))*1.15^(COUNTIF(C$4:C778,C779)-COUNTIF(C$4:C778,""Sell_""&amp;C779))))))"),"")</f>
        <v/>
      </c>
      <c r="H779" s="10" t="str">
        <f t="shared" si="3"/>
        <v/>
      </c>
      <c r="I779" s="68" t="str">
        <f t="shared" si="4"/>
        <v/>
      </c>
      <c r="J779" s="59" t="str">
        <f t="shared" si="5"/>
        <v/>
      </c>
      <c r="K779" s="69" t="str">
        <f t="shared" si="6"/>
        <v/>
      </c>
      <c r="L779" s="60" t="str">
        <f t="shared" si="7"/>
        <v/>
      </c>
      <c r="M779" s="61" t="str">
        <f>IFERROR(__xludf.DUMMYFUNCTION("IFS(AND(COUNTA(C779:C1673)=0,COUNTA(Q779:Q1673)=0),"""",OR(AND(K779&gt;=1000000000,OR(Y779&gt;=1000000000,COUNTA(Q779:Q1673)=0)),OR(Y779&gt;=1000000000,AND(COUNTA(C779:C1673)=0,P$3=TRUE))),
ROUNDDOWN((AB$1-AC$1)*MAX(INDEX(T$4:T1673,MATCH(LARGE(FILTER(Y$4:Y1673,Y$4"&amp;":Y1673&lt;1000000000),1),Y$4:Y1673)),INDEX(F$4:F1673,MATCH(LARGE(FILTER(K$4:K1673,K$4:K1673&lt;1000000000),1),K$4:K1673)))),AND(K779&lt;1000000000,COUNTA(C779:C1673)&gt;0,P$3=FALSE),
ROUNDDOWN(INDEX(Y$4:Y1673,MATCH(LARGE(FILTER(W$4:W1673,W$4:W1673&lt;=I779),1),W$4:W1673"&amp;"))+(I779-LARGE(FILTER(W$4:W1673,W$4:W1673&lt;=I779),1))*INDEX(T$4:T1673,MATCH(LARGE(FILTER(W$4:W1673,W$4:W1673&lt;=I779),1),W$4:W1673))-K779),1,
ROUNDDOWN(Y779-INDEX(K$4:K1673,MATCH(LARGE(FILTER(I$4:I1673,I$4:I1673&lt;=W779),1),I$4:I1673))-(W779-LARGE(FILTER(I$4:I"&amp;"1673,I$4:I1673&lt;=W779),1))*INDEX(F$4:F1673,MATCH(LARGE(FILTER(I$4:I1673,I$4:I1673&lt;=W779),1),I$4:I1673))))"),"")</f>
        <v/>
      </c>
      <c r="N779" s="60" t="str">
        <f t="shared" si="8"/>
        <v/>
      </c>
      <c r="O779" s="61" t="str">
        <f t="shared" si="9"/>
        <v/>
      </c>
      <c r="P779" s="56" t="str">
        <f t="shared" si="10"/>
        <v/>
      </c>
      <c r="R779" s="10"/>
      <c r="S779" s="59" t="str">
        <f t="array" ref="S779">IF(COUNTA(Q779:Q1673)=0,"",SUM((COUNTIF(Q$4:Q779,Upgrades!$B$3:$B$13)-COUNTIF(Q$4:Q779,"Sell_"&amp;Upgrades!$B$3:$B$13))*Upgrades!$D$3:$D$13))</f>
        <v/>
      </c>
      <c r="T779" s="66" t="str">
        <f>IFERROR(__xludf.DUMMYFUNCTION("IF(COUNTA(Q779:Q1673)=0,"""",IF(REGEXMATCH(INDEX(FILTER(Q$4:Q779,Q$4:Q779&lt;&gt;""""),ROWS(FILTER(Q$4:Q779,Q$4:Q779&lt;&gt;""""))),""^Sell_""),INDEX(FILTER(T$4:T778,Q$4:Q778&lt;&gt;""""),ROWS(FILTER(Q$4:Q778,Q$4:Q778&lt;&gt;""""))),$AD$5+S779))"),"")</f>
        <v/>
      </c>
      <c r="U779" s="10" t="str">
        <f>IFERROR(__xludf.DUMMYFUNCTION("IF(COUNTA(Q779:Q1673)=0,"""",IF(Q779="""",0,IF(REGEXMATCH(Q779,""^Sell_""),-ROUNDDOWN(ROUNDUP(INDEX(Upgrades!$C$3:$C$13,MATCH(SUBSTITUTE(Q779,""Sell_"",""""),Upgrades!$B$3:$B$13,0))*1.15^(COUNTIF(Q$4:Q778,SUBSTITUTE(Q779,""Sell_"",""""))-COUNTIF(Q$4:Q778,"&amp;"""Sell_""&amp;SUBSTITUTE(Q779,""Sell_"",""""))))/2),ROUNDUP(INDEX(Upgrades!$C$3:$C$13,MATCH(Q779,Upgrades!$B$3:$B$13,0))*1.15^(COUNTIF(Q$4:Q778,Q779)-COUNTIF(Q$4:Q778,""Sell_""&amp;Q779))))))"),"")</f>
        <v/>
      </c>
      <c r="V779" s="10" t="str">
        <f t="shared" si="11"/>
        <v/>
      </c>
      <c r="W779" s="68" t="str">
        <f t="shared" si="12"/>
        <v/>
      </c>
      <c r="X779" s="59" t="str">
        <f t="shared" si="13"/>
        <v/>
      </c>
      <c r="Y779" s="69" t="str">
        <f t="shared" si="14"/>
        <v/>
      </c>
      <c r="Z779" s="11"/>
    </row>
    <row r="780">
      <c r="A780" s="8"/>
      <c r="B780" s="56" t="str">
        <f t="shared" si="2"/>
        <v/>
      </c>
      <c r="C780" s="105"/>
      <c r="D780" s="10"/>
      <c r="E780" s="59" t="str">
        <f t="array" ref="E780">IF(COUNTA(C780:C1673)=0,"",SUM((COUNTIF(C$4:C780,Upgrades!$B$3:$B$13)-COUNTIF(C$4:C780,"Sell_"&amp;Upgrades!$B$3:$B$13))*Upgrades!$D$3:$D$13))</f>
        <v/>
      </c>
      <c r="F780" s="66" t="str">
        <f>IFERROR(__xludf.DUMMYFUNCTION("IF(COUNTA(C780:C1673)=0,"""",IF(REGEXMATCH(INDEX(FILTER(C$4:C780,C$4:C780&lt;&gt;""""),ROWS(FILTER(C$4:C780,C$4:C780&lt;&gt;""""))),""^Sell_""),INDEX(FILTER(F$4:F779,C$4:C779&lt;&gt;""""),ROWS(FILTER(C$4:C779,C$4:C779&lt;&gt;""""))),$AC$5+E780))"),"")</f>
        <v/>
      </c>
      <c r="G780" s="10" t="str">
        <f>IFERROR(__xludf.DUMMYFUNCTION("IF(COUNTA(C780:C1673)=0,"""",IF(C780="""",0,IF(REGEXMATCH(C780,""^Sell_""),-ROUNDDOWN(ROUNDUP(INDEX(Upgrades!$C$3:$C$13,MATCH(SUBSTITUTE(C780,""Sell_"",""""),Upgrades!$B$3:$B$13,0))*1.15^(COUNTIF(C$4:C779,SUBSTITUTE(C780,""Sell_"",""""))-COUNTIF(C$4:C779,"&amp;"""Sell_""&amp;SUBSTITUTE(C780,""Sell_"",""""))))/2),ROUNDUP(INDEX(Upgrades!$C$3:$C$13,MATCH(C780,Upgrades!$B$3:$B$13,0))*1.15^(COUNTIF(C$4:C779,C780)-COUNTIF(C$4:C779,""Sell_""&amp;C780))))))"),"")</f>
        <v/>
      </c>
      <c r="H780" s="10" t="str">
        <f t="shared" si="3"/>
        <v/>
      </c>
      <c r="I780" s="68" t="str">
        <f t="shared" si="4"/>
        <v/>
      </c>
      <c r="J780" s="59" t="str">
        <f t="shared" si="5"/>
        <v/>
      </c>
      <c r="K780" s="69" t="str">
        <f t="shared" si="6"/>
        <v/>
      </c>
      <c r="L780" s="60" t="str">
        <f t="shared" si="7"/>
        <v/>
      </c>
      <c r="M780" s="61" t="str">
        <f>IFERROR(__xludf.DUMMYFUNCTION("IFS(AND(COUNTA(C780:C1673)=0,COUNTA(Q780:Q1673)=0),"""",OR(AND(K780&gt;=1000000000,OR(Y780&gt;=1000000000,COUNTA(Q780:Q1673)=0)),OR(Y780&gt;=1000000000,AND(COUNTA(C780:C1673)=0,P$3=TRUE))),
ROUNDDOWN((AB$1-AC$1)*MAX(INDEX(T$4:T1673,MATCH(LARGE(FILTER(Y$4:Y1673,Y$4"&amp;":Y1673&lt;1000000000),1),Y$4:Y1673)),INDEX(F$4:F1673,MATCH(LARGE(FILTER(K$4:K1673,K$4:K1673&lt;1000000000),1),K$4:K1673)))),AND(K780&lt;1000000000,COUNTA(C780:C1673)&gt;0,P$3=FALSE),
ROUNDDOWN(INDEX(Y$4:Y1673,MATCH(LARGE(FILTER(W$4:W1673,W$4:W1673&lt;=I780),1),W$4:W1673"&amp;"))+(I780-LARGE(FILTER(W$4:W1673,W$4:W1673&lt;=I780),1))*INDEX(T$4:T1673,MATCH(LARGE(FILTER(W$4:W1673,W$4:W1673&lt;=I780),1),W$4:W1673))-K780),1,
ROUNDDOWN(Y780-INDEX(K$4:K1673,MATCH(LARGE(FILTER(I$4:I1673,I$4:I1673&lt;=W780),1),I$4:I1673))-(W780-LARGE(FILTER(I$4:I"&amp;"1673,I$4:I1673&lt;=W780),1))*INDEX(F$4:F1673,MATCH(LARGE(FILTER(I$4:I1673,I$4:I1673&lt;=W780),1),I$4:I1673))))"),"")</f>
        <v/>
      </c>
      <c r="N780" s="60" t="str">
        <f t="shared" si="8"/>
        <v/>
      </c>
      <c r="O780" s="61" t="str">
        <f t="shared" si="9"/>
        <v/>
      </c>
      <c r="P780" s="56" t="str">
        <f t="shared" si="10"/>
        <v/>
      </c>
      <c r="R780" s="10"/>
      <c r="S780" s="59" t="str">
        <f t="array" ref="S780">IF(COUNTA(Q780:Q1673)=0,"",SUM((COUNTIF(Q$4:Q780,Upgrades!$B$3:$B$13)-COUNTIF(Q$4:Q780,"Sell_"&amp;Upgrades!$B$3:$B$13))*Upgrades!$D$3:$D$13))</f>
        <v/>
      </c>
      <c r="T780" s="66" t="str">
        <f>IFERROR(__xludf.DUMMYFUNCTION("IF(COUNTA(Q780:Q1673)=0,"""",IF(REGEXMATCH(INDEX(FILTER(Q$4:Q780,Q$4:Q780&lt;&gt;""""),ROWS(FILTER(Q$4:Q780,Q$4:Q780&lt;&gt;""""))),""^Sell_""),INDEX(FILTER(T$4:T779,Q$4:Q779&lt;&gt;""""),ROWS(FILTER(Q$4:Q779,Q$4:Q779&lt;&gt;""""))),$AD$5+S780))"),"")</f>
        <v/>
      </c>
      <c r="U780" s="10" t="str">
        <f>IFERROR(__xludf.DUMMYFUNCTION("IF(COUNTA(Q780:Q1673)=0,"""",IF(Q780="""",0,IF(REGEXMATCH(Q780,""^Sell_""),-ROUNDDOWN(ROUNDUP(INDEX(Upgrades!$C$3:$C$13,MATCH(SUBSTITUTE(Q780,""Sell_"",""""),Upgrades!$B$3:$B$13,0))*1.15^(COUNTIF(Q$4:Q779,SUBSTITUTE(Q780,""Sell_"",""""))-COUNTIF(Q$4:Q779,"&amp;"""Sell_""&amp;SUBSTITUTE(Q780,""Sell_"",""""))))/2),ROUNDUP(INDEX(Upgrades!$C$3:$C$13,MATCH(Q780,Upgrades!$B$3:$B$13,0))*1.15^(COUNTIF(Q$4:Q779,Q780)-COUNTIF(Q$4:Q779,""Sell_""&amp;Q780))))))"),"")</f>
        <v/>
      </c>
      <c r="V780" s="10" t="str">
        <f t="shared" si="11"/>
        <v/>
      </c>
      <c r="W780" s="68" t="str">
        <f t="shared" si="12"/>
        <v/>
      </c>
      <c r="X780" s="59" t="str">
        <f t="shared" si="13"/>
        <v/>
      </c>
      <c r="Y780" s="69" t="str">
        <f t="shared" si="14"/>
        <v/>
      </c>
      <c r="Z780" s="11"/>
    </row>
    <row r="781">
      <c r="A781" s="8"/>
      <c r="B781" s="56" t="str">
        <f t="shared" si="2"/>
        <v/>
      </c>
      <c r="C781" s="105"/>
      <c r="D781" s="10"/>
      <c r="E781" s="59" t="str">
        <f t="array" ref="E781">IF(COUNTA(C781:C1673)=0,"",SUM((COUNTIF(C$4:C781,Upgrades!$B$3:$B$13)-COUNTIF(C$4:C781,"Sell_"&amp;Upgrades!$B$3:$B$13))*Upgrades!$D$3:$D$13))</f>
        <v/>
      </c>
      <c r="F781" s="66" t="str">
        <f>IFERROR(__xludf.DUMMYFUNCTION("IF(COUNTA(C781:C1673)=0,"""",IF(REGEXMATCH(INDEX(FILTER(C$4:C781,C$4:C781&lt;&gt;""""),ROWS(FILTER(C$4:C781,C$4:C781&lt;&gt;""""))),""^Sell_""),INDEX(FILTER(F$4:F780,C$4:C780&lt;&gt;""""),ROWS(FILTER(C$4:C780,C$4:C780&lt;&gt;""""))),$AC$5+E781))"),"")</f>
        <v/>
      </c>
      <c r="G781" s="10" t="str">
        <f>IFERROR(__xludf.DUMMYFUNCTION("IF(COUNTA(C781:C1673)=0,"""",IF(C781="""",0,IF(REGEXMATCH(C781,""^Sell_""),-ROUNDDOWN(ROUNDUP(INDEX(Upgrades!$C$3:$C$13,MATCH(SUBSTITUTE(C781,""Sell_"",""""),Upgrades!$B$3:$B$13,0))*1.15^(COUNTIF(C$4:C780,SUBSTITUTE(C781,""Sell_"",""""))-COUNTIF(C$4:C780,"&amp;"""Sell_""&amp;SUBSTITUTE(C781,""Sell_"",""""))))/2),ROUNDUP(INDEX(Upgrades!$C$3:$C$13,MATCH(C781,Upgrades!$B$3:$B$13,0))*1.15^(COUNTIF(C$4:C780,C781)-COUNTIF(C$4:C780,""Sell_""&amp;C781))))))"),"")</f>
        <v/>
      </c>
      <c r="H781" s="10" t="str">
        <f t="shared" si="3"/>
        <v/>
      </c>
      <c r="I781" s="68" t="str">
        <f t="shared" si="4"/>
        <v/>
      </c>
      <c r="J781" s="59" t="str">
        <f t="shared" si="5"/>
        <v/>
      </c>
      <c r="K781" s="69" t="str">
        <f t="shared" si="6"/>
        <v/>
      </c>
      <c r="L781" s="60" t="str">
        <f t="shared" si="7"/>
        <v/>
      </c>
      <c r="M781" s="61" t="str">
        <f>IFERROR(__xludf.DUMMYFUNCTION("IFS(AND(COUNTA(C781:C1673)=0,COUNTA(Q781:Q1673)=0),"""",OR(AND(K781&gt;=1000000000,OR(Y781&gt;=1000000000,COUNTA(Q781:Q1673)=0)),OR(Y781&gt;=1000000000,AND(COUNTA(C781:C1673)=0,P$3=TRUE))),
ROUNDDOWN((AB$1-AC$1)*MAX(INDEX(T$4:T1673,MATCH(LARGE(FILTER(Y$4:Y1673,Y$4"&amp;":Y1673&lt;1000000000),1),Y$4:Y1673)),INDEX(F$4:F1673,MATCH(LARGE(FILTER(K$4:K1673,K$4:K1673&lt;1000000000),1),K$4:K1673)))),AND(K781&lt;1000000000,COUNTA(C781:C1673)&gt;0,P$3=FALSE),
ROUNDDOWN(INDEX(Y$4:Y1673,MATCH(LARGE(FILTER(W$4:W1673,W$4:W1673&lt;=I781),1),W$4:W1673"&amp;"))+(I781-LARGE(FILTER(W$4:W1673,W$4:W1673&lt;=I781),1))*INDEX(T$4:T1673,MATCH(LARGE(FILTER(W$4:W1673,W$4:W1673&lt;=I781),1),W$4:W1673))-K781),1,
ROUNDDOWN(Y781-INDEX(K$4:K1673,MATCH(LARGE(FILTER(I$4:I1673,I$4:I1673&lt;=W781),1),I$4:I1673))-(W781-LARGE(FILTER(I$4:I"&amp;"1673,I$4:I1673&lt;=W781),1))*INDEX(F$4:F1673,MATCH(LARGE(FILTER(I$4:I1673,I$4:I1673&lt;=W781),1),I$4:I1673))))"),"")</f>
        <v/>
      </c>
      <c r="N781" s="60" t="str">
        <f t="shared" si="8"/>
        <v/>
      </c>
      <c r="O781" s="61" t="str">
        <f t="shared" si="9"/>
        <v/>
      </c>
      <c r="P781" s="56" t="str">
        <f t="shared" si="10"/>
        <v/>
      </c>
      <c r="R781" s="10"/>
      <c r="S781" s="59" t="str">
        <f t="array" ref="S781">IF(COUNTA(Q781:Q1673)=0,"",SUM((COUNTIF(Q$4:Q781,Upgrades!$B$3:$B$13)-COUNTIF(Q$4:Q781,"Sell_"&amp;Upgrades!$B$3:$B$13))*Upgrades!$D$3:$D$13))</f>
        <v/>
      </c>
      <c r="T781" s="66" t="str">
        <f>IFERROR(__xludf.DUMMYFUNCTION("IF(COUNTA(Q781:Q1673)=0,"""",IF(REGEXMATCH(INDEX(FILTER(Q$4:Q781,Q$4:Q781&lt;&gt;""""),ROWS(FILTER(Q$4:Q781,Q$4:Q781&lt;&gt;""""))),""^Sell_""),INDEX(FILTER(T$4:T780,Q$4:Q780&lt;&gt;""""),ROWS(FILTER(Q$4:Q780,Q$4:Q780&lt;&gt;""""))),$AD$5+S781))"),"")</f>
        <v/>
      </c>
      <c r="U781" s="10" t="str">
        <f>IFERROR(__xludf.DUMMYFUNCTION("IF(COUNTA(Q781:Q1673)=0,"""",IF(Q781="""",0,IF(REGEXMATCH(Q781,""^Sell_""),-ROUNDDOWN(ROUNDUP(INDEX(Upgrades!$C$3:$C$13,MATCH(SUBSTITUTE(Q781,""Sell_"",""""),Upgrades!$B$3:$B$13,0))*1.15^(COUNTIF(Q$4:Q780,SUBSTITUTE(Q781,""Sell_"",""""))-COUNTIF(Q$4:Q780,"&amp;"""Sell_""&amp;SUBSTITUTE(Q781,""Sell_"",""""))))/2),ROUNDUP(INDEX(Upgrades!$C$3:$C$13,MATCH(Q781,Upgrades!$B$3:$B$13,0))*1.15^(COUNTIF(Q$4:Q780,Q781)-COUNTIF(Q$4:Q780,""Sell_""&amp;Q781))))))"),"")</f>
        <v/>
      </c>
      <c r="V781" s="10" t="str">
        <f t="shared" si="11"/>
        <v/>
      </c>
      <c r="W781" s="68" t="str">
        <f t="shared" si="12"/>
        <v/>
      </c>
      <c r="X781" s="59" t="str">
        <f t="shared" si="13"/>
        <v/>
      </c>
      <c r="Y781" s="69" t="str">
        <f t="shared" si="14"/>
        <v/>
      </c>
      <c r="Z781" s="11"/>
    </row>
    <row r="782">
      <c r="A782" s="8"/>
      <c r="B782" s="56" t="str">
        <f t="shared" si="2"/>
        <v/>
      </c>
      <c r="C782" s="105"/>
      <c r="D782" s="10"/>
      <c r="E782" s="59" t="str">
        <f t="array" ref="E782">IF(COUNTA(C782:C1673)=0,"",SUM((COUNTIF(C$4:C782,Upgrades!$B$3:$B$13)-COUNTIF(C$4:C782,"Sell_"&amp;Upgrades!$B$3:$B$13))*Upgrades!$D$3:$D$13))</f>
        <v/>
      </c>
      <c r="F782" s="66" t="str">
        <f>IFERROR(__xludf.DUMMYFUNCTION("IF(COUNTA(C782:C1673)=0,"""",IF(REGEXMATCH(INDEX(FILTER(C$4:C782,C$4:C782&lt;&gt;""""),ROWS(FILTER(C$4:C782,C$4:C782&lt;&gt;""""))),""^Sell_""),INDEX(FILTER(F$4:F781,C$4:C781&lt;&gt;""""),ROWS(FILTER(C$4:C781,C$4:C781&lt;&gt;""""))),$AC$5+E782))"),"")</f>
        <v/>
      </c>
      <c r="G782" s="10" t="str">
        <f>IFERROR(__xludf.DUMMYFUNCTION("IF(COUNTA(C782:C1673)=0,"""",IF(C782="""",0,IF(REGEXMATCH(C782,""^Sell_""),-ROUNDDOWN(ROUNDUP(INDEX(Upgrades!$C$3:$C$13,MATCH(SUBSTITUTE(C782,""Sell_"",""""),Upgrades!$B$3:$B$13,0))*1.15^(COUNTIF(C$4:C781,SUBSTITUTE(C782,""Sell_"",""""))-COUNTIF(C$4:C781,"&amp;"""Sell_""&amp;SUBSTITUTE(C782,""Sell_"",""""))))/2),ROUNDUP(INDEX(Upgrades!$C$3:$C$13,MATCH(C782,Upgrades!$B$3:$B$13,0))*1.15^(COUNTIF(C$4:C781,C782)-COUNTIF(C$4:C781,""Sell_""&amp;C782))))))"),"")</f>
        <v/>
      </c>
      <c r="H782" s="10" t="str">
        <f t="shared" si="3"/>
        <v/>
      </c>
      <c r="I782" s="68" t="str">
        <f t="shared" si="4"/>
        <v/>
      </c>
      <c r="J782" s="59" t="str">
        <f t="shared" si="5"/>
        <v/>
      </c>
      <c r="K782" s="69" t="str">
        <f t="shared" si="6"/>
        <v/>
      </c>
      <c r="L782" s="60" t="str">
        <f t="shared" si="7"/>
        <v/>
      </c>
      <c r="M782" s="61" t="str">
        <f>IFERROR(__xludf.DUMMYFUNCTION("IFS(AND(COUNTA(C782:C1673)=0,COUNTA(Q782:Q1673)=0),"""",OR(AND(K782&gt;=1000000000,OR(Y782&gt;=1000000000,COUNTA(Q782:Q1673)=0)),OR(Y782&gt;=1000000000,AND(COUNTA(C782:C1673)=0,P$3=TRUE))),
ROUNDDOWN((AB$1-AC$1)*MAX(INDEX(T$4:T1673,MATCH(LARGE(FILTER(Y$4:Y1673,Y$4"&amp;":Y1673&lt;1000000000),1),Y$4:Y1673)),INDEX(F$4:F1673,MATCH(LARGE(FILTER(K$4:K1673,K$4:K1673&lt;1000000000),1),K$4:K1673)))),AND(K782&lt;1000000000,COUNTA(C782:C1673)&gt;0,P$3=FALSE),
ROUNDDOWN(INDEX(Y$4:Y1673,MATCH(LARGE(FILTER(W$4:W1673,W$4:W1673&lt;=I782),1),W$4:W1673"&amp;"))+(I782-LARGE(FILTER(W$4:W1673,W$4:W1673&lt;=I782),1))*INDEX(T$4:T1673,MATCH(LARGE(FILTER(W$4:W1673,W$4:W1673&lt;=I782),1),W$4:W1673))-K782),1,
ROUNDDOWN(Y782-INDEX(K$4:K1673,MATCH(LARGE(FILTER(I$4:I1673,I$4:I1673&lt;=W782),1),I$4:I1673))-(W782-LARGE(FILTER(I$4:I"&amp;"1673,I$4:I1673&lt;=W782),1))*INDEX(F$4:F1673,MATCH(LARGE(FILTER(I$4:I1673,I$4:I1673&lt;=W782),1),I$4:I1673))))"),"")</f>
        <v/>
      </c>
      <c r="N782" s="60" t="str">
        <f t="shared" si="8"/>
        <v/>
      </c>
      <c r="O782" s="61" t="str">
        <f t="shared" si="9"/>
        <v/>
      </c>
      <c r="P782" s="56" t="str">
        <f t="shared" si="10"/>
        <v/>
      </c>
      <c r="R782" s="10"/>
      <c r="S782" s="59" t="str">
        <f t="array" ref="S782">IF(COUNTA(Q782:Q1673)=0,"",SUM((COUNTIF(Q$4:Q782,Upgrades!$B$3:$B$13)-COUNTIF(Q$4:Q782,"Sell_"&amp;Upgrades!$B$3:$B$13))*Upgrades!$D$3:$D$13))</f>
        <v/>
      </c>
      <c r="T782" s="66" t="str">
        <f>IFERROR(__xludf.DUMMYFUNCTION("IF(COUNTA(Q782:Q1673)=0,"""",IF(REGEXMATCH(INDEX(FILTER(Q$4:Q782,Q$4:Q782&lt;&gt;""""),ROWS(FILTER(Q$4:Q782,Q$4:Q782&lt;&gt;""""))),""^Sell_""),INDEX(FILTER(T$4:T781,Q$4:Q781&lt;&gt;""""),ROWS(FILTER(Q$4:Q781,Q$4:Q781&lt;&gt;""""))),$AD$5+S782))"),"")</f>
        <v/>
      </c>
      <c r="U782" s="10" t="str">
        <f>IFERROR(__xludf.DUMMYFUNCTION("IF(COUNTA(Q782:Q1673)=0,"""",IF(Q782="""",0,IF(REGEXMATCH(Q782,""^Sell_""),-ROUNDDOWN(ROUNDUP(INDEX(Upgrades!$C$3:$C$13,MATCH(SUBSTITUTE(Q782,""Sell_"",""""),Upgrades!$B$3:$B$13,0))*1.15^(COUNTIF(Q$4:Q781,SUBSTITUTE(Q782,""Sell_"",""""))-COUNTIF(Q$4:Q781,"&amp;"""Sell_""&amp;SUBSTITUTE(Q782,""Sell_"",""""))))/2),ROUNDUP(INDEX(Upgrades!$C$3:$C$13,MATCH(Q782,Upgrades!$B$3:$B$13,0))*1.15^(COUNTIF(Q$4:Q781,Q782)-COUNTIF(Q$4:Q781,""Sell_""&amp;Q782))))))"),"")</f>
        <v/>
      </c>
      <c r="V782" s="10" t="str">
        <f t="shared" si="11"/>
        <v/>
      </c>
      <c r="W782" s="68" t="str">
        <f t="shared" si="12"/>
        <v/>
      </c>
      <c r="X782" s="59" t="str">
        <f t="shared" si="13"/>
        <v/>
      </c>
      <c r="Y782" s="69" t="str">
        <f t="shared" si="14"/>
        <v/>
      </c>
      <c r="Z782" s="11"/>
    </row>
    <row r="783">
      <c r="A783" s="8"/>
      <c r="B783" s="56" t="str">
        <f t="shared" si="2"/>
        <v/>
      </c>
      <c r="C783" s="105"/>
      <c r="D783" s="10"/>
      <c r="E783" s="59" t="str">
        <f t="array" ref="E783">IF(COUNTA(C783:C1673)=0,"",SUM((COUNTIF(C$4:C783,Upgrades!$B$3:$B$13)-COUNTIF(C$4:C783,"Sell_"&amp;Upgrades!$B$3:$B$13))*Upgrades!$D$3:$D$13))</f>
        <v/>
      </c>
      <c r="F783" s="66" t="str">
        <f>IFERROR(__xludf.DUMMYFUNCTION("IF(COUNTA(C783:C1673)=0,"""",IF(REGEXMATCH(INDEX(FILTER(C$4:C783,C$4:C783&lt;&gt;""""),ROWS(FILTER(C$4:C783,C$4:C783&lt;&gt;""""))),""^Sell_""),INDEX(FILTER(F$4:F782,C$4:C782&lt;&gt;""""),ROWS(FILTER(C$4:C782,C$4:C782&lt;&gt;""""))),$AC$5+E783))"),"")</f>
        <v/>
      </c>
      <c r="G783" s="10" t="str">
        <f>IFERROR(__xludf.DUMMYFUNCTION("IF(COUNTA(C783:C1673)=0,"""",IF(C783="""",0,IF(REGEXMATCH(C783,""^Sell_""),-ROUNDDOWN(ROUNDUP(INDEX(Upgrades!$C$3:$C$13,MATCH(SUBSTITUTE(C783,""Sell_"",""""),Upgrades!$B$3:$B$13,0))*1.15^(COUNTIF(C$4:C782,SUBSTITUTE(C783,""Sell_"",""""))-COUNTIF(C$4:C782,"&amp;"""Sell_""&amp;SUBSTITUTE(C783,""Sell_"",""""))))/2),ROUNDUP(INDEX(Upgrades!$C$3:$C$13,MATCH(C783,Upgrades!$B$3:$B$13,0))*1.15^(COUNTIF(C$4:C782,C783)-COUNTIF(C$4:C782,""Sell_""&amp;C783))))))"),"")</f>
        <v/>
      </c>
      <c r="H783" s="10" t="str">
        <f t="shared" si="3"/>
        <v/>
      </c>
      <c r="I783" s="68" t="str">
        <f t="shared" si="4"/>
        <v/>
      </c>
      <c r="J783" s="59" t="str">
        <f t="shared" si="5"/>
        <v/>
      </c>
      <c r="K783" s="69" t="str">
        <f t="shared" si="6"/>
        <v/>
      </c>
      <c r="L783" s="60" t="str">
        <f t="shared" si="7"/>
        <v/>
      </c>
      <c r="M783" s="61" t="str">
        <f>IFERROR(__xludf.DUMMYFUNCTION("IFS(AND(COUNTA(C783:C1673)=0,COUNTA(Q783:Q1673)=0),"""",OR(AND(K783&gt;=1000000000,OR(Y783&gt;=1000000000,COUNTA(Q783:Q1673)=0)),OR(Y783&gt;=1000000000,AND(COUNTA(C783:C1673)=0,P$3=TRUE))),
ROUNDDOWN((AB$1-AC$1)*MAX(INDEX(T$4:T1673,MATCH(LARGE(FILTER(Y$4:Y1673,Y$4"&amp;":Y1673&lt;1000000000),1),Y$4:Y1673)),INDEX(F$4:F1673,MATCH(LARGE(FILTER(K$4:K1673,K$4:K1673&lt;1000000000),1),K$4:K1673)))),AND(K783&lt;1000000000,COUNTA(C783:C1673)&gt;0,P$3=FALSE),
ROUNDDOWN(INDEX(Y$4:Y1673,MATCH(LARGE(FILTER(W$4:W1673,W$4:W1673&lt;=I783),1),W$4:W1673"&amp;"))+(I783-LARGE(FILTER(W$4:W1673,W$4:W1673&lt;=I783),1))*INDEX(T$4:T1673,MATCH(LARGE(FILTER(W$4:W1673,W$4:W1673&lt;=I783),1),W$4:W1673))-K783),1,
ROUNDDOWN(Y783-INDEX(K$4:K1673,MATCH(LARGE(FILTER(I$4:I1673,I$4:I1673&lt;=W783),1),I$4:I1673))-(W783-LARGE(FILTER(I$4:I"&amp;"1673,I$4:I1673&lt;=W783),1))*INDEX(F$4:F1673,MATCH(LARGE(FILTER(I$4:I1673,I$4:I1673&lt;=W783),1),I$4:I1673))))"),"")</f>
        <v/>
      </c>
      <c r="N783" s="60" t="str">
        <f t="shared" si="8"/>
        <v/>
      </c>
      <c r="O783" s="61" t="str">
        <f t="shared" si="9"/>
        <v/>
      </c>
      <c r="P783" s="56" t="str">
        <f t="shared" si="10"/>
        <v/>
      </c>
      <c r="R783" s="10"/>
      <c r="S783" s="59" t="str">
        <f t="array" ref="S783">IF(COUNTA(Q783:Q1673)=0,"",SUM((COUNTIF(Q$4:Q783,Upgrades!$B$3:$B$13)-COUNTIF(Q$4:Q783,"Sell_"&amp;Upgrades!$B$3:$B$13))*Upgrades!$D$3:$D$13))</f>
        <v/>
      </c>
      <c r="T783" s="66" t="str">
        <f>IFERROR(__xludf.DUMMYFUNCTION("IF(COUNTA(Q783:Q1673)=0,"""",IF(REGEXMATCH(INDEX(FILTER(Q$4:Q783,Q$4:Q783&lt;&gt;""""),ROWS(FILTER(Q$4:Q783,Q$4:Q783&lt;&gt;""""))),""^Sell_""),INDEX(FILTER(T$4:T782,Q$4:Q782&lt;&gt;""""),ROWS(FILTER(Q$4:Q782,Q$4:Q782&lt;&gt;""""))),$AD$5+S783))"),"")</f>
        <v/>
      </c>
      <c r="U783" s="10" t="str">
        <f>IFERROR(__xludf.DUMMYFUNCTION("IF(COUNTA(Q783:Q1673)=0,"""",IF(Q783="""",0,IF(REGEXMATCH(Q783,""^Sell_""),-ROUNDDOWN(ROUNDUP(INDEX(Upgrades!$C$3:$C$13,MATCH(SUBSTITUTE(Q783,""Sell_"",""""),Upgrades!$B$3:$B$13,0))*1.15^(COUNTIF(Q$4:Q782,SUBSTITUTE(Q783,""Sell_"",""""))-COUNTIF(Q$4:Q782,"&amp;"""Sell_""&amp;SUBSTITUTE(Q783,""Sell_"",""""))))/2),ROUNDUP(INDEX(Upgrades!$C$3:$C$13,MATCH(Q783,Upgrades!$B$3:$B$13,0))*1.15^(COUNTIF(Q$4:Q782,Q783)-COUNTIF(Q$4:Q782,""Sell_""&amp;Q783))))))"),"")</f>
        <v/>
      </c>
      <c r="V783" s="10" t="str">
        <f t="shared" si="11"/>
        <v/>
      </c>
      <c r="W783" s="68" t="str">
        <f t="shared" si="12"/>
        <v/>
      </c>
      <c r="X783" s="59" t="str">
        <f t="shared" si="13"/>
        <v/>
      </c>
      <c r="Y783" s="69" t="str">
        <f t="shared" si="14"/>
        <v/>
      </c>
      <c r="Z783" s="11"/>
    </row>
    <row r="784">
      <c r="A784" s="8"/>
      <c r="B784" s="56" t="str">
        <f t="shared" si="2"/>
        <v/>
      </c>
      <c r="C784" s="105"/>
      <c r="D784" s="10"/>
      <c r="E784" s="59" t="str">
        <f t="array" ref="E784">IF(COUNTA(C784:C1673)=0,"",SUM((COUNTIF(C$4:C784,Upgrades!$B$3:$B$13)-COUNTIF(C$4:C784,"Sell_"&amp;Upgrades!$B$3:$B$13))*Upgrades!$D$3:$D$13))</f>
        <v/>
      </c>
      <c r="F784" s="66" t="str">
        <f>IFERROR(__xludf.DUMMYFUNCTION("IF(COUNTA(C784:C1673)=0,"""",IF(REGEXMATCH(INDEX(FILTER(C$4:C784,C$4:C784&lt;&gt;""""),ROWS(FILTER(C$4:C784,C$4:C784&lt;&gt;""""))),""^Sell_""),INDEX(FILTER(F$4:F783,C$4:C783&lt;&gt;""""),ROWS(FILTER(C$4:C783,C$4:C783&lt;&gt;""""))),$AC$5+E784))"),"")</f>
        <v/>
      </c>
      <c r="G784" s="10" t="str">
        <f>IFERROR(__xludf.DUMMYFUNCTION("IF(COUNTA(C784:C1673)=0,"""",IF(C784="""",0,IF(REGEXMATCH(C784,""^Sell_""),-ROUNDDOWN(ROUNDUP(INDEX(Upgrades!$C$3:$C$13,MATCH(SUBSTITUTE(C784,""Sell_"",""""),Upgrades!$B$3:$B$13,0))*1.15^(COUNTIF(C$4:C783,SUBSTITUTE(C784,""Sell_"",""""))-COUNTIF(C$4:C783,"&amp;"""Sell_""&amp;SUBSTITUTE(C784,""Sell_"",""""))))/2),ROUNDUP(INDEX(Upgrades!$C$3:$C$13,MATCH(C784,Upgrades!$B$3:$B$13,0))*1.15^(COUNTIF(C$4:C783,C784)-COUNTIF(C$4:C783,""Sell_""&amp;C784))))))"),"")</f>
        <v/>
      </c>
      <c r="H784" s="10" t="str">
        <f t="shared" si="3"/>
        <v/>
      </c>
      <c r="I784" s="68" t="str">
        <f t="shared" si="4"/>
        <v/>
      </c>
      <c r="J784" s="59" t="str">
        <f t="shared" si="5"/>
        <v/>
      </c>
      <c r="K784" s="69" t="str">
        <f t="shared" si="6"/>
        <v/>
      </c>
      <c r="L784" s="60" t="str">
        <f t="shared" si="7"/>
        <v/>
      </c>
      <c r="M784" s="61" t="str">
        <f>IFERROR(__xludf.DUMMYFUNCTION("IFS(AND(COUNTA(C784:C1673)=0,COUNTA(Q784:Q1673)=0),"""",OR(AND(K784&gt;=1000000000,OR(Y784&gt;=1000000000,COUNTA(Q784:Q1673)=0)),OR(Y784&gt;=1000000000,AND(COUNTA(C784:C1673)=0,P$3=TRUE))),
ROUNDDOWN((AB$1-AC$1)*MAX(INDEX(T$4:T1673,MATCH(LARGE(FILTER(Y$4:Y1673,Y$4"&amp;":Y1673&lt;1000000000),1),Y$4:Y1673)),INDEX(F$4:F1673,MATCH(LARGE(FILTER(K$4:K1673,K$4:K1673&lt;1000000000),1),K$4:K1673)))),AND(K784&lt;1000000000,COUNTA(C784:C1673)&gt;0,P$3=FALSE),
ROUNDDOWN(INDEX(Y$4:Y1673,MATCH(LARGE(FILTER(W$4:W1673,W$4:W1673&lt;=I784),1),W$4:W1673"&amp;"))+(I784-LARGE(FILTER(W$4:W1673,W$4:W1673&lt;=I784),1))*INDEX(T$4:T1673,MATCH(LARGE(FILTER(W$4:W1673,W$4:W1673&lt;=I784),1),W$4:W1673))-K784),1,
ROUNDDOWN(Y784-INDEX(K$4:K1673,MATCH(LARGE(FILTER(I$4:I1673,I$4:I1673&lt;=W784),1),I$4:I1673))-(W784-LARGE(FILTER(I$4:I"&amp;"1673,I$4:I1673&lt;=W784),1))*INDEX(F$4:F1673,MATCH(LARGE(FILTER(I$4:I1673,I$4:I1673&lt;=W784),1),I$4:I1673))))"),"")</f>
        <v/>
      </c>
      <c r="N784" s="60" t="str">
        <f t="shared" si="8"/>
        <v/>
      </c>
      <c r="O784" s="61" t="str">
        <f t="shared" si="9"/>
        <v/>
      </c>
      <c r="P784" s="56" t="str">
        <f t="shared" si="10"/>
        <v/>
      </c>
      <c r="R784" s="10"/>
      <c r="S784" s="59" t="str">
        <f t="array" ref="S784">IF(COUNTA(Q784:Q1673)=0,"",SUM((COUNTIF(Q$4:Q784,Upgrades!$B$3:$B$13)-COUNTIF(Q$4:Q784,"Sell_"&amp;Upgrades!$B$3:$B$13))*Upgrades!$D$3:$D$13))</f>
        <v/>
      </c>
      <c r="T784" s="66" t="str">
        <f>IFERROR(__xludf.DUMMYFUNCTION("IF(COUNTA(Q784:Q1673)=0,"""",IF(REGEXMATCH(INDEX(FILTER(Q$4:Q784,Q$4:Q784&lt;&gt;""""),ROWS(FILTER(Q$4:Q784,Q$4:Q784&lt;&gt;""""))),""^Sell_""),INDEX(FILTER(T$4:T783,Q$4:Q783&lt;&gt;""""),ROWS(FILTER(Q$4:Q783,Q$4:Q783&lt;&gt;""""))),$AD$5+S784))"),"")</f>
        <v/>
      </c>
      <c r="U784" s="10" t="str">
        <f>IFERROR(__xludf.DUMMYFUNCTION("IF(COUNTA(Q784:Q1673)=0,"""",IF(Q784="""",0,IF(REGEXMATCH(Q784,""^Sell_""),-ROUNDDOWN(ROUNDUP(INDEX(Upgrades!$C$3:$C$13,MATCH(SUBSTITUTE(Q784,""Sell_"",""""),Upgrades!$B$3:$B$13,0))*1.15^(COUNTIF(Q$4:Q783,SUBSTITUTE(Q784,""Sell_"",""""))-COUNTIF(Q$4:Q783,"&amp;"""Sell_""&amp;SUBSTITUTE(Q784,""Sell_"",""""))))/2),ROUNDUP(INDEX(Upgrades!$C$3:$C$13,MATCH(Q784,Upgrades!$B$3:$B$13,0))*1.15^(COUNTIF(Q$4:Q783,Q784)-COUNTIF(Q$4:Q783,""Sell_""&amp;Q784))))))"),"")</f>
        <v/>
      </c>
      <c r="V784" s="10" t="str">
        <f t="shared" si="11"/>
        <v/>
      </c>
      <c r="W784" s="68" t="str">
        <f t="shared" si="12"/>
        <v/>
      </c>
      <c r="X784" s="59" t="str">
        <f t="shared" si="13"/>
        <v/>
      </c>
      <c r="Y784" s="69" t="str">
        <f t="shared" si="14"/>
        <v/>
      </c>
      <c r="Z784" s="11"/>
    </row>
    <row r="785">
      <c r="A785" s="8"/>
      <c r="B785" s="56" t="str">
        <f t="shared" si="2"/>
        <v/>
      </c>
      <c r="C785" s="105"/>
      <c r="D785" s="10"/>
      <c r="E785" s="59" t="str">
        <f t="array" ref="E785">IF(COUNTA(C785:C1673)=0,"",SUM((COUNTIF(C$4:C785,Upgrades!$B$3:$B$13)-COUNTIF(C$4:C785,"Sell_"&amp;Upgrades!$B$3:$B$13))*Upgrades!$D$3:$D$13))</f>
        <v/>
      </c>
      <c r="F785" s="66" t="str">
        <f>IFERROR(__xludf.DUMMYFUNCTION("IF(COUNTA(C785:C1673)=0,"""",IF(REGEXMATCH(INDEX(FILTER(C$4:C785,C$4:C785&lt;&gt;""""),ROWS(FILTER(C$4:C785,C$4:C785&lt;&gt;""""))),""^Sell_""),INDEX(FILTER(F$4:F784,C$4:C784&lt;&gt;""""),ROWS(FILTER(C$4:C784,C$4:C784&lt;&gt;""""))),$AC$5+E785))"),"")</f>
        <v/>
      </c>
      <c r="G785" s="10" t="str">
        <f>IFERROR(__xludf.DUMMYFUNCTION("IF(COUNTA(C785:C1673)=0,"""",IF(C785="""",0,IF(REGEXMATCH(C785,""^Sell_""),-ROUNDDOWN(ROUNDUP(INDEX(Upgrades!$C$3:$C$13,MATCH(SUBSTITUTE(C785,""Sell_"",""""),Upgrades!$B$3:$B$13,0))*1.15^(COUNTIF(C$4:C784,SUBSTITUTE(C785,""Sell_"",""""))-COUNTIF(C$4:C784,"&amp;"""Sell_""&amp;SUBSTITUTE(C785,""Sell_"",""""))))/2),ROUNDUP(INDEX(Upgrades!$C$3:$C$13,MATCH(C785,Upgrades!$B$3:$B$13,0))*1.15^(COUNTIF(C$4:C784,C785)-COUNTIF(C$4:C784,""Sell_""&amp;C785))))))"),"")</f>
        <v/>
      </c>
      <c r="H785" s="10" t="str">
        <f t="shared" si="3"/>
        <v/>
      </c>
      <c r="I785" s="68" t="str">
        <f t="shared" si="4"/>
        <v/>
      </c>
      <c r="J785" s="59" t="str">
        <f t="shared" si="5"/>
        <v/>
      </c>
      <c r="K785" s="69" t="str">
        <f t="shared" si="6"/>
        <v/>
      </c>
      <c r="L785" s="60" t="str">
        <f t="shared" si="7"/>
        <v/>
      </c>
      <c r="M785" s="61" t="str">
        <f>IFERROR(__xludf.DUMMYFUNCTION("IFS(AND(COUNTA(C785:C1673)=0,COUNTA(Q785:Q1673)=0),"""",OR(AND(K785&gt;=1000000000,OR(Y785&gt;=1000000000,COUNTA(Q785:Q1673)=0)),OR(Y785&gt;=1000000000,AND(COUNTA(C785:C1673)=0,P$3=TRUE))),
ROUNDDOWN((AB$1-AC$1)*MAX(INDEX(T$4:T1673,MATCH(LARGE(FILTER(Y$4:Y1673,Y$4"&amp;":Y1673&lt;1000000000),1),Y$4:Y1673)),INDEX(F$4:F1673,MATCH(LARGE(FILTER(K$4:K1673,K$4:K1673&lt;1000000000),1),K$4:K1673)))),AND(K785&lt;1000000000,COUNTA(C785:C1673)&gt;0,P$3=FALSE),
ROUNDDOWN(INDEX(Y$4:Y1673,MATCH(LARGE(FILTER(W$4:W1673,W$4:W1673&lt;=I785),1),W$4:W1673"&amp;"))+(I785-LARGE(FILTER(W$4:W1673,W$4:W1673&lt;=I785),1))*INDEX(T$4:T1673,MATCH(LARGE(FILTER(W$4:W1673,W$4:W1673&lt;=I785),1),W$4:W1673))-K785),1,
ROUNDDOWN(Y785-INDEX(K$4:K1673,MATCH(LARGE(FILTER(I$4:I1673,I$4:I1673&lt;=W785),1),I$4:I1673))-(W785-LARGE(FILTER(I$4:I"&amp;"1673,I$4:I1673&lt;=W785),1))*INDEX(F$4:F1673,MATCH(LARGE(FILTER(I$4:I1673,I$4:I1673&lt;=W785),1),I$4:I1673))))"),"")</f>
        <v/>
      </c>
      <c r="N785" s="60" t="str">
        <f t="shared" si="8"/>
        <v/>
      </c>
      <c r="O785" s="61" t="str">
        <f t="shared" si="9"/>
        <v/>
      </c>
      <c r="P785" s="56" t="str">
        <f t="shared" si="10"/>
        <v/>
      </c>
      <c r="R785" s="10"/>
      <c r="S785" s="59" t="str">
        <f t="array" ref="S785">IF(COUNTA(Q785:Q1673)=0,"",SUM((COUNTIF(Q$4:Q785,Upgrades!$B$3:$B$13)-COUNTIF(Q$4:Q785,"Sell_"&amp;Upgrades!$B$3:$B$13))*Upgrades!$D$3:$D$13))</f>
        <v/>
      </c>
      <c r="T785" s="66" t="str">
        <f>IFERROR(__xludf.DUMMYFUNCTION("IF(COUNTA(Q785:Q1673)=0,"""",IF(REGEXMATCH(INDEX(FILTER(Q$4:Q785,Q$4:Q785&lt;&gt;""""),ROWS(FILTER(Q$4:Q785,Q$4:Q785&lt;&gt;""""))),""^Sell_""),INDEX(FILTER(T$4:T784,Q$4:Q784&lt;&gt;""""),ROWS(FILTER(Q$4:Q784,Q$4:Q784&lt;&gt;""""))),$AD$5+S785))"),"")</f>
        <v/>
      </c>
      <c r="U785" s="10" t="str">
        <f>IFERROR(__xludf.DUMMYFUNCTION("IF(COUNTA(Q785:Q1673)=0,"""",IF(Q785="""",0,IF(REGEXMATCH(Q785,""^Sell_""),-ROUNDDOWN(ROUNDUP(INDEX(Upgrades!$C$3:$C$13,MATCH(SUBSTITUTE(Q785,""Sell_"",""""),Upgrades!$B$3:$B$13,0))*1.15^(COUNTIF(Q$4:Q784,SUBSTITUTE(Q785,""Sell_"",""""))-COUNTIF(Q$4:Q784,"&amp;"""Sell_""&amp;SUBSTITUTE(Q785,""Sell_"",""""))))/2),ROUNDUP(INDEX(Upgrades!$C$3:$C$13,MATCH(Q785,Upgrades!$B$3:$B$13,0))*1.15^(COUNTIF(Q$4:Q784,Q785)-COUNTIF(Q$4:Q784,""Sell_""&amp;Q785))))))"),"")</f>
        <v/>
      </c>
      <c r="V785" s="10" t="str">
        <f t="shared" si="11"/>
        <v/>
      </c>
      <c r="W785" s="68" t="str">
        <f t="shared" si="12"/>
        <v/>
      </c>
      <c r="X785" s="59" t="str">
        <f t="shared" si="13"/>
        <v/>
      </c>
      <c r="Y785" s="69" t="str">
        <f t="shared" si="14"/>
        <v/>
      </c>
      <c r="Z785" s="11"/>
    </row>
    <row r="786">
      <c r="A786" s="8"/>
      <c r="B786" s="56" t="str">
        <f t="shared" si="2"/>
        <v/>
      </c>
      <c r="C786" s="105"/>
      <c r="D786" s="10"/>
      <c r="E786" s="59" t="str">
        <f t="array" ref="E786">IF(COUNTA(C786:C1673)=0,"",SUM((COUNTIF(C$4:C786,Upgrades!$B$3:$B$13)-COUNTIF(C$4:C786,"Sell_"&amp;Upgrades!$B$3:$B$13))*Upgrades!$D$3:$D$13))</f>
        <v/>
      </c>
      <c r="F786" s="66" t="str">
        <f>IFERROR(__xludf.DUMMYFUNCTION("IF(COUNTA(C786:C1673)=0,"""",IF(REGEXMATCH(INDEX(FILTER(C$4:C786,C$4:C786&lt;&gt;""""),ROWS(FILTER(C$4:C786,C$4:C786&lt;&gt;""""))),""^Sell_""),INDEX(FILTER(F$4:F785,C$4:C785&lt;&gt;""""),ROWS(FILTER(C$4:C785,C$4:C785&lt;&gt;""""))),$AC$5+E786))"),"")</f>
        <v/>
      </c>
      <c r="G786" s="10" t="str">
        <f>IFERROR(__xludf.DUMMYFUNCTION("IF(COUNTA(C786:C1673)=0,"""",IF(C786="""",0,IF(REGEXMATCH(C786,""^Sell_""),-ROUNDDOWN(ROUNDUP(INDEX(Upgrades!$C$3:$C$13,MATCH(SUBSTITUTE(C786,""Sell_"",""""),Upgrades!$B$3:$B$13,0))*1.15^(COUNTIF(C$4:C785,SUBSTITUTE(C786,""Sell_"",""""))-COUNTIF(C$4:C785,"&amp;"""Sell_""&amp;SUBSTITUTE(C786,""Sell_"",""""))))/2),ROUNDUP(INDEX(Upgrades!$C$3:$C$13,MATCH(C786,Upgrades!$B$3:$B$13,0))*1.15^(COUNTIF(C$4:C785,C786)-COUNTIF(C$4:C785,""Sell_""&amp;C786))))))"),"")</f>
        <v/>
      </c>
      <c r="H786" s="10" t="str">
        <f t="shared" si="3"/>
        <v/>
      </c>
      <c r="I786" s="68" t="str">
        <f t="shared" si="4"/>
        <v/>
      </c>
      <c r="J786" s="59" t="str">
        <f t="shared" si="5"/>
        <v/>
      </c>
      <c r="K786" s="69" t="str">
        <f t="shared" si="6"/>
        <v/>
      </c>
      <c r="L786" s="60" t="str">
        <f t="shared" si="7"/>
        <v/>
      </c>
      <c r="M786" s="61" t="str">
        <f>IFERROR(__xludf.DUMMYFUNCTION("IFS(AND(COUNTA(C786:C1673)=0,COUNTA(Q786:Q1673)=0),"""",OR(AND(K786&gt;=1000000000,OR(Y786&gt;=1000000000,COUNTA(Q786:Q1673)=0)),OR(Y786&gt;=1000000000,AND(COUNTA(C786:C1673)=0,P$3=TRUE))),
ROUNDDOWN((AB$1-AC$1)*MAX(INDEX(T$4:T1673,MATCH(LARGE(FILTER(Y$4:Y1673,Y$4"&amp;":Y1673&lt;1000000000),1),Y$4:Y1673)),INDEX(F$4:F1673,MATCH(LARGE(FILTER(K$4:K1673,K$4:K1673&lt;1000000000),1),K$4:K1673)))),AND(K786&lt;1000000000,COUNTA(C786:C1673)&gt;0,P$3=FALSE),
ROUNDDOWN(INDEX(Y$4:Y1673,MATCH(LARGE(FILTER(W$4:W1673,W$4:W1673&lt;=I786),1),W$4:W1673"&amp;"))+(I786-LARGE(FILTER(W$4:W1673,W$4:W1673&lt;=I786),1))*INDEX(T$4:T1673,MATCH(LARGE(FILTER(W$4:W1673,W$4:W1673&lt;=I786),1),W$4:W1673))-K786),1,
ROUNDDOWN(Y786-INDEX(K$4:K1673,MATCH(LARGE(FILTER(I$4:I1673,I$4:I1673&lt;=W786),1),I$4:I1673))-(W786-LARGE(FILTER(I$4:I"&amp;"1673,I$4:I1673&lt;=W786),1))*INDEX(F$4:F1673,MATCH(LARGE(FILTER(I$4:I1673,I$4:I1673&lt;=W786),1),I$4:I1673))))"),"")</f>
        <v/>
      </c>
      <c r="N786" s="60" t="str">
        <f t="shared" si="8"/>
        <v/>
      </c>
      <c r="O786" s="61" t="str">
        <f t="shared" si="9"/>
        <v/>
      </c>
      <c r="P786" s="56" t="str">
        <f t="shared" si="10"/>
        <v/>
      </c>
      <c r="R786" s="10"/>
      <c r="S786" s="59" t="str">
        <f t="array" ref="S786">IF(COUNTA(Q786:Q1673)=0,"",SUM((COUNTIF(Q$4:Q786,Upgrades!$B$3:$B$13)-COUNTIF(Q$4:Q786,"Sell_"&amp;Upgrades!$B$3:$B$13))*Upgrades!$D$3:$D$13))</f>
        <v/>
      </c>
      <c r="T786" s="66" t="str">
        <f>IFERROR(__xludf.DUMMYFUNCTION("IF(COUNTA(Q786:Q1673)=0,"""",IF(REGEXMATCH(INDEX(FILTER(Q$4:Q786,Q$4:Q786&lt;&gt;""""),ROWS(FILTER(Q$4:Q786,Q$4:Q786&lt;&gt;""""))),""^Sell_""),INDEX(FILTER(T$4:T785,Q$4:Q785&lt;&gt;""""),ROWS(FILTER(Q$4:Q785,Q$4:Q785&lt;&gt;""""))),$AD$5+S786))"),"")</f>
        <v/>
      </c>
      <c r="U786" s="10" t="str">
        <f>IFERROR(__xludf.DUMMYFUNCTION("IF(COUNTA(Q786:Q1673)=0,"""",IF(Q786="""",0,IF(REGEXMATCH(Q786,""^Sell_""),-ROUNDDOWN(ROUNDUP(INDEX(Upgrades!$C$3:$C$13,MATCH(SUBSTITUTE(Q786,""Sell_"",""""),Upgrades!$B$3:$B$13,0))*1.15^(COUNTIF(Q$4:Q785,SUBSTITUTE(Q786,""Sell_"",""""))-COUNTIF(Q$4:Q785,"&amp;"""Sell_""&amp;SUBSTITUTE(Q786,""Sell_"",""""))))/2),ROUNDUP(INDEX(Upgrades!$C$3:$C$13,MATCH(Q786,Upgrades!$B$3:$B$13,0))*1.15^(COUNTIF(Q$4:Q785,Q786)-COUNTIF(Q$4:Q785,""Sell_""&amp;Q786))))))"),"")</f>
        <v/>
      </c>
      <c r="V786" s="10" t="str">
        <f t="shared" si="11"/>
        <v/>
      </c>
      <c r="W786" s="68" t="str">
        <f t="shared" si="12"/>
        <v/>
      </c>
      <c r="X786" s="59" t="str">
        <f t="shared" si="13"/>
        <v/>
      </c>
      <c r="Y786" s="69" t="str">
        <f t="shared" si="14"/>
        <v/>
      </c>
      <c r="Z786" s="11"/>
    </row>
    <row r="787">
      <c r="A787" s="8"/>
      <c r="B787" s="56" t="str">
        <f t="shared" si="2"/>
        <v/>
      </c>
      <c r="C787" s="105"/>
      <c r="D787" s="10"/>
      <c r="E787" s="59" t="str">
        <f t="array" ref="E787">IF(COUNTA(C787:C1673)=0,"",SUM((COUNTIF(C$4:C787,Upgrades!$B$3:$B$13)-COUNTIF(C$4:C787,"Sell_"&amp;Upgrades!$B$3:$B$13))*Upgrades!$D$3:$D$13))</f>
        <v/>
      </c>
      <c r="F787" s="66" t="str">
        <f>IFERROR(__xludf.DUMMYFUNCTION("IF(COUNTA(C787:C1673)=0,"""",IF(REGEXMATCH(INDEX(FILTER(C$4:C787,C$4:C787&lt;&gt;""""),ROWS(FILTER(C$4:C787,C$4:C787&lt;&gt;""""))),""^Sell_""),INDEX(FILTER(F$4:F786,C$4:C786&lt;&gt;""""),ROWS(FILTER(C$4:C786,C$4:C786&lt;&gt;""""))),$AC$5+E787))"),"")</f>
        <v/>
      </c>
      <c r="G787" s="10" t="str">
        <f>IFERROR(__xludf.DUMMYFUNCTION("IF(COUNTA(C787:C1673)=0,"""",IF(C787="""",0,IF(REGEXMATCH(C787,""^Sell_""),-ROUNDDOWN(ROUNDUP(INDEX(Upgrades!$C$3:$C$13,MATCH(SUBSTITUTE(C787,""Sell_"",""""),Upgrades!$B$3:$B$13,0))*1.15^(COUNTIF(C$4:C786,SUBSTITUTE(C787,""Sell_"",""""))-COUNTIF(C$4:C786,"&amp;"""Sell_""&amp;SUBSTITUTE(C787,""Sell_"",""""))))/2),ROUNDUP(INDEX(Upgrades!$C$3:$C$13,MATCH(C787,Upgrades!$B$3:$B$13,0))*1.15^(COUNTIF(C$4:C786,C787)-COUNTIF(C$4:C786,""Sell_""&amp;C787))))))"),"")</f>
        <v/>
      </c>
      <c r="H787" s="10" t="str">
        <f t="shared" si="3"/>
        <v/>
      </c>
      <c r="I787" s="68" t="str">
        <f t="shared" si="4"/>
        <v/>
      </c>
      <c r="J787" s="59" t="str">
        <f t="shared" si="5"/>
        <v/>
      </c>
      <c r="K787" s="69" t="str">
        <f t="shared" si="6"/>
        <v/>
      </c>
      <c r="L787" s="60" t="str">
        <f t="shared" si="7"/>
        <v/>
      </c>
      <c r="M787" s="61" t="str">
        <f>IFERROR(__xludf.DUMMYFUNCTION("IFS(AND(COUNTA(C787:C1673)=0,COUNTA(Q787:Q1673)=0),"""",OR(AND(K787&gt;=1000000000,OR(Y787&gt;=1000000000,COUNTA(Q787:Q1673)=0)),OR(Y787&gt;=1000000000,AND(COUNTA(C787:C1673)=0,P$3=TRUE))),
ROUNDDOWN((AB$1-AC$1)*MAX(INDEX(T$4:T1673,MATCH(LARGE(FILTER(Y$4:Y1673,Y$4"&amp;":Y1673&lt;1000000000),1),Y$4:Y1673)),INDEX(F$4:F1673,MATCH(LARGE(FILTER(K$4:K1673,K$4:K1673&lt;1000000000),1),K$4:K1673)))),AND(K787&lt;1000000000,COUNTA(C787:C1673)&gt;0,P$3=FALSE),
ROUNDDOWN(INDEX(Y$4:Y1673,MATCH(LARGE(FILTER(W$4:W1673,W$4:W1673&lt;=I787),1),W$4:W1673"&amp;"))+(I787-LARGE(FILTER(W$4:W1673,W$4:W1673&lt;=I787),1))*INDEX(T$4:T1673,MATCH(LARGE(FILTER(W$4:W1673,W$4:W1673&lt;=I787),1),W$4:W1673))-K787),1,
ROUNDDOWN(Y787-INDEX(K$4:K1673,MATCH(LARGE(FILTER(I$4:I1673,I$4:I1673&lt;=W787),1),I$4:I1673))-(W787-LARGE(FILTER(I$4:I"&amp;"1673,I$4:I1673&lt;=W787),1))*INDEX(F$4:F1673,MATCH(LARGE(FILTER(I$4:I1673,I$4:I1673&lt;=W787),1),I$4:I1673))))"),"")</f>
        <v/>
      </c>
      <c r="N787" s="60" t="str">
        <f t="shared" si="8"/>
        <v/>
      </c>
      <c r="O787" s="61" t="str">
        <f t="shared" si="9"/>
        <v/>
      </c>
      <c r="P787" s="56" t="str">
        <f t="shared" si="10"/>
        <v/>
      </c>
      <c r="R787" s="10"/>
      <c r="S787" s="59" t="str">
        <f t="array" ref="S787">IF(COUNTA(Q787:Q1673)=0,"",SUM((COUNTIF(Q$4:Q787,Upgrades!$B$3:$B$13)-COUNTIF(Q$4:Q787,"Sell_"&amp;Upgrades!$B$3:$B$13))*Upgrades!$D$3:$D$13))</f>
        <v/>
      </c>
      <c r="T787" s="66" t="str">
        <f>IFERROR(__xludf.DUMMYFUNCTION("IF(COUNTA(Q787:Q1673)=0,"""",IF(REGEXMATCH(INDEX(FILTER(Q$4:Q787,Q$4:Q787&lt;&gt;""""),ROWS(FILTER(Q$4:Q787,Q$4:Q787&lt;&gt;""""))),""^Sell_""),INDEX(FILTER(T$4:T786,Q$4:Q786&lt;&gt;""""),ROWS(FILTER(Q$4:Q786,Q$4:Q786&lt;&gt;""""))),$AD$5+S787))"),"")</f>
        <v/>
      </c>
      <c r="U787" s="10" t="str">
        <f>IFERROR(__xludf.DUMMYFUNCTION("IF(COUNTA(Q787:Q1673)=0,"""",IF(Q787="""",0,IF(REGEXMATCH(Q787,""^Sell_""),-ROUNDDOWN(ROUNDUP(INDEX(Upgrades!$C$3:$C$13,MATCH(SUBSTITUTE(Q787,""Sell_"",""""),Upgrades!$B$3:$B$13,0))*1.15^(COUNTIF(Q$4:Q786,SUBSTITUTE(Q787,""Sell_"",""""))-COUNTIF(Q$4:Q786,"&amp;"""Sell_""&amp;SUBSTITUTE(Q787,""Sell_"",""""))))/2),ROUNDUP(INDEX(Upgrades!$C$3:$C$13,MATCH(Q787,Upgrades!$B$3:$B$13,0))*1.15^(COUNTIF(Q$4:Q786,Q787)-COUNTIF(Q$4:Q786,""Sell_""&amp;Q787))))))"),"")</f>
        <v/>
      </c>
      <c r="V787" s="10" t="str">
        <f t="shared" si="11"/>
        <v/>
      </c>
      <c r="W787" s="68" t="str">
        <f t="shared" si="12"/>
        <v/>
      </c>
      <c r="X787" s="59" t="str">
        <f t="shared" si="13"/>
        <v/>
      </c>
      <c r="Y787" s="69" t="str">
        <f t="shared" si="14"/>
        <v/>
      </c>
      <c r="Z787" s="11"/>
    </row>
    <row r="788">
      <c r="A788" s="8"/>
      <c r="B788" s="56" t="str">
        <f t="shared" si="2"/>
        <v/>
      </c>
      <c r="C788" s="105"/>
      <c r="D788" s="10"/>
      <c r="E788" s="59" t="str">
        <f t="array" ref="E788">IF(COUNTA(C788:C1673)=0,"",SUM((COUNTIF(C$4:C788,Upgrades!$B$3:$B$13)-COUNTIF(C$4:C788,"Sell_"&amp;Upgrades!$B$3:$B$13))*Upgrades!$D$3:$D$13))</f>
        <v/>
      </c>
      <c r="F788" s="66" t="str">
        <f>IFERROR(__xludf.DUMMYFUNCTION("IF(COUNTA(C788:C1673)=0,"""",IF(REGEXMATCH(INDEX(FILTER(C$4:C788,C$4:C788&lt;&gt;""""),ROWS(FILTER(C$4:C788,C$4:C788&lt;&gt;""""))),""^Sell_""),INDEX(FILTER(F$4:F787,C$4:C787&lt;&gt;""""),ROWS(FILTER(C$4:C787,C$4:C787&lt;&gt;""""))),$AC$5+E788))"),"")</f>
        <v/>
      </c>
      <c r="G788" s="10" t="str">
        <f>IFERROR(__xludf.DUMMYFUNCTION("IF(COUNTA(C788:C1673)=0,"""",IF(C788="""",0,IF(REGEXMATCH(C788,""^Sell_""),-ROUNDDOWN(ROUNDUP(INDEX(Upgrades!$C$3:$C$13,MATCH(SUBSTITUTE(C788,""Sell_"",""""),Upgrades!$B$3:$B$13,0))*1.15^(COUNTIF(C$4:C787,SUBSTITUTE(C788,""Sell_"",""""))-COUNTIF(C$4:C787,"&amp;"""Sell_""&amp;SUBSTITUTE(C788,""Sell_"",""""))))/2),ROUNDUP(INDEX(Upgrades!$C$3:$C$13,MATCH(C788,Upgrades!$B$3:$B$13,0))*1.15^(COUNTIF(C$4:C787,C788)-COUNTIF(C$4:C787,""Sell_""&amp;C788))))))"),"")</f>
        <v/>
      </c>
      <c r="H788" s="10" t="str">
        <f t="shared" si="3"/>
        <v/>
      </c>
      <c r="I788" s="68" t="str">
        <f t="shared" si="4"/>
        <v/>
      </c>
      <c r="J788" s="59" t="str">
        <f t="shared" si="5"/>
        <v/>
      </c>
      <c r="K788" s="69" t="str">
        <f t="shared" si="6"/>
        <v/>
      </c>
      <c r="L788" s="60" t="str">
        <f t="shared" si="7"/>
        <v/>
      </c>
      <c r="M788" s="61" t="str">
        <f>IFERROR(__xludf.DUMMYFUNCTION("IFS(AND(COUNTA(C788:C1673)=0,COUNTA(Q788:Q1673)=0),"""",OR(AND(K788&gt;=1000000000,OR(Y788&gt;=1000000000,COUNTA(Q788:Q1673)=0)),OR(Y788&gt;=1000000000,AND(COUNTA(C788:C1673)=0,P$3=TRUE))),
ROUNDDOWN((AB$1-AC$1)*MAX(INDEX(T$4:T1673,MATCH(LARGE(FILTER(Y$4:Y1673,Y$4"&amp;":Y1673&lt;1000000000),1),Y$4:Y1673)),INDEX(F$4:F1673,MATCH(LARGE(FILTER(K$4:K1673,K$4:K1673&lt;1000000000),1),K$4:K1673)))),AND(K788&lt;1000000000,COUNTA(C788:C1673)&gt;0,P$3=FALSE),
ROUNDDOWN(INDEX(Y$4:Y1673,MATCH(LARGE(FILTER(W$4:W1673,W$4:W1673&lt;=I788),1),W$4:W1673"&amp;"))+(I788-LARGE(FILTER(W$4:W1673,W$4:W1673&lt;=I788),1))*INDEX(T$4:T1673,MATCH(LARGE(FILTER(W$4:W1673,W$4:W1673&lt;=I788),1),W$4:W1673))-K788),1,
ROUNDDOWN(Y788-INDEX(K$4:K1673,MATCH(LARGE(FILTER(I$4:I1673,I$4:I1673&lt;=W788),1),I$4:I1673))-(W788-LARGE(FILTER(I$4:I"&amp;"1673,I$4:I1673&lt;=W788),1))*INDEX(F$4:F1673,MATCH(LARGE(FILTER(I$4:I1673,I$4:I1673&lt;=W788),1),I$4:I1673))))"),"")</f>
        <v/>
      </c>
      <c r="N788" s="60" t="str">
        <f t="shared" si="8"/>
        <v/>
      </c>
      <c r="O788" s="61" t="str">
        <f t="shared" si="9"/>
        <v/>
      </c>
      <c r="P788" s="56" t="str">
        <f t="shared" si="10"/>
        <v/>
      </c>
      <c r="R788" s="10"/>
      <c r="S788" s="59" t="str">
        <f t="array" ref="S788">IF(COUNTA(Q788:Q1673)=0,"",SUM((COUNTIF(Q$4:Q788,Upgrades!$B$3:$B$13)-COUNTIF(Q$4:Q788,"Sell_"&amp;Upgrades!$B$3:$B$13))*Upgrades!$D$3:$D$13))</f>
        <v/>
      </c>
      <c r="T788" s="66" t="str">
        <f>IFERROR(__xludf.DUMMYFUNCTION("IF(COUNTA(Q788:Q1673)=0,"""",IF(REGEXMATCH(INDEX(FILTER(Q$4:Q788,Q$4:Q788&lt;&gt;""""),ROWS(FILTER(Q$4:Q788,Q$4:Q788&lt;&gt;""""))),""^Sell_""),INDEX(FILTER(T$4:T787,Q$4:Q787&lt;&gt;""""),ROWS(FILTER(Q$4:Q787,Q$4:Q787&lt;&gt;""""))),$AD$5+S788))"),"")</f>
        <v/>
      </c>
      <c r="U788" s="10" t="str">
        <f>IFERROR(__xludf.DUMMYFUNCTION("IF(COUNTA(Q788:Q1673)=0,"""",IF(Q788="""",0,IF(REGEXMATCH(Q788,""^Sell_""),-ROUNDDOWN(ROUNDUP(INDEX(Upgrades!$C$3:$C$13,MATCH(SUBSTITUTE(Q788,""Sell_"",""""),Upgrades!$B$3:$B$13,0))*1.15^(COUNTIF(Q$4:Q787,SUBSTITUTE(Q788,""Sell_"",""""))-COUNTIF(Q$4:Q787,"&amp;"""Sell_""&amp;SUBSTITUTE(Q788,""Sell_"",""""))))/2),ROUNDUP(INDEX(Upgrades!$C$3:$C$13,MATCH(Q788,Upgrades!$B$3:$B$13,0))*1.15^(COUNTIF(Q$4:Q787,Q788)-COUNTIF(Q$4:Q787,""Sell_""&amp;Q788))))))"),"")</f>
        <v/>
      </c>
      <c r="V788" s="10" t="str">
        <f t="shared" si="11"/>
        <v/>
      </c>
      <c r="W788" s="68" t="str">
        <f t="shared" si="12"/>
        <v/>
      </c>
      <c r="X788" s="59" t="str">
        <f t="shared" si="13"/>
        <v/>
      </c>
      <c r="Y788" s="69" t="str">
        <f t="shared" si="14"/>
        <v/>
      </c>
      <c r="Z788" s="11"/>
    </row>
    <row r="789">
      <c r="A789" s="8"/>
      <c r="B789" s="56" t="str">
        <f t="shared" si="2"/>
        <v/>
      </c>
      <c r="C789" s="105"/>
      <c r="D789" s="10"/>
      <c r="E789" s="59" t="str">
        <f t="array" ref="E789">IF(COUNTA(C789:C1673)=0,"",SUM((COUNTIF(C$4:C789,Upgrades!$B$3:$B$13)-COUNTIF(C$4:C789,"Sell_"&amp;Upgrades!$B$3:$B$13))*Upgrades!$D$3:$D$13))</f>
        <v/>
      </c>
      <c r="F789" s="66" t="str">
        <f>IFERROR(__xludf.DUMMYFUNCTION("IF(COUNTA(C789:C1673)=0,"""",IF(REGEXMATCH(INDEX(FILTER(C$4:C789,C$4:C789&lt;&gt;""""),ROWS(FILTER(C$4:C789,C$4:C789&lt;&gt;""""))),""^Sell_""),INDEX(FILTER(F$4:F788,C$4:C788&lt;&gt;""""),ROWS(FILTER(C$4:C788,C$4:C788&lt;&gt;""""))),$AC$5+E789))"),"")</f>
        <v/>
      </c>
      <c r="G789" s="10" t="str">
        <f>IFERROR(__xludf.DUMMYFUNCTION("IF(COUNTA(C789:C1673)=0,"""",IF(C789="""",0,IF(REGEXMATCH(C789,""^Sell_""),-ROUNDDOWN(ROUNDUP(INDEX(Upgrades!$C$3:$C$13,MATCH(SUBSTITUTE(C789,""Sell_"",""""),Upgrades!$B$3:$B$13,0))*1.15^(COUNTIF(C$4:C788,SUBSTITUTE(C789,""Sell_"",""""))-COUNTIF(C$4:C788,"&amp;"""Sell_""&amp;SUBSTITUTE(C789,""Sell_"",""""))))/2),ROUNDUP(INDEX(Upgrades!$C$3:$C$13,MATCH(C789,Upgrades!$B$3:$B$13,0))*1.15^(COUNTIF(C$4:C788,C789)-COUNTIF(C$4:C788,""Sell_""&amp;C789))))))"),"")</f>
        <v/>
      </c>
      <c r="H789" s="10" t="str">
        <f t="shared" si="3"/>
        <v/>
      </c>
      <c r="I789" s="68" t="str">
        <f t="shared" si="4"/>
        <v/>
      </c>
      <c r="J789" s="59" t="str">
        <f t="shared" si="5"/>
        <v/>
      </c>
      <c r="K789" s="69" t="str">
        <f t="shared" si="6"/>
        <v/>
      </c>
      <c r="L789" s="60" t="str">
        <f t="shared" si="7"/>
        <v/>
      </c>
      <c r="M789" s="61" t="str">
        <f>IFERROR(__xludf.DUMMYFUNCTION("IFS(AND(COUNTA(C789:C1673)=0,COUNTA(Q789:Q1673)=0),"""",OR(AND(K789&gt;=1000000000,OR(Y789&gt;=1000000000,COUNTA(Q789:Q1673)=0)),OR(Y789&gt;=1000000000,AND(COUNTA(C789:C1673)=0,P$3=TRUE))),
ROUNDDOWN((AB$1-AC$1)*MAX(INDEX(T$4:T1673,MATCH(LARGE(FILTER(Y$4:Y1673,Y$4"&amp;":Y1673&lt;1000000000),1),Y$4:Y1673)),INDEX(F$4:F1673,MATCH(LARGE(FILTER(K$4:K1673,K$4:K1673&lt;1000000000),1),K$4:K1673)))),AND(K789&lt;1000000000,COUNTA(C789:C1673)&gt;0,P$3=FALSE),
ROUNDDOWN(INDEX(Y$4:Y1673,MATCH(LARGE(FILTER(W$4:W1673,W$4:W1673&lt;=I789),1),W$4:W1673"&amp;"))+(I789-LARGE(FILTER(W$4:W1673,W$4:W1673&lt;=I789),1))*INDEX(T$4:T1673,MATCH(LARGE(FILTER(W$4:W1673,W$4:W1673&lt;=I789),1),W$4:W1673))-K789),1,
ROUNDDOWN(Y789-INDEX(K$4:K1673,MATCH(LARGE(FILTER(I$4:I1673,I$4:I1673&lt;=W789),1),I$4:I1673))-(W789-LARGE(FILTER(I$4:I"&amp;"1673,I$4:I1673&lt;=W789),1))*INDEX(F$4:F1673,MATCH(LARGE(FILTER(I$4:I1673,I$4:I1673&lt;=W789),1),I$4:I1673))))"),"")</f>
        <v/>
      </c>
      <c r="N789" s="60" t="str">
        <f t="shared" si="8"/>
        <v/>
      </c>
      <c r="O789" s="61" t="str">
        <f t="shared" si="9"/>
        <v/>
      </c>
      <c r="P789" s="56" t="str">
        <f t="shared" si="10"/>
        <v/>
      </c>
      <c r="R789" s="10"/>
      <c r="S789" s="59" t="str">
        <f t="array" ref="S789">IF(COUNTA(Q789:Q1673)=0,"",SUM((COUNTIF(Q$4:Q789,Upgrades!$B$3:$B$13)-COUNTIF(Q$4:Q789,"Sell_"&amp;Upgrades!$B$3:$B$13))*Upgrades!$D$3:$D$13))</f>
        <v/>
      </c>
      <c r="T789" s="66" t="str">
        <f>IFERROR(__xludf.DUMMYFUNCTION("IF(COUNTA(Q789:Q1673)=0,"""",IF(REGEXMATCH(INDEX(FILTER(Q$4:Q789,Q$4:Q789&lt;&gt;""""),ROWS(FILTER(Q$4:Q789,Q$4:Q789&lt;&gt;""""))),""^Sell_""),INDEX(FILTER(T$4:T788,Q$4:Q788&lt;&gt;""""),ROWS(FILTER(Q$4:Q788,Q$4:Q788&lt;&gt;""""))),$AD$5+S789))"),"")</f>
        <v/>
      </c>
      <c r="U789" s="10" t="str">
        <f>IFERROR(__xludf.DUMMYFUNCTION("IF(COUNTA(Q789:Q1673)=0,"""",IF(Q789="""",0,IF(REGEXMATCH(Q789,""^Sell_""),-ROUNDDOWN(ROUNDUP(INDEX(Upgrades!$C$3:$C$13,MATCH(SUBSTITUTE(Q789,""Sell_"",""""),Upgrades!$B$3:$B$13,0))*1.15^(COUNTIF(Q$4:Q788,SUBSTITUTE(Q789,""Sell_"",""""))-COUNTIF(Q$4:Q788,"&amp;"""Sell_""&amp;SUBSTITUTE(Q789,""Sell_"",""""))))/2),ROUNDUP(INDEX(Upgrades!$C$3:$C$13,MATCH(Q789,Upgrades!$B$3:$B$13,0))*1.15^(COUNTIF(Q$4:Q788,Q789)-COUNTIF(Q$4:Q788,""Sell_""&amp;Q789))))))"),"")</f>
        <v/>
      </c>
      <c r="V789" s="10" t="str">
        <f t="shared" si="11"/>
        <v/>
      </c>
      <c r="W789" s="68" t="str">
        <f t="shared" si="12"/>
        <v/>
      </c>
      <c r="X789" s="59" t="str">
        <f t="shared" si="13"/>
        <v/>
      </c>
      <c r="Y789" s="69" t="str">
        <f t="shared" si="14"/>
        <v/>
      </c>
      <c r="Z789" s="11"/>
    </row>
    <row r="790">
      <c r="A790" s="8"/>
      <c r="B790" s="56" t="str">
        <f t="shared" si="2"/>
        <v/>
      </c>
      <c r="C790" s="105"/>
      <c r="D790" s="10"/>
      <c r="E790" s="59" t="str">
        <f t="array" ref="E790">IF(COUNTA(C790:C1673)=0,"",SUM((COUNTIF(C$4:C790,Upgrades!$B$3:$B$13)-COUNTIF(C$4:C790,"Sell_"&amp;Upgrades!$B$3:$B$13))*Upgrades!$D$3:$D$13))</f>
        <v/>
      </c>
      <c r="F790" s="66" t="str">
        <f>IFERROR(__xludf.DUMMYFUNCTION("IF(COUNTA(C790:C1673)=0,"""",IF(REGEXMATCH(INDEX(FILTER(C$4:C790,C$4:C790&lt;&gt;""""),ROWS(FILTER(C$4:C790,C$4:C790&lt;&gt;""""))),""^Sell_""),INDEX(FILTER(F$4:F789,C$4:C789&lt;&gt;""""),ROWS(FILTER(C$4:C789,C$4:C789&lt;&gt;""""))),$AC$5+E790))"),"")</f>
        <v/>
      </c>
      <c r="G790" s="10" t="str">
        <f>IFERROR(__xludf.DUMMYFUNCTION("IF(COUNTA(C790:C1673)=0,"""",IF(C790="""",0,IF(REGEXMATCH(C790,""^Sell_""),-ROUNDDOWN(ROUNDUP(INDEX(Upgrades!$C$3:$C$13,MATCH(SUBSTITUTE(C790,""Sell_"",""""),Upgrades!$B$3:$B$13,0))*1.15^(COUNTIF(C$4:C789,SUBSTITUTE(C790,""Sell_"",""""))-COUNTIF(C$4:C789,"&amp;"""Sell_""&amp;SUBSTITUTE(C790,""Sell_"",""""))))/2),ROUNDUP(INDEX(Upgrades!$C$3:$C$13,MATCH(C790,Upgrades!$B$3:$B$13,0))*1.15^(COUNTIF(C$4:C789,C790)-COUNTIF(C$4:C789,""Sell_""&amp;C790))))))"),"")</f>
        <v/>
      </c>
      <c r="H790" s="10" t="str">
        <f t="shared" si="3"/>
        <v/>
      </c>
      <c r="I790" s="68" t="str">
        <f t="shared" si="4"/>
        <v/>
      </c>
      <c r="J790" s="59" t="str">
        <f t="shared" si="5"/>
        <v/>
      </c>
      <c r="K790" s="69" t="str">
        <f t="shared" si="6"/>
        <v/>
      </c>
      <c r="L790" s="60" t="str">
        <f t="shared" si="7"/>
        <v/>
      </c>
      <c r="M790" s="61" t="str">
        <f>IFERROR(__xludf.DUMMYFUNCTION("IFS(AND(COUNTA(C790:C1673)=0,COUNTA(Q790:Q1673)=0),"""",OR(AND(K790&gt;=1000000000,OR(Y790&gt;=1000000000,COUNTA(Q790:Q1673)=0)),OR(Y790&gt;=1000000000,AND(COUNTA(C790:C1673)=0,P$3=TRUE))),
ROUNDDOWN((AB$1-AC$1)*MAX(INDEX(T$4:T1673,MATCH(LARGE(FILTER(Y$4:Y1673,Y$4"&amp;":Y1673&lt;1000000000),1),Y$4:Y1673)),INDEX(F$4:F1673,MATCH(LARGE(FILTER(K$4:K1673,K$4:K1673&lt;1000000000),1),K$4:K1673)))),AND(K790&lt;1000000000,COUNTA(C790:C1673)&gt;0,P$3=FALSE),
ROUNDDOWN(INDEX(Y$4:Y1673,MATCH(LARGE(FILTER(W$4:W1673,W$4:W1673&lt;=I790),1),W$4:W1673"&amp;"))+(I790-LARGE(FILTER(W$4:W1673,W$4:W1673&lt;=I790),1))*INDEX(T$4:T1673,MATCH(LARGE(FILTER(W$4:W1673,W$4:W1673&lt;=I790),1),W$4:W1673))-K790),1,
ROUNDDOWN(Y790-INDEX(K$4:K1673,MATCH(LARGE(FILTER(I$4:I1673,I$4:I1673&lt;=W790),1),I$4:I1673))-(W790-LARGE(FILTER(I$4:I"&amp;"1673,I$4:I1673&lt;=W790),1))*INDEX(F$4:F1673,MATCH(LARGE(FILTER(I$4:I1673,I$4:I1673&lt;=W790),1),I$4:I1673))))"),"")</f>
        <v/>
      </c>
      <c r="N790" s="60" t="str">
        <f t="shared" si="8"/>
        <v/>
      </c>
      <c r="O790" s="61" t="str">
        <f t="shared" si="9"/>
        <v/>
      </c>
      <c r="P790" s="56" t="str">
        <f t="shared" si="10"/>
        <v/>
      </c>
      <c r="R790" s="10"/>
      <c r="S790" s="59" t="str">
        <f t="array" ref="S790">IF(COUNTA(Q790:Q1673)=0,"",SUM((COUNTIF(Q$4:Q790,Upgrades!$B$3:$B$13)-COUNTIF(Q$4:Q790,"Sell_"&amp;Upgrades!$B$3:$B$13))*Upgrades!$D$3:$D$13))</f>
        <v/>
      </c>
      <c r="T790" s="66" t="str">
        <f>IFERROR(__xludf.DUMMYFUNCTION("IF(COUNTA(Q790:Q1673)=0,"""",IF(REGEXMATCH(INDEX(FILTER(Q$4:Q790,Q$4:Q790&lt;&gt;""""),ROWS(FILTER(Q$4:Q790,Q$4:Q790&lt;&gt;""""))),""^Sell_""),INDEX(FILTER(T$4:T789,Q$4:Q789&lt;&gt;""""),ROWS(FILTER(Q$4:Q789,Q$4:Q789&lt;&gt;""""))),$AD$5+S790))"),"")</f>
        <v/>
      </c>
      <c r="U790" s="10" t="str">
        <f>IFERROR(__xludf.DUMMYFUNCTION("IF(COUNTA(Q790:Q1673)=0,"""",IF(Q790="""",0,IF(REGEXMATCH(Q790,""^Sell_""),-ROUNDDOWN(ROUNDUP(INDEX(Upgrades!$C$3:$C$13,MATCH(SUBSTITUTE(Q790,""Sell_"",""""),Upgrades!$B$3:$B$13,0))*1.15^(COUNTIF(Q$4:Q789,SUBSTITUTE(Q790,""Sell_"",""""))-COUNTIF(Q$4:Q789,"&amp;"""Sell_""&amp;SUBSTITUTE(Q790,""Sell_"",""""))))/2),ROUNDUP(INDEX(Upgrades!$C$3:$C$13,MATCH(Q790,Upgrades!$B$3:$B$13,0))*1.15^(COUNTIF(Q$4:Q789,Q790)-COUNTIF(Q$4:Q789,""Sell_""&amp;Q790))))))"),"")</f>
        <v/>
      </c>
      <c r="V790" s="10" t="str">
        <f t="shared" si="11"/>
        <v/>
      </c>
      <c r="W790" s="68" t="str">
        <f t="shared" si="12"/>
        <v/>
      </c>
      <c r="X790" s="59" t="str">
        <f t="shared" si="13"/>
        <v/>
      </c>
      <c r="Y790" s="69" t="str">
        <f t="shared" si="14"/>
        <v/>
      </c>
      <c r="Z790" s="11"/>
    </row>
    <row r="791">
      <c r="A791" s="8"/>
      <c r="B791" s="56" t="str">
        <f t="shared" si="2"/>
        <v/>
      </c>
      <c r="C791" s="105"/>
      <c r="D791" s="10"/>
      <c r="E791" s="59" t="str">
        <f t="array" ref="E791">IF(COUNTA(C791:C1673)=0,"",SUM((COUNTIF(C$4:C791,Upgrades!$B$3:$B$13)-COUNTIF(C$4:C791,"Sell_"&amp;Upgrades!$B$3:$B$13))*Upgrades!$D$3:$D$13))</f>
        <v/>
      </c>
      <c r="F791" s="66" t="str">
        <f>IFERROR(__xludf.DUMMYFUNCTION("IF(COUNTA(C791:C1673)=0,"""",IF(REGEXMATCH(INDEX(FILTER(C$4:C791,C$4:C791&lt;&gt;""""),ROWS(FILTER(C$4:C791,C$4:C791&lt;&gt;""""))),""^Sell_""),INDEX(FILTER(F$4:F790,C$4:C790&lt;&gt;""""),ROWS(FILTER(C$4:C790,C$4:C790&lt;&gt;""""))),$AC$5+E791))"),"")</f>
        <v/>
      </c>
      <c r="G791" s="10" t="str">
        <f>IFERROR(__xludf.DUMMYFUNCTION("IF(COUNTA(C791:C1673)=0,"""",IF(C791="""",0,IF(REGEXMATCH(C791,""^Sell_""),-ROUNDDOWN(ROUNDUP(INDEX(Upgrades!$C$3:$C$13,MATCH(SUBSTITUTE(C791,""Sell_"",""""),Upgrades!$B$3:$B$13,0))*1.15^(COUNTIF(C$4:C790,SUBSTITUTE(C791,""Sell_"",""""))-COUNTIF(C$4:C790,"&amp;"""Sell_""&amp;SUBSTITUTE(C791,""Sell_"",""""))))/2),ROUNDUP(INDEX(Upgrades!$C$3:$C$13,MATCH(C791,Upgrades!$B$3:$B$13,0))*1.15^(COUNTIF(C$4:C790,C791)-COUNTIF(C$4:C790,""Sell_""&amp;C791))))))"),"")</f>
        <v/>
      </c>
      <c r="H791" s="10" t="str">
        <f t="shared" si="3"/>
        <v/>
      </c>
      <c r="I791" s="68" t="str">
        <f t="shared" si="4"/>
        <v/>
      </c>
      <c r="J791" s="59" t="str">
        <f t="shared" si="5"/>
        <v/>
      </c>
      <c r="K791" s="69" t="str">
        <f t="shared" si="6"/>
        <v/>
      </c>
      <c r="L791" s="60" t="str">
        <f t="shared" si="7"/>
        <v/>
      </c>
      <c r="M791" s="61" t="str">
        <f>IFERROR(__xludf.DUMMYFUNCTION("IFS(AND(COUNTA(C791:C1673)=0,COUNTA(Q791:Q1673)=0),"""",OR(AND(K791&gt;=1000000000,OR(Y791&gt;=1000000000,COUNTA(Q791:Q1673)=0)),OR(Y791&gt;=1000000000,AND(COUNTA(C791:C1673)=0,P$3=TRUE))),
ROUNDDOWN((AB$1-AC$1)*MAX(INDEX(T$4:T1673,MATCH(LARGE(FILTER(Y$4:Y1673,Y$4"&amp;":Y1673&lt;1000000000),1),Y$4:Y1673)),INDEX(F$4:F1673,MATCH(LARGE(FILTER(K$4:K1673,K$4:K1673&lt;1000000000),1),K$4:K1673)))),AND(K791&lt;1000000000,COUNTA(C791:C1673)&gt;0,P$3=FALSE),
ROUNDDOWN(INDEX(Y$4:Y1673,MATCH(LARGE(FILTER(W$4:W1673,W$4:W1673&lt;=I791),1),W$4:W1673"&amp;"))+(I791-LARGE(FILTER(W$4:W1673,W$4:W1673&lt;=I791),1))*INDEX(T$4:T1673,MATCH(LARGE(FILTER(W$4:W1673,W$4:W1673&lt;=I791),1),W$4:W1673))-K791),1,
ROUNDDOWN(Y791-INDEX(K$4:K1673,MATCH(LARGE(FILTER(I$4:I1673,I$4:I1673&lt;=W791),1),I$4:I1673))-(W791-LARGE(FILTER(I$4:I"&amp;"1673,I$4:I1673&lt;=W791),1))*INDEX(F$4:F1673,MATCH(LARGE(FILTER(I$4:I1673,I$4:I1673&lt;=W791),1),I$4:I1673))))"),"")</f>
        <v/>
      </c>
      <c r="N791" s="60" t="str">
        <f t="shared" si="8"/>
        <v/>
      </c>
      <c r="O791" s="61" t="str">
        <f t="shared" si="9"/>
        <v/>
      </c>
      <c r="P791" s="56" t="str">
        <f t="shared" si="10"/>
        <v/>
      </c>
      <c r="R791" s="10"/>
      <c r="S791" s="59" t="str">
        <f t="array" ref="S791">IF(COUNTA(Q791:Q1673)=0,"",SUM((COUNTIF(Q$4:Q791,Upgrades!$B$3:$B$13)-COUNTIF(Q$4:Q791,"Sell_"&amp;Upgrades!$B$3:$B$13))*Upgrades!$D$3:$D$13))</f>
        <v/>
      </c>
      <c r="T791" s="66" t="str">
        <f>IFERROR(__xludf.DUMMYFUNCTION("IF(COUNTA(Q791:Q1673)=0,"""",IF(REGEXMATCH(INDEX(FILTER(Q$4:Q791,Q$4:Q791&lt;&gt;""""),ROWS(FILTER(Q$4:Q791,Q$4:Q791&lt;&gt;""""))),""^Sell_""),INDEX(FILTER(T$4:T790,Q$4:Q790&lt;&gt;""""),ROWS(FILTER(Q$4:Q790,Q$4:Q790&lt;&gt;""""))),$AD$5+S791))"),"")</f>
        <v/>
      </c>
      <c r="U791" s="10" t="str">
        <f>IFERROR(__xludf.DUMMYFUNCTION("IF(COUNTA(Q791:Q1673)=0,"""",IF(Q791="""",0,IF(REGEXMATCH(Q791,""^Sell_""),-ROUNDDOWN(ROUNDUP(INDEX(Upgrades!$C$3:$C$13,MATCH(SUBSTITUTE(Q791,""Sell_"",""""),Upgrades!$B$3:$B$13,0))*1.15^(COUNTIF(Q$4:Q790,SUBSTITUTE(Q791,""Sell_"",""""))-COUNTIF(Q$4:Q790,"&amp;"""Sell_""&amp;SUBSTITUTE(Q791,""Sell_"",""""))))/2),ROUNDUP(INDEX(Upgrades!$C$3:$C$13,MATCH(Q791,Upgrades!$B$3:$B$13,0))*1.15^(COUNTIF(Q$4:Q790,Q791)-COUNTIF(Q$4:Q790,""Sell_""&amp;Q791))))))"),"")</f>
        <v/>
      </c>
      <c r="V791" s="10" t="str">
        <f t="shared" si="11"/>
        <v/>
      </c>
      <c r="W791" s="68" t="str">
        <f t="shared" si="12"/>
        <v/>
      </c>
      <c r="X791" s="59" t="str">
        <f t="shared" si="13"/>
        <v/>
      </c>
      <c r="Y791" s="69" t="str">
        <f t="shared" si="14"/>
        <v/>
      </c>
      <c r="Z791" s="11"/>
    </row>
    <row r="792">
      <c r="A792" s="8"/>
      <c r="B792" s="56" t="str">
        <f t="shared" si="2"/>
        <v/>
      </c>
      <c r="C792" s="105"/>
      <c r="D792" s="10"/>
      <c r="E792" s="59" t="str">
        <f t="array" ref="E792">IF(COUNTA(C792:C1673)=0,"",SUM((COUNTIF(C$4:C792,Upgrades!$B$3:$B$13)-COUNTIF(C$4:C792,"Sell_"&amp;Upgrades!$B$3:$B$13))*Upgrades!$D$3:$D$13))</f>
        <v/>
      </c>
      <c r="F792" s="66" t="str">
        <f>IFERROR(__xludf.DUMMYFUNCTION("IF(COUNTA(C792:C1673)=0,"""",IF(REGEXMATCH(INDEX(FILTER(C$4:C792,C$4:C792&lt;&gt;""""),ROWS(FILTER(C$4:C792,C$4:C792&lt;&gt;""""))),""^Sell_""),INDEX(FILTER(F$4:F791,C$4:C791&lt;&gt;""""),ROWS(FILTER(C$4:C791,C$4:C791&lt;&gt;""""))),$AC$5+E792))"),"")</f>
        <v/>
      </c>
      <c r="G792" s="10" t="str">
        <f>IFERROR(__xludf.DUMMYFUNCTION("IF(COUNTA(C792:C1673)=0,"""",IF(C792="""",0,IF(REGEXMATCH(C792,""^Sell_""),-ROUNDDOWN(ROUNDUP(INDEX(Upgrades!$C$3:$C$13,MATCH(SUBSTITUTE(C792,""Sell_"",""""),Upgrades!$B$3:$B$13,0))*1.15^(COUNTIF(C$4:C791,SUBSTITUTE(C792,""Sell_"",""""))-COUNTIF(C$4:C791,"&amp;"""Sell_""&amp;SUBSTITUTE(C792,""Sell_"",""""))))/2),ROUNDUP(INDEX(Upgrades!$C$3:$C$13,MATCH(C792,Upgrades!$B$3:$B$13,0))*1.15^(COUNTIF(C$4:C791,C792)-COUNTIF(C$4:C791,""Sell_""&amp;C792))))))"),"")</f>
        <v/>
      </c>
      <c r="H792" s="10" t="str">
        <f t="shared" si="3"/>
        <v/>
      </c>
      <c r="I792" s="68" t="str">
        <f t="shared" si="4"/>
        <v/>
      </c>
      <c r="J792" s="59" t="str">
        <f t="shared" si="5"/>
        <v/>
      </c>
      <c r="K792" s="69" t="str">
        <f t="shared" si="6"/>
        <v/>
      </c>
      <c r="L792" s="60" t="str">
        <f t="shared" si="7"/>
        <v/>
      </c>
      <c r="M792" s="61" t="str">
        <f>IFERROR(__xludf.DUMMYFUNCTION("IFS(AND(COUNTA(C792:C1673)=0,COUNTA(Q792:Q1673)=0),"""",OR(AND(K792&gt;=1000000000,OR(Y792&gt;=1000000000,COUNTA(Q792:Q1673)=0)),OR(Y792&gt;=1000000000,AND(COUNTA(C792:C1673)=0,P$3=TRUE))),
ROUNDDOWN((AB$1-AC$1)*MAX(INDEX(T$4:T1673,MATCH(LARGE(FILTER(Y$4:Y1673,Y$4"&amp;":Y1673&lt;1000000000),1),Y$4:Y1673)),INDEX(F$4:F1673,MATCH(LARGE(FILTER(K$4:K1673,K$4:K1673&lt;1000000000),1),K$4:K1673)))),AND(K792&lt;1000000000,COUNTA(C792:C1673)&gt;0,P$3=FALSE),
ROUNDDOWN(INDEX(Y$4:Y1673,MATCH(LARGE(FILTER(W$4:W1673,W$4:W1673&lt;=I792),1),W$4:W1673"&amp;"))+(I792-LARGE(FILTER(W$4:W1673,W$4:W1673&lt;=I792),1))*INDEX(T$4:T1673,MATCH(LARGE(FILTER(W$4:W1673,W$4:W1673&lt;=I792),1),W$4:W1673))-K792),1,
ROUNDDOWN(Y792-INDEX(K$4:K1673,MATCH(LARGE(FILTER(I$4:I1673,I$4:I1673&lt;=W792),1),I$4:I1673))-(W792-LARGE(FILTER(I$4:I"&amp;"1673,I$4:I1673&lt;=W792),1))*INDEX(F$4:F1673,MATCH(LARGE(FILTER(I$4:I1673,I$4:I1673&lt;=W792),1),I$4:I1673))))"),"")</f>
        <v/>
      </c>
      <c r="N792" s="60" t="str">
        <f t="shared" si="8"/>
        <v/>
      </c>
      <c r="O792" s="61" t="str">
        <f t="shared" si="9"/>
        <v/>
      </c>
      <c r="P792" s="56" t="str">
        <f t="shared" si="10"/>
        <v/>
      </c>
      <c r="R792" s="10"/>
      <c r="S792" s="59" t="str">
        <f t="array" ref="S792">IF(COUNTA(Q792:Q1673)=0,"",SUM((COUNTIF(Q$4:Q792,Upgrades!$B$3:$B$13)-COUNTIF(Q$4:Q792,"Sell_"&amp;Upgrades!$B$3:$B$13))*Upgrades!$D$3:$D$13))</f>
        <v/>
      </c>
      <c r="T792" s="66" t="str">
        <f>IFERROR(__xludf.DUMMYFUNCTION("IF(COUNTA(Q792:Q1673)=0,"""",IF(REGEXMATCH(INDEX(FILTER(Q$4:Q792,Q$4:Q792&lt;&gt;""""),ROWS(FILTER(Q$4:Q792,Q$4:Q792&lt;&gt;""""))),""^Sell_""),INDEX(FILTER(T$4:T791,Q$4:Q791&lt;&gt;""""),ROWS(FILTER(Q$4:Q791,Q$4:Q791&lt;&gt;""""))),$AD$5+S792))"),"")</f>
        <v/>
      </c>
      <c r="U792" s="10" t="str">
        <f>IFERROR(__xludf.DUMMYFUNCTION("IF(COUNTA(Q792:Q1673)=0,"""",IF(Q792="""",0,IF(REGEXMATCH(Q792,""^Sell_""),-ROUNDDOWN(ROUNDUP(INDEX(Upgrades!$C$3:$C$13,MATCH(SUBSTITUTE(Q792,""Sell_"",""""),Upgrades!$B$3:$B$13,0))*1.15^(COUNTIF(Q$4:Q791,SUBSTITUTE(Q792,""Sell_"",""""))-COUNTIF(Q$4:Q791,"&amp;"""Sell_""&amp;SUBSTITUTE(Q792,""Sell_"",""""))))/2),ROUNDUP(INDEX(Upgrades!$C$3:$C$13,MATCH(Q792,Upgrades!$B$3:$B$13,0))*1.15^(COUNTIF(Q$4:Q791,Q792)-COUNTIF(Q$4:Q791,""Sell_""&amp;Q792))))))"),"")</f>
        <v/>
      </c>
      <c r="V792" s="10" t="str">
        <f t="shared" si="11"/>
        <v/>
      </c>
      <c r="W792" s="68" t="str">
        <f t="shared" si="12"/>
        <v/>
      </c>
      <c r="X792" s="59" t="str">
        <f t="shared" si="13"/>
        <v/>
      </c>
      <c r="Y792" s="69" t="str">
        <f t="shared" si="14"/>
        <v/>
      </c>
      <c r="Z792" s="11"/>
    </row>
    <row r="793">
      <c r="A793" s="8"/>
      <c r="B793" s="56" t="str">
        <f t="shared" si="2"/>
        <v/>
      </c>
      <c r="C793" s="105"/>
      <c r="D793" s="10"/>
      <c r="E793" s="59" t="str">
        <f t="array" ref="E793">IF(COUNTA(C793:C1673)=0,"",SUM((COUNTIF(C$4:C793,Upgrades!$B$3:$B$13)-COUNTIF(C$4:C793,"Sell_"&amp;Upgrades!$B$3:$B$13))*Upgrades!$D$3:$D$13))</f>
        <v/>
      </c>
      <c r="F793" s="66" t="str">
        <f>IFERROR(__xludf.DUMMYFUNCTION("IF(COUNTA(C793:C1673)=0,"""",IF(REGEXMATCH(INDEX(FILTER(C$4:C793,C$4:C793&lt;&gt;""""),ROWS(FILTER(C$4:C793,C$4:C793&lt;&gt;""""))),""^Sell_""),INDEX(FILTER(F$4:F792,C$4:C792&lt;&gt;""""),ROWS(FILTER(C$4:C792,C$4:C792&lt;&gt;""""))),$AC$5+E793))"),"")</f>
        <v/>
      </c>
      <c r="G793" s="10" t="str">
        <f>IFERROR(__xludf.DUMMYFUNCTION("IF(COUNTA(C793:C1673)=0,"""",IF(C793="""",0,IF(REGEXMATCH(C793,""^Sell_""),-ROUNDDOWN(ROUNDUP(INDEX(Upgrades!$C$3:$C$13,MATCH(SUBSTITUTE(C793,""Sell_"",""""),Upgrades!$B$3:$B$13,0))*1.15^(COUNTIF(C$4:C792,SUBSTITUTE(C793,""Sell_"",""""))-COUNTIF(C$4:C792,"&amp;"""Sell_""&amp;SUBSTITUTE(C793,""Sell_"",""""))))/2),ROUNDUP(INDEX(Upgrades!$C$3:$C$13,MATCH(C793,Upgrades!$B$3:$B$13,0))*1.15^(COUNTIF(C$4:C792,C793)-COUNTIF(C$4:C792,""Sell_""&amp;C793))))))"),"")</f>
        <v/>
      </c>
      <c r="H793" s="10" t="str">
        <f t="shared" si="3"/>
        <v/>
      </c>
      <c r="I793" s="68" t="str">
        <f t="shared" si="4"/>
        <v/>
      </c>
      <c r="J793" s="59" t="str">
        <f t="shared" si="5"/>
        <v/>
      </c>
      <c r="K793" s="69" t="str">
        <f t="shared" si="6"/>
        <v/>
      </c>
      <c r="L793" s="60" t="str">
        <f t="shared" si="7"/>
        <v/>
      </c>
      <c r="M793" s="61" t="str">
        <f>IFERROR(__xludf.DUMMYFUNCTION("IFS(AND(COUNTA(C793:C1673)=0,COUNTA(Q793:Q1673)=0),"""",OR(AND(K793&gt;=1000000000,OR(Y793&gt;=1000000000,COUNTA(Q793:Q1673)=0)),OR(Y793&gt;=1000000000,AND(COUNTA(C793:C1673)=0,P$3=TRUE))),
ROUNDDOWN((AB$1-AC$1)*MAX(INDEX(T$4:T1673,MATCH(LARGE(FILTER(Y$4:Y1673,Y$4"&amp;":Y1673&lt;1000000000),1),Y$4:Y1673)),INDEX(F$4:F1673,MATCH(LARGE(FILTER(K$4:K1673,K$4:K1673&lt;1000000000),1),K$4:K1673)))),AND(K793&lt;1000000000,COUNTA(C793:C1673)&gt;0,P$3=FALSE),
ROUNDDOWN(INDEX(Y$4:Y1673,MATCH(LARGE(FILTER(W$4:W1673,W$4:W1673&lt;=I793),1),W$4:W1673"&amp;"))+(I793-LARGE(FILTER(W$4:W1673,W$4:W1673&lt;=I793),1))*INDEX(T$4:T1673,MATCH(LARGE(FILTER(W$4:W1673,W$4:W1673&lt;=I793),1),W$4:W1673))-K793),1,
ROUNDDOWN(Y793-INDEX(K$4:K1673,MATCH(LARGE(FILTER(I$4:I1673,I$4:I1673&lt;=W793),1),I$4:I1673))-(W793-LARGE(FILTER(I$4:I"&amp;"1673,I$4:I1673&lt;=W793),1))*INDEX(F$4:F1673,MATCH(LARGE(FILTER(I$4:I1673,I$4:I1673&lt;=W793),1),I$4:I1673))))"),"")</f>
        <v/>
      </c>
      <c r="N793" s="60" t="str">
        <f t="shared" si="8"/>
        <v/>
      </c>
      <c r="O793" s="61" t="str">
        <f t="shared" si="9"/>
        <v/>
      </c>
      <c r="P793" s="56" t="str">
        <f t="shared" si="10"/>
        <v/>
      </c>
      <c r="R793" s="10"/>
      <c r="S793" s="59" t="str">
        <f t="array" ref="S793">IF(COUNTA(Q793:Q1673)=0,"",SUM((COUNTIF(Q$4:Q793,Upgrades!$B$3:$B$13)-COUNTIF(Q$4:Q793,"Sell_"&amp;Upgrades!$B$3:$B$13))*Upgrades!$D$3:$D$13))</f>
        <v/>
      </c>
      <c r="T793" s="66" t="str">
        <f>IFERROR(__xludf.DUMMYFUNCTION("IF(COUNTA(Q793:Q1673)=0,"""",IF(REGEXMATCH(INDEX(FILTER(Q$4:Q793,Q$4:Q793&lt;&gt;""""),ROWS(FILTER(Q$4:Q793,Q$4:Q793&lt;&gt;""""))),""^Sell_""),INDEX(FILTER(T$4:T792,Q$4:Q792&lt;&gt;""""),ROWS(FILTER(Q$4:Q792,Q$4:Q792&lt;&gt;""""))),$AD$5+S793))"),"")</f>
        <v/>
      </c>
      <c r="U793" s="10" t="str">
        <f>IFERROR(__xludf.DUMMYFUNCTION("IF(COUNTA(Q793:Q1673)=0,"""",IF(Q793="""",0,IF(REGEXMATCH(Q793,""^Sell_""),-ROUNDDOWN(ROUNDUP(INDEX(Upgrades!$C$3:$C$13,MATCH(SUBSTITUTE(Q793,""Sell_"",""""),Upgrades!$B$3:$B$13,0))*1.15^(COUNTIF(Q$4:Q792,SUBSTITUTE(Q793,""Sell_"",""""))-COUNTIF(Q$4:Q792,"&amp;"""Sell_""&amp;SUBSTITUTE(Q793,""Sell_"",""""))))/2),ROUNDUP(INDEX(Upgrades!$C$3:$C$13,MATCH(Q793,Upgrades!$B$3:$B$13,0))*1.15^(COUNTIF(Q$4:Q792,Q793)-COUNTIF(Q$4:Q792,""Sell_""&amp;Q793))))))"),"")</f>
        <v/>
      </c>
      <c r="V793" s="10" t="str">
        <f t="shared" si="11"/>
        <v/>
      </c>
      <c r="W793" s="68" t="str">
        <f t="shared" si="12"/>
        <v/>
      </c>
      <c r="X793" s="59" t="str">
        <f t="shared" si="13"/>
        <v/>
      </c>
      <c r="Y793" s="69" t="str">
        <f t="shared" si="14"/>
        <v/>
      </c>
      <c r="Z793" s="11"/>
    </row>
    <row r="794">
      <c r="A794" s="8"/>
      <c r="B794" s="56" t="str">
        <f t="shared" si="2"/>
        <v/>
      </c>
      <c r="C794" s="105"/>
      <c r="D794" s="10"/>
      <c r="E794" s="59" t="str">
        <f t="array" ref="E794">IF(COUNTA(C794:C1673)=0,"",SUM((COUNTIF(C$4:C794,Upgrades!$B$3:$B$13)-COUNTIF(C$4:C794,"Sell_"&amp;Upgrades!$B$3:$B$13))*Upgrades!$D$3:$D$13))</f>
        <v/>
      </c>
      <c r="F794" s="66" t="str">
        <f>IFERROR(__xludf.DUMMYFUNCTION("IF(COUNTA(C794:C1673)=0,"""",IF(REGEXMATCH(INDEX(FILTER(C$4:C794,C$4:C794&lt;&gt;""""),ROWS(FILTER(C$4:C794,C$4:C794&lt;&gt;""""))),""^Sell_""),INDEX(FILTER(F$4:F793,C$4:C793&lt;&gt;""""),ROWS(FILTER(C$4:C793,C$4:C793&lt;&gt;""""))),$AC$5+E794))"),"")</f>
        <v/>
      </c>
      <c r="G794" s="10" t="str">
        <f>IFERROR(__xludf.DUMMYFUNCTION("IF(COUNTA(C794:C1673)=0,"""",IF(C794="""",0,IF(REGEXMATCH(C794,""^Sell_""),-ROUNDDOWN(ROUNDUP(INDEX(Upgrades!$C$3:$C$13,MATCH(SUBSTITUTE(C794,""Sell_"",""""),Upgrades!$B$3:$B$13,0))*1.15^(COUNTIF(C$4:C793,SUBSTITUTE(C794,""Sell_"",""""))-COUNTIF(C$4:C793,"&amp;"""Sell_""&amp;SUBSTITUTE(C794,""Sell_"",""""))))/2),ROUNDUP(INDEX(Upgrades!$C$3:$C$13,MATCH(C794,Upgrades!$B$3:$B$13,0))*1.15^(COUNTIF(C$4:C793,C794)-COUNTIF(C$4:C793,""Sell_""&amp;C794))))))"),"")</f>
        <v/>
      </c>
      <c r="H794" s="10" t="str">
        <f t="shared" si="3"/>
        <v/>
      </c>
      <c r="I794" s="68" t="str">
        <f t="shared" si="4"/>
        <v/>
      </c>
      <c r="J794" s="59" t="str">
        <f t="shared" si="5"/>
        <v/>
      </c>
      <c r="K794" s="69" t="str">
        <f t="shared" si="6"/>
        <v/>
      </c>
      <c r="L794" s="60" t="str">
        <f t="shared" si="7"/>
        <v/>
      </c>
      <c r="M794" s="61" t="str">
        <f>IFERROR(__xludf.DUMMYFUNCTION("IFS(AND(COUNTA(C794:C1673)=0,COUNTA(Q794:Q1673)=0),"""",OR(AND(K794&gt;=1000000000,OR(Y794&gt;=1000000000,COUNTA(Q794:Q1673)=0)),OR(Y794&gt;=1000000000,AND(COUNTA(C794:C1673)=0,P$3=TRUE))),
ROUNDDOWN((AB$1-AC$1)*MAX(INDEX(T$4:T1673,MATCH(LARGE(FILTER(Y$4:Y1673,Y$4"&amp;":Y1673&lt;1000000000),1),Y$4:Y1673)),INDEX(F$4:F1673,MATCH(LARGE(FILTER(K$4:K1673,K$4:K1673&lt;1000000000),1),K$4:K1673)))),AND(K794&lt;1000000000,COUNTA(C794:C1673)&gt;0,P$3=FALSE),
ROUNDDOWN(INDEX(Y$4:Y1673,MATCH(LARGE(FILTER(W$4:W1673,W$4:W1673&lt;=I794),1),W$4:W1673"&amp;"))+(I794-LARGE(FILTER(W$4:W1673,W$4:W1673&lt;=I794),1))*INDEX(T$4:T1673,MATCH(LARGE(FILTER(W$4:W1673,W$4:W1673&lt;=I794),1),W$4:W1673))-K794),1,
ROUNDDOWN(Y794-INDEX(K$4:K1673,MATCH(LARGE(FILTER(I$4:I1673,I$4:I1673&lt;=W794),1),I$4:I1673))-(W794-LARGE(FILTER(I$4:I"&amp;"1673,I$4:I1673&lt;=W794),1))*INDEX(F$4:F1673,MATCH(LARGE(FILTER(I$4:I1673,I$4:I1673&lt;=W794),1),I$4:I1673))))"),"")</f>
        <v/>
      </c>
      <c r="N794" s="60" t="str">
        <f t="shared" si="8"/>
        <v/>
      </c>
      <c r="O794" s="61" t="str">
        <f t="shared" si="9"/>
        <v/>
      </c>
      <c r="P794" s="56" t="str">
        <f t="shared" si="10"/>
        <v/>
      </c>
      <c r="R794" s="10"/>
      <c r="S794" s="59" t="str">
        <f t="array" ref="S794">IF(COUNTA(Q794:Q1673)=0,"",SUM((COUNTIF(Q$4:Q794,Upgrades!$B$3:$B$13)-COUNTIF(Q$4:Q794,"Sell_"&amp;Upgrades!$B$3:$B$13))*Upgrades!$D$3:$D$13))</f>
        <v/>
      </c>
      <c r="T794" s="66" t="str">
        <f>IFERROR(__xludf.DUMMYFUNCTION("IF(COUNTA(Q794:Q1673)=0,"""",IF(REGEXMATCH(INDEX(FILTER(Q$4:Q794,Q$4:Q794&lt;&gt;""""),ROWS(FILTER(Q$4:Q794,Q$4:Q794&lt;&gt;""""))),""^Sell_""),INDEX(FILTER(T$4:T793,Q$4:Q793&lt;&gt;""""),ROWS(FILTER(Q$4:Q793,Q$4:Q793&lt;&gt;""""))),$AD$5+S794))"),"")</f>
        <v/>
      </c>
      <c r="U794" s="10" t="str">
        <f>IFERROR(__xludf.DUMMYFUNCTION("IF(COUNTA(Q794:Q1673)=0,"""",IF(Q794="""",0,IF(REGEXMATCH(Q794,""^Sell_""),-ROUNDDOWN(ROUNDUP(INDEX(Upgrades!$C$3:$C$13,MATCH(SUBSTITUTE(Q794,""Sell_"",""""),Upgrades!$B$3:$B$13,0))*1.15^(COUNTIF(Q$4:Q793,SUBSTITUTE(Q794,""Sell_"",""""))-COUNTIF(Q$4:Q793,"&amp;"""Sell_""&amp;SUBSTITUTE(Q794,""Sell_"",""""))))/2),ROUNDUP(INDEX(Upgrades!$C$3:$C$13,MATCH(Q794,Upgrades!$B$3:$B$13,0))*1.15^(COUNTIF(Q$4:Q793,Q794)-COUNTIF(Q$4:Q793,""Sell_""&amp;Q794))))))"),"")</f>
        <v/>
      </c>
      <c r="V794" s="10" t="str">
        <f t="shared" si="11"/>
        <v/>
      </c>
      <c r="W794" s="68" t="str">
        <f t="shared" si="12"/>
        <v/>
      </c>
      <c r="X794" s="59" t="str">
        <f t="shared" si="13"/>
        <v/>
      </c>
      <c r="Y794" s="69" t="str">
        <f t="shared" si="14"/>
        <v/>
      </c>
      <c r="Z794" s="11"/>
    </row>
    <row r="795">
      <c r="A795" s="8"/>
      <c r="B795" s="56" t="str">
        <f t="shared" si="2"/>
        <v/>
      </c>
      <c r="C795" s="105"/>
      <c r="D795" s="10"/>
      <c r="E795" s="59" t="str">
        <f t="array" ref="E795">IF(COUNTA(C795:C1673)=0,"",SUM((COUNTIF(C$4:C795,Upgrades!$B$3:$B$13)-COUNTIF(C$4:C795,"Sell_"&amp;Upgrades!$B$3:$B$13))*Upgrades!$D$3:$D$13))</f>
        <v/>
      </c>
      <c r="F795" s="66" t="str">
        <f>IFERROR(__xludf.DUMMYFUNCTION("IF(COUNTA(C795:C1673)=0,"""",IF(REGEXMATCH(INDEX(FILTER(C$4:C795,C$4:C795&lt;&gt;""""),ROWS(FILTER(C$4:C795,C$4:C795&lt;&gt;""""))),""^Sell_""),INDEX(FILTER(F$4:F794,C$4:C794&lt;&gt;""""),ROWS(FILTER(C$4:C794,C$4:C794&lt;&gt;""""))),$AC$5+E795))"),"")</f>
        <v/>
      </c>
      <c r="G795" s="10" t="str">
        <f>IFERROR(__xludf.DUMMYFUNCTION("IF(COUNTA(C795:C1673)=0,"""",IF(C795="""",0,IF(REGEXMATCH(C795,""^Sell_""),-ROUNDDOWN(ROUNDUP(INDEX(Upgrades!$C$3:$C$13,MATCH(SUBSTITUTE(C795,""Sell_"",""""),Upgrades!$B$3:$B$13,0))*1.15^(COUNTIF(C$4:C794,SUBSTITUTE(C795,""Sell_"",""""))-COUNTIF(C$4:C794,"&amp;"""Sell_""&amp;SUBSTITUTE(C795,""Sell_"",""""))))/2),ROUNDUP(INDEX(Upgrades!$C$3:$C$13,MATCH(C795,Upgrades!$B$3:$B$13,0))*1.15^(COUNTIF(C$4:C794,C795)-COUNTIF(C$4:C794,""Sell_""&amp;C795))))))"),"")</f>
        <v/>
      </c>
      <c r="H795" s="10" t="str">
        <f t="shared" si="3"/>
        <v/>
      </c>
      <c r="I795" s="68" t="str">
        <f t="shared" si="4"/>
        <v/>
      </c>
      <c r="J795" s="59" t="str">
        <f t="shared" si="5"/>
        <v/>
      </c>
      <c r="K795" s="69" t="str">
        <f t="shared" si="6"/>
        <v/>
      </c>
      <c r="L795" s="60" t="str">
        <f t="shared" si="7"/>
        <v/>
      </c>
      <c r="M795" s="61" t="str">
        <f>IFERROR(__xludf.DUMMYFUNCTION("IFS(AND(COUNTA(C795:C1673)=0,COUNTA(Q795:Q1673)=0),"""",OR(AND(K795&gt;=1000000000,OR(Y795&gt;=1000000000,COUNTA(Q795:Q1673)=0)),OR(Y795&gt;=1000000000,AND(COUNTA(C795:C1673)=0,P$3=TRUE))),
ROUNDDOWN((AB$1-AC$1)*MAX(INDEX(T$4:T1673,MATCH(LARGE(FILTER(Y$4:Y1673,Y$4"&amp;":Y1673&lt;1000000000),1),Y$4:Y1673)),INDEX(F$4:F1673,MATCH(LARGE(FILTER(K$4:K1673,K$4:K1673&lt;1000000000),1),K$4:K1673)))),AND(K795&lt;1000000000,COUNTA(C795:C1673)&gt;0,P$3=FALSE),
ROUNDDOWN(INDEX(Y$4:Y1673,MATCH(LARGE(FILTER(W$4:W1673,W$4:W1673&lt;=I795),1),W$4:W1673"&amp;"))+(I795-LARGE(FILTER(W$4:W1673,W$4:W1673&lt;=I795),1))*INDEX(T$4:T1673,MATCH(LARGE(FILTER(W$4:W1673,W$4:W1673&lt;=I795),1),W$4:W1673))-K795),1,
ROUNDDOWN(Y795-INDEX(K$4:K1673,MATCH(LARGE(FILTER(I$4:I1673,I$4:I1673&lt;=W795),1),I$4:I1673))-(W795-LARGE(FILTER(I$4:I"&amp;"1673,I$4:I1673&lt;=W795),1))*INDEX(F$4:F1673,MATCH(LARGE(FILTER(I$4:I1673,I$4:I1673&lt;=W795),1),I$4:I1673))))"),"")</f>
        <v/>
      </c>
      <c r="N795" s="60" t="str">
        <f t="shared" si="8"/>
        <v/>
      </c>
      <c r="O795" s="61" t="str">
        <f t="shared" si="9"/>
        <v/>
      </c>
      <c r="P795" s="56" t="str">
        <f t="shared" si="10"/>
        <v/>
      </c>
      <c r="R795" s="10"/>
      <c r="S795" s="59" t="str">
        <f t="array" ref="S795">IF(COUNTA(Q795:Q1673)=0,"",SUM((COUNTIF(Q$4:Q795,Upgrades!$B$3:$B$13)-COUNTIF(Q$4:Q795,"Sell_"&amp;Upgrades!$B$3:$B$13))*Upgrades!$D$3:$D$13))</f>
        <v/>
      </c>
      <c r="T795" s="66" t="str">
        <f>IFERROR(__xludf.DUMMYFUNCTION("IF(COUNTA(Q795:Q1673)=0,"""",IF(REGEXMATCH(INDEX(FILTER(Q$4:Q795,Q$4:Q795&lt;&gt;""""),ROWS(FILTER(Q$4:Q795,Q$4:Q795&lt;&gt;""""))),""^Sell_""),INDEX(FILTER(T$4:T794,Q$4:Q794&lt;&gt;""""),ROWS(FILTER(Q$4:Q794,Q$4:Q794&lt;&gt;""""))),$AD$5+S795))"),"")</f>
        <v/>
      </c>
      <c r="U795" s="10" t="str">
        <f>IFERROR(__xludf.DUMMYFUNCTION("IF(COUNTA(Q795:Q1673)=0,"""",IF(Q795="""",0,IF(REGEXMATCH(Q795,""^Sell_""),-ROUNDDOWN(ROUNDUP(INDEX(Upgrades!$C$3:$C$13,MATCH(SUBSTITUTE(Q795,""Sell_"",""""),Upgrades!$B$3:$B$13,0))*1.15^(COUNTIF(Q$4:Q794,SUBSTITUTE(Q795,""Sell_"",""""))-COUNTIF(Q$4:Q794,"&amp;"""Sell_""&amp;SUBSTITUTE(Q795,""Sell_"",""""))))/2),ROUNDUP(INDEX(Upgrades!$C$3:$C$13,MATCH(Q795,Upgrades!$B$3:$B$13,0))*1.15^(COUNTIF(Q$4:Q794,Q795)-COUNTIF(Q$4:Q794,""Sell_""&amp;Q795))))))"),"")</f>
        <v/>
      </c>
      <c r="V795" s="10" t="str">
        <f t="shared" si="11"/>
        <v/>
      </c>
      <c r="W795" s="68" t="str">
        <f t="shared" si="12"/>
        <v/>
      </c>
      <c r="X795" s="59" t="str">
        <f t="shared" si="13"/>
        <v/>
      </c>
      <c r="Y795" s="69" t="str">
        <f t="shared" si="14"/>
        <v/>
      </c>
      <c r="Z795" s="11"/>
    </row>
    <row r="796">
      <c r="A796" s="8"/>
      <c r="B796" s="56" t="str">
        <f t="shared" si="2"/>
        <v/>
      </c>
      <c r="C796" s="105"/>
      <c r="D796" s="10"/>
      <c r="E796" s="59" t="str">
        <f t="array" ref="E796">IF(COUNTA(C796:C1673)=0,"",SUM((COUNTIF(C$4:C796,Upgrades!$B$3:$B$13)-COUNTIF(C$4:C796,"Sell_"&amp;Upgrades!$B$3:$B$13))*Upgrades!$D$3:$D$13))</f>
        <v/>
      </c>
      <c r="F796" s="66" t="str">
        <f>IFERROR(__xludf.DUMMYFUNCTION("IF(COUNTA(C796:C1673)=0,"""",IF(REGEXMATCH(INDEX(FILTER(C$4:C796,C$4:C796&lt;&gt;""""),ROWS(FILTER(C$4:C796,C$4:C796&lt;&gt;""""))),""^Sell_""),INDEX(FILTER(F$4:F795,C$4:C795&lt;&gt;""""),ROWS(FILTER(C$4:C795,C$4:C795&lt;&gt;""""))),$AC$5+E796))"),"")</f>
        <v/>
      </c>
      <c r="G796" s="10" t="str">
        <f>IFERROR(__xludf.DUMMYFUNCTION("IF(COUNTA(C796:C1673)=0,"""",IF(C796="""",0,IF(REGEXMATCH(C796,""^Sell_""),-ROUNDDOWN(ROUNDUP(INDEX(Upgrades!$C$3:$C$13,MATCH(SUBSTITUTE(C796,""Sell_"",""""),Upgrades!$B$3:$B$13,0))*1.15^(COUNTIF(C$4:C795,SUBSTITUTE(C796,""Sell_"",""""))-COUNTIF(C$4:C795,"&amp;"""Sell_""&amp;SUBSTITUTE(C796,""Sell_"",""""))))/2),ROUNDUP(INDEX(Upgrades!$C$3:$C$13,MATCH(C796,Upgrades!$B$3:$B$13,0))*1.15^(COUNTIF(C$4:C795,C796)-COUNTIF(C$4:C795,""Sell_""&amp;C796))))))"),"")</f>
        <v/>
      </c>
      <c r="H796" s="10" t="str">
        <f t="shared" si="3"/>
        <v/>
      </c>
      <c r="I796" s="68" t="str">
        <f t="shared" si="4"/>
        <v/>
      </c>
      <c r="J796" s="59" t="str">
        <f t="shared" si="5"/>
        <v/>
      </c>
      <c r="K796" s="69" t="str">
        <f t="shared" si="6"/>
        <v/>
      </c>
      <c r="L796" s="60" t="str">
        <f t="shared" si="7"/>
        <v/>
      </c>
      <c r="M796" s="61" t="str">
        <f>IFERROR(__xludf.DUMMYFUNCTION("IFS(AND(COUNTA(C796:C1673)=0,COUNTA(Q796:Q1673)=0),"""",OR(AND(K796&gt;=1000000000,OR(Y796&gt;=1000000000,COUNTA(Q796:Q1673)=0)),OR(Y796&gt;=1000000000,AND(COUNTA(C796:C1673)=0,P$3=TRUE))),
ROUNDDOWN((AB$1-AC$1)*MAX(INDEX(T$4:T1673,MATCH(LARGE(FILTER(Y$4:Y1673,Y$4"&amp;":Y1673&lt;1000000000),1),Y$4:Y1673)),INDEX(F$4:F1673,MATCH(LARGE(FILTER(K$4:K1673,K$4:K1673&lt;1000000000),1),K$4:K1673)))),AND(K796&lt;1000000000,COUNTA(C796:C1673)&gt;0,P$3=FALSE),
ROUNDDOWN(INDEX(Y$4:Y1673,MATCH(LARGE(FILTER(W$4:W1673,W$4:W1673&lt;=I796),1),W$4:W1673"&amp;"))+(I796-LARGE(FILTER(W$4:W1673,W$4:W1673&lt;=I796),1))*INDEX(T$4:T1673,MATCH(LARGE(FILTER(W$4:W1673,W$4:W1673&lt;=I796),1),W$4:W1673))-K796),1,
ROUNDDOWN(Y796-INDEX(K$4:K1673,MATCH(LARGE(FILTER(I$4:I1673,I$4:I1673&lt;=W796),1),I$4:I1673))-(W796-LARGE(FILTER(I$4:I"&amp;"1673,I$4:I1673&lt;=W796),1))*INDEX(F$4:F1673,MATCH(LARGE(FILTER(I$4:I1673,I$4:I1673&lt;=W796),1),I$4:I1673))))"),"")</f>
        <v/>
      </c>
      <c r="N796" s="60" t="str">
        <f t="shared" si="8"/>
        <v/>
      </c>
      <c r="O796" s="61" t="str">
        <f t="shared" si="9"/>
        <v/>
      </c>
      <c r="P796" s="56" t="str">
        <f t="shared" si="10"/>
        <v/>
      </c>
      <c r="R796" s="10"/>
      <c r="S796" s="59" t="str">
        <f t="array" ref="S796">IF(COUNTA(Q796:Q1673)=0,"",SUM((COUNTIF(Q$4:Q796,Upgrades!$B$3:$B$13)-COUNTIF(Q$4:Q796,"Sell_"&amp;Upgrades!$B$3:$B$13))*Upgrades!$D$3:$D$13))</f>
        <v/>
      </c>
      <c r="T796" s="66" t="str">
        <f>IFERROR(__xludf.DUMMYFUNCTION("IF(COUNTA(Q796:Q1673)=0,"""",IF(REGEXMATCH(INDEX(FILTER(Q$4:Q796,Q$4:Q796&lt;&gt;""""),ROWS(FILTER(Q$4:Q796,Q$4:Q796&lt;&gt;""""))),""^Sell_""),INDEX(FILTER(T$4:T795,Q$4:Q795&lt;&gt;""""),ROWS(FILTER(Q$4:Q795,Q$4:Q795&lt;&gt;""""))),$AD$5+S796))"),"")</f>
        <v/>
      </c>
      <c r="U796" s="10" t="str">
        <f>IFERROR(__xludf.DUMMYFUNCTION("IF(COUNTA(Q796:Q1673)=0,"""",IF(Q796="""",0,IF(REGEXMATCH(Q796,""^Sell_""),-ROUNDDOWN(ROUNDUP(INDEX(Upgrades!$C$3:$C$13,MATCH(SUBSTITUTE(Q796,""Sell_"",""""),Upgrades!$B$3:$B$13,0))*1.15^(COUNTIF(Q$4:Q795,SUBSTITUTE(Q796,""Sell_"",""""))-COUNTIF(Q$4:Q795,"&amp;"""Sell_""&amp;SUBSTITUTE(Q796,""Sell_"",""""))))/2),ROUNDUP(INDEX(Upgrades!$C$3:$C$13,MATCH(Q796,Upgrades!$B$3:$B$13,0))*1.15^(COUNTIF(Q$4:Q795,Q796)-COUNTIF(Q$4:Q795,""Sell_""&amp;Q796))))))"),"")</f>
        <v/>
      </c>
      <c r="V796" s="10" t="str">
        <f t="shared" si="11"/>
        <v/>
      </c>
      <c r="W796" s="68" t="str">
        <f t="shared" si="12"/>
        <v/>
      </c>
      <c r="X796" s="59" t="str">
        <f t="shared" si="13"/>
        <v/>
      </c>
      <c r="Y796" s="69" t="str">
        <f t="shared" si="14"/>
        <v/>
      </c>
      <c r="Z796" s="11"/>
    </row>
    <row r="797">
      <c r="A797" s="8"/>
      <c r="B797" s="56" t="str">
        <f t="shared" si="2"/>
        <v/>
      </c>
      <c r="C797" s="105"/>
      <c r="D797" s="10"/>
      <c r="E797" s="59" t="str">
        <f t="array" ref="E797">IF(COUNTA(C797:C1673)=0,"",SUM((COUNTIF(C$4:C797,Upgrades!$B$3:$B$13)-COUNTIF(C$4:C797,"Sell_"&amp;Upgrades!$B$3:$B$13))*Upgrades!$D$3:$D$13))</f>
        <v/>
      </c>
      <c r="F797" s="66" t="str">
        <f>IFERROR(__xludf.DUMMYFUNCTION("IF(COUNTA(C797:C1673)=0,"""",IF(REGEXMATCH(INDEX(FILTER(C$4:C797,C$4:C797&lt;&gt;""""),ROWS(FILTER(C$4:C797,C$4:C797&lt;&gt;""""))),""^Sell_""),INDEX(FILTER(F$4:F796,C$4:C796&lt;&gt;""""),ROWS(FILTER(C$4:C796,C$4:C796&lt;&gt;""""))),$AC$5+E797))"),"")</f>
        <v/>
      </c>
      <c r="G797" s="10" t="str">
        <f>IFERROR(__xludf.DUMMYFUNCTION("IF(COUNTA(C797:C1673)=0,"""",IF(C797="""",0,IF(REGEXMATCH(C797,""^Sell_""),-ROUNDDOWN(ROUNDUP(INDEX(Upgrades!$C$3:$C$13,MATCH(SUBSTITUTE(C797,""Sell_"",""""),Upgrades!$B$3:$B$13,0))*1.15^(COUNTIF(C$4:C796,SUBSTITUTE(C797,""Sell_"",""""))-COUNTIF(C$4:C796,"&amp;"""Sell_""&amp;SUBSTITUTE(C797,""Sell_"",""""))))/2),ROUNDUP(INDEX(Upgrades!$C$3:$C$13,MATCH(C797,Upgrades!$B$3:$B$13,0))*1.15^(COUNTIF(C$4:C796,C797)-COUNTIF(C$4:C796,""Sell_""&amp;C797))))))"),"")</f>
        <v/>
      </c>
      <c r="H797" s="10" t="str">
        <f t="shared" si="3"/>
        <v/>
      </c>
      <c r="I797" s="68" t="str">
        <f t="shared" si="4"/>
        <v/>
      </c>
      <c r="J797" s="59" t="str">
        <f t="shared" si="5"/>
        <v/>
      </c>
      <c r="K797" s="69" t="str">
        <f t="shared" si="6"/>
        <v/>
      </c>
      <c r="L797" s="60" t="str">
        <f t="shared" si="7"/>
        <v/>
      </c>
      <c r="M797" s="61" t="str">
        <f>IFERROR(__xludf.DUMMYFUNCTION("IFS(AND(COUNTA(C797:C1673)=0,COUNTA(Q797:Q1673)=0),"""",OR(AND(K797&gt;=1000000000,OR(Y797&gt;=1000000000,COUNTA(Q797:Q1673)=0)),OR(Y797&gt;=1000000000,AND(COUNTA(C797:C1673)=0,P$3=TRUE))),
ROUNDDOWN((AB$1-AC$1)*MAX(INDEX(T$4:T1673,MATCH(LARGE(FILTER(Y$4:Y1673,Y$4"&amp;":Y1673&lt;1000000000),1),Y$4:Y1673)),INDEX(F$4:F1673,MATCH(LARGE(FILTER(K$4:K1673,K$4:K1673&lt;1000000000),1),K$4:K1673)))),AND(K797&lt;1000000000,COUNTA(C797:C1673)&gt;0,P$3=FALSE),
ROUNDDOWN(INDEX(Y$4:Y1673,MATCH(LARGE(FILTER(W$4:W1673,W$4:W1673&lt;=I797),1),W$4:W1673"&amp;"))+(I797-LARGE(FILTER(W$4:W1673,W$4:W1673&lt;=I797),1))*INDEX(T$4:T1673,MATCH(LARGE(FILTER(W$4:W1673,W$4:W1673&lt;=I797),1),W$4:W1673))-K797),1,
ROUNDDOWN(Y797-INDEX(K$4:K1673,MATCH(LARGE(FILTER(I$4:I1673,I$4:I1673&lt;=W797),1),I$4:I1673))-(W797-LARGE(FILTER(I$4:I"&amp;"1673,I$4:I1673&lt;=W797),1))*INDEX(F$4:F1673,MATCH(LARGE(FILTER(I$4:I1673,I$4:I1673&lt;=W797),1),I$4:I1673))))"),"")</f>
        <v/>
      </c>
      <c r="N797" s="60" t="str">
        <f t="shared" si="8"/>
        <v/>
      </c>
      <c r="O797" s="61" t="str">
        <f t="shared" si="9"/>
        <v/>
      </c>
      <c r="P797" s="56" t="str">
        <f t="shared" si="10"/>
        <v/>
      </c>
      <c r="R797" s="10"/>
      <c r="S797" s="59" t="str">
        <f t="array" ref="S797">IF(COUNTA(Q797:Q1673)=0,"",SUM((COUNTIF(Q$4:Q797,Upgrades!$B$3:$B$13)-COUNTIF(Q$4:Q797,"Sell_"&amp;Upgrades!$B$3:$B$13))*Upgrades!$D$3:$D$13))</f>
        <v/>
      </c>
      <c r="T797" s="66" t="str">
        <f>IFERROR(__xludf.DUMMYFUNCTION("IF(COUNTA(Q797:Q1673)=0,"""",IF(REGEXMATCH(INDEX(FILTER(Q$4:Q797,Q$4:Q797&lt;&gt;""""),ROWS(FILTER(Q$4:Q797,Q$4:Q797&lt;&gt;""""))),""^Sell_""),INDEX(FILTER(T$4:T796,Q$4:Q796&lt;&gt;""""),ROWS(FILTER(Q$4:Q796,Q$4:Q796&lt;&gt;""""))),$AD$5+S797))"),"")</f>
        <v/>
      </c>
      <c r="U797" s="10" t="str">
        <f>IFERROR(__xludf.DUMMYFUNCTION("IF(COUNTA(Q797:Q1673)=0,"""",IF(Q797="""",0,IF(REGEXMATCH(Q797,""^Sell_""),-ROUNDDOWN(ROUNDUP(INDEX(Upgrades!$C$3:$C$13,MATCH(SUBSTITUTE(Q797,""Sell_"",""""),Upgrades!$B$3:$B$13,0))*1.15^(COUNTIF(Q$4:Q796,SUBSTITUTE(Q797,""Sell_"",""""))-COUNTIF(Q$4:Q796,"&amp;"""Sell_""&amp;SUBSTITUTE(Q797,""Sell_"",""""))))/2),ROUNDUP(INDEX(Upgrades!$C$3:$C$13,MATCH(Q797,Upgrades!$B$3:$B$13,0))*1.15^(COUNTIF(Q$4:Q796,Q797)-COUNTIF(Q$4:Q796,""Sell_""&amp;Q797))))))"),"")</f>
        <v/>
      </c>
      <c r="V797" s="10" t="str">
        <f t="shared" si="11"/>
        <v/>
      </c>
      <c r="W797" s="68" t="str">
        <f t="shared" si="12"/>
        <v/>
      </c>
      <c r="X797" s="59" t="str">
        <f t="shared" si="13"/>
        <v/>
      </c>
      <c r="Y797" s="69" t="str">
        <f t="shared" si="14"/>
        <v/>
      </c>
      <c r="Z797" s="11"/>
    </row>
    <row r="798">
      <c r="A798" s="8"/>
      <c r="B798" s="56" t="str">
        <f t="shared" si="2"/>
        <v/>
      </c>
      <c r="C798" s="105"/>
      <c r="D798" s="10"/>
      <c r="E798" s="59" t="str">
        <f t="array" ref="E798">IF(COUNTA(C798:C1673)=0,"",SUM((COUNTIF(C$4:C798,Upgrades!$B$3:$B$13)-COUNTIF(C$4:C798,"Sell_"&amp;Upgrades!$B$3:$B$13))*Upgrades!$D$3:$D$13))</f>
        <v/>
      </c>
      <c r="F798" s="66" t="str">
        <f>IFERROR(__xludf.DUMMYFUNCTION("IF(COUNTA(C798:C1673)=0,"""",IF(REGEXMATCH(INDEX(FILTER(C$4:C798,C$4:C798&lt;&gt;""""),ROWS(FILTER(C$4:C798,C$4:C798&lt;&gt;""""))),""^Sell_""),INDEX(FILTER(F$4:F797,C$4:C797&lt;&gt;""""),ROWS(FILTER(C$4:C797,C$4:C797&lt;&gt;""""))),$AC$5+E798))"),"")</f>
        <v/>
      </c>
      <c r="G798" s="10" t="str">
        <f>IFERROR(__xludf.DUMMYFUNCTION("IF(COUNTA(C798:C1673)=0,"""",IF(C798="""",0,IF(REGEXMATCH(C798,""^Sell_""),-ROUNDDOWN(ROUNDUP(INDEX(Upgrades!$C$3:$C$13,MATCH(SUBSTITUTE(C798,""Sell_"",""""),Upgrades!$B$3:$B$13,0))*1.15^(COUNTIF(C$4:C797,SUBSTITUTE(C798,""Sell_"",""""))-COUNTIF(C$4:C797,"&amp;"""Sell_""&amp;SUBSTITUTE(C798,""Sell_"",""""))))/2),ROUNDUP(INDEX(Upgrades!$C$3:$C$13,MATCH(C798,Upgrades!$B$3:$B$13,0))*1.15^(COUNTIF(C$4:C797,C798)-COUNTIF(C$4:C797,""Sell_""&amp;C798))))))"),"")</f>
        <v/>
      </c>
      <c r="H798" s="10" t="str">
        <f t="shared" si="3"/>
        <v/>
      </c>
      <c r="I798" s="68" t="str">
        <f t="shared" si="4"/>
        <v/>
      </c>
      <c r="J798" s="59" t="str">
        <f t="shared" si="5"/>
        <v/>
      </c>
      <c r="K798" s="69" t="str">
        <f t="shared" si="6"/>
        <v/>
      </c>
      <c r="L798" s="60" t="str">
        <f t="shared" si="7"/>
        <v/>
      </c>
      <c r="M798" s="61" t="str">
        <f>IFERROR(__xludf.DUMMYFUNCTION("IFS(AND(COUNTA(C798:C1673)=0,COUNTA(Q798:Q1673)=0),"""",OR(AND(K798&gt;=1000000000,OR(Y798&gt;=1000000000,COUNTA(Q798:Q1673)=0)),OR(Y798&gt;=1000000000,AND(COUNTA(C798:C1673)=0,P$3=TRUE))),
ROUNDDOWN((AB$1-AC$1)*MAX(INDEX(T$4:T1673,MATCH(LARGE(FILTER(Y$4:Y1673,Y$4"&amp;":Y1673&lt;1000000000),1),Y$4:Y1673)),INDEX(F$4:F1673,MATCH(LARGE(FILTER(K$4:K1673,K$4:K1673&lt;1000000000),1),K$4:K1673)))),AND(K798&lt;1000000000,COUNTA(C798:C1673)&gt;0,P$3=FALSE),
ROUNDDOWN(INDEX(Y$4:Y1673,MATCH(LARGE(FILTER(W$4:W1673,W$4:W1673&lt;=I798),1),W$4:W1673"&amp;"))+(I798-LARGE(FILTER(W$4:W1673,W$4:W1673&lt;=I798),1))*INDEX(T$4:T1673,MATCH(LARGE(FILTER(W$4:W1673,W$4:W1673&lt;=I798),1),W$4:W1673))-K798),1,
ROUNDDOWN(Y798-INDEX(K$4:K1673,MATCH(LARGE(FILTER(I$4:I1673,I$4:I1673&lt;=W798),1),I$4:I1673))-(W798-LARGE(FILTER(I$4:I"&amp;"1673,I$4:I1673&lt;=W798),1))*INDEX(F$4:F1673,MATCH(LARGE(FILTER(I$4:I1673,I$4:I1673&lt;=W798),1),I$4:I1673))))"),"")</f>
        <v/>
      </c>
      <c r="N798" s="60" t="str">
        <f t="shared" si="8"/>
        <v/>
      </c>
      <c r="O798" s="61" t="str">
        <f t="shared" si="9"/>
        <v/>
      </c>
      <c r="P798" s="56" t="str">
        <f t="shared" si="10"/>
        <v/>
      </c>
      <c r="R798" s="10"/>
      <c r="S798" s="59" t="str">
        <f t="array" ref="S798">IF(COUNTA(Q798:Q1673)=0,"",SUM((COUNTIF(Q$4:Q798,Upgrades!$B$3:$B$13)-COUNTIF(Q$4:Q798,"Sell_"&amp;Upgrades!$B$3:$B$13))*Upgrades!$D$3:$D$13))</f>
        <v/>
      </c>
      <c r="T798" s="66" t="str">
        <f>IFERROR(__xludf.DUMMYFUNCTION("IF(COUNTA(Q798:Q1673)=0,"""",IF(REGEXMATCH(INDEX(FILTER(Q$4:Q798,Q$4:Q798&lt;&gt;""""),ROWS(FILTER(Q$4:Q798,Q$4:Q798&lt;&gt;""""))),""^Sell_""),INDEX(FILTER(T$4:T797,Q$4:Q797&lt;&gt;""""),ROWS(FILTER(Q$4:Q797,Q$4:Q797&lt;&gt;""""))),$AD$5+S798))"),"")</f>
        <v/>
      </c>
      <c r="U798" s="10" t="str">
        <f>IFERROR(__xludf.DUMMYFUNCTION("IF(COUNTA(Q798:Q1673)=0,"""",IF(Q798="""",0,IF(REGEXMATCH(Q798,""^Sell_""),-ROUNDDOWN(ROUNDUP(INDEX(Upgrades!$C$3:$C$13,MATCH(SUBSTITUTE(Q798,""Sell_"",""""),Upgrades!$B$3:$B$13,0))*1.15^(COUNTIF(Q$4:Q797,SUBSTITUTE(Q798,""Sell_"",""""))-COUNTIF(Q$4:Q797,"&amp;"""Sell_""&amp;SUBSTITUTE(Q798,""Sell_"",""""))))/2),ROUNDUP(INDEX(Upgrades!$C$3:$C$13,MATCH(Q798,Upgrades!$B$3:$B$13,0))*1.15^(COUNTIF(Q$4:Q797,Q798)-COUNTIF(Q$4:Q797,""Sell_""&amp;Q798))))))"),"")</f>
        <v/>
      </c>
      <c r="V798" s="10" t="str">
        <f t="shared" si="11"/>
        <v/>
      </c>
      <c r="W798" s="68" t="str">
        <f t="shared" si="12"/>
        <v/>
      </c>
      <c r="X798" s="59" t="str">
        <f t="shared" si="13"/>
        <v/>
      </c>
      <c r="Y798" s="69" t="str">
        <f t="shared" si="14"/>
        <v/>
      </c>
      <c r="Z798" s="11"/>
    </row>
    <row r="799">
      <c r="A799" s="8"/>
      <c r="B799" s="56" t="str">
        <f t="shared" si="2"/>
        <v/>
      </c>
      <c r="C799" s="105"/>
      <c r="D799" s="10"/>
      <c r="E799" s="59" t="str">
        <f t="array" ref="E799">IF(COUNTA(C799:C1673)=0,"",SUM((COUNTIF(C$4:C799,Upgrades!$B$3:$B$13)-COUNTIF(C$4:C799,"Sell_"&amp;Upgrades!$B$3:$B$13))*Upgrades!$D$3:$D$13))</f>
        <v/>
      </c>
      <c r="F799" s="66" t="str">
        <f>IFERROR(__xludf.DUMMYFUNCTION("IF(COUNTA(C799:C1673)=0,"""",IF(REGEXMATCH(INDEX(FILTER(C$4:C799,C$4:C799&lt;&gt;""""),ROWS(FILTER(C$4:C799,C$4:C799&lt;&gt;""""))),""^Sell_""),INDEX(FILTER(F$4:F798,C$4:C798&lt;&gt;""""),ROWS(FILTER(C$4:C798,C$4:C798&lt;&gt;""""))),$AC$5+E799))"),"")</f>
        <v/>
      </c>
      <c r="G799" s="10" t="str">
        <f>IFERROR(__xludf.DUMMYFUNCTION("IF(COUNTA(C799:C1673)=0,"""",IF(C799="""",0,IF(REGEXMATCH(C799,""^Sell_""),-ROUNDDOWN(ROUNDUP(INDEX(Upgrades!$C$3:$C$13,MATCH(SUBSTITUTE(C799,""Sell_"",""""),Upgrades!$B$3:$B$13,0))*1.15^(COUNTIF(C$4:C798,SUBSTITUTE(C799,""Sell_"",""""))-COUNTIF(C$4:C798,"&amp;"""Sell_""&amp;SUBSTITUTE(C799,""Sell_"",""""))))/2),ROUNDUP(INDEX(Upgrades!$C$3:$C$13,MATCH(C799,Upgrades!$B$3:$B$13,0))*1.15^(COUNTIF(C$4:C798,C799)-COUNTIF(C$4:C798,""Sell_""&amp;C799))))))"),"")</f>
        <v/>
      </c>
      <c r="H799" s="10" t="str">
        <f t="shared" si="3"/>
        <v/>
      </c>
      <c r="I799" s="68" t="str">
        <f t="shared" si="4"/>
        <v/>
      </c>
      <c r="J799" s="59" t="str">
        <f t="shared" si="5"/>
        <v/>
      </c>
      <c r="K799" s="69" t="str">
        <f t="shared" si="6"/>
        <v/>
      </c>
      <c r="L799" s="60" t="str">
        <f t="shared" si="7"/>
        <v/>
      </c>
      <c r="M799" s="61" t="str">
        <f>IFERROR(__xludf.DUMMYFUNCTION("IFS(AND(COUNTA(C799:C1673)=0,COUNTA(Q799:Q1673)=0),"""",OR(AND(K799&gt;=1000000000,OR(Y799&gt;=1000000000,COUNTA(Q799:Q1673)=0)),OR(Y799&gt;=1000000000,AND(COUNTA(C799:C1673)=0,P$3=TRUE))),
ROUNDDOWN((AB$1-AC$1)*MAX(INDEX(T$4:T1673,MATCH(LARGE(FILTER(Y$4:Y1673,Y$4"&amp;":Y1673&lt;1000000000),1),Y$4:Y1673)),INDEX(F$4:F1673,MATCH(LARGE(FILTER(K$4:K1673,K$4:K1673&lt;1000000000),1),K$4:K1673)))),AND(K799&lt;1000000000,COUNTA(C799:C1673)&gt;0,P$3=FALSE),
ROUNDDOWN(INDEX(Y$4:Y1673,MATCH(LARGE(FILTER(W$4:W1673,W$4:W1673&lt;=I799),1),W$4:W1673"&amp;"))+(I799-LARGE(FILTER(W$4:W1673,W$4:W1673&lt;=I799),1))*INDEX(T$4:T1673,MATCH(LARGE(FILTER(W$4:W1673,W$4:W1673&lt;=I799),1),W$4:W1673))-K799),1,
ROUNDDOWN(Y799-INDEX(K$4:K1673,MATCH(LARGE(FILTER(I$4:I1673,I$4:I1673&lt;=W799),1),I$4:I1673))-(W799-LARGE(FILTER(I$4:I"&amp;"1673,I$4:I1673&lt;=W799),1))*INDEX(F$4:F1673,MATCH(LARGE(FILTER(I$4:I1673,I$4:I1673&lt;=W799),1),I$4:I1673))))"),"")</f>
        <v/>
      </c>
      <c r="N799" s="60" t="str">
        <f t="shared" si="8"/>
        <v/>
      </c>
      <c r="O799" s="61" t="str">
        <f t="shared" si="9"/>
        <v/>
      </c>
      <c r="P799" s="56" t="str">
        <f t="shared" si="10"/>
        <v/>
      </c>
      <c r="R799" s="10"/>
      <c r="S799" s="59" t="str">
        <f t="array" ref="S799">IF(COUNTA(Q799:Q1673)=0,"",SUM((COUNTIF(Q$4:Q799,Upgrades!$B$3:$B$13)-COUNTIF(Q$4:Q799,"Sell_"&amp;Upgrades!$B$3:$B$13))*Upgrades!$D$3:$D$13))</f>
        <v/>
      </c>
      <c r="T799" s="66" t="str">
        <f>IFERROR(__xludf.DUMMYFUNCTION("IF(COUNTA(Q799:Q1673)=0,"""",IF(REGEXMATCH(INDEX(FILTER(Q$4:Q799,Q$4:Q799&lt;&gt;""""),ROWS(FILTER(Q$4:Q799,Q$4:Q799&lt;&gt;""""))),""^Sell_""),INDEX(FILTER(T$4:T798,Q$4:Q798&lt;&gt;""""),ROWS(FILTER(Q$4:Q798,Q$4:Q798&lt;&gt;""""))),$AD$5+S799))"),"")</f>
        <v/>
      </c>
      <c r="U799" s="10" t="str">
        <f>IFERROR(__xludf.DUMMYFUNCTION("IF(COUNTA(Q799:Q1673)=0,"""",IF(Q799="""",0,IF(REGEXMATCH(Q799,""^Sell_""),-ROUNDDOWN(ROUNDUP(INDEX(Upgrades!$C$3:$C$13,MATCH(SUBSTITUTE(Q799,""Sell_"",""""),Upgrades!$B$3:$B$13,0))*1.15^(COUNTIF(Q$4:Q798,SUBSTITUTE(Q799,""Sell_"",""""))-COUNTIF(Q$4:Q798,"&amp;"""Sell_""&amp;SUBSTITUTE(Q799,""Sell_"",""""))))/2),ROUNDUP(INDEX(Upgrades!$C$3:$C$13,MATCH(Q799,Upgrades!$B$3:$B$13,0))*1.15^(COUNTIF(Q$4:Q798,Q799)-COUNTIF(Q$4:Q798,""Sell_""&amp;Q799))))))"),"")</f>
        <v/>
      </c>
      <c r="V799" s="10" t="str">
        <f t="shared" si="11"/>
        <v/>
      </c>
      <c r="W799" s="68" t="str">
        <f t="shared" si="12"/>
        <v/>
      </c>
      <c r="X799" s="59" t="str">
        <f t="shared" si="13"/>
        <v/>
      </c>
      <c r="Y799" s="69" t="str">
        <f t="shared" si="14"/>
        <v/>
      </c>
      <c r="Z799" s="11"/>
    </row>
    <row r="800">
      <c r="A800" s="8"/>
      <c r="B800" s="56" t="str">
        <f t="shared" si="2"/>
        <v/>
      </c>
      <c r="C800" s="105"/>
      <c r="D800" s="10"/>
      <c r="E800" s="59" t="str">
        <f t="array" ref="E800">IF(COUNTA(C800:C1673)=0,"",SUM((COUNTIF(C$4:C800,Upgrades!$B$3:$B$13)-COUNTIF(C$4:C800,"Sell_"&amp;Upgrades!$B$3:$B$13))*Upgrades!$D$3:$D$13))</f>
        <v/>
      </c>
      <c r="F800" s="66" t="str">
        <f>IFERROR(__xludf.DUMMYFUNCTION("IF(COUNTA(C800:C1673)=0,"""",IF(REGEXMATCH(INDEX(FILTER(C$4:C800,C$4:C800&lt;&gt;""""),ROWS(FILTER(C$4:C800,C$4:C800&lt;&gt;""""))),""^Sell_""),INDEX(FILTER(F$4:F799,C$4:C799&lt;&gt;""""),ROWS(FILTER(C$4:C799,C$4:C799&lt;&gt;""""))),$AC$5+E800))"),"")</f>
        <v/>
      </c>
      <c r="G800" s="10" t="str">
        <f>IFERROR(__xludf.DUMMYFUNCTION("IF(COUNTA(C800:C1673)=0,"""",IF(C800="""",0,IF(REGEXMATCH(C800,""^Sell_""),-ROUNDDOWN(ROUNDUP(INDEX(Upgrades!$C$3:$C$13,MATCH(SUBSTITUTE(C800,""Sell_"",""""),Upgrades!$B$3:$B$13,0))*1.15^(COUNTIF(C$4:C799,SUBSTITUTE(C800,""Sell_"",""""))-COUNTIF(C$4:C799,"&amp;"""Sell_""&amp;SUBSTITUTE(C800,""Sell_"",""""))))/2),ROUNDUP(INDEX(Upgrades!$C$3:$C$13,MATCH(C800,Upgrades!$B$3:$B$13,0))*1.15^(COUNTIF(C$4:C799,C800)-COUNTIF(C$4:C799,""Sell_""&amp;C800))))))"),"")</f>
        <v/>
      </c>
      <c r="H800" s="10" t="str">
        <f t="shared" si="3"/>
        <v/>
      </c>
      <c r="I800" s="68" t="str">
        <f t="shared" si="4"/>
        <v/>
      </c>
      <c r="J800" s="59" t="str">
        <f t="shared" si="5"/>
        <v/>
      </c>
      <c r="K800" s="69" t="str">
        <f t="shared" si="6"/>
        <v/>
      </c>
      <c r="L800" s="60" t="str">
        <f t="shared" si="7"/>
        <v/>
      </c>
      <c r="M800" s="61" t="str">
        <f>IFERROR(__xludf.DUMMYFUNCTION("IFS(AND(COUNTA(C800:C1673)=0,COUNTA(Q800:Q1673)=0),"""",OR(AND(K800&gt;=1000000000,OR(Y800&gt;=1000000000,COUNTA(Q800:Q1673)=0)),OR(Y800&gt;=1000000000,AND(COUNTA(C800:C1673)=0,P$3=TRUE))),
ROUNDDOWN((AB$1-AC$1)*MAX(INDEX(T$4:T1673,MATCH(LARGE(FILTER(Y$4:Y1673,Y$4"&amp;":Y1673&lt;1000000000),1),Y$4:Y1673)),INDEX(F$4:F1673,MATCH(LARGE(FILTER(K$4:K1673,K$4:K1673&lt;1000000000),1),K$4:K1673)))),AND(K800&lt;1000000000,COUNTA(C800:C1673)&gt;0,P$3=FALSE),
ROUNDDOWN(INDEX(Y$4:Y1673,MATCH(LARGE(FILTER(W$4:W1673,W$4:W1673&lt;=I800),1),W$4:W1673"&amp;"))+(I800-LARGE(FILTER(W$4:W1673,W$4:W1673&lt;=I800),1))*INDEX(T$4:T1673,MATCH(LARGE(FILTER(W$4:W1673,W$4:W1673&lt;=I800),1),W$4:W1673))-K800),1,
ROUNDDOWN(Y800-INDEX(K$4:K1673,MATCH(LARGE(FILTER(I$4:I1673,I$4:I1673&lt;=W800),1),I$4:I1673))-(W800-LARGE(FILTER(I$4:I"&amp;"1673,I$4:I1673&lt;=W800),1))*INDEX(F$4:F1673,MATCH(LARGE(FILTER(I$4:I1673,I$4:I1673&lt;=W800),1),I$4:I1673))))"),"")</f>
        <v/>
      </c>
      <c r="N800" s="60" t="str">
        <f t="shared" si="8"/>
        <v/>
      </c>
      <c r="O800" s="61" t="str">
        <f t="shared" si="9"/>
        <v/>
      </c>
      <c r="P800" s="56" t="str">
        <f t="shared" si="10"/>
        <v/>
      </c>
      <c r="R800" s="10"/>
      <c r="S800" s="59" t="str">
        <f t="array" ref="S800">IF(COUNTA(Q800:Q1673)=0,"",SUM((COUNTIF(Q$4:Q800,Upgrades!$B$3:$B$13)-COUNTIF(Q$4:Q800,"Sell_"&amp;Upgrades!$B$3:$B$13))*Upgrades!$D$3:$D$13))</f>
        <v/>
      </c>
      <c r="T800" s="66" t="str">
        <f>IFERROR(__xludf.DUMMYFUNCTION("IF(COUNTA(Q800:Q1673)=0,"""",IF(REGEXMATCH(INDEX(FILTER(Q$4:Q800,Q$4:Q800&lt;&gt;""""),ROWS(FILTER(Q$4:Q800,Q$4:Q800&lt;&gt;""""))),""^Sell_""),INDEX(FILTER(T$4:T799,Q$4:Q799&lt;&gt;""""),ROWS(FILTER(Q$4:Q799,Q$4:Q799&lt;&gt;""""))),$AD$5+S800))"),"")</f>
        <v/>
      </c>
      <c r="U800" s="10" t="str">
        <f>IFERROR(__xludf.DUMMYFUNCTION("IF(COUNTA(Q800:Q1673)=0,"""",IF(Q800="""",0,IF(REGEXMATCH(Q800,""^Sell_""),-ROUNDDOWN(ROUNDUP(INDEX(Upgrades!$C$3:$C$13,MATCH(SUBSTITUTE(Q800,""Sell_"",""""),Upgrades!$B$3:$B$13,0))*1.15^(COUNTIF(Q$4:Q799,SUBSTITUTE(Q800,""Sell_"",""""))-COUNTIF(Q$4:Q799,"&amp;"""Sell_""&amp;SUBSTITUTE(Q800,""Sell_"",""""))))/2),ROUNDUP(INDEX(Upgrades!$C$3:$C$13,MATCH(Q800,Upgrades!$B$3:$B$13,0))*1.15^(COUNTIF(Q$4:Q799,Q800)-COUNTIF(Q$4:Q799,""Sell_""&amp;Q800))))))"),"")</f>
        <v/>
      </c>
      <c r="V800" s="10" t="str">
        <f t="shared" si="11"/>
        <v/>
      </c>
      <c r="W800" s="68" t="str">
        <f t="shared" si="12"/>
        <v/>
      </c>
      <c r="X800" s="59" t="str">
        <f t="shared" si="13"/>
        <v/>
      </c>
      <c r="Y800" s="69" t="str">
        <f t="shared" si="14"/>
        <v/>
      </c>
      <c r="Z800" s="11"/>
    </row>
    <row r="801">
      <c r="A801" s="8"/>
      <c r="B801" s="56" t="str">
        <f t="shared" si="2"/>
        <v/>
      </c>
      <c r="C801" s="105"/>
      <c r="D801" s="10"/>
      <c r="E801" s="59" t="str">
        <f t="array" ref="E801">IF(COUNTA(C801:C1673)=0,"",SUM((COUNTIF(C$4:C801,Upgrades!$B$3:$B$13)-COUNTIF(C$4:C801,"Sell_"&amp;Upgrades!$B$3:$B$13))*Upgrades!$D$3:$D$13))</f>
        <v/>
      </c>
      <c r="F801" s="66" t="str">
        <f>IFERROR(__xludf.DUMMYFUNCTION("IF(COUNTA(C801:C1673)=0,"""",IF(REGEXMATCH(INDEX(FILTER(C$4:C801,C$4:C801&lt;&gt;""""),ROWS(FILTER(C$4:C801,C$4:C801&lt;&gt;""""))),""^Sell_""),INDEX(FILTER(F$4:F800,C$4:C800&lt;&gt;""""),ROWS(FILTER(C$4:C800,C$4:C800&lt;&gt;""""))),$AC$5+E801))"),"")</f>
        <v/>
      </c>
      <c r="G801" s="10" t="str">
        <f>IFERROR(__xludf.DUMMYFUNCTION("IF(COUNTA(C801:C1673)=0,"""",IF(C801="""",0,IF(REGEXMATCH(C801,""^Sell_""),-ROUNDDOWN(ROUNDUP(INDEX(Upgrades!$C$3:$C$13,MATCH(SUBSTITUTE(C801,""Sell_"",""""),Upgrades!$B$3:$B$13,0))*1.15^(COUNTIF(C$4:C800,SUBSTITUTE(C801,""Sell_"",""""))-COUNTIF(C$4:C800,"&amp;"""Sell_""&amp;SUBSTITUTE(C801,""Sell_"",""""))))/2),ROUNDUP(INDEX(Upgrades!$C$3:$C$13,MATCH(C801,Upgrades!$B$3:$B$13,0))*1.15^(COUNTIF(C$4:C800,C801)-COUNTIF(C$4:C800,""Sell_""&amp;C801))))))"),"")</f>
        <v/>
      </c>
      <c r="H801" s="10" t="str">
        <f t="shared" si="3"/>
        <v/>
      </c>
      <c r="I801" s="68" t="str">
        <f t="shared" si="4"/>
        <v/>
      </c>
      <c r="J801" s="59" t="str">
        <f t="shared" si="5"/>
        <v/>
      </c>
      <c r="K801" s="69" t="str">
        <f t="shared" si="6"/>
        <v/>
      </c>
      <c r="L801" s="60" t="str">
        <f t="shared" si="7"/>
        <v/>
      </c>
      <c r="M801" s="61" t="str">
        <f>IFERROR(__xludf.DUMMYFUNCTION("IFS(AND(COUNTA(C801:C1673)=0,COUNTA(Q801:Q1673)=0),"""",OR(AND(K801&gt;=1000000000,OR(Y801&gt;=1000000000,COUNTA(Q801:Q1673)=0)),OR(Y801&gt;=1000000000,AND(COUNTA(C801:C1673)=0,P$3=TRUE))),
ROUNDDOWN((AB$1-AC$1)*MAX(INDEX(T$4:T1673,MATCH(LARGE(FILTER(Y$4:Y1673,Y$4"&amp;":Y1673&lt;1000000000),1),Y$4:Y1673)),INDEX(F$4:F1673,MATCH(LARGE(FILTER(K$4:K1673,K$4:K1673&lt;1000000000),1),K$4:K1673)))),AND(K801&lt;1000000000,COUNTA(C801:C1673)&gt;0,P$3=FALSE),
ROUNDDOWN(INDEX(Y$4:Y1673,MATCH(LARGE(FILTER(W$4:W1673,W$4:W1673&lt;=I801),1),W$4:W1673"&amp;"))+(I801-LARGE(FILTER(W$4:W1673,W$4:W1673&lt;=I801),1))*INDEX(T$4:T1673,MATCH(LARGE(FILTER(W$4:W1673,W$4:W1673&lt;=I801),1),W$4:W1673))-K801),1,
ROUNDDOWN(Y801-INDEX(K$4:K1673,MATCH(LARGE(FILTER(I$4:I1673,I$4:I1673&lt;=W801),1),I$4:I1673))-(W801-LARGE(FILTER(I$4:I"&amp;"1673,I$4:I1673&lt;=W801),1))*INDEX(F$4:F1673,MATCH(LARGE(FILTER(I$4:I1673,I$4:I1673&lt;=W801),1),I$4:I1673))))"),"")</f>
        <v/>
      </c>
      <c r="N801" s="60" t="str">
        <f t="shared" si="8"/>
        <v/>
      </c>
      <c r="O801" s="61" t="str">
        <f t="shared" si="9"/>
        <v/>
      </c>
      <c r="P801" s="56" t="str">
        <f t="shared" si="10"/>
        <v/>
      </c>
      <c r="R801" s="10"/>
      <c r="S801" s="59" t="str">
        <f t="array" ref="S801">IF(COUNTA(Q801:Q1673)=0,"",SUM((COUNTIF(Q$4:Q801,Upgrades!$B$3:$B$13)-COUNTIF(Q$4:Q801,"Sell_"&amp;Upgrades!$B$3:$B$13))*Upgrades!$D$3:$D$13))</f>
        <v/>
      </c>
      <c r="T801" s="66" t="str">
        <f>IFERROR(__xludf.DUMMYFUNCTION("IF(COUNTA(Q801:Q1673)=0,"""",IF(REGEXMATCH(INDEX(FILTER(Q$4:Q801,Q$4:Q801&lt;&gt;""""),ROWS(FILTER(Q$4:Q801,Q$4:Q801&lt;&gt;""""))),""^Sell_""),INDEX(FILTER(T$4:T800,Q$4:Q800&lt;&gt;""""),ROWS(FILTER(Q$4:Q800,Q$4:Q800&lt;&gt;""""))),$AD$5+S801))"),"")</f>
        <v/>
      </c>
      <c r="U801" s="10" t="str">
        <f>IFERROR(__xludf.DUMMYFUNCTION("IF(COUNTA(Q801:Q1673)=0,"""",IF(Q801="""",0,IF(REGEXMATCH(Q801,""^Sell_""),-ROUNDDOWN(ROUNDUP(INDEX(Upgrades!$C$3:$C$13,MATCH(SUBSTITUTE(Q801,""Sell_"",""""),Upgrades!$B$3:$B$13,0))*1.15^(COUNTIF(Q$4:Q800,SUBSTITUTE(Q801,""Sell_"",""""))-COUNTIF(Q$4:Q800,"&amp;"""Sell_""&amp;SUBSTITUTE(Q801,""Sell_"",""""))))/2),ROUNDUP(INDEX(Upgrades!$C$3:$C$13,MATCH(Q801,Upgrades!$B$3:$B$13,0))*1.15^(COUNTIF(Q$4:Q800,Q801)-COUNTIF(Q$4:Q800,""Sell_""&amp;Q801))))))"),"")</f>
        <v/>
      </c>
      <c r="V801" s="10" t="str">
        <f t="shared" si="11"/>
        <v/>
      </c>
      <c r="W801" s="68" t="str">
        <f t="shared" si="12"/>
        <v/>
      </c>
      <c r="X801" s="59" t="str">
        <f t="shared" si="13"/>
        <v/>
      </c>
      <c r="Y801" s="69" t="str">
        <f t="shared" si="14"/>
        <v/>
      </c>
      <c r="Z801" s="11"/>
    </row>
    <row r="802">
      <c r="A802" s="8"/>
      <c r="B802" s="56" t="str">
        <f t="shared" si="2"/>
        <v/>
      </c>
      <c r="C802" s="105"/>
      <c r="D802" s="10"/>
      <c r="E802" s="59" t="str">
        <f t="array" ref="E802">IF(COUNTA(C802:C1673)=0,"",SUM((COUNTIF(C$4:C802,Upgrades!$B$3:$B$13)-COUNTIF(C$4:C802,"Sell_"&amp;Upgrades!$B$3:$B$13))*Upgrades!$D$3:$D$13))</f>
        <v/>
      </c>
      <c r="F802" s="66" t="str">
        <f>IFERROR(__xludf.DUMMYFUNCTION("IF(COUNTA(C802:C1673)=0,"""",IF(REGEXMATCH(INDEX(FILTER(C$4:C802,C$4:C802&lt;&gt;""""),ROWS(FILTER(C$4:C802,C$4:C802&lt;&gt;""""))),""^Sell_""),INDEX(FILTER(F$4:F801,C$4:C801&lt;&gt;""""),ROWS(FILTER(C$4:C801,C$4:C801&lt;&gt;""""))),$AC$5+E802))"),"")</f>
        <v/>
      </c>
      <c r="G802" s="10" t="str">
        <f>IFERROR(__xludf.DUMMYFUNCTION("IF(COUNTA(C802:C1673)=0,"""",IF(C802="""",0,IF(REGEXMATCH(C802,""^Sell_""),-ROUNDDOWN(ROUNDUP(INDEX(Upgrades!$C$3:$C$13,MATCH(SUBSTITUTE(C802,""Sell_"",""""),Upgrades!$B$3:$B$13,0))*1.15^(COUNTIF(C$4:C801,SUBSTITUTE(C802,""Sell_"",""""))-COUNTIF(C$4:C801,"&amp;"""Sell_""&amp;SUBSTITUTE(C802,""Sell_"",""""))))/2),ROUNDUP(INDEX(Upgrades!$C$3:$C$13,MATCH(C802,Upgrades!$B$3:$B$13,0))*1.15^(COUNTIF(C$4:C801,C802)-COUNTIF(C$4:C801,""Sell_""&amp;C802))))))"),"")</f>
        <v/>
      </c>
      <c r="H802" s="10" t="str">
        <f t="shared" si="3"/>
        <v/>
      </c>
      <c r="I802" s="68" t="str">
        <f t="shared" si="4"/>
        <v/>
      </c>
      <c r="J802" s="59" t="str">
        <f t="shared" si="5"/>
        <v/>
      </c>
      <c r="K802" s="69" t="str">
        <f t="shared" si="6"/>
        <v/>
      </c>
      <c r="L802" s="60" t="str">
        <f t="shared" si="7"/>
        <v/>
      </c>
      <c r="M802" s="61" t="str">
        <f>IFERROR(__xludf.DUMMYFUNCTION("IFS(AND(COUNTA(C802:C1673)=0,COUNTA(Q802:Q1673)=0),"""",OR(AND(K802&gt;=1000000000,OR(Y802&gt;=1000000000,COUNTA(Q802:Q1673)=0)),OR(Y802&gt;=1000000000,AND(COUNTA(C802:C1673)=0,P$3=TRUE))),
ROUNDDOWN((AB$1-AC$1)*MAX(INDEX(T$4:T1673,MATCH(LARGE(FILTER(Y$4:Y1673,Y$4"&amp;":Y1673&lt;1000000000),1),Y$4:Y1673)),INDEX(F$4:F1673,MATCH(LARGE(FILTER(K$4:K1673,K$4:K1673&lt;1000000000),1),K$4:K1673)))),AND(K802&lt;1000000000,COUNTA(C802:C1673)&gt;0,P$3=FALSE),
ROUNDDOWN(INDEX(Y$4:Y1673,MATCH(LARGE(FILTER(W$4:W1673,W$4:W1673&lt;=I802),1),W$4:W1673"&amp;"))+(I802-LARGE(FILTER(W$4:W1673,W$4:W1673&lt;=I802),1))*INDEX(T$4:T1673,MATCH(LARGE(FILTER(W$4:W1673,W$4:W1673&lt;=I802),1),W$4:W1673))-K802),1,
ROUNDDOWN(Y802-INDEX(K$4:K1673,MATCH(LARGE(FILTER(I$4:I1673,I$4:I1673&lt;=W802),1),I$4:I1673))-(W802-LARGE(FILTER(I$4:I"&amp;"1673,I$4:I1673&lt;=W802),1))*INDEX(F$4:F1673,MATCH(LARGE(FILTER(I$4:I1673,I$4:I1673&lt;=W802),1),I$4:I1673))))"),"")</f>
        <v/>
      </c>
      <c r="N802" s="60" t="str">
        <f t="shared" si="8"/>
        <v/>
      </c>
      <c r="O802" s="61" t="str">
        <f t="shared" si="9"/>
        <v/>
      </c>
      <c r="P802" s="56" t="str">
        <f t="shared" si="10"/>
        <v/>
      </c>
      <c r="R802" s="10"/>
      <c r="S802" s="59" t="str">
        <f t="array" ref="S802">IF(COUNTA(Q802:Q1673)=0,"",SUM((COUNTIF(Q$4:Q802,Upgrades!$B$3:$B$13)-COUNTIF(Q$4:Q802,"Sell_"&amp;Upgrades!$B$3:$B$13))*Upgrades!$D$3:$D$13))</f>
        <v/>
      </c>
      <c r="T802" s="66" t="str">
        <f>IFERROR(__xludf.DUMMYFUNCTION("IF(COUNTA(Q802:Q1673)=0,"""",IF(REGEXMATCH(INDEX(FILTER(Q$4:Q802,Q$4:Q802&lt;&gt;""""),ROWS(FILTER(Q$4:Q802,Q$4:Q802&lt;&gt;""""))),""^Sell_""),INDEX(FILTER(T$4:T801,Q$4:Q801&lt;&gt;""""),ROWS(FILTER(Q$4:Q801,Q$4:Q801&lt;&gt;""""))),$AD$5+S802))"),"")</f>
        <v/>
      </c>
      <c r="U802" s="10" t="str">
        <f>IFERROR(__xludf.DUMMYFUNCTION("IF(COUNTA(Q802:Q1673)=0,"""",IF(Q802="""",0,IF(REGEXMATCH(Q802,""^Sell_""),-ROUNDDOWN(ROUNDUP(INDEX(Upgrades!$C$3:$C$13,MATCH(SUBSTITUTE(Q802,""Sell_"",""""),Upgrades!$B$3:$B$13,0))*1.15^(COUNTIF(Q$4:Q801,SUBSTITUTE(Q802,""Sell_"",""""))-COUNTIF(Q$4:Q801,"&amp;"""Sell_""&amp;SUBSTITUTE(Q802,""Sell_"",""""))))/2),ROUNDUP(INDEX(Upgrades!$C$3:$C$13,MATCH(Q802,Upgrades!$B$3:$B$13,0))*1.15^(COUNTIF(Q$4:Q801,Q802)-COUNTIF(Q$4:Q801,""Sell_""&amp;Q802))))))"),"")</f>
        <v/>
      </c>
      <c r="V802" s="10" t="str">
        <f t="shared" si="11"/>
        <v/>
      </c>
      <c r="W802" s="68" t="str">
        <f t="shared" si="12"/>
        <v/>
      </c>
      <c r="X802" s="59" t="str">
        <f t="shared" si="13"/>
        <v/>
      </c>
      <c r="Y802" s="69" t="str">
        <f t="shared" si="14"/>
        <v/>
      </c>
      <c r="Z802" s="11"/>
    </row>
    <row r="803">
      <c r="A803" s="8"/>
      <c r="B803" s="56" t="str">
        <f t="shared" si="2"/>
        <v/>
      </c>
      <c r="C803" s="105"/>
      <c r="D803" s="10"/>
      <c r="E803" s="59" t="str">
        <f t="array" ref="E803">IF(COUNTA(C803:C1673)=0,"",SUM((COUNTIF(C$4:C803,Upgrades!$B$3:$B$13)-COUNTIF(C$4:C803,"Sell_"&amp;Upgrades!$B$3:$B$13))*Upgrades!$D$3:$D$13))</f>
        <v/>
      </c>
      <c r="F803" s="66" t="str">
        <f>IFERROR(__xludf.DUMMYFUNCTION("IF(COUNTA(C803:C1673)=0,"""",IF(REGEXMATCH(INDEX(FILTER(C$4:C803,C$4:C803&lt;&gt;""""),ROWS(FILTER(C$4:C803,C$4:C803&lt;&gt;""""))),""^Sell_""),INDEX(FILTER(F$4:F802,C$4:C802&lt;&gt;""""),ROWS(FILTER(C$4:C802,C$4:C802&lt;&gt;""""))),$AC$5+E803))"),"")</f>
        <v/>
      </c>
      <c r="G803" s="10" t="str">
        <f>IFERROR(__xludf.DUMMYFUNCTION("IF(COUNTA(C803:C1673)=0,"""",IF(C803="""",0,IF(REGEXMATCH(C803,""^Sell_""),-ROUNDDOWN(ROUNDUP(INDEX(Upgrades!$C$3:$C$13,MATCH(SUBSTITUTE(C803,""Sell_"",""""),Upgrades!$B$3:$B$13,0))*1.15^(COUNTIF(C$4:C802,SUBSTITUTE(C803,""Sell_"",""""))-COUNTIF(C$4:C802,"&amp;"""Sell_""&amp;SUBSTITUTE(C803,""Sell_"",""""))))/2),ROUNDUP(INDEX(Upgrades!$C$3:$C$13,MATCH(C803,Upgrades!$B$3:$B$13,0))*1.15^(COUNTIF(C$4:C802,C803)-COUNTIF(C$4:C802,""Sell_""&amp;C803))))))"),"")</f>
        <v/>
      </c>
      <c r="H803" s="10" t="str">
        <f t="shared" si="3"/>
        <v/>
      </c>
      <c r="I803" s="68" t="str">
        <f t="shared" si="4"/>
        <v/>
      </c>
      <c r="J803" s="59" t="str">
        <f t="shared" si="5"/>
        <v/>
      </c>
      <c r="K803" s="69" t="str">
        <f t="shared" si="6"/>
        <v/>
      </c>
      <c r="L803" s="60" t="str">
        <f t="shared" si="7"/>
        <v/>
      </c>
      <c r="M803" s="61" t="str">
        <f>IFERROR(__xludf.DUMMYFUNCTION("IFS(AND(COUNTA(C803:C1673)=0,COUNTA(Q803:Q1673)=0),"""",OR(AND(K803&gt;=1000000000,OR(Y803&gt;=1000000000,COUNTA(Q803:Q1673)=0)),OR(Y803&gt;=1000000000,AND(COUNTA(C803:C1673)=0,P$3=TRUE))),
ROUNDDOWN((AB$1-AC$1)*MAX(INDEX(T$4:T1673,MATCH(LARGE(FILTER(Y$4:Y1673,Y$4"&amp;":Y1673&lt;1000000000),1),Y$4:Y1673)),INDEX(F$4:F1673,MATCH(LARGE(FILTER(K$4:K1673,K$4:K1673&lt;1000000000),1),K$4:K1673)))),AND(K803&lt;1000000000,COUNTA(C803:C1673)&gt;0,P$3=FALSE),
ROUNDDOWN(INDEX(Y$4:Y1673,MATCH(LARGE(FILTER(W$4:W1673,W$4:W1673&lt;=I803),1),W$4:W1673"&amp;"))+(I803-LARGE(FILTER(W$4:W1673,W$4:W1673&lt;=I803),1))*INDEX(T$4:T1673,MATCH(LARGE(FILTER(W$4:W1673,W$4:W1673&lt;=I803),1),W$4:W1673))-K803),1,
ROUNDDOWN(Y803-INDEX(K$4:K1673,MATCH(LARGE(FILTER(I$4:I1673,I$4:I1673&lt;=W803),1),I$4:I1673))-(W803-LARGE(FILTER(I$4:I"&amp;"1673,I$4:I1673&lt;=W803),1))*INDEX(F$4:F1673,MATCH(LARGE(FILTER(I$4:I1673,I$4:I1673&lt;=W803),1),I$4:I1673))))"),"")</f>
        <v/>
      </c>
      <c r="N803" s="60" t="str">
        <f t="shared" si="8"/>
        <v/>
      </c>
      <c r="O803" s="61" t="str">
        <f t="shared" si="9"/>
        <v/>
      </c>
      <c r="P803" s="56" t="str">
        <f t="shared" si="10"/>
        <v/>
      </c>
      <c r="R803" s="10"/>
      <c r="S803" s="59" t="str">
        <f t="array" ref="S803">IF(COUNTA(Q803:Q1673)=0,"",SUM((COUNTIF(Q$4:Q803,Upgrades!$B$3:$B$13)-COUNTIF(Q$4:Q803,"Sell_"&amp;Upgrades!$B$3:$B$13))*Upgrades!$D$3:$D$13))</f>
        <v/>
      </c>
      <c r="T803" s="66" t="str">
        <f>IFERROR(__xludf.DUMMYFUNCTION("IF(COUNTA(Q803:Q1673)=0,"""",IF(REGEXMATCH(INDEX(FILTER(Q$4:Q803,Q$4:Q803&lt;&gt;""""),ROWS(FILTER(Q$4:Q803,Q$4:Q803&lt;&gt;""""))),""^Sell_""),INDEX(FILTER(T$4:T802,Q$4:Q802&lt;&gt;""""),ROWS(FILTER(Q$4:Q802,Q$4:Q802&lt;&gt;""""))),$AD$5+S803))"),"")</f>
        <v/>
      </c>
      <c r="U803" s="10" t="str">
        <f>IFERROR(__xludf.DUMMYFUNCTION("IF(COUNTA(Q803:Q1673)=0,"""",IF(Q803="""",0,IF(REGEXMATCH(Q803,""^Sell_""),-ROUNDDOWN(ROUNDUP(INDEX(Upgrades!$C$3:$C$13,MATCH(SUBSTITUTE(Q803,""Sell_"",""""),Upgrades!$B$3:$B$13,0))*1.15^(COUNTIF(Q$4:Q802,SUBSTITUTE(Q803,""Sell_"",""""))-COUNTIF(Q$4:Q802,"&amp;"""Sell_""&amp;SUBSTITUTE(Q803,""Sell_"",""""))))/2),ROUNDUP(INDEX(Upgrades!$C$3:$C$13,MATCH(Q803,Upgrades!$B$3:$B$13,0))*1.15^(COUNTIF(Q$4:Q802,Q803)-COUNTIF(Q$4:Q802,""Sell_""&amp;Q803))))))"),"")</f>
        <v/>
      </c>
      <c r="V803" s="10" t="str">
        <f t="shared" si="11"/>
        <v/>
      </c>
      <c r="W803" s="68" t="str">
        <f t="shared" si="12"/>
        <v/>
      </c>
      <c r="X803" s="59" t="str">
        <f t="shared" si="13"/>
        <v/>
      </c>
      <c r="Y803" s="69" t="str">
        <f t="shared" si="14"/>
        <v/>
      </c>
      <c r="Z803" s="11"/>
    </row>
    <row r="804">
      <c r="A804" s="8"/>
      <c r="B804" s="56" t="str">
        <f t="shared" si="2"/>
        <v/>
      </c>
      <c r="C804" s="105"/>
      <c r="D804" s="10"/>
      <c r="E804" s="59" t="str">
        <f t="array" ref="E804">IF(COUNTA(C804:C1673)=0,"",SUM((COUNTIF(C$4:C804,Upgrades!$B$3:$B$13)-COUNTIF(C$4:C804,"Sell_"&amp;Upgrades!$B$3:$B$13))*Upgrades!$D$3:$D$13))</f>
        <v/>
      </c>
      <c r="F804" s="66" t="str">
        <f>IFERROR(__xludf.DUMMYFUNCTION("IF(COUNTA(C804:C1673)=0,"""",IF(REGEXMATCH(INDEX(FILTER(C$4:C804,C$4:C804&lt;&gt;""""),ROWS(FILTER(C$4:C804,C$4:C804&lt;&gt;""""))),""^Sell_""),INDEX(FILTER(F$4:F803,C$4:C803&lt;&gt;""""),ROWS(FILTER(C$4:C803,C$4:C803&lt;&gt;""""))),$AC$5+E804))"),"")</f>
        <v/>
      </c>
      <c r="G804" s="10" t="str">
        <f>IFERROR(__xludf.DUMMYFUNCTION("IF(COUNTA(C804:C1673)=0,"""",IF(C804="""",0,IF(REGEXMATCH(C804,""^Sell_""),-ROUNDDOWN(ROUNDUP(INDEX(Upgrades!$C$3:$C$13,MATCH(SUBSTITUTE(C804,""Sell_"",""""),Upgrades!$B$3:$B$13,0))*1.15^(COUNTIF(C$4:C803,SUBSTITUTE(C804,""Sell_"",""""))-COUNTIF(C$4:C803,"&amp;"""Sell_""&amp;SUBSTITUTE(C804,""Sell_"",""""))))/2),ROUNDUP(INDEX(Upgrades!$C$3:$C$13,MATCH(C804,Upgrades!$B$3:$B$13,0))*1.15^(COUNTIF(C$4:C803,C804)-COUNTIF(C$4:C803,""Sell_""&amp;C804))))))"),"")</f>
        <v/>
      </c>
      <c r="H804" s="10" t="str">
        <f t="shared" si="3"/>
        <v/>
      </c>
      <c r="I804" s="68" t="str">
        <f t="shared" si="4"/>
        <v/>
      </c>
      <c r="J804" s="59" t="str">
        <f t="shared" si="5"/>
        <v/>
      </c>
      <c r="K804" s="69" t="str">
        <f t="shared" si="6"/>
        <v/>
      </c>
      <c r="L804" s="60" t="str">
        <f t="shared" si="7"/>
        <v/>
      </c>
      <c r="M804" s="61" t="str">
        <f>IFERROR(__xludf.DUMMYFUNCTION("IFS(AND(COUNTA(C804:C1673)=0,COUNTA(Q804:Q1673)=0),"""",OR(AND(K804&gt;=1000000000,OR(Y804&gt;=1000000000,COUNTA(Q804:Q1673)=0)),OR(Y804&gt;=1000000000,AND(COUNTA(C804:C1673)=0,P$3=TRUE))),
ROUNDDOWN((AB$1-AC$1)*MAX(INDEX(T$4:T1673,MATCH(LARGE(FILTER(Y$4:Y1673,Y$4"&amp;":Y1673&lt;1000000000),1),Y$4:Y1673)),INDEX(F$4:F1673,MATCH(LARGE(FILTER(K$4:K1673,K$4:K1673&lt;1000000000),1),K$4:K1673)))),AND(K804&lt;1000000000,COUNTA(C804:C1673)&gt;0,P$3=FALSE),
ROUNDDOWN(INDEX(Y$4:Y1673,MATCH(LARGE(FILTER(W$4:W1673,W$4:W1673&lt;=I804),1),W$4:W1673"&amp;"))+(I804-LARGE(FILTER(W$4:W1673,W$4:W1673&lt;=I804),1))*INDEX(T$4:T1673,MATCH(LARGE(FILTER(W$4:W1673,W$4:W1673&lt;=I804),1),W$4:W1673))-K804),1,
ROUNDDOWN(Y804-INDEX(K$4:K1673,MATCH(LARGE(FILTER(I$4:I1673,I$4:I1673&lt;=W804),1),I$4:I1673))-(W804-LARGE(FILTER(I$4:I"&amp;"1673,I$4:I1673&lt;=W804),1))*INDEX(F$4:F1673,MATCH(LARGE(FILTER(I$4:I1673,I$4:I1673&lt;=W804),1),I$4:I1673))))"),"")</f>
        <v/>
      </c>
      <c r="N804" s="60" t="str">
        <f t="shared" si="8"/>
        <v/>
      </c>
      <c r="O804" s="61" t="str">
        <f t="shared" si="9"/>
        <v/>
      </c>
      <c r="P804" s="56" t="str">
        <f t="shared" si="10"/>
        <v/>
      </c>
      <c r="R804" s="10"/>
      <c r="S804" s="59" t="str">
        <f t="array" ref="S804">IF(COUNTA(Q804:Q1673)=0,"",SUM((COUNTIF(Q$4:Q804,Upgrades!$B$3:$B$13)-COUNTIF(Q$4:Q804,"Sell_"&amp;Upgrades!$B$3:$B$13))*Upgrades!$D$3:$D$13))</f>
        <v/>
      </c>
      <c r="T804" s="66" t="str">
        <f>IFERROR(__xludf.DUMMYFUNCTION("IF(COUNTA(Q804:Q1673)=0,"""",IF(REGEXMATCH(INDEX(FILTER(Q$4:Q804,Q$4:Q804&lt;&gt;""""),ROWS(FILTER(Q$4:Q804,Q$4:Q804&lt;&gt;""""))),""^Sell_""),INDEX(FILTER(T$4:T803,Q$4:Q803&lt;&gt;""""),ROWS(FILTER(Q$4:Q803,Q$4:Q803&lt;&gt;""""))),$AD$5+S804))"),"")</f>
        <v/>
      </c>
      <c r="U804" s="10" t="str">
        <f>IFERROR(__xludf.DUMMYFUNCTION("IF(COUNTA(Q804:Q1673)=0,"""",IF(Q804="""",0,IF(REGEXMATCH(Q804,""^Sell_""),-ROUNDDOWN(ROUNDUP(INDEX(Upgrades!$C$3:$C$13,MATCH(SUBSTITUTE(Q804,""Sell_"",""""),Upgrades!$B$3:$B$13,0))*1.15^(COUNTIF(Q$4:Q803,SUBSTITUTE(Q804,""Sell_"",""""))-COUNTIF(Q$4:Q803,"&amp;"""Sell_""&amp;SUBSTITUTE(Q804,""Sell_"",""""))))/2),ROUNDUP(INDEX(Upgrades!$C$3:$C$13,MATCH(Q804,Upgrades!$B$3:$B$13,0))*1.15^(COUNTIF(Q$4:Q803,Q804)-COUNTIF(Q$4:Q803,""Sell_""&amp;Q804))))))"),"")</f>
        <v/>
      </c>
      <c r="V804" s="10" t="str">
        <f t="shared" si="11"/>
        <v/>
      </c>
      <c r="W804" s="68" t="str">
        <f t="shared" si="12"/>
        <v/>
      </c>
      <c r="X804" s="59" t="str">
        <f t="shared" si="13"/>
        <v/>
      </c>
      <c r="Y804" s="69" t="str">
        <f t="shared" si="14"/>
        <v/>
      </c>
      <c r="Z804" s="11"/>
    </row>
    <row r="805">
      <c r="A805" s="8"/>
      <c r="B805" s="56" t="str">
        <f t="shared" si="2"/>
        <v/>
      </c>
      <c r="C805" s="105"/>
      <c r="D805" s="10"/>
      <c r="E805" s="59" t="str">
        <f t="array" ref="E805">IF(COUNTA(C805:C1673)=0,"",SUM((COUNTIF(C$4:C805,Upgrades!$B$3:$B$13)-COUNTIF(C$4:C805,"Sell_"&amp;Upgrades!$B$3:$B$13))*Upgrades!$D$3:$D$13))</f>
        <v/>
      </c>
      <c r="F805" s="66" t="str">
        <f>IFERROR(__xludf.DUMMYFUNCTION("IF(COUNTA(C805:C1673)=0,"""",IF(REGEXMATCH(INDEX(FILTER(C$4:C805,C$4:C805&lt;&gt;""""),ROWS(FILTER(C$4:C805,C$4:C805&lt;&gt;""""))),""^Sell_""),INDEX(FILTER(F$4:F804,C$4:C804&lt;&gt;""""),ROWS(FILTER(C$4:C804,C$4:C804&lt;&gt;""""))),$AC$5+E805))"),"")</f>
        <v/>
      </c>
      <c r="G805" s="10" t="str">
        <f>IFERROR(__xludf.DUMMYFUNCTION("IF(COUNTA(C805:C1673)=0,"""",IF(C805="""",0,IF(REGEXMATCH(C805,""^Sell_""),-ROUNDDOWN(ROUNDUP(INDEX(Upgrades!$C$3:$C$13,MATCH(SUBSTITUTE(C805,""Sell_"",""""),Upgrades!$B$3:$B$13,0))*1.15^(COUNTIF(C$4:C804,SUBSTITUTE(C805,""Sell_"",""""))-COUNTIF(C$4:C804,"&amp;"""Sell_""&amp;SUBSTITUTE(C805,""Sell_"",""""))))/2),ROUNDUP(INDEX(Upgrades!$C$3:$C$13,MATCH(C805,Upgrades!$B$3:$B$13,0))*1.15^(COUNTIF(C$4:C804,C805)-COUNTIF(C$4:C804,""Sell_""&amp;C805))))))"),"")</f>
        <v/>
      </c>
      <c r="H805" s="10" t="str">
        <f t="shared" si="3"/>
        <v/>
      </c>
      <c r="I805" s="68" t="str">
        <f t="shared" si="4"/>
        <v/>
      </c>
      <c r="J805" s="59" t="str">
        <f t="shared" si="5"/>
        <v/>
      </c>
      <c r="K805" s="69" t="str">
        <f t="shared" si="6"/>
        <v/>
      </c>
      <c r="L805" s="60" t="str">
        <f t="shared" si="7"/>
        <v/>
      </c>
      <c r="M805" s="61" t="str">
        <f>IFERROR(__xludf.DUMMYFUNCTION("IFS(AND(COUNTA(C805:C1673)=0,COUNTA(Q805:Q1673)=0),"""",OR(AND(K805&gt;=1000000000,OR(Y805&gt;=1000000000,COUNTA(Q805:Q1673)=0)),OR(Y805&gt;=1000000000,AND(COUNTA(C805:C1673)=0,P$3=TRUE))),
ROUNDDOWN((AB$1-AC$1)*MAX(INDEX(T$4:T1673,MATCH(LARGE(FILTER(Y$4:Y1673,Y$4"&amp;":Y1673&lt;1000000000),1),Y$4:Y1673)),INDEX(F$4:F1673,MATCH(LARGE(FILTER(K$4:K1673,K$4:K1673&lt;1000000000),1),K$4:K1673)))),AND(K805&lt;1000000000,COUNTA(C805:C1673)&gt;0,P$3=FALSE),
ROUNDDOWN(INDEX(Y$4:Y1673,MATCH(LARGE(FILTER(W$4:W1673,W$4:W1673&lt;=I805),1),W$4:W1673"&amp;"))+(I805-LARGE(FILTER(W$4:W1673,W$4:W1673&lt;=I805),1))*INDEX(T$4:T1673,MATCH(LARGE(FILTER(W$4:W1673,W$4:W1673&lt;=I805),1),W$4:W1673))-K805),1,
ROUNDDOWN(Y805-INDEX(K$4:K1673,MATCH(LARGE(FILTER(I$4:I1673,I$4:I1673&lt;=W805),1),I$4:I1673))-(W805-LARGE(FILTER(I$4:I"&amp;"1673,I$4:I1673&lt;=W805),1))*INDEX(F$4:F1673,MATCH(LARGE(FILTER(I$4:I1673,I$4:I1673&lt;=W805),1),I$4:I1673))))"),"")</f>
        <v/>
      </c>
      <c r="N805" s="60" t="str">
        <f t="shared" si="8"/>
        <v/>
      </c>
      <c r="O805" s="61" t="str">
        <f t="shared" si="9"/>
        <v/>
      </c>
      <c r="P805" s="56" t="str">
        <f t="shared" si="10"/>
        <v/>
      </c>
      <c r="R805" s="10"/>
      <c r="S805" s="59" t="str">
        <f t="array" ref="S805">IF(COUNTA(Q805:Q1673)=0,"",SUM((COUNTIF(Q$4:Q805,Upgrades!$B$3:$B$13)-COUNTIF(Q$4:Q805,"Sell_"&amp;Upgrades!$B$3:$B$13))*Upgrades!$D$3:$D$13))</f>
        <v/>
      </c>
      <c r="T805" s="66" t="str">
        <f>IFERROR(__xludf.DUMMYFUNCTION("IF(COUNTA(Q805:Q1673)=0,"""",IF(REGEXMATCH(INDEX(FILTER(Q$4:Q805,Q$4:Q805&lt;&gt;""""),ROWS(FILTER(Q$4:Q805,Q$4:Q805&lt;&gt;""""))),""^Sell_""),INDEX(FILTER(T$4:T804,Q$4:Q804&lt;&gt;""""),ROWS(FILTER(Q$4:Q804,Q$4:Q804&lt;&gt;""""))),$AD$5+S805))"),"")</f>
        <v/>
      </c>
      <c r="U805" s="10" t="str">
        <f>IFERROR(__xludf.DUMMYFUNCTION("IF(COUNTA(Q805:Q1673)=0,"""",IF(Q805="""",0,IF(REGEXMATCH(Q805,""^Sell_""),-ROUNDDOWN(ROUNDUP(INDEX(Upgrades!$C$3:$C$13,MATCH(SUBSTITUTE(Q805,""Sell_"",""""),Upgrades!$B$3:$B$13,0))*1.15^(COUNTIF(Q$4:Q804,SUBSTITUTE(Q805,""Sell_"",""""))-COUNTIF(Q$4:Q804,"&amp;"""Sell_""&amp;SUBSTITUTE(Q805,""Sell_"",""""))))/2),ROUNDUP(INDEX(Upgrades!$C$3:$C$13,MATCH(Q805,Upgrades!$B$3:$B$13,0))*1.15^(COUNTIF(Q$4:Q804,Q805)-COUNTIF(Q$4:Q804,""Sell_""&amp;Q805))))))"),"")</f>
        <v/>
      </c>
      <c r="V805" s="10" t="str">
        <f t="shared" si="11"/>
        <v/>
      </c>
      <c r="W805" s="68" t="str">
        <f t="shared" si="12"/>
        <v/>
      </c>
      <c r="X805" s="59" t="str">
        <f t="shared" si="13"/>
        <v/>
      </c>
      <c r="Y805" s="69" t="str">
        <f t="shared" si="14"/>
        <v/>
      </c>
      <c r="Z805" s="11"/>
    </row>
    <row r="806">
      <c r="A806" s="8"/>
      <c r="B806" s="56" t="str">
        <f t="shared" si="2"/>
        <v/>
      </c>
      <c r="C806" s="105"/>
      <c r="D806" s="10"/>
      <c r="E806" s="59" t="str">
        <f t="array" ref="E806">IF(COUNTA(C806:C1673)=0,"",SUM((COUNTIF(C$4:C806,Upgrades!$B$3:$B$13)-COUNTIF(C$4:C806,"Sell_"&amp;Upgrades!$B$3:$B$13))*Upgrades!$D$3:$D$13))</f>
        <v/>
      </c>
      <c r="F806" s="66" t="str">
        <f>IFERROR(__xludf.DUMMYFUNCTION("IF(COUNTA(C806:C1673)=0,"""",IF(REGEXMATCH(INDEX(FILTER(C$4:C806,C$4:C806&lt;&gt;""""),ROWS(FILTER(C$4:C806,C$4:C806&lt;&gt;""""))),""^Sell_""),INDEX(FILTER(F$4:F805,C$4:C805&lt;&gt;""""),ROWS(FILTER(C$4:C805,C$4:C805&lt;&gt;""""))),$AC$5+E806))"),"")</f>
        <v/>
      </c>
      <c r="G806" s="10" t="str">
        <f>IFERROR(__xludf.DUMMYFUNCTION("IF(COUNTA(C806:C1673)=0,"""",IF(C806="""",0,IF(REGEXMATCH(C806,""^Sell_""),-ROUNDDOWN(ROUNDUP(INDEX(Upgrades!$C$3:$C$13,MATCH(SUBSTITUTE(C806,""Sell_"",""""),Upgrades!$B$3:$B$13,0))*1.15^(COUNTIF(C$4:C805,SUBSTITUTE(C806,""Sell_"",""""))-COUNTIF(C$4:C805,"&amp;"""Sell_""&amp;SUBSTITUTE(C806,""Sell_"",""""))))/2),ROUNDUP(INDEX(Upgrades!$C$3:$C$13,MATCH(C806,Upgrades!$B$3:$B$13,0))*1.15^(COUNTIF(C$4:C805,C806)-COUNTIF(C$4:C805,""Sell_""&amp;C806))))))"),"")</f>
        <v/>
      </c>
      <c r="H806" s="10" t="str">
        <f t="shared" si="3"/>
        <v/>
      </c>
      <c r="I806" s="68" t="str">
        <f t="shared" si="4"/>
        <v/>
      </c>
      <c r="J806" s="59" t="str">
        <f t="shared" si="5"/>
        <v/>
      </c>
      <c r="K806" s="69" t="str">
        <f t="shared" si="6"/>
        <v/>
      </c>
      <c r="L806" s="60" t="str">
        <f t="shared" si="7"/>
        <v/>
      </c>
      <c r="M806" s="61" t="str">
        <f>IFERROR(__xludf.DUMMYFUNCTION("IFS(AND(COUNTA(C806:C1673)=0,COUNTA(Q806:Q1673)=0),"""",OR(AND(K806&gt;=1000000000,OR(Y806&gt;=1000000000,COUNTA(Q806:Q1673)=0)),OR(Y806&gt;=1000000000,AND(COUNTA(C806:C1673)=0,P$3=TRUE))),
ROUNDDOWN((AB$1-AC$1)*MAX(INDEX(T$4:T1673,MATCH(LARGE(FILTER(Y$4:Y1673,Y$4"&amp;":Y1673&lt;1000000000),1),Y$4:Y1673)),INDEX(F$4:F1673,MATCH(LARGE(FILTER(K$4:K1673,K$4:K1673&lt;1000000000),1),K$4:K1673)))),AND(K806&lt;1000000000,COUNTA(C806:C1673)&gt;0,P$3=FALSE),
ROUNDDOWN(INDEX(Y$4:Y1673,MATCH(LARGE(FILTER(W$4:W1673,W$4:W1673&lt;=I806),1),W$4:W1673"&amp;"))+(I806-LARGE(FILTER(W$4:W1673,W$4:W1673&lt;=I806),1))*INDEX(T$4:T1673,MATCH(LARGE(FILTER(W$4:W1673,W$4:W1673&lt;=I806),1),W$4:W1673))-K806),1,
ROUNDDOWN(Y806-INDEX(K$4:K1673,MATCH(LARGE(FILTER(I$4:I1673,I$4:I1673&lt;=W806),1),I$4:I1673))-(W806-LARGE(FILTER(I$4:I"&amp;"1673,I$4:I1673&lt;=W806),1))*INDEX(F$4:F1673,MATCH(LARGE(FILTER(I$4:I1673,I$4:I1673&lt;=W806),1),I$4:I1673))))"),"")</f>
        <v/>
      </c>
      <c r="N806" s="60" t="str">
        <f t="shared" si="8"/>
        <v/>
      </c>
      <c r="O806" s="61" t="str">
        <f t="shared" si="9"/>
        <v/>
      </c>
      <c r="P806" s="56" t="str">
        <f t="shared" si="10"/>
        <v/>
      </c>
      <c r="R806" s="10"/>
      <c r="S806" s="59" t="str">
        <f t="array" ref="S806">IF(COUNTA(Q806:Q1673)=0,"",SUM((COUNTIF(Q$4:Q806,Upgrades!$B$3:$B$13)-COUNTIF(Q$4:Q806,"Sell_"&amp;Upgrades!$B$3:$B$13))*Upgrades!$D$3:$D$13))</f>
        <v/>
      </c>
      <c r="T806" s="66" t="str">
        <f>IFERROR(__xludf.DUMMYFUNCTION("IF(COUNTA(Q806:Q1673)=0,"""",IF(REGEXMATCH(INDEX(FILTER(Q$4:Q806,Q$4:Q806&lt;&gt;""""),ROWS(FILTER(Q$4:Q806,Q$4:Q806&lt;&gt;""""))),""^Sell_""),INDEX(FILTER(T$4:T805,Q$4:Q805&lt;&gt;""""),ROWS(FILTER(Q$4:Q805,Q$4:Q805&lt;&gt;""""))),$AD$5+S806))"),"")</f>
        <v/>
      </c>
      <c r="U806" s="10" t="str">
        <f>IFERROR(__xludf.DUMMYFUNCTION("IF(COUNTA(Q806:Q1673)=0,"""",IF(Q806="""",0,IF(REGEXMATCH(Q806,""^Sell_""),-ROUNDDOWN(ROUNDUP(INDEX(Upgrades!$C$3:$C$13,MATCH(SUBSTITUTE(Q806,""Sell_"",""""),Upgrades!$B$3:$B$13,0))*1.15^(COUNTIF(Q$4:Q805,SUBSTITUTE(Q806,""Sell_"",""""))-COUNTIF(Q$4:Q805,"&amp;"""Sell_""&amp;SUBSTITUTE(Q806,""Sell_"",""""))))/2),ROUNDUP(INDEX(Upgrades!$C$3:$C$13,MATCH(Q806,Upgrades!$B$3:$B$13,0))*1.15^(COUNTIF(Q$4:Q805,Q806)-COUNTIF(Q$4:Q805,""Sell_""&amp;Q806))))))"),"")</f>
        <v/>
      </c>
      <c r="V806" s="10" t="str">
        <f t="shared" si="11"/>
        <v/>
      </c>
      <c r="W806" s="68" t="str">
        <f t="shared" si="12"/>
        <v/>
      </c>
      <c r="X806" s="59" t="str">
        <f t="shared" si="13"/>
        <v/>
      </c>
      <c r="Y806" s="69" t="str">
        <f t="shared" si="14"/>
        <v/>
      </c>
      <c r="Z806" s="11"/>
    </row>
    <row r="807">
      <c r="A807" s="8"/>
      <c r="B807" s="56" t="str">
        <f t="shared" si="2"/>
        <v/>
      </c>
      <c r="C807" s="105"/>
      <c r="D807" s="10"/>
      <c r="E807" s="59" t="str">
        <f t="array" ref="E807">IF(COUNTA(C807:C1673)=0,"",SUM((COUNTIF(C$4:C807,Upgrades!$B$3:$B$13)-COUNTIF(C$4:C807,"Sell_"&amp;Upgrades!$B$3:$B$13))*Upgrades!$D$3:$D$13))</f>
        <v/>
      </c>
      <c r="F807" s="66" t="str">
        <f>IFERROR(__xludf.DUMMYFUNCTION("IF(COUNTA(C807:C1673)=0,"""",IF(REGEXMATCH(INDEX(FILTER(C$4:C807,C$4:C807&lt;&gt;""""),ROWS(FILTER(C$4:C807,C$4:C807&lt;&gt;""""))),""^Sell_""),INDEX(FILTER(F$4:F806,C$4:C806&lt;&gt;""""),ROWS(FILTER(C$4:C806,C$4:C806&lt;&gt;""""))),$AC$5+E807))"),"")</f>
        <v/>
      </c>
      <c r="G807" s="10" t="str">
        <f>IFERROR(__xludf.DUMMYFUNCTION("IF(COUNTA(C807:C1673)=0,"""",IF(C807="""",0,IF(REGEXMATCH(C807,""^Sell_""),-ROUNDDOWN(ROUNDUP(INDEX(Upgrades!$C$3:$C$13,MATCH(SUBSTITUTE(C807,""Sell_"",""""),Upgrades!$B$3:$B$13,0))*1.15^(COUNTIF(C$4:C806,SUBSTITUTE(C807,""Sell_"",""""))-COUNTIF(C$4:C806,"&amp;"""Sell_""&amp;SUBSTITUTE(C807,""Sell_"",""""))))/2),ROUNDUP(INDEX(Upgrades!$C$3:$C$13,MATCH(C807,Upgrades!$B$3:$B$13,0))*1.15^(COUNTIF(C$4:C806,C807)-COUNTIF(C$4:C806,""Sell_""&amp;C807))))))"),"")</f>
        <v/>
      </c>
      <c r="H807" s="10" t="str">
        <f t="shared" si="3"/>
        <v/>
      </c>
      <c r="I807" s="68" t="str">
        <f t="shared" si="4"/>
        <v/>
      </c>
      <c r="J807" s="59" t="str">
        <f t="shared" si="5"/>
        <v/>
      </c>
      <c r="K807" s="69" t="str">
        <f t="shared" si="6"/>
        <v/>
      </c>
      <c r="L807" s="60" t="str">
        <f t="shared" si="7"/>
        <v/>
      </c>
      <c r="M807" s="61" t="str">
        <f>IFERROR(__xludf.DUMMYFUNCTION("IFS(AND(COUNTA(C807:C1673)=0,COUNTA(Q807:Q1673)=0),"""",OR(AND(K807&gt;=1000000000,OR(Y807&gt;=1000000000,COUNTA(Q807:Q1673)=0)),OR(Y807&gt;=1000000000,AND(COUNTA(C807:C1673)=0,P$3=TRUE))),
ROUNDDOWN((AB$1-AC$1)*MAX(INDEX(T$4:T1673,MATCH(LARGE(FILTER(Y$4:Y1673,Y$4"&amp;":Y1673&lt;1000000000),1),Y$4:Y1673)),INDEX(F$4:F1673,MATCH(LARGE(FILTER(K$4:K1673,K$4:K1673&lt;1000000000),1),K$4:K1673)))),AND(K807&lt;1000000000,COUNTA(C807:C1673)&gt;0,P$3=FALSE),
ROUNDDOWN(INDEX(Y$4:Y1673,MATCH(LARGE(FILTER(W$4:W1673,W$4:W1673&lt;=I807),1),W$4:W1673"&amp;"))+(I807-LARGE(FILTER(W$4:W1673,W$4:W1673&lt;=I807),1))*INDEX(T$4:T1673,MATCH(LARGE(FILTER(W$4:W1673,W$4:W1673&lt;=I807),1),W$4:W1673))-K807),1,
ROUNDDOWN(Y807-INDEX(K$4:K1673,MATCH(LARGE(FILTER(I$4:I1673,I$4:I1673&lt;=W807),1),I$4:I1673))-(W807-LARGE(FILTER(I$4:I"&amp;"1673,I$4:I1673&lt;=W807),1))*INDEX(F$4:F1673,MATCH(LARGE(FILTER(I$4:I1673,I$4:I1673&lt;=W807),1),I$4:I1673))))"),"")</f>
        <v/>
      </c>
      <c r="N807" s="60" t="str">
        <f t="shared" si="8"/>
        <v/>
      </c>
      <c r="O807" s="61" t="str">
        <f t="shared" si="9"/>
        <v/>
      </c>
      <c r="P807" s="56" t="str">
        <f t="shared" si="10"/>
        <v/>
      </c>
      <c r="R807" s="10"/>
      <c r="S807" s="59" t="str">
        <f t="array" ref="S807">IF(COUNTA(Q807:Q1673)=0,"",SUM((COUNTIF(Q$4:Q807,Upgrades!$B$3:$B$13)-COUNTIF(Q$4:Q807,"Sell_"&amp;Upgrades!$B$3:$B$13))*Upgrades!$D$3:$D$13))</f>
        <v/>
      </c>
      <c r="T807" s="66" t="str">
        <f>IFERROR(__xludf.DUMMYFUNCTION("IF(COUNTA(Q807:Q1673)=0,"""",IF(REGEXMATCH(INDEX(FILTER(Q$4:Q807,Q$4:Q807&lt;&gt;""""),ROWS(FILTER(Q$4:Q807,Q$4:Q807&lt;&gt;""""))),""^Sell_""),INDEX(FILTER(T$4:T806,Q$4:Q806&lt;&gt;""""),ROWS(FILTER(Q$4:Q806,Q$4:Q806&lt;&gt;""""))),$AD$5+S807))"),"")</f>
        <v/>
      </c>
      <c r="U807" s="10" t="str">
        <f>IFERROR(__xludf.DUMMYFUNCTION("IF(COUNTA(Q807:Q1673)=0,"""",IF(Q807="""",0,IF(REGEXMATCH(Q807,""^Sell_""),-ROUNDDOWN(ROUNDUP(INDEX(Upgrades!$C$3:$C$13,MATCH(SUBSTITUTE(Q807,""Sell_"",""""),Upgrades!$B$3:$B$13,0))*1.15^(COUNTIF(Q$4:Q806,SUBSTITUTE(Q807,""Sell_"",""""))-COUNTIF(Q$4:Q806,"&amp;"""Sell_""&amp;SUBSTITUTE(Q807,""Sell_"",""""))))/2),ROUNDUP(INDEX(Upgrades!$C$3:$C$13,MATCH(Q807,Upgrades!$B$3:$B$13,0))*1.15^(COUNTIF(Q$4:Q806,Q807)-COUNTIF(Q$4:Q806,""Sell_""&amp;Q807))))))"),"")</f>
        <v/>
      </c>
      <c r="V807" s="10" t="str">
        <f t="shared" si="11"/>
        <v/>
      </c>
      <c r="W807" s="68" t="str">
        <f t="shared" si="12"/>
        <v/>
      </c>
      <c r="X807" s="59" t="str">
        <f t="shared" si="13"/>
        <v/>
      </c>
      <c r="Y807" s="69" t="str">
        <f t="shared" si="14"/>
        <v/>
      </c>
      <c r="Z807" s="11"/>
    </row>
    <row r="808">
      <c r="A808" s="8"/>
      <c r="B808" s="56" t="str">
        <f t="shared" si="2"/>
        <v/>
      </c>
      <c r="C808" s="105"/>
      <c r="D808" s="10"/>
      <c r="E808" s="59" t="str">
        <f t="array" ref="E808">IF(COUNTA(C808:C1673)=0,"",SUM((COUNTIF(C$4:C808,Upgrades!$B$3:$B$13)-COUNTIF(C$4:C808,"Sell_"&amp;Upgrades!$B$3:$B$13))*Upgrades!$D$3:$D$13))</f>
        <v/>
      </c>
      <c r="F808" s="66" t="str">
        <f>IFERROR(__xludf.DUMMYFUNCTION("IF(COUNTA(C808:C1673)=0,"""",IF(REGEXMATCH(INDEX(FILTER(C$4:C808,C$4:C808&lt;&gt;""""),ROWS(FILTER(C$4:C808,C$4:C808&lt;&gt;""""))),""^Sell_""),INDEX(FILTER(F$4:F807,C$4:C807&lt;&gt;""""),ROWS(FILTER(C$4:C807,C$4:C807&lt;&gt;""""))),$AC$5+E808))"),"")</f>
        <v/>
      </c>
      <c r="G808" s="10" t="str">
        <f>IFERROR(__xludf.DUMMYFUNCTION("IF(COUNTA(C808:C1673)=0,"""",IF(C808="""",0,IF(REGEXMATCH(C808,""^Sell_""),-ROUNDDOWN(ROUNDUP(INDEX(Upgrades!$C$3:$C$13,MATCH(SUBSTITUTE(C808,""Sell_"",""""),Upgrades!$B$3:$B$13,0))*1.15^(COUNTIF(C$4:C807,SUBSTITUTE(C808,""Sell_"",""""))-COUNTIF(C$4:C807,"&amp;"""Sell_""&amp;SUBSTITUTE(C808,""Sell_"",""""))))/2),ROUNDUP(INDEX(Upgrades!$C$3:$C$13,MATCH(C808,Upgrades!$B$3:$B$13,0))*1.15^(COUNTIF(C$4:C807,C808)-COUNTIF(C$4:C807,""Sell_""&amp;C808))))))"),"")</f>
        <v/>
      </c>
      <c r="H808" s="10" t="str">
        <f t="shared" si="3"/>
        <v/>
      </c>
      <c r="I808" s="68" t="str">
        <f t="shared" si="4"/>
        <v/>
      </c>
      <c r="J808" s="59" t="str">
        <f t="shared" si="5"/>
        <v/>
      </c>
      <c r="K808" s="69" t="str">
        <f t="shared" si="6"/>
        <v/>
      </c>
      <c r="L808" s="60" t="str">
        <f t="shared" si="7"/>
        <v/>
      </c>
      <c r="M808" s="61" t="str">
        <f>IFERROR(__xludf.DUMMYFUNCTION("IFS(AND(COUNTA(C808:C1673)=0,COUNTA(Q808:Q1673)=0),"""",OR(AND(K808&gt;=1000000000,OR(Y808&gt;=1000000000,COUNTA(Q808:Q1673)=0)),OR(Y808&gt;=1000000000,AND(COUNTA(C808:C1673)=0,P$3=TRUE))),
ROUNDDOWN((AB$1-AC$1)*MAX(INDEX(T$4:T1673,MATCH(LARGE(FILTER(Y$4:Y1673,Y$4"&amp;":Y1673&lt;1000000000),1),Y$4:Y1673)),INDEX(F$4:F1673,MATCH(LARGE(FILTER(K$4:K1673,K$4:K1673&lt;1000000000),1),K$4:K1673)))),AND(K808&lt;1000000000,COUNTA(C808:C1673)&gt;0,P$3=FALSE),
ROUNDDOWN(INDEX(Y$4:Y1673,MATCH(LARGE(FILTER(W$4:W1673,W$4:W1673&lt;=I808),1),W$4:W1673"&amp;"))+(I808-LARGE(FILTER(W$4:W1673,W$4:W1673&lt;=I808),1))*INDEX(T$4:T1673,MATCH(LARGE(FILTER(W$4:W1673,W$4:W1673&lt;=I808),1),W$4:W1673))-K808),1,
ROUNDDOWN(Y808-INDEX(K$4:K1673,MATCH(LARGE(FILTER(I$4:I1673,I$4:I1673&lt;=W808),1),I$4:I1673))-(W808-LARGE(FILTER(I$4:I"&amp;"1673,I$4:I1673&lt;=W808),1))*INDEX(F$4:F1673,MATCH(LARGE(FILTER(I$4:I1673,I$4:I1673&lt;=W808),1),I$4:I1673))))"),"")</f>
        <v/>
      </c>
      <c r="N808" s="60" t="str">
        <f t="shared" si="8"/>
        <v/>
      </c>
      <c r="O808" s="61" t="str">
        <f t="shared" si="9"/>
        <v/>
      </c>
      <c r="P808" s="56" t="str">
        <f t="shared" si="10"/>
        <v/>
      </c>
      <c r="R808" s="10"/>
      <c r="S808" s="59" t="str">
        <f t="array" ref="S808">IF(COUNTA(Q808:Q1673)=0,"",SUM((COUNTIF(Q$4:Q808,Upgrades!$B$3:$B$13)-COUNTIF(Q$4:Q808,"Sell_"&amp;Upgrades!$B$3:$B$13))*Upgrades!$D$3:$D$13))</f>
        <v/>
      </c>
      <c r="T808" s="66" t="str">
        <f>IFERROR(__xludf.DUMMYFUNCTION("IF(COUNTA(Q808:Q1673)=0,"""",IF(REGEXMATCH(INDEX(FILTER(Q$4:Q808,Q$4:Q808&lt;&gt;""""),ROWS(FILTER(Q$4:Q808,Q$4:Q808&lt;&gt;""""))),""^Sell_""),INDEX(FILTER(T$4:T807,Q$4:Q807&lt;&gt;""""),ROWS(FILTER(Q$4:Q807,Q$4:Q807&lt;&gt;""""))),$AD$5+S808))"),"")</f>
        <v/>
      </c>
      <c r="U808" s="10" t="str">
        <f>IFERROR(__xludf.DUMMYFUNCTION("IF(COUNTA(Q808:Q1673)=0,"""",IF(Q808="""",0,IF(REGEXMATCH(Q808,""^Sell_""),-ROUNDDOWN(ROUNDUP(INDEX(Upgrades!$C$3:$C$13,MATCH(SUBSTITUTE(Q808,""Sell_"",""""),Upgrades!$B$3:$B$13,0))*1.15^(COUNTIF(Q$4:Q807,SUBSTITUTE(Q808,""Sell_"",""""))-COUNTIF(Q$4:Q807,"&amp;"""Sell_""&amp;SUBSTITUTE(Q808,""Sell_"",""""))))/2),ROUNDUP(INDEX(Upgrades!$C$3:$C$13,MATCH(Q808,Upgrades!$B$3:$B$13,0))*1.15^(COUNTIF(Q$4:Q807,Q808)-COUNTIF(Q$4:Q807,""Sell_""&amp;Q808))))))"),"")</f>
        <v/>
      </c>
      <c r="V808" s="10" t="str">
        <f t="shared" si="11"/>
        <v/>
      </c>
      <c r="W808" s="68" t="str">
        <f t="shared" si="12"/>
        <v/>
      </c>
      <c r="X808" s="59" t="str">
        <f t="shared" si="13"/>
        <v/>
      </c>
      <c r="Y808" s="69" t="str">
        <f t="shared" si="14"/>
        <v/>
      </c>
      <c r="Z808" s="11"/>
    </row>
    <row r="809">
      <c r="A809" s="8"/>
      <c r="B809" s="56" t="str">
        <f t="shared" si="2"/>
        <v/>
      </c>
      <c r="C809" s="105"/>
      <c r="D809" s="10"/>
      <c r="E809" s="59" t="str">
        <f t="array" ref="E809">IF(COUNTA(C809:C1673)=0,"",SUM((COUNTIF(C$4:C809,Upgrades!$B$3:$B$13)-COUNTIF(C$4:C809,"Sell_"&amp;Upgrades!$B$3:$B$13))*Upgrades!$D$3:$D$13))</f>
        <v/>
      </c>
      <c r="F809" s="66" t="str">
        <f>IFERROR(__xludf.DUMMYFUNCTION("IF(COUNTA(C809:C1673)=0,"""",IF(REGEXMATCH(INDEX(FILTER(C$4:C809,C$4:C809&lt;&gt;""""),ROWS(FILTER(C$4:C809,C$4:C809&lt;&gt;""""))),""^Sell_""),INDEX(FILTER(F$4:F808,C$4:C808&lt;&gt;""""),ROWS(FILTER(C$4:C808,C$4:C808&lt;&gt;""""))),$AC$5+E809))"),"")</f>
        <v/>
      </c>
      <c r="G809" s="10" t="str">
        <f>IFERROR(__xludf.DUMMYFUNCTION("IF(COUNTA(C809:C1673)=0,"""",IF(C809="""",0,IF(REGEXMATCH(C809,""^Sell_""),-ROUNDDOWN(ROUNDUP(INDEX(Upgrades!$C$3:$C$13,MATCH(SUBSTITUTE(C809,""Sell_"",""""),Upgrades!$B$3:$B$13,0))*1.15^(COUNTIF(C$4:C808,SUBSTITUTE(C809,""Sell_"",""""))-COUNTIF(C$4:C808,"&amp;"""Sell_""&amp;SUBSTITUTE(C809,""Sell_"",""""))))/2),ROUNDUP(INDEX(Upgrades!$C$3:$C$13,MATCH(C809,Upgrades!$B$3:$B$13,0))*1.15^(COUNTIF(C$4:C808,C809)-COUNTIF(C$4:C808,""Sell_""&amp;C809))))))"),"")</f>
        <v/>
      </c>
      <c r="H809" s="10" t="str">
        <f t="shared" si="3"/>
        <v/>
      </c>
      <c r="I809" s="68" t="str">
        <f t="shared" si="4"/>
        <v/>
      </c>
      <c r="J809" s="59" t="str">
        <f t="shared" si="5"/>
        <v/>
      </c>
      <c r="K809" s="69" t="str">
        <f t="shared" si="6"/>
        <v/>
      </c>
      <c r="L809" s="60" t="str">
        <f t="shared" si="7"/>
        <v/>
      </c>
      <c r="M809" s="61" t="str">
        <f>IFERROR(__xludf.DUMMYFUNCTION("IFS(AND(COUNTA(C809:C1673)=0,COUNTA(Q809:Q1673)=0),"""",OR(AND(K809&gt;=1000000000,OR(Y809&gt;=1000000000,COUNTA(Q809:Q1673)=0)),OR(Y809&gt;=1000000000,AND(COUNTA(C809:C1673)=0,P$3=TRUE))),
ROUNDDOWN((AB$1-AC$1)*MAX(INDEX(T$4:T1673,MATCH(LARGE(FILTER(Y$4:Y1673,Y$4"&amp;":Y1673&lt;1000000000),1),Y$4:Y1673)),INDEX(F$4:F1673,MATCH(LARGE(FILTER(K$4:K1673,K$4:K1673&lt;1000000000),1),K$4:K1673)))),AND(K809&lt;1000000000,COUNTA(C809:C1673)&gt;0,P$3=FALSE),
ROUNDDOWN(INDEX(Y$4:Y1673,MATCH(LARGE(FILTER(W$4:W1673,W$4:W1673&lt;=I809),1),W$4:W1673"&amp;"))+(I809-LARGE(FILTER(W$4:W1673,W$4:W1673&lt;=I809),1))*INDEX(T$4:T1673,MATCH(LARGE(FILTER(W$4:W1673,W$4:W1673&lt;=I809),1),W$4:W1673))-K809),1,
ROUNDDOWN(Y809-INDEX(K$4:K1673,MATCH(LARGE(FILTER(I$4:I1673,I$4:I1673&lt;=W809),1),I$4:I1673))-(W809-LARGE(FILTER(I$4:I"&amp;"1673,I$4:I1673&lt;=W809),1))*INDEX(F$4:F1673,MATCH(LARGE(FILTER(I$4:I1673,I$4:I1673&lt;=W809),1),I$4:I1673))))"),"")</f>
        <v/>
      </c>
      <c r="N809" s="60" t="str">
        <f t="shared" si="8"/>
        <v/>
      </c>
      <c r="O809" s="61" t="str">
        <f t="shared" si="9"/>
        <v/>
      </c>
      <c r="P809" s="56" t="str">
        <f t="shared" si="10"/>
        <v/>
      </c>
      <c r="R809" s="10"/>
      <c r="S809" s="59" t="str">
        <f t="array" ref="S809">IF(COUNTA(Q809:Q1673)=0,"",SUM((COUNTIF(Q$4:Q809,Upgrades!$B$3:$B$13)-COUNTIF(Q$4:Q809,"Sell_"&amp;Upgrades!$B$3:$B$13))*Upgrades!$D$3:$D$13))</f>
        <v/>
      </c>
      <c r="T809" s="66" t="str">
        <f>IFERROR(__xludf.DUMMYFUNCTION("IF(COUNTA(Q809:Q1673)=0,"""",IF(REGEXMATCH(INDEX(FILTER(Q$4:Q809,Q$4:Q809&lt;&gt;""""),ROWS(FILTER(Q$4:Q809,Q$4:Q809&lt;&gt;""""))),""^Sell_""),INDEX(FILTER(T$4:T808,Q$4:Q808&lt;&gt;""""),ROWS(FILTER(Q$4:Q808,Q$4:Q808&lt;&gt;""""))),$AD$5+S809))"),"")</f>
        <v/>
      </c>
      <c r="U809" s="10" t="str">
        <f>IFERROR(__xludf.DUMMYFUNCTION("IF(COUNTA(Q809:Q1673)=0,"""",IF(Q809="""",0,IF(REGEXMATCH(Q809,""^Sell_""),-ROUNDDOWN(ROUNDUP(INDEX(Upgrades!$C$3:$C$13,MATCH(SUBSTITUTE(Q809,""Sell_"",""""),Upgrades!$B$3:$B$13,0))*1.15^(COUNTIF(Q$4:Q808,SUBSTITUTE(Q809,""Sell_"",""""))-COUNTIF(Q$4:Q808,"&amp;"""Sell_""&amp;SUBSTITUTE(Q809,""Sell_"",""""))))/2),ROUNDUP(INDEX(Upgrades!$C$3:$C$13,MATCH(Q809,Upgrades!$B$3:$B$13,0))*1.15^(COUNTIF(Q$4:Q808,Q809)-COUNTIF(Q$4:Q808,""Sell_""&amp;Q809))))))"),"")</f>
        <v/>
      </c>
      <c r="V809" s="10" t="str">
        <f t="shared" si="11"/>
        <v/>
      </c>
      <c r="W809" s="68" t="str">
        <f t="shared" si="12"/>
        <v/>
      </c>
      <c r="X809" s="59" t="str">
        <f t="shared" si="13"/>
        <v/>
      </c>
      <c r="Y809" s="69" t="str">
        <f t="shared" si="14"/>
        <v/>
      </c>
      <c r="Z809" s="11"/>
    </row>
    <row r="810">
      <c r="A810" s="8"/>
      <c r="B810" s="56" t="str">
        <f t="shared" si="2"/>
        <v/>
      </c>
      <c r="C810" s="105"/>
      <c r="D810" s="10"/>
      <c r="E810" s="59" t="str">
        <f t="array" ref="E810">IF(COUNTA(C810:C1673)=0,"",SUM((COUNTIF(C$4:C810,Upgrades!$B$3:$B$13)-COUNTIF(C$4:C810,"Sell_"&amp;Upgrades!$B$3:$B$13))*Upgrades!$D$3:$D$13))</f>
        <v/>
      </c>
      <c r="F810" s="66" t="str">
        <f>IFERROR(__xludf.DUMMYFUNCTION("IF(COUNTA(C810:C1673)=0,"""",IF(REGEXMATCH(INDEX(FILTER(C$4:C810,C$4:C810&lt;&gt;""""),ROWS(FILTER(C$4:C810,C$4:C810&lt;&gt;""""))),""^Sell_""),INDEX(FILTER(F$4:F809,C$4:C809&lt;&gt;""""),ROWS(FILTER(C$4:C809,C$4:C809&lt;&gt;""""))),$AC$5+E810))"),"")</f>
        <v/>
      </c>
      <c r="G810" s="10" t="str">
        <f>IFERROR(__xludf.DUMMYFUNCTION("IF(COUNTA(C810:C1673)=0,"""",IF(C810="""",0,IF(REGEXMATCH(C810,""^Sell_""),-ROUNDDOWN(ROUNDUP(INDEX(Upgrades!$C$3:$C$13,MATCH(SUBSTITUTE(C810,""Sell_"",""""),Upgrades!$B$3:$B$13,0))*1.15^(COUNTIF(C$4:C809,SUBSTITUTE(C810,""Sell_"",""""))-COUNTIF(C$4:C809,"&amp;"""Sell_""&amp;SUBSTITUTE(C810,""Sell_"",""""))))/2),ROUNDUP(INDEX(Upgrades!$C$3:$C$13,MATCH(C810,Upgrades!$B$3:$B$13,0))*1.15^(COUNTIF(C$4:C809,C810)-COUNTIF(C$4:C809,""Sell_""&amp;C810))))))"),"")</f>
        <v/>
      </c>
      <c r="H810" s="10" t="str">
        <f t="shared" si="3"/>
        <v/>
      </c>
      <c r="I810" s="68" t="str">
        <f t="shared" si="4"/>
        <v/>
      </c>
      <c r="J810" s="59" t="str">
        <f t="shared" si="5"/>
        <v/>
      </c>
      <c r="K810" s="69" t="str">
        <f t="shared" si="6"/>
        <v/>
      </c>
      <c r="L810" s="60" t="str">
        <f t="shared" si="7"/>
        <v/>
      </c>
      <c r="M810" s="61" t="str">
        <f>IFERROR(__xludf.DUMMYFUNCTION("IFS(AND(COUNTA(C810:C1673)=0,COUNTA(Q810:Q1673)=0),"""",OR(AND(K810&gt;=1000000000,OR(Y810&gt;=1000000000,COUNTA(Q810:Q1673)=0)),OR(Y810&gt;=1000000000,AND(COUNTA(C810:C1673)=0,P$3=TRUE))),
ROUNDDOWN((AB$1-AC$1)*MAX(INDEX(T$4:T1673,MATCH(LARGE(FILTER(Y$4:Y1673,Y$4"&amp;":Y1673&lt;1000000000),1),Y$4:Y1673)),INDEX(F$4:F1673,MATCH(LARGE(FILTER(K$4:K1673,K$4:K1673&lt;1000000000),1),K$4:K1673)))),AND(K810&lt;1000000000,COUNTA(C810:C1673)&gt;0,P$3=FALSE),
ROUNDDOWN(INDEX(Y$4:Y1673,MATCH(LARGE(FILTER(W$4:W1673,W$4:W1673&lt;=I810),1),W$4:W1673"&amp;"))+(I810-LARGE(FILTER(W$4:W1673,W$4:W1673&lt;=I810),1))*INDEX(T$4:T1673,MATCH(LARGE(FILTER(W$4:W1673,W$4:W1673&lt;=I810),1),W$4:W1673))-K810),1,
ROUNDDOWN(Y810-INDEX(K$4:K1673,MATCH(LARGE(FILTER(I$4:I1673,I$4:I1673&lt;=W810),1),I$4:I1673))-(W810-LARGE(FILTER(I$4:I"&amp;"1673,I$4:I1673&lt;=W810),1))*INDEX(F$4:F1673,MATCH(LARGE(FILTER(I$4:I1673,I$4:I1673&lt;=W810),1),I$4:I1673))))"),"")</f>
        <v/>
      </c>
      <c r="N810" s="60" t="str">
        <f t="shared" si="8"/>
        <v/>
      </c>
      <c r="O810" s="61" t="str">
        <f t="shared" si="9"/>
        <v/>
      </c>
      <c r="P810" s="56" t="str">
        <f t="shared" si="10"/>
        <v/>
      </c>
      <c r="R810" s="10"/>
      <c r="S810" s="59" t="str">
        <f t="array" ref="S810">IF(COUNTA(Q810:Q1673)=0,"",SUM((COUNTIF(Q$4:Q810,Upgrades!$B$3:$B$13)-COUNTIF(Q$4:Q810,"Sell_"&amp;Upgrades!$B$3:$B$13))*Upgrades!$D$3:$D$13))</f>
        <v/>
      </c>
      <c r="T810" s="66" t="str">
        <f>IFERROR(__xludf.DUMMYFUNCTION("IF(COUNTA(Q810:Q1673)=0,"""",IF(REGEXMATCH(INDEX(FILTER(Q$4:Q810,Q$4:Q810&lt;&gt;""""),ROWS(FILTER(Q$4:Q810,Q$4:Q810&lt;&gt;""""))),""^Sell_""),INDEX(FILTER(T$4:T809,Q$4:Q809&lt;&gt;""""),ROWS(FILTER(Q$4:Q809,Q$4:Q809&lt;&gt;""""))),$AD$5+S810))"),"")</f>
        <v/>
      </c>
      <c r="U810" s="10" t="str">
        <f>IFERROR(__xludf.DUMMYFUNCTION("IF(COUNTA(Q810:Q1673)=0,"""",IF(Q810="""",0,IF(REGEXMATCH(Q810,""^Sell_""),-ROUNDDOWN(ROUNDUP(INDEX(Upgrades!$C$3:$C$13,MATCH(SUBSTITUTE(Q810,""Sell_"",""""),Upgrades!$B$3:$B$13,0))*1.15^(COUNTIF(Q$4:Q809,SUBSTITUTE(Q810,""Sell_"",""""))-COUNTIF(Q$4:Q809,"&amp;"""Sell_""&amp;SUBSTITUTE(Q810,""Sell_"",""""))))/2),ROUNDUP(INDEX(Upgrades!$C$3:$C$13,MATCH(Q810,Upgrades!$B$3:$B$13,0))*1.15^(COUNTIF(Q$4:Q809,Q810)-COUNTIF(Q$4:Q809,""Sell_""&amp;Q810))))))"),"")</f>
        <v/>
      </c>
      <c r="V810" s="10" t="str">
        <f t="shared" si="11"/>
        <v/>
      </c>
      <c r="W810" s="68" t="str">
        <f t="shared" si="12"/>
        <v/>
      </c>
      <c r="X810" s="59" t="str">
        <f t="shared" si="13"/>
        <v/>
      </c>
      <c r="Y810" s="69" t="str">
        <f t="shared" si="14"/>
        <v/>
      </c>
      <c r="Z810" s="11"/>
    </row>
    <row r="811">
      <c r="A811" s="8"/>
      <c r="B811" s="56" t="str">
        <f t="shared" si="2"/>
        <v/>
      </c>
      <c r="C811" s="105"/>
      <c r="D811" s="10"/>
      <c r="E811" s="59" t="str">
        <f t="array" ref="E811">IF(COUNTA(C811:C1673)=0,"",SUM((COUNTIF(C$4:C811,Upgrades!$B$3:$B$13)-COUNTIF(C$4:C811,"Sell_"&amp;Upgrades!$B$3:$B$13))*Upgrades!$D$3:$D$13))</f>
        <v/>
      </c>
      <c r="F811" s="66" t="str">
        <f>IFERROR(__xludf.DUMMYFUNCTION("IF(COUNTA(C811:C1673)=0,"""",IF(REGEXMATCH(INDEX(FILTER(C$4:C811,C$4:C811&lt;&gt;""""),ROWS(FILTER(C$4:C811,C$4:C811&lt;&gt;""""))),""^Sell_""),INDEX(FILTER(F$4:F810,C$4:C810&lt;&gt;""""),ROWS(FILTER(C$4:C810,C$4:C810&lt;&gt;""""))),$AC$5+E811))"),"")</f>
        <v/>
      </c>
      <c r="G811" s="10" t="str">
        <f>IFERROR(__xludf.DUMMYFUNCTION("IF(COUNTA(C811:C1673)=0,"""",IF(C811="""",0,IF(REGEXMATCH(C811,""^Sell_""),-ROUNDDOWN(ROUNDUP(INDEX(Upgrades!$C$3:$C$13,MATCH(SUBSTITUTE(C811,""Sell_"",""""),Upgrades!$B$3:$B$13,0))*1.15^(COUNTIF(C$4:C810,SUBSTITUTE(C811,""Sell_"",""""))-COUNTIF(C$4:C810,"&amp;"""Sell_""&amp;SUBSTITUTE(C811,""Sell_"",""""))))/2),ROUNDUP(INDEX(Upgrades!$C$3:$C$13,MATCH(C811,Upgrades!$B$3:$B$13,0))*1.15^(COUNTIF(C$4:C810,C811)-COUNTIF(C$4:C810,""Sell_""&amp;C811))))))"),"")</f>
        <v/>
      </c>
      <c r="H811" s="10" t="str">
        <f t="shared" si="3"/>
        <v/>
      </c>
      <c r="I811" s="68" t="str">
        <f t="shared" si="4"/>
        <v/>
      </c>
      <c r="J811" s="59" t="str">
        <f t="shared" si="5"/>
        <v/>
      </c>
      <c r="K811" s="69" t="str">
        <f t="shared" si="6"/>
        <v/>
      </c>
      <c r="L811" s="60" t="str">
        <f t="shared" si="7"/>
        <v/>
      </c>
      <c r="M811" s="61" t="str">
        <f>IFERROR(__xludf.DUMMYFUNCTION("IFS(AND(COUNTA(C811:C1673)=0,COUNTA(Q811:Q1673)=0),"""",OR(AND(K811&gt;=1000000000,OR(Y811&gt;=1000000000,COUNTA(Q811:Q1673)=0)),OR(Y811&gt;=1000000000,AND(COUNTA(C811:C1673)=0,P$3=TRUE))),
ROUNDDOWN((AB$1-AC$1)*MAX(INDEX(T$4:T1673,MATCH(LARGE(FILTER(Y$4:Y1673,Y$4"&amp;":Y1673&lt;1000000000),1),Y$4:Y1673)),INDEX(F$4:F1673,MATCH(LARGE(FILTER(K$4:K1673,K$4:K1673&lt;1000000000),1),K$4:K1673)))),AND(K811&lt;1000000000,COUNTA(C811:C1673)&gt;0,P$3=FALSE),
ROUNDDOWN(INDEX(Y$4:Y1673,MATCH(LARGE(FILTER(W$4:W1673,W$4:W1673&lt;=I811),1),W$4:W1673"&amp;"))+(I811-LARGE(FILTER(W$4:W1673,W$4:W1673&lt;=I811),1))*INDEX(T$4:T1673,MATCH(LARGE(FILTER(W$4:W1673,W$4:W1673&lt;=I811),1),W$4:W1673))-K811),1,
ROUNDDOWN(Y811-INDEX(K$4:K1673,MATCH(LARGE(FILTER(I$4:I1673,I$4:I1673&lt;=W811),1),I$4:I1673))-(W811-LARGE(FILTER(I$4:I"&amp;"1673,I$4:I1673&lt;=W811),1))*INDEX(F$4:F1673,MATCH(LARGE(FILTER(I$4:I1673,I$4:I1673&lt;=W811),1),I$4:I1673))))"),"")</f>
        <v/>
      </c>
      <c r="N811" s="60" t="str">
        <f t="shared" si="8"/>
        <v/>
      </c>
      <c r="O811" s="61" t="str">
        <f t="shared" si="9"/>
        <v/>
      </c>
      <c r="P811" s="56" t="str">
        <f t="shared" si="10"/>
        <v/>
      </c>
      <c r="R811" s="10"/>
      <c r="S811" s="59" t="str">
        <f t="array" ref="S811">IF(COUNTA(Q811:Q1673)=0,"",SUM((COUNTIF(Q$4:Q811,Upgrades!$B$3:$B$13)-COUNTIF(Q$4:Q811,"Sell_"&amp;Upgrades!$B$3:$B$13))*Upgrades!$D$3:$D$13))</f>
        <v/>
      </c>
      <c r="T811" s="66" t="str">
        <f>IFERROR(__xludf.DUMMYFUNCTION("IF(COUNTA(Q811:Q1673)=0,"""",IF(REGEXMATCH(INDEX(FILTER(Q$4:Q811,Q$4:Q811&lt;&gt;""""),ROWS(FILTER(Q$4:Q811,Q$4:Q811&lt;&gt;""""))),""^Sell_""),INDEX(FILTER(T$4:T810,Q$4:Q810&lt;&gt;""""),ROWS(FILTER(Q$4:Q810,Q$4:Q810&lt;&gt;""""))),$AD$5+S811))"),"")</f>
        <v/>
      </c>
      <c r="U811" s="10" t="str">
        <f>IFERROR(__xludf.DUMMYFUNCTION("IF(COUNTA(Q811:Q1673)=0,"""",IF(Q811="""",0,IF(REGEXMATCH(Q811,""^Sell_""),-ROUNDDOWN(ROUNDUP(INDEX(Upgrades!$C$3:$C$13,MATCH(SUBSTITUTE(Q811,""Sell_"",""""),Upgrades!$B$3:$B$13,0))*1.15^(COUNTIF(Q$4:Q810,SUBSTITUTE(Q811,""Sell_"",""""))-COUNTIF(Q$4:Q810,"&amp;"""Sell_""&amp;SUBSTITUTE(Q811,""Sell_"",""""))))/2),ROUNDUP(INDEX(Upgrades!$C$3:$C$13,MATCH(Q811,Upgrades!$B$3:$B$13,0))*1.15^(COUNTIF(Q$4:Q810,Q811)-COUNTIF(Q$4:Q810,""Sell_""&amp;Q811))))))"),"")</f>
        <v/>
      </c>
      <c r="V811" s="10" t="str">
        <f t="shared" si="11"/>
        <v/>
      </c>
      <c r="W811" s="68" t="str">
        <f t="shared" si="12"/>
        <v/>
      </c>
      <c r="X811" s="59" t="str">
        <f t="shared" si="13"/>
        <v/>
      </c>
      <c r="Y811" s="69" t="str">
        <f t="shared" si="14"/>
        <v/>
      </c>
      <c r="Z811" s="11"/>
    </row>
    <row r="812">
      <c r="A812" s="8"/>
      <c r="B812" s="56" t="str">
        <f t="shared" si="2"/>
        <v/>
      </c>
      <c r="C812" s="105"/>
      <c r="D812" s="10"/>
      <c r="E812" s="59" t="str">
        <f t="array" ref="E812">IF(COUNTA(C812:C1673)=0,"",SUM((COUNTIF(C$4:C812,Upgrades!$B$3:$B$13)-COUNTIF(C$4:C812,"Sell_"&amp;Upgrades!$B$3:$B$13))*Upgrades!$D$3:$D$13))</f>
        <v/>
      </c>
      <c r="F812" s="66" t="str">
        <f>IFERROR(__xludf.DUMMYFUNCTION("IF(COUNTA(C812:C1673)=0,"""",IF(REGEXMATCH(INDEX(FILTER(C$4:C812,C$4:C812&lt;&gt;""""),ROWS(FILTER(C$4:C812,C$4:C812&lt;&gt;""""))),""^Sell_""),INDEX(FILTER(F$4:F811,C$4:C811&lt;&gt;""""),ROWS(FILTER(C$4:C811,C$4:C811&lt;&gt;""""))),$AC$5+E812))"),"")</f>
        <v/>
      </c>
      <c r="G812" s="10" t="str">
        <f>IFERROR(__xludf.DUMMYFUNCTION("IF(COUNTA(C812:C1673)=0,"""",IF(C812="""",0,IF(REGEXMATCH(C812,""^Sell_""),-ROUNDDOWN(ROUNDUP(INDEX(Upgrades!$C$3:$C$13,MATCH(SUBSTITUTE(C812,""Sell_"",""""),Upgrades!$B$3:$B$13,0))*1.15^(COUNTIF(C$4:C811,SUBSTITUTE(C812,""Sell_"",""""))-COUNTIF(C$4:C811,"&amp;"""Sell_""&amp;SUBSTITUTE(C812,""Sell_"",""""))))/2),ROUNDUP(INDEX(Upgrades!$C$3:$C$13,MATCH(C812,Upgrades!$B$3:$B$13,0))*1.15^(COUNTIF(C$4:C811,C812)-COUNTIF(C$4:C811,""Sell_""&amp;C812))))))"),"")</f>
        <v/>
      </c>
      <c r="H812" s="10" t="str">
        <f t="shared" si="3"/>
        <v/>
      </c>
      <c r="I812" s="68" t="str">
        <f t="shared" si="4"/>
        <v/>
      </c>
      <c r="J812" s="59" t="str">
        <f t="shared" si="5"/>
        <v/>
      </c>
      <c r="K812" s="69" t="str">
        <f t="shared" si="6"/>
        <v/>
      </c>
      <c r="L812" s="60" t="str">
        <f t="shared" si="7"/>
        <v/>
      </c>
      <c r="M812" s="61" t="str">
        <f>IFERROR(__xludf.DUMMYFUNCTION("IFS(AND(COUNTA(C812:C1673)=0,COUNTA(Q812:Q1673)=0),"""",OR(AND(K812&gt;=1000000000,OR(Y812&gt;=1000000000,COUNTA(Q812:Q1673)=0)),OR(Y812&gt;=1000000000,AND(COUNTA(C812:C1673)=0,P$3=TRUE))),
ROUNDDOWN((AB$1-AC$1)*MAX(INDEX(T$4:T1673,MATCH(LARGE(FILTER(Y$4:Y1673,Y$4"&amp;":Y1673&lt;1000000000),1),Y$4:Y1673)),INDEX(F$4:F1673,MATCH(LARGE(FILTER(K$4:K1673,K$4:K1673&lt;1000000000),1),K$4:K1673)))),AND(K812&lt;1000000000,COUNTA(C812:C1673)&gt;0,P$3=FALSE),
ROUNDDOWN(INDEX(Y$4:Y1673,MATCH(LARGE(FILTER(W$4:W1673,W$4:W1673&lt;=I812),1),W$4:W1673"&amp;"))+(I812-LARGE(FILTER(W$4:W1673,W$4:W1673&lt;=I812),1))*INDEX(T$4:T1673,MATCH(LARGE(FILTER(W$4:W1673,W$4:W1673&lt;=I812),1),W$4:W1673))-K812),1,
ROUNDDOWN(Y812-INDEX(K$4:K1673,MATCH(LARGE(FILTER(I$4:I1673,I$4:I1673&lt;=W812),1),I$4:I1673))-(W812-LARGE(FILTER(I$4:I"&amp;"1673,I$4:I1673&lt;=W812),1))*INDEX(F$4:F1673,MATCH(LARGE(FILTER(I$4:I1673,I$4:I1673&lt;=W812),1),I$4:I1673))))"),"")</f>
        <v/>
      </c>
      <c r="N812" s="60" t="str">
        <f t="shared" si="8"/>
        <v/>
      </c>
      <c r="O812" s="61" t="str">
        <f t="shared" si="9"/>
        <v/>
      </c>
      <c r="P812" s="56" t="str">
        <f t="shared" si="10"/>
        <v/>
      </c>
      <c r="R812" s="10"/>
      <c r="S812" s="59" t="str">
        <f t="array" ref="S812">IF(COUNTA(Q812:Q1673)=0,"",SUM((COUNTIF(Q$4:Q812,Upgrades!$B$3:$B$13)-COUNTIF(Q$4:Q812,"Sell_"&amp;Upgrades!$B$3:$B$13))*Upgrades!$D$3:$D$13))</f>
        <v/>
      </c>
      <c r="T812" s="66" t="str">
        <f>IFERROR(__xludf.DUMMYFUNCTION("IF(COUNTA(Q812:Q1673)=0,"""",IF(REGEXMATCH(INDEX(FILTER(Q$4:Q812,Q$4:Q812&lt;&gt;""""),ROWS(FILTER(Q$4:Q812,Q$4:Q812&lt;&gt;""""))),""^Sell_""),INDEX(FILTER(T$4:T811,Q$4:Q811&lt;&gt;""""),ROWS(FILTER(Q$4:Q811,Q$4:Q811&lt;&gt;""""))),$AD$5+S812))"),"")</f>
        <v/>
      </c>
      <c r="U812" s="10" t="str">
        <f>IFERROR(__xludf.DUMMYFUNCTION("IF(COUNTA(Q812:Q1673)=0,"""",IF(Q812="""",0,IF(REGEXMATCH(Q812,""^Sell_""),-ROUNDDOWN(ROUNDUP(INDEX(Upgrades!$C$3:$C$13,MATCH(SUBSTITUTE(Q812,""Sell_"",""""),Upgrades!$B$3:$B$13,0))*1.15^(COUNTIF(Q$4:Q811,SUBSTITUTE(Q812,""Sell_"",""""))-COUNTIF(Q$4:Q811,"&amp;"""Sell_""&amp;SUBSTITUTE(Q812,""Sell_"",""""))))/2),ROUNDUP(INDEX(Upgrades!$C$3:$C$13,MATCH(Q812,Upgrades!$B$3:$B$13,0))*1.15^(COUNTIF(Q$4:Q811,Q812)-COUNTIF(Q$4:Q811,""Sell_""&amp;Q812))))))"),"")</f>
        <v/>
      </c>
      <c r="V812" s="10" t="str">
        <f t="shared" si="11"/>
        <v/>
      </c>
      <c r="W812" s="68" t="str">
        <f t="shared" si="12"/>
        <v/>
      </c>
      <c r="X812" s="59" t="str">
        <f t="shared" si="13"/>
        <v/>
      </c>
      <c r="Y812" s="69" t="str">
        <f t="shared" si="14"/>
        <v/>
      </c>
      <c r="Z812" s="11"/>
    </row>
    <row r="813">
      <c r="A813" s="8"/>
      <c r="B813" s="56" t="str">
        <f t="shared" si="2"/>
        <v/>
      </c>
      <c r="C813" s="105"/>
      <c r="D813" s="10"/>
      <c r="E813" s="59" t="str">
        <f t="array" ref="E813">IF(COUNTA(C813:C1673)=0,"",SUM((COUNTIF(C$4:C813,Upgrades!$B$3:$B$13)-COUNTIF(C$4:C813,"Sell_"&amp;Upgrades!$B$3:$B$13))*Upgrades!$D$3:$D$13))</f>
        <v/>
      </c>
      <c r="F813" s="66" t="str">
        <f>IFERROR(__xludf.DUMMYFUNCTION("IF(COUNTA(C813:C1673)=0,"""",IF(REGEXMATCH(INDEX(FILTER(C$4:C813,C$4:C813&lt;&gt;""""),ROWS(FILTER(C$4:C813,C$4:C813&lt;&gt;""""))),""^Sell_""),INDEX(FILTER(F$4:F812,C$4:C812&lt;&gt;""""),ROWS(FILTER(C$4:C812,C$4:C812&lt;&gt;""""))),$AC$5+E813))"),"")</f>
        <v/>
      </c>
      <c r="G813" s="10" t="str">
        <f>IFERROR(__xludf.DUMMYFUNCTION("IF(COUNTA(C813:C1673)=0,"""",IF(C813="""",0,IF(REGEXMATCH(C813,""^Sell_""),-ROUNDDOWN(ROUNDUP(INDEX(Upgrades!$C$3:$C$13,MATCH(SUBSTITUTE(C813,""Sell_"",""""),Upgrades!$B$3:$B$13,0))*1.15^(COUNTIF(C$4:C812,SUBSTITUTE(C813,""Sell_"",""""))-COUNTIF(C$4:C812,"&amp;"""Sell_""&amp;SUBSTITUTE(C813,""Sell_"",""""))))/2),ROUNDUP(INDEX(Upgrades!$C$3:$C$13,MATCH(C813,Upgrades!$B$3:$B$13,0))*1.15^(COUNTIF(C$4:C812,C813)-COUNTIF(C$4:C812,""Sell_""&amp;C813))))))"),"")</f>
        <v/>
      </c>
      <c r="H813" s="10" t="str">
        <f t="shared" si="3"/>
        <v/>
      </c>
      <c r="I813" s="68" t="str">
        <f t="shared" si="4"/>
        <v/>
      </c>
      <c r="J813" s="59" t="str">
        <f t="shared" si="5"/>
        <v/>
      </c>
      <c r="K813" s="69" t="str">
        <f t="shared" si="6"/>
        <v/>
      </c>
      <c r="L813" s="60" t="str">
        <f t="shared" si="7"/>
        <v/>
      </c>
      <c r="M813" s="61" t="str">
        <f>IFERROR(__xludf.DUMMYFUNCTION("IFS(AND(COUNTA(C813:C1673)=0,COUNTA(Q813:Q1673)=0),"""",OR(AND(K813&gt;=1000000000,OR(Y813&gt;=1000000000,COUNTA(Q813:Q1673)=0)),OR(Y813&gt;=1000000000,AND(COUNTA(C813:C1673)=0,P$3=TRUE))),
ROUNDDOWN((AB$1-AC$1)*MAX(INDEX(T$4:T1673,MATCH(LARGE(FILTER(Y$4:Y1673,Y$4"&amp;":Y1673&lt;1000000000),1),Y$4:Y1673)),INDEX(F$4:F1673,MATCH(LARGE(FILTER(K$4:K1673,K$4:K1673&lt;1000000000),1),K$4:K1673)))),AND(K813&lt;1000000000,COUNTA(C813:C1673)&gt;0,P$3=FALSE),
ROUNDDOWN(INDEX(Y$4:Y1673,MATCH(LARGE(FILTER(W$4:W1673,W$4:W1673&lt;=I813),1),W$4:W1673"&amp;"))+(I813-LARGE(FILTER(W$4:W1673,W$4:W1673&lt;=I813),1))*INDEX(T$4:T1673,MATCH(LARGE(FILTER(W$4:W1673,W$4:W1673&lt;=I813),1),W$4:W1673))-K813),1,
ROUNDDOWN(Y813-INDEX(K$4:K1673,MATCH(LARGE(FILTER(I$4:I1673,I$4:I1673&lt;=W813),1),I$4:I1673))-(W813-LARGE(FILTER(I$4:I"&amp;"1673,I$4:I1673&lt;=W813),1))*INDEX(F$4:F1673,MATCH(LARGE(FILTER(I$4:I1673,I$4:I1673&lt;=W813),1),I$4:I1673))))"),"")</f>
        <v/>
      </c>
      <c r="N813" s="60" t="str">
        <f t="shared" si="8"/>
        <v/>
      </c>
      <c r="O813" s="61" t="str">
        <f t="shared" si="9"/>
        <v/>
      </c>
      <c r="P813" s="56" t="str">
        <f t="shared" si="10"/>
        <v/>
      </c>
      <c r="R813" s="10"/>
      <c r="S813" s="59" t="str">
        <f t="array" ref="S813">IF(COUNTA(Q813:Q1673)=0,"",SUM((COUNTIF(Q$4:Q813,Upgrades!$B$3:$B$13)-COUNTIF(Q$4:Q813,"Sell_"&amp;Upgrades!$B$3:$B$13))*Upgrades!$D$3:$D$13))</f>
        <v/>
      </c>
      <c r="T813" s="66" t="str">
        <f>IFERROR(__xludf.DUMMYFUNCTION("IF(COUNTA(Q813:Q1673)=0,"""",IF(REGEXMATCH(INDEX(FILTER(Q$4:Q813,Q$4:Q813&lt;&gt;""""),ROWS(FILTER(Q$4:Q813,Q$4:Q813&lt;&gt;""""))),""^Sell_""),INDEX(FILTER(T$4:T812,Q$4:Q812&lt;&gt;""""),ROWS(FILTER(Q$4:Q812,Q$4:Q812&lt;&gt;""""))),$AD$5+S813))"),"")</f>
        <v/>
      </c>
      <c r="U813" s="10" t="str">
        <f>IFERROR(__xludf.DUMMYFUNCTION("IF(COUNTA(Q813:Q1673)=0,"""",IF(Q813="""",0,IF(REGEXMATCH(Q813,""^Sell_""),-ROUNDDOWN(ROUNDUP(INDEX(Upgrades!$C$3:$C$13,MATCH(SUBSTITUTE(Q813,""Sell_"",""""),Upgrades!$B$3:$B$13,0))*1.15^(COUNTIF(Q$4:Q812,SUBSTITUTE(Q813,""Sell_"",""""))-COUNTIF(Q$4:Q812,"&amp;"""Sell_""&amp;SUBSTITUTE(Q813,""Sell_"",""""))))/2),ROUNDUP(INDEX(Upgrades!$C$3:$C$13,MATCH(Q813,Upgrades!$B$3:$B$13,0))*1.15^(COUNTIF(Q$4:Q812,Q813)-COUNTIF(Q$4:Q812,""Sell_""&amp;Q813))))))"),"")</f>
        <v/>
      </c>
      <c r="V813" s="10" t="str">
        <f t="shared" si="11"/>
        <v/>
      </c>
      <c r="W813" s="68" t="str">
        <f t="shared" si="12"/>
        <v/>
      </c>
      <c r="X813" s="59" t="str">
        <f t="shared" si="13"/>
        <v/>
      </c>
      <c r="Y813" s="69" t="str">
        <f t="shared" si="14"/>
        <v/>
      </c>
      <c r="Z813" s="11"/>
    </row>
    <row r="814">
      <c r="A814" s="8"/>
      <c r="B814" s="56" t="str">
        <f t="shared" si="2"/>
        <v/>
      </c>
      <c r="C814" s="105"/>
      <c r="D814" s="10"/>
      <c r="E814" s="59" t="str">
        <f t="array" ref="E814">IF(COUNTA(C814:C1673)=0,"",SUM((COUNTIF(C$4:C814,Upgrades!$B$3:$B$13)-COUNTIF(C$4:C814,"Sell_"&amp;Upgrades!$B$3:$B$13))*Upgrades!$D$3:$D$13))</f>
        <v/>
      </c>
      <c r="F814" s="66" t="str">
        <f>IFERROR(__xludf.DUMMYFUNCTION("IF(COUNTA(C814:C1673)=0,"""",IF(REGEXMATCH(INDEX(FILTER(C$4:C814,C$4:C814&lt;&gt;""""),ROWS(FILTER(C$4:C814,C$4:C814&lt;&gt;""""))),""^Sell_""),INDEX(FILTER(F$4:F813,C$4:C813&lt;&gt;""""),ROWS(FILTER(C$4:C813,C$4:C813&lt;&gt;""""))),$AC$5+E814))"),"")</f>
        <v/>
      </c>
      <c r="G814" s="10" t="str">
        <f>IFERROR(__xludf.DUMMYFUNCTION("IF(COUNTA(C814:C1673)=0,"""",IF(C814="""",0,IF(REGEXMATCH(C814,""^Sell_""),-ROUNDDOWN(ROUNDUP(INDEX(Upgrades!$C$3:$C$13,MATCH(SUBSTITUTE(C814,""Sell_"",""""),Upgrades!$B$3:$B$13,0))*1.15^(COUNTIF(C$4:C813,SUBSTITUTE(C814,""Sell_"",""""))-COUNTIF(C$4:C813,"&amp;"""Sell_""&amp;SUBSTITUTE(C814,""Sell_"",""""))))/2),ROUNDUP(INDEX(Upgrades!$C$3:$C$13,MATCH(C814,Upgrades!$B$3:$B$13,0))*1.15^(COUNTIF(C$4:C813,C814)-COUNTIF(C$4:C813,""Sell_""&amp;C814))))))"),"")</f>
        <v/>
      </c>
      <c r="H814" s="10" t="str">
        <f t="shared" si="3"/>
        <v/>
      </c>
      <c r="I814" s="68" t="str">
        <f t="shared" si="4"/>
        <v/>
      </c>
      <c r="J814" s="59" t="str">
        <f t="shared" si="5"/>
        <v/>
      </c>
      <c r="K814" s="69" t="str">
        <f t="shared" si="6"/>
        <v/>
      </c>
      <c r="L814" s="60" t="str">
        <f t="shared" si="7"/>
        <v/>
      </c>
      <c r="M814" s="61" t="str">
        <f>IFERROR(__xludf.DUMMYFUNCTION("IFS(AND(COUNTA(C814:C1673)=0,COUNTA(Q814:Q1673)=0),"""",OR(AND(K814&gt;=1000000000,OR(Y814&gt;=1000000000,COUNTA(Q814:Q1673)=0)),OR(Y814&gt;=1000000000,AND(COUNTA(C814:C1673)=0,P$3=TRUE))),
ROUNDDOWN((AB$1-AC$1)*MAX(INDEX(T$4:T1673,MATCH(LARGE(FILTER(Y$4:Y1673,Y$4"&amp;":Y1673&lt;1000000000),1),Y$4:Y1673)),INDEX(F$4:F1673,MATCH(LARGE(FILTER(K$4:K1673,K$4:K1673&lt;1000000000),1),K$4:K1673)))),AND(K814&lt;1000000000,COUNTA(C814:C1673)&gt;0,P$3=FALSE),
ROUNDDOWN(INDEX(Y$4:Y1673,MATCH(LARGE(FILTER(W$4:W1673,W$4:W1673&lt;=I814),1),W$4:W1673"&amp;"))+(I814-LARGE(FILTER(W$4:W1673,W$4:W1673&lt;=I814),1))*INDEX(T$4:T1673,MATCH(LARGE(FILTER(W$4:W1673,W$4:W1673&lt;=I814),1),W$4:W1673))-K814),1,
ROUNDDOWN(Y814-INDEX(K$4:K1673,MATCH(LARGE(FILTER(I$4:I1673,I$4:I1673&lt;=W814),1),I$4:I1673))-(W814-LARGE(FILTER(I$4:I"&amp;"1673,I$4:I1673&lt;=W814),1))*INDEX(F$4:F1673,MATCH(LARGE(FILTER(I$4:I1673,I$4:I1673&lt;=W814),1),I$4:I1673))))"),"")</f>
        <v/>
      </c>
      <c r="N814" s="60" t="str">
        <f t="shared" si="8"/>
        <v/>
      </c>
      <c r="O814" s="61" t="str">
        <f t="shared" si="9"/>
        <v/>
      </c>
      <c r="P814" s="56" t="str">
        <f t="shared" si="10"/>
        <v/>
      </c>
      <c r="R814" s="10"/>
      <c r="S814" s="59" t="str">
        <f t="array" ref="S814">IF(COUNTA(Q814:Q1673)=0,"",SUM((COUNTIF(Q$4:Q814,Upgrades!$B$3:$B$13)-COUNTIF(Q$4:Q814,"Sell_"&amp;Upgrades!$B$3:$B$13))*Upgrades!$D$3:$D$13))</f>
        <v/>
      </c>
      <c r="T814" s="66" t="str">
        <f>IFERROR(__xludf.DUMMYFUNCTION("IF(COUNTA(Q814:Q1673)=0,"""",IF(REGEXMATCH(INDEX(FILTER(Q$4:Q814,Q$4:Q814&lt;&gt;""""),ROWS(FILTER(Q$4:Q814,Q$4:Q814&lt;&gt;""""))),""^Sell_""),INDEX(FILTER(T$4:T813,Q$4:Q813&lt;&gt;""""),ROWS(FILTER(Q$4:Q813,Q$4:Q813&lt;&gt;""""))),$AD$5+S814))"),"")</f>
        <v/>
      </c>
      <c r="U814" s="10" t="str">
        <f>IFERROR(__xludf.DUMMYFUNCTION("IF(COUNTA(Q814:Q1673)=0,"""",IF(Q814="""",0,IF(REGEXMATCH(Q814,""^Sell_""),-ROUNDDOWN(ROUNDUP(INDEX(Upgrades!$C$3:$C$13,MATCH(SUBSTITUTE(Q814,""Sell_"",""""),Upgrades!$B$3:$B$13,0))*1.15^(COUNTIF(Q$4:Q813,SUBSTITUTE(Q814,""Sell_"",""""))-COUNTIF(Q$4:Q813,"&amp;"""Sell_""&amp;SUBSTITUTE(Q814,""Sell_"",""""))))/2),ROUNDUP(INDEX(Upgrades!$C$3:$C$13,MATCH(Q814,Upgrades!$B$3:$B$13,0))*1.15^(COUNTIF(Q$4:Q813,Q814)-COUNTIF(Q$4:Q813,""Sell_""&amp;Q814))))))"),"")</f>
        <v/>
      </c>
      <c r="V814" s="10" t="str">
        <f t="shared" si="11"/>
        <v/>
      </c>
      <c r="W814" s="68" t="str">
        <f t="shared" si="12"/>
        <v/>
      </c>
      <c r="X814" s="59" t="str">
        <f t="shared" si="13"/>
        <v/>
      </c>
      <c r="Y814" s="69" t="str">
        <f t="shared" si="14"/>
        <v/>
      </c>
      <c r="Z814" s="11"/>
    </row>
    <row r="815">
      <c r="A815" s="8"/>
      <c r="B815" s="56" t="str">
        <f t="shared" si="2"/>
        <v/>
      </c>
      <c r="C815" s="105"/>
      <c r="D815" s="10"/>
      <c r="E815" s="59" t="str">
        <f t="array" ref="E815">IF(COUNTA(C815:C1673)=0,"",SUM((COUNTIF(C$4:C815,Upgrades!$B$3:$B$13)-COUNTIF(C$4:C815,"Sell_"&amp;Upgrades!$B$3:$B$13))*Upgrades!$D$3:$D$13))</f>
        <v/>
      </c>
      <c r="F815" s="66" t="str">
        <f>IFERROR(__xludf.DUMMYFUNCTION("IF(COUNTA(C815:C1673)=0,"""",IF(REGEXMATCH(INDEX(FILTER(C$4:C815,C$4:C815&lt;&gt;""""),ROWS(FILTER(C$4:C815,C$4:C815&lt;&gt;""""))),""^Sell_""),INDEX(FILTER(F$4:F814,C$4:C814&lt;&gt;""""),ROWS(FILTER(C$4:C814,C$4:C814&lt;&gt;""""))),$AC$5+E815))"),"")</f>
        <v/>
      </c>
      <c r="G815" s="10" t="str">
        <f>IFERROR(__xludf.DUMMYFUNCTION("IF(COUNTA(C815:C1673)=0,"""",IF(C815="""",0,IF(REGEXMATCH(C815,""^Sell_""),-ROUNDDOWN(ROUNDUP(INDEX(Upgrades!$C$3:$C$13,MATCH(SUBSTITUTE(C815,""Sell_"",""""),Upgrades!$B$3:$B$13,0))*1.15^(COUNTIF(C$4:C814,SUBSTITUTE(C815,""Sell_"",""""))-COUNTIF(C$4:C814,"&amp;"""Sell_""&amp;SUBSTITUTE(C815,""Sell_"",""""))))/2),ROUNDUP(INDEX(Upgrades!$C$3:$C$13,MATCH(C815,Upgrades!$B$3:$B$13,0))*1.15^(COUNTIF(C$4:C814,C815)-COUNTIF(C$4:C814,""Sell_""&amp;C815))))))"),"")</f>
        <v/>
      </c>
      <c r="H815" s="10" t="str">
        <f t="shared" si="3"/>
        <v/>
      </c>
      <c r="I815" s="68" t="str">
        <f t="shared" si="4"/>
        <v/>
      </c>
      <c r="J815" s="59" t="str">
        <f t="shared" si="5"/>
        <v/>
      </c>
      <c r="K815" s="69" t="str">
        <f t="shared" si="6"/>
        <v/>
      </c>
      <c r="L815" s="60" t="str">
        <f t="shared" si="7"/>
        <v/>
      </c>
      <c r="M815" s="61" t="str">
        <f>IFERROR(__xludf.DUMMYFUNCTION("IFS(AND(COUNTA(C815:C1673)=0,COUNTA(Q815:Q1673)=0),"""",OR(AND(K815&gt;=1000000000,OR(Y815&gt;=1000000000,COUNTA(Q815:Q1673)=0)),OR(Y815&gt;=1000000000,AND(COUNTA(C815:C1673)=0,P$3=TRUE))),
ROUNDDOWN((AB$1-AC$1)*MAX(INDEX(T$4:T1673,MATCH(LARGE(FILTER(Y$4:Y1673,Y$4"&amp;":Y1673&lt;1000000000),1),Y$4:Y1673)),INDEX(F$4:F1673,MATCH(LARGE(FILTER(K$4:K1673,K$4:K1673&lt;1000000000),1),K$4:K1673)))),AND(K815&lt;1000000000,COUNTA(C815:C1673)&gt;0,P$3=FALSE),
ROUNDDOWN(INDEX(Y$4:Y1673,MATCH(LARGE(FILTER(W$4:W1673,W$4:W1673&lt;=I815),1),W$4:W1673"&amp;"))+(I815-LARGE(FILTER(W$4:W1673,W$4:W1673&lt;=I815),1))*INDEX(T$4:T1673,MATCH(LARGE(FILTER(W$4:W1673,W$4:W1673&lt;=I815),1),W$4:W1673))-K815),1,
ROUNDDOWN(Y815-INDEX(K$4:K1673,MATCH(LARGE(FILTER(I$4:I1673,I$4:I1673&lt;=W815),1),I$4:I1673))-(W815-LARGE(FILTER(I$4:I"&amp;"1673,I$4:I1673&lt;=W815),1))*INDEX(F$4:F1673,MATCH(LARGE(FILTER(I$4:I1673,I$4:I1673&lt;=W815),1),I$4:I1673))))"),"")</f>
        <v/>
      </c>
      <c r="N815" s="60" t="str">
        <f t="shared" si="8"/>
        <v/>
      </c>
      <c r="O815" s="61" t="str">
        <f t="shared" si="9"/>
        <v/>
      </c>
      <c r="P815" s="56" t="str">
        <f t="shared" si="10"/>
        <v/>
      </c>
      <c r="R815" s="10"/>
      <c r="S815" s="59" t="str">
        <f t="array" ref="S815">IF(COUNTA(Q815:Q1673)=0,"",SUM((COUNTIF(Q$4:Q815,Upgrades!$B$3:$B$13)-COUNTIF(Q$4:Q815,"Sell_"&amp;Upgrades!$B$3:$B$13))*Upgrades!$D$3:$D$13))</f>
        <v/>
      </c>
      <c r="T815" s="66" t="str">
        <f>IFERROR(__xludf.DUMMYFUNCTION("IF(COUNTA(Q815:Q1673)=0,"""",IF(REGEXMATCH(INDEX(FILTER(Q$4:Q815,Q$4:Q815&lt;&gt;""""),ROWS(FILTER(Q$4:Q815,Q$4:Q815&lt;&gt;""""))),""^Sell_""),INDEX(FILTER(T$4:T814,Q$4:Q814&lt;&gt;""""),ROWS(FILTER(Q$4:Q814,Q$4:Q814&lt;&gt;""""))),$AD$5+S815))"),"")</f>
        <v/>
      </c>
      <c r="U815" s="10" t="str">
        <f>IFERROR(__xludf.DUMMYFUNCTION("IF(COUNTA(Q815:Q1673)=0,"""",IF(Q815="""",0,IF(REGEXMATCH(Q815,""^Sell_""),-ROUNDDOWN(ROUNDUP(INDEX(Upgrades!$C$3:$C$13,MATCH(SUBSTITUTE(Q815,""Sell_"",""""),Upgrades!$B$3:$B$13,0))*1.15^(COUNTIF(Q$4:Q814,SUBSTITUTE(Q815,""Sell_"",""""))-COUNTIF(Q$4:Q814,"&amp;"""Sell_""&amp;SUBSTITUTE(Q815,""Sell_"",""""))))/2),ROUNDUP(INDEX(Upgrades!$C$3:$C$13,MATCH(Q815,Upgrades!$B$3:$B$13,0))*1.15^(COUNTIF(Q$4:Q814,Q815)-COUNTIF(Q$4:Q814,""Sell_""&amp;Q815))))))"),"")</f>
        <v/>
      </c>
      <c r="V815" s="10" t="str">
        <f t="shared" si="11"/>
        <v/>
      </c>
      <c r="W815" s="68" t="str">
        <f t="shared" si="12"/>
        <v/>
      </c>
      <c r="X815" s="59" t="str">
        <f t="shared" si="13"/>
        <v/>
      </c>
      <c r="Y815" s="69" t="str">
        <f t="shared" si="14"/>
        <v/>
      </c>
      <c r="Z815" s="11"/>
    </row>
    <row r="816">
      <c r="A816" s="8"/>
      <c r="B816" s="56" t="str">
        <f t="shared" si="2"/>
        <v/>
      </c>
      <c r="C816" s="105"/>
      <c r="D816" s="10"/>
      <c r="E816" s="59" t="str">
        <f t="array" ref="E816">IF(COUNTA(C816:C1673)=0,"",SUM((COUNTIF(C$4:C816,Upgrades!$B$3:$B$13)-COUNTIF(C$4:C816,"Sell_"&amp;Upgrades!$B$3:$B$13))*Upgrades!$D$3:$D$13))</f>
        <v/>
      </c>
      <c r="F816" s="66" t="str">
        <f>IFERROR(__xludf.DUMMYFUNCTION("IF(COUNTA(C816:C1673)=0,"""",IF(REGEXMATCH(INDEX(FILTER(C$4:C816,C$4:C816&lt;&gt;""""),ROWS(FILTER(C$4:C816,C$4:C816&lt;&gt;""""))),""^Sell_""),INDEX(FILTER(F$4:F815,C$4:C815&lt;&gt;""""),ROWS(FILTER(C$4:C815,C$4:C815&lt;&gt;""""))),$AC$5+E816))"),"")</f>
        <v/>
      </c>
      <c r="G816" s="10" t="str">
        <f>IFERROR(__xludf.DUMMYFUNCTION("IF(COUNTA(C816:C1673)=0,"""",IF(C816="""",0,IF(REGEXMATCH(C816,""^Sell_""),-ROUNDDOWN(ROUNDUP(INDEX(Upgrades!$C$3:$C$13,MATCH(SUBSTITUTE(C816,""Sell_"",""""),Upgrades!$B$3:$B$13,0))*1.15^(COUNTIF(C$4:C815,SUBSTITUTE(C816,""Sell_"",""""))-COUNTIF(C$4:C815,"&amp;"""Sell_""&amp;SUBSTITUTE(C816,""Sell_"",""""))))/2),ROUNDUP(INDEX(Upgrades!$C$3:$C$13,MATCH(C816,Upgrades!$B$3:$B$13,0))*1.15^(COUNTIF(C$4:C815,C816)-COUNTIF(C$4:C815,""Sell_""&amp;C816))))))"),"")</f>
        <v/>
      </c>
      <c r="H816" s="10" t="str">
        <f t="shared" si="3"/>
        <v/>
      </c>
      <c r="I816" s="68" t="str">
        <f t="shared" si="4"/>
        <v/>
      </c>
      <c r="J816" s="59" t="str">
        <f t="shared" si="5"/>
        <v/>
      </c>
      <c r="K816" s="69" t="str">
        <f t="shared" si="6"/>
        <v/>
      </c>
      <c r="L816" s="60" t="str">
        <f t="shared" si="7"/>
        <v/>
      </c>
      <c r="M816" s="61" t="str">
        <f>IFERROR(__xludf.DUMMYFUNCTION("IFS(AND(COUNTA(C816:C1673)=0,COUNTA(Q816:Q1673)=0),"""",OR(AND(K816&gt;=1000000000,OR(Y816&gt;=1000000000,COUNTA(Q816:Q1673)=0)),OR(Y816&gt;=1000000000,AND(COUNTA(C816:C1673)=0,P$3=TRUE))),
ROUNDDOWN((AB$1-AC$1)*MAX(INDEX(T$4:T1673,MATCH(LARGE(FILTER(Y$4:Y1673,Y$4"&amp;":Y1673&lt;1000000000),1),Y$4:Y1673)),INDEX(F$4:F1673,MATCH(LARGE(FILTER(K$4:K1673,K$4:K1673&lt;1000000000),1),K$4:K1673)))),AND(K816&lt;1000000000,COUNTA(C816:C1673)&gt;0,P$3=FALSE),
ROUNDDOWN(INDEX(Y$4:Y1673,MATCH(LARGE(FILTER(W$4:W1673,W$4:W1673&lt;=I816),1),W$4:W1673"&amp;"))+(I816-LARGE(FILTER(W$4:W1673,W$4:W1673&lt;=I816),1))*INDEX(T$4:T1673,MATCH(LARGE(FILTER(W$4:W1673,W$4:W1673&lt;=I816),1),W$4:W1673))-K816),1,
ROUNDDOWN(Y816-INDEX(K$4:K1673,MATCH(LARGE(FILTER(I$4:I1673,I$4:I1673&lt;=W816),1),I$4:I1673))-(W816-LARGE(FILTER(I$4:I"&amp;"1673,I$4:I1673&lt;=W816),1))*INDEX(F$4:F1673,MATCH(LARGE(FILTER(I$4:I1673,I$4:I1673&lt;=W816),1),I$4:I1673))))"),"")</f>
        <v/>
      </c>
      <c r="N816" s="60" t="str">
        <f t="shared" si="8"/>
        <v/>
      </c>
      <c r="O816" s="61" t="str">
        <f t="shared" si="9"/>
        <v/>
      </c>
      <c r="P816" s="56" t="str">
        <f t="shared" si="10"/>
        <v/>
      </c>
      <c r="R816" s="10"/>
      <c r="S816" s="59" t="str">
        <f t="array" ref="S816">IF(COUNTA(Q816:Q1673)=0,"",SUM((COUNTIF(Q$4:Q816,Upgrades!$B$3:$B$13)-COUNTIF(Q$4:Q816,"Sell_"&amp;Upgrades!$B$3:$B$13))*Upgrades!$D$3:$D$13))</f>
        <v/>
      </c>
      <c r="T816" s="66" t="str">
        <f>IFERROR(__xludf.DUMMYFUNCTION("IF(COUNTA(Q816:Q1673)=0,"""",IF(REGEXMATCH(INDEX(FILTER(Q$4:Q816,Q$4:Q816&lt;&gt;""""),ROWS(FILTER(Q$4:Q816,Q$4:Q816&lt;&gt;""""))),""^Sell_""),INDEX(FILTER(T$4:T815,Q$4:Q815&lt;&gt;""""),ROWS(FILTER(Q$4:Q815,Q$4:Q815&lt;&gt;""""))),$AD$5+S816))"),"")</f>
        <v/>
      </c>
      <c r="U816" s="10" t="str">
        <f>IFERROR(__xludf.DUMMYFUNCTION("IF(COUNTA(Q816:Q1673)=0,"""",IF(Q816="""",0,IF(REGEXMATCH(Q816,""^Sell_""),-ROUNDDOWN(ROUNDUP(INDEX(Upgrades!$C$3:$C$13,MATCH(SUBSTITUTE(Q816,""Sell_"",""""),Upgrades!$B$3:$B$13,0))*1.15^(COUNTIF(Q$4:Q815,SUBSTITUTE(Q816,""Sell_"",""""))-COUNTIF(Q$4:Q815,"&amp;"""Sell_""&amp;SUBSTITUTE(Q816,""Sell_"",""""))))/2),ROUNDUP(INDEX(Upgrades!$C$3:$C$13,MATCH(Q816,Upgrades!$B$3:$B$13,0))*1.15^(COUNTIF(Q$4:Q815,Q816)-COUNTIF(Q$4:Q815,""Sell_""&amp;Q816))))))"),"")</f>
        <v/>
      </c>
      <c r="V816" s="10" t="str">
        <f t="shared" si="11"/>
        <v/>
      </c>
      <c r="W816" s="68" t="str">
        <f t="shared" si="12"/>
        <v/>
      </c>
      <c r="X816" s="59" t="str">
        <f t="shared" si="13"/>
        <v/>
      </c>
      <c r="Y816" s="69" t="str">
        <f t="shared" si="14"/>
        <v/>
      </c>
      <c r="Z816" s="11"/>
    </row>
    <row r="817">
      <c r="A817" s="8"/>
      <c r="B817" s="56" t="str">
        <f t="shared" si="2"/>
        <v/>
      </c>
      <c r="C817" s="105"/>
      <c r="D817" s="10"/>
      <c r="E817" s="59" t="str">
        <f t="array" ref="E817">IF(COUNTA(C817:C1673)=0,"",SUM((COUNTIF(C$4:C817,Upgrades!$B$3:$B$13)-COUNTIF(C$4:C817,"Sell_"&amp;Upgrades!$B$3:$B$13))*Upgrades!$D$3:$D$13))</f>
        <v/>
      </c>
      <c r="F817" s="66" t="str">
        <f>IFERROR(__xludf.DUMMYFUNCTION("IF(COUNTA(C817:C1673)=0,"""",IF(REGEXMATCH(INDEX(FILTER(C$4:C817,C$4:C817&lt;&gt;""""),ROWS(FILTER(C$4:C817,C$4:C817&lt;&gt;""""))),""^Sell_""),INDEX(FILTER(F$4:F816,C$4:C816&lt;&gt;""""),ROWS(FILTER(C$4:C816,C$4:C816&lt;&gt;""""))),$AC$5+E817))"),"")</f>
        <v/>
      </c>
      <c r="G817" s="10" t="str">
        <f>IFERROR(__xludf.DUMMYFUNCTION("IF(COUNTA(C817:C1673)=0,"""",IF(C817="""",0,IF(REGEXMATCH(C817,""^Sell_""),-ROUNDDOWN(ROUNDUP(INDEX(Upgrades!$C$3:$C$13,MATCH(SUBSTITUTE(C817,""Sell_"",""""),Upgrades!$B$3:$B$13,0))*1.15^(COUNTIF(C$4:C816,SUBSTITUTE(C817,""Sell_"",""""))-COUNTIF(C$4:C816,"&amp;"""Sell_""&amp;SUBSTITUTE(C817,""Sell_"",""""))))/2),ROUNDUP(INDEX(Upgrades!$C$3:$C$13,MATCH(C817,Upgrades!$B$3:$B$13,0))*1.15^(COUNTIF(C$4:C816,C817)-COUNTIF(C$4:C816,""Sell_""&amp;C817))))))"),"")</f>
        <v/>
      </c>
      <c r="H817" s="10" t="str">
        <f t="shared" si="3"/>
        <v/>
      </c>
      <c r="I817" s="68" t="str">
        <f t="shared" si="4"/>
        <v/>
      </c>
      <c r="J817" s="59" t="str">
        <f t="shared" si="5"/>
        <v/>
      </c>
      <c r="K817" s="69" t="str">
        <f t="shared" si="6"/>
        <v/>
      </c>
      <c r="L817" s="60" t="str">
        <f t="shared" si="7"/>
        <v/>
      </c>
      <c r="M817" s="61" t="str">
        <f>IFERROR(__xludf.DUMMYFUNCTION("IFS(AND(COUNTA(C817:C1673)=0,COUNTA(Q817:Q1673)=0),"""",OR(AND(K817&gt;=1000000000,OR(Y817&gt;=1000000000,COUNTA(Q817:Q1673)=0)),OR(Y817&gt;=1000000000,AND(COUNTA(C817:C1673)=0,P$3=TRUE))),
ROUNDDOWN((AB$1-AC$1)*MAX(INDEX(T$4:T1673,MATCH(LARGE(FILTER(Y$4:Y1673,Y$4"&amp;":Y1673&lt;1000000000),1),Y$4:Y1673)),INDEX(F$4:F1673,MATCH(LARGE(FILTER(K$4:K1673,K$4:K1673&lt;1000000000),1),K$4:K1673)))),AND(K817&lt;1000000000,COUNTA(C817:C1673)&gt;0,P$3=FALSE),
ROUNDDOWN(INDEX(Y$4:Y1673,MATCH(LARGE(FILTER(W$4:W1673,W$4:W1673&lt;=I817),1),W$4:W1673"&amp;"))+(I817-LARGE(FILTER(W$4:W1673,W$4:W1673&lt;=I817),1))*INDEX(T$4:T1673,MATCH(LARGE(FILTER(W$4:W1673,W$4:W1673&lt;=I817),1),W$4:W1673))-K817),1,
ROUNDDOWN(Y817-INDEX(K$4:K1673,MATCH(LARGE(FILTER(I$4:I1673,I$4:I1673&lt;=W817),1),I$4:I1673))-(W817-LARGE(FILTER(I$4:I"&amp;"1673,I$4:I1673&lt;=W817),1))*INDEX(F$4:F1673,MATCH(LARGE(FILTER(I$4:I1673,I$4:I1673&lt;=W817),1),I$4:I1673))))"),"")</f>
        <v/>
      </c>
      <c r="N817" s="60" t="str">
        <f t="shared" si="8"/>
        <v/>
      </c>
      <c r="O817" s="61" t="str">
        <f t="shared" si="9"/>
        <v/>
      </c>
      <c r="P817" s="56" t="str">
        <f t="shared" si="10"/>
        <v/>
      </c>
      <c r="R817" s="10"/>
      <c r="S817" s="59" t="str">
        <f t="array" ref="S817">IF(COUNTA(Q817:Q1673)=0,"",SUM((COUNTIF(Q$4:Q817,Upgrades!$B$3:$B$13)-COUNTIF(Q$4:Q817,"Sell_"&amp;Upgrades!$B$3:$B$13))*Upgrades!$D$3:$D$13))</f>
        <v/>
      </c>
      <c r="T817" s="66" t="str">
        <f>IFERROR(__xludf.DUMMYFUNCTION("IF(COUNTA(Q817:Q1673)=0,"""",IF(REGEXMATCH(INDEX(FILTER(Q$4:Q817,Q$4:Q817&lt;&gt;""""),ROWS(FILTER(Q$4:Q817,Q$4:Q817&lt;&gt;""""))),""^Sell_""),INDEX(FILTER(T$4:T816,Q$4:Q816&lt;&gt;""""),ROWS(FILTER(Q$4:Q816,Q$4:Q816&lt;&gt;""""))),$AD$5+S817))"),"")</f>
        <v/>
      </c>
      <c r="U817" s="10" t="str">
        <f>IFERROR(__xludf.DUMMYFUNCTION("IF(COUNTA(Q817:Q1673)=0,"""",IF(Q817="""",0,IF(REGEXMATCH(Q817,""^Sell_""),-ROUNDDOWN(ROUNDUP(INDEX(Upgrades!$C$3:$C$13,MATCH(SUBSTITUTE(Q817,""Sell_"",""""),Upgrades!$B$3:$B$13,0))*1.15^(COUNTIF(Q$4:Q816,SUBSTITUTE(Q817,""Sell_"",""""))-COUNTIF(Q$4:Q816,"&amp;"""Sell_""&amp;SUBSTITUTE(Q817,""Sell_"",""""))))/2),ROUNDUP(INDEX(Upgrades!$C$3:$C$13,MATCH(Q817,Upgrades!$B$3:$B$13,0))*1.15^(COUNTIF(Q$4:Q816,Q817)-COUNTIF(Q$4:Q816,""Sell_""&amp;Q817))))))"),"")</f>
        <v/>
      </c>
      <c r="V817" s="10" t="str">
        <f t="shared" si="11"/>
        <v/>
      </c>
      <c r="W817" s="68" t="str">
        <f t="shared" si="12"/>
        <v/>
      </c>
      <c r="X817" s="59" t="str">
        <f t="shared" si="13"/>
        <v/>
      </c>
      <c r="Y817" s="69" t="str">
        <f t="shared" si="14"/>
        <v/>
      </c>
      <c r="Z817" s="11"/>
    </row>
    <row r="818">
      <c r="A818" s="8"/>
      <c r="B818" s="56" t="str">
        <f t="shared" si="2"/>
        <v/>
      </c>
      <c r="C818" s="105"/>
      <c r="D818" s="10"/>
      <c r="E818" s="59" t="str">
        <f t="array" ref="E818">IF(COUNTA(C818:C1673)=0,"",SUM((COUNTIF(C$4:C818,Upgrades!$B$3:$B$13)-COUNTIF(C$4:C818,"Sell_"&amp;Upgrades!$B$3:$B$13))*Upgrades!$D$3:$D$13))</f>
        <v/>
      </c>
      <c r="F818" s="66" t="str">
        <f>IFERROR(__xludf.DUMMYFUNCTION("IF(COUNTA(C818:C1673)=0,"""",IF(REGEXMATCH(INDEX(FILTER(C$4:C818,C$4:C818&lt;&gt;""""),ROWS(FILTER(C$4:C818,C$4:C818&lt;&gt;""""))),""^Sell_""),INDEX(FILTER(F$4:F817,C$4:C817&lt;&gt;""""),ROWS(FILTER(C$4:C817,C$4:C817&lt;&gt;""""))),$AC$5+E818))"),"")</f>
        <v/>
      </c>
      <c r="G818" s="10" t="str">
        <f>IFERROR(__xludf.DUMMYFUNCTION("IF(COUNTA(C818:C1673)=0,"""",IF(C818="""",0,IF(REGEXMATCH(C818,""^Sell_""),-ROUNDDOWN(ROUNDUP(INDEX(Upgrades!$C$3:$C$13,MATCH(SUBSTITUTE(C818,""Sell_"",""""),Upgrades!$B$3:$B$13,0))*1.15^(COUNTIF(C$4:C817,SUBSTITUTE(C818,""Sell_"",""""))-COUNTIF(C$4:C817,"&amp;"""Sell_""&amp;SUBSTITUTE(C818,""Sell_"",""""))))/2),ROUNDUP(INDEX(Upgrades!$C$3:$C$13,MATCH(C818,Upgrades!$B$3:$B$13,0))*1.15^(COUNTIF(C$4:C817,C818)-COUNTIF(C$4:C817,""Sell_""&amp;C818))))))"),"")</f>
        <v/>
      </c>
      <c r="H818" s="10" t="str">
        <f t="shared" si="3"/>
        <v/>
      </c>
      <c r="I818" s="68" t="str">
        <f t="shared" si="4"/>
        <v/>
      </c>
      <c r="J818" s="59" t="str">
        <f t="shared" si="5"/>
        <v/>
      </c>
      <c r="K818" s="69" t="str">
        <f t="shared" si="6"/>
        <v/>
      </c>
      <c r="L818" s="60" t="str">
        <f t="shared" si="7"/>
        <v/>
      </c>
      <c r="M818" s="61" t="str">
        <f>IFERROR(__xludf.DUMMYFUNCTION("IFS(AND(COUNTA(C818:C1673)=0,COUNTA(Q818:Q1673)=0),"""",OR(AND(K818&gt;=1000000000,OR(Y818&gt;=1000000000,COUNTA(Q818:Q1673)=0)),OR(Y818&gt;=1000000000,AND(COUNTA(C818:C1673)=0,P$3=TRUE))),
ROUNDDOWN((AB$1-AC$1)*MAX(INDEX(T$4:T1673,MATCH(LARGE(FILTER(Y$4:Y1673,Y$4"&amp;":Y1673&lt;1000000000),1),Y$4:Y1673)),INDEX(F$4:F1673,MATCH(LARGE(FILTER(K$4:K1673,K$4:K1673&lt;1000000000),1),K$4:K1673)))),AND(K818&lt;1000000000,COUNTA(C818:C1673)&gt;0,P$3=FALSE),
ROUNDDOWN(INDEX(Y$4:Y1673,MATCH(LARGE(FILTER(W$4:W1673,W$4:W1673&lt;=I818),1),W$4:W1673"&amp;"))+(I818-LARGE(FILTER(W$4:W1673,W$4:W1673&lt;=I818),1))*INDEX(T$4:T1673,MATCH(LARGE(FILTER(W$4:W1673,W$4:W1673&lt;=I818),1),W$4:W1673))-K818),1,
ROUNDDOWN(Y818-INDEX(K$4:K1673,MATCH(LARGE(FILTER(I$4:I1673,I$4:I1673&lt;=W818),1),I$4:I1673))-(W818-LARGE(FILTER(I$4:I"&amp;"1673,I$4:I1673&lt;=W818),1))*INDEX(F$4:F1673,MATCH(LARGE(FILTER(I$4:I1673,I$4:I1673&lt;=W818),1),I$4:I1673))))"),"")</f>
        <v/>
      </c>
      <c r="N818" s="60" t="str">
        <f t="shared" si="8"/>
        <v/>
      </c>
      <c r="O818" s="61" t="str">
        <f t="shared" si="9"/>
        <v/>
      </c>
      <c r="P818" s="56" t="str">
        <f t="shared" si="10"/>
        <v/>
      </c>
      <c r="R818" s="10"/>
      <c r="S818" s="59" t="str">
        <f t="array" ref="S818">IF(COUNTA(Q818:Q1673)=0,"",SUM((COUNTIF(Q$4:Q818,Upgrades!$B$3:$B$13)-COUNTIF(Q$4:Q818,"Sell_"&amp;Upgrades!$B$3:$B$13))*Upgrades!$D$3:$D$13))</f>
        <v/>
      </c>
      <c r="T818" s="66" t="str">
        <f>IFERROR(__xludf.DUMMYFUNCTION("IF(COUNTA(Q818:Q1673)=0,"""",IF(REGEXMATCH(INDEX(FILTER(Q$4:Q818,Q$4:Q818&lt;&gt;""""),ROWS(FILTER(Q$4:Q818,Q$4:Q818&lt;&gt;""""))),""^Sell_""),INDEX(FILTER(T$4:T817,Q$4:Q817&lt;&gt;""""),ROWS(FILTER(Q$4:Q817,Q$4:Q817&lt;&gt;""""))),$AD$5+S818))"),"")</f>
        <v/>
      </c>
      <c r="U818" s="10" t="str">
        <f>IFERROR(__xludf.DUMMYFUNCTION("IF(COUNTA(Q818:Q1673)=0,"""",IF(Q818="""",0,IF(REGEXMATCH(Q818,""^Sell_""),-ROUNDDOWN(ROUNDUP(INDEX(Upgrades!$C$3:$C$13,MATCH(SUBSTITUTE(Q818,""Sell_"",""""),Upgrades!$B$3:$B$13,0))*1.15^(COUNTIF(Q$4:Q817,SUBSTITUTE(Q818,""Sell_"",""""))-COUNTIF(Q$4:Q817,"&amp;"""Sell_""&amp;SUBSTITUTE(Q818,""Sell_"",""""))))/2),ROUNDUP(INDEX(Upgrades!$C$3:$C$13,MATCH(Q818,Upgrades!$B$3:$B$13,0))*1.15^(COUNTIF(Q$4:Q817,Q818)-COUNTIF(Q$4:Q817,""Sell_""&amp;Q818))))))"),"")</f>
        <v/>
      </c>
      <c r="V818" s="10" t="str">
        <f t="shared" si="11"/>
        <v/>
      </c>
      <c r="W818" s="68" t="str">
        <f t="shared" si="12"/>
        <v/>
      </c>
      <c r="X818" s="59" t="str">
        <f t="shared" si="13"/>
        <v/>
      </c>
      <c r="Y818" s="69" t="str">
        <f t="shared" si="14"/>
        <v/>
      </c>
      <c r="Z818" s="11"/>
    </row>
    <row r="819">
      <c r="A819" s="8"/>
      <c r="B819" s="56" t="str">
        <f t="shared" si="2"/>
        <v/>
      </c>
      <c r="C819" s="105"/>
      <c r="D819" s="10"/>
      <c r="E819" s="59" t="str">
        <f t="array" ref="E819">IF(COUNTA(C819:C1673)=0,"",SUM((COUNTIF(C$4:C819,Upgrades!$B$3:$B$13)-COUNTIF(C$4:C819,"Sell_"&amp;Upgrades!$B$3:$B$13))*Upgrades!$D$3:$D$13))</f>
        <v/>
      </c>
      <c r="F819" s="66" t="str">
        <f>IFERROR(__xludf.DUMMYFUNCTION("IF(COUNTA(C819:C1673)=0,"""",IF(REGEXMATCH(INDEX(FILTER(C$4:C819,C$4:C819&lt;&gt;""""),ROWS(FILTER(C$4:C819,C$4:C819&lt;&gt;""""))),""^Sell_""),INDEX(FILTER(F$4:F818,C$4:C818&lt;&gt;""""),ROWS(FILTER(C$4:C818,C$4:C818&lt;&gt;""""))),$AC$5+E819))"),"")</f>
        <v/>
      </c>
      <c r="G819" s="10" t="str">
        <f>IFERROR(__xludf.DUMMYFUNCTION("IF(COUNTA(C819:C1673)=0,"""",IF(C819="""",0,IF(REGEXMATCH(C819,""^Sell_""),-ROUNDDOWN(ROUNDUP(INDEX(Upgrades!$C$3:$C$13,MATCH(SUBSTITUTE(C819,""Sell_"",""""),Upgrades!$B$3:$B$13,0))*1.15^(COUNTIF(C$4:C818,SUBSTITUTE(C819,""Sell_"",""""))-COUNTIF(C$4:C818,"&amp;"""Sell_""&amp;SUBSTITUTE(C819,""Sell_"",""""))))/2),ROUNDUP(INDEX(Upgrades!$C$3:$C$13,MATCH(C819,Upgrades!$B$3:$B$13,0))*1.15^(COUNTIF(C$4:C818,C819)-COUNTIF(C$4:C818,""Sell_""&amp;C819))))))"),"")</f>
        <v/>
      </c>
      <c r="H819" s="10" t="str">
        <f t="shared" si="3"/>
        <v/>
      </c>
      <c r="I819" s="68" t="str">
        <f t="shared" si="4"/>
        <v/>
      </c>
      <c r="J819" s="59" t="str">
        <f t="shared" si="5"/>
        <v/>
      </c>
      <c r="K819" s="69" t="str">
        <f t="shared" si="6"/>
        <v/>
      </c>
      <c r="L819" s="60" t="str">
        <f t="shared" si="7"/>
        <v/>
      </c>
      <c r="M819" s="61" t="str">
        <f>IFERROR(__xludf.DUMMYFUNCTION("IFS(AND(COUNTA(C819:C1673)=0,COUNTA(Q819:Q1673)=0),"""",OR(AND(K819&gt;=1000000000,OR(Y819&gt;=1000000000,COUNTA(Q819:Q1673)=0)),OR(Y819&gt;=1000000000,AND(COUNTA(C819:C1673)=0,P$3=TRUE))),
ROUNDDOWN((AB$1-AC$1)*MAX(INDEX(T$4:T1673,MATCH(LARGE(FILTER(Y$4:Y1673,Y$4"&amp;":Y1673&lt;1000000000),1),Y$4:Y1673)),INDEX(F$4:F1673,MATCH(LARGE(FILTER(K$4:K1673,K$4:K1673&lt;1000000000),1),K$4:K1673)))),AND(K819&lt;1000000000,COUNTA(C819:C1673)&gt;0,P$3=FALSE),
ROUNDDOWN(INDEX(Y$4:Y1673,MATCH(LARGE(FILTER(W$4:W1673,W$4:W1673&lt;=I819),1),W$4:W1673"&amp;"))+(I819-LARGE(FILTER(W$4:W1673,W$4:W1673&lt;=I819),1))*INDEX(T$4:T1673,MATCH(LARGE(FILTER(W$4:W1673,W$4:W1673&lt;=I819),1),W$4:W1673))-K819),1,
ROUNDDOWN(Y819-INDEX(K$4:K1673,MATCH(LARGE(FILTER(I$4:I1673,I$4:I1673&lt;=W819),1),I$4:I1673))-(W819-LARGE(FILTER(I$4:I"&amp;"1673,I$4:I1673&lt;=W819),1))*INDEX(F$4:F1673,MATCH(LARGE(FILTER(I$4:I1673,I$4:I1673&lt;=W819),1),I$4:I1673))))"),"")</f>
        <v/>
      </c>
      <c r="N819" s="60" t="str">
        <f t="shared" si="8"/>
        <v/>
      </c>
      <c r="O819" s="61" t="str">
        <f t="shared" si="9"/>
        <v/>
      </c>
      <c r="P819" s="56" t="str">
        <f t="shared" si="10"/>
        <v/>
      </c>
      <c r="R819" s="10"/>
      <c r="S819" s="59" t="str">
        <f t="array" ref="S819">IF(COUNTA(Q819:Q1673)=0,"",SUM((COUNTIF(Q$4:Q819,Upgrades!$B$3:$B$13)-COUNTIF(Q$4:Q819,"Sell_"&amp;Upgrades!$B$3:$B$13))*Upgrades!$D$3:$D$13))</f>
        <v/>
      </c>
      <c r="T819" s="66" t="str">
        <f>IFERROR(__xludf.DUMMYFUNCTION("IF(COUNTA(Q819:Q1673)=0,"""",IF(REGEXMATCH(INDEX(FILTER(Q$4:Q819,Q$4:Q819&lt;&gt;""""),ROWS(FILTER(Q$4:Q819,Q$4:Q819&lt;&gt;""""))),""^Sell_""),INDEX(FILTER(T$4:T818,Q$4:Q818&lt;&gt;""""),ROWS(FILTER(Q$4:Q818,Q$4:Q818&lt;&gt;""""))),$AD$5+S819))"),"")</f>
        <v/>
      </c>
      <c r="U819" s="10" t="str">
        <f>IFERROR(__xludf.DUMMYFUNCTION("IF(COUNTA(Q819:Q1673)=0,"""",IF(Q819="""",0,IF(REGEXMATCH(Q819,""^Sell_""),-ROUNDDOWN(ROUNDUP(INDEX(Upgrades!$C$3:$C$13,MATCH(SUBSTITUTE(Q819,""Sell_"",""""),Upgrades!$B$3:$B$13,0))*1.15^(COUNTIF(Q$4:Q818,SUBSTITUTE(Q819,""Sell_"",""""))-COUNTIF(Q$4:Q818,"&amp;"""Sell_""&amp;SUBSTITUTE(Q819,""Sell_"",""""))))/2),ROUNDUP(INDEX(Upgrades!$C$3:$C$13,MATCH(Q819,Upgrades!$B$3:$B$13,0))*1.15^(COUNTIF(Q$4:Q818,Q819)-COUNTIF(Q$4:Q818,""Sell_""&amp;Q819))))))"),"")</f>
        <v/>
      </c>
      <c r="V819" s="10" t="str">
        <f t="shared" si="11"/>
        <v/>
      </c>
      <c r="W819" s="68" t="str">
        <f t="shared" si="12"/>
        <v/>
      </c>
      <c r="X819" s="59" t="str">
        <f t="shared" si="13"/>
        <v/>
      </c>
      <c r="Y819" s="69" t="str">
        <f t="shared" si="14"/>
        <v/>
      </c>
      <c r="Z819" s="11"/>
    </row>
    <row r="820">
      <c r="A820" s="8"/>
      <c r="B820" s="56" t="str">
        <f t="shared" si="2"/>
        <v/>
      </c>
      <c r="C820" s="105"/>
      <c r="D820" s="10"/>
      <c r="E820" s="59" t="str">
        <f t="array" ref="E820">IF(COUNTA(C820:C1673)=0,"",SUM((COUNTIF(C$4:C820,Upgrades!$B$3:$B$13)-COUNTIF(C$4:C820,"Sell_"&amp;Upgrades!$B$3:$B$13))*Upgrades!$D$3:$D$13))</f>
        <v/>
      </c>
      <c r="F820" s="66" t="str">
        <f>IFERROR(__xludf.DUMMYFUNCTION("IF(COUNTA(C820:C1673)=0,"""",IF(REGEXMATCH(INDEX(FILTER(C$4:C820,C$4:C820&lt;&gt;""""),ROWS(FILTER(C$4:C820,C$4:C820&lt;&gt;""""))),""^Sell_""),INDEX(FILTER(F$4:F819,C$4:C819&lt;&gt;""""),ROWS(FILTER(C$4:C819,C$4:C819&lt;&gt;""""))),$AC$5+E820))"),"")</f>
        <v/>
      </c>
      <c r="G820" s="10" t="str">
        <f>IFERROR(__xludf.DUMMYFUNCTION("IF(COUNTA(C820:C1673)=0,"""",IF(C820="""",0,IF(REGEXMATCH(C820,""^Sell_""),-ROUNDDOWN(ROUNDUP(INDEX(Upgrades!$C$3:$C$13,MATCH(SUBSTITUTE(C820,""Sell_"",""""),Upgrades!$B$3:$B$13,0))*1.15^(COUNTIF(C$4:C819,SUBSTITUTE(C820,""Sell_"",""""))-COUNTIF(C$4:C819,"&amp;"""Sell_""&amp;SUBSTITUTE(C820,""Sell_"",""""))))/2),ROUNDUP(INDEX(Upgrades!$C$3:$C$13,MATCH(C820,Upgrades!$B$3:$B$13,0))*1.15^(COUNTIF(C$4:C819,C820)-COUNTIF(C$4:C819,""Sell_""&amp;C820))))))"),"")</f>
        <v/>
      </c>
      <c r="H820" s="10" t="str">
        <f t="shared" si="3"/>
        <v/>
      </c>
      <c r="I820" s="68" t="str">
        <f t="shared" si="4"/>
        <v/>
      </c>
      <c r="J820" s="59" t="str">
        <f t="shared" si="5"/>
        <v/>
      </c>
      <c r="K820" s="69" t="str">
        <f t="shared" si="6"/>
        <v/>
      </c>
      <c r="L820" s="60" t="str">
        <f t="shared" si="7"/>
        <v/>
      </c>
      <c r="M820" s="61" t="str">
        <f>IFERROR(__xludf.DUMMYFUNCTION("IFS(AND(COUNTA(C820:C1673)=0,COUNTA(Q820:Q1673)=0),"""",OR(AND(K820&gt;=1000000000,OR(Y820&gt;=1000000000,COUNTA(Q820:Q1673)=0)),OR(Y820&gt;=1000000000,AND(COUNTA(C820:C1673)=0,P$3=TRUE))),
ROUNDDOWN((AB$1-AC$1)*MAX(INDEX(T$4:T1673,MATCH(LARGE(FILTER(Y$4:Y1673,Y$4"&amp;":Y1673&lt;1000000000),1),Y$4:Y1673)),INDEX(F$4:F1673,MATCH(LARGE(FILTER(K$4:K1673,K$4:K1673&lt;1000000000),1),K$4:K1673)))),AND(K820&lt;1000000000,COUNTA(C820:C1673)&gt;0,P$3=FALSE),
ROUNDDOWN(INDEX(Y$4:Y1673,MATCH(LARGE(FILTER(W$4:W1673,W$4:W1673&lt;=I820),1),W$4:W1673"&amp;"))+(I820-LARGE(FILTER(W$4:W1673,W$4:W1673&lt;=I820),1))*INDEX(T$4:T1673,MATCH(LARGE(FILTER(W$4:W1673,W$4:W1673&lt;=I820),1),W$4:W1673))-K820),1,
ROUNDDOWN(Y820-INDEX(K$4:K1673,MATCH(LARGE(FILTER(I$4:I1673,I$4:I1673&lt;=W820),1),I$4:I1673))-(W820-LARGE(FILTER(I$4:I"&amp;"1673,I$4:I1673&lt;=W820),1))*INDEX(F$4:F1673,MATCH(LARGE(FILTER(I$4:I1673,I$4:I1673&lt;=W820),1),I$4:I1673))))"),"")</f>
        <v/>
      </c>
      <c r="N820" s="60" t="str">
        <f t="shared" si="8"/>
        <v/>
      </c>
      <c r="O820" s="61" t="str">
        <f t="shared" si="9"/>
        <v/>
      </c>
      <c r="P820" s="56" t="str">
        <f t="shared" si="10"/>
        <v/>
      </c>
      <c r="R820" s="10"/>
      <c r="S820" s="59" t="str">
        <f t="array" ref="S820">IF(COUNTA(Q820:Q1673)=0,"",SUM((COUNTIF(Q$4:Q820,Upgrades!$B$3:$B$13)-COUNTIF(Q$4:Q820,"Sell_"&amp;Upgrades!$B$3:$B$13))*Upgrades!$D$3:$D$13))</f>
        <v/>
      </c>
      <c r="T820" s="66" t="str">
        <f>IFERROR(__xludf.DUMMYFUNCTION("IF(COUNTA(Q820:Q1673)=0,"""",IF(REGEXMATCH(INDEX(FILTER(Q$4:Q820,Q$4:Q820&lt;&gt;""""),ROWS(FILTER(Q$4:Q820,Q$4:Q820&lt;&gt;""""))),""^Sell_""),INDEX(FILTER(T$4:T819,Q$4:Q819&lt;&gt;""""),ROWS(FILTER(Q$4:Q819,Q$4:Q819&lt;&gt;""""))),$AD$5+S820))"),"")</f>
        <v/>
      </c>
      <c r="U820" s="10" t="str">
        <f>IFERROR(__xludf.DUMMYFUNCTION("IF(COUNTA(Q820:Q1673)=0,"""",IF(Q820="""",0,IF(REGEXMATCH(Q820,""^Sell_""),-ROUNDDOWN(ROUNDUP(INDEX(Upgrades!$C$3:$C$13,MATCH(SUBSTITUTE(Q820,""Sell_"",""""),Upgrades!$B$3:$B$13,0))*1.15^(COUNTIF(Q$4:Q819,SUBSTITUTE(Q820,""Sell_"",""""))-COUNTIF(Q$4:Q819,"&amp;"""Sell_""&amp;SUBSTITUTE(Q820,""Sell_"",""""))))/2),ROUNDUP(INDEX(Upgrades!$C$3:$C$13,MATCH(Q820,Upgrades!$B$3:$B$13,0))*1.15^(COUNTIF(Q$4:Q819,Q820)-COUNTIF(Q$4:Q819,""Sell_""&amp;Q820))))))"),"")</f>
        <v/>
      </c>
      <c r="V820" s="10" t="str">
        <f t="shared" si="11"/>
        <v/>
      </c>
      <c r="W820" s="68" t="str">
        <f t="shared" si="12"/>
        <v/>
      </c>
      <c r="X820" s="59" t="str">
        <f t="shared" si="13"/>
        <v/>
      </c>
      <c r="Y820" s="69" t="str">
        <f t="shared" si="14"/>
        <v/>
      </c>
      <c r="Z820" s="11"/>
    </row>
    <row r="821">
      <c r="A821" s="8"/>
      <c r="B821" s="56" t="str">
        <f t="shared" si="2"/>
        <v/>
      </c>
      <c r="C821" s="105"/>
      <c r="D821" s="10"/>
      <c r="E821" s="59" t="str">
        <f t="array" ref="E821">IF(COUNTA(C821:C1673)=0,"",SUM((COUNTIF(C$4:C821,Upgrades!$B$3:$B$13)-COUNTIF(C$4:C821,"Sell_"&amp;Upgrades!$B$3:$B$13))*Upgrades!$D$3:$D$13))</f>
        <v/>
      </c>
      <c r="F821" s="66" t="str">
        <f>IFERROR(__xludf.DUMMYFUNCTION("IF(COUNTA(C821:C1673)=0,"""",IF(REGEXMATCH(INDEX(FILTER(C$4:C821,C$4:C821&lt;&gt;""""),ROWS(FILTER(C$4:C821,C$4:C821&lt;&gt;""""))),""^Sell_""),INDEX(FILTER(F$4:F820,C$4:C820&lt;&gt;""""),ROWS(FILTER(C$4:C820,C$4:C820&lt;&gt;""""))),$AC$5+E821))"),"")</f>
        <v/>
      </c>
      <c r="G821" s="10" t="str">
        <f>IFERROR(__xludf.DUMMYFUNCTION("IF(COUNTA(C821:C1673)=0,"""",IF(C821="""",0,IF(REGEXMATCH(C821,""^Sell_""),-ROUNDDOWN(ROUNDUP(INDEX(Upgrades!$C$3:$C$13,MATCH(SUBSTITUTE(C821,""Sell_"",""""),Upgrades!$B$3:$B$13,0))*1.15^(COUNTIF(C$4:C820,SUBSTITUTE(C821,""Sell_"",""""))-COUNTIF(C$4:C820,"&amp;"""Sell_""&amp;SUBSTITUTE(C821,""Sell_"",""""))))/2),ROUNDUP(INDEX(Upgrades!$C$3:$C$13,MATCH(C821,Upgrades!$B$3:$B$13,0))*1.15^(COUNTIF(C$4:C820,C821)-COUNTIF(C$4:C820,""Sell_""&amp;C821))))))"),"")</f>
        <v/>
      </c>
      <c r="H821" s="10" t="str">
        <f t="shared" si="3"/>
        <v/>
      </c>
      <c r="I821" s="68" t="str">
        <f t="shared" si="4"/>
        <v/>
      </c>
      <c r="J821" s="59" t="str">
        <f t="shared" si="5"/>
        <v/>
      </c>
      <c r="K821" s="69" t="str">
        <f t="shared" si="6"/>
        <v/>
      </c>
      <c r="L821" s="60" t="str">
        <f t="shared" si="7"/>
        <v/>
      </c>
      <c r="M821" s="61" t="str">
        <f>IFERROR(__xludf.DUMMYFUNCTION("IFS(AND(COUNTA(C821:C1673)=0,COUNTA(Q821:Q1673)=0),"""",OR(AND(K821&gt;=1000000000,OR(Y821&gt;=1000000000,COUNTA(Q821:Q1673)=0)),OR(Y821&gt;=1000000000,AND(COUNTA(C821:C1673)=0,P$3=TRUE))),
ROUNDDOWN((AB$1-AC$1)*MAX(INDEX(T$4:T1673,MATCH(LARGE(FILTER(Y$4:Y1673,Y$4"&amp;":Y1673&lt;1000000000),1),Y$4:Y1673)),INDEX(F$4:F1673,MATCH(LARGE(FILTER(K$4:K1673,K$4:K1673&lt;1000000000),1),K$4:K1673)))),AND(K821&lt;1000000000,COUNTA(C821:C1673)&gt;0,P$3=FALSE),
ROUNDDOWN(INDEX(Y$4:Y1673,MATCH(LARGE(FILTER(W$4:W1673,W$4:W1673&lt;=I821),1),W$4:W1673"&amp;"))+(I821-LARGE(FILTER(W$4:W1673,W$4:W1673&lt;=I821),1))*INDEX(T$4:T1673,MATCH(LARGE(FILTER(W$4:W1673,W$4:W1673&lt;=I821),1),W$4:W1673))-K821),1,
ROUNDDOWN(Y821-INDEX(K$4:K1673,MATCH(LARGE(FILTER(I$4:I1673,I$4:I1673&lt;=W821),1),I$4:I1673))-(W821-LARGE(FILTER(I$4:I"&amp;"1673,I$4:I1673&lt;=W821),1))*INDEX(F$4:F1673,MATCH(LARGE(FILTER(I$4:I1673,I$4:I1673&lt;=W821),1),I$4:I1673))))"),"")</f>
        <v/>
      </c>
      <c r="N821" s="60" t="str">
        <f t="shared" si="8"/>
        <v/>
      </c>
      <c r="O821" s="61" t="str">
        <f t="shared" si="9"/>
        <v/>
      </c>
      <c r="P821" s="56" t="str">
        <f t="shared" si="10"/>
        <v/>
      </c>
      <c r="R821" s="10"/>
      <c r="S821" s="59" t="str">
        <f t="array" ref="S821">IF(COUNTA(Q821:Q1673)=0,"",SUM((COUNTIF(Q$4:Q821,Upgrades!$B$3:$B$13)-COUNTIF(Q$4:Q821,"Sell_"&amp;Upgrades!$B$3:$B$13))*Upgrades!$D$3:$D$13))</f>
        <v/>
      </c>
      <c r="T821" s="66" t="str">
        <f>IFERROR(__xludf.DUMMYFUNCTION("IF(COUNTA(Q821:Q1673)=0,"""",IF(REGEXMATCH(INDEX(FILTER(Q$4:Q821,Q$4:Q821&lt;&gt;""""),ROWS(FILTER(Q$4:Q821,Q$4:Q821&lt;&gt;""""))),""^Sell_""),INDEX(FILTER(T$4:T820,Q$4:Q820&lt;&gt;""""),ROWS(FILTER(Q$4:Q820,Q$4:Q820&lt;&gt;""""))),$AD$5+S821))"),"")</f>
        <v/>
      </c>
      <c r="U821" s="10" t="str">
        <f>IFERROR(__xludf.DUMMYFUNCTION("IF(COUNTA(Q821:Q1673)=0,"""",IF(Q821="""",0,IF(REGEXMATCH(Q821,""^Sell_""),-ROUNDDOWN(ROUNDUP(INDEX(Upgrades!$C$3:$C$13,MATCH(SUBSTITUTE(Q821,""Sell_"",""""),Upgrades!$B$3:$B$13,0))*1.15^(COUNTIF(Q$4:Q820,SUBSTITUTE(Q821,""Sell_"",""""))-COUNTIF(Q$4:Q820,"&amp;"""Sell_""&amp;SUBSTITUTE(Q821,""Sell_"",""""))))/2),ROUNDUP(INDEX(Upgrades!$C$3:$C$13,MATCH(Q821,Upgrades!$B$3:$B$13,0))*1.15^(COUNTIF(Q$4:Q820,Q821)-COUNTIF(Q$4:Q820,""Sell_""&amp;Q821))))))"),"")</f>
        <v/>
      </c>
      <c r="V821" s="10" t="str">
        <f t="shared" si="11"/>
        <v/>
      </c>
      <c r="W821" s="68" t="str">
        <f t="shared" si="12"/>
        <v/>
      </c>
      <c r="X821" s="59" t="str">
        <f t="shared" si="13"/>
        <v/>
      </c>
      <c r="Y821" s="69" t="str">
        <f t="shared" si="14"/>
        <v/>
      </c>
      <c r="Z821" s="11"/>
    </row>
    <row r="822">
      <c r="A822" s="8"/>
      <c r="B822" s="56" t="str">
        <f t="shared" si="2"/>
        <v/>
      </c>
      <c r="C822" s="105"/>
      <c r="D822" s="10"/>
      <c r="E822" s="59" t="str">
        <f t="array" ref="E822">IF(COUNTA(C822:C1673)=0,"",SUM((COUNTIF(C$4:C822,Upgrades!$B$3:$B$13)-COUNTIF(C$4:C822,"Sell_"&amp;Upgrades!$B$3:$B$13))*Upgrades!$D$3:$D$13))</f>
        <v/>
      </c>
      <c r="F822" s="66" t="str">
        <f>IFERROR(__xludf.DUMMYFUNCTION("IF(COUNTA(C822:C1673)=0,"""",IF(REGEXMATCH(INDEX(FILTER(C$4:C822,C$4:C822&lt;&gt;""""),ROWS(FILTER(C$4:C822,C$4:C822&lt;&gt;""""))),""^Sell_""),INDEX(FILTER(F$4:F821,C$4:C821&lt;&gt;""""),ROWS(FILTER(C$4:C821,C$4:C821&lt;&gt;""""))),$AC$5+E822))"),"")</f>
        <v/>
      </c>
      <c r="G822" s="10" t="str">
        <f>IFERROR(__xludf.DUMMYFUNCTION("IF(COUNTA(C822:C1673)=0,"""",IF(C822="""",0,IF(REGEXMATCH(C822,""^Sell_""),-ROUNDDOWN(ROUNDUP(INDEX(Upgrades!$C$3:$C$13,MATCH(SUBSTITUTE(C822,""Sell_"",""""),Upgrades!$B$3:$B$13,0))*1.15^(COUNTIF(C$4:C821,SUBSTITUTE(C822,""Sell_"",""""))-COUNTIF(C$4:C821,"&amp;"""Sell_""&amp;SUBSTITUTE(C822,""Sell_"",""""))))/2),ROUNDUP(INDEX(Upgrades!$C$3:$C$13,MATCH(C822,Upgrades!$B$3:$B$13,0))*1.15^(COUNTIF(C$4:C821,C822)-COUNTIF(C$4:C821,""Sell_""&amp;C822))))))"),"")</f>
        <v/>
      </c>
      <c r="H822" s="10" t="str">
        <f t="shared" si="3"/>
        <v/>
      </c>
      <c r="I822" s="68" t="str">
        <f t="shared" si="4"/>
        <v/>
      </c>
      <c r="J822" s="59" t="str">
        <f t="shared" si="5"/>
        <v/>
      </c>
      <c r="K822" s="69" t="str">
        <f t="shared" si="6"/>
        <v/>
      </c>
      <c r="L822" s="60" t="str">
        <f t="shared" si="7"/>
        <v/>
      </c>
      <c r="M822" s="61" t="str">
        <f>IFERROR(__xludf.DUMMYFUNCTION("IFS(AND(COUNTA(C822:C1673)=0,COUNTA(Q822:Q1673)=0),"""",OR(AND(K822&gt;=1000000000,OR(Y822&gt;=1000000000,COUNTA(Q822:Q1673)=0)),OR(Y822&gt;=1000000000,AND(COUNTA(C822:C1673)=0,P$3=TRUE))),
ROUNDDOWN((AB$1-AC$1)*MAX(INDEX(T$4:T1673,MATCH(LARGE(FILTER(Y$4:Y1673,Y$4"&amp;":Y1673&lt;1000000000),1),Y$4:Y1673)),INDEX(F$4:F1673,MATCH(LARGE(FILTER(K$4:K1673,K$4:K1673&lt;1000000000),1),K$4:K1673)))),AND(K822&lt;1000000000,COUNTA(C822:C1673)&gt;0,P$3=FALSE),
ROUNDDOWN(INDEX(Y$4:Y1673,MATCH(LARGE(FILTER(W$4:W1673,W$4:W1673&lt;=I822),1),W$4:W1673"&amp;"))+(I822-LARGE(FILTER(W$4:W1673,W$4:W1673&lt;=I822),1))*INDEX(T$4:T1673,MATCH(LARGE(FILTER(W$4:W1673,W$4:W1673&lt;=I822),1),W$4:W1673))-K822),1,
ROUNDDOWN(Y822-INDEX(K$4:K1673,MATCH(LARGE(FILTER(I$4:I1673,I$4:I1673&lt;=W822),1),I$4:I1673))-(W822-LARGE(FILTER(I$4:I"&amp;"1673,I$4:I1673&lt;=W822),1))*INDEX(F$4:F1673,MATCH(LARGE(FILTER(I$4:I1673,I$4:I1673&lt;=W822),1),I$4:I1673))))"),"")</f>
        <v/>
      </c>
      <c r="N822" s="60" t="str">
        <f t="shared" si="8"/>
        <v/>
      </c>
      <c r="O822" s="61" t="str">
        <f t="shared" si="9"/>
        <v/>
      </c>
      <c r="P822" s="56" t="str">
        <f t="shared" si="10"/>
        <v/>
      </c>
      <c r="R822" s="10"/>
      <c r="S822" s="59" t="str">
        <f t="array" ref="S822">IF(COUNTA(Q822:Q1673)=0,"",SUM((COUNTIF(Q$4:Q822,Upgrades!$B$3:$B$13)-COUNTIF(Q$4:Q822,"Sell_"&amp;Upgrades!$B$3:$B$13))*Upgrades!$D$3:$D$13))</f>
        <v/>
      </c>
      <c r="T822" s="66" t="str">
        <f>IFERROR(__xludf.DUMMYFUNCTION("IF(COUNTA(Q822:Q1673)=0,"""",IF(REGEXMATCH(INDEX(FILTER(Q$4:Q822,Q$4:Q822&lt;&gt;""""),ROWS(FILTER(Q$4:Q822,Q$4:Q822&lt;&gt;""""))),""^Sell_""),INDEX(FILTER(T$4:T821,Q$4:Q821&lt;&gt;""""),ROWS(FILTER(Q$4:Q821,Q$4:Q821&lt;&gt;""""))),$AD$5+S822))"),"")</f>
        <v/>
      </c>
      <c r="U822" s="10" t="str">
        <f>IFERROR(__xludf.DUMMYFUNCTION("IF(COUNTA(Q822:Q1673)=0,"""",IF(Q822="""",0,IF(REGEXMATCH(Q822,""^Sell_""),-ROUNDDOWN(ROUNDUP(INDEX(Upgrades!$C$3:$C$13,MATCH(SUBSTITUTE(Q822,""Sell_"",""""),Upgrades!$B$3:$B$13,0))*1.15^(COUNTIF(Q$4:Q821,SUBSTITUTE(Q822,""Sell_"",""""))-COUNTIF(Q$4:Q821,"&amp;"""Sell_""&amp;SUBSTITUTE(Q822,""Sell_"",""""))))/2),ROUNDUP(INDEX(Upgrades!$C$3:$C$13,MATCH(Q822,Upgrades!$B$3:$B$13,0))*1.15^(COUNTIF(Q$4:Q821,Q822)-COUNTIF(Q$4:Q821,""Sell_""&amp;Q822))))))"),"")</f>
        <v/>
      </c>
      <c r="V822" s="10" t="str">
        <f t="shared" si="11"/>
        <v/>
      </c>
      <c r="W822" s="68" t="str">
        <f t="shared" si="12"/>
        <v/>
      </c>
      <c r="X822" s="59" t="str">
        <f t="shared" si="13"/>
        <v/>
      </c>
      <c r="Y822" s="69" t="str">
        <f t="shared" si="14"/>
        <v/>
      </c>
      <c r="Z822" s="11"/>
    </row>
    <row r="823">
      <c r="A823" s="8"/>
      <c r="B823" s="56" t="str">
        <f t="shared" si="2"/>
        <v/>
      </c>
      <c r="C823" s="105"/>
      <c r="D823" s="10"/>
      <c r="E823" s="59" t="str">
        <f t="array" ref="E823">IF(COUNTA(C823:C1673)=0,"",SUM((COUNTIF(C$4:C823,Upgrades!$B$3:$B$13)-COUNTIF(C$4:C823,"Sell_"&amp;Upgrades!$B$3:$B$13))*Upgrades!$D$3:$D$13))</f>
        <v/>
      </c>
      <c r="F823" s="66" t="str">
        <f>IFERROR(__xludf.DUMMYFUNCTION("IF(COUNTA(C823:C1673)=0,"""",IF(REGEXMATCH(INDEX(FILTER(C$4:C823,C$4:C823&lt;&gt;""""),ROWS(FILTER(C$4:C823,C$4:C823&lt;&gt;""""))),""^Sell_""),INDEX(FILTER(F$4:F822,C$4:C822&lt;&gt;""""),ROWS(FILTER(C$4:C822,C$4:C822&lt;&gt;""""))),$AC$5+E823))"),"")</f>
        <v/>
      </c>
      <c r="G823" s="10" t="str">
        <f>IFERROR(__xludf.DUMMYFUNCTION("IF(COUNTA(C823:C1673)=0,"""",IF(C823="""",0,IF(REGEXMATCH(C823,""^Sell_""),-ROUNDDOWN(ROUNDUP(INDEX(Upgrades!$C$3:$C$13,MATCH(SUBSTITUTE(C823,""Sell_"",""""),Upgrades!$B$3:$B$13,0))*1.15^(COUNTIF(C$4:C822,SUBSTITUTE(C823,""Sell_"",""""))-COUNTIF(C$4:C822,"&amp;"""Sell_""&amp;SUBSTITUTE(C823,""Sell_"",""""))))/2),ROUNDUP(INDEX(Upgrades!$C$3:$C$13,MATCH(C823,Upgrades!$B$3:$B$13,0))*1.15^(COUNTIF(C$4:C822,C823)-COUNTIF(C$4:C822,""Sell_""&amp;C823))))))"),"")</f>
        <v/>
      </c>
      <c r="H823" s="10" t="str">
        <f t="shared" si="3"/>
        <v/>
      </c>
      <c r="I823" s="68" t="str">
        <f t="shared" si="4"/>
        <v/>
      </c>
      <c r="J823" s="59" t="str">
        <f t="shared" si="5"/>
        <v/>
      </c>
      <c r="K823" s="69" t="str">
        <f t="shared" si="6"/>
        <v/>
      </c>
      <c r="L823" s="60" t="str">
        <f t="shared" si="7"/>
        <v/>
      </c>
      <c r="M823" s="61" t="str">
        <f>IFERROR(__xludf.DUMMYFUNCTION("IFS(AND(COUNTA(C823:C1673)=0,COUNTA(Q823:Q1673)=0),"""",OR(AND(K823&gt;=1000000000,OR(Y823&gt;=1000000000,COUNTA(Q823:Q1673)=0)),OR(Y823&gt;=1000000000,AND(COUNTA(C823:C1673)=0,P$3=TRUE))),
ROUNDDOWN((AB$1-AC$1)*MAX(INDEX(T$4:T1673,MATCH(LARGE(FILTER(Y$4:Y1673,Y$4"&amp;":Y1673&lt;1000000000),1),Y$4:Y1673)),INDEX(F$4:F1673,MATCH(LARGE(FILTER(K$4:K1673,K$4:K1673&lt;1000000000),1),K$4:K1673)))),AND(K823&lt;1000000000,COUNTA(C823:C1673)&gt;0,P$3=FALSE),
ROUNDDOWN(INDEX(Y$4:Y1673,MATCH(LARGE(FILTER(W$4:W1673,W$4:W1673&lt;=I823),1),W$4:W1673"&amp;"))+(I823-LARGE(FILTER(W$4:W1673,W$4:W1673&lt;=I823),1))*INDEX(T$4:T1673,MATCH(LARGE(FILTER(W$4:W1673,W$4:W1673&lt;=I823),1),W$4:W1673))-K823),1,
ROUNDDOWN(Y823-INDEX(K$4:K1673,MATCH(LARGE(FILTER(I$4:I1673,I$4:I1673&lt;=W823),1),I$4:I1673))-(W823-LARGE(FILTER(I$4:I"&amp;"1673,I$4:I1673&lt;=W823),1))*INDEX(F$4:F1673,MATCH(LARGE(FILTER(I$4:I1673,I$4:I1673&lt;=W823),1),I$4:I1673))))"),"")</f>
        <v/>
      </c>
      <c r="N823" s="60" t="str">
        <f t="shared" si="8"/>
        <v/>
      </c>
      <c r="O823" s="61" t="str">
        <f t="shared" si="9"/>
        <v/>
      </c>
      <c r="P823" s="56" t="str">
        <f t="shared" si="10"/>
        <v/>
      </c>
      <c r="R823" s="10"/>
      <c r="S823" s="59" t="str">
        <f t="array" ref="S823">IF(COUNTA(Q823:Q1673)=0,"",SUM((COUNTIF(Q$4:Q823,Upgrades!$B$3:$B$13)-COUNTIF(Q$4:Q823,"Sell_"&amp;Upgrades!$B$3:$B$13))*Upgrades!$D$3:$D$13))</f>
        <v/>
      </c>
      <c r="T823" s="66" t="str">
        <f>IFERROR(__xludf.DUMMYFUNCTION("IF(COUNTA(Q823:Q1673)=0,"""",IF(REGEXMATCH(INDEX(FILTER(Q$4:Q823,Q$4:Q823&lt;&gt;""""),ROWS(FILTER(Q$4:Q823,Q$4:Q823&lt;&gt;""""))),""^Sell_""),INDEX(FILTER(T$4:T822,Q$4:Q822&lt;&gt;""""),ROWS(FILTER(Q$4:Q822,Q$4:Q822&lt;&gt;""""))),$AD$5+S823))"),"")</f>
        <v/>
      </c>
      <c r="U823" s="10" t="str">
        <f>IFERROR(__xludf.DUMMYFUNCTION("IF(COUNTA(Q823:Q1673)=0,"""",IF(Q823="""",0,IF(REGEXMATCH(Q823,""^Sell_""),-ROUNDDOWN(ROUNDUP(INDEX(Upgrades!$C$3:$C$13,MATCH(SUBSTITUTE(Q823,""Sell_"",""""),Upgrades!$B$3:$B$13,0))*1.15^(COUNTIF(Q$4:Q822,SUBSTITUTE(Q823,""Sell_"",""""))-COUNTIF(Q$4:Q822,"&amp;"""Sell_""&amp;SUBSTITUTE(Q823,""Sell_"",""""))))/2),ROUNDUP(INDEX(Upgrades!$C$3:$C$13,MATCH(Q823,Upgrades!$B$3:$B$13,0))*1.15^(COUNTIF(Q$4:Q822,Q823)-COUNTIF(Q$4:Q822,""Sell_""&amp;Q823))))))"),"")</f>
        <v/>
      </c>
      <c r="V823" s="10" t="str">
        <f t="shared" si="11"/>
        <v/>
      </c>
      <c r="W823" s="68" t="str">
        <f t="shared" si="12"/>
        <v/>
      </c>
      <c r="X823" s="59" t="str">
        <f t="shared" si="13"/>
        <v/>
      </c>
      <c r="Y823" s="69" t="str">
        <f t="shared" si="14"/>
        <v/>
      </c>
      <c r="Z823" s="11"/>
    </row>
    <row r="824">
      <c r="A824" s="8"/>
      <c r="B824" s="56" t="str">
        <f t="shared" si="2"/>
        <v/>
      </c>
      <c r="C824" s="105"/>
      <c r="D824" s="10"/>
      <c r="E824" s="59" t="str">
        <f t="array" ref="E824">IF(COUNTA(C824:C1673)=0,"",SUM((COUNTIF(C$4:C824,Upgrades!$B$3:$B$13)-COUNTIF(C$4:C824,"Sell_"&amp;Upgrades!$B$3:$B$13))*Upgrades!$D$3:$D$13))</f>
        <v/>
      </c>
      <c r="F824" s="66" t="str">
        <f>IFERROR(__xludf.DUMMYFUNCTION("IF(COUNTA(C824:C1673)=0,"""",IF(REGEXMATCH(INDEX(FILTER(C$4:C824,C$4:C824&lt;&gt;""""),ROWS(FILTER(C$4:C824,C$4:C824&lt;&gt;""""))),""^Sell_""),INDEX(FILTER(F$4:F823,C$4:C823&lt;&gt;""""),ROWS(FILTER(C$4:C823,C$4:C823&lt;&gt;""""))),$AC$5+E824))"),"")</f>
        <v/>
      </c>
      <c r="G824" s="10" t="str">
        <f>IFERROR(__xludf.DUMMYFUNCTION("IF(COUNTA(C824:C1673)=0,"""",IF(C824="""",0,IF(REGEXMATCH(C824,""^Sell_""),-ROUNDDOWN(ROUNDUP(INDEX(Upgrades!$C$3:$C$13,MATCH(SUBSTITUTE(C824,""Sell_"",""""),Upgrades!$B$3:$B$13,0))*1.15^(COUNTIF(C$4:C823,SUBSTITUTE(C824,""Sell_"",""""))-COUNTIF(C$4:C823,"&amp;"""Sell_""&amp;SUBSTITUTE(C824,""Sell_"",""""))))/2),ROUNDUP(INDEX(Upgrades!$C$3:$C$13,MATCH(C824,Upgrades!$B$3:$B$13,0))*1.15^(COUNTIF(C$4:C823,C824)-COUNTIF(C$4:C823,""Sell_""&amp;C824))))))"),"")</f>
        <v/>
      </c>
      <c r="H824" s="10" t="str">
        <f t="shared" si="3"/>
        <v/>
      </c>
      <c r="I824" s="68" t="str">
        <f t="shared" si="4"/>
        <v/>
      </c>
      <c r="J824" s="59" t="str">
        <f t="shared" si="5"/>
        <v/>
      </c>
      <c r="K824" s="69" t="str">
        <f t="shared" si="6"/>
        <v/>
      </c>
      <c r="L824" s="60" t="str">
        <f t="shared" si="7"/>
        <v/>
      </c>
      <c r="M824" s="61" t="str">
        <f>IFERROR(__xludf.DUMMYFUNCTION("IFS(AND(COUNTA(C824:C1673)=0,COUNTA(Q824:Q1673)=0),"""",OR(AND(K824&gt;=1000000000,OR(Y824&gt;=1000000000,COUNTA(Q824:Q1673)=0)),OR(Y824&gt;=1000000000,AND(COUNTA(C824:C1673)=0,P$3=TRUE))),
ROUNDDOWN((AB$1-AC$1)*MAX(INDEX(T$4:T1673,MATCH(LARGE(FILTER(Y$4:Y1673,Y$4"&amp;":Y1673&lt;1000000000),1),Y$4:Y1673)),INDEX(F$4:F1673,MATCH(LARGE(FILTER(K$4:K1673,K$4:K1673&lt;1000000000),1),K$4:K1673)))),AND(K824&lt;1000000000,COUNTA(C824:C1673)&gt;0,P$3=FALSE),
ROUNDDOWN(INDEX(Y$4:Y1673,MATCH(LARGE(FILTER(W$4:W1673,W$4:W1673&lt;=I824),1),W$4:W1673"&amp;"))+(I824-LARGE(FILTER(W$4:W1673,W$4:W1673&lt;=I824),1))*INDEX(T$4:T1673,MATCH(LARGE(FILTER(W$4:W1673,W$4:W1673&lt;=I824),1),W$4:W1673))-K824),1,
ROUNDDOWN(Y824-INDEX(K$4:K1673,MATCH(LARGE(FILTER(I$4:I1673,I$4:I1673&lt;=W824),1),I$4:I1673))-(W824-LARGE(FILTER(I$4:I"&amp;"1673,I$4:I1673&lt;=W824),1))*INDEX(F$4:F1673,MATCH(LARGE(FILTER(I$4:I1673,I$4:I1673&lt;=W824),1),I$4:I1673))))"),"")</f>
        <v/>
      </c>
      <c r="N824" s="60" t="str">
        <f t="shared" si="8"/>
        <v/>
      </c>
      <c r="O824" s="61" t="str">
        <f t="shared" si="9"/>
        <v/>
      </c>
      <c r="P824" s="56" t="str">
        <f t="shared" si="10"/>
        <v/>
      </c>
      <c r="R824" s="10"/>
      <c r="S824" s="59" t="str">
        <f t="array" ref="S824">IF(COUNTA(Q824:Q1673)=0,"",SUM((COUNTIF(Q$4:Q824,Upgrades!$B$3:$B$13)-COUNTIF(Q$4:Q824,"Sell_"&amp;Upgrades!$B$3:$B$13))*Upgrades!$D$3:$D$13))</f>
        <v/>
      </c>
      <c r="T824" s="66" t="str">
        <f>IFERROR(__xludf.DUMMYFUNCTION("IF(COUNTA(Q824:Q1673)=0,"""",IF(REGEXMATCH(INDEX(FILTER(Q$4:Q824,Q$4:Q824&lt;&gt;""""),ROWS(FILTER(Q$4:Q824,Q$4:Q824&lt;&gt;""""))),""^Sell_""),INDEX(FILTER(T$4:T823,Q$4:Q823&lt;&gt;""""),ROWS(FILTER(Q$4:Q823,Q$4:Q823&lt;&gt;""""))),$AD$5+S824))"),"")</f>
        <v/>
      </c>
      <c r="U824" s="10" t="str">
        <f>IFERROR(__xludf.DUMMYFUNCTION("IF(COUNTA(Q824:Q1673)=0,"""",IF(Q824="""",0,IF(REGEXMATCH(Q824,""^Sell_""),-ROUNDDOWN(ROUNDUP(INDEX(Upgrades!$C$3:$C$13,MATCH(SUBSTITUTE(Q824,""Sell_"",""""),Upgrades!$B$3:$B$13,0))*1.15^(COUNTIF(Q$4:Q823,SUBSTITUTE(Q824,""Sell_"",""""))-COUNTIF(Q$4:Q823,"&amp;"""Sell_""&amp;SUBSTITUTE(Q824,""Sell_"",""""))))/2),ROUNDUP(INDEX(Upgrades!$C$3:$C$13,MATCH(Q824,Upgrades!$B$3:$B$13,0))*1.15^(COUNTIF(Q$4:Q823,Q824)-COUNTIF(Q$4:Q823,""Sell_""&amp;Q824))))))"),"")</f>
        <v/>
      </c>
      <c r="V824" s="10" t="str">
        <f t="shared" si="11"/>
        <v/>
      </c>
      <c r="W824" s="68" t="str">
        <f t="shared" si="12"/>
        <v/>
      </c>
      <c r="X824" s="59" t="str">
        <f t="shared" si="13"/>
        <v/>
      </c>
      <c r="Y824" s="69" t="str">
        <f t="shared" si="14"/>
        <v/>
      </c>
      <c r="Z824" s="11"/>
    </row>
    <row r="825">
      <c r="A825" s="8"/>
      <c r="B825" s="56" t="str">
        <f t="shared" si="2"/>
        <v/>
      </c>
      <c r="C825" s="105"/>
      <c r="D825" s="10"/>
      <c r="E825" s="59" t="str">
        <f t="array" ref="E825">IF(COUNTA(C825:C1673)=0,"",SUM((COUNTIF(C$4:C825,Upgrades!$B$3:$B$13)-COUNTIF(C$4:C825,"Sell_"&amp;Upgrades!$B$3:$B$13))*Upgrades!$D$3:$D$13))</f>
        <v/>
      </c>
      <c r="F825" s="66" t="str">
        <f>IFERROR(__xludf.DUMMYFUNCTION("IF(COUNTA(C825:C1673)=0,"""",IF(REGEXMATCH(INDEX(FILTER(C$4:C825,C$4:C825&lt;&gt;""""),ROWS(FILTER(C$4:C825,C$4:C825&lt;&gt;""""))),""^Sell_""),INDEX(FILTER(F$4:F824,C$4:C824&lt;&gt;""""),ROWS(FILTER(C$4:C824,C$4:C824&lt;&gt;""""))),$AC$5+E825))"),"")</f>
        <v/>
      </c>
      <c r="G825" s="10" t="str">
        <f>IFERROR(__xludf.DUMMYFUNCTION("IF(COUNTA(C825:C1673)=0,"""",IF(C825="""",0,IF(REGEXMATCH(C825,""^Sell_""),-ROUNDDOWN(ROUNDUP(INDEX(Upgrades!$C$3:$C$13,MATCH(SUBSTITUTE(C825,""Sell_"",""""),Upgrades!$B$3:$B$13,0))*1.15^(COUNTIF(C$4:C824,SUBSTITUTE(C825,""Sell_"",""""))-COUNTIF(C$4:C824,"&amp;"""Sell_""&amp;SUBSTITUTE(C825,""Sell_"",""""))))/2),ROUNDUP(INDEX(Upgrades!$C$3:$C$13,MATCH(C825,Upgrades!$B$3:$B$13,0))*1.15^(COUNTIF(C$4:C824,C825)-COUNTIF(C$4:C824,""Sell_""&amp;C825))))))"),"")</f>
        <v/>
      </c>
      <c r="H825" s="10" t="str">
        <f t="shared" si="3"/>
        <v/>
      </c>
      <c r="I825" s="68" t="str">
        <f t="shared" si="4"/>
        <v/>
      </c>
      <c r="J825" s="59" t="str">
        <f t="shared" si="5"/>
        <v/>
      </c>
      <c r="K825" s="69" t="str">
        <f t="shared" si="6"/>
        <v/>
      </c>
      <c r="L825" s="60" t="str">
        <f t="shared" si="7"/>
        <v/>
      </c>
      <c r="M825" s="61" t="str">
        <f>IFERROR(__xludf.DUMMYFUNCTION("IFS(AND(COUNTA(C825:C1673)=0,COUNTA(Q825:Q1673)=0),"""",OR(AND(K825&gt;=1000000000,OR(Y825&gt;=1000000000,COUNTA(Q825:Q1673)=0)),OR(Y825&gt;=1000000000,AND(COUNTA(C825:C1673)=0,P$3=TRUE))),
ROUNDDOWN((AB$1-AC$1)*MAX(INDEX(T$4:T1673,MATCH(LARGE(FILTER(Y$4:Y1673,Y$4"&amp;":Y1673&lt;1000000000),1),Y$4:Y1673)),INDEX(F$4:F1673,MATCH(LARGE(FILTER(K$4:K1673,K$4:K1673&lt;1000000000),1),K$4:K1673)))),AND(K825&lt;1000000000,COUNTA(C825:C1673)&gt;0,P$3=FALSE),
ROUNDDOWN(INDEX(Y$4:Y1673,MATCH(LARGE(FILTER(W$4:W1673,W$4:W1673&lt;=I825),1),W$4:W1673"&amp;"))+(I825-LARGE(FILTER(W$4:W1673,W$4:W1673&lt;=I825),1))*INDEX(T$4:T1673,MATCH(LARGE(FILTER(W$4:W1673,W$4:W1673&lt;=I825),1),W$4:W1673))-K825),1,
ROUNDDOWN(Y825-INDEX(K$4:K1673,MATCH(LARGE(FILTER(I$4:I1673,I$4:I1673&lt;=W825),1),I$4:I1673))-(W825-LARGE(FILTER(I$4:I"&amp;"1673,I$4:I1673&lt;=W825),1))*INDEX(F$4:F1673,MATCH(LARGE(FILTER(I$4:I1673,I$4:I1673&lt;=W825),1),I$4:I1673))))"),"")</f>
        <v/>
      </c>
      <c r="N825" s="60" t="str">
        <f t="shared" si="8"/>
        <v/>
      </c>
      <c r="O825" s="61" t="str">
        <f t="shared" si="9"/>
        <v/>
      </c>
      <c r="P825" s="56" t="str">
        <f t="shared" si="10"/>
        <v/>
      </c>
      <c r="R825" s="10"/>
      <c r="S825" s="59" t="str">
        <f t="array" ref="S825">IF(COUNTA(Q825:Q1673)=0,"",SUM((COUNTIF(Q$4:Q825,Upgrades!$B$3:$B$13)-COUNTIF(Q$4:Q825,"Sell_"&amp;Upgrades!$B$3:$B$13))*Upgrades!$D$3:$D$13))</f>
        <v/>
      </c>
      <c r="T825" s="66" t="str">
        <f>IFERROR(__xludf.DUMMYFUNCTION("IF(COUNTA(Q825:Q1673)=0,"""",IF(REGEXMATCH(INDEX(FILTER(Q$4:Q825,Q$4:Q825&lt;&gt;""""),ROWS(FILTER(Q$4:Q825,Q$4:Q825&lt;&gt;""""))),""^Sell_""),INDEX(FILTER(T$4:T824,Q$4:Q824&lt;&gt;""""),ROWS(FILTER(Q$4:Q824,Q$4:Q824&lt;&gt;""""))),$AD$5+S825))"),"")</f>
        <v/>
      </c>
      <c r="U825" s="10" t="str">
        <f>IFERROR(__xludf.DUMMYFUNCTION("IF(COUNTA(Q825:Q1673)=0,"""",IF(Q825="""",0,IF(REGEXMATCH(Q825,""^Sell_""),-ROUNDDOWN(ROUNDUP(INDEX(Upgrades!$C$3:$C$13,MATCH(SUBSTITUTE(Q825,""Sell_"",""""),Upgrades!$B$3:$B$13,0))*1.15^(COUNTIF(Q$4:Q824,SUBSTITUTE(Q825,""Sell_"",""""))-COUNTIF(Q$4:Q824,"&amp;"""Sell_""&amp;SUBSTITUTE(Q825,""Sell_"",""""))))/2),ROUNDUP(INDEX(Upgrades!$C$3:$C$13,MATCH(Q825,Upgrades!$B$3:$B$13,0))*1.15^(COUNTIF(Q$4:Q824,Q825)-COUNTIF(Q$4:Q824,""Sell_""&amp;Q825))))))"),"")</f>
        <v/>
      </c>
      <c r="V825" s="10" t="str">
        <f t="shared" si="11"/>
        <v/>
      </c>
      <c r="W825" s="68" t="str">
        <f t="shared" si="12"/>
        <v/>
      </c>
      <c r="X825" s="59" t="str">
        <f t="shared" si="13"/>
        <v/>
      </c>
      <c r="Y825" s="69" t="str">
        <f t="shared" si="14"/>
        <v/>
      </c>
      <c r="Z825" s="11"/>
    </row>
    <row r="826">
      <c r="A826" s="8"/>
      <c r="B826" s="56" t="str">
        <f t="shared" si="2"/>
        <v/>
      </c>
      <c r="C826" s="105"/>
      <c r="D826" s="10"/>
      <c r="E826" s="59" t="str">
        <f t="array" ref="E826">IF(COUNTA(C826:C1673)=0,"",SUM((COUNTIF(C$4:C826,Upgrades!$B$3:$B$13)-COUNTIF(C$4:C826,"Sell_"&amp;Upgrades!$B$3:$B$13))*Upgrades!$D$3:$D$13))</f>
        <v/>
      </c>
      <c r="F826" s="66" t="str">
        <f>IFERROR(__xludf.DUMMYFUNCTION("IF(COUNTA(C826:C1673)=0,"""",IF(REGEXMATCH(INDEX(FILTER(C$4:C826,C$4:C826&lt;&gt;""""),ROWS(FILTER(C$4:C826,C$4:C826&lt;&gt;""""))),""^Sell_""),INDEX(FILTER(F$4:F825,C$4:C825&lt;&gt;""""),ROWS(FILTER(C$4:C825,C$4:C825&lt;&gt;""""))),$AC$5+E826))"),"")</f>
        <v/>
      </c>
      <c r="G826" s="10" t="str">
        <f>IFERROR(__xludf.DUMMYFUNCTION("IF(COUNTA(C826:C1673)=0,"""",IF(C826="""",0,IF(REGEXMATCH(C826,""^Sell_""),-ROUNDDOWN(ROUNDUP(INDEX(Upgrades!$C$3:$C$13,MATCH(SUBSTITUTE(C826,""Sell_"",""""),Upgrades!$B$3:$B$13,0))*1.15^(COUNTIF(C$4:C825,SUBSTITUTE(C826,""Sell_"",""""))-COUNTIF(C$4:C825,"&amp;"""Sell_""&amp;SUBSTITUTE(C826,""Sell_"",""""))))/2),ROUNDUP(INDEX(Upgrades!$C$3:$C$13,MATCH(C826,Upgrades!$B$3:$B$13,0))*1.15^(COUNTIF(C$4:C825,C826)-COUNTIF(C$4:C825,""Sell_""&amp;C826))))))"),"")</f>
        <v/>
      </c>
      <c r="H826" s="10" t="str">
        <f t="shared" si="3"/>
        <v/>
      </c>
      <c r="I826" s="68" t="str">
        <f t="shared" si="4"/>
        <v/>
      </c>
      <c r="J826" s="59" t="str">
        <f t="shared" si="5"/>
        <v/>
      </c>
      <c r="K826" s="69" t="str">
        <f t="shared" si="6"/>
        <v/>
      </c>
      <c r="L826" s="60" t="str">
        <f t="shared" si="7"/>
        <v/>
      </c>
      <c r="M826" s="61" t="str">
        <f>IFERROR(__xludf.DUMMYFUNCTION("IFS(AND(COUNTA(C826:C1673)=0,COUNTA(Q826:Q1673)=0),"""",OR(AND(K826&gt;=1000000000,OR(Y826&gt;=1000000000,COUNTA(Q826:Q1673)=0)),OR(Y826&gt;=1000000000,AND(COUNTA(C826:C1673)=0,P$3=TRUE))),
ROUNDDOWN((AB$1-AC$1)*MAX(INDEX(T$4:T1673,MATCH(LARGE(FILTER(Y$4:Y1673,Y$4"&amp;":Y1673&lt;1000000000),1),Y$4:Y1673)),INDEX(F$4:F1673,MATCH(LARGE(FILTER(K$4:K1673,K$4:K1673&lt;1000000000),1),K$4:K1673)))),AND(K826&lt;1000000000,COUNTA(C826:C1673)&gt;0,P$3=FALSE),
ROUNDDOWN(INDEX(Y$4:Y1673,MATCH(LARGE(FILTER(W$4:W1673,W$4:W1673&lt;=I826),1),W$4:W1673"&amp;"))+(I826-LARGE(FILTER(W$4:W1673,W$4:W1673&lt;=I826),1))*INDEX(T$4:T1673,MATCH(LARGE(FILTER(W$4:W1673,W$4:W1673&lt;=I826),1),W$4:W1673))-K826),1,
ROUNDDOWN(Y826-INDEX(K$4:K1673,MATCH(LARGE(FILTER(I$4:I1673,I$4:I1673&lt;=W826),1),I$4:I1673))-(W826-LARGE(FILTER(I$4:I"&amp;"1673,I$4:I1673&lt;=W826),1))*INDEX(F$4:F1673,MATCH(LARGE(FILTER(I$4:I1673,I$4:I1673&lt;=W826),1),I$4:I1673))))"),"")</f>
        <v/>
      </c>
      <c r="N826" s="60" t="str">
        <f t="shared" si="8"/>
        <v/>
      </c>
      <c r="O826" s="61" t="str">
        <f t="shared" si="9"/>
        <v/>
      </c>
      <c r="P826" s="56" t="str">
        <f t="shared" si="10"/>
        <v/>
      </c>
      <c r="R826" s="10"/>
      <c r="S826" s="59" t="str">
        <f t="array" ref="S826">IF(COUNTA(Q826:Q1673)=0,"",SUM((COUNTIF(Q$4:Q826,Upgrades!$B$3:$B$13)-COUNTIF(Q$4:Q826,"Sell_"&amp;Upgrades!$B$3:$B$13))*Upgrades!$D$3:$D$13))</f>
        <v/>
      </c>
      <c r="T826" s="66" t="str">
        <f>IFERROR(__xludf.DUMMYFUNCTION("IF(COUNTA(Q826:Q1673)=0,"""",IF(REGEXMATCH(INDEX(FILTER(Q$4:Q826,Q$4:Q826&lt;&gt;""""),ROWS(FILTER(Q$4:Q826,Q$4:Q826&lt;&gt;""""))),""^Sell_""),INDEX(FILTER(T$4:T825,Q$4:Q825&lt;&gt;""""),ROWS(FILTER(Q$4:Q825,Q$4:Q825&lt;&gt;""""))),$AD$5+S826))"),"")</f>
        <v/>
      </c>
      <c r="U826" s="10" t="str">
        <f>IFERROR(__xludf.DUMMYFUNCTION("IF(COUNTA(Q826:Q1673)=0,"""",IF(Q826="""",0,IF(REGEXMATCH(Q826,""^Sell_""),-ROUNDDOWN(ROUNDUP(INDEX(Upgrades!$C$3:$C$13,MATCH(SUBSTITUTE(Q826,""Sell_"",""""),Upgrades!$B$3:$B$13,0))*1.15^(COUNTIF(Q$4:Q825,SUBSTITUTE(Q826,""Sell_"",""""))-COUNTIF(Q$4:Q825,"&amp;"""Sell_""&amp;SUBSTITUTE(Q826,""Sell_"",""""))))/2),ROUNDUP(INDEX(Upgrades!$C$3:$C$13,MATCH(Q826,Upgrades!$B$3:$B$13,0))*1.15^(COUNTIF(Q$4:Q825,Q826)-COUNTIF(Q$4:Q825,""Sell_""&amp;Q826))))))"),"")</f>
        <v/>
      </c>
      <c r="V826" s="10" t="str">
        <f t="shared" si="11"/>
        <v/>
      </c>
      <c r="W826" s="68" t="str">
        <f t="shared" si="12"/>
        <v/>
      </c>
      <c r="X826" s="59" t="str">
        <f t="shared" si="13"/>
        <v/>
      </c>
      <c r="Y826" s="69" t="str">
        <f t="shared" si="14"/>
        <v/>
      </c>
      <c r="Z826" s="11"/>
    </row>
    <row r="827">
      <c r="A827" s="8"/>
      <c r="B827" s="56" t="str">
        <f t="shared" si="2"/>
        <v/>
      </c>
      <c r="C827" s="105"/>
      <c r="D827" s="10"/>
      <c r="E827" s="59" t="str">
        <f t="array" ref="E827">IF(COUNTA(C827:C1673)=0,"",SUM((COUNTIF(C$4:C827,Upgrades!$B$3:$B$13)-COUNTIF(C$4:C827,"Sell_"&amp;Upgrades!$B$3:$B$13))*Upgrades!$D$3:$D$13))</f>
        <v/>
      </c>
      <c r="F827" s="66" t="str">
        <f>IFERROR(__xludf.DUMMYFUNCTION("IF(COUNTA(C827:C1673)=0,"""",IF(REGEXMATCH(INDEX(FILTER(C$4:C827,C$4:C827&lt;&gt;""""),ROWS(FILTER(C$4:C827,C$4:C827&lt;&gt;""""))),""^Sell_""),INDEX(FILTER(F$4:F826,C$4:C826&lt;&gt;""""),ROWS(FILTER(C$4:C826,C$4:C826&lt;&gt;""""))),$AC$5+E827))"),"")</f>
        <v/>
      </c>
      <c r="G827" s="10" t="str">
        <f>IFERROR(__xludf.DUMMYFUNCTION("IF(COUNTA(C827:C1673)=0,"""",IF(C827="""",0,IF(REGEXMATCH(C827,""^Sell_""),-ROUNDDOWN(ROUNDUP(INDEX(Upgrades!$C$3:$C$13,MATCH(SUBSTITUTE(C827,""Sell_"",""""),Upgrades!$B$3:$B$13,0))*1.15^(COUNTIF(C$4:C826,SUBSTITUTE(C827,""Sell_"",""""))-COUNTIF(C$4:C826,"&amp;"""Sell_""&amp;SUBSTITUTE(C827,""Sell_"",""""))))/2),ROUNDUP(INDEX(Upgrades!$C$3:$C$13,MATCH(C827,Upgrades!$B$3:$B$13,0))*1.15^(COUNTIF(C$4:C826,C827)-COUNTIF(C$4:C826,""Sell_""&amp;C827))))))"),"")</f>
        <v/>
      </c>
      <c r="H827" s="10" t="str">
        <f t="shared" si="3"/>
        <v/>
      </c>
      <c r="I827" s="68" t="str">
        <f t="shared" si="4"/>
        <v/>
      </c>
      <c r="J827" s="59" t="str">
        <f t="shared" si="5"/>
        <v/>
      </c>
      <c r="K827" s="69" t="str">
        <f t="shared" si="6"/>
        <v/>
      </c>
      <c r="L827" s="60" t="str">
        <f t="shared" si="7"/>
        <v/>
      </c>
      <c r="M827" s="61" t="str">
        <f>IFERROR(__xludf.DUMMYFUNCTION("IFS(AND(COUNTA(C827:C1673)=0,COUNTA(Q827:Q1673)=0),"""",OR(AND(K827&gt;=1000000000,OR(Y827&gt;=1000000000,COUNTA(Q827:Q1673)=0)),OR(Y827&gt;=1000000000,AND(COUNTA(C827:C1673)=0,P$3=TRUE))),
ROUNDDOWN((AB$1-AC$1)*MAX(INDEX(T$4:T1673,MATCH(LARGE(FILTER(Y$4:Y1673,Y$4"&amp;":Y1673&lt;1000000000),1),Y$4:Y1673)),INDEX(F$4:F1673,MATCH(LARGE(FILTER(K$4:K1673,K$4:K1673&lt;1000000000),1),K$4:K1673)))),AND(K827&lt;1000000000,COUNTA(C827:C1673)&gt;0,P$3=FALSE),
ROUNDDOWN(INDEX(Y$4:Y1673,MATCH(LARGE(FILTER(W$4:W1673,W$4:W1673&lt;=I827),1),W$4:W1673"&amp;"))+(I827-LARGE(FILTER(W$4:W1673,W$4:W1673&lt;=I827),1))*INDEX(T$4:T1673,MATCH(LARGE(FILTER(W$4:W1673,W$4:W1673&lt;=I827),1),W$4:W1673))-K827),1,
ROUNDDOWN(Y827-INDEX(K$4:K1673,MATCH(LARGE(FILTER(I$4:I1673,I$4:I1673&lt;=W827),1),I$4:I1673))-(W827-LARGE(FILTER(I$4:I"&amp;"1673,I$4:I1673&lt;=W827),1))*INDEX(F$4:F1673,MATCH(LARGE(FILTER(I$4:I1673,I$4:I1673&lt;=W827),1),I$4:I1673))))"),"")</f>
        <v/>
      </c>
      <c r="N827" s="60" t="str">
        <f t="shared" si="8"/>
        <v/>
      </c>
      <c r="O827" s="61" t="str">
        <f t="shared" si="9"/>
        <v/>
      </c>
      <c r="P827" s="56" t="str">
        <f t="shared" si="10"/>
        <v/>
      </c>
      <c r="R827" s="10"/>
      <c r="S827" s="59" t="str">
        <f t="array" ref="S827">IF(COUNTA(Q827:Q1673)=0,"",SUM((COUNTIF(Q$4:Q827,Upgrades!$B$3:$B$13)-COUNTIF(Q$4:Q827,"Sell_"&amp;Upgrades!$B$3:$B$13))*Upgrades!$D$3:$D$13))</f>
        <v/>
      </c>
      <c r="T827" s="66" t="str">
        <f>IFERROR(__xludf.DUMMYFUNCTION("IF(COUNTA(Q827:Q1673)=0,"""",IF(REGEXMATCH(INDEX(FILTER(Q$4:Q827,Q$4:Q827&lt;&gt;""""),ROWS(FILTER(Q$4:Q827,Q$4:Q827&lt;&gt;""""))),""^Sell_""),INDEX(FILTER(T$4:T826,Q$4:Q826&lt;&gt;""""),ROWS(FILTER(Q$4:Q826,Q$4:Q826&lt;&gt;""""))),$AD$5+S827))"),"")</f>
        <v/>
      </c>
      <c r="U827" s="10" t="str">
        <f>IFERROR(__xludf.DUMMYFUNCTION("IF(COUNTA(Q827:Q1673)=0,"""",IF(Q827="""",0,IF(REGEXMATCH(Q827,""^Sell_""),-ROUNDDOWN(ROUNDUP(INDEX(Upgrades!$C$3:$C$13,MATCH(SUBSTITUTE(Q827,""Sell_"",""""),Upgrades!$B$3:$B$13,0))*1.15^(COUNTIF(Q$4:Q826,SUBSTITUTE(Q827,""Sell_"",""""))-COUNTIF(Q$4:Q826,"&amp;"""Sell_""&amp;SUBSTITUTE(Q827,""Sell_"",""""))))/2),ROUNDUP(INDEX(Upgrades!$C$3:$C$13,MATCH(Q827,Upgrades!$B$3:$B$13,0))*1.15^(COUNTIF(Q$4:Q826,Q827)-COUNTIF(Q$4:Q826,""Sell_""&amp;Q827))))))"),"")</f>
        <v/>
      </c>
      <c r="V827" s="10" t="str">
        <f t="shared" si="11"/>
        <v/>
      </c>
      <c r="W827" s="68" t="str">
        <f t="shared" si="12"/>
        <v/>
      </c>
      <c r="X827" s="59" t="str">
        <f t="shared" si="13"/>
        <v/>
      </c>
      <c r="Y827" s="69" t="str">
        <f t="shared" si="14"/>
        <v/>
      </c>
      <c r="Z827" s="11"/>
    </row>
    <row r="828">
      <c r="A828" s="8"/>
      <c r="B828" s="56" t="str">
        <f t="shared" si="2"/>
        <v/>
      </c>
      <c r="C828" s="105"/>
      <c r="D828" s="10"/>
      <c r="E828" s="59" t="str">
        <f t="array" ref="E828">IF(COUNTA(C828:C1673)=0,"",SUM((COUNTIF(C$4:C828,Upgrades!$B$3:$B$13)-COUNTIF(C$4:C828,"Sell_"&amp;Upgrades!$B$3:$B$13))*Upgrades!$D$3:$D$13))</f>
        <v/>
      </c>
      <c r="F828" s="66" t="str">
        <f>IFERROR(__xludf.DUMMYFUNCTION("IF(COUNTA(C828:C1673)=0,"""",IF(REGEXMATCH(INDEX(FILTER(C$4:C828,C$4:C828&lt;&gt;""""),ROWS(FILTER(C$4:C828,C$4:C828&lt;&gt;""""))),""^Sell_""),INDEX(FILTER(F$4:F827,C$4:C827&lt;&gt;""""),ROWS(FILTER(C$4:C827,C$4:C827&lt;&gt;""""))),$AC$5+E828))"),"")</f>
        <v/>
      </c>
      <c r="G828" s="10" t="str">
        <f>IFERROR(__xludf.DUMMYFUNCTION("IF(COUNTA(C828:C1673)=0,"""",IF(C828="""",0,IF(REGEXMATCH(C828,""^Sell_""),-ROUNDDOWN(ROUNDUP(INDEX(Upgrades!$C$3:$C$13,MATCH(SUBSTITUTE(C828,""Sell_"",""""),Upgrades!$B$3:$B$13,0))*1.15^(COUNTIF(C$4:C827,SUBSTITUTE(C828,""Sell_"",""""))-COUNTIF(C$4:C827,"&amp;"""Sell_""&amp;SUBSTITUTE(C828,""Sell_"",""""))))/2),ROUNDUP(INDEX(Upgrades!$C$3:$C$13,MATCH(C828,Upgrades!$B$3:$B$13,0))*1.15^(COUNTIF(C$4:C827,C828)-COUNTIF(C$4:C827,""Sell_""&amp;C828))))))"),"")</f>
        <v/>
      </c>
      <c r="H828" s="10" t="str">
        <f t="shared" si="3"/>
        <v/>
      </c>
      <c r="I828" s="68" t="str">
        <f t="shared" si="4"/>
        <v/>
      </c>
      <c r="J828" s="59" t="str">
        <f t="shared" si="5"/>
        <v/>
      </c>
      <c r="K828" s="69" t="str">
        <f t="shared" si="6"/>
        <v/>
      </c>
      <c r="L828" s="60" t="str">
        <f t="shared" si="7"/>
        <v/>
      </c>
      <c r="M828" s="61" t="str">
        <f>IFERROR(__xludf.DUMMYFUNCTION("IFS(AND(COUNTA(C828:C1673)=0,COUNTA(Q828:Q1673)=0),"""",OR(AND(K828&gt;=1000000000,OR(Y828&gt;=1000000000,COUNTA(Q828:Q1673)=0)),OR(Y828&gt;=1000000000,AND(COUNTA(C828:C1673)=0,P$3=TRUE))),
ROUNDDOWN((AB$1-AC$1)*MAX(INDEX(T$4:T1673,MATCH(LARGE(FILTER(Y$4:Y1673,Y$4"&amp;":Y1673&lt;1000000000),1),Y$4:Y1673)),INDEX(F$4:F1673,MATCH(LARGE(FILTER(K$4:K1673,K$4:K1673&lt;1000000000),1),K$4:K1673)))),AND(K828&lt;1000000000,COUNTA(C828:C1673)&gt;0,P$3=FALSE),
ROUNDDOWN(INDEX(Y$4:Y1673,MATCH(LARGE(FILTER(W$4:W1673,W$4:W1673&lt;=I828),1),W$4:W1673"&amp;"))+(I828-LARGE(FILTER(W$4:W1673,W$4:W1673&lt;=I828),1))*INDEX(T$4:T1673,MATCH(LARGE(FILTER(W$4:W1673,W$4:W1673&lt;=I828),1),W$4:W1673))-K828),1,
ROUNDDOWN(Y828-INDEX(K$4:K1673,MATCH(LARGE(FILTER(I$4:I1673,I$4:I1673&lt;=W828),1),I$4:I1673))-(W828-LARGE(FILTER(I$4:I"&amp;"1673,I$4:I1673&lt;=W828),1))*INDEX(F$4:F1673,MATCH(LARGE(FILTER(I$4:I1673,I$4:I1673&lt;=W828),1),I$4:I1673))))"),"")</f>
        <v/>
      </c>
      <c r="N828" s="60" t="str">
        <f t="shared" si="8"/>
        <v/>
      </c>
      <c r="O828" s="61" t="str">
        <f t="shared" si="9"/>
        <v/>
      </c>
      <c r="P828" s="56" t="str">
        <f t="shared" si="10"/>
        <v/>
      </c>
      <c r="R828" s="10"/>
      <c r="S828" s="59" t="str">
        <f t="array" ref="S828">IF(COUNTA(Q828:Q1673)=0,"",SUM((COUNTIF(Q$4:Q828,Upgrades!$B$3:$B$13)-COUNTIF(Q$4:Q828,"Sell_"&amp;Upgrades!$B$3:$B$13))*Upgrades!$D$3:$D$13))</f>
        <v/>
      </c>
      <c r="T828" s="66" t="str">
        <f>IFERROR(__xludf.DUMMYFUNCTION("IF(COUNTA(Q828:Q1673)=0,"""",IF(REGEXMATCH(INDEX(FILTER(Q$4:Q828,Q$4:Q828&lt;&gt;""""),ROWS(FILTER(Q$4:Q828,Q$4:Q828&lt;&gt;""""))),""^Sell_""),INDEX(FILTER(T$4:T827,Q$4:Q827&lt;&gt;""""),ROWS(FILTER(Q$4:Q827,Q$4:Q827&lt;&gt;""""))),$AD$5+S828))"),"")</f>
        <v/>
      </c>
      <c r="U828" s="10" t="str">
        <f>IFERROR(__xludf.DUMMYFUNCTION("IF(COUNTA(Q828:Q1673)=0,"""",IF(Q828="""",0,IF(REGEXMATCH(Q828,""^Sell_""),-ROUNDDOWN(ROUNDUP(INDEX(Upgrades!$C$3:$C$13,MATCH(SUBSTITUTE(Q828,""Sell_"",""""),Upgrades!$B$3:$B$13,0))*1.15^(COUNTIF(Q$4:Q827,SUBSTITUTE(Q828,""Sell_"",""""))-COUNTIF(Q$4:Q827,"&amp;"""Sell_""&amp;SUBSTITUTE(Q828,""Sell_"",""""))))/2),ROUNDUP(INDEX(Upgrades!$C$3:$C$13,MATCH(Q828,Upgrades!$B$3:$B$13,0))*1.15^(COUNTIF(Q$4:Q827,Q828)-COUNTIF(Q$4:Q827,""Sell_""&amp;Q828))))))"),"")</f>
        <v/>
      </c>
      <c r="V828" s="10" t="str">
        <f t="shared" si="11"/>
        <v/>
      </c>
      <c r="W828" s="68" t="str">
        <f t="shared" si="12"/>
        <v/>
      </c>
      <c r="X828" s="59" t="str">
        <f t="shared" si="13"/>
        <v/>
      </c>
      <c r="Y828" s="69" t="str">
        <f t="shared" si="14"/>
        <v/>
      </c>
      <c r="Z828" s="11"/>
    </row>
    <row r="829">
      <c r="A829" s="8"/>
      <c r="B829" s="56" t="str">
        <f t="shared" si="2"/>
        <v/>
      </c>
      <c r="C829" s="105"/>
      <c r="D829" s="10"/>
      <c r="E829" s="59" t="str">
        <f t="array" ref="E829">IF(COUNTA(C829:C1673)=0,"",SUM((COUNTIF(C$4:C829,Upgrades!$B$3:$B$13)-COUNTIF(C$4:C829,"Sell_"&amp;Upgrades!$B$3:$B$13))*Upgrades!$D$3:$D$13))</f>
        <v/>
      </c>
      <c r="F829" s="66" t="str">
        <f>IFERROR(__xludf.DUMMYFUNCTION("IF(COUNTA(C829:C1673)=0,"""",IF(REGEXMATCH(INDEX(FILTER(C$4:C829,C$4:C829&lt;&gt;""""),ROWS(FILTER(C$4:C829,C$4:C829&lt;&gt;""""))),""^Sell_""),INDEX(FILTER(F$4:F828,C$4:C828&lt;&gt;""""),ROWS(FILTER(C$4:C828,C$4:C828&lt;&gt;""""))),$AC$5+E829))"),"")</f>
        <v/>
      </c>
      <c r="G829" s="10" t="str">
        <f>IFERROR(__xludf.DUMMYFUNCTION("IF(COUNTA(C829:C1673)=0,"""",IF(C829="""",0,IF(REGEXMATCH(C829,""^Sell_""),-ROUNDDOWN(ROUNDUP(INDEX(Upgrades!$C$3:$C$13,MATCH(SUBSTITUTE(C829,""Sell_"",""""),Upgrades!$B$3:$B$13,0))*1.15^(COUNTIF(C$4:C828,SUBSTITUTE(C829,""Sell_"",""""))-COUNTIF(C$4:C828,"&amp;"""Sell_""&amp;SUBSTITUTE(C829,""Sell_"",""""))))/2),ROUNDUP(INDEX(Upgrades!$C$3:$C$13,MATCH(C829,Upgrades!$B$3:$B$13,0))*1.15^(COUNTIF(C$4:C828,C829)-COUNTIF(C$4:C828,""Sell_""&amp;C829))))))"),"")</f>
        <v/>
      </c>
      <c r="H829" s="10" t="str">
        <f t="shared" si="3"/>
        <v/>
      </c>
      <c r="I829" s="68" t="str">
        <f t="shared" si="4"/>
        <v/>
      </c>
      <c r="J829" s="59" t="str">
        <f t="shared" si="5"/>
        <v/>
      </c>
      <c r="K829" s="69" t="str">
        <f t="shared" si="6"/>
        <v/>
      </c>
      <c r="L829" s="60" t="str">
        <f t="shared" si="7"/>
        <v/>
      </c>
      <c r="M829" s="61" t="str">
        <f>IFERROR(__xludf.DUMMYFUNCTION("IFS(AND(COUNTA(C829:C1673)=0,COUNTA(Q829:Q1673)=0),"""",OR(AND(K829&gt;=1000000000,OR(Y829&gt;=1000000000,COUNTA(Q829:Q1673)=0)),OR(Y829&gt;=1000000000,AND(COUNTA(C829:C1673)=0,P$3=TRUE))),
ROUNDDOWN((AB$1-AC$1)*MAX(INDEX(T$4:T1673,MATCH(LARGE(FILTER(Y$4:Y1673,Y$4"&amp;":Y1673&lt;1000000000),1),Y$4:Y1673)),INDEX(F$4:F1673,MATCH(LARGE(FILTER(K$4:K1673,K$4:K1673&lt;1000000000),1),K$4:K1673)))),AND(K829&lt;1000000000,COUNTA(C829:C1673)&gt;0,P$3=FALSE),
ROUNDDOWN(INDEX(Y$4:Y1673,MATCH(LARGE(FILTER(W$4:W1673,W$4:W1673&lt;=I829),1),W$4:W1673"&amp;"))+(I829-LARGE(FILTER(W$4:W1673,W$4:W1673&lt;=I829),1))*INDEX(T$4:T1673,MATCH(LARGE(FILTER(W$4:W1673,W$4:W1673&lt;=I829),1),W$4:W1673))-K829),1,
ROUNDDOWN(Y829-INDEX(K$4:K1673,MATCH(LARGE(FILTER(I$4:I1673,I$4:I1673&lt;=W829),1),I$4:I1673))-(W829-LARGE(FILTER(I$4:I"&amp;"1673,I$4:I1673&lt;=W829),1))*INDEX(F$4:F1673,MATCH(LARGE(FILTER(I$4:I1673,I$4:I1673&lt;=W829),1),I$4:I1673))))"),"")</f>
        <v/>
      </c>
      <c r="N829" s="60" t="str">
        <f t="shared" si="8"/>
        <v/>
      </c>
      <c r="O829" s="61" t="str">
        <f t="shared" si="9"/>
        <v/>
      </c>
      <c r="P829" s="56" t="str">
        <f t="shared" si="10"/>
        <v/>
      </c>
      <c r="R829" s="10"/>
      <c r="S829" s="59" t="str">
        <f t="array" ref="S829">IF(COUNTA(Q829:Q1673)=0,"",SUM((COUNTIF(Q$4:Q829,Upgrades!$B$3:$B$13)-COUNTIF(Q$4:Q829,"Sell_"&amp;Upgrades!$B$3:$B$13))*Upgrades!$D$3:$D$13))</f>
        <v/>
      </c>
      <c r="T829" s="66" t="str">
        <f>IFERROR(__xludf.DUMMYFUNCTION("IF(COUNTA(Q829:Q1673)=0,"""",IF(REGEXMATCH(INDEX(FILTER(Q$4:Q829,Q$4:Q829&lt;&gt;""""),ROWS(FILTER(Q$4:Q829,Q$4:Q829&lt;&gt;""""))),""^Sell_""),INDEX(FILTER(T$4:T828,Q$4:Q828&lt;&gt;""""),ROWS(FILTER(Q$4:Q828,Q$4:Q828&lt;&gt;""""))),$AD$5+S829))"),"")</f>
        <v/>
      </c>
      <c r="U829" s="10" t="str">
        <f>IFERROR(__xludf.DUMMYFUNCTION("IF(COUNTA(Q829:Q1673)=0,"""",IF(Q829="""",0,IF(REGEXMATCH(Q829,""^Sell_""),-ROUNDDOWN(ROUNDUP(INDEX(Upgrades!$C$3:$C$13,MATCH(SUBSTITUTE(Q829,""Sell_"",""""),Upgrades!$B$3:$B$13,0))*1.15^(COUNTIF(Q$4:Q828,SUBSTITUTE(Q829,""Sell_"",""""))-COUNTIF(Q$4:Q828,"&amp;"""Sell_""&amp;SUBSTITUTE(Q829,""Sell_"",""""))))/2),ROUNDUP(INDEX(Upgrades!$C$3:$C$13,MATCH(Q829,Upgrades!$B$3:$B$13,0))*1.15^(COUNTIF(Q$4:Q828,Q829)-COUNTIF(Q$4:Q828,""Sell_""&amp;Q829))))))"),"")</f>
        <v/>
      </c>
      <c r="V829" s="10" t="str">
        <f t="shared" si="11"/>
        <v/>
      </c>
      <c r="W829" s="68" t="str">
        <f t="shared" si="12"/>
        <v/>
      </c>
      <c r="X829" s="59" t="str">
        <f t="shared" si="13"/>
        <v/>
      </c>
      <c r="Y829" s="69" t="str">
        <f t="shared" si="14"/>
        <v/>
      </c>
      <c r="Z829" s="11"/>
    </row>
    <row r="830">
      <c r="A830" s="8"/>
      <c r="B830" s="56" t="str">
        <f t="shared" si="2"/>
        <v/>
      </c>
      <c r="C830" s="105"/>
      <c r="D830" s="10"/>
      <c r="E830" s="59" t="str">
        <f t="array" ref="E830">IF(COUNTA(C830:C1673)=0,"",SUM((COUNTIF(C$4:C830,Upgrades!$B$3:$B$13)-COUNTIF(C$4:C830,"Sell_"&amp;Upgrades!$B$3:$B$13))*Upgrades!$D$3:$D$13))</f>
        <v/>
      </c>
      <c r="F830" s="66" t="str">
        <f>IFERROR(__xludf.DUMMYFUNCTION("IF(COUNTA(C830:C1673)=0,"""",IF(REGEXMATCH(INDEX(FILTER(C$4:C830,C$4:C830&lt;&gt;""""),ROWS(FILTER(C$4:C830,C$4:C830&lt;&gt;""""))),""^Sell_""),INDEX(FILTER(F$4:F829,C$4:C829&lt;&gt;""""),ROWS(FILTER(C$4:C829,C$4:C829&lt;&gt;""""))),$AC$5+E830))"),"")</f>
        <v/>
      </c>
      <c r="G830" s="10" t="str">
        <f>IFERROR(__xludf.DUMMYFUNCTION("IF(COUNTA(C830:C1673)=0,"""",IF(C830="""",0,IF(REGEXMATCH(C830,""^Sell_""),-ROUNDDOWN(ROUNDUP(INDEX(Upgrades!$C$3:$C$13,MATCH(SUBSTITUTE(C830,""Sell_"",""""),Upgrades!$B$3:$B$13,0))*1.15^(COUNTIF(C$4:C829,SUBSTITUTE(C830,""Sell_"",""""))-COUNTIF(C$4:C829,"&amp;"""Sell_""&amp;SUBSTITUTE(C830,""Sell_"",""""))))/2),ROUNDUP(INDEX(Upgrades!$C$3:$C$13,MATCH(C830,Upgrades!$B$3:$B$13,0))*1.15^(COUNTIF(C$4:C829,C830)-COUNTIF(C$4:C829,""Sell_""&amp;C830))))))"),"")</f>
        <v/>
      </c>
      <c r="H830" s="10" t="str">
        <f t="shared" si="3"/>
        <v/>
      </c>
      <c r="I830" s="68" t="str">
        <f t="shared" si="4"/>
        <v/>
      </c>
      <c r="J830" s="59" t="str">
        <f t="shared" si="5"/>
        <v/>
      </c>
      <c r="K830" s="69" t="str">
        <f t="shared" si="6"/>
        <v/>
      </c>
      <c r="L830" s="60" t="str">
        <f t="shared" si="7"/>
        <v/>
      </c>
      <c r="M830" s="61" t="str">
        <f>IFERROR(__xludf.DUMMYFUNCTION("IFS(AND(COUNTA(C830:C1673)=0,COUNTA(Q830:Q1673)=0),"""",OR(AND(K830&gt;=1000000000,OR(Y830&gt;=1000000000,COUNTA(Q830:Q1673)=0)),OR(Y830&gt;=1000000000,AND(COUNTA(C830:C1673)=0,P$3=TRUE))),
ROUNDDOWN((AB$1-AC$1)*MAX(INDEX(T$4:T1673,MATCH(LARGE(FILTER(Y$4:Y1673,Y$4"&amp;":Y1673&lt;1000000000),1),Y$4:Y1673)),INDEX(F$4:F1673,MATCH(LARGE(FILTER(K$4:K1673,K$4:K1673&lt;1000000000),1),K$4:K1673)))),AND(K830&lt;1000000000,COUNTA(C830:C1673)&gt;0,P$3=FALSE),
ROUNDDOWN(INDEX(Y$4:Y1673,MATCH(LARGE(FILTER(W$4:W1673,W$4:W1673&lt;=I830),1),W$4:W1673"&amp;"))+(I830-LARGE(FILTER(W$4:W1673,W$4:W1673&lt;=I830),1))*INDEX(T$4:T1673,MATCH(LARGE(FILTER(W$4:W1673,W$4:W1673&lt;=I830),1),W$4:W1673))-K830),1,
ROUNDDOWN(Y830-INDEX(K$4:K1673,MATCH(LARGE(FILTER(I$4:I1673,I$4:I1673&lt;=W830),1),I$4:I1673))-(W830-LARGE(FILTER(I$4:I"&amp;"1673,I$4:I1673&lt;=W830),1))*INDEX(F$4:F1673,MATCH(LARGE(FILTER(I$4:I1673,I$4:I1673&lt;=W830),1),I$4:I1673))))"),"")</f>
        <v/>
      </c>
      <c r="N830" s="60" t="str">
        <f t="shared" si="8"/>
        <v/>
      </c>
      <c r="O830" s="61" t="str">
        <f t="shared" si="9"/>
        <v/>
      </c>
      <c r="P830" s="56" t="str">
        <f t="shared" si="10"/>
        <v/>
      </c>
      <c r="R830" s="10"/>
      <c r="S830" s="59" t="str">
        <f t="array" ref="S830">IF(COUNTA(Q830:Q1673)=0,"",SUM((COUNTIF(Q$4:Q830,Upgrades!$B$3:$B$13)-COUNTIF(Q$4:Q830,"Sell_"&amp;Upgrades!$B$3:$B$13))*Upgrades!$D$3:$D$13))</f>
        <v/>
      </c>
      <c r="T830" s="66" t="str">
        <f>IFERROR(__xludf.DUMMYFUNCTION("IF(COUNTA(Q830:Q1673)=0,"""",IF(REGEXMATCH(INDEX(FILTER(Q$4:Q830,Q$4:Q830&lt;&gt;""""),ROWS(FILTER(Q$4:Q830,Q$4:Q830&lt;&gt;""""))),""^Sell_""),INDEX(FILTER(T$4:T829,Q$4:Q829&lt;&gt;""""),ROWS(FILTER(Q$4:Q829,Q$4:Q829&lt;&gt;""""))),$AD$5+S830))"),"")</f>
        <v/>
      </c>
      <c r="U830" s="10" t="str">
        <f>IFERROR(__xludf.DUMMYFUNCTION("IF(COUNTA(Q830:Q1673)=0,"""",IF(Q830="""",0,IF(REGEXMATCH(Q830,""^Sell_""),-ROUNDDOWN(ROUNDUP(INDEX(Upgrades!$C$3:$C$13,MATCH(SUBSTITUTE(Q830,""Sell_"",""""),Upgrades!$B$3:$B$13,0))*1.15^(COUNTIF(Q$4:Q829,SUBSTITUTE(Q830,""Sell_"",""""))-COUNTIF(Q$4:Q829,"&amp;"""Sell_""&amp;SUBSTITUTE(Q830,""Sell_"",""""))))/2),ROUNDUP(INDEX(Upgrades!$C$3:$C$13,MATCH(Q830,Upgrades!$B$3:$B$13,0))*1.15^(COUNTIF(Q$4:Q829,Q830)-COUNTIF(Q$4:Q829,""Sell_""&amp;Q830))))))"),"")</f>
        <v/>
      </c>
      <c r="V830" s="10" t="str">
        <f t="shared" si="11"/>
        <v/>
      </c>
      <c r="W830" s="68" t="str">
        <f t="shared" si="12"/>
        <v/>
      </c>
      <c r="X830" s="59" t="str">
        <f t="shared" si="13"/>
        <v/>
      </c>
      <c r="Y830" s="69" t="str">
        <f t="shared" si="14"/>
        <v/>
      </c>
      <c r="Z830" s="11"/>
    </row>
    <row r="831">
      <c r="A831" s="8"/>
      <c r="B831" s="56" t="str">
        <f t="shared" si="2"/>
        <v/>
      </c>
      <c r="C831" s="105"/>
      <c r="D831" s="10"/>
      <c r="E831" s="59" t="str">
        <f t="array" ref="E831">IF(COUNTA(C831:C1673)=0,"",SUM((COUNTIF(C$4:C831,Upgrades!$B$3:$B$13)-COUNTIF(C$4:C831,"Sell_"&amp;Upgrades!$B$3:$B$13))*Upgrades!$D$3:$D$13))</f>
        <v/>
      </c>
      <c r="F831" s="66" t="str">
        <f>IFERROR(__xludf.DUMMYFUNCTION("IF(COUNTA(C831:C1673)=0,"""",IF(REGEXMATCH(INDEX(FILTER(C$4:C831,C$4:C831&lt;&gt;""""),ROWS(FILTER(C$4:C831,C$4:C831&lt;&gt;""""))),""^Sell_""),INDEX(FILTER(F$4:F830,C$4:C830&lt;&gt;""""),ROWS(FILTER(C$4:C830,C$4:C830&lt;&gt;""""))),$AC$5+E831))"),"")</f>
        <v/>
      </c>
      <c r="G831" s="10" t="str">
        <f>IFERROR(__xludf.DUMMYFUNCTION("IF(COUNTA(C831:C1673)=0,"""",IF(C831="""",0,IF(REGEXMATCH(C831,""^Sell_""),-ROUNDDOWN(ROUNDUP(INDEX(Upgrades!$C$3:$C$13,MATCH(SUBSTITUTE(C831,""Sell_"",""""),Upgrades!$B$3:$B$13,0))*1.15^(COUNTIF(C$4:C830,SUBSTITUTE(C831,""Sell_"",""""))-COUNTIF(C$4:C830,"&amp;"""Sell_""&amp;SUBSTITUTE(C831,""Sell_"",""""))))/2),ROUNDUP(INDEX(Upgrades!$C$3:$C$13,MATCH(C831,Upgrades!$B$3:$B$13,0))*1.15^(COUNTIF(C$4:C830,C831)-COUNTIF(C$4:C830,""Sell_""&amp;C831))))))"),"")</f>
        <v/>
      </c>
      <c r="H831" s="10" t="str">
        <f t="shared" si="3"/>
        <v/>
      </c>
      <c r="I831" s="68" t="str">
        <f t="shared" si="4"/>
        <v/>
      </c>
      <c r="J831" s="59" t="str">
        <f t="shared" si="5"/>
        <v/>
      </c>
      <c r="K831" s="69" t="str">
        <f t="shared" si="6"/>
        <v/>
      </c>
      <c r="L831" s="60" t="str">
        <f t="shared" si="7"/>
        <v/>
      </c>
      <c r="M831" s="61" t="str">
        <f>IFERROR(__xludf.DUMMYFUNCTION("IFS(AND(COUNTA(C831:C1673)=0,COUNTA(Q831:Q1673)=0),"""",OR(AND(K831&gt;=1000000000,OR(Y831&gt;=1000000000,COUNTA(Q831:Q1673)=0)),OR(Y831&gt;=1000000000,AND(COUNTA(C831:C1673)=0,P$3=TRUE))),
ROUNDDOWN((AB$1-AC$1)*MAX(INDEX(T$4:T1673,MATCH(LARGE(FILTER(Y$4:Y1673,Y$4"&amp;":Y1673&lt;1000000000),1),Y$4:Y1673)),INDEX(F$4:F1673,MATCH(LARGE(FILTER(K$4:K1673,K$4:K1673&lt;1000000000),1),K$4:K1673)))),AND(K831&lt;1000000000,COUNTA(C831:C1673)&gt;0,P$3=FALSE),
ROUNDDOWN(INDEX(Y$4:Y1673,MATCH(LARGE(FILTER(W$4:W1673,W$4:W1673&lt;=I831),1),W$4:W1673"&amp;"))+(I831-LARGE(FILTER(W$4:W1673,W$4:W1673&lt;=I831),1))*INDEX(T$4:T1673,MATCH(LARGE(FILTER(W$4:W1673,W$4:W1673&lt;=I831),1),W$4:W1673))-K831),1,
ROUNDDOWN(Y831-INDEX(K$4:K1673,MATCH(LARGE(FILTER(I$4:I1673,I$4:I1673&lt;=W831),1),I$4:I1673))-(W831-LARGE(FILTER(I$4:I"&amp;"1673,I$4:I1673&lt;=W831),1))*INDEX(F$4:F1673,MATCH(LARGE(FILTER(I$4:I1673,I$4:I1673&lt;=W831),1),I$4:I1673))))"),"")</f>
        <v/>
      </c>
      <c r="N831" s="60" t="str">
        <f t="shared" si="8"/>
        <v/>
      </c>
      <c r="O831" s="61" t="str">
        <f t="shared" si="9"/>
        <v/>
      </c>
      <c r="P831" s="56" t="str">
        <f t="shared" si="10"/>
        <v/>
      </c>
      <c r="R831" s="10"/>
      <c r="S831" s="59" t="str">
        <f t="array" ref="S831">IF(COUNTA(Q831:Q1673)=0,"",SUM((COUNTIF(Q$4:Q831,Upgrades!$B$3:$B$13)-COUNTIF(Q$4:Q831,"Sell_"&amp;Upgrades!$B$3:$B$13))*Upgrades!$D$3:$D$13))</f>
        <v/>
      </c>
      <c r="T831" s="66" t="str">
        <f>IFERROR(__xludf.DUMMYFUNCTION("IF(COUNTA(Q831:Q1673)=0,"""",IF(REGEXMATCH(INDEX(FILTER(Q$4:Q831,Q$4:Q831&lt;&gt;""""),ROWS(FILTER(Q$4:Q831,Q$4:Q831&lt;&gt;""""))),""^Sell_""),INDEX(FILTER(T$4:T830,Q$4:Q830&lt;&gt;""""),ROWS(FILTER(Q$4:Q830,Q$4:Q830&lt;&gt;""""))),$AD$5+S831))"),"")</f>
        <v/>
      </c>
      <c r="U831" s="10" t="str">
        <f>IFERROR(__xludf.DUMMYFUNCTION("IF(COUNTA(Q831:Q1673)=0,"""",IF(Q831="""",0,IF(REGEXMATCH(Q831,""^Sell_""),-ROUNDDOWN(ROUNDUP(INDEX(Upgrades!$C$3:$C$13,MATCH(SUBSTITUTE(Q831,""Sell_"",""""),Upgrades!$B$3:$B$13,0))*1.15^(COUNTIF(Q$4:Q830,SUBSTITUTE(Q831,""Sell_"",""""))-COUNTIF(Q$4:Q830,"&amp;"""Sell_""&amp;SUBSTITUTE(Q831,""Sell_"",""""))))/2),ROUNDUP(INDEX(Upgrades!$C$3:$C$13,MATCH(Q831,Upgrades!$B$3:$B$13,0))*1.15^(COUNTIF(Q$4:Q830,Q831)-COUNTIF(Q$4:Q830,""Sell_""&amp;Q831))))))"),"")</f>
        <v/>
      </c>
      <c r="V831" s="10" t="str">
        <f t="shared" si="11"/>
        <v/>
      </c>
      <c r="W831" s="68" t="str">
        <f t="shared" si="12"/>
        <v/>
      </c>
      <c r="X831" s="59" t="str">
        <f t="shared" si="13"/>
        <v/>
      </c>
      <c r="Y831" s="69" t="str">
        <f t="shared" si="14"/>
        <v/>
      </c>
      <c r="Z831" s="11"/>
    </row>
    <row r="832">
      <c r="A832" s="8"/>
      <c r="B832" s="56" t="str">
        <f t="shared" si="2"/>
        <v/>
      </c>
      <c r="C832" s="105"/>
      <c r="D832" s="10"/>
      <c r="E832" s="59" t="str">
        <f t="array" ref="E832">IF(COUNTA(C832:C1673)=0,"",SUM((COUNTIF(C$4:C832,Upgrades!$B$3:$B$13)-COUNTIF(C$4:C832,"Sell_"&amp;Upgrades!$B$3:$B$13))*Upgrades!$D$3:$D$13))</f>
        <v/>
      </c>
      <c r="F832" s="66" t="str">
        <f>IFERROR(__xludf.DUMMYFUNCTION("IF(COUNTA(C832:C1673)=0,"""",IF(REGEXMATCH(INDEX(FILTER(C$4:C832,C$4:C832&lt;&gt;""""),ROWS(FILTER(C$4:C832,C$4:C832&lt;&gt;""""))),""^Sell_""),INDEX(FILTER(F$4:F831,C$4:C831&lt;&gt;""""),ROWS(FILTER(C$4:C831,C$4:C831&lt;&gt;""""))),$AC$5+E832))"),"")</f>
        <v/>
      </c>
      <c r="G832" s="10" t="str">
        <f>IFERROR(__xludf.DUMMYFUNCTION("IF(COUNTA(C832:C1673)=0,"""",IF(C832="""",0,IF(REGEXMATCH(C832,""^Sell_""),-ROUNDDOWN(ROUNDUP(INDEX(Upgrades!$C$3:$C$13,MATCH(SUBSTITUTE(C832,""Sell_"",""""),Upgrades!$B$3:$B$13,0))*1.15^(COUNTIF(C$4:C831,SUBSTITUTE(C832,""Sell_"",""""))-COUNTIF(C$4:C831,"&amp;"""Sell_""&amp;SUBSTITUTE(C832,""Sell_"",""""))))/2),ROUNDUP(INDEX(Upgrades!$C$3:$C$13,MATCH(C832,Upgrades!$B$3:$B$13,0))*1.15^(COUNTIF(C$4:C831,C832)-COUNTIF(C$4:C831,""Sell_""&amp;C832))))))"),"")</f>
        <v/>
      </c>
      <c r="H832" s="10" t="str">
        <f t="shared" si="3"/>
        <v/>
      </c>
      <c r="I832" s="68" t="str">
        <f t="shared" si="4"/>
        <v/>
      </c>
      <c r="J832" s="59" t="str">
        <f t="shared" si="5"/>
        <v/>
      </c>
      <c r="K832" s="69" t="str">
        <f t="shared" si="6"/>
        <v/>
      </c>
      <c r="L832" s="60" t="str">
        <f t="shared" si="7"/>
        <v/>
      </c>
      <c r="M832" s="61" t="str">
        <f>IFERROR(__xludf.DUMMYFUNCTION("IFS(AND(COUNTA(C832:C1673)=0,COUNTA(Q832:Q1673)=0),"""",OR(AND(K832&gt;=1000000000,OR(Y832&gt;=1000000000,COUNTA(Q832:Q1673)=0)),OR(Y832&gt;=1000000000,AND(COUNTA(C832:C1673)=0,P$3=TRUE))),
ROUNDDOWN((AB$1-AC$1)*MAX(INDEX(T$4:T1673,MATCH(LARGE(FILTER(Y$4:Y1673,Y$4"&amp;":Y1673&lt;1000000000),1),Y$4:Y1673)),INDEX(F$4:F1673,MATCH(LARGE(FILTER(K$4:K1673,K$4:K1673&lt;1000000000),1),K$4:K1673)))),AND(K832&lt;1000000000,COUNTA(C832:C1673)&gt;0,P$3=FALSE),
ROUNDDOWN(INDEX(Y$4:Y1673,MATCH(LARGE(FILTER(W$4:W1673,W$4:W1673&lt;=I832),1),W$4:W1673"&amp;"))+(I832-LARGE(FILTER(W$4:W1673,W$4:W1673&lt;=I832),1))*INDEX(T$4:T1673,MATCH(LARGE(FILTER(W$4:W1673,W$4:W1673&lt;=I832),1),W$4:W1673))-K832),1,
ROUNDDOWN(Y832-INDEX(K$4:K1673,MATCH(LARGE(FILTER(I$4:I1673,I$4:I1673&lt;=W832),1),I$4:I1673))-(W832-LARGE(FILTER(I$4:I"&amp;"1673,I$4:I1673&lt;=W832),1))*INDEX(F$4:F1673,MATCH(LARGE(FILTER(I$4:I1673,I$4:I1673&lt;=W832),1),I$4:I1673))))"),"")</f>
        <v/>
      </c>
      <c r="N832" s="60" t="str">
        <f t="shared" si="8"/>
        <v/>
      </c>
      <c r="O832" s="61" t="str">
        <f t="shared" si="9"/>
        <v/>
      </c>
      <c r="P832" s="56" t="str">
        <f t="shared" si="10"/>
        <v/>
      </c>
      <c r="R832" s="10"/>
      <c r="S832" s="59" t="str">
        <f t="array" ref="S832">IF(COUNTA(Q832:Q1673)=0,"",SUM((COUNTIF(Q$4:Q832,Upgrades!$B$3:$B$13)-COUNTIF(Q$4:Q832,"Sell_"&amp;Upgrades!$B$3:$B$13))*Upgrades!$D$3:$D$13))</f>
        <v/>
      </c>
      <c r="T832" s="66" t="str">
        <f>IFERROR(__xludf.DUMMYFUNCTION("IF(COUNTA(Q832:Q1673)=0,"""",IF(REGEXMATCH(INDEX(FILTER(Q$4:Q832,Q$4:Q832&lt;&gt;""""),ROWS(FILTER(Q$4:Q832,Q$4:Q832&lt;&gt;""""))),""^Sell_""),INDEX(FILTER(T$4:T831,Q$4:Q831&lt;&gt;""""),ROWS(FILTER(Q$4:Q831,Q$4:Q831&lt;&gt;""""))),$AD$5+S832))"),"")</f>
        <v/>
      </c>
      <c r="U832" s="10" t="str">
        <f>IFERROR(__xludf.DUMMYFUNCTION("IF(COUNTA(Q832:Q1673)=0,"""",IF(Q832="""",0,IF(REGEXMATCH(Q832,""^Sell_""),-ROUNDDOWN(ROUNDUP(INDEX(Upgrades!$C$3:$C$13,MATCH(SUBSTITUTE(Q832,""Sell_"",""""),Upgrades!$B$3:$B$13,0))*1.15^(COUNTIF(Q$4:Q831,SUBSTITUTE(Q832,""Sell_"",""""))-COUNTIF(Q$4:Q831,"&amp;"""Sell_""&amp;SUBSTITUTE(Q832,""Sell_"",""""))))/2),ROUNDUP(INDEX(Upgrades!$C$3:$C$13,MATCH(Q832,Upgrades!$B$3:$B$13,0))*1.15^(COUNTIF(Q$4:Q831,Q832)-COUNTIF(Q$4:Q831,""Sell_""&amp;Q832))))))"),"")</f>
        <v/>
      </c>
      <c r="V832" s="10" t="str">
        <f t="shared" si="11"/>
        <v/>
      </c>
      <c r="W832" s="68" t="str">
        <f t="shared" si="12"/>
        <v/>
      </c>
      <c r="X832" s="59" t="str">
        <f t="shared" si="13"/>
        <v/>
      </c>
      <c r="Y832" s="69" t="str">
        <f t="shared" si="14"/>
        <v/>
      </c>
      <c r="Z832" s="11"/>
    </row>
    <row r="833">
      <c r="A833" s="8"/>
      <c r="B833" s="56" t="str">
        <f t="shared" si="2"/>
        <v/>
      </c>
      <c r="C833" s="105"/>
      <c r="D833" s="10"/>
      <c r="E833" s="59" t="str">
        <f t="array" ref="E833">IF(COUNTA(C833:C1673)=0,"",SUM((COUNTIF(C$4:C833,Upgrades!$B$3:$B$13)-COUNTIF(C$4:C833,"Sell_"&amp;Upgrades!$B$3:$B$13))*Upgrades!$D$3:$D$13))</f>
        <v/>
      </c>
      <c r="F833" s="66" t="str">
        <f>IFERROR(__xludf.DUMMYFUNCTION("IF(COUNTA(C833:C1673)=0,"""",IF(REGEXMATCH(INDEX(FILTER(C$4:C833,C$4:C833&lt;&gt;""""),ROWS(FILTER(C$4:C833,C$4:C833&lt;&gt;""""))),""^Sell_""),INDEX(FILTER(F$4:F832,C$4:C832&lt;&gt;""""),ROWS(FILTER(C$4:C832,C$4:C832&lt;&gt;""""))),$AC$5+E833))"),"")</f>
        <v/>
      </c>
      <c r="G833" s="10" t="str">
        <f>IFERROR(__xludf.DUMMYFUNCTION("IF(COUNTA(C833:C1673)=0,"""",IF(C833="""",0,IF(REGEXMATCH(C833,""^Sell_""),-ROUNDDOWN(ROUNDUP(INDEX(Upgrades!$C$3:$C$13,MATCH(SUBSTITUTE(C833,""Sell_"",""""),Upgrades!$B$3:$B$13,0))*1.15^(COUNTIF(C$4:C832,SUBSTITUTE(C833,""Sell_"",""""))-COUNTIF(C$4:C832,"&amp;"""Sell_""&amp;SUBSTITUTE(C833,""Sell_"",""""))))/2),ROUNDUP(INDEX(Upgrades!$C$3:$C$13,MATCH(C833,Upgrades!$B$3:$B$13,0))*1.15^(COUNTIF(C$4:C832,C833)-COUNTIF(C$4:C832,""Sell_""&amp;C833))))))"),"")</f>
        <v/>
      </c>
      <c r="H833" s="10" t="str">
        <f t="shared" si="3"/>
        <v/>
      </c>
      <c r="I833" s="68" t="str">
        <f t="shared" si="4"/>
        <v/>
      </c>
      <c r="J833" s="59" t="str">
        <f t="shared" si="5"/>
        <v/>
      </c>
      <c r="K833" s="69" t="str">
        <f t="shared" si="6"/>
        <v/>
      </c>
      <c r="L833" s="60" t="str">
        <f t="shared" si="7"/>
        <v/>
      </c>
      <c r="M833" s="61" t="str">
        <f>IFERROR(__xludf.DUMMYFUNCTION("IFS(AND(COUNTA(C833:C1673)=0,COUNTA(Q833:Q1673)=0),"""",OR(AND(K833&gt;=1000000000,OR(Y833&gt;=1000000000,COUNTA(Q833:Q1673)=0)),OR(Y833&gt;=1000000000,AND(COUNTA(C833:C1673)=0,P$3=TRUE))),
ROUNDDOWN((AB$1-AC$1)*MAX(INDEX(T$4:T1673,MATCH(LARGE(FILTER(Y$4:Y1673,Y$4"&amp;":Y1673&lt;1000000000),1),Y$4:Y1673)),INDEX(F$4:F1673,MATCH(LARGE(FILTER(K$4:K1673,K$4:K1673&lt;1000000000),1),K$4:K1673)))),AND(K833&lt;1000000000,COUNTA(C833:C1673)&gt;0,P$3=FALSE),
ROUNDDOWN(INDEX(Y$4:Y1673,MATCH(LARGE(FILTER(W$4:W1673,W$4:W1673&lt;=I833),1),W$4:W1673"&amp;"))+(I833-LARGE(FILTER(W$4:W1673,W$4:W1673&lt;=I833),1))*INDEX(T$4:T1673,MATCH(LARGE(FILTER(W$4:W1673,W$4:W1673&lt;=I833),1),W$4:W1673))-K833),1,
ROUNDDOWN(Y833-INDEX(K$4:K1673,MATCH(LARGE(FILTER(I$4:I1673,I$4:I1673&lt;=W833),1),I$4:I1673))-(W833-LARGE(FILTER(I$4:I"&amp;"1673,I$4:I1673&lt;=W833),1))*INDEX(F$4:F1673,MATCH(LARGE(FILTER(I$4:I1673,I$4:I1673&lt;=W833),1),I$4:I1673))))"),"")</f>
        <v/>
      </c>
      <c r="N833" s="60" t="str">
        <f t="shared" si="8"/>
        <v/>
      </c>
      <c r="O833" s="61" t="str">
        <f t="shared" si="9"/>
        <v/>
      </c>
      <c r="P833" s="56" t="str">
        <f t="shared" si="10"/>
        <v/>
      </c>
      <c r="R833" s="10"/>
      <c r="S833" s="59" t="str">
        <f t="array" ref="S833">IF(COUNTA(Q833:Q1673)=0,"",SUM((COUNTIF(Q$4:Q833,Upgrades!$B$3:$B$13)-COUNTIF(Q$4:Q833,"Sell_"&amp;Upgrades!$B$3:$B$13))*Upgrades!$D$3:$D$13))</f>
        <v/>
      </c>
      <c r="T833" s="66" t="str">
        <f>IFERROR(__xludf.DUMMYFUNCTION("IF(COUNTA(Q833:Q1673)=0,"""",IF(REGEXMATCH(INDEX(FILTER(Q$4:Q833,Q$4:Q833&lt;&gt;""""),ROWS(FILTER(Q$4:Q833,Q$4:Q833&lt;&gt;""""))),""^Sell_""),INDEX(FILTER(T$4:T832,Q$4:Q832&lt;&gt;""""),ROWS(FILTER(Q$4:Q832,Q$4:Q832&lt;&gt;""""))),$AD$5+S833))"),"")</f>
        <v/>
      </c>
      <c r="U833" s="10" t="str">
        <f>IFERROR(__xludf.DUMMYFUNCTION("IF(COUNTA(Q833:Q1673)=0,"""",IF(Q833="""",0,IF(REGEXMATCH(Q833,""^Sell_""),-ROUNDDOWN(ROUNDUP(INDEX(Upgrades!$C$3:$C$13,MATCH(SUBSTITUTE(Q833,""Sell_"",""""),Upgrades!$B$3:$B$13,0))*1.15^(COUNTIF(Q$4:Q832,SUBSTITUTE(Q833,""Sell_"",""""))-COUNTIF(Q$4:Q832,"&amp;"""Sell_""&amp;SUBSTITUTE(Q833,""Sell_"",""""))))/2),ROUNDUP(INDEX(Upgrades!$C$3:$C$13,MATCH(Q833,Upgrades!$B$3:$B$13,0))*1.15^(COUNTIF(Q$4:Q832,Q833)-COUNTIF(Q$4:Q832,""Sell_""&amp;Q833))))))"),"")</f>
        <v/>
      </c>
      <c r="V833" s="10" t="str">
        <f t="shared" si="11"/>
        <v/>
      </c>
      <c r="W833" s="68" t="str">
        <f t="shared" si="12"/>
        <v/>
      </c>
      <c r="X833" s="59" t="str">
        <f t="shared" si="13"/>
        <v/>
      </c>
      <c r="Y833" s="69" t="str">
        <f t="shared" si="14"/>
        <v/>
      </c>
      <c r="Z833" s="11"/>
    </row>
    <row r="834">
      <c r="A834" s="8"/>
      <c r="B834" s="56" t="str">
        <f t="shared" si="2"/>
        <v/>
      </c>
      <c r="C834" s="105"/>
      <c r="D834" s="10"/>
      <c r="E834" s="59" t="str">
        <f t="array" ref="E834">IF(COUNTA(C834:C1673)=0,"",SUM((COUNTIF(C$4:C834,Upgrades!$B$3:$B$13)-COUNTIF(C$4:C834,"Sell_"&amp;Upgrades!$B$3:$B$13))*Upgrades!$D$3:$D$13))</f>
        <v/>
      </c>
      <c r="F834" s="66" t="str">
        <f>IFERROR(__xludf.DUMMYFUNCTION("IF(COUNTA(C834:C1673)=0,"""",IF(REGEXMATCH(INDEX(FILTER(C$4:C834,C$4:C834&lt;&gt;""""),ROWS(FILTER(C$4:C834,C$4:C834&lt;&gt;""""))),""^Sell_""),INDEX(FILTER(F$4:F833,C$4:C833&lt;&gt;""""),ROWS(FILTER(C$4:C833,C$4:C833&lt;&gt;""""))),$AC$5+E834))"),"")</f>
        <v/>
      </c>
      <c r="G834" s="10" t="str">
        <f>IFERROR(__xludf.DUMMYFUNCTION("IF(COUNTA(C834:C1673)=0,"""",IF(C834="""",0,IF(REGEXMATCH(C834,""^Sell_""),-ROUNDDOWN(ROUNDUP(INDEX(Upgrades!$C$3:$C$13,MATCH(SUBSTITUTE(C834,""Sell_"",""""),Upgrades!$B$3:$B$13,0))*1.15^(COUNTIF(C$4:C833,SUBSTITUTE(C834,""Sell_"",""""))-COUNTIF(C$4:C833,"&amp;"""Sell_""&amp;SUBSTITUTE(C834,""Sell_"",""""))))/2),ROUNDUP(INDEX(Upgrades!$C$3:$C$13,MATCH(C834,Upgrades!$B$3:$B$13,0))*1.15^(COUNTIF(C$4:C833,C834)-COUNTIF(C$4:C833,""Sell_""&amp;C834))))))"),"")</f>
        <v/>
      </c>
      <c r="H834" s="10" t="str">
        <f t="shared" si="3"/>
        <v/>
      </c>
      <c r="I834" s="68" t="str">
        <f t="shared" si="4"/>
        <v/>
      </c>
      <c r="J834" s="59" t="str">
        <f t="shared" si="5"/>
        <v/>
      </c>
      <c r="K834" s="69" t="str">
        <f t="shared" si="6"/>
        <v/>
      </c>
      <c r="L834" s="60" t="str">
        <f t="shared" si="7"/>
        <v/>
      </c>
      <c r="M834" s="61" t="str">
        <f>IFERROR(__xludf.DUMMYFUNCTION("IFS(AND(COUNTA(C834:C1673)=0,COUNTA(Q834:Q1673)=0),"""",OR(AND(K834&gt;=1000000000,OR(Y834&gt;=1000000000,COUNTA(Q834:Q1673)=0)),OR(Y834&gt;=1000000000,AND(COUNTA(C834:C1673)=0,P$3=TRUE))),
ROUNDDOWN((AB$1-AC$1)*MAX(INDEX(T$4:T1673,MATCH(LARGE(FILTER(Y$4:Y1673,Y$4"&amp;":Y1673&lt;1000000000),1),Y$4:Y1673)),INDEX(F$4:F1673,MATCH(LARGE(FILTER(K$4:K1673,K$4:K1673&lt;1000000000),1),K$4:K1673)))),AND(K834&lt;1000000000,COUNTA(C834:C1673)&gt;0,P$3=FALSE),
ROUNDDOWN(INDEX(Y$4:Y1673,MATCH(LARGE(FILTER(W$4:W1673,W$4:W1673&lt;=I834),1),W$4:W1673"&amp;"))+(I834-LARGE(FILTER(W$4:W1673,W$4:W1673&lt;=I834),1))*INDEX(T$4:T1673,MATCH(LARGE(FILTER(W$4:W1673,W$4:W1673&lt;=I834),1),W$4:W1673))-K834),1,
ROUNDDOWN(Y834-INDEX(K$4:K1673,MATCH(LARGE(FILTER(I$4:I1673,I$4:I1673&lt;=W834),1),I$4:I1673))-(W834-LARGE(FILTER(I$4:I"&amp;"1673,I$4:I1673&lt;=W834),1))*INDEX(F$4:F1673,MATCH(LARGE(FILTER(I$4:I1673,I$4:I1673&lt;=W834),1),I$4:I1673))))"),"")</f>
        <v/>
      </c>
      <c r="N834" s="60" t="str">
        <f t="shared" si="8"/>
        <v/>
      </c>
      <c r="O834" s="61" t="str">
        <f t="shared" si="9"/>
        <v/>
      </c>
      <c r="P834" s="56" t="str">
        <f t="shared" si="10"/>
        <v/>
      </c>
      <c r="R834" s="10"/>
      <c r="S834" s="59" t="str">
        <f t="array" ref="S834">IF(COUNTA(Q834:Q1673)=0,"",SUM((COUNTIF(Q$4:Q834,Upgrades!$B$3:$B$13)-COUNTIF(Q$4:Q834,"Sell_"&amp;Upgrades!$B$3:$B$13))*Upgrades!$D$3:$D$13))</f>
        <v/>
      </c>
      <c r="T834" s="66" t="str">
        <f>IFERROR(__xludf.DUMMYFUNCTION("IF(COUNTA(Q834:Q1673)=0,"""",IF(REGEXMATCH(INDEX(FILTER(Q$4:Q834,Q$4:Q834&lt;&gt;""""),ROWS(FILTER(Q$4:Q834,Q$4:Q834&lt;&gt;""""))),""^Sell_""),INDEX(FILTER(T$4:T833,Q$4:Q833&lt;&gt;""""),ROWS(FILTER(Q$4:Q833,Q$4:Q833&lt;&gt;""""))),$AD$5+S834))"),"")</f>
        <v/>
      </c>
      <c r="U834" s="10" t="str">
        <f>IFERROR(__xludf.DUMMYFUNCTION("IF(COUNTA(Q834:Q1673)=0,"""",IF(Q834="""",0,IF(REGEXMATCH(Q834,""^Sell_""),-ROUNDDOWN(ROUNDUP(INDEX(Upgrades!$C$3:$C$13,MATCH(SUBSTITUTE(Q834,""Sell_"",""""),Upgrades!$B$3:$B$13,0))*1.15^(COUNTIF(Q$4:Q833,SUBSTITUTE(Q834,""Sell_"",""""))-COUNTIF(Q$4:Q833,"&amp;"""Sell_""&amp;SUBSTITUTE(Q834,""Sell_"",""""))))/2),ROUNDUP(INDEX(Upgrades!$C$3:$C$13,MATCH(Q834,Upgrades!$B$3:$B$13,0))*1.15^(COUNTIF(Q$4:Q833,Q834)-COUNTIF(Q$4:Q833,""Sell_""&amp;Q834))))))"),"")</f>
        <v/>
      </c>
      <c r="V834" s="10" t="str">
        <f t="shared" si="11"/>
        <v/>
      </c>
      <c r="W834" s="68" t="str">
        <f t="shared" si="12"/>
        <v/>
      </c>
      <c r="X834" s="59" t="str">
        <f t="shared" si="13"/>
        <v/>
      </c>
      <c r="Y834" s="69" t="str">
        <f t="shared" si="14"/>
        <v/>
      </c>
      <c r="Z834" s="11"/>
    </row>
    <row r="835">
      <c r="A835" s="8"/>
      <c r="B835" s="56" t="str">
        <f t="shared" si="2"/>
        <v/>
      </c>
      <c r="C835" s="105"/>
      <c r="D835" s="10"/>
      <c r="E835" s="59" t="str">
        <f t="array" ref="E835">IF(COUNTA(C835:C1673)=0,"",SUM((COUNTIF(C$4:C835,Upgrades!$B$3:$B$13)-COUNTIF(C$4:C835,"Sell_"&amp;Upgrades!$B$3:$B$13))*Upgrades!$D$3:$D$13))</f>
        <v/>
      </c>
      <c r="F835" s="66" t="str">
        <f>IFERROR(__xludf.DUMMYFUNCTION("IF(COUNTA(C835:C1673)=0,"""",IF(REGEXMATCH(INDEX(FILTER(C$4:C835,C$4:C835&lt;&gt;""""),ROWS(FILTER(C$4:C835,C$4:C835&lt;&gt;""""))),""^Sell_""),INDEX(FILTER(F$4:F834,C$4:C834&lt;&gt;""""),ROWS(FILTER(C$4:C834,C$4:C834&lt;&gt;""""))),$AC$5+E835))"),"")</f>
        <v/>
      </c>
      <c r="G835" s="10" t="str">
        <f>IFERROR(__xludf.DUMMYFUNCTION("IF(COUNTA(C835:C1673)=0,"""",IF(C835="""",0,IF(REGEXMATCH(C835,""^Sell_""),-ROUNDDOWN(ROUNDUP(INDEX(Upgrades!$C$3:$C$13,MATCH(SUBSTITUTE(C835,""Sell_"",""""),Upgrades!$B$3:$B$13,0))*1.15^(COUNTIF(C$4:C834,SUBSTITUTE(C835,""Sell_"",""""))-COUNTIF(C$4:C834,"&amp;"""Sell_""&amp;SUBSTITUTE(C835,""Sell_"",""""))))/2),ROUNDUP(INDEX(Upgrades!$C$3:$C$13,MATCH(C835,Upgrades!$B$3:$B$13,0))*1.15^(COUNTIF(C$4:C834,C835)-COUNTIF(C$4:C834,""Sell_""&amp;C835))))))"),"")</f>
        <v/>
      </c>
      <c r="H835" s="10" t="str">
        <f t="shared" si="3"/>
        <v/>
      </c>
      <c r="I835" s="68" t="str">
        <f t="shared" si="4"/>
        <v/>
      </c>
      <c r="J835" s="59" t="str">
        <f t="shared" si="5"/>
        <v/>
      </c>
      <c r="K835" s="69" t="str">
        <f t="shared" si="6"/>
        <v/>
      </c>
      <c r="L835" s="60" t="str">
        <f t="shared" si="7"/>
        <v/>
      </c>
      <c r="M835" s="61" t="str">
        <f>IFERROR(__xludf.DUMMYFUNCTION("IFS(AND(COUNTA(C835:C1673)=0,COUNTA(Q835:Q1673)=0),"""",OR(AND(K835&gt;=1000000000,OR(Y835&gt;=1000000000,COUNTA(Q835:Q1673)=0)),OR(Y835&gt;=1000000000,AND(COUNTA(C835:C1673)=0,P$3=TRUE))),
ROUNDDOWN((AB$1-AC$1)*MAX(INDEX(T$4:T1673,MATCH(LARGE(FILTER(Y$4:Y1673,Y$4"&amp;":Y1673&lt;1000000000),1),Y$4:Y1673)),INDEX(F$4:F1673,MATCH(LARGE(FILTER(K$4:K1673,K$4:K1673&lt;1000000000),1),K$4:K1673)))),AND(K835&lt;1000000000,COUNTA(C835:C1673)&gt;0,P$3=FALSE),
ROUNDDOWN(INDEX(Y$4:Y1673,MATCH(LARGE(FILTER(W$4:W1673,W$4:W1673&lt;=I835),1),W$4:W1673"&amp;"))+(I835-LARGE(FILTER(W$4:W1673,W$4:W1673&lt;=I835),1))*INDEX(T$4:T1673,MATCH(LARGE(FILTER(W$4:W1673,W$4:W1673&lt;=I835),1),W$4:W1673))-K835),1,
ROUNDDOWN(Y835-INDEX(K$4:K1673,MATCH(LARGE(FILTER(I$4:I1673,I$4:I1673&lt;=W835),1),I$4:I1673))-(W835-LARGE(FILTER(I$4:I"&amp;"1673,I$4:I1673&lt;=W835),1))*INDEX(F$4:F1673,MATCH(LARGE(FILTER(I$4:I1673,I$4:I1673&lt;=W835),1),I$4:I1673))))"),"")</f>
        <v/>
      </c>
      <c r="N835" s="60" t="str">
        <f t="shared" si="8"/>
        <v/>
      </c>
      <c r="O835" s="61" t="str">
        <f t="shared" si="9"/>
        <v/>
      </c>
      <c r="P835" s="56" t="str">
        <f t="shared" si="10"/>
        <v/>
      </c>
      <c r="R835" s="10"/>
      <c r="S835" s="59" t="str">
        <f t="array" ref="S835">IF(COUNTA(Q835:Q1673)=0,"",SUM((COUNTIF(Q$4:Q835,Upgrades!$B$3:$B$13)-COUNTIF(Q$4:Q835,"Sell_"&amp;Upgrades!$B$3:$B$13))*Upgrades!$D$3:$D$13))</f>
        <v/>
      </c>
      <c r="T835" s="66" t="str">
        <f>IFERROR(__xludf.DUMMYFUNCTION("IF(COUNTA(Q835:Q1673)=0,"""",IF(REGEXMATCH(INDEX(FILTER(Q$4:Q835,Q$4:Q835&lt;&gt;""""),ROWS(FILTER(Q$4:Q835,Q$4:Q835&lt;&gt;""""))),""^Sell_""),INDEX(FILTER(T$4:T834,Q$4:Q834&lt;&gt;""""),ROWS(FILTER(Q$4:Q834,Q$4:Q834&lt;&gt;""""))),$AD$5+S835))"),"")</f>
        <v/>
      </c>
      <c r="U835" s="10" t="str">
        <f>IFERROR(__xludf.DUMMYFUNCTION("IF(COUNTA(Q835:Q1673)=0,"""",IF(Q835="""",0,IF(REGEXMATCH(Q835,""^Sell_""),-ROUNDDOWN(ROUNDUP(INDEX(Upgrades!$C$3:$C$13,MATCH(SUBSTITUTE(Q835,""Sell_"",""""),Upgrades!$B$3:$B$13,0))*1.15^(COUNTIF(Q$4:Q834,SUBSTITUTE(Q835,""Sell_"",""""))-COUNTIF(Q$4:Q834,"&amp;"""Sell_""&amp;SUBSTITUTE(Q835,""Sell_"",""""))))/2),ROUNDUP(INDEX(Upgrades!$C$3:$C$13,MATCH(Q835,Upgrades!$B$3:$B$13,0))*1.15^(COUNTIF(Q$4:Q834,Q835)-COUNTIF(Q$4:Q834,""Sell_""&amp;Q835))))))"),"")</f>
        <v/>
      </c>
      <c r="V835" s="10" t="str">
        <f t="shared" si="11"/>
        <v/>
      </c>
      <c r="W835" s="68" t="str">
        <f t="shared" si="12"/>
        <v/>
      </c>
      <c r="X835" s="59" t="str">
        <f t="shared" si="13"/>
        <v/>
      </c>
      <c r="Y835" s="69" t="str">
        <f t="shared" si="14"/>
        <v/>
      </c>
      <c r="Z835" s="11"/>
    </row>
    <row r="836">
      <c r="A836" s="8"/>
      <c r="B836" s="56" t="str">
        <f t="shared" si="2"/>
        <v/>
      </c>
      <c r="C836" s="105"/>
      <c r="D836" s="10"/>
      <c r="E836" s="59" t="str">
        <f t="array" ref="E836">IF(COUNTA(C836:C1673)=0,"",SUM((COUNTIF(C$4:C836,Upgrades!$B$3:$B$13)-COUNTIF(C$4:C836,"Sell_"&amp;Upgrades!$B$3:$B$13))*Upgrades!$D$3:$D$13))</f>
        <v/>
      </c>
      <c r="F836" s="66" t="str">
        <f>IFERROR(__xludf.DUMMYFUNCTION("IF(COUNTA(C836:C1673)=0,"""",IF(REGEXMATCH(INDEX(FILTER(C$4:C836,C$4:C836&lt;&gt;""""),ROWS(FILTER(C$4:C836,C$4:C836&lt;&gt;""""))),""^Sell_""),INDEX(FILTER(F$4:F835,C$4:C835&lt;&gt;""""),ROWS(FILTER(C$4:C835,C$4:C835&lt;&gt;""""))),$AC$5+E836))"),"")</f>
        <v/>
      </c>
      <c r="G836" s="10" t="str">
        <f>IFERROR(__xludf.DUMMYFUNCTION("IF(COUNTA(C836:C1673)=0,"""",IF(C836="""",0,IF(REGEXMATCH(C836,""^Sell_""),-ROUNDDOWN(ROUNDUP(INDEX(Upgrades!$C$3:$C$13,MATCH(SUBSTITUTE(C836,""Sell_"",""""),Upgrades!$B$3:$B$13,0))*1.15^(COUNTIF(C$4:C835,SUBSTITUTE(C836,""Sell_"",""""))-COUNTIF(C$4:C835,"&amp;"""Sell_""&amp;SUBSTITUTE(C836,""Sell_"",""""))))/2),ROUNDUP(INDEX(Upgrades!$C$3:$C$13,MATCH(C836,Upgrades!$B$3:$B$13,0))*1.15^(COUNTIF(C$4:C835,C836)-COUNTIF(C$4:C835,""Sell_""&amp;C836))))))"),"")</f>
        <v/>
      </c>
      <c r="H836" s="10" t="str">
        <f t="shared" si="3"/>
        <v/>
      </c>
      <c r="I836" s="68" t="str">
        <f t="shared" si="4"/>
        <v/>
      </c>
      <c r="J836" s="59" t="str">
        <f t="shared" si="5"/>
        <v/>
      </c>
      <c r="K836" s="69" t="str">
        <f t="shared" si="6"/>
        <v/>
      </c>
      <c r="L836" s="60" t="str">
        <f t="shared" si="7"/>
        <v/>
      </c>
      <c r="M836" s="61" t="str">
        <f>IFERROR(__xludf.DUMMYFUNCTION("IFS(AND(COUNTA(C836:C1673)=0,COUNTA(Q836:Q1673)=0),"""",OR(AND(K836&gt;=1000000000,OR(Y836&gt;=1000000000,COUNTA(Q836:Q1673)=0)),OR(Y836&gt;=1000000000,AND(COUNTA(C836:C1673)=0,P$3=TRUE))),
ROUNDDOWN((AB$1-AC$1)*MAX(INDEX(T$4:T1673,MATCH(LARGE(FILTER(Y$4:Y1673,Y$4"&amp;":Y1673&lt;1000000000),1),Y$4:Y1673)),INDEX(F$4:F1673,MATCH(LARGE(FILTER(K$4:K1673,K$4:K1673&lt;1000000000),1),K$4:K1673)))),AND(K836&lt;1000000000,COUNTA(C836:C1673)&gt;0,P$3=FALSE),
ROUNDDOWN(INDEX(Y$4:Y1673,MATCH(LARGE(FILTER(W$4:W1673,W$4:W1673&lt;=I836),1),W$4:W1673"&amp;"))+(I836-LARGE(FILTER(W$4:W1673,W$4:W1673&lt;=I836),1))*INDEX(T$4:T1673,MATCH(LARGE(FILTER(W$4:W1673,W$4:W1673&lt;=I836),1),W$4:W1673))-K836),1,
ROUNDDOWN(Y836-INDEX(K$4:K1673,MATCH(LARGE(FILTER(I$4:I1673,I$4:I1673&lt;=W836),1),I$4:I1673))-(W836-LARGE(FILTER(I$4:I"&amp;"1673,I$4:I1673&lt;=W836),1))*INDEX(F$4:F1673,MATCH(LARGE(FILTER(I$4:I1673,I$4:I1673&lt;=W836),1),I$4:I1673))))"),"")</f>
        <v/>
      </c>
      <c r="N836" s="60" t="str">
        <f t="shared" si="8"/>
        <v/>
      </c>
      <c r="O836" s="61" t="str">
        <f t="shared" si="9"/>
        <v/>
      </c>
      <c r="P836" s="56" t="str">
        <f t="shared" si="10"/>
        <v/>
      </c>
      <c r="R836" s="10"/>
      <c r="S836" s="59" t="str">
        <f t="array" ref="S836">IF(COUNTA(Q836:Q1673)=0,"",SUM((COUNTIF(Q$4:Q836,Upgrades!$B$3:$B$13)-COUNTIF(Q$4:Q836,"Sell_"&amp;Upgrades!$B$3:$B$13))*Upgrades!$D$3:$D$13))</f>
        <v/>
      </c>
      <c r="T836" s="66" t="str">
        <f>IFERROR(__xludf.DUMMYFUNCTION("IF(COUNTA(Q836:Q1673)=0,"""",IF(REGEXMATCH(INDEX(FILTER(Q$4:Q836,Q$4:Q836&lt;&gt;""""),ROWS(FILTER(Q$4:Q836,Q$4:Q836&lt;&gt;""""))),""^Sell_""),INDEX(FILTER(T$4:T835,Q$4:Q835&lt;&gt;""""),ROWS(FILTER(Q$4:Q835,Q$4:Q835&lt;&gt;""""))),$AD$5+S836))"),"")</f>
        <v/>
      </c>
      <c r="U836" s="10" t="str">
        <f>IFERROR(__xludf.DUMMYFUNCTION("IF(COUNTA(Q836:Q1673)=0,"""",IF(Q836="""",0,IF(REGEXMATCH(Q836,""^Sell_""),-ROUNDDOWN(ROUNDUP(INDEX(Upgrades!$C$3:$C$13,MATCH(SUBSTITUTE(Q836,""Sell_"",""""),Upgrades!$B$3:$B$13,0))*1.15^(COUNTIF(Q$4:Q835,SUBSTITUTE(Q836,""Sell_"",""""))-COUNTIF(Q$4:Q835,"&amp;"""Sell_""&amp;SUBSTITUTE(Q836,""Sell_"",""""))))/2),ROUNDUP(INDEX(Upgrades!$C$3:$C$13,MATCH(Q836,Upgrades!$B$3:$B$13,0))*1.15^(COUNTIF(Q$4:Q835,Q836)-COUNTIF(Q$4:Q835,""Sell_""&amp;Q836))))))"),"")</f>
        <v/>
      </c>
      <c r="V836" s="10" t="str">
        <f t="shared" si="11"/>
        <v/>
      </c>
      <c r="W836" s="68" t="str">
        <f t="shared" si="12"/>
        <v/>
      </c>
      <c r="X836" s="59" t="str">
        <f t="shared" si="13"/>
        <v/>
      </c>
      <c r="Y836" s="69" t="str">
        <f t="shared" si="14"/>
        <v/>
      </c>
      <c r="Z836" s="11"/>
    </row>
    <row r="837">
      <c r="A837" s="8"/>
      <c r="B837" s="56" t="str">
        <f t="shared" si="2"/>
        <v/>
      </c>
      <c r="C837" s="105"/>
      <c r="D837" s="10"/>
      <c r="E837" s="59" t="str">
        <f t="array" ref="E837">IF(COUNTA(C837:C1673)=0,"",SUM((COUNTIF(C$4:C837,Upgrades!$B$3:$B$13)-COUNTIF(C$4:C837,"Sell_"&amp;Upgrades!$B$3:$B$13))*Upgrades!$D$3:$D$13))</f>
        <v/>
      </c>
      <c r="F837" s="66" t="str">
        <f>IFERROR(__xludf.DUMMYFUNCTION("IF(COUNTA(C837:C1673)=0,"""",IF(REGEXMATCH(INDEX(FILTER(C$4:C837,C$4:C837&lt;&gt;""""),ROWS(FILTER(C$4:C837,C$4:C837&lt;&gt;""""))),""^Sell_""),INDEX(FILTER(F$4:F836,C$4:C836&lt;&gt;""""),ROWS(FILTER(C$4:C836,C$4:C836&lt;&gt;""""))),$AC$5+E837))"),"")</f>
        <v/>
      </c>
      <c r="G837" s="10" t="str">
        <f>IFERROR(__xludf.DUMMYFUNCTION("IF(COUNTA(C837:C1673)=0,"""",IF(C837="""",0,IF(REGEXMATCH(C837,""^Sell_""),-ROUNDDOWN(ROUNDUP(INDEX(Upgrades!$C$3:$C$13,MATCH(SUBSTITUTE(C837,""Sell_"",""""),Upgrades!$B$3:$B$13,0))*1.15^(COUNTIF(C$4:C836,SUBSTITUTE(C837,""Sell_"",""""))-COUNTIF(C$4:C836,"&amp;"""Sell_""&amp;SUBSTITUTE(C837,""Sell_"",""""))))/2),ROUNDUP(INDEX(Upgrades!$C$3:$C$13,MATCH(C837,Upgrades!$B$3:$B$13,0))*1.15^(COUNTIF(C$4:C836,C837)-COUNTIF(C$4:C836,""Sell_""&amp;C837))))))"),"")</f>
        <v/>
      </c>
      <c r="H837" s="10" t="str">
        <f t="shared" si="3"/>
        <v/>
      </c>
      <c r="I837" s="68" t="str">
        <f t="shared" si="4"/>
        <v/>
      </c>
      <c r="J837" s="59" t="str">
        <f t="shared" si="5"/>
        <v/>
      </c>
      <c r="K837" s="69" t="str">
        <f t="shared" si="6"/>
        <v/>
      </c>
      <c r="L837" s="60" t="str">
        <f t="shared" si="7"/>
        <v/>
      </c>
      <c r="M837" s="61" t="str">
        <f>IFERROR(__xludf.DUMMYFUNCTION("IFS(AND(COUNTA(C837:C1673)=0,COUNTA(Q837:Q1673)=0),"""",OR(AND(K837&gt;=1000000000,OR(Y837&gt;=1000000000,COUNTA(Q837:Q1673)=0)),OR(Y837&gt;=1000000000,AND(COUNTA(C837:C1673)=0,P$3=TRUE))),
ROUNDDOWN((AB$1-AC$1)*MAX(INDEX(T$4:T1673,MATCH(LARGE(FILTER(Y$4:Y1673,Y$4"&amp;":Y1673&lt;1000000000),1),Y$4:Y1673)),INDEX(F$4:F1673,MATCH(LARGE(FILTER(K$4:K1673,K$4:K1673&lt;1000000000),1),K$4:K1673)))),AND(K837&lt;1000000000,COUNTA(C837:C1673)&gt;0,P$3=FALSE),
ROUNDDOWN(INDEX(Y$4:Y1673,MATCH(LARGE(FILTER(W$4:W1673,W$4:W1673&lt;=I837),1),W$4:W1673"&amp;"))+(I837-LARGE(FILTER(W$4:W1673,W$4:W1673&lt;=I837),1))*INDEX(T$4:T1673,MATCH(LARGE(FILTER(W$4:W1673,W$4:W1673&lt;=I837),1),W$4:W1673))-K837),1,
ROUNDDOWN(Y837-INDEX(K$4:K1673,MATCH(LARGE(FILTER(I$4:I1673,I$4:I1673&lt;=W837),1),I$4:I1673))-(W837-LARGE(FILTER(I$4:I"&amp;"1673,I$4:I1673&lt;=W837),1))*INDEX(F$4:F1673,MATCH(LARGE(FILTER(I$4:I1673,I$4:I1673&lt;=W837),1),I$4:I1673))))"),"")</f>
        <v/>
      </c>
      <c r="N837" s="60" t="str">
        <f t="shared" si="8"/>
        <v/>
      </c>
      <c r="O837" s="61" t="str">
        <f t="shared" si="9"/>
        <v/>
      </c>
      <c r="P837" s="56" t="str">
        <f t="shared" si="10"/>
        <v/>
      </c>
      <c r="R837" s="10"/>
      <c r="S837" s="59" t="str">
        <f t="array" ref="S837">IF(COUNTA(Q837:Q1673)=0,"",SUM((COUNTIF(Q$4:Q837,Upgrades!$B$3:$B$13)-COUNTIF(Q$4:Q837,"Sell_"&amp;Upgrades!$B$3:$B$13))*Upgrades!$D$3:$D$13))</f>
        <v/>
      </c>
      <c r="T837" s="66" t="str">
        <f>IFERROR(__xludf.DUMMYFUNCTION("IF(COUNTA(Q837:Q1673)=0,"""",IF(REGEXMATCH(INDEX(FILTER(Q$4:Q837,Q$4:Q837&lt;&gt;""""),ROWS(FILTER(Q$4:Q837,Q$4:Q837&lt;&gt;""""))),""^Sell_""),INDEX(FILTER(T$4:T836,Q$4:Q836&lt;&gt;""""),ROWS(FILTER(Q$4:Q836,Q$4:Q836&lt;&gt;""""))),$AD$5+S837))"),"")</f>
        <v/>
      </c>
      <c r="U837" s="10" t="str">
        <f>IFERROR(__xludf.DUMMYFUNCTION("IF(COUNTA(Q837:Q1673)=0,"""",IF(Q837="""",0,IF(REGEXMATCH(Q837,""^Sell_""),-ROUNDDOWN(ROUNDUP(INDEX(Upgrades!$C$3:$C$13,MATCH(SUBSTITUTE(Q837,""Sell_"",""""),Upgrades!$B$3:$B$13,0))*1.15^(COUNTIF(Q$4:Q836,SUBSTITUTE(Q837,""Sell_"",""""))-COUNTIF(Q$4:Q836,"&amp;"""Sell_""&amp;SUBSTITUTE(Q837,""Sell_"",""""))))/2),ROUNDUP(INDEX(Upgrades!$C$3:$C$13,MATCH(Q837,Upgrades!$B$3:$B$13,0))*1.15^(COUNTIF(Q$4:Q836,Q837)-COUNTIF(Q$4:Q836,""Sell_""&amp;Q837))))))"),"")</f>
        <v/>
      </c>
      <c r="V837" s="10" t="str">
        <f t="shared" si="11"/>
        <v/>
      </c>
      <c r="W837" s="68" t="str">
        <f t="shared" si="12"/>
        <v/>
      </c>
      <c r="X837" s="59" t="str">
        <f t="shared" si="13"/>
        <v/>
      </c>
      <c r="Y837" s="69" t="str">
        <f t="shared" si="14"/>
        <v/>
      </c>
      <c r="Z837" s="11"/>
    </row>
    <row r="838">
      <c r="A838" s="8"/>
      <c r="B838" s="56" t="str">
        <f t="shared" si="2"/>
        <v/>
      </c>
      <c r="C838" s="105"/>
      <c r="D838" s="10"/>
      <c r="E838" s="59" t="str">
        <f t="array" ref="E838">IF(COUNTA(C838:C1673)=0,"",SUM((COUNTIF(C$4:C838,Upgrades!$B$3:$B$13)-COUNTIF(C$4:C838,"Sell_"&amp;Upgrades!$B$3:$B$13))*Upgrades!$D$3:$D$13))</f>
        <v/>
      </c>
      <c r="F838" s="66" t="str">
        <f>IFERROR(__xludf.DUMMYFUNCTION("IF(COUNTA(C838:C1673)=0,"""",IF(REGEXMATCH(INDEX(FILTER(C$4:C838,C$4:C838&lt;&gt;""""),ROWS(FILTER(C$4:C838,C$4:C838&lt;&gt;""""))),""^Sell_""),INDEX(FILTER(F$4:F837,C$4:C837&lt;&gt;""""),ROWS(FILTER(C$4:C837,C$4:C837&lt;&gt;""""))),$AC$5+E838))"),"")</f>
        <v/>
      </c>
      <c r="G838" s="10" t="str">
        <f>IFERROR(__xludf.DUMMYFUNCTION("IF(COUNTA(C838:C1673)=0,"""",IF(C838="""",0,IF(REGEXMATCH(C838,""^Sell_""),-ROUNDDOWN(ROUNDUP(INDEX(Upgrades!$C$3:$C$13,MATCH(SUBSTITUTE(C838,""Sell_"",""""),Upgrades!$B$3:$B$13,0))*1.15^(COUNTIF(C$4:C837,SUBSTITUTE(C838,""Sell_"",""""))-COUNTIF(C$4:C837,"&amp;"""Sell_""&amp;SUBSTITUTE(C838,""Sell_"",""""))))/2),ROUNDUP(INDEX(Upgrades!$C$3:$C$13,MATCH(C838,Upgrades!$B$3:$B$13,0))*1.15^(COUNTIF(C$4:C837,C838)-COUNTIF(C$4:C837,""Sell_""&amp;C838))))))"),"")</f>
        <v/>
      </c>
      <c r="H838" s="10" t="str">
        <f t="shared" si="3"/>
        <v/>
      </c>
      <c r="I838" s="68" t="str">
        <f t="shared" si="4"/>
        <v/>
      </c>
      <c r="J838" s="59" t="str">
        <f t="shared" si="5"/>
        <v/>
      </c>
      <c r="K838" s="69" t="str">
        <f t="shared" si="6"/>
        <v/>
      </c>
      <c r="L838" s="60" t="str">
        <f t="shared" si="7"/>
        <v/>
      </c>
      <c r="M838" s="61" t="str">
        <f>IFERROR(__xludf.DUMMYFUNCTION("IFS(AND(COUNTA(C838:C1673)=0,COUNTA(Q838:Q1673)=0),"""",OR(AND(K838&gt;=1000000000,OR(Y838&gt;=1000000000,COUNTA(Q838:Q1673)=0)),OR(Y838&gt;=1000000000,AND(COUNTA(C838:C1673)=0,P$3=TRUE))),
ROUNDDOWN((AB$1-AC$1)*MAX(INDEX(T$4:T1673,MATCH(LARGE(FILTER(Y$4:Y1673,Y$4"&amp;":Y1673&lt;1000000000),1),Y$4:Y1673)),INDEX(F$4:F1673,MATCH(LARGE(FILTER(K$4:K1673,K$4:K1673&lt;1000000000),1),K$4:K1673)))),AND(K838&lt;1000000000,COUNTA(C838:C1673)&gt;0,P$3=FALSE),
ROUNDDOWN(INDEX(Y$4:Y1673,MATCH(LARGE(FILTER(W$4:W1673,W$4:W1673&lt;=I838),1),W$4:W1673"&amp;"))+(I838-LARGE(FILTER(W$4:W1673,W$4:W1673&lt;=I838),1))*INDEX(T$4:T1673,MATCH(LARGE(FILTER(W$4:W1673,W$4:W1673&lt;=I838),1),W$4:W1673))-K838),1,
ROUNDDOWN(Y838-INDEX(K$4:K1673,MATCH(LARGE(FILTER(I$4:I1673,I$4:I1673&lt;=W838),1),I$4:I1673))-(W838-LARGE(FILTER(I$4:I"&amp;"1673,I$4:I1673&lt;=W838),1))*INDEX(F$4:F1673,MATCH(LARGE(FILTER(I$4:I1673,I$4:I1673&lt;=W838),1),I$4:I1673))))"),"")</f>
        <v/>
      </c>
      <c r="N838" s="60" t="str">
        <f t="shared" si="8"/>
        <v/>
      </c>
      <c r="O838" s="61" t="str">
        <f t="shared" si="9"/>
        <v/>
      </c>
      <c r="P838" s="56" t="str">
        <f t="shared" si="10"/>
        <v/>
      </c>
      <c r="R838" s="10"/>
      <c r="S838" s="59" t="str">
        <f t="array" ref="S838">IF(COUNTA(Q838:Q1673)=0,"",SUM((COUNTIF(Q$4:Q838,Upgrades!$B$3:$B$13)-COUNTIF(Q$4:Q838,"Sell_"&amp;Upgrades!$B$3:$B$13))*Upgrades!$D$3:$D$13))</f>
        <v/>
      </c>
      <c r="T838" s="66" t="str">
        <f>IFERROR(__xludf.DUMMYFUNCTION("IF(COUNTA(Q838:Q1673)=0,"""",IF(REGEXMATCH(INDEX(FILTER(Q$4:Q838,Q$4:Q838&lt;&gt;""""),ROWS(FILTER(Q$4:Q838,Q$4:Q838&lt;&gt;""""))),""^Sell_""),INDEX(FILTER(T$4:T837,Q$4:Q837&lt;&gt;""""),ROWS(FILTER(Q$4:Q837,Q$4:Q837&lt;&gt;""""))),$AD$5+S838))"),"")</f>
        <v/>
      </c>
      <c r="U838" s="10" t="str">
        <f>IFERROR(__xludf.DUMMYFUNCTION("IF(COUNTA(Q838:Q1673)=0,"""",IF(Q838="""",0,IF(REGEXMATCH(Q838,""^Sell_""),-ROUNDDOWN(ROUNDUP(INDEX(Upgrades!$C$3:$C$13,MATCH(SUBSTITUTE(Q838,""Sell_"",""""),Upgrades!$B$3:$B$13,0))*1.15^(COUNTIF(Q$4:Q837,SUBSTITUTE(Q838,""Sell_"",""""))-COUNTIF(Q$4:Q837,"&amp;"""Sell_""&amp;SUBSTITUTE(Q838,""Sell_"",""""))))/2),ROUNDUP(INDEX(Upgrades!$C$3:$C$13,MATCH(Q838,Upgrades!$B$3:$B$13,0))*1.15^(COUNTIF(Q$4:Q837,Q838)-COUNTIF(Q$4:Q837,""Sell_""&amp;Q838))))))"),"")</f>
        <v/>
      </c>
      <c r="V838" s="10" t="str">
        <f t="shared" si="11"/>
        <v/>
      </c>
      <c r="W838" s="68" t="str">
        <f t="shared" si="12"/>
        <v/>
      </c>
      <c r="X838" s="59" t="str">
        <f t="shared" si="13"/>
        <v/>
      </c>
      <c r="Y838" s="69" t="str">
        <f t="shared" si="14"/>
        <v/>
      </c>
      <c r="Z838" s="11"/>
    </row>
    <row r="839">
      <c r="A839" s="8"/>
      <c r="B839" s="56" t="str">
        <f t="shared" si="2"/>
        <v/>
      </c>
      <c r="C839" s="105"/>
      <c r="D839" s="10"/>
      <c r="E839" s="59" t="str">
        <f t="array" ref="E839">IF(COUNTA(C839:C1673)=0,"",SUM((COUNTIF(C$4:C839,Upgrades!$B$3:$B$13)-COUNTIF(C$4:C839,"Sell_"&amp;Upgrades!$B$3:$B$13))*Upgrades!$D$3:$D$13))</f>
        <v/>
      </c>
      <c r="F839" s="66" t="str">
        <f>IFERROR(__xludf.DUMMYFUNCTION("IF(COUNTA(C839:C1673)=0,"""",IF(REGEXMATCH(INDEX(FILTER(C$4:C839,C$4:C839&lt;&gt;""""),ROWS(FILTER(C$4:C839,C$4:C839&lt;&gt;""""))),""^Sell_""),INDEX(FILTER(F$4:F838,C$4:C838&lt;&gt;""""),ROWS(FILTER(C$4:C838,C$4:C838&lt;&gt;""""))),$AC$5+E839))"),"")</f>
        <v/>
      </c>
      <c r="G839" s="10" t="str">
        <f>IFERROR(__xludf.DUMMYFUNCTION("IF(COUNTA(C839:C1673)=0,"""",IF(C839="""",0,IF(REGEXMATCH(C839,""^Sell_""),-ROUNDDOWN(ROUNDUP(INDEX(Upgrades!$C$3:$C$13,MATCH(SUBSTITUTE(C839,""Sell_"",""""),Upgrades!$B$3:$B$13,0))*1.15^(COUNTIF(C$4:C838,SUBSTITUTE(C839,""Sell_"",""""))-COUNTIF(C$4:C838,"&amp;"""Sell_""&amp;SUBSTITUTE(C839,""Sell_"",""""))))/2),ROUNDUP(INDEX(Upgrades!$C$3:$C$13,MATCH(C839,Upgrades!$B$3:$B$13,0))*1.15^(COUNTIF(C$4:C838,C839)-COUNTIF(C$4:C838,""Sell_""&amp;C839))))))"),"")</f>
        <v/>
      </c>
      <c r="H839" s="10" t="str">
        <f t="shared" si="3"/>
        <v/>
      </c>
      <c r="I839" s="68" t="str">
        <f t="shared" si="4"/>
        <v/>
      </c>
      <c r="J839" s="59" t="str">
        <f t="shared" si="5"/>
        <v/>
      </c>
      <c r="K839" s="69" t="str">
        <f t="shared" si="6"/>
        <v/>
      </c>
      <c r="L839" s="60" t="str">
        <f t="shared" si="7"/>
        <v/>
      </c>
      <c r="M839" s="61" t="str">
        <f>IFERROR(__xludf.DUMMYFUNCTION("IFS(AND(COUNTA(C839:C1673)=0,COUNTA(Q839:Q1673)=0),"""",OR(AND(K839&gt;=1000000000,OR(Y839&gt;=1000000000,COUNTA(Q839:Q1673)=0)),OR(Y839&gt;=1000000000,AND(COUNTA(C839:C1673)=0,P$3=TRUE))),
ROUNDDOWN((AB$1-AC$1)*MAX(INDEX(T$4:T1673,MATCH(LARGE(FILTER(Y$4:Y1673,Y$4"&amp;":Y1673&lt;1000000000),1),Y$4:Y1673)),INDEX(F$4:F1673,MATCH(LARGE(FILTER(K$4:K1673,K$4:K1673&lt;1000000000),1),K$4:K1673)))),AND(K839&lt;1000000000,COUNTA(C839:C1673)&gt;0,P$3=FALSE),
ROUNDDOWN(INDEX(Y$4:Y1673,MATCH(LARGE(FILTER(W$4:W1673,W$4:W1673&lt;=I839),1),W$4:W1673"&amp;"))+(I839-LARGE(FILTER(W$4:W1673,W$4:W1673&lt;=I839),1))*INDEX(T$4:T1673,MATCH(LARGE(FILTER(W$4:W1673,W$4:W1673&lt;=I839),1),W$4:W1673))-K839),1,
ROUNDDOWN(Y839-INDEX(K$4:K1673,MATCH(LARGE(FILTER(I$4:I1673,I$4:I1673&lt;=W839),1),I$4:I1673))-(W839-LARGE(FILTER(I$4:I"&amp;"1673,I$4:I1673&lt;=W839),1))*INDEX(F$4:F1673,MATCH(LARGE(FILTER(I$4:I1673,I$4:I1673&lt;=W839),1),I$4:I1673))))"),"")</f>
        <v/>
      </c>
      <c r="N839" s="60" t="str">
        <f t="shared" si="8"/>
        <v/>
      </c>
      <c r="O839" s="61" t="str">
        <f t="shared" si="9"/>
        <v/>
      </c>
      <c r="P839" s="56" t="str">
        <f t="shared" si="10"/>
        <v/>
      </c>
      <c r="R839" s="10"/>
      <c r="S839" s="59" t="str">
        <f t="array" ref="S839">IF(COUNTA(Q839:Q1673)=0,"",SUM((COUNTIF(Q$4:Q839,Upgrades!$B$3:$B$13)-COUNTIF(Q$4:Q839,"Sell_"&amp;Upgrades!$B$3:$B$13))*Upgrades!$D$3:$D$13))</f>
        <v/>
      </c>
      <c r="T839" s="66" t="str">
        <f>IFERROR(__xludf.DUMMYFUNCTION("IF(COUNTA(Q839:Q1673)=0,"""",IF(REGEXMATCH(INDEX(FILTER(Q$4:Q839,Q$4:Q839&lt;&gt;""""),ROWS(FILTER(Q$4:Q839,Q$4:Q839&lt;&gt;""""))),""^Sell_""),INDEX(FILTER(T$4:T838,Q$4:Q838&lt;&gt;""""),ROWS(FILTER(Q$4:Q838,Q$4:Q838&lt;&gt;""""))),$AD$5+S839))"),"")</f>
        <v/>
      </c>
      <c r="U839" s="10" t="str">
        <f>IFERROR(__xludf.DUMMYFUNCTION("IF(COUNTA(Q839:Q1673)=0,"""",IF(Q839="""",0,IF(REGEXMATCH(Q839,""^Sell_""),-ROUNDDOWN(ROUNDUP(INDEX(Upgrades!$C$3:$C$13,MATCH(SUBSTITUTE(Q839,""Sell_"",""""),Upgrades!$B$3:$B$13,0))*1.15^(COUNTIF(Q$4:Q838,SUBSTITUTE(Q839,""Sell_"",""""))-COUNTIF(Q$4:Q838,"&amp;"""Sell_""&amp;SUBSTITUTE(Q839,""Sell_"",""""))))/2),ROUNDUP(INDEX(Upgrades!$C$3:$C$13,MATCH(Q839,Upgrades!$B$3:$B$13,0))*1.15^(COUNTIF(Q$4:Q838,Q839)-COUNTIF(Q$4:Q838,""Sell_""&amp;Q839))))))"),"")</f>
        <v/>
      </c>
      <c r="V839" s="10" t="str">
        <f t="shared" si="11"/>
        <v/>
      </c>
      <c r="W839" s="68" t="str">
        <f t="shared" si="12"/>
        <v/>
      </c>
      <c r="X839" s="59" t="str">
        <f t="shared" si="13"/>
        <v/>
      </c>
      <c r="Y839" s="69" t="str">
        <f t="shared" si="14"/>
        <v/>
      </c>
      <c r="Z839" s="11"/>
    </row>
    <row r="840">
      <c r="A840" s="8"/>
      <c r="B840" s="56" t="str">
        <f t="shared" si="2"/>
        <v/>
      </c>
      <c r="C840" s="105"/>
      <c r="D840" s="10"/>
      <c r="E840" s="59" t="str">
        <f t="array" ref="E840">IF(COUNTA(C840:C1673)=0,"",SUM((COUNTIF(C$4:C840,Upgrades!$B$3:$B$13)-COUNTIF(C$4:C840,"Sell_"&amp;Upgrades!$B$3:$B$13))*Upgrades!$D$3:$D$13))</f>
        <v/>
      </c>
      <c r="F840" s="66" t="str">
        <f>IFERROR(__xludf.DUMMYFUNCTION("IF(COUNTA(C840:C1673)=0,"""",IF(REGEXMATCH(INDEX(FILTER(C$4:C840,C$4:C840&lt;&gt;""""),ROWS(FILTER(C$4:C840,C$4:C840&lt;&gt;""""))),""^Sell_""),INDEX(FILTER(F$4:F839,C$4:C839&lt;&gt;""""),ROWS(FILTER(C$4:C839,C$4:C839&lt;&gt;""""))),$AC$5+E840))"),"")</f>
        <v/>
      </c>
      <c r="G840" s="10" t="str">
        <f>IFERROR(__xludf.DUMMYFUNCTION("IF(COUNTA(C840:C1673)=0,"""",IF(C840="""",0,IF(REGEXMATCH(C840,""^Sell_""),-ROUNDDOWN(ROUNDUP(INDEX(Upgrades!$C$3:$C$13,MATCH(SUBSTITUTE(C840,""Sell_"",""""),Upgrades!$B$3:$B$13,0))*1.15^(COUNTIF(C$4:C839,SUBSTITUTE(C840,""Sell_"",""""))-COUNTIF(C$4:C839,"&amp;"""Sell_""&amp;SUBSTITUTE(C840,""Sell_"",""""))))/2),ROUNDUP(INDEX(Upgrades!$C$3:$C$13,MATCH(C840,Upgrades!$B$3:$B$13,0))*1.15^(COUNTIF(C$4:C839,C840)-COUNTIF(C$4:C839,""Sell_""&amp;C840))))))"),"")</f>
        <v/>
      </c>
      <c r="H840" s="10" t="str">
        <f t="shared" si="3"/>
        <v/>
      </c>
      <c r="I840" s="68" t="str">
        <f t="shared" si="4"/>
        <v/>
      </c>
      <c r="J840" s="59" t="str">
        <f t="shared" si="5"/>
        <v/>
      </c>
      <c r="K840" s="69" t="str">
        <f t="shared" si="6"/>
        <v/>
      </c>
      <c r="L840" s="60" t="str">
        <f t="shared" si="7"/>
        <v/>
      </c>
      <c r="M840" s="61" t="str">
        <f>IFERROR(__xludf.DUMMYFUNCTION("IFS(AND(COUNTA(C840:C1673)=0,COUNTA(Q840:Q1673)=0),"""",OR(AND(K840&gt;=1000000000,OR(Y840&gt;=1000000000,COUNTA(Q840:Q1673)=0)),OR(Y840&gt;=1000000000,AND(COUNTA(C840:C1673)=0,P$3=TRUE))),
ROUNDDOWN((AB$1-AC$1)*MAX(INDEX(T$4:T1673,MATCH(LARGE(FILTER(Y$4:Y1673,Y$4"&amp;":Y1673&lt;1000000000),1),Y$4:Y1673)),INDEX(F$4:F1673,MATCH(LARGE(FILTER(K$4:K1673,K$4:K1673&lt;1000000000),1),K$4:K1673)))),AND(K840&lt;1000000000,COUNTA(C840:C1673)&gt;0,P$3=FALSE),
ROUNDDOWN(INDEX(Y$4:Y1673,MATCH(LARGE(FILTER(W$4:W1673,W$4:W1673&lt;=I840),1),W$4:W1673"&amp;"))+(I840-LARGE(FILTER(W$4:W1673,W$4:W1673&lt;=I840),1))*INDEX(T$4:T1673,MATCH(LARGE(FILTER(W$4:W1673,W$4:W1673&lt;=I840),1),W$4:W1673))-K840),1,
ROUNDDOWN(Y840-INDEX(K$4:K1673,MATCH(LARGE(FILTER(I$4:I1673,I$4:I1673&lt;=W840),1),I$4:I1673))-(W840-LARGE(FILTER(I$4:I"&amp;"1673,I$4:I1673&lt;=W840),1))*INDEX(F$4:F1673,MATCH(LARGE(FILTER(I$4:I1673,I$4:I1673&lt;=W840),1),I$4:I1673))))"),"")</f>
        <v/>
      </c>
      <c r="N840" s="60" t="str">
        <f t="shared" si="8"/>
        <v/>
      </c>
      <c r="O840" s="61" t="str">
        <f t="shared" si="9"/>
        <v/>
      </c>
      <c r="P840" s="56" t="str">
        <f t="shared" si="10"/>
        <v/>
      </c>
      <c r="R840" s="10"/>
      <c r="S840" s="59" t="str">
        <f t="array" ref="S840">IF(COUNTA(Q840:Q1673)=0,"",SUM((COUNTIF(Q$4:Q840,Upgrades!$B$3:$B$13)-COUNTIF(Q$4:Q840,"Sell_"&amp;Upgrades!$B$3:$B$13))*Upgrades!$D$3:$D$13))</f>
        <v/>
      </c>
      <c r="T840" s="66" t="str">
        <f>IFERROR(__xludf.DUMMYFUNCTION("IF(COUNTA(Q840:Q1673)=0,"""",IF(REGEXMATCH(INDEX(FILTER(Q$4:Q840,Q$4:Q840&lt;&gt;""""),ROWS(FILTER(Q$4:Q840,Q$4:Q840&lt;&gt;""""))),""^Sell_""),INDEX(FILTER(T$4:T839,Q$4:Q839&lt;&gt;""""),ROWS(FILTER(Q$4:Q839,Q$4:Q839&lt;&gt;""""))),$AD$5+S840))"),"")</f>
        <v/>
      </c>
      <c r="U840" s="10" t="str">
        <f>IFERROR(__xludf.DUMMYFUNCTION("IF(COUNTA(Q840:Q1673)=0,"""",IF(Q840="""",0,IF(REGEXMATCH(Q840,""^Sell_""),-ROUNDDOWN(ROUNDUP(INDEX(Upgrades!$C$3:$C$13,MATCH(SUBSTITUTE(Q840,""Sell_"",""""),Upgrades!$B$3:$B$13,0))*1.15^(COUNTIF(Q$4:Q839,SUBSTITUTE(Q840,""Sell_"",""""))-COUNTIF(Q$4:Q839,"&amp;"""Sell_""&amp;SUBSTITUTE(Q840,""Sell_"",""""))))/2),ROUNDUP(INDEX(Upgrades!$C$3:$C$13,MATCH(Q840,Upgrades!$B$3:$B$13,0))*1.15^(COUNTIF(Q$4:Q839,Q840)-COUNTIF(Q$4:Q839,""Sell_""&amp;Q840))))))"),"")</f>
        <v/>
      </c>
      <c r="V840" s="10" t="str">
        <f t="shared" si="11"/>
        <v/>
      </c>
      <c r="W840" s="68" t="str">
        <f t="shared" si="12"/>
        <v/>
      </c>
      <c r="X840" s="59" t="str">
        <f t="shared" si="13"/>
        <v/>
      </c>
      <c r="Y840" s="69" t="str">
        <f t="shared" si="14"/>
        <v/>
      </c>
      <c r="Z840" s="11"/>
    </row>
    <row r="841">
      <c r="A841" s="8"/>
      <c r="B841" s="56" t="str">
        <f t="shared" si="2"/>
        <v/>
      </c>
      <c r="C841" s="105"/>
      <c r="D841" s="10"/>
      <c r="E841" s="59" t="str">
        <f t="array" ref="E841">IF(COUNTA(C841:C1673)=0,"",SUM((COUNTIF(C$4:C841,Upgrades!$B$3:$B$13)-COUNTIF(C$4:C841,"Sell_"&amp;Upgrades!$B$3:$B$13))*Upgrades!$D$3:$D$13))</f>
        <v/>
      </c>
      <c r="F841" s="66" t="str">
        <f>IFERROR(__xludf.DUMMYFUNCTION("IF(COUNTA(C841:C1673)=0,"""",IF(REGEXMATCH(INDEX(FILTER(C$4:C841,C$4:C841&lt;&gt;""""),ROWS(FILTER(C$4:C841,C$4:C841&lt;&gt;""""))),""^Sell_""),INDEX(FILTER(F$4:F840,C$4:C840&lt;&gt;""""),ROWS(FILTER(C$4:C840,C$4:C840&lt;&gt;""""))),$AC$5+E841))"),"")</f>
        <v/>
      </c>
      <c r="G841" s="10" t="str">
        <f>IFERROR(__xludf.DUMMYFUNCTION("IF(COUNTA(C841:C1673)=0,"""",IF(C841="""",0,IF(REGEXMATCH(C841,""^Sell_""),-ROUNDDOWN(ROUNDUP(INDEX(Upgrades!$C$3:$C$13,MATCH(SUBSTITUTE(C841,""Sell_"",""""),Upgrades!$B$3:$B$13,0))*1.15^(COUNTIF(C$4:C840,SUBSTITUTE(C841,""Sell_"",""""))-COUNTIF(C$4:C840,"&amp;"""Sell_""&amp;SUBSTITUTE(C841,""Sell_"",""""))))/2),ROUNDUP(INDEX(Upgrades!$C$3:$C$13,MATCH(C841,Upgrades!$B$3:$B$13,0))*1.15^(COUNTIF(C$4:C840,C841)-COUNTIF(C$4:C840,""Sell_""&amp;C841))))))"),"")</f>
        <v/>
      </c>
      <c r="H841" s="10" t="str">
        <f t="shared" si="3"/>
        <v/>
      </c>
      <c r="I841" s="68" t="str">
        <f t="shared" si="4"/>
        <v/>
      </c>
      <c r="J841" s="59" t="str">
        <f t="shared" si="5"/>
        <v/>
      </c>
      <c r="K841" s="69" t="str">
        <f t="shared" si="6"/>
        <v/>
      </c>
      <c r="L841" s="60" t="str">
        <f t="shared" si="7"/>
        <v/>
      </c>
      <c r="M841" s="61" t="str">
        <f>IFERROR(__xludf.DUMMYFUNCTION("IFS(AND(COUNTA(C841:C1673)=0,COUNTA(Q841:Q1673)=0),"""",OR(AND(K841&gt;=1000000000,OR(Y841&gt;=1000000000,COUNTA(Q841:Q1673)=0)),OR(Y841&gt;=1000000000,AND(COUNTA(C841:C1673)=0,P$3=TRUE))),
ROUNDDOWN((AB$1-AC$1)*MAX(INDEX(T$4:T1673,MATCH(LARGE(FILTER(Y$4:Y1673,Y$4"&amp;":Y1673&lt;1000000000),1),Y$4:Y1673)),INDEX(F$4:F1673,MATCH(LARGE(FILTER(K$4:K1673,K$4:K1673&lt;1000000000),1),K$4:K1673)))),AND(K841&lt;1000000000,COUNTA(C841:C1673)&gt;0,P$3=FALSE),
ROUNDDOWN(INDEX(Y$4:Y1673,MATCH(LARGE(FILTER(W$4:W1673,W$4:W1673&lt;=I841),1),W$4:W1673"&amp;"))+(I841-LARGE(FILTER(W$4:W1673,W$4:W1673&lt;=I841),1))*INDEX(T$4:T1673,MATCH(LARGE(FILTER(W$4:W1673,W$4:W1673&lt;=I841),1),W$4:W1673))-K841),1,
ROUNDDOWN(Y841-INDEX(K$4:K1673,MATCH(LARGE(FILTER(I$4:I1673,I$4:I1673&lt;=W841),1),I$4:I1673))-(W841-LARGE(FILTER(I$4:I"&amp;"1673,I$4:I1673&lt;=W841),1))*INDEX(F$4:F1673,MATCH(LARGE(FILTER(I$4:I1673,I$4:I1673&lt;=W841),1),I$4:I1673))))"),"")</f>
        <v/>
      </c>
      <c r="N841" s="60" t="str">
        <f t="shared" si="8"/>
        <v/>
      </c>
      <c r="O841" s="61" t="str">
        <f t="shared" si="9"/>
        <v/>
      </c>
      <c r="P841" s="56" t="str">
        <f t="shared" si="10"/>
        <v/>
      </c>
      <c r="R841" s="10"/>
      <c r="S841" s="59" t="str">
        <f t="array" ref="S841">IF(COUNTA(Q841:Q1673)=0,"",SUM((COUNTIF(Q$4:Q841,Upgrades!$B$3:$B$13)-COUNTIF(Q$4:Q841,"Sell_"&amp;Upgrades!$B$3:$B$13))*Upgrades!$D$3:$D$13))</f>
        <v/>
      </c>
      <c r="T841" s="66" t="str">
        <f>IFERROR(__xludf.DUMMYFUNCTION("IF(COUNTA(Q841:Q1673)=0,"""",IF(REGEXMATCH(INDEX(FILTER(Q$4:Q841,Q$4:Q841&lt;&gt;""""),ROWS(FILTER(Q$4:Q841,Q$4:Q841&lt;&gt;""""))),""^Sell_""),INDEX(FILTER(T$4:T840,Q$4:Q840&lt;&gt;""""),ROWS(FILTER(Q$4:Q840,Q$4:Q840&lt;&gt;""""))),$AD$5+S841))"),"")</f>
        <v/>
      </c>
      <c r="U841" s="10" t="str">
        <f>IFERROR(__xludf.DUMMYFUNCTION("IF(COUNTA(Q841:Q1673)=0,"""",IF(Q841="""",0,IF(REGEXMATCH(Q841,""^Sell_""),-ROUNDDOWN(ROUNDUP(INDEX(Upgrades!$C$3:$C$13,MATCH(SUBSTITUTE(Q841,""Sell_"",""""),Upgrades!$B$3:$B$13,0))*1.15^(COUNTIF(Q$4:Q840,SUBSTITUTE(Q841,""Sell_"",""""))-COUNTIF(Q$4:Q840,"&amp;"""Sell_""&amp;SUBSTITUTE(Q841,""Sell_"",""""))))/2),ROUNDUP(INDEX(Upgrades!$C$3:$C$13,MATCH(Q841,Upgrades!$B$3:$B$13,0))*1.15^(COUNTIF(Q$4:Q840,Q841)-COUNTIF(Q$4:Q840,""Sell_""&amp;Q841))))))"),"")</f>
        <v/>
      </c>
      <c r="V841" s="10" t="str">
        <f t="shared" si="11"/>
        <v/>
      </c>
      <c r="W841" s="68" t="str">
        <f t="shared" si="12"/>
        <v/>
      </c>
      <c r="X841" s="59" t="str">
        <f t="shared" si="13"/>
        <v/>
      </c>
      <c r="Y841" s="69" t="str">
        <f t="shared" si="14"/>
        <v/>
      </c>
      <c r="Z841" s="11"/>
    </row>
    <row r="842">
      <c r="A842" s="8"/>
      <c r="B842" s="56" t="str">
        <f t="shared" si="2"/>
        <v/>
      </c>
      <c r="C842" s="105"/>
      <c r="D842" s="10"/>
      <c r="E842" s="59" t="str">
        <f t="array" ref="E842">IF(COUNTA(C842:C1673)=0,"",SUM((COUNTIF(C$4:C842,Upgrades!$B$3:$B$13)-COUNTIF(C$4:C842,"Sell_"&amp;Upgrades!$B$3:$B$13))*Upgrades!$D$3:$D$13))</f>
        <v/>
      </c>
      <c r="F842" s="66" t="str">
        <f>IFERROR(__xludf.DUMMYFUNCTION("IF(COUNTA(C842:C1673)=0,"""",IF(REGEXMATCH(INDEX(FILTER(C$4:C842,C$4:C842&lt;&gt;""""),ROWS(FILTER(C$4:C842,C$4:C842&lt;&gt;""""))),""^Sell_""),INDEX(FILTER(F$4:F841,C$4:C841&lt;&gt;""""),ROWS(FILTER(C$4:C841,C$4:C841&lt;&gt;""""))),$AC$5+E842))"),"")</f>
        <v/>
      </c>
      <c r="G842" s="10" t="str">
        <f>IFERROR(__xludf.DUMMYFUNCTION("IF(COUNTA(C842:C1673)=0,"""",IF(C842="""",0,IF(REGEXMATCH(C842,""^Sell_""),-ROUNDDOWN(ROUNDUP(INDEX(Upgrades!$C$3:$C$13,MATCH(SUBSTITUTE(C842,""Sell_"",""""),Upgrades!$B$3:$B$13,0))*1.15^(COUNTIF(C$4:C841,SUBSTITUTE(C842,""Sell_"",""""))-COUNTIF(C$4:C841,"&amp;"""Sell_""&amp;SUBSTITUTE(C842,""Sell_"",""""))))/2),ROUNDUP(INDEX(Upgrades!$C$3:$C$13,MATCH(C842,Upgrades!$B$3:$B$13,0))*1.15^(COUNTIF(C$4:C841,C842)-COUNTIF(C$4:C841,""Sell_""&amp;C842))))))"),"")</f>
        <v/>
      </c>
      <c r="H842" s="10" t="str">
        <f t="shared" si="3"/>
        <v/>
      </c>
      <c r="I842" s="68" t="str">
        <f t="shared" si="4"/>
        <v/>
      </c>
      <c r="J842" s="59" t="str">
        <f t="shared" si="5"/>
        <v/>
      </c>
      <c r="K842" s="69" t="str">
        <f t="shared" si="6"/>
        <v/>
      </c>
      <c r="L842" s="60" t="str">
        <f t="shared" si="7"/>
        <v/>
      </c>
      <c r="M842" s="61" t="str">
        <f>IFERROR(__xludf.DUMMYFUNCTION("IFS(AND(COUNTA(C842:C1673)=0,COUNTA(Q842:Q1673)=0),"""",OR(AND(K842&gt;=1000000000,OR(Y842&gt;=1000000000,COUNTA(Q842:Q1673)=0)),OR(Y842&gt;=1000000000,AND(COUNTA(C842:C1673)=0,P$3=TRUE))),
ROUNDDOWN((AB$1-AC$1)*MAX(INDEX(T$4:T1673,MATCH(LARGE(FILTER(Y$4:Y1673,Y$4"&amp;":Y1673&lt;1000000000),1),Y$4:Y1673)),INDEX(F$4:F1673,MATCH(LARGE(FILTER(K$4:K1673,K$4:K1673&lt;1000000000),1),K$4:K1673)))),AND(K842&lt;1000000000,COUNTA(C842:C1673)&gt;0,P$3=FALSE),
ROUNDDOWN(INDEX(Y$4:Y1673,MATCH(LARGE(FILTER(W$4:W1673,W$4:W1673&lt;=I842),1),W$4:W1673"&amp;"))+(I842-LARGE(FILTER(W$4:W1673,W$4:W1673&lt;=I842),1))*INDEX(T$4:T1673,MATCH(LARGE(FILTER(W$4:W1673,W$4:W1673&lt;=I842),1),W$4:W1673))-K842),1,
ROUNDDOWN(Y842-INDEX(K$4:K1673,MATCH(LARGE(FILTER(I$4:I1673,I$4:I1673&lt;=W842),1),I$4:I1673))-(W842-LARGE(FILTER(I$4:I"&amp;"1673,I$4:I1673&lt;=W842),1))*INDEX(F$4:F1673,MATCH(LARGE(FILTER(I$4:I1673,I$4:I1673&lt;=W842),1),I$4:I1673))))"),"")</f>
        <v/>
      </c>
      <c r="N842" s="60" t="str">
        <f t="shared" si="8"/>
        <v/>
      </c>
      <c r="O842" s="61" t="str">
        <f t="shared" si="9"/>
        <v/>
      </c>
      <c r="P842" s="56" t="str">
        <f t="shared" si="10"/>
        <v/>
      </c>
      <c r="R842" s="10"/>
      <c r="S842" s="59" t="str">
        <f t="array" ref="S842">IF(COUNTA(Q842:Q1673)=0,"",SUM((COUNTIF(Q$4:Q842,Upgrades!$B$3:$B$13)-COUNTIF(Q$4:Q842,"Sell_"&amp;Upgrades!$B$3:$B$13))*Upgrades!$D$3:$D$13))</f>
        <v/>
      </c>
      <c r="T842" s="66" t="str">
        <f>IFERROR(__xludf.DUMMYFUNCTION("IF(COUNTA(Q842:Q1673)=0,"""",IF(REGEXMATCH(INDEX(FILTER(Q$4:Q842,Q$4:Q842&lt;&gt;""""),ROWS(FILTER(Q$4:Q842,Q$4:Q842&lt;&gt;""""))),""^Sell_""),INDEX(FILTER(T$4:T841,Q$4:Q841&lt;&gt;""""),ROWS(FILTER(Q$4:Q841,Q$4:Q841&lt;&gt;""""))),$AD$5+S842))"),"")</f>
        <v/>
      </c>
      <c r="U842" s="10" t="str">
        <f>IFERROR(__xludf.DUMMYFUNCTION("IF(COUNTA(Q842:Q1673)=0,"""",IF(Q842="""",0,IF(REGEXMATCH(Q842,""^Sell_""),-ROUNDDOWN(ROUNDUP(INDEX(Upgrades!$C$3:$C$13,MATCH(SUBSTITUTE(Q842,""Sell_"",""""),Upgrades!$B$3:$B$13,0))*1.15^(COUNTIF(Q$4:Q841,SUBSTITUTE(Q842,""Sell_"",""""))-COUNTIF(Q$4:Q841,"&amp;"""Sell_""&amp;SUBSTITUTE(Q842,""Sell_"",""""))))/2),ROUNDUP(INDEX(Upgrades!$C$3:$C$13,MATCH(Q842,Upgrades!$B$3:$B$13,0))*1.15^(COUNTIF(Q$4:Q841,Q842)-COUNTIF(Q$4:Q841,""Sell_""&amp;Q842))))))"),"")</f>
        <v/>
      </c>
      <c r="V842" s="10" t="str">
        <f t="shared" si="11"/>
        <v/>
      </c>
      <c r="W842" s="68" t="str">
        <f t="shared" si="12"/>
        <v/>
      </c>
      <c r="X842" s="59" t="str">
        <f t="shared" si="13"/>
        <v/>
      </c>
      <c r="Y842" s="69" t="str">
        <f t="shared" si="14"/>
        <v/>
      </c>
      <c r="Z842" s="11"/>
    </row>
    <row r="843">
      <c r="A843" s="8"/>
      <c r="B843" s="56" t="str">
        <f t="shared" si="2"/>
        <v/>
      </c>
      <c r="C843" s="105"/>
      <c r="D843" s="10"/>
      <c r="E843" s="59" t="str">
        <f t="array" ref="E843">IF(COUNTA(C843:C1673)=0,"",SUM((COUNTIF(C$4:C843,Upgrades!$B$3:$B$13)-COUNTIF(C$4:C843,"Sell_"&amp;Upgrades!$B$3:$B$13))*Upgrades!$D$3:$D$13))</f>
        <v/>
      </c>
      <c r="F843" s="66" t="str">
        <f>IFERROR(__xludf.DUMMYFUNCTION("IF(COUNTA(C843:C1673)=0,"""",IF(REGEXMATCH(INDEX(FILTER(C$4:C843,C$4:C843&lt;&gt;""""),ROWS(FILTER(C$4:C843,C$4:C843&lt;&gt;""""))),""^Sell_""),INDEX(FILTER(F$4:F842,C$4:C842&lt;&gt;""""),ROWS(FILTER(C$4:C842,C$4:C842&lt;&gt;""""))),$AC$5+E843))"),"")</f>
        <v/>
      </c>
      <c r="G843" s="10" t="str">
        <f>IFERROR(__xludf.DUMMYFUNCTION("IF(COUNTA(C843:C1673)=0,"""",IF(C843="""",0,IF(REGEXMATCH(C843,""^Sell_""),-ROUNDDOWN(ROUNDUP(INDEX(Upgrades!$C$3:$C$13,MATCH(SUBSTITUTE(C843,""Sell_"",""""),Upgrades!$B$3:$B$13,0))*1.15^(COUNTIF(C$4:C842,SUBSTITUTE(C843,""Sell_"",""""))-COUNTIF(C$4:C842,"&amp;"""Sell_""&amp;SUBSTITUTE(C843,""Sell_"",""""))))/2),ROUNDUP(INDEX(Upgrades!$C$3:$C$13,MATCH(C843,Upgrades!$B$3:$B$13,0))*1.15^(COUNTIF(C$4:C842,C843)-COUNTIF(C$4:C842,""Sell_""&amp;C843))))))"),"")</f>
        <v/>
      </c>
      <c r="H843" s="10" t="str">
        <f t="shared" si="3"/>
        <v/>
      </c>
      <c r="I843" s="68" t="str">
        <f t="shared" si="4"/>
        <v/>
      </c>
      <c r="J843" s="59" t="str">
        <f t="shared" si="5"/>
        <v/>
      </c>
      <c r="K843" s="69" t="str">
        <f t="shared" si="6"/>
        <v/>
      </c>
      <c r="L843" s="60" t="str">
        <f t="shared" si="7"/>
        <v/>
      </c>
      <c r="M843" s="61" t="str">
        <f>IFERROR(__xludf.DUMMYFUNCTION("IFS(AND(COUNTA(C843:C1673)=0,COUNTA(Q843:Q1673)=0),"""",OR(AND(K843&gt;=1000000000,OR(Y843&gt;=1000000000,COUNTA(Q843:Q1673)=0)),OR(Y843&gt;=1000000000,AND(COUNTA(C843:C1673)=0,P$3=TRUE))),
ROUNDDOWN((AB$1-AC$1)*MAX(INDEX(T$4:T1673,MATCH(LARGE(FILTER(Y$4:Y1673,Y$4"&amp;":Y1673&lt;1000000000),1),Y$4:Y1673)),INDEX(F$4:F1673,MATCH(LARGE(FILTER(K$4:K1673,K$4:K1673&lt;1000000000),1),K$4:K1673)))),AND(K843&lt;1000000000,COUNTA(C843:C1673)&gt;0,P$3=FALSE),
ROUNDDOWN(INDEX(Y$4:Y1673,MATCH(LARGE(FILTER(W$4:W1673,W$4:W1673&lt;=I843),1),W$4:W1673"&amp;"))+(I843-LARGE(FILTER(W$4:W1673,W$4:W1673&lt;=I843),1))*INDEX(T$4:T1673,MATCH(LARGE(FILTER(W$4:W1673,W$4:W1673&lt;=I843),1),W$4:W1673))-K843),1,
ROUNDDOWN(Y843-INDEX(K$4:K1673,MATCH(LARGE(FILTER(I$4:I1673,I$4:I1673&lt;=W843),1),I$4:I1673))-(W843-LARGE(FILTER(I$4:I"&amp;"1673,I$4:I1673&lt;=W843),1))*INDEX(F$4:F1673,MATCH(LARGE(FILTER(I$4:I1673,I$4:I1673&lt;=W843),1),I$4:I1673))))"),"")</f>
        <v/>
      </c>
      <c r="N843" s="60" t="str">
        <f t="shared" si="8"/>
        <v/>
      </c>
      <c r="O843" s="61" t="str">
        <f t="shared" si="9"/>
        <v/>
      </c>
      <c r="P843" s="56" t="str">
        <f t="shared" si="10"/>
        <v/>
      </c>
      <c r="R843" s="10"/>
      <c r="S843" s="59" t="str">
        <f t="array" ref="S843">IF(COUNTA(Q843:Q1673)=0,"",SUM((COUNTIF(Q$4:Q843,Upgrades!$B$3:$B$13)-COUNTIF(Q$4:Q843,"Sell_"&amp;Upgrades!$B$3:$B$13))*Upgrades!$D$3:$D$13))</f>
        <v/>
      </c>
      <c r="T843" s="66" t="str">
        <f>IFERROR(__xludf.DUMMYFUNCTION("IF(COUNTA(Q843:Q1673)=0,"""",IF(REGEXMATCH(INDEX(FILTER(Q$4:Q843,Q$4:Q843&lt;&gt;""""),ROWS(FILTER(Q$4:Q843,Q$4:Q843&lt;&gt;""""))),""^Sell_""),INDEX(FILTER(T$4:T842,Q$4:Q842&lt;&gt;""""),ROWS(FILTER(Q$4:Q842,Q$4:Q842&lt;&gt;""""))),$AD$5+S843))"),"")</f>
        <v/>
      </c>
      <c r="U843" s="10" t="str">
        <f>IFERROR(__xludf.DUMMYFUNCTION("IF(COUNTA(Q843:Q1673)=0,"""",IF(Q843="""",0,IF(REGEXMATCH(Q843,""^Sell_""),-ROUNDDOWN(ROUNDUP(INDEX(Upgrades!$C$3:$C$13,MATCH(SUBSTITUTE(Q843,""Sell_"",""""),Upgrades!$B$3:$B$13,0))*1.15^(COUNTIF(Q$4:Q842,SUBSTITUTE(Q843,""Sell_"",""""))-COUNTIF(Q$4:Q842,"&amp;"""Sell_""&amp;SUBSTITUTE(Q843,""Sell_"",""""))))/2),ROUNDUP(INDEX(Upgrades!$C$3:$C$13,MATCH(Q843,Upgrades!$B$3:$B$13,0))*1.15^(COUNTIF(Q$4:Q842,Q843)-COUNTIF(Q$4:Q842,""Sell_""&amp;Q843))))))"),"")</f>
        <v/>
      </c>
      <c r="V843" s="10" t="str">
        <f t="shared" si="11"/>
        <v/>
      </c>
      <c r="W843" s="68" t="str">
        <f t="shared" si="12"/>
        <v/>
      </c>
      <c r="X843" s="59" t="str">
        <f t="shared" si="13"/>
        <v/>
      </c>
      <c r="Y843" s="69" t="str">
        <f t="shared" si="14"/>
        <v/>
      </c>
      <c r="Z843" s="11"/>
    </row>
    <row r="844">
      <c r="A844" s="8"/>
      <c r="B844" s="56" t="str">
        <f t="shared" si="2"/>
        <v/>
      </c>
      <c r="C844" s="105"/>
      <c r="D844" s="10"/>
      <c r="E844" s="59" t="str">
        <f t="array" ref="E844">IF(COUNTA(C844:C1673)=0,"",SUM((COUNTIF(C$4:C844,Upgrades!$B$3:$B$13)-COUNTIF(C$4:C844,"Sell_"&amp;Upgrades!$B$3:$B$13))*Upgrades!$D$3:$D$13))</f>
        <v/>
      </c>
      <c r="F844" s="66" t="str">
        <f>IFERROR(__xludf.DUMMYFUNCTION("IF(COUNTA(C844:C1673)=0,"""",IF(REGEXMATCH(INDEX(FILTER(C$4:C844,C$4:C844&lt;&gt;""""),ROWS(FILTER(C$4:C844,C$4:C844&lt;&gt;""""))),""^Sell_""),INDEX(FILTER(F$4:F843,C$4:C843&lt;&gt;""""),ROWS(FILTER(C$4:C843,C$4:C843&lt;&gt;""""))),$AC$5+E844))"),"")</f>
        <v/>
      </c>
      <c r="G844" s="10" t="str">
        <f>IFERROR(__xludf.DUMMYFUNCTION("IF(COUNTA(C844:C1673)=0,"""",IF(C844="""",0,IF(REGEXMATCH(C844,""^Sell_""),-ROUNDDOWN(ROUNDUP(INDEX(Upgrades!$C$3:$C$13,MATCH(SUBSTITUTE(C844,""Sell_"",""""),Upgrades!$B$3:$B$13,0))*1.15^(COUNTIF(C$4:C843,SUBSTITUTE(C844,""Sell_"",""""))-COUNTIF(C$4:C843,"&amp;"""Sell_""&amp;SUBSTITUTE(C844,""Sell_"",""""))))/2),ROUNDUP(INDEX(Upgrades!$C$3:$C$13,MATCH(C844,Upgrades!$B$3:$B$13,0))*1.15^(COUNTIF(C$4:C843,C844)-COUNTIF(C$4:C843,""Sell_""&amp;C844))))))"),"")</f>
        <v/>
      </c>
      <c r="H844" s="10" t="str">
        <f t="shared" si="3"/>
        <v/>
      </c>
      <c r="I844" s="68" t="str">
        <f t="shared" si="4"/>
        <v/>
      </c>
      <c r="J844" s="59" t="str">
        <f t="shared" si="5"/>
        <v/>
      </c>
      <c r="K844" s="69" t="str">
        <f t="shared" si="6"/>
        <v/>
      </c>
      <c r="L844" s="60" t="str">
        <f t="shared" si="7"/>
        <v/>
      </c>
      <c r="M844" s="61" t="str">
        <f>IFERROR(__xludf.DUMMYFUNCTION("IFS(AND(COUNTA(C844:C1673)=0,COUNTA(Q844:Q1673)=0),"""",OR(AND(K844&gt;=1000000000,OR(Y844&gt;=1000000000,COUNTA(Q844:Q1673)=0)),OR(Y844&gt;=1000000000,AND(COUNTA(C844:C1673)=0,P$3=TRUE))),
ROUNDDOWN((AB$1-AC$1)*MAX(INDEX(T$4:T1673,MATCH(LARGE(FILTER(Y$4:Y1673,Y$4"&amp;":Y1673&lt;1000000000),1),Y$4:Y1673)),INDEX(F$4:F1673,MATCH(LARGE(FILTER(K$4:K1673,K$4:K1673&lt;1000000000),1),K$4:K1673)))),AND(K844&lt;1000000000,COUNTA(C844:C1673)&gt;0,P$3=FALSE),
ROUNDDOWN(INDEX(Y$4:Y1673,MATCH(LARGE(FILTER(W$4:W1673,W$4:W1673&lt;=I844),1),W$4:W1673"&amp;"))+(I844-LARGE(FILTER(W$4:W1673,W$4:W1673&lt;=I844),1))*INDEX(T$4:T1673,MATCH(LARGE(FILTER(W$4:W1673,W$4:W1673&lt;=I844),1),W$4:W1673))-K844),1,
ROUNDDOWN(Y844-INDEX(K$4:K1673,MATCH(LARGE(FILTER(I$4:I1673,I$4:I1673&lt;=W844),1),I$4:I1673))-(W844-LARGE(FILTER(I$4:I"&amp;"1673,I$4:I1673&lt;=W844),1))*INDEX(F$4:F1673,MATCH(LARGE(FILTER(I$4:I1673,I$4:I1673&lt;=W844),1),I$4:I1673))))"),"")</f>
        <v/>
      </c>
      <c r="N844" s="60" t="str">
        <f t="shared" si="8"/>
        <v/>
      </c>
      <c r="O844" s="61" t="str">
        <f t="shared" si="9"/>
        <v/>
      </c>
      <c r="P844" s="56" t="str">
        <f t="shared" si="10"/>
        <v/>
      </c>
      <c r="R844" s="10"/>
      <c r="S844" s="59" t="str">
        <f t="array" ref="S844">IF(COUNTA(Q844:Q1673)=0,"",SUM((COUNTIF(Q$4:Q844,Upgrades!$B$3:$B$13)-COUNTIF(Q$4:Q844,"Sell_"&amp;Upgrades!$B$3:$B$13))*Upgrades!$D$3:$D$13))</f>
        <v/>
      </c>
      <c r="T844" s="66" t="str">
        <f>IFERROR(__xludf.DUMMYFUNCTION("IF(COUNTA(Q844:Q1673)=0,"""",IF(REGEXMATCH(INDEX(FILTER(Q$4:Q844,Q$4:Q844&lt;&gt;""""),ROWS(FILTER(Q$4:Q844,Q$4:Q844&lt;&gt;""""))),""^Sell_""),INDEX(FILTER(T$4:T843,Q$4:Q843&lt;&gt;""""),ROWS(FILTER(Q$4:Q843,Q$4:Q843&lt;&gt;""""))),$AD$5+S844))"),"")</f>
        <v/>
      </c>
      <c r="U844" s="10" t="str">
        <f>IFERROR(__xludf.DUMMYFUNCTION("IF(COUNTA(Q844:Q1673)=0,"""",IF(Q844="""",0,IF(REGEXMATCH(Q844,""^Sell_""),-ROUNDDOWN(ROUNDUP(INDEX(Upgrades!$C$3:$C$13,MATCH(SUBSTITUTE(Q844,""Sell_"",""""),Upgrades!$B$3:$B$13,0))*1.15^(COUNTIF(Q$4:Q843,SUBSTITUTE(Q844,""Sell_"",""""))-COUNTIF(Q$4:Q843,"&amp;"""Sell_""&amp;SUBSTITUTE(Q844,""Sell_"",""""))))/2),ROUNDUP(INDEX(Upgrades!$C$3:$C$13,MATCH(Q844,Upgrades!$B$3:$B$13,0))*1.15^(COUNTIF(Q$4:Q843,Q844)-COUNTIF(Q$4:Q843,""Sell_""&amp;Q844))))))"),"")</f>
        <v/>
      </c>
      <c r="V844" s="10" t="str">
        <f t="shared" si="11"/>
        <v/>
      </c>
      <c r="W844" s="68" t="str">
        <f t="shared" si="12"/>
        <v/>
      </c>
      <c r="X844" s="59" t="str">
        <f t="shared" si="13"/>
        <v/>
      </c>
      <c r="Y844" s="69" t="str">
        <f t="shared" si="14"/>
        <v/>
      </c>
      <c r="Z844" s="11"/>
    </row>
    <row r="845">
      <c r="A845" s="8"/>
      <c r="B845" s="56" t="str">
        <f t="shared" si="2"/>
        <v/>
      </c>
      <c r="C845" s="105"/>
      <c r="D845" s="10"/>
      <c r="E845" s="59" t="str">
        <f t="array" ref="E845">IF(COUNTA(C845:C1673)=0,"",SUM((COUNTIF(C$4:C845,Upgrades!$B$3:$B$13)-COUNTIF(C$4:C845,"Sell_"&amp;Upgrades!$B$3:$B$13))*Upgrades!$D$3:$D$13))</f>
        <v/>
      </c>
      <c r="F845" s="66" t="str">
        <f>IFERROR(__xludf.DUMMYFUNCTION("IF(COUNTA(C845:C1673)=0,"""",IF(REGEXMATCH(INDEX(FILTER(C$4:C845,C$4:C845&lt;&gt;""""),ROWS(FILTER(C$4:C845,C$4:C845&lt;&gt;""""))),""^Sell_""),INDEX(FILTER(F$4:F844,C$4:C844&lt;&gt;""""),ROWS(FILTER(C$4:C844,C$4:C844&lt;&gt;""""))),$AC$5+E845))"),"")</f>
        <v/>
      </c>
      <c r="G845" s="10" t="str">
        <f>IFERROR(__xludf.DUMMYFUNCTION("IF(COUNTA(C845:C1673)=0,"""",IF(C845="""",0,IF(REGEXMATCH(C845,""^Sell_""),-ROUNDDOWN(ROUNDUP(INDEX(Upgrades!$C$3:$C$13,MATCH(SUBSTITUTE(C845,""Sell_"",""""),Upgrades!$B$3:$B$13,0))*1.15^(COUNTIF(C$4:C844,SUBSTITUTE(C845,""Sell_"",""""))-COUNTIF(C$4:C844,"&amp;"""Sell_""&amp;SUBSTITUTE(C845,""Sell_"",""""))))/2),ROUNDUP(INDEX(Upgrades!$C$3:$C$13,MATCH(C845,Upgrades!$B$3:$B$13,0))*1.15^(COUNTIF(C$4:C844,C845)-COUNTIF(C$4:C844,""Sell_""&amp;C845))))))"),"")</f>
        <v/>
      </c>
      <c r="H845" s="10" t="str">
        <f t="shared" si="3"/>
        <v/>
      </c>
      <c r="I845" s="68" t="str">
        <f t="shared" si="4"/>
        <v/>
      </c>
      <c r="J845" s="59" t="str">
        <f t="shared" si="5"/>
        <v/>
      </c>
      <c r="K845" s="69" t="str">
        <f t="shared" si="6"/>
        <v/>
      </c>
      <c r="L845" s="60" t="str">
        <f t="shared" si="7"/>
        <v/>
      </c>
      <c r="M845" s="61" t="str">
        <f>IFERROR(__xludf.DUMMYFUNCTION("IFS(AND(COUNTA(C845:C1673)=0,COUNTA(Q845:Q1673)=0),"""",OR(AND(K845&gt;=1000000000,OR(Y845&gt;=1000000000,COUNTA(Q845:Q1673)=0)),OR(Y845&gt;=1000000000,AND(COUNTA(C845:C1673)=0,P$3=TRUE))),
ROUNDDOWN((AB$1-AC$1)*MAX(INDEX(T$4:T1673,MATCH(LARGE(FILTER(Y$4:Y1673,Y$4"&amp;":Y1673&lt;1000000000),1),Y$4:Y1673)),INDEX(F$4:F1673,MATCH(LARGE(FILTER(K$4:K1673,K$4:K1673&lt;1000000000),1),K$4:K1673)))),AND(K845&lt;1000000000,COUNTA(C845:C1673)&gt;0,P$3=FALSE),
ROUNDDOWN(INDEX(Y$4:Y1673,MATCH(LARGE(FILTER(W$4:W1673,W$4:W1673&lt;=I845),1),W$4:W1673"&amp;"))+(I845-LARGE(FILTER(W$4:W1673,W$4:W1673&lt;=I845),1))*INDEX(T$4:T1673,MATCH(LARGE(FILTER(W$4:W1673,W$4:W1673&lt;=I845),1),W$4:W1673))-K845),1,
ROUNDDOWN(Y845-INDEX(K$4:K1673,MATCH(LARGE(FILTER(I$4:I1673,I$4:I1673&lt;=W845),1),I$4:I1673))-(W845-LARGE(FILTER(I$4:I"&amp;"1673,I$4:I1673&lt;=W845),1))*INDEX(F$4:F1673,MATCH(LARGE(FILTER(I$4:I1673,I$4:I1673&lt;=W845),1),I$4:I1673))))"),"")</f>
        <v/>
      </c>
      <c r="N845" s="60" t="str">
        <f t="shared" si="8"/>
        <v/>
      </c>
      <c r="O845" s="61" t="str">
        <f t="shared" si="9"/>
        <v/>
      </c>
      <c r="P845" s="56" t="str">
        <f t="shared" si="10"/>
        <v/>
      </c>
      <c r="R845" s="10"/>
      <c r="S845" s="59" t="str">
        <f t="array" ref="S845">IF(COUNTA(Q845:Q1673)=0,"",SUM((COUNTIF(Q$4:Q845,Upgrades!$B$3:$B$13)-COUNTIF(Q$4:Q845,"Sell_"&amp;Upgrades!$B$3:$B$13))*Upgrades!$D$3:$D$13))</f>
        <v/>
      </c>
      <c r="T845" s="66" t="str">
        <f>IFERROR(__xludf.DUMMYFUNCTION("IF(COUNTA(Q845:Q1673)=0,"""",IF(REGEXMATCH(INDEX(FILTER(Q$4:Q845,Q$4:Q845&lt;&gt;""""),ROWS(FILTER(Q$4:Q845,Q$4:Q845&lt;&gt;""""))),""^Sell_""),INDEX(FILTER(T$4:T844,Q$4:Q844&lt;&gt;""""),ROWS(FILTER(Q$4:Q844,Q$4:Q844&lt;&gt;""""))),$AD$5+S845))"),"")</f>
        <v/>
      </c>
      <c r="U845" s="10" t="str">
        <f>IFERROR(__xludf.DUMMYFUNCTION("IF(COUNTA(Q845:Q1673)=0,"""",IF(Q845="""",0,IF(REGEXMATCH(Q845,""^Sell_""),-ROUNDDOWN(ROUNDUP(INDEX(Upgrades!$C$3:$C$13,MATCH(SUBSTITUTE(Q845,""Sell_"",""""),Upgrades!$B$3:$B$13,0))*1.15^(COUNTIF(Q$4:Q844,SUBSTITUTE(Q845,""Sell_"",""""))-COUNTIF(Q$4:Q844,"&amp;"""Sell_""&amp;SUBSTITUTE(Q845,""Sell_"",""""))))/2),ROUNDUP(INDEX(Upgrades!$C$3:$C$13,MATCH(Q845,Upgrades!$B$3:$B$13,0))*1.15^(COUNTIF(Q$4:Q844,Q845)-COUNTIF(Q$4:Q844,""Sell_""&amp;Q845))))))"),"")</f>
        <v/>
      </c>
      <c r="V845" s="10" t="str">
        <f t="shared" si="11"/>
        <v/>
      </c>
      <c r="W845" s="68" t="str">
        <f t="shared" si="12"/>
        <v/>
      </c>
      <c r="X845" s="59" t="str">
        <f t="shared" si="13"/>
        <v/>
      </c>
      <c r="Y845" s="69" t="str">
        <f t="shared" si="14"/>
        <v/>
      </c>
      <c r="Z845" s="11"/>
    </row>
    <row r="846">
      <c r="A846" s="8"/>
      <c r="B846" s="56" t="str">
        <f t="shared" si="2"/>
        <v/>
      </c>
      <c r="C846" s="105"/>
      <c r="D846" s="10"/>
      <c r="E846" s="59" t="str">
        <f t="array" ref="E846">IF(COUNTA(C846:C1673)=0,"",SUM((COUNTIF(C$4:C846,Upgrades!$B$3:$B$13)-COUNTIF(C$4:C846,"Sell_"&amp;Upgrades!$B$3:$B$13))*Upgrades!$D$3:$D$13))</f>
        <v/>
      </c>
      <c r="F846" s="66" t="str">
        <f>IFERROR(__xludf.DUMMYFUNCTION("IF(COUNTA(C846:C1673)=0,"""",IF(REGEXMATCH(INDEX(FILTER(C$4:C846,C$4:C846&lt;&gt;""""),ROWS(FILTER(C$4:C846,C$4:C846&lt;&gt;""""))),""^Sell_""),INDEX(FILTER(F$4:F845,C$4:C845&lt;&gt;""""),ROWS(FILTER(C$4:C845,C$4:C845&lt;&gt;""""))),$AC$5+E846))"),"")</f>
        <v/>
      </c>
      <c r="G846" s="10" t="str">
        <f>IFERROR(__xludf.DUMMYFUNCTION("IF(COUNTA(C846:C1673)=0,"""",IF(C846="""",0,IF(REGEXMATCH(C846,""^Sell_""),-ROUNDDOWN(ROUNDUP(INDEX(Upgrades!$C$3:$C$13,MATCH(SUBSTITUTE(C846,""Sell_"",""""),Upgrades!$B$3:$B$13,0))*1.15^(COUNTIF(C$4:C845,SUBSTITUTE(C846,""Sell_"",""""))-COUNTIF(C$4:C845,"&amp;"""Sell_""&amp;SUBSTITUTE(C846,""Sell_"",""""))))/2),ROUNDUP(INDEX(Upgrades!$C$3:$C$13,MATCH(C846,Upgrades!$B$3:$B$13,0))*1.15^(COUNTIF(C$4:C845,C846)-COUNTIF(C$4:C845,""Sell_""&amp;C846))))))"),"")</f>
        <v/>
      </c>
      <c r="H846" s="10" t="str">
        <f t="shared" si="3"/>
        <v/>
      </c>
      <c r="I846" s="68" t="str">
        <f t="shared" si="4"/>
        <v/>
      </c>
      <c r="J846" s="59" t="str">
        <f t="shared" si="5"/>
        <v/>
      </c>
      <c r="K846" s="69" t="str">
        <f t="shared" si="6"/>
        <v/>
      </c>
      <c r="L846" s="60" t="str">
        <f t="shared" si="7"/>
        <v/>
      </c>
      <c r="M846" s="61" t="str">
        <f>IFERROR(__xludf.DUMMYFUNCTION("IFS(AND(COUNTA(C846:C1673)=0,COUNTA(Q846:Q1673)=0),"""",OR(AND(K846&gt;=1000000000,OR(Y846&gt;=1000000000,COUNTA(Q846:Q1673)=0)),OR(Y846&gt;=1000000000,AND(COUNTA(C846:C1673)=0,P$3=TRUE))),
ROUNDDOWN((AB$1-AC$1)*MAX(INDEX(T$4:T1673,MATCH(LARGE(FILTER(Y$4:Y1673,Y$4"&amp;":Y1673&lt;1000000000),1),Y$4:Y1673)),INDEX(F$4:F1673,MATCH(LARGE(FILTER(K$4:K1673,K$4:K1673&lt;1000000000),1),K$4:K1673)))),AND(K846&lt;1000000000,COUNTA(C846:C1673)&gt;0,P$3=FALSE),
ROUNDDOWN(INDEX(Y$4:Y1673,MATCH(LARGE(FILTER(W$4:W1673,W$4:W1673&lt;=I846),1),W$4:W1673"&amp;"))+(I846-LARGE(FILTER(W$4:W1673,W$4:W1673&lt;=I846),1))*INDEX(T$4:T1673,MATCH(LARGE(FILTER(W$4:W1673,W$4:W1673&lt;=I846),1),W$4:W1673))-K846),1,
ROUNDDOWN(Y846-INDEX(K$4:K1673,MATCH(LARGE(FILTER(I$4:I1673,I$4:I1673&lt;=W846),1),I$4:I1673))-(W846-LARGE(FILTER(I$4:I"&amp;"1673,I$4:I1673&lt;=W846),1))*INDEX(F$4:F1673,MATCH(LARGE(FILTER(I$4:I1673,I$4:I1673&lt;=W846),1),I$4:I1673))))"),"")</f>
        <v/>
      </c>
      <c r="N846" s="60" t="str">
        <f t="shared" si="8"/>
        <v/>
      </c>
      <c r="O846" s="61" t="str">
        <f t="shared" si="9"/>
        <v/>
      </c>
      <c r="P846" s="56" t="str">
        <f t="shared" si="10"/>
        <v/>
      </c>
      <c r="R846" s="10"/>
      <c r="S846" s="59" t="str">
        <f t="array" ref="S846">IF(COUNTA(Q846:Q1673)=0,"",SUM((COUNTIF(Q$4:Q846,Upgrades!$B$3:$B$13)-COUNTIF(Q$4:Q846,"Sell_"&amp;Upgrades!$B$3:$B$13))*Upgrades!$D$3:$D$13))</f>
        <v/>
      </c>
      <c r="T846" s="66" t="str">
        <f>IFERROR(__xludf.DUMMYFUNCTION("IF(COUNTA(Q846:Q1673)=0,"""",IF(REGEXMATCH(INDEX(FILTER(Q$4:Q846,Q$4:Q846&lt;&gt;""""),ROWS(FILTER(Q$4:Q846,Q$4:Q846&lt;&gt;""""))),""^Sell_""),INDEX(FILTER(T$4:T845,Q$4:Q845&lt;&gt;""""),ROWS(FILTER(Q$4:Q845,Q$4:Q845&lt;&gt;""""))),$AD$5+S846))"),"")</f>
        <v/>
      </c>
      <c r="U846" s="10" t="str">
        <f>IFERROR(__xludf.DUMMYFUNCTION("IF(COUNTA(Q846:Q1673)=0,"""",IF(Q846="""",0,IF(REGEXMATCH(Q846,""^Sell_""),-ROUNDDOWN(ROUNDUP(INDEX(Upgrades!$C$3:$C$13,MATCH(SUBSTITUTE(Q846,""Sell_"",""""),Upgrades!$B$3:$B$13,0))*1.15^(COUNTIF(Q$4:Q845,SUBSTITUTE(Q846,""Sell_"",""""))-COUNTIF(Q$4:Q845,"&amp;"""Sell_""&amp;SUBSTITUTE(Q846,""Sell_"",""""))))/2),ROUNDUP(INDEX(Upgrades!$C$3:$C$13,MATCH(Q846,Upgrades!$B$3:$B$13,0))*1.15^(COUNTIF(Q$4:Q845,Q846)-COUNTIF(Q$4:Q845,""Sell_""&amp;Q846))))))"),"")</f>
        <v/>
      </c>
      <c r="V846" s="10" t="str">
        <f t="shared" si="11"/>
        <v/>
      </c>
      <c r="W846" s="68" t="str">
        <f t="shared" si="12"/>
        <v/>
      </c>
      <c r="X846" s="59" t="str">
        <f t="shared" si="13"/>
        <v/>
      </c>
      <c r="Y846" s="69" t="str">
        <f t="shared" si="14"/>
        <v/>
      </c>
      <c r="Z846" s="11"/>
    </row>
    <row r="847">
      <c r="A847" s="8"/>
      <c r="B847" s="56" t="str">
        <f t="shared" si="2"/>
        <v/>
      </c>
      <c r="C847" s="105"/>
      <c r="D847" s="10"/>
      <c r="E847" s="59" t="str">
        <f t="array" ref="E847">IF(COUNTA(C847:C1673)=0,"",SUM((COUNTIF(C$4:C847,Upgrades!$B$3:$B$13)-COUNTIF(C$4:C847,"Sell_"&amp;Upgrades!$B$3:$B$13))*Upgrades!$D$3:$D$13))</f>
        <v/>
      </c>
      <c r="F847" s="66" t="str">
        <f>IFERROR(__xludf.DUMMYFUNCTION("IF(COUNTA(C847:C1673)=0,"""",IF(REGEXMATCH(INDEX(FILTER(C$4:C847,C$4:C847&lt;&gt;""""),ROWS(FILTER(C$4:C847,C$4:C847&lt;&gt;""""))),""^Sell_""),INDEX(FILTER(F$4:F846,C$4:C846&lt;&gt;""""),ROWS(FILTER(C$4:C846,C$4:C846&lt;&gt;""""))),$AC$5+E847))"),"")</f>
        <v/>
      </c>
      <c r="G847" s="10" t="str">
        <f>IFERROR(__xludf.DUMMYFUNCTION("IF(COUNTA(C847:C1673)=0,"""",IF(C847="""",0,IF(REGEXMATCH(C847,""^Sell_""),-ROUNDDOWN(ROUNDUP(INDEX(Upgrades!$C$3:$C$13,MATCH(SUBSTITUTE(C847,""Sell_"",""""),Upgrades!$B$3:$B$13,0))*1.15^(COUNTIF(C$4:C846,SUBSTITUTE(C847,""Sell_"",""""))-COUNTIF(C$4:C846,"&amp;"""Sell_""&amp;SUBSTITUTE(C847,""Sell_"",""""))))/2),ROUNDUP(INDEX(Upgrades!$C$3:$C$13,MATCH(C847,Upgrades!$B$3:$B$13,0))*1.15^(COUNTIF(C$4:C846,C847)-COUNTIF(C$4:C846,""Sell_""&amp;C847))))))"),"")</f>
        <v/>
      </c>
      <c r="H847" s="10" t="str">
        <f t="shared" si="3"/>
        <v/>
      </c>
      <c r="I847" s="68" t="str">
        <f t="shared" si="4"/>
        <v/>
      </c>
      <c r="J847" s="59" t="str">
        <f t="shared" si="5"/>
        <v/>
      </c>
      <c r="K847" s="69" t="str">
        <f t="shared" si="6"/>
        <v/>
      </c>
      <c r="L847" s="60" t="str">
        <f t="shared" si="7"/>
        <v/>
      </c>
      <c r="M847" s="61" t="str">
        <f>IFERROR(__xludf.DUMMYFUNCTION("IFS(AND(COUNTA(C847:C1673)=0,COUNTA(Q847:Q1673)=0),"""",OR(AND(K847&gt;=1000000000,OR(Y847&gt;=1000000000,COUNTA(Q847:Q1673)=0)),OR(Y847&gt;=1000000000,AND(COUNTA(C847:C1673)=0,P$3=TRUE))),
ROUNDDOWN((AB$1-AC$1)*MAX(INDEX(T$4:T1673,MATCH(LARGE(FILTER(Y$4:Y1673,Y$4"&amp;":Y1673&lt;1000000000),1),Y$4:Y1673)),INDEX(F$4:F1673,MATCH(LARGE(FILTER(K$4:K1673,K$4:K1673&lt;1000000000),1),K$4:K1673)))),AND(K847&lt;1000000000,COUNTA(C847:C1673)&gt;0,P$3=FALSE),
ROUNDDOWN(INDEX(Y$4:Y1673,MATCH(LARGE(FILTER(W$4:W1673,W$4:W1673&lt;=I847),1),W$4:W1673"&amp;"))+(I847-LARGE(FILTER(W$4:W1673,W$4:W1673&lt;=I847),1))*INDEX(T$4:T1673,MATCH(LARGE(FILTER(W$4:W1673,W$4:W1673&lt;=I847),1),W$4:W1673))-K847),1,
ROUNDDOWN(Y847-INDEX(K$4:K1673,MATCH(LARGE(FILTER(I$4:I1673,I$4:I1673&lt;=W847),1),I$4:I1673))-(W847-LARGE(FILTER(I$4:I"&amp;"1673,I$4:I1673&lt;=W847),1))*INDEX(F$4:F1673,MATCH(LARGE(FILTER(I$4:I1673,I$4:I1673&lt;=W847),1),I$4:I1673))))"),"")</f>
        <v/>
      </c>
      <c r="N847" s="60" t="str">
        <f t="shared" si="8"/>
        <v/>
      </c>
      <c r="O847" s="61" t="str">
        <f t="shared" si="9"/>
        <v/>
      </c>
      <c r="P847" s="56" t="str">
        <f t="shared" si="10"/>
        <v/>
      </c>
      <c r="R847" s="10"/>
      <c r="S847" s="59" t="str">
        <f t="array" ref="S847">IF(COUNTA(Q847:Q1673)=0,"",SUM((COUNTIF(Q$4:Q847,Upgrades!$B$3:$B$13)-COUNTIF(Q$4:Q847,"Sell_"&amp;Upgrades!$B$3:$B$13))*Upgrades!$D$3:$D$13))</f>
        <v/>
      </c>
      <c r="T847" s="66" t="str">
        <f>IFERROR(__xludf.DUMMYFUNCTION("IF(COUNTA(Q847:Q1673)=0,"""",IF(REGEXMATCH(INDEX(FILTER(Q$4:Q847,Q$4:Q847&lt;&gt;""""),ROWS(FILTER(Q$4:Q847,Q$4:Q847&lt;&gt;""""))),""^Sell_""),INDEX(FILTER(T$4:T846,Q$4:Q846&lt;&gt;""""),ROWS(FILTER(Q$4:Q846,Q$4:Q846&lt;&gt;""""))),$AD$5+S847))"),"")</f>
        <v/>
      </c>
      <c r="U847" s="10" t="str">
        <f>IFERROR(__xludf.DUMMYFUNCTION("IF(COUNTA(Q847:Q1673)=0,"""",IF(Q847="""",0,IF(REGEXMATCH(Q847,""^Sell_""),-ROUNDDOWN(ROUNDUP(INDEX(Upgrades!$C$3:$C$13,MATCH(SUBSTITUTE(Q847,""Sell_"",""""),Upgrades!$B$3:$B$13,0))*1.15^(COUNTIF(Q$4:Q846,SUBSTITUTE(Q847,""Sell_"",""""))-COUNTIF(Q$4:Q846,"&amp;"""Sell_""&amp;SUBSTITUTE(Q847,""Sell_"",""""))))/2),ROUNDUP(INDEX(Upgrades!$C$3:$C$13,MATCH(Q847,Upgrades!$B$3:$B$13,0))*1.15^(COUNTIF(Q$4:Q846,Q847)-COUNTIF(Q$4:Q846,""Sell_""&amp;Q847))))))"),"")</f>
        <v/>
      </c>
      <c r="V847" s="10" t="str">
        <f t="shared" si="11"/>
        <v/>
      </c>
      <c r="W847" s="68" t="str">
        <f t="shared" si="12"/>
        <v/>
      </c>
      <c r="X847" s="59" t="str">
        <f t="shared" si="13"/>
        <v/>
      </c>
      <c r="Y847" s="69" t="str">
        <f t="shared" si="14"/>
        <v/>
      </c>
      <c r="Z847" s="11"/>
    </row>
    <row r="848">
      <c r="A848" s="8"/>
      <c r="B848" s="56" t="str">
        <f t="shared" si="2"/>
        <v/>
      </c>
      <c r="C848" s="105"/>
      <c r="D848" s="10"/>
      <c r="E848" s="59" t="str">
        <f t="array" ref="E848">IF(COUNTA(C848:C1673)=0,"",SUM((COUNTIF(C$4:C848,Upgrades!$B$3:$B$13)-COUNTIF(C$4:C848,"Sell_"&amp;Upgrades!$B$3:$B$13))*Upgrades!$D$3:$D$13))</f>
        <v/>
      </c>
      <c r="F848" s="66" t="str">
        <f>IFERROR(__xludf.DUMMYFUNCTION("IF(COUNTA(C848:C1673)=0,"""",IF(REGEXMATCH(INDEX(FILTER(C$4:C848,C$4:C848&lt;&gt;""""),ROWS(FILTER(C$4:C848,C$4:C848&lt;&gt;""""))),""^Sell_""),INDEX(FILTER(F$4:F847,C$4:C847&lt;&gt;""""),ROWS(FILTER(C$4:C847,C$4:C847&lt;&gt;""""))),$AC$5+E848))"),"")</f>
        <v/>
      </c>
      <c r="G848" s="10" t="str">
        <f>IFERROR(__xludf.DUMMYFUNCTION("IF(COUNTA(C848:C1673)=0,"""",IF(C848="""",0,IF(REGEXMATCH(C848,""^Sell_""),-ROUNDDOWN(ROUNDUP(INDEX(Upgrades!$C$3:$C$13,MATCH(SUBSTITUTE(C848,""Sell_"",""""),Upgrades!$B$3:$B$13,0))*1.15^(COUNTIF(C$4:C847,SUBSTITUTE(C848,""Sell_"",""""))-COUNTIF(C$4:C847,"&amp;"""Sell_""&amp;SUBSTITUTE(C848,""Sell_"",""""))))/2),ROUNDUP(INDEX(Upgrades!$C$3:$C$13,MATCH(C848,Upgrades!$B$3:$B$13,0))*1.15^(COUNTIF(C$4:C847,C848)-COUNTIF(C$4:C847,""Sell_""&amp;C848))))))"),"")</f>
        <v/>
      </c>
      <c r="H848" s="10" t="str">
        <f t="shared" si="3"/>
        <v/>
      </c>
      <c r="I848" s="68" t="str">
        <f t="shared" si="4"/>
        <v/>
      </c>
      <c r="J848" s="59" t="str">
        <f t="shared" si="5"/>
        <v/>
      </c>
      <c r="K848" s="69" t="str">
        <f t="shared" si="6"/>
        <v/>
      </c>
      <c r="L848" s="60" t="str">
        <f t="shared" si="7"/>
        <v/>
      </c>
      <c r="M848" s="61" t="str">
        <f>IFERROR(__xludf.DUMMYFUNCTION("IFS(AND(COUNTA(C848:C1673)=0,COUNTA(Q848:Q1673)=0),"""",OR(AND(K848&gt;=1000000000,OR(Y848&gt;=1000000000,COUNTA(Q848:Q1673)=0)),OR(Y848&gt;=1000000000,AND(COUNTA(C848:C1673)=0,P$3=TRUE))),
ROUNDDOWN((AB$1-AC$1)*MAX(INDEX(T$4:T1673,MATCH(LARGE(FILTER(Y$4:Y1673,Y$4"&amp;":Y1673&lt;1000000000),1),Y$4:Y1673)),INDEX(F$4:F1673,MATCH(LARGE(FILTER(K$4:K1673,K$4:K1673&lt;1000000000),1),K$4:K1673)))),AND(K848&lt;1000000000,COUNTA(C848:C1673)&gt;0,P$3=FALSE),
ROUNDDOWN(INDEX(Y$4:Y1673,MATCH(LARGE(FILTER(W$4:W1673,W$4:W1673&lt;=I848),1),W$4:W1673"&amp;"))+(I848-LARGE(FILTER(W$4:W1673,W$4:W1673&lt;=I848),1))*INDEX(T$4:T1673,MATCH(LARGE(FILTER(W$4:W1673,W$4:W1673&lt;=I848),1),W$4:W1673))-K848),1,
ROUNDDOWN(Y848-INDEX(K$4:K1673,MATCH(LARGE(FILTER(I$4:I1673,I$4:I1673&lt;=W848),1),I$4:I1673))-(W848-LARGE(FILTER(I$4:I"&amp;"1673,I$4:I1673&lt;=W848),1))*INDEX(F$4:F1673,MATCH(LARGE(FILTER(I$4:I1673,I$4:I1673&lt;=W848),1),I$4:I1673))))"),"")</f>
        <v/>
      </c>
      <c r="N848" s="60" t="str">
        <f t="shared" si="8"/>
        <v/>
      </c>
      <c r="O848" s="61" t="str">
        <f t="shared" si="9"/>
        <v/>
      </c>
      <c r="P848" s="56" t="str">
        <f t="shared" si="10"/>
        <v/>
      </c>
      <c r="R848" s="10"/>
      <c r="S848" s="59" t="str">
        <f t="array" ref="S848">IF(COUNTA(Q848:Q1673)=0,"",SUM((COUNTIF(Q$4:Q848,Upgrades!$B$3:$B$13)-COUNTIF(Q$4:Q848,"Sell_"&amp;Upgrades!$B$3:$B$13))*Upgrades!$D$3:$D$13))</f>
        <v/>
      </c>
      <c r="T848" s="66" t="str">
        <f>IFERROR(__xludf.DUMMYFUNCTION("IF(COUNTA(Q848:Q1673)=0,"""",IF(REGEXMATCH(INDEX(FILTER(Q$4:Q848,Q$4:Q848&lt;&gt;""""),ROWS(FILTER(Q$4:Q848,Q$4:Q848&lt;&gt;""""))),""^Sell_""),INDEX(FILTER(T$4:T847,Q$4:Q847&lt;&gt;""""),ROWS(FILTER(Q$4:Q847,Q$4:Q847&lt;&gt;""""))),$AD$5+S848))"),"")</f>
        <v/>
      </c>
      <c r="U848" s="10" t="str">
        <f>IFERROR(__xludf.DUMMYFUNCTION("IF(COUNTA(Q848:Q1673)=0,"""",IF(Q848="""",0,IF(REGEXMATCH(Q848,""^Sell_""),-ROUNDDOWN(ROUNDUP(INDEX(Upgrades!$C$3:$C$13,MATCH(SUBSTITUTE(Q848,""Sell_"",""""),Upgrades!$B$3:$B$13,0))*1.15^(COUNTIF(Q$4:Q847,SUBSTITUTE(Q848,""Sell_"",""""))-COUNTIF(Q$4:Q847,"&amp;"""Sell_""&amp;SUBSTITUTE(Q848,""Sell_"",""""))))/2),ROUNDUP(INDEX(Upgrades!$C$3:$C$13,MATCH(Q848,Upgrades!$B$3:$B$13,0))*1.15^(COUNTIF(Q$4:Q847,Q848)-COUNTIF(Q$4:Q847,""Sell_""&amp;Q848))))))"),"")</f>
        <v/>
      </c>
      <c r="V848" s="10" t="str">
        <f t="shared" si="11"/>
        <v/>
      </c>
      <c r="W848" s="68" t="str">
        <f t="shared" si="12"/>
        <v/>
      </c>
      <c r="X848" s="59" t="str">
        <f t="shared" si="13"/>
        <v/>
      </c>
      <c r="Y848" s="69" t="str">
        <f t="shared" si="14"/>
        <v/>
      </c>
      <c r="Z848" s="11"/>
    </row>
    <row r="849">
      <c r="A849" s="8"/>
      <c r="B849" s="56" t="str">
        <f t="shared" si="2"/>
        <v/>
      </c>
      <c r="C849" s="105"/>
      <c r="D849" s="10"/>
      <c r="E849" s="59" t="str">
        <f t="array" ref="E849">IF(COUNTA(C849:C1673)=0,"",SUM((COUNTIF(C$4:C849,Upgrades!$B$3:$B$13)-COUNTIF(C$4:C849,"Sell_"&amp;Upgrades!$B$3:$B$13))*Upgrades!$D$3:$D$13))</f>
        <v/>
      </c>
      <c r="F849" s="66" t="str">
        <f>IFERROR(__xludf.DUMMYFUNCTION("IF(COUNTA(C849:C1673)=0,"""",IF(REGEXMATCH(INDEX(FILTER(C$4:C849,C$4:C849&lt;&gt;""""),ROWS(FILTER(C$4:C849,C$4:C849&lt;&gt;""""))),""^Sell_""),INDEX(FILTER(F$4:F848,C$4:C848&lt;&gt;""""),ROWS(FILTER(C$4:C848,C$4:C848&lt;&gt;""""))),$AC$5+E849))"),"")</f>
        <v/>
      </c>
      <c r="G849" s="10" t="str">
        <f>IFERROR(__xludf.DUMMYFUNCTION("IF(COUNTA(C849:C1673)=0,"""",IF(C849="""",0,IF(REGEXMATCH(C849,""^Sell_""),-ROUNDDOWN(ROUNDUP(INDEX(Upgrades!$C$3:$C$13,MATCH(SUBSTITUTE(C849,""Sell_"",""""),Upgrades!$B$3:$B$13,0))*1.15^(COUNTIF(C$4:C848,SUBSTITUTE(C849,""Sell_"",""""))-COUNTIF(C$4:C848,"&amp;"""Sell_""&amp;SUBSTITUTE(C849,""Sell_"",""""))))/2),ROUNDUP(INDEX(Upgrades!$C$3:$C$13,MATCH(C849,Upgrades!$B$3:$B$13,0))*1.15^(COUNTIF(C$4:C848,C849)-COUNTIF(C$4:C848,""Sell_""&amp;C849))))))"),"")</f>
        <v/>
      </c>
      <c r="H849" s="10" t="str">
        <f t="shared" si="3"/>
        <v/>
      </c>
      <c r="I849" s="68" t="str">
        <f t="shared" si="4"/>
        <v/>
      </c>
      <c r="J849" s="59" t="str">
        <f t="shared" si="5"/>
        <v/>
      </c>
      <c r="K849" s="69" t="str">
        <f t="shared" si="6"/>
        <v/>
      </c>
      <c r="L849" s="60" t="str">
        <f t="shared" si="7"/>
        <v/>
      </c>
      <c r="M849" s="61" t="str">
        <f>IFERROR(__xludf.DUMMYFUNCTION("IFS(AND(COUNTA(C849:C1673)=0,COUNTA(Q849:Q1673)=0),"""",OR(AND(K849&gt;=1000000000,OR(Y849&gt;=1000000000,COUNTA(Q849:Q1673)=0)),OR(Y849&gt;=1000000000,AND(COUNTA(C849:C1673)=0,P$3=TRUE))),
ROUNDDOWN((AB$1-AC$1)*MAX(INDEX(T$4:T1673,MATCH(LARGE(FILTER(Y$4:Y1673,Y$4"&amp;":Y1673&lt;1000000000),1),Y$4:Y1673)),INDEX(F$4:F1673,MATCH(LARGE(FILTER(K$4:K1673,K$4:K1673&lt;1000000000),1),K$4:K1673)))),AND(K849&lt;1000000000,COUNTA(C849:C1673)&gt;0,P$3=FALSE),
ROUNDDOWN(INDEX(Y$4:Y1673,MATCH(LARGE(FILTER(W$4:W1673,W$4:W1673&lt;=I849),1),W$4:W1673"&amp;"))+(I849-LARGE(FILTER(W$4:W1673,W$4:W1673&lt;=I849),1))*INDEX(T$4:T1673,MATCH(LARGE(FILTER(W$4:W1673,W$4:W1673&lt;=I849),1),W$4:W1673))-K849),1,
ROUNDDOWN(Y849-INDEX(K$4:K1673,MATCH(LARGE(FILTER(I$4:I1673,I$4:I1673&lt;=W849),1),I$4:I1673))-(W849-LARGE(FILTER(I$4:I"&amp;"1673,I$4:I1673&lt;=W849),1))*INDEX(F$4:F1673,MATCH(LARGE(FILTER(I$4:I1673,I$4:I1673&lt;=W849),1),I$4:I1673))))"),"")</f>
        <v/>
      </c>
      <c r="N849" s="60" t="str">
        <f t="shared" si="8"/>
        <v/>
      </c>
      <c r="O849" s="61" t="str">
        <f t="shared" si="9"/>
        <v/>
      </c>
      <c r="P849" s="56" t="str">
        <f t="shared" si="10"/>
        <v/>
      </c>
      <c r="R849" s="10"/>
      <c r="S849" s="59" t="str">
        <f t="array" ref="S849">IF(COUNTA(Q849:Q1673)=0,"",SUM((COUNTIF(Q$4:Q849,Upgrades!$B$3:$B$13)-COUNTIF(Q$4:Q849,"Sell_"&amp;Upgrades!$B$3:$B$13))*Upgrades!$D$3:$D$13))</f>
        <v/>
      </c>
      <c r="T849" s="66" t="str">
        <f>IFERROR(__xludf.DUMMYFUNCTION("IF(COUNTA(Q849:Q1673)=0,"""",IF(REGEXMATCH(INDEX(FILTER(Q$4:Q849,Q$4:Q849&lt;&gt;""""),ROWS(FILTER(Q$4:Q849,Q$4:Q849&lt;&gt;""""))),""^Sell_""),INDEX(FILTER(T$4:T848,Q$4:Q848&lt;&gt;""""),ROWS(FILTER(Q$4:Q848,Q$4:Q848&lt;&gt;""""))),$AD$5+S849))"),"")</f>
        <v/>
      </c>
      <c r="U849" s="10" t="str">
        <f>IFERROR(__xludf.DUMMYFUNCTION("IF(COUNTA(Q849:Q1673)=0,"""",IF(Q849="""",0,IF(REGEXMATCH(Q849,""^Sell_""),-ROUNDDOWN(ROUNDUP(INDEX(Upgrades!$C$3:$C$13,MATCH(SUBSTITUTE(Q849,""Sell_"",""""),Upgrades!$B$3:$B$13,0))*1.15^(COUNTIF(Q$4:Q848,SUBSTITUTE(Q849,""Sell_"",""""))-COUNTIF(Q$4:Q848,"&amp;"""Sell_""&amp;SUBSTITUTE(Q849,""Sell_"",""""))))/2),ROUNDUP(INDEX(Upgrades!$C$3:$C$13,MATCH(Q849,Upgrades!$B$3:$B$13,0))*1.15^(COUNTIF(Q$4:Q848,Q849)-COUNTIF(Q$4:Q848,""Sell_""&amp;Q849))))))"),"")</f>
        <v/>
      </c>
      <c r="V849" s="10" t="str">
        <f t="shared" si="11"/>
        <v/>
      </c>
      <c r="W849" s="68" t="str">
        <f t="shared" si="12"/>
        <v/>
      </c>
      <c r="X849" s="59" t="str">
        <f t="shared" si="13"/>
        <v/>
      </c>
      <c r="Y849" s="69" t="str">
        <f t="shared" si="14"/>
        <v/>
      </c>
      <c r="Z849" s="11"/>
    </row>
    <row r="850">
      <c r="A850" s="8"/>
      <c r="B850" s="56" t="str">
        <f t="shared" si="2"/>
        <v/>
      </c>
      <c r="C850" s="105"/>
      <c r="D850" s="10"/>
      <c r="E850" s="59" t="str">
        <f t="array" ref="E850">IF(COUNTA(C850:C1673)=0,"",SUM((COUNTIF(C$4:C850,Upgrades!$B$3:$B$13)-COUNTIF(C$4:C850,"Sell_"&amp;Upgrades!$B$3:$B$13))*Upgrades!$D$3:$D$13))</f>
        <v/>
      </c>
      <c r="F850" s="66" t="str">
        <f>IFERROR(__xludf.DUMMYFUNCTION("IF(COUNTA(C850:C1673)=0,"""",IF(REGEXMATCH(INDEX(FILTER(C$4:C850,C$4:C850&lt;&gt;""""),ROWS(FILTER(C$4:C850,C$4:C850&lt;&gt;""""))),""^Sell_""),INDEX(FILTER(F$4:F849,C$4:C849&lt;&gt;""""),ROWS(FILTER(C$4:C849,C$4:C849&lt;&gt;""""))),$AC$5+E850))"),"")</f>
        <v/>
      </c>
      <c r="G850" s="10" t="str">
        <f>IFERROR(__xludf.DUMMYFUNCTION("IF(COUNTA(C850:C1673)=0,"""",IF(C850="""",0,IF(REGEXMATCH(C850,""^Sell_""),-ROUNDDOWN(ROUNDUP(INDEX(Upgrades!$C$3:$C$13,MATCH(SUBSTITUTE(C850,""Sell_"",""""),Upgrades!$B$3:$B$13,0))*1.15^(COUNTIF(C$4:C849,SUBSTITUTE(C850,""Sell_"",""""))-COUNTIF(C$4:C849,"&amp;"""Sell_""&amp;SUBSTITUTE(C850,""Sell_"",""""))))/2),ROUNDUP(INDEX(Upgrades!$C$3:$C$13,MATCH(C850,Upgrades!$B$3:$B$13,0))*1.15^(COUNTIF(C$4:C849,C850)-COUNTIF(C$4:C849,""Sell_""&amp;C850))))))"),"")</f>
        <v/>
      </c>
      <c r="H850" s="10" t="str">
        <f t="shared" si="3"/>
        <v/>
      </c>
      <c r="I850" s="68" t="str">
        <f t="shared" si="4"/>
        <v/>
      </c>
      <c r="J850" s="59" t="str">
        <f t="shared" si="5"/>
        <v/>
      </c>
      <c r="K850" s="69" t="str">
        <f t="shared" si="6"/>
        <v/>
      </c>
      <c r="L850" s="60" t="str">
        <f t="shared" si="7"/>
        <v/>
      </c>
      <c r="M850" s="61" t="str">
        <f>IFERROR(__xludf.DUMMYFUNCTION("IFS(AND(COUNTA(C850:C1673)=0,COUNTA(Q850:Q1673)=0),"""",OR(AND(K850&gt;=1000000000,OR(Y850&gt;=1000000000,COUNTA(Q850:Q1673)=0)),OR(Y850&gt;=1000000000,AND(COUNTA(C850:C1673)=0,P$3=TRUE))),
ROUNDDOWN((AB$1-AC$1)*MAX(INDEX(T$4:T1673,MATCH(LARGE(FILTER(Y$4:Y1673,Y$4"&amp;":Y1673&lt;1000000000),1),Y$4:Y1673)),INDEX(F$4:F1673,MATCH(LARGE(FILTER(K$4:K1673,K$4:K1673&lt;1000000000),1),K$4:K1673)))),AND(K850&lt;1000000000,COUNTA(C850:C1673)&gt;0,P$3=FALSE),
ROUNDDOWN(INDEX(Y$4:Y1673,MATCH(LARGE(FILTER(W$4:W1673,W$4:W1673&lt;=I850),1),W$4:W1673"&amp;"))+(I850-LARGE(FILTER(W$4:W1673,W$4:W1673&lt;=I850),1))*INDEX(T$4:T1673,MATCH(LARGE(FILTER(W$4:W1673,W$4:W1673&lt;=I850),1),W$4:W1673))-K850),1,
ROUNDDOWN(Y850-INDEX(K$4:K1673,MATCH(LARGE(FILTER(I$4:I1673,I$4:I1673&lt;=W850),1),I$4:I1673))-(W850-LARGE(FILTER(I$4:I"&amp;"1673,I$4:I1673&lt;=W850),1))*INDEX(F$4:F1673,MATCH(LARGE(FILTER(I$4:I1673,I$4:I1673&lt;=W850),1),I$4:I1673))))"),"")</f>
        <v/>
      </c>
      <c r="N850" s="60" t="str">
        <f t="shared" si="8"/>
        <v/>
      </c>
      <c r="O850" s="61" t="str">
        <f t="shared" si="9"/>
        <v/>
      </c>
      <c r="P850" s="56" t="str">
        <f t="shared" si="10"/>
        <v/>
      </c>
      <c r="R850" s="10"/>
      <c r="S850" s="59" t="str">
        <f t="array" ref="S850">IF(COUNTA(Q850:Q1673)=0,"",SUM((COUNTIF(Q$4:Q850,Upgrades!$B$3:$B$13)-COUNTIF(Q$4:Q850,"Sell_"&amp;Upgrades!$B$3:$B$13))*Upgrades!$D$3:$D$13))</f>
        <v/>
      </c>
      <c r="T850" s="66" t="str">
        <f>IFERROR(__xludf.DUMMYFUNCTION("IF(COUNTA(Q850:Q1673)=0,"""",IF(REGEXMATCH(INDEX(FILTER(Q$4:Q850,Q$4:Q850&lt;&gt;""""),ROWS(FILTER(Q$4:Q850,Q$4:Q850&lt;&gt;""""))),""^Sell_""),INDEX(FILTER(T$4:T849,Q$4:Q849&lt;&gt;""""),ROWS(FILTER(Q$4:Q849,Q$4:Q849&lt;&gt;""""))),$AD$5+S850))"),"")</f>
        <v/>
      </c>
      <c r="U850" s="10" t="str">
        <f>IFERROR(__xludf.DUMMYFUNCTION("IF(COUNTA(Q850:Q1673)=0,"""",IF(Q850="""",0,IF(REGEXMATCH(Q850,""^Sell_""),-ROUNDDOWN(ROUNDUP(INDEX(Upgrades!$C$3:$C$13,MATCH(SUBSTITUTE(Q850,""Sell_"",""""),Upgrades!$B$3:$B$13,0))*1.15^(COUNTIF(Q$4:Q849,SUBSTITUTE(Q850,""Sell_"",""""))-COUNTIF(Q$4:Q849,"&amp;"""Sell_""&amp;SUBSTITUTE(Q850,""Sell_"",""""))))/2),ROUNDUP(INDEX(Upgrades!$C$3:$C$13,MATCH(Q850,Upgrades!$B$3:$B$13,0))*1.15^(COUNTIF(Q$4:Q849,Q850)-COUNTIF(Q$4:Q849,""Sell_""&amp;Q850))))))"),"")</f>
        <v/>
      </c>
      <c r="V850" s="10" t="str">
        <f t="shared" si="11"/>
        <v/>
      </c>
      <c r="W850" s="68" t="str">
        <f t="shared" si="12"/>
        <v/>
      </c>
      <c r="X850" s="59" t="str">
        <f t="shared" si="13"/>
        <v/>
      </c>
      <c r="Y850" s="69" t="str">
        <f t="shared" si="14"/>
        <v/>
      </c>
      <c r="Z850" s="11"/>
    </row>
    <row r="851">
      <c r="A851" s="8"/>
      <c r="B851" s="56" t="str">
        <f t="shared" si="2"/>
        <v/>
      </c>
      <c r="C851" s="105"/>
      <c r="D851" s="10"/>
      <c r="E851" s="59" t="str">
        <f t="array" ref="E851">IF(COUNTA(C851:C1673)=0,"",SUM((COUNTIF(C$4:C851,Upgrades!$B$3:$B$13)-COUNTIF(C$4:C851,"Sell_"&amp;Upgrades!$B$3:$B$13))*Upgrades!$D$3:$D$13))</f>
        <v/>
      </c>
      <c r="F851" s="66" t="str">
        <f>IFERROR(__xludf.DUMMYFUNCTION("IF(COUNTA(C851:C1673)=0,"""",IF(REGEXMATCH(INDEX(FILTER(C$4:C851,C$4:C851&lt;&gt;""""),ROWS(FILTER(C$4:C851,C$4:C851&lt;&gt;""""))),""^Sell_""),INDEX(FILTER(F$4:F850,C$4:C850&lt;&gt;""""),ROWS(FILTER(C$4:C850,C$4:C850&lt;&gt;""""))),$AC$5+E851))"),"")</f>
        <v/>
      </c>
      <c r="G851" s="10" t="str">
        <f>IFERROR(__xludf.DUMMYFUNCTION("IF(COUNTA(C851:C1673)=0,"""",IF(C851="""",0,IF(REGEXMATCH(C851,""^Sell_""),-ROUNDDOWN(ROUNDUP(INDEX(Upgrades!$C$3:$C$13,MATCH(SUBSTITUTE(C851,""Sell_"",""""),Upgrades!$B$3:$B$13,0))*1.15^(COUNTIF(C$4:C850,SUBSTITUTE(C851,""Sell_"",""""))-COUNTIF(C$4:C850,"&amp;"""Sell_""&amp;SUBSTITUTE(C851,""Sell_"",""""))))/2),ROUNDUP(INDEX(Upgrades!$C$3:$C$13,MATCH(C851,Upgrades!$B$3:$B$13,0))*1.15^(COUNTIF(C$4:C850,C851)-COUNTIF(C$4:C850,""Sell_""&amp;C851))))))"),"")</f>
        <v/>
      </c>
      <c r="H851" s="10" t="str">
        <f t="shared" si="3"/>
        <v/>
      </c>
      <c r="I851" s="68" t="str">
        <f t="shared" si="4"/>
        <v/>
      </c>
      <c r="J851" s="59" t="str">
        <f t="shared" si="5"/>
        <v/>
      </c>
      <c r="K851" s="69" t="str">
        <f t="shared" si="6"/>
        <v/>
      </c>
      <c r="L851" s="60" t="str">
        <f t="shared" si="7"/>
        <v/>
      </c>
      <c r="M851" s="61" t="str">
        <f>IFERROR(__xludf.DUMMYFUNCTION("IFS(AND(COUNTA(C851:C1673)=0,COUNTA(Q851:Q1673)=0),"""",OR(AND(K851&gt;=1000000000,OR(Y851&gt;=1000000000,COUNTA(Q851:Q1673)=0)),OR(Y851&gt;=1000000000,AND(COUNTA(C851:C1673)=0,P$3=TRUE))),
ROUNDDOWN((AB$1-AC$1)*MAX(INDEX(T$4:T1673,MATCH(LARGE(FILTER(Y$4:Y1673,Y$4"&amp;":Y1673&lt;1000000000),1),Y$4:Y1673)),INDEX(F$4:F1673,MATCH(LARGE(FILTER(K$4:K1673,K$4:K1673&lt;1000000000),1),K$4:K1673)))),AND(K851&lt;1000000000,COUNTA(C851:C1673)&gt;0,P$3=FALSE),
ROUNDDOWN(INDEX(Y$4:Y1673,MATCH(LARGE(FILTER(W$4:W1673,W$4:W1673&lt;=I851),1),W$4:W1673"&amp;"))+(I851-LARGE(FILTER(W$4:W1673,W$4:W1673&lt;=I851),1))*INDEX(T$4:T1673,MATCH(LARGE(FILTER(W$4:W1673,W$4:W1673&lt;=I851),1),W$4:W1673))-K851),1,
ROUNDDOWN(Y851-INDEX(K$4:K1673,MATCH(LARGE(FILTER(I$4:I1673,I$4:I1673&lt;=W851),1),I$4:I1673))-(W851-LARGE(FILTER(I$4:I"&amp;"1673,I$4:I1673&lt;=W851),1))*INDEX(F$4:F1673,MATCH(LARGE(FILTER(I$4:I1673,I$4:I1673&lt;=W851),1),I$4:I1673))))"),"")</f>
        <v/>
      </c>
      <c r="N851" s="60" t="str">
        <f t="shared" si="8"/>
        <v/>
      </c>
      <c r="O851" s="61" t="str">
        <f t="shared" si="9"/>
        <v/>
      </c>
      <c r="P851" s="56" t="str">
        <f t="shared" si="10"/>
        <v/>
      </c>
      <c r="R851" s="10"/>
      <c r="S851" s="59" t="str">
        <f t="array" ref="S851">IF(COUNTA(Q851:Q1673)=0,"",SUM((COUNTIF(Q$4:Q851,Upgrades!$B$3:$B$13)-COUNTIF(Q$4:Q851,"Sell_"&amp;Upgrades!$B$3:$B$13))*Upgrades!$D$3:$D$13))</f>
        <v/>
      </c>
      <c r="T851" s="66" t="str">
        <f>IFERROR(__xludf.DUMMYFUNCTION("IF(COUNTA(Q851:Q1673)=0,"""",IF(REGEXMATCH(INDEX(FILTER(Q$4:Q851,Q$4:Q851&lt;&gt;""""),ROWS(FILTER(Q$4:Q851,Q$4:Q851&lt;&gt;""""))),""^Sell_""),INDEX(FILTER(T$4:T850,Q$4:Q850&lt;&gt;""""),ROWS(FILTER(Q$4:Q850,Q$4:Q850&lt;&gt;""""))),$AD$5+S851))"),"")</f>
        <v/>
      </c>
      <c r="U851" s="10" t="str">
        <f>IFERROR(__xludf.DUMMYFUNCTION("IF(COUNTA(Q851:Q1673)=0,"""",IF(Q851="""",0,IF(REGEXMATCH(Q851,""^Sell_""),-ROUNDDOWN(ROUNDUP(INDEX(Upgrades!$C$3:$C$13,MATCH(SUBSTITUTE(Q851,""Sell_"",""""),Upgrades!$B$3:$B$13,0))*1.15^(COUNTIF(Q$4:Q850,SUBSTITUTE(Q851,""Sell_"",""""))-COUNTIF(Q$4:Q850,"&amp;"""Sell_""&amp;SUBSTITUTE(Q851,""Sell_"",""""))))/2),ROUNDUP(INDEX(Upgrades!$C$3:$C$13,MATCH(Q851,Upgrades!$B$3:$B$13,0))*1.15^(COUNTIF(Q$4:Q850,Q851)-COUNTIF(Q$4:Q850,""Sell_""&amp;Q851))))))"),"")</f>
        <v/>
      </c>
      <c r="V851" s="10" t="str">
        <f t="shared" si="11"/>
        <v/>
      </c>
      <c r="W851" s="68" t="str">
        <f t="shared" si="12"/>
        <v/>
      </c>
      <c r="X851" s="59" t="str">
        <f t="shared" si="13"/>
        <v/>
      </c>
      <c r="Y851" s="69" t="str">
        <f t="shared" si="14"/>
        <v/>
      </c>
      <c r="Z851" s="11"/>
    </row>
    <row r="852">
      <c r="A852" s="8"/>
      <c r="B852" s="56" t="str">
        <f t="shared" si="2"/>
        <v/>
      </c>
      <c r="C852" s="105"/>
      <c r="D852" s="10"/>
      <c r="E852" s="59" t="str">
        <f t="array" ref="E852">IF(COUNTA(C852:C1673)=0,"",SUM((COUNTIF(C$4:C852,Upgrades!$B$3:$B$13)-COUNTIF(C$4:C852,"Sell_"&amp;Upgrades!$B$3:$B$13))*Upgrades!$D$3:$D$13))</f>
        <v/>
      </c>
      <c r="F852" s="66" t="str">
        <f>IFERROR(__xludf.DUMMYFUNCTION("IF(COUNTA(C852:C1673)=0,"""",IF(REGEXMATCH(INDEX(FILTER(C$4:C852,C$4:C852&lt;&gt;""""),ROWS(FILTER(C$4:C852,C$4:C852&lt;&gt;""""))),""^Sell_""),INDEX(FILTER(F$4:F851,C$4:C851&lt;&gt;""""),ROWS(FILTER(C$4:C851,C$4:C851&lt;&gt;""""))),$AC$5+E852))"),"")</f>
        <v/>
      </c>
      <c r="G852" s="10" t="str">
        <f>IFERROR(__xludf.DUMMYFUNCTION("IF(COUNTA(C852:C1673)=0,"""",IF(C852="""",0,IF(REGEXMATCH(C852,""^Sell_""),-ROUNDDOWN(ROUNDUP(INDEX(Upgrades!$C$3:$C$13,MATCH(SUBSTITUTE(C852,""Sell_"",""""),Upgrades!$B$3:$B$13,0))*1.15^(COUNTIF(C$4:C851,SUBSTITUTE(C852,""Sell_"",""""))-COUNTIF(C$4:C851,"&amp;"""Sell_""&amp;SUBSTITUTE(C852,""Sell_"",""""))))/2),ROUNDUP(INDEX(Upgrades!$C$3:$C$13,MATCH(C852,Upgrades!$B$3:$B$13,0))*1.15^(COUNTIF(C$4:C851,C852)-COUNTIF(C$4:C851,""Sell_""&amp;C852))))))"),"")</f>
        <v/>
      </c>
      <c r="H852" s="10" t="str">
        <f t="shared" si="3"/>
        <v/>
      </c>
      <c r="I852" s="68" t="str">
        <f t="shared" si="4"/>
        <v/>
      </c>
      <c r="J852" s="59" t="str">
        <f t="shared" si="5"/>
        <v/>
      </c>
      <c r="K852" s="69" t="str">
        <f t="shared" si="6"/>
        <v/>
      </c>
      <c r="L852" s="60" t="str">
        <f t="shared" si="7"/>
        <v/>
      </c>
      <c r="M852" s="61" t="str">
        <f>IFERROR(__xludf.DUMMYFUNCTION("IFS(AND(COUNTA(C852:C1673)=0,COUNTA(Q852:Q1673)=0),"""",OR(AND(K852&gt;=1000000000,OR(Y852&gt;=1000000000,COUNTA(Q852:Q1673)=0)),OR(Y852&gt;=1000000000,AND(COUNTA(C852:C1673)=0,P$3=TRUE))),
ROUNDDOWN((AB$1-AC$1)*MAX(INDEX(T$4:T1673,MATCH(LARGE(FILTER(Y$4:Y1673,Y$4"&amp;":Y1673&lt;1000000000),1),Y$4:Y1673)),INDEX(F$4:F1673,MATCH(LARGE(FILTER(K$4:K1673,K$4:K1673&lt;1000000000),1),K$4:K1673)))),AND(K852&lt;1000000000,COUNTA(C852:C1673)&gt;0,P$3=FALSE),
ROUNDDOWN(INDEX(Y$4:Y1673,MATCH(LARGE(FILTER(W$4:W1673,W$4:W1673&lt;=I852),1),W$4:W1673"&amp;"))+(I852-LARGE(FILTER(W$4:W1673,W$4:W1673&lt;=I852),1))*INDEX(T$4:T1673,MATCH(LARGE(FILTER(W$4:W1673,W$4:W1673&lt;=I852),1),W$4:W1673))-K852),1,
ROUNDDOWN(Y852-INDEX(K$4:K1673,MATCH(LARGE(FILTER(I$4:I1673,I$4:I1673&lt;=W852),1),I$4:I1673))-(W852-LARGE(FILTER(I$4:I"&amp;"1673,I$4:I1673&lt;=W852),1))*INDEX(F$4:F1673,MATCH(LARGE(FILTER(I$4:I1673,I$4:I1673&lt;=W852),1),I$4:I1673))))"),"")</f>
        <v/>
      </c>
      <c r="N852" s="60" t="str">
        <f t="shared" si="8"/>
        <v/>
      </c>
      <c r="O852" s="61" t="str">
        <f t="shared" si="9"/>
        <v/>
      </c>
      <c r="P852" s="56" t="str">
        <f t="shared" si="10"/>
        <v/>
      </c>
      <c r="R852" s="10"/>
      <c r="S852" s="59" t="str">
        <f t="array" ref="S852">IF(COUNTA(Q852:Q1673)=0,"",SUM((COUNTIF(Q$4:Q852,Upgrades!$B$3:$B$13)-COUNTIF(Q$4:Q852,"Sell_"&amp;Upgrades!$B$3:$B$13))*Upgrades!$D$3:$D$13))</f>
        <v/>
      </c>
      <c r="T852" s="66" t="str">
        <f>IFERROR(__xludf.DUMMYFUNCTION("IF(COUNTA(Q852:Q1673)=0,"""",IF(REGEXMATCH(INDEX(FILTER(Q$4:Q852,Q$4:Q852&lt;&gt;""""),ROWS(FILTER(Q$4:Q852,Q$4:Q852&lt;&gt;""""))),""^Sell_""),INDEX(FILTER(T$4:T851,Q$4:Q851&lt;&gt;""""),ROWS(FILTER(Q$4:Q851,Q$4:Q851&lt;&gt;""""))),$AD$5+S852))"),"")</f>
        <v/>
      </c>
      <c r="U852" s="10" t="str">
        <f>IFERROR(__xludf.DUMMYFUNCTION("IF(COUNTA(Q852:Q1673)=0,"""",IF(Q852="""",0,IF(REGEXMATCH(Q852,""^Sell_""),-ROUNDDOWN(ROUNDUP(INDEX(Upgrades!$C$3:$C$13,MATCH(SUBSTITUTE(Q852,""Sell_"",""""),Upgrades!$B$3:$B$13,0))*1.15^(COUNTIF(Q$4:Q851,SUBSTITUTE(Q852,""Sell_"",""""))-COUNTIF(Q$4:Q851,"&amp;"""Sell_""&amp;SUBSTITUTE(Q852,""Sell_"",""""))))/2),ROUNDUP(INDEX(Upgrades!$C$3:$C$13,MATCH(Q852,Upgrades!$B$3:$B$13,0))*1.15^(COUNTIF(Q$4:Q851,Q852)-COUNTIF(Q$4:Q851,""Sell_""&amp;Q852))))))"),"")</f>
        <v/>
      </c>
      <c r="V852" s="10" t="str">
        <f t="shared" si="11"/>
        <v/>
      </c>
      <c r="W852" s="68" t="str">
        <f t="shared" si="12"/>
        <v/>
      </c>
      <c r="X852" s="59" t="str">
        <f t="shared" si="13"/>
        <v/>
      </c>
      <c r="Y852" s="69" t="str">
        <f t="shared" si="14"/>
        <v/>
      </c>
      <c r="Z852" s="11"/>
    </row>
    <row r="853">
      <c r="A853" s="8"/>
      <c r="B853" s="56" t="str">
        <f t="shared" si="2"/>
        <v/>
      </c>
      <c r="C853" s="105"/>
      <c r="D853" s="10"/>
      <c r="E853" s="59" t="str">
        <f t="array" ref="E853">IF(COUNTA(C853:C1673)=0,"",SUM((COUNTIF(C$4:C853,Upgrades!$B$3:$B$13)-COUNTIF(C$4:C853,"Sell_"&amp;Upgrades!$B$3:$B$13))*Upgrades!$D$3:$D$13))</f>
        <v/>
      </c>
      <c r="F853" s="66" t="str">
        <f>IFERROR(__xludf.DUMMYFUNCTION("IF(COUNTA(C853:C1673)=0,"""",IF(REGEXMATCH(INDEX(FILTER(C$4:C853,C$4:C853&lt;&gt;""""),ROWS(FILTER(C$4:C853,C$4:C853&lt;&gt;""""))),""^Sell_""),INDEX(FILTER(F$4:F852,C$4:C852&lt;&gt;""""),ROWS(FILTER(C$4:C852,C$4:C852&lt;&gt;""""))),$AC$5+E853))"),"")</f>
        <v/>
      </c>
      <c r="G853" s="10" t="str">
        <f>IFERROR(__xludf.DUMMYFUNCTION("IF(COUNTA(C853:C1673)=0,"""",IF(C853="""",0,IF(REGEXMATCH(C853,""^Sell_""),-ROUNDDOWN(ROUNDUP(INDEX(Upgrades!$C$3:$C$13,MATCH(SUBSTITUTE(C853,""Sell_"",""""),Upgrades!$B$3:$B$13,0))*1.15^(COUNTIF(C$4:C852,SUBSTITUTE(C853,""Sell_"",""""))-COUNTIF(C$4:C852,"&amp;"""Sell_""&amp;SUBSTITUTE(C853,""Sell_"",""""))))/2),ROUNDUP(INDEX(Upgrades!$C$3:$C$13,MATCH(C853,Upgrades!$B$3:$B$13,0))*1.15^(COUNTIF(C$4:C852,C853)-COUNTIF(C$4:C852,""Sell_""&amp;C853))))))"),"")</f>
        <v/>
      </c>
      <c r="H853" s="10" t="str">
        <f t="shared" si="3"/>
        <v/>
      </c>
      <c r="I853" s="68" t="str">
        <f t="shared" si="4"/>
        <v/>
      </c>
      <c r="J853" s="59" t="str">
        <f t="shared" si="5"/>
        <v/>
      </c>
      <c r="K853" s="69" t="str">
        <f t="shared" si="6"/>
        <v/>
      </c>
      <c r="L853" s="60" t="str">
        <f t="shared" si="7"/>
        <v/>
      </c>
      <c r="M853" s="61" t="str">
        <f>IFERROR(__xludf.DUMMYFUNCTION("IFS(AND(COUNTA(C853:C1673)=0,COUNTA(Q853:Q1673)=0),"""",OR(AND(K853&gt;=1000000000,OR(Y853&gt;=1000000000,COUNTA(Q853:Q1673)=0)),OR(Y853&gt;=1000000000,AND(COUNTA(C853:C1673)=0,P$3=TRUE))),
ROUNDDOWN((AB$1-AC$1)*MAX(INDEX(T$4:T1673,MATCH(LARGE(FILTER(Y$4:Y1673,Y$4"&amp;":Y1673&lt;1000000000),1),Y$4:Y1673)),INDEX(F$4:F1673,MATCH(LARGE(FILTER(K$4:K1673,K$4:K1673&lt;1000000000),1),K$4:K1673)))),AND(K853&lt;1000000000,COUNTA(C853:C1673)&gt;0,P$3=FALSE),
ROUNDDOWN(INDEX(Y$4:Y1673,MATCH(LARGE(FILTER(W$4:W1673,W$4:W1673&lt;=I853),1),W$4:W1673"&amp;"))+(I853-LARGE(FILTER(W$4:W1673,W$4:W1673&lt;=I853),1))*INDEX(T$4:T1673,MATCH(LARGE(FILTER(W$4:W1673,W$4:W1673&lt;=I853),1),W$4:W1673))-K853),1,
ROUNDDOWN(Y853-INDEX(K$4:K1673,MATCH(LARGE(FILTER(I$4:I1673,I$4:I1673&lt;=W853),1),I$4:I1673))-(W853-LARGE(FILTER(I$4:I"&amp;"1673,I$4:I1673&lt;=W853),1))*INDEX(F$4:F1673,MATCH(LARGE(FILTER(I$4:I1673,I$4:I1673&lt;=W853),1),I$4:I1673))))"),"")</f>
        <v/>
      </c>
      <c r="N853" s="60" t="str">
        <f t="shared" si="8"/>
        <v/>
      </c>
      <c r="O853" s="61" t="str">
        <f t="shared" si="9"/>
        <v/>
      </c>
      <c r="P853" s="56" t="str">
        <f t="shared" si="10"/>
        <v/>
      </c>
      <c r="R853" s="10"/>
      <c r="S853" s="59" t="str">
        <f t="array" ref="S853">IF(COUNTA(Q853:Q1673)=0,"",SUM((COUNTIF(Q$4:Q853,Upgrades!$B$3:$B$13)-COUNTIF(Q$4:Q853,"Sell_"&amp;Upgrades!$B$3:$B$13))*Upgrades!$D$3:$D$13))</f>
        <v/>
      </c>
      <c r="T853" s="66" t="str">
        <f>IFERROR(__xludf.DUMMYFUNCTION("IF(COUNTA(Q853:Q1673)=0,"""",IF(REGEXMATCH(INDEX(FILTER(Q$4:Q853,Q$4:Q853&lt;&gt;""""),ROWS(FILTER(Q$4:Q853,Q$4:Q853&lt;&gt;""""))),""^Sell_""),INDEX(FILTER(T$4:T852,Q$4:Q852&lt;&gt;""""),ROWS(FILTER(Q$4:Q852,Q$4:Q852&lt;&gt;""""))),$AD$5+S853))"),"")</f>
        <v/>
      </c>
      <c r="U853" s="10" t="str">
        <f>IFERROR(__xludf.DUMMYFUNCTION("IF(COUNTA(Q853:Q1673)=0,"""",IF(Q853="""",0,IF(REGEXMATCH(Q853,""^Sell_""),-ROUNDDOWN(ROUNDUP(INDEX(Upgrades!$C$3:$C$13,MATCH(SUBSTITUTE(Q853,""Sell_"",""""),Upgrades!$B$3:$B$13,0))*1.15^(COUNTIF(Q$4:Q852,SUBSTITUTE(Q853,""Sell_"",""""))-COUNTIF(Q$4:Q852,"&amp;"""Sell_""&amp;SUBSTITUTE(Q853,""Sell_"",""""))))/2),ROUNDUP(INDEX(Upgrades!$C$3:$C$13,MATCH(Q853,Upgrades!$B$3:$B$13,0))*1.15^(COUNTIF(Q$4:Q852,Q853)-COUNTIF(Q$4:Q852,""Sell_""&amp;Q853))))))"),"")</f>
        <v/>
      </c>
      <c r="V853" s="10" t="str">
        <f t="shared" si="11"/>
        <v/>
      </c>
      <c r="W853" s="68" t="str">
        <f t="shared" si="12"/>
        <v/>
      </c>
      <c r="X853" s="59" t="str">
        <f t="shared" si="13"/>
        <v/>
      </c>
      <c r="Y853" s="69" t="str">
        <f t="shared" si="14"/>
        <v/>
      </c>
      <c r="Z853" s="11"/>
    </row>
    <row r="854">
      <c r="A854" s="8"/>
      <c r="B854" s="56" t="str">
        <f t="shared" si="2"/>
        <v/>
      </c>
      <c r="C854" s="105"/>
      <c r="D854" s="10"/>
      <c r="E854" s="59" t="str">
        <f t="array" ref="E854">IF(COUNTA(C854:C1673)=0,"",SUM((COUNTIF(C$4:C854,Upgrades!$B$3:$B$13)-COUNTIF(C$4:C854,"Sell_"&amp;Upgrades!$B$3:$B$13))*Upgrades!$D$3:$D$13))</f>
        <v/>
      </c>
      <c r="F854" s="66" t="str">
        <f>IFERROR(__xludf.DUMMYFUNCTION("IF(COUNTA(C854:C1673)=0,"""",IF(REGEXMATCH(INDEX(FILTER(C$4:C854,C$4:C854&lt;&gt;""""),ROWS(FILTER(C$4:C854,C$4:C854&lt;&gt;""""))),""^Sell_""),INDEX(FILTER(F$4:F853,C$4:C853&lt;&gt;""""),ROWS(FILTER(C$4:C853,C$4:C853&lt;&gt;""""))),$AC$5+E854))"),"")</f>
        <v/>
      </c>
      <c r="G854" s="10" t="str">
        <f>IFERROR(__xludf.DUMMYFUNCTION("IF(COUNTA(C854:C1673)=0,"""",IF(C854="""",0,IF(REGEXMATCH(C854,""^Sell_""),-ROUNDDOWN(ROUNDUP(INDEX(Upgrades!$C$3:$C$13,MATCH(SUBSTITUTE(C854,""Sell_"",""""),Upgrades!$B$3:$B$13,0))*1.15^(COUNTIF(C$4:C853,SUBSTITUTE(C854,""Sell_"",""""))-COUNTIF(C$4:C853,"&amp;"""Sell_""&amp;SUBSTITUTE(C854,""Sell_"",""""))))/2),ROUNDUP(INDEX(Upgrades!$C$3:$C$13,MATCH(C854,Upgrades!$B$3:$B$13,0))*1.15^(COUNTIF(C$4:C853,C854)-COUNTIF(C$4:C853,""Sell_""&amp;C854))))))"),"")</f>
        <v/>
      </c>
      <c r="H854" s="10" t="str">
        <f t="shared" si="3"/>
        <v/>
      </c>
      <c r="I854" s="68" t="str">
        <f t="shared" si="4"/>
        <v/>
      </c>
      <c r="J854" s="59" t="str">
        <f t="shared" si="5"/>
        <v/>
      </c>
      <c r="K854" s="69" t="str">
        <f t="shared" si="6"/>
        <v/>
      </c>
      <c r="L854" s="60" t="str">
        <f t="shared" si="7"/>
        <v/>
      </c>
      <c r="M854" s="61" t="str">
        <f>IFERROR(__xludf.DUMMYFUNCTION("IFS(AND(COUNTA(C854:C1673)=0,COUNTA(Q854:Q1673)=0),"""",OR(AND(K854&gt;=1000000000,OR(Y854&gt;=1000000000,COUNTA(Q854:Q1673)=0)),OR(Y854&gt;=1000000000,AND(COUNTA(C854:C1673)=0,P$3=TRUE))),
ROUNDDOWN((AB$1-AC$1)*MAX(INDEX(T$4:T1673,MATCH(LARGE(FILTER(Y$4:Y1673,Y$4"&amp;":Y1673&lt;1000000000),1),Y$4:Y1673)),INDEX(F$4:F1673,MATCH(LARGE(FILTER(K$4:K1673,K$4:K1673&lt;1000000000),1),K$4:K1673)))),AND(K854&lt;1000000000,COUNTA(C854:C1673)&gt;0,P$3=FALSE),
ROUNDDOWN(INDEX(Y$4:Y1673,MATCH(LARGE(FILTER(W$4:W1673,W$4:W1673&lt;=I854),1),W$4:W1673"&amp;"))+(I854-LARGE(FILTER(W$4:W1673,W$4:W1673&lt;=I854),1))*INDEX(T$4:T1673,MATCH(LARGE(FILTER(W$4:W1673,W$4:W1673&lt;=I854),1),W$4:W1673))-K854),1,
ROUNDDOWN(Y854-INDEX(K$4:K1673,MATCH(LARGE(FILTER(I$4:I1673,I$4:I1673&lt;=W854),1),I$4:I1673))-(W854-LARGE(FILTER(I$4:I"&amp;"1673,I$4:I1673&lt;=W854),1))*INDEX(F$4:F1673,MATCH(LARGE(FILTER(I$4:I1673,I$4:I1673&lt;=W854),1),I$4:I1673))))"),"")</f>
        <v/>
      </c>
      <c r="N854" s="60" t="str">
        <f t="shared" si="8"/>
        <v/>
      </c>
      <c r="O854" s="61" t="str">
        <f t="shared" si="9"/>
        <v/>
      </c>
      <c r="P854" s="56" t="str">
        <f t="shared" si="10"/>
        <v/>
      </c>
      <c r="R854" s="10"/>
      <c r="S854" s="59" t="str">
        <f t="array" ref="S854">IF(COUNTA(Q854:Q1673)=0,"",SUM((COUNTIF(Q$4:Q854,Upgrades!$B$3:$B$13)-COUNTIF(Q$4:Q854,"Sell_"&amp;Upgrades!$B$3:$B$13))*Upgrades!$D$3:$D$13))</f>
        <v/>
      </c>
      <c r="T854" s="66" t="str">
        <f>IFERROR(__xludf.DUMMYFUNCTION("IF(COUNTA(Q854:Q1673)=0,"""",IF(REGEXMATCH(INDEX(FILTER(Q$4:Q854,Q$4:Q854&lt;&gt;""""),ROWS(FILTER(Q$4:Q854,Q$4:Q854&lt;&gt;""""))),""^Sell_""),INDEX(FILTER(T$4:T853,Q$4:Q853&lt;&gt;""""),ROWS(FILTER(Q$4:Q853,Q$4:Q853&lt;&gt;""""))),$AD$5+S854))"),"")</f>
        <v/>
      </c>
      <c r="U854" s="10" t="str">
        <f>IFERROR(__xludf.DUMMYFUNCTION("IF(COUNTA(Q854:Q1673)=0,"""",IF(Q854="""",0,IF(REGEXMATCH(Q854,""^Sell_""),-ROUNDDOWN(ROUNDUP(INDEX(Upgrades!$C$3:$C$13,MATCH(SUBSTITUTE(Q854,""Sell_"",""""),Upgrades!$B$3:$B$13,0))*1.15^(COUNTIF(Q$4:Q853,SUBSTITUTE(Q854,""Sell_"",""""))-COUNTIF(Q$4:Q853,"&amp;"""Sell_""&amp;SUBSTITUTE(Q854,""Sell_"",""""))))/2),ROUNDUP(INDEX(Upgrades!$C$3:$C$13,MATCH(Q854,Upgrades!$B$3:$B$13,0))*1.15^(COUNTIF(Q$4:Q853,Q854)-COUNTIF(Q$4:Q853,""Sell_""&amp;Q854))))))"),"")</f>
        <v/>
      </c>
      <c r="V854" s="10" t="str">
        <f t="shared" si="11"/>
        <v/>
      </c>
      <c r="W854" s="68" t="str">
        <f t="shared" si="12"/>
        <v/>
      </c>
      <c r="X854" s="59" t="str">
        <f t="shared" si="13"/>
        <v/>
      </c>
      <c r="Y854" s="69" t="str">
        <f t="shared" si="14"/>
        <v/>
      </c>
      <c r="Z854" s="11"/>
    </row>
    <row r="855">
      <c r="A855" s="8"/>
      <c r="B855" s="56" t="str">
        <f t="shared" si="2"/>
        <v/>
      </c>
      <c r="C855" s="105"/>
      <c r="D855" s="10"/>
      <c r="E855" s="59" t="str">
        <f t="array" ref="E855">IF(COUNTA(C855:C1673)=0,"",SUM((COUNTIF(C$4:C855,Upgrades!$B$3:$B$13)-COUNTIF(C$4:C855,"Sell_"&amp;Upgrades!$B$3:$B$13))*Upgrades!$D$3:$D$13))</f>
        <v/>
      </c>
      <c r="F855" s="66" t="str">
        <f>IFERROR(__xludf.DUMMYFUNCTION("IF(COUNTA(C855:C1673)=0,"""",IF(REGEXMATCH(INDEX(FILTER(C$4:C855,C$4:C855&lt;&gt;""""),ROWS(FILTER(C$4:C855,C$4:C855&lt;&gt;""""))),""^Sell_""),INDEX(FILTER(F$4:F854,C$4:C854&lt;&gt;""""),ROWS(FILTER(C$4:C854,C$4:C854&lt;&gt;""""))),$AC$5+E855))"),"")</f>
        <v/>
      </c>
      <c r="G855" s="10" t="str">
        <f>IFERROR(__xludf.DUMMYFUNCTION("IF(COUNTA(C855:C1673)=0,"""",IF(C855="""",0,IF(REGEXMATCH(C855,""^Sell_""),-ROUNDDOWN(ROUNDUP(INDEX(Upgrades!$C$3:$C$13,MATCH(SUBSTITUTE(C855,""Sell_"",""""),Upgrades!$B$3:$B$13,0))*1.15^(COUNTIF(C$4:C854,SUBSTITUTE(C855,""Sell_"",""""))-COUNTIF(C$4:C854,"&amp;"""Sell_""&amp;SUBSTITUTE(C855,""Sell_"",""""))))/2),ROUNDUP(INDEX(Upgrades!$C$3:$C$13,MATCH(C855,Upgrades!$B$3:$B$13,0))*1.15^(COUNTIF(C$4:C854,C855)-COUNTIF(C$4:C854,""Sell_""&amp;C855))))))"),"")</f>
        <v/>
      </c>
      <c r="H855" s="10" t="str">
        <f t="shared" si="3"/>
        <v/>
      </c>
      <c r="I855" s="68" t="str">
        <f t="shared" si="4"/>
        <v/>
      </c>
      <c r="J855" s="59" t="str">
        <f t="shared" si="5"/>
        <v/>
      </c>
      <c r="K855" s="69" t="str">
        <f t="shared" si="6"/>
        <v/>
      </c>
      <c r="L855" s="60" t="str">
        <f t="shared" si="7"/>
        <v/>
      </c>
      <c r="M855" s="61" t="str">
        <f>IFERROR(__xludf.DUMMYFUNCTION("IFS(AND(COUNTA(C855:C1673)=0,COUNTA(Q855:Q1673)=0),"""",OR(AND(K855&gt;=1000000000,OR(Y855&gt;=1000000000,COUNTA(Q855:Q1673)=0)),OR(Y855&gt;=1000000000,AND(COUNTA(C855:C1673)=0,P$3=TRUE))),
ROUNDDOWN((AB$1-AC$1)*MAX(INDEX(T$4:T1673,MATCH(LARGE(FILTER(Y$4:Y1673,Y$4"&amp;":Y1673&lt;1000000000),1),Y$4:Y1673)),INDEX(F$4:F1673,MATCH(LARGE(FILTER(K$4:K1673,K$4:K1673&lt;1000000000),1),K$4:K1673)))),AND(K855&lt;1000000000,COUNTA(C855:C1673)&gt;0,P$3=FALSE),
ROUNDDOWN(INDEX(Y$4:Y1673,MATCH(LARGE(FILTER(W$4:W1673,W$4:W1673&lt;=I855),1),W$4:W1673"&amp;"))+(I855-LARGE(FILTER(W$4:W1673,W$4:W1673&lt;=I855),1))*INDEX(T$4:T1673,MATCH(LARGE(FILTER(W$4:W1673,W$4:W1673&lt;=I855),1),W$4:W1673))-K855),1,
ROUNDDOWN(Y855-INDEX(K$4:K1673,MATCH(LARGE(FILTER(I$4:I1673,I$4:I1673&lt;=W855),1),I$4:I1673))-(W855-LARGE(FILTER(I$4:I"&amp;"1673,I$4:I1673&lt;=W855),1))*INDEX(F$4:F1673,MATCH(LARGE(FILTER(I$4:I1673,I$4:I1673&lt;=W855),1),I$4:I1673))))"),"")</f>
        <v/>
      </c>
      <c r="N855" s="60" t="str">
        <f t="shared" si="8"/>
        <v/>
      </c>
      <c r="O855" s="61" t="str">
        <f t="shared" si="9"/>
        <v/>
      </c>
      <c r="P855" s="56" t="str">
        <f t="shared" si="10"/>
        <v/>
      </c>
      <c r="R855" s="10"/>
      <c r="S855" s="59" t="str">
        <f t="array" ref="S855">IF(COUNTA(Q855:Q1673)=0,"",SUM((COUNTIF(Q$4:Q855,Upgrades!$B$3:$B$13)-COUNTIF(Q$4:Q855,"Sell_"&amp;Upgrades!$B$3:$B$13))*Upgrades!$D$3:$D$13))</f>
        <v/>
      </c>
      <c r="T855" s="66" t="str">
        <f>IFERROR(__xludf.DUMMYFUNCTION("IF(COUNTA(Q855:Q1673)=0,"""",IF(REGEXMATCH(INDEX(FILTER(Q$4:Q855,Q$4:Q855&lt;&gt;""""),ROWS(FILTER(Q$4:Q855,Q$4:Q855&lt;&gt;""""))),""^Sell_""),INDEX(FILTER(T$4:T854,Q$4:Q854&lt;&gt;""""),ROWS(FILTER(Q$4:Q854,Q$4:Q854&lt;&gt;""""))),$AD$5+S855))"),"")</f>
        <v/>
      </c>
      <c r="U855" s="10" t="str">
        <f>IFERROR(__xludf.DUMMYFUNCTION("IF(COUNTA(Q855:Q1673)=0,"""",IF(Q855="""",0,IF(REGEXMATCH(Q855,""^Sell_""),-ROUNDDOWN(ROUNDUP(INDEX(Upgrades!$C$3:$C$13,MATCH(SUBSTITUTE(Q855,""Sell_"",""""),Upgrades!$B$3:$B$13,0))*1.15^(COUNTIF(Q$4:Q854,SUBSTITUTE(Q855,""Sell_"",""""))-COUNTIF(Q$4:Q854,"&amp;"""Sell_""&amp;SUBSTITUTE(Q855,""Sell_"",""""))))/2),ROUNDUP(INDEX(Upgrades!$C$3:$C$13,MATCH(Q855,Upgrades!$B$3:$B$13,0))*1.15^(COUNTIF(Q$4:Q854,Q855)-COUNTIF(Q$4:Q854,""Sell_""&amp;Q855))))))"),"")</f>
        <v/>
      </c>
      <c r="V855" s="10" t="str">
        <f t="shared" si="11"/>
        <v/>
      </c>
      <c r="W855" s="68" t="str">
        <f t="shared" si="12"/>
        <v/>
      </c>
      <c r="X855" s="59" t="str">
        <f t="shared" si="13"/>
        <v/>
      </c>
      <c r="Y855" s="69" t="str">
        <f t="shared" si="14"/>
        <v/>
      </c>
      <c r="Z855" s="11"/>
    </row>
    <row r="856">
      <c r="A856" s="8"/>
      <c r="B856" s="56" t="str">
        <f t="shared" si="2"/>
        <v/>
      </c>
      <c r="C856" s="105"/>
      <c r="D856" s="10"/>
      <c r="E856" s="59" t="str">
        <f t="array" ref="E856">IF(COUNTA(C856:C1673)=0,"",SUM((COUNTIF(C$4:C856,Upgrades!$B$3:$B$13)-COUNTIF(C$4:C856,"Sell_"&amp;Upgrades!$B$3:$B$13))*Upgrades!$D$3:$D$13))</f>
        <v/>
      </c>
      <c r="F856" s="66" t="str">
        <f>IFERROR(__xludf.DUMMYFUNCTION("IF(COUNTA(C856:C1673)=0,"""",IF(REGEXMATCH(INDEX(FILTER(C$4:C856,C$4:C856&lt;&gt;""""),ROWS(FILTER(C$4:C856,C$4:C856&lt;&gt;""""))),""^Sell_""),INDEX(FILTER(F$4:F855,C$4:C855&lt;&gt;""""),ROWS(FILTER(C$4:C855,C$4:C855&lt;&gt;""""))),$AC$5+E856))"),"")</f>
        <v/>
      </c>
      <c r="G856" s="10" t="str">
        <f>IFERROR(__xludf.DUMMYFUNCTION("IF(COUNTA(C856:C1673)=0,"""",IF(C856="""",0,IF(REGEXMATCH(C856,""^Sell_""),-ROUNDDOWN(ROUNDUP(INDEX(Upgrades!$C$3:$C$13,MATCH(SUBSTITUTE(C856,""Sell_"",""""),Upgrades!$B$3:$B$13,0))*1.15^(COUNTIF(C$4:C855,SUBSTITUTE(C856,""Sell_"",""""))-COUNTIF(C$4:C855,"&amp;"""Sell_""&amp;SUBSTITUTE(C856,""Sell_"",""""))))/2),ROUNDUP(INDEX(Upgrades!$C$3:$C$13,MATCH(C856,Upgrades!$B$3:$B$13,0))*1.15^(COUNTIF(C$4:C855,C856)-COUNTIF(C$4:C855,""Sell_""&amp;C856))))))"),"")</f>
        <v/>
      </c>
      <c r="H856" s="10" t="str">
        <f t="shared" si="3"/>
        <v/>
      </c>
      <c r="I856" s="68" t="str">
        <f t="shared" si="4"/>
        <v/>
      </c>
      <c r="J856" s="59" t="str">
        <f t="shared" si="5"/>
        <v/>
      </c>
      <c r="K856" s="69" t="str">
        <f t="shared" si="6"/>
        <v/>
      </c>
      <c r="L856" s="60" t="str">
        <f t="shared" si="7"/>
        <v/>
      </c>
      <c r="M856" s="61" t="str">
        <f>IFERROR(__xludf.DUMMYFUNCTION("IFS(AND(COUNTA(C856:C1673)=0,COUNTA(Q856:Q1673)=0),"""",OR(AND(K856&gt;=1000000000,OR(Y856&gt;=1000000000,COUNTA(Q856:Q1673)=0)),OR(Y856&gt;=1000000000,AND(COUNTA(C856:C1673)=0,P$3=TRUE))),
ROUNDDOWN((AB$1-AC$1)*MAX(INDEX(T$4:T1673,MATCH(LARGE(FILTER(Y$4:Y1673,Y$4"&amp;":Y1673&lt;1000000000),1),Y$4:Y1673)),INDEX(F$4:F1673,MATCH(LARGE(FILTER(K$4:K1673,K$4:K1673&lt;1000000000),1),K$4:K1673)))),AND(K856&lt;1000000000,COUNTA(C856:C1673)&gt;0,P$3=FALSE),
ROUNDDOWN(INDEX(Y$4:Y1673,MATCH(LARGE(FILTER(W$4:W1673,W$4:W1673&lt;=I856),1),W$4:W1673"&amp;"))+(I856-LARGE(FILTER(W$4:W1673,W$4:W1673&lt;=I856),1))*INDEX(T$4:T1673,MATCH(LARGE(FILTER(W$4:W1673,W$4:W1673&lt;=I856),1),W$4:W1673))-K856),1,
ROUNDDOWN(Y856-INDEX(K$4:K1673,MATCH(LARGE(FILTER(I$4:I1673,I$4:I1673&lt;=W856),1),I$4:I1673))-(W856-LARGE(FILTER(I$4:I"&amp;"1673,I$4:I1673&lt;=W856),1))*INDEX(F$4:F1673,MATCH(LARGE(FILTER(I$4:I1673,I$4:I1673&lt;=W856),1),I$4:I1673))))"),"")</f>
        <v/>
      </c>
      <c r="N856" s="60" t="str">
        <f t="shared" si="8"/>
        <v/>
      </c>
      <c r="O856" s="61" t="str">
        <f t="shared" si="9"/>
        <v/>
      </c>
      <c r="P856" s="56" t="str">
        <f t="shared" si="10"/>
        <v/>
      </c>
      <c r="R856" s="10"/>
      <c r="S856" s="59" t="str">
        <f t="array" ref="S856">IF(COUNTA(Q856:Q1673)=0,"",SUM((COUNTIF(Q$4:Q856,Upgrades!$B$3:$B$13)-COUNTIF(Q$4:Q856,"Sell_"&amp;Upgrades!$B$3:$B$13))*Upgrades!$D$3:$D$13))</f>
        <v/>
      </c>
      <c r="T856" s="66" t="str">
        <f>IFERROR(__xludf.DUMMYFUNCTION("IF(COUNTA(Q856:Q1673)=0,"""",IF(REGEXMATCH(INDEX(FILTER(Q$4:Q856,Q$4:Q856&lt;&gt;""""),ROWS(FILTER(Q$4:Q856,Q$4:Q856&lt;&gt;""""))),""^Sell_""),INDEX(FILTER(T$4:T855,Q$4:Q855&lt;&gt;""""),ROWS(FILTER(Q$4:Q855,Q$4:Q855&lt;&gt;""""))),$AD$5+S856))"),"")</f>
        <v/>
      </c>
      <c r="U856" s="10" t="str">
        <f>IFERROR(__xludf.DUMMYFUNCTION("IF(COUNTA(Q856:Q1673)=0,"""",IF(Q856="""",0,IF(REGEXMATCH(Q856,""^Sell_""),-ROUNDDOWN(ROUNDUP(INDEX(Upgrades!$C$3:$C$13,MATCH(SUBSTITUTE(Q856,""Sell_"",""""),Upgrades!$B$3:$B$13,0))*1.15^(COUNTIF(Q$4:Q855,SUBSTITUTE(Q856,""Sell_"",""""))-COUNTIF(Q$4:Q855,"&amp;"""Sell_""&amp;SUBSTITUTE(Q856,""Sell_"",""""))))/2),ROUNDUP(INDEX(Upgrades!$C$3:$C$13,MATCH(Q856,Upgrades!$B$3:$B$13,0))*1.15^(COUNTIF(Q$4:Q855,Q856)-COUNTIF(Q$4:Q855,""Sell_""&amp;Q856))))))"),"")</f>
        <v/>
      </c>
      <c r="V856" s="10" t="str">
        <f t="shared" si="11"/>
        <v/>
      </c>
      <c r="W856" s="68" t="str">
        <f t="shared" si="12"/>
        <v/>
      </c>
      <c r="X856" s="59" t="str">
        <f t="shared" si="13"/>
        <v/>
      </c>
      <c r="Y856" s="69" t="str">
        <f t="shared" si="14"/>
        <v/>
      </c>
      <c r="Z856" s="11"/>
    </row>
    <row r="857">
      <c r="A857" s="8"/>
      <c r="B857" s="56" t="str">
        <f t="shared" si="2"/>
        <v/>
      </c>
      <c r="C857" s="105"/>
      <c r="D857" s="10"/>
      <c r="E857" s="59" t="str">
        <f t="array" ref="E857">IF(COUNTA(C857:C1673)=0,"",SUM((COUNTIF(C$4:C857,Upgrades!$B$3:$B$13)-COUNTIF(C$4:C857,"Sell_"&amp;Upgrades!$B$3:$B$13))*Upgrades!$D$3:$D$13))</f>
        <v/>
      </c>
      <c r="F857" s="66" t="str">
        <f>IFERROR(__xludf.DUMMYFUNCTION("IF(COUNTA(C857:C1673)=0,"""",IF(REGEXMATCH(INDEX(FILTER(C$4:C857,C$4:C857&lt;&gt;""""),ROWS(FILTER(C$4:C857,C$4:C857&lt;&gt;""""))),""^Sell_""),INDEX(FILTER(F$4:F856,C$4:C856&lt;&gt;""""),ROWS(FILTER(C$4:C856,C$4:C856&lt;&gt;""""))),$AC$5+E857))"),"")</f>
        <v/>
      </c>
      <c r="G857" s="10" t="str">
        <f>IFERROR(__xludf.DUMMYFUNCTION("IF(COUNTA(C857:C1673)=0,"""",IF(C857="""",0,IF(REGEXMATCH(C857,""^Sell_""),-ROUNDDOWN(ROUNDUP(INDEX(Upgrades!$C$3:$C$13,MATCH(SUBSTITUTE(C857,""Sell_"",""""),Upgrades!$B$3:$B$13,0))*1.15^(COUNTIF(C$4:C856,SUBSTITUTE(C857,""Sell_"",""""))-COUNTIF(C$4:C856,"&amp;"""Sell_""&amp;SUBSTITUTE(C857,""Sell_"",""""))))/2),ROUNDUP(INDEX(Upgrades!$C$3:$C$13,MATCH(C857,Upgrades!$B$3:$B$13,0))*1.15^(COUNTIF(C$4:C856,C857)-COUNTIF(C$4:C856,""Sell_""&amp;C857))))))"),"")</f>
        <v/>
      </c>
      <c r="H857" s="10" t="str">
        <f t="shared" si="3"/>
        <v/>
      </c>
      <c r="I857" s="68" t="str">
        <f t="shared" si="4"/>
        <v/>
      </c>
      <c r="J857" s="59" t="str">
        <f t="shared" si="5"/>
        <v/>
      </c>
      <c r="K857" s="69" t="str">
        <f t="shared" si="6"/>
        <v/>
      </c>
      <c r="L857" s="60" t="str">
        <f t="shared" si="7"/>
        <v/>
      </c>
      <c r="M857" s="61" t="str">
        <f>IFERROR(__xludf.DUMMYFUNCTION("IFS(AND(COUNTA(C857:C1673)=0,COUNTA(Q857:Q1673)=0),"""",OR(AND(K857&gt;=1000000000,OR(Y857&gt;=1000000000,COUNTA(Q857:Q1673)=0)),OR(Y857&gt;=1000000000,AND(COUNTA(C857:C1673)=0,P$3=TRUE))),
ROUNDDOWN((AB$1-AC$1)*MAX(INDEX(T$4:T1673,MATCH(LARGE(FILTER(Y$4:Y1673,Y$4"&amp;":Y1673&lt;1000000000),1),Y$4:Y1673)),INDEX(F$4:F1673,MATCH(LARGE(FILTER(K$4:K1673,K$4:K1673&lt;1000000000),1),K$4:K1673)))),AND(K857&lt;1000000000,COUNTA(C857:C1673)&gt;0,P$3=FALSE),
ROUNDDOWN(INDEX(Y$4:Y1673,MATCH(LARGE(FILTER(W$4:W1673,W$4:W1673&lt;=I857),1),W$4:W1673"&amp;"))+(I857-LARGE(FILTER(W$4:W1673,W$4:W1673&lt;=I857),1))*INDEX(T$4:T1673,MATCH(LARGE(FILTER(W$4:W1673,W$4:W1673&lt;=I857),1),W$4:W1673))-K857),1,
ROUNDDOWN(Y857-INDEX(K$4:K1673,MATCH(LARGE(FILTER(I$4:I1673,I$4:I1673&lt;=W857),1),I$4:I1673))-(W857-LARGE(FILTER(I$4:I"&amp;"1673,I$4:I1673&lt;=W857),1))*INDEX(F$4:F1673,MATCH(LARGE(FILTER(I$4:I1673,I$4:I1673&lt;=W857),1),I$4:I1673))))"),"")</f>
        <v/>
      </c>
      <c r="N857" s="60" t="str">
        <f t="shared" si="8"/>
        <v/>
      </c>
      <c r="O857" s="61" t="str">
        <f t="shared" si="9"/>
        <v/>
      </c>
      <c r="P857" s="56" t="str">
        <f t="shared" si="10"/>
        <v/>
      </c>
      <c r="R857" s="10"/>
      <c r="S857" s="59" t="str">
        <f t="array" ref="S857">IF(COUNTA(Q857:Q1673)=0,"",SUM((COUNTIF(Q$4:Q857,Upgrades!$B$3:$B$13)-COUNTIF(Q$4:Q857,"Sell_"&amp;Upgrades!$B$3:$B$13))*Upgrades!$D$3:$D$13))</f>
        <v/>
      </c>
      <c r="T857" s="66" t="str">
        <f>IFERROR(__xludf.DUMMYFUNCTION("IF(COUNTA(Q857:Q1673)=0,"""",IF(REGEXMATCH(INDEX(FILTER(Q$4:Q857,Q$4:Q857&lt;&gt;""""),ROWS(FILTER(Q$4:Q857,Q$4:Q857&lt;&gt;""""))),""^Sell_""),INDEX(FILTER(T$4:T856,Q$4:Q856&lt;&gt;""""),ROWS(FILTER(Q$4:Q856,Q$4:Q856&lt;&gt;""""))),$AD$5+S857))"),"")</f>
        <v/>
      </c>
      <c r="U857" s="10" t="str">
        <f>IFERROR(__xludf.DUMMYFUNCTION("IF(COUNTA(Q857:Q1673)=0,"""",IF(Q857="""",0,IF(REGEXMATCH(Q857,""^Sell_""),-ROUNDDOWN(ROUNDUP(INDEX(Upgrades!$C$3:$C$13,MATCH(SUBSTITUTE(Q857,""Sell_"",""""),Upgrades!$B$3:$B$13,0))*1.15^(COUNTIF(Q$4:Q856,SUBSTITUTE(Q857,""Sell_"",""""))-COUNTIF(Q$4:Q856,"&amp;"""Sell_""&amp;SUBSTITUTE(Q857,""Sell_"",""""))))/2),ROUNDUP(INDEX(Upgrades!$C$3:$C$13,MATCH(Q857,Upgrades!$B$3:$B$13,0))*1.15^(COUNTIF(Q$4:Q856,Q857)-COUNTIF(Q$4:Q856,""Sell_""&amp;Q857))))))"),"")</f>
        <v/>
      </c>
      <c r="V857" s="10" t="str">
        <f t="shared" si="11"/>
        <v/>
      </c>
      <c r="W857" s="68" t="str">
        <f t="shared" si="12"/>
        <v/>
      </c>
      <c r="X857" s="59" t="str">
        <f t="shared" si="13"/>
        <v/>
      </c>
      <c r="Y857" s="69" t="str">
        <f t="shared" si="14"/>
        <v/>
      </c>
      <c r="Z857" s="11"/>
    </row>
    <row r="858">
      <c r="A858" s="8"/>
      <c r="B858" s="56" t="str">
        <f t="shared" si="2"/>
        <v/>
      </c>
      <c r="C858" s="105"/>
      <c r="D858" s="10"/>
      <c r="E858" s="59" t="str">
        <f t="array" ref="E858">IF(COUNTA(C858:C1673)=0,"",SUM((COUNTIF(C$4:C858,Upgrades!$B$3:$B$13)-COUNTIF(C$4:C858,"Sell_"&amp;Upgrades!$B$3:$B$13))*Upgrades!$D$3:$D$13))</f>
        <v/>
      </c>
      <c r="F858" s="66" t="str">
        <f>IFERROR(__xludf.DUMMYFUNCTION("IF(COUNTA(C858:C1673)=0,"""",IF(REGEXMATCH(INDEX(FILTER(C$4:C858,C$4:C858&lt;&gt;""""),ROWS(FILTER(C$4:C858,C$4:C858&lt;&gt;""""))),""^Sell_""),INDEX(FILTER(F$4:F857,C$4:C857&lt;&gt;""""),ROWS(FILTER(C$4:C857,C$4:C857&lt;&gt;""""))),$AC$5+E858))"),"")</f>
        <v/>
      </c>
      <c r="G858" s="10" t="str">
        <f>IFERROR(__xludf.DUMMYFUNCTION("IF(COUNTA(C858:C1673)=0,"""",IF(C858="""",0,IF(REGEXMATCH(C858,""^Sell_""),-ROUNDDOWN(ROUNDUP(INDEX(Upgrades!$C$3:$C$13,MATCH(SUBSTITUTE(C858,""Sell_"",""""),Upgrades!$B$3:$B$13,0))*1.15^(COUNTIF(C$4:C857,SUBSTITUTE(C858,""Sell_"",""""))-COUNTIF(C$4:C857,"&amp;"""Sell_""&amp;SUBSTITUTE(C858,""Sell_"",""""))))/2),ROUNDUP(INDEX(Upgrades!$C$3:$C$13,MATCH(C858,Upgrades!$B$3:$B$13,0))*1.15^(COUNTIF(C$4:C857,C858)-COUNTIF(C$4:C857,""Sell_""&amp;C858))))))"),"")</f>
        <v/>
      </c>
      <c r="H858" s="10" t="str">
        <f t="shared" si="3"/>
        <v/>
      </c>
      <c r="I858" s="68" t="str">
        <f t="shared" si="4"/>
        <v/>
      </c>
      <c r="J858" s="59" t="str">
        <f t="shared" si="5"/>
        <v/>
      </c>
      <c r="K858" s="69" t="str">
        <f t="shared" si="6"/>
        <v/>
      </c>
      <c r="L858" s="60" t="str">
        <f t="shared" si="7"/>
        <v/>
      </c>
      <c r="M858" s="61" t="str">
        <f>IFERROR(__xludf.DUMMYFUNCTION("IFS(AND(COUNTA(C858:C1673)=0,COUNTA(Q858:Q1673)=0),"""",OR(AND(K858&gt;=1000000000,OR(Y858&gt;=1000000000,COUNTA(Q858:Q1673)=0)),OR(Y858&gt;=1000000000,AND(COUNTA(C858:C1673)=0,P$3=TRUE))),
ROUNDDOWN((AB$1-AC$1)*MAX(INDEX(T$4:T1673,MATCH(LARGE(FILTER(Y$4:Y1673,Y$4"&amp;":Y1673&lt;1000000000),1),Y$4:Y1673)),INDEX(F$4:F1673,MATCH(LARGE(FILTER(K$4:K1673,K$4:K1673&lt;1000000000),1),K$4:K1673)))),AND(K858&lt;1000000000,COUNTA(C858:C1673)&gt;0,P$3=FALSE),
ROUNDDOWN(INDEX(Y$4:Y1673,MATCH(LARGE(FILTER(W$4:W1673,W$4:W1673&lt;=I858),1),W$4:W1673"&amp;"))+(I858-LARGE(FILTER(W$4:W1673,W$4:W1673&lt;=I858),1))*INDEX(T$4:T1673,MATCH(LARGE(FILTER(W$4:W1673,W$4:W1673&lt;=I858),1),W$4:W1673))-K858),1,
ROUNDDOWN(Y858-INDEX(K$4:K1673,MATCH(LARGE(FILTER(I$4:I1673,I$4:I1673&lt;=W858),1),I$4:I1673))-(W858-LARGE(FILTER(I$4:I"&amp;"1673,I$4:I1673&lt;=W858),1))*INDEX(F$4:F1673,MATCH(LARGE(FILTER(I$4:I1673,I$4:I1673&lt;=W858),1),I$4:I1673))))"),"")</f>
        <v/>
      </c>
      <c r="N858" s="60" t="str">
        <f t="shared" si="8"/>
        <v/>
      </c>
      <c r="O858" s="61" t="str">
        <f t="shared" si="9"/>
        <v/>
      </c>
      <c r="P858" s="56" t="str">
        <f t="shared" si="10"/>
        <v/>
      </c>
      <c r="R858" s="10"/>
      <c r="S858" s="59" t="str">
        <f t="array" ref="S858">IF(COUNTA(Q858:Q1673)=0,"",SUM((COUNTIF(Q$4:Q858,Upgrades!$B$3:$B$13)-COUNTIF(Q$4:Q858,"Sell_"&amp;Upgrades!$B$3:$B$13))*Upgrades!$D$3:$D$13))</f>
        <v/>
      </c>
      <c r="T858" s="66" t="str">
        <f>IFERROR(__xludf.DUMMYFUNCTION("IF(COUNTA(Q858:Q1673)=0,"""",IF(REGEXMATCH(INDEX(FILTER(Q$4:Q858,Q$4:Q858&lt;&gt;""""),ROWS(FILTER(Q$4:Q858,Q$4:Q858&lt;&gt;""""))),""^Sell_""),INDEX(FILTER(T$4:T857,Q$4:Q857&lt;&gt;""""),ROWS(FILTER(Q$4:Q857,Q$4:Q857&lt;&gt;""""))),$AD$5+S858))"),"")</f>
        <v/>
      </c>
      <c r="U858" s="10" t="str">
        <f>IFERROR(__xludf.DUMMYFUNCTION("IF(COUNTA(Q858:Q1673)=0,"""",IF(Q858="""",0,IF(REGEXMATCH(Q858,""^Sell_""),-ROUNDDOWN(ROUNDUP(INDEX(Upgrades!$C$3:$C$13,MATCH(SUBSTITUTE(Q858,""Sell_"",""""),Upgrades!$B$3:$B$13,0))*1.15^(COUNTIF(Q$4:Q857,SUBSTITUTE(Q858,""Sell_"",""""))-COUNTIF(Q$4:Q857,"&amp;"""Sell_""&amp;SUBSTITUTE(Q858,""Sell_"",""""))))/2),ROUNDUP(INDEX(Upgrades!$C$3:$C$13,MATCH(Q858,Upgrades!$B$3:$B$13,0))*1.15^(COUNTIF(Q$4:Q857,Q858)-COUNTIF(Q$4:Q857,""Sell_""&amp;Q858))))))"),"")</f>
        <v/>
      </c>
      <c r="V858" s="10" t="str">
        <f t="shared" si="11"/>
        <v/>
      </c>
      <c r="W858" s="68" t="str">
        <f t="shared" si="12"/>
        <v/>
      </c>
      <c r="X858" s="59" t="str">
        <f t="shared" si="13"/>
        <v/>
      </c>
      <c r="Y858" s="69" t="str">
        <f t="shared" si="14"/>
        <v/>
      </c>
      <c r="Z858" s="11"/>
    </row>
    <row r="859">
      <c r="A859" s="8"/>
      <c r="B859" s="56" t="str">
        <f t="shared" si="2"/>
        <v/>
      </c>
      <c r="C859" s="105"/>
      <c r="D859" s="10"/>
      <c r="E859" s="59" t="str">
        <f t="array" ref="E859">IF(COUNTA(C859:C1673)=0,"",SUM((COUNTIF(C$4:C859,Upgrades!$B$3:$B$13)-COUNTIF(C$4:C859,"Sell_"&amp;Upgrades!$B$3:$B$13))*Upgrades!$D$3:$D$13))</f>
        <v/>
      </c>
      <c r="F859" s="66" t="str">
        <f>IFERROR(__xludf.DUMMYFUNCTION("IF(COUNTA(C859:C1673)=0,"""",IF(REGEXMATCH(INDEX(FILTER(C$4:C859,C$4:C859&lt;&gt;""""),ROWS(FILTER(C$4:C859,C$4:C859&lt;&gt;""""))),""^Sell_""),INDEX(FILTER(F$4:F858,C$4:C858&lt;&gt;""""),ROWS(FILTER(C$4:C858,C$4:C858&lt;&gt;""""))),$AC$5+E859))"),"")</f>
        <v/>
      </c>
      <c r="G859" s="10" t="str">
        <f>IFERROR(__xludf.DUMMYFUNCTION("IF(COUNTA(C859:C1673)=0,"""",IF(C859="""",0,IF(REGEXMATCH(C859,""^Sell_""),-ROUNDDOWN(ROUNDUP(INDEX(Upgrades!$C$3:$C$13,MATCH(SUBSTITUTE(C859,""Sell_"",""""),Upgrades!$B$3:$B$13,0))*1.15^(COUNTIF(C$4:C858,SUBSTITUTE(C859,""Sell_"",""""))-COUNTIF(C$4:C858,"&amp;"""Sell_""&amp;SUBSTITUTE(C859,""Sell_"",""""))))/2),ROUNDUP(INDEX(Upgrades!$C$3:$C$13,MATCH(C859,Upgrades!$B$3:$B$13,0))*1.15^(COUNTIF(C$4:C858,C859)-COUNTIF(C$4:C858,""Sell_""&amp;C859))))))"),"")</f>
        <v/>
      </c>
      <c r="H859" s="10" t="str">
        <f t="shared" si="3"/>
        <v/>
      </c>
      <c r="I859" s="68" t="str">
        <f t="shared" si="4"/>
        <v/>
      </c>
      <c r="J859" s="59" t="str">
        <f t="shared" si="5"/>
        <v/>
      </c>
      <c r="K859" s="69" t="str">
        <f t="shared" si="6"/>
        <v/>
      </c>
      <c r="L859" s="60" t="str">
        <f t="shared" si="7"/>
        <v/>
      </c>
      <c r="M859" s="61" t="str">
        <f>IFERROR(__xludf.DUMMYFUNCTION("IFS(AND(COUNTA(C859:C1673)=0,COUNTA(Q859:Q1673)=0),"""",OR(AND(K859&gt;=1000000000,OR(Y859&gt;=1000000000,COUNTA(Q859:Q1673)=0)),OR(Y859&gt;=1000000000,AND(COUNTA(C859:C1673)=0,P$3=TRUE))),
ROUNDDOWN((AB$1-AC$1)*MAX(INDEX(T$4:T1673,MATCH(LARGE(FILTER(Y$4:Y1673,Y$4"&amp;":Y1673&lt;1000000000),1),Y$4:Y1673)),INDEX(F$4:F1673,MATCH(LARGE(FILTER(K$4:K1673,K$4:K1673&lt;1000000000),1),K$4:K1673)))),AND(K859&lt;1000000000,COUNTA(C859:C1673)&gt;0,P$3=FALSE),
ROUNDDOWN(INDEX(Y$4:Y1673,MATCH(LARGE(FILTER(W$4:W1673,W$4:W1673&lt;=I859),1),W$4:W1673"&amp;"))+(I859-LARGE(FILTER(W$4:W1673,W$4:W1673&lt;=I859),1))*INDEX(T$4:T1673,MATCH(LARGE(FILTER(W$4:W1673,W$4:W1673&lt;=I859),1),W$4:W1673))-K859),1,
ROUNDDOWN(Y859-INDEX(K$4:K1673,MATCH(LARGE(FILTER(I$4:I1673,I$4:I1673&lt;=W859),1),I$4:I1673))-(W859-LARGE(FILTER(I$4:I"&amp;"1673,I$4:I1673&lt;=W859),1))*INDEX(F$4:F1673,MATCH(LARGE(FILTER(I$4:I1673,I$4:I1673&lt;=W859),1),I$4:I1673))))"),"")</f>
        <v/>
      </c>
      <c r="N859" s="60" t="str">
        <f t="shared" si="8"/>
        <v/>
      </c>
      <c r="O859" s="61" t="str">
        <f t="shared" si="9"/>
        <v/>
      </c>
      <c r="P859" s="56" t="str">
        <f t="shared" si="10"/>
        <v/>
      </c>
      <c r="R859" s="10"/>
      <c r="S859" s="59" t="str">
        <f t="array" ref="S859">IF(COUNTA(Q859:Q1673)=0,"",SUM((COUNTIF(Q$4:Q859,Upgrades!$B$3:$B$13)-COUNTIF(Q$4:Q859,"Sell_"&amp;Upgrades!$B$3:$B$13))*Upgrades!$D$3:$D$13))</f>
        <v/>
      </c>
      <c r="T859" s="66" t="str">
        <f>IFERROR(__xludf.DUMMYFUNCTION("IF(COUNTA(Q859:Q1673)=0,"""",IF(REGEXMATCH(INDEX(FILTER(Q$4:Q859,Q$4:Q859&lt;&gt;""""),ROWS(FILTER(Q$4:Q859,Q$4:Q859&lt;&gt;""""))),""^Sell_""),INDEX(FILTER(T$4:T858,Q$4:Q858&lt;&gt;""""),ROWS(FILTER(Q$4:Q858,Q$4:Q858&lt;&gt;""""))),$AD$5+S859))"),"")</f>
        <v/>
      </c>
      <c r="U859" s="10" t="str">
        <f>IFERROR(__xludf.DUMMYFUNCTION("IF(COUNTA(Q859:Q1673)=0,"""",IF(Q859="""",0,IF(REGEXMATCH(Q859,""^Sell_""),-ROUNDDOWN(ROUNDUP(INDEX(Upgrades!$C$3:$C$13,MATCH(SUBSTITUTE(Q859,""Sell_"",""""),Upgrades!$B$3:$B$13,0))*1.15^(COUNTIF(Q$4:Q858,SUBSTITUTE(Q859,""Sell_"",""""))-COUNTIF(Q$4:Q858,"&amp;"""Sell_""&amp;SUBSTITUTE(Q859,""Sell_"",""""))))/2),ROUNDUP(INDEX(Upgrades!$C$3:$C$13,MATCH(Q859,Upgrades!$B$3:$B$13,0))*1.15^(COUNTIF(Q$4:Q858,Q859)-COUNTIF(Q$4:Q858,""Sell_""&amp;Q859))))))"),"")</f>
        <v/>
      </c>
      <c r="V859" s="10" t="str">
        <f t="shared" si="11"/>
        <v/>
      </c>
      <c r="W859" s="68" t="str">
        <f t="shared" si="12"/>
        <v/>
      </c>
      <c r="X859" s="59" t="str">
        <f t="shared" si="13"/>
        <v/>
      </c>
      <c r="Y859" s="69" t="str">
        <f t="shared" si="14"/>
        <v/>
      </c>
      <c r="Z859" s="11"/>
    </row>
    <row r="860">
      <c r="A860" s="8"/>
      <c r="B860" s="56" t="str">
        <f t="shared" si="2"/>
        <v/>
      </c>
      <c r="C860" s="105"/>
      <c r="D860" s="10"/>
      <c r="E860" s="59" t="str">
        <f t="array" ref="E860">IF(COUNTA(C860:C1673)=0,"",SUM((COUNTIF(C$4:C860,Upgrades!$B$3:$B$13)-COUNTIF(C$4:C860,"Sell_"&amp;Upgrades!$B$3:$B$13))*Upgrades!$D$3:$D$13))</f>
        <v/>
      </c>
      <c r="F860" s="66" t="str">
        <f>IFERROR(__xludf.DUMMYFUNCTION("IF(COUNTA(C860:C1673)=0,"""",IF(REGEXMATCH(INDEX(FILTER(C$4:C860,C$4:C860&lt;&gt;""""),ROWS(FILTER(C$4:C860,C$4:C860&lt;&gt;""""))),""^Sell_""),INDEX(FILTER(F$4:F859,C$4:C859&lt;&gt;""""),ROWS(FILTER(C$4:C859,C$4:C859&lt;&gt;""""))),$AC$5+E860))"),"")</f>
        <v/>
      </c>
      <c r="G860" s="10" t="str">
        <f>IFERROR(__xludf.DUMMYFUNCTION("IF(COUNTA(C860:C1673)=0,"""",IF(C860="""",0,IF(REGEXMATCH(C860,""^Sell_""),-ROUNDDOWN(ROUNDUP(INDEX(Upgrades!$C$3:$C$13,MATCH(SUBSTITUTE(C860,""Sell_"",""""),Upgrades!$B$3:$B$13,0))*1.15^(COUNTIF(C$4:C859,SUBSTITUTE(C860,""Sell_"",""""))-COUNTIF(C$4:C859,"&amp;"""Sell_""&amp;SUBSTITUTE(C860,""Sell_"",""""))))/2),ROUNDUP(INDEX(Upgrades!$C$3:$C$13,MATCH(C860,Upgrades!$B$3:$B$13,0))*1.15^(COUNTIF(C$4:C859,C860)-COUNTIF(C$4:C859,""Sell_""&amp;C860))))))"),"")</f>
        <v/>
      </c>
      <c r="H860" s="10" t="str">
        <f t="shared" si="3"/>
        <v/>
      </c>
      <c r="I860" s="68" t="str">
        <f t="shared" si="4"/>
        <v/>
      </c>
      <c r="J860" s="59" t="str">
        <f t="shared" si="5"/>
        <v/>
      </c>
      <c r="K860" s="69" t="str">
        <f t="shared" si="6"/>
        <v/>
      </c>
      <c r="L860" s="60" t="str">
        <f t="shared" si="7"/>
        <v/>
      </c>
      <c r="M860" s="61" t="str">
        <f>IFERROR(__xludf.DUMMYFUNCTION("IFS(AND(COUNTA(C860:C1673)=0,COUNTA(Q860:Q1673)=0),"""",OR(AND(K860&gt;=1000000000,OR(Y860&gt;=1000000000,COUNTA(Q860:Q1673)=0)),OR(Y860&gt;=1000000000,AND(COUNTA(C860:C1673)=0,P$3=TRUE))),
ROUNDDOWN((AB$1-AC$1)*MAX(INDEX(T$4:T1673,MATCH(LARGE(FILTER(Y$4:Y1673,Y$4"&amp;":Y1673&lt;1000000000),1),Y$4:Y1673)),INDEX(F$4:F1673,MATCH(LARGE(FILTER(K$4:K1673,K$4:K1673&lt;1000000000),1),K$4:K1673)))),AND(K860&lt;1000000000,COUNTA(C860:C1673)&gt;0,P$3=FALSE),
ROUNDDOWN(INDEX(Y$4:Y1673,MATCH(LARGE(FILTER(W$4:W1673,W$4:W1673&lt;=I860),1),W$4:W1673"&amp;"))+(I860-LARGE(FILTER(W$4:W1673,W$4:W1673&lt;=I860),1))*INDEX(T$4:T1673,MATCH(LARGE(FILTER(W$4:W1673,W$4:W1673&lt;=I860),1),W$4:W1673))-K860),1,
ROUNDDOWN(Y860-INDEX(K$4:K1673,MATCH(LARGE(FILTER(I$4:I1673,I$4:I1673&lt;=W860),1),I$4:I1673))-(W860-LARGE(FILTER(I$4:I"&amp;"1673,I$4:I1673&lt;=W860),1))*INDEX(F$4:F1673,MATCH(LARGE(FILTER(I$4:I1673,I$4:I1673&lt;=W860),1),I$4:I1673))))"),"")</f>
        <v/>
      </c>
      <c r="N860" s="60" t="str">
        <f t="shared" si="8"/>
        <v/>
      </c>
      <c r="O860" s="61" t="str">
        <f t="shared" si="9"/>
        <v/>
      </c>
      <c r="P860" s="56" t="str">
        <f t="shared" si="10"/>
        <v/>
      </c>
      <c r="R860" s="10"/>
      <c r="S860" s="59" t="str">
        <f t="array" ref="S860">IF(COUNTA(Q860:Q1673)=0,"",SUM((COUNTIF(Q$4:Q860,Upgrades!$B$3:$B$13)-COUNTIF(Q$4:Q860,"Sell_"&amp;Upgrades!$B$3:$B$13))*Upgrades!$D$3:$D$13))</f>
        <v/>
      </c>
      <c r="T860" s="66" t="str">
        <f>IFERROR(__xludf.DUMMYFUNCTION("IF(COUNTA(Q860:Q1673)=0,"""",IF(REGEXMATCH(INDEX(FILTER(Q$4:Q860,Q$4:Q860&lt;&gt;""""),ROWS(FILTER(Q$4:Q860,Q$4:Q860&lt;&gt;""""))),""^Sell_""),INDEX(FILTER(T$4:T859,Q$4:Q859&lt;&gt;""""),ROWS(FILTER(Q$4:Q859,Q$4:Q859&lt;&gt;""""))),$AD$5+S860))"),"")</f>
        <v/>
      </c>
      <c r="U860" s="10" t="str">
        <f>IFERROR(__xludf.DUMMYFUNCTION("IF(COUNTA(Q860:Q1673)=0,"""",IF(Q860="""",0,IF(REGEXMATCH(Q860,""^Sell_""),-ROUNDDOWN(ROUNDUP(INDEX(Upgrades!$C$3:$C$13,MATCH(SUBSTITUTE(Q860,""Sell_"",""""),Upgrades!$B$3:$B$13,0))*1.15^(COUNTIF(Q$4:Q859,SUBSTITUTE(Q860,""Sell_"",""""))-COUNTIF(Q$4:Q859,"&amp;"""Sell_""&amp;SUBSTITUTE(Q860,""Sell_"",""""))))/2),ROUNDUP(INDEX(Upgrades!$C$3:$C$13,MATCH(Q860,Upgrades!$B$3:$B$13,0))*1.15^(COUNTIF(Q$4:Q859,Q860)-COUNTIF(Q$4:Q859,""Sell_""&amp;Q860))))))"),"")</f>
        <v/>
      </c>
      <c r="V860" s="10" t="str">
        <f t="shared" si="11"/>
        <v/>
      </c>
      <c r="W860" s="68" t="str">
        <f t="shared" si="12"/>
        <v/>
      </c>
      <c r="X860" s="59" t="str">
        <f t="shared" si="13"/>
        <v/>
      </c>
      <c r="Y860" s="69" t="str">
        <f t="shared" si="14"/>
        <v/>
      </c>
      <c r="Z860" s="11"/>
    </row>
    <row r="861">
      <c r="A861" s="8"/>
      <c r="B861" s="56" t="str">
        <f t="shared" si="2"/>
        <v/>
      </c>
      <c r="C861" s="105"/>
      <c r="D861" s="10"/>
      <c r="E861" s="59" t="str">
        <f t="array" ref="E861">IF(COUNTA(C861:C1673)=0,"",SUM((COUNTIF(C$4:C861,Upgrades!$B$3:$B$13)-COUNTIF(C$4:C861,"Sell_"&amp;Upgrades!$B$3:$B$13))*Upgrades!$D$3:$D$13))</f>
        <v/>
      </c>
      <c r="F861" s="66" t="str">
        <f>IFERROR(__xludf.DUMMYFUNCTION("IF(COUNTA(C861:C1673)=0,"""",IF(REGEXMATCH(INDEX(FILTER(C$4:C861,C$4:C861&lt;&gt;""""),ROWS(FILTER(C$4:C861,C$4:C861&lt;&gt;""""))),""^Sell_""),INDEX(FILTER(F$4:F860,C$4:C860&lt;&gt;""""),ROWS(FILTER(C$4:C860,C$4:C860&lt;&gt;""""))),$AC$5+E861))"),"")</f>
        <v/>
      </c>
      <c r="G861" s="10" t="str">
        <f>IFERROR(__xludf.DUMMYFUNCTION("IF(COUNTA(C861:C1673)=0,"""",IF(C861="""",0,IF(REGEXMATCH(C861,""^Sell_""),-ROUNDDOWN(ROUNDUP(INDEX(Upgrades!$C$3:$C$13,MATCH(SUBSTITUTE(C861,""Sell_"",""""),Upgrades!$B$3:$B$13,0))*1.15^(COUNTIF(C$4:C860,SUBSTITUTE(C861,""Sell_"",""""))-COUNTIF(C$4:C860,"&amp;"""Sell_""&amp;SUBSTITUTE(C861,""Sell_"",""""))))/2),ROUNDUP(INDEX(Upgrades!$C$3:$C$13,MATCH(C861,Upgrades!$B$3:$B$13,0))*1.15^(COUNTIF(C$4:C860,C861)-COUNTIF(C$4:C860,""Sell_""&amp;C861))))))"),"")</f>
        <v/>
      </c>
      <c r="H861" s="10" t="str">
        <f t="shared" si="3"/>
        <v/>
      </c>
      <c r="I861" s="68" t="str">
        <f t="shared" si="4"/>
        <v/>
      </c>
      <c r="J861" s="59" t="str">
        <f t="shared" si="5"/>
        <v/>
      </c>
      <c r="K861" s="69" t="str">
        <f t="shared" si="6"/>
        <v/>
      </c>
      <c r="L861" s="60" t="str">
        <f t="shared" si="7"/>
        <v/>
      </c>
      <c r="M861" s="61" t="str">
        <f>IFERROR(__xludf.DUMMYFUNCTION("IFS(AND(COUNTA(C861:C1673)=0,COUNTA(Q861:Q1673)=0),"""",OR(AND(K861&gt;=1000000000,OR(Y861&gt;=1000000000,COUNTA(Q861:Q1673)=0)),OR(Y861&gt;=1000000000,AND(COUNTA(C861:C1673)=0,P$3=TRUE))),
ROUNDDOWN((AB$1-AC$1)*MAX(INDEX(T$4:T1673,MATCH(LARGE(FILTER(Y$4:Y1673,Y$4"&amp;":Y1673&lt;1000000000),1),Y$4:Y1673)),INDEX(F$4:F1673,MATCH(LARGE(FILTER(K$4:K1673,K$4:K1673&lt;1000000000),1),K$4:K1673)))),AND(K861&lt;1000000000,COUNTA(C861:C1673)&gt;0,P$3=FALSE),
ROUNDDOWN(INDEX(Y$4:Y1673,MATCH(LARGE(FILTER(W$4:W1673,W$4:W1673&lt;=I861),1),W$4:W1673"&amp;"))+(I861-LARGE(FILTER(W$4:W1673,W$4:W1673&lt;=I861),1))*INDEX(T$4:T1673,MATCH(LARGE(FILTER(W$4:W1673,W$4:W1673&lt;=I861),1),W$4:W1673))-K861),1,
ROUNDDOWN(Y861-INDEX(K$4:K1673,MATCH(LARGE(FILTER(I$4:I1673,I$4:I1673&lt;=W861),1),I$4:I1673))-(W861-LARGE(FILTER(I$4:I"&amp;"1673,I$4:I1673&lt;=W861),1))*INDEX(F$4:F1673,MATCH(LARGE(FILTER(I$4:I1673,I$4:I1673&lt;=W861),1),I$4:I1673))))"),"")</f>
        <v/>
      </c>
      <c r="N861" s="60" t="str">
        <f t="shared" si="8"/>
        <v/>
      </c>
      <c r="O861" s="61" t="str">
        <f t="shared" si="9"/>
        <v/>
      </c>
      <c r="P861" s="56" t="str">
        <f t="shared" si="10"/>
        <v/>
      </c>
      <c r="R861" s="10"/>
      <c r="S861" s="59" t="str">
        <f t="array" ref="S861">IF(COUNTA(Q861:Q1673)=0,"",SUM((COUNTIF(Q$4:Q861,Upgrades!$B$3:$B$13)-COUNTIF(Q$4:Q861,"Sell_"&amp;Upgrades!$B$3:$B$13))*Upgrades!$D$3:$D$13))</f>
        <v/>
      </c>
      <c r="T861" s="66" t="str">
        <f>IFERROR(__xludf.DUMMYFUNCTION("IF(COUNTA(Q861:Q1673)=0,"""",IF(REGEXMATCH(INDEX(FILTER(Q$4:Q861,Q$4:Q861&lt;&gt;""""),ROWS(FILTER(Q$4:Q861,Q$4:Q861&lt;&gt;""""))),""^Sell_""),INDEX(FILTER(T$4:T860,Q$4:Q860&lt;&gt;""""),ROWS(FILTER(Q$4:Q860,Q$4:Q860&lt;&gt;""""))),$AD$5+S861))"),"")</f>
        <v/>
      </c>
      <c r="U861" s="10" t="str">
        <f>IFERROR(__xludf.DUMMYFUNCTION("IF(COUNTA(Q861:Q1673)=0,"""",IF(Q861="""",0,IF(REGEXMATCH(Q861,""^Sell_""),-ROUNDDOWN(ROUNDUP(INDEX(Upgrades!$C$3:$C$13,MATCH(SUBSTITUTE(Q861,""Sell_"",""""),Upgrades!$B$3:$B$13,0))*1.15^(COUNTIF(Q$4:Q860,SUBSTITUTE(Q861,""Sell_"",""""))-COUNTIF(Q$4:Q860,"&amp;"""Sell_""&amp;SUBSTITUTE(Q861,""Sell_"",""""))))/2),ROUNDUP(INDEX(Upgrades!$C$3:$C$13,MATCH(Q861,Upgrades!$B$3:$B$13,0))*1.15^(COUNTIF(Q$4:Q860,Q861)-COUNTIF(Q$4:Q860,""Sell_""&amp;Q861))))))"),"")</f>
        <v/>
      </c>
      <c r="V861" s="10" t="str">
        <f t="shared" si="11"/>
        <v/>
      </c>
      <c r="W861" s="68" t="str">
        <f t="shared" si="12"/>
        <v/>
      </c>
      <c r="X861" s="59" t="str">
        <f t="shared" si="13"/>
        <v/>
      </c>
      <c r="Y861" s="69" t="str">
        <f t="shared" si="14"/>
        <v/>
      </c>
      <c r="Z861" s="11"/>
    </row>
    <row r="862">
      <c r="A862" s="8"/>
      <c r="B862" s="56" t="str">
        <f t="shared" si="2"/>
        <v/>
      </c>
      <c r="C862" s="105"/>
      <c r="D862" s="10"/>
      <c r="E862" s="59" t="str">
        <f t="array" ref="E862">IF(COUNTA(C862:C1673)=0,"",SUM((COUNTIF(C$4:C862,Upgrades!$B$3:$B$13)-COUNTIF(C$4:C862,"Sell_"&amp;Upgrades!$B$3:$B$13))*Upgrades!$D$3:$D$13))</f>
        <v/>
      </c>
      <c r="F862" s="66" t="str">
        <f>IFERROR(__xludf.DUMMYFUNCTION("IF(COUNTA(C862:C1673)=0,"""",IF(REGEXMATCH(INDEX(FILTER(C$4:C862,C$4:C862&lt;&gt;""""),ROWS(FILTER(C$4:C862,C$4:C862&lt;&gt;""""))),""^Sell_""),INDEX(FILTER(F$4:F861,C$4:C861&lt;&gt;""""),ROWS(FILTER(C$4:C861,C$4:C861&lt;&gt;""""))),$AC$5+E862))"),"")</f>
        <v/>
      </c>
      <c r="G862" s="10" t="str">
        <f>IFERROR(__xludf.DUMMYFUNCTION("IF(COUNTA(C862:C1673)=0,"""",IF(C862="""",0,IF(REGEXMATCH(C862,""^Sell_""),-ROUNDDOWN(ROUNDUP(INDEX(Upgrades!$C$3:$C$13,MATCH(SUBSTITUTE(C862,""Sell_"",""""),Upgrades!$B$3:$B$13,0))*1.15^(COUNTIF(C$4:C861,SUBSTITUTE(C862,""Sell_"",""""))-COUNTIF(C$4:C861,"&amp;"""Sell_""&amp;SUBSTITUTE(C862,""Sell_"",""""))))/2),ROUNDUP(INDEX(Upgrades!$C$3:$C$13,MATCH(C862,Upgrades!$B$3:$B$13,0))*1.15^(COUNTIF(C$4:C861,C862)-COUNTIF(C$4:C861,""Sell_""&amp;C862))))))"),"")</f>
        <v/>
      </c>
      <c r="H862" s="10" t="str">
        <f t="shared" si="3"/>
        <v/>
      </c>
      <c r="I862" s="68" t="str">
        <f t="shared" si="4"/>
        <v/>
      </c>
      <c r="J862" s="59" t="str">
        <f t="shared" si="5"/>
        <v/>
      </c>
      <c r="K862" s="69" t="str">
        <f t="shared" si="6"/>
        <v/>
      </c>
      <c r="L862" s="60" t="str">
        <f t="shared" si="7"/>
        <v/>
      </c>
      <c r="M862" s="61" t="str">
        <f>IFERROR(__xludf.DUMMYFUNCTION("IFS(AND(COUNTA(C862:C1673)=0,COUNTA(Q862:Q1673)=0),"""",OR(AND(K862&gt;=1000000000,OR(Y862&gt;=1000000000,COUNTA(Q862:Q1673)=0)),OR(Y862&gt;=1000000000,AND(COUNTA(C862:C1673)=0,P$3=TRUE))),
ROUNDDOWN((AB$1-AC$1)*MAX(INDEX(T$4:T1673,MATCH(LARGE(FILTER(Y$4:Y1673,Y$4"&amp;":Y1673&lt;1000000000),1),Y$4:Y1673)),INDEX(F$4:F1673,MATCH(LARGE(FILTER(K$4:K1673,K$4:K1673&lt;1000000000),1),K$4:K1673)))),AND(K862&lt;1000000000,COUNTA(C862:C1673)&gt;0,P$3=FALSE),
ROUNDDOWN(INDEX(Y$4:Y1673,MATCH(LARGE(FILTER(W$4:W1673,W$4:W1673&lt;=I862),1),W$4:W1673"&amp;"))+(I862-LARGE(FILTER(W$4:W1673,W$4:W1673&lt;=I862),1))*INDEX(T$4:T1673,MATCH(LARGE(FILTER(W$4:W1673,W$4:W1673&lt;=I862),1),W$4:W1673))-K862),1,
ROUNDDOWN(Y862-INDEX(K$4:K1673,MATCH(LARGE(FILTER(I$4:I1673,I$4:I1673&lt;=W862),1),I$4:I1673))-(W862-LARGE(FILTER(I$4:I"&amp;"1673,I$4:I1673&lt;=W862),1))*INDEX(F$4:F1673,MATCH(LARGE(FILTER(I$4:I1673,I$4:I1673&lt;=W862),1),I$4:I1673))))"),"")</f>
        <v/>
      </c>
      <c r="N862" s="60" t="str">
        <f t="shared" si="8"/>
        <v/>
      </c>
      <c r="O862" s="61" t="str">
        <f t="shared" si="9"/>
        <v/>
      </c>
      <c r="P862" s="56" t="str">
        <f t="shared" si="10"/>
        <v/>
      </c>
      <c r="R862" s="10"/>
      <c r="S862" s="59" t="str">
        <f t="array" ref="S862">IF(COUNTA(Q862:Q1673)=0,"",SUM((COUNTIF(Q$4:Q862,Upgrades!$B$3:$B$13)-COUNTIF(Q$4:Q862,"Sell_"&amp;Upgrades!$B$3:$B$13))*Upgrades!$D$3:$D$13))</f>
        <v/>
      </c>
      <c r="T862" s="66" t="str">
        <f>IFERROR(__xludf.DUMMYFUNCTION("IF(COUNTA(Q862:Q1673)=0,"""",IF(REGEXMATCH(INDEX(FILTER(Q$4:Q862,Q$4:Q862&lt;&gt;""""),ROWS(FILTER(Q$4:Q862,Q$4:Q862&lt;&gt;""""))),""^Sell_""),INDEX(FILTER(T$4:T861,Q$4:Q861&lt;&gt;""""),ROWS(FILTER(Q$4:Q861,Q$4:Q861&lt;&gt;""""))),$AD$5+S862))"),"")</f>
        <v/>
      </c>
      <c r="U862" s="10" t="str">
        <f>IFERROR(__xludf.DUMMYFUNCTION("IF(COUNTA(Q862:Q1673)=0,"""",IF(Q862="""",0,IF(REGEXMATCH(Q862,""^Sell_""),-ROUNDDOWN(ROUNDUP(INDEX(Upgrades!$C$3:$C$13,MATCH(SUBSTITUTE(Q862,""Sell_"",""""),Upgrades!$B$3:$B$13,0))*1.15^(COUNTIF(Q$4:Q861,SUBSTITUTE(Q862,""Sell_"",""""))-COUNTIF(Q$4:Q861,"&amp;"""Sell_""&amp;SUBSTITUTE(Q862,""Sell_"",""""))))/2),ROUNDUP(INDEX(Upgrades!$C$3:$C$13,MATCH(Q862,Upgrades!$B$3:$B$13,0))*1.15^(COUNTIF(Q$4:Q861,Q862)-COUNTIF(Q$4:Q861,""Sell_""&amp;Q862))))))"),"")</f>
        <v/>
      </c>
      <c r="V862" s="10" t="str">
        <f t="shared" si="11"/>
        <v/>
      </c>
      <c r="W862" s="68" t="str">
        <f t="shared" si="12"/>
        <v/>
      </c>
      <c r="X862" s="59" t="str">
        <f t="shared" si="13"/>
        <v/>
      </c>
      <c r="Y862" s="69" t="str">
        <f t="shared" si="14"/>
        <v/>
      </c>
      <c r="Z862" s="11"/>
    </row>
    <row r="863">
      <c r="A863" s="8"/>
      <c r="B863" s="56" t="str">
        <f t="shared" si="2"/>
        <v/>
      </c>
      <c r="C863" s="105"/>
      <c r="D863" s="10"/>
      <c r="E863" s="59" t="str">
        <f t="array" ref="E863">IF(COUNTA(C863:C1673)=0,"",SUM((COUNTIF(C$4:C863,Upgrades!$B$3:$B$13)-COUNTIF(C$4:C863,"Sell_"&amp;Upgrades!$B$3:$B$13))*Upgrades!$D$3:$D$13))</f>
        <v/>
      </c>
      <c r="F863" s="66" t="str">
        <f>IFERROR(__xludf.DUMMYFUNCTION("IF(COUNTA(C863:C1673)=0,"""",IF(REGEXMATCH(INDEX(FILTER(C$4:C863,C$4:C863&lt;&gt;""""),ROWS(FILTER(C$4:C863,C$4:C863&lt;&gt;""""))),""^Sell_""),INDEX(FILTER(F$4:F862,C$4:C862&lt;&gt;""""),ROWS(FILTER(C$4:C862,C$4:C862&lt;&gt;""""))),$AC$5+E863))"),"")</f>
        <v/>
      </c>
      <c r="G863" s="10" t="str">
        <f>IFERROR(__xludf.DUMMYFUNCTION("IF(COUNTA(C863:C1673)=0,"""",IF(C863="""",0,IF(REGEXMATCH(C863,""^Sell_""),-ROUNDDOWN(ROUNDUP(INDEX(Upgrades!$C$3:$C$13,MATCH(SUBSTITUTE(C863,""Sell_"",""""),Upgrades!$B$3:$B$13,0))*1.15^(COUNTIF(C$4:C862,SUBSTITUTE(C863,""Sell_"",""""))-COUNTIF(C$4:C862,"&amp;"""Sell_""&amp;SUBSTITUTE(C863,""Sell_"",""""))))/2),ROUNDUP(INDEX(Upgrades!$C$3:$C$13,MATCH(C863,Upgrades!$B$3:$B$13,0))*1.15^(COUNTIF(C$4:C862,C863)-COUNTIF(C$4:C862,""Sell_""&amp;C863))))))"),"")</f>
        <v/>
      </c>
      <c r="H863" s="10" t="str">
        <f t="shared" si="3"/>
        <v/>
      </c>
      <c r="I863" s="68" t="str">
        <f t="shared" si="4"/>
        <v/>
      </c>
      <c r="J863" s="59" t="str">
        <f t="shared" si="5"/>
        <v/>
      </c>
      <c r="K863" s="69" t="str">
        <f t="shared" si="6"/>
        <v/>
      </c>
      <c r="L863" s="60" t="str">
        <f t="shared" si="7"/>
        <v/>
      </c>
      <c r="M863" s="61" t="str">
        <f>IFERROR(__xludf.DUMMYFUNCTION("IFS(AND(COUNTA(C863:C1673)=0,COUNTA(Q863:Q1673)=0),"""",OR(AND(K863&gt;=1000000000,OR(Y863&gt;=1000000000,COUNTA(Q863:Q1673)=0)),OR(Y863&gt;=1000000000,AND(COUNTA(C863:C1673)=0,P$3=TRUE))),
ROUNDDOWN((AB$1-AC$1)*MAX(INDEX(T$4:T1673,MATCH(LARGE(FILTER(Y$4:Y1673,Y$4"&amp;":Y1673&lt;1000000000),1),Y$4:Y1673)),INDEX(F$4:F1673,MATCH(LARGE(FILTER(K$4:K1673,K$4:K1673&lt;1000000000),1),K$4:K1673)))),AND(K863&lt;1000000000,COUNTA(C863:C1673)&gt;0,P$3=FALSE),
ROUNDDOWN(INDEX(Y$4:Y1673,MATCH(LARGE(FILTER(W$4:W1673,W$4:W1673&lt;=I863),1),W$4:W1673"&amp;"))+(I863-LARGE(FILTER(W$4:W1673,W$4:W1673&lt;=I863),1))*INDEX(T$4:T1673,MATCH(LARGE(FILTER(W$4:W1673,W$4:W1673&lt;=I863),1),W$4:W1673))-K863),1,
ROUNDDOWN(Y863-INDEX(K$4:K1673,MATCH(LARGE(FILTER(I$4:I1673,I$4:I1673&lt;=W863),1),I$4:I1673))-(W863-LARGE(FILTER(I$4:I"&amp;"1673,I$4:I1673&lt;=W863),1))*INDEX(F$4:F1673,MATCH(LARGE(FILTER(I$4:I1673,I$4:I1673&lt;=W863),1),I$4:I1673))))"),"")</f>
        <v/>
      </c>
      <c r="N863" s="60" t="str">
        <f t="shared" si="8"/>
        <v/>
      </c>
      <c r="O863" s="61" t="str">
        <f t="shared" si="9"/>
        <v/>
      </c>
      <c r="P863" s="56" t="str">
        <f t="shared" si="10"/>
        <v/>
      </c>
      <c r="R863" s="10"/>
      <c r="S863" s="59" t="str">
        <f t="array" ref="S863">IF(COUNTA(Q863:Q1673)=0,"",SUM((COUNTIF(Q$4:Q863,Upgrades!$B$3:$B$13)-COUNTIF(Q$4:Q863,"Sell_"&amp;Upgrades!$B$3:$B$13))*Upgrades!$D$3:$D$13))</f>
        <v/>
      </c>
      <c r="T863" s="66" t="str">
        <f>IFERROR(__xludf.DUMMYFUNCTION("IF(COUNTA(Q863:Q1673)=0,"""",IF(REGEXMATCH(INDEX(FILTER(Q$4:Q863,Q$4:Q863&lt;&gt;""""),ROWS(FILTER(Q$4:Q863,Q$4:Q863&lt;&gt;""""))),""^Sell_""),INDEX(FILTER(T$4:T862,Q$4:Q862&lt;&gt;""""),ROWS(FILTER(Q$4:Q862,Q$4:Q862&lt;&gt;""""))),$AD$5+S863))"),"")</f>
        <v/>
      </c>
      <c r="U863" s="10" t="str">
        <f>IFERROR(__xludf.DUMMYFUNCTION("IF(COUNTA(Q863:Q1673)=0,"""",IF(Q863="""",0,IF(REGEXMATCH(Q863,""^Sell_""),-ROUNDDOWN(ROUNDUP(INDEX(Upgrades!$C$3:$C$13,MATCH(SUBSTITUTE(Q863,""Sell_"",""""),Upgrades!$B$3:$B$13,0))*1.15^(COUNTIF(Q$4:Q862,SUBSTITUTE(Q863,""Sell_"",""""))-COUNTIF(Q$4:Q862,"&amp;"""Sell_""&amp;SUBSTITUTE(Q863,""Sell_"",""""))))/2),ROUNDUP(INDEX(Upgrades!$C$3:$C$13,MATCH(Q863,Upgrades!$B$3:$B$13,0))*1.15^(COUNTIF(Q$4:Q862,Q863)-COUNTIF(Q$4:Q862,""Sell_""&amp;Q863))))))"),"")</f>
        <v/>
      </c>
      <c r="V863" s="10" t="str">
        <f t="shared" si="11"/>
        <v/>
      </c>
      <c r="W863" s="68" t="str">
        <f t="shared" si="12"/>
        <v/>
      </c>
      <c r="X863" s="59" t="str">
        <f t="shared" si="13"/>
        <v/>
      </c>
      <c r="Y863" s="69" t="str">
        <f t="shared" si="14"/>
        <v/>
      </c>
      <c r="Z863" s="11"/>
    </row>
    <row r="864">
      <c r="A864" s="8"/>
      <c r="B864" s="56" t="str">
        <f t="shared" si="2"/>
        <v/>
      </c>
      <c r="C864" s="105"/>
      <c r="D864" s="10"/>
      <c r="E864" s="59" t="str">
        <f t="array" ref="E864">IF(COUNTA(C864:C1673)=0,"",SUM((COUNTIF(C$4:C864,Upgrades!$B$3:$B$13)-COUNTIF(C$4:C864,"Sell_"&amp;Upgrades!$B$3:$B$13))*Upgrades!$D$3:$D$13))</f>
        <v/>
      </c>
      <c r="F864" s="66" t="str">
        <f>IFERROR(__xludf.DUMMYFUNCTION("IF(COUNTA(C864:C1673)=0,"""",IF(REGEXMATCH(INDEX(FILTER(C$4:C864,C$4:C864&lt;&gt;""""),ROWS(FILTER(C$4:C864,C$4:C864&lt;&gt;""""))),""^Sell_""),INDEX(FILTER(F$4:F863,C$4:C863&lt;&gt;""""),ROWS(FILTER(C$4:C863,C$4:C863&lt;&gt;""""))),$AC$5+E864))"),"")</f>
        <v/>
      </c>
      <c r="G864" s="10" t="str">
        <f>IFERROR(__xludf.DUMMYFUNCTION("IF(COUNTA(C864:C1673)=0,"""",IF(C864="""",0,IF(REGEXMATCH(C864,""^Sell_""),-ROUNDDOWN(ROUNDUP(INDEX(Upgrades!$C$3:$C$13,MATCH(SUBSTITUTE(C864,""Sell_"",""""),Upgrades!$B$3:$B$13,0))*1.15^(COUNTIF(C$4:C863,SUBSTITUTE(C864,""Sell_"",""""))-COUNTIF(C$4:C863,"&amp;"""Sell_""&amp;SUBSTITUTE(C864,""Sell_"",""""))))/2),ROUNDUP(INDEX(Upgrades!$C$3:$C$13,MATCH(C864,Upgrades!$B$3:$B$13,0))*1.15^(COUNTIF(C$4:C863,C864)-COUNTIF(C$4:C863,""Sell_""&amp;C864))))))"),"")</f>
        <v/>
      </c>
      <c r="H864" s="10" t="str">
        <f t="shared" si="3"/>
        <v/>
      </c>
      <c r="I864" s="68" t="str">
        <f t="shared" si="4"/>
        <v/>
      </c>
      <c r="J864" s="59" t="str">
        <f t="shared" si="5"/>
        <v/>
      </c>
      <c r="K864" s="69" t="str">
        <f t="shared" si="6"/>
        <v/>
      </c>
      <c r="L864" s="60" t="str">
        <f t="shared" si="7"/>
        <v/>
      </c>
      <c r="M864" s="61" t="str">
        <f>IFERROR(__xludf.DUMMYFUNCTION("IFS(AND(COUNTA(C864:C1673)=0,COUNTA(Q864:Q1673)=0),"""",OR(AND(K864&gt;=1000000000,OR(Y864&gt;=1000000000,COUNTA(Q864:Q1673)=0)),OR(Y864&gt;=1000000000,AND(COUNTA(C864:C1673)=0,P$3=TRUE))),
ROUNDDOWN((AB$1-AC$1)*MAX(INDEX(T$4:T1673,MATCH(LARGE(FILTER(Y$4:Y1673,Y$4"&amp;":Y1673&lt;1000000000),1),Y$4:Y1673)),INDEX(F$4:F1673,MATCH(LARGE(FILTER(K$4:K1673,K$4:K1673&lt;1000000000),1),K$4:K1673)))),AND(K864&lt;1000000000,COUNTA(C864:C1673)&gt;0,P$3=FALSE),
ROUNDDOWN(INDEX(Y$4:Y1673,MATCH(LARGE(FILTER(W$4:W1673,W$4:W1673&lt;=I864),1),W$4:W1673"&amp;"))+(I864-LARGE(FILTER(W$4:W1673,W$4:W1673&lt;=I864),1))*INDEX(T$4:T1673,MATCH(LARGE(FILTER(W$4:W1673,W$4:W1673&lt;=I864),1),W$4:W1673))-K864),1,
ROUNDDOWN(Y864-INDEX(K$4:K1673,MATCH(LARGE(FILTER(I$4:I1673,I$4:I1673&lt;=W864),1),I$4:I1673))-(W864-LARGE(FILTER(I$4:I"&amp;"1673,I$4:I1673&lt;=W864),1))*INDEX(F$4:F1673,MATCH(LARGE(FILTER(I$4:I1673,I$4:I1673&lt;=W864),1),I$4:I1673))))"),"")</f>
        <v/>
      </c>
      <c r="N864" s="60" t="str">
        <f t="shared" si="8"/>
        <v/>
      </c>
      <c r="O864" s="61" t="str">
        <f t="shared" si="9"/>
        <v/>
      </c>
      <c r="P864" s="56" t="str">
        <f t="shared" si="10"/>
        <v/>
      </c>
      <c r="R864" s="10"/>
      <c r="S864" s="59" t="str">
        <f t="array" ref="S864">IF(COUNTA(Q864:Q1673)=0,"",SUM((COUNTIF(Q$4:Q864,Upgrades!$B$3:$B$13)-COUNTIF(Q$4:Q864,"Sell_"&amp;Upgrades!$B$3:$B$13))*Upgrades!$D$3:$D$13))</f>
        <v/>
      </c>
      <c r="T864" s="66" t="str">
        <f>IFERROR(__xludf.DUMMYFUNCTION("IF(COUNTA(Q864:Q1673)=0,"""",IF(REGEXMATCH(INDEX(FILTER(Q$4:Q864,Q$4:Q864&lt;&gt;""""),ROWS(FILTER(Q$4:Q864,Q$4:Q864&lt;&gt;""""))),""^Sell_""),INDEX(FILTER(T$4:T863,Q$4:Q863&lt;&gt;""""),ROWS(FILTER(Q$4:Q863,Q$4:Q863&lt;&gt;""""))),$AD$5+S864))"),"")</f>
        <v/>
      </c>
      <c r="U864" s="10" t="str">
        <f>IFERROR(__xludf.DUMMYFUNCTION("IF(COUNTA(Q864:Q1673)=0,"""",IF(Q864="""",0,IF(REGEXMATCH(Q864,""^Sell_""),-ROUNDDOWN(ROUNDUP(INDEX(Upgrades!$C$3:$C$13,MATCH(SUBSTITUTE(Q864,""Sell_"",""""),Upgrades!$B$3:$B$13,0))*1.15^(COUNTIF(Q$4:Q863,SUBSTITUTE(Q864,""Sell_"",""""))-COUNTIF(Q$4:Q863,"&amp;"""Sell_""&amp;SUBSTITUTE(Q864,""Sell_"",""""))))/2),ROUNDUP(INDEX(Upgrades!$C$3:$C$13,MATCH(Q864,Upgrades!$B$3:$B$13,0))*1.15^(COUNTIF(Q$4:Q863,Q864)-COUNTIF(Q$4:Q863,""Sell_""&amp;Q864))))))"),"")</f>
        <v/>
      </c>
      <c r="V864" s="10" t="str">
        <f t="shared" si="11"/>
        <v/>
      </c>
      <c r="W864" s="68" t="str">
        <f t="shared" si="12"/>
        <v/>
      </c>
      <c r="X864" s="59" t="str">
        <f t="shared" si="13"/>
        <v/>
      </c>
      <c r="Y864" s="69" t="str">
        <f t="shared" si="14"/>
        <v/>
      </c>
      <c r="Z864" s="11"/>
    </row>
    <row r="865">
      <c r="A865" s="8"/>
      <c r="B865" s="56" t="str">
        <f t="shared" si="2"/>
        <v/>
      </c>
      <c r="C865" s="105"/>
      <c r="D865" s="10"/>
      <c r="E865" s="59" t="str">
        <f t="array" ref="E865">IF(COUNTA(C865:C1673)=0,"",SUM((COUNTIF(C$4:C865,Upgrades!$B$3:$B$13)-COUNTIF(C$4:C865,"Sell_"&amp;Upgrades!$B$3:$B$13))*Upgrades!$D$3:$D$13))</f>
        <v/>
      </c>
      <c r="F865" s="66" t="str">
        <f>IFERROR(__xludf.DUMMYFUNCTION("IF(COUNTA(C865:C1673)=0,"""",IF(REGEXMATCH(INDEX(FILTER(C$4:C865,C$4:C865&lt;&gt;""""),ROWS(FILTER(C$4:C865,C$4:C865&lt;&gt;""""))),""^Sell_""),INDEX(FILTER(F$4:F864,C$4:C864&lt;&gt;""""),ROWS(FILTER(C$4:C864,C$4:C864&lt;&gt;""""))),$AC$5+E865))"),"")</f>
        <v/>
      </c>
      <c r="G865" s="10" t="str">
        <f>IFERROR(__xludf.DUMMYFUNCTION("IF(COUNTA(C865:C1673)=0,"""",IF(C865="""",0,IF(REGEXMATCH(C865,""^Sell_""),-ROUNDDOWN(ROUNDUP(INDEX(Upgrades!$C$3:$C$13,MATCH(SUBSTITUTE(C865,""Sell_"",""""),Upgrades!$B$3:$B$13,0))*1.15^(COUNTIF(C$4:C864,SUBSTITUTE(C865,""Sell_"",""""))-COUNTIF(C$4:C864,"&amp;"""Sell_""&amp;SUBSTITUTE(C865,""Sell_"",""""))))/2),ROUNDUP(INDEX(Upgrades!$C$3:$C$13,MATCH(C865,Upgrades!$B$3:$B$13,0))*1.15^(COUNTIF(C$4:C864,C865)-COUNTIF(C$4:C864,""Sell_""&amp;C865))))))"),"")</f>
        <v/>
      </c>
      <c r="H865" s="10" t="str">
        <f t="shared" si="3"/>
        <v/>
      </c>
      <c r="I865" s="68" t="str">
        <f t="shared" si="4"/>
        <v/>
      </c>
      <c r="J865" s="59" t="str">
        <f t="shared" si="5"/>
        <v/>
      </c>
      <c r="K865" s="69" t="str">
        <f t="shared" si="6"/>
        <v/>
      </c>
      <c r="L865" s="60" t="str">
        <f t="shared" si="7"/>
        <v/>
      </c>
      <c r="M865" s="61" t="str">
        <f>IFERROR(__xludf.DUMMYFUNCTION("IFS(AND(COUNTA(C865:C1673)=0,COUNTA(Q865:Q1673)=0),"""",OR(AND(K865&gt;=1000000000,OR(Y865&gt;=1000000000,COUNTA(Q865:Q1673)=0)),OR(Y865&gt;=1000000000,AND(COUNTA(C865:C1673)=0,P$3=TRUE))),
ROUNDDOWN((AB$1-AC$1)*MAX(INDEX(T$4:T1673,MATCH(LARGE(FILTER(Y$4:Y1673,Y$4"&amp;":Y1673&lt;1000000000),1),Y$4:Y1673)),INDEX(F$4:F1673,MATCH(LARGE(FILTER(K$4:K1673,K$4:K1673&lt;1000000000),1),K$4:K1673)))),AND(K865&lt;1000000000,COUNTA(C865:C1673)&gt;0,P$3=FALSE),
ROUNDDOWN(INDEX(Y$4:Y1673,MATCH(LARGE(FILTER(W$4:W1673,W$4:W1673&lt;=I865),1),W$4:W1673"&amp;"))+(I865-LARGE(FILTER(W$4:W1673,W$4:W1673&lt;=I865),1))*INDEX(T$4:T1673,MATCH(LARGE(FILTER(W$4:W1673,W$4:W1673&lt;=I865),1),W$4:W1673))-K865),1,
ROUNDDOWN(Y865-INDEX(K$4:K1673,MATCH(LARGE(FILTER(I$4:I1673,I$4:I1673&lt;=W865),1),I$4:I1673))-(W865-LARGE(FILTER(I$4:I"&amp;"1673,I$4:I1673&lt;=W865),1))*INDEX(F$4:F1673,MATCH(LARGE(FILTER(I$4:I1673,I$4:I1673&lt;=W865),1),I$4:I1673))))"),"")</f>
        <v/>
      </c>
      <c r="N865" s="60" t="str">
        <f t="shared" si="8"/>
        <v/>
      </c>
      <c r="O865" s="61" t="str">
        <f t="shared" si="9"/>
        <v/>
      </c>
      <c r="P865" s="56" t="str">
        <f t="shared" si="10"/>
        <v/>
      </c>
      <c r="R865" s="10"/>
      <c r="S865" s="59" t="str">
        <f t="array" ref="S865">IF(COUNTA(Q865:Q1673)=0,"",SUM((COUNTIF(Q$4:Q865,Upgrades!$B$3:$B$13)-COUNTIF(Q$4:Q865,"Sell_"&amp;Upgrades!$B$3:$B$13))*Upgrades!$D$3:$D$13))</f>
        <v/>
      </c>
      <c r="T865" s="66" t="str">
        <f>IFERROR(__xludf.DUMMYFUNCTION("IF(COUNTA(Q865:Q1673)=0,"""",IF(REGEXMATCH(INDEX(FILTER(Q$4:Q865,Q$4:Q865&lt;&gt;""""),ROWS(FILTER(Q$4:Q865,Q$4:Q865&lt;&gt;""""))),""^Sell_""),INDEX(FILTER(T$4:T864,Q$4:Q864&lt;&gt;""""),ROWS(FILTER(Q$4:Q864,Q$4:Q864&lt;&gt;""""))),$AD$5+S865))"),"")</f>
        <v/>
      </c>
      <c r="U865" s="10" t="str">
        <f>IFERROR(__xludf.DUMMYFUNCTION("IF(COUNTA(Q865:Q1673)=0,"""",IF(Q865="""",0,IF(REGEXMATCH(Q865,""^Sell_""),-ROUNDDOWN(ROUNDUP(INDEX(Upgrades!$C$3:$C$13,MATCH(SUBSTITUTE(Q865,""Sell_"",""""),Upgrades!$B$3:$B$13,0))*1.15^(COUNTIF(Q$4:Q864,SUBSTITUTE(Q865,""Sell_"",""""))-COUNTIF(Q$4:Q864,"&amp;"""Sell_""&amp;SUBSTITUTE(Q865,""Sell_"",""""))))/2),ROUNDUP(INDEX(Upgrades!$C$3:$C$13,MATCH(Q865,Upgrades!$B$3:$B$13,0))*1.15^(COUNTIF(Q$4:Q864,Q865)-COUNTIF(Q$4:Q864,""Sell_""&amp;Q865))))))"),"")</f>
        <v/>
      </c>
      <c r="V865" s="10" t="str">
        <f t="shared" si="11"/>
        <v/>
      </c>
      <c r="W865" s="68" t="str">
        <f t="shared" si="12"/>
        <v/>
      </c>
      <c r="X865" s="59" t="str">
        <f t="shared" si="13"/>
        <v/>
      </c>
      <c r="Y865" s="69" t="str">
        <f t="shared" si="14"/>
        <v/>
      </c>
      <c r="Z865" s="11"/>
    </row>
    <row r="866">
      <c r="A866" s="8"/>
      <c r="B866" s="56" t="str">
        <f t="shared" si="2"/>
        <v/>
      </c>
      <c r="C866" s="105"/>
      <c r="D866" s="10"/>
      <c r="E866" s="59" t="str">
        <f t="array" ref="E866">IF(COUNTA(C866:C1673)=0,"",SUM((COUNTIF(C$4:C866,Upgrades!$B$3:$B$13)-COUNTIF(C$4:C866,"Sell_"&amp;Upgrades!$B$3:$B$13))*Upgrades!$D$3:$D$13))</f>
        <v/>
      </c>
      <c r="F866" s="66" t="str">
        <f>IFERROR(__xludf.DUMMYFUNCTION("IF(COUNTA(C866:C1673)=0,"""",IF(REGEXMATCH(INDEX(FILTER(C$4:C866,C$4:C866&lt;&gt;""""),ROWS(FILTER(C$4:C866,C$4:C866&lt;&gt;""""))),""^Sell_""),INDEX(FILTER(F$4:F865,C$4:C865&lt;&gt;""""),ROWS(FILTER(C$4:C865,C$4:C865&lt;&gt;""""))),$AC$5+E866))"),"")</f>
        <v/>
      </c>
      <c r="G866" s="10" t="str">
        <f>IFERROR(__xludf.DUMMYFUNCTION("IF(COUNTA(C866:C1673)=0,"""",IF(C866="""",0,IF(REGEXMATCH(C866,""^Sell_""),-ROUNDDOWN(ROUNDUP(INDEX(Upgrades!$C$3:$C$13,MATCH(SUBSTITUTE(C866,""Sell_"",""""),Upgrades!$B$3:$B$13,0))*1.15^(COUNTIF(C$4:C865,SUBSTITUTE(C866,""Sell_"",""""))-COUNTIF(C$4:C865,"&amp;"""Sell_""&amp;SUBSTITUTE(C866,""Sell_"",""""))))/2),ROUNDUP(INDEX(Upgrades!$C$3:$C$13,MATCH(C866,Upgrades!$B$3:$B$13,0))*1.15^(COUNTIF(C$4:C865,C866)-COUNTIF(C$4:C865,""Sell_""&amp;C866))))))"),"")</f>
        <v/>
      </c>
      <c r="H866" s="10" t="str">
        <f t="shared" si="3"/>
        <v/>
      </c>
      <c r="I866" s="68" t="str">
        <f t="shared" si="4"/>
        <v/>
      </c>
      <c r="J866" s="59" t="str">
        <f t="shared" si="5"/>
        <v/>
      </c>
      <c r="K866" s="69" t="str">
        <f t="shared" si="6"/>
        <v/>
      </c>
      <c r="L866" s="60" t="str">
        <f t="shared" si="7"/>
        <v/>
      </c>
      <c r="M866" s="61" t="str">
        <f>IFERROR(__xludf.DUMMYFUNCTION("IFS(AND(COUNTA(C866:C1673)=0,COUNTA(Q866:Q1673)=0),"""",OR(AND(K866&gt;=1000000000,OR(Y866&gt;=1000000000,COUNTA(Q866:Q1673)=0)),OR(Y866&gt;=1000000000,AND(COUNTA(C866:C1673)=0,P$3=TRUE))),
ROUNDDOWN((AB$1-AC$1)*MAX(INDEX(T$4:T1673,MATCH(LARGE(FILTER(Y$4:Y1673,Y$4"&amp;":Y1673&lt;1000000000),1),Y$4:Y1673)),INDEX(F$4:F1673,MATCH(LARGE(FILTER(K$4:K1673,K$4:K1673&lt;1000000000),1),K$4:K1673)))),AND(K866&lt;1000000000,COUNTA(C866:C1673)&gt;0,P$3=FALSE),
ROUNDDOWN(INDEX(Y$4:Y1673,MATCH(LARGE(FILTER(W$4:W1673,W$4:W1673&lt;=I866),1),W$4:W1673"&amp;"))+(I866-LARGE(FILTER(W$4:W1673,W$4:W1673&lt;=I866),1))*INDEX(T$4:T1673,MATCH(LARGE(FILTER(W$4:W1673,W$4:W1673&lt;=I866),1),W$4:W1673))-K866),1,
ROUNDDOWN(Y866-INDEX(K$4:K1673,MATCH(LARGE(FILTER(I$4:I1673,I$4:I1673&lt;=W866),1),I$4:I1673))-(W866-LARGE(FILTER(I$4:I"&amp;"1673,I$4:I1673&lt;=W866),1))*INDEX(F$4:F1673,MATCH(LARGE(FILTER(I$4:I1673,I$4:I1673&lt;=W866),1),I$4:I1673))))"),"")</f>
        <v/>
      </c>
      <c r="N866" s="60" t="str">
        <f t="shared" si="8"/>
        <v/>
      </c>
      <c r="O866" s="61" t="str">
        <f t="shared" si="9"/>
        <v/>
      </c>
      <c r="P866" s="56" t="str">
        <f t="shared" si="10"/>
        <v/>
      </c>
      <c r="R866" s="10"/>
      <c r="S866" s="59" t="str">
        <f t="array" ref="S866">IF(COUNTA(Q866:Q1673)=0,"",SUM((COUNTIF(Q$4:Q866,Upgrades!$B$3:$B$13)-COUNTIF(Q$4:Q866,"Sell_"&amp;Upgrades!$B$3:$B$13))*Upgrades!$D$3:$D$13))</f>
        <v/>
      </c>
      <c r="T866" s="66" t="str">
        <f>IFERROR(__xludf.DUMMYFUNCTION("IF(COUNTA(Q866:Q1673)=0,"""",IF(REGEXMATCH(INDEX(FILTER(Q$4:Q866,Q$4:Q866&lt;&gt;""""),ROWS(FILTER(Q$4:Q866,Q$4:Q866&lt;&gt;""""))),""^Sell_""),INDEX(FILTER(T$4:T865,Q$4:Q865&lt;&gt;""""),ROWS(FILTER(Q$4:Q865,Q$4:Q865&lt;&gt;""""))),$AD$5+S866))"),"")</f>
        <v/>
      </c>
      <c r="U866" s="10" t="str">
        <f>IFERROR(__xludf.DUMMYFUNCTION("IF(COUNTA(Q866:Q1673)=0,"""",IF(Q866="""",0,IF(REGEXMATCH(Q866,""^Sell_""),-ROUNDDOWN(ROUNDUP(INDEX(Upgrades!$C$3:$C$13,MATCH(SUBSTITUTE(Q866,""Sell_"",""""),Upgrades!$B$3:$B$13,0))*1.15^(COUNTIF(Q$4:Q865,SUBSTITUTE(Q866,""Sell_"",""""))-COUNTIF(Q$4:Q865,"&amp;"""Sell_""&amp;SUBSTITUTE(Q866,""Sell_"",""""))))/2),ROUNDUP(INDEX(Upgrades!$C$3:$C$13,MATCH(Q866,Upgrades!$B$3:$B$13,0))*1.15^(COUNTIF(Q$4:Q865,Q866)-COUNTIF(Q$4:Q865,""Sell_""&amp;Q866))))))"),"")</f>
        <v/>
      </c>
      <c r="V866" s="10" t="str">
        <f t="shared" si="11"/>
        <v/>
      </c>
      <c r="W866" s="68" t="str">
        <f t="shared" si="12"/>
        <v/>
      </c>
      <c r="X866" s="59" t="str">
        <f t="shared" si="13"/>
        <v/>
      </c>
      <c r="Y866" s="69" t="str">
        <f t="shared" si="14"/>
        <v/>
      </c>
      <c r="Z866" s="11"/>
    </row>
    <row r="867">
      <c r="A867" s="8"/>
      <c r="B867" s="56" t="str">
        <f t="shared" si="2"/>
        <v/>
      </c>
      <c r="C867" s="105"/>
      <c r="D867" s="10"/>
      <c r="E867" s="59" t="str">
        <f t="array" ref="E867">IF(COUNTA(C867:C1673)=0,"",SUM((COUNTIF(C$4:C867,Upgrades!$B$3:$B$13)-COUNTIF(C$4:C867,"Sell_"&amp;Upgrades!$B$3:$B$13))*Upgrades!$D$3:$D$13))</f>
        <v/>
      </c>
      <c r="F867" s="66" t="str">
        <f>IFERROR(__xludf.DUMMYFUNCTION("IF(COUNTA(C867:C1673)=0,"""",IF(REGEXMATCH(INDEX(FILTER(C$4:C867,C$4:C867&lt;&gt;""""),ROWS(FILTER(C$4:C867,C$4:C867&lt;&gt;""""))),""^Sell_""),INDEX(FILTER(F$4:F866,C$4:C866&lt;&gt;""""),ROWS(FILTER(C$4:C866,C$4:C866&lt;&gt;""""))),$AC$5+E867))"),"")</f>
        <v/>
      </c>
      <c r="G867" s="10" t="str">
        <f>IFERROR(__xludf.DUMMYFUNCTION("IF(COUNTA(C867:C1673)=0,"""",IF(C867="""",0,IF(REGEXMATCH(C867,""^Sell_""),-ROUNDDOWN(ROUNDUP(INDEX(Upgrades!$C$3:$C$13,MATCH(SUBSTITUTE(C867,""Sell_"",""""),Upgrades!$B$3:$B$13,0))*1.15^(COUNTIF(C$4:C866,SUBSTITUTE(C867,""Sell_"",""""))-COUNTIF(C$4:C866,"&amp;"""Sell_""&amp;SUBSTITUTE(C867,""Sell_"",""""))))/2),ROUNDUP(INDEX(Upgrades!$C$3:$C$13,MATCH(C867,Upgrades!$B$3:$B$13,0))*1.15^(COUNTIF(C$4:C866,C867)-COUNTIF(C$4:C866,""Sell_""&amp;C867))))))"),"")</f>
        <v/>
      </c>
      <c r="H867" s="10" t="str">
        <f t="shared" si="3"/>
        <v/>
      </c>
      <c r="I867" s="68" t="str">
        <f t="shared" si="4"/>
        <v/>
      </c>
      <c r="J867" s="59" t="str">
        <f t="shared" si="5"/>
        <v/>
      </c>
      <c r="K867" s="69" t="str">
        <f t="shared" si="6"/>
        <v/>
      </c>
      <c r="L867" s="60" t="str">
        <f t="shared" si="7"/>
        <v/>
      </c>
      <c r="M867" s="61" t="str">
        <f>IFERROR(__xludf.DUMMYFUNCTION("IFS(AND(COUNTA(C867:C1673)=0,COUNTA(Q867:Q1673)=0),"""",OR(AND(K867&gt;=1000000000,OR(Y867&gt;=1000000000,COUNTA(Q867:Q1673)=0)),OR(Y867&gt;=1000000000,AND(COUNTA(C867:C1673)=0,P$3=TRUE))),
ROUNDDOWN((AB$1-AC$1)*MAX(INDEX(T$4:T1673,MATCH(LARGE(FILTER(Y$4:Y1673,Y$4"&amp;":Y1673&lt;1000000000),1),Y$4:Y1673)),INDEX(F$4:F1673,MATCH(LARGE(FILTER(K$4:K1673,K$4:K1673&lt;1000000000),1),K$4:K1673)))),AND(K867&lt;1000000000,COUNTA(C867:C1673)&gt;0,P$3=FALSE),
ROUNDDOWN(INDEX(Y$4:Y1673,MATCH(LARGE(FILTER(W$4:W1673,W$4:W1673&lt;=I867),1),W$4:W1673"&amp;"))+(I867-LARGE(FILTER(W$4:W1673,W$4:W1673&lt;=I867),1))*INDEX(T$4:T1673,MATCH(LARGE(FILTER(W$4:W1673,W$4:W1673&lt;=I867),1),W$4:W1673))-K867),1,
ROUNDDOWN(Y867-INDEX(K$4:K1673,MATCH(LARGE(FILTER(I$4:I1673,I$4:I1673&lt;=W867),1),I$4:I1673))-(W867-LARGE(FILTER(I$4:I"&amp;"1673,I$4:I1673&lt;=W867),1))*INDEX(F$4:F1673,MATCH(LARGE(FILTER(I$4:I1673,I$4:I1673&lt;=W867),1),I$4:I1673))))"),"")</f>
        <v/>
      </c>
      <c r="N867" s="60" t="str">
        <f t="shared" si="8"/>
        <v/>
      </c>
      <c r="O867" s="61" t="str">
        <f t="shared" si="9"/>
        <v/>
      </c>
      <c r="P867" s="56" t="str">
        <f t="shared" si="10"/>
        <v/>
      </c>
      <c r="R867" s="10"/>
      <c r="S867" s="59" t="str">
        <f t="array" ref="S867">IF(COUNTA(Q867:Q1673)=0,"",SUM((COUNTIF(Q$4:Q867,Upgrades!$B$3:$B$13)-COUNTIF(Q$4:Q867,"Sell_"&amp;Upgrades!$B$3:$B$13))*Upgrades!$D$3:$D$13))</f>
        <v/>
      </c>
      <c r="T867" s="66" t="str">
        <f>IFERROR(__xludf.DUMMYFUNCTION("IF(COUNTA(Q867:Q1673)=0,"""",IF(REGEXMATCH(INDEX(FILTER(Q$4:Q867,Q$4:Q867&lt;&gt;""""),ROWS(FILTER(Q$4:Q867,Q$4:Q867&lt;&gt;""""))),""^Sell_""),INDEX(FILTER(T$4:T866,Q$4:Q866&lt;&gt;""""),ROWS(FILTER(Q$4:Q866,Q$4:Q866&lt;&gt;""""))),$AD$5+S867))"),"")</f>
        <v/>
      </c>
      <c r="U867" s="10" t="str">
        <f>IFERROR(__xludf.DUMMYFUNCTION("IF(COUNTA(Q867:Q1673)=0,"""",IF(Q867="""",0,IF(REGEXMATCH(Q867,""^Sell_""),-ROUNDDOWN(ROUNDUP(INDEX(Upgrades!$C$3:$C$13,MATCH(SUBSTITUTE(Q867,""Sell_"",""""),Upgrades!$B$3:$B$13,0))*1.15^(COUNTIF(Q$4:Q866,SUBSTITUTE(Q867,""Sell_"",""""))-COUNTIF(Q$4:Q866,"&amp;"""Sell_""&amp;SUBSTITUTE(Q867,""Sell_"",""""))))/2),ROUNDUP(INDEX(Upgrades!$C$3:$C$13,MATCH(Q867,Upgrades!$B$3:$B$13,0))*1.15^(COUNTIF(Q$4:Q866,Q867)-COUNTIF(Q$4:Q866,""Sell_""&amp;Q867))))))"),"")</f>
        <v/>
      </c>
      <c r="V867" s="10" t="str">
        <f t="shared" si="11"/>
        <v/>
      </c>
      <c r="W867" s="68" t="str">
        <f t="shared" si="12"/>
        <v/>
      </c>
      <c r="X867" s="59" t="str">
        <f t="shared" si="13"/>
        <v/>
      </c>
      <c r="Y867" s="69" t="str">
        <f t="shared" si="14"/>
        <v/>
      </c>
      <c r="Z867" s="11"/>
    </row>
    <row r="868">
      <c r="A868" s="8"/>
      <c r="B868" s="56" t="str">
        <f t="shared" si="2"/>
        <v/>
      </c>
      <c r="C868" s="105"/>
      <c r="D868" s="10"/>
      <c r="E868" s="59" t="str">
        <f t="array" ref="E868">IF(COUNTA(C868:C1673)=0,"",SUM((COUNTIF(C$4:C868,Upgrades!$B$3:$B$13)-COUNTIF(C$4:C868,"Sell_"&amp;Upgrades!$B$3:$B$13))*Upgrades!$D$3:$D$13))</f>
        <v/>
      </c>
      <c r="F868" s="66" t="str">
        <f>IFERROR(__xludf.DUMMYFUNCTION("IF(COUNTA(C868:C1673)=0,"""",IF(REGEXMATCH(INDEX(FILTER(C$4:C868,C$4:C868&lt;&gt;""""),ROWS(FILTER(C$4:C868,C$4:C868&lt;&gt;""""))),""^Sell_""),INDEX(FILTER(F$4:F867,C$4:C867&lt;&gt;""""),ROWS(FILTER(C$4:C867,C$4:C867&lt;&gt;""""))),$AC$5+E868))"),"")</f>
        <v/>
      </c>
      <c r="G868" s="10" t="str">
        <f>IFERROR(__xludf.DUMMYFUNCTION("IF(COUNTA(C868:C1673)=0,"""",IF(C868="""",0,IF(REGEXMATCH(C868,""^Sell_""),-ROUNDDOWN(ROUNDUP(INDEX(Upgrades!$C$3:$C$13,MATCH(SUBSTITUTE(C868,""Sell_"",""""),Upgrades!$B$3:$B$13,0))*1.15^(COUNTIF(C$4:C867,SUBSTITUTE(C868,""Sell_"",""""))-COUNTIF(C$4:C867,"&amp;"""Sell_""&amp;SUBSTITUTE(C868,""Sell_"",""""))))/2),ROUNDUP(INDEX(Upgrades!$C$3:$C$13,MATCH(C868,Upgrades!$B$3:$B$13,0))*1.15^(COUNTIF(C$4:C867,C868)-COUNTIF(C$4:C867,""Sell_""&amp;C868))))))"),"")</f>
        <v/>
      </c>
      <c r="H868" s="10" t="str">
        <f t="shared" si="3"/>
        <v/>
      </c>
      <c r="I868" s="68" t="str">
        <f t="shared" si="4"/>
        <v/>
      </c>
      <c r="J868" s="59" t="str">
        <f t="shared" si="5"/>
        <v/>
      </c>
      <c r="K868" s="69" t="str">
        <f t="shared" si="6"/>
        <v/>
      </c>
      <c r="L868" s="60" t="str">
        <f t="shared" si="7"/>
        <v/>
      </c>
      <c r="M868" s="61" t="str">
        <f>IFERROR(__xludf.DUMMYFUNCTION("IFS(AND(COUNTA(C868:C1673)=0,COUNTA(Q868:Q1673)=0),"""",OR(AND(K868&gt;=1000000000,OR(Y868&gt;=1000000000,COUNTA(Q868:Q1673)=0)),OR(Y868&gt;=1000000000,AND(COUNTA(C868:C1673)=0,P$3=TRUE))),
ROUNDDOWN((AB$1-AC$1)*MAX(INDEX(T$4:T1673,MATCH(LARGE(FILTER(Y$4:Y1673,Y$4"&amp;":Y1673&lt;1000000000),1),Y$4:Y1673)),INDEX(F$4:F1673,MATCH(LARGE(FILTER(K$4:K1673,K$4:K1673&lt;1000000000),1),K$4:K1673)))),AND(K868&lt;1000000000,COUNTA(C868:C1673)&gt;0,P$3=FALSE),
ROUNDDOWN(INDEX(Y$4:Y1673,MATCH(LARGE(FILTER(W$4:W1673,W$4:W1673&lt;=I868),1),W$4:W1673"&amp;"))+(I868-LARGE(FILTER(W$4:W1673,W$4:W1673&lt;=I868),1))*INDEX(T$4:T1673,MATCH(LARGE(FILTER(W$4:W1673,W$4:W1673&lt;=I868),1),W$4:W1673))-K868),1,
ROUNDDOWN(Y868-INDEX(K$4:K1673,MATCH(LARGE(FILTER(I$4:I1673,I$4:I1673&lt;=W868),1),I$4:I1673))-(W868-LARGE(FILTER(I$4:I"&amp;"1673,I$4:I1673&lt;=W868),1))*INDEX(F$4:F1673,MATCH(LARGE(FILTER(I$4:I1673,I$4:I1673&lt;=W868),1),I$4:I1673))))"),"")</f>
        <v/>
      </c>
      <c r="N868" s="60" t="str">
        <f t="shared" si="8"/>
        <v/>
      </c>
      <c r="O868" s="61" t="str">
        <f t="shared" si="9"/>
        <v/>
      </c>
      <c r="P868" s="56" t="str">
        <f t="shared" si="10"/>
        <v/>
      </c>
      <c r="R868" s="10"/>
      <c r="S868" s="59" t="str">
        <f t="array" ref="S868">IF(COUNTA(Q868:Q1673)=0,"",SUM((COUNTIF(Q$4:Q868,Upgrades!$B$3:$B$13)-COUNTIF(Q$4:Q868,"Sell_"&amp;Upgrades!$B$3:$B$13))*Upgrades!$D$3:$D$13))</f>
        <v/>
      </c>
      <c r="T868" s="66" t="str">
        <f>IFERROR(__xludf.DUMMYFUNCTION("IF(COUNTA(Q868:Q1673)=0,"""",IF(REGEXMATCH(INDEX(FILTER(Q$4:Q868,Q$4:Q868&lt;&gt;""""),ROWS(FILTER(Q$4:Q868,Q$4:Q868&lt;&gt;""""))),""^Sell_""),INDEX(FILTER(T$4:T867,Q$4:Q867&lt;&gt;""""),ROWS(FILTER(Q$4:Q867,Q$4:Q867&lt;&gt;""""))),$AD$5+S868))"),"")</f>
        <v/>
      </c>
      <c r="U868" s="10" t="str">
        <f>IFERROR(__xludf.DUMMYFUNCTION("IF(COUNTA(Q868:Q1673)=0,"""",IF(Q868="""",0,IF(REGEXMATCH(Q868,""^Sell_""),-ROUNDDOWN(ROUNDUP(INDEX(Upgrades!$C$3:$C$13,MATCH(SUBSTITUTE(Q868,""Sell_"",""""),Upgrades!$B$3:$B$13,0))*1.15^(COUNTIF(Q$4:Q867,SUBSTITUTE(Q868,""Sell_"",""""))-COUNTIF(Q$4:Q867,"&amp;"""Sell_""&amp;SUBSTITUTE(Q868,""Sell_"",""""))))/2),ROUNDUP(INDEX(Upgrades!$C$3:$C$13,MATCH(Q868,Upgrades!$B$3:$B$13,0))*1.15^(COUNTIF(Q$4:Q867,Q868)-COUNTIF(Q$4:Q867,""Sell_""&amp;Q868))))))"),"")</f>
        <v/>
      </c>
      <c r="V868" s="10" t="str">
        <f t="shared" si="11"/>
        <v/>
      </c>
      <c r="W868" s="68" t="str">
        <f t="shared" si="12"/>
        <v/>
      </c>
      <c r="X868" s="59" t="str">
        <f t="shared" si="13"/>
        <v/>
      </c>
      <c r="Y868" s="69" t="str">
        <f t="shared" si="14"/>
        <v/>
      </c>
      <c r="Z868" s="11"/>
    </row>
    <row r="869">
      <c r="A869" s="8"/>
      <c r="B869" s="56" t="str">
        <f t="shared" si="2"/>
        <v/>
      </c>
      <c r="C869" s="105"/>
      <c r="D869" s="10"/>
      <c r="E869" s="59" t="str">
        <f t="array" ref="E869">IF(COUNTA(C869:C1673)=0,"",SUM((COUNTIF(C$4:C869,Upgrades!$B$3:$B$13)-COUNTIF(C$4:C869,"Sell_"&amp;Upgrades!$B$3:$B$13))*Upgrades!$D$3:$D$13))</f>
        <v/>
      </c>
      <c r="F869" s="66" t="str">
        <f>IFERROR(__xludf.DUMMYFUNCTION("IF(COUNTA(C869:C1673)=0,"""",IF(REGEXMATCH(INDEX(FILTER(C$4:C869,C$4:C869&lt;&gt;""""),ROWS(FILTER(C$4:C869,C$4:C869&lt;&gt;""""))),""^Sell_""),INDEX(FILTER(F$4:F868,C$4:C868&lt;&gt;""""),ROWS(FILTER(C$4:C868,C$4:C868&lt;&gt;""""))),$AC$5+E869))"),"")</f>
        <v/>
      </c>
      <c r="G869" s="10" t="str">
        <f>IFERROR(__xludf.DUMMYFUNCTION("IF(COUNTA(C869:C1673)=0,"""",IF(C869="""",0,IF(REGEXMATCH(C869,""^Sell_""),-ROUNDDOWN(ROUNDUP(INDEX(Upgrades!$C$3:$C$13,MATCH(SUBSTITUTE(C869,""Sell_"",""""),Upgrades!$B$3:$B$13,0))*1.15^(COUNTIF(C$4:C868,SUBSTITUTE(C869,""Sell_"",""""))-COUNTIF(C$4:C868,"&amp;"""Sell_""&amp;SUBSTITUTE(C869,""Sell_"",""""))))/2),ROUNDUP(INDEX(Upgrades!$C$3:$C$13,MATCH(C869,Upgrades!$B$3:$B$13,0))*1.15^(COUNTIF(C$4:C868,C869)-COUNTIF(C$4:C868,""Sell_""&amp;C869))))))"),"")</f>
        <v/>
      </c>
      <c r="H869" s="10" t="str">
        <f t="shared" si="3"/>
        <v/>
      </c>
      <c r="I869" s="68" t="str">
        <f t="shared" si="4"/>
        <v/>
      </c>
      <c r="J869" s="59" t="str">
        <f t="shared" si="5"/>
        <v/>
      </c>
      <c r="K869" s="69" t="str">
        <f t="shared" si="6"/>
        <v/>
      </c>
      <c r="L869" s="60" t="str">
        <f t="shared" si="7"/>
        <v/>
      </c>
      <c r="M869" s="61" t="str">
        <f>IFERROR(__xludf.DUMMYFUNCTION("IFS(AND(COUNTA(C869:C1673)=0,COUNTA(Q869:Q1673)=0),"""",OR(AND(K869&gt;=1000000000,OR(Y869&gt;=1000000000,COUNTA(Q869:Q1673)=0)),OR(Y869&gt;=1000000000,AND(COUNTA(C869:C1673)=0,P$3=TRUE))),
ROUNDDOWN((AB$1-AC$1)*MAX(INDEX(T$4:T1673,MATCH(LARGE(FILTER(Y$4:Y1673,Y$4"&amp;":Y1673&lt;1000000000),1),Y$4:Y1673)),INDEX(F$4:F1673,MATCH(LARGE(FILTER(K$4:K1673,K$4:K1673&lt;1000000000),1),K$4:K1673)))),AND(K869&lt;1000000000,COUNTA(C869:C1673)&gt;0,P$3=FALSE),
ROUNDDOWN(INDEX(Y$4:Y1673,MATCH(LARGE(FILTER(W$4:W1673,W$4:W1673&lt;=I869),1),W$4:W1673"&amp;"))+(I869-LARGE(FILTER(W$4:W1673,W$4:W1673&lt;=I869),1))*INDEX(T$4:T1673,MATCH(LARGE(FILTER(W$4:W1673,W$4:W1673&lt;=I869),1),W$4:W1673))-K869),1,
ROUNDDOWN(Y869-INDEX(K$4:K1673,MATCH(LARGE(FILTER(I$4:I1673,I$4:I1673&lt;=W869),1),I$4:I1673))-(W869-LARGE(FILTER(I$4:I"&amp;"1673,I$4:I1673&lt;=W869),1))*INDEX(F$4:F1673,MATCH(LARGE(FILTER(I$4:I1673,I$4:I1673&lt;=W869),1),I$4:I1673))))"),"")</f>
        <v/>
      </c>
      <c r="N869" s="60" t="str">
        <f t="shared" si="8"/>
        <v/>
      </c>
      <c r="O869" s="61" t="str">
        <f t="shared" si="9"/>
        <v/>
      </c>
      <c r="P869" s="56" t="str">
        <f t="shared" si="10"/>
        <v/>
      </c>
      <c r="R869" s="10"/>
      <c r="S869" s="59" t="str">
        <f t="array" ref="S869">IF(COUNTA(Q869:Q1673)=0,"",SUM((COUNTIF(Q$4:Q869,Upgrades!$B$3:$B$13)-COUNTIF(Q$4:Q869,"Sell_"&amp;Upgrades!$B$3:$B$13))*Upgrades!$D$3:$D$13))</f>
        <v/>
      </c>
      <c r="T869" s="66" t="str">
        <f>IFERROR(__xludf.DUMMYFUNCTION("IF(COUNTA(Q869:Q1673)=0,"""",IF(REGEXMATCH(INDEX(FILTER(Q$4:Q869,Q$4:Q869&lt;&gt;""""),ROWS(FILTER(Q$4:Q869,Q$4:Q869&lt;&gt;""""))),""^Sell_""),INDEX(FILTER(T$4:T868,Q$4:Q868&lt;&gt;""""),ROWS(FILTER(Q$4:Q868,Q$4:Q868&lt;&gt;""""))),$AD$5+S869))"),"")</f>
        <v/>
      </c>
      <c r="U869" s="10" t="str">
        <f>IFERROR(__xludf.DUMMYFUNCTION("IF(COUNTA(Q869:Q1673)=0,"""",IF(Q869="""",0,IF(REGEXMATCH(Q869,""^Sell_""),-ROUNDDOWN(ROUNDUP(INDEX(Upgrades!$C$3:$C$13,MATCH(SUBSTITUTE(Q869,""Sell_"",""""),Upgrades!$B$3:$B$13,0))*1.15^(COUNTIF(Q$4:Q868,SUBSTITUTE(Q869,""Sell_"",""""))-COUNTIF(Q$4:Q868,"&amp;"""Sell_""&amp;SUBSTITUTE(Q869,""Sell_"",""""))))/2),ROUNDUP(INDEX(Upgrades!$C$3:$C$13,MATCH(Q869,Upgrades!$B$3:$B$13,0))*1.15^(COUNTIF(Q$4:Q868,Q869)-COUNTIF(Q$4:Q868,""Sell_""&amp;Q869))))))"),"")</f>
        <v/>
      </c>
      <c r="V869" s="10" t="str">
        <f t="shared" si="11"/>
        <v/>
      </c>
      <c r="W869" s="68" t="str">
        <f t="shared" si="12"/>
        <v/>
      </c>
      <c r="X869" s="59" t="str">
        <f t="shared" si="13"/>
        <v/>
      </c>
      <c r="Y869" s="69" t="str">
        <f t="shared" si="14"/>
        <v/>
      </c>
      <c r="Z869" s="11"/>
    </row>
    <row r="870">
      <c r="A870" s="8"/>
      <c r="B870" s="56" t="str">
        <f t="shared" si="2"/>
        <v/>
      </c>
      <c r="C870" s="105"/>
      <c r="D870" s="10"/>
      <c r="E870" s="59" t="str">
        <f t="array" ref="E870">IF(COUNTA(C870:C1673)=0,"",SUM((COUNTIF(C$4:C870,Upgrades!$B$3:$B$13)-COUNTIF(C$4:C870,"Sell_"&amp;Upgrades!$B$3:$B$13))*Upgrades!$D$3:$D$13))</f>
        <v/>
      </c>
      <c r="F870" s="66" t="str">
        <f>IFERROR(__xludf.DUMMYFUNCTION("IF(COUNTA(C870:C1673)=0,"""",IF(REGEXMATCH(INDEX(FILTER(C$4:C870,C$4:C870&lt;&gt;""""),ROWS(FILTER(C$4:C870,C$4:C870&lt;&gt;""""))),""^Sell_""),INDEX(FILTER(F$4:F869,C$4:C869&lt;&gt;""""),ROWS(FILTER(C$4:C869,C$4:C869&lt;&gt;""""))),$AC$5+E870))"),"")</f>
        <v/>
      </c>
      <c r="G870" s="10" t="str">
        <f>IFERROR(__xludf.DUMMYFUNCTION("IF(COUNTA(C870:C1673)=0,"""",IF(C870="""",0,IF(REGEXMATCH(C870,""^Sell_""),-ROUNDDOWN(ROUNDUP(INDEX(Upgrades!$C$3:$C$13,MATCH(SUBSTITUTE(C870,""Sell_"",""""),Upgrades!$B$3:$B$13,0))*1.15^(COUNTIF(C$4:C869,SUBSTITUTE(C870,""Sell_"",""""))-COUNTIF(C$4:C869,"&amp;"""Sell_""&amp;SUBSTITUTE(C870,""Sell_"",""""))))/2),ROUNDUP(INDEX(Upgrades!$C$3:$C$13,MATCH(C870,Upgrades!$B$3:$B$13,0))*1.15^(COUNTIF(C$4:C869,C870)-COUNTIF(C$4:C869,""Sell_""&amp;C870))))))"),"")</f>
        <v/>
      </c>
      <c r="H870" s="10" t="str">
        <f t="shared" si="3"/>
        <v/>
      </c>
      <c r="I870" s="68" t="str">
        <f t="shared" si="4"/>
        <v/>
      </c>
      <c r="J870" s="59" t="str">
        <f t="shared" si="5"/>
        <v/>
      </c>
      <c r="K870" s="69" t="str">
        <f t="shared" si="6"/>
        <v/>
      </c>
      <c r="L870" s="60" t="str">
        <f t="shared" si="7"/>
        <v/>
      </c>
      <c r="M870" s="61" t="str">
        <f>IFERROR(__xludf.DUMMYFUNCTION("IFS(AND(COUNTA(C870:C1673)=0,COUNTA(Q870:Q1673)=0),"""",OR(AND(K870&gt;=1000000000,OR(Y870&gt;=1000000000,COUNTA(Q870:Q1673)=0)),OR(Y870&gt;=1000000000,AND(COUNTA(C870:C1673)=0,P$3=TRUE))),
ROUNDDOWN((AB$1-AC$1)*MAX(INDEX(T$4:T1673,MATCH(LARGE(FILTER(Y$4:Y1673,Y$4"&amp;":Y1673&lt;1000000000),1),Y$4:Y1673)),INDEX(F$4:F1673,MATCH(LARGE(FILTER(K$4:K1673,K$4:K1673&lt;1000000000),1),K$4:K1673)))),AND(K870&lt;1000000000,COUNTA(C870:C1673)&gt;0,P$3=FALSE),
ROUNDDOWN(INDEX(Y$4:Y1673,MATCH(LARGE(FILTER(W$4:W1673,W$4:W1673&lt;=I870),1),W$4:W1673"&amp;"))+(I870-LARGE(FILTER(W$4:W1673,W$4:W1673&lt;=I870),1))*INDEX(T$4:T1673,MATCH(LARGE(FILTER(W$4:W1673,W$4:W1673&lt;=I870),1),W$4:W1673))-K870),1,
ROUNDDOWN(Y870-INDEX(K$4:K1673,MATCH(LARGE(FILTER(I$4:I1673,I$4:I1673&lt;=W870),1),I$4:I1673))-(W870-LARGE(FILTER(I$4:I"&amp;"1673,I$4:I1673&lt;=W870),1))*INDEX(F$4:F1673,MATCH(LARGE(FILTER(I$4:I1673,I$4:I1673&lt;=W870),1),I$4:I1673))))"),"")</f>
        <v/>
      </c>
      <c r="N870" s="60" t="str">
        <f t="shared" si="8"/>
        <v/>
      </c>
      <c r="O870" s="61" t="str">
        <f t="shared" si="9"/>
        <v/>
      </c>
      <c r="P870" s="56" t="str">
        <f t="shared" si="10"/>
        <v/>
      </c>
      <c r="R870" s="10"/>
      <c r="S870" s="59" t="str">
        <f t="array" ref="S870">IF(COUNTA(Q870:Q1673)=0,"",SUM((COUNTIF(Q$4:Q870,Upgrades!$B$3:$B$13)-COUNTIF(Q$4:Q870,"Sell_"&amp;Upgrades!$B$3:$B$13))*Upgrades!$D$3:$D$13))</f>
        <v/>
      </c>
      <c r="T870" s="66" t="str">
        <f>IFERROR(__xludf.DUMMYFUNCTION("IF(COUNTA(Q870:Q1673)=0,"""",IF(REGEXMATCH(INDEX(FILTER(Q$4:Q870,Q$4:Q870&lt;&gt;""""),ROWS(FILTER(Q$4:Q870,Q$4:Q870&lt;&gt;""""))),""^Sell_""),INDEX(FILTER(T$4:T869,Q$4:Q869&lt;&gt;""""),ROWS(FILTER(Q$4:Q869,Q$4:Q869&lt;&gt;""""))),$AD$5+S870))"),"")</f>
        <v/>
      </c>
      <c r="U870" s="10" t="str">
        <f>IFERROR(__xludf.DUMMYFUNCTION("IF(COUNTA(Q870:Q1673)=0,"""",IF(Q870="""",0,IF(REGEXMATCH(Q870,""^Sell_""),-ROUNDDOWN(ROUNDUP(INDEX(Upgrades!$C$3:$C$13,MATCH(SUBSTITUTE(Q870,""Sell_"",""""),Upgrades!$B$3:$B$13,0))*1.15^(COUNTIF(Q$4:Q869,SUBSTITUTE(Q870,""Sell_"",""""))-COUNTIF(Q$4:Q869,"&amp;"""Sell_""&amp;SUBSTITUTE(Q870,""Sell_"",""""))))/2),ROUNDUP(INDEX(Upgrades!$C$3:$C$13,MATCH(Q870,Upgrades!$B$3:$B$13,0))*1.15^(COUNTIF(Q$4:Q869,Q870)-COUNTIF(Q$4:Q869,""Sell_""&amp;Q870))))))"),"")</f>
        <v/>
      </c>
      <c r="V870" s="10" t="str">
        <f t="shared" si="11"/>
        <v/>
      </c>
      <c r="W870" s="68" t="str">
        <f t="shared" si="12"/>
        <v/>
      </c>
      <c r="X870" s="59" t="str">
        <f t="shared" si="13"/>
        <v/>
      </c>
      <c r="Y870" s="69" t="str">
        <f t="shared" si="14"/>
        <v/>
      </c>
      <c r="Z870" s="11"/>
    </row>
    <row r="871">
      <c r="A871" s="8"/>
      <c r="B871" s="56" t="str">
        <f t="shared" si="2"/>
        <v/>
      </c>
      <c r="C871" s="105"/>
      <c r="D871" s="10"/>
      <c r="E871" s="59" t="str">
        <f t="array" ref="E871">IF(COUNTA(C871:C1673)=0,"",SUM((COUNTIF(C$4:C871,Upgrades!$B$3:$B$13)-COUNTIF(C$4:C871,"Sell_"&amp;Upgrades!$B$3:$B$13))*Upgrades!$D$3:$D$13))</f>
        <v/>
      </c>
      <c r="F871" s="66" t="str">
        <f>IFERROR(__xludf.DUMMYFUNCTION("IF(COUNTA(C871:C1673)=0,"""",IF(REGEXMATCH(INDEX(FILTER(C$4:C871,C$4:C871&lt;&gt;""""),ROWS(FILTER(C$4:C871,C$4:C871&lt;&gt;""""))),""^Sell_""),INDEX(FILTER(F$4:F870,C$4:C870&lt;&gt;""""),ROWS(FILTER(C$4:C870,C$4:C870&lt;&gt;""""))),$AC$5+E871))"),"")</f>
        <v/>
      </c>
      <c r="G871" s="10" t="str">
        <f>IFERROR(__xludf.DUMMYFUNCTION("IF(COUNTA(C871:C1673)=0,"""",IF(C871="""",0,IF(REGEXMATCH(C871,""^Sell_""),-ROUNDDOWN(ROUNDUP(INDEX(Upgrades!$C$3:$C$13,MATCH(SUBSTITUTE(C871,""Sell_"",""""),Upgrades!$B$3:$B$13,0))*1.15^(COUNTIF(C$4:C870,SUBSTITUTE(C871,""Sell_"",""""))-COUNTIF(C$4:C870,"&amp;"""Sell_""&amp;SUBSTITUTE(C871,""Sell_"",""""))))/2),ROUNDUP(INDEX(Upgrades!$C$3:$C$13,MATCH(C871,Upgrades!$B$3:$B$13,0))*1.15^(COUNTIF(C$4:C870,C871)-COUNTIF(C$4:C870,""Sell_""&amp;C871))))))"),"")</f>
        <v/>
      </c>
      <c r="H871" s="10" t="str">
        <f t="shared" si="3"/>
        <v/>
      </c>
      <c r="I871" s="68" t="str">
        <f t="shared" si="4"/>
        <v/>
      </c>
      <c r="J871" s="59" t="str">
        <f t="shared" si="5"/>
        <v/>
      </c>
      <c r="K871" s="69" t="str">
        <f t="shared" si="6"/>
        <v/>
      </c>
      <c r="L871" s="60" t="str">
        <f t="shared" si="7"/>
        <v/>
      </c>
      <c r="M871" s="61" t="str">
        <f>IFERROR(__xludf.DUMMYFUNCTION("IFS(AND(COUNTA(C871:C1673)=0,COUNTA(Q871:Q1673)=0),"""",OR(AND(K871&gt;=1000000000,OR(Y871&gt;=1000000000,COUNTA(Q871:Q1673)=0)),OR(Y871&gt;=1000000000,AND(COUNTA(C871:C1673)=0,P$3=TRUE))),
ROUNDDOWN((AB$1-AC$1)*MAX(INDEX(T$4:T1673,MATCH(LARGE(FILTER(Y$4:Y1673,Y$4"&amp;":Y1673&lt;1000000000),1),Y$4:Y1673)),INDEX(F$4:F1673,MATCH(LARGE(FILTER(K$4:K1673,K$4:K1673&lt;1000000000),1),K$4:K1673)))),AND(K871&lt;1000000000,COUNTA(C871:C1673)&gt;0,P$3=FALSE),
ROUNDDOWN(INDEX(Y$4:Y1673,MATCH(LARGE(FILTER(W$4:W1673,W$4:W1673&lt;=I871),1),W$4:W1673"&amp;"))+(I871-LARGE(FILTER(W$4:W1673,W$4:W1673&lt;=I871),1))*INDEX(T$4:T1673,MATCH(LARGE(FILTER(W$4:W1673,W$4:W1673&lt;=I871),1),W$4:W1673))-K871),1,
ROUNDDOWN(Y871-INDEX(K$4:K1673,MATCH(LARGE(FILTER(I$4:I1673,I$4:I1673&lt;=W871),1),I$4:I1673))-(W871-LARGE(FILTER(I$4:I"&amp;"1673,I$4:I1673&lt;=W871),1))*INDEX(F$4:F1673,MATCH(LARGE(FILTER(I$4:I1673,I$4:I1673&lt;=W871),1),I$4:I1673))))"),"")</f>
        <v/>
      </c>
      <c r="N871" s="60" t="str">
        <f t="shared" si="8"/>
        <v/>
      </c>
      <c r="O871" s="61" t="str">
        <f t="shared" si="9"/>
        <v/>
      </c>
      <c r="P871" s="56" t="str">
        <f t="shared" si="10"/>
        <v/>
      </c>
      <c r="R871" s="10"/>
      <c r="S871" s="59" t="str">
        <f t="array" ref="S871">IF(COUNTA(Q871:Q1673)=0,"",SUM((COUNTIF(Q$4:Q871,Upgrades!$B$3:$B$13)-COUNTIF(Q$4:Q871,"Sell_"&amp;Upgrades!$B$3:$B$13))*Upgrades!$D$3:$D$13))</f>
        <v/>
      </c>
      <c r="T871" s="66" t="str">
        <f>IFERROR(__xludf.DUMMYFUNCTION("IF(COUNTA(Q871:Q1673)=0,"""",IF(REGEXMATCH(INDEX(FILTER(Q$4:Q871,Q$4:Q871&lt;&gt;""""),ROWS(FILTER(Q$4:Q871,Q$4:Q871&lt;&gt;""""))),""^Sell_""),INDEX(FILTER(T$4:T870,Q$4:Q870&lt;&gt;""""),ROWS(FILTER(Q$4:Q870,Q$4:Q870&lt;&gt;""""))),$AD$5+S871))"),"")</f>
        <v/>
      </c>
      <c r="U871" s="10" t="str">
        <f>IFERROR(__xludf.DUMMYFUNCTION("IF(COUNTA(Q871:Q1673)=0,"""",IF(Q871="""",0,IF(REGEXMATCH(Q871,""^Sell_""),-ROUNDDOWN(ROUNDUP(INDEX(Upgrades!$C$3:$C$13,MATCH(SUBSTITUTE(Q871,""Sell_"",""""),Upgrades!$B$3:$B$13,0))*1.15^(COUNTIF(Q$4:Q870,SUBSTITUTE(Q871,""Sell_"",""""))-COUNTIF(Q$4:Q870,"&amp;"""Sell_""&amp;SUBSTITUTE(Q871,""Sell_"",""""))))/2),ROUNDUP(INDEX(Upgrades!$C$3:$C$13,MATCH(Q871,Upgrades!$B$3:$B$13,0))*1.15^(COUNTIF(Q$4:Q870,Q871)-COUNTIF(Q$4:Q870,""Sell_""&amp;Q871))))))"),"")</f>
        <v/>
      </c>
      <c r="V871" s="10" t="str">
        <f t="shared" si="11"/>
        <v/>
      </c>
      <c r="W871" s="68" t="str">
        <f t="shared" si="12"/>
        <v/>
      </c>
      <c r="X871" s="59" t="str">
        <f t="shared" si="13"/>
        <v/>
      </c>
      <c r="Y871" s="69" t="str">
        <f t="shared" si="14"/>
        <v/>
      </c>
      <c r="Z871" s="11"/>
    </row>
    <row r="872">
      <c r="A872" s="8"/>
      <c r="B872" s="56" t="str">
        <f t="shared" si="2"/>
        <v/>
      </c>
      <c r="C872" s="105"/>
      <c r="D872" s="10"/>
      <c r="E872" s="59" t="str">
        <f t="array" ref="E872">IF(COUNTA(C872:C1673)=0,"",SUM((COUNTIF(C$4:C872,Upgrades!$B$3:$B$13)-COUNTIF(C$4:C872,"Sell_"&amp;Upgrades!$B$3:$B$13))*Upgrades!$D$3:$D$13))</f>
        <v/>
      </c>
      <c r="F872" s="66" t="str">
        <f>IFERROR(__xludf.DUMMYFUNCTION("IF(COUNTA(C872:C1673)=0,"""",IF(REGEXMATCH(INDEX(FILTER(C$4:C872,C$4:C872&lt;&gt;""""),ROWS(FILTER(C$4:C872,C$4:C872&lt;&gt;""""))),""^Sell_""),INDEX(FILTER(F$4:F871,C$4:C871&lt;&gt;""""),ROWS(FILTER(C$4:C871,C$4:C871&lt;&gt;""""))),$AC$5+E872))"),"")</f>
        <v/>
      </c>
      <c r="G872" s="10" t="str">
        <f>IFERROR(__xludf.DUMMYFUNCTION("IF(COUNTA(C872:C1673)=0,"""",IF(C872="""",0,IF(REGEXMATCH(C872,""^Sell_""),-ROUNDDOWN(ROUNDUP(INDEX(Upgrades!$C$3:$C$13,MATCH(SUBSTITUTE(C872,""Sell_"",""""),Upgrades!$B$3:$B$13,0))*1.15^(COUNTIF(C$4:C871,SUBSTITUTE(C872,""Sell_"",""""))-COUNTIF(C$4:C871,"&amp;"""Sell_""&amp;SUBSTITUTE(C872,""Sell_"",""""))))/2),ROUNDUP(INDEX(Upgrades!$C$3:$C$13,MATCH(C872,Upgrades!$B$3:$B$13,0))*1.15^(COUNTIF(C$4:C871,C872)-COUNTIF(C$4:C871,""Sell_""&amp;C872))))))"),"")</f>
        <v/>
      </c>
      <c r="H872" s="10" t="str">
        <f t="shared" si="3"/>
        <v/>
      </c>
      <c r="I872" s="68" t="str">
        <f t="shared" si="4"/>
        <v/>
      </c>
      <c r="J872" s="59" t="str">
        <f t="shared" si="5"/>
        <v/>
      </c>
      <c r="K872" s="69" t="str">
        <f t="shared" si="6"/>
        <v/>
      </c>
      <c r="L872" s="60" t="str">
        <f t="shared" si="7"/>
        <v/>
      </c>
      <c r="M872" s="61" t="str">
        <f>IFERROR(__xludf.DUMMYFUNCTION("IFS(AND(COUNTA(C872:C1673)=0,COUNTA(Q872:Q1673)=0),"""",OR(AND(K872&gt;=1000000000,OR(Y872&gt;=1000000000,COUNTA(Q872:Q1673)=0)),OR(Y872&gt;=1000000000,AND(COUNTA(C872:C1673)=0,P$3=TRUE))),
ROUNDDOWN((AB$1-AC$1)*MAX(INDEX(T$4:T1673,MATCH(LARGE(FILTER(Y$4:Y1673,Y$4"&amp;":Y1673&lt;1000000000),1),Y$4:Y1673)),INDEX(F$4:F1673,MATCH(LARGE(FILTER(K$4:K1673,K$4:K1673&lt;1000000000),1),K$4:K1673)))),AND(K872&lt;1000000000,COUNTA(C872:C1673)&gt;0,P$3=FALSE),
ROUNDDOWN(INDEX(Y$4:Y1673,MATCH(LARGE(FILTER(W$4:W1673,W$4:W1673&lt;=I872),1),W$4:W1673"&amp;"))+(I872-LARGE(FILTER(W$4:W1673,W$4:W1673&lt;=I872),1))*INDEX(T$4:T1673,MATCH(LARGE(FILTER(W$4:W1673,W$4:W1673&lt;=I872),1),W$4:W1673))-K872),1,
ROUNDDOWN(Y872-INDEX(K$4:K1673,MATCH(LARGE(FILTER(I$4:I1673,I$4:I1673&lt;=W872),1),I$4:I1673))-(W872-LARGE(FILTER(I$4:I"&amp;"1673,I$4:I1673&lt;=W872),1))*INDEX(F$4:F1673,MATCH(LARGE(FILTER(I$4:I1673,I$4:I1673&lt;=W872),1),I$4:I1673))))"),"")</f>
        <v/>
      </c>
      <c r="N872" s="60" t="str">
        <f t="shared" si="8"/>
        <v/>
      </c>
      <c r="O872" s="61" t="str">
        <f t="shared" si="9"/>
        <v/>
      </c>
      <c r="P872" s="56" t="str">
        <f t="shared" si="10"/>
        <v/>
      </c>
      <c r="R872" s="10"/>
      <c r="S872" s="59" t="str">
        <f t="array" ref="S872">IF(COUNTA(Q872:Q1673)=0,"",SUM((COUNTIF(Q$4:Q872,Upgrades!$B$3:$B$13)-COUNTIF(Q$4:Q872,"Sell_"&amp;Upgrades!$B$3:$B$13))*Upgrades!$D$3:$D$13))</f>
        <v/>
      </c>
      <c r="T872" s="66" t="str">
        <f>IFERROR(__xludf.DUMMYFUNCTION("IF(COUNTA(Q872:Q1673)=0,"""",IF(REGEXMATCH(INDEX(FILTER(Q$4:Q872,Q$4:Q872&lt;&gt;""""),ROWS(FILTER(Q$4:Q872,Q$4:Q872&lt;&gt;""""))),""^Sell_""),INDEX(FILTER(T$4:T871,Q$4:Q871&lt;&gt;""""),ROWS(FILTER(Q$4:Q871,Q$4:Q871&lt;&gt;""""))),$AD$5+S872))"),"")</f>
        <v/>
      </c>
      <c r="U872" s="10" t="str">
        <f>IFERROR(__xludf.DUMMYFUNCTION("IF(COUNTA(Q872:Q1673)=0,"""",IF(Q872="""",0,IF(REGEXMATCH(Q872,""^Sell_""),-ROUNDDOWN(ROUNDUP(INDEX(Upgrades!$C$3:$C$13,MATCH(SUBSTITUTE(Q872,""Sell_"",""""),Upgrades!$B$3:$B$13,0))*1.15^(COUNTIF(Q$4:Q871,SUBSTITUTE(Q872,""Sell_"",""""))-COUNTIF(Q$4:Q871,"&amp;"""Sell_""&amp;SUBSTITUTE(Q872,""Sell_"",""""))))/2),ROUNDUP(INDEX(Upgrades!$C$3:$C$13,MATCH(Q872,Upgrades!$B$3:$B$13,0))*1.15^(COUNTIF(Q$4:Q871,Q872)-COUNTIF(Q$4:Q871,""Sell_""&amp;Q872))))))"),"")</f>
        <v/>
      </c>
      <c r="V872" s="10" t="str">
        <f t="shared" si="11"/>
        <v/>
      </c>
      <c r="W872" s="68" t="str">
        <f t="shared" si="12"/>
        <v/>
      </c>
      <c r="X872" s="59" t="str">
        <f t="shared" si="13"/>
        <v/>
      </c>
      <c r="Y872" s="69" t="str">
        <f t="shared" si="14"/>
        <v/>
      </c>
      <c r="Z872" s="11"/>
    </row>
    <row r="873">
      <c r="A873" s="8"/>
      <c r="B873" s="56" t="str">
        <f t="shared" si="2"/>
        <v/>
      </c>
      <c r="C873" s="105"/>
      <c r="D873" s="10"/>
      <c r="E873" s="59" t="str">
        <f t="array" ref="E873">IF(COUNTA(C873:C1673)=0,"",SUM((COUNTIF(C$4:C873,Upgrades!$B$3:$B$13)-COUNTIF(C$4:C873,"Sell_"&amp;Upgrades!$B$3:$B$13))*Upgrades!$D$3:$D$13))</f>
        <v/>
      </c>
      <c r="F873" s="66" t="str">
        <f>IFERROR(__xludf.DUMMYFUNCTION("IF(COUNTA(C873:C1673)=0,"""",IF(REGEXMATCH(INDEX(FILTER(C$4:C873,C$4:C873&lt;&gt;""""),ROWS(FILTER(C$4:C873,C$4:C873&lt;&gt;""""))),""^Sell_""),INDEX(FILTER(F$4:F872,C$4:C872&lt;&gt;""""),ROWS(FILTER(C$4:C872,C$4:C872&lt;&gt;""""))),$AC$5+E873))"),"")</f>
        <v/>
      </c>
      <c r="G873" s="10" t="str">
        <f>IFERROR(__xludf.DUMMYFUNCTION("IF(COUNTA(C873:C1673)=0,"""",IF(C873="""",0,IF(REGEXMATCH(C873,""^Sell_""),-ROUNDDOWN(ROUNDUP(INDEX(Upgrades!$C$3:$C$13,MATCH(SUBSTITUTE(C873,""Sell_"",""""),Upgrades!$B$3:$B$13,0))*1.15^(COUNTIF(C$4:C872,SUBSTITUTE(C873,""Sell_"",""""))-COUNTIF(C$4:C872,"&amp;"""Sell_""&amp;SUBSTITUTE(C873,""Sell_"",""""))))/2),ROUNDUP(INDEX(Upgrades!$C$3:$C$13,MATCH(C873,Upgrades!$B$3:$B$13,0))*1.15^(COUNTIF(C$4:C872,C873)-COUNTIF(C$4:C872,""Sell_""&amp;C873))))))"),"")</f>
        <v/>
      </c>
      <c r="H873" s="10" t="str">
        <f t="shared" si="3"/>
        <v/>
      </c>
      <c r="I873" s="68" t="str">
        <f t="shared" si="4"/>
        <v/>
      </c>
      <c r="J873" s="59" t="str">
        <f t="shared" si="5"/>
        <v/>
      </c>
      <c r="K873" s="69" t="str">
        <f t="shared" si="6"/>
        <v/>
      </c>
      <c r="L873" s="60" t="str">
        <f t="shared" si="7"/>
        <v/>
      </c>
      <c r="M873" s="61" t="str">
        <f>IFERROR(__xludf.DUMMYFUNCTION("IFS(AND(COUNTA(C873:C1673)=0,COUNTA(Q873:Q1673)=0),"""",OR(AND(K873&gt;=1000000000,OR(Y873&gt;=1000000000,COUNTA(Q873:Q1673)=0)),OR(Y873&gt;=1000000000,AND(COUNTA(C873:C1673)=0,P$3=TRUE))),
ROUNDDOWN((AB$1-AC$1)*MAX(INDEX(T$4:T1673,MATCH(LARGE(FILTER(Y$4:Y1673,Y$4"&amp;":Y1673&lt;1000000000),1),Y$4:Y1673)),INDEX(F$4:F1673,MATCH(LARGE(FILTER(K$4:K1673,K$4:K1673&lt;1000000000),1),K$4:K1673)))),AND(K873&lt;1000000000,COUNTA(C873:C1673)&gt;0,P$3=FALSE),
ROUNDDOWN(INDEX(Y$4:Y1673,MATCH(LARGE(FILTER(W$4:W1673,W$4:W1673&lt;=I873),1),W$4:W1673"&amp;"))+(I873-LARGE(FILTER(W$4:W1673,W$4:W1673&lt;=I873),1))*INDEX(T$4:T1673,MATCH(LARGE(FILTER(W$4:W1673,W$4:W1673&lt;=I873),1),W$4:W1673))-K873),1,
ROUNDDOWN(Y873-INDEX(K$4:K1673,MATCH(LARGE(FILTER(I$4:I1673,I$4:I1673&lt;=W873),1),I$4:I1673))-(W873-LARGE(FILTER(I$4:I"&amp;"1673,I$4:I1673&lt;=W873),1))*INDEX(F$4:F1673,MATCH(LARGE(FILTER(I$4:I1673,I$4:I1673&lt;=W873),1),I$4:I1673))))"),"")</f>
        <v/>
      </c>
      <c r="N873" s="60" t="str">
        <f t="shared" si="8"/>
        <v/>
      </c>
      <c r="O873" s="61" t="str">
        <f t="shared" si="9"/>
        <v/>
      </c>
      <c r="P873" s="56" t="str">
        <f t="shared" si="10"/>
        <v/>
      </c>
      <c r="R873" s="10"/>
      <c r="S873" s="59" t="str">
        <f t="array" ref="S873">IF(COUNTA(Q873:Q1673)=0,"",SUM((COUNTIF(Q$4:Q873,Upgrades!$B$3:$B$13)-COUNTIF(Q$4:Q873,"Sell_"&amp;Upgrades!$B$3:$B$13))*Upgrades!$D$3:$D$13))</f>
        <v/>
      </c>
      <c r="T873" s="66" t="str">
        <f>IFERROR(__xludf.DUMMYFUNCTION("IF(COUNTA(Q873:Q1673)=0,"""",IF(REGEXMATCH(INDEX(FILTER(Q$4:Q873,Q$4:Q873&lt;&gt;""""),ROWS(FILTER(Q$4:Q873,Q$4:Q873&lt;&gt;""""))),""^Sell_""),INDEX(FILTER(T$4:T872,Q$4:Q872&lt;&gt;""""),ROWS(FILTER(Q$4:Q872,Q$4:Q872&lt;&gt;""""))),$AD$5+S873))"),"")</f>
        <v/>
      </c>
      <c r="U873" s="10" t="str">
        <f>IFERROR(__xludf.DUMMYFUNCTION("IF(COUNTA(Q873:Q1673)=0,"""",IF(Q873="""",0,IF(REGEXMATCH(Q873,""^Sell_""),-ROUNDDOWN(ROUNDUP(INDEX(Upgrades!$C$3:$C$13,MATCH(SUBSTITUTE(Q873,""Sell_"",""""),Upgrades!$B$3:$B$13,0))*1.15^(COUNTIF(Q$4:Q872,SUBSTITUTE(Q873,""Sell_"",""""))-COUNTIF(Q$4:Q872,"&amp;"""Sell_""&amp;SUBSTITUTE(Q873,""Sell_"",""""))))/2),ROUNDUP(INDEX(Upgrades!$C$3:$C$13,MATCH(Q873,Upgrades!$B$3:$B$13,0))*1.15^(COUNTIF(Q$4:Q872,Q873)-COUNTIF(Q$4:Q872,""Sell_""&amp;Q873))))))"),"")</f>
        <v/>
      </c>
      <c r="V873" s="10" t="str">
        <f t="shared" si="11"/>
        <v/>
      </c>
      <c r="W873" s="68" t="str">
        <f t="shared" si="12"/>
        <v/>
      </c>
      <c r="X873" s="59" t="str">
        <f t="shared" si="13"/>
        <v/>
      </c>
      <c r="Y873" s="69" t="str">
        <f t="shared" si="14"/>
        <v/>
      </c>
      <c r="Z873" s="11"/>
    </row>
    <row r="874">
      <c r="A874" s="8"/>
      <c r="B874" s="56" t="str">
        <f t="shared" si="2"/>
        <v/>
      </c>
      <c r="C874" s="105"/>
      <c r="D874" s="10"/>
      <c r="E874" s="59" t="str">
        <f t="array" ref="E874">IF(COUNTA(C874:C1673)=0,"",SUM((COUNTIF(C$4:C874,Upgrades!$B$3:$B$13)-COUNTIF(C$4:C874,"Sell_"&amp;Upgrades!$B$3:$B$13))*Upgrades!$D$3:$D$13))</f>
        <v/>
      </c>
      <c r="F874" s="66" t="str">
        <f>IFERROR(__xludf.DUMMYFUNCTION("IF(COUNTA(C874:C1673)=0,"""",IF(REGEXMATCH(INDEX(FILTER(C$4:C874,C$4:C874&lt;&gt;""""),ROWS(FILTER(C$4:C874,C$4:C874&lt;&gt;""""))),""^Sell_""),INDEX(FILTER(F$4:F873,C$4:C873&lt;&gt;""""),ROWS(FILTER(C$4:C873,C$4:C873&lt;&gt;""""))),$AC$5+E874))"),"")</f>
        <v/>
      </c>
      <c r="G874" s="10" t="str">
        <f>IFERROR(__xludf.DUMMYFUNCTION("IF(COUNTA(C874:C1673)=0,"""",IF(C874="""",0,IF(REGEXMATCH(C874,""^Sell_""),-ROUNDDOWN(ROUNDUP(INDEX(Upgrades!$C$3:$C$13,MATCH(SUBSTITUTE(C874,""Sell_"",""""),Upgrades!$B$3:$B$13,0))*1.15^(COUNTIF(C$4:C873,SUBSTITUTE(C874,""Sell_"",""""))-COUNTIF(C$4:C873,"&amp;"""Sell_""&amp;SUBSTITUTE(C874,""Sell_"",""""))))/2),ROUNDUP(INDEX(Upgrades!$C$3:$C$13,MATCH(C874,Upgrades!$B$3:$B$13,0))*1.15^(COUNTIF(C$4:C873,C874)-COUNTIF(C$4:C873,""Sell_""&amp;C874))))))"),"")</f>
        <v/>
      </c>
      <c r="H874" s="10" t="str">
        <f t="shared" si="3"/>
        <v/>
      </c>
      <c r="I874" s="68" t="str">
        <f t="shared" si="4"/>
        <v/>
      </c>
      <c r="J874" s="59" t="str">
        <f t="shared" si="5"/>
        <v/>
      </c>
      <c r="K874" s="69" t="str">
        <f t="shared" si="6"/>
        <v/>
      </c>
      <c r="L874" s="60" t="str">
        <f t="shared" si="7"/>
        <v/>
      </c>
      <c r="M874" s="61" t="str">
        <f>IFERROR(__xludf.DUMMYFUNCTION("IFS(AND(COUNTA(C874:C1673)=0,COUNTA(Q874:Q1673)=0),"""",OR(AND(K874&gt;=1000000000,OR(Y874&gt;=1000000000,COUNTA(Q874:Q1673)=0)),OR(Y874&gt;=1000000000,AND(COUNTA(C874:C1673)=0,P$3=TRUE))),
ROUNDDOWN((AB$1-AC$1)*MAX(INDEX(T$4:T1673,MATCH(LARGE(FILTER(Y$4:Y1673,Y$4"&amp;":Y1673&lt;1000000000),1),Y$4:Y1673)),INDEX(F$4:F1673,MATCH(LARGE(FILTER(K$4:K1673,K$4:K1673&lt;1000000000),1),K$4:K1673)))),AND(K874&lt;1000000000,COUNTA(C874:C1673)&gt;0,P$3=FALSE),
ROUNDDOWN(INDEX(Y$4:Y1673,MATCH(LARGE(FILTER(W$4:W1673,W$4:W1673&lt;=I874),1),W$4:W1673"&amp;"))+(I874-LARGE(FILTER(W$4:W1673,W$4:W1673&lt;=I874),1))*INDEX(T$4:T1673,MATCH(LARGE(FILTER(W$4:W1673,W$4:W1673&lt;=I874),1),W$4:W1673))-K874),1,
ROUNDDOWN(Y874-INDEX(K$4:K1673,MATCH(LARGE(FILTER(I$4:I1673,I$4:I1673&lt;=W874),1),I$4:I1673))-(W874-LARGE(FILTER(I$4:I"&amp;"1673,I$4:I1673&lt;=W874),1))*INDEX(F$4:F1673,MATCH(LARGE(FILTER(I$4:I1673,I$4:I1673&lt;=W874),1),I$4:I1673))))"),"")</f>
        <v/>
      </c>
      <c r="N874" s="60" t="str">
        <f t="shared" si="8"/>
        <v/>
      </c>
      <c r="O874" s="61" t="str">
        <f t="shared" si="9"/>
        <v/>
      </c>
      <c r="P874" s="56" t="str">
        <f t="shared" si="10"/>
        <v/>
      </c>
      <c r="R874" s="10"/>
      <c r="S874" s="59" t="str">
        <f t="array" ref="S874">IF(COUNTA(Q874:Q1673)=0,"",SUM((COUNTIF(Q$4:Q874,Upgrades!$B$3:$B$13)-COUNTIF(Q$4:Q874,"Sell_"&amp;Upgrades!$B$3:$B$13))*Upgrades!$D$3:$D$13))</f>
        <v/>
      </c>
      <c r="T874" s="66" t="str">
        <f>IFERROR(__xludf.DUMMYFUNCTION("IF(COUNTA(Q874:Q1673)=0,"""",IF(REGEXMATCH(INDEX(FILTER(Q$4:Q874,Q$4:Q874&lt;&gt;""""),ROWS(FILTER(Q$4:Q874,Q$4:Q874&lt;&gt;""""))),""^Sell_""),INDEX(FILTER(T$4:T873,Q$4:Q873&lt;&gt;""""),ROWS(FILTER(Q$4:Q873,Q$4:Q873&lt;&gt;""""))),$AD$5+S874))"),"")</f>
        <v/>
      </c>
      <c r="U874" s="10" t="str">
        <f>IFERROR(__xludf.DUMMYFUNCTION("IF(COUNTA(Q874:Q1673)=0,"""",IF(Q874="""",0,IF(REGEXMATCH(Q874,""^Sell_""),-ROUNDDOWN(ROUNDUP(INDEX(Upgrades!$C$3:$C$13,MATCH(SUBSTITUTE(Q874,""Sell_"",""""),Upgrades!$B$3:$B$13,0))*1.15^(COUNTIF(Q$4:Q873,SUBSTITUTE(Q874,""Sell_"",""""))-COUNTIF(Q$4:Q873,"&amp;"""Sell_""&amp;SUBSTITUTE(Q874,""Sell_"",""""))))/2),ROUNDUP(INDEX(Upgrades!$C$3:$C$13,MATCH(Q874,Upgrades!$B$3:$B$13,0))*1.15^(COUNTIF(Q$4:Q873,Q874)-COUNTIF(Q$4:Q873,""Sell_""&amp;Q874))))))"),"")</f>
        <v/>
      </c>
      <c r="V874" s="10" t="str">
        <f t="shared" si="11"/>
        <v/>
      </c>
      <c r="W874" s="68" t="str">
        <f t="shared" si="12"/>
        <v/>
      </c>
      <c r="X874" s="59" t="str">
        <f t="shared" si="13"/>
        <v/>
      </c>
      <c r="Y874" s="69" t="str">
        <f t="shared" si="14"/>
        <v/>
      </c>
      <c r="Z874" s="11"/>
    </row>
    <row r="875">
      <c r="A875" s="8"/>
      <c r="B875" s="56" t="str">
        <f t="shared" si="2"/>
        <v/>
      </c>
      <c r="C875" s="105"/>
      <c r="D875" s="10"/>
      <c r="E875" s="59" t="str">
        <f t="array" ref="E875">IF(COUNTA(C875:C1673)=0,"",SUM((COUNTIF(C$4:C875,Upgrades!$B$3:$B$13)-COUNTIF(C$4:C875,"Sell_"&amp;Upgrades!$B$3:$B$13))*Upgrades!$D$3:$D$13))</f>
        <v/>
      </c>
      <c r="F875" s="66" t="str">
        <f>IFERROR(__xludf.DUMMYFUNCTION("IF(COUNTA(C875:C1673)=0,"""",IF(REGEXMATCH(INDEX(FILTER(C$4:C875,C$4:C875&lt;&gt;""""),ROWS(FILTER(C$4:C875,C$4:C875&lt;&gt;""""))),""^Sell_""),INDEX(FILTER(F$4:F874,C$4:C874&lt;&gt;""""),ROWS(FILTER(C$4:C874,C$4:C874&lt;&gt;""""))),$AC$5+E875))"),"")</f>
        <v/>
      </c>
      <c r="G875" s="10" t="str">
        <f>IFERROR(__xludf.DUMMYFUNCTION("IF(COUNTA(C875:C1673)=0,"""",IF(C875="""",0,IF(REGEXMATCH(C875,""^Sell_""),-ROUNDDOWN(ROUNDUP(INDEX(Upgrades!$C$3:$C$13,MATCH(SUBSTITUTE(C875,""Sell_"",""""),Upgrades!$B$3:$B$13,0))*1.15^(COUNTIF(C$4:C874,SUBSTITUTE(C875,""Sell_"",""""))-COUNTIF(C$4:C874,"&amp;"""Sell_""&amp;SUBSTITUTE(C875,""Sell_"",""""))))/2),ROUNDUP(INDEX(Upgrades!$C$3:$C$13,MATCH(C875,Upgrades!$B$3:$B$13,0))*1.15^(COUNTIF(C$4:C874,C875)-COUNTIF(C$4:C874,""Sell_""&amp;C875))))))"),"")</f>
        <v/>
      </c>
      <c r="H875" s="10" t="str">
        <f t="shared" si="3"/>
        <v/>
      </c>
      <c r="I875" s="68" t="str">
        <f t="shared" si="4"/>
        <v/>
      </c>
      <c r="J875" s="59" t="str">
        <f t="shared" si="5"/>
        <v/>
      </c>
      <c r="K875" s="69" t="str">
        <f t="shared" si="6"/>
        <v/>
      </c>
      <c r="L875" s="60" t="str">
        <f t="shared" si="7"/>
        <v/>
      </c>
      <c r="M875" s="61" t="str">
        <f>IFERROR(__xludf.DUMMYFUNCTION("IFS(AND(COUNTA(C875:C1673)=0,COUNTA(Q875:Q1673)=0),"""",OR(AND(K875&gt;=1000000000,OR(Y875&gt;=1000000000,COUNTA(Q875:Q1673)=0)),OR(Y875&gt;=1000000000,AND(COUNTA(C875:C1673)=0,P$3=TRUE))),
ROUNDDOWN((AB$1-AC$1)*MAX(INDEX(T$4:T1673,MATCH(LARGE(FILTER(Y$4:Y1673,Y$4"&amp;":Y1673&lt;1000000000),1),Y$4:Y1673)),INDEX(F$4:F1673,MATCH(LARGE(FILTER(K$4:K1673,K$4:K1673&lt;1000000000),1),K$4:K1673)))),AND(K875&lt;1000000000,COUNTA(C875:C1673)&gt;0,P$3=FALSE),
ROUNDDOWN(INDEX(Y$4:Y1673,MATCH(LARGE(FILTER(W$4:W1673,W$4:W1673&lt;=I875),1),W$4:W1673"&amp;"))+(I875-LARGE(FILTER(W$4:W1673,W$4:W1673&lt;=I875),1))*INDEX(T$4:T1673,MATCH(LARGE(FILTER(W$4:W1673,W$4:W1673&lt;=I875),1),W$4:W1673))-K875),1,
ROUNDDOWN(Y875-INDEX(K$4:K1673,MATCH(LARGE(FILTER(I$4:I1673,I$4:I1673&lt;=W875),1),I$4:I1673))-(W875-LARGE(FILTER(I$4:I"&amp;"1673,I$4:I1673&lt;=W875),1))*INDEX(F$4:F1673,MATCH(LARGE(FILTER(I$4:I1673,I$4:I1673&lt;=W875),1),I$4:I1673))))"),"")</f>
        <v/>
      </c>
      <c r="N875" s="60" t="str">
        <f t="shared" si="8"/>
        <v/>
      </c>
      <c r="O875" s="61" t="str">
        <f t="shared" si="9"/>
        <v/>
      </c>
      <c r="P875" s="56" t="str">
        <f t="shared" si="10"/>
        <v/>
      </c>
      <c r="R875" s="10"/>
      <c r="S875" s="59" t="str">
        <f t="array" ref="S875">IF(COUNTA(Q875:Q1673)=0,"",SUM((COUNTIF(Q$4:Q875,Upgrades!$B$3:$B$13)-COUNTIF(Q$4:Q875,"Sell_"&amp;Upgrades!$B$3:$B$13))*Upgrades!$D$3:$D$13))</f>
        <v/>
      </c>
      <c r="T875" s="66" t="str">
        <f>IFERROR(__xludf.DUMMYFUNCTION("IF(COUNTA(Q875:Q1673)=0,"""",IF(REGEXMATCH(INDEX(FILTER(Q$4:Q875,Q$4:Q875&lt;&gt;""""),ROWS(FILTER(Q$4:Q875,Q$4:Q875&lt;&gt;""""))),""^Sell_""),INDEX(FILTER(T$4:T874,Q$4:Q874&lt;&gt;""""),ROWS(FILTER(Q$4:Q874,Q$4:Q874&lt;&gt;""""))),$AD$5+S875))"),"")</f>
        <v/>
      </c>
      <c r="U875" s="10" t="str">
        <f>IFERROR(__xludf.DUMMYFUNCTION("IF(COUNTA(Q875:Q1673)=0,"""",IF(Q875="""",0,IF(REGEXMATCH(Q875,""^Sell_""),-ROUNDDOWN(ROUNDUP(INDEX(Upgrades!$C$3:$C$13,MATCH(SUBSTITUTE(Q875,""Sell_"",""""),Upgrades!$B$3:$B$13,0))*1.15^(COUNTIF(Q$4:Q874,SUBSTITUTE(Q875,""Sell_"",""""))-COUNTIF(Q$4:Q874,"&amp;"""Sell_""&amp;SUBSTITUTE(Q875,""Sell_"",""""))))/2),ROUNDUP(INDEX(Upgrades!$C$3:$C$13,MATCH(Q875,Upgrades!$B$3:$B$13,0))*1.15^(COUNTIF(Q$4:Q874,Q875)-COUNTIF(Q$4:Q874,""Sell_""&amp;Q875))))))"),"")</f>
        <v/>
      </c>
      <c r="V875" s="10" t="str">
        <f t="shared" si="11"/>
        <v/>
      </c>
      <c r="W875" s="68" t="str">
        <f t="shared" si="12"/>
        <v/>
      </c>
      <c r="X875" s="59" t="str">
        <f t="shared" si="13"/>
        <v/>
      </c>
      <c r="Y875" s="69" t="str">
        <f t="shared" si="14"/>
        <v/>
      </c>
      <c r="Z875" s="11"/>
    </row>
    <row r="876">
      <c r="A876" s="8"/>
      <c r="B876" s="56" t="str">
        <f t="shared" si="2"/>
        <v/>
      </c>
      <c r="C876" s="105"/>
      <c r="D876" s="10"/>
      <c r="E876" s="59" t="str">
        <f t="array" ref="E876">IF(COUNTA(C876:C1673)=0,"",SUM((COUNTIF(C$4:C876,Upgrades!$B$3:$B$13)-COUNTIF(C$4:C876,"Sell_"&amp;Upgrades!$B$3:$B$13))*Upgrades!$D$3:$D$13))</f>
        <v/>
      </c>
      <c r="F876" s="66" t="str">
        <f>IFERROR(__xludf.DUMMYFUNCTION("IF(COUNTA(C876:C1673)=0,"""",IF(REGEXMATCH(INDEX(FILTER(C$4:C876,C$4:C876&lt;&gt;""""),ROWS(FILTER(C$4:C876,C$4:C876&lt;&gt;""""))),""^Sell_""),INDEX(FILTER(F$4:F875,C$4:C875&lt;&gt;""""),ROWS(FILTER(C$4:C875,C$4:C875&lt;&gt;""""))),$AC$5+E876))"),"")</f>
        <v/>
      </c>
      <c r="G876" s="10" t="str">
        <f>IFERROR(__xludf.DUMMYFUNCTION("IF(COUNTA(C876:C1673)=0,"""",IF(C876="""",0,IF(REGEXMATCH(C876,""^Sell_""),-ROUNDDOWN(ROUNDUP(INDEX(Upgrades!$C$3:$C$13,MATCH(SUBSTITUTE(C876,""Sell_"",""""),Upgrades!$B$3:$B$13,0))*1.15^(COUNTIF(C$4:C875,SUBSTITUTE(C876,""Sell_"",""""))-COUNTIF(C$4:C875,"&amp;"""Sell_""&amp;SUBSTITUTE(C876,""Sell_"",""""))))/2),ROUNDUP(INDEX(Upgrades!$C$3:$C$13,MATCH(C876,Upgrades!$B$3:$B$13,0))*1.15^(COUNTIF(C$4:C875,C876)-COUNTIF(C$4:C875,""Sell_""&amp;C876))))))"),"")</f>
        <v/>
      </c>
      <c r="H876" s="10" t="str">
        <f t="shared" si="3"/>
        <v/>
      </c>
      <c r="I876" s="68" t="str">
        <f t="shared" si="4"/>
        <v/>
      </c>
      <c r="J876" s="59" t="str">
        <f t="shared" si="5"/>
        <v/>
      </c>
      <c r="K876" s="69" t="str">
        <f t="shared" si="6"/>
        <v/>
      </c>
      <c r="L876" s="60" t="str">
        <f t="shared" si="7"/>
        <v/>
      </c>
      <c r="M876" s="61" t="str">
        <f>IFERROR(__xludf.DUMMYFUNCTION("IFS(AND(COUNTA(C876:C1673)=0,COUNTA(Q876:Q1673)=0),"""",OR(AND(K876&gt;=1000000000,OR(Y876&gt;=1000000000,COUNTA(Q876:Q1673)=0)),OR(Y876&gt;=1000000000,AND(COUNTA(C876:C1673)=0,P$3=TRUE))),
ROUNDDOWN((AB$1-AC$1)*MAX(INDEX(T$4:T1673,MATCH(LARGE(FILTER(Y$4:Y1673,Y$4"&amp;":Y1673&lt;1000000000),1),Y$4:Y1673)),INDEX(F$4:F1673,MATCH(LARGE(FILTER(K$4:K1673,K$4:K1673&lt;1000000000),1),K$4:K1673)))),AND(K876&lt;1000000000,COUNTA(C876:C1673)&gt;0,P$3=FALSE),
ROUNDDOWN(INDEX(Y$4:Y1673,MATCH(LARGE(FILTER(W$4:W1673,W$4:W1673&lt;=I876),1),W$4:W1673"&amp;"))+(I876-LARGE(FILTER(W$4:W1673,W$4:W1673&lt;=I876),1))*INDEX(T$4:T1673,MATCH(LARGE(FILTER(W$4:W1673,W$4:W1673&lt;=I876),1),W$4:W1673))-K876),1,
ROUNDDOWN(Y876-INDEX(K$4:K1673,MATCH(LARGE(FILTER(I$4:I1673,I$4:I1673&lt;=W876),1),I$4:I1673))-(W876-LARGE(FILTER(I$4:I"&amp;"1673,I$4:I1673&lt;=W876),1))*INDEX(F$4:F1673,MATCH(LARGE(FILTER(I$4:I1673,I$4:I1673&lt;=W876),1),I$4:I1673))))"),"")</f>
        <v/>
      </c>
      <c r="N876" s="60" t="str">
        <f t="shared" si="8"/>
        <v/>
      </c>
      <c r="O876" s="61" t="str">
        <f t="shared" si="9"/>
        <v/>
      </c>
      <c r="P876" s="56" t="str">
        <f t="shared" si="10"/>
        <v/>
      </c>
      <c r="R876" s="10"/>
      <c r="S876" s="59" t="str">
        <f t="array" ref="S876">IF(COUNTA(Q876:Q1673)=0,"",SUM((COUNTIF(Q$4:Q876,Upgrades!$B$3:$B$13)-COUNTIF(Q$4:Q876,"Sell_"&amp;Upgrades!$B$3:$B$13))*Upgrades!$D$3:$D$13))</f>
        <v/>
      </c>
      <c r="T876" s="66" t="str">
        <f>IFERROR(__xludf.DUMMYFUNCTION("IF(COUNTA(Q876:Q1673)=0,"""",IF(REGEXMATCH(INDEX(FILTER(Q$4:Q876,Q$4:Q876&lt;&gt;""""),ROWS(FILTER(Q$4:Q876,Q$4:Q876&lt;&gt;""""))),""^Sell_""),INDEX(FILTER(T$4:T875,Q$4:Q875&lt;&gt;""""),ROWS(FILTER(Q$4:Q875,Q$4:Q875&lt;&gt;""""))),$AD$5+S876))"),"")</f>
        <v/>
      </c>
      <c r="U876" s="10" t="str">
        <f>IFERROR(__xludf.DUMMYFUNCTION("IF(COUNTA(Q876:Q1673)=0,"""",IF(Q876="""",0,IF(REGEXMATCH(Q876,""^Sell_""),-ROUNDDOWN(ROUNDUP(INDEX(Upgrades!$C$3:$C$13,MATCH(SUBSTITUTE(Q876,""Sell_"",""""),Upgrades!$B$3:$B$13,0))*1.15^(COUNTIF(Q$4:Q875,SUBSTITUTE(Q876,""Sell_"",""""))-COUNTIF(Q$4:Q875,"&amp;"""Sell_""&amp;SUBSTITUTE(Q876,""Sell_"",""""))))/2),ROUNDUP(INDEX(Upgrades!$C$3:$C$13,MATCH(Q876,Upgrades!$B$3:$B$13,0))*1.15^(COUNTIF(Q$4:Q875,Q876)-COUNTIF(Q$4:Q875,""Sell_""&amp;Q876))))))"),"")</f>
        <v/>
      </c>
      <c r="V876" s="10" t="str">
        <f t="shared" si="11"/>
        <v/>
      </c>
      <c r="W876" s="68" t="str">
        <f t="shared" si="12"/>
        <v/>
      </c>
      <c r="X876" s="59" t="str">
        <f t="shared" si="13"/>
        <v/>
      </c>
      <c r="Y876" s="69" t="str">
        <f t="shared" si="14"/>
        <v/>
      </c>
      <c r="Z876" s="11"/>
    </row>
    <row r="877">
      <c r="A877" s="8"/>
      <c r="B877" s="56" t="str">
        <f t="shared" si="2"/>
        <v/>
      </c>
      <c r="C877" s="105"/>
      <c r="D877" s="10"/>
      <c r="E877" s="59" t="str">
        <f t="array" ref="E877">IF(COUNTA(C877:C1673)=0,"",SUM((COUNTIF(C$4:C877,Upgrades!$B$3:$B$13)-COUNTIF(C$4:C877,"Sell_"&amp;Upgrades!$B$3:$B$13))*Upgrades!$D$3:$D$13))</f>
        <v/>
      </c>
      <c r="F877" s="66" t="str">
        <f>IFERROR(__xludf.DUMMYFUNCTION("IF(COUNTA(C877:C1673)=0,"""",IF(REGEXMATCH(INDEX(FILTER(C$4:C877,C$4:C877&lt;&gt;""""),ROWS(FILTER(C$4:C877,C$4:C877&lt;&gt;""""))),""^Sell_""),INDEX(FILTER(F$4:F876,C$4:C876&lt;&gt;""""),ROWS(FILTER(C$4:C876,C$4:C876&lt;&gt;""""))),$AC$5+E877))"),"")</f>
        <v/>
      </c>
      <c r="G877" s="10" t="str">
        <f>IFERROR(__xludf.DUMMYFUNCTION("IF(COUNTA(C877:C1673)=0,"""",IF(C877="""",0,IF(REGEXMATCH(C877,""^Sell_""),-ROUNDDOWN(ROUNDUP(INDEX(Upgrades!$C$3:$C$13,MATCH(SUBSTITUTE(C877,""Sell_"",""""),Upgrades!$B$3:$B$13,0))*1.15^(COUNTIF(C$4:C876,SUBSTITUTE(C877,""Sell_"",""""))-COUNTIF(C$4:C876,"&amp;"""Sell_""&amp;SUBSTITUTE(C877,""Sell_"",""""))))/2),ROUNDUP(INDEX(Upgrades!$C$3:$C$13,MATCH(C877,Upgrades!$B$3:$B$13,0))*1.15^(COUNTIF(C$4:C876,C877)-COUNTIF(C$4:C876,""Sell_""&amp;C877))))))"),"")</f>
        <v/>
      </c>
      <c r="H877" s="10" t="str">
        <f t="shared" si="3"/>
        <v/>
      </c>
      <c r="I877" s="68" t="str">
        <f t="shared" si="4"/>
        <v/>
      </c>
      <c r="J877" s="59" t="str">
        <f t="shared" si="5"/>
        <v/>
      </c>
      <c r="K877" s="69" t="str">
        <f t="shared" si="6"/>
        <v/>
      </c>
      <c r="L877" s="60" t="str">
        <f t="shared" si="7"/>
        <v/>
      </c>
      <c r="M877" s="61" t="str">
        <f>IFERROR(__xludf.DUMMYFUNCTION("IFS(AND(COUNTA(C877:C1673)=0,COUNTA(Q877:Q1673)=0),"""",OR(AND(K877&gt;=1000000000,OR(Y877&gt;=1000000000,COUNTA(Q877:Q1673)=0)),OR(Y877&gt;=1000000000,AND(COUNTA(C877:C1673)=0,P$3=TRUE))),
ROUNDDOWN((AB$1-AC$1)*MAX(INDEX(T$4:T1673,MATCH(LARGE(FILTER(Y$4:Y1673,Y$4"&amp;":Y1673&lt;1000000000),1),Y$4:Y1673)),INDEX(F$4:F1673,MATCH(LARGE(FILTER(K$4:K1673,K$4:K1673&lt;1000000000),1),K$4:K1673)))),AND(K877&lt;1000000000,COUNTA(C877:C1673)&gt;0,P$3=FALSE),
ROUNDDOWN(INDEX(Y$4:Y1673,MATCH(LARGE(FILTER(W$4:W1673,W$4:W1673&lt;=I877),1),W$4:W1673"&amp;"))+(I877-LARGE(FILTER(W$4:W1673,W$4:W1673&lt;=I877),1))*INDEX(T$4:T1673,MATCH(LARGE(FILTER(W$4:W1673,W$4:W1673&lt;=I877),1),W$4:W1673))-K877),1,
ROUNDDOWN(Y877-INDEX(K$4:K1673,MATCH(LARGE(FILTER(I$4:I1673,I$4:I1673&lt;=W877),1),I$4:I1673))-(W877-LARGE(FILTER(I$4:I"&amp;"1673,I$4:I1673&lt;=W877),1))*INDEX(F$4:F1673,MATCH(LARGE(FILTER(I$4:I1673,I$4:I1673&lt;=W877),1),I$4:I1673))))"),"")</f>
        <v/>
      </c>
      <c r="N877" s="60" t="str">
        <f t="shared" si="8"/>
        <v/>
      </c>
      <c r="O877" s="61" t="str">
        <f t="shared" si="9"/>
        <v/>
      </c>
      <c r="P877" s="56" t="str">
        <f t="shared" si="10"/>
        <v/>
      </c>
      <c r="R877" s="10"/>
      <c r="S877" s="59" t="str">
        <f t="array" ref="S877">IF(COUNTA(Q877:Q1673)=0,"",SUM((COUNTIF(Q$4:Q877,Upgrades!$B$3:$B$13)-COUNTIF(Q$4:Q877,"Sell_"&amp;Upgrades!$B$3:$B$13))*Upgrades!$D$3:$D$13))</f>
        <v/>
      </c>
      <c r="T877" s="66" t="str">
        <f>IFERROR(__xludf.DUMMYFUNCTION("IF(COUNTA(Q877:Q1673)=0,"""",IF(REGEXMATCH(INDEX(FILTER(Q$4:Q877,Q$4:Q877&lt;&gt;""""),ROWS(FILTER(Q$4:Q877,Q$4:Q877&lt;&gt;""""))),""^Sell_""),INDEX(FILTER(T$4:T876,Q$4:Q876&lt;&gt;""""),ROWS(FILTER(Q$4:Q876,Q$4:Q876&lt;&gt;""""))),$AD$5+S877))"),"")</f>
        <v/>
      </c>
      <c r="U877" s="10" t="str">
        <f>IFERROR(__xludf.DUMMYFUNCTION("IF(COUNTA(Q877:Q1673)=0,"""",IF(Q877="""",0,IF(REGEXMATCH(Q877,""^Sell_""),-ROUNDDOWN(ROUNDUP(INDEX(Upgrades!$C$3:$C$13,MATCH(SUBSTITUTE(Q877,""Sell_"",""""),Upgrades!$B$3:$B$13,0))*1.15^(COUNTIF(Q$4:Q876,SUBSTITUTE(Q877,""Sell_"",""""))-COUNTIF(Q$4:Q876,"&amp;"""Sell_""&amp;SUBSTITUTE(Q877,""Sell_"",""""))))/2),ROUNDUP(INDEX(Upgrades!$C$3:$C$13,MATCH(Q877,Upgrades!$B$3:$B$13,0))*1.15^(COUNTIF(Q$4:Q876,Q877)-COUNTIF(Q$4:Q876,""Sell_""&amp;Q877))))))"),"")</f>
        <v/>
      </c>
      <c r="V877" s="10" t="str">
        <f t="shared" si="11"/>
        <v/>
      </c>
      <c r="W877" s="68" t="str">
        <f t="shared" si="12"/>
        <v/>
      </c>
      <c r="X877" s="59" t="str">
        <f t="shared" si="13"/>
        <v/>
      </c>
      <c r="Y877" s="69" t="str">
        <f t="shared" si="14"/>
        <v/>
      </c>
      <c r="Z877" s="11"/>
    </row>
    <row r="878">
      <c r="A878" s="8"/>
      <c r="B878" s="56" t="str">
        <f t="shared" si="2"/>
        <v/>
      </c>
      <c r="C878" s="105"/>
      <c r="D878" s="10"/>
      <c r="E878" s="59" t="str">
        <f t="array" ref="E878">IF(COUNTA(C878:C1673)=0,"",SUM((COUNTIF(C$4:C878,Upgrades!$B$3:$B$13)-COUNTIF(C$4:C878,"Sell_"&amp;Upgrades!$B$3:$B$13))*Upgrades!$D$3:$D$13))</f>
        <v/>
      </c>
      <c r="F878" s="66" t="str">
        <f>IFERROR(__xludf.DUMMYFUNCTION("IF(COUNTA(C878:C1673)=0,"""",IF(REGEXMATCH(INDEX(FILTER(C$4:C878,C$4:C878&lt;&gt;""""),ROWS(FILTER(C$4:C878,C$4:C878&lt;&gt;""""))),""^Sell_""),INDEX(FILTER(F$4:F877,C$4:C877&lt;&gt;""""),ROWS(FILTER(C$4:C877,C$4:C877&lt;&gt;""""))),$AC$5+E878))"),"")</f>
        <v/>
      </c>
      <c r="G878" s="10" t="str">
        <f>IFERROR(__xludf.DUMMYFUNCTION("IF(COUNTA(C878:C1673)=0,"""",IF(C878="""",0,IF(REGEXMATCH(C878,""^Sell_""),-ROUNDDOWN(ROUNDUP(INDEX(Upgrades!$C$3:$C$13,MATCH(SUBSTITUTE(C878,""Sell_"",""""),Upgrades!$B$3:$B$13,0))*1.15^(COUNTIF(C$4:C877,SUBSTITUTE(C878,""Sell_"",""""))-COUNTIF(C$4:C877,"&amp;"""Sell_""&amp;SUBSTITUTE(C878,""Sell_"",""""))))/2),ROUNDUP(INDEX(Upgrades!$C$3:$C$13,MATCH(C878,Upgrades!$B$3:$B$13,0))*1.15^(COUNTIF(C$4:C877,C878)-COUNTIF(C$4:C877,""Sell_""&amp;C878))))))"),"")</f>
        <v/>
      </c>
      <c r="H878" s="10" t="str">
        <f t="shared" si="3"/>
        <v/>
      </c>
      <c r="I878" s="68" t="str">
        <f t="shared" si="4"/>
        <v/>
      </c>
      <c r="J878" s="59" t="str">
        <f t="shared" si="5"/>
        <v/>
      </c>
      <c r="K878" s="69" t="str">
        <f t="shared" si="6"/>
        <v/>
      </c>
      <c r="L878" s="60" t="str">
        <f t="shared" si="7"/>
        <v/>
      </c>
      <c r="M878" s="61" t="str">
        <f>IFERROR(__xludf.DUMMYFUNCTION("IFS(AND(COUNTA(C878:C1673)=0,COUNTA(Q878:Q1673)=0),"""",OR(AND(K878&gt;=1000000000,OR(Y878&gt;=1000000000,COUNTA(Q878:Q1673)=0)),OR(Y878&gt;=1000000000,AND(COUNTA(C878:C1673)=0,P$3=TRUE))),
ROUNDDOWN((AB$1-AC$1)*MAX(INDEX(T$4:T1673,MATCH(LARGE(FILTER(Y$4:Y1673,Y$4"&amp;":Y1673&lt;1000000000),1),Y$4:Y1673)),INDEX(F$4:F1673,MATCH(LARGE(FILTER(K$4:K1673,K$4:K1673&lt;1000000000),1),K$4:K1673)))),AND(K878&lt;1000000000,COUNTA(C878:C1673)&gt;0,P$3=FALSE),
ROUNDDOWN(INDEX(Y$4:Y1673,MATCH(LARGE(FILTER(W$4:W1673,W$4:W1673&lt;=I878),1),W$4:W1673"&amp;"))+(I878-LARGE(FILTER(W$4:W1673,W$4:W1673&lt;=I878),1))*INDEX(T$4:T1673,MATCH(LARGE(FILTER(W$4:W1673,W$4:W1673&lt;=I878),1),W$4:W1673))-K878),1,
ROUNDDOWN(Y878-INDEX(K$4:K1673,MATCH(LARGE(FILTER(I$4:I1673,I$4:I1673&lt;=W878),1),I$4:I1673))-(W878-LARGE(FILTER(I$4:I"&amp;"1673,I$4:I1673&lt;=W878),1))*INDEX(F$4:F1673,MATCH(LARGE(FILTER(I$4:I1673,I$4:I1673&lt;=W878),1),I$4:I1673))))"),"")</f>
        <v/>
      </c>
      <c r="N878" s="60" t="str">
        <f t="shared" si="8"/>
        <v/>
      </c>
      <c r="O878" s="61" t="str">
        <f t="shared" si="9"/>
        <v/>
      </c>
      <c r="P878" s="56" t="str">
        <f t="shared" si="10"/>
        <v/>
      </c>
      <c r="R878" s="10"/>
      <c r="S878" s="59" t="str">
        <f t="array" ref="S878">IF(COUNTA(Q878:Q1673)=0,"",SUM((COUNTIF(Q$4:Q878,Upgrades!$B$3:$B$13)-COUNTIF(Q$4:Q878,"Sell_"&amp;Upgrades!$B$3:$B$13))*Upgrades!$D$3:$D$13))</f>
        <v/>
      </c>
      <c r="T878" s="66" t="str">
        <f>IFERROR(__xludf.DUMMYFUNCTION("IF(COUNTA(Q878:Q1673)=0,"""",IF(REGEXMATCH(INDEX(FILTER(Q$4:Q878,Q$4:Q878&lt;&gt;""""),ROWS(FILTER(Q$4:Q878,Q$4:Q878&lt;&gt;""""))),""^Sell_""),INDEX(FILTER(T$4:T877,Q$4:Q877&lt;&gt;""""),ROWS(FILTER(Q$4:Q877,Q$4:Q877&lt;&gt;""""))),$AD$5+S878))"),"")</f>
        <v/>
      </c>
      <c r="U878" s="10" t="str">
        <f>IFERROR(__xludf.DUMMYFUNCTION("IF(COUNTA(Q878:Q1673)=0,"""",IF(Q878="""",0,IF(REGEXMATCH(Q878,""^Sell_""),-ROUNDDOWN(ROUNDUP(INDEX(Upgrades!$C$3:$C$13,MATCH(SUBSTITUTE(Q878,""Sell_"",""""),Upgrades!$B$3:$B$13,0))*1.15^(COUNTIF(Q$4:Q877,SUBSTITUTE(Q878,""Sell_"",""""))-COUNTIF(Q$4:Q877,"&amp;"""Sell_""&amp;SUBSTITUTE(Q878,""Sell_"",""""))))/2),ROUNDUP(INDEX(Upgrades!$C$3:$C$13,MATCH(Q878,Upgrades!$B$3:$B$13,0))*1.15^(COUNTIF(Q$4:Q877,Q878)-COUNTIF(Q$4:Q877,""Sell_""&amp;Q878))))))"),"")</f>
        <v/>
      </c>
      <c r="V878" s="10" t="str">
        <f t="shared" si="11"/>
        <v/>
      </c>
      <c r="W878" s="68" t="str">
        <f t="shared" si="12"/>
        <v/>
      </c>
      <c r="X878" s="59" t="str">
        <f t="shared" si="13"/>
        <v/>
      </c>
      <c r="Y878" s="69" t="str">
        <f t="shared" si="14"/>
        <v/>
      </c>
      <c r="Z878" s="11"/>
    </row>
    <row r="879">
      <c r="A879" s="8"/>
      <c r="B879" s="56" t="str">
        <f t="shared" si="2"/>
        <v/>
      </c>
      <c r="C879" s="105"/>
      <c r="D879" s="10"/>
      <c r="E879" s="59" t="str">
        <f t="array" ref="E879">IF(COUNTA(C879:C1673)=0,"",SUM((COUNTIF(C$4:C879,Upgrades!$B$3:$B$13)-COUNTIF(C$4:C879,"Sell_"&amp;Upgrades!$B$3:$B$13))*Upgrades!$D$3:$D$13))</f>
        <v/>
      </c>
      <c r="F879" s="66" t="str">
        <f>IFERROR(__xludf.DUMMYFUNCTION("IF(COUNTA(C879:C1673)=0,"""",IF(REGEXMATCH(INDEX(FILTER(C$4:C879,C$4:C879&lt;&gt;""""),ROWS(FILTER(C$4:C879,C$4:C879&lt;&gt;""""))),""^Sell_""),INDEX(FILTER(F$4:F878,C$4:C878&lt;&gt;""""),ROWS(FILTER(C$4:C878,C$4:C878&lt;&gt;""""))),$AC$5+E879))"),"")</f>
        <v/>
      </c>
      <c r="G879" s="10" t="str">
        <f>IFERROR(__xludf.DUMMYFUNCTION("IF(COUNTA(C879:C1673)=0,"""",IF(C879="""",0,IF(REGEXMATCH(C879,""^Sell_""),-ROUNDDOWN(ROUNDUP(INDEX(Upgrades!$C$3:$C$13,MATCH(SUBSTITUTE(C879,""Sell_"",""""),Upgrades!$B$3:$B$13,0))*1.15^(COUNTIF(C$4:C878,SUBSTITUTE(C879,""Sell_"",""""))-COUNTIF(C$4:C878,"&amp;"""Sell_""&amp;SUBSTITUTE(C879,""Sell_"",""""))))/2),ROUNDUP(INDEX(Upgrades!$C$3:$C$13,MATCH(C879,Upgrades!$B$3:$B$13,0))*1.15^(COUNTIF(C$4:C878,C879)-COUNTIF(C$4:C878,""Sell_""&amp;C879))))))"),"")</f>
        <v/>
      </c>
      <c r="H879" s="10" t="str">
        <f t="shared" si="3"/>
        <v/>
      </c>
      <c r="I879" s="68" t="str">
        <f t="shared" si="4"/>
        <v/>
      </c>
      <c r="J879" s="59" t="str">
        <f t="shared" si="5"/>
        <v/>
      </c>
      <c r="K879" s="69" t="str">
        <f t="shared" si="6"/>
        <v/>
      </c>
      <c r="L879" s="60" t="str">
        <f t="shared" si="7"/>
        <v/>
      </c>
      <c r="M879" s="61" t="str">
        <f>IFERROR(__xludf.DUMMYFUNCTION("IFS(AND(COUNTA(C879:C1673)=0,COUNTA(Q879:Q1673)=0),"""",OR(AND(K879&gt;=1000000000,OR(Y879&gt;=1000000000,COUNTA(Q879:Q1673)=0)),OR(Y879&gt;=1000000000,AND(COUNTA(C879:C1673)=0,P$3=TRUE))),
ROUNDDOWN((AB$1-AC$1)*MAX(INDEX(T$4:T1673,MATCH(LARGE(FILTER(Y$4:Y1673,Y$4"&amp;":Y1673&lt;1000000000),1),Y$4:Y1673)),INDEX(F$4:F1673,MATCH(LARGE(FILTER(K$4:K1673,K$4:K1673&lt;1000000000),1),K$4:K1673)))),AND(K879&lt;1000000000,COUNTA(C879:C1673)&gt;0,P$3=FALSE),
ROUNDDOWN(INDEX(Y$4:Y1673,MATCH(LARGE(FILTER(W$4:W1673,W$4:W1673&lt;=I879),1),W$4:W1673"&amp;"))+(I879-LARGE(FILTER(W$4:W1673,W$4:W1673&lt;=I879),1))*INDEX(T$4:T1673,MATCH(LARGE(FILTER(W$4:W1673,W$4:W1673&lt;=I879),1),W$4:W1673))-K879),1,
ROUNDDOWN(Y879-INDEX(K$4:K1673,MATCH(LARGE(FILTER(I$4:I1673,I$4:I1673&lt;=W879),1),I$4:I1673))-(W879-LARGE(FILTER(I$4:I"&amp;"1673,I$4:I1673&lt;=W879),1))*INDEX(F$4:F1673,MATCH(LARGE(FILTER(I$4:I1673,I$4:I1673&lt;=W879),1),I$4:I1673))))"),"")</f>
        <v/>
      </c>
      <c r="N879" s="60" t="str">
        <f t="shared" si="8"/>
        <v/>
      </c>
      <c r="O879" s="61" t="str">
        <f t="shared" si="9"/>
        <v/>
      </c>
      <c r="P879" s="56" t="str">
        <f t="shared" si="10"/>
        <v/>
      </c>
      <c r="R879" s="10"/>
      <c r="S879" s="59" t="str">
        <f t="array" ref="S879">IF(COUNTA(Q879:Q1673)=0,"",SUM((COUNTIF(Q$4:Q879,Upgrades!$B$3:$B$13)-COUNTIF(Q$4:Q879,"Sell_"&amp;Upgrades!$B$3:$B$13))*Upgrades!$D$3:$D$13))</f>
        <v/>
      </c>
      <c r="T879" s="66" t="str">
        <f>IFERROR(__xludf.DUMMYFUNCTION("IF(COUNTA(Q879:Q1673)=0,"""",IF(REGEXMATCH(INDEX(FILTER(Q$4:Q879,Q$4:Q879&lt;&gt;""""),ROWS(FILTER(Q$4:Q879,Q$4:Q879&lt;&gt;""""))),""^Sell_""),INDEX(FILTER(T$4:T878,Q$4:Q878&lt;&gt;""""),ROWS(FILTER(Q$4:Q878,Q$4:Q878&lt;&gt;""""))),$AD$5+S879))"),"")</f>
        <v/>
      </c>
      <c r="U879" s="10" t="str">
        <f>IFERROR(__xludf.DUMMYFUNCTION("IF(COUNTA(Q879:Q1673)=0,"""",IF(Q879="""",0,IF(REGEXMATCH(Q879,""^Sell_""),-ROUNDDOWN(ROUNDUP(INDEX(Upgrades!$C$3:$C$13,MATCH(SUBSTITUTE(Q879,""Sell_"",""""),Upgrades!$B$3:$B$13,0))*1.15^(COUNTIF(Q$4:Q878,SUBSTITUTE(Q879,""Sell_"",""""))-COUNTIF(Q$4:Q878,"&amp;"""Sell_""&amp;SUBSTITUTE(Q879,""Sell_"",""""))))/2),ROUNDUP(INDEX(Upgrades!$C$3:$C$13,MATCH(Q879,Upgrades!$B$3:$B$13,0))*1.15^(COUNTIF(Q$4:Q878,Q879)-COUNTIF(Q$4:Q878,""Sell_""&amp;Q879))))))"),"")</f>
        <v/>
      </c>
      <c r="V879" s="10" t="str">
        <f t="shared" si="11"/>
        <v/>
      </c>
      <c r="W879" s="68" t="str">
        <f t="shared" si="12"/>
        <v/>
      </c>
      <c r="X879" s="59" t="str">
        <f t="shared" si="13"/>
        <v/>
      </c>
      <c r="Y879" s="69" t="str">
        <f t="shared" si="14"/>
        <v/>
      </c>
      <c r="Z879" s="11"/>
    </row>
    <row r="880">
      <c r="A880" s="8"/>
      <c r="B880" s="56" t="str">
        <f t="shared" si="2"/>
        <v/>
      </c>
      <c r="C880" s="105"/>
      <c r="D880" s="10"/>
      <c r="E880" s="59" t="str">
        <f t="array" ref="E880">IF(COUNTA(C880:C1673)=0,"",SUM((COUNTIF(C$4:C880,Upgrades!$B$3:$B$13)-COUNTIF(C$4:C880,"Sell_"&amp;Upgrades!$B$3:$B$13))*Upgrades!$D$3:$D$13))</f>
        <v/>
      </c>
      <c r="F880" s="66" t="str">
        <f>IFERROR(__xludf.DUMMYFUNCTION("IF(COUNTA(C880:C1673)=0,"""",IF(REGEXMATCH(INDEX(FILTER(C$4:C880,C$4:C880&lt;&gt;""""),ROWS(FILTER(C$4:C880,C$4:C880&lt;&gt;""""))),""^Sell_""),INDEX(FILTER(F$4:F879,C$4:C879&lt;&gt;""""),ROWS(FILTER(C$4:C879,C$4:C879&lt;&gt;""""))),$AC$5+E880))"),"")</f>
        <v/>
      </c>
      <c r="G880" s="10" t="str">
        <f>IFERROR(__xludf.DUMMYFUNCTION("IF(COUNTA(C880:C1673)=0,"""",IF(C880="""",0,IF(REGEXMATCH(C880,""^Sell_""),-ROUNDDOWN(ROUNDUP(INDEX(Upgrades!$C$3:$C$13,MATCH(SUBSTITUTE(C880,""Sell_"",""""),Upgrades!$B$3:$B$13,0))*1.15^(COUNTIF(C$4:C879,SUBSTITUTE(C880,""Sell_"",""""))-COUNTIF(C$4:C879,"&amp;"""Sell_""&amp;SUBSTITUTE(C880,""Sell_"",""""))))/2),ROUNDUP(INDEX(Upgrades!$C$3:$C$13,MATCH(C880,Upgrades!$B$3:$B$13,0))*1.15^(COUNTIF(C$4:C879,C880)-COUNTIF(C$4:C879,""Sell_""&amp;C880))))))"),"")</f>
        <v/>
      </c>
      <c r="H880" s="10" t="str">
        <f t="shared" si="3"/>
        <v/>
      </c>
      <c r="I880" s="68" t="str">
        <f t="shared" si="4"/>
        <v/>
      </c>
      <c r="J880" s="59" t="str">
        <f t="shared" si="5"/>
        <v/>
      </c>
      <c r="K880" s="69" t="str">
        <f t="shared" si="6"/>
        <v/>
      </c>
      <c r="L880" s="60" t="str">
        <f t="shared" si="7"/>
        <v/>
      </c>
      <c r="M880" s="61" t="str">
        <f>IFERROR(__xludf.DUMMYFUNCTION("IFS(AND(COUNTA(C880:C1673)=0,COUNTA(Q880:Q1673)=0),"""",OR(AND(K880&gt;=1000000000,OR(Y880&gt;=1000000000,COUNTA(Q880:Q1673)=0)),OR(Y880&gt;=1000000000,AND(COUNTA(C880:C1673)=0,P$3=TRUE))),
ROUNDDOWN((AB$1-AC$1)*MAX(INDEX(T$4:T1673,MATCH(LARGE(FILTER(Y$4:Y1673,Y$4"&amp;":Y1673&lt;1000000000),1),Y$4:Y1673)),INDEX(F$4:F1673,MATCH(LARGE(FILTER(K$4:K1673,K$4:K1673&lt;1000000000),1),K$4:K1673)))),AND(K880&lt;1000000000,COUNTA(C880:C1673)&gt;0,P$3=FALSE),
ROUNDDOWN(INDEX(Y$4:Y1673,MATCH(LARGE(FILTER(W$4:W1673,W$4:W1673&lt;=I880),1),W$4:W1673"&amp;"))+(I880-LARGE(FILTER(W$4:W1673,W$4:W1673&lt;=I880),1))*INDEX(T$4:T1673,MATCH(LARGE(FILTER(W$4:W1673,W$4:W1673&lt;=I880),1),W$4:W1673))-K880),1,
ROUNDDOWN(Y880-INDEX(K$4:K1673,MATCH(LARGE(FILTER(I$4:I1673,I$4:I1673&lt;=W880),1),I$4:I1673))-(W880-LARGE(FILTER(I$4:I"&amp;"1673,I$4:I1673&lt;=W880),1))*INDEX(F$4:F1673,MATCH(LARGE(FILTER(I$4:I1673,I$4:I1673&lt;=W880),1),I$4:I1673))))"),"")</f>
        <v/>
      </c>
      <c r="N880" s="60" t="str">
        <f t="shared" si="8"/>
        <v/>
      </c>
      <c r="O880" s="61" t="str">
        <f t="shared" si="9"/>
        <v/>
      </c>
      <c r="P880" s="56" t="str">
        <f t="shared" si="10"/>
        <v/>
      </c>
      <c r="R880" s="10"/>
      <c r="S880" s="59" t="str">
        <f t="array" ref="S880">IF(COUNTA(Q880:Q1673)=0,"",SUM((COUNTIF(Q$4:Q880,Upgrades!$B$3:$B$13)-COUNTIF(Q$4:Q880,"Sell_"&amp;Upgrades!$B$3:$B$13))*Upgrades!$D$3:$D$13))</f>
        <v/>
      </c>
      <c r="T880" s="66" t="str">
        <f>IFERROR(__xludf.DUMMYFUNCTION("IF(COUNTA(Q880:Q1673)=0,"""",IF(REGEXMATCH(INDEX(FILTER(Q$4:Q880,Q$4:Q880&lt;&gt;""""),ROWS(FILTER(Q$4:Q880,Q$4:Q880&lt;&gt;""""))),""^Sell_""),INDEX(FILTER(T$4:T879,Q$4:Q879&lt;&gt;""""),ROWS(FILTER(Q$4:Q879,Q$4:Q879&lt;&gt;""""))),$AD$5+S880))"),"")</f>
        <v/>
      </c>
      <c r="U880" s="10" t="str">
        <f>IFERROR(__xludf.DUMMYFUNCTION("IF(COUNTA(Q880:Q1673)=0,"""",IF(Q880="""",0,IF(REGEXMATCH(Q880,""^Sell_""),-ROUNDDOWN(ROUNDUP(INDEX(Upgrades!$C$3:$C$13,MATCH(SUBSTITUTE(Q880,""Sell_"",""""),Upgrades!$B$3:$B$13,0))*1.15^(COUNTIF(Q$4:Q879,SUBSTITUTE(Q880,""Sell_"",""""))-COUNTIF(Q$4:Q879,"&amp;"""Sell_""&amp;SUBSTITUTE(Q880,""Sell_"",""""))))/2),ROUNDUP(INDEX(Upgrades!$C$3:$C$13,MATCH(Q880,Upgrades!$B$3:$B$13,0))*1.15^(COUNTIF(Q$4:Q879,Q880)-COUNTIF(Q$4:Q879,""Sell_""&amp;Q880))))))"),"")</f>
        <v/>
      </c>
      <c r="V880" s="10" t="str">
        <f t="shared" si="11"/>
        <v/>
      </c>
      <c r="W880" s="68" t="str">
        <f t="shared" si="12"/>
        <v/>
      </c>
      <c r="X880" s="59" t="str">
        <f t="shared" si="13"/>
        <v/>
      </c>
      <c r="Y880" s="69" t="str">
        <f t="shared" si="14"/>
        <v/>
      </c>
      <c r="Z880" s="11"/>
    </row>
    <row r="881">
      <c r="A881" s="8"/>
      <c r="B881" s="56" t="str">
        <f t="shared" si="2"/>
        <v/>
      </c>
      <c r="C881" s="105"/>
      <c r="D881" s="10"/>
      <c r="E881" s="59" t="str">
        <f t="array" ref="E881">IF(COUNTA(C881:C1673)=0,"",SUM((COUNTIF(C$4:C881,Upgrades!$B$3:$B$13)-COUNTIF(C$4:C881,"Sell_"&amp;Upgrades!$B$3:$B$13))*Upgrades!$D$3:$D$13))</f>
        <v/>
      </c>
      <c r="F881" s="66" t="str">
        <f>IFERROR(__xludf.DUMMYFUNCTION("IF(COUNTA(C881:C1673)=0,"""",IF(REGEXMATCH(INDEX(FILTER(C$4:C881,C$4:C881&lt;&gt;""""),ROWS(FILTER(C$4:C881,C$4:C881&lt;&gt;""""))),""^Sell_""),INDEX(FILTER(F$4:F880,C$4:C880&lt;&gt;""""),ROWS(FILTER(C$4:C880,C$4:C880&lt;&gt;""""))),$AC$5+E881))"),"")</f>
        <v/>
      </c>
      <c r="G881" s="10" t="str">
        <f>IFERROR(__xludf.DUMMYFUNCTION("IF(COUNTA(C881:C1673)=0,"""",IF(C881="""",0,IF(REGEXMATCH(C881,""^Sell_""),-ROUNDDOWN(ROUNDUP(INDEX(Upgrades!$C$3:$C$13,MATCH(SUBSTITUTE(C881,""Sell_"",""""),Upgrades!$B$3:$B$13,0))*1.15^(COUNTIF(C$4:C880,SUBSTITUTE(C881,""Sell_"",""""))-COUNTIF(C$4:C880,"&amp;"""Sell_""&amp;SUBSTITUTE(C881,""Sell_"",""""))))/2),ROUNDUP(INDEX(Upgrades!$C$3:$C$13,MATCH(C881,Upgrades!$B$3:$B$13,0))*1.15^(COUNTIF(C$4:C880,C881)-COUNTIF(C$4:C880,""Sell_""&amp;C881))))))"),"")</f>
        <v/>
      </c>
      <c r="H881" s="10" t="str">
        <f t="shared" si="3"/>
        <v/>
      </c>
      <c r="I881" s="68" t="str">
        <f t="shared" si="4"/>
        <v/>
      </c>
      <c r="J881" s="59" t="str">
        <f t="shared" si="5"/>
        <v/>
      </c>
      <c r="K881" s="69" t="str">
        <f t="shared" si="6"/>
        <v/>
      </c>
      <c r="L881" s="60" t="str">
        <f t="shared" si="7"/>
        <v/>
      </c>
      <c r="M881" s="61" t="str">
        <f>IFERROR(__xludf.DUMMYFUNCTION("IFS(AND(COUNTA(C881:C1673)=0,COUNTA(Q881:Q1673)=0),"""",OR(AND(K881&gt;=1000000000,OR(Y881&gt;=1000000000,COUNTA(Q881:Q1673)=0)),OR(Y881&gt;=1000000000,AND(COUNTA(C881:C1673)=0,P$3=TRUE))),
ROUNDDOWN((AB$1-AC$1)*MAX(INDEX(T$4:T1673,MATCH(LARGE(FILTER(Y$4:Y1673,Y$4"&amp;":Y1673&lt;1000000000),1),Y$4:Y1673)),INDEX(F$4:F1673,MATCH(LARGE(FILTER(K$4:K1673,K$4:K1673&lt;1000000000),1),K$4:K1673)))),AND(K881&lt;1000000000,COUNTA(C881:C1673)&gt;0,P$3=FALSE),
ROUNDDOWN(INDEX(Y$4:Y1673,MATCH(LARGE(FILTER(W$4:W1673,W$4:W1673&lt;=I881),1),W$4:W1673"&amp;"))+(I881-LARGE(FILTER(W$4:W1673,W$4:W1673&lt;=I881),1))*INDEX(T$4:T1673,MATCH(LARGE(FILTER(W$4:W1673,W$4:W1673&lt;=I881),1),W$4:W1673))-K881),1,
ROUNDDOWN(Y881-INDEX(K$4:K1673,MATCH(LARGE(FILTER(I$4:I1673,I$4:I1673&lt;=W881),1),I$4:I1673))-(W881-LARGE(FILTER(I$4:I"&amp;"1673,I$4:I1673&lt;=W881),1))*INDEX(F$4:F1673,MATCH(LARGE(FILTER(I$4:I1673,I$4:I1673&lt;=W881),1),I$4:I1673))))"),"")</f>
        <v/>
      </c>
      <c r="N881" s="60" t="str">
        <f t="shared" si="8"/>
        <v/>
      </c>
      <c r="O881" s="61" t="str">
        <f t="shared" si="9"/>
        <v/>
      </c>
      <c r="P881" s="56" t="str">
        <f t="shared" si="10"/>
        <v/>
      </c>
      <c r="R881" s="10"/>
      <c r="S881" s="59" t="str">
        <f t="array" ref="S881">IF(COUNTA(Q881:Q1673)=0,"",SUM((COUNTIF(Q$4:Q881,Upgrades!$B$3:$B$13)-COUNTIF(Q$4:Q881,"Sell_"&amp;Upgrades!$B$3:$B$13))*Upgrades!$D$3:$D$13))</f>
        <v/>
      </c>
      <c r="T881" s="66" t="str">
        <f>IFERROR(__xludf.DUMMYFUNCTION("IF(COUNTA(Q881:Q1673)=0,"""",IF(REGEXMATCH(INDEX(FILTER(Q$4:Q881,Q$4:Q881&lt;&gt;""""),ROWS(FILTER(Q$4:Q881,Q$4:Q881&lt;&gt;""""))),""^Sell_""),INDEX(FILTER(T$4:T880,Q$4:Q880&lt;&gt;""""),ROWS(FILTER(Q$4:Q880,Q$4:Q880&lt;&gt;""""))),$AD$5+S881))"),"")</f>
        <v/>
      </c>
      <c r="U881" s="10" t="str">
        <f>IFERROR(__xludf.DUMMYFUNCTION("IF(COUNTA(Q881:Q1673)=0,"""",IF(Q881="""",0,IF(REGEXMATCH(Q881,""^Sell_""),-ROUNDDOWN(ROUNDUP(INDEX(Upgrades!$C$3:$C$13,MATCH(SUBSTITUTE(Q881,""Sell_"",""""),Upgrades!$B$3:$B$13,0))*1.15^(COUNTIF(Q$4:Q880,SUBSTITUTE(Q881,""Sell_"",""""))-COUNTIF(Q$4:Q880,"&amp;"""Sell_""&amp;SUBSTITUTE(Q881,""Sell_"",""""))))/2),ROUNDUP(INDEX(Upgrades!$C$3:$C$13,MATCH(Q881,Upgrades!$B$3:$B$13,0))*1.15^(COUNTIF(Q$4:Q880,Q881)-COUNTIF(Q$4:Q880,""Sell_""&amp;Q881))))))"),"")</f>
        <v/>
      </c>
      <c r="V881" s="10" t="str">
        <f t="shared" si="11"/>
        <v/>
      </c>
      <c r="W881" s="68" t="str">
        <f t="shared" si="12"/>
        <v/>
      </c>
      <c r="X881" s="59" t="str">
        <f t="shared" si="13"/>
        <v/>
      </c>
      <c r="Y881" s="69" t="str">
        <f t="shared" si="14"/>
        <v/>
      </c>
      <c r="Z881" s="11"/>
    </row>
    <row r="882">
      <c r="A882" s="8"/>
      <c r="B882" s="56" t="str">
        <f t="shared" si="2"/>
        <v/>
      </c>
      <c r="C882" s="105"/>
      <c r="D882" s="10"/>
      <c r="E882" s="59" t="str">
        <f t="array" ref="E882">IF(COUNTA(C882:C1673)=0,"",SUM((COUNTIF(C$4:C882,Upgrades!$B$3:$B$13)-COUNTIF(C$4:C882,"Sell_"&amp;Upgrades!$B$3:$B$13))*Upgrades!$D$3:$D$13))</f>
        <v/>
      </c>
      <c r="F882" s="66" t="str">
        <f>IFERROR(__xludf.DUMMYFUNCTION("IF(COUNTA(C882:C1673)=0,"""",IF(REGEXMATCH(INDEX(FILTER(C$4:C882,C$4:C882&lt;&gt;""""),ROWS(FILTER(C$4:C882,C$4:C882&lt;&gt;""""))),""^Sell_""),INDEX(FILTER(F$4:F881,C$4:C881&lt;&gt;""""),ROWS(FILTER(C$4:C881,C$4:C881&lt;&gt;""""))),$AC$5+E882))"),"")</f>
        <v/>
      </c>
      <c r="G882" s="10" t="str">
        <f>IFERROR(__xludf.DUMMYFUNCTION("IF(COUNTA(C882:C1673)=0,"""",IF(C882="""",0,IF(REGEXMATCH(C882,""^Sell_""),-ROUNDDOWN(ROUNDUP(INDEX(Upgrades!$C$3:$C$13,MATCH(SUBSTITUTE(C882,""Sell_"",""""),Upgrades!$B$3:$B$13,0))*1.15^(COUNTIF(C$4:C881,SUBSTITUTE(C882,""Sell_"",""""))-COUNTIF(C$4:C881,"&amp;"""Sell_""&amp;SUBSTITUTE(C882,""Sell_"",""""))))/2),ROUNDUP(INDEX(Upgrades!$C$3:$C$13,MATCH(C882,Upgrades!$B$3:$B$13,0))*1.15^(COUNTIF(C$4:C881,C882)-COUNTIF(C$4:C881,""Sell_""&amp;C882))))))"),"")</f>
        <v/>
      </c>
      <c r="H882" s="10" t="str">
        <f t="shared" si="3"/>
        <v/>
      </c>
      <c r="I882" s="68" t="str">
        <f t="shared" si="4"/>
        <v/>
      </c>
      <c r="J882" s="59" t="str">
        <f t="shared" si="5"/>
        <v/>
      </c>
      <c r="K882" s="69" t="str">
        <f t="shared" si="6"/>
        <v/>
      </c>
      <c r="L882" s="60" t="str">
        <f t="shared" si="7"/>
        <v/>
      </c>
      <c r="M882" s="61" t="str">
        <f>IFERROR(__xludf.DUMMYFUNCTION("IFS(AND(COUNTA(C882:C1673)=0,COUNTA(Q882:Q1673)=0),"""",OR(AND(K882&gt;=1000000000,OR(Y882&gt;=1000000000,COUNTA(Q882:Q1673)=0)),OR(Y882&gt;=1000000000,AND(COUNTA(C882:C1673)=0,P$3=TRUE))),
ROUNDDOWN((AB$1-AC$1)*MAX(INDEX(T$4:T1673,MATCH(LARGE(FILTER(Y$4:Y1673,Y$4"&amp;":Y1673&lt;1000000000),1),Y$4:Y1673)),INDEX(F$4:F1673,MATCH(LARGE(FILTER(K$4:K1673,K$4:K1673&lt;1000000000),1),K$4:K1673)))),AND(K882&lt;1000000000,COUNTA(C882:C1673)&gt;0,P$3=FALSE),
ROUNDDOWN(INDEX(Y$4:Y1673,MATCH(LARGE(FILTER(W$4:W1673,W$4:W1673&lt;=I882),1),W$4:W1673"&amp;"))+(I882-LARGE(FILTER(W$4:W1673,W$4:W1673&lt;=I882),1))*INDEX(T$4:T1673,MATCH(LARGE(FILTER(W$4:W1673,W$4:W1673&lt;=I882),1),W$4:W1673))-K882),1,
ROUNDDOWN(Y882-INDEX(K$4:K1673,MATCH(LARGE(FILTER(I$4:I1673,I$4:I1673&lt;=W882),1),I$4:I1673))-(W882-LARGE(FILTER(I$4:I"&amp;"1673,I$4:I1673&lt;=W882),1))*INDEX(F$4:F1673,MATCH(LARGE(FILTER(I$4:I1673,I$4:I1673&lt;=W882),1),I$4:I1673))))"),"")</f>
        <v/>
      </c>
      <c r="N882" s="60" t="str">
        <f t="shared" si="8"/>
        <v/>
      </c>
      <c r="O882" s="61" t="str">
        <f t="shared" si="9"/>
        <v/>
      </c>
      <c r="P882" s="56" t="str">
        <f t="shared" si="10"/>
        <v/>
      </c>
      <c r="R882" s="10"/>
      <c r="S882" s="59" t="str">
        <f t="array" ref="S882">IF(COUNTA(Q882:Q1673)=0,"",SUM((COUNTIF(Q$4:Q882,Upgrades!$B$3:$B$13)-COUNTIF(Q$4:Q882,"Sell_"&amp;Upgrades!$B$3:$B$13))*Upgrades!$D$3:$D$13))</f>
        <v/>
      </c>
      <c r="T882" s="66" t="str">
        <f>IFERROR(__xludf.DUMMYFUNCTION("IF(COUNTA(Q882:Q1673)=0,"""",IF(REGEXMATCH(INDEX(FILTER(Q$4:Q882,Q$4:Q882&lt;&gt;""""),ROWS(FILTER(Q$4:Q882,Q$4:Q882&lt;&gt;""""))),""^Sell_""),INDEX(FILTER(T$4:T881,Q$4:Q881&lt;&gt;""""),ROWS(FILTER(Q$4:Q881,Q$4:Q881&lt;&gt;""""))),$AD$5+S882))"),"")</f>
        <v/>
      </c>
      <c r="U882" s="10" t="str">
        <f>IFERROR(__xludf.DUMMYFUNCTION("IF(COUNTA(Q882:Q1673)=0,"""",IF(Q882="""",0,IF(REGEXMATCH(Q882,""^Sell_""),-ROUNDDOWN(ROUNDUP(INDEX(Upgrades!$C$3:$C$13,MATCH(SUBSTITUTE(Q882,""Sell_"",""""),Upgrades!$B$3:$B$13,0))*1.15^(COUNTIF(Q$4:Q881,SUBSTITUTE(Q882,""Sell_"",""""))-COUNTIF(Q$4:Q881,"&amp;"""Sell_""&amp;SUBSTITUTE(Q882,""Sell_"",""""))))/2),ROUNDUP(INDEX(Upgrades!$C$3:$C$13,MATCH(Q882,Upgrades!$B$3:$B$13,0))*1.15^(COUNTIF(Q$4:Q881,Q882)-COUNTIF(Q$4:Q881,""Sell_""&amp;Q882))))))"),"")</f>
        <v/>
      </c>
      <c r="V882" s="10" t="str">
        <f t="shared" si="11"/>
        <v/>
      </c>
      <c r="W882" s="68" t="str">
        <f t="shared" si="12"/>
        <v/>
      </c>
      <c r="X882" s="59" t="str">
        <f t="shared" si="13"/>
        <v/>
      </c>
      <c r="Y882" s="69" t="str">
        <f t="shared" si="14"/>
        <v/>
      </c>
      <c r="Z882" s="11"/>
    </row>
    <row r="883">
      <c r="A883" s="8"/>
      <c r="B883" s="56" t="str">
        <f t="shared" si="2"/>
        <v/>
      </c>
      <c r="C883" s="105"/>
      <c r="D883" s="10"/>
      <c r="E883" s="59" t="str">
        <f t="array" ref="E883">IF(COUNTA(C883:C1673)=0,"",SUM((COUNTIF(C$4:C883,Upgrades!$B$3:$B$13)-COUNTIF(C$4:C883,"Sell_"&amp;Upgrades!$B$3:$B$13))*Upgrades!$D$3:$D$13))</f>
        <v/>
      </c>
      <c r="F883" s="66" t="str">
        <f>IFERROR(__xludf.DUMMYFUNCTION("IF(COUNTA(C883:C1673)=0,"""",IF(REGEXMATCH(INDEX(FILTER(C$4:C883,C$4:C883&lt;&gt;""""),ROWS(FILTER(C$4:C883,C$4:C883&lt;&gt;""""))),""^Sell_""),INDEX(FILTER(F$4:F882,C$4:C882&lt;&gt;""""),ROWS(FILTER(C$4:C882,C$4:C882&lt;&gt;""""))),$AC$5+E883))"),"")</f>
        <v/>
      </c>
      <c r="G883" s="10" t="str">
        <f>IFERROR(__xludf.DUMMYFUNCTION("IF(COUNTA(C883:C1673)=0,"""",IF(C883="""",0,IF(REGEXMATCH(C883,""^Sell_""),-ROUNDDOWN(ROUNDUP(INDEX(Upgrades!$C$3:$C$13,MATCH(SUBSTITUTE(C883,""Sell_"",""""),Upgrades!$B$3:$B$13,0))*1.15^(COUNTIF(C$4:C882,SUBSTITUTE(C883,""Sell_"",""""))-COUNTIF(C$4:C882,"&amp;"""Sell_""&amp;SUBSTITUTE(C883,""Sell_"",""""))))/2),ROUNDUP(INDEX(Upgrades!$C$3:$C$13,MATCH(C883,Upgrades!$B$3:$B$13,0))*1.15^(COUNTIF(C$4:C882,C883)-COUNTIF(C$4:C882,""Sell_""&amp;C883))))))"),"")</f>
        <v/>
      </c>
      <c r="H883" s="10" t="str">
        <f t="shared" si="3"/>
        <v/>
      </c>
      <c r="I883" s="68" t="str">
        <f t="shared" si="4"/>
        <v/>
      </c>
      <c r="J883" s="59" t="str">
        <f t="shared" si="5"/>
        <v/>
      </c>
      <c r="K883" s="69" t="str">
        <f t="shared" si="6"/>
        <v/>
      </c>
      <c r="L883" s="60" t="str">
        <f t="shared" si="7"/>
        <v/>
      </c>
      <c r="M883" s="61" t="str">
        <f>IFERROR(__xludf.DUMMYFUNCTION("IFS(AND(COUNTA(C883:C1673)=0,COUNTA(Q883:Q1673)=0),"""",OR(AND(K883&gt;=1000000000,OR(Y883&gt;=1000000000,COUNTA(Q883:Q1673)=0)),OR(Y883&gt;=1000000000,AND(COUNTA(C883:C1673)=0,P$3=TRUE))),
ROUNDDOWN((AB$1-AC$1)*MAX(INDEX(T$4:T1673,MATCH(LARGE(FILTER(Y$4:Y1673,Y$4"&amp;":Y1673&lt;1000000000),1),Y$4:Y1673)),INDEX(F$4:F1673,MATCH(LARGE(FILTER(K$4:K1673,K$4:K1673&lt;1000000000),1),K$4:K1673)))),AND(K883&lt;1000000000,COUNTA(C883:C1673)&gt;0,P$3=FALSE),
ROUNDDOWN(INDEX(Y$4:Y1673,MATCH(LARGE(FILTER(W$4:W1673,W$4:W1673&lt;=I883),1),W$4:W1673"&amp;"))+(I883-LARGE(FILTER(W$4:W1673,W$4:W1673&lt;=I883),1))*INDEX(T$4:T1673,MATCH(LARGE(FILTER(W$4:W1673,W$4:W1673&lt;=I883),1),W$4:W1673))-K883),1,
ROUNDDOWN(Y883-INDEX(K$4:K1673,MATCH(LARGE(FILTER(I$4:I1673,I$4:I1673&lt;=W883),1),I$4:I1673))-(W883-LARGE(FILTER(I$4:I"&amp;"1673,I$4:I1673&lt;=W883),1))*INDEX(F$4:F1673,MATCH(LARGE(FILTER(I$4:I1673,I$4:I1673&lt;=W883),1),I$4:I1673))))"),"")</f>
        <v/>
      </c>
      <c r="N883" s="60" t="str">
        <f t="shared" si="8"/>
        <v/>
      </c>
      <c r="O883" s="61" t="str">
        <f t="shared" si="9"/>
        <v/>
      </c>
      <c r="P883" s="56" t="str">
        <f t="shared" si="10"/>
        <v/>
      </c>
      <c r="R883" s="10"/>
      <c r="S883" s="59" t="str">
        <f t="array" ref="S883">IF(COUNTA(Q883:Q1673)=0,"",SUM((COUNTIF(Q$4:Q883,Upgrades!$B$3:$B$13)-COUNTIF(Q$4:Q883,"Sell_"&amp;Upgrades!$B$3:$B$13))*Upgrades!$D$3:$D$13))</f>
        <v/>
      </c>
      <c r="T883" s="66" t="str">
        <f>IFERROR(__xludf.DUMMYFUNCTION("IF(COUNTA(Q883:Q1673)=0,"""",IF(REGEXMATCH(INDEX(FILTER(Q$4:Q883,Q$4:Q883&lt;&gt;""""),ROWS(FILTER(Q$4:Q883,Q$4:Q883&lt;&gt;""""))),""^Sell_""),INDEX(FILTER(T$4:T882,Q$4:Q882&lt;&gt;""""),ROWS(FILTER(Q$4:Q882,Q$4:Q882&lt;&gt;""""))),$AD$5+S883))"),"")</f>
        <v/>
      </c>
      <c r="U883" s="10" t="str">
        <f>IFERROR(__xludf.DUMMYFUNCTION("IF(COUNTA(Q883:Q1673)=0,"""",IF(Q883="""",0,IF(REGEXMATCH(Q883,""^Sell_""),-ROUNDDOWN(ROUNDUP(INDEX(Upgrades!$C$3:$C$13,MATCH(SUBSTITUTE(Q883,""Sell_"",""""),Upgrades!$B$3:$B$13,0))*1.15^(COUNTIF(Q$4:Q882,SUBSTITUTE(Q883,""Sell_"",""""))-COUNTIF(Q$4:Q882,"&amp;"""Sell_""&amp;SUBSTITUTE(Q883,""Sell_"",""""))))/2),ROUNDUP(INDEX(Upgrades!$C$3:$C$13,MATCH(Q883,Upgrades!$B$3:$B$13,0))*1.15^(COUNTIF(Q$4:Q882,Q883)-COUNTIF(Q$4:Q882,""Sell_""&amp;Q883))))))"),"")</f>
        <v/>
      </c>
      <c r="V883" s="10" t="str">
        <f t="shared" si="11"/>
        <v/>
      </c>
      <c r="W883" s="68" t="str">
        <f t="shared" si="12"/>
        <v/>
      </c>
      <c r="X883" s="59" t="str">
        <f t="shared" si="13"/>
        <v/>
      </c>
      <c r="Y883" s="69" t="str">
        <f t="shared" si="14"/>
        <v/>
      </c>
      <c r="Z883" s="11"/>
    </row>
    <row r="884">
      <c r="A884" s="8"/>
      <c r="B884" s="56" t="str">
        <f t="shared" si="2"/>
        <v/>
      </c>
      <c r="C884" s="105"/>
      <c r="D884" s="10"/>
      <c r="E884" s="59" t="str">
        <f t="array" ref="E884">IF(COUNTA(C884:C1673)=0,"",SUM((COUNTIF(C$4:C884,Upgrades!$B$3:$B$13)-COUNTIF(C$4:C884,"Sell_"&amp;Upgrades!$B$3:$B$13))*Upgrades!$D$3:$D$13))</f>
        <v/>
      </c>
      <c r="F884" s="66" t="str">
        <f>IFERROR(__xludf.DUMMYFUNCTION("IF(COUNTA(C884:C1673)=0,"""",IF(REGEXMATCH(INDEX(FILTER(C$4:C884,C$4:C884&lt;&gt;""""),ROWS(FILTER(C$4:C884,C$4:C884&lt;&gt;""""))),""^Sell_""),INDEX(FILTER(F$4:F883,C$4:C883&lt;&gt;""""),ROWS(FILTER(C$4:C883,C$4:C883&lt;&gt;""""))),$AC$5+E884))"),"")</f>
        <v/>
      </c>
      <c r="G884" s="10" t="str">
        <f>IFERROR(__xludf.DUMMYFUNCTION("IF(COUNTA(C884:C1673)=0,"""",IF(C884="""",0,IF(REGEXMATCH(C884,""^Sell_""),-ROUNDDOWN(ROUNDUP(INDEX(Upgrades!$C$3:$C$13,MATCH(SUBSTITUTE(C884,""Sell_"",""""),Upgrades!$B$3:$B$13,0))*1.15^(COUNTIF(C$4:C883,SUBSTITUTE(C884,""Sell_"",""""))-COUNTIF(C$4:C883,"&amp;"""Sell_""&amp;SUBSTITUTE(C884,""Sell_"",""""))))/2),ROUNDUP(INDEX(Upgrades!$C$3:$C$13,MATCH(C884,Upgrades!$B$3:$B$13,0))*1.15^(COUNTIF(C$4:C883,C884)-COUNTIF(C$4:C883,""Sell_""&amp;C884))))))"),"")</f>
        <v/>
      </c>
      <c r="H884" s="10" t="str">
        <f t="shared" si="3"/>
        <v/>
      </c>
      <c r="I884" s="68" t="str">
        <f t="shared" si="4"/>
        <v/>
      </c>
      <c r="J884" s="59" t="str">
        <f t="shared" si="5"/>
        <v/>
      </c>
      <c r="K884" s="69" t="str">
        <f t="shared" si="6"/>
        <v/>
      </c>
      <c r="L884" s="60" t="str">
        <f t="shared" si="7"/>
        <v/>
      </c>
      <c r="M884" s="61" t="str">
        <f>IFERROR(__xludf.DUMMYFUNCTION("IFS(AND(COUNTA(C884:C1673)=0,COUNTA(Q884:Q1673)=0),"""",OR(AND(K884&gt;=1000000000,OR(Y884&gt;=1000000000,COUNTA(Q884:Q1673)=0)),OR(Y884&gt;=1000000000,AND(COUNTA(C884:C1673)=0,P$3=TRUE))),
ROUNDDOWN((AB$1-AC$1)*MAX(INDEX(T$4:T1673,MATCH(LARGE(FILTER(Y$4:Y1673,Y$4"&amp;":Y1673&lt;1000000000),1),Y$4:Y1673)),INDEX(F$4:F1673,MATCH(LARGE(FILTER(K$4:K1673,K$4:K1673&lt;1000000000),1),K$4:K1673)))),AND(K884&lt;1000000000,COUNTA(C884:C1673)&gt;0,P$3=FALSE),
ROUNDDOWN(INDEX(Y$4:Y1673,MATCH(LARGE(FILTER(W$4:W1673,W$4:W1673&lt;=I884),1),W$4:W1673"&amp;"))+(I884-LARGE(FILTER(W$4:W1673,W$4:W1673&lt;=I884),1))*INDEX(T$4:T1673,MATCH(LARGE(FILTER(W$4:W1673,W$4:W1673&lt;=I884),1),W$4:W1673))-K884),1,
ROUNDDOWN(Y884-INDEX(K$4:K1673,MATCH(LARGE(FILTER(I$4:I1673,I$4:I1673&lt;=W884),1),I$4:I1673))-(W884-LARGE(FILTER(I$4:I"&amp;"1673,I$4:I1673&lt;=W884),1))*INDEX(F$4:F1673,MATCH(LARGE(FILTER(I$4:I1673,I$4:I1673&lt;=W884),1),I$4:I1673))))"),"")</f>
        <v/>
      </c>
      <c r="N884" s="60" t="str">
        <f t="shared" si="8"/>
        <v/>
      </c>
      <c r="O884" s="61" t="str">
        <f t="shared" si="9"/>
        <v/>
      </c>
      <c r="P884" s="56" t="str">
        <f t="shared" si="10"/>
        <v/>
      </c>
      <c r="R884" s="10"/>
      <c r="S884" s="59" t="str">
        <f t="array" ref="S884">IF(COUNTA(Q884:Q1673)=0,"",SUM((COUNTIF(Q$4:Q884,Upgrades!$B$3:$B$13)-COUNTIF(Q$4:Q884,"Sell_"&amp;Upgrades!$B$3:$B$13))*Upgrades!$D$3:$D$13))</f>
        <v/>
      </c>
      <c r="T884" s="66" t="str">
        <f>IFERROR(__xludf.DUMMYFUNCTION("IF(COUNTA(Q884:Q1673)=0,"""",IF(REGEXMATCH(INDEX(FILTER(Q$4:Q884,Q$4:Q884&lt;&gt;""""),ROWS(FILTER(Q$4:Q884,Q$4:Q884&lt;&gt;""""))),""^Sell_""),INDEX(FILTER(T$4:T883,Q$4:Q883&lt;&gt;""""),ROWS(FILTER(Q$4:Q883,Q$4:Q883&lt;&gt;""""))),$AD$5+S884))"),"")</f>
        <v/>
      </c>
      <c r="U884" s="10" t="str">
        <f>IFERROR(__xludf.DUMMYFUNCTION("IF(COUNTA(Q884:Q1673)=0,"""",IF(Q884="""",0,IF(REGEXMATCH(Q884,""^Sell_""),-ROUNDDOWN(ROUNDUP(INDEX(Upgrades!$C$3:$C$13,MATCH(SUBSTITUTE(Q884,""Sell_"",""""),Upgrades!$B$3:$B$13,0))*1.15^(COUNTIF(Q$4:Q883,SUBSTITUTE(Q884,""Sell_"",""""))-COUNTIF(Q$4:Q883,"&amp;"""Sell_""&amp;SUBSTITUTE(Q884,""Sell_"",""""))))/2),ROUNDUP(INDEX(Upgrades!$C$3:$C$13,MATCH(Q884,Upgrades!$B$3:$B$13,0))*1.15^(COUNTIF(Q$4:Q883,Q884)-COUNTIF(Q$4:Q883,""Sell_""&amp;Q884))))))"),"")</f>
        <v/>
      </c>
      <c r="V884" s="10" t="str">
        <f t="shared" si="11"/>
        <v/>
      </c>
      <c r="W884" s="68" t="str">
        <f t="shared" si="12"/>
        <v/>
      </c>
      <c r="X884" s="59" t="str">
        <f t="shared" si="13"/>
        <v/>
      </c>
      <c r="Y884" s="69" t="str">
        <f t="shared" si="14"/>
        <v/>
      </c>
      <c r="Z884" s="11"/>
    </row>
    <row r="885">
      <c r="A885" s="8"/>
      <c r="B885" s="56" t="str">
        <f t="shared" si="2"/>
        <v/>
      </c>
      <c r="C885" s="105"/>
      <c r="D885" s="10"/>
      <c r="E885" s="59" t="str">
        <f t="array" ref="E885">IF(COUNTA(C885:C1673)=0,"",SUM((COUNTIF(C$4:C885,Upgrades!$B$3:$B$13)-COUNTIF(C$4:C885,"Sell_"&amp;Upgrades!$B$3:$B$13))*Upgrades!$D$3:$D$13))</f>
        <v/>
      </c>
      <c r="F885" s="66" t="str">
        <f>IFERROR(__xludf.DUMMYFUNCTION("IF(COUNTA(C885:C1673)=0,"""",IF(REGEXMATCH(INDEX(FILTER(C$4:C885,C$4:C885&lt;&gt;""""),ROWS(FILTER(C$4:C885,C$4:C885&lt;&gt;""""))),""^Sell_""),INDEX(FILTER(F$4:F884,C$4:C884&lt;&gt;""""),ROWS(FILTER(C$4:C884,C$4:C884&lt;&gt;""""))),$AC$5+E885))"),"")</f>
        <v/>
      </c>
      <c r="G885" s="10" t="str">
        <f>IFERROR(__xludf.DUMMYFUNCTION("IF(COUNTA(C885:C1673)=0,"""",IF(C885="""",0,IF(REGEXMATCH(C885,""^Sell_""),-ROUNDDOWN(ROUNDUP(INDEX(Upgrades!$C$3:$C$13,MATCH(SUBSTITUTE(C885,""Sell_"",""""),Upgrades!$B$3:$B$13,0))*1.15^(COUNTIF(C$4:C884,SUBSTITUTE(C885,""Sell_"",""""))-COUNTIF(C$4:C884,"&amp;"""Sell_""&amp;SUBSTITUTE(C885,""Sell_"",""""))))/2),ROUNDUP(INDEX(Upgrades!$C$3:$C$13,MATCH(C885,Upgrades!$B$3:$B$13,0))*1.15^(COUNTIF(C$4:C884,C885)-COUNTIF(C$4:C884,""Sell_""&amp;C885))))))"),"")</f>
        <v/>
      </c>
      <c r="H885" s="10" t="str">
        <f t="shared" si="3"/>
        <v/>
      </c>
      <c r="I885" s="68" t="str">
        <f t="shared" si="4"/>
        <v/>
      </c>
      <c r="J885" s="59" t="str">
        <f t="shared" si="5"/>
        <v/>
      </c>
      <c r="K885" s="69" t="str">
        <f t="shared" si="6"/>
        <v/>
      </c>
      <c r="L885" s="60" t="str">
        <f t="shared" si="7"/>
        <v/>
      </c>
      <c r="M885" s="61" t="str">
        <f>IFERROR(__xludf.DUMMYFUNCTION("IFS(AND(COUNTA(C885:C1673)=0,COUNTA(Q885:Q1673)=0),"""",OR(AND(K885&gt;=1000000000,OR(Y885&gt;=1000000000,COUNTA(Q885:Q1673)=0)),OR(Y885&gt;=1000000000,AND(COUNTA(C885:C1673)=0,P$3=TRUE))),
ROUNDDOWN((AB$1-AC$1)*MAX(INDEX(T$4:T1673,MATCH(LARGE(FILTER(Y$4:Y1673,Y$4"&amp;":Y1673&lt;1000000000),1),Y$4:Y1673)),INDEX(F$4:F1673,MATCH(LARGE(FILTER(K$4:K1673,K$4:K1673&lt;1000000000),1),K$4:K1673)))),AND(K885&lt;1000000000,COUNTA(C885:C1673)&gt;0,P$3=FALSE),
ROUNDDOWN(INDEX(Y$4:Y1673,MATCH(LARGE(FILTER(W$4:W1673,W$4:W1673&lt;=I885),1),W$4:W1673"&amp;"))+(I885-LARGE(FILTER(W$4:W1673,W$4:W1673&lt;=I885),1))*INDEX(T$4:T1673,MATCH(LARGE(FILTER(W$4:W1673,W$4:W1673&lt;=I885),1),W$4:W1673))-K885),1,
ROUNDDOWN(Y885-INDEX(K$4:K1673,MATCH(LARGE(FILTER(I$4:I1673,I$4:I1673&lt;=W885),1),I$4:I1673))-(W885-LARGE(FILTER(I$4:I"&amp;"1673,I$4:I1673&lt;=W885),1))*INDEX(F$4:F1673,MATCH(LARGE(FILTER(I$4:I1673,I$4:I1673&lt;=W885),1),I$4:I1673))))"),"")</f>
        <v/>
      </c>
      <c r="N885" s="60" t="str">
        <f t="shared" si="8"/>
        <v/>
      </c>
      <c r="O885" s="61" t="str">
        <f t="shared" si="9"/>
        <v/>
      </c>
      <c r="P885" s="56" t="str">
        <f t="shared" si="10"/>
        <v/>
      </c>
      <c r="R885" s="10"/>
      <c r="S885" s="59" t="str">
        <f t="array" ref="S885">IF(COUNTA(Q885:Q1673)=0,"",SUM((COUNTIF(Q$4:Q885,Upgrades!$B$3:$B$13)-COUNTIF(Q$4:Q885,"Sell_"&amp;Upgrades!$B$3:$B$13))*Upgrades!$D$3:$D$13))</f>
        <v/>
      </c>
      <c r="T885" s="66" t="str">
        <f>IFERROR(__xludf.DUMMYFUNCTION("IF(COUNTA(Q885:Q1673)=0,"""",IF(REGEXMATCH(INDEX(FILTER(Q$4:Q885,Q$4:Q885&lt;&gt;""""),ROWS(FILTER(Q$4:Q885,Q$4:Q885&lt;&gt;""""))),""^Sell_""),INDEX(FILTER(T$4:T884,Q$4:Q884&lt;&gt;""""),ROWS(FILTER(Q$4:Q884,Q$4:Q884&lt;&gt;""""))),$AD$5+S885))"),"")</f>
        <v/>
      </c>
      <c r="U885" s="10" t="str">
        <f>IFERROR(__xludf.DUMMYFUNCTION("IF(COUNTA(Q885:Q1673)=0,"""",IF(Q885="""",0,IF(REGEXMATCH(Q885,""^Sell_""),-ROUNDDOWN(ROUNDUP(INDEX(Upgrades!$C$3:$C$13,MATCH(SUBSTITUTE(Q885,""Sell_"",""""),Upgrades!$B$3:$B$13,0))*1.15^(COUNTIF(Q$4:Q884,SUBSTITUTE(Q885,""Sell_"",""""))-COUNTIF(Q$4:Q884,"&amp;"""Sell_""&amp;SUBSTITUTE(Q885,""Sell_"",""""))))/2),ROUNDUP(INDEX(Upgrades!$C$3:$C$13,MATCH(Q885,Upgrades!$B$3:$B$13,0))*1.15^(COUNTIF(Q$4:Q884,Q885)-COUNTIF(Q$4:Q884,""Sell_""&amp;Q885))))))"),"")</f>
        <v/>
      </c>
      <c r="V885" s="10" t="str">
        <f t="shared" si="11"/>
        <v/>
      </c>
      <c r="W885" s="68" t="str">
        <f t="shared" si="12"/>
        <v/>
      </c>
      <c r="X885" s="59" t="str">
        <f t="shared" si="13"/>
        <v/>
      </c>
      <c r="Y885" s="69" t="str">
        <f t="shared" si="14"/>
        <v/>
      </c>
      <c r="Z885" s="11"/>
    </row>
    <row r="886">
      <c r="A886" s="8"/>
      <c r="B886" s="56" t="str">
        <f t="shared" si="2"/>
        <v/>
      </c>
      <c r="C886" s="105"/>
      <c r="D886" s="10"/>
      <c r="E886" s="59" t="str">
        <f t="array" ref="E886">IF(COUNTA(C886:C1673)=0,"",SUM((COUNTIF(C$4:C886,Upgrades!$B$3:$B$13)-COUNTIF(C$4:C886,"Sell_"&amp;Upgrades!$B$3:$B$13))*Upgrades!$D$3:$D$13))</f>
        <v/>
      </c>
      <c r="F886" s="66" t="str">
        <f>IFERROR(__xludf.DUMMYFUNCTION("IF(COUNTA(C886:C1673)=0,"""",IF(REGEXMATCH(INDEX(FILTER(C$4:C886,C$4:C886&lt;&gt;""""),ROWS(FILTER(C$4:C886,C$4:C886&lt;&gt;""""))),""^Sell_""),INDEX(FILTER(F$4:F885,C$4:C885&lt;&gt;""""),ROWS(FILTER(C$4:C885,C$4:C885&lt;&gt;""""))),$AC$5+E886))"),"")</f>
        <v/>
      </c>
      <c r="G886" s="10" t="str">
        <f>IFERROR(__xludf.DUMMYFUNCTION("IF(COUNTA(C886:C1673)=0,"""",IF(C886="""",0,IF(REGEXMATCH(C886,""^Sell_""),-ROUNDDOWN(ROUNDUP(INDEX(Upgrades!$C$3:$C$13,MATCH(SUBSTITUTE(C886,""Sell_"",""""),Upgrades!$B$3:$B$13,0))*1.15^(COUNTIF(C$4:C885,SUBSTITUTE(C886,""Sell_"",""""))-COUNTIF(C$4:C885,"&amp;"""Sell_""&amp;SUBSTITUTE(C886,""Sell_"",""""))))/2),ROUNDUP(INDEX(Upgrades!$C$3:$C$13,MATCH(C886,Upgrades!$B$3:$B$13,0))*1.15^(COUNTIF(C$4:C885,C886)-COUNTIF(C$4:C885,""Sell_""&amp;C886))))))"),"")</f>
        <v/>
      </c>
      <c r="H886" s="10" t="str">
        <f t="shared" si="3"/>
        <v/>
      </c>
      <c r="I886" s="68" t="str">
        <f t="shared" si="4"/>
        <v/>
      </c>
      <c r="J886" s="59" t="str">
        <f t="shared" si="5"/>
        <v/>
      </c>
      <c r="K886" s="69" t="str">
        <f t="shared" si="6"/>
        <v/>
      </c>
      <c r="L886" s="60" t="str">
        <f t="shared" si="7"/>
        <v/>
      </c>
      <c r="M886" s="61" t="str">
        <f>IFERROR(__xludf.DUMMYFUNCTION("IFS(AND(COUNTA(C886:C1673)=0,COUNTA(Q886:Q1673)=0),"""",OR(AND(K886&gt;=1000000000,OR(Y886&gt;=1000000000,COUNTA(Q886:Q1673)=0)),OR(Y886&gt;=1000000000,AND(COUNTA(C886:C1673)=0,P$3=TRUE))),
ROUNDDOWN((AB$1-AC$1)*MAX(INDEX(T$4:T1673,MATCH(LARGE(FILTER(Y$4:Y1673,Y$4"&amp;":Y1673&lt;1000000000),1),Y$4:Y1673)),INDEX(F$4:F1673,MATCH(LARGE(FILTER(K$4:K1673,K$4:K1673&lt;1000000000),1),K$4:K1673)))),AND(K886&lt;1000000000,COUNTA(C886:C1673)&gt;0,P$3=FALSE),
ROUNDDOWN(INDEX(Y$4:Y1673,MATCH(LARGE(FILTER(W$4:W1673,W$4:W1673&lt;=I886),1),W$4:W1673"&amp;"))+(I886-LARGE(FILTER(W$4:W1673,W$4:W1673&lt;=I886),1))*INDEX(T$4:T1673,MATCH(LARGE(FILTER(W$4:W1673,W$4:W1673&lt;=I886),1),W$4:W1673))-K886),1,
ROUNDDOWN(Y886-INDEX(K$4:K1673,MATCH(LARGE(FILTER(I$4:I1673,I$4:I1673&lt;=W886),1),I$4:I1673))-(W886-LARGE(FILTER(I$4:I"&amp;"1673,I$4:I1673&lt;=W886),1))*INDEX(F$4:F1673,MATCH(LARGE(FILTER(I$4:I1673,I$4:I1673&lt;=W886),1),I$4:I1673))))"),"")</f>
        <v/>
      </c>
      <c r="N886" s="60" t="str">
        <f t="shared" si="8"/>
        <v/>
      </c>
      <c r="O886" s="61" t="str">
        <f t="shared" si="9"/>
        <v/>
      </c>
      <c r="P886" s="56" t="str">
        <f t="shared" si="10"/>
        <v/>
      </c>
      <c r="R886" s="10"/>
      <c r="S886" s="59" t="str">
        <f t="array" ref="S886">IF(COUNTA(Q886:Q1673)=0,"",SUM((COUNTIF(Q$4:Q886,Upgrades!$B$3:$B$13)-COUNTIF(Q$4:Q886,"Sell_"&amp;Upgrades!$B$3:$B$13))*Upgrades!$D$3:$D$13))</f>
        <v/>
      </c>
      <c r="T886" s="66" t="str">
        <f>IFERROR(__xludf.DUMMYFUNCTION("IF(COUNTA(Q886:Q1673)=0,"""",IF(REGEXMATCH(INDEX(FILTER(Q$4:Q886,Q$4:Q886&lt;&gt;""""),ROWS(FILTER(Q$4:Q886,Q$4:Q886&lt;&gt;""""))),""^Sell_""),INDEX(FILTER(T$4:T885,Q$4:Q885&lt;&gt;""""),ROWS(FILTER(Q$4:Q885,Q$4:Q885&lt;&gt;""""))),$AD$5+S886))"),"")</f>
        <v/>
      </c>
      <c r="U886" s="10" t="str">
        <f>IFERROR(__xludf.DUMMYFUNCTION("IF(COUNTA(Q886:Q1673)=0,"""",IF(Q886="""",0,IF(REGEXMATCH(Q886,""^Sell_""),-ROUNDDOWN(ROUNDUP(INDEX(Upgrades!$C$3:$C$13,MATCH(SUBSTITUTE(Q886,""Sell_"",""""),Upgrades!$B$3:$B$13,0))*1.15^(COUNTIF(Q$4:Q885,SUBSTITUTE(Q886,""Sell_"",""""))-COUNTIF(Q$4:Q885,"&amp;"""Sell_""&amp;SUBSTITUTE(Q886,""Sell_"",""""))))/2),ROUNDUP(INDEX(Upgrades!$C$3:$C$13,MATCH(Q886,Upgrades!$B$3:$B$13,0))*1.15^(COUNTIF(Q$4:Q885,Q886)-COUNTIF(Q$4:Q885,""Sell_""&amp;Q886))))))"),"")</f>
        <v/>
      </c>
      <c r="V886" s="10" t="str">
        <f t="shared" si="11"/>
        <v/>
      </c>
      <c r="W886" s="68" t="str">
        <f t="shared" si="12"/>
        <v/>
      </c>
      <c r="X886" s="59" t="str">
        <f t="shared" si="13"/>
        <v/>
      </c>
      <c r="Y886" s="69" t="str">
        <f t="shared" si="14"/>
        <v/>
      </c>
      <c r="Z886" s="11"/>
    </row>
    <row r="887">
      <c r="A887" s="8"/>
      <c r="B887" s="56" t="str">
        <f t="shared" si="2"/>
        <v/>
      </c>
      <c r="C887" s="105"/>
      <c r="D887" s="10"/>
      <c r="E887" s="59" t="str">
        <f t="array" ref="E887">IF(COUNTA(C887:C1673)=0,"",SUM((COUNTIF(C$4:C887,Upgrades!$B$3:$B$13)-COUNTIF(C$4:C887,"Sell_"&amp;Upgrades!$B$3:$B$13))*Upgrades!$D$3:$D$13))</f>
        <v/>
      </c>
      <c r="F887" s="66" t="str">
        <f>IFERROR(__xludf.DUMMYFUNCTION("IF(COUNTA(C887:C1673)=0,"""",IF(REGEXMATCH(INDEX(FILTER(C$4:C887,C$4:C887&lt;&gt;""""),ROWS(FILTER(C$4:C887,C$4:C887&lt;&gt;""""))),""^Sell_""),INDEX(FILTER(F$4:F886,C$4:C886&lt;&gt;""""),ROWS(FILTER(C$4:C886,C$4:C886&lt;&gt;""""))),$AC$5+E887))"),"")</f>
        <v/>
      </c>
      <c r="G887" s="10" t="str">
        <f>IFERROR(__xludf.DUMMYFUNCTION("IF(COUNTA(C887:C1673)=0,"""",IF(C887="""",0,IF(REGEXMATCH(C887,""^Sell_""),-ROUNDDOWN(ROUNDUP(INDEX(Upgrades!$C$3:$C$13,MATCH(SUBSTITUTE(C887,""Sell_"",""""),Upgrades!$B$3:$B$13,0))*1.15^(COUNTIF(C$4:C886,SUBSTITUTE(C887,""Sell_"",""""))-COUNTIF(C$4:C886,"&amp;"""Sell_""&amp;SUBSTITUTE(C887,""Sell_"",""""))))/2),ROUNDUP(INDEX(Upgrades!$C$3:$C$13,MATCH(C887,Upgrades!$B$3:$B$13,0))*1.15^(COUNTIF(C$4:C886,C887)-COUNTIF(C$4:C886,""Sell_""&amp;C887))))))"),"")</f>
        <v/>
      </c>
      <c r="H887" s="10" t="str">
        <f t="shared" si="3"/>
        <v/>
      </c>
      <c r="I887" s="68" t="str">
        <f t="shared" si="4"/>
        <v/>
      </c>
      <c r="J887" s="59" t="str">
        <f t="shared" si="5"/>
        <v/>
      </c>
      <c r="K887" s="69" t="str">
        <f t="shared" si="6"/>
        <v/>
      </c>
      <c r="L887" s="60" t="str">
        <f t="shared" si="7"/>
        <v/>
      </c>
      <c r="M887" s="61" t="str">
        <f>IFERROR(__xludf.DUMMYFUNCTION("IFS(AND(COUNTA(C887:C1673)=0,COUNTA(Q887:Q1673)=0),"""",OR(AND(K887&gt;=1000000000,OR(Y887&gt;=1000000000,COUNTA(Q887:Q1673)=0)),OR(Y887&gt;=1000000000,AND(COUNTA(C887:C1673)=0,P$3=TRUE))),
ROUNDDOWN((AB$1-AC$1)*MAX(INDEX(T$4:T1673,MATCH(LARGE(FILTER(Y$4:Y1673,Y$4"&amp;":Y1673&lt;1000000000),1),Y$4:Y1673)),INDEX(F$4:F1673,MATCH(LARGE(FILTER(K$4:K1673,K$4:K1673&lt;1000000000),1),K$4:K1673)))),AND(K887&lt;1000000000,COUNTA(C887:C1673)&gt;0,P$3=FALSE),
ROUNDDOWN(INDEX(Y$4:Y1673,MATCH(LARGE(FILTER(W$4:W1673,W$4:W1673&lt;=I887),1),W$4:W1673"&amp;"))+(I887-LARGE(FILTER(W$4:W1673,W$4:W1673&lt;=I887),1))*INDEX(T$4:T1673,MATCH(LARGE(FILTER(W$4:W1673,W$4:W1673&lt;=I887),1),W$4:W1673))-K887),1,
ROUNDDOWN(Y887-INDEX(K$4:K1673,MATCH(LARGE(FILTER(I$4:I1673,I$4:I1673&lt;=W887),1),I$4:I1673))-(W887-LARGE(FILTER(I$4:I"&amp;"1673,I$4:I1673&lt;=W887),1))*INDEX(F$4:F1673,MATCH(LARGE(FILTER(I$4:I1673,I$4:I1673&lt;=W887),1),I$4:I1673))))"),"")</f>
        <v/>
      </c>
      <c r="N887" s="60" t="str">
        <f t="shared" si="8"/>
        <v/>
      </c>
      <c r="O887" s="61" t="str">
        <f t="shared" si="9"/>
        <v/>
      </c>
      <c r="P887" s="56" t="str">
        <f t="shared" si="10"/>
        <v/>
      </c>
      <c r="R887" s="10"/>
      <c r="S887" s="59" t="str">
        <f t="array" ref="S887">IF(COUNTA(Q887:Q1673)=0,"",SUM((COUNTIF(Q$4:Q887,Upgrades!$B$3:$B$13)-COUNTIF(Q$4:Q887,"Sell_"&amp;Upgrades!$B$3:$B$13))*Upgrades!$D$3:$D$13))</f>
        <v/>
      </c>
      <c r="T887" s="66" t="str">
        <f>IFERROR(__xludf.DUMMYFUNCTION("IF(COUNTA(Q887:Q1673)=0,"""",IF(REGEXMATCH(INDEX(FILTER(Q$4:Q887,Q$4:Q887&lt;&gt;""""),ROWS(FILTER(Q$4:Q887,Q$4:Q887&lt;&gt;""""))),""^Sell_""),INDEX(FILTER(T$4:T886,Q$4:Q886&lt;&gt;""""),ROWS(FILTER(Q$4:Q886,Q$4:Q886&lt;&gt;""""))),$AD$5+S887))"),"")</f>
        <v/>
      </c>
      <c r="U887" s="10" t="str">
        <f>IFERROR(__xludf.DUMMYFUNCTION("IF(COUNTA(Q887:Q1673)=0,"""",IF(Q887="""",0,IF(REGEXMATCH(Q887,""^Sell_""),-ROUNDDOWN(ROUNDUP(INDEX(Upgrades!$C$3:$C$13,MATCH(SUBSTITUTE(Q887,""Sell_"",""""),Upgrades!$B$3:$B$13,0))*1.15^(COUNTIF(Q$4:Q886,SUBSTITUTE(Q887,""Sell_"",""""))-COUNTIF(Q$4:Q886,"&amp;"""Sell_""&amp;SUBSTITUTE(Q887,""Sell_"",""""))))/2),ROUNDUP(INDEX(Upgrades!$C$3:$C$13,MATCH(Q887,Upgrades!$B$3:$B$13,0))*1.15^(COUNTIF(Q$4:Q886,Q887)-COUNTIF(Q$4:Q886,""Sell_""&amp;Q887))))))"),"")</f>
        <v/>
      </c>
      <c r="V887" s="10" t="str">
        <f t="shared" si="11"/>
        <v/>
      </c>
      <c r="W887" s="68" t="str">
        <f t="shared" si="12"/>
        <v/>
      </c>
      <c r="X887" s="59" t="str">
        <f t="shared" si="13"/>
        <v/>
      </c>
      <c r="Y887" s="69" t="str">
        <f t="shared" si="14"/>
        <v/>
      </c>
      <c r="Z887" s="11"/>
    </row>
    <row r="888">
      <c r="A888" s="8"/>
      <c r="B888" s="56" t="str">
        <f t="shared" si="2"/>
        <v/>
      </c>
      <c r="C888" s="105"/>
      <c r="D888" s="10"/>
      <c r="E888" s="59" t="str">
        <f t="array" ref="E888">IF(COUNTA(C888:C1673)=0,"",SUM((COUNTIF(C$4:C888,Upgrades!$B$3:$B$13)-COUNTIF(C$4:C888,"Sell_"&amp;Upgrades!$B$3:$B$13))*Upgrades!$D$3:$D$13))</f>
        <v/>
      </c>
      <c r="F888" s="66" t="str">
        <f>IFERROR(__xludf.DUMMYFUNCTION("IF(COUNTA(C888:C1673)=0,"""",IF(REGEXMATCH(INDEX(FILTER(C$4:C888,C$4:C888&lt;&gt;""""),ROWS(FILTER(C$4:C888,C$4:C888&lt;&gt;""""))),""^Sell_""),INDEX(FILTER(F$4:F887,C$4:C887&lt;&gt;""""),ROWS(FILTER(C$4:C887,C$4:C887&lt;&gt;""""))),$AC$5+E888))"),"")</f>
        <v/>
      </c>
      <c r="G888" s="10" t="str">
        <f>IFERROR(__xludf.DUMMYFUNCTION("IF(COUNTA(C888:C1673)=0,"""",IF(C888="""",0,IF(REGEXMATCH(C888,""^Sell_""),-ROUNDDOWN(ROUNDUP(INDEX(Upgrades!$C$3:$C$13,MATCH(SUBSTITUTE(C888,""Sell_"",""""),Upgrades!$B$3:$B$13,0))*1.15^(COUNTIF(C$4:C887,SUBSTITUTE(C888,""Sell_"",""""))-COUNTIF(C$4:C887,"&amp;"""Sell_""&amp;SUBSTITUTE(C888,""Sell_"",""""))))/2),ROUNDUP(INDEX(Upgrades!$C$3:$C$13,MATCH(C888,Upgrades!$B$3:$B$13,0))*1.15^(COUNTIF(C$4:C887,C888)-COUNTIF(C$4:C887,""Sell_""&amp;C888))))))"),"")</f>
        <v/>
      </c>
      <c r="H888" s="10" t="str">
        <f t="shared" si="3"/>
        <v/>
      </c>
      <c r="I888" s="68" t="str">
        <f t="shared" si="4"/>
        <v/>
      </c>
      <c r="J888" s="59" t="str">
        <f t="shared" si="5"/>
        <v/>
      </c>
      <c r="K888" s="69" t="str">
        <f t="shared" si="6"/>
        <v/>
      </c>
      <c r="L888" s="60" t="str">
        <f t="shared" si="7"/>
        <v/>
      </c>
      <c r="M888" s="61" t="str">
        <f>IFERROR(__xludf.DUMMYFUNCTION("IFS(AND(COUNTA(C888:C1673)=0,COUNTA(Q888:Q1673)=0),"""",OR(AND(K888&gt;=1000000000,OR(Y888&gt;=1000000000,COUNTA(Q888:Q1673)=0)),OR(Y888&gt;=1000000000,AND(COUNTA(C888:C1673)=0,P$3=TRUE))),
ROUNDDOWN((AB$1-AC$1)*MAX(INDEX(T$4:T1673,MATCH(LARGE(FILTER(Y$4:Y1673,Y$4"&amp;":Y1673&lt;1000000000),1),Y$4:Y1673)),INDEX(F$4:F1673,MATCH(LARGE(FILTER(K$4:K1673,K$4:K1673&lt;1000000000),1),K$4:K1673)))),AND(K888&lt;1000000000,COUNTA(C888:C1673)&gt;0,P$3=FALSE),
ROUNDDOWN(INDEX(Y$4:Y1673,MATCH(LARGE(FILTER(W$4:W1673,W$4:W1673&lt;=I888),1),W$4:W1673"&amp;"))+(I888-LARGE(FILTER(W$4:W1673,W$4:W1673&lt;=I888),1))*INDEX(T$4:T1673,MATCH(LARGE(FILTER(W$4:W1673,W$4:W1673&lt;=I888),1),W$4:W1673))-K888),1,
ROUNDDOWN(Y888-INDEX(K$4:K1673,MATCH(LARGE(FILTER(I$4:I1673,I$4:I1673&lt;=W888),1),I$4:I1673))-(W888-LARGE(FILTER(I$4:I"&amp;"1673,I$4:I1673&lt;=W888),1))*INDEX(F$4:F1673,MATCH(LARGE(FILTER(I$4:I1673,I$4:I1673&lt;=W888),1),I$4:I1673))))"),"")</f>
        <v/>
      </c>
      <c r="N888" s="60" t="str">
        <f t="shared" si="8"/>
        <v/>
      </c>
      <c r="O888" s="61" t="str">
        <f t="shared" si="9"/>
        <v/>
      </c>
      <c r="P888" s="56" t="str">
        <f t="shared" si="10"/>
        <v/>
      </c>
      <c r="R888" s="10"/>
      <c r="S888" s="59" t="str">
        <f t="array" ref="S888">IF(COUNTA(Q888:Q1673)=0,"",SUM((COUNTIF(Q$4:Q888,Upgrades!$B$3:$B$13)-COUNTIF(Q$4:Q888,"Sell_"&amp;Upgrades!$B$3:$B$13))*Upgrades!$D$3:$D$13))</f>
        <v/>
      </c>
      <c r="T888" s="66" t="str">
        <f>IFERROR(__xludf.DUMMYFUNCTION("IF(COUNTA(Q888:Q1673)=0,"""",IF(REGEXMATCH(INDEX(FILTER(Q$4:Q888,Q$4:Q888&lt;&gt;""""),ROWS(FILTER(Q$4:Q888,Q$4:Q888&lt;&gt;""""))),""^Sell_""),INDEX(FILTER(T$4:T887,Q$4:Q887&lt;&gt;""""),ROWS(FILTER(Q$4:Q887,Q$4:Q887&lt;&gt;""""))),$AD$5+S888))"),"")</f>
        <v/>
      </c>
      <c r="U888" s="10" t="str">
        <f>IFERROR(__xludf.DUMMYFUNCTION("IF(COUNTA(Q888:Q1673)=0,"""",IF(Q888="""",0,IF(REGEXMATCH(Q888,""^Sell_""),-ROUNDDOWN(ROUNDUP(INDEX(Upgrades!$C$3:$C$13,MATCH(SUBSTITUTE(Q888,""Sell_"",""""),Upgrades!$B$3:$B$13,0))*1.15^(COUNTIF(Q$4:Q887,SUBSTITUTE(Q888,""Sell_"",""""))-COUNTIF(Q$4:Q887,"&amp;"""Sell_""&amp;SUBSTITUTE(Q888,""Sell_"",""""))))/2),ROUNDUP(INDEX(Upgrades!$C$3:$C$13,MATCH(Q888,Upgrades!$B$3:$B$13,0))*1.15^(COUNTIF(Q$4:Q887,Q888)-COUNTIF(Q$4:Q887,""Sell_""&amp;Q888))))))"),"")</f>
        <v/>
      </c>
      <c r="V888" s="10" t="str">
        <f t="shared" si="11"/>
        <v/>
      </c>
      <c r="W888" s="68" t="str">
        <f t="shared" si="12"/>
        <v/>
      </c>
      <c r="X888" s="59" t="str">
        <f t="shared" si="13"/>
        <v/>
      </c>
      <c r="Y888" s="69" t="str">
        <f t="shared" si="14"/>
        <v/>
      </c>
      <c r="Z888" s="11"/>
    </row>
    <row r="889">
      <c r="A889" s="8"/>
      <c r="B889" s="56" t="str">
        <f t="shared" si="2"/>
        <v/>
      </c>
      <c r="C889" s="105"/>
      <c r="D889" s="10"/>
      <c r="E889" s="59" t="str">
        <f t="array" ref="E889">IF(COUNTA(C889:C1673)=0,"",SUM((COUNTIF(C$4:C889,Upgrades!$B$3:$B$13)-COUNTIF(C$4:C889,"Sell_"&amp;Upgrades!$B$3:$B$13))*Upgrades!$D$3:$D$13))</f>
        <v/>
      </c>
      <c r="F889" s="66" t="str">
        <f>IFERROR(__xludf.DUMMYFUNCTION("IF(COUNTA(C889:C1673)=0,"""",IF(REGEXMATCH(INDEX(FILTER(C$4:C889,C$4:C889&lt;&gt;""""),ROWS(FILTER(C$4:C889,C$4:C889&lt;&gt;""""))),""^Sell_""),INDEX(FILTER(F$4:F888,C$4:C888&lt;&gt;""""),ROWS(FILTER(C$4:C888,C$4:C888&lt;&gt;""""))),$AC$5+E889))"),"")</f>
        <v/>
      </c>
      <c r="G889" s="10" t="str">
        <f>IFERROR(__xludf.DUMMYFUNCTION("IF(COUNTA(C889:C1673)=0,"""",IF(C889="""",0,IF(REGEXMATCH(C889,""^Sell_""),-ROUNDDOWN(ROUNDUP(INDEX(Upgrades!$C$3:$C$13,MATCH(SUBSTITUTE(C889,""Sell_"",""""),Upgrades!$B$3:$B$13,0))*1.15^(COUNTIF(C$4:C888,SUBSTITUTE(C889,""Sell_"",""""))-COUNTIF(C$4:C888,"&amp;"""Sell_""&amp;SUBSTITUTE(C889,""Sell_"",""""))))/2),ROUNDUP(INDEX(Upgrades!$C$3:$C$13,MATCH(C889,Upgrades!$B$3:$B$13,0))*1.15^(COUNTIF(C$4:C888,C889)-COUNTIF(C$4:C888,""Sell_""&amp;C889))))))"),"")</f>
        <v/>
      </c>
      <c r="H889" s="10" t="str">
        <f t="shared" si="3"/>
        <v/>
      </c>
      <c r="I889" s="68" t="str">
        <f t="shared" si="4"/>
        <v/>
      </c>
      <c r="J889" s="59" t="str">
        <f t="shared" si="5"/>
        <v/>
      </c>
      <c r="K889" s="69" t="str">
        <f t="shared" si="6"/>
        <v/>
      </c>
      <c r="L889" s="60" t="str">
        <f t="shared" si="7"/>
        <v/>
      </c>
      <c r="M889" s="61" t="str">
        <f>IFERROR(__xludf.DUMMYFUNCTION("IFS(AND(COUNTA(C889:C1673)=0,COUNTA(Q889:Q1673)=0),"""",OR(AND(K889&gt;=1000000000,OR(Y889&gt;=1000000000,COUNTA(Q889:Q1673)=0)),OR(Y889&gt;=1000000000,AND(COUNTA(C889:C1673)=0,P$3=TRUE))),
ROUNDDOWN((AB$1-AC$1)*MAX(INDEX(T$4:T1673,MATCH(LARGE(FILTER(Y$4:Y1673,Y$4"&amp;":Y1673&lt;1000000000),1),Y$4:Y1673)),INDEX(F$4:F1673,MATCH(LARGE(FILTER(K$4:K1673,K$4:K1673&lt;1000000000),1),K$4:K1673)))),AND(K889&lt;1000000000,COUNTA(C889:C1673)&gt;0,P$3=FALSE),
ROUNDDOWN(INDEX(Y$4:Y1673,MATCH(LARGE(FILTER(W$4:W1673,W$4:W1673&lt;=I889),1),W$4:W1673"&amp;"))+(I889-LARGE(FILTER(W$4:W1673,W$4:W1673&lt;=I889),1))*INDEX(T$4:T1673,MATCH(LARGE(FILTER(W$4:W1673,W$4:W1673&lt;=I889),1),W$4:W1673))-K889),1,
ROUNDDOWN(Y889-INDEX(K$4:K1673,MATCH(LARGE(FILTER(I$4:I1673,I$4:I1673&lt;=W889),1),I$4:I1673))-(W889-LARGE(FILTER(I$4:I"&amp;"1673,I$4:I1673&lt;=W889),1))*INDEX(F$4:F1673,MATCH(LARGE(FILTER(I$4:I1673,I$4:I1673&lt;=W889),1),I$4:I1673))))"),"")</f>
        <v/>
      </c>
      <c r="N889" s="60" t="str">
        <f t="shared" si="8"/>
        <v/>
      </c>
      <c r="O889" s="61" t="str">
        <f t="shared" si="9"/>
        <v/>
      </c>
      <c r="P889" s="56" t="str">
        <f t="shared" si="10"/>
        <v/>
      </c>
      <c r="R889" s="10"/>
      <c r="S889" s="59" t="str">
        <f t="array" ref="S889">IF(COUNTA(Q889:Q1673)=0,"",SUM((COUNTIF(Q$4:Q889,Upgrades!$B$3:$B$13)-COUNTIF(Q$4:Q889,"Sell_"&amp;Upgrades!$B$3:$B$13))*Upgrades!$D$3:$D$13))</f>
        <v/>
      </c>
      <c r="T889" s="66" t="str">
        <f>IFERROR(__xludf.DUMMYFUNCTION("IF(COUNTA(Q889:Q1673)=0,"""",IF(REGEXMATCH(INDEX(FILTER(Q$4:Q889,Q$4:Q889&lt;&gt;""""),ROWS(FILTER(Q$4:Q889,Q$4:Q889&lt;&gt;""""))),""^Sell_""),INDEX(FILTER(T$4:T888,Q$4:Q888&lt;&gt;""""),ROWS(FILTER(Q$4:Q888,Q$4:Q888&lt;&gt;""""))),$AD$5+S889))"),"")</f>
        <v/>
      </c>
      <c r="U889" s="10" t="str">
        <f>IFERROR(__xludf.DUMMYFUNCTION("IF(COUNTA(Q889:Q1673)=0,"""",IF(Q889="""",0,IF(REGEXMATCH(Q889,""^Sell_""),-ROUNDDOWN(ROUNDUP(INDEX(Upgrades!$C$3:$C$13,MATCH(SUBSTITUTE(Q889,""Sell_"",""""),Upgrades!$B$3:$B$13,0))*1.15^(COUNTIF(Q$4:Q888,SUBSTITUTE(Q889,""Sell_"",""""))-COUNTIF(Q$4:Q888,"&amp;"""Sell_""&amp;SUBSTITUTE(Q889,""Sell_"",""""))))/2),ROUNDUP(INDEX(Upgrades!$C$3:$C$13,MATCH(Q889,Upgrades!$B$3:$B$13,0))*1.15^(COUNTIF(Q$4:Q888,Q889)-COUNTIF(Q$4:Q888,""Sell_""&amp;Q889))))))"),"")</f>
        <v/>
      </c>
      <c r="V889" s="10" t="str">
        <f t="shared" si="11"/>
        <v/>
      </c>
      <c r="W889" s="68" t="str">
        <f t="shared" si="12"/>
        <v/>
      </c>
      <c r="X889" s="59" t="str">
        <f t="shared" si="13"/>
        <v/>
      </c>
      <c r="Y889" s="69" t="str">
        <f t="shared" si="14"/>
        <v/>
      </c>
      <c r="Z889" s="11"/>
    </row>
    <row r="890">
      <c r="A890" s="8"/>
      <c r="B890" s="56" t="str">
        <f t="shared" si="2"/>
        <v/>
      </c>
      <c r="C890" s="105"/>
      <c r="D890" s="10"/>
      <c r="E890" s="59" t="str">
        <f t="array" ref="E890">IF(COUNTA(C890:C1673)=0,"",SUM((COUNTIF(C$4:C890,Upgrades!$B$3:$B$13)-COUNTIF(C$4:C890,"Sell_"&amp;Upgrades!$B$3:$B$13))*Upgrades!$D$3:$D$13))</f>
        <v/>
      </c>
      <c r="F890" s="66" t="str">
        <f>IFERROR(__xludf.DUMMYFUNCTION("IF(COUNTA(C890:C1673)=0,"""",IF(REGEXMATCH(INDEX(FILTER(C$4:C890,C$4:C890&lt;&gt;""""),ROWS(FILTER(C$4:C890,C$4:C890&lt;&gt;""""))),""^Sell_""),INDEX(FILTER(F$4:F889,C$4:C889&lt;&gt;""""),ROWS(FILTER(C$4:C889,C$4:C889&lt;&gt;""""))),$AC$5+E890))"),"")</f>
        <v/>
      </c>
      <c r="G890" s="10" t="str">
        <f>IFERROR(__xludf.DUMMYFUNCTION("IF(COUNTA(C890:C1673)=0,"""",IF(C890="""",0,IF(REGEXMATCH(C890,""^Sell_""),-ROUNDDOWN(ROUNDUP(INDEX(Upgrades!$C$3:$C$13,MATCH(SUBSTITUTE(C890,""Sell_"",""""),Upgrades!$B$3:$B$13,0))*1.15^(COUNTIF(C$4:C889,SUBSTITUTE(C890,""Sell_"",""""))-COUNTIF(C$4:C889,"&amp;"""Sell_""&amp;SUBSTITUTE(C890,""Sell_"",""""))))/2),ROUNDUP(INDEX(Upgrades!$C$3:$C$13,MATCH(C890,Upgrades!$B$3:$B$13,0))*1.15^(COUNTIF(C$4:C889,C890)-COUNTIF(C$4:C889,""Sell_""&amp;C890))))))"),"")</f>
        <v/>
      </c>
      <c r="H890" s="10" t="str">
        <f t="shared" si="3"/>
        <v/>
      </c>
      <c r="I890" s="68" t="str">
        <f t="shared" si="4"/>
        <v/>
      </c>
      <c r="J890" s="59" t="str">
        <f t="shared" si="5"/>
        <v/>
      </c>
      <c r="K890" s="69" t="str">
        <f t="shared" si="6"/>
        <v/>
      </c>
      <c r="L890" s="60" t="str">
        <f t="shared" si="7"/>
        <v/>
      </c>
      <c r="M890" s="61" t="str">
        <f>IFERROR(__xludf.DUMMYFUNCTION("IFS(AND(COUNTA(C890:C1673)=0,COUNTA(Q890:Q1673)=0),"""",OR(AND(K890&gt;=1000000000,OR(Y890&gt;=1000000000,COUNTA(Q890:Q1673)=0)),OR(Y890&gt;=1000000000,AND(COUNTA(C890:C1673)=0,P$3=TRUE))),
ROUNDDOWN((AB$1-AC$1)*MAX(INDEX(T$4:T1673,MATCH(LARGE(FILTER(Y$4:Y1673,Y$4"&amp;":Y1673&lt;1000000000),1),Y$4:Y1673)),INDEX(F$4:F1673,MATCH(LARGE(FILTER(K$4:K1673,K$4:K1673&lt;1000000000),1),K$4:K1673)))),AND(K890&lt;1000000000,COUNTA(C890:C1673)&gt;0,P$3=FALSE),
ROUNDDOWN(INDEX(Y$4:Y1673,MATCH(LARGE(FILTER(W$4:W1673,W$4:W1673&lt;=I890),1),W$4:W1673"&amp;"))+(I890-LARGE(FILTER(W$4:W1673,W$4:W1673&lt;=I890),1))*INDEX(T$4:T1673,MATCH(LARGE(FILTER(W$4:W1673,W$4:W1673&lt;=I890),1),W$4:W1673))-K890),1,
ROUNDDOWN(Y890-INDEX(K$4:K1673,MATCH(LARGE(FILTER(I$4:I1673,I$4:I1673&lt;=W890),1),I$4:I1673))-(W890-LARGE(FILTER(I$4:I"&amp;"1673,I$4:I1673&lt;=W890),1))*INDEX(F$4:F1673,MATCH(LARGE(FILTER(I$4:I1673,I$4:I1673&lt;=W890),1),I$4:I1673))))"),"")</f>
        <v/>
      </c>
      <c r="N890" s="60" t="str">
        <f t="shared" si="8"/>
        <v/>
      </c>
      <c r="O890" s="61" t="str">
        <f t="shared" si="9"/>
        <v/>
      </c>
      <c r="P890" s="56" t="str">
        <f t="shared" si="10"/>
        <v/>
      </c>
      <c r="R890" s="10"/>
      <c r="S890" s="59" t="str">
        <f t="array" ref="S890">IF(COUNTA(Q890:Q1673)=0,"",SUM((COUNTIF(Q$4:Q890,Upgrades!$B$3:$B$13)-COUNTIF(Q$4:Q890,"Sell_"&amp;Upgrades!$B$3:$B$13))*Upgrades!$D$3:$D$13))</f>
        <v/>
      </c>
      <c r="T890" s="66" t="str">
        <f>IFERROR(__xludf.DUMMYFUNCTION("IF(COUNTA(Q890:Q1673)=0,"""",IF(REGEXMATCH(INDEX(FILTER(Q$4:Q890,Q$4:Q890&lt;&gt;""""),ROWS(FILTER(Q$4:Q890,Q$4:Q890&lt;&gt;""""))),""^Sell_""),INDEX(FILTER(T$4:T889,Q$4:Q889&lt;&gt;""""),ROWS(FILTER(Q$4:Q889,Q$4:Q889&lt;&gt;""""))),$AD$5+S890))"),"")</f>
        <v/>
      </c>
      <c r="U890" s="10" t="str">
        <f>IFERROR(__xludf.DUMMYFUNCTION("IF(COUNTA(Q890:Q1673)=0,"""",IF(Q890="""",0,IF(REGEXMATCH(Q890,""^Sell_""),-ROUNDDOWN(ROUNDUP(INDEX(Upgrades!$C$3:$C$13,MATCH(SUBSTITUTE(Q890,""Sell_"",""""),Upgrades!$B$3:$B$13,0))*1.15^(COUNTIF(Q$4:Q889,SUBSTITUTE(Q890,""Sell_"",""""))-COUNTIF(Q$4:Q889,"&amp;"""Sell_""&amp;SUBSTITUTE(Q890,""Sell_"",""""))))/2),ROUNDUP(INDEX(Upgrades!$C$3:$C$13,MATCH(Q890,Upgrades!$B$3:$B$13,0))*1.15^(COUNTIF(Q$4:Q889,Q890)-COUNTIF(Q$4:Q889,""Sell_""&amp;Q890))))))"),"")</f>
        <v/>
      </c>
      <c r="V890" s="10" t="str">
        <f t="shared" si="11"/>
        <v/>
      </c>
      <c r="W890" s="68" t="str">
        <f t="shared" si="12"/>
        <v/>
      </c>
      <c r="X890" s="59" t="str">
        <f t="shared" si="13"/>
        <v/>
      </c>
      <c r="Y890" s="69" t="str">
        <f t="shared" si="14"/>
        <v/>
      </c>
      <c r="Z890" s="11"/>
    </row>
    <row r="891">
      <c r="A891" s="8"/>
      <c r="B891" s="56" t="str">
        <f t="shared" si="2"/>
        <v/>
      </c>
      <c r="C891" s="105"/>
      <c r="D891" s="10"/>
      <c r="E891" s="59" t="str">
        <f t="array" ref="E891">IF(COUNTA(C891:C1673)=0,"",SUM((COUNTIF(C$4:C891,Upgrades!$B$3:$B$13)-COUNTIF(C$4:C891,"Sell_"&amp;Upgrades!$B$3:$B$13))*Upgrades!$D$3:$D$13))</f>
        <v/>
      </c>
      <c r="F891" s="66" t="str">
        <f>IFERROR(__xludf.DUMMYFUNCTION("IF(COUNTA(C891:C1673)=0,"""",IF(REGEXMATCH(INDEX(FILTER(C$4:C891,C$4:C891&lt;&gt;""""),ROWS(FILTER(C$4:C891,C$4:C891&lt;&gt;""""))),""^Sell_""),INDEX(FILTER(F$4:F890,C$4:C890&lt;&gt;""""),ROWS(FILTER(C$4:C890,C$4:C890&lt;&gt;""""))),$AC$5+E891))"),"")</f>
        <v/>
      </c>
      <c r="G891" s="10" t="str">
        <f>IFERROR(__xludf.DUMMYFUNCTION("IF(COUNTA(C891:C1673)=0,"""",IF(C891="""",0,IF(REGEXMATCH(C891,""^Sell_""),-ROUNDDOWN(ROUNDUP(INDEX(Upgrades!$C$3:$C$13,MATCH(SUBSTITUTE(C891,""Sell_"",""""),Upgrades!$B$3:$B$13,0))*1.15^(COUNTIF(C$4:C890,SUBSTITUTE(C891,""Sell_"",""""))-COUNTIF(C$4:C890,"&amp;"""Sell_""&amp;SUBSTITUTE(C891,""Sell_"",""""))))/2),ROUNDUP(INDEX(Upgrades!$C$3:$C$13,MATCH(C891,Upgrades!$B$3:$B$13,0))*1.15^(COUNTIF(C$4:C890,C891)-COUNTIF(C$4:C890,""Sell_""&amp;C891))))))"),"")</f>
        <v/>
      </c>
      <c r="H891" s="10" t="str">
        <f t="shared" si="3"/>
        <v/>
      </c>
      <c r="I891" s="68" t="str">
        <f t="shared" si="4"/>
        <v/>
      </c>
      <c r="J891" s="59" t="str">
        <f t="shared" si="5"/>
        <v/>
      </c>
      <c r="K891" s="69" t="str">
        <f t="shared" si="6"/>
        <v/>
      </c>
      <c r="L891" s="60" t="str">
        <f t="shared" si="7"/>
        <v/>
      </c>
      <c r="M891" s="61" t="str">
        <f>IFERROR(__xludf.DUMMYFUNCTION("IFS(AND(COUNTA(C891:C1673)=0,COUNTA(Q891:Q1673)=0),"""",OR(AND(K891&gt;=1000000000,OR(Y891&gt;=1000000000,COUNTA(Q891:Q1673)=0)),OR(Y891&gt;=1000000000,AND(COUNTA(C891:C1673)=0,P$3=TRUE))),
ROUNDDOWN((AB$1-AC$1)*MAX(INDEX(T$4:T1673,MATCH(LARGE(FILTER(Y$4:Y1673,Y$4"&amp;":Y1673&lt;1000000000),1),Y$4:Y1673)),INDEX(F$4:F1673,MATCH(LARGE(FILTER(K$4:K1673,K$4:K1673&lt;1000000000),1),K$4:K1673)))),AND(K891&lt;1000000000,COUNTA(C891:C1673)&gt;0,P$3=FALSE),
ROUNDDOWN(INDEX(Y$4:Y1673,MATCH(LARGE(FILTER(W$4:W1673,W$4:W1673&lt;=I891),1),W$4:W1673"&amp;"))+(I891-LARGE(FILTER(W$4:W1673,W$4:W1673&lt;=I891),1))*INDEX(T$4:T1673,MATCH(LARGE(FILTER(W$4:W1673,W$4:W1673&lt;=I891),1),W$4:W1673))-K891),1,
ROUNDDOWN(Y891-INDEX(K$4:K1673,MATCH(LARGE(FILTER(I$4:I1673,I$4:I1673&lt;=W891),1),I$4:I1673))-(W891-LARGE(FILTER(I$4:I"&amp;"1673,I$4:I1673&lt;=W891),1))*INDEX(F$4:F1673,MATCH(LARGE(FILTER(I$4:I1673,I$4:I1673&lt;=W891),1),I$4:I1673))))"),"")</f>
        <v/>
      </c>
      <c r="N891" s="60" t="str">
        <f t="shared" si="8"/>
        <v/>
      </c>
      <c r="O891" s="61" t="str">
        <f t="shared" si="9"/>
        <v/>
      </c>
      <c r="P891" s="56" t="str">
        <f t="shared" si="10"/>
        <v/>
      </c>
      <c r="R891" s="10"/>
      <c r="S891" s="59" t="str">
        <f t="array" ref="S891">IF(COUNTA(Q891:Q1673)=0,"",SUM((COUNTIF(Q$4:Q891,Upgrades!$B$3:$B$13)-COUNTIF(Q$4:Q891,"Sell_"&amp;Upgrades!$B$3:$B$13))*Upgrades!$D$3:$D$13))</f>
        <v/>
      </c>
      <c r="T891" s="66" t="str">
        <f>IFERROR(__xludf.DUMMYFUNCTION("IF(COUNTA(Q891:Q1673)=0,"""",IF(REGEXMATCH(INDEX(FILTER(Q$4:Q891,Q$4:Q891&lt;&gt;""""),ROWS(FILTER(Q$4:Q891,Q$4:Q891&lt;&gt;""""))),""^Sell_""),INDEX(FILTER(T$4:T890,Q$4:Q890&lt;&gt;""""),ROWS(FILTER(Q$4:Q890,Q$4:Q890&lt;&gt;""""))),$AD$5+S891))"),"")</f>
        <v/>
      </c>
      <c r="U891" s="10" t="str">
        <f>IFERROR(__xludf.DUMMYFUNCTION("IF(COUNTA(Q891:Q1673)=0,"""",IF(Q891="""",0,IF(REGEXMATCH(Q891,""^Sell_""),-ROUNDDOWN(ROUNDUP(INDEX(Upgrades!$C$3:$C$13,MATCH(SUBSTITUTE(Q891,""Sell_"",""""),Upgrades!$B$3:$B$13,0))*1.15^(COUNTIF(Q$4:Q890,SUBSTITUTE(Q891,""Sell_"",""""))-COUNTIF(Q$4:Q890,"&amp;"""Sell_""&amp;SUBSTITUTE(Q891,""Sell_"",""""))))/2),ROUNDUP(INDEX(Upgrades!$C$3:$C$13,MATCH(Q891,Upgrades!$B$3:$B$13,0))*1.15^(COUNTIF(Q$4:Q890,Q891)-COUNTIF(Q$4:Q890,""Sell_""&amp;Q891))))))"),"")</f>
        <v/>
      </c>
      <c r="V891" s="10" t="str">
        <f t="shared" si="11"/>
        <v/>
      </c>
      <c r="W891" s="68" t="str">
        <f t="shared" si="12"/>
        <v/>
      </c>
      <c r="X891" s="59" t="str">
        <f t="shared" si="13"/>
        <v/>
      </c>
      <c r="Y891" s="69" t="str">
        <f t="shared" si="14"/>
        <v/>
      </c>
      <c r="Z891" s="11"/>
    </row>
    <row r="892">
      <c r="A892" s="8"/>
      <c r="B892" s="56" t="str">
        <f t="shared" si="2"/>
        <v/>
      </c>
      <c r="C892" s="105"/>
      <c r="D892" s="10"/>
      <c r="E892" s="59" t="str">
        <f t="array" ref="E892">IF(COUNTA(C892:C1673)=0,"",SUM((COUNTIF(C$4:C892,Upgrades!$B$3:$B$13)-COUNTIF(C$4:C892,"Sell_"&amp;Upgrades!$B$3:$B$13))*Upgrades!$D$3:$D$13))</f>
        <v/>
      </c>
      <c r="F892" s="66" t="str">
        <f>IFERROR(__xludf.DUMMYFUNCTION("IF(COUNTA(C892:C1673)=0,"""",IF(REGEXMATCH(INDEX(FILTER(C$4:C892,C$4:C892&lt;&gt;""""),ROWS(FILTER(C$4:C892,C$4:C892&lt;&gt;""""))),""^Sell_""),INDEX(FILTER(F$4:F891,C$4:C891&lt;&gt;""""),ROWS(FILTER(C$4:C891,C$4:C891&lt;&gt;""""))),$AC$5+E892))"),"")</f>
        <v/>
      </c>
      <c r="G892" s="10" t="str">
        <f>IFERROR(__xludf.DUMMYFUNCTION("IF(COUNTA(C892:C1673)=0,"""",IF(C892="""",0,IF(REGEXMATCH(C892,""^Sell_""),-ROUNDDOWN(ROUNDUP(INDEX(Upgrades!$C$3:$C$13,MATCH(SUBSTITUTE(C892,""Sell_"",""""),Upgrades!$B$3:$B$13,0))*1.15^(COUNTIF(C$4:C891,SUBSTITUTE(C892,""Sell_"",""""))-COUNTIF(C$4:C891,"&amp;"""Sell_""&amp;SUBSTITUTE(C892,""Sell_"",""""))))/2),ROUNDUP(INDEX(Upgrades!$C$3:$C$13,MATCH(C892,Upgrades!$B$3:$B$13,0))*1.15^(COUNTIF(C$4:C891,C892)-COUNTIF(C$4:C891,""Sell_""&amp;C892))))))"),"")</f>
        <v/>
      </c>
      <c r="H892" s="10" t="str">
        <f t="shared" si="3"/>
        <v/>
      </c>
      <c r="I892" s="68" t="str">
        <f t="shared" si="4"/>
        <v/>
      </c>
      <c r="J892" s="59" t="str">
        <f t="shared" si="5"/>
        <v/>
      </c>
      <c r="K892" s="69" t="str">
        <f t="shared" si="6"/>
        <v/>
      </c>
      <c r="L892" s="60" t="str">
        <f t="shared" si="7"/>
        <v/>
      </c>
      <c r="M892" s="61" t="str">
        <f>IFERROR(__xludf.DUMMYFUNCTION("IFS(AND(COUNTA(C892:C1673)=0,COUNTA(Q892:Q1673)=0),"""",OR(AND(K892&gt;=1000000000,OR(Y892&gt;=1000000000,COUNTA(Q892:Q1673)=0)),OR(Y892&gt;=1000000000,AND(COUNTA(C892:C1673)=0,P$3=TRUE))),
ROUNDDOWN((AB$1-AC$1)*MAX(INDEX(T$4:T1673,MATCH(LARGE(FILTER(Y$4:Y1673,Y$4"&amp;":Y1673&lt;1000000000),1),Y$4:Y1673)),INDEX(F$4:F1673,MATCH(LARGE(FILTER(K$4:K1673,K$4:K1673&lt;1000000000),1),K$4:K1673)))),AND(K892&lt;1000000000,COUNTA(C892:C1673)&gt;0,P$3=FALSE),
ROUNDDOWN(INDEX(Y$4:Y1673,MATCH(LARGE(FILTER(W$4:W1673,W$4:W1673&lt;=I892),1),W$4:W1673"&amp;"))+(I892-LARGE(FILTER(W$4:W1673,W$4:W1673&lt;=I892),1))*INDEX(T$4:T1673,MATCH(LARGE(FILTER(W$4:W1673,W$4:W1673&lt;=I892),1),W$4:W1673))-K892),1,
ROUNDDOWN(Y892-INDEX(K$4:K1673,MATCH(LARGE(FILTER(I$4:I1673,I$4:I1673&lt;=W892),1),I$4:I1673))-(W892-LARGE(FILTER(I$4:I"&amp;"1673,I$4:I1673&lt;=W892),1))*INDEX(F$4:F1673,MATCH(LARGE(FILTER(I$4:I1673,I$4:I1673&lt;=W892),1),I$4:I1673))))"),"")</f>
        <v/>
      </c>
      <c r="N892" s="60" t="str">
        <f t="shared" si="8"/>
        <v/>
      </c>
      <c r="O892" s="61" t="str">
        <f t="shared" si="9"/>
        <v/>
      </c>
      <c r="P892" s="56" t="str">
        <f t="shared" si="10"/>
        <v/>
      </c>
      <c r="R892" s="10"/>
      <c r="S892" s="59" t="str">
        <f t="array" ref="S892">IF(COUNTA(Q892:Q1673)=0,"",SUM((COUNTIF(Q$4:Q892,Upgrades!$B$3:$B$13)-COUNTIF(Q$4:Q892,"Sell_"&amp;Upgrades!$B$3:$B$13))*Upgrades!$D$3:$D$13))</f>
        <v/>
      </c>
      <c r="T892" s="66" t="str">
        <f>IFERROR(__xludf.DUMMYFUNCTION("IF(COUNTA(Q892:Q1673)=0,"""",IF(REGEXMATCH(INDEX(FILTER(Q$4:Q892,Q$4:Q892&lt;&gt;""""),ROWS(FILTER(Q$4:Q892,Q$4:Q892&lt;&gt;""""))),""^Sell_""),INDEX(FILTER(T$4:T891,Q$4:Q891&lt;&gt;""""),ROWS(FILTER(Q$4:Q891,Q$4:Q891&lt;&gt;""""))),$AD$5+S892))"),"")</f>
        <v/>
      </c>
      <c r="U892" s="10" t="str">
        <f>IFERROR(__xludf.DUMMYFUNCTION("IF(COUNTA(Q892:Q1673)=0,"""",IF(Q892="""",0,IF(REGEXMATCH(Q892,""^Sell_""),-ROUNDDOWN(ROUNDUP(INDEX(Upgrades!$C$3:$C$13,MATCH(SUBSTITUTE(Q892,""Sell_"",""""),Upgrades!$B$3:$B$13,0))*1.15^(COUNTIF(Q$4:Q891,SUBSTITUTE(Q892,""Sell_"",""""))-COUNTIF(Q$4:Q891,"&amp;"""Sell_""&amp;SUBSTITUTE(Q892,""Sell_"",""""))))/2),ROUNDUP(INDEX(Upgrades!$C$3:$C$13,MATCH(Q892,Upgrades!$B$3:$B$13,0))*1.15^(COUNTIF(Q$4:Q891,Q892)-COUNTIF(Q$4:Q891,""Sell_""&amp;Q892))))))"),"")</f>
        <v/>
      </c>
      <c r="V892" s="10" t="str">
        <f t="shared" si="11"/>
        <v/>
      </c>
      <c r="W892" s="68" t="str">
        <f t="shared" si="12"/>
        <v/>
      </c>
      <c r="X892" s="59" t="str">
        <f t="shared" si="13"/>
        <v/>
      </c>
      <c r="Y892" s="69" t="str">
        <f t="shared" si="14"/>
        <v/>
      </c>
      <c r="Z892" s="11"/>
    </row>
    <row r="893">
      <c r="A893" s="8"/>
      <c r="B893" s="56" t="str">
        <f t="shared" si="2"/>
        <v/>
      </c>
      <c r="C893" s="105"/>
      <c r="D893" s="10"/>
      <c r="E893" s="59" t="str">
        <f t="array" ref="E893">IF(COUNTA(C893:C1673)=0,"",SUM((COUNTIF(C$4:C893,Upgrades!$B$3:$B$13)-COUNTIF(C$4:C893,"Sell_"&amp;Upgrades!$B$3:$B$13))*Upgrades!$D$3:$D$13))</f>
        <v/>
      </c>
      <c r="F893" s="66" t="str">
        <f>IFERROR(__xludf.DUMMYFUNCTION("IF(COUNTA(C893:C1673)=0,"""",IF(REGEXMATCH(INDEX(FILTER(C$4:C893,C$4:C893&lt;&gt;""""),ROWS(FILTER(C$4:C893,C$4:C893&lt;&gt;""""))),""^Sell_""),INDEX(FILTER(F$4:F892,C$4:C892&lt;&gt;""""),ROWS(FILTER(C$4:C892,C$4:C892&lt;&gt;""""))),$AC$5+E893))"),"")</f>
        <v/>
      </c>
      <c r="G893" s="10" t="str">
        <f>IFERROR(__xludf.DUMMYFUNCTION("IF(COUNTA(C893:C1673)=0,"""",IF(C893="""",0,IF(REGEXMATCH(C893,""^Sell_""),-ROUNDDOWN(ROUNDUP(INDEX(Upgrades!$C$3:$C$13,MATCH(SUBSTITUTE(C893,""Sell_"",""""),Upgrades!$B$3:$B$13,0))*1.15^(COUNTIF(C$4:C892,SUBSTITUTE(C893,""Sell_"",""""))-COUNTIF(C$4:C892,"&amp;"""Sell_""&amp;SUBSTITUTE(C893,""Sell_"",""""))))/2),ROUNDUP(INDEX(Upgrades!$C$3:$C$13,MATCH(C893,Upgrades!$B$3:$B$13,0))*1.15^(COUNTIF(C$4:C892,C893)-COUNTIF(C$4:C892,""Sell_""&amp;C893))))))"),"")</f>
        <v/>
      </c>
      <c r="H893" s="10" t="str">
        <f t="shared" si="3"/>
        <v/>
      </c>
      <c r="I893" s="68" t="str">
        <f t="shared" si="4"/>
        <v/>
      </c>
      <c r="J893" s="59" t="str">
        <f t="shared" si="5"/>
        <v/>
      </c>
      <c r="K893" s="69" t="str">
        <f t="shared" si="6"/>
        <v/>
      </c>
      <c r="L893" s="60" t="str">
        <f t="shared" si="7"/>
        <v/>
      </c>
      <c r="M893" s="61" t="str">
        <f>IFERROR(__xludf.DUMMYFUNCTION("IFS(AND(COUNTA(C893:C1673)=0,COUNTA(Q893:Q1673)=0),"""",OR(AND(K893&gt;=1000000000,OR(Y893&gt;=1000000000,COUNTA(Q893:Q1673)=0)),OR(Y893&gt;=1000000000,AND(COUNTA(C893:C1673)=0,P$3=TRUE))),
ROUNDDOWN((AB$1-AC$1)*MAX(INDEX(T$4:T1673,MATCH(LARGE(FILTER(Y$4:Y1673,Y$4"&amp;":Y1673&lt;1000000000),1),Y$4:Y1673)),INDEX(F$4:F1673,MATCH(LARGE(FILTER(K$4:K1673,K$4:K1673&lt;1000000000),1),K$4:K1673)))),AND(K893&lt;1000000000,COUNTA(C893:C1673)&gt;0,P$3=FALSE),
ROUNDDOWN(INDEX(Y$4:Y1673,MATCH(LARGE(FILTER(W$4:W1673,W$4:W1673&lt;=I893),1),W$4:W1673"&amp;"))+(I893-LARGE(FILTER(W$4:W1673,W$4:W1673&lt;=I893),1))*INDEX(T$4:T1673,MATCH(LARGE(FILTER(W$4:W1673,W$4:W1673&lt;=I893),1),W$4:W1673))-K893),1,
ROUNDDOWN(Y893-INDEX(K$4:K1673,MATCH(LARGE(FILTER(I$4:I1673,I$4:I1673&lt;=W893),1),I$4:I1673))-(W893-LARGE(FILTER(I$4:I"&amp;"1673,I$4:I1673&lt;=W893),1))*INDEX(F$4:F1673,MATCH(LARGE(FILTER(I$4:I1673,I$4:I1673&lt;=W893),1),I$4:I1673))))"),"")</f>
        <v/>
      </c>
      <c r="N893" s="60" t="str">
        <f t="shared" si="8"/>
        <v/>
      </c>
      <c r="O893" s="61" t="str">
        <f t="shared" si="9"/>
        <v/>
      </c>
      <c r="P893" s="56" t="str">
        <f t="shared" si="10"/>
        <v/>
      </c>
      <c r="R893" s="10"/>
      <c r="S893" s="59" t="str">
        <f t="array" ref="S893">IF(COUNTA(Q893:Q1673)=0,"",SUM((COUNTIF(Q$4:Q893,Upgrades!$B$3:$B$13)-COUNTIF(Q$4:Q893,"Sell_"&amp;Upgrades!$B$3:$B$13))*Upgrades!$D$3:$D$13))</f>
        <v/>
      </c>
      <c r="T893" s="66" t="str">
        <f>IFERROR(__xludf.DUMMYFUNCTION("IF(COUNTA(Q893:Q1673)=0,"""",IF(REGEXMATCH(INDEX(FILTER(Q$4:Q893,Q$4:Q893&lt;&gt;""""),ROWS(FILTER(Q$4:Q893,Q$4:Q893&lt;&gt;""""))),""^Sell_""),INDEX(FILTER(T$4:T892,Q$4:Q892&lt;&gt;""""),ROWS(FILTER(Q$4:Q892,Q$4:Q892&lt;&gt;""""))),$AD$5+S893))"),"")</f>
        <v/>
      </c>
      <c r="U893" s="10" t="str">
        <f>IFERROR(__xludf.DUMMYFUNCTION("IF(COUNTA(Q893:Q1673)=0,"""",IF(Q893="""",0,IF(REGEXMATCH(Q893,""^Sell_""),-ROUNDDOWN(ROUNDUP(INDEX(Upgrades!$C$3:$C$13,MATCH(SUBSTITUTE(Q893,""Sell_"",""""),Upgrades!$B$3:$B$13,0))*1.15^(COUNTIF(Q$4:Q892,SUBSTITUTE(Q893,""Sell_"",""""))-COUNTIF(Q$4:Q892,"&amp;"""Sell_""&amp;SUBSTITUTE(Q893,""Sell_"",""""))))/2),ROUNDUP(INDEX(Upgrades!$C$3:$C$13,MATCH(Q893,Upgrades!$B$3:$B$13,0))*1.15^(COUNTIF(Q$4:Q892,Q893)-COUNTIF(Q$4:Q892,""Sell_""&amp;Q893))))))"),"")</f>
        <v/>
      </c>
      <c r="V893" s="10" t="str">
        <f t="shared" si="11"/>
        <v/>
      </c>
      <c r="W893" s="68" t="str">
        <f t="shared" si="12"/>
        <v/>
      </c>
      <c r="X893" s="59" t="str">
        <f t="shared" si="13"/>
        <v/>
      </c>
      <c r="Y893" s="69" t="str">
        <f t="shared" si="14"/>
        <v/>
      </c>
      <c r="Z893" s="11"/>
    </row>
    <row r="894">
      <c r="A894" s="8"/>
      <c r="B894" s="56" t="str">
        <f t="shared" si="2"/>
        <v/>
      </c>
      <c r="C894" s="105"/>
      <c r="D894" s="10"/>
      <c r="E894" s="59" t="str">
        <f t="array" ref="E894">IF(COUNTA(C894:C1673)=0,"",SUM((COUNTIF(C$4:C894,Upgrades!$B$3:$B$13)-COUNTIF(C$4:C894,"Sell_"&amp;Upgrades!$B$3:$B$13))*Upgrades!$D$3:$D$13))</f>
        <v/>
      </c>
      <c r="F894" s="66" t="str">
        <f>IFERROR(__xludf.DUMMYFUNCTION("IF(COUNTA(C894:C1673)=0,"""",IF(REGEXMATCH(INDEX(FILTER(C$4:C894,C$4:C894&lt;&gt;""""),ROWS(FILTER(C$4:C894,C$4:C894&lt;&gt;""""))),""^Sell_""),INDEX(FILTER(F$4:F893,C$4:C893&lt;&gt;""""),ROWS(FILTER(C$4:C893,C$4:C893&lt;&gt;""""))),$AC$5+E894))"),"")</f>
        <v/>
      </c>
      <c r="G894" s="10" t="str">
        <f>IFERROR(__xludf.DUMMYFUNCTION("IF(COUNTA(C894:C1673)=0,"""",IF(C894="""",0,IF(REGEXMATCH(C894,""^Sell_""),-ROUNDDOWN(ROUNDUP(INDEX(Upgrades!$C$3:$C$13,MATCH(SUBSTITUTE(C894,""Sell_"",""""),Upgrades!$B$3:$B$13,0))*1.15^(COUNTIF(C$4:C893,SUBSTITUTE(C894,""Sell_"",""""))-COUNTIF(C$4:C893,"&amp;"""Sell_""&amp;SUBSTITUTE(C894,""Sell_"",""""))))/2),ROUNDUP(INDEX(Upgrades!$C$3:$C$13,MATCH(C894,Upgrades!$B$3:$B$13,0))*1.15^(COUNTIF(C$4:C893,C894)-COUNTIF(C$4:C893,""Sell_""&amp;C894))))))"),"")</f>
        <v/>
      </c>
      <c r="H894" s="10" t="str">
        <f t="shared" si="3"/>
        <v/>
      </c>
      <c r="I894" s="68" t="str">
        <f t="shared" si="4"/>
        <v/>
      </c>
      <c r="J894" s="59" t="str">
        <f t="shared" si="5"/>
        <v/>
      </c>
      <c r="K894" s="69" t="str">
        <f t="shared" si="6"/>
        <v/>
      </c>
      <c r="L894" s="60" t="str">
        <f t="shared" si="7"/>
        <v/>
      </c>
      <c r="M894" s="61" t="str">
        <f>IFERROR(__xludf.DUMMYFUNCTION("IFS(AND(COUNTA(C894:C1673)=0,COUNTA(Q894:Q1673)=0),"""",OR(AND(K894&gt;=1000000000,OR(Y894&gt;=1000000000,COUNTA(Q894:Q1673)=0)),OR(Y894&gt;=1000000000,AND(COUNTA(C894:C1673)=0,P$3=TRUE))),
ROUNDDOWN((AB$1-AC$1)*MAX(INDEX(T$4:T1673,MATCH(LARGE(FILTER(Y$4:Y1673,Y$4"&amp;":Y1673&lt;1000000000),1),Y$4:Y1673)),INDEX(F$4:F1673,MATCH(LARGE(FILTER(K$4:K1673,K$4:K1673&lt;1000000000),1),K$4:K1673)))),AND(K894&lt;1000000000,COUNTA(C894:C1673)&gt;0,P$3=FALSE),
ROUNDDOWN(INDEX(Y$4:Y1673,MATCH(LARGE(FILTER(W$4:W1673,W$4:W1673&lt;=I894),1),W$4:W1673"&amp;"))+(I894-LARGE(FILTER(W$4:W1673,W$4:W1673&lt;=I894),1))*INDEX(T$4:T1673,MATCH(LARGE(FILTER(W$4:W1673,W$4:W1673&lt;=I894),1),W$4:W1673))-K894),1,
ROUNDDOWN(Y894-INDEX(K$4:K1673,MATCH(LARGE(FILTER(I$4:I1673,I$4:I1673&lt;=W894),1),I$4:I1673))-(W894-LARGE(FILTER(I$4:I"&amp;"1673,I$4:I1673&lt;=W894),1))*INDEX(F$4:F1673,MATCH(LARGE(FILTER(I$4:I1673,I$4:I1673&lt;=W894),1),I$4:I1673))))"),"")</f>
        <v/>
      </c>
      <c r="N894" s="60" t="str">
        <f t="shared" si="8"/>
        <v/>
      </c>
      <c r="O894" s="61" t="str">
        <f t="shared" si="9"/>
        <v/>
      </c>
      <c r="P894" s="56" t="str">
        <f t="shared" si="10"/>
        <v/>
      </c>
      <c r="R894" s="10"/>
      <c r="S894" s="59" t="str">
        <f t="array" ref="S894">IF(COUNTA(Q894:Q1673)=0,"",SUM((COUNTIF(Q$4:Q894,Upgrades!$B$3:$B$13)-COUNTIF(Q$4:Q894,"Sell_"&amp;Upgrades!$B$3:$B$13))*Upgrades!$D$3:$D$13))</f>
        <v/>
      </c>
      <c r="T894" s="66" t="str">
        <f>IFERROR(__xludf.DUMMYFUNCTION("IF(COUNTA(Q894:Q1673)=0,"""",IF(REGEXMATCH(INDEX(FILTER(Q$4:Q894,Q$4:Q894&lt;&gt;""""),ROWS(FILTER(Q$4:Q894,Q$4:Q894&lt;&gt;""""))),""^Sell_""),INDEX(FILTER(T$4:T893,Q$4:Q893&lt;&gt;""""),ROWS(FILTER(Q$4:Q893,Q$4:Q893&lt;&gt;""""))),$AD$5+S894))"),"")</f>
        <v/>
      </c>
      <c r="U894" s="10" t="str">
        <f>IFERROR(__xludf.DUMMYFUNCTION("IF(COUNTA(Q894:Q1673)=0,"""",IF(Q894="""",0,IF(REGEXMATCH(Q894,""^Sell_""),-ROUNDDOWN(ROUNDUP(INDEX(Upgrades!$C$3:$C$13,MATCH(SUBSTITUTE(Q894,""Sell_"",""""),Upgrades!$B$3:$B$13,0))*1.15^(COUNTIF(Q$4:Q893,SUBSTITUTE(Q894,""Sell_"",""""))-COUNTIF(Q$4:Q893,"&amp;"""Sell_""&amp;SUBSTITUTE(Q894,""Sell_"",""""))))/2),ROUNDUP(INDEX(Upgrades!$C$3:$C$13,MATCH(Q894,Upgrades!$B$3:$B$13,0))*1.15^(COUNTIF(Q$4:Q893,Q894)-COUNTIF(Q$4:Q893,""Sell_""&amp;Q894))))))"),"")</f>
        <v/>
      </c>
      <c r="V894" s="10" t="str">
        <f t="shared" si="11"/>
        <v/>
      </c>
      <c r="W894" s="68" t="str">
        <f t="shared" si="12"/>
        <v/>
      </c>
      <c r="X894" s="59" t="str">
        <f t="shared" si="13"/>
        <v/>
      </c>
      <c r="Y894" s="69" t="str">
        <f t="shared" si="14"/>
        <v/>
      </c>
      <c r="Z894" s="11"/>
    </row>
    <row r="895">
      <c r="A895" s="8"/>
      <c r="B895" s="56" t="str">
        <f t="shared" si="2"/>
        <v/>
      </c>
      <c r="C895" s="105"/>
      <c r="D895" s="10"/>
      <c r="E895" s="59" t="str">
        <f t="array" ref="E895">IF(COUNTA(C895:C1673)=0,"",SUM((COUNTIF(C$4:C895,Upgrades!$B$3:$B$13)-COUNTIF(C$4:C895,"Sell_"&amp;Upgrades!$B$3:$B$13))*Upgrades!$D$3:$D$13))</f>
        <v/>
      </c>
      <c r="F895" s="66" t="str">
        <f>IFERROR(__xludf.DUMMYFUNCTION("IF(COUNTA(C895:C1673)=0,"""",IF(REGEXMATCH(INDEX(FILTER(C$4:C895,C$4:C895&lt;&gt;""""),ROWS(FILTER(C$4:C895,C$4:C895&lt;&gt;""""))),""^Sell_""),INDEX(FILTER(F$4:F894,C$4:C894&lt;&gt;""""),ROWS(FILTER(C$4:C894,C$4:C894&lt;&gt;""""))),$AC$5+E895))"),"")</f>
        <v/>
      </c>
      <c r="G895" s="10" t="str">
        <f>IFERROR(__xludf.DUMMYFUNCTION("IF(COUNTA(C895:C1673)=0,"""",IF(C895="""",0,IF(REGEXMATCH(C895,""^Sell_""),-ROUNDDOWN(ROUNDUP(INDEX(Upgrades!$C$3:$C$13,MATCH(SUBSTITUTE(C895,""Sell_"",""""),Upgrades!$B$3:$B$13,0))*1.15^(COUNTIF(C$4:C894,SUBSTITUTE(C895,""Sell_"",""""))-COUNTIF(C$4:C894,"&amp;"""Sell_""&amp;SUBSTITUTE(C895,""Sell_"",""""))))/2),ROUNDUP(INDEX(Upgrades!$C$3:$C$13,MATCH(C895,Upgrades!$B$3:$B$13,0))*1.15^(COUNTIF(C$4:C894,C895)-COUNTIF(C$4:C894,""Sell_""&amp;C895))))))"),"")</f>
        <v/>
      </c>
      <c r="H895" s="10" t="str">
        <f t="shared" si="3"/>
        <v/>
      </c>
      <c r="I895" s="68" t="str">
        <f t="shared" si="4"/>
        <v/>
      </c>
      <c r="J895" s="59" t="str">
        <f t="shared" si="5"/>
        <v/>
      </c>
      <c r="K895" s="69" t="str">
        <f t="shared" si="6"/>
        <v/>
      </c>
      <c r="L895" s="60" t="str">
        <f t="shared" si="7"/>
        <v/>
      </c>
      <c r="M895" s="61" t="str">
        <f>IFERROR(__xludf.DUMMYFUNCTION("IFS(AND(COUNTA(C895:C1673)=0,COUNTA(Q895:Q1673)=0),"""",OR(AND(K895&gt;=1000000000,OR(Y895&gt;=1000000000,COUNTA(Q895:Q1673)=0)),OR(Y895&gt;=1000000000,AND(COUNTA(C895:C1673)=0,P$3=TRUE))),
ROUNDDOWN((AB$1-AC$1)*MAX(INDEX(T$4:T1673,MATCH(LARGE(FILTER(Y$4:Y1673,Y$4"&amp;":Y1673&lt;1000000000),1),Y$4:Y1673)),INDEX(F$4:F1673,MATCH(LARGE(FILTER(K$4:K1673,K$4:K1673&lt;1000000000),1),K$4:K1673)))),AND(K895&lt;1000000000,COUNTA(C895:C1673)&gt;0,P$3=FALSE),
ROUNDDOWN(INDEX(Y$4:Y1673,MATCH(LARGE(FILTER(W$4:W1673,W$4:W1673&lt;=I895),1),W$4:W1673"&amp;"))+(I895-LARGE(FILTER(W$4:W1673,W$4:W1673&lt;=I895),1))*INDEX(T$4:T1673,MATCH(LARGE(FILTER(W$4:W1673,W$4:W1673&lt;=I895),1),W$4:W1673))-K895),1,
ROUNDDOWN(Y895-INDEX(K$4:K1673,MATCH(LARGE(FILTER(I$4:I1673,I$4:I1673&lt;=W895),1),I$4:I1673))-(W895-LARGE(FILTER(I$4:I"&amp;"1673,I$4:I1673&lt;=W895),1))*INDEX(F$4:F1673,MATCH(LARGE(FILTER(I$4:I1673,I$4:I1673&lt;=W895),1),I$4:I1673))))"),"")</f>
        <v/>
      </c>
      <c r="N895" s="60" t="str">
        <f t="shared" si="8"/>
        <v/>
      </c>
      <c r="O895" s="61" t="str">
        <f t="shared" si="9"/>
        <v/>
      </c>
      <c r="P895" s="56" t="str">
        <f t="shared" si="10"/>
        <v/>
      </c>
      <c r="R895" s="10"/>
      <c r="S895" s="59" t="str">
        <f t="array" ref="S895">IF(COUNTA(Q895:Q1673)=0,"",SUM((COUNTIF(Q$4:Q895,Upgrades!$B$3:$B$13)-COUNTIF(Q$4:Q895,"Sell_"&amp;Upgrades!$B$3:$B$13))*Upgrades!$D$3:$D$13))</f>
        <v/>
      </c>
      <c r="T895" s="66" t="str">
        <f>IFERROR(__xludf.DUMMYFUNCTION("IF(COUNTA(Q895:Q1673)=0,"""",IF(REGEXMATCH(INDEX(FILTER(Q$4:Q895,Q$4:Q895&lt;&gt;""""),ROWS(FILTER(Q$4:Q895,Q$4:Q895&lt;&gt;""""))),""^Sell_""),INDEX(FILTER(T$4:T894,Q$4:Q894&lt;&gt;""""),ROWS(FILTER(Q$4:Q894,Q$4:Q894&lt;&gt;""""))),$AD$5+S895))"),"")</f>
        <v/>
      </c>
      <c r="U895" s="10" t="str">
        <f>IFERROR(__xludf.DUMMYFUNCTION("IF(COUNTA(Q895:Q1673)=0,"""",IF(Q895="""",0,IF(REGEXMATCH(Q895,""^Sell_""),-ROUNDDOWN(ROUNDUP(INDEX(Upgrades!$C$3:$C$13,MATCH(SUBSTITUTE(Q895,""Sell_"",""""),Upgrades!$B$3:$B$13,0))*1.15^(COUNTIF(Q$4:Q894,SUBSTITUTE(Q895,""Sell_"",""""))-COUNTIF(Q$4:Q894,"&amp;"""Sell_""&amp;SUBSTITUTE(Q895,""Sell_"",""""))))/2),ROUNDUP(INDEX(Upgrades!$C$3:$C$13,MATCH(Q895,Upgrades!$B$3:$B$13,0))*1.15^(COUNTIF(Q$4:Q894,Q895)-COUNTIF(Q$4:Q894,""Sell_""&amp;Q895))))))"),"")</f>
        <v/>
      </c>
      <c r="V895" s="10" t="str">
        <f t="shared" si="11"/>
        <v/>
      </c>
      <c r="W895" s="68" t="str">
        <f t="shared" si="12"/>
        <v/>
      </c>
      <c r="X895" s="59" t="str">
        <f t="shared" si="13"/>
        <v/>
      </c>
      <c r="Y895" s="69" t="str">
        <f t="shared" si="14"/>
        <v/>
      </c>
      <c r="Z895" s="11"/>
    </row>
    <row r="896">
      <c r="A896" s="8"/>
      <c r="B896" s="56" t="str">
        <f t="shared" si="2"/>
        <v/>
      </c>
      <c r="C896" s="105"/>
      <c r="D896" s="10"/>
      <c r="E896" s="59" t="str">
        <f t="array" ref="E896">IF(COUNTA(C896:C1673)=0,"",SUM((COUNTIF(C$4:C896,Upgrades!$B$3:$B$13)-COUNTIF(C$4:C896,"Sell_"&amp;Upgrades!$B$3:$B$13))*Upgrades!$D$3:$D$13))</f>
        <v/>
      </c>
      <c r="F896" s="66" t="str">
        <f>IFERROR(__xludf.DUMMYFUNCTION("IF(COUNTA(C896:C1673)=0,"""",IF(REGEXMATCH(INDEX(FILTER(C$4:C896,C$4:C896&lt;&gt;""""),ROWS(FILTER(C$4:C896,C$4:C896&lt;&gt;""""))),""^Sell_""),INDEX(FILTER(F$4:F895,C$4:C895&lt;&gt;""""),ROWS(FILTER(C$4:C895,C$4:C895&lt;&gt;""""))),$AC$5+E896))"),"")</f>
        <v/>
      </c>
      <c r="G896" s="10" t="str">
        <f>IFERROR(__xludf.DUMMYFUNCTION("IF(COUNTA(C896:C1673)=0,"""",IF(C896="""",0,IF(REGEXMATCH(C896,""^Sell_""),-ROUNDDOWN(ROUNDUP(INDEX(Upgrades!$C$3:$C$13,MATCH(SUBSTITUTE(C896,""Sell_"",""""),Upgrades!$B$3:$B$13,0))*1.15^(COUNTIF(C$4:C895,SUBSTITUTE(C896,""Sell_"",""""))-COUNTIF(C$4:C895,"&amp;"""Sell_""&amp;SUBSTITUTE(C896,""Sell_"",""""))))/2),ROUNDUP(INDEX(Upgrades!$C$3:$C$13,MATCH(C896,Upgrades!$B$3:$B$13,0))*1.15^(COUNTIF(C$4:C895,C896)-COUNTIF(C$4:C895,""Sell_""&amp;C896))))))"),"")</f>
        <v/>
      </c>
      <c r="H896" s="10" t="str">
        <f t="shared" si="3"/>
        <v/>
      </c>
      <c r="I896" s="68" t="str">
        <f t="shared" si="4"/>
        <v/>
      </c>
      <c r="J896" s="59" t="str">
        <f t="shared" si="5"/>
        <v/>
      </c>
      <c r="K896" s="69" t="str">
        <f t="shared" si="6"/>
        <v/>
      </c>
      <c r="L896" s="60" t="str">
        <f t="shared" si="7"/>
        <v/>
      </c>
      <c r="M896" s="61" t="str">
        <f>IFERROR(__xludf.DUMMYFUNCTION("IFS(AND(COUNTA(C896:C1673)=0,COUNTA(Q896:Q1673)=0),"""",OR(AND(K896&gt;=1000000000,OR(Y896&gt;=1000000000,COUNTA(Q896:Q1673)=0)),OR(Y896&gt;=1000000000,AND(COUNTA(C896:C1673)=0,P$3=TRUE))),
ROUNDDOWN((AB$1-AC$1)*MAX(INDEX(T$4:T1673,MATCH(LARGE(FILTER(Y$4:Y1673,Y$4"&amp;":Y1673&lt;1000000000),1),Y$4:Y1673)),INDEX(F$4:F1673,MATCH(LARGE(FILTER(K$4:K1673,K$4:K1673&lt;1000000000),1),K$4:K1673)))),AND(K896&lt;1000000000,COUNTA(C896:C1673)&gt;0,P$3=FALSE),
ROUNDDOWN(INDEX(Y$4:Y1673,MATCH(LARGE(FILTER(W$4:W1673,W$4:W1673&lt;=I896),1),W$4:W1673"&amp;"))+(I896-LARGE(FILTER(W$4:W1673,W$4:W1673&lt;=I896),1))*INDEX(T$4:T1673,MATCH(LARGE(FILTER(W$4:W1673,W$4:W1673&lt;=I896),1),W$4:W1673))-K896),1,
ROUNDDOWN(Y896-INDEX(K$4:K1673,MATCH(LARGE(FILTER(I$4:I1673,I$4:I1673&lt;=W896),1),I$4:I1673))-(W896-LARGE(FILTER(I$4:I"&amp;"1673,I$4:I1673&lt;=W896),1))*INDEX(F$4:F1673,MATCH(LARGE(FILTER(I$4:I1673,I$4:I1673&lt;=W896),1),I$4:I1673))))"),"")</f>
        <v/>
      </c>
      <c r="N896" s="60" t="str">
        <f t="shared" si="8"/>
        <v/>
      </c>
      <c r="O896" s="61" t="str">
        <f t="shared" si="9"/>
        <v/>
      </c>
      <c r="P896" s="56" t="str">
        <f t="shared" si="10"/>
        <v/>
      </c>
      <c r="R896" s="10"/>
      <c r="S896" s="59" t="str">
        <f t="array" ref="S896">IF(COUNTA(Q896:Q1673)=0,"",SUM((COUNTIF(Q$4:Q896,Upgrades!$B$3:$B$13)-COUNTIF(Q$4:Q896,"Sell_"&amp;Upgrades!$B$3:$B$13))*Upgrades!$D$3:$D$13))</f>
        <v/>
      </c>
      <c r="T896" s="66" t="str">
        <f>IFERROR(__xludf.DUMMYFUNCTION("IF(COUNTA(Q896:Q1673)=0,"""",IF(REGEXMATCH(INDEX(FILTER(Q$4:Q896,Q$4:Q896&lt;&gt;""""),ROWS(FILTER(Q$4:Q896,Q$4:Q896&lt;&gt;""""))),""^Sell_""),INDEX(FILTER(T$4:T895,Q$4:Q895&lt;&gt;""""),ROWS(FILTER(Q$4:Q895,Q$4:Q895&lt;&gt;""""))),$AD$5+S896))"),"")</f>
        <v/>
      </c>
      <c r="U896" s="10" t="str">
        <f>IFERROR(__xludf.DUMMYFUNCTION("IF(COUNTA(Q896:Q1673)=0,"""",IF(Q896="""",0,IF(REGEXMATCH(Q896,""^Sell_""),-ROUNDDOWN(ROUNDUP(INDEX(Upgrades!$C$3:$C$13,MATCH(SUBSTITUTE(Q896,""Sell_"",""""),Upgrades!$B$3:$B$13,0))*1.15^(COUNTIF(Q$4:Q895,SUBSTITUTE(Q896,""Sell_"",""""))-COUNTIF(Q$4:Q895,"&amp;"""Sell_""&amp;SUBSTITUTE(Q896,""Sell_"",""""))))/2),ROUNDUP(INDEX(Upgrades!$C$3:$C$13,MATCH(Q896,Upgrades!$B$3:$B$13,0))*1.15^(COUNTIF(Q$4:Q895,Q896)-COUNTIF(Q$4:Q895,""Sell_""&amp;Q896))))))"),"")</f>
        <v/>
      </c>
      <c r="V896" s="10" t="str">
        <f t="shared" si="11"/>
        <v/>
      </c>
      <c r="W896" s="68" t="str">
        <f t="shared" si="12"/>
        <v/>
      </c>
      <c r="X896" s="59" t="str">
        <f t="shared" si="13"/>
        <v/>
      </c>
      <c r="Y896" s="69" t="str">
        <f t="shared" si="14"/>
        <v/>
      </c>
      <c r="Z896" s="11"/>
    </row>
    <row r="897">
      <c r="A897" s="8"/>
      <c r="B897" s="56" t="str">
        <f t="shared" si="2"/>
        <v/>
      </c>
      <c r="C897" s="105"/>
      <c r="D897" s="10"/>
      <c r="E897" s="59" t="str">
        <f t="array" ref="E897">IF(COUNTA(C897:C1673)=0,"",SUM((COUNTIF(C$4:C897,Upgrades!$B$3:$B$13)-COUNTIF(C$4:C897,"Sell_"&amp;Upgrades!$B$3:$B$13))*Upgrades!$D$3:$D$13))</f>
        <v/>
      </c>
      <c r="F897" s="66" t="str">
        <f>IFERROR(__xludf.DUMMYFUNCTION("IF(COUNTA(C897:C1673)=0,"""",IF(REGEXMATCH(INDEX(FILTER(C$4:C897,C$4:C897&lt;&gt;""""),ROWS(FILTER(C$4:C897,C$4:C897&lt;&gt;""""))),""^Sell_""),INDEX(FILTER(F$4:F896,C$4:C896&lt;&gt;""""),ROWS(FILTER(C$4:C896,C$4:C896&lt;&gt;""""))),$AC$5+E897))"),"")</f>
        <v/>
      </c>
      <c r="G897" s="10" t="str">
        <f>IFERROR(__xludf.DUMMYFUNCTION("IF(COUNTA(C897:C1673)=0,"""",IF(C897="""",0,IF(REGEXMATCH(C897,""^Sell_""),-ROUNDDOWN(ROUNDUP(INDEX(Upgrades!$C$3:$C$13,MATCH(SUBSTITUTE(C897,""Sell_"",""""),Upgrades!$B$3:$B$13,0))*1.15^(COUNTIF(C$4:C896,SUBSTITUTE(C897,""Sell_"",""""))-COUNTIF(C$4:C896,"&amp;"""Sell_""&amp;SUBSTITUTE(C897,""Sell_"",""""))))/2),ROUNDUP(INDEX(Upgrades!$C$3:$C$13,MATCH(C897,Upgrades!$B$3:$B$13,0))*1.15^(COUNTIF(C$4:C896,C897)-COUNTIF(C$4:C896,""Sell_""&amp;C897))))))"),"")</f>
        <v/>
      </c>
      <c r="H897" s="10" t="str">
        <f t="shared" si="3"/>
        <v/>
      </c>
      <c r="I897" s="68" t="str">
        <f t="shared" si="4"/>
        <v/>
      </c>
      <c r="J897" s="59" t="str">
        <f t="shared" si="5"/>
        <v/>
      </c>
      <c r="K897" s="69" t="str">
        <f t="shared" si="6"/>
        <v/>
      </c>
      <c r="L897" s="60" t="str">
        <f t="shared" si="7"/>
        <v/>
      </c>
      <c r="M897" s="61" t="str">
        <f>IFERROR(__xludf.DUMMYFUNCTION("IFS(AND(COUNTA(C897:C1673)=0,COUNTA(Q897:Q1673)=0),"""",OR(AND(K897&gt;=1000000000,OR(Y897&gt;=1000000000,COUNTA(Q897:Q1673)=0)),OR(Y897&gt;=1000000000,AND(COUNTA(C897:C1673)=0,P$3=TRUE))),
ROUNDDOWN((AB$1-AC$1)*MAX(INDEX(T$4:T1673,MATCH(LARGE(FILTER(Y$4:Y1673,Y$4"&amp;":Y1673&lt;1000000000),1),Y$4:Y1673)),INDEX(F$4:F1673,MATCH(LARGE(FILTER(K$4:K1673,K$4:K1673&lt;1000000000),1),K$4:K1673)))),AND(K897&lt;1000000000,COUNTA(C897:C1673)&gt;0,P$3=FALSE),
ROUNDDOWN(INDEX(Y$4:Y1673,MATCH(LARGE(FILTER(W$4:W1673,W$4:W1673&lt;=I897),1),W$4:W1673"&amp;"))+(I897-LARGE(FILTER(W$4:W1673,W$4:W1673&lt;=I897),1))*INDEX(T$4:T1673,MATCH(LARGE(FILTER(W$4:W1673,W$4:W1673&lt;=I897),1),W$4:W1673))-K897),1,
ROUNDDOWN(Y897-INDEX(K$4:K1673,MATCH(LARGE(FILTER(I$4:I1673,I$4:I1673&lt;=W897),1),I$4:I1673))-(W897-LARGE(FILTER(I$4:I"&amp;"1673,I$4:I1673&lt;=W897),1))*INDEX(F$4:F1673,MATCH(LARGE(FILTER(I$4:I1673,I$4:I1673&lt;=W897),1),I$4:I1673))))"),"")</f>
        <v/>
      </c>
      <c r="N897" s="60" t="str">
        <f t="shared" si="8"/>
        <v/>
      </c>
      <c r="O897" s="61" t="str">
        <f t="shared" si="9"/>
        <v/>
      </c>
      <c r="P897" s="56" t="str">
        <f t="shared" si="10"/>
        <v/>
      </c>
      <c r="R897" s="10"/>
      <c r="S897" s="59" t="str">
        <f t="array" ref="S897">IF(COUNTA(Q897:Q1673)=0,"",SUM((COUNTIF(Q$4:Q897,Upgrades!$B$3:$B$13)-COUNTIF(Q$4:Q897,"Sell_"&amp;Upgrades!$B$3:$B$13))*Upgrades!$D$3:$D$13))</f>
        <v/>
      </c>
      <c r="T897" s="66" t="str">
        <f>IFERROR(__xludf.DUMMYFUNCTION("IF(COUNTA(Q897:Q1673)=0,"""",IF(REGEXMATCH(INDEX(FILTER(Q$4:Q897,Q$4:Q897&lt;&gt;""""),ROWS(FILTER(Q$4:Q897,Q$4:Q897&lt;&gt;""""))),""^Sell_""),INDEX(FILTER(T$4:T896,Q$4:Q896&lt;&gt;""""),ROWS(FILTER(Q$4:Q896,Q$4:Q896&lt;&gt;""""))),$AD$5+S897))"),"")</f>
        <v/>
      </c>
      <c r="U897" s="10" t="str">
        <f>IFERROR(__xludf.DUMMYFUNCTION("IF(COUNTA(Q897:Q1673)=0,"""",IF(Q897="""",0,IF(REGEXMATCH(Q897,""^Sell_""),-ROUNDDOWN(ROUNDUP(INDEX(Upgrades!$C$3:$C$13,MATCH(SUBSTITUTE(Q897,""Sell_"",""""),Upgrades!$B$3:$B$13,0))*1.15^(COUNTIF(Q$4:Q896,SUBSTITUTE(Q897,""Sell_"",""""))-COUNTIF(Q$4:Q896,"&amp;"""Sell_""&amp;SUBSTITUTE(Q897,""Sell_"",""""))))/2),ROUNDUP(INDEX(Upgrades!$C$3:$C$13,MATCH(Q897,Upgrades!$B$3:$B$13,0))*1.15^(COUNTIF(Q$4:Q896,Q897)-COUNTIF(Q$4:Q896,""Sell_""&amp;Q897))))))"),"")</f>
        <v/>
      </c>
      <c r="V897" s="10" t="str">
        <f t="shared" si="11"/>
        <v/>
      </c>
      <c r="W897" s="68" t="str">
        <f t="shared" si="12"/>
        <v/>
      </c>
      <c r="X897" s="59" t="str">
        <f t="shared" si="13"/>
        <v/>
      </c>
      <c r="Y897" s="69" t="str">
        <f t="shared" si="14"/>
        <v/>
      </c>
      <c r="Z897" s="11"/>
    </row>
    <row r="898">
      <c r="A898" s="8"/>
      <c r="B898" s="56" t="str">
        <f t="shared" si="2"/>
        <v/>
      </c>
      <c r="C898" s="105"/>
      <c r="D898" s="10"/>
      <c r="E898" s="59" t="str">
        <f t="array" ref="E898">IF(COUNTA(C898:C1673)=0,"",SUM((COUNTIF(C$4:C898,Upgrades!$B$3:$B$13)-COUNTIF(C$4:C898,"Sell_"&amp;Upgrades!$B$3:$B$13))*Upgrades!$D$3:$D$13))</f>
        <v/>
      </c>
      <c r="F898" s="66" t="str">
        <f>IFERROR(__xludf.DUMMYFUNCTION("IF(COUNTA(C898:C1673)=0,"""",IF(REGEXMATCH(INDEX(FILTER(C$4:C898,C$4:C898&lt;&gt;""""),ROWS(FILTER(C$4:C898,C$4:C898&lt;&gt;""""))),""^Sell_""),INDEX(FILTER(F$4:F897,C$4:C897&lt;&gt;""""),ROWS(FILTER(C$4:C897,C$4:C897&lt;&gt;""""))),$AC$5+E898))"),"")</f>
        <v/>
      </c>
      <c r="G898" s="10" t="str">
        <f>IFERROR(__xludf.DUMMYFUNCTION("IF(COUNTA(C898:C1673)=0,"""",IF(C898="""",0,IF(REGEXMATCH(C898,""^Sell_""),-ROUNDDOWN(ROUNDUP(INDEX(Upgrades!$C$3:$C$13,MATCH(SUBSTITUTE(C898,""Sell_"",""""),Upgrades!$B$3:$B$13,0))*1.15^(COUNTIF(C$4:C897,SUBSTITUTE(C898,""Sell_"",""""))-COUNTIF(C$4:C897,"&amp;"""Sell_""&amp;SUBSTITUTE(C898,""Sell_"",""""))))/2),ROUNDUP(INDEX(Upgrades!$C$3:$C$13,MATCH(C898,Upgrades!$B$3:$B$13,0))*1.15^(COUNTIF(C$4:C897,C898)-COUNTIF(C$4:C897,""Sell_""&amp;C898))))))"),"")</f>
        <v/>
      </c>
      <c r="H898" s="10" t="str">
        <f t="shared" si="3"/>
        <v/>
      </c>
      <c r="I898" s="68" t="str">
        <f t="shared" si="4"/>
        <v/>
      </c>
      <c r="J898" s="59" t="str">
        <f t="shared" si="5"/>
        <v/>
      </c>
      <c r="K898" s="69" t="str">
        <f t="shared" si="6"/>
        <v/>
      </c>
      <c r="L898" s="60" t="str">
        <f t="shared" si="7"/>
        <v/>
      </c>
      <c r="M898" s="61" t="str">
        <f>IFERROR(__xludf.DUMMYFUNCTION("IFS(AND(COUNTA(C898:C1673)=0,COUNTA(Q898:Q1673)=0),"""",OR(AND(K898&gt;=1000000000,OR(Y898&gt;=1000000000,COUNTA(Q898:Q1673)=0)),OR(Y898&gt;=1000000000,AND(COUNTA(C898:C1673)=0,P$3=TRUE))),
ROUNDDOWN((AB$1-AC$1)*MAX(INDEX(T$4:T1673,MATCH(LARGE(FILTER(Y$4:Y1673,Y$4"&amp;":Y1673&lt;1000000000),1),Y$4:Y1673)),INDEX(F$4:F1673,MATCH(LARGE(FILTER(K$4:K1673,K$4:K1673&lt;1000000000),1),K$4:K1673)))),AND(K898&lt;1000000000,COUNTA(C898:C1673)&gt;0,P$3=FALSE),
ROUNDDOWN(INDEX(Y$4:Y1673,MATCH(LARGE(FILTER(W$4:W1673,W$4:W1673&lt;=I898),1),W$4:W1673"&amp;"))+(I898-LARGE(FILTER(W$4:W1673,W$4:W1673&lt;=I898),1))*INDEX(T$4:T1673,MATCH(LARGE(FILTER(W$4:W1673,W$4:W1673&lt;=I898),1),W$4:W1673))-K898),1,
ROUNDDOWN(Y898-INDEX(K$4:K1673,MATCH(LARGE(FILTER(I$4:I1673,I$4:I1673&lt;=W898),1),I$4:I1673))-(W898-LARGE(FILTER(I$4:I"&amp;"1673,I$4:I1673&lt;=W898),1))*INDEX(F$4:F1673,MATCH(LARGE(FILTER(I$4:I1673,I$4:I1673&lt;=W898),1),I$4:I1673))))"),"")</f>
        <v/>
      </c>
      <c r="N898" s="60" t="str">
        <f t="shared" si="8"/>
        <v/>
      </c>
      <c r="O898" s="61" t="str">
        <f t="shared" si="9"/>
        <v/>
      </c>
      <c r="P898" s="56" t="str">
        <f t="shared" si="10"/>
        <v/>
      </c>
      <c r="R898" s="10"/>
      <c r="S898" s="59" t="str">
        <f t="array" ref="S898">IF(COUNTA(Q898:Q1673)=0,"",SUM((COUNTIF(Q$4:Q898,Upgrades!$B$3:$B$13)-COUNTIF(Q$4:Q898,"Sell_"&amp;Upgrades!$B$3:$B$13))*Upgrades!$D$3:$D$13))</f>
        <v/>
      </c>
      <c r="T898" s="66" t="str">
        <f>IFERROR(__xludf.DUMMYFUNCTION("IF(COUNTA(Q898:Q1673)=0,"""",IF(REGEXMATCH(INDEX(FILTER(Q$4:Q898,Q$4:Q898&lt;&gt;""""),ROWS(FILTER(Q$4:Q898,Q$4:Q898&lt;&gt;""""))),""^Sell_""),INDEX(FILTER(T$4:T897,Q$4:Q897&lt;&gt;""""),ROWS(FILTER(Q$4:Q897,Q$4:Q897&lt;&gt;""""))),$AD$5+S898))"),"")</f>
        <v/>
      </c>
      <c r="U898" s="10" t="str">
        <f>IFERROR(__xludf.DUMMYFUNCTION("IF(COUNTA(Q898:Q1673)=0,"""",IF(Q898="""",0,IF(REGEXMATCH(Q898,""^Sell_""),-ROUNDDOWN(ROUNDUP(INDEX(Upgrades!$C$3:$C$13,MATCH(SUBSTITUTE(Q898,""Sell_"",""""),Upgrades!$B$3:$B$13,0))*1.15^(COUNTIF(Q$4:Q897,SUBSTITUTE(Q898,""Sell_"",""""))-COUNTIF(Q$4:Q897,"&amp;"""Sell_""&amp;SUBSTITUTE(Q898,""Sell_"",""""))))/2),ROUNDUP(INDEX(Upgrades!$C$3:$C$13,MATCH(Q898,Upgrades!$B$3:$B$13,0))*1.15^(COUNTIF(Q$4:Q897,Q898)-COUNTIF(Q$4:Q897,""Sell_""&amp;Q898))))))"),"")</f>
        <v/>
      </c>
      <c r="V898" s="10" t="str">
        <f t="shared" si="11"/>
        <v/>
      </c>
      <c r="W898" s="68" t="str">
        <f t="shared" si="12"/>
        <v/>
      </c>
      <c r="X898" s="59" t="str">
        <f t="shared" si="13"/>
        <v/>
      </c>
      <c r="Y898" s="69" t="str">
        <f t="shared" si="14"/>
        <v/>
      </c>
      <c r="Z898" s="11"/>
    </row>
    <row r="899">
      <c r="A899" s="8"/>
      <c r="B899" s="56" t="str">
        <f t="shared" si="2"/>
        <v/>
      </c>
      <c r="C899" s="105"/>
      <c r="D899" s="10"/>
      <c r="E899" s="59" t="str">
        <f t="array" ref="E899">IF(COUNTA(C899:C1673)=0,"",SUM((COUNTIF(C$4:C899,Upgrades!$B$3:$B$13)-COUNTIF(C$4:C899,"Sell_"&amp;Upgrades!$B$3:$B$13))*Upgrades!$D$3:$D$13))</f>
        <v/>
      </c>
      <c r="F899" s="66" t="str">
        <f>IFERROR(__xludf.DUMMYFUNCTION("IF(COUNTA(C899:C1673)=0,"""",IF(REGEXMATCH(INDEX(FILTER(C$4:C899,C$4:C899&lt;&gt;""""),ROWS(FILTER(C$4:C899,C$4:C899&lt;&gt;""""))),""^Sell_""),INDEX(FILTER(F$4:F898,C$4:C898&lt;&gt;""""),ROWS(FILTER(C$4:C898,C$4:C898&lt;&gt;""""))),$AC$5+E899))"),"")</f>
        <v/>
      </c>
      <c r="G899" s="10" t="str">
        <f>IFERROR(__xludf.DUMMYFUNCTION("IF(COUNTA(C899:C1673)=0,"""",IF(C899="""",0,IF(REGEXMATCH(C899,""^Sell_""),-ROUNDDOWN(ROUNDUP(INDEX(Upgrades!$C$3:$C$13,MATCH(SUBSTITUTE(C899,""Sell_"",""""),Upgrades!$B$3:$B$13,0))*1.15^(COUNTIF(C$4:C898,SUBSTITUTE(C899,""Sell_"",""""))-COUNTIF(C$4:C898,"&amp;"""Sell_""&amp;SUBSTITUTE(C899,""Sell_"",""""))))/2),ROUNDUP(INDEX(Upgrades!$C$3:$C$13,MATCH(C899,Upgrades!$B$3:$B$13,0))*1.15^(COUNTIF(C$4:C898,C899)-COUNTIF(C$4:C898,""Sell_""&amp;C899))))))"),"")</f>
        <v/>
      </c>
      <c r="H899" s="10" t="str">
        <f t="shared" si="3"/>
        <v/>
      </c>
      <c r="I899" s="68" t="str">
        <f t="shared" si="4"/>
        <v/>
      </c>
      <c r="J899" s="59" t="str">
        <f t="shared" si="5"/>
        <v/>
      </c>
      <c r="K899" s="69" t="str">
        <f t="shared" si="6"/>
        <v/>
      </c>
      <c r="L899" s="60" t="str">
        <f t="shared" si="7"/>
        <v/>
      </c>
      <c r="M899" s="61" t="str">
        <f>IFERROR(__xludf.DUMMYFUNCTION("IFS(AND(COUNTA(C899:C1673)=0,COUNTA(Q899:Q1673)=0),"""",OR(AND(K899&gt;=1000000000,OR(Y899&gt;=1000000000,COUNTA(Q899:Q1673)=0)),OR(Y899&gt;=1000000000,AND(COUNTA(C899:C1673)=0,P$3=TRUE))),
ROUNDDOWN((AB$1-AC$1)*MAX(INDEX(T$4:T1673,MATCH(LARGE(FILTER(Y$4:Y1673,Y$4"&amp;":Y1673&lt;1000000000),1),Y$4:Y1673)),INDEX(F$4:F1673,MATCH(LARGE(FILTER(K$4:K1673,K$4:K1673&lt;1000000000),1),K$4:K1673)))),AND(K899&lt;1000000000,COUNTA(C899:C1673)&gt;0,P$3=FALSE),
ROUNDDOWN(INDEX(Y$4:Y1673,MATCH(LARGE(FILTER(W$4:W1673,W$4:W1673&lt;=I899),1),W$4:W1673"&amp;"))+(I899-LARGE(FILTER(W$4:W1673,W$4:W1673&lt;=I899),1))*INDEX(T$4:T1673,MATCH(LARGE(FILTER(W$4:W1673,W$4:W1673&lt;=I899),1),W$4:W1673))-K899),1,
ROUNDDOWN(Y899-INDEX(K$4:K1673,MATCH(LARGE(FILTER(I$4:I1673,I$4:I1673&lt;=W899),1),I$4:I1673))-(W899-LARGE(FILTER(I$4:I"&amp;"1673,I$4:I1673&lt;=W899),1))*INDEX(F$4:F1673,MATCH(LARGE(FILTER(I$4:I1673,I$4:I1673&lt;=W899),1),I$4:I1673))))"),"")</f>
        <v/>
      </c>
      <c r="N899" s="60" t="str">
        <f t="shared" si="8"/>
        <v/>
      </c>
      <c r="O899" s="61" t="str">
        <f t="shared" si="9"/>
        <v/>
      </c>
      <c r="P899" s="56" t="str">
        <f t="shared" si="10"/>
        <v/>
      </c>
      <c r="R899" s="10"/>
      <c r="S899" s="59" t="str">
        <f t="array" ref="S899">IF(COUNTA(Q899:Q1673)=0,"",SUM((COUNTIF(Q$4:Q899,Upgrades!$B$3:$B$13)-COUNTIF(Q$4:Q899,"Sell_"&amp;Upgrades!$B$3:$B$13))*Upgrades!$D$3:$D$13))</f>
        <v/>
      </c>
      <c r="T899" s="66" t="str">
        <f>IFERROR(__xludf.DUMMYFUNCTION("IF(COUNTA(Q899:Q1673)=0,"""",IF(REGEXMATCH(INDEX(FILTER(Q$4:Q899,Q$4:Q899&lt;&gt;""""),ROWS(FILTER(Q$4:Q899,Q$4:Q899&lt;&gt;""""))),""^Sell_""),INDEX(FILTER(T$4:T898,Q$4:Q898&lt;&gt;""""),ROWS(FILTER(Q$4:Q898,Q$4:Q898&lt;&gt;""""))),$AD$5+S899))"),"")</f>
        <v/>
      </c>
      <c r="U899" s="10" t="str">
        <f>IFERROR(__xludf.DUMMYFUNCTION("IF(COUNTA(Q899:Q1673)=0,"""",IF(Q899="""",0,IF(REGEXMATCH(Q899,""^Sell_""),-ROUNDDOWN(ROUNDUP(INDEX(Upgrades!$C$3:$C$13,MATCH(SUBSTITUTE(Q899,""Sell_"",""""),Upgrades!$B$3:$B$13,0))*1.15^(COUNTIF(Q$4:Q898,SUBSTITUTE(Q899,""Sell_"",""""))-COUNTIF(Q$4:Q898,"&amp;"""Sell_""&amp;SUBSTITUTE(Q899,""Sell_"",""""))))/2),ROUNDUP(INDEX(Upgrades!$C$3:$C$13,MATCH(Q899,Upgrades!$B$3:$B$13,0))*1.15^(COUNTIF(Q$4:Q898,Q899)-COUNTIF(Q$4:Q898,""Sell_""&amp;Q899))))))"),"")</f>
        <v/>
      </c>
      <c r="V899" s="10" t="str">
        <f t="shared" si="11"/>
        <v/>
      </c>
      <c r="W899" s="68" t="str">
        <f t="shared" si="12"/>
        <v/>
      </c>
      <c r="X899" s="59" t="str">
        <f t="shared" si="13"/>
        <v/>
      </c>
      <c r="Y899" s="69" t="str">
        <f t="shared" si="14"/>
        <v/>
      </c>
      <c r="Z899" s="11"/>
    </row>
    <row r="900">
      <c r="A900" s="8"/>
      <c r="B900" s="56" t="str">
        <f t="shared" si="2"/>
        <v/>
      </c>
      <c r="C900" s="105"/>
      <c r="D900" s="10"/>
      <c r="E900" s="59" t="str">
        <f t="array" ref="E900">IF(COUNTA(C900:C1673)=0,"",SUM((COUNTIF(C$4:C900,Upgrades!$B$3:$B$13)-COUNTIF(C$4:C900,"Sell_"&amp;Upgrades!$B$3:$B$13))*Upgrades!$D$3:$D$13))</f>
        <v/>
      </c>
      <c r="F900" s="66" t="str">
        <f>IFERROR(__xludf.DUMMYFUNCTION("IF(COUNTA(C900:C1673)=0,"""",IF(REGEXMATCH(INDEX(FILTER(C$4:C900,C$4:C900&lt;&gt;""""),ROWS(FILTER(C$4:C900,C$4:C900&lt;&gt;""""))),""^Sell_""),INDEX(FILTER(F$4:F899,C$4:C899&lt;&gt;""""),ROWS(FILTER(C$4:C899,C$4:C899&lt;&gt;""""))),$AC$5+E900))"),"")</f>
        <v/>
      </c>
      <c r="G900" s="10" t="str">
        <f>IFERROR(__xludf.DUMMYFUNCTION("IF(COUNTA(C900:C1673)=0,"""",IF(C900="""",0,IF(REGEXMATCH(C900,""^Sell_""),-ROUNDDOWN(ROUNDUP(INDEX(Upgrades!$C$3:$C$13,MATCH(SUBSTITUTE(C900,""Sell_"",""""),Upgrades!$B$3:$B$13,0))*1.15^(COUNTIF(C$4:C899,SUBSTITUTE(C900,""Sell_"",""""))-COUNTIF(C$4:C899,"&amp;"""Sell_""&amp;SUBSTITUTE(C900,""Sell_"",""""))))/2),ROUNDUP(INDEX(Upgrades!$C$3:$C$13,MATCH(C900,Upgrades!$B$3:$B$13,0))*1.15^(COUNTIF(C$4:C899,C900)-COUNTIF(C$4:C899,""Sell_""&amp;C900))))))"),"")</f>
        <v/>
      </c>
      <c r="H900" s="10" t="str">
        <f t="shared" si="3"/>
        <v/>
      </c>
      <c r="I900" s="68" t="str">
        <f t="shared" si="4"/>
        <v/>
      </c>
      <c r="J900" s="59" t="str">
        <f t="shared" si="5"/>
        <v/>
      </c>
      <c r="K900" s="69" t="str">
        <f t="shared" si="6"/>
        <v/>
      </c>
      <c r="L900" s="60" t="str">
        <f t="shared" si="7"/>
        <v/>
      </c>
      <c r="M900" s="61" t="str">
        <f>IFERROR(__xludf.DUMMYFUNCTION("IFS(AND(COUNTA(C900:C1673)=0,COUNTA(Q900:Q1673)=0),"""",OR(AND(K900&gt;=1000000000,OR(Y900&gt;=1000000000,COUNTA(Q900:Q1673)=0)),OR(Y900&gt;=1000000000,AND(COUNTA(C900:C1673)=0,P$3=TRUE))),
ROUNDDOWN((AB$1-AC$1)*MAX(INDEX(T$4:T1673,MATCH(LARGE(FILTER(Y$4:Y1673,Y$4"&amp;":Y1673&lt;1000000000),1),Y$4:Y1673)),INDEX(F$4:F1673,MATCH(LARGE(FILTER(K$4:K1673,K$4:K1673&lt;1000000000),1),K$4:K1673)))),AND(K900&lt;1000000000,COUNTA(C900:C1673)&gt;0,P$3=FALSE),
ROUNDDOWN(INDEX(Y$4:Y1673,MATCH(LARGE(FILTER(W$4:W1673,W$4:W1673&lt;=I900),1),W$4:W1673"&amp;"))+(I900-LARGE(FILTER(W$4:W1673,W$4:W1673&lt;=I900),1))*INDEX(T$4:T1673,MATCH(LARGE(FILTER(W$4:W1673,W$4:W1673&lt;=I900),1),W$4:W1673))-K900),1,
ROUNDDOWN(Y900-INDEX(K$4:K1673,MATCH(LARGE(FILTER(I$4:I1673,I$4:I1673&lt;=W900),1),I$4:I1673))-(W900-LARGE(FILTER(I$4:I"&amp;"1673,I$4:I1673&lt;=W900),1))*INDEX(F$4:F1673,MATCH(LARGE(FILTER(I$4:I1673,I$4:I1673&lt;=W900),1),I$4:I1673))))"),"")</f>
        <v/>
      </c>
      <c r="N900" s="60" t="str">
        <f t="shared" si="8"/>
        <v/>
      </c>
      <c r="O900" s="61" t="str">
        <f t="shared" si="9"/>
        <v/>
      </c>
      <c r="P900" s="56" t="str">
        <f t="shared" si="10"/>
        <v/>
      </c>
      <c r="R900" s="10"/>
      <c r="S900" s="59" t="str">
        <f t="array" ref="S900">IF(COUNTA(Q900:Q1673)=0,"",SUM((COUNTIF(Q$4:Q900,Upgrades!$B$3:$B$13)-COUNTIF(Q$4:Q900,"Sell_"&amp;Upgrades!$B$3:$B$13))*Upgrades!$D$3:$D$13))</f>
        <v/>
      </c>
      <c r="T900" s="66" t="str">
        <f>IFERROR(__xludf.DUMMYFUNCTION("IF(COUNTA(Q900:Q1673)=0,"""",IF(REGEXMATCH(INDEX(FILTER(Q$4:Q900,Q$4:Q900&lt;&gt;""""),ROWS(FILTER(Q$4:Q900,Q$4:Q900&lt;&gt;""""))),""^Sell_""),INDEX(FILTER(T$4:T899,Q$4:Q899&lt;&gt;""""),ROWS(FILTER(Q$4:Q899,Q$4:Q899&lt;&gt;""""))),$AD$5+S900))"),"")</f>
        <v/>
      </c>
      <c r="U900" s="10" t="str">
        <f>IFERROR(__xludf.DUMMYFUNCTION("IF(COUNTA(Q900:Q1673)=0,"""",IF(Q900="""",0,IF(REGEXMATCH(Q900,""^Sell_""),-ROUNDDOWN(ROUNDUP(INDEX(Upgrades!$C$3:$C$13,MATCH(SUBSTITUTE(Q900,""Sell_"",""""),Upgrades!$B$3:$B$13,0))*1.15^(COUNTIF(Q$4:Q899,SUBSTITUTE(Q900,""Sell_"",""""))-COUNTIF(Q$4:Q899,"&amp;"""Sell_""&amp;SUBSTITUTE(Q900,""Sell_"",""""))))/2),ROUNDUP(INDEX(Upgrades!$C$3:$C$13,MATCH(Q900,Upgrades!$B$3:$B$13,0))*1.15^(COUNTIF(Q$4:Q899,Q900)-COUNTIF(Q$4:Q899,""Sell_""&amp;Q900))))))"),"")</f>
        <v/>
      </c>
      <c r="V900" s="10" t="str">
        <f t="shared" si="11"/>
        <v/>
      </c>
      <c r="W900" s="68" t="str">
        <f t="shared" si="12"/>
        <v/>
      </c>
      <c r="X900" s="59" t="str">
        <f t="shared" si="13"/>
        <v/>
      </c>
      <c r="Y900" s="69" t="str">
        <f t="shared" si="14"/>
        <v/>
      </c>
      <c r="Z900" s="11"/>
    </row>
    <row r="901">
      <c r="A901" s="8"/>
      <c r="B901" s="56" t="str">
        <f t="shared" si="2"/>
        <v/>
      </c>
      <c r="C901" s="105"/>
      <c r="D901" s="10"/>
      <c r="E901" s="59" t="str">
        <f t="array" ref="E901">IF(COUNTA(C901:C1673)=0,"",SUM((COUNTIF(C$4:C901,Upgrades!$B$3:$B$13)-COUNTIF(C$4:C901,"Sell_"&amp;Upgrades!$B$3:$B$13))*Upgrades!$D$3:$D$13))</f>
        <v/>
      </c>
      <c r="F901" s="66" t="str">
        <f>IFERROR(__xludf.DUMMYFUNCTION("IF(COUNTA(C901:C1673)=0,"""",IF(REGEXMATCH(INDEX(FILTER(C$4:C901,C$4:C901&lt;&gt;""""),ROWS(FILTER(C$4:C901,C$4:C901&lt;&gt;""""))),""^Sell_""),INDEX(FILTER(F$4:F900,C$4:C900&lt;&gt;""""),ROWS(FILTER(C$4:C900,C$4:C900&lt;&gt;""""))),$AC$5+E901))"),"")</f>
        <v/>
      </c>
      <c r="G901" s="10" t="str">
        <f>IFERROR(__xludf.DUMMYFUNCTION("IF(COUNTA(C901:C1673)=0,"""",IF(C901="""",0,IF(REGEXMATCH(C901,""^Sell_""),-ROUNDDOWN(ROUNDUP(INDEX(Upgrades!$C$3:$C$13,MATCH(SUBSTITUTE(C901,""Sell_"",""""),Upgrades!$B$3:$B$13,0))*1.15^(COUNTIF(C$4:C900,SUBSTITUTE(C901,""Sell_"",""""))-COUNTIF(C$4:C900,"&amp;"""Sell_""&amp;SUBSTITUTE(C901,""Sell_"",""""))))/2),ROUNDUP(INDEX(Upgrades!$C$3:$C$13,MATCH(C901,Upgrades!$B$3:$B$13,0))*1.15^(COUNTIF(C$4:C900,C901)-COUNTIF(C$4:C900,""Sell_""&amp;C901))))))"),"")</f>
        <v/>
      </c>
      <c r="H901" s="10" t="str">
        <f t="shared" si="3"/>
        <v/>
      </c>
      <c r="I901" s="68" t="str">
        <f t="shared" si="4"/>
        <v/>
      </c>
      <c r="J901" s="59" t="str">
        <f t="shared" si="5"/>
        <v/>
      </c>
      <c r="K901" s="69" t="str">
        <f t="shared" si="6"/>
        <v/>
      </c>
      <c r="L901" s="60" t="str">
        <f t="shared" si="7"/>
        <v/>
      </c>
      <c r="M901" s="61" t="str">
        <f>IFERROR(__xludf.DUMMYFUNCTION("IFS(AND(COUNTA(C901:C1673)=0,COUNTA(Q901:Q1673)=0),"""",OR(AND(K901&gt;=1000000000,OR(Y901&gt;=1000000000,COUNTA(Q901:Q1673)=0)),OR(Y901&gt;=1000000000,AND(COUNTA(C901:C1673)=0,P$3=TRUE))),
ROUNDDOWN((AB$1-AC$1)*MAX(INDEX(T$4:T1673,MATCH(LARGE(FILTER(Y$4:Y1673,Y$4"&amp;":Y1673&lt;1000000000),1),Y$4:Y1673)),INDEX(F$4:F1673,MATCH(LARGE(FILTER(K$4:K1673,K$4:K1673&lt;1000000000),1),K$4:K1673)))),AND(K901&lt;1000000000,COUNTA(C901:C1673)&gt;0,P$3=FALSE),
ROUNDDOWN(INDEX(Y$4:Y1673,MATCH(LARGE(FILTER(W$4:W1673,W$4:W1673&lt;=I901),1),W$4:W1673"&amp;"))+(I901-LARGE(FILTER(W$4:W1673,W$4:W1673&lt;=I901),1))*INDEX(T$4:T1673,MATCH(LARGE(FILTER(W$4:W1673,W$4:W1673&lt;=I901),1),W$4:W1673))-K901),1,
ROUNDDOWN(Y901-INDEX(K$4:K1673,MATCH(LARGE(FILTER(I$4:I1673,I$4:I1673&lt;=W901),1),I$4:I1673))-(W901-LARGE(FILTER(I$4:I"&amp;"1673,I$4:I1673&lt;=W901),1))*INDEX(F$4:F1673,MATCH(LARGE(FILTER(I$4:I1673,I$4:I1673&lt;=W901),1),I$4:I1673))))"),"")</f>
        <v/>
      </c>
      <c r="N901" s="60" t="str">
        <f t="shared" si="8"/>
        <v/>
      </c>
      <c r="O901" s="61" t="str">
        <f t="shared" si="9"/>
        <v/>
      </c>
      <c r="P901" s="56" t="str">
        <f t="shared" si="10"/>
        <v/>
      </c>
      <c r="R901" s="10"/>
      <c r="S901" s="59" t="str">
        <f t="array" ref="S901">IF(COUNTA(Q901:Q1673)=0,"",SUM((COUNTIF(Q$4:Q901,Upgrades!$B$3:$B$13)-COUNTIF(Q$4:Q901,"Sell_"&amp;Upgrades!$B$3:$B$13))*Upgrades!$D$3:$D$13))</f>
        <v/>
      </c>
      <c r="T901" s="66" t="str">
        <f>IFERROR(__xludf.DUMMYFUNCTION("IF(COUNTA(Q901:Q1673)=0,"""",IF(REGEXMATCH(INDEX(FILTER(Q$4:Q901,Q$4:Q901&lt;&gt;""""),ROWS(FILTER(Q$4:Q901,Q$4:Q901&lt;&gt;""""))),""^Sell_""),INDEX(FILTER(T$4:T900,Q$4:Q900&lt;&gt;""""),ROWS(FILTER(Q$4:Q900,Q$4:Q900&lt;&gt;""""))),$AD$5+S901))"),"")</f>
        <v/>
      </c>
      <c r="U901" s="10" t="str">
        <f>IFERROR(__xludf.DUMMYFUNCTION("IF(COUNTA(Q901:Q1673)=0,"""",IF(Q901="""",0,IF(REGEXMATCH(Q901,""^Sell_""),-ROUNDDOWN(ROUNDUP(INDEX(Upgrades!$C$3:$C$13,MATCH(SUBSTITUTE(Q901,""Sell_"",""""),Upgrades!$B$3:$B$13,0))*1.15^(COUNTIF(Q$4:Q900,SUBSTITUTE(Q901,""Sell_"",""""))-COUNTIF(Q$4:Q900,"&amp;"""Sell_""&amp;SUBSTITUTE(Q901,""Sell_"",""""))))/2),ROUNDUP(INDEX(Upgrades!$C$3:$C$13,MATCH(Q901,Upgrades!$B$3:$B$13,0))*1.15^(COUNTIF(Q$4:Q900,Q901)-COUNTIF(Q$4:Q900,""Sell_""&amp;Q901))))))"),"")</f>
        <v/>
      </c>
      <c r="V901" s="10" t="str">
        <f t="shared" si="11"/>
        <v/>
      </c>
      <c r="W901" s="68" t="str">
        <f t="shared" si="12"/>
        <v/>
      </c>
      <c r="X901" s="59" t="str">
        <f t="shared" si="13"/>
        <v/>
      </c>
      <c r="Y901" s="69" t="str">
        <f t="shared" si="14"/>
        <v/>
      </c>
      <c r="Z901" s="11"/>
    </row>
    <row r="902">
      <c r="A902" s="8"/>
      <c r="B902" s="56" t="str">
        <f t="shared" si="2"/>
        <v/>
      </c>
      <c r="C902" s="105"/>
      <c r="D902" s="10"/>
      <c r="E902" s="59" t="str">
        <f t="array" ref="E902">IF(COUNTA(C902:C1673)=0,"",SUM((COUNTIF(C$4:C902,Upgrades!$B$3:$B$13)-COUNTIF(C$4:C902,"Sell_"&amp;Upgrades!$B$3:$B$13))*Upgrades!$D$3:$D$13))</f>
        <v/>
      </c>
      <c r="F902" s="66" t="str">
        <f>IFERROR(__xludf.DUMMYFUNCTION("IF(COUNTA(C902:C1673)=0,"""",IF(REGEXMATCH(INDEX(FILTER(C$4:C902,C$4:C902&lt;&gt;""""),ROWS(FILTER(C$4:C902,C$4:C902&lt;&gt;""""))),""^Sell_""),INDEX(FILTER(F$4:F901,C$4:C901&lt;&gt;""""),ROWS(FILTER(C$4:C901,C$4:C901&lt;&gt;""""))),$AC$5+E902))"),"")</f>
        <v/>
      </c>
      <c r="G902" s="10" t="str">
        <f>IFERROR(__xludf.DUMMYFUNCTION("IF(COUNTA(C902:C1673)=0,"""",IF(C902="""",0,IF(REGEXMATCH(C902,""^Sell_""),-ROUNDDOWN(ROUNDUP(INDEX(Upgrades!$C$3:$C$13,MATCH(SUBSTITUTE(C902,""Sell_"",""""),Upgrades!$B$3:$B$13,0))*1.15^(COUNTIF(C$4:C901,SUBSTITUTE(C902,""Sell_"",""""))-COUNTIF(C$4:C901,"&amp;"""Sell_""&amp;SUBSTITUTE(C902,""Sell_"",""""))))/2),ROUNDUP(INDEX(Upgrades!$C$3:$C$13,MATCH(C902,Upgrades!$B$3:$B$13,0))*1.15^(COUNTIF(C$4:C901,C902)-COUNTIF(C$4:C901,""Sell_""&amp;C902))))))"),"")</f>
        <v/>
      </c>
      <c r="H902" s="10" t="str">
        <f t="shared" si="3"/>
        <v/>
      </c>
      <c r="I902" s="68" t="str">
        <f t="shared" si="4"/>
        <v/>
      </c>
      <c r="J902" s="59" t="str">
        <f t="shared" si="5"/>
        <v/>
      </c>
      <c r="K902" s="69" t="str">
        <f t="shared" si="6"/>
        <v/>
      </c>
      <c r="L902" s="60" t="str">
        <f t="shared" si="7"/>
        <v/>
      </c>
      <c r="M902" s="61" t="str">
        <f>IFERROR(__xludf.DUMMYFUNCTION("IFS(AND(COUNTA(C902:C1673)=0,COUNTA(Q902:Q1673)=0),"""",OR(AND(K902&gt;=1000000000,OR(Y902&gt;=1000000000,COUNTA(Q902:Q1673)=0)),OR(Y902&gt;=1000000000,AND(COUNTA(C902:C1673)=0,P$3=TRUE))),
ROUNDDOWN((AB$1-AC$1)*MAX(INDEX(T$4:T1673,MATCH(LARGE(FILTER(Y$4:Y1673,Y$4"&amp;":Y1673&lt;1000000000),1),Y$4:Y1673)),INDEX(F$4:F1673,MATCH(LARGE(FILTER(K$4:K1673,K$4:K1673&lt;1000000000),1),K$4:K1673)))),AND(K902&lt;1000000000,COUNTA(C902:C1673)&gt;0,P$3=FALSE),
ROUNDDOWN(INDEX(Y$4:Y1673,MATCH(LARGE(FILTER(W$4:W1673,W$4:W1673&lt;=I902),1),W$4:W1673"&amp;"))+(I902-LARGE(FILTER(W$4:W1673,W$4:W1673&lt;=I902),1))*INDEX(T$4:T1673,MATCH(LARGE(FILTER(W$4:W1673,W$4:W1673&lt;=I902),1),W$4:W1673))-K902),1,
ROUNDDOWN(Y902-INDEX(K$4:K1673,MATCH(LARGE(FILTER(I$4:I1673,I$4:I1673&lt;=W902),1),I$4:I1673))-(W902-LARGE(FILTER(I$4:I"&amp;"1673,I$4:I1673&lt;=W902),1))*INDEX(F$4:F1673,MATCH(LARGE(FILTER(I$4:I1673,I$4:I1673&lt;=W902),1),I$4:I1673))))"),"")</f>
        <v/>
      </c>
      <c r="N902" s="60" t="str">
        <f t="shared" si="8"/>
        <v/>
      </c>
      <c r="O902" s="61" t="str">
        <f t="shared" si="9"/>
        <v/>
      </c>
      <c r="P902" s="56" t="str">
        <f t="shared" si="10"/>
        <v/>
      </c>
      <c r="R902" s="10"/>
      <c r="S902" s="59" t="str">
        <f t="array" ref="S902">IF(COUNTA(Q902:Q1673)=0,"",SUM((COUNTIF(Q$4:Q902,Upgrades!$B$3:$B$13)-COUNTIF(Q$4:Q902,"Sell_"&amp;Upgrades!$B$3:$B$13))*Upgrades!$D$3:$D$13))</f>
        <v/>
      </c>
      <c r="T902" s="66" t="str">
        <f>IFERROR(__xludf.DUMMYFUNCTION("IF(COUNTA(Q902:Q1673)=0,"""",IF(REGEXMATCH(INDEX(FILTER(Q$4:Q902,Q$4:Q902&lt;&gt;""""),ROWS(FILTER(Q$4:Q902,Q$4:Q902&lt;&gt;""""))),""^Sell_""),INDEX(FILTER(T$4:T901,Q$4:Q901&lt;&gt;""""),ROWS(FILTER(Q$4:Q901,Q$4:Q901&lt;&gt;""""))),$AD$5+S902))"),"")</f>
        <v/>
      </c>
      <c r="U902" s="10" t="str">
        <f>IFERROR(__xludf.DUMMYFUNCTION("IF(COUNTA(Q902:Q1673)=0,"""",IF(Q902="""",0,IF(REGEXMATCH(Q902,""^Sell_""),-ROUNDDOWN(ROUNDUP(INDEX(Upgrades!$C$3:$C$13,MATCH(SUBSTITUTE(Q902,""Sell_"",""""),Upgrades!$B$3:$B$13,0))*1.15^(COUNTIF(Q$4:Q901,SUBSTITUTE(Q902,""Sell_"",""""))-COUNTIF(Q$4:Q901,"&amp;"""Sell_""&amp;SUBSTITUTE(Q902,""Sell_"",""""))))/2),ROUNDUP(INDEX(Upgrades!$C$3:$C$13,MATCH(Q902,Upgrades!$B$3:$B$13,0))*1.15^(COUNTIF(Q$4:Q901,Q902)-COUNTIF(Q$4:Q901,""Sell_""&amp;Q902))))))"),"")</f>
        <v/>
      </c>
      <c r="V902" s="10" t="str">
        <f t="shared" si="11"/>
        <v/>
      </c>
      <c r="W902" s="68" t="str">
        <f t="shared" si="12"/>
        <v/>
      </c>
      <c r="X902" s="59" t="str">
        <f t="shared" si="13"/>
        <v/>
      </c>
      <c r="Y902" s="69" t="str">
        <f t="shared" si="14"/>
        <v/>
      </c>
      <c r="Z902" s="11"/>
    </row>
    <row r="903">
      <c r="A903" s="8"/>
      <c r="B903" s="56" t="str">
        <f t="shared" si="2"/>
        <v/>
      </c>
      <c r="C903" s="105"/>
      <c r="D903" s="10"/>
      <c r="E903" s="59" t="str">
        <f t="array" ref="E903">IF(COUNTA(C903:C1673)=0,"",SUM((COUNTIF(C$4:C903,Upgrades!$B$3:$B$13)-COUNTIF(C$4:C903,"Sell_"&amp;Upgrades!$B$3:$B$13))*Upgrades!$D$3:$D$13))</f>
        <v/>
      </c>
      <c r="F903" s="66" t="str">
        <f>IFERROR(__xludf.DUMMYFUNCTION("IF(COUNTA(C903:C1673)=0,"""",IF(REGEXMATCH(INDEX(FILTER(C$4:C903,C$4:C903&lt;&gt;""""),ROWS(FILTER(C$4:C903,C$4:C903&lt;&gt;""""))),""^Sell_""),INDEX(FILTER(F$4:F902,C$4:C902&lt;&gt;""""),ROWS(FILTER(C$4:C902,C$4:C902&lt;&gt;""""))),$AC$5+E903))"),"")</f>
        <v/>
      </c>
      <c r="G903" s="10" t="str">
        <f>IFERROR(__xludf.DUMMYFUNCTION("IF(COUNTA(C903:C1673)=0,"""",IF(C903="""",0,IF(REGEXMATCH(C903,""^Sell_""),-ROUNDDOWN(ROUNDUP(INDEX(Upgrades!$C$3:$C$13,MATCH(SUBSTITUTE(C903,""Sell_"",""""),Upgrades!$B$3:$B$13,0))*1.15^(COUNTIF(C$4:C902,SUBSTITUTE(C903,""Sell_"",""""))-COUNTIF(C$4:C902,"&amp;"""Sell_""&amp;SUBSTITUTE(C903,""Sell_"",""""))))/2),ROUNDUP(INDEX(Upgrades!$C$3:$C$13,MATCH(C903,Upgrades!$B$3:$B$13,0))*1.15^(COUNTIF(C$4:C902,C903)-COUNTIF(C$4:C902,""Sell_""&amp;C903))))))"),"")</f>
        <v/>
      </c>
      <c r="H903" s="10" t="str">
        <f t="shared" si="3"/>
        <v/>
      </c>
      <c r="I903" s="68" t="str">
        <f t="shared" si="4"/>
        <v/>
      </c>
      <c r="J903" s="59" t="str">
        <f t="shared" si="5"/>
        <v/>
      </c>
      <c r="K903" s="69" t="str">
        <f t="shared" si="6"/>
        <v/>
      </c>
      <c r="L903" s="60" t="str">
        <f t="shared" si="7"/>
        <v/>
      </c>
      <c r="M903" s="61" t="str">
        <f>IFERROR(__xludf.DUMMYFUNCTION("IFS(AND(COUNTA(C903:C1673)=0,COUNTA(Q903:Q1673)=0),"""",OR(AND(K903&gt;=1000000000,OR(Y903&gt;=1000000000,COUNTA(Q903:Q1673)=0)),OR(Y903&gt;=1000000000,AND(COUNTA(C903:C1673)=0,P$3=TRUE))),
ROUNDDOWN((AB$1-AC$1)*MAX(INDEX(T$4:T1673,MATCH(LARGE(FILTER(Y$4:Y1673,Y$4"&amp;":Y1673&lt;1000000000),1),Y$4:Y1673)),INDEX(F$4:F1673,MATCH(LARGE(FILTER(K$4:K1673,K$4:K1673&lt;1000000000),1),K$4:K1673)))),AND(K903&lt;1000000000,COUNTA(C903:C1673)&gt;0,P$3=FALSE),
ROUNDDOWN(INDEX(Y$4:Y1673,MATCH(LARGE(FILTER(W$4:W1673,W$4:W1673&lt;=I903),1),W$4:W1673"&amp;"))+(I903-LARGE(FILTER(W$4:W1673,W$4:W1673&lt;=I903),1))*INDEX(T$4:T1673,MATCH(LARGE(FILTER(W$4:W1673,W$4:W1673&lt;=I903),1),W$4:W1673))-K903),1,
ROUNDDOWN(Y903-INDEX(K$4:K1673,MATCH(LARGE(FILTER(I$4:I1673,I$4:I1673&lt;=W903),1),I$4:I1673))-(W903-LARGE(FILTER(I$4:I"&amp;"1673,I$4:I1673&lt;=W903),1))*INDEX(F$4:F1673,MATCH(LARGE(FILTER(I$4:I1673,I$4:I1673&lt;=W903),1),I$4:I1673))))"),"")</f>
        <v/>
      </c>
      <c r="N903" s="60" t="str">
        <f t="shared" si="8"/>
        <v/>
      </c>
      <c r="O903" s="61" t="str">
        <f t="shared" si="9"/>
        <v/>
      </c>
      <c r="P903" s="56" t="str">
        <f t="shared" si="10"/>
        <v/>
      </c>
      <c r="R903" s="10"/>
      <c r="S903" s="59" t="str">
        <f t="array" ref="S903">IF(COUNTA(Q903:Q1673)=0,"",SUM((COUNTIF(Q$4:Q903,Upgrades!$B$3:$B$13)-COUNTIF(Q$4:Q903,"Sell_"&amp;Upgrades!$B$3:$B$13))*Upgrades!$D$3:$D$13))</f>
        <v/>
      </c>
      <c r="T903" s="66" t="str">
        <f>IFERROR(__xludf.DUMMYFUNCTION("IF(COUNTA(Q903:Q1673)=0,"""",IF(REGEXMATCH(INDEX(FILTER(Q$4:Q903,Q$4:Q903&lt;&gt;""""),ROWS(FILTER(Q$4:Q903,Q$4:Q903&lt;&gt;""""))),""^Sell_""),INDEX(FILTER(T$4:T902,Q$4:Q902&lt;&gt;""""),ROWS(FILTER(Q$4:Q902,Q$4:Q902&lt;&gt;""""))),$AD$5+S903))"),"")</f>
        <v/>
      </c>
      <c r="U903" s="10" t="str">
        <f>IFERROR(__xludf.DUMMYFUNCTION("IF(COUNTA(Q903:Q1673)=0,"""",IF(Q903="""",0,IF(REGEXMATCH(Q903,""^Sell_""),-ROUNDDOWN(ROUNDUP(INDEX(Upgrades!$C$3:$C$13,MATCH(SUBSTITUTE(Q903,""Sell_"",""""),Upgrades!$B$3:$B$13,0))*1.15^(COUNTIF(Q$4:Q902,SUBSTITUTE(Q903,""Sell_"",""""))-COUNTIF(Q$4:Q902,"&amp;"""Sell_""&amp;SUBSTITUTE(Q903,""Sell_"",""""))))/2),ROUNDUP(INDEX(Upgrades!$C$3:$C$13,MATCH(Q903,Upgrades!$B$3:$B$13,0))*1.15^(COUNTIF(Q$4:Q902,Q903)-COUNTIF(Q$4:Q902,""Sell_""&amp;Q903))))))"),"")</f>
        <v/>
      </c>
      <c r="V903" s="10" t="str">
        <f t="shared" si="11"/>
        <v/>
      </c>
      <c r="W903" s="68" t="str">
        <f t="shared" si="12"/>
        <v/>
      </c>
      <c r="X903" s="59" t="str">
        <f t="shared" si="13"/>
        <v/>
      </c>
      <c r="Y903" s="69" t="str">
        <f t="shared" si="14"/>
        <v/>
      </c>
      <c r="Z903" s="11"/>
    </row>
    <row r="904">
      <c r="A904" s="8"/>
      <c r="B904" s="56" t="str">
        <f t="shared" si="2"/>
        <v/>
      </c>
      <c r="C904" s="105"/>
      <c r="D904" s="10"/>
      <c r="E904" s="59" t="str">
        <f t="array" ref="E904">IF(COUNTA(C904:C1673)=0,"",SUM((COUNTIF(C$4:C904,Upgrades!$B$3:$B$13)-COUNTIF(C$4:C904,"Sell_"&amp;Upgrades!$B$3:$B$13))*Upgrades!$D$3:$D$13))</f>
        <v/>
      </c>
      <c r="F904" s="66" t="str">
        <f>IFERROR(__xludf.DUMMYFUNCTION("IF(COUNTA(C904:C1673)=0,"""",IF(REGEXMATCH(INDEX(FILTER(C$4:C904,C$4:C904&lt;&gt;""""),ROWS(FILTER(C$4:C904,C$4:C904&lt;&gt;""""))),""^Sell_""),INDEX(FILTER(F$4:F903,C$4:C903&lt;&gt;""""),ROWS(FILTER(C$4:C903,C$4:C903&lt;&gt;""""))),$AC$5+E904))"),"")</f>
        <v/>
      </c>
      <c r="G904" s="10" t="str">
        <f>IFERROR(__xludf.DUMMYFUNCTION("IF(COUNTA(C904:C1673)=0,"""",IF(C904="""",0,IF(REGEXMATCH(C904,""^Sell_""),-ROUNDDOWN(ROUNDUP(INDEX(Upgrades!$C$3:$C$13,MATCH(SUBSTITUTE(C904,""Sell_"",""""),Upgrades!$B$3:$B$13,0))*1.15^(COUNTIF(C$4:C903,SUBSTITUTE(C904,""Sell_"",""""))-COUNTIF(C$4:C903,"&amp;"""Sell_""&amp;SUBSTITUTE(C904,""Sell_"",""""))))/2),ROUNDUP(INDEX(Upgrades!$C$3:$C$13,MATCH(C904,Upgrades!$B$3:$B$13,0))*1.15^(COUNTIF(C$4:C903,C904)-COUNTIF(C$4:C903,""Sell_""&amp;C904))))))"),"")</f>
        <v/>
      </c>
      <c r="H904" s="10" t="str">
        <f t="shared" si="3"/>
        <v/>
      </c>
      <c r="I904" s="68" t="str">
        <f t="shared" si="4"/>
        <v/>
      </c>
      <c r="J904" s="59" t="str">
        <f t="shared" si="5"/>
        <v/>
      </c>
      <c r="K904" s="69" t="str">
        <f t="shared" si="6"/>
        <v/>
      </c>
      <c r="L904" s="60" t="str">
        <f t="shared" si="7"/>
        <v/>
      </c>
      <c r="M904" s="61" t="str">
        <f>IFERROR(__xludf.DUMMYFUNCTION("IFS(AND(COUNTA(C904:C1673)=0,COUNTA(Q904:Q1673)=0),"""",OR(AND(K904&gt;=1000000000,OR(Y904&gt;=1000000000,COUNTA(Q904:Q1673)=0)),OR(Y904&gt;=1000000000,AND(COUNTA(C904:C1673)=0,P$3=TRUE))),
ROUNDDOWN((AB$1-AC$1)*MAX(INDEX(T$4:T1673,MATCH(LARGE(FILTER(Y$4:Y1673,Y$4"&amp;":Y1673&lt;1000000000),1),Y$4:Y1673)),INDEX(F$4:F1673,MATCH(LARGE(FILTER(K$4:K1673,K$4:K1673&lt;1000000000),1),K$4:K1673)))),AND(K904&lt;1000000000,COUNTA(C904:C1673)&gt;0,P$3=FALSE),
ROUNDDOWN(INDEX(Y$4:Y1673,MATCH(LARGE(FILTER(W$4:W1673,W$4:W1673&lt;=I904),1),W$4:W1673"&amp;"))+(I904-LARGE(FILTER(W$4:W1673,W$4:W1673&lt;=I904),1))*INDEX(T$4:T1673,MATCH(LARGE(FILTER(W$4:W1673,W$4:W1673&lt;=I904),1),W$4:W1673))-K904),1,
ROUNDDOWN(Y904-INDEX(K$4:K1673,MATCH(LARGE(FILTER(I$4:I1673,I$4:I1673&lt;=W904),1),I$4:I1673))-(W904-LARGE(FILTER(I$4:I"&amp;"1673,I$4:I1673&lt;=W904),1))*INDEX(F$4:F1673,MATCH(LARGE(FILTER(I$4:I1673,I$4:I1673&lt;=W904),1),I$4:I1673))))"),"")</f>
        <v/>
      </c>
      <c r="N904" s="60" t="str">
        <f t="shared" si="8"/>
        <v/>
      </c>
      <c r="O904" s="61" t="str">
        <f t="shared" si="9"/>
        <v/>
      </c>
      <c r="P904" s="56" t="str">
        <f t="shared" si="10"/>
        <v/>
      </c>
      <c r="R904" s="10"/>
      <c r="S904" s="59" t="str">
        <f t="array" ref="S904">IF(COUNTA(Q904:Q1673)=0,"",SUM((COUNTIF(Q$4:Q904,Upgrades!$B$3:$B$13)-COUNTIF(Q$4:Q904,"Sell_"&amp;Upgrades!$B$3:$B$13))*Upgrades!$D$3:$D$13))</f>
        <v/>
      </c>
      <c r="T904" s="66" t="str">
        <f>IFERROR(__xludf.DUMMYFUNCTION("IF(COUNTA(Q904:Q1673)=0,"""",IF(REGEXMATCH(INDEX(FILTER(Q$4:Q904,Q$4:Q904&lt;&gt;""""),ROWS(FILTER(Q$4:Q904,Q$4:Q904&lt;&gt;""""))),""^Sell_""),INDEX(FILTER(T$4:T903,Q$4:Q903&lt;&gt;""""),ROWS(FILTER(Q$4:Q903,Q$4:Q903&lt;&gt;""""))),$AD$5+S904))"),"")</f>
        <v/>
      </c>
      <c r="U904" s="10" t="str">
        <f>IFERROR(__xludf.DUMMYFUNCTION("IF(COUNTA(Q904:Q1673)=0,"""",IF(Q904="""",0,IF(REGEXMATCH(Q904,""^Sell_""),-ROUNDDOWN(ROUNDUP(INDEX(Upgrades!$C$3:$C$13,MATCH(SUBSTITUTE(Q904,""Sell_"",""""),Upgrades!$B$3:$B$13,0))*1.15^(COUNTIF(Q$4:Q903,SUBSTITUTE(Q904,""Sell_"",""""))-COUNTIF(Q$4:Q903,"&amp;"""Sell_""&amp;SUBSTITUTE(Q904,""Sell_"",""""))))/2),ROUNDUP(INDEX(Upgrades!$C$3:$C$13,MATCH(Q904,Upgrades!$B$3:$B$13,0))*1.15^(COUNTIF(Q$4:Q903,Q904)-COUNTIF(Q$4:Q903,""Sell_""&amp;Q904))))))"),"")</f>
        <v/>
      </c>
      <c r="V904" s="10" t="str">
        <f t="shared" si="11"/>
        <v/>
      </c>
      <c r="W904" s="68" t="str">
        <f t="shared" si="12"/>
        <v/>
      </c>
      <c r="X904" s="59" t="str">
        <f t="shared" si="13"/>
        <v/>
      </c>
      <c r="Y904" s="69" t="str">
        <f t="shared" si="14"/>
        <v/>
      </c>
      <c r="Z904" s="11"/>
    </row>
    <row r="905">
      <c r="A905" s="8"/>
      <c r="B905" s="56" t="str">
        <f t="shared" si="2"/>
        <v/>
      </c>
      <c r="C905" s="105"/>
      <c r="D905" s="10"/>
      <c r="E905" s="59" t="str">
        <f t="array" ref="E905">IF(COUNTA(C905:C1673)=0,"",SUM((COUNTIF(C$4:C905,Upgrades!$B$3:$B$13)-COUNTIF(C$4:C905,"Sell_"&amp;Upgrades!$B$3:$B$13))*Upgrades!$D$3:$D$13))</f>
        <v/>
      </c>
      <c r="F905" s="66" t="str">
        <f>IFERROR(__xludf.DUMMYFUNCTION("IF(COUNTA(C905:C1673)=0,"""",IF(REGEXMATCH(INDEX(FILTER(C$4:C905,C$4:C905&lt;&gt;""""),ROWS(FILTER(C$4:C905,C$4:C905&lt;&gt;""""))),""^Sell_""),INDEX(FILTER(F$4:F904,C$4:C904&lt;&gt;""""),ROWS(FILTER(C$4:C904,C$4:C904&lt;&gt;""""))),$AC$5+E905))"),"")</f>
        <v/>
      </c>
      <c r="G905" s="10" t="str">
        <f>IFERROR(__xludf.DUMMYFUNCTION("IF(COUNTA(C905:C1673)=0,"""",IF(C905="""",0,IF(REGEXMATCH(C905,""^Sell_""),-ROUNDDOWN(ROUNDUP(INDEX(Upgrades!$C$3:$C$13,MATCH(SUBSTITUTE(C905,""Sell_"",""""),Upgrades!$B$3:$B$13,0))*1.15^(COUNTIF(C$4:C904,SUBSTITUTE(C905,""Sell_"",""""))-COUNTIF(C$4:C904,"&amp;"""Sell_""&amp;SUBSTITUTE(C905,""Sell_"",""""))))/2),ROUNDUP(INDEX(Upgrades!$C$3:$C$13,MATCH(C905,Upgrades!$B$3:$B$13,0))*1.15^(COUNTIF(C$4:C904,C905)-COUNTIF(C$4:C904,""Sell_""&amp;C905))))))"),"")</f>
        <v/>
      </c>
      <c r="H905" s="10" t="str">
        <f t="shared" si="3"/>
        <v/>
      </c>
      <c r="I905" s="68" t="str">
        <f t="shared" si="4"/>
        <v/>
      </c>
      <c r="J905" s="59" t="str">
        <f t="shared" si="5"/>
        <v/>
      </c>
      <c r="K905" s="69" t="str">
        <f t="shared" si="6"/>
        <v/>
      </c>
      <c r="L905" s="60" t="str">
        <f t="shared" si="7"/>
        <v/>
      </c>
      <c r="M905" s="61" t="str">
        <f>IFERROR(__xludf.DUMMYFUNCTION("IFS(AND(COUNTA(C905:C1673)=0,COUNTA(Q905:Q1673)=0),"""",OR(AND(K905&gt;=1000000000,OR(Y905&gt;=1000000000,COUNTA(Q905:Q1673)=0)),OR(Y905&gt;=1000000000,AND(COUNTA(C905:C1673)=0,P$3=TRUE))),
ROUNDDOWN((AB$1-AC$1)*MAX(INDEX(T$4:T1673,MATCH(LARGE(FILTER(Y$4:Y1673,Y$4"&amp;":Y1673&lt;1000000000),1),Y$4:Y1673)),INDEX(F$4:F1673,MATCH(LARGE(FILTER(K$4:K1673,K$4:K1673&lt;1000000000),1),K$4:K1673)))),AND(K905&lt;1000000000,COUNTA(C905:C1673)&gt;0,P$3=FALSE),
ROUNDDOWN(INDEX(Y$4:Y1673,MATCH(LARGE(FILTER(W$4:W1673,W$4:W1673&lt;=I905),1),W$4:W1673"&amp;"))+(I905-LARGE(FILTER(W$4:W1673,W$4:W1673&lt;=I905),1))*INDEX(T$4:T1673,MATCH(LARGE(FILTER(W$4:W1673,W$4:W1673&lt;=I905),1),W$4:W1673))-K905),1,
ROUNDDOWN(Y905-INDEX(K$4:K1673,MATCH(LARGE(FILTER(I$4:I1673,I$4:I1673&lt;=W905),1),I$4:I1673))-(W905-LARGE(FILTER(I$4:I"&amp;"1673,I$4:I1673&lt;=W905),1))*INDEX(F$4:F1673,MATCH(LARGE(FILTER(I$4:I1673,I$4:I1673&lt;=W905),1),I$4:I1673))))"),"")</f>
        <v/>
      </c>
      <c r="N905" s="60" t="str">
        <f t="shared" si="8"/>
        <v/>
      </c>
      <c r="O905" s="61" t="str">
        <f t="shared" si="9"/>
        <v/>
      </c>
      <c r="P905" s="56" t="str">
        <f t="shared" si="10"/>
        <v/>
      </c>
      <c r="R905" s="10"/>
      <c r="S905" s="59" t="str">
        <f t="array" ref="S905">IF(COUNTA(Q905:Q1673)=0,"",SUM((COUNTIF(Q$4:Q905,Upgrades!$B$3:$B$13)-COUNTIF(Q$4:Q905,"Sell_"&amp;Upgrades!$B$3:$B$13))*Upgrades!$D$3:$D$13))</f>
        <v/>
      </c>
      <c r="T905" s="66" t="str">
        <f>IFERROR(__xludf.DUMMYFUNCTION("IF(COUNTA(Q905:Q1673)=0,"""",IF(REGEXMATCH(INDEX(FILTER(Q$4:Q905,Q$4:Q905&lt;&gt;""""),ROWS(FILTER(Q$4:Q905,Q$4:Q905&lt;&gt;""""))),""^Sell_""),INDEX(FILTER(T$4:T904,Q$4:Q904&lt;&gt;""""),ROWS(FILTER(Q$4:Q904,Q$4:Q904&lt;&gt;""""))),$AD$5+S905))"),"")</f>
        <v/>
      </c>
      <c r="U905" s="10" t="str">
        <f>IFERROR(__xludf.DUMMYFUNCTION("IF(COUNTA(Q905:Q1673)=0,"""",IF(Q905="""",0,IF(REGEXMATCH(Q905,""^Sell_""),-ROUNDDOWN(ROUNDUP(INDEX(Upgrades!$C$3:$C$13,MATCH(SUBSTITUTE(Q905,""Sell_"",""""),Upgrades!$B$3:$B$13,0))*1.15^(COUNTIF(Q$4:Q904,SUBSTITUTE(Q905,""Sell_"",""""))-COUNTIF(Q$4:Q904,"&amp;"""Sell_""&amp;SUBSTITUTE(Q905,""Sell_"",""""))))/2),ROUNDUP(INDEX(Upgrades!$C$3:$C$13,MATCH(Q905,Upgrades!$B$3:$B$13,0))*1.15^(COUNTIF(Q$4:Q904,Q905)-COUNTIF(Q$4:Q904,""Sell_""&amp;Q905))))))"),"")</f>
        <v/>
      </c>
      <c r="V905" s="10" t="str">
        <f t="shared" si="11"/>
        <v/>
      </c>
      <c r="W905" s="68" t="str">
        <f t="shared" si="12"/>
        <v/>
      </c>
      <c r="X905" s="59" t="str">
        <f t="shared" si="13"/>
        <v/>
      </c>
      <c r="Y905" s="69" t="str">
        <f t="shared" si="14"/>
        <v/>
      </c>
      <c r="Z905" s="11"/>
    </row>
    <row r="906">
      <c r="A906" s="8"/>
      <c r="B906" s="56" t="str">
        <f t="shared" si="2"/>
        <v/>
      </c>
      <c r="C906" s="105"/>
      <c r="D906" s="10"/>
      <c r="E906" s="59" t="str">
        <f t="array" ref="E906">IF(COUNTA(C906:C1673)=0,"",SUM((COUNTIF(C$4:C906,Upgrades!$B$3:$B$13)-COUNTIF(C$4:C906,"Sell_"&amp;Upgrades!$B$3:$B$13))*Upgrades!$D$3:$D$13))</f>
        <v/>
      </c>
      <c r="F906" s="66" t="str">
        <f>IFERROR(__xludf.DUMMYFUNCTION("IF(COUNTA(C906:C1673)=0,"""",IF(REGEXMATCH(INDEX(FILTER(C$4:C906,C$4:C906&lt;&gt;""""),ROWS(FILTER(C$4:C906,C$4:C906&lt;&gt;""""))),""^Sell_""),INDEX(FILTER(F$4:F905,C$4:C905&lt;&gt;""""),ROWS(FILTER(C$4:C905,C$4:C905&lt;&gt;""""))),$AC$5+E906))"),"")</f>
        <v/>
      </c>
      <c r="G906" s="10" t="str">
        <f>IFERROR(__xludf.DUMMYFUNCTION("IF(COUNTA(C906:C1673)=0,"""",IF(C906="""",0,IF(REGEXMATCH(C906,""^Sell_""),-ROUNDDOWN(ROUNDUP(INDEX(Upgrades!$C$3:$C$13,MATCH(SUBSTITUTE(C906,""Sell_"",""""),Upgrades!$B$3:$B$13,0))*1.15^(COUNTIF(C$4:C905,SUBSTITUTE(C906,""Sell_"",""""))-COUNTIF(C$4:C905,"&amp;"""Sell_""&amp;SUBSTITUTE(C906,""Sell_"",""""))))/2),ROUNDUP(INDEX(Upgrades!$C$3:$C$13,MATCH(C906,Upgrades!$B$3:$B$13,0))*1.15^(COUNTIF(C$4:C905,C906)-COUNTIF(C$4:C905,""Sell_""&amp;C906))))))"),"")</f>
        <v/>
      </c>
      <c r="H906" s="10" t="str">
        <f t="shared" si="3"/>
        <v/>
      </c>
      <c r="I906" s="68" t="str">
        <f t="shared" si="4"/>
        <v/>
      </c>
      <c r="J906" s="59" t="str">
        <f t="shared" si="5"/>
        <v/>
      </c>
      <c r="K906" s="69" t="str">
        <f t="shared" si="6"/>
        <v/>
      </c>
      <c r="L906" s="60" t="str">
        <f t="shared" si="7"/>
        <v/>
      </c>
      <c r="M906" s="61" t="str">
        <f>IFERROR(__xludf.DUMMYFUNCTION("IFS(AND(COUNTA(C906:C1673)=0,COUNTA(Q906:Q1673)=0),"""",OR(AND(K906&gt;=1000000000,OR(Y906&gt;=1000000000,COUNTA(Q906:Q1673)=0)),OR(Y906&gt;=1000000000,AND(COUNTA(C906:C1673)=0,P$3=TRUE))),
ROUNDDOWN((AB$1-AC$1)*MAX(INDEX(T$4:T1673,MATCH(LARGE(FILTER(Y$4:Y1673,Y$4"&amp;":Y1673&lt;1000000000),1),Y$4:Y1673)),INDEX(F$4:F1673,MATCH(LARGE(FILTER(K$4:K1673,K$4:K1673&lt;1000000000),1),K$4:K1673)))),AND(K906&lt;1000000000,COUNTA(C906:C1673)&gt;0,P$3=FALSE),
ROUNDDOWN(INDEX(Y$4:Y1673,MATCH(LARGE(FILTER(W$4:W1673,W$4:W1673&lt;=I906),1),W$4:W1673"&amp;"))+(I906-LARGE(FILTER(W$4:W1673,W$4:W1673&lt;=I906),1))*INDEX(T$4:T1673,MATCH(LARGE(FILTER(W$4:W1673,W$4:W1673&lt;=I906),1),W$4:W1673))-K906),1,
ROUNDDOWN(Y906-INDEX(K$4:K1673,MATCH(LARGE(FILTER(I$4:I1673,I$4:I1673&lt;=W906),1),I$4:I1673))-(W906-LARGE(FILTER(I$4:I"&amp;"1673,I$4:I1673&lt;=W906),1))*INDEX(F$4:F1673,MATCH(LARGE(FILTER(I$4:I1673,I$4:I1673&lt;=W906),1),I$4:I1673))))"),"")</f>
        <v/>
      </c>
      <c r="N906" s="60" t="str">
        <f t="shared" si="8"/>
        <v/>
      </c>
      <c r="O906" s="61" t="str">
        <f t="shared" si="9"/>
        <v/>
      </c>
      <c r="P906" s="56" t="str">
        <f t="shared" si="10"/>
        <v/>
      </c>
      <c r="R906" s="10"/>
      <c r="S906" s="59" t="str">
        <f t="array" ref="S906">IF(COUNTA(Q906:Q1673)=0,"",SUM((COUNTIF(Q$4:Q906,Upgrades!$B$3:$B$13)-COUNTIF(Q$4:Q906,"Sell_"&amp;Upgrades!$B$3:$B$13))*Upgrades!$D$3:$D$13))</f>
        <v/>
      </c>
      <c r="T906" s="66" t="str">
        <f>IFERROR(__xludf.DUMMYFUNCTION("IF(COUNTA(Q906:Q1673)=0,"""",IF(REGEXMATCH(INDEX(FILTER(Q$4:Q906,Q$4:Q906&lt;&gt;""""),ROWS(FILTER(Q$4:Q906,Q$4:Q906&lt;&gt;""""))),""^Sell_""),INDEX(FILTER(T$4:T905,Q$4:Q905&lt;&gt;""""),ROWS(FILTER(Q$4:Q905,Q$4:Q905&lt;&gt;""""))),$AD$5+S906))"),"")</f>
        <v/>
      </c>
      <c r="U906" s="10" t="str">
        <f>IFERROR(__xludf.DUMMYFUNCTION("IF(COUNTA(Q906:Q1673)=0,"""",IF(Q906="""",0,IF(REGEXMATCH(Q906,""^Sell_""),-ROUNDDOWN(ROUNDUP(INDEX(Upgrades!$C$3:$C$13,MATCH(SUBSTITUTE(Q906,""Sell_"",""""),Upgrades!$B$3:$B$13,0))*1.15^(COUNTIF(Q$4:Q905,SUBSTITUTE(Q906,""Sell_"",""""))-COUNTIF(Q$4:Q905,"&amp;"""Sell_""&amp;SUBSTITUTE(Q906,""Sell_"",""""))))/2),ROUNDUP(INDEX(Upgrades!$C$3:$C$13,MATCH(Q906,Upgrades!$B$3:$B$13,0))*1.15^(COUNTIF(Q$4:Q905,Q906)-COUNTIF(Q$4:Q905,""Sell_""&amp;Q906))))))"),"")</f>
        <v/>
      </c>
      <c r="V906" s="10" t="str">
        <f t="shared" si="11"/>
        <v/>
      </c>
      <c r="W906" s="68" t="str">
        <f t="shared" si="12"/>
        <v/>
      </c>
      <c r="X906" s="59" t="str">
        <f t="shared" si="13"/>
        <v/>
      </c>
      <c r="Y906" s="69" t="str">
        <f t="shared" si="14"/>
        <v/>
      </c>
      <c r="Z906" s="11"/>
    </row>
    <row r="907">
      <c r="A907" s="8"/>
      <c r="B907" s="56" t="str">
        <f t="shared" si="2"/>
        <v/>
      </c>
      <c r="C907" s="105"/>
      <c r="D907" s="10"/>
      <c r="E907" s="59" t="str">
        <f t="array" ref="E907">IF(COUNTA(C907:C1673)=0,"",SUM((COUNTIF(C$4:C907,Upgrades!$B$3:$B$13)-COUNTIF(C$4:C907,"Sell_"&amp;Upgrades!$B$3:$B$13))*Upgrades!$D$3:$D$13))</f>
        <v/>
      </c>
      <c r="F907" s="66" t="str">
        <f>IFERROR(__xludf.DUMMYFUNCTION("IF(COUNTA(C907:C1673)=0,"""",IF(REGEXMATCH(INDEX(FILTER(C$4:C907,C$4:C907&lt;&gt;""""),ROWS(FILTER(C$4:C907,C$4:C907&lt;&gt;""""))),""^Sell_""),INDEX(FILTER(F$4:F906,C$4:C906&lt;&gt;""""),ROWS(FILTER(C$4:C906,C$4:C906&lt;&gt;""""))),$AC$5+E907))"),"")</f>
        <v/>
      </c>
      <c r="G907" s="10" t="str">
        <f>IFERROR(__xludf.DUMMYFUNCTION("IF(COUNTA(C907:C1673)=0,"""",IF(C907="""",0,IF(REGEXMATCH(C907,""^Sell_""),-ROUNDDOWN(ROUNDUP(INDEX(Upgrades!$C$3:$C$13,MATCH(SUBSTITUTE(C907,""Sell_"",""""),Upgrades!$B$3:$B$13,0))*1.15^(COUNTIF(C$4:C906,SUBSTITUTE(C907,""Sell_"",""""))-COUNTIF(C$4:C906,"&amp;"""Sell_""&amp;SUBSTITUTE(C907,""Sell_"",""""))))/2),ROUNDUP(INDEX(Upgrades!$C$3:$C$13,MATCH(C907,Upgrades!$B$3:$B$13,0))*1.15^(COUNTIF(C$4:C906,C907)-COUNTIF(C$4:C906,""Sell_""&amp;C907))))))"),"")</f>
        <v/>
      </c>
      <c r="H907" s="10" t="str">
        <f t="shared" si="3"/>
        <v/>
      </c>
      <c r="I907" s="68" t="str">
        <f t="shared" si="4"/>
        <v/>
      </c>
      <c r="J907" s="59" t="str">
        <f t="shared" si="5"/>
        <v/>
      </c>
      <c r="K907" s="69" t="str">
        <f t="shared" si="6"/>
        <v/>
      </c>
      <c r="L907" s="60" t="str">
        <f t="shared" si="7"/>
        <v/>
      </c>
      <c r="M907" s="61" t="str">
        <f>IFERROR(__xludf.DUMMYFUNCTION("IFS(AND(COUNTA(C907:C1673)=0,COUNTA(Q907:Q1673)=0),"""",OR(AND(K907&gt;=1000000000,OR(Y907&gt;=1000000000,COUNTA(Q907:Q1673)=0)),OR(Y907&gt;=1000000000,AND(COUNTA(C907:C1673)=0,P$3=TRUE))),
ROUNDDOWN((AB$1-AC$1)*MAX(INDEX(T$4:T1673,MATCH(LARGE(FILTER(Y$4:Y1673,Y$4"&amp;":Y1673&lt;1000000000),1),Y$4:Y1673)),INDEX(F$4:F1673,MATCH(LARGE(FILTER(K$4:K1673,K$4:K1673&lt;1000000000),1),K$4:K1673)))),AND(K907&lt;1000000000,COUNTA(C907:C1673)&gt;0,P$3=FALSE),
ROUNDDOWN(INDEX(Y$4:Y1673,MATCH(LARGE(FILTER(W$4:W1673,W$4:W1673&lt;=I907),1),W$4:W1673"&amp;"))+(I907-LARGE(FILTER(W$4:W1673,W$4:W1673&lt;=I907),1))*INDEX(T$4:T1673,MATCH(LARGE(FILTER(W$4:W1673,W$4:W1673&lt;=I907),1),W$4:W1673))-K907),1,
ROUNDDOWN(Y907-INDEX(K$4:K1673,MATCH(LARGE(FILTER(I$4:I1673,I$4:I1673&lt;=W907),1),I$4:I1673))-(W907-LARGE(FILTER(I$4:I"&amp;"1673,I$4:I1673&lt;=W907),1))*INDEX(F$4:F1673,MATCH(LARGE(FILTER(I$4:I1673,I$4:I1673&lt;=W907),1),I$4:I1673))))"),"")</f>
        <v/>
      </c>
      <c r="N907" s="60" t="str">
        <f t="shared" si="8"/>
        <v/>
      </c>
      <c r="O907" s="61" t="str">
        <f t="shared" si="9"/>
        <v/>
      </c>
      <c r="P907" s="56" t="str">
        <f t="shared" si="10"/>
        <v/>
      </c>
      <c r="R907" s="10"/>
      <c r="S907" s="59" t="str">
        <f t="array" ref="S907">IF(COUNTA(Q907:Q1673)=0,"",SUM((COUNTIF(Q$4:Q907,Upgrades!$B$3:$B$13)-COUNTIF(Q$4:Q907,"Sell_"&amp;Upgrades!$B$3:$B$13))*Upgrades!$D$3:$D$13))</f>
        <v/>
      </c>
      <c r="T907" s="66" t="str">
        <f>IFERROR(__xludf.DUMMYFUNCTION("IF(COUNTA(Q907:Q1673)=0,"""",IF(REGEXMATCH(INDEX(FILTER(Q$4:Q907,Q$4:Q907&lt;&gt;""""),ROWS(FILTER(Q$4:Q907,Q$4:Q907&lt;&gt;""""))),""^Sell_""),INDEX(FILTER(T$4:T906,Q$4:Q906&lt;&gt;""""),ROWS(FILTER(Q$4:Q906,Q$4:Q906&lt;&gt;""""))),$AD$5+S907))"),"")</f>
        <v/>
      </c>
      <c r="U907" s="10" t="str">
        <f>IFERROR(__xludf.DUMMYFUNCTION("IF(COUNTA(Q907:Q1673)=0,"""",IF(Q907="""",0,IF(REGEXMATCH(Q907,""^Sell_""),-ROUNDDOWN(ROUNDUP(INDEX(Upgrades!$C$3:$C$13,MATCH(SUBSTITUTE(Q907,""Sell_"",""""),Upgrades!$B$3:$B$13,0))*1.15^(COUNTIF(Q$4:Q906,SUBSTITUTE(Q907,""Sell_"",""""))-COUNTIF(Q$4:Q906,"&amp;"""Sell_""&amp;SUBSTITUTE(Q907,""Sell_"",""""))))/2),ROUNDUP(INDEX(Upgrades!$C$3:$C$13,MATCH(Q907,Upgrades!$B$3:$B$13,0))*1.15^(COUNTIF(Q$4:Q906,Q907)-COUNTIF(Q$4:Q906,""Sell_""&amp;Q907))))))"),"")</f>
        <v/>
      </c>
      <c r="V907" s="10" t="str">
        <f t="shared" si="11"/>
        <v/>
      </c>
      <c r="W907" s="68" t="str">
        <f t="shared" si="12"/>
        <v/>
      </c>
      <c r="X907" s="59" t="str">
        <f t="shared" si="13"/>
        <v/>
      </c>
      <c r="Y907" s="69" t="str">
        <f t="shared" si="14"/>
        <v/>
      </c>
      <c r="Z907" s="11"/>
    </row>
    <row r="908">
      <c r="A908" s="8"/>
      <c r="B908" s="56" t="str">
        <f t="shared" si="2"/>
        <v/>
      </c>
      <c r="C908" s="105"/>
      <c r="D908" s="10"/>
      <c r="E908" s="59" t="str">
        <f t="array" ref="E908">IF(COUNTA(C908:C1673)=0,"",SUM((COUNTIF(C$4:C908,Upgrades!$B$3:$B$13)-COUNTIF(C$4:C908,"Sell_"&amp;Upgrades!$B$3:$B$13))*Upgrades!$D$3:$D$13))</f>
        <v/>
      </c>
      <c r="F908" s="66" t="str">
        <f>IFERROR(__xludf.DUMMYFUNCTION("IF(COUNTA(C908:C1673)=0,"""",IF(REGEXMATCH(INDEX(FILTER(C$4:C908,C$4:C908&lt;&gt;""""),ROWS(FILTER(C$4:C908,C$4:C908&lt;&gt;""""))),""^Sell_""),INDEX(FILTER(F$4:F907,C$4:C907&lt;&gt;""""),ROWS(FILTER(C$4:C907,C$4:C907&lt;&gt;""""))),$AC$5+E908))"),"")</f>
        <v/>
      </c>
      <c r="G908" s="10" t="str">
        <f>IFERROR(__xludf.DUMMYFUNCTION("IF(COUNTA(C908:C1673)=0,"""",IF(C908="""",0,IF(REGEXMATCH(C908,""^Sell_""),-ROUNDDOWN(ROUNDUP(INDEX(Upgrades!$C$3:$C$13,MATCH(SUBSTITUTE(C908,""Sell_"",""""),Upgrades!$B$3:$B$13,0))*1.15^(COUNTIF(C$4:C907,SUBSTITUTE(C908,""Sell_"",""""))-COUNTIF(C$4:C907,"&amp;"""Sell_""&amp;SUBSTITUTE(C908,""Sell_"",""""))))/2),ROUNDUP(INDEX(Upgrades!$C$3:$C$13,MATCH(C908,Upgrades!$B$3:$B$13,0))*1.15^(COUNTIF(C$4:C907,C908)-COUNTIF(C$4:C907,""Sell_""&amp;C908))))))"),"")</f>
        <v/>
      </c>
      <c r="H908" s="10" t="str">
        <f t="shared" si="3"/>
        <v/>
      </c>
      <c r="I908" s="68" t="str">
        <f t="shared" si="4"/>
        <v/>
      </c>
      <c r="J908" s="59" t="str">
        <f t="shared" si="5"/>
        <v/>
      </c>
      <c r="K908" s="69" t="str">
        <f t="shared" si="6"/>
        <v/>
      </c>
      <c r="L908" s="60" t="str">
        <f t="shared" si="7"/>
        <v/>
      </c>
      <c r="M908" s="61" t="str">
        <f>IFERROR(__xludf.DUMMYFUNCTION("IFS(AND(COUNTA(C908:C1673)=0,COUNTA(Q908:Q1673)=0),"""",OR(AND(K908&gt;=1000000000,OR(Y908&gt;=1000000000,COUNTA(Q908:Q1673)=0)),OR(Y908&gt;=1000000000,AND(COUNTA(C908:C1673)=0,P$3=TRUE))),
ROUNDDOWN((AB$1-AC$1)*MAX(INDEX(T$4:T1673,MATCH(LARGE(FILTER(Y$4:Y1673,Y$4"&amp;":Y1673&lt;1000000000),1),Y$4:Y1673)),INDEX(F$4:F1673,MATCH(LARGE(FILTER(K$4:K1673,K$4:K1673&lt;1000000000),1),K$4:K1673)))),AND(K908&lt;1000000000,COUNTA(C908:C1673)&gt;0,P$3=FALSE),
ROUNDDOWN(INDEX(Y$4:Y1673,MATCH(LARGE(FILTER(W$4:W1673,W$4:W1673&lt;=I908),1),W$4:W1673"&amp;"))+(I908-LARGE(FILTER(W$4:W1673,W$4:W1673&lt;=I908),1))*INDEX(T$4:T1673,MATCH(LARGE(FILTER(W$4:W1673,W$4:W1673&lt;=I908),1),W$4:W1673))-K908),1,
ROUNDDOWN(Y908-INDEX(K$4:K1673,MATCH(LARGE(FILTER(I$4:I1673,I$4:I1673&lt;=W908),1),I$4:I1673))-(W908-LARGE(FILTER(I$4:I"&amp;"1673,I$4:I1673&lt;=W908),1))*INDEX(F$4:F1673,MATCH(LARGE(FILTER(I$4:I1673,I$4:I1673&lt;=W908),1),I$4:I1673))))"),"")</f>
        <v/>
      </c>
      <c r="N908" s="60" t="str">
        <f t="shared" si="8"/>
        <v/>
      </c>
      <c r="O908" s="61" t="str">
        <f t="shared" si="9"/>
        <v/>
      </c>
      <c r="P908" s="56" t="str">
        <f t="shared" si="10"/>
        <v/>
      </c>
      <c r="R908" s="10"/>
      <c r="S908" s="59" t="str">
        <f t="array" ref="S908">IF(COUNTA(Q908:Q1673)=0,"",SUM((COUNTIF(Q$4:Q908,Upgrades!$B$3:$B$13)-COUNTIF(Q$4:Q908,"Sell_"&amp;Upgrades!$B$3:$B$13))*Upgrades!$D$3:$D$13))</f>
        <v/>
      </c>
      <c r="T908" s="66" t="str">
        <f>IFERROR(__xludf.DUMMYFUNCTION("IF(COUNTA(Q908:Q1673)=0,"""",IF(REGEXMATCH(INDEX(FILTER(Q$4:Q908,Q$4:Q908&lt;&gt;""""),ROWS(FILTER(Q$4:Q908,Q$4:Q908&lt;&gt;""""))),""^Sell_""),INDEX(FILTER(T$4:T907,Q$4:Q907&lt;&gt;""""),ROWS(FILTER(Q$4:Q907,Q$4:Q907&lt;&gt;""""))),$AD$5+S908))"),"")</f>
        <v/>
      </c>
      <c r="U908" s="10" t="str">
        <f>IFERROR(__xludf.DUMMYFUNCTION("IF(COUNTA(Q908:Q1673)=0,"""",IF(Q908="""",0,IF(REGEXMATCH(Q908,""^Sell_""),-ROUNDDOWN(ROUNDUP(INDEX(Upgrades!$C$3:$C$13,MATCH(SUBSTITUTE(Q908,""Sell_"",""""),Upgrades!$B$3:$B$13,0))*1.15^(COUNTIF(Q$4:Q907,SUBSTITUTE(Q908,""Sell_"",""""))-COUNTIF(Q$4:Q907,"&amp;"""Sell_""&amp;SUBSTITUTE(Q908,""Sell_"",""""))))/2),ROUNDUP(INDEX(Upgrades!$C$3:$C$13,MATCH(Q908,Upgrades!$B$3:$B$13,0))*1.15^(COUNTIF(Q$4:Q907,Q908)-COUNTIF(Q$4:Q907,""Sell_""&amp;Q908))))))"),"")</f>
        <v/>
      </c>
      <c r="V908" s="10" t="str">
        <f t="shared" si="11"/>
        <v/>
      </c>
      <c r="W908" s="68" t="str">
        <f t="shared" si="12"/>
        <v/>
      </c>
      <c r="X908" s="59" t="str">
        <f t="shared" si="13"/>
        <v/>
      </c>
      <c r="Y908" s="69" t="str">
        <f t="shared" si="14"/>
        <v/>
      </c>
      <c r="Z908" s="11"/>
    </row>
    <row r="909">
      <c r="A909" s="8"/>
      <c r="B909" s="56" t="str">
        <f t="shared" si="2"/>
        <v/>
      </c>
      <c r="C909" s="105"/>
      <c r="D909" s="10"/>
      <c r="E909" s="59" t="str">
        <f t="array" ref="E909">IF(COUNTA(C909:C1673)=0,"",SUM((COUNTIF(C$4:C909,Upgrades!$B$3:$B$13)-COUNTIF(C$4:C909,"Sell_"&amp;Upgrades!$B$3:$B$13))*Upgrades!$D$3:$D$13))</f>
        <v/>
      </c>
      <c r="F909" s="66" t="str">
        <f>IFERROR(__xludf.DUMMYFUNCTION("IF(COUNTA(C909:C1673)=0,"""",IF(REGEXMATCH(INDEX(FILTER(C$4:C909,C$4:C909&lt;&gt;""""),ROWS(FILTER(C$4:C909,C$4:C909&lt;&gt;""""))),""^Sell_""),INDEX(FILTER(F$4:F908,C$4:C908&lt;&gt;""""),ROWS(FILTER(C$4:C908,C$4:C908&lt;&gt;""""))),$AC$5+E909))"),"")</f>
        <v/>
      </c>
      <c r="G909" s="10" t="str">
        <f>IFERROR(__xludf.DUMMYFUNCTION("IF(COUNTA(C909:C1673)=0,"""",IF(C909="""",0,IF(REGEXMATCH(C909,""^Sell_""),-ROUNDDOWN(ROUNDUP(INDEX(Upgrades!$C$3:$C$13,MATCH(SUBSTITUTE(C909,""Sell_"",""""),Upgrades!$B$3:$B$13,0))*1.15^(COUNTIF(C$4:C908,SUBSTITUTE(C909,""Sell_"",""""))-COUNTIF(C$4:C908,"&amp;"""Sell_""&amp;SUBSTITUTE(C909,""Sell_"",""""))))/2),ROUNDUP(INDEX(Upgrades!$C$3:$C$13,MATCH(C909,Upgrades!$B$3:$B$13,0))*1.15^(COUNTIF(C$4:C908,C909)-COUNTIF(C$4:C908,""Sell_""&amp;C909))))))"),"")</f>
        <v/>
      </c>
      <c r="H909" s="10" t="str">
        <f t="shared" si="3"/>
        <v/>
      </c>
      <c r="I909" s="68" t="str">
        <f t="shared" si="4"/>
        <v/>
      </c>
      <c r="J909" s="59" t="str">
        <f t="shared" si="5"/>
        <v/>
      </c>
      <c r="K909" s="69" t="str">
        <f t="shared" si="6"/>
        <v/>
      </c>
      <c r="L909" s="60" t="str">
        <f t="shared" si="7"/>
        <v/>
      </c>
      <c r="M909" s="61" t="str">
        <f>IFERROR(__xludf.DUMMYFUNCTION("IFS(AND(COUNTA(C909:C1673)=0,COUNTA(Q909:Q1673)=0),"""",OR(AND(K909&gt;=1000000000,OR(Y909&gt;=1000000000,COUNTA(Q909:Q1673)=0)),OR(Y909&gt;=1000000000,AND(COUNTA(C909:C1673)=0,P$3=TRUE))),
ROUNDDOWN((AB$1-AC$1)*MAX(INDEX(T$4:T1673,MATCH(LARGE(FILTER(Y$4:Y1673,Y$4"&amp;":Y1673&lt;1000000000),1),Y$4:Y1673)),INDEX(F$4:F1673,MATCH(LARGE(FILTER(K$4:K1673,K$4:K1673&lt;1000000000),1),K$4:K1673)))),AND(K909&lt;1000000000,COUNTA(C909:C1673)&gt;0,P$3=FALSE),
ROUNDDOWN(INDEX(Y$4:Y1673,MATCH(LARGE(FILTER(W$4:W1673,W$4:W1673&lt;=I909),1),W$4:W1673"&amp;"))+(I909-LARGE(FILTER(W$4:W1673,W$4:W1673&lt;=I909),1))*INDEX(T$4:T1673,MATCH(LARGE(FILTER(W$4:W1673,W$4:W1673&lt;=I909),1),W$4:W1673))-K909),1,
ROUNDDOWN(Y909-INDEX(K$4:K1673,MATCH(LARGE(FILTER(I$4:I1673,I$4:I1673&lt;=W909),1),I$4:I1673))-(W909-LARGE(FILTER(I$4:I"&amp;"1673,I$4:I1673&lt;=W909),1))*INDEX(F$4:F1673,MATCH(LARGE(FILTER(I$4:I1673,I$4:I1673&lt;=W909),1),I$4:I1673))))"),"")</f>
        <v/>
      </c>
      <c r="N909" s="60" t="str">
        <f t="shared" si="8"/>
        <v/>
      </c>
      <c r="O909" s="61" t="str">
        <f t="shared" si="9"/>
        <v/>
      </c>
      <c r="P909" s="56" t="str">
        <f t="shared" si="10"/>
        <v/>
      </c>
      <c r="R909" s="10"/>
      <c r="S909" s="59" t="str">
        <f t="array" ref="S909">IF(COUNTA(Q909:Q1673)=0,"",SUM((COUNTIF(Q$4:Q909,Upgrades!$B$3:$B$13)-COUNTIF(Q$4:Q909,"Sell_"&amp;Upgrades!$B$3:$B$13))*Upgrades!$D$3:$D$13))</f>
        <v/>
      </c>
      <c r="T909" s="66" t="str">
        <f>IFERROR(__xludf.DUMMYFUNCTION("IF(COUNTA(Q909:Q1673)=0,"""",IF(REGEXMATCH(INDEX(FILTER(Q$4:Q909,Q$4:Q909&lt;&gt;""""),ROWS(FILTER(Q$4:Q909,Q$4:Q909&lt;&gt;""""))),""^Sell_""),INDEX(FILTER(T$4:T908,Q$4:Q908&lt;&gt;""""),ROWS(FILTER(Q$4:Q908,Q$4:Q908&lt;&gt;""""))),$AD$5+S909))"),"")</f>
        <v/>
      </c>
      <c r="U909" s="10" t="str">
        <f>IFERROR(__xludf.DUMMYFUNCTION("IF(COUNTA(Q909:Q1673)=0,"""",IF(Q909="""",0,IF(REGEXMATCH(Q909,""^Sell_""),-ROUNDDOWN(ROUNDUP(INDEX(Upgrades!$C$3:$C$13,MATCH(SUBSTITUTE(Q909,""Sell_"",""""),Upgrades!$B$3:$B$13,0))*1.15^(COUNTIF(Q$4:Q908,SUBSTITUTE(Q909,""Sell_"",""""))-COUNTIF(Q$4:Q908,"&amp;"""Sell_""&amp;SUBSTITUTE(Q909,""Sell_"",""""))))/2),ROUNDUP(INDEX(Upgrades!$C$3:$C$13,MATCH(Q909,Upgrades!$B$3:$B$13,0))*1.15^(COUNTIF(Q$4:Q908,Q909)-COUNTIF(Q$4:Q908,""Sell_""&amp;Q909))))))"),"")</f>
        <v/>
      </c>
      <c r="V909" s="10" t="str">
        <f t="shared" si="11"/>
        <v/>
      </c>
      <c r="W909" s="68" t="str">
        <f t="shared" si="12"/>
        <v/>
      </c>
      <c r="X909" s="59" t="str">
        <f t="shared" si="13"/>
        <v/>
      </c>
      <c r="Y909" s="69" t="str">
        <f t="shared" si="14"/>
        <v/>
      </c>
      <c r="Z909" s="11"/>
    </row>
    <row r="910">
      <c r="A910" s="8"/>
      <c r="B910" s="56" t="str">
        <f t="shared" si="2"/>
        <v/>
      </c>
      <c r="C910" s="105"/>
      <c r="D910" s="10"/>
      <c r="E910" s="59" t="str">
        <f t="array" ref="E910">IF(COUNTA(C910:C1673)=0,"",SUM((COUNTIF(C$4:C910,Upgrades!$B$3:$B$13)-COUNTIF(C$4:C910,"Sell_"&amp;Upgrades!$B$3:$B$13))*Upgrades!$D$3:$D$13))</f>
        <v/>
      </c>
      <c r="F910" s="66" t="str">
        <f>IFERROR(__xludf.DUMMYFUNCTION("IF(COUNTA(C910:C1673)=0,"""",IF(REGEXMATCH(INDEX(FILTER(C$4:C910,C$4:C910&lt;&gt;""""),ROWS(FILTER(C$4:C910,C$4:C910&lt;&gt;""""))),""^Sell_""),INDEX(FILTER(F$4:F909,C$4:C909&lt;&gt;""""),ROWS(FILTER(C$4:C909,C$4:C909&lt;&gt;""""))),$AC$5+E910))"),"")</f>
        <v/>
      </c>
      <c r="G910" s="10" t="str">
        <f>IFERROR(__xludf.DUMMYFUNCTION("IF(COUNTA(C910:C1673)=0,"""",IF(C910="""",0,IF(REGEXMATCH(C910,""^Sell_""),-ROUNDDOWN(ROUNDUP(INDEX(Upgrades!$C$3:$C$13,MATCH(SUBSTITUTE(C910,""Sell_"",""""),Upgrades!$B$3:$B$13,0))*1.15^(COUNTIF(C$4:C909,SUBSTITUTE(C910,""Sell_"",""""))-COUNTIF(C$4:C909,"&amp;"""Sell_""&amp;SUBSTITUTE(C910,""Sell_"",""""))))/2),ROUNDUP(INDEX(Upgrades!$C$3:$C$13,MATCH(C910,Upgrades!$B$3:$B$13,0))*1.15^(COUNTIF(C$4:C909,C910)-COUNTIF(C$4:C909,""Sell_""&amp;C910))))))"),"")</f>
        <v/>
      </c>
      <c r="H910" s="10" t="str">
        <f t="shared" si="3"/>
        <v/>
      </c>
      <c r="I910" s="68" t="str">
        <f t="shared" si="4"/>
        <v/>
      </c>
      <c r="J910" s="59" t="str">
        <f t="shared" si="5"/>
        <v/>
      </c>
      <c r="K910" s="69" t="str">
        <f t="shared" si="6"/>
        <v/>
      </c>
      <c r="L910" s="60" t="str">
        <f t="shared" si="7"/>
        <v/>
      </c>
      <c r="M910" s="61" t="str">
        <f>IFERROR(__xludf.DUMMYFUNCTION("IFS(AND(COUNTA(C910:C1673)=0,COUNTA(Q910:Q1673)=0),"""",OR(AND(K910&gt;=1000000000,OR(Y910&gt;=1000000000,COUNTA(Q910:Q1673)=0)),OR(Y910&gt;=1000000000,AND(COUNTA(C910:C1673)=0,P$3=TRUE))),
ROUNDDOWN((AB$1-AC$1)*MAX(INDEX(T$4:T1673,MATCH(LARGE(FILTER(Y$4:Y1673,Y$4"&amp;":Y1673&lt;1000000000),1),Y$4:Y1673)),INDEX(F$4:F1673,MATCH(LARGE(FILTER(K$4:K1673,K$4:K1673&lt;1000000000),1),K$4:K1673)))),AND(K910&lt;1000000000,COUNTA(C910:C1673)&gt;0,P$3=FALSE),
ROUNDDOWN(INDEX(Y$4:Y1673,MATCH(LARGE(FILTER(W$4:W1673,W$4:W1673&lt;=I910),1),W$4:W1673"&amp;"))+(I910-LARGE(FILTER(W$4:W1673,W$4:W1673&lt;=I910),1))*INDEX(T$4:T1673,MATCH(LARGE(FILTER(W$4:W1673,W$4:W1673&lt;=I910),1),W$4:W1673))-K910),1,
ROUNDDOWN(Y910-INDEX(K$4:K1673,MATCH(LARGE(FILTER(I$4:I1673,I$4:I1673&lt;=W910),1),I$4:I1673))-(W910-LARGE(FILTER(I$4:I"&amp;"1673,I$4:I1673&lt;=W910),1))*INDEX(F$4:F1673,MATCH(LARGE(FILTER(I$4:I1673,I$4:I1673&lt;=W910),1),I$4:I1673))))"),"")</f>
        <v/>
      </c>
      <c r="N910" s="60" t="str">
        <f t="shared" si="8"/>
        <v/>
      </c>
      <c r="O910" s="61" t="str">
        <f t="shared" si="9"/>
        <v/>
      </c>
      <c r="P910" s="56" t="str">
        <f t="shared" si="10"/>
        <v/>
      </c>
      <c r="R910" s="10"/>
      <c r="S910" s="59" t="str">
        <f t="array" ref="S910">IF(COUNTA(Q910:Q1673)=0,"",SUM((COUNTIF(Q$4:Q910,Upgrades!$B$3:$B$13)-COUNTIF(Q$4:Q910,"Sell_"&amp;Upgrades!$B$3:$B$13))*Upgrades!$D$3:$D$13))</f>
        <v/>
      </c>
      <c r="T910" s="66" t="str">
        <f>IFERROR(__xludf.DUMMYFUNCTION("IF(COUNTA(Q910:Q1673)=0,"""",IF(REGEXMATCH(INDEX(FILTER(Q$4:Q910,Q$4:Q910&lt;&gt;""""),ROWS(FILTER(Q$4:Q910,Q$4:Q910&lt;&gt;""""))),""^Sell_""),INDEX(FILTER(T$4:T909,Q$4:Q909&lt;&gt;""""),ROWS(FILTER(Q$4:Q909,Q$4:Q909&lt;&gt;""""))),$AD$5+S910))"),"")</f>
        <v/>
      </c>
      <c r="U910" s="10" t="str">
        <f>IFERROR(__xludf.DUMMYFUNCTION("IF(COUNTA(Q910:Q1673)=0,"""",IF(Q910="""",0,IF(REGEXMATCH(Q910,""^Sell_""),-ROUNDDOWN(ROUNDUP(INDEX(Upgrades!$C$3:$C$13,MATCH(SUBSTITUTE(Q910,""Sell_"",""""),Upgrades!$B$3:$B$13,0))*1.15^(COUNTIF(Q$4:Q909,SUBSTITUTE(Q910,""Sell_"",""""))-COUNTIF(Q$4:Q909,"&amp;"""Sell_""&amp;SUBSTITUTE(Q910,""Sell_"",""""))))/2),ROUNDUP(INDEX(Upgrades!$C$3:$C$13,MATCH(Q910,Upgrades!$B$3:$B$13,0))*1.15^(COUNTIF(Q$4:Q909,Q910)-COUNTIF(Q$4:Q909,""Sell_""&amp;Q910))))))"),"")</f>
        <v/>
      </c>
      <c r="V910" s="10" t="str">
        <f t="shared" si="11"/>
        <v/>
      </c>
      <c r="W910" s="68" t="str">
        <f t="shared" si="12"/>
        <v/>
      </c>
      <c r="X910" s="59" t="str">
        <f t="shared" si="13"/>
        <v/>
      </c>
      <c r="Y910" s="69" t="str">
        <f t="shared" si="14"/>
        <v/>
      </c>
      <c r="Z910" s="11"/>
    </row>
    <row r="911">
      <c r="A911" s="8"/>
      <c r="B911" s="56" t="str">
        <f t="shared" si="2"/>
        <v/>
      </c>
      <c r="C911" s="105"/>
      <c r="D911" s="10"/>
      <c r="E911" s="59" t="str">
        <f t="array" ref="E911">IF(COUNTA(C911:C1673)=0,"",SUM((COUNTIF(C$4:C911,Upgrades!$B$3:$B$13)-COUNTIF(C$4:C911,"Sell_"&amp;Upgrades!$B$3:$B$13))*Upgrades!$D$3:$D$13))</f>
        <v/>
      </c>
      <c r="F911" s="66" t="str">
        <f>IFERROR(__xludf.DUMMYFUNCTION("IF(COUNTA(C911:C1673)=0,"""",IF(REGEXMATCH(INDEX(FILTER(C$4:C911,C$4:C911&lt;&gt;""""),ROWS(FILTER(C$4:C911,C$4:C911&lt;&gt;""""))),""^Sell_""),INDEX(FILTER(F$4:F910,C$4:C910&lt;&gt;""""),ROWS(FILTER(C$4:C910,C$4:C910&lt;&gt;""""))),$AC$5+E911))"),"")</f>
        <v/>
      </c>
      <c r="G911" s="10" t="str">
        <f>IFERROR(__xludf.DUMMYFUNCTION("IF(COUNTA(C911:C1673)=0,"""",IF(C911="""",0,IF(REGEXMATCH(C911,""^Sell_""),-ROUNDDOWN(ROUNDUP(INDEX(Upgrades!$C$3:$C$13,MATCH(SUBSTITUTE(C911,""Sell_"",""""),Upgrades!$B$3:$B$13,0))*1.15^(COUNTIF(C$4:C910,SUBSTITUTE(C911,""Sell_"",""""))-COUNTIF(C$4:C910,"&amp;"""Sell_""&amp;SUBSTITUTE(C911,""Sell_"",""""))))/2),ROUNDUP(INDEX(Upgrades!$C$3:$C$13,MATCH(C911,Upgrades!$B$3:$B$13,0))*1.15^(COUNTIF(C$4:C910,C911)-COUNTIF(C$4:C910,""Sell_""&amp;C911))))))"),"")</f>
        <v/>
      </c>
      <c r="H911" s="10" t="str">
        <f t="shared" si="3"/>
        <v/>
      </c>
      <c r="I911" s="68" t="str">
        <f t="shared" si="4"/>
        <v/>
      </c>
      <c r="J911" s="59" t="str">
        <f t="shared" si="5"/>
        <v/>
      </c>
      <c r="K911" s="69" t="str">
        <f t="shared" si="6"/>
        <v/>
      </c>
      <c r="L911" s="60" t="str">
        <f t="shared" si="7"/>
        <v/>
      </c>
      <c r="M911" s="61" t="str">
        <f>IFERROR(__xludf.DUMMYFUNCTION("IFS(AND(COUNTA(C911:C1673)=0,COUNTA(Q911:Q1673)=0),"""",OR(AND(K911&gt;=1000000000,OR(Y911&gt;=1000000000,COUNTA(Q911:Q1673)=0)),OR(Y911&gt;=1000000000,AND(COUNTA(C911:C1673)=0,P$3=TRUE))),
ROUNDDOWN((AB$1-AC$1)*MAX(INDEX(T$4:T1673,MATCH(LARGE(FILTER(Y$4:Y1673,Y$4"&amp;":Y1673&lt;1000000000),1),Y$4:Y1673)),INDEX(F$4:F1673,MATCH(LARGE(FILTER(K$4:K1673,K$4:K1673&lt;1000000000),1),K$4:K1673)))),AND(K911&lt;1000000000,COUNTA(C911:C1673)&gt;0,P$3=FALSE),
ROUNDDOWN(INDEX(Y$4:Y1673,MATCH(LARGE(FILTER(W$4:W1673,W$4:W1673&lt;=I911),1),W$4:W1673"&amp;"))+(I911-LARGE(FILTER(W$4:W1673,W$4:W1673&lt;=I911),1))*INDEX(T$4:T1673,MATCH(LARGE(FILTER(W$4:W1673,W$4:W1673&lt;=I911),1),W$4:W1673))-K911),1,
ROUNDDOWN(Y911-INDEX(K$4:K1673,MATCH(LARGE(FILTER(I$4:I1673,I$4:I1673&lt;=W911),1),I$4:I1673))-(W911-LARGE(FILTER(I$4:I"&amp;"1673,I$4:I1673&lt;=W911),1))*INDEX(F$4:F1673,MATCH(LARGE(FILTER(I$4:I1673,I$4:I1673&lt;=W911),1),I$4:I1673))))"),"")</f>
        <v/>
      </c>
      <c r="N911" s="60" t="str">
        <f t="shared" si="8"/>
        <v/>
      </c>
      <c r="O911" s="61" t="str">
        <f t="shared" si="9"/>
        <v/>
      </c>
      <c r="P911" s="56" t="str">
        <f t="shared" si="10"/>
        <v/>
      </c>
      <c r="R911" s="10"/>
      <c r="S911" s="59" t="str">
        <f t="array" ref="S911">IF(COUNTA(Q911:Q1673)=0,"",SUM((COUNTIF(Q$4:Q911,Upgrades!$B$3:$B$13)-COUNTIF(Q$4:Q911,"Sell_"&amp;Upgrades!$B$3:$B$13))*Upgrades!$D$3:$D$13))</f>
        <v/>
      </c>
      <c r="T911" s="66" t="str">
        <f>IFERROR(__xludf.DUMMYFUNCTION("IF(COUNTA(Q911:Q1673)=0,"""",IF(REGEXMATCH(INDEX(FILTER(Q$4:Q911,Q$4:Q911&lt;&gt;""""),ROWS(FILTER(Q$4:Q911,Q$4:Q911&lt;&gt;""""))),""^Sell_""),INDEX(FILTER(T$4:T910,Q$4:Q910&lt;&gt;""""),ROWS(FILTER(Q$4:Q910,Q$4:Q910&lt;&gt;""""))),$AD$5+S911))"),"")</f>
        <v/>
      </c>
      <c r="U911" s="10" t="str">
        <f>IFERROR(__xludf.DUMMYFUNCTION("IF(COUNTA(Q911:Q1673)=0,"""",IF(Q911="""",0,IF(REGEXMATCH(Q911,""^Sell_""),-ROUNDDOWN(ROUNDUP(INDEX(Upgrades!$C$3:$C$13,MATCH(SUBSTITUTE(Q911,""Sell_"",""""),Upgrades!$B$3:$B$13,0))*1.15^(COUNTIF(Q$4:Q910,SUBSTITUTE(Q911,""Sell_"",""""))-COUNTIF(Q$4:Q910,"&amp;"""Sell_""&amp;SUBSTITUTE(Q911,""Sell_"",""""))))/2),ROUNDUP(INDEX(Upgrades!$C$3:$C$13,MATCH(Q911,Upgrades!$B$3:$B$13,0))*1.15^(COUNTIF(Q$4:Q910,Q911)-COUNTIF(Q$4:Q910,""Sell_""&amp;Q911))))))"),"")</f>
        <v/>
      </c>
      <c r="V911" s="10" t="str">
        <f t="shared" si="11"/>
        <v/>
      </c>
      <c r="W911" s="68" t="str">
        <f t="shared" si="12"/>
        <v/>
      </c>
      <c r="X911" s="59" t="str">
        <f t="shared" si="13"/>
        <v/>
      </c>
      <c r="Y911" s="69" t="str">
        <f t="shared" si="14"/>
        <v/>
      </c>
      <c r="Z911" s="11"/>
    </row>
    <row r="912">
      <c r="A912" s="8"/>
      <c r="B912" s="56" t="str">
        <f t="shared" si="2"/>
        <v/>
      </c>
      <c r="C912" s="105"/>
      <c r="D912" s="10"/>
      <c r="E912" s="59" t="str">
        <f t="array" ref="E912">IF(COUNTA(C912:C1673)=0,"",SUM((COUNTIF(C$4:C912,Upgrades!$B$3:$B$13)-COUNTIF(C$4:C912,"Sell_"&amp;Upgrades!$B$3:$B$13))*Upgrades!$D$3:$D$13))</f>
        <v/>
      </c>
      <c r="F912" s="66" t="str">
        <f>IFERROR(__xludf.DUMMYFUNCTION("IF(COUNTA(C912:C1673)=0,"""",IF(REGEXMATCH(INDEX(FILTER(C$4:C912,C$4:C912&lt;&gt;""""),ROWS(FILTER(C$4:C912,C$4:C912&lt;&gt;""""))),""^Sell_""),INDEX(FILTER(F$4:F911,C$4:C911&lt;&gt;""""),ROWS(FILTER(C$4:C911,C$4:C911&lt;&gt;""""))),$AC$5+E912))"),"")</f>
        <v/>
      </c>
      <c r="G912" s="10" t="str">
        <f>IFERROR(__xludf.DUMMYFUNCTION("IF(COUNTA(C912:C1673)=0,"""",IF(C912="""",0,IF(REGEXMATCH(C912,""^Sell_""),-ROUNDDOWN(ROUNDUP(INDEX(Upgrades!$C$3:$C$13,MATCH(SUBSTITUTE(C912,""Sell_"",""""),Upgrades!$B$3:$B$13,0))*1.15^(COUNTIF(C$4:C911,SUBSTITUTE(C912,""Sell_"",""""))-COUNTIF(C$4:C911,"&amp;"""Sell_""&amp;SUBSTITUTE(C912,""Sell_"",""""))))/2),ROUNDUP(INDEX(Upgrades!$C$3:$C$13,MATCH(C912,Upgrades!$B$3:$B$13,0))*1.15^(COUNTIF(C$4:C911,C912)-COUNTIF(C$4:C911,""Sell_""&amp;C912))))))"),"")</f>
        <v/>
      </c>
      <c r="H912" s="10" t="str">
        <f t="shared" si="3"/>
        <v/>
      </c>
      <c r="I912" s="68" t="str">
        <f t="shared" si="4"/>
        <v/>
      </c>
      <c r="J912" s="59" t="str">
        <f t="shared" si="5"/>
        <v/>
      </c>
      <c r="K912" s="69" t="str">
        <f t="shared" si="6"/>
        <v/>
      </c>
      <c r="L912" s="60" t="str">
        <f t="shared" si="7"/>
        <v/>
      </c>
      <c r="M912" s="61" t="str">
        <f>IFERROR(__xludf.DUMMYFUNCTION("IFS(AND(COUNTA(C912:C1673)=0,COUNTA(Q912:Q1673)=0),"""",OR(AND(K912&gt;=1000000000,OR(Y912&gt;=1000000000,COUNTA(Q912:Q1673)=0)),OR(Y912&gt;=1000000000,AND(COUNTA(C912:C1673)=0,P$3=TRUE))),
ROUNDDOWN((AB$1-AC$1)*MAX(INDEX(T$4:T1673,MATCH(LARGE(FILTER(Y$4:Y1673,Y$4"&amp;":Y1673&lt;1000000000),1),Y$4:Y1673)),INDEX(F$4:F1673,MATCH(LARGE(FILTER(K$4:K1673,K$4:K1673&lt;1000000000),1),K$4:K1673)))),AND(K912&lt;1000000000,COUNTA(C912:C1673)&gt;0,P$3=FALSE),
ROUNDDOWN(INDEX(Y$4:Y1673,MATCH(LARGE(FILTER(W$4:W1673,W$4:W1673&lt;=I912),1),W$4:W1673"&amp;"))+(I912-LARGE(FILTER(W$4:W1673,W$4:W1673&lt;=I912),1))*INDEX(T$4:T1673,MATCH(LARGE(FILTER(W$4:W1673,W$4:W1673&lt;=I912),1),W$4:W1673))-K912),1,
ROUNDDOWN(Y912-INDEX(K$4:K1673,MATCH(LARGE(FILTER(I$4:I1673,I$4:I1673&lt;=W912),1),I$4:I1673))-(W912-LARGE(FILTER(I$4:I"&amp;"1673,I$4:I1673&lt;=W912),1))*INDEX(F$4:F1673,MATCH(LARGE(FILTER(I$4:I1673,I$4:I1673&lt;=W912),1),I$4:I1673))))"),"")</f>
        <v/>
      </c>
      <c r="N912" s="60" t="str">
        <f t="shared" si="8"/>
        <v/>
      </c>
      <c r="O912" s="61" t="str">
        <f t="shared" si="9"/>
        <v/>
      </c>
      <c r="P912" s="56" t="str">
        <f t="shared" si="10"/>
        <v/>
      </c>
      <c r="R912" s="10"/>
      <c r="S912" s="59" t="str">
        <f t="array" ref="S912">IF(COUNTA(Q912:Q1673)=0,"",SUM((COUNTIF(Q$4:Q912,Upgrades!$B$3:$B$13)-COUNTIF(Q$4:Q912,"Sell_"&amp;Upgrades!$B$3:$B$13))*Upgrades!$D$3:$D$13))</f>
        <v/>
      </c>
      <c r="T912" s="66" t="str">
        <f>IFERROR(__xludf.DUMMYFUNCTION("IF(COUNTA(Q912:Q1673)=0,"""",IF(REGEXMATCH(INDEX(FILTER(Q$4:Q912,Q$4:Q912&lt;&gt;""""),ROWS(FILTER(Q$4:Q912,Q$4:Q912&lt;&gt;""""))),""^Sell_""),INDEX(FILTER(T$4:T911,Q$4:Q911&lt;&gt;""""),ROWS(FILTER(Q$4:Q911,Q$4:Q911&lt;&gt;""""))),$AD$5+S912))"),"")</f>
        <v/>
      </c>
      <c r="U912" s="10" t="str">
        <f>IFERROR(__xludf.DUMMYFUNCTION("IF(COUNTA(Q912:Q1673)=0,"""",IF(Q912="""",0,IF(REGEXMATCH(Q912,""^Sell_""),-ROUNDDOWN(ROUNDUP(INDEX(Upgrades!$C$3:$C$13,MATCH(SUBSTITUTE(Q912,""Sell_"",""""),Upgrades!$B$3:$B$13,0))*1.15^(COUNTIF(Q$4:Q911,SUBSTITUTE(Q912,""Sell_"",""""))-COUNTIF(Q$4:Q911,"&amp;"""Sell_""&amp;SUBSTITUTE(Q912,""Sell_"",""""))))/2),ROUNDUP(INDEX(Upgrades!$C$3:$C$13,MATCH(Q912,Upgrades!$B$3:$B$13,0))*1.15^(COUNTIF(Q$4:Q911,Q912)-COUNTIF(Q$4:Q911,""Sell_""&amp;Q912))))))"),"")</f>
        <v/>
      </c>
      <c r="V912" s="10" t="str">
        <f t="shared" si="11"/>
        <v/>
      </c>
      <c r="W912" s="68" t="str">
        <f t="shared" si="12"/>
        <v/>
      </c>
      <c r="X912" s="59" t="str">
        <f t="shared" si="13"/>
        <v/>
      </c>
      <c r="Y912" s="69" t="str">
        <f t="shared" si="14"/>
        <v/>
      </c>
      <c r="Z912" s="11"/>
    </row>
    <row r="913">
      <c r="A913" s="8"/>
      <c r="B913" s="56" t="str">
        <f t="shared" si="2"/>
        <v/>
      </c>
      <c r="C913" s="105"/>
      <c r="D913" s="10"/>
      <c r="E913" s="59" t="str">
        <f t="array" ref="E913">IF(COUNTA(C913:C1673)=0,"",SUM((COUNTIF(C$4:C913,Upgrades!$B$3:$B$13)-COUNTIF(C$4:C913,"Sell_"&amp;Upgrades!$B$3:$B$13))*Upgrades!$D$3:$D$13))</f>
        <v/>
      </c>
      <c r="F913" s="66" t="str">
        <f>IFERROR(__xludf.DUMMYFUNCTION("IF(COUNTA(C913:C1673)=0,"""",IF(REGEXMATCH(INDEX(FILTER(C$4:C913,C$4:C913&lt;&gt;""""),ROWS(FILTER(C$4:C913,C$4:C913&lt;&gt;""""))),""^Sell_""),INDEX(FILTER(F$4:F912,C$4:C912&lt;&gt;""""),ROWS(FILTER(C$4:C912,C$4:C912&lt;&gt;""""))),$AC$5+E913))"),"")</f>
        <v/>
      </c>
      <c r="G913" s="10" t="str">
        <f>IFERROR(__xludf.DUMMYFUNCTION("IF(COUNTA(C913:C1673)=0,"""",IF(C913="""",0,IF(REGEXMATCH(C913,""^Sell_""),-ROUNDDOWN(ROUNDUP(INDEX(Upgrades!$C$3:$C$13,MATCH(SUBSTITUTE(C913,""Sell_"",""""),Upgrades!$B$3:$B$13,0))*1.15^(COUNTIF(C$4:C912,SUBSTITUTE(C913,""Sell_"",""""))-COUNTIF(C$4:C912,"&amp;"""Sell_""&amp;SUBSTITUTE(C913,""Sell_"",""""))))/2),ROUNDUP(INDEX(Upgrades!$C$3:$C$13,MATCH(C913,Upgrades!$B$3:$B$13,0))*1.15^(COUNTIF(C$4:C912,C913)-COUNTIF(C$4:C912,""Sell_""&amp;C913))))))"),"")</f>
        <v/>
      </c>
      <c r="H913" s="10" t="str">
        <f t="shared" si="3"/>
        <v/>
      </c>
      <c r="I913" s="68" t="str">
        <f t="shared" si="4"/>
        <v/>
      </c>
      <c r="J913" s="59" t="str">
        <f t="shared" si="5"/>
        <v/>
      </c>
      <c r="K913" s="69" t="str">
        <f t="shared" si="6"/>
        <v/>
      </c>
      <c r="L913" s="60" t="str">
        <f t="shared" si="7"/>
        <v/>
      </c>
      <c r="M913" s="61" t="str">
        <f>IFERROR(__xludf.DUMMYFUNCTION("IFS(AND(COUNTA(C913:C1673)=0,COUNTA(Q913:Q1673)=0),"""",OR(AND(K913&gt;=1000000000,OR(Y913&gt;=1000000000,COUNTA(Q913:Q1673)=0)),OR(Y913&gt;=1000000000,AND(COUNTA(C913:C1673)=0,P$3=TRUE))),
ROUNDDOWN((AB$1-AC$1)*MAX(INDEX(T$4:T1673,MATCH(LARGE(FILTER(Y$4:Y1673,Y$4"&amp;":Y1673&lt;1000000000),1),Y$4:Y1673)),INDEX(F$4:F1673,MATCH(LARGE(FILTER(K$4:K1673,K$4:K1673&lt;1000000000),1),K$4:K1673)))),AND(K913&lt;1000000000,COUNTA(C913:C1673)&gt;0,P$3=FALSE),
ROUNDDOWN(INDEX(Y$4:Y1673,MATCH(LARGE(FILTER(W$4:W1673,W$4:W1673&lt;=I913),1),W$4:W1673"&amp;"))+(I913-LARGE(FILTER(W$4:W1673,W$4:W1673&lt;=I913),1))*INDEX(T$4:T1673,MATCH(LARGE(FILTER(W$4:W1673,W$4:W1673&lt;=I913),1),W$4:W1673))-K913),1,
ROUNDDOWN(Y913-INDEX(K$4:K1673,MATCH(LARGE(FILTER(I$4:I1673,I$4:I1673&lt;=W913),1),I$4:I1673))-(W913-LARGE(FILTER(I$4:I"&amp;"1673,I$4:I1673&lt;=W913),1))*INDEX(F$4:F1673,MATCH(LARGE(FILTER(I$4:I1673,I$4:I1673&lt;=W913),1),I$4:I1673))))"),"")</f>
        <v/>
      </c>
      <c r="N913" s="60" t="str">
        <f t="shared" si="8"/>
        <v/>
      </c>
      <c r="O913" s="61" t="str">
        <f t="shared" si="9"/>
        <v/>
      </c>
      <c r="P913" s="56" t="str">
        <f t="shared" si="10"/>
        <v/>
      </c>
      <c r="R913" s="10"/>
      <c r="S913" s="59" t="str">
        <f t="array" ref="S913">IF(COUNTA(Q913:Q1673)=0,"",SUM((COUNTIF(Q$4:Q913,Upgrades!$B$3:$B$13)-COUNTIF(Q$4:Q913,"Sell_"&amp;Upgrades!$B$3:$B$13))*Upgrades!$D$3:$D$13))</f>
        <v/>
      </c>
      <c r="T913" s="66" t="str">
        <f>IFERROR(__xludf.DUMMYFUNCTION("IF(COUNTA(Q913:Q1673)=0,"""",IF(REGEXMATCH(INDEX(FILTER(Q$4:Q913,Q$4:Q913&lt;&gt;""""),ROWS(FILTER(Q$4:Q913,Q$4:Q913&lt;&gt;""""))),""^Sell_""),INDEX(FILTER(T$4:T912,Q$4:Q912&lt;&gt;""""),ROWS(FILTER(Q$4:Q912,Q$4:Q912&lt;&gt;""""))),$AD$5+S913))"),"")</f>
        <v/>
      </c>
      <c r="U913" s="10" t="str">
        <f>IFERROR(__xludf.DUMMYFUNCTION("IF(COUNTA(Q913:Q1673)=0,"""",IF(Q913="""",0,IF(REGEXMATCH(Q913,""^Sell_""),-ROUNDDOWN(ROUNDUP(INDEX(Upgrades!$C$3:$C$13,MATCH(SUBSTITUTE(Q913,""Sell_"",""""),Upgrades!$B$3:$B$13,0))*1.15^(COUNTIF(Q$4:Q912,SUBSTITUTE(Q913,""Sell_"",""""))-COUNTIF(Q$4:Q912,"&amp;"""Sell_""&amp;SUBSTITUTE(Q913,""Sell_"",""""))))/2),ROUNDUP(INDEX(Upgrades!$C$3:$C$13,MATCH(Q913,Upgrades!$B$3:$B$13,0))*1.15^(COUNTIF(Q$4:Q912,Q913)-COUNTIF(Q$4:Q912,""Sell_""&amp;Q913))))))"),"")</f>
        <v/>
      </c>
      <c r="V913" s="10" t="str">
        <f t="shared" si="11"/>
        <v/>
      </c>
      <c r="W913" s="68" t="str">
        <f t="shared" si="12"/>
        <v/>
      </c>
      <c r="X913" s="59" t="str">
        <f t="shared" si="13"/>
        <v/>
      </c>
      <c r="Y913" s="69" t="str">
        <f t="shared" si="14"/>
        <v/>
      </c>
      <c r="Z913" s="11"/>
    </row>
    <row r="914">
      <c r="A914" s="8"/>
      <c r="B914" s="56" t="str">
        <f t="shared" si="2"/>
        <v/>
      </c>
      <c r="C914" s="105"/>
      <c r="D914" s="10"/>
      <c r="E914" s="59" t="str">
        <f t="array" ref="E914">IF(COUNTA(C914:C1673)=0,"",SUM((COUNTIF(C$4:C914,Upgrades!$B$3:$B$13)-COUNTIF(C$4:C914,"Sell_"&amp;Upgrades!$B$3:$B$13))*Upgrades!$D$3:$D$13))</f>
        <v/>
      </c>
      <c r="F914" s="66" t="str">
        <f>IFERROR(__xludf.DUMMYFUNCTION("IF(COUNTA(C914:C1673)=0,"""",IF(REGEXMATCH(INDEX(FILTER(C$4:C914,C$4:C914&lt;&gt;""""),ROWS(FILTER(C$4:C914,C$4:C914&lt;&gt;""""))),""^Sell_""),INDEX(FILTER(F$4:F913,C$4:C913&lt;&gt;""""),ROWS(FILTER(C$4:C913,C$4:C913&lt;&gt;""""))),$AC$5+E914))"),"")</f>
        <v/>
      </c>
      <c r="G914" s="10" t="str">
        <f>IFERROR(__xludf.DUMMYFUNCTION("IF(COUNTA(C914:C1673)=0,"""",IF(C914="""",0,IF(REGEXMATCH(C914,""^Sell_""),-ROUNDDOWN(ROUNDUP(INDEX(Upgrades!$C$3:$C$13,MATCH(SUBSTITUTE(C914,""Sell_"",""""),Upgrades!$B$3:$B$13,0))*1.15^(COUNTIF(C$4:C913,SUBSTITUTE(C914,""Sell_"",""""))-COUNTIF(C$4:C913,"&amp;"""Sell_""&amp;SUBSTITUTE(C914,""Sell_"",""""))))/2),ROUNDUP(INDEX(Upgrades!$C$3:$C$13,MATCH(C914,Upgrades!$B$3:$B$13,0))*1.15^(COUNTIF(C$4:C913,C914)-COUNTIF(C$4:C913,""Sell_""&amp;C914))))))"),"")</f>
        <v/>
      </c>
      <c r="H914" s="10" t="str">
        <f t="shared" si="3"/>
        <v/>
      </c>
      <c r="I914" s="68" t="str">
        <f t="shared" si="4"/>
        <v/>
      </c>
      <c r="J914" s="59" t="str">
        <f t="shared" si="5"/>
        <v/>
      </c>
      <c r="K914" s="69" t="str">
        <f t="shared" si="6"/>
        <v/>
      </c>
      <c r="L914" s="60" t="str">
        <f t="shared" si="7"/>
        <v/>
      </c>
      <c r="M914" s="61" t="str">
        <f>IFERROR(__xludf.DUMMYFUNCTION("IFS(AND(COUNTA(C914:C1673)=0,COUNTA(Q914:Q1673)=0),"""",OR(AND(K914&gt;=1000000000,OR(Y914&gt;=1000000000,COUNTA(Q914:Q1673)=0)),OR(Y914&gt;=1000000000,AND(COUNTA(C914:C1673)=0,P$3=TRUE))),
ROUNDDOWN((AB$1-AC$1)*MAX(INDEX(T$4:T1673,MATCH(LARGE(FILTER(Y$4:Y1673,Y$4"&amp;":Y1673&lt;1000000000),1),Y$4:Y1673)),INDEX(F$4:F1673,MATCH(LARGE(FILTER(K$4:K1673,K$4:K1673&lt;1000000000),1),K$4:K1673)))),AND(K914&lt;1000000000,COUNTA(C914:C1673)&gt;0,P$3=FALSE),
ROUNDDOWN(INDEX(Y$4:Y1673,MATCH(LARGE(FILTER(W$4:W1673,W$4:W1673&lt;=I914),1),W$4:W1673"&amp;"))+(I914-LARGE(FILTER(W$4:W1673,W$4:W1673&lt;=I914),1))*INDEX(T$4:T1673,MATCH(LARGE(FILTER(W$4:W1673,W$4:W1673&lt;=I914),1),W$4:W1673))-K914),1,
ROUNDDOWN(Y914-INDEX(K$4:K1673,MATCH(LARGE(FILTER(I$4:I1673,I$4:I1673&lt;=W914),1),I$4:I1673))-(W914-LARGE(FILTER(I$4:I"&amp;"1673,I$4:I1673&lt;=W914),1))*INDEX(F$4:F1673,MATCH(LARGE(FILTER(I$4:I1673,I$4:I1673&lt;=W914),1),I$4:I1673))))"),"")</f>
        <v/>
      </c>
      <c r="N914" s="60" t="str">
        <f t="shared" si="8"/>
        <v/>
      </c>
      <c r="O914" s="61" t="str">
        <f t="shared" si="9"/>
        <v/>
      </c>
      <c r="P914" s="56" t="str">
        <f t="shared" si="10"/>
        <v/>
      </c>
      <c r="R914" s="10"/>
      <c r="S914" s="59" t="str">
        <f t="array" ref="S914">IF(COUNTA(Q914:Q1673)=0,"",SUM((COUNTIF(Q$4:Q914,Upgrades!$B$3:$B$13)-COUNTIF(Q$4:Q914,"Sell_"&amp;Upgrades!$B$3:$B$13))*Upgrades!$D$3:$D$13))</f>
        <v/>
      </c>
      <c r="T914" s="66" t="str">
        <f>IFERROR(__xludf.DUMMYFUNCTION("IF(COUNTA(Q914:Q1673)=0,"""",IF(REGEXMATCH(INDEX(FILTER(Q$4:Q914,Q$4:Q914&lt;&gt;""""),ROWS(FILTER(Q$4:Q914,Q$4:Q914&lt;&gt;""""))),""^Sell_""),INDEX(FILTER(T$4:T913,Q$4:Q913&lt;&gt;""""),ROWS(FILTER(Q$4:Q913,Q$4:Q913&lt;&gt;""""))),$AD$5+S914))"),"")</f>
        <v/>
      </c>
      <c r="U914" s="10" t="str">
        <f>IFERROR(__xludf.DUMMYFUNCTION("IF(COUNTA(Q914:Q1673)=0,"""",IF(Q914="""",0,IF(REGEXMATCH(Q914,""^Sell_""),-ROUNDDOWN(ROUNDUP(INDEX(Upgrades!$C$3:$C$13,MATCH(SUBSTITUTE(Q914,""Sell_"",""""),Upgrades!$B$3:$B$13,0))*1.15^(COUNTIF(Q$4:Q913,SUBSTITUTE(Q914,""Sell_"",""""))-COUNTIF(Q$4:Q913,"&amp;"""Sell_""&amp;SUBSTITUTE(Q914,""Sell_"",""""))))/2),ROUNDUP(INDEX(Upgrades!$C$3:$C$13,MATCH(Q914,Upgrades!$B$3:$B$13,0))*1.15^(COUNTIF(Q$4:Q913,Q914)-COUNTIF(Q$4:Q913,""Sell_""&amp;Q914))))))"),"")</f>
        <v/>
      </c>
      <c r="V914" s="10" t="str">
        <f t="shared" si="11"/>
        <v/>
      </c>
      <c r="W914" s="68" t="str">
        <f t="shared" si="12"/>
        <v/>
      </c>
      <c r="X914" s="59" t="str">
        <f t="shared" si="13"/>
        <v/>
      </c>
      <c r="Y914" s="69" t="str">
        <f t="shared" si="14"/>
        <v/>
      </c>
      <c r="Z914" s="11"/>
    </row>
    <row r="915">
      <c r="A915" s="8"/>
      <c r="B915" s="56" t="str">
        <f t="shared" si="2"/>
        <v/>
      </c>
      <c r="C915" s="105"/>
      <c r="D915" s="10"/>
      <c r="E915" s="59" t="str">
        <f t="array" ref="E915">IF(COUNTA(C915:C1673)=0,"",SUM((COUNTIF(C$4:C915,Upgrades!$B$3:$B$13)-COUNTIF(C$4:C915,"Sell_"&amp;Upgrades!$B$3:$B$13))*Upgrades!$D$3:$D$13))</f>
        <v/>
      </c>
      <c r="F915" s="66" t="str">
        <f>IFERROR(__xludf.DUMMYFUNCTION("IF(COUNTA(C915:C1673)=0,"""",IF(REGEXMATCH(INDEX(FILTER(C$4:C915,C$4:C915&lt;&gt;""""),ROWS(FILTER(C$4:C915,C$4:C915&lt;&gt;""""))),""^Sell_""),INDEX(FILTER(F$4:F914,C$4:C914&lt;&gt;""""),ROWS(FILTER(C$4:C914,C$4:C914&lt;&gt;""""))),$AC$5+E915))"),"")</f>
        <v/>
      </c>
      <c r="G915" s="10" t="str">
        <f>IFERROR(__xludf.DUMMYFUNCTION("IF(COUNTA(C915:C1673)=0,"""",IF(C915="""",0,IF(REGEXMATCH(C915,""^Sell_""),-ROUNDDOWN(ROUNDUP(INDEX(Upgrades!$C$3:$C$13,MATCH(SUBSTITUTE(C915,""Sell_"",""""),Upgrades!$B$3:$B$13,0))*1.15^(COUNTIF(C$4:C914,SUBSTITUTE(C915,""Sell_"",""""))-COUNTIF(C$4:C914,"&amp;"""Sell_""&amp;SUBSTITUTE(C915,""Sell_"",""""))))/2),ROUNDUP(INDEX(Upgrades!$C$3:$C$13,MATCH(C915,Upgrades!$B$3:$B$13,0))*1.15^(COUNTIF(C$4:C914,C915)-COUNTIF(C$4:C914,""Sell_""&amp;C915))))))"),"")</f>
        <v/>
      </c>
      <c r="H915" s="10" t="str">
        <f t="shared" si="3"/>
        <v/>
      </c>
      <c r="I915" s="68" t="str">
        <f t="shared" si="4"/>
        <v/>
      </c>
      <c r="J915" s="59" t="str">
        <f t="shared" si="5"/>
        <v/>
      </c>
      <c r="K915" s="69" t="str">
        <f t="shared" si="6"/>
        <v/>
      </c>
      <c r="L915" s="60" t="str">
        <f t="shared" si="7"/>
        <v/>
      </c>
      <c r="M915" s="61" t="str">
        <f>IFERROR(__xludf.DUMMYFUNCTION("IFS(AND(COUNTA(C915:C1673)=0,COUNTA(Q915:Q1673)=0),"""",OR(AND(K915&gt;=1000000000,OR(Y915&gt;=1000000000,COUNTA(Q915:Q1673)=0)),OR(Y915&gt;=1000000000,AND(COUNTA(C915:C1673)=0,P$3=TRUE))),
ROUNDDOWN((AB$1-AC$1)*MAX(INDEX(T$4:T1673,MATCH(LARGE(FILTER(Y$4:Y1673,Y$4"&amp;":Y1673&lt;1000000000),1),Y$4:Y1673)),INDEX(F$4:F1673,MATCH(LARGE(FILTER(K$4:K1673,K$4:K1673&lt;1000000000),1),K$4:K1673)))),AND(K915&lt;1000000000,COUNTA(C915:C1673)&gt;0,P$3=FALSE),
ROUNDDOWN(INDEX(Y$4:Y1673,MATCH(LARGE(FILTER(W$4:W1673,W$4:W1673&lt;=I915),1),W$4:W1673"&amp;"))+(I915-LARGE(FILTER(W$4:W1673,W$4:W1673&lt;=I915),1))*INDEX(T$4:T1673,MATCH(LARGE(FILTER(W$4:W1673,W$4:W1673&lt;=I915),1),W$4:W1673))-K915),1,
ROUNDDOWN(Y915-INDEX(K$4:K1673,MATCH(LARGE(FILTER(I$4:I1673,I$4:I1673&lt;=W915),1),I$4:I1673))-(W915-LARGE(FILTER(I$4:I"&amp;"1673,I$4:I1673&lt;=W915),1))*INDEX(F$4:F1673,MATCH(LARGE(FILTER(I$4:I1673,I$4:I1673&lt;=W915),1),I$4:I1673))))"),"")</f>
        <v/>
      </c>
      <c r="N915" s="60" t="str">
        <f t="shared" si="8"/>
        <v/>
      </c>
      <c r="O915" s="61" t="str">
        <f t="shared" si="9"/>
        <v/>
      </c>
      <c r="P915" s="56" t="str">
        <f t="shared" si="10"/>
        <v/>
      </c>
      <c r="R915" s="10"/>
      <c r="S915" s="59" t="str">
        <f t="array" ref="S915">IF(COUNTA(Q915:Q1673)=0,"",SUM((COUNTIF(Q$4:Q915,Upgrades!$B$3:$B$13)-COUNTIF(Q$4:Q915,"Sell_"&amp;Upgrades!$B$3:$B$13))*Upgrades!$D$3:$D$13))</f>
        <v/>
      </c>
      <c r="T915" s="66" t="str">
        <f>IFERROR(__xludf.DUMMYFUNCTION("IF(COUNTA(Q915:Q1673)=0,"""",IF(REGEXMATCH(INDEX(FILTER(Q$4:Q915,Q$4:Q915&lt;&gt;""""),ROWS(FILTER(Q$4:Q915,Q$4:Q915&lt;&gt;""""))),""^Sell_""),INDEX(FILTER(T$4:T914,Q$4:Q914&lt;&gt;""""),ROWS(FILTER(Q$4:Q914,Q$4:Q914&lt;&gt;""""))),$AD$5+S915))"),"")</f>
        <v/>
      </c>
      <c r="U915" s="10" t="str">
        <f>IFERROR(__xludf.DUMMYFUNCTION("IF(COUNTA(Q915:Q1673)=0,"""",IF(Q915="""",0,IF(REGEXMATCH(Q915,""^Sell_""),-ROUNDDOWN(ROUNDUP(INDEX(Upgrades!$C$3:$C$13,MATCH(SUBSTITUTE(Q915,""Sell_"",""""),Upgrades!$B$3:$B$13,0))*1.15^(COUNTIF(Q$4:Q914,SUBSTITUTE(Q915,""Sell_"",""""))-COUNTIF(Q$4:Q914,"&amp;"""Sell_""&amp;SUBSTITUTE(Q915,""Sell_"",""""))))/2),ROUNDUP(INDEX(Upgrades!$C$3:$C$13,MATCH(Q915,Upgrades!$B$3:$B$13,0))*1.15^(COUNTIF(Q$4:Q914,Q915)-COUNTIF(Q$4:Q914,""Sell_""&amp;Q915))))))"),"")</f>
        <v/>
      </c>
      <c r="V915" s="10" t="str">
        <f t="shared" si="11"/>
        <v/>
      </c>
      <c r="W915" s="68" t="str">
        <f t="shared" si="12"/>
        <v/>
      </c>
      <c r="X915" s="59" t="str">
        <f t="shared" si="13"/>
        <v/>
      </c>
      <c r="Y915" s="69" t="str">
        <f t="shared" si="14"/>
        <v/>
      </c>
      <c r="Z915" s="11"/>
    </row>
    <row r="916">
      <c r="A916" s="8"/>
      <c r="B916" s="56" t="str">
        <f t="shared" si="2"/>
        <v/>
      </c>
      <c r="C916" s="105"/>
      <c r="D916" s="10"/>
      <c r="E916" s="59" t="str">
        <f t="array" ref="E916">IF(COUNTA(C916:C1673)=0,"",SUM((COUNTIF(C$4:C916,Upgrades!$B$3:$B$13)-COUNTIF(C$4:C916,"Sell_"&amp;Upgrades!$B$3:$B$13))*Upgrades!$D$3:$D$13))</f>
        <v/>
      </c>
      <c r="F916" s="66" t="str">
        <f>IFERROR(__xludf.DUMMYFUNCTION("IF(COUNTA(C916:C1673)=0,"""",IF(REGEXMATCH(INDEX(FILTER(C$4:C916,C$4:C916&lt;&gt;""""),ROWS(FILTER(C$4:C916,C$4:C916&lt;&gt;""""))),""^Sell_""),INDEX(FILTER(F$4:F915,C$4:C915&lt;&gt;""""),ROWS(FILTER(C$4:C915,C$4:C915&lt;&gt;""""))),$AC$5+E916))"),"")</f>
        <v/>
      </c>
      <c r="G916" s="10" t="str">
        <f>IFERROR(__xludf.DUMMYFUNCTION("IF(COUNTA(C916:C1673)=0,"""",IF(C916="""",0,IF(REGEXMATCH(C916,""^Sell_""),-ROUNDDOWN(ROUNDUP(INDEX(Upgrades!$C$3:$C$13,MATCH(SUBSTITUTE(C916,""Sell_"",""""),Upgrades!$B$3:$B$13,0))*1.15^(COUNTIF(C$4:C915,SUBSTITUTE(C916,""Sell_"",""""))-COUNTIF(C$4:C915,"&amp;"""Sell_""&amp;SUBSTITUTE(C916,""Sell_"",""""))))/2),ROUNDUP(INDEX(Upgrades!$C$3:$C$13,MATCH(C916,Upgrades!$B$3:$B$13,0))*1.15^(COUNTIF(C$4:C915,C916)-COUNTIF(C$4:C915,""Sell_""&amp;C916))))))"),"")</f>
        <v/>
      </c>
      <c r="H916" s="10" t="str">
        <f t="shared" si="3"/>
        <v/>
      </c>
      <c r="I916" s="68" t="str">
        <f t="shared" si="4"/>
        <v/>
      </c>
      <c r="J916" s="59" t="str">
        <f t="shared" si="5"/>
        <v/>
      </c>
      <c r="K916" s="69" t="str">
        <f t="shared" si="6"/>
        <v/>
      </c>
      <c r="L916" s="60" t="str">
        <f t="shared" si="7"/>
        <v/>
      </c>
      <c r="M916" s="61" t="str">
        <f>IFERROR(__xludf.DUMMYFUNCTION("IFS(AND(COUNTA(C916:C1673)=0,COUNTA(Q916:Q1673)=0),"""",OR(AND(K916&gt;=1000000000,OR(Y916&gt;=1000000000,COUNTA(Q916:Q1673)=0)),OR(Y916&gt;=1000000000,AND(COUNTA(C916:C1673)=0,P$3=TRUE))),
ROUNDDOWN((AB$1-AC$1)*MAX(INDEX(T$4:T1673,MATCH(LARGE(FILTER(Y$4:Y1673,Y$4"&amp;":Y1673&lt;1000000000),1),Y$4:Y1673)),INDEX(F$4:F1673,MATCH(LARGE(FILTER(K$4:K1673,K$4:K1673&lt;1000000000),1),K$4:K1673)))),AND(K916&lt;1000000000,COUNTA(C916:C1673)&gt;0,P$3=FALSE),
ROUNDDOWN(INDEX(Y$4:Y1673,MATCH(LARGE(FILTER(W$4:W1673,W$4:W1673&lt;=I916),1),W$4:W1673"&amp;"))+(I916-LARGE(FILTER(W$4:W1673,W$4:W1673&lt;=I916),1))*INDEX(T$4:T1673,MATCH(LARGE(FILTER(W$4:W1673,W$4:W1673&lt;=I916),1),W$4:W1673))-K916),1,
ROUNDDOWN(Y916-INDEX(K$4:K1673,MATCH(LARGE(FILTER(I$4:I1673,I$4:I1673&lt;=W916),1),I$4:I1673))-(W916-LARGE(FILTER(I$4:I"&amp;"1673,I$4:I1673&lt;=W916),1))*INDEX(F$4:F1673,MATCH(LARGE(FILTER(I$4:I1673,I$4:I1673&lt;=W916),1),I$4:I1673))))"),"")</f>
        <v/>
      </c>
      <c r="N916" s="60" t="str">
        <f t="shared" si="8"/>
        <v/>
      </c>
      <c r="O916" s="61" t="str">
        <f t="shared" si="9"/>
        <v/>
      </c>
      <c r="P916" s="56" t="str">
        <f t="shared" si="10"/>
        <v/>
      </c>
      <c r="R916" s="10"/>
      <c r="S916" s="59" t="str">
        <f t="array" ref="S916">IF(COUNTA(Q916:Q1673)=0,"",SUM((COUNTIF(Q$4:Q916,Upgrades!$B$3:$B$13)-COUNTIF(Q$4:Q916,"Sell_"&amp;Upgrades!$B$3:$B$13))*Upgrades!$D$3:$D$13))</f>
        <v/>
      </c>
      <c r="T916" s="66" t="str">
        <f>IFERROR(__xludf.DUMMYFUNCTION("IF(COUNTA(Q916:Q1673)=0,"""",IF(REGEXMATCH(INDEX(FILTER(Q$4:Q916,Q$4:Q916&lt;&gt;""""),ROWS(FILTER(Q$4:Q916,Q$4:Q916&lt;&gt;""""))),""^Sell_""),INDEX(FILTER(T$4:T915,Q$4:Q915&lt;&gt;""""),ROWS(FILTER(Q$4:Q915,Q$4:Q915&lt;&gt;""""))),$AD$5+S916))"),"")</f>
        <v/>
      </c>
      <c r="U916" s="10" t="str">
        <f>IFERROR(__xludf.DUMMYFUNCTION("IF(COUNTA(Q916:Q1673)=0,"""",IF(Q916="""",0,IF(REGEXMATCH(Q916,""^Sell_""),-ROUNDDOWN(ROUNDUP(INDEX(Upgrades!$C$3:$C$13,MATCH(SUBSTITUTE(Q916,""Sell_"",""""),Upgrades!$B$3:$B$13,0))*1.15^(COUNTIF(Q$4:Q915,SUBSTITUTE(Q916,""Sell_"",""""))-COUNTIF(Q$4:Q915,"&amp;"""Sell_""&amp;SUBSTITUTE(Q916,""Sell_"",""""))))/2),ROUNDUP(INDEX(Upgrades!$C$3:$C$13,MATCH(Q916,Upgrades!$B$3:$B$13,0))*1.15^(COUNTIF(Q$4:Q915,Q916)-COUNTIF(Q$4:Q915,""Sell_""&amp;Q916))))))"),"")</f>
        <v/>
      </c>
      <c r="V916" s="10" t="str">
        <f t="shared" si="11"/>
        <v/>
      </c>
      <c r="W916" s="68" t="str">
        <f t="shared" si="12"/>
        <v/>
      </c>
      <c r="X916" s="59" t="str">
        <f t="shared" si="13"/>
        <v/>
      </c>
      <c r="Y916" s="69" t="str">
        <f t="shared" si="14"/>
        <v/>
      </c>
      <c r="Z916" s="11"/>
    </row>
    <row r="917">
      <c r="A917" s="8"/>
      <c r="B917" s="56" t="str">
        <f t="shared" si="2"/>
        <v/>
      </c>
      <c r="C917" s="105"/>
      <c r="D917" s="10"/>
      <c r="E917" s="59" t="str">
        <f t="array" ref="E917">IF(COUNTA(C917:C1673)=0,"",SUM((COUNTIF(C$4:C917,Upgrades!$B$3:$B$13)-COUNTIF(C$4:C917,"Sell_"&amp;Upgrades!$B$3:$B$13))*Upgrades!$D$3:$D$13))</f>
        <v/>
      </c>
      <c r="F917" s="66" t="str">
        <f>IFERROR(__xludf.DUMMYFUNCTION("IF(COUNTA(C917:C1673)=0,"""",IF(REGEXMATCH(INDEX(FILTER(C$4:C917,C$4:C917&lt;&gt;""""),ROWS(FILTER(C$4:C917,C$4:C917&lt;&gt;""""))),""^Sell_""),INDEX(FILTER(F$4:F916,C$4:C916&lt;&gt;""""),ROWS(FILTER(C$4:C916,C$4:C916&lt;&gt;""""))),$AC$5+E917))"),"")</f>
        <v/>
      </c>
      <c r="G917" s="10" t="str">
        <f>IFERROR(__xludf.DUMMYFUNCTION("IF(COUNTA(C917:C1673)=0,"""",IF(C917="""",0,IF(REGEXMATCH(C917,""^Sell_""),-ROUNDDOWN(ROUNDUP(INDEX(Upgrades!$C$3:$C$13,MATCH(SUBSTITUTE(C917,""Sell_"",""""),Upgrades!$B$3:$B$13,0))*1.15^(COUNTIF(C$4:C916,SUBSTITUTE(C917,""Sell_"",""""))-COUNTIF(C$4:C916,"&amp;"""Sell_""&amp;SUBSTITUTE(C917,""Sell_"",""""))))/2),ROUNDUP(INDEX(Upgrades!$C$3:$C$13,MATCH(C917,Upgrades!$B$3:$B$13,0))*1.15^(COUNTIF(C$4:C916,C917)-COUNTIF(C$4:C916,""Sell_""&amp;C917))))))"),"")</f>
        <v/>
      </c>
      <c r="H917" s="10" t="str">
        <f t="shared" si="3"/>
        <v/>
      </c>
      <c r="I917" s="68" t="str">
        <f t="shared" si="4"/>
        <v/>
      </c>
      <c r="J917" s="59" t="str">
        <f t="shared" si="5"/>
        <v/>
      </c>
      <c r="K917" s="69" t="str">
        <f t="shared" si="6"/>
        <v/>
      </c>
      <c r="L917" s="60" t="str">
        <f t="shared" si="7"/>
        <v/>
      </c>
      <c r="M917" s="61" t="str">
        <f>IFERROR(__xludf.DUMMYFUNCTION("IFS(AND(COUNTA(C917:C1673)=0,COUNTA(Q917:Q1673)=0),"""",OR(AND(K917&gt;=1000000000,OR(Y917&gt;=1000000000,COUNTA(Q917:Q1673)=0)),OR(Y917&gt;=1000000000,AND(COUNTA(C917:C1673)=0,P$3=TRUE))),
ROUNDDOWN((AB$1-AC$1)*MAX(INDEX(T$4:T1673,MATCH(LARGE(FILTER(Y$4:Y1673,Y$4"&amp;":Y1673&lt;1000000000),1),Y$4:Y1673)),INDEX(F$4:F1673,MATCH(LARGE(FILTER(K$4:K1673,K$4:K1673&lt;1000000000),1),K$4:K1673)))),AND(K917&lt;1000000000,COUNTA(C917:C1673)&gt;0,P$3=FALSE),
ROUNDDOWN(INDEX(Y$4:Y1673,MATCH(LARGE(FILTER(W$4:W1673,W$4:W1673&lt;=I917),1),W$4:W1673"&amp;"))+(I917-LARGE(FILTER(W$4:W1673,W$4:W1673&lt;=I917),1))*INDEX(T$4:T1673,MATCH(LARGE(FILTER(W$4:W1673,W$4:W1673&lt;=I917),1),W$4:W1673))-K917),1,
ROUNDDOWN(Y917-INDEX(K$4:K1673,MATCH(LARGE(FILTER(I$4:I1673,I$4:I1673&lt;=W917),1),I$4:I1673))-(W917-LARGE(FILTER(I$4:I"&amp;"1673,I$4:I1673&lt;=W917),1))*INDEX(F$4:F1673,MATCH(LARGE(FILTER(I$4:I1673,I$4:I1673&lt;=W917),1),I$4:I1673))))"),"")</f>
        <v/>
      </c>
      <c r="N917" s="60" t="str">
        <f t="shared" si="8"/>
        <v/>
      </c>
      <c r="O917" s="61" t="str">
        <f t="shared" si="9"/>
        <v/>
      </c>
      <c r="P917" s="56" t="str">
        <f t="shared" si="10"/>
        <v/>
      </c>
      <c r="R917" s="10"/>
      <c r="S917" s="59" t="str">
        <f t="array" ref="S917">IF(COUNTA(Q917:Q1673)=0,"",SUM((COUNTIF(Q$4:Q917,Upgrades!$B$3:$B$13)-COUNTIF(Q$4:Q917,"Sell_"&amp;Upgrades!$B$3:$B$13))*Upgrades!$D$3:$D$13))</f>
        <v/>
      </c>
      <c r="T917" s="66" t="str">
        <f>IFERROR(__xludf.DUMMYFUNCTION("IF(COUNTA(Q917:Q1673)=0,"""",IF(REGEXMATCH(INDEX(FILTER(Q$4:Q917,Q$4:Q917&lt;&gt;""""),ROWS(FILTER(Q$4:Q917,Q$4:Q917&lt;&gt;""""))),""^Sell_""),INDEX(FILTER(T$4:T916,Q$4:Q916&lt;&gt;""""),ROWS(FILTER(Q$4:Q916,Q$4:Q916&lt;&gt;""""))),$AD$5+S917))"),"")</f>
        <v/>
      </c>
      <c r="U917" s="10" t="str">
        <f>IFERROR(__xludf.DUMMYFUNCTION("IF(COUNTA(Q917:Q1673)=0,"""",IF(Q917="""",0,IF(REGEXMATCH(Q917,""^Sell_""),-ROUNDDOWN(ROUNDUP(INDEX(Upgrades!$C$3:$C$13,MATCH(SUBSTITUTE(Q917,""Sell_"",""""),Upgrades!$B$3:$B$13,0))*1.15^(COUNTIF(Q$4:Q916,SUBSTITUTE(Q917,""Sell_"",""""))-COUNTIF(Q$4:Q916,"&amp;"""Sell_""&amp;SUBSTITUTE(Q917,""Sell_"",""""))))/2),ROUNDUP(INDEX(Upgrades!$C$3:$C$13,MATCH(Q917,Upgrades!$B$3:$B$13,0))*1.15^(COUNTIF(Q$4:Q916,Q917)-COUNTIF(Q$4:Q916,""Sell_""&amp;Q917))))))"),"")</f>
        <v/>
      </c>
      <c r="V917" s="10" t="str">
        <f t="shared" si="11"/>
        <v/>
      </c>
      <c r="W917" s="68" t="str">
        <f t="shared" si="12"/>
        <v/>
      </c>
      <c r="X917" s="59" t="str">
        <f t="shared" si="13"/>
        <v/>
      </c>
      <c r="Y917" s="69" t="str">
        <f t="shared" si="14"/>
        <v/>
      </c>
      <c r="Z917" s="11"/>
    </row>
    <row r="918">
      <c r="A918" s="8"/>
      <c r="B918" s="56" t="str">
        <f t="shared" si="2"/>
        <v/>
      </c>
      <c r="C918" s="105"/>
      <c r="D918" s="10"/>
      <c r="E918" s="59" t="str">
        <f t="array" ref="E918">IF(COUNTA(C918:C1673)=0,"",SUM((COUNTIF(C$4:C918,Upgrades!$B$3:$B$13)-COUNTIF(C$4:C918,"Sell_"&amp;Upgrades!$B$3:$B$13))*Upgrades!$D$3:$D$13))</f>
        <v/>
      </c>
      <c r="F918" s="66" t="str">
        <f>IFERROR(__xludf.DUMMYFUNCTION("IF(COUNTA(C918:C1673)=0,"""",IF(REGEXMATCH(INDEX(FILTER(C$4:C918,C$4:C918&lt;&gt;""""),ROWS(FILTER(C$4:C918,C$4:C918&lt;&gt;""""))),""^Sell_""),INDEX(FILTER(F$4:F917,C$4:C917&lt;&gt;""""),ROWS(FILTER(C$4:C917,C$4:C917&lt;&gt;""""))),$AC$5+E918))"),"")</f>
        <v/>
      </c>
      <c r="G918" s="10" t="str">
        <f>IFERROR(__xludf.DUMMYFUNCTION("IF(COUNTA(C918:C1673)=0,"""",IF(C918="""",0,IF(REGEXMATCH(C918,""^Sell_""),-ROUNDDOWN(ROUNDUP(INDEX(Upgrades!$C$3:$C$13,MATCH(SUBSTITUTE(C918,""Sell_"",""""),Upgrades!$B$3:$B$13,0))*1.15^(COUNTIF(C$4:C917,SUBSTITUTE(C918,""Sell_"",""""))-COUNTIF(C$4:C917,"&amp;"""Sell_""&amp;SUBSTITUTE(C918,""Sell_"",""""))))/2),ROUNDUP(INDEX(Upgrades!$C$3:$C$13,MATCH(C918,Upgrades!$B$3:$B$13,0))*1.15^(COUNTIF(C$4:C917,C918)-COUNTIF(C$4:C917,""Sell_""&amp;C918))))))"),"")</f>
        <v/>
      </c>
      <c r="H918" s="10" t="str">
        <f t="shared" si="3"/>
        <v/>
      </c>
      <c r="I918" s="68" t="str">
        <f t="shared" si="4"/>
        <v/>
      </c>
      <c r="J918" s="59" t="str">
        <f t="shared" si="5"/>
        <v/>
      </c>
      <c r="K918" s="69" t="str">
        <f t="shared" si="6"/>
        <v/>
      </c>
      <c r="L918" s="60" t="str">
        <f t="shared" si="7"/>
        <v/>
      </c>
      <c r="M918" s="61" t="str">
        <f>IFERROR(__xludf.DUMMYFUNCTION("IFS(AND(COUNTA(C918:C1673)=0,COUNTA(Q918:Q1673)=0),"""",OR(AND(K918&gt;=1000000000,OR(Y918&gt;=1000000000,COUNTA(Q918:Q1673)=0)),OR(Y918&gt;=1000000000,AND(COUNTA(C918:C1673)=0,P$3=TRUE))),
ROUNDDOWN((AB$1-AC$1)*MAX(INDEX(T$4:T1673,MATCH(LARGE(FILTER(Y$4:Y1673,Y$4"&amp;":Y1673&lt;1000000000),1),Y$4:Y1673)),INDEX(F$4:F1673,MATCH(LARGE(FILTER(K$4:K1673,K$4:K1673&lt;1000000000),1),K$4:K1673)))),AND(K918&lt;1000000000,COUNTA(C918:C1673)&gt;0,P$3=FALSE),
ROUNDDOWN(INDEX(Y$4:Y1673,MATCH(LARGE(FILTER(W$4:W1673,W$4:W1673&lt;=I918),1),W$4:W1673"&amp;"))+(I918-LARGE(FILTER(W$4:W1673,W$4:W1673&lt;=I918),1))*INDEX(T$4:T1673,MATCH(LARGE(FILTER(W$4:W1673,W$4:W1673&lt;=I918),1),W$4:W1673))-K918),1,
ROUNDDOWN(Y918-INDEX(K$4:K1673,MATCH(LARGE(FILTER(I$4:I1673,I$4:I1673&lt;=W918),1),I$4:I1673))-(W918-LARGE(FILTER(I$4:I"&amp;"1673,I$4:I1673&lt;=W918),1))*INDEX(F$4:F1673,MATCH(LARGE(FILTER(I$4:I1673,I$4:I1673&lt;=W918),1),I$4:I1673))))"),"")</f>
        <v/>
      </c>
      <c r="N918" s="60" t="str">
        <f t="shared" si="8"/>
        <v/>
      </c>
      <c r="O918" s="61" t="str">
        <f t="shared" si="9"/>
        <v/>
      </c>
      <c r="P918" s="56" t="str">
        <f t="shared" si="10"/>
        <v/>
      </c>
      <c r="R918" s="10"/>
      <c r="S918" s="59" t="str">
        <f t="array" ref="S918">IF(COUNTA(Q918:Q1673)=0,"",SUM((COUNTIF(Q$4:Q918,Upgrades!$B$3:$B$13)-COUNTIF(Q$4:Q918,"Sell_"&amp;Upgrades!$B$3:$B$13))*Upgrades!$D$3:$D$13))</f>
        <v/>
      </c>
      <c r="T918" s="66" t="str">
        <f>IFERROR(__xludf.DUMMYFUNCTION("IF(COUNTA(Q918:Q1673)=0,"""",IF(REGEXMATCH(INDEX(FILTER(Q$4:Q918,Q$4:Q918&lt;&gt;""""),ROWS(FILTER(Q$4:Q918,Q$4:Q918&lt;&gt;""""))),""^Sell_""),INDEX(FILTER(T$4:T917,Q$4:Q917&lt;&gt;""""),ROWS(FILTER(Q$4:Q917,Q$4:Q917&lt;&gt;""""))),$AD$5+S918))"),"")</f>
        <v/>
      </c>
      <c r="U918" s="10" t="str">
        <f>IFERROR(__xludf.DUMMYFUNCTION("IF(COUNTA(Q918:Q1673)=0,"""",IF(Q918="""",0,IF(REGEXMATCH(Q918,""^Sell_""),-ROUNDDOWN(ROUNDUP(INDEX(Upgrades!$C$3:$C$13,MATCH(SUBSTITUTE(Q918,""Sell_"",""""),Upgrades!$B$3:$B$13,0))*1.15^(COUNTIF(Q$4:Q917,SUBSTITUTE(Q918,""Sell_"",""""))-COUNTIF(Q$4:Q917,"&amp;"""Sell_""&amp;SUBSTITUTE(Q918,""Sell_"",""""))))/2),ROUNDUP(INDEX(Upgrades!$C$3:$C$13,MATCH(Q918,Upgrades!$B$3:$B$13,0))*1.15^(COUNTIF(Q$4:Q917,Q918)-COUNTIF(Q$4:Q917,""Sell_""&amp;Q918))))))"),"")</f>
        <v/>
      </c>
      <c r="V918" s="10" t="str">
        <f t="shared" si="11"/>
        <v/>
      </c>
      <c r="W918" s="68" t="str">
        <f t="shared" si="12"/>
        <v/>
      </c>
      <c r="X918" s="59" t="str">
        <f t="shared" si="13"/>
        <v/>
      </c>
      <c r="Y918" s="69" t="str">
        <f t="shared" si="14"/>
        <v/>
      </c>
      <c r="Z918" s="11"/>
    </row>
    <row r="919">
      <c r="A919" s="8"/>
      <c r="B919" s="56" t="str">
        <f t="shared" si="2"/>
        <v/>
      </c>
      <c r="C919" s="105"/>
      <c r="D919" s="10"/>
      <c r="E919" s="59" t="str">
        <f t="array" ref="E919">IF(COUNTA(C919:C1673)=0,"",SUM((COUNTIF(C$4:C919,Upgrades!$B$3:$B$13)-COUNTIF(C$4:C919,"Sell_"&amp;Upgrades!$B$3:$B$13))*Upgrades!$D$3:$D$13))</f>
        <v/>
      </c>
      <c r="F919" s="66" t="str">
        <f>IFERROR(__xludf.DUMMYFUNCTION("IF(COUNTA(C919:C1673)=0,"""",IF(REGEXMATCH(INDEX(FILTER(C$4:C919,C$4:C919&lt;&gt;""""),ROWS(FILTER(C$4:C919,C$4:C919&lt;&gt;""""))),""^Sell_""),INDEX(FILTER(F$4:F918,C$4:C918&lt;&gt;""""),ROWS(FILTER(C$4:C918,C$4:C918&lt;&gt;""""))),$AC$5+E919))"),"")</f>
        <v/>
      </c>
      <c r="G919" s="10" t="str">
        <f>IFERROR(__xludf.DUMMYFUNCTION("IF(COUNTA(C919:C1673)=0,"""",IF(C919="""",0,IF(REGEXMATCH(C919,""^Sell_""),-ROUNDDOWN(ROUNDUP(INDEX(Upgrades!$C$3:$C$13,MATCH(SUBSTITUTE(C919,""Sell_"",""""),Upgrades!$B$3:$B$13,0))*1.15^(COUNTIF(C$4:C918,SUBSTITUTE(C919,""Sell_"",""""))-COUNTIF(C$4:C918,"&amp;"""Sell_""&amp;SUBSTITUTE(C919,""Sell_"",""""))))/2),ROUNDUP(INDEX(Upgrades!$C$3:$C$13,MATCH(C919,Upgrades!$B$3:$B$13,0))*1.15^(COUNTIF(C$4:C918,C919)-COUNTIF(C$4:C918,""Sell_""&amp;C919))))))"),"")</f>
        <v/>
      </c>
      <c r="H919" s="10" t="str">
        <f t="shared" si="3"/>
        <v/>
      </c>
      <c r="I919" s="68" t="str">
        <f t="shared" si="4"/>
        <v/>
      </c>
      <c r="J919" s="59" t="str">
        <f t="shared" si="5"/>
        <v/>
      </c>
      <c r="K919" s="69" t="str">
        <f t="shared" si="6"/>
        <v/>
      </c>
      <c r="L919" s="60" t="str">
        <f t="shared" si="7"/>
        <v/>
      </c>
      <c r="M919" s="61" t="str">
        <f>IFERROR(__xludf.DUMMYFUNCTION("IFS(AND(COUNTA(C919:C1673)=0,COUNTA(Q919:Q1673)=0),"""",OR(AND(K919&gt;=1000000000,OR(Y919&gt;=1000000000,COUNTA(Q919:Q1673)=0)),OR(Y919&gt;=1000000000,AND(COUNTA(C919:C1673)=0,P$3=TRUE))),
ROUNDDOWN((AB$1-AC$1)*MAX(INDEX(T$4:T1673,MATCH(LARGE(FILTER(Y$4:Y1673,Y$4"&amp;":Y1673&lt;1000000000),1),Y$4:Y1673)),INDEX(F$4:F1673,MATCH(LARGE(FILTER(K$4:K1673,K$4:K1673&lt;1000000000),1),K$4:K1673)))),AND(K919&lt;1000000000,COUNTA(C919:C1673)&gt;0,P$3=FALSE),
ROUNDDOWN(INDEX(Y$4:Y1673,MATCH(LARGE(FILTER(W$4:W1673,W$4:W1673&lt;=I919),1),W$4:W1673"&amp;"))+(I919-LARGE(FILTER(W$4:W1673,W$4:W1673&lt;=I919),1))*INDEX(T$4:T1673,MATCH(LARGE(FILTER(W$4:W1673,W$4:W1673&lt;=I919),1),W$4:W1673))-K919),1,
ROUNDDOWN(Y919-INDEX(K$4:K1673,MATCH(LARGE(FILTER(I$4:I1673,I$4:I1673&lt;=W919),1),I$4:I1673))-(W919-LARGE(FILTER(I$4:I"&amp;"1673,I$4:I1673&lt;=W919),1))*INDEX(F$4:F1673,MATCH(LARGE(FILTER(I$4:I1673,I$4:I1673&lt;=W919),1),I$4:I1673))))"),"")</f>
        <v/>
      </c>
      <c r="N919" s="60" t="str">
        <f t="shared" si="8"/>
        <v/>
      </c>
      <c r="O919" s="61" t="str">
        <f t="shared" si="9"/>
        <v/>
      </c>
      <c r="P919" s="56" t="str">
        <f t="shared" si="10"/>
        <v/>
      </c>
      <c r="R919" s="10"/>
      <c r="S919" s="59" t="str">
        <f t="array" ref="S919">IF(COUNTA(Q919:Q1673)=0,"",SUM((COUNTIF(Q$4:Q919,Upgrades!$B$3:$B$13)-COUNTIF(Q$4:Q919,"Sell_"&amp;Upgrades!$B$3:$B$13))*Upgrades!$D$3:$D$13))</f>
        <v/>
      </c>
      <c r="T919" s="66" t="str">
        <f>IFERROR(__xludf.DUMMYFUNCTION("IF(COUNTA(Q919:Q1673)=0,"""",IF(REGEXMATCH(INDEX(FILTER(Q$4:Q919,Q$4:Q919&lt;&gt;""""),ROWS(FILTER(Q$4:Q919,Q$4:Q919&lt;&gt;""""))),""^Sell_""),INDEX(FILTER(T$4:T918,Q$4:Q918&lt;&gt;""""),ROWS(FILTER(Q$4:Q918,Q$4:Q918&lt;&gt;""""))),$AD$5+S919))"),"")</f>
        <v/>
      </c>
      <c r="U919" s="10" t="str">
        <f>IFERROR(__xludf.DUMMYFUNCTION("IF(COUNTA(Q919:Q1673)=0,"""",IF(Q919="""",0,IF(REGEXMATCH(Q919,""^Sell_""),-ROUNDDOWN(ROUNDUP(INDEX(Upgrades!$C$3:$C$13,MATCH(SUBSTITUTE(Q919,""Sell_"",""""),Upgrades!$B$3:$B$13,0))*1.15^(COUNTIF(Q$4:Q918,SUBSTITUTE(Q919,""Sell_"",""""))-COUNTIF(Q$4:Q918,"&amp;"""Sell_""&amp;SUBSTITUTE(Q919,""Sell_"",""""))))/2),ROUNDUP(INDEX(Upgrades!$C$3:$C$13,MATCH(Q919,Upgrades!$B$3:$B$13,0))*1.15^(COUNTIF(Q$4:Q918,Q919)-COUNTIF(Q$4:Q918,""Sell_""&amp;Q919))))))"),"")</f>
        <v/>
      </c>
      <c r="V919" s="10" t="str">
        <f t="shared" si="11"/>
        <v/>
      </c>
      <c r="W919" s="68" t="str">
        <f t="shared" si="12"/>
        <v/>
      </c>
      <c r="X919" s="59" t="str">
        <f t="shared" si="13"/>
        <v/>
      </c>
      <c r="Y919" s="69" t="str">
        <f t="shared" si="14"/>
        <v/>
      </c>
      <c r="Z919" s="11"/>
    </row>
    <row r="920">
      <c r="A920" s="8"/>
      <c r="B920" s="56" t="str">
        <f t="shared" si="2"/>
        <v/>
      </c>
      <c r="C920" s="105"/>
      <c r="D920" s="10"/>
      <c r="E920" s="59" t="str">
        <f t="array" ref="E920">IF(COUNTA(C920:C1673)=0,"",SUM((COUNTIF(C$4:C920,Upgrades!$B$3:$B$13)-COUNTIF(C$4:C920,"Sell_"&amp;Upgrades!$B$3:$B$13))*Upgrades!$D$3:$D$13))</f>
        <v/>
      </c>
      <c r="F920" s="66" t="str">
        <f>IFERROR(__xludf.DUMMYFUNCTION("IF(COUNTA(C920:C1673)=0,"""",IF(REGEXMATCH(INDEX(FILTER(C$4:C920,C$4:C920&lt;&gt;""""),ROWS(FILTER(C$4:C920,C$4:C920&lt;&gt;""""))),""^Sell_""),INDEX(FILTER(F$4:F919,C$4:C919&lt;&gt;""""),ROWS(FILTER(C$4:C919,C$4:C919&lt;&gt;""""))),$AC$5+E920))"),"")</f>
        <v/>
      </c>
      <c r="G920" s="10" t="str">
        <f>IFERROR(__xludf.DUMMYFUNCTION("IF(COUNTA(C920:C1673)=0,"""",IF(C920="""",0,IF(REGEXMATCH(C920,""^Sell_""),-ROUNDDOWN(ROUNDUP(INDEX(Upgrades!$C$3:$C$13,MATCH(SUBSTITUTE(C920,""Sell_"",""""),Upgrades!$B$3:$B$13,0))*1.15^(COUNTIF(C$4:C919,SUBSTITUTE(C920,""Sell_"",""""))-COUNTIF(C$4:C919,"&amp;"""Sell_""&amp;SUBSTITUTE(C920,""Sell_"",""""))))/2),ROUNDUP(INDEX(Upgrades!$C$3:$C$13,MATCH(C920,Upgrades!$B$3:$B$13,0))*1.15^(COUNTIF(C$4:C919,C920)-COUNTIF(C$4:C919,""Sell_""&amp;C920))))))"),"")</f>
        <v/>
      </c>
      <c r="H920" s="10" t="str">
        <f t="shared" si="3"/>
        <v/>
      </c>
      <c r="I920" s="68" t="str">
        <f t="shared" si="4"/>
        <v/>
      </c>
      <c r="J920" s="59" t="str">
        <f t="shared" si="5"/>
        <v/>
      </c>
      <c r="K920" s="69" t="str">
        <f t="shared" si="6"/>
        <v/>
      </c>
      <c r="L920" s="60" t="str">
        <f t="shared" si="7"/>
        <v/>
      </c>
      <c r="M920" s="61" t="str">
        <f>IFERROR(__xludf.DUMMYFUNCTION("IFS(AND(COUNTA(C920:C1673)=0,COUNTA(Q920:Q1673)=0),"""",OR(AND(K920&gt;=1000000000,OR(Y920&gt;=1000000000,COUNTA(Q920:Q1673)=0)),OR(Y920&gt;=1000000000,AND(COUNTA(C920:C1673)=0,P$3=TRUE))),
ROUNDDOWN((AB$1-AC$1)*MAX(INDEX(T$4:T1673,MATCH(LARGE(FILTER(Y$4:Y1673,Y$4"&amp;":Y1673&lt;1000000000),1),Y$4:Y1673)),INDEX(F$4:F1673,MATCH(LARGE(FILTER(K$4:K1673,K$4:K1673&lt;1000000000),1),K$4:K1673)))),AND(K920&lt;1000000000,COUNTA(C920:C1673)&gt;0,P$3=FALSE),
ROUNDDOWN(INDEX(Y$4:Y1673,MATCH(LARGE(FILTER(W$4:W1673,W$4:W1673&lt;=I920),1),W$4:W1673"&amp;"))+(I920-LARGE(FILTER(W$4:W1673,W$4:W1673&lt;=I920),1))*INDEX(T$4:T1673,MATCH(LARGE(FILTER(W$4:W1673,W$4:W1673&lt;=I920),1),W$4:W1673))-K920),1,
ROUNDDOWN(Y920-INDEX(K$4:K1673,MATCH(LARGE(FILTER(I$4:I1673,I$4:I1673&lt;=W920),1),I$4:I1673))-(W920-LARGE(FILTER(I$4:I"&amp;"1673,I$4:I1673&lt;=W920),1))*INDEX(F$4:F1673,MATCH(LARGE(FILTER(I$4:I1673,I$4:I1673&lt;=W920),1),I$4:I1673))))"),"")</f>
        <v/>
      </c>
      <c r="N920" s="60" t="str">
        <f t="shared" si="8"/>
        <v/>
      </c>
      <c r="O920" s="61" t="str">
        <f t="shared" si="9"/>
        <v/>
      </c>
      <c r="P920" s="56" t="str">
        <f t="shared" si="10"/>
        <v/>
      </c>
      <c r="R920" s="10"/>
      <c r="S920" s="59" t="str">
        <f t="array" ref="S920">IF(COUNTA(Q920:Q1673)=0,"",SUM((COUNTIF(Q$4:Q920,Upgrades!$B$3:$B$13)-COUNTIF(Q$4:Q920,"Sell_"&amp;Upgrades!$B$3:$B$13))*Upgrades!$D$3:$D$13))</f>
        <v/>
      </c>
      <c r="T920" s="66" t="str">
        <f>IFERROR(__xludf.DUMMYFUNCTION("IF(COUNTA(Q920:Q1673)=0,"""",IF(REGEXMATCH(INDEX(FILTER(Q$4:Q920,Q$4:Q920&lt;&gt;""""),ROWS(FILTER(Q$4:Q920,Q$4:Q920&lt;&gt;""""))),""^Sell_""),INDEX(FILTER(T$4:T919,Q$4:Q919&lt;&gt;""""),ROWS(FILTER(Q$4:Q919,Q$4:Q919&lt;&gt;""""))),$AD$5+S920))"),"")</f>
        <v/>
      </c>
      <c r="U920" s="10" t="str">
        <f>IFERROR(__xludf.DUMMYFUNCTION("IF(COUNTA(Q920:Q1673)=0,"""",IF(Q920="""",0,IF(REGEXMATCH(Q920,""^Sell_""),-ROUNDDOWN(ROUNDUP(INDEX(Upgrades!$C$3:$C$13,MATCH(SUBSTITUTE(Q920,""Sell_"",""""),Upgrades!$B$3:$B$13,0))*1.15^(COUNTIF(Q$4:Q919,SUBSTITUTE(Q920,""Sell_"",""""))-COUNTIF(Q$4:Q919,"&amp;"""Sell_""&amp;SUBSTITUTE(Q920,""Sell_"",""""))))/2),ROUNDUP(INDEX(Upgrades!$C$3:$C$13,MATCH(Q920,Upgrades!$B$3:$B$13,0))*1.15^(COUNTIF(Q$4:Q919,Q920)-COUNTIF(Q$4:Q919,""Sell_""&amp;Q920))))))"),"")</f>
        <v/>
      </c>
      <c r="V920" s="10" t="str">
        <f t="shared" si="11"/>
        <v/>
      </c>
      <c r="W920" s="68" t="str">
        <f t="shared" si="12"/>
        <v/>
      </c>
      <c r="X920" s="59" t="str">
        <f t="shared" si="13"/>
        <v/>
      </c>
      <c r="Y920" s="69" t="str">
        <f t="shared" si="14"/>
        <v/>
      </c>
      <c r="Z920" s="11"/>
    </row>
    <row r="921">
      <c r="A921" s="8"/>
      <c r="B921" s="56" t="str">
        <f t="shared" si="2"/>
        <v/>
      </c>
      <c r="C921" s="105"/>
      <c r="D921" s="10"/>
      <c r="E921" s="59" t="str">
        <f t="array" ref="E921">IF(COUNTA(C921:C1673)=0,"",SUM((COUNTIF(C$4:C921,Upgrades!$B$3:$B$13)-COUNTIF(C$4:C921,"Sell_"&amp;Upgrades!$B$3:$B$13))*Upgrades!$D$3:$D$13))</f>
        <v/>
      </c>
      <c r="F921" s="66" t="str">
        <f>IFERROR(__xludf.DUMMYFUNCTION("IF(COUNTA(C921:C1673)=0,"""",IF(REGEXMATCH(INDEX(FILTER(C$4:C921,C$4:C921&lt;&gt;""""),ROWS(FILTER(C$4:C921,C$4:C921&lt;&gt;""""))),""^Sell_""),INDEX(FILTER(F$4:F920,C$4:C920&lt;&gt;""""),ROWS(FILTER(C$4:C920,C$4:C920&lt;&gt;""""))),$AC$5+E921))"),"")</f>
        <v/>
      </c>
      <c r="G921" s="10" t="str">
        <f>IFERROR(__xludf.DUMMYFUNCTION("IF(COUNTA(C921:C1673)=0,"""",IF(C921="""",0,IF(REGEXMATCH(C921,""^Sell_""),-ROUNDDOWN(ROUNDUP(INDEX(Upgrades!$C$3:$C$13,MATCH(SUBSTITUTE(C921,""Sell_"",""""),Upgrades!$B$3:$B$13,0))*1.15^(COUNTIF(C$4:C920,SUBSTITUTE(C921,""Sell_"",""""))-COUNTIF(C$4:C920,"&amp;"""Sell_""&amp;SUBSTITUTE(C921,""Sell_"",""""))))/2),ROUNDUP(INDEX(Upgrades!$C$3:$C$13,MATCH(C921,Upgrades!$B$3:$B$13,0))*1.15^(COUNTIF(C$4:C920,C921)-COUNTIF(C$4:C920,""Sell_""&amp;C921))))))"),"")</f>
        <v/>
      </c>
      <c r="H921" s="10" t="str">
        <f t="shared" si="3"/>
        <v/>
      </c>
      <c r="I921" s="68" t="str">
        <f t="shared" si="4"/>
        <v/>
      </c>
      <c r="J921" s="59" t="str">
        <f t="shared" si="5"/>
        <v/>
      </c>
      <c r="K921" s="69" t="str">
        <f t="shared" si="6"/>
        <v/>
      </c>
      <c r="L921" s="60" t="str">
        <f t="shared" si="7"/>
        <v/>
      </c>
      <c r="M921" s="61" t="str">
        <f>IFERROR(__xludf.DUMMYFUNCTION("IFS(AND(COUNTA(C921:C1673)=0,COUNTA(Q921:Q1673)=0),"""",OR(AND(K921&gt;=1000000000,OR(Y921&gt;=1000000000,COUNTA(Q921:Q1673)=0)),OR(Y921&gt;=1000000000,AND(COUNTA(C921:C1673)=0,P$3=TRUE))),
ROUNDDOWN((AB$1-AC$1)*MAX(INDEX(T$4:T1673,MATCH(LARGE(FILTER(Y$4:Y1673,Y$4"&amp;":Y1673&lt;1000000000),1),Y$4:Y1673)),INDEX(F$4:F1673,MATCH(LARGE(FILTER(K$4:K1673,K$4:K1673&lt;1000000000),1),K$4:K1673)))),AND(K921&lt;1000000000,COUNTA(C921:C1673)&gt;0,P$3=FALSE),
ROUNDDOWN(INDEX(Y$4:Y1673,MATCH(LARGE(FILTER(W$4:W1673,W$4:W1673&lt;=I921),1),W$4:W1673"&amp;"))+(I921-LARGE(FILTER(W$4:W1673,W$4:W1673&lt;=I921),1))*INDEX(T$4:T1673,MATCH(LARGE(FILTER(W$4:W1673,W$4:W1673&lt;=I921),1),W$4:W1673))-K921),1,
ROUNDDOWN(Y921-INDEX(K$4:K1673,MATCH(LARGE(FILTER(I$4:I1673,I$4:I1673&lt;=W921),1),I$4:I1673))-(W921-LARGE(FILTER(I$4:I"&amp;"1673,I$4:I1673&lt;=W921),1))*INDEX(F$4:F1673,MATCH(LARGE(FILTER(I$4:I1673,I$4:I1673&lt;=W921),1),I$4:I1673))))"),"")</f>
        <v/>
      </c>
      <c r="N921" s="60" t="str">
        <f t="shared" si="8"/>
        <v/>
      </c>
      <c r="O921" s="61" t="str">
        <f t="shared" si="9"/>
        <v/>
      </c>
      <c r="P921" s="56" t="str">
        <f t="shared" si="10"/>
        <v/>
      </c>
      <c r="R921" s="10"/>
      <c r="S921" s="59" t="str">
        <f t="array" ref="S921">IF(COUNTA(Q921:Q1673)=0,"",SUM((COUNTIF(Q$4:Q921,Upgrades!$B$3:$B$13)-COUNTIF(Q$4:Q921,"Sell_"&amp;Upgrades!$B$3:$B$13))*Upgrades!$D$3:$D$13))</f>
        <v/>
      </c>
      <c r="T921" s="66" t="str">
        <f>IFERROR(__xludf.DUMMYFUNCTION("IF(COUNTA(Q921:Q1673)=0,"""",IF(REGEXMATCH(INDEX(FILTER(Q$4:Q921,Q$4:Q921&lt;&gt;""""),ROWS(FILTER(Q$4:Q921,Q$4:Q921&lt;&gt;""""))),""^Sell_""),INDEX(FILTER(T$4:T920,Q$4:Q920&lt;&gt;""""),ROWS(FILTER(Q$4:Q920,Q$4:Q920&lt;&gt;""""))),$AD$5+S921))"),"")</f>
        <v/>
      </c>
      <c r="U921" s="10" t="str">
        <f>IFERROR(__xludf.DUMMYFUNCTION("IF(COUNTA(Q921:Q1673)=0,"""",IF(Q921="""",0,IF(REGEXMATCH(Q921,""^Sell_""),-ROUNDDOWN(ROUNDUP(INDEX(Upgrades!$C$3:$C$13,MATCH(SUBSTITUTE(Q921,""Sell_"",""""),Upgrades!$B$3:$B$13,0))*1.15^(COUNTIF(Q$4:Q920,SUBSTITUTE(Q921,""Sell_"",""""))-COUNTIF(Q$4:Q920,"&amp;"""Sell_""&amp;SUBSTITUTE(Q921,""Sell_"",""""))))/2),ROUNDUP(INDEX(Upgrades!$C$3:$C$13,MATCH(Q921,Upgrades!$B$3:$B$13,0))*1.15^(COUNTIF(Q$4:Q920,Q921)-COUNTIF(Q$4:Q920,""Sell_""&amp;Q921))))))"),"")</f>
        <v/>
      </c>
      <c r="V921" s="10" t="str">
        <f t="shared" si="11"/>
        <v/>
      </c>
      <c r="W921" s="68" t="str">
        <f t="shared" si="12"/>
        <v/>
      </c>
      <c r="X921" s="59" t="str">
        <f t="shared" si="13"/>
        <v/>
      </c>
      <c r="Y921" s="69" t="str">
        <f t="shared" si="14"/>
        <v/>
      </c>
      <c r="Z921" s="11"/>
    </row>
    <row r="922">
      <c r="A922" s="8"/>
      <c r="B922" s="56" t="str">
        <f t="shared" si="2"/>
        <v/>
      </c>
      <c r="C922" s="105"/>
      <c r="D922" s="10"/>
      <c r="E922" s="59" t="str">
        <f t="array" ref="E922">IF(COUNTA(C922:C1673)=0,"",SUM((COUNTIF(C$4:C922,Upgrades!$B$3:$B$13)-COUNTIF(C$4:C922,"Sell_"&amp;Upgrades!$B$3:$B$13))*Upgrades!$D$3:$D$13))</f>
        <v/>
      </c>
      <c r="F922" s="66" t="str">
        <f>IFERROR(__xludf.DUMMYFUNCTION("IF(COUNTA(C922:C1673)=0,"""",IF(REGEXMATCH(INDEX(FILTER(C$4:C922,C$4:C922&lt;&gt;""""),ROWS(FILTER(C$4:C922,C$4:C922&lt;&gt;""""))),""^Sell_""),INDEX(FILTER(F$4:F921,C$4:C921&lt;&gt;""""),ROWS(FILTER(C$4:C921,C$4:C921&lt;&gt;""""))),$AC$5+E922))"),"")</f>
        <v/>
      </c>
      <c r="G922" s="10" t="str">
        <f>IFERROR(__xludf.DUMMYFUNCTION("IF(COUNTA(C922:C1673)=0,"""",IF(C922="""",0,IF(REGEXMATCH(C922,""^Sell_""),-ROUNDDOWN(ROUNDUP(INDEX(Upgrades!$C$3:$C$13,MATCH(SUBSTITUTE(C922,""Sell_"",""""),Upgrades!$B$3:$B$13,0))*1.15^(COUNTIF(C$4:C921,SUBSTITUTE(C922,""Sell_"",""""))-COUNTIF(C$4:C921,"&amp;"""Sell_""&amp;SUBSTITUTE(C922,""Sell_"",""""))))/2),ROUNDUP(INDEX(Upgrades!$C$3:$C$13,MATCH(C922,Upgrades!$B$3:$B$13,0))*1.15^(COUNTIF(C$4:C921,C922)-COUNTIF(C$4:C921,""Sell_""&amp;C922))))))"),"")</f>
        <v/>
      </c>
      <c r="H922" s="10" t="str">
        <f t="shared" si="3"/>
        <v/>
      </c>
      <c r="I922" s="68" t="str">
        <f t="shared" si="4"/>
        <v/>
      </c>
      <c r="J922" s="59" t="str">
        <f t="shared" si="5"/>
        <v/>
      </c>
      <c r="K922" s="69" t="str">
        <f t="shared" si="6"/>
        <v/>
      </c>
      <c r="L922" s="60" t="str">
        <f t="shared" si="7"/>
        <v/>
      </c>
      <c r="M922" s="61" t="str">
        <f>IFERROR(__xludf.DUMMYFUNCTION("IFS(AND(COUNTA(C922:C1673)=0,COUNTA(Q922:Q1673)=0),"""",OR(AND(K922&gt;=1000000000,OR(Y922&gt;=1000000000,COUNTA(Q922:Q1673)=0)),OR(Y922&gt;=1000000000,AND(COUNTA(C922:C1673)=0,P$3=TRUE))),
ROUNDDOWN((AB$1-AC$1)*MAX(INDEX(T$4:T1673,MATCH(LARGE(FILTER(Y$4:Y1673,Y$4"&amp;":Y1673&lt;1000000000),1),Y$4:Y1673)),INDEX(F$4:F1673,MATCH(LARGE(FILTER(K$4:K1673,K$4:K1673&lt;1000000000),1),K$4:K1673)))),AND(K922&lt;1000000000,COUNTA(C922:C1673)&gt;0,P$3=FALSE),
ROUNDDOWN(INDEX(Y$4:Y1673,MATCH(LARGE(FILTER(W$4:W1673,W$4:W1673&lt;=I922),1),W$4:W1673"&amp;"))+(I922-LARGE(FILTER(W$4:W1673,W$4:W1673&lt;=I922),1))*INDEX(T$4:T1673,MATCH(LARGE(FILTER(W$4:W1673,W$4:W1673&lt;=I922),1),W$4:W1673))-K922),1,
ROUNDDOWN(Y922-INDEX(K$4:K1673,MATCH(LARGE(FILTER(I$4:I1673,I$4:I1673&lt;=W922),1),I$4:I1673))-(W922-LARGE(FILTER(I$4:I"&amp;"1673,I$4:I1673&lt;=W922),1))*INDEX(F$4:F1673,MATCH(LARGE(FILTER(I$4:I1673,I$4:I1673&lt;=W922),1),I$4:I1673))))"),"")</f>
        <v/>
      </c>
      <c r="N922" s="60" t="str">
        <f t="shared" si="8"/>
        <v/>
      </c>
      <c r="O922" s="61" t="str">
        <f t="shared" si="9"/>
        <v/>
      </c>
      <c r="P922" s="56" t="str">
        <f t="shared" si="10"/>
        <v/>
      </c>
      <c r="R922" s="10"/>
      <c r="S922" s="59" t="str">
        <f t="array" ref="S922">IF(COUNTA(Q922:Q1673)=0,"",SUM((COUNTIF(Q$4:Q922,Upgrades!$B$3:$B$13)-COUNTIF(Q$4:Q922,"Sell_"&amp;Upgrades!$B$3:$B$13))*Upgrades!$D$3:$D$13))</f>
        <v/>
      </c>
      <c r="T922" s="66" t="str">
        <f>IFERROR(__xludf.DUMMYFUNCTION("IF(COUNTA(Q922:Q1673)=0,"""",IF(REGEXMATCH(INDEX(FILTER(Q$4:Q922,Q$4:Q922&lt;&gt;""""),ROWS(FILTER(Q$4:Q922,Q$4:Q922&lt;&gt;""""))),""^Sell_""),INDEX(FILTER(T$4:T921,Q$4:Q921&lt;&gt;""""),ROWS(FILTER(Q$4:Q921,Q$4:Q921&lt;&gt;""""))),$AD$5+S922))"),"")</f>
        <v/>
      </c>
      <c r="U922" s="10" t="str">
        <f>IFERROR(__xludf.DUMMYFUNCTION("IF(COUNTA(Q922:Q1673)=0,"""",IF(Q922="""",0,IF(REGEXMATCH(Q922,""^Sell_""),-ROUNDDOWN(ROUNDUP(INDEX(Upgrades!$C$3:$C$13,MATCH(SUBSTITUTE(Q922,""Sell_"",""""),Upgrades!$B$3:$B$13,0))*1.15^(COUNTIF(Q$4:Q921,SUBSTITUTE(Q922,""Sell_"",""""))-COUNTIF(Q$4:Q921,"&amp;"""Sell_""&amp;SUBSTITUTE(Q922,""Sell_"",""""))))/2),ROUNDUP(INDEX(Upgrades!$C$3:$C$13,MATCH(Q922,Upgrades!$B$3:$B$13,0))*1.15^(COUNTIF(Q$4:Q921,Q922)-COUNTIF(Q$4:Q921,""Sell_""&amp;Q922))))))"),"")</f>
        <v/>
      </c>
      <c r="V922" s="10" t="str">
        <f t="shared" si="11"/>
        <v/>
      </c>
      <c r="W922" s="68" t="str">
        <f t="shared" si="12"/>
        <v/>
      </c>
      <c r="X922" s="59" t="str">
        <f t="shared" si="13"/>
        <v/>
      </c>
      <c r="Y922" s="69" t="str">
        <f t="shared" si="14"/>
        <v/>
      </c>
      <c r="Z922" s="11"/>
    </row>
    <row r="923">
      <c r="A923" s="8"/>
      <c r="B923" s="56" t="str">
        <f t="shared" si="2"/>
        <v/>
      </c>
      <c r="C923" s="105"/>
      <c r="D923" s="10"/>
      <c r="E923" s="59" t="str">
        <f t="array" ref="E923">IF(COUNTA(C923:C1673)=0,"",SUM((COUNTIF(C$4:C923,Upgrades!$B$3:$B$13)-COUNTIF(C$4:C923,"Sell_"&amp;Upgrades!$B$3:$B$13))*Upgrades!$D$3:$D$13))</f>
        <v/>
      </c>
      <c r="F923" s="66" t="str">
        <f>IFERROR(__xludf.DUMMYFUNCTION("IF(COUNTA(C923:C1673)=0,"""",IF(REGEXMATCH(INDEX(FILTER(C$4:C923,C$4:C923&lt;&gt;""""),ROWS(FILTER(C$4:C923,C$4:C923&lt;&gt;""""))),""^Sell_""),INDEX(FILTER(F$4:F922,C$4:C922&lt;&gt;""""),ROWS(FILTER(C$4:C922,C$4:C922&lt;&gt;""""))),$AC$5+E923))"),"")</f>
        <v/>
      </c>
      <c r="G923" s="10" t="str">
        <f>IFERROR(__xludf.DUMMYFUNCTION("IF(COUNTA(C923:C1673)=0,"""",IF(C923="""",0,IF(REGEXMATCH(C923,""^Sell_""),-ROUNDDOWN(ROUNDUP(INDEX(Upgrades!$C$3:$C$13,MATCH(SUBSTITUTE(C923,""Sell_"",""""),Upgrades!$B$3:$B$13,0))*1.15^(COUNTIF(C$4:C922,SUBSTITUTE(C923,""Sell_"",""""))-COUNTIF(C$4:C922,"&amp;"""Sell_""&amp;SUBSTITUTE(C923,""Sell_"",""""))))/2),ROUNDUP(INDEX(Upgrades!$C$3:$C$13,MATCH(C923,Upgrades!$B$3:$B$13,0))*1.15^(COUNTIF(C$4:C922,C923)-COUNTIF(C$4:C922,""Sell_""&amp;C923))))))"),"")</f>
        <v/>
      </c>
      <c r="H923" s="10" t="str">
        <f t="shared" si="3"/>
        <v/>
      </c>
      <c r="I923" s="68" t="str">
        <f t="shared" si="4"/>
        <v/>
      </c>
      <c r="J923" s="59" t="str">
        <f t="shared" si="5"/>
        <v/>
      </c>
      <c r="K923" s="69" t="str">
        <f t="shared" si="6"/>
        <v/>
      </c>
      <c r="L923" s="60" t="str">
        <f t="shared" si="7"/>
        <v/>
      </c>
      <c r="M923" s="61" t="str">
        <f>IFERROR(__xludf.DUMMYFUNCTION("IFS(AND(COUNTA(C923:C1673)=0,COUNTA(Q923:Q1673)=0),"""",OR(AND(K923&gt;=1000000000,OR(Y923&gt;=1000000000,COUNTA(Q923:Q1673)=0)),OR(Y923&gt;=1000000000,AND(COUNTA(C923:C1673)=0,P$3=TRUE))),
ROUNDDOWN((AB$1-AC$1)*MAX(INDEX(T$4:T1673,MATCH(LARGE(FILTER(Y$4:Y1673,Y$4"&amp;":Y1673&lt;1000000000),1),Y$4:Y1673)),INDEX(F$4:F1673,MATCH(LARGE(FILTER(K$4:K1673,K$4:K1673&lt;1000000000),1),K$4:K1673)))),AND(K923&lt;1000000000,COUNTA(C923:C1673)&gt;0,P$3=FALSE),
ROUNDDOWN(INDEX(Y$4:Y1673,MATCH(LARGE(FILTER(W$4:W1673,W$4:W1673&lt;=I923),1),W$4:W1673"&amp;"))+(I923-LARGE(FILTER(W$4:W1673,W$4:W1673&lt;=I923),1))*INDEX(T$4:T1673,MATCH(LARGE(FILTER(W$4:W1673,W$4:W1673&lt;=I923),1),W$4:W1673))-K923),1,
ROUNDDOWN(Y923-INDEX(K$4:K1673,MATCH(LARGE(FILTER(I$4:I1673,I$4:I1673&lt;=W923),1),I$4:I1673))-(W923-LARGE(FILTER(I$4:I"&amp;"1673,I$4:I1673&lt;=W923),1))*INDEX(F$4:F1673,MATCH(LARGE(FILTER(I$4:I1673,I$4:I1673&lt;=W923),1),I$4:I1673))))"),"")</f>
        <v/>
      </c>
      <c r="N923" s="60" t="str">
        <f t="shared" si="8"/>
        <v/>
      </c>
      <c r="O923" s="61" t="str">
        <f t="shared" si="9"/>
        <v/>
      </c>
      <c r="P923" s="56" t="str">
        <f t="shared" si="10"/>
        <v/>
      </c>
      <c r="R923" s="10"/>
      <c r="S923" s="59" t="str">
        <f t="array" ref="S923">IF(COUNTA(Q923:Q1673)=0,"",SUM((COUNTIF(Q$4:Q923,Upgrades!$B$3:$B$13)-COUNTIF(Q$4:Q923,"Sell_"&amp;Upgrades!$B$3:$B$13))*Upgrades!$D$3:$D$13))</f>
        <v/>
      </c>
      <c r="T923" s="66" t="str">
        <f>IFERROR(__xludf.DUMMYFUNCTION("IF(COUNTA(Q923:Q1673)=0,"""",IF(REGEXMATCH(INDEX(FILTER(Q$4:Q923,Q$4:Q923&lt;&gt;""""),ROWS(FILTER(Q$4:Q923,Q$4:Q923&lt;&gt;""""))),""^Sell_""),INDEX(FILTER(T$4:T922,Q$4:Q922&lt;&gt;""""),ROWS(FILTER(Q$4:Q922,Q$4:Q922&lt;&gt;""""))),$AD$5+S923))"),"")</f>
        <v/>
      </c>
      <c r="U923" s="10" t="str">
        <f>IFERROR(__xludf.DUMMYFUNCTION("IF(COUNTA(Q923:Q1673)=0,"""",IF(Q923="""",0,IF(REGEXMATCH(Q923,""^Sell_""),-ROUNDDOWN(ROUNDUP(INDEX(Upgrades!$C$3:$C$13,MATCH(SUBSTITUTE(Q923,""Sell_"",""""),Upgrades!$B$3:$B$13,0))*1.15^(COUNTIF(Q$4:Q922,SUBSTITUTE(Q923,""Sell_"",""""))-COUNTIF(Q$4:Q922,"&amp;"""Sell_""&amp;SUBSTITUTE(Q923,""Sell_"",""""))))/2),ROUNDUP(INDEX(Upgrades!$C$3:$C$13,MATCH(Q923,Upgrades!$B$3:$B$13,0))*1.15^(COUNTIF(Q$4:Q922,Q923)-COUNTIF(Q$4:Q922,""Sell_""&amp;Q923))))))"),"")</f>
        <v/>
      </c>
      <c r="V923" s="10" t="str">
        <f t="shared" si="11"/>
        <v/>
      </c>
      <c r="W923" s="68" t="str">
        <f t="shared" si="12"/>
        <v/>
      </c>
      <c r="X923" s="59" t="str">
        <f t="shared" si="13"/>
        <v/>
      </c>
      <c r="Y923" s="69" t="str">
        <f t="shared" si="14"/>
        <v/>
      </c>
      <c r="Z923" s="11"/>
    </row>
    <row r="924">
      <c r="A924" s="8"/>
      <c r="B924" s="56" t="str">
        <f t="shared" si="2"/>
        <v/>
      </c>
      <c r="C924" s="105"/>
      <c r="D924" s="10"/>
      <c r="E924" s="59" t="str">
        <f t="array" ref="E924">IF(COUNTA(C924:C1673)=0,"",SUM((COUNTIF(C$4:C924,Upgrades!$B$3:$B$13)-COUNTIF(C$4:C924,"Sell_"&amp;Upgrades!$B$3:$B$13))*Upgrades!$D$3:$D$13))</f>
        <v/>
      </c>
      <c r="F924" s="66" t="str">
        <f>IFERROR(__xludf.DUMMYFUNCTION("IF(COUNTA(C924:C1673)=0,"""",IF(REGEXMATCH(INDEX(FILTER(C$4:C924,C$4:C924&lt;&gt;""""),ROWS(FILTER(C$4:C924,C$4:C924&lt;&gt;""""))),""^Sell_""),INDEX(FILTER(F$4:F923,C$4:C923&lt;&gt;""""),ROWS(FILTER(C$4:C923,C$4:C923&lt;&gt;""""))),$AC$5+E924))"),"")</f>
        <v/>
      </c>
      <c r="G924" s="10" t="str">
        <f>IFERROR(__xludf.DUMMYFUNCTION("IF(COUNTA(C924:C1673)=0,"""",IF(C924="""",0,IF(REGEXMATCH(C924,""^Sell_""),-ROUNDDOWN(ROUNDUP(INDEX(Upgrades!$C$3:$C$13,MATCH(SUBSTITUTE(C924,""Sell_"",""""),Upgrades!$B$3:$B$13,0))*1.15^(COUNTIF(C$4:C923,SUBSTITUTE(C924,""Sell_"",""""))-COUNTIF(C$4:C923,"&amp;"""Sell_""&amp;SUBSTITUTE(C924,""Sell_"",""""))))/2),ROUNDUP(INDEX(Upgrades!$C$3:$C$13,MATCH(C924,Upgrades!$B$3:$B$13,0))*1.15^(COUNTIF(C$4:C923,C924)-COUNTIF(C$4:C923,""Sell_""&amp;C924))))))"),"")</f>
        <v/>
      </c>
      <c r="H924" s="10" t="str">
        <f t="shared" si="3"/>
        <v/>
      </c>
      <c r="I924" s="68" t="str">
        <f t="shared" si="4"/>
        <v/>
      </c>
      <c r="J924" s="59" t="str">
        <f t="shared" si="5"/>
        <v/>
      </c>
      <c r="K924" s="69" t="str">
        <f t="shared" si="6"/>
        <v/>
      </c>
      <c r="L924" s="60" t="str">
        <f t="shared" si="7"/>
        <v/>
      </c>
      <c r="M924" s="61" t="str">
        <f>IFERROR(__xludf.DUMMYFUNCTION("IFS(AND(COUNTA(C924:C1673)=0,COUNTA(Q924:Q1673)=0),"""",OR(AND(K924&gt;=1000000000,OR(Y924&gt;=1000000000,COUNTA(Q924:Q1673)=0)),OR(Y924&gt;=1000000000,AND(COUNTA(C924:C1673)=0,P$3=TRUE))),
ROUNDDOWN((AB$1-AC$1)*MAX(INDEX(T$4:T1673,MATCH(LARGE(FILTER(Y$4:Y1673,Y$4"&amp;":Y1673&lt;1000000000),1),Y$4:Y1673)),INDEX(F$4:F1673,MATCH(LARGE(FILTER(K$4:K1673,K$4:K1673&lt;1000000000),1),K$4:K1673)))),AND(K924&lt;1000000000,COUNTA(C924:C1673)&gt;0,P$3=FALSE),
ROUNDDOWN(INDEX(Y$4:Y1673,MATCH(LARGE(FILTER(W$4:W1673,W$4:W1673&lt;=I924),1),W$4:W1673"&amp;"))+(I924-LARGE(FILTER(W$4:W1673,W$4:W1673&lt;=I924),1))*INDEX(T$4:T1673,MATCH(LARGE(FILTER(W$4:W1673,W$4:W1673&lt;=I924),1),W$4:W1673))-K924),1,
ROUNDDOWN(Y924-INDEX(K$4:K1673,MATCH(LARGE(FILTER(I$4:I1673,I$4:I1673&lt;=W924),1),I$4:I1673))-(W924-LARGE(FILTER(I$4:I"&amp;"1673,I$4:I1673&lt;=W924),1))*INDEX(F$4:F1673,MATCH(LARGE(FILTER(I$4:I1673,I$4:I1673&lt;=W924),1),I$4:I1673))))"),"")</f>
        <v/>
      </c>
      <c r="N924" s="60" t="str">
        <f t="shared" si="8"/>
        <v/>
      </c>
      <c r="O924" s="61" t="str">
        <f t="shared" si="9"/>
        <v/>
      </c>
      <c r="P924" s="56" t="str">
        <f t="shared" si="10"/>
        <v/>
      </c>
      <c r="R924" s="10"/>
      <c r="S924" s="59" t="str">
        <f t="array" ref="S924">IF(COUNTA(Q924:Q1673)=0,"",SUM((COUNTIF(Q$4:Q924,Upgrades!$B$3:$B$13)-COUNTIF(Q$4:Q924,"Sell_"&amp;Upgrades!$B$3:$B$13))*Upgrades!$D$3:$D$13))</f>
        <v/>
      </c>
      <c r="T924" s="66" t="str">
        <f>IFERROR(__xludf.DUMMYFUNCTION("IF(COUNTA(Q924:Q1673)=0,"""",IF(REGEXMATCH(INDEX(FILTER(Q$4:Q924,Q$4:Q924&lt;&gt;""""),ROWS(FILTER(Q$4:Q924,Q$4:Q924&lt;&gt;""""))),""^Sell_""),INDEX(FILTER(T$4:T923,Q$4:Q923&lt;&gt;""""),ROWS(FILTER(Q$4:Q923,Q$4:Q923&lt;&gt;""""))),$AD$5+S924))"),"")</f>
        <v/>
      </c>
      <c r="U924" s="10" t="str">
        <f>IFERROR(__xludf.DUMMYFUNCTION("IF(COUNTA(Q924:Q1673)=0,"""",IF(Q924="""",0,IF(REGEXMATCH(Q924,""^Sell_""),-ROUNDDOWN(ROUNDUP(INDEX(Upgrades!$C$3:$C$13,MATCH(SUBSTITUTE(Q924,""Sell_"",""""),Upgrades!$B$3:$B$13,0))*1.15^(COUNTIF(Q$4:Q923,SUBSTITUTE(Q924,""Sell_"",""""))-COUNTIF(Q$4:Q923,"&amp;"""Sell_""&amp;SUBSTITUTE(Q924,""Sell_"",""""))))/2),ROUNDUP(INDEX(Upgrades!$C$3:$C$13,MATCH(Q924,Upgrades!$B$3:$B$13,0))*1.15^(COUNTIF(Q$4:Q923,Q924)-COUNTIF(Q$4:Q923,""Sell_""&amp;Q924))))))"),"")</f>
        <v/>
      </c>
      <c r="V924" s="10" t="str">
        <f t="shared" si="11"/>
        <v/>
      </c>
      <c r="W924" s="68" t="str">
        <f t="shared" si="12"/>
        <v/>
      </c>
      <c r="X924" s="59" t="str">
        <f t="shared" si="13"/>
        <v/>
      </c>
      <c r="Y924" s="69" t="str">
        <f t="shared" si="14"/>
        <v/>
      </c>
      <c r="Z924" s="11"/>
    </row>
    <row r="925">
      <c r="A925" s="8"/>
      <c r="B925" s="56" t="str">
        <f t="shared" si="2"/>
        <v/>
      </c>
      <c r="C925" s="105"/>
      <c r="D925" s="10"/>
      <c r="E925" s="59" t="str">
        <f t="array" ref="E925">IF(COUNTA(C925:C1673)=0,"",SUM((COUNTIF(C$4:C925,Upgrades!$B$3:$B$13)-COUNTIF(C$4:C925,"Sell_"&amp;Upgrades!$B$3:$B$13))*Upgrades!$D$3:$D$13))</f>
        <v/>
      </c>
      <c r="F925" s="66" t="str">
        <f>IFERROR(__xludf.DUMMYFUNCTION("IF(COUNTA(C925:C1673)=0,"""",IF(REGEXMATCH(INDEX(FILTER(C$4:C925,C$4:C925&lt;&gt;""""),ROWS(FILTER(C$4:C925,C$4:C925&lt;&gt;""""))),""^Sell_""),INDEX(FILTER(F$4:F924,C$4:C924&lt;&gt;""""),ROWS(FILTER(C$4:C924,C$4:C924&lt;&gt;""""))),$AC$5+E925))"),"")</f>
        <v/>
      </c>
      <c r="G925" s="10" t="str">
        <f>IFERROR(__xludf.DUMMYFUNCTION("IF(COUNTA(C925:C1673)=0,"""",IF(C925="""",0,IF(REGEXMATCH(C925,""^Sell_""),-ROUNDDOWN(ROUNDUP(INDEX(Upgrades!$C$3:$C$13,MATCH(SUBSTITUTE(C925,""Sell_"",""""),Upgrades!$B$3:$B$13,0))*1.15^(COUNTIF(C$4:C924,SUBSTITUTE(C925,""Sell_"",""""))-COUNTIF(C$4:C924,"&amp;"""Sell_""&amp;SUBSTITUTE(C925,""Sell_"",""""))))/2),ROUNDUP(INDEX(Upgrades!$C$3:$C$13,MATCH(C925,Upgrades!$B$3:$B$13,0))*1.15^(COUNTIF(C$4:C924,C925)-COUNTIF(C$4:C924,""Sell_""&amp;C925))))))"),"")</f>
        <v/>
      </c>
      <c r="H925" s="10" t="str">
        <f t="shared" si="3"/>
        <v/>
      </c>
      <c r="I925" s="68" t="str">
        <f t="shared" si="4"/>
        <v/>
      </c>
      <c r="J925" s="59" t="str">
        <f t="shared" si="5"/>
        <v/>
      </c>
      <c r="K925" s="69" t="str">
        <f t="shared" si="6"/>
        <v/>
      </c>
      <c r="L925" s="60" t="str">
        <f t="shared" si="7"/>
        <v/>
      </c>
      <c r="M925" s="61" t="str">
        <f>IFERROR(__xludf.DUMMYFUNCTION("IFS(AND(COUNTA(C925:C1673)=0,COUNTA(Q925:Q1673)=0),"""",OR(AND(K925&gt;=1000000000,OR(Y925&gt;=1000000000,COUNTA(Q925:Q1673)=0)),OR(Y925&gt;=1000000000,AND(COUNTA(C925:C1673)=0,P$3=TRUE))),
ROUNDDOWN((AB$1-AC$1)*MAX(INDEX(T$4:T1673,MATCH(LARGE(FILTER(Y$4:Y1673,Y$4"&amp;":Y1673&lt;1000000000),1),Y$4:Y1673)),INDEX(F$4:F1673,MATCH(LARGE(FILTER(K$4:K1673,K$4:K1673&lt;1000000000),1),K$4:K1673)))),AND(K925&lt;1000000000,COUNTA(C925:C1673)&gt;0,P$3=FALSE),
ROUNDDOWN(INDEX(Y$4:Y1673,MATCH(LARGE(FILTER(W$4:W1673,W$4:W1673&lt;=I925),1),W$4:W1673"&amp;"))+(I925-LARGE(FILTER(W$4:W1673,W$4:W1673&lt;=I925),1))*INDEX(T$4:T1673,MATCH(LARGE(FILTER(W$4:W1673,W$4:W1673&lt;=I925),1),W$4:W1673))-K925),1,
ROUNDDOWN(Y925-INDEX(K$4:K1673,MATCH(LARGE(FILTER(I$4:I1673,I$4:I1673&lt;=W925),1),I$4:I1673))-(W925-LARGE(FILTER(I$4:I"&amp;"1673,I$4:I1673&lt;=W925),1))*INDEX(F$4:F1673,MATCH(LARGE(FILTER(I$4:I1673,I$4:I1673&lt;=W925),1),I$4:I1673))))"),"")</f>
        <v/>
      </c>
      <c r="N925" s="60" t="str">
        <f t="shared" si="8"/>
        <v/>
      </c>
      <c r="O925" s="61" t="str">
        <f t="shared" si="9"/>
        <v/>
      </c>
      <c r="P925" s="56" t="str">
        <f t="shared" si="10"/>
        <v/>
      </c>
      <c r="R925" s="10"/>
      <c r="S925" s="59" t="str">
        <f t="array" ref="S925">IF(COUNTA(Q925:Q1673)=0,"",SUM((COUNTIF(Q$4:Q925,Upgrades!$B$3:$B$13)-COUNTIF(Q$4:Q925,"Sell_"&amp;Upgrades!$B$3:$B$13))*Upgrades!$D$3:$D$13))</f>
        <v/>
      </c>
      <c r="T925" s="66" t="str">
        <f>IFERROR(__xludf.DUMMYFUNCTION("IF(COUNTA(Q925:Q1673)=0,"""",IF(REGEXMATCH(INDEX(FILTER(Q$4:Q925,Q$4:Q925&lt;&gt;""""),ROWS(FILTER(Q$4:Q925,Q$4:Q925&lt;&gt;""""))),""^Sell_""),INDEX(FILTER(T$4:T924,Q$4:Q924&lt;&gt;""""),ROWS(FILTER(Q$4:Q924,Q$4:Q924&lt;&gt;""""))),$AD$5+S925))"),"")</f>
        <v/>
      </c>
      <c r="U925" s="10" t="str">
        <f>IFERROR(__xludf.DUMMYFUNCTION("IF(COUNTA(Q925:Q1673)=0,"""",IF(Q925="""",0,IF(REGEXMATCH(Q925,""^Sell_""),-ROUNDDOWN(ROUNDUP(INDEX(Upgrades!$C$3:$C$13,MATCH(SUBSTITUTE(Q925,""Sell_"",""""),Upgrades!$B$3:$B$13,0))*1.15^(COUNTIF(Q$4:Q924,SUBSTITUTE(Q925,""Sell_"",""""))-COUNTIF(Q$4:Q924,"&amp;"""Sell_""&amp;SUBSTITUTE(Q925,""Sell_"",""""))))/2),ROUNDUP(INDEX(Upgrades!$C$3:$C$13,MATCH(Q925,Upgrades!$B$3:$B$13,0))*1.15^(COUNTIF(Q$4:Q924,Q925)-COUNTIF(Q$4:Q924,""Sell_""&amp;Q925))))))"),"")</f>
        <v/>
      </c>
      <c r="V925" s="10" t="str">
        <f t="shared" si="11"/>
        <v/>
      </c>
      <c r="W925" s="68" t="str">
        <f t="shared" si="12"/>
        <v/>
      </c>
      <c r="X925" s="59" t="str">
        <f t="shared" si="13"/>
        <v/>
      </c>
      <c r="Y925" s="69" t="str">
        <f t="shared" si="14"/>
        <v/>
      </c>
      <c r="Z925" s="11"/>
    </row>
    <row r="926">
      <c r="A926" s="8"/>
      <c r="B926" s="56" t="str">
        <f t="shared" si="2"/>
        <v/>
      </c>
      <c r="C926" s="105"/>
      <c r="D926" s="10"/>
      <c r="E926" s="59" t="str">
        <f t="array" ref="E926">IF(COUNTA(C926:C1673)=0,"",SUM((COUNTIF(C$4:C926,Upgrades!$B$3:$B$13)-COUNTIF(C$4:C926,"Sell_"&amp;Upgrades!$B$3:$B$13))*Upgrades!$D$3:$D$13))</f>
        <v/>
      </c>
      <c r="F926" s="66" t="str">
        <f>IFERROR(__xludf.DUMMYFUNCTION("IF(COUNTA(C926:C1673)=0,"""",IF(REGEXMATCH(INDEX(FILTER(C$4:C926,C$4:C926&lt;&gt;""""),ROWS(FILTER(C$4:C926,C$4:C926&lt;&gt;""""))),""^Sell_""),INDEX(FILTER(F$4:F925,C$4:C925&lt;&gt;""""),ROWS(FILTER(C$4:C925,C$4:C925&lt;&gt;""""))),$AC$5+E926))"),"")</f>
        <v/>
      </c>
      <c r="G926" s="10" t="str">
        <f>IFERROR(__xludf.DUMMYFUNCTION("IF(COUNTA(C926:C1673)=0,"""",IF(C926="""",0,IF(REGEXMATCH(C926,""^Sell_""),-ROUNDDOWN(ROUNDUP(INDEX(Upgrades!$C$3:$C$13,MATCH(SUBSTITUTE(C926,""Sell_"",""""),Upgrades!$B$3:$B$13,0))*1.15^(COUNTIF(C$4:C925,SUBSTITUTE(C926,""Sell_"",""""))-COUNTIF(C$4:C925,"&amp;"""Sell_""&amp;SUBSTITUTE(C926,""Sell_"",""""))))/2),ROUNDUP(INDEX(Upgrades!$C$3:$C$13,MATCH(C926,Upgrades!$B$3:$B$13,0))*1.15^(COUNTIF(C$4:C925,C926)-COUNTIF(C$4:C925,""Sell_""&amp;C926))))))"),"")</f>
        <v/>
      </c>
      <c r="H926" s="10" t="str">
        <f t="shared" si="3"/>
        <v/>
      </c>
      <c r="I926" s="68" t="str">
        <f t="shared" si="4"/>
        <v/>
      </c>
      <c r="J926" s="59" t="str">
        <f t="shared" si="5"/>
        <v/>
      </c>
      <c r="K926" s="69" t="str">
        <f t="shared" si="6"/>
        <v/>
      </c>
      <c r="L926" s="60" t="str">
        <f t="shared" si="7"/>
        <v/>
      </c>
      <c r="M926" s="61" t="str">
        <f>IFERROR(__xludf.DUMMYFUNCTION("IFS(AND(COUNTA(C926:C1673)=0,COUNTA(Q926:Q1673)=0),"""",OR(AND(K926&gt;=1000000000,OR(Y926&gt;=1000000000,COUNTA(Q926:Q1673)=0)),OR(Y926&gt;=1000000000,AND(COUNTA(C926:C1673)=0,P$3=TRUE))),
ROUNDDOWN((AB$1-AC$1)*MAX(INDEX(T$4:T1673,MATCH(LARGE(FILTER(Y$4:Y1673,Y$4"&amp;":Y1673&lt;1000000000),1),Y$4:Y1673)),INDEX(F$4:F1673,MATCH(LARGE(FILTER(K$4:K1673,K$4:K1673&lt;1000000000),1),K$4:K1673)))),AND(K926&lt;1000000000,COUNTA(C926:C1673)&gt;0,P$3=FALSE),
ROUNDDOWN(INDEX(Y$4:Y1673,MATCH(LARGE(FILTER(W$4:W1673,W$4:W1673&lt;=I926),1),W$4:W1673"&amp;"))+(I926-LARGE(FILTER(W$4:W1673,W$4:W1673&lt;=I926),1))*INDEX(T$4:T1673,MATCH(LARGE(FILTER(W$4:W1673,W$4:W1673&lt;=I926),1),W$4:W1673))-K926),1,
ROUNDDOWN(Y926-INDEX(K$4:K1673,MATCH(LARGE(FILTER(I$4:I1673,I$4:I1673&lt;=W926),1),I$4:I1673))-(W926-LARGE(FILTER(I$4:I"&amp;"1673,I$4:I1673&lt;=W926),1))*INDEX(F$4:F1673,MATCH(LARGE(FILTER(I$4:I1673,I$4:I1673&lt;=W926),1),I$4:I1673))))"),"")</f>
        <v/>
      </c>
      <c r="N926" s="60" t="str">
        <f t="shared" si="8"/>
        <v/>
      </c>
      <c r="O926" s="61" t="str">
        <f t="shared" si="9"/>
        <v/>
      </c>
      <c r="P926" s="56" t="str">
        <f t="shared" si="10"/>
        <v/>
      </c>
      <c r="R926" s="10"/>
      <c r="S926" s="59" t="str">
        <f t="array" ref="S926">IF(COUNTA(Q926:Q1673)=0,"",SUM((COUNTIF(Q$4:Q926,Upgrades!$B$3:$B$13)-COUNTIF(Q$4:Q926,"Sell_"&amp;Upgrades!$B$3:$B$13))*Upgrades!$D$3:$D$13))</f>
        <v/>
      </c>
      <c r="T926" s="66" t="str">
        <f>IFERROR(__xludf.DUMMYFUNCTION("IF(COUNTA(Q926:Q1673)=0,"""",IF(REGEXMATCH(INDEX(FILTER(Q$4:Q926,Q$4:Q926&lt;&gt;""""),ROWS(FILTER(Q$4:Q926,Q$4:Q926&lt;&gt;""""))),""^Sell_""),INDEX(FILTER(T$4:T925,Q$4:Q925&lt;&gt;""""),ROWS(FILTER(Q$4:Q925,Q$4:Q925&lt;&gt;""""))),$AD$5+S926))"),"")</f>
        <v/>
      </c>
      <c r="U926" s="10" t="str">
        <f>IFERROR(__xludf.DUMMYFUNCTION("IF(COUNTA(Q926:Q1673)=0,"""",IF(Q926="""",0,IF(REGEXMATCH(Q926,""^Sell_""),-ROUNDDOWN(ROUNDUP(INDEX(Upgrades!$C$3:$C$13,MATCH(SUBSTITUTE(Q926,""Sell_"",""""),Upgrades!$B$3:$B$13,0))*1.15^(COUNTIF(Q$4:Q925,SUBSTITUTE(Q926,""Sell_"",""""))-COUNTIF(Q$4:Q925,"&amp;"""Sell_""&amp;SUBSTITUTE(Q926,""Sell_"",""""))))/2),ROUNDUP(INDEX(Upgrades!$C$3:$C$13,MATCH(Q926,Upgrades!$B$3:$B$13,0))*1.15^(COUNTIF(Q$4:Q925,Q926)-COUNTIF(Q$4:Q925,""Sell_""&amp;Q926))))))"),"")</f>
        <v/>
      </c>
      <c r="V926" s="10" t="str">
        <f t="shared" si="11"/>
        <v/>
      </c>
      <c r="W926" s="68" t="str">
        <f t="shared" si="12"/>
        <v/>
      </c>
      <c r="X926" s="59" t="str">
        <f t="shared" si="13"/>
        <v/>
      </c>
      <c r="Y926" s="69" t="str">
        <f t="shared" si="14"/>
        <v/>
      </c>
      <c r="Z926" s="11"/>
    </row>
    <row r="927">
      <c r="A927" s="8"/>
      <c r="B927" s="56" t="str">
        <f t="shared" si="2"/>
        <v/>
      </c>
      <c r="C927" s="105"/>
      <c r="D927" s="10"/>
      <c r="E927" s="59" t="str">
        <f t="array" ref="E927">IF(COUNTA(C927:C1673)=0,"",SUM((COUNTIF(C$4:C927,Upgrades!$B$3:$B$13)-COUNTIF(C$4:C927,"Sell_"&amp;Upgrades!$B$3:$B$13))*Upgrades!$D$3:$D$13))</f>
        <v/>
      </c>
      <c r="F927" s="66" t="str">
        <f>IFERROR(__xludf.DUMMYFUNCTION("IF(COUNTA(C927:C1673)=0,"""",IF(REGEXMATCH(INDEX(FILTER(C$4:C927,C$4:C927&lt;&gt;""""),ROWS(FILTER(C$4:C927,C$4:C927&lt;&gt;""""))),""^Sell_""),INDEX(FILTER(F$4:F926,C$4:C926&lt;&gt;""""),ROWS(FILTER(C$4:C926,C$4:C926&lt;&gt;""""))),$AC$5+E927))"),"")</f>
        <v/>
      </c>
      <c r="G927" s="10" t="str">
        <f>IFERROR(__xludf.DUMMYFUNCTION("IF(COUNTA(C927:C1673)=0,"""",IF(C927="""",0,IF(REGEXMATCH(C927,""^Sell_""),-ROUNDDOWN(ROUNDUP(INDEX(Upgrades!$C$3:$C$13,MATCH(SUBSTITUTE(C927,""Sell_"",""""),Upgrades!$B$3:$B$13,0))*1.15^(COUNTIF(C$4:C926,SUBSTITUTE(C927,""Sell_"",""""))-COUNTIF(C$4:C926,"&amp;"""Sell_""&amp;SUBSTITUTE(C927,""Sell_"",""""))))/2),ROUNDUP(INDEX(Upgrades!$C$3:$C$13,MATCH(C927,Upgrades!$B$3:$B$13,0))*1.15^(COUNTIF(C$4:C926,C927)-COUNTIF(C$4:C926,""Sell_""&amp;C927))))))"),"")</f>
        <v/>
      </c>
      <c r="H927" s="10" t="str">
        <f t="shared" si="3"/>
        <v/>
      </c>
      <c r="I927" s="68" t="str">
        <f t="shared" si="4"/>
        <v/>
      </c>
      <c r="J927" s="59" t="str">
        <f t="shared" si="5"/>
        <v/>
      </c>
      <c r="K927" s="69" t="str">
        <f t="shared" si="6"/>
        <v/>
      </c>
      <c r="L927" s="60" t="str">
        <f t="shared" si="7"/>
        <v/>
      </c>
      <c r="M927" s="61" t="str">
        <f>IFERROR(__xludf.DUMMYFUNCTION("IFS(AND(COUNTA(C927:C1673)=0,COUNTA(Q927:Q1673)=0),"""",OR(AND(K927&gt;=1000000000,OR(Y927&gt;=1000000000,COUNTA(Q927:Q1673)=0)),OR(Y927&gt;=1000000000,AND(COUNTA(C927:C1673)=0,P$3=TRUE))),
ROUNDDOWN((AB$1-AC$1)*MAX(INDEX(T$4:T1673,MATCH(LARGE(FILTER(Y$4:Y1673,Y$4"&amp;":Y1673&lt;1000000000),1),Y$4:Y1673)),INDEX(F$4:F1673,MATCH(LARGE(FILTER(K$4:K1673,K$4:K1673&lt;1000000000),1),K$4:K1673)))),AND(K927&lt;1000000000,COUNTA(C927:C1673)&gt;0,P$3=FALSE),
ROUNDDOWN(INDEX(Y$4:Y1673,MATCH(LARGE(FILTER(W$4:W1673,W$4:W1673&lt;=I927),1),W$4:W1673"&amp;"))+(I927-LARGE(FILTER(W$4:W1673,W$4:W1673&lt;=I927),1))*INDEX(T$4:T1673,MATCH(LARGE(FILTER(W$4:W1673,W$4:W1673&lt;=I927),1),W$4:W1673))-K927),1,
ROUNDDOWN(Y927-INDEX(K$4:K1673,MATCH(LARGE(FILTER(I$4:I1673,I$4:I1673&lt;=W927),1),I$4:I1673))-(W927-LARGE(FILTER(I$4:I"&amp;"1673,I$4:I1673&lt;=W927),1))*INDEX(F$4:F1673,MATCH(LARGE(FILTER(I$4:I1673,I$4:I1673&lt;=W927),1),I$4:I1673))))"),"")</f>
        <v/>
      </c>
      <c r="N927" s="60" t="str">
        <f t="shared" si="8"/>
        <v/>
      </c>
      <c r="O927" s="61" t="str">
        <f t="shared" si="9"/>
        <v/>
      </c>
      <c r="P927" s="56" t="str">
        <f t="shared" si="10"/>
        <v/>
      </c>
      <c r="R927" s="10"/>
      <c r="S927" s="59" t="str">
        <f t="array" ref="S927">IF(COUNTA(Q927:Q1673)=0,"",SUM((COUNTIF(Q$4:Q927,Upgrades!$B$3:$B$13)-COUNTIF(Q$4:Q927,"Sell_"&amp;Upgrades!$B$3:$B$13))*Upgrades!$D$3:$D$13))</f>
        <v/>
      </c>
      <c r="T927" s="66" t="str">
        <f>IFERROR(__xludf.DUMMYFUNCTION("IF(COUNTA(Q927:Q1673)=0,"""",IF(REGEXMATCH(INDEX(FILTER(Q$4:Q927,Q$4:Q927&lt;&gt;""""),ROWS(FILTER(Q$4:Q927,Q$4:Q927&lt;&gt;""""))),""^Sell_""),INDEX(FILTER(T$4:T926,Q$4:Q926&lt;&gt;""""),ROWS(FILTER(Q$4:Q926,Q$4:Q926&lt;&gt;""""))),$AD$5+S927))"),"")</f>
        <v/>
      </c>
      <c r="U927" s="10" t="str">
        <f>IFERROR(__xludf.DUMMYFUNCTION("IF(COUNTA(Q927:Q1673)=0,"""",IF(Q927="""",0,IF(REGEXMATCH(Q927,""^Sell_""),-ROUNDDOWN(ROUNDUP(INDEX(Upgrades!$C$3:$C$13,MATCH(SUBSTITUTE(Q927,""Sell_"",""""),Upgrades!$B$3:$B$13,0))*1.15^(COUNTIF(Q$4:Q926,SUBSTITUTE(Q927,""Sell_"",""""))-COUNTIF(Q$4:Q926,"&amp;"""Sell_""&amp;SUBSTITUTE(Q927,""Sell_"",""""))))/2),ROUNDUP(INDEX(Upgrades!$C$3:$C$13,MATCH(Q927,Upgrades!$B$3:$B$13,0))*1.15^(COUNTIF(Q$4:Q926,Q927)-COUNTIF(Q$4:Q926,""Sell_""&amp;Q927))))))"),"")</f>
        <v/>
      </c>
      <c r="V927" s="10" t="str">
        <f t="shared" si="11"/>
        <v/>
      </c>
      <c r="W927" s="68" t="str">
        <f t="shared" si="12"/>
        <v/>
      </c>
      <c r="X927" s="59" t="str">
        <f t="shared" si="13"/>
        <v/>
      </c>
      <c r="Y927" s="69" t="str">
        <f t="shared" si="14"/>
        <v/>
      </c>
      <c r="Z927" s="11"/>
    </row>
    <row r="928">
      <c r="A928" s="8"/>
      <c r="B928" s="56" t="str">
        <f t="shared" si="2"/>
        <v/>
      </c>
      <c r="C928" s="105"/>
      <c r="D928" s="10"/>
      <c r="E928" s="59" t="str">
        <f t="array" ref="E928">IF(COUNTA(C928:C1673)=0,"",SUM((COUNTIF(C$4:C928,Upgrades!$B$3:$B$13)-COUNTIF(C$4:C928,"Sell_"&amp;Upgrades!$B$3:$B$13))*Upgrades!$D$3:$D$13))</f>
        <v/>
      </c>
      <c r="F928" s="66" t="str">
        <f>IFERROR(__xludf.DUMMYFUNCTION("IF(COUNTA(C928:C1673)=0,"""",IF(REGEXMATCH(INDEX(FILTER(C$4:C928,C$4:C928&lt;&gt;""""),ROWS(FILTER(C$4:C928,C$4:C928&lt;&gt;""""))),""^Sell_""),INDEX(FILTER(F$4:F927,C$4:C927&lt;&gt;""""),ROWS(FILTER(C$4:C927,C$4:C927&lt;&gt;""""))),$AC$5+E928))"),"")</f>
        <v/>
      </c>
      <c r="G928" s="10" t="str">
        <f>IFERROR(__xludf.DUMMYFUNCTION("IF(COUNTA(C928:C1673)=0,"""",IF(C928="""",0,IF(REGEXMATCH(C928,""^Sell_""),-ROUNDDOWN(ROUNDUP(INDEX(Upgrades!$C$3:$C$13,MATCH(SUBSTITUTE(C928,""Sell_"",""""),Upgrades!$B$3:$B$13,0))*1.15^(COUNTIF(C$4:C927,SUBSTITUTE(C928,""Sell_"",""""))-COUNTIF(C$4:C927,"&amp;"""Sell_""&amp;SUBSTITUTE(C928,""Sell_"",""""))))/2),ROUNDUP(INDEX(Upgrades!$C$3:$C$13,MATCH(C928,Upgrades!$B$3:$B$13,0))*1.15^(COUNTIF(C$4:C927,C928)-COUNTIF(C$4:C927,""Sell_""&amp;C928))))))"),"")</f>
        <v/>
      </c>
      <c r="H928" s="10" t="str">
        <f t="shared" si="3"/>
        <v/>
      </c>
      <c r="I928" s="68" t="str">
        <f t="shared" si="4"/>
        <v/>
      </c>
      <c r="J928" s="59" t="str">
        <f t="shared" si="5"/>
        <v/>
      </c>
      <c r="K928" s="69" t="str">
        <f t="shared" si="6"/>
        <v/>
      </c>
      <c r="L928" s="60" t="str">
        <f t="shared" si="7"/>
        <v/>
      </c>
      <c r="M928" s="61" t="str">
        <f>IFERROR(__xludf.DUMMYFUNCTION("IFS(AND(COUNTA(C928:C1673)=0,COUNTA(Q928:Q1673)=0),"""",OR(AND(K928&gt;=1000000000,OR(Y928&gt;=1000000000,COUNTA(Q928:Q1673)=0)),OR(Y928&gt;=1000000000,AND(COUNTA(C928:C1673)=0,P$3=TRUE))),
ROUNDDOWN((AB$1-AC$1)*MAX(INDEX(T$4:T1673,MATCH(LARGE(FILTER(Y$4:Y1673,Y$4"&amp;":Y1673&lt;1000000000),1),Y$4:Y1673)),INDEX(F$4:F1673,MATCH(LARGE(FILTER(K$4:K1673,K$4:K1673&lt;1000000000),1),K$4:K1673)))),AND(K928&lt;1000000000,COUNTA(C928:C1673)&gt;0,P$3=FALSE),
ROUNDDOWN(INDEX(Y$4:Y1673,MATCH(LARGE(FILTER(W$4:W1673,W$4:W1673&lt;=I928),1),W$4:W1673"&amp;"))+(I928-LARGE(FILTER(W$4:W1673,W$4:W1673&lt;=I928),1))*INDEX(T$4:T1673,MATCH(LARGE(FILTER(W$4:W1673,W$4:W1673&lt;=I928),1),W$4:W1673))-K928),1,
ROUNDDOWN(Y928-INDEX(K$4:K1673,MATCH(LARGE(FILTER(I$4:I1673,I$4:I1673&lt;=W928),1),I$4:I1673))-(W928-LARGE(FILTER(I$4:I"&amp;"1673,I$4:I1673&lt;=W928),1))*INDEX(F$4:F1673,MATCH(LARGE(FILTER(I$4:I1673,I$4:I1673&lt;=W928),1),I$4:I1673))))"),"")</f>
        <v/>
      </c>
      <c r="N928" s="60" t="str">
        <f t="shared" si="8"/>
        <v/>
      </c>
      <c r="O928" s="61" t="str">
        <f t="shared" si="9"/>
        <v/>
      </c>
      <c r="P928" s="56" t="str">
        <f t="shared" si="10"/>
        <v/>
      </c>
      <c r="R928" s="10"/>
      <c r="S928" s="59" t="str">
        <f t="array" ref="S928">IF(COUNTA(Q928:Q1673)=0,"",SUM((COUNTIF(Q$4:Q928,Upgrades!$B$3:$B$13)-COUNTIF(Q$4:Q928,"Sell_"&amp;Upgrades!$B$3:$B$13))*Upgrades!$D$3:$D$13))</f>
        <v/>
      </c>
      <c r="T928" s="66" t="str">
        <f>IFERROR(__xludf.DUMMYFUNCTION("IF(COUNTA(Q928:Q1673)=0,"""",IF(REGEXMATCH(INDEX(FILTER(Q$4:Q928,Q$4:Q928&lt;&gt;""""),ROWS(FILTER(Q$4:Q928,Q$4:Q928&lt;&gt;""""))),""^Sell_""),INDEX(FILTER(T$4:T927,Q$4:Q927&lt;&gt;""""),ROWS(FILTER(Q$4:Q927,Q$4:Q927&lt;&gt;""""))),$AD$5+S928))"),"")</f>
        <v/>
      </c>
      <c r="U928" s="10" t="str">
        <f>IFERROR(__xludf.DUMMYFUNCTION("IF(COUNTA(Q928:Q1673)=0,"""",IF(Q928="""",0,IF(REGEXMATCH(Q928,""^Sell_""),-ROUNDDOWN(ROUNDUP(INDEX(Upgrades!$C$3:$C$13,MATCH(SUBSTITUTE(Q928,""Sell_"",""""),Upgrades!$B$3:$B$13,0))*1.15^(COUNTIF(Q$4:Q927,SUBSTITUTE(Q928,""Sell_"",""""))-COUNTIF(Q$4:Q927,"&amp;"""Sell_""&amp;SUBSTITUTE(Q928,""Sell_"",""""))))/2),ROUNDUP(INDEX(Upgrades!$C$3:$C$13,MATCH(Q928,Upgrades!$B$3:$B$13,0))*1.15^(COUNTIF(Q$4:Q927,Q928)-COUNTIF(Q$4:Q927,""Sell_""&amp;Q928))))))"),"")</f>
        <v/>
      </c>
      <c r="V928" s="10" t="str">
        <f t="shared" si="11"/>
        <v/>
      </c>
      <c r="W928" s="68" t="str">
        <f t="shared" si="12"/>
        <v/>
      </c>
      <c r="X928" s="59" t="str">
        <f t="shared" si="13"/>
        <v/>
      </c>
      <c r="Y928" s="69" t="str">
        <f t="shared" si="14"/>
        <v/>
      </c>
      <c r="Z928" s="11"/>
    </row>
    <row r="929">
      <c r="A929" s="8"/>
      <c r="B929" s="56" t="str">
        <f t="shared" si="2"/>
        <v/>
      </c>
      <c r="C929" s="105"/>
      <c r="D929" s="10"/>
      <c r="E929" s="59" t="str">
        <f t="array" ref="E929">IF(COUNTA(C929:C1673)=0,"",SUM((COUNTIF(C$4:C929,Upgrades!$B$3:$B$13)-COUNTIF(C$4:C929,"Sell_"&amp;Upgrades!$B$3:$B$13))*Upgrades!$D$3:$D$13))</f>
        <v/>
      </c>
      <c r="F929" s="66" t="str">
        <f>IFERROR(__xludf.DUMMYFUNCTION("IF(COUNTA(C929:C1673)=0,"""",IF(REGEXMATCH(INDEX(FILTER(C$4:C929,C$4:C929&lt;&gt;""""),ROWS(FILTER(C$4:C929,C$4:C929&lt;&gt;""""))),""^Sell_""),INDEX(FILTER(F$4:F928,C$4:C928&lt;&gt;""""),ROWS(FILTER(C$4:C928,C$4:C928&lt;&gt;""""))),$AC$5+E929))"),"")</f>
        <v/>
      </c>
      <c r="G929" s="10" t="str">
        <f>IFERROR(__xludf.DUMMYFUNCTION("IF(COUNTA(C929:C1673)=0,"""",IF(C929="""",0,IF(REGEXMATCH(C929,""^Sell_""),-ROUNDDOWN(ROUNDUP(INDEX(Upgrades!$C$3:$C$13,MATCH(SUBSTITUTE(C929,""Sell_"",""""),Upgrades!$B$3:$B$13,0))*1.15^(COUNTIF(C$4:C928,SUBSTITUTE(C929,""Sell_"",""""))-COUNTIF(C$4:C928,"&amp;"""Sell_""&amp;SUBSTITUTE(C929,""Sell_"",""""))))/2),ROUNDUP(INDEX(Upgrades!$C$3:$C$13,MATCH(C929,Upgrades!$B$3:$B$13,0))*1.15^(COUNTIF(C$4:C928,C929)-COUNTIF(C$4:C928,""Sell_""&amp;C929))))))"),"")</f>
        <v/>
      </c>
      <c r="H929" s="10" t="str">
        <f t="shared" si="3"/>
        <v/>
      </c>
      <c r="I929" s="68" t="str">
        <f t="shared" si="4"/>
        <v/>
      </c>
      <c r="J929" s="59" t="str">
        <f t="shared" si="5"/>
        <v/>
      </c>
      <c r="K929" s="69" t="str">
        <f t="shared" si="6"/>
        <v/>
      </c>
      <c r="L929" s="60" t="str">
        <f t="shared" si="7"/>
        <v/>
      </c>
      <c r="M929" s="61" t="str">
        <f>IFERROR(__xludf.DUMMYFUNCTION("IFS(AND(COUNTA(C929:C1673)=0,COUNTA(Q929:Q1673)=0),"""",OR(AND(K929&gt;=1000000000,OR(Y929&gt;=1000000000,COUNTA(Q929:Q1673)=0)),OR(Y929&gt;=1000000000,AND(COUNTA(C929:C1673)=0,P$3=TRUE))),
ROUNDDOWN((AB$1-AC$1)*MAX(INDEX(T$4:T1673,MATCH(LARGE(FILTER(Y$4:Y1673,Y$4"&amp;":Y1673&lt;1000000000),1),Y$4:Y1673)),INDEX(F$4:F1673,MATCH(LARGE(FILTER(K$4:K1673,K$4:K1673&lt;1000000000),1),K$4:K1673)))),AND(K929&lt;1000000000,COUNTA(C929:C1673)&gt;0,P$3=FALSE),
ROUNDDOWN(INDEX(Y$4:Y1673,MATCH(LARGE(FILTER(W$4:W1673,W$4:W1673&lt;=I929),1),W$4:W1673"&amp;"))+(I929-LARGE(FILTER(W$4:W1673,W$4:W1673&lt;=I929),1))*INDEX(T$4:T1673,MATCH(LARGE(FILTER(W$4:W1673,W$4:W1673&lt;=I929),1),W$4:W1673))-K929),1,
ROUNDDOWN(Y929-INDEX(K$4:K1673,MATCH(LARGE(FILTER(I$4:I1673,I$4:I1673&lt;=W929),1),I$4:I1673))-(W929-LARGE(FILTER(I$4:I"&amp;"1673,I$4:I1673&lt;=W929),1))*INDEX(F$4:F1673,MATCH(LARGE(FILTER(I$4:I1673,I$4:I1673&lt;=W929),1),I$4:I1673))))"),"")</f>
        <v/>
      </c>
      <c r="N929" s="60" t="str">
        <f t="shared" si="8"/>
        <v/>
      </c>
      <c r="O929" s="61" t="str">
        <f t="shared" si="9"/>
        <v/>
      </c>
      <c r="P929" s="56" t="str">
        <f t="shared" si="10"/>
        <v/>
      </c>
      <c r="R929" s="10"/>
      <c r="S929" s="59" t="str">
        <f t="array" ref="S929">IF(COUNTA(Q929:Q1673)=0,"",SUM((COUNTIF(Q$4:Q929,Upgrades!$B$3:$B$13)-COUNTIF(Q$4:Q929,"Sell_"&amp;Upgrades!$B$3:$B$13))*Upgrades!$D$3:$D$13))</f>
        <v/>
      </c>
      <c r="T929" s="66" t="str">
        <f>IFERROR(__xludf.DUMMYFUNCTION("IF(COUNTA(Q929:Q1673)=0,"""",IF(REGEXMATCH(INDEX(FILTER(Q$4:Q929,Q$4:Q929&lt;&gt;""""),ROWS(FILTER(Q$4:Q929,Q$4:Q929&lt;&gt;""""))),""^Sell_""),INDEX(FILTER(T$4:T928,Q$4:Q928&lt;&gt;""""),ROWS(FILTER(Q$4:Q928,Q$4:Q928&lt;&gt;""""))),$AD$5+S929))"),"")</f>
        <v/>
      </c>
      <c r="U929" s="10" t="str">
        <f>IFERROR(__xludf.DUMMYFUNCTION("IF(COUNTA(Q929:Q1673)=0,"""",IF(Q929="""",0,IF(REGEXMATCH(Q929,""^Sell_""),-ROUNDDOWN(ROUNDUP(INDEX(Upgrades!$C$3:$C$13,MATCH(SUBSTITUTE(Q929,""Sell_"",""""),Upgrades!$B$3:$B$13,0))*1.15^(COUNTIF(Q$4:Q928,SUBSTITUTE(Q929,""Sell_"",""""))-COUNTIF(Q$4:Q928,"&amp;"""Sell_""&amp;SUBSTITUTE(Q929,""Sell_"",""""))))/2),ROUNDUP(INDEX(Upgrades!$C$3:$C$13,MATCH(Q929,Upgrades!$B$3:$B$13,0))*1.15^(COUNTIF(Q$4:Q928,Q929)-COUNTIF(Q$4:Q928,""Sell_""&amp;Q929))))))"),"")</f>
        <v/>
      </c>
      <c r="V929" s="10" t="str">
        <f t="shared" si="11"/>
        <v/>
      </c>
      <c r="W929" s="68" t="str">
        <f t="shared" si="12"/>
        <v/>
      </c>
      <c r="X929" s="59" t="str">
        <f t="shared" si="13"/>
        <v/>
      </c>
      <c r="Y929" s="69" t="str">
        <f t="shared" si="14"/>
        <v/>
      </c>
      <c r="Z929" s="11"/>
    </row>
    <row r="930">
      <c r="A930" s="8"/>
      <c r="B930" s="56" t="str">
        <f t="shared" si="2"/>
        <v/>
      </c>
      <c r="C930" s="105"/>
      <c r="D930" s="10"/>
      <c r="E930" s="59" t="str">
        <f t="array" ref="E930">IF(COUNTA(C930:C1673)=0,"",SUM((COUNTIF(C$4:C930,Upgrades!$B$3:$B$13)-COUNTIF(C$4:C930,"Sell_"&amp;Upgrades!$B$3:$B$13))*Upgrades!$D$3:$D$13))</f>
        <v/>
      </c>
      <c r="F930" s="66" t="str">
        <f>IFERROR(__xludf.DUMMYFUNCTION("IF(COUNTA(C930:C1673)=0,"""",IF(REGEXMATCH(INDEX(FILTER(C$4:C930,C$4:C930&lt;&gt;""""),ROWS(FILTER(C$4:C930,C$4:C930&lt;&gt;""""))),""^Sell_""),INDEX(FILTER(F$4:F929,C$4:C929&lt;&gt;""""),ROWS(FILTER(C$4:C929,C$4:C929&lt;&gt;""""))),$AC$5+E930))"),"")</f>
        <v/>
      </c>
      <c r="G930" s="10" t="str">
        <f>IFERROR(__xludf.DUMMYFUNCTION("IF(COUNTA(C930:C1673)=0,"""",IF(C930="""",0,IF(REGEXMATCH(C930,""^Sell_""),-ROUNDDOWN(ROUNDUP(INDEX(Upgrades!$C$3:$C$13,MATCH(SUBSTITUTE(C930,""Sell_"",""""),Upgrades!$B$3:$B$13,0))*1.15^(COUNTIF(C$4:C929,SUBSTITUTE(C930,""Sell_"",""""))-COUNTIF(C$4:C929,"&amp;"""Sell_""&amp;SUBSTITUTE(C930,""Sell_"",""""))))/2),ROUNDUP(INDEX(Upgrades!$C$3:$C$13,MATCH(C930,Upgrades!$B$3:$B$13,0))*1.15^(COUNTIF(C$4:C929,C930)-COUNTIF(C$4:C929,""Sell_""&amp;C930))))))"),"")</f>
        <v/>
      </c>
      <c r="H930" s="10" t="str">
        <f t="shared" si="3"/>
        <v/>
      </c>
      <c r="I930" s="68" t="str">
        <f t="shared" si="4"/>
        <v/>
      </c>
      <c r="J930" s="59" t="str">
        <f t="shared" si="5"/>
        <v/>
      </c>
      <c r="K930" s="69" t="str">
        <f t="shared" si="6"/>
        <v/>
      </c>
      <c r="L930" s="60" t="str">
        <f t="shared" si="7"/>
        <v/>
      </c>
      <c r="M930" s="61" t="str">
        <f>IFERROR(__xludf.DUMMYFUNCTION("IFS(AND(COUNTA(C930:C1673)=0,COUNTA(Q930:Q1673)=0),"""",OR(AND(K930&gt;=1000000000,OR(Y930&gt;=1000000000,COUNTA(Q930:Q1673)=0)),OR(Y930&gt;=1000000000,AND(COUNTA(C930:C1673)=0,P$3=TRUE))),
ROUNDDOWN((AB$1-AC$1)*MAX(INDEX(T$4:T1673,MATCH(LARGE(FILTER(Y$4:Y1673,Y$4"&amp;":Y1673&lt;1000000000),1),Y$4:Y1673)),INDEX(F$4:F1673,MATCH(LARGE(FILTER(K$4:K1673,K$4:K1673&lt;1000000000),1),K$4:K1673)))),AND(K930&lt;1000000000,COUNTA(C930:C1673)&gt;0,P$3=FALSE),
ROUNDDOWN(INDEX(Y$4:Y1673,MATCH(LARGE(FILTER(W$4:W1673,W$4:W1673&lt;=I930),1),W$4:W1673"&amp;"))+(I930-LARGE(FILTER(W$4:W1673,W$4:W1673&lt;=I930),1))*INDEX(T$4:T1673,MATCH(LARGE(FILTER(W$4:W1673,W$4:W1673&lt;=I930),1),W$4:W1673))-K930),1,
ROUNDDOWN(Y930-INDEX(K$4:K1673,MATCH(LARGE(FILTER(I$4:I1673,I$4:I1673&lt;=W930),1),I$4:I1673))-(W930-LARGE(FILTER(I$4:I"&amp;"1673,I$4:I1673&lt;=W930),1))*INDEX(F$4:F1673,MATCH(LARGE(FILTER(I$4:I1673,I$4:I1673&lt;=W930),1),I$4:I1673))))"),"")</f>
        <v/>
      </c>
      <c r="N930" s="60" t="str">
        <f t="shared" si="8"/>
        <v/>
      </c>
      <c r="O930" s="61" t="str">
        <f t="shared" si="9"/>
        <v/>
      </c>
      <c r="P930" s="56" t="str">
        <f t="shared" si="10"/>
        <v/>
      </c>
      <c r="R930" s="10"/>
      <c r="S930" s="59" t="str">
        <f t="array" ref="S930">IF(COUNTA(Q930:Q1673)=0,"",SUM((COUNTIF(Q$4:Q930,Upgrades!$B$3:$B$13)-COUNTIF(Q$4:Q930,"Sell_"&amp;Upgrades!$B$3:$B$13))*Upgrades!$D$3:$D$13))</f>
        <v/>
      </c>
      <c r="T930" s="66" t="str">
        <f>IFERROR(__xludf.DUMMYFUNCTION("IF(COUNTA(Q930:Q1673)=0,"""",IF(REGEXMATCH(INDEX(FILTER(Q$4:Q930,Q$4:Q930&lt;&gt;""""),ROWS(FILTER(Q$4:Q930,Q$4:Q930&lt;&gt;""""))),""^Sell_""),INDEX(FILTER(T$4:T929,Q$4:Q929&lt;&gt;""""),ROWS(FILTER(Q$4:Q929,Q$4:Q929&lt;&gt;""""))),$AD$5+S930))"),"")</f>
        <v/>
      </c>
      <c r="U930" s="10" t="str">
        <f>IFERROR(__xludf.DUMMYFUNCTION("IF(COUNTA(Q930:Q1673)=0,"""",IF(Q930="""",0,IF(REGEXMATCH(Q930,""^Sell_""),-ROUNDDOWN(ROUNDUP(INDEX(Upgrades!$C$3:$C$13,MATCH(SUBSTITUTE(Q930,""Sell_"",""""),Upgrades!$B$3:$B$13,0))*1.15^(COUNTIF(Q$4:Q929,SUBSTITUTE(Q930,""Sell_"",""""))-COUNTIF(Q$4:Q929,"&amp;"""Sell_""&amp;SUBSTITUTE(Q930,""Sell_"",""""))))/2),ROUNDUP(INDEX(Upgrades!$C$3:$C$13,MATCH(Q930,Upgrades!$B$3:$B$13,0))*1.15^(COUNTIF(Q$4:Q929,Q930)-COUNTIF(Q$4:Q929,""Sell_""&amp;Q930))))))"),"")</f>
        <v/>
      </c>
      <c r="V930" s="10" t="str">
        <f t="shared" si="11"/>
        <v/>
      </c>
      <c r="W930" s="68" t="str">
        <f t="shared" si="12"/>
        <v/>
      </c>
      <c r="X930" s="59" t="str">
        <f t="shared" si="13"/>
        <v/>
      </c>
      <c r="Y930" s="69" t="str">
        <f t="shared" si="14"/>
        <v/>
      </c>
      <c r="Z930" s="11"/>
    </row>
    <row r="931">
      <c r="A931" s="8"/>
      <c r="B931" s="56" t="str">
        <f t="shared" si="2"/>
        <v/>
      </c>
      <c r="C931" s="105"/>
      <c r="D931" s="10"/>
      <c r="E931" s="59" t="str">
        <f t="array" ref="E931">IF(COUNTA(C931:C1673)=0,"",SUM((COUNTIF(C$4:C931,Upgrades!$B$3:$B$13)-COUNTIF(C$4:C931,"Sell_"&amp;Upgrades!$B$3:$B$13))*Upgrades!$D$3:$D$13))</f>
        <v/>
      </c>
      <c r="F931" s="66" t="str">
        <f>IFERROR(__xludf.DUMMYFUNCTION("IF(COUNTA(C931:C1673)=0,"""",IF(REGEXMATCH(INDEX(FILTER(C$4:C931,C$4:C931&lt;&gt;""""),ROWS(FILTER(C$4:C931,C$4:C931&lt;&gt;""""))),""^Sell_""),INDEX(FILTER(F$4:F930,C$4:C930&lt;&gt;""""),ROWS(FILTER(C$4:C930,C$4:C930&lt;&gt;""""))),$AC$5+E931))"),"")</f>
        <v/>
      </c>
      <c r="G931" s="10" t="str">
        <f>IFERROR(__xludf.DUMMYFUNCTION("IF(COUNTA(C931:C1673)=0,"""",IF(C931="""",0,IF(REGEXMATCH(C931,""^Sell_""),-ROUNDDOWN(ROUNDUP(INDEX(Upgrades!$C$3:$C$13,MATCH(SUBSTITUTE(C931,""Sell_"",""""),Upgrades!$B$3:$B$13,0))*1.15^(COUNTIF(C$4:C930,SUBSTITUTE(C931,""Sell_"",""""))-COUNTIF(C$4:C930,"&amp;"""Sell_""&amp;SUBSTITUTE(C931,""Sell_"",""""))))/2),ROUNDUP(INDEX(Upgrades!$C$3:$C$13,MATCH(C931,Upgrades!$B$3:$B$13,0))*1.15^(COUNTIF(C$4:C930,C931)-COUNTIF(C$4:C930,""Sell_""&amp;C931))))))"),"")</f>
        <v/>
      </c>
      <c r="H931" s="10" t="str">
        <f t="shared" si="3"/>
        <v/>
      </c>
      <c r="I931" s="68" t="str">
        <f t="shared" si="4"/>
        <v/>
      </c>
      <c r="J931" s="59" t="str">
        <f t="shared" si="5"/>
        <v/>
      </c>
      <c r="K931" s="69" t="str">
        <f t="shared" si="6"/>
        <v/>
      </c>
      <c r="L931" s="60" t="str">
        <f t="shared" si="7"/>
        <v/>
      </c>
      <c r="M931" s="61" t="str">
        <f>IFERROR(__xludf.DUMMYFUNCTION("IFS(AND(COUNTA(C931:C1673)=0,COUNTA(Q931:Q1673)=0),"""",OR(AND(K931&gt;=1000000000,OR(Y931&gt;=1000000000,COUNTA(Q931:Q1673)=0)),OR(Y931&gt;=1000000000,AND(COUNTA(C931:C1673)=0,P$3=TRUE))),
ROUNDDOWN((AB$1-AC$1)*MAX(INDEX(T$4:T1673,MATCH(LARGE(FILTER(Y$4:Y1673,Y$4"&amp;":Y1673&lt;1000000000),1),Y$4:Y1673)),INDEX(F$4:F1673,MATCH(LARGE(FILTER(K$4:K1673,K$4:K1673&lt;1000000000),1),K$4:K1673)))),AND(K931&lt;1000000000,COUNTA(C931:C1673)&gt;0,P$3=FALSE),
ROUNDDOWN(INDEX(Y$4:Y1673,MATCH(LARGE(FILTER(W$4:W1673,W$4:W1673&lt;=I931),1),W$4:W1673"&amp;"))+(I931-LARGE(FILTER(W$4:W1673,W$4:W1673&lt;=I931),1))*INDEX(T$4:T1673,MATCH(LARGE(FILTER(W$4:W1673,W$4:W1673&lt;=I931),1),W$4:W1673))-K931),1,
ROUNDDOWN(Y931-INDEX(K$4:K1673,MATCH(LARGE(FILTER(I$4:I1673,I$4:I1673&lt;=W931),1),I$4:I1673))-(W931-LARGE(FILTER(I$4:I"&amp;"1673,I$4:I1673&lt;=W931),1))*INDEX(F$4:F1673,MATCH(LARGE(FILTER(I$4:I1673,I$4:I1673&lt;=W931),1),I$4:I1673))))"),"")</f>
        <v/>
      </c>
      <c r="N931" s="60" t="str">
        <f t="shared" si="8"/>
        <v/>
      </c>
      <c r="O931" s="61" t="str">
        <f t="shared" si="9"/>
        <v/>
      </c>
      <c r="P931" s="56" t="str">
        <f t="shared" si="10"/>
        <v/>
      </c>
      <c r="R931" s="10"/>
      <c r="S931" s="59" t="str">
        <f t="array" ref="S931">IF(COUNTA(Q931:Q1673)=0,"",SUM((COUNTIF(Q$4:Q931,Upgrades!$B$3:$B$13)-COUNTIF(Q$4:Q931,"Sell_"&amp;Upgrades!$B$3:$B$13))*Upgrades!$D$3:$D$13))</f>
        <v/>
      </c>
      <c r="T931" s="66" t="str">
        <f>IFERROR(__xludf.DUMMYFUNCTION("IF(COUNTA(Q931:Q1673)=0,"""",IF(REGEXMATCH(INDEX(FILTER(Q$4:Q931,Q$4:Q931&lt;&gt;""""),ROWS(FILTER(Q$4:Q931,Q$4:Q931&lt;&gt;""""))),""^Sell_""),INDEX(FILTER(T$4:T930,Q$4:Q930&lt;&gt;""""),ROWS(FILTER(Q$4:Q930,Q$4:Q930&lt;&gt;""""))),$AD$5+S931))"),"")</f>
        <v/>
      </c>
      <c r="U931" s="10" t="str">
        <f>IFERROR(__xludf.DUMMYFUNCTION("IF(COUNTA(Q931:Q1673)=0,"""",IF(Q931="""",0,IF(REGEXMATCH(Q931,""^Sell_""),-ROUNDDOWN(ROUNDUP(INDEX(Upgrades!$C$3:$C$13,MATCH(SUBSTITUTE(Q931,""Sell_"",""""),Upgrades!$B$3:$B$13,0))*1.15^(COUNTIF(Q$4:Q930,SUBSTITUTE(Q931,""Sell_"",""""))-COUNTIF(Q$4:Q930,"&amp;"""Sell_""&amp;SUBSTITUTE(Q931,""Sell_"",""""))))/2),ROUNDUP(INDEX(Upgrades!$C$3:$C$13,MATCH(Q931,Upgrades!$B$3:$B$13,0))*1.15^(COUNTIF(Q$4:Q930,Q931)-COUNTIF(Q$4:Q930,""Sell_""&amp;Q931))))))"),"")</f>
        <v/>
      </c>
      <c r="V931" s="10" t="str">
        <f t="shared" si="11"/>
        <v/>
      </c>
      <c r="W931" s="68" t="str">
        <f t="shared" si="12"/>
        <v/>
      </c>
      <c r="X931" s="59" t="str">
        <f t="shared" si="13"/>
        <v/>
      </c>
      <c r="Y931" s="69" t="str">
        <f t="shared" si="14"/>
        <v/>
      </c>
      <c r="Z931" s="11"/>
    </row>
    <row r="932">
      <c r="A932" s="8"/>
      <c r="B932" s="56" t="str">
        <f t="shared" si="2"/>
        <v/>
      </c>
      <c r="C932" s="105"/>
      <c r="D932" s="10"/>
      <c r="E932" s="59" t="str">
        <f t="array" ref="E932">IF(COUNTA(C932:C1673)=0,"",SUM((COUNTIF(C$4:C932,Upgrades!$B$3:$B$13)-COUNTIF(C$4:C932,"Sell_"&amp;Upgrades!$B$3:$B$13))*Upgrades!$D$3:$D$13))</f>
        <v/>
      </c>
      <c r="F932" s="66" t="str">
        <f>IFERROR(__xludf.DUMMYFUNCTION("IF(COUNTA(C932:C1673)=0,"""",IF(REGEXMATCH(INDEX(FILTER(C$4:C932,C$4:C932&lt;&gt;""""),ROWS(FILTER(C$4:C932,C$4:C932&lt;&gt;""""))),""^Sell_""),INDEX(FILTER(F$4:F931,C$4:C931&lt;&gt;""""),ROWS(FILTER(C$4:C931,C$4:C931&lt;&gt;""""))),$AC$5+E932))"),"")</f>
        <v/>
      </c>
      <c r="G932" s="10" t="str">
        <f>IFERROR(__xludf.DUMMYFUNCTION("IF(COUNTA(C932:C1673)=0,"""",IF(C932="""",0,IF(REGEXMATCH(C932,""^Sell_""),-ROUNDDOWN(ROUNDUP(INDEX(Upgrades!$C$3:$C$13,MATCH(SUBSTITUTE(C932,""Sell_"",""""),Upgrades!$B$3:$B$13,0))*1.15^(COUNTIF(C$4:C931,SUBSTITUTE(C932,""Sell_"",""""))-COUNTIF(C$4:C931,"&amp;"""Sell_""&amp;SUBSTITUTE(C932,""Sell_"",""""))))/2),ROUNDUP(INDEX(Upgrades!$C$3:$C$13,MATCH(C932,Upgrades!$B$3:$B$13,0))*1.15^(COUNTIF(C$4:C931,C932)-COUNTIF(C$4:C931,""Sell_""&amp;C932))))))"),"")</f>
        <v/>
      </c>
      <c r="H932" s="10" t="str">
        <f t="shared" si="3"/>
        <v/>
      </c>
      <c r="I932" s="68" t="str">
        <f t="shared" si="4"/>
        <v/>
      </c>
      <c r="J932" s="59" t="str">
        <f t="shared" si="5"/>
        <v/>
      </c>
      <c r="K932" s="69" t="str">
        <f t="shared" si="6"/>
        <v/>
      </c>
      <c r="L932" s="60" t="str">
        <f t="shared" si="7"/>
        <v/>
      </c>
      <c r="M932" s="61" t="str">
        <f>IFERROR(__xludf.DUMMYFUNCTION("IFS(AND(COUNTA(C932:C1673)=0,COUNTA(Q932:Q1673)=0),"""",OR(AND(K932&gt;=1000000000,OR(Y932&gt;=1000000000,COUNTA(Q932:Q1673)=0)),OR(Y932&gt;=1000000000,AND(COUNTA(C932:C1673)=0,P$3=TRUE))),
ROUNDDOWN((AB$1-AC$1)*MAX(INDEX(T$4:T1673,MATCH(LARGE(FILTER(Y$4:Y1673,Y$4"&amp;":Y1673&lt;1000000000),1),Y$4:Y1673)),INDEX(F$4:F1673,MATCH(LARGE(FILTER(K$4:K1673,K$4:K1673&lt;1000000000),1),K$4:K1673)))),AND(K932&lt;1000000000,COUNTA(C932:C1673)&gt;0,P$3=FALSE),
ROUNDDOWN(INDEX(Y$4:Y1673,MATCH(LARGE(FILTER(W$4:W1673,W$4:W1673&lt;=I932),1),W$4:W1673"&amp;"))+(I932-LARGE(FILTER(W$4:W1673,W$4:W1673&lt;=I932),1))*INDEX(T$4:T1673,MATCH(LARGE(FILTER(W$4:W1673,W$4:W1673&lt;=I932),1),W$4:W1673))-K932),1,
ROUNDDOWN(Y932-INDEX(K$4:K1673,MATCH(LARGE(FILTER(I$4:I1673,I$4:I1673&lt;=W932),1),I$4:I1673))-(W932-LARGE(FILTER(I$4:I"&amp;"1673,I$4:I1673&lt;=W932),1))*INDEX(F$4:F1673,MATCH(LARGE(FILTER(I$4:I1673,I$4:I1673&lt;=W932),1),I$4:I1673))))"),"")</f>
        <v/>
      </c>
      <c r="N932" s="60" t="str">
        <f t="shared" si="8"/>
        <v/>
      </c>
      <c r="O932" s="61" t="str">
        <f t="shared" si="9"/>
        <v/>
      </c>
      <c r="P932" s="56" t="str">
        <f t="shared" si="10"/>
        <v/>
      </c>
      <c r="R932" s="10"/>
      <c r="S932" s="59" t="str">
        <f t="array" ref="S932">IF(COUNTA(Q932:Q1673)=0,"",SUM((COUNTIF(Q$4:Q932,Upgrades!$B$3:$B$13)-COUNTIF(Q$4:Q932,"Sell_"&amp;Upgrades!$B$3:$B$13))*Upgrades!$D$3:$D$13))</f>
        <v/>
      </c>
      <c r="T932" s="66" t="str">
        <f>IFERROR(__xludf.DUMMYFUNCTION("IF(COUNTA(Q932:Q1673)=0,"""",IF(REGEXMATCH(INDEX(FILTER(Q$4:Q932,Q$4:Q932&lt;&gt;""""),ROWS(FILTER(Q$4:Q932,Q$4:Q932&lt;&gt;""""))),""^Sell_""),INDEX(FILTER(T$4:T931,Q$4:Q931&lt;&gt;""""),ROWS(FILTER(Q$4:Q931,Q$4:Q931&lt;&gt;""""))),$AD$5+S932))"),"")</f>
        <v/>
      </c>
      <c r="U932" s="10" t="str">
        <f>IFERROR(__xludf.DUMMYFUNCTION("IF(COUNTA(Q932:Q1673)=0,"""",IF(Q932="""",0,IF(REGEXMATCH(Q932,""^Sell_""),-ROUNDDOWN(ROUNDUP(INDEX(Upgrades!$C$3:$C$13,MATCH(SUBSTITUTE(Q932,""Sell_"",""""),Upgrades!$B$3:$B$13,0))*1.15^(COUNTIF(Q$4:Q931,SUBSTITUTE(Q932,""Sell_"",""""))-COUNTIF(Q$4:Q931,"&amp;"""Sell_""&amp;SUBSTITUTE(Q932,""Sell_"",""""))))/2),ROUNDUP(INDEX(Upgrades!$C$3:$C$13,MATCH(Q932,Upgrades!$B$3:$B$13,0))*1.15^(COUNTIF(Q$4:Q931,Q932)-COUNTIF(Q$4:Q931,""Sell_""&amp;Q932))))))"),"")</f>
        <v/>
      </c>
      <c r="V932" s="10" t="str">
        <f t="shared" si="11"/>
        <v/>
      </c>
      <c r="W932" s="68" t="str">
        <f t="shared" si="12"/>
        <v/>
      </c>
      <c r="X932" s="59" t="str">
        <f t="shared" si="13"/>
        <v/>
      </c>
      <c r="Y932" s="69" t="str">
        <f t="shared" si="14"/>
        <v/>
      </c>
      <c r="Z932" s="11"/>
    </row>
    <row r="933">
      <c r="A933" s="8"/>
      <c r="B933" s="56" t="str">
        <f t="shared" si="2"/>
        <v/>
      </c>
      <c r="C933" s="105"/>
      <c r="D933" s="10"/>
      <c r="E933" s="59" t="str">
        <f t="array" ref="E933">IF(COUNTA(C933:C1673)=0,"",SUM((COUNTIF(C$4:C933,Upgrades!$B$3:$B$13)-COUNTIF(C$4:C933,"Sell_"&amp;Upgrades!$B$3:$B$13))*Upgrades!$D$3:$D$13))</f>
        <v/>
      </c>
      <c r="F933" s="66" t="str">
        <f>IFERROR(__xludf.DUMMYFUNCTION("IF(COUNTA(C933:C1673)=0,"""",IF(REGEXMATCH(INDEX(FILTER(C$4:C933,C$4:C933&lt;&gt;""""),ROWS(FILTER(C$4:C933,C$4:C933&lt;&gt;""""))),""^Sell_""),INDEX(FILTER(F$4:F932,C$4:C932&lt;&gt;""""),ROWS(FILTER(C$4:C932,C$4:C932&lt;&gt;""""))),$AC$5+E933))"),"")</f>
        <v/>
      </c>
      <c r="G933" s="10" t="str">
        <f>IFERROR(__xludf.DUMMYFUNCTION("IF(COUNTA(C933:C1673)=0,"""",IF(C933="""",0,IF(REGEXMATCH(C933,""^Sell_""),-ROUNDDOWN(ROUNDUP(INDEX(Upgrades!$C$3:$C$13,MATCH(SUBSTITUTE(C933,""Sell_"",""""),Upgrades!$B$3:$B$13,0))*1.15^(COUNTIF(C$4:C932,SUBSTITUTE(C933,""Sell_"",""""))-COUNTIF(C$4:C932,"&amp;"""Sell_""&amp;SUBSTITUTE(C933,""Sell_"",""""))))/2),ROUNDUP(INDEX(Upgrades!$C$3:$C$13,MATCH(C933,Upgrades!$B$3:$B$13,0))*1.15^(COUNTIF(C$4:C932,C933)-COUNTIF(C$4:C932,""Sell_""&amp;C933))))))"),"")</f>
        <v/>
      </c>
      <c r="H933" s="10" t="str">
        <f t="shared" si="3"/>
        <v/>
      </c>
      <c r="I933" s="68" t="str">
        <f t="shared" si="4"/>
        <v/>
      </c>
      <c r="J933" s="59" t="str">
        <f t="shared" si="5"/>
        <v/>
      </c>
      <c r="K933" s="69" t="str">
        <f t="shared" si="6"/>
        <v/>
      </c>
      <c r="L933" s="60" t="str">
        <f t="shared" si="7"/>
        <v/>
      </c>
      <c r="M933" s="61" t="str">
        <f>IFERROR(__xludf.DUMMYFUNCTION("IFS(AND(COUNTA(C933:C1673)=0,COUNTA(Q933:Q1673)=0),"""",OR(AND(K933&gt;=1000000000,OR(Y933&gt;=1000000000,COUNTA(Q933:Q1673)=0)),OR(Y933&gt;=1000000000,AND(COUNTA(C933:C1673)=0,P$3=TRUE))),
ROUNDDOWN((AB$1-AC$1)*MAX(INDEX(T$4:T1673,MATCH(LARGE(FILTER(Y$4:Y1673,Y$4"&amp;":Y1673&lt;1000000000),1),Y$4:Y1673)),INDEX(F$4:F1673,MATCH(LARGE(FILTER(K$4:K1673,K$4:K1673&lt;1000000000),1),K$4:K1673)))),AND(K933&lt;1000000000,COUNTA(C933:C1673)&gt;0,P$3=FALSE),
ROUNDDOWN(INDEX(Y$4:Y1673,MATCH(LARGE(FILTER(W$4:W1673,W$4:W1673&lt;=I933),1),W$4:W1673"&amp;"))+(I933-LARGE(FILTER(W$4:W1673,W$4:W1673&lt;=I933),1))*INDEX(T$4:T1673,MATCH(LARGE(FILTER(W$4:W1673,W$4:W1673&lt;=I933),1),W$4:W1673))-K933),1,
ROUNDDOWN(Y933-INDEX(K$4:K1673,MATCH(LARGE(FILTER(I$4:I1673,I$4:I1673&lt;=W933),1),I$4:I1673))-(W933-LARGE(FILTER(I$4:I"&amp;"1673,I$4:I1673&lt;=W933),1))*INDEX(F$4:F1673,MATCH(LARGE(FILTER(I$4:I1673,I$4:I1673&lt;=W933),1),I$4:I1673))))"),"")</f>
        <v/>
      </c>
      <c r="N933" s="60" t="str">
        <f t="shared" si="8"/>
        <v/>
      </c>
      <c r="O933" s="61" t="str">
        <f t="shared" si="9"/>
        <v/>
      </c>
      <c r="P933" s="56" t="str">
        <f t="shared" si="10"/>
        <v/>
      </c>
      <c r="R933" s="10"/>
      <c r="S933" s="59" t="str">
        <f t="array" ref="S933">IF(COUNTA(Q933:Q1673)=0,"",SUM((COUNTIF(Q$4:Q933,Upgrades!$B$3:$B$13)-COUNTIF(Q$4:Q933,"Sell_"&amp;Upgrades!$B$3:$B$13))*Upgrades!$D$3:$D$13))</f>
        <v/>
      </c>
      <c r="T933" s="66" t="str">
        <f>IFERROR(__xludf.DUMMYFUNCTION("IF(COUNTA(Q933:Q1673)=0,"""",IF(REGEXMATCH(INDEX(FILTER(Q$4:Q933,Q$4:Q933&lt;&gt;""""),ROWS(FILTER(Q$4:Q933,Q$4:Q933&lt;&gt;""""))),""^Sell_""),INDEX(FILTER(T$4:T932,Q$4:Q932&lt;&gt;""""),ROWS(FILTER(Q$4:Q932,Q$4:Q932&lt;&gt;""""))),$AD$5+S933))"),"")</f>
        <v/>
      </c>
      <c r="U933" s="10" t="str">
        <f>IFERROR(__xludf.DUMMYFUNCTION("IF(COUNTA(Q933:Q1673)=0,"""",IF(Q933="""",0,IF(REGEXMATCH(Q933,""^Sell_""),-ROUNDDOWN(ROUNDUP(INDEX(Upgrades!$C$3:$C$13,MATCH(SUBSTITUTE(Q933,""Sell_"",""""),Upgrades!$B$3:$B$13,0))*1.15^(COUNTIF(Q$4:Q932,SUBSTITUTE(Q933,""Sell_"",""""))-COUNTIF(Q$4:Q932,"&amp;"""Sell_""&amp;SUBSTITUTE(Q933,""Sell_"",""""))))/2),ROUNDUP(INDEX(Upgrades!$C$3:$C$13,MATCH(Q933,Upgrades!$B$3:$B$13,0))*1.15^(COUNTIF(Q$4:Q932,Q933)-COUNTIF(Q$4:Q932,""Sell_""&amp;Q933))))))"),"")</f>
        <v/>
      </c>
      <c r="V933" s="10" t="str">
        <f t="shared" si="11"/>
        <v/>
      </c>
      <c r="W933" s="68" t="str">
        <f t="shared" si="12"/>
        <v/>
      </c>
      <c r="X933" s="59" t="str">
        <f t="shared" si="13"/>
        <v/>
      </c>
      <c r="Y933" s="69" t="str">
        <f t="shared" si="14"/>
        <v/>
      </c>
      <c r="Z933" s="11"/>
    </row>
    <row r="934">
      <c r="A934" s="8"/>
      <c r="B934" s="56" t="str">
        <f t="shared" si="2"/>
        <v/>
      </c>
      <c r="C934" s="105"/>
      <c r="D934" s="10"/>
      <c r="E934" s="59" t="str">
        <f t="array" ref="E934">IF(COUNTA(C934:C1673)=0,"",SUM((COUNTIF(C$4:C934,Upgrades!$B$3:$B$13)-COUNTIF(C$4:C934,"Sell_"&amp;Upgrades!$B$3:$B$13))*Upgrades!$D$3:$D$13))</f>
        <v/>
      </c>
      <c r="F934" s="66" t="str">
        <f>IFERROR(__xludf.DUMMYFUNCTION("IF(COUNTA(C934:C1673)=0,"""",IF(REGEXMATCH(INDEX(FILTER(C$4:C934,C$4:C934&lt;&gt;""""),ROWS(FILTER(C$4:C934,C$4:C934&lt;&gt;""""))),""^Sell_""),INDEX(FILTER(F$4:F933,C$4:C933&lt;&gt;""""),ROWS(FILTER(C$4:C933,C$4:C933&lt;&gt;""""))),$AC$5+E934))"),"")</f>
        <v/>
      </c>
      <c r="G934" s="10" t="str">
        <f>IFERROR(__xludf.DUMMYFUNCTION("IF(COUNTA(C934:C1673)=0,"""",IF(C934="""",0,IF(REGEXMATCH(C934,""^Sell_""),-ROUNDDOWN(ROUNDUP(INDEX(Upgrades!$C$3:$C$13,MATCH(SUBSTITUTE(C934,""Sell_"",""""),Upgrades!$B$3:$B$13,0))*1.15^(COUNTIF(C$4:C933,SUBSTITUTE(C934,""Sell_"",""""))-COUNTIF(C$4:C933,"&amp;"""Sell_""&amp;SUBSTITUTE(C934,""Sell_"",""""))))/2),ROUNDUP(INDEX(Upgrades!$C$3:$C$13,MATCH(C934,Upgrades!$B$3:$B$13,0))*1.15^(COUNTIF(C$4:C933,C934)-COUNTIF(C$4:C933,""Sell_""&amp;C934))))))"),"")</f>
        <v/>
      </c>
      <c r="H934" s="10" t="str">
        <f t="shared" si="3"/>
        <v/>
      </c>
      <c r="I934" s="68" t="str">
        <f t="shared" si="4"/>
        <v/>
      </c>
      <c r="J934" s="59" t="str">
        <f t="shared" si="5"/>
        <v/>
      </c>
      <c r="K934" s="69" t="str">
        <f t="shared" si="6"/>
        <v/>
      </c>
      <c r="L934" s="60" t="str">
        <f t="shared" si="7"/>
        <v/>
      </c>
      <c r="M934" s="61" t="str">
        <f>IFERROR(__xludf.DUMMYFUNCTION("IFS(AND(COUNTA(C934:C1673)=0,COUNTA(Q934:Q1673)=0),"""",OR(AND(K934&gt;=1000000000,OR(Y934&gt;=1000000000,COUNTA(Q934:Q1673)=0)),OR(Y934&gt;=1000000000,AND(COUNTA(C934:C1673)=0,P$3=TRUE))),
ROUNDDOWN((AB$1-AC$1)*MAX(INDEX(T$4:T1673,MATCH(LARGE(FILTER(Y$4:Y1673,Y$4"&amp;":Y1673&lt;1000000000),1),Y$4:Y1673)),INDEX(F$4:F1673,MATCH(LARGE(FILTER(K$4:K1673,K$4:K1673&lt;1000000000),1),K$4:K1673)))),AND(K934&lt;1000000000,COUNTA(C934:C1673)&gt;0,P$3=FALSE),
ROUNDDOWN(INDEX(Y$4:Y1673,MATCH(LARGE(FILTER(W$4:W1673,W$4:W1673&lt;=I934),1),W$4:W1673"&amp;"))+(I934-LARGE(FILTER(W$4:W1673,W$4:W1673&lt;=I934),1))*INDEX(T$4:T1673,MATCH(LARGE(FILTER(W$4:W1673,W$4:W1673&lt;=I934),1),W$4:W1673))-K934),1,
ROUNDDOWN(Y934-INDEX(K$4:K1673,MATCH(LARGE(FILTER(I$4:I1673,I$4:I1673&lt;=W934),1),I$4:I1673))-(W934-LARGE(FILTER(I$4:I"&amp;"1673,I$4:I1673&lt;=W934),1))*INDEX(F$4:F1673,MATCH(LARGE(FILTER(I$4:I1673,I$4:I1673&lt;=W934),1),I$4:I1673))))"),"")</f>
        <v/>
      </c>
      <c r="N934" s="60" t="str">
        <f t="shared" si="8"/>
        <v/>
      </c>
      <c r="O934" s="61" t="str">
        <f t="shared" si="9"/>
        <v/>
      </c>
      <c r="P934" s="56" t="str">
        <f t="shared" si="10"/>
        <v/>
      </c>
      <c r="R934" s="10"/>
      <c r="S934" s="59" t="str">
        <f t="array" ref="S934">IF(COUNTA(Q934:Q1673)=0,"",SUM((COUNTIF(Q$4:Q934,Upgrades!$B$3:$B$13)-COUNTIF(Q$4:Q934,"Sell_"&amp;Upgrades!$B$3:$B$13))*Upgrades!$D$3:$D$13))</f>
        <v/>
      </c>
      <c r="T934" s="66" t="str">
        <f>IFERROR(__xludf.DUMMYFUNCTION("IF(COUNTA(Q934:Q1673)=0,"""",IF(REGEXMATCH(INDEX(FILTER(Q$4:Q934,Q$4:Q934&lt;&gt;""""),ROWS(FILTER(Q$4:Q934,Q$4:Q934&lt;&gt;""""))),""^Sell_""),INDEX(FILTER(T$4:T933,Q$4:Q933&lt;&gt;""""),ROWS(FILTER(Q$4:Q933,Q$4:Q933&lt;&gt;""""))),$AD$5+S934))"),"")</f>
        <v/>
      </c>
      <c r="U934" s="10" t="str">
        <f>IFERROR(__xludf.DUMMYFUNCTION("IF(COUNTA(Q934:Q1673)=0,"""",IF(Q934="""",0,IF(REGEXMATCH(Q934,""^Sell_""),-ROUNDDOWN(ROUNDUP(INDEX(Upgrades!$C$3:$C$13,MATCH(SUBSTITUTE(Q934,""Sell_"",""""),Upgrades!$B$3:$B$13,0))*1.15^(COUNTIF(Q$4:Q933,SUBSTITUTE(Q934,""Sell_"",""""))-COUNTIF(Q$4:Q933,"&amp;"""Sell_""&amp;SUBSTITUTE(Q934,""Sell_"",""""))))/2),ROUNDUP(INDEX(Upgrades!$C$3:$C$13,MATCH(Q934,Upgrades!$B$3:$B$13,0))*1.15^(COUNTIF(Q$4:Q933,Q934)-COUNTIF(Q$4:Q933,""Sell_""&amp;Q934))))))"),"")</f>
        <v/>
      </c>
      <c r="V934" s="10" t="str">
        <f t="shared" si="11"/>
        <v/>
      </c>
      <c r="W934" s="68" t="str">
        <f t="shared" si="12"/>
        <v/>
      </c>
      <c r="X934" s="59" t="str">
        <f t="shared" si="13"/>
        <v/>
      </c>
      <c r="Y934" s="69" t="str">
        <f t="shared" si="14"/>
        <v/>
      </c>
      <c r="Z934" s="11"/>
    </row>
    <row r="935">
      <c r="A935" s="8"/>
      <c r="B935" s="56" t="str">
        <f t="shared" si="2"/>
        <v/>
      </c>
      <c r="C935" s="105"/>
      <c r="D935" s="10"/>
      <c r="E935" s="59" t="str">
        <f t="array" ref="E935">IF(COUNTA(C935:C1673)=0,"",SUM((COUNTIF(C$4:C935,Upgrades!$B$3:$B$13)-COUNTIF(C$4:C935,"Sell_"&amp;Upgrades!$B$3:$B$13))*Upgrades!$D$3:$D$13))</f>
        <v/>
      </c>
      <c r="F935" s="66" t="str">
        <f>IFERROR(__xludf.DUMMYFUNCTION("IF(COUNTA(C935:C1673)=0,"""",IF(REGEXMATCH(INDEX(FILTER(C$4:C935,C$4:C935&lt;&gt;""""),ROWS(FILTER(C$4:C935,C$4:C935&lt;&gt;""""))),""^Sell_""),INDEX(FILTER(F$4:F934,C$4:C934&lt;&gt;""""),ROWS(FILTER(C$4:C934,C$4:C934&lt;&gt;""""))),$AC$5+E935))"),"")</f>
        <v/>
      </c>
      <c r="G935" s="10" t="str">
        <f>IFERROR(__xludf.DUMMYFUNCTION("IF(COUNTA(C935:C1673)=0,"""",IF(C935="""",0,IF(REGEXMATCH(C935,""^Sell_""),-ROUNDDOWN(ROUNDUP(INDEX(Upgrades!$C$3:$C$13,MATCH(SUBSTITUTE(C935,""Sell_"",""""),Upgrades!$B$3:$B$13,0))*1.15^(COUNTIF(C$4:C934,SUBSTITUTE(C935,""Sell_"",""""))-COUNTIF(C$4:C934,"&amp;"""Sell_""&amp;SUBSTITUTE(C935,""Sell_"",""""))))/2),ROUNDUP(INDEX(Upgrades!$C$3:$C$13,MATCH(C935,Upgrades!$B$3:$B$13,0))*1.15^(COUNTIF(C$4:C934,C935)-COUNTIF(C$4:C934,""Sell_""&amp;C935))))))"),"")</f>
        <v/>
      </c>
      <c r="H935" s="10" t="str">
        <f t="shared" si="3"/>
        <v/>
      </c>
      <c r="I935" s="68" t="str">
        <f t="shared" si="4"/>
        <v/>
      </c>
      <c r="J935" s="59" t="str">
        <f t="shared" si="5"/>
        <v/>
      </c>
      <c r="K935" s="69" t="str">
        <f t="shared" si="6"/>
        <v/>
      </c>
      <c r="L935" s="60" t="str">
        <f t="shared" si="7"/>
        <v/>
      </c>
      <c r="M935" s="61" t="str">
        <f>IFERROR(__xludf.DUMMYFUNCTION("IFS(AND(COUNTA(C935:C1673)=0,COUNTA(Q935:Q1673)=0),"""",OR(AND(K935&gt;=1000000000,OR(Y935&gt;=1000000000,COUNTA(Q935:Q1673)=0)),OR(Y935&gt;=1000000000,AND(COUNTA(C935:C1673)=0,P$3=TRUE))),
ROUNDDOWN((AB$1-AC$1)*MAX(INDEX(T$4:T1673,MATCH(LARGE(FILTER(Y$4:Y1673,Y$4"&amp;":Y1673&lt;1000000000),1),Y$4:Y1673)),INDEX(F$4:F1673,MATCH(LARGE(FILTER(K$4:K1673,K$4:K1673&lt;1000000000),1),K$4:K1673)))),AND(K935&lt;1000000000,COUNTA(C935:C1673)&gt;0,P$3=FALSE),
ROUNDDOWN(INDEX(Y$4:Y1673,MATCH(LARGE(FILTER(W$4:W1673,W$4:W1673&lt;=I935),1),W$4:W1673"&amp;"))+(I935-LARGE(FILTER(W$4:W1673,W$4:W1673&lt;=I935),1))*INDEX(T$4:T1673,MATCH(LARGE(FILTER(W$4:W1673,W$4:W1673&lt;=I935),1),W$4:W1673))-K935),1,
ROUNDDOWN(Y935-INDEX(K$4:K1673,MATCH(LARGE(FILTER(I$4:I1673,I$4:I1673&lt;=W935),1),I$4:I1673))-(W935-LARGE(FILTER(I$4:I"&amp;"1673,I$4:I1673&lt;=W935),1))*INDEX(F$4:F1673,MATCH(LARGE(FILTER(I$4:I1673,I$4:I1673&lt;=W935),1),I$4:I1673))))"),"")</f>
        <v/>
      </c>
      <c r="N935" s="60" t="str">
        <f t="shared" si="8"/>
        <v/>
      </c>
      <c r="O935" s="61" t="str">
        <f t="shared" si="9"/>
        <v/>
      </c>
      <c r="P935" s="56" t="str">
        <f t="shared" si="10"/>
        <v/>
      </c>
      <c r="R935" s="10"/>
      <c r="S935" s="59" t="str">
        <f t="array" ref="S935">IF(COUNTA(Q935:Q1673)=0,"",SUM((COUNTIF(Q$4:Q935,Upgrades!$B$3:$B$13)-COUNTIF(Q$4:Q935,"Sell_"&amp;Upgrades!$B$3:$B$13))*Upgrades!$D$3:$D$13))</f>
        <v/>
      </c>
      <c r="T935" s="66" t="str">
        <f>IFERROR(__xludf.DUMMYFUNCTION("IF(COUNTA(Q935:Q1673)=0,"""",IF(REGEXMATCH(INDEX(FILTER(Q$4:Q935,Q$4:Q935&lt;&gt;""""),ROWS(FILTER(Q$4:Q935,Q$4:Q935&lt;&gt;""""))),""^Sell_""),INDEX(FILTER(T$4:T934,Q$4:Q934&lt;&gt;""""),ROWS(FILTER(Q$4:Q934,Q$4:Q934&lt;&gt;""""))),$AD$5+S935))"),"")</f>
        <v/>
      </c>
      <c r="U935" s="10" t="str">
        <f>IFERROR(__xludf.DUMMYFUNCTION("IF(COUNTA(Q935:Q1673)=0,"""",IF(Q935="""",0,IF(REGEXMATCH(Q935,""^Sell_""),-ROUNDDOWN(ROUNDUP(INDEX(Upgrades!$C$3:$C$13,MATCH(SUBSTITUTE(Q935,""Sell_"",""""),Upgrades!$B$3:$B$13,0))*1.15^(COUNTIF(Q$4:Q934,SUBSTITUTE(Q935,""Sell_"",""""))-COUNTIF(Q$4:Q934,"&amp;"""Sell_""&amp;SUBSTITUTE(Q935,""Sell_"",""""))))/2),ROUNDUP(INDEX(Upgrades!$C$3:$C$13,MATCH(Q935,Upgrades!$B$3:$B$13,0))*1.15^(COUNTIF(Q$4:Q934,Q935)-COUNTIF(Q$4:Q934,""Sell_""&amp;Q935))))))"),"")</f>
        <v/>
      </c>
      <c r="V935" s="10" t="str">
        <f t="shared" si="11"/>
        <v/>
      </c>
      <c r="W935" s="68" t="str">
        <f t="shared" si="12"/>
        <v/>
      </c>
      <c r="X935" s="59" t="str">
        <f t="shared" si="13"/>
        <v/>
      </c>
      <c r="Y935" s="69" t="str">
        <f t="shared" si="14"/>
        <v/>
      </c>
      <c r="Z935" s="11"/>
    </row>
    <row r="936">
      <c r="A936" s="8"/>
      <c r="B936" s="56" t="str">
        <f t="shared" si="2"/>
        <v/>
      </c>
      <c r="C936" s="105"/>
      <c r="D936" s="10"/>
      <c r="E936" s="59" t="str">
        <f t="array" ref="E936">IF(COUNTA(C936:C1673)=0,"",SUM((COUNTIF(C$4:C936,Upgrades!$B$3:$B$13)-COUNTIF(C$4:C936,"Sell_"&amp;Upgrades!$B$3:$B$13))*Upgrades!$D$3:$D$13))</f>
        <v/>
      </c>
      <c r="F936" s="66" t="str">
        <f>IFERROR(__xludf.DUMMYFUNCTION("IF(COUNTA(C936:C1673)=0,"""",IF(REGEXMATCH(INDEX(FILTER(C$4:C936,C$4:C936&lt;&gt;""""),ROWS(FILTER(C$4:C936,C$4:C936&lt;&gt;""""))),""^Sell_""),INDEX(FILTER(F$4:F935,C$4:C935&lt;&gt;""""),ROWS(FILTER(C$4:C935,C$4:C935&lt;&gt;""""))),$AC$5+E936))"),"")</f>
        <v/>
      </c>
      <c r="G936" s="10" t="str">
        <f>IFERROR(__xludf.DUMMYFUNCTION("IF(COUNTA(C936:C1673)=0,"""",IF(C936="""",0,IF(REGEXMATCH(C936,""^Sell_""),-ROUNDDOWN(ROUNDUP(INDEX(Upgrades!$C$3:$C$13,MATCH(SUBSTITUTE(C936,""Sell_"",""""),Upgrades!$B$3:$B$13,0))*1.15^(COUNTIF(C$4:C935,SUBSTITUTE(C936,""Sell_"",""""))-COUNTIF(C$4:C935,"&amp;"""Sell_""&amp;SUBSTITUTE(C936,""Sell_"",""""))))/2),ROUNDUP(INDEX(Upgrades!$C$3:$C$13,MATCH(C936,Upgrades!$B$3:$B$13,0))*1.15^(COUNTIF(C$4:C935,C936)-COUNTIF(C$4:C935,""Sell_""&amp;C936))))))"),"")</f>
        <v/>
      </c>
      <c r="H936" s="10" t="str">
        <f t="shared" si="3"/>
        <v/>
      </c>
      <c r="I936" s="68" t="str">
        <f t="shared" si="4"/>
        <v/>
      </c>
      <c r="J936" s="59" t="str">
        <f t="shared" si="5"/>
        <v/>
      </c>
      <c r="K936" s="69" t="str">
        <f t="shared" si="6"/>
        <v/>
      </c>
      <c r="L936" s="60" t="str">
        <f t="shared" si="7"/>
        <v/>
      </c>
      <c r="M936" s="61" t="str">
        <f>IFERROR(__xludf.DUMMYFUNCTION("IFS(AND(COUNTA(C936:C1673)=0,COUNTA(Q936:Q1673)=0),"""",OR(AND(K936&gt;=1000000000,OR(Y936&gt;=1000000000,COUNTA(Q936:Q1673)=0)),OR(Y936&gt;=1000000000,AND(COUNTA(C936:C1673)=0,P$3=TRUE))),
ROUNDDOWN((AB$1-AC$1)*MAX(INDEX(T$4:T1673,MATCH(LARGE(FILTER(Y$4:Y1673,Y$4"&amp;":Y1673&lt;1000000000),1),Y$4:Y1673)),INDEX(F$4:F1673,MATCH(LARGE(FILTER(K$4:K1673,K$4:K1673&lt;1000000000),1),K$4:K1673)))),AND(K936&lt;1000000000,COUNTA(C936:C1673)&gt;0,P$3=FALSE),
ROUNDDOWN(INDEX(Y$4:Y1673,MATCH(LARGE(FILTER(W$4:W1673,W$4:W1673&lt;=I936),1),W$4:W1673"&amp;"))+(I936-LARGE(FILTER(W$4:W1673,W$4:W1673&lt;=I936),1))*INDEX(T$4:T1673,MATCH(LARGE(FILTER(W$4:W1673,W$4:W1673&lt;=I936),1),W$4:W1673))-K936),1,
ROUNDDOWN(Y936-INDEX(K$4:K1673,MATCH(LARGE(FILTER(I$4:I1673,I$4:I1673&lt;=W936),1),I$4:I1673))-(W936-LARGE(FILTER(I$4:I"&amp;"1673,I$4:I1673&lt;=W936),1))*INDEX(F$4:F1673,MATCH(LARGE(FILTER(I$4:I1673,I$4:I1673&lt;=W936),1),I$4:I1673))))"),"")</f>
        <v/>
      </c>
      <c r="N936" s="60" t="str">
        <f t="shared" si="8"/>
        <v/>
      </c>
      <c r="O936" s="61" t="str">
        <f t="shared" si="9"/>
        <v/>
      </c>
      <c r="P936" s="56" t="str">
        <f t="shared" si="10"/>
        <v/>
      </c>
      <c r="R936" s="10"/>
      <c r="S936" s="59" t="str">
        <f t="array" ref="S936">IF(COUNTA(Q936:Q1673)=0,"",SUM((COUNTIF(Q$4:Q936,Upgrades!$B$3:$B$13)-COUNTIF(Q$4:Q936,"Sell_"&amp;Upgrades!$B$3:$B$13))*Upgrades!$D$3:$D$13))</f>
        <v/>
      </c>
      <c r="T936" s="66" t="str">
        <f>IFERROR(__xludf.DUMMYFUNCTION("IF(COUNTA(Q936:Q1673)=0,"""",IF(REGEXMATCH(INDEX(FILTER(Q$4:Q936,Q$4:Q936&lt;&gt;""""),ROWS(FILTER(Q$4:Q936,Q$4:Q936&lt;&gt;""""))),""^Sell_""),INDEX(FILTER(T$4:T935,Q$4:Q935&lt;&gt;""""),ROWS(FILTER(Q$4:Q935,Q$4:Q935&lt;&gt;""""))),$AD$5+S936))"),"")</f>
        <v/>
      </c>
      <c r="U936" s="10" t="str">
        <f>IFERROR(__xludf.DUMMYFUNCTION("IF(COUNTA(Q936:Q1673)=0,"""",IF(Q936="""",0,IF(REGEXMATCH(Q936,""^Sell_""),-ROUNDDOWN(ROUNDUP(INDEX(Upgrades!$C$3:$C$13,MATCH(SUBSTITUTE(Q936,""Sell_"",""""),Upgrades!$B$3:$B$13,0))*1.15^(COUNTIF(Q$4:Q935,SUBSTITUTE(Q936,""Sell_"",""""))-COUNTIF(Q$4:Q935,"&amp;"""Sell_""&amp;SUBSTITUTE(Q936,""Sell_"",""""))))/2),ROUNDUP(INDEX(Upgrades!$C$3:$C$13,MATCH(Q936,Upgrades!$B$3:$B$13,0))*1.15^(COUNTIF(Q$4:Q935,Q936)-COUNTIF(Q$4:Q935,""Sell_""&amp;Q936))))))"),"")</f>
        <v/>
      </c>
      <c r="V936" s="10" t="str">
        <f t="shared" si="11"/>
        <v/>
      </c>
      <c r="W936" s="68" t="str">
        <f t="shared" si="12"/>
        <v/>
      </c>
      <c r="X936" s="59" t="str">
        <f t="shared" si="13"/>
        <v/>
      </c>
      <c r="Y936" s="69" t="str">
        <f t="shared" si="14"/>
        <v/>
      </c>
      <c r="Z936" s="11"/>
    </row>
    <row r="937">
      <c r="A937" s="8"/>
      <c r="B937" s="56" t="str">
        <f t="shared" si="2"/>
        <v/>
      </c>
      <c r="C937" s="105"/>
      <c r="D937" s="10"/>
      <c r="E937" s="59" t="str">
        <f t="array" ref="E937">IF(COUNTA(C937:C1673)=0,"",SUM((COUNTIF(C$4:C937,Upgrades!$B$3:$B$13)-COUNTIF(C$4:C937,"Sell_"&amp;Upgrades!$B$3:$B$13))*Upgrades!$D$3:$D$13))</f>
        <v/>
      </c>
      <c r="F937" s="66" t="str">
        <f>IFERROR(__xludf.DUMMYFUNCTION("IF(COUNTA(C937:C1673)=0,"""",IF(REGEXMATCH(INDEX(FILTER(C$4:C937,C$4:C937&lt;&gt;""""),ROWS(FILTER(C$4:C937,C$4:C937&lt;&gt;""""))),""^Sell_""),INDEX(FILTER(F$4:F936,C$4:C936&lt;&gt;""""),ROWS(FILTER(C$4:C936,C$4:C936&lt;&gt;""""))),$AC$5+E937))"),"")</f>
        <v/>
      </c>
      <c r="G937" s="10" t="str">
        <f>IFERROR(__xludf.DUMMYFUNCTION("IF(COUNTA(C937:C1673)=0,"""",IF(C937="""",0,IF(REGEXMATCH(C937,""^Sell_""),-ROUNDDOWN(ROUNDUP(INDEX(Upgrades!$C$3:$C$13,MATCH(SUBSTITUTE(C937,""Sell_"",""""),Upgrades!$B$3:$B$13,0))*1.15^(COUNTIF(C$4:C936,SUBSTITUTE(C937,""Sell_"",""""))-COUNTIF(C$4:C936,"&amp;"""Sell_""&amp;SUBSTITUTE(C937,""Sell_"",""""))))/2),ROUNDUP(INDEX(Upgrades!$C$3:$C$13,MATCH(C937,Upgrades!$B$3:$B$13,0))*1.15^(COUNTIF(C$4:C936,C937)-COUNTIF(C$4:C936,""Sell_""&amp;C937))))))"),"")</f>
        <v/>
      </c>
      <c r="H937" s="10" t="str">
        <f t="shared" si="3"/>
        <v/>
      </c>
      <c r="I937" s="68" t="str">
        <f t="shared" si="4"/>
        <v/>
      </c>
      <c r="J937" s="59" t="str">
        <f t="shared" si="5"/>
        <v/>
      </c>
      <c r="K937" s="69" t="str">
        <f t="shared" si="6"/>
        <v/>
      </c>
      <c r="L937" s="60" t="str">
        <f t="shared" si="7"/>
        <v/>
      </c>
      <c r="M937" s="61" t="str">
        <f>IFERROR(__xludf.DUMMYFUNCTION("IFS(AND(COUNTA(C937:C1673)=0,COUNTA(Q937:Q1673)=0),"""",OR(AND(K937&gt;=1000000000,OR(Y937&gt;=1000000000,COUNTA(Q937:Q1673)=0)),OR(Y937&gt;=1000000000,AND(COUNTA(C937:C1673)=0,P$3=TRUE))),
ROUNDDOWN((AB$1-AC$1)*MAX(INDEX(T$4:T1673,MATCH(LARGE(FILTER(Y$4:Y1673,Y$4"&amp;":Y1673&lt;1000000000),1),Y$4:Y1673)),INDEX(F$4:F1673,MATCH(LARGE(FILTER(K$4:K1673,K$4:K1673&lt;1000000000),1),K$4:K1673)))),AND(K937&lt;1000000000,COUNTA(C937:C1673)&gt;0,P$3=FALSE),
ROUNDDOWN(INDEX(Y$4:Y1673,MATCH(LARGE(FILTER(W$4:W1673,W$4:W1673&lt;=I937),1),W$4:W1673"&amp;"))+(I937-LARGE(FILTER(W$4:W1673,W$4:W1673&lt;=I937),1))*INDEX(T$4:T1673,MATCH(LARGE(FILTER(W$4:W1673,W$4:W1673&lt;=I937),1),W$4:W1673))-K937),1,
ROUNDDOWN(Y937-INDEX(K$4:K1673,MATCH(LARGE(FILTER(I$4:I1673,I$4:I1673&lt;=W937),1),I$4:I1673))-(W937-LARGE(FILTER(I$4:I"&amp;"1673,I$4:I1673&lt;=W937),1))*INDEX(F$4:F1673,MATCH(LARGE(FILTER(I$4:I1673,I$4:I1673&lt;=W937),1),I$4:I1673))))"),"")</f>
        <v/>
      </c>
      <c r="N937" s="60" t="str">
        <f t="shared" si="8"/>
        <v/>
      </c>
      <c r="O937" s="61" t="str">
        <f t="shared" si="9"/>
        <v/>
      </c>
      <c r="P937" s="56" t="str">
        <f t="shared" si="10"/>
        <v/>
      </c>
      <c r="R937" s="10"/>
      <c r="S937" s="59" t="str">
        <f t="array" ref="S937">IF(COUNTA(Q937:Q1673)=0,"",SUM((COUNTIF(Q$4:Q937,Upgrades!$B$3:$B$13)-COUNTIF(Q$4:Q937,"Sell_"&amp;Upgrades!$B$3:$B$13))*Upgrades!$D$3:$D$13))</f>
        <v/>
      </c>
      <c r="T937" s="66" t="str">
        <f>IFERROR(__xludf.DUMMYFUNCTION("IF(COUNTA(Q937:Q1673)=0,"""",IF(REGEXMATCH(INDEX(FILTER(Q$4:Q937,Q$4:Q937&lt;&gt;""""),ROWS(FILTER(Q$4:Q937,Q$4:Q937&lt;&gt;""""))),""^Sell_""),INDEX(FILTER(T$4:T936,Q$4:Q936&lt;&gt;""""),ROWS(FILTER(Q$4:Q936,Q$4:Q936&lt;&gt;""""))),$AD$5+S937))"),"")</f>
        <v/>
      </c>
      <c r="U937" s="10" t="str">
        <f>IFERROR(__xludf.DUMMYFUNCTION("IF(COUNTA(Q937:Q1673)=0,"""",IF(Q937="""",0,IF(REGEXMATCH(Q937,""^Sell_""),-ROUNDDOWN(ROUNDUP(INDEX(Upgrades!$C$3:$C$13,MATCH(SUBSTITUTE(Q937,""Sell_"",""""),Upgrades!$B$3:$B$13,0))*1.15^(COUNTIF(Q$4:Q936,SUBSTITUTE(Q937,""Sell_"",""""))-COUNTIF(Q$4:Q936,"&amp;"""Sell_""&amp;SUBSTITUTE(Q937,""Sell_"",""""))))/2),ROUNDUP(INDEX(Upgrades!$C$3:$C$13,MATCH(Q937,Upgrades!$B$3:$B$13,0))*1.15^(COUNTIF(Q$4:Q936,Q937)-COUNTIF(Q$4:Q936,""Sell_""&amp;Q937))))))"),"")</f>
        <v/>
      </c>
      <c r="V937" s="10" t="str">
        <f t="shared" si="11"/>
        <v/>
      </c>
      <c r="W937" s="68" t="str">
        <f t="shared" si="12"/>
        <v/>
      </c>
      <c r="X937" s="59" t="str">
        <f t="shared" si="13"/>
        <v/>
      </c>
      <c r="Y937" s="69" t="str">
        <f t="shared" si="14"/>
        <v/>
      </c>
      <c r="Z937" s="11"/>
    </row>
    <row r="938">
      <c r="A938" s="8"/>
      <c r="B938" s="56" t="str">
        <f t="shared" si="2"/>
        <v/>
      </c>
      <c r="C938" s="105"/>
      <c r="D938" s="10"/>
      <c r="E938" s="59" t="str">
        <f t="array" ref="E938">IF(COUNTA(C938:C1673)=0,"",SUM((COUNTIF(C$4:C938,Upgrades!$B$3:$B$13)-COUNTIF(C$4:C938,"Sell_"&amp;Upgrades!$B$3:$B$13))*Upgrades!$D$3:$D$13))</f>
        <v/>
      </c>
      <c r="F938" s="66" t="str">
        <f>IFERROR(__xludf.DUMMYFUNCTION("IF(COUNTA(C938:C1673)=0,"""",IF(REGEXMATCH(INDEX(FILTER(C$4:C938,C$4:C938&lt;&gt;""""),ROWS(FILTER(C$4:C938,C$4:C938&lt;&gt;""""))),""^Sell_""),INDEX(FILTER(F$4:F937,C$4:C937&lt;&gt;""""),ROWS(FILTER(C$4:C937,C$4:C937&lt;&gt;""""))),$AC$5+E938))"),"")</f>
        <v/>
      </c>
      <c r="G938" s="10" t="str">
        <f>IFERROR(__xludf.DUMMYFUNCTION("IF(COUNTA(C938:C1673)=0,"""",IF(C938="""",0,IF(REGEXMATCH(C938,""^Sell_""),-ROUNDDOWN(ROUNDUP(INDEX(Upgrades!$C$3:$C$13,MATCH(SUBSTITUTE(C938,""Sell_"",""""),Upgrades!$B$3:$B$13,0))*1.15^(COUNTIF(C$4:C937,SUBSTITUTE(C938,""Sell_"",""""))-COUNTIF(C$4:C937,"&amp;"""Sell_""&amp;SUBSTITUTE(C938,""Sell_"",""""))))/2),ROUNDUP(INDEX(Upgrades!$C$3:$C$13,MATCH(C938,Upgrades!$B$3:$B$13,0))*1.15^(COUNTIF(C$4:C937,C938)-COUNTIF(C$4:C937,""Sell_""&amp;C938))))))"),"")</f>
        <v/>
      </c>
      <c r="H938" s="10" t="str">
        <f t="shared" si="3"/>
        <v/>
      </c>
      <c r="I938" s="68" t="str">
        <f t="shared" si="4"/>
        <v/>
      </c>
      <c r="J938" s="59" t="str">
        <f t="shared" si="5"/>
        <v/>
      </c>
      <c r="K938" s="69" t="str">
        <f t="shared" si="6"/>
        <v/>
      </c>
      <c r="L938" s="60" t="str">
        <f t="shared" si="7"/>
        <v/>
      </c>
      <c r="M938" s="61" t="str">
        <f>IFERROR(__xludf.DUMMYFUNCTION("IFS(AND(COUNTA(C938:C1673)=0,COUNTA(Q938:Q1673)=0),"""",OR(AND(K938&gt;=1000000000,OR(Y938&gt;=1000000000,COUNTA(Q938:Q1673)=0)),OR(Y938&gt;=1000000000,AND(COUNTA(C938:C1673)=0,P$3=TRUE))),
ROUNDDOWN((AB$1-AC$1)*MAX(INDEX(T$4:T1673,MATCH(LARGE(FILTER(Y$4:Y1673,Y$4"&amp;":Y1673&lt;1000000000),1),Y$4:Y1673)),INDEX(F$4:F1673,MATCH(LARGE(FILTER(K$4:K1673,K$4:K1673&lt;1000000000),1),K$4:K1673)))),AND(K938&lt;1000000000,COUNTA(C938:C1673)&gt;0,P$3=FALSE),
ROUNDDOWN(INDEX(Y$4:Y1673,MATCH(LARGE(FILTER(W$4:W1673,W$4:W1673&lt;=I938),1),W$4:W1673"&amp;"))+(I938-LARGE(FILTER(W$4:W1673,W$4:W1673&lt;=I938),1))*INDEX(T$4:T1673,MATCH(LARGE(FILTER(W$4:W1673,W$4:W1673&lt;=I938),1),W$4:W1673))-K938),1,
ROUNDDOWN(Y938-INDEX(K$4:K1673,MATCH(LARGE(FILTER(I$4:I1673,I$4:I1673&lt;=W938),1),I$4:I1673))-(W938-LARGE(FILTER(I$4:I"&amp;"1673,I$4:I1673&lt;=W938),1))*INDEX(F$4:F1673,MATCH(LARGE(FILTER(I$4:I1673,I$4:I1673&lt;=W938),1),I$4:I1673))))"),"")</f>
        <v/>
      </c>
      <c r="N938" s="60" t="str">
        <f t="shared" si="8"/>
        <v/>
      </c>
      <c r="O938" s="61" t="str">
        <f t="shared" si="9"/>
        <v/>
      </c>
      <c r="P938" s="56" t="str">
        <f t="shared" si="10"/>
        <v/>
      </c>
      <c r="R938" s="10"/>
      <c r="S938" s="59" t="str">
        <f t="array" ref="S938">IF(COUNTA(Q938:Q1673)=0,"",SUM((COUNTIF(Q$4:Q938,Upgrades!$B$3:$B$13)-COUNTIF(Q$4:Q938,"Sell_"&amp;Upgrades!$B$3:$B$13))*Upgrades!$D$3:$D$13))</f>
        <v/>
      </c>
      <c r="T938" s="66" t="str">
        <f>IFERROR(__xludf.DUMMYFUNCTION("IF(COUNTA(Q938:Q1673)=0,"""",IF(REGEXMATCH(INDEX(FILTER(Q$4:Q938,Q$4:Q938&lt;&gt;""""),ROWS(FILTER(Q$4:Q938,Q$4:Q938&lt;&gt;""""))),""^Sell_""),INDEX(FILTER(T$4:T937,Q$4:Q937&lt;&gt;""""),ROWS(FILTER(Q$4:Q937,Q$4:Q937&lt;&gt;""""))),$AD$5+S938))"),"")</f>
        <v/>
      </c>
      <c r="U938" s="10" t="str">
        <f>IFERROR(__xludf.DUMMYFUNCTION("IF(COUNTA(Q938:Q1673)=0,"""",IF(Q938="""",0,IF(REGEXMATCH(Q938,""^Sell_""),-ROUNDDOWN(ROUNDUP(INDEX(Upgrades!$C$3:$C$13,MATCH(SUBSTITUTE(Q938,""Sell_"",""""),Upgrades!$B$3:$B$13,0))*1.15^(COUNTIF(Q$4:Q937,SUBSTITUTE(Q938,""Sell_"",""""))-COUNTIF(Q$4:Q937,"&amp;"""Sell_""&amp;SUBSTITUTE(Q938,""Sell_"",""""))))/2),ROUNDUP(INDEX(Upgrades!$C$3:$C$13,MATCH(Q938,Upgrades!$B$3:$B$13,0))*1.15^(COUNTIF(Q$4:Q937,Q938)-COUNTIF(Q$4:Q937,""Sell_""&amp;Q938))))))"),"")</f>
        <v/>
      </c>
      <c r="V938" s="10" t="str">
        <f t="shared" si="11"/>
        <v/>
      </c>
      <c r="W938" s="68" t="str">
        <f t="shared" si="12"/>
        <v/>
      </c>
      <c r="X938" s="59" t="str">
        <f t="shared" si="13"/>
        <v/>
      </c>
      <c r="Y938" s="69" t="str">
        <f t="shared" si="14"/>
        <v/>
      </c>
      <c r="Z938" s="11"/>
    </row>
    <row r="939">
      <c r="A939" s="8"/>
      <c r="B939" s="56" t="str">
        <f t="shared" si="2"/>
        <v/>
      </c>
      <c r="C939" s="105"/>
      <c r="D939" s="10"/>
      <c r="E939" s="59" t="str">
        <f t="array" ref="E939">IF(COUNTA(C939:C1673)=0,"",SUM((COUNTIF(C$4:C939,Upgrades!$B$3:$B$13)-COUNTIF(C$4:C939,"Sell_"&amp;Upgrades!$B$3:$B$13))*Upgrades!$D$3:$D$13))</f>
        <v/>
      </c>
      <c r="F939" s="66" t="str">
        <f>IFERROR(__xludf.DUMMYFUNCTION("IF(COUNTA(C939:C1673)=0,"""",IF(REGEXMATCH(INDEX(FILTER(C$4:C939,C$4:C939&lt;&gt;""""),ROWS(FILTER(C$4:C939,C$4:C939&lt;&gt;""""))),""^Sell_""),INDEX(FILTER(F$4:F938,C$4:C938&lt;&gt;""""),ROWS(FILTER(C$4:C938,C$4:C938&lt;&gt;""""))),$AC$5+E939))"),"")</f>
        <v/>
      </c>
      <c r="G939" s="10" t="str">
        <f>IFERROR(__xludf.DUMMYFUNCTION("IF(COUNTA(C939:C1673)=0,"""",IF(C939="""",0,IF(REGEXMATCH(C939,""^Sell_""),-ROUNDDOWN(ROUNDUP(INDEX(Upgrades!$C$3:$C$13,MATCH(SUBSTITUTE(C939,""Sell_"",""""),Upgrades!$B$3:$B$13,0))*1.15^(COUNTIF(C$4:C938,SUBSTITUTE(C939,""Sell_"",""""))-COUNTIF(C$4:C938,"&amp;"""Sell_""&amp;SUBSTITUTE(C939,""Sell_"",""""))))/2),ROUNDUP(INDEX(Upgrades!$C$3:$C$13,MATCH(C939,Upgrades!$B$3:$B$13,0))*1.15^(COUNTIF(C$4:C938,C939)-COUNTIF(C$4:C938,""Sell_""&amp;C939))))))"),"")</f>
        <v/>
      </c>
      <c r="H939" s="10" t="str">
        <f t="shared" si="3"/>
        <v/>
      </c>
      <c r="I939" s="68" t="str">
        <f t="shared" si="4"/>
        <v/>
      </c>
      <c r="J939" s="59" t="str">
        <f t="shared" si="5"/>
        <v/>
      </c>
      <c r="K939" s="69" t="str">
        <f t="shared" si="6"/>
        <v/>
      </c>
      <c r="L939" s="60" t="str">
        <f t="shared" si="7"/>
        <v/>
      </c>
      <c r="M939" s="61" t="str">
        <f>IFERROR(__xludf.DUMMYFUNCTION("IFS(AND(COUNTA(C939:C1673)=0,COUNTA(Q939:Q1673)=0),"""",OR(AND(K939&gt;=1000000000,OR(Y939&gt;=1000000000,COUNTA(Q939:Q1673)=0)),OR(Y939&gt;=1000000000,AND(COUNTA(C939:C1673)=0,P$3=TRUE))),
ROUNDDOWN((AB$1-AC$1)*MAX(INDEX(T$4:T1673,MATCH(LARGE(FILTER(Y$4:Y1673,Y$4"&amp;":Y1673&lt;1000000000),1),Y$4:Y1673)),INDEX(F$4:F1673,MATCH(LARGE(FILTER(K$4:K1673,K$4:K1673&lt;1000000000),1),K$4:K1673)))),AND(K939&lt;1000000000,COUNTA(C939:C1673)&gt;0,P$3=FALSE),
ROUNDDOWN(INDEX(Y$4:Y1673,MATCH(LARGE(FILTER(W$4:W1673,W$4:W1673&lt;=I939),1),W$4:W1673"&amp;"))+(I939-LARGE(FILTER(W$4:W1673,W$4:W1673&lt;=I939),1))*INDEX(T$4:T1673,MATCH(LARGE(FILTER(W$4:W1673,W$4:W1673&lt;=I939),1),W$4:W1673))-K939),1,
ROUNDDOWN(Y939-INDEX(K$4:K1673,MATCH(LARGE(FILTER(I$4:I1673,I$4:I1673&lt;=W939),1),I$4:I1673))-(W939-LARGE(FILTER(I$4:I"&amp;"1673,I$4:I1673&lt;=W939),1))*INDEX(F$4:F1673,MATCH(LARGE(FILTER(I$4:I1673,I$4:I1673&lt;=W939),1),I$4:I1673))))"),"")</f>
        <v/>
      </c>
      <c r="N939" s="60" t="str">
        <f t="shared" si="8"/>
        <v/>
      </c>
      <c r="O939" s="61" t="str">
        <f t="shared" si="9"/>
        <v/>
      </c>
      <c r="P939" s="56" t="str">
        <f t="shared" si="10"/>
        <v/>
      </c>
      <c r="R939" s="10"/>
      <c r="S939" s="59" t="str">
        <f t="array" ref="S939">IF(COUNTA(Q939:Q1673)=0,"",SUM((COUNTIF(Q$4:Q939,Upgrades!$B$3:$B$13)-COUNTIF(Q$4:Q939,"Sell_"&amp;Upgrades!$B$3:$B$13))*Upgrades!$D$3:$D$13))</f>
        <v/>
      </c>
      <c r="T939" s="66" t="str">
        <f>IFERROR(__xludf.DUMMYFUNCTION("IF(COUNTA(Q939:Q1673)=0,"""",IF(REGEXMATCH(INDEX(FILTER(Q$4:Q939,Q$4:Q939&lt;&gt;""""),ROWS(FILTER(Q$4:Q939,Q$4:Q939&lt;&gt;""""))),""^Sell_""),INDEX(FILTER(T$4:T938,Q$4:Q938&lt;&gt;""""),ROWS(FILTER(Q$4:Q938,Q$4:Q938&lt;&gt;""""))),$AD$5+S939))"),"")</f>
        <v/>
      </c>
      <c r="U939" s="10" t="str">
        <f>IFERROR(__xludf.DUMMYFUNCTION("IF(COUNTA(Q939:Q1673)=0,"""",IF(Q939="""",0,IF(REGEXMATCH(Q939,""^Sell_""),-ROUNDDOWN(ROUNDUP(INDEX(Upgrades!$C$3:$C$13,MATCH(SUBSTITUTE(Q939,""Sell_"",""""),Upgrades!$B$3:$B$13,0))*1.15^(COUNTIF(Q$4:Q938,SUBSTITUTE(Q939,""Sell_"",""""))-COUNTIF(Q$4:Q938,"&amp;"""Sell_""&amp;SUBSTITUTE(Q939,""Sell_"",""""))))/2),ROUNDUP(INDEX(Upgrades!$C$3:$C$13,MATCH(Q939,Upgrades!$B$3:$B$13,0))*1.15^(COUNTIF(Q$4:Q938,Q939)-COUNTIF(Q$4:Q938,""Sell_""&amp;Q939))))))"),"")</f>
        <v/>
      </c>
      <c r="V939" s="10" t="str">
        <f t="shared" si="11"/>
        <v/>
      </c>
      <c r="W939" s="68" t="str">
        <f t="shared" si="12"/>
        <v/>
      </c>
      <c r="X939" s="59" t="str">
        <f t="shared" si="13"/>
        <v/>
      </c>
      <c r="Y939" s="69" t="str">
        <f t="shared" si="14"/>
        <v/>
      </c>
      <c r="Z939" s="11"/>
    </row>
    <row r="940">
      <c r="A940" s="8"/>
      <c r="B940" s="56" t="str">
        <f t="shared" si="2"/>
        <v/>
      </c>
      <c r="C940" s="105"/>
      <c r="D940" s="10"/>
      <c r="E940" s="59" t="str">
        <f t="array" ref="E940">IF(COUNTA(C940:C1673)=0,"",SUM((COUNTIF(C$4:C940,Upgrades!$B$3:$B$13)-COUNTIF(C$4:C940,"Sell_"&amp;Upgrades!$B$3:$B$13))*Upgrades!$D$3:$D$13))</f>
        <v/>
      </c>
      <c r="F940" s="66" t="str">
        <f>IFERROR(__xludf.DUMMYFUNCTION("IF(COUNTA(C940:C1673)=0,"""",IF(REGEXMATCH(INDEX(FILTER(C$4:C940,C$4:C940&lt;&gt;""""),ROWS(FILTER(C$4:C940,C$4:C940&lt;&gt;""""))),""^Sell_""),INDEX(FILTER(F$4:F939,C$4:C939&lt;&gt;""""),ROWS(FILTER(C$4:C939,C$4:C939&lt;&gt;""""))),$AC$5+E940))"),"")</f>
        <v/>
      </c>
      <c r="G940" s="10" t="str">
        <f>IFERROR(__xludf.DUMMYFUNCTION("IF(COUNTA(C940:C1673)=0,"""",IF(C940="""",0,IF(REGEXMATCH(C940,""^Sell_""),-ROUNDDOWN(ROUNDUP(INDEX(Upgrades!$C$3:$C$13,MATCH(SUBSTITUTE(C940,""Sell_"",""""),Upgrades!$B$3:$B$13,0))*1.15^(COUNTIF(C$4:C939,SUBSTITUTE(C940,""Sell_"",""""))-COUNTIF(C$4:C939,"&amp;"""Sell_""&amp;SUBSTITUTE(C940,""Sell_"",""""))))/2),ROUNDUP(INDEX(Upgrades!$C$3:$C$13,MATCH(C940,Upgrades!$B$3:$B$13,0))*1.15^(COUNTIF(C$4:C939,C940)-COUNTIF(C$4:C939,""Sell_""&amp;C940))))))"),"")</f>
        <v/>
      </c>
      <c r="H940" s="10" t="str">
        <f t="shared" si="3"/>
        <v/>
      </c>
      <c r="I940" s="68" t="str">
        <f t="shared" si="4"/>
        <v/>
      </c>
      <c r="J940" s="59" t="str">
        <f t="shared" si="5"/>
        <v/>
      </c>
      <c r="K940" s="69" t="str">
        <f t="shared" si="6"/>
        <v/>
      </c>
      <c r="L940" s="60" t="str">
        <f t="shared" si="7"/>
        <v/>
      </c>
      <c r="M940" s="61" t="str">
        <f>IFERROR(__xludf.DUMMYFUNCTION("IFS(AND(COUNTA(C940:C1673)=0,COUNTA(Q940:Q1673)=0),"""",OR(AND(K940&gt;=1000000000,OR(Y940&gt;=1000000000,COUNTA(Q940:Q1673)=0)),OR(Y940&gt;=1000000000,AND(COUNTA(C940:C1673)=0,P$3=TRUE))),
ROUNDDOWN((AB$1-AC$1)*MAX(INDEX(T$4:T1673,MATCH(LARGE(FILTER(Y$4:Y1673,Y$4"&amp;":Y1673&lt;1000000000),1),Y$4:Y1673)),INDEX(F$4:F1673,MATCH(LARGE(FILTER(K$4:K1673,K$4:K1673&lt;1000000000),1),K$4:K1673)))),AND(K940&lt;1000000000,COUNTA(C940:C1673)&gt;0,P$3=FALSE),
ROUNDDOWN(INDEX(Y$4:Y1673,MATCH(LARGE(FILTER(W$4:W1673,W$4:W1673&lt;=I940),1),W$4:W1673"&amp;"))+(I940-LARGE(FILTER(W$4:W1673,W$4:W1673&lt;=I940),1))*INDEX(T$4:T1673,MATCH(LARGE(FILTER(W$4:W1673,W$4:W1673&lt;=I940),1),W$4:W1673))-K940),1,
ROUNDDOWN(Y940-INDEX(K$4:K1673,MATCH(LARGE(FILTER(I$4:I1673,I$4:I1673&lt;=W940),1),I$4:I1673))-(W940-LARGE(FILTER(I$4:I"&amp;"1673,I$4:I1673&lt;=W940),1))*INDEX(F$4:F1673,MATCH(LARGE(FILTER(I$4:I1673,I$4:I1673&lt;=W940),1),I$4:I1673))))"),"")</f>
        <v/>
      </c>
      <c r="N940" s="60" t="str">
        <f t="shared" si="8"/>
        <v/>
      </c>
      <c r="O940" s="61" t="str">
        <f t="shared" si="9"/>
        <v/>
      </c>
      <c r="P940" s="56" t="str">
        <f t="shared" si="10"/>
        <v/>
      </c>
      <c r="R940" s="10"/>
      <c r="S940" s="59" t="str">
        <f t="array" ref="S940">IF(COUNTA(Q940:Q1673)=0,"",SUM((COUNTIF(Q$4:Q940,Upgrades!$B$3:$B$13)-COUNTIF(Q$4:Q940,"Sell_"&amp;Upgrades!$B$3:$B$13))*Upgrades!$D$3:$D$13))</f>
        <v/>
      </c>
      <c r="T940" s="66" t="str">
        <f>IFERROR(__xludf.DUMMYFUNCTION("IF(COUNTA(Q940:Q1673)=0,"""",IF(REGEXMATCH(INDEX(FILTER(Q$4:Q940,Q$4:Q940&lt;&gt;""""),ROWS(FILTER(Q$4:Q940,Q$4:Q940&lt;&gt;""""))),""^Sell_""),INDEX(FILTER(T$4:T939,Q$4:Q939&lt;&gt;""""),ROWS(FILTER(Q$4:Q939,Q$4:Q939&lt;&gt;""""))),$AD$5+S940))"),"")</f>
        <v/>
      </c>
      <c r="U940" s="10" t="str">
        <f>IFERROR(__xludf.DUMMYFUNCTION("IF(COUNTA(Q940:Q1673)=0,"""",IF(Q940="""",0,IF(REGEXMATCH(Q940,""^Sell_""),-ROUNDDOWN(ROUNDUP(INDEX(Upgrades!$C$3:$C$13,MATCH(SUBSTITUTE(Q940,""Sell_"",""""),Upgrades!$B$3:$B$13,0))*1.15^(COUNTIF(Q$4:Q939,SUBSTITUTE(Q940,""Sell_"",""""))-COUNTIF(Q$4:Q939,"&amp;"""Sell_""&amp;SUBSTITUTE(Q940,""Sell_"",""""))))/2),ROUNDUP(INDEX(Upgrades!$C$3:$C$13,MATCH(Q940,Upgrades!$B$3:$B$13,0))*1.15^(COUNTIF(Q$4:Q939,Q940)-COUNTIF(Q$4:Q939,""Sell_""&amp;Q940))))))"),"")</f>
        <v/>
      </c>
      <c r="V940" s="10" t="str">
        <f t="shared" si="11"/>
        <v/>
      </c>
      <c r="W940" s="68" t="str">
        <f t="shared" si="12"/>
        <v/>
      </c>
      <c r="X940" s="59" t="str">
        <f t="shared" si="13"/>
        <v/>
      </c>
      <c r="Y940" s="69" t="str">
        <f t="shared" si="14"/>
        <v/>
      </c>
      <c r="Z940" s="11"/>
    </row>
    <row r="941">
      <c r="A941" s="8"/>
      <c r="B941" s="56" t="str">
        <f t="shared" si="2"/>
        <v/>
      </c>
      <c r="C941" s="105"/>
      <c r="D941" s="10"/>
      <c r="E941" s="59" t="str">
        <f t="array" ref="E941">IF(COUNTA(C941:C1673)=0,"",SUM((COUNTIF(C$4:C941,Upgrades!$B$3:$B$13)-COUNTIF(C$4:C941,"Sell_"&amp;Upgrades!$B$3:$B$13))*Upgrades!$D$3:$D$13))</f>
        <v/>
      </c>
      <c r="F941" s="66" t="str">
        <f>IFERROR(__xludf.DUMMYFUNCTION("IF(COUNTA(C941:C1673)=0,"""",IF(REGEXMATCH(INDEX(FILTER(C$4:C941,C$4:C941&lt;&gt;""""),ROWS(FILTER(C$4:C941,C$4:C941&lt;&gt;""""))),""^Sell_""),INDEX(FILTER(F$4:F940,C$4:C940&lt;&gt;""""),ROWS(FILTER(C$4:C940,C$4:C940&lt;&gt;""""))),$AC$5+E941))"),"")</f>
        <v/>
      </c>
      <c r="G941" s="10" t="str">
        <f>IFERROR(__xludf.DUMMYFUNCTION("IF(COUNTA(C941:C1673)=0,"""",IF(C941="""",0,IF(REGEXMATCH(C941,""^Sell_""),-ROUNDDOWN(ROUNDUP(INDEX(Upgrades!$C$3:$C$13,MATCH(SUBSTITUTE(C941,""Sell_"",""""),Upgrades!$B$3:$B$13,0))*1.15^(COUNTIF(C$4:C940,SUBSTITUTE(C941,""Sell_"",""""))-COUNTIF(C$4:C940,"&amp;"""Sell_""&amp;SUBSTITUTE(C941,""Sell_"",""""))))/2),ROUNDUP(INDEX(Upgrades!$C$3:$C$13,MATCH(C941,Upgrades!$B$3:$B$13,0))*1.15^(COUNTIF(C$4:C940,C941)-COUNTIF(C$4:C940,""Sell_""&amp;C941))))))"),"")</f>
        <v/>
      </c>
      <c r="H941" s="10" t="str">
        <f t="shared" si="3"/>
        <v/>
      </c>
      <c r="I941" s="68" t="str">
        <f t="shared" si="4"/>
        <v/>
      </c>
      <c r="J941" s="59" t="str">
        <f t="shared" si="5"/>
        <v/>
      </c>
      <c r="K941" s="69" t="str">
        <f t="shared" si="6"/>
        <v/>
      </c>
      <c r="L941" s="60" t="str">
        <f t="shared" si="7"/>
        <v/>
      </c>
      <c r="M941" s="61" t="str">
        <f>IFERROR(__xludf.DUMMYFUNCTION("IFS(AND(COUNTA(C941:C1673)=0,COUNTA(Q941:Q1673)=0),"""",OR(AND(K941&gt;=1000000000,OR(Y941&gt;=1000000000,COUNTA(Q941:Q1673)=0)),OR(Y941&gt;=1000000000,AND(COUNTA(C941:C1673)=0,P$3=TRUE))),
ROUNDDOWN((AB$1-AC$1)*MAX(INDEX(T$4:T1673,MATCH(LARGE(FILTER(Y$4:Y1673,Y$4"&amp;":Y1673&lt;1000000000),1),Y$4:Y1673)),INDEX(F$4:F1673,MATCH(LARGE(FILTER(K$4:K1673,K$4:K1673&lt;1000000000),1),K$4:K1673)))),AND(K941&lt;1000000000,COUNTA(C941:C1673)&gt;0,P$3=FALSE),
ROUNDDOWN(INDEX(Y$4:Y1673,MATCH(LARGE(FILTER(W$4:W1673,W$4:W1673&lt;=I941),1),W$4:W1673"&amp;"))+(I941-LARGE(FILTER(W$4:W1673,W$4:W1673&lt;=I941),1))*INDEX(T$4:T1673,MATCH(LARGE(FILTER(W$4:W1673,W$4:W1673&lt;=I941),1),W$4:W1673))-K941),1,
ROUNDDOWN(Y941-INDEX(K$4:K1673,MATCH(LARGE(FILTER(I$4:I1673,I$4:I1673&lt;=W941),1),I$4:I1673))-(W941-LARGE(FILTER(I$4:I"&amp;"1673,I$4:I1673&lt;=W941),1))*INDEX(F$4:F1673,MATCH(LARGE(FILTER(I$4:I1673,I$4:I1673&lt;=W941),1),I$4:I1673))))"),"")</f>
        <v/>
      </c>
      <c r="N941" s="60" t="str">
        <f t="shared" si="8"/>
        <v/>
      </c>
      <c r="O941" s="61" t="str">
        <f t="shared" si="9"/>
        <v/>
      </c>
      <c r="P941" s="56" t="str">
        <f t="shared" si="10"/>
        <v/>
      </c>
      <c r="R941" s="10"/>
      <c r="S941" s="59" t="str">
        <f t="array" ref="S941">IF(COUNTA(Q941:Q1673)=0,"",SUM((COUNTIF(Q$4:Q941,Upgrades!$B$3:$B$13)-COUNTIF(Q$4:Q941,"Sell_"&amp;Upgrades!$B$3:$B$13))*Upgrades!$D$3:$D$13))</f>
        <v/>
      </c>
      <c r="T941" s="66" t="str">
        <f>IFERROR(__xludf.DUMMYFUNCTION("IF(COUNTA(Q941:Q1673)=0,"""",IF(REGEXMATCH(INDEX(FILTER(Q$4:Q941,Q$4:Q941&lt;&gt;""""),ROWS(FILTER(Q$4:Q941,Q$4:Q941&lt;&gt;""""))),""^Sell_""),INDEX(FILTER(T$4:T940,Q$4:Q940&lt;&gt;""""),ROWS(FILTER(Q$4:Q940,Q$4:Q940&lt;&gt;""""))),$AD$5+S941))"),"")</f>
        <v/>
      </c>
      <c r="U941" s="10" t="str">
        <f>IFERROR(__xludf.DUMMYFUNCTION("IF(COUNTA(Q941:Q1673)=0,"""",IF(Q941="""",0,IF(REGEXMATCH(Q941,""^Sell_""),-ROUNDDOWN(ROUNDUP(INDEX(Upgrades!$C$3:$C$13,MATCH(SUBSTITUTE(Q941,""Sell_"",""""),Upgrades!$B$3:$B$13,0))*1.15^(COUNTIF(Q$4:Q940,SUBSTITUTE(Q941,""Sell_"",""""))-COUNTIF(Q$4:Q940,"&amp;"""Sell_""&amp;SUBSTITUTE(Q941,""Sell_"",""""))))/2),ROUNDUP(INDEX(Upgrades!$C$3:$C$13,MATCH(Q941,Upgrades!$B$3:$B$13,0))*1.15^(COUNTIF(Q$4:Q940,Q941)-COUNTIF(Q$4:Q940,""Sell_""&amp;Q941))))))"),"")</f>
        <v/>
      </c>
      <c r="V941" s="10" t="str">
        <f t="shared" si="11"/>
        <v/>
      </c>
      <c r="W941" s="68" t="str">
        <f t="shared" si="12"/>
        <v/>
      </c>
      <c r="X941" s="59" t="str">
        <f t="shared" si="13"/>
        <v/>
      </c>
      <c r="Y941" s="69" t="str">
        <f t="shared" si="14"/>
        <v/>
      </c>
      <c r="Z941" s="11"/>
    </row>
    <row r="942">
      <c r="A942" s="8"/>
      <c r="B942" s="56" t="str">
        <f t="shared" si="2"/>
        <v/>
      </c>
      <c r="C942" s="105"/>
      <c r="D942" s="10"/>
      <c r="E942" s="59" t="str">
        <f t="array" ref="E942">IF(COUNTA(C942:C1673)=0,"",SUM((COUNTIF(C$4:C942,Upgrades!$B$3:$B$13)-COUNTIF(C$4:C942,"Sell_"&amp;Upgrades!$B$3:$B$13))*Upgrades!$D$3:$D$13))</f>
        <v/>
      </c>
      <c r="F942" s="66" t="str">
        <f>IFERROR(__xludf.DUMMYFUNCTION("IF(COUNTA(C942:C1673)=0,"""",IF(REGEXMATCH(INDEX(FILTER(C$4:C942,C$4:C942&lt;&gt;""""),ROWS(FILTER(C$4:C942,C$4:C942&lt;&gt;""""))),""^Sell_""),INDEX(FILTER(F$4:F941,C$4:C941&lt;&gt;""""),ROWS(FILTER(C$4:C941,C$4:C941&lt;&gt;""""))),$AC$5+E942))"),"")</f>
        <v/>
      </c>
      <c r="G942" s="10" t="str">
        <f>IFERROR(__xludf.DUMMYFUNCTION("IF(COUNTA(C942:C1673)=0,"""",IF(C942="""",0,IF(REGEXMATCH(C942,""^Sell_""),-ROUNDDOWN(ROUNDUP(INDEX(Upgrades!$C$3:$C$13,MATCH(SUBSTITUTE(C942,""Sell_"",""""),Upgrades!$B$3:$B$13,0))*1.15^(COUNTIF(C$4:C941,SUBSTITUTE(C942,""Sell_"",""""))-COUNTIF(C$4:C941,"&amp;"""Sell_""&amp;SUBSTITUTE(C942,""Sell_"",""""))))/2),ROUNDUP(INDEX(Upgrades!$C$3:$C$13,MATCH(C942,Upgrades!$B$3:$B$13,0))*1.15^(COUNTIF(C$4:C941,C942)-COUNTIF(C$4:C941,""Sell_""&amp;C942))))))"),"")</f>
        <v/>
      </c>
      <c r="H942" s="10" t="str">
        <f t="shared" si="3"/>
        <v/>
      </c>
      <c r="I942" s="68" t="str">
        <f t="shared" si="4"/>
        <v/>
      </c>
      <c r="J942" s="59" t="str">
        <f t="shared" si="5"/>
        <v/>
      </c>
      <c r="K942" s="69" t="str">
        <f t="shared" si="6"/>
        <v/>
      </c>
      <c r="L942" s="60" t="str">
        <f t="shared" si="7"/>
        <v/>
      </c>
      <c r="M942" s="61" t="str">
        <f>IFERROR(__xludf.DUMMYFUNCTION("IFS(AND(COUNTA(C942:C1673)=0,COUNTA(Q942:Q1673)=0),"""",OR(AND(K942&gt;=1000000000,OR(Y942&gt;=1000000000,COUNTA(Q942:Q1673)=0)),OR(Y942&gt;=1000000000,AND(COUNTA(C942:C1673)=0,P$3=TRUE))),
ROUNDDOWN((AB$1-AC$1)*MAX(INDEX(T$4:T1673,MATCH(LARGE(FILTER(Y$4:Y1673,Y$4"&amp;":Y1673&lt;1000000000),1),Y$4:Y1673)),INDEX(F$4:F1673,MATCH(LARGE(FILTER(K$4:K1673,K$4:K1673&lt;1000000000),1),K$4:K1673)))),AND(K942&lt;1000000000,COUNTA(C942:C1673)&gt;0,P$3=FALSE),
ROUNDDOWN(INDEX(Y$4:Y1673,MATCH(LARGE(FILTER(W$4:W1673,W$4:W1673&lt;=I942),1),W$4:W1673"&amp;"))+(I942-LARGE(FILTER(W$4:W1673,W$4:W1673&lt;=I942),1))*INDEX(T$4:T1673,MATCH(LARGE(FILTER(W$4:W1673,W$4:W1673&lt;=I942),1),W$4:W1673))-K942),1,
ROUNDDOWN(Y942-INDEX(K$4:K1673,MATCH(LARGE(FILTER(I$4:I1673,I$4:I1673&lt;=W942),1),I$4:I1673))-(W942-LARGE(FILTER(I$4:I"&amp;"1673,I$4:I1673&lt;=W942),1))*INDEX(F$4:F1673,MATCH(LARGE(FILTER(I$4:I1673,I$4:I1673&lt;=W942),1),I$4:I1673))))"),"")</f>
        <v/>
      </c>
      <c r="N942" s="60" t="str">
        <f t="shared" si="8"/>
        <v/>
      </c>
      <c r="O942" s="61" t="str">
        <f t="shared" si="9"/>
        <v/>
      </c>
      <c r="P942" s="56" t="str">
        <f t="shared" si="10"/>
        <v/>
      </c>
      <c r="R942" s="10"/>
      <c r="S942" s="59" t="str">
        <f t="array" ref="S942">IF(COUNTA(Q942:Q1673)=0,"",SUM((COUNTIF(Q$4:Q942,Upgrades!$B$3:$B$13)-COUNTIF(Q$4:Q942,"Sell_"&amp;Upgrades!$B$3:$B$13))*Upgrades!$D$3:$D$13))</f>
        <v/>
      </c>
      <c r="T942" s="66" t="str">
        <f>IFERROR(__xludf.DUMMYFUNCTION("IF(COUNTA(Q942:Q1673)=0,"""",IF(REGEXMATCH(INDEX(FILTER(Q$4:Q942,Q$4:Q942&lt;&gt;""""),ROWS(FILTER(Q$4:Q942,Q$4:Q942&lt;&gt;""""))),""^Sell_""),INDEX(FILTER(T$4:T941,Q$4:Q941&lt;&gt;""""),ROWS(FILTER(Q$4:Q941,Q$4:Q941&lt;&gt;""""))),$AD$5+S942))"),"")</f>
        <v/>
      </c>
      <c r="U942" s="10" t="str">
        <f>IFERROR(__xludf.DUMMYFUNCTION("IF(COUNTA(Q942:Q1673)=0,"""",IF(Q942="""",0,IF(REGEXMATCH(Q942,""^Sell_""),-ROUNDDOWN(ROUNDUP(INDEX(Upgrades!$C$3:$C$13,MATCH(SUBSTITUTE(Q942,""Sell_"",""""),Upgrades!$B$3:$B$13,0))*1.15^(COUNTIF(Q$4:Q941,SUBSTITUTE(Q942,""Sell_"",""""))-COUNTIF(Q$4:Q941,"&amp;"""Sell_""&amp;SUBSTITUTE(Q942,""Sell_"",""""))))/2),ROUNDUP(INDEX(Upgrades!$C$3:$C$13,MATCH(Q942,Upgrades!$B$3:$B$13,0))*1.15^(COUNTIF(Q$4:Q941,Q942)-COUNTIF(Q$4:Q941,""Sell_""&amp;Q942))))))"),"")</f>
        <v/>
      </c>
      <c r="V942" s="10" t="str">
        <f t="shared" si="11"/>
        <v/>
      </c>
      <c r="W942" s="68" t="str">
        <f t="shared" si="12"/>
        <v/>
      </c>
      <c r="X942" s="59" t="str">
        <f t="shared" si="13"/>
        <v/>
      </c>
      <c r="Y942" s="69" t="str">
        <f t="shared" si="14"/>
        <v/>
      </c>
      <c r="Z942" s="11"/>
    </row>
    <row r="943">
      <c r="A943" s="8"/>
      <c r="B943" s="56" t="str">
        <f t="shared" si="2"/>
        <v/>
      </c>
      <c r="C943" s="105"/>
      <c r="D943" s="10"/>
      <c r="E943" s="59" t="str">
        <f t="array" ref="E943">IF(COUNTA(C943:C1673)=0,"",SUM((COUNTIF(C$4:C943,Upgrades!$B$3:$B$13)-COUNTIF(C$4:C943,"Sell_"&amp;Upgrades!$B$3:$B$13))*Upgrades!$D$3:$D$13))</f>
        <v/>
      </c>
      <c r="F943" s="66" t="str">
        <f>IFERROR(__xludf.DUMMYFUNCTION("IF(COUNTA(C943:C1673)=0,"""",IF(REGEXMATCH(INDEX(FILTER(C$4:C943,C$4:C943&lt;&gt;""""),ROWS(FILTER(C$4:C943,C$4:C943&lt;&gt;""""))),""^Sell_""),INDEX(FILTER(F$4:F942,C$4:C942&lt;&gt;""""),ROWS(FILTER(C$4:C942,C$4:C942&lt;&gt;""""))),$AC$5+E943))"),"")</f>
        <v/>
      </c>
      <c r="G943" s="10" t="str">
        <f>IFERROR(__xludf.DUMMYFUNCTION("IF(COUNTA(C943:C1673)=0,"""",IF(C943="""",0,IF(REGEXMATCH(C943,""^Sell_""),-ROUNDDOWN(ROUNDUP(INDEX(Upgrades!$C$3:$C$13,MATCH(SUBSTITUTE(C943,""Sell_"",""""),Upgrades!$B$3:$B$13,0))*1.15^(COUNTIF(C$4:C942,SUBSTITUTE(C943,""Sell_"",""""))-COUNTIF(C$4:C942,"&amp;"""Sell_""&amp;SUBSTITUTE(C943,""Sell_"",""""))))/2),ROUNDUP(INDEX(Upgrades!$C$3:$C$13,MATCH(C943,Upgrades!$B$3:$B$13,0))*1.15^(COUNTIF(C$4:C942,C943)-COUNTIF(C$4:C942,""Sell_""&amp;C943))))))"),"")</f>
        <v/>
      </c>
      <c r="H943" s="10" t="str">
        <f t="shared" si="3"/>
        <v/>
      </c>
      <c r="I943" s="68" t="str">
        <f t="shared" si="4"/>
        <v/>
      </c>
      <c r="J943" s="59" t="str">
        <f t="shared" si="5"/>
        <v/>
      </c>
      <c r="K943" s="69" t="str">
        <f t="shared" si="6"/>
        <v/>
      </c>
      <c r="L943" s="60" t="str">
        <f t="shared" si="7"/>
        <v/>
      </c>
      <c r="M943" s="61" t="str">
        <f>IFERROR(__xludf.DUMMYFUNCTION("IFS(AND(COUNTA(C943:C1673)=0,COUNTA(Q943:Q1673)=0),"""",OR(AND(K943&gt;=1000000000,OR(Y943&gt;=1000000000,COUNTA(Q943:Q1673)=0)),OR(Y943&gt;=1000000000,AND(COUNTA(C943:C1673)=0,P$3=TRUE))),
ROUNDDOWN((AB$1-AC$1)*MAX(INDEX(T$4:T1673,MATCH(LARGE(FILTER(Y$4:Y1673,Y$4"&amp;":Y1673&lt;1000000000),1),Y$4:Y1673)),INDEX(F$4:F1673,MATCH(LARGE(FILTER(K$4:K1673,K$4:K1673&lt;1000000000),1),K$4:K1673)))),AND(K943&lt;1000000000,COUNTA(C943:C1673)&gt;0,P$3=FALSE),
ROUNDDOWN(INDEX(Y$4:Y1673,MATCH(LARGE(FILTER(W$4:W1673,W$4:W1673&lt;=I943),1),W$4:W1673"&amp;"))+(I943-LARGE(FILTER(W$4:W1673,W$4:W1673&lt;=I943),1))*INDEX(T$4:T1673,MATCH(LARGE(FILTER(W$4:W1673,W$4:W1673&lt;=I943),1),W$4:W1673))-K943),1,
ROUNDDOWN(Y943-INDEX(K$4:K1673,MATCH(LARGE(FILTER(I$4:I1673,I$4:I1673&lt;=W943),1),I$4:I1673))-(W943-LARGE(FILTER(I$4:I"&amp;"1673,I$4:I1673&lt;=W943),1))*INDEX(F$4:F1673,MATCH(LARGE(FILTER(I$4:I1673,I$4:I1673&lt;=W943),1),I$4:I1673))))"),"")</f>
        <v/>
      </c>
      <c r="N943" s="60" t="str">
        <f t="shared" si="8"/>
        <v/>
      </c>
      <c r="O943" s="61" t="str">
        <f t="shared" si="9"/>
        <v/>
      </c>
      <c r="P943" s="56" t="str">
        <f t="shared" si="10"/>
        <v/>
      </c>
      <c r="R943" s="10"/>
      <c r="S943" s="59" t="str">
        <f t="array" ref="S943">IF(COUNTA(Q943:Q1673)=0,"",SUM((COUNTIF(Q$4:Q943,Upgrades!$B$3:$B$13)-COUNTIF(Q$4:Q943,"Sell_"&amp;Upgrades!$B$3:$B$13))*Upgrades!$D$3:$D$13))</f>
        <v/>
      </c>
      <c r="T943" s="66" t="str">
        <f>IFERROR(__xludf.DUMMYFUNCTION("IF(COUNTA(Q943:Q1673)=0,"""",IF(REGEXMATCH(INDEX(FILTER(Q$4:Q943,Q$4:Q943&lt;&gt;""""),ROWS(FILTER(Q$4:Q943,Q$4:Q943&lt;&gt;""""))),""^Sell_""),INDEX(FILTER(T$4:T942,Q$4:Q942&lt;&gt;""""),ROWS(FILTER(Q$4:Q942,Q$4:Q942&lt;&gt;""""))),$AD$5+S943))"),"")</f>
        <v/>
      </c>
      <c r="U943" s="10" t="str">
        <f>IFERROR(__xludf.DUMMYFUNCTION("IF(COUNTA(Q943:Q1673)=0,"""",IF(Q943="""",0,IF(REGEXMATCH(Q943,""^Sell_""),-ROUNDDOWN(ROUNDUP(INDEX(Upgrades!$C$3:$C$13,MATCH(SUBSTITUTE(Q943,""Sell_"",""""),Upgrades!$B$3:$B$13,0))*1.15^(COUNTIF(Q$4:Q942,SUBSTITUTE(Q943,""Sell_"",""""))-COUNTIF(Q$4:Q942,"&amp;"""Sell_""&amp;SUBSTITUTE(Q943,""Sell_"",""""))))/2),ROUNDUP(INDEX(Upgrades!$C$3:$C$13,MATCH(Q943,Upgrades!$B$3:$B$13,0))*1.15^(COUNTIF(Q$4:Q942,Q943)-COUNTIF(Q$4:Q942,""Sell_""&amp;Q943))))))"),"")</f>
        <v/>
      </c>
      <c r="V943" s="10" t="str">
        <f t="shared" si="11"/>
        <v/>
      </c>
      <c r="W943" s="68" t="str">
        <f t="shared" si="12"/>
        <v/>
      </c>
      <c r="X943" s="59" t="str">
        <f t="shared" si="13"/>
        <v/>
      </c>
      <c r="Y943" s="69" t="str">
        <f t="shared" si="14"/>
        <v/>
      </c>
      <c r="Z943" s="11"/>
    </row>
    <row r="944">
      <c r="A944" s="8"/>
      <c r="B944" s="56" t="str">
        <f t="shared" si="2"/>
        <v/>
      </c>
      <c r="C944" s="105"/>
      <c r="D944" s="10"/>
      <c r="E944" s="59" t="str">
        <f t="array" ref="E944">IF(COUNTA(C944:C1673)=0,"",SUM((COUNTIF(C$4:C944,Upgrades!$B$3:$B$13)-COUNTIF(C$4:C944,"Sell_"&amp;Upgrades!$B$3:$B$13))*Upgrades!$D$3:$D$13))</f>
        <v/>
      </c>
      <c r="F944" s="66" t="str">
        <f>IFERROR(__xludf.DUMMYFUNCTION("IF(COUNTA(C944:C1673)=0,"""",IF(REGEXMATCH(INDEX(FILTER(C$4:C944,C$4:C944&lt;&gt;""""),ROWS(FILTER(C$4:C944,C$4:C944&lt;&gt;""""))),""^Sell_""),INDEX(FILTER(F$4:F943,C$4:C943&lt;&gt;""""),ROWS(FILTER(C$4:C943,C$4:C943&lt;&gt;""""))),$AC$5+E944))"),"")</f>
        <v/>
      </c>
      <c r="G944" s="10" t="str">
        <f>IFERROR(__xludf.DUMMYFUNCTION("IF(COUNTA(C944:C1673)=0,"""",IF(C944="""",0,IF(REGEXMATCH(C944,""^Sell_""),-ROUNDDOWN(ROUNDUP(INDEX(Upgrades!$C$3:$C$13,MATCH(SUBSTITUTE(C944,""Sell_"",""""),Upgrades!$B$3:$B$13,0))*1.15^(COUNTIF(C$4:C943,SUBSTITUTE(C944,""Sell_"",""""))-COUNTIF(C$4:C943,"&amp;"""Sell_""&amp;SUBSTITUTE(C944,""Sell_"",""""))))/2),ROUNDUP(INDEX(Upgrades!$C$3:$C$13,MATCH(C944,Upgrades!$B$3:$B$13,0))*1.15^(COUNTIF(C$4:C943,C944)-COUNTIF(C$4:C943,""Sell_""&amp;C944))))))"),"")</f>
        <v/>
      </c>
      <c r="H944" s="10" t="str">
        <f t="shared" si="3"/>
        <v/>
      </c>
      <c r="I944" s="68" t="str">
        <f t="shared" si="4"/>
        <v/>
      </c>
      <c r="J944" s="59" t="str">
        <f t="shared" si="5"/>
        <v/>
      </c>
      <c r="K944" s="69" t="str">
        <f t="shared" si="6"/>
        <v/>
      </c>
      <c r="L944" s="60" t="str">
        <f t="shared" si="7"/>
        <v/>
      </c>
      <c r="M944" s="61" t="str">
        <f>IFERROR(__xludf.DUMMYFUNCTION("IFS(AND(COUNTA(C944:C1673)=0,COUNTA(Q944:Q1673)=0),"""",OR(AND(K944&gt;=1000000000,OR(Y944&gt;=1000000000,COUNTA(Q944:Q1673)=0)),OR(Y944&gt;=1000000000,AND(COUNTA(C944:C1673)=0,P$3=TRUE))),
ROUNDDOWN((AB$1-AC$1)*MAX(INDEX(T$4:T1673,MATCH(LARGE(FILTER(Y$4:Y1673,Y$4"&amp;":Y1673&lt;1000000000),1),Y$4:Y1673)),INDEX(F$4:F1673,MATCH(LARGE(FILTER(K$4:K1673,K$4:K1673&lt;1000000000),1),K$4:K1673)))),AND(K944&lt;1000000000,COUNTA(C944:C1673)&gt;0,P$3=FALSE),
ROUNDDOWN(INDEX(Y$4:Y1673,MATCH(LARGE(FILTER(W$4:W1673,W$4:W1673&lt;=I944),1),W$4:W1673"&amp;"))+(I944-LARGE(FILTER(W$4:W1673,W$4:W1673&lt;=I944),1))*INDEX(T$4:T1673,MATCH(LARGE(FILTER(W$4:W1673,W$4:W1673&lt;=I944),1),W$4:W1673))-K944),1,
ROUNDDOWN(Y944-INDEX(K$4:K1673,MATCH(LARGE(FILTER(I$4:I1673,I$4:I1673&lt;=W944),1),I$4:I1673))-(W944-LARGE(FILTER(I$4:I"&amp;"1673,I$4:I1673&lt;=W944),1))*INDEX(F$4:F1673,MATCH(LARGE(FILTER(I$4:I1673,I$4:I1673&lt;=W944),1),I$4:I1673))))"),"")</f>
        <v/>
      </c>
      <c r="N944" s="60" t="str">
        <f t="shared" si="8"/>
        <v/>
      </c>
      <c r="O944" s="61" t="str">
        <f t="shared" si="9"/>
        <v/>
      </c>
      <c r="P944" s="56" t="str">
        <f t="shared" si="10"/>
        <v/>
      </c>
      <c r="R944" s="10"/>
      <c r="S944" s="59" t="str">
        <f t="array" ref="S944">IF(COUNTA(Q944:Q1673)=0,"",SUM((COUNTIF(Q$4:Q944,Upgrades!$B$3:$B$13)-COUNTIF(Q$4:Q944,"Sell_"&amp;Upgrades!$B$3:$B$13))*Upgrades!$D$3:$D$13))</f>
        <v/>
      </c>
      <c r="T944" s="66" t="str">
        <f>IFERROR(__xludf.DUMMYFUNCTION("IF(COUNTA(Q944:Q1673)=0,"""",IF(REGEXMATCH(INDEX(FILTER(Q$4:Q944,Q$4:Q944&lt;&gt;""""),ROWS(FILTER(Q$4:Q944,Q$4:Q944&lt;&gt;""""))),""^Sell_""),INDEX(FILTER(T$4:T943,Q$4:Q943&lt;&gt;""""),ROWS(FILTER(Q$4:Q943,Q$4:Q943&lt;&gt;""""))),$AD$5+S944))"),"")</f>
        <v/>
      </c>
      <c r="U944" s="10" t="str">
        <f>IFERROR(__xludf.DUMMYFUNCTION("IF(COUNTA(Q944:Q1673)=0,"""",IF(Q944="""",0,IF(REGEXMATCH(Q944,""^Sell_""),-ROUNDDOWN(ROUNDUP(INDEX(Upgrades!$C$3:$C$13,MATCH(SUBSTITUTE(Q944,""Sell_"",""""),Upgrades!$B$3:$B$13,0))*1.15^(COUNTIF(Q$4:Q943,SUBSTITUTE(Q944,""Sell_"",""""))-COUNTIF(Q$4:Q943,"&amp;"""Sell_""&amp;SUBSTITUTE(Q944,""Sell_"",""""))))/2),ROUNDUP(INDEX(Upgrades!$C$3:$C$13,MATCH(Q944,Upgrades!$B$3:$B$13,0))*1.15^(COUNTIF(Q$4:Q943,Q944)-COUNTIF(Q$4:Q943,""Sell_""&amp;Q944))))))"),"")</f>
        <v/>
      </c>
      <c r="V944" s="10" t="str">
        <f t="shared" si="11"/>
        <v/>
      </c>
      <c r="W944" s="68" t="str">
        <f t="shared" si="12"/>
        <v/>
      </c>
      <c r="X944" s="59" t="str">
        <f t="shared" si="13"/>
        <v/>
      </c>
      <c r="Y944" s="69" t="str">
        <f t="shared" si="14"/>
        <v/>
      </c>
      <c r="Z944" s="11"/>
    </row>
    <row r="945">
      <c r="A945" s="8"/>
      <c r="B945" s="56" t="str">
        <f t="shared" si="2"/>
        <v/>
      </c>
      <c r="C945" s="105"/>
      <c r="D945" s="10"/>
      <c r="E945" s="59" t="str">
        <f t="array" ref="E945">IF(COUNTA(C945:C1673)=0,"",SUM((COUNTIF(C$4:C945,Upgrades!$B$3:$B$13)-COUNTIF(C$4:C945,"Sell_"&amp;Upgrades!$B$3:$B$13))*Upgrades!$D$3:$D$13))</f>
        <v/>
      </c>
      <c r="F945" s="66" t="str">
        <f>IFERROR(__xludf.DUMMYFUNCTION("IF(COUNTA(C945:C1673)=0,"""",IF(REGEXMATCH(INDEX(FILTER(C$4:C945,C$4:C945&lt;&gt;""""),ROWS(FILTER(C$4:C945,C$4:C945&lt;&gt;""""))),""^Sell_""),INDEX(FILTER(F$4:F944,C$4:C944&lt;&gt;""""),ROWS(FILTER(C$4:C944,C$4:C944&lt;&gt;""""))),$AC$5+E945))"),"")</f>
        <v/>
      </c>
      <c r="G945" s="10" t="str">
        <f>IFERROR(__xludf.DUMMYFUNCTION("IF(COUNTA(C945:C1673)=0,"""",IF(C945="""",0,IF(REGEXMATCH(C945,""^Sell_""),-ROUNDDOWN(ROUNDUP(INDEX(Upgrades!$C$3:$C$13,MATCH(SUBSTITUTE(C945,""Sell_"",""""),Upgrades!$B$3:$B$13,0))*1.15^(COUNTIF(C$4:C944,SUBSTITUTE(C945,""Sell_"",""""))-COUNTIF(C$4:C944,"&amp;"""Sell_""&amp;SUBSTITUTE(C945,""Sell_"",""""))))/2),ROUNDUP(INDEX(Upgrades!$C$3:$C$13,MATCH(C945,Upgrades!$B$3:$B$13,0))*1.15^(COUNTIF(C$4:C944,C945)-COUNTIF(C$4:C944,""Sell_""&amp;C945))))))"),"")</f>
        <v/>
      </c>
      <c r="H945" s="10" t="str">
        <f t="shared" si="3"/>
        <v/>
      </c>
      <c r="I945" s="68" t="str">
        <f t="shared" si="4"/>
        <v/>
      </c>
      <c r="J945" s="59" t="str">
        <f t="shared" si="5"/>
        <v/>
      </c>
      <c r="K945" s="69" t="str">
        <f t="shared" si="6"/>
        <v/>
      </c>
      <c r="L945" s="60" t="str">
        <f t="shared" si="7"/>
        <v/>
      </c>
      <c r="M945" s="61" t="str">
        <f>IFERROR(__xludf.DUMMYFUNCTION("IFS(AND(COUNTA(C945:C1673)=0,COUNTA(Q945:Q1673)=0),"""",OR(AND(K945&gt;=1000000000,OR(Y945&gt;=1000000000,COUNTA(Q945:Q1673)=0)),OR(Y945&gt;=1000000000,AND(COUNTA(C945:C1673)=0,P$3=TRUE))),
ROUNDDOWN((AB$1-AC$1)*MAX(INDEX(T$4:T1673,MATCH(LARGE(FILTER(Y$4:Y1673,Y$4"&amp;":Y1673&lt;1000000000),1),Y$4:Y1673)),INDEX(F$4:F1673,MATCH(LARGE(FILTER(K$4:K1673,K$4:K1673&lt;1000000000),1),K$4:K1673)))),AND(K945&lt;1000000000,COUNTA(C945:C1673)&gt;0,P$3=FALSE),
ROUNDDOWN(INDEX(Y$4:Y1673,MATCH(LARGE(FILTER(W$4:W1673,W$4:W1673&lt;=I945),1),W$4:W1673"&amp;"))+(I945-LARGE(FILTER(W$4:W1673,W$4:W1673&lt;=I945),1))*INDEX(T$4:T1673,MATCH(LARGE(FILTER(W$4:W1673,W$4:W1673&lt;=I945),1),W$4:W1673))-K945),1,
ROUNDDOWN(Y945-INDEX(K$4:K1673,MATCH(LARGE(FILTER(I$4:I1673,I$4:I1673&lt;=W945),1),I$4:I1673))-(W945-LARGE(FILTER(I$4:I"&amp;"1673,I$4:I1673&lt;=W945),1))*INDEX(F$4:F1673,MATCH(LARGE(FILTER(I$4:I1673,I$4:I1673&lt;=W945),1),I$4:I1673))))"),"")</f>
        <v/>
      </c>
      <c r="N945" s="60" t="str">
        <f t="shared" si="8"/>
        <v/>
      </c>
      <c r="O945" s="61" t="str">
        <f t="shared" si="9"/>
        <v/>
      </c>
      <c r="P945" s="56" t="str">
        <f t="shared" si="10"/>
        <v/>
      </c>
      <c r="R945" s="10"/>
      <c r="S945" s="59" t="str">
        <f t="array" ref="S945">IF(COUNTA(Q945:Q1673)=0,"",SUM((COUNTIF(Q$4:Q945,Upgrades!$B$3:$B$13)-COUNTIF(Q$4:Q945,"Sell_"&amp;Upgrades!$B$3:$B$13))*Upgrades!$D$3:$D$13))</f>
        <v/>
      </c>
      <c r="T945" s="66" t="str">
        <f>IFERROR(__xludf.DUMMYFUNCTION("IF(COUNTA(Q945:Q1673)=0,"""",IF(REGEXMATCH(INDEX(FILTER(Q$4:Q945,Q$4:Q945&lt;&gt;""""),ROWS(FILTER(Q$4:Q945,Q$4:Q945&lt;&gt;""""))),""^Sell_""),INDEX(FILTER(T$4:T944,Q$4:Q944&lt;&gt;""""),ROWS(FILTER(Q$4:Q944,Q$4:Q944&lt;&gt;""""))),$AD$5+S945))"),"")</f>
        <v/>
      </c>
      <c r="U945" s="10" t="str">
        <f>IFERROR(__xludf.DUMMYFUNCTION("IF(COUNTA(Q945:Q1673)=0,"""",IF(Q945="""",0,IF(REGEXMATCH(Q945,""^Sell_""),-ROUNDDOWN(ROUNDUP(INDEX(Upgrades!$C$3:$C$13,MATCH(SUBSTITUTE(Q945,""Sell_"",""""),Upgrades!$B$3:$B$13,0))*1.15^(COUNTIF(Q$4:Q944,SUBSTITUTE(Q945,""Sell_"",""""))-COUNTIF(Q$4:Q944,"&amp;"""Sell_""&amp;SUBSTITUTE(Q945,""Sell_"",""""))))/2),ROUNDUP(INDEX(Upgrades!$C$3:$C$13,MATCH(Q945,Upgrades!$B$3:$B$13,0))*1.15^(COUNTIF(Q$4:Q944,Q945)-COUNTIF(Q$4:Q944,""Sell_""&amp;Q945))))))"),"")</f>
        <v/>
      </c>
      <c r="V945" s="10" t="str">
        <f t="shared" si="11"/>
        <v/>
      </c>
      <c r="W945" s="68" t="str">
        <f t="shared" si="12"/>
        <v/>
      </c>
      <c r="X945" s="59" t="str">
        <f t="shared" si="13"/>
        <v/>
      </c>
      <c r="Y945" s="69" t="str">
        <f t="shared" si="14"/>
        <v/>
      </c>
      <c r="Z945" s="11"/>
    </row>
    <row r="946">
      <c r="A946" s="8"/>
      <c r="B946" s="56" t="str">
        <f t="shared" si="2"/>
        <v/>
      </c>
      <c r="C946" s="105"/>
      <c r="D946" s="10"/>
      <c r="E946" s="59" t="str">
        <f t="array" ref="E946">IF(COUNTA(C946:C1673)=0,"",SUM((COUNTIF(C$4:C946,Upgrades!$B$3:$B$13)-COUNTIF(C$4:C946,"Sell_"&amp;Upgrades!$B$3:$B$13))*Upgrades!$D$3:$D$13))</f>
        <v/>
      </c>
      <c r="F946" s="66" t="str">
        <f>IFERROR(__xludf.DUMMYFUNCTION("IF(COUNTA(C946:C1673)=0,"""",IF(REGEXMATCH(INDEX(FILTER(C$4:C946,C$4:C946&lt;&gt;""""),ROWS(FILTER(C$4:C946,C$4:C946&lt;&gt;""""))),""^Sell_""),INDEX(FILTER(F$4:F945,C$4:C945&lt;&gt;""""),ROWS(FILTER(C$4:C945,C$4:C945&lt;&gt;""""))),$AC$5+E946))"),"")</f>
        <v/>
      </c>
      <c r="G946" s="10" t="str">
        <f>IFERROR(__xludf.DUMMYFUNCTION("IF(COUNTA(C946:C1673)=0,"""",IF(C946="""",0,IF(REGEXMATCH(C946,""^Sell_""),-ROUNDDOWN(ROUNDUP(INDEX(Upgrades!$C$3:$C$13,MATCH(SUBSTITUTE(C946,""Sell_"",""""),Upgrades!$B$3:$B$13,0))*1.15^(COUNTIF(C$4:C945,SUBSTITUTE(C946,""Sell_"",""""))-COUNTIF(C$4:C945,"&amp;"""Sell_""&amp;SUBSTITUTE(C946,""Sell_"",""""))))/2),ROUNDUP(INDEX(Upgrades!$C$3:$C$13,MATCH(C946,Upgrades!$B$3:$B$13,0))*1.15^(COUNTIF(C$4:C945,C946)-COUNTIF(C$4:C945,""Sell_""&amp;C946))))))"),"")</f>
        <v/>
      </c>
      <c r="H946" s="10" t="str">
        <f t="shared" si="3"/>
        <v/>
      </c>
      <c r="I946" s="68" t="str">
        <f t="shared" si="4"/>
        <v/>
      </c>
      <c r="J946" s="59" t="str">
        <f t="shared" si="5"/>
        <v/>
      </c>
      <c r="K946" s="69" t="str">
        <f t="shared" si="6"/>
        <v/>
      </c>
      <c r="L946" s="60" t="str">
        <f t="shared" si="7"/>
        <v/>
      </c>
      <c r="M946" s="61" t="str">
        <f>IFERROR(__xludf.DUMMYFUNCTION("IFS(AND(COUNTA(C946:C1673)=0,COUNTA(Q946:Q1673)=0),"""",OR(AND(K946&gt;=1000000000,OR(Y946&gt;=1000000000,COUNTA(Q946:Q1673)=0)),OR(Y946&gt;=1000000000,AND(COUNTA(C946:C1673)=0,P$3=TRUE))),
ROUNDDOWN((AB$1-AC$1)*MAX(INDEX(T$4:T1673,MATCH(LARGE(FILTER(Y$4:Y1673,Y$4"&amp;":Y1673&lt;1000000000),1),Y$4:Y1673)),INDEX(F$4:F1673,MATCH(LARGE(FILTER(K$4:K1673,K$4:K1673&lt;1000000000),1),K$4:K1673)))),AND(K946&lt;1000000000,COUNTA(C946:C1673)&gt;0,P$3=FALSE),
ROUNDDOWN(INDEX(Y$4:Y1673,MATCH(LARGE(FILTER(W$4:W1673,W$4:W1673&lt;=I946),1),W$4:W1673"&amp;"))+(I946-LARGE(FILTER(W$4:W1673,W$4:W1673&lt;=I946),1))*INDEX(T$4:T1673,MATCH(LARGE(FILTER(W$4:W1673,W$4:W1673&lt;=I946),1),W$4:W1673))-K946),1,
ROUNDDOWN(Y946-INDEX(K$4:K1673,MATCH(LARGE(FILTER(I$4:I1673,I$4:I1673&lt;=W946),1),I$4:I1673))-(W946-LARGE(FILTER(I$4:I"&amp;"1673,I$4:I1673&lt;=W946),1))*INDEX(F$4:F1673,MATCH(LARGE(FILTER(I$4:I1673,I$4:I1673&lt;=W946),1),I$4:I1673))))"),"")</f>
        <v/>
      </c>
      <c r="N946" s="60" t="str">
        <f t="shared" si="8"/>
        <v/>
      </c>
      <c r="O946" s="61" t="str">
        <f t="shared" si="9"/>
        <v/>
      </c>
      <c r="P946" s="56" t="str">
        <f t="shared" si="10"/>
        <v/>
      </c>
      <c r="R946" s="10"/>
      <c r="S946" s="59" t="str">
        <f t="array" ref="S946">IF(COUNTA(Q946:Q1673)=0,"",SUM((COUNTIF(Q$4:Q946,Upgrades!$B$3:$B$13)-COUNTIF(Q$4:Q946,"Sell_"&amp;Upgrades!$B$3:$B$13))*Upgrades!$D$3:$D$13))</f>
        <v/>
      </c>
      <c r="T946" s="66" t="str">
        <f>IFERROR(__xludf.DUMMYFUNCTION("IF(COUNTA(Q946:Q1673)=0,"""",IF(REGEXMATCH(INDEX(FILTER(Q$4:Q946,Q$4:Q946&lt;&gt;""""),ROWS(FILTER(Q$4:Q946,Q$4:Q946&lt;&gt;""""))),""^Sell_""),INDEX(FILTER(T$4:T945,Q$4:Q945&lt;&gt;""""),ROWS(FILTER(Q$4:Q945,Q$4:Q945&lt;&gt;""""))),$AD$5+S946))"),"")</f>
        <v/>
      </c>
      <c r="U946" s="10" t="str">
        <f>IFERROR(__xludf.DUMMYFUNCTION("IF(COUNTA(Q946:Q1673)=0,"""",IF(Q946="""",0,IF(REGEXMATCH(Q946,""^Sell_""),-ROUNDDOWN(ROUNDUP(INDEX(Upgrades!$C$3:$C$13,MATCH(SUBSTITUTE(Q946,""Sell_"",""""),Upgrades!$B$3:$B$13,0))*1.15^(COUNTIF(Q$4:Q945,SUBSTITUTE(Q946,""Sell_"",""""))-COUNTIF(Q$4:Q945,"&amp;"""Sell_""&amp;SUBSTITUTE(Q946,""Sell_"",""""))))/2),ROUNDUP(INDEX(Upgrades!$C$3:$C$13,MATCH(Q946,Upgrades!$B$3:$B$13,0))*1.15^(COUNTIF(Q$4:Q945,Q946)-COUNTIF(Q$4:Q945,""Sell_""&amp;Q946))))))"),"")</f>
        <v/>
      </c>
      <c r="V946" s="10" t="str">
        <f t="shared" si="11"/>
        <v/>
      </c>
      <c r="W946" s="68" t="str">
        <f t="shared" si="12"/>
        <v/>
      </c>
      <c r="X946" s="59" t="str">
        <f t="shared" si="13"/>
        <v/>
      </c>
      <c r="Y946" s="69" t="str">
        <f t="shared" si="14"/>
        <v/>
      </c>
      <c r="Z946" s="11"/>
    </row>
    <row r="947">
      <c r="A947" s="8"/>
      <c r="B947" s="56" t="str">
        <f t="shared" si="2"/>
        <v/>
      </c>
      <c r="C947" s="105"/>
      <c r="D947" s="10"/>
      <c r="E947" s="59" t="str">
        <f t="array" ref="E947">IF(COUNTA(C947:C1673)=0,"",SUM((COUNTIF(C$4:C947,Upgrades!$B$3:$B$13)-COUNTIF(C$4:C947,"Sell_"&amp;Upgrades!$B$3:$B$13))*Upgrades!$D$3:$D$13))</f>
        <v/>
      </c>
      <c r="F947" s="66" t="str">
        <f>IFERROR(__xludf.DUMMYFUNCTION("IF(COUNTA(C947:C1673)=0,"""",IF(REGEXMATCH(INDEX(FILTER(C$4:C947,C$4:C947&lt;&gt;""""),ROWS(FILTER(C$4:C947,C$4:C947&lt;&gt;""""))),""^Sell_""),INDEX(FILTER(F$4:F946,C$4:C946&lt;&gt;""""),ROWS(FILTER(C$4:C946,C$4:C946&lt;&gt;""""))),$AC$5+E947))"),"")</f>
        <v/>
      </c>
      <c r="G947" s="10" t="str">
        <f>IFERROR(__xludf.DUMMYFUNCTION("IF(COUNTA(C947:C1673)=0,"""",IF(C947="""",0,IF(REGEXMATCH(C947,""^Sell_""),-ROUNDDOWN(ROUNDUP(INDEX(Upgrades!$C$3:$C$13,MATCH(SUBSTITUTE(C947,""Sell_"",""""),Upgrades!$B$3:$B$13,0))*1.15^(COUNTIF(C$4:C946,SUBSTITUTE(C947,""Sell_"",""""))-COUNTIF(C$4:C946,"&amp;"""Sell_""&amp;SUBSTITUTE(C947,""Sell_"",""""))))/2),ROUNDUP(INDEX(Upgrades!$C$3:$C$13,MATCH(C947,Upgrades!$B$3:$B$13,0))*1.15^(COUNTIF(C$4:C946,C947)-COUNTIF(C$4:C946,""Sell_""&amp;C947))))))"),"")</f>
        <v/>
      </c>
      <c r="H947" s="10" t="str">
        <f t="shared" si="3"/>
        <v/>
      </c>
      <c r="I947" s="68" t="str">
        <f t="shared" si="4"/>
        <v/>
      </c>
      <c r="J947" s="59" t="str">
        <f t="shared" si="5"/>
        <v/>
      </c>
      <c r="K947" s="69" t="str">
        <f t="shared" si="6"/>
        <v/>
      </c>
      <c r="L947" s="60" t="str">
        <f t="shared" si="7"/>
        <v/>
      </c>
      <c r="M947" s="61" t="str">
        <f>IFERROR(__xludf.DUMMYFUNCTION("IFS(AND(COUNTA(C947:C1673)=0,COUNTA(Q947:Q1673)=0),"""",OR(AND(K947&gt;=1000000000,OR(Y947&gt;=1000000000,COUNTA(Q947:Q1673)=0)),OR(Y947&gt;=1000000000,AND(COUNTA(C947:C1673)=0,P$3=TRUE))),
ROUNDDOWN((AB$1-AC$1)*MAX(INDEX(T$4:T1673,MATCH(LARGE(FILTER(Y$4:Y1673,Y$4"&amp;":Y1673&lt;1000000000),1),Y$4:Y1673)),INDEX(F$4:F1673,MATCH(LARGE(FILTER(K$4:K1673,K$4:K1673&lt;1000000000),1),K$4:K1673)))),AND(K947&lt;1000000000,COUNTA(C947:C1673)&gt;0,P$3=FALSE),
ROUNDDOWN(INDEX(Y$4:Y1673,MATCH(LARGE(FILTER(W$4:W1673,W$4:W1673&lt;=I947),1),W$4:W1673"&amp;"))+(I947-LARGE(FILTER(W$4:W1673,W$4:W1673&lt;=I947),1))*INDEX(T$4:T1673,MATCH(LARGE(FILTER(W$4:W1673,W$4:W1673&lt;=I947),1),W$4:W1673))-K947),1,
ROUNDDOWN(Y947-INDEX(K$4:K1673,MATCH(LARGE(FILTER(I$4:I1673,I$4:I1673&lt;=W947),1),I$4:I1673))-(W947-LARGE(FILTER(I$4:I"&amp;"1673,I$4:I1673&lt;=W947),1))*INDEX(F$4:F1673,MATCH(LARGE(FILTER(I$4:I1673,I$4:I1673&lt;=W947),1),I$4:I1673))))"),"")</f>
        <v/>
      </c>
      <c r="N947" s="60" t="str">
        <f t="shared" si="8"/>
        <v/>
      </c>
      <c r="O947" s="61" t="str">
        <f t="shared" si="9"/>
        <v/>
      </c>
      <c r="P947" s="56" t="str">
        <f t="shared" si="10"/>
        <v/>
      </c>
      <c r="R947" s="10"/>
      <c r="S947" s="59" t="str">
        <f t="array" ref="S947">IF(COUNTA(Q947:Q1673)=0,"",SUM((COUNTIF(Q$4:Q947,Upgrades!$B$3:$B$13)-COUNTIF(Q$4:Q947,"Sell_"&amp;Upgrades!$B$3:$B$13))*Upgrades!$D$3:$D$13))</f>
        <v/>
      </c>
      <c r="T947" s="66" t="str">
        <f>IFERROR(__xludf.DUMMYFUNCTION("IF(COUNTA(Q947:Q1673)=0,"""",IF(REGEXMATCH(INDEX(FILTER(Q$4:Q947,Q$4:Q947&lt;&gt;""""),ROWS(FILTER(Q$4:Q947,Q$4:Q947&lt;&gt;""""))),""^Sell_""),INDEX(FILTER(T$4:T946,Q$4:Q946&lt;&gt;""""),ROWS(FILTER(Q$4:Q946,Q$4:Q946&lt;&gt;""""))),$AD$5+S947))"),"")</f>
        <v/>
      </c>
      <c r="U947" s="10" t="str">
        <f>IFERROR(__xludf.DUMMYFUNCTION("IF(COUNTA(Q947:Q1673)=0,"""",IF(Q947="""",0,IF(REGEXMATCH(Q947,""^Sell_""),-ROUNDDOWN(ROUNDUP(INDEX(Upgrades!$C$3:$C$13,MATCH(SUBSTITUTE(Q947,""Sell_"",""""),Upgrades!$B$3:$B$13,0))*1.15^(COUNTIF(Q$4:Q946,SUBSTITUTE(Q947,""Sell_"",""""))-COUNTIF(Q$4:Q946,"&amp;"""Sell_""&amp;SUBSTITUTE(Q947,""Sell_"",""""))))/2),ROUNDUP(INDEX(Upgrades!$C$3:$C$13,MATCH(Q947,Upgrades!$B$3:$B$13,0))*1.15^(COUNTIF(Q$4:Q946,Q947)-COUNTIF(Q$4:Q946,""Sell_""&amp;Q947))))))"),"")</f>
        <v/>
      </c>
      <c r="V947" s="10" t="str">
        <f t="shared" si="11"/>
        <v/>
      </c>
      <c r="W947" s="68" t="str">
        <f t="shared" si="12"/>
        <v/>
      </c>
      <c r="X947" s="59" t="str">
        <f t="shared" si="13"/>
        <v/>
      </c>
      <c r="Y947" s="69" t="str">
        <f t="shared" si="14"/>
        <v/>
      </c>
      <c r="Z947" s="11"/>
    </row>
    <row r="948">
      <c r="A948" s="8"/>
      <c r="B948" s="56" t="str">
        <f t="shared" si="2"/>
        <v/>
      </c>
      <c r="C948" s="105"/>
      <c r="D948" s="10"/>
      <c r="E948" s="59" t="str">
        <f t="array" ref="E948">IF(COUNTA(C948:C1673)=0,"",SUM((COUNTIF(C$4:C948,Upgrades!$B$3:$B$13)-COUNTIF(C$4:C948,"Sell_"&amp;Upgrades!$B$3:$B$13))*Upgrades!$D$3:$D$13))</f>
        <v/>
      </c>
      <c r="F948" s="66" t="str">
        <f>IFERROR(__xludf.DUMMYFUNCTION("IF(COUNTA(C948:C1673)=0,"""",IF(REGEXMATCH(INDEX(FILTER(C$4:C948,C$4:C948&lt;&gt;""""),ROWS(FILTER(C$4:C948,C$4:C948&lt;&gt;""""))),""^Sell_""),INDEX(FILTER(F$4:F947,C$4:C947&lt;&gt;""""),ROWS(FILTER(C$4:C947,C$4:C947&lt;&gt;""""))),$AC$5+E948))"),"")</f>
        <v/>
      </c>
      <c r="G948" s="10" t="str">
        <f>IFERROR(__xludf.DUMMYFUNCTION("IF(COUNTA(C948:C1673)=0,"""",IF(C948="""",0,IF(REGEXMATCH(C948,""^Sell_""),-ROUNDDOWN(ROUNDUP(INDEX(Upgrades!$C$3:$C$13,MATCH(SUBSTITUTE(C948,""Sell_"",""""),Upgrades!$B$3:$B$13,0))*1.15^(COUNTIF(C$4:C947,SUBSTITUTE(C948,""Sell_"",""""))-COUNTIF(C$4:C947,"&amp;"""Sell_""&amp;SUBSTITUTE(C948,""Sell_"",""""))))/2),ROUNDUP(INDEX(Upgrades!$C$3:$C$13,MATCH(C948,Upgrades!$B$3:$B$13,0))*1.15^(COUNTIF(C$4:C947,C948)-COUNTIF(C$4:C947,""Sell_""&amp;C948))))))"),"")</f>
        <v/>
      </c>
      <c r="H948" s="10" t="str">
        <f t="shared" si="3"/>
        <v/>
      </c>
      <c r="I948" s="68" t="str">
        <f t="shared" si="4"/>
        <v/>
      </c>
      <c r="J948" s="59" t="str">
        <f t="shared" si="5"/>
        <v/>
      </c>
      <c r="K948" s="69" t="str">
        <f t="shared" si="6"/>
        <v/>
      </c>
      <c r="L948" s="60" t="str">
        <f t="shared" si="7"/>
        <v/>
      </c>
      <c r="M948" s="61" t="str">
        <f>IFERROR(__xludf.DUMMYFUNCTION("IFS(AND(COUNTA(C948:C1673)=0,COUNTA(Q948:Q1673)=0),"""",OR(AND(K948&gt;=1000000000,OR(Y948&gt;=1000000000,COUNTA(Q948:Q1673)=0)),OR(Y948&gt;=1000000000,AND(COUNTA(C948:C1673)=0,P$3=TRUE))),
ROUNDDOWN((AB$1-AC$1)*MAX(INDEX(T$4:T1673,MATCH(LARGE(FILTER(Y$4:Y1673,Y$4"&amp;":Y1673&lt;1000000000),1),Y$4:Y1673)),INDEX(F$4:F1673,MATCH(LARGE(FILTER(K$4:K1673,K$4:K1673&lt;1000000000),1),K$4:K1673)))),AND(K948&lt;1000000000,COUNTA(C948:C1673)&gt;0,P$3=FALSE),
ROUNDDOWN(INDEX(Y$4:Y1673,MATCH(LARGE(FILTER(W$4:W1673,W$4:W1673&lt;=I948),1),W$4:W1673"&amp;"))+(I948-LARGE(FILTER(W$4:W1673,W$4:W1673&lt;=I948),1))*INDEX(T$4:T1673,MATCH(LARGE(FILTER(W$4:W1673,W$4:W1673&lt;=I948),1),W$4:W1673))-K948),1,
ROUNDDOWN(Y948-INDEX(K$4:K1673,MATCH(LARGE(FILTER(I$4:I1673,I$4:I1673&lt;=W948),1),I$4:I1673))-(W948-LARGE(FILTER(I$4:I"&amp;"1673,I$4:I1673&lt;=W948),1))*INDEX(F$4:F1673,MATCH(LARGE(FILTER(I$4:I1673,I$4:I1673&lt;=W948),1),I$4:I1673))))"),"")</f>
        <v/>
      </c>
      <c r="N948" s="60" t="str">
        <f t="shared" si="8"/>
        <v/>
      </c>
      <c r="O948" s="61" t="str">
        <f t="shared" si="9"/>
        <v/>
      </c>
      <c r="P948" s="56" t="str">
        <f t="shared" si="10"/>
        <v/>
      </c>
      <c r="R948" s="10"/>
      <c r="S948" s="59" t="str">
        <f t="array" ref="S948">IF(COUNTA(Q948:Q1673)=0,"",SUM((COUNTIF(Q$4:Q948,Upgrades!$B$3:$B$13)-COUNTIF(Q$4:Q948,"Sell_"&amp;Upgrades!$B$3:$B$13))*Upgrades!$D$3:$D$13))</f>
        <v/>
      </c>
      <c r="T948" s="66" t="str">
        <f>IFERROR(__xludf.DUMMYFUNCTION("IF(COUNTA(Q948:Q1673)=0,"""",IF(REGEXMATCH(INDEX(FILTER(Q$4:Q948,Q$4:Q948&lt;&gt;""""),ROWS(FILTER(Q$4:Q948,Q$4:Q948&lt;&gt;""""))),""^Sell_""),INDEX(FILTER(T$4:T947,Q$4:Q947&lt;&gt;""""),ROWS(FILTER(Q$4:Q947,Q$4:Q947&lt;&gt;""""))),$AD$5+S948))"),"")</f>
        <v/>
      </c>
      <c r="U948" s="10" t="str">
        <f>IFERROR(__xludf.DUMMYFUNCTION("IF(COUNTA(Q948:Q1673)=0,"""",IF(Q948="""",0,IF(REGEXMATCH(Q948,""^Sell_""),-ROUNDDOWN(ROUNDUP(INDEX(Upgrades!$C$3:$C$13,MATCH(SUBSTITUTE(Q948,""Sell_"",""""),Upgrades!$B$3:$B$13,0))*1.15^(COUNTIF(Q$4:Q947,SUBSTITUTE(Q948,""Sell_"",""""))-COUNTIF(Q$4:Q947,"&amp;"""Sell_""&amp;SUBSTITUTE(Q948,""Sell_"",""""))))/2),ROUNDUP(INDEX(Upgrades!$C$3:$C$13,MATCH(Q948,Upgrades!$B$3:$B$13,0))*1.15^(COUNTIF(Q$4:Q947,Q948)-COUNTIF(Q$4:Q947,""Sell_""&amp;Q948))))))"),"")</f>
        <v/>
      </c>
      <c r="V948" s="10" t="str">
        <f t="shared" si="11"/>
        <v/>
      </c>
      <c r="W948" s="68" t="str">
        <f t="shared" si="12"/>
        <v/>
      </c>
      <c r="X948" s="59" t="str">
        <f t="shared" si="13"/>
        <v/>
      </c>
      <c r="Y948" s="69" t="str">
        <f t="shared" si="14"/>
        <v/>
      </c>
      <c r="Z948" s="11"/>
    </row>
    <row r="949">
      <c r="A949" s="8"/>
      <c r="B949" s="56" t="str">
        <f t="shared" si="2"/>
        <v/>
      </c>
      <c r="C949" s="105"/>
      <c r="D949" s="10"/>
      <c r="E949" s="59" t="str">
        <f t="array" ref="E949">IF(COUNTA(C949:C1673)=0,"",SUM((COUNTIF(C$4:C949,Upgrades!$B$3:$B$13)-COUNTIF(C$4:C949,"Sell_"&amp;Upgrades!$B$3:$B$13))*Upgrades!$D$3:$D$13))</f>
        <v/>
      </c>
      <c r="F949" s="66" t="str">
        <f>IFERROR(__xludf.DUMMYFUNCTION("IF(COUNTA(C949:C1673)=0,"""",IF(REGEXMATCH(INDEX(FILTER(C$4:C949,C$4:C949&lt;&gt;""""),ROWS(FILTER(C$4:C949,C$4:C949&lt;&gt;""""))),""^Sell_""),INDEX(FILTER(F$4:F948,C$4:C948&lt;&gt;""""),ROWS(FILTER(C$4:C948,C$4:C948&lt;&gt;""""))),$AC$5+E949))"),"")</f>
        <v/>
      </c>
      <c r="G949" s="10" t="str">
        <f>IFERROR(__xludf.DUMMYFUNCTION("IF(COUNTA(C949:C1673)=0,"""",IF(C949="""",0,IF(REGEXMATCH(C949,""^Sell_""),-ROUNDDOWN(ROUNDUP(INDEX(Upgrades!$C$3:$C$13,MATCH(SUBSTITUTE(C949,""Sell_"",""""),Upgrades!$B$3:$B$13,0))*1.15^(COUNTIF(C$4:C948,SUBSTITUTE(C949,""Sell_"",""""))-COUNTIF(C$4:C948,"&amp;"""Sell_""&amp;SUBSTITUTE(C949,""Sell_"",""""))))/2),ROUNDUP(INDEX(Upgrades!$C$3:$C$13,MATCH(C949,Upgrades!$B$3:$B$13,0))*1.15^(COUNTIF(C$4:C948,C949)-COUNTIF(C$4:C948,""Sell_""&amp;C949))))))"),"")</f>
        <v/>
      </c>
      <c r="H949" s="10" t="str">
        <f t="shared" si="3"/>
        <v/>
      </c>
      <c r="I949" s="68" t="str">
        <f t="shared" si="4"/>
        <v/>
      </c>
      <c r="J949" s="59" t="str">
        <f t="shared" si="5"/>
        <v/>
      </c>
      <c r="K949" s="69" t="str">
        <f t="shared" si="6"/>
        <v/>
      </c>
      <c r="L949" s="60" t="str">
        <f t="shared" si="7"/>
        <v/>
      </c>
      <c r="M949" s="61" t="str">
        <f>IFERROR(__xludf.DUMMYFUNCTION("IFS(AND(COUNTA(C949:C1673)=0,COUNTA(Q949:Q1673)=0),"""",OR(AND(K949&gt;=1000000000,OR(Y949&gt;=1000000000,COUNTA(Q949:Q1673)=0)),OR(Y949&gt;=1000000000,AND(COUNTA(C949:C1673)=0,P$3=TRUE))),
ROUNDDOWN((AB$1-AC$1)*MAX(INDEX(T$4:T1673,MATCH(LARGE(FILTER(Y$4:Y1673,Y$4"&amp;":Y1673&lt;1000000000),1),Y$4:Y1673)),INDEX(F$4:F1673,MATCH(LARGE(FILTER(K$4:K1673,K$4:K1673&lt;1000000000),1),K$4:K1673)))),AND(K949&lt;1000000000,COUNTA(C949:C1673)&gt;0,P$3=FALSE),
ROUNDDOWN(INDEX(Y$4:Y1673,MATCH(LARGE(FILTER(W$4:W1673,W$4:W1673&lt;=I949),1),W$4:W1673"&amp;"))+(I949-LARGE(FILTER(W$4:W1673,W$4:W1673&lt;=I949),1))*INDEX(T$4:T1673,MATCH(LARGE(FILTER(W$4:W1673,W$4:W1673&lt;=I949),1),W$4:W1673))-K949),1,
ROUNDDOWN(Y949-INDEX(K$4:K1673,MATCH(LARGE(FILTER(I$4:I1673,I$4:I1673&lt;=W949),1),I$4:I1673))-(W949-LARGE(FILTER(I$4:I"&amp;"1673,I$4:I1673&lt;=W949),1))*INDEX(F$4:F1673,MATCH(LARGE(FILTER(I$4:I1673,I$4:I1673&lt;=W949),1),I$4:I1673))))"),"")</f>
        <v/>
      </c>
      <c r="N949" s="60" t="str">
        <f t="shared" si="8"/>
        <v/>
      </c>
      <c r="O949" s="61" t="str">
        <f t="shared" si="9"/>
        <v/>
      </c>
      <c r="P949" s="56" t="str">
        <f t="shared" si="10"/>
        <v/>
      </c>
      <c r="R949" s="10"/>
      <c r="S949" s="59" t="str">
        <f t="array" ref="S949">IF(COUNTA(Q949:Q1673)=0,"",SUM((COUNTIF(Q$4:Q949,Upgrades!$B$3:$B$13)-COUNTIF(Q$4:Q949,"Sell_"&amp;Upgrades!$B$3:$B$13))*Upgrades!$D$3:$D$13))</f>
        <v/>
      </c>
      <c r="T949" s="66" t="str">
        <f>IFERROR(__xludf.DUMMYFUNCTION("IF(COUNTA(Q949:Q1673)=0,"""",IF(REGEXMATCH(INDEX(FILTER(Q$4:Q949,Q$4:Q949&lt;&gt;""""),ROWS(FILTER(Q$4:Q949,Q$4:Q949&lt;&gt;""""))),""^Sell_""),INDEX(FILTER(T$4:T948,Q$4:Q948&lt;&gt;""""),ROWS(FILTER(Q$4:Q948,Q$4:Q948&lt;&gt;""""))),$AD$5+S949))"),"")</f>
        <v/>
      </c>
      <c r="U949" s="10" t="str">
        <f>IFERROR(__xludf.DUMMYFUNCTION("IF(COUNTA(Q949:Q1673)=0,"""",IF(Q949="""",0,IF(REGEXMATCH(Q949,""^Sell_""),-ROUNDDOWN(ROUNDUP(INDEX(Upgrades!$C$3:$C$13,MATCH(SUBSTITUTE(Q949,""Sell_"",""""),Upgrades!$B$3:$B$13,0))*1.15^(COUNTIF(Q$4:Q948,SUBSTITUTE(Q949,""Sell_"",""""))-COUNTIF(Q$4:Q948,"&amp;"""Sell_""&amp;SUBSTITUTE(Q949,""Sell_"",""""))))/2),ROUNDUP(INDEX(Upgrades!$C$3:$C$13,MATCH(Q949,Upgrades!$B$3:$B$13,0))*1.15^(COUNTIF(Q$4:Q948,Q949)-COUNTIF(Q$4:Q948,""Sell_""&amp;Q949))))))"),"")</f>
        <v/>
      </c>
      <c r="V949" s="10" t="str">
        <f t="shared" si="11"/>
        <v/>
      </c>
      <c r="W949" s="68" t="str">
        <f t="shared" si="12"/>
        <v/>
      </c>
      <c r="X949" s="59" t="str">
        <f t="shared" si="13"/>
        <v/>
      </c>
      <c r="Y949" s="69" t="str">
        <f t="shared" si="14"/>
        <v/>
      </c>
      <c r="Z949" s="11"/>
    </row>
    <row r="950">
      <c r="A950" s="8"/>
      <c r="B950" s="56" t="str">
        <f t="shared" si="2"/>
        <v/>
      </c>
      <c r="C950" s="105"/>
      <c r="D950" s="10"/>
      <c r="E950" s="59" t="str">
        <f t="array" ref="E950">IF(COUNTA(C950:C1673)=0,"",SUM((COUNTIF(C$4:C950,Upgrades!$B$3:$B$13)-COUNTIF(C$4:C950,"Sell_"&amp;Upgrades!$B$3:$B$13))*Upgrades!$D$3:$D$13))</f>
        <v/>
      </c>
      <c r="F950" s="66" t="str">
        <f>IFERROR(__xludf.DUMMYFUNCTION("IF(COUNTA(C950:C1673)=0,"""",IF(REGEXMATCH(INDEX(FILTER(C$4:C950,C$4:C950&lt;&gt;""""),ROWS(FILTER(C$4:C950,C$4:C950&lt;&gt;""""))),""^Sell_""),INDEX(FILTER(F$4:F949,C$4:C949&lt;&gt;""""),ROWS(FILTER(C$4:C949,C$4:C949&lt;&gt;""""))),$AC$5+E950))"),"")</f>
        <v/>
      </c>
      <c r="G950" s="10" t="str">
        <f>IFERROR(__xludf.DUMMYFUNCTION("IF(COUNTA(C950:C1673)=0,"""",IF(C950="""",0,IF(REGEXMATCH(C950,""^Sell_""),-ROUNDDOWN(ROUNDUP(INDEX(Upgrades!$C$3:$C$13,MATCH(SUBSTITUTE(C950,""Sell_"",""""),Upgrades!$B$3:$B$13,0))*1.15^(COUNTIF(C$4:C949,SUBSTITUTE(C950,""Sell_"",""""))-COUNTIF(C$4:C949,"&amp;"""Sell_""&amp;SUBSTITUTE(C950,""Sell_"",""""))))/2),ROUNDUP(INDEX(Upgrades!$C$3:$C$13,MATCH(C950,Upgrades!$B$3:$B$13,0))*1.15^(COUNTIF(C$4:C949,C950)-COUNTIF(C$4:C949,""Sell_""&amp;C950))))))"),"")</f>
        <v/>
      </c>
      <c r="H950" s="10" t="str">
        <f t="shared" si="3"/>
        <v/>
      </c>
      <c r="I950" s="68" t="str">
        <f t="shared" si="4"/>
        <v/>
      </c>
      <c r="J950" s="59" t="str">
        <f t="shared" si="5"/>
        <v/>
      </c>
      <c r="K950" s="69" t="str">
        <f t="shared" si="6"/>
        <v/>
      </c>
      <c r="L950" s="60" t="str">
        <f t="shared" si="7"/>
        <v/>
      </c>
      <c r="M950" s="61" t="str">
        <f>IFERROR(__xludf.DUMMYFUNCTION("IFS(AND(COUNTA(C950:C1673)=0,COUNTA(Q950:Q1673)=0),"""",OR(AND(K950&gt;=1000000000,OR(Y950&gt;=1000000000,COUNTA(Q950:Q1673)=0)),OR(Y950&gt;=1000000000,AND(COUNTA(C950:C1673)=0,P$3=TRUE))),
ROUNDDOWN((AB$1-AC$1)*MAX(INDEX(T$4:T1673,MATCH(LARGE(FILTER(Y$4:Y1673,Y$4"&amp;":Y1673&lt;1000000000),1),Y$4:Y1673)),INDEX(F$4:F1673,MATCH(LARGE(FILTER(K$4:K1673,K$4:K1673&lt;1000000000),1),K$4:K1673)))),AND(K950&lt;1000000000,COUNTA(C950:C1673)&gt;0,P$3=FALSE),
ROUNDDOWN(INDEX(Y$4:Y1673,MATCH(LARGE(FILTER(W$4:W1673,W$4:W1673&lt;=I950),1),W$4:W1673"&amp;"))+(I950-LARGE(FILTER(W$4:W1673,W$4:W1673&lt;=I950),1))*INDEX(T$4:T1673,MATCH(LARGE(FILTER(W$4:W1673,W$4:W1673&lt;=I950),1),W$4:W1673))-K950),1,
ROUNDDOWN(Y950-INDEX(K$4:K1673,MATCH(LARGE(FILTER(I$4:I1673,I$4:I1673&lt;=W950),1),I$4:I1673))-(W950-LARGE(FILTER(I$4:I"&amp;"1673,I$4:I1673&lt;=W950),1))*INDEX(F$4:F1673,MATCH(LARGE(FILTER(I$4:I1673,I$4:I1673&lt;=W950),1),I$4:I1673))))"),"")</f>
        <v/>
      </c>
      <c r="N950" s="60" t="str">
        <f t="shared" si="8"/>
        <v/>
      </c>
      <c r="O950" s="61" t="str">
        <f t="shared" si="9"/>
        <v/>
      </c>
      <c r="P950" s="56" t="str">
        <f t="shared" si="10"/>
        <v/>
      </c>
      <c r="R950" s="10"/>
      <c r="S950" s="59" t="str">
        <f t="array" ref="S950">IF(COUNTA(Q950:Q1673)=0,"",SUM((COUNTIF(Q$4:Q950,Upgrades!$B$3:$B$13)-COUNTIF(Q$4:Q950,"Sell_"&amp;Upgrades!$B$3:$B$13))*Upgrades!$D$3:$D$13))</f>
        <v/>
      </c>
      <c r="T950" s="66" t="str">
        <f>IFERROR(__xludf.DUMMYFUNCTION("IF(COUNTA(Q950:Q1673)=0,"""",IF(REGEXMATCH(INDEX(FILTER(Q$4:Q950,Q$4:Q950&lt;&gt;""""),ROWS(FILTER(Q$4:Q950,Q$4:Q950&lt;&gt;""""))),""^Sell_""),INDEX(FILTER(T$4:T949,Q$4:Q949&lt;&gt;""""),ROWS(FILTER(Q$4:Q949,Q$4:Q949&lt;&gt;""""))),$AD$5+S950))"),"")</f>
        <v/>
      </c>
      <c r="U950" s="10" t="str">
        <f>IFERROR(__xludf.DUMMYFUNCTION("IF(COUNTA(Q950:Q1673)=0,"""",IF(Q950="""",0,IF(REGEXMATCH(Q950,""^Sell_""),-ROUNDDOWN(ROUNDUP(INDEX(Upgrades!$C$3:$C$13,MATCH(SUBSTITUTE(Q950,""Sell_"",""""),Upgrades!$B$3:$B$13,0))*1.15^(COUNTIF(Q$4:Q949,SUBSTITUTE(Q950,""Sell_"",""""))-COUNTIF(Q$4:Q949,"&amp;"""Sell_""&amp;SUBSTITUTE(Q950,""Sell_"",""""))))/2),ROUNDUP(INDEX(Upgrades!$C$3:$C$13,MATCH(Q950,Upgrades!$B$3:$B$13,0))*1.15^(COUNTIF(Q$4:Q949,Q950)-COUNTIF(Q$4:Q949,""Sell_""&amp;Q950))))))"),"")</f>
        <v/>
      </c>
      <c r="V950" s="10" t="str">
        <f t="shared" si="11"/>
        <v/>
      </c>
      <c r="W950" s="68" t="str">
        <f t="shared" si="12"/>
        <v/>
      </c>
      <c r="X950" s="59" t="str">
        <f t="shared" si="13"/>
        <v/>
      </c>
      <c r="Y950" s="69" t="str">
        <f t="shared" si="14"/>
        <v/>
      </c>
      <c r="Z950" s="11"/>
    </row>
    <row r="951">
      <c r="A951" s="8"/>
      <c r="B951" s="56" t="str">
        <f t="shared" si="2"/>
        <v/>
      </c>
      <c r="C951" s="105"/>
      <c r="D951" s="10"/>
      <c r="E951" s="59" t="str">
        <f t="array" ref="E951">IF(COUNTA(C951:C1673)=0,"",SUM((COUNTIF(C$4:C951,Upgrades!$B$3:$B$13)-COUNTIF(C$4:C951,"Sell_"&amp;Upgrades!$B$3:$B$13))*Upgrades!$D$3:$D$13))</f>
        <v/>
      </c>
      <c r="F951" s="66" t="str">
        <f>IFERROR(__xludf.DUMMYFUNCTION("IF(COUNTA(C951:C1673)=0,"""",IF(REGEXMATCH(INDEX(FILTER(C$4:C951,C$4:C951&lt;&gt;""""),ROWS(FILTER(C$4:C951,C$4:C951&lt;&gt;""""))),""^Sell_""),INDEX(FILTER(F$4:F950,C$4:C950&lt;&gt;""""),ROWS(FILTER(C$4:C950,C$4:C950&lt;&gt;""""))),$AC$5+E951))"),"")</f>
        <v/>
      </c>
      <c r="G951" s="10" t="str">
        <f>IFERROR(__xludf.DUMMYFUNCTION("IF(COUNTA(C951:C1673)=0,"""",IF(C951="""",0,IF(REGEXMATCH(C951,""^Sell_""),-ROUNDDOWN(ROUNDUP(INDEX(Upgrades!$C$3:$C$13,MATCH(SUBSTITUTE(C951,""Sell_"",""""),Upgrades!$B$3:$B$13,0))*1.15^(COUNTIF(C$4:C950,SUBSTITUTE(C951,""Sell_"",""""))-COUNTIF(C$4:C950,"&amp;"""Sell_""&amp;SUBSTITUTE(C951,""Sell_"",""""))))/2),ROUNDUP(INDEX(Upgrades!$C$3:$C$13,MATCH(C951,Upgrades!$B$3:$B$13,0))*1.15^(COUNTIF(C$4:C950,C951)-COUNTIF(C$4:C950,""Sell_""&amp;C951))))))"),"")</f>
        <v/>
      </c>
      <c r="H951" s="10" t="str">
        <f t="shared" si="3"/>
        <v/>
      </c>
      <c r="I951" s="68" t="str">
        <f t="shared" si="4"/>
        <v/>
      </c>
      <c r="J951" s="59" t="str">
        <f t="shared" si="5"/>
        <v/>
      </c>
      <c r="K951" s="69" t="str">
        <f t="shared" si="6"/>
        <v/>
      </c>
      <c r="L951" s="60" t="str">
        <f t="shared" si="7"/>
        <v/>
      </c>
      <c r="M951" s="61" t="str">
        <f>IFERROR(__xludf.DUMMYFUNCTION("IFS(AND(COUNTA(C951:C1673)=0,COUNTA(Q951:Q1673)=0),"""",OR(AND(K951&gt;=1000000000,OR(Y951&gt;=1000000000,COUNTA(Q951:Q1673)=0)),OR(Y951&gt;=1000000000,AND(COUNTA(C951:C1673)=0,P$3=TRUE))),
ROUNDDOWN((AB$1-AC$1)*MAX(INDEX(T$4:T1673,MATCH(LARGE(FILTER(Y$4:Y1673,Y$4"&amp;":Y1673&lt;1000000000),1),Y$4:Y1673)),INDEX(F$4:F1673,MATCH(LARGE(FILTER(K$4:K1673,K$4:K1673&lt;1000000000),1),K$4:K1673)))),AND(K951&lt;1000000000,COUNTA(C951:C1673)&gt;0,P$3=FALSE),
ROUNDDOWN(INDEX(Y$4:Y1673,MATCH(LARGE(FILTER(W$4:W1673,W$4:W1673&lt;=I951),1),W$4:W1673"&amp;"))+(I951-LARGE(FILTER(W$4:W1673,W$4:W1673&lt;=I951),1))*INDEX(T$4:T1673,MATCH(LARGE(FILTER(W$4:W1673,W$4:W1673&lt;=I951),1),W$4:W1673))-K951),1,
ROUNDDOWN(Y951-INDEX(K$4:K1673,MATCH(LARGE(FILTER(I$4:I1673,I$4:I1673&lt;=W951),1),I$4:I1673))-(W951-LARGE(FILTER(I$4:I"&amp;"1673,I$4:I1673&lt;=W951),1))*INDEX(F$4:F1673,MATCH(LARGE(FILTER(I$4:I1673,I$4:I1673&lt;=W951),1),I$4:I1673))))"),"")</f>
        <v/>
      </c>
      <c r="N951" s="60" t="str">
        <f t="shared" si="8"/>
        <v/>
      </c>
      <c r="O951" s="61" t="str">
        <f t="shared" si="9"/>
        <v/>
      </c>
      <c r="P951" s="56" t="str">
        <f t="shared" si="10"/>
        <v/>
      </c>
      <c r="R951" s="10"/>
      <c r="S951" s="59" t="str">
        <f t="array" ref="S951">IF(COUNTA(Q951:Q1673)=0,"",SUM((COUNTIF(Q$4:Q951,Upgrades!$B$3:$B$13)-COUNTIF(Q$4:Q951,"Sell_"&amp;Upgrades!$B$3:$B$13))*Upgrades!$D$3:$D$13))</f>
        <v/>
      </c>
      <c r="T951" s="66" t="str">
        <f>IFERROR(__xludf.DUMMYFUNCTION("IF(COUNTA(Q951:Q1673)=0,"""",IF(REGEXMATCH(INDEX(FILTER(Q$4:Q951,Q$4:Q951&lt;&gt;""""),ROWS(FILTER(Q$4:Q951,Q$4:Q951&lt;&gt;""""))),""^Sell_""),INDEX(FILTER(T$4:T950,Q$4:Q950&lt;&gt;""""),ROWS(FILTER(Q$4:Q950,Q$4:Q950&lt;&gt;""""))),$AD$5+S951))"),"")</f>
        <v/>
      </c>
      <c r="U951" s="10" t="str">
        <f>IFERROR(__xludf.DUMMYFUNCTION("IF(COUNTA(Q951:Q1673)=0,"""",IF(Q951="""",0,IF(REGEXMATCH(Q951,""^Sell_""),-ROUNDDOWN(ROUNDUP(INDEX(Upgrades!$C$3:$C$13,MATCH(SUBSTITUTE(Q951,""Sell_"",""""),Upgrades!$B$3:$B$13,0))*1.15^(COUNTIF(Q$4:Q950,SUBSTITUTE(Q951,""Sell_"",""""))-COUNTIF(Q$4:Q950,"&amp;"""Sell_""&amp;SUBSTITUTE(Q951,""Sell_"",""""))))/2),ROUNDUP(INDEX(Upgrades!$C$3:$C$13,MATCH(Q951,Upgrades!$B$3:$B$13,0))*1.15^(COUNTIF(Q$4:Q950,Q951)-COUNTIF(Q$4:Q950,""Sell_""&amp;Q951))))))"),"")</f>
        <v/>
      </c>
      <c r="V951" s="10" t="str">
        <f t="shared" si="11"/>
        <v/>
      </c>
      <c r="W951" s="68" t="str">
        <f t="shared" si="12"/>
        <v/>
      </c>
      <c r="X951" s="59" t="str">
        <f t="shared" si="13"/>
        <v/>
      </c>
      <c r="Y951" s="69" t="str">
        <f t="shared" si="14"/>
        <v/>
      </c>
      <c r="Z951" s="11"/>
    </row>
    <row r="952">
      <c r="A952" s="8"/>
      <c r="B952" s="56" t="str">
        <f t="shared" si="2"/>
        <v/>
      </c>
      <c r="C952" s="105"/>
      <c r="D952" s="10"/>
      <c r="E952" s="59" t="str">
        <f t="array" ref="E952">IF(COUNTA(C952:C1673)=0,"",SUM((COUNTIF(C$4:C952,Upgrades!$B$3:$B$13)-COUNTIF(C$4:C952,"Sell_"&amp;Upgrades!$B$3:$B$13))*Upgrades!$D$3:$D$13))</f>
        <v/>
      </c>
      <c r="F952" s="66" t="str">
        <f>IFERROR(__xludf.DUMMYFUNCTION("IF(COUNTA(C952:C1673)=0,"""",IF(REGEXMATCH(INDEX(FILTER(C$4:C952,C$4:C952&lt;&gt;""""),ROWS(FILTER(C$4:C952,C$4:C952&lt;&gt;""""))),""^Sell_""),INDEX(FILTER(F$4:F951,C$4:C951&lt;&gt;""""),ROWS(FILTER(C$4:C951,C$4:C951&lt;&gt;""""))),$AC$5+E952))"),"")</f>
        <v/>
      </c>
      <c r="G952" s="10" t="str">
        <f>IFERROR(__xludf.DUMMYFUNCTION("IF(COUNTA(C952:C1673)=0,"""",IF(C952="""",0,IF(REGEXMATCH(C952,""^Sell_""),-ROUNDDOWN(ROUNDUP(INDEX(Upgrades!$C$3:$C$13,MATCH(SUBSTITUTE(C952,""Sell_"",""""),Upgrades!$B$3:$B$13,0))*1.15^(COUNTIF(C$4:C951,SUBSTITUTE(C952,""Sell_"",""""))-COUNTIF(C$4:C951,"&amp;"""Sell_""&amp;SUBSTITUTE(C952,""Sell_"",""""))))/2),ROUNDUP(INDEX(Upgrades!$C$3:$C$13,MATCH(C952,Upgrades!$B$3:$B$13,0))*1.15^(COUNTIF(C$4:C951,C952)-COUNTIF(C$4:C951,""Sell_""&amp;C952))))))"),"")</f>
        <v/>
      </c>
      <c r="H952" s="10" t="str">
        <f t="shared" si="3"/>
        <v/>
      </c>
      <c r="I952" s="68" t="str">
        <f t="shared" si="4"/>
        <v/>
      </c>
      <c r="J952" s="59" t="str">
        <f t="shared" si="5"/>
        <v/>
      </c>
      <c r="K952" s="69" t="str">
        <f t="shared" si="6"/>
        <v/>
      </c>
      <c r="L952" s="60" t="str">
        <f t="shared" si="7"/>
        <v/>
      </c>
      <c r="M952" s="61" t="str">
        <f>IFERROR(__xludf.DUMMYFUNCTION("IFS(AND(COUNTA(C952:C1673)=0,COUNTA(Q952:Q1673)=0),"""",OR(AND(K952&gt;=1000000000,OR(Y952&gt;=1000000000,COUNTA(Q952:Q1673)=0)),OR(Y952&gt;=1000000000,AND(COUNTA(C952:C1673)=0,P$3=TRUE))),
ROUNDDOWN((AB$1-AC$1)*MAX(INDEX(T$4:T1673,MATCH(LARGE(FILTER(Y$4:Y1673,Y$4"&amp;":Y1673&lt;1000000000),1),Y$4:Y1673)),INDEX(F$4:F1673,MATCH(LARGE(FILTER(K$4:K1673,K$4:K1673&lt;1000000000),1),K$4:K1673)))),AND(K952&lt;1000000000,COUNTA(C952:C1673)&gt;0,P$3=FALSE),
ROUNDDOWN(INDEX(Y$4:Y1673,MATCH(LARGE(FILTER(W$4:W1673,W$4:W1673&lt;=I952),1),W$4:W1673"&amp;"))+(I952-LARGE(FILTER(W$4:W1673,W$4:W1673&lt;=I952),1))*INDEX(T$4:T1673,MATCH(LARGE(FILTER(W$4:W1673,W$4:W1673&lt;=I952),1),W$4:W1673))-K952),1,
ROUNDDOWN(Y952-INDEX(K$4:K1673,MATCH(LARGE(FILTER(I$4:I1673,I$4:I1673&lt;=W952),1),I$4:I1673))-(W952-LARGE(FILTER(I$4:I"&amp;"1673,I$4:I1673&lt;=W952),1))*INDEX(F$4:F1673,MATCH(LARGE(FILTER(I$4:I1673,I$4:I1673&lt;=W952),1),I$4:I1673))))"),"")</f>
        <v/>
      </c>
      <c r="N952" s="60" t="str">
        <f t="shared" si="8"/>
        <v/>
      </c>
      <c r="O952" s="61" t="str">
        <f t="shared" si="9"/>
        <v/>
      </c>
      <c r="P952" s="56" t="str">
        <f t="shared" si="10"/>
        <v/>
      </c>
      <c r="R952" s="10"/>
      <c r="S952" s="59" t="str">
        <f t="array" ref="S952">IF(COUNTA(Q952:Q1673)=0,"",SUM((COUNTIF(Q$4:Q952,Upgrades!$B$3:$B$13)-COUNTIF(Q$4:Q952,"Sell_"&amp;Upgrades!$B$3:$B$13))*Upgrades!$D$3:$D$13))</f>
        <v/>
      </c>
      <c r="T952" s="66" t="str">
        <f>IFERROR(__xludf.DUMMYFUNCTION("IF(COUNTA(Q952:Q1673)=0,"""",IF(REGEXMATCH(INDEX(FILTER(Q$4:Q952,Q$4:Q952&lt;&gt;""""),ROWS(FILTER(Q$4:Q952,Q$4:Q952&lt;&gt;""""))),""^Sell_""),INDEX(FILTER(T$4:T951,Q$4:Q951&lt;&gt;""""),ROWS(FILTER(Q$4:Q951,Q$4:Q951&lt;&gt;""""))),$AD$5+S952))"),"")</f>
        <v/>
      </c>
      <c r="U952" s="10" t="str">
        <f>IFERROR(__xludf.DUMMYFUNCTION("IF(COUNTA(Q952:Q1673)=0,"""",IF(Q952="""",0,IF(REGEXMATCH(Q952,""^Sell_""),-ROUNDDOWN(ROUNDUP(INDEX(Upgrades!$C$3:$C$13,MATCH(SUBSTITUTE(Q952,""Sell_"",""""),Upgrades!$B$3:$B$13,0))*1.15^(COUNTIF(Q$4:Q951,SUBSTITUTE(Q952,""Sell_"",""""))-COUNTIF(Q$4:Q951,"&amp;"""Sell_""&amp;SUBSTITUTE(Q952,""Sell_"",""""))))/2),ROUNDUP(INDEX(Upgrades!$C$3:$C$13,MATCH(Q952,Upgrades!$B$3:$B$13,0))*1.15^(COUNTIF(Q$4:Q951,Q952)-COUNTIF(Q$4:Q951,""Sell_""&amp;Q952))))))"),"")</f>
        <v/>
      </c>
      <c r="V952" s="10" t="str">
        <f t="shared" si="11"/>
        <v/>
      </c>
      <c r="W952" s="68" t="str">
        <f t="shared" si="12"/>
        <v/>
      </c>
      <c r="X952" s="59" t="str">
        <f t="shared" si="13"/>
        <v/>
      </c>
      <c r="Y952" s="69" t="str">
        <f t="shared" si="14"/>
        <v/>
      </c>
      <c r="Z952" s="11"/>
    </row>
    <row r="953">
      <c r="A953" s="8"/>
      <c r="B953" s="56" t="str">
        <f t="shared" si="2"/>
        <v/>
      </c>
      <c r="C953" s="105"/>
      <c r="D953" s="10"/>
      <c r="E953" s="59" t="str">
        <f t="array" ref="E953">IF(COUNTA(C953:C1673)=0,"",SUM((COUNTIF(C$4:C953,Upgrades!$B$3:$B$13)-COUNTIF(C$4:C953,"Sell_"&amp;Upgrades!$B$3:$B$13))*Upgrades!$D$3:$D$13))</f>
        <v/>
      </c>
      <c r="F953" s="66" t="str">
        <f>IFERROR(__xludf.DUMMYFUNCTION("IF(COUNTA(C953:C1673)=0,"""",IF(REGEXMATCH(INDEX(FILTER(C$4:C953,C$4:C953&lt;&gt;""""),ROWS(FILTER(C$4:C953,C$4:C953&lt;&gt;""""))),""^Sell_""),INDEX(FILTER(F$4:F952,C$4:C952&lt;&gt;""""),ROWS(FILTER(C$4:C952,C$4:C952&lt;&gt;""""))),$AC$5+E953))"),"")</f>
        <v/>
      </c>
      <c r="G953" s="10" t="str">
        <f>IFERROR(__xludf.DUMMYFUNCTION("IF(COUNTA(C953:C1673)=0,"""",IF(C953="""",0,IF(REGEXMATCH(C953,""^Sell_""),-ROUNDDOWN(ROUNDUP(INDEX(Upgrades!$C$3:$C$13,MATCH(SUBSTITUTE(C953,""Sell_"",""""),Upgrades!$B$3:$B$13,0))*1.15^(COUNTIF(C$4:C952,SUBSTITUTE(C953,""Sell_"",""""))-COUNTIF(C$4:C952,"&amp;"""Sell_""&amp;SUBSTITUTE(C953,""Sell_"",""""))))/2),ROUNDUP(INDEX(Upgrades!$C$3:$C$13,MATCH(C953,Upgrades!$B$3:$B$13,0))*1.15^(COUNTIF(C$4:C952,C953)-COUNTIF(C$4:C952,""Sell_""&amp;C953))))))"),"")</f>
        <v/>
      </c>
      <c r="H953" s="10" t="str">
        <f t="shared" si="3"/>
        <v/>
      </c>
      <c r="I953" s="68" t="str">
        <f t="shared" si="4"/>
        <v/>
      </c>
      <c r="J953" s="59" t="str">
        <f t="shared" si="5"/>
        <v/>
      </c>
      <c r="K953" s="69" t="str">
        <f t="shared" si="6"/>
        <v/>
      </c>
      <c r="L953" s="60" t="str">
        <f t="shared" si="7"/>
        <v/>
      </c>
      <c r="M953" s="61" t="str">
        <f>IFERROR(__xludf.DUMMYFUNCTION("IFS(AND(COUNTA(C953:C1673)=0,COUNTA(Q953:Q1673)=0),"""",OR(AND(K953&gt;=1000000000,OR(Y953&gt;=1000000000,COUNTA(Q953:Q1673)=0)),OR(Y953&gt;=1000000000,AND(COUNTA(C953:C1673)=0,P$3=TRUE))),
ROUNDDOWN((AB$1-AC$1)*MAX(INDEX(T$4:T1673,MATCH(LARGE(FILTER(Y$4:Y1673,Y$4"&amp;":Y1673&lt;1000000000),1),Y$4:Y1673)),INDEX(F$4:F1673,MATCH(LARGE(FILTER(K$4:K1673,K$4:K1673&lt;1000000000),1),K$4:K1673)))),AND(K953&lt;1000000000,COUNTA(C953:C1673)&gt;0,P$3=FALSE),
ROUNDDOWN(INDEX(Y$4:Y1673,MATCH(LARGE(FILTER(W$4:W1673,W$4:W1673&lt;=I953),1),W$4:W1673"&amp;"))+(I953-LARGE(FILTER(W$4:W1673,W$4:W1673&lt;=I953),1))*INDEX(T$4:T1673,MATCH(LARGE(FILTER(W$4:W1673,W$4:W1673&lt;=I953),1),W$4:W1673))-K953),1,
ROUNDDOWN(Y953-INDEX(K$4:K1673,MATCH(LARGE(FILTER(I$4:I1673,I$4:I1673&lt;=W953),1),I$4:I1673))-(W953-LARGE(FILTER(I$4:I"&amp;"1673,I$4:I1673&lt;=W953),1))*INDEX(F$4:F1673,MATCH(LARGE(FILTER(I$4:I1673,I$4:I1673&lt;=W953),1),I$4:I1673))))"),"")</f>
        <v/>
      </c>
      <c r="N953" s="60" t="str">
        <f t="shared" si="8"/>
        <v/>
      </c>
      <c r="O953" s="61" t="str">
        <f t="shared" si="9"/>
        <v/>
      </c>
      <c r="P953" s="56" t="str">
        <f t="shared" si="10"/>
        <v/>
      </c>
      <c r="R953" s="10"/>
      <c r="S953" s="59" t="str">
        <f t="array" ref="S953">IF(COUNTA(Q953:Q1673)=0,"",SUM((COUNTIF(Q$4:Q953,Upgrades!$B$3:$B$13)-COUNTIF(Q$4:Q953,"Sell_"&amp;Upgrades!$B$3:$B$13))*Upgrades!$D$3:$D$13))</f>
        <v/>
      </c>
      <c r="T953" s="66" t="str">
        <f>IFERROR(__xludf.DUMMYFUNCTION("IF(COUNTA(Q953:Q1673)=0,"""",IF(REGEXMATCH(INDEX(FILTER(Q$4:Q953,Q$4:Q953&lt;&gt;""""),ROWS(FILTER(Q$4:Q953,Q$4:Q953&lt;&gt;""""))),""^Sell_""),INDEX(FILTER(T$4:T952,Q$4:Q952&lt;&gt;""""),ROWS(FILTER(Q$4:Q952,Q$4:Q952&lt;&gt;""""))),$AD$5+S953))"),"")</f>
        <v/>
      </c>
      <c r="U953" s="10" t="str">
        <f>IFERROR(__xludf.DUMMYFUNCTION("IF(COUNTA(Q953:Q1673)=0,"""",IF(Q953="""",0,IF(REGEXMATCH(Q953,""^Sell_""),-ROUNDDOWN(ROUNDUP(INDEX(Upgrades!$C$3:$C$13,MATCH(SUBSTITUTE(Q953,""Sell_"",""""),Upgrades!$B$3:$B$13,0))*1.15^(COUNTIF(Q$4:Q952,SUBSTITUTE(Q953,""Sell_"",""""))-COUNTIF(Q$4:Q952,"&amp;"""Sell_""&amp;SUBSTITUTE(Q953,""Sell_"",""""))))/2),ROUNDUP(INDEX(Upgrades!$C$3:$C$13,MATCH(Q953,Upgrades!$B$3:$B$13,0))*1.15^(COUNTIF(Q$4:Q952,Q953)-COUNTIF(Q$4:Q952,""Sell_""&amp;Q953))))))"),"")</f>
        <v/>
      </c>
      <c r="V953" s="10" t="str">
        <f t="shared" si="11"/>
        <v/>
      </c>
      <c r="W953" s="68" t="str">
        <f t="shared" si="12"/>
        <v/>
      </c>
      <c r="X953" s="59" t="str">
        <f t="shared" si="13"/>
        <v/>
      </c>
      <c r="Y953" s="69" t="str">
        <f t="shared" si="14"/>
        <v/>
      </c>
      <c r="Z953" s="11"/>
    </row>
    <row r="954">
      <c r="A954" s="8"/>
      <c r="B954" s="56" t="str">
        <f t="shared" si="2"/>
        <v/>
      </c>
      <c r="C954" s="105"/>
      <c r="D954" s="10"/>
      <c r="E954" s="59" t="str">
        <f t="array" ref="E954">IF(COUNTA(C954:C1673)=0,"",SUM((COUNTIF(C$4:C954,Upgrades!$B$3:$B$13)-COUNTIF(C$4:C954,"Sell_"&amp;Upgrades!$B$3:$B$13))*Upgrades!$D$3:$D$13))</f>
        <v/>
      </c>
      <c r="F954" s="66" t="str">
        <f>IFERROR(__xludf.DUMMYFUNCTION("IF(COUNTA(C954:C1673)=0,"""",IF(REGEXMATCH(INDEX(FILTER(C$4:C954,C$4:C954&lt;&gt;""""),ROWS(FILTER(C$4:C954,C$4:C954&lt;&gt;""""))),""^Sell_""),INDEX(FILTER(F$4:F953,C$4:C953&lt;&gt;""""),ROWS(FILTER(C$4:C953,C$4:C953&lt;&gt;""""))),$AC$5+E954))"),"")</f>
        <v/>
      </c>
      <c r="G954" s="10" t="str">
        <f>IFERROR(__xludf.DUMMYFUNCTION("IF(COUNTA(C954:C1673)=0,"""",IF(C954="""",0,IF(REGEXMATCH(C954,""^Sell_""),-ROUNDDOWN(ROUNDUP(INDEX(Upgrades!$C$3:$C$13,MATCH(SUBSTITUTE(C954,""Sell_"",""""),Upgrades!$B$3:$B$13,0))*1.15^(COUNTIF(C$4:C953,SUBSTITUTE(C954,""Sell_"",""""))-COUNTIF(C$4:C953,"&amp;"""Sell_""&amp;SUBSTITUTE(C954,""Sell_"",""""))))/2),ROUNDUP(INDEX(Upgrades!$C$3:$C$13,MATCH(C954,Upgrades!$B$3:$B$13,0))*1.15^(COUNTIF(C$4:C953,C954)-COUNTIF(C$4:C953,""Sell_""&amp;C954))))))"),"")</f>
        <v/>
      </c>
      <c r="H954" s="10" t="str">
        <f t="shared" si="3"/>
        <v/>
      </c>
      <c r="I954" s="68" t="str">
        <f t="shared" si="4"/>
        <v/>
      </c>
      <c r="J954" s="59" t="str">
        <f t="shared" si="5"/>
        <v/>
      </c>
      <c r="K954" s="69" t="str">
        <f t="shared" si="6"/>
        <v/>
      </c>
      <c r="L954" s="60" t="str">
        <f t="shared" si="7"/>
        <v/>
      </c>
      <c r="M954" s="61" t="str">
        <f>IFERROR(__xludf.DUMMYFUNCTION("IFS(AND(COUNTA(C954:C1673)=0,COUNTA(Q954:Q1673)=0),"""",OR(AND(K954&gt;=1000000000,OR(Y954&gt;=1000000000,COUNTA(Q954:Q1673)=0)),OR(Y954&gt;=1000000000,AND(COUNTA(C954:C1673)=0,P$3=TRUE))),
ROUNDDOWN((AB$1-AC$1)*MAX(INDEX(T$4:T1673,MATCH(LARGE(FILTER(Y$4:Y1673,Y$4"&amp;":Y1673&lt;1000000000),1),Y$4:Y1673)),INDEX(F$4:F1673,MATCH(LARGE(FILTER(K$4:K1673,K$4:K1673&lt;1000000000),1),K$4:K1673)))),AND(K954&lt;1000000000,COUNTA(C954:C1673)&gt;0,P$3=FALSE),
ROUNDDOWN(INDEX(Y$4:Y1673,MATCH(LARGE(FILTER(W$4:W1673,W$4:W1673&lt;=I954),1),W$4:W1673"&amp;"))+(I954-LARGE(FILTER(W$4:W1673,W$4:W1673&lt;=I954),1))*INDEX(T$4:T1673,MATCH(LARGE(FILTER(W$4:W1673,W$4:W1673&lt;=I954),1),W$4:W1673))-K954),1,
ROUNDDOWN(Y954-INDEX(K$4:K1673,MATCH(LARGE(FILTER(I$4:I1673,I$4:I1673&lt;=W954),1),I$4:I1673))-(W954-LARGE(FILTER(I$4:I"&amp;"1673,I$4:I1673&lt;=W954),1))*INDEX(F$4:F1673,MATCH(LARGE(FILTER(I$4:I1673,I$4:I1673&lt;=W954),1),I$4:I1673))))"),"")</f>
        <v/>
      </c>
      <c r="N954" s="60" t="str">
        <f t="shared" si="8"/>
        <v/>
      </c>
      <c r="O954" s="61" t="str">
        <f t="shared" si="9"/>
        <v/>
      </c>
      <c r="P954" s="56" t="str">
        <f t="shared" si="10"/>
        <v/>
      </c>
      <c r="R954" s="10"/>
      <c r="S954" s="59" t="str">
        <f t="array" ref="S954">IF(COUNTA(Q954:Q1673)=0,"",SUM((COUNTIF(Q$4:Q954,Upgrades!$B$3:$B$13)-COUNTIF(Q$4:Q954,"Sell_"&amp;Upgrades!$B$3:$B$13))*Upgrades!$D$3:$D$13))</f>
        <v/>
      </c>
      <c r="T954" s="66" t="str">
        <f>IFERROR(__xludf.DUMMYFUNCTION("IF(COUNTA(Q954:Q1673)=0,"""",IF(REGEXMATCH(INDEX(FILTER(Q$4:Q954,Q$4:Q954&lt;&gt;""""),ROWS(FILTER(Q$4:Q954,Q$4:Q954&lt;&gt;""""))),""^Sell_""),INDEX(FILTER(T$4:T953,Q$4:Q953&lt;&gt;""""),ROWS(FILTER(Q$4:Q953,Q$4:Q953&lt;&gt;""""))),$AD$5+S954))"),"")</f>
        <v/>
      </c>
      <c r="U954" s="10" t="str">
        <f>IFERROR(__xludf.DUMMYFUNCTION("IF(COUNTA(Q954:Q1673)=0,"""",IF(Q954="""",0,IF(REGEXMATCH(Q954,""^Sell_""),-ROUNDDOWN(ROUNDUP(INDEX(Upgrades!$C$3:$C$13,MATCH(SUBSTITUTE(Q954,""Sell_"",""""),Upgrades!$B$3:$B$13,0))*1.15^(COUNTIF(Q$4:Q953,SUBSTITUTE(Q954,""Sell_"",""""))-COUNTIF(Q$4:Q953,"&amp;"""Sell_""&amp;SUBSTITUTE(Q954,""Sell_"",""""))))/2),ROUNDUP(INDEX(Upgrades!$C$3:$C$13,MATCH(Q954,Upgrades!$B$3:$B$13,0))*1.15^(COUNTIF(Q$4:Q953,Q954)-COUNTIF(Q$4:Q953,""Sell_""&amp;Q954))))))"),"")</f>
        <v/>
      </c>
      <c r="V954" s="10" t="str">
        <f t="shared" si="11"/>
        <v/>
      </c>
      <c r="W954" s="68" t="str">
        <f t="shared" si="12"/>
        <v/>
      </c>
      <c r="X954" s="59" t="str">
        <f t="shared" si="13"/>
        <v/>
      </c>
      <c r="Y954" s="69" t="str">
        <f t="shared" si="14"/>
        <v/>
      </c>
      <c r="Z954" s="11"/>
    </row>
    <row r="955">
      <c r="A955" s="8"/>
      <c r="B955" s="56" t="str">
        <f t="shared" si="2"/>
        <v/>
      </c>
      <c r="C955" s="105"/>
      <c r="D955" s="10"/>
      <c r="E955" s="59" t="str">
        <f t="array" ref="E955">IF(COUNTA(C955:C1673)=0,"",SUM((COUNTIF(C$4:C955,Upgrades!$B$3:$B$13)-COUNTIF(C$4:C955,"Sell_"&amp;Upgrades!$B$3:$B$13))*Upgrades!$D$3:$D$13))</f>
        <v/>
      </c>
      <c r="F955" s="66" t="str">
        <f>IFERROR(__xludf.DUMMYFUNCTION("IF(COUNTA(C955:C1673)=0,"""",IF(REGEXMATCH(INDEX(FILTER(C$4:C955,C$4:C955&lt;&gt;""""),ROWS(FILTER(C$4:C955,C$4:C955&lt;&gt;""""))),""^Sell_""),INDEX(FILTER(F$4:F954,C$4:C954&lt;&gt;""""),ROWS(FILTER(C$4:C954,C$4:C954&lt;&gt;""""))),$AC$5+E955))"),"")</f>
        <v/>
      </c>
      <c r="G955" s="10" t="str">
        <f>IFERROR(__xludf.DUMMYFUNCTION("IF(COUNTA(C955:C1673)=0,"""",IF(C955="""",0,IF(REGEXMATCH(C955,""^Sell_""),-ROUNDDOWN(ROUNDUP(INDEX(Upgrades!$C$3:$C$13,MATCH(SUBSTITUTE(C955,""Sell_"",""""),Upgrades!$B$3:$B$13,0))*1.15^(COUNTIF(C$4:C954,SUBSTITUTE(C955,""Sell_"",""""))-COUNTIF(C$4:C954,"&amp;"""Sell_""&amp;SUBSTITUTE(C955,""Sell_"",""""))))/2),ROUNDUP(INDEX(Upgrades!$C$3:$C$13,MATCH(C955,Upgrades!$B$3:$B$13,0))*1.15^(COUNTIF(C$4:C954,C955)-COUNTIF(C$4:C954,""Sell_""&amp;C955))))))"),"")</f>
        <v/>
      </c>
      <c r="H955" s="10" t="str">
        <f t="shared" si="3"/>
        <v/>
      </c>
      <c r="I955" s="68" t="str">
        <f t="shared" si="4"/>
        <v/>
      </c>
      <c r="J955" s="59" t="str">
        <f t="shared" si="5"/>
        <v/>
      </c>
      <c r="K955" s="69" t="str">
        <f t="shared" si="6"/>
        <v/>
      </c>
      <c r="L955" s="60" t="str">
        <f t="shared" si="7"/>
        <v/>
      </c>
      <c r="M955" s="61" t="str">
        <f>IFERROR(__xludf.DUMMYFUNCTION("IFS(AND(COUNTA(C955:C1673)=0,COUNTA(Q955:Q1673)=0),"""",OR(AND(K955&gt;=1000000000,OR(Y955&gt;=1000000000,COUNTA(Q955:Q1673)=0)),OR(Y955&gt;=1000000000,AND(COUNTA(C955:C1673)=0,P$3=TRUE))),
ROUNDDOWN((AB$1-AC$1)*MAX(INDEX(T$4:T1673,MATCH(LARGE(FILTER(Y$4:Y1673,Y$4"&amp;":Y1673&lt;1000000000),1),Y$4:Y1673)),INDEX(F$4:F1673,MATCH(LARGE(FILTER(K$4:K1673,K$4:K1673&lt;1000000000),1),K$4:K1673)))),AND(K955&lt;1000000000,COUNTA(C955:C1673)&gt;0,P$3=FALSE),
ROUNDDOWN(INDEX(Y$4:Y1673,MATCH(LARGE(FILTER(W$4:W1673,W$4:W1673&lt;=I955),1),W$4:W1673"&amp;"))+(I955-LARGE(FILTER(W$4:W1673,W$4:W1673&lt;=I955),1))*INDEX(T$4:T1673,MATCH(LARGE(FILTER(W$4:W1673,W$4:W1673&lt;=I955),1),W$4:W1673))-K955),1,
ROUNDDOWN(Y955-INDEX(K$4:K1673,MATCH(LARGE(FILTER(I$4:I1673,I$4:I1673&lt;=W955),1),I$4:I1673))-(W955-LARGE(FILTER(I$4:I"&amp;"1673,I$4:I1673&lt;=W955),1))*INDEX(F$4:F1673,MATCH(LARGE(FILTER(I$4:I1673,I$4:I1673&lt;=W955),1),I$4:I1673))))"),"")</f>
        <v/>
      </c>
      <c r="N955" s="60" t="str">
        <f t="shared" si="8"/>
        <v/>
      </c>
      <c r="O955" s="61" t="str">
        <f t="shared" si="9"/>
        <v/>
      </c>
      <c r="P955" s="56" t="str">
        <f t="shared" si="10"/>
        <v/>
      </c>
      <c r="R955" s="10"/>
      <c r="S955" s="59" t="str">
        <f t="array" ref="S955">IF(COUNTA(Q955:Q1673)=0,"",SUM((COUNTIF(Q$4:Q955,Upgrades!$B$3:$B$13)-COUNTIF(Q$4:Q955,"Sell_"&amp;Upgrades!$B$3:$B$13))*Upgrades!$D$3:$D$13))</f>
        <v/>
      </c>
      <c r="T955" s="66" t="str">
        <f>IFERROR(__xludf.DUMMYFUNCTION("IF(COUNTA(Q955:Q1673)=0,"""",IF(REGEXMATCH(INDEX(FILTER(Q$4:Q955,Q$4:Q955&lt;&gt;""""),ROWS(FILTER(Q$4:Q955,Q$4:Q955&lt;&gt;""""))),""^Sell_""),INDEX(FILTER(T$4:T954,Q$4:Q954&lt;&gt;""""),ROWS(FILTER(Q$4:Q954,Q$4:Q954&lt;&gt;""""))),$AD$5+S955))"),"")</f>
        <v/>
      </c>
      <c r="U955" s="10" t="str">
        <f>IFERROR(__xludf.DUMMYFUNCTION("IF(COUNTA(Q955:Q1673)=0,"""",IF(Q955="""",0,IF(REGEXMATCH(Q955,""^Sell_""),-ROUNDDOWN(ROUNDUP(INDEX(Upgrades!$C$3:$C$13,MATCH(SUBSTITUTE(Q955,""Sell_"",""""),Upgrades!$B$3:$B$13,0))*1.15^(COUNTIF(Q$4:Q954,SUBSTITUTE(Q955,""Sell_"",""""))-COUNTIF(Q$4:Q954,"&amp;"""Sell_""&amp;SUBSTITUTE(Q955,""Sell_"",""""))))/2),ROUNDUP(INDEX(Upgrades!$C$3:$C$13,MATCH(Q955,Upgrades!$B$3:$B$13,0))*1.15^(COUNTIF(Q$4:Q954,Q955)-COUNTIF(Q$4:Q954,""Sell_""&amp;Q955))))))"),"")</f>
        <v/>
      </c>
      <c r="V955" s="10" t="str">
        <f t="shared" si="11"/>
        <v/>
      </c>
      <c r="W955" s="68" t="str">
        <f t="shared" si="12"/>
        <v/>
      </c>
      <c r="X955" s="59" t="str">
        <f t="shared" si="13"/>
        <v/>
      </c>
      <c r="Y955" s="69" t="str">
        <f t="shared" si="14"/>
        <v/>
      </c>
      <c r="Z955" s="11"/>
    </row>
    <row r="956">
      <c r="A956" s="8"/>
      <c r="B956" s="56" t="str">
        <f t="shared" si="2"/>
        <v/>
      </c>
      <c r="C956" s="105"/>
      <c r="D956" s="10"/>
      <c r="E956" s="59" t="str">
        <f t="array" ref="E956">IF(COUNTA(C956:C1673)=0,"",SUM((COUNTIF(C$4:C956,Upgrades!$B$3:$B$13)-COUNTIF(C$4:C956,"Sell_"&amp;Upgrades!$B$3:$B$13))*Upgrades!$D$3:$D$13))</f>
        <v/>
      </c>
      <c r="F956" s="66" t="str">
        <f>IFERROR(__xludf.DUMMYFUNCTION("IF(COUNTA(C956:C1673)=0,"""",IF(REGEXMATCH(INDEX(FILTER(C$4:C956,C$4:C956&lt;&gt;""""),ROWS(FILTER(C$4:C956,C$4:C956&lt;&gt;""""))),""^Sell_""),INDEX(FILTER(F$4:F955,C$4:C955&lt;&gt;""""),ROWS(FILTER(C$4:C955,C$4:C955&lt;&gt;""""))),$AC$5+E956))"),"")</f>
        <v/>
      </c>
      <c r="G956" s="10" t="str">
        <f>IFERROR(__xludf.DUMMYFUNCTION("IF(COUNTA(C956:C1673)=0,"""",IF(C956="""",0,IF(REGEXMATCH(C956,""^Sell_""),-ROUNDDOWN(ROUNDUP(INDEX(Upgrades!$C$3:$C$13,MATCH(SUBSTITUTE(C956,""Sell_"",""""),Upgrades!$B$3:$B$13,0))*1.15^(COUNTIF(C$4:C955,SUBSTITUTE(C956,""Sell_"",""""))-COUNTIF(C$4:C955,"&amp;"""Sell_""&amp;SUBSTITUTE(C956,""Sell_"",""""))))/2),ROUNDUP(INDEX(Upgrades!$C$3:$C$13,MATCH(C956,Upgrades!$B$3:$B$13,0))*1.15^(COUNTIF(C$4:C955,C956)-COUNTIF(C$4:C955,""Sell_""&amp;C956))))))"),"")</f>
        <v/>
      </c>
      <c r="H956" s="10" t="str">
        <f t="shared" si="3"/>
        <v/>
      </c>
      <c r="I956" s="68" t="str">
        <f t="shared" si="4"/>
        <v/>
      </c>
      <c r="J956" s="59" t="str">
        <f t="shared" si="5"/>
        <v/>
      </c>
      <c r="K956" s="69" t="str">
        <f t="shared" si="6"/>
        <v/>
      </c>
      <c r="L956" s="60" t="str">
        <f t="shared" si="7"/>
        <v/>
      </c>
      <c r="M956" s="61" t="str">
        <f>IFERROR(__xludf.DUMMYFUNCTION("IFS(AND(COUNTA(C956:C1673)=0,COUNTA(Q956:Q1673)=0),"""",OR(AND(K956&gt;=1000000000,OR(Y956&gt;=1000000000,COUNTA(Q956:Q1673)=0)),OR(Y956&gt;=1000000000,AND(COUNTA(C956:C1673)=0,P$3=TRUE))),
ROUNDDOWN((AB$1-AC$1)*MAX(INDEX(T$4:T1673,MATCH(LARGE(FILTER(Y$4:Y1673,Y$4"&amp;":Y1673&lt;1000000000),1),Y$4:Y1673)),INDEX(F$4:F1673,MATCH(LARGE(FILTER(K$4:K1673,K$4:K1673&lt;1000000000),1),K$4:K1673)))),AND(K956&lt;1000000000,COUNTA(C956:C1673)&gt;0,P$3=FALSE),
ROUNDDOWN(INDEX(Y$4:Y1673,MATCH(LARGE(FILTER(W$4:W1673,W$4:W1673&lt;=I956),1),W$4:W1673"&amp;"))+(I956-LARGE(FILTER(W$4:W1673,W$4:W1673&lt;=I956),1))*INDEX(T$4:T1673,MATCH(LARGE(FILTER(W$4:W1673,W$4:W1673&lt;=I956),1),W$4:W1673))-K956),1,
ROUNDDOWN(Y956-INDEX(K$4:K1673,MATCH(LARGE(FILTER(I$4:I1673,I$4:I1673&lt;=W956),1),I$4:I1673))-(W956-LARGE(FILTER(I$4:I"&amp;"1673,I$4:I1673&lt;=W956),1))*INDEX(F$4:F1673,MATCH(LARGE(FILTER(I$4:I1673,I$4:I1673&lt;=W956),1),I$4:I1673))))"),"")</f>
        <v/>
      </c>
      <c r="N956" s="60" t="str">
        <f t="shared" si="8"/>
        <v/>
      </c>
      <c r="O956" s="61" t="str">
        <f t="shared" si="9"/>
        <v/>
      </c>
      <c r="P956" s="56" t="str">
        <f t="shared" si="10"/>
        <v/>
      </c>
      <c r="R956" s="10"/>
      <c r="S956" s="59" t="str">
        <f t="array" ref="S956">IF(COUNTA(Q956:Q1673)=0,"",SUM((COUNTIF(Q$4:Q956,Upgrades!$B$3:$B$13)-COUNTIF(Q$4:Q956,"Sell_"&amp;Upgrades!$B$3:$B$13))*Upgrades!$D$3:$D$13))</f>
        <v/>
      </c>
      <c r="T956" s="66" t="str">
        <f>IFERROR(__xludf.DUMMYFUNCTION("IF(COUNTA(Q956:Q1673)=0,"""",IF(REGEXMATCH(INDEX(FILTER(Q$4:Q956,Q$4:Q956&lt;&gt;""""),ROWS(FILTER(Q$4:Q956,Q$4:Q956&lt;&gt;""""))),""^Sell_""),INDEX(FILTER(T$4:T955,Q$4:Q955&lt;&gt;""""),ROWS(FILTER(Q$4:Q955,Q$4:Q955&lt;&gt;""""))),$AD$5+S956))"),"")</f>
        <v/>
      </c>
      <c r="U956" s="10" t="str">
        <f>IFERROR(__xludf.DUMMYFUNCTION("IF(COUNTA(Q956:Q1673)=0,"""",IF(Q956="""",0,IF(REGEXMATCH(Q956,""^Sell_""),-ROUNDDOWN(ROUNDUP(INDEX(Upgrades!$C$3:$C$13,MATCH(SUBSTITUTE(Q956,""Sell_"",""""),Upgrades!$B$3:$B$13,0))*1.15^(COUNTIF(Q$4:Q955,SUBSTITUTE(Q956,""Sell_"",""""))-COUNTIF(Q$4:Q955,"&amp;"""Sell_""&amp;SUBSTITUTE(Q956,""Sell_"",""""))))/2),ROUNDUP(INDEX(Upgrades!$C$3:$C$13,MATCH(Q956,Upgrades!$B$3:$B$13,0))*1.15^(COUNTIF(Q$4:Q955,Q956)-COUNTIF(Q$4:Q955,""Sell_""&amp;Q956))))))"),"")</f>
        <v/>
      </c>
      <c r="V956" s="10" t="str">
        <f t="shared" si="11"/>
        <v/>
      </c>
      <c r="W956" s="68" t="str">
        <f t="shared" si="12"/>
        <v/>
      </c>
      <c r="X956" s="59" t="str">
        <f t="shared" si="13"/>
        <v/>
      </c>
      <c r="Y956" s="69" t="str">
        <f t="shared" si="14"/>
        <v/>
      </c>
      <c r="Z956" s="11"/>
    </row>
    <row r="957">
      <c r="A957" s="8"/>
      <c r="B957" s="56" t="str">
        <f t="shared" si="2"/>
        <v/>
      </c>
      <c r="C957" s="105"/>
      <c r="D957" s="10"/>
      <c r="E957" s="59" t="str">
        <f t="array" ref="E957">IF(COUNTA(C957:C1673)=0,"",SUM((COUNTIF(C$4:C957,Upgrades!$B$3:$B$13)-COUNTIF(C$4:C957,"Sell_"&amp;Upgrades!$B$3:$B$13))*Upgrades!$D$3:$D$13))</f>
        <v/>
      </c>
      <c r="F957" s="66" t="str">
        <f>IFERROR(__xludf.DUMMYFUNCTION("IF(COUNTA(C957:C1673)=0,"""",IF(REGEXMATCH(INDEX(FILTER(C$4:C957,C$4:C957&lt;&gt;""""),ROWS(FILTER(C$4:C957,C$4:C957&lt;&gt;""""))),""^Sell_""),INDEX(FILTER(F$4:F956,C$4:C956&lt;&gt;""""),ROWS(FILTER(C$4:C956,C$4:C956&lt;&gt;""""))),$AC$5+E957))"),"")</f>
        <v/>
      </c>
      <c r="G957" s="10" t="str">
        <f>IFERROR(__xludf.DUMMYFUNCTION("IF(COUNTA(C957:C1673)=0,"""",IF(C957="""",0,IF(REGEXMATCH(C957,""^Sell_""),-ROUNDDOWN(ROUNDUP(INDEX(Upgrades!$C$3:$C$13,MATCH(SUBSTITUTE(C957,""Sell_"",""""),Upgrades!$B$3:$B$13,0))*1.15^(COUNTIF(C$4:C956,SUBSTITUTE(C957,""Sell_"",""""))-COUNTIF(C$4:C956,"&amp;"""Sell_""&amp;SUBSTITUTE(C957,""Sell_"",""""))))/2),ROUNDUP(INDEX(Upgrades!$C$3:$C$13,MATCH(C957,Upgrades!$B$3:$B$13,0))*1.15^(COUNTIF(C$4:C956,C957)-COUNTIF(C$4:C956,""Sell_""&amp;C957))))))"),"")</f>
        <v/>
      </c>
      <c r="H957" s="10" t="str">
        <f t="shared" si="3"/>
        <v/>
      </c>
      <c r="I957" s="68" t="str">
        <f t="shared" si="4"/>
        <v/>
      </c>
      <c r="J957" s="59" t="str">
        <f t="shared" si="5"/>
        <v/>
      </c>
      <c r="K957" s="69" t="str">
        <f t="shared" si="6"/>
        <v/>
      </c>
      <c r="L957" s="60" t="str">
        <f t="shared" si="7"/>
        <v/>
      </c>
      <c r="M957" s="61" t="str">
        <f>IFERROR(__xludf.DUMMYFUNCTION("IFS(AND(COUNTA(C957:C1673)=0,COUNTA(Q957:Q1673)=0),"""",OR(AND(K957&gt;=1000000000,OR(Y957&gt;=1000000000,COUNTA(Q957:Q1673)=0)),OR(Y957&gt;=1000000000,AND(COUNTA(C957:C1673)=0,P$3=TRUE))),
ROUNDDOWN((AB$1-AC$1)*MAX(INDEX(T$4:T1673,MATCH(LARGE(FILTER(Y$4:Y1673,Y$4"&amp;":Y1673&lt;1000000000),1),Y$4:Y1673)),INDEX(F$4:F1673,MATCH(LARGE(FILTER(K$4:K1673,K$4:K1673&lt;1000000000),1),K$4:K1673)))),AND(K957&lt;1000000000,COUNTA(C957:C1673)&gt;0,P$3=FALSE),
ROUNDDOWN(INDEX(Y$4:Y1673,MATCH(LARGE(FILTER(W$4:W1673,W$4:W1673&lt;=I957),1),W$4:W1673"&amp;"))+(I957-LARGE(FILTER(W$4:W1673,W$4:W1673&lt;=I957),1))*INDEX(T$4:T1673,MATCH(LARGE(FILTER(W$4:W1673,W$4:W1673&lt;=I957),1),W$4:W1673))-K957),1,
ROUNDDOWN(Y957-INDEX(K$4:K1673,MATCH(LARGE(FILTER(I$4:I1673,I$4:I1673&lt;=W957),1),I$4:I1673))-(W957-LARGE(FILTER(I$4:I"&amp;"1673,I$4:I1673&lt;=W957),1))*INDEX(F$4:F1673,MATCH(LARGE(FILTER(I$4:I1673,I$4:I1673&lt;=W957),1),I$4:I1673))))"),"")</f>
        <v/>
      </c>
      <c r="N957" s="60" t="str">
        <f t="shared" si="8"/>
        <v/>
      </c>
      <c r="O957" s="61" t="str">
        <f t="shared" si="9"/>
        <v/>
      </c>
      <c r="P957" s="56" t="str">
        <f t="shared" si="10"/>
        <v/>
      </c>
      <c r="R957" s="10"/>
      <c r="S957" s="59" t="str">
        <f t="array" ref="S957">IF(COUNTA(Q957:Q1673)=0,"",SUM((COUNTIF(Q$4:Q957,Upgrades!$B$3:$B$13)-COUNTIF(Q$4:Q957,"Sell_"&amp;Upgrades!$B$3:$B$13))*Upgrades!$D$3:$D$13))</f>
        <v/>
      </c>
      <c r="T957" s="66" t="str">
        <f>IFERROR(__xludf.DUMMYFUNCTION("IF(COUNTA(Q957:Q1673)=0,"""",IF(REGEXMATCH(INDEX(FILTER(Q$4:Q957,Q$4:Q957&lt;&gt;""""),ROWS(FILTER(Q$4:Q957,Q$4:Q957&lt;&gt;""""))),""^Sell_""),INDEX(FILTER(T$4:T956,Q$4:Q956&lt;&gt;""""),ROWS(FILTER(Q$4:Q956,Q$4:Q956&lt;&gt;""""))),$AD$5+S957))"),"")</f>
        <v/>
      </c>
      <c r="U957" s="10" t="str">
        <f>IFERROR(__xludf.DUMMYFUNCTION("IF(COUNTA(Q957:Q1673)=0,"""",IF(Q957="""",0,IF(REGEXMATCH(Q957,""^Sell_""),-ROUNDDOWN(ROUNDUP(INDEX(Upgrades!$C$3:$C$13,MATCH(SUBSTITUTE(Q957,""Sell_"",""""),Upgrades!$B$3:$B$13,0))*1.15^(COUNTIF(Q$4:Q956,SUBSTITUTE(Q957,""Sell_"",""""))-COUNTIF(Q$4:Q956,"&amp;"""Sell_""&amp;SUBSTITUTE(Q957,""Sell_"",""""))))/2),ROUNDUP(INDEX(Upgrades!$C$3:$C$13,MATCH(Q957,Upgrades!$B$3:$B$13,0))*1.15^(COUNTIF(Q$4:Q956,Q957)-COUNTIF(Q$4:Q956,""Sell_""&amp;Q957))))))"),"")</f>
        <v/>
      </c>
      <c r="V957" s="10" t="str">
        <f t="shared" si="11"/>
        <v/>
      </c>
      <c r="W957" s="68" t="str">
        <f t="shared" si="12"/>
        <v/>
      </c>
      <c r="X957" s="59" t="str">
        <f t="shared" si="13"/>
        <v/>
      </c>
      <c r="Y957" s="69" t="str">
        <f t="shared" si="14"/>
        <v/>
      </c>
      <c r="Z957" s="11"/>
    </row>
    <row r="958">
      <c r="A958" s="8"/>
      <c r="B958" s="56" t="str">
        <f t="shared" si="2"/>
        <v/>
      </c>
      <c r="C958" s="105"/>
      <c r="D958" s="10"/>
      <c r="E958" s="59" t="str">
        <f t="array" ref="E958">IF(COUNTA(C958:C1673)=0,"",SUM((COUNTIF(C$4:C958,Upgrades!$B$3:$B$13)-COUNTIF(C$4:C958,"Sell_"&amp;Upgrades!$B$3:$B$13))*Upgrades!$D$3:$D$13))</f>
        <v/>
      </c>
      <c r="F958" s="66" t="str">
        <f>IFERROR(__xludf.DUMMYFUNCTION("IF(COUNTA(C958:C1673)=0,"""",IF(REGEXMATCH(INDEX(FILTER(C$4:C958,C$4:C958&lt;&gt;""""),ROWS(FILTER(C$4:C958,C$4:C958&lt;&gt;""""))),""^Sell_""),INDEX(FILTER(F$4:F957,C$4:C957&lt;&gt;""""),ROWS(FILTER(C$4:C957,C$4:C957&lt;&gt;""""))),$AC$5+E958))"),"")</f>
        <v/>
      </c>
      <c r="G958" s="10" t="str">
        <f>IFERROR(__xludf.DUMMYFUNCTION("IF(COUNTA(C958:C1673)=0,"""",IF(C958="""",0,IF(REGEXMATCH(C958,""^Sell_""),-ROUNDDOWN(ROUNDUP(INDEX(Upgrades!$C$3:$C$13,MATCH(SUBSTITUTE(C958,""Sell_"",""""),Upgrades!$B$3:$B$13,0))*1.15^(COUNTIF(C$4:C957,SUBSTITUTE(C958,""Sell_"",""""))-COUNTIF(C$4:C957,"&amp;"""Sell_""&amp;SUBSTITUTE(C958,""Sell_"",""""))))/2),ROUNDUP(INDEX(Upgrades!$C$3:$C$13,MATCH(C958,Upgrades!$B$3:$B$13,0))*1.15^(COUNTIF(C$4:C957,C958)-COUNTIF(C$4:C957,""Sell_""&amp;C958))))))"),"")</f>
        <v/>
      </c>
      <c r="H958" s="10" t="str">
        <f t="shared" si="3"/>
        <v/>
      </c>
      <c r="I958" s="68" t="str">
        <f t="shared" si="4"/>
        <v/>
      </c>
      <c r="J958" s="59" t="str">
        <f t="shared" si="5"/>
        <v/>
      </c>
      <c r="K958" s="69" t="str">
        <f t="shared" si="6"/>
        <v/>
      </c>
      <c r="L958" s="60" t="str">
        <f t="shared" si="7"/>
        <v/>
      </c>
      <c r="M958" s="61" t="str">
        <f>IFERROR(__xludf.DUMMYFUNCTION("IFS(AND(COUNTA(C958:C1673)=0,COUNTA(Q958:Q1673)=0),"""",OR(AND(K958&gt;=1000000000,OR(Y958&gt;=1000000000,COUNTA(Q958:Q1673)=0)),OR(Y958&gt;=1000000000,AND(COUNTA(C958:C1673)=0,P$3=TRUE))),
ROUNDDOWN((AB$1-AC$1)*MAX(INDEX(T$4:T1673,MATCH(LARGE(FILTER(Y$4:Y1673,Y$4"&amp;":Y1673&lt;1000000000),1),Y$4:Y1673)),INDEX(F$4:F1673,MATCH(LARGE(FILTER(K$4:K1673,K$4:K1673&lt;1000000000),1),K$4:K1673)))),AND(K958&lt;1000000000,COUNTA(C958:C1673)&gt;0,P$3=FALSE),
ROUNDDOWN(INDEX(Y$4:Y1673,MATCH(LARGE(FILTER(W$4:W1673,W$4:W1673&lt;=I958),1),W$4:W1673"&amp;"))+(I958-LARGE(FILTER(W$4:W1673,W$4:W1673&lt;=I958),1))*INDEX(T$4:T1673,MATCH(LARGE(FILTER(W$4:W1673,W$4:W1673&lt;=I958),1),W$4:W1673))-K958),1,
ROUNDDOWN(Y958-INDEX(K$4:K1673,MATCH(LARGE(FILTER(I$4:I1673,I$4:I1673&lt;=W958),1),I$4:I1673))-(W958-LARGE(FILTER(I$4:I"&amp;"1673,I$4:I1673&lt;=W958),1))*INDEX(F$4:F1673,MATCH(LARGE(FILTER(I$4:I1673,I$4:I1673&lt;=W958),1),I$4:I1673))))"),"")</f>
        <v/>
      </c>
      <c r="N958" s="60" t="str">
        <f t="shared" si="8"/>
        <v/>
      </c>
      <c r="O958" s="61" t="str">
        <f t="shared" si="9"/>
        <v/>
      </c>
      <c r="P958" s="56" t="str">
        <f t="shared" si="10"/>
        <v/>
      </c>
      <c r="R958" s="10"/>
      <c r="S958" s="59" t="str">
        <f t="array" ref="S958">IF(COUNTA(Q958:Q1673)=0,"",SUM((COUNTIF(Q$4:Q958,Upgrades!$B$3:$B$13)-COUNTIF(Q$4:Q958,"Sell_"&amp;Upgrades!$B$3:$B$13))*Upgrades!$D$3:$D$13))</f>
        <v/>
      </c>
      <c r="T958" s="66" t="str">
        <f>IFERROR(__xludf.DUMMYFUNCTION("IF(COUNTA(Q958:Q1673)=0,"""",IF(REGEXMATCH(INDEX(FILTER(Q$4:Q958,Q$4:Q958&lt;&gt;""""),ROWS(FILTER(Q$4:Q958,Q$4:Q958&lt;&gt;""""))),""^Sell_""),INDEX(FILTER(T$4:T957,Q$4:Q957&lt;&gt;""""),ROWS(FILTER(Q$4:Q957,Q$4:Q957&lt;&gt;""""))),$AD$5+S958))"),"")</f>
        <v/>
      </c>
      <c r="U958" s="10" t="str">
        <f>IFERROR(__xludf.DUMMYFUNCTION("IF(COUNTA(Q958:Q1673)=0,"""",IF(Q958="""",0,IF(REGEXMATCH(Q958,""^Sell_""),-ROUNDDOWN(ROUNDUP(INDEX(Upgrades!$C$3:$C$13,MATCH(SUBSTITUTE(Q958,""Sell_"",""""),Upgrades!$B$3:$B$13,0))*1.15^(COUNTIF(Q$4:Q957,SUBSTITUTE(Q958,""Sell_"",""""))-COUNTIF(Q$4:Q957,"&amp;"""Sell_""&amp;SUBSTITUTE(Q958,""Sell_"",""""))))/2),ROUNDUP(INDEX(Upgrades!$C$3:$C$13,MATCH(Q958,Upgrades!$B$3:$B$13,0))*1.15^(COUNTIF(Q$4:Q957,Q958)-COUNTIF(Q$4:Q957,""Sell_""&amp;Q958))))))"),"")</f>
        <v/>
      </c>
      <c r="V958" s="10" t="str">
        <f t="shared" si="11"/>
        <v/>
      </c>
      <c r="W958" s="68" t="str">
        <f t="shared" si="12"/>
        <v/>
      </c>
      <c r="X958" s="59" t="str">
        <f t="shared" si="13"/>
        <v/>
      </c>
      <c r="Y958" s="69" t="str">
        <f t="shared" si="14"/>
        <v/>
      </c>
      <c r="Z958" s="11"/>
    </row>
    <row r="959">
      <c r="A959" s="8"/>
      <c r="B959" s="56" t="str">
        <f t="shared" si="2"/>
        <v/>
      </c>
      <c r="C959" s="105"/>
      <c r="D959" s="10"/>
      <c r="E959" s="59" t="str">
        <f t="array" ref="E959">IF(COUNTA(C959:C1673)=0,"",SUM((COUNTIF(C$4:C959,Upgrades!$B$3:$B$13)-COUNTIF(C$4:C959,"Sell_"&amp;Upgrades!$B$3:$B$13))*Upgrades!$D$3:$D$13))</f>
        <v/>
      </c>
      <c r="F959" s="66" t="str">
        <f>IFERROR(__xludf.DUMMYFUNCTION("IF(COUNTA(C959:C1673)=0,"""",IF(REGEXMATCH(INDEX(FILTER(C$4:C959,C$4:C959&lt;&gt;""""),ROWS(FILTER(C$4:C959,C$4:C959&lt;&gt;""""))),""^Sell_""),INDEX(FILTER(F$4:F958,C$4:C958&lt;&gt;""""),ROWS(FILTER(C$4:C958,C$4:C958&lt;&gt;""""))),$AC$5+E959))"),"")</f>
        <v/>
      </c>
      <c r="G959" s="10" t="str">
        <f>IFERROR(__xludf.DUMMYFUNCTION("IF(COUNTA(C959:C1673)=0,"""",IF(C959="""",0,IF(REGEXMATCH(C959,""^Sell_""),-ROUNDDOWN(ROUNDUP(INDEX(Upgrades!$C$3:$C$13,MATCH(SUBSTITUTE(C959,""Sell_"",""""),Upgrades!$B$3:$B$13,0))*1.15^(COUNTIF(C$4:C958,SUBSTITUTE(C959,""Sell_"",""""))-COUNTIF(C$4:C958,"&amp;"""Sell_""&amp;SUBSTITUTE(C959,""Sell_"",""""))))/2),ROUNDUP(INDEX(Upgrades!$C$3:$C$13,MATCH(C959,Upgrades!$B$3:$B$13,0))*1.15^(COUNTIF(C$4:C958,C959)-COUNTIF(C$4:C958,""Sell_""&amp;C959))))))"),"")</f>
        <v/>
      </c>
      <c r="H959" s="10" t="str">
        <f t="shared" si="3"/>
        <v/>
      </c>
      <c r="I959" s="68" t="str">
        <f t="shared" si="4"/>
        <v/>
      </c>
      <c r="J959" s="59" t="str">
        <f t="shared" si="5"/>
        <v/>
      </c>
      <c r="K959" s="69" t="str">
        <f t="shared" si="6"/>
        <v/>
      </c>
      <c r="L959" s="60" t="str">
        <f t="shared" si="7"/>
        <v/>
      </c>
      <c r="M959" s="61" t="str">
        <f>IFERROR(__xludf.DUMMYFUNCTION("IFS(AND(COUNTA(C959:C1673)=0,COUNTA(Q959:Q1673)=0),"""",OR(AND(K959&gt;=1000000000,OR(Y959&gt;=1000000000,COUNTA(Q959:Q1673)=0)),OR(Y959&gt;=1000000000,AND(COUNTA(C959:C1673)=0,P$3=TRUE))),
ROUNDDOWN((AB$1-AC$1)*MAX(INDEX(T$4:T1673,MATCH(LARGE(FILTER(Y$4:Y1673,Y$4"&amp;":Y1673&lt;1000000000),1),Y$4:Y1673)),INDEX(F$4:F1673,MATCH(LARGE(FILTER(K$4:K1673,K$4:K1673&lt;1000000000),1),K$4:K1673)))),AND(K959&lt;1000000000,COUNTA(C959:C1673)&gt;0,P$3=FALSE),
ROUNDDOWN(INDEX(Y$4:Y1673,MATCH(LARGE(FILTER(W$4:W1673,W$4:W1673&lt;=I959),1),W$4:W1673"&amp;"))+(I959-LARGE(FILTER(W$4:W1673,W$4:W1673&lt;=I959),1))*INDEX(T$4:T1673,MATCH(LARGE(FILTER(W$4:W1673,W$4:W1673&lt;=I959),1),W$4:W1673))-K959),1,
ROUNDDOWN(Y959-INDEX(K$4:K1673,MATCH(LARGE(FILTER(I$4:I1673,I$4:I1673&lt;=W959),1),I$4:I1673))-(W959-LARGE(FILTER(I$4:I"&amp;"1673,I$4:I1673&lt;=W959),1))*INDEX(F$4:F1673,MATCH(LARGE(FILTER(I$4:I1673,I$4:I1673&lt;=W959),1),I$4:I1673))))"),"")</f>
        <v/>
      </c>
      <c r="N959" s="60" t="str">
        <f t="shared" si="8"/>
        <v/>
      </c>
      <c r="O959" s="61" t="str">
        <f t="shared" si="9"/>
        <v/>
      </c>
      <c r="P959" s="56" t="str">
        <f t="shared" si="10"/>
        <v/>
      </c>
      <c r="R959" s="10"/>
      <c r="S959" s="59" t="str">
        <f t="array" ref="S959">IF(COUNTA(Q959:Q1673)=0,"",SUM((COUNTIF(Q$4:Q959,Upgrades!$B$3:$B$13)-COUNTIF(Q$4:Q959,"Sell_"&amp;Upgrades!$B$3:$B$13))*Upgrades!$D$3:$D$13))</f>
        <v/>
      </c>
      <c r="T959" s="66" t="str">
        <f>IFERROR(__xludf.DUMMYFUNCTION("IF(COUNTA(Q959:Q1673)=0,"""",IF(REGEXMATCH(INDEX(FILTER(Q$4:Q959,Q$4:Q959&lt;&gt;""""),ROWS(FILTER(Q$4:Q959,Q$4:Q959&lt;&gt;""""))),""^Sell_""),INDEX(FILTER(T$4:T958,Q$4:Q958&lt;&gt;""""),ROWS(FILTER(Q$4:Q958,Q$4:Q958&lt;&gt;""""))),$AD$5+S959))"),"")</f>
        <v/>
      </c>
      <c r="U959" s="10" t="str">
        <f>IFERROR(__xludf.DUMMYFUNCTION("IF(COUNTA(Q959:Q1673)=0,"""",IF(Q959="""",0,IF(REGEXMATCH(Q959,""^Sell_""),-ROUNDDOWN(ROUNDUP(INDEX(Upgrades!$C$3:$C$13,MATCH(SUBSTITUTE(Q959,""Sell_"",""""),Upgrades!$B$3:$B$13,0))*1.15^(COUNTIF(Q$4:Q958,SUBSTITUTE(Q959,""Sell_"",""""))-COUNTIF(Q$4:Q958,"&amp;"""Sell_""&amp;SUBSTITUTE(Q959,""Sell_"",""""))))/2),ROUNDUP(INDEX(Upgrades!$C$3:$C$13,MATCH(Q959,Upgrades!$B$3:$B$13,0))*1.15^(COUNTIF(Q$4:Q958,Q959)-COUNTIF(Q$4:Q958,""Sell_""&amp;Q959))))))"),"")</f>
        <v/>
      </c>
      <c r="V959" s="10" t="str">
        <f t="shared" si="11"/>
        <v/>
      </c>
      <c r="W959" s="68" t="str">
        <f t="shared" si="12"/>
        <v/>
      </c>
      <c r="X959" s="59" t="str">
        <f t="shared" si="13"/>
        <v/>
      </c>
      <c r="Y959" s="69" t="str">
        <f t="shared" si="14"/>
        <v/>
      </c>
      <c r="Z959" s="11"/>
    </row>
    <row r="960">
      <c r="A960" s="8"/>
      <c r="B960" s="56" t="str">
        <f t="shared" si="2"/>
        <v/>
      </c>
      <c r="C960" s="105"/>
      <c r="D960" s="10"/>
      <c r="E960" s="59" t="str">
        <f t="array" ref="E960">IF(COUNTA(C960:C1673)=0,"",SUM((COUNTIF(C$4:C960,Upgrades!$B$3:$B$13)-COUNTIF(C$4:C960,"Sell_"&amp;Upgrades!$B$3:$B$13))*Upgrades!$D$3:$D$13))</f>
        <v/>
      </c>
      <c r="F960" s="66" t="str">
        <f>IFERROR(__xludf.DUMMYFUNCTION("IF(COUNTA(C960:C1673)=0,"""",IF(REGEXMATCH(INDEX(FILTER(C$4:C960,C$4:C960&lt;&gt;""""),ROWS(FILTER(C$4:C960,C$4:C960&lt;&gt;""""))),""^Sell_""),INDEX(FILTER(F$4:F959,C$4:C959&lt;&gt;""""),ROWS(FILTER(C$4:C959,C$4:C959&lt;&gt;""""))),$AC$5+E960))"),"")</f>
        <v/>
      </c>
      <c r="G960" s="10" t="str">
        <f>IFERROR(__xludf.DUMMYFUNCTION("IF(COUNTA(C960:C1673)=0,"""",IF(C960="""",0,IF(REGEXMATCH(C960,""^Sell_""),-ROUNDDOWN(ROUNDUP(INDEX(Upgrades!$C$3:$C$13,MATCH(SUBSTITUTE(C960,""Sell_"",""""),Upgrades!$B$3:$B$13,0))*1.15^(COUNTIF(C$4:C959,SUBSTITUTE(C960,""Sell_"",""""))-COUNTIF(C$4:C959,"&amp;"""Sell_""&amp;SUBSTITUTE(C960,""Sell_"",""""))))/2),ROUNDUP(INDEX(Upgrades!$C$3:$C$13,MATCH(C960,Upgrades!$B$3:$B$13,0))*1.15^(COUNTIF(C$4:C959,C960)-COUNTIF(C$4:C959,""Sell_""&amp;C960))))))"),"")</f>
        <v/>
      </c>
      <c r="H960" s="10" t="str">
        <f t="shared" si="3"/>
        <v/>
      </c>
      <c r="I960" s="68" t="str">
        <f t="shared" si="4"/>
        <v/>
      </c>
      <c r="J960" s="59" t="str">
        <f t="shared" si="5"/>
        <v/>
      </c>
      <c r="K960" s="69" t="str">
        <f t="shared" si="6"/>
        <v/>
      </c>
      <c r="L960" s="60" t="str">
        <f t="shared" si="7"/>
        <v/>
      </c>
      <c r="M960" s="61" t="str">
        <f>IFERROR(__xludf.DUMMYFUNCTION("IFS(AND(COUNTA(C960:C1673)=0,COUNTA(Q960:Q1673)=0),"""",OR(AND(K960&gt;=1000000000,OR(Y960&gt;=1000000000,COUNTA(Q960:Q1673)=0)),OR(Y960&gt;=1000000000,AND(COUNTA(C960:C1673)=0,P$3=TRUE))),
ROUNDDOWN((AB$1-AC$1)*MAX(INDEX(T$4:T1673,MATCH(LARGE(FILTER(Y$4:Y1673,Y$4"&amp;":Y1673&lt;1000000000),1),Y$4:Y1673)),INDEX(F$4:F1673,MATCH(LARGE(FILTER(K$4:K1673,K$4:K1673&lt;1000000000),1),K$4:K1673)))),AND(K960&lt;1000000000,COUNTA(C960:C1673)&gt;0,P$3=FALSE),
ROUNDDOWN(INDEX(Y$4:Y1673,MATCH(LARGE(FILTER(W$4:W1673,W$4:W1673&lt;=I960),1),W$4:W1673"&amp;"))+(I960-LARGE(FILTER(W$4:W1673,W$4:W1673&lt;=I960),1))*INDEX(T$4:T1673,MATCH(LARGE(FILTER(W$4:W1673,W$4:W1673&lt;=I960),1),W$4:W1673))-K960),1,
ROUNDDOWN(Y960-INDEX(K$4:K1673,MATCH(LARGE(FILTER(I$4:I1673,I$4:I1673&lt;=W960),1),I$4:I1673))-(W960-LARGE(FILTER(I$4:I"&amp;"1673,I$4:I1673&lt;=W960),1))*INDEX(F$4:F1673,MATCH(LARGE(FILTER(I$4:I1673,I$4:I1673&lt;=W960),1),I$4:I1673))))"),"")</f>
        <v/>
      </c>
      <c r="N960" s="60" t="str">
        <f t="shared" si="8"/>
        <v/>
      </c>
      <c r="O960" s="61" t="str">
        <f t="shared" si="9"/>
        <v/>
      </c>
      <c r="P960" s="56" t="str">
        <f t="shared" si="10"/>
        <v/>
      </c>
      <c r="R960" s="10"/>
      <c r="S960" s="59" t="str">
        <f t="array" ref="S960">IF(COUNTA(Q960:Q1673)=0,"",SUM((COUNTIF(Q$4:Q960,Upgrades!$B$3:$B$13)-COUNTIF(Q$4:Q960,"Sell_"&amp;Upgrades!$B$3:$B$13))*Upgrades!$D$3:$D$13))</f>
        <v/>
      </c>
      <c r="T960" s="66" t="str">
        <f>IFERROR(__xludf.DUMMYFUNCTION("IF(COUNTA(Q960:Q1673)=0,"""",IF(REGEXMATCH(INDEX(FILTER(Q$4:Q960,Q$4:Q960&lt;&gt;""""),ROWS(FILTER(Q$4:Q960,Q$4:Q960&lt;&gt;""""))),""^Sell_""),INDEX(FILTER(T$4:T959,Q$4:Q959&lt;&gt;""""),ROWS(FILTER(Q$4:Q959,Q$4:Q959&lt;&gt;""""))),$AD$5+S960))"),"")</f>
        <v/>
      </c>
      <c r="U960" s="10" t="str">
        <f>IFERROR(__xludf.DUMMYFUNCTION("IF(COUNTA(Q960:Q1673)=0,"""",IF(Q960="""",0,IF(REGEXMATCH(Q960,""^Sell_""),-ROUNDDOWN(ROUNDUP(INDEX(Upgrades!$C$3:$C$13,MATCH(SUBSTITUTE(Q960,""Sell_"",""""),Upgrades!$B$3:$B$13,0))*1.15^(COUNTIF(Q$4:Q959,SUBSTITUTE(Q960,""Sell_"",""""))-COUNTIF(Q$4:Q959,"&amp;"""Sell_""&amp;SUBSTITUTE(Q960,""Sell_"",""""))))/2),ROUNDUP(INDEX(Upgrades!$C$3:$C$13,MATCH(Q960,Upgrades!$B$3:$B$13,0))*1.15^(COUNTIF(Q$4:Q959,Q960)-COUNTIF(Q$4:Q959,""Sell_""&amp;Q960))))))"),"")</f>
        <v/>
      </c>
      <c r="V960" s="10" t="str">
        <f t="shared" si="11"/>
        <v/>
      </c>
      <c r="W960" s="68" t="str">
        <f t="shared" si="12"/>
        <v/>
      </c>
      <c r="X960" s="59" t="str">
        <f t="shared" si="13"/>
        <v/>
      </c>
      <c r="Y960" s="69" t="str">
        <f t="shared" si="14"/>
        <v/>
      </c>
      <c r="Z960" s="11"/>
    </row>
    <row r="961">
      <c r="A961" s="8"/>
      <c r="B961" s="56" t="str">
        <f t="shared" si="2"/>
        <v/>
      </c>
      <c r="C961" s="105"/>
      <c r="D961" s="10"/>
      <c r="E961" s="59" t="str">
        <f t="array" ref="E961">IF(COUNTA(C961:C1673)=0,"",SUM((COUNTIF(C$4:C961,Upgrades!$B$3:$B$13)-COUNTIF(C$4:C961,"Sell_"&amp;Upgrades!$B$3:$B$13))*Upgrades!$D$3:$D$13))</f>
        <v/>
      </c>
      <c r="F961" s="66" t="str">
        <f>IFERROR(__xludf.DUMMYFUNCTION("IF(COUNTA(C961:C1673)=0,"""",IF(REGEXMATCH(INDEX(FILTER(C$4:C961,C$4:C961&lt;&gt;""""),ROWS(FILTER(C$4:C961,C$4:C961&lt;&gt;""""))),""^Sell_""),INDEX(FILTER(F$4:F960,C$4:C960&lt;&gt;""""),ROWS(FILTER(C$4:C960,C$4:C960&lt;&gt;""""))),$AC$5+E961))"),"")</f>
        <v/>
      </c>
      <c r="G961" s="10" t="str">
        <f>IFERROR(__xludf.DUMMYFUNCTION("IF(COUNTA(C961:C1673)=0,"""",IF(C961="""",0,IF(REGEXMATCH(C961,""^Sell_""),-ROUNDDOWN(ROUNDUP(INDEX(Upgrades!$C$3:$C$13,MATCH(SUBSTITUTE(C961,""Sell_"",""""),Upgrades!$B$3:$B$13,0))*1.15^(COUNTIF(C$4:C960,SUBSTITUTE(C961,""Sell_"",""""))-COUNTIF(C$4:C960,"&amp;"""Sell_""&amp;SUBSTITUTE(C961,""Sell_"",""""))))/2),ROUNDUP(INDEX(Upgrades!$C$3:$C$13,MATCH(C961,Upgrades!$B$3:$B$13,0))*1.15^(COUNTIF(C$4:C960,C961)-COUNTIF(C$4:C960,""Sell_""&amp;C961))))))"),"")</f>
        <v/>
      </c>
      <c r="H961" s="10" t="str">
        <f t="shared" si="3"/>
        <v/>
      </c>
      <c r="I961" s="68" t="str">
        <f t="shared" si="4"/>
        <v/>
      </c>
      <c r="J961" s="59" t="str">
        <f t="shared" si="5"/>
        <v/>
      </c>
      <c r="K961" s="69" t="str">
        <f t="shared" si="6"/>
        <v/>
      </c>
      <c r="L961" s="60" t="str">
        <f t="shared" si="7"/>
        <v/>
      </c>
      <c r="M961" s="61" t="str">
        <f>IFERROR(__xludf.DUMMYFUNCTION("IFS(AND(COUNTA(C961:C1673)=0,COUNTA(Q961:Q1673)=0),"""",OR(AND(K961&gt;=1000000000,OR(Y961&gt;=1000000000,COUNTA(Q961:Q1673)=0)),OR(Y961&gt;=1000000000,AND(COUNTA(C961:C1673)=0,P$3=TRUE))),
ROUNDDOWN((AB$1-AC$1)*MAX(INDEX(T$4:T1673,MATCH(LARGE(FILTER(Y$4:Y1673,Y$4"&amp;":Y1673&lt;1000000000),1),Y$4:Y1673)),INDEX(F$4:F1673,MATCH(LARGE(FILTER(K$4:K1673,K$4:K1673&lt;1000000000),1),K$4:K1673)))),AND(K961&lt;1000000000,COUNTA(C961:C1673)&gt;0,P$3=FALSE),
ROUNDDOWN(INDEX(Y$4:Y1673,MATCH(LARGE(FILTER(W$4:W1673,W$4:W1673&lt;=I961),1),W$4:W1673"&amp;"))+(I961-LARGE(FILTER(W$4:W1673,W$4:W1673&lt;=I961),1))*INDEX(T$4:T1673,MATCH(LARGE(FILTER(W$4:W1673,W$4:W1673&lt;=I961),1),W$4:W1673))-K961),1,
ROUNDDOWN(Y961-INDEX(K$4:K1673,MATCH(LARGE(FILTER(I$4:I1673,I$4:I1673&lt;=W961),1),I$4:I1673))-(W961-LARGE(FILTER(I$4:I"&amp;"1673,I$4:I1673&lt;=W961),1))*INDEX(F$4:F1673,MATCH(LARGE(FILTER(I$4:I1673,I$4:I1673&lt;=W961),1),I$4:I1673))))"),"")</f>
        <v/>
      </c>
      <c r="N961" s="60" t="str">
        <f t="shared" si="8"/>
        <v/>
      </c>
      <c r="O961" s="61" t="str">
        <f t="shared" si="9"/>
        <v/>
      </c>
      <c r="P961" s="56" t="str">
        <f t="shared" si="10"/>
        <v/>
      </c>
      <c r="R961" s="10"/>
      <c r="S961" s="59" t="str">
        <f t="array" ref="S961">IF(COUNTA(Q961:Q1673)=0,"",SUM((COUNTIF(Q$4:Q961,Upgrades!$B$3:$B$13)-COUNTIF(Q$4:Q961,"Sell_"&amp;Upgrades!$B$3:$B$13))*Upgrades!$D$3:$D$13))</f>
        <v/>
      </c>
      <c r="T961" s="66" t="str">
        <f>IFERROR(__xludf.DUMMYFUNCTION("IF(COUNTA(Q961:Q1673)=0,"""",IF(REGEXMATCH(INDEX(FILTER(Q$4:Q961,Q$4:Q961&lt;&gt;""""),ROWS(FILTER(Q$4:Q961,Q$4:Q961&lt;&gt;""""))),""^Sell_""),INDEX(FILTER(T$4:T960,Q$4:Q960&lt;&gt;""""),ROWS(FILTER(Q$4:Q960,Q$4:Q960&lt;&gt;""""))),$AD$5+S961))"),"")</f>
        <v/>
      </c>
      <c r="U961" s="10" t="str">
        <f>IFERROR(__xludf.DUMMYFUNCTION("IF(COUNTA(Q961:Q1673)=0,"""",IF(Q961="""",0,IF(REGEXMATCH(Q961,""^Sell_""),-ROUNDDOWN(ROUNDUP(INDEX(Upgrades!$C$3:$C$13,MATCH(SUBSTITUTE(Q961,""Sell_"",""""),Upgrades!$B$3:$B$13,0))*1.15^(COUNTIF(Q$4:Q960,SUBSTITUTE(Q961,""Sell_"",""""))-COUNTIF(Q$4:Q960,"&amp;"""Sell_""&amp;SUBSTITUTE(Q961,""Sell_"",""""))))/2),ROUNDUP(INDEX(Upgrades!$C$3:$C$13,MATCH(Q961,Upgrades!$B$3:$B$13,0))*1.15^(COUNTIF(Q$4:Q960,Q961)-COUNTIF(Q$4:Q960,""Sell_""&amp;Q961))))))"),"")</f>
        <v/>
      </c>
      <c r="V961" s="10" t="str">
        <f t="shared" si="11"/>
        <v/>
      </c>
      <c r="W961" s="68" t="str">
        <f t="shared" si="12"/>
        <v/>
      </c>
      <c r="X961" s="59" t="str">
        <f t="shared" si="13"/>
        <v/>
      </c>
      <c r="Y961" s="69" t="str">
        <f t="shared" si="14"/>
        <v/>
      </c>
      <c r="Z961" s="11"/>
    </row>
    <row r="962">
      <c r="A962" s="8"/>
      <c r="B962" s="56" t="str">
        <f t="shared" si="2"/>
        <v/>
      </c>
      <c r="C962" s="105"/>
      <c r="D962" s="10"/>
      <c r="E962" s="59" t="str">
        <f t="array" ref="E962">IF(COUNTA(C962:C1673)=0,"",SUM((COUNTIF(C$4:C962,Upgrades!$B$3:$B$13)-COUNTIF(C$4:C962,"Sell_"&amp;Upgrades!$B$3:$B$13))*Upgrades!$D$3:$D$13))</f>
        <v/>
      </c>
      <c r="F962" s="66" t="str">
        <f>IFERROR(__xludf.DUMMYFUNCTION("IF(COUNTA(C962:C1673)=0,"""",IF(REGEXMATCH(INDEX(FILTER(C$4:C962,C$4:C962&lt;&gt;""""),ROWS(FILTER(C$4:C962,C$4:C962&lt;&gt;""""))),""^Sell_""),INDEX(FILTER(F$4:F961,C$4:C961&lt;&gt;""""),ROWS(FILTER(C$4:C961,C$4:C961&lt;&gt;""""))),$AC$5+E962))"),"")</f>
        <v/>
      </c>
      <c r="G962" s="10" t="str">
        <f>IFERROR(__xludf.DUMMYFUNCTION("IF(COUNTA(C962:C1673)=0,"""",IF(C962="""",0,IF(REGEXMATCH(C962,""^Sell_""),-ROUNDDOWN(ROUNDUP(INDEX(Upgrades!$C$3:$C$13,MATCH(SUBSTITUTE(C962,""Sell_"",""""),Upgrades!$B$3:$B$13,0))*1.15^(COUNTIF(C$4:C961,SUBSTITUTE(C962,""Sell_"",""""))-COUNTIF(C$4:C961,"&amp;"""Sell_""&amp;SUBSTITUTE(C962,""Sell_"",""""))))/2),ROUNDUP(INDEX(Upgrades!$C$3:$C$13,MATCH(C962,Upgrades!$B$3:$B$13,0))*1.15^(COUNTIF(C$4:C961,C962)-COUNTIF(C$4:C961,""Sell_""&amp;C962))))))"),"")</f>
        <v/>
      </c>
      <c r="H962" s="10" t="str">
        <f t="shared" si="3"/>
        <v/>
      </c>
      <c r="I962" s="68" t="str">
        <f t="shared" si="4"/>
        <v/>
      </c>
      <c r="J962" s="59" t="str">
        <f t="shared" si="5"/>
        <v/>
      </c>
      <c r="K962" s="69" t="str">
        <f t="shared" si="6"/>
        <v/>
      </c>
      <c r="L962" s="60" t="str">
        <f t="shared" si="7"/>
        <v/>
      </c>
      <c r="M962" s="61" t="str">
        <f>IFERROR(__xludf.DUMMYFUNCTION("IFS(AND(COUNTA(C962:C1673)=0,COUNTA(Q962:Q1673)=0),"""",OR(AND(K962&gt;=1000000000,OR(Y962&gt;=1000000000,COUNTA(Q962:Q1673)=0)),OR(Y962&gt;=1000000000,AND(COUNTA(C962:C1673)=0,P$3=TRUE))),
ROUNDDOWN((AB$1-AC$1)*MAX(INDEX(T$4:T1673,MATCH(LARGE(FILTER(Y$4:Y1673,Y$4"&amp;":Y1673&lt;1000000000),1),Y$4:Y1673)),INDEX(F$4:F1673,MATCH(LARGE(FILTER(K$4:K1673,K$4:K1673&lt;1000000000),1),K$4:K1673)))),AND(K962&lt;1000000000,COUNTA(C962:C1673)&gt;0,P$3=FALSE),
ROUNDDOWN(INDEX(Y$4:Y1673,MATCH(LARGE(FILTER(W$4:W1673,W$4:W1673&lt;=I962),1),W$4:W1673"&amp;"))+(I962-LARGE(FILTER(W$4:W1673,W$4:W1673&lt;=I962),1))*INDEX(T$4:T1673,MATCH(LARGE(FILTER(W$4:W1673,W$4:W1673&lt;=I962),1),W$4:W1673))-K962),1,
ROUNDDOWN(Y962-INDEX(K$4:K1673,MATCH(LARGE(FILTER(I$4:I1673,I$4:I1673&lt;=W962),1),I$4:I1673))-(W962-LARGE(FILTER(I$4:I"&amp;"1673,I$4:I1673&lt;=W962),1))*INDEX(F$4:F1673,MATCH(LARGE(FILTER(I$4:I1673,I$4:I1673&lt;=W962),1),I$4:I1673))))"),"")</f>
        <v/>
      </c>
      <c r="N962" s="60" t="str">
        <f t="shared" si="8"/>
        <v/>
      </c>
      <c r="O962" s="61" t="str">
        <f t="shared" si="9"/>
        <v/>
      </c>
      <c r="P962" s="56" t="str">
        <f t="shared" si="10"/>
        <v/>
      </c>
      <c r="R962" s="10"/>
      <c r="S962" s="59" t="str">
        <f t="array" ref="S962">IF(COUNTA(Q962:Q1673)=0,"",SUM((COUNTIF(Q$4:Q962,Upgrades!$B$3:$B$13)-COUNTIF(Q$4:Q962,"Sell_"&amp;Upgrades!$B$3:$B$13))*Upgrades!$D$3:$D$13))</f>
        <v/>
      </c>
      <c r="T962" s="66" t="str">
        <f>IFERROR(__xludf.DUMMYFUNCTION("IF(COUNTA(Q962:Q1673)=0,"""",IF(REGEXMATCH(INDEX(FILTER(Q$4:Q962,Q$4:Q962&lt;&gt;""""),ROWS(FILTER(Q$4:Q962,Q$4:Q962&lt;&gt;""""))),""^Sell_""),INDEX(FILTER(T$4:T961,Q$4:Q961&lt;&gt;""""),ROWS(FILTER(Q$4:Q961,Q$4:Q961&lt;&gt;""""))),$AD$5+S962))"),"")</f>
        <v/>
      </c>
      <c r="U962" s="10" t="str">
        <f>IFERROR(__xludf.DUMMYFUNCTION("IF(COUNTA(Q962:Q1673)=0,"""",IF(Q962="""",0,IF(REGEXMATCH(Q962,""^Sell_""),-ROUNDDOWN(ROUNDUP(INDEX(Upgrades!$C$3:$C$13,MATCH(SUBSTITUTE(Q962,""Sell_"",""""),Upgrades!$B$3:$B$13,0))*1.15^(COUNTIF(Q$4:Q961,SUBSTITUTE(Q962,""Sell_"",""""))-COUNTIF(Q$4:Q961,"&amp;"""Sell_""&amp;SUBSTITUTE(Q962,""Sell_"",""""))))/2),ROUNDUP(INDEX(Upgrades!$C$3:$C$13,MATCH(Q962,Upgrades!$B$3:$B$13,0))*1.15^(COUNTIF(Q$4:Q961,Q962)-COUNTIF(Q$4:Q961,""Sell_""&amp;Q962))))))"),"")</f>
        <v/>
      </c>
      <c r="V962" s="10" t="str">
        <f t="shared" si="11"/>
        <v/>
      </c>
      <c r="W962" s="68" t="str">
        <f t="shared" si="12"/>
        <v/>
      </c>
      <c r="X962" s="59" t="str">
        <f t="shared" si="13"/>
        <v/>
      </c>
      <c r="Y962" s="69" t="str">
        <f t="shared" si="14"/>
        <v/>
      </c>
      <c r="Z962" s="11"/>
    </row>
    <row r="963">
      <c r="A963" s="8"/>
      <c r="B963" s="56" t="str">
        <f t="shared" si="2"/>
        <v/>
      </c>
      <c r="C963" s="105"/>
      <c r="D963" s="10"/>
      <c r="E963" s="59" t="str">
        <f t="array" ref="E963">IF(COUNTA(C963:C1673)=0,"",SUM((COUNTIF(C$4:C963,Upgrades!$B$3:$B$13)-COUNTIF(C$4:C963,"Sell_"&amp;Upgrades!$B$3:$B$13))*Upgrades!$D$3:$D$13))</f>
        <v/>
      </c>
      <c r="F963" s="66" t="str">
        <f>IFERROR(__xludf.DUMMYFUNCTION("IF(COUNTA(C963:C1673)=0,"""",IF(REGEXMATCH(INDEX(FILTER(C$4:C963,C$4:C963&lt;&gt;""""),ROWS(FILTER(C$4:C963,C$4:C963&lt;&gt;""""))),""^Sell_""),INDEX(FILTER(F$4:F962,C$4:C962&lt;&gt;""""),ROWS(FILTER(C$4:C962,C$4:C962&lt;&gt;""""))),$AC$5+E963))"),"")</f>
        <v/>
      </c>
      <c r="G963" s="10" t="str">
        <f>IFERROR(__xludf.DUMMYFUNCTION("IF(COUNTA(C963:C1673)=0,"""",IF(C963="""",0,IF(REGEXMATCH(C963,""^Sell_""),-ROUNDDOWN(ROUNDUP(INDEX(Upgrades!$C$3:$C$13,MATCH(SUBSTITUTE(C963,""Sell_"",""""),Upgrades!$B$3:$B$13,0))*1.15^(COUNTIF(C$4:C962,SUBSTITUTE(C963,""Sell_"",""""))-COUNTIF(C$4:C962,"&amp;"""Sell_""&amp;SUBSTITUTE(C963,""Sell_"",""""))))/2),ROUNDUP(INDEX(Upgrades!$C$3:$C$13,MATCH(C963,Upgrades!$B$3:$B$13,0))*1.15^(COUNTIF(C$4:C962,C963)-COUNTIF(C$4:C962,""Sell_""&amp;C963))))))"),"")</f>
        <v/>
      </c>
      <c r="H963" s="10" t="str">
        <f t="shared" si="3"/>
        <v/>
      </c>
      <c r="I963" s="68" t="str">
        <f t="shared" si="4"/>
        <v/>
      </c>
      <c r="J963" s="59" t="str">
        <f t="shared" si="5"/>
        <v/>
      </c>
      <c r="K963" s="69" t="str">
        <f t="shared" si="6"/>
        <v/>
      </c>
      <c r="L963" s="60" t="str">
        <f t="shared" si="7"/>
        <v/>
      </c>
      <c r="M963" s="61" t="str">
        <f>IFERROR(__xludf.DUMMYFUNCTION("IFS(AND(COUNTA(C963:C1673)=0,COUNTA(Q963:Q1673)=0),"""",OR(AND(K963&gt;=1000000000,OR(Y963&gt;=1000000000,COUNTA(Q963:Q1673)=0)),OR(Y963&gt;=1000000000,AND(COUNTA(C963:C1673)=0,P$3=TRUE))),
ROUNDDOWN((AB$1-AC$1)*MAX(INDEX(T$4:T1673,MATCH(LARGE(FILTER(Y$4:Y1673,Y$4"&amp;":Y1673&lt;1000000000),1),Y$4:Y1673)),INDEX(F$4:F1673,MATCH(LARGE(FILTER(K$4:K1673,K$4:K1673&lt;1000000000),1),K$4:K1673)))),AND(K963&lt;1000000000,COUNTA(C963:C1673)&gt;0,P$3=FALSE),
ROUNDDOWN(INDEX(Y$4:Y1673,MATCH(LARGE(FILTER(W$4:W1673,W$4:W1673&lt;=I963),1),W$4:W1673"&amp;"))+(I963-LARGE(FILTER(W$4:W1673,W$4:W1673&lt;=I963),1))*INDEX(T$4:T1673,MATCH(LARGE(FILTER(W$4:W1673,W$4:W1673&lt;=I963),1),W$4:W1673))-K963),1,
ROUNDDOWN(Y963-INDEX(K$4:K1673,MATCH(LARGE(FILTER(I$4:I1673,I$4:I1673&lt;=W963),1),I$4:I1673))-(W963-LARGE(FILTER(I$4:I"&amp;"1673,I$4:I1673&lt;=W963),1))*INDEX(F$4:F1673,MATCH(LARGE(FILTER(I$4:I1673,I$4:I1673&lt;=W963),1),I$4:I1673))))"),"")</f>
        <v/>
      </c>
      <c r="N963" s="60" t="str">
        <f t="shared" si="8"/>
        <v/>
      </c>
      <c r="O963" s="61" t="str">
        <f t="shared" si="9"/>
        <v/>
      </c>
      <c r="P963" s="56" t="str">
        <f t="shared" si="10"/>
        <v/>
      </c>
      <c r="R963" s="10"/>
      <c r="S963" s="59" t="str">
        <f t="array" ref="S963">IF(COUNTA(Q963:Q1673)=0,"",SUM((COUNTIF(Q$4:Q963,Upgrades!$B$3:$B$13)-COUNTIF(Q$4:Q963,"Sell_"&amp;Upgrades!$B$3:$B$13))*Upgrades!$D$3:$D$13))</f>
        <v/>
      </c>
      <c r="T963" s="66" t="str">
        <f>IFERROR(__xludf.DUMMYFUNCTION("IF(COUNTA(Q963:Q1673)=0,"""",IF(REGEXMATCH(INDEX(FILTER(Q$4:Q963,Q$4:Q963&lt;&gt;""""),ROWS(FILTER(Q$4:Q963,Q$4:Q963&lt;&gt;""""))),""^Sell_""),INDEX(FILTER(T$4:T962,Q$4:Q962&lt;&gt;""""),ROWS(FILTER(Q$4:Q962,Q$4:Q962&lt;&gt;""""))),$AD$5+S963))"),"")</f>
        <v/>
      </c>
      <c r="U963" s="10" t="str">
        <f>IFERROR(__xludf.DUMMYFUNCTION("IF(COUNTA(Q963:Q1673)=0,"""",IF(Q963="""",0,IF(REGEXMATCH(Q963,""^Sell_""),-ROUNDDOWN(ROUNDUP(INDEX(Upgrades!$C$3:$C$13,MATCH(SUBSTITUTE(Q963,""Sell_"",""""),Upgrades!$B$3:$B$13,0))*1.15^(COUNTIF(Q$4:Q962,SUBSTITUTE(Q963,""Sell_"",""""))-COUNTIF(Q$4:Q962,"&amp;"""Sell_""&amp;SUBSTITUTE(Q963,""Sell_"",""""))))/2),ROUNDUP(INDEX(Upgrades!$C$3:$C$13,MATCH(Q963,Upgrades!$B$3:$B$13,0))*1.15^(COUNTIF(Q$4:Q962,Q963)-COUNTIF(Q$4:Q962,""Sell_""&amp;Q963))))))"),"")</f>
        <v/>
      </c>
      <c r="V963" s="10" t="str">
        <f t="shared" si="11"/>
        <v/>
      </c>
      <c r="W963" s="68" t="str">
        <f t="shared" si="12"/>
        <v/>
      </c>
      <c r="X963" s="59" t="str">
        <f t="shared" si="13"/>
        <v/>
      </c>
      <c r="Y963" s="69" t="str">
        <f t="shared" si="14"/>
        <v/>
      </c>
      <c r="Z963" s="11"/>
    </row>
    <row r="964">
      <c r="A964" s="8"/>
      <c r="B964" s="56" t="str">
        <f t="shared" si="2"/>
        <v/>
      </c>
      <c r="C964" s="105"/>
      <c r="D964" s="10"/>
      <c r="E964" s="59" t="str">
        <f t="array" ref="E964">IF(COUNTA(C964:C1673)=0,"",SUM((COUNTIF(C$4:C964,Upgrades!$B$3:$B$13)-COUNTIF(C$4:C964,"Sell_"&amp;Upgrades!$B$3:$B$13))*Upgrades!$D$3:$D$13))</f>
        <v/>
      </c>
      <c r="F964" s="66" t="str">
        <f>IFERROR(__xludf.DUMMYFUNCTION("IF(COUNTA(C964:C1673)=0,"""",IF(REGEXMATCH(INDEX(FILTER(C$4:C964,C$4:C964&lt;&gt;""""),ROWS(FILTER(C$4:C964,C$4:C964&lt;&gt;""""))),""^Sell_""),INDEX(FILTER(F$4:F963,C$4:C963&lt;&gt;""""),ROWS(FILTER(C$4:C963,C$4:C963&lt;&gt;""""))),$AC$5+E964))"),"")</f>
        <v/>
      </c>
      <c r="G964" s="10" t="str">
        <f>IFERROR(__xludf.DUMMYFUNCTION("IF(COUNTA(C964:C1673)=0,"""",IF(C964="""",0,IF(REGEXMATCH(C964,""^Sell_""),-ROUNDDOWN(ROUNDUP(INDEX(Upgrades!$C$3:$C$13,MATCH(SUBSTITUTE(C964,""Sell_"",""""),Upgrades!$B$3:$B$13,0))*1.15^(COUNTIF(C$4:C963,SUBSTITUTE(C964,""Sell_"",""""))-COUNTIF(C$4:C963,"&amp;"""Sell_""&amp;SUBSTITUTE(C964,""Sell_"",""""))))/2),ROUNDUP(INDEX(Upgrades!$C$3:$C$13,MATCH(C964,Upgrades!$B$3:$B$13,0))*1.15^(COUNTIF(C$4:C963,C964)-COUNTIF(C$4:C963,""Sell_""&amp;C964))))))"),"")</f>
        <v/>
      </c>
      <c r="H964" s="10" t="str">
        <f t="shared" si="3"/>
        <v/>
      </c>
      <c r="I964" s="68" t="str">
        <f t="shared" si="4"/>
        <v/>
      </c>
      <c r="J964" s="59" t="str">
        <f t="shared" si="5"/>
        <v/>
      </c>
      <c r="K964" s="69" t="str">
        <f t="shared" si="6"/>
        <v/>
      </c>
      <c r="L964" s="60" t="str">
        <f t="shared" si="7"/>
        <v/>
      </c>
      <c r="M964" s="61" t="str">
        <f>IFERROR(__xludf.DUMMYFUNCTION("IFS(AND(COUNTA(C964:C1673)=0,COUNTA(Q964:Q1673)=0),"""",OR(AND(K964&gt;=1000000000,OR(Y964&gt;=1000000000,COUNTA(Q964:Q1673)=0)),OR(Y964&gt;=1000000000,AND(COUNTA(C964:C1673)=0,P$3=TRUE))),
ROUNDDOWN((AB$1-AC$1)*MAX(INDEX(T$4:T1673,MATCH(LARGE(FILTER(Y$4:Y1673,Y$4"&amp;":Y1673&lt;1000000000),1),Y$4:Y1673)),INDEX(F$4:F1673,MATCH(LARGE(FILTER(K$4:K1673,K$4:K1673&lt;1000000000),1),K$4:K1673)))),AND(K964&lt;1000000000,COUNTA(C964:C1673)&gt;0,P$3=FALSE),
ROUNDDOWN(INDEX(Y$4:Y1673,MATCH(LARGE(FILTER(W$4:W1673,W$4:W1673&lt;=I964),1),W$4:W1673"&amp;"))+(I964-LARGE(FILTER(W$4:W1673,W$4:W1673&lt;=I964),1))*INDEX(T$4:T1673,MATCH(LARGE(FILTER(W$4:W1673,W$4:W1673&lt;=I964),1),W$4:W1673))-K964),1,
ROUNDDOWN(Y964-INDEX(K$4:K1673,MATCH(LARGE(FILTER(I$4:I1673,I$4:I1673&lt;=W964),1),I$4:I1673))-(W964-LARGE(FILTER(I$4:I"&amp;"1673,I$4:I1673&lt;=W964),1))*INDEX(F$4:F1673,MATCH(LARGE(FILTER(I$4:I1673,I$4:I1673&lt;=W964),1),I$4:I1673))))"),"")</f>
        <v/>
      </c>
      <c r="N964" s="60" t="str">
        <f t="shared" si="8"/>
        <v/>
      </c>
      <c r="O964" s="61" t="str">
        <f t="shared" si="9"/>
        <v/>
      </c>
      <c r="P964" s="56" t="str">
        <f t="shared" si="10"/>
        <v/>
      </c>
      <c r="R964" s="10"/>
      <c r="S964" s="59" t="str">
        <f t="array" ref="S964">IF(COUNTA(Q964:Q1673)=0,"",SUM((COUNTIF(Q$4:Q964,Upgrades!$B$3:$B$13)-COUNTIF(Q$4:Q964,"Sell_"&amp;Upgrades!$B$3:$B$13))*Upgrades!$D$3:$D$13))</f>
        <v/>
      </c>
      <c r="T964" s="66" t="str">
        <f>IFERROR(__xludf.DUMMYFUNCTION("IF(COUNTA(Q964:Q1673)=0,"""",IF(REGEXMATCH(INDEX(FILTER(Q$4:Q964,Q$4:Q964&lt;&gt;""""),ROWS(FILTER(Q$4:Q964,Q$4:Q964&lt;&gt;""""))),""^Sell_""),INDEX(FILTER(T$4:T963,Q$4:Q963&lt;&gt;""""),ROWS(FILTER(Q$4:Q963,Q$4:Q963&lt;&gt;""""))),$AD$5+S964))"),"")</f>
        <v/>
      </c>
      <c r="U964" s="10" t="str">
        <f>IFERROR(__xludf.DUMMYFUNCTION("IF(COUNTA(Q964:Q1673)=0,"""",IF(Q964="""",0,IF(REGEXMATCH(Q964,""^Sell_""),-ROUNDDOWN(ROUNDUP(INDEX(Upgrades!$C$3:$C$13,MATCH(SUBSTITUTE(Q964,""Sell_"",""""),Upgrades!$B$3:$B$13,0))*1.15^(COUNTIF(Q$4:Q963,SUBSTITUTE(Q964,""Sell_"",""""))-COUNTIF(Q$4:Q963,"&amp;"""Sell_""&amp;SUBSTITUTE(Q964,""Sell_"",""""))))/2),ROUNDUP(INDEX(Upgrades!$C$3:$C$13,MATCH(Q964,Upgrades!$B$3:$B$13,0))*1.15^(COUNTIF(Q$4:Q963,Q964)-COUNTIF(Q$4:Q963,""Sell_""&amp;Q964))))))"),"")</f>
        <v/>
      </c>
      <c r="V964" s="10" t="str">
        <f t="shared" si="11"/>
        <v/>
      </c>
      <c r="W964" s="68" t="str">
        <f t="shared" si="12"/>
        <v/>
      </c>
      <c r="X964" s="59" t="str">
        <f t="shared" si="13"/>
        <v/>
      </c>
      <c r="Y964" s="69" t="str">
        <f t="shared" si="14"/>
        <v/>
      </c>
      <c r="Z964" s="11"/>
    </row>
    <row r="965">
      <c r="A965" s="8"/>
      <c r="B965" s="56" t="str">
        <f t="shared" si="2"/>
        <v/>
      </c>
      <c r="C965" s="105"/>
      <c r="D965" s="10"/>
      <c r="E965" s="59" t="str">
        <f t="array" ref="E965">IF(COUNTA(C965:C1673)=0,"",SUM((COUNTIF(C$4:C965,Upgrades!$B$3:$B$13)-COUNTIF(C$4:C965,"Sell_"&amp;Upgrades!$B$3:$B$13))*Upgrades!$D$3:$D$13))</f>
        <v/>
      </c>
      <c r="F965" s="66" t="str">
        <f>IFERROR(__xludf.DUMMYFUNCTION("IF(COUNTA(C965:C1673)=0,"""",IF(REGEXMATCH(INDEX(FILTER(C$4:C965,C$4:C965&lt;&gt;""""),ROWS(FILTER(C$4:C965,C$4:C965&lt;&gt;""""))),""^Sell_""),INDEX(FILTER(F$4:F964,C$4:C964&lt;&gt;""""),ROWS(FILTER(C$4:C964,C$4:C964&lt;&gt;""""))),$AC$5+E965))"),"")</f>
        <v/>
      </c>
      <c r="G965" s="10" t="str">
        <f>IFERROR(__xludf.DUMMYFUNCTION("IF(COUNTA(C965:C1673)=0,"""",IF(C965="""",0,IF(REGEXMATCH(C965,""^Sell_""),-ROUNDDOWN(ROUNDUP(INDEX(Upgrades!$C$3:$C$13,MATCH(SUBSTITUTE(C965,""Sell_"",""""),Upgrades!$B$3:$B$13,0))*1.15^(COUNTIF(C$4:C964,SUBSTITUTE(C965,""Sell_"",""""))-COUNTIF(C$4:C964,"&amp;"""Sell_""&amp;SUBSTITUTE(C965,""Sell_"",""""))))/2),ROUNDUP(INDEX(Upgrades!$C$3:$C$13,MATCH(C965,Upgrades!$B$3:$B$13,0))*1.15^(COUNTIF(C$4:C964,C965)-COUNTIF(C$4:C964,""Sell_""&amp;C965))))))"),"")</f>
        <v/>
      </c>
      <c r="H965" s="10" t="str">
        <f t="shared" si="3"/>
        <v/>
      </c>
      <c r="I965" s="68" t="str">
        <f t="shared" si="4"/>
        <v/>
      </c>
      <c r="J965" s="59" t="str">
        <f t="shared" si="5"/>
        <v/>
      </c>
      <c r="K965" s="69" t="str">
        <f t="shared" si="6"/>
        <v/>
      </c>
      <c r="L965" s="60" t="str">
        <f t="shared" si="7"/>
        <v/>
      </c>
      <c r="M965" s="61" t="str">
        <f>IFERROR(__xludf.DUMMYFUNCTION("IFS(AND(COUNTA(C965:C1673)=0,COUNTA(Q965:Q1673)=0),"""",OR(AND(K965&gt;=1000000000,OR(Y965&gt;=1000000000,COUNTA(Q965:Q1673)=0)),OR(Y965&gt;=1000000000,AND(COUNTA(C965:C1673)=0,P$3=TRUE))),
ROUNDDOWN((AB$1-AC$1)*MAX(INDEX(T$4:T1673,MATCH(LARGE(FILTER(Y$4:Y1673,Y$4"&amp;":Y1673&lt;1000000000),1),Y$4:Y1673)),INDEX(F$4:F1673,MATCH(LARGE(FILTER(K$4:K1673,K$4:K1673&lt;1000000000),1),K$4:K1673)))),AND(K965&lt;1000000000,COUNTA(C965:C1673)&gt;0,P$3=FALSE),
ROUNDDOWN(INDEX(Y$4:Y1673,MATCH(LARGE(FILTER(W$4:W1673,W$4:W1673&lt;=I965),1),W$4:W1673"&amp;"))+(I965-LARGE(FILTER(W$4:W1673,W$4:W1673&lt;=I965),1))*INDEX(T$4:T1673,MATCH(LARGE(FILTER(W$4:W1673,W$4:W1673&lt;=I965),1),W$4:W1673))-K965),1,
ROUNDDOWN(Y965-INDEX(K$4:K1673,MATCH(LARGE(FILTER(I$4:I1673,I$4:I1673&lt;=W965),1),I$4:I1673))-(W965-LARGE(FILTER(I$4:I"&amp;"1673,I$4:I1673&lt;=W965),1))*INDEX(F$4:F1673,MATCH(LARGE(FILTER(I$4:I1673,I$4:I1673&lt;=W965),1),I$4:I1673))))"),"")</f>
        <v/>
      </c>
      <c r="N965" s="60" t="str">
        <f t="shared" si="8"/>
        <v/>
      </c>
      <c r="O965" s="61" t="str">
        <f t="shared" si="9"/>
        <v/>
      </c>
      <c r="P965" s="56" t="str">
        <f t="shared" si="10"/>
        <v/>
      </c>
      <c r="R965" s="10"/>
      <c r="S965" s="59" t="str">
        <f t="array" ref="S965">IF(COUNTA(Q965:Q1673)=0,"",SUM((COUNTIF(Q$4:Q965,Upgrades!$B$3:$B$13)-COUNTIF(Q$4:Q965,"Sell_"&amp;Upgrades!$B$3:$B$13))*Upgrades!$D$3:$D$13))</f>
        <v/>
      </c>
      <c r="T965" s="66" t="str">
        <f>IFERROR(__xludf.DUMMYFUNCTION("IF(COUNTA(Q965:Q1673)=0,"""",IF(REGEXMATCH(INDEX(FILTER(Q$4:Q965,Q$4:Q965&lt;&gt;""""),ROWS(FILTER(Q$4:Q965,Q$4:Q965&lt;&gt;""""))),""^Sell_""),INDEX(FILTER(T$4:T964,Q$4:Q964&lt;&gt;""""),ROWS(FILTER(Q$4:Q964,Q$4:Q964&lt;&gt;""""))),$AD$5+S965))"),"")</f>
        <v/>
      </c>
      <c r="U965" s="10" t="str">
        <f>IFERROR(__xludf.DUMMYFUNCTION("IF(COUNTA(Q965:Q1673)=0,"""",IF(Q965="""",0,IF(REGEXMATCH(Q965,""^Sell_""),-ROUNDDOWN(ROUNDUP(INDEX(Upgrades!$C$3:$C$13,MATCH(SUBSTITUTE(Q965,""Sell_"",""""),Upgrades!$B$3:$B$13,0))*1.15^(COUNTIF(Q$4:Q964,SUBSTITUTE(Q965,""Sell_"",""""))-COUNTIF(Q$4:Q964,"&amp;"""Sell_""&amp;SUBSTITUTE(Q965,""Sell_"",""""))))/2),ROUNDUP(INDEX(Upgrades!$C$3:$C$13,MATCH(Q965,Upgrades!$B$3:$B$13,0))*1.15^(COUNTIF(Q$4:Q964,Q965)-COUNTIF(Q$4:Q964,""Sell_""&amp;Q965))))))"),"")</f>
        <v/>
      </c>
      <c r="V965" s="10" t="str">
        <f t="shared" si="11"/>
        <v/>
      </c>
      <c r="W965" s="68" t="str">
        <f t="shared" si="12"/>
        <v/>
      </c>
      <c r="X965" s="59" t="str">
        <f t="shared" si="13"/>
        <v/>
      </c>
      <c r="Y965" s="69" t="str">
        <f t="shared" si="14"/>
        <v/>
      </c>
      <c r="Z965" s="11"/>
    </row>
    <row r="966">
      <c r="A966" s="8"/>
      <c r="B966" s="56" t="str">
        <f t="shared" si="2"/>
        <v/>
      </c>
      <c r="C966" s="105"/>
      <c r="D966" s="10"/>
      <c r="E966" s="59" t="str">
        <f t="array" ref="E966">IF(COUNTA(C966:C1673)=0,"",SUM((COUNTIF(C$4:C966,Upgrades!$B$3:$B$13)-COUNTIF(C$4:C966,"Sell_"&amp;Upgrades!$B$3:$B$13))*Upgrades!$D$3:$D$13))</f>
        <v/>
      </c>
      <c r="F966" s="66" t="str">
        <f>IFERROR(__xludf.DUMMYFUNCTION("IF(COUNTA(C966:C1673)=0,"""",IF(REGEXMATCH(INDEX(FILTER(C$4:C966,C$4:C966&lt;&gt;""""),ROWS(FILTER(C$4:C966,C$4:C966&lt;&gt;""""))),""^Sell_""),INDEX(FILTER(F$4:F965,C$4:C965&lt;&gt;""""),ROWS(FILTER(C$4:C965,C$4:C965&lt;&gt;""""))),$AC$5+E966))"),"")</f>
        <v/>
      </c>
      <c r="G966" s="10" t="str">
        <f>IFERROR(__xludf.DUMMYFUNCTION("IF(COUNTA(C966:C1673)=0,"""",IF(C966="""",0,IF(REGEXMATCH(C966,""^Sell_""),-ROUNDDOWN(ROUNDUP(INDEX(Upgrades!$C$3:$C$13,MATCH(SUBSTITUTE(C966,""Sell_"",""""),Upgrades!$B$3:$B$13,0))*1.15^(COUNTIF(C$4:C965,SUBSTITUTE(C966,""Sell_"",""""))-COUNTIF(C$4:C965,"&amp;"""Sell_""&amp;SUBSTITUTE(C966,""Sell_"",""""))))/2),ROUNDUP(INDEX(Upgrades!$C$3:$C$13,MATCH(C966,Upgrades!$B$3:$B$13,0))*1.15^(COUNTIF(C$4:C965,C966)-COUNTIF(C$4:C965,""Sell_""&amp;C966))))))"),"")</f>
        <v/>
      </c>
      <c r="H966" s="10" t="str">
        <f t="shared" si="3"/>
        <v/>
      </c>
      <c r="I966" s="68" t="str">
        <f t="shared" si="4"/>
        <v/>
      </c>
      <c r="J966" s="59" t="str">
        <f t="shared" si="5"/>
        <v/>
      </c>
      <c r="K966" s="69" t="str">
        <f t="shared" si="6"/>
        <v/>
      </c>
      <c r="L966" s="60" t="str">
        <f t="shared" si="7"/>
        <v/>
      </c>
      <c r="M966" s="61" t="str">
        <f>IFERROR(__xludf.DUMMYFUNCTION("IFS(AND(COUNTA(C966:C1673)=0,COUNTA(Q966:Q1673)=0),"""",OR(AND(K966&gt;=1000000000,OR(Y966&gt;=1000000000,COUNTA(Q966:Q1673)=0)),OR(Y966&gt;=1000000000,AND(COUNTA(C966:C1673)=0,P$3=TRUE))),
ROUNDDOWN((AB$1-AC$1)*MAX(INDEX(T$4:T1673,MATCH(LARGE(FILTER(Y$4:Y1673,Y$4"&amp;":Y1673&lt;1000000000),1),Y$4:Y1673)),INDEX(F$4:F1673,MATCH(LARGE(FILTER(K$4:K1673,K$4:K1673&lt;1000000000),1),K$4:K1673)))),AND(K966&lt;1000000000,COUNTA(C966:C1673)&gt;0,P$3=FALSE),
ROUNDDOWN(INDEX(Y$4:Y1673,MATCH(LARGE(FILTER(W$4:W1673,W$4:W1673&lt;=I966),1),W$4:W1673"&amp;"))+(I966-LARGE(FILTER(W$4:W1673,W$4:W1673&lt;=I966),1))*INDEX(T$4:T1673,MATCH(LARGE(FILTER(W$4:W1673,W$4:W1673&lt;=I966),1),W$4:W1673))-K966),1,
ROUNDDOWN(Y966-INDEX(K$4:K1673,MATCH(LARGE(FILTER(I$4:I1673,I$4:I1673&lt;=W966),1),I$4:I1673))-(W966-LARGE(FILTER(I$4:I"&amp;"1673,I$4:I1673&lt;=W966),1))*INDEX(F$4:F1673,MATCH(LARGE(FILTER(I$4:I1673,I$4:I1673&lt;=W966),1),I$4:I1673))))"),"")</f>
        <v/>
      </c>
      <c r="N966" s="60" t="str">
        <f t="shared" si="8"/>
        <v/>
      </c>
      <c r="O966" s="61" t="str">
        <f t="shared" si="9"/>
        <v/>
      </c>
      <c r="P966" s="56" t="str">
        <f t="shared" si="10"/>
        <v/>
      </c>
      <c r="R966" s="10"/>
      <c r="S966" s="59" t="str">
        <f t="array" ref="S966">IF(COUNTA(Q966:Q1673)=0,"",SUM((COUNTIF(Q$4:Q966,Upgrades!$B$3:$B$13)-COUNTIF(Q$4:Q966,"Sell_"&amp;Upgrades!$B$3:$B$13))*Upgrades!$D$3:$D$13))</f>
        <v/>
      </c>
      <c r="T966" s="66" t="str">
        <f>IFERROR(__xludf.DUMMYFUNCTION("IF(COUNTA(Q966:Q1673)=0,"""",IF(REGEXMATCH(INDEX(FILTER(Q$4:Q966,Q$4:Q966&lt;&gt;""""),ROWS(FILTER(Q$4:Q966,Q$4:Q966&lt;&gt;""""))),""^Sell_""),INDEX(FILTER(T$4:T965,Q$4:Q965&lt;&gt;""""),ROWS(FILTER(Q$4:Q965,Q$4:Q965&lt;&gt;""""))),$AD$5+S966))"),"")</f>
        <v/>
      </c>
      <c r="U966" s="10" t="str">
        <f>IFERROR(__xludf.DUMMYFUNCTION("IF(COUNTA(Q966:Q1673)=0,"""",IF(Q966="""",0,IF(REGEXMATCH(Q966,""^Sell_""),-ROUNDDOWN(ROUNDUP(INDEX(Upgrades!$C$3:$C$13,MATCH(SUBSTITUTE(Q966,""Sell_"",""""),Upgrades!$B$3:$B$13,0))*1.15^(COUNTIF(Q$4:Q965,SUBSTITUTE(Q966,""Sell_"",""""))-COUNTIF(Q$4:Q965,"&amp;"""Sell_""&amp;SUBSTITUTE(Q966,""Sell_"",""""))))/2),ROUNDUP(INDEX(Upgrades!$C$3:$C$13,MATCH(Q966,Upgrades!$B$3:$B$13,0))*1.15^(COUNTIF(Q$4:Q965,Q966)-COUNTIF(Q$4:Q965,""Sell_""&amp;Q966))))))"),"")</f>
        <v/>
      </c>
      <c r="V966" s="10" t="str">
        <f t="shared" si="11"/>
        <v/>
      </c>
      <c r="W966" s="68" t="str">
        <f t="shared" si="12"/>
        <v/>
      </c>
      <c r="X966" s="59" t="str">
        <f t="shared" si="13"/>
        <v/>
      </c>
      <c r="Y966" s="69" t="str">
        <f t="shared" si="14"/>
        <v/>
      </c>
      <c r="Z966" s="11"/>
    </row>
    <row r="967">
      <c r="A967" s="8"/>
      <c r="B967" s="56" t="str">
        <f t="shared" si="2"/>
        <v/>
      </c>
      <c r="C967" s="105"/>
      <c r="D967" s="10"/>
      <c r="E967" s="59" t="str">
        <f t="array" ref="E967">IF(COUNTA(C967:C1673)=0,"",SUM((COUNTIF(C$4:C967,Upgrades!$B$3:$B$13)-COUNTIF(C$4:C967,"Sell_"&amp;Upgrades!$B$3:$B$13))*Upgrades!$D$3:$D$13))</f>
        <v/>
      </c>
      <c r="F967" s="66" t="str">
        <f>IFERROR(__xludf.DUMMYFUNCTION("IF(COUNTA(C967:C1673)=0,"""",IF(REGEXMATCH(INDEX(FILTER(C$4:C967,C$4:C967&lt;&gt;""""),ROWS(FILTER(C$4:C967,C$4:C967&lt;&gt;""""))),""^Sell_""),INDEX(FILTER(F$4:F966,C$4:C966&lt;&gt;""""),ROWS(FILTER(C$4:C966,C$4:C966&lt;&gt;""""))),$AC$5+E967))"),"")</f>
        <v/>
      </c>
      <c r="G967" s="10" t="str">
        <f>IFERROR(__xludf.DUMMYFUNCTION("IF(COUNTA(C967:C1673)=0,"""",IF(C967="""",0,IF(REGEXMATCH(C967,""^Sell_""),-ROUNDDOWN(ROUNDUP(INDEX(Upgrades!$C$3:$C$13,MATCH(SUBSTITUTE(C967,""Sell_"",""""),Upgrades!$B$3:$B$13,0))*1.15^(COUNTIF(C$4:C966,SUBSTITUTE(C967,""Sell_"",""""))-COUNTIF(C$4:C966,"&amp;"""Sell_""&amp;SUBSTITUTE(C967,""Sell_"",""""))))/2),ROUNDUP(INDEX(Upgrades!$C$3:$C$13,MATCH(C967,Upgrades!$B$3:$B$13,0))*1.15^(COUNTIF(C$4:C966,C967)-COUNTIF(C$4:C966,""Sell_""&amp;C967))))))"),"")</f>
        <v/>
      </c>
      <c r="H967" s="10" t="str">
        <f t="shared" si="3"/>
        <v/>
      </c>
      <c r="I967" s="68" t="str">
        <f t="shared" si="4"/>
        <v/>
      </c>
      <c r="J967" s="59" t="str">
        <f t="shared" si="5"/>
        <v/>
      </c>
      <c r="K967" s="69" t="str">
        <f t="shared" si="6"/>
        <v/>
      </c>
      <c r="L967" s="60" t="str">
        <f t="shared" si="7"/>
        <v/>
      </c>
      <c r="M967" s="61" t="str">
        <f>IFERROR(__xludf.DUMMYFUNCTION("IFS(AND(COUNTA(C967:C1673)=0,COUNTA(Q967:Q1673)=0),"""",OR(AND(K967&gt;=1000000000,OR(Y967&gt;=1000000000,COUNTA(Q967:Q1673)=0)),OR(Y967&gt;=1000000000,AND(COUNTA(C967:C1673)=0,P$3=TRUE))),
ROUNDDOWN((AB$1-AC$1)*MAX(INDEX(T$4:T1673,MATCH(LARGE(FILTER(Y$4:Y1673,Y$4"&amp;":Y1673&lt;1000000000),1),Y$4:Y1673)),INDEX(F$4:F1673,MATCH(LARGE(FILTER(K$4:K1673,K$4:K1673&lt;1000000000),1),K$4:K1673)))),AND(K967&lt;1000000000,COUNTA(C967:C1673)&gt;0,P$3=FALSE),
ROUNDDOWN(INDEX(Y$4:Y1673,MATCH(LARGE(FILTER(W$4:W1673,W$4:W1673&lt;=I967),1),W$4:W1673"&amp;"))+(I967-LARGE(FILTER(W$4:W1673,W$4:W1673&lt;=I967),1))*INDEX(T$4:T1673,MATCH(LARGE(FILTER(W$4:W1673,W$4:W1673&lt;=I967),1),W$4:W1673))-K967),1,
ROUNDDOWN(Y967-INDEX(K$4:K1673,MATCH(LARGE(FILTER(I$4:I1673,I$4:I1673&lt;=W967),1),I$4:I1673))-(W967-LARGE(FILTER(I$4:I"&amp;"1673,I$4:I1673&lt;=W967),1))*INDEX(F$4:F1673,MATCH(LARGE(FILTER(I$4:I1673,I$4:I1673&lt;=W967),1),I$4:I1673))))"),"")</f>
        <v/>
      </c>
      <c r="N967" s="60" t="str">
        <f t="shared" si="8"/>
        <v/>
      </c>
      <c r="O967" s="61" t="str">
        <f t="shared" si="9"/>
        <v/>
      </c>
      <c r="P967" s="56" t="str">
        <f t="shared" si="10"/>
        <v/>
      </c>
      <c r="R967" s="10"/>
      <c r="S967" s="59" t="str">
        <f t="array" ref="S967">IF(COUNTA(Q967:Q1673)=0,"",SUM((COUNTIF(Q$4:Q967,Upgrades!$B$3:$B$13)-COUNTIF(Q$4:Q967,"Sell_"&amp;Upgrades!$B$3:$B$13))*Upgrades!$D$3:$D$13))</f>
        <v/>
      </c>
      <c r="T967" s="66" t="str">
        <f>IFERROR(__xludf.DUMMYFUNCTION("IF(COUNTA(Q967:Q1673)=0,"""",IF(REGEXMATCH(INDEX(FILTER(Q$4:Q967,Q$4:Q967&lt;&gt;""""),ROWS(FILTER(Q$4:Q967,Q$4:Q967&lt;&gt;""""))),""^Sell_""),INDEX(FILTER(T$4:T966,Q$4:Q966&lt;&gt;""""),ROWS(FILTER(Q$4:Q966,Q$4:Q966&lt;&gt;""""))),$AD$5+S967))"),"")</f>
        <v/>
      </c>
      <c r="U967" s="10" t="str">
        <f>IFERROR(__xludf.DUMMYFUNCTION("IF(COUNTA(Q967:Q1673)=0,"""",IF(Q967="""",0,IF(REGEXMATCH(Q967,""^Sell_""),-ROUNDDOWN(ROUNDUP(INDEX(Upgrades!$C$3:$C$13,MATCH(SUBSTITUTE(Q967,""Sell_"",""""),Upgrades!$B$3:$B$13,0))*1.15^(COUNTIF(Q$4:Q966,SUBSTITUTE(Q967,""Sell_"",""""))-COUNTIF(Q$4:Q966,"&amp;"""Sell_""&amp;SUBSTITUTE(Q967,""Sell_"",""""))))/2),ROUNDUP(INDEX(Upgrades!$C$3:$C$13,MATCH(Q967,Upgrades!$B$3:$B$13,0))*1.15^(COUNTIF(Q$4:Q966,Q967)-COUNTIF(Q$4:Q966,""Sell_""&amp;Q967))))))"),"")</f>
        <v/>
      </c>
      <c r="V967" s="10" t="str">
        <f t="shared" si="11"/>
        <v/>
      </c>
      <c r="W967" s="68" t="str">
        <f t="shared" si="12"/>
        <v/>
      </c>
      <c r="X967" s="59" t="str">
        <f t="shared" si="13"/>
        <v/>
      </c>
      <c r="Y967" s="69" t="str">
        <f t="shared" si="14"/>
        <v/>
      </c>
      <c r="Z967" s="11"/>
    </row>
    <row r="968">
      <c r="A968" s="8"/>
      <c r="B968" s="56" t="str">
        <f t="shared" si="2"/>
        <v/>
      </c>
      <c r="C968" s="105"/>
      <c r="D968" s="10"/>
      <c r="E968" s="59" t="str">
        <f t="array" ref="E968">IF(COUNTA(C968:C1673)=0,"",SUM((COUNTIF(C$4:C968,Upgrades!$B$3:$B$13)-COUNTIF(C$4:C968,"Sell_"&amp;Upgrades!$B$3:$B$13))*Upgrades!$D$3:$D$13))</f>
        <v/>
      </c>
      <c r="F968" s="66" t="str">
        <f>IFERROR(__xludf.DUMMYFUNCTION("IF(COUNTA(C968:C1673)=0,"""",IF(REGEXMATCH(INDEX(FILTER(C$4:C968,C$4:C968&lt;&gt;""""),ROWS(FILTER(C$4:C968,C$4:C968&lt;&gt;""""))),""^Sell_""),INDEX(FILTER(F$4:F967,C$4:C967&lt;&gt;""""),ROWS(FILTER(C$4:C967,C$4:C967&lt;&gt;""""))),$AC$5+E968))"),"")</f>
        <v/>
      </c>
      <c r="G968" s="10" t="str">
        <f>IFERROR(__xludf.DUMMYFUNCTION("IF(COUNTA(C968:C1673)=0,"""",IF(C968="""",0,IF(REGEXMATCH(C968,""^Sell_""),-ROUNDDOWN(ROUNDUP(INDEX(Upgrades!$C$3:$C$13,MATCH(SUBSTITUTE(C968,""Sell_"",""""),Upgrades!$B$3:$B$13,0))*1.15^(COUNTIF(C$4:C967,SUBSTITUTE(C968,""Sell_"",""""))-COUNTIF(C$4:C967,"&amp;"""Sell_""&amp;SUBSTITUTE(C968,""Sell_"",""""))))/2),ROUNDUP(INDEX(Upgrades!$C$3:$C$13,MATCH(C968,Upgrades!$B$3:$B$13,0))*1.15^(COUNTIF(C$4:C967,C968)-COUNTIF(C$4:C967,""Sell_""&amp;C968))))))"),"")</f>
        <v/>
      </c>
      <c r="H968" s="10" t="str">
        <f t="shared" si="3"/>
        <v/>
      </c>
      <c r="I968" s="68" t="str">
        <f t="shared" si="4"/>
        <v/>
      </c>
      <c r="J968" s="59" t="str">
        <f t="shared" si="5"/>
        <v/>
      </c>
      <c r="K968" s="69" t="str">
        <f t="shared" si="6"/>
        <v/>
      </c>
      <c r="L968" s="60" t="str">
        <f t="shared" si="7"/>
        <v/>
      </c>
      <c r="M968" s="61" t="str">
        <f>IFERROR(__xludf.DUMMYFUNCTION("IFS(AND(COUNTA(C968:C1673)=0,COUNTA(Q968:Q1673)=0),"""",OR(AND(K968&gt;=1000000000,OR(Y968&gt;=1000000000,COUNTA(Q968:Q1673)=0)),OR(Y968&gt;=1000000000,AND(COUNTA(C968:C1673)=0,P$3=TRUE))),
ROUNDDOWN((AB$1-AC$1)*MAX(INDEX(T$4:T1673,MATCH(LARGE(FILTER(Y$4:Y1673,Y$4"&amp;":Y1673&lt;1000000000),1),Y$4:Y1673)),INDEX(F$4:F1673,MATCH(LARGE(FILTER(K$4:K1673,K$4:K1673&lt;1000000000),1),K$4:K1673)))),AND(K968&lt;1000000000,COUNTA(C968:C1673)&gt;0,P$3=FALSE),
ROUNDDOWN(INDEX(Y$4:Y1673,MATCH(LARGE(FILTER(W$4:W1673,W$4:W1673&lt;=I968),1),W$4:W1673"&amp;"))+(I968-LARGE(FILTER(W$4:W1673,W$4:W1673&lt;=I968),1))*INDEX(T$4:T1673,MATCH(LARGE(FILTER(W$4:W1673,W$4:W1673&lt;=I968),1),W$4:W1673))-K968),1,
ROUNDDOWN(Y968-INDEX(K$4:K1673,MATCH(LARGE(FILTER(I$4:I1673,I$4:I1673&lt;=W968),1),I$4:I1673))-(W968-LARGE(FILTER(I$4:I"&amp;"1673,I$4:I1673&lt;=W968),1))*INDEX(F$4:F1673,MATCH(LARGE(FILTER(I$4:I1673,I$4:I1673&lt;=W968),1),I$4:I1673))))"),"")</f>
        <v/>
      </c>
      <c r="N968" s="60" t="str">
        <f t="shared" si="8"/>
        <v/>
      </c>
      <c r="O968" s="61" t="str">
        <f t="shared" si="9"/>
        <v/>
      </c>
      <c r="P968" s="56" t="str">
        <f t="shared" si="10"/>
        <v/>
      </c>
      <c r="R968" s="10"/>
      <c r="S968" s="59" t="str">
        <f t="array" ref="S968">IF(COUNTA(Q968:Q1673)=0,"",SUM((COUNTIF(Q$4:Q968,Upgrades!$B$3:$B$13)-COUNTIF(Q$4:Q968,"Sell_"&amp;Upgrades!$B$3:$B$13))*Upgrades!$D$3:$D$13))</f>
        <v/>
      </c>
      <c r="T968" s="66" t="str">
        <f>IFERROR(__xludf.DUMMYFUNCTION("IF(COUNTA(Q968:Q1673)=0,"""",IF(REGEXMATCH(INDEX(FILTER(Q$4:Q968,Q$4:Q968&lt;&gt;""""),ROWS(FILTER(Q$4:Q968,Q$4:Q968&lt;&gt;""""))),""^Sell_""),INDEX(FILTER(T$4:T967,Q$4:Q967&lt;&gt;""""),ROWS(FILTER(Q$4:Q967,Q$4:Q967&lt;&gt;""""))),$AD$5+S968))"),"")</f>
        <v/>
      </c>
      <c r="U968" s="10" t="str">
        <f>IFERROR(__xludf.DUMMYFUNCTION("IF(COUNTA(Q968:Q1673)=0,"""",IF(Q968="""",0,IF(REGEXMATCH(Q968,""^Sell_""),-ROUNDDOWN(ROUNDUP(INDEX(Upgrades!$C$3:$C$13,MATCH(SUBSTITUTE(Q968,""Sell_"",""""),Upgrades!$B$3:$B$13,0))*1.15^(COUNTIF(Q$4:Q967,SUBSTITUTE(Q968,""Sell_"",""""))-COUNTIF(Q$4:Q967,"&amp;"""Sell_""&amp;SUBSTITUTE(Q968,""Sell_"",""""))))/2),ROUNDUP(INDEX(Upgrades!$C$3:$C$13,MATCH(Q968,Upgrades!$B$3:$B$13,0))*1.15^(COUNTIF(Q$4:Q967,Q968)-COUNTIF(Q$4:Q967,""Sell_""&amp;Q968))))))"),"")</f>
        <v/>
      </c>
      <c r="V968" s="10" t="str">
        <f t="shared" si="11"/>
        <v/>
      </c>
      <c r="W968" s="68" t="str">
        <f t="shared" si="12"/>
        <v/>
      </c>
      <c r="X968" s="59" t="str">
        <f t="shared" si="13"/>
        <v/>
      </c>
      <c r="Y968" s="69" t="str">
        <f t="shared" si="14"/>
        <v/>
      </c>
      <c r="Z968" s="11"/>
    </row>
    <row r="969">
      <c r="A969" s="8"/>
      <c r="B969" s="56" t="str">
        <f t="shared" si="2"/>
        <v/>
      </c>
      <c r="C969" s="105"/>
      <c r="D969" s="10"/>
      <c r="E969" s="59" t="str">
        <f t="array" ref="E969">IF(COUNTA(C969:C1673)=0,"",SUM((COUNTIF(C$4:C969,Upgrades!$B$3:$B$13)-COUNTIF(C$4:C969,"Sell_"&amp;Upgrades!$B$3:$B$13))*Upgrades!$D$3:$D$13))</f>
        <v/>
      </c>
      <c r="F969" s="66" t="str">
        <f>IFERROR(__xludf.DUMMYFUNCTION("IF(COUNTA(C969:C1673)=0,"""",IF(REGEXMATCH(INDEX(FILTER(C$4:C969,C$4:C969&lt;&gt;""""),ROWS(FILTER(C$4:C969,C$4:C969&lt;&gt;""""))),""^Sell_""),INDEX(FILTER(F$4:F968,C$4:C968&lt;&gt;""""),ROWS(FILTER(C$4:C968,C$4:C968&lt;&gt;""""))),$AC$5+E969))"),"")</f>
        <v/>
      </c>
      <c r="G969" s="10" t="str">
        <f>IFERROR(__xludf.DUMMYFUNCTION("IF(COUNTA(C969:C1673)=0,"""",IF(C969="""",0,IF(REGEXMATCH(C969,""^Sell_""),-ROUNDDOWN(ROUNDUP(INDEX(Upgrades!$C$3:$C$13,MATCH(SUBSTITUTE(C969,""Sell_"",""""),Upgrades!$B$3:$B$13,0))*1.15^(COUNTIF(C$4:C968,SUBSTITUTE(C969,""Sell_"",""""))-COUNTIF(C$4:C968,"&amp;"""Sell_""&amp;SUBSTITUTE(C969,""Sell_"",""""))))/2),ROUNDUP(INDEX(Upgrades!$C$3:$C$13,MATCH(C969,Upgrades!$B$3:$B$13,0))*1.15^(COUNTIF(C$4:C968,C969)-COUNTIF(C$4:C968,""Sell_""&amp;C969))))))"),"")</f>
        <v/>
      </c>
      <c r="H969" s="10" t="str">
        <f t="shared" si="3"/>
        <v/>
      </c>
      <c r="I969" s="68" t="str">
        <f t="shared" si="4"/>
        <v/>
      </c>
      <c r="J969" s="59" t="str">
        <f t="shared" si="5"/>
        <v/>
      </c>
      <c r="K969" s="69" t="str">
        <f t="shared" si="6"/>
        <v/>
      </c>
      <c r="L969" s="60" t="str">
        <f t="shared" si="7"/>
        <v/>
      </c>
      <c r="M969" s="61" t="str">
        <f>IFERROR(__xludf.DUMMYFUNCTION("IFS(AND(COUNTA(C969:C1673)=0,COUNTA(Q969:Q1673)=0),"""",OR(AND(K969&gt;=1000000000,OR(Y969&gt;=1000000000,COUNTA(Q969:Q1673)=0)),OR(Y969&gt;=1000000000,AND(COUNTA(C969:C1673)=0,P$3=TRUE))),
ROUNDDOWN((AB$1-AC$1)*MAX(INDEX(T$4:T1673,MATCH(LARGE(FILTER(Y$4:Y1673,Y$4"&amp;":Y1673&lt;1000000000),1),Y$4:Y1673)),INDEX(F$4:F1673,MATCH(LARGE(FILTER(K$4:K1673,K$4:K1673&lt;1000000000),1),K$4:K1673)))),AND(K969&lt;1000000000,COUNTA(C969:C1673)&gt;0,P$3=FALSE),
ROUNDDOWN(INDEX(Y$4:Y1673,MATCH(LARGE(FILTER(W$4:W1673,W$4:W1673&lt;=I969),1),W$4:W1673"&amp;"))+(I969-LARGE(FILTER(W$4:W1673,W$4:W1673&lt;=I969),1))*INDEX(T$4:T1673,MATCH(LARGE(FILTER(W$4:W1673,W$4:W1673&lt;=I969),1),W$4:W1673))-K969),1,
ROUNDDOWN(Y969-INDEX(K$4:K1673,MATCH(LARGE(FILTER(I$4:I1673,I$4:I1673&lt;=W969),1),I$4:I1673))-(W969-LARGE(FILTER(I$4:I"&amp;"1673,I$4:I1673&lt;=W969),1))*INDEX(F$4:F1673,MATCH(LARGE(FILTER(I$4:I1673,I$4:I1673&lt;=W969),1),I$4:I1673))))"),"")</f>
        <v/>
      </c>
      <c r="N969" s="60" t="str">
        <f t="shared" si="8"/>
        <v/>
      </c>
      <c r="O969" s="61" t="str">
        <f t="shared" si="9"/>
        <v/>
      </c>
      <c r="P969" s="56" t="str">
        <f t="shared" si="10"/>
        <v/>
      </c>
      <c r="R969" s="10"/>
      <c r="S969" s="59" t="str">
        <f t="array" ref="S969">IF(COUNTA(Q969:Q1673)=0,"",SUM((COUNTIF(Q$4:Q969,Upgrades!$B$3:$B$13)-COUNTIF(Q$4:Q969,"Sell_"&amp;Upgrades!$B$3:$B$13))*Upgrades!$D$3:$D$13))</f>
        <v/>
      </c>
      <c r="T969" s="66" t="str">
        <f>IFERROR(__xludf.DUMMYFUNCTION("IF(COUNTA(Q969:Q1673)=0,"""",IF(REGEXMATCH(INDEX(FILTER(Q$4:Q969,Q$4:Q969&lt;&gt;""""),ROWS(FILTER(Q$4:Q969,Q$4:Q969&lt;&gt;""""))),""^Sell_""),INDEX(FILTER(T$4:T968,Q$4:Q968&lt;&gt;""""),ROWS(FILTER(Q$4:Q968,Q$4:Q968&lt;&gt;""""))),$AD$5+S969))"),"")</f>
        <v/>
      </c>
      <c r="U969" s="10" t="str">
        <f>IFERROR(__xludf.DUMMYFUNCTION("IF(COUNTA(Q969:Q1673)=0,"""",IF(Q969="""",0,IF(REGEXMATCH(Q969,""^Sell_""),-ROUNDDOWN(ROUNDUP(INDEX(Upgrades!$C$3:$C$13,MATCH(SUBSTITUTE(Q969,""Sell_"",""""),Upgrades!$B$3:$B$13,0))*1.15^(COUNTIF(Q$4:Q968,SUBSTITUTE(Q969,""Sell_"",""""))-COUNTIF(Q$4:Q968,"&amp;"""Sell_""&amp;SUBSTITUTE(Q969,""Sell_"",""""))))/2),ROUNDUP(INDEX(Upgrades!$C$3:$C$13,MATCH(Q969,Upgrades!$B$3:$B$13,0))*1.15^(COUNTIF(Q$4:Q968,Q969)-COUNTIF(Q$4:Q968,""Sell_""&amp;Q969))))))"),"")</f>
        <v/>
      </c>
      <c r="V969" s="10" t="str">
        <f t="shared" si="11"/>
        <v/>
      </c>
      <c r="W969" s="68" t="str">
        <f t="shared" si="12"/>
        <v/>
      </c>
      <c r="X969" s="59" t="str">
        <f t="shared" si="13"/>
        <v/>
      </c>
      <c r="Y969" s="69" t="str">
        <f t="shared" si="14"/>
        <v/>
      </c>
      <c r="Z969" s="11"/>
    </row>
    <row r="970">
      <c r="A970" s="8"/>
      <c r="B970" s="56" t="str">
        <f t="shared" si="2"/>
        <v/>
      </c>
      <c r="C970" s="105"/>
      <c r="D970" s="10"/>
      <c r="E970" s="59" t="str">
        <f t="array" ref="E970">IF(COUNTA(C970:C1673)=0,"",SUM((COUNTIF(C$4:C970,Upgrades!$B$3:$B$13)-COUNTIF(C$4:C970,"Sell_"&amp;Upgrades!$B$3:$B$13))*Upgrades!$D$3:$D$13))</f>
        <v/>
      </c>
      <c r="F970" s="66" t="str">
        <f>IFERROR(__xludf.DUMMYFUNCTION("IF(COUNTA(C970:C1673)=0,"""",IF(REGEXMATCH(INDEX(FILTER(C$4:C970,C$4:C970&lt;&gt;""""),ROWS(FILTER(C$4:C970,C$4:C970&lt;&gt;""""))),""^Sell_""),INDEX(FILTER(F$4:F969,C$4:C969&lt;&gt;""""),ROWS(FILTER(C$4:C969,C$4:C969&lt;&gt;""""))),$AC$5+E970))"),"")</f>
        <v/>
      </c>
      <c r="G970" s="10" t="str">
        <f>IFERROR(__xludf.DUMMYFUNCTION("IF(COUNTA(C970:C1673)=0,"""",IF(C970="""",0,IF(REGEXMATCH(C970,""^Sell_""),-ROUNDDOWN(ROUNDUP(INDEX(Upgrades!$C$3:$C$13,MATCH(SUBSTITUTE(C970,""Sell_"",""""),Upgrades!$B$3:$B$13,0))*1.15^(COUNTIF(C$4:C969,SUBSTITUTE(C970,""Sell_"",""""))-COUNTIF(C$4:C969,"&amp;"""Sell_""&amp;SUBSTITUTE(C970,""Sell_"",""""))))/2),ROUNDUP(INDEX(Upgrades!$C$3:$C$13,MATCH(C970,Upgrades!$B$3:$B$13,0))*1.15^(COUNTIF(C$4:C969,C970)-COUNTIF(C$4:C969,""Sell_""&amp;C970))))))"),"")</f>
        <v/>
      </c>
      <c r="H970" s="10" t="str">
        <f t="shared" si="3"/>
        <v/>
      </c>
      <c r="I970" s="68" t="str">
        <f t="shared" si="4"/>
        <v/>
      </c>
      <c r="J970" s="59" t="str">
        <f t="shared" si="5"/>
        <v/>
      </c>
      <c r="K970" s="69" t="str">
        <f t="shared" si="6"/>
        <v/>
      </c>
      <c r="L970" s="60" t="str">
        <f t="shared" si="7"/>
        <v/>
      </c>
      <c r="M970" s="61" t="str">
        <f>IFERROR(__xludf.DUMMYFUNCTION("IFS(AND(COUNTA(C970:C1673)=0,COUNTA(Q970:Q1673)=0),"""",OR(AND(K970&gt;=1000000000,OR(Y970&gt;=1000000000,COUNTA(Q970:Q1673)=0)),OR(Y970&gt;=1000000000,AND(COUNTA(C970:C1673)=0,P$3=TRUE))),
ROUNDDOWN((AB$1-AC$1)*MAX(INDEX(T$4:T1673,MATCH(LARGE(FILTER(Y$4:Y1673,Y$4"&amp;":Y1673&lt;1000000000),1),Y$4:Y1673)),INDEX(F$4:F1673,MATCH(LARGE(FILTER(K$4:K1673,K$4:K1673&lt;1000000000),1),K$4:K1673)))),AND(K970&lt;1000000000,COUNTA(C970:C1673)&gt;0,P$3=FALSE),
ROUNDDOWN(INDEX(Y$4:Y1673,MATCH(LARGE(FILTER(W$4:W1673,W$4:W1673&lt;=I970),1),W$4:W1673"&amp;"))+(I970-LARGE(FILTER(W$4:W1673,W$4:W1673&lt;=I970),1))*INDEX(T$4:T1673,MATCH(LARGE(FILTER(W$4:W1673,W$4:W1673&lt;=I970),1),W$4:W1673))-K970),1,
ROUNDDOWN(Y970-INDEX(K$4:K1673,MATCH(LARGE(FILTER(I$4:I1673,I$4:I1673&lt;=W970),1),I$4:I1673))-(W970-LARGE(FILTER(I$4:I"&amp;"1673,I$4:I1673&lt;=W970),1))*INDEX(F$4:F1673,MATCH(LARGE(FILTER(I$4:I1673,I$4:I1673&lt;=W970),1),I$4:I1673))))"),"")</f>
        <v/>
      </c>
      <c r="N970" s="60" t="str">
        <f t="shared" si="8"/>
        <v/>
      </c>
      <c r="O970" s="61" t="str">
        <f t="shared" si="9"/>
        <v/>
      </c>
      <c r="P970" s="56" t="str">
        <f t="shared" si="10"/>
        <v/>
      </c>
      <c r="R970" s="10"/>
      <c r="S970" s="59" t="str">
        <f t="array" ref="S970">IF(COUNTA(Q970:Q1673)=0,"",SUM((COUNTIF(Q$4:Q970,Upgrades!$B$3:$B$13)-COUNTIF(Q$4:Q970,"Sell_"&amp;Upgrades!$B$3:$B$13))*Upgrades!$D$3:$D$13))</f>
        <v/>
      </c>
      <c r="T970" s="66" t="str">
        <f>IFERROR(__xludf.DUMMYFUNCTION("IF(COUNTA(Q970:Q1673)=0,"""",IF(REGEXMATCH(INDEX(FILTER(Q$4:Q970,Q$4:Q970&lt;&gt;""""),ROWS(FILTER(Q$4:Q970,Q$4:Q970&lt;&gt;""""))),""^Sell_""),INDEX(FILTER(T$4:T969,Q$4:Q969&lt;&gt;""""),ROWS(FILTER(Q$4:Q969,Q$4:Q969&lt;&gt;""""))),$AD$5+S970))"),"")</f>
        <v/>
      </c>
      <c r="U970" s="10" t="str">
        <f>IFERROR(__xludf.DUMMYFUNCTION("IF(COUNTA(Q970:Q1673)=0,"""",IF(Q970="""",0,IF(REGEXMATCH(Q970,""^Sell_""),-ROUNDDOWN(ROUNDUP(INDEX(Upgrades!$C$3:$C$13,MATCH(SUBSTITUTE(Q970,""Sell_"",""""),Upgrades!$B$3:$B$13,0))*1.15^(COUNTIF(Q$4:Q969,SUBSTITUTE(Q970,""Sell_"",""""))-COUNTIF(Q$4:Q969,"&amp;"""Sell_""&amp;SUBSTITUTE(Q970,""Sell_"",""""))))/2),ROUNDUP(INDEX(Upgrades!$C$3:$C$13,MATCH(Q970,Upgrades!$B$3:$B$13,0))*1.15^(COUNTIF(Q$4:Q969,Q970)-COUNTIF(Q$4:Q969,""Sell_""&amp;Q970))))))"),"")</f>
        <v/>
      </c>
      <c r="V970" s="10" t="str">
        <f t="shared" si="11"/>
        <v/>
      </c>
      <c r="W970" s="68" t="str">
        <f t="shared" si="12"/>
        <v/>
      </c>
      <c r="X970" s="59" t="str">
        <f t="shared" si="13"/>
        <v/>
      </c>
      <c r="Y970" s="69" t="str">
        <f t="shared" si="14"/>
        <v/>
      </c>
      <c r="Z970" s="11"/>
    </row>
    <row r="971">
      <c r="A971" s="8"/>
      <c r="B971" s="56" t="str">
        <f t="shared" si="2"/>
        <v/>
      </c>
      <c r="C971" s="105"/>
      <c r="D971" s="10"/>
      <c r="E971" s="59" t="str">
        <f t="array" ref="E971">IF(COUNTA(C971:C1673)=0,"",SUM((COUNTIF(C$4:C971,Upgrades!$B$3:$B$13)-COUNTIF(C$4:C971,"Sell_"&amp;Upgrades!$B$3:$B$13))*Upgrades!$D$3:$D$13))</f>
        <v/>
      </c>
      <c r="F971" s="66" t="str">
        <f>IFERROR(__xludf.DUMMYFUNCTION("IF(COUNTA(C971:C1673)=0,"""",IF(REGEXMATCH(INDEX(FILTER(C$4:C971,C$4:C971&lt;&gt;""""),ROWS(FILTER(C$4:C971,C$4:C971&lt;&gt;""""))),""^Sell_""),INDEX(FILTER(F$4:F970,C$4:C970&lt;&gt;""""),ROWS(FILTER(C$4:C970,C$4:C970&lt;&gt;""""))),$AC$5+E971))"),"")</f>
        <v/>
      </c>
      <c r="G971" s="10" t="str">
        <f>IFERROR(__xludf.DUMMYFUNCTION("IF(COUNTA(C971:C1673)=0,"""",IF(C971="""",0,IF(REGEXMATCH(C971,""^Sell_""),-ROUNDDOWN(ROUNDUP(INDEX(Upgrades!$C$3:$C$13,MATCH(SUBSTITUTE(C971,""Sell_"",""""),Upgrades!$B$3:$B$13,0))*1.15^(COUNTIF(C$4:C970,SUBSTITUTE(C971,""Sell_"",""""))-COUNTIF(C$4:C970,"&amp;"""Sell_""&amp;SUBSTITUTE(C971,""Sell_"",""""))))/2),ROUNDUP(INDEX(Upgrades!$C$3:$C$13,MATCH(C971,Upgrades!$B$3:$B$13,0))*1.15^(COUNTIF(C$4:C970,C971)-COUNTIF(C$4:C970,""Sell_""&amp;C971))))))"),"")</f>
        <v/>
      </c>
      <c r="H971" s="10" t="str">
        <f t="shared" si="3"/>
        <v/>
      </c>
      <c r="I971" s="68" t="str">
        <f t="shared" si="4"/>
        <v/>
      </c>
      <c r="J971" s="59" t="str">
        <f t="shared" si="5"/>
        <v/>
      </c>
      <c r="K971" s="69" t="str">
        <f t="shared" si="6"/>
        <v/>
      </c>
      <c r="L971" s="60" t="str">
        <f t="shared" si="7"/>
        <v/>
      </c>
      <c r="M971" s="61" t="str">
        <f>IFERROR(__xludf.DUMMYFUNCTION("IFS(AND(COUNTA(C971:C1673)=0,COUNTA(Q971:Q1673)=0),"""",OR(AND(K971&gt;=1000000000,OR(Y971&gt;=1000000000,COUNTA(Q971:Q1673)=0)),OR(Y971&gt;=1000000000,AND(COUNTA(C971:C1673)=0,P$3=TRUE))),
ROUNDDOWN((AB$1-AC$1)*MAX(INDEX(T$4:T1673,MATCH(LARGE(FILTER(Y$4:Y1673,Y$4"&amp;":Y1673&lt;1000000000),1),Y$4:Y1673)),INDEX(F$4:F1673,MATCH(LARGE(FILTER(K$4:K1673,K$4:K1673&lt;1000000000),1),K$4:K1673)))),AND(K971&lt;1000000000,COUNTA(C971:C1673)&gt;0,P$3=FALSE),
ROUNDDOWN(INDEX(Y$4:Y1673,MATCH(LARGE(FILTER(W$4:W1673,W$4:W1673&lt;=I971),1),W$4:W1673"&amp;"))+(I971-LARGE(FILTER(W$4:W1673,W$4:W1673&lt;=I971),1))*INDEX(T$4:T1673,MATCH(LARGE(FILTER(W$4:W1673,W$4:W1673&lt;=I971),1),W$4:W1673))-K971),1,
ROUNDDOWN(Y971-INDEX(K$4:K1673,MATCH(LARGE(FILTER(I$4:I1673,I$4:I1673&lt;=W971),1),I$4:I1673))-(W971-LARGE(FILTER(I$4:I"&amp;"1673,I$4:I1673&lt;=W971),1))*INDEX(F$4:F1673,MATCH(LARGE(FILTER(I$4:I1673,I$4:I1673&lt;=W971),1),I$4:I1673))))"),"")</f>
        <v/>
      </c>
      <c r="N971" s="60" t="str">
        <f t="shared" si="8"/>
        <v/>
      </c>
      <c r="O971" s="61" t="str">
        <f t="shared" si="9"/>
        <v/>
      </c>
      <c r="P971" s="56" t="str">
        <f t="shared" si="10"/>
        <v/>
      </c>
      <c r="R971" s="10"/>
      <c r="S971" s="59" t="str">
        <f t="array" ref="S971">IF(COUNTA(Q971:Q1673)=0,"",SUM((COUNTIF(Q$4:Q971,Upgrades!$B$3:$B$13)-COUNTIF(Q$4:Q971,"Sell_"&amp;Upgrades!$B$3:$B$13))*Upgrades!$D$3:$D$13))</f>
        <v/>
      </c>
      <c r="T971" s="66" t="str">
        <f>IFERROR(__xludf.DUMMYFUNCTION("IF(COUNTA(Q971:Q1673)=0,"""",IF(REGEXMATCH(INDEX(FILTER(Q$4:Q971,Q$4:Q971&lt;&gt;""""),ROWS(FILTER(Q$4:Q971,Q$4:Q971&lt;&gt;""""))),""^Sell_""),INDEX(FILTER(T$4:T970,Q$4:Q970&lt;&gt;""""),ROWS(FILTER(Q$4:Q970,Q$4:Q970&lt;&gt;""""))),$AD$5+S971))"),"")</f>
        <v/>
      </c>
      <c r="U971" s="10" t="str">
        <f>IFERROR(__xludf.DUMMYFUNCTION("IF(COUNTA(Q971:Q1673)=0,"""",IF(Q971="""",0,IF(REGEXMATCH(Q971,""^Sell_""),-ROUNDDOWN(ROUNDUP(INDEX(Upgrades!$C$3:$C$13,MATCH(SUBSTITUTE(Q971,""Sell_"",""""),Upgrades!$B$3:$B$13,0))*1.15^(COUNTIF(Q$4:Q970,SUBSTITUTE(Q971,""Sell_"",""""))-COUNTIF(Q$4:Q970,"&amp;"""Sell_""&amp;SUBSTITUTE(Q971,""Sell_"",""""))))/2),ROUNDUP(INDEX(Upgrades!$C$3:$C$13,MATCH(Q971,Upgrades!$B$3:$B$13,0))*1.15^(COUNTIF(Q$4:Q970,Q971)-COUNTIF(Q$4:Q970,""Sell_""&amp;Q971))))))"),"")</f>
        <v/>
      </c>
      <c r="V971" s="10" t="str">
        <f t="shared" si="11"/>
        <v/>
      </c>
      <c r="W971" s="68" t="str">
        <f t="shared" si="12"/>
        <v/>
      </c>
      <c r="X971" s="59" t="str">
        <f t="shared" si="13"/>
        <v/>
      </c>
      <c r="Y971" s="69" t="str">
        <f t="shared" si="14"/>
        <v/>
      </c>
      <c r="Z971" s="11"/>
    </row>
    <row r="972">
      <c r="A972" s="8"/>
      <c r="B972" s="56" t="str">
        <f t="shared" si="2"/>
        <v/>
      </c>
      <c r="C972" s="105"/>
      <c r="D972" s="10"/>
      <c r="E972" s="59" t="str">
        <f t="array" ref="E972">IF(COUNTA(C972:C1673)=0,"",SUM((COUNTIF(C$4:C972,Upgrades!$B$3:$B$13)-COUNTIF(C$4:C972,"Sell_"&amp;Upgrades!$B$3:$B$13))*Upgrades!$D$3:$D$13))</f>
        <v/>
      </c>
      <c r="F972" s="66" t="str">
        <f>IFERROR(__xludf.DUMMYFUNCTION("IF(COUNTA(C972:C1673)=0,"""",IF(REGEXMATCH(INDEX(FILTER(C$4:C972,C$4:C972&lt;&gt;""""),ROWS(FILTER(C$4:C972,C$4:C972&lt;&gt;""""))),""^Sell_""),INDEX(FILTER(F$4:F971,C$4:C971&lt;&gt;""""),ROWS(FILTER(C$4:C971,C$4:C971&lt;&gt;""""))),$AC$5+E972))"),"")</f>
        <v/>
      </c>
      <c r="G972" s="10" t="str">
        <f>IFERROR(__xludf.DUMMYFUNCTION("IF(COUNTA(C972:C1673)=0,"""",IF(C972="""",0,IF(REGEXMATCH(C972,""^Sell_""),-ROUNDDOWN(ROUNDUP(INDEX(Upgrades!$C$3:$C$13,MATCH(SUBSTITUTE(C972,""Sell_"",""""),Upgrades!$B$3:$B$13,0))*1.15^(COUNTIF(C$4:C971,SUBSTITUTE(C972,""Sell_"",""""))-COUNTIF(C$4:C971,"&amp;"""Sell_""&amp;SUBSTITUTE(C972,""Sell_"",""""))))/2),ROUNDUP(INDEX(Upgrades!$C$3:$C$13,MATCH(C972,Upgrades!$B$3:$B$13,0))*1.15^(COUNTIF(C$4:C971,C972)-COUNTIF(C$4:C971,""Sell_""&amp;C972))))))"),"")</f>
        <v/>
      </c>
      <c r="H972" s="10" t="str">
        <f t="shared" si="3"/>
        <v/>
      </c>
      <c r="I972" s="68" t="str">
        <f t="shared" si="4"/>
        <v/>
      </c>
      <c r="J972" s="59" t="str">
        <f t="shared" si="5"/>
        <v/>
      </c>
      <c r="K972" s="69" t="str">
        <f t="shared" si="6"/>
        <v/>
      </c>
      <c r="L972" s="60" t="str">
        <f t="shared" si="7"/>
        <v/>
      </c>
      <c r="M972" s="61" t="str">
        <f>IFERROR(__xludf.DUMMYFUNCTION("IFS(AND(COUNTA(C972:C1673)=0,COUNTA(Q972:Q1673)=0),"""",OR(AND(K972&gt;=1000000000,OR(Y972&gt;=1000000000,COUNTA(Q972:Q1673)=0)),OR(Y972&gt;=1000000000,AND(COUNTA(C972:C1673)=0,P$3=TRUE))),
ROUNDDOWN((AB$1-AC$1)*MAX(INDEX(T$4:T1673,MATCH(LARGE(FILTER(Y$4:Y1673,Y$4"&amp;":Y1673&lt;1000000000),1),Y$4:Y1673)),INDEX(F$4:F1673,MATCH(LARGE(FILTER(K$4:K1673,K$4:K1673&lt;1000000000),1),K$4:K1673)))),AND(K972&lt;1000000000,COUNTA(C972:C1673)&gt;0,P$3=FALSE),
ROUNDDOWN(INDEX(Y$4:Y1673,MATCH(LARGE(FILTER(W$4:W1673,W$4:W1673&lt;=I972),1),W$4:W1673"&amp;"))+(I972-LARGE(FILTER(W$4:W1673,W$4:W1673&lt;=I972),1))*INDEX(T$4:T1673,MATCH(LARGE(FILTER(W$4:W1673,W$4:W1673&lt;=I972),1),W$4:W1673))-K972),1,
ROUNDDOWN(Y972-INDEX(K$4:K1673,MATCH(LARGE(FILTER(I$4:I1673,I$4:I1673&lt;=W972),1),I$4:I1673))-(W972-LARGE(FILTER(I$4:I"&amp;"1673,I$4:I1673&lt;=W972),1))*INDEX(F$4:F1673,MATCH(LARGE(FILTER(I$4:I1673,I$4:I1673&lt;=W972),1),I$4:I1673))))"),"")</f>
        <v/>
      </c>
      <c r="N972" s="60" t="str">
        <f t="shared" si="8"/>
        <v/>
      </c>
      <c r="O972" s="61" t="str">
        <f t="shared" si="9"/>
        <v/>
      </c>
      <c r="P972" s="56" t="str">
        <f t="shared" si="10"/>
        <v/>
      </c>
      <c r="R972" s="10"/>
      <c r="S972" s="59" t="str">
        <f t="array" ref="S972">IF(COUNTA(Q972:Q1673)=0,"",SUM((COUNTIF(Q$4:Q972,Upgrades!$B$3:$B$13)-COUNTIF(Q$4:Q972,"Sell_"&amp;Upgrades!$B$3:$B$13))*Upgrades!$D$3:$D$13))</f>
        <v/>
      </c>
      <c r="T972" s="66" t="str">
        <f>IFERROR(__xludf.DUMMYFUNCTION("IF(COUNTA(Q972:Q1673)=0,"""",IF(REGEXMATCH(INDEX(FILTER(Q$4:Q972,Q$4:Q972&lt;&gt;""""),ROWS(FILTER(Q$4:Q972,Q$4:Q972&lt;&gt;""""))),""^Sell_""),INDEX(FILTER(T$4:T971,Q$4:Q971&lt;&gt;""""),ROWS(FILTER(Q$4:Q971,Q$4:Q971&lt;&gt;""""))),$AD$5+S972))"),"")</f>
        <v/>
      </c>
      <c r="U972" s="10" t="str">
        <f>IFERROR(__xludf.DUMMYFUNCTION("IF(COUNTA(Q972:Q1673)=0,"""",IF(Q972="""",0,IF(REGEXMATCH(Q972,""^Sell_""),-ROUNDDOWN(ROUNDUP(INDEX(Upgrades!$C$3:$C$13,MATCH(SUBSTITUTE(Q972,""Sell_"",""""),Upgrades!$B$3:$B$13,0))*1.15^(COUNTIF(Q$4:Q971,SUBSTITUTE(Q972,""Sell_"",""""))-COUNTIF(Q$4:Q971,"&amp;"""Sell_""&amp;SUBSTITUTE(Q972,""Sell_"",""""))))/2),ROUNDUP(INDEX(Upgrades!$C$3:$C$13,MATCH(Q972,Upgrades!$B$3:$B$13,0))*1.15^(COUNTIF(Q$4:Q971,Q972)-COUNTIF(Q$4:Q971,""Sell_""&amp;Q972))))))"),"")</f>
        <v/>
      </c>
      <c r="V972" s="10" t="str">
        <f t="shared" si="11"/>
        <v/>
      </c>
      <c r="W972" s="68" t="str">
        <f t="shared" si="12"/>
        <v/>
      </c>
      <c r="X972" s="59" t="str">
        <f t="shared" si="13"/>
        <v/>
      </c>
      <c r="Y972" s="69" t="str">
        <f t="shared" si="14"/>
        <v/>
      </c>
      <c r="Z972" s="11"/>
    </row>
    <row r="973">
      <c r="A973" s="8"/>
      <c r="B973" s="56" t="str">
        <f t="shared" si="2"/>
        <v/>
      </c>
      <c r="C973" s="105"/>
      <c r="D973" s="10"/>
      <c r="E973" s="59" t="str">
        <f t="array" ref="E973">IF(COUNTA(C973:C1673)=0,"",SUM((COUNTIF(C$4:C973,Upgrades!$B$3:$B$13)-COUNTIF(C$4:C973,"Sell_"&amp;Upgrades!$B$3:$B$13))*Upgrades!$D$3:$D$13))</f>
        <v/>
      </c>
      <c r="F973" s="66" t="str">
        <f>IFERROR(__xludf.DUMMYFUNCTION("IF(COUNTA(C973:C1673)=0,"""",IF(REGEXMATCH(INDEX(FILTER(C$4:C973,C$4:C973&lt;&gt;""""),ROWS(FILTER(C$4:C973,C$4:C973&lt;&gt;""""))),""^Sell_""),INDEX(FILTER(F$4:F972,C$4:C972&lt;&gt;""""),ROWS(FILTER(C$4:C972,C$4:C972&lt;&gt;""""))),$AC$5+E973))"),"")</f>
        <v/>
      </c>
      <c r="G973" s="10" t="str">
        <f>IFERROR(__xludf.DUMMYFUNCTION("IF(COUNTA(C973:C1673)=0,"""",IF(C973="""",0,IF(REGEXMATCH(C973,""^Sell_""),-ROUNDDOWN(ROUNDUP(INDEX(Upgrades!$C$3:$C$13,MATCH(SUBSTITUTE(C973,""Sell_"",""""),Upgrades!$B$3:$B$13,0))*1.15^(COUNTIF(C$4:C972,SUBSTITUTE(C973,""Sell_"",""""))-COUNTIF(C$4:C972,"&amp;"""Sell_""&amp;SUBSTITUTE(C973,""Sell_"",""""))))/2),ROUNDUP(INDEX(Upgrades!$C$3:$C$13,MATCH(C973,Upgrades!$B$3:$B$13,0))*1.15^(COUNTIF(C$4:C972,C973)-COUNTIF(C$4:C972,""Sell_""&amp;C973))))))"),"")</f>
        <v/>
      </c>
      <c r="H973" s="10" t="str">
        <f t="shared" si="3"/>
        <v/>
      </c>
      <c r="I973" s="68" t="str">
        <f t="shared" si="4"/>
        <v/>
      </c>
      <c r="J973" s="59" t="str">
        <f t="shared" si="5"/>
        <v/>
      </c>
      <c r="K973" s="69" t="str">
        <f t="shared" si="6"/>
        <v/>
      </c>
      <c r="L973" s="60" t="str">
        <f t="shared" si="7"/>
        <v/>
      </c>
      <c r="M973" s="61" t="str">
        <f>IFERROR(__xludf.DUMMYFUNCTION("IFS(AND(COUNTA(C973:C1673)=0,COUNTA(Q973:Q1673)=0),"""",OR(AND(K973&gt;=1000000000,OR(Y973&gt;=1000000000,COUNTA(Q973:Q1673)=0)),OR(Y973&gt;=1000000000,AND(COUNTA(C973:C1673)=0,P$3=TRUE))),
ROUNDDOWN((AB$1-AC$1)*MAX(INDEX(T$4:T1673,MATCH(LARGE(FILTER(Y$4:Y1673,Y$4"&amp;":Y1673&lt;1000000000),1),Y$4:Y1673)),INDEX(F$4:F1673,MATCH(LARGE(FILTER(K$4:K1673,K$4:K1673&lt;1000000000),1),K$4:K1673)))),AND(K973&lt;1000000000,COUNTA(C973:C1673)&gt;0,P$3=FALSE),
ROUNDDOWN(INDEX(Y$4:Y1673,MATCH(LARGE(FILTER(W$4:W1673,W$4:W1673&lt;=I973),1),W$4:W1673"&amp;"))+(I973-LARGE(FILTER(W$4:W1673,W$4:W1673&lt;=I973),1))*INDEX(T$4:T1673,MATCH(LARGE(FILTER(W$4:W1673,W$4:W1673&lt;=I973),1),W$4:W1673))-K973),1,
ROUNDDOWN(Y973-INDEX(K$4:K1673,MATCH(LARGE(FILTER(I$4:I1673,I$4:I1673&lt;=W973),1),I$4:I1673))-(W973-LARGE(FILTER(I$4:I"&amp;"1673,I$4:I1673&lt;=W973),1))*INDEX(F$4:F1673,MATCH(LARGE(FILTER(I$4:I1673,I$4:I1673&lt;=W973),1),I$4:I1673))))"),"")</f>
        <v/>
      </c>
      <c r="N973" s="60" t="str">
        <f t="shared" si="8"/>
        <v/>
      </c>
      <c r="O973" s="61" t="str">
        <f t="shared" si="9"/>
        <v/>
      </c>
      <c r="P973" s="56" t="str">
        <f t="shared" si="10"/>
        <v/>
      </c>
      <c r="R973" s="10"/>
      <c r="S973" s="59" t="str">
        <f t="array" ref="S973">IF(COUNTA(Q973:Q1673)=0,"",SUM((COUNTIF(Q$4:Q973,Upgrades!$B$3:$B$13)-COUNTIF(Q$4:Q973,"Sell_"&amp;Upgrades!$B$3:$B$13))*Upgrades!$D$3:$D$13))</f>
        <v/>
      </c>
      <c r="T973" s="66" t="str">
        <f>IFERROR(__xludf.DUMMYFUNCTION("IF(COUNTA(Q973:Q1673)=0,"""",IF(REGEXMATCH(INDEX(FILTER(Q$4:Q973,Q$4:Q973&lt;&gt;""""),ROWS(FILTER(Q$4:Q973,Q$4:Q973&lt;&gt;""""))),""^Sell_""),INDEX(FILTER(T$4:T972,Q$4:Q972&lt;&gt;""""),ROWS(FILTER(Q$4:Q972,Q$4:Q972&lt;&gt;""""))),$AD$5+S973))"),"")</f>
        <v/>
      </c>
      <c r="U973" s="10" t="str">
        <f>IFERROR(__xludf.DUMMYFUNCTION("IF(COUNTA(Q973:Q1673)=0,"""",IF(Q973="""",0,IF(REGEXMATCH(Q973,""^Sell_""),-ROUNDDOWN(ROUNDUP(INDEX(Upgrades!$C$3:$C$13,MATCH(SUBSTITUTE(Q973,""Sell_"",""""),Upgrades!$B$3:$B$13,0))*1.15^(COUNTIF(Q$4:Q972,SUBSTITUTE(Q973,""Sell_"",""""))-COUNTIF(Q$4:Q972,"&amp;"""Sell_""&amp;SUBSTITUTE(Q973,""Sell_"",""""))))/2),ROUNDUP(INDEX(Upgrades!$C$3:$C$13,MATCH(Q973,Upgrades!$B$3:$B$13,0))*1.15^(COUNTIF(Q$4:Q972,Q973)-COUNTIF(Q$4:Q972,""Sell_""&amp;Q973))))))"),"")</f>
        <v/>
      </c>
      <c r="V973" s="10" t="str">
        <f t="shared" si="11"/>
        <v/>
      </c>
      <c r="W973" s="68" t="str">
        <f t="shared" si="12"/>
        <v/>
      </c>
      <c r="X973" s="59" t="str">
        <f t="shared" si="13"/>
        <v/>
      </c>
      <c r="Y973" s="69" t="str">
        <f t="shared" si="14"/>
        <v/>
      </c>
      <c r="Z973" s="11"/>
    </row>
    <row r="974">
      <c r="A974" s="8"/>
      <c r="B974" s="56" t="str">
        <f t="shared" si="2"/>
        <v/>
      </c>
      <c r="C974" s="105"/>
      <c r="D974" s="10"/>
      <c r="E974" s="59" t="str">
        <f t="array" ref="E974">IF(COUNTA(C974:C1673)=0,"",SUM((COUNTIF(C$4:C974,Upgrades!$B$3:$B$13)-COUNTIF(C$4:C974,"Sell_"&amp;Upgrades!$B$3:$B$13))*Upgrades!$D$3:$D$13))</f>
        <v/>
      </c>
      <c r="F974" s="66" t="str">
        <f>IFERROR(__xludf.DUMMYFUNCTION("IF(COUNTA(C974:C1673)=0,"""",IF(REGEXMATCH(INDEX(FILTER(C$4:C974,C$4:C974&lt;&gt;""""),ROWS(FILTER(C$4:C974,C$4:C974&lt;&gt;""""))),""^Sell_""),INDEX(FILTER(F$4:F973,C$4:C973&lt;&gt;""""),ROWS(FILTER(C$4:C973,C$4:C973&lt;&gt;""""))),$AC$5+E974))"),"")</f>
        <v/>
      </c>
      <c r="G974" s="10" t="str">
        <f>IFERROR(__xludf.DUMMYFUNCTION("IF(COUNTA(C974:C1673)=0,"""",IF(C974="""",0,IF(REGEXMATCH(C974,""^Sell_""),-ROUNDDOWN(ROUNDUP(INDEX(Upgrades!$C$3:$C$13,MATCH(SUBSTITUTE(C974,""Sell_"",""""),Upgrades!$B$3:$B$13,0))*1.15^(COUNTIF(C$4:C973,SUBSTITUTE(C974,""Sell_"",""""))-COUNTIF(C$4:C973,"&amp;"""Sell_""&amp;SUBSTITUTE(C974,""Sell_"",""""))))/2),ROUNDUP(INDEX(Upgrades!$C$3:$C$13,MATCH(C974,Upgrades!$B$3:$B$13,0))*1.15^(COUNTIF(C$4:C973,C974)-COUNTIF(C$4:C973,""Sell_""&amp;C974))))))"),"")</f>
        <v/>
      </c>
      <c r="H974" s="10" t="str">
        <f t="shared" si="3"/>
        <v/>
      </c>
      <c r="I974" s="68" t="str">
        <f t="shared" si="4"/>
        <v/>
      </c>
      <c r="J974" s="59" t="str">
        <f t="shared" si="5"/>
        <v/>
      </c>
      <c r="K974" s="69" t="str">
        <f t="shared" si="6"/>
        <v/>
      </c>
      <c r="L974" s="60" t="str">
        <f t="shared" si="7"/>
        <v/>
      </c>
      <c r="M974" s="61" t="str">
        <f>IFERROR(__xludf.DUMMYFUNCTION("IFS(AND(COUNTA(C974:C1673)=0,COUNTA(Q974:Q1673)=0),"""",OR(AND(K974&gt;=1000000000,OR(Y974&gt;=1000000000,COUNTA(Q974:Q1673)=0)),OR(Y974&gt;=1000000000,AND(COUNTA(C974:C1673)=0,P$3=TRUE))),
ROUNDDOWN((AB$1-AC$1)*MAX(INDEX(T$4:T1673,MATCH(LARGE(FILTER(Y$4:Y1673,Y$4"&amp;":Y1673&lt;1000000000),1),Y$4:Y1673)),INDEX(F$4:F1673,MATCH(LARGE(FILTER(K$4:K1673,K$4:K1673&lt;1000000000),1),K$4:K1673)))),AND(K974&lt;1000000000,COUNTA(C974:C1673)&gt;0,P$3=FALSE),
ROUNDDOWN(INDEX(Y$4:Y1673,MATCH(LARGE(FILTER(W$4:W1673,W$4:W1673&lt;=I974),1),W$4:W1673"&amp;"))+(I974-LARGE(FILTER(W$4:W1673,W$4:W1673&lt;=I974),1))*INDEX(T$4:T1673,MATCH(LARGE(FILTER(W$4:W1673,W$4:W1673&lt;=I974),1),W$4:W1673))-K974),1,
ROUNDDOWN(Y974-INDEX(K$4:K1673,MATCH(LARGE(FILTER(I$4:I1673,I$4:I1673&lt;=W974),1),I$4:I1673))-(W974-LARGE(FILTER(I$4:I"&amp;"1673,I$4:I1673&lt;=W974),1))*INDEX(F$4:F1673,MATCH(LARGE(FILTER(I$4:I1673,I$4:I1673&lt;=W974),1),I$4:I1673))))"),"")</f>
        <v/>
      </c>
      <c r="N974" s="60" t="str">
        <f t="shared" si="8"/>
        <v/>
      </c>
      <c r="O974" s="61" t="str">
        <f t="shared" si="9"/>
        <v/>
      </c>
      <c r="P974" s="56" t="str">
        <f t="shared" si="10"/>
        <v/>
      </c>
      <c r="R974" s="10"/>
      <c r="S974" s="59" t="str">
        <f t="array" ref="S974">IF(COUNTA(Q974:Q1673)=0,"",SUM((COUNTIF(Q$4:Q974,Upgrades!$B$3:$B$13)-COUNTIF(Q$4:Q974,"Sell_"&amp;Upgrades!$B$3:$B$13))*Upgrades!$D$3:$D$13))</f>
        <v/>
      </c>
      <c r="T974" s="66" t="str">
        <f>IFERROR(__xludf.DUMMYFUNCTION("IF(COUNTA(Q974:Q1673)=0,"""",IF(REGEXMATCH(INDEX(FILTER(Q$4:Q974,Q$4:Q974&lt;&gt;""""),ROWS(FILTER(Q$4:Q974,Q$4:Q974&lt;&gt;""""))),""^Sell_""),INDEX(FILTER(T$4:T973,Q$4:Q973&lt;&gt;""""),ROWS(FILTER(Q$4:Q973,Q$4:Q973&lt;&gt;""""))),$AD$5+S974))"),"")</f>
        <v/>
      </c>
      <c r="U974" s="10" t="str">
        <f>IFERROR(__xludf.DUMMYFUNCTION("IF(COUNTA(Q974:Q1673)=0,"""",IF(Q974="""",0,IF(REGEXMATCH(Q974,""^Sell_""),-ROUNDDOWN(ROUNDUP(INDEX(Upgrades!$C$3:$C$13,MATCH(SUBSTITUTE(Q974,""Sell_"",""""),Upgrades!$B$3:$B$13,0))*1.15^(COUNTIF(Q$4:Q973,SUBSTITUTE(Q974,""Sell_"",""""))-COUNTIF(Q$4:Q973,"&amp;"""Sell_""&amp;SUBSTITUTE(Q974,""Sell_"",""""))))/2),ROUNDUP(INDEX(Upgrades!$C$3:$C$13,MATCH(Q974,Upgrades!$B$3:$B$13,0))*1.15^(COUNTIF(Q$4:Q973,Q974)-COUNTIF(Q$4:Q973,""Sell_""&amp;Q974))))))"),"")</f>
        <v/>
      </c>
      <c r="V974" s="10" t="str">
        <f t="shared" si="11"/>
        <v/>
      </c>
      <c r="W974" s="68" t="str">
        <f t="shared" si="12"/>
        <v/>
      </c>
      <c r="X974" s="59" t="str">
        <f t="shared" si="13"/>
        <v/>
      </c>
      <c r="Y974" s="69" t="str">
        <f t="shared" si="14"/>
        <v/>
      </c>
      <c r="Z974" s="11"/>
    </row>
    <row r="975">
      <c r="A975" s="8"/>
      <c r="B975" s="56" t="str">
        <f t="shared" si="2"/>
        <v/>
      </c>
      <c r="C975" s="105"/>
      <c r="D975" s="10"/>
      <c r="E975" s="59" t="str">
        <f t="array" ref="E975">IF(COUNTA(C975:C1673)=0,"",SUM((COUNTIF(C$4:C975,Upgrades!$B$3:$B$13)-COUNTIF(C$4:C975,"Sell_"&amp;Upgrades!$B$3:$B$13))*Upgrades!$D$3:$D$13))</f>
        <v/>
      </c>
      <c r="F975" s="66" t="str">
        <f>IFERROR(__xludf.DUMMYFUNCTION("IF(COUNTA(C975:C1673)=0,"""",IF(REGEXMATCH(INDEX(FILTER(C$4:C975,C$4:C975&lt;&gt;""""),ROWS(FILTER(C$4:C975,C$4:C975&lt;&gt;""""))),""^Sell_""),INDEX(FILTER(F$4:F974,C$4:C974&lt;&gt;""""),ROWS(FILTER(C$4:C974,C$4:C974&lt;&gt;""""))),$AC$5+E975))"),"")</f>
        <v/>
      </c>
      <c r="G975" s="10" t="str">
        <f>IFERROR(__xludf.DUMMYFUNCTION("IF(COUNTA(C975:C1673)=0,"""",IF(C975="""",0,IF(REGEXMATCH(C975,""^Sell_""),-ROUNDDOWN(ROUNDUP(INDEX(Upgrades!$C$3:$C$13,MATCH(SUBSTITUTE(C975,""Sell_"",""""),Upgrades!$B$3:$B$13,0))*1.15^(COUNTIF(C$4:C974,SUBSTITUTE(C975,""Sell_"",""""))-COUNTIF(C$4:C974,"&amp;"""Sell_""&amp;SUBSTITUTE(C975,""Sell_"",""""))))/2),ROUNDUP(INDEX(Upgrades!$C$3:$C$13,MATCH(C975,Upgrades!$B$3:$B$13,0))*1.15^(COUNTIF(C$4:C974,C975)-COUNTIF(C$4:C974,""Sell_""&amp;C975))))))"),"")</f>
        <v/>
      </c>
      <c r="H975" s="10" t="str">
        <f t="shared" si="3"/>
        <v/>
      </c>
      <c r="I975" s="68" t="str">
        <f t="shared" si="4"/>
        <v/>
      </c>
      <c r="J975" s="59" t="str">
        <f t="shared" si="5"/>
        <v/>
      </c>
      <c r="K975" s="69" t="str">
        <f t="shared" si="6"/>
        <v/>
      </c>
      <c r="L975" s="60" t="str">
        <f t="shared" si="7"/>
        <v/>
      </c>
      <c r="M975" s="61" t="str">
        <f>IFERROR(__xludf.DUMMYFUNCTION("IFS(AND(COUNTA(C975:C1673)=0,COUNTA(Q975:Q1673)=0),"""",OR(AND(K975&gt;=1000000000,OR(Y975&gt;=1000000000,COUNTA(Q975:Q1673)=0)),OR(Y975&gt;=1000000000,AND(COUNTA(C975:C1673)=0,P$3=TRUE))),
ROUNDDOWN((AB$1-AC$1)*MAX(INDEX(T$4:T1673,MATCH(LARGE(FILTER(Y$4:Y1673,Y$4"&amp;":Y1673&lt;1000000000),1),Y$4:Y1673)),INDEX(F$4:F1673,MATCH(LARGE(FILTER(K$4:K1673,K$4:K1673&lt;1000000000),1),K$4:K1673)))),AND(K975&lt;1000000000,COUNTA(C975:C1673)&gt;0,P$3=FALSE),
ROUNDDOWN(INDEX(Y$4:Y1673,MATCH(LARGE(FILTER(W$4:W1673,W$4:W1673&lt;=I975),1),W$4:W1673"&amp;"))+(I975-LARGE(FILTER(W$4:W1673,W$4:W1673&lt;=I975),1))*INDEX(T$4:T1673,MATCH(LARGE(FILTER(W$4:W1673,W$4:W1673&lt;=I975),1),W$4:W1673))-K975),1,
ROUNDDOWN(Y975-INDEX(K$4:K1673,MATCH(LARGE(FILTER(I$4:I1673,I$4:I1673&lt;=W975),1),I$4:I1673))-(W975-LARGE(FILTER(I$4:I"&amp;"1673,I$4:I1673&lt;=W975),1))*INDEX(F$4:F1673,MATCH(LARGE(FILTER(I$4:I1673,I$4:I1673&lt;=W975),1),I$4:I1673))))"),"")</f>
        <v/>
      </c>
      <c r="N975" s="60" t="str">
        <f t="shared" si="8"/>
        <v/>
      </c>
      <c r="O975" s="61" t="str">
        <f t="shared" si="9"/>
        <v/>
      </c>
      <c r="P975" s="56" t="str">
        <f t="shared" si="10"/>
        <v/>
      </c>
      <c r="R975" s="10"/>
      <c r="S975" s="59" t="str">
        <f t="array" ref="S975">IF(COUNTA(Q975:Q1673)=0,"",SUM((COUNTIF(Q$4:Q975,Upgrades!$B$3:$B$13)-COUNTIF(Q$4:Q975,"Sell_"&amp;Upgrades!$B$3:$B$13))*Upgrades!$D$3:$D$13))</f>
        <v/>
      </c>
      <c r="T975" s="66" t="str">
        <f>IFERROR(__xludf.DUMMYFUNCTION("IF(COUNTA(Q975:Q1673)=0,"""",IF(REGEXMATCH(INDEX(FILTER(Q$4:Q975,Q$4:Q975&lt;&gt;""""),ROWS(FILTER(Q$4:Q975,Q$4:Q975&lt;&gt;""""))),""^Sell_""),INDEX(FILTER(T$4:T974,Q$4:Q974&lt;&gt;""""),ROWS(FILTER(Q$4:Q974,Q$4:Q974&lt;&gt;""""))),$AD$5+S975))"),"")</f>
        <v/>
      </c>
      <c r="U975" s="10" t="str">
        <f>IFERROR(__xludf.DUMMYFUNCTION("IF(COUNTA(Q975:Q1673)=0,"""",IF(Q975="""",0,IF(REGEXMATCH(Q975,""^Sell_""),-ROUNDDOWN(ROUNDUP(INDEX(Upgrades!$C$3:$C$13,MATCH(SUBSTITUTE(Q975,""Sell_"",""""),Upgrades!$B$3:$B$13,0))*1.15^(COUNTIF(Q$4:Q974,SUBSTITUTE(Q975,""Sell_"",""""))-COUNTIF(Q$4:Q974,"&amp;"""Sell_""&amp;SUBSTITUTE(Q975,""Sell_"",""""))))/2),ROUNDUP(INDEX(Upgrades!$C$3:$C$13,MATCH(Q975,Upgrades!$B$3:$B$13,0))*1.15^(COUNTIF(Q$4:Q974,Q975)-COUNTIF(Q$4:Q974,""Sell_""&amp;Q975))))))"),"")</f>
        <v/>
      </c>
      <c r="V975" s="10" t="str">
        <f t="shared" si="11"/>
        <v/>
      </c>
      <c r="W975" s="68" t="str">
        <f t="shared" si="12"/>
        <v/>
      </c>
      <c r="X975" s="59" t="str">
        <f t="shared" si="13"/>
        <v/>
      </c>
      <c r="Y975" s="69" t="str">
        <f t="shared" si="14"/>
        <v/>
      </c>
      <c r="Z975" s="11"/>
    </row>
    <row r="976">
      <c r="A976" s="8"/>
      <c r="B976" s="56" t="str">
        <f t="shared" si="2"/>
        <v/>
      </c>
      <c r="C976" s="105"/>
      <c r="D976" s="10"/>
      <c r="E976" s="59" t="str">
        <f t="array" ref="E976">IF(COUNTA(C976:C1673)=0,"",SUM((COUNTIF(C$4:C976,Upgrades!$B$3:$B$13)-COUNTIF(C$4:C976,"Sell_"&amp;Upgrades!$B$3:$B$13))*Upgrades!$D$3:$D$13))</f>
        <v/>
      </c>
      <c r="F976" s="66" t="str">
        <f>IFERROR(__xludf.DUMMYFUNCTION("IF(COUNTA(C976:C1673)=0,"""",IF(REGEXMATCH(INDEX(FILTER(C$4:C976,C$4:C976&lt;&gt;""""),ROWS(FILTER(C$4:C976,C$4:C976&lt;&gt;""""))),""^Sell_""),INDEX(FILTER(F$4:F975,C$4:C975&lt;&gt;""""),ROWS(FILTER(C$4:C975,C$4:C975&lt;&gt;""""))),$AC$5+E976))"),"")</f>
        <v/>
      </c>
      <c r="G976" s="10" t="str">
        <f>IFERROR(__xludf.DUMMYFUNCTION("IF(COUNTA(C976:C1673)=0,"""",IF(C976="""",0,IF(REGEXMATCH(C976,""^Sell_""),-ROUNDDOWN(ROUNDUP(INDEX(Upgrades!$C$3:$C$13,MATCH(SUBSTITUTE(C976,""Sell_"",""""),Upgrades!$B$3:$B$13,0))*1.15^(COUNTIF(C$4:C975,SUBSTITUTE(C976,""Sell_"",""""))-COUNTIF(C$4:C975,"&amp;"""Sell_""&amp;SUBSTITUTE(C976,""Sell_"",""""))))/2),ROUNDUP(INDEX(Upgrades!$C$3:$C$13,MATCH(C976,Upgrades!$B$3:$B$13,0))*1.15^(COUNTIF(C$4:C975,C976)-COUNTIF(C$4:C975,""Sell_""&amp;C976))))))"),"")</f>
        <v/>
      </c>
      <c r="H976" s="10" t="str">
        <f t="shared" si="3"/>
        <v/>
      </c>
      <c r="I976" s="68" t="str">
        <f t="shared" si="4"/>
        <v/>
      </c>
      <c r="J976" s="59" t="str">
        <f t="shared" si="5"/>
        <v/>
      </c>
      <c r="K976" s="69" t="str">
        <f t="shared" si="6"/>
        <v/>
      </c>
      <c r="L976" s="60" t="str">
        <f t="shared" si="7"/>
        <v/>
      </c>
      <c r="M976" s="61" t="str">
        <f>IFERROR(__xludf.DUMMYFUNCTION("IFS(AND(COUNTA(C976:C1673)=0,COUNTA(Q976:Q1673)=0),"""",OR(AND(K976&gt;=1000000000,OR(Y976&gt;=1000000000,COUNTA(Q976:Q1673)=0)),OR(Y976&gt;=1000000000,AND(COUNTA(C976:C1673)=0,P$3=TRUE))),
ROUNDDOWN((AB$1-AC$1)*MAX(INDEX(T$4:T1673,MATCH(LARGE(FILTER(Y$4:Y1673,Y$4"&amp;":Y1673&lt;1000000000),1),Y$4:Y1673)),INDEX(F$4:F1673,MATCH(LARGE(FILTER(K$4:K1673,K$4:K1673&lt;1000000000),1),K$4:K1673)))),AND(K976&lt;1000000000,COUNTA(C976:C1673)&gt;0,P$3=FALSE),
ROUNDDOWN(INDEX(Y$4:Y1673,MATCH(LARGE(FILTER(W$4:W1673,W$4:W1673&lt;=I976),1),W$4:W1673"&amp;"))+(I976-LARGE(FILTER(W$4:W1673,W$4:W1673&lt;=I976),1))*INDEX(T$4:T1673,MATCH(LARGE(FILTER(W$4:W1673,W$4:W1673&lt;=I976),1),W$4:W1673))-K976),1,
ROUNDDOWN(Y976-INDEX(K$4:K1673,MATCH(LARGE(FILTER(I$4:I1673,I$4:I1673&lt;=W976),1),I$4:I1673))-(W976-LARGE(FILTER(I$4:I"&amp;"1673,I$4:I1673&lt;=W976),1))*INDEX(F$4:F1673,MATCH(LARGE(FILTER(I$4:I1673,I$4:I1673&lt;=W976),1),I$4:I1673))))"),"")</f>
        <v/>
      </c>
      <c r="N976" s="60" t="str">
        <f t="shared" si="8"/>
        <v/>
      </c>
      <c r="O976" s="61" t="str">
        <f t="shared" si="9"/>
        <v/>
      </c>
      <c r="P976" s="56" t="str">
        <f t="shared" si="10"/>
        <v/>
      </c>
      <c r="R976" s="10"/>
      <c r="S976" s="59" t="str">
        <f t="array" ref="S976">IF(COUNTA(Q976:Q1673)=0,"",SUM((COUNTIF(Q$4:Q976,Upgrades!$B$3:$B$13)-COUNTIF(Q$4:Q976,"Sell_"&amp;Upgrades!$B$3:$B$13))*Upgrades!$D$3:$D$13))</f>
        <v/>
      </c>
      <c r="T976" s="66" t="str">
        <f>IFERROR(__xludf.DUMMYFUNCTION("IF(COUNTA(Q976:Q1673)=0,"""",IF(REGEXMATCH(INDEX(FILTER(Q$4:Q976,Q$4:Q976&lt;&gt;""""),ROWS(FILTER(Q$4:Q976,Q$4:Q976&lt;&gt;""""))),""^Sell_""),INDEX(FILTER(T$4:T975,Q$4:Q975&lt;&gt;""""),ROWS(FILTER(Q$4:Q975,Q$4:Q975&lt;&gt;""""))),$AD$5+S976))"),"")</f>
        <v/>
      </c>
      <c r="U976" s="10" t="str">
        <f>IFERROR(__xludf.DUMMYFUNCTION("IF(COUNTA(Q976:Q1673)=0,"""",IF(Q976="""",0,IF(REGEXMATCH(Q976,""^Sell_""),-ROUNDDOWN(ROUNDUP(INDEX(Upgrades!$C$3:$C$13,MATCH(SUBSTITUTE(Q976,""Sell_"",""""),Upgrades!$B$3:$B$13,0))*1.15^(COUNTIF(Q$4:Q975,SUBSTITUTE(Q976,""Sell_"",""""))-COUNTIF(Q$4:Q975,"&amp;"""Sell_""&amp;SUBSTITUTE(Q976,""Sell_"",""""))))/2),ROUNDUP(INDEX(Upgrades!$C$3:$C$13,MATCH(Q976,Upgrades!$B$3:$B$13,0))*1.15^(COUNTIF(Q$4:Q975,Q976)-COUNTIF(Q$4:Q975,""Sell_""&amp;Q976))))))"),"")</f>
        <v/>
      </c>
      <c r="V976" s="10" t="str">
        <f t="shared" si="11"/>
        <v/>
      </c>
      <c r="W976" s="68" t="str">
        <f t="shared" si="12"/>
        <v/>
      </c>
      <c r="X976" s="59" t="str">
        <f t="shared" si="13"/>
        <v/>
      </c>
      <c r="Y976" s="69" t="str">
        <f t="shared" si="14"/>
        <v/>
      </c>
      <c r="Z976" s="11"/>
    </row>
    <row r="977">
      <c r="A977" s="8"/>
      <c r="B977" s="56" t="str">
        <f t="shared" si="2"/>
        <v/>
      </c>
      <c r="C977" s="105"/>
      <c r="D977" s="10"/>
      <c r="E977" s="59" t="str">
        <f t="array" ref="E977">IF(COUNTA(C977:C1673)=0,"",SUM((COUNTIF(C$4:C977,Upgrades!$B$3:$B$13)-COUNTIF(C$4:C977,"Sell_"&amp;Upgrades!$B$3:$B$13))*Upgrades!$D$3:$D$13))</f>
        <v/>
      </c>
      <c r="F977" s="66" t="str">
        <f>IFERROR(__xludf.DUMMYFUNCTION("IF(COUNTA(C977:C1673)=0,"""",IF(REGEXMATCH(INDEX(FILTER(C$4:C977,C$4:C977&lt;&gt;""""),ROWS(FILTER(C$4:C977,C$4:C977&lt;&gt;""""))),""^Sell_""),INDEX(FILTER(F$4:F976,C$4:C976&lt;&gt;""""),ROWS(FILTER(C$4:C976,C$4:C976&lt;&gt;""""))),$AC$5+E977))"),"")</f>
        <v/>
      </c>
      <c r="G977" s="10" t="str">
        <f>IFERROR(__xludf.DUMMYFUNCTION("IF(COUNTA(C977:C1673)=0,"""",IF(C977="""",0,IF(REGEXMATCH(C977,""^Sell_""),-ROUNDDOWN(ROUNDUP(INDEX(Upgrades!$C$3:$C$13,MATCH(SUBSTITUTE(C977,""Sell_"",""""),Upgrades!$B$3:$B$13,0))*1.15^(COUNTIF(C$4:C976,SUBSTITUTE(C977,""Sell_"",""""))-COUNTIF(C$4:C976,"&amp;"""Sell_""&amp;SUBSTITUTE(C977,""Sell_"",""""))))/2),ROUNDUP(INDEX(Upgrades!$C$3:$C$13,MATCH(C977,Upgrades!$B$3:$B$13,0))*1.15^(COUNTIF(C$4:C976,C977)-COUNTIF(C$4:C976,""Sell_""&amp;C977))))))"),"")</f>
        <v/>
      </c>
      <c r="H977" s="10" t="str">
        <f t="shared" si="3"/>
        <v/>
      </c>
      <c r="I977" s="68" t="str">
        <f t="shared" si="4"/>
        <v/>
      </c>
      <c r="J977" s="59" t="str">
        <f t="shared" si="5"/>
        <v/>
      </c>
      <c r="K977" s="69" t="str">
        <f t="shared" si="6"/>
        <v/>
      </c>
      <c r="L977" s="60" t="str">
        <f t="shared" si="7"/>
        <v/>
      </c>
      <c r="M977" s="61" t="str">
        <f>IFERROR(__xludf.DUMMYFUNCTION("IFS(AND(COUNTA(C977:C1673)=0,COUNTA(Q977:Q1673)=0),"""",OR(AND(K977&gt;=1000000000,OR(Y977&gt;=1000000000,COUNTA(Q977:Q1673)=0)),OR(Y977&gt;=1000000000,AND(COUNTA(C977:C1673)=0,P$3=TRUE))),
ROUNDDOWN((AB$1-AC$1)*MAX(INDEX(T$4:T1673,MATCH(LARGE(FILTER(Y$4:Y1673,Y$4"&amp;":Y1673&lt;1000000000),1),Y$4:Y1673)),INDEX(F$4:F1673,MATCH(LARGE(FILTER(K$4:K1673,K$4:K1673&lt;1000000000),1),K$4:K1673)))),AND(K977&lt;1000000000,COUNTA(C977:C1673)&gt;0,P$3=FALSE),
ROUNDDOWN(INDEX(Y$4:Y1673,MATCH(LARGE(FILTER(W$4:W1673,W$4:W1673&lt;=I977),1),W$4:W1673"&amp;"))+(I977-LARGE(FILTER(W$4:W1673,W$4:W1673&lt;=I977),1))*INDEX(T$4:T1673,MATCH(LARGE(FILTER(W$4:W1673,W$4:W1673&lt;=I977),1),W$4:W1673))-K977),1,
ROUNDDOWN(Y977-INDEX(K$4:K1673,MATCH(LARGE(FILTER(I$4:I1673,I$4:I1673&lt;=W977),1),I$4:I1673))-(W977-LARGE(FILTER(I$4:I"&amp;"1673,I$4:I1673&lt;=W977),1))*INDEX(F$4:F1673,MATCH(LARGE(FILTER(I$4:I1673,I$4:I1673&lt;=W977),1),I$4:I1673))))"),"")</f>
        <v/>
      </c>
      <c r="N977" s="60" t="str">
        <f t="shared" si="8"/>
        <v/>
      </c>
      <c r="O977" s="61" t="str">
        <f t="shared" si="9"/>
        <v/>
      </c>
      <c r="P977" s="56" t="str">
        <f t="shared" si="10"/>
        <v/>
      </c>
      <c r="R977" s="10"/>
      <c r="S977" s="59" t="str">
        <f t="array" ref="S977">IF(COUNTA(Q977:Q1673)=0,"",SUM((COUNTIF(Q$4:Q977,Upgrades!$B$3:$B$13)-COUNTIF(Q$4:Q977,"Sell_"&amp;Upgrades!$B$3:$B$13))*Upgrades!$D$3:$D$13))</f>
        <v/>
      </c>
      <c r="T977" s="66" t="str">
        <f>IFERROR(__xludf.DUMMYFUNCTION("IF(COUNTA(Q977:Q1673)=0,"""",IF(REGEXMATCH(INDEX(FILTER(Q$4:Q977,Q$4:Q977&lt;&gt;""""),ROWS(FILTER(Q$4:Q977,Q$4:Q977&lt;&gt;""""))),""^Sell_""),INDEX(FILTER(T$4:T976,Q$4:Q976&lt;&gt;""""),ROWS(FILTER(Q$4:Q976,Q$4:Q976&lt;&gt;""""))),$AD$5+S977))"),"")</f>
        <v/>
      </c>
      <c r="U977" s="10" t="str">
        <f>IFERROR(__xludf.DUMMYFUNCTION("IF(COUNTA(Q977:Q1673)=0,"""",IF(Q977="""",0,IF(REGEXMATCH(Q977,""^Sell_""),-ROUNDDOWN(ROUNDUP(INDEX(Upgrades!$C$3:$C$13,MATCH(SUBSTITUTE(Q977,""Sell_"",""""),Upgrades!$B$3:$B$13,0))*1.15^(COUNTIF(Q$4:Q976,SUBSTITUTE(Q977,""Sell_"",""""))-COUNTIF(Q$4:Q976,"&amp;"""Sell_""&amp;SUBSTITUTE(Q977,""Sell_"",""""))))/2),ROUNDUP(INDEX(Upgrades!$C$3:$C$13,MATCH(Q977,Upgrades!$B$3:$B$13,0))*1.15^(COUNTIF(Q$4:Q976,Q977)-COUNTIF(Q$4:Q976,""Sell_""&amp;Q977))))))"),"")</f>
        <v/>
      </c>
      <c r="V977" s="10" t="str">
        <f t="shared" si="11"/>
        <v/>
      </c>
      <c r="W977" s="68" t="str">
        <f t="shared" si="12"/>
        <v/>
      </c>
      <c r="X977" s="59" t="str">
        <f t="shared" si="13"/>
        <v/>
      </c>
      <c r="Y977" s="69" t="str">
        <f t="shared" si="14"/>
        <v/>
      </c>
      <c r="Z977" s="11"/>
    </row>
    <row r="978">
      <c r="A978" s="8"/>
      <c r="B978" s="56" t="str">
        <f t="shared" si="2"/>
        <v/>
      </c>
      <c r="C978" s="105"/>
      <c r="D978" s="10"/>
      <c r="E978" s="59" t="str">
        <f t="array" ref="E978">IF(COUNTA(C978:C1673)=0,"",SUM((COUNTIF(C$4:C978,Upgrades!$B$3:$B$13)-COUNTIF(C$4:C978,"Sell_"&amp;Upgrades!$B$3:$B$13))*Upgrades!$D$3:$D$13))</f>
        <v/>
      </c>
      <c r="F978" s="66" t="str">
        <f>IFERROR(__xludf.DUMMYFUNCTION("IF(COUNTA(C978:C1673)=0,"""",IF(REGEXMATCH(INDEX(FILTER(C$4:C978,C$4:C978&lt;&gt;""""),ROWS(FILTER(C$4:C978,C$4:C978&lt;&gt;""""))),""^Sell_""),INDEX(FILTER(F$4:F977,C$4:C977&lt;&gt;""""),ROWS(FILTER(C$4:C977,C$4:C977&lt;&gt;""""))),$AC$5+E978))"),"")</f>
        <v/>
      </c>
      <c r="G978" s="10" t="str">
        <f>IFERROR(__xludf.DUMMYFUNCTION("IF(COUNTA(C978:C1673)=0,"""",IF(C978="""",0,IF(REGEXMATCH(C978,""^Sell_""),-ROUNDDOWN(ROUNDUP(INDEX(Upgrades!$C$3:$C$13,MATCH(SUBSTITUTE(C978,""Sell_"",""""),Upgrades!$B$3:$B$13,0))*1.15^(COUNTIF(C$4:C977,SUBSTITUTE(C978,""Sell_"",""""))-COUNTIF(C$4:C977,"&amp;"""Sell_""&amp;SUBSTITUTE(C978,""Sell_"",""""))))/2),ROUNDUP(INDEX(Upgrades!$C$3:$C$13,MATCH(C978,Upgrades!$B$3:$B$13,0))*1.15^(COUNTIF(C$4:C977,C978)-COUNTIF(C$4:C977,""Sell_""&amp;C978))))))"),"")</f>
        <v/>
      </c>
      <c r="H978" s="10" t="str">
        <f t="shared" si="3"/>
        <v/>
      </c>
      <c r="I978" s="68" t="str">
        <f t="shared" si="4"/>
        <v/>
      </c>
      <c r="J978" s="59" t="str">
        <f t="shared" si="5"/>
        <v/>
      </c>
      <c r="K978" s="69" t="str">
        <f t="shared" si="6"/>
        <v/>
      </c>
      <c r="L978" s="60" t="str">
        <f t="shared" si="7"/>
        <v/>
      </c>
      <c r="M978" s="61" t="str">
        <f>IFERROR(__xludf.DUMMYFUNCTION("IFS(AND(COUNTA(C978:C1673)=0,COUNTA(Q978:Q1673)=0),"""",OR(AND(K978&gt;=1000000000,OR(Y978&gt;=1000000000,COUNTA(Q978:Q1673)=0)),OR(Y978&gt;=1000000000,AND(COUNTA(C978:C1673)=0,P$3=TRUE))),
ROUNDDOWN((AB$1-AC$1)*MAX(INDEX(T$4:T1673,MATCH(LARGE(FILTER(Y$4:Y1673,Y$4"&amp;":Y1673&lt;1000000000),1),Y$4:Y1673)),INDEX(F$4:F1673,MATCH(LARGE(FILTER(K$4:K1673,K$4:K1673&lt;1000000000),1),K$4:K1673)))),AND(K978&lt;1000000000,COUNTA(C978:C1673)&gt;0,P$3=FALSE),
ROUNDDOWN(INDEX(Y$4:Y1673,MATCH(LARGE(FILTER(W$4:W1673,W$4:W1673&lt;=I978),1),W$4:W1673"&amp;"))+(I978-LARGE(FILTER(W$4:W1673,W$4:W1673&lt;=I978),1))*INDEX(T$4:T1673,MATCH(LARGE(FILTER(W$4:W1673,W$4:W1673&lt;=I978),1),W$4:W1673))-K978),1,
ROUNDDOWN(Y978-INDEX(K$4:K1673,MATCH(LARGE(FILTER(I$4:I1673,I$4:I1673&lt;=W978),1),I$4:I1673))-(W978-LARGE(FILTER(I$4:I"&amp;"1673,I$4:I1673&lt;=W978),1))*INDEX(F$4:F1673,MATCH(LARGE(FILTER(I$4:I1673,I$4:I1673&lt;=W978),1),I$4:I1673))))"),"")</f>
        <v/>
      </c>
      <c r="N978" s="60" t="str">
        <f t="shared" si="8"/>
        <v/>
      </c>
      <c r="O978" s="61" t="str">
        <f t="shared" si="9"/>
        <v/>
      </c>
      <c r="P978" s="56" t="str">
        <f t="shared" si="10"/>
        <v/>
      </c>
      <c r="R978" s="10"/>
      <c r="S978" s="59" t="str">
        <f t="array" ref="S978">IF(COUNTA(Q978:Q1673)=0,"",SUM((COUNTIF(Q$4:Q978,Upgrades!$B$3:$B$13)-COUNTIF(Q$4:Q978,"Sell_"&amp;Upgrades!$B$3:$B$13))*Upgrades!$D$3:$D$13))</f>
        <v/>
      </c>
      <c r="T978" s="66" t="str">
        <f>IFERROR(__xludf.DUMMYFUNCTION("IF(COUNTA(Q978:Q1673)=0,"""",IF(REGEXMATCH(INDEX(FILTER(Q$4:Q978,Q$4:Q978&lt;&gt;""""),ROWS(FILTER(Q$4:Q978,Q$4:Q978&lt;&gt;""""))),""^Sell_""),INDEX(FILTER(T$4:T977,Q$4:Q977&lt;&gt;""""),ROWS(FILTER(Q$4:Q977,Q$4:Q977&lt;&gt;""""))),$AD$5+S978))"),"")</f>
        <v/>
      </c>
      <c r="U978" s="10" t="str">
        <f>IFERROR(__xludf.DUMMYFUNCTION("IF(COUNTA(Q978:Q1673)=0,"""",IF(Q978="""",0,IF(REGEXMATCH(Q978,""^Sell_""),-ROUNDDOWN(ROUNDUP(INDEX(Upgrades!$C$3:$C$13,MATCH(SUBSTITUTE(Q978,""Sell_"",""""),Upgrades!$B$3:$B$13,0))*1.15^(COUNTIF(Q$4:Q977,SUBSTITUTE(Q978,""Sell_"",""""))-COUNTIF(Q$4:Q977,"&amp;"""Sell_""&amp;SUBSTITUTE(Q978,""Sell_"",""""))))/2),ROUNDUP(INDEX(Upgrades!$C$3:$C$13,MATCH(Q978,Upgrades!$B$3:$B$13,0))*1.15^(COUNTIF(Q$4:Q977,Q978)-COUNTIF(Q$4:Q977,""Sell_""&amp;Q978))))))"),"")</f>
        <v/>
      </c>
      <c r="V978" s="10" t="str">
        <f t="shared" si="11"/>
        <v/>
      </c>
      <c r="W978" s="68" t="str">
        <f t="shared" si="12"/>
        <v/>
      </c>
      <c r="X978" s="59" t="str">
        <f t="shared" si="13"/>
        <v/>
      </c>
      <c r="Y978" s="69" t="str">
        <f t="shared" si="14"/>
        <v/>
      </c>
      <c r="Z978" s="11"/>
    </row>
    <row r="979">
      <c r="A979" s="8"/>
      <c r="B979" s="56" t="str">
        <f t="shared" si="2"/>
        <v/>
      </c>
      <c r="C979" s="105"/>
      <c r="D979" s="10"/>
      <c r="E979" s="59" t="str">
        <f t="array" ref="E979">IF(COUNTA(C979:C1673)=0,"",SUM((COUNTIF(C$4:C979,Upgrades!$B$3:$B$13)-COUNTIF(C$4:C979,"Sell_"&amp;Upgrades!$B$3:$B$13))*Upgrades!$D$3:$D$13))</f>
        <v/>
      </c>
      <c r="F979" s="66" t="str">
        <f>IFERROR(__xludf.DUMMYFUNCTION("IF(COUNTA(C979:C1673)=0,"""",IF(REGEXMATCH(INDEX(FILTER(C$4:C979,C$4:C979&lt;&gt;""""),ROWS(FILTER(C$4:C979,C$4:C979&lt;&gt;""""))),""^Sell_""),INDEX(FILTER(F$4:F978,C$4:C978&lt;&gt;""""),ROWS(FILTER(C$4:C978,C$4:C978&lt;&gt;""""))),$AC$5+E979))"),"")</f>
        <v/>
      </c>
      <c r="G979" s="10" t="str">
        <f>IFERROR(__xludf.DUMMYFUNCTION("IF(COUNTA(C979:C1673)=0,"""",IF(C979="""",0,IF(REGEXMATCH(C979,""^Sell_""),-ROUNDDOWN(ROUNDUP(INDEX(Upgrades!$C$3:$C$13,MATCH(SUBSTITUTE(C979,""Sell_"",""""),Upgrades!$B$3:$B$13,0))*1.15^(COUNTIF(C$4:C978,SUBSTITUTE(C979,""Sell_"",""""))-COUNTIF(C$4:C978,"&amp;"""Sell_""&amp;SUBSTITUTE(C979,""Sell_"",""""))))/2),ROUNDUP(INDEX(Upgrades!$C$3:$C$13,MATCH(C979,Upgrades!$B$3:$B$13,0))*1.15^(COUNTIF(C$4:C978,C979)-COUNTIF(C$4:C978,""Sell_""&amp;C979))))))"),"")</f>
        <v/>
      </c>
      <c r="H979" s="10" t="str">
        <f t="shared" si="3"/>
        <v/>
      </c>
      <c r="I979" s="68" t="str">
        <f t="shared" si="4"/>
        <v/>
      </c>
      <c r="J979" s="59" t="str">
        <f t="shared" si="5"/>
        <v/>
      </c>
      <c r="K979" s="69" t="str">
        <f t="shared" si="6"/>
        <v/>
      </c>
      <c r="L979" s="60" t="str">
        <f t="shared" si="7"/>
        <v/>
      </c>
      <c r="M979" s="61" t="str">
        <f>IFERROR(__xludf.DUMMYFUNCTION("IFS(AND(COUNTA(C979:C1673)=0,COUNTA(Q979:Q1673)=0),"""",OR(AND(K979&gt;=1000000000,OR(Y979&gt;=1000000000,COUNTA(Q979:Q1673)=0)),OR(Y979&gt;=1000000000,AND(COUNTA(C979:C1673)=0,P$3=TRUE))),
ROUNDDOWN((AB$1-AC$1)*MAX(INDEX(T$4:T1673,MATCH(LARGE(FILTER(Y$4:Y1673,Y$4"&amp;":Y1673&lt;1000000000),1),Y$4:Y1673)),INDEX(F$4:F1673,MATCH(LARGE(FILTER(K$4:K1673,K$4:K1673&lt;1000000000),1),K$4:K1673)))),AND(K979&lt;1000000000,COUNTA(C979:C1673)&gt;0,P$3=FALSE),
ROUNDDOWN(INDEX(Y$4:Y1673,MATCH(LARGE(FILTER(W$4:W1673,W$4:W1673&lt;=I979),1),W$4:W1673"&amp;"))+(I979-LARGE(FILTER(W$4:W1673,W$4:W1673&lt;=I979),1))*INDEX(T$4:T1673,MATCH(LARGE(FILTER(W$4:W1673,W$4:W1673&lt;=I979),1),W$4:W1673))-K979),1,
ROUNDDOWN(Y979-INDEX(K$4:K1673,MATCH(LARGE(FILTER(I$4:I1673,I$4:I1673&lt;=W979),1),I$4:I1673))-(W979-LARGE(FILTER(I$4:I"&amp;"1673,I$4:I1673&lt;=W979),1))*INDEX(F$4:F1673,MATCH(LARGE(FILTER(I$4:I1673,I$4:I1673&lt;=W979),1),I$4:I1673))))"),"")</f>
        <v/>
      </c>
      <c r="N979" s="60" t="str">
        <f t="shared" si="8"/>
        <v/>
      </c>
      <c r="O979" s="61" t="str">
        <f t="shared" si="9"/>
        <v/>
      </c>
      <c r="P979" s="56" t="str">
        <f t="shared" si="10"/>
        <v/>
      </c>
      <c r="R979" s="10"/>
      <c r="S979" s="59" t="str">
        <f t="array" ref="S979">IF(COUNTA(Q979:Q1673)=0,"",SUM((COUNTIF(Q$4:Q979,Upgrades!$B$3:$B$13)-COUNTIF(Q$4:Q979,"Sell_"&amp;Upgrades!$B$3:$B$13))*Upgrades!$D$3:$D$13))</f>
        <v/>
      </c>
      <c r="T979" s="66" t="str">
        <f>IFERROR(__xludf.DUMMYFUNCTION("IF(COUNTA(Q979:Q1673)=0,"""",IF(REGEXMATCH(INDEX(FILTER(Q$4:Q979,Q$4:Q979&lt;&gt;""""),ROWS(FILTER(Q$4:Q979,Q$4:Q979&lt;&gt;""""))),""^Sell_""),INDEX(FILTER(T$4:T978,Q$4:Q978&lt;&gt;""""),ROWS(FILTER(Q$4:Q978,Q$4:Q978&lt;&gt;""""))),$AD$5+S979))"),"")</f>
        <v/>
      </c>
      <c r="U979" s="10" t="str">
        <f>IFERROR(__xludf.DUMMYFUNCTION("IF(COUNTA(Q979:Q1673)=0,"""",IF(Q979="""",0,IF(REGEXMATCH(Q979,""^Sell_""),-ROUNDDOWN(ROUNDUP(INDEX(Upgrades!$C$3:$C$13,MATCH(SUBSTITUTE(Q979,""Sell_"",""""),Upgrades!$B$3:$B$13,0))*1.15^(COUNTIF(Q$4:Q978,SUBSTITUTE(Q979,""Sell_"",""""))-COUNTIF(Q$4:Q978,"&amp;"""Sell_""&amp;SUBSTITUTE(Q979,""Sell_"",""""))))/2),ROUNDUP(INDEX(Upgrades!$C$3:$C$13,MATCH(Q979,Upgrades!$B$3:$B$13,0))*1.15^(COUNTIF(Q$4:Q978,Q979)-COUNTIF(Q$4:Q978,""Sell_""&amp;Q979))))))"),"")</f>
        <v/>
      </c>
      <c r="V979" s="10" t="str">
        <f t="shared" si="11"/>
        <v/>
      </c>
      <c r="W979" s="68" t="str">
        <f t="shared" si="12"/>
        <v/>
      </c>
      <c r="X979" s="59" t="str">
        <f t="shared" si="13"/>
        <v/>
      </c>
      <c r="Y979" s="69" t="str">
        <f t="shared" si="14"/>
        <v/>
      </c>
      <c r="Z979" s="11"/>
    </row>
    <row r="980">
      <c r="A980" s="8"/>
      <c r="B980" s="56" t="str">
        <f t="shared" si="2"/>
        <v/>
      </c>
      <c r="C980" s="105"/>
      <c r="D980" s="10"/>
      <c r="E980" s="59" t="str">
        <f t="array" ref="E980">IF(COUNTA(C980:C1673)=0,"",SUM((COUNTIF(C$4:C980,Upgrades!$B$3:$B$13)-COUNTIF(C$4:C980,"Sell_"&amp;Upgrades!$B$3:$B$13))*Upgrades!$D$3:$D$13))</f>
        <v/>
      </c>
      <c r="F980" s="66" t="str">
        <f>IFERROR(__xludf.DUMMYFUNCTION("IF(COUNTA(C980:C1673)=0,"""",IF(REGEXMATCH(INDEX(FILTER(C$4:C980,C$4:C980&lt;&gt;""""),ROWS(FILTER(C$4:C980,C$4:C980&lt;&gt;""""))),""^Sell_""),INDEX(FILTER(F$4:F979,C$4:C979&lt;&gt;""""),ROWS(FILTER(C$4:C979,C$4:C979&lt;&gt;""""))),$AC$5+E980))"),"")</f>
        <v/>
      </c>
      <c r="G980" s="10" t="str">
        <f>IFERROR(__xludf.DUMMYFUNCTION("IF(COUNTA(C980:C1673)=0,"""",IF(C980="""",0,IF(REGEXMATCH(C980,""^Sell_""),-ROUNDDOWN(ROUNDUP(INDEX(Upgrades!$C$3:$C$13,MATCH(SUBSTITUTE(C980,""Sell_"",""""),Upgrades!$B$3:$B$13,0))*1.15^(COUNTIF(C$4:C979,SUBSTITUTE(C980,""Sell_"",""""))-COUNTIF(C$4:C979,"&amp;"""Sell_""&amp;SUBSTITUTE(C980,""Sell_"",""""))))/2),ROUNDUP(INDEX(Upgrades!$C$3:$C$13,MATCH(C980,Upgrades!$B$3:$B$13,0))*1.15^(COUNTIF(C$4:C979,C980)-COUNTIF(C$4:C979,""Sell_""&amp;C980))))))"),"")</f>
        <v/>
      </c>
      <c r="H980" s="10" t="str">
        <f t="shared" si="3"/>
        <v/>
      </c>
      <c r="I980" s="68" t="str">
        <f t="shared" si="4"/>
        <v/>
      </c>
      <c r="J980" s="59" t="str">
        <f t="shared" si="5"/>
        <v/>
      </c>
      <c r="K980" s="69" t="str">
        <f t="shared" si="6"/>
        <v/>
      </c>
      <c r="L980" s="60" t="str">
        <f t="shared" si="7"/>
        <v/>
      </c>
      <c r="M980" s="61" t="str">
        <f>IFERROR(__xludf.DUMMYFUNCTION("IFS(AND(COUNTA(C980:C1673)=0,COUNTA(Q980:Q1673)=0),"""",OR(AND(K980&gt;=1000000000,OR(Y980&gt;=1000000000,COUNTA(Q980:Q1673)=0)),OR(Y980&gt;=1000000000,AND(COUNTA(C980:C1673)=0,P$3=TRUE))),
ROUNDDOWN((AB$1-AC$1)*MAX(INDEX(T$4:T1673,MATCH(LARGE(FILTER(Y$4:Y1673,Y$4"&amp;":Y1673&lt;1000000000),1),Y$4:Y1673)),INDEX(F$4:F1673,MATCH(LARGE(FILTER(K$4:K1673,K$4:K1673&lt;1000000000),1),K$4:K1673)))),AND(K980&lt;1000000000,COUNTA(C980:C1673)&gt;0,P$3=FALSE),
ROUNDDOWN(INDEX(Y$4:Y1673,MATCH(LARGE(FILTER(W$4:W1673,W$4:W1673&lt;=I980),1),W$4:W1673"&amp;"))+(I980-LARGE(FILTER(W$4:W1673,W$4:W1673&lt;=I980),1))*INDEX(T$4:T1673,MATCH(LARGE(FILTER(W$4:W1673,W$4:W1673&lt;=I980),1),W$4:W1673))-K980),1,
ROUNDDOWN(Y980-INDEX(K$4:K1673,MATCH(LARGE(FILTER(I$4:I1673,I$4:I1673&lt;=W980),1),I$4:I1673))-(W980-LARGE(FILTER(I$4:I"&amp;"1673,I$4:I1673&lt;=W980),1))*INDEX(F$4:F1673,MATCH(LARGE(FILTER(I$4:I1673,I$4:I1673&lt;=W980),1),I$4:I1673))))"),"")</f>
        <v/>
      </c>
      <c r="N980" s="60" t="str">
        <f t="shared" si="8"/>
        <v/>
      </c>
      <c r="O980" s="61" t="str">
        <f t="shared" si="9"/>
        <v/>
      </c>
      <c r="P980" s="56" t="str">
        <f t="shared" si="10"/>
        <v/>
      </c>
      <c r="R980" s="10"/>
      <c r="S980" s="59" t="str">
        <f t="array" ref="S980">IF(COUNTA(Q980:Q1673)=0,"",SUM((COUNTIF(Q$4:Q980,Upgrades!$B$3:$B$13)-COUNTIF(Q$4:Q980,"Sell_"&amp;Upgrades!$B$3:$B$13))*Upgrades!$D$3:$D$13))</f>
        <v/>
      </c>
      <c r="T980" s="66" t="str">
        <f>IFERROR(__xludf.DUMMYFUNCTION("IF(COUNTA(Q980:Q1673)=0,"""",IF(REGEXMATCH(INDEX(FILTER(Q$4:Q980,Q$4:Q980&lt;&gt;""""),ROWS(FILTER(Q$4:Q980,Q$4:Q980&lt;&gt;""""))),""^Sell_""),INDEX(FILTER(T$4:T979,Q$4:Q979&lt;&gt;""""),ROWS(FILTER(Q$4:Q979,Q$4:Q979&lt;&gt;""""))),$AD$5+S980))"),"")</f>
        <v/>
      </c>
      <c r="U980" s="10" t="str">
        <f>IFERROR(__xludf.DUMMYFUNCTION("IF(COUNTA(Q980:Q1673)=0,"""",IF(Q980="""",0,IF(REGEXMATCH(Q980,""^Sell_""),-ROUNDDOWN(ROUNDUP(INDEX(Upgrades!$C$3:$C$13,MATCH(SUBSTITUTE(Q980,""Sell_"",""""),Upgrades!$B$3:$B$13,0))*1.15^(COUNTIF(Q$4:Q979,SUBSTITUTE(Q980,""Sell_"",""""))-COUNTIF(Q$4:Q979,"&amp;"""Sell_""&amp;SUBSTITUTE(Q980,""Sell_"",""""))))/2),ROUNDUP(INDEX(Upgrades!$C$3:$C$13,MATCH(Q980,Upgrades!$B$3:$B$13,0))*1.15^(COUNTIF(Q$4:Q979,Q980)-COUNTIF(Q$4:Q979,""Sell_""&amp;Q980))))))"),"")</f>
        <v/>
      </c>
      <c r="V980" s="10" t="str">
        <f t="shared" si="11"/>
        <v/>
      </c>
      <c r="W980" s="68" t="str">
        <f t="shared" si="12"/>
        <v/>
      </c>
      <c r="X980" s="59" t="str">
        <f t="shared" si="13"/>
        <v/>
      </c>
      <c r="Y980" s="69" t="str">
        <f t="shared" si="14"/>
        <v/>
      </c>
      <c r="Z980" s="11"/>
    </row>
    <row r="981">
      <c r="A981" s="8"/>
      <c r="B981" s="56" t="str">
        <f t="shared" si="2"/>
        <v/>
      </c>
      <c r="C981" s="105"/>
      <c r="D981" s="10"/>
      <c r="E981" s="59" t="str">
        <f t="array" ref="E981">IF(COUNTA(C981:C1673)=0,"",SUM((COUNTIF(C$4:C981,Upgrades!$B$3:$B$13)-COUNTIF(C$4:C981,"Sell_"&amp;Upgrades!$B$3:$B$13))*Upgrades!$D$3:$D$13))</f>
        <v/>
      </c>
      <c r="F981" s="66" t="str">
        <f>IFERROR(__xludf.DUMMYFUNCTION("IF(COUNTA(C981:C1673)=0,"""",IF(REGEXMATCH(INDEX(FILTER(C$4:C981,C$4:C981&lt;&gt;""""),ROWS(FILTER(C$4:C981,C$4:C981&lt;&gt;""""))),""^Sell_""),INDEX(FILTER(F$4:F980,C$4:C980&lt;&gt;""""),ROWS(FILTER(C$4:C980,C$4:C980&lt;&gt;""""))),$AC$5+E981))"),"")</f>
        <v/>
      </c>
      <c r="G981" s="10" t="str">
        <f>IFERROR(__xludf.DUMMYFUNCTION("IF(COUNTA(C981:C1673)=0,"""",IF(C981="""",0,IF(REGEXMATCH(C981,""^Sell_""),-ROUNDDOWN(ROUNDUP(INDEX(Upgrades!$C$3:$C$13,MATCH(SUBSTITUTE(C981,""Sell_"",""""),Upgrades!$B$3:$B$13,0))*1.15^(COUNTIF(C$4:C980,SUBSTITUTE(C981,""Sell_"",""""))-COUNTIF(C$4:C980,"&amp;"""Sell_""&amp;SUBSTITUTE(C981,""Sell_"",""""))))/2),ROUNDUP(INDEX(Upgrades!$C$3:$C$13,MATCH(C981,Upgrades!$B$3:$B$13,0))*1.15^(COUNTIF(C$4:C980,C981)-COUNTIF(C$4:C980,""Sell_""&amp;C981))))))"),"")</f>
        <v/>
      </c>
      <c r="H981" s="10" t="str">
        <f t="shared" si="3"/>
        <v/>
      </c>
      <c r="I981" s="68" t="str">
        <f t="shared" si="4"/>
        <v/>
      </c>
      <c r="J981" s="59" t="str">
        <f t="shared" si="5"/>
        <v/>
      </c>
      <c r="K981" s="69" t="str">
        <f t="shared" si="6"/>
        <v/>
      </c>
      <c r="L981" s="60" t="str">
        <f t="shared" si="7"/>
        <v/>
      </c>
      <c r="M981" s="61" t="str">
        <f>IFERROR(__xludf.DUMMYFUNCTION("IFS(AND(COUNTA(C981:C1673)=0,COUNTA(Q981:Q1673)=0),"""",OR(AND(K981&gt;=1000000000,OR(Y981&gt;=1000000000,COUNTA(Q981:Q1673)=0)),OR(Y981&gt;=1000000000,AND(COUNTA(C981:C1673)=0,P$3=TRUE))),
ROUNDDOWN((AB$1-AC$1)*MAX(INDEX(T$4:T1673,MATCH(LARGE(FILTER(Y$4:Y1673,Y$4"&amp;":Y1673&lt;1000000000),1),Y$4:Y1673)),INDEX(F$4:F1673,MATCH(LARGE(FILTER(K$4:K1673,K$4:K1673&lt;1000000000),1),K$4:K1673)))),AND(K981&lt;1000000000,COUNTA(C981:C1673)&gt;0,P$3=FALSE),
ROUNDDOWN(INDEX(Y$4:Y1673,MATCH(LARGE(FILTER(W$4:W1673,W$4:W1673&lt;=I981),1),W$4:W1673"&amp;"))+(I981-LARGE(FILTER(W$4:W1673,W$4:W1673&lt;=I981),1))*INDEX(T$4:T1673,MATCH(LARGE(FILTER(W$4:W1673,W$4:W1673&lt;=I981),1),W$4:W1673))-K981),1,
ROUNDDOWN(Y981-INDEX(K$4:K1673,MATCH(LARGE(FILTER(I$4:I1673,I$4:I1673&lt;=W981),1),I$4:I1673))-(W981-LARGE(FILTER(I$4:I"&amp;"1673,I$4:I1673&lt;=W981),1))*INDEX(F$4:F1673,MATCH(LARGE(FILTER(I$4:I1673,I$4:I1673&lt;=W981),1),I$4:I1673))))"),"")</f>
        <v/>
      </c>
      <c r="N981" s="60" t="str">
        <f t="shared" si="8"/>
        <v/>
      </c>
      <c r="O981" s="61" t="str">
        <f t="shared" si="9"/>
        <v/>
      </c>
      <c r="P981" s="56" t="str">
        <f t="shared" si="10"/>
        <v/>
      </c>
      <c r="R981" s="10"/>
      <c r="S981" s="59" t="str">
        <f t="array" ref="S981">IF(COUNTA(Q981:Q1673)=0,"",SUM((COUNTIF(Q$4:Q981,Upgrades!$B$3:$B$13)-COUNTIF(Q$4:Q981,"Sell_"&amp;Upgrades!$B$3:$B$13))*Upgrades!$D$3:$D$13))</f>
        <v/>
      </c>
      <c r="T981" s="66" t="str">
        <f>IFERROR(__xludf.DUMMYFUNCTION("IF(COUNTA(Q981:Q1673)=0,"""",IF(REGEXMATCH(INDEX(FILTER(Q$4:Q981,Q$4:Q981&lt;&gt;""""),ROWS(FILTER(Q$4:Q981,Q$4:Q981&lt;&gt;""""))),""^Sell_""),INDEX(FILTER(T$4:T980,Q$4:Q980&lt;&gt;""""),ROWS(FILTER(Q$4:Q980,Q$4:Q980&lt;&gt;""""))),$AD$5+S981))"),"")</f>
        <v/>
      </c>
      <c r="U981" s="10" t="str">
        <f>IFERROR(__xludf.DUMMYFUNCTION("IF(COUNTA(Q981:Q1673)=0,"""",IF(Q981="""",0,IF(REGEXMATCH(Q981,""^Sell_""),-ROUNDDOWN(ROUNDUP(INDEX(Upgrades!$C$3:$C$13,MATCH(SUBSTITUTE(Q981,""Sell_"",""""),Upgrades!$B$3:$B$13,0))*1.15^(COUNTIF(Q$4:Q980,SUBSTITUTE(Q981,""Sell_"",""""))-COUNTIF(Q$4:Q980,"&amp;"""Sell_""&amp;SUBSTITUTE(Q981,""Sell_"",""""))))/2),ROUNDUP(INDEX(Upgrades!$C$3:$C$13,MATCH(Q981,Upgrades!$B$3:$B$13,0))*1.15^(COUNTIF(Q$4:Q980,Q981)-COUNTIF(Q$4:Q980,""Sell_""&amp;Q981))))))"),"")</f>
        <v/>
      </c>
      <c r="V981" s="10" t="str">
        <f t="shared" si="11"/>
        <v/>
      </c>
      <c r="W981" s="68" t="str">
        <f t="shared" si="12"/>
        <v/>
      </c>
      <c r="X981" s="59" t="str">
        <f t="shared" si="13"/>
        <v/>
      </c>
      <c r="Y981" s="69" t="str">
        <f t="shared" si="14"/>
        <v/>
      </c>
      <c r="Z981" s="11"/>
    </row>
    <row r="982">
      <c r="A982" s="8"/>
      <c r="B982" s="56" t="str">
        <f t="shared" si="2"/>
        <v/>
      </c>
      <c r="C982" s="105"/>
      <c r="D982" s="10"/>
      <c r="E982" s="59" t="str">
        <f t="array" ref="E982">IF(COUNTA(C982:C1673)=0,"",SUM((COUNTIF(C$4:C982,Upgrades!$B$3:$B$13)-COUNTIF(C$4:C982,"Sell_"&amp;Upgrades!$B$3:$B$13))*Upgrades!$D$3:$D$13))</f>
        <v/>
      </c>
      <c r="F982" s="66" t="str">
        <f>IFERROR(__xludf.DUMMYFUNCTION("IF(COUNTA(C982:C1673)=0,"""",IF(REGEXMATCH(INDEX(FILTER(C$4:C982,C$4:C982&lt;&gt;""""),ROWS(FILTER(C$4:C982,C$4:C982&lt;&gt;""""))),""^Sell_""),INDEX(FILTER(F$4:F981,C$4:C981&lt;&gt;""""),ROWS(FILTER(C$4:C981,C$4:C981&lt;&gt;""""))),$AC$5+E982))"),"")</f>
        <v/>
      </c>
      <c r="G982" s="10" t="str">
        <f>IFERROR(__xludf.DUMMYFUNCTION("IF(COUNTA(C982:C1673)=0,"""",IF(C982="""",0,IF(REGEXMATCH(C982,""^Sell_""),-ROUNDDOWN(ROUNDUP(INDEX(Upgrades!$C$3:$C$13,MATCH(SUBSTITUTE(C982,""Sell_"",""""),Upgrades!$B$3:$B$13,0))*1.15^(COUNTIF(C$4:C981,SUBSTITUTE(C982,""Sell_"",""""))-COUNTIF(C$4:C981,"&amp;"""Sell_""&amp;SUBSTITUTE(C982,""Sell_"",""""))))/2),ROUNDUP(INDEX(Upgrades!$C$3:$C$13,MATCH(C982,Upgrades!$B$3:$B$13,0))*1.15^(COUNTIF(C$4:C981,C982)-COUNTIF(C$4:C981,""Sell_""&amp;C982))))))"),"")</f>
        <v/>
      </c>
      <c r="H982" s="10" t="str">
        <f t="shared" si="3"/>
        <v/>
      </c>
      <c r="I982" s="68" t="str">
        <f t="shared" si="4"/>
        <v/>
      </c>
      <c r="J982" s="59" t="str">
        <f t="shared" si="5"/>
        <v/>
      </c>
      <c r="K982" s="69" t="str">
        <f t="shared" si="6"/>
        <v/>
      </c>
      <c r="L982" s="60" t="str">
        <f t="shared" si="7"/>
        <v/>
      </c>
      <c r="M982" s="61" t="str">
        <f>IFERROR(__xludf.DUMMYFUNCTION("IFS(AND(COUNTA(C982:C1673)=0,COUNTA(Q982:Q1673)=0),"""",OR(AND(K982&gt;=1000000000,OR(Y982&gt;=1000000000,COUNTA(Q982:Q1673)=0)),OR(Y982&gt;=1000000000,AND(COUNTA(C982:C1673)=0,P$3=TRUE))),
ROUNDDOWN((AB$1-AC$1)*MAX(INDEX(T$4:T1673,MATCH(LARGE(FILTER(Y$4:Y1673,Y$4"&amp;":Y1673&lt;1000000000),1),Y$4:Y1673)),INDEX(F$4:F1673,MATCH(LARGE(FILTER(K$4:K1673,K$4:K1673&lt;1000000000),1),K$4:K1673)))),AND(K982&lt;1000000000,COUNTA(C982:C1673)&gt;0,P$3=FALSE),
ROUNDDOWN(INDEX(Y$4:Y1673,MATCH(LARGE(FILTER(W$4:W1673,W$4:W1673&lt;=I982),1),W$4:W1673"&amp;"))+(I982-LARGE(FILTER(W$4:W1673,W$4:W1673&lt;=I982),1))*INDEX(T$4:T1673,MATCH(LARGE(FILTER(W$4:W1673,W$4:W1673&lt;=I982),1),W$4:W1673))-K982),1,
ROUNDDOWN(Y982-INDEX(K$4:K1673,MATCH(LARGE(FILTER(I$4:I1673,I$4:I1673&lt;=W982),1),I$4:I1673))-(W982-LARGE(FILTER(I$4:I"&amp;"1673,I$4:I1673&lt;=W982),1))*INDEX(F$4:F1673,MATCH(LARGE(FILTER(I$4:I1673,I$4:I1673&lt;=W982),1),I$4:I1673))))"),"")</f>
        <v/>
      </c>
      <c r="N982" s="60" t="str">
        <f t="shared" si="8"/>
        <v/>
      </c>
      <c r="O982" s="61" t="str">
        <f t="shared" si="9"/>
        <v/>
      </c>
      <c r="P982" s="56" t="str">
        <f t="shared" si="10"/>
        <v/>
      </c>
      <c r="R982" s="10"/>
      <c r="S982" s="59" t="str">
        <f t="array" ref="S982">IF(COUNTA(Q982:Q1673)=0,"",SUM((COUNTIF(Q$4:Q982,Upgrades!$B$3:$B$13)-COUNTIF(Q$4:Q982,"Sell_"&amp;Upgrades!$B$3:$B$13))*Upgrades!$D$3:$D$13))</f>
        <v/>
      </c>
      <c r="T982" s="66" t="str">
        <f>IFERROR(__xludf.DUMMYFUNCTION("IF(COUNTA(Q982:Q1673)=0,"""",IF(REGEXMATCH(INDEX(FILTER(Q$4:Q982,Q$4:Q982&lt;&gt;""""),ROWS(FILTER(Q$4:Q982,Q$4:Q982&lt;&gt;""""))),""^Sell_""),INDEX(FILTER(T$4:T981,Q$4:Q981&lt;&gt;""""),ROWS(FILTER(Q$4:Q981,Q$4:Q981&lt;&gt;""""))),$AD$5+S982))"),"")</f>
        <v/>
      </c>
      <c r="U982" s="10" t="str">
        <f>IFERROR(__xludf.DUMMYFUNCTION("IF(COUNTA(Q982:Q1673)=0,"""",IF(Q982="""",0,IF(REGEXMATCH(Q982,""^Sell_""),-ROUNDDOWN(ROUNDUP(INDEX(Upgrades!$C$3:$C$13,MATCH(SUBSTITUTE(Q982,""Sell_"",""""),Upgrades!$B$3:$B$13,0))*1.15^(COUNTIF(Q$4:Q981,SUBSTITUTE(Q982,""Sell_"",""""))-COUNTIF(Q$4:Q981,"&amp;"""Sell_""&amp;SUBSTITUTE(Q982,""Sell_"",""""))))/2),ROUNDUP(INDEX(Upgrades!$C$3:$C$13,MATCH(Q982,Upgrades!$B$3:$B$13,0))*1.15^(COUNTIF(Q$4:Q981,Q982)-COUNTIF(Q$4:Q981,""Sell_""&amp;Q982))))))"),"")</f>
        <v/>
      </c>
      <c r="V982" s="10" t="str">
        <f t="shared" si="11"/>
        <v/>
      </c>
      <c r="W982" s="68" t="str">
        <f t="shared" si="12"/>
        <v/>
      </c>
      <c r="X982" s="59" t="str">
        <f t="shared" si="13"/>
        <v/>
      </c>
      <c r="Y982" s="69" t="str">
        <f t="shared" si="14"/>
        <v/>
      </c>
      <c r="Z982" s="11"/>
    </row>
    <row r="983">
      <c r="A983" s="8"/>
      <c r="B983" s="56" t="str">
        <f t="shared" si="2"/>
        <v/>
      </c>
      <c r="C983" s="105"/>
      <c r="D983" s="10"/>
      <c r="E983" s="59" t="str">
        <f t="array" ref="E983">IF(COUNTA(C983:C1673)=0,"",SUM((COUNTIF(C$4:C983,Upgrades!$B$3:$B$13)-COUNTIF(C$4:C983,"Sell_"&amp;Upgrades!$B$3:$B$13))*Upgrades!$D$3:$D$13))</f>
        <v/>
      </c>
      <c r="F983" s="66" t="str">
        <f>IFERROR(__xludf.DUMMYFUNCTION("IF(COUNTA(C983:C1673)=0,"""",IF(REGEXMATCH(INDEX(FILTER(C$4:C983,C$4:C983&lt;&gt;""""),ROWS(FILTER(C$4:C983,C$4:C983&lt;&gt;""""))),""^Sell_""),INDEX(FILTER(F$4:F982,C$4:C982&lt;&gt;""""),ROWS(FILTER(C$4:C982,C$4:C982&lt;&gt;""""))),$AC$5+E983))"),"")</f>
        <v/>
      </c>
      <c r="G983" s="10" t="str">
        <f>IFERROR(__xludf.DUMMYFUNCTION("IF(COUNTA(C983:C1673)=0,"""",IF(C983="""",0,IF(REGEXMATCH(C983,""^Sell_""),-ROUNDDOWN(ROUNDUP(INDEX(Upgrades!$C$3:$C$13,MATCH(SUBSTITUTE(C983,""Sell_"",""""),Upgrades!$B$3:$B$13,0))*1.15^(COUNTIF(C$4:C982,SUBSTITUTE(C983,""Sell_"",""""))-COUNTIF(C$4:C982,"&amp;"""Sell_""&amp;SUBSTITUTE(C983,""Sell_"",""""))))/2),ROUNDUP(INDEX(Upgrades!$C$3:$C$13,MATCH(C983,Upgrades!$B$3:$B$13,0))*1.15^(COUNTIF(C$4:C982,C983)-COUNTIF(C$4:C982,""Sell_""&amp;C983))))))"),"")</f>
        <v/>
      </c>
      <c r="H983" s="10" t="str">
        <f t="shared" si="3"/>
        <v/>
      </c>
      <c r="I983" s="68" t="str">
        <f t="shared" si="4"/>
        <v/>
      </c>
      <c r="J983" s="59" t="str">
        <f t="shared" si="5"/>
        <v/>
      </c>
      <c r="K983" s="69" t="str">
        <f t="shared" si="6"/>
        <v/>
      </c>
      <c r="L983" s="60" t="str">
        <f t="shared" si="7"/>
        <v/>
      </c>
      <c r="M983" s="61" t="str">
        <f>IFERROR(__xludf.DUMMYFUNCTION("IFS(AND(COUNTA(C983:C1673)=0,COUNTA(Q983:Q1673)=0),"""",OR(AND(K983&gt;=1000000000,OR(Y983&gt;=1000000000,COUNTA(Q983:Q1673)=0)),OR(Y983&gt;=1000000000,AND(COUNTA(C983:C1673)=0,P$3=TRUE))),
ROUNDDOWN((AB$1-AC$1)*MAX(INDEX(T$4:T1673,MATCH(LARGE(FILTER(Y$4:Y1673,Y$4"&amp;":Y1673&lt;1000000000),1),Y$4:Y1673)),INDEX(F$4:F1673,MATCH(LARGE(FILTER(K$4:K1673,K$4:K1673&lt;1000000000),1),K$4:K1673)))),AND(K983&lt;1000000000,COUNTA(C983:C1673)&gt;0,P$3=FALSE),
ROUNDDOWN(INDEX(Y$4:Y1673,MATCH(LARGE(FILTER(W$4:W1673,W$4:W1673&lt;=I983),1),W$4:W1673"&amp;"))+(I983-LARGE(FILTER(W$4:W1673,W$4:W1673&lt;=I983),1))*INDEX(T$4:T1673,MATCH(LARGE(FILTER(W$4:W1673,W$4:W1673&lt;=I983),1),W$4:W1673))-K983),1,
ROUNDDOWN(Y983-INDEX(K$4:K1673,MATCH(LARGE(FILTER(I$4:I1673,I$4:I1673&lt;=W983),1),I$4:I1673))-(W983-LARGE(FILTER(I$4:I"&amp;"1673,I$4:I1673&lt;=W983),1))*INDEX(F$4:F1673,MATCH(LARGE(FILTER(I$4:I1673,I$4:I1673&lt;=W983),1),I$4:I1673))))"),"")</f>
        <v/>
      </c>
      <c r="N983" s="60" t="str">
        <f t="shared" si="8"/>
        <v/>
      </c>
      <c r="O983" s="61" t="str">
        <f t="shared" si="9"/>
        <v/>
      </c>
      <c r="P983" s="56" t="str">
        <f t="shared" si="10"/>
        <v/>
      </c>
      <c r="R983" s="10"/>
      <c r="S983" s="59" t="str">
        <f t="array" ref="S983">IF(COUNTA(Q983:Q1673)=0,"",SUM((COUNTIF(Q$4:Q983,Upgrades!$B$3:$B$13)-COUNTIF(Q$4:Q983,"Sell_"&amp;Upgrades!$B$3:$B$13))*Upgrades!$D$3:$D$13))</f>
        <v/>
      </c>
      <c r="T983" s="66" t="str">
        <f>IFERROR(__xludf.DUMMYFUNCTION("IF(COUNTA(Q983:Q1673)=0,"""",IF(REGEXMATCH(INDEX(FILTER(Q$4:Q983,Q$4:Q983&lt;&gt;""""),ROWS(FILTER(Q$4:Q983,Q$4:Q983&lt;&gt;""""))),""^Sell_""),INDEX(FILTER(T$4:T982,Q$4:Q982&lt;&gt;""""),ROWS(FILTER(Q$4:Q982,Q$4:Q982&lt;&gt;""""))),$AD$5+S983))"),"")</f>
        <v/>
      </c>
      <c r="U983" s="10" t="str">
        <f>IFERROR(__xludf.DUMMYFUNCTION("IF(COUNTA(Q983:Q1673)=0,"""",IF(Q983="""",0,IF(REGEXMATCH(Q983,""^Sell_""),-ROUNDDOWN(ROUNDUP(INDEX(Upgrades!$C$3:$C$13,MATCH(SUBSTITUTE(Q983,""Sell_"",""""),Upgrades!$B$3:$B$13,0))*1.15^(COUNTIF(Q$4:Q982,SUBSTITUTE(Q983,""Sell_"",""""))-COUNTIF(Q$4:Q982,"&amp;"""Sell_""&amp;SUBSTITUTE(Q983,""Sell_"",""""))))/2),ROUNDUP(INDEX(Upgrades!$C$3:$C$13,MATCH(Q983,Upgrades!$B$3:$B$13,0))*1.15^(COUNTIF(Q$4:Q982,Q983)-COUNTIF(Q$4:Q982,""Sell_""&amp;Q983))))))"),"")</f>
        <v/>
      </c>
      <c r="V983" s="10" t="str">
        <f t="shared" si="11"/>
        <v/>
      </c>
      <c r="W983" s="68" t="str">
        <f t="shared" si="12"/>
        <v/>
      </c>
      <c r="X983" s="59" t="str">
        <f t="shared" si="13"/>
        <v/>
      </c>
      <c r="Y983" s="69" t="str">
        <f t="shared" si="14"/>
        <v/>
      </c>
      <c r="Z983" s="11"/>
    </row>
    <row r="984">
      <c r="A984" s="8"/>
      <c r="B984" s="56" t="str">
        <f t="shared" si="2"/>
        <v/>
      </c>
      <c r="C984" s="105"/>
      <c r="D984" s="10"/>
      <c r="E984" s="59" t="str">
        <f t="array" ref="E984">IF(COUNTA(C984:C1673)=0,"",SUM((COUNTIF(C$4:C984,Upgrades!$B$3:$B$13)-COUNTIF(C$4:C984,"Sell_"&amp;Upgrades!$B$3:$B$13))*Upgrades!$D$3:$D$13))</f>
        <v/>
      </c>
      <c r="F984" s="66" t="str">
        <f>IFERROR(__xludf.DUMMYFUNCTION("IF(COUNTA(C984:C1673)=0,"""",IF(REGEXMATCH(INDEX(FILTER(C$4:C984,C$4:C984&lt;&gt;""""),ROWS(FILTER(C$4:C984,C$4:C984&lt;&gt;""""))),""^Sell_""),INDEX(FILTER(F$4:F983,C$4:C983&lt;&gt;""""),ROWS(FILTER(C$4:C983,C$4:C983&lt;&gt;""""))),$AC$5+E984))"),"")</f>
        <v/>
      </c>
      <c r="G984" s="10" t="str">
        <f>IFERROR(__xludf.DUMMYFUNCTION("IF(COUNTA(C984:C1673)=0,"""",IF(C984="""",0,IF(REGEXMATCH(C984,""^Sell_""),-ROUNDDOWN(ROUNDUP(INDEX(Upgrades!$C$3:$C$13,MATCH(SUBSTITUTE(C984,""Sell_"",""""),Upgrades!$B$3:$B$13,0))*1.15^(COUNTIF(C$4:C983,SUBSTITUTE(C984,""Sell_"",""""))-COUNTIF(C$4:C983,"&amp;"""Sell_""&amp;SUBSTITUTE(C984,""Sell_"",""""))))/2),ROUNDUP(INDEX(Upgrades!$C$3:$C$13,MATCH(C984,Upgrades!$B$3:$B$13,0))*1.15^(COUNTIF(C$4:C983,C984)-COUNTIF(C$4:C983,""Sell_""&amp;C984))))))"),"")</f>
        <v/>
      </c>
      <c r="H984" s="10" t="str">
        <f t="shared" si="3"/>
        <v/>
      </c>
      <c r="I984" s="68" t="str">
        <f t="shared" si="4"/>
        <v/>
      </c>
      <c r="J984" s="59" t="str">
        <f t="shared" si="5"/>
        <v/>
      </c>
      <c r="K984" s="69" t="str">
        <f t="shared" si="6"/>
        <v/>
      </c>
      <c r="L984" s="60" t="str">
        <f t="shared" si="7"/>
        <v/>
      </c>
      <c r="M984" s="61" t="str">
        <f>IFERROR(__xludf.DUMMYFUNCTION("IFS(AND(COUNTA(C984:C1673)=0,COUNTA(Q984:Q1673)=0),"""",OR(AND(K984&gt;=1000000000,OR(Y984&gt;=1000000000,COUNTA(Q984:Q1673)=0)),OR(Y984&gt;=1000000000,AND(COUNTA(C984:C1673)=0,P$3=TRUE))),
ROUNDDOWN((AB$1-AC$1)*MAX(INDEX(T$4:T1673,MATCH(LARGE(FILTER(Y$4:Y1673,Y$4"&amp;":Y1673&lt;1000000000),1),Y$4:Y1673)),INDEX(F$4:F1673,MATCH(LARGE(FILTER(K$4:K1673,K$4:K1673&lt;1000000000),1),K$4:K1673)))),AND(K984&lt;1000000000,COUNTA(C984:C1673)&gt;0,P$3=FALSE),
ROUNDDOWN(INDEX(Y$4:Y1673,MATCH(LARGE(FILTER(W$4:W1673,W$4:W1673&lt;=I984),1),W$4:W1673"&amp;"))+(I984-LARGE(FILTER(W$4:W1673,W$4:W1673&lt;=I984),1))*INDEX(T$4:T1673,MATCH(LARGE(FILTER(W$4:W1673,W$4:W1673&lt;=I984),1),W$4:W1673))-K984),1,
ROUNDDOWN(Y984-INDEX(K$4:K1673,MATCH(LARGE(FILTER(I$4:I1673,I$4:I1673&lt;=W984),1),I$4:I1673))-(W984-LARGE(FILTER(I$4:I"&amp;"1673,I$4:I1673&lt;=W984),1))*INDEX(F$4:F1673,MATCH(LARGE(FILTER(I$4:I1673,I$4:I1673&lt;=W984),1),I$4:I1673))))"),"")</f>
        <v/>
      </c>
      <c r="N984" s="60" t="str">
        <f t="shared" si="8"/>
        <v/>
      </c>
      <c r="O984" s="61" t="str">
        <f t="shared" si="9"/>
        <v/>
      </c>
      <c r="P984" s="56" t="str">
        <f t="shared" si="10"/>
        <v/>
      </c>
      <c r="R984" s="10"/>
      <c r="S984" s="59" t="str">
        <f t="array" ref="S984">IF(COUNTA(Q984:Q1673)=0,"",SUM((COUNTIF(Q$4:Q984,Upgrades!$B$3:$B$13)-COUNTIF(Q$4:Q984,"Sell_"&amp;Upgrades!$B$3:$B$13))*Upgrades!$D$3:$D$13))</f>
        <v/>
      </c>
      <c r="T984" s="66" t="str">
        <f>IFERROR(__xludf.DUMMYFUNCTION("IF(COUNTA(Q984:Q1673)=0,"""",IF(REGEXMATCH(INDEX(FILTER(Q$4:Q984,Q$4:Q984&lt;&gt;""""),ROWS(FILTER(Q$4:Q984,Q$4:Q984&lt;&gt;""""))),""^Sell_""),INDEX(FILTER(T$4:T983,Q$4:Q983&lt;&gt;""""),ROWS(FILTER(Q$4:Q983,Q$4:Q983&lt;&gt;""""))),$AD$5+S984))"),"")</f>
        <v/>
      </c>
      <c r="U984" s="10" t="str">
        <f>IFERROR(__xludf.DUMMYFUNCTION("IF(COUNTA(Q984:Q1673)=0,"""",IF(Q984="""",0,IF(REGEXMATCH(Q984,""^Sell_""),-ROUNDDOWN(ROUNDUP(INDEX(Upgrades!$C$3:$C$13,MATCH(SUBSTITUTE(Q984,""Sell_"",""""),Upgrades!$B$3:$B$13,0))*1.15^(COUNTIF(Q$4:Q983,SUBSTITUTE(Q984,""Sell_"",""""))-COUNTIF(Q$4:Q983,"&amp;"""Sell_""&amp;SUBSTITUTE(Q984,""Sell_"",""""))))/2),ROUNDUP(INDEX(Upgrades!$C$3:$C$13,MATCH(Q984,Upgrades!$B$3:$B$13,0))*1.15^(COUNTIF(Q$4:Q983,Q984)-COUNTIF(Q$4:Q983,""Sell_""&amp;Q984))))))"),"")</f>
        <v/>
      </c>
      <c r="V984" s="10" t="str">
        <f t="shared" si="11"/>
        <v/>
      </c>
      <c r="W984" s="68" t="str">
        <f t="shared" si="12"/>
        <v/>
      </c>
      <c r="X984" s="59" t="str">
        <f t="shared" si="13"/>
        <v/>
      </c>
      <c r="Y984" s="69" t="str">
        <f t="shared" si="14"/>
        <v/>
      </c>
      <c r="Z984" s="11"/>
    </row>
    <row r="985">
      <c r="A985" s="8"/>
      <c r="B985" s="56" t="str">
        <f t="shared" si="2"/>
        <v/>
      </c>
      <c r="C985" s="105"/>
      <c r="D985" s="10"/>
      <c r="E985" s="59" t="str">
        <f t="array" ref="E985">IF(COUNTA(C985:C1673)=0,"",SUM((COUNTIF(C$4:C985,Upgrades!$B$3:$B$13)-COUNTIF(C$4:C985,"Sell_"&amp;Upgrades!$B$3:$B$13))*Upgrades!$D$3:$D$13))</f>
        <v/>
      </c>
      <c r="F985" s="66" t="str">
        <f>IFERROR(__xludf.DUMMYFUNCTION("IF(COUNTA(C985:C1673)=0,"""",IF(REGEXMATCH(INDEX(FILTER(C$4:C985,C$4:C985&lt;&gt;""""),ROWS(FILTER(C$4:C985,C$4:C985&lt;&gt;""""))),""^Sell_""),INDEX(FILTER(F$4:F984,C$4:C984&lt;&gt;""""),ROWS(FILTER(C$4:C984,C$4:C984&lt;&gt;""""))),$AC$5+E985))"),"")</f>
        <v/>
      </c>
      <c r="G985" s="10" t="str">
        <f>IFERROR(__xludf.DUMMYFUNCTION("IF(COUNTA(C985:C1673)=0,"""",IF(C985="""",0,IF(REGEXMATCH(C985,""^Sell_""),-ROUNDDOWN(ROUNDUP(INDEX(Upgrades!$C$3:$C$13,MATCH(SUBSTITUTE(C985,""Sell_"",""""),Upgrades!$B$3:$B$13,0))*1.15^(COUNTIF(C$4:C984,SUBSTITUTE(C985,""Sell_"",""""))-COUNTIF(C$4:C984,"&amp;"""Sell_""&amp;SUBSTITUTE(C985,""Sell_"",""""))))/2),ROUNDUP(INDEX(Upgrades!$C$3:$C$13,MATCH(C985,Upgrades!$B$3:$B$13,0))*1.15^(COUNTIF(C$4:C984,C985)-COUNTIF(C$4:C984,""Sell_""&amp;C985))))))"),"")</f>
        <v/>
      </c>
      <c r="H985" s="10" t="str">
        <f t="shared" si="3"/>
        <v/>
      </c>
      <c r="I985" s="68" t="str">
        <f t="shared" si="4"/>
        <v/>
      </c>
      <c r="J985" s="59" t="str">
        <f t="shared" si="5"/>
        <v/>
      </c>
      <c r="K985" s="69" t="str">
        <f t="shared" si="6"/>
        <v/>
      </c>
      <c r="L985" s="60" t="str">
        <f t="shared" si="7"/>
        <v/>
      </c>
      <c r="M985" s="61" t="str">
        <f>IFERROR(__xludf.DUMMYFUNCTION("IFS(AND(COUNTA(C985:C1673)=0,COUNTA(Q985:Q1673)=0),"""",OR(AND(K985&gt;=1000000000,OR(Y985&gt;=1000000000,COUNTA(Q985:Q1673)=0)),OR(Y985&gt;=1000000000,AND(COUNTA(C985:C1673)=0,P$3=TRUE))),
ROUNDDOWN((AB$1-AC$1)*MAX(INDEX(T$4:T1673,MATCH(LARGE(FILTER(Y$4:Y1673,Y$4"&amp;":Y1673&lt;1000000000),1),Y$4:Y1673)),INDEX(F$4:F1673,MATCH(LARGE(FILTER(K$4:K1673,K$4:K1673&lt;1000000000),1),K$4:K1673)))),AND(K985&lt;1000000000,COUNTA(C985:C1673)&gt;0,P$3=FALSE),
ROUNDDOWN(INDEX(Y$4:Y1673,MATCH(LARGE(FILTER(W$4:W1673,W$4:W1673&lt;=I985),1),W$4:W1673"&amp;"))+(I985-LARGE(FILTER(W$4:W1673,W$4:W1673&lt;=I985),1))*INDEX(T$4:T1673,MATCH(LARGE(FILTER(W$4:W1673,W$4:W1673&lt;=I985),1),W$4:W1673))-K985),1,
ROUNDDOWN(Y985-INDEX(K$4:K1673,MATCH(LARGE(FILTER(I$4:I1673,I$4:I1673&lt;=W985),1),I$4:I1673))-(W985-LARGE(FILTER(I$4:I"&amp;"1673,I$4:I1673&lt;=W985),1))*INDEX(F$4:F1673,MATCH(LARGE(FILTER(I$4:I1673,I$4:I1673&lt;=W985),1),I$4:I1673))))"),"")</f>
        <v/>
      </c>
      <c r="N985" s="60" t="str">
        <f t="shared" si="8"/>
        <v/>
      </c>
      <c r="O985" s="61" t="str">
        <f t="shared" si="9"/>
        <v/>
      </c>
      <c r="P985" s="56" t="str">
        <f t="shared" si="10"/>
        <v/>
      </c>
      <c r="R985" s="10"/>
      <c r="S985" s="59" t="str">
        <f t="array" ref="S985">IF(COUNTA(Q985:Q1673)=0,"",SUM((COUNTIF(Q$4:Q985,Upgrades!$B$3:$B$13)-COUNTIF(Q$4:Q985,"Sell_"&amp;Upgrades!$B$3:$B$13))*Upgrades!$D$3:$D$13))</f>
        <v/>
      </c>
      <c r="T985" s="66" t="str">
        <f>IFERROR(__xludf.DUMMYFUNCTION("IF(COUNTA(Q985:Q1673)=0,"""",IF(REGEXMATCH(INDEX(FILTER(Q$4:Q985,Q$4:Q985&lt;&gt;""""),ROWS(FILTER(Q$4:Q985,Q$4:Q985&lt;&gt;""""))),""^Sell_""),INDEX(FILTER(T$4:T984,Q$4:Q984&lt;&gt;""""),ROWS(FILTER(Q$4:Q984,Q$4:Q984&lt;&gt;""""))),$AD$5+S985))"),"")</f>
        <v/>
      </c>
      <c r="U985" s="10" t="str">
        <f>IFERROR(__xludf.DUMMYFUNCTION("IF(COUNTA(Q985:Q1673)=0,"""",IF(Q985="""",0,IF(REGEXMATCH(Q985,""^Sell_""),-ROUNDDOWN(ROUNDUP(INDEX(Upgrades!$C$3:$C$13,MATCH(SUBSTITUTE(Q985,""Sell_"",""""),Upgrades!$B$3:$B$13,0))*1.15^(COUNTIF(Q$4:Q984,SUBSTITUTE(Q985,""Sell_"",""""))-COUNTIF(Q$4:Q984,"&amp;"""Sell_""&amp;SUBSTITUTE(Q985,""Sell_"",""""))))/2),ROUNDUP(INDEX(Upgrades!$C$3:$C$13,MATCH(Q985,Upgrades!$B$3:$B$13,0))*1.15^(COUNTIF(Q$4:Q984,Q985)-COUNTIF(Q$4:Q984,""Sell_""&amp;Q985))))))"),"")</f>
        <v/>
      </c>
      <c r="V985" s="10" t="str">
        <f t="shared" si="11"/>
        <v/>
      </c>
      <c r="W985" s="68" t="str">
        <f t="shared" si="12"/>
        <v/>
      </c>
      <c r="X985" s="59" t="str">
        <f t="shared" si="13"/>
        <v/>
      </c>
      <c r="Y985" s="69" t="str">
        <f t="shared" si="14"/>
        <v/>
      </c>
      <c r="Z985" s="11"/>
    </row>
    <row r="986">
      <c r="A986" s="8"/>
      <c r="B986" s="56" t="str">
        <f t="shared" si="2"/>
        <v/>
      </c>
      <c r="C986" s="105"/>
      <c r="D986" s="10"/>
      <c r="E986" s="59" t="str">
        <f t="array" ref="E986">IF(COUNTA(C986:C1673)=0,"",SUM((COUNTIF(C$4:C986,Upgrades!$B$3:$B$13)-COUNTIF(C$4:C986,"Sell_"&amp;Upgrades!$B$3:$B$13))*Upgrades!$D$3:$D$13))</f>
        <v/>
      </c>
      <c r="F986" s="66" t="str">
        <f>IFERROR(__xludf.DUMMYFUNCTION("IF(COUNTA(C986:C1673)=0,"""",IF(REGEXMATCH(INDEX(FILTER(C$4:C986,C$4:C986&lt;&gt;""""),ROWS(FILTER(C$4:C986,C$4:C986&lt;&gt;""""))),""^Sell_""),INDEX(FILTER(F$4:F985,C$4:C985&lt;&gt;""""),ROWS(FILTER(C$4:C985,C$4:C985&lt;&gt;""""))),$AC$5+E986))"),"")</f>
        <v/>
      </c>
      <c r="G986" s="10" t="str">
        <f>IFERROR(__xludf.DUMMYFUNCTION("IF(COUNTA(C986:C1673)=0,"""",IF(C986="""",0,IF(REGEXMATCH(C986,""^Sell_""),-ROUNDDOWN(ROUNDUP(INDEX(Upgrades!$C$3:$C$13,MATCH(SUBSTITUTE(C986,""Sell_"",""""),Upgrades!$B$3:$B$13,0))*1.15^(COUNTIF(C$4:C985,SUBSTITUTE(C986,""Sell_"",""""))-COUNTIF(C$4:C985,"&amp;"""Sell_""&amp;SUBSTITUTE(C986,""Sell_"",""""))))/2),ROUNDUP(INDEX(Upgrades!$C$3:$C$13,MATCH(C986,Upgrades!$B$3:$B$13,0))*1.15^(COUNTIF(C$4:C985,C986)-COUNTIF(C$4:C985,""Sell_""&amp;C986))))))"),"")</f>
        <v/>
      </c>
      <c r="H986" s="10" t="str">
        <f t="shared" si="3"/>
        <v/>
      </c>
      <c r="I986" s="68" t="str">
        <f t="shared" si="4"/>
        <v/>
      </c>
      <c r="J986" s="59" t="str">
        <f t="shared" si="5"/>
        <v/>
      </c>
      <c r="K986" s="69" t="str">
        <f t="shared" si="6"/>
        <v/>
      </c>
      <c r="L986" s="60" t="str">
        <f t="shared" si="7"/>
        <v/>
      </c>
      <c r="M986" s="61" t="str">
        <f>IFERROR(__xludf.DUMMYFUNCTION("IFS(AND(COUNTA(C986:C1673)=0,COUNTA(Q986:Q1673)=0),"""",OR(AND(K986&gt;=1000000000,OR(Y986&gt;=1000000000,COUNTA(Q986:Q1673)=0)),OR(Y986&gt;=1000000000,AND(COUNTA(C986:C1673)=0,P$3=TRUE))),
ROUNDDOWN((AB$1-AC$1)*MAX(INDEX(T$4:T1673,MATCH(LARGE(FILTER(Y$4:Y1673,Y$4"&amp;":Y1673&lt;1000000000),1),Y$4:Y1673)),INDEX(F$4:F1673,MATCH(LARGE(FILTER(K$4:K1673,K$4:K1673&lt;1000000000),1),K$4:K1673)))),AND(K986&lt;1000000000,COUNTA(C986:C1673)&gt;0,P$3=FALSE),
ROUNDDOWN(INDEX(Y$4:Y1673,MATCH(LARGE(FILTER(W$4:W1673,W$4:W1673&lt;=I986),1),W$4:W1673"&amp;"))+(I986-LARGE(FILTER(W$4:W1673,W$4:W1673&lt;=I986),1))*INDEX(T$4:T1673,MATCH(LARGE(FILTER(W$4:W1673,W$4:W1673&lt;=I986),1),W$4:W1673))-K986),1,
ROUNDDOWN(Y986-INDEX(K$4:K1673,MATCH(LARGE(FILTER(I$4:I1673,I$4:I1673&lt;=W986),1),I$4:I1673))-(W986-LARGE(FILTER(I$4:I"&amp;"1673,I$4:I1673&lt;=W986),1))*INDEX(F$4:F1673,MATCH(LARGE(FILTER(I$4:I1673,I$4:I1673&lt;=W986),1),I$4:I1673))))"),"")</f>
        <v/>
      </c>
      <c r="N986" s="60" t="str">
        <f t="shared" si="8"/>
        <v/>
      </c>
      <c r="O986" s="61" t="str">
        <f t="shared" si="9"/>
        <v/>
      </c>
      <c r="P986" s="56" t="str">
        <f t="shared" si="10"/>
        <v/>
      </c>
      <c r="R986" s="10"/>
      <c r="S986" s="59" t="str">
        <f t="array" ref="S986">IF(COUNTA(Q986:Q1673)=0,"",SUM((COUNTIF(Q$4:Q986,Upgrades!$B$3:$B$13)-COUNTIF(Q$4:Q986,"Sell_"&amp;Upgrades!$B$3:$B$13))*Upgrades!$D$3:$D$13))</f>
        <v/>
      </c>
      <c r="T986" s="66" t="str">
        <f>IFERROR(__xludf.DUMMYFUNCTION("IF(COUNTA(Q986:Q1673)=0,"""",IF(REGEXMATCH(INDEX(FILTER(Q$4:Q986,Q$4:Q986&lt;&gt;""""),ROWS(FILTER(Q$4:Q986,Q$4:Q986&lt;&gt;""""))),""^Sell_""),INDEX(FILTER(T$4:T985,Q$4:Q985&lt;&gt;""""),ROWS(FILTER(Q$4:Q985,Q$4:Q985&lt;&gt;""""))),$AD$5+S986))"),"")</f>
        <v/>
      </c>
      <c r="U986" s="10" t="str">
        <f>IFERROR(__xludf.DUMMYFUNCTION("IF(COUNTA(Q986:Q1673)=0,"""",IF(Q986="""",0,IF(REGEXMATCH(Q986,""^Sell_""),-ROUNDDOWN(ROUNDUP(INDEX(Upgrades!$C$3:$C$13,MATCH(SUBSTITUTE(Q986,""Sell_"",""""),Upgrades!$B$3:$B$13,0))*1.15^(COUNTIF(Q$4:Q985,SUBSTITUTE(Q986,""Sell_"",""""))-COUNTIF(Q$4:Q985,"&amp;"""Sell_""&amp;SUBSTITUTE(Q986,""Sell_"",""""))))/2),ROUNDUP(INDEX(Upgrades!$C$3:$C$13,MATCH(Q986,Upgrades!$B$3:$B$13,0))*1.15^(COUNTIF(Q$4:Q985,Q986)-COUNTIF(Q$4:Q985,""Sell_""&amp;Q986))))))"),"")</f>
        <v/>
      </c>
      <c r="V986" s="10" t="str">
        <f t="shared" si="11"/>
        <v/>
      </c>
      <c r="W986" s="68" t="str">
        <f t="shared" si="12"/>
        <v/>
      </c>
      <c r="X986" s="59" t="str">
        <f t="shared" si="13"/>
        <v/>
      </c>
      <c r="Y986" s="69" t="str">
        <f t="shared" si="14"/>
        <v/>
      </c>
      <c r="Z986" s="11"/>
    </row>
    <row r="987">
      <c r="A987" s="8"/>
      <c r="B987" s="56" t="str">
        <f t="shared" si="2"/>
        <v/>
      </c>
      <c r="C987" s="105"/>
      <c r="D987" s="10"/>
      <c r="E987" s="59" t="str">
        <f t="array" ref="E987">IF(COUNTA(C987:C1673)=0,"",SUM((COUNTIF(C$4:C987,Upgrades!$B$3:$B$13)-COUNTIF(C$4:C987,"Sell_"&amp;Upgrades!$B$3:$B$13))*Upgrades!$D$3:$D$13))</f>
        <v/>
      </c>
      <c r="F987" s="66" t="str">
        <f>IFERROR(__xludf.DUMMYFUNCTION("IF(COUNTA(C987:C1673)=0,"""",IF(REGEXMATCH(INDEX(FILTER(C$4:C987,C$4:C987&lt;&gt;""""),ROWS(FILTER(C$4:C987,C$4:C987&lt;&gt;""""))),""^Sell_""),INDEX(FILTER(F$4:F986,C$4:C986&lt;&gt;""""),ROWS(FILTER(C$4:C986,C$4:C986&lt;&gt;""""))),$AC$5+E987))"),"")</f>
        <v/>
      </c>
      <c r="G987" s="10" t="str">
        <f>IFERROR(__xludf.DUMMYFUNCTION("IF(COUNTA(C987:C1673)=0,"""",IF(C987="""",0,IF(REGEXMATCH(C987,""^Sell_""),-ROUNDDOWN(ROUNDUP(INDEX(Upgrades!$C$3:$C$13,MATCH(SUBSTITUTE(C987,""Sell_"",""""),Upgrades!$B$3:$B$13,0))*1.15^(COUNTIF(C$4:C986,SUBSTITUTE(C987,""Sell_"",""""))-COUNTIF(C$4:C986,"&amp;"""Sell_""&amp;SUBSTITUTE(C987,""Sell_"",""""))))/2),ROUNDUP(INDEX(Upgrades!$C$3:$C$13,MATCH(C987,Upgrades!$B$3:$B$13,0))*1.15^(COUNTIF(C$4:C986,C987)-COUNTIF(C$4:C986,""Sell_""&amp;C987))))))"),"")</f>
        <v/>
      </c>
      <c r="H987" s="10" t="str">
        <f t="shared" si="3"/>
        <v/>
      </c>
      <c r="I987" s="68" t="str">
        <f t="shared" si="4"/>
        <v/>
      </c>
      <c r="J987" s="59" t="str">
        <f t="shared" si="5"/>
        <v/>
      </c>
      <c r="K987" s="69" t="str">
        <f t="shared" si="6"/>
        <v/>
      </c>
      <c r="L987" s="60" t="str">
        <f t="shared" si="7"/>
        <v/>
      </c>
      <c r="M987" s="61" t="str">
        <f>IFERROR(__xludf.DUMMYFUNCTION("IFS(AND(COUNTA(C987:C1673)=0,COUNTA(Q987:Q1673)=0),"""",OR(AND(K987&gt;=1000000000,OR(Y987&gt;=1000000000,COUNTA(Q987:Q1673)=0)),OR(Y987&gt;=1000000000,AND(COUNTA(C987:C1673)=0,P$3=TRUE))),
ROUNDDOWN((AB$1-AC$1)*MAX(INDEX(T$4:T1673,MATCH(LARGE(FILTER(Y$4:Y1673,Y$4"&amp;":Y1673&lt;1000000000),1),Y$4:Y1673)),INDEX(F$4:F1673,MATCH(LARGE(FILTER(K$4:K1673,K$4:K1673&lt;1000000000),1),K$4:K1673)))),AND(K987&lt;1000000000,COUNTA(C987:C1673)&gt;0,P$3=FALSE),
ROUNDDOWN(INDEX(Y$4:Y1673,MATCH(LARGE(FILTER(W$4:W1673,W$4:W1673&lt;=I987),1),W$4:W1673"&amp;"))+(I987-LARGE(FILTER(W$4:W1673,W$4:W1673&lt;=I987),1))*INDEX(T$4:T1673,MATCH(LARGE(FILTER(W$4:W1673,W$4:W1673&lt;=I987),1),W$4:W1673))-K987),1,
ROUNDDOWN(Y987-INDEX(K$4:K1673,MATCH(LARGE(FILTER(I$4:I1673,I$4:I1673&lt;=W987),1),I$4:I1673))-(W987-LARGE(FILTER(I$4:I"&amp;"1673,I$4:I1673&lt;=W987),1))*INDEX(F$4:F1673,MATCH(LARGE(FILTER(I$4:I1673,I$4:I1673&lt;=W987),1),I$4:I1673))))"),"")</f>
        <v/>
      </c>
      <c r="N987" s="60" t="str">
        <f t="shared" si="8"/>
        <v/>
      </c>
      <c r="O987" s="61" t="str">
        <f t="shared" si="9"/>
        <v/>
      </c>
      <c r="P987" s="56" t="str">
        <f t="shared" si="10"/>
        <v/>
      </c>
      <c r="R987" s="10"/>
      <c r="S987" s="59" t="str">
        <f t="array" ref="S987">IF(COUNTA(Q987:Q1673)=0,"",SUM((COUNTIF(Q$4:Q987,Upgrades!$B$3:$B$13)-COUNTIF(Q$4:Q987,"Sell_"&amp;Upgrades!$B$3:$B$13))*Upgrades!$D$3:$D$13))</f>
        <v/>
      </c>
      <c r="T987" s="66" t="str">
        <f>IFERROR(__xludf.DUMMYFUNCTION("IF(COUNTA(Q987:Q1673)=0,"""",IF(REGEXMATCH(INDEX(FILTER(Q$4:Q987,Q$4:Q987&lt;&gt;""""),ROWS(FILTER(Q$4:Q987,Q$4:Q987&lt;&gt;""""))),""^Sell_""),INDEX(FILTER(T$4:T986,Q$4:Q986&lt;&gt;""""),ROWS(FILTER(Q$4:Q986,Q$4:Q986&lt;&gt;""""))),$AD$5+S987))"),"")</f>
        <v/>
      </c>
      <c r="U987" s="10" t="str">
        <f>IFERROR(__xludf.DUMMYFUNCTION("IF(COUNTA(Q987:Q1673)=0,"""",IF(Q987="""",0,IF(REGEXMATCH(Q987,""^Sell_""),-ROUNDDOWN(ROUNDUP(INDEX(Upgrades!$C$3:$C$13,MATCH(SUBSTITUTE(Q987,""Sell_"",""""),Upgrades!$B$3:$B$13,0))*1.15^(COUNTIF(Q$4:Q986,SUBSTITUTE(Q987,""Sell_"",""""))-COUNTIF(Q$4:Q986,"&amp;"""Sell_""&amp;SUBSTITUTE(Q987,""Sell_"",""""))))/2),ROUNDUP(INDEX(Upgrades!$C$3:$C$13,MATCH(Q987,Upgrades!$B$3:$B$13,0))*1.15^(COUNTIF(Q$4:Q986,Q987)-COUNTIF(Q$4:Q986,""Sell_""&amp;Q987))))))"),"")</f>
        <v/>
      </c>
      <c r="V987" s="10" t="str">
        <f t="shared" si="11"/>
        <v/>
      </c>
      <c r="W987" s="68" t="str">
        <f t="shared" si="12"/>
        <v/>
      </c>
      <c r="X987" s="59" t="str">
        <f t="shared" si="13"/>
        <v/>
      </c>
      <c r="Y987" s="69" t="str">
        <f t="shared" si="14"/>
        <v/>
      </c>
      <c r="Z987" s="11"/>
    </row>
    <row r="988">
      <c r="A988" s="8"/>
      <c r="B988" s="56" t="str">
        <f t="shared" si="2"/>
        <v/>
      </c>
      <c r="C988" s="105"/>
      <c r="D988" s="10"/>
      <c r="E988" s="59" t="str">
        <f t="array" ref="E988">IF(COUNTA(C988:C1673)=0,"",SUM((COUNTIF(C$4:C988,Upgrades!$B$3:$B$13)-COUNTIF(C$4:C988,"Sell_"&amp;Upgrades!$B$3:$B$13))*Upgrades!$D$3:$D$13))</f>
        <v/>
      </c>
      <c r="F988" s="66" t="str">
        <f>IFERROR(__xludf.DUMMYFUNCTION("IF(COUNTA(C988:C1673)=0,"""",IF(REGEXMATCH(INDEX(FILTER(C$4:C988,C$4:C988&lt;&gt;""""),ROWS(FILTER(C$4:C988,C$4:C988&lt;&gt;""""))),""^Sell_""),INDEX(FILTER(F$4:F987,C$4:C987&lt;&gt;""""),ROWS(FILTER(C$4:C987,C$4:C987&lt;&gt;""""))),$AC$5+E988))"),"")</f>
        <v/>
      </c>
      <c r="G988" s="10" t="str">
        <f>IFERROR(__xludf.DUMMYFUNCTION("IF(COUNTA(C988:C1673)=0,"""",IF(C988="""",0,IF(REGEXMATCH(C988,""^Sell_""),-ROUNDDOWN(ROUNDUP(INDEX(Upgrades!$C$3:$C$13,MATCH(SUBSTITUTE(C988,""Sell_"",""""),Upgrades!$B$3:$B$13,0))*1.15^(COUNTIF(C$4:C987,SUBSTITUTE(C988,""Sell_"",""""))-COUNTIF(C$4:C987,"&amp;"""Sell_""&amp;SUBSTITUTE(C988,""Sell_"",""""))))/2),ROUNDUP(INDEX(Upgrades!$C$3:$C$13,MATCH(C988,Upgrades!$B$3:$B$13,0))*1.15^(COUNTIF(C$4:C987,C988)-COUNTIF(C$4:C987,""Sell_""&amp;C988))))))"),"")</f>
        <v/>
      </c>
      <c r="H988" s="10" t="str">
        <f t="shared" si="3"/>
        <v/>
      </c>
      <c r="I988" s="68" t="str">
        <f t="shared" si="4"/>
        <v/>
      </c>
      <c r="J988" s="59" t="str">
        <f t="shared" si="5"/>
        <v/>
      </c>
      <c r="K988" s="69" t="str">
        <f t="shared" si="6"/>
        <v/>
      </c>
      <c r="L988" s="60" t="str">
        <f t="shared" si="7"/>
        <v/>
      </c>
      <c r="M988" s="61" t="str">
        <f>IFERROR(__xludf.DUMMYFUNCTION("IFS(AND(COUNTA(C988:C1673)=0,COUNTA(Q988:Q1673)=0),"""",OR(AND(K988&gt;=1000000000,OR(Y988&gt;=1000000000,COUNTA(Q988:Q1673)=0)),OR(Y988&gt;=1000000000,AND(COUNTA(C988:C1673)=0,P$3=TRUE))),
ROUNDDOWN((AB$1-AC$1)*MAX(INDEX(T$4:T1673,MATCH(LARGE(FILTER(Y$4:Y1673,Y$4"&amp;":Y1673&lt;1000000000),1),Y$4:Y1673)),INDEX(F$4:F1673,MATCH(LARGE(FILTER(K$4:K1673,K$4:K1673&lt;1000000000),1),K$4:K1673)))),AND(K988&lt;1000000000,COUNTA(C988:C1673)&gt;0,P$3=FALSE),
ROUNDDOWN(INDEX(Y$4:Y1673,MATCH(LARGE(FILTER(W$4:W1673,W$4:W1673&lt;=I988),1),W$4:W1673"&amp;"))+(I988-LARGE(FILTER(W$4:W1673,W$4:W1673&lt;=I988),1))*INDEX(T$4:T1673,MATCH(LARGE(FILTER(W$4:W1673,W$4:W1673&lt;=I988),1),W$4:W1673))-K988),1,
ROUNDDOWN(Y988-INDEX(K$4:K1673,MATCH(LARGE(FILTER(I$4:I1673,I$4:I1673&lt;=W988),1),I$4:I1673))-(W988-LARGE(FILTER(I$4:I"&amp;"1673,I$4:I1673&lt;=W988),1))*INDEX(F$4:F1673,MATCH(LARGE(FILTER(I$4:I1673,I$4:I1673&lt;=W988),1),I$4:I1673))))"),"")</f>
        <v/>
      </c>
      <c r="N988" s="60" t="str">
        <f t="shared" si="8"/>
        <v/>
      </c>
      <c r="O988" s="61" t="str">
        <f t="shared" si="9"/>
        <v/>
      </c>
      <c r="P988" s="56" t="str">
        <f t="shared" si="10"/>
        <v/>
      </c>
      <c r="R988" s="10"/>
      <c r="S988" s="59" t="str">
        <f t="array" ref="S988">IF(COUNTA(Q988:Q1673)=0,"",SUM((COUNTIF(Q$4:Q988,Upgrades!$B$3:$B$13)-COUNTIF(Q$4:Q988,"Sell_"&amp;Upgrades!$B$3:$B$13))*Upgrades!$D$3:$D$13))</f>
        <v/>
      </c>
      <c r="T988" s="66" t="str">
        <f>IFERROR(__xludf.DUMMYFUNCTION("IF(COUNTA(Q988:Q1673)=0,"""",IF(REGEXMATCH(INDEX(FILTER(Q$4:Q988,Q$4:Q988&lt;&gt;""""),ROWS(FILTER(Q$4:Q988,Q$4:Q988&lt;&gt;""""))),""^Sell_""),INDEX(FILTER(T$4:T987,Q$4:Q987&lt;&gt;""""),ROWS(FILTER(Q$4:Q987,Q$4:Q987&lt;&gt;""""))),$AD$5+S988))"),"")</f>
        <v/>
      </c>
      <c r="U988" s="10" t="str">
        <f>IFERROR(__xludf.DUMMYFUNCTION("IF(COUNTA(Q988:Q1673)=0,"""",IF(Q988="""",0,IF(REGEXMATCH(Q988,""^Sell_""),-ROUNDDOWN(ROUNDUP(INDEX(Upgrades!$C$3:$C$13,MATCH(SUBSTITUTE(Q988,""Sell_"",""""),Upgrades!$B$3:$B$13,0))*1.15^(COUNTIF(Q$4:Q987,SUBSTITUTE(Q988,""Sell_"",""""))-COUNTIF(Q$4:Q987,"&amp;"""Sell_""&amp;SUBSTITUTE(Q988,""Sell_"",""""))))/2),ROUNDUP(INDEX(Upgrades!$C$3:$C$13,MATCH(Q988,Upgrades!$B$3:$B$13,0))*1.15^(COUNTIF(Q$4:Q987,Q988)-COUNTIF(Q$4:Q987,""Sell_""&amp;Q988))))))"),"")</f>
        <v/>
      </c>
      <c r="V988" s="10" t="str">
        <f t="shared" si="11"/>
        <v/>
      </c>
      <c r="W988" s="68" t="str">
        <f t="shared" si="12"/>
        <v/>
      </c>
      <c r="X988" s="59" t="str">
        <f t="shared" si="13"/>
        <v/>
      </c>
      <c r="Y988" s="69" t="str">
        <f t="shared" si="14"/>
        <v/>
      </c>
      <c r="Z988" s="11"/>
    </row>
    <row r="989">
      <c r="A989" s="8"/>
      <c r="B989" s="56" t="str">
        <f t="shared" si="2"/>
        <v/>
      </c>
      <c r="C989" s="105"/>
      <c r="D989" s="10"/>
      <c r="E989" s="59" t="str">
        <f t="array" ref="E989">IF(COUNTA(C989:C1673)=0,"",SUM((COUNTIF(C$4:C989,Upgrades!$B$3:$B$13)-COUNTIF(C$4:C989,"Sell_"&amp;Upgrades!$B$3:$B$13))*Upgrades!$D$3:$D$13))</f>
        <v/>
      </c>
      <c r="F989" s="66" t="str">
        <f>IFERROR(__xludf.DUMMYFUNCTION("IF(COUNTA(C989:C1673)=0,"""",IF(REGEXMATCH(INDEX(FILTER(C$4:C989,C$4:C989&lt;&gt;""""),ROWS(FILTER(C$4:C989,C$4:C989&lt;&gt;""""))),""^Sell_""),INDEX(FILTER(F$4:F988,C$4:C988&lt;&gt;""""),ROWS(FILTER(C$4:C988,C$4:C988&lt;&gt;""""))),$AC$5+E989))"),"")</f>
        <v/>
      </c>
      <c r="G989" s="10" t="str">
        <f>IFERROR(__xludf.DUMMYFUNCTION("IF(COUNTA(C989:C1673)=0,"""",IF(C989="""",0,IF(REGEXMATCH(C989,""^Sell_""),-ROUNDDOWN(ROUNDUP(INDEX(Upgrades!$C$3:$C$13,MATCH(SUBSTITUTE(C989,""Sell_"",""""),Upgrades!$B$3:$B$13,0))*1.15^(COUNTIF(C$4:C988,SUBSTITUTE(C989,""Sell_"",""""))-COUNTIF(C$4:C988,"&amp;"""Sell_""&amp;SUBSTITUTE(C989,""Sell_"",""""))))/2),ROUNDUP(INDEX(Upgrades!$C$3:$C$13,MATCH(C989,Upgrades!$B$3:$B$13,0))*1.15^(COUNTIF(C$4:C988,C989)-COUNTIF(C$4:C988,""Sell_""&amp;C989))))))"),"")</f>
        <v/>
      </c>
      <c r="H989" s="10" t="str">
        <f t="shared" si="3"/>
        <v/>
      </c>
      <c r="I989" s="68" t="str">
        <f t="shared" si="4"/>
        <v/>
      </c>
      <c r="J989" s="59" t="str">
        <f t="shared" si="5"/>
        <v/>
      </c>
      <c r="K989" s="69" t="str">
        <f t="shared" si="6"/>
        <v/>
      </c>
      <c r="L989" s="60" t="str">
        <f t="shared" si="7"/>
        <v/>
      </c>
      <c r="M989" s="61" t="str">
        <f>IFERROR(__xludf.DUMMYFUNCTION("IFS(AND(COUNTA(C989:C1673)=0,COUNTA(Q989:Q1673)=0),"""",OR(AND(K989&gt;=1000000000,OR(Y989&gt;=1000000000,COUNTA(Q989:Q1673)=0)),OR(Y989&gt;=1000000000,AND(COUNTA(C989:C1673)=0,P$3=TRUE))),
ROUNDDOWN((AB$1-AC$1)*MAX(INDEX(T$4:T1673,MATCH(LARGE(FILTER(Y$4:Y1673,Y$4"&amp;":Y1673&lt;1000000000),1),Y$4:Y1673)),INDEX(F$4:F1673,MATCH(LARGE(FILTER(K$4:K1673,K$4:K1673&lt;1000000000),1),K$4:K1673)))),AND(K989&lt;1000000000,COUNTA(C989:C1673)&gt;0,P$3=FALSE),
ROUNDDOWN(INDEX(Y$4:Y1673,MATCH(LARGE(FILTER(W$4:W1673,W$4:W1673&lt;=I989),1),W$4:W1673"&amp;"))+(I989-LARGE(FILTER(W$4:W1673,W$4:W1673&lt;=I989),1))*INDEX(T$4:T1673,MATCH(LARGE(FILTER(W$4:W1673,W$4:W1673&lt;=I989),1),W$4:W1673))-K989),1,
ROUNDDOWN(Y989-INDEX(K$4:K1673,MATCH(LARGE(FILTER(I$4:I1673,I$4:I1673&lt;=W989),1),I$4:I1673))-(W989-LARGE(FILTER(I$4:I"&amp;"1673,I$4:I1673&lt;=W989),1))*INDEX(F$4:F1673,MATCH(LARGE(FILTER(I$4:I1673,I$4:I1673&lt;=W989),1),I$4:I1673))))"),"")</f>
        <v/>
      </c>
      <c r="N989" s="60" t="str">
        <f t="shared" si="8"/>
        <v/>
      </c>
      <c r="O989" s="61" t="str">
        <f t="shared" si="9"/>
        <v/>
      </c>
      <c r="P989" s="56" t="str">
        <f t="shared" si="10"/>
        <v/>
      </c>
      <c r="R989" s="10"/>
      <c r="S989" s="59" t="str">
        <f t="array" ref="S989">IF(COUNTA(Q989:Q1673)=0,"",SUM((COUNTIF(Q$4:Q989,Upgrades!$B$3:$B$13)-COUNTIF(Q$4:Q989,"Sell_"&amp;Upgrades!$B$3:$B$13))*Upgrades!$D$3:$D$13))</f>
        <v/>
      </c>
      <c r="T989" s="66" t="str">
        <f>IFERROR(__xludf.DUMMYFUNCTION("IF(COUNTA(Q989:Q1673)=0,"""",IF(REGEXMATCH(INDEX(FILTER(Q$4:Q989,Q$4:Q989&lt;&gt;""""),ROWS(FILTER(Q$4:Q989,Q$4:Q989&lt;&gt;""""))),""^Sell_""),INDEX(FILTER(T$4:T988,Q$4:Q988&lt;&gt;""""),ROWS(FILTER(Q$4:Q988,Q$4:Q988&lt;&gt;""""))),$AD$5+S989))"),"")</f>
        <v/>
      </c>
      <c r="U989" s="10" t="str">
        <f>IFERROR(__xludf.DUMMYFUNCTION("IF(COUNTA(Q989:Q1673)=0,"""",IF(Q989="""",0,IF(REGEXMATCH(Q989,""^Sell_""),-ROUNDDOWN(ROUNDUP(INDEX(Upgrades!$C$3:$C$13,MATCH(SUBSTITUTE(Q989,""Sell_"",""""),Upgrades!$B$3:$B$13,0))*1.15^(COUNTIF(Q$4:Q988,SUBSTITUTE(Q989,""Sell_"",""""))-COUNTIF(Q$4:Q988,"&amp;"""Sell_""&amp;SUBSTITUTE(Q989,""Sell_"",""""))))/2),ROUNDUP(INDEX(Upgrades!$C$3:$C$13,MATCH(Q989,Upgrades!$B$3:$B$13,0))*1.15^(COUNTIF(Q$4:Q988,Q989)-COUNTIF(Q$4:Q988,""Sell_""&amp;Q989))))))"),"")</f>
        <v/>
      </c>
      <c r="V989" s="10" t="str">
        <f t="shared" si="11"/>
        <v/>
      </c>
      <c r="W989" s="68" t="str">
        <f t="shared" si="12"/>
        <v/>
      </c>
      <c r="X989" s="59" t="str">
        <f t="shared" si="13"/>
        <v/>
      </c>
      <c r="Y989" s="69" t="str">
        <f t="shared" si="14"/>
        <v/>
      </c>
      <c r="Z989" s="11"/>
    </row>
    <row r="990">
      <c r="A990" s="8"/>
      <c r="B990" s="56" t="str">
        <f t="shared" si="2"/>
        <v/>
      </c>
      <c r="C990" s="105"/>
      <c r="D990" s="10"/>
      <c r="E990" s="59" t="str">
        <f t="array" ref="E990">IF(COUNTA(C990:C1673)=0,"",SUM((COUNTIF(C$4:C990,Upgrades!$B$3:$B$13)-COUNTIF(C$4:C990,"Sell_"&amp;Upgrades!$B$3:$B$13))*Upgrades!$D$3:$D$13))</f>
        <v/>
      </c>
      <c r="F990" s="66" t="str">
        <f>IFERROR(__xludf.DUMMYFUNCTION("IF(COUNTA(C990:C1673)=0,"""",IF(REGEXMATCH(INDEX(FILTER(C$4:C990,C$4:C990&lt;&gt;""""),ROWS(FILTER(C$4:C990,C$4:C990&lt;&gt;""""))),""^Sell_""),INDEX(FILTER(F$4:F989,C$4:C989&lt;&gt;""""),ROWS(FILTER(C$4:C989,C$4:C989&lt;&gt;""""))),$AC$5+E990))"),"")</f>
        <v/>
      </c>
      <c r="G990" s="10" t="str">
        <f>IFERROR(__xludf.DUMMYFUNCTION("IF(COUNTA(C990:C1673)=0,"""",IF(C990="""",0,IF(REGEXMATCH(C990,""^Sell_""),-ROUNDDOWN(ROUNDUP(INDEX(Upgrades!$C$3:$C$13,MATCH(SUBSTITUTE(C990,""Sell_"",""""),Upgrades!$B$3:$B$13,0))*1.15^(COUNTIF(C$4:C989,SUBSTITUTE(C990,""Sell_"",""""))-COUNTIF(C$4:C989,"&amp;"""Sell_""&amp;SUBSTITUTE(C990,""Sell_"",""""))))/2),ROUNDUP(INDEX(Upgrades!$C$3:$C$13,MATCH(C990,Upgrades!$B$3:$B$13,0))*1.15^(COUNTIF(C$4:C989,C990)-COUNTIF(C$4:C989,""Sell_""&amp;C990))))))"),"")</f>
        <v/>
      </c>
      <c r="H990" s="10" t="str">
        <f t="shared" si="3"/>
        <v/>
      </c>
      <c r="I990" s="68" t="str">
        <f t="shared" si="4"/>
        <v/>
      </c>
      <c r="J990" s="59" t="str">
        <f t="shared" si="5"/>
        <v/>
      </c>
      <c r="K990" s="69" t="str">
        <f t="shared" si="6"/>
        <v/>
      </c>
      <c r="L990" s="60" t="str">
        <f t="shared" si="7"/>
        <v/>
      </c>
      <c r="M990" s="61" t="str">
        <f>IFERROR(__xludf.DUMMYFUNCTION("IFS(AND(COUNTA(C990:C1673)=0,COUNTA(Q990:Q1673)=0),"""",OR(AND(K990&gt;=1000000000,OR(Y990&gt;=1000000000,COUNTA(Q990:Q1673)=0)),OR(Y990&gt;=1000000000,AND(COUNTA(C990:C1673)=0,P$3=TRUE))),
ROUNDDOWN((AB$1-AC$1)*MAX(INDEX(T$4:T1673,MATCH(LARGE(FILTER(Y$4:Y1673,Y$4"&amp;":Y1673&lt;1000000000),1),Y$4:Y1673)),INDEX(F$4:F1673,MATCH(LARGE(FILTER(K$4:K1673,K$4:K1673&lt;1000000000),1),K$4:K1673)))),AND(K990&lt;1000000000,COUNTA(C990:C1673)&gt;0,P$3=FALSE),
ROUNDDOWN(INDEX(Y$4:Y1673,MATCH(LARGE(FILTER(W$4:W1673,W$4:W1673&lt;=I990),1),W$4:W1673"&amp;"))+(I990-LARGE(FILTER(W$4:W1673,W$4:W1673&lt;=I990),1))*INDEX(T$4:T1673,MATCH(LARGE(FILTER(W$4:W1673,W$4:W1673&lt;=I990),1),W$4:W1673))-K990),1,
ROUNDDOWN(Y990-INDEX(K$4:K1673,MATCH(LARGE(FILTER(I$4:I1673,I$4:I1673&lt;=W990),1),I$4:I1673))-(W990-LARGE(FILTER(I$4:I"&amp;"1673,I$4:I1673&lt;=W990),1))*INDEX(F$4:F1673,MATCH(LARGE(FILTER(I$4:I1673,I$4:I1673&lt;=W990),1),I$4:I1673))))"),"")</f>
        <v/>
      </c>
      <c r="N990" s="60" t="str">
        <f t="shared" si="8"/>
        <v/>
      </c>
      <c r="O990" s="61" t="str">
        <f t="shared" si="9"/>
        <v/>
      </c>
      <c r="P990" s="56" t="str">
        <f t="shared" si="10"/>
        <v/>
      </c>
      <c r="R990" s="10"/>
      <c r="S990" s="59" t="str">
        <f t="array" ref="S990">IF(COUNTA(Q990:Q1673)=0,"",SUM((COUNTIF(Q$4:Q990,Upgrades!$B$3:$B$13)-COUNTIF(Q$4:Q990,"Sell_"&amp;Upgrades!$B$3:$B$13))*Upgrades!$D$3:$D$13))</f>
        <v/>
      </c>
      <c r="T990" s="66" t="str">
        <f>IFERROR(__xludf.DUMMYFUNCTION("IF(COUNTA(Q990:Q1673)=0,"""",IF(REGEXMATCH(INDEX(FILTER(Q$4:Q990,Q$4:Q990&lt;&gt;""""),ROWS(FILTER(Q$4:Q990,Q$4:Q990&lt;&gt;""""))),""^Sell_""),INDEX(FILTER(T$4:T989,Q$4:Q989&lt;&gt;""""),ROWS(FILTER(Q$4:Q989,Q$4:Q989&lt;&gt;""""))),$AD$5+S990))"),"")</f>
        <v/>
      </c>
      <c r="U990" s="10" t="str">
        <f>IFERROR(__xludf.DUMMYFUNCTION("IF(COUNTA(Q990:Q1673)=0,"""",IF(Q990="""",0,IF(REGEXMATCH(Q990,""^Sell_""),-ROUNDDOWN(ROUNDUP(INDEX(Upgrades!$C$3:$C$13,MATCH(SUBSTITUTE(Q990,""Sell_"",""""),Upgrades!$B$3:$B$13,0))*1.15^(COUNTIF(Q$4:Q989,SUBSTITUTE(Q990,""Sell_"",""""))-COUNTIF(Q$4:Q989,"&amp;"""Sell_""&amp;SUBSTITUTE(Q990,""Sell_"",""""))))/2),ROUNDUP(INDEX(Upgrades!$C$3:$C$13,MATCH(Q990,Upgrades!$B$3:$B$13,0))*1.15^(COUNTIF(Q$4:Q989,Q990)-COUNTIF(Q$4:Q989,""Sell_""&amp;Q990))))))"),"")</f>
        <v/>
      </c>
      <c r="V990" s="10" t="str">
        <f t="shared" si="11"/>
        <v/>
      </c>
      <c r="W990" s="68" t="str">
        <f t="shared" si="12"/>
        <v/>
      </c>
      <c r="X990" s="59" t="str">
        <f t="shared" si="13"/>
        <v/>
      </c>
      <c r="Y990" s="69" t="str">
        <f t="shared" si="14"/>
        <v/>
      </c>
      <c r="Z990" s="11"/>
    </row>
    <row r="991">
      <c r="A991" s="8"/>
      <c r="B991" s="56" t="str">
        <f t="shared" si="2"/>
        <v/>
      </c>
      <c r="C991" s="105"/>
      <c r="D991" s="10"/>
      <c r="E991" s="59" t="str">
        <f t="array" ref="E991">IF(COUNTA(C991:C1673)=0,"",SUM((COUNTIF(C$4:C991,Upgrades!$B$3:$B$13)-COUNTIF(C$4:C991,"Sell_"&amp;Upgrades!$B$3:$B$13))*Upgrades!$D$3:$D$13))</f>
        <v/>
      </c>
      <c r="F991" s="66" t="str">
        <f>IFERROR(__xludf.DUMMYFUNCTION("IF(COUNTA(C991:C1673)=0,"""",IF(REGEXMATCH(INDEX(FILTER(C$4:C991,C$4:C991&lt;&gt;""""),ROWS(FILTER(C$4:C991,C$4:C991&lt;&gt;""""))),""^Sell_""),INDEX(FILTER(F$4:F990,C$4:C990&lt;&gt;""""),ROWS(FILTER(C$4:C990,C$4:C990&lt;&gt;""""))),$AC$5+E991))"),"")</f>
        <v/>
      </c>
      <c r="G991" s="10" t="str">
        <f>IFERROR(__xludf.DUMMYFUNCTION("IF(COUNTA(C991:C1673)=0,"""",IF(C991="""",0,IF(REGEXMATCH(C991,""^Sell_""),-ROUNDDOWN(ROUNDUP(INDEX(Upgrades!$C$3:$C$13,MATCH(SUBSTITUTE(C991,""Sell_"",""""),Upgrades!$B$3:$B$13,0))*1.15^(COUNTIF(C$4:C990,SUBSTITUTE(C991,""Sell_"",""""))-COUNTIF(C$4:C990,"&amp;"""Sell_""&amp;SUBSTITUTE(C991,""Sell_"",""""))))/2),ROUNDUP(INDEX(Upgrades!$C$3:$C$13,MATCH(C991,Upgrades!$B$3:$B$13,0))*1.15^(COUNTIF(C$4:C990,C991)-COUNTIF(C$4:C990,""Sell_""&amp;C991))))))"),"")</f>
        <v/>
      </c>
      <c r="H991" s="10" t="str">
        <f t="shared" si="3"/>
        <v/>
      </c>
      <c r="I991" s="68" t="str">
        <f t="shared" si="4"/>
        <v/>
      </c>
      <c r="J991" s="59" t="str">
        <f t="shared" si="5"/>
        <v/>
      </c>
      <c r="K991" s="69" t="str">
        <f t="shared" si="6"/>
        <v/>
      </c>
      <c r="L991" s="60" t="str">
        <f t="shared" si="7"/>
        <v/>
      </c>
      <c r="M991" s="61" t="str">
        <f>IFERROR(__xludf.DUMMYFUNCTION("IFS(AND(COUNTA(C991:C1673)=0,COUNTA(Q991:Q1673)=0),"""",OR(AND(K991&gt;=1000000000,OR(Y991&gt;=1000000000,COUNTA(Q991:Q1673)=0)),OR(Y991&gt;=1000000000,AND(COUNTA(C991:C1673)=0,P$3=TRUE))),
ROUNDDOWN((AB$1-AC$1)*MAX(INDEX(T$4:T1673,MATCH(LARGE(FILTER(Y$4:Y1673,Y$4"&amp;":Y1673&lt;1000000000),1),Y$4:Y1673)),INDEX(F$4:F1673,MATCH(LARGE(FILTER(K$4:K1673,K$4:K1673&lt;1000000000),1),K$4:K1673)))),AND(K991&lt;1000000000,COUNTA(C991:C1673)&gt;0,P$3=FALSE),
ROUNDDOWN(INDEX(Y$4:Y1673,MATCH(LARGE(FILTER(W$4:W1673,W$4:W1673&lt;=I991),1),W$4:W1673"&amp;"))+(I991-LARGE(FILTER(W$4:W1673,W$4:W1673&lt;=I991),1))*INDEX(T$4:T1673,MATCH(LARGE(FILTER(W$4:W1673,W$4:W1673&lt;=I991),1),W$4:W1673))-K991),1,
ROUNDDOWN(Y991-INDEX(K$4:K1673,MATCH(LARGE(FILTER(I$4:I1673,I$4:I1673&lt;=W991),1),I$4:I1673))-(W991-LARGE(FILTER(I$4:I"&amp;"1673,I$4:I1673&lt;=W991),1))*INDEX(F$4:F1673,MATCH(LARGE(FILTER(I$4:I1673,I$4:I1673&lt;=W991),1),I$4:I1673))))"),"")</f>
        <v/>
      </c>
      <c r="N991" s="60" t="str">
        <f t="shared" si="8"/>
        <v/>
      </c>
      <c r="O991" s="61" t="str">
        <f t="shared" si="9"/>
        <v/>
      </c>
      <c r="P991" s="56" t="str">
        <f t="shared" si="10"/>
        <v/>
      </c>
      <c r="R991" s="10"/>
      <c r="S991" s="59" t="str">
        <f t="array" ref="S991">IF(COUNTA(Q991:Q1673)=0,"",SUM((COUNTIF(Q$4:Q991,Upgrades!$B$3:$B$13)-COUNTIF(Q$4:Q991,"Sell_"&amp;Upgrades!$B$3:$B$13))*Upgrades!$D$3:$D$13))</f>
        <v/>
      </c>
      <c r="T991" s="66" t="str">
        <f>IFERROR(__xludf.DUMMYFUNCTION("IF(COUNTA(Q991:Q1673)=0,"""",IF(REGEXMATCH(INDEX(FILTER(Q$4:Q991,Q$4:Q991&lt;&gt;""""),ROWS(FILTER(Q$4:Q991,Q$4:Q991&lt;&gt;""""))),""^Sell_""),INDEX(FILTER(T$4:T990,Q$4:Q990&lt;&gt;""""),ROWS(FILTER(Q$4:Q990,Q$4:Q990&lt;&gt;""""))),$AD$5+S991))"),"")</f>
        <v/>
      </c>
      <c r="U991" s="10" t="str">
        <f>IFERROR(__xludf.DUMMYFUNCTION("IF(COUNTA(Q991:Q1673)=0,"""",IF(Q991="""",0,IF(REGEXMATCH(Q991,""^Sell_""),-ROUNDDOWN(ROUNDUP(INDEX(Upgrades!$C$3:$C$13,MATCH(SUBSTITUTE(Q991,""Sell_"",""""),Upgrades!$B$3:$B$13,0))*1.15^(COUNTIF(Q$4:Q990,SUBSTITUTE(Q991,""Sell_"",""""))-COUNTIF(Q$4:Q990,"&amp;"""Sell_""&amp;SUBSTITUTE(Q991,""Sell_"",""""))))/2),ROUNDUP(INDEX(Upgrades!$C$3:$C$13,MATCH(Q991,Upgrades!$B$3:$B$13,0))*1.15^(COUNTIF(Q$4:Q990,Q991)-COUNTIF(Q$4:Q990,""Sell_""&amp;Q991))))))"),"")</f>
        <v/>
      </c>
      <c r="V991" s="10" t="str">
        <f t="shared" si="11"/>
        <v/>
      </c>
      <c r="W991" s="68" t="str">
        <f t="shared" si="12"/>
        <v/>
      </c>
      <c r="X991" s="59" t="str">
        <f t="shared" si="13"/>
        <v/>
      </c>
      <c r="Y991" s="69" t="str">
        <f t="shared" si="14"/>
        <v/>
      </c>
      <c r="Z991" s="11"/>
    </row>
    <row r="992">
      <c r="A992" s="8"/>
      <c r="B992" s="56" t="str">
        <f t="shared" si="2"/>
        <v/>
      </c>
      <c r="C992" s="105"/>
      <c r="D992" s="10"/>
      <c r="E992" s="59" t="str">
        <f t="array" ref="E992">IF(COUNTA(C992:C1673)=0,"",SUM((COUNTIF(C$4:C992,Upgrades!$B$3:$B$13)-COUNTIF(C$4:C992,"Sell_"&amp;Upgrades!$B$3:$B$13))*Upgrades!$D$3:$D$13))</f>
        <v/>
      </c>
      <c r="F992" s="66" t="str">
        <f>IFERROR(__xludf.DUMMYFUNCTION("IF(COUNTA(C992:C1673)=0,"""",IF(REGEXMATCH(INDEX(FILTER(C$4:C992,C$4:C992&lt;&gt;""""),ROWS(FILTER(C$4:C992,C$4:C992&lt;&gt;""""))),""^Sell_""),INDEX(FILTER(F$4:F991,C$4:C991&lt;&gt;""""),ROWS(FILTER(C$4:C991,C$4:C991&lt;&gt;""""))),$AC$5+E992))"),"")</f>
        <v/>
      </c>
      <c r="G992" s="10" t="str">
        <f>IFERROR(__xludf.DUMMYFUNCTION("IF(COUNTA(C992:C1673)=0,"""",IF(C992="""",0,IF(REGEXMATCH(C992,""^Sell_""),-ROUNDDOWN(ROUNDUP(INDEX(Upgrades!$C$3:$C$13,MATCH(SUBSTITUTE(C992,""Sell_"",""""),Upgrades!$B$3:$B$13,0))*1.15^(COUNTIF(C$4:C991,SUBSTITUTE(C992,""Sell_"",""""))-COUNTIF(C$4:C991,"&amp;"""Sell_""&amp;SUBSTITUTE(C992,""Sell_"",""""))))/2),ROUNDUP(INDEX(Upgrades!$C$3:$C$13,MATCH(C992,Upgrades!$B$3:$B$13,0))*1.15^(COUNTIF(C$4:C991,C992)-COUNTIF(C$4:C991,""Sell_""&amp;C992))))))"),"")</f>
        <v/>
      </c>
      <c r="H992" s="10" t="str">
        <f t="shared" si="3"/>
        <v/>
      </c>
      <c r="I992" s="68" t="str">
        <f t="shared" si="4"/>
        <v/>
      </c>
      <c r="J992" s="59" t="str">
        <f t="shared" si="5"/>
        <v/>
      </c>
      <c r="K992" s="69" t="str">
        <f t="shared" si="6"/>
        <v/>
      </c>
      <c r="L992" s="60" t="str">
        <f t="shared" si="7"/>
        <v/>
      </c>
      <c r="M992" s="61" t="str">
        <f>IFERROR(__xludf.DUMMYFUNCTION("IFS(AND(COUNTA(C992:C1673)=0,COUNTA(Q992:Q1673)=0),"""",OR(AND(K992&gt;=1000000000,OR(Y992&gt;=1000000000,COUNTA(Q992:Q1673)=0)),OR(Y992&gt;=1000000000,AND(COUNTA(C992:C1673)=0,P$3=TRUE))),
ROUNDDOWN((AB$1-AC$1)*MAX(INDEX(T$4:T1673,MATCH(LARGE(FILTER(Y$4:Y1673,Y$4"&amp;":Y1673&lt;1000000000),1),Y$4:Y1673)),INDEX(F$4:F1673,MATCH(LARGE(FILTER(K$4:K1673,K$4:K1673&lt;1000000000),1),K$4:K1673)))),AND(K992&lt;1000000000,COUNTA(C992:C1673)&gt;0,P$3=FALSE),
ROUNDDOWN(INDEX(Y$4:Y1673,MATCH(LARGE(FILTER(W$4:W1673,W$4:W1673&lt;=I992),1),W$4:W1673"&amp;"))+(I992-LARGE(FILTER(W$4:W1673,W$4:W1673&lt;=I992),1))*INDEX(T$4:T1673,MATCH(LARGE(FILTER(W$4:W1673,W$4:W1673&lt;=I992),1),W$4:W1673))-K992),1,
ROUNDDOWN(Y992-INDEX(K$4:K1673,MATCH(LARGE(FILTER(I$4:I1673,I$4:I1673&lt;=W992),1),I$4:I1673))-(W992-LARGE(FILTER(I$4:I"&amp;"1673,I$4:I1673&lt;=W992),1))*INDEX(F$4:F1673,MATCH(LARGE(FILTER(I$4:I1673,I$4:I1673&lt;=W992),1),I$4:I1673))))"),"")</f>
        <v/>
      </c>
      <c r="N992" s="60" t="str">
        <f t="shared" si="8"/>
        <v/>
      </c>
      <c r="O992" s="61" t="str">
        <f t="shared" si="9"/>
        <v/>
      </c>
      <c r="P992" s="56" t="str">
        <f t="shared" si="10"/>
        <v/>
      </c>
      <c r="R992" s="10"/>
      <c r="S992" s="59" t="str">
        <f t="array" ref="S992">IF(COUNTA(Q992:Q1673)=0,"",SUM((COUNTIF(Q$4:Q992,Upgrades!$B$3:$B$13)-COUNTIF(Q$4:Q992,"Sell_"&amp;Upgrades!$B$3:$B$13))*Upgrades!$D$3:$D$13))</f>
        <v/>
      </c>
      <c r="T992" s="66" t="str">
        <f>IFERROR(__xludf.DUMMYFUNCTION("IF(COUNTA(Q992:Q1673)=0,"""",IF(REGEXMATCH(INDEX(FILTER(Q$4:Q992,Q$4:Q992&lt;&gt;""""),ROWS(FILTER(Q$4:Q992,Q$4:Q992&lt;&gt;""""))),""^Sell_""),INDEX(FILTER(T$4:T991,Q$4:Q991&lt;&gt;""""),ROWS(FILTER(Q$4:Q991,Q$4:Q991&lt;&gt;""""))),$AD$5+S992))"),"")</f>
        <v/>
      </c>
      <c r="U992" s="10" t="str">
        <f>IFERROR(__xludf.DUMMYFUNCTION("IF(COUNTA(Q992:Q1673)=0,"""",IF(Q992="""",0,IF(REGEXMATCH(Q992,""^Sell_""),-ROUNDDOWN(ROUNDUP(INDEX(Upgrades!$C$3:$C$13,MATCH(SUBSTITUTE(Q992,""Sell_"",""""),Upgrades!$B$3:$B$13,0))*1.15^(COUNTIF(Q$4:Q991,SUBSTITUTE(Q992,""Sell_"",""""))-COUNTIF(Q$4:Q991,"&amp;"""Sell_""&amp;SUBSTITUTE(Q992,""Sell_"",""""))))/2),ROUNDUP(INDEX(Upgrades!$C$3:$C$13,MATCH(Q992,Upgrades!$B$3:$B$13,0))*1.15^(COUNTIF(Q$4:Q991,Q992)-COUNTIF(Q$4:Q991,""Sell_""&amp;Q992))))))"),"")</f>
        <v/>
      </c>
      <c r="V992" s="10" t="str">
        <f t="shared" si="11"/>
        <v/>
      </c>
      <c r="W992" s="68" t="str">
        <f t="shared" si="12"/>
        <v/>
      </c>
      <c r="X992" s="59" t="str">
        <f t="shared" si="13"/>
        <v/>
      </c>
      <c r="Y992" s="69" t="str">
        <f t="shared" si="14"/>
        <v/>
      </c>
      <c r="Z992" s="11"/>
    </row>
    <row r="993">
      <c r="A993" s="8"/>
      <c r="B993" s="56" t="str">
        <f t="shared" si="2"/>
        <v/>
      </c>
      <c r="C993" s="105"/>
      <c r="D993" s="10"/>
      <c r="E993" s="59" t="str">
        <f t="array" ref="E993">IF(COUNTA(C993:C1673)=0,"",SUM((COUNTIF(C$4:C993,Upgrades!$B$3:$B$13)-COUNTIF(C$4:C993,"Sell_"&amp;Upgrades!$B$3:$B$13))*Upgrades!$D$3:$D$13))</f>
        <v/>
      </c>
      <c r="F993" s="66" t="str">
        <f>IFERROR(__xludf.DUMMYFUNCTION("IF(COUNTA(C993:C1673)=0,"""",IF(REGEXMATCH(INDEX(FILTER(C$4:C993,C$4:C993&lt;&gt;""""),ROWS(FILTER(C$4:C993,C$4:C993&lt;&gt;""""))),""^Sell_""),INDEX(FILTER(F$4:F992,C$4:C992&lt;&gt;""""),ROWS(FILTER(C$4:C992,C$4:C992&lt;&gt;""""))),$AC$5+E993))"),"")</f>
        <v/>
      </c>
      <c r="G993" s="10" t="str">
        <f>IFERROR(__xludf.DUMMYFUNCTION("IF(COUNTA(C993:C1673)=0,"""",IF(C993="""",0,IF(REGEXMATCH(C993,""^Sell_""),-ROUNDDOWN(ROUNDUP(INDEX(Upgrades!$C$3:$C$13,MATCH(SUBSTITUTE(C993,""Sell_"",""""),Upgrades!$B$3:$B$13,0))*1.15^(COUNTIF(C$4:C992,SUBSTITUTE(C993,""Sell_"",""""))-COUNTIF(C$4:C992,"&amp;"""Sell_""&amp;SUBSTITUTE(C993,""Sell_"",""""))))/2),ROUNDUP(INDEX(Upgrades!$C$3:$C$13,MATCH(C993,Upgrades!$B$3:$B$13,0))*1.15^(COUNTIF(C$4:C992,C993)-COUNTIF(C$4:C992,""Sell_""&amp;C993))))))"),"")</f>
        <v/>
      </c>
      <c r="H993" s="10" t="str">
        <f t="shared" si="3"/>
        <v/>
      </c>
      <c r="I993" s="68" t="str">
        <f t="shared" si="4"/>
        <v/>
      </c>
      <c r="J993" s="59" t="str">
        <f t="shared" si="5"/>
        <v/>
      </c>
      <c r="K993" s="69" t="str">
        <f t="shared" si="6"/>
        <v/>
      </c>
      <c r="L993" s="60" t="str">
        <f t="shared" si="7"/>
        <v/>
      </c>
      <c r="M993" s="61" t="str">
        <f>IFERROR(__xludf.DUMMYFUNCTION("IFS(AND(COUNTA(C993:C1673)=0,COUNTA(Q993:Q1673)=0),"""",OR(AND(K993&gt;=1000000000,OR(Y993&gt;=1000000000,COUNTA(Q993:Q1673)=0)),OR(Y993&gt;=1000000000,AND(COUNTA(C993:C1673)=0,P$3=TRUE))),
ROUNDDOWN((AB$1-AC$1)*MAX(INDEX(T$4:T1673,MATCH(LARGE(FILTER(Y$4:Y1673,Y$4"&amp;":Y1673&lt;1000000000),1),Y$4:Y1673)),INDEX(F$4:F1673,MATCH(LARGE(FILTER(K$4:K1673,K$4:K1673&lt;1000000000),1),K$4:K1673)))),AND(K993&lt;1000000000,COUNTA(C993:C1673)&gt;0,P$3=FALSE),
ROUNDDOWN(INDEX(Y$4:Y1673,MATCH(LARGE(FILTER(W$4:W1673,W$4:W1673&lt;=I993),1),W$4:W1673"&amp;"))+(I993-LARGE(FILTER(W$4:W1673,W$4:W1673&lt;=I993),1))*INDEX(T$4:T1673,MATCH(LARGE(FILTER(W$4:W1673,W$4:W1673&lt;=I993),1),W$4:W1673))-K993),1,
ROUNDDOWN(Y993-INDEX(K$4:K1673,MATCH(LARGE(FILTER(I$4:I1673,I$4:I1673&lt;=W993),1),I$4:I1673))-(W993-LARGE(FILTER(I$4:I"&amp;"1673,I$4:I1673&lt;=W993),1))*INDEX(F$4:F1673,MATCH(LARGE(FILTER(I$4:I1673,I$4:I1673&lt;=W993),1),I$4:I1673))))"),"")</f>
        <v/>
      </c>
      <c r="N993" s="60" t="str">
        <f t="shared" si="8"/>
        <v/>
      </c>
      <c r="O993" s="61" t="str">
        <f t="shared" si="9"/>
        <v/>
      </c>
      <c r="P993" s="56" t="str">
        <f t="shared" si="10"/>
        <v/>
      </c>
      <c r="R993" s="10"/>
      <c r="S993" s="59" t="str">
        <f t="array" ref="S993">IF(COUNTA(Q993:Q1673)=0,"",SUM((COUNTIF(Q$4:Q993,Upgrades!$B$3:$B$13)-COUNTIF(Q$4:Q993,"Sell_"&amp;Upgrades!$B$3:$B$13))*Upgrades!$D$3:$D$13))</f>
        <v/>
      </c>
      <c r="T993" s="66" t="str">
        <f>IFERROR(__xludf.DUMMYFUNCTION("IF(COUNTA(Q993:Q1673)=0,"""",IF(REGEXMATCH(INDEX(FILTER(Q$4:Q993,Q$4:Q993&lt;&gt;""""),ROWS(FILTER(Q$4:Q993,Q$4:Q993&lt;&gt;""""))),""^Sell_""),INDEX(FILTER(T$4:T992,Q$4:Q992&lt;&gt;""""),ROWS(FILTER(Q$4:Q992,Q$4:Q992&lt;&gt;""""))),$AD$5+S993))"),"")</f>
        <v/>
      </c>
      <c r="U993" s="10" t="str">
        <f>IFERROR(__xludf.DUMMYFUNCTION("IF(COUNTA(Q993:Q1673)=0,"""",IF(Q993="""",0,IF(REGEXMATCH(Q993,""^Sell_""),-ROUNDDOWN(ROUNDUP(INDEX(Upgrades!$C$3:$C$13,MATCH(SUBSTITUTE(Q993,""Sell_"",""""),Upgrades!$B$3:$B$13,0))*1.15^(COUNTIF(Q$4:Q992,SUBSTITUTE(Q993,""Sell_"",""""))-COUNTIF(Q$4:Q992,"&amp;"""Sell_""&amp;SUBSTITUTE(Q993,""Sell_"",""""))))/2),ROUNDUP(INDEX(Upgrades!$C$3:$C$13,MATCH(Q993,Upgrades!$B$3:$B$13,0))*1.15^(COUNTIF(Q$4:Q992,Q993)-COUNTIF(Q$4:Q992,""Sell_""&amp;Q993))))))"),"")</f>
        <v/>
      </c>
      <c r="V993" s="10" t="str">
        <f t="shared" si="11"/>
        <v/>
      </c>
      <c r="W993" s="68" t="str">
        <f t="shared" si="12"/>
        <v/>
      </c>
      <c r="X993" s="59" t="str">
        <f t="shared" si="13"/>
        <v/>
      </c>
      <c r="Y993" s="69" t="str">
        <f t="shared" si="14"/>
        <v/>
      </c>
      <c r="Z993" s="11"/>
    </row>
    <row r="994">
      <c r="A994" s="8"/>
      <c r="B994" s="56" t="str">
        <f t="shared" si="2"/>
        <v/>
      </c>
      <c r="C994" s="105"/>
      <c r="D994" s="10"/>
      <c r="E994" s="59" t="str">
        <f t="array" ref="E994">IF(COUNTA(C994:C1673)=0,"",SUM((COUNTIF(C$4:C994,Upgrades!$B$3:$B$13)-COUNTIF(C$4:C994,"Sell_"&amp;Upgrades!$B$3:$B$13))*Upgrades!$D$3:$D$13))</f>
        <v/>
      </c>
      <c r="F994" s="66" t="str">
        <f>IFERROR(__xludf.DUMMYFUNCTION("IF(COUNTA(C994:C1673)=0,"""",IF(REGEXMATCH(INDEX(FILTER(C$4:C994,C$4:C994&lt;&gt;""""),ROWS(FILTER(C$4:C994,C$4:C994&lt;&gt;""""))),""^Sell_""),INDEX(FILTER(F$4:F993,C$4:C993&lt;&gt;""""),ROWS(FILTER(C$4:C993,C$4:C993&lt;&gt;""""))),$AC$5+E994))"),"")</f>
        <v/>
      </c>
      <c r="G994" s="10" t="str">
        <f>IFERROR(__xludf.DUMMYFUNCTION("IF(COUNTA(C994:C1673)=0,"""",IF(C994="""",0,IF(REGEXMATCH(C994,""^Sell_""),-ROUNDDOWN(ROUNDUP(INDEX(Upgrades!$C$3:$C$13,MATCH(SUBSTITUTE(C994,""Sell_"",""""),Upgrades!$B$3:$B$13,0))*1.15^(COUNTIF(C$4:C993,SUBSTITUTE(C994,""Sell_"",""""))-COUNTIF(C$4:C993,"&amp;"""Sell_""&amp;SUBSTITUTE(C994,""Sell_"",""""))))/2),ROUNDUP(INDEX(Upgrades!$C$3:$C$13,MATCH(C994,Upgrades!$B$3:$B$13,0))*1.15^(COUNTIF(C$4:C993,C994)-COUNTIF(C$4:C993,""Sell_""&amp;C994))))))"),"")</f>
        <v/>
      </c>
      <c r="H994" s="10" t="str">
        <f t="shared" si="3"/>
        <v/>
      </c>
      <c r="I994" s="68" t="str">
        <f t="shared" si="4"/>
        <v/>
      </c>
      <c r="J994" s="59" t="str">
        <f t="shared" si="5"/>
        <v/>
      </c>
      <c r="K994" s="69" t="str">
        <f t="shared" si="6"/>
        <v/>
      </c>
      <c r="L994" s="60" t="str">
        <f t="shared" si="7"/>
        <v/>
      </c>
      <c r="M994" s="61" t="str">
        <f>IFERROR(__xludf.DUMMYFUNCTION("IFS(AND(COUNTA(C994:C1673)=0,COUNTA(Q994:Q1673)=0),"""",OR(AND(K994&gt;=1000000000,OR(Y994&gt;=1000000000,COUNTA(Q994:Q1673)=0)),OR(Y994&gt;=1000000000,AND(COUNTA(C994:C1673)=0,P$3=TRUE))),
ROUNDDOWN((AB$1-AC$1)*MAX(INDEX(T$4:T1673,MATCH(LARGE(FILTER(Y$4:Y1673,Y$4"&amp;":Y1673&lt;1000000000),1),Y$4:Y1673)),INDEX(F$4:F1673,MATCH(LARGE(FILTER(K$4:K1673,K$4:K1673&lt;1000000000),1),K$4:K1673)))),AND(K994&lt;1000000000,COUNTA(C994:C1673)&gt;0,P$3=FALSE),
ROUNDDOWN(INDEX(Y$4:Y1673,MATCH(LARGE(FILTER(W$4:W1673,W$4:W1673&lt;=I994),1),W$4:W1673"&amp;"))+(I994-LARGE(FILTER(W$4:W1673,W$4:W1673&lt;=I994),1))*INDEX(T$4:T1673,MATCH(LARGE(FILTER(W$4:W1673,W$4:W1673&lt;=I994),1),W$4:W1673))-K994),1,
ROUNDDOWN(Y994-INDEX(K$4:K1673,MATCH(LARGE(FILTER(I$4:I1673,I$4:I1673&lt;=W994),1),I$4:I1673))-(W994-LARGE(FILTER(I$4:I"&amp;"1673,I$4:I1673&lt;=W994),1))*INDEX(F$4:F1673,MATCH(LARGE(FILTER(I$4:I1673,I$4:I1673&lt;=W994),1),I$4:I1673))))"),"")</f>
        <v/>
      </c>
      <c r="N994" s="60" t="str">
        <f t="shared" si="8"/>
        <v/>
      </c>
      <c r="O994" s="61" t="str">
        <f t="shared" si="9"/>
        <v/>
      </c>
      <c r="P994" s="56" t="str">
        <f t="shared" si="10"/>
        <v/>
      </c>
      <c r="R994" s="10"/>
      <c r="S994" s="59" t="str">
        <f t="array" ref="S994">IF(COUNTA(Q994:Q1673)=0,"",SUM((COUNTIF(Q$4:Q994,Upgrades!$B$3:$B$13)-COUNTIF(Q$4:Q994,"Sell_"&amp;Upgrades!$B$3:$B$13))*Upgrades!$D$3:$D$13))</f>
        <v/>
      </c>
      <c r="T994" s="66" t="str">
        <f>IFERROR(__xludf.DUMMYFUNCTION("IF(COUNTA(Q994:Q1673)=0,"""",IF(REGEXMATCH(INDEX(FILTER(Q$4:Q994,Q$4:Q994&lt;&gt;""""),ROWS(FILTER(Q$4:Q994,Q$4:Q994&lt;&gt;""""))),""^Sell_""),INDEX(FILTER(T$4:T993,Q$4:Q993&lt;&gt;""""),ROWS(FILTER(Q$4:Q993,Q$4:Q993&lt;&gt;""""))),$AD$5+S994))"),"")</f>
        <v/>
      </c>
      <c r="U994" s="10" t="str">
        <f>IFERROR(__xludf.DUMMYFUNCTION("IF(COUNTA(Q994:Q1673)=0,"""",IF(Q994="""",0,IF(REGEXMATCH(Q994,""^Sell_""),-ROUNDDOWN(ROUNDUP(INDEX(Upgrades!$C$3:$C$13,MATCH(SUBSTITUTE(Q994,""Sell_"",""""),Upgrades!$B$3:$B$13,0))*1.15^(COUNTIF(Q$4:Q993,SUBSTITUTE(Q994,""Sell_"",""""))-COUNTIF(Q$4:Q993,"&amp;"""Sell_""&amp;SUBSTITUTE(Q994,""Sell_"",""""))))/2),ROUNDUP(INDEX(Upgrades!$C$3:$C$13,MATCH(Q994,Upgrades!$B$3:$B$13,0))*1.15^(COUNTIF(Q$4:Q993,Q994)-COUNTIF(Q$4:Q993,""Sell_""&amp;Q994))))))"),"")</f>
        <v/>
      </c>
      <c r="V994" s="10" t="str">
        <f t="shared" si="11"/>
        <v/>
      </c>
      <c r="W994" s="68" t="str">
        <f t="shared" si="12"/>
        <v/>
      </c>
      <c r="X994" s="59" t="str">
        <f t="shared" si="13"/>
        <v/>
      </c>
      <c r="Y994" s="69" t="str">
        <f t="shared" si="14"/>
        <v/>
      </c>
      <c r="Z994" s="11"/>
    </row>
    <row r="995">
      <c r="A995" s="8"/>
      <c r="B995" s="56" t="str">
        <f t="shared" si="2"/>
        <v/>
      </c>
      <c r="C995" s="105"/>
      <c r="D995" s="10"/>
      <c r="E995" s="59" t="str">
        <f t="array" ref="E995">IF(COUNTA(C995:C1673)=0,"",SUM((COUNTIF(C$4:C995,Upgrades!$B$3:$B$13)-COUNTIF(C$4:C995,"Sell_"&amp;Upgrades!$B$3:$B$13))*Upgrades!$D$3:$D$13))</f>
        <v/>
      </c>
      <c r="F995" s="66" t="str">
        <f>IFERROR(__xludf.DUMMYFUNCTION("IF(COUNTA(C995:C1673)=0,"""",IF(REGEXMATCH(INDEX(FILTER(C$4:C995,C$4:C995&lt;&gt;""""),ROWS(FILTER(C$4:C995,C$4:C995&lt;&gt;""""))),""^Sell_""),INDEX(FILTER(F$4:F994,C$4:C994&lt;&gt;""""),ROWS(FILTER(C$4:C994,C$4:C994&lt;&gt;""""))),$AC$5+E995))"),"")</f>
        <v/>
      </c>
      <c r="G995" s="10" t="str">
        <f>IFERROR(__xludf.DUMMYFUNCTION("IF(COUNTA(C995:C1673)=0,"""",IF(C995="""",0,IF(REGEXMATCH(C995,""^Sell_""),-ROUNDDOWN(ROUNDUP(INDEX(Upgrades!$C$3:$C$13,MATCH(SUBSTITUTE(C995,""Sell_"",""""),Upgrades!$B$3:$B$13,0))*1.15^(COUNTIF(C$4:C994,SUBSTITUTE(C995,""Sell_"",""""))-COUNTIF(C$4:C994,"&amp;"""Sell_""&amp;SUBSTITUTE(C995,""Sell_"",""""))))/2),ROUNDUP(INDEX(Upgrades!$C$3:$C$13,MATCH(C995,Upgrades!$B$3:$B$13,0))*1.15^(COUNTIF(C$4:C994,C995)-COUNTIF(C$4:C994,""Sell_""&amp;C995))))))"),"")</f>
        <v/>
      </c>
      <c r="H995" s="10" t="str">
        <f t="shared" si="3"/>
        <v/>
      </c>
      <c r="I995" s="68" t="str">
        <f t="shared" si="4"/>
        <v/>
      </c>
      <c r="J995" s="59" t="str">
        <f t="shared" si="5"/>
        <v/>
      </c>
      <c r="K995" s="69" t="str">
        <f t="shared" si="6"/>
        <v/>
      </c>
      <c r="L995" s="60" t="str">
        <f t="shared" si="7"/>
        <v/>
      </c>
      <c r="M995" s="61" t="str">
        <f>IFERROR(__xludf.DUMMYFUNCTION("IFS(AND(COUNTA(C995:C1673)=0,COUNTA(Q995:Q1673)=0),"""",OR(AND(K995&gt;=1000000000,OR(Y995&gt;=1000000000,COUNTA(Q995:Q1673)=0)),OR(Y995&gt;=1000000000,AND(COUNTA(C995:C1673)=0,P$3=TRUE))),
ROUNDDOWN((AB$1-AC$1)*MAX(INDEX(T$4:T1673,MATCH(LARGE(FILTER(Y$4:Y1673,Y$4"&amp;":Y1673&lt;1000000000),1),Y$4:Y1673)),INDEX(F$4:F1673,MATCH(LARGE(FILTER(K$4:K1673,K$4:K1673&lt;1000000000),1),K$4:K1673)))),AND(K995&lt;1000000000,COUNTA(C995:C1673)&gt;0,P$3=FALSE),
ROUNDDOWN(INDEX(Y$4:Y1673,MATCH(LARGE(FILTER(W$4:W1673,W$4:W1673&lt;=I995),1),W$4:W1673"&amp;"))+(I995-LARGE(FILTER(W$4:W1673,W$4:W1673&lt;=I995),1))*INDEX(T$4:T1673,MATCH(LARGE(FILTER(W$4:W1673,W$4:W1673&lt;=I995),1),W$4:W1673))-K995),1,
ROUNDDOWN(Y995-INDEX(K$4:K1673,MATCH(LARGE(FILTER(I$4:I1673,I$4:I1673&lt;=W995),1),I$4:I1673))-(W995-LARGE(FILTER(I$4:I"&amp;"1673,I$4:I1673&lt;=W995),1))*INDEX(F$4:F1673,MATCH(LARGE(FILTER(I$4:I1673,I$4:I1673&lt;=W995),1),I$4:I1673))))"),"")</f>
        <v/>
      </c>
      <c r="N995" s="60" t="str">
        <f t="shared" si="8"/>
        <v/>
      </c>
      <c r="O995" s="61" t="str">
        <f t="shared" si="9"/>
        <v/>
      </c>
      <c r="P995" s="56" t="str">
        <f t="shared" si="10"/>
        <v/>
      </c>
      <c r="R995" s="10"/>
      <c r="S995" s="59" t="str">
        <f t="array" ref="S995">IF(COUNTA(Q995:Q1673)=0,"",SUM((COUNTIF(Q$4:Q995,Upgrades!$B$3:$B$13)-COUNTIF(Q$4:Q995,"Sell_"&amp;Upgrades!$B$3:$B$13))*Upgrades!$D$3:$D$13))</f>
        <v/>
      </c>
      <c r="T995" s="66" t="str">
        <f>IFERROR(__xludf.DUMMYFUNCTION("IF(COUNTA(Q995:Q1673)=0,"""",IF(REGEXMATCH(INDEX(FILTER(Q$4:Q995,Q$4:Q995&lt;&gt;""""),ROWS(FILTER(Q$4:Q995,Q$4:Q995&lt;&gt;""""))),""^Sell_""),INDEX(FILTER(T$4:T994,Q$4:Q994&lt;&gt;""""),ROWS(FILTER(Q$4:Q994,Q$4:Q994&lt;&gt;""""))),$AD$5+S995))"),"")</f>
        <v/>
      </c>
      <c r="U995" s="10" t="str">
        <f>IFERROR(__xludf.DUMMYFUNCTION("IF(COUNTA(Q995:Q1673)=0,"""",IF(Q995="""",0,IF(REGEXMATCH(Q995,""^Sell_""),-ROUNDDOWN(ROUNDUP(INDEX(Upgrades!$C$3:$C$13,MATCH(SUBSTITUTE(Q995,""Sell_"",""""),Upgrades!$B$3:$B$13,0))*1.15^(COUNTIF(Q$4:Q994,SUBSTITUTE(Q995,""Sell_"",""""))-COUNTIF(Q$4:Q994,"&amp;"""Sell_""&amp;SUBSTITUTE(Q995,""Sell_"",""""))))/2),ROUNDUP(INDEX(Upgrades!$C$3:$C$13,MATCH(Q995,Upgrades!$B$3:$B$13,0))*1.15^(COUNTIF(Q$4:Q994,Q995)-COUNTIF(Q$4:Q994,""Sell_""&amp;Q995))))))"),"")</f>
        <v/>
      </c>
      <c r="V995" s="10" t="str">
        <f t="shared" si="11"/>
        <v/>
      </c>
      <c r="W995" s="68" t="str">
        <f t="shared" si="12"/>
        <v/>
      </c>
      <c r="X995" s="59" t="str">
        <f t="shared" si="13"/>
        <v/>
      </c>
      <c r="Y995" s="69" t="str">
        <f t="shared" si="14"/>
        <v/>
      </c>
      <c r="Z995" s="11"/>
    </row>
    <row r="996">
      <c r="A996" s="8"/>
      <c r="B996" s="56" t="str">
        <f t="shared" si="2"/>
        <v/>
      </c>
      <c r="C996" s="105"/>
      <c r="D996" s="10"/>
      <c r="E996" s="59" t="str">
        <f t="array" ref="E996">IF(COUNTA(C996:C1673)=0,"",SUM((COUNTIF(C$4:C996,Upgrades!$B$3:$B$13)-COUNTIF(C$4:C996,"Sell_"&amp;Upgrades!$B$3:$B$13))*Upgrades!$D$3:$D$13))</f>
        <v/>
      </c>
      <c r="F996" s="66" t="str">
        <f>IFERROR(__xludf.DUMMYFUNCTION("IF(COUNTA(C996:C1673)=0,"""",IF(REGEXMATCH(INDEX(FILTER(C$4:C996,C$4:C996&lt;&gt;""""),ROWS(FILTER(C$4:C996,C$4:C996&lt;&gt;""""))),""^Sell_""),INDEX(FILTER(F$4:F995,C$4:C995&lt;&gt;""""),ROWS(FILTER(C$4:C995,C$4:C995&lt;&gt;""""))),$AC$5+E996))"),"")</f>
        <v/>
      </c>
      <c r="G996" s="10" t="str">
        <f>IFERROR(__xludf.DUMMYFUNCTION("IF(COUNTA(C996:C1673)=0,"""",IF(C996="""",0,IF(REGEXMATCH(C996,""^Sell_""),-ROUNDDOWN(ROUNDUP(INDEX(Upgrades!$C$3:$C$13,MATCH(SUBSTITUTE(C996,""Sell_"",""""),Upgrades!$B$3:$B$13,0))*1.15^(COUNTIF(C$4:C995,SUBSTITUTE(C996,""Sell_"",""""))-COUNTIF(C$4:C995,"&amp;"""Sell_""&amp;SUBSTITUTE(C996,""Sell_"",""""))))/2),ROUNDUP(INDEX(Upgrades!$C$3:$C$13,MATCH(C996,Upgrades!$B$3:$B$13,0))*1.15^(COUNTIF(C$4:C995,C996)-COUNTIF(C$4:C995,""Sell_""&amp;C996))))))"),"")</f>
        <v/>
      </c>
      <c r="H996" s="10" t="str">
        <f t="shared" si="3"/>
        <v/>
      </c>
      <c r="I996" s="68" t="str">
        <f t="shared" si="4"/>
        <v/>
      </c>
      <c r="J996" s="59" t="str">
        <f t="shared" si="5"/>
        <v/>
      </c>
      <c r="K996" s="69" t="str">
        <f t="shared" si="6"/>
        <v/>
      </c>
      <c r="L996" s="60" t="str">
        <f t="shared" si="7"/>
        <v/>
      </c>
      <c r="M996" s="61" t="str">
        <f>IFERROR(__xludf.DUMMYFUNCTION("IFS(AND(COUNTA(C996:C1673)=0,COUNTA(Q996:Q1673)=0),"""",OR(AND(K996&gt;=1000000000,OR(Y996&gt;=1000000000,COUNTA(Q996:Q1673)=0)),OR(Y996&gt;=1000000000,AND(COUNTA(C996:C1673)=0,P$3=TRUE))),
ROUNDDOWN((AB$1-AC$1)*MAX(INDEX(T$4:T1673,MATCH(LARGE(FILTER(Y$4:Y1673,Y$4"&amp;":Y1673&lt;1000000000),1),Y$4:Y1673)),INDEX(F$4:F1673,MATCH(LARGE(FILTER(K$4:K1673,K$4:K1673&lt;1000000000),1),K$4:K1673)))),AND(K996&lt;1000000000,COUNTA(C996:C1673)&gt;0,P$3=FALSE),
ROUNDDOWN(INDEX(Y$4:Y1673,MATCH(LARGE(FILTER(W$4:W1673,W$4:W1673&lt;=I996),1),W$4:W1673"&amp;"))+(I996-LARGE(FILTER(W$4:W1673,W$4:W1673&lt;=I996),1))*INDEX(T$4:T1673,MATCH(LARGE(FILTER(W$4:W1673,W$4:W1673&lt;=I996),1),W$4:W1673))-K996),1,
ROUNDDOWN(Y996-INDEX(K$4:K1673,MATCH(LARGE(FILTER(I$4:I1673,I$4:I1673&lt;=W996),1),I$4:I1673))-(W996-LARGE(FILTER(I$4:I"&amp;"1673,I$4:I1673&lt;=W996),1))*INDEX(F$4:F1673,MATCH(LARGE(FILTER(I$4:I1673,I$4:I1673&lt;=W996),1),I$4:I1673))))"),"")</f>
        <v/>
      </c>
      <c r="N996" s="60" t="str">
        <f t="shared" si="8"/>
        <v/>
      </c>
      <c r="O996" s="61" t="str">
        <f t="shared" si="9"/>
        <v/>
      </c>
      <c r="P996" s="56" t="str">
        <f t="shared" si="10"/>
        <v/>
      </c>
      <c r="R996" s="10"/>
      <c r="S996" s="59" t="str">
        <f t="array" ref="S996">IF(COUNTA(Q996:Q1673)=0,"",SUM((COUNTIF(Q$4:Q996,Upgrades!$B$3:$B$13)-COUNTIF(Q$4:Q996,"Sell_"&amp;Upgrades!$B$3:$B$13))*Upgrades!$D$3:$D$13))</f>
        <v/>
      </c>
      <c r="T996" s="66" t="str">
        <f>IFERROR(__xludf.DUMMYFUNCTION("IF(COUNTA(Q996:Q1673)=0,"""",IF(REGEXMATCH(INDEX(FILTER(Q$4:Q996,Q$4:Q996&lt;&gt;""""),ROWS(FILTER(Q$4:Q996,Q$4:Q996&lt;&gt;""""))),""^Sell_""),INDEX(FILTER(T$4:T995,Q$4:Q995&lt;&gt;""""),ROWS(FILTER(Q$4:Q995,Q$4:Q995&lt;&gt;""""))),$AD$5+S996))"),"")</f>
        <v/>
      </c>
      <c r="U996" s="10" t="str">
        <f>IFERROR(__xludf.DUMMYFUNCTION("IF(COUNTA(Q996:Q1673)=0,"""",IF(Q996="""",0,IF(REGEXMATCH(Q996,""^Sell_""),-ROUNDDOWN(ROUNDUP(INDEX(Upgrades!$C$3:$C$13,MATCH(SUBSTITUTE(Q996,""Sell_"",""""),Upgrades!$B$3:$B$13,0))*1.15^(COUNTIF(Q$4:Q995,SUBSTITUTE(Q996,""Sell_"",""""))-COUNTIF(Q$4:Q995,"&amp;"""Sell_""&amp;SUBSTITUTE(Q996,""Sell_"",""""))))/2),ROUNDUP(INDEX(Upgrades!$C$3:$C$13,MATCH(Q996,Upgrades!$B$3:$B$13,0))*1.15^(COUNTIF(Q$4:Q995,Q996)-COUNTIF(Q$4:Q995,""Sell_""&amp;Q996))))))"),"")</f>
        <v/>
      </c>
      <c r="V996" s="10" t="str">
        <f t="shared" si="11"/>
        <v/>
      </c>
      <c r="W996" s="68" t="str">
        <f t="shared" si="12"/>
        <v/>
      </c>
      <c r="X996" s="59" t="str">
        <f t="shared" si="13"/>
        <v/>
      </c>
      <c r="Y996" s="69" t="str">
        <f t="shared" si="14"/>
        <v/>
      </c>
      <c r="Z996" s="11"/>
    </row>
    <row r="997">
      <c r="A997" s="8"/>
      <c r="B997" s="56" t="str">
        <f t="shared" si="2"/>
        <v/>
      </c>
      <c r="C997" s="105"/>
      <c r="D997" s="10"/>
      <c r="E997" s="59" t="str">
        <f t="array" ref="E997">IF(COUNTA(C997:C1673)=0,"",SUM((COUNTIF(C$4:C997,Upgrades!$B$3:$B$13)-COUNTIF(C$4:C997,"Sell_"&amp;Upgrades!$B$3:$B$13))*Upgrades!$D$3:$D$13))</f>
        <v/>
      </c>
      <c r="F997" s="66" t="str">
        <f>IFERROR(__xludf.DUMMYFUNCTION("IF(COUNTA(C997:C1673)=0,"""",IF(REGEXMATCH(INDEX(FILTER(C$4:C997,C$4:C997&lt;&gt;""""),ROWS(FILTER(C$4:C997,C$4:C997&lt;&gt;""""))),""^Sell_""),INDEX(FILTER(F$4:F996,C$4:C996&lt;&gt;""""),ROWS(FILTER(C$4:C996,C$4:C996&lt;&gt;""""))),$AC$5+E997))"),"")</f>
        <v/>
      </c>
      <c r="G997" s="10" t="str">
        <f>IFERROR(__xludf.DUMMYFUNCTION("IF(COUNTA(C997:C1673)=0,"""",IF(C997="""",0,IF(REGEXMATCH(C997,""^Sell_""),-ROUNDDOWN(ROUNDUP(INDEX(Upgrades!$C$3:$C$13,MATCH(SUBSTITUTE(C997,""Sell_"",""""),Upgrades!$B$3:$B$13,0))*1.15^(COUNTIF(C$4:C996,SUBSTITUTE(C997,""Sell_"",""""))-COUNTIF(C$4:C996,"&amp;"""Sell_""&amp;SUBSTITUTE(C997,""Sell_"",""""))))/2),ROUNDUP(INDEX(Upgrades!$C$3:$C$13,MATCH(C997,Upgrades!$B$3:$B$13,0))*1.15^(COUNTIF(C$4:C996,C997)-COUNTIF(C$4:C996,""Sell_""&amp;C997))))))"),"")</f>
        <v/>
      </c>
      <c r="H997" s="10" t="str">
        <f t="shared" si="3"/>
        <v/>
      </c>
      <c r="I997" s="68" t="str">
        <f t="shared" si="4"/>
        <v/>
      </c>
      <c r="J997" s="59" t="str">
        <f t="shared" si="5"/>
        <v/>
      </c>
      <c r="K997" s="69" t="str">
        <f t="shared" si="6"/>
        <v/>
      </c>
      <c r="L997" s="60" t="str">
        <f t="shared" si="7"/>
        <v/>
      </c>
      <c r="M997" s="61" t="str">
        <f>IFERROR(__xludf.DUMMYFUNCTION("IFS(AND(COUNTA(C997:C1673)=0,COUNTA(Q997:Q1673)=0),"""",OR(AND(K997&gt;=1000000000,OR(Y997&gt;=1000000000,COUNTA(Q997:Q1673)=0)),OR(Y997&gt;=1000000000,AND(COUNTA(C997:C1673)=0,P$3=TRUE))),
ROUNDDOWN((AB$1-AC$1)*MAX(INDEX(T$4:T1673,MATCH(LARGE(FILTER(Y$4:Y1673,Y$4"&amp;":Y1673&lt;1000000000),1),Y$4:Y1673)),INDEX(F$4:F1673,MATCH(LARGE(FILTER(K$4:K1673,K$4:K1673&lt;1000000000),1),K$4:K1673)))),AND(K997&lt;1000000000,COUNTA(C997:C1673)&gt;0,P$3=FALSE),
ROUNDDOWN(INDEX(Y$4:Y1673,MATCH(LARGE(FILTER(W$4:W1673,W$4:W1673&lt;=I997),1),W$4:W1673"&amp;"))+(I997-LARGE(FILTER(W$4:W1673,W$4:W1673&lt;=I997),1))*INDEX(T$4:T1673,MATCH(LARGE(FILTER(W$4:W1673,W$4:W1673&lt;=I997),1),W$4:W1673))-K997),1,
ROUNDDOWN(Y997-INDEX(K$4:K1673,MATCH(LARGE(FILTER(I$4:I1673,I$4:I1673&lt;=W997),1),I$4:I1673))-(W997-LARGE(FILTER(I$4:I"&amp;"1673,I$4:I1673&lt;=W997),1))*INDEX(F$4:F1673,MATCH(LARGE(FILTER(I$4:I1673,I$4:I1673&lt;=W997),1),I$4:I1673))))"),"")</f>
        <v/>
      </c>
      <c r="N997" s="60" t="str">
        <f t="shared" si="8"/>
        <v/>
      </c>
      <c r="O997" s="61" t="str">
        <f t="shared" si="9"/>
        <v/>
      </c>
      <c r="P997" s="56" t="str">
        <f t="shared" si="10"/>
        <v/>
      </c>
      <c r="R997" s="10"/>
      <c r="S997" s="59" t="str">
        <f t="array" ref="S997">IF(COUNTA(Q997:Q1673)=0,"",SUM((COUNTIF(Q$4:Q997,Upgrades!$B$3:$B$13)-COUNTIF(Q$4:Q997,"Sell_"&amp;Upgrades!$B$3:$B$13))*Upgrades!$D$3:$D$13))</f>
        <v/>
      </c>
      <c r="T997" s="66" t="str">
        <f>IFERROR(__xludf.DUMMYFUNCTION("IF(COUNTA(Q997:Q1673)=0,"""",IF(REGEXMATCH(INDEX(FILTER(Q$4:Q997,Q$4:Q997&lt;&gt;""""),ROWS(FILTER(Q$4:Q997,Q$4:Q997&lt;&gt;""""))),""^Sell_""),INDEX(FILTER(T$4:T996,Q$4:Q996&lt;&gt;""""),ROWS(FILTER(Q$4:Q996,Q$4:Q996&lt;&gt;""""))),$AD$5+S997))"),"")</f>
        <v/>
      </c>
      <c r="U997" s="10" t="str">
        <f>IFERROR(__xludf.DUMMYFUNCTION("IF(COUNTA(Q997:Q1673)=0,"""",IF(Q997="""",0,IF(REGEXMATCH(Q997,""^Sell_""),-ROUNDDOWN(ROUNDUP(INDEX(Upgrades!$C$3:$C$13,MATCH(SUBSTITUTE(Q997,""Sell_"",""""),Upgrades!$B$3:$B$13,0))*1.15^(COUNTIF(Q$4:Q996,SUBSTITUTE(Q997,""Sell_"",""""))-COUNTIF(Q$4:Q996,"&amp;"""Sell_""&amp;SUBSTITUTE(Q997,""Sell_"",""""))))/2),ROUNDUP(INDEX(Upgrades!$C$3:$C$13,MATCH(Q997,Upgrades!$B$3:$B$13,0))*1.15^(COUNTIF(Q$4:Q996,Q997)-COUNTIF(Q$4:Q996,""Sell_""&amp;Q997))))))"),"")</f>
        <v/>
      </c>
      <c r="V997" s="10" t="str">
        <f t="shared" si="11"/>
        <v/>
      </c>
      <c r="W997" s="68" t="str">
        <f t="shared" si="12"/>
        <v/>
      </c>
      <c r="X997" s="59" t="str">
        <f t="shared" si="13"/>
        <v/>
      </c>
      <c r="Y997" s="69" t="str">
        <f t="shared" si="14"/>
        <v/>
      </c>
      <c r="Z997" s="11"/>
    </row>
    <row r="998">
      <c r="A998" s="8"/>
      <c r="B998" s="56" t="str">
        <f t="shared" si="2"/>
        <v/>
      </c>
      <c r="C998" s="105"/>
      <c r="D998" s="10"/>
      <c r="E998" s="59" t="str">
        <f t="array" ref="E998">IF(COUNTA(C998:C1673)=0,"",SUM((COUNTIF(C$4:C998,Upgrades!$B$3:$B$13)-COUNTIF(C$4:C998,"Sell_"&amp;Upgrades!$B$3:$B$13))*Upgrades!$D$3:$D$13))</f>
        <v/>
      </c>
      <c r="F998" s="66" t="str">
        <f>IFERROR(__xludf.DUMMYFUNCTION("IF(COUNTA(C998:C1673)=0,"""",IF(REGEXMATCH(INDEX(FILTER(C$4:C998,C$4:C998&lt;&gt;""""),ROWS(FILTER(C$4:C998,C$4:C998&lt;&gt;""""))),""^Sell_""),INDEX(FILTER(F$4:F997,C$4:C997&lt;&gt;""""),ROWS(FILTER(C$4:C997,C$4:C997&lt;&gt;""""))),$AC$5+E998))"),"")</f>
        <v/>
      </c>
      <c r="G998" s="10" t="str">
        <f>IFERROR(__xludf.DUMMYFUNCTION("IF(COUNTA(C998:C1673)=0,"""",IF(C998="""",0,IF(REGEXMATCH(C998,""^Sell_""),-ROUNDDOWN(ROUNDUP(INDEX(Upgrades!$C$3:$C$13,MATCH(SUBSTITUTE(C998,""Sell_"",""""),Upgrades!$B$3:$B$13,0))*1.15^(COUNTIF(C$4:C997,SUBSTITUTE(C998,""Sell_"",""""))-COUNTIF(C$4:C997,"&amp;"""Sell_""&amp;SUBSTITUTE(C998,""Sell_"",""""))))/2),ROUNDUP(INDEX(Upgrades!$C$3:$C$13,MATCH(C998,Upgrades!$B$3:$B$13,0))*1.15^(COUNTIF(C$4:C997,C998)-COUNTIF(C$4:C997,""Sell_""&amp;C998))))))"),"")</f>
        <v/>
      </c>
      <c r="H998" s="10" t="str">
        <f t="shared" si="3"/>
        <v/>
      </c>
      <c r="I998" s="68" t="str">
        <f t="shared" si="4"/>
        <v/>
      </c>
      <c r="J998" s="59" t="str">
        <f t="shared" si="5"/>
        <v/>
      </c>
      <c r="K998" s="69" t="str">
        <f t="shared" si="6"/>
        <v/>
      </c>
      <c r="L998" s="60" t="str">
        <f t="shared" si="7"/>
        <v/>
      </c>
      <c r="M998" s="61" t="str">
        <f>IFERROR(__xludf.DUMMYFUNCTION("IFS(AND(COUNTA(C998:C1673)=0,COUNTA(Q998:Q1673)=0),"""",OR(AND(K998&gt;=1000000000,OR(Y998&gt;=1000000000,COUNTA(Q998:Q1673)=0)),OR(Y998&gt;=1000000000,AND(COUNTA(C998:C1673)=0,P$3=TRUE))),
ROUNDDOWN((AB$1-AC$1)*MAX(INDEX(T$4:T1673,MATCH(LARGE(FILTER(Y$4:Y1673,Y$4"&amp;":Y1673&lt;1000000000),1),Y$4:Y1673)),INDEX(F$4:F1673,MATCH(LARGE(FILTER(K$4:K1673,K$4:K1673&lt;1000000000),1),K$4:K1673)))),AND(K998&lt;1000000000,COUNTA(C998:C1673)&gt;0,P$3=FALSE),
ROUNDDOWN(INDEX(Y$4:Y1673,MATCH(LARGE(FILTER(W$4:W1673,W$4:W1673&lt;=I998),1),W$4:W1673"&amp;"))+(I998-LARGE(FILTER(W$4:W1673,W$4:W1673&lt;=I998),1))*INDEX(T$4:T1673,MATCH(LARGE(FILTER(W$4:W1673,W$4:W1673&lt;=I998),1),W$4:W1673))-K998),1,
ROUNDDOWN(Y998-INDEX(K$4:K1673,MATCH(LARGE(FILTER(I$4:I1673,I$4:I1673&lt;=W998),1),I$4:I1673))-(W998-LARGE(FILTER(I$4:I"&amp;"1673,I$4:I1673&lt;=W998),1))*INDEX(F$4:F1673,MATCH(LARGE(FILTER(I$4:I1673,I$4:I1673&lt;=W998),1),I$4:I1673))))"),"")</f>
        <v/>
      </c>
      <c r="N998" s="60" t="str">
        <f t="shared" si="8"/>
        <v/>
      </c>
      <c r="O998" s="61" t="str">
        <f t="shared" si="9"/>
        <v/>
      </c>
      <c r="P998" s="56" t="str">
        <f t="shared" si="10"/>
        <v/>
      </c>
      <c r="R998" s="10"/>
      <c r="S998" s="59" t="str">
        <f t="array" ref="S998">IF(COUNTA(Q998:Q1673)=0,"",SUM((COUNTIF(Q$4:Q998,Upgrades!$B$3:$B$13)-COUNTIF(Q$4:Q998,"Sell_"&amp;Upgrades!$B$3:$B$13))*Upgrades!$D$3:$D$13))</f>
        <v/>
      </c>
      <c r="T998" s="66" t="str">
        <f>IFERROR(__xludf.DUMMYFUNCTION("IF(COUNTA(Q998:Q1673)=0,"""",IF(REGEXMATCH(INDEX(FILTER(Q$4:Q998,Q$4:Q998&lt;&gt;""""),ROWS(FILTER(Q$4:Q998,Q$4:Q998&lt;&gt;""""))),""^Sell_""),INDEX(FILTER(T$4:T997,Q$4:Q997&lt;&gt;""""),ROWS(FILTER(Q$4:Q997,Q$4:Q997&lt;&gt;""""))),$AD$5+S998))"),"")</f>
        <v/>
      </c>
      <c r="U998" s="10" t="str">
        <f>IFERROR(__xludf.DUMMYFUNCTION("IF(COUNTA(Q998:Q1673)=0,"""",IF(Q998="""",0,IF(REGEXMATCH(Q998,""^Sell_""),-ROUNDDOWN(ROUNDUP(INDEX(Upgrades!$C$3:$C$13,MATCH(SUBSTITUTE(Q998,""Sell_"",""""),Upgrades!$B$3:$B$13,0))*1.15^(COUNTIF(Q$4:Q997,SUBSTITUTE(Q998,""Sell_"",""""))-COUNTIF(Q$4:Q997,"&amp;"""Sell_""&amp;SUBSTITUTE(Q998,""Sell_"",""""))))/2),ROUNDUP(INDEX(Upgrades!$C$3:$C$13,MATCH(Q998,Upgrades!$B$3:$B$13,0))*1.15^(COUNTIF(Q$4:Q997,Q998)-COUNTIF(Q$4:Q997,""Sell_""&amp;Q998))))))"),"")</f>
        <v/>
      </c>
      <c r="V998" s="10" t="str">
        <f t="shared" si="11"/>
        <v/>
      </c>
      <c r="W998" s="68" t="str">
        <f t="shared" si="12"/>
        <v/>
      </c>
      <c r="X998" s="59" t="str">
        <f t="shared" si="13"/>
        <v/>
      </c>
      <c r="Y998" s="69" t="str">
        <f t="shared" si="14"/>
        <v/>
      </c>
      <c r="Z998" s="11"/>
    </row>
    <row r="999">
      <c r="A999" s="8"/>
      <c r="B999" s="56" t="str">
        <f t="shared" si="2"/>
        <v/>
      </c>
      <c r="C999" s="105"/>
      <c r="D999" s="10"/>
      <c r="E999" s="59" t="str">
        <f t="array" ref="E999">IF(COUNTA(C999:C1673)=0,"",SUM((COUNTIF(C$4:C999,Upgrades!$B$3:$B$13)-COUNTIF(C$4:C999,"Sell_"&amp;Upgrades!$B$3:$B$13))*Upgrades!$D$3:$D$13))</f>
        <v/>
      </c>
      <c r="F999" s="66" t="str">
        <f>IFERROR(__xludf.DUMMYFUNCTION("IF(COUNTA(C999:C1673)=0,"""",IF(REGEXMATCH(INDEX(FILTER(C$4:C999,C$4:C999&lt;&gt;""""),ROWS(FILTER(C$4:C999,C$4:C999&lt;&gt;""""))),""^Sell_""),INDEX(FILTER(F$4:F998,C$4:C998&lt;&gt;""""),ROWS(FILTER(C$4:C998,C$4:C998&lt;&gt;""""))),$AC$5+E999))"),"")</f>
        <v/>
      </c>
      <c r="G999" s="10" t="str">
        <f>IFERROR(__xludf.DUMMYFUNCTION("IF(COUNTA(C999:C1673)=0,"""",IF(C999="""",0,IF(REGEXMATCH(C999,""^Sell_""),-ROUNDDOWN(ROUNDUP(INDEX(Upgrades!$C$3:$C$13,MATCH(SUBSTITUTE(C999,""Sell_"",""""),Upgrades!$B$3:$B$13,0))*1.15^(COUNTIF(C$4:C998,SUBSTITUTE(C999,""Sell_"",""""))-COUNTIF(C$4:C998,"&amp;"""Sell_""&amp;SUBSTITUTE(C999,""Sell_"",""""))))/2),ROUNDUP(INDEX(Upgrades!$C$3:$C$13,MATCH(C999,Upgrades!$B$3:$B$13,0))*1.15^(COUNTIF(C$4:C998,C999)-COUNTIF(C$4:C998,""Sell_""&amp;C999))))))"),"")</f>
        <v/>
      </c>
      <c r="H999" s="10" t="str">
        <f t="shared" si="3"/>
        <v/>
      </c>
      <c r="I999" s="68" t="str">
        <f t="shared" si="4"/>
        <v/>
      </c>
      <c r="J999" s="59" t="str">
        <f t="shared" si="5"/>
        <v/>
      </c>
      <c r="K999" s="69" t="str">
        <f t="shared" si="6"/>
        <v/>
      </c>
      <c r="L999" s="60" t="str">
        <f t="shared" si="7"/>
        <v/>
      </c>
      <c r="M999" s="61" t="str">
        <f>IFERROR(__xludf.DUMMYFUNCTION("IFS(AND(COUNTA(C999:C1673)=0,COUNTA(Q999:Q1673)=0),"""",OR(AND(K999&gt;=1000000000,OR(Y999&gt;=1000000000,COUNTA(Q999:Q1673)=0)),OR(Y999&gt;=1000000000,AND(COUNTA(C999:C1673)=0,P$3=TRUE))),
ROUNDDOWN((AB$1-AC$1)*MAX(INDEX(T$4:T1673,MATCH(LARGE(FILTER(Y$4:Y1673,Y$4"&amp;":Y1673&lt;1000000000),1),Y$4:Y1673)),INDEX(F$4:F1673,MATCH(LARGE(FILTER(K$4:K1673,K$4:K1673&lt;1000000000),1),K$4:K1673)))),AND(K999&lt;1000000000,COUNTA(C999:C1673)&gt;0,P$3=FALSE),
ROUNDDOWN(INDEX(Y$4:Y1673,MATCH(LARGE(FILTER(W$4:W1673,W$4:W1673&lt;=I999),1),W$4:W1673"&amp;"))+(I999-LARGE(FILTER(W$4:W1673,W$4:W1673&lt;=I999),1))*INDEX(T$4:T1673,MATCH(LARGE(FILTER(W$4:W1673,W$4:W1673&lt;=I999),1),W$4:W1673))-K999),1,
ROUNDDOWN(Y999-INDEX(K$4:K1673,MATCH(LARGE(FILTER(I$4:I1673,I$4:I1673&lt;=W999),1),I$4:I1673))-(W999-LARGE(FILTER(I$4:I"&amp;"1673,I$4:I1673&lt;=W999),1))*INDEX(F$4:F1673,MATCH(LARGE(FILTER(I$4:I1673,I$4:I1673&lt;=W999),1),I$4:I1673))))"),"")</f>
        <v/>
      </c>
      <c r="N999" s="60" t="str">
        <f t="shared" si="8"/>
        <v/>
      </c>
      <c r="O999" s="61" t="str">
        <f t="shared" si="9"/>
        <v/>
      </c>
      <c r="P999" s="56" t="str">
        <f t="shared" si="10"/>
        <v/>
      </c>
      <c r="R999" s="10"/>
      <c r="S999" s="59" t="str">
        <f t="array" ref="S999">IF(COUNTA(Q999:Q1673)=0,"",SUM((COUNTIF(Q$4:Q999,Upgrades!$B$3:$B$13)-COUNTIF(Q$4:Q999,"Sell_"&amp;Upgrades!$B$3:$B$13))*Upgrades!$D$3:$D$13))</f>
        <v/>
      </c>
      <c r="T999" s="66" t="str">
        <f>IFERROR(__xludf.DUMMYFUNCTION("IF(COUNTA(Q999:Q1673)=0,"""",IF(REGEXMATCH(INDEX(FILTER(Q$4:Q999,Q$4:Q999&lt;&gt;""""),ROWS(FILTER(Q$4:Q999,Q$4:Q999&lt;&gt;""""))),""^Sell_""),INDEX(FILTER(T$4:T998,Q$4:Q998&lt;&gt;""""),ROWS(FILTER(Q$4:Q998,Q$4:Q998&lt;&gt;""""))),$AD$5+S999))"),"")</f>
        <v/>
      </c>
      <c r="U999" s="10" t="str">
        <f>IFERROR(__xludf.DUMMYFUNCTION("IF(COUNTA(Q999:Q1673)=0,"""",IF(Q999="""",0,IF(REGEXMATCH(Q999,""^Sell_""),-ROUNDDOWN(ROUNDUP(INDEX(Upgrades!$C$3:$C$13,MATCH(SUBSTITUTE(Q999,""Sell_"",""""),Upgrades!$B$3:$B$13,0))*1.15^(COUNTIF(Q$4:Q998,SUBSTITUTE(Q999,""Sell_"",""""))-COUNTIF(Q$4:Q998,"&amp;"""Sell_""&amp;SUBSTITUTE(Q999,""Sell_"",""""))))/2),ROUNDUP(INDEX(Upgrades!$C$3:$C$13,MATCH(Q999,Upgrades!$B$3:$B$13,0))*1.15^(COUNTIF(Q$4:Q998,Q999)-COUNTIF(Q$4:Q998,""Sell_""&amp;Q999))))))"),"")</f>
        <v/>
      </c>
      <c r="V999" s="10" t="str">
        <f t="shared" si="11"/>
        <v/>
      </c>
      <c r="W999" s="68" t="str">
        <f t="shared" si="12"/>
        <v/>
      </c>
      <c r="X999" s="59" t="str">
        <f t="shared" si="13"/>
        <v/>
      </c>
      <c r="Y999" s="69" t="str">
        <f t="shared" si="14"/>
        <v/>
      </c>
      <c r="Z999" s="11"/>
    </row>
    <row r="1000">
      <c r="A1000" s="8"/>
      <c r="B1000" s="56" t="str">
        <f t="shared" si="2"/>
        <v/>
      </c>
      <c r="C1000" s="105"/>
      <c r="D1000" s="10"/>
      <c r="E1000" s="59" t="str">
        <f t="array" ref="E1000">IF(COUNTA(C1000:C1673)=0,"",SUM((COUNTIF(C$4:C1000,Upgrades!$B$3:$B$13)-COUNTIF(C$4:C1000,"Sell_"&amp;Upgrades!$B$3:$B$13))*Upgrades!$D$3:$D$13))</f>
        <v/>
      </c>
      <c r="F1000" s="66" t="str">
        <f>IFERROR(__xludf.DUMMYFUNCTION("IF(COUNTA(C1000:C1673)=0,"""",IF(REGEXMATCH(INDEX(FILTER(C$4:C1000,C$4:C1000&lt;&gt;""""),ROWS(FILTER(C$4:C1000,C$4:C1000&lt;&gt;""""))),""^Sell_""),INDEX(FILTER(F$4:F999,C$4:C999&lt;&gt;""""),ROWS(FILTER(C$4:C999,C$4:C999&lt;&gt;""""))),$AC$5+E1000))"),"")</f>
        <v/>
      </c>
      <c r="G1000" s="10" t="str">
        <f>IFERROR(__xludf.DUMMYFUNCTION("IF(COUNTA(C1000:C1673)=0,"""",IF(C1000="""",0,IF(REGEXMATCH(C1000,""^Sell_""),-ROUNDDOWN(ROUNDUP(INDEX(Upgrades!$C$3:$C$13,MATCH(SUBSTITUTE(C1000,""Sell_"",""""),Upgrades!$B$3:$B$13,0))*1.15^(COUNTIF(C$4:C999,SUBSTITUTE(C1000,""Sell_"",""""))-COUNTIF(C$4:"&amp;"C999,""Sell_""&amp;SUBSTITUTE(C1000,""Sell_"",""""))))/2),ROUNDUP(INDEX(Upgrades!$C$3:$C$13,MATCH(C1000,Upgrades!$B$3:$B$13,0))*1.15^(COUNTIF(C$4:C999,C1000)-COUNTIF(C$4:C999,""Sell_""&amp;C1000))))))"),"")</f>
        <v/>
      </c>
      <c r="H1000" s="10" t="str">
        <f t="shared" si="3"/>
        <v/>
      </c>
      <c r="I1000" s="68" t="str">
        <f t="shared" si="4"/>
        <v/>
      </c>
      <c r="J1000" s="59" t="str">
        <f t="shared" si="5"/>
        <v/>
      </c>
      <c r="K1000" s="69" t="str">
        <f t="shared" si="6"/>
        <v/>
      </c>
      <c r="L1000" s="60" t="str">
        <f t="shared" si="7"/>
        <v/>
      </c>
      <c r="M1000" s="61" t="str">
        <f>IFERROR(__xludf.DUMMYFUNCTION("IFS(AND(COUNTA(C1000:C1673)=0,COUNTA(Q1000:Q1673)=0),"""",OR(AND(K1000&gt;=1000000000,OR(Y1000&gt;=1000000000,COUNTA(Q1000:Q1673)=0)),OR(Y1000&gt;=1000000000,AND(COUNTA(C1000:C1673)=0,P$3=TRUE))),
ROUNDDOWN((AB$1-AC$1)*MAX(INDEX(T$4:T1673,MATCH(LARGE(FILTER(Y$4:Y1"&amp;"673,Y$4:Y1673&lt;1000000000),1),Y$4:Y1673)),INDEX(F$4:F1673,MATCH(LARGE(FILTER(K$4:K1673,K$4:K1673&lt;1000000000),1),K$4:K1673)))),AND(K1000&lt;1000000000,COUNTA(C1000:C1673)&gt;0,P$3=FALSE),
ROUNDDOWN(INDEX(Y$4:Y1673,MATCH(LARGE(FILTER(W$4:W1673,W$4:W1673&lt;=I1000),1)"&amp;",W$4:W1673))+(I1000-LARGE(FILTER(W$4:W1673,W$4:W1673&lt;=I1000),1))*INDEX(T$4:T1673,MATCH(LARGE(FILTER(W$4:W1673,W$4:W1673&lt;=I1000),1),W$4:W1673))-K1000),1,
ROUNDDOWN(Y1000-INDEX(K$4:K1673,MATCH(LARGE(FILTER(I$4:I1673,I$4:I1673&lt;=W1000),1),I$4:I1673))-(W1000-L"&amp;"ARGE(FILTER(I$4:I1673,I$4:I1673&lt;=W1000),1))*INDEX(F$4:F1673,MATCH(LARGE(FILTER(I$4:I1673,I$4:I1673&lt;=W1000),1),I$4:I1673))))"),"")</f>
        <v/>
      </c>
      <c r="N1000" s="60" t="str">
        <f t="shared" si="8"/>
        <v/>
      </c>
      <c r="O1000" s="61" t="str">
        <f t="shared" si="9"/>
        <v/>
      </c>
      <c r="P1000" s="56" t="str">
        <f t="shared" si="10"/>
        <v/>
      </c>
      <c r="R1000" s="10"/>
      <c r="S1000" s="59" t="str">
        <f t="array" ref="S1000">IF(COUNTA(Q1000:Q1673)=0,"",SUM((COUNTIF(Q$4:Q1000,Upgrades!$B$3:$B$13)-COUNTIF(Q$4:Q1000,"Sell_"&amp;Upgrades!$B$3:$B$13))*Upgrades!$D$3:$D$13))</f>
        <v/>
      </c>
      <c r="T1000" s="66" t="str">
        <f>IFERROR(__xludf.DUMMYFUNCTION("IF(COUNTA(Q1000:Q1673)=0,"""",IF(REGEXMATCH(INDEX(FILTER(Q$4:Q1000,Q$4:Q1000&lt;&gt;""""),ROWS(FILTER(Q$4:Q1000,Q$4:Q1000&lt;&gt;""""))),""^Sell_""),INDEX(FILTER(T$4:T999,Q$4:Q999&lt;&gt;""""),ROWS(FILTER(Q$4:Q999,Q$4:Q999&lt;&gt;""""))),$AD$5+S1000))"),"")</f>
        <v/>
      </c>
      <c r="U1000" s="10" t="str">
        <f>IFERROR(__xludf.DUMMYFUNCTION("IF(COUNTA(Q1000:Q1673)=0,"""",IF(Q1000="""",0,IF(REGEXMATCH(Q1000,""^Sell_""),-ROUNDDOWN(ROUNDUP(INDEX(Upgrades!$C$3:$C$13,MATCH(SUBSTITUTE(Q1000,""Sell_"",""""),Upgrades!$B$3:$B$13,0))*1.15^(COUNTIF(Q$4:Q999,SUBSTITUTE(Q1000,""Sell_"",""""))-COUNTIF(Q$4:"&amp;"Q999,""Sell_""&amp;SUBSTITUTE(Q1000,""Sell_"",""""))))/2),ROUNDUP(INDEX(Upgrades!$C$3:$C$13,MATCH(Q1000,Upgrades!$B$3:$B$13,0))*1.15^(COUNTIF(Q$4:Q999,Q1000)-COUNTIF(Q$4:Q999,""Sell_""&amp;Q1000))))))"),"")</f>
        <v/>
      </c>
      <c r="V1000" s="10" t="str">
        <f t="shared" si="11"/>
        <v/>
      </c>
      <c r="W1000" s="68" t="str">
        <f t="shared" si="12"/>
        <v/>
      </c>
      <c r="X1000" s="59" t="str">
        <f t="shared" si="13"/>
        <v/>
      </c>
      <c r="Y1000" s="69" t="str">
        <f t="shared" si="14"/>
        <v/>
      </c>
      <c r="Z1000" s="11"/>
    </row>
    <row r="1001">
      <c r="A1001" s="8"/>
      <c r="B1001" s="56" t="str">
        <f t="shared" si="2"/>
        <v/>
      </c>
      <c r="C1001" s="105"/>
      <c r="D1001" s="10"/>
      <c r="E1001" s="59" t="str">
        <f t="array" ref="E1001">IF(COUNTA(C1001:C1673)=0,"",SUM((COUNTIF(C$4:C1001,Upgrades!$B$3:$B$13)-COUNTIF(C$4:C1001,"Sell_"&amp;Upgrades!$B$3:$B$13))*Upgrades!$D$3:$D$13))</f>
        <v/>
      </c>
      <c r="F1001" s="66" t="str">
        <f>IFERROR(__xludf.DUMMYFUNCTION("IF(COUNTA(C1001:C1673)=0,"""",IF(REGEXMATCH(INDEX(FILTER(C$4:C1001,C$4:C1001&lt;&gt;""""),ROWS(FILTER(C$4:C1001,C$4:C1001&lt;&gt;""""))),""^Sell_""),INDEX(FILTER(F$4:F1000,C$4:C1000&lt;&gt;""""),ROWS(FILTER(C$4:C1000,C$4:C1000&lt;&gt;""""))),$AC$5+E1001))"),"")</f>
        <v/>
      </c>
      <c r="G1001" s="10" t="str">
        <f>IFERROR(__xludf.DUMMYFUNCTION("IF(COUNTA(C1001:C1673)=0,"""",IF(C1001="""",0,IF(REGEXMATCH(C1001,""^Sell_""),-ROUNDDOWN(ROUNDUP(INDEX(Upgrades!$C$3:$C$13,MATCH(SUBSTITUTE(C1001,""Sell_"",""""),Upgrades!$B$3:$B$13,0))*1.15^(COUNTIF(C$4:C1000,SUBSTITUTE(C1001,""Sell_"",""""))-COUNTIF(C$4"&amp;":C1000,""Sell_""&amp;SUBSTITUTE(C1001,""Sell_"",""""))))/2),ROUNDUP(INDEX(Upgrades!$C$3:$C$13,MATCH(C1001,Upgrades!$B$3:$B$13,0))*1.15^(COUNTIF(C$4:C1000,C1001)-COUNTIF(C$4:C1000,""Sell_""&amp;C1001))))))"),"")</f>
        <v/>
      </c>
      <c r="H1001" s="10" t="str">
        <f t="shared" si="3"/>
        <v/>
      </c>
      <c r="I1001" s="68" t="str">
        <f t="shared" si="4"/>
        <v/>
      </c>
      <c r="J1001" s="59" t="str">
        <f t="shared" si="5"/>
        <v/>
      </c>
      <c r="K1001" s="69" t="str">
        <f t="shared" si="6"/>
        <v/>
      </c>
      <c r="L1001" s="60" t="str">
        <f t="shared" si="7"/>
        <v/>
      </c>
      <c r="M1001" s="61" t="str">
        <f>IFERROR(__xludf.DUMMYFUNCTION("IFS(AND(COUNTA(C1001:C1673)=0,COUNTA(Q1001:Q1673)=0),"""",OR(AND(K1001&gt;=1000000000,OR(Y1001&gt;=1000000000,COUNTA(Q1001:Q1673)=0)),OR(Y1001&gt;=1000000000,AND(COUNTA(C1001:C1673)=0,P$3=TRUE))),
ROUNDDOWN((AB$1-AC$1)*MAX(INDEX(T$4:T1673,MATCH(LARGE(FILTER(Y$4:Y1"&amp;"673,Y$4:Y1673&lt;1000000000),1),Y$4:Y1673)),INDEX(F$4:F1673,MATCH(LARGE(FILTER(K$4:K1673,K$4:K1673&lt;1000000000),1),K$4:K1673)))),AND(K1001&lt;1000000000,COUNTA(C1001:C1673)&gt;0,P$3=FALSE),
ROUNDDOWN(INDEX(Y$4:Y1673,MATCH(LARGE(FILTER(W$4:W1673,W$4:W1673&lt;=I1001),1)"&amp;",W$4:W1673))+(I1001-LARGE(FILTER(W$4:W1673,W$4:W1673&lt;=I1001),1))*INDEX(T$4:T1673,MATCH(LARGE(FILTER(W$4:W1673,W$4:W1673&lt;=I1001),1),W$4:W1673))-K1001),1,
ROUNDDOWN(Y1001-INDEX(K$4:K1673,MATCH(LARGE(FILTER(I$4:I1673,I$4:I1673&lt;=W1001),1),I$4:I1673))-(W1001-L"&amp;"ARGE(FILTER(I$4:I1673,I$4:I1673&lt;=W1001),1))*INDEX(F$4:F1673,MATCH(LARGE(FILTER(I$4:I1673,I$4:I1673&lt;=W1001),1),I$4:I1673))))"),"")</f>
        <v/>
      </c>
      <c r="N1001" s="60" t="str">
        <f t="shared" si="8"/>
        <v/>
      </c>
      <c r="O1001" s="61" t="str">
        <f t="shared" si="9"/>
        <v/>
      </c>
      <c r="P1001" s="56" t="str">
        <f t="shared" si="10"/>
        <v/>
      </c>
      <c r="R1001" s="10"/>
      <c r="S1001" s="59" t="str">
        <f t="array" ref="S1001">IF(COUNTA(Q1001:Q1673)=0,"",SUM((COUNTIF(Q$4:Q1001,Upgrades!$B$3:$B$13)-COUNTIF(Q$4:Q1001,"Sell_"&amp;Upgrades!$B$3:$B$13))*Upgrades!$D$3:$D$13))</f>
        <v/>
      </c>
      <c r="T1001" s="66" t="str">
        <f>IFERROR(__xludf.DUMMYFUNCTION("IF(COUNTA(Q1001:Q1673)=0,"""",IF(REGEXMATCH(INDEX(FILTER(Q$4:Q1001,Q$4:Q1001&lt;&gt;""""),ROWS(FILTER(Q$4:Q1001,Q$4:Q1001&lt;&gt;""""))),""^Sell_""),INDEX(FILTER(T$4:T1000,Q$4:Q1000&lt;&gt;""""),ROWS(FILTER(Q$4:Q1000,Q$4:Q1000&lt;&gt;""""))),$AD$5+S1001))"),"")</f>
        <v/>
      </c>
      <c r="U1001" s="10" t="str">
        <f>IFERROR(__xludf.DUMMYFUNCTION("IF(COUNTA(Q1001:Q1673)=0,"""",IF(Q1001="""",0,IF(REGEXMATCH(Q1001,""^Sell_""),-ROUNDDOWN(ROUNDUP(INDEX(Upgrades!$C$3:$C$13,MATCH(SUBSTITUTE(Q1001,""Sell_"",""""),Upgrades!$B$3:$B$13,0))*1.15^(COUNTIF(Q$4:Q1000,SUBSTITUTE(Q1001,""Sell_"",""""))-COUNTIF(Q$4"&amp;":Q1000,""Sell_""&amp;SUBSTITUTE(Q1001,""Sell_"",""""))))/2),ROUNDUP(INDEX(Upgrades!$C$3:$C$13,MATCH(Q1001,Upgrades!$B$3:$B$13,0))*1.15^(COUNTIF(Q$4:Q1000,Q1001)-COUNTIF(Q$4:Q1000,""Sell_""&amp;Q1001))))))"),"")</f>
        <v/>
      </c>
      <c r="V1001" s="10" t="str">
        <f t="shared" si="11"/>
        <v/>
      </c>
      <c r="W1001" s="68" t="str">
        <f t="shared" si="12"/>
        <v/>
      </c>
      <c r="X1001" s="59" t="str">
        <f t="shared" si="13"/>
        <v/>
      </c>
      <c r="Y1001" s="69" t="str">
        <f t="shared" si="14"/>
        <v/>
      </c>
      <c r="Z1001" s="11"/>
    </row>
    <row r="1002">
      <c r="A1002" s="8"/>
      <c r="B1002" s="56" t="str">
        <f t="shared" si="2"/>
        <v/>
      </c>
      <c r="C1002" s="105"/>
      <c r="D1002" s="10"/>
      <c r="E1002" s="59" t="str">
        <f t="array" ref="E1002">IF(COUNTA(C1002:C1673)=0,"",SUM((COUNTIF(C$4:C1002,Upgrades!$B$3:$B$13)-COUNTIF(C$4:C1002,"Sell_"&amp;Upgrades!$B$3:$B$13))*Upgrades!$D$3:$D$13))</f>
        <v/>
      </c>
      <c r="F1002" s="66" t="str">
        <f>IFERROR(__xludf.DUMMYFUNCTION("IF(COUNTA(C1002:C1673)=0,"""",IF(REGEXMATCH(INDEX(FILTER(C$4:C1002,C$4:C1002&lt;&gt;""""),ROWS(FILTER(C$4:C1002,C$4:C1002&lt;&gt;""""))),""^Sell_""),INDEX(FILTER(F$4:F1001,C$4:C1001&lt;&gt;""""),ROWS(FILTER(C$4:C1001,C$4:C1001&lt;&gt;""""))),$AC$5+E1002))"),"")</f>
        <v/>
      </c>
      <c r="G1002" s="10" t="str">
        <f>IFERROR(__xludf.DUMMYFUNCTION("IF(COUNTA(C1002:C1673)=0,"""",IF(C1002="""",0,IF(REGEXMATCH(C1002,""^Sell_""),-ROUNDDOWN(ROUNDUP(INDEX(Upgrades!$C$3:$C$13,MATCH(SUBSTITUTE(C1002,""Sell_"",""""),Upgrades!$B$3:$B$13,0))*1.15^(COUNTIF(C$4:C1001,SUBSTITUTE(C1002,""Sell_"",""""))-COUNTIF(C$4"&amp;":C1001,""Sell_""&amp;SUBSTITUTE(C1002,""Sell_"",""""))))/2),ROUNDUP(INDEX(Upgrades!$C$3:$C$13,MATCH(C1002,Upgrades!$B$3:$B$13,0))*1.15^(COUNTIF(C$4:C1001,C1002)-COUNTIF(C$4:C1001,""Sell_""&amp;C1002))))))"),"")</f>
        <v/>
      </c>
      <c r="H1002" s="10" t="str">
        <f t="shared" si="3"/>
        <v/>
      </c>
      <c r="I1002" s="68" t="str">
        <f t="shared" si="4"/>
        <v/>
      </c>
      <c r="J1002" s="59" t="str">
        <f t="shared" si="5"/>
        <v/>
      </c>
      <c r="K1002" s="69" t="str">
        <f t="shared" si="6"/>
        <v/>
      </c>
      <c r="L1002" s="60" t="str">
        <f t="shared" si="7"/>
        <v/>
      </c>
      <c r="M1002" s="61" t="str">
        <f>IFERROR(__xludf.DUMMYFUNCTION("IFS(AND(COUNTA(C1002:C1673)=0,COUNTA(Q1002:Q1673)=0),"""",OR(AND(K1002&gt;=1000000000,OR(Y1002&gt;=1000000000,COUNTA(Q1002:Q1673)=0)),OR(Y1002&gt;=1000000000,AND(COUNTA(C1002:C1673)=0,P$3=TRUE))),
ROUNDDOWN((AB$1-AC$1)*MAX(INDEX(T$4:T1673,MATCH(LARGE(FILTER(Y$4:Y1"&amp;"673,Y$4:Y1673&lt;1000000000),1),Y$4:Y1673)),INDEX(F$4:F1673,MATCH(LARGE(FILTER(K$4:K1673,K$4:K1673&lt;1000000000),1),K$4:K1673)))),AND(K1002&lt;1000000000,COUNTA(C1002:C1673)&gt;0,P$3=FALSE),
ROUNDDOWN(INDEX(Y$4:Y1673,MATCH(LARGE(FILTER(W$4:W1673,W$4:W1673&lt;=I1002),1)"&amp;",W$4:W1673))+(I1002-LARGE(FILTER(W$4:W1673,W$4:W1673&lt;=I1002),1))*INDEX(T$4:T1673,MATCH(LARGE(FILTER(W$4:W1673,W$4:W1673&lt;=I1002),1),W$4:W1673))-K1002),1,
ROUNDDOWN(Y1002-INDEX(K$4:K1673,MATCH(LARGE(FILTER(I$4:I1673,I$4:I1673&lt;=W1002),1),I$4:I1673))-(W1002-L"&amp;"ARGE(FILTER(I$4:I1673,I$4:I1673&lt;=W1002),1))*INDEX(F$4:F1673,MATCH(LARGE(FILTER(I$4:I1673,I$4:I1673&lt;=W1002),1),I$4:I1673))))"),"")</f>
        <v/>
      </c>
      <c r="N1002" s="60" t="str">
        <f t="shared" si="8"/>
        <v/>
      </c>
      <c r="O1002" s="61" t="str">
        <f t="shared" si="9"/>
        <v/>
      </c>
      <c r="P1002" s="56" t="str">
        <f t="shared" si="10"/>
        <v/>
      </c>
      <c r="R1002" s="10"/>
      <c r="S1002" s="59" t="str">
        <f t="array" ref="S1002">IF(COUNTA(Q1002:Q1673)=0,"",SUM((COUNTIF(Q$4:Q1002,Upgrades!$B$3:$B$13)-COUNTIF(Q$4:Q1002,"Sell_"&amp;Upgrades!$B$3:$B$13))*Upgrades!$D$3:$D$13))</f>
        <v/>
      </c>
      <c r="T1002" s="66" t="str">
        <f>IFERROR(__xludf.DUMMYFUNCTION("IF(COUNTA(Q1002:Q1673)=0,"""",IF(REGEXMATCH(INDEX(FILTER(Q$4:Q1002,Q$4:Q1002&lt;&gt;""""),ROWS(FILTER(Q$4:Q1002,Q$4:Q1002&lt;&gt;""""))),""^Sell_""),INDEX(FILTER(T$4:T1001,Q$4:Q1001&lt;&gt;""""),ROWS(FILTER(Q$4:Q1001,Q$4:Q1001&lt;&gt;""""))),$AD$5+S1002))"),"")</f>
        <v/>
      </c>
      <c r="U1002" s="10" t="str">
        <f>IFERROR(__xludf.DUMMYFUNCTION("IF(COUNTA(Q1002:Q1673)=0,"""",IF(Q1002="""",0,IF(REGEXMATCH(Q1002,""^Sell_""),-ROUNDDOWN(ROUNDUP(INDEX(Upgrades!$C$3:$C$13,MATCH(SUBSTITUTE(Q1002,""Sell_"",""""),Upgrades!$B$3:$B$13,0))*1.15^(COUNTIF(Q$4:Q1001,SUBSTITUTE(Q1002,""Sell_"",""""))-COUNTIF(Q$4"&amp;":Q1001,""Sell_""&amp;SUBSTITUTE(Q1002,""Sell_"",""""))))/2),ROUNDUP(INDEX(Upgrades!$C$3:$C$13,MATCH(Q1002,Upgrades!$B$3:$B$13,0))*1.15^(COUNTIF(Q$4:Q1001,Q1002)-COUNTIF(Q$4:Q1001,""Sell_""&amp;Q1002))))))"),"")</f>
        <v/>
      </c>
      <c r="V1002" s="10" t="str">
        <f t="shared" si="11"/>
        <v/>
      </c>
      <c r="W1002" s="68" t="str">
        <f t="shared" si="12"/>
        <v/>
      </c>
      <c r="X1002" s="59" t="str">
        <f t="shared" si="13"/>
        <v/>
      </c>
      <c r="Y1002" s="69" t="str">
        <f t="shared" si="14"/>
        <v/>
      </c>
      <c r="Z1002" s="11"/>
    </row>
    <row r="1003">
      <c r="A1003" s="8"/>
      <c r="B1003" s="56" t="str">
        <f t="shared" si="2"/>
        <v/>
      </c>
      <c r="C1003" s="105"/>
      <c r="D1003" s="10"/>
      <c r="E1003" s="59" t="str">
        <f t="array" ref="E1003">IF(COUNTA(C1003:C1673)=0,"",SUM((COUNTIF(C$4:C1003,Upgrades!$B$3:$B$13)-COUNTIF(C$4:C1003,"Sell_"&amp;Upgrades!$B$3:$B$13))*Upgrades!$D$3:$D$13))</f>
        <v/>
      </c>
      <c r="F1003" s="66" t="str">
        <f>IFERROR(__xludf.DUMMYFUNCTION("IF(COUNTA(C1003:C1673)=0,"""",IF(REGEXMATCH(INDEX(FILTER(C$4:C1003,C$4:C1003&lt;&gt;""""),ROWS(FILTER(C$4:C1003,C$4:C1003&lt;&gt;""""))),""^Sell_""),INDEX(FILTER(F$4:F1002,C$4:C1002&lt;&gt;""""),ROWS(FILTER(C$4:C1002,C$4:C1002&lt;&gt;""""))),$AC$5+E1003))"),"")</f>
        <v/>
      </c>
      <c r="G1003" s="10" t="str">
        <f>IFERROR(__xludf.DUMMYFUNCTION("IF(COUNTA(C1003:C1673)=0,"""",IF(C1003="""",0,IF(REGEXMATCH(C1003,""^Sell_""),-ROUNDDOWN(ROUNDUP(INDEX(Upgrades!$C$3:$C$13,MATCH(SUBSTITUTE(C1003,""Sell_"",""""),Upgrades!$B$3:$B$13,0))*1.15^(COUNTIF(C$4:C1002,SUBSTITUTE(C1003,""Sell_"",""""))-COUNTIF(C$4"&amp;":C1002,""Sell_""&amp;SUBSTITUTE(C1003,""Sell_"",""""))))/2),ROUNDUP(INDEX(Upgrades!$C$3:$C$13,MATCH(C1003,Upgrades!$B$3:$B$13,0))*1.15^(COUNTIF(C$4:C1002,C1003)-COUNTIF(C$4:C1002,""Sell_""&amp;C1003))))))"),"")</f>
        <v/>
      </c>
      <c r="H1003" s="10" t="str">
        <f t="shared" si="3"/>
        <v/>
      </c>
      <c r="I1003" s="68" t="str">
        <f t="shared" si="4"/>
        <v/>
      </c>
      <c r="J1003" s="59" t="str">
        <f t="shared" si="5"/>
        <v/>
      </c>
      <c r="K1003" s="69" t="str">
        <f t="shared" si="6"/>
        <v/>
      </c>
      <c r="L1003" s="60" t="str">
        <f t="shared" si="7"/>
        <v/>
      </c>
      <c r="M1003" s="61" t="str">
        <f>IFERROR(__xludf.DUMMYFUNCTION("IFS(AND(COUNTA(C1003:C1673)=0,COUNTA(Q1003:Q1673)=0),"""",OR(AND(K1003&gt;=1000000000,OR(Y1003&gt;=1000000000,COUNTA(Q1003:Q1673)=0)),OR(Y1003&gt;=1000000000,AND(COUNTA(C1003:C1673)=0,P$3=TRUE))),
ROUNDDOWN((AB$1-AC$1)*MAX(INDEX(T$4:T1673,MATCH(LARGE(FILTER(Y$4:Y1"&amp;"673,Y$4:Y1673&lt;1000000000),1),Y$4:Y1673)),INDEX(F$4:F1673,MATCH(LARGE(FILTER(K$4:K1673,K$4:K1673&lt;1000000000),1),K$4:K1673)))),AND(K1003&lt;1000000000,COUNTA(C1003:C1673)&gt;0,P$3=FALSE),
ROUNDDOWN(INDEX(Y$4:Y1673,MATCH(LARGE(FILTER(W$4:W1673,W$4:W1673&lt;=I1003),1)"&amp;",W$4:W1673))+(I1003-LARGE(FILTER(W$4:W1673,W$4:W1673&lt;=I1003),1))*INDEX(T$4:T1673,MATCH(LARGE(FILTER(W$4:W1673,W$4:W1673&lt;=I1003),1),W$4:W1673))-K1003),1,
ROUNDDOWN(Y1003-INDEX(K$4:K1673,MATCH(LARGE(FILTER(I$4:I1673,I$4:I1673&lt;=W1003),1),I$4:I1673))-(W1003-L"&amp;"ARGE(FILTER(I$4:I1673,I$4:I1673&lt;=W1003),1))*INDEX(F$4:F1673,MATCH(LARGE(FILTER(I$4:I1673,I$4:I1673&lt;=W1003),1),I$4:I1673))))"),"")</f>
        <v/>
      </c>
      <c r="N1003" s="60" t="str">
        <f t="shared" si="8"/>
        <v/>
      </c>
      <c r="O1003" s="61" t="str">
        <f t="shared" si="9"/>
        <v/>
      </c>
      <c r="P1003" s="56" t="str">
        <f t="shared" si="10"/>
        <v/>
      </c>
      <c r="R1003" s="10"/>
      <c r="S1003" s="59" t="str">
        <f t="array" ref="S1003">IF(COUNTA(Q1003:Q1673)=0,"",SUM((COUNTIF(Q$4:Q1003,Upgrades!$B$3:$B$13)-COUNTIF(Q$4:Q1003,"Sell_"&amp;Upgrades!$B$3:$B$13))*Upgrades!$D$3:$D$13))</f>
        <v/>
      </c>
      <c r="T1003" s="66" t="str">
        <f>IFERROR(__xludf.DUMMYFUNCTION("IF(COUNTA(Q1003:Q1673)=0,"""",IF(REGEXMATCH(INDEX(FILTER(Q$4:Q1003,Q$4:Q1003&lt;&gt;""""),ROWS(FILTER(Q$4:Q1003,Q$4:Q1003&lt;&gt;""""))),""^Sell_""),INDEX(FILTER(T$4:T1002,Q$4:Q1002&lt;&gt;""""),ROWS(FILTER(Q$4:Q1002,Q$4:Q1002&lt;&gt;""""))),$AD$5+S1003))"),"")</f>
        <v/>
      </c>
      <c r="U1003" s="10" t="str">
        <f>IFERROR(__xludf.DUMMYFUNCTION("IF(COUNTA(Q1003:Q1673)=0,"""",IF(Q1003="""",0,IF(REGEXMATCH(Q1003,""^Sell_""),-ROUNDDOWN(ROUNDUP(INDEX(Upgrades!$C$3:$C$13,MATCH(SUBSTITUTE(Q1003,""Sell_"",""""),Upgrades!$B$3:$B$13,0))*1.15^(COUNTIF(Q$4:Q1002,SUBSTITUTE(Q1003,""Sell_"",""""))-COUNTIF(Q$4"&amp;":Q1002,""Sell_""&amp;SUBSTITUTE(Q1003,""Sell_"",""""))))/2),ROUNDUP(INDEX(Upgrades!$C$3:$C$13,MATCH(Q1003,Upgrades!$B$3:$B$13,0))*1.15^(COUNTIF(Q$4:Q1002,Q1003)-COUNTIF(Q$4:Q1002,""Sell_""&amp;Q1003))))))"),"")</f>
        <v/>
      </c>
      <c r="V1003" s="10" t="str">
        <f t="shared" si="11"/>
        <v/>
      </c>
      <c r="W1003" s="68" t="str">
        <f t="shared" si="12"/>
        <v/>
      </c>
      <c r="X1003" s="59" t="str">
        <f t="shared" si="13"/>
        <v/>
      </c>
      <c r="Y1003" s="69" t="str">
        <f t="shared" si="14"/>
        <v/>
      </c>
      <c r="Z1003" s="11"/>
    </row>
    <row r="1004">
      <c r="A1004" s="8"/>
      <c r="B1004" s="56" t="str">
        <f t="shared" si="2"/>
        <v/>
      </c>
      <c r="C1004" s="105"/>
      <c r="D1004" s="10"/>
      <c r="E1004" s="59" t="str">
        <f t="array" ref="E1004">IF(COUNTA(C1004:C1673)=0,"",SUM((COUNTIF(C$4:C1004,Upgrades!$B$3:$B$13)-COUNTIF(C$4:C1004,"Sell_"&amp;Upgrades!$B$3:$B$13))*Upgrades!$D$3:$D$13))</f>
        <v/>
      </c>
      <c r="F1004" s="66" t="str">
        <f>IFERROR(__xludf.DUMMYFUNCTION("IF(COUNTA(C1004:C1673)=0,"""",IF(REGEXMATCH(INDEX(FILTER(C$4:C1004,C$4:C1004&lt;&gt;""""),ROWS(FILTER(C$4:C1004,C$4:C1004&lt;&gt;""""))),""^Sell_""),INDEX(FILTER(F$4:F1003,C$4:C1003&lt;&gt;""""),ROWS(FILTER(C$4:C1003,C$4:C1003&lt;&gt;""""))),$AC$5+E1004))"),"")</f>
        <v/>
      </c>
      <c r="G1004" s="10" t="str">
        <f>IFERROR(__xludf.DUMMYFUNCTION("IF(COUNTA(C1004:C1673)=0,"""",IF(C1004="""",0,IF(REGEXMATCH(C1004,""^Sell_""),-ROUNDDOWN(ROUNDUP(INDEX(Upgrades!$C$3:$C$13,MATCH(SUBSTITUTE(C1004,""Sell_"",""""),Upgrades!$B$3:$B$13,0))*1.15^(COUNTIF(C$4:C1003,SUBSTITUTE(C1004,""Sell_"",""""))-COUNTIF(C$4"&amp;":C1003,""Sell_""&amp;SUBSTITUTE(C1004,""Sell_"",""""))))/2),ROUNDUP(INDEX(Upgrades!$C$3:$C$13,MATCH(C1004,Upgrades!$B$3:$B$13,0))*1.15^(COUNTIF(C$4:C1003,C1004)-COUNTIF(C$4:C1003,""Sell_""&amp;C1004))))))"),"")</f>
        <v/>
      </c>
      <c r="H1004" s="10" t="str">
        <f t="shared" si="3"/>
        <v/>
      </c>
      <c r="I1004" s="68" t="str">
        <f t="shared" si="4"/>
        <v/>
      </c>
      <c r="J1004" s="59" t="str">
        <f t="shared" si="5"/>
        <v/>
      </c>
      <c r="K1004" s="69" t="str">
        <f t="shared" si="6"/>
        <v/>
      </c>
      <c r="L1004" s="60" t="str">
        <f t="shared" si="7"/>
        <v/>
      </c>
      <c r="M1004" s="61" t="str">
        <f>IFERROR(__xludf.DUMMYFUNCTION("IFS(AND(COUNTA(C1004:C1673)=0,COUNTA(Q1004:Q1673)=0),"""",OR(AND(K1004&gt;=1000000000,OR(Y1004&gt;=1000000000,COUNTA(Q1004:Q1673)=0)),OR(Y1004&gt;=1000000000,AND(COUNTA(C1004:C1673)=0,P$3=TRUE))),
ROUNDDOWN((AB$1-AC$1)*MAX(INDEX(T$4:T1673,MATCH(LARGE(FILTER(Y$4:Y1"&amp;"673,Y$4:Y1673&lt;1000000000),1),Y$4:Y1673)),INDEX(F$4:F1673,MATCH(LARGE(FILTER(K$4:K1673,K$4:K1673&lt;1000000000),1),K$4:K1673)))),AND(K1004&lt;1000000000,COUNTA(C1004:C1673)&gt;0,P$3=FALSE),
ROUNDDOWN(INDEX(Y$4:Y1673,MATCH(LARGE(FILTER(W$4:W1673,W$4:W1673&lt;=I1004),1)"&amp;",W$4:W1673))+(I1004-LARGE(FILTER(W$4:W1673,W$4:W1673&lt;=I1004),1))*INDEX(T$4:T1673,MATCH(LARGE(FILTER(W$4:W1673,W$4:W1673&lt;=I1004),1),W$4:W1673))-K1004),1,
ROUNDDOWN(Y1004-INDEX(K$4:K1673,MATCH(LARGE(FILTER(I$4:I1673,I$4:I1673&lt;=W1004),1),I$4:I1673))-(W1004-L"&amp;"ARGE(FILTER(I$4:I1673,I$4:I1673&lt;=W1004),1))*INDEX(F$4:F1673,MATCH(LARGE(FILTER(I$4:I1673,I$4:I1673&lt;=W1004),1),I$4:I1673))))"),"")</f>
        <v/>
      </c>
      <c r="N1004" s="60" t="str">
        <f t="shared" si="8"/>
        <v/>
      </c>
      <c r="O1004" s="61" t="str">
        <f t="shared" si="9"/>
        <v/>
      </c>
      <c r="P1004" s="56" t="str">
        <f t="shared" si="10"/>
        <v/>
      </c>
      <c r="R1004" s="10"/>
      <c r="S1004" s="59" t="str">
        <f t="array" ref="S1004">IF(COUNTA(Q1004:Q1673)=0,"",SUM((COUNTIF(Q$4:Q1004,Upgrades!$B$3:$B$13)-COUNTIF(Q$4:Q1004,"Sell_"&amp;Upgrades!$B$3:$B$13))*Upgrades!$D$3:$D$13))</f>
        <v/>
      </c>
      <c r="T1004" s="66" t="str">
        <f>IFERROR(__xludf.DUMMYFUNCTION("IF(COUNTA(Q1004:Q1673)=0,"""",IF(REGEXMATCH(INDEX(FILTER(Q$4:Q1004,Q$4:Q1004&lt;&gt;""""),ROWS(FILTER(Q$4:Q1004,Q$4:Q1004&lt;&gt;""""))),""^Sell_""),INDEX(FILTER(T$4:T1003,Q$4:Q1003&lt;&gt;""""),ROWS(FILTER(Q$4:Q1003,Q$4:Q1003&lt;&gt;""""))),$AD$5+S1004))"),"")</f>
        <v/>
      </c>
      <c r="U1004" s="10" t="str">
        <f>IFERROR(__xludf.DUMMYFUNCTION("IF(COUNTA(Q1004:Q1673)=0,"""",IF(Q1004="""",0,IF(REGEXMATCH(Q1004,""^Sell_""),-ROUNDDOWN(ROUNDUP(INDEX(Upgrades!$C$3:$C$13,MATCH(SUBSTITUTE(Q1004,""Sell_"",""""),Upgrades!$B$3:$B$13,0))*1.15^(COUNTIF(Q$4:Q1003,SUBSTITUTE(Q1004,""Sell_"",""""))-COUNTIF(Q$4"&amp;":Q1003,""Sell_""&amp;SUBSTITUTE(Q1004,""Sell_"",""""))))/2),ROUNDUP(INDEX(Upgrades!$C$3:$C$13,MATCH(Q1004,Upgrades!$B$3:$B$13,0))*1.15^(COUNTIF(Q$4:Q1003,Q1004)-COUNTIF(Q$4:Q1003,""Sell_""&amp;Q1004))))))"),"")</f>
        <v/>
      </c>
      <c r="V1004" s="10" t="str">
        <f t="shared" si="11"/>
        <v/>
      </c>
      <c r="W1004" s="68" t="str">
        <f t="shared" si="12"/>
        <v/>
      </c>
      <c r="X1004" s="59" t="str">
        <f t="shared" si="13"/>
        <v/>
      </c>
      <c r="Y1004" s="69" t="str">
        <f t="shared" si="14"/>
        <v/>
      </c>
      <c r="Z1004" s="11"/>
    </row>
    <row r="1005">
      <c r="A1005" s="8"/>
      <c r="B1005" s="56" t="str">
        <f t="shared" si="2"/>
        <v/>
      </c>
      <c r="C1005" s="105"/>
      <c r="D1005" s="10"/>
      <c r="E1005" s="59" t="str">
        <f t="array" ref="E1005">IF(COUNTA(C1005:C1673)=0,"",SUM((COUNTIF(C$4:C1005,Upgrades!$B$3:$B$13)-COUNTIF(C$4:C1005,"Sell_"&amp;Upgrades!$B$3:$B$13))*Upgrades!$D$3:$D$13))</f>
        <v/>
      </c>
      <c r="F1005" s="66" t="str">
        <f>IFERROR(__xludf.DUMMYFUNCTION("IF(COUNTA(C1005:C1673)=0,"""",IF(REGEXMATCH(INDEX(FILTER(C$4:C1005,C$4:C1005&lt;&gt;""""),ROWS(FILTER(C$4:C1005,C$4:C1005&lt;&gt;""""))),""^Sell_""),INDEX(FILTER(F$4:F1004,C$4:C1004&lt;&gt;""""),ROWS(FILTER(C$4:C1004,C$4:C1004&lt;&gt;""""))),$AC$5+E1005))"),"")</f>
        <v/>
      </c>
      <c r="G1005" s="10" t="str">
        <f>IFERROR(__xludf.DUMMYFUNCTION("IF(COUNTA(C1005:C1673)=0,"""",IF(C1005="""",0,IF(REGEXMATCH(C1005,""^Sell_""),-ROUNDDOWN(ROUNDUP(INDEX(Upgrades!$C$3:$C$13,MATCH(SUBSTITUTE(C1005,""Sell_"",""""),Upgrades!$B$3:$B$13,0))*1.15^(COUNTIF(C$4:C1004,SUBSTITUTE(C1005,""Sell_"",""""))-COUNTIF(C$4"&amp;":C1004,""Sell_""&amp;SUBSTITUTE(C1005,""Sell_"",""""))))/2),ROUNDUP(INDEX(Upgrades!$C$3:$C$13,MATCH(C1005,Upgrades!$B$3:$B$13,0))*1.15^(COUNTIF(C$4:C1004,C1005)-COUNTIF(C$4:C1004,""Sell_""&amp;C1005))))))"),"")</f>
        <v/>
      </c>
      <c r="H1005" s="10" t="str">
        <f t="shared" si="3"/>
        <v/>
      </c>
      <c r="I1005" s="68" t="str">
        <f t="shared" si="4"/>
        <v/>
      </c>
      <c r="J1005" s="59" t="str">
        <f t="shared" si="5"/>
        <v/>
      </c>
      <c r="K1005" s="69" t="str">
        <f t="shared" si="6"/>
        <v/>
      </c>
      <c r="L1005" s="60" t="str">
        <f t="shared" si="7"/>
        <v/>
      </c>
      <c r="M1005" s="61" t="str">
        <f>IFERROR(__xludf.DUMMYFUNCTION("IFS(AND(COUNTA(C1005:C1673)=0,COUNTA(Q1005:Q1673)=0),"""",OR(AND(K1005&gt;=1000000000,OR(Y1005&gt;=1000000000,COUNTA(Q1005:Q1673)=0)),OR(Y1005&gt;=1000000000,AND(COUNTA(C1005:C1673)=0,P$3=TRUE))),
ROUNDDOWN((AB$1-AC$1)*MAX(INDEX(T$4:T1673,MATCH(LARGE(FILTER(Y$4:Y1"&amp;"673,Y$4:Y1673&lt;1000000000),1),Y$4:Y1673)),INDEX(F$4:F1673,MATCH(LARGE(FILTER(K$4:K1673,K$4:K1673&lt;1000000000),1),K$4:K1673)))),AND(K1005&lt;1000000000,COUNTA(C1005:C1673)&gt;0,P$3=FALSE),
ROUNDDOWN(INDEX(Y$4:Y1673,MATCH(LARGE(FILTER(W$4:W1673,W$4:W1673&lt;=I1005),1)"&amp;",W$4:W1673))+(I1005-LARGE(FILTER(W$4:W1673,W$4:W1673&lt;=I1005),1))*INDEX(T$4:T1673,MATCH(LARGE(FILTER(W$4:W1673,W$4:W1673&lt;=I1005),1),W$4:W1673))-K1005),1,
ROUNDDOWN(Y1005-INDEX(K$4:K1673,MATCH(LARGE(FILTER(I$4:I1673,I$4:I1673&lt;=W1005),1),I$4:I1673))-(W1005-L"&amp;"ARGE(FILTER(I$4:I1673,I$4:I1673&lt;=W1005),1))*INDEX(F$4:F1673,MATCH(LARGE(FILTER(I$4:I1673,I$4:I1673&lt;=W1005),1),I$4:I1673))))"),"")</f>
        <v/>
      </c>
      <c r="N1005" s="60" t="str">
        <f t="shared" si="8"/>
        <v/>
      </c>
      <c r="O1005" s="61" t="str">
        <f t="shared" si="9"/>
        <v/>
      </c>
      <c r="P1005" s="56" t="str">
        <f t="shared" si="10"/>
        <v/>
      </c>
      <c r="R1005" s="10"/>
      <c r="S1005" s="59" t="str">
        <f t="array" ref="S1005">IF(COUNTA(Q1005:Q1673)=0,"",SUM((COUNTIF(Q$4:Q1005,Upgrades!$B$3:$B$13)-COUNTIF(Q$4:Q1005,"Sell_"&amp;Upgrades!$B$3:$B$13))*Upgrades!$D$3:$D$13))</f>
        <v/>
      </c>
      <c r="T1005" s="66" t="str">
        <f>IFERROR(__xludf.DUMMYFUNCTION("IF(COUNTA(Q1005:Q1673)=0,"""",IF(REGEXMATCH(INDEX(FILTER(Q$4:Q1005,Q$4:Q1005&lt;&gt;""""),ROWS(FILTER(Q$4:Q1005,Q$4:Q1005&lt;&gt;""""))),""^Sell_""),INDEX(FILTER(T$4:T1004,Q$4:Q1004&lt;&gt;""""),ROWS(FILTER(Q$4:Q1004,Q$4:Q1004&lt;&gt;""""))),$AD$5+S1005))"),"")</f>
        <v/>
      </c>
      <c r="U1005" s="10" t="str">
        <f>IFERROR(__xludf.DUMMYFUNCTION("IF(COUNTA(Q1005:Q1673)=0,"""",IF(Q1005="""",0,IF(REGEXMATCH(Q1005,""^Sell_""),-ROUNDDOWN(ROUNDUP(INDEX(Upgrades!$C$3:$C$13,MATCH(SUBSTITUTE(Q1005,""Sell_"",""""),Upgrades!$B$3:$B$13,0))*1.15^(COUNTIF(Q$4:Q1004,SUBSTITUTE(Q1005,""Sell_"",""""))-COUNTIF(Q$4"&amp;":Q1004,""Sell_""&amp;SUBSTITUTE(Q1005,""Sell_"",""""))))/2),ROUNDUP(INDEX(Upgrades!$C$3:$C$13,MATCH(Q1005,Upgrades!$B$3:$B$13,0))*1.15^(COUNTIF(Q$4:Q1004,Q1005)-COUNTIF(Q$4:Q1004,""Sell_""&amp;Q1005))))))"),"")</f>
        <v/>
      </c>
      <c r="V1005" s="10" t="str">
        <f t="shared" si="11"/>
        <v/>
      </c>
      <c r="W1005" s="68" t="str">
        <f t="shared" si="12"/>
        <v/>
      </c>
      <c r="X1005" s="59" t="str">
        <f t="shared" si="13"/>
        <v/>
      </c>
      <c r="Y1005" s="69" t="str">
        <f t="shared" si="14"/>
        <v/>
      </c>
      <c r="Z1005" s="11"/>
    </row>
    <row r="1006">
      <c r="A1006" s="8"/>
      <c r="B1006" s="56" t="str">
        <f t="shared" si="2"/>
        <v/>
      </c>
      <c r="C1006" s="105"/>
      <c r="D1006" s="10"/>
      <c r="E1006" s="59" t="str">
        <f t="array" ref="E1006">IF(COUNTA(C1006:C1673)=0,"",SUM((COUNTIF(C$4:C1006,Upgrades!$B$3:$B$13)-COUNTIF(C$4:C1006,"Sell_"&amp;Upgrades!$B$3:$B$13))*Upgrades!$D$3:$D$13))</f>
        <v/>
      </c>
      <c r="F1006" s="66" t="str">
        <f>IFERROR(__xludf.DUMMYFUNCTION("IF(COUNTA(C1006:C1673)=0,"""",IF(REGEXMATCH(INDEX(FILTER(C$4:C1006,C$4:C1006&lt;&gt;""""),ROWS(FILTER(C$4:C1006,C$4:C1006&lt;&gt;""""))),""^Sell_""),INDEX(FILTER(F$4:F1005,C$4:C1005&lt;&gt;""""),ROWS(FILTER(C$4:C1005,C$4:C1005&lt;&gt;""""))),$AC$5+E1006))"),"")</f>
        <v/>
      </c>
      <c r="G1006" s="10" t="str">
        <f>IFERROR(__xludf.DUMMYFUNCTION("IF(COUNTA(C1006:C1673)=0,"""",IF(C1006="""",0,IF(REGEXMATCH(C1006,""^Sell_""),-ROUNDDOWN(ROUNDUP(INDEX(Upgrades!$C$3:$C$13,MATCH(SUBSTITUTE(C1006,""Sell_"",""""),Upgrades!$B$3:$B$13,0))*1.15^(COUNTIF(C$4:C1005,SUBSTITUTE(C1006,""Sell_"",""""))-COUNTIF(C$4"&amp;":C1005,""Sell_""&amp;SUBSTITUTE(C1006,""Sell_"",""""))))/2),ROUNDUP(INDEX(Upgrades!$C$3:$C$13,MATCH(C1006,Upgrades!$B$3:$B$13,0))*1.15^(COUNTIF(C$4:C1005,C1006)-COUNTIF(C$4:C1005,""Sell_""&amp;C1006))))))"),"")</f>
        <v/>
      </c>
      <c r="H1006" s="10" t="str">
        <f t="shared" si="3"/>
        <v/>
      </c>
      <c r="I1006" s="68" t="str">
        <f t="shared" si="4"/>
        <v/>
      </c>
      <c r="J1006" s="59" t="str">
        <f t="shared" si="5"/>
        <v/>
      </c>
      <c r="K1006" s="69" t="str">
        <f t="shared" si="6"/>
        <v/>
      </c>
      <c r="L1006" s="60" t="str">
        <f t="shared" si="7"/>
        <v/>
      </c>
      <c r="M1006" s="61" t="str">
        <f>IFERROR(__xludf.DUMMYFUNCTION("IFS(AND(COUNTA(C1006:C1673)=0,COUNTA(Q1006:Q1673)=0),"""",OR(AND(K1006&gt;=1000000000,OR(Y1006&gt;=1000000000,COUNTA(Q1006:Q1673)=0)),OR(Y1006&gt;=1000000000,AND(COUNTA(C1006:C1673)=0,P$3=TRUE))),
ROUNDDOWN((AB$1-AC$1)*MAX(INDEX(T$4:T1673,MATCH(LARGE(FILTER(Y$4:Y1"&amp;"673,Y$4:Y1673&lt;1000000000),1),Y$4:Y1673)),INDEX(F$4:F1673,MATCH(LARGE(FILTER(K$4:K1673,K$4:K1673&lt;1000000000),1),K$4:K1673)))),AND(K1006&lt;1000000000,COUNTA(C1006:C1673)&gt;0,P$3=FALSE),
ROUNDDOWN(INDEX(Y$4:Y1673,MATCH(LARGE(FILTER(W$4:W1673,W$4:W1673&lt;=I1006),1)"&amp;",W$4:W1673))+(I1006-LARGE(FILTER(W$4:W1673,W$4:W1673&lt;=I1006),1))*INDEX(T$4:T1673,MATCH(LARGE(FILTER(W$4:W1673,W$4:W1673&lt;=I1006),1),W$4:W1673))-K1006),1,
ROUNDDOWN(Y1006-INDEX(K$4:K1673,MATCH(LARGE(FILTER(I$4:I1673,I$4:I1673&lt;=W1006),1),I$4:I1673))-(W1006-L"&amp;"ARGE(FILTER(I$4:I1673,I$4:I1673&lt;=W1006),1))*INDEX(F$4:F1673,MATCH(LARGE(FILTER(I$4:I1673,I$4:I1673&lt;=W1006),1),I$4:I1673))))"),"")</f>
        <v/>
      </c>
      <c r="N1006" s="60" t="str">
        <f t="shared" si="8"/>
        <v/>
      </c>
      <c r="O1006" s="61" t="str">
        <f t="shared" si="9"/>
        <v/>
      </c>
      <c r="P1006" s="56" t="str">
        <f t="shared" si="10"/>
        <v/>
      </c>
      <c r="R1006" s="10"/>
      <c r="S1006" s="59" t="str">
        <f t="array" ref="S1006">IF(COUNTA(Q1006:Q1673)=0,"",SUM((COUNTIF(Q$4:Q1006,Upgrades!$B$3:$B$13)-COUNTIF(Q$4:Q1006,"Sell_"&amp;Upgrades!$B$3:$B$13))*Upgrades!$D$3:$D$13))</f>
        <v/>
      </c>
      <c r="T1006" s="66" t="str">
        <f>IFERROR(__xludf.DUMMYFUNCTION("IF(COUNTA(Q1006:Q1673)=0,"""",IF(REGEXMATCH(INDEX(FILTER(Q$4:Q1006,Q$4:Q1006&lt;&gt;""""),ROWS(FILTER(Q$4:Q1006,Q$4:Q1006&lt;&gt;""""))),""^Sell_""),INDEX(FILTER(T$4:T1005,Q$4:Q1005&lt;&gt;""""),ROWS(FILTER(Q$4:Q1005,Q$4:Q1005&lt;&gt;""""))),$AD$5+S1006))"),"")</f>
        <v/>
      </c>
      <c r="U1006" s="10" t="str">
        <f>IFERROR(__xludf.DUMMYFUNCTION("IF(COUNTA(Q1006:Q1673)=0,"""",IF(Q1006="""",0,IF(REGEXMATCH(Q1006,""^Sell_""),-ROUNDDOWN(ROUNDUP(INDEX(Upgrades!$C$3:$C$13,MATCH(SUBSTITUTE(Q1006,""Sell_"",""""),Upgrades!$B$3:$B$13,0))*1.15^(COUNTIF(Q$4:Q1005,SUBSTITUTE(Q1006,""Sell_"",""""))-COUNTIF(Q$4"&amp;":Q1005,""Sell_""&amp;SUBSTITUTE(Q1006,""Sell_"",""""))))/2),ROUNDUP(INDEX(Upgrades!$C$3:$C$13,MATCH(Q1006,Upgrades!$B$3:$B$13,0))*1.15^(COUNTIF(Q$4:Q1005,Q1006)-COUNTIF(Q$4:Q1005,""Sell_""&amp;Q1006))))))"),"")</f>
        <v/>
      </c>
      <c r="V1006" s="10" t="str">
        <f t="shared" si="11"/>
        <v/>
      </c>
      <c r="W1006" s="68" t="str">
        <f t="shared" si="12"/>
        <v/>
      </c>
      <c r="X1006" s="59" t="str">
        <f t="shared" si="13"/>
        <v/>
      </c>
      <c r="Y1006" s="69" t="str">
        <f t="shared" si="14"/>
        <v/>
      </c>
      <c r="Z1006" s="11"/>
    </row>
    <row r="1007">
      <c r="A1007" s="8"/>
      <c r="B1007" s="56" t="str">
        <f t="shared" si="2"/>
        <v/>
      </c>
      <c r="C1007" s="105"/>
      <c r="D1007" s="10"/>
      <c r="E1007" s="59" t="str">
        <f t="array" ref="E1007">IF(COUNTA(C1007:C1673)=0,"",SUM((COUNTIF(C$4:C1007,Upgrades!$B$3:$B$13)-COUNTIF(C$4:C1007,"Sell_"&amp;Upgrades!$B$3:$B$13))*Upgrades!$D$3:$D$13))</f>
        <v/>
      </c>
      <c r="F1007" s="66" t="str">
        <f>IFERROR(__xludf.DUMMYFUNCTION("IF(COUNTA(C1007:C1673)=0,"""",IF(REGEXMATCH(INDEX(FILTER(C$4:C1007,C$4:C1007&lt;&gt;""""),ROWS(FILTER(C$4:C1007,C$4:C1007&lt;&gt;""""))),""^Sell_""),INDEX(FILTER(F$4:F1006,C$4:C1006&lt;&gt;""""),ROWS(FILTER(C$4:C1006,C$4:C1006&lt;&gt;""""))),$AC$5+E1007))"),"")</f>
        <v/>
      </c>
      <c r="G1007" s="10" t="str">
        <f>IFERROR(__xludf.DUMMYFUNCTION("IF(COUNTA(C1007:C1673)=0,"""",IF(C1007="""",0,IF(REGEXMATCH(C1007,""^Sell_""),-ROUNDDOWN(ROUNDUP(INDEX(Upgrades!$C$3:$C$13,MATCH(SUBSTITUTE(C1007,""Sell_"",""""),Upgrades!$B$3:$B$13,0))*1.15^(COUNTIF(C$4:C1006,SUBSTITUTE(C1007,""Sell_"",""""))-COUNTIF(C$4"&amp;":C1006,""Sell_""&amp;SUBSTITUTE(C1007,""Sell_"",""""))))/2),ROUNDUP(INDEX(Upgrades!$C$3:$C$13,MATCH(C1007,Upgrades!$B$3:$B$13,0))*1.15^(COUNTIF(C$4:C1006,C1007)-COUNTIF(C$4:C1006,""Sell_""&amp;C1007))))))"),"")</f>
        <v/>
      </c>
      <c r="H1007" s="10" t="str">
        <f t="shared" si="3"/>
        <v/>
      </c>
      <c r="I1007" s="68" t="str">
        <f t="shared" si="4"/>
        <v/>
      </c>
      <c r="J1007" s="59" t="str">
        <f t="shared" si="5"/>
        <v/>
      </c>
      <c r="K1007" s="69" t="str">
        <f t="shared" si="6"/>
        <v/>
      </c>
      <c r="L1007" s="60" t="str">
        <f t="shared" si="7"/>
        <v/>
      </c>
      <c r="M1007" s="61" t="str">
        <f>IFERROR(__xludf.DUMMYFUNCTION("IFS(AND(COUNTA(C1007:C1673)=0,COUNTA(Q1007:Q1673)=0),"""",OR(AND(K1007&gt;=1000000000,OR(Y1007&gt;=1000000000,COUNTA(Q1007:Q1673)=0)),OR(Y1007&gt;=1000000000,AND(COUNTA(C1007:C1673)=0,P$3=TRUE))),
ROUNDDOWN((AB$1-AC$1)*MAX(INDEX(T$4:T1673,MATCH(LARGE(FILTER(Y$4:Y1"&amp;"673,Y$4:Y1673&lt;1000000000),1),Y$4:Y1673)),INDEX(F$4:F1673,MATCH(LARGE(FILTER(K$4:K1673,K$4:K1673&lt;1000000000),1),K$4:K1673)))),AND(K1007&lt;1000000000,COUNTA(C1007:C1673)&gt;0,P$3=FALSE),
ROUNDDOWN(INDEX(Y$4:Y1673,MATCH(LARGE(FILTER(W$4:W1673,W$4:W1673&lt;=I1007),1)"&amp;",W$4:W1673))+(I1007-LARGE(FILTER(W$4:W1673,W$4:W1673&lt;=I1007),1))*INDEX(T$4:T1673,MATCH(LARGE(FILTER(W$4:W1673,W$4:W1673&lt;=I1007),1),W$4:W1673))-K1007),1,
ROUNDDOWN(Y1007-INDEX(K$4:K1673,MATCH(LARGE(FILTER(I$4:I1673,I$4:I1673&lt;=W1007),1),I$4:I1673))-(W1007-L"&amp;"ARGE(FILTER(I$4:I1673,I$4:I1673&lt;=W1007),1))*INDEX(F$4:F1673,MATCH(LARGE(FILTER(I$4:I1673,I$4:I1673&lt;=W1007),1),I$4:I1673))))"),"")</f>
        <v/>
      </c>
      <c r="N1007" s="60" t="str">
        <f t="shared" si="8"/>
        <v/>
      </c>
      <c r="O1007" s="61" t="str">
        <f t="shared" si="9"/>
        <v/>
      </c>
      <c r="P1007" s="56" t="str">
        <f t="shared" si="10"/>
        <v/>
      </c>
      <c r="R1007" s="10"/>
      <c r="S1007" s="59" t="str">
        <f t="array" ref="S1007">IF(COUNTA(Q1007:Q1673)=0,"",SUM((COUNTIF(Q$4:Q1007,Upgrades!$B$3:$B$13)-COUNTIF(Q$4:Q1007,"Sell_"&amp;Upgrades!$B$3:$B$13))*Upgrades!$D$3:$D$13))</f>
        <v/>
      </c>
      <c r="T1007" s="66" t="str">
        <f>IFERROR(__xludf.DUMMYFUNCTION("IF(COUNTA(Q1007:Q1673)=0,"""",IF(REGEXMATCH(INDEX(FILTER(Q$4:Q1007,Q$4:Q1007&lt;&gt;""""),ROWS(FILTER(Q$4:Q1007,Q$4:Q1007&lt;&gt;""""))),""^Sell_""),INDEX(FILTER(T$4:T1006,Q$4:Q1006&lt;&gt;""""),ROWS(FILTER(Q$4:Q1006,Q$4:Q1006&lt;&gt;""""))),$AD$5+S1007))"),"")</f>
        <v/>
      </c>
      <c r="U1007" s="10" t="str">
        <f>IFERROR(__xludf.DUMMYFUNCTION("IF(COUNTA(Q1007:Q1673)=0,"""",IF(Q1007="""",0,IF(REGEXMATCH(Q1007,""^Sell_""),-ROUNDDOWN(ROUNDUP(INDEX(Upgrades!$C$3:$C$13,MATCH(SUBSTITUTE(Q1007,""Sell_"",""""),Upgrades!$B$3:$B$13,0))*1.15^(COUNTIF(Q$4:Q1006,SUBSTITUTE(Q1007,""Sell_"",""""))-COUNTIF(Q$4"&amp;":Q1006,""Sell_""&amp;SUBSTITUTE(Q1007,""Sell_"",""""))))/2),ROUNDUP(INDEX(Upgrades!$C$3:$C$13,MATCH(Q1007,Upgrades!$B$3:$B$13,0))*1.15^(COUNTIF(Q$4:Q1006,Q1007)-COUNTIF(Q$4:Q1006,""Sell_""&amp;Q1007))))))"),"")</f>
        <v/>
      </c>
      <c r="V1007" s="10" t="str">
        <f t="shared" si="11"/>
        <v/>
      </c>
      <c r="W1007" s="68" t="str">
        <f t="shared" si="12"/>
        <v/>
      </c>
      <c r="X1007" s="59" t="str">
        <f t="shared" si="13"/>
        <v/>
      </c>
      <c r="Y1007" s="69" t="str">
        <f t="shared" si="14"/>
        <v/>
      </c>
      <c r="Z1007" s="11"/>
    </row>
    <row r="1008">
      <c r="A1008" s="8"/>
      <c r="B1008" s="56" t="str">
        <f t="shared" si="2"/>
        <v/>
      </c>
      <c r="C1008" s="105"/>
      <c r="D1008" s="10"/>
      <c r="E1008" s="59" t="str">
        <f t="array" ref="E1008">IF(COUNTA(C1008:C1673)=0,"",SUM((COUNTIF(C$4:C1008,Upgrades!$B$3:$B$13)-COUNTIF(C$4:C1008,"Sell_"&amp;Upgrades!$B$3:$B$13))*Upgrades!$D$3:$D$13))</f>
        <v/>
      </c>
      <c r="F1008" s="66" t="str">
        <f>IFERROR(__xludf.DUMMYFUNCTION("IF(COUNTA(C1008:C1673)=0,"""",IF(REGEXMATCH(INDEX(FILTER(C$4:C1008,C$4:C1008&lt;&gt;""""),ROWS(FILTER(C$4:C1008,C$4:C1008&lt;&gt;""""))),""^Sell_""),INDEX(FILTER(F$4:F1007,C$4:C1007&lt;&gt;""""),ROWS(FILTER(C$4:C1007,C$4:C1007&lt;&gt;""""))),$AC$5+E1008))"),"")</f>
        <v/>
      </c>
      <c r="G1008" s="10" t="str">
        <f>IFERROR(__xludf.DUMMYFUNCTION("IF(COUNTA(C1008:C1673)=0,"""",IF(C1008="""",0,IF(REGEXMATCH(C1008,""^Sell_""),-ROUNDDOWN(ROUNDUP(INDEX(Upgrades!$C$3:$C$13,MATCH(SUBSTITUTE(C1008,""Sell_"",""""),Upgrades!$B$3:$B$13,0))*1.15^(COUNTIF(C$4:C1007,SUBSTITUTE(C1008,""Sell_"",""""))-COUNTIF(C$4"&amp;":C1007,""Sell_""&amp;SUBSTITUTE(C1008,""Sell_"",""""))))/2),ROUNDUP(INDEX(Upgrades!$C$3:$C$13,MATCH(C1008,Upgrades!$B$3:$B$13,0))*1.15^(COUNTIF(C$4:C1007,C1008)-COUNTIF(C$4:C1007,""Sell_""&amp;C1008))))))"),"")</f>
        <v/>
      </c>
      <c r="H1008" s="10" t="str">
        <f t="shared" si="3"/>
        <v/>
      </c>
      <c r="I1008" s="68" t="str">
        <f t="shared" si="4"/>
        <v/>
      </c>
      <c r="J1008" s="59" t="str">
        <f t="shared" si="5"/>
        <v/>
      </c>
      <c r="K1008" s="69" t="str">
        <f t="shared" si="6"/>
        <v/>
      </c>
      <c r="L1008" s="60" t="str">
        <f t="shared" si="7"/>
        <v/>
      </c>
      <c r="M1008" s="61" t="str">
        <f>IFERROR(__xludf.DUMMYFUNCTION("IFS(AND(COUNTA(C1008:C1673)=0,COUNTA(Q1008:Q1673)=0),"""",OR(AND(K1008&gt;=1000000000,OR(Y1008&gt;=1000000000,COUNTA(Q1008:Q1673)=0)),OR(Y1008&gt;=1000000000,AND(COUNTA(C1008:C1673)=0,P$3=TRUE))),
ROUNDDOWN((AB$1-AC$1)*MAX(INDEX(T$4:T1673,MATCH(LARGE(FILTER(Y$4:Y1"&amp;"673,Y$4:Y1673&lt;1000000000),1),Y$4:Y1673)),INDEX(F$4:F1673,MATCH(LARGE(FILTER(K$4:K1673,K$4:K1673&lt;1000000000),1),K$4:K1673)))),AND(K1008&lt;1000000000,COUNTA(C1008:C1673)&gt;0,P$3=FALSE),
ROUNDDOWN(INDEX(Y$4:Y1673,MATCH(LARGE(FILTER(W$4:W1673,W$4:W1673&lt;=I1008),1)"&amp;",W$4:W1673))+(I1008-LARGE(FILTER(W$4:W1673,W$4:W1673&lt;=I1008),1))*INDEX(T$4:T1673,MATCH(LARGE(FILTER(W$4:W1673,W$4:W1673&lt;=I1008),1),W$4:W1673))-K1008),1,
ROUNDDOWN(Y1008-INDEX(K$4:K1673,MATCH(LARGE(FILTER(I$4:I1673,I$4:I1673&lt;=W1008),1),I$4:I1673))-(W1008-L"&amp;"ARGE(FILTER(I$4:I1673,I$4:I1673&lt;=W1008),1))*INDEX(F$4:F1673,MATCH(LARGE(FILTER(I$4:I1673,I$4:I1673&lt;=W1008),1),I$4:I1673))))"),"")</f>
        <v/>
      </c>
      <c r="N1008" s="60" t="str">
        <f t="shared" si="8"/>
        <v/>
      </c>
      <c r="O1008" s="61" t="str">
        <f t="shared" si="9"/>
        <v/>
      </c>
      <c r="P1008" s="56" t="str">
        <f t="shared" si="10"/>
        <v/>
      </c>
      <c r="R1008" s="10"/>
      <c r="S1008" s="59" t="str">
        <f t="array" ref="S1008">IF(COUNTA(Q1008:Q1673)=0,"",SUM((COUNTIF(Q$4:Q1008,Upgrades!$B$3:$B$13)-COUNTIF(Q$4:Q1008,"Sell_"&amp;Upgrades!$B$3:$B$13))*Upgrades!$D$3:$D$13))</f>
        <v/>
      </c>
      <c r="T1008" s="66" t="str">
        <f>IFERROR(__xludf.DUMMYFUNCTION("IF(COUNTA(Q1008:Q1673)=0,"""",IF(REGEXMATCH(INDEX(FILTER(Q$4:Q1008,Q$4:Q1008&lt;&gt;""""),ROWS(FILTER(Q$4:Q1008,Q$4:Q1008&lt;&gt;""""))),""^Sell_""),INDEX(FILTER(T$4:T1007,Q$4:Q1007&lt;&gt;""""),ROWS(FILTER(Q$4:Q1007,Q$4:Q1007&lt;&gt;""""))),$AD$5+S1008))"),"")</f>
        <v/>
      </c>
      <c r="U1008" s="10" t="str">
        <f>IFERROR(__xludf.DUMMYFUNCTION("IF(COUNTA(Q1008:Q1673)=0,"""",IF(Q1008="""",0,IF(REGEXMATCH(Q1008,""^Sell_""),-ROUNDDOWN(ROUNDUP(INDEX(Upgrades!$C$3:$C$13,MATCH(SUBSTITUTE(Q1008,""Sell_"",""""),Upgrades!$B$3:$B$13,0))*1.15^(COUNTIF(Q$4:Q1007,SUBSTITUTE(Q1008,""Sell_"",""""))-COUNTIF(Q$4"&amp;":Q1007,""Sell_""&amp;SUBSTITUTE(Q1008,""Sell_"",""""))))/2),ROUNDUP(INDEX(Upgrades!$C$3:$C$13,MATCH(Q1008,Upgrades!$B$3:$B$13,0))*1.15^(COUNTIF(Q$4:Q1007,Q1008)-COUNTIF(Q$4:Q1007,""Sell_""&amp;Q1008))))))"),"")</f>
        <v/>
      </c>
      <c r="V1008" s="10" t="str">
        <f t="shared" si="11"/>
        <v/>
      </c>
      <c r="W1008" s="68" t="str">
        <f t="shared" si="12"/>
        <v/>
      </c>
      <c r="X1008" s="59" t="str">
        <f t="shared" si="13"/>
        <v/>
      </c>
      <c r="Y1008" s="69" t="str">
        <f t="shared" si="14"/>
        <v/>
      </c>
      <c r="Z1008" s="11"/>
    </row>
    <row r="1009">
      <c r="A1009" s="8"/>
      <c r="B1009" s="56" t="str">
        <f t="shared" si="2"/>
        <v/>
      </c>
      <c r="C1009" s="105"/>
      <c r="D1009" s="10"/>
      <c r="E1009" s="59" t="str">
        <f t="array" ref="E1009">IF(COUNTA(C1009:C1673)=0,"",SUM((COUNTIF(C$4:C1009,Upgrades!$B$3:$B$13)-COUNTIF(C$4:C1009,"Sell_"&amp;Upgrades!$B$3:$B$13))*Upgrades!$D$3:$D$13))</f>
        <v/>
      </c>
      <c r="F1009" s="66" t="str">
        <f>IFERROR(__xludf.DUMMYFUNCTION("IF(COUNTA(C1009:C1673)=0,"""",IF(REGEXMATCH(INDEX(FILTER(C$4:C1009,C$4:C1009&lt;&gt;""""),ROWS(FILTER(C$4:C1009,C$4:C1009&lt;&gt;""""))),""^Sell_""),INDEX(FILTER(F$4:F1008,C$4:C1008&lt;&gt;""""),ROWS(FILTER(C$4:C1008,C$4:C1008&lt;&gt;""""))),$AC$5+E1009))"),"")</f>
        <v/>
      </c>
      <c r="G1009" s="10" t="str">
        <f>IFERROR(__xludf.DUMMYFUNCTION("IF(COUNTA(C1009:C1673)=0,"""",IF(C1009="""",0,IF(REGEXMATCH(C1009,""^Sell_""),-ROUNDDOWN(ROUNDUP(INDEX(Upgrades!$C$3:$C$13,MATCH(SUBSTITUTE(C1009,""Sell_"",""""),Upgrades!$B$3:$B$13,0))*1.15^(COUNTIF(C$4:C1008,SUBSTITUTE(C1009,""Sell_"",""""))-COUNTIF(C$4"&amp;":C1008,""Sell_""&amp;SUBSTITUTE(C1009,""Sell_"",""""))))/2),ROUNDUP(INDEX(Upgrades!$C$3:$C$13,MATCH(C1009,Upgrades!$B$3:$B$13,0))*1.15^(COUNTIF(C$4:C1008,C1009)-COUNTIF(C$4:C1008,""Sell_""&amp;C1009))))))"),"")</f>
        <v/>
      </c>
      <c r="H1009" s="10" t="str">
        <f t="shared" si="3"/>
        <v/>
      </c>
      <c r="I1009" s="68" t="str">
        <f t="shared" si="4"/>
        <v/>
      </c>
      <c r="J1009" s="59" t="str">
        <f t="shared" si="5"/>
        <v/>
      </c>
      <c r="K1009" s="69" t="str">
        <f t="shared" si="6"/>
        <v/>
      </c>
      <c r="L1009" s="60" t="str">
        <f t="shared" si="7"/>
        <v/>
      </c>
      <c r="M1009" s="61" t="str">
        <f>IFERROR(__xludf.DUMMYFUNCTION("IFS(AND(COUNTA(C1009:C1673)=0,COUNTA(Q1009:Q1673)=0),"""",OR(AND(K1009&gt;=1000000000,OR(Y1009&gt;=1000000000,COUNTA(Q1009:Q1673)=0)),OR(Y1009&gt;=1000000000,AND(COUNTA(C1009:C1673)=0,P$3=TRUE))),
ROUNDDOWN((AB$1-AC$1)*MAX(INDEX(T$4:T1673,MATCH(LARGE(FILTER(Y$4:Y1"&amp;"673,Y$4:Y1673&lt;1000000000),1),Y$4:Y1673)),INDEX(F$4:F1673,MATCH(LARGE(FILTER(K$4:K1673,K$4:K1673&lt;1000000000),1),K$4:K1673)))),AND(K1009&lt;1000000000,COUNTA(C1009:C1673)&gt;0,P$3=FALSE),
ROUNDDOWN(INDEX(Y$4:Y1673,MATCH(LARGE(FILTER(W$4:W1673,W$4:W1673&lt;=I1009),1)"&amp;",W$4:W1673))+(I1009-LARGE(FILTER(W$4:W1673,W$4:W1673&lt;=I1009),1))*INDEX(T$4:T1673,MATCH(LARGE(FILTER(W$4:W1673,W$4:W1673&lt;=I1009),1),W$4:W1673))-K1009),1,
ROUNDDOWN(Y1009-INDEX(K$4:K1673,MATCH(LARGE(FILTER(I$4:I1673,I$4:I1673&lt;=W1009),1),I$4:I1673))-(W1009-L"&amp;"ARGE(FILTER(I$4:I1673,I$4:I1673&lt;=W1009),1))*INDEX(F$4:F1673,MATCH(LARGE(FILTER(I$4:I1673,I$4:I1673&lt;=W1009),1),I$4:I1673))))"),"")</f>
        <v/>
      </c>
      <c r="N1009" s="60" t="str">
        <f t="shared" si="8"/>
        <v/>
      </c>
      <c r="O1009" s="61" t="str">
        <f t="shared" si="9"/>
        <v/>
      </c>
      <c r="P1009" s="56" t="str">
        <f t="shared" si="10"/>
        <v/>
      </c>
      <c r="R1009" s="10"/>
      <c r="S1009" s="59" t="str">
        <f t="array" ref="S1009">IF(COUNTA(Q1009:Q1673)=0,"",SUM((COUNTIF(Q$4:Q1009,Upgrades!$B$3:$B$13)-COUNTIF(Q$4:Q1009,"Sell_"&amp;Upgrades!$B$3:$B$13))*Upgrades!$D$3:$D$13))</f>
        <v/>
      </c>
      <c r="T1009" s="66" t="str">
        <f>IFERROR(__xludf.DUMMYFUNCTION("IF(COUNTA(Q1009:Q1673)=0,"""",IF(REGEXMATCH(INDEX(FILTER(Q$4:Q1009,Q$4:Q1009&lt;&gt;""""),ROWS(FILTER(Q$4:Q1009,Q$4:Q1009&lt;&gt;""""))),""^Sell_""),INDEX(FILTER(T$4:T1008,Q$4:Q1008&lt;&gt;""""),ROWS(FILTER(Q$4:Q1008,Q$4:Q1008&lt;&gt;""""))),$AD$5+S1009))"),"")</f>
        <v/>
      </c>
      <c r="U1009" s="10" t="str">
        <f>IFERROR(__xludf.DUMMYFUNCTION("IF(COUNTA(Q1009:Q1673)=0,"""",IF(Q1009="""",0,IF(REGEXMATCH(Q1009,""^Sell_""),-ROUNDDOWN(ROUNDUP(INDEX(Upgrades!$C$3:$C$13,MATCH(SUBSTITUTE(Q1009,""Sell_"",""""),Upgrades!$B$3:$B$13,0))*1.15^(COUNTIF(Q$4:Q1008,SUBSTITUTE(Q1009,""Sell_"",""""))-COUNTIF(Q$4"&amp;":Q1008,""Sell_""&amp;SUBSTITUTE(Q1009,""Sell_"",""""))))/2),ROUNDUP(INDEX(Upgrades!$C$3:$C$13,MATCH(Q1009,Upgrades!$B$3:$B$13,0))*1.15^(COUNTIF(Q$4:Q1008,Q1009)-COUNTIF(Q$4:Q1008,""Sell_""&amp;Q1009))))))"),"")</f>
        <v/>
      </c>
      <c r="V1009" s="10" t="str">
        <f t="shared" si="11"/>
        <v/>
      </c>
      <c r="W1009" s="68" t="str">
        <f t="shared" si="12"/>
        <v/>
      </c>
      <c r="X1009" s="59" t="str">
        <f t="shared" si="13"/>
        <v/>
      </c>
      <c r="Y1009" s="69" t="str">
        <f t="shared" si="14"/>
        <v/>
      </c>
      <c r="Z1009" s="11"/>
    </row>
    <row r="1010">
      <c r="A1010" s="8"/>
      <c r="B1010" s="56" t="str">
        <f t="shared" si="2"/>
        <v/>
      </c>
      <c r="C1010" s="105"/>
      <c r="D1010" s="10"/>
      <c r="E1010" s="59" t="str">
        <f t="array" ref="E1010">IF(COUNTA(C1010:C1673)=0,"",SUM((COUNTIF(C$4:C1010,Upgrades!$B$3:$B$13)-COUNTIF(C$4:C1010,"Sell_"&amp;Upgrades!$B$3:$B$13))*Upgrades!$D$3:$D$13))</f>
        <v/>
      </c>
      <c r="F1010" s="66" t="str">
        <f>IFERROR(__xludf.DUMMYFUNCTION("IF(COUNTA(C1010:C1673)=0,"""",IF(REGEXMATCH(INDEX(FILTER(C$4:C1010,C$4:C1010&lt;&gt;""""),ROWS(FILTER(C$4:C1010,C$4:C1010&lt;&gt;""""))),""^Sell_""),INDEX(FILTER(F$4:F1009,C$4:C1009&lt;&gt;""""),ROWS(FILTER(C$4:C1009,C$4:C1009&lt;&gt;""""))),$AC$5+E1010))"),"")</f>
        <v/>
      </c>
      <c r="G1010" s="10" t="str">
        <f>IFERROR(__xludf.DUMMYFUNCTION("IF(COUNTA(C1010:C1673)=0,"""",IF(C1010="""",0,IF(REGEXMATCH(C1010,""^Sell_""),-ROUNDDOWN(ROUNDUP(INDEX(Upgrades!$C$3:$C$13,MATCH(SUBSTITUTE(C1010,""Sell_"",""""),Upgrades!$B$3:$B$13,0))*1.15^(COUNTIF(C$4:C1009,SUBSTITUTE(C1010,""Sell_"",""""))-COUNTIF(C$4"&amp;":C1009,""Sell_""&amp;SUBSTITUTE(C1010,""Sell_"",""""))))/2),ROUNDUP(INDEX(Upgrades!$C$3:$C$13,MATCH(C1010,Upgrades!$B$3:$B$13,0))*1.15^(COUNTIF(C$4:C1009,C1010)-COUNTIF(C$4:C1009,""Sell_""&amp;C1010))))))"),"")</f>
        <v/>
      </c>
      <c r="H1010" s="10" t="str">
        <f t="shared" si="3"/>
        <v/>
      </c>
      <c r="I1010" s="68" t="str">
        <f t="shared" si="4"/>
        <v/>
      </c>
      <c r="J1010" s="59" t="str">
        <f t="shared" si="5"/>
        <v/>
      </c>
      <c r="K1010" s="69" t="str">
        <f t="shared" si="6"/>
        <v/>
      </c>
      <c r="L1010" s="60" t="str">
        <f t="shared" si="7"/>
        <v/>
      </c>
      <c r="M1010" s="61" t="str">
        <f>IFERROR(__xludf.DUMMYFUNCTION("IFS(AND(COUNTA(C1010:C1673)=0,COUNTA(Q1010:Q1673)=0),"""",OR(AND(K1010&gt;=1000000000,OR(Y1010&gt;=1000000000,COUNTA(Q1010:Q1673)=0)),OR(Y1010&gt;=1000000000,AND(COUNTA(C1010:C1673)=0,P$3=TRUE))),
ROUNDDOWN((AB$1-AC$1)*MAX(INDEX(T$4:T1673,MATCH(LARGE(FILTER(Y$4:Y1"&amp;"673,Y$4:Y1673&lt;1000000000),1),Y$4:Y1673)),INDEX(F$4:F1673,MATCH(LARGE(FILTER(K$4:K1673,K$4:K1673&lt;1000000000),1),K$4:K1673)))),AND(K1010&lt;1000000000,COUNTA(C1010:C1673)&gt;0,P$3=FALSE),
ROUNDDOWN(INDEX(Y$4:Y1673,MATCH(LARGE(FILTER(W$4:W1673,W$4:W1673&lt;=I1010),1)"&amp;",W$4:W1673))+(I1010-LARGE(FILTER(W$4:W1673,W$4:W1673&lt;=I1010),1))*INDEX(T$4:T1673,MATCH(LARGE(FILTER(W$4:W1673,W$4:W1673&lt;=I1010),1),W$4:W1673))-K1010),1,
ROUNDDOWN(Y1010-INDEX(K$4:K1673,MATCH(LARGE(FILTER(I$4:I1673,I$4:I1673&lt;=W1010),1),I$4:I1673))-(W1010-L"&amp;"ARGE(FILTER(I$4:I1673,I$4:I1673&lt;=W1010),1))*INDEX(F$4:F1673,MATCH(LARGE(FILTER(I$4:I1673,I$4:I1673&lt;=W1010),1),I$4:I1673))))"),"")</f>
        <v/>
      </c>
      <c r="N1010" s="60" t="str">
        <f t="shared" si="8"/>
        <v/>
      </c>
      <c r="O1010" s="61" t="str">
        <f t="shared" si="9"/>
        <v/>
      </c>
      <c r="P1010" s="56" t="str">
        <f t="shared" si="10"/>
        <v/>
      </c>
      <c r="R1010" s="10"/>
      <c r="S1010" s="59" t="str">
        <f t="array" ref="S1010">IF(COUNTA(Q1010:Q1673)=0,"",SUM((COUNTIF(Q$4:Q1010,Upgrades!$B$3:$B$13)-COUNTIF(Q$4:Q1010,"Sell_"&amp;Upgrades!$B$3:$B$13))*Upgrades!$D$3:$D$13))</f>
        <v/>
      </c>
      <c r="T1010" s="66" t="str">
        <f>IFERROR(__xludf.DUMMYFUNCTION("IF(COUNTA(Q1010:Q1673)=0,"""",IF(REGEXMATCH(INDEX(FILTER(Q$4:Q1010,Q$4:Q1010&lt;&gt;""""),ROWS(FILTER(Q$4:Q1010,Q$4:Q1010&lt;&gt;""""))),""^Sell_""),INDEX(FILTER(T$4:T1009,Q$4:Q1009&lt;&gt;""""),ROWS(FILTER(Q$4:Q1009,Q$4:Q1009&lt;&gt;""""))),$AD$5+S1010))"),"")</f>
        <v/>
      </c>
      <c r="U1010" s="10" t="str">
        <f>IFERROR(__xludf.DUMMYFUNCTION("IF(COUNTA(Q1010:Q1673)=0,"""",IF(Q1010="""",0,IF(REGEXMATCH(Q1010,""^Sell_""),-ROUNDDOWN(ROUNDUP(INDEX(Upgrades!$C$3:$C$13,MATCH(SUBSTITUTE(Q1010,""Sell_"",""""),Upgrades!$B$3:$B$13,0))*1.15^(COUNTIF(Q$4:Q1009,SUBSTITUTE(Q1010,""Sell_"",""""))-COUNTIF(Q$4"&amp;":Q1009,""Sell_""&amp;SUBSTITUTE(Q1010,""Sell_"",""""))))/2),ROUNDUP(INDEX(Upgrades!$C$3:$C$13,MATCH(Q1010,Upgrades!$B$3:$B$13,0))*1.15^(COUNTIF(Q$4:Q1009,Q1010)-COUNTIF(Q$4:Q1009,""Sell_""&amp;Q1010))))))"),"")</f>
        <v/>
      </c>
      <c r="V1010" s="10" t="str">
        <f t="shared" si="11"/>
        <v/>
      </c>
      <c r="W1010" s="68" t="str">
        <f t="shared" si="12"/>
        <v/>
      </c>
      <c r="X1010" s="59" t="str">
        <f t="shared" si="13"/>
        <v/>
      </c>
      <c r="Y1010" s="69" t="str">
        <f t="shared" si="14"/>
        <v/>
      </c>
      <c r="Z1010" s="11"/>
    </row>
    <row r="1011">
      <c r="A1011" s="8"/>
      <c r="B1011" s="56" t="str">
        <f t="shared" si="2"/>
        <v/>
      </c>
      <c r="C1011" s="105"/>
      <c r="D1011" s="10"/>
      <c r="E1011" s="59" t="str">
        <f t="array" ref="E1011">IF(COUNTA(C1011:C1673)=0,"",SUM((COUNTIF(C$4:C1011,Upgrades!$B$3:$B$13)-COUNTIF(C$4:C1011,"Sell_"&amp;Upgrades!$B$3:$B$13))*Upgrades!$D$3:$D$13))</f>
        <v/>
      </c>
      <c r="F1011" s="66" t="str">
        <f>IFERROR(__xludf.DUMMYFUNCTION("IF(COUNTA(C1011:C1673)=0,"""",IF(REGEXMATCH(INDEX(FILTER(C$4:C1011,C$4:C1011&lt;&gt;""""),ROWS(FILTER(C$4:C1011,C$4:C1011&lt;&gt;""""))),""^Sell_""),INDEX(FILTER(F$4:F1010,C$4:C1010&lt;&gt;""""),ROWS(FILTER(C$4:C1010,C$4:C1010&lt;&gt;""""))),$AC$5+E1011))"),"")</f>
        <v/>
      </c>
      <c r="G1011" s="10" t="str">
        <f>IFERROR(__xludf.DUMMYFUNCTION("IF(COUNTA(C1011:C1673)=0,"""",IF(C1011="""",0,IF(REGEXMATCH(C1011,""^Sell_""),-ROUNDDOWN(ROUNDUP(INDEX(Upgrades!$C$3:$C$13,MATCH(SUBSTITUTE(C1011,""Sell_"",""""),Upgrades!$B$3:$B$13,0))*1.15^(COUNTIF(C$4:C1010,SUBSTITUTE(C1011,""Sell_"",""""))-COUNTIF(C$4"&amp;":C1010,""Sell_""&amp;SUBSTITUTE(C1011,""Sell_"",""""))))/2),ROUNDUP(INDEX(Upgrades!$C$3:$C$13,MATCH(C1011,Upgrades!$B$3:$B$13,0))*1.15^(COUNTIF(C$4:C1010,C1011)-COUNTIF(C$4:C1010,""Sell_""&amp;C1011))))))"),"")</f>
        <v/>
      </c>
      <c r="H1011" s="10" t="str">
        <f t="shared" si="3"/>
        <v/>
      </c>
      <c r="I1011" s="68" t="str">
        <f t="shared" si="4"/>
        <v/>
      </c>
      <c r="J1011" s="59" t="str">
        <f t="shared" si="5"/>
        <v/>
      </c>
      <c r="K1011" s="69" t="str">
        <f t="shared" si="6"/>
        <v/>
      </c>
      <c r="L1011" s="60" t="str">
        <f t="shared" si="7"/>
        <v/>
      </c>
      <c r="M1011" s="61" t="str">
        <f>IFERROR(__xludf.DUMMYFUNCTION("IFS(AND(COUNTA(C1011:C1673)=0,COUNTA(Q1011:Q1673)=0),"""",OR(AND(K1011&gt;=1000000000,OR(Y1011&gt;=1000000000,COUNTA(Q1011:Q1673)=0)),OR(Y1011&gt;=1000000000,AND(COUNTA(C1011:C1673)=0,P$3=TRUE))),
ROUNDDOWN((AB$1-AC$1)*MAX(INDEX(T$4:T1673,MATCH(LARGE(FILTER(Y$4:Y1"&amp;"673,Y$4:Y1673&lt;1000000000),1),Y$4:Y1673)),INDEX(F$4:F1673,MATCH(LARGE(FILTER(K$4:K1673,K$4:K1673&lt;1000000000),1),K$4:K1673)))),AND(K1011&lt;1000000000,COUNTA(C1011:C1673)&gt;0,P$3=FALSE),
ROUNDDOWN(INDEX(Y$4:Y1673,MATCH(LARGE(FILTER(W$4:W1673,W$4:W1673&lt;=I1011),1)"&amp;",W$4:W1673))+(I1011-LARGE(FILTER(W$4:W1673,W$4:W1673&lt;=I1011),1))*INDEX(T$4:T1673,MATCH(LARGE(FILTER(W$4:W1673,W$4:W1673&lt;=I1011),1),W$4:W1673))-K1011),1,
ROUNDDOWN(Y1011-INDEX(K$4:K1673,MATCH(LARGE(FILTER(I$4:I1673,I$4:I1673&lt;=W1011),1),I$4:I1673))-(W1011-L"&amp;"ARGE(FILTER(I$4:I1673,I$4:I1673&lt;=W1011),1))*INDEX(F$4:F1673,MATCH(LARGE(FILTER(I$4:I1673,I$4:I1673&lt;=W1011),1),I$4:I1673))))"),"")</f>
        <v/>
      </c>
      <c r="N1011" s="60" t="str">
        <f t="shared" si="8"/>
        <v/>
      </c>
      <c r="O1011" s="61" t="str">
        <f t="shared" si="9"/>
        <v/>
      </c>
      <c r="P1011" s="56" t="str">
        <f t="shared" si="10"/>
        <v/>
      </c>
      <c r="R1011" s="10"/>
      <c r="S1011" s="59" t="str">
        <f t="array" ref="S1011">IF(COUNTA(Q1011:Q1673)=0,"",SUM((COUNTIF(Q$4:Q1011,Upgrades!$B$3:$B$13)-COUNTIF(Q$4:Q1011,"Sell_"&amp;Upgrades!$B$3:$B$13))*Upgrades!$D$3:$D$13))</f>
        <v/>
      </c>
      <c r="T1011" s="66" t="str">
        <f>IFERROR(__xludf.DUMMYFUNCTION("IF(COUNTA(Q1011:Q1673)=0,"""",IF(REGEXMATCH(INDEX(FILTER(Q$4:Q1011,Q$4:Q1011&lt;&gt;""""),ROWS(FILTER(Q$4:Q1011,Q$4:Q1011&lt;&gt;""""))),""^Sell_""),INDEX(FILTER(T$4:T1010,Q$4:Q1010&lt;&gt;""""),ROWS(FILTER(Q$4:Q1010,Q$4:Q1010&lt;&gt;""""))),$AD$5+S1011))"),"")</f>
        <v/>
      </c>
      <c r="U1011" s="10" t="str">
        <f>IFERROR(__xludf.DUMMYFUNCTION("IF(COUNTA(Q1011:Q1673)=0,"""",IF(Q1011="""",0,IF(REGEXMATCH(Q1011,""^Sell_""),-ROUNDDOWN(ROUNDUP(INDEX(Upgrades!$C$3:$C$13,MATCH(SUBSTITUTE(Q1011,""Sell_"",""""),Upgrades!$B$3:$B$13,0))*1.15^(COUNTIF(Q$4:Q1010,SUBSTITUTE(Q1011,""Sell_"",""""))-COUNTIF(Q$4"&amp;":Q1010,""Sell_""&amp;SUBSTITUTE(Q1011,""Sell_"",""""))))/2),ROUNDUP(INDEX(Upgrades!$C$3:$C$13,MATCH(Q1011,Upgrades!$B$3:$B$13,0))*1.15^(COUNTIF(Q$4:Q1010,Q1011)-COUNTIF(Q$4:Q1010,""Sell_""&amp;Q1011))))))"),"")</f>
        <v/>
      </c>
      <c r="V1011" s="10" t="str">
        <f t="shared" si="11"/>
        <v/>
      </c>
      <c r="W1011" s="68" t="str">
        <f t="shared" si="12"/>
        <v/>
      </c>
      <c r="X1011" s="59" t="str">
        <f t="shared" si="13"/>
        <v/>
      </c>
      <c r="Y1011" s="69" t="str">
        <f t="shared" si="14"/>
        <v/>
      </c>
      <c r="Z1011" s="11"/>
    </row>
    <row r="1012">
      <c r="A1012" s="8"/>
      <c r="B1012" s="56" t="str">
        <f t="shared" si="2"/>
        <v/>
      </c>
      <c r="C1012" s="105"/>
      <c r="D1012" s="10"/>
      <c r="E1012" s="59" t="str">
        <f t="array" ref="E1012">IF(COUNTA(C1012:C1673)=0,"",SUM((COUNTIF(C$4:C1012,Upgrades!$B$3:$B$13)-COUNTIF(C$4:C1012,"Sell_"&amp;Upgrades!$B$3:$B$13))*Upgrades!$D$3:$D$13))</f>
        <v/>
      </c>
      <c r="F1012" s="66" t="str">
        <f>IFERROR(__xludf.DUMMYFUNCTION("IF(COUNTA(C1012:C1673)=0,"""",IF(REGEXMATCH(INDEX(FILTER(C$4:C1012,C$4:C1012&lt;&gt;""""),ROWS(FILTER(C$4:C1012,C$4:C1012&lt;&gt;""""))),""^Sell_""),INDEX(FILTER(F$4:F1011,C$4:C1011&lt;&gt;""""),ROWS(FILTER(C$4:C1011,C$4:C1011&lt;&gt;""""))),$AC$5+E1012))"),"")</f>
        <v/>
      </c>
      <c r="G1012" s="10" t="str">
        <f>IFERROR(__xludf.DUMMYFUNCTION("IF(COUNTA(C1012:C1673)=0,"""",IF(C1012="""",0,IF(REGEXMATCH(C1012,""^Sell_""),-ROUNDDOWN(ROUNDUP(INDEX(Upgrades!$C$3:$C$13,MATCH(SUBSTITUTE(C1012,""Sell_"",""""),Upgrades!$B$3:$B$13,0))*1.15^(COUNTIF(C$4:C1011,SUBSTITUTE(C1012,""Sell_"",""""))-COUNTIF(C$4"&amp;":C1011,""Sell_""&amp;SUBSTITUTE(C1012,""Sell_"",""""))))/2),ROUNDUP(INDEX(Upgrades!$C$3:$C$13,MATCH(C1012,Upgrades!$B$3:$B$13,0))*1.15^(COUNTIF(C$4:C1011,C1012)-COUNTIF(C$4:C1011,""Sell_""&amp;C1012))))))"),"")</f>
        <v/>
      </c>
      <c r="H1012" s="10" t="str">
        <f t="shared" si="3"/>
        <v/>
      </c>
      <c r="I1012" s="68" t="str">
        <f t="shared" si="4"/>
        <v/>
      </c>
      <c r="J1012" s="59" t="str">
        <f t="shared" si="5"/>
        <v/>
      </c>
      <c r="K1012" s="69" t="str">
        <f t="shared" si="6"/>
        <v/>
      </c>
      <c r="L1012" s="60" t="str">
        <f t="shared" si="7"/>
        <v/>
      </c>
      <c r="M1012" s="61" t="str">
        <f>IFERROR(__xludf.DUMMYFUNCTION("IFS(AND(COUNTA(C1012:C1673)=0,COUNTA(Q1012:Q1673)=0),"""",OR(AND(K1012&gt;=1000000000,OR(Y1012&gt;=1000000000,COUNTA(Q1012:Q1673)=0)),OR(Y1012&gt;=1000000000,AND(COUNTA(C1012:C1673)=0,P$3=TRUE))),
ROUNDDOWN((AB$1-AC$1)*MAX(INDEX(T$4:T1673,MATCH(LARGE(FILTER(Y$4:Y1"&amp;"673,Y$4:Y1673&lt;1000000000),1),Y$4:Y1673)),INDEX(F$4:F1673,MATCH(LARGE(FILTER(K$4:K1673,K$4:K1673&lt;1000000000),1),K$4:K1673)))),AND(K1012&lt;1000000000,COUNTA(C1012:C1673)&gt;0,P$3=FALSE),
ROUNDDOWN(INDEX(Y$4:Y1673,MATCH(LARGE(FILTER(W$4:W1673,W$4:W1673&lt;=I1012),1)"&amp;",W$4:W1673))+(I1012-LARGE(FILTER(W$4:W1673,W$4:W1673&lt;=I1012),1))*INDEX(T$4:T1673,MATCH(LARGE(FILTER(W$4:W1673,W$4:W1673&lt;=I1012),1),W$4:W1673))-K1012),1,
ROUNDDOWN(Y1012-INDEX(K$4:K1673,MATCH(LARGE(FILTER(I$4:I1673,I$4:I1673&lt;=W1012),1),I$4:I1673))-(W1012-L"&amp;"ARGE(FILTER(I$4:I1673,I$4:I1673&lt;=W1012),1))*INDEX(F$4:F1673,MATCH(LARGE(FILTER(I$4:I1673,I$4:I1673&lt;=W1012),1),I$4:I1673))))"),"")</f>
        <v/>
      </c>
      <c r="N1012" s="60" t="str">
        <f t="shared" si="8"/>
        <v/>
      </c>
      <c r="O1012" s="61" t="str">
        <f t="shared" si="9"/>
        <v/>
      </c>
      <c r="P1012" s="56" t="str">
        <f t="shared" si="10"/>
        <v/>
      </c>
      <c r="R1012" s="10"/>
      <c r="S1012" s="59" t="str">
        <f t="array" ref="S1012">IF(COUNTA(Q1012:Q1673)=0,"",SUM((COUNTIF(Q$4:Q1012,Upgrades!$B$3:$B$13)-COUNTIF(Q$4:Q1012,"Sell_"&amp;Upgrades!$B$3:$B$13))*Upgrades!$D$3:$D$13))</f>
        <v/>
      </c>
      <c r="T1012" s="66" t="str">
        <f>IFERROR(__xludf.DUMMYFUNCTION("IF(COUNTA(Q1012:Q1673)=0,"""",IF(REGEXMATCH(INDEX(FILTER(Q$4:Q1012,Q$4:Q1012&lt;&gt;""""),ROWS(FILTER(Q$4:Q1012,Q$4:Q1012&lt;&gt;""""))),""^Sell_""),INDEX(FILTER(T$4:T1011,Q$4:Q1011&lt;&gt;""""),ROWS(FILTER(Q$4:Q1011,Q$4:Q1011&lt;&gt;""""))),$AD$5+S1012))"),"")</f>
        <v/>
      </c>
      <c r="U1012" s="10" t="str">
        <f>IFERROR(__xludf.DUMMYFUNCTION("IF(COUNTA(Q1012:Q1673)=0,"""",IF(Q1012="""",0,IF(REGEXMATCH(Q1012,""^Sell_""),-ROUNDDOWN(ROUNDUP(INDEX(Upgrades!$C$3:$C$13,MATCH(SUBSTITUTE(Q1012,""Sell_"",""""),Upgrades!$B$3:$B$13,0))*1.15^(COUNTIF(Q$4:Q1011,SUBSTITUTE(Q1012,""Sell_"",""""))-COUNTIF(Q$4"&amp;":Q1011,""Sell_""&amp;SUBSTITUTE(Q1012,""Sell_"",""""))))/2),ROUNDUP(INDEX(Upgrades!$C$3:$C$13,MATCH(Q1012,Upgrades!$B$3:$B$13,0))*1.15^(COUNTIF(Q$4:Q1011,Q1012)-COUNTIF(Q$4:Q1011,""Sell_""&amp;Q1012))))))"),"")</f>
        <v/>
      </c>
      <c r="V1012" s="10" t="str">
        <f t="shared" si="11"/>
        <v/>
      </c>
      <c r="W1012" s="68" t="str">
        <f t="shared" si="12"/>
        <v/>
      </c>
      <c r="X1012" s="59" t="str">
        <f t="shared" si="13"/>
        <v/>
      </c>
      <c r="Y1012" s="69" t="str">
        <f t="shared" si="14"/>
        <v/>
      </c>
      <c r="Z1012" s="11"/>
    </row>
    <row r="1013">
      <c r="A1013" s="8"/>
      <c r="B1013" s="56" t="str">
        <f t="shared" si="2"/>
        <v/>
      </c>
      <c r="C1013" s="105"/>
      <c r="D1013" s="10"/>
      <c r="E1013" s="59" t="str">
        <f t="array" ref="E1013">IF(COUNTA(C1013:C1673)=0,"",SUM((COUNTIF(C$4:C1013,Upgrades!$B$3:$B$13)-COUNTIF(C$4:C1013,"Sell_"&amp;Upgrades!$B$3:$B$13))*Upgrades!$D$3:$D$13))</f>
        <v/>
      </c>
      <c r="F1013" s="66" t="str">
        <f>IFERROR(__xludf.DUMMYFUNCTION("IF(COUNTA(C1013:C1673)=0,"""",IF(REGEXMATCH(INDEX(FILTER(C$4:C1013,C$4:C1013&lt;&gt;""""),ROWS(FILTER(C$4:C1013,C$4:C1013&lt;&gt;""""))),""^Sell_""),INDEX(FILTER(F$4:F1012,C$4:C1012&lt;&gt;""""),ROWS(FILTER(C$4:C1012,C$4:C1012&lt;&gt;""""))),$AC$5+E1013))"),"")</f>
        <v/>
      </c>
      <c r="G1013" s="10" t="str">
        <f>IFERROR(__xludf.DUMMYFUNCTION("IF(COUNTA(C1013:C1673)=0,"""",IF(C1013="""",0,IF(REGEXMATCH(C1013,""^Sell_""),-ROUNDDOWN(ROUNDUP(INDEX(Upgrades!$C$3:$C$13,MATCH(SUBSTITUTE(C1013,""Sell_"",""""),Upgrades!$B$3:$B$13,0))*1.15^(COUNTIF(C$4:C1012,SUBSTITUTE(C1013,""Sell_"",""""))-COUNTIF(C$4"&amp;":C1012,""Sell_""&amp;SUBSTITUTE(C1013,""Sell_"",""""))))/2),ROUNDUP(INDEX(Upgrades!$C$3:$C$13,MATCH(C1013,Upgrades!$B$3:$B$13,0))*1.15^(COUNTIF(C$4:C1012,C1013)-COUNTIF(C$4:C1012,""Sell_""&amp;C1013))))))"),"")</f>
        <v/>
      </c>
      <c r="H1013" s="10" t="str">
        <f t="shared" si="3"/>
        <v/>
      </c>
      <c r="I1013" s="68" t="str">
        <f t="shared" si="4"/>
        <v/>
      </c>
      <c r="J1013" s="59" t="str">
        <f t="shared" si="5"/>
        <v/>
      </c>
      <c r="K1013" s="69" t="str">
        <f t="shared" si="6"/>
        <v/>
      </c>
      <c r="L1013" s="60" t="str">
        <f t="shared" si="7"/>
        <v/>
      </c>
      <c r="M1013" s="61" t="str">
        <f>IFERROR(__xludf.DUMMYFUNCTION("IFS(AND(COUNTA(C1013:C1673)=0,COUNTA(Q1013:Q1673)=0),"""",OR(AND(K1013&gt;=1000000000,OR(Y1013&gt;=1000000000,COUNTA(Q1013:Q1673)=0)),OR(Y1013&gt;=1000000000,AND(COUNTA(C1013:C1673)=0,P$3=TRUE))),
ROUNDDOWN((AB$1-AC$1)*MAX(INDEX(T$4:T1673,MATCH(LARGE(FILTER(Y$4:Y1"&amp;"673,Y$4:Y1673&lt;1000000000),1),Y$4:Y1673)),INDEX(F$4:F1673,MATCH(LARGE(FILTER(K$4:K1673,K$4:K1673&lt;1000000000),1),K$4:K1673)))),AND(K1013&lt;1000000000,COUNTA(C1013:C1673)&gt;0,P$3=FALSE),
ROUNDDOWN(INDEX(Y$4:Y1673,MATCH(LARGE(FILTER(W$4:W1673,W$4:W1673&lt;=I1013),1)"&amp;",W$4:W1673))+(I1013-LARGE(FILTER(W$4:W1673,W$4:W1673&lt;=I1013),1))*INDEX(T$4:T1673,MATCH(LARGE(FILTER(W$4:W1673,W$4:W1673&lt;=I1013),1),W$4:W1673))-K1013),1,
ROUNDDOWN(Y1013-INDEX(K$4:K1673,MATCH(LARGE(FILTER(I$4:I1673,I$4:I1673&lt;=W1013),1),I$4:I1673))-(W1013-L"&amp;"ARGE(FILTER(I$4:I1673,I$4:I1673&lt;=W1013),1))*INDEX(F$4:F1673,MATCH(LARGE(FILTER(I$4:I1673,I$4:I1673&lt;=W1013),1),I$4:I1673))))"),"")</f>
        <v/>
      </c>
      <c r="N1013" s="60" t="str">
        <f t="shared" si="8"/>
        <v/>
      </c>
      <c r="O1013" s="61" t="str">
        <f t="shared" si="9"/>
        <v/>
      </c>
      <c r="P1013" s="56" t="str">
        <f t="shared" si="10"/>
        <v/>
      </c>
      <c r="R1013" s="10"/>
      <c r="S1013" s="59" t="str">
        <f t="array" ref="S1013">IF(COUNTA(Q1013:Q1673)=0,"",SUM((COUNTIF(Q$4:Q1013,Upgrades!$B$3:$B$13)-COUNTIF(Q$4:Q1013,"Sell_"&amp;Upgrades!$B$3:$B$13))*Upgrades!$D$3:$D$13))</f>
        <v/>
      </c>
      <c r="T1013" s="66" t="str">
        <f>IFERROR(__xludf.DUMMYFUNCTION("IF(COUNTA(Q1013:Q1673)=0,"""",IF(REGEXMATCH(INDEX(FILTER(Q$4:Q1013,Q$4:Q1013&lt;&gt;""""),ROWS(FILTER(Q$4:Q1013,Q$4:Q1013&lt;&gt;""""))),""^Sell_""),INDEX(FILTER(T$4:T1012,Q$4:Q1012&lt;&gt;""""),ROWS(FILTER(Q$4:Q1012,Q$4:Q1012&lt;&gt;""""))),$AD$5+S1013))"),"")</f>
        <v/>
      </c>
      <c r="U1013" s="10" t="str">
        <f>IFERROR(__xludf.DUMMYFUNCTION("IF(COUNTA(Q1013:Q1673)=0,"""",IF(Q1013="""",0,IF(REGEXMATCH(Q1013,""^Sell_""),-ROUNDDOWN(ROUNDUP(INDEX(Upgrades!$C$3:$C$13,MATCH(SUBSTITUTE(Q1013,""Sell_"",""""),Upgrades!$B$3:$B$13,0))*1.15^(COUNTIF(Q$4:Q1012,SUBSTITUTE(Q1013,""Sell_"",""""))-COUNTIF(Q$4"&amp;":Q1012,""Sell_""&amp;SUBSTITUTE(Q1013,""Sell_"",""""))))/2),ROUNDUP(INDEX(Upgrades!$C$3:$C$13,MATCH(Q1013,Upgrades!$B$3:$B$13,0))*1.15^(COUNTIF(Q$4:Q1012,Q1013)-COUNTIF(Q$4:Q1012,""Sell_""&amp;Q1013))))))"),"")</f>
        <v/>
      </c>
      <c r="V1013" s="10" t="str">
        <f t="shared" si="11"/>
        <v/>
      </c>
      <c r="W1013" s="68" t="str">
        <f t="shared" si="12"/>
        <v/>
      </c>
      <c r="X1013" s="59" t="str">
        <f t="shared" si="13"/>
        <v/>
      </c>
      <c r="Y1013" s="69" t="str">
        <f t="shared" si="14"/>
        <v/>
      </c>
      <c r="Z1013" s="11"/>
    </row>
    <row r="1014">
      <c r="A1014" s="8"/>
      <c r="B1014" s="56" t="str">
        <f t="shared" si="2"/>
        <v/>
      </c>
      <c r="C1014" s="105"/>
      <c r="D1014" s="10"/>
      <c r="E1014" s="59" t="str">
        <f t="array" ref="E1014">IF(COUNTA(C1014:C1673)=0,"",SUM((COUNTIF(C$4:C1014,Upgrades!$B$3:$B$13)-COUNTIF(C$4:C1014,"Sell_"&amp;Upgrades!$B$3:$B$13))*Upgrades!$D$3:$D$13))</f>
        <v/>
      </c>
      <c r="F1014" s="66" t="str">
        <f>IFERROR(__xludf.DUMMYFUNCTION("IF(COUNTA(C1014:C1673)=0,"""",IF(REGEXMATCH(INDEX(FILTER(C$4:C1014,C$4:C1014&lt;&gt;""""),ROWS(FILTER(C$4:C1014,C$4:C1014&lt;&gt;""""))),""^Sell_""),INDEX(FILTER(F$4:F1013,C$4:C1013&lt;&gt;""""),ROWS(FILTER(C$4:C1013,C$4:C1013&lt;&gt;""""))),$AC$5+E1014))"),"")</f>
        <v/>
      </c>
      <c r="G1014" s="10" t="str">
        <f>IFERROR(__xludf.DUMMYFUNCTION("IF(COUNTA(C1014:C1673)=0,"""",IF(C1014="""",0,IF(REGEXMATCH(C1014,""^Sell_""),-ROUNDDOWN(ROUNDUP(INDEX(Upgrades!$C$3:$C$13,MATCH(SUBSTITUTE(C1014,""Sell_"",""""),Upgrades!$B$3:$B$13,0))*1.15^(COUNTIF(C$4:C1013,SUBSTITUTE(C1014,""Sell_"",""""))-COUNTIF(C$4"&amp;":C1013,""Sell_""&amp;SUBSTITUTE(C1014,""Sell_"",""""))))/2),ROUNDUP(INDEX(Upgrades!$C$3:$C$13,MATCH(C1014,Upgrades!$B$3:$B$13,0))*1.15^(COUNTIF(C$4:C1013,C1014)-COUNTIF(C$4:C1013,""Sell_""&amp;C1014))))))"),"")</f>
        <v/>
      </c>
      <c r="H1014" s="10" t="str">
        <f t="shared" si="3"/>
        <v/>
      </c>
      <c r="I1014" s="68" t="str">
        <f t="shared" si="4"/>
        <v/>
      </c>
      <c r="J1014" s="59" t="str">
        <f t="shared" si="5"/>
        <v/>
      </c>
      <c r="K1014" s="69" t="str">
        <f t="shared" si="6"/>
        <v/>
      </c>
      <c r="L1014" s="60" t="str">
        <f t="shared" si="7"/>
        <v/>
      </c>
      <c r="M1014" s="61" t="str">
        <f>IFERROR(__xludf.DUMMYFUNCTION("IFS(AND(COUNTA(C1014:C1673)=0,COUNTA(Q1014:Q1673)=0),"""",OR(AND(K1014&gt;=1000000000,OR(Y1014&gt;=1000000000,COUNTA(Q1014:Q1673)=0)),OR(Y1014&gt;=1000000000,AND(COUNTA(C1014:C1673)=0,P$3=TRUE))),
ROUNDDOWN((AB$1-AC$1)*MAX(INDEX(T$4:T1673,MATCH(LARGE(FILTER(Y$4:Y1"&amp;"673,Y$4:Y1673&lt;1000000000),1),Y$4:Y1673)),INDEX(F$4:F1673,MATCH(LARGE(FILTER(K$4:K1673,K$4:K1673&lt;1000000000),1),K$4:K1673)))),AND(K1014&lt;1000000000,COUNTA(C1014:C1673)&gt;0,P$3=FALSE),
ROUNDDOWN(INDEX(Y$4:Y1673,MATCH(LARGE(FILTER(W$4:W1673,W$4:W1673&lt;=I1014),1)"&amp;",W$4:W1673))+(I1014-LARGE(FILTER(W$4:W1673,W$4:W1673&lt;=I1014),1))*INDEX(T$4:T1673,MATCH(LARGE(FILTER(W$4:W1673,W$4:W1673&lt;=I1014),1),W$4:W1673))-K1014),1,
ROUNDDOWN(Y1014-INDEX(K$4:K1673,MATCH(LARGE(FILTER(I$4:I1673,I$4:I1673&lt;=W1014),1),I$4:I1673))-(W1014-L"&amp;"ARGE(FILTER(I$4:I1673,I$4:I1673&lt;=W1014),1))*INDEX(F$4:F1673,MATCH(LARGE(FILTER(I$4:I1673,I$4:I1673&lt;=W1014),1),I$4:I1673))))"),"")</f>
        <v/>
      </c>
      <c r="N1014" s="60" t="str">
        <f t="shared" si="8"/>
        <v/>
      </c>
      <c r="O1014" s="61" t="str">
        <f t="shared" si="9"/>
        <v/>
      </c>
      <c r="P1014" s="56" t="str">
        <f t="shared" si="10"/>
        <v/>
      </c>
      <c r="R1014" s="10"/>
      <c r="S1014" s="59" t="str">
        <f t="array" ref="S1014">IF(COUNTA(Q1014:Q1673)=0,"",SUM((COUNTIF(Q$4:Q1014,Upgrades!$B$3:$B$13)-COUNTIF(Q$4:Q1014,"Sell_"&amp;Upgrades!$B$3:$B$13))*Upgrades!$D$3:$D$13))</f>
        <v/>
      </c>
      <c r="T1014" s="66" t="str">
        <f>IFERROR(__xludf.DUMMYFUNCTION("IF(COUNTA(Q1014:Q1673)=0,"""",IF(REGEXMATCH(INDEX(FILTER(Q$4:Q1014,Q$4:Q1014&lt;&gt;""""),ROWS(FILTER(Q$4:Q1014,Q$4:Q1014&lt;&gt;""""))),""^Sell_""),INDEX(FILTER(T$4:T1013,Q$4:Q1013&lt;&gt;""""),ROWS(FILTER(Q$4:Q1013,Q$4:Q1013&lt;&gt;""""))),$AD$5+S1014))"),"")</f>
        <v/>
      </c>
      <c r="U1014" s="10" t="str">
        <f>IFERROR(__xludf.DUMMYFUNCTION("IF(COUNTA(Q1014:Q1673)=0,"""",IF(Q1014="""",0,IF(REGEXMATCH(Q1014,""^Sell_""),-ROUNDDOWN(ROUNDUP(INDEX(Upgrades!$C$3:$C$13,MATCH(SUBSTITUTE(Q1014,""Sell_"",""""),Upgrades!$B$3:$B$13,0))*1.15^(COUNTIF(Q$4:Q1013,SUBSTITUTE(Q1014,""Sell_"",""""))-COUNTIF(Q$4"&amp;":Q1013,""Sell_""&amp;SUBSTITUTE(Q1014,""Sell_"",""""))))/2),ROUNDUP(INDEX(Upgrades!$C$3:$C$13,MATCH(Q1014,Upgrades!$B$3:$B$13,0))*1.15^(COUNTIF(Q$4:Q1013,Q1014)-COUNTIF(Q$4:Q1013,""Sell_""&amp;Q1014))))))"),"")</f>
        <v/>
      </c>
      <c r="V1014" s="10" t="str">
        <f t="shared" si="11"/>
        <v/>
      </c>
      <c r="W1014" s="68" t="str">
        <f t="shared" si="12"/>
        <v/>
      </c>
      <c r="X1014" s="59" t="str">
        <f t="shared" si="13"/>
        <v/>
      </c>
      <c r="Y1014" s="69" t="str">
        <f t="shared" si="14"/>
        <v/>
      </c>
      <c r="Z1014" s="11"/>
    </row>
    <row r="1015">
      <c r="A1015" s="8"/>
      <c r="B1015" s="56" t="str">
        <f t="shared" si="2"/>
        <v/>
      </c>
      <c r="C1015" s="105"/>
      <c r="D1015" s="10"/>
      <c r="E1015" s="59" t="str">
        <f t="array" ref="E1015">IF(COUNTA(C1015:C1673)=0,"",SUM((COUNTIF(C$4:C1015,Upgrades!$B$3:$B$13)-COUNTIF(C$4:C1015,"Sell_"&amp;Upgrades!$B$3:$B$13))*Upgrades!$D$3:$D$13))</f>
        <v/>
      </c>
      <c r="F1015" s="66" t="str">
        <f>IFERROR(__xludf.DUMMYFUNCTION("IF(COUNTA(C1015:C1673)=0,"""",IF(REGEXMATCH(INDEX(FILTER(C$4:C1015,C$4:C1015&lt;&gt;""""),ROWS(FILTER(C$4:C1015,C$4:C1015&lt;&gt;""""))),""^Sell_""),INDEX(FILTER(F$4:F1014,C$4:C1014&lt;&gt;""""),ROWS(FILTER(C$4:C1014,C$4:C1014&lt;&gt;""""))),$AC$5+E1015))"),"")</f>
        <v/>
      </c>
      <c r="G1015" s="10" t="str">
        <f>IFERROR(__xludf.DUMMYFUNCTION("IF(COUNTA(C1015:C1673)=0,"""",IF(C1015="""",0,IF(REGEXMATCH(C1015,""^Sell_""),-ROUNDDOWN(ROUNDUP(INDEX(Upgrades!$C$3:$C$13,MATCH(SUBSTITUTE(C1015,""Sell_"",""""),Upgrades!$B$3:$B$13,0))*1.15^(COUNTIF(C$4:C1014,SUBSTITUTE(C1015,""Sell_"",""""))-COUNTIF(C$4"&amp;":C1014,""Sell_""&amp;SUBSTITUTE(C1015,""Sell_"",""""))))/2),ROUNDUP(INDEX(Upgrades!$C$3:$C$13,MATCH(C1015,Upgrades!$B$3:$B$13,0))*1.15^(COUNTIF(C$4:C1014,C1015)-COUNTIF(C$4:C1014,""Sell_""&amp;C1015))))))"),"")</f>
        <v/>
      </c>
      <c r="H1015" s="10" t="str">
        <f t="shared" si="3"/>
        <v/>
      </c>
      <c r="I1015" s="68" t="str">
        <f t="shared" si="4"/>
        <v/>
      </c>
      <c r="J1015" s="59" t="str">
        <f t="shared" si="5"/>
        <v/>
      </c>
      <c r="K1015" s="69" t="str">
        <f t="shared" si="6"/>
        <v/>
      </c>
      <c r="L1015" s="60" t="str">
        <f t="shared" si="7"/>
        <v/>
      </c>
      <c r="M1015" s="61" t="str">
        <f>IFERROR(__xludf.DUMMYFUNCTION("IFS(AND(COUNTA(C1015:C1673)=0,COUNTA(Q1015:Q1673)=0),"""",OR(AND(K1015&gt;=1000000000,OR(Y1015&gt;=1000000000,COUNTA(Q1015:Q1673)=0)),OR(Y1015&gt;=1000000000,AND(COUNTA(C1015:C1673)=0,P$3=TRUE))),
ROUNDDOWN((AB$1-AC$1)*MAX(INDEX(T$4:T1673,MATCH(LARGE(FILTER(Y$4:Y1"&amp;"673,Y$4:Y1673&lt;1000000000),1),Y$4:Y1673)),INDEX(F$4:F1673,MATCH(LARGE(FILTER(K$4:K1673,K$4:K1673&lt;1000000000),1),K$4:K1673)))),AND(K1015&lt;1000000000,COUNTA(C1015:C1673)&gt;0,P$3=FALSE),
ROUNDDOWN(INDEX(Y$4:Y1673,MATCH(LARGE(FILTER(W$4:W1673,W$4:W1673&lt;=I1015),1)"&amp;",W$4:W1673))+(I1015-LARGE(FILTER(W$4:W1673,W$4:W1673&lt;=I1015),1))*INDEX(T$4:T1673,MATCH(LARGE(FILTER(W$4:W1673,W$4:W1673&lt;=I1015),1),W$4:W1673))-K1015),1,
ROUNDDOWN(Y1015-INDEX(K$4:K1673,MATCH(LARGE(FILTER(I$4:I1673,I$4:I1673&lt;=W1015),1),I$4:I1673))-(W1015-L"&amp;"ARGE(FILTER(I$4:I1673,I$4:I1673&lt;=W1015),1))*INDEX(F$4:F1673,MATCH(LARGE(FILTER(I$4:I1673,I$4:I1673&lt;=W1015),1),I$4:I1673))))"),"")</f>
        <v/>
      </c>
      <c r="N1015" s="60" t="str">
        <f t="shared" si="8"/>
        <v/>
      </c>
      <c r="O1015" s="61" t="str">
        <f t="shared" si="9"/>
        <v/>
      </c>
      <c r="P1015" s="56" t="str">
        <f t="shared" si="10"/>
        <v/>
      </c>
      <c r="R1015" s="10"/>
      <c r="S1015" s="59" t="str">
        <f t="array" ref="S1015">IF(COUNTA(Q1015:Q1673)=0,"",SUM((COUNTIF(Q$4:Q1015,Upgrades!$B$3:$B$13)-COUNTIF(Q$4:Q1015,"Sell_"&amp;Upgrades!$B$3:$B$13))*Upgrades!$D$3:$D$13))</f>
        <v/>
      </c>
      <c r="T1015" s="66" t="str">
        <f>IFERROR(__xludf.DUMMYFUNCTION("IF(COUNTA(Q1015:Q1673)=0,"""",IF(REGEXMATCH(INDEX(FILTER(Q$4:Q1015,Q$4:Q1015&lt;&gt;""""),ROWS(FILTER(Q$4:Q1015,Q$4:Q1015&lt;&gt;""""))),""^Sell_""),INDEX(FILTER(T$4:T1014,Q$4:Q1014&lt;&gt;""""),ROWS(FILTER(Q$4:Q1014,Q$4:Q1014&lt;&gt;""""))),$AD$5+S1015))"),"")</f>
        <v/>
      </c>
      <c r="U1015" s="10" t="str">
        <f>IFERROR(__xludf.DUMMYFUNCTION("IF(COUNTA(Q1015:Q1673)=0,"""",IF(Q1015="""",0,IF(REGEXMATCH(Q1015,""^Sell_""),-ROUNDDOWN(ROUNDUP(INDEX(Upgrades!$C$3:$C$13,MATCH(SUBSTITUTE(Q1015,""Sell_"",""""),Upgrades!$B$3:$B$13,0))*1.15^(COUNTIF(Q$4:Q1014,SUBSTITUTE(Q1015,""Sell_"",""""))-COUNTIF(Q$4"&amp;":Q1014,""Sell_""&amp;SUBSTITUTE(Q1015,""Sell_"",""""))))/2),ROUNDUP(INDEX(Upgrades!$C$3:$C$13,MATCH(Q1015,Upgrades!$B$3:$B$13,0))*1.15^(COUNTIF(Q$4:Q1014,Q1015)-COUNTIF(Q$4:Q1014,""Sell_""&amp;Q1015))))))"),"")</f>
        <v/>
      </c>
      <c r="V1015" s="10" t="str">
        <f t="shared" si="11"/>
        <v/>
      </c>
      <c r="W1015" s="68" t="str">
        <f t="shared" si="12"/>
        <v/>
      </c>
      <c r="X1015" s="59" t="str">
        <f t="shared" si="13"/>
        <v/>
      </c>
      <c r="Y1015" s="69" t="str">
        <f t="shared" si="14"/>
        <v/>
      </c>
      <c r="Z1015" s="11"/>
    </row>
    <row r="1016">
      <c r="A1016" s="8"/>
      <c r="B1016" s="56" t="str">
        <f t="shared" si="2"/>
        <v/>
      </c>
      <c r="C1016" s="105"/>
      <c r="D1016" s="10"/>
      <c r="E1016" s="59" t="str">
        <f t="array" ref="E1016">IF(COUNTA(C1016:C1673)=0,"",SUM((COUNTIF(C$4:C1016,Upgrades!$B$3:$B$13)-COUNTIF(C$4:C1016,"Sell_"&amp;Upgrades!$B$3:$B$13))*Upgrades!$D$3:$D$13))</f>
        <v/>
      </c>
      <c r="F1016" s="66" t="str">
        <f>IFERROR(__xludf.DUMMYFUNCTION("IF(COUNTA(C1016:C1673)=0,"""",IF(REGEXMATCH(INDEX(FILTER(C$4:C1016,C$4:C1016&lt;&gt;""""),ROWS(FILTER(C$4:C1016,C$4:C1016&lt;&gt;""""))),""^Sell_""),INDEX(FILTER(F$4:F1015,C$4:C1015&lt;&gt;""""),ROWS(FILTER(C$4:C1015,C$4:C1015&lt;&gt;""""))),$AC$5+E1016))"),"")</f>
        <v/>
      </c>
      <c r="G1016" s="10" t="str">
        <f>IFERROR(__xludf.DUMMYFUNCTION("IF(COUNTA(C1016:C1673)=0,"""",IF(C1016="""",0,IF(REGEXMATCH(C1016,""^Sell_""),-ROUNDDOWN(ROUNDUP(INDEX(Upgrades!$C$3:$C$13,MATCH(SUBSTITUTE(C1016,""Sell_"",""""),Upgrades!$B$3:$B$13,0))*1.15^(COUNTIF(C$4:C1015,SUBSTITUTE(C1016,""Sell_"",""""))-COUNTIF(C$4"&amp;":C1015,""Sell_""&amp;SUBSTITUTE(C1016,""Sell_"",""""))))/2),ROUNDUP(INDEX(Upgrades!$C$3:$C$13,MATCH(C1016,Upgrades!$B$3:$B$13,0))*1.15^(COUNTIF(C$4:C1015,C1016)-COUNTIF(C$4:C1015,""Sell_""&amp;C1016))))))"),"")</f>
        <v/>
      </c>
      <c r="H1016" s="10" t="str">
        <f t="shared" si="3"/>
        <v/>
      </c>
      <c r="I1016" s="68" t="str">
        <f t="shared" si="4"/>
        <v/>
      </c>
      <c r="J1016" s="59" t="str">
        <f t="shared" si="5"/>
        <v/>
      </c>
      <c r="K1016" s="69" t="str">
        <f t="shared" si="6"/>
        <v/>
      </c>
      <c r="L1016" s="60" t="str">
        <f t="shared" si="7"/>
        <v/>
      </c>
      <c r="M1016" s="61" t="str">
        <f>IFERROR(__xludf.DUMMYFUNCTION("IFS(AND(COUNTA(C1016:C1673)=0,COUNTA(Q1016:Q1673)=0),"""",OR(AND(K1016&gt;=1000000000,OR(Y1016&gt;=1000000000,COUNTA(Q1016:Q1673)=0)),OR(Y1016&gt;=1000000000,AND(COUNTA(C1016:C1673)=0,P$3=TRUE))),
ROUNDDOWN((AB$1-AC$1)*MAX(INDEX(T$4:T1673,MATCH(LARGE(FILTER(Y$4:Y1"&amp;"673,Y$4:Y1673&lt;1000000000),1),Y$4:Y1673)),INDEX(F$4:F1673,MATCH(LARGE(FILTER(K$4:K1673,K$4:K1673&lt;1000000000),1),K$4:K1673)))),AND(K1016&lt;1000000000,COUNTA(C1016:C1673)&gt;0,P$3=FALSE),
ROUNDDOWN(INDEX(Y$4:Y1673,MATCH(LARGE(FILTER(W$4:W1673,W$4:W1673&lt;=I1016),1)"&amp;",W$4:W1673))+(I1016-LARGE(FILTER(W$4:W1673,W$4:W1673&lt;=I1016),1))*INDEX(T$4:T1673,MATCH(LARGE(FILTER(W$4:W1673,W$4:W1673&lt;=I1016),1),W$4:W1673))-K1016),1,
ROUNDDOWN(Y1016-INDEX(K$4:K1673,MATCH(LARGE(FILTER(I$4:I1673,I$4:I1673&lt;=W1016),1),I$4:I1673))-(W1016-L"&amp;"ARGE(FILTER(I$4:I1673,I$4:I1673&lt;=W1016),1))*INDEX(F$4:F1673,MATCH(LARGE(FILTER(I$4:I1673,I$4:I1673&lt;=W1016),1),I$4:I1673))))"),"")</f>
        <v/>
      </c>
      <c r="N1016" s="60" t="str">
        <f t="shared" si="8"/>
        <v/>
      </c>
      <c r="O1016" s="61" t="str">
        <f t="shared" si="9"/>
        <v/>
      </c>
      <c r="P1016" s="56" t="str">
        <f t="shared" si="10"/>
        <v/>
      </c>
      <c r="R1016" s="10"/>
      <c r="S1016" s="59" t="str">
        <f t="array" ref="S1016">IF(COUNTA(Q1016:Q1673)=0,"",SUM((COUNTIF(Q$4:Q1016,Upgrades!$B$3:$B$13)-COUNTIF(Q$4:Q1016,"Sell_"&amp;Upgrades!$B$3:$B$13))*Upgrades!$D$3:$D$13))</f>
        <v/>
      </c>
      <c r="T1016" s="66" t="str">
        <f>IFERROR(__xludf.DUMMYFUNCTION("IF(COUNTA(Q1016:Q1673)=0,"""",IF(REGEXMATCH(INDEX(FILTER(Q$4:Q1016,Q$4:Q1016&lt;&gt;""""),ROWS(FILTER(Q$4:Q1016,Q$4:Q1016&lt;&gt;""""))),""^Sell_""),INDEX(FILTER(T$4:T1015,Q$4:Q1015&lt;&gt;""""),ROWS(FILTER(Q$4:Q1015,Q$4:Q1015&lt;&gt;""""))),$AD$5+S1016))"),"")</f>
        <v/>
      </c>
      <c r="U1016" s="10" t="str">
        <f>IFERROR(__xludf.DUMMYFUNCTION("IF(COUNTA(Q1016:Q1673)=0,"""",IF(Q1016="""",0,IF(REGEXMATCH(Q1016,""^Sell_""),-ROUNDDOWN(ROUNDUP(INDEX(Upgrades!$C$3:$C$13,MATCH(SUBSTITUTE(Q1016,""Sell_"",""""),Upgrades!$B$3:$B$13,0))*1.15^(COUNTIF(Q$4:Q1015,SUBSTITUTE(Q1016,""Sell_"",""""))-COUNTIF(Q$4"&amp;":Q1015,""Sell_""&amp;SUBSTITUTE(Q1016,""Sell_"",""""))))/2),ROUNDUP(INDEX(Upgrades!$C$3:$C$13,MATCH(Q1016,Upgrades!$B$3:$B$13,0))*1.15^(COUNTIF(Q$4:Q1015,Q1016)-COUNTIF(Q$4:Q1015,""Sell_""&amp;Q1016))))))"),"")</f>
        <v/>
      </c>
      <c r="V1016" s="10" t="str">
        <f t="shared" si="11"/>
        <v/>
      </c>
      <c r="W1016" s="68" t="str">
        <f t="shared" si="12"/>
        <v/>
      </c>
      <c r="X1016" s="59" t="str">
        <f t="shared" si="13"/>
        <v/>
      </c>
      <c r="Y1016" s="69" t="str">
        <f t="shared" si="14"/>
        <v/>
      </c>
      <c r="Z1016" s="11"/>
    </row>
    <row r="1017">
      <c r="A1017" s="8"/>
      <c r="B1017" s="56" t="str">
        <f t="shared" si="2"/>
        <v/>
      </c>
      <c r="C1017" s="105"/>
      <c r="D1017" s="10"/>
      <c r="E1017" s="59" t="str">
        <f t="array" ref="E1017">IF(COUNTA(C1017:C1673)=0,"",SUM((COUNTIF(C$4:C1017,Upgrades!$B$3:$B$13)-COUNTIF(C$4:C1017,"Sell_"&amp;Upgrades!$B$3:$B$13))*Upgrades!$D$3:$D$13))</f>
        <v/>
      </c>
      <c r="F1017" s="66" t="str">
        <f>IFERROR(__xludf.DUMMYFUNCTION("IF(COUNTA(C1017:C1673)=0,"""",IF(REGEXMATCH(INDEX(FILTER(C$4:C1017,C$4:C1017&lt;&gt;""""),ROWS(FILTER(C$4:C1017,C$4:C1017&lt;&gt;""""))),""^Sell_""),INDEX(FILTER(F$4:F1016,C$4:C1016&lt;&gt;""""),ROWS(FILTER(C$4:C1016,C$4:C1016&lt;&gt;""""))),$AC$5+E1017))"),"")</f>
        <v/>
      </c>
      <c r="G1017" s="10" t="str">
        <f>IFERROR(__xludf.DUMMYFUNCTION("IF(COUNTA(C1017:C1673)=0,"""",IF(C1017="""",0,IF(REGEXMATCH(C1017,""^Sell_""),-ROUNDDOWN(ROUNDUP(INDEX(Upgrades!$C$3:$C$13,MATCH(SUBSTITUTE(C1017,""Sell_"",""""),Upgrades!$B$3:$B$13,0))*1.15^(COUNTIF(C$4:C1016,SUBSTITUTE(C1017,""Sell_"",""""))-COUNTIF(C$4"&amp;":C1016,""Sell_""&amp;SUBSTITUTE(C1017,""Sell_"",""""))))/2),ROUNDUP(INDEX(Upgrades!$C$3:$C$13,MATCH(C1017,Upgrades!$B$3:$B$13,0))*1.15^(COUNTIF(C$4:C1016,C1017)-COUNTIF(C$4:C1016,""Sell_""&amp;C1017))))))"),"")</f>
        <v/>
      </c>
      <c r="H1017" s="10" t="str">
        <f t="shared" si="3"/>
        <v/>
      </c>
      <c r="I1017" s="68" t="str">
        <f t="shared" si="4"/>
        <v/>
      </c>
      <c r="J1017" s="59" t="str">
        <f t="shared" si="5"/>
        <v/>
      </c>
      <c r="K1017" s="69" t="str">
        <f t="shared" si="6"/>
        <v/>
      </c>
      <c r="L1017" s="60" t="str">
        <f t="shared" si="7"/>
        <v/>
      </c>
      <c r="M1017" s="61" t="str">
        <f>IFERROR(__xludf.DUMMYFUNCTION("IFS(AND(COUNTA(C1017:C1673)=0,COUNTA(Q1017:Q1673)=0),"""",OR(AND(K1017&gt;=1000000000,OR(Y1017&gt;=1000000000,COUNTA(Q1017:Q1673)=0)),OR(Y1017&gt;=1000000000,AND(COUNTA(C1017:C1673)=0,P$3=TRUE))),
ROUNDDOWN((AB$1-AC$1)*MAX(INDEX(T$4:T1673,MATCH(LARGE(FILTER(Y$4:Y1"&amp;"673,Y$4:Y1673&lt;1000000000),1),Y$4:Y1673)),INDEX(F$4:F1673,MATCH(LARGE(FILTER(K$4:K1673,K$4:K1673&lt;1000000000),1),K$4:K1673)))),AND(K1017&lt;1000000000,COUNTA(C1017:C1673)&gt;0,P$3=FALSE),
ROUNDDOWN(INDEX(Y$4:Y1673,MATCH(LARGE(FILTER(W$4:W1673,W$4:W1673&lt;=I1017),1)"&amp;",W$4:W1673))+(I1017-LARGE(FILTER(W$4:W1673,W$4:W1673&lt;=I1017),1))*INDEX(T$4:T1673,MATCH(LARGE(FILTER(W$4:W1673,W$4:W1673&lt;=I1017),1),W$4:W1673))-K1017),1,
ROUNDDOWN(Y1017-INDEX(K$4:K1673,MATCH(LARGE(FILTER(I$4:I1673,I$4:I1673&lt;=W1017),1),I$4:I1673))-(W1017-L"&amp;"ARGE(FILTER(I$4:I1673,I$4:I1673&lt;=W1017),1))*INDEX(F$4:F1673,MATCH(LARGE(FILTER(I$4:I1673,I$4:I1673&lt;=W1017),1),I$4:I1673))))"),"")</f>
        <v/>
      </c>
      <c r="N1017" s="60" t="str">
        <f t="shared" si="8"/>
        <v/>
      </c>
      <c r="O1017" s="61" t="str">
        <f t="shared" si="9"/>
        <v/>
      </c>
      <c r="P1017" s="56" t="str">
        <f t="shared" si="10"/>
        <v/>
      </c>
      <c r="R1017" s="10"/>
      <c r="S1017" s="59" t="str">
        <f t="array" ref="S1017">IF(COUNTA(Q1017:Q1673)=0,"",SUM((COUNTIF(Q$4:Q1017,Upgrades!$B$3:$B$13)-COUNTIF(Q$4:Q1017,"Sell_"&amp;Upgrades!$B$3:$B$13))*Upgrades!$D$3:$D$13))</f>
        <v/>
      </c>
      <c r="T1017" s="66" t="str">
        <f>IFERROR(__xludf.DUMMYFUNCTION("IF(COUNTA(Q1017:Q1673)=0,"""",IF(REGEXMATCH(INDEX(FILTER(Q$4:Q1017,Q$4:Q1017&lt;&gt;""""),ROWS(FILTER(Q$4:Q1017,Q$4:Q1017&lt;&gt;""""))),""^Sell_""),INDEX(FILTER(T$4:T1016,Q$4:Q1016&lt;&gt;""""),ROWS(FILTER(Q$4:Q1016,Q$4:Q1016&lt;&gt;""""))),$AD$5+S1017))"),"")</f>
        <v/>
      </c>
      <c r="U1017" s="10" t="str">
        <f>IFERROR(__xludf.DUMMYFUNCTION("IF(COUNTA(Q1017:Q1673)=0,"""",IF(Q1017="""",0,IF(REGEXMATCH(Q1017,""^Sell_""),-ROUNDDOWN(ROUNDUP(INDEX(Upgrades!$C$3:$C$13,MATCH(SUBSTITUTE(Q1017,""Sell_"",""""),Upgrades!$B$3:$B$13,0))*1.15^(COUNTIF(Q$4:Q1016,SUBSTITUTE(Q1017,""Sell_"",""""))-COUNTIF(Q$4"&amp;":Q1016,""Sell_""&amp;SUBSTITUTE(Q1017,""Sell_"",""""))))/2),ROUNDUP(INDEX(Upgrades!$C$3:$C$13,MATCH(Q1017,Upgrades!$B$3:$B$13,0))*1.15^(COUNTIF(Q$4:Q1016,Q1017)-COUNTIF(Q$4:Q1016,""Sell_""&amp;Q1017))))))"),"")</f>
        <v/>
      </c>
      <c r="V1017" s="10" t="str">
        <f t="shared" si="11"/>
        <v/>
      </c>
      <c r="W1017" s="68" t="str">
        <f t="shared" si="12"/>
        <v/>
      </c>
      <c r="X1017" s="59" t="str">
        <f t="shared" si="13"/>
        <v/>
      </c>
      <c r="Y1017" s="69" t="str">
        <f t="shared" si="14"/>
        <v/>
      </c>
      <c r="Z1017" s="11"/>
    </row>
    <row r="1018">
      <c r="A1018" s="8"/>
      <c r="B1018" s="56" t="str">
        <f t="shared" si="2"/>
        <v/>
      </c>
      <c r="C1018" s="105"/>
      <c r="D1018" s="10"/>
      <c r="E1018" s="59" t="str">
        <f t="array" ref="E1018">IF(COUNTA(C1018:C1673)=0,"",SUM((COUNTIF(C$4:C1018,Upgrades!$B$3:$B$13)-COUNTIF(C$4:C1018,"Sell_"&amp;Upgrades!$B$3:$B$13))*Upgrades!$D$3:$D$13))</f>
        <v/>
      </c>
      <c r="F1018" s="66" t="str">
        <f>IFERROR(__xludf.DUMMYFUNCTION("IF(COUNTA(C1018:C1673)=0,"""",IF(REGEXMATCH(INDEX(FILTER(C$4:C1018,C$4:C1018&lt;&gt;""""),ROWS(FILTER(C$4:C1018,C$4:C1018&lt;&gt;""""))),""^Sell_""),INDEX(FILTER(F$4:F1017,C$4:C1017&lt;&gt;""""),ROWS(FILTER(C$4:C1017,C$4:C1017&lt;&gt;""""))),$AC$5+E1018))"),"")</f>
        <v/>
      </c>
      <c r="G1018" s="10" t="str">
        <f>IFERROR(__xludf.DUMMYFUNCTION("IF(COUNTA(C1018:C1673)=0,"""",IF(C1018="""",0,IF(REGEXMATCH(C1018,""^Sell_""),-ROUNDDOWN(ROUNDUP(INDEX(Upgrades!$C$3:$C$13,MATCH(SUBSTITUTE(C1018,""Sell_"",""""),Upgrades!$B$3:$B$13,0))*1.15^(COUNTIF(C$4:C1017,SUBSTITUTE(C1018,""Sell_"",""""))-COUNTIF(C$4"&amp;":C1017,""Sell_""&amp;SUBSTITUTE(C1018,""Sell_"",""""))))/2),ROUNDUP(INDEX(Upgrades!$C$3:$C$13,MATCH(C1018,Upgrades!$B$3:$B$13,0))*1.15^(COUNTIF(C$4:C1017,C1018)-COUNTIF(C$4:C1017,""Sell_""&amp;C1018))))))"),"")</f>
        <v/>
      </c>
      <c r="H1018" s="10" t="str">
        <f t="shared" si="3"/>
        <v/>
      </c>
      <c r="I1018" s="68" t="str">
        <f t="shared" si="4"/>
        <v/>
      </c>
      <c r="J1018" s="59" t="str">
        <f t="shared" si="5"/>
        <v/>
      </c>
      <c r="K1018" s="69" t="str">
        <f t="shared" si="6"/>
        <v/>
      </c>
      <c r="L1018" s="60" t="str">
        <f t="shared" si="7"/>
        <v/>
      </c>
      <c r="M1018" s="61" t="str">
        <f>IFERROR(__xludf.DUMMYFUNCTION("IFS(AND(COUNTA(C1018:C1673)=0,COUNTA(Q1018:Q1673)=0),"""",OR(AND(K1018&gt;=1000000000,OR(Y1018&gt;=1000000000,COUNTA(Q1018:Q1673)=0)),OR(Y1018&gt;=1000000000,AND(COUNTA(C1018:C1673)=0,P$3=TRUE))),
ROUNDDOWN((AB$1-AC$1)*MAX(INDEX(T$4:T1673,MATCH(LARGE(FILTER(Y$4:Y1"&amp;"673,Y$4:Y1673&lt;1000000000),1),Y$4:Y1673)),INDEX(F$4:F1673,MATCH(LARGE(FILTER(K$4:K1673,K$4:K1673&lt;1000000000),1),K$4:K1673)))),AND(K1018&lt;1000000000,COUNTA(C1018:C1673)&gt;0,P$3=FALSE),
ROUNDDOWN(INDEX(Y$4:Y1673,MATCH(LARGE(FILTER(W$4:W1673,W$4:W1673&lt;=I1018),1)"&amp;",W$4:W1673))+(I1018-LARGE(FILTER(W$4:W1673,W$4:W1673&lt;=I1018),1))*INDEX(T$4:T1673,MATCH(LARGE(FILTER(W$4:W1673,W$4:W1673&lt;=I1018),1),W$4:W1673))-K1018),1,
ROUNDDOWN(Y1018-INDEX(K$4:K1673,MATCH(LARGE(FILTER(I$4:I1673,I$4:I1673&lt;=W1018),1),I$4:I1673))-(W1018-L"&amp;"ARGE(FILTER(I$4:I1673,I$4:I1673&lt;=W1018),1))*INDEX(F$4:F1673,MATCH(LARGE(FILTER(I$4:I1673,I$4:I1673&lt;=W1018),1),I$4:I1673))))"),"")</f>
        <v/>
      </c>
      <c r="N1018" s="60" t="str">
        <f t="shared" si="8"/>
        <v/>
      </c>
      <c r="O1018" s="61" t="str">
        <f t="shared" si="9"/>
        <v/>
      </c>
      <c r="P1018" s="56" t="str">
        <f t="shared" si="10"/>
        <v/>
      </c>
      <c r="R1018" s="10"/>
      <c r="S1018" s="59" t="str">
        <f t="array" ref="S1018">IF(COUNTA(Q1018:Q1673)=0,"",SUM((COUNTIF(Q$4:Q1018,Upgrades!$B$3:$B$13)-COUNTIF(Q$4:Q1018,"Sell_"&amp;Upgrades!$B$3:$B$13))*Upgrades!$D$3:$D$13))</f>
        <v/>
      </c>
      <c r="T1018" s="66" t="str">
        <f>IFERROR(__xludf.DUMMYFUNCTION("IF(COUNTA(Q1018:Q1673)=0,"""",IF(REGEXMATCH(INDEX(FILTER(Q$4:Q1018,Q$4:Q1018&lt;&gt;""""),ROWS(FILTER(Q$4:Q1018,Q$4:Q1018&lt;&gt;""""))),""^Sell_""),INDEX(FILTER(T$4:T1017,Q$4:Q1017&lt;&gt;""""),ROWS(FILTER(Q$4:Q1017,Q$4:Q1017&lt;&gt;""""))),$AD$5+S1018))"),"")</f>
        <v/>
      </c>
      <c r="U1018" s="10" t="str">
        <f>IFERROR(__xludf.DUMMYFUNCTION("IF(COUNTA(Q1018:Q1673)=0,"""",IF(Q1018="""",0,IF(REGEXMATCH(Q1018,""^Sell_""),-ROUNDDOWN(ROUNDUP(INDEX(Upgrades!$C$3:$C$13,MATCH(SUBSTITUTE(Q1018,""Sell_"",""""),Upgrades!$B$3:$B$13,0))*1.15^(COUNTIF(Q$4:Q1017,SUBSTITUTE(Q1018,""Sell_"",""""))-COUNTIF(Q$4"&amp;":Q1017,""Sell_""&amp;SUBSTITUTE(Q1018,""Sell_"",""""))))/2),ROUNDUP(INDEX(Upgrades!$C$3:$C$13,MATCH(Q1018,Upgrades!$B$3:$B$13,0))*1.15^(COUNTIF(Q$4:Q1017,Q1018)-COUNTIF(Q$4:Q1017,""Sell_""&amp;Q1018))))))"),"")</f>
        <v/>
      </c>
      <c r="V1018" s="10" t="str">
        <f t="shared" si="11"/>
        <v/>
      </c>
      <c r="W1018" s="68" t="str">
        <f t="shared" si="12"/>
        <v/>
      </c>
      <c r="X1018" s="59" t="str">
        <f t="shared" si="13"/>
        <v/>
      </c>
      <c r="Y1018" s="69" t="str">
        <f t="shared" si="14"/>
        <v/>
      </c>
      <c r="Z1018" s="11"/>
    </row>
    <row r="1019">
      <c r="A1019" s="8"/>
      <c r="B1019" s="56" t="str">
        <f t="shared" si="2"/>
        <v/>
      </c>
      <c r="C1019" s="105"/>
      <c r="D1019" s="10"/>
      <c r="E1019" s="59" t="str">
        <f t="array" ref="E1019">IF(COUNTA(C1019:C1673)=0,"",SUM((COUNTIF(C$4:C1019,Upgrades!$B$3:$B$13)-COUNTIF(C$4:C1019,"Sell_"&amp;Upgrades!$B$3:$B$13))*Upgrades!$D$3:$D$13))</f>
        <v/>
      </c>
      <c r="F1019" s="66" t="str">
        <f>IFERROR(__xludf.DUMMYFUNCTION("IF(COUNTA(C1019:C1673)=0,"""",IF(REGEXMATCH(INDEX(FILTER(C$4:C1019,C$4:C1019&lt;&gt;""""),ROWS(FILTER(C$4:C1019,C$4:C1019&lt;&gt;""""))),""^Sell_""),INDEX(FILTER(F$4:F1018,C$4:C1018&lt;&gt;""""),ROWS(FILTER(C$4:C1018,C$4:C1018&lt;&gt;""""))),$AC$5+E1019))"),"")</f>
        <v/>
      </c>
      <c r="G1019" s="10" t="str">
        <f>IFERROR(__xludf.DUMMYFUNCTION("IF(COUNTA(C1019:C1673)=0,"""",IF(C1019="""",0,IF(REGEXMATCH(C1019,""^Sell_""),-ROUNDDOWN(ROUNDUP(INDEX(Upgrades!$C$3:$C$13,MATCH(SUBSTITUTE(C1019,""Sell_"",""""),Upgrades!$B$3:$B$13,0))*1.15^(COUNTIF(C$4:C1018,SUBSTITUTE(C1019,""Sell_"",""""))-COUNTIF(C$4"&amp;":C1018,""Sell_""&amp;SUBSTITUTE(C1019,""Sell_"",""""))))/2),ROUNDUP(INDEX(Upgrades!$C$3:$C$13,MATCH(C1019,Upgrades!$B$3:$B$13,0))*1.15^(COUNTIF(C$4:C1018,C1019)-COUNTIF(C$4:C1018,""Sell_""&amp;C1019))))))"),"")</f>
        <v/>
      </c>
      <c r="H1019" s="10" t="str">
        <f t="shared" si="3"/>
        <v/>
      </c>
      <c r="I1019" s="68" t="str">
        <f t="shared" si="4"/>
        <v/>
      </c>
      <c r="J1019" s="59" t="str">
        <f t="shared" si="5"/>
        <v/>
      </c>
      <c r="K1019" s="69" t="str">
        <f t="shared" si="6"/>
        <v/>
      </c>
      <c r="L1019" s="60" t="str">
        <f t="shared" si="7"/>
        <v/>
      </c>
      <c r="M1019" s="61" t="str">
        <f>IFERROR(__xludf.DUMMYFUNCTION("IFS(AND(COUNTA(C1019:C1673)=0,COUNTA(Q1019:Q1673)=0),"""",OR(AND(K1019&gt;=1000000000,OR(Y1019&gt;=1000000000,COUNTA(Q1019:Q1673)=0)),OR(Y1019&gt;=1000000000,AND(COUNTA(C1019:C1673)=0,P$3=TRUE))),
ROUNDDOWN((AB$1-AC$1)*MAX(INDEX(T$4:T1673,MATCH(LARGE(FILTER(Y$4:Y1"&amp;"673,Y$4:Y1673&lt;1000000000),1),Y$4:Y1673)),INDEX(F$4:F1673,MATCH(LARGE(FILTER(K$4:K1673,K$4:K1673&lt;1000000000),1),K$4:K1673)))),AND(K1019&lt;1000000000,COUNTA(C1019:C1673)&gt;0,P$3=FALSE),
ROUNDDOWN(INDEX(Y$4:Y1673,MATCH(LARGE(FILTER(W$4:W1673,W$4:W1673&lt;=I1019),1)"&amp;",W$4:W1673))+(I1019-LARGE(FILTER(W$4:W1673,W$4:W1673&lt;=I1019),1))*INDEX(T$4:T1673,MATCH(LARGE(FILTER(W$4:W1673,W$4:W1673&lt;=I1019),1),W$4:W1673))-K1019),1,
ROUNDDOWN(Y1019-INDEX(K$4:K1673,MATCH(LARGE(FILTER(I$4:I1673,I$4:I1673&lt;=W1019),1),I$4:I1673))-(W1019-L"&amp;"ARGE(FILTER(I$4:I1673,I$4:I1673&lt;=W1019),1))*INDEX(F$4:F1673,MATCH(LARGE(FILTER(I$4:I1673,I$4:I1673&lt;=W1019),1),I$4:I1673))))"),"")</f>
        <v/>
      </c>
      <c r="N1019" s="60" t="str">
        <f t="shared" si="8"/>
        <v/>
      </c>
      <c r="O1019" s="61" t="str">
        <f t="shared" si="9"/>
        <v/>
      </c>
      <c r="P1019" s="56" t="str">
        <f t="shared" si="10"/>
        <v/>
      </c>
      <c r="R1019" s="10"/>
      <c r="S1019" s="59" t="str">
        <f t="array" ref="S1019">IF(COUNTA(Q1019:Q1673)=0,"",SUM((COUNTIF(Q$4:Q1019,Upgrades!$B$3:$B$13)-COUNTIF(Q$4:Q1019,"Sell_"&amp;Upgrades!$B$3:$B$13))*Upgrades!$D$3:$D$13))</f>
        <v/>
      </c>
      <c r="T1019" s="66" t="str">
        <f>IFERROR(__xludf.DUMMYFUNCTION("IF(COUNTA(Q1019:Q1673)=0,"""",IF(REGEXMATCH(INDEX(FILTER(Q$4:Q1019,Q$4:Q1019&lt;&gt;""""),ROWS(FILTER(Q$4:Q1019,Q$4:Q1019&lt;&gt;""""))),""^Sell_""),INDEX(FILTER(T$4:T1018,Q$4:Q1018&lt;&gt;""""),ROWS(FILTER(Q$4:Q1018,Q$4:Q1018&lt;&gt;""""))),$AD$5+S1019))"),"")</f>
        <v/>
      </c>
      <c r="U1019" s="10" t="str">
        <f>IFERROR(__xludf.DUMMYFUNCTION("IF(COUNTA(Q1019:Q1673)=0,"""",IF(Q1019="""",0,IF(REGEXMATCH(Q1019,""^Sell_""),-ROUNDDOWN(ROUNDUP(INDEX(Upgrades!$C$3:$C$13,MATCH(SUBSTITUTE(Q1019,""Sell_"",""""),Upgrades!$B$3:$B$13,0))*1.15^(COUNTIF(Q$4:Q1018,SUBSTITUTE(Q1019,""Sell_"",""""))-COUNTIF(Q$4"&amp;":Q1018,""Sell_""&amp;SUBSTITUTE(Q1019,""Sell_"",""""))))/2),ROUNDUP(INDEX(Upgrades!$C$3:$C$13,MATCH(Q1019,Upgrades!$B$3:$B$13,0))*1.15^(COUNTIF(Q$4:Q1018,Q1019)-COUNTIF(Q$4:Q1018,""Sell_""&amp;Q1019))))))"),"")</f>
        <v/>
      </c>
      <c r="V1019" s="10" t="str">
        <f t="shared" si="11"/>
        <v/>
      </c>
      <c r="W1019" s="68" t="str">
        <f t="shared" si="12"/>
        <v/>
      </c>
      <c r="X1019" s="59" t="str">
        <f t="shared" si="13"/>
        <v/>
      </c>
      <c r="Y1019" s="69" t="str">
        <f t="shared" si="14"/>
        <v/>
      </c>
      <c r="Z1019" s="11"/>
    </row>
    <row r="1020">
      <c r="A1020" s="8"/>
      <c r="B1020" s="56" t="str">
        <f t="shared" si="2"/>
        <v/>
      </c>
      <c r="C1020" s="105"/>
      <c r="D1020" s="10"/>
      <c r="E1020" s="59" t="str">
        <f t="array" ref="E1020">IF(COUNTA(C1020:C1673)=0,"",SUM((COUNTIF(C$4:C1020,Upgrades!$B$3:$B$13)-COUNTIF(C$4:C1020,"Sell_"&amp;Upgrades!$B$3:$B$13))*Upgrades!$D$3:$D$13))</f>
        <v/>
      </c>
      <c r="F1020" s="66" t="str">
        <f>IFERROR(__xludf.DUMMYFUNCTION("IF(COUNTA(C1020:C1673)=0,"""",IF(REGEXMATCH(INDEX(FILTER(C$4:C1020,C$4:C1020&lt;&gt;""""),ROWS(FILTER(C$4:C1020,C$4:C1020&lt;&gt;""""))),""^Sell_""),INDEX(FILTER(F$4:F1019,C$4:C1019&lt;&gt;""""),ROWS(FILTER(C$4:C1019,C$4:C1019&lt;&gt;""""))),$AC$5+E1020))"),"")</f>
        <v/>
      </c>
      <c r="G1020" s="10" t="str">
        <f>IFERROR(__xludf.DUMMYFUNCTION("IF(COUNTA(C1020:C1673)=0,"""",IF(C1020="""",0,IF(REGEXMATCH(C1020,""^Sell_""),-ROUNDDOWN(ROUNDUP(INDEX(Upgrades!$C$3:$C$13,MATCH(SUBSTITUTE(C1020,""Sell_"",""""),Upgrades!$B$3:$B$13,0))*1.15^(COUNTIF(C$4:C1019,SUBSTITUTE(C1020,""Sell_"",""""))-COUNTIF(C$4"&amp;":C1019,""Sell_""&amp;SUBSTITUTE(C1020,""Sell_"",""""))))/2),ROUNDUP(INDEX(Upgrades!$C$3:$C$13,MATCH(C1020,Upgrades!$B$3:$B$13,0))*1.15^(COUNTIF(C$4:C1019,C1020)-COUNTIF(C$4:C1019,""Sell_""&amp;C1020))))))"),"")</f>
        <v/>
      </c>
      <c r="H1020" s="10" t="str">
        <f t="shared" si="3"/>
        <v/>
      </c>
      <c r="I1020" s="68" t="str">
        <f t="shared" si="4"/>
        <v/>
      </c>
      <c r="J1020" s="59" t="str">
        <f t="shared" si="5"/>
        <v/>
      </c>
      <c r="K1020" s="69" t="str">
        <f t="shared" si="6"/>
        <v/>
      </c>
      <c r="L1020" s="60" t="str">
        <f t="shared" si="7"/>
        <v/>
      </c>
      <c r="M1020" s="61" t="str">
        <f>IFERROR(__xludf.DUMMYFUNCTION("IFS(AND(COUNTA(C1020:C1673)=0,COUNTA(Q1020:Q1673)=0),"""",OR(AND(K1020&gt;=1000000000,OR(Y1020&gt;=1000000000,COUNTA(Q1020:Q1673)=0)),OR(Y1020&gt;=1000000000,AND(COUNTA(C1020:C1673)=0,P$3=TRUE))),
ROUNDDOWN((AB$1-AC$1)*MAX(INDEX(T$4:T1673,MATCH(LARGE(FILTER(Y$4:Y1"&amp;"673,Y$4:Y1673&lt;1000000000),1),Y$4:Y1673)),INDEX(F$4:F1673,MATCH(LARGE(FILTER(K$4:K1673,K$4:K1673&lt;1000000000),1),K$4:K1673)))),AND(K1020&lt;1000000000,COUNTA(C1020:C1673)&gt;0,P$3=FALSE),
ROUNDDOWN(INDEX(Y$4:Y1673,MATCH(LARGE(FILTER(W$4:W1673,W$4:W1673&lt;=I1020),1)"&amp;",W$4:W1673))+(I1020-LARGE(FILTER(W$4:W1673,W$4:W1673&lt;=I1020),1))*INDEX(T$4:T1673,MATCH(LARGE(FILTER(W$4:W1673,W$4:W1673&lt;=I1020),1),W$4:W1673))-K1020),1,
ROUNDDOWN(Y1020-INDEX(K$4:K1673,MATCH(LARGE(FILTER(I$4:I1673,I$4:I1673&lt;=W1020),1),I$4:I1673))-(W1020-L"&amp;"ARGE(FILTER(I$4:I1673,I$4:I1673&lt;=W1020),1))*INDEX(F$4:F1673,MATCH(LARGE(FILTER(I$4:I1673,I$4:I1673&lt;=W1020),1),I$4:I1673))))"),"")</f>
        <v/>
      </c>
      <c r="N1020" s="60" t="str">
        <f t="shared" si="8"/>
        <v/>
      </c>
      <c r="O1020" s="61" t="str">
        <f t="shared" si="9"/>
        <v/>
      </c>
      <c r="P1020" s="56" t="str">
        <f t="shared" si="10"/>
        <v/>
      </c>
      <c r="R1020" s="10"/>
      <c r="S1020" s="59" t="str">
        <f t="array" ref="S1020">IF(COUNTA(Q1020:Q1673)=0,"",SUM((COUNTIF(Q$4:Q1020,Upgrades!$B$3:$B$13)-COUNTIF(Q$4:Q1020,"Sell_"&amp;Upgrades!$B$3:$B$13))*Upgrades!$D$3:$D$13))</f>
        <v/>
      </c>
      <c r="T1020" s="66" t="str">
        <f>IFERROR(__xludf.DUMMYFUNCTION("IF(COUNTA(Q1020:Q1673)=0,"""",IF(REGEXMATCH(INDEX(FILTER(Q$4:Q1020,Q$4:Q1020&lt;&gt;""""),ROWS(FILTER(Q$4:Q1020,Q$4:Q1020&lt;&gt;""""))),""^Sell_""),INDEX(FILTER(T$4:T1019,Q$4:Q1019&lt;&gt;""""),ROWS(FILTER(Q$4:Q1019,Q$4:Q1019&lt;&gt;""""))),$AD$5+S1020))"),"")</f>
        <v/>
      </c>
      <c r="U1020" s="10" t="str">
        <f>IFERROR(__xludf.DUMMYFUNCTION("IF(COUNTA(Q1020:Q1673)=0,"""",IF(Q1020="""",0,IF(REGEXMATCH(Q1020,""^Sell_""),-ROUNDDOWN(ROUNDUP(INDEX(Upgrades!$C$3:$C$13,MATCH(SUBSTITUTE(Q1020,""Sell_"",""""),Upgrades!$B$3:$B$13,0))*1.15^(COUNTIF(Q$4:Q1019,SUBSTITUTE(Q1020,""Sell_"",""""))-COUNTIF(Q$4"&amp;":Q1019,""Sell_""&amp;SUBSTITUTE(Q1020,""Sell_"",""""))))/2),ROUNDUP(INDEX(Upgrades!$C$3:$C$13,MATCH(Q1020,Upgrades!$B$3:$B$13,0))*1.15^(COUNTIF(Q$4:Q1019,Q1020)-COUNTIF(Q$4:Q1019,""Sell_""&amp;Q1020))))))"),"")</f>
        <v/>
      </c>
      <c r="V1020" s="10" t="str">
        <f t="shared" si="11"/>
        <v/>
      </c>
      <c r="W1020" s="68" t="str">
        <f t="shared" si="12"/>
        <v/>
      </c>
      <c r="X1020" s="59" t="str">
        <f t="shared" si="13"/>
        <v/>
      </c>
      <c r="Y1020" s="69" t="str">
        <f t="shared" si="14"/>
        <v/>
      </c>
      <c r="Z1020" s="11"/>
    </row>
    <row r="1021">
      <c r="A1021" s="8"/>
      <c r="B1021" s="56" t="str">
        <f t="shared" si="2"/>
        <v/>
      </c>
      <c r="C1021" s="105"/>
      <c r="D1021" s="10"/>
      <c r="E1021" s="59" t="str">
        <f t="array" ref="E1021">IF(COUNTA(C1021:C1673)=0,"",SUM((COUNTIF(C$4:C1021,Upgrades!$B$3:$B$13)-COUNTIF(C$4:C1021,"Sell_"&amp;Upgrades!$B$3:$B$13))*Upgrades!$D$3:$D$13))</f>
        <v/>
      </c>
      <c r="F1021" s="66" t="str">
        <f>IFERROR(__xludf.DUMMYFUNCTION("IF(COUNTA(C1021:C1673)=0,"""",IF(REGEXMATCH(INDEX(FILTER(C$4:C1021,C$4:C1021&lt;&gt;""""),ROWS(FILTER(C$4:C1021,C$4:C1021&lt;&gt;""""))),""^Sell_""),INDEX(FILTER(F$4:F1020,C$4:C1020&lt;&gt;""""),ROWS(FILTER(C$4:C1020,C$4:C1020&lt;&gt;""""))),$AC$5+E1021))"),"")</f>
        <v/>
      </c>
      <c r="G1021" s="10" t="str">
        <f>IFERROR(__xludf.DUMMYFUNCTION("IF(COUNTA(C1021:C1673)=0,"""",IF(C1021="""",0,IF(REGEXMATCH(C1021,""^Sell_""),-ROUNDDOWN(ROUNDUP(INDEX(Upgrades!$C$3:$C$13,MATCH(SUBSTITUTE(C1021,""Sell_"",""""),Upgrades!$B$3:$B$13,0))*1.15^(COUNTIF(C$4:C1020,SUBSTITUTE(C1021,""Sell_"",""""))-COUNTIF(C$4"&amp;":C1020,""Sell_""&amp;SUBSTITUTE(C1021,""Sell_"",""""))))/2),ROUNDUP(INDEX(Upgrades!$C$3:$C$13,MATCH(C1021,Upgrades!$B$3:$B$13,0))*1.15^(COUNTIF(C$4:C1020,C1021)-COUNTIF(C$4:C1020,""Sell_""&amp;C1021))))))"),"")</f>
        <v/>
      </c>
      <c r="H1021" s="10" t="str">
        <f t="shared" si="3"/>
        <v/>
      </c>
      <c r="I1021" s="68" t="str">
        <f t="shared" si="4"/>
        <v/>
      </c>
      <c r="J1021" s="59" t="str">
        <f t="shared" si="5"/>
        <v/>
      </c>
      <c r="K1021" s="69" t="str">
        <f t="shared" si="6"/>
        <v/>
      </c>
      <c r="L1021" s="60" t="str">
        <f t="shared" si="7"/>
        <v/>
      </c>
      <c r="M1021" s="61" t="str">
        <f>IFERROR(__xludf.DUMMYFUNCTION("IFS(AND(COUNTA(C1021:C1673)=0,COUNTA(Q1021:Q1673)=0),"""",OR(AND(K1021&gt;=1000000000,OR(Y1021&gt;=1000000000,COUNTA(Q1021:Q1673)=0)),OR(Y1021&gt;=1000000000,AND(COUNTA(C1021:C1673)=0,P$3=TRUE))),
ROUNDDOWN((AB$1-AC$1)*MAX(INDEX(T$4:T1673,MATCH(LARGE(FILTER(Y$4:Y1"&amp;"673,Y$4:Y1673&lt;1000000000),1),Y$4:Y1673)),INDEX(F$4:F1673,MATCH(LARGE(FILTER(K$4:K1673,K$4:K1673&lt;1000000000),1),K$4:K1673)))),AND(K1021&lt;1000000000,COUNTA(C1021:C1673)&gt;0,P$3=FALSE),
ROUNDDOWN(INDEX(Y$4:Y1673,MATCH(LARGE(FILTER(W$4:W1673,W$4:W1673&lt;=I1021),1)"&amp;",W$4:W1673))+(I1021-LARGE(FILTER(W$4:W1673,W$4:W1673&lt;=I1021),1))*INDEX(T$4:T1673,MATCH(LARGE(FILTER(W$4:W1673,W$4:W1673&lt;=I1021),1),W$4:W1673))-K1021),1,
ROUNDDOWN(Y1021-INDEX(K$4:K1673,MATCH(LARGE(FILTER(I$4:I1673,I$4:I1673&lt;=W1021),1),I$4:I1673))-(W1021-L"&amp;"ARGE(FILTER(I$4:I1673,I$4:I1673&lt;=W1021),1))*INDEX(F$4:F1673,MATCH(LARGE(FILTER(I$4:I1673,I$4:I1673&lt;=W1021),1),I$4:I1673))))"),"")</f>
        <v/>
      </c>
      <c r="N1021" s="60" t="str">
        <f t="shared" si="8"/>
        <v/>
      </c>
      <c r="O1021" s="61" t="str">
        <f t="shared" si="9"/>
        <v/>
      </c>
      <c r="P1021" s="56" t="str">
        <f t="shared" si="10"/>
        <v/>
      </c>
      <c r="R1021" s="10"/>
      <c r="S1021" s="59" t="str">
        <f t="array" ref="S1021">IF(COUNTA(Q1021:Q1673)=0,"",SUM((COUNTIF(Q$4:Q1021,Upgrades!$B$3:$B$13)-COUNTIF(Q$4:Q1021,"Sell_"&amp;Upgrades!$B$3:$B$13))*Upgrades!$D$3:$D$13))</f>
        <v/>
      </c>
      <c r="T1021" s="66" t="str">
        <f>IFERROR(__xludf.DUMMYFUNCTION("IF(COUNTA(Q1021:Q1673)=0,"""",IF(REGEXMATCH(INDEX(FILTER(Q$4:Q1021,Q$4:Q1021&lt;&gt;""""),ROWS(FILTER(Q$4:Q1021,Q$4:Q1021&lt;&gt;""""))),""^Sell_""),INDEX(FILTER(T$4:T1020,Q$4:Q1020&lt;&gt;""""),ROWS(FILTER(Q$4:Q1020,Q$4:Q1020&lt;&gt;""""))),$AD$5+S1021))"),"")</f>
        <v/>
      </c>
      <c r="U1021" s="10" t="str">
        <f>IFERROR(__xludf.DUMMYFUNCTION("IF(COUNTA(Q1021:Q1673)=0,"""",IF(Q1021="""",0,IF(REGEXMATCH(Q1021,""^Sell_""),-ROUNDDOWN(ROUNDUP(INDEX(Upgrades!$C$3:$C$13,MATCH(SUBSTITUTE(Q1021,""Sell_"",""""),Upgrades!$B$3:$B$13,0))*1.15^(COUNTIF(Q$4:Q1020,SUBSTITUTE(Q1021,""Sell_"",""""))-COUNTIF(Q$4"&amp;":Q1020,""Sell_""&amp;SUBSTITUTE(Q1021,""Sell_"",""""))))/2),ROUNDUP(INDEX(Upgrades!$C$3:$C$13,MATCH(Q1021,Upgrades!$B$3:$B$13,0))*1.15^(COUNTIF(Q$4:Q1020,Q1021)-COUNTIF(Q$4:Q1020,""Sell_""&amp;Q1021))))))"),"")</f>
        <v/>
      </c>
      <c r="V1021" s="10" t="str">
        <f t="shared" si="11"/>
        <v/>
      </c>
      <c r="W1021" s="68" t="str">
        <f t="shared" si="12"/>
        <v/>
      </c>
      <c r="X1021" s="59" t="str">
        <f t="shared" si="13"/>
        <v/>
      </c>
      <c r="Y1021" s="69" t="str">
        <f t="shared" si="14"/>
        <v/>
      </c>
      <c r="Z1021" s="11"/>
    </row>
    <row r="1022">
      <c r="A1022" s="8"/>
      <c r="B1022" s="56" t="str">
        <f t="shared" si="2"/>
        <v/>
      </c>
      <c r="C1022" s="105"/>
      <c r="D1022" s="10"/>
      <c r="E1022" s="59" t="str">
        <f t="array" ref="E1022">IF(COUNTA(C1022:C1673)=0,"",SUM((COUNTIF(C$4:C1022,Upgrades!$B$3:$B$13)-COUNTIF(C$4:C1022,"Sell_"&amp;Upgrades!$B$3:$B$13))*Upgrades!$D$3:$D$13))</f>
        <v/>
      </c>
      <c r="F1022" s="66" t="str">
        <f>IFERROR(__xludf.DUMMYFUNCTION("IF(COUNTA(C1022:C1673)=0,"""",IF(REGEXMATCH(INDEX(FILTER(C$4:C1022,C$4:C1022&lt;&gt;""""),ROWS(FILTER(C$4:C1022,C$4:C1022&lt;&gt;""""))),""^Sell_""),INDEX(FILTER(F$4:F1021,C$4:C1021&lt;&gt;""""),ROWS(FILTER(C$4:C1021,C$4:C1021&lt;&gt;""""))),$AC$5+E1022))"),"")</f>
        <v/>
      </c>
      <c r="G1022" s="10" t="str">
        <f>IFERROR(__xludf.DUMMYFUNCTION("IF(COUNTA(C1022:C1673)=0,"""",IF(C1022="""",0,IF(REGEXMATCH(C1022,""^Sell_""),-ROUNDDOWN(ROUNDUP(INDEX(Upgrades!$C$3:$C$13,MATCH(SUBSTITUTE(C1022,""Sell_"",""""),Upgrades!$B$3:$B$13,0))*1.15^(COUNTIF(C$4:C1021,SUBSTITUTE(C1022,""Sell_"",""""))-COUNTIF(C$4"&amp;":C1021,""Sell_""&amp;SUBSTITUTE(C1022,""Sell_"",""""))))/2),ROUNDUP(INDEX(Upgrades!$C$3:$C$13,MATCH(C1022,Upgrades!$B$3:$B$13,0))*1.15^(COUNTIF(C$4:C1021,C1022)-COUNTIF(C$4:C1021,""Sell_""&amp;C1022))))))"),"")</f>
        <v/>
      </c>
      <c r="H1022" s="10" t="str">
        <f t="shared" si="3"/>
        <v/>
      </c>
      <c r="I1022" s="68" t="str">
        <f t="shared" si="4"/>
        <v/>
      </c>
      <c r="J1022" s="59" t="str">
        <f t="shared" si="5"/>
        <v/>
      </c>
      <c r="K1022" s="69" t="str">
        <f t="shared" si="6"/>
        <v/>
      </c>
      <c r="L1022" s="60" t="str">
        <f t="shared" si="7"/>
        <v/>
      </c>
      <c r="M1022" s="61" t="str">
        <f>IFERROR(__xludf.DUMMYFUNCTION("IFS(AND(COUNTA(C1022:C1673)=0,COUNTA(Q1022:Q1673)=0),"""",OR(AND(K1022&gt;=1000000000,OR(Y1022&gt;=1000000000,COUNTA(Q1022:Q1673)=0)),OR(Y1022&gt;=1000000000,AND(COUNTA(C1022:C1673)=0,P$3=TRUE))),
ROUNDDOWN((AB$1-AC$1)*MAX(INDEX(T$4:T1673,MATCH(LARGE(FILTER(Y$4:Y1"&amp;"673,Y$4:Y1673&lt;1000000000),1),Y$4:Y1673)),INDEX(F$4:F1673,MATCH(LARGE(FILTER(K$4:K1673,K$4:K1673&lt;1000000000),1),K$4:K1673)))),AND(K1022&lt;1000000000,COUNTA(C1022:C1673)&gt;0,P$3=FALSE),
ROUNDDOWN(INDEX(Y$4:Y1673,MATCH(LARGE(FILTER(W$4:W1673,W$4:W1673&lt;=I1022),1)"&amp;",W$4:W1673))+(I1022-LARGE(FILTER(W$4:W1673,W$4:W1673&lt;=I1022),1))*INDEX(T$4:T1673,MATCH(LARGE(FILTER(W$4:W1673,W$4:W1673&lt;=I1022),1),W$4:W1673))-K1022),1,
ROUNDDOWN(Y1022-INDEX(K$4:K1673,MATCH(LARGE(FILTER(I$4:I1673,I$4:I1673&lt;=W1022),1),I$4:I1673))-(W1022-L"&amp;"ARGE(FILTER(I$4:I1673,I$4:I1673&lt;=W1022),1))*INDEX(F$4:F1673,MATCH(LARGE(FILTER(I$4:I1673,I$4:I1673&lt;=W1022),1),I$4:I1673))))"),"")</f>
        <v/>
      </c>
      <c r="N1022" s="60" t="str">
        <f t="shared" si="8"/>
        <v/>
      </c>
      <c r="O1022" s="61" t="str">
        <f t="shared" si="9"/>
        <v/>
      </c>
      <c r="P1022" s="56" t="str">
        <f t="shared" si="10"/>
        <v/>
      </c>
      <c r="R1022" s="10"/>
      <c r="S1022" s="59" t="str">
        <f t="array" ref="S1022">IF(COUNTA(Q1022:Q1673)=0,"",SUM((COUNTIF(Q$4:Q1022,Upgrades!$B$3:$B$13)-COUNTIF(Q$4:Q1022,"Sell_"&amp;Upgrades!$B$3:$B$13))*Upgrades!$D$3:$D$13))</f>
        <v/>
      </c>
      <c r="T1022" s="66" t="str">
        <f>IFERROR(__xludf.DUMMYFUNCTION("IF(COUNTA(Q1022:Q1673)=0,"""",IF(REGEXMATCH(INDEX(FILTER(Q$4:Q1022,Q$4:Q1022&lt;&gt;""""),ROWS(FILTER(Q$4:Q1022,Q$4:Q1022&lt;&gt;""""))),""^Sell_""),INDEX(FILTER(T$4:T1021,Q$4:Q1021&lt;&gt;""""),ROWS(FILTER(Q$4:Q1021,Q$4:Q1021&lt;&gt;""""))),$AD$5+S1022))"),"")</f>
        <v/>
      </c>
      <c r="U1022" s="10" t="str">
        <f>IFERROR(__xludf.DUMMYFUNCTION("IF(COUNTA(Q1022:Q1673)=0,"""",IF(Q1022="""",0,IF(REGEXMATCH(Q1022,""^Sell_""),-ROUNDDOWN(ROUNDUP(INDEX(Upgrades!$C$3:$C$13,MATCH(SUBSTITUTE(Q1022,""Sell_"",""""),Upgrades!$B$3:$B$13,0))*1.15^(COUNTIF(Q$4:Q1021,SUBSTITUTE(Q1022,""Sell_"",""""))-COUNTIF(Q$4"&amp;":Q1021,""Sell_""&amp;SUBSTITUTE(Q1022,""Sell_"",""""))))/2),ROUNDUP(INDEX(Upgrades!$C$3:$C$13,MATCH(Q1022,Upgrades!$B$3:$B$13,0))*1.15^(COUNTIF(Q$4:Q1021,Q1022)-COUNTIF(Q$4:Q1021,""Sell_""&amp;Q1022))))))"),"")</f>
        <v/>
      </c>
      <c r="V1022" s="10" t="str">
        <f t="shared" si="11"/>
        <v/>
      </c>
      <c r="W1022" s="68" t="str">
        <f t="shared" si="12"/>
        <v/>
      </c>
      <c r="X1022" s="59" t="str">
        <f t="shared" si="13"/>
        <v/>
      </c>
      <c r="Y1022" s="69" t="str">
        <f t="shared" si="14"/>
        <v/>
      </c>
      <c r="Z1022" s="11"/>
    </row>
    <row r="1023">
      <c r="A1023" s="8"/>
      <c r="B1023" s="56" t="str">
        <f t="shared" si="2"/>
        <v/>
      </c>
      <c r="C1023" s="105"/>
      <c r="D1023" s="10"/>
      <c r="E1023" s="59" t="str">
        <f t="array" ref="E1023">IF(COUNTA(C1023:C1673)=0,"",SUM((COUNTIF(C$4:C1023,Upgrades!$B$3:$B$13)-COUNTIF(C$4:C1023,"Sell_"&amp;Upgrades!$B$3:$B$13))*Upgrades!$D$3:$D$13))</f>
        <v/>
      </c>
      <c r="F1023" s="66" t="str">
        <f>IFERROR(__xludf.DUMMYFUNCTION("IF(COUNTA(C1023:C1673)=0,"""",IF(REGEXMATCH(INDEX(FILTER(C$4:C1023,C$4:C1023&lt;&gt;""""),ROWS(FILTER(C$4:C1023,C$4:C1023&lt;&gt;""""))),""^Sell_""),INDEX(FILTER(F$4:F1022,C$4:C1022&lt;&gt;""""),ROWS(FILTER(C$4:C1022,C$4:C1022&lt;&gt;""""))),$AC$5+E1023))"),"")</f>
        <v/>
      </c>
      <c r="G1023" s="10" t="str">
        <f>IFERROR(__xludf.DUMMYFUNCTION("IF(COUNTA(C1023:C1673)=0,"""",IF(C1023="""",0,IF(REGEXMATCH(C1023,""^Sell_""),-ROUNDDOWN(ROUNDUP(INDEX(Upgrades!$C$3:$C$13,MATCH(SUBSTITUTE(C1023,""Sell_"",""""),Upgrades!$B$3:$B$13,0))*1.15^(COUNTIF(C$4:C1022,SUBSTITUTE(C1023,""Sell_"",""""))-COUNTIF(C$4"&amp;":C1022,""Sell_""&amp;SUBSTITUTE(C1023,""Sell_"",""""))))/2),ROUNDUP(INDEX(Upgrades!$C$3:$C$13,MATCH(C1023,Upgrades!$B$3:$B$13,0))*1.15^(COUNTIF(C$4:C1022,C1023)-COUNTIF(C$4:C1022,""Sell_""&amp;C1023))))))"),"")</f>
        <v/>
      </c>
      <c r="H1023" s="10" t="str">
        <f t="shared" si="3"/>
        <v/>
      </c>
      <c r="I1023" s="68" t="str">
        <f t="shared" si="4"/>
        <v/>
      </c>
      <c r="J1023" s="59" t="str">
        <f t="shared" si="5"/>
        <v/>
      </c>
      <c r="K1023" s="69" t="str">
        <f t="shared" si="6"/>
        <v/>
      </c>
      <c r="L1023" s="60" t="str">
        <f t="shared" si="7"/>
        <v/>
      </c>
      <c r="M1023" s="61" t="str">
        <f>IFERROR(__xludf.DUMMYFUNCTION("IFS(AND(COUNTA(C1023:C1673)=0,COUNTA(Q1023:Q1673)=0),"""",OR(AND(K1023&gt;=1000000000,OR(Y1023&gt;=1000000000,COUNTA(Q1023:Q1673)=0)),OR(Y1023&gt;=1000000000,AND(COUNTA(C1023:C1673)=0,P$3=TRUE))),
ROUNDDOWN((AB$1-AC$1)*MAX(INDEX(T$4:T1673,MATCH(LARGE(FILTER(Y$4:Y1"&amp;"673,Y$4:Y1673&lt;1000000000),1),Y$4:Y1673)),INDEX(F$4:F1673,MATCH(LARGE(FILTER(K$4:K1673,K$4:K1673&lt;1000000000),1),K$4:K1673)))),AND(K1023&lt;1000000000,COUNTA(C1023:C1673)&gt;0,P$3=FALSE),
ROUNDDOWN(INDEX(Y$4:Y1673,MATCH(LARGE(FILTER(W$4:W1673,W$4:W1673&lt;=I1023),1)"&amp;",W$4:W1673))+(I1023-LARGE(FILTER(W$4:W1673,W$4:W1673&lt;=I1023),1))*INDEX(T$4:T1673,MATCH(LARGE(FILTER(W$4:W1673,W$4:W1673&lt;=I1023),1),W$4:W1673))-K1023),1,
ROUNDDOWN(Y1023-INDEX(K$4:K1673,MATCH(LARGE(FILTER(I$4:I1673,I$4:I1673&lt;=W1023),1),I$4:I1673))-(W1023-L"&amp;"ARGE(FILTER(I$4:I1673,I$4:I1673&lt;=W1023),1))*INDEX(F$4:F1673,MATCH(LARGE(FILTER(I$4:I1673,I$4:I1673&lt;=W1023),1),I$4:I1673))))"),"")</f>
        <v/>
      </c>
      <c r="N1023" s="60" t="str">
        <f t="shared" si="8"/>
        <v/>
      </c>
      <c r="O1023" s="61" t="str">
        <f t="shared" si="9"/>
        <v/>
      </c>
      <c r="P1023" s="56" t="str">
        <f t="shared" si="10"/>
        <v/>
      </c>
      <c r="R1023" s="10"/>
      <c r="S1023" s="59" t="str">
        <f t="array" ref="S1023">IF(COUNTA(Q1023:Q1673)=0,"",SUM((COUNTIF(Q$4:Q1023,Upgrades!$B$3:$B$13)-COUNTIF(Q$4:Q1023,"Sell_"&amp;Upgrades!$B$3:$B$13))*Upgrades!$D$3:$D$13))</f>
        <v/>
      </c>
      <c r="T1023" s="66" t="str">
        <f>IFERROR(__xludf.DUMMYFUNCTION("IF(COUNTA(Q1023:Q1673)=0,"""",IF(REGEXMATCH(INDEX(FILTER(Q$4:Q1023,Q$4:Q1023&lt;&gt;""""),ROWS(FILTER(Q$4:Q1023,Q$4:Q1023&lt;&gt;""""))),""^Sell_""),INDEX(FILTER(T$4:T1022,Q$4:Q1022&lt;&gt;""""),ROWS(FILTER(Q$4:Q1022,Q$4:Q1022&lt;&gt;""""))),$AD$5+S1023))"),"")</f>
        <v/>
      </c>
      <c r="U1023" s="10" t="str">
        <f>IFERROR(__xludf.DUMMYFUNCTION("IF(COUNTA(Q1023:Q1673)=0,"""",IF(Q1023="""",0,IF(REGEXMATCH(Q1023,""^Sell_""),-ROUNDDOWN(ROUNDUP(INDEX(Upgrades!$C$3:$C$13,MATCH(SUBSTITUTE(Q1023,""Sell_"",""""),Upgrades!$B$3:$B$13,0))*1.15^(COUNTIF(Q$4:Q1022,SUBSTITUTE(Q1023,""Sell_"",""""))-COUNTIF(Q$4"&amp;":Q1022,""Sell_""&amp;SUBSTITUTE(Q1023,""Sell_"",""""))))/2),ROUNDUP(INDEX(Upgrades!$C$3:$C$13,MATCH(Q1023,Upgrades!$B$3:$B$13,0))*1.15^(COUNTIF(Q$4:Q1022,Q1023)-COUNTIF(Q$4:Q1022,""Sell_""&amp;Q1023))))))"),"")</f>
        <v/>
      </c>
      <c r="V1023" s="10" t="str">
        <f t="shared" si="11"/>
        <v/>
      </c>
      <c r="W1023" s="68" t="str">
        <f t="shared" si="12"/>
        <v/>
      </c>
      <c r="X1023" s="59" t="str">
        <f t="shared" si="13"/>
        <v/>
      </c>
      <c r="Y1023" s="69" t="str">
        <f t="shared" si="14"/>
        <v/>
      </c>
      <c r="Z1023" s="11"/>
    </row>
    <row r="1024">
      <c r="A1024" s="8"/>
      <c r="B1024" s="56" t="str">
        <f t="shared" si="2"/>
        <v/>
      </c>
      <c r="C1024" s="105"/>
      <c r="D1024" s="10"/>
      <c r="E1024" s="59" t="str">
        <f t="array" ref="E1024">IF(COUNTA(C1024:C1673)=0,"",SUM((COUNTIF(C$4:C1024,Upgrades!$B$3:$B$13)-COUNTIF(C$4:C1024,"Sell_"&amp;Upgrades!$B$3:$B$13))*Upgrades!$D$3:$D$13))</f>
        <v/>
      </c>
      <c r="F1024" s="66" t="str">
        <f>IFERROR(__xludf.DUMMYFUNCTION("IF(COUNTA(C1024:C1673)=0,"""",IF(REGEXMATCH(INDEX(FILTER(C$4:C1024,C$4:C1024&lt;&gt;""""),ROWS(FILTER(C$4:C1024,C$4:C1024&lt;&gt;""""))),""^Sell_""),INDEX(FILTER(F$4:F1023,C$4:C1023&lt;&gt;""""),ROWS(FILTER(C$4:C1023,C$4:C1023&lt;&gt;""""))),$AC$5+E1024))"),"")</f>
        <v/>
      </c>
      <c r="G1024" s="10" t="str">
        <f>IFERROR(__xludf.DUMMYFUNCTION("IF(COUNTA(C1024:C1673)=0,"""",IF(C1024="""",0,IF(REGEXMATCH(C1024,""^Sell_""),-ROUNDDOWN(ROUNDUP(INDEX(Upgrades!$C$3:$C$13,MATCH(SUBSTITUTE(C1024,""Sell_"",""""),Upgrades!$B$3:$B$13,0))*1.15^(COUNTIF(C$4:C1023,SUBSTITUTE(C1024,""Sell_"",""""))-COUNTIF(C$4"&amp;":C1023,""Sell_""&amp;SUBSTITUTE(C1024,""Sell_"",""""))))/2),ROUNDUP(INDEX(Upgrades!$C$3:$C$13,MATCH(C1024,Upgrades!$B$3:$B$13,0))*1.15^(COUNTIF(C$4:C1023,C1024)-COUNTIF(C$4:C1023,""Sell_""&amp;C1024))))))"),"")</f>
        <v/>
      </c>
      <c r="H1024" s="10" t="str">
        <f t="shared" si="3"/>
        <v/>
      </c>
      <c r="I1024" s="68" t="str">
        <f t="shared" si="4"/>
        <v/>
      </c>
      <c r="J1024" s="59" t="str">
        <f t="shared" si="5"/>
        <v/>
      </c>
      <c r="K1024" s="69" t="str">
        <f t="shared" si="6"/>
        <v/>
      </c>
      <c r="L1024" s="60" t="str">
        <f t="shared" si="7"/>
        <v/>
      </c>
      <c r="M1024" s="61" t="str">
        <f>IFERROR(__xludf.DUMMYFUNCTION("IFS(AND(COUNTA(C1024:C1673)=0,COUNTA(Q1024:Q1673)=0),"""",OR(AND(K1024&gt;=1000000000,OR(Y1024&gt;=1000000000,COUNTA(Q1024:Q1673)=0)),OR(Y1024&gt;=1000000000,AND(COUNTA(C1024:C1673)=0,P$3=TRUE))),
ROUNDDOWN((AB$1-AC$1)*MAX(INDEX(T$4:T1673,MATCH(LARGE(FILTER(Y$4:Y1"&amp;"673,Y$4:Y1673&lt;1000000000),1),Y$4:Y1673)),INDEX(F$4:F1673,MATCH(LARGE(FILTER(K$4:K1673,K$4:K1673&lt;1000000000),1),K$4:K1673)))),AND(K1024&lt;1000000000,COUNTA(C1024:C1673)&gt;0,P$3=FALSE),
ROUNDDOWN(INDEX(Y$4:Y1673,MATCH(LARGE(FILTER(W$4:W1673,W$4:W1673&lt;=I1024),1)"&amp;",W$4:W1673))+(I1024-LARGE(FILTER(W$4:W1673,W$4:W1673&lt;=I1024),1))*INDEX(T$4:T1673,MATCH(LARGE(FILTER(W$4:W1673,W$4:W1673&lt;=I1024),1),W$4:W1673))-K1024),1,
ROUNDDOWN(Y1024-INDEX(K$4:K1673,MATCH(LARGE(FILTER(I$4:I1673,I$4:I1673&lt;=W1024),1),I$4:I1673))-(W1024-L"&amp;"ARGE(FILTER(I$4:I1673,I$4:I1673&lt;=W1024),1))*INDEX(F$4:F1673,MATCH(LARGE(FILTER(I$4:I1673,I$4:I1673&lt;=W1024),1),I$4:I1673))))"),"")</f>
        <v/>
      </c>
      <c r="N1024" s="60" t="str">
        <f t="shared" si="8"/>
        <v/>
      </c>
      <c r="O1024" s="61" t="str">
        <f t="shared" si="9"/>
        <v/>
      </c>
      <c r="P1024" s="56" t="str">
        <f t="shared" si="10"/>
        <v/>
      </c>
      <c r="R1024" s="10"/>
      <c r="S1024" s="59" t="str">
        <f t="array" ref="S1024">IF(COUNTA(Q1024:Q1673)=0,"",SUM((COUNTIF(Q$4:Q1024,Upgrades!$B$3:$B$13)-COUNTIF(Q$4:Q1024,"Sell_"&amp;Upgrades!$B$3:$B$13))*Upgrades!$D$3:$D$13))</f>
        <v/>
      </c>
      <c r="T1024" s="66" t="str">
        <f>IFERROR(__xludf.DUMMYFUNCTION("IF(COUNTA(Q1024:Q1673)=0,"""",IF(REGEXMATCH(INDEX(FILTER(Q$4:Q1024,Q$4:Q1024&lt;&gt;""""),ROWS(FILTER(Q$4:Q1024,Q$4:Q1024&lt;&gt;""""))),""^Sell_""),INDEX(FILTER(T$4:T1023,Q$4:Q1023&lt;&gt;""""),ROWS(FILTER(Q$4:Q1023,Q$4:Q1023&lt;&gt;""""))),$AD$5+S1024))"),"")</f>
        <v/>
      </c>
      <c r="U1024" s="10" t="str">
        <f>IFERROR(__xludf.DUMMYFUNCTION("IF(COUNTA(Q1024:Q1673)=0,"""",IF(Q1024="""",0,IF(REGEXMATCH(Q1024,""^Sell_""),-ROUNDDOWN(ROUNDUP(INDEX(Upgrades!$C$3:$C$13,MATCH(SUBSTITUTE(Q1024,""Sell_"",""""),Upgrades!$B$3:$B$13,0))*1.15^(COUNTIF(Q$4:Q1023,SUBSTITUTE(Q1024,""Sell_"",""""))-COUNTIF(Q$4"&amp;":Q1023,""Sell_""&amp;SUBSTITUTE(Q1024,""Sell_"",""""))))/2),ROUNDUP(INDEX(Upgrades!$C$3:$C$13,MATCH(Q1024,Upgrades!$B$3:$B$13,0))*1.15^(COUNTIF(Q$4:Q1023,Q1024)-COUNTIF(Q$4:Q1023,""Sell_""&amp;Q1024))))))"),"")</f>
        <v/>
      </c>
      <c r="V1024" s="10" t="str">
        <f t="shared" si="11"/>
        <v/>
      </c>
      <c r="W1024" s="68" t="str">
        <f t="shared" si="12"/>
        <v/>
      </c>
      <c r="X1024" s="59" t="str">
        <f t="shared" si="13"/>
        <v/>
      </c>
      <c r="Y1024" s="69" t="str">
        <f t="shared" si="14"/>
        <v/>
      </c>
      <c r="Z1024" s="11"/>
    </row>
    <row r="1025">
      <c r="A1025" s="8"/>
      <c r="B1025" s="56" t="str">
        <f t="shared" si="2"/>
        <v/>
      </c>
      <c r="C1025" s="105"/>
      <c r="D1025" s="10"/>
      <c r="E1025" s="59" t="str">
        <f t="array" ref="E1025">IF(COUNTA(C1025:C1673)=0,"",SUM((COUNTIF(C$4:C1025,Upgrades!$B$3:$B$13)-COUNTIF(C$4:C1025,"Sell_"&amp;Upgrades!$B$3:$B$13))*Upgrades!$D$3:$D$13))</f>
        <v/>
      </c>
      <c r="F1025" s="66" t="str">
        <f>IFERROR(__xludf.DUMMYFUNCTION("IF(COUNTA(C1025:C1673)=0,"""",IF(REGEXMATCH(INDEX(FILTER(C$4:C1025,C$4:C1025&lt;&gt;""""),ROWS(FILTER(C$4:C1025,C$4:C1025&lt;&gt;""""))),""^Sell_""),INDEX(FILTER(F$4:F1024,C$4:C1024&lt;&gt;""""),ROWS(FILTER(C$4:C1024,C$4:C1024&lt;&gt;""""))),$AC$5+E1025))"),"")</f>
        <v/>
      </c>
      <c r="G1025" s="10" t="str">
        <f>IFERROR(__xludf.DUMMYFUNCTION("IF(COUNTA(C1025:C1673)=0,"""",IF(C1025="""",0,IF(REGEXMATCH(C1025,""^Sell_""),-ROUNDDOWN(ROUNDUP(INDEX(Upgrades!$C$3:$C$13,MATCH(SUBSTITUTE(C1025,""Sell_"",""""),Upgrades!$B$3:$B$13,0))*1.15^(COUNTIF(C$4:C1024,SUBSTITUTE(C1025,""Sell_"",""""))-COUNTIF(C$4"&amp;":C1024,""Sell_""&amp;SUBSTITUTE(C1025,""Sell_"",""""))))/2),ROUNDUP(INDEX(Upgrades!$C$3:$C$13,MATCH(C1025,Upgrades!$B$3:$B$13,0))*1.15^(COUNTIF(C$4:C1024,C1025)-COUNTIF(C$4:C1024,""Sell_""&amp;C1025))))))"),"")</f>
        <v/>
      </c>
      <c r="H1025" s="10" t="str">
        <f t="shared" si="3"/>
        <v/>
      </c>
      <c r="I1025" s="68" t="str">
        <f t="shared" si="4"/>
        <v/>
      </c>
      <c r="J1025" s="59" t="str">
        <f t="shared" si="5"/>
        <v/>
      </c>
      <c r="K1025" s="69" t="str">
        <f t="shared" si="6"/>
        <v/>
      </c>
      <c r="L1025" s="60" t="str">
        <f t="shared" si="7"/>
        <v/>
      </c>
      <c r="M1025" s="61" t="str">
        <f>IFERROR(__xludf.DUMMYFUNCTION("IFS(AND(COUNTA(C1025:C1673)=0,COUNTA(Q1025:Q1673)=0),"""",OR(AND(K1025&gt;=1000000000,OR(Y1025&gt;=1000000000,COUNTA(Q1025:Q1673)=0)),OR(Y1025&gt;=1000000000,AND(COUNTA(C1025:C1673)=0,P$3=TRUE))),
ROUNDDOWN((AB$1-AC$1)*MAX(INDEX(T$4:T1673,MATCH(LARGE(FILTER(Y$4:Y1"&amp;"673,Y$4:Y1673&lt;1000000000),1),Y$4:Y1673)),INDEX(F$4:F1673,MATCH(LARGE(FILTER(K$4:K1673,K$4:K1673&lt;1000000000),1),K$4:K1673)))),AND(K1025&lt;1000000000,COUNTA(C1025:C1673)&gt;0,P$3=FALSE),
ROUNDDOWN(INDEX(Y$4:Y1673,MATCH(LARGE(FILTER(W$4:W1673,W$4:W1673&lt;=I1025),1)"&amp;",W$4:W1673))+(I1025-LARGE(FILTER(W$4:W1673,W$4:W1673&lt;=I1025),1))*INDEX(T$4:T1673,MATCH(LARGE(FILTER(W$4:W1673,W$4:W1673&lt;=I1025),1),W$4:W1673))-K1025),1,
ROUNDDOWN(Y1025-INDEX(K$4:K1673,MATCH(LARGE(FILTER(I$4:I1673,I$4:I1673&lt;=W1025),1),I$4:I1673))-(W1025-L"&amp;"ARGE(FILTER(I$4:I1673,I$4:I1673&lt;=W1025),1))*INDEX(F$4:F1673,MATCH(LARGE(FILTER(I$4:I1673,I$4:I1673&lt;=W1025),1),I$4:I1673))))"),"")</f>
        <v/>
      </c>
      <c r="N1025" s="60" t="str">
        <f t="shared" si="8"/>
        <v/>
      </c>
      <c r="O1025" s="61" t="str">
        <f t="shared" si="9"/>
        <v/>
      </c>
      <c r="P1025" s="56" t="str">
        <f t="shared" si="10"/>
        <v/>
      </c>
      <c r="R1025" s="10"/>
      <c r="S1025" s="59" t="str">
        <f t="array" ref="S1025">IF(COUNTA(Q1025:Q1673)=0,"",SUM((COUNTIF(Q$4:Q1025,Upgrades!$B$3:$B$13)-COUNTIF(Q$4:Q1025,"Sell_"&amp;Upgrades!$B$3:$B$13))*Upgrades!$D$3:$D$13))</f>
        <v/>
      </c>
      <c r="T1025" s="66" t="str">
        <f>IFERROR(__xludf.DUMMYFUNCTION("IF(COUNTA(Q1025:Q1673)=0,"""",IF(REGEXMATCH(INDEX(FILTER(Q$4:Q1025,Q$4:Q1025&lt;&gt;""""),ROWS(FILTER(Q$4:Q1025,Q$4:Q1025&lt;&gt;""""))),""^Sell_""),INDEX(FILTER(T$4:T1024,Q$4:Q1024&lt;&gt;""""),ROWS(FILTER(Q$4:Q1024,Q$4:Q1024&lt;&gt;""""))),$AD$5+S1025))"),"")</f>
        <v/>
      </c>
      <c r="U1025" s="10" t="str">
        <f>IFERROR(__xludf.DUMMYFUNCTION("IF(COUNTA(Q1025:Q1673)=0,"""",IF(Q1025="""",0,IF(REGEXMATCH(Q1025,""^Sell_""),-ROUNDDOWN(ROUNDUP(INDEX(Upgrades!$C$3:$C$13,MATCH(SUBSTITUTE(Q1025,""Sell_"",""""),Upgrades!$B$3:$B$13,0))*1.15^(COUNTIF(Q$4:Q1024,SUBSTITUTE(Q1025,""Sell_"",""""))-COUNTIF(Q$4"&amp;":Q1024,""Sell_""&amp;SUBSTITUTE(Q1025,""Sell_"",""""))))/2),ROUNDUP(INDEX(Upgrades!$C$3:$C$13,MATCH(Q1025,Upgrades!$B$3:$B$13,0))*1.15^(COUNTIF(Q$4:Q1024,Q1025)-COUNTIF(Q$4:Q1024,""Sell_""&amp;Q1025))))))"),"")</f>
        <v/>
      </c>
      <c r="V1025" s="10" t="str">
        <f t="shared" si="11"/>
        <v/>
      </c>
      <c r="W1025" s="68" t="str">
        <f t="shared" si="12"/>
        <v/>
      </c>
      <c r="X1025" s="59" t="str">
        <f t="shared" si="13"/>
        <v/>
      </c>
      <c r="Y1025" s="69" t="str">
        <f t="shared" si="14"/>
        <v/>
      </c>
      <c r="Z1025" s="11"/>
    </row>
    <row r="1026">
      <c r="A1026" s="8"/>
      <c r="B1026" s="56" t="str">
        <f t="shared" si="2"/>
        <v/>
      </c>
      <c r="C1026" s="105"/>
      <c r="D1026" s="10"/>
      <c r="E1026" s="59" t="str">
        <f t="array" ref="E1026">IF(COUNTA(C1026:C1673)=0,"",SUM((COUNTIF(C$4:C1026,Upgrades!$B$3:$B$13)-COUNTIF(C$4:C1026,"Sell_"&amp;Upgrades!$B$3:$B$13))*Upgrades!$D$3:$D$13))</f>
        <v/>
      </c>
      <c r="F1026" s="66" t="str">
        <f>IFERROR(__xludf.DUMMYFUNCTION("IF(COUNTA(C1026:C1673)=0,"""",IF(REGEXMATCH(INDEX(FILTER(C$4:C1026,C$4:C1026&lt;&gt;""""),ROWS(FILTER(C$4:C1026,C$4:C1026&lt;&gt;""""))),""^Sell_""),INDEX(FILTER(F$4:F1025,C$4:C1025&lt;&gt;""""),ROWS(FILTER(C$4:C1025,C$4:C1025&lt;&gt;""""))),$AC$5+E1026))"),"")</f>
        <v/>
      </c>
      <c r="G1026" s="10" t="str">
        <f>IFERROR(__xludf.DUMMYFUNCTION("IF(COUNTA(C1026:C1673)=0,"""",IF(C1026="""",0,IF(REGEXMATCH(C1026,""^Sell_""),-ROUNDDOWN(ROUNDUP(INDEX(Upgrades!$C$3:$C$13,MATCH(SUBSTITUTE(C1026,""Sell_"",""""),Upgrades!$B$3:$B$13,0))*1.15^(COUNTIF(C$4:C1025,SUBSTITUTE(C1026,""Sell_"",""""))-COUNTIF(C$4"&amp;":C1025,""Sell_""&amp;SUBSTITUTE(C1026,""Sell_"",""""))))/2),ROUNDUP(INDEX(Upgrades!$C$3:$C$13,MATCH(C1026,Upgrades!$B$3:$B$13,0))*1.15^(COUNTIF(C$4:C1025,C1026)-COUNTIF(C$4:C1025,""Sell_""&amp;C1026))))))"),"")</f>
        <v/>
      </c>
      <c r="H1026" s="10" t="str">
        <f t="shared" si="3"/>
        <v/>
      </c>
      <c r="I1026" s="68" t="str">
        <f t="shared" si="4"/>
        <v/>
      </c>
      <c r="J1026" s="59" t="str">
        <f t="shared" si="5"/>
        <v/>
      </c>
      <c r="K1026" s="69" t="str">
        <f t="shared" si="6"/>
        <v/>
      </c>
      <c r="L1026" s="60" t="str">
        <f t="shared" si="7"/>
        <v/>
      </c>
      <c r="M1026" s="61" t="str">
        <f>IFERROR(__xludf.DUMMYFUNCTION("IFS(AND(COUNTA(C1026:C1673)=0,COUNTA(Q1026:Q1673)=0),"""",OR(AND(K1026&gt;=1000000000,OR(Y1026&gt;=1000000000,COUNTA(Q1026:Q1673)=0)),OR(Y1026&gt;=1000000000,AND(COUNTA(C1026:C1673)=0,P$3=TRUE))),
ROUNDDOWN((AB$1-AC$1)*MAX(INDEX(T$4:T1673,MATCH(LARGE(FILTER(Y$4:Y1"&amp;"673,Y$4:Y1673&lt;1000000000),1),Y$4:Y1673)),INDEX(F$4:F1673,MATCH(LARGE(FILTER(K$4:K1673,K$4:K1673&lt;1000000000),1),K$4:K1673)))),AND(K1026&lt;1000000000,COUNTA(C1026:C1673)&gt;0,P$3=FALSE),
ROUNDDOWN(INDEX(Y$4:Y1673,MATCH(LARGE(FILTER(W$4:W1673,W$4:W1673&lt;=I1026),1)"&amp;",W$4:W1673))+(I1026-LARGE(FILTER(W$4:W1673,W$4:W1673&lt;=I1026),1))*INDEX(T$4:T1673,MATCH(LARGE(FILTER(W$4:W1673,W$4:W1673&lt;=I1026),1),W$4:W1673))-K1026),1,
ROUNDDOWN(Y1026-INDEX(K$4:K1673,MATCH(LARGE(FILTER(I$4:I1673,I$4:I1673&lt;=W1026),1),I$4:I1673))-(W1026-L"&amp;"ARGE(FILTER(I$4:I1673,I$4:I1673&lt;=W1026),1))*INDEX(F$4:F1673,MATCH(LARGE(FILTER(I$4:I1673,I$4:I1673&lt;=W1026),1),I$4:I1673))))"),"")</f>
        <v/>
      </c>
      <c r="N1026" s="60" t="str">
        <f t="shared" si="8"/>
        <v/>
      </c>
      <c r="O1026" s="61" t="str">
        <f t="shared" si="9"/>
        <v/>
      </c>
      <c r="P1026" s="56" t="str">
        <f t="shared" si="10"/>
        <v/>
      </c>
      <c r="R1026" s="10"/>
      <c r="S1026" s="59" t="str">
        <f t="array" ref="S1026">IF(COUNTA(Q1026:Q1673)=0,"",SUM((COUNTIF(Q$4:Q1026,Upgrades!$B$3:$B$13)-COUNTIF(Q$4:Q1026,"Sell_"&amp;Upgrades!$B$3:$B$13))*Upgrades!$D$3:$D$13))</f>
        <v/>
      </c>
      <c r="T1026" s="66" t="str">
        <f>IFERROR(__xludf.DUMMYFUNCTION("IF(COUNTA(Q1026:Q1673)=0,"""",IF(REGEXMATCH(INDEX(FILTER(Q$4:Q1026,Q$4:Q1026&lt;&gt;""""),ROWS(FILTER(Q$4:Q1026,Q$4:Q1026&lt;&gt;""""))),""^Sell_""),INDEX(FILTER(T$4:T1025,Q$4:Q1025&lt;&gt;""""),ROWS(FILTER(Q$4:Q1025,Q$4:Q1025&lt;&gt;""""))),$AD$5+S1026))"),"")</f>
        <v/>
      </c>
      <c r="U1026" s="10" t="str">
        <f>IFERROR(__xludf.DUMMYFUNCTION("IF(COUNTA(Q1026:Q1673)=0,"""",IF(Q1026="""",0,IF(REGEXMATCH(Q1026,""^Sell_""),-ROUNDDOWN(ROUNDUP(INDEX(Upgrades!$C$3:$C$13,MATCH(SUBSTITUTE(Q1026,""Sell_"",""""),Upgrades!$B$3:$B$13,0))*1.15^(COUNTIF(Q$4:Q1025,SUBSTITUTE(Q1026,""Sell_"",""""))-COUNTIF(Q$4"&amp;":Q1025,""Sell_""&amp;SUBSTITUTE(Q1026,""Sell_"",""""))))/2),ROUNDUP(INDEX(Upgrades!$C$3:$C$13,MATCH(Q1026,Upgrades!$B$3:$B$13,0))*1.15^(COUNTIF(Q$4:Q1025,Q1026)-COUNTIF(Q$4:Q1025,""Sell_""&amp;Q1026))))))"),"")</f>
        <v/>
      </c>
      <c r="V1026" s="10" t="str">
        <f t="shared" si="11"/>
        <v/>
      </c>
      <c r="W1026" s="68" t="str">
        <f t="shared" si="12"/>
        <v/>
      </c>
      <c r="X1026" s="59" t="str">
        <f t="shared" si="13"/>
        <v/>
      </c>
      <c r="Y1026" s="69" t="str">
        <f t="shared" si="14"/>
        <v/>
      </c>
      <c r="Z1026" s="11"/>
    </row>
    <row r="1027">
      <c r="A1027" s="8"/>
      <c r="B1027" s="56" t="str">
        <f t="shared" si="2"/>
        <v/>
      </c>
      <c r="C1027" s="105"/>
      <c r="D1027" s="10"/>
      <c r="E1027" s="59" t="str">
        <f t="array" ref="E1027">IF(COUNTA(C1027:C1673)=0,"",SUM((COUNTIF(C$4:C1027,Upgrades!$B$3:$B$13)-COUNTIF(C$4:C1027,"Sell_"&amp;Upgrades!$B$3:$B$13))*Upgrades!$D$3:$D$13))</f>
        <v/>
      </c>
      <c r="F1027" s="66" t="str">
        <f>IFERROR(__xludf.DUMMYFUNCTION("IF(COUNTA(C1027:C1673)=0,"""",IF(REGEXMATCH(INDEX(FILTER(C$4:C1027,C$4:C1027&lt;&gt;""""),ROWS(FILTER(C$4:C1027,C$4:C1027&lt;&gt;""""))),""^Sell_""),INDEX(FILTER(F$4:F1026,C$4:C1026&lt;&gt;""""),ROWS(FILTER(C$4:C1026,C$4:C1026&lt;&gt;""""))),$AC$5+E1027))"),"")</f>
        <v/>
      </c>
      <c r="G1027" s="10" t="str">
        <f>IFERROR(__xludf.DUMMYFUNCTION("IF(COUNTA(C1027:C1673)=0,"""",IF(C1027="""",0,IF(REGEXMATCH(C1027,""^Sell_""),-ROUNDDOWN(ROUNDUP(INDEX(Upgrades!$C$3:$C$13,MATCH(SUBSTITUTE(C1027,""Sell_"",""""),Upgrades!$B$3:$B$13,0))*1.15^(COUNTIF(C$4:C1026,SUBSTITUTE(C1027,""Sell_"",""""))-COUNTIF(C$4"&amp;":C1026,""Sell_""&amp;SUBSTITUTE(C1027,""Sell_"",""""))))/2),ROUNDUP(INDEX(Upgrades!$C$3:$C$13,MATCH(C1027,Upgrades!$B$3:$B$13,0))*1.15^(COUNTIF(C$4:C1026,C1027)-COUNTIF(C$4:C1026,""Sell_""&amp;C1027))))))"),"")</f>
        <v/>
      </c>
      <c r="H1027" s="10" t="str">
        <f t="shared" si="3"/>
        <v/>
      </c>
      <c r="I1027" s="68" t="str">
        <f t="shared" si="4"/>
        <v/>
      </c>
      <c r="J1027" s="59" t="str">
        <f t="shared" si="5"/>
        <v/>
      </c>
      <c r="K1027" s="69" t="str">
        <f t="shared" si="6"/>
        <v/>
      </c>
      <c r="L1027" s="60" t="str">
        <f t="shared" si="7"/>
        <v/>
      </c>
      <c r="M1027" s="61" t="str">
        <f>IFERROR(__xludf.DUMMYFUNCTION("IFS(AND(COUNTA(C1027:C1673)=0,COUNTA(Q1027:Q1673)=0),"""",OR(AND(K1027&gt;=1000000000,OR(Y1027&gt;=1000000000,COUNTA(Q1027:Q1673)=0)),OR(Y1027&gt;=1000000000,AND(COUNTA(C1027:C1673)=0,P$3=TRUE))),
ROUNDDOWN((AB$1-AC$1)*MAX(INDEX(T$4:T1673,MATCH(LARGE(FILTER(Y$4:Y1"&amp;"673,Y$4:Y1673&lt;1000000000),1),Y$4:Y1673)),INDEX(F$4:F1673,MATCH(LARGE(FILTER(K$4:K1673,K$4:K1673&lt;1000000000),1),K$4:K1673)))),AND(K1027&lt;1000000000,COUNTA(C1027:C1673)&gt;0,P$3=FALSE),
ROUNDDOWN(INDEX(Y$4:Y1673,MATCH(LARGE(FILTER(W$4:W1673,W$4:W1673&lt;=I1027),1)"&amp;",W$4:W1673))+(I1027-LARGE(FILTER(W$4:W1673,W$4:W1673&lt;=I1027),1))*INDEX(T$4:T1673,MATCH(LARGE(FILTER(W$4:W1673,W$4:W1673&lt;=I1027),1),W$4:W1673))-K1027),1,
ROUNDDOWN(Y1027-INDEX(K$4:K1673,MATCH(LARGE(FILTER(I$4:I1673,I$4:I1673&lt;=W1027),1),I$4:I1673))-(W1027-L"&amp;"ARGE(FILTER(I$4:I1673,I$4:I1673&lt;=W1027),1))*INDEX(F$4:F1673,MATCH(LARGE(FILTER(I$4:I1673,I$4:I1673&lt;=W1027),1),I$4:I1673))))"),"")</f>
        <v/>
      </c>
      <c r="N1027" s="60" t="str">
        <f t="shared" si="8"/>
        <v/>
      </c>
      <c r="O1027" s="61" t="str">
        <f t="shared" si="9"/>
        <v/>
      </c>
      <c r="P1027" s="56" t="str">
        <f t="shared" si="10"/>
        <v/>
      </c>
      <c r="R1027" s="10"/>
      <c r="S1027" s="59" t="str">
        <f t="array" ref="S1027">IF(COUNTA(Q1027:Q1673)=0,"",SUM((COUNTIF(Q$4:Q1027,Upgrades!$B$3:$B$13)-COUNTIF(Q$4:Q1027,"Sell_"&amp;Upgrades!$B$3:$B$13))*Upgrades!$D$3:$D$13))</f>
        <v/>
      </c>
      <c r="T1027" s="66" t="str">
        <f>IFERROR(__xludf.DUMMYFUNCTION("IF(COUNTA(Q1027:Q1673)=0,"""",IF(REGEXMATCH(INDEX(FILTER(Q$4:Q1027,Q$4:Q1027&lt;&gt;""""),ROWS(FILTER(Q$4:Q1027,Q$4:Q1027&lt;&gt;""""))),""^Sell_""),INDEX(FILTER(T$4:T1026,Q$4:Q1026&lt;&gt;""""),ROWS(FILTER(Q$4:Q1026,Q$4:Q1026&lt;&gt;""""))),$AD$5+S1027))"),"")</f>
        <v/>
      </c>
      <c r="U1027" s="10" t="str">
        <f>IFERROR(__xludf.DUMMYFUNCTION("IF(COUNTA(Q1027:Q1673)=0,"""",IF(Q1027="""",0,IF(REGEXMATCH(Q1027,""^Sell_""),-ROUNDDOWN(ROUNDUP(INDEX(Upgrades!$C$3:$C$13,MATCH(SUBSTITUTE(Q1027,""Sell_"",""""),Upgrades!$B$3:$B$13,0))*1.15^(COUNTIF(Q$4:Q1026,SUBSTITUTE(Q1027,""Sell_"",""""))-COUNTIF(Q$4"&amp;":Q1026,""Sell_""&amp;SUBSTITUTE(Q1027,""Sell_"",""""))))/2),ROUNDUP(INDEX(Upgrades!$C$3:$C$13,MATCH(Q1027,Upgrades!$B$3:$B$13,0))*1.15^(COUNTIF(Q$4:Q1026,Q1027)-COUNTIF(Q$4:Q1026,""Sell_""&amp;Q1027))))))"),"")</f>
        <v/>
      </c>
      <c r="V1027" s="10" t="str">
        <f t="shared" si="11"/>
        <v/>
      </c>
      <c r="W1027" s="68" t="str">
        <f t="shared" si="12"/>
        <v/>
      </c>
      <c r="X1027" s="59" t="str">
        <f t="shared" si="13"/>
        <v/>
      </c>
      <c r="Y1027" s="69" t="str">
        <f t="shared" si="14"/>
        <v/>
      </c>
      <c r="Z1027" s="11"/>
    </row>
    <row r="1028">
      <c r="A1028" s="8"/>
      <c r="B1028" s="56" t="str">
        <f t="shared" si="2"/>
        <v/>
      </c>
      <c r="C1028" s="105"/>
      <c r="D1028" s="10"/>
      <c r="E1028" s="59" t="str">
        <f t="array" ref="E1028">IF(COUNTA(C1028:C1673)=0,"",SUM((COUNTIF(C$4:C1028,Upgrades!$B$3:$B$13)-COUNTIF(C$4:C1028,"Sell_"&amp;Upgrades!$B$3:$B$13))*Upgrades!$D$3:$D$13))</f>
        <v/>
      </c>
      <c r="F1028" s="66" t="str">
        <f>IFERROR(__xludf.DUMMYFUNCTION("IF(COUNTA(C1028:C1673)=0,"""",IF(REGEXMATCH(INDEX(FILTER(C$4:C1028,C$4:C1028&lt;&gt;""""),ROWS(FILTER(C$4:C1028,C$4:C1028&lt;&gt;""""))),""^Sell_""),INDEX(FILTER(F$4:F1027,C$4:C1027&lt;&gt;""""),ROWS(FILTER(C$4:C1027,C$4:C1027&lt;&gt;""""))),$AC$5+E1028))"),"")</f>
        <v/>
      </c>
      <c r="G1028" s="10" t="str">
        <f>IFERROR(__xludf.DUMMYFUNCTION("IF(COUNTA(C1028:C1673)=0,"""",IF(C1028="""",0,IF(REGEXMATCH(C1028,""^Sell_""),-ROUNDDOWN(ROUNDUP(INDEX(Upgrades!$C$3:$C$13,MATCH(SUBSTITUTE(C1028,""Sell_"",""""),Upgrades!$B$3:$B$13,0))*1.15^(COUNTIF(C$4:C1027,SUBSTITUTE(C1028,""Sell_"",""""))-COUNTIF(C$4"&amp;":C1027,""Sell_""&amp;SUBSTITUTE(C1028,""Sell_"",""""))))/2),ROUNDUP(INDEX(Upgrades!$C$3:$C$13,MATCH(C1028,Upgrades!$B$3:$B$13,0))*1.15^(COUNTIF(C$4:C1027,C1028)-COUNTIF(C$4:C1027,""Sell_""&amp;C1028))))))"),"")</f>
        <v/>
      </c>
      <c r="H1028" s="10" t="str">
        <f t="shared" si="3"/>
        <v/>
      </c>
      <c r="I1028" s="68" t="str">
        <f t="shared" si="4"/>
        <v/>
      </c>
      <c r="J1028" s="59" t="str">
        <f t="shared" si="5"/>
        <v/>
      </c>
      <c r="K1028" s="69" t="str">
        <f t="shared" si="6"/>
        <v/>
      </c>
      <c r="L1028" s="60" t="str">
        <f t="shared" si="7"/>
        <v/>
      </c>
      <c r="M1028" s="61" t="str">
        <f>IFERROR(__xludf.DUMMYFUNCTION("IFS(AND(COUNTA(C1028:C1673)=0,COUNTA(Q1028:Q1673)=0),"""",OR(AND(K1028&gt;=1000000000,OR(Y1028&gt;=1000000000,COUNTA(Q1028:Q1673)=0)),OR(Y1028&gt;=1000000000,AND(COUNTA(C1028:C1673)=0,P$3=TRUE))),
ROUNDDOWN((AB$1-AC$1)*MAX(INDEX(T$4:T1673,MATCH(LARGE(FILTER(Y$4:Y1"&amp;"673,Y$4:Y1673&lt;1000000000),1),Y$4:Y1673)),INDEX(F$4:F1673,MATCH(LARGE(FILTER(K$4:K1673,K$4:K1673&lt;1000000000),1),K$4:K1673)))),AND(K1028&lt;1000000000,COUNTA(C1028:C1673)&gt;0,P$3=FALSE),
ROUNDDOWN(INDEX(Y$4:Y1673,MATCH(LARGE(FILTER(W$4:W1673,W$4:W1673&lt;=I1028),1)"&amp;",W$4:W1673))+(I1028-LARGE(FILTER(W$4:W1673,W$4:W1673&lt;=I1028),1))*INDEX(T$4:T1673,MATCH(LARGE(FILTER(W$4:W1673,W$4:W1673&lt;=I1028),1),W$4:W1673))-K1028),1,
ROUNDDOWN(Y1028-INDEX(K$4:K1673,MATCH(LARGE(FILTER(I$4:I1673,I$4:I1673&lt;=W1028),1),I$4:I1673))-(W1028-L"&amp;"ARGE(FILTER(I$4:I1673,I$4:I1673&lt;=W1028),1))*INDEX(F$4:F1673,MATCH(LARGE(FILTER(I$4:I1673,I$4:I1673&lt;=W1028),1),I$4:I1673))))"),"")</f>
        <v/>
      </c>
      <c r="N1028" s="60" t="str">
        <f t="shared" si="8"/>
        <v/>
      </c>
      <c r="O1028" s="61" t="str">
        <f t="shared" si="9"/>
        <v/>
      </c>
      <c r="P1028" s="56" t="str">
        <f t="shared" si="10"/>
        <v/>
      </c>
      <c r="R1028" s="10"/>
      <c r="S1028" s="59" t="str">
        <f t="array" ref="S1028">IF(COUNTA(Q1028:Q1673)=0,"",SUM((COUNTIF(Q$4:Q1028,Upgrades!$B$3:$B$13)-COUNTIF(Q$4:Q1028,"Sell_"&amp;Upgrades!$B$3:$B$13))*Upgrades!$D$3:$D$13))</f>
        <v/>
      </c>
      <c r="T1028" s="66" t="str">
        <f>IFERROR(__xludf.DUMMYFUNCTION("IF(COUNTA(Q1028:Q1673)=0,"""",IF(REGEXMATCH(INDEX(FILTER(Q$4:Q1028,Q$4:Q1028&lt;&gt;""""),ROWS(FILTER(Q$4:Q1028,Q$4:Q1028&lt;&gt;""""))),""^Sell_""),INDEX(FILTER(T$4:T1027,Q$4:Q1027&lt;&gt;""""),ROWS(FILTER(Q$4:Q1027,Q$4:Q1027&lt;&gt;""""))),$AD$5+S1028))"),"")</f>
        <v/>
      </c>
      <c r="U1028" s="10" t="str">
        <f>IFERROR(__xludf.DUMMYFUNCTION("IF(COUNTA(Q1028:Q1673)=0,"""",IF(Q1028="""",0,IF(REGEXMATCH(Q1028,""^Sell_""),-ROUNDDOWN(ROUNDUP(INDEX(Upgrades!$C$3:$C$13,MATCH(SUBSTITUTE(Q1028,""Sell_"",""""),Upgrades!$B$3:$B$13,0))*1.15^(COUNTIF(Q$4:Q1027,SUBSTITUTE(Q1028,""Sell_"",""""))-COUNTIF(Q$4"&amp;":Q1027,""Sell_""&amp;SUBSTITUTE(Q1028,""Sell_"",""""))))/2),ROUNDUP(INDEX(Upgrades!$C$3:$C$13,MATCH(Q1028,Upgrades!$B$3:$B$13,0))*1.15^(COUNTIF(Q$4:Q1027,Q1028)-COUNTIF(Q$4:Q1027,""Sell_""&amp;Q1028))))))"),"")</f>
        <v/>
      </c>
      <c r="V1028" s="10" t="str">
        <f t="shared" si="11"/>
        <v/>
      </c>
      <c r="W1028" s="68" t="str">
        <f t="shared" si="12"/>
        <v/>
      </c>
      <c r="X1028" s="59" t="str">
        <f t="shared" si="13"/>
        <v/>
      </c>
      <c r="Y1028" s="69" t="str">
        <f t="shared" si="14"/>
        <v/>
      </c>
      <c r="Z1028" s="11"/>
    </row>
    <row r="1029">
      <c r="A1029" s="8"/>
      <c r="B1029" s="56" t="str">
        <f t="shared" si="2"/>
        <v/>
      </c>
      <c r="C1029" s="105"/>
      <c r="D1029" s="10"/>
      <c r="E1029" s="59" t="str">
        <f t="array" ref="E1029">IF(COUNTA(C1029:C1673)=0,"",SUM((COUNTIF(C$4:C1029,Upgrades!$B$3:$B$13)-COUNTIF(C$4:C1029,"Sell_"&amp;Upgrades!$B$3:$B$13))*Upgrades!$D$3:$D$13))</f>
        <v/>
      </c>
      <c r="F1029" s="66" t="str">
        <f>IFERROR(__xludf.DUMMYFUNCTION("IF(COUNTA(C1029:C1673)=0,"""",IF(REGEXMATCH(INDEX(FILTER(C$4:C1029,C$4:C1029&lt;&gt;""""),ROWS(FILTER(C$4:C1029,C$4:C1029&lt;&gt;""""))),""^Sell_""),INDEX(FILTER(F$4:F1028,C$4:C1028&lt;&gt;""""),ROWS(FILTER(C$4:C1028,C$4:C1028&lt;&gt;""""))),$AC$5+E1029))"),"")</f>
        <v/>
      </c>
      <c r="G1029" s="10" t="str">
        <f>IFERROR(__xludf.DUMMYFUNCTION("IF(COUNTA(C1029:C1673)=0,"""",IF(C1029="""",0,IF(REGEXMATCH(C1029,""^Sell_""),-ROUNDDOWN(ROUNDUP(INDEX(Upgrades!$C$3:$C$13,MATCH(SUBSTITUTE(C1029,""Sell_"",""""),Upgrades!$B$3:$B$13,0))*1.15^(COUNTIF(C$4:C1028,SUBSTITUTE(C1029,""Sell_"",""""))-COUNTIF(C$4"&amp;":C1028,""Sell_""&amp;SUBSTITUTE(C1029,""Sell_"",""""))))/2),ROUNDUP(INDEX(Upgrades!$C$3:$C$13,MATCH(C1029,Upgrades!$B$3:$B$13,0))*1.15^(COUNTIF(C$4:C1028,C1029)-COUNTIF(C$4:C1028,""Sell_""&amp;C1029))))))"),"")</f>
        <v/>
      </c>
      <c r="H1029" s="10" t="str">
        <f t="shared" si="3"/>
        <v/>
      </c>
      <c r="I1029" s="68" t="str">
        <f t="shared" si="4"/>
        <v/>
      </c>
      <c r="J1029" s="59" t="str">
        <f t="shared" si="5"/>
        <v/>
      </c>
      <c r="K1029" s="69" t="str">
        <f t="shared" si="6"/>
        <v/>
      </c>
      <c r="L1029" s="60" t="str">
        <f t="shared" si="7"/>
        <v/>
      </c>
      <c r="M1029" s="61" t="str">
        <f>IFERROR(__xludf.DUMMYFUNCTION("IFS(AND(COUNTA(C1029:C1673)=0,COUNTA(Q1029:Q1673)=0),"""",OR(AND(K1029&gt;=1000000000,OR(Y1029&gt;=1000000000,COUNTA(Q1029:Q1673)=0)),OR(Y1029&gt;=1000000000,AND(COUNTA(C1029:C1673)=0,P$3=TRUE))),
ROUNDDOWN((AB$1-AC$1)*MAX(INDEX(T$4:T1673,MATCH(LARGE(FILTER(Y$4:Y1"&amp;"673,Y$4:Y1673&lt;1000000000),1),Y$4:Y1673)),INDEX(F$4:F1673,MATCH(LARGE(FILTER(K$4:K1673,K$4:K1673&lt;1000000000),1),K$4:K1673)))),AND(K1029&lt;1000000000,COUNTA(C1029:C1673)&gt;0,P$3=FALSE),
ROUNDDOWN(INDEX(Y$4:Y1673,MATCH(LARGE(FILTER(W$4:W1673,W$4:W1673&lt;=I1029),1)"&amp;",W$4:W1673))+(I1029-LARGE(FILTER(W$4:W1673,W$4:W1673&lt;=I1029),1))*INDEX(T$4:T1673,MATCH(LARGE(FILTER(W$4:W1673,W$4:W1673&lt;=I1029),1),W$4:W1673))-K1029),1,
ROUNDDOWN(Y1029-INDEX(K$4:K1673,MATCH(LARGE(FILTER(I$4:I1673,I$4:I1673&lt;=W1029),1),I$4:I1673))-(W1029-L"&amp;"ARGE(FILTER(I$4:I1673,I$4:I1673&lt;=W1029),1))*INDEX(F$4:F1673,MATCH(LARGE(FILTER(I$4:I1673,I$4:I1673&lt;=W1029),1),I$4:I1673))))"),"")</f>
        <v/>
      </c>
      <c r="N1029" s="60" t="str">
        <f t="shared" si="8"/>
        <v/>
      </c>
      <c r="O1029" s="61" t="str">
        <f t="shared" si="9"/>
        <v/>
      </c>
      <c r="P1029" s="56" t="str">
        <f t="shared" si="10"/>
        <v/>
      </c>
      <c r="R1029" s="10"/>
      <c r="S1029" s="59" t="str">
        <f t="array" ref="S1029">IF(COUNTA(Q1029:Q1673)=0,"",SUM((COUNTIF(Q$4:Q1029,Upgrades!$B$3:$B$13)-COUNTIF(Q$4:Q1029,"Sell_"&amp;Upgrades!$B$3:$B$13))*Upgrades!$D$3:$D$13))</f>
        <v/>
      </c>
      <c r="T1029" s="66" t="str">
        <f>IFERROR(__xludf.DUMMYFUNCTION("IF(COUNTA(Q1029:Q1673)=0,"""",IF(REGEXMATCH(INDEX(FILTER(Q$4:Q1029,Q$4:Q1029&lt;&gt;""""),ROWS(FILTER(Q$4:Q1029,Q$4:Q1029&lt;&gt;""""))),""^Sell_""),INDEX(FILTER(T$4:T1028,Q$4:Q1028&lt;&gt;""""),ROWS(FILTER(Q$4:Q1028,Q$4:Q1028&lt;&gt;""""))),$AD$5+S1029))"),"")</f>
        <v/>
      </c>
      <c r="U1029" s="10" t="str">
        <f>IFERROR(__xludf.DUMMYFUNCTION("IF(COUNTA(Q1029:Q1673)=0,"""",IF(Q1029="""",0,IF(REGEXMATCH(Q1029,""^Sell_""),-ROUNDDOWN(ROUNDUP(INDEX(Upgrades!$C$3:$C$13,MATCH(SUBSTITUTE(Q1029,""Sell_"",""""),Upgrades!$B$3:$B$13,0))*1.15^(COUNTIF(Q$4:Q1028,SUBSTITUTE(Q1029,""Sell_"",""""))-COUNTIF(Q$4"&amp;":Q1028,""Sell_""&amp;SUBSTITUTE(Q1029,""Sell_"",""""))))/2),ROUNDUP(INDEX(Upgrades!$C$3:$C$13,MATCH(Q1029,Upgrades!$B$3:$B$13,0))*1.15^(COUNTIF(Q$4:Q1028,Q1029)-COUNTIF(Q$4:Q1028,""Sell_""&amp;Q1029))))))"),"")</f>
        <v/>
      </c>
      <c r="V1029" s="10" t="str">
        <f t="shared" si="11"/>
        <v/>
      </c>
      <c r="W1029" s="68" t="str">
        <f t="shared" si="12"/>
        <v/>
      </c>
      <c r="X1029" s="59" t="str">
        <f t="shared" si="13"/>
        <v/>
      </c>
      <c r="Y1029" s="69" t="str">
        <f t="shared" si="14"/>
        <v/>
      </c>
      <c r="Z1029" s="11"/>
    </row>
    <row r="1030">
      <c r="A1030" s="8"/>
      <c r="B1030" s="56" t="str">
        <f t="shared" si="2"/>
        <v/>
      </c>
      <c r="C1030" s="105"/>
      <c r="D1030" s="10"/>
      <c r="E1030" s="59" t="str">
        <f t="array" ref="E1030">IF(COUNTA(C1030:C1673)=0,"",SUM((COUNTIF(C$4:C1030,Upgrades!$B$3:$B$13)-COUNTIF(C$4:C1030,"Sell_"&amp;Upgrades!$B$3:$B$13))*Upgrades!$D$3:$D$13))</f>
        <v/>
      </c>
      <c r="F1030" s="66" t="str">
        <f>IFERROR(__xludf.DUMMYFUNCTION("IF(COUNTA(C1030:C1673)=0,"""",IF(REGEXMATCH(INDEX(FILTER(C$4:C1030,C$4:C1030&lt;&gt;""""),ROWS(FILTER(C$4:C1030,C$4:C1030&lt;&gt;""""))),""^Sell_""),INDEX(FILTER(F$4:F1029,C$4:C1029&lt;&gt;""""),ROWS(FILTER(C$4:C1029,C$4:C1029&lt;&gt;""""))),$AC$5+E1030))"),"")</f>
        <v/>
      </c>
      <c r="G1030" s="10" t="str">
        <f>IFERROR(__xludf.DUMMYFUNCTION("IF(COUNTA(C1030:C1673)=0,"""",IF(C1030="""",0,IF(REGEXMATCH(C1030,""^Sell_""),-ROUNDDOWN(ROUNDUP(INDEX(Upgrades!$C$3:$C$13,MATCH(SUBSTITUTE(C1030,""Sell_"",""""),Upgrades!$B$3:$B$13,0))*1.15^(COUNTIF(C$4:C1029,SUBSTITUTE(C1030,""Sell_"",""""))-COUNTIF(C$4"&amp;":C1029,""Sell_""&amp;SUBSTITUTE(C1030,""Sell_"",""""))))/2),ROUNDUP(INDEX(Upgrades!$C$3:$C$13,MATCH(C1030,Upgrades!$B$3:$B$13,0))*1.15^(COUNTIF(C$4:C1029,C1030)-COUNTIF(C$4:C1029,""Sell_""&amp;C1030))))))"),"")</f>
        <v/>
      </c>
      <c r="H1030" s="10" t="str">
        <f t="shared" si="3"/>
        <v/>
      </c>
      <c r="I1030" s="68" t="str">
        <f t="shared" si="4"/>
        <v/>
      </c>
      <c r="J1030" s="59" t="str">
        <f t="shared" si="5"/>
        <v/>
      </c>
      <c r="K1030" s="69" t="str">
        <f t="shared" si="6"/>
        <v/>
      </c>
      <c r="L1030" s="60" t="str">
        <f t="shared" si="7"/>
        <v/>
      </c>
      <c r="M1030" s="61" t="str">
        <f>IFERROR(__xludf.DUMMYFUNCTION("IFS(AND(COUNTA(C1030:C1673)=0,COUNTA(Q1030:Q1673)=0),"""",OR(AND(K1030&gt;=1000000000,OR(Y1030&gt;=1000000000,COUNTA(Q1030:Q1673)=0)),OR(Y1030&gt;=1000000000,AND(COUNTA(C1030:C1673)=0,P$3=TRUE))),
ROUNDDOWN((AB$1-AC$1)*MAX(INDEX(T$4:T1673,MATCH(LARGE(FILTER(Y$4:Y1"&amp;"673,Y$4:Y1673&lt;1000000000),1),Y$4:Y1673)),INDEX(F$4:F1673,MATCH(LARGE(FILTER(K$4:K1673,K$4:K1673&lt;1000000000),1),K$4:K1673)))),AND(K1030&lt;1000000000,COUNTA(C1030:C1673)&gt;0,P$3=FALSE),
ROUNDDOWN(INDEX(Y$4:Y1673,MATCH(LARGE(FILTER(W$4:W1673,W$4:W1673&lt;=I1030),1)"&amp;",W$4:W1673))+(I1030-LARGE(FILTER(W$4:W1673,W$4:W1673&lt;=I1030),1))*INDEX(T$4:T1673,MATCH(LARGE(FILTER(W$4:W1673,W$4:W1673&lt;=I1030),1),W$4:W1673))-K1030),1,
ROUNDDOWN(Y1030-INDEX(K$4:K1673,MATCH(LARGE(FILTER(I$4:I1673,I$4:I1673&lt;=W1030),1),I$4:I1673))-(W1030-L"&amp;"ARGE(FILTER(I$4:I1673,I$4:I1673&lt;=W1030),1))*INDEX(F$4:F1673,MATCH(LARGE(FILTER(I$4:I1673,I$4:I1673&lt;=W1030),1),I$4:I1673))))"),"")</f>
        <v/>
      </c>
      <c r="N1030" s="60" t="str">
        <f t="shared" si="8"/>
        <v/>
      </c>
      <c r="O1030" s="61" t="str">
        <f t="shared" si="9"/>
        <v/>
      </c>
      <c r="P1030" s="56" t="str">
        <f t="shared" si="10"/>
        <v/>
      </c>
      <c r="R1030" s="10"/>
      <c r="S1030" s="59" t="str">
        <f t="array" ref="S1030">IF(COUNTA(Q1030:Q1673)=0,"",SUM((COUNTIF(Q$4:Q1030,Upgrades!$B$3:$B$13)-COUNTIF(Q$4:Q1030,"Sell_"&amp;Upgrades!$B$3:$B$13))*Upgrades!$D$3:$D$13))</f>
        <v/>
      </c>
      <c r="T1030" s="66" t="str">
        <f>IFERROR(__xludf.DUMMYFUNCTION("IF(COUNTA(Q1030:Q1673)=0,"""",IF(REGEXMATCH(INDEX(FILTER(Q$4:Q1030,Q$4:Q1030&lt;&gt;""""),ROWS(FILTER(Q$4:Q1030,Q$4:Q1030&lt;&gt;""""))),""^Sell_""),INDEX(FILTER(T$4:T1029,Q$4:Q1029&lt;&gt;""""),ROWS(FILTER(Q$4:Q1029,Q$4:Q1029&lt;&gt;""""))),$AD$5+S1030))"),"")</f>
        <v/>
      </c>
      <c r="U1030" s="10" t="str">
        <f>IFERROR(__xludf.DUMMYFUNCTION("IF(COUNTA(Q1030:Q1673)=0,"""",IF(Q1030="""",0,IF(REGEXMATCH(Q1030,""^Sell_""),-ROUNDDOWN(ROUNDUP(INDEX(Upgrades!$C$3:$C$13,MATCH(SUBSTITUTE(Q1030,""Sell_"",""""),Upgrades!$B$3:$B$13,0))*1.15^(COUNTIF(Q$4:Q1029,SUBSTITUTE(Q1030,""Sell_"",""""))-COUNTIF(Q$4"&amp;":Q1029,""Sell_""&amp;SUBSTITUTE(Q1030,""Sell_"",""""))))/2),ROUNDUP(INDEX(Upgrades!$C$3:$C$13,MATCH(Q1030,Upgrades!$B$3:$B$13,0))*1.15^(COUNTIF(Q$4:Q1029,Q1030)-COUNTIF(Q$4:Q1029,""Sell_""&amp;Q1030))))))"),"")</f>
        <v/>
      </c>
      <c r="V1030" s="10" t="str">
        <f t="shared" si="11"/>
        <v/>
      </c>
      <c r="W1030" s="68" t="str">
        <f t="shared" si="12"/>
        <v/>
      </c>
      <c r="X1030" s="59" t="str">
        <f t="shared" si="13"/>
        <v/>
      </c>
      <c r="Y1030" s="69" t="str">
        <f t="shared" si="14"/>
        <v/>
      </c>
      <c r="Z1030" s="11"/>
    </row>
    <row r="1031">
      <c r="A1031" s="8"/>
      <c r="B1031" s="56" t="str">
        <f t="shared" si="2"/>
        <v/>
      </c>
      <c r="C1031" s="105"/>
      <c r="D1031" s="10"/>
      <c r="E1031" s="59" t="str">
        <f t="array" ref="E1031">IF(COUNTA(C1031:C1673)=0,"",SUM((COUNTIF(C$4:C1031,Upgrades!$B$3:$B$13)-COUNTIF(C$4:C1031,"Sell_"&amp;Upgrades!$B$3:$B$13))*Upgrades!$D$3:$D$13))</f>
        <v/>
      </c>
      <c r="F1031" s="66" t="str">
        <f>IFERROR(__xludf.DUMMYFUNCTION("IF(COUNTA(C1031:C1673)=0,"""",IF(REGEXMATCH(INDEX(FILTER(C$4:C1031,C$4:C1031&lt;&gt;""""),ROWS(FILTER(C$4:C1031,C$4:C1031&lt;&gt;""""))),""^Sell_""),INDEX(FILTER(F$4:F1030,C$4:C1030&lt;&gt;""""),ROWS(FILTER(C$4:C1030,C$4:C1030&lt;&gt;""""))),$AC$5+E1031))"),"")</f>
        <v/>
      </c>
      <c r="G1031" s="10" t="str">
        <f>IFERROR(__xludf.DUMMYFUNCTION("IF(COUNTA(C1031:C1673)=0,"""",IF(C1031="""",0,IF(REGEXMATCH(C1031,""^Sell_""),-ROUNDDOWN(ROUNDUP(INDEX(Upgrades!$C$3:$C$13,MATCH(SUBSTITUTE(C1031,""Sell_"",""""),Upgrades!$B$3:$B$13,0))*1.15^(COUNTIF(C$4:C1030,SUBSTITUTE(C1031,""Sell_"",""""))-COUNTIF(C$4"&amp;":C1030,""Sell_""&amp;SUBSTITUTE(C1031,""Sell_"",""""))))/2),ROUNDUP(INDEX(Upgrades!$C$3:$C$13,MATCH(C1031,Upgrades!$B$3:$B$13,0))*1.15^(COUNTIF(C$4:C1030,C1031)-COUNTIF(C$4:C1030,""Sell_""&amp;C1031))))))"),"")</f>
        <v/>
      </c>
      <c r="H1031" s="10" t="str">
        <f t="shared" si="3"/>
        <v/>
      </c>
      <c r="I1031" s="68" t="str">
        <f t="shared" si="4"/>
        <v/>
      </c>
      <c r="J1031" s="59" t="str">
        <f t="shared" si="5"/>
        <v/>
      </c>
      <c r="K1031" s="69" t="str">
        <f t="shared" si="6"/>
        <v/>
      </c>
      <c r="L1031" s="60" t="str">
        <f t="shared" si="7"/>
        <v/>
      </c>
      <c r="M1031" s="61" t="str">
        <f>IFERROR(__xludf.DUMMYFUNCTION("IFS(AND(COUNTA(C1031:C1673)=0,COUNTA(Q1031:Q1673)=0),"""",OR(AND(K1031&gt;=1000000000,OR(Y1031&gt;=1000000000,COUNTA(Q1031:Q1673)=0)),OR(Y1031&gt;=1000000000,AND(COUNTA(C1031:C1673)=0,P$3=TRUE))),
ROUNDDOWN((AB$1-AC$1)*MAX(INDEX(T$4:T1673,MATCH(LARGE(FILTER(Y$4:Y1"&amp;"673,Y$4:Y1673&lt;1000000000),1),Y$4:Y1673)),INDEX(F$4:F1673,MATCH(LARGE(FILTER(K$4:K1673,K$4:K1673&lt;1000000000),1),K$4:K1673)))),AND(K1031&lt;1000000000,COUNTA(C1031:C1673)&gt;0,P$3=FALSE),
ROUNDDOWN(INDEX(Y$4:Y1673,MATCH(LARGE(FILTER(W$4:W1673,W$4:W1673&lt;=I1031),1)"&amp;",W$4:W1673))+(I1031-LARGE(FILTER(W$4:W1673,W$4:W1673&lt;=I1031),1))*INDEX(T$4:T1673,MATCH(LARGE(FILTER(W$4:W1673,W$4:W1673&lt;=I1031),1),W$4:W1673))-K1031),1,
ROUNDDOWN(Y1031-INDEX(K$4:K1673,MATCH(LARGE(FILTER(I$4:I1673,I$4:I1673&lt;=W1031),1),I$4:I1673))-(W1031-L"&amp;"ARGE(FILTER(I$4:I1673,I$4:I1673&lt;=W1031),1))*INDEX(F$4:F1673,MATCH(LARGE(FILTER(I$4:I1673,I$4:I1673&lt;=W1031),1),I$4:I1673))))"),"")</f>
        <v/>
      </c>
      <c r="N1031" s="60" t="str">
        <f t="shared" si="8"/>
        <v/>
      </c>
      <c r="O1031" s="61" t="str">
        <f t="shared" si="9"/>
        <v/>
      </c>
      <c r="P1031" s="56" t="str">
        <f t="shared" si="10"/>
        <v/>
      </c>
      <c r="R1031" s="10"/>
      <c r="S1031" s="59" t="str">
        <f t="array" ref="S1031">IF(COUNTA(Q1031:Q1673)=0,"",SUM((COUNTIF(Q$4:Q1031,Upgrades!$B$3:$B$13)-COUNTIF(Q$4:Q1031,"Sell_"&amp;Upgrades!$B$3:$B$13))*Upgrades!$D$3:$D$13))</f>
        <v/>
      </c>
      <c r="T1031" s="66" t="str">
        <f>IFERROR(__xludf.DUMMYFUNCTION("IF(COUNTA(Q1031:Q1673)=0,"""",IF(REGEXMATCH(INDEX(FILTER(Q$4:Q1031,Q$4:Q1031&lt;&gt;""""),ROWS(FILTER(Q$4:Q1031,Q$4:Q1031&lt;&gt;""""))),""^Sell_""),INDEX(FILTER(T$4:T1030,Q$4:Q1030&lt;&gt;""""),ROWS(FILTER(Q$4:Q1030,Q$4:Q1030&lt;&gt;""""))),$AD$5+S1031))"),"")</f>
        <v/>
      </c>
      <c r="U1031" s="10" t="str">
        <f>IFERROR(__xludf.DUMMYFUNCTION("IF(COUNTA(Q1031:Q1673)=0,"""",IF(Q1031="""",0,IF(REGEXMATCH(Q1031,""^Sell_""),-ROUNDDOWN(ROUNDUP(INDEX(Upgrades!$C$3:$C$13,MATCH(SUBSTITUTE(Q1031,""Sell_"",""""),Upgrades!$B$3:$B$13,0))*1.15^(COUNTIF(Q$4:Q1030,SUBSTITUTE(Q1031,""Sell_"",""""))-COUNTIF(Q$4"&amp;":Q1030,""Sell_""&amp;SUBSTITUTE(Q1031,""Sell_"",""""))))/2),ROUNDUP(INDEX(Upgrades!$C$3:$C$13,MATCH(Q1031,Upgrades!$B$3:$B$13,0))*1.15^(COUNTIF(Q$4:Q1030,Q1031)-COUNTIF(Q$4:Q1030,""Sell_""&amp;Q1031))))))"),"")</f>
        <v/>
      </c>
      <c r="V1031" s="10" t="str">
        <f t="shared" si="11"/>
        <v/>
      </c>
      <c r="W1031" s="68" t="str">
        <f t="shared" si="12"/>
        <v/>
      </c>
      <c r="X1031" s="59" t="str">
        <f t="shared" si="13"/>
        <v/>
      </c>
      <c r="Y1031" s="69" t="str">
        <f t="shared" si="14"/>
        <v/>
      </c>
      <c r="Z1031" s="11"/>
    </row>
    <row r="1032">
      <c r="A1032" s="8"/>
      <c r="B1032" s="56" t="str">
        <f t="shared" si="2"/>
        <v/>
      </c>
      <c r="C1032" s="105"/>
      <c r="D1032" s="10"/>
      <c r="E1032" s="59" t="str">
        <f t="array" ref="E1032">IF(COUNTA(C1032:C1673)=0,"",SUM((COUNTIF(C$4:C1032,Upgrades!$B$3:$B$13)-COUNTIF(C$4:C1032,"Sell_"&amp;Upgrades!$B$3:$B$13))*Upgrades!$D$3:$D$13))</f>
        <v/>
      </c>
      <c r="F1032" s="66" t="str">
        <f>IFERROR(__xludf.DUMMYFUNCTION("IF(COUNTA(C1032:C1673)=0,"""",IF(REGEXMATCH(INDEX(FILTER(C$4:C1032,C$4:C1032&lt;&gt;""""),ROWS(FILTER(C$4:C1032,C$4:C1032&lt;&gt;""""))),""^Sell_""),INDEX(FILTER(F$4:F1031,C$4:C1031&lt;&gt;""""),ROWS(FILTER(C$4:C1031,C$4:C1031&lt;&gt;""""))),$AC$5+E1032))"),"")</f>
        <v/>
      </c>
      <c r="G1032" s="10" t="str">
        <f>IFERROR(__xludf.DUMMYFUNCTION("IF(COUNTA(C1032:C1673)=0,"""",IF(C1032="""",0,IF(REGEXMATCH(C1032,""^Sell_""),-ROUNDDOWN(ROUNDUP(INDEX(Upgrades!$C$3:$C$13,MATCH(SUBSTITUTE(C1032,""Sell_"",""""),Upgrades!$B$3:$B$13,0))*1.15^(COUNTIF(C$4:C1031,SUBSTITUTE(C1032,""Sell_"",""""))-COUNTIF(C$4"&amp;":C1031,""Sell_""&amp;SUBSTITUTE(C1032,""Sell_"",""""))))/2),ROUNDUP(INDEX(Upgrades!$C$3:$C$13,MATCH(C1032,Upgrades!$B$3:$B$13,0))*1.15^(COUNTIF(C$4:C1031,C1032)-COUNTIF(C$4:C1031,""Sell_""&amp;C1032))))))"),"")</f>
        <v/>
      </c>
      <c r="H1032" s="10" t="str">
        <f t="shared" si="3"/>
        <v/>
      </c>
      <c r="I1032" s="68" t="str">
        <f t="shared" si="4"/>
        <v/>
      </c>
      <c r="J1032" s="59" t="str">
        <f t="shared" si="5"/>
        <v/>
      </c>
      <c r="K1032" s="69" t="str">
        <f t="shared" si="6"/>
        <v/>
      </c>
      <c r="L1032" s="60" t="str">
        <f t="shared" si="7"/>
        <v/>
      </c>
      <c r="M1032" s="61" t="str">
        <f>IFERROR(__xludf.DUMMYFUNCTION("IFS(AND(COUNTA(C1032:C1673)=0,COUNTA(Q1032:Q1673)=0),"""",OR(AND(K1032&gt;=1000000000,OR(Y1032&gt;=1000000000,COUNTA(Q1032:Q1673)=0)),OR(Y1032&gt;=1000000000,AND(COUNTA(C1032:C1673)=0,P$3=TRUE))),
ROUNDDOWN((AB$1-AC$1)*MAX(INDEX(T$4:T1673,MATCH(LARGE(FILTER(Y$4:Y1"&amp;"673,Y$4:Y1673&lt;1000000000),1),Y$4:Y1673)),INDEX(F$4:F1673,MATCH(LARGE(FILTER(K$4:K1673,K$4:K1673&lt;1000000000),1),K$4:K1673)))),AND(K1032&lt;1000000000,COUNTA(C1032:C1673)&gt;0,P$3=FALSE),
ROUNDDOWN(INDEX(Y$4:Y1673,MATCH(LARGE(FILTER(W$4:W1673,W$4:W1673&lt;=I1032),1)"&amp;",W$4:W1673))+(I1032-LARGE(FILTER(W$4:W1673,W$4:W1673&lt;=I1032),1))*INDEX(T$4:T1673,MATCH(LARGE(FILTER(W$4:W1673,W$4:W1673&lt;=I1032),1),W$4:W1673))-K1032),1,
ROUNDDOWN(Y1032-INDEX(K$4:K1673,MATCH(LARGE(FILTER(I$4:I1673,I$4:I1673&lt;=W1032),1),I$4:I1673))-(W1032-L"&amp;"ARGE(FILTER(I$4:I1673,I$4:I1673&lt;=W1032),1))*INDEX(F$4:F1673,MATCH(LARGE(FILTER(I$4:I1673,I$4:I1673&lt;=W1032),1),I$4:I1673))))"),"")</f>
        <v/>
      </c>
      <c r="N1032" s="60" t="str">
        <f t="shared" si="8"/>
        <v/>
      </c>
      <c r="O1032" s="61" t="str">
        <f t="shared" si="9"/>
        <v/>
      </c>
      <c r="P1032" s="56" t="str">
        <f t="shared" si="10"/>
        <v/>
      </c>
      <c r="R1032" s="10"/>
      <c r="S1032" s="59" t="str">
        <f t="array" ref="S1032">IF(COUNTA(Q1032:Q1673)=0,"",SUM((COUNTIF(Q$4:Q1032,Upgrades!$B$3:$B$13)-COUNTIF(Q$4:Q1032,"Sell_"&amp;Upgrades!$B$3:$B$13))*Upgrades!$D$3:$D$13))</f>
        <v/>
      </c>
      <c r="T1032" s="66" t="str">
        <f>IFERROR(__xludf.DUMMYFUNCTION("IF(COUNTA(Q1032:Q1673)=0,"""",IF(REGEXMATCH(INDEX(FILTER(Q$4:Q1032,Q$4:Q1032&lt;&gt;""""),ROWS(FILTER(Q$4:Q1032,Q$4:Q1032&lt;&gt;""""))),""^Sell_""),INDEX(FILTER(T$4:T1031,Q$4:Q1031&lt;&gt;""""),ROWS(FILTER(Q$4:Q1031,Q$4:Q1031&lt;&gt;""""))),$AD$5+S1032))"),"")</f>
        <v/>
      </c>
      <c r="U1032" s="10" t="str">
        <f>IFERROR(__xludf.DUMMYFUNCTION("IF(COUNTA(Q1032:Q1673)=0,"""",IF(Q1032="""",0,IF(REGEXMATCH(Q1032,""^Sell_""),-ROUNDDOWN(ROUNDUP(INDEX(Upgrades!$C$3:$C$13,MATCH(SUBSTITUTE(Q1032,""Sell_"",""""),Upgrades!$B$3:$B$13,0))*1.15^(COUNTIF(Q$4:Q1031,SUBSTITUTE(Q1032,""Sell_"",""""))-COUNTIF(Q$4"&amp;":Q1031,""Sell_""&amp;SUBSTITUTE(Q1032,""Sell_"",""""))))/2),ROUNDUP(INDEX(Upgrades!$C$3:$C$13,MATCH(Q1032,Upgrades!$B$3:$B$13,0))*1.15^(COUNTIF(Q$4:Q1031,Q1032)-COUNTIF(Q$4:Q1031,""Sell_""&amp;Q1032))))))"),"")</f>
        <v/>
      </c>
      <c r="V1032" s="10" t="str">
        <f t="shared" si="11"/>
        <v/>
      </c>
      <c r="W1032" s="68" t="str">
        <f t="shared" si="12"/>
        <v/>
      </c>
      <c r="X1032" s="59" t="str">
        <f t="shared" si="13"/>
        <v/>
      </c>
      <c r="Y1032" s="69" t="str">
        <f t="shared" si="14"/>
        <v/>
      </c>
      <c r="Z1032" s="11"/>
    </row>
    <row r="1033">
      <c r="A1033" s="8"/>
      <c r="B1033" s="56" t="str">
        <f t="shared" si="2"/>
        <v/>
      </c>
      <c r="C1033" s="105"/>
      <c r="D1033" s="10"/>
      <c r="E1033" s="59" t="str">
        <f t="array" ref="E1033">IF(COUNTA(C1033:C1673)=0,"",SUM((COUNTIF(C$4:C1033,Upgrades!$B$3:$B$13)-COUNTIF(C$4:C1033,"Sell_"&amp;Upgrades!$B$3:$B$13))*Upgrades!$D$3:$D$13))</f>
        <v/>
      </c>
      <c r="F1033" s="66" t="str">
        <f>IFERROR(__xludf.DUMMYFUNCTION("IF(COUNTA(C1033:C1673)=0,"""",IF(REGEXMATCH(INDEX(FILTER(C$4:C1033,C$4:C1033&lt;&gt;""""),ROWS(FILTER(C$4:C1033,C$4:C1033&lt;&gt;""""))),""^Sell_""),INDEX(FILTER(F$4:F1032,C$4:C1032&lt;&gt;""""),ROWS(FILTER(C$4:C1032,C$4:C1032&lt;&gt;""""))),$AC$5+E1033))"),"")</f>
        <v/>
      </c>
      <c r="G1033" s="10" t="str">
        <f>IFERROR(__xludf.DUMMYFUNCTION("IF(COUNTA(C1033:C1673)=0,"""",IF(C1033="""",0,IF(REGEXMATCH(C1033,""^Sell_""),-ROUNDDOWN(ROUNDUP(INDEX(Upgrades!$C$3:$C$13,MATCH(SUBSTITUTE(C1033,""Sell_"",""""),Upgrades!$B$3:$B$13,0))*1.15^(COUNTIF(C$4:C1032,SUBSTITUTE(C1033,""Sell_"",""""))-COUNTIF(C$4"&amp;":C1032,""Sell_""&amp;SUBSTITUTE(C1033,""Sell_"",""""))))/2),ROUNDUP(INDEX(Upgrades!$C$3:$C$13,MATCH(C1033,Upgrades!$B$3:$B$13,0))*1.15^(COUNTIF(C$4:C1032,C1033)-COUNTIF(C$4:C1032,""Sell_""&amp;C1033))))))"),"")</f>
        <v/>
      </c>
      <c r="H1033" s="10" t="str">
        <f t="shared" si="3"/>
        <v/>
      </c>
      <c r="I1033" s="68" t="str">
        <f t="shared" si="4"/>
        <v/>
      </c>
      <c r="J1033" s="59" t="str">
        <f t="shared" si="5"/>
        <v/>
      </c>
      <c r="K1033" s="69" t="str">
        <f t="shared" si="6"/>
        <v/>
      </c>
      <c r="L1033" s="60" t="str">
        <f t="shared" si="7"/>
        <v/>
      </c>
      <c r="M1033" s="61" t="str">
        <f>IFERROR(__xludf.DUMMYFUNCTION("IFS(AND(COUNTA(C1033:C1673)=0,COUNTA(Q1033:Q1673)=0),"""",OR(AND(K1033&gt;=1000000000,OR(Y1033&gt;=1000000000,COUNTA(Q1033:Q1673)=0)),OR(Y1033&gt;=1000000000,AND(COUNTA(C1033:C1673)=0,P$3=TRUE))),
ROUNDDOWN((AB$1-AC$1)*MAX(INDEX(T$4:T1673,MATCH(LARGE(FILTER(Y$4:Y1"&amp;"673,Y$4:Y1673&lt;1000000000),1),Y$4:Y1673)),INDEX(F$4:F1673,MATCH(LARGE(FILTER(K$4:K1673,K$4:K1673&lt;1000000000),1),K$4:K1673)))),AND(K1033&lt;1000000000,COUNTA(C1033:C1673)&gt;0,P$3=FALSE),
ROUNDDOWN(INDEX(Y$4:Y1673,MATCH(LARGE(FILTER(W$4:W1673,W$4:W1673&lt;=I1033),1)"&amp;",W$4:W1673))+(I1033-LARGE(FILTER(W$4:W1673,W$4:W1673&lt;=I1033),1))*INDEX(T$4:T1673,MATCH(LARGE(FILTER(W$4:W1673,W$4:W1673&lt;=I1033),1),W$4:W1673))-K1033),1,
ROUNDDOWN(Y1033-INDEX(K$4:K1673,MATCH(LARGE(FILTER(I$4:I1673,I$4:I1673&lt;=W1033),1),I$4:I1673))-(W1033-L"&amp;"ARGE(FILTER(I$4:I1673,I$4:I1673&lt;=W1033),1))*INDEX(F$4:F1673,MATCH(LARGE(FILTER(I$4:I1673,I$4:I1673&lt;=W1033),1),I$4:I1673))))"),"")</f>
        <v/>
      </c>
      <c r="N1033" s="60" t="str">
        <f t="shared" si="8"/>
        <v/>
      </c>
      <c r="O1033" s="61" t="str">
        <f t="shared" si="9"/>
        <v/>
      </c>
      <c r="P1033" s="56" t="str">
        <f t="shared" si="10"/>
        <v/>
      </c>
      <c r="R1033" s="10"/>
      <c r="S1033" s="59" t="str">
        <f t="array" ref="S1033">IF(COUNTA(Q1033:Q1673)=0,"",SUM((COUNTIF(Q$4:Q1033,Upgrades!$B$3:$B$13)-COUNTIF(Q$4:Q1033,"Sell_"&amp;Upgrades!$B$3:$B$13))*Upgrades!$D$3:$D$13))</f>
        <v/>
      </c>
      <c r="T1033" s="66" t="str">
        <f>IFERROR(__xludf.DUMMYFUNCTION("IF(COUNTA(Q1033:Q1673)=0,"""",IF(REGEXMATCH(INDEX(FILTER(Q$4:Q1033,Q$4:Q1033&lt;&gt;""""),ROWS(FILTER(Q$4:Q1033,Q$4:Q1033&lt;&gt;""""))),""^Sell_""),INDEX(FILTER(T$4:T1032,Q$4:Q1032&lt;&gt;""""),ROWS(FILTER(Q$4:Q1032,Q$4:Q1032&lt;&gt;""""))),$AD$5+S1033))"),"")</f>
        <v/>
      </c>
      <c r="U1033" s="10" t="str">
        <f>IFERROR(__xludf.DUMMYFUNCTION("IF(COUNTA(Q1033:Q1673)=0,"""",IF(Q1033="""",0,IF(REGEXMATCH(Q1033,""^Sell_""),-ROUNDDOWN(ROUNDUP(INDEX(Upgrades!$C$3:$C$13,MATCH(SUBSTITUTE(Q1033,""Sell_"",""""),Upgrades!$B$3:$B$13,0))*1.15^(COUNTIF(Q$4:Q1032,SUBSTITUTE(Q1033,""Sell_"",""""))-COUNTIF(Q$4"&amp;":Q1032,""Sell_""&amp;SUBSTITUTE(Q1033,""Sell_"",""""))))/2),ROUNDUP(INDEX(Upgrades!$C$3:$C$13,MATCH(Q1033,Upgrades!$B$3:$B$13,0))*1.15^(COUNTIF(Q$4:Q1032,Q1033)-COUNTIF(Q$4:Q1032,""Sell_""&amp;Q1033))))))"),"")</f>
        <v/>
      </c>
      <c r="V1033" s="10" t="str">
        <f t="shared" si="11"/>
        <v/>
      </c>
      <c r="W1033" s="68" t="str">
        <f t="shared" si="12"/>
        <v/>
      </c>
      <c r="X1033" s="59" t="str">
        <f t="shared" si="13"/>
        <v/>
      </c>
      <c r="Y1033" s="69" t="str">
        <f t="shared" si="14"/>
        <v/>
      </c>
      <c r="Z1033" s="11"/>
    </row>
    <row r="1034">
      <c r="A1034" s="8"/>
      <c r="B1034" s="56" t="str">
        <f t="shared" si="2"/>
        <v/>
      </c>
      <c r="C1034" s="105"/>
      <c r="D1034" s="10"/>
      <c r="E1034" s="59" t="str">
        <f t="array" ref="E1034">IF(COUNTA(C1034:C1673)=0,"",SUM((COUNTIF(C$4:C1034,Upgrades!$B$3:$B$13)-COUNTIF(C$4:C1034,"Sell_"&amp;Upgrades!$B$3:$B$13))*Upgrades!$D$3:$D$13))</f>
        <v/>
      </c>
      <c r="F1034" s="66" t="str">
        <f>IFERROR(__xludf.DUMMYFUNCTION("IF(COUNTA(C1034:C1673)=0,"""",IF(REGEXMATCH(INDEX(FILTER(C$4:C1034,C$4:C1034&lt;&gt;""""),ROWS(FILTER(C$4:C1034,C$4:C1034&lt;&gt;""""))),""^Sell_""),INDEX(FILTER(F$4:F1033,C$4:C1033&lt;&gt;""""),ROWS(FILTER(C$4:C1033,C$4:C1033&lt;&gt;""""))),$AC$5+E1034))"),"")</f>
        <v/>
      </c>
      <c r="G1034" s="10" t="str">
        <f>IFERROR(__xludf.DUMMYFUNCTION("IF(COUNTA(C1034:C1673)=0,"""",IF(C1034="""",0,IF(REGEXMATCH(C1034,""^Sell_""),-ROUNDDOWN(ROUNDUP(INDEX(Upgrades!$C$3:$C$13,MATCH(SUBSTITUTE(C1034,""Sell_"",""""),Upgrades!$B$3:$B$13,0))*1.15^(COUNTIF(C$4:C1033,SUBSTITUTE(C1034,""Sell_"",""""))-COUNTIF(C$4"&amp;":C1033,""Sell_""&amp;SUBSTITUTE(C1034,""Sell_"",""""))))/2),ROUNDUP(INDEX(Upgrades!$C$3:$C$13,MATCH(C1034,Upgrades!$B$3:$B$13,0))*1.15^(COUNTIF(C$4:C1033,C1034)-COUNTIF(C$4:C1033,""Sell_""&amp;C1034))))))"),"")</f>
        <v/>
      </c>
      <c r="H1034" s="10" t="str">
        <f t="shared" si="3"/>
        <v/>
      </c>
      <c r="I1034" s="68" t="str">
        <f t="shared" si="4"/>
        <v/>
      </c>
      <c r="J1034" s="59" t="str">
        <f t="shared" si="5"/>
        <v/>
      </c>
      <c r="K1034" s="69" t="str">
        <f t="shared" si="6"/>
        <v/>
      </c>
      <c r="L1034" s="60" t="str">
        <f t="shared" si="7"/>
        <v/>
      </c>
      <c r="M1034" s="61" t="str">
        <f>IFERROR(__xludf.DUMMYFUNCTION("IFS(AND(COUNTA(C1034:C1673)=0,COUNTA(Q1034:Q1673)=0),"""",OR(AND(K1034&gt;=1000000000,OR(Y1034&gt;=1000000000,COUNTA(Q1034:Q1673)=0)),OR(Y1034&gt;=1000000000,AND(COUNTA(C1034:C1673)=0,P$3=TRUE))),
ROUNDDOWN((AB$1-AC$1)*MAX(INDEX(T$4:T1673,MATCH(LARGE(FILTER(Y$4:Y1"&amp;"673,Y$4:Y1673&lt;1000000000),1),Y$4:Y1673)),INDEX(F$4:F1673,MATCH(LARGE(FILTER(K$4:K1673,K$4:K1673&lt;1000000000),1),K$4:K1673)))),AND(K1034&lt;1000000000,COUNTA(C1034:C1673)&gt;0,P$3=FALSE),
ROUNDDOWN(INDEX(Y$4:Y1673,MATCH(LARGE(FILTER(W$4:W1673,W$4:W1673&lt;=I1034),1)"&amp;",W$4:W1673))+(I1034-LARGE(FILTER(W$4:W1673,W$4:W1673&lt;=I1034),1))*INDEX(T$4:T1673,MATCH(LARGE(FILTER(W$4:W1673,W$4:W1673&lt;=I1034),1),W$4:W1673))-K1034),1,
ROUNDDOWN(Y1034-INDEX(K$4:K1673,MATCH(LARGE(FILTER(I$4:I1673,I$4:I1673&lt;=W1034),1),I$4:I1673))-(W1034-L"&amp;"ARGE(FILTER(I$4:I1673,I$4:I1673&lt;=W1034),1))*INDEX(F$4:F1673,MATCH(LARGE(FILTER(I$4:I1673,I$4:I1673&lt;=W1034),1),I$4:I1673))))"),"")</f>
        <v/>
      </c>
      <c r="N1034" s="60" t="str">
        <f t="shared" si="8"/>
        <v/>
      </c>
      <c r="O1034" s="61" t="str">
        <f t="shared" si="9"/>
        <v/>
      </c>
      <c r="P1034" s="56" t="str">
        <f t="shared" si="10"/>
        <v/>
      </c>
      <c r="R1034" s="10"/>
      <c r="S1034" s="59" t="str">
        <f t="array" ref="S1034">IF(COUNTA(Q1034:Q1673)=0,"",SUM((COUNTIF(Q$4:Q1034,Upgrades!$B$3:$B$13)-COUNTIF(Q$4:Q1034,"Sell_"&amp;Upgrades!$B$3:$B$13))*Upgrades!$D$3:$D$13))</f>
        <v/>
      </c>
      <c r="T1034" s="66" t="str">
        <f>IFERROR(__xludf.DUMMYFUNCTION("IF(COUNTA(Q1034:Q1673)=0,"""",IF(REGEXMATCH(INDEX(FILTER(Q$4:Q1034,Q$4:Q1034&lt;&gt;""""),ROWS(FILTER(Q$4:Q1034,Q$4:Q1034&lt;&gt;""""))),""^Sell_""),INDEX(FILTER(T$4:T1033,Q$4:Q1033&lt;&gt;""""),ROWS(FILTER(Q$4:Q1033,Q$4:Q1033&lt;&gt;""""))),$AD$5+S1034))"),"")</f>
        <v/>
      </c>
      <c r="U1034" s="10" t="str">
        <f>IFERROR(__xludf.DUMMYFUNCTION("IF(COUNTA(Q1034:Q1673)=0,"""",IF(Q1034="""",0,IF(REGEXMATCH(Q1034,""^Sell_""),-ROUNDDOWN(ROUNDUP(INDEX(Upgrades!$C$3:$C$13,MATCH(SUBSTITUTE(Q1034,""Sell_"",""""),Upgrades!$B$3:$B$13,0))*1.15^(COUNTIF(Q$4:Q1033,SUBSTITUTE(Q1034,""Sell_"",""""))-COUNTIF(Q$4"&amp;":Q1033,""Sell_""&amp;SUBSTITUTE(Q1034,""Sell_"",""""))))/2),ROUNDUP(INDEX(Upgrades!$C$3:$C$13,MATCH(Q1034,Upgrades!$B$3:$B$13,0))*1.15^(COUNTIF(Q$4:Q1033,Q1034)-COUNTIF(Q$4:Q1033,""Sell_""&amp;Q1034))))))"),"")</f>
        <v/>
      </c>
      <c r="V1034" s="10" t="str">
        <f t="shared" si="11"/>
        <v/>
      </c>
      <c r="W1034" s="68" t="str">
        <f t="shared" si="12"/>
        <v/>
      </c>
      <c r="X1034" s="59" t="str">
        <f t="shared" si="13"/>
        <v/>
      </c>
      <c r="Y1034" s="69" t="str">
        <f t="shared" si="14"/>
        <v/>
      </c>
      <c r="Z1034" s="11"/>
    </row>
    <row r="1035">
      <c r="A1035" s="8"/>
      <c r="B1035" s="56" t="str">
        <f t="shared" si="2"/>
        <v/>
      </c>
      <c r="C1035" s="105"/>
      <c r="D1035" s="10"/>
      <c r="E1035" s="59" t="str">
        <f t="array" ref="E1035">IF(COUNTA(C1035:C1673)=0,"",SUM((COUNTIF(C$4:C1035,Upgrades!$B$3:$B$13)-COUNTIF(C$4:C1035,"Sell_"&amp;Upgrades!$B$3:$B$13))*Upgrades!$D$3:$D$13))</f>
        <v/>
      </c>
      <c r="F1035" s="66" t="str">
        <f>IFERROR(__xludf.DUMMYFUNCTION("IF(COUNTA(C1035:C1673)=0,"""",IF(REGEXMATCH(INDEX(FILTER(C$4:C1035,C$4:C1035&lt;&gt;""""),ROWS(FILTER(C$4:C1035,C$4:C1035&lt;&gt;""""))),""^Sell_""),INDEX(FILTER(F$4:F1034,C$4:C1034&lt;&gt;""""),ROWS(FILTER(C$4:C1034,C$4:C1034&lt;&gt;""""))),$AC$5+E1035))"),"")</f>
        <v/>
      </c>
      <c r="G1035" s="10" t="str">
        <f>IFERROR(__xludf.DUMMYFUNCTION("IF(COUNTA(C1035:C1673)=0,"""",IF(C1035="""",0,IF(REGEXMATCH(C1035,""^Sell_""),-ROUNDDOWN(ROUNDUP(INDEX(Upgrades!$C$3:$C$13,MATCH(SUBSTITUTE(C1035,""Sell_"",""""),Upgrades!$B$3:$B$13,0))*1.15^(COUNTIF(C$4:C1034,SUBSTITUTE(C1035,""Sell_"",""""))-COUNTIF(C$4"&amp;":C1034,""Sell_""&amp;SUBSTITUTE(C1035,""Sell_"",""""))))/2),ROUNDUP(INDEX(Upgrades!$C$3:$C$13,MATCH(C1035,Upgrades!$B$3:$B$13,0))*1.15^(COUNTIF(C$4:C1034,C1035)-COUNTIF(C$4:C1034,""Sell_""&amp;C1035))))))"),"")</f>
        <v/>
      </c>
      <c r="H1035" s="10" t="str">
        <f t="shared" si="3"/>
        <v/>
      </c>
      <c r="I1035" s="68" t="str">
        <f t="shared" si="4"/>
        <v/>
      </c>
      <c r="J1035" s="59" t="str">
        <f t="shared" si="5"/>
        <v/>
      </c>
      <c r="K1035" s="69" t="str">
        <f t="shared" si="6"/>
        <v/>
      </c>
      <c r="L1035" s="60" t="str">
        <f t="shared" si="7"/>
        <v/>
      </c>
      <c r="M1035" s="61" t="str">
        <f>IFERROR(__xludf.DUMMYFUNCTION("IFS(AND(COUNTA(C1035:C1673)=0,COUNTA(Q1035:Q1673)=0),"""",OR(AND(K1035&gt;=1000000000,OR(Y1035&gt;=1000000000,COUNTA(Q1035:Q1673)=0)),OR(Y1035&gt;=1000000000,AND(COUNTA(C1035:C1673)=0,P$3=TRUE))),
ROUNDDOWN((AB$1-AC$1)*MAX(INDEX(T$4:T1673,MATCH(LARGE(FILTER(Y$4:Y1"&amp;"673,Y$4:Y1673&lt;1000000000),1),Y$4:Y1673)),INDEX(F$4:F1673,MATCH(LARGE(FILTER(K$4:K1673,K$4:K1673&lt;1000000000),1),K$4:K1673)))),AND(K1035&lt;1000000000,COUNTA(C1035:C1673)&gt;0,P$3=FALSE),
ROUNDDOWN(INDEX(Y$4:Y1673,MATCH(LARGE(FILTER(W$4:W1673,W$4:W1673&lt;=I1035),1)"&amp;",W$4:W1673))+(I1035-LARGE(FILTER(W$4:W1673,W$4:W1673&lt;=I1035),1))*INDEX(T$4:T1673,MATCH(LARGE(FILTER(W$4:W1673,W$4:W1673&lt;=I1035),1),W$4:W1673))-K1035),1,
ROUNDDOWN(Y1035-INDEX(K$4:K1673,MATCH(LARGE(FILTER(I$4:I1673,I$4:I1673&lt;=W1035),1),I$4:I1673))-(W1035-L"&amp;"ARGE(FILTER(I$4:I1673,I$4:I1673&lt;=W1035),1))*INDEX(F$4:F1673,MATCH(LARGE(FILTER(I$4:I1673,I$4:I1673&lt;=W1035),1),I$4:I1673))))"),"")</f>
        <v/>
      </c>
      <c r="N1035" s="60" t="str">
        <f t="shared" si="8"/>
        <v/>
      </c>
      <c r="O1035" s="61" t="str">
        <f t="shared" si="9"/>
        <v/>
      </c>
      <c r="P1035" s="56" t="str">
        <f t="shared" si="10"/>
        <v/>
      </c>
      <c r="R1035" s="10"/>
      <c r="S1035" s="59" t="str">
        <f t="array" ref="S1035">IF(COUNTA(Q1035:Q1673)=0,"",SUM((COUNTIF(Q$4:Q1035,Upgrades!$B$3:$B$13)-COUNTIF(Q$4:Q1035,"Sell_"&amp;Upgrades!$B$3:$B$13))*Upgrades!$D$3:$D$13))</f>
        <v/>
      </c>
      <c r="T1035" s="66" t="str">
        <f>IFERROR(__xludf.DUMMYFUNCTION("IF(COUNTA(Q1035:Q1673)=0,"""",IF(REGEXMATCH(INDEX(FILTER(Q$4:Q1035,Q$4:Q1035&lt;&gt;""""),ROWS(FILTER(Q$4:Q1035,Q$4:Q1035&lt;&gt;""""))),""^Sell_""),INDEX(FILTER(T$4:T1034,Q$4:Q1034&lt;&gt;""""),ROWS(FILTER(Q$4:Q1034,Q$4:Q1034&lt;&gt;""""))),$AD$5+S1035))"),"")</f>
        <v/>
      </c>
      <c r="U1035" s="10" t="str">
        <f>IFERROR(__xludf.DUMMYFUNCTION("IF(COUNTA(Q1035:Q1673)=0,"""",IF(Q1035="""",0,IF(REGEXMATCH(Q1035,""^Sell_""),-ROUNDDOWN(ROUNDUP(INDEX(Upgrades!$C$3:$C$13,MATCH(SUBSTITUTE(Q1035,""Sell_"",""""),Upgrades!$B$3:$B$13,0))*1.15^(COUNTIF(Q$4:Q1034,SUBSTITUTE(Q1035,""Sell_"",""""))-COUNTIF(Q$4"&amp;":Q1034,""Sell_""&amp;SUBSTITUTE(Q1035,""Sell_"",""""))))/2),ROUNDUP(INDEX(Upgrades!$C$3:$C$13,MATCH(Q1035,Upgrades!$B$3:$B$13,0))*1.15^(COUNTIF(Q$4:Q1034,Q1035)-COUNTIF(Q$4:Q1034,""Sell_""&amp;Q1035))))))"),"")</f>
        <v/>
      </c>
      <c r="V1035" s="10" t="str">
        <f t="shared" si="11"/>
        <v/>
      </c>
      <c r="W1035" s="68" t="str">
        <f t="shared" si="12"/>
        <v/>
      </c>
      <c r="X1035" s="59" t="str">
        <f t="shared" si="13"/>
        <v/>
      </c>
      <c r="Y1035" s="69" t="str">
        <f t="shared" si="14"/>
        <v/>
      </c>
      <c r="Z1035" s="11"/>
    </row>
    <row r="1036">
      <c r="A1036" s="8"/>
      <c r="B1036" s="56" t="str">
        <f t="shared" si="2"/>
        <v/>
      </c>
      <c r="C1036" s="105"/>
      <c r="D1036" s="10"/>
      <c r="E1036" s="59" t="str">
        <f t="array" ref="E1036">IF(COUNTA(C1036:C1673)=0,"",SUM((COUNTIF(C$4:C1036,Upgrades!$B$3:$B$13)-COUNTIF(C$4:C1036,"Sell_"&amp;Upgrades!$B$3:$B$13))*Upgrades!$D$3:$D$13))</f>
        <v/>
      </c>
      <c r="F1036" s="66" t="str">
        <f>IFERROR(__xludf.DUMMYFUNCTION("IF(COUNTA(C1036:C1673)=0,"""",IF(REGEXMATCH(INDEX(FILTER(C$4:C1036,C$4:C1036&lt;&gt;""""),ROWS(FILTER(C$4:C1036,C$4:C1036&lt;&gt;""""))),""^Sell_""),INDEX(FILTER(F$4:F1035,C$4:C1035&lt;&gt;""""),ROWS(FILTER(C$4:C1035,C$4:C1035&lt;&gt;""""))),$AC$5+E1036))"),"")</f>
        <v/>
      </c>
      <c r="G1036" s="10" t="str">
        <f>IFERROR(__xludf.DUMMYFUNCTION("IF(COUNTA(C1036:C1673)=0,"""",IF(C1036="""",0,IF(REGEXMATCH(C1036,""^Sell_""),-ROUNDDOWN(ROUNDUP(INDEX(Upgrades!$C$3:$C$13,MATCH(SUBSTITUTE(C1036,""Sell_"",""""),Upgrades!$B$3:$B$13,0))*1.15^(COUNTIF(C$4:C1035,SUBSTITUTE(C1036,""Sell_"",""""))-COUNTIF(C$4"&amp;":C1035,""Sell_""&amp;SUBSTITUTE(C1036,""Sell_"",""""))))/2),ROUNDUP(INDEX(Upgrades!$C$3:$C$13,MATCH(C1036,Upgrades!$B$3:$B$13,0))*1.15^(COUNTIF(C$4:C1035,C1036)-COUNTIF(C$4:C1035,""Sell_""&amp;C1036))))))"),"")</f>
        <v/>
      </c>
      <c r="H1036" s="10" t="str">
        <f t="shared" si="3"/>
        <v/>
      </c>
      <c r="I1036" s="68" t="str">
        <f t="shared" si="4"/>
        <v/>
      </c>
      <c r="J1036" s="59" t="str">
        <f t="shared" si="5"/>
        <v/>
      </c>
      <c r="K1036" s="69" t="str">
        <f t="shared" si="6"/>
        <v/>
      </c>
      <c r="L1036" s="60" t="str">
        <f t="shared" si="7"/>
        <v/>
      </c>
      <c r="M1036" s="61" t="str">
        <f>IFERROR(__xludf.DUMMYFUNCTION("IFS(AND(COUNTA(C1036:C1673)=0,COUNTA(Q1036:Q1673)=0),"""",OR(AND(K1036&gt;=1000000000,OR(Y1036&gt;=1000000000,COUNTA(Q1036:Q1673)=0)),OR(Y1036&gt;=1000000000,AND(COUNTA(C1036:C1673)=0,P$3=TRUE))),
ROUNDDOWN((AB$1-AC$1)*MAX(INDEX(T$4:T1673,MATCH(LARGE(FILTER(Y$4:Y1"&amp;"673,Y$4:Y1673&lt;1000000000),1),Y$4:Y1673)),INDEX(F$4:F1673,MATCH(LARGE(FILTER(K$4:K1673,K$4:K1673&lt;1000000000),1),K$4:K1673)))),AND(K1036&lt;1000000000,COUNTA(C1036:C1673)&gt;0,P$3=FALSE),
ROUNDDOWN(INDEX(Y$4:Y1673,MATCH(LARGE(FILTER(W$4:W1673,W$4:W1673&lt;=I1036),1)"&amp;",W$4:W1673))+(I1036-LARGE(FILTER(W$4:W1673,W$4:W1673&lt;=I1036),1))*INDEX(T$4:T1673,MATCH(LARGE(FILTER(W$4:W1673,W$4:W1673&lt;=I1036),1),W$4:W1673))-K1036),1,
ROUNDDOWN(Y1036-INDEX(K$4:K1673,MATCH(LARGE(FILTER(I$4:I1673,I$4:I1673&lt;=W1036),1),I$4:I1673))-(W1036-L"&amp;"ARGE(FILTER(I$4:I1673,I$4:I1673&lt;=W1036),1))*INDEX(F$4:F1673,MATCH(LARGE(FILTER(I$4:I1673,I$4:I1673&lt;=W1036),1),I$4:I1673))))"),"")</f>
        <v/>
      </c>
      <c r="N1036" s="60" t="str">
        <f t="shared" si="8"/>
        <v/>
      </c>
      <c r="O1036" s="61" t="str">
        <f t="shared" si="9"/>
        <v/>
      </c>
      <c r="P1036" s="56" t="str">
        <f t="shared" si="10"/>
        <v/>
      </c>
      <c r="R1036" s="10"/>
      <c r="S1036" s="59" t="str">
        <f t="array" ref="S1036">IF(COUNTA(Q1036:Q1673)=0,"",SUM((COUNTIF(Q$4:Q1036,Upgrades!$B$3:$B$13)-COUNTIF(Q$4:Q1036,"Sell_"&amp;Upgrades!$B$3:$B$13))*Upgrades!$D$3:$D$13))</f>
        <v/>
      </c>
      <c r="T1036" s="66" t="str">
        <f>IFERROR(__xludf.DUMMYFUNCTION("IF(COUNTA(Q1036:Q1673)=0,"""",IF(REGEXMATCH(INDEX(FILTER(Q$4:Q1036,Q$4:Q1036&lt;&gt;""""),ROWS(FILTER(Q$4:Q1036,Q$4:Q1036&lt;&gt;""""))),""^Sell_""),INDEX(FILTER(T$4:T1035,Q$4:Q1035&lt;&gt;""""),ROWS(FILTER(Q$4:Q1035,Q$4:Q1035&lt;&gt;""""))),$AD$5+S1036))"),"")</f>
        <v/>
      </c>
      <c r="U1036" s="10" t="str">
        <f>IFERROR(__xludf.DUMMYFUNCTION("IF(COUNTA(Q1036:Q1673)=0,"""",IF(Q1036="""",0,IF(REGEXMATCH(Q1036,""^Sell_""),-ROUNDDOWN(ROUNDUP(INDEX(Upgrades!$C$3:$C$13,MATCH(SUBSTITUTE(Q1036,""Sell_"",""""),Upgrades!$B$3:$B$13,0))*1.15^(COUNTIF(Q$4:Q1035,SUBSTITUTE(Q1036,""Sell_"",""""))-COUNTIF(Q$4"&amp;":Q1035,""Sell_""&amp;SUBSTITUTE(Q1036,""Sell_"",""""))))/2),ROUNDUP(INDEX(Upgrades!$C$3:$C$13,MATCH(Q1036,Upgrades!$B$3:$B$13,0))*1.15^(COUNTIF(Q$4:Q1035,Q1036)-COUNTIF(Q$4:Q1035,""Sell_""&amp;Q1036))))))"),"")</f>
        <v/>
      </c>
      <c r="V1036" s="10" t="str">
        <f t="shared" si="11"/>
        <v/>
      </c>
      <c r="W1036" s="68" t="str">
        <f t="shared" si="12"/>
        <v/>
      </c>
      <c r="X1036" s="59" t="str">
        <f t="shared" si="13"/>
        <v/>
      </c>
      <c r="Y1036" s="69" t="str">
        <f t="shared" si="14"/>
        <v/>
      </c>
      <c r="Z1036" s="11"/>
    </row>
    <row r="1037">
      <c r="A1037" s="8"/>
      <c r="B1037" s="56" t="str">
        <f t="shared" si="2"/>
        <v/>
      </c>
      <c r="C1037" s="105"/>
      <c r="D1037" s="10"/>
      <c r="E1037" s="59" t="str">
        <f t="array" ref="E1037">IF(COUNTA(C1037:C1673)=0,"",SUM((COUNTIF(C$4:C1037,Upgrades!$B$3:$B$13)-COUNTIF(C$4:C1037,"Sell_"&amp;Upgrades!$B$3:$B$13))*Upgrades!$D$3:$D$13))</f>
        <v/>
      </c>
      <c r="F1037" s="66" t="str">
        <f>IFERROR(__xludf.DUMMYFUNCTION("IF(COUNTA(C1037:C1673)=0,"""",IF(REGEXMATCH(INDEX(FILTER(C$4:C1037,C$4:C1037&lt;&gt;""""),ROWS(FILTER(C$4:C1037,C$4:C1037&lt;&gt;""""))),""^Sell_""),INDEX(FILTER(F$4:F1036,C$4:C1036&lt;&gt;""""),ROWS(FILTER(C$4:C1036,C$4:C1036&lt;&gt;""""))),$AC$5+E1037))"),"")</f>
        <v/>
      </c>
      <c r="G1037" s="10" t="str">
        <f>IFERROR(__xludf.DUMMYFUNCTION("IF(COUNTA(C1037:C1673)=0,"""",IF(C1037="""",0,IF(REGEXMATCH(C1037,""^Sell_""),-ROUNDDOWN(ROUNDUP(INDEX(Upgrades!$C$3:$C$13,MATCH(SUBSTITUTE(C1037,""Sell_"",""""),Upgrades!$B$3:$B$13,0))*1.15^(COUNTIF(C$4:C1036,SUBSTITUTE(C1037,""Sell_"",""""))-COUNTIF(C$4"&amp;":C1036,""Sell_""&amp;SUBSTITUTE(C1037,""Sell_"",""""))))/2),ROUNDUP(INDEX(Upgrades!$C$3:$C$13,MATCH(C1037,Upgrades!$B$3:$B$13,0))*1.15^(COUNTIF(C$4:C1036,C1037)-COUNTIF(C$4:C1036,""Sell_""&amp;C1037))))))"),"")</f>
        <v/>
      </c>
      <c r="H1037" s="10" t="str">
        <f t="shared" si="3"/>
        <v/>
      </c>
      <c r="I1037" s="68" t="str">
        <f t="shared" si="4"/>
        <v/>
      </c>
      <c r="J1037" s="59" t="str">
        <f t="shared" si="5"/>
        <v/>
      </c>
      <c r="K1037" s="69" t="str">
        <f t="shared" si="6"/>
        <v/>
      </c>
      <c r="L1037" s="60" t="str">
        <f t="shared" si="7"/>
        <v/>
      </c>
      <c r="M1037" s="61" t="str">
        <f>IFERROR(__xludf.DUMMYFUNCTION("IFS(AND(COUNTA(C1037:C1673)=0,COUNTA(Q1037:Q1673)=0),"""",OR(AND(K1037&gt;=1000000000,OR(Y1037&gt;=1000000000,COUNTA(Q1037:Q1673)=0)),OR(Y1037&gt;=1000000000,AND(COUNTA(C1037:C1673)=0,P$3=TRUE))),
ROUNDDOWN((AB$1-AC$1)*MAX(INDEX(T$4:T1673,MATCH(LARGE(FILTER(Y$4:Y1"&amp;"673,Y$4:Y1673&lt;1000000000),1),Y$4:Y1673)),INDEX(F$4:F1673,MATCH(LARGE(FILTER(K$4:K1673,K$4:K1673&lt;1000000000),1),K$4:K1673)))),AND(K1037&lt;1000000000,COUNTA(C1037:C1673)&gt;0,P$3=FALSE),
ROUNDDOWN(INDEX(Y$4:Y1673,MATCH(LARGE(FILTER(W$4:W1673,W$4:W1673&lt;=I1037),1)"&amp;",W$4:W1673))+(I1037-LARGE(FILTER(W$4:W1673,W$4:W1673&lt;=I1037),1))*INDEX(T$4:T1673,MATCH(LARGE(FILTER(W$4:W1673,W$4:W1673&lt;=I1037),1),W$4:W1673))-K1037),1,
ROUNDDOWN(Y1037-INDEX(K$4:K1673,MATCH(LARGE(FILTER(I$4:I1673,I$4:I1673&lt;=W1037),1),I$4:I1673))-(W1037-L"&amp;"ARGE(FILTER(I$4:I1673,I$4:I1673&lt;=W1037),1))*INDEX(F$4:F1673,MATCH(LARGE(FILTER(I$4:I1673,I$4:I1673&lt;=W1037),1),I$4:I1673))))"),"")</f>
        <v/>
      </c>
      <c r="N1037" s="60" t="str">
        <f t="shared" si="8"/>
        <v/>
      </c>
      <c r="O1037" s="61" t="str">
        <f t="shared" si="9"/>
        <v/>
      </c>
      <c r="P1037" s="56" t="str">
        <f t="shared" si="10"/>
        <v/>
      </c>
      <c r="R1037" s="10"/>
      <c r="S1037" s="59" t="str">
        <f t="array" ref="S1037">IF(COUNTA(Q1037:Q1673)=0,"",SUM((COUNTIF(Q$4:Q1037,Upgrades!$B$3:$B$13)-COUNTIF(Q$4:Q1037,"Sell_"&amp;Upgrades!$B$3:$B$13))*Upgrades!$D$3:$D$13))</f>
        <v/>
      </c>
      <c r="T1037" s="66" t="str">
        <f>IFERROR(__xludf.DUMMYFUNCTION("IF(COUNTA(Q1037:Q1673)=0,"""",IF(REGEXMATCH(INDEX(FILTER(Q$4:Q1037,Q$4:Q1037&lt;&gt;""""),ROWS(FILTER(Q$4:Q1037,Q$4:Q1037&lt;&gt;""""))),""^Sell_""),INDEX(FILTER(T$4:T1036,Q$4:Q1036&lt;&gt;""""),ROWS(FILTER(Q$4:Q1036,Q$4:Q1036&lt;&gt;""""))),$AD$5+S1037))"),"")</f>
        <v/>
      </c>
      <c r="U1037" s="10" t="str">
        <f>IFERROR(__xludf.DUMMYFUNCTION("IF(COUNTA(Q1037:Q1673)=0,"""",IF(Q1037="""",0,IF(REGEXMATCH(Q1037,""^Sell_""),-ROUNDDOWN(ROUNDUP(INDEX(Upgrades!$C$3:$C$13,MATCH(SUBSTITUTE(Q1037,""Sell_"",""""),Upgrades!$B$3:$B$13,0))*1.15^(COUNTIF(Q$4:Q1036,SUBSTITUTE(Q1037,""Sell_"",""""))-COUNTIF(Q$4"&amp;":Q1036,""Sell_""&amp;SUBSTITUTE(Q1037,""Sell_"",""""))))/2),ROUNDUP(INDEX(Upgrades!$C$3:$C$13,MATCH(Q1037,Upgrades!$B$3:$B$13,0))*1.15^(COUNTIF(Q$4:Q1036,Q1037)-COUNTIF(Q$4:Q1036,""Sell_""&amp;Q1037))))))"),"")</f>
        <v/>
      </c>
      <c r="V1037" s="10" t="str">
        <f t="shared" si="11"/>
        <v/>
      </c>
      <c r="W1037" s="68" t="str">
        <f t="shared" si="12"/>
        <v/>
      </c>
      <c r="X1037" s="59" t="str">
        <f t="shared" si="13"/>
        <v/>
      </c>
      <c r="Y1037" s="69" t="str">
        <f t="shared" si="14"/>
        <v/>
      </c>
      <c r="Z1037" s="11"/>
    </row>
    <row r="1038">
      <c r="A1038" s="8"/>
      <c r="B1038" s="56" t="str">
        <f t="shared" si="2"/>
        <v/>
      </c>
      <c r="C1038" s="105"/>
      <c r="D1038" s="10"/>
      <c r="E1038" s="59" t="str">
        <f t="array" ref="E1038">IF(COUNTA(C1038:C1673)=0,"",SUM((COUNTIF(C$4:C1038,Upgrades!$B$3:$B$13)-COUNTIF(C$4:C1038,"Sell_"&amp;Upgrades!$B$3:$B$13))*Upgrades!$D$3:$D$13))</f>
        <v/>
      </c>
      <c r="F1038" s="66" t="str">
        <f>IFERROR(__xludf.DUMMYFUNCTION("IF(COUNTA(C1038:C1673)=0,"""",IF(REGEXMATCH(INDEX(FILTER(C$4:C1038,C$4:C1038&lt;&gt;""""),ROWS(FILTER(C$4:C1038,C$4:C1038&lt;&gt;""""))),""^Sell_""),INDEX(FILTER(F$4:F1037,C$4:C1037&lt;&gt;""""),ROWS(FILTER(C$4:C1037,C$4:C1037&lt;&gt;""""))),$AC$5+E1038))"),"")</f>
        <v/>
      </c>
      <c r="G1038" s="10" t="str">
        <f>IFERROR(__xludf.DUMMYFUNCTION("IF(COUNTA(C1038:C1673)=0,"""",IF(C1038="""",0,IF(REGEXMATCH(C1038,""^Sell_""),-ROUNDDOWN(ROUNDUP(INDEX(Upgrades!$C$3:$C$13,MATCH(SUBSTITUTE(C1038,""Sell_"",""""),Upgrades!$B$3:$B$13,0))*1.15^(COUNTIF(C$4:C1037,SUBSTITUTE(C1038,""Sell_"",""""))-COUNTIF(C$4"&amp;":C1037,""Sell_""&amp;SUBSTITUTE(C1038,""Sell_"",""""))))/2),ROUNDUP(INDEX(Upgrades!$C$3:$C$13,MATCH(C1038,Upgrades!$B$3:$B$13,0))*1.15^(COUNTIF(C$4:C1037,C1038)-COUNTIF(C$4:C1037,""Sell_""&amp;C1038))))))"),"")</f>
        <v/>
      </c>
      <c r="H1038" s="10" t="str">
        <f t="shared" si="3"/>
        <v/>
      </c>
      <c r="I1038" s="68" t="str">
        <f t="shared" si="4"/>
        <v/>
      </c>
      <c r="J1038" s="59" t="str">
        <f t="shared" si="5"/>
        <v/>
      </c>
      <c r="K1038" s="69" t="str">
        <f t="shared" si="6"/>
        <v/>
      </c>
      <c r="L1038" s="60" t="str">
        <f t="shared" si="7"/>
        <v/>
      </c>
      <c r="M1038" s="61" t="str">
        <f>IFERROR(__xludf.DUMMYFUNCTION("IFS(AND(COUNTA(C1038:C1673)=0,COUNTA(Q1038:Q1673)=0),"""",OR(AND(K1038&gt;=1000000000,OR(Y1038&gt;=1000000000,COUNTA(Q1038:Q1673)=0)),OR(Y1038&gt;=1000000000,AND(COUNTA(C1038:C1673)=0,P$3=TRUE))),
ROUNDDOWN((AB$1-AC$1)*MAX(INDEX(T$4:T1673,MATCH(LARGE(FILTER(Y$4:Y1"&amp;"673,Y$4:Y1673&lt;1000000000),1),Y$4:Y1673)),INDEX(F$4:F1673,MATCH(LARGE(FILTER(K$4:K1673,K$4:K1673&lt;1000000000),1),K$4:K1673)))),AND(K1038&lt;1000000000,COUNTA(C1038:C1673)&gt;0,P$3=FALSE),
ROUNDDOWN(INDEX(Y$4:Y1673,MATCH(LARGE(FILTER(W$4:W1673,W$4:W1673&lt;=I1038),1)"&amp;",W$4:W1673))+(I1038-LARGE(FILTER(W$4:W1673,W$4:W1673&lt;=I1038),1))*INDEX(T$4:T1673,MATCH(LARGE(FILTER(W$4:W1673,W$4:W1673&lt;=I1038),1),W$4:W1673))-K1038),1,
ROUNDDOWN(Y1038-INDEX(K$4:K1673,MATCH(LARGE(FILTER(I$4:I1673,I$4:I1673&lt;=W1038),1),I$4:I1673))-(W1038-L"&amp;"ARGE(FILTER(I$4:I1673,I$4:I1673&lt;=W1038),1))*INDEX(F$4:F1673,MATCH(LARGE(FILTER(I$4:I1673,I$4:I1673&lt;=W1038),1),I$4:I1673))))"),"")</f>
        <v/>
      </c>
      <c r="N1038" s="60" t="str">
        <f t="shared" si="8"/>
        <v/>
      </c>
      <c r="O1038" s="61" t="str">
        <f t="shared" si="9"/>
        <v/>
      </c>
      <c r="P1038" s="56" t="str">
        <f t="shared" si="10"/>
        <v/>
      </c>
      <c r="R1038" s="10"/>
      <c r="S1038" s="59" t="str">
        <f t="array" ref="S1038">IF(COUNTA(Q1038:Q1673)=0,"",SUM((COUNTIF(Q$4:Q1038,Upgrades!$B$3:$B$13)-COUNTIF(Q$4:Q1038,"Sell_"&amp;Upgrades!$B$3:$B$13))*Upgrades!$D$3:$D$13))</f>
        <v/>
      </c>
      <c r="T1038" s="66" t="str">
        <f>IFERROR(__xludf.DUMMYFUNCTION("IF(COUNTA(Q1038:Q1673)=0,"""",IF(REGEXMATCH(INDEX(FILTER(Q$4:Q1038,Q$4:Q1038&lt;&gt;""""),ROWS(FILTER(Q$4:Q1038,Q$4:Q1038&lt;&gt;""""))),""^Sell_""),INDEX(FILTER(T$4:T1037,Q$4:Q1037&lt;&gt;""""),ROWS(FILTER(Q$4:Q1037,Q$4:Q1037&lt;&gt;""""))),$AD$5+S1038))"),"")</f>
        <v/>
      </c>
      <c r="U1038" s="10" t="str">
        <f>IFERROR(__xludf.DUMMYFUNCTION("IF(COUNTA(Q1038:Q1673)=0,"""",IF(Q1038="""",0,IF(REGEXMATCH(Q1038,""^Sell_""),-ROUNDDOWN(ROUNDUP(INDEX(Upgrades!$C$3:$C$13,MATCH(SUBSTITUTE(Q1038,""Sell_"",""""),Upgrades!$B$3:$B$13,0))*1.15^(COUNTIF(Q$4:Q1037,SUBSTITUTE(Q1038,""Sell_"",""""))-COUNTIF(Q$4"&amp;":Q1037,""Sell_""&amp;SUBSTITUTE(Q1038,""Sell_"",""""))))/2),ROUNDUP(INDEX(Upgrades!$C$3:$C$13,MATCH(Q1038,Upgrades!$B$3:$B$13,0))*1.15^(COUNTIF(Q$4:Q1037,Q1038)-COUNTIF(Q$4:Q1037,""Sell_""&amp;Q1038))))))"),"")</f>
        <v/>
      </c>
      <c r="V1038" s="10" t="str">
        <f t="shared" si="11"/>
        <v/>
      </c>
      <c r="W1038" s="68" t="str">
        <f t="shared" si="12"/>
        <v/>
      </c>
      <c r="X1038" s="59" t="str">
        <f t="shared" si="13"/>
        <v/>
      </c>
      <c r="Y1038" s="69" t="str">
        <f t="shared" si="14"/>
        <v/>
      </c>
      <c r="Z1038" s="11"/>
    </row>
    <row r="1039">
      <c r="A1039" s="8"/>
      <c r="B1039" s="56" t="str">
        <f t="shared" si="2"/>
        <v/>
      </c>
      <c r="C1039" s="105"/>
      <c r="D1039" s="10"/>
      <c r="E1039" s="59" t="str">
        <f t="array" ref="E1039">IF(COUNTA(C1039:C1673)=0,"",SUM((COUNTIF(C$4:C1039,Upgrades!$B$3:$B$13)-COUNTIF(C$4:C1039,"Sell_"&amp;Upgrades!$B$3:$B$13))*Upgrades!$D$3:$D$13))</f>
        <v/>
      </c>
      <c r="F1039" s="66" t="str">
        <f>IFERROR(__xludf.DUMMYFUNCTION("IF(COUNTA(C1039:C1673)=0,"""",IF(REGEXMATCH(INDEX(FILTER(C$4:C1039,C$4:C1039&lt;&gt;""""),ROWS(FILTER(C$4:C1039,C$4:C1039&lt;&gt;""""))),""^Sell_""),INDEX(FILTER(F$4:F1038,C$4:C1038&lt;&gt;""""),ROWS(FILTER(C$4:C1038,C$4:C1038&lt;&gt;""""))),$AC$5+E1039))"),"")</f>
        <v/>
      </c>
      <c r="G1039" s="10" t="str">
        <f>IFERROR(__xludf.DUMMYFUNCTION("IF(COUNTA(C1039:C1673)=0,"""",IF(C1039="""",0,IF(REGEXMATCH(C1039,""^Sell_""),-ROUNDDOWN(ROUNDUP(INDEX(Upgrades!$C$3:$C$13,MATCH(SUBSTITUTE(C1039,""Sell_"",""""),Upgrades!$B$3:$B$13,0))*1.15^(COUNTIF(C$4:C1038,SUBSTITUTE(C1039,""Sell_"",""""))-COUNTIF(C$4"&amp;":C1038,""Sell_""&amp;SUBSTITUTE(C1039,""Sell_"",""""))))/2),ROUNDUP(INDEX(Upgrades!$C$3:$C$13,MATCH(C1039,Upgrades!$B$3:$B$13,0))*1.15^(COUNTIF(C$4:C1038,C1039)-COUNTIF(C$4:C1038,""Sell_""&amp;C1039))))))"),"")</f>
        <v/>
      </c>
      <c r="H1039" s="10" t="str">
        <f t="shared" si="3"/>
        <v/>
      </c>
      <c r="I1039" s="68" t="str">
        <f t="shared" si="4"/>
        <v/>
      </c>
      <c r="J1039" s="59" t="str">
        <f t="shared" si="5"/>
        <v/>
      </c>
      <c r="K1039" s="69" t="str">
        <f t="shared" si="6"/>
        <v/>
      </c>
      <c r="L1039" s="60" t="str">
        <f t="shared" si="7"/>
        <v/>
      </c>
      <c r="M1039" s="61" t="str">
        <f>IFERROR(__xludf.DUMMYFUNCTION("IFS(AND(COUNTA(C1039:C1673)=0,COUNTA(Q1039:Q1673)=0),"""",OR(AND(K1039&gt;=1000000000,OR(Y1039&gt;=1000000000,COUNTA(Q1039:Q1673)=0)),OR(Y1039&gt;=1000000000,AND(COUNTA(C1039:C1673)=0,P$3=TRUE))),
ROUNDDOWN((AB$1-AC$1)*MAX(INDEX(T$4:T1673,MATCH(LARGE(FILTER(Y$4:Y1"&amp;"673,Y$4:Y1673&lt;1000000000),1),Y$4:Y1673)),INDEX(F$4:F1673,MATCH(LARGE(FILTER(K$4:K1673,K$4:K1673&lt;1000000000),1),K$4:K1673)))),AND(K1039&lt;1000000000,COUNTA(C1039:C1673)&gt;0,P$3=FALSE),
ROUNDDOWN(INDEX(Y$4:Y1673,MATCH(LARGE(FILTER(W$4:W1673,W$4:W1673&lt;=I1039),1)"&amp;",W$4:W1673))+(I1039-LARGE(FILTER(W$4:W1673,W$4:W1673&lt;=I1039),1))*INDEX(T$4:T1673,MATCH(LARGE(FILTER(W$4:W1673,W$4:W1673&lt;=I1039),1),W$4:W1673))-K1039),1,
ROUNDDOWN(Y1039-INDEX(K$4:K1673,MATCH(LARGE(FILTER(I$4:I1673,I$4:I1673&lt;=W1039),1),I$4:I1673))-(W1039-L"&amp;"ARGE(FILTER(I$4:I1673,I$4:I1673&lt;=W1039),1))*INDEX(F$4:F1673,MATCH(LARGE(FILTER(I$4:I1673,I$4:I1673&lt;=W1039),1),I$4:I1673))))"),"")</f>
        <v/>
      </c>
      <c r="N1039" s="60" t="str">
        <f t="shared" si="8"/>
        <v/>
      </c>
      <c r="O1039" s="61" t="str">
        <f t="shared" si="9"/>
        <v/>
      </c>
      <c r="P1039" s="56" t="str">
        <f t="shared" si="10"/>
        <v/>
      </c>
      <c r="R1039" s="10"/>
      <c r="S1039" s="59" t="str">
        <f t="array" ref="S1039">IF(COUNTA(Q1039:Q1673)=0,"",SUM((COUNTIF(Q$4:Q1039,Upgrades!$B$3:$B$13)-COUNTIF(Q$4:Q1039,"Sell_"&amp;Upgrades!$B$3:$B$13))*Upgrades!$D$3:$D$13))</f>
        <v/>
      </c>
      <c r="T1039" s="66" t="str">
        <f>IFERROR(__xludf.DUMMYFUNCTION("IF(COUNTA(Q1039:Q1673)=0,"""",IF(REGEXMATCH(INDEX(FILTER(Q$4:Q1039,Q$4:Q1039&lt;&gt;""""),ROWS(FILTER(Q$4:Q1039,Q$4:Q1039&lt;&gt;""""))),""^Sell_""),INDEX(FILTER(T$4:T1038,Q$4:Q1038&lt;&gt;""""),ROWS(FILTER(Q$4:Q1038,Q$4:Q1038&lt;&gt;""""))),$AD$5+S1039))"),"")</f>
        <v/>
      </c>
      <c r="U1039" s="10" t="str">
        <f>IFERROR(__xludf.DUMMYFUNCTION("IF(COUNTA(Q1039:Q1673)=0,"""",IF(Q1039="""",0,IF(REGEXMATCH(Q1039,""^Sell_""),-ROUNDDOWN(ROUNDUP(INDEX(Upgrades!$C$3:$C$13,MATCH(SUBSTITUTE(Q1039,""Sell_"",""""),Upgrades!$B$3:$B$13,0))*1.15^(COUNTIF(Q$4:Q1038,SUBSTITUTE(Q1039,""Sell_"",""""))-COUNTIF(Q$4"&amp;":Q1038,""Sell_""&amp;SUBSTITUTE(Q1039,""Sell_"",""""))))/2),ROUNDUP(INDEX(Upgrades!$C$3:$C$13,MATCH(Q1039,Upgrades!$B$3:$B$13,0))*1.15^(COUNTIF(Q$4:Q1038,Q1039)-COUNTIF(Q$4:Q1038,""Sell_""&amp;Q1039))))))"),"")</f>
        <v/>
      </c>
      <c r="V1039" s="10" t="str">
        <f t="shared" si="11"/>
        <v/>
      </c>
      <c r="W1039" s="68" t="str">
        <f t="shared" si="12"/>
        <v/>
      </c>
      <c r="X1039" s="59" t="str">
        <f t="shared" si="13"/>
        <v/>
      </c>
      <c r="Y1039" s="69" t="str">
        <f t="shared" si="14"/>
        <v/>
      </c>
      <c r="Z1039" s="11"/>
    </row>
    <row r="1040">
      <c r="A1040" s="8"/>
      <c r="B1040" s="56" t="str">
        <f t="shared" si="2"/>
        <v/>
      </c>
      <c r="C1040" s="105"/>
      <c r="D1040" s="10"/>
      <c r="E1040" s="59" t="str">
        <f t="array" ref="E1040">IF(COUNTA(C1040:C1673)=0,"",SUM((COUNTIF(C$4:C1040,Upgrades!$B$3:$B$13)-COUNTIF(C$4:C1040,"Sell_"&amp;Upgrades!$B$3:$B$13))*Upgrades!$D$3:$D$13))</f>
        <v/>
      </c>
      <c r="F1040" s="66" t="str">
        <f>IFERROR(__xludf.DUMMYFUNCTION("IF(COUNTA(C1040:C1673)=0,"""",IF(REGEXMATCH(INDEX(FILTER(C$4:C1040,C$4:C1040&lt;&gt;""""),ROWS(FILTER(C$4:C1040,C$4:C1040&lt;&gt;""""))),""^Sell_""),INDEX(FILTER(F$4:F1039,C$4:C1039&lt;&gt;""""),ROWS(FILTER(C$4:C1039,C$4:C1039&lt;&gt;""""))),$AC$5+E1040))"),"")</f>
        <v/>
      </c>
      <c r="G1040" s="10" t="str">
        <f>IFERROR(__xludf.DUMMYFUNCTION("IF(COUNTA(C1040:C1673)=0,"""",IF(C1040="""",0,IF(REGEXMATCH(C1040,""^Sell_""),-ROUNDDOWN(ROUNDUP(INDEX(Upgrades!$C$3:$C$13,MATCH(SUBSTITUTE(C1040,""Sell_"",""""),Upgrades!$B$3:$B$13,0))*1.15^(COUNTIF(C$4:C1039,SUBSTITUTE(C1040,""Sell_"",""""))-COUNTIF(C$4"&amp;":C1039,""Sell_""&amp;SUBSTITUTE(C1040,""Sell_"",""""))))/2),ROUNDUP(INDEX(Upgrades!$C$3:$C$13,MATCH(C1040,Upgrades!$B$3:$B$13,0))*1.15^(COUNTIF(C$4:C1039,C1040)-COUNTIF(C$4:C1039,""Sell_""&amp;C1040))))))"),"")</f>
        <v/>
      </c>
      <c r="H1040" s="10" t="str">
        <f t="shared" si="3"/>
        <v/>
      </c>
      <c r="I1040" s="68" t="str">
        <f t="shared" si="4"/>
        <v/>
      </c>
      <c r="J1040" s="59" t="str">
        <f t="shared" si="5"/>
        <v/>
      </c>
      <c r="K1040" s="69" t="str">
        <f t="shared" si="6"/>
        <v/>
      </c>
      <c r="L1040" s="60" t="str">
        <f t="shared" si="7"/>
        <v/>
      </c>
      <c r="M1040" s="61" t="str">
        <f>IFERROR(__xludf.DUMMYFUNCTION("IFS(AND(COUNTA(C1040:C1673)=0,COUNTA(Q1040:Q1673)=0),"""",OR(AND(K1040&gt;=1000000000,OR(Y1040&gt;=1000000000,COUNTA(Q1040:Q1673)=0)),OR(Y1040&gt;=1000000000,AND(COUNTA(C1040:C1673)=0,P$3=TRUE))),
ROUNDDOWN((AB$1-AC$1)*MAX(INDEX(T$4:T1673,MATCH(LARGE(FILTER(Y$4:Y1"&amp;"673,Y$4:Y1673&lt;1000000000),1),Y$4:Y1673)),INDEX(F$4:F1673,MATCH(LARGE(FILTER(K$4:K1673,K$4:K1673&lt;1000000000),1),K$4:K1673)))),AND(K1040&lt;1000000000,COUNTA(C1040:C1673)&gt;0,P$3=FALSE),
ROUNDDOWN(INDEX(Y$4:Y1673,MATCH(LARGE(FILTER(W$4:W1673,W$4:W1673&lt;=I1040),1)"&amp;",W$4:W1673))+(I1040-LARGE(FILTER(W$4:W1673,W$4:W1673&lt;=I1040),1))*INDEX(T$4:T1673,MATCH(LARGE(FILTER(W$4:W1673,W$4:W1673&lt;=I1040),1),W$4:W1673))-K1040),1,
ROUNDDOWN(Y1040-INDEX(K$4:K1673,MATCH(LARGE(FILTER(I$4:I1673,I$4:I1673&lt;=W1040),1),I$4:I1673))-(W1040-L"&amp;"ARGE(FILTER(I$4:I1673,I$4:I1673&lt;=W1040),1))*INDEX(F$4:F1673,MATCH(LARGE(FILTER(I$4:I1673,I$4:I1673&lt;=W1040),1),I$4:I1673))))"),"")</f>
        <v/>
      </c>
      <c r="N1040" s="60" t="str">
        <f t="shared" si="8"/>
        <v/>
      </c>
      <c r="O1040" s="61" t="str">
        <f t="shared" si="9"/>
        <v/>
      </c>
      <c r="P1040" s="56" t="str">
        <f t="shared" si="10"/>
        <v/>
      </c>
      <c r="R1040" s="10"/>
      <c r="S1040" s="59" t="str">
        <f t="array" ref="S1040">IF(COUNTA(Q1040:Q1673)=0,"",SUM((COUNTIF(Q$4:Q1040,Upgrades!$B$3:$B$13)-COUNTIF(Q$4:Q1040,"Sell_"&amp;Upgrades!$B$3:$B$13))*Upgrades!$D$3:$D$13))</f>
        <v/>
      </c>
      <c r="T1040" s="66" t="str">
        <f>IFERROR(__xludf.DUMMYFUNCTION("IF(COUNTA(Q1040:Q1673)=0,"""",IF(REGEXMATCH(INDEX(FILTER(Q$4:Q1040,Q$4:Q1040&lt;&gt;""""),ROWS(FILTER(Q$4:Q1040,Q$4:Q1040&lt;&gt;""""))),""^Sell_""),INDEX(FILTER(T$4:T1039,Q$4:Q1039&lt;&gt;""""),ROWS(FILTER(Q$4:Q1039,Q$4:Q1039&lt;&gt;""""))),$AD$5+S1040))"),"")</f>
        <v/>
      </c>
      <c r="U1040" s="10" t="str">
        <f>IFERROR(__xludf.DUMMYFUNCTION("IF(COUNTA(Q1040:Q1673)=0,"""",IF(Q1040="""",0,IF(REGEXMATCH(Q1040,""^Sell_""),-ROUNDDOWN(ROUNDUP(INDEX(Upgrades!$C$3:$C$13,MATCH(SUBSTITUTE(Q1040,""Sell_"",""""),Upgrades!$B$3:$B$13,0))*1.15^(COUNTIF(Q$4:Q1039,SUBSTITUTE(Q1040,""Sell_"",""""))-COUNTIF(Q$4"&amp;":Q1039,""Sell_""&amp;SUBSTITUTE(Q1040,""Sell_"",""""))))/2),ROUNDUP(INDEX(Upgrades!$C$3:$C$13,MATCH(Q1040,Upgrades!$B$3:$B$13,0))*1.15^(COUNTIF(Q$4:Q1039,Q1040)-COUNTIF(Q$4:Q1039,""Sell_""&amp;Q1040))))))"),"")</f>
        <v/>
      </c>
      <c r="V1040" s="10" t="str">
        <f t="shared" si="11"/>
        <v/>
      </c>
      <c r="W1040" s="68" t="str">
        <f t="shared" si="12"/>
        <v/>
      </c>
      <c r="X1040" s="59" t="str">
        <f t="shared" si="13"/>
        <v/>
      </c>
      <c r="Y1040" s="69" t="str">
        <f t="shared" si="14"/>
        <v/>
      </c>
      <c r="Z1040" s="11"/>
    </row>
    <row r="1041">
      <c r="A1041" s="8"/>
      <c r="B1041" s="56" t="str">
        <f t="shared" si="2"/>
        <v/>
      </c>
      <c r="C1041" s="105"/>
      <c r="D1041" s="10"/>
      <c r="E1041" s="59" t="str">
        <f t="array" ref="E1041">IF(COUNTA(C1041:C1673)=0,"",SUM((COUNTIF(C$4:C1041,Upgrades!$B$3:$B$13)-COUNTIF(C$4:C1041,"Sell_"&amp;Upgrades!$B$3:$B$13))*Upgrades!$D$3:$D$13))</f>
        <v/>
      </c>
      <c r="F1041" s="66" t="str">
        <f>IFERROR(__xludf.DUMMYFUNCTION("IF(COUNTA(C1041:C1673)=0,"""",IF(REGEXMATCH(INDEX(FILTER(C$4:C1041,C$4:C1041&lt;&gt;""""),ROWS(FILTER(C$4:C1041,C$4:C1041&lt;&gt;""""))),""^Sell_""),INDEX(FILTER(F$4:F1040,C$4:C1040&lt;&gt;""""),ROWS(FILTER(C$4:C1040,C$4:C1040&lt;&gt;""""))),$AC$5+E1041))"),"")</f>
        <v/>
      </c>
      <c r="G1041" s="10" t="str">
        <f>IFERROR(__xludf.DUMMYFUNCTION("IF(COUNTA(C1041:C1673)=0,"""",IF(C1041="""",0,IF(REGEXMATCH(C1041,""^Sell_""),-ROUNDDOWN(ROUNDUP(INDEX(Upgrades!$C$3:$C$13,MATCH(SUBSTITUTE(C1041,""Sell_"",""""),Upgrades!$B$3:$B$13,0))*1.15^(COUNTIF(C$4:C1040,SUBSTITUTE(C1041,""Sell_"",""""))-COUNTIF(C$4"&amp;":C1040,""Sell_""&amp;SUBSTITUTE(C1041,""Sell_"",""""))))/2),ROUNDUP(INDEX(Upgrades!$C$3:$C$13,MATCH(C1041,Upgrades!$B$3:$B$13,0))*1.15^(COUNTIF(C$4:C1040,C1041)-COUNTIF(C$4:C1040,""Sell_""&amp;C1041))))))"),"")</f>
        <v/>
      </c>
      <c r="H1041" s="10" t="str">
        <f t="shared" si="3"/>
        <v/>
      </c>
      <c r="I1041" s="68" t="str">
        <f t="shared" si="4"/>
        <v/>
      </c>
      <c r="J1041" s="59" t="str">
        <f t="shared" si="5"/>
        <v/>
      </c>
      <c r="K1041" s="69" t="str">
        <f t="shared" si="6"/>
        <v/>
      </c>
      <c r="L1041" s="60" t="str">
        <f t="shared" si="7"/>
        <v/>
      </c>
      <c r="M1041" s="61" t="str">
        <f>IFERROR(__xludf.DUMMYFUNCTION("IFS(AND(COUNTA(C1041:C1673)=0,COUNTA(Q1041:Q1673)=0),"""",OR(AND(K1041&gt;=1000000000,OR(Y1041&gt;=1000000000,COUNTA(Q1041:Q1673)=0)),OR(Y1041&gt;=1000000000,AND(COUNTA(C1041:C1673)=0,P$3=TRUE))),
ROUNDDOWN((AB$1-AC$1)*MAX(INDEX(T$4:T1673,MATCH(LARGE(FILTER(Y$4:Y1"&amp;"673,Y$4:Y1673&lt;1000000000),1),Y$4:Y1673)),INDEX(F$4:F1673,MATCH(LARGE(FILTER(K$4:K1673,K$4:K1673&lt;1000000000),1),K$4:K1673)))),AND(K1041&lt;1000000000,COUNTA(C1041:C1673)&gt;0,P$3=FALSE),
ROUNDDOWN(INDEX(Y$4:Y1673,MATCH(LARGE(FILTER(W$4:W1673,W$4:W1673&lt;=I1041),1)"&amp;",W$4:W1673))+(I1041-LARGE(FILTER(W$4:W1673,W$4:W1673&lt;=I1041),1))*INDEX(T$4:T1673,MATCH(LARGE(FILTER(W$4:W1673,W$4:W1673&lt;=I1041),1),W$4:W1673))-K1041),1,
ROUNDDOWN(Y1041-INDEX(K$4:K1673,MATCH(LARGE(FILTER(I$4:I1673,I$4:I1673&lt;=W1041),1),I$4:I1673))-(W1041-L"&amp;"ARGE(FILTER(I$4:I1673,I$4:I1673&lt;=W1041),1))*INDEX(F$4:F1673,MATCH(LARGE(FILTER(I$4:I1673,I$4:I1673&lt;=W1041),1),I$4:I1673))))"),"")</f>
        <v/>
      </c>
      <c r="N1041" s="60" t="str">
        <f t="shared" si="8"/>
        <v/>
      </c>
      <c r="O1041" s="61" t="str">
        <f t="shared" si="9"/>
        <v/>
      </c>
      <c r="P1041" s="56" t="str">
        <f t="shared" si="10"/>
        <v/>
      </c>
      <c r="R1041" s="10"/>
      <c r="S1041" s="59" t="str">
        <f t="array" ref="S1041">IF(COUNTA(Q1041:Q1673)=0,"",SUM((COUNTIF(Q$4:Q1041,Upgrades!$B$3:$B$13)-COUNTIF(Q$4:Q1041,"Sell_"&amp;Upgrades!$B$3:$B$13))*Upgrades!$D$3:$D$13))</f>
        <v/>
      </c>
      <c r="T1041" s="66" t="str">
        <f>IFERROR(__xludf.DUMMYFUNCTION("IF(COUNTA(Q1041:Q1673)=0,"""",IF(REGEXMATCH(INDEX(FILTER(Q$4:Q1041,Q$4:Q1041&lt;&gt;""""),ROWS(FILTER(Q$4:Q1041,Q$4:Q1041&lt;&gt;""""))),""^Sell_""),INDEX(FILTER(T$4:T1040,Q$4:Q1040&lt;&gt;""""),ROWS(FILTER(Q$4:Q1040,Q$4:Q1040&lt;&gt;""""))),$AD$5+S1041))"),"")</f>
        <v/>
      </c>
      <c r="U1041" s="10" t="str">
        <f>IFERROR(__xludf.DUMMYFUNCTION("IF(COUNTA(Q1041:Q1673)=0,"""",IF(Q1041="""",0,IF(REGEXMATCH(Q1041,""^Sell_""),-ROUNDDOWN(ROUNDUP(INDEX(Upgrades!$C$3:$C$13,MATCH(SUBSTITUTE(Q1041,""Sell_"",""""),Upgrades!$B$3:$B$13,0))*1.15^(COUNTIF(Q$4:Q1040,SUBSTITUTE(Q1041,""Sell_"",""""))-COUNTIF(Q$4"&amp;":Q1040,""Sell_""&amp;SUBSTITUTE(Q1041,""Sell_"",""""))))/2),ROUNDUP(INDEX(Upgrades!$C$3:$C$13,MATCH(Q1041,Upgrades!$B$3:$B$13,0))*1.15^(COUNTIF(Q$4:Q1040,Q1041)-COUNTIF(Q$4:Q1040,""Sell_""&amp;Q1041))))))"),"")</f>
        <v/>
      </c>
      <c r="V1041" s="10" t="str">
        <f t="shared" si="11"/>
        <v/>
      </c>
      <c r="W1041" s="68" t="str">
        <f t="shared" si="12"/>
        <v/>
      </c>
      <c r="X1041" s="59" t="str">
        <f t="shared" si="13"/>
        <v/>
      </c>
      <c r="Y1041" s="69" t="str">
        <f t="shared" si="14"/>
        <v/>
      </c>
      <c r="Z1041" s="11"/>
    </row>
    <row r="1042">
      <c r="A1042" s="8"/>
      <c r="B1042" s="56" t="str">
        <f t="shared" si="2"/>
        <v/>
      </c>
      <c r="C1042" s="105"/>
      <c r="D1042" s="10"/>
      <c r="E1042" s="59" t="str">
        <f t="array" ref="E1042">IF(COUNTA(C1042:C1673)=0,"",SUM((COUNTIF(C$4:C1042,Upgrades!$B$3:$B$13)-COUNTIF(C$4:C1042,"Sell_"&amp;Upgrades!$B$3:$B$13))*Upgrades!$D$3:$D$13))</f>
        <v/>
      </c>
      <c r="F1042" s="66" t="str">
        <f>IFERROR(__xludf.DUMMYFUNCTION("IF(COUNTA(C1042:C1673)=0,"""",IF(REGEXMATCH(INDEX(FILTER(C$4:C1042,C$4:C1042&lt;&gt;""""),ROWS(FILTER(C$4:C1042,C$4:C1042&lt;&gt;""""))),""^Sell_""),INDEX(FILTER(F$4:F1041,C$4:C1041&lt;&gt;""""),ROWS(FILTER(C$4:C1041,C$4:C1041&lt;&gt;""""))),$AC$5+E1042))"),"")</f>
        <v/>
      </c>
      <c r="G1042" s="10" t="str">
        <f>IFERROR(__xludf.DUMMYFUNCTION("IF(COUNTA(C1042:C1673)=0,"""",IF(C1042="""",0,IF(REGEXMATCH(C1042,""^Sell_""),-ROUNDDOWN(ROUNDUP(INDEX(Upgrades!$C$3:$C$13,MATCH(SUBSTITUTE(C1042,""Sell_"",""""),Upgrades!$B$3:$B$13,0))*1.15^(COUNTIF(C$4:C1041,SUBSTITUTE(C1042,""Sell_"",""""))-COUNTIF(C$4"&amp;":C1041,""Sell_""&amp;SUBSTITUTE(C1042,""Sell_"",""""))))/2),ROUNDUP(INDEX(Upgrades!$C$3:$C$13,MATCH(C1042,Upgrades!$B$3:$B$13,0))*1.15^(COUNTIF(C$4:C1041,C1042)-COUNTIF(C$4:C1041,""Sell_""&amp;C1042))))))"),"")</f>
        <v/>
      </c>
      <c r="H1042" s="10" t="str">
        <f t="shared" si="3"/>
        <v/>
      </c>
      <c r="I1042" s="68" t="str">
        <f t="shared" si="4"/>
        <v/>
      </c>
      <c r="J1042" s="59" t="str">
        <f t="shared" si="5"/>
        <v/>
      </c>
      <c r="K1042" s="69" t="str">
        <f t="shared" si="6"/>
        <v/>
      </c>
      <c r="L1042" s="60" t="str">
        <f t="shared" si="7"/>
        <v/>
      </c>
      <c r="M1042" s="61" t="str">
        <f>IFERROR(__xludf.DUMMYFUNCTION("IFS(AND(COUNTA(C1042:C1673)=0,COUNTA(Q1042:Q1673)=0),"""",OR(AND(K1042&gt;=1000000000,OR(Y1042&gt;=1000000000,COUNTA(Q1042:Q1673)=0)),OR(Y1042&gt;=1000000000,AND(COUNTA(C1042:C1673)=0,P$3=TRUE))),
ROUNDDOWN((AB$1-AC$1)*MAX(INDEX(T$4:T1673,MATCH(LARGE(FILTER(Y$4:Y1"&amp;"673,Y$4:Y1673&lt;1000000000),1),Y$4:Y1673)),INDEX(F$4:F1673,MATCH(LARGE(FILTER(K$4:K1673,K$4:K1673&lt;1000000000),1),K$4:K1673)))),AND(K1042&lt;1000000000,COUNTA(C1042:C1673)&gt;0,P$3=FALSE),
ROUNDDOWN(INDEX(Y$4:Y1673,MATCH(LARGE(FILTER(W$4:W1673,W$4:W1673&lt;=I1042),1)"&amp;",W$4:W1673))+(I1042-LARGE(FILTER(W$4:W1673,W$4:W1673&lt;=I1042),1))*INDEX(T$4:T1673,MATCH(LARGE(FILTER(W$4:W1673,W$4:W1673&lt;=I1042),1),W$4:W1673))-K1042),1,
ROUNDDOWN(Y1042-INDEX(K$4:K1673,MATCH(LARGE(FILTER(I$4:I1673,I$4:I1673&lt;=W1042),1),I$4:I1673))-(W1042-L"&amp;"ARGE(FILTER(I$4:I1673,I$4:I1673&lt;=W1042),1))*INDEX(F$4:F1673,MATCH(LARGE(FILTER(I$4:I1673,I$4:I1673&lt;=W1042),1),I$4:I1673))))"),"")</f>
        <v/>
      </c>
      <c r="N1042" s="60" t="str">
        <f t="shared" si="8"/>
        <v/>
      </c>
      <c r="O1042" s="61" t="str">
        <f t="shared" si="9"/>
        <v/>
      </c>
      <c r="P1042" s="56" t="str">
        <f t="shared" si="10"/>
        <v/>
      </c>
      <c r="R1042" s="10"/>
      <c r="S1042" s="59" t="str">
        <f t="array" ref="S1042">IF(COUNTA(Q1042:Q1673)=0,"",SUM((COUNTIF(Q$4:Q1042,Upgrades!$B$3:$B$13)-COUNTIF(Q$4:Q1042,"Sell_"&amp;Upgrades!$B$3:$B$13))*Upgrades!$D$3:$D$13))</f>
        <v/>
      </c>
      <c r="T1042" s="66" t="str">
        <f>IFERROR(__xludf.DUMMYFUNCTION("IF(COUNTA(Q1042:Q1673)=0,"""",IF(REGEXMATCH(INDEX(FILTER(Q$4:Q1042,Q$4:Q1042&lt;&gt;""""),ROWS(FILTER(Q$4:Q1042,Q$4:Q1042&lt;&gt;""""))),""^Sell_""),INDEX(FILTER(T$4:T1041,Q$4:Q1041&lt;&gt;""""),ROWS(FILTER(Q$4:Q1041,Q$4:Q1041&lt;&gt;""""))),$AD$5+S1042))"),"")</f>
        <v/>
      </c>
      <c r="U1042" s="10" t="str">
        <f>IFERROR(__xludf.DUMMYFUNCTION("IF(COUNTA(Q1042:Q1673)=0,"""",IF(Q1042="""",0,IF(REGEXMATCH(Q1042,""^Sell_""),-ROUNDDOWN(ROUNDUP(INDEX(Upgrades!$C$3:$C$13,MATCH(SUBSTITUTE(Q1042,""Sell_"",""""),Upgrades!$B$3:$B$13,0))*1.15^(COUNTIF(Q$4:Q1041,SUBSTITUTE(Q1042,""Sell_"",""""))-COUNTIF(Q$4"&amp;":Q1041,""Sell_""&amp;SUBSTITUTE(Q1042,""Sell_"",""""))))/2),ROUNDUP(INDEX(Upgrades!$C$3:$C$13,MATCH(Q1042,Upgrades!$B$3:$B$13,0))*1.15^(COUNTIF(Q$4:Q1041,Q1042)-COUNTIF(Q$4:Q1041,""Sell_""&amp;Q1042))))))"),"")</f>
        <v/>
      </c>
      <c r="V1042" s="10" t="str">
        <f t="shared" si="11"/>
        <v/>
      </c>
      <c r="W1042" s="68" t="str">
        <f t="shared" si="12"/>
        <v/>
      </c>
      <c r="X1042" s="59" t="str">
        <f t="shared" si="13"/>
        <v/>
      </c>
      <c r="Y1042" s="69" t="str">
        <f t="shared" si="14"/>
        <v/>
      </c>
      <c r="Z1042" s="11"/>
    </row>
    <row r="1043">
      <c r="A1043" s="8"/>
      <c r="B1043" s="56" t="str">
        <f t="shared" si="2"/>
        <v/>
      </c>
      <c r="C1043" s="105"/>
      <c r="D1043" s="10"/>
      <c r="E1043" s="59" t="str">
        <f t="array" ref="E1043">IF(COUNTA(C1043:C1673)=0,"",SUM((COUNTIF(C$4:C1043,Upgrades!$B$3:$B$13)-COUNTIF(C$4:C1043,"Sell_"&amp;Upgrades!$B$3:$B$13))*Upgrades!$D$3:$D$13))</f>
        <v/>
      </c>
      <c r="F1043" s="66" t="str">
        <f>IFERROR(__xludf.DUMMYFUNCTION("IF(COUNTA(C1043:C1673)=0,"""",IF(REGEXMATCH(INDEX(FILTER(C$4:C1043,C$4:C1043&lt;&gt;""""),ROWS(FILTER(C$4:C1043,C$4:C1043&lt;&gt;""""))),""^Sell_""),INDEX(FILTER(F$4:F1042,C$4:C1042&lt;&gt;""""),ROWS(FILTER(C$4:C1042,C$4:C1042&lt;&gt;""""))),$AC$5+E1043))"),"")</f>
        <v/>
      </c>
      <c r="G1043" s="10" t="str">
        <f>IFERROR(__xludf.DUMMYFUNCTION("IF(COUNTA(C1043:C1673)=0,"""",IF(C1043="""",0,IF(REGEXMATCH(C1043,""^Sell_""),-ROUNDDOWN(ROUNDUP(INDEX(Upgrades!$C$3:$C$13,MATCH(SUBSTITUTE(C1043,""Sell_"",""""),Upgrades!$B$3:$B$13,0))*1.15^(COUNTIF(C$4:C1042,SUBSTITUTE(C1043,""Sell_"",""""))-COUNTIF(C$4"&amp;":C1042,""Sell_""&amp;SUBSTITUTE(C1043,""Sell_"",""""))))/2),ROUNDUP(INDEX(Upgrades!$C$3:$C$13,MATCH(C1043,Upgrades!$B$3:$B$13,0))*1.15^(COUNTIF(C$4:C1042,C1043)-COUNTIF(C$4:C1042,""Sell_""&amp;C1043))))))"),"")</f>
        <v/>
      </c>
      <c r="H1043" s="10" t="str">
        <f t="shared" si="3"/>
        <v/>
      </c>
      <c r="I1043" s="68" t="str">
        <f t="shared" si="4"/>
        <v/>
      </c>
      <c r="J1043" s="59" t="str">
        <f t="shared" si="5"/>
        <v/>
      </c>
      <c r="K1043" s="69" t="str">
        <f t="shared" si="6"/>
        <v/>
      </c>
      <c r="L1043" s="60" t="str">
        <f t="shared" si="7"/>
        <v/>
      </c>
      <c r="M1043" s="61" t="str">
        <f>IFERROR(__xludf.DUMMYFUNCTION("IFS(AND(COUNTA(C1043:C1673)=0,COUNTA(Q1043:Q1673)=0),"""",OR(AND(K1043&gt;=1000000000,OR(Y1043&gt;=1000000000,COUNTA(Q1043:Q1673)=0)),OR(Y1043&gt;=1000000000,AND(COUNTA(C1043:C1673)=0,P$3=TRUE))),
ROUNDDOWN((AB$1-AC$1)*MAX(INDEX(T$4:T1673,MATCH(LARGE(FILTER(Y$4:Y1"&amp;"673,Y$4:Y1673&lt;1000000000),1),Y$4:Y1673)),INDEX(F$4:F1673,MATCH(LARGE(FILTER(K$4:K1673,K$4:K1673&lt;1000000000),1),K$4:K1673)))),AND(K1043&lt;1000000000,COUNTA(C1043:C1673)&gt;0,P$3=FALSE),
ROUNDDOWN(INDEX(Y$4:Y1673,MATCH(LARGE(FILTER(W$4:W1673,W$4:W1673&lt;=I1043),1)"&amp;",W$4:W1673))+(I1043-LARGE(FILTER(W$4:W1673,W$4:W1673&lt;=I1043),1))*INDEX(T$4:T1673,MATCH(LARGE(FILTER(W$4:W1673,W$4:W1673&lt;=I1043),1),W$4:W1673))-K1043),1,
ROUNDDOWN(Y1043-INDEX(K$4:K1673,MATCH(LARGE(FILTER(I$4:I1673,I$4:I1673&lt;=W1043),1),I$4:I1673))-(W1043-L"&amp;"ARGE(FILTER(I$4:I1673,I$4:I1673&lt;=W1043),1))*INDEX(F$4:F1673,MATCH(LARGE(FILTER(I$4:I1673,I$4:I1673&lt;=W1043),1),I$4:I1673))))"),"")</f>
        <v/>
      </c>
      <c r="N1043" s="60" t="str">
        <f t="shared" si="8"/>
        <v/>
      </c>
      <c r="O1043" s="61" t="str">
        <f t="shared" si="9"/>
        <v/>
      </c>
      <c r="P1043" s="56" t="str">
        <f t="shared" si="10"/>
        <v/>
      </c>
      <c r="R1043" s="10"/>
      <c r="S1043" s="59" t="str">
        <f t="array" ref="S1043">IF(COUNTA(Q1043:Q1673)=0,"",SUM((COUNTIF(Q$4:Q1043,Upgrades!$B$3:$B$13)-COUNTIF(Q$4:Q1043,"Sell_"&amp;Upgrades!$B$3:$B$13))*Upgrades!$D$3:$D$13))</f>
        <v/>
      </c>
      <c r="T1043" s="66" t="str">
        <f>IFERROR(__xludf.DUMMYFUNCTION("IF(COUNTA(Q1043:Q1673)=0,"""",IF(REGEXMATCH(INDEX(FILTER(Q$4:Q1043,Q$4:Q1043&lt;&gt;""""),ROWS(FILTER(Q$4:Q1043,Q$4:Q1043&lt;&gt;""""))),""^Sell_""),INDEX(FILTER(T$4:T1042,Q$4:Q1042&lt;&gt;""""),ROWS(FILTER(Q$4:Q1042,Q$4:Q1042&lt;&gt;""""))),$AD$5+S1043))"),"")</f>
        <v/>
      </c>
      <c r="U1043" s="10" t="str">
        <f>IFERROR(__xludf.DUMMYFUNCTION("IF(COUNTA(Q1043:Q1673)=0,"""",IF(Q1043="""",0,IF(REGEXMATCH(Q1043,""^Sell_""),-ROUNDDOWN(ROUNDUP(INDEX(Upgrades!$C$3:$C$13,MATCH(SUBSTITUTE(Q1043,""Sell_"",""""),Upgrades!$B$3:$B$13,0))*1.15^(COUNTIF(Q$4:Q1042,SUBSTITUTE(Q1043,""Sell_"",""""))-COUNTIF(Q$4"&amp;":Q1042,""Sell_""&amp;SUBSTITUTE(Q1043,""Sell_"",""""))))/2),ROUNDUP(INDEX(Upgrades!$C$3:$C$13,MATCH(Q1043,Upgrades!$B$3:$B$13,0))*1.15^(COUNTIF(Q$4:Q1042,Q1043)-COUNTIF(Q$4:Q1042,""Sell_""&amp;Q1043))))))"),"")</f>
        <v/>
      </c>
      <c r="V1043" s="10" t="str">
        <f t="shared" si="11"/>
        <v/>
      </c>
      <c r="W1043" s="68" t="str">
        <f t="shared" si="12"/>
        <v/>
      </c>
      <c r="X1043" s="59" t="str">
        <f t="shared" si="13"/>
        <v/>
      </c>
      <c r="Y1043" s="69" t="str">
        <f t="shared" si="14"/>
        <v/>
      </c>
      <c r="Z1043" s="11"/>
    </row>
    <row r="1044">
      <c r="A1044" s="8"/>
      <c r="B1044" s="56" t="str">
        <f t="shared" si="2"/>
        <v/>
      </c>
      <c r="C1044" s="105"/>
      <c r="D1044" s="10"/>
      <c r="E1044" s="59" t="str">
        <f t="array" ref="E1044">IF(COUNTA(C1044:C1673)=0,"",SUM((COUNTIF(C$4:C1044,Upgrades!$B$3:$B$13)-COUNTIF(C$4:C1044,"Sell_"&amp;Upgrades!$B$3:$B$13))*Upgrades!$D$3:$D$13))</f>
        <v/>
      </c>
      <c r="F1044" s="66" t="str">
        <f>IFERROR(__xludf.DUMMYFUNCTION("IF(COUNTA(C1044:C1673)=0,"""",IF(REGEXMATCH(INDEX(FILTER(C$4:C1044,C$4:C1044&lt;&gt;""""),ROWS(FILTER(C$4:C1044,C$4:C1044&lt;&gt;""""))),""^Sell_""),INDEX(FILTER(F$4:F1043,C$4:C1043&lt;&gt;""""),ROWS(FILTER(C$4:C1043,C$4:C1043&lt;&gt;""""))),$AC$5+E1044))"),"")</f>
        <v/>
      </c>
      <c r="G1044" s="10" t="str">
        <f>IFERROR(__xludf.DUMMYFUNCTION("IF(COUNTA(C1044:C1673)=0,"""",IF(C1044="""",0,IF(REGEXMATCH(C1044,""^Sell_""),-ROUNDDOWN(ROUNDUP(INDEX(Upgrades!$C$3:$C$13,MATCH(SUBSTITUTE(C1044,""Sell_"",""""),Upgrades!$B$3:$B$13,0))*1.15^(COUNTIF(C$4:C1043,SUBSTITUTE(C1044,""Sell_"",""""))-COUNTIF(C$4"&amp;":C1043,""Sell_""&amp;SUBSTITUTE(C1044,""Sell_"",""""))))/2),ROUNDUP(INDEX(Upgrades!$C$3:$C$13,MATCH(C1044,Upgrades!$B$3:$B$13,0))*1.15^(COUNTIF(C$4:C1043,C1044)-COUNTIF(C$4:C1043,""Sell_""&amp;C1044))))))"),"")</f>
        <v/>
      </c>
      <c r="H1044" s="10" t="str">
        <f t="shared" si="3"/>
        <v/>
      </c>
      <c r="I1044" s="68" t="str">
        <f t="shared" si="4"/>
        <v/>
      </c>
      <c r="J1044" s="59" t="str">
        <f t="shared" si="5"/>
        <v/>
      </c>
      <c r="K1044" s="69" t="str">
        <f t="shared" si="6"/>
        <v/>
      </c>
      <c r="L1044" s="60" t="str">
        <f t="shared" si="7"/>
        <v/>
      </c>
      <c r="M1044" s="61" t="str">
        <f>IFERROR(__xludf.DUMMYFUNCTION("IFS(AND(COUNTA(C1044:C1673)=0,COUNTA(Q1044:Q1673)=0),"""",OR(AND(K1044&gt;=1000000000,OR(Y1044&gt;=1000000000,COUNTA(Q1044:Q1673)=0)),OR(Y1044&gt;=1000000000,AND(COUNTA(C1044:C1673)=0,P$3=TRUE))),
ROUNDDOWN((AB$1-AC$1)*MAX(INDEX(T$4:T1673,MATCH(LARGE(FILTER(Y$4:Y1"&amp;"673,Y$4:Y1673&lt;1000000000),1),Y$4:Y1673)),INDEX(F$4:F1673,MATCH(LARGE(FILTER(K$4:K1673,K$4:K1673&lt;1000000000),1),K$4:K1673)))),AND(K1044&lt;1000000000,COUNTA(C1044:C1673)&gt;0,P$3=FALSE),
ROUNDDOWN(INDEX(Y$4:Y1673,MATCH(LARGE(FILTER(W$4:W1673,W$4:W1673&lt;=I1044),1)"&amp;",W$4:W1673))+(I1044-LARGE(FILTER(W$4:W1673,W$4:W1673&lt;=I1044),1))*INDEX(T$4:T1673,MATCH(LARGE(FILTER(W$4:W1673,W$4:W1673&lt;=I1044),1),W$4:W1673))-K1044),1,
ROUNDDOWN(Y1044-INDEX(K$4:K1673,MATCH(LARGE(FILTER(I$4:I1673,I$4:I1673&lt;=W1044),1),I$4:I1673))-(W1044-L"&amp;"ARGE(FILTER(I$4:I1673,I$4:I1673&lt;=W1044),1))*INDEX(F$4:F1673,MATCH(LARGE(FILTER(I$4:I1673,I$4:I1673&lt;=W1044),1),I$4:I1673))))"),"")</f>
        <v/>
      </c>
      <c r="N1044" s="60" t="str">
        <f t="shared" si="8"/>
        <v/>
      </c>
      <c r="O1044" s="61" t="str">
        <f t="shared" si="9"/>
        <v/>
      </c>
      <c r="P1044" s="56" t="str">
        <f t="shared" si="10"/>
        <v/>
      </c>
      <c r="R1044" s="10"/>
      <c r="S1044" s="59" t="str">
        <f t="array" ref="S1044">IF(COUNTA(Q1044:Q1673)=0,"",SUM((COUNTIF(Q$4:Q1044,Upgrades!$B$3:$B$13)-COUNTIF(Q$4:Q1044,"Sell_"&amp;Upgrades!$B$3:$B$13))*Upgrades!$D$3:$D$13))</f>
        <v/>
      </c>
      <c r="T1044" s="66" t="str">
        <f>IFERROR(__xludf.DUMMYFUNCTION("IF(COUNTA(Q1044:Q1673)=0,"""",IF(REGEXMATCH(INDEX(FILTER(Q$4:Q1044,Q$4:Q1044&lt;&gt;""""),ROWS(FILTER(Q$4:Q1044,Q$4:Q1044&lt;&gt;""""))),""^Sell_""),INDEX(FILTER(T$4:T1043,Q$4:Q1043&lt;&gt;""""),ROWS(FILTER(Q$4:Q1043,Q$4:Q1043&lt;&gt;""""))),$AD$5+S1044))"),"")</f>
        <v/>
      </c>
      <c r="U1044" s="10" t="str">
        <f>IFERROR(__xludf.DUMMYFUNCTION("IF(COUNTA(Q1044:Q1673)=0,"""",IF(Q1044="""",0,IF(REGEXMATCH(Q1044,""^Sell_""),-ROUNDDOWN(ROUNDUP(INDEX(Upgrades!$C$3:$C$13,MATCH(SUBSTITUTE(Q1044,""Sell_"",""""),Upgrades!$B$3:$B$13,0))*1.15^(COUNTIF(Q$4:Q1043,SUBSTITUTE(Q1044,""Sell_"",""""))-COUNTIF(Q$4"&amp;":Q1043,""Sell_""&amp;SUBSTITUTE(Q1044,""Sell_"",""""))))/2),ROUNDUP(INDEX(Upgrades!$C$3:$C$13,MATCH(Q1044,Upgrades!$B$3:$B$13,0))*1.15^(COUNTIF(Q$4:Q1043,Q1044)-COUNTIF(Q$4:Q1043,""Sell_""&amp;Q1044))))))"),"")</f>
        <v/>
      </c>
      <c r="V1044" s="10" t="str">
        <f t="shared" si="11"/>
        <v/>
      </c>
      <c r="W1044" s="68" t="str">
        <f t="shared" si="12"/>
        <v/>
      </c>
      <c r="X1044" s="59" t="str">
        <f t="shared" si="13"/>
        <v/>
      </c>
      <c r="Y1044" s="69" t="str">
        <f t="shared" si="14"/>
        <v/>
      </c>
      <c r="Z1044" s="11"/>
    </row>
    <row r="1045">
      <c r="A1045" s="8"/>
      <c r="B1045" s="56" t="str">
        <f t="shared" si="2"/>
        <v/>
      </c>
      <c r="C1045" s="105"/>
      <c r="D1045" s="10"/>
      <c r="E1045" s="59" t="str">
        <f t="array" ref="E1045">IF(COUNTA(C1045:C1673)=0,"",SUM((COUNTIF(C$4:C1045,Upgrades!$B$3:$B$13)-COUNTIF(C$4:C1045,"Sell_"&amp;Upgrades!$B$3:$B$13))*Upgrades!$D$3:$D$13))</f>
        <v/>
      </c>
      <c r="F1045" s="66" t="str">
        <f>IFERROR(__xludf.DUMMYFUNCTION("IF(COUNTA(C1045:C1673)=0,"""",IF(REGEXMATCH(INDEX(FILTER(C$4:C1045,C$4:C1045&lt;&gt;""""),ROWS(FILTER(C$4:C1045,C$4:C1045&lt;&gt;""""))),""^Sell_""),INDEX(FILTER(F$4:F1044,C$4:C1044&lt;&gt;""""),ROWS(FILTER(C$4:C1044,C$4:C1044&lt;&gt;""""))),$AC$5+E1045))"),"")</f>
        <v/>
      </c>
      <c r="G1045" s="10" t="str">
        <f>IFERROR(__xludf.DUMMYFUNCTION("IF(COUNTA(C1045:C1673)=0,"""",IF(C1045="""",0,IF(REGEXMATCH(C1045,""^Sell_""),-ROUNDDOWN(ROUNDUP(INDEX(Upgrades!$C$3:$C$13,MATCH(SUBSTITUTE(C1045,""Sell_"",""""),Upgrades!$B$3:$B$13,0))*1.15^(COUNTIF(C$4:C1044,SUBSTITUTE(C1045,""Sell_"",""""))-COUNTIF(C$4"&amp;":C1044,""Sell_""&amp;SUBSTITUTE(C1045,""Sell_"",""""))))/2),ROUNDUP(INDEX(Upgrades!$C$3:$C$13,MATCH(C1045,Upgrades!$B$3:$B$13,0))*1.15^(COUNTIF(C$4:C1044,C1045)-COUNTIF(C$4:C1044,""Sell_""&amp;C1045))))))"),"")</f>
        <v/>
      </c>
      <c r="H1045" s="10" t="str">
        <f t="shared" si="3"/>
        <v/>
      </c>
      <c r="I1045" s="68" t="str">
        <f t="shared" si="4"/>
        <v/>
      </c>
      <c r="J1045" s="59" t="str">
        <f t="shared" si="5"/>
        <v/>
      </c>
      <c r="K1045" s="69" t="str">
        <f t="shared" si="6"/>
        <v/>
      </c>
      <c r="L1045" s="60" t="str">
        <f t="shared" si="7"/>
        <v/>
      </c>
      <c r="M1045" s="61" t="str">
        <f>IFERROR(__xludf.DUMMYFUNCTION("IFS(AND(COUNTA(C1045:C1673)=0,COUNTA(Q1045:Q1673)=0),"""",OR(AND(K1045&gt;=1000000000,OR(Y1045&gt;=1000000000,COUNTA(Q1045:Q1673)=0)),OR(Y1045&gt;=1000000000,AND(COUNTA(C1045:C1673)=0,P$3=TRUE))),
ROUNDDOWN((AB$1-AC$1)*MAX(INDEX(T$4:T1673,MATCH(LARGE(FILTER(Y$4:Y1"&amp;"673,Y$4:Y1673&lt;1000000000),1),Y$4:Y1673)),INDEX(F$4:F1673,MATCH(LARGE(FILTER(K$4:K1673,K$4:K1673&lt;1000000000),1),K$4:K1673)))),AND(K1045&lt;1000000000,COUNTA(C1045:C1673)&gt;0,P$3=FALSE),
ROUNDDOWN(INDEX(Y$4:Y1673,MATCH(LARGE(FILTER(W$4:W1673,W$4:W1673&lt;=I1045),1)"&amp;",W$4:W1673))+(I1045-LARGE(FILTER(W$4:W1673,W$4:W1673&lt;=I1045),1))*INDEX(T$4:T1673,MATCH(LARGE(FILTER(W$4:W1673,W$4:W1673&lt;=I1045),1),W$4:W1673))-K1045),1,
ROUNDDOWN(Y1045-INDEX(K$4:K1673,MATCH(LARGE(FILTER(I$4:I1673,I$4:I1673&lt;=W1045),1),I$4:I1673))-(W1045-L"&amp;"ARGE(FILTER(I$4:I1673,I$4:I1673&lt;=W1045),1))*INDEX(F$4:F1673,MATCH(LARGE(FILTER(I$4:I1673,I$4:I1673&lt;=W1045),1),I$4:I1673))))"),"")</f>
        <v/>
      </c>
      <c r="N1045" s="60" t="str">
        <f t="shared" si="8"/>
        <v/>
      </c>
      <c r="O1045" s="61" t="str">
        <f t="shared" si="9"/>
        <v/>
      </c>
      <c r="P1045" s="56" t="str">
        <f t="shared" si="10"/>
        <v/>
      </c>
      <c r="R1045" s="10"/>
      <c r="S1045" s="59" t="str">
        <f t="array" ref="S1045">IF(COUNTA(Q1045:Q1673)=0,"",SUM((COUNTIF(Q$4:Q1045,Upgrades!$B$3:$B$13)-COUNTIF(Q$4:Q1045,"Sell_"&amp;Upgrades!$B$3:$B$13))*Upgrades!$D$3:$D$13))</f>
        <v/>
      </c>
      <c r="T1045" s="66" t="str">
        <f>IFERROR(__xludf.DUMMYFUNCTION("IF(COUNTA(Q1045:Q1673)=0,"""",IF(REGEXMATCH(INDEX(FILTER(Q$4:Q1045,Q$4:Q1045&lt;&gt;""""),ROWS(FILTER(Q$4:Q1045,Q$4:Q1045&lt;&gt;""""))),""^Sell_""),INDEX(FILTER(T$4:T1044,Q$4:Q1044&lt;&gt;""""),ROWS(FILTER(Q$4:Q1044,Q$4:Q1044&lt;&gt;""""))),$AD$5+S1045))"),"")</f>
        <v/>
      </c>
      <c r="U1045" s="10" t="str">
        <f>IFERROR(__xludf.DUMMYFUNCTION("IF(COUNTA(Q1045:Q1673)=0,"""",IF(Q1045="""",0,IF(REGEXMATCH(Q1045,""^Sell_""),-ROUNDDOWN(ROUNDUP(INDEX(Upgrades!$C$3:$C$13,MATCH(SUBSTITUTE(Q1045,""Sell_"",""""),Upgrades!$B$3:$B$13,0))*1.15^(COUNTIF(Q$4:Q1044,SUBSTITUTE(Q1045,""Sell_"",""""))-COUNTIF(Q$4"&amp;":Q1044,""Sell_""&amp;SUBSTITUTE(Q1045,""Sell_"",""""))))/2),ROUNDUP(INDEX(Upgrades!$C$3:$C$13,MATCH(Q1045,Upgrades!$B$3:$B$13,0))*1.15^(COUNTIF(Q$4:Q1044,Q1045)-COUNTIF(Q$4:Q1044,""Sell_""&amp;Q1045))))))"),"")</f>
        <v/>
      </c>
      <c r="V1045" s="10" t="str">
        <f t="shared" si="11"/>
        <v/>
      </c>
      <c r="W1045" s="68" t="str">
        <f t="shared" si="12"/>
        <v/>
      </c>
      <c r="X1045" s="59" t="str">
        <f t="shared" si="13"/>
        <v/>
      </c>
      <c r="Y1045" s="69" t="str">
        <f t="shared" si="14"/>
        <v/>
      </c>
      <c r="Z1045" s="11"/>
    </row>
    <row r="1046">
      <c r="A1046" s="8"/>
      <c r="B1046" s="56" t="str">
        <f t="shared" si="2"/>
        <v/>
      </c>
      <c r="C1046" s="105"/>
      <c r="D1046" s="10"/>
      <c r="E1046" s="59" t="str">
        <f t="array" ref="E1046">IF(COUNTA(C1046:C1673)=0,"",SUM((COUNTIF(C$4:C1046,Upgrades!$B$3:$B$13)-COUNTIF(C$4:C1046,"Sell_"&amp;Upgrades!$B$3:$B$13))*Upgrades!$D$3:$D$13))</f>
        <v/>
      </c>
      <c r="F1046" s="66" t="str">
        <f>IFERROR(__xludf.DUMMYFUNCTION("IF(COUNTA(C1046:C1673)=0,"""",IF(REGEXMATCH(INDEX(FILTER(C$4:C1046,C$4:C1046&lt;&gt;""""),ROWS(FILTER(C$4:C1046,C$4:C1046&lt;&gt;""""))),""^Sell_""),INDEX(FILTER(F$4:F1045,C$4:C1045&lt;&gt;""""),ROWS(FILTER(C$4:C1045,C$4:C1045&lt;&gt;""""))),$AC$5+E1046))"),"")</f>
        <v/>
      </c>
      <c r="G1046" s="10" t="str">
        <f>IFERROR(__xludf.DUMMYFUNCTION("IF(COUNTA(C1046:C1673)=0,"""",IF(C1046="""",0,IF(REGEXMATCH(C1046,""^Sell_""),-ROUNDDOWN(ROUNDUP(INDEX(Upgrades!$C$3:$C$13,MATCH(SUBSTITUTE(C1046,""Sell_"",""""),Upgrades!$B$3:$B$13,0))*1.15^(COUNTIF(C$4:C1045,SUBSTITUTE(C1046,""Sell_"",""""))-COUNTIF(C$4"&amp;":C1045,""Sell_""&amp;SUBSTITUTE(C1046,""Sell_"",""""))))/2),ROUNDUP(INDEX(Upgrades!$C$3:$C$13,MATCH(C1046,Upgrades!$B$3:$B$13,0))*1.15^(COUNTIF(C$4:C1045,C1046)-COUNTIF(C$4:C1045,""Sell_""&amp;C1046))))))"),"")</f>
        <v/>
      </c>
      <c r="H1046" s="10" t="str">
        <f t="shared" si="3"/>
        <v/>
      </c>
      <c r="I1046" s="68" t="str">
        <f t="shared" si="4"/>
        <v/>
      </c>
      <c r="J1046" s="59" t="str">
        <f t="shared" si="5"/>
        <v/>
      </c>
      <c r="K1046" s="69" t="str">
        <f t="shared" si="6"/>
        <v/>
      </c>
      <c r="L1046" s="60" t="str">
        <f t="shared" si="7"/>
        <v/>
      </c>
      <c r="M1046" s="61" t="str">
        <f>IFERROR(__xludf.DUMMYFUNCTION("IFS(AND(COUNTA(C1046:C1673)=0,COUNTA(Q1046:Q1673)=0),"""",OR(AND(K1046&gt;=1000000000,OR(Y1046&gt;=1000000000,COUNTA(Q1046:Q1673)=0)),OR(Y1046&gt;=1000000000,AND(COUNTA(C1046:C1673)=0,P$3=TRUE))),
ROUNDDOWN((AB$1-AC$1)*MAX(INDEX(T$4:T1673,MATCH(LARGE(FILTER(Y$4:Y1"&amp;"673,Y$4:Y1673&lt;1000000000),1),Y$4:Y1673)),INDEX(F$4:F1673,MATCH(LARGE(FILTER(K$4:K1673,K$4:K1673&lt;1000000000),1),K$4:K1673)))),AND(K1046&lt;1000000000,COUNTA(C1046:C1673)&gt;0,P$3=FALSE),
ROUNDDOWN(INDEX(Y$4:Y1673,MATCH(LARGE(FILTER(W$4:W1673,W$4:W1673&lt;=I1046),1)"&amp;",W$4:W1673))+(I1046-LARGE(FILTER(W$4:W1673,W$4:W1673&lt;=I1046),1))*INDEX(T$4:T1673,MATCH(LARGE(FILTER(W$4:W1673,W$4:W1673&lt;=I1046),1),W$4:W1673))-K1046),1,
ROUNDDOWN(Y1046-INDEX(K$4:K1673,MATCH(LARGE(FILTER(I$4:I1673,I$4:I1673&lt;=W1046),1),I$4:I1673))-(W1046-L"&amp;"ARGE(FILTER(I$4:I1673,I$4:I1673&lt;=W1046),1))*INDEX(F$4:F1673,MATCH(LARGE(FILTER(I$4:I1673,I$4:I1673&lt;=W1046),1),I$4:I1673))))"),"")</f>
        <v/>
      </c>
      <c r="N1046" s="60" t="str">
        <f t="shared" si="8"/>
        <v/>
      </c>
      <c r="O1046" s="61" t="str">
        <f t="shared" si="9"/>
        <v/>
      </c>
      <c r="P1046" s="56" t="str">
        <f t="shared" si="10"/>
        <v/>
      </c>
      <c r="R1046" s="10"/>
      <c r="S1046" s="59" t="str">
        <f t="array" ref="S1046">IF(COUNTA(Q1046:Q1673)=0,"",SUM((COUNTIF(Q$4:Q1046,Upgrades!$B$3:$B$13)-COUNTIF(Q$4:Q1046,"Sell_"&amp;Upgrades!$B$3:$B$13))*Upgrades!$D$3:$D$13))</f>
        <v/>
      </c>
      <c r="T1046" s="66" t="str">
        <f>IFERROR(__xludf.DUMMYFUNCTION("IF(COUNTA(Q1046:Q1673)=0,"""",IF(REGEXMATCH(INDEX(FILTER(Q$4:Q1046,Q$4:Q1046&lt;&gt;""""),ROWS(FILTER(Q$4:Q1046,Q$4:Q1046&lt;&gt;""""))),""^Sell_""),INDEX(FILTER(T$4:T1045,Q$4:Q1045&lt;&gt;""""),ROWS(FILTER(Q$4:Q1045,Q$4:Q1045&lt;&gt;""""))),$AD$5+S1046))"),"")</f>
        <v/>
      </c>
      <c r="U1046" s="10" t="str">
        <f>IFERROR(__xludf.DUMMYFUNCTION("IF(COUNTA(Q1046:Q1673)=0,"""",IF(Q1046="""",0,IF(REGEXMATCH(Q1046,""^Sell_""),-ROUNDDOWN(ROUNDUP(INDEX(Upgrades!$C$3:$C$13,MATCH(SUBSTITUTE(Q1046,""Sell_"",""""),Upgrades!$B$3:$B$13,0))*1.15^(COUNTIF(Q$4:Q1045,SUBSTITUTE(Q1046,""Sell_"",""""))-COUNTIF(Q$4"&amp;":Q1045,""Sell_""&amp;SUBSTITUTE(Q1046,""Sell_"",""""))))/2),ROUNDUP(INDEX(Upgrades!$C$3:$C$13,MATCH(Q1046,Upgrades!$B$3:$B$13,0))*1.15^(COUNTIF(Q$4:Q1045,Q1046)-COUNTIF(Q$4:Q1045,""Sell_""&amp;Q1046))))))"),"")</f>
        <v/>
      </c>
      <c r="V1046" s="10" t="str">
        <f t="shared" si="11"/>
        <v/>
      </c>
      <c r="W1046" s="68" t="str">
        <f t="shared" si="12"/>
        <v/>
      </c>
      <c r="X1046" s="59" t="str">
        <f t="shared" si="13"/>
        <v/>
      </c>
      <c r="Y1046" s="69" t="str">
        <f t="shared" si="14"/>
        <v/>
      </c>
      <c r="Z1046" s="11"/>
    </row>
    <row r="1047">
      <c r="A1047" s="8"/>
      <c r="B1047" s="56" t="str">
        <f t="shared" si="2"/>
        <v/>
      </c>
      <c r="C1047" s="105"/>
      <c r="D1047" s="10"/>
      <c r="E1047" s="59" t="str">
        <f t="array" ref="E1047">IF(COUNTA(C1047:C1673)=0,"",SUM((COUNTIF(C$4:C1047,Upgrades!$B$3:$B$13)-COUNTIF(C$4:C1047,"Sell_"&amp;Upgrades!$B$3:$B$13))*Upgrades!$D$3:$D$13))</f>
        <v/>
      </c>
      <c r="F1047" s="66" t="str">
        <f>IFERROR(__xludf.DUMMYFUNCTION("IF(COUNTA(C1047:C1673)=0,"""",IF(REGEXMATCH(INDEX(FILTER(C$4:C1047,C$4:C1047&lt;&gt;""""),ROWS(FILTER(C$4:C1047,C$4:C1047&lt;&gt;""""))),""^Sell_""),INDEX(FILTER(F$4:F1046,C$4:C1046&lt;&gt;""""),ROWS(FILTER(C$4:C1046,C$4:C1046&lt;&gt;""""))),$AC$5+E1047))"),"")</f>
        <v/>
      </c>
      <c r="G1047" s="10" t="str">
        <f>IFERROR(__xludf.DUMMYFUNCTION("IF(COUNTA(C1047:C1673)=0,"""",IF(C1047="""",0,IF(REGEXMATCH(C1047,""^Sell_""),-ROUNDDOWN(ROUNDUP(INDEX(Upgrades!$C$3:$C$13,MATCH(SUBSTITUTE(C1047,""Sell_"",""""),Upgrades!$B$3:$B$13,0))*1.15^(COUNTIF(C$4:C1046,SUBSTITUTE(C1047,""Sell_"",""""))-COUNTIF(C$4"&amp;":C1046,""Sell_""&amp;SUBSTITUTE(C1047,""Sell_"",""""))))/2),ROUNDUP(INDEX(Upgrades!$C$3:$C$13,MATCH(C1047,Upgrades!$B$3:$B$13,0))*1.15^(COUNTIF(C$4:C1046,C1047)-COUNTIF(C$4:C1046,""Sell_""&amp;C1047))))))"),"")</f>
        <v/>
      </c>
      <c r="H1047" s="10" t="str">
        <f t="shared" si="3"/>
        <v/>
      </c>
      <c r="I1047" s="68" t="str">
        <f t="shared" si="4"/>
        <v/>
      </c>
      <c r="J1047" s="59" t="str">
        <f t="shared" si="5"/>
        <v/>
      </c>
      <c r="K1047" s="69" t="str">
        <f t="shared" si="6"/>
        <v/>
      </c>
      <c r="L1047" s="60" t="str">
        <f t="shared" si="7"/>
        <v/>
      </c>
      <c r="M1047" s="61" t="str">
        <f>IFERROR(__xludf.DUMMYFUNCTION("IFS(AND(COUNTA(C1047:C1673)=0,COUNTA(Q1047:Q1673)=0),"""",OR(AND(K1047&gt;=1000000000,OR(Y1047&gt;=1000000000,COUNTA(Q1047:Q1673)=0)),OR(Y1047&gt;=1000000000,AND(COUNTA(C1047:C1673)=0,P$3=TRUE))),
ROUNDDOWN((AB$1-AC$1)*MAX(INDEX(T$4:T1673,MATCH(LARGE(FILTER(Y$4:Y1"&amp;"673,Y$4:Y1673&lt;1000000000),1),Y$4:Y1673)),INDEX(F$4:F1673,MATCH(LARGE(FILTER(K$4:K1673,K$4:K1673&lt;1000000000),1),K$4:K1673)))),AND(K1047&lt;1000000000,COUNTA(C1047:C1673)&gt;0,P$3=FALSE),
ROUNDDOWN(INDEX(Y$4:Y1673,MATCH(LARGE(FILTER(W$4:W1673,W$4:W1673&lt;=I1047),1)"&amp;",W$4:W1673))+(I1047-LARGE(FILTER(W$4:W1673,W$4:W1673&lt;=I1047),1))*INDEX(T$4:T1673,MATCH(LARGE(FILTER(W$4:W1673,W$4:W1673&lt;=I1047),1),W$4:W1673))-K1047),1,
ROUNDDOWN(Y1047-INDEX(K$4:K1673,MATCH(LARGE(FILTER(I$4:I1673,I$4:I1673&lt;=W1047),1),I$4:I1673))-(W1047-L"&amp;"ARGE(FILTER(I$4:I1673,I$4:I1673&lt;=W1047),1))*INDEX(F$4:F1673,MATCH(LARGE(FILTER(I$4:I1673,I$4:I1673&lt;=W1047),1),I$4:I1673))))"),"")</f>
        <v/>
      </c>
      <c r="N1047" s="60" t="str">
        <f t="shared" si="8"/>
        <v/>
      </c>
      <c r="O1047" s="61" t="str">
        <f t="shared" si="9"/>
        <v/>
      </c>
      <c r="P1047" s="56" t="str">
        <f t="shared" si="10"/>
        <v/>
      </c>
      <c r="R1047" s="10"/>
      <c r="S1047" s="59" t="str">
        <f t="array" ref="S1047">IF(COUNTA(Q1047:Q1673)=0,"",SUM((COUNTIF(Q$4:Q1047,Upgrades!$B$3:$B$13)-COUNTIF(Q$4:Q1047,"Sell_"&amp;Upgrades!$B$3:$B$13))*Upgrades!$D$3:$D$13))</f>
        <v/>
      </c>
      <c r="T1047" s="66" t="str">
        <f>IFERROR(__xludf.DUMMYFUNCTION("IF(COUNTA(Q1047:Q1673)=0,"""",IF(REGEXMATCH(INDEX(FILTER(Q$4:Q1047,Q$4:Q1047&lt;&gt;""""),ROWS(FILTER(Q$4:Q1047,Q$4:Q1047&lt;&gt;""""))),""^Sell_""),INDEX(FILTER(T$4:T1046,Q$4:Q1046&lt;&gt;""""),ROWS(FILTER(Q$4:Q1046,Q$4:Q1046&lt;&gt;""""))),$AD$5+S1047))"),"")</f>
        <v/>
      </c>
      <c r="U1047" s="10" t="str">
        <f>IFERROR(__xludf.DUMMYFUNCTION("IF(COUNTA(Q1047:Q1673)=0,"""",IF(Q1047="""",0,IF(REGEXMATCH(Q1047,""^Sell_""),-ROUNDDOWN(ROUNDUP(INDEX(Upgrades!$C$3:$C$13,MATCH(SUBSTITUTE(Q1047,""Sell_"",""""),Upgrades!$B$3:$B$13,0))*1.15^(COUNTIF(Q$4:Q1046,SUBSTITUTE(Q1047,""Sell_"",""""))-COUNTIF(Q$4"&amp;":Q1046,""Sell_""&amp;SUBSTITUTE(Q1047,""Sell_"",""""))))/2),ROUNDUP(INDEX(Upgrades!$C$3:$C$13,MATCH(Q1047,Upgrades!$B$3:$B$13,0))*1.15^(COUNTIF(Q$4:Q1046,Q1047)-COUNTIF(Q$4:Q1046,""Sell_""&amp;Q1047))))))"),"")</f>
        <v/>
      </c>
      <c r="V1047" s="10" t="str">
        <f t="shared" si="11"/>
        <v/>
      </c>
      <c r="W1047" s="68" t="str">
        <f t="shared" si="12"/>
        <v/>
      </c>
      <c r="X1047" s="59" t="str">
        <f t="shared" si="13"/>
        <v/>
      </c>
      <c r="Y1047" s="69" t="str">
        <f t="shared" si="14"/>
        <v/>
      </c>
      <c r="Z1047" s="11"/>
    </row>
    <row r="1048">
      <c r="A1048" s="8"/>
      <c r="B1048" s="56" t="str">
        <f t="shared" si="2"/>
        <v/>
      </c>
      <c r="C1048" s="105"/>
      <c r="D1048" s="10"/>
      <c r="E1048" s="59" t="str">
        <f t="array" ref="E1048">IF(COUNTA(C1048:C1673)=0,"",SUM((COUNTIF(C$4:C1048,Upgrades!$B$3:$B$13)-COUNTIF(C$4:C1048,"Sell_"&amp;Upgrades!$B$3:$B$13))*Upgrades!$D$3:$D$13))</f>
        <v/>
      </c>
      <c r="F1048" s="66" t="str">
        <f>IFERROR(__xludf.DUMMYFUNCTION("IF(COUNTA(C1048:C1673)=0,"""",IF(REGEXMATCH(INDEX(FILTER(C$4:C1048,C$4:C1048&lt;&gt;""""),ROWS(FILTER(C$4:C1048,C$4:C1048&lt;&gt;""""))),""^Sell_""),INDEX(FILTER(F$4:F1047,C$4:C1047&lt;&gt;""""),ROWS(FILTER(C$4:C1047,C$4:C1047&lt;&gt;""""))),$AC$5+E1048))"),"")</f>
        <v/>
      </c>
      <c r="G1048" s="10" t="str">
        <f>IFERROR(__xludf.DUMMYFUNCTION("IF(COUNTA(C1048:C1673)=0,"""",IF(C1048="""",0,IF(REGEXMATCH(C1048,""^Sell_""),-ROUNDDOWN(ROUNDUP(INDEX(Upgrades!$C$3:$C$13,MATCH(SUBSTITUTE(C1048,""Sell_"",""""),Upgrades!$B$3:$B$13,0))*1.15^(COUNTIF(C$4:C1047,SUBSTITUTE(C1048,""Sell_"",""""))-COUNTIF(C$4"&amp;":C1047,""Sell_""&amp;SUBSTITUTE(C1048,""Sell_"",""""))))/2),ROUNDUP(INDEX(Upgrades!$C$3:$C$13,MATCH(C1048,Upgrades!$B$3:$B$13,0))*1.15^(COUNTIF(C$4:C1047,C1048)-COUNTIF(C$4:C1047,""Sell_""&amp;C1048))))))"),"")</f>
        <v/>
      </c>
      <c r="H1048" s="10" t="str">
        <f t="shared" si="3"/>
        <v/>
      </c>
      <c r="I1048" s="68" t="str">
        <f t="shared" si="4"/>
        <v/>
      </c>
      <c r="J1048" s="59" t="str">
        <f t="shared" si="5"/>
        <v/>
      </c>
      <c r="K1048" s="69" t="str">
        <f t="shared" si="6"/>
        <v/>
      </c>
      <c r="L1048" s="60" t="str">
        <f t="shared" si="7"/>
        <v/>
      </c>
      <c r="M1048" s="61" t="str">
        <f>IFERROR(__xludf.DUMMYFUNCTION("IFS(AND(COUNTA(C1048:C1673)=0,COUNTA(Q1048:Q1673)=0),"""",OR(AND(K1048&gt;=1000000000,OR(Y1048&gt;=1000000000,COUNTA(Q1048:Q1673)=0)),OR(Y1048&gt;=1000000000,AND(COUNTA(C1048:C1673)=0,P$3=TRUE))),
ROUNDDOWN((AB$1-AC$1)*MAX(INDEX(T$4:T1673,MATCH(LARGE(FILTER(Y$4:Y1"&amp;"673,Y$4:Y1673&lt;1000000000),1),Y$4:Y1673)),INDEX(F$4:F1673,MATCH(LARGE(FILTER(K$4:K1673,K$4:K1673&lt;1000000000),1),K$4:K1673)))),AND(K1048&lt;1000000000,COUNTA(C1048:C1673)&gt;0,P$3=FALSE),
ROUNDDOWN(INDEX(Y$4:Y1673,MATCH(LARGE(FILTER(W$4:W1673,W$4:W1673&lt;=I1048),1)"&amp;",W$4:W1673))+(I1048-LARGE(FILTER(W$4:W1673,W$4:W1673&lt;=I1048),1))*INDEX(T$4:T1673,MATCH(LARGE(FILTER(W$4:W1673,W$4:W1673&lt;=I1048),1),W$4:W1673))-K1048),1,
ROUNDDOWN(Y1048-INDEX(K$4:K1673,MATCH(LARGE(FILTER(I$4:I1673,I$4:I1673&lt;=W1048),1),I$4:I1673))-(W1048-L"&amp;"ARGE(FILTER(I$4:I1673,I$4:I1673&lt;=W1048),1))*INDEX(F$4:F1673,MATCH(LARGE(FILTER(I$4:I1673,I$4:I1673&lt;=W1048),1),I$4:I1673))))"),"")</f>
        <v/>
      </c>
      <c r="N1048" s="60" t="str">
        <f t="shared" si="8"/>
        <v/>
      </c>
      <c r="O1048" s="61" t="str">
        <f t="shared" si="9"/>
        <v/>
      </c>
      <c r="P1048" s="56" t="str">
        <f t="shared" si="10"/>
        <v/>
      </c>
      <c r="R1048" s="10"/>
      <c r="S1048" s="59" t="str">
        <f t="array" ref="S1048">IF(COUNTA(Q1048:Q1673)=0,"",SUM((COUNTIF(Q$4:Q1048,Upgrades!$B$3:$B$13)-COUNTIF(Q$4:Q1048,"Sell_"&amp;Upgrades!$B$3:$B$13))*Upgrades!$D$3:$D$13))</f>
        <v/>
      </c>
      <c r="T1048" s="66" t="str">
        <f>IFERROR(__xludf.DUMMYFUNCTION("IF(COUNTA(Q1048:Q1673)=0,"""",IF(REGEXMATCH(INDEX(FILTER(Q$4:Q1048,Q$4:Q1048&lt;&gt;""""),ROWS(FILTER(Q$4:Q1048,Q$4:Q1048&lt;&gt;""""))),""^Sell_""),INDEX(FILTER(T$4:T1047,Q$4:Q1047&lt;&gt;""""),ROWS(FILTER(Q$4:Q1047,Q$4:Q1047&lt;&gt;""""))),$AD$5+S1048))"),"")</f>
        <v/>
      </c>
      <c r="U1048" s="10" t="str">
        <f>IFERROR(__xludf.DUMMYFUNCTION("IF(COUNTA(Q1048:Q1673)=0,"""",IF(Q1048="""",0,IF(REGEXMATCH(Q1048,""^Sell_""),-ROUNDDOWN(ROUNDUP(INDEX(Upgrades!$C$3:$C$13,MATCH(SUBSTITUTE(Q1048,""Sell_"",""""),Upgrades!$B$3:$B$13,0))*1.15^(COUNTIF(Q$4:Q1047,SUBSTITUTE(Q1048,""Sell_"",""""))-COUNTIF(Q$4"&amp;":Q1047,""Sell_""&amp;SUBSTITUTE(Q1048,""Sell_"",""""))))/2),ROUNDUP(INDEX(Upgrades!$C$3:$C$13,MATCH(Q1048,Upgrades!$B$3:$B$13,0))*1.15^(COUNTIF(Q$4:Q1047,Q1048)-COUNTIF(Q$4:Q1047,""Sell_""&amp;Q1048))))))"),"")</f>
        <v/>
      </c>
      <c r="V1048" s="10" t="str">
        <f t="shared" si="11"/>
        <v/>
      </c>
      <c r="W1048" s="68" t="str">
        <f t="shared" si="12"/>
        <v/>
      </c>
      <c r="X1048" s="59" t="str">
        <f t="shared" si="13"/>
        <v/>
      </c>
      <c r="Y1048" s="69" t="str">
        <f t="shared" si="14"/>
        <v/>
      </c>
      <c r="Z1048" s="11"/>
    </row>
    <row r="1049">
      <c r="A1049" s="8"/>
      <c r="B1049" s="56" t="str">
        <f t="shared" si="2"/>
        <v/>
      </c>
      <c r="C1049" s="105"/>
      <c r="D1049" s="10"/>
      <c r="E1049" s="59" t="str">
        <f t="array" ref="E1049">IF(COUNTA(C1049:C1673)=0,"",SUM((COUNTIF(C$4:C1049,Upgrades!$B$3:$B$13)-COUNTIF(C$4:C1049,"Sell_"&amp;Upgrades!$B$3:$B$13))*Upgrades!$D$3:$D$13))</f>
        <v/>
      </c>
      <c r="F1049" s="66" t="str">
        <f>IFERROR(__xludf.DUMMYFUNCTION("IF(COUNTA(C1049:C1673)=0,"""",IF(REGEXMATCH(INDEX(FILTER(C$4:C1049,C$4:C1049&lt;&gt;""""),ROWS(FILTER(C$4:C1049,C$4:C1049&lt;&gt;""""))),""^Sell_""),INDEX(FILTER(F$4:F1048,C$4:C1048&lt;&gt;""""),ROWS(FILTER(C$4:C1048,C$4:C1048&lt;&gt;""""))),$AC$5+E1049))"),"")</f>
        <v/>
      </c>
      <c r="G1049" s="10" t="str">
        <f>IFERROR(__xludf.DUMMYFUNCTION("IF(COUNTA(C1049:C1673)=0,"""",IF(C1049="""",0,IF(REGEXMATCH(C1049,""^Sell_""),-ROUNDDOWN(ROUNDUP(INDEX(Upgrades!$C$3:$C$13,MATCH(SUBSTITUTE(C1049,""Sell_"",""""),Upgrades!$B$3:$B$13,0))*1.15^(COUNTIF(C$4:C1048,SUBSTITUTE(C1049,""Sell_"",""""))-COUNTIF(C$4"&amp;":C1048,""Sell_""&amp;SUBSTITUTE(C1049,""Sell_"",""""))))/2),ROUNDUP(INDEX(Upgrades!$C$3:$C$13,MATCH(C1049,Upgrades!$B$3:$B$13,0))*1.15^(COUNTIF(C$4:C1048,C1049)-COUNTIF(C$4:C1048,""Sell_""&amp;C1049))))))"),"")</f>
        <v/>
      </c>
      <c r="H1049" s="10" t="str">
        <f t="shared" si="3"/>
        <v/>
      </c>
      <c r="I1049" s="68" t="str">
        <f t="shared" si="4"/>
        <v/>
      </c>
      <c r="J1049" s="59" t="str">
        <f t="shared" si="5"/>
        <v/>
      </c>
      <c r="K1049" s="69" t="str">
        <f t="shared" si="6"/>
        <v/>
      </c>
      <c r="L1049" s="60" t="str">
        <f t="shared" si="7"/>
        <v/>
      </c>
      <c r="M1049" s="61" t="str">
        <f>IFERROR(__xludf.DUMMYFUNCTION("IFS(AND(COUNTA(C1049:C1673)=0,COUNTA(Q1049:Q1673)=0),"""",OR(AND(K1049&gt;=1000000000,OR(Y1049&gt;=1000000000,COUNTA(Q1049:Q1673)=0)),OR(Y1049&gt;=1000000000,AND(COUNTA(C1049:C1673)=0,P$3=TRUE))),
ROUNDDOWN((AB$1-AC$1)*MAX(INDEX(T$4:T1673,MATCH(LARGE(FILTER(Y$4:Y1"&amp;"673,Y$4:Y1673&lt;1000000000),1),Y$4:Y1673)),INDEX(F$4:F1673,MATCH(LARGE(FILTER(K$4:K1673,K$4:K1673&lt;1000000000),1),K$4:K1673)))),AND(K1049&lt;1000000000,COUNTA(C1049:C1673)&gt;0,P$3=FALSE),
ROUNDDOWN(INDEX(Y$4:Y1673,MATCH(LARGE(FILTER(W$4:W1673,W$4:W1673&lt;=I1049),1)"&amp;",W$4:W1673))+(I1049-LARGE(FILTER(W$4:W1673,W$4:W1673&lt;=I1049),1))*INDEX(T$4:T1673,MATCH(LARGE(FILTER(W$4:W1673,W$4:W1673&lt;=I1049),1),W$4:W1673))-K1049),1,
ROUNDDOWN(Y1049-INDEX(K$4:K1673,MATCH(LARGE(FILTER(I$4:I1673,I$4:I1673&lt;=W1049),1),I$4:I1673))-(W1049-L"&amp;"ARGE(FILTER(I$4:I1673,I$4:I1673&lt;=W1049),1))*INDEX(F$4:F1673,MATCH(LARGE(FILTER(I$4:I1673,I$4:I1673&lt;=W1049),1),I$4:I1673))))"),"")</f>
        <v/>
      </c>
      <c r="N1049" s="60" t="str">
        <f t="shared" si="8"/>
        <v/>
      </c>
      <c r="O1049" s="61" t="str">
        <f t="shared" si="9"/>
        <v/>
      </c>
      <c r="P1049" s="56" t="str">
        <f t="shared" si="10"/>
        <v/>
      </c>
      <c r="R1049" s="10"/>
      <c r="S1049" s="59" t="str">
        <f t="array" ref="S1049">IF(COUNTA(Q1049:Q1673)=0,"",SUM((COUNTIF(Q$4:Q1049,Upgrades!$B$3:$B$13)-COUNTIF(Q$4:Q1049,"Sell_"&amp;Upgrades!$B$3:$B$13))*Upgrades!$D$3:$D$13))</f>
        <v/>
      </c>
      <c r="T1049" s="66" t="str">
        <f>IFERROR(__xludf.DUMMYFUNCTION("IF(COUNTA(Q1049:Q1673)=0,"""",IF(REGEXMATCH(INDEX(FILTER(Q$4:Q1049,Q$4:Q1049&lt;&gt;""""),ROWS(FILTER(Q$4:Q1049,Q$4:Q1049&lt;&gt;""""))),""^Sell_""),INDEX(FILTER(T$4:T1048,Q$4:Q1048&lt;&gt;""""),ROWS(FILTER(Q$4:Q1048,Q$4:Q1048&lt;&gt;""""))),$AD$5+S1049))"),"")</f>
        <v/>
      </c>
      <c r="U1049" s="10" t="str">
        <f>IFERROR(__xludf.DUMMYFUNCTION("IF(COUNTA(Q1049:Q1673)=0,"""",IF(Q1049="""",0,IF(REGEXMATCH(Q1049,""^Sell_""),-ROUNDDOWN(ROUNDUP(INDEX(Upgrades!$C$3:$C$13,MATCH(SUBSTITUTE(Q1049,""Sell_"",""""),Upgrades!$B$3:$B$13,0))*1.15^(COUNTIF(Q$4:Q1048,SUBSTITUTE(Q1049,""Sell_"",""""))-COUNTIF(Q$4"&amp;":Q1048,""Sell_""&amp;SUBSTITUTE(Q1049,""Sell_"",""""))))/2),ROUNDUP(INDEX(Upgrades!$C$3:$C$13,MATCH(Q1049,Upgrades!$B$3:$B$13,0))*1.15^(COUNTIF(Q$4:Q1048,Q1049)-COUNTIF(Q$4:Q1048,""Sell_""&amp;Q1049))))))"),"")</f>
        <v/>
      </c>
      <c r="V1049" s="10" t="str">
        <f t="shared" si="11"/>
        <v/>
      </c>
      <c r="W1049" s="68" t="str">
        <f t="shared" si="12"/>
        <v/>
      </c>
      <c r="X1049" s="59" t="str">
        <f t="shared" si="13"/>
        <v/>
      </c>
      <c r="Y1049" s="69" t="str">
        <f t="shared" si="14"/>
        <v/>
      </c>
      <c r="Z1049" s="11"/>
    </row>
    <row r="1050">
      <c r="A1050" s="8"/>
      <c r="B1050" s="56" t="str">
        <f t="shared" si="2"/>
        <v/>
      </c>
      <c r="C1050" s="105"/>
      <c r="D1050" s="10"/>
      <c r="E1050" s="59" t="str">
        <f t="array" ref="E1050">IF(COUNTA(C1050:C1673)=0,"",SUM((COUNTIF(C$4:C1050,Upgrades!$B$3:$B$13)-COUNTIF(C$4:C1050,"Sell_"&amp;Upgrades!$B$3:$B$13))*Upgrades!$D$3:$D$13))</f>
        <v/>
      </c>
      <c r="F1050" s="66" t="str">
        <f>IFERROR(__xludf.DUMMYFUNCTION("IF(COUNTA(C1050:C1673)=0,"""",IF(REGEXMATCH(INDEX(FILTER(C$4:C1050,C$4:C1050&lt;&gt;""""),ROWS(FILTER(C$4:C1050,C$4:C1050&lt;&gt;""""))),""^Sell_""),INDEX(FILTER(F$4:F1049,C$4:C1049&lt;&gt;""""),ROWS(FILTER(C$4:C1049,C$4:C1049&lt;&gt;""""))),$AC$5+E1050))"),"")</f>
        <v/>
      </c>
      <c r="G1050" s="10" t="str">
        <f>IFERROR(__xludf.DUMMYFUNCTION("IF(COUNTA(C1050:C1673)=0,"""",IF(C1050="""",0,IF(REGEXMATCH(C1050,""^Sell_""),-ROUNDDOWN(ROUNDUP(INDEX(Upgrades!$C$3:$C$13,MATCH(SUBSTITUTE(C1050,""Sell_"",""""),Upgrades!$B$3:$B$13,0))*1.15^(COUNTIF(C$4:C1049,SUBSTITUTE(C1050,""Sell_"",""""))-COUNTIF(C$4"&amp;":C1049,""Sell_""&amp;SUBSTITUTE(C1050,""Sell_"",""""))))/2),ROUNDUP(INDEX(Upgrades!$C$3:$C$13,MATCH(C1050,Upgrades!$B$3:$B$13,0))*1.15^(COUNTIF(C$4:C1049,C1050)-COUNTIF(C$4:C1049,""Sell_""&amp;C1050))))))"),"")</f>
        <v/>
      </c>
      <c r="H1050" s="10" t="str">
        <f t="shared" si="3"/>
        <v/>
      </c>
      <c r="I1050" s="68" t="str">
        <f t="shared" si="4"/>
        <v/>
      </c>
      <c r="J1050" s="59" t="str">
        <f t="shared" si="5"/>
        <v/>
      </c>
      <c r="K1050" s="69" t="str">
        <f t="shared" si="6"/>
        <v/>
      </c>
      <c r="L1050" s="60" t="str">
        <f t="shared" si="7"/>
        <v/>
      </c>
      <c r="M1050" s="61" t="str">
        <f>IFERROR(__xludf.DUMMYFUNCTION("IFS(AND(COUNTA(C1050:C1673)=0,COUNTA(Q1050:Q1673)=0),"""",OR(AND(K1050&gt;=1000000000,OR(Y1050&gt;=1000000000,COUNTA(Q1050:Q1673)=0)),OR(Y1050&gt;=1000000000,AND(COUNTA(C1050:C1673)=0,P$3=TRUE))),
ROUNDDOWN((AB$1-AC$1)*MAX(INDEX(T$4:T1673,MATCH(LARGE(FILTER(Y$4:Y1"&amp;"673,Y$4:Y1673&lt;1000000000),1),Y$4:Y1673)),INDEX(F$4:F1673,MATCH(LARGE(FILTER(K$4:K1673,K$4:K1673&lt;1000000000),1),K$4:K1673)))),AND(K1050&lt;1000000000,COUNTA(C1050:C1673)&gt;0,P$3=FALSE),
ROUNDDOWN(INDEX(Y$4:Y1673,MATCH(LARGE(FILTER(W$4:W1673,W$4:W1673&lt;=I1050),1)"&amp;",W$4:W1673))+(I1050-LARGE(FILTER(W$4:W1673,W$4:W1673&lt;=I1050),1))*INDEX(T$4:T1673,MATCH(LARGE(FILTER(W$4:W1673,W$4:W1673&lt;=I1050),1),W$4:W1673))-K1050),1,
ROUNDDOWN(Y1050-INDEX(K$4:K1673,MATCH(LARGE(FILTER(I$4:I1673,I$4:I1673&lt;=W1050),1),I$4:I1673))-(W1050-L"&amp;"ARGE(FILTER(I$4:I1673,I$4:I1673&lt;=W1050),1))*INDEX(F$4:F1673,MATCH(LARGE(FILTER(I$4:I1673,I$4:I1673&lt;=W1050),1),I$4:I1673))))"),"")</f>
        <v/>
      </c>
      <c r="N1050" s="60" t="str">
        <f t="shared" si="8"/>
        <v/>
      </c>
      <c r="O1050" s="61" t="str">
        <f t="shared" si="9"/>
        <v/>
      </c>
      <c r="P1050" s="56" t="str">
        <f t="shared" si="10"/>
        <v/>
      </c>
      <c r="R1050" s="10"/>
      <c r="S1050" s="59" t="str">
        <f t="array" ref="S1050">IF(COUNTA(Q1050:Q1673)=0,"",SUM((COUNTIF(Q$4:Q1050,Upgrades!$B$3:$B$13)-COUNTIF(Q$4:Q1050,"Sell_"&amp;Upgrades!$B$3:$B$13))*Upgrades!$D$3:$D$13))</f>
        <v/>
      </c>
      <c r="T1050" s="66" t="str">
        <f>IFERROR(__xludf.DUMMYFUNCTION("IF(COUNTA(Q1050:Q1673)=0,"""",IF(REGEXMATCH(INDEX(FILTER(Q$4:Q1050,Q$4:Q1050&lt;&gt;""""),ROWS(FILTER(Q$4:Q1050,Q$4:Q1050&lt;&gt;""""))),""^Sell_""),INDEX(FILTER(T$4:T1049,Q$4:Q1049&lt;&gt;""""),ROWS(FILTER(Q$4:Q1049,Q$4:Q1049&lt;&gt;""""))),$AD$5+S1050))"),"")</f>
        <v/>
      </c>
      <c r="U1050" s="10" t="str">
        <f>IFERROR(__xludf.DUMMYFUNCTION("IF(COUNTA(Q1050:Q1673)=0,"""",IF(Q1050="""",0,IF(REGEXMATCH(Q1050,""^Sell_""),-ROUNDDOWN(ROUNDUP(INDEX(Upgrades!$C$3:$C$13,MATCH(SUBSTITUTE(Q1050,""Sell_"",""""),Upgrades!$B$3:$B$13,0))*1.15^(COUNTIF(Q$4:Q1049,SUBSTITUTE(Q1050,""Sell_"",""""))-COUNTIF(Q$4"&amp;":Q1049,""Sell_""&amp;SUBSTITUTE(Q1050,""Sell_"",""""))))/2),ROUNDUP(INDEX(Upgrades!$C$3:$C$13,MATCH(Q1050,Upgrades!$B$3:$B$13,0))*1.15^(COUNTIF(Q$4:Q1049,Q1050)-COUNTIF(Q$4:Q1049,""Sell_""&amp;Q1050))))))"),"")</f>
        <v/>
      </c>
      <c r="V1050" s="10" t="str">
        <f t="shared" si="11"/>
        <v/>
      </c>
      <c r="W1050" s="68" t="str">
        <f t="shared" si="12"/>
        <v/>
      </c>
      <c r="X1050" s="59" t="str">
        <f t="shared" si="13"/>
        <v/>
      </c>
      <c r="Y1050" s="69" t="str">
        <f t="shared" si="14"/>
        <v/>
      </c>
      <c r="Z1050" s="11"/>
    </row>
    <row r="1051">
      <c r="A1051" s="8"/>
      <c r="B1051" s="56" t="str">
        <f t="shared" si="2"/>
        <v/>
      </c>
      <c r="C1051" s="105"/>
      <c r="D1051" s="10"/>
      <c r="E1051" s="59" t="str">
        <f t="array" ref="E1051">IF(COUNTA(C1051:C1673)=0,"",SUM((COUNTIF(C$4:C1051,Upgrades!$B$3:$B$13)-COUNTIF(C$4:C1051,"Sell_"&amp;Upgrades!$B$3:$B$13))*Upgrades!$D$3:$D$13))</f>
        <v/>
      </c>
      <c r="F1051" s="66" t="str">
        <f>IFERROR(__xludf.DUMMYFUNCTION("IF(COUNTA(C1051:C1673)=0,"""",IF(REGEXMATCH(INDEX(FILTER(C$4:C1051,C$4:C1051&lt;&gt;""""),ROWS(FILTER(C$4:C1051,C$4:C1051&lt;&gt;""""))),""^Sell_""),INDEX(FILTER(F$4:F1050,C$4:C1050&lt;&gt;""""),ROWS(FILTER(C$4:C1050,C$4:C1050&lt;&gt;""""))),$AC$5+E1051))"),"")</f>
        <v/>
      </c>
      <c r="G1051" s="10" t="str">
        <f>IFERROR(__xludf.DUMMYFUNCTION("IF(COUNTA(C1051:C1673)=0,"""",IF(C1051="""",0,IF(REGEXMATCH(C1051,""^Sell_""),-ROUNDDOWN(ROUNDUP(INDEX(Upgrades!$C$3:$C$13,MATCH(SUBSTITUTE(C1051,""Sell_"",""""),Upgrades!$B$3:$B$13,0))*1.15^(COUNTIF(C$4:C1050,SUBSTITUTE(C1051,""Sell_"",""""))-COUNTIF(C$4"&amp;":C1050,""Sell_""&amp;SUBSTITUTE(C1051,""Sell_"",""""))))/2),ROUNDUP(INDEX(Upgrades!$C$3:$C$13,MATCH(C1051,Upgrades!$B$3:$B$13,0))*1.15^(COUNTIF(C$4:C1050,C1051)-COUNTIF(C$4:C1050,""Sell_""&amp;C1051))))))"),"")</f>
        <v/>
      </c>
      <c r="H1051" s="10" t="str">
        <f t="shared" si="3"/>
        <v/>
      </c>
      <c r="I1051" s="68" t="str">
        <f t="shared" si="4"/>
        <v/>
      </c>
      <c r="J1051" s="59" t="str">
        <f t="shared" si="5"/>
        <v/>
      </c>
      <c r="K1051" s="69" t="str">
        <f t="shared" si="6"/>
        <v/>
      </c>
      <c r="L1051" s="60" t="str">
        <f t="shared" si="7"/>
        <v/>
      </c>
      <c r="M1051" s="61" t="str">
        <f>IFERROR(__xludf.DUMMYFUNCTION("IFS(AND(COUNTA(C1051:C1673)=0,COUNTA(Q1051:Q1673)=0),"""",OR(AND(K1051&gt;=1000000000,OR(Y1051&gt;=1000000000,COUNTA(Q1051:Q1673)=0)),OR(Y1051&gt;=1000000000,AND(COUNTA(C1051:C1673)=0,P$3=TRUE))),
ROUNDDOWN((AB$1-AC$1)*MAX(INDEX(T$4:T1673,MATCH(LARGE(FILTER(Y$4:Y1"&amp;"673,Y$4:Y1673&lt;1000000000),1),Y$4:Y1673)),INDEX(F$4:F1673,MATCH(LARGE(FILTER(K$4:K1673,K$4:K1673&lt;1000000000),1),K$4:K1673)))),AND(K1051&lt;1000000000,COUNTA(C1051:C1673)&gt;0,P$3=FALSE),
ROUNDDOWN(INDEX(Y$4:Y1673,MATCH(LARGE(FILTER(W$4:W1673,W$4:W1673&lt;=I1051),1)"&amp;",W$4:W1673))+(I1051-LARGE(FILTER(W$4:W1673,W$4:W1673&lt;=I1051),1))*INDEX(T$4:T1673,MATCH(LARGE(FILTER(W$4:W1673,W$4:W1673&lt;=I1051),1),W$4:W1673))-K1051),1,
ROUNDDOWN(Y1051-INDEX(K$4:K1673,MATCH(LARGE(FILTER(I$4:I1673,I$4:I1673&lt;=W1051),1),I$4:I1673))-(W1051-L"&amp;"ARGE(FILTER(I$4:I1673,I$4:I1673&lt;=W1051),1))*INDEX(F$4:F1673,MATCH(LARGE(FILTER(I$4:I1673,I$4:I1673&lt;=W1051),1),I$4:I1673))))"),"")</f>
        <v/>
      </c>
      <c r="N1051" s="60" t="str">
        <f t="shared" si="8"/>
        <v/>
      </c>
      <c r="O1051" s="61" t="str">
        <f t="shared" si="9"/>
        <v/>
      </c>
      <c r="P1051" s="56" t="str">
        <f t="shared" si="10"/>
        <v/>
      </c>
      <c r="R1051" s="10"/>
      <c r="S1051" s="59" t="str">
        <f t="array" ref="S1051">IF(COUNTA(Q1051:Q1673)=0,"",SUM((COUNTIF(Q$4:Q1051,Upgrades!$B$3:$B$13)-COUNTIF(Q$4:Q1051,"Sell_"&amp;Upgrades!$B$3:$B$13))*Upgrades!$D$3:$D$13))</f>
        <v/>
      </c>
      <c r="T1051" s="66" t="str">
        <f>IFERROR(__xludf.DUMMYFUNCTION("IF(COUNTA(Q1051:Q1673)=0,"""",IF(REGEXMATCH(INDEX(FILTER(Q$4:Q1051,Q$4:Q1051&lt;&gt;""""),ROWS(FILTER(Q$4:Q1051,Q$4:Q1051&lt;&gt;""""))),""^Sell_""),INDEX(FILTER(T$4:T1050,Q$4:Q1050&lt;&gt;""""),ROWS(FILTER(Q$4:Q1050,Q$4:Q1050&lt;&gt;""""))),$AD$5+S1051))"),"")</f>
        <v/>
      </c>
      <c r="U1051" s="10" t="str">
        <f>IFERROR(__xludf.DUMMYFUNCTION("IF(COUNTA(Q1051:Q1673)=0,"""",IF(Q1051="""",0,IF(REGEXMATCH(Q1051,""^Sell_""),-ROUNDDOWN(ROUNDUP(INDEX(Upgrades!$C$3:$C$13,MATCH(SUBSTITUTE(Q1051,""Sell_"",""""),Upgrades!$B$3:$B$13,0))*1.15^(COUNTIF(Q$4:Q1050,SUBSTITUTE(Q1051,""Sell_"",""""))-COUNTIF(Q$4"&amp;":Q1050,""Sell_""&amp;SUBSTITUTE(Q1051,""Sell_"",""""))))/2),ROUNDUP(INDEX(Upgrades!$C$3:$C$13,MATCH(Q1051,Upgrades!$B$3:$B$13,0))*1.15^(COUNTIF(Q$4:Q1050,Q1051)-COUNTIF(Q$4:Q1050,""Sell_""&amp;Q1051))))))"),"")</f>
        <v/>
      </c>
      <c r="V1051" s="10" t="str">
        <f t="shared" si="11"/>
        <v/>
      </c>
      <c r="W1051" s="68" t="str">
        <f t="shared" si="12"/>
        <v/>
      </c>
      <c r="X1051" s="59" t="str">
        <f t="shared" si="13"/>
        <v/>
      </c>
      <c r="Y1051" s="69" t="str">
        <f t="shared" si="14"/>
        <v/>
      </c>
      <c r="Z1051" s="11"/>
    </row>
    <row r="1052">
      <c r="A1052" s="8"/>
      <c r="B1052" s="56" t="str">
        <f t="shared" si="2"/>
        <v/>
      </c>
      <c r="C1052" s="105"/>
      <c r="D1052" s="10"/>
      <c r="E1052" s="59" t="str">
        <f t="array" ref="E1052">IF(COUNTA(C1052:C1673)=0,"",SUM((COUNTIF(C$4:C1052,Upgrades!$B$3:$B$13)-COUNTIF(C$4:C1052,"Sell_"&amp;Upgrades!$B$3:$B$13))*Upgrades!$D$3:$D$13))</f>
        <v/>
      </c>
      <c r="F1052" s="66" t="str">
        <f>IFERROR(__xludf.DUMMYFUNCTION("IF(COUNTA(C1052:C1673)=0,"""",IF(REGEXMATCH(INDEX(FILTER(C$4:C1052,C$4:C1052&lt;&gt;""""),ROWS(FILTER(C$4:C1052,C$4:C1052&lt;&gt;""""))),""^Sell_""),INDEX(FILTER(F$4:F1051,C$4:C1051&lt;&gt;""""),ROWS(FILTER(C$4:C1051,C$4:C1051&lt;&gt;""""))),$AC$5+E1052))"),"")</f>
        <v/>
      </c>
      <c r="G1052" s="10" t="str">
        <f>IFERROR(__xludf.DUMMYFUNCTION("IF(COUNTA(C1052:C1673)=0,"""",IF(C1052="""",0,IF(REGEXMATCH(C1052,""^Sell_""),-ROUNDDOWN(ROUNDUP(INDEX(Upgrades!$C$3:$C$13,MATCH(SUBSTITUTE(C1052,""Sell_"",""""),Upgrades!$B$3:$B$13,0))*1.15^(COUNTIF(C$4:C1051,SUBSTITUTE(C1052,""Sell_"",""""))-COUNTIF(C$4"&amp;":C1051,""Sell_""&amp;SUBSTITUTE(C1052,""Sell_"",""""))))/2),ROUNDUP(INDEX(Upgrades!$C$3:$C$13,MATCH(C1052,Upgrades!$B$3:$B$13,0))*1.15^(COUNTIF(C$4:C1051,C1052)-COUNTIF(C$4:C1051,""Sell_""&amp;C1052))))))"),"")</f>
        <v/>
      </c>
      <c r="H1052" s="10" t="str">
        <f t="shared" si="3"/>
        <v/>
      </c>
      <c r="I1052" s="68" t="str">
        <f t="shared" si="4"/>
        <v/>
      </c>
      <c r="J1052" s="59" t="str">
        <f t="shared" si="5"/>
        <v/>
      </c>
      <c r="K1052" s="69" t="str">
        <f t="shared" si="6"/>
        <v/>
      </c>
      <c r="L1052" s="60" t="str">
        <f t="shared" si="7"/>
        <v/>
      </c>
      <c r="M1052" s="61" t="str">
        <f>IFERROR(__xludf.DUMMYFUNCTION("IFS(AND(COUNTA(C1052:C1673)=0,COUNTA(Q1052:Q1673)=0),"""",OR(AND(K1052&gt;=1000000000,OR(Y1052&gt;=1000000000,COUNTA(Q1052:Q1673)=0)),OR(Y1052&gt;=1000000000,AND(COUNTA(C1052:C1673)=0,P$3=TRUE))),
ROUNDDOWN((AB$1-AC$1)*MAX(INDEX(T$4:T1673,MATCH(LARGE(FILTER(Y$4:Y1"&amp;"673,Y$4:Y1673&lt;1000000000),1),Y$4:Y1673)),INDEX(F$4:F1673,MATCH(LARGE(FILTER(K$4:K1673,K$4:K1673&lt;1000000000),1),K$4:K1673)))),AND(K1052&lt;1000000000,COUNTA(C1052:C1673)&gt;0,P$3=FALSE),
ROUNDDOWN(INDEX(Y$4:Y1673,MATCH(LARGE(FILTER(W$4:W1673,W$4:W1673&lt;=I1052),1)"&amp;",W$4:W1673))+(I1052-LARGE(FILTER(W$4:W1673,W$4:W1673&lt;=I1052),1))*INDEX(T$4:T1673,MATCH(LARGE(FILTER(W$4:W1673,W$4:W1673&lt;=I1052),1),W$4:W1673))-K1052),1,
ROUNDDOWN(Y1052-INDEX(K$4:K1673,MATCH(LARGE(FILTER(I$4:I1673,I$4:I1673&lt;=W1052),1),I$4:I1673))-(W1052-L"&amp;"ARGE(FILTER(I$4:I1673,I$4:I1673&lt;=W1052),1))*INDEX(F$4:F1673,MATCH(LARGE(FILTER(I$4:I1673,I$4:I1673&lt;=W1052),1),I$4:I1673))))"),"")</f>
        <v/>
      </c>
      <c r="N1052" s="60" t="str">
        <f t="shared" si="8"/>
        <v/>
      </c>
      <c r="O1052" s="61" t="str">
        <f t="shared" si="9"/>
        <v/>
      </c>
      <c r="P1052" s="56" t="str">
        <f t="shared" si="10"/>
        <v/>
      </c>
      <c r="R1052" s="10"/>
      <c r="S1052" s="59" t="str">
        <f t="array" ref="S1052">IF(COUNTA(Q1052:Q1673)=0,"",SUM((COUNTIF(Q$4:Q1052,Upgrades!$B$3:$B$13)-COUNTIF(Q$4:Q1052,"Sell_"&amp;Upgrades!$B$3:$B$13))*Upgrades!$D$3:$D$13))</f>
        <v/>
      </c>
      <c r="T1052" s="66" t="str">
        <f>IFERROR(__xludf.DUMMYFUNCTION("IF(COUNTA(Q1052:Q1673)=0,"""",IF(REGEXMATCH(INDEX(FILTER(Q$4:Q1052,Q$4:Q1052&lt;&gt;""""),ROWS(FILTER(Q$4:Q1052,Q$4:Q1052&lt;&gt;""""))),""^Sell_""),INDEX(FILTER(T$4:T1051,Q$4:Q1051&lt;&gt;""""),ROWS(FILTER(Q$4:Q1051,Q$4:Q1051&lt;&gt;""""))),$AD$5+S1052))"),"")</f>
        <v/>
      </c>
      <c r="U1052" s="10" t="str">
        <f>IFERROR(__xludf.DUMMYFUNCTION("IF(COUNTA(Q1052:Q1673)=0,"""",IF(Q1052="""",0,IF(REGEXMATCH(Q1052,""^Sell_""),-ROUNDDOWN(ROUNDUP(INDEX(Upgrades!$C$3:$C$13,MATCH(SUBSTITUTE(Q1052,""Sell_"",""""),Upgrades!$B$3:$B$13,0))*1.15^(COUNTIF(Q$4:Q1051,SUBSTITUTE(Q1052,""Sell_"",""""))-COUNTIF(Q$4"&amp;":Q1051,""Sell_""&amp;SUBSTITUTE(Q1052,""Sell_"",""""))))/2),ROUNDUP(INDEX(Upgrades!$C$3:$C$13,MATCH(Q1052,Upgrades!$B$3:$B$13,0))*1.15^(COUNTIF(Q$4:Q1051,Q1052)-COUNTIF(Q$4:Q1051,""Sell_""&amp;Q1052))))))"),"")</f>
        <v/>
      </c>
      <c r="V1052" s="10" t="str">
        <f t="shared" si="11"/>
        <v/>
      </c>
      <c r="W1052" s="68" t="str">
        <f t="shared" si="12"/>
        <v/>
      </c>
      <c r="X1052" s="59" t="str">
        <f t="shared" si="13"/>
        <v/>
      </c>
      <c r="Y1052" s="69" t="str">
        <f t="shared" si="14"/>
        <v/>
      </c>
      <c r="Z1052" s="11"/>
    </row>
    <row r="1053">
      <c r="A1053" s="8"/>
      <c r="B1053" s="56" t="str">
        <f t="shared" si="2"/>
        <v/>
      </c>
      <c r="C1053" s="105"/>
      <c r="D1053" s="10"/>
      <c r="E1053" s="59" t="str">
        <f t="array" ref="E1053">IF(COUNTA(C1053:C1673)=0,"",SUM((COUNTIF(C$4:C1053,Upgrades!$B$3:$B$13)-COUNTIF(C$4:C1053,"Sell_"&amp;Upgrades!$B$3:$B$13))*Upgrades!$D$3:$D$13))</f>
        <v/>
      </c>
      <c r="F1053" s="66" t="str">
        <f>IFERROR(__xludf.DUMMYFUNCTION("IF(COUNTA(C1053:C1673)=0,"""",IF(REGEXMATCH(INDEX(FILTER(C$4:C1053,C$4:C1053&lt;&gt;""""),ROWS(FILTER(C$4:C1053,C$4:C1053&lt;&gt;""""))),""^Sell_""),INDEX(FILTER(F$4:F1052,C$4:C1052&lt;&gt;""""),ROWS(FILTER(C$4:C1052,C$4:C1052&lt;&gt;""""))),$AC$5+E1053))"),"")</f>
        <v/>
      </c>
      <c r="G1053" s="10" t="str">
        <f>IFERROR(__xludf.DUMMYFUNCTION("IF(COUNTA(C1053:C1673)=0,"""",IF(C1053="""",0,IF(REGEXMATCH(C1053,""^Sell_""),-ROUNDDOWN(ROUNDUP(INDEX(Upgrades!$C$3:$C$13,MATCH(SUBSTITUTE(C1053,""Sell_"",""""),Upgrades!$B$3:$B$13,0))*1.15^(COUNTIF(C$4:C1052,SUBSTITUTE(C1053,""Sell_"",""""))-COUNTIF(C$4"&amp;":C1052,""Sell_""&amp;SUBSTITUTE(C1053,""Sell_"",""""))))/2),ROUNDUP(INDEX(Upgrades!$C$3:$C$13,MATCH(C1053,Upgrades!$B$3:$B$13,0))*1.15^(COUNTIF(C$4:C1052,C1053)-COUNTIF(C$4:C1052,""Sell_""&amp;C1053))))))"),"")</f>
        <v/>
      </c>
      <c r="H1053" s="10" t="str">
        <f t="shared" si="3"/>
        <v/>
      </c>
      <c r="I1053" s="68" t="str">
        <f t="shared" si="4"/>
        <v/>
      </c>
      <c r="J1053" s="59" t="str">
        <f t="shared" si="5"/>
        <v/>
      </c>
      <c r="K1053" s="69" t="str">
        <f t="shared" si="6"/>
        <v/>
      </c>
      <c r="L1053" s="60" t="str">
        <f t="shared" si="7"/>
        <v/>
      </c>
      <c r="M1053" s="61" t="str">
        <f>IFERROR(__xludf.DUMMYFUNCTION("IFS(AND(COUNTA(C1053:C1673)=0,COUNTA(Q1053:Q1673)=0),"""",OR(AND(K1053&gt;=1000000000,OR(Y1053&gt;=1000000000,COUNTA(Q1053:Q1673)=0)),OR(Y1053&gt;=1000000000,AND(COUNTA(C1053:C1673)=0,P$3=TRUE))),
ROUNDDOWN((AB$1-AC$1)*MAX(INDEX(T$4:T1673,MATCH(LARGE(FILTER(Y$4:Y1"&amp;"673,Y$4:Y1673&lt;1000000000),1),Y$4:Y1673)),INDEX(F$4:F1673,MATCH(LARGE(FILTER(K$4:K1673,K$4:K1673&lt;1000000000),1),K$4:K1673)))),AND(K1053&lt;1000000000,COUNTA(C1053:C1673)&gt;0,P$3=FALSE),
ROUNDDOWN(INDEX(Y$4:Y1673,MATCH(LARGE(FILTER(W$4:W1673,W$4:W1673&lt;=I1053),1)"&amp;",W$4:W1673))+(I1053-LARGE(FILTER(W$4:W1673,W$4:W1673&lt;=I1053),1))*INDEX(T$4:T1673,MATCH(LARGE(FILTER(W$4:W1673,W$4:W1673&lt;=I1053),1),W$4:W1673))-K1053),1,
ROUNDDOWN(Y1053-INDEX(K$4:K1673,MATCH(LARGE(FILTER(I$4:I1673,I$4:I1673&lt;=W1053),1),I$4:I1673))-(W1053-L"&amp;"ARGE(FILTER(I$4:I1673,I$4:I1673&lt;=W1053),1))*INDEX(F$4:F1673,MATCH(LARGE(FILTER(I$4:I1673,I$4:I1673&lt;=W1053),1),I$4:I1673))))"),"")</f>
        <v/>
      </c>
      <c r="N1053" s="60" t="str">
        <f t="shared" si="8"/>
        <v/>
      </c>
      <c r="O1053" s="61" t="str">
        <f t="shared" si="9"/>
        <v/>
      </c>
      <c r="P1053" s="56" t="str">
        <f t="shared" si="10"/>
        <v/>
      </c>
      <c r="R1053" s="10"/>
      <c r="S1053" s="59" t="str">
        <f t="array" ref="S1053">IF(COUNTA(Q1053:Q1673)=0,"",SUM((COUNTIF(Q$4:Q1053,Upgrades!$B$3:$B$13)-COUNTIF(Q$4:Q1053,"Sell_"&amp;Upgrades!$B$3:$B$13))*Upgrades!$D$3:$D$13))</f>
        <v/>
      </c>
      <c r="T1053" s="66" t="str">
        <f>IFERROR(__xludf.DUMMYFUNCTION("IF(COUNTA(Q1053:Q1673)=0,"""",IF(REGEXMATCH(INDEX(FILTER(Q$4:Q1053,Q$4:Q1053&lt;&gt;""""),ROWS(FILTER(Q$4:Q1053,Q$4:Q1053&lt;&gt;""""))),""^Sell_""),INDEX(FILTER(T$4:T1052,Q$4:Q1052&lt;&gt;""""),ROWS(FILTER(Q$4:Q1052,Q$4:Q1052&lt;&gt;""""))),$AD$5+S1053))"),"")</f>
        <v/>
      </c>
      <c r="U1053" s="10" t="str">
        <f>IFERROR(__xludf.DUMMYFUNCTION("IF(COUNTA(Q1053:Q1673)=0,"""",IF(Q1053="""",0,IF(REGEXMATCH(Q1053,""^Sell_""),-ROUNDDOWN(ROUNDUP(INDEX(Upgrades!$C$3:$C$13,MATCH(SUBSTITUTE(Q1053,""Sell_"",""""),Upgrades!$B$3:$B$13,0))*1.15^(COUNTIF(Q$4:Q1052,SUBSTITUTE(Q1053,""Sell_"",""""))-COUNTIF(Q$4"&amp;":Q1052,""Sell_""&amp;SUBSTITUTE(Q1053,""Sell_"",""""))))/2),ROUNDUP(INDEX(Upgrades!$C$3:$C$13,MATCH(Q1053,Upgrades!$B$3:$B$13,0))*1.15^(COUNTIF(Q$4:Q1052,Q1053)-COUNTIF(Q$4:Q1052,""Sell_""&amp;Q1053))))))"),"")</f>
        <v/>
      </c>
      <c r="V1053" s="10" t="str">
        <f t="shared" si="11"/>
        <v/>
      </c>
      <c r="W1053" s="68" t="str">
        <f t="shared" si="12"/>
        <v/>
      </c>
      <c r="X1053" s="59" t="str">
        <f t="shared" si="13"/>
        <v/>
      </c>
      <c r="Y1053" s="69" t="str">
        <f t="shared" si="14"/>
        <v/>
      </c>
      <c r="Z1053" s="11"/>
    </row>
    <row r="1054">
      <c r="A1054" s="8"/>
      <c r="B1054" s="56" t="str">
        <f t="shared" si="2"/>
        <v/>
      </c>
      <c r="C1054" s="105"/>
      <c r="D1054" s="10"/>
      <c r="E1054" s="59" t="str">
        <f t="array" ref="E1054">IF(COUNTA(C1054:C1673)=0,"",SUM((COUNTIF(C$4:C1054,Upgrades!$B$3:$B$13)-COUNTIF(C$4:C1054,"Sell_"&amp;Upgrades!$B$3:$B$13))*Upgrades!$D$3:$D$13))</f>
        <v/>
      </c>
      <c r="F1054" s="66" t="str">
        <f>IFERROR(__xludf.DUMMYFUNCTION("IF(COUNTA(C1054:C1673)=0,"""",IF(REGEXMATCH(INDEX(FILTER(C$4:C1054,C$4:C1054&lt;&gt;""""),ROWS(FILTER(C$4:C1054,C$4:C1054&lt;&gt;""""))),""^Sell_""),INDEX(FILTER(F$4:F1053,C$4:C1053&lt;&gt;""""),ROWS(FILTER(C$4:C1053,C$4:C1053&lt;&gt;""""))),$AC$5+E1054))"),"")</f>
        <v/>
      </c>
      <c r="G1054" s="10" t="str">
        <f>IFERROR(__xludf.DUMMYFUNCTION("IF(COUNTA(C1054:C1673)=0,"""",IF(C1054="""",0,IF(REGEXMATCH(C1054,""^Sell_""),-ROUNDDOWN(ROUNDUP(INDEX(Upgrades!$C$3:$C$13,MATCH(SUBSTITUTE(C1054,""Sell_"",""""),Upgrades!$B$3:$B$13,0))*1.15^(COUNTIF(C$4:C1053,SUBSTITUTE(C1054,""Sell_"",""""))-COUNTIF(C$4"&amp;":C1053,""Sell_""&amp;SUBSTITUTE(C1054,""Sell_"",""""))))/2),ROUNDUP(INDEX(Upgrades!$C$3:$C$13,MATCH(C1054,Upgrades!$B$3:$B$13,0))*1.15^(COUNTIF(C$4:C1053,C1054)-COUNTIF(C$4:C1053,""Sell_""&amp;C1054))))))"),"")</f>
        <v/>
      </c>
      <c r="H1054" s="10" t="str">
        <f t="shared" si="3"/>
        <v/>
      </c>
      <c r="I1054" s="68" t="str">
        <f t="shared" si="4"/>
        <v/>
      </c>
      <c r="J1054" s="59" t="str">
        <f t="shared" si="5"/>
        <v/>
      </c>
      <c r="K1054" s="69" t="str">
        <f t="shared" si="6"/>
        <v/>
      </c>
      <c r="L1054" s="60" t="str">
        <f t="shared" si="7"/>
        <v/>
      </c>
      <c r="M1054" s="61" t="str">
        <f>IFERROR(__xludf.DUMMYFUNCTION("IFS(AND(COUNTA(C1054:C1673)=0,COUNTA(Q1054:Q1673)=0),"""",OR(AND(K1054&gt;=1000000000,OR(Y1054&gt;=1000000000,COUNTA(Q1054:Q1673)=0)),OR(Y1054&gt;=1000000000,AND(COUNTA(C1054:C1673)=0,P$3=TRUE))),
ROUNDDOWN((AB$1-AC$1)*MAX(INDEX(T$4:T1673,MATCH(LARGE(FILTER(Y$4:Y1"&amp;"673,Y$4:Y1673&lt;1000000000),1),Y$4:Y1673)),INDEX(F$4:F1673,MATCH(LARGE(FILTER(K$4:K1673,K$4:K1673&lt;1000000000),1),K$4:K1673)))),AND(K1054&lt;1000000000,COUNTA(C1054:C1673)&gt;0,P$3=FALSE),
ROUNDDOWN(INDEX(Y$4:Y1673,MATCH(LARGE(FILTER(W$4:W1673,W$4:W1673&lt;=I1054),1)"&amp;",W$4:W1673))+(I1054-LARGE(FILTER(W$4:W1673,W$4:W1673&lt;=I1054),1))*INDEX(T$4:T1673,MATCH(LARGE(FILTER(W$4:W1673,W$4:W1673&lt;=I1054),1),W$4:W1673))-K1054),1,
ROUNDDOWN(Y1054-INDEX(K$4:K1673,MATCH(LARGE(FILTER(I$4:I1673,I$4:I1673&lt;=W1054),1),I$4:I1673))-(W1054-L"&amp;"ARGE(FILTER(I$4:I1673,I$4:I1673&lt;=W1054),1))*INDEX(F$4:F1673,MATCH(LARGE(FILTER(I$4:I1673,I$4:I1673&lt;=W1054),1),I$4:I1673))))"),"")</f>
        <v/>
      </c>
      <c r="N1054" s="60" t="str">
        <f t="shared" si="8"/>
        <v/>
      </c>
      <c r="O1054" s="61" t="str">
        <f t="shared" si="9"/>
        <v/>
      </c>
      <c r="P1054" s="56" t="str">
        <f t="shared" si="10"/>
        <v/>
      </c>
      <c r="R1054" s="10"/>
      <c r="S1054" s="59" t="str">
        <f t="array" ref="S1054">IF(COUNTA(Q1054:Q1673)=0,"",SUM((COUNTIF(Q$4:Q1054,Upgrades!$B$3:$B$13)-COUNTIF(Q$4:Q1054,"Sell_"&amp;Upgrades!$B$3:$B$13))*Upgrades!$D$3:$D$13))</f>
        <v/>
      </c>
      <c r="T1054" s="66" t="str">
        <f>IFERROR(__xludf.DUMMYFUNCTION("IF(COUNTA(Q1054:Q1673)=0,"""",IF(REGEXMATCH(INDEX(FILTER(Q$4:Q1054,Q$4:Q1054&lt;&gt;""""),ROWS(FILTER(Q$4:Q1054,Q$4:Q1054&lt;&gt;""""))),""^Sell_""),INDEX(FILTER(T$4:T1053,Q$4:Q1053&lt;&gt;""""),ROWS(FILTER(Q$4:Q1053,Q$4:Q1053&lt;&gt;""""))),$AD$5+S1054))"),"")</f>
        <v/>
      </c>
      <c r="U1054" s="10" t="str">
        <f>IFERROR(__xludf.DUMMYFUNCTION("IF(COUNTA(Q1054:Q1673)=0,"""",IF(Q1054="""",0,IF(REGEXMATCH(Q1054,""^Sell_""),-ROUNDDOWN(ROUNDUP(INDEX(Upgrades!$C$3:$C$13,MATCH(SUBSTITUTE(Q1054,""Sell_"",""""),Upgrades!$B$3:$B$13,0))*1.15^(COUNTIF(Q$4:Q1053,SUBSTITUTE(Q1054,""Sell_"",""""))-COUNTIF(Q$4"&amp;":Q1053,""Sell_""&amp;SUBSTITUTE(Q1054,""Sell_"",""""))))/2),ROUNDUP(INDEX(Upgrades!$C$3:$C$13,MATCH(Q1054,Upgrades!$B$3:$B$13,0))*1.15^(COUNTIF(Q$4:Q1053,Q1054)-COUNTIF(Q$4:Q1053,""Sell_""&amp;Q1054))))))"),"")</f>
        <v/>
      </c>
      <c r="V1054" s="10" t="str">
        <f t="shared" si="11"/>
        <v/>
      </c>
      <c r="W1054" s="68" t="str">
        <f t="shared" si="12"/>
        <v/>
      </c>
      <c r="X1054" s="59" t="str">
        <f t="shared" si="13"/>
        <v/>
      </c>
      <c r="Y1054" s="69" t="str">
        <f t="shared" si="14"/>
        <v/>
      </c>
      <c r="Z1054" s="11"/>
    </row>
    <row r="1055">
      <c r="A1055" s="8"/>
      <c r="B1055" s="56" t="str">
        <f t="shared" si="2"/>
        <v/>
      </c>
      <c r="C1055" s="105"/>
      <c r="D1055" s="10"/>
      <c r="E1055" s="59" t="str">
        <f t="array" ref="E1055">IF(COUNTA(C1055:C1673)=0,"",SUM((COUNTIF(C$4:C1055,Upgrades!$B$3:$B$13)-COUNTIF(C$4:C1055,"Sell_"&amp;Upgrades!$B$3:$B$13))*Upgrades!$D$3:$D$13))</f>
        <v/>
      </c>
      <c r="F1055" s="66" t="str">
        <f>IFERROR(__xludf.DUMMYFUNCTION("IF(COUNTA(C1055:C1673)=0,"""",IF(REGEXMATCH(INDEX(FILTER(C$4:C1055,C$4:C1055&lt;&gt;""""),ROWS(FILTER(C$4:C1055,C$4:C1055&lt;&gt;""""))),""^Sell_""),INDEX(FILTER(F$4:F1054,C$4:C1054&lt;&gt;""""),ROWS(FILTER(C$4:C1054,C$4:C1054&lt;&gt;""""))),$AC$5+E1055))"),"")</f>
        <v/>
      </c>
      <c r="G1055" s="10" t="str">
        <f>IFERROR(__xludf.DUMMYFUNCTION("IF(COUNTA(C1055:C1673)=0,"""",IF(C1055="""",0,IF(REGEXMATCH(C1055,""^Sell_""),-ROUNDDOWN(ROUNDUP(INDEX(Upgrades!$C$3:$C$13,MATCH(SUBSTITUTE(C1055,""Sell_"",""""),Upgrades!$B$3:$B$13,0))*1.15^(COUNTIF(C$4:C1054,SUBSTITUTE(C1055,""Sell_"",""""))-COUNTIF(C$4"&amp;":C1054,""Sell_""&amp;SUBSTITUTE(C1055,""Sell_"",""""))))/2),ROUNDUP(INDEX(Upgrades!$C$3:$C$13,MATCH(C1055,Upgrades!$B$3:$B$13,0))*1.15^(COUNTIF(C$4:C1054,C1055)-COUNTIF(C$4:C1054,""Sell_""&amp;C1055))))))"),"")</f>
        <v/>
      </c>
      <c r="H1055" s="10" t="str">
        <f t="shared" si="3"/>
        <v/>
      </c>
      <c r="I1055" s="68" t="str">
        <f t="shared" si="4"/>
        <v/>
      </c>
      <c r="J1055" s="59" t="str">
        <f t="shared" si="5"/>
        <v/>
      </c>
      <c r="K1055" s="69" t="str">
        <f t="shared" si="6"/>
        <v/>
      </c>
      <c r="L1055" s="60" t="str">
        <f t="shared" si="7"/>
        <v/>
      </c>
      <c r="M1055" s="61" t="str">
        <f>IFERROR(__xludf.DUMMYFUNCTION("IFS(AND(COUNTA(C1055:C1673)=0,COUNTA(Q1055:Q1673)=0),"""",OR(AND(K1055&gt;=1000000000,OR(Y1055&gt;=1000000000,COUNTA(Q1055:Q1673)=0)),OR(Y1055&gt;=1000000000,AND(COUNTA(C1055:C1673)=0,P$3=TRUE))),
ROUNDDOWN((AB$1-AC$1)*MAX(INDEX(T$4:T1673,MATCH(LARGE(FILTER(Y$4:Y1"&amp;"673,Y$4:Y1673&lt;1000000000),1),Y$4:Y1673)),INDEX(F$4:F1673,MATCH(LARGE(FILTER(K$4:K1673,K$4:K1673&lt;1000000000),1),K$4:K1673)))),AND(K1055&lt;1000000000,COUNTA(C1055:C1673)&gt;0,P$3=FALSE),
ROUNDDOWN(INDEX(Y$4:Y1673,MATCH(LARGE(FILTER(W$4:W1673,W$4:W1673&lt;=I1055),1)"&amp;",W$4:W1673))+(I1055-LARGE(FILTER(W$4:W1673,W$4:W1673&lt;=I1055),1))*INDEX(T$4:T1673,MATCH(LARGE(FILTER(W$4:W1673,W$4:W1673&lt;=I1055),1),W$4:W1673))-K1055),1,
ROUNDDOWN(Y1055-INDEX(K$4:K1673,MATCH(LARGE(FILTER(I$4:I1673,I$4:I1673&lt;=W1055),1),I$4:I1673))-(W1055-L"&amp;"ARGE(FILTER(I$4:I1673,I$4:I1673&lt;=W1055),1))*INDEX(F$4:F1673,MATCH(LARGE(FILTER(I$4:I1673,I$4:I1673&lt;=W1055),1),I$4:I1673))))"),"")</f>
        <v/>
      </c>
      <c r="N1055" s="60" t="str">
        <f t="shared" si="8"/>
        <v/>
      </c>
      <c r="O1055" s="61" t="str">
        <f t="shared" si="9"/>
        <v/>
      </c>
      <c r="P1055" s="56" t="str">
        <f t="shared" si="10"/>
        <v/>
      </c>
      <c r="R1055" s="10"/>
      <c r="S1055" s="59" t="str">
        <f t="array" ref="S1055">IF(COUNTA(Q1055:Q1673)=0,"",SUM((COUNTIF(Q$4:Q1055,Upgrades!$B$3:$B$13)-COUNTIF(Q$4:Q1055,"Sell_"&amp;Upgrades!$B$3:$B$13))*Upgrades!$D$3:$D$13))</f>
        <v/>
      </c>
      <c r="T1055" s="66" t="str">
        <f>IFERROR(__xludf.DUMMYFUNCTION("IF(COUNTA(Q1055:Q1673)=0,"""",IF(REGEXMATCH(INDEX(FILTER(Q$4:Q1055,Q$4:Q1055&lt;&gt;""""),ROWS(FILTER(Q$4:Q1055,Q$4:Q1055&lt;&gt;""""))),""^Sell_""),INDEX(FILTER(T$4:T1054,Q$4:Q1054&lt;&gt;""""),ROWS(FILTER(Q$4:Q1054,Q$4:Q1054&lt;&gt;""""))),$AD$5+S1055))"),"")</f>
        <v/>
      </c>
      <c r="U1055" s="10" t="str">
        <f>IFERROR(__xludf.DUMMYFUNCTION("IF(COUNTA(Q1055:Q1673)=0,"""",IF(Q1055="""",0,IF(REGEXMATCH(Q1055,""^Sell_""),-ROUNDDOWN(ROUNDUP(INDEX(Upgrades!$C$3:$C$13,MATCH(SUBSTITUTE(Q1055,""Sell_"",""""),Upgrades!$B$3:$B$13,0))*1.15^(COUNTIF(Q$4:Q1054,SUBSTITUTE(Q1055,""Sell_"",""""))-COUNTIF(Q$4"&amp;":Q1054,""Sell_""&amp;SUBSTITUTE(Q1055,""Sell_"",""""))))/2),ROUNDUP(INDEX(Upgrades!$C$3:$C$13,MATCH(Q1055,Upgrades!$B$3:$B$13,0))*1.15^(COUNTIF(Q$4:Q1054,Q1055)-COUNTIF(Q$4:Q1054,""Sell_""&amp;Q1055))))))"),"")</f>
        <v/>
      </c>
      <c r="V1055" s="10" t="str">
        <f t="shared" si="11"/>
        <v/>
      </c>
      <c r="W1055" s="68" t="str">
        <f t="shared" si="12"/>
        <v/>
      </c>
      <c r="X1055" s="59" t="str">
        <f t="shared" si="13"/>
        <v/>
      </c>
      <c r="Y1055" s="69" t="str">
        <f t="shared" si="14"/>
        <v/>
      </c>
      <c r="Z1055" s="11"/>
    </row>
    <row r="1056">
      <c r="A1056" s="8"/>
      <c r="B1056" s="56" t="str">
        <f t="shared" si="2"/>
        <v/>
      </c>
      <c r="C1056" s="105"/>
      <c r="D1056" s="10"/>
      <c r="E1056" s="59" t="str">
        <f t="array" ref="E1056">IF(COUNTA(C1056:C1673)=0,"",SUM((COUNTIF(C$4:C1056,Upgrades!$B$3:$B$13)-COUNTIF(C$4:C1056,"Sell_"&amp;Upgrades!$B$3:$B$13))*Upgrades!$D$3:$D$13))</f>
        <v/>
      </c>
      <c r="F1056" s="66" t="str">
        <f>IFERROR(__xludf.DUMMYFUNCTION("IF(COUNTA(C1056:C1673)=0,"""",IF(REGEXMATCH(INDEX(FILTER(C$4:C1056,C$4:C1056&lt;&gt;""""),ROWS(FILTER(C$4:C1056,C$4:C1056&lt;&gt;""""))),""^Sell_""),INDEX(FILTER(F$4:F1055,C$4:C1055&lt;&gt;""""),ROWS(FILTER(C$4:C1055,C$4:C1055&lt;&gt;""""))),$AC$5+E1056))"),"")</f>
        <v/>
      </c>
      <c r="G1056" s="10" t="str">
        <f>IFERROR(__xludf.DUMMYFUNCTION("IF(COUNTA(C1056:C1673)=0,"""",IF(C1056="""",0,IF(REGEXMATCH(C1056,""^Sell_""),-ROUNDDOWN(ROUNDUP(INDEX(Upgrades!$C$3:$C$13,MATCH(SUBSTITUTE(C1056,""Sell_"",""""),Upgrades!$B$3:$B$13,0))*1.15^(COUNTIF(C$4:C1055,SUBSTITUTE(C1056,""Sell_"",""""))-COUNTIF(C$4"&amp;":C1055,""Sell_""&amp;SUBSTITUTE(C1056,""Sell_"",""""))))/2),ROUNDUP(INDEX(Upgrades!$C$3:$C$13,MATCH(C1056,Upgrades!$B$3:$B$13,0))*1.15^(COUNTIF(C$4:C1055,C1056)-COUNTIF(C$4:C1055,""Sell_""&amp;C1056))))))"),"")</f>
        <v/>
      </c>
      <c r="H1056" s="10" t="str">
        <f t="shared" si="3"/>
        <v/>
      </c>
      <c r="I1056" s="68" t="str">
        <f t="shared" si="4"/>
        <v/>
      </c>
      <c r="J1056" s="59" t="str">
        <f t="shared" si="5"/>
        <v/>
      </c>
      <c r="K1056" s="69" t="str">
        <f t="shared" si="6"/>
        <v/>
      </c>
      <c r="L1056" s="60" t="str">
        <f t="shared" si="7"/>
        <v/>
      </c>
      <c r="M1056" s="61" t="str">
        <f>IFERROR(__xludf.DUMMYFUNCTION("IFS(AND(COUNTA(C1056:C1673)=0,COUNTA(Q1056:Q1673)=0),"""",OR(AND(K1056&gt;=1000000000,OR(Y1056&gt;=1000000000,COUNTA(Q1056:Q1673)=0)),OR(Y1056&gt;=1000000000,AND(COUNTA(C1056:C1673)=0,P$3=TRUE))),
ROUNDDOWN((AB$1-AC$1)*MAX(INDEX(T$4:T1673,MATCH(LARGE(FILTER(Y$4:Y1"&amp;"673,Y$4:Y1673&lt;1000000000),1),Y$4:Y1673)),INDEX(F$4:F1673,MATCH(LARGE(FILTER(K$4:K1673,K$4:K1673&lt;1000000000),1),K$4:K1673)))),AND(K1056&lt;1000000000,COUNTA(C1056:C1673)&gt;0,P$3=FALSE),
ROUNDDOWN(INDEX(Y$4:Y1673,MATCH(LARGE(FILTER(W$4:W1673,W$4:W1673&lt;=I1056),1)"&amp;",W$4:W1673))+(I1056-LARGE(FILTER(W$4:W1673,W$4:W1673&lt;=I1056),1))*INDEX(T$4:T1673,MATCH(LARGE(FILTER(W$4:W1673,W$4:W1673&lt;=I1056),1),W$4:W1673))-K1056),1,
ROUNDDOWN(Y1056-INDEX(K$4:K1673,MATCH(LARGE(FILTER(I$4:I1673,I$4:I1673&lt;=W1056),1),I$4:I1673))-(W1056-L"&amp;"ARGE(FILTER(I$4:I1673,I$4:I1673&lt;=W1056),1))*INDEX(F$4:F1673,MATCH(LARGE(FILTER(I$4:I1673,I$4:I1673&lt;=W1056),1),I$4:I1673))))"),"")</f>
        <v/>
      </c>
      <c r="N1056" s="60" t="str">
        <f t="shared" si="8"/>
        <v/>
      </c>
      <c r="O1056" s="61" t="str">
        <f t="shared" si="9"/>
        <v/>
      </c>
      <c r="P1056" s="56" t="str">
        <f t="shared" si="10"/>
        <v/>
      </c>
      <c r="R1056" s="10"/>
      <c r="S1056" s="59" t="str">
        <f t="array" ref="S1056">IF(COUNTA(Q1056:Q1673)=0,"",SUM((COUNTIF(Q$4:Q1056,Upgrades!$B$3:$B$13)-COUNTIF(Q$4:Q1056,"Sell_"&amp;Upgrades!$B$3:$B$13))*Upgrades!$D$3:$D$13))</f>
        <v/>
      </c>
      <c r="T1056" s="66" t="str">
        <f>IFERROR(__xludf.DUMMYFUNCTION("IF(COUNTA(Q1056:Q1673)=0,"""",IF(REGEXMATCH(INDEX(FILTER(Q$4:Q1056,Q$4:Q1056&lt;&gt;""""),ROWS(FILTER(Q$4:Q1056,Q$4:Q1056&lt;&gt;""""))),""^Sell_""),INDEX(FILTER(T$4:T1055,Q$4:Q1055&lt;&gt;""""),ROWS(FILTER(Q$4:Q1055,Q$4:Q1055&lt;&gt;""""))),$AD$5+S1056))"),"")</f>
        <v/>
      </c>
      <c r="U1056" s="10" t="str">
        <f>IFERROR(__xludf.DUMMYFUNCTION("IF(COUNTA(Q1056:Q1673)=0,"""",IF(Q1056="""",0,IF(REGEXMATCH(Q1056,""^Sell_""),-ROUNDDOWN(ROUNDUP(INDEX(Upgrades!$C$3:$C$13,MATCH(SUBSTITUTE(Q1056,""Sell_"",""""),Upgrades!$B$3:$B$13,0))*1.15^(COUNTIF(Q$4:Q1055,SUBSTITUTE(Q1056,""Sell_"",""""))-COUNTIF(Q$4"&amp;":Q1055,""Sell_""&amp;SUBSTITUTE(Q1056,""Sell_"",""""))))/2),ROUNDUP(INDEX(Upgrades!$C$3:$C$13,MATCH(Q1056,Upgrades!$B$3:$B$13,0))*1.15^(COUNTIF(Q$4:Q1055,Q1056)-COUNTIF(Q$4:Q1055,""Sell_""&amp;Q1056))))))"),"")</f>
        <v/>
      </c>
      <c r="V1056" s="10" t="str">
        <f t="shared" si="11"/>
        <v/>
      </c>
      <c r="W1056" s="68" t="str">
        <f t="shared" si="12"/>
        <v/>
      </c>
      <c r="X1056" s="59" t="str">
        <f t="shared" si="13"/>
        <v/>
      </c>
      <c r="Y1056" s="69" t="str">
        <f t="shared" si="14"/>
        <v/>
      </c>
      <c r="Z1056" s="11"/>
    </row>
    <row r="1057">
      <c r="A1057" s="8"/>
      <c r="B1057" s="56" t="str">
        <f t="shared" si="2"/>
        <v/>
      </c>
      <c r="C1057" s="105"/>
      <c r="D1057" s="10"/>
      <c r="E1057" s="59" t="str">
        <f t="array" ref="E1057">IF(COUNTA(C1057:C1673)=0,"",SUM((COUNTIF(C$4:C1057,Upgrades!$B$3:$B$13)-COUNTIF(C$4:C1057,"Sell_"&amp;Upgrades!$B$3:$B$13))*Upgrades!$D$3:$D$13))</f>
        <v/>
      </c>
      <c r="F1057" s="66" t="str">
        <f>IFERROR(__xludf.DUMMYFUNCTION("IF(COUNTA(C1057:C1673)=0,"""",IF(REGEXMATCH(INDEX(FILTER(C$4:C1057,C$4:C1057&lt;&gt;""""),ROWS(FILTER(C$4:C1057,C$4:C1057&lt;&gt;""""))),""^Sell_""),INDEX(FILTER(F$4:F1056,C$4:C1056&lt;&gt;""""),ROWS(FILTER(C$4:C1056,C$4:C1056&lt;&gt;""""))),$AC$5+E1057))"),"")</f>
        <v/>
      </c>
      <c r="G1057" s="10" t="str">
        <f>IFERROR(__xludf.DUMMYFUNCTION("IF(COUNTA(C1057:C1673)=0,"""",IF(C1057="""",0,IF(REGEXMATCH(C1057,""^Sell_""),-ROUNDDOWN(ROUNDUP(INDEX(Upgrades!$C$3:$C$13,MATCH(SUBSTITUTE(C1057,""Sell_"",""""),Upgrades!$B$3:$B$13,0))*1.15^(COUNTIF(C$4:C1056,SUBSTITUTE(C1057,""Sell_"",""""))-COUNTIF(C$4"&amp;":C1056,""Sell_""&amp;SUBSTITUTE(C1057,""Sell_"",""""))))/2),ROUNDUP(INDEX(Upgrades!$C$3:$C$13,MATCH(C1057,Upgrades!$B$3:$B$13,0))*1.15^(COUNTIF(C$4:C1056,C1057)-COUNTIF(C$4:C1056,""Sell_""&amp;C1057))))))"),"")</f>
        <v/>
      </c>
      <c r="H1057" s="10" t="str">
        <f t="shared" si="3"/>
        <v/>
      </c>
      <c r="I1057" s="68" t="str">
        <f t="shared" si="4"/>
        <v/>
      </c>
      <c r="J1057" s="59" t="str">
        <f t="shared" si="5"/>
        <v/>
      </c>
      <c r="K1057" s="69" t="str">
        <f t="shared" si="6"/>
        <v/>
      </c>
      <c r="L1057" s="60" t="str">
        <f t="shared" si="7"/>
        <v/>
      </c>
      <c r="M1057" s="61" t="str">
        <f>IFERROR(__xludf.DUMMYFUNCTION("IFS(AND(COUNTA(C1057:C1673)=0,COUNTA(Q1057:Q1673)=0),"""",OR(AND(K1057&gt;=1000000000,OR(Y1057&gt;=1000000000,COUNTA(Q1057:Q1673)=0)),OR(Y1057&gt;=1000000000,AND(COUNTA(C1057:C1673)=0,P$3=TRUE))),
ROUNDDOWN((AB$1-AC$1)*MAX(INDEX(T$4:T1673,MATCH(LARGE(FILTER(Y$4:Y1"&amp;"673,Y$4:Y1673&lt;1000000000),1),Y$4:Y1673)),INDEX(F$4:F1673,MATCH(LARGE(FILTER(K$4:K1673,K$4:K1673&lt;1000000000),1),K$4:K1673)))),AND(K1057&lt;1000000000,COUNTA(C1057:C1673)&gt;0,P$3=FALSE),
ROUNDDOWN(INDEX(Y$4:Y1673,MATCH(LARGE(FILTER(W$4:W1673,W$4:W1673&lt;=I1057),1)"&amp;",W$4:W1673))+(I1057-LARGE(FILTER(W$4:W1673,W$4:W1673&lt;=I1057),1))*INDEX(T$4:T1673,MATCH(LARGE(FILTER(W$4:W1673,W$4:W1673&lt;=I1057),1),W$4:W1673))-K1057),1,
ROUNDDOWN(Y1057-INDEX(K$4:K1673,MATCH(LARGE(FILTER(I$4:I1673,I$4:I1673&lt;=W1057),1),I$4:I1673))-(W1057-L"&amp;"ARGE(FILTER(I$4:I1673,I$4:I1673&lt;=W1057),1))*INDEX(F$4:F1673,MATCH(LARGE(FILTER(I$4:I1673,I$4:I1673&lt;=W1057),1),I$4:I1673))))"),"")</f>
        <v/>
      </c>
      <c r="N1057" s="60" t="str">
        <f t="shared" si="8"/>
        <v/>
      </c>
      <c r="O1057" s="61" t="str">
        <f t="shared" si="9"/>
        <v/>
      </c>
      <c r="P1057" s="56" t="str">
        <f t="shared" si="10"/>
        <v/>
      </c>
      <c r="R1057" s="10"/>
      <c r="S1057" s="59" t="str">
        <f t="array" ref="S1057">IF(COUNTA(Q1057:Q1673)=0,"",SUM((COUNTIF(Q$4:Q1057,Upgrades!$B$3:$B$13)-COUNTIF(Q$4:Q1057,"Sell_"&amp;Upgrades!$B$3:$B$13))*Upgrades!$D$3:$D$13))</f>
        <v/>
      </c>
      <c r="T1057" s="66" t="str">
        <f>IFERROR(__xludf.DUMMYFUNCTION("IF(COUNTA(Q1057:Q1673)=0,"""",IF(REGEXMATCH(INDEX(FILTER(Q$4:Q1057,Q$4:Q1057&lt;&gt;""""),ROWS(FILTER(Q$4:Q1057,Q$4:Q1057&lt;&gt;""""))),""^Sell_""),INDEX(FILTER(T$4:T1056,Q$4:Q1056&lt;&gt;""""),ROWS(FILTER(Q$4:Q1056,Q$4:Q1056&lt;&gt;""""))),$AD$5+S1057))"),"")</f>
        <v/>
      </c>
      <c r="U1057" s="10" t="str">
        <f>IFERROR(__xludf.DUMMYFUNCTION("IF(COUNTA(Q1057:Q1673)=0,"""",IF(Q1057="""",0,IF(REGEXMATCH(Q1057,""^Sell_""),-ROUNDDOWN(ROUNDUP(INDEX(Upgrades!$C$3:$C$13,MATCH(SUBSTITUTE(Q1057,""Sell_"",""""),Upgrades!$B$3:$B$13,0))*1.15^(COUNTIF(Q$4:Q1056,SUBSTITUTE(Q1057,""Sell_"",""""))-COUNTIF(Q$4"&amp;":Q1056,""Sell_""&amp;SUBSTITUTE(Q1057,""Sell_"",""""))))/2),ROUNDUP(INDEX(Upgrades!$C$3:$C$13,MATCH(Q1057,Upgrades!$B$3:$B$13,0))*1.15^(COUNTIF(Q$4:Q1056,Q1057)-COUNTIF(Q$4:Q1056,""Sell_""&amp;Q1057))))))"),"")</f>
        <v/>
      </c>
      <c r="V1057" s="10" t="str">
        <f t="shared" si="11"/>
        <v/>
      </c>
      <c r="W1057" s="68" t="str">
        <f t="shared" si="12"/>
        <v/>
      </c>
      <c r="X1057" s="59" t="str">
        <f t="shared" si="13"/>
        <v/>
      </c>
      <c r="Y1057" s="69" t="str">
        <f t="shared" si="14"/>
        <v/>
      </c>
      <c r="Z1057" s="11"/>
    </row>
    <row r="1058">
      <c r="A1058" s="8"/>
      <c r="B1058" s="56" t="str">
        <f t="shared" si="2"/>
        <v/>
      </c>
      <c r="C1058" s="105"/>
      <c r="D1058" s="10"/>
      <c r="E1058" s="59" t="str">
        <f t="array" ref="E1058">IF(COUNTA(C1058:C1673)=0,"",SUM((COUNTIF(C$4:C1058,Upgrades!$B$3:$B$13)-COUNTIF(C$4:C1058,"Sell_"&amp;Upgrades!$B$3:$B$13))*Upgrades!$D$3:$D$13))</f>
        <v/>
      </c>
      <c r="F1058" s="66" t="str">
        <f>IFERROR(__xludf.DUMMYFUNCTION("IF(COUNTA(C1058:C1673)=0,"""",IF(REGEXMATCH(INDEX(FILTER(C$4:C1058,C$4:C1058&lt;&gt;""""),ROWS(FILTER(C$4:C1058,C$4:C1058&lt;&gt;""""))),""^Sell_""),INDEX(FILTER(F$4:F1057,C$4:C1057&lt;&gt;""""),ROWS(FILTER(C$4:C1057,C$4:C1057&lt;&gt;""""))),$AC$5+E1058))"),"")</f>
        <v/>
      </c>
      <c r="G1058" s="10" t="str">
        <f>IFERROR(__xludf.DUMMYFUNCTION("IF(COUNTA(C1058:C1673)=0,"""",IF(C1058="""",0,IF(REGEXMATCH(C1058,""^Sell_""),-ROUNDDOWN(ROUNDUP(INDEX(Upgrades!$C$3:$C$13,MATCH(SUBSTITUTE(C1058,""Sell_"",""""),Upgrades!$B$3:$B$13,0))*1.15^(COUNTIF(C$4:C1057,SUBSTITUTE(C1058,""Sell_"",""""))-COUNTIF(C$4"&amp;":C1057,""Sell_""&amp;SUBSTITUTE(C1058,""Sell_"",""""))))/2),ROUNDUP(INDEX(Upgrades!$C$3:$C$13,MATCH(C1058,Upgrades!$B$3:$B$13,0))*1.15^(COUNTIF(C$4:C1057,C1058)-COUNTIF(C$4:C1057,""Sell_""&amp;C1058))))))"),"")</f>
        <v/>
      </c>
      <c r="H1058" s="10" t="str">
        <f t="shared" si="3"/>
        <v/>
      </c>
      <c r="I1058" s="68" t="str">
        <f t="shared" si="4"/>
        <v/>
      </c>
      <c r="J1058" s="59" t="str">
        <f t="shared" si="5"/>
        <v/>
      </c>
      <c r="K1058" s="69" t="str">
        <f t="shared" si="6"/>
        <v/>
      </c>
      <c r="L1058" s="60" t="str">
        <f t="shared" si="7"/>
        <v/>
      </c>
      <c r="M1058" s="61" t="str">
        <f>IFERROR(__xludf.DUMMYFUNCTION("IFS(AND(COUNTA(C1058:C1673)=0,COUNTA(Q1058:Q1673)=0),"""",OR(AND(K1058&gt;=1000000000,OR(Y1058&gt;=1000000000,COUNTA(Q1058:Q1673)=0)),OR(Y1058&gt;=1000000000,AND(COUNTA(C1058:C1673)=0,P$3=TRUE))),
ROUNDDOWN((AB$1-AC$1)*MAX(INDEX(T$4:T1673,MATCH(LARGE(FILTER(Y$4:Y1"&amp;"673,Y$4:Y1673&lt;1000000000),1),Y$4:Y1673)),INDEX(F$4:F1673,MATCH(LARGE(FILTER(K$4:K1673,K$4:K1673&lt;1000000000),1),K$4:K1673)))),AND(K1058&lt;1000000000,COUNTA(C1058:C1673)&gt;0,P$3=FALSE),
ROUNDDOWN(INDEX(Y$4:Y1673,MATCH(LARGE(FILTER(W$4:W1673,W$4:W1673&lt;=I1058),1)"&amp;",W$4:W1673))+(I1058-LARGE(FILTER(W$4:W1673,W$4:W1673&lt;=I1058),1))*INDEX(T$4:T1673,MATCH(LARGE(FILTER(W$4:W1673,W$4:W1673&lt;=I1058),1),W$4:W1673))-K1058),1,
ROUNDDOWN(Y1058-INDEX(K$4:K1673,MATCH(LARGE(FILTER(I$4:I1673,I$4:I1673&lt;=W1058),1),I$4:I1673))-(W1058-L"&amp;"ARGE(FILTER(I$4:I1673,I$4:I1673&lt;=W1058),1))*INDEX(F$4:F1673,MATCH(LARGE(FILTER(I$4:I1673,I$4:I1673&lt;=W1058),1),I$4:I1673))))"),"")</f>
        <v/>
      </c>
      <c r="N1058" s="60" t="str">
        <f t="shared" si="8"/>
        <v/>
      </c>
      <c r="O1058" s="61" t="str">
        <f t="shared" si="9"/>
        <v/>
      </c>
      <c r="P1058" s="56" t="str">
        <f t="shared" si="10"/>
        <v/>
      </c>
      <c r="R1058" s="10"/>
      <c r="S1058" s="59" t="str">
        <f t="array" ref="S1058">IF(COUNTA(Q1058:Q1673)=0,"",SUM((COUNTIF(Q$4:Q1058,Upgrades!$B$3:$B$13)-COUNTIF(Q$4:Q1058,"Sell_"&amp;Upgrades!$B$3:$B$13))*Upgrades!$D$3:$D$13))</f>
        <v/>
      </c>
      <c r="T1058" s="66" t="str">
        <f>IFERROR(__xludf.DUMMYFUNCTION("IF(COUNTA(Q1058:Q1673)=0,"""",IF(REGEXMATCH(INDEX(FILTER(Q$4:Q1058,Q$4:Q1058&lt;&gt;""""),ROWS(FILTER(Q$4:Q1058,Q$4:Q1058&lt;&gt;""""))),""^Sell_""),INDEX(FILTER(T$4:T1057,Q$4:Q1057&lt;&gt;""""),ROWS(FILTER(Q$4:Q1057,Q$4:Q1057&lt;&gt;""""))),$AD$5+S1058))"),"")</f>
        <v/>
      </c>
      <c r="U1058" s="10" t="str">
        <f>IFERROR(__xludf.DUMMYFUNCTION("IF(COUNTA(Q1058:Q1673)=0,"""",IF(Q1058="""",0,IF(REGEXMATCH(Q1058,""^Sell_""),-ROUNDDOWN(ROUNDUP(INDEX(Upgrades!$C$3:$C$13,MATCH(SUBSTITUTE(Q1058,""Sell_"",""""),Upgrades!$B$3:$B$13,0))*1.15^(COUNTIF(Q$4:Q1057,SUBSTITUTE(Q1058,""Sell_"",""""))-COUNTIF(Q$4"&amp;":Q1057,""Sell_""&amp;SUBSTITUTE(Q1058,""Sell_"",""""))))/2),ROUNDUP(INDEX(Upgrades!$C$3:$C$13,MATCH(Q1058,Upgrades!$B$3:$B$13,0))*1.15^(COUNTIF(Q$4:Q1057,Q1058)-COUNTIF(Q$4:Q1057,""Sell_""&amp;Q1058))))))"),"")</f>
        <v/>
      </c>
      <c r="V1058" s="10" t="str">
        <f t="shared" si="11"/>
        <v/>
      </c>
      <c r="W1058" s="68" t="str">
        <f t="shared" si="12"/>
        <v/>
      </c>
      <c r="X1058" s="59" t="str">
        <f t="shared" si="13"/>
        <v/>
      </c>
      <c r="Y1058" s="69" t="str">
        <f t="shared" si="14"/>
        <v/>
      </c>
      <c r="Z1058" s="11"/>
    </row>
    <row r="1059">
      <c r="A1059" s="8"/>
      <c r="B1059" s="56" t="str">
        <f t="shared" si="2"/>
        <v/>
      </c>
      <c r="C1059" s="105"/>
      <c r="D1059" s="10"/>
      <c r="E1059" s="59" t="str">
        <f t="array" ref="E1059">IF(COUNTA(C1059:C1673)=0,"",SUM((COUNTIF(C$4:C1059,Upgrades!$B$3:$B$13)-COUNTIF(C$4:C1059,"Sell_"&amp;Upgrades!$B$3:$B$13))*Upgrades!$D$3:$D$13))</f>
        <v/>
      </c>
      <c r="F1059" s="66" t="str">
        <f>IFERROR(__xludf.DUMMYFUNCTION("IF(COUNTA(C1059:C1673)=0,"""",IF(REGEXMATCH(INDEX(FILTER(C$4:C1059,C$4:C1059&lt;&gt;""""),ROWS(FILTER(C$4:C1059,C$4:C1059&lt;&gt;""""))),""^Sell_""),INDEX(FILTER(F$4:F1058,C$4:C1058&lt;&gt;""""),ROWS(FILTER(C$4:C1058,C$4:C1058&lt;&gt;""""))),$AC$5+E1059))"),"")</f>
        <v/>
      </c>
      <c r="G1059" s="10" t="str">
        <f>IFERROR(__xludf.DUMMYFUNCTION("IF(COUNTA(C1059:C1673)=0,"""",IF(C1059="""",0,IF(REGEXMATCH(C1059,""^Sell_""),-ROUNDDOWN(ROUNDUP(INDEX(Upgrades!$C$3:$C$13,MATCH(SUBSTITUTE(C1059,""Sell_"",""""),Upgrades!$B$3:$B$13,0))*1.15^(COUNTIF(C$4:C1058,SUBSTITUTE(C1059,""Sell_"",""""))-COUNTIF(C$4"&amp;":C1058,""Sell_""&amp;SUBSTITUTE(C1059,""Sell_"",""""))))/2),ROUNDUP(INDEX(Upgrades!$C$3:$C$13,MATCH(C1059,Upgrades!$B$3:$B$13,0))*1.15^(COUNTIF(C$4:C1058,C1059)-COUNTIF(C$4:C1058,""Sell_""&amp;C1059))))))"),"")</f>
        <v/>
      </c>
      <c r="H1059" s="10" t="str">
        <f t="shared" si="3"/>
        <v/>
      </c>
      <c r="I1059" s="68" t="str">
        <f t="shared" si="4"/>
        <v/>
      </c>
      <c r="J1059" s="59" t="str">
        <f t="shared" si="5"/>
        <v/>
      </c>
      <c r="K1059" s="69" t="str">
        <f t="shared" si="6"/>
        <v/>
      </c>
      <c r="L1059" s="60" t="str">
        <f t="shared" si="7"/>
        <v/>
      </c>
      <c r="M1059" s="61" t="str">
        <f>IFERROR(__xludf.DUMMYFUNCTION("IFS(AND(COUNTA(C1059:C1673)=0,COUNTA(Q1059:Q1673)=0),"""",OR(AND(K1059&gt;=1000000000,OR(Y1059&gt;=1000000000,COUNTA(Q1059:Q1673)=0)),OR(Y1059&gt;=1000000000,AND(COUNTA(C1059:C1673)=0,P$3=TRUE))),
ROUNDDOWN((AB$1-AC$1)*MAX(INDEX(T$4:T1673,MATCH(LARGE(FILTER(Y$4:Y1"&amp;"673,Y$4:Y1673&lt;1000000000),1),Y$4:Y1673)),INDEX(F$4:F1673,MATCH(LARGE(FILTER(K$4:K1673,K$4:K1673&lt;1000000000),1),K$4:K1673)))),AND(K1059&lt;1000000000,COUNTA(C1059:C1673)&gt;0,P$3=FALSE),
ROUNDDOWN(INDEX(Y$4:Y1673,MATCH(LARGE(FILTER(W$4:W1673,W$4:W1673&lt;=I1059),1)"&amp;",W$4:W1673))+(I1059-LARGE(FILTER(W$4:W1673,W$4:W1673&lt;=I1059),1))*INDEX(T$4:T1673,MATCH(LARGE(FILTER(W$4:W1673,W$4:W1673&lt;=I1059),1),W$4:W1673))-K1059),1,
ROUNDDOWN(Y1059-INDEX(K$4:K1673,MATCH(LARGE(FILTER(I$4:I1673,I$4:I1673&lt;=W1059),1),I$4:I1673))-(W1059-L"&amp;"ARGE(FILTER(I$4:I1673,I$4:I1673&lt;=W1059),1))*INDEX(F$4:F1673,MATCH(LARGE(FILTER(I$4:I1673,I$4:I1673&lt;=W1059),1),I$4:I1673))))"),"")</f>
        <v/>
      </c>
      <c r="N1059" s="60" t="str">
        <f t="shared" si="8"/>
        <v/>
      </c>
      <c r="O1059" s="61" t="str">
        <f t="shared" si="9"/>
        <v/>
      </c>
      <c r="P1059" s="56" t="str">
        <f t="shared" si="10"/>
        <v/>
      </c>
      <c r="R1059" s="10"/>
      <c r="S1059" s="59" t="str">
        <f t="array" ref="S1059">IF(COUNTA(Q1059:Q1673)=0,"",SUM((COUNTIF(Q$4:Q1059,Upgrades!$B$3:$B$13)-COUNTIF(Q$4:Q1059,"Sell_"&amp;Upgrades!$B$3:$B$13))*Upgrades!$D$3:$D$13))</f>
        <v/>
      </c>
      <c r="T1059" s="66" t="str">
        <f>IFERROR(__xludf.DUMMYFUNCTION("IF(COUNTA(Q1059:Q1673)=0,"""",IF(REGEXMATCH(INDEX(FILTER(Q$4:Q1059,Q$4:Q1059&lt;&gt;""""),ROWS(FILTER(Q$4:Q1059,Q$4:Q1059&lt;&gt;""""))),""^Sell_""),INDEX(FILTER(T$4:T1058,Q$4:Q1058&lt;&gt;""""),ROWS(FILTER(Q$4:Q1058,Q$4:Q1058&lt;&gt;""""))),$AD$5+S1059))"),"")</f>
        <v/>
      </c>
      <c r="U1059" s="10" t="str">
        <f>IFERROR(__xludf.DUMMYFUNCTION("IF(COUNTA(Q1059:Q1673)=0,"""",IF(Q1059="""",0,IF(REGEXMATCH(Q1059,""^Sell_""),-ROUNDDOWN(ROUNDUP(INDEX(Upgrades!$C$3:$C$13,MATCH(SUBSTITUTE(Q1059,""Sell_"",""""),Upgrades!$B$3:$B$13,0))*1.15^(COUNTIF(Q$4:Q1058,SUBSTITUTE(Q1059,""Sell_"",""""))-COUNTIF(Q$4"&amp;":Q1058,""Sell_""&amp;SUBSTITUTE(Q1059,""Sell_"",""""))))/2),ROUNDUP(INDEX(Upgrades!$C$3:$C$13,MATCH(Q1059,Upgrades!$B$3:$B$13,0))*1.15^(COUNTIF(Q$4:Q1058,Q1059)-COUNTIF(Q$4:Q1058,""Sell_""&amp;Q1059))))))"),"")</f>
        <v/>
      </c>
      <c r="V1059" s="10" t="str">
        <f t="shared" si="11"/>
        <v/>
      </c>
      <c r="W1059" s="68" t="str">
        <f t="shared" si="12"/>
        <v/>
      </c>
      <c r="X1059" s="59" t="str">
        <f t="shared" si="13"/>
        <v/>
      </c>
      <c r="Y1059" s="69" t="str">
        <f t="shared" si="14"/>
        <v/>
      </c>
      <c r="Z1059" s="11"/>
    </row>
    <row r="1060">
      <c r="A1060" s="8"/>
      <c r="B1060" s="56" t="str">
        <f t="shared" si="2"/>
        <v/>
      </c>
      <c r="C1060" s="105"/>
      <c r="D1060" s="10"/>
      <c r="E1060" s="59" t="str">
        <f t="array" ref="E1060">IF(COUNTA(C1060:C1673)=0,"",SUM((COUNTIF(C$4:C1060,Upgrades!$B$3:$B$13)-COUNTIF(C$4:C1060,"Sell_"&amp;Upgrades!$B$3:$B$13))*Upgrades!$D$3:$D$13))</f>
        <v/>
      </c>
      <c r="F1060" s="66" t="str">
        <f>IFERROR(__xludf.DUMMYFUNCTION("IF(COUNTA(C1060:C1673)=0,"""",IF(REGEXMATCH(INDEX(FILTER(C$4:C1060,C$4:C1060&lt;&gt;""""),ROWS(FILTER(C$4:C1060,C$4:C1060&lt;&gt;""""))),""^Sell_""),INDEX(FILTER(F$4:F1059,C$4:C1059&lt;&gt;""""),ROWS(FILTER(C$4:C1059,C$4:C1059&lt;&gt;""""))),$AC$5+E1060))"),"")</f>
        <v/>
      </c>
      <c r="G1060" s="10" t="str">
        <f>IFERROR(__xludf.DUMMYFUNCTION("IF(COUNTA(C1060:C1673)=0,"""",IF(C1060="""",0,IF(REGEXMATCH(C1060,""^Sell_""),-ROUNDDOWN(ROUNDUP(INDEX(Upgrades!$C$3:$C$13,MATCH(SUBSTITUTE(C1060,""Sell_"",""""),Upgrades!$B$3:$B$13,0))*1.15^(COUNTIF(C$4:C1059,SUBSTITUTE(C1060,""Sell_"",""""))-COUNTIF(C$4"&amp;":C1059,""Sell_""&amp;SUBSTITUTE(C1060,""Sell_"",""""))))/2),ROUNDUP(INDEX(Upgrades!$C$3:$C$13,MATCH(C1060,Upgrades!$B$3:$B$13,0))*1.15^(COUNTIF(C$4:C1059,C1060)-COUNTIF(C$4:C1059,""Sell_""&amp;C1060))))))"),"")</f>
        <v/>
      </c>
      <c r="H1060" s="10" t="str">
        <f t="shared" si="3"/>
        <v/>
      </c>
      <c r="I1060" s="68" t="str">
        <f t="shared" si="4"/>
        <v/>
      </c>
      <c r="J1060" s="59" t="str">
        <f t="shared" si="5"/>
        <v/>
      </c>
      <c r="K1060" s="69" t="str">
        <f t="shared" si="6"/>
        <v/>
      </c>
      <c r="L1060" s="60" t="str">
        <f t="shared" si="7"/>
        <v/>
      </c>
      <c r="M1060" s="61" t="str">
        <f>IFERROR(__xludf.DUMMYFUNCTION("IFS(AND(COUNTA(C1060:C1673)=0,COUNTA(Q1060:Q1673)=0),"""",OR(AND(K1060&gt;=1000000000,OR(Y1060&gt;=1000000000,COUNTA(Q1060:Q1673)=0)),OR(Y1060&gt;=1000000000,AND(COUNTA(C1060:C1673)=0,P$3=TRUE))),
ROUNDDOWN((AB$1-AC$1)*MAX(INDEX(T$4:T1673,MATCH(LARGE(FILTER(Y$4:Y1"&amp;"673,Y$4:Y1673&lt;1000000000),1),Y$4:Y1673)),INDEX(F$4:F1673,MATCH(LARGE(FILTER(K$4:K1673,K$4:K1673&lt;1000000000),1),K$4:K1673)))),AND(K1060&lt;1000000000,COUNTA(C1060:C1673)&gt;0,P$3=FALSE),
ROUNDDOWN(INDEX(Y$4:Y1673,MATCH(LARGE(FILTER(W$4:W1673,W$4:W1673&lt;=I1060),1)"&amp;",W$4:W1673))+(I1060-LARGE(FILTER(W$4:W1673,W$4:W1673&lt;=I1060),1))*INDEX(T$4:T1673,MATCH(LARGE(FILTER(W$4:W1673,W$4:W1673&lt;=I1060),1),W$4:W1673))-K1060),1,
ROUNDDOWN(Y1060-INDEX(K$4:K1673,MATCH(LARGE(FILTER(I$4:I1673,I$4:I1673&lt;=W1060),1),I$4:I1673))-(W1060-L"&amp;"ARGE(FILTER(I$4:I1673,I$4:I1673&lt;=W1060),1))*INDEX(F$4:F1673,MATCH(LARGE(FILTER(I$4:I1673,I$4:I1673&lt;=W1060),1),I$4:I1673))))"),"")</f>
        <v/>
      </c>
      <c r="N1060" s="60" t="str">
        <f t="shared" si="8"/>
        <v/>
      </c>
      <c r="O1060" s="61" t="str">
        <f t="shared" si="9"/>
        <v/>
      </c>
      <c r="P1060" s="56" t="str">
        <f t="shared" si="10"/>
        <v/>
      </c>
      <c r="R1060" s="10"/>
      <c r="S1060" s="59" t="str">
        <f t="array" ref="S1060">IF(COUNTA(Q1060:Q1673)=0,"",SUM((COUNTIF(Q$4:Q1060,Upgrades!$B$3:$B$13)-COUNTIF(Q$4:Q1060,"Sell_"&amp;Upgrades!$B$3:$B$13))*Upgrades!$D$3:$D$13))</f>
        <v/>
      </c>
      <c r="T1060" s="66" t="str">
        <f>IFERROR(__xludf.DUMMYFUNCTION("IF(COUNTA(Q1060:Q1673)=0,"""",IF(REGEXMATCH(INDEX(FILTER(Q$4:Q1060,Q$4:Q1060&lt;&gt;""""),ROWS(FILTER(Q$4:Q1060,Q$4:Q1060&lt;&gt;""""))),""^Sell_""),INDEX(FILTER(T$4:T1059,Q$4:Q1059&lt;&gt;""""),ROWS(FILTER(Q$4:Q1059,Q$4:Q1059&lt;&gt;""""))),$AD$5+S1060))"),"")</f>
        <v/>
      </c>
      <c r="U1060" s="10" t="str">
        <f>IFERROR(__xludf.DUMMYFUNCTION("IF(COUNTA(Q1060:Q1673)=0,"""",IF(Q1060="""",0,IF(REGEXMATCH(Q1060,""^Sell_""),-ROUNDDOWN(ROUNDUP(INDEX(Upgrades!$C$3:$C$13,MATCH(SUBSTITUTE(Q1060,""Sell_"",""""),Upgrades!$B$3:$B$13,0))*1.15^(COUNTIF(Q$4:Q1059,SUBSTITUTE(Q1060,""Sell_"",""""))-COUNTIF(Q$4"&amp;":Q1059,""Sell_""&amp;SUBSTITUTE(Q1060,""Sell_"",""""))))/2),ROUNDUP(INDEX(Upgrades!$C$3:$C$13,MATCH(Q1060,Upgrades!$B$3:$B$13,0))*1.15^(COUNTIF(Q$4:Q1059,Q1060)-COUNTIF(Q$4:Q1059,""Sell_""&amp;Q1060))))))"),"")</f>
        <v/>
      </c>
      <c r="V1060" s="10" t="str">
        <f t="shared" si="11"/>
        <v/>
      </c>
      <c r="W1060" s="68" t="str">
        <f t="shared" si="12"/>
        <v/>
      </c>
      <c r="X1060" s="59" t="str">
        <f t="shared" si="13"/>
        <v/>
      </c>
      <c r="Y1060" s="69" t="str">
        <f t="shared" si="14"/>
        <v/>
      </c>
      <c r="Z1060" s="11"/>
    </row>
    <row r="1061">
      <c r="A1061" s="8"/>
      <c r="B1061" s="56" t="str">
        <f t="shared" si="2"/>
        <v/>
      </c>
      <c r="C1061" s="105"/>
      <c r="D1061" s="10"/>
      <c r="E1061" s="59" t="str">
        <f t="array" ref="E1061">IF(COUNTA(C1061:C1673)=0,"",SUM((COUNTIF(C$4:C1061,Upgrades!$B$3:$B$13)-COUNTIF(C$4:C1061,"Sell_"&amp;Upgrades!$B$3:$B$13))*Upgrades!$D$3:$D$13))</f>
        <v/>
      </c>
      <c r="F1061" s="66" t="str">
        <f>IFERROR(__xludf.DUMMYFUNCTION("IF(COUNTA(C1061:C1673)=0,"""",IF(REGEXMATCH(INDEX(FILTER(C$4:C1061,C$4:C1061&lt;&gt;""""),ROWS(FILTER(C$4:C1061,C$4:C1061&lt;&gt;""""))),""^Sell_""),INDEX(FILTER(F$4:F1060,C$4:C1060&lt;&gt;""""),ROWS(FILTER(C$4:C1060,C$4:C1060&lt;&gt;""""))),$AC$5+E1061))"),"")</f>
        <v/>
      </c>
      <c r="G1061" s="10" t="str">
        <f>IFERROR(__xludf.DUMMYFUNCTION("IF(COUNTA(C1061:C1673)=0,"""",IF(C1061="""",0,IF(REGEXMATCH(C1061,""^Sell_""),-ROUNDDOWN(ROUNDUP(INDEX(Upgrades!$C$3:$C$13,MATCH(SUBSTITUTE(C1061,""Sell_"",""""),Upgrades!$B$3:$B$13,0))*1.15^(COUNTIF(C$4:C1060,SUBSTITUTE(C1061,""Sell_"",""""))-COUNTIF(C$4"&amp;":C1060,""Sell_""&amp;SUBSTITUTE(C1061,""Sell_"",""""))))/2),ROUNDUP(INDEX(Upgrades!$C$3:$C$13,MATCH(C1061,Upgrades!$B$3:$B$13,0))*1.15^(COUNTIF(C$4:C1060,C1061)-COUNTIF(C$4:C1060,""Sell_""&amp;C1061))))))"),"")</f>
        <v/>
      </c>
      <c r="H1061" s="10" t="str">
        <f t="shared" si="3"/>
        <v/>
      </c>
      <c r="I1061" s="68" t="str">
        <f t="shared" si="4"/>
        <v/>
      </c>
      <c r="J1061" s="59" t="str">
        <f t="shared" si="5"/>
        <v/>
      </c>
      <c r="K1061" s="69" t="str">
        <f t="shared" si="6"/>
        <v/>
      </c>
      <c r="L1061" s="60" t="str">
        <f t="shared" si="7"/>
        <v/>
      </c>
      <c r="M1061" s="61" t="str">
        <f>IFERROR(__xludf.DUMMYFUNCTION("IFS(AND(COUNTA(C1061:C1673)=0,COUNTA(Q1061:Q1673)=0),"""",OR(AND(K1061&gt;=1000000000,OR(Y1061&gt;=1000000000,COUNTA(Q1061:Q1673)=0)),OR(Y1061&gt;=1000000000,AND(COUNTA(C1061:C1673)=0,P$3=TRUE))),
ROUNDDOWN((AB$1-AC$1)*MAX(INDEX(T$4:T1673,MATCH(LARGE(FILTER(Y$4:Y1"&amp;"673,Y$4:Y1673&lt;1000000000),1),Y$4:Y1673)),INDEX(F$4:F1673,MATCH(LARGE(FILTER(K$4:K1673,K$4:K1673&lt;1000000000),1),K$4:K1673)))),AND(K1061&lt;1000000000,COUNTA(C1061:C1673)&gt;0,P$3=FALSE),
ROUNDDOWN(INDEX(Y$4:Y1673,MATCH(LARGE(FILTER(W$4:W1673,W$4:W1673&lt;=I1061),1)"&amp;",W$4:W1673))+(I1061-LARGE(FILTER(W$4:W1673,W$4:W1673&lt;=I1061),1))*INDEX(T$4:T1673,MATCH(LARGE(FILTER(W$4:W1673,W$4:W1673&lt;=I1061),1),W$4:W1673))-K1061),1,
ROUNDDOWN(Y1061-INDEX(K$4:K1673,MATCH(LARGE(FILTER(I$4:I1673,I$4:I1673&lt;=W1061),1),I$4:I1673))-(W1061-L"&amp;"ARGE(FILTER(I$4:I1673,I$4:I1673&lt;=W1061),1))*INDEX(F$4:F1673,MATCH(LARGE(FILTER(I$4:I1673,I$4:I1673&lt;=W1061),1),I$4:I1673))))"),"")</f>
        <v/>
      </c>
      <c r="N1061" s="60" t="str">
        <f t="shared" si="8"/>
        <v/>
      </c>
      <c r="O1061" s="61" t="str">
        <f t="shared" si="9"/>
        <v/>
      </c>
      <c r="P1061" s="56" t="str">
        <f t="shared" si="10"/>
        <v/>
      </c>
      <c r="R1061" s="10"/>
      <c r="S1061" s="59" t="str">
        <f t="array" ref="S1061">IF(COUNTA(Q1061:Q1673)=0,"",SUM((COUNTIF(Q$4:Q1061,Upgrades!$B$3:$B$13)-COUNTIF(Q$4:Q1061,"Sell_"&amp;Upgrades!$B$3:$B$13))*Upgrades!$D$3:$D$13))</f>
        <v/>
      </c>
      <c r="T1061" s="66" t="str">
        <f>IFERROR(__xludf.DUMMYFUNCTION("IF(COUNTA(Q1061:Q1673)=0,"""",IF(REGEXMATCH(INDEX(FILTER(Q$4:Q1061,Q$4:Q1061&lt;&gt;""""),ROWS(FILTER(Q$4:Q1061,Q$4:Q1061&lt;&gt;""""))),""^Sell_""),INDEX(FILTER(T$4:T1060,Q$4:Q1060&lt;&gt;""""),ROWS(FILTER(Q$4:Q1060,Q$4:Q1060&lt;&gt;""""))),$AD$5+S1061))"),"")</f>
        <v/>
      </c>
      <c r="U1061" s="10" t="str">
        <f>IFERROR(__xludf.DUMMYFUNCTION("IF(COUNTA(Q1061:Q1673)=0,"""",IF(Q1061="""",0,IF(REGEXMATCH(Q1061,""^Sell_""),-ROUNDDOWN(ROUNDUP(INDEX(Upgrades!$C$3:$C$13,MATCH(SUBSTITUTE(Q1061,""Sell_"",""""),Upgrades!$B$3:$B$13,0))*1.15^(COUNTIF(Q$4:Q1060,SUBSTITUTE(Q1061,""Sell_"",""""))-COUNTIF(Q$4"&amp;":Q1060,""Sell_""&amp;SUBSTITUTE(Q1061,""Sell_"",""""))))/2),ROUNDUP(INDEX(Upgrades!$C$3:$C$13,MATCH(Q1061,Upgrades!$B$3:$B$13,0))*1.15^(COUNTIF(Q$4:Q1060,Q1061)-COUNTIF(Q$4:Q1060,""Sell_""&amp;Q1061))))))"),"")</f>
        <v/>
      </c>
      <c r="V1061" s="10" t="str">
        <f t="shared" si="11"/>
        <v/>
      </c>
      <c r="W1061" s="68" t="str">
        <f t="shared" si="12"/>
        <v/>
      </c>
      <c r="X1061" s="59" t="str">
        <f t="shared" si="13"/>
        <v/>
      </c>
      <c r="Y1061" s="69" t="str">
        <f t="shared" si="14"/>
        <v/>
      </c>
      <c r="Z1061" s="11"/>
    </row>
    <row r="1062">
      <c r="A1062" s="8"/>
      <c r="B1062" s="56" t="str">
        <f t="shared" si="2"/>
        <v/>
      </c>
      <c r="C1062" s="105"/>
      <c r="D1062" s="10"/>
      <c r="E1062" s="59" t="str">
        <f t="array" ref="E1062">IF(COUNTA(C1062:C1673)=0,"",SUM((COUNTIF(C$4:C1062,Upgrades!$B$3:$B$13)-COUNTIF(C$4:C1062,"Sell_"&amp;Upgrades!$B$3:$B$13))*Upgrades!$D$3:$D$13))</f>
        <v/>
      </c>
      <c r="F1062" s="66" t="str">
        <f>IFERROR(__xludf.DUMMYFUNCTION("IF(COUNTA(C1062:C1673)=0,"""",IF(REGEXMATCH(INDEX(FILTER(C$4:C1062,C$4:C1062&lt;&gt;""""),ROWS(FILTER(C$4:C1062,C$4:C1062&lt;&gt;""""))),""^Sell_""),INDEX(FILTER(F$4:F1061,C$4:C1061&lt;&gt;""""),ROWS(FILTER(C$4:C1061,C$4:C1061&lt;&gt;""""))),$AC$5+E1062))"),"")</f>
        <v/>
      </c>
      <c r="G1062" s="10" t="str">
        <f>IFERROR(__xludf.DUMMYFUNCTION("IF(COUNTA(C1062:C1673)=0,"""",IF(C1062="""",0,IF(REGEXMATCH(C1062,""^Sell_""),-ROUNDDOWN(ROUNDUP(INDEX(Upgrades!$C$3:$C$13,MATCH(SUBSTITUTE(C1062,""Sell_"",""""),Upgrades!$B$3:$B$13,0))*1.15^(COUNTIF(C$4:C1061,SUBSTITUTE(C1062,""Sell_"",""""))-COUNTIF(C$4"&amp;":C1061,""Sell_""&amp;SUBSTITUTE(C1062,""Sell_"",""""))))/2),ROUNDUP(INDEX(Upgrades!$C$3:$C$13,MATCH(C1062,Upgrades!$B$3:$B$13,0))*1.15^(COUNTIF(C$4:C1061,C1062)-COUNTIF(C$4:C1061,""Sell_""&amp;C1062))))))"),"")</f>
        <v/>
      </c>
      <c r="H1062" s="10" t="str">
        <f t="shared" si="3"/>
        <v/>
      </c>
      <c r="I1062" s="68" t="str">
        <f t="shared" si="4"/>
        <v/>
      </c>
      <c r="J1062" s="59" t="str">
        <f t="shared" si="5"/>
        <v/>
      </c>
      <c r="K1062" s="69" t="str">
        <f t="shared" si="6"/>
        <v/>
      </c>
      <c r="L1062" s="60" t="str">
        <f t="shared" si="7"/>
        <v/>
      </c>
      <c r="M1062" s="61" t="str">
        <f>IFERROR(__xludf.DUMMYFUNCTION("IFS(AND(COUNTA(C1062:C1673)=0,COUNTA(Q1062:Q1673)=0),"""",OR(AND(K1062&gt;=1000000000,OR(Y1062&gt;=1000000000,COUNTA(Q1062:Q1673)=0)),OR(Y1062&gt;=1000000000,AND(COUNTA(C1062:C1673)=0,P$3=TRUE))),
ROUNDDOWN((AB$1-AC$1)*MAX(INDEX(T$4:T1673,MATCH(LARGE(FILTER(Y$4:Y1"&amp;"673,Y$4:Y1673&lt;1000000000),1),Y$4:Y1673)),INDEX(F$4:F1673,MATCH(LARGE(FILTER(K$4:K1673,K$4:K1673&lt;1000000000),1),K$4:K1673)))),AND(K1062&lt;1000000000,COUNTA(C1062:C1673)&gt;0,P$3=FALSE),
ROUNDDOWN(INDEX(Y$4:Y1673,MATCH(LARGE(FILTER(W$4:W1673,W$4:W1673&lt;=I1062),1)"&amp;",W$4:W1673))+(I1062-LARGE(FILTER(W$4:W1673,W$4:W1673&lt;=I1062),1))*INDEX(T$4:T1673,MATCH(LARGE(FILTER(W$4:W1673,W$4:W1673&lt;=I1062),1),W$4:W1673))-K1062),1,
ROUNDDOWN(Y1062-INDEX(K$4:K1673,MATCH(LARGE(FILTER(I$4:I1673,I$4:I1673&lt;=W1062),1),I$4:I1673))-(W1062-L"&amp;"ARGE(FILTER(I$4:I1673,I$4:I1673&lt;=W1062),1))*INDEX(F$4:F1673,MATCH(LARGE(FILTER(I$4:I1673,I$4:I1673&lt;=W1062),1),I$4:I1673))))"),"")</f>
        <v/>
      </c>
      <c r="N1062" s="60" t="str">
        <f t="shared" si="8"/>
        <v/>
      </c>
      <c r="O1062" s="61" t="str">
        <f t="shared" si="9"/>
        <v/>
      </c>
      <c r="P1062" s="56" t="str">
        <f t="shared" si="10"/>
        <v/>
      </c>
      <c r="R1062" s="10"/>
      <c r="S1062" s="59" t="str">
        <f t="array" ref="S1062">IF(COUNTA(Q1062:Q1673)=0,"",SUM((COUNTIF(Q$4:Q1062,Upgrades!$B$3:$B$13)-COUNTIF(Q$4:Q1062,"Sell_"&amp;Upgrades!$B$3:$B$13))*Upgrades!$D$3:$D$13))</f>
        <v/>
      </c>
      <c r="T1062" s="66" t="str">
        <f>IFERROR(__xludf.DUMMYFUNCTION("IF(COUNTA(Q1062:Q1673)=0,"""",IF(REGEXMATCH(INDEX(FILTER(Q$4:Q1062,Q$4:Q1062&lt;&gt;""""),ROWS(FILTER(Q$4:Q1062,Q$4:Q1062&lt;&gt;""""))),""^Sell_""),INDEX(FILTER(T$4:T1061,Q$4:Q1061&lt;&gt;""""),ROWS(FILTER(Q$4:Q1061,Q$4:Q1061&lt;&gt;""""))),$AD$5+S1062))"),"")</f>
        <v/>
      </c>
      <c r="U1062" s="10" t="str">
        <f>IFERROR(__xludf.DUMMYFUNCTION("IF(COUNTA(Q1062:Q1673)=0,"""",IF(Q1062="""",0,IF(REGEXMATCH(Q1062,""^Sell_""),-ROUNDDOWN(ROUNDUP(INDEX(Upgrades!$C$3:$C$13,MATCH(SUBSTITUTE(Q1062,""Sell_"",""""),Upgrades!$B$3:$B$13,0))*1.15^(COUNTIF(Q$4:Q1061,SUBSTITUTE(Q1062,""Sell_"",""""))-COUNTIF(Q$4"&amp;":Q1061,""Sell_""&amp;SUBSTITUTE(Q1062,""Sell_"",""""))))/2),ROUNDUP(INDEX(Upgrades!$C$3:$C$13,MATCH(Q1062,Upgrades!$B$3:$B$13,0))*1.15^(COUNTIF(Q$4:Q1061,Q1062)-COUNTIF(Q$4:Q1061,""Sell_""&amp;Q1062))))))"),"")</f>
        <v/>
      </c>
      <c r="V1062" s="10" t="str">
        <f t="shared" si="11"/>
        <v/>
      </c>
      <c r="W1062" s="68" t="str">
        <f t="shared" si="12"/>
        <v/>
      </c>
      <c r="X1062" s="59" t="str">
        <f t="shared" si="13"/>
        <v/>
      </c>
      <c r="Y1062" s="69" t="str">
        <f t="shared" si="14"/>
        <v/>
      </c>
      <c r="Z1062" s="11"/>
    </row>
    <row r="1063">
      <c r="A1063" s="8"/>
      <c r="B1063" s="56" t="str">
        <f t="shared" si="2"/>
        <v/>
      </c>
      <c r="C1063" s="105"/>
      <c r="D1063" s="10"/>
      <c r="E1063" s="59" t="str">
        <f t="array" ref="E1063">IF(COUNTA(C1063:C1673)=0,"",SUM((COUNTIF(C$4:C1063,Upgrades!$B$3:$B$13)-COUNTIF(C$4:C1063,"Sell_"&amp;Upgrades!$B$3:$B$13))*Upgrades!$D$3:$D$13))</f>
        <v/>
      </c>
      <c r="F1063" s="66" t="str">
        <f>IFERROR(__xludf.DUMMYFUNCTION("IF(COUNTA(C1063:C1673)=0,"""",IF(REGEXMATCH(INDEX(FILTER(C$4:C1063,C$4:C1063&lt;&gt;""""),ROWS(FILTER(C$4:C1063,C$4:C1063&lt;&gt;""""))),""^Sell_""),INDEX(FILTER(F$4:F1062,C$4:C1062&lt;&gt;""""),ROWS(FILTER(C$4:C1062,C$4:C1062&lt;&gt;""""))),$AC$5+E1063))"),"")</f>
        <v/>
      </c>
      <c r="G1063" s="10" t="str">
        <f>IFERROR(__xludf.DUMMYFUNCTION("IF(COUNTA(C1063:C1673)=0,"""",IF(C1063="""",0,IF(REGEXMATCH(C1063,""^Sell_""),-ROUNDDOWN(ROUNDUP(INDEX(Upgrades!$C$3:$C$13,MATCH(SUBSTITUTE(C1063,""Sell_"",""""),Upgrades!$B$3:$B$13,0))*1.15^(COUNTIF(C$4:C1062,SUBSTITUTE(C1063,""Sell_"",""""))-COUNTIF(C$4"&amp;":C1062,""Sell_""&amp;SUBSTITUTE(C1063,""Sell_"",""""))))/2),ROUNDUP(INDEX(Upgrades!$C$3:$C$13,MATCH(C1063,Upgrades!$B$3:$B$13,0))*1.15^(COUNTIF(C$4:C1062,C1063)-COUNTIF(C$4:C1062,""Sell_""&amp;C1063))))))"),"")</f>
        <v/>
      </c>
      <c r="H1063" s="10" t="str">
        <f t="shared" si="3"/>
        <v/>
      </c>
      <c r="I1063" s="68" t="str">
        <f t="shared" si="4"/>
        <v/>
      </c>
      <c r="J1063" s="59" t="str">
        <f t="shared" si="5"/>
        <v/>
      </c>
      <c r="K1063" s="69" t="str">
        <f t="shared" si="6"/>
        <v/>
      </c>
      <c r="L1063" s="60" t="str">
        <f t="shared" si="7"/>
        <v/>
      </c>
      <c r="M1063" s="61" t="str">
        <f>IFERROR(__xludf.DUMMYFUNCTION("IFS(AND(COUNTA(C1063:C1673)=0,COUNTA(Q1063:Q1673)=0),"""",OR(AND(K1063&gt;=1000000000,OR(Y1063&gt;=1000000000,COUNTA(Q1063:Q1673)=0)),OR(Y1063&gt;=1000000000,AND(COUNTA(C1063:C1673)=0,P$3=TRUE))),
ROUNDDOWN((AB$1-AC$1)*MAX(INDEX(T$4:T1673,MATCH(LARGE(FILTER(Y$4:Y1"&amp;"673,Y$4:Y1673&lt;1000000000),1),Y$4:Y1673)),INDEX(F$4:F1673,MATCH(LARGE(FILTER(K$4:K1673,K$4:K1673&lt;1000000000),1),K$4:K1673)))),AND(K1063&lt;1000000000,COUNTA(C1063:C1673)&gt;0,P$3=FALSE),
ROUNDDOWN(INDEX(Y$4:Y1673,MATCH(LARGE(FILTER(W$4:W1673,W$4:W1673&lt;=I1063),1)"&amp;",W$4:W1673))+(I1063-LARGE(FILTER(W$4:W1673,W$4:W1673&lt;=I1063),1))*INDEX(T$4:T1673,MATCH(LARGE(FILTER(W$4:W1673,W$4:W1673&lt;=I1063),1),W$4:W1673))-K1063),1,
ROUNDDOWN(Y1063-INDEX(K$4:K1673,MATCH(LARGE(FILTER(I$4:I1673,I$4:I1673&lt;=W1063),1),I$4:I1673))-(W1063-L"&amp;"ARGE(FILTER(I$4:I1673,I$4:I1673&lt;=W1063),1))*INDEX(F$4:F1673,MATCH(LARGE(FILTER(I$4:I1673,I$4:I1673&lt;=W1063),1),I$4:I1673))))"),"")</f>
        <v/>
      </c>
      <c r="N1063" s="60" t="str">
        <f t="shared" si="8"/>
        <v/>
      </c>
      <c r="O1063" s="61" t="str">
        <f t="shared" si="9"/>
        <v/>
      </c>
      <c r="P1063" s="56" t="str">
        <f t="shared" si="10"/>
        <v/>
      </c>
      <c r="R1063" s="10"/>
      <c r="S1063" s="59" t="str">
        <f t="array" ref="S1063">IF(COUNTA(Q1063:Q1673)=0,"",SUM((COUNTIF(Q$4:Q1063,Upgrades!$B$3:$B$13)-COUNTIF(Q$4:Q1063,"Sell_"&amp;Upgrades!$B$3:$B$13))*Upgrades!$D$3:$D$13))</f>
        <v/>
      </c>
      <c r="T1063" s="66" t="str">
        <f>IFERROR(__xludf.DUMMYFUNCTION("IF(COUNTA(Q1063:Q1673)=0,"""",IF(REGEXMATCH(INDEX(FILTER(Q$4:Q1063,Q$4:Q1063&lt;&gt;""""),ROWS(FILTER(Q$4:Q1063,Q$4:Q1063&lt;&gt;""""))),""^Sell_""),INDEX(FILTER(T$4:T1062,Q$4:Q1062&lt;&gt;""""),ROWS(FILTER(Q$4:Q1062,Q$4:Q1062&lt;&gt;""""))),$AD$5+S1063))"),"")</f>
        <v/>
      </c>
      <c r="U1063" s="10" t="str">
        <f>IFERROR(__xludf.DUMMYFUNCTION("IF(COUNTA(Q1063:Q1673)=0,"""",IF(Q1063="""",0,IF(REGEXMATCH(Q1063,""^Sell_""),-ROUNDDOWN(ROUNDUP(INDEX(Upgrades!$C$3:$C$13,MATCH(SUBSTITUTE(Q1063,""Sell_"",""""),Upgrades!$B$3:$B$13,0))*1.15^(COUNTIF(Q$4:Q1062,SUBSTITUTE(Q1063,""Sell_"",""""))-COUNTIF(Q$4"&amp;":Q1062,""Sell_""&amp;SUBSTITUTE(Q1063,""Sell_"",""""))))/2),ROUNDUP(INDEX(Upgrades!$C$3:$C$13,MATCH(Q1063,Upgrades!$B$3:$B$13,0))*1.15^(COUNTIF(Q$4:Q1062,Q1063)-COUNTIF(Q$4:Q1062,""Sell_""&amp;Q1063))))))"),"")</f>
        <v/>
      </c>
      <c r="V1063" s="10" t="str">
        <f t="shared" si="11"/>
        <v/>
      </c>
      <c r="W1063" s="68" t="str">
        <f t="shared" si="12"/>
        <v/>
      </c>
      <c r="X1063" s="59" t="str">
        <f t="shared" si="13"/>
        <v/>
      </c>
      <c r="Y1063" s="69" t="str">
        <f t="shared" si="14"/>
        <v/>
      </c>
      <c r="Z1063" s="11"/>
    </row>
    <row r="1064">
      <c r="A1064" s="8"/>
      <c r="B1064" s="56" t="str">
        <f t="shared" si="2"/>
        <v/>
      </c>
      <c r="C1064" s="105"/>
      <c r="D1064" s="10"/>
      <c r="E1064" s="59" t="str">
        <f t="array" ref="E1064">IF(COUNTA(C1064:C1673)=0,"",SUM((COUNTIF(C$4:C1064,Upgrades!$B$3:$B$13)-COUNTIF(C$4:C1064,"Sell_"&amp;Upgrades!$B$3:$B$13))*Upgrades!$D$3:$D$13))</f>
        <v/>
      </c>
      <c r="F1064" s="66" t="str">
        <f>IFERROR(__xludf.DUMMYFUNCTION("IF(COUNTA(C1064:C1673)=0,"""",IF(REGEXMATCH(INDEX(FILTER(C$4:C1064,C$4:C1064&lt;&gt;""""),ROWS(FILTER(C$4:C1064,C$4:C1064&lt;&gt;""""))),""^Sell_""),INDEX(FILTER(F$4:F1063,C$4:C1063&lt;&gt;""""),ROWS(FILTER(C$4:C1063,C$4:C1063&lt;&gt;""""))),$AC$5+E1064))"),"")</f>
        <v/>
      </c>
      <c r="G1064" s="10" t="str">
        <f>IFERROR(__xludf.DUMMYFUNCTION("IF(COUNTA(C1064:C1673)=0,"""",IF(C1064="""",0,IF(REGEXMATCH(C1064,""^Sell_""),-ROUNDDOWN(ROUNDUP(INDEX(Upgrades!$C$3:$C$13,MATCH(SUBSTITUTE(C1064,""Sell_"",""""),Upgrades!$B$3:$B$13,0))*1.15^(COUNTIF(C$4:C1063,SUBSTITUTE(C1064,""Sell_"",""""))-COUNTIF(C$4"&amp;":C1063,""Sell_""&amp;SUBSTITUTE(C1064,""Sell_"",""""))))/2),ROUNDUP(INDEX(Upgrades!$C$3:$C$13,MATCH(C1064,Upgrades!$B$3:$B$13,0))*1.15^(COUNTIF(C$4:C1063,C1064)-COUNTIF(C$4:C1063,""Sell_""&amp;C1064))))))"),"")</f>
        <v/>
      </c>
      <c r="H1064" s="10" t="str">
        <f t="shared" si="3"/>
        <v/>
      </c>
      <c r="I1064" s="68" t="str">
        <f t="shared" si="4"/>
        <v/>
      </c>
      <c r="J1064" s="59" t="str">
        <f t="shared" si="5"/>
        <v/>
      </c>
      <c r="K1064" s="69" t="str">
        <f t="shared" si="6"/>
        <v/>
      </c>
      <c r="L1064" s="60" t="str">
        <f t="shared" si="7"/>
        <v/>
      </c>
      <c r="M1064" s="61" t="str">
        <f>IFERROR(__xludf.DUMMYFUNCTION("IFS(AND(COUNTA(C1064:C1673)=0,COUNTA(Q1064:Q1673)=0),"""",OR(AND(K1064&gt;=1000000000,OR(Y1064&gt;=1000000000,COUNTA(Q1064:Q1673)=0)),OR(Y1064&gt;=1000000000,AND(COUNTA(C1064:C1673)=0,P$3=TRUE))),
ROUNDDOWN((AB$1-AC$1)*MAX(INDEX(T$4:T1673,MATCH(LARGE(FILTER(Y$4:Y1"&amp;"673,Y$4:Y1673&lt;1000000000),1),Y$4:Y1673)),INDEX(F$4:F1673,MATCH(LARGE(FILTER(K$4:K1673,K$4:K1673&lt;1000000000),1),K$4:K1673)))),AND(K1064&lt;1000000000,COUNTA(C1064:C1673)&gt;0,P$3=FALSE),
ROUNDDOWN(INDEX(Y$4:Y1673,MATCH(LARGE(FILTER(W$4:W1673,W$4:W1673&lt;=I1064),1)"&amp;",W$4:W1673))+(I1064-LARGE(FILTER(W$4:W1673,W$4:W1673&lt;=I1064),1))*INDEX(T$4:T1673,MATCH(LARGE(FILTER(W$4:W1673,W$4:W1673&lt;=I1064),1),W$4:W1673))-K1064),1,
ROUNDDOWN(Y1064-INDEX(K$4:K1673,MATCH(LARGE(FILTER(I$4:I1673,I$4:I1673&lt;=W1064),1),I$4:I1673))-(W1064-L"&amp;"ARGE(FILTER(I$4:I1673,I$4:I1673&lt;=W1064),1))*INDEX(F$4:F1673,MATCH(LARGE(FILTER(I$4:I1673,I$4:I1673&lt;=W1064),1),I$4:I1673))))"),"")</f>
        <v/>
      </c>
      <c r="N1064" s="60" t="str">
        <f t="shared" si="8"/>
        <v/>
      </c>
      <c r="O1064" s="61" t="str">
        <f t="shared" si="9"/>
        <v/>
      </c>
      <c r="P1064" s="56" t="str">
        <f t="shared" si="10"/>
        <v/>
      </c>
      <c r="R1064" s="10"/>
      <c r="S1064" s="59" t="str">
        <f t="array" ref="S1064">IF(COUNTA(Q1064:Q1673)=0,"",SUM((COUNTIF(Q$4:Q1064,Upgrades!$B$3:$B$13)-COUNTIF(Q$4:Q1064,"Sell_"&amp;Upgrades!$B$3:$B$13))*Upgrades!$D$3:$D$13))</f>
        <v/>
      </c>
      <c r="T1064" s="66" t="str">
        <f>IFERROR(__xludf.DUMMYFUNCTION("IF(COUNTA(Q1064:Q1673)=0,"""",IF(REGEXMATCH(INDEX(FILTER(Q$4:Q1064,Q$4:Q1064&lt;&gt;""""),ROWS(FILTER(Q$4:Q1064,Q$4:Q1064&lt;&gt;""""))),""^Sell_""),INDEX(FILTER(T$4:T1063,Q$4:Q1063&lt;&gt;""""),ROWS(FILTER(Q$4:Q1063,Q$4:Q1063&lt;&gt;""""))),$AD$5+S1064))"),"")</f>
        <v/>
      </c>
      <c r="U1064" s="10" t="str">
        <f>IFERROR(__xludf.DUMMYFUNCTION("IF(COUNTA(Q1064:Q1673)=0,"""",IF(Q1064="""",0,IF(REGEXMATCH(Q1064,""^Sell_""),-ROUNDDOWN(ROUNDUP(INDEX(Upgrades!$C$3:$C$13,MATCH(SUBSTITUTE(Q1064,""Sell_"",""""),Upgrades!$B$3:$B$13,0))*1.15^(COUNTIF(Q$4:Q1063,SUBSTITUTE(Q1064,""Sell_"",""""))-COUNTIF(Q$4"&amp;":Q1063,""Sell_""&amp;SUBSTITUTE(Q1064,""Sell_"",""""))))/2),ROUNDUP(INDEX(Upgrades!$C$3:$C$13,MATCH(Q1064,Upgrades!$B$3:$B$13,0))*1.15^(COUNTIF(Q$4:Q1063,Q1064)-COUNTIF(Q$4:Q1063,""Sell_""&amp;Q1064))))))"),"")</f>
        <v/>
      </c>
      <c r="V1064" s="10" t="str">
        <f t="shared" si="11"/>
        <v/>
      </c>
      <c r="W1064" s="68" t="str">
        <f t="shared" si="12"/>
        <v/>
      </c>
      <c r="X1064" s="59" t="str">
        <f t="shared" si="13"/>
        <v/>
      </c>
      <c r="Y1064" s="69" t="str">
        <f t="shared" si="14"/>
        <v/>
      </c>
      <c r="Z1064" s="11"/>
    </row>
    <row r="1065">
      <c r="A1065" s="8"/>
      <c r="B1065" s="56" t="str">
        <f t="shared" si="2"/>
        <v/>
      </c>
      <c r="C1065" s="105"/>
      <c r="D1065" s="10"/>
      <c r="E1065" s="59" t="str">
        <f t="array" ref="E1065">IF(COUNTA(C1065:C1673)=0,"",SUM((COUNTIF(C$4:C1065,Upgrades!$B$3:$B$13)-COUNTIF(C$4:C1065,"Sell_"&amp;Upgrades!$B$3:$B$13))*Upgrades!$D$3:$D$13))</f>
        <v/>
      </c>
      <c r="F1065" s="66" t="str">
        <f>IFERROR(__xludf.DUMMYFUNCTION("IF(COUNTA(C1065:C1673)=0,"""",IF(REGEXMATCH(INDEX(FILTER(C$4:C1065,C$4:C1065&lt;&gt;""""),ROWS(FILTER(C$4:C1065,C$4:C1065&lt;&gt;""""))),""^Sell_""),INDEX(FILTER(F$4:F1064,C$4:C1064&lt;&gt;""""),ROWS(FILTER(C$4:C1064,C$4:C1064&lt;&gt;""""))),$AC$5+E1065))"),"")</f>
        <v/>
      </c>
      <c r="G1065" s="10" t="str">
        <f>IFERROR(__xludf.DUMMYFUNCTION("IF(COUNTA(C1065:C1673)=0,"""",IF(C1065="""",0,IF(REGEXMATCH(C1065,""^Sell_""),-ROUNDDOWN(ROUNDUP(INDEX(Upgrades!$C$3:$C$13,MATCH(SUBSTITUTE(C1065,""Sell_"",""""),Upgrades!$B$3:$B$13,0))*1.15^(COUNTIF(C$4:C1064,SUBSTITUTE(C1065,""Sell_"",""""))-COUNTIF(C$4"&amp;":C1064,""Sell_""&amp;SUBSTITUTE(C1065,""Sell_"",""""))))/2),ROUNDUP(INDEX(Upgrades!$C$3:$C$13,MATCH(C1065,Upgrades!$B$3:$B$13,0))*1.15^(COUNTIF(C$4:C1064,C1065)-COUNTIF(C$4:C1064,""Sell_""&amp;C1065))))))"),"")</f>
        <v/>
      </c>
      <c r="H1065" s="10" t="str">
        <f t="shared" si="3"/>
        <v/>
      </c>
      <c r="I1065" s="68" t="str">
        <f t="shared" si="4"/>
        <v/>
      </c>
      <c r="J1065" s="59" t="str">
        <f t="shared" si="5"/>
        <v/>
      </c>
      <c r="K1065" s="69" t="str">
        <f t="shared" si="6"/>
        <v/>
      </c>
      <c r="L1065" s="60" t="str">
        <f t="shared" si="7"/>
        <v/>
      </c>
      <c r="M1065" s="61" t="str">
        <f>IFERROR(__xludf.DUMMYFUNCTION("IFS(AND(COUNTA(C1065:C1673)=0,COUNTA(Q1065:Q1673)=0),"""",OR(AND(K1065&gt;=1000000000,OR(Y1065&gt;=1000000000,COUNTA(Q1065:Q1673)=0)),OR(Y1065&gt;=1000000000,AND(COUNTA(C1065:C1673)=0,P$3=TRUE))),
ROUNDDOWN((AB$1-AC$1)*MAX(INDEX(T$4:T1673,MATCH(LARGE(FILTER(Y$4:Y1"&amp;"673,Y$4:Y1673&lt;1000000000),1),Y$4:Y1673)),INDEX(F$4:F1673,MATCH(LARGE(FILTER(K$4:K1673,K$4:K1673&lt;1000000000),1),K$4:K1673)))),AND(K1065&lt;1000000000,COUNTA(C1065:C1673)&gt;0,P$3=FALSE),
ROUNDDOWN(INDEX(Y$4:Y1673,MATCH(LARGE(FILTER(W$4:W1673,W$4:W1673&lt;=I1065),1)"&amp;",W$4:W1673))+(I1065-LARGE(FILTER(W$4:W1673,W$4:W1673&lt;=I1065),1))*INDEX(T$4:T1673,MATCH(LARGE(FILTER(W$4:W1673,W$4:W1673&lt;=I1065),1),W$4:W1673))-K1065),1,
ROUNDDOWN(Y1065-INDEX(K$4:K1673,MATCH(LARGE(FILTER(I$4:I1673,I$4:I1673&lt;=W1065),1),I$4:I1673))-(W1065-L"&amp;"ARGE(FILTER(I$4:I1673,I$4:I1673&lt;=W1065),1))*INDEX(F$4:F1673,MATCH(LARGE(FILTER(I$4:I1673,I$4:I1673&lt;=W1065),1),I$4:I1673))))"),"")</f>
        <v/>
      </c>
      <c r="N1065" s="60" t="str">
        <f t="shared" si="8"/>
        <v/>
      </c>
      <c r="O1065" s="61" t="str">
        <f t="shared" si="9"/>
        <v/>
      </c>
      <c r="P1065" s="56" t="str">
        <f t="shared" si="10"/>
        <v/>
      </c>
      <c r="R1065" s="10"/>
      <c r="S1065" s="59" t="str">
        <f t="array" ref="S1065">IF(COUNTA(Q1065:Q1673)=0,"",SUM((COUNTIF(Q$4:Q1065,Upgrades!$B$3:$B$13)-COUNTIF(Q$4:Q1065,"Sell_"&amp;Upgrades!$B$3:$B$13))*Upgrades!$D$3:$D$13))</f>
        <v/>
      </c>
      <c r="T1065" s="66" t="str">
        <f>IFERROR(__xludf.DUMMYFUNCTION("IF(COUNTA(Q1065:Q1673)=0,"""",IF(REGEXMATCH(INDEX(FILTER(Q$4:Q1065,Q$4:Q1065&lt;&gt;""""),ROWS(FILTER(Q$4:Q1065,Q$4:Q1065&lt;&gt;""""))),""^Sell_""),INDEX(FILTER(T$4:T1064,Q$4:Q1064&lt;&gt;""""),ROWS(FILTER(Q$4:Q1064,Q$4:Q1064&lt;&gt;""""))),$AD$5+S1065))"),"")</f>
        <v/>
      </c>
      <c r="U1065" s="10" t="str">
        <f>IFERROR(__xludf.DUMMYFUNCTION("IF(COUNTA(Q1065:Q1673)=0,"""",IF(Q1065="""",0,IF(REGEXMATCH(Q1065,""^Sell_""),-ROUNDDOWN(ROUNDUP(INDEX(Upgrades!$C$3:$C$13,MATCH(SUBSTITUTE(Q1065,""Sell_"",""""),Upgrades!$B$3:$B$13,0))*1.15^(COUNTIF(Q$4:Q1064,SUBSTITUTE(Q1065,""Sell_"",""""))-COUNTIF(Q$4"&amp;":Q1064,""Sell_""&amp;SUBSTITUTE(Q1065,""Sell_"",""""))))/2),ROUNDUP(INDEX(Upgrades!$C$3:$C$13,MATCH(Q1065,Upgrades!$B$3:$B$13,0))*1.15^(COUNTIF(Q$4:Q1064,Q1065)-COUNTIF(Q$4:Q1064,""Sell_""&amp;Q1065))))))"),"")</f>
        <v/>
      </c>
      <c r="V1065" s="10" t="str">
        <f t="shared" si="11"/>
        <v/>
      </c>
      <c r="W1065" s="68" t="str">
        <f t="shared" si="12"/>
        <v/>
      </c>
      <c r="X1065" s="59" t="str">
        <f t="shared" si="13"/>
        <v/>
      </c>
      <c r="Y1065" s="69" t="str">
        <f t="shared" si="14"/>
        <v/>
      </c>
      <c r="Z1065" s="11"/>
    </row>
    <row r="1066">
      <c r="A1066" s="8"/>
      <c r="B1066" s="56" t="str">
        <f t="shared" si="2"/>
        <v/>
      </c>
      <c r="C1066" s="105"/>
      <c r="D1066" s="10"/>
      <c r="E1066" s="59" t="str">
        <f t="array" ref="E1066">IF(COUNTA(C1066:C1673)=0,"",SUM((COUNTIF(C$4:C1066,Upgrades!$B$3:$B$13)-COUNTIF(C$4:C1066,"Sell_"&amp;Upgrades!$B$3:$B$13))*Upgrades!$D$3:$D$13))</f>
        <v/>
      </c>
      <c r="F1066" s="66" t="str">
        <f>IFERROR(__xludf.DUMMYFUNCTION("IF(COUNTA(C1066:C1673)=0,"""",IF(REGEXMATCH(INDEX(FILTER(C$4:C1066,C$4:C1066&lt;&gt;""""),ROWS(FILTER(C$4:C1066,C$4:C1066&lt;&gt;""""))),""^Sell_""),INDEX(FILTER(F$4:F1065,C$4:C1065&lt;&gt;""""),ROWS(FILTER(C$4:C1065,C$4:C1065&lt;&gt;""""))),$AC$5+E1066))"),"")</f>
        <v/>
      </c>
      <c r="G1066" s="10" t="str">
        <f>IFERROR(__xludf.DUMMYFUNCTION("IF(COUNTA(C1066:C1673)=0,"""",IF(C1066="""",0,IF(REGEXMATCH(C1066,""^Sell_""),-ROUNDDOWN(ROUNDUP(INDEX(Upgrades!$C$3:$C$13,MATCH(SUBSTITUTE(C1066,""Sell_"",""""),Upgrades!$B$3:$B$13,0))*1.15^(COUNTIF(C$4:C1065,SUBSTITUTE(C1066,""Sell_"",""""))-COUNTIF(C$4"&amp;":C1065,""Sell_""&amp;SUBSTITUTE(C1066,""Sell_"",""""))))/2),ROUNDUP(INDEX(Upgrades!$C$3:$C$13,MATCH(C1066,Upgrades!$B$3:$B$13,0))*1.15^(COUNTIF(C$4:C1065,C1066)-COUNTIF(C$4:C1065,""Sell_""&amp;C1066))))))"),"")</f>
        <v/>
      </c>
      <c r="H1066" s="10" t="str">
        <f t="shared" si="3"/>
        <v/>
      </c>
      <c r="I1066" s="68" t="str">
        <f t="shared" si="4"/>
        <v/>
      </c>
      <c r="J1066" s="59" t="str">
        <f t="shared" si="5"/>
        <v/>
      </c>
      <c r="K1066" s="69" t="str">
        <f t="shared" si="6"/>
        <v/>
      </c>
      <c r="L1066" s="60" t="str">
        <f t="shared" si="7"/>
        <v/>
      </c>
      <c r="M1066" s="61" t="str">
        <f>IFERROR(__xludf.DUMMYFUNCTION("IFS(AND(COUNTA(C1066:C1673)=0,COUNTA(Q1066:Q1673)=0),"""",OR(AND(K1066&gt;=1000000000,OR(Y1066&gt;=1000000000,COUNTA(Q1066:Q1673)=0)),OR(Y1066&gt;=1000000000,AND(COUNTA(C1066:C1673)=0,P$3=TRUE))),
ROUNDDOWN((AB$1-AC$1)*MAX(INDEX(T$4:T1673,MATCH(LARGE(FILTER(Y$4:Y1"&amp;"673,Y$4:Y1673&lt;1000000000),1),Y$4:Y1673)),INDEX(F$4:F1673,MATCH(LARGE(FILTER(K$4:K1673,K$4:K1673&lt;1000000000),1),K$4:K1673)))),AND(K1066&lt;1000000000,COUNTA(C1066:C1673)&gt;0,P$3=FALSE),
ROUNDDOWN(INDEX(Y$4:Y1673,MATCH(LARGE(FILTER(W$4:W1673,W$4:W1673&lt;=I1066),1)"&amp;",W$4:W1673))+(I1066-LARGE(FILTER(W$4:W1673,W$4:W1673&lt;=I1066),1))*INDEX(T$4:T1673,MATCH(LARGE(FILTER(W$4:W1673,W$4:W1673&lt;=I1066),1),W$4:W1673))-K1066),1,
ROUNDDOWN(Y1066-INDEX(K$4:K1673,MATCH(LARGE(FILTER(I$4:I1673,I$4:I1673&lt;=W1066),1),I$4:I1673))-(W1066-L"&amp;"ARGE(FILTER(I$4:I1673,I$4:I1673&lt;=W1066),1))*INDEX(F$4:F1673,MATCH(LARGE(FILTER(I$4:I1673,I$4:I1673&lt;=W1066),1),I$4:I1673))))"),"")</f>
        <v/>
      </c>
      <c r="N1066" s="60" t="str">
        <f t="shared" si="8"/>
        <v/>
      </c>
      <c r="O1066" s="61" t="str">
        <f t="shared" si="9"/>
        <v/>
      </c>
      <c r="P1066" s="56" t="str">
        <f t="shared" si="10"/>
        <v/>
      </c>
      <c r="R1066" s="10"/>
      <c r="S1066" s="59" t="str">
        <f t="array" ref="S1066">IF(COUNTA(Q1066:Q1673)=0,"",SUM((COUNTIF(Q$4:Q1066,Upgrades!$B$3:$B$13)-COUNTIF(Q$4:Q1066,"Sell_"&amp;Upgrades!$B$3:$B$13))*Upgrades!$D$3:$D$13))</f>
        <v/>
      </c>
      <c r="T1066" s="66" t="str">
        <f>IFERROR(__xludf.DUMMYFUNCTION("IF(COUNTA(Q1066:Q1673)=0,"""",IF(REGEXMATCH(INDEX(FILTER(Q$4:Q1066,Q$4:Q1066&lt;&gt;""""),ROWS(FILTER(Q$4:Q1066,Q$4:Q1066&lt;&gt;""""))),""^Sell_""),INDEX(FILTER(T$4:T1065,Q$4:Q1065&lt;&gt;""""),ROWS(FILTER(Q$4:Q1065,Q$4:Q1065&lt;&gt;""""))),$AD$5+S1066))"),"")</f>
        <v/>
      </c>
      <c r="U1066" s="10" t="str">
        <f>IFERROR(__xludf.DUMMYFUNCTION("IF(COUNTA(Q1066:Q1673)=0,"""",IF(Q1066="""",0,IF(REGEXMATCH(Q1066,""^Sell_""),-ROUNDDOWN(ROUNDUP(INDEX(Upgrades!$C$3:$C$13,MATCH(SUBSTITUTE(Q1066,""Sell_"",""""),Upgrades!$B$3:$B$13,0))*1.15^(COUNTIF(Q$4:Q1065,SUBSTITUTE(Q1066,""Sell_"",""""))-COUNTIF(Q$4"&amp;":Q1065,""Sell_""&amp;SUBSTITUTE(Q1066,""Sell_"",""""))))/2),ROUNDUP(INDEX(Upgrades!$C$3:$C$13,MATCH(Q1066,Upgrades!$B$3:$B$13,0))*1.15^(COUNTIF(Q$4:Q1065,Q1066)-COUNTIF(Q$4:Q1065,""Sell_""&amp;Q1066))))))"),"")</f>
        <v/>
      </c>
      <c r="V1066" s="10" t="str">
        <f t="shared" si="11"/>
        <v/>
      </c>
      <c r="W1066" s="68" t="str">
        <f t="shared" si="12"/>
        <v/>
      </c>
      <c r="X1066" s="59" t="str">
        <f t="shared" si="13"/>
        <v/>
      </c>
      <c r="Y1066" s="69" t="str">
        <f t="shared" si="14"/>
        <v/>
      </c>
      <c r="Z1066" s="11"/>
    </row>
    <row r="1067">
      <c r="A1067" s="8"/>
      <c r="B1067" s="56" t="str">
        <f t="shared" si="2"/>
        <v/>
      </c>
      <c r="C1067" s="105"/>
      <c r="D1067" s="10"/>
      <c r="E1067" s="59" t="str">
        <f t="array" ref="E1067">IF(COUNTA(C1067:C1673)=0,"",SUM((COUNTIF(C$4:C1067,Upgrades!$B$3:$B$13)-COUNTIF(C$4:C1067,"Sell_"&amp;Upgrades!$B$3:$B$13))*Upgrades!$D$3:$D$13))</f>
        <v/>
      </c>
      <c r="F1067" s="66" t="str">
        <f>IFERROR(__xludf.DUMMYFUNCTION("IF(COUNTA(C1067:C1673)=0,"""",IF(REGEXMATCH(INDEX(FILTER(C$4:C1067,C$4:C1067&lt;&gt;""""),ROWS(FILTER(C$4:C1067,C$4:C1067&lt;&gt;""""))),""^Sell_""),INDEX(FILTER(F$4:F1066,C$4:C1066&lt;&gt;""""),ROWS(FILTER(C$4:C1066,C$4:C1066&lt;&gt;""""))),$AC$5+E1067))"),"")</f>
        <v/>
      </c>
      <c r="G1067" s="10" t="str">
        <f>IFERROR(__xludf.DUMMYFUNCTION("IF(COUNTA(C1067:C1673)=0,"""",IF(C1067="""",0,IF(REGEXMATCH(C1067,""^Sell_""),-ROUNDDOWN(ROUNDUP(INDEX(Upgrades!$C$3:$C$13,MATCH(SUBSTITUTE(C1067,""Sell_"",""""),Upgrades!$B$3:$B$13,0))*1.15^(COUNTIF(C$4:C1066,SUBSTITUTE(C1067,""Sell_"",""""))-COUNTIF(C$4"&amp;":C1066,""Sell_""&amp;SUBSTITUTE(C1067,""Sell_"",""""))))/2),ROUNDUP(INDEX(Upgrades!$C$3:$C$13,MATCH(C1067,Upgrades!$B$3:$B$13,0))*1.15^(COUNTIF(C$4:C1066,C1067)-COUNTIF(C$4:C1066,""Sell_""&amp;C1067))))))"),"")</f>
        <v/>
      </c>
      <c r="H1067" s="10" t="str">
        <f t="shared" si="3"/>
        <v/>
      </c>
      <c r="I1067" s="68" t="str">
        <f t="shared" si="4"/>
        <v/>
      </c>
      <c r="J1067" s="59" t="str">
        <f t="shared" si="5"/>
        <v/>
      </c>
      <c r="K1067" s="69" t="str">
        <f t="shared" si="6"/>
        <v/>
      </c>
      <c r="L1067" s="60" t="str">
        <f t="shared" si="7"/>
        <v/>
      </c>
      <c r="M1067" s="61" t="str">
        <f>IFERROR(__xludf.DUMMYFUNCTION("IFS(AND(COUNTA(C1067:C1673)=0,COUNTA(Q1067:Q1673)=0),"""",OR(AND(K1067&gt;=1000000000,OR(Y1067&gt;=1000000000,COUNTA(Q1067:Q1673)=0)),OR(Y1067&gt;=1000000000,AND(COUNTA(C1067:C1673)=0,P$3=TRUE))),
ROUNDDOWN((AB$1-AC$1)*MAX(INDEX(T$4:T1673,MATCH(LARGE(FILTER(Y$4:Y1"&amp;"673,Y$4:Y1673&lt;1000000000),1),Y$4:Y1673)),INDEX(F$4:F1673,MATCH(LARGE(FILTER(K$4:K1673,K$4:K1673&lt;1000000000),1),K$4:K1673)))),AND(K1067&lt;1000000000,COUNTA(C1067:C1673)&gt;0,P$3=FALSE),
ROUNDDOWN(INDEX(Y$4:Y1673,MATCH(LARGE(FILTER(W$4:W1673,W$4:W1673&lt;=I1067),1)"&amp;",W$4:W1673))+(I1067-LARGE(FILTER(W$4:W1673,W$4:W1673&lt;=I1067),1))*INDEX(T$4:T1673,MATCH(LARGE(FILTER(W$4:W1673,W$4:W1673&lt;=I1067),1),W$4:W1673))-K1067),1,
ROUNDDOWN(Y1067-INDEX(K$4:K1673,MATCH(LARGE(FILTER(I$4:I1673,I$4:I1673&lt;=W1067),1),I$4:I1673))-(W1067-L"&amp;"ARGE(FILTER(I$4:I1673,I$4:I1673&lt;=W1067),1))*INDEX(F$4:F1673,MATCH(LARGE(FILTER(I$4:I1673,I$4:I1673&lt;=W1067),1),I$4:I1673))))"),"")</f>
        <v/>
      </c>
      <c r="N1067" s="60" t="str">
        <f t="shared" si="8"/>
        <v/>
      </c>
      <c r="O1067" s="61" t="str">
        <f t="shared" si="9"/>
        <v/>
      </c>
      <c r="P1067" s="56" t="str">
        <f t="shared" si="10"/>
        <v/>
      </c>
      <c r="R1067" s="10"/>
      <c r="S1067" s="59" t="str">
        <f t="array" ref="S1067">IF(COUNTA(Q1067:Q1673)=0,"",SUM((COUNTIF(Q$4:Q1067,Upgrades!$B$3:$B$13)-COUNTIF(Q$4:Q1067,"Sell_"&amp;Upgrades!$B$3:$B$13))*Upgrades!$D$3:$D$13))</f>
        <v/>
      </c>
      <c r="T1067" s="66" t="str">
        <f>IFERROR(__xludf.DUMMYFUNCTION("IF(COUNTA(Q1067:Q1673)=0,"""",IF(REGEXMATCH(INDEX(FILTER(Q$4:Q1067,Q$4:Q1067&lt;&gt;""""),ROWS(FILTER(Q$4:Q1067,Q$4:Q1067&lt;&gt;""""))),""^Sell_""),INDEX(FILTER(T$4:T1066,Q$4:Q1066&lt;&gt;""""),ROWS(FILTER(Q$4:Q1066,Q$4:Q1066&lt;&gt;""""))),$AD$5+S1067))"),"")</f>
        <v/>
      </c>
      <c r="U1067" s="10" t="str">
        <f>IFERROR(__xludf.DUMMYFUNCTION("IF(COUNTA(Q1067:Q1673)=0,"""",IF(Q1067="""",0,IF(REGEXMATCH(Q1067,""^Sell_""),-ROUNDDOWN(ROUNDUP(INDEX(Upgrades!$C$3:$C$13,MATCH(SUBSTITUTE(Q1067,""Sell_"",""""),Upgrades!$B$3:$B$13,0))*1.15^(COUNTIF(Q$4:Q1066,SUBSTITUTE(Q1067,""Sell_"",""""))-COUNTIF(Q$4"&amp;":Q1066,""Sell_""&amp;SUBSTITUTE(Q1067,""Sell_"",""""))))/2),ROUNDUP(INDEX(Upgrades!$C$3:$C$13,MATCH(Q1067,Upgrades!$B$3:$B$13,0))*1.15^(COUNTIF(Q$4:Q1066,Q1067)-COUNTIF(Q$4:Q1066,""Sell_""&amp;Q1067))))))"),"")</f>
        <v/>
      </c>
      <c r="V1067" s="10" t="str">
        <f t="shared" si="11"/>
        <v/>
      </c>
      <c r="W1067" s="68" t="str">
        <f t="shared" si="12"/>
        <v/>
      </c>
      <c r="X1067" s="59" t="str">
        <f t="shared" si="13"/>
        <v/>
      </c>
      <c r="Y1067" s="69" t="str">
        <f t="shared" si="14"/>
        <v/>
      </c>
      <c r="Z1067" s="11"/>
    </row>
    <row r="1068">
      <c r="A1068" s="8"/>
      <c r="B1068" s="56" t="str">
        <f t="shared" si="2"/>
        <v/>
      </c>
      <c r="C1068" s="105"/>
      <c r="D1068" s="10"/>
      <c r="E1068" s="59" t="str">
        <f t="array" ref="E1068">IF(COUNTA(C1068:C1673)=0,"",SUM((COUNTIF(C$4:C1068,Upgrades!$B$3:$B$13)-COUNTIF(C$4:C1068,"Sell_"&amp;Upgrades!$B$3:$B$13))*Upgrades!$D$3:$D$13))</f>
        <v/>
      </c>
      <c r="F1068" s="66" t="str">
        <f>IFERROR(__xludf.DUMMYFUNCTION("IF(COUNTA(C1068:C1673)=0,"""",IF(REGEXMATCH(INDEX(FILTER(C$4:C1068,C$4:C1068&lt;&gt;""""),ROWS(FILTER(C$4:C1068,C$4:C1068&lt;&gt;""""))),""^Sell_""),INDEX(FILTER(F$4:F1067,C$4:C1067&lt;&gt;""""),ROWS(FILTER(C$4:C1067,C$4:C1067&lt;&gt;""""))),$AC$5+E1068))"),"")</f>
        <v/>
      </c>
      <c r="G1068" s="10" t="str">
        <f>IFERROR(__xludf.DUMMYFUNCTION("IF(COUNTA(C1068:C1673)=0,"""",IF(C1068="""",0,IF(REGEXMATCH(C1068,""^Sell_""),-ROUNDDOWN(ROUNDUP(INDEX(Upgrades!$C$3:$C$13,MATCH(SUBSTITUTE(C1068,""Sell_"",""""),Upgrades!$B$3:$B$13,0))*1.15^(COUNTIF(C$4:C1067,SUBSTITUTE(C1068,""Sell_"",""""))-COUNTIF(C$4"&amp;":C1067,""Sell_""&amp;SUBSTITUTE(C1068,""Sell_"",""""))))/2),ROUNDUP(INDEX(Upgrades!$C$3:$C$13,MATCH(C1068,Upgrades!$B$3:$B$13,0))*1.15^(COUNTIF(C$4:C1067,C1068)-COUNTIF(C$4:C1067,""Sell_""&amp;C1068))))))"),"")</f>
        <v/>
      </c>
      <c r="H1068" s="10" t="str">
        <f t="shared" si="3"/>
        <v/>
      </c>
      <c r="I1068" s="68" t="str">
        <f t="shared" si="4"/>
        <v/>
      </c>
      <c r="J1068" s="59" t="str">
        <f t="shared" si="5"/>
        <v/>
      </c>
      <c r="K1068" s="69" t="str">
        <f t="shared" si="6"/>
        <v/>
      </c>
      <c r="L1068" s="60" t="str">
        <f t="shared" si="7"/>
        <v/>
      </c>
      <c r="M1068" s="61" t="str">
        <f>IFERROR(__xludf.DUMMYFUNCTION("IFS(AND(COUNTA(C1068:C1673)=0,COUNTA(Q1068:Q1673)=0),"""",OR(AND(K1068&gt;=1000000000,OR(Y1068&gt;=1000000000,COUNTA(Q1068:Q1673)=0)),OR(Y1068&gt;=1000000000,AND(COUNTA(C1068:C1673)=0,P$3=TRUE))),
ROUNDDOWN((AB$1-AC$1)*MAX(INDEX(T$4:T1673,MATCH(LARGE(FILTER(Y$4:Y1"&amp;"673,Y$4:Y1673&lt;1000000000),1),Y$4:Y1673)),INDEX(F$4:F1673,MATCH(LARGE(FILTER(K$4:K1673,K$4:K1673&lt;1000000000),1),K$4:K1673)))),AND(K1068&lt;1000000000,COUNTA(C1068:C1673)&gt;0,P$3=FALSE),
ROUNDDOWN(INDEX(Y$4:Y1673,MATCH(LARGE(FILTER(W$4:W1673,W$4:W1673&lt;=I1068),1)"&amp;",W$4:W1673))+(I1068-LARGE(FILTER(W$4:W1673,W$4:W1673&lt;=I1068),1))*INDEX(T$4:T1673,MATCH(LARGE(FILTER(W$4:W1673,W$4:W1673&lt;=I1068),1),W$4:W1673))-K1068),1,
ROUNDDOWN(Y1068-INDEX(K$4:K1673,MATCH(LARGE(FILTER(I$4:I1673,I$4:I1673&lt;=W1068),1),I$4:I1673))-(W1068-L"&amp;"ARGE(FILTER(I$4:I1673,I$4:I1673&lt;=W1068),1))*INDEX(F$4:F1673,MATCH(LARGE(FILTER(I$4:I1673,I$4:I1673&lt;=W1068),1),I$4:I1673))))"),"")</f>
        <v/>
      </c>
      <c r="N1068" s="60" t="str">
        <f t="shared" si="8"/>
        <v/>
      </c>
      <c r="O1068" s="61" t="str">
        <f t="shared" si="9"/>
        <v/>
      </c>
      <c r="P1068" s="56" t="str">
        <f t="shared" si="10"/>
        <v/>
      </c>
      <c r="R1068" s="10"/>
      <c r="S1068" s="59" t="str">
        <f t="array" ref="S1068">IF(COUNTA(Q1068:Q1673)=0,"",SUM((COUNTIF(Q$4:Q1068,Upgrades!$B$3:$B$13)-COUNTIF(Q$4:Q1068,"Sell_"&amp;Upgrades!$B$3:$B$13))*Upgrades!$D$3:$D$13))</f>
        <v/>
      </c>
      <c r="T1068" s="66" t="str">
        <f>IFERROR(__xludf.DUMMYFUNCTION("IF(COUNTA(Q1068:Q1673)=0,"""",IF(REGEXMATCH(INDEX(FILTER(Q$4:Q1068,Q$4:Q1068&lt;&gt;""""),ROWS(FILTER(Q$4:Q1068,Q$4:Q1068&lt;&gt;""""))),""^Sell_""),INDEX(FILTER(T$4:T1067,Q$4:Q1067&lt;&gt;""""),ROWS(FILTER(Q$4:Q1067,Q$4:Q1067&lt;&gt;""""))),$AD$5+S1068))"),"")</f>
        <v/>
      </c>
      <c r="U1068" s="10" t="str">
        <f>IFERROR(__xludf.DUMMYFUNCTION("IF(COUNTA(Q1068:Q1673)=0,"""",IF(Q1068="""",0,IF(REGEXMATCH(Q1068,""^Sell_""),-ROUNDDOWN(ROUNDUP(INDEX(Upgrades!$C$3:$C$13,MATCH(SUBSTITUTE(Q1068,""Sell_"",""""),Upgrades!$B$3:$B$13,0))*1.15^(COUNTIF(Q$4:Q1067,SUBSTITUTE(Q1068,""Sell_"",""""))-COUNTIF(Q$4"&amp;":Q1067,""Sell_""&amp;SUBSTITUTE(Q1068,""Sell_"",""""))))/2),ROUNDUP(INDEX(Upgrades!$C$3:$C$13,MATCH(Q1068,Upgrades!$B$3:$B$13,0))*1.15^(COUNTIF(Q$4:Q1067,Q1068)-COUNTIF(Q$4:Q1067,""Sell_""&amp;Q1068))))))"),"")</f>
        <v/>
      </c>
      <c r="V1068" s="10" t="str">
        <f t="shared" si="11"/>
        <v/>
      </c>
      <c r="W1068" s="68" t="str">
        <f t="shared" si="12"/>
        <v/>
      </c>
      <c r="X1068" s="59" t="str">
        <f t="shared" si="13"/>
        <v/>
      </c>
      <c r="Y1068" s="69" t="str">
        <f t="shared" si="14"/>
        <v/>
      </c>
      <c r="Z1068" s="11"/>
    </row>
    <row r="1069">
      <c r="A1069" s="8"/>
      <c r="B1069" s="56" t="str">
        <f t="shared" si="2"/>
        <v/>
      </c>
      <c r="C1069" s="105"/>
      <c r="D1069" s="10"/>
      <c r="E1069" s="59" t="str">
        <f t="array" ref="E1069">IF(COUNTA(C1069:C1673)=0,"",SUM((COUNTIF(C$4:C1069,Upgrades!$B$3:$B$13)-COUNTIF(C$4:C1069,"Sell_"&amp;Upgrades!$B$3:$B$13))*Upgrades!$D$3:$D$13))</f>
        <v/>
      </c>
      <c r="F1069" s="66" t="str">
        <f>IFERROR(__xludf.DUMMYFUNCTION("IF(COUNTA(C1069:C1673)=0,"""",IF(REGEXMATCH(INDEX(FILTER(C$4:C1069,C$4:C1069&lt;&gt;""""),ROWS(FILTER(C$4:C1069,C$4:C1069&lt;&gt;""""))),""^Sell_""),INDEX(FILTER(F$4:F1068,C$4:C1068&lt;&gt;""""),ROWS(FILTER(C$4:C1068,C$4:C1068&lt;&gt;""""))),$AC$5+E1069))"),"")</f>
        <v/>
      </c>
      <c r="G1069" s="10" t="str">
        <f>IFERROR(__xludf.DUMMYFUNCTION("IF(COUNTA(C1069:C1673)=0,"""",IF(C1069="""",0,IF(REGEXMATCH(C1069,""^Sell_""),-ROUNDDOWN(ROUNDUP(INDEX(Upgrades!$C$3:$C$13,MATCH(SUBSTITUTE(C1069,""Sell_"",""""),Upgrades!$B$3:$B$13,0))*1.15^(COUNTIF(C$4:C1068,SUBSTITUTE(C1069,""Sell_"",""""))-COUNTIF(C$4"&amp;":C1068,""Sell_""&amp;SUBSTITUTE(C1069,""Sell_"",""""))))/2),ROUNDUP(INDEX(Upgrades!$C$3:$C$13,MATCH(C1069,Upgrades!$B$3:$B$13,0))*1.15^(COUNTIF(C$4:C1068,C1069)-COUNTIF(C$4:C1068,""Sell_""&amp;C1069))))))"),"")</f>
        <v/>
      </c>
      <c r="H1069" s="10" t="str">
        <f t="shared" si="3"/>
        <v/>
      </c>
      <c r="I1069" s="68" t="str">
        <f t="shared" si="4"/>
        <v/>
      </c>
      <c r="J1069" s="59" t="str">
        <f t="shared" si="5"/>
        <v/>
      </c>
      <c r="K1069" s="69" t="str">
        <f t="shared" si="6"/>
        <v/>
      </c>
      <c r="L1069" s="60" t="str">
        <f t="shared" si="7"/>
        <v/>
      </c>
      <c r="M1069" s="61" t="str">
        <f>IFERROR(__xludf.DUMMYFUNCTION("IFS(AND(COUNTA(C1069:C1673)=0,COUNTA(Q1069:Q1673)=0),"""",OR(AND(K1069&gt;=1000000000,OR(Y1069&gt;=1000000000,COUNTA(Q1069:Q1673)=0)),OR(Y1069&gt;=1000000000,AND(COUNTA(C1069:C1673)=0,P$3=TRUE))),
ROUNDDOWN((AB$1-AC$1)*MAX(INDEX(T$4:T1673,MATCH(LARGE(FILTER(Y$4:Y1"&amp;"673,Y$4:Y1673&lt;1000000000),1),Y$4:Y1673)),INDEX(F$4:F1673,MATCH(LARGE(FILTER(K$4:K1673,K$4:K1673&lt;1000000000),1),K$4:K1673)))),AND(K1069&lt;1000000000,COUNTA(C1069:C1673)&gt;0,P$3=FALSE),
ROUNDDOWN(INDEX(Y$4:Y1673,MATCH(LARGE(FILTER(W$4:W1673,W$4:W1673&lt;=I1069),1)"&amp;",W$4:W1673))+(I1069-LARGE(FILTER(W$4:W1673,W$4:W1673&lt;=I1069),1))*INDEX(T$4:T1673,MATCH(LARGE(FILTER(W$4:W1673,W$4:W1673&lt;=I1069),1),W$4:W1673))-K1069),1,
ROUNDDOWN(Y1069-INDEX(K$4:K1673,MATCH(LARGE(FILTER(I$4:I1673,I$4:I1673&lt;=W1069),1),I$4:I1673))-(W1069-L"&amp;"ARGE(FILTER(I$4:I1673,I$4:I1673&lt;=W1069),1))*INDEX(F$4:F1673,MATCH(LARGE(FILTER(I$4:I1673,I$4:I1673&lt;=W1069),1),I$4:I1673))))"),"")</f>
        <v/>
      </c>
      <c r="N1069" s="60" t="str">
        <f t="shared" si="8"/>
        <v/>
      </c>
      <c r="O1069" s="61" t="str">
        <f t="shared" si="9"/>
        <v/>
      </c>
      <c r="P1069" s="56" t="str">
        <f t="shared" si="10"/>
        <v/>
      </c>
      <c r="R1069" s="10"/>
      <c r="S1069" s="59" t="str">
        <f t="array" ref="S1069">IF(COUNTA(Q1069:Q1673)=0,"",SUM((COUNTIF(Q$4:Q1069,Upgrades!$B$3:$B$13)-COUNTIF(Q$4:Q1069,"Sell_"&amp;Upgrades!$B$3:$B$13))*Upgrades!$D$3:$D$13))</f>
        <v/>
      </c>
      <c r="T1069" s="66" t="str">
        <f>IFERROR(__xludf.DUMMYFUNCTION("IF(COUNTA(Q1069:Q1673)=0,"""",IF(REGEXMATCH(INDEX(FILTER(Q$4:Q1069,Q$4:Q1069&lt;&gt;""""),ROWS(FILTER(Q$4:Q1069,Q$4:Q1069&lt;&gt;""""))),""^Sell_""),INDEX(FILTER(T$4:T1068,Q$4:Q1068&lt;&gt;""""),ROWS(FILTER(Q$4:Q1068,Q$4:Q1068&lt;&gt;""""))),$AD$5+S1069))"),"")</f>
        <v/>
      </c>
      <c r="U1069" s="10" t="str">
        <f>IFERROR(__xludf.DUMMYFUNCTION("IF(COUNTA(Q1069:Q1673)=0,"""",IF(Q1069="""",0,IF(REGEXMATCH(Q1069,""^Sell_""),-ROUNDDOWN(ROUNDUP(INDEX(Upgrades!$C$3:$C$13,MATCH(SUBSTITUTE(Q1069,""Sell_"",""""),Upgrades!$B$3:$B$13,0))*1.15^(COUNTIF(Q$4:Q1068,SUBSTITUTE(Q1069,""Sell_"",""""))-COUNTIF(Q$4"&amp;":Q1068,""Sell_""&amp;SUBSTITUTE(Q1069,""Sell_"",""""))))/2),ROUNDUP(INDEX(Upgrades!$C$3:$C$13,MATCH(Q1069,Upgrades!$B$3:$B$13,0))*1.15^(COUNTIF(Q$4:Q1068,Q1069)-COUNTIF(Q$4:Q1068,""Sell_""&amp;Q1069))))))"),"")</f>
        <v/>
      </c>
      <c r="V1069" s="10" t="str">
        <f t="shared" si="11"/>
        <v/>
      </c>
      <c r="W1069" s="68" t="str">
        <f t="shared" si="12"/>
        <v/>
      </c>
      <c r="X1069" s="59" t="str">
        <f t="shared" si="13"/>
        <v/>
      </c>
      <c r="Y1069" s="69" t="str">
        <f t="shared" si="14"/>
        <v/>
      </c>
      <c r="Z1069" s="11"/>
    </row>
    <row r="1070">
      <c r="A1070" s="8"/>
      <c r="B1070" s="56" t="str">
        <f t="shared" si="2"/>
        <v/>
      </c>
      <c r="C1070" s="105"/>
      <c r="D1070" s="10"/>
      <c r="E1070" s="59" t="str">
        <f t="array" ref="E1070">IF(COUNTA(C1070:C1673)=0,"",SUM((COUNTIF(C$4:C1070,Upgrades!$B$3:$B$13)-COUNTIF(C$4:C1070,"Sell_"&amp;Upgrades!$B$3:$B$13))*Upgrades!$D$3:$D$13))</f>
        <v/>
      </c>
      <c r="F1070" s="66" t="str">
        <f>IFERROR(__xludf.DUMMYFUNCTION("IF(COUNTA(C1070:C1673)=0,"""",IF(REGEXMATCH(INDEX(FILTER(C$4:C1070,C$4:C1070&lt;&gt;""""),ROWS(FILTER(C$4:C1070,C$4:C1070&lt;&gt;""""))),""^Sell_""),INDEX(FILTER(F$4:F1069,C$4:C1069&lt;&gt;""""),ROWS(FILTER(C$4:C1069,C$4:C1069&lt;&gt;""""))),$AC$5+E1070))"),"")</f>
        <v/>
      </c>
      <c r="G1070" s="10" t="str">
        <f>IFERROR(__xludf.DUMMYFUNCTION("IF(COUNTA(C1070:C1673)=0,"""",IF(C1070="""",0,IF(REGEXMATCH(C1070,""^Sell_""),-ROUNDDOWN(ROUNDUP(INDEX(Upgrades!$C$3:$C$13,MATCH(SUBSTITUTE(C1070,""Sell_"",""""),Upgrades!$B$3:$B$13,0))*1.15^(COUNTIF(C$4:C1069,SUBSTITUTE(C1070,""Sell_"",""""))-COUNTIF(C$4"&amp;":C1069,""Sell_""&amp;SUBSTITUTE(C1070,""Sell_"",""""))))/2),ROUNDUP(INDEX(Upgrades!$C$3:$C$13,MATCH(C1070,Upgrades!$B$3:$B$13,0))*1.15^(COUNTIF(C$4:C1069,C1070)-COUNTIF(C$4:C1069,""Sell_""&amp;C1070))))))"),"")</f>
        <v/>
      </c>
      <c r="H1070" s="10" t="str">
        <f t="shared" si="3"/>
        <v/>
      </c>
      <c r="I1070" s="68" t="str">
        <f t="shared" si="4"/>
        <v/>
      </c>
      <c r="J1070" s="59" t="str">
        <f t="shared" si="5"/>
        <v/>
      </c>
      <c r="K1070" s="69" t="str">
        <f t="shared" si="6"/>
        <v/>
      </c>
      <c r="L1070" s="60" t="str">
        <f t="shared" si="7"/>
        <v/>
      </c>
      <c r="M1070" s="61" t="str">
        <f>IFERROR(__xludf.DUMMYFUNCTION("IFS(AND(COUNTA(C1070:C1673)=0,COUNTA(Q1070:Q1673)=0),"""",OR(AND(K1070&gt;=1000000000,OR(Y1070&gt;=1000000000,COUNTA(Q1070:Q1673)=0)),OR(Y1070&gt;=1000000000,AND(COUNTA(C1070:C1673)=0,P$3=TRUE))),
ROUNDDOWN((AB$1-AC$1)*MAX(INDEX(T$4:T1673,MATCH(LARGE(FILTER(Y$4:Y1"&amp;"673,Y$4:Y1673&lt;1000000000),1),Y$4:Y1673)),INDEX(F$4:F1673,MATCH(LARGE(FILTER(K$4:K1673,K$4:K1673&lt;1000000000),1),K$4:K1673)))),AND(K1070&lt;1000000000,COUNTA(C1070:C1673)&gt;0,P$3=FALSE),
ROUNDDOWN(INDEX(Y$4:Y1673,MATCH(LARGE(FILTER(W$4:W1673,W$4:W1673&lt;=I1070),1)"&amp;",W$4:W1673))+(I1070-LARGE(FILTER(W$4:W1673,W$4:W1673&lt;=I1070),1))*INDEX(T$4:T1673,MATCH(LARGE(FILTER(W$4:W1673,W$4:W1673&lt;=I1070),1),W$4:W1673))-K1070),1,
ROUNDDOWN(Y1070-INDEX(K$4:K1673,MATCH(LARGE(FILTER(I$4:I1673,I$4:I1673&lt;=W1070),1),I$4:I1673))-(W1070-L"&amp;"ARGE(FILTER(I$4:I1673,I$4:I1673&lt;=W1070),1))*INDEX(F$4:F1673,MATCH(LARGE(FILTER(I$4:I1673,I$4:I1673&lt;=W1070),1),I$4:I1673))))"),"")</f>
        <v/>
      </c>
      <c r="N1070" s="60" t="str">
        <f t="shared" si="8"/>
        <v/>
      </c>
      <c r="O1070" s="61" t="str">
        <f t="shared" si="9"/>
        <v/>
      </c>
      <c r="P1070" s="56" t="str">
        <f t="shared" si="10"/>
        <v/>
      </c>
      <c r="R1070" s="10"/>
      <c r="S1070" s="59" t="str">
        <f t="array" ref="S1070">IF(COUNTA(Q1070:Q1673)=0,"",SUM((COUNTIF(Q$4:Q1070,Upgrades!$B$3:$B$13)-COUNTIF(Q$4:Q1070,"Sell_"&amp;Upgrades!$B$3:$B$13))*Upgrades!$D$3:$D$13))</f>
        <v/>
      </c>
      <c r="T1070" s="66" t="str">
        <f>IFERROR(__xludf.DUMMYFUNCTION("IF(COUNTA(Q1070:Q1673)=0,"""",IF(REGEXMATCH(INDEX(FILTER(Q$4:Q1070,Q$4:Q1070&lt;&gt;""""),ROWS(FILTER(Q$4:Q1070,Q$4:Q1070&lt;&gt;""""))),""^Sell_""),INDEX(FILTER(T$4:T1069,Q$4:Q1069&lt;&gt;""""),ROWS(FILTER(Q$4:Q1069,Q$4:Q1069&lt;&gt;""""))),$AD$5+S1070))"),"")</f>
        <v/>
      </c>
      <c r="U1070" s="10" t="str">
        <f>IFERROR(__xludf.DUMMYFUNCTION("IF(COUNTA(Q1070:Q1673)=0,"""",IF(Q1070="""",0,IF(REGEXMATCH(Q1070,""^Sell_""),-ROUNDDOWN(ROUNDUP(INDEX(Upgrades!$C$3:$C$13,MATCH(SUBSTITUTE(Q1070,""Sell_"",""""),Upgrades!$B$3:$B$13,0))*1.15^(COUNTIF(Q$4:Q1069,SUBSTITUTE(Q1070,""Sell_"",""""))-COUNTIF(Q$4"&amp;":Q1069,""Sell_""&amp;SUBSTITUTE(Q1070,""Sell_"",""""))))/2),ROUNDUP(INDEX(Upgrades!$C$3:$C$13,MATCH(Q1070,Upgrades!$B$3:$B$13,0))*1.15^(COUNTIF(Q$4:Q1069,Q1070)-COUNTIF(Q$4:Q1069,""Sell_""&amp;Q1070))))))"),"")</f>
        <v/>
      </c>
      <c r="V1070" s="10" t="str">
        <f t="shared" si="11"/>
        <v/>
      </c>
      <c r="W1070" s="68" t="str">
        <f t="shared" si="12"/>
        <v/>
      </c>
      <c r="X1070" s="59" t="str">
        <f t="shared" si="13"/>
        <v/>
      </c>
      <c r="Y1070" s="69" t="str">
        <f t="shared" si="14"/>
        <v/>
      </c>
      <c r="Z1070" s="11"/>
    </row>
    <row r="1071">
      <c r="A1071" s="8"/>
      <c r="B1071" s="56" t="str">
        <f t="shared" si="2"/>
        <v/>
      </c>
      <c r="C1071" s="105"/>
      <c r="D1071" s="10"/>
      <c r="E1071" s="59" t="str">
        <f t="array" ref="E1071">IF(COUNTA(C1071:C1673)=0,"",SUM((COUNTIF(C$4:C1071,Upgrades!$B$3:$B$13)-COUNTIF(C$4:C1071,"Sell_"&amp;Upgrades!$B$3:$B$13))*Upgrades!$D$3:$D$13))</f>
        <v/>
      </c>
      <c r="F1071" s="66" t="str">
        <f>IFERROR(__xludf.DUMMYFUNCTION("IF(COUNTA(C1071:C1673)=0,"""",IF(REGEXMATCH(INDEX(FILTER(C$4:C1071,C$4:C1071&lt;&gt;""""),ROWS(FILTER(C$4:C1071,C$4:C1071&lt;&gt;""""))),""^Sell_""),INDEX(FILTER(F$4:F1070,C$4:C1070&lt;&gt;""""),ROWS(FILTER(C$4:C1070,C$4:C1070&lt;&gt;""""))),$AC$5+E1071))"),"")</f>
        <v/>
      </c>
      <c r="G1071" s="10" t="str">
        <f>IFERROR(__xludf.DUMMYFUNCTION("IF(COUNTA(C1071:C1673)=0,"""",IF(C1071="""",0,IF(REGEXMATCH(C1071,""^Sell_""),-ROUNDDOWN(ROUNDUP(INDEX(Upgrades!$C$3:$C$13,MATCH(SUBSTITUTE(C1071,""Sell_"",""""),Upgrades!$B$3:$B$13,0))*1.15^(COUNTIF(C$4:C1070,SUBSTITUTE(C1071,""Sell_"",""""))-COUNTIF(C$4"&amp;":C1070,""Sell_""&amp;SUBSTITUTE(C1071,""Sell_"",""""))))/2),ROUNDUP(INDEX(Upgrades!$C$3:$C$13,MATCH(C1071,Upgrades!$B$3:$B$13,0))*1.15^(COUNTIF(C$4:C1070,C1071)-COUNTIF(C$4:C1070,""Sell_""&amp;C1071))))))"),"")</f>
        <v/>
      </c>
      <c r="H1071" s="10" t="str">
        <f t="shared" si="3"/>
        <v/>
      </c>
      <c r="I1071" s="68" t="str">
        <f t="shared" si="4"/>
        <v/>
      </c>
      <c r="J1071" s="59" t="str">
        <f t="shared" si="5"/>
        <v/>
      </c>
      <c r="K1071" s="69" t="str">
        <f t="shared" si="6"/>
        <v/>
      </c>
      <c r="L1071" s="60" t="str">
        <f t="shared" si="7"/>
        <v/>
      </c>
      <c r="M1071" s="61" t="str">
        <f>IFERROR(__xludf.DUMMYFUNCTION("IFS(AND(COUNTA(C1071:C1673)=0,COUNTA(Q1071:Q1673)=0),"""",OR(AND(K1071&gt;=1000000000,OR(Y1071&gt;=1000000000,COUNTA(Q1071:Q1673)=0)),OR(Y1071&gt;=1000000000,AND(COUNTA(C1071:C1673)=0,P$3=TRUE))),
ROUNDDOWN((AB$1-AC$1)*MAX(INDEX(T$4:T1673,MATCH(LARGE(FILTER(Y$4:Y1"&amp;"673,Y$4:Y1673&lt;1000000000),1),Y$4:Y1673)),INDEX(F$4:F1673,MATCH(LARGE(FILTER(K$4:K1673,K$4:K1673&lt;1000000000),1),K$4:K1673)))),AND(K1071&lt;1000000000,COUNTA(C1071:C1673)&gt;0,P$3=FALSE),
ROUNDDOWN(INDEX(Y$4:Y1673,MATCH(LARGE(FILTER(W$4:W1673,W$4:W1673&lt;=I1071),1)"&amp;",W$4:W1673))+(I1071-LARGE(FILTER(W$4:W1673,W$4:W1673&lt;=I1071),1))*INDEX(T$4:T1673,MATCH(LARGE(FILTER(W$4:W1673,W$4:W1673&lt;=I1071),1),W$4:W1673))-K1071),1,
ROUNDDOWN(Y1071-INDEX(K$4:K1673,MATCH(LARGE(FILTER(I$4:I1673,I$4:I1673&lt;=W1071),1),I$4:I1673))-(W1071-L"&amp;"ARGE(FILTER(I$4:I1673,I$4:I1673&lt;=W1071),1))*INDEX(F$4:F1673,MATCH(LARGE(FILTER(I$4:I1673,I$4:I1673&lt;=W1071),1),I$4:I1673))))"),"")</f>
        <v/>
      </c>
      <c r="N1071" s="60" t="str">
        <f t="shared" si="8"/>
        <v/>
      </c>
      <c r="O1071" s="61" t="str">
        <f t="shared" si="9"/>
        <v/>
      </c>
      <c r="P1071" s="56" t="str">
        <f t="shared" si="10"/>
        <v/>
      </c>
      <c r="R1071" s="10"/>
      <c r="S1071" s="59" t="str">
        <f t="array" ref="S1071">IF(COUNTA(Q1071:Q1673)=0,"",SUM((COUNTIF(Q$4:Q1071,Upgrades!$B$3:$B$13)-COUNTIF(Q$4:Q1071,"Sell_"&amp;Upgrades!$B$3:$B$13))*Upgrades!$D$3:$D$13))</f>
        <v/>
      </c>
      <c r="T1071" s="66" t="str">
        <f>IFERROR(__xludf.DUMMYFUNCTION("IF(COUNTA(Q1071:Q1673)=0,"""",IF(REGEXMATCH(INDEX(FILTER(Q$4:Q1071,Q$4:Q1071&lt;&gt;""""),ROWS(FILTER(Q$4:Q1071,Q$4:Q1071&lt;&gt;""""))),""^Sell_""),INDEX(FILTER(T$4:T1070,Q$4:Q1070&lt;&gt;""""),ROWS(FILTER(Q$4:Q1070,Q$4:Q1070&lt;&gt;""""))),$AD$5+S1071))"),"")</f>
        <v/>
      </c>
      <c r="U1071" s="10" t="str">
        <f>IFERROR(__xludf.DUMMYFUNCTION("IF(COUNTA(Q1071:Q1673)=0,"""",IF(Q1071="""",0,IF(REGEXMATCH(Q1071,""^Sell_""),-ROUNDDOWN(ROUNDUP(INDEX(Upgrades!$C$3:$C$13,MATCH(SUBSTITUTE(Q1071,""Sell_"",""""),Upgrades!$B$3:$B$13,0))*1.15^(COUNTIF(Q$4:Q1070,SUBSTITUTE(Q1071,""Sell_"",""""))-COUNTIF(Q$4"&amp;":Q1070,""Sell_""&amp;SUBSTITUTE(Q1071,""Sell_"",""""))))/2),ROUNDUP(INDEX(Upgrades!$C$3:$C$13,MATCH(Q1071,Upgrades!$B$3:$B$13,0))*1.15^(COUNTIF(Q$4:Q1070,Q1071)-COUNTIF(Q$4:Q1070,""Sell_""&amp;Q1071))))))"),"")</f>
        <v/>
      </c>
      <c r="V1071" s="10" t="str">
        <f t="shared" si="11"/>
        <v/>
      </c>
      <c r="W1071" s="68" t="str">
        <f t="shared" si="12"/>
        <v/>
      </c>
      <c r="X1071" s="59" t="str">
        <f t="shared" si="13"/>
        <v/>
      </c>
      <c r="Y1071" s="69" t="str">
        <f t="shared" si="14"/>
        <v/>
      </c>
      <c r="Z1071" s="11"/>
    </row>
    <row r="1072">
      <c r="A1072" s="8"/>
      <c r="B1072" s="56" t="str">
        <f t="shared" si="2"/>
        <v/>
      </c>
      <c r="C1072" s="105"/>
      <c r="D1072" s="10"/>
      <c r="E1072" s="59" t="str">
        <f t="array" ref="E1072">IF(COUNTA(C1072:C1673)=0,"",SUM((COUNTIF(C$4:C1072,Upgrades!$B$3:$B$13)-COUNTIF(C$4:C1072,"Sell_"&amp;Upgrades!$B$3:$B$13))*Upgrades!$D$3:$D$13))</f>
        <v/>
      </c>
      <c r="F1072" s="66" t="str">
        <f>IFERROR(__xludf.DUMMYFUNCTION("IF(COUNTA(C1072:C1673)=0,"""",IF(REGEXMATCH(INDEX(FILTER(C$4:C1072,C$4:C1072&lt;&gt;""""),ROWS(FILTER(C$4:C1072,C$4:C1072&lt;&gt;""""))),""^Sell_""),INDEX(FILTER(F$4:F1071,C$4:C1071&lt;&gt;""""),ROWS(FILTER(C$4:C1071,C$4:C1071&lt;&gt;""""))),$AC$5+E1072))"),"")</f>
        <v/>
      </c>
      <c r="G1072" s="10" t="str">
        <f>IFERROR(__xludf.DUMMYFUNCTION("IF(COUNTA(C1072:C1673)=0,"""",IF(C1072="""",0,IF(REGEXMATCH(C1072,""^Sell_""),-ROUNDDOWN(ROUNDUP(INDEX(Upgrades!$C$3:$C$13,MATCH(SUBSTITUTE(C1072,""Sell_"",""""),Upgrades!$B$3:$B$13,0))*1.15^(COUNTIF(C$4:C1071,SUBSTITUTE(C1072,""Sell_"",""""))-COUNTIF(C$4"&amp;":C1071,""Sell_""&amp;SUBSTITUTE(C1072,""Sell_"",""""))))/2),ROUNDUP(INDEX(Upgrades!$C$3:$C$13,MATCH(C1072,Upgrades!$B$3:$B$13,0))*1.15^(COUNTIF(C$4:C1071,C1072)-COUNTIF(C$4:C1071,""Sell_""&amp;C1072))))))"),"")</f>
        <v/>
      </c>
      <c r="H1072" s="10" t="str">
        <f t="shared" si="3"/>
        <v/>
      </c>
      <c r="I1072" s="68" t="str">
        <f t="shared" si="4"/>
        <v/>
      </c>
      <c r="J1072" s="59" t="str">
        <f t="shared" si="5"/>
        <v/>
      </c>
      <c r="K1072" s="69" t="str">
        <f t="shared" si="6"/>
        <v/>
      </c>
      <c r="L1072" s="60" t="str">
        <f t="shared" si="7"/>
        <v/>
      </c>
      <c r="M1072" s="61" t="str">
        <f>IFERROR(__xludf.DUMMYFUNCTION("IFS(AND(COUNTA(C1072:C1673)=0,COUNTA(Q1072:Q1673)=0),"""",OR(AND(K1072&gt;=1000000000,OR(Y1072&gt;=1000000000,COUNTA(Q1072:Q1673)=0)),OR(Y1072&gt;=1000000000,AND(COUNTA(C1072:C1673)=0,P$3=TRUE))),
ROUNDDOWN((AB$1-AC$1)*MAX(INDEX(T$4:T1673,MATCH(LARGE(FILTER(Y$4:Y1"&amp;"673,Y$4:Y1673&lt;1000000000),1),Y$4:Y1673)),INDEX(F$4:F1673,MATCH(LARGE(FILTER(K$4:K1673,K$4:K1673&lt;1000000000),1),K$4:K1673)))),AND(K1072&lt;1000000000,COUNTA(C1072:C1673)&gt;0,P$3=FALSE),
ROUNDDOWN(INDEX(Y$4:Y1673,MATCH(LARGE(FILTER(W$4:W1673,W$4:W1673&lt;=I1072),1)"&amp;",W$4:W1673))+(I1072-LARGE(FILTER(W$4:W1673,W$4:W1673&lt;=I1072),1))*INDEX(T$4:T1673,MATCH(LARGE(FILTER(W$4:W1673,W$4:W1673&lt;=I1072),1),W$4:W1673))-K1072),1,
ROUNDDOWN(Y1072-INDEX(K$4:K1673,MATCH(LARGE(FILTER(I$4:I1673,I$4:I1673&lt;=W1072),1),I$4:I1673))-(W1072-L"&amp;"ARGE(FILTER(I$4:I1673,I$4:I1673&lt;=W1072),1))*INDEX(F$4:F1673,MATCH(LARGE(FILTER(I$4:I1673,I$4:I1673&lt;=W1072),1),I$4:I1673))))"),"")</f>
        <v/>
      </c>
      <c r="N1072" s="60" t="str">
        <f t="shared" si="8"/>
        <v/>
      </c>
      <c r="O1072" s="61" t="str">
        <f t="shared" si="9"/>
        <v/>
      </c>
      <c r="P1072" s="56" t="str">
        <f t="shared" si="10"/>
        <v/>
      </c>
      <c r="R1072" s="10"/>
      <c r="S1072" s="59" t="str">
        <f t="array" ref="S1072">IF(COUNTA(Q1072:Q1673)=0,"",SUM((COUNTIF(Q$4:Q1072,Upgrades!$B$3:$B$13)-COUNTIF(Q$4:Q1072,"Sell_"&amp;Upgrades!$B$3:$B$13))*Upgrades!$D$3:$D$13))</f>
        <v/>
      </c>
      <c r="T1072" s="66" t="str">
        <f>IFERROR(__xludf.DUMMYFUNCTION("IF(COUNTA(Q1072:Q1673)=0,"""",IF(REGEXMATCH(INDEX(FILTER(Q$4:Q1072,Q$4:Q1072&lt;&gt;""""),ROWS(FILTER(Q$4:Q1072,Q$4:Q1072&lt;&gt;""""))),""^Sell_""),INDEX(FILTER(T$4:T1071,Q$4:Q1071&lt;&gt;""""),ROWS(FILTER(Q$4:Q1071,Q$4:Q1071&lt;&gt;""""))),$AD$5+S1072))"),"")</f>
        <v/>
      </c>
      <c r="U1072" s="10" t="str">
        <f>IFERROR(__xludf.DUMMYFUNCTION("IF(COUNTA(Q1072:Q1673)=0,"""",IF(Q1072="""",0,IF(REGEXMATCH(Q1072,""^Sell_""),-ROUNDDOWN(ROUNDUP(INDEX(Upgrades!$C$3:$C$13,MATCH(SUBSTITUTE(Q1072,""Sell_"",""""),Upgrades!$B$3:$B$13,0))*1.15^(COUNTIF(Q$4:Q1071,SUBSTITUTE(Q1072,""Sell_"",""""))-COUNTIF(Q$4"&amp;":Q1071,""Sell_""&amp;SUBSTITUTE(Q1072,""Sell_"",""""))))/2),ROUNDUP(INDEX(Upgrades!$C$3:$C$13,MATCH(Q1072,Upgrades!$B$3:$B$13,0))*1.15^(COUNTIF(Q$4:Q1071,Q1072)-COUNTIF(Q$4:Q1071,""Sell_""&amp;Q1072))))))"),"")</f>
        <v/>
      </c>
      <c r="V1072" s="10" t="str">
        <f t="shared" si="11"/>
        <v/>
      </c>
      <c r="W1072" s="68" t="str">
        <f t="shared" si="12"/>
        <v/>
      </c>
      <c r="X1072" s="59" t="str">
        <f t="shared" si="13"/>
        <v/>
      </c>
      <c r="Y1072" s="69" t="str">
        <f t="shared" si="14"/>
        <v/>
      </c>
      <c r="Z1072" s="11"/>
    </row>
    <row r="1073">
      <c r="A1073" s="8"/>
      <c r="B1073" s="56" t="str">
        <f t="shared" si="2"/>
        <v/>
      </c>
      <c r="C1073" s="105"/>
      <c r="D1073" s="10"/>
      <c r="E1073" s="59" t="str">
        <f t="array" ref="E1073">IF(COUNTA(C1073:C1673)=0,"",SUM((COUNTIF(C$4:C1073,Upgrades!$B$3:$B$13)-COUNTIF(C$4:C1073,"Sell_"&amp;Upgrades!$B$3:$B$13))*Upgrades!$D$3:$D$13))</f>
        <v/>
      </c>
      <c r="F1073" s="66" t="str">
        <f>IFERROR(__xludf.DUMMYFUNCTION("IF(COUNTA(C1073:C1673)=0,"""",IF(REGEXMATCH(INDEX(FILTER(C$4:C1073,C$4:C1073&lt;&gt;""""),ROWS(FILTER(C$4:C1073,C$4:C1073&lt;&gt;""""))),""^Sell_""),INDEX(FILTER(F$4:F1072,C$4:C1072&lt;&gt;""""),ROWS(FILTER(C$4:C1072,C$4:C1072&lt;&gt;""""))),$AC$5+E1073))"),"")</f>
        <v/>
      </c>
      <c r="G1073" s="10" t="str">
        <f>IFERROR(__xludf.DUMMYFUNCTION("IF(COUNTA(C1073:C1673)=0,"""",IF(C1073="""",0,IF(REGEXMATCH(C1073,""^Sell_""),-ROUNDDOWN(ROUNDUP(INDEX(Upgrades!$C$3:$C$13,MATCH(SUBSTITUTE(C1073,""Sell_"",""""),Upgrades!$B$3:$B$13,0))*1.15^(COUNTIF(C$4:C1072,SUBSTITUTE(C1073,""Sell_"",""""))-COUNTIF(C$4"&amp;":C1072,""Sell_""&amp;SUBSTITUTE(C1073,""Sell_"",""""))))/2),ROUNDUP(INDEX(Upgrades!$C$3:$C$13,MATCH(C1073,Upgrades!$B$3:$B$13,0))*1.15^(COUNTIF(C$4:C1072,C1073)-COUNTIF(C$4:C1072,""Sell_""&amp;C1073))))))"),"")</f>
        <v/>
      </c>
      <c r="H1073" s="10" t="str">
        <f t="shared" si="3"/>
        <v/>
      </c>
      <c r="I1073" s="68" t="str">
        <f t="shared" si="4"/>
        <v/>
      </c>
      <c r="J1073" s="59" t="str">
        <f t="shared" si="5"/>
        <v/>
      </c>
      <c r="K1073" s="69" t="str">
        <f t="shared" si="6"/>
        <v/>
      </c>
      <c r="L1073" s="60" t="str">
        <f t="shared" si="7"/>
        <v/>
      </c>
      <c r="M1073" s="61" t="str">
        <f>IFERROR(__xludf.DUMMYFUNCTION("IFS(AND(COUNTA(C1073:C1673)=0,COUNTA(Q1073:Q1673)=0),"""",OR(AND(K1073&gt;=1000000000,OR(Y1073&gt;=1000000000,COUNTA(Q1073:Q1673)=0)),OR(Y1073&gt;=1000000000,AND(COUNTA(C1073:C1673)=0,P$3=TRUE))),
ROUNDDOWN((AB$1-AC$1)*MAX(INDEX(T$4:T1673,MATCH(LARGE(FILTER(Y$4:Y1"&amp;"673,Y$4:Y1673&lt;1000000000),1),Y$4:Y1673)),INDEX(F$4:F1673,MATCH(LARGE(FILTER(K$4:K1673,K$4:K1673&lt;1000000000),1),K$4:K1673)))),AND(K1073&lt;1000000000,COUNTA(C1073:C1673)&gt;0,P$3=FALSE),
ROUNDDOWN(INDEX(Y$4:Y1673,MATCH(LARGE(FILTER(W$4:W1673,W$4:W1673&lt;=I1073),1)"&amp;",W$4:W1673))+(I1073-LARGE(FILTER(W$4:W1673,W$4:W1673&lt;=I1073),1))*INDEX(T$4:T1673,MATCH(LARGE(FILTER(W$4:W1673,W$4:W1673&lt;=I1073),1),W$4:W1673))-K1073),1,
ROUNDDOWN(Y1073-INDEX(K$4:K1673,MATCH(LARGE(FILTER(I$4:I1673,I$4:I1673&lt;=W1073),1),I$4:I1673))-(W1073-L"&amp;"ARGE(FILTER(I$4:I1673,I$4:I1673&lt;=W1073),1))*INDEX(F$4:F1673,MATCH(LARGE(FILTER(I$4:I1673,I$4:I1673&lt;=W1073),1),I$4:I1673))))"),"")</f>
        <v/>
      </c>
      <c r="N1073" s="60" t="str">
        <f t="shared" si="8"/>
        <v/>
      </c>
      <c r="O1073" s="61" t="str">
        <f t="shared" si="9"/>
        <v/>
      </c>
      <c r="P1073" s="56" t="str">
        <f t="shared" si="10"/>
        <v/>
      </c>
      <c r="R1073" s="10"/>
      <c r="S1073" s="59" t="str">
        <f t="array" ref="S1073">IF(COUNTA(Q1073:Q1673)=0,"",SUM((COUNTIF(Q$4:Q1073,Upgrades!$B$3:$B$13)-COUNTIF(Q$4:Q1073,"Sell_"&amp;Upgrades!$B$3:$B$13))*Upgrades!$D$3:$D$13))</f>
        <v/>
      </c>
      <c r="T1073" s="66" t="str">
        <f>IFERROR(__xludf.DUMMYFUNCTION("IF(COUNTA(Q1073:Q1673)=0,"""",IF(REGEXMATCH(INDEX(FILTER(Q$4:Q1073,Q$4:Q1073&lt;&gt;""""),ROWS(FILTER(Q$4:Q1073,Q$4:Q1073&lt;&gt;""""))),""^Sell_""),INDEX(FILTER(T$4:T1072,Q$4:Q1072&lt;&gt;""""),ROWS(FILTER(Q$4:Q1072,Q$4:Q1072&lt;&gt;""""))),$AD$5+S1073))"),"")</f>
        <v/>
      </c>
      <c r="U1073" s="10" t="str">
        <f>IFERROR(__xludf.DUMMYFUNCTION("IF(COUNTA(Q1073:Q1673)=0,"""",IF(Q1073="""",0,IF(REGEXMATCH(Q1073,""^Sell_""),-ROUNDDOWN(ROUNDUP(INDEX(Upgrades!$C$3:$C$13,MATCH(SUBSTITUTE(Q1073,""Sell_"",""""),Upgrades!$B$3:$B$13,0))*1.15^(COUNTIF(Q$4:Q1072,SUBSTITUTE(Q1073,""Sell_"",""""))-COUNTIF(Q$4"&amp;":Q1072,""Sell_""&amp;SUBSTITUTE(Q1073,""Sell_"",""""))))/2),ROUNDUP(INDEX(Upgrades!$C$3:$C$13,MATCH(Q1073,Upgrades!$B$3:$B$13,0))*1.15^(COUNTIF(Q$4:Q1072,Q1073)-COUNTIF(Q$4:Q1072,""Sell_""&amp;Q1073))))))"),"")</f>
        <v/>
      </c>
      <c r="V1073" s="10" t="str">
        <f t="shared" si="11"/>
        <v/>
      </c>
      <c r="W1073" s="68" t="str">
        <f t="shared" si="12"/>
        <v/>
      </c>
      <c r="X1073" s="59" t="str">
        <f t="shared" si="13"/>
        <v/>
      </c>
      <c r="Y1073" s="69" t="str">
        <f t="shared" si="14"/>
        <v/>
      </c>
      <c r="Z1073" s="11"/>
    </row>
    <row r="1074">
      <c r="A1074" s="8"/>
      <c r="B1074" s="56" t="str">
        <f t="shared" si="2"/>
        <v/>
      </c>
      <c r="C1074" s="105"/>
      <c r="D1074" s="10"/>
      <c r="E1074" s="59" t="str">
        <f t="array" ref="E1074">IF(COUNTA(C1074:C1673)=0,"",SUM((COUNTIF(C$4:C1074,Upgrades!$B$3:$B$13)-COUNTIF(C$4:C1074,"Sell_"&amp;Upgrades!$B$3:$B$13))*Upgrades!$D$3:$D$13))</f>
        <v/>
      </c>
      <c r="F1074" s="66" t="str">
        <f>IFERROR(__xludf.DUMMYFUNCTION("IF(COUNTA(C1074:C1673)=0,"""",IF(REGEXMATCH(INDEX(FILTER(C$4:C1074,C$4:C1074&lt;&gt;""""),ROWS(FILTER(C$4:C1074,C$4:C1074&lt;&gt;""""))),""^Sell_""),INDEX(FILTER(F$4:F1073,C$4:C1073&lt;&gt;""""),ROWS(FILTER(C$4:C1073,C$4:C1073&lt;&gt;""""))),$AC$5+E1074))"),"")</f>
        <v/>
      </c>
      <c r="G1074" s="10" t="str">
        <f>IFERROR(__xludf.DUMMYFUNCTION("IF(COUNTA(C1074:C1673)=0,"""",IF(C1074="""",0,IF(REGEXMATCH(C1074,""^Sell_""),-ROUNDDOWN(ROUNDUP(INDEX(Upgrades!$C$3:$C$13,MATCH(SUBSTITUTE(C1074,""Sell_"",""""),Upgrades!$B$3:$B$13,0))*1.15^(COUNTIF(C$4:C1073,SUBSTITUTE(C1074,""Sell_"",""""))-COUNTIF(C$4"&amp;":C1073,""Sell_""&amp;SUBSTITUTE(C1074,""Sell_"",""""))))/2),ROUNDUP(INDEX(Upgrades!$C$3:$C$13,MATCH(C1074,Upgrades!$B$3:$B$13,0))*1.15^(COUNTIF(C$4:C1073,C1074)-COUNTIF(C$4:C1073,""Sell_""&amp;C1074))))))"),"")</f>
        <v/>
      </c>
      <c r="H1074" s="10" t="str">
        <f t="shared" si="3"/>
        <v/>
      </c>
      <c r="I1074" s="68" t="str">
        <f t="shared" si="4"/>
        <v/>
      </c>
      <c r="J1074" s="59" t="str">
        <f t="shared" si="5"/>
        <v/>
      </c>
      <c r="K1074" s="69" t="str">
        <f t="shared" si="6"/>
        <v/>
      </c>
      <c r="L1074" s="60" t="str">
        <f t="shared" si="7"/>
        <v/>
      </c>
      <c r="M1074" s="61" t="str">
        <f>IFERROR(__xludf.DUMMYFUNCTION("IFS(AND(COUNTA(C1074:C1673)=0,COUNTA(Q1074:Q1673)=0),"""",OR(AND(K1074&gt;=1000000000,OR(Y1074&gt;=1000000000,COUNTA(Q1074:Q1673)=0)),OR(Y1074&gt;=1000000000,AND(COUNTA(C1074:C1673)=0,P$3=TRUE))),
ROUNDDOWN((AB$1-AC$1)*MAX(INDEX(T$4:T1673,MATCH(LARGE(FILTER(Y$4:Y1"&amp;"673,Y$4:Y1673&lt;1000000000),1),Y$4:Y1673)),INDEX(F$4:F1673,MATCH(LARGE(FILTER(K$4:K1673,K$4:K1673&lt;1000000000),1),K$4:K1673)))),AND(K1074&lt;1000000000,COUNTA(C1074:C1673)&gt;0,P$3=FALSE),
ROUNDDOWN(INDEX(Y$4:Y1673,MATCH(LARGE(FILTER(W$4:W1673,W$4:W1673&lt;=I1074),1)"&amp;",W$4:W1673))+(I1074-LARGE(FILTER(W$4:W1673,W$4:W1673&lt;=I1074),1))*INDEX(T$4:T1673,MATCH(LARGE(FILTER(W$4:W1673,W$4:W1673&lt;=I1074),1),W$4:W1673))-K1074),1,
ROUNDDOWN(Y1074-INDEX(K$4:K1673,MATCH(LARGE(FILTER(I$4:I1673,I$4:I1673&lt;=W1074),1),I$4:I1673))-(W1074-L"&amp;"ARGE(FILTER(I$4:I1673,I$4:I1673&lt;=W1074),1))*INDEX(F$4:F1673,MATCH(LARGE(FILTER(I$4:I1673,I$4:I1673&lt;=W1074),1),I$4:I1673))))"),"")</f>
        <v/>
      </c>
      <c r="N1074" s="60" t="str">
        <f t="shared" si="8"/>
        <v/>
      </c>
      <c r="O1074" s="61" t="str">
        <f t="shared" si="9"/>
        <v/>
      </c>
      <c r="P1074" s="56" t="str">
        <f t="shared" si="10"/>
        <v/>
      </c>
      <c r="R1074" s="10"/>
      <c r="S1074" s="59" t="str">
        <f t="array" ref="S1074">IF(COUNTA(Q1074:Q1673)=0,"",SUM((COUNTIF(Q$4:Q1074,Upgrades!$B$3:$B$13)-COUNTIF(Q$4:Q1074,"Sell_"&amp;Upgrades!$B$3:$B$13))*Upgrades!$D$3:$D$13))</f>
        <v/>
      </c>
      <c r="T1074" s="66" t="str">
        <f>IFERROR(__xludf.DUMMYFUNCTION("IF(COUNTA(Q1074:Q1673)=0,"""",IF(REGEXMATCH(INDEX(FILTER(Q$4:Q1074,Q$4:Q1074&lt;&gt;""""),ROWS(FILTER(Q$4:Q1074,Q$4:Q1074&lt;&gt;""""))),""^Sell_""),INDEX(FILTER(T$4:T1073,Q$4:Q1073&lt;&gt;""""),ROWS(FILTER(Q$4:Q1073,Q$4:Q1073&lt;&gt;""""))),$AD$5+S1074))"),"")</f>
        <v/>
      </c>
      <c r="U1074" s="10" t="str">
        <f>IFERROR(__xludf.DUMMYFUNCTION("IF(COUNTA(Q1074:Q1673)=0,"""",IF(Q1074="""",0,IF(REGEXMATCH(Q1074,""^Sell_""),-ROUNDDOWN(ROUNDUP(INDEX(Upgrades!$C$3:$C$13,MATCH(SUBSTITUTE(Q1074,""Sell_"",""""),Upgrades!$B$3:$B$13,0))*1.15^(COUNTIF(Q$4:Q1073,SUBSTITUTE(Q1074,""Sell_"",""""))-COUNTIF(Q$4"&amp;":Q1073,""Sell_""&amp;SUBSTITUTE(Q1074,""Sell_"",""""))))/2),ROUNDUP(INDEX(Upgrades!$C$3:$C$13,MATCH(Q1074,Upgrades!$B$3:$B$13,0))*1.15^(COUNTIF(Q$4:Q1073,Q1074)-COUNTIF(Q$4:Q1073,""Sell_""&amp;Q1074))))))"),"")</f>
        <v/>
      </c>
      <c r="V1074" s="10" t="str">
        <f t="shared" si="11"/>
        <v/>
      </c>
      <c r="W1074" s="68" t="str">
        <f t="shared" si="12"/>
        <v/>
      </c>
      <c r="X1074" s="59" t="str">
        <f t="shared" si="13"/>
        <v/>
      </c>
      <c r="Y1074" s="69" t="str">
        <f t="shared" si="14"/>
        <v/>
      </c>
      <c r="Z1074" s="11"/>
    </row>
    <row r="1075">
      <c r="A1075" s="8"/>
      <c r="B1075" s="56" t="str">
        <f t="shared" si="2"/>
        <v/>
      </c>
      <c r="C1075" s="105"/>
      <c r="D1075" s="10"/>
      <c r="E1075" s="59" t="str">
        <f t="array" ref="E1075">IF(COUNTA(C1075:C1673)=0,"",SUM((COUNTIF(C$4:C1075,Upgrades!$B$3:$B$13)-COUNTIF(C$4:C1075,"Sell_"&amp;Upgrades!$B$3:$B$13))*Upgrades!$D$3:$D$13))</f>
        <v/>
      </c>
      <c r="F1075" s="66" t="str">
        <f>IFERROR(__xludf.DUMMYFUNCTION("IF(COUNTA(C1075:C1673)=0,"""",IF(REGEXMATCH(INDEX(FILTER(C$4:C1075,C$4:C1075&lt;&gt;""""),ROWS(FILTER(C$4:C1075,C$4:C1075&lt;&gt;""""))),""^Sell_""),INDEX(FILTER(F$4:F1074,C$4:C1074&lt;&gt;""""),ROWS(FILTER(C$4:C1074,C$4:C1074&lt;&gt;""""))),$AC$5+E1075))"),"")</f>
        <v/>
      </c>
      <c r="G1075" s="10" t="str">
        <f>IFERROR(__xludf.DUMMYFUNCTION("IF(COUNTA(C1075:C1673)=0,"""",IF(C1075="""",0,IF(REGEXMATCH(C1075,""^Sell_""),-ROUNDDOWN(ROUNDUP(INDEX(Upgrades!$C$3:$C$13,MATCH(SUBSTITUTE(C1075,""Sell_"",""""),Upgrades!$B$3:$B$13,0))*1.15^(COUNTIF(C$4:C1074,SUBSTITUTE(C1075,""Sell_"",""""))-COUNTIF(C$4"&amp;":C1074,""Sell_""&amp;SUBSTITUTE(C1075,""Sell_"",""""))))/2),ROUNDUP(INDEX(Upgrades!$C$3:$C$13,MATCH(C1075,Upgrades!$B$3:$B$13,0))*1.15^(COUNTIF(C$4:C1074,C1075)-COUNTIF(C$4:C1074,""Sell_""&amp;C1075))))))"),"")</f>
        <v/>
      </c>
      <c r="H1075" s="10" t="str">
        <f t="shared" si="3"/>
        <v/>
      </c>
      <c r="I1075" s="68" t="str">
        <f t="shared" si="4"/>
        <v/>
      </c>
      <c r="J1075" s="59" t="str">
        <f t="shared" si="5"/>
        <v/>
      </c>
      <c r="K1075" s="69" t="str">
        <f t="shared" si="6"/>
        <v/>
      </c>
      <c r="L1075" s="60" t="str">
        <f t="shared" si="7"/>
        <v/>
      </c>
      <c r="M1075" s="61" t="str">
        <f>IFERROR(__xludf.DUMMYFUNCTION("IFS(AND(COUNTA(C1075:C1673)=0,COUNTA(Q1075:Q1673)=0),"""",OR(AND(K1075&gt;=1000000000,OR(Y1075&gt;=1000000000,COUNTA(Q1075:Q1673)=0)),OR(Y1075&gt;=1000000000,AND(COUNTA(C1075:C1673)=0,P$3=TRUE))),
ROUNDDOWN((AB$1-AC$1)*MAX(INDEX(T$4:T1673,MATCH(LARGE(FILTER(Y$4:Y1"&amp;"673,Y$4:Y1673&lt;1000000000),1),Y$4:Y1673)),INDEX(F$4:F1673,MATCH(LARGE(FILTER(K$4:K1673,K$4:K1673&lt;1000000000),1),K$4:K1673)))),AND(K1075&lt;1000000000,COUNTA(C1075:C1673)&gt;0,P$3=FALSE),
ROUNDDOWN(INDEX(Y$4:Y1673,MATCH(LARGE(FILTER(W$4:W1673,W$4:W1673&lt;=I1075),1)"&amp;",W$4:W1673))+(I1075-LARGE(FILTER(W$4:W1673,W$4:W1673&lt;=I1075),1))*INDEX(T$4:T1673,MATCH(LARGE(FILTER(W$4:W1673,W$4:W1673&lt;=I1075),1),W$4:W1673))-K1075),1,
ROUNDDOWN(Y1075-INDEX(K$4:K1673,MATCH(LARGE(FILTER(I$4:I1673,I$4:I1673&lt;=W1075),1),I$4:I1673))-(W1075-L"&amp;"ARGE(FILTER(I$4:I1673,I$4:I1673&lt;=W1075),1))*INDEX(F$4:F1673,MATCH(LARGE(FILTER(I$4:I1673,I$4:I1673&lt;=W1075),1),I$4:I1673))))"),"")</f>
        <v/>
      </c>
      <c r="N1075" s="60" t="str">
        <f t="shared" si="8"/>
        <v/>
      </c>
      <c r="O1075" s="61" t="str">
        <f t="shared" si="9"/>
        <v/>
      </c>
      <c r="P1075" s="56" t="str">
        <f t="shared" si="10"/>
        <v/>
      </c>
      <c r="R1075" s="10"/>
      <c r="S1075" s="59" t="str">
        <f t="array" ref="S1075">IF(COUNTA(Q1075:Q1673)=0,"",SUM((COUNTIF(Q$4:Q1075,Upgrades!$B$3:$B$13)-COUNTIF(Q$4:Q1075,"Sell_"&amp;Upgrades!$B$3:$B$13))*Upgrades!$D$3:$D$13))</f>
        <v/>
      </c>
      <c r="T1075" s="66" t="str">
        <f>IFERROR(__xludf.DUMMYFUNCTION("IF(COUNTA(Q1075:Q1673)=0,"""",IF(REGEXMATCH(INDEX(FILTER(Q$4:Q1075,Q$4:Q1075&lt;&gt;""""),ROWS(FILTER(Q$4:Q1075,Q$4:Q1075&lt;&gt;""""))),""^Sell_""),INDEX(FILTER(T$4:T1074,Q$4:Q1074&lt;&gt;""""),ROWS(FILTER(Q$4:Q1074,Q$4:Q1074&lt;&gt;""""))),$AD$5+S1075))"),"")</f>
        <v/>
      </c>
      <c r="U1075" s="10" t="str">
        <f>IFERROR(__xludf.DUMMYFUNCTION("IF(COUNTA(Q1075:Q1673)=0,"""",IF(Q1075="""",0,IF(REGEXMATCH(Q1075,""^Sell_""),-ROUNDDOWN(ROUNDUP(INDEX(Upgrades!$C$3:$C$13,MATCH(SUBSTITUTE(Q1075,""Sell_"",""""),Upgrades!$B$3:$B$13,0))*1.15^(COUNTIF(Q$4:Q1074,SUBSTITUTE(Q1075,""Sell_"",""""))-COUNTIF(Q$4"&amp;":Q1074,""Sell_""&amp;SUBSTITUTE(Q1075,""Sell_"",""""))))/2),ROUNDUP(INDEX(Upgrades!$C$3:$C$13,MATCH(Q1075,Upgrades!$B$3:$B$13,0))*1.15^(COUNTIF(Q$4:Q1074,Q1075)-COUNTIF(Q$4:Q1074,""Sell_""&amp;Q1075))))))"),"")</f>
        <v/>
      </c>
      <c r="V1075" s="10" t="str">
        <f t="shared" si="11"/>
        <v/>
      </c>
      <c r="W1075" s="68" t="str">
        <f t="shared" si="12"/>
        <v/>
      </c>
      <c r="X1075" s="59" t="str">
        <f t="shared" si="13"/>
        <v/>
      </c>
      <c r="Y1075" s="69" t="str">
        <f t="shared" si="14"/>
        <v/>
      </c>
      <c r="Z1075" s="11"/>
    </row>
    <row r="1076">
      <c r="A1076" s="8"/>
      <c r="B1076" s="56" t="str">
        <f t="shared" si="2"/>
        <v/>
      </c>
      <c r="C1076" s="105"/>
      <c r="D1076" s="10"/>
      <c r="E1076" s="59" t="str">
        <f t="array" ref="E1076">IF(COUNTA(C1076:C1673)=0,"",SUM((COUNTIF(C$4:C1076,Upgrades!$B$3:$B$13)-COUNTIF(C$4:C1076,"Sell_"&amp;Upgrades!$B$3:$B$13))*Upgrades!$D$3:$D$13))</f>
        <v/>
      </c>
      <c r="F1076" s="66" t="str">
        <f>IFERROR(__xludf.DUMMYFUNCTION("IF(COUNTA(C1076:C1673)=0,"""",IF(REGEXMATCH(INDEX(FILTER(C$4:C1076,C$4:C1076&lt;&gt;""""),ROWS(FILTER(C$4:C1076,C$4:C1076&lt;&gt;""""))),""^Sell_""),INDEX(FILTER(F$4:F1075,C$4:C1075&lt;&gt;""""),ROWS(FILTER(C$4:C1075,C$4:C1075&lt;&gt;""""))),$AC$5+E1076))"),"")</f>
        <v/>
      </c>
      <c r="G1076" s="10" t="str">
        <f>IFERROR(__xludf.DUMMYFUNCTION("IF(COUNTA(C1076:C1673)=0,"""",IF(C1076="""",0,IF(REGEXMATCH(C1076,""^Sell_""),-ROUNDDOWN(ROUNDUP(INDEX(Upgrades!$C$3:$C$13,MATCH(SUBSTITUTE(C1076,""Sell_"",""""),Upgrades!$B$3:$B$13,0))*1.15^(COUNTIF(C$4:C1075,SUBSTITUTE(C1076,""Sell_"",""""))-COUNTIF(C$4"&amp;":C1075,""Sell_""&amp;SUBSTITUTE(C1076,""Sell_"",""""))))/2),ROUNDUP(INDEX(Upgrades!$C$3:$C$13,MATCH(C1076,Upgrades!$B$3:$B$13,0))*1.15^(COUNTIF(C$4:C1075,C1076)-COUNTIF(C$4:C1075,""Sell_""&amp;C1076))))))"),"")</f>
        <v/>
      </c>
      <c r="H1076" s="10" t="str">
        <f t="shared" si="3"/>
        <v/>
      </c>
      <c r="I1076" s="68" t="str">
        <f t="shared" si="4"/>
        <v/>
      </c>
      <c r="J1076" s="59" t="str">
        <f t="shared" si="5"/>
        <v/>
      </c>
      <c r="K1076" s="69" t="str">
        <f t="shared" si="6"/>
        <v/>
      </c>
      <c r="L1076" s="60" t="str">
        <f t="shared" si="7"/>
        <v/>
      </c>
      <c r="M1076" s="61" t="str">
        <f>IFERROR(__xludf.DUMMYFUNCTION("IFS(AND(COUNTA(C1076:C1673)=0,COUNTA(Q1076:Q1673)=0),"""",OR(AND(K1076&gt;=1000000000,OR(Y1076&gt;=1000000000,COUNTA(Q1076:Q1673)=0)),OR(Y1076&gt;=1000000000,AND(COUNTA(C1076:C1673)=0,P$3=TRUE))),
ROUNDDOWN((AB$1-AC$1)*MAX(INDEX(T$4:T1673,MATCH(LARGE(FILTER(Y$4:Y1"&amp;"673,Y$4:Y1673&lt;1000000000),1),Y$4:Y1673)),INDEX(F$4:F1673,MATCH(LARGE(FILTER(K$4:K1673,K$4:K1673&lt;1000000000),1),K$4:K1673)))),AND(K1076&lt;1000000000,COUNTA(C1076:C1673)&gt;0,P$3=FALSE),
ROUNDDOWN(INDEX(Y$4:Y1673,MATCH(LARGE(FILTER(W$4:W1673,W$4:W1673&lt;=I1076),1)"&amp;",W$4:W1673))+(I1076-LARGE(FILTER(W$4:W1673,W$4:W1673&lt;=I1076),1))*INDEX(T$4:T1673,MATCH(LARGE(FILTER(W$4:W1673,W$4:W1673&lt;=I1076),1),W$4:W1673))-K1076),1,
ROUNDDOWN(Y1076-INDEX(K$4:K1673,MATCH(LARGE(FILTER(I$4:I1673,I$4:I1673&lt;=W1076),1),I$4:I1673))-(W1076-L"&amp;"ARGE(FILTER(I$4:I1673,I$4:I1673&lt;=W1076),1))*INDEX(F$4:F1673,MATCH(LARGE(FILTER(I$4:I1673,I$4:I1673&lt;=W1076),1),I$4:I1673))))"),"")</f>
        <v/>
      </c>
      <c r="N1076" s="60" t="str">
        <f t="shared" si="8"/>
        <v/>
      </c>
      <c r="O1076" s="61" t="str">
        <f t="shared" si="9"/>
        <v/>
      </c>
      <c r="P1076" s="56" t="str">
        <f t="shared" si="10"/>
        <v/>
      </c>
      <c r="R1076" s="10"/>
      <c r="S1076" s="59" t="str">
        <f t="array" ref="S1076">IF(COUNTA(Q1076:Q1673)=0,"",SUM((COUNTIF(Q$4:Q1076,Upgrades!$B$3:$B$13)-COUNTIF(Q$4:Q1076,"Sell_"&amp;Upgrades!$B$3:$B$13))*Upgrades!$D$3:$D$13))</f>
        <v/>
      </c>
      <c r="T1076" s="66" t="str">
        <f>IFERROR(__xludf.DUMMYFUNCTION("IF(COUNTA(Q1076:Q1673)=0,"""",IF(REGEXMATCH(INDEX(FILTER(Q$4:Q1076,Q$4:Q1076&lt;&gt;""""),ROWS(FILTER(Q$4:Q1076,Q$4:Q1076&lt;&gt;""""))),""^Sell_""),INDEX(FILTER(T$4:T1075,Q$4:Q1075&lt;&gt;""""),ROWS(FILTER(Q$4:Q1075,Q$4:Q1075&lt;&gt;""""))),$AD$5+S1076))"),"")</f>
        <v/>
      </c>
      <c r="U1076" s="10" t="str">
        <f>IFERROR(__xludf.DUMMYFUNCTION("IF(COUNTA(Q1076:Q1673)=0,"""",IF(Q1076="""",0,IF(REGEXMATCH(Q1076,""^Sell_""),-ROUNDDOWN(ROUNDUP(INDEX(Upgrades!$C$3:$C$13,MATCH(SUBSTITUTE(Q1076,""Sell_"",""""),Upgrades!$B$3:$B$13,0))*1.15^(COUNTIF(Q$4:Q1075,SUBSTITUTE(Q1076,""Sell_"",""""))-COUNTIF(Q$4"&amp;":Q1075,""Sell_""&amp;SUBSTITUTE(Q1076,""Sell_"",""""))))/2),ROUNDUP(INDEX(Upgrades!$C$3:$C$13,MATCH(Q1076,Upgrades!$B$3:$B$13,0))*1.15^(COUNTIF(Q$4:Q1075,Q1076)-COUNTIF(Q$4:Q1075,""Sell_""&amp;Q1076))))))"),"")</f>
        <v/>
      </c>
      <c r="V1076" s="10" t="str">
        <f t="shared" si="11"/>
        <v/>
      </c>
      <c r="W1076" s="68" t="str">
        <f t="shared" si="12"/>
        <v/>
      </c>
      <c r="X1076" s="59" t="str">
        <f t="shared" si="13"/>
        <v/>
      </c>
      <c r="Y1076" s="69" t="str">
        <f t="shared" si="14"/>
        <v/>
      </c>
      <c r="Z1076" s="11"/>
    </row>
    <row r="1077">
      <c r="A1077" s="8"/>
      <c r="B1077" s="56" t="str">
        <f t="shared" si="2"/>
        <v/>
      </c>
      <c r="C1077" s="105"/>
      <c r="D1077" s="10"/>
      <c r="E1077" s="59" t="str">
        <f t="array" ref="E1077">IF(COUNTA(C1077:C1673)=0,"",SUM((COUNTIF(C$4:C1077,Upgrades!$B$3:$B$13)-COUNTIF(C$4:C1077,"Sell_"&amp;Upgrades!$B$3:$B$13))*Upgrades!$D$3:$D$13))</f>
        <v/>
      </c>
      <c r="F1077" s="66" t="str">
        <f>IFERROR(__xludf.DUMMYFUNCTION("IF(COUNTA(C1077:C1673)=0,"""",IF(REGEXMATCH(INDEX(FILTER(C$4:C1077,C$4:C1077&lt;&gt;""""),ROWS(FILTER(C$4:C1077,C$4:C1077&lt;&gt;""""))),""^Sell_""),INDEX(FILTER(F$4:F1076,C$4:C1076&lt;&gt;""""),ROWS(FILTER(C$4:C1076,C$4:C1076&lt;&gt;""""))),$AC$5+E1077))"),"")</f>
        <v/>
      </c>
      <c r="G1077" s="10" t="str">
        <f>IFERROR(__xludf.DUMMYFUNCTION("IF(COUNTA(C1077:C1673)=0,"""",IF(C1077="""",0,IF(REGEXMATCH(C1077,""^Sell_""),-ROUNDDOWN(ROUNDUP(INDEX(Upgrades!$C$3:$C$13,MATCH(SUBSTITUTE(C1077,""Sell_"",""""),Upgrades!$B$3:$B$13,0))*1.15^(COUNTIF(C$4:C1076,SUBSTITUTE(C1077,""Sell_"",""""))-COUNTIF(C$4"&amp;":C1076,""Sell_""&amp;SUBSTITUTE(C1077,""Sell_"",""""))))/2),ROUNDUP(INDEX(Upgrades!$C$3:$C$13,MATCH(C1077,Upgrades!$B$3:$B$13,0))*1.15^(COUNTIF(C$4:C1076,C1077)-COUNTIF(C$4:C1076,""Sell_""&amp;C1077))))))"),"")</f>
        <v/>
      </c>
      <c r="H1077" s="10" t="str">
        <f t="shared" si="3"/>
        <v/>
      </c>
      <c r="I1077" s="68" t="str">
        <f t="shared" si="4"/>
        <v/>
      </c>
      <c r="J1077" s="59" t="str">
        <f t="shared" si="5"/>
        <v/>
      </c>
      <c r="K1077" s="69" t="str">
        <f t="shared" si="6"/>
        <v/>
      </c>
      <c r="L1077" s="60" t="str">
        <f t="shared" si="7"/>
        <v/>
      </c>
      <c r="M1077" s="61" t="str">
        <f>IFERROR(__xludf.DUMMYFUNCTION("IFS(AND(COUNTA(C1077:C1673)=0,COUNTA(Q1077:Q1673)=0),"""",OR(AND(K1077&gt;=1000000000,OR(Y1077&gt;=1000000000,COUNTA(Q1077:Q1673)=0)),OR(Y1077&gt;=1000000000,AND(COUNTA(C1077:C1673)=0,P$3=TRUE))),
ROUNDDOWN((AB$1-AC$1)*MAX(INDEX(T$4:T1673,MATCH(LARGE(FILTER(Y$4:Y1"&amp;"673,Y$4:Y1673&lt;1000000000),1),Y$4:Y1673)),INDEX(F$4:F1673,MATCH(LARGE(FILTER(K$4:K1673,K$4:K1673&lt;1000000000),1),K$4:K1673)))),AND(K1077&lt;1000000000,COUNTA(C1077:C1673)&gt;0,P$3=FALSE),
ROUNDDOWN(INDEX(Y$4:Y1673,MATCH(LARGE(FILTER(W$4:W1673,W$4:W1673&lt;=I1077),1)"&amp;",W$4:W1673))+(I1077-LARGE(FILTER(W$4:W1673,W$4:W1673&lt;=I1077),1))*INDEX(T$4:T1673,MATCH(LARGE(FILTER(W$4:W1673,W$4:W1673&lt;=I1077),1),W$4:W1673))-K1077),1,
ROUNDDOWN(Y1077-INDEX(K$4:K1673,MATCH(LARGE(FILTER(I$4:I1673,I$4:I1673&lt;=W1077),1),I$4:I1673))-(W1077-L"&amp;"ARGE(FILTER(I$4:I1673,I$4:I1673&lt;=W1077),1))*INDEX(F$4:F1673,MATCH(LARGE(FILTER(I$4:I1673,I$4:I1673&lt;=W1077),1),I$4:I1673))))"),"")</f>
        <v/>
      </c>
      <c r="N1077" s="60" t="str">
        <f t="shared" si="8"/>
        <v/>
      </c>
      <c r="O1077" s="61" t="str">
        <f t="shared" si="9"/>
        <v/>
      </c>
      <c r="P1077" s="56" t="str">
        <f t="shared" si="10"/>
        <v/>
      </c>
      <c r="R1077" s="10"/>
      <c r="S1077" s="59" t="str">
        <f t="array" ref="S1077">IF(COUNTA(Q1077:Q1673)=0,"",SUM((COUNTIF(Q$4:Q1077,Upgrades!$B$3:$B$13)-COUNTIF(Q$4:Q1077,"Sell_"&amp;Upgrades!$B$3:$B$13))*Upgrades!$D$3:$D$13))</f>
        <v/>
      </c>
      <c r="T1077" s="66" t="str">
        <f>IFERROR(__xludf.DUMMYFUNCTION("IF(COUNTA(Q1077:Q1673)=0,"""",IF(REGEXMATCH(INDEX(FILTER(Q$4:Q1077,Q$4:Q1077&lt;&gt;""""),ROWS(FILTER(Q$4:Q1077,Q$4:Q1077&lt;&gt;""""))),""^Sell_""),INDEX(FILTER(T$4:T1076,Q$4:Q1076&lt;&gt;""""),ROWS(FILTER(Q$4:Q1076,Q$4:Q1076&lt;&gt;""""))),$AD$5+S1077))"),"")</f>
        <v/>
      </c>
      <c r="U1077" s="10" t="str">
        <f>IFERROR(__xludf.DUMMYFUNCTION("IF(COUNTA(Q1077:Q1673)=0,"""",IF(Q1077="""",0,IF(REGEXMATCH(Q1077,""^Sell_""),-ROUNDDOWN(ROUNDUP(INDEX(Upgrades!$C$3:$C$13,MATCH(SUBSTITUTE(Q1077,""Sell_"",""""),Upgrades!$B$3:$B$13,0))*1.15^(COUNTIF(Q$4:Q1076,SUBSTITUTE(Q1077,""Sell_"",""""))-COUNTIF(Q$4"&amp;":Q1076,""Sell_""&amp;SUBSTITUTE(Q1077,""Sell_"",""""))))/2),ROUNDUP(INDEX(Upgrades!$C$3:$C$13,MATCH(Q1077,Upgrades!$B$3:$B$13,0))*1.15^(COUNTIF(Q$4:Q1076,Q1077)-COUNTIF(Q$4:Q1076,""Sell_""&amp;Q1077))))))"),"")</f>
        <v/>
      </c>
      <c r="V1077" s="10" t="str">
        <f t="shared" si="11"/>
        <v/>
      </c>
      <c r="W1077" s="68" t="str">
        <f t="shared" si="12"/>
        <v/>
      </c>
      <c r="X1077" s="59" t="str">
        <f t="shared" si="13"/>
        <v/>
      </c>
      <c r="Y1077" s="69" t="str">
        <f t="shared" si="14"/>
        <v/>
      </c>
      <c r="Z1077" s="11"/>
    </row>
    <row r="1078">
      <c r="A1078" s="8"/>
      <c r="B1078" s="56" t="str">
        <f t="shared" si="2"/>
        <v/>
      </c>
      <c r="C1078" s="105"/>
      <c r="D1078" s="10"/>
      <c r="E1078" s="59" t="str">
        <f t="array" ref="E1078">IF(COUNTA(C1078:C1673)=0,"",SUM((COUNTIF(C$4:C1078,Upgrades!$B$3:$B$13)-COUNTIF(C$4:C1078,"Sell_"&amp;Upgrades!$B$3:$B$13))*Upgrades!$D$3:$D$13))</f>
        <v/>
      </c>
      <c r="F1078" s="66" t="str">
        <f>IFERROR(__xludf.DUMMYFUNCTION("IF(COUNTA(C1078:C1673)=0,"""",IF(REGEXMATCH(INDEX(FILTER(C$4:C1078,C$4:C1078&lt;&gt;""""),ROWS(FILTER(C$4:C1078,C$4:C1078&lt;&gt;""""))),""^Sell_""),INDEX(FILTER(F$4:F1077,C$4:C1077&lt;&gt;""""),ROWS(FILTER(C$4:C1077,C$4:C1077&lt;&gt;""""))),$AC$5+E1078))"),"")</f>
        <v/>
      </c>
      <c r="G1078" s="10" t="str">
        <f>IFERROR(__xludf.DUMMYFUNCTION("IF(COUNTA(C1078:C1673)=0,"""",IF(C1078="""",0,IF(REGEXMATCH(C1078,""^Sell_""),-ROUNDDOWN(ROUNDUP(INDEX(Upgrades!$C$3:$C$13,MATCH(SUBSTITUTE(C1078,""Sell_"",""""),Upgrades!$B$3:$B$13,0))*1.15^(COUNTIF(C$4:C1077,SUBSTITUTE(C1078,""Sell_"",""""))-COUNTIF(C$4"&amp;":C1077,""Sell_""&amp;SUBSTITUTE(C1078,""Sell_"",""""))))/2),ROUNDUP(INDEX(Upgrades!$C$3:$C$13,MATCH(C1078,Upgrades!$B$3:$B$13,0))*1.15^(COUNTIF(C$4:C1077,C1078)-COUNTIF(C$4:C1077,""Sell_""&amp;C1078))))))"),"")</f>
        <v/>
      </c>
      <c r="H1078" s="10" t="str">
        <f t="shared" si="3"/>
        <v/>
      </c>
      <c r="I1078" s="68" t="str">
        <f t="shared" si="4"/>
        <v/>
      </c>
      <c r="J1078" s="59" t="str">
        <f t="shared" si="5"/>
        <v/>
      </c>
      <c r="K1078" s="69" t="str">
        <f t="shared" si="6"/>
        <v/>
      </c>
      <c r="L1078" s="60" t="str">
        <f t="shared" si="7"/>
        <v/>
      </c>
      <c r="M1078" s="61" t="str">
        <f>IFERROR(__xludf.DUMMYFUNCTION("IFS(AND(COUNTA(C1078:C1673)=0,COUNTA(Q1078:Q1673)=0),"""",OR(AND(K1078&gt;=1000000000,OR(Y1078&gt;=1000000000,COUNTA(Q1078:Q1673)=0)),OR(Y1078&gt;=1000000000,AND(COUNTA(C1078:C1673)=0,P$3=TRUE))),
ROUNDDOWN((AB$1-AC$1)*MAX(INDEX(T$4:T1673,MATCH(LARGE(FILTER(Y$4:Y1"&amp;"673,Y$4:Y1673&lt;1000000000),1),Y$4:Y1673)),INDEX(F$4:F1673,MATCH(LARGE(FILTER(K$4:K1673,K$4:K1673&lt;1000000000),1),K$4:K1673)))),AND(K1078&lt;1000000000,COUNTA(C1078:C1673)&gt;0,P$3=FALSE),
ROUNDDOWN(INDEX(Y$4:Y1673,MATCH(LARGE(FILTER(W$4:W1673,W$4:W1673&lt;=I1078),1)"&amp;",W$4:W1673))+(I1078-LARGE(FILTER(W$4:W1673,W$4:W1673&lt;=I1078),1))*INDEX(T$4:T1673,MATCH(LARGE(FILTER(W$4:W1673,W$4:W1673&lt;=I1078),1),W$4:W1673))-K1078),1,
ROUNDDOWN(Y1078-INDEX(K$4:K1673,MATCH(LARGE(FILTER(I$4:I1673,I$4:I1673&lt;=W1078),1),I$4:I1673))-(W1078-L"&amp;"ARGE(FILTER(I$4:I1673,I$4:I1673&lt;=W1078),1))*INDEX(F$4:F1673,MATCH(LARGE(FILTER(I$4:I1673,I$4:I1673&lt;=W1078),1),I$4:I1673))))"),"")</f>
        <v/>
      </c>
      <c r="N1078" s="60" t="str">
        <f t="shared" si="8"/>
        <v/>
      </c>
      <c r="O1078" s="61" t="str">
        <f t="shared" si="9"/>
        <v/>
      </c>
      <c r="P1078" s="56" t="str">
        <f t="shared" si="10"/>
        <v/>
      </c>
      <c r="R1078" s="10"/>
      <c r="S1078" s="59" t="str">
        <f t="array" ref="S1078">IF(COUNTA(Q1078:Q1673)=0,"",SUM((COUNTIF(Q$4:Q1078,Upgrades!$B$3:$B$13)-COUNTIF(Q$4:Q1078,"Sell_"&amp;Upgrades!$B$3:$B$13))*Upgrades!$D$3:$D$13))</f>
        <v/>
      </c>
      <c r="T1078" s="66" t="str">
        <f>IFERROR(__xludf.DUMMYFUNCTION("IF(COUNTA(Q1078:Q1673)=0,"""",IF(REGEXMATCH(INDEX(FILTER(Q$4:Q1078,Q$4:Q1078&lt;&gt;""""),ROWS(FILTER(Q$4:Q1078,Q$4:Q1078&lt;&gt;""""))),""^Sell_""),INDEX(FILTER(T$4:T1077,Q$4:Q1077&lt;&gt;""""),ROWS(FILTER(Q$4:Q1077,Q$4:Q1077&lt;&gt;""""))),$AD$5+S1078))"),"")</f>
        <v/>
      </c>
      <c r="U1078" s="10" t="str">
        <f>IFERROR(__xludf.DUMMYFUNCTION("IF(COUNTA(Q1078:Q1673)=0,"""",IF(Q1078="""",0,IF(REGEXMATCH(Q1078,""^Sell_""),-ROUNDDOWN(ROUNDUP(INDEX(Upgrades!$C$3:$C$13,MATCH(SUBSTITUTE(Q1078,""Sell_"",""""),Upgrades!$B$3:$B$13,0))*1.15^(COUNTIF(Q$4:Q1077,SUBSTITUTE(Q1078,""Sell_"",""""))-COUNTIF(Q$4"&amp;":Q1077,""Sell_""&amp;SUBSTITUTE(Q1078,""Sell_"",""""))))/2),ROUNDUP(INDEX(Upgrades!$C$3:$C$13,MATCH(Q1078,Upgrades!$B$3:$B$13,0))*1.15^(COUNTIF(Q$4:Q1077,Q1078)-COUNTIF(Q$4:Q1077,""Sell_""&amp;Q1078))))))"),"")</f>
        <v/>
      </c>
      <c r="V1078" s="10" t="str">
        <f t="shared" si="11"/>
        <v/>
      </c>
      <c r="W1078" s="68" t="str">
        <f t="shared" si="12"/>
        <v/>
      </c>
      <c r="X1078" s="59" t="str">
        <f t="shared" si="13"/>
        <v/>
      </c>
      <c r="Y1078" s="69" t="str">
        <f t="shared" si="14"/>
        <v/>
      </c>
      <c r="Z1078" s="11"/>
    </row>
    <row r="1079">
      <c r="A1079" s="8"/>
      <c r="B1079" s="56" t="str">
        <f t="shared" si="2"/>
        <v/>
      </c>
      <c r="C1079" s="105"/>
      <c r="D1079" s="10"/>
      <c r="E1079" s="59" t="str">
        <f t="array" ref="E1079">IF(COUNTA(C1079:C1673)=0,"",SUM((COUNTIF(C$4:C1079,Upgrades!$B$3:$B$13)-COUNTIF(C$4:C1079,"Sell_"&amp;Upgrades!$B$3:$B$13))*Upgrades!$D$3:$D$13))</f>
        <v/>
      </c>
      <c r="F1079" s="66" t="str">
        <f>IFERROR(__xludf.DUMMYFUNCTION("IF(COUNTA(C1079:C1673)=0,"""",IF(REGEXMATCH(INDEX(FILTER(C$4:C1079,C$4:C1079&lt;&gt;""""),ROWS(FILTER(C$4:C1079,C$4:C1079&lt;&gt;""""))),""^Sell_""),INDEX(FILTER(F$4:F1078,C$4:C1078&lt;&gt;""""),ROWS(FILTER(C$4:C1078,C$4:C1078&lt;&gt;""""))),$AC$5+E1079))"),"")</f>
        <v/>
      </c>
      <c r="G1079" s="10" t="str">
        <f>IFERROR(__xludf.DUMMYFUNCTION("IF(COUNTA(C1079:C1673)=0,"""",IF(C1079="""",0,IF(REGEXMATCH(C1079,""^Sell_""),-ROUNDDOWN(ROUNDUP(INDEX(Upgrades!$C$3:$C$13,MATCH(SUBSTITUTE(C1079,""Sell_"",""""),Upgrades!$B$3:$B$13,0))*1.15^(COUNTIF(C$4:C1078,SUBSTITUTE(C1079,""Sell_"",""""))-COUNTIF(C$4"&amp;":C1078,""Sell_""&amp;SUBSTITUTE(C1079,""Sell_"",""""))))/2),ROUNDUP(INDEX(Upgrades!$C$3:$C$13,MATCH(C1079,Upgrades!$B$3:$B$13,0))*1.15^(COUNTIF(C$4:C1078,C1079)-COUNTIF(C$4:C1078,""Sell_""&amp;C1079))))))"),"")</f>
        <v/>
      </c>
      <c r="H1079" s="10" t="str">
        <f t="shared" si="3"/>
        <v/>
      </c>
      <c r="I1079" s="68" t="str">
        <f t="shared" si="4"/>
        <v/>
      </c>
      <c r="J1079" s="59" t="str">
        <f t="shared" si="5"/>
        <v/>
      </c>
      <c r="K1079" s="69" t="str">
        <f t="shared" si="6"/>
        <v/>
      </c>
      <c r="L1079" s="60" t="str">
        <f t="shared" si="7"/>
        <v/>
      </c>
      <c r="M1079" s="61" t="str">
        <f>IFERROR(__xludf.DUMMYFUNCTION("IFS(AND(COUNTA(C1079:C1673)=0,COUNTA(Q1079:Q1673)=0),"""",OR(AND(K1079&gt;=1000000000,OR(Y1079&gt;=1000000000,COUNTA(Q1079:Q1673)=0)),OR(Y1079&gt;=1000000000,AND(COUNTA(C1079:C1673)=0,P$3=TRUE))),
ROUNDDOWN((AB$1-AC$1)*MAX(INDEX(T$4:T1673,MATCH(LARGE(FILTER(Y$4:Y1"&amp;"673,Y$4:Y1673&lt;1000000000),1),Y$4:Y1673)),INDEX(F$4:F1673,MATCH(LARGE(FILTER(K$4:K1673,K$4:K1673&lt;1000000000),1),K$4:K1673)))),AND(K1079&lt;1000000000,COUNTA(C1079:C1673)&gt;0,P$3=FALSE),
ROUNDDOWN(INDEX(Y$4:Y1673,MATCH(LARGE(FILTER(W$4:W1673,W$4:W1673&lt;=I1079),1)"&amp;",W$4:W1673))+(I1079-LARGE(FILTER(W$4:W1673,W$4:W1673&lt;=I1079),1))*INDEX(T$4:T1673,MATCH(LARGE(FILTER(W$4:W1673,W$4:W1673&lt;=I1079),1),W$4:W1673))-K1079),1,
ROUNDDOWN(Y1079-INDEX(K$4:K1673,MATCH(LARGE(FILTER(I$4:I1673,I$4:I1673&lt;=W1079),1),I$4:I1673))-(W1079-L"&amp;"ARGE(FILTER(I$4:I1673,I$4:I1673&lt;=W1079),1))*INDEX(F$4:F1673,MATCH(LARGE(FILTER(I$4:I1673,I$4:I1673&lt;=W1079),1),I$4:I1673))))"),"")</f>
        <v/>
      </c>
      <c r="N1079" s="60" t="str">
        <f t="shared" si="8"/>
        <v/>
      </c>
      <c r="O1079" s="61" t="str">
        <f t="shared" si="9"/>
        <v/>
      </c>
      <c r="P1079" s="56" t="str">
        <f t="shared" si="10"/>
        <v/>
      </c>
      <c r="R1079" s="10"/>
      <c r="S1079" s="59" t="str">
        <f t="array" ref="S1079">IF(COUNTA(Q1079:Q1673)=0,"",SUM((COUNTIF(Q$4:Q1079,Upgrades!$B$3:$B$13)-COUNTIF(Q$4:Q1079,"Sell_"&amp;Upgrades!$B$3:$B$13))*Upgrades!$D$3:$D$13))</f>
        <v/>
      </c>
      <c r="T1079" s="66" t="str">
        <f>IFERROR(__xludf.DUMMYFUNCTION("IF(COUNTA(Q1079:Q1673)=0,"""",IF(REGEXMATCH(INDEX(FILTER(Q$4:Q1079,Q$4:Q1079&lt;&gt;""""),ROWS(FILTER(Q$4:Q1079,Q$4:Q1079&lt;&gt;""""))),""^Sell_""),INDEX(FILTER(T$4:T1078,Q$4:Q1078&lt;&gt;""""),ROWS(FILTER(Q$4:Q1078,Q$4:Q1078&lt;&gt;""""))),$AD$5+S1079))"),"")</f>
        <v/>
      </c>
      <c r="U1079" s="10" t="str">
        <f>IFERROR(__xludf.DUMMYFUNCTION("IF(COUNTA(Q1079:Q1673)=0,"""",IF(Q1079="""",0,IF(REGEXMATCH(Q1079,""^Sell_""),-ROUNDDOWN(ROUNDUP(INDEX(Upgrades!$C$3:$C$13,MATCH(SUBSTITUTE(Q1079,""Sell_"",""""),Upgrades!$B$3:$B$13,0))*1.15^(COUNTIF(Q$4:Q1078,SUBSTITUTE(Q1079,""Sell_"",""""))-COUNTIF(Q$4"&amp;":Q1078,""Sell_""&amp;SUBSTITUTE(Q1079,""Sell_"",""""))))/2),ROUNDUP(INDEX(Upgrades!$C$3:$C$13,MATCH(Q1079,Upgrades!$B$3:$B$13,0))*1.15^(COUNTIF(Q$4:Q1078,Q1079)-COUNTIF(Q$4:Q1078,""Sell_""&amp;Q1079))))))"),"")</f>
        <v/>
      </c>
      <c r="V1079" s="10" t="str">
        <f t="shared" si="11"/>
        <v/>
      </c>
      <c r="W1079" s="68" t="str">
        <f t="shared" si="12"/>
        <v/>
      </c>
      <c r="X1079" s="59" t="str">
        <f t="shared" si="13"/>
        <v/>
      </c>
      <c r="Y1079" s="69" t="str">
        <f t="shared" si="14"/>
        <v/>
      </c>
      <c r="Z1079" s="11"/>
    </row>
    <row r="1080">
      <c r="A1080" s="8"/>
      <c r="B1080" s="56" t="str">
        <f t="shared" si="2"/>
        <v/>
      </c>
      <c r="C1080" s="105"/>
      <c r="D1080" s="10"/>
      <c r="E1080" s="59" t="str">
        <f t="array" ref="E1080">IF(COUNTA(C1080:C1673)=0,"",SUM((COUNTIF(C$4:C1080,Upgrades!$B$3:$B$13)-COUNTIF(C$4:C1080,"Sell_"&amp;Upgrades!$B$3:$B$13))*Upgrades!$D$3:$D$13))</f>
        <v/>
      </c>
      <c r="F1080" s="66" t="str">
        <f>IFERROR(__xludf.DUMMYFUNCTION("IF(COUNTA(C1080:C1673)=0,"""",IF(REGEXMATCH(INDEX(FILTER(C$4:C1080,C$4:C1080&lt;&gt;""""),ROWS(FILTER(C$4:C1080,C$4:C1080&lt;&gt;""""))),""^Sell_""),INDEX(FILTER(F$4:F1079,C$4:C1079&lt;&gt;""""),ROWS(FILTER(C$4:C1079,C$4:C1079&lt;&gt;""""))),$AC$5+E1080))"),"")</f>
        <v/>
      </c>
      <c r="G1080" s="10" t="str">
        <f>IFERROR(__xludf.DUMMYFUNCTION("IF(COUNTA(C1080:C1673)=0,"""",IF(C1080="""",0,IF(REGEXMATCH(C1080,""^Sell_""),-ROUNDDOWN(ROUNDUP(INDEX(Upgrades!$C$3:$C$13,MATCH(SUBSTITUTE(C1080,""Sell_"",""""),Upgrades!$B$3:$B$13,0))*1.15^(COUNTIF(C$4:C1079,SUBSTITUTE(C1080,""Sell_"",""""))-COUNTIF(C$4"&amp;":C1079,""Sell_""&amp;SUBSTITUTE(C1080,""Sell_"",""""))))/2),ROUNDUP(INDEX(Upgrades!$C$3:$C$13,MATCH(C1080,Upgrades!$B$3:$B$13,0))*1.15^(COUNTIF(C$4:C1079,C1080)-COUNTIF(C$4:C1079,""Sell_""&amp;C1080))))))"),"")</f>
        <v/>
      </c>
      <c r="H1080" s="10" t="str">
        <f t="shared" si="3"/>
        <v/>
      </c>
      <c r="I1080" s="68" t="str">
        <f t="shared" si="4"/>
        <v/>
      </c>
      <c r="J1080" s="59" t="str">
        <f t="shared" si="5"/>
        <v/>
      </c>
      <c r="K1080" s="69" t="str">
        <f t="shared" si="6"/>
        <v/>
      </c>
      <c r="L1080" s="60" t="str">
        <f t="shared" si="7"/>
        <v/>
      </c>
      <c r="M1080" s="61" t="str">
        <f>IFERROR(__xludf.DUMMYFUNCTION("IFS(AND(COUNTA(C1080:C1673)=0,COUNTA(Q1080:Q1673)=0),"""",OR(AND(K1080&gt;=1000000000,OR(Y1080&gt;=1000000000,COUNTA(Q1080:Q1673)=0)),OR(Y1080&gt;=1000000000,AND(COUNTA(C1080:C1673)=0,P$3=TRUE))),
ROUNDDOWN((AB$1-AC$1)*MAX(INDEX(T$4:T1673,MATCH(LARGE(FILTER(Y$4:Y1"&amp;"673,Y$4:Y1673&lt;1000000000),1),Y$4:Y1673)),INDEX(F$4:F1673,MATCH(LARGE(FILTER(K$4:K1673,K$4:K1673&lt;1000000000),1),K$4:K1673)))),AND(K1080&lt;1000000000,COUNTA(C1080:C1673)&gt;0,P$3=FALSE),
ROUNDDOWN(INDEX(Y$4:Y1673,MATCH(LARGE(FILTER(W$4:W1673,W$4:W1673&lt;=I1080),1)"&amp;",W$4:W1673))+(I1080-LARGE(FILTER(W$4:W1673,W$4:W1673&lt;=I1080),1))*INDEX(T$4:T1673,MATCH(LARGE(FILTER(W$4:W1673,W$4:W1673&lt;=I1080),1),W$4:W1673))-K1080),1,
ROUNDDOWN(Y1080-INDEX(K$4:K1673,MATCH(LARGE(FILTER(I$4:I1673,I$4:I1673&lt;=W1080),1),I$4:I1673))-(W1080-L"&amp;"ARGE(FILTER(I$4:I1673,I$4:I1673&lt;=W1080),1))*INDEX(F$4:F1673,MATCH(LARGE(FILTER(I$4:I1673,I$4:I1673&lt;=W1080),1),I$4:I1673))))"),"")</f>
        <v/>
      </c>
      <c r="N1080" s="60" t="str">
        <f t="shared" si="8"/>
        <v/>
      </c>
      <c r="O1080" s="61" t="str">
        <f t="shared" si="9"/>
        <v/>
      </c>
      <c r="P1080" s="56" t="str">
        <f t="shared" si="10"/>
        <v/>
      </c>
      <c r="R1080" s="10"/>
      <c r="S1080" s="59" t="str">
        <f t="array" ref="S1080">IF(COUNTA(Q1080:Q1673)=0,"",SUM((COUNTIF(Q$4:Q1080,Upgrades!$B$3:$B$13)-COUNTIF(Q$4:Q1080,"Sell_"&amp;Upgrades!$B$3:$B$13))*Upgrades!$D$3:$D$13))</f>
        <v/>
      </c>
      <c r="T1080" s="66" t="str">
        <f>IFERROR(__xludf.DUMMYFUNCTION("IF(COUNTA(Q1080:Q1673)=0,"""",IF(REGEXMATCH(INDEX(FILTER(Q$4:Q1080,Q$4:Q1080&lt;&gt;""""),ROWS(FILTER(Q$4:Q1080,Q$4:Q1080&lt;&gt;""""))),""^Sell_""),INDEX(FILTER(T$4:T1079,Q$4:Q1079&lt;&gt;""""),ROWS(FILTER(Q$4:Q1079,Q$4:Q1079&lt;&gt;""""))),$AD$5+S1080))"),"")</f>
        <v/>
      </c>
      <c r="U1080" s="10" t="str">
        <f>IFERROR(__xludf.DUMMYFUNCTION("IF(COUNTA(Q1080:Q1673)=0,"""",IF(Q1080="""",0,IF(REGEXMATCH(Q1080,""^Sell_""),-ROUNDDOWN(ROUNDUP(INDEX(Upgrades!$C$3:$C$13,MATCH(SUBSTITUTE(Q1080,""Sell_"",""""),Upgrades!$B$3:$B$13,0))*1.15^(COUNTIF(Q$4:Q1079,SUBSTITUTE(Q1080,""Sell_"",""""))-COUNTIF(Q$4"&amp;":Q1079,""Sell_""&amp;SUBSTITUTE(Q1080,""Sell_"",""""))))/2),ROUNDUP(INDEX(Upgrades!$C$3:$C$13,MATCH(Q1080,Upgrades!$B$3:$B$13,0))*1.15^(COUNTIF(Q$4:Q1079,Q1080)-COUNTIF(Q$4:Q1079,""Sell_""&amp;Q1080))))))"),"")</f>
        <v/>
      </c>
      <c r="V1080" s="10" t="str">
        <f t="shared" si="11"/>
        <v/>
      </c>
      <c r="W1080" s="68" t="str">
        <f t="shared" si="12"/>
        <v/>
      </c>
      <c r="X1080" s="59" t="str">
        <f t="shared" si="13"/>
        <v/>
      </c>
      <c r="Y1080" s="69" t="str">
        <f t="shared" si="14"/>
        <v/>
      </c>
      <c r="Z1080" s="11"/>
    </row>
    <row r="1081">
      <c r="A1081" s="8"/>
      <c r="B1081" s="56" t="str">
        <f t="shared" si="2"/>
        <v/>
      </c>
      <c r="C1081" s="105"/>
      <c r="D1081" s="10"/>
      <c r="E1081" s="59" t="str">
        <f t="array" ref="E1081">IF(COUNTA(C1081:C1673)=0,"",SUM((COUNTIF(C$4:C1081,Upgrades!$B$3:$B$13)-COUNTIF(C$4:C1081,"Sell_"&amp;Upgrades!$B$3:$B$13))*Upgrades!$D$3:$D$13))</f>
        <v/>
      </c>
      <c r="F1081" s="66" t="str">
        <f>IFERROR(__xludf.DUMMYFUNCTION("IF(COUNTA(C1081:C1673)=0,"""",IF(REGEXMATCH(INDEX(FILTER(C$4:C1081,C$4:C1081&lt;&gt;""""),ROWS(FILTER(C$4:C1081,C$4:C1081&lt;&gt;""""))),""^Sell_""),INDEX(FILTER(F$4:F1080,C$4:C1080&lt;&gt;""""),ROWS(FILTER(C$4:C1080,C$4:C1080&lt;&gt;""""))),$AC$5+E1081))"),"")</f>
        <v/>
      </c>
      <c r="G1081" s="10" t="str">
        <f>IFERROR(__xludf.DUMMYFUNCTION("IF(COUNTA(C1081:C1673)=0,"""",IF(C1081="""",0,IF(REGEXMATCH(C1081,""^Sell_""),-ROUNDDOWN(ROUNDUP(INDEX(Upgrades!$C$3:$C$13,MATCH(SUBSTITUTE(C1081,""Sell_"",""""),Upgrades!$B$3:$B$13,0))*1.15^(COUNTIF(C$4:C1080,SUBSTITUTE(C1081,""Sell_"",""""))-COUNTIF(C$4"&amp;":C1080,""Sell_""&amp;SUBSTITUTE(C1081,""Sell_"",""""))))/2),ROUNDUP(INDEX(Upgrades!$C$3:$C$13,MATCH(C1081,Upgrades!$B$3:$B$13,0))*1.15^(COUNTIF(C$4:C1080,C1081)-COUNTIF(C$4:C1080,""Sell_""&amp;C1081))))))"),"")</f>
        <v/>
      </c>
      <c r="H1081" s="10" t="str">
        <f t="shared" si="3"/>
        <v/>
      </c>
      <c r="I1081" s="68" t="str">
        <f t="shared" si="4"/>
        <v/>
      </c>
      <c r="J1081" s="59" t="str">
        <f t="shared" si="5"/>
        <v/>
      </c>
      <c r="K1081" s="69" t="str">
        <f t="shared" si="6"/>
        <v/>
      </c>
      <c r="L1081" s="60" t="str">
        <f t="shared" si="7"/>
        <v/>
      </c>
      <c r="M1081" s="61" t="str">
        <f>IFERROR(__xludf.DUMMYFUNCTION("IFS(AND(COUNTA(C1081:C1673)=0,COUNTA(Q1081:Q1673)=0),"""",OR(AND(K1081&gt;=1000000000,OR(Y1081&gt;=1000000000,COUNTA(Q1081:Q1673)=0)),OR(Y1081&gt;=1000000000,AND(COUNTA(C1081:C1673)=0,P$3=TRUE))),
ROUNDDOWN((AB$1-AC$1)*MAX(INDEX(T$4:T1673,MATCH(LARGE(FILTER(Y$4:Y1"&amp;"673,Y$4:Y1673&lt;1000000000),1),Y$4:Y1673)),INDEX(F$4:F1673,MATCH(LARGE(FILTER(K$4:K1673,K$4:K1673&lt;1000000000),1),K$4:K1673)))),AND(K1081&lt;1000000000,COUNTA(C1081:C1673)&gt;0,P$3=FALSE),
ROUNDDOWN(INDEX(Y$4:Y1673,MATCH(LARGE(FILTER(W$4:W1673,W$4:W1673&lt;=I1081),1)"&amp;",W$4:W1673))+(I1081-LARGE(FILTER(W$4:W1673,W$4:W1673&lt;=I1081),1))*INDEX(T$4:T1673,MATCH(LARGE(FILTER(W$4:W1673,W$4:W1673&lt;=I1081),1),W$4:W1673))-K1081),1,
ROUNDDOWN(Y1081-INDEX(K$4:K1673,MATCH(LARGE(FILTER(I$4:I1673,I$4:I1673&lt;=W1081),1),I$4:I1673))-(W1081-L"&amp;"ARGE(FILTER(I$4:I1673,I$4:I1673&lt;=W1081),1))*INDEX(F$4:F1673,MATCH(LARGE(FILTER(I$4:I1673,I$4:I1673&lt;=W1081),1),I$4:I1673))))"),"")</f>
        <v/>
      </c>
      <c r="N1081" s="60" t="str">
        <f t="shared" si="8"/>
        <v/>
      </c>
      <c r="O1081" s="61" t="str">
        <f t="shared" si="9"/>
        <v/>
      </c>
      <c r="P1081" s="56" t="str">
        <f t="shared" si="10"/>
        <v/>
      </c>
      <c r="R1081" s="10"/>
      <c r="S1081" s="59" t="str">
        <f t="array" ref="S1081">IF(COUNTA(Q1081:Q1673)=0,"",SUM((COUNTIF(Q$4:Q1081,Upgrades!$B$3:$B$13)-COUNTIF(Q$4:Q1081,"Sell_"&amp;Upgrades!$B$3:$B$13))*Upgrades!$D$3:$D$13))</f>
        <v/>
      </c>
      <c r="T1081" s="66" t="str">
        <f>IFERROR(__xludf.DUMMYFUNCTION("IF(COUNTA(Q1081:Q1673)=0,"""",IF(REGEXMATCH(INDEX(FILTER(Q$4:Q1081,Q$4:Q1081&lt;&gt;""""),ROWS(FILTER(Q$4:Q1081,Q$4:Q1081&lt;&gt;""""))),""^Sell_""),INDEX(FILTER(T$4:T1080,Q$4:Q1080&lt;&gt;""""),ROWS(FILTER(Q$4:Q1080,Q$4:Q1080&lt;&gt;""""))),$AD$5+S1081))"),"")</f>
        <v/>
      </c>
      <c r="U1081" s="10" t="str">
        <f>IFERROR(__xludf.DUMMYFUNCTION("IF(COUNTA(Q1081:Q1673)=0,"""",IF(Q1081="""",0,IF(REGEXMATCH(Q1081,""^Sell_""),-ROUNDDOWN(ROUNDUP(INDEX(Upgrades!$C$3:$C$13,MATCH(SUBSTITUTE(Q1081,""Sell_"",""""),Upgrades!$B$3:$B$13,0))*1.15^(COUNTIF(Q$4:Q1080,SUBSTITUTE(Q1081,""Sell_"",""""))-COUNTIF(Q$4"&amp;":Q1080,""Sell_""&amp;SUBSTITUTE(Q1081,""Sell_"",""""))))/2),ROUNDUP(INDEX(Upgrades!$C$3:$C$13,MATCH(Q1081,Upgrades!$B$3:$B$13,0))*1.15^(COUNTIF(Q$4:Q1080,Q1081)-COUNTIF(Q$4:Q1080,""Sell_""&amp;Q1081))))))"),"")</f>
        <v/>
      </c>
      <c r="V1081" s="10" t="str">
        <f t="shared" si="11"/>
        <v/>
      </c>
      <c r="W1081" s="68" t="str">
        <f t="shared" si="12"/>
        <v/>
      </c>
      <c r="X1081" s="59" t="str">
        <f t="shared" si="13"/>
        <v/>
      </c>
      <c r="Y1081" s="69" t="str">
        <f t="shared" si="14"/>
        <v/>
      </c>
      <c r="Z1081" s="11"/>
    </row>
    <row r="1082">
      <c r="A1082" s="8"/>
      <c r="B1082" s="56" t="str">
        <f t="shared" si="2"/>
        <v/>
      </c>
      <c r="C1082" s="105"/>
      <c r="D1082" s="10"/>
      <c r="E1082" s="59" t="str">
        <f t="array" ref="E1082">IF(COUNTA(C1082:C1673)=0,"",SUM((COUNTIF(C$4:C1082,Upgrades!$B$3:$B$13)-COUNTIF(C$4:C1082,"Sell_"&amp;Upgrades!$B$3:$B$13))*Upgrades!$D$3:$D$13))</f>
        <v/>
      </c>
      <c r="F1082" s="66" t="str">
        <f>IFERROR(__xludf.DUMMYFUNCTION("IF(COUNTA(C1082:C1673)=0,"""",IF(REGEXMATCH(INDEX(FILTER(C$4:C1082,C$4:C1082&lt;&gt;""""),ROWS(FILTER(C$4:C1082,C$4:C1082&lt;&gt;""""))),""^Sell_""),INDEX(FILTER(F$4:F1081,C$4:C1081&lt;&gt;""""),ROWS(FILTER(C$4:C1081,C$4:C1081&lt;&gt;""""))),$AC$5+E1082))"),"")</f>
        <v/>
      </c>
      <c r="G1082" s="10" t="str">
        <f>IFERROR(__xludf.DUMMYFUNCTION("IF(COUNTA(C1082:C1673)=0,"""",IF(C1082="""",0,IF(REGEXMATCH(C1082,""^Sell_""),-ROUNDDOWN(ROUNDUP(INDEX(Upgrades!$C$3:$C$13,MATCH(SUBSTITUTE(C1082,""Sell_"",""""),Upgrades!$B$3:$B$13,0))*1.15^(COUNTIF(C$4:C1081,SUBSTITUTE(C1082,""Sell_"",""""))-COUNTIF(C$4"&amp;":C1081,""Sell_""&amp;SUBSTITUTE(C1082,""Sell_"",""""))))/2),ROUNDUP(INDEX(Upgrades!$C$3:$C$13,MATCH(C1082,Upgrades!$B$3:$B$13,0))*1.15^(COUNTIF(C$4:C1081,C1082)-COUNTIF(C$4:C1081,""Sell_""&amp;C1082))))))"),"")</f>
        <v/>
      </c>
      <c r="H1082" s="10" t="str">
        <f t="shared" si="3"/>
        <v/>
      </c>
      <c r="I1082" s="68" t="str">
        <f t="shared" si="4"/>
        <v/>
      </c>
      <c r="J1082" s="59" t="str">
        <f t="shared" si="5"/>
        <v/>
      </c>
      <c r="K1082" s="69" t="str">
        <f t="shared" si="6"/>
        <v/>
      </c>
      <c r="L1082" s="60" t="str">
        <f t="shared" si="7"/>
        <v/>
      </c>
      <c r="M1082" s="61" t="str">
        <f>IFERROR(__xludf.DUMMYFUNCTION("IFS(AND(COUNTA(C1082:C1673)=0,COUNTA(Q1082:Q1673)=0),"""",OR(AND(K1082&gt;=1000000000,OR(Y1082&gt;=1000000000,COUNTA(Q1082:Q1673)=0)),OR(Y1082&gt;=1000000000,AND(COUNTA(C1082:C1673)=0,P$3=TRUE))),
ROUNDDOWN((AB$1-AC$1)*MAX(INDEX(T$4:T1673,MATCH(LARGE(FILTER(Y$4:Y1"&amp;"673,Y$4:Y1673&lt;1000000000),1),Y$4:Y1673)),INDEX(F$4:F1673,MATCH(LARGE(FILTER(K$4:K1673,K$4:K1673&lt;1000000000),1),K$4:K1673)))),AND(K1082&lt;1000000000,COUNTA(C1082:C1673)&gt;0,P$3=FALSE),
ROUNDDOWN(INDEX(Y$4:Y1673,MATCH(LARGE(FILTER(W$4:W1673,W$4:W1673&lt;=I1082),1)"&amp;",W$4:W1673))+(I1082-LARGE(FILTER(W$4:W1673,W$4:W1673&lt;=I1082),1))*INDEX(T$4:T1673,MATCH(LARGE(FILTER(W$4:W1673,W$4:W1673&lt;=I1082),1),W$4:W1673))-K1082),1,
ROUNDDOWN(Y1082-INDEX(K$4:K1673,MATCH(LARGE(FILTER(I$4:I1673,I$4:I1673&lt;=W1082),1),I$4:I1673))-(W1082-L"&amp;"ARGE(FILTER(I$4:I1673,I$4:I1673&lt;=W1082),1))*INDEX(F$4:F1673,MATCH(LARGE(FILTER(I$4:I1673,I$4:I1673&lt;=W1082),1),I$4:I1673))))"),"")</f>
        <v/>
      </c>
      <c r="N1082" s="60" t="str">
        <f t="shared" si="8"/>
        <v/>
      </c>
      <c r="O1082" s="61" t="str">
        <f t="shared" si="9"/>
        <v/>
      </c>
      <c r="P1082" s="56" t="str">
        <f t="shared" si="10"/>
        <v/>
      </c>
      <c r="R1082" s="10"/>
      <c r="S1082" s="59" t="str">
        <f t="array" ref="S1082">IF(COUNTA(Q1082:Q1673)=0,"",SUM((COUNTIF(Q$4:Q1082,Upgrades!$B$3:$B$13)-COUNTIF(Q$4:Q1082,"Sell_"&amp;Upgrades!$B$3:$B$13))*Upgrades!$D$3:$D$13))</f>
        <v/>
      </c>
      <c r="T1082" s="66" t="str">
        <f>IFERROR(__xludf.DUMMYFUNCTION("IF(COUNTA(Q1082:Q1673)=0,"""",IF(REGEXMATCH(INDEX(FILTER(Q$4:Q1082,Q$4:Q1082&lt;&gt;""""),ROWS(FILTER(Q$4:Q1082,Q$4:Q1082&lt;&gt;""""))),""^Sell_""),INDEX(FILTER(T$4:T1081,Q$4:Q1081&lt;&gt;""""),ROWS(FILTER(Q$4:Q1081,Q$4:Q1081&lt;&gt;""""))),$AD$5+S1082))"),"")</f>
        <v/>
      </c>
      <c r="U1082" s="10" t="str">
        <f>IFERROR(__xludf.DUMMYFUNCTION("IF(COUNTA(Q1082:Q1673)=0,"""",IF(Q1082="""",0,IF(REGEXMATCH(Q1082,""^Sell_""),-ROUNDDOWN(ROUNDUP(INDEX(Upgrades!$C$3:$C$13,MATCH(SUBSTITUTE(Q1082,""Sell_"",""""),Upgrades!$B$3:$B$13,0))*1.15^(COUNTIF(Q$4:Q1081,SUBSTITUTE(Q1082,""Sell_"",""""))-COUNTIF(Q$4"&amp;":Q1081,""Sell_""&amp;SUBSTITUTE(Q1082,""Sell_"",""""))))/2),ROUNDUP(INDEX(Upgrades!$C$3:$C$13,MATCH(Q1082,Upgrades!$B$3:$B$13,0))*1.15^(COUNTIF(Q$4:Q1081,Q1082)-COUNTIF(Q$4:Q1081,""Sell_""&amp;Q1082))))))"),"")</f>
        <v/>
      </c>
      <c r="V1082" s="10" t="str">
        <f t="shared" si="11"/>
        <v/>
      </c>
      <c r="W1082" s="68" t="str">
        <f t="shared" si="12"/>
        <v/>
      </c>
      <c r="X1082" s="59" t="str">
        <f t="shared" si="13"/>
        <v/>
      </c>
      <c r="Y1082" s="69" t="str">
        <f t="shared" si="14"/>
        <v/>
      </c>
      <c r="Z1082" s="11"/>
    </row>
    <row r="1083">
      <c r="A1083" s="8"/>
      <c r="B1083" s="56" t="str">
        <f t="shared" si="2"/>
        <v/>
      </c>
      <c r="C1083" s="105"/>
      <c r="D1083" s="10"/>
      <c r="E1083" s="59" t="str">
        <f t="array" ref="E1083">IF(COUNTA(C1083:C1673)=0,"",SUM((COUNTIF(C$4:C1083,Upgrades!$B$3:$B$13)-COUNTIF(C$4:C1083,"Sell_"&amp;Upgrades!$B$3:$B$13))*Upgrades!$D$3:$D$13))</f>
        <v/>
      </c>
      <c r="F1083" s="66" t="str">
        <f>IFERROR(__xludf.DUMMYFUNCTION("IF(COUNTA(C1083:C1673)=0,"""",IF(REGEXMATCH(INDEX(FILTER(C$4:C1083,C$4:C1083&lt;&gt;""""),ROWS(FILTER(C$4:C1083,C$4:C1083&lt;&gt;""""))),""^Sell_""),INDEX(FILTER(F$4:F1082,C$4:C1082&lt;&gt;""""),ROWS(FILTER(C$4:C1082,C$4:C1082&lt;&gt;""""))),$AC$5+E1083))"),"")</f>
        <v/>
      </c>
      <c r="G1083" s="10" t="str">
        <f>IFERROR(__xludf.DUMMYFUNCTION("IF(COUNTA(C1083:C1673)=0,"""",IF(C1083="""",0,IF(REGEXMATCH(C1083,""^Sell_""),-ROUNDDOWN(ROUNDUP(INDEX(Upgrades!$C$3:$C$13,MATCH(SUBSTITUTE(C1083,""Sell_"",""""),Upgrades!$B$3:$B$13,0))*1.15^(COUNTIF(C$4:C1082,SUBSTITUTE(C1083,""Sell_"",""""))-COUNTIF(C$4"&amp;":C1082,""Sell_""&amp;SUBSTITUTE(C1083,""Sell_"",""""))))/2),ROUNDUP(INDEX(Upgrades!$C$3:$C$13,MATCH(C1083,Upgrades!$B$3:$B$13,0))*1.15^(COUNTIF(C$4:C1082,C1083)-COUNTIF(C$4:C1082,""Sell_""&amp;C1083))))))"),"")</f>
        <v/>
      </c>
      <c r="H1083" s="10" t="str">
        <f t="shared" si="3"/>
        <v/>
      </c>
      <c r="I1083" s="68" t="str">
        <f t="shared" si="4"/>
        <v/>
      </c>
      <c r="J1083" s="59" t="str">
        <f t="shared" si="5"/>
        <v/>
      </c>
      <c r="K1083" s="69" t="str">
        <f t="shared" si="6"/>
        <v/>
      </c>
      <c r="L1083" s="60" t="str">
        <f t="shared" si="7"/>
        <v/>
      </c>
      <c r="M1083" s="61" t="str">
        <f>IFERROR(__xludf.DUMMYFUNCTION("IFS(AND(COUNTA(C1083:C1673)=0,COUNTA(Q1083:Q1673)=0),"""",OR(AND(K1083&gt;=1000000000,OR(Y1083&gt;=1000000000,COUNTA(Q1083:Q1673)=0)),OR(Y1083&gt;=1000000000,AND(COUNTA(C1083:C1673)=0,P$3=TRUE))),
ROUNDDOWN((AB$1-AC$1)*MAX(INDEX(T$4:T1673,MATCH(LARGE(FILTER(Y$4:Y1"&amp;"673,Y$4:Y1673&lt;1000000000),1),Y$4:Y1673)),INDEX(F$4:F1673,MATCH(LARGE(FILTER(K$4:K1673,K$4:K1673&lt;1000000000),1),K$4:K1673)))),AND(K1083&lt;1000000000,COUNTA(C1083:C1673)&gt;0,P$3=FALSE),
ROUNDDOWN(INDEX(Y$4:Y1673,MATCH(LARGE(FILTER(W$4:W1673,W$4:W1673&lt;=I1083),1)"&amp;",W$4:W1673))+(I1083-LARGE(FILTER(W$4:W1673,W$4:W1673&lt;=I1083),1))*INDEX(T$4:T1673,MATCH(LARGE(FILTER(W$4:W1673,W$4:W1673&lt;=I1083),1),W$4:W1673))-K1083),1,
ROUNDDOWN(Y1083-INDEX(K$4:K1673,MATCH(LARGE(FILTER(I$4:I1673,I$4:I1673&lt;=W1083),1),I$4:I1673))-(W1083-L"&amp;"ARGE(FILTER(I$4:I1673,I$4:I1673&lt;=W1083),1))*INDEX(F$4:F1673,MATCH(LARGE(FILTER(I$4:I1673,I$4:I1673&lt;=W1083),1),I$4:I1673))))"),"")</f>
        <v/>
      </c>
      <c r="N1083" s="60" t="str">
        <f t="shared" si="8"/>
        <v/>
      </c>
      <c r="O1083" s="61" t="str">
        <f t="shared" si="9"/>
        <v/>
      </c>
      <c r="P1083" s="56" t="str">
        <f t="shared" si="10"/>
        <v/>
      </c>
      <c r="R1083" s="10"/>
      <c r="S1083" s="59" t="str">
        <f t="array" ref="S1083">IF(COUNTA(Q1083:Q1673)=0,"",SUM((COUNTIF(Q$4:Q1083,Upgrades!$B$3:$B$13)-COUNTIF(Q$4:Q1083,"Sell_"&amp;Upgrades!$B$3:$B$13))*Upgrades!$D$3:$D$13))</f>
        <v/>
      </c>
      <c r="T1083" s="66" t="str">
        <f>IFERROR(__xludf.DUMMYFUNCTION("IF(COUNTA(Q1083:Q1673)=0,"""",IF(REGEXMATCH(INDEX(FILTER(Q$4:Q1083,Q$4:Q1083&lt;&gt;""""),ROWS(FILTER(Q$4:Q1083,Q$4:Q1083&lt;&gt;""""))),""^Sell_""),INDEX(FILTER(T$4:T1082,Q$4:Q1082&lt;&gt;""""),ROWS(FILTER(Q$4:Q1082,Q$4:Q1082&lt;&gt;""""))),$AD$5+S1083))"),"")</f>
        <v/>
      </c>
      <c r="U1083" s="10" t="str">
        <f>IFERROR(__xludf.DUMMYFUNCTION("IF(COUNTA(Q1083:Q1673)=0,"""",IF(Q1083="""",0,IF(REGEXMATCH(Q1083,""^Sell_""),-ROUNDDOWN(ROUNDUP(INDEX(Upgrades!$C$3:$C$13,MATCH(SUBSTITUTE(Q1083,""Sell_"",""""),Upgrades!$B$3:$B$13,0))*1.15^(COUNTIF(Q$4:Q1082,SUBSTITUTE(Q1083,""Sell_"",""""))-COUNTIF(Q$4"&amp;":Q1082,""Sell_""&amp;SUBSTITUTE(Q1083,""Sell_"",""""))))/2),ROUNDUP(INDEX(Upgrades!$C$3:$C$13,MATCH(Q1083,Upgrades!$B$3:$B$13,0))*1.15^(COUNTIF(Q$4:Q1082,Q1083)-COUNTIF(Q$4:Q1082,""Sell_""&amp;Q1083))))))"),"")</f>
        <v/>
      </c>
      <c r="V1083" s="10" t="str">
        <f t="shared" si="11"/>
        <v/>
      </c>
      <c r="W1083" s="68" t="str">
        <f t="shared" si="12"/>
        <v/>
      </c>
      <c r="X1083" s="59" t="str">
        <f t="shared" si="13"/>
        <v/>
      </c>
      <c r="Y1083" s="69" t="str">
        <f t="shared" si="14"/>
        <v/>
      </c>
      <c r="Z1083" s="11"/>
    </row>
    <row r="1084">
      <c r="A1084" s="8"/>
      <c r="B1084" s="56" t="str">
        <f t="shared" si="2"/>
        <v/>
      </c>
      <c r="C1084" s="105"/>
      <c r="D1084" s="10"/>
      <c r="E1084" s="59" t="str">
        <f t="array" ref="E1084">IF(COUNTA(C1084:C1673)=0,"",SUM((COUNTIF(C$4:C1084,Upgrades!$B$3:$B$13)-COUNTIF(C$4:C1084,"Sell_"&amp;Upgrades!$B$3:$B$13))*Upgrades!$D$3:$D$13))</f>
        <v/>
      </c>
      <c r="F1084" s="66" t="str">
        <f>IFERROR(__xludf.DUMMYFUNCTION("IF(COUNTA(C1084:C1673)=0,"""",IF(REGEXMATCH(INDEX(FILTER(C$4:C1084,C$4:C1084&lt;&gt;""""),ROWS(FILTER(C$4:C1084,C$4:C1084&lt;&gt;""""))),""^Sell_""),INDEX(FILTER(F$4:F1083,C$4:C1083&lt;&gt;""""),ROWS(FILTER(C$4:C1083,C$4:C1083&lt;&gt;""""))),$AC$5+E1084))"),"")</f>
        <v/>
      </c>
      <c r="G1084" s="10" t="str">
        <f>IFERROR(__xludf.DUMMYFUNCTION("IF(COUNTA(C1084:C1673)=0,"""",IF(C1084="""",0,IF(REGEXMATCH(C1084,""^Sell_""),-ROUNDDOWN(ROUNDUP(INDEX(Upgrades!$C$3:$C$13,MATCH(SUBSTITUTE(C1084,""Sell_"",""""),Upgrades!$B$3:$B$13,0))*1.15^(COUNTIF(C$4:C1083,SUBSTITUTE(C1084,""Sell_"",""""))-COUNTIF(C$4"&amp;":C1083,""Sell_""&amp;SUBSTITUTE(C1084,""Sell_"",""""))))/2),ROUNDUP(INDEX(Upgrades!$C$3:$C$13,MATCH(C1084,Upgrades!$B$3:$B$13,0))*1.15^(COUNTIF(C$4:C1083,C1084)-COUNTIF(C$4:C1083,""Sell_""&amp;C1084))))))"),"")</f>
        <v/>
      </c>
      <c r="H1084" s="10" t="str">
        <f t="shared" si="3"/>
        <v/>
      </c>
      <c r="I1084" s="68" t="str">
        <f t="shared" si="4"/>
        <v/>
      </c>
      <c r="J1084" s="59" t="str">
        <f t="shared" si="5"/>
        <v/>
      </c>
      <c r="K1084" s="69" t="str">
        <f t="shared" si="6"/>
        <v/>
      </c>
      <c r="L1084" s="60" t="str">
        <f t="shared" si="7"/>
        <v/>
      </c>
      <c r="M1084" s="61" t="str">
        <f>IFERROR(__xludf.DUMMYFUNCTION("IFS(AND(COUNTA(C1084:C1673)=0,COUNTA(Q1084:Q1673)=0),"""",OR(AND(K1084&gt;=1000000000,OR(Y1084&gt;=1000000000,COUNTA(Q1084:Q1673)=0)),OR(Y1084&gt;=1000000000,AND(COUNTA(C1084:C1673)=0,P$3=TRUE))),
ROUNDDOWN((AB$1-AC$1)*MAX(INDEX(T$4:T1673,MATCH(LARGE(FILTER(Y$4:Y1"&amp;"673,Y$4:Y1673&lt;1000000000),1),Y$4:Y1673)),INDEX(F$4:F1673,MATCH(LARGE(FILTER(K$4:K1673,K$4:K1673&lt;1000000000),1),K$4:K1673)))),AND(K1084&lt;1000000000,COUNTA(C1084:C1673)&gt;0,P$3=FALSE),
ROUNDDOWN(INDEX(Y$4:Y1673,MATCH(LARGE(FILTER(W$4:W1673,W$4:W1673&lt;=I1084),1)"&amp;",W$4:W1673))+(I1084-LARGE(FILTER(W$4:W1673,W$4:W1673&lt;=I1084),1))*INDEX(T$4:T1673,MATCH(LARGE(FILTER(W$4:W1673,W$4:W1673&lt;=I1084),1),W$4:W1673))-K1084),1,
ROUNDDOWN(Y1084-INDEX(K$4:K1673,MATCH(LARGE(FILTER(I$4:I1673,I$4:I1673&lt;=W1084),1),I$4:I1673))-(W1084-L"&amp;"ARGE(FILTER(I$4:I1673,I$4:I1673&lt;=W1084),1))*INDEX(F$4:F1673,MATCH(LARGE(FILTER(I$4:I1673,I$4:I1673&lt;=W1084),1),I$4:I1673))))"),"")</f>
        <v/>
      </c>
      <c r="N1084" s="60" t="str">
        <f t="shared" si="8"/>
        <v/>
      </c>
      <c r="O1084" s="61" t="str">
        <f t="shared" si="9"/>
        <v/>
      </c>
      <c r="P1084" s="56" t="str">
        <f t="shared" si="10"/>
        <v/>
      </c>
      <c r="R1084" s="10"/>
      <c r="S1084" s="59" t="str">
        <f t="array" ref="S1084">IF(COUNTA(Q1084:Q1673)=0,"",SUM((COUNTIF(Q$4:Q1084,Upgrades!$B$3:$B$13)-COUNTIF(Q$4:Q1084,"Sell_"&amp;Upgrades!$B$3:$B$13))*Upgrades!$D$3:$D$13))</f>
        <v/>
      </c>
      <c r="T1084" s="66" t="str">
        <f>IFERROR(__xludf.DUMMYFUNCTION("IF(COUNTA(Q1084:Q1673)=0,"""",IF(REGEXMATCH(INDEX(FILTER(Q$4:Q1084,Q$4:Q1084&lt;&gt;""""),ROWS(FILTER(Q$4:Q1084,Q$4:Q1084&lt;&gt;""""))),""^Sell_""),INDEX(FILTER(T$4:T1083,Q$4:Q1083&lt;&gt;""""),ROWS(FILTER(Q$4:Q1083,Q$4:Q1083&lt;&gt;""""))),$AD$5+S1084))"),"")</f>
        <v/>
      </c>
      <c r="U1084" s="10" t="str">
        <f>IFERROR(__xludf.DUMMYFUNCTION("IF(COUNTA(Q1084:Q1673)=0,"""",IF(Q1084="""",0,IF(REGEXMATCH(Q1084,""^Sell_""),-ROUNDDOWN(ROUNDUP(INDEX(Upgrades!$C$3:$C$13,MATCH(SUBSTITUTE(Q1084,""Sell_"",""""),Upgrades!$B$3:$B$13,0))*1.15^(COUNTIF(Q$4:Q1083,SUBSTITUTE(Q1084,""Sell_"",""""))-COUNTIF(Q$4"&amp;":Q1083,""Sell_""&amp;SUBSTITUTE(Q1084,""Sell_"",""""))))/2),ROUNDUP(INDEX(Upgrades!$C$3:$C$13,MATCH(Q1084,Upgrades!$B$3:$B$13,0))*1.15^(COUNTIF(Q$4:Q1083,Q1084)-COUNTIF(Q$4:Q1083,""Sell_""&amp;Q1084))))))"),"")</f>
        <v/>
      </c>
      <c r="V1084" s="10" t="str">
        <f t="shared" si="11"/>
        <v/>
      </c>
      <c r="W1084" s="68" t="str">
        <f t="shared" si="12"/>
        <v/>
      </c>
      <c r="X1084" s="59" t="str">
        <f t="shared" si="13"/>
        <v/>
      </c>
      <c r="Y1084" s="69" t="str">
        <f t="shared" si="14"/>
        <v/>
      </c>
      <c r="Z1084" s="11"/>
    </row>
    <row r="1085">
      <c r="A1085" s="8"/>
      <c r="B1085" s="56" t="str">
        <f t="shared" si="2"/>
        <v/>
      </c>
      <c r="C1085" s="105"/>
      <c r="D1085" s="10"/>
      <c r="E1085" s="59" t="str">
        <f t="array" ref="E1085">IF(COUNTA(C1085:C1673)=0,"",SUM((COUNTIF(C$4:C1085,Upgrades!$B$3:$B$13)-COUNTIF(C$4:C1085,"Sell_"&amp;Upgrades!$B$3:$B$13))*Upgrades!$D$3:$D$13))</f>
        <v/>
      </c>
      <c r="F1085" s="66" t="str">
        <f>IFERROR(__xludf.DUMMYFUNCTION("IF(COUNTA(C1085:C1673)=0,"""",IF(REGEXMATCH(INDEX(FILTER(C$4:C1085,C$4:C1085&lt;&gt;""""),ROWS(FILTER(C$4:C1085,C$4:C1085&lt;&gt;""""))),""^Sell_""),INDEX(FILTER(F$4:F1084,C$4:C1084&lt;&gt;""""),ROWS(FILTER(C$4:C1084,C$4:C1084&lt;&gt;""""))),$AC$5+E1085))"),"")</f>
        <v/>
      </c>
      <c r="G1085" s="10" t="str">
        <f>IFERROR(__xludf.DUMMYFUNCTION("IF(COUNTA(C1085:C1673)=0,"""",IF(C1085="""",0,IF(REGEXMATCH(C1085,""^Sell_""),-ROUNDDOWN(ROUNDUP(INDEX(Upgrades!$C$3:$C$13,MATCH(SUBSTITUTE(C1085,""Sell_"",""""),Upgrades!$B$3:$B$13,0))*1.15^(COUNTIF(C$4:C1084,SUBSTITUTE(C1085,""Sell_"",""""))-COUNTIF(C$4"&amp;":C1084,""Sell_""&amp;SUBSTITUTE(C1085,""Sell_"",""""))))/2),ROUNDUP(INDEX(Upgrades!$C$3:$C$13,MATCH(C1085,Upgrades!$B$3:$B$13,0))*1.15^(COUNTIF(C$4:C1084,C1085)-COUNTIF(C$4:C1084,""Sell_""&amp;C1085))))))"),"")</f>
        <v/>
      </c>
      <c r="H1085" s="10" t="str">
        <f t="shared" si="3"/>
        <v/>
      </c>
      <c r="I1085" s="68" t="str">
        <f t="shared" si="4"/>
        <v/>
      </c>
      <c r="J1085" s="59" t="str">
        <f t="shared" si="5"/>
        <v/>
      </c>
      <c r="K1085" s="69" t="str">
        <f t="shared" si="6"/>
        <v/>
      </c>
      <c r="L1085" s="60" t="str">
        <f t="shared" si="7"/>
        <v/>
      </c>
      <c r="M1085" s="61" t="str">
        <f>IFERROR(__xludf.DUMMYFUNCTION("IFS(AND(COUNTA(C1085:C1673)=0,COUNTA(Q1085:Q1673)=0),"""",OR(AND(K1085&gt;=1000000000,OR(Y1085&gt;=1000000000,COUNTA(Q1085:Q1673)=0)),OR(Y1085&gt;=1000000000,AND(COUNTA(C1085:C1673)=0,P$3=TRUE))),
ROUNDDOWN((AB$1-AC$1)*MAX(INDEX(T$4:T1673,MATCH(LARGE(FILTER(Y$4:Y1"&amp;"673,Y$4:Y1673&lt;1000000000),1),Y$4:Y1673)),INDEX(F$4:F1673,MATCH(LARGE(FILTER(K$4:K1673,K$4:K1673&lt;1000000000),1),K$4:K1673)))),AND(K1085&lt;1000000000,COUNTA(C1085:C1673)&gt;0,P$3=FALSE),
ROUNDDOWN(INDEX(Y$4:Y1673,MATCH(LARGE(FILTER(W$4:W1673,W$4:W1673&lt;=I1085),1)"&amp;",W$4:W1673))+(I1085-LARGE(FILTER(W$4:W1673,W$4:W1673&lt;=I1085),1))*INDEX(T$4:T1673,MATCH(LARGE(FILTER(W$4:W1673,W$4:W1673&lt;=I1085),1),W$4:W1673))-K1085),1,
ROUNDDOWN(Y1085-INDEX(K$4:K1673,MATCH(LARGE(FILTER(I$4:I1673,I$4:I1673&lt;=W1085),1),I$4:I1673))-(W1085-L"&amp;"ARGE(FILTER(I$4:I1673,I$4:I1673&lt;=W1085),1))*INDEX(F$4:F1673,MATCH(LARGE(FILTER(I$4:I1673,I$4:I1673&lt;=W1085),1),I$4:I1673))))"),"")</f>
        <v/>
      </c>
      <c r="N1085" s="60" t="str">
        <f t="shared" si="8"/>
        <v/>
      </c>
      <c r="O1085" s="61" t="str">
        <f t="shared" si="9"/>
        <v/>
      </c>
      <c r="P1085" s="56" t="str">
        <f t="shared" si="10"/>
        <v/>
      </c>
      <c r="R1085" s="10"/>
      <c r="S1085" s="59" t="str">
        <f t="array" ref="S1085">IF(COUNTA(Q1085:Q1673)=0,"",SUM((COUNTIF(Q$4:Q1085,Upgrades!$B$3:$B$13)-COUNTIF(Q$4:Q1085,"Sell_"&amp;Upgrades!$B$3:$B$13))*Upgrades!$D$3:$D$13))</f>
        <v/>
      </c>
      <c r="T1085" s="66" t="str">
        <f>IFERROR(__xludf.DUMMYFUNCTION("IF(COUNTA(Q1085:Q1673)=0,"""",IF(REGEXMATCH(INDEX(FILTER(Q$4:Q1085,Q$4:Q1085&lt;&gt;""""),ROWS(FILTER(Q$4:Q1085,Q$4:Q1085&lt;&gt;""""))),""^Sell_""),INDEX(FILTER(T$4:T1084,Q$4:Q1084&lt;&gt;""""),ROWS(FILTER(Q$4:Q1084,Q$4:Q1084&lt;&gt;""""))),$AD$5+S1085))"),"")</f>
        <v/>
      </c>
      <c r="U1085" s="10" t="str">
        <f>IFERROR(__xludf.DUMMYFUNCTION("IF(COUNTA(Q1085:Q1673)=0,"""",IF(Q1085="""",0,IF(REGEXMATCH(Q1085,""^Sell_""),-ROUNDDOWN(ROUNDUP(INDEX(Upgrades!$C$3:$C$13,MATCH(SUBSTITUTE(Q1085,""Sell_"",""""),Upgrades!$B$3:$B$13,0))*1.15^(COUNTIF(Q$4:Q1084,SUBSTITUTE(Q1085,""Sell_"",""""))-COUNTIF(Q$4"&amp;":Q1084,""Sell_""&amp;SUBSTITUTE(Q1085,""Sell_"",""""))))/2),ROUNDUP(INDEX(Upgrades!$C$3:$C$13,MATCH(Q1085,Upgrades!$B$3:$B$13,0))*1.15^(COUNTIF(Q$4:Q1084,Q1085)-COUNTIF(Q$4:Q1084,""Sell_""&amp;Q1085))))))"),"")</f>
        <v/>
      </c>
      <c r="V1085" s="10" t="str">
        <f t="shared" si="11"/>
        <v/>
      </c>
      <c r="W1085" s="68" t="str">
        <f t="shared" si="12"/>
        <v/>
      </c>
      <c r="X1085" s="59" t="str">
        <f t="shared" si="13"/>
        <v/>
      </c>
      <c r="Y1085" s="69" t="str">
        <f t="shared" si="14"/>
        <v/>
      </c>
      <c r="Z1085" s="11"/>
    </row>
    <row r="1086">
      <c r="A1086" s="8"/>
      <c r="B1086" s="56" t="str">
        <f t="shared" si="2"/>
        <v/>
      </c>
      <c r="C1086" s="105"/>
      <c r="D1086" s="10"/>
      <c r="E1086" s="59" t="str">
        <f t="array" ref="E1086">IF(COUNTA(C1086:C1673)=0,"",SUM((COUNTIF(C$4:C1086,Upgrades!$B$3:$B$13)-COUNTIF(C$4:C1086,"Sell_"&amp;Upgrades!$B$3:$B$13))*Upgrades!$D$3:$D$13))</f>
        <v/>
      </c>
      <c r="F1086" s="66" t="str">
        <f>IFERROR(__xludf.DUMMYFUNCTION("IF(COUNTA(C1086:C1673)=0,"""",IF(REGEXMATCH(INDEX(FILTER(C$4:C1086,C$4:C1086&lt;&gt;""""),ROWS(FILTER(C$4:C1086,C$4:C1086&lt;&gt;""""))),""^Sell_""),INDEX(FILTER(F$4:F1085,C$4:C1085&lt;&gt;""""),ROWS(FILTER(C$4:C1085,C$4:C1085&lt;&gt;""""))),$AC$5+E1086))"),"")</f>
        <v/>
      </c>
      <c r="G1086" s="10" t="str">
        <f>IFERROR(__xludf.DUMMYFUNCTION("IF(COUNTA(C1086:C1673)=0,"""",IF(C1086="""",0,IF(REGEXMATCH(C1086,""^Sell_""),-ROUNDDOWN(ROUNDUP(INDEX(Upgrades!$C$3:$C$13,MATCH(SUBSTITUTE(C1086,""Sell_"",""""),Upgrades!$B$3:$B$13,0))*1.15^(COUNTIF(C$4:C1085,SUBSTITUTE(C1086,""Sell_"",""""))-COUNTIF(C$4"&amp;":C1085,""Sell_""&amp;SUBSTITUTE(C1086,""Sell_"",""""))))/2),ROUNDUP(INDEX(Upgrades!$C$3:$C$13,MATCH(C1086,Upgrades!$B$3:$B$13,0))*1.15^(COUNTIF(C$4:C1085,C1086)-COUNTIF(C$4:C1085,""Sell_""&amp;C1086))))))"),"")</f>
        <v/>
      </c>
      <c r="H1086" s="10" t="str">
        <f t="shared" si="3"/>
        <v/>
      </c>
      <c r="I1086" s="68" t="str">
        <f t="shared" si="4"/>
        <v/>
      </c>
      <c r="J1086" s="59" t="str">
        <f t="shared" si="5"/>
        <v/>
      </c>
      <c r="K1086" s="69" t="str">
        <f t="shared" si="6"/>
        <v/>
      </c>
      <c r="L1086" s="60" t="str">
        <f t="shared" si="7"/>
        <v/>
      </c>
      <c r="M1086" s="61" t="str">
        <f>IFERROR(__xludf.DUMMYFUNCTION("IFS(AND(COUNTA(C1086:C1673)=0,COUNTA(Q1086:Q1673)=0),"""",OR(AND(K1086&gt;=1000000000,OR(Y1086&gt;=1000000000,COUNTA(Q1086:Q1673)=0)),OR(Y1086&gt;=1000000000,AND(COUNTA(C1086:C1673)=0,P$3=TRUE))),
ROUNDDOWN((AB$1-AC$1)*MAX(INDEX(T$4:T1673,MATCH(LARGE(FILTER(Y$4:Y1"&amp;"673,Y$4:Y1673&lt;1000000000),1),Y$4:Y1673)),INDEX(F$4:F1673,MATCH(LARGE(FILTER(K$4:K1673,K$4:K1673&lt;1000000000),1),K$4:K1673)))),AND(K1086&lt;1000000000,COUNTA(C1086:C1673)&gt;0,P$3=FALSE),
ROUNDDOWN(INDEX(Y$4:Y1673,MATCH(LARGE(FILTER(W$4:W1673,W$4:W1673&lt;=I1086),1)"&amp;",W$4:W1673))+(I1086-LARGE(FILTER(W$4:W1673,W$4:W1673&lt;=I1086),1))*INDEX(T$4:T1673,MATCH(LARGE(FILTER(W$4:W1673,W$4:W1673&lt;=I1086),1),W$4:W1673))-K1086),1,
ROUNDDOWN(Y1086-INDEX(K$4:K1673,MATCH(LARGE(FILTER(I$4:I1673,I$4:I1673&lt;=W1086),1),I$4:I1673))-(W1086-L"&amp;"ARGE(FILTER(I$4:I1673,I$4:I1673&lt;=W1086),1))*INDEX(F$4:F1673,MATCH(LARGE(FILTER(I$4:I1673,I$4:I1673&lt;=W1086),1),I$4:I1673))))"),"")</f>
        <v/>
      </c>
      <c r="N1086" s="60" t="str">
        <f t="shared" si="8"/>
        <v/>
      </c>
      <c r="O1086" s="61" t="str">
        <f t="shared" si="9"/>
        <v/>
      </c>
      <c r="P1086" s="56" t="str">
        <f t="shared" si="10"/>
        <v/>
      </c>
      <c r="R1086" s="10"/>
      <c r="S1086" s="59" t="str">
        <f t="array" ref="S1086">IF(COUNTA(Q1086:Q1673)=0,"",SUM((COUNTIF(Q$4:Q1086,Upgrades!$B$3:$B$13)-COUNTIF(Q$4:Q1086,"Sell_"&amp;Upgrades!$B$3:$B$13))*Upgrades!$D$3:$D$13))</f>
        <v/>
      </c>
      <c r="T1086" s="66" t="str">
        <f>IFERROR(__xludf.DUMMYFUNCTION("IF(COUNTA(Q1086:Q1673)=0,"""",IF(REGEXMATCH(INDEX(FILTER(Q$4:Q1086,Q$4:Q1086&lt;&gt;""""),ROWS(FILTER(Q$4:Q1086,Q$4:Q1086&lt;&gt;""""))),""^Sell_""),INDEX(FILTER(T$4:T1085,Q$4:Q1085&lt;&gt;""""),ROWS(FILTER(Q$4:Q1085,Q$4:Q1085&lt;&gt;""""))),$AD$5+S1086))"),"")</f>
        <v/>
      </c>
      <c r="U1086" s="10" t="str">
        <f>IFERROR(__xludf.DUMMYFUNCTION("IF(COUNTA(Q1086:Q1673)=0,"""",IF(Q1086="""",0,IF(REGEXMATCH(Q1086,""^Sell_""),-ROUNDDOWN(ROUNDUP(INDEX(Upgrades!$C$3:$C$13,MATCH(SUBSTITUTE(Q1086,""Sell_"",""""),Upgrades!$B$3:$B$13,0))*1.15^(COUNTIF(Q$4:Q1085,SUBSTITUTE(Q1086,""Sell_"",""""))-COUNTIF(Q$4"&amp;":Q1085,""Sell_""&amp;SUBSTITUTE(Q1086,""Sell_"",""""))))/2),ROUNDUP(INDEX(Upgrades!$C$3:$C$13,MATCH(Q1086,Upgrades!$B$3:$B$13,0))*1.15^(COUNTIF(Q$4:Q1085,Q1086)-COUNTIF(Q$4:Q1085,""Sell_""&amp;Q1086))))))"),"")</f>
        <v/>
      </c>
      <c r="V1086" s="10" t="str">
        <f t="shared" si="11"/>
        <v/>
      </c>
      <c r="W1086" s="68" t="str">
        <f t="shared" si="12"/>
        <v/>
      </c>
      <c r="X1086" s="59" t="str">
        <f t="shared" si="13"/>
        <v/>
      </c>
      <c r="Y1086" s="69" t="str">
        <f t="shared" si="14"/>
        <v/>
      </c>
      <c r="Z1086" s="11"/>
    </row>
    <row r="1087">
      <c r="A1087" s="8"/>
      <c r="B1087" s="56" t="str">
        <f t="shared" si="2"/>
        <v/>
      </c>
      <c r="C1087" s="105"/>
      <c r="D1087" s="10"/>
      <c r="E1087" s="59" t="str">
        <f t="array" ref="E1087">IF(COUNTA(C1087:C1673)=0,"",SUM((COUNTIF(C$4:C1087,Upgrades!$B$3:$B$13)-COUNTIF(C$4:C1087,"Sell_"&amp;Upgrades!$B$3:$B$13))*Upgrades!$D$3:$D$13))</f>
        <v/>
      </c>
      <c r="F1087" s="66" t="str">
        <f>IFERROR(__xludf.DUMMYFUNCTION("IF(COUNTA(C1087:C1673)=0,"""",IF(REGEXMATCH(INDEX(FILTER(C$4:C1087,C$4:C1087&lt;&gt;""""),ROWS(FILTER(C$4:C1087,C$4:C1087&lt;&gt;""""))),""^Sell_""),INDEX(FILTER(F$4:F1086,C$4:C1086&lt;&gt;""""),ROWS(FILTER(C$4:C1086,C$4:C1086&lt;&gt;""""))),$AC$5+E1087))"),"")</f>
        <v/>
      </c>
      <c r="G1087" s="10" t="str">
        <f>IFERROR(__xludf.DUMMYFUNCTION("IF(COUNTA(C1087:C1673)=0,"""",IF(C1087="""",0,IF(REGEXMATCH(C1087,""^Sell_""),-ROUNDDOWN(ROUNDUP(INDEX(Upgrades!$C$3:$C$13,MATCH(SUBSTITUTE(C1087,""Sell_"",""""),Upgrades!$B$3:$B$13,0))*1.15^(COUNTIF(C$4:C1086,SUBSTITUTE(C1087,""Sell_"",""""))-COUNTIF(C$4"&amp;":C1086,""Sell_""&amp;SUBSTITUTE(C1087,""Sell_"",""""))))/2),ROUNDUP(INDEX(Upgrades!$C$3:$C$13,MATCH(C1087,Upgrades!$B$3:$B$13,0))*1.15^(COUNTIF(C$4:C1086,C1087)-COUNTIF(C$4:C1086,""Sell_""&amp;C1087))))))"),"")</f>
        <v/>
      </c>
      <c r="H1087" s="10" t="str">
        <f t="shared" si="3"/>
        <v/>
      </c>
      <c r="I1087" s="68" t="str">
        <f t="shared" si="4"/>
        <v/>
      </c>
      <c r="J1087" s="59" t="str">
        <f t="shared" si="5"/>
        <v/>
      </c>
      <c r="K1087" s="69" t="str">
        <f t="shared" si="6"/>
        <v/>
      </c>
      <c r="L1087" s="60" t="str">
        <f t="shared" si="7"/>
        <v/>
      </c>
      <c r="M1087" s="61" t="str">
        <f>IFERROR(__xludf.DUMMYFUNCTION("IFS(AND(COUNTA(C1087:C1673)=0,COUNTA(Q1087:Q1673)=0),"""",OR(AND(K1087&gt;=1000000000,OR(Y1087&gt;=1000000000,COUNTA(Q1087:Q1673)=0)),OR(Y1087&gt;=1000000000,AND(COUNTA(C1087:C1673)=0,P$3=TRUE))),
ROUNDDOWN((AB$1-AC$1)*MAX(INDEX(T$4:T1673,MATCH(LARGE(FILTER(Y$4:Y1"&amp;"673,Y$4:Y1673&lt;1000000000),1),Y$4:Y1673)),INDEX(F$4:F1673,MATCH(LARGE(FILTER(K$4:K1673,K$4:K1673&lt;1000000000),1),K$4:K1673)))),AND(K1087&lt;1000000000,COUNTA(C1087:C1673)&gt;0,P$3=FALSE),
ROUNDDOWN(INDEX(Y$4:Y1673,MATCH(LARGE(FILTER(W$4:W1673,W$4:W1673&lt;=I1087),1)"&amp;",W$4:W1673))+(I1087-LARGE(FILTER(W$4:W1673,W$4:W1673&lt;=I1087),1))*INDEX(T$4:T1673,MATCH(LARGE(FILTER(W$4:W1673,W$4:W1673&lt;=I1087),1),W$4:W1673))-K1087),1,
ROUNDDOWN(Y1087-INDEX(K$4:K1673,MATCH(LARGE(FILTER(I$4:I1673,I$4:I1673&lt;=W1087),1),I$4:I1673))-(W1087-L"&amp;"ARGE(FILTER(I$4:I1673,I$4:I1673&lt;=W1087),1))*INDEX(F$4:F1673,MATCH(LARGE(FILTER(I$4:I1673,I$4:I1673&lt;=W1087),1),I$4:I1673))))"),"")</f>
        <v/>
      </c>
      <c r="N1087" s="60" t="str">
        <f t="shared" si="8"/>
        <v/>
      </c>
      <c r="O1087" s="61" t="str">
        <f t="shared" si="9"/>
        <v/>
      </c>
      <c r="P1087" s="56" t="str">
        <f t="shared" si="10"/>
        <v/>
      </c>
      <c r="R1087" s="10"/>
      <c r="S1087" s="59" t="str">
        <f t="array" ref="S1087">IF(COUNTA(Q1087:Q1673)=0,"",SUM((COUNTIF(Q$4:Q1087,Upgrades!$B$3:$B$13)-COUNTIF(Q$4:Q1087,"Sell_"&amp;Upgrades!$B$3:$B$13))*Upgrades!$D$3:$D$13))</f>
        <v/>
      </c>
      <c r="T1087" s="66" t="str">
        <f>IFERROR(__xludf.DUMMYFUNCTION("IF(COUNTA(Q1087:Q1673)=0,"""",IF(REGEXMATCH(INDEX(FILTER(Q$4:Q1087,Q$4:Q1087&lt;&gt;""""),ROWS(FILTER(Q$4:Q1087,Q$4:Q1087&lt;&gt;""""))),""^Sell_""),INDEX(FILTER(T$4:T1086,Q$4:Q1086&lt;&gt;""""),ROWS(FILTER(Q$4:Q1086,Q$4:Q1086&lt;&gt;""""))),$AD$5+S1087))"),"")</f>
        <v/>
      </c>
      <c r="U1087" s="10" t="str">
        <f>IFERROR(__xludf.DUMMYFUNCTION("IF(COUNTA(Q1087:Q1673)=0,"""",IF(Q1087="""",0,IF(REGEXMATCH(Q1087,""^Sell_""),-ROUNDDOWN(ROUNDUP(INDEX(Upgrades!$C$3:$C$13,MATCH(SUBSTITUTE(Q1087,""Sell_"",""""),Upgrades!$B$3:$B$13,0))*1.15^(COUNTIF(Q$4:Q1086,SUBSTITUTE(Q1087,""Sell_"",""""))-COUNTIF(Q$4"&amp;":Q1086,""Sell_""&amp;SUBSTITUTE(Q1087,""Sell_"",""""))))/2),ROUNDUP(INDEX(Upgrades!$C$3:$C$13,MATCH(Q1087,Upgrades!$B$3:$B$13,0))*1.15^(COUNTIF(Q$4:Q1086,Q1087)-COUNTIF(Q$4:Q1086,""Sell_""&amp;Q1087))))))"),"")</f>
        <v/>
      </c>
      <c r="V1087" s="10" t="str">
        <f t="shared" si="11"/>
        <v/>
      </c>
      <c r="W1087" s="68" t="str">
        <f t="shared" si="12"/>
        <v/>
      </c>
      <c r="X1087" s="59" t="str">
        <f t="shared" si="13"/>
        <v/>
      </c>
      <c r="Y1087" s="69" t="str">
        <f t="shared" si="14"/>
        <v/>
      </c>
      <c r="Z1087" s="11"/>
    </row>
    <row r="1088">
      <c r="A1088" s="8"/>
      <c r="B1088" s="56" t="str">
        <f t="shared" si="2"/>
        <v/>
      </c>
      <c r="C1088" s="105"/>
      <c r="D1088" s="10"/>
      <c r="E1088" s="59" t="str">
        <f t="array" ref="E1088">IF(COUNTA(C1088:C1673)=0,"",SUM((COUNTIF(C$4:C1088,Upgrades!$B$3:$B$13)-COUNTIF(C$4:C1088,"Sell_"&amp;Upgrades!$B$3:$B$13))*Upgrades!$D$3:$D$13))</f>
        <v/>
      </c>
      <c r="F1088" s="66" t="str">
        <f>IFERROR(__xludf.DUMMYFUNCTION("IF(COUNTA(C1088:C1673)=0,"""",IF(REGEXMATCH(INDEX(FILTER(C$4:C1088,C$4:C1088&lt;&gt;""""),ROWS(FILTER(C$4:C1088,C$4:C1088&lt;&gt;""""))),""^Sell_""),INDEX(FILTER(F$4:F1087,C$4:C1087&lt;&gt;""""),ROWS(FILTER(C$4:C1087,C$4:C1087&lt;&gt;""""))),$AC$5+E1088))"),"")</f>
        <v/>
      </c>
      <c r="G1088" s="10" t="str">
        <f>IFERROR(__xludf.DUMMYFUNCTION("IF(COUNTA(C1088:C1673)=0,"""",IF(C1088="""",0,IF(REGEXMATCH(C1088,""^Sell_""),-ROUNDDOWN(ROUNDUP(INDEX(Upgrades!$C$3:$C$13,MATCH(SUBSTITUTE(C1088,""Sell_"",""""),Upgrades!$B$3:$B$13,0))*1.15^(COUNTIF(C$4:C1087,SUBSTITUTE(C1088,""Sell_"",""""))-COUNTIF(C$4"&amp;":C1087,""Sell_""&amp;SUBSTITUTE(C1088,""Sell_"",""""))))/2),ROUNDUP(INDEX(Upgrades!$C$3:$C$13,MATCH(C1088,Upgrades!$B$3:$B$13,0))*1.15^(COUNTIF(C$4:C1087,C1088)-COUNTIF(C$4:C1087,""Sell_""&amp;C1088))))))"),"")</f>
        <v/>
      </c>
      <c r="H1088" s="10" t="str">
        <f t="shared" si="3"/>
        <v/>
      </c>
      <c r="I1088" s="68" t="str">
        <f t="shared" si="4"/>
        <v/>
      </c>
      <c r="J1088" s="59" t="str">
        <f t="shared" si="5"/>
        <v/>
      </c>
      <c r="K1088" s="69" t="str">
        <f t="shared" si="6"/>
        <v/>
      </c>
      <c r="L1088" s="60" t="str">
        <f t="shared" si="7"/>
        <v/>
      </c>
      <c r="M1088" s="61" t="str">
        <f>IFERROR(__xludf.DUMMYFUNCTION("IFS(AND(COUNTA(C1088:C1673)=0,COUNTA(Q1088:Q1673)=0),"""",OR(AND(K1088&gt;=1000000000,OR(Y1088&gt;=1000000000,COUNTA(Q1088:Q1673)=0)),OR(Y1088&gt;=1000000000,AND(COUNTA(C1088:C1673)=0,P$3=TRUE))),
ROUNDDOWN((AB$1-AC$1)*MAX(INDEX(T$4:T1673,MATCH(LARGE(FILTER(Y$4:Y1"&amp;"673,Y$4:Y1673&lt;1000000000),1),Y$4:Y1673)),INDEX(F$4:F1673,MATCH(LARGE(FILTER(K$4:K1673,K$4:K1673&lt;1000000000),1),K$4:K1673)))),AND(K1088&lt;1000000000,COUNTA(C1088:C1673)&gt;0,P$3=FALSE),
ROUNDDOWN(INDEX(Y$4:Y1673,MATCH(LARGE(FILTER(W$4:W1673,W$4:W1673&lt;=I1088),1)"&amp;",W$4:W1673))+(I1088-LARGE(FILTER(W$4:W1673,W$4:W1673&lt;=I1088),1))*INDEX(T$4:T1673,MATCH(LARGE(FILTER(W$4:W1673,W$4:W1673&lt;=I1088),1),W$4:W1673))-K1088),1,
ROUNDDOWN(Y1088-INDEX(K$4:K1673,MATCH(LARGE(FILTER(I$4:I1673,I$4:I1673&lt;=W1088),1),I$4:I1673))-(W1088-L"&amp;"ARGE(FILTER(I$4:I1673,I$4:I1673&lt;=W1088),1))*INDEX(F$4:F1673,MATCH(LARGE(FILTER(I$4:I1673,I$4:I1673&lt;=W1088),1),I$4:I1673))))"),"")</f>
        <v/>
      </c>
      <c r="N1088" s="60" t="str">
        <f t="shared" si="8"/>
        <v/>
      </c>
      <c r="O1088" s="61" t="str">
        <f t="shared" si="9"/>
        <v/>
      </c>
      <c r="P1088" s="56" t="str">
        <f t="shared" si="10"/>
        <v/>
      </c>
      <c r="R1088" s="10"/>
      <c r="S1088" s="59" t="str">
        <f t="array" ref="S1088">IF(COUNTA(Q1088:Q1673)=0,"",SUM((COUNTIF(Q$4:Q1088,Upgrades!$B$3:$B$13)-COUNTIF(Q$4:Q1088,"Sell_"&amp;Upgrades!$B$3:$B$13))*Upgrades!$D$3:$D$13))</f>
        <v/>
      </c>
      <c r="T1088" s="66" t="str">
        <f>IFERROR(__xludf.DUMMYFUNCTION("IF(COUNTA(Q1088:Q1673)=0,"""",IF(REGEXMATCH(INDEX(FILTER(Q$4:Q1088,Q$4:Q1088&lt;&gt;""""),ROWS(FILTER(Q$4:Q1088,Q$4:Q1088&lt;&gt;""""))),""^Sell_""),INDEX(FILTER(T$4:T1087,Q$4:Q1087&lt;&gt;""""),ROWS(FILTER(Q$4:Q1087,Q$4:Q1087&lt;&gt;""""))),$AD$5+S1088))"),"")</f>
        <v/>
      </c>
      <c r="U1088" s="10" t="str">
        <f>IFERROR(__xludf.DUMMYFUNCTION("IF(COUNTA(Q1088:Q1673)=0,"""",IF(Q1088="""",0,IF(REGEXMATCH(Q1088,""^Sell_""),-ROUNDDOWN(ROUNDUP(INDEX(Upgrades!$C$3:$C$13,MATCH(SUBSTITUTE(Q1088,""Sell_"",""""),Upgrades!$B$3:$B$13,0))*1.15^(COUNTIF(Q$4:Q1087,SUBSTITUTE(Q1088,""Sell_"",""""))-COUNTIF(Q$4"&amp;":Q1087,""Sell_""&amp;SUBSTITUTE(Q1088,""Sell_"",""""))))/2),ROUNDUP(INDEX(Upgrades!$C$3:$C$13,MATCH(Q1088,Upgrades!$B$3:$B$13,0))*1.15^(COUNTIF(Q$4:Q1087,Q1088)-COUNTIF(Q$4:Q1087,""Sell_""&amp;Q1088))))))"),"")</f>
        <v/>
      </c>
      <c r="V1088" s="10" t="str">
        <f t="shared" si="11"/>
        <v/>
      </c>
      <c r="W1088" s="68" t="str">
        <f t="shared" si="12"/>
        <v/>
      </c>
      <c r="X1088" s="59" t="str">
        <f t="shared" si="13"/>
        <v/>
      </c>
      <c r="Y1088" s="69" t="str">
        <f t="shared" si="14"/>
        <v/>
      </c>
      <c r="Z1088" s="11"/>
    </row>
    <row r="1089">
      <c r="A1089" s="8"/>
      <c r="B1089" s="56" t="str">
        <f t="shared" si="2"/>
        <v/>
      </c>
      <c r="C1089" s="105"/>
      <c r="D1089" s="10"/>
      <c r="E1089" s="59" t="str">
        <f t="array" ref="E1089">IF(COUNTA(C1089:C1673)=0,"",SUM((COUNTIF(C$4:C1089,Upgrades!$B$3:$B$13)-COUNTIF(C$4:C1089,"Sell_"&amp;Upgrades!$B$3:$B$13))*Upgrades!$D$3:$D$13))</f>
        <v/>
      </c>
      <c r="F1089" s="66" t="str">
        <f>IFERROR(__xludf.DUMMYFUNCTION("IF(COUNTA(C1089:C1673)=0,"""",IF(REGEXMATCH(INDEX(FILTER(C$4:C1089,C$4:C1089&lt;&gt;""""),ROWS(FILTER(C$4:C1089,C$4:C1089&lt;&gt;""""))),""^Sell_""),INDEX(FILTER(F$4:F1088,C$4:C1088&lt;&gt;""""),ROWS(FILTER(C$4:C1088,C$4:C1088&lt;&gt;""""))),$AC$5+E1089))"),"")</f>
        <v/>
      </c>
      <c r="G1089" s="10" t="str">
        <f>IFERROR(__xludf.DUMMYFUNCTION("IF(COUNTA(C1089:C1673)=0,"""",IF(C1089="""",0,IF(REGEXMATCH(C1089,""^Sell_""),-ROUNDDOWN(ROUNDUP(INDEX(Upgrades!$C$3:$C$13,MATCH(SUBSTITUTE(C1089,""Sell_"",""""),Upgrades!$B$3:$B$13,0))*1.15^(COUNTIF(C$4:C1088,SUBSTITUTE(C1089,""Sell_"",""""))-COUNTIF(C$4"&amp;":C1088,""Sell_""&amp;SUBSTITUTE(C1089,""Sell_"",""""))))/2),ROUNDUP(INDEX(Upgrades!$C$3:$C$13,MATCH(C1089,Upgrades!$B$3:$B$13,0))*1.15^(COUNTIF(C$4:C1088,C1089)-COUNTIF(C$4:C1088,""Sell_""&amp;C1089))))))"),"")</f>
        <v/>
      </c>
      <c r="H1089" s="10" t="str">
        <f t="shared" si="3"/>
        <v/>
      </c>
      <c r="I1089" s="68" t="str">
        <f t="shared" si="4"/>
        <v/>
      </c>
      <c r="J1089" s="59" t="str">
        <f t="shared" si="5"/>
        <v/>
      </c>
      <c r="K1089" s="69" t="str">
        <f t="shared" si="6"/>
        <v/>
      </c>
      <c r="L1089" s="60" t="str">
        <f t="shared" si="7"/>
        <v/>
      </c>
      <c r="M1089" s="61" t="str">
        <f>IFERROR(__xludf.DUMMYFUNCTION("IFS(AND(COUNTA(C1089:C1673)=0,COUNTA(Q1089:Q1673)=0),"""",OR(AND(K1089&gt;=1000000000,OR(Y1089&gt;=1000000000,COUNTA(Q1089:Q1673)=0)),OR(Y1089&gt;=1000000000,AND(COUNTA(C1089:C1673)=0,P$3=TRUE))),
ROUNDDOWN((AB$1-AC$1)*MAX(INDEX(T$4:T1673,MATCH(LARGE(FILTER(Y$4:Y1"&amp;"673,Y$4:Y1673&lt;1000000000),1),Y$4:Y1673)),INDEX(F$4:F1673,MATCH(LARGE(FILTER(K$4:K1673,K$4:K1673&lt;1000000000),1),K$4:K1673)))),AND(K1089&lt;1000000000,COUNTA(C1089:C1673)&gt;0,P$3=FALSE),
ROUNDDOWN(INDEX(Y$4:Y1673,MATCH(LARGE(FILTER(W$4:W1673,W$4:W1673&lt;=I1089),1)"&amp;",W$4:W1673))+(I1089-LARGE(FILTER(W$4:W1673,W$4:W1673&lt;=I1089),1))*INDEX(T$4:T1673,MATCH(LARGE(FILTER(W$4:W1673,W$4:W1673&lt;=I1089),1),W$4:W1673))-K1089),1,
ROUNDDOWN(Y1089-INDEX(K$4:K1673,MATCH(LARGE(FILTER(I$4:I1673,I$4:I1673&lt;=W1089),1),I$4:I1673))-(W1089-L"&amp;"ARGE(FILTER(I$4:I1673,I$4:I1673&lt;=W1089),1))*INDEX(F$4:F1673,MATCH(LARGE(FILTER(I$4:I1673,I$4:I1673&lt;=W1089),1),I$4:I1673))))"),"")</f>
        <v/>
      </c>
      <c r="N1089" s="60" t="str">
        <f t="shared" si="8"/>
        <v/>
      </c>
      <c r="O1089" s="61" t="str">
        <f t="shared" si="9"/>
        <v/>
      </c>
      <c r="P1089" s="56" t="str">
        <f t="shared" si="10"/>
        <v/>
      </c>
      <c r="R1089" s="10"/>
      <c r="S1089" s="59" t="str">
        <f t="array" ref="S1089">IF(COUNTA(Q1089:Q1673)=0,"",SUM((COUNTIF(Q$4:Q1089,Upgrades!$B$3:$B$13)-COUNTIF(Q$4:Q1089,"Sell_"&amp;Upgrades!$B$3:$B$13))*Upgrades!$D$3:$D$13))</f>
        <v/>
      </c>
      <c r="T1089" s="66" t="str">
        <f>IFERROR(__xludf.DUMMYFUNCTION("IF(COUNTA(Q1089:Q1673)=0,"""",IF(REGEXMATCH(INDEX(FILTER(Q$4:Q1089,Q$4:Q1089&lt;&gt;""""),ROWS(FILTER(Q$4:Q1089,Q$4:Q1089&lt;&gt;""""))),""^Sell_""),INDEX(FILTER(T$4:T1088,Q$4:Q1088&lt;&gt;""""),ROWS(FILTER(Q$4:Q1088,Q$4:Q1088&lt;&gt;""""))),$AD$5+S1089))"),"")</f>
        <v/>
      </c>
      <c r="U1089" s="10" t="str">
        <f>IFERROR(__xludf.DUMMYFUNCTION("IF(COUNTA(Q1089:Q1673)=0,"""",IF(Q1089="""",0,IF(REGEXMATCH(Q1089,""^Sell_""),-ROUNDDOWN(ROUNDUP(INDEX(Upgrades!$C$3:$C$13,MATCH(SUBSTITUTE(Q1089,""Sell_"",""""),Upgrades!$B$3:$B$13,0))*1.15^(COUNTIF(Q$4:Q1088,SUBSTITUTE(Q1089,""Sell_"",""""))-COUNTIF(Q$4"&amp;":Q1088,""Sell_""&amp;SUBSTITUTE(Q1089,""Sell_"",""""))))/2),ROUNDUP(INDEX(Upgrades!$C$3:$C$13,MATCH(Q1089,Upgrades!$B$3:$B$13,0))*1.15^(COUNTIF(Q$4:Q1088,Q1089)-COUNTIF(Q$4:Q1088,""Sell_""&amp;Q1089))))))"),"")</f>
        <v/>
      </c>
      <c r="V1089" s="10" t="str">
        <f t="shared" si="11"/>
        <v/>
      </c>
      <c r="W1089" s="68" t="str">
        <f t="shared" si="12"/>
        <v/>
      </c>
      <c r="X1089" s="59" t="str">
        <f t="shared" si="13"/>
        <v/>
      </c>
      <c r="Y1089" s="69" t="str">
        <f t="shared" si="14"/>
        <v/>
      </c>
      <c r="Z1089" s="11"/>
    </row>
    <row r="1090">
      <c r="A1090" s="8"/>
      <c r="B1090" s="56" t="str">
        <f t="shared" si="2"/>
        <v/>
      </c>
      <c r="C1090" s="105"/>
      <c r="D1090" s="10"/>
      <c r="E1090" s="59" t="str">
        <f t="array" ref="E1090">IF(COUNTA(C1090:C1673)=0,"",SUM((COUNTIF(C$4:C1090,Upgrades!$B$3:$B$13)-COUNTIF(C$4:C1090,"Sell_"&amp;Upgrades!$B$3:$B$13))*Upgrades!$D$3:$D$13))</f>
        <v/>
      </c>
      <c r="F1090" s="66" t="str">
        <f>IFERROR(__xludf.DUMMYFUNCTION("IF(COUNTA(C1090:C1673)=0,"""",IF(REGEXMATCH(INDEX(FILTER(C$4:C1090,C$4:C1090&lt;&gt;""""),ROWS(FILTER(C$4:C1090,C$4:C1090&lt;&gt;""""))),""^Sell_""),INDEX(FILTER(F$4:F1089,C$4:C1089&lt;&gt;""""),ROWS(FILTER(C$4:C1089,C$4:C1089&lt;&gt;""""))),$AC$5+E1090))"),"")</f>
        <v/>
      </c>
      <c r="G1090" s="10" t="str">
        <f>IFERROR(__xludf.DUMMYFUNCTION("IF(COUNTA(C1090:C1673)=0,"""",IF(C1090="""",0,IF(REGEXMATCH(C1090,""^Sell_""),-ROUNDDOWN(ROUNDUP(INDEX(Upgrades!$C$3:$C$13,MATCH(SUBSTITUTE(C1090,""Sell_"",""""),Upgrades!$B$3:$B$13,0))*1.15^(COUNTIF(C$4:C1089,SUBSTITUTE(C1090,""Sell_"",""""))-COUNTIF(C$4"&amp;":C1089,""Sell_""&amp;SUBSTITUTE(C1090,""Sell_"",""""))))/2),ROUNDUP(INDEX(Upgrades!$C$3:$C$13,MATCH(C1090,Upgrades!$B$3:$B$13,0))*1.15^(COUNTIF(C$4:C1089,C1090)-COUNTIF(C$4:C1089,""Sell_""&amp;C1090))))))"),"")</f>
        <v/>
      </c>
      <c r="H1090" s="10" t="str">
        <f t="shared" si="3"/>
        <v/>
      </c>
      <c r="I1090" s="68" t="str">
        <f t="shared" si="4"/>
        <v/>
      </c>
      <c r="J1090" s="59" t="str">
        <f t="shared" si="5"/>
        <v/>
      </c>
      <c r="K1090" s="69" t="str">
        <f t="shared" si="6"/>
        <v/>
      </c>
      <c r="L1090" s="60" t="str">
        <f t="shared" si="7"/>
        <v/>
      </c>
      <c r="M1090" s="61" t="str">
        <f>IFERROR(__xludf.DUMMYFUNCTION("IFS(AND(COUNTA(C1090:C1673)=0,COUNTA(Q1090:Q1673)=0),"""",OR(AND(K1090&gt;=1000000000,OR(Y1090&gt;=1000000000,COUNTA(Q1090:Q1673)=0)),OR(Y1090&gt;=1000000000,AND(COUNTA(C1090:C1673)=0,P$3=TRUE))),
ROUNDDOWN((AB$1-AC$1)*MAX(INDEX(T$4:T1673,MATCH(LARGE(FILTER(Y$4:Y1"&amp;"673,Y$4:Y1673&lt;1000000000),1),Y$4:Y1673)),INDEX(F$4:F1673,MATCH(LARGE(FILTER(K$4:K1673,K$4:K1673&lt;1000000000),1),K$4:K1673)))),AND(K1090&lt;1000000000,COUNTA(C1090:C1673)&gt;0,P$3=FALSE),
ROUNDDOWN(INDEX(Y$4:Y1673,MATCH(LARGE(FILTER(W$4:W1673,W$4:W1673&lt;=I1090),1)"&amp;",W$4:W1673))+(I1090-LARGE(FILTER(W$4:W1673,W$4:W1673&lt;=I1090),1))*INDEX(T$4:T1673,MATCH(LARGE(FILTER(W$4:W1673,W$4:W1673&lt;=I1090),1),W$4:W1673))-K1090),1,
ROUNDDOWN(Y1090-INDEX(K$4:K1673,MATCH(LARGE(FILTER(I$4:I1673,I$4:I1673&lt;=W1090),1),I$4:I1673))-(W1090-L"&amp;"ARGE(FILTER(I$4:I1673,I$4:I1673&lt;=W1090),1))*INDEX(F$4:F1673,MATCH(LARGE(FILTER(I$4:I1673,I$4:I1673&lt;=W1090),1),I$4:I1673))))"),"")</f>
        <v/>
      </c>
      <c r="N1090" s="60" t="str">
        <f t="shared" si="8"/>
        <v/>
      </c>
      <c r="O1090" s="61" t="str">
        <f t="shared" si="9"/>
        <v/>
      </c>
      <c r="P1090" s="56" t="str">
        <f t="shared" si="10"/>
        <v/>
      </c>
      <c r="R1090" s="10"/>
      <c r="S1090" s="59" t="str">
        <f t="array" ref="S1090">IF(COUNTA(Q1090:Q1673)=0,"",SUM((COUNTIF(Q$4:Q1090,Upgrades!$B$3:$B$13)-COUNTIF(Q$4:Q1090,"Sell_"&amp;Upgrades!$B$3:$B$13))*Upgrades!$D$3:$D$13))</f>
        <v/>
      </c>
      <c r="T1090" s="66" t="str">
        <f>IFERROR(__xludf.DUMMYFUNCTION("IF(COUNTA(Q1090:Q1673)=0,"""",IF(REGEXMATCH(INDEX(FILTER(Q$4:Q1090,Q$4:Q1090&lt;&gt;""""),ROWS(FILTER(Q$4:Q1090,Q$4:Q1090&lt;&gt;""""))),""^Sell_""),INDEX(FILTER(T$4:T1089,Q$4:Q1089&lt;&gt;""""),ROWS(FILTER(Q$4:Q1089,Q$4:Q1089&lt;&gt;""""))),$AD$5+S1090))"),"")</f>
        <v/>
      </c>
      <c r="U1090" s="10" t="str">
        <f>IFERROR(__xludf.DUMMYFUNCTION("IF(COUNTA(Q1090:Q1673)=0,"""",IF(Q1090="""",0,IF(REGEXMATCH(Q1090,""^Sell_""),-ROUNDDOWN(ROUNDUP(INDEX(Upgrades!$C$3:$C$13,MATCH(SUBSTITUTE(Q1090,""Sell_"",""""),Upgrades!$B$3:$B$13,0))*1.15^(COUNTIF(Q$4:Q1089,SUBSTITUTE(Q1090,""Sell_"",""""))-COUNTIF(Q$4"&amp;":Q1089,""Sell_""&amp;SUBSTITUTE(Q1090,""Sell_"",""""))))/2),ROUNDUP(INDEX(Upgrades!$C$3:$C$13,MATCH(Q1090,Upgrades!$B$3:$B$13,0))*1.15^(COUNTIF(Q$4:Q1089,Q1090)-COUNTIF(Q$4:Q1089,""Sell_""&amp;Q1090))))))"),"")</f>
        <v/>
      </c>
      <c r="V1090" s="10" t="str">
        <f t="shared" si="11"/>
        <v/>
      </c>
      <c r="W1090" s="68" t="str">
        <f t="shared" si="12"/>
        <v/>
      </c>
      <c r="X1090" s="59" t="str">
        <f t="shared" si="13"/>
        <v/>
      </c>
      <c r="Y1090" s="69" t="str">
        <f t="shared" si="14"/>
        <v/>
      </c>
      <c r="Z1090" s="11"/>
    </row>
    <row r="1091">
      <c r="A1091" s="8"/>
      <c r="B1091" s="56" t="str">
        <f t="shared" si="2"/>
        <v/>
      </c>
      <c r="C1091" s="105"/>
      <c r="D1091" s="10"/>
      <c r="E1091" s="59" t="str">
        <f t="array" ref="E1091">IF(COUNTA(C1091:C1673)=0,"",SUM((COUNTIF(C$4:C1091,Upgrades!$B$3:$B$13)-COUNTIF(C$4:C1091,"Sell_"&amp;Upgrades!$B$3:$B$13))*Upgrades!$D$3:$D$13))</f>
        <v/>
      </c>
      <c r="F1091" s="66" t="str">
        <f>IFERROR(__xludf.DUMMYFUNCTION("IF(COUNTA(C1091:C1673)=0,"""",IF(REGEXMATCH(INDEX(FILTER(C$4:C1091,C$4:C1091&lt;&gt;""""),ROWS(FILTER(C$4:C1091,C$4:C1091&lt;&gt;""""))),""^Sell_""),INDEX(FILTER(F$4:F1090,C$4:C1090&lt;&gt;""""),ROWS(FILTER(C$4:C1090,C$4:C1090&lt;&gt;""""))),$AC$5+E1091))"),"")</f>
        <v/>
      </c>
      <c r="G1091" s="10" t="str">
        <f>IFERROR(__xludf.DUMMYFUNCTION("IF(COUNTA(C1091:C1673)=0,"""",IF(C1091="""",0,IF(REGEXMATCH(C1091,""^Sell_""),-ROUNDDOWN(ROUNDUP(INDEX(Upgrades!$C$3:$C$13,MATCH(SUBSTITUTE(C1091,""Sell_"",""""),Upgrades!$B$3:$B$13,0))*1.15^(COUNTIF(C$4:C1090,SUBSTITUTE(C1091,""Sell_"",""""))-COUNTIF(C$4"&amp;":C1090,""Sell_""&amp;SUBSTITUTE(C1091,""Sell_"",""""))))/2),ROUNDUP(INDEX(Upgrades!$C$3:$C$13,MATCH(C1091,Upgrades!$B$3:$B$13,0))*1.15^(COUNTIF(C$4:C1090,C1091)-COUNTIF(C$4:C1090,""Sell_""&amp;C1091))))))"),"")</f>
        <v/>
      </c>
      <c r="H1091" s="10" t="str">
        <f t="shared" si="3"/>
        <v/>
      </c>
      <c r="I1091" s="68" t="str">
        <f t="shared" si="4"/>
        <v/>
      </c>
      <c r="J1091" s="59" t="str">
        <f t="shared" si="5"/>
        <v/>
      </c>
      <c r="K1091" s="69" t="str">
        <f t="shared" si="6"/>
        <v/>
      </c>
      <c r="L1091" s="60" t="str">
        <f t="shared" si="7"/>
        <v/>
      </c>
      <c r="M1091" s="61" t="str">
        <f>IFERROR(__xludf.DUMMYFUNCTION("IFS(AND(COUNTA(C1091:C1673)=0,COUNTA(Q1091:Q1673)=0),"""",OR(AND(K1091&gt;=1000000000,OR(Y1091&gt;=1000000000,COUNTA(Q1091:Q1673)=0)),OR(Y1091&gt;=1000000000,AND(COUNTA(C1091:C1673)=0,P$3=TRUE))),
ROUNDDOWN((AB$1-AC$1)*MAX(INDEX(T$4:T1673,MATCH(LARGE(FILTER(Y$4:Y1"&amp;"673,Y$4:Y1673&lt;1000000000),1),Y$4:Y1673)),INDEX(F$4:F1673,MATCH(LARGE(FILTER(K$4:K1673,K$4:K1673&lt;1000000000),1),K$4:K1673)))),AND(K1091&lt;1000000000,COUNTA(C1091:C1673)&gt;0,P$3=FALSE),
ROUNDDOWN(INDEX(Y$4:Y1673,MATCH(LARGE(FILTER(W$4:W1673,W$4:W1673&lt;=I1091),1)"&amp;",W$4:W1673))+(I1091-LARGE(FILTER(W$4:W1673,W$4:W1673&lt;=I1091),1))*INDEX(T$4:T1673,MATCH(LARGE(FILTER(W$4:W1673,W$4:W1673&lt;=I1091),1),W$4:W1673))-K1091),1,
ROUNDDOWN(Y1091-INDEX(K$4:K1673,MATCH(LARGE(FILTER(I$4:I1673,I$4:I1673&lt;=W1091),1),I$4:I1673))-(W1091-L"&amp;"ARGE(FILTER(I$4:I1673,I$4:I1673&lt;=W1091),1))*INDEX(F$4:F1673,MATCH(LARGE(FILTER(I$4:I1673,I$4:I1673&lt;=W1091),1),I$4:I1673))))"),"")</f>
        <v/>
      </c>
      <c r="N1091" s="60" t="str">
        <f t="shared" si="8"/>
        <v/>
      </c>
      <c r="O1091" s="61" t="str">
        <f t="shared" si="9"/>
        <v/>
      </c>
      <c r="P1091" s="56" t="str">
        <f t="shared" si="10"/>
        <v/>
      </c>
      <c r="R1091" s="10"/>
      <c r="S1091" s="59" t="str">
        <f t="array" ref="S1091">IF(COUNTA(Q1091:Q1673)=0,"",SUM((COUNTIF(Q$4:Q1091,Upgrades!$B$3:$B$13)-COUNTIF(Q$4:Q1091,"Sell_"&amp;Upgrades!$B$3:$B$13))*Upgrades!$D$3:$D$13))</f>
        <v/>
      </c>
      <c r="T1091" s="66" t="str">
        <f>IFERROR(__xludf.DUMMYFUNCTION("IF(COUNTA(Q1091:Q1673)=0,"""",IF(REGEXMATCH(INDEX(FILTER(Q$4:Q1091,Q$4:Q1091&lt;&gt;""""),ROWS(FILTER(Q$4:Q1091,Q$4:Q1091&lt;&gt;""""))),""^Sell_""),INDEX(FILTER(T$4:T1090,Q$4:Q1090&lt;&gt;""""),ROWS(FILTER(Q$4:Q1090,Q$4:Q1090&lt;&gt;""""))),$AD$5+S1091))"),"")</f>
        <v/>
      </c>
      <c r="U1091" s="10" t="str">
        <f>IFERROR(__xludf.DUMMYFUNCTION("IF(COUNTA(Q1091:Q1673)=0,"""",IF(Q1091="""",0,IF(REGEXMATCH(Q1091,""^Sell_""),-ROUNDDOWN(ROUNDUP(INDEX(Upgrades!$C$3:$C$13,MATCH(SUBSTITUTE(Q1091,""Sell_"",""""),Upgrades!$B$3:$B$13,0))*1.15^(COUNTIF(Q$4:Q1090,SUBSTITUTE(Q1091,""Sell_"",""""))-COUNTIF(Q$4"&amp;":Q1090,""Sell_""&amp;SUBSTITUTE(Q1091,""Sell_"",""""))))/2),ROUNDUP(INDEX(Upgrades!$C$3:$C$13,MATCH(Q1091,Upgrades!$B$3:$B$13,0))*1.15^(COUNTIF(Q$4:Q1090,Q1091)-COUNTIF(Q$4:Q1090,""Sell_""&amp;Q1091))))))"),"")</f>
        <v/>
      </c>
      <c r="V1091" s="10" t="str">
        <f t="shared" si="11"/>
        <v/>
      </c>
      <c r="W1091" s="68" t="str">
        <f t="shared" si="12"/>
        <v/>
      </c>
      <c r="X1091" s="59" t="str">
        <f t="shared" si="13"/>
        <v/>
      </c>
      <c r="Y1091" s="69" t="str">
        <f t="shared" si="14"/>
        <v/>
      </c>
      <c r="Z1091" s="11"/>
    </row>
    <row r="1092">
      <c r="A1092" s="8"/>
      <c r="B1092" s="56" t="str">
        <f t="shared" si="2"/>
        <v/>
      </c>
      <c r="C1092" s="105"/>
      <c r="D1092" s="10"/>
      <c r="E1092" s="59" t="str">
        <f t="array" ref="E1092">IF(COUNTA(C1092:C1673)=0,"",SUM((COUNTIF(C$4:C1092,Upgrades!$B$3:$B$13)-COUNTIF(C$4:C1092,"Sell_"&amp;Upgrades!$B$3:$B$13))*Upgrades!$D$3:$D$13))</f>
        <v/>
      </c>
      <c r="F1092" s="66" t="str">
        <f>IFERROR(__xludf.DUMMYFUNCTION("IF(COUNTA(C1092:C1673)=0,"""",IF(REGEXMATCH(INDEX(FILTER(C$4:C1092,C$4:C1092&lt;&gt;""""),ROWS(FILTER(C$4:C1092,C$4:C1092&lt;&gt;""""))),""^Sell_""),INDEX(FILTER(F$4:F1091,C$4:C1091&lt;&gt;""""),ROWS(FILTER(C$4:C1091,C$4:C1091&lt;&gt;""""))),$AC$5+E1092))"),"")</f>
        <v/>
      </c>
      <c r="G1092" s="10" t="str">
        <f>IFERROR(__xludf.DUMMYFUNCTION("IF(COUNTA(C1092:C1673)=0,"""",IF(C1092="""",0,IF(REGEXMATCH(C1092,""^Sell_""),-ROUNDDOWN(ROUNDUP(INDEX(Upgrades!$C$3:$C$13,MATCH(SUBSTITUTE(C1092,""Sell_"",""""),Upgrades!$B$3:$B$13,0))*1.15^(COUNTIF(C$4:C1091,SUBSTITUTE(C1092,""Sell_"",""""))-COUNTIF(C$4"&amp;":C1091,""Sell_""&amp;SUBSTITUTE(C1092,""Sell_"",""""))))/2),ROUNDUP(INDEX(Upgrades!$C$3:$C$13,MATCH(C1092,Upgrades!$B$3:$B$13,0))*1.15^(COUNTIF(C$4:C1091,C1092)-COUNTIF(C$4:C1091,""Sell_""&amp;C1092))))))"),"")</f>
        <v/>
      </c>
      <c r="H1092" s="10" t="str">
        <f t="shared" si="3"/>
        <v/>
      </c>
      <c r="I1092" s="68" t="str">
        <f t="shared" si="4"/>
        <v/>
      </c>
      <c r="J1092" s="59" t="str">
        <f t="shared" si="5"/>
        <v/>
      </c>
      <c r="K1092" s="69" t="str">
        <f t="shared" si="6"/>
        <v/>
      </c>
      <c r="L1092" s="60" t="str">
        <f t="shared" si="7"/>
        <v/>
      </c>
      <c r="M1092" s="61" t="str">
        <f>IFERROR(__xludf.DUMMYFUNCTION("IFS(AND(COUNTA(C1092:C1673)=0,COUNTA(Q1092:Q1673)=0),"""",OR(AND(K1092&gt;=1000000000,OR(Y1092&gt;=1000000000,COUNTA(Q1092:Q1673)=0)),OR(Y1092&gt;=1000000000,AND(COUNTA(C1092:C1673)=0,P$3=TRUE))),
ROUNDDOWN((AB$1-AC$1)*MAX(INDEX(T$4:T1673,MATCH(LARGE(FILTER(Y$4:Y1"&amp;"673,Y$4:Y1673&lt;1000000000),1),Y$4:Y1673)),INDEX(F$4:F1673,MATCH(LARGE(FILTER(K$4:K1673,K$4:K1673&lt;1000000000),1),K$4:K1673)))),AND(K1092&lt;1000000000,COUNTA(C1092:C1673)&gt;0,P$3=FALSE),
ROUNDDOWN(INDEX(Y$4:Y1673,MATCH(LARGE(FILTER(W$4:W1673,W$4:W1673&lt;=I1092),1)"&amp;",W$4:W1673))+(I1092-LARGE(FILTER(W$4:W1673,W$4:W1673&lt;=I1092),1))*INDEX(T$4:T1673,MATCH(LARGE(FILTER(W$4:W1673,W$4:W1673&lt;=I1092),1),W$4:W1673))-K1092),1,
ROUNDDOWN(Y1092-INDEX(K$4:K1673,MATCH(LARGE(FILTER(I$4:I1673,I$4:I1673&lt;=W1092),1),I$4:I1673))-(W1092-L"&amp;"ARGE(FILTER(I$4:I1673,I$4:I1673&lt;=W1092),1))*INDEX(F$4:F1673,MATCH(LARGE(FILTER(I$4:I1673,I$4:I1673&lt;=W1092),1),I$4:I1673))))"),"")</f>
        <v/>
      </c>
      <c r="N1092" s="60" t="str">
        <f t="shared" si="8"/>
        <v/>
      </c>
      <c r="O1092" s="61" t="str">
        <f t="shared" si="9"/>
        <v/>
      </c>
      <c r="P1092" s="56" t="str">
        <f t="shared" si="10"/>
        <v/>
      </c>
      <c r="R1092" s="10"/>
      <c r="S1092" s="59" t="str">
        <f t="array" ref="S1092">IF(COUNTA(Q1092:Q1673)=0,"",SUM((COUNTIF(Q$4:Q1092,Upgrades!$B$3:$B$13)-COUNTIF(Q$4:Q1092,"Sell_"&amp;Upgrades!$B$3:$B$13))*Upgrades!$D$3:$D$13))</f>
        <v/>
      </c>
      <c r="T1092" s="66" t="str">
        <f>IFERROR(__xludf.DUMMYFUNCTION("IF(COUNTA(Q1092:Q1673)=0,"""",IF(REGEXMATCH(INDEX(FILTER(Q$4:Q1092,Q$4:Q1092&lt;&gt;""""),ROWS(FILTER(Q$4:Q1092,Q$4:Q1092&lt;&gt;""""))),""^Sell_""),INDEX(FILTER(T$4:T1091,Q$4:Q1091&lt;&gt;""""),ROWS(FILTER(Q$4:Q1091,Q$4:Q1091&lt;&gt;""""))),$AD$5+S1092))"),"")</f>
        <v/>
      </c>
      <c r="U1092" s="10" t="str">
        <f>IFERROR(__xludf.DUMMYFUNCTION("IF(COUNTA(Q1092:Q1673)=0,"""",IF(Q1092="""",0,IF(REGEXMATCH(Q1092,""^Sell_""),-ROUNDDOWN(ROUNDUP(INDEX(Upgrades!$C$3:$C$13,MATCH(SUBSTITUTE(Q1092,""Sell_"",""""),Upgrades!$B$3:$B$13,0))*1.15^(COUNTIF(Q$4:Q1091,SUBSTITUTE(Q1092,""Sell_"",""""))-COUNTIF(Q$4"&amp;":Q1091,""Sell_""&amp;SUBSTITUTE(Q1092,""Sell_"",""""))))/2),ROUNDUP(INDEX(Upgrades!$C$3:$C$13,MATCH(Q1092,Upgrades!$B$3:$B$13,0))*1.15^(COUNTIF(Q$4:Q1091,Q1092)-COUNTIF(Q$4:Q1091,""Sell_""&amp;Q1092))))))"),"")</f>
        <v/>
      </c>
      <c r="V1092" s="10" t="str">
        <f t="shared" si="11"/>
        <v/>
      </c>
      <c r="W1092" s="68" t="str">
        <f t="shared" si="12"/>
        <v/>
      </c>
      <c r="X1092" s="59" t="str">
        <f t="shared" si="13"/>
        <v/>
      </c>
      <c r="Y1092" s="69" t="str">
        <f t="shared" si="14"/>
        <v/>
      </c>
      <c r="Z1092" s="11"/>
    </row>
    <row r="1093">
      <c r="A1093" s="8"/>
      <c r="B1093" s="56" t="str">
        <f t="shared" si="2"/>
        <v/>
      </c>
      <c r="C1093" s="105"/>
      <c r="D1093" s="10"/>
      <c r="E1093" s="59" t="str">
        <f t="array" ref="E1093">IF(COUNTA(C1093:C1673)=0,"",SUM((COUNTIF(C$4:C1093,Upgrades!$B$3:$B$13)-COUNTIF(C$4:C1093,"Sell_"&amp;Upgrades!$B$3:$B$13))*Upgrades!$D$3:$D$13))</f>
        <v/>
      </c>
      <c r="F1093" s="66" t="str">
        <f>IFERROR(__xludf.DUMMYFUNCTION("IF(COUNTA(C1093:C1673)=0,"""",IF(REGEXMATCH(INDEX(FILTER(C$4:C1093,C$4:C1093&lt;&gt;""""),ROWS(FILTER(C$4:C1093,C$4:C1093&lt;&gt;""""))),""^Sell_""),INDEX(FILTER(F$4:F1092,C$4:C1092&lt;&gt;""""),ROWS(FILTER(C$4:C1092,C$4:C1092&lt;&gt;""""))),$AC$5+E1093))"),"")</f>
        <v/>
      </c>
      <c r="G1093" s="10" t="str">
        <f>IFERROR(__xludf.DUMMYFUNCTION("IF(COUNTA(C1093:C1673)=0,"""",IF(C1093="""",0,IF(REGEXMATCH(C1093,""^Sell_""),-ROUNDDOWN(ROUNDUP(INDEX(Upgrades!$C$3:$C$13,MATCH(SUBSTITUTE(C1093,""Sell_"",""""),Upgrades!$B$3:$B$13,0))*1.15^(COUNTIF(C$4:C1092,SUBSTITUTE(C1093,""Sell_"",""""))-COUNTIF(C$4"&amp;":C1092,""Sell_""&amp;SUBSTITUTE(C1093,""Sell_"",""""))))/2),ROUNDUP(INDEX(Upgrades!$C$3:$C$13,MATCH(C1093,Upgrades!$B$3:$B$13,0))*1.15^(COUNTIF(C$4:C1092,C1093)-COUNTIF(C$4:C1092,""Sell_""&amp;C1093))))))"),"")</f>
        <v/>
      </c>
      <c r="H1093" s="10" t="str">
        <f t="shared" si="3"/>
        <v/>
      </c>
      <c r="I1093" s="68" t="str">
        <f t="shared" si="4"/>
        <v/>
      </c>
      <c r="J1093" s="59" t="str">
        <f t="shared" si="5"/>
        <v/>
      </c>
      <c r="K1093" s="69" t="str">
        <f t="shared" si="6"/>
        <v/>
      </c>
      <c r="L1093" s="60" t="str">
        <f t="shared" si="7"/>
        <v/>
      </c>
      <c r="M1093" s="61" t="str">
        <f>IFERROR(__xludf.DUMMYFUNCTION("IFS(AND(COUNTA(C1093:C1673)=0,COUNTA(Q1093:Q1673)=0),"""",OR(AND(K1093&gt;=1000000000,OR(Y1093&gt;=1000000000,COUNTA(Q1093:Q1673)=0)),OR(Y1093&gt;=1000000000,AND(COUNTA(C1093:C1673)=0,P$3=TRUE))),
ROUNDDOWN((AB$1-AC$1)*MAX(INDEX(T$4:T1673,MATCH(LARGE(FILTER(Y$4:Y1"&amp;"673,Y$4:Y1673&lt;1000000000),1),Y$4:Y1673)),INDEX(F$4:F1673,MATCH(LARGE(FILTER(K$4:K1673,K$4:K1673&lt;1000000000),1),K$4:K1673)))),AND(K1093&lt;1000000000,COUNTA(C1093:C1673)&gt;0,P$3=FALSE),
ROUNDDOWN(INDEX(Y$4:Y1673,MATCH(LARGE(FILTER(W$4:W1673,W$4:W1673&lt;=I1093),1)"&amp;",W$4:W1673))+(I1093-LARGE(FILTER(W$4:W1673,W$4:W1673&lt;=I1093),1))*INDEX(T$4:T1673,MATCH(LARGE(FILTER(W$4:W1673,W$4:W1673&lt;=I1093),1),W$4:W1673))-K1093),1,
ROUNDDOWN(Y1093-INDEX(K$4:K1673,MATCH(LARGE(FILTER(I$4:I1673,I$4:I1673&lt;=W1093),1),I$4:I1673))-(W1093-L"&amp;"ARGE(FILTER(I$4:I1673,I$4:I1673&lt;=W1093),1))*INDEX(F$4:F1673,MATCH(LARGE(FILTER(I$4:I1673,I$4:I1673&lt;=W1093),1),I$4:I1673))))"),"")</f>
        <v/>
      </c>
      <c r="N1093" s="60" t="str">
        <f t="shared" si="8"/>
        <v/>
      </c>
      <c r="O1093" s="61" t="str">
        <f t="shared" si="9"/>
        <v/>
      </c>
      <c r="P1093" s="56" t="str">
        <f t="shared" si="10"/>
        <v/>
      </c>
      <c r="R1093" s="10"/>
      <c r="S1093" s="59" t="str">
        <f t="array" ref="S1093">IF(COUNTA(Q1093:Q1673)=0,"",SUM((COUNTIF(Q$4:Q1093,Upgrades!$B$3:$B$13)-COUNTIF(Q$4:Q1093,"Sell_"&amp;Upgrades!$B$3:$B$13))*Upgrades!$D$3:$D$13))</f>
        <v/>
      </c>
      <c r="T1093" s="66" t="str">
        <f>IFERROR(__xludf.DUMMYFUNCTION("IF(COUNTA(Q1093:Q1673)=0,"""",IF(REGEXMATCH(INDEX(FILTER(Q$4:Q1093,Q$4:Q1093&lt;&gt;""""),ROWS(FILTER(Q$4:Q1093,Q$4:Q1093&lt;&gt;""""))),""^Sell_""),INDEX(FILTER(T$4:T1092,Q$4:Q1092&lt;&gt;""""),ROWS(FILTER(Q$4:Q1092,Q$4:Q1092&lt;&gt;""""))),$AD$5+S1093))"),"")</f>
        <v/>
      </c>
      <c r="U1093" s="10" t="str">
        <f>IFERROR(__xludf.DUMMYFUNCTION("IF(COUNTA(Q1093:Q1673)=0,"""",IF(Q1093="""",0,IF(REGEXMATCH(Q1093,""^Sell_""),-ROUNDDOWN(ROUNDUP(INDEX(Upgrades!$C$3:$C$13,MATCH(SUBSTITUTE(Q1093,""Sell_"",""""),Upgrades!$B$3:$B$13,0))*1.15^(COUNTIF(Q$4:Q1092,SUBSTITUTE(Q1093,""Sell_"",""""))-COUNTIF(Q$4"&amp;":Q1092,""Sell_""&amp;SUBSTITUTE(Q1093,""Sell_"",""""))))/2),ROUNDUP(INDEX(Upgrades!$C$3:$C$13,MATCH(Q1093,Upgrades!$B$3:$B$13,0))*1.15^(COUNTIF(Q$4:Q1092,Q1093)-COUNTIF(Q$4:Q1092,""Sell_""&amp;Q1093))))))"),"")</f>
        <v/>
      </c>
      <c r="V1093" s="10" t="str">
        <f t="shared" si="11"/>
        <v/>
      </c>
      <c r="W1093" s="68" t="str">
        <f t="shared" si="12"/>
        <v/>
      </c>
      <c r="X1093" s="59" t="str">
        <f t="shared" si="13"/>
        <v/>
      </c>
      <c r="Y1093" s="69" t="str">
        <f t="shared" si="14"/>
        <v/>
      </c>
      <c r="Z1093" s="11"/>
    </row>
    <row r="1094">
      <c r="A1094" s="8"/>
      <c r="B1094" s="56" t="str">
        <f t="shared" si="2"/>
        <v/>
      </c>
      <c r="C1094" s="105"/>
      <c r="D1094" s="10"/>
      <c r="E1094" s="59" t="str">
        <f t="array" ref="E1094">IF(COUNTA(C1094:C1673)=0,"",SUM((COUNTIF(C$4:C1094,Upgrades!$B$3:$B$13)-COUNTIF(C$4:C1094,"Sell_"&amp;Upgrades!$B$3:$B$13))*Upgrades!$D$3:$D$13))</f>
        <v/>
      </c>
      <c r="F1094" s="66" t="str">
        <f>IFERROR(__xludf.DUMMYFUNCTION("IF(COUNTA(C1094:C1673)=0,"""",IF(REGEXMATCH(INDEX(FILTER(C$4:C1094,C$4:C1094&lt;&gt;""""),ROWS(FILTER(C$4:C1094,C$4:C1094&lt;&gt;""""))),""^Sell_""),INDEX(FILTER(F$4:F1093,C$4:C1093&lt;&gt;""""),ROWS(FILTER(C$4:C1093,C$4:C1093&lt;&gt;""""))),$AC$5+E1094))"),"")</f>
        <v/>
      </c>
      <c r="G1094" s="10" t="str">
        <f>IFERROR(__xludf.DUMMYFUNCTION("IF(COUNTA(C1094:C1673)=0,"""",IF(C1094="""",0,IF(REGEXMATCH(C1094,""^Sell_""),-ROUNDDOWN(ROUNDUP(INDEX(Upgrades!$C$3:$C$13,MATCH(SUBSTITUTE(C1094,""Sell_"",""""),Upgrades!$B$3:$B$13,0))*1.15^(COUNTIF(C$4:C1093,SUBSTITUTE(C1094,""Sell_"",""""))-COUNTIF(C$4"&amp;":C1093,""Sell_""&amp;SUBSTITUTE(C1094,""Sell_"",""""))))/2),ROUNDUP(INDEX(Upgrades!$C$3:$C$13,MATCH(C1094,Upgrades!$B$3:$B$13,0))*1.15^(COUNTIF(C$4:C1093,C1094)-COUNTIF(C$4:C1093,""Sell_""&amp;C1094))))))"),"")</f>
        <v/>
      </c>
      <c r="H1094" s="10" t="str">
        <f t="shared" si="3"/>
        <v/>
      </c>
      <c r="I1094" s="68" t="str">
        <f t="shared" si="4"/>
        <v/>
      </c>
      <c r="J1094" s="59" t="str">
        <f t="shared" si="5"/>
        <v/>
      </c>
      <c r="K1094" s="69" t="str">
        <f t="shared" si="6"/>
        <v/>
      </c>
      <c r="L1094" s="60" t="str">
        <f t="shared" si="7"/>
        <v/>
      </c>
      <c r="M1094" s="61" t="str">
        <f>IFERROR(__xludf.DUMMYFUNCTION("IFS(AND(COUNTA(C1094:C1673)=0,COUNTA(Q1094:Q1673)=0),"""",OR(AND(K1094&gt;=1000000000,OR(Y1094&gt;=1000000000,COUNTA(Q1094:Q1673)=0)),OR(Y1094&gt;=1000000000,AND(COUNTA(C1094:C1673)=0,P$3=TRUE))),
ROUNDDOWN((AB$1-AC$1)*MAX(INDEX(T$4:T1673,MATCH(LARGE(FILTER(Y$4:Y1"&amp;"673,Y$4:Y1673&lt;1000000000),1),Y$4:Y1673)),INDEX(F$4:F1673,MATCH(LARGE(FILTER(K$4:K1673,K$4:K1673&lt;1000000000),1),K$4:K1673)))),AND(K1094&lt;1000000000,COUNTA(C1094:C1673)&gt;0,P$3=FALSE),
ROUNDDOWN(INDEX(Y$4:Y1673,MATCH(LARGE(FILTER(W$4:W1673,W$4:W1673&lt;=I1094),1)"&amp;",W$4:W1673))+(I1094-LARGE(FILTER(W$4:W1673,W$4:W1673&lt;=I1094),1))*INDEX(T$4:T1673,MATCH(LARGE(FILTER(W$4:W1673,W$4:W1673&lt;=I1094),1),W$4:W1673))-K1094),1,
ROUNDDOWN(Y1094-INDEX(K$4:K1673,MATCH(LARGE(FILTER(I$4:I1673,I$4:I1673&lt;=W1094),1),I$4:I1673))-(W1094-L"&amp;"ARGE(FILTER(I$4:I1673,I$4:I1673&lt;=W1094),1))*INDEX(F$4:F1673,MATCH(LARGE(FILTER(I$4:I1673,I$4:I1673&lt;=W1094),1),I$4:I1673))))"),"")</f>
        <v/>
      </c>
      <c r="N1094" s="60" t="str">
        <f t="shared" si="8"/>
        <v/>
      </c>
      <c r="O1094" s="61" t="str">
        <f t="shared" si="9"/>
        <v/>
      </c>
      <c r="P1094" s="56" t="str">
        <f t="shared" si="10"/>
        <v/>
      </c>
      <c r="R1094" s="10"/>
      <c r="S1094" s="59" t="str">
        <f t="array" ref="S1094">IF(COUNTA(Q1094:Q1673)=0,"",SUM((COUNTIF(Q$4:Q1094,Upgrades!$B$3:$B$13)-COUNTIF(Q$4:Q1094,"Sell_"&amp;Upgrades!$B$3:$B$13))*Upgrades!$D$3:$D$13))</f>
        <v/>
      </c>
      <c r="T1094" s="66" t="str">
        <f>IFERROR(__xludf.DUMMYFUNCTION("IF(COUNTA(Q1094:Q1673)=0,"""",IF(REGEXMATCH(INDEX(FILTER(Q$4:Q1094,Q$4:Q1094&lt;&gt;""""),ROWS(FILTER(Q$4:Q1094,Q$4:Q1094&lt;&gt;""""))),""^Sell_""),INDEX(FILTER(T$4:T1093,Q$4:Q1093&lt;&gt;""""),ROWS(FILTER(Q$4:Q1093,Q$4:Q1093&lt;&gt;""""))),$AD$5+S1094))"),"")</f>
        <v/>
      </c>
      <c r="U1094" s="10" t="str">
        <f>IFERROR(__xludf.DUMMYFUNCTION("IF(COUNTA(Q1094:Q1673)=0,"""",IF(Q1094="""",0,IF(REGEXMATCH(Q1094,""^Sell_""),-ROUNDDOWN(ROUNDUP(INDEX(Upgrades!$C$3:$C$13,MATCH(SUBSTITUTE(Q1094,""Sell_"",""""),Upgrades!$B$3:$B$13,0))*1.15^(COUNTIF(Q$4:Q1093,SUBSTITUTE(Q1094,""Sell_"",""""))-COUNTIF(Q$4"&amp;":Q1093,""Sell_""&amp;SUBSTITUTE(Q1094,""Sell_"",""""))))/2),ROUNDUP(INDEX(Upgrades!$C$3:$C$13,MATCH(Q1094,Upgrades!$B$3:$B$13,0))*1.15^(COUNTIF(Q$4:Q1093,Q1094)-COUNTIF(Q$4:Q1093,""Sell_""&amp;Q1094))))))"),"")</f>
        <v/>
      </c>
      <c r="V1094" s="10" t="str">
        <f t="shared" si="11"/>
        <v/>
      </c>
      <c r="W1094" s="68" t="str">
        <f t="shared" si="12"/>
        <v/>
      </c>
      <c r="X1094" s="59" t="str">
        <f t="shared" si="13"/>
        <v/>
      </c>
      <c r="Y1094" s="69" t="str">
        <f t="shared" si="14"/>
        <v/>
      </c>
      <c r="Z1094" s="11"/>
    </row>
    <row r="1095">
      <c r="A1095" s="8"/>
      <c r="B1095" s="56" t="str">
        <f t="shared" si="2"/>
        <v/>
      </c>
      <c r="C1095" s="105"/>
      <c r="D1095" s="10"/>
      <c r="E1095" s="59" t="str">
        <f t="array" ref="E1095">IF(COUNTA(C1095:C1673)=0,"",SUM((COUNTIF(C$4:C1095,Upgrades!$B$3:$B$13)-COUNTIF(C$4:C1095,"Sell_"&amp;Upgrades!$B$3:$B$13))*Upgrades!$D$3:$D$13))</f>
        <v/>
      </c>
      <c r="F1095" s="66" t="str">
        <f>IFERROR(__xludf.DUMMYFUNCTION("IF(COUNTA(C1095:C1673)=0,"""",IF(REGEXMATCH(INDEX(FILTER(C$4:C1095,C$4:C1095&lt;&gt;""""),ROWS(FILTER(C$4:C1095,C$4:C1095&lt;&gt;""""))),""^Sell_""),INDEX(FILTER(F$4:F1094,C$4:C1094&lt;&gt;""""),ROWS(FILTER(C$4:C1094,C$4:C1094&lt;&gt;""""))),$AC$5+E1095))"),"")</f>
        <v/>
      </c>
      <c r="G1095" s="10" t="str">
        <f>IFERROR(__xludf.DUMMYFUNCTION("IF(COUNTA(C1095:C1673)=0,"""",IF(C1095="""",0,IF(REGEXMATCH(C1095,""^Sell_""),-ROUNDDOWN(ROUNDUP(INDEX(Upgrades!$C$3:$C$13,MATCH(SUBSTITUTE(C1095,""Sell_"",""""),Upgrades!$B$3:$B$13,0))*1.15^(COUNTIF(C$4:C1094,SUBSTITUTE(C1095,""Sell_"",""""))-COUNTIF(C$4"&amp;":C1094,""Sell_""&amp;SUBSTITUTE(C1095,""Sell_"",""""))))/2),ROUNDUP(INDEX(Upgrades!$C$3:$C$13,MATCH(C1095,Upgrades!$B$3:$B$13,0))*1.15^(COUNTIF(C$4:C1094,C1095)-COUNTIF(C$4:C1094,""Sell_""&amp;C1095))))))"),"")</f>
        <v/>
      </c>
      <c r="H1095" s="10" t="str">
        <f t="shared" si="3"/>
        <v/>
      </c>
      <c r="I1095" s="68" t="str">
        <f t="shared" si="4"/>
        <v/>
      </c>
      <c r="J1095" s="59" t="str">
        <f t="shared" si="5"/>
        <v/>
      </c>
      <c r="K1095" s="69" t="str">
        <f t="shared" si="6"/>
        <v/>
      </c>
      <c r="L1095" s="60" t="str">
        <f t="shared" si="7"/>
        <v/>
      </c>
      <c r="M1095" s="61" t="str">
        <f>IFERROR(__xludf.DUMMYFUNCTION("IFS(AND(COUNTA(C1095:C1673)=0,COUNTA(Q1095:Q1673)=0),"""",OR(AND(K1095&gt;=1000000000,OR(Y1095&gt;=1000000000,COUNTA(Q1095:Q1673)=0)),OR(Y1095&gt;=1000000000,AND(COUNTA(C1095:C1673)=0,P$3=TRUE))),
ROUNDDOWN((AB$1-AC$1)*MAX(INDEX(T$4:T1673,MATCH(LARGE(FILTER(Y$4:Y1"&amp;"673,Y$4:Y1673&lt;1000000000),1),Y$4:Y1673)),INDEX(F$4:F1673,MATCH(LARGE(FILTER(K$4:K1673,K$4:K1673&lt;1000000000),1),K$4:K1673)))),AND(K1095&lt;1000000000,COUNTA(C1095:C1673)&gt;0,P$3=FALSE),
ROUNDDOWN(INDEX(Y$4:Y1673,MATCH(LARGE(FILTER(W$4:W1673,W$4:W1673&lt;=I1095),1)"&amp;",W$4:W1673))+(I1095-LARGE(FILTER(W$4:W1673,W$4:W1673&lt;=I1095),1))*INDEX(T$4:T1673,MATCH(LARGE(FILTER(W$4:W1673,W$4:W1673&lt;=I1095),1),W$4:W1673))-K1095),1,
ROUNDDOWN(Y1095-INDEX(K$4:K1673,MATCH(LARGE(FILTER(I$4:I1673,I$4:I1673&lt;=W1095),1),I$4:I1673))-(W1095-L"&amp;"ARGE(FILTER(I$4:I1673,I$4:I1673&lt;=W1095),1))*INDEX(F$4:F1673,MATCH(LARGE(FILTER(I$4:I1673,I$4:I1673&lt;=W1095),1),I$4:I1673))))"),"")</f>
        <v/>
      </c>
      <c r="N1095" s="60" t="str">
        <f t="shared" si="8"/>
        <v/>
      </c>
      <c r="O1095" s="61" t="str">
        <f t="shared" si="9"/>
        <v/>
      </c>
      <c r="P1095" s="56" t="str">
        <f t="shared" si="10"/>
        <v/>
      </c>
      <c r="R1095" s="10"/>
      <c r="S1095" s="59" t="str">
        <f t="array" ref="S1095">IF(COUNTA(Q1095:Q1673)=0,"",SUM((COUNTIF(Q$4:Q1095,Upgrades!$B$3:$B$13)-COUNTIF(Q$4:Q1095,"Sell_"&amp;Upgrades!$B$3:$B$13))*Upgrades!$D$3:$D$13))</f>
        <v/>
      </c>
      <c r="T1095" s="66" t="str">
        <f>IFERROR(__xludf.DUMMYFUNCTION("IF(COUNTA(Q1095:Q1673)=0,"""",IF(REGEXMATCH(INDEX(FILTER(Q$4:Q1095,Q$4:Q1095&lt;&gt;""""),ROWS(FILTER(Q$4:Q1095,Q$4:Q1095&lt;&gt;""""))),""^Sell_""),INDEX(FILTER(T$4:T1094,Q$4:Q1094&lt;&gt;""""),ROWS(FILTER(Q$4:Q1094,Q$4:Q1094&lt;&gt;""""))),$AD$5+S1095))"),"")</f>
        <v/>
      </c>
      <c r="U1095" s="10" t="str">
        <f>IFERROR(__xludf.DUMMYFUNCTION("IF(COUNTA(Q1095:Q1673)=0,"""",IF(Q1095="""",0,IF(REGEXMATCH(Q1095,""^Sell_""),-ROUNDDOWN(ROUNDUP(INDEX(Upgrades!$C$3:$C$13,MATCH(SUBSTITUTE(Q1095,""Sell_"",""""),Upgrades!$B$3:$B$13,0))*1.15^(COUNTIF(Q$4:Q1094,SUBSTITUTE(Q1095,""Sell_"",""""))-COUNTIF(Q$4"&amp;":Q1094,""Sell_""&amp;SUBSTITUTE(Q1095,""Sell_"",""""))))/2),ROUNDUP(INDEX(Upgrades!$C$3:$C$13,MATCH(Q1095,Upgrades!$B$3:$B$13,0))*1.15^(COUNTIF(Q$4:Q1094,Q1095)-COUNTIF(Q$4:Q1094,""Sell_""&amp;Q1095))))))"),"")</f>
        <v/>
      </c>
      <c r="V1095" s="10" t="str">
        <f t="shared" si="11"/>
        <v/>
      </c>
      <c r="W1095" s="68" t="str">
        <f t="shared" si="12"/>
        <v/>
      </c>
      <c r="X1095" s="59" t="str">
        <f t="shared" si="13"/>
        <v/>
      </c>
      <c r="Y1095" s="69" t="str">
        <f t="shared" si="14"/>
        <v/>
      </c>
      <c r="Z1095" s="11"/>
    </row>
    <row r="1096">
      <c r="A1096" s="8"/>
      <c r="B1096" s="56" t="str">
        <f t="shared" si="2"/>
        <v/>
      </c>
      <c r="C1096" s="105"/>
      <c r="D1096" s="10"/>
      <c r="E1096" s="59" t="str">
        <f t="array" ref="E1096">IF(COUNTA(C1096:C1673)=0,"",SUM((COUNTIF(C$4:C1096,Upgrades!$B$3:$B$13)-COUNTIF(C$4:C1096,"Sell_"&amp;Upgrades!$B$3:$B$13))*Upgrades!$D$3:$D$13))</f>
        <v/>
      </c>
      <c r="F1096" s="66" t="str">
        <f>IFERROR(__xludf.DUMMYFUNCTION("IF(COUNTA(C1096:C1673)=0,"""",IF(REGEXMATCH(INDEX(FILTER(C$4:C1096,C$4:C1096&lt;&gt;""""),ROWS(FILTER(C$4:C1096,C$4:C1096&lt;&gt;""""))),""^Sell_""),INDEX(FILTER(F$4:F1095,C$4:C1095&lt;&gt;""""),ROWS(FILTER(C$4:C1095,C$4:C1095&lt;&gt;""""))),$AC$5+E1096))"),"")</f>
        <v/>
      </c>
      <c r="G1096" s="10" t="str">
        <f>IFERROR(__xludf.DUMMYFUNCTION("IF(COUNTA(C1096:C1673)=0,"""",IF(C1096="""",0,IF(REGEXMATCH(C1096,""^Sell_""),-ROUNDDOWN(ROUNDUP(INDEX(Upgrades!$C$3:$C$13,MATCH(SUBSTITUTE(C1096,""Sell_"",""""),Upgrades!$B$3:$B$13,0))*1.15^(COUNTIF(C$4:C1095,SUBSTITUTE(C1096,""Sell_"",""""))-COUNTIF(C$4"&amp;":C1095,""Sell_""&amp;SUBSTITUTE(C1096,""Sell_"",""""))))/2),ROUNDUP(INDEX(Upgrades!$C$3:$C$13,MATCH(C1096,Upgrades!$B$3:$B$13,0))*1.15^(COUNTIF(C$4:C1095,C1096)-COUNTIF(C$4:C1095,""Sell_""&amp;C1096))))))"),"")</f>
        <v/>
      </c>
      <c r="H1096" s="10" t="str">
        <f t="shared" si="3"/>
        <v/>
      </c>
      <c r="I1096" s="68" t="str">
        <f t="shared" si="4"/>
        <v/>
      </c>
      <c r="J1096" s="59" t="str">
        <f t="shared" si="5"/>
        <v/>
      </c>
      <c r="K1096" s="69" t="str">
        <f t="shared" si="6"/>
        <v/>
      </c>
      <c r="L1096" s="60" t="str">
        <f t="shared" si="7"/>
        <v/>
      </c>
      <c r="M1096" s="61" t="str">
        <f>IFERROR(__xludf.DUMMYFUNCTION("IFS(AND(COUNTA(C1096:C1673)=0,COUNTA(Q1096:Q1673)=0),"""",OR(AND(K1096&gt;=1000000000,OR(Y1096&gt;=1000000000,COUNTA(Q1096:Q1673)=0)),OR(Y1096&gt;=1000000000,AND(COUNTA(C1096:C1673)=0,P$3=TRUE))),
ROUNDDOWN((AB$1-AC$1)*MAX(INDEX(T$4:T1673,MATCH(LARGE(FILTER(Y$4:Y1"&amp;"673,Y$4:Y1673&lt;1000000000),1),Y$4:Y1673)),INDEX(F$4:F1673,MATCH(LARGE(FILTER(K$4:K1673,K$4:K1673&lt;1000000000),1),K$4:K1673)))),AND(K1096&lt;1000000000,COUNTA(C1096:C1673)&gt;0,P$3=FALSE),
ROUNDDOWN(INDEX(Y$4:Y1673,MATCH(LARGE(FILTER(W$4:W1673,W$4:W1673&lt;=I1096),1)"&amp;",W$4:W1673))+(I1096-LARGE(FILTER(W$4:W1673,W$4:W1673&lt;=I1096),1))*INDEX(T$4:T1673,MATCH(LARGE(FILTER(W$4:W1673,W$4:W1673&lt;=I1096),1),W$4:W1673))-K1096),1,
ROUNDDOWN(Y1096-INDEX(K$4:K1673,MATCH(LARGE(FILTER(I$4:I1673,I$4:I1673&lt;=W1096),1),I$4:I1673))-(W1096-L"&amp;"ARGE(FILTER(I$4:I1673,I$4:I1673&lt;=W1096),1))*INDEX(F$4:F1673,MATCH(LARGE(FILTER(I$4:I1673,I$4:I1673&lt;=W1096),1),I$4:I1673))))"),"")</f>
        <v/>
      </c>
      <c r="N1096" s="60" t="str">
        <f t="shared" si="8"/>
        <v/>
      </c>
      <c r="O1096" s="61" t="str">
        <f t="shared" si="9"/>
        <v/>
      </c>
      <c r="P1096" s="56" t="str">
        <f t="shared" si="10"/>
        <v/>
      </c>
      <c r="R1096" s="10"/>
      <c r="S1096" s="59" t="str">
        <f t="array" ref="S1096">IF(COUNTA(Q1096:Q1673)=0,"",SUM((COUNTIF(Q$4:Q1096,Upgrades!$B$3:$B$13)-COUNTIF(Q$4:Q1096,"Sell_"&amp;Upgrades!$B$3:$B$13))*Upgrades!$D$3:$D$13))</f>
        <v/>
      </c>
      <c r="T1096" s="66" t="str">
        <f>IFERROR(__xludf.DUMMYFUNCTION("IF(COUNTA(Q1096:Q1673)=0,"""",IF(REGEXMATCH(INDEX(FILTER(Q$4:Q1096,Q$4:Q1096&lt;&gt;""""),ROWS(FILTER(Q$4:Q1096,Q$4:Q1096&lt;&gt;""""))),""^Sell_""),INDEX(FILTER(T$4:T1095,Q$4:Q1095&lt;&gt;""""),ROWS(FILTER(Q$4:Q1095,Q$4:Q1095&lt;&gt;""""))),$AD$5+S1096))"),"")</f>
        <v/>
      </c>
      <c r="U1096" s="10" t="str">
        <f>IFERROR(__xludf.DUMMYFUNCTION("IF(COUNTA(Q1096:Q1673)=0,"""",IF(Q1096="""",0,IF(REGEXMATCH(Q1096,""^Sell_""),-ROUNDDOWN(ROUNDUP(INDEX(Upgrades!$C$3:$C$13,MATCH(SUBSTITUTE(Q1096,""Sell_"",""""),Upgrades!$B$3:$B$13,0))*1.15^(COUNTIF(Q$4:Q1095,SUBSTITUTE(Q1096,""Sell_"",""""))-COUNTIF(Q$4"&amp;":Q1095,""Sell_""&amp;SUBSTITUTE(Q1096,""Sell_"",""""))))/2),ROUNDUP(INDEX(Upgrades!$C$3:$C$13,MATCH(Q1096,Upgrades!$B$3:$B$13,0))*1.15^(COUNTIF(Q$4:Q1095,Q1096)-COUNTIF(Q$4:Q1095,""Sell_""&amp;Q1096))))))"),"")</f>
        <v/>
      </c>
      <c r="V1096" s="10" t="str">
        <f t="shared" si="11"/>
        <v/>
      </c>
      <c r="W1096" s="68" t="str">
        <f t="shared" si="12"/>
        <v/>
      </c>
      <c r="X1096" s="59" t="str">
        <f t="shared" si="13"/>
        <v/>
      </c>
      <c r="Y1096" s="69" t="str">
        <f t="shared" si="14"/>
        <v/>
      </c>
      <c r="Z1096" s="11"/>
    </row>
    <row r="1097">
      <c r="A1097" s="8"/>
      <c r="B1097" s="56" t="str">
        <f t="shared" si="2"/>
        <v/>
      </c>
      <c r="C1097" s="105"/>
      <c r="D1097" s="10"/>
      <c r="E1097" s="59" t="str">
        <f t="array" ref="E1097">IF(COUNTA(C1097:C1673)=0,"",SUM((COUNTIF(C$4:C1097,Upgrades!$B$3:$B$13)-COUNTIF(C$4:C1097,"Sell_"&amp;Upgrades!$B$3:$B$13))*Upgrades!$D$3:$D$13))</f>
        <v/>
      </c>
      <c r="F1097" s="66" t="str">
        <f>IFERROR(__xludf.DUMMYFUNCTION("IF(COUNTA(C1097:C1673)=0,"""",IF(REGEXMATCH(INDEX(FILTER(C$4:C1097,C$4:C1097&lt;&gt;""""),ROWS(FILTER(C$4:C1097,C$4:C1097&lt;&gt;""""))),""^Sell_""),INDEX(FILTER(F$4:F1096,C$4:C1096&lt;&gt;""""),ROWS(FILTER(C$4:C1096,C$4:C1096&lt;&gt;""""))),$AC$5+E1097))"),"")</f>
        <v/>
      </c>
      <c r="G1097" s="10" t="str">
        <f>IFERROR(__xludf.DUMMYFUNCTION("IF(COUNTA(C1097:C1673)=0,"""",IF(C1097="""",0,IF(REGEXMATCH(C1097,""^Sell_""),-ROUNDDOWN(ROUNDUP(INDEX(Upgrades!$C$3:$C$13,MATCH(SUBSTITUTE(C1097,""Sell_"",""""),Upgrades!$B$3:$B$13,0))*1.15^(COUNTIF(C$4:C1096,SUBSTITUTE(C1097,""Sell_"",""""))-COUNTIF(C$4"&amp;":C1096,""Sell_""&amp;SUBSTITUTE(C1097,""Sell_"",""""))))/2),ROUNDUP(INDEX(Upgrades!$C$3:$C$13,MATCH(C1097,Upgrades!$B$3:$B$13,0))*1.15^(COUNTIF(C$4:C1096,C1097)-COUNTIF(C$4:C1096,""Sell_""&amp;C1097))))))"),"")</f>
        <v/>
      </c>
      <c r="H1097" s="10" t="str">
        <f t="shared" si="3"/>
        <v/>
      </c>
      <c r="I1097" s="68" t="str">
        <f t="shared" si="4"/>
        <v/>
      </c>
      <c r="J1097" s="59" t="str">
        <f t="shared" si="5"/>
        <v/>
      </c>
      <c r="K1097" s="69" t="str">
        <f t="shared" si="6"/>
        <v/>
      </c>
      <c r="L1097" s="60" t="str">
        <f t="shared" si="7"/>
        <v/>
      </c>
      <c r="M1097" s="61" t="str">
        <f>IFERROR(__xludf.DUMMYFUNCTION("IFS(AND(COUNTA(C1097:C1673)=0,COUNTA(Q1097:Q1673)=0),"""",OR(AND(K1097&gt;=1000000000,OR(Y1097&gt;=1000000000,COUNTA(Q1097:Q1673)=0)),OR(Y1097&gt;=1000000000,AND(COUNTA(C1097:C1673)=0,P$3=TRUE))),
ROUNDDOWN((AB$1-AC$1)*MAX(INDEX(T$4:T1673,MATCH(LARGE(FILTER(Y$4:Y1"&amp;"673,Y$4:Y1673&lt;1000000000),1),Y$4:Y1673)),INDEX(F$4:F1673,MATCH(LARGE(FILTER(K$4:K1673,K$4:K1673&lt;1000000000),1),K$4:K1673)))),AND(K1097&lt;1000000000,COUNTA(C1097:C1673)&gt;0,P$3=FALSE),
ROUNDDOWN(INDEX(Y$4:Y1673,MATCH(LARGE(FILTER(W$4:W1673,W$4:W1673&lt;=I1097),1)"&amp;",W$4:W1673))+(I1097-LARGE(FILTER(W$4:W1673,W$4:W1673&lt;=I1097),1))*INDEX(T$4:T1673,MATCH(LARGE(FILTER(W$4:W1673,W$4:W1673&lt;=I1097),1),W$4:W1673))-K1097),1,
ROUNDDOWN(Y1097-INDEX(K$4:K1673,MATCH(LARGE(FILTER(I$4:I1673,I$4:I1673&lt;=W1097),1),I$4:I1673))-(W1097-L"&amp;"ARGE(FILTER(I$4:I1673,I$4:I1673&lt;=W1097),1))*INDEX(F$4:F1673,MATCH(LARGE(FILTER(I$4:I1673,I$4:I1673&lt;=W1097),1),I$4:I1673))))"),"")</f>
        <v/>
      </c>
      <c r="N1097" s="60" t="str">
        <f t="shared" si="8"/>
        <v/>
      </c>
      <c r="O1097" s="61" t="str">
        <f t="shared" si="9"/>
        <v/>
      </c>
      <c r="P1097" s="56" t="str">
        <f t="shared" si="10"/>
        <v/>
      </c>
      <c r="R1097" s="10"/>
      <c r="S1097" s="59" t="str">
        <f t="array" ref="S1097">IF(COUNTA(Q1097:Q1673)=0,"",SUM((COUNTIF(Q$4:Q1097,Upgrades!$B$3:$B$13)-COUNTIF(Q$4:Q1097,"Sell_"&amp;Upgrades!$B$3:$B$13))*Upgrades!$D$3:$D$13))</f>
        <v/>
      </c>
      <c r="T1097" s="66" t="str">
        <f>IFERROR(__xludf.DUMMYFUNCTION("IF(COUNTA(Q1097:Q1673)=0,"""",IF(REGEXMATCH(INDEX(FILTER(Q$4:Q1097,Q$4:Q1097&lt;&gt;""""),ROWS(FILTER(Q$4:Q1097,Q$4:Q1097&lt;&gt;""""))),""^Sell_""),INDEX(FILTER(T$4:T1096,Q$4:Q1096&lt;&gt;""""),ROWS(FILTER(Q$4:Q1096,Q$4:Q1096&lt;&gt;""""))),$AD$5+S1097))"),"")</f>
        <v/>
      </c>
      <c r="U1097" s="10" t="str">
        <f>IFERROR(__xludf.DUMMYFUNCTION("IF(COUNTA(Q1097:Q1673)=0,"""",IF(Q1097="""",0,IF(REGEXMATCH(Q1097,""^Sell_""),-ROUNDDOWN(ROUNDUP(INDEX(Upgrades!$C$3:$C$13,MATCH(SUBSTITUTE(Q1097,""Sell_"",""""),Upgrades!$B$3:$B$13,0))*1.15^(COUNTIF(Q$4:Q1096,SUBSTITUTE(Q1097,""Sell_"",""""))-COUNTIF(Q$4"&amp;":Q1096,""Sell_""&amp;SUBSTITUTE(Q1097,""Sell_"",""""))))/2),ROUNDUP(INDEX(Upgrades!$C$3:$C$13,MATCH(Q1097,Upgrades!$B$3:$B$13,0))*1.15^(COUNTIF(Q$4:Q1096,Q1097)-COUNTIF(Q$4:Q1096,""Sell_""&amp;Q1097))))))"),"")</f>
        <v/>
      </c>
      <c r="V1097" s="10" t="str">
        <f t="shared" si="11"/>
        <v/>
      </c>
      <c r="W1097" s="68" t="str">
        <f t="shared" si="12"/>
        <v/>
      </c>
      <c r="X1097" s="59" t="str">
        <f t="shared" si="13"/>
        <v/>
      </c>
      <c r="Y1097" s="69" t="str">
        <f t="shared" si="14"/>
        <v/>
      </c>
      <c r="Z1097" s="11"/>
    </row>
    <row r="1098">
      <c r="A1098" s="8"/>
      <c r="B1098" s="56" t="str">
        <f t="shared" si="2"/>
        <v/>
      </c>
      <c r="C1098" s="105"/>
      <c r="D1098" s="10"/>
      <c r="E1098" s="59" t="str">
        <f t="array" ref="E1098">IF(COUNTA(C1098:C1673)=0,"",SUM((COUNTIF(C$4:C1098,Upgrades!$B$3:$B$13)-COUNTIF(C$4:C1098,"Sell_"&amp;Upgrades!$B$3:$B$13))*Upgrades!$D$3:$D$13))</f>
        <v/>
      </c>
      <c r="F1098" s="66" t="str">
        <f>IFERROR(__xludf.DUMMYFUNCTION("IF(COUNTA(C1098:C1673)=0,"""",IF(REGEXMATCH(INDEX(FILTER(C$4:C1098,C$4:C1098&lt;&gt;""""),ROWS(FILTER(C$4:C1098,C$4:C1098&lt;&gt;""""))),""^Sell_""),INDEX(FILTER(F$4:F1097,C$4:C1097&lt;&gt;""""),ROWS(FILTER(C$4:C1097,C$4:C1097&lt;&gt;""""))),$AC$5+E1098))"),"")</f>
        <v/>
      </c>
      <c r="G1098" s="10" t="str">
        <f>IFERROR(__xludf.DUMMYFUNCTION("IF(COUNTA(C1098:C1673)=0,"""",IF(C1098="""",0,IF(REGEXMATCH(C1098,""^Sell_""),-ROUNDDOWN(ROUNDUP(INDEX(Upgrades!$C$3:$C$13,MATCH(SUBSTITUTE(C1098,""Sell_"",""""),Upgrades!$B$3:$B$13,0))*1.15^(COUNTIF(C$4:C1097,SUBSTITUTE(C1098,""Sell_"",""""))-COUNTIF(C$4"&amp;":C1097,""Sell_""&amp;SUBSTITUTE(C1098,""Sell_"",""""))))/2),ROUNDUP(INDEX(Upgrades!$C$3:$C$13,MATCH(C1098,Upgrades!$B$3:$B$13,0))*1.15^(COUNTIF(C$4:C1097,C1098)-COUNTIF(C$4:C1097,""Sell_""&amp;C1098))))))"),"")</f>
        <v/>
      </c>
      <c r="H1098" s="10" t="str">
        <f t="shared" si="3"/>
        <v/>
      </c>
      <c r="I1098" s="68" t="str">
        <f t="shared" si="4"/>
        <v/>
      </c>
      <c r="J1098" s="59" t="str">
        <f t="shared" si="5"/>
        <v/>
      </c>
      <c r="K1098" s="69" t="str">
        <f t="shared" si="6"/>
        <v/>
      </c>
      <c r="L1098" s="60" t="str">
        <f t="shared" si="7"/>
        <v/>
      </c>
      <c r="M1098" s="61" t="str">
        <f>IFERROR(__xludf.DUMMYFUNCTION("IFS(AND(COUNTA(C1098:C1673)=0,COUNTA(Q1098:Q1673)=0),"""",OR(AND(K1098&gt;=1000000000,OR(Y1098&gt;=1000000000,COUNTA(Q1098:Q1673)=0)),OR(Y1098&gt;=1000000000,AND(COUNTA(C1098:C1673)=0,P$3=TRUE))),
ROUNDDOWN((AB$1-AC$1)*MAX(INDEX(T$4:T1673,MATCH(LARGE(FILTER(Y$4:Y1"&amp;"673,Y$4:Y1673&lt;1000000000),1),Y$4:Y1673)),INDEX(F$4:F1673,MATCH(LARGE(FILTER(K$4:K1673,K$4:K1673&lt;1000000000),1),K$4:K1673)))),AND(K1098&lt;1000000000,COUNTA(C1098:C1673)&gt;0,P$3=FALSE),
ROUNDDOWN(INDEX(Y$4:Y1673,MATCH(LARGE(FILTER(W$4:W1673,W$4:W1673&lt;=I1098),1)"&amp;",W$4:W1673))+(I1098-LARGE(FILTER(W$4:W1673,W$4:W1673&lt;=I1098),1))*INDEX(T$4:T1673,MATCH(LARGE(FILTER(W$4:W1673,W$4:W1673&lt;=I1098),1),W$4:W1673))-K1098),1,
ROUNDDOWN(Y1098-INDEX(K$4:K1673,MATCH(LARGE(FILTER(I$4:I1673,I$4:I1673&lt;=W1098),1),I$4:I1673))-(W1098-L"&amp;"ARGE(FILTER(I$4:I1673,I$4:I1673&lt;=W1098),1))*INDEX(F$4:F1673,MATCH(LARGE(FILTER(I$4:I1673,I$4:I1673&lt;=W1098),1),I$4:I1673))))"),"")</f>
        <v/>
      </c>
      <c r="N1098" s="60" t="str">
        <f t="shared" si="8"/>
        <v/>
      </c>
      <c r="O1098" s="61" t="str">
        <f t="shared" si="9"/>
        <v/>
      </c>
      <c r="P1098" s="56" t="str">
        <f t="shared" si="10"/>
        <v/>
      </c>
      <c r="R1098" s="10"/>
      <c r="S1098" s="59" t="str">
        <f t="array" ref="S1098">IF(COUNTA(Q1098:Q1673)=0,"",SUM((COUNTIF(Q$4:Q1098,Upgrades!$B$3:$B$13)-COUNTIF(Q$4:Q1098,"Sell_"&amp;Upgrades!$B$3:$B$13))*Upgrades!$D$3:$D$13))</f>
        <v/>
      </c>
      <c r="T1098" s="66" t="str">
        <f>IFERROR(__xludf.DUMMYFUNCTION("IF(COUNTA(Q1098:Q1673)=0,"""",IF(REGEXMATCH(INDEX(FILTER(Q$4:Q1098,Q$4:Q1098&lt;&gt;""""),ROWS(FILTER(Q$4:Q1098,Q$4:Q1098&lt;&gt;""""))),""^Sell_""),INDEX(FILTER(T$4:T1097,Q$4:Q1097&lt;&gt;""""),ROWS(FILTER(Q$4:Q1097,Q$4:Q1097&lt;&gt;""""))),$AD$5+S1098))"),"")</f>
        <v/>
      </c>
      <c r="U1098" s="10" t="str">
        <f>IFERROR(__xludf.DUMMYFUNCTION("IF(COUNTA(Q1098:Q1673)=0,"""",IF(Q1098="""",0,IF(REGEXMATCH(Q1098,""^Sell_""),-ROUNDDOWN(ROUNDUP(INDEX(Upgrades!$C$3:$C$13,MATCH(SUBSTITUTE(Q1098,""Sell_"",""""),Upgrades!$B$3:$B$13,0))*1.15^(COUNTIF(Q$4:Q1097,SUBSTITUTE(Q1098,""Sell_"",""""))-COUNTIF(Q$4"&amp;":Q1097,""Sell_""&amp;SUBSTITUTE(Q1098,""Sell_"",""""))))/2),ROUNDUP(INDEX(Upgrades!$C$3:$C$13,MATCH(Q1098,Upgrades!$B$3:$B$13,0))*1.15^(COUNTIF(Q$4:Q1097,Q1098)-COUNTIF(Q$4:Q1097,""Sell_""&amp;Q1098))))))"),"")</f>
        <v/>
      </c>
      <c r="V1098" s="10" t="str">
        <f t="shared" si="11"/>
        <v/>
      </c>
      <c r="W1098" s="68" t="str">
        <f t="shared" si="12"/>
        <v/>
      </c>
      <c r="X1098" s="59" t="str">
        <f t="shared" si="13"/>
        <v/>
      </c>
      <c r="Y1098" s="69" t="str">
        <f t="shared" si="14"/>
        <v/>
      </c>
      <c r="Z1098" s="11"/>
    </row>
    <row r="1099">
      <c r="A1099" s="8"/>
      <c r="B1099" s="56" t="str">
        <f t="shared" si="2"/>
        <v/>
      </c>
      <c r="C1099" s="105"/>
      <c r="D1099" s="10"/>
      <c r="E1099" s="59" t="str">
        <f t="array" ref="E1099">IF(COUNTA(C1099:C1673)=0,"",SUM((COUNTIF(C$4:C1099,Upgrades!$B$3:$B$13)-COUNTIF(C$4:C1099,"Sell_"&amp;Upgrades!$B$3:$B$13))*Upgrades!$D$3:$D$13))</f>
        <v/>
      </c>
      <c r="F1099" s="66" t="str">
        <f>IFERROR(__xludf.DUMMYFUNCTION("IF(COUNTA(C1099:C1673)=0,"""",IF(REGEXMATCH(INDEX(FILTER(C$4:C1099,C$4:C1099&lt;&gt;""""),ROWS(FILTER(C$4:C1099,C$4:C1099&lt;&gt;""""))),""^Sell_""),INDEX(FILTER(F$4:F1098,C$4:C1098&lt;&gt;""""),ROWS(FILTER(C$4:C1098,C$4:C1098&lt;&gt;""""))),$AC$5+E1099))"),"")</f>
        <v/>
      </c>
      <c r="G1099" s="10" t="str">
        <f>IFERROR(__xludf.DUMMYFUNCTION("IF(COUNTA(C1099:C1673)=0,"""",IF(C1099="""",0,IF(REGEXMATCH(C1099,""^Sell_""),-ROUNDDOWN(ROUNDUP(INDEX(Upgrades!$C$3:$C$13,MATCH(SUBSTITUTE(C1099,""Sell_"",""""),Upgrades!$B$3:$B$13,0))*1.15^(COUNTIF(C$4:C1098,SUBSTITUTE(C1099,""Sell_"",""""))-COUNTIF(C$4"&amp;":C1098,""Sell_""&amp;SUBSTITUTE(C1099,""Sell_"",""""))))/2),ROUNDUP(INDEX(Upgrades!$C$3:$C$13,MATCH(C1099,Upgrades!$B$3:$B$13,0))*1.15^(COUNTIF(C$4:C1098,C1099)-COUNTIF(C$4:C1098,""Sell_""&amp;C1099))))))"),"")</f>
        <v/>
      </c>
      <c r="H1099" s="10" t="str">
        <f t="shared" si="3"/>
        <v/>
      </c>
      <c r="I1099" s="68" t="str">
        <f t="shared" si="4"/>
        <v/>
      </c>
      <c r="J1099" s="59" t="str">
        <f t="shared" si="5"/>
        <v/>
      </c>
      <c r="K1099" s="69" t="str">
        <f t="shared" si="6"/>
        <v/>
      </c>
      <c r="L1099" s="60" t="str">
        <f t="shared" si="7"/>
        <v/>
      </c>
      <c r="M1099" s="61" t="str">
        <f>IFERROR(__xludf.DUMMYFUNCTION("IFS(AND(COUNTA(C1099:C1673)=0,COUNTA(Q1099:Q1673)=0),"""",OR(AND(K1099&gt;=1000000000,OR(Y1099&gt;=1000000000,COUNTA(Q1099:Q1673)=0)),OR(Y1099&gt;=1000000000,AND(COUNTA(C1099:C1673)=0,P$3=TRUE))),
ROUNDDOWN((AB$1-AC$1)*MAX(INDEX(T$4:T1673,MATCH(LARGE(FILTER(Y$4:Y1"&amp;"673,Y$4:Y1673&lt;1000000000),1),Y$4:Y1673)),INDEX(F$4:F1673,MATCH(LARGE(FILTER(K$4:K1673,K$4:K1673&lt;1000000000),1),K$4:K1673)))),AND(K1099&lt;1000000000,COUNTA(C1099:C1673)&gt;0,P$3=FALSE),
ROUNDDOWN(INDEX(Y$4:Y1673,MATCH(LARGE(FILTER(W$4:W1673,W$4:W1673&lt;=I1099),1)"&amp;",W$4:W1673))+(I1099-LARGE(FILTER(W$4:W1673,W$4:W1673&lt;=I1099),1))*INDEX(T$4:T1673,MATCH(LARGE(FILTER(W$4:W1673,W$4:W1673&lt;=I1099),1),W$4:W1673))-K1099),1,
ROUNDDOWN(Y1099-INDEX(K$4:K1673,MATCH(LARGE(FILTER(I$4:I1673,I$4:I1673&lt;=W1099),1),I$4:I1673))-(W1099-L"&amp;"ARGE(FILTER(I$4:I1673,I$4:I1673&lt;=W1099),1))*INDEX(F$4:F1673,MATCH(LARGE(FILTER(I$4:I1673,I$4:I1673&lt;=W1099),1),I$4:I1673))))"),"")</f>
        <v/>
      </c>
      <c r="N1099" s="60" t="str">
        <f t="shared" si="8"/>
        <v/>
      </c>
      <c r="O1099" s="61" t="str">
        <f t="shared" si="9"/>
        <v/>
      </c>
      <c r="P1099" s="56" t="str">
        <f t="shared" si="10"/>
        <v/>
      </c>
      <c r="R1099" s="10"/>
      <c r="S1099" s="59" t="str">
        <f t="array" ref="S1099">IF(COUNTA(Q1099:Q1673)=0,"",SUM((COUNTIF(Q$4:Q1099,Upgrades!$B$3:$B$13)-COUNTIF(Q$4:Q1099,"Sell_"&amp;Upgrades!$B$3:$B$13))*Upgrades!$D$3:$D$13))</f>
        <v/>
      </c>
      <c r="T1099" s="66" t="str">
        <f>IFERROR(__xludf.DUMMYFUNCTION("IF(COUNTA(Q1099:Q1673)=0,"""",IF(REGEXMATCH(INDEX(FILTER(Q$4:Q1099,Q$4:Q1099&lt;&gt;""""),ROWS(FILTER(Q$4:Q1099,Q$4:Q1099&lt;&gt;""""))),""^Sell_""),INDEX(FILTER(T$4:T1098,Q$4:Q1098&lt;&gt;""""),ROWS(FILTER(Q$4:Q1098,Q$4:Q1098&lt;&gt;""""))),$AD$5+S1099))"),"")</f>
        <v/>
      </c>
      <c r="U1099" s="10" t="str">
        <f>IFERROR(__xludf.DUMMYFUNCTION("IF(COUNTA(Q1099:Q1673)=0,"""",IF(Q1099="""",0,IF(REGEXMATCH(Q1099,""^Sell_""),-ROUNDDOWN(ROUNDUP(INDEX(Upgrades!$C$3:$C$13,MATCH(SUBSTITUTE(Q1099,""Sell_"",""""),Upgrades!$B$3:$B$13,0))*1.15^(COUNTIF(Q$4:Q1098,SUBSTITUTE(Q1099,""Sell_"",""""))-COUNTIF(Q$4"&amp;":Q1098,""Sell_""&amp;SUBSTITUTE(Q1099,""Sell_"",""""))))/2),ROUNDUP(INDEX(Upgrades!$C$3:$C$13,MATCH(Q1099,Upgrades!$B$3:$B$13,0))*1.15^(COUNTIF(Q$4:Q1098,Q1099)-COUNTIF(Q$4:Q1098,""Sell_""&amp;Q1099))))))"),"")</f>
        <v/>
      </c>
      <c r="V1099" s="10" t="str">
        <f t="shared" si="11"/>
        <v/>
      </c>
      <c r="W1099" s="68" t="str">
        <f t="shared" si="12"/>
        <v/>
      </c>
      <c r="X1099" s="59" t="str">
        <f t="shared" si="13"/>
        <v/>
      </c>
      <c r="Y1099" s="69" t="str">
        <f t="shared" si="14"/>
        <v/>
      </c>
      <c r="Z1099" s="11"/>
    </row>
    <row r="1100">
      <c r="A1100" s="8"/>
      <c r="B1100" s="56" t="str">
        <f t="shared" si="2"/>
        <v/>
      </c>
      <c r="C1100" s="105"/>
      <c r="D1100" s="10"/>
      <c r="E1100" s="59" t="str">
        <f t="array" ref="E1100">IF(COUNTA(C1100:C1673)=0,"",SUM((COUNTIF(C$4:C1100,Upgrades!$B$3:$B$13)-COUNTIF(C$4:C1100,"Sell_"&amp;Upgrades!$B$3:$B$13))*Upgrades!$D$3:$D$13))</f>
        <v/>
      </c>
      <c r="F1100" s="66" t="str">
        <f>IFERROR(__xludf.DUMMYFUNCTION("IF(COUNTA(C1100:C1673)=0,"""",IF(REGEXMATCH(INDEX(FILTER(C$4:C1100,C$4:C1100&lt;&gt;""""),ROWS(FILTER(C$4:C1100,C$4:C1100&lt;&gt;""""))),""^Sell_""),INDEX(FILTER(F$4:F1099,C$4:C1099&lt;&gt;""""),ROWS(FILTER(C$4:C1099,C$4:C1099&lt;&gt;""""))),$AC$5+E1100))"),"")</f>
        <v/>
      </c>
      <c r="G1100" s="10" t="str">
        <f>IFERROR(__xludf.DUMMYFUNCTION("IF(COUNTA(C1100:C1673)=0,"""",IF(C1100="""",0,IF(REGEXMATCH(C1100,""^Sell_""),-ROUNDDOWN(ROUNDUP(INDEX(Upgrades!$C$3:$C$13,MATCH(SUBSTITUTE(C1100,""Sell_"",""""),Upgrades!$B$3:$B$13,0))*1.15^(COUNTIF(C$4:C1099,SUBSTITUTE(C1100,""Sell_"",""""))-COUNTIF(C$4"&amp;":C1099,""Sell_""&amp;SUBSTITUTE(C1100,""Sell_"",""""))))/2),ROUNDUP(INDEX(Upgrades!$C$3:$C$13,MATCH(C1100,Upgrades!$B$3:$B$13,0))*1.15^(COUNTIF(C$4:C1099,C1100)-COUNTIF(C$4:C1099,""Sell_""&amp;C1100))))))"),"")</f>
        <v/>
      </c>
      <c r="H1100" s="10" t="str">
        <f t="shared" si="3"/>
        <v/>
      </c>
      <c r="I1100" s="68" t="str">
        <f t="shared" si="4"/>
        <v/>
      </c>
      <c r="J1100" s="59" t="str">
        <f t="shared" si="5"/>
        <v/>
      </c>
      <c r="K1100" s="69" t="str">
        <f t="shared" si="6"/>
        <v/>
      </c>
      <c r="L1100" s="60" t="str">
        <f t="shared" si="7"/>
        <v/>
      </c>
      <c r="M1100" s="61" t="str">
        <f>IFERROR(__xludf.DUMMYFUNCTION("IFS(AND(COUNTA(C1100:C1673)=0,COUNTA(Q1100:Q1673)=0),"""",OR(AND(K1100&gt;=1000000000,OR(Y1100&gt;=1000000000,COUNTA(Q1100:Q1673)=0)),OR(Y1100&gt;=1000000000,AND(COUNTA(C1100:C1673)=0,P$3=TRUE))),
ROUNDDOWN((AB$1-AC$1)*MAX(INDEX(T$4:T1673,MATCH(LARGE(FILTER(Y$4:Y1"&amp;"673,Y$4:Y1673&lt;1000000000),1),Y$4:Y1673)),INDEX(F$4:F1673,MATCH(LARGE(FILTER(K$4:K1673,K$4:K1673&lt;1000000000),1),K$4:K1673)))),AND(K1100&lt;1000000000,COUNTA(C1100:C1673)&gt;0,P$3=FALSE),
ROUNDDOWN(INDEX(Y$4:Y1673,MATCH(LARGE(FILTER(W$4:W1673,W$4:W1673&lt;=I1100),1)"&amp;",W$4:W1673))+(I1100-LARGE(FILTER(W$4:W1673,W$4:W1673&lt;=I1100),1))*INDEX(T$4:T1673,MATCH(LARGE(FILTER(W$4:W1673,W$4:W1673&lt;=I1100),1),W$4:W1673))-K1100),1,
ROUNDDOWN(Y1100-INDEX(K$4:K1673,MATCH(LARGE(FILTER(I$4:I1673,I$4:I1673&lt;=W1100),1),I$4:I1673))-(W1100-L"&amp;"ARGE(FILTER(I$4:I1673,I$4:I1673&lt;=W1100),1))*INDEX(F$4:F1673,MATCH(LARGE(FILTER(I$4:I1673,I$4:I1673&lt;=W1100),1),I$4:I1673))))"),"")</f>
        <v/>
      </c>
      <c r="N1100" s="60" t="str">
        <f t="shared" si="8"/>
        <v/>
      </c>
      <c r="O1100" s="61" t="str">
        <f t="shared" si="9"/>
        <v/>
      </c>
      <c r="P1100" s="56" t="str">
        <f t="shared" si="10"/>
        <v/>
      </c>
      <c r="R1100" s="10"/>
      <c r="S1100" s="59" t="str">
        <f t="array" ref="S1100">IF(COUNTA(Q1100:Q1673)=0,"",SUM((COUNTIF(Q$4:Q1100,Upgrades!$B$3:$B$13)-COUNTIF(Q$4:Q1100,"Sell_"&amp;Upgrades!$B$3:$B$13))*Upgrades!$D$3:$D$13))</f>
        <v/>
      </c>
      <c r="T1100" s="66" t="str">
        <f>IFERROR(__xludf.DUMMYFUNCTION("IF(COUNTA(Q1100:Q1673)=0,"""",IF(REGEXMATCH(INDEX(FILTER(Q$4:Q1100,Q$4:Q1100&lt;&gt;""""),ROWS(FILTER(Q$4:Q1100,Q$4:Q1100&lt;&gt;""""))),""^Sell_""),INDEX(FILTER(T$4:T1099,Q$4:Q1099&lt;&gt;""""),ROWS(FILTER(Q$4:Q1099,Q$4:Q1099&lt;&gt;""""))),$AD$5+S1100))"),"")</f>
        <v/>
      </c>
      <c r="U1100" s="10" t="str">
        <f>IFERROR(__xludf.DUMMYFUNCTION("IF(COUNTA(Q1100:Q1673)=0,"""",IF(Q1100="""",0,IF(REGEXMATCH(Q1100,""^Sell_""),-ROUNDDOWN(ROUNDUP(INDEX(Upgrades!$C$3:$C$13,MATCH(SUBSTITUTE(Q1100,""Sell_"",""""),Upgrades!$B$3:$B$13,0))*1.15^(COUNTIF(Q$4:Q1099,SUBSTITUTE(Q1100,""Sell_"",""""))-COUNTIF(Q$4"&amp;":Q1099,""Sell_""&amp;SUBSTITUTE(Q1100,""Sell_"",""""))))/2),ROUNDUP(INDEX(Upgrades!$C$3:$C$13,MATCH(Q1100,Upgrades!$B$3:$B$13,0))*1.15^(COUNTIF(Q$4:Q1099,Q1100)-COUNTIF(Q$4:Q1099,""Sell_""&amp;Q1100))))))"),"")</f>
        <v/>
      </c>
      <c r="V1100" s="10" t="str">
        <f t="shared" si="11"/>
        <v/>
      </c>
      <c r="W1100" s="68" t="str">
        <f t="shared" si="12"/>
        <v/>
      </c>
      <c r="X1100" s="59" t="str">
        <f t="shared" si="13"/>
        <v/>
      </c>
      <c r="Y1100" s="69" t="str">
        <f t="shared" si="14"/>
        <v/>
      </c>
      <c r="Z1100" s="11"/>
    </row>
    <row r="1101">
      <c r="A1101" s="8"/>
      <c r="B1101" s="56" t="str">
        <f t="shared" si="2"/>
        <v/>
      </c>
      <c r="C1101" s="105"/>
      <c r="D1101" s="10"/>
      <c r="E1101" s="59" t="str">
        <f t="array" ref="E1101">IF(COUNTA(C1101:C1673)=0,"",SUM((COUNTIF(C$4:C1101,Upgrades!$B$3:$B$13)-COUNTIF(C$4:C1101,"Sell_"&amp;Upgrades!$B$3:$B$13))*Upgrades!$D$3:$D$13))</f>
        <v/>
      </c>
      <c r="F1101" s="66" t="str">
        <f>IFERROR(__xludf.DUMMYFUNCTION("IF(COUNTA(C1101:C1673)=0,"""",IF(REGEXMATCH(INDEX(FILTER(C$4:C1101,C$4:C1101&lt;&gt;""""),ROWS(FILTER(C$4:C1101,C$4:C1101&lt;&gt;""""))),""^Sell_""),INDEX(FILTER(F$4:F1100,C$4:C1100&lt;&gt;""""),ROWS(FILTER(C$4:C1100,C$4:C1100&lt;&gt;""""))),$AC$5+E1101))"),"")</f>
        <v/>
      </c>
      <c r="G1101" s="10" t="str">
        <f>IFERROR(__xludf.DUMMYFUNCTION("IF(COUNTA(C1101:C1673)=0,"""",IF(C1101="""",0,IF(REGEXMATCH(C1101,""^Sell_""),-ROUNDDOWN(ROUNDUP(INDEX(Upgrades!$C$3:$C$13,MATCH(SUBSTITUTE(C1101,""Sell_"",""""),Upgrades!$B$3:$B$13,0))*1.15^(COUNTIF(C$4:C1100,SUBSTITUTE(C1101,""Sell_"",""""))-COUNTIF(C$4"&amp;":C1100,""Sell_""&amp;SUBSTITUTE(C1101,""Sell_"",""""))))/2),ROUNDUP(INDEX(Upgrades!$C$3:$C$13,MATCH(C1101,Upgrades!$B$3:$B$13,0))*1.15^(COUNTIF(C$4:C1100,C1101)-COUNTIF(C$4:C1100,""Sell_""&amp;C1101))))))"),"")</f>
        <v/>
      </c>
      <c r="H1101" s="10" t="str">
        <f t="shared" si="3"/>
        <v/>
      </c>
      <c r="I1101" s="68" t="str">
        <f t="shared" si="4"/>
        <v/>
      </c>
      <c r="J1101" s="59" t="str">
        <f t="shared" si="5"/>
        <v/>
      </c>
      <c r="K1101" s="69" t="str">
        <f t="shared" si="6"/>
        <v/>
      </c>
      <c r="L1101" s="60" t="str">
        <f t="shared" si="7"/>
        <v/>
      </c>
      <c r="M1101" s="61" t="str">
        <f>IFERROR(__xludf.DUMMYFUNCTION("IFS(AND(COUNTA(C1101:C1673)=0,COUNTA(Q1101:Q1673)=0),"""",OR(AND(K1101&gt;=1000000000,OR(Y1101&gt;=1000000000,COUNTA(Q1101:Q1673)=0)),OR(Y1101&gt;=1000000000,AND(COUNTA(C1101:C1673)=0,P$3=TRUE))),
ROUNDDOWN((AB$1-AC$1)*MAX(INDEX(T$4:T1673,MATCH(LARGE(FILTER(Y$4:Y1"&amp;"673,Y$4:Y1673&lt;1000000000),1),Y$4:Y1673)),INDEX(F$4:F1673,MATCH(LARGE(FILTER(K$4:K1673,K$4:K1673&lt;1000000000),1),K$4:K1673)))),AND(K1101&lt;1000000000,COUNTA(C1101:C1673)&gt;0,P$3=FALSE),
ROUNDDOWN(INDEX(Y$4:Y1673,MATCH(LARGE(FILTER(W$4:W1673,W$4:W1673&lt;=I1101),1)"&amp;",W$4:W1673))+(I1101-LARGE(FILTER(W$4:W1673,W$4:W1673&lt;=I1101),1))*INDEX(T$4:T1673,MATCH(LARGE(FILTER(W$4:W1673,W$4:W1673&lt;=I1101),1),W$4:W1673))-K1101),1,
ROUNDDOWN(Y1101-INDEX(K$4:K1673,MATCH(LARGE(FILTER(I$4:I1673,I$4:I1673&lt;=W1101),1),I$4:I1673))-(W1101-L"&amp;"ARGE(FILTER(I$4:I1673,I$4:I1673&lt;=W1101),1))*INDEX(F$4:F1673,MATCH(LARGE(FILTER(I$4:I1673,I$4:I1673&lt;=W1101),1),I$4:I1673))))"),"")</f>
        <v/>
      </c>
      <c r="N1101" s="60" t="str">
        <f t="shared" si="8"/>
        <v/>
      </c>
      <c r="O1101" s="61" t="str">
        <f t="shared" si="9"/>
        <v/>
      </c>
      <c r="P1101" s="56" t="str">
        <f t="shared" si="10"/>
        <v/>
      </c>
      <c r="R1101" s="10"/>
      <c r="S1101" s="59" t="str">
        <f t="array" ref="S1101">IF(COUNTA(Q1101:Q1673)=0,"",SUM((COUNTIF(Q$4:Q1101,Upgrades!$B$3:$B$13)-COUNTIF(Q$4:Q1101,"Sell_"&amp;Upgrades!$B$3:$B$13))*Upgrades!$D$3:$D$13))</f>
        <v/>
      </c>
      <c r="T1101" s="66" t="str">
        <f>IFERROR(__xludf.DUMMYFUNCTION("IF(COUNTA(Q1101:Q1673)=0,"""",IF(REGEXMATCH(INDEX(FILTER(Q$4:Q1101,Q$4:Q1101&lt;&gt;""""),ROWS(FILTER(Q$4:Q1101,Q$4:Q1101&lt;&gt;""""))),""^Sell_""),INDEX(FILTER(T$4:T1100,Q$4:Q1100&lt;&gt;""""),ROWS(FILTER(Q$4:Q1100,Q$4:Q1100&lt;&gt;""""))),$AD$5+S1101))"),"")</f>
        <v/>
      </c>
      <c r="U1101" s="10" t="str">
        <f>IFERROR(__xludf.DUMMYFUNCTION("IF(COUNTA(Q1101:Q1673)=0,"""",IF(Q1101="""",0,IF(REGEXMATCH(Q1101,""^Sell_""),-ROUNDDOWN(ROUNDUP(INDEX(Upgrades!$C$3:$C$13,MATCH(SUBSTITUTE(Q1101,""Sell_"",""""),Upgrades!$B$3:$B$13,0))*1.15^(COUNTIF(Q$4:Q1100,SUBSTITUTE(Q1101,""Sell_"",""""))-COUNTIF(Q$4"&amp;":Q1100,""Sell_""&amp;SUBSTITUTE(Q1101,""Sell_"",""""))))/2),ROUNDUP(INDEX(Upgrades!$C$3:$C$13,MATCH(Q1101,Upgrades!$B$3:$B$13,0))*1.15^(COUNTIF(Q$4:Q1100,Q1101)-COUNTIF(Q$4:Q1100,""Sell_""&amp;Q1101))))))"),"")</f>
        <v/>
      </c>
      <c r="V1101" s="10" t="str">
        <f t="shared" si="11"/>
        <v/>
      </c>
      <c r="W1101" s="68" t="str">
        <f t="shared" si="12"/>
        <v/>
      </c>
      <c r="X1101" s="59" t="str">
        <f t="shared" si="13"/>
        <v/>
      </c>
      <c r="Y1101" s="69" t="str">
        <f t="shared" si="14"/>
        <v/>
      </c>
      <c r="Z1101" s="11"/>
    </row>
    <row r="1102">
      <c r="A1102" s="8"/>
      <c r="B1102" s="56" t="str">
        <f t="shared" si="2"/>
        <v/>
      </c>
      <c r="C1102" s="105"/>
      <c r="D1102" s="10"/>
      <c r="E1102" s="59" t="str">
        <f t="array" ref="E1102">IF(COUNTA(C1102:C1673)=0,"",SUM((COUNTIF(C$4:C1102,Upgrades!$B$3:$B$13)-COUNTIF(C$4:C1102,"Sell_"&amp;Upgrades!$B$3:$B$13))*Upgrades!$D$3:$D$13))</f>
        <v/>
      </c>
      <c r="F1102" s="66" t="str">
        <f>IFERROR(__xludf.DUMMYFUNCTION("IF(COUNTA(C1102:C1673)=0,"""",IF(REGEXMATCH(INDEX(FILTER(C$4:C1102,C$4:C1102&lt;&gt;""""),ROWS(FILTER(C$4:C1102,C$4:C1102&lt;&gt;""""))),""^Sell_""),INDEX(FILTER(F$4:F1101,C$4:C1101&lt;&gt;""""),ROWS(FILTER(C$4:C1101,C$4:C1101&lt;&gt;""""))),$AC$5+E1102))"),"")</f>
        <v/>
      </c>
      <c r="G1102" s="10" t="str">
        <f>IFERROR(__xludf.DUMMYFUNCTION("IF(COUNTA(C1102:C1673)=0,"""",IF(C1102="""",0,IF(REGEXMATCH(C1102,""^Sell_""),-ROUNDDOWN(ROUNDUP(INDEX(Upgrades!$C$3:$C$13,MATCH(SUBSTITUTE(C1102,""Sell_"",""""),Upgrades!$B$3:$B$13,0))*1.15^(COUNTIF(C$4:C1101,SUBSTITUTE(C1102,""Sell_"",""""))-COUNTIF(C$4"&amp;":C1101,""Sell_""&amp;SUBSTITUTE(C1102,""Sell_"",""""))))/2),ROUNDUP(INDEX(Upgrades!$C$3:$C$13,MATCH(C1102,Upgrades!$B$3:$B$13,0))*1.15^(COUNTIF(C$4:C1101,C1102)-COUNTIF(C$4:C1101,""Sell_""&amp;C1102))))))"),"")</f>
        <v/>
      </c>
      <c r="H1102" s="10" t="str">
        <f t="shared" si="3"/>
        <v/>
      </c>
      <c r="I1102" s="68" t="str">
        <f t="shared" si="4"/>
        <v/>
      </c>
      <c r="J1102" s="59" t="str">
        <f t="shared" si="5"/>
        <v/>
      </c>
      <c r="K1102" s="69" t="str">
        <f t="shared" si="6"/>
        <v/>
      </c>
      <c r="L1102" s="60" t="str">
        <f t="shared" si="7"/>
        <v/>
      </c>
      <c r="M1102" s="61" t="str">
        <f>IFERROR(__xludf.DUMMYFUNCTION("IFS(AND(COUNTA(C1102:C1673)=0,COUNTA(Q1102:Q1673)=0),"""",OR(AND(K1102&gt;=1000000000,OR(Y1102&gt;=1000000000,COUNTA(Q1102:Q1673)=0)),OR(Y1102&gt;=1000000000,AND(COUNTA(C1102:C1673)=0,P$3=TRUE))),
ROUNDDOWN((AB$1-AC$1)*MAX(INDEX(T$4:T1673,MATCH(LARGE(FILTER(Y$4:Y1"&amp;"673,Y$4:Y1673&lt;1000000000),1),Y$4:Y1673)),INDEX(F$4:F1673,MATCH(LARGE(FILTER(K$4:K1673,K$4:K1673&lt;1000000000),1),K$4:K1673)))),AND(K1102&lt;1000000000,COUNTA(C1102:C1673)&gt;0,P$3=FALSE),
ROUNDDOWN(INDEX(Y$4:Y1673,MATCH(LARGE(FILTER(W$4:W1673,W$4:W1673&lt;=I1102),1)"&amp;",W$4:W1673))+(I1102-LARGE(FILTER(W$4:W1673,W$4:W1673&lt;=I1102),1))*INDEX(T$4:T1673,MATCH(LARGE(FILTER(W$4:W1673,W$4:W1673&lt;=I1102),1),W$4:W1673))-K1102),1,
ROUNDDOWN(Y1102-INDEX(K$4:K1673,MATCH(LARGE(FILTER(I$4:I1673,I$4:I1673&lt;=W1102),1),I$4:I1673))-(W1102-L"&amp;"ARGE(FILTER(I$4:I1673,I$4:I1673&lt;=W1102),1))*INDEX(F$4:F1673,MATCH(LARGE(FILTER(I$4:I1673,I$4:I1673&lt;=W1102),1),I$4:I1673))))"),"")</f>
        <v/>
      </c>
      <c r="N1102" s="60" t="str">
        <f t="shared" si="8"/>
        <v/>
      </c>
      <c r="O1102" s="61" t="str">
        <f t="shared" si="9"/>
        <v/>
      </c>
      <c r="P1102" s="56" t="str">
        <f t="shared" si="10"/>
        <v/>
      </c>
      <c r="R1102" s="10"/>
      <c r="S1102" s="59" t="str">
        <f t="array" ref="S1102">IF(COUNTA(Q1102:Q1673)=0,"",SUM((COUNTIF(Q$4:Q1102,Upgrades!$B$3:$B$13)-COUNTIF(Q$4:Q1102,"Sell_"&amp;Upgrades!$B$3:$B$13))*Upgrades!$D$3:$D$13))</f>
        <v/>
      </c>
      <c r="T1102" s="66" t="str">
        <f>IFERROR(__xludf.DUMMYFUNCTION("IF(COUNTA(Q1102:Q1673)=0,"""",IF(REGEXMATCH(INDEX(FILTER(Q$4:Q1102,Q$4:Q1102&lt;&gt;""""),ROWS(FILTER(Q$4:Q1102,Q$4:Q1102&lt;&gt;""""))),""^Sell_""),INDEX(FILTER(T$4:T1101,Q$4:Q1101&lt;&gt;""""),ROWS(FILTER(Q$4:Q1101,Q$4:Q1101&lt;&gt;""""))),$AD$5+S1102))"),"")</f>
        <v/>
      </c>
      <c r="U1102" s="10" t="str">
        <f>IFERROR(__xludf.DUMMYFUNCTION("IF(COUNTA(Q1102:Q1673)=0,"""",IF(Q1102="""",0,IF(REGEXMATCH(Q1102,""^Sell_""),-ROUNDDOWN(ROUNDUP(INDEX(Upgrades!$C$3:$C$13,MATCH(SUBSTITUTE(Q1102,""Sell_"",""""),Upgrades!$B$3:$B$13,0))*1.15^(COUNTIF(Q$4:Q1101,SUBSTITUTE(Q1102,""Sell_"",""""))-COUNTIF(Q$4"&amp;":Q1101,""Sell_""&amp;SUBSTITUTE(Q1102,""Sell_"",""""))))/2),ROUNDUP(INDEX(Upgrades!$C$3:$C$13,MATCH(Q1102,Upgrades!$B$3:$B$13,0))*1.15^(COUNTIF(Q$4:Q1101,Q1102)-COUNTIF(Q$4:Q1101,""Sell_""&amp;Q1102))))))"),"")</f>
        <v/>
      </c>
      <c r="V1102" s="10" t="str">
        <f t="shared" si="11"/>
        <v/>
      </c>
      <c r="W1102" s="68" t="str">
        <f t="shared" si="12"/>
        <v/>
      </c>
      <c r="X1102" s="59" t="str">
        <f t="shared" si="13"/>
        <v/>
      </c>
      <c r="Y1102" s="69" t="str">
        <f t="shared" si="14"/>
        <v/>
      </c>
      <c r="Z1102" s="11"/>
    </row>
    <row r="1103">
      <c r="A1103" s="8"/>
      <c r="B1103" s="56" t="str">
        <f t="shared" si="2"/>
        <v/>
      </c>
      <c r="C1103" s="105"/>
      <c r="D1103" s="10"/>
      <c r="E1103" s="59" t="str">
        <f t="array" ref="E1103">IF(COUNTA(C1103:C1673)=0,"",SUM((COUNTIF(C$4:C1103,Upgrades!$B$3:$B$13)-COUNTIF(C$4:C1103,"Sell_"&amp;Upgrades!$B$3:$B$13))*Upgrades!$D$3:$D$13))</f>
        <v/>
      </c>
      <c r="F1103" s="66" t="str">
        <f>IFERROR(__xludf.DUMMYFUNCTION("IF(COUNTA(C1103:C1673)=0,"""",IF(REGEXMATCH(INDEX(FILTER(C$4:C1103,C$4:C1103&lt;&gt;""""),ROWS(FILTER(C$4:C1103,C$4:C1103&lt;&gt;""""))),""^Sell_""),INDEX(FILTER(F$4:F1102,C$4:C1102&lt;&gt;""""),ROWS(FILTER(C$4:C1102,C$4:C1102&lt;&gt;""""))),$AC$5+E1103))"),"")</f>
        <v/>
      </c>
      <c r="G1103" s="10" t="str">
        <f>IFERROR(__xludf.DUMMYFUNCTION("IF(COUNTA(C1103:C1673)=0,"""",IF(C1103="""",0,IF(REGEXMATCH(C1103,""^Sell_""),-ROUNDDOWN(ROUNDUP(INDEX(Upgrades!$C$3:$C$13,MATCH(SUBSTITUTE(C1103,""Sell_"",""""),Upgrades!$B$3:$B$13,0))*1.15^(COUNTIF(C$4:C1102,SUBSTITUTE(C1103,""Sell_"",""""))-COUNTIF(C$4"&amp;":C1102,""Sell_""&amp;SUBSTITUTE(C1103,""Sell_"",""""))))/2),ROUNDUP(INDEX(Upgrades!$C$3:$C$13,MATCH(C1103,Upgrades!$B$3:$B$13,0))*1.15^(COUNTIF(C$4:C1102,C1103)-COUNTIF(C$4:C1102,""Sell_""&amp;C1103))))))"),"")</f>
        <v/>
      </c>
      <c r="H1103" s="10" t="str">
        <f t="shared" si="3"/>
        <v/>
      </c>
      <c r="I1103" s="68" t="str">
        <f t="shared" si="4"/>
        <v/>
      </c>
      <c r="J1103" s="59" t="str">
        <f t="shared" si="5"/>
        <v/>
      </c>
      <c r="K1103" s="69" t="str">
        <f t="shared" si="6"/>
        <v/>
      </c>
      <c r="L1103" s="60" t="str">
        <f t="shared" si="7"/>
        <v/>
      </c>
      <c r="M1103" s="61" t="str">
        <f>IFERROR(__xludf.DUMMYFUNCTION("IFS(AND(COUNTA(C1103:C1673)=0,COUNTA(Q1103:Q1673)=0),"""",OR(AND(K1103&gt;=1000000000,OR(Y1103&gt;=1000000000,COUNTA(Q1103:Q1673)=0)),OR(Y1103&gt;=1000000000,AND(COUNTA(C1103:C1673)=0,P$3=TRUE))),
ROUNDDOWN((AB$1-AC$1)*MAX(INDEX(T$4:T1673,MATCH(LARGE(FILTER(Y$4:Y1"&amp;"673,Y$4:Y1673&lt;1000000000),1),Y$4:Y1673)),INDEX(F$4:F1673,MATCH(LARGE(FILTER(K$4:K1673,K$4:K1673&lt;1000000000),1),K$4:K1673)))),AND(K1103&lt;1000000000,COUNTA(C1103:C1673)&gt;0,P$3=FALSE),
ROUNDDOWN(INDEX(Y$4:Y1673,MATCH(LARGE(FILTER(W$4:W1673,W$4:W1673&lt;=I1103),1)"&amp;",W$4:W1673))+(I1103-LARGE(FILTER(W$4:W1673,W$4:W1673&lt;=I1103),1))*INDEX(T$4:T1673,MATCH(LARGE(FILTER(W$4:W1673,W$4:W1673&lt;=I1103),1),W$4:W1673))-K1103),1,
ROUNDDOWN(Y1103-INDEX(K$4:K1673,MATCH(LARGE(FILTER(I$4:I1673,I$4:I1673&lt;=W1103),1),I$4:I1673))-(W1103-L"&amp;"ARGE(FILTER(I$4:I1673,I$4:I1673&lt;=W1103),1))*INDEX(F$4:F1673,MATCH(LARGE(FILTER(I$4:I1673,I$4:I1673&lt;=W1103),1),I$4:I1673))))"),"")</f>
        <v/>
      </c>
      <c r="N1103" s="60" t="str">
        <f t="shared" si="8"/>
        <v/>
      </c>
      <c r="O1103" s="61" t="str">
        <f t="shared" si="9"/>
        <v/>
      </c>
      <c r="P1103" s="56" t="str">
        <f t="shared" si="10"/>
        <v/>
      </c>
      <c r="R1103" s="10"/>
      <c r="S1103" s="59" t="str">
        <f t="array" ref="S1103">IF(COUNTA(Q1103:Q1673)=0,"",SUM((COUNTIF(Q$4:Q1103,Upgrades!$B$3:$B$13)-COUNTIF(Q$4:Q1103,"Sell_"&amp;Upgrades!$B$3:$B$13))*Upgrades!$D$3:$D$13))</f>
        <v/>
      </c>
      <c r="T1103" s="66" t="str">
        <f>IFERROR(__xludf.DUMMYFUNCTION("IF(COUNTA(Q1103:Q1673)=0,"""",IF(REGEXMATCH(INDEX(FILTER(Q$4:Q1103,Q$4:Q1103&lt;&gt;""""),ROWS(FILTER(Q$4:Q1103,Q$4:Q1103&lt;&gt;""""))),""^Sell_""),INDEX(FILTER(T$4:T1102,Q$4:Q1102&lt;&gt;""""),ROWS(FILTER(Q$4:Q1102,Q$4:Q1102&lt;&gt;""""))),$AD$5+S1103))"),"")</f>
        <v/>
      </c>
      <c r="U1103" s="10" t="str">
        <f>IFERROR(__xludf.DUMMYFUNCTION("IF(COUNTA(Q1103:Q1673)=0,"""",IF(Q1103="""",0,IF(REGEXMATCH(Q1103,""^Sell_""),-ROUNDDOWN(ROUNDUP(INDEX(Upgrades!$C$3:$C$13,MATCH(SUBSTITUTE(Q1103,""Sell_"",""""),Upgrades!$B$3:$B$13,0))*1.15^(COUNTIF(Q$4:Q1102,SUBSTITUTE(Q1103,""Sell_"",""""))-COUNTIF(Q$4"&amp;":Q1102,""Sell_""&amp;SUBSTITUTE(Q1103,""Sell_"",""""))))/2),ROUNDUP(INDEX(Upgrades!$C$3:$C$13,MATCH(Q1103,Upgrades!$B$3:$B$13,0))*1.15^(COUNTIF(Q$4:Q1102,Q1103)-COUNTIF(Q$4:Q1102,""Sell_""&amp;Q1103))))))"),"")</f>
        <v/>
      </c>
      <c r="V1103" s="10" t="str">
        <f t="shared" si="11"/>
        <v/>
      </c>
      <c r="W1103" s="68" t="str">
        <f t="shared" si="12"/>
        <v/>
      </c>
      <c r="X1103" s="59" t="str">
        <f t="shared" si="13"/>
        <v/>
      </c>
      <c r="Y1103" s="69" t="str">
        <f t="shared" si="14"/>
        <v/>
      </c>
      <c r="Z1103" s="11"/>
    </row>
    <row r="1104">
      <c r="A1104" s="8"/>
      <c r="B1104" s="56" t="str">
        <f t="shared" si="2"/>
        <v/>
      </c>
      <c r="C1104" s="105"/>
      <c r="D1104" s="10"/>
      <c r="E1104" s="59" t="str">
        <f t="array" ref="E1104">IF(COUNTA(C1104:C1673)=0,"",SUM((COUNTIF(C$4:C1104,Upgrades!$B$3:$B$13)-COUNTIF(C$4:C1104,"Sell_"&amp;Upgrades!$B$3:$B$13))*Upgrades!$D$3:$D$13))</f>
        <v/>
      </c>
      <c r="F1104" s="66" t="str">
        <f>IFERROR(__xludf.DUMMYFUNCTION("IF(COUNTA(C1104:C1673)=0,"""",IF(REGEXMATCH(INDEX(FILTER(C$4:C1104,C$4:C1104&lt;&gt;""""),ROWS(FILTER(C$4:C1104,C$4:C1104&lt;&gt;""""))),""^Sell_""),INDEX(FILTER(F$4:F1103,C$4:C1103&lt;&gt;""""),ROWS(FILTER(C$4:C1103,C$4:C1103&lt;&gt;""""))),$AC$5+E1104))"),"")</f>
        <v/>
      </c>
      <c r="G1104" s="10" t="str">
        <f>IFERROR(__xludf.DUMMYFUNCTION("IF(COUNTA(C1104:C1673)=0,"""",IF(C1104="""",0,IF(REGEXMATCH(C1104,""^Sell_""),-ROUNDDOWN(ROUNDUP(INDEX(Upgrades!$C$3:$C$13,MATCH(SUBSTITUTE(C1104,""Sell_"",""""),Upgrades!$B$3:$B$13,0))*1.15^(COUNTIF(C$4:C1103,SUBSTITUTE(C1104,""Sell_"",""""))-COUNTIF(C$4"&amp;":C1103,""Sell_""&amp;SUBSTITUTE(C1104,""Sell_"",""""))))/2),ROUNDUP(INDEX(Upgrades!$C$3:$C$13,MATCH(C1104,Upgrades!$B$3:$B$13,0))*1.15^(COUNTIF(C$4:C1103,C1104)-COUNTIF(C$4:C1103,""Sell_""&amp;C1104))))))"),"")</f>
        <v/>
      </c>
      <c r="H1104" s="10" t="str">
        <f t="shared" si="3"/>
        <v/>
      </c>
      <c r="I1104" s="68" t="str">
        <f t="shared" si="4"/>
        <v/>
      </c>
      <c r="J1104" s="59" t="str">
        <f t="shared" si="5"/>
        <v/>
      </c>
      <c r="K1104" s="69" t="str">
        <f t="shared" si="6"/>
        <v/>
      </c>
      <c r="L1104" s="60" t="str">
        <f t="shared" si="7"/>
        <v/>
      </c>
      <c r="M1104" s="61" t="str">
        <f>IFERROR(__xludf.DUMMYFUNCTION("IFS(AND(COUNTA(C1104:C1673)=0,COUNTA(Q1104:Q1673)=0),"""",OR(AND(K1104&gt;=1000000000,OR(Y1104&gt;=1000000000,COUNTA(Q1104:Q1673)=0)),OR(Y1104&gt;=1000000000,AND(COUNTA(C1104:C1673)=0,P$3=TRUE))),
ROUNDDOWN((AB$1-AC$1)*MAX(INDEX(T$4:T1673,MATCH(LARGE(FILTER(Y$4:Y1"&amp;"673,Y$4:Y1673&lt;1000000000),1),Y$4:Y1673)),INDEX(F$4:F1673,MATCH(LARGE(FILTER(K$4:K1673,K$4:K1673&lt;1000000000),1),K$4:K1673)))),AND(K1104&lt;1000000000,COUNTA(C1104:C1673)&gt;0,P$3=FALSE),
ROUNDDOWN(INDEX(Y$4:Y1673,MATCH(LARGE(FILTER(W$4:W1673,W$4:W1673&lt;=I1104),1)"&amp;",W$4:W1673))+(I1104-LARGE(FILTER(W$4:W1673,W$4:W1673&lt;=I1104),1))*INDEX(T$4:T1673,MATCH(LARGE(FILTER(W$4:W1673,W$4:W1673&lt;=I1104),1),W$4:W1673))-K1104),1,
ROUNDDOWN(Y1104-INDEX(K$4:K1673,MATCH(LARGE(FILTER(I$4:I1673,I$4:I1673&lt;=W1104),1),I$4:I1673))-(W1104-L"&amp;"ARGE(FILTER(I$4:I1673,I$4:I1673&lt;=W1104),1))*INDEX(F$4:F1673,MATCH(LARGE(FILTER(I$4:I1673,I$4:I1673&lt;=W1104),1),I$4:I1673))))"),"")</f>
        <v/>
      </c>
      <c r="N1104" s="60" t="str">
        <f t="shared" si="8"/>
        <v/>
      </c>
      <c r="O1104" s="61" t="str">
        <f t="shared" si="9"/>
        <v/>
      </c>
      <c r="P1104" s="56" t="str">
        <f t="shared" si="10"/>
        <v/>
      </c>
      <c r="R1104" s="10"/>
      <c r="S1104" s="59" t="str">
        <f t="array" ref="S1104">IF(COUNTA(Q1104:Q1673)=0,"",SUM((COUNTIF(Q$4:Q1104,Upgrades!$B$3:$B$13)-COUNTIF(Q$4:Q1104,"Sell_"&amp;Upgrades!$B$3:$B$13))*Upgrades!$D$3:$D$13))</f>
        <v/>
      </c>
      <c r="T1104" s="66" t="str">
        <f>IFERROR(__xludf.DUMMYFUNCTION("IF(COUNTA(Q1104:Q1673)=0,"""",IF(REGEXMATCH(INDEX(FILTER(Q$4:Q1104,Q$4:Q1104&lt;&gt;""""),ROWS(FILTER(Q$4:Q1104,Q$4:Q1104&lt;&gt;""""))),""^Sell_""),INDEX(FILTER(T$4:T1103,Q$4:Q1103&lt;&gt;""""),ROWS(FILTER(Q$4:Q1103,Q$4:Q1103&lt;&gt;""""))),$AD$5+S1104))"),"")</f>
        <v/>
      </c>
      <c r="U1104" s="10" t="str">
        <f>IFERROR(__xludf.DUMMYFUNCTION("IF(COUNTA(Q1104:Q1673)=0,"""",IF(Q1104="""",0,IF(REGEXMATCH(Q1104,""^Sell_""),-ROUNDDOWN(ROUNDUP(INDEX(Upgrades!$C$3:$C$13,MATCH(SUBSTITUTE(Q1104,""Sell_"",""""),Upgrades!$B$3:$B$13,0))*1.15^(COUNTIF(Q$4:Q1103,SUBSTITUTE(Q1104,""Sell_"",""""))-COUNTIF(Q$4"&amp;":Q1103,""Sell_""&amp;SUBSTITUTE(Q1104,""Sell_"",""""))))/2),ROUNDUP(INDEX(Upgrades!$C$3:$C$13,MATCH(Q1104,Upgrades!$B$3:$B$13,0))*1.15^(COUNTIF(Q$4:Q1103,Q1104)-COUNTIF(Q$4:Q1103,""Sell_""&amp;Q1104))))))"),"")</f>
        <v/>
      </c>
      <c r="V1104" s="10" t="str">
        <f t="shared" si="11"/>
        <v/>
      </c>
      <c r="W1104" s="68" t="str">
        <f t="shared" si="12"/>
        <v/>
      </c>
      <c r="X1104" s="59" t="str">
        <f t="shared" si="13"/>
        <v/>
      </c>
      <c r="Y1104" s="69" t="str">
        <f t="shared" si="14"/>
        <v/>
      </c>
      <c r="Z1104" s="11"/>
    </row>
    <row r="1105">
      <c r="A1105" s="8"/>
      <c r="B1105" s="56" t="str">
        <f t="shared" si="2"/>
        <v/>
      </c>
      <c r="C1105" s="105"/>
      <c r="D1105" s="10"/>
      <c r="E1105" s="59" t="str">
        <f t="array" ref="E1105">IF(COUNTA(C1105:C1673)=0,"",SUM((COUNTIF(C$4:C1105,Upgrades!$B$3:$B$13)-COUNTIF(C$4:C1105,"Sell_"&amp;Upgrades!$B$3:$B$13))*Upgrades!$D$3:$D$13))</f>
        <v/>
      </c>
      <c r="F1105" s="66" t="str">
        <f>IFERROR(__xludf.DUMMYFUNCTION("IF(COUNTA(C1105:C1673)=0,"""",IF(REGEXMATCH(INDEX(FILTER(C$4:C1105,C$4:C1105&lt;&gt;""""),ROWS(FILTER(C$4:C1105,C$4:C1105&lt;&gt;""""))),""^Sell_""),INDEX(FILTER(F$4:F1104,C$4:C1104&lt;&gt;""""),ROWS(FILTER(C$4:C1104,C$4:C1104&lt;&gt;""""))),$AC$5+E1105))"),"")</f>
        <v/>
      </c>
      <c r="G1105" s="10" t="str">
        <f>IFERROR(__xludf.DUMMYFUNCTION("IF(COUNTA(C1105:C1673)=0,"""",IF(C1105="""",0,IF(REGEXMATCH(C1105,""^Sell_""),-ROUNDDOWN(ROUNDUP(INDEX(Upgrades!$C$3:$C$13,MATCH(SUBSTITUTE(C1105,""Sell_"",""""),Upgrades!$B$3:$B$13,0))*1.15^(COUNTIF(C$4:C1104,SUBSTITUTE(C1105,""Sell_"",""""))-COUNTIF(C$4"&amp;":C1104,""Sell_""&amp;SUBSTITUTE(C1105,""Sell_"",""""))))/2),ROUNDUP(INDEX(Upgrades!$C$3:$C$13,MATCH(C1105,Upgrades!$B$3:$B$13,0))*1.15^(COUNTIF(C$4:C1104,C1105)-COUNTIF(C$4:C1104,""Sell_""&amp;C1105))))))"),"")</f>
        <v/>
      </c>
      <c r="H1105" s="10" t="str">
        <f t="shared" si="3"/>
        <v/>
      </c>
      <c r="I1105" s="68" t="str">
        <f t="shared" si="4"/>
        <v/>
      </c>
      <c r="J1105" s="59" t="str">
        <f t="shared" si="5"/>
        <v/>
      </c>
      <c r="K1105" s="69" t="str">
        <f t="shared" si="6"/>
        <v/>
      </c>
      <c r="L1105" s="60" t="str">
        <f t="shared" si="7"/>
        <v/>
      </c>
      <c r="M1105" s="61" t="str">
        <f>IFERROR(__xludf.DUMMYFUNCTION("IFS(AND(COUNTA(C1105:C1673)=0,COUNTA(Q1105:Q1673)=0),"""",OR(AND(K1105&gt;=1000000000,OR(Y1105&gt;=1000000000,COUNTA(Q1105:Q1673)=0)),OR(Y1105&gt;=1000000000,AND(COUNTA(C1105:C1673)=0,P$3=TRUE))),
ROUNDDOWN((AB$1-AC$1)*MAX(INDEX(T$4:T1673,MATCH(LARGE(FILTER(Y$4:Y1"&amp;"673,Y$4:Y1673&lt;1000000000),1),Y$4:Y1673)),INDEX(F$4:F1673,MATCH(LARGE(FILTER(K$4:K1673,K$4:K1673&lt;1000000000),1),K$4:K1673)))),AND(K1105&lt;1000000000,COUNTA(C1105:C1673)&gt;0,P$3=FALSE),
ROUNDDOWN(INDEX(Y$4:Y1673,MATCH(LARGE(FILTER(W$4:W1673,W$4:W1673&lt;=I1105),1)"&amp;",W$4:W1673))+(I1105-LARGE(FILTER(W$4:W1673,W$4:W1673&lt;=I1105),1))*INDEX(T$4:T1673,MATCH(LARGE(FILTER(W$4:W1673,W$4:W1673&lt;=I1105),1),W$4:W1673))-K1105),1,
ROUNDDOWN(Y1105-INDEX(K$4:K1673,MATCH(LARGE(FILTER(I$4:I1673,I$4:I1673&lt;=W1105),1),I$4:I1673))-(W1105-L"&amp;"ARGE(FILTER(I$4:I1673,I$4:I1673&lt;=W1105),1))*INDEX(F$4:F1673,MATCH(LARGE(FILTER(I$4:I1673,I$4:I1673&lt;=W1105),1),I$4:I1673))))"),"")</f>
        <v/>
      </c>
      <c r="N1105" s="60" t="str">
        <f t="shared" si="8"/>
        <v/>
      </c>
      <c r="O1105" s="61" t="str">
        <f t="shared" si="9"/>
        <v/>
      </c>
      <c r="P1105" s="56" t="str">
        <f t="shared" si="10"/>
        <v/>
      </c>
      <c r="R1105" s="10"/>
      <c r="S1105" s="59" t="str">
        <f t="array" ref="S1105">IF(COUNTA(Q1105:Q1673)=0,"",SUM((COUNTIF(Q$4:Q1105,Upgrades!$B$3:$B$13)-COUNTIF(Q$4:Q1105,"Sell_"&amp;Upgrades!$B$3:$B$13))*Upgrades!$D$3:$D$13))</f>
        <v/>
      </c>
      <c r="T1105" s="66" t="str">
        <f>IFERROR(__xludf.DUMMYFUNCTION("IF(COUNTA(Q1105:Q1673)=0,"""",IF(REGEXMATCH(INDEX(FILTER(Q$4:Q1105,Q$4:Q1105&lt;&gt;""""),ROWS(FILTER(Q$4:Q1105,Q$4:Q1105&lt;&gt;""""))),""^Sell_""),INDEX(FILTER(T$4:T1104,Q$4:Q1104&lt;&gt;""""),ROWS(FILTER(Q$4:Q1104,Q$4:Q1104&lt;&gt;""""))),$AD$5+S1105))"),"")</f>
        <v/>
      </c>
      <c r="U1105" s="10" t="str">
        <f>IFERROR(__xludf.DUMMYFUNCTION("IF(COUNTA(Q1105:Q1673)=0,"""",IF(Q1105="""",0,IF(REGEXMATCH(Q1105,""^Sell_""),-ROUNDDOWN(ROUNDUP(INDEX(Upgrades!$C$3:$C$13,MATCH(SUBSTITUTE(Q1105,""Sell_"",""""),Upgrades!$B$3:$B$13,0))*1.15^(COUNTIF(Q$4:Q1104,SUBSTITUTE(Q1105,""Sell_"",""""))-COUNTIF(Q$4"&amp;":Q1104,""Sell_""&amp;SUBSTITUTE(Q1105,""Sell_"",""""))))/2),ROUNDUP(INDEX(Upgrades!$C$3:$C$13,MATCH(Q1105,Upgrades!$B$3:$B$13,0))*1.15^(COUNTIF(Q$4:Q1104,Q1105)-COUNTIF(Q$4:Q1104,""Sell_""&amp;Q1105))))))"),"")</f>
        <v/>
      </c>
      <c r="V1105" s="10" t="str">
        <f t="shared" si="11"/>
        <v/>
      </c>
      <c r="W1105" s="68" t="str">
        <f t="shared" si="12"/>
        <v/>
      </c>
      <c r="X1105" s="59" t="str">
        <f t="shared" si="13"/>
        <v/>
      </c>
      <c r="Y1105" s="69" t="str">
        <f t="shared" si="14"/>
        <v/>
      </c>
      <c r="Z1105" s="11"/>
    </row>
    <row r="1106">
      <c r="A1106" s="8"/>
      <c r="B1106" s="56" t="str">
        <f t="shared" si="2"/>
        <v/>
      </c>
      <c r="C1106" s="105"/>
      <c r="D1106" s="10"/>
      <c r="E1106" s="59" t="str">
        <f t="array" ref="E1106">IF(COUNTA(C1106:C1673)=0,"",SUM((COUNTIF(C$4:C1106,Upgrades!$B$3:$B$13)-COUNTIF(C$4:C1106,"Sell_"&amp;Upgrades!$B$3:$B$13))*Upgrades!$D$3:$D$13))</f>
        <v/>
      </c>
      <c r="F1106" s="66" t="str">
        <f>IFERROR(__xludf.DUMMYFUNCTION("IF(COUNTA(C1106:C1673)=0,"""",IF(REGEXMATCH(INDEX(FILTER(C$4:C1106,C$4:C1106&lt;&gt;""""),ROWS(FILTER(C$4:C1106,C$4:C1106&lt;&gt;""""))),""^Sell_""),INDEX(FILTER(F$4:F1105,C$4:C1105&lt;&gt;""""),ROWS(FILTER(C$4:C1105,C$4:C1105&lt;&gt;""""))),$AC$5+E1106))"),"")</f>
        <v/>
      </c>
      <c r="G1106" s="10" t="str">
        <f>IFERROR(__xludf.DUMMYFUNCTION("IF(COUNTA(C1106:C1673)=0,"""",IF(C1106="""",0,IF(REGEXMATCH(C1106,""^Sell_""),-ROUNDDOWN(ROUNDUP(INDEX(Upgrades!$C$3:$C$13,MATCH(SUBSTITUTE(C1106,""Sell_"",""""),Upgrades!$B$3:$B$13,0))*1.15^(COUNTIF(C$4:C1105,SUBSTITUTE(C1106,""Sell_"",""""))-COUNTIF(C$4"&amp;":C1105,""Sell_""&amp;SUBSTITUTE(C1106,""Sell_"",""""))))/2),ROUNDUP(INDEX(Upgrades!$C$3:$C$13,MATCH(C1106,Upgrades!$B$3:$B$13,0))*1.15^(COUNTIF(C$4:C1105,C1106)-COUNTIF(C$4:C1105,""Sell_""&amp;C1106))))))"),"")</f>
        <v/>
      </c>
      <c r="H1106" s="10" t="str">
        <f t="shared" si="3"/>
        <v/>
      </c>
      <c r="I1106" s="68" t="str">
        <f t="shared" si="4"/>
        <v/>
      </c>
      <c r="J1106" s="59" t="str">
        <f t="shared" si="5"/>
        <v/>
      </c>
      <c r="K1106" s="69" t="str">
        <f t="shared" si="6"/>
        <v/>
      </c>
      <c r="L1106" s="60" t="str">
        <f t="shared" si="7"/>
        <v/>
      </c>
      <c r="M1106" s="61" t="str">
        <f>IFERROR(__xludf.DUMMYFUNCTION("IFS(AND(COUNTA(C1106:C1673)=0,COUNTA(Q1106:Q1673)=0),"""",OR(AND(K1106&gt;=1000000000,OR(Y1106&gt;=1000000000,COUNTA(Q1106:Q1673)=0)),OR(Y1106&gt;=1000000000,AND(COUNTA(C1106:C1673)=0,P$3=TRUE))),
ROUNDDOWN((AB$1-AC$1)*MAX(INDEX(T$4:T1673,MATCH(LARGE(FILTER(Y$4:Y1"&amp;"673,Y$4:Y1673&lt;1000000000),1),Y$4:Y1673)),INDEX(F$4:F1673,MATCH(LARGE(FILTER(K$4:K1673,K$4:K1673&lt;1000000000),1),K$4:K1673)))),AND(K1106&lt;1000000000,COUNTA(C1106:C1673)&gt;0,P$3=FALSE),
ROUNDDOWN(INDEX(Y$4:Y1673,MATCH(LARGE(FILTER(W$4:W1673,W$4:W1673&lt;=I1106),1)"&amp;",W$4:W1673))+(I1106-LARGE(FILTER(W$4:W1673,W$4:W1673&lt;=I1106),1))*INDEX(T$4:T1673,MATCH(LARGE(FILTER(W$4:W1673,W$4:W1673&lt;=I1106),1),W$4:W1673))-K1106),1,
ROUNDDOWN(Y1106-INDEX(K$4:K1673,MATCH(LARGE(FILTER(I$4:I1673,I$4:I1673&lt;=W1106),1),I$4:I1673))-(W1106-L"&amp;"ARGE(FILTER(I$4:I1673,I$4:I1673&lt;=W1106),1))*INDEX(F$4:F1673,MATCH(LARGE(FILTER(I$4:I1673,I$4:I1673&lt;=W1106),1),I$4:I1673))))"),"")</f>
        <v/>
      </c>
      <c r="N1106" s="60" t="str">
        <f t="shared" si="8"/>
        <v/>
      </c>
      <c r="O1106" s="61" t="str">
        <f t="shared" si="9"/>
        <v/>
      </c>
      <c r="P1106" s="56" t="str">
        <f t="shared" si="10"/>
        <v/>
      </c>
      <c r="R1106" s="10"/>
      <c r="S1106" s="59" t="str">
        <f t="array" ref="S1106">IF(COUNTA(Q1106:Q1673)=0,"",SUM((COUNTIF(Q$4:Q1106,Upgrades!$B$3:$B$13)-COUNTIF(Q$4:Q1106,"Sell_"&amp;Upgrades!$B$3:$B$13))*Upgrades!$D$3:$D$13))</f>
        <v/>
      </c>
      <c r="T1106" s="66" t="str">
        <f>IFERROR(__xludf.DUMMYFUNCTION("IF(COUNTA(Q1106:Q1673)=0,"""",IF(REGEXMATCH(INDEX(FILTER(Q$4:Q1106,Q$4:Q1106&lt;&gt;""""),ROWS(FILTER(Q$4:Q1106,Q$4:Q1106&lt;&gt;""""))),""^Sell_""),INDEX(FILTER(T$4:T1105,Q$4:Q1105&lt;&gt;""""),ROWS(FILTER(Q$4:Q1105,Q$4:Q1105&lt;&gt;""""))),$AD$5+S1106))"),"")</f>
        <v/>
      </c>
      <c r="U1106" s="10" t="str">
        <f>IFERROR(__xludf.DUMMYFUNCTION("IF(COUNTA(Q1106:Q1673)=0,"""",IF(Q1106="""",0,IF(REGEXMATCH(Q1106,""^Sell_""),-ROUNDDOWN(ROUNDUP(INDEX(Upgrades!$C$3:$C$13,MATCH(SUBSTITUTE(Q1106,""Sell_"",""""),Upgrades!$B$3:$B$13,0))*1.15^(COUNTIF(Q$4:Q1105,SUBSTITUTE(Q1106,""Sell_"",""""))-COUNTIF(Q$4"&amp;":Q1105,""Sell_""&amp;SUBSTITUTE(Q1106,""Sell_"",""""))))/2),ROUNDUP(INDEX(Upgrades!$C$3:$C$13,MATCH(Q1106,Upgrades!$B$3:$B$13,0))*1.15^(COUNTIF(Q$4:Q1105,Q1106)-COUNTIF(Q$4:Q1105,""Sell_""&amp;Q1106))))))"),"")</f>
        <v/>
      </c>
      <c r="V1106" s="10" t="str">
        <f t="shared" si="11"/>
        <v/>
      </c>
      <c r="W1106" s="68" t="str">
        <f t="shared" si="12"/>
        <v/>
      </c>
      <c r="X1106" s="59" t="str">
        <f t="shared" si="13"/>
        <v/>
      </c>
      <c r="Y1106" s="69" t="str">
        <f t="shared" si="14"/>
        <v/>
      </c>
      <c r="Z1106" s="11"/>
    </row>
    <row r="1107">
      <c r="A1107" s="8"/>
      <c r="B1107" s="56" t="str">
        <f t="shared" si="2"/>
        <v/>
      </c>
      <c r="C1107" s="105"/>
      <c r="D1107" s="10"/>
      <c r="E1107" s="59" t="str">
        <f t="array" ref="E1107">IF(COUNTA(C1107:C1673)=0,"",SUM((COUNTIF(C$4:C1107,Upgrades!$B$3:$B$13)-COUNTIF(C$4:C1107,"Sell_"&amp;Upgrades!$B$3:$B$13))*Upgrades!$D$3:$D$13))</f>
        <v/>
      </c>
      <c r="F1107" s="66" t="str">
        <f>IFERROR(__xludf.DUMMYFUNCTION("IF(COUNTA(C1107:C1673)=0,"""",IF(REGEXMATCH(INDEX(FILTER(C$4:C1107,C$4:C1107&lt;&gt;""""),ROWS(FILTER(C$4:C1107,C$4:C1107&lt;&gt;""""))),""^Sell_""),INDEX(FILTER(F$4:F1106,C$4:C1106&lt;&gt;""""),ROWS(FILTER(C$4:C1106,C$4:C1106&lt;&gt;""""))),$AC$5+E1107))"),"")</f>
        <v/>
      </c>
      <c r="G1107" s="10" t="str">
        <f>IFERROR(__xludf.DUMMYFUNCTION("IF(COUNTA(C1107:C1673)=0,"""",IF(C1107="""",0,IF(REGEXMATCH(C1107,""^Sell_""),-ROUNDDOWN(ROUNDUP(INDEX(Upgrades!$C$3:$C$13,MATCH(SUBSTITUTE(C1107,""Sell_"",""""),Upgrades!$B$3:$B$13,0))*1.15^(COUNTIF(C$4:C1106,SUBSTITUTE(C1107,""Sell_"",""""))-COUNTIF(C$4"&amp;":C1106,""Sell_""&amp;SUBSTITUTE(C1107,""Sell_"",""""))))/2),ROUNDUP(INDEX(Upgrades!$C$3:$C$13,MATCH(C1107,Upgrades!$B$3:$B$13,0))*1.15^(COUNTIF(C$4:C1106,C1107)-COUNTIF(C$4:C1106,""Sell_""&amp;C1107))))))"),"")</f>
        <v/>
      </c>
      <c r="H1107" s="10" t="str">
        <f t="shared" si="3"/>
        <v/>
      </c>
      <c r="I1107" s="68" t="str">
        <f t="shared" si="4"/>
        <v/>
      </c>
      <c r="J1107" s="59" t="str">
        <f t="shared" si="5"/>
        <v/>
      </c>
      <c r="K1107" s="69" t="str">
        <f t="shared" si="6"/>
        <v/>
      </c>
      <c r="L1107" s="60" t="str">
        <f t="shared" si="7"/>
        <v/>
      </c>
      <c r="M1107" s="61" t="str">
        <f>IFERROR(__xludf.DUMMYFUNCTION("IFS(AND(COUNTA(C1107:C1673)=0,COUNTA(Q1107:Q1673)=0),"""",OR(AND(K1107&gt;=1000000000,OR(Y1107&gt;=1000000000,COUNTA(Q1107:Q1673)=0)),OR(Y1107&gt;=1000000000,AND(COUNTA(C1107:C1673)=0,P$3=TRUE))),
ROUNDDOWN((AB$1-AC$1)*MAX(INDEX(T$4:T1673,MATCH(LARGE(FILTER(Y$4:Y1"&amp;"673,Y$4:Y1673&lt;1000000000),1),Y$4:Y1673)),INDEX(F$4:F1673,MATCH(LARGE(FILTER(K$4:K1673,K$4:K1673&lt;1000000000),1),K$4:K1673)))),AND(K1107&lt;1000000000,COUNTA(C1107:C1673)&gt;0,P$3=FALSE),
ROUNDDOWN(INDEX(Y$4:Y1673,MATCH(LARGE(FILTER(W$4:W1673,W$4:W1673&lt;=I1107),1)"&amp;",W$4:W1673))+(I1107-LARGE(FILTER(W$4:W1673,W$4:W1673&lt;=I1107),1))*INDEX(T$4:T1673,MATCH(LARGE(FILTER(W$4:W1673,W$4:W1673&lt;=I1107),1),W$4:W1673))-K1107),1,
ROUNDDOWN(Y1107-INDEX(K$4:K1673,MATCH(LARGE(FILTER(I$4:I1673,I$4:I1673&lt;=W1107),1),I$4:I1673))-(W1107-L"&amp;"ARGE(FILTER(I$4:I1673,I$4:I1673&lt;=W1107),1))*INDEX(F$4:F1673,MATCH(LARGE(FILTER(I$4:I1673,I$4:I1673&lt;=W1107),1),I$4:I1673))))"),"")</f>
        <v/>
      </c>
      <c r="N1107" s="60" t="str">
        <f t="shared" si="8"/>
        <v/>
      </c>
      <c r="O1107" s="61" t="str">
        <f t="shared" si="9"/>
        <v/>
      </c>
      <c r="P1107" s="56" t="str">
        <f t="shared" si="10"/>
        <v/>
      </c>
      <c r="R1107" s="10"/>
      <c r="S1107" s="59" t="str">
        <f t="array" ref="S1107">IF(COUNTA(Q1107:Q1673)=0,"",SUM((COUNTIF(Q$4:Q1107,Upgrades!$B$3:$B$13)-COUNTIF(Q$4:Q1107,"Sell_"&amp;Upgrades!$B$3:$B$13))*Upgrades!$D$3:$D$13))</f>
        <v/>
      </c>
      <c r="T1107" s="66" t="str">
        <f>IFERROR(__xludf.DUMMYFUNCTION("IF(COUNTA(Q1107:Q1673)=0,"""",IF(REGEXMATCH(INDEX(FILTER(Q$4:Q1107,Q$4:Q1107&lt;&gt;""""),ROWS(FILTER(Q$4:Q1107,Q$4:Q1107&lt;&gt;""""))),""^Sell_""),INDEX(FILTER(T$4:T1106,Q$4:Q1106&lt;&gt;""""),ROWS(FILTER(Q$4:Q1106,Q$4:Q1106&lt;&gt;""""))),$AD$5+S1107))"),"")</f>
        <v/>
      </c>
      <c r="U1107" s="10" t="str">
        <f>IFERROR(__xludf.DUMMYFUNCTION("IF(COUNTA(Q1107:Q1673)=0,"""",IF(Q1107="""",0,IF(REGEXMATCH(Q1107,""^Sell_""),-ROUNDDOWN(ROUNDUP(INDEX(Upgrades!$C$3:$C$13,MATCH(SUBSTITUTE(Q1107,""Sell_"",""""),Upgrades!$B$3:$B$13,0))*1.15^(COUNTIF(Q$4:Q1106,SUBSTITUTE(Q1107,""Sell_"",""""))-COUNTIF(Q$4"&amp;":Q1106,""Sell_""&amp;SUBSTITUTE(Q1107,""Sell_"",""""))))/2),ROUNDUP(INDEX(Upgrades!$C$3:$C$13,MATCH(Q1107,Upgrades!$B$3:$B$13,0))*1.15^(COUNTIF(Q$4:Q1106,Q1107)-COUNTIF(Q$4:Q1106,""Sell_""&amp;Q1107))))))"),"")</f>
        <v/>
      </c>
      <c r="V1107" s="10" t="str">
        <f t="shared" si="11"/>
        <v/>
      </c>
      <c r="W1107" s="68" t="str">
        <f t="shared" si="12"/>
        <v/>
      </c>
      <c r="X1107" s="59" t="str">
        <f t="shared" si="13"/>
        <v/>
      </c>
      <c r="Y1107" s="69" t="str">
        <f t="shared" si="14"/>
        <v/>
      </c>
      <c r="Z1107" s="11"/>
    </row>
    <row r="1108">
      <c r="A1108" s="8"/>
      <c r="B1108" s="56" t="str">
        <f t="shared" si="2"/>
        <v/>
      </c>
      <c r="C1108" s="105"/>
      <c r="D1108" s="10"/>
      <c r="E1108" s="59" t="str">
        <f t="array" ref="E1108">IF(COUNTA(C1108:C1673)=0,"",SUM((COUNTIF(C$4:C1108,Upgrades!$B$3:$B$13)-COUNTIF(C$4:C1108,"Sell_"&amp;Upgrades!$B$3:$B$13))*Upgrades!$D$3:$D$13))</f>
        <v/>
      </c>
      <c r="F1108" s="66" t="str">
        <f>IFERROR(__xludf.DUMMYFUNCTION("IF(COUNTA(C1108:C1673)=0,"""",IF(REGEXMATCH(INDEX(FILTER(C$4:C1108,C$4:C1108&lt;&gt;""""),ROWS(FILTER(C$4:C1108,C$4:C1108&lt;&gt;""""))),""^Sell_""),INDEX(FILTER(F$4:F1107,C$4:C1107&lt;&gt;""""),ROWS(FILTER(C$4:C1107,C$4:C1107&lt;&gt;""""))),$AC$5+E1108))"),"")</f>
        <v/>
      </c>
      <c r="G1108" s="10" t="str">
        <f>IFERROR(__xludf.DUMMYFUNCTION("IF(COUNTA(C1108:C1673)=0,"""",IF(C1108="""",0,IF(REGEXMATCH(C1108,""^Sell_""),-ROUNDDOWN(ROUNDUP(INDEX(Upgrades!$C$3:$C$13,MATCH(SUBSTITUTE(C1108,""Sell_"",""""),Upgrades!$B$3:$B$13,0))*1.15^(COUNTIF(C$4:C1107,SUBSTITUTE(C1108,""Sell_"",""""))-COUNTIF(C$4"&amp;":C1107,""Sell_""&amp;SUBSTITUTE(C1108,""Sell_"",""""))))/2),ROUNDUP(INDEX(Upgrades!$C$3:$C$13,MATCH(C1108,Upgrades!$B$3:$B$13,0))*1.15^(COUNTIF(C$4:C1107,C1108)-COUNTIF(C$4:C1107,""Sell_""&amp;C1108))))))"),"")</f>
        <v/>
      </c>
      <c r="H1108" s="10" t="str">
        <f t="shared" si="3"/>
        <v/>
      </c>
      <c r="I1108" s="68" t="str">
        <f t="shared" si="4"/>
        <v/>
      </c>
      <c r="J1108" s="59" t="str">
        <f t="shared" si="5"/>
        <v/>
      </c>
      <c r="K1108" s="69" t="str">
        <f t="shared" si="6"/>
        <v/>
      </c>
      <c r="L1108" s="60" t="str">
        <f t="shared" si="7"/>
        <v/>
      </c>
      <c r="M1108" s="61" t="str">
        <f>IFERROR(__xludf.DUMMYFUNCTION("IFS(AND(COUNTA(C1108:C1673)=0,COUNTA(Q1108:Q1673)=0),"""",OR(AND(K1108&gt;=1000000000,OR(Y1108&gt;=1000000000,COUNTA(Q1108:Q1673)=0)),OR(Y1108&gt;=1000000000,AND(COUNTA(C1108:C1673)=0,P$3=TRUE))),
ROUNDDOWN((AB$1-AC$1)*MAX(INDEX(T$4:T1673,MATCH(LARGE(FILTER(Y$4:Y1"&amp;"673,Y$4:Y1673&lt;1000000000),1),Y$4:Y1673)),INDEX(F$4:F1673,MATCH(LARGE(FILTER(K$4:K1673,K$4:K1673&lt;1000000000),1),K$4:K1673)))),AND(K1108&lt;1000000000,COUNTA(C1108:C1673)&gt;0,P$3=FALSE),
ROUNDDOWN(INDEX(Y$4:Y1673,MATCH(LARGE(FILTER(W$4:W1673,W$4:W1673&lt;=I1108),1)"&amp;",W$4:W1673))+(I1108-LARGE(FILTER(W$4:W1673,W$4:W1673&lt;=I1108),1))*INDEX(T$4:T1673,MATCH(LARGE(FILTER(W$4:W1673,W$4:W1673&lt;=I1108),1),W$4:W1673))-K1108),1,
ROUNDDOWN(Y1108-INDEX(K$4:K1673,MATCH(LARGE(FILTER(I$4:I1673,I$4:I1673&lt;=W1108),1),I$4:I1673))-(W1108-L"&amp;"ARGE(FILTER(I$4:I1673,I$4:I1673&lt;=W1108),1))*INDEX(F$4:F1673,MATCH(LARGE(FILTER(I$4:I1673,I$4:I1673&lt;=W1108),1),I$4:I1673))))"),"")</f>
        <v/>
      </c>
      <c r="N1108" s="60" t="str">
        <f t="shared" si="8"/>
        <v/>
      </c>
      <c r="O1108" s="61" t="str">
        <f t="shared" si="9"/>
        <v/>
      </c>
      <c r="P1108" s="56" t="str">
        <f t="shared" si="10"/>
        <v/>
      </c>
      <c r="R1108" s="10"/>
      <c r="S1108" s="59" t="str">
        <f t="array" ref="S1108">IF(COUNTA(Q1108:Q1673)=0,"",SUM((COUNTIF(Q$4:Q1108,Upgrades!$B$3:$B$13)-COUNTIF(Q$4:Q1108,"Sell_"&amp;Upgrades!$B$3:$B$13))*Upgrades!$D$3:$D$13))</f>
        <v/>
      </c>
      <c r="T1108" s="66" t="str">
        <f>IFERROR(__xludf.DUMMYFUNCTION("IF(COUNTA(Q1108:Q1673)=0,"""",IF(REGEXMATCH(INDEX(FILTER(Q$4:Q1108,Q$4:Q1108&lt;&gt;""""),ROWS(FILTER(Q$4:Q1108,Q$4:Q1108&lt;&gt;""""))),""^Sell_""),INDEX(FILTER(T$4:T1107,Q$4:Q1107&lt;&gt;""""),ROWS(FILTER(Q$4:Q1107,Q$4:Q1107&lt;&gt;""""))),$AD$5+S1108))"),"")</f>
        <v/>
      </c>
      <c r="U1108" s="10" t="str">
        <f>IFERROR(__xludf.DUMMYFUNCTION("IF(COUNTA(Q1108:Q1673)=0,"""",IF(Q1108="""",0,IF(REGEXMATCH(Q1108,""^Sell_""),-ROUNDDOWN(ROUNDUP(INDEX(Upgrades!$C$3:$C$13,MATCH(SUBSTITUTE(Q1108,""Sell_"",""""),Upgrades!$B$3:$B$13,0))*1.15^(COUNTIF(Q$4:Q1107,SUBSTITUTE(Q1108,""Sell_"",""""))-COUNTIF(Q$4"&amp;":Q1107,""Sell_""&amp;SUBSTITUTE(Q1108,""Sell_"",""""))))/2),ROUNDUP(INDEX(Upgrades!$C$3:$C$13,MATCH(Q1108,Upgrades!$B$3:$B$13,0))*1.15^(COUNTIF(Q$4:Q1107,Q1108)-COUNTIF(Q$4:Q1107,""Sell_""&amp;Q1108))))))"),"")</f>
        <v/>
      </c>
      <c r="V1108" s="10" t="str">
        <f t="shared" si="11"/>
        <v/>
      </c>
      <c r="W1108" s="68" t="str">
        <f t="shared" si="12"/>
        <v/>
      </c>
      <c r="X1108" s="59" t="str">
        <f t="shared" si="13"/>
        <v/>
      </c>
      <c r="Y1108" s="69" t="str">
        <f t="shared" si="14"/>
        <v/>
      </c>
      <c r="Z1108" s="11"/>
    </row>
    <row r="1109">
      <c r="A1109" s="8"/>
      <c r="B1109" s="56" t="str">
        <f t="shared" si="2"/>
        <v/>
      </c>
      <c r="C1109" s="105"/>
      <c r="D1109" s="10"/>
      <c r="E1109" s="59" t="str">
        <f t="array" ref="E1109">IF(COUNTA(C1109:C1673)=0,"",SUM((COUNTIF(C$4:C1109,Upgrades!$B$3:$B$13)-COUNTIF(C$4:C1109,"Sell_"&amp;Upgrades!$B$3:$B$13))*Upgrades!$D$3:$D$13))</f>
        <v/>
      </c>
      <c r="F1109" s="66" t="str">
        <f>IFERROR(__xludf.DUMMYFUNCTION("IF(COUNTA(C1109:C1673)=0,"""",IF(REGEXMATCH(INDEX(FILTER(C$4:C1109,C$4:C1109&lt;&gt;""""),ROWS(FILTER(C$4:C1109,C$4:C1109&lt;&gt;""""))),""^Sell_""),INDEX(FILTER(F$4:F1108,C$4:C1108&lt;&gt;""""),ROWS(FILTER(C$4:C1108,C$4:C1108&lt;&gt;""""))),$AC$5+E1109))"),"")</f>
        <v/>
      </c>
      <c r="G1109" s="10" t="str">
        <f>IFERROR(__xludf.DUMMYFUNCTION("IF(COUNTA(C1109:C1673)=0,"""",IF(C1109="""",0,IF(REGEXMATCH(C1109,""^Sell_""),-ROUNDDOWN(ROUNDUP(INDEX(Upgrades!$C$3:$C$13,MATCH(SUBSTITUTE(C1109,""Sell_"",""""),Upgrades!$B$3:$B$13,0))*1.15^(COUNTIF(C$4:C1108,SUBSTITUTE(C1109,""Sell_"",""""))-COUNTIF(C$4"&amp;":C1108,""Sell_""&amp;SUBSTITUTE(C1109,""Sell_"",""""))))/2),ROUNDUP(INDEX(Upgrades!$C$3:$C$13,MATCH(C1109,Upgrades!$B$3:$B$13,0))*1.15^(COUNTIF(C$4:C1108,C1109)-COUNTIF(C$4:C1108,""Sell_""&amp;C1109))))))"),"")</f>
        <v/>
      </c>
      <c r="H1109" s="10" t="str">
        <f t="shared" si="3"/>
        <v/>
      </c>
      <c r="I1109" s="68" t="str">
        <f t="shared" si="4"/>
        <v/>
      </c>
      <c r="J1109" s="59" t="str">
        <f t="shared" si="5"/>
        <v/>
      </c>
      <c r="K1109" s="69" t="str">
        <f t="shared" si="6"/>
        <v/>
      </c>
      <c r="L1109" s="60" t="str">
        <f t="shared" si="7"/>
        <v/>
      </c>
      <c r="M1109" s="61" t="str">
        <f>IFERROR(__xludf.DUMMYFUNCTION("IFS(AND(COUNTA(C1109:C1673)=0,COUNTA(Q1109:Q1673)=0),"""",OR(AND(K1109&gt;=1000000000,OR(Y1109&gt;=1000000000,COUNTA(Q1109:Q1673)=0)),OR(Y1109&gt;=1000000000,AND(COUNTA(C1109:C1673)=0,P$3=TRUE))),
ROUNDDOWN((AB$1-AC$1)*MAX(INDEX(T$4:T1673,MATCH(LARGE(FILTER(Y$4:Y1"&amp;"673,Y$4:Y1673&lt;1000000000),1),Y$4:Y1673)),INDEX(F$4:F1673,MATCH(LARGE(FILTER(K$4:K1673,K$4:K1673&lt;1000000000),1),K$4:K1673)))),AND(K1109&lt;1000000000,COUNTA(C1109:C1673)&gt;0,P$3=FALSE),
ROUNDDOWN(INDEX(Y$4:Y1673,MATCH(LARGE(FILTER(W$4:W1673,W$4:W1673&lt;=I1109),1)"&amp;",W$4:W1673))+(I1109-LARGE(FILTER(W$4:W1673,W$4:W1673&lt;=I1109),1))*INDEX(T$4:T1673,MATCH(LARGE(FILTER(W$4:W1673,W$4:W1673&lt;=I1109),1),W$4:W1673))-K1109),1,
ROUNDDOWN(Y1109-INDEX(K$4:K1673,MATCH(LARGE(FILTER(I$4:I1673,I$4:I1673&lt;=W1109),1),I$4:I1673))-(W1109-L"&amp;"ARGE(FILTER(I$4:I1673,I$4:I1673&lt;=W1109),1))*INDEX(F$4:F1673,MATCH(LARGE(FILTER(I$4:I1673,I$4:I1673&lt;=W1109),1),I$4:I1673))))"),"")</f>
        <v/>
      </c>
      <c r="N1109" s="60" t="str">
        <f t="shared" si="8"/>
        <v/>
      </c>
      <c r="O1109" s="61" t="str">
        <f t="shared" si="9"/>
        <v/>
      </c>
      <c r="P1109" s="56" t="str">
        <f t="shared" si="10"/>
        <v/>
      </c>
      <c r="R1109" s="10"/>
      <c r="S1109" s="59" t="str">
        <f t="array" ref="S1109">IF(COUNTA(Q1109:Q1673)=0,"",SUM((COUNTIF(Q$4:Q1109,Upgrades!$B$3:$B$13)-COUNTIF(Q$4:Q1109,"Sell_"&amp;Upgrades!$B$3:$B$13))*Upgrades!$D$3:$D$13))</f>
        <v/>
      </c>
      <c r="T1109" s="66" t="str">
        <f>IFERROR(__xludf.DUMMYFUNCTION("IF(COUNTA(Q1109:Q1673)=0,"""",IF(REGEXMATCH(INDEX(FILTER(Q$4:Q1109,Q$4:Q1109&lt;&gt;""""),ROWS(FILTER(Q$4:Q1109,Q$4:Q1109&lt;&gt;""""))),""^Sell_""),INDEX(FILTER(T$4:T1108,Q$4:Q1108&lt;&gt;""""),ROWS(FILTER(Q$4:Q1108,Q$4:Q1108&lt;&gt;""""))),$AD$5+S1109))"),"")</f>
        <v/>
      </c>
      <c r="U1109" s="10" t="str">
        <f>IFERROR(__xludf.DUMMYFUNCTION("IF(COUNTA(Q1109:Q1673)=0,"""",IF(Q1109="""",0,IF(REGEXMATCH(Q1109,""^Sell_""),-ROUNDDOWN(ROUNDUP(INDEX(Upgrades!$C$3:$C$13,MATCH(SUBSTITUTE(Q1109,""Sell_"",""""),Upgrades!$B$3:$B$13,0))*1.15^(COUNTIF(Q$4:Q1108,SUBSTITUTE(Q1109,""Sell_"",""""))-COUNTIF(Q$4"&amp;":Q1108,""Sell_""&amp;SUBSTITUTE(Q1109,""Sell_"",""""))))/2),ROUNDUP(INDEX(Upgrades!$C$3:$C$13,MATCH(Q1109,Upgrades!$B$3:$B$13,0))*1.15^(COUNTIF(Q$4:Q1108,Q1109)-COUNTIF(Q$4:Q1108,""Sell_""&amp;Q1109))))))"),"")</f>
        <v/>
      </c>
      <c r="V1109" s="10" t="str">
        <f t="shared" si="11"/>
        <v/>
      </c>
      <c r="W1109" s="68" t="str">
        <f t="shared" si="12"/>
        <v/>
      </c>
      <c r="X1109" s="59" t="str">
        <f t="shared" si="13"/>
        <v/>
      </c>
      <c r="Y1109" s="69" t="str">
        <f t="shared" si="14"/>
        <v/>
      </c>
      <c r="Z1109" s="11"/>
    </row>
    <row r="1110">
      <c r="A1110" s="8"/>
      <c r="B1110" s="56" t="str">
        <f t="shared" si="2"/>
        <v/>
      </c>
      <c r="C1110" s="105"/>
      <c r="D1110" s="10"/>
      <c r="E1110" s="59" t="str">
        <f t="array" ref="E1110">IF(COUNTA(C1110:C1673)=0,"",SUM((COUNTIF(C$4:C1110,Upgrades!$B$3:$B$13)-COUNTIF(C$4:C1110,"Sell_"&amp;Upgrades!$B$3:$B$13))*Upgrades!$D$3:$D$13))</f>
        <v/>
      </c>
      <c r="F1110" s="66" t="str">
        <f>IFERROR(__xludf.DUMMYFUNCTION("IF(COUNTA(C1110:C1673)=0,"""",IF(REGEXMATCH(INDEX(FILTER(C$4:C1110,C$4:C1110&lt;&gt;""""),ROWS(FILTER(C$4:C1110,C$4:C1110&lt;&gt;""""))),""^Sell_""),INDEX(FILTER(F$4:F1109,C$4:C1109&lt;&gt;""""),ROWS(FILTER(C$4:C1109,C$4:C1109&lt;&gt;""""))),$AC$5+E1110))"),"")</f>
        <v/>
      </c>
      <c r="G1110" s="10" t="str">
        <f>IFERROR(__xludf.DUMMYFUNCTION("IF(COUNTA(C1110:C1673)=0,"""",IF(C1110="""",0,IF(REGEXMATCH(C1110,""^Sell_""),-ROUNDDOWN(ROUNDUP(INDEX(Upgrades!$C$3:$C$13,MATCH(SUBSTITUTE(C1110,""Sell_"",""""),Upgrades!$B$3:$B$13,0))*1.15^(COUNTIF(C$4:C1109,SUBSTITUTE(C1110,""Sell_"",""""))-COUNTIF(C$4"&amp;":C1109,""Sell_""&amp;SUBSTITUTE(C1110,""Sell_"",""""))))/2),ROUNDUP(INDEX(Upgrades!$C$3:$C$13,MATCH(C1110,Upgrades!$B$3:$B$13,0))*1.15^(COUNTIF(C$4:C1109,C1110)-COUNTIF(C$4:C1109,""Sell_""&amp;C1110))))))"),"")</f>
        <v/>
      </c>
      <c r="H1110" s="10" t="str">
        <f t="shared" si="3"/>
        <v/>
      </c>
      <c r="I1110" s="68" t="str">
        <f t="shared" si="4"/>
        <v/>
      </c>
      <c r="J1110" s="59" t="str">
        <f t="shared" si="5"/>
        <v/>
      </c>
      <c r="K1110" s="69" t="str">
        <f t="shared" si="6"/>
        <v/>
      </c>
      <c r="L1110" s="60" t="str">
        <f t="shared" si="7"/>
        <v/>
      </c>
      <c r="M1110" s="61" t="str">
        <f>IFERROR(__xludf.DUMMYFUNCTION("IFS(AND(COUNTA(C1110:C1673)=0,COUNTA(Q1110:Q1673)=0),"""",OR(AND(K1110&gt;=1000000000,OR(Y1110&gt;=1000000000,COUNTA(Q1110:Q1673)=0)),OR(Y1110&gt;=1000000000,AND(COUNTA(C1110:C1673)=0,P$3=TRUE))),
ROUNDDOWN((AB$1-AC$1)*MAX(INDEX(T$4:T1673,MATCH(LARGE(FILTER(Y$4:Y1"&amp;"673,Y$4:Y1673&lt;1000000000),1),Y$4:Y1673)),INDEX(F$4:F1673,MATCH(LARGE(FILTER(K$4:K1673,K$4:K1673&lt;1000000000),1),K$4:K1673)))),AND(K1110&lt;1000000000,COUNTA(C1110:C1673)&gt;0,P$3=FALSE),
ROUNDDOWN(INDEX(Y$4:Y1673,MATCH(LARGE(FILTER(W$4:W1673,W$4:W1673&lt;=I1110),1)"&amp;",W$4:W1673))+(I1110-LARGE(FILTER(W$4:W1673,W$4:W1673&lt;=I1110),1))*INDEX(T$4:T1673,MATCH(LARGE(FILTER(W$4:W1673,W$4:W1673&lt;=I1110),1),W$4:W1673))-K1110),1,
ROUNDDOWN(Y1110-INDEX(K$4:K1673,MATCH(LARGE(FILTER(I$4:I1673,I$4:I1673&lt;=W1110),1),I$4:I1673))-(W1110-L"&amp;"ARGE(FILTER(I$4:I1673,I$4:I1673&lt;=W1110),1))*INDEX(F$4:F1673,MATCH(LARGE(FILTER(I$4:I1673,I$4:I1673&lt;=W1110),1),I$4:I1673))))"),"")</f>
        <v/>
      </c>
      <c r="N1110" s="60" t="str">
        <f t="shared" si="8"/>
        <v/>
      </c>
      <c r="O1110" s="61" t="str">
        <f t="shared" si="9"/>
        <v/>
      </c>
      <c r="P1110" s="56" t="str">
        <f t="shared" si="10"/>
        <v/>
      </c>
      <c r="R1110" s="10"/>
      <c r="S1110" s="59" t="str">
        <f t="array" ref="S1110">IF(COUNTA(Q1110:Q1673)=0,"",SUM((COUNTIF(Q$4:Q1110,Upgrades!$B$3:$B$13)-COUNTIF(Q$4:Q1110,"Sell_"&amp;Upgrades!$B$3:$B$13))*Upgrades!$D$3:$D$13))</f>
        <v/>
      </c>
      <c r="T1110" s="66" t="str">
        <f>IFERROR(__xludf.DUMMYFUNCTION("IF(COUNTA(Q1110:Q1673)=0,"""",IF(REGEXMATCH(INDEX(FILTER(Q$4:Q1110,Q$4:Q1110&lt;&gt;""""),ROWS(FILTER(Q$4:Q1110,Q$4:Q1110&lt;&gt;""""))),""^Sell_""),INDEX(FILTER(T$4:T1109,Q$4:Q1109&lt;&gt;""""),ROWS(FILTER(Q$4:Q1109,Q$4:Q1109&lt;&gt;""""))),$AD$5+S1110))"),"")</f>
        <v/>
      </c>
      <c r="U1110" s="10" t="str">
        <f>IFERROR(__xludf.DUMMYFUNCTION("IF(COUNTA(Q1110:Q1673)=0,"""",IF(Q1110="""",0,IF(REGEXMATCH(Q1110,""^Sell_""),-ROUNDDOWN(ROUNDUP(INDEX(Upgrades!$C$3:$C$13,MATCH(SUBSTITUTE(Q1110,""Sell_"",""""),Upgrades!$B$3:$B$13,0))*1.15^(COUNTIF(Q$4:Q1109,SUBSTITUTE(Q1110,""Sell_"",""""))-COUNTIF(Q$4"&amp;":Q1109,""Sell_""&amp;SUBSTITUTE(Q1110,""Sell_"",""""))))/2),ROUNDUP(INDEX(Upgrades!$C$3:$C$13,MATCH(Q1110,Upgrades!$B$3:$B$13,0))*1.15^(COUNTIF(Q$4:Q1109,Q1110)-COUNTIF(Q$4:Q1109,""Sell_""&amp;Q1110))))))"),"")</f>
        <v/>
      </c>
      <c r="V1110" s="10" t="str">
        <f t="shared" si="11"/>
        <v/>
      </c>
      <c r="W1110" s="68" t="str">
        <f t="shared" si="12"/>
        <v/>
      </c>
      <c r="X1110" s="59" t="str">
        <f t="shared" si="13"/>
        <v/>
      </c>
      <c r="Y1110" s="69" t="str">
        <f t="shared" si="14"/>
        <v/>
      </c>
      <c r="Z1110" s="11"/>
    </row>
    <row r="1111">
      <c r="A1111" s="8"/>
      <c r="B1111" s="56" t="str">
        <f t="shared" si="2"/>
        <v/>
      </c>
      <c r="C1111" s="105"/>
      <c r="D1111" s="10"/>
      <c r="E1111" s="59" t="str">
        <f t="array" ref="E1111">IF(COUNTA(C1111:C1673)=0,"",SUM((COUNTIF(C$4:C1111,Upgrades!$B$3:$B$13)-COUNTIF(C$4:C1111,"Sell_"&amp;Upgrades!$B$3:$B$13))*Upgrades!$D$3:$D$13))</f>
        <v/>
      </c>
      <c r="F1111" s="66" t="str">
        <f>IFERROR(__xludf.DUMMYFUNCTION("IF(COUNTA(C1111:C1673)=0,"""",IF(REGEXMATCH(INDEX(FILTER(C$4:C1111,C$4:C1111&lt;&gt;""""),ROWS(FILTER(C$4:C1111,C$4:C1111&lt;&gt;""""))),""^Sell_""),INDEX(FILTER(F$4:F1110,C$4:C1110&lt;&gt;""""),ROWS(FILTER(C$4:C1110,C$4:C1110&lt;&gt;""""))),$AC$5+E1111))"),"")</f>
        <v/>
      </c>
      <c r="G1111" s="10" t="str">
        <f>IFERROR(__xludf.DUMMYFUNCTION("IF(COUNTA(C1111:C1673)=0,"""",IF(C1111="""",0,IF(REGEXMATCH(C1111,""^Sell_""),-ROUNDDOWN(ROUNDUP(INDEX(Upgrades!$C$3:$C$13,MATCH(SUBSTITUTE(C1111,""Sell_"",""""),Upgrades!$B$3:$B$13,0))*1.15^(COUNTIF(C$4:C1110,SUBSTITUTE(C1111,""Sell_"",""""))-COUNTIF(C$4"&amp;":C1110,""Sell_""&amp;SUBSTITUTE(C1111,""Sell_"",""""))))/2),ROUNDUP(INDEX(Upgrades!$C$3:$C$13,MATCH(C1111,Upgrades!$B$3:$B$13,0))*1.15^(COUNTIF(C$4:C1110,C1111)-COUNTIF(C$4:C1110,""Sell_""&amp;C1111))))))"),"")</f>
        <v/>
      </c>
      <c r="H1111" s="10" t="str">
        <f t="shared" si="3"/>
        <v/>
      </c>
      <c r="I1111" s="68" t="str">
        <f t="shared" si="4"/>
        <v/>
      </c>
      <c r="J1111" s="59" t="str">
        <f t="shared" si="5"/>
        <v/>
      </c>
      <c r="K1111" s="69" t="str">
        <f t="shared" si="6"/>
        <v/>
      </c>
      <c r="L1111" s="60" t="str">
        <f t="shared" si="7"/>
        <v/>
      </c>
      <c r="M1111" s="61" t="str">
        <f>IFERROR(__xludf.DUMMYFUNCTION("IFS(AND(COUNTA(C1111:C1673)=0,COUNTA(Q1111:Q1673)=0),"""",OR(AND(K1111&gt;=1000000000,OR(Y1111&gt;=1000000000,COUNTA(Q1111:Q1673)=0)),OR(Y1111&gt;=1000000000,AND(COUNTA(C1111:C1673)=0,P$3=TRUE))),
ROUNDDOWN((AB$1-AC$1)*MAX(INDEX(T$4:T1673,MATCH(LARGE(FILTER(Y$4:Y1"&amp;"673,Y$4:Y1673&lt;1000000000),1),Y$4:Y1673)),INDEX(F$4:F1673,MATCH(LARGE(FILTER(K$4:K1673,K$4:K1673&lt;1000000000),1),K$4:K1673)))),AND(K1111&lt;1000000000,COUNTA(C1111:C1673)&gt;0,P$3=FALSE),
ROUNDDOWN(INDEX(Y$4:Y1673,MATCH(LARGE(FILTER(W$4:W1673,W$4:W1673&lt;=I1111),1)"&amp;",W$4:W1673))+(I1111-LARGE(FILTER(W$4:W1673,W$4:W1673&lt;=I1111),1))*INDEX(T$4:T1673,MATCH(LARGE(FILTER(W$4:W1673,W$4:W1673&lt;=I1111),1),W$4:W1673))-K1111),1,
ROUNDDOWN(Y1111-INDEX(K$4:K1673,MATCH(LARGE(FILTER(I$4:I1673,I$4:I1673&lt;=W1111),1),I$4:I1673))-(W1111-L"&amp;"ARGE(FILTER(I$4:I1673,I$4:I1673&lt;=W1111),1))*INDEX(F$4:F1673,MATCH(LARGE(FILTER(I$4:I1673,I$4:I1673&lt;=W1111),1),I$4:I1673))))"),"")</f>
        <v/>
      </c>
      <c r="N1111" s="60" t="str">
        <f t="shared" si="8"/>
        <v/>
      </c>
      <c r="O1111" s="61" t="str">
        <f t="shared" si="9"/>
        <v/>
      </c>
      <c r="P1111" s="56" t="str">
        <f t="shared" si="10"/>
        <v/>
      </c>
      <c r="R1111" s="10"/>
      <c r="S1111" s="59" t="str">
        <f t="array" ref="S1111">IF(COUNTA(Q1111:Q1673)=0,"",SUM((COUNTIF(Q$4:Q1111,Upgrades!$B$3:$B$13)-COUNTIF(Q$4:Q1111,"Sell_"&amp;Upgrades!$B$3:$B$13))*Upgrades!$D$3:$D$13))</f>
        <v/>
      </c>
      <c r="T1111" s="66" t="str">
        <f>IFERROR(__xludf.DUMMYFUNCTION("IF(COUNTA(Q1111:Q1673)=0,"""",IF(REGEXMATCH(INDEX(FILTER(Q$4:Q1111,Q$4:Q1111&lt;&gt;""""),ROWS(FILTER(Q$4:Q1111,Q$4:Q1111&lt;&gt;""""))),""^Sell_""),INDEX(FILTER(T$4:T1110,Q$4:Q1110&lt;&gt;""""),ROWS(FILTER(Q$4:Q1110,Q$4:Q1110&lt;&gt;""""))),$AD$5+S1111))"),"")</f>
        <v/>
      </c>
      <c r="U1111" s="10" t="str">
        <f>IFERROR(__xludf.DUMMYFUNCTION("IF(COUNTA(Q1111:Q1673)=0,"""",IF(Q1111="""",0,IF(REGEXMATCH(Q1111,""^Sell_""),-ROUNDDOWN(ROUNDUP(INDEX(Upgrades!$C$3:$C$13,MATCH(SUBSTITUTE(Q1111,""Sell_"",""""),Upgrades!$B$3:$B$13,0))*1.15^(COUNTIF(Q$4:Q1110,SUBSTITUTE(Q1111,""Sell_"",""""))-COUNTIF(Q$4"&amp;":Q1110,""Sell_""&amp;SUBSTITUTE(Q1111,""Sell_"",""""))))/2),ROUNDUP(INDEX(Upgrades!$C$3:$C$13,MATCH(Q1111,Upgrades!$B$3:$B$13,0))*1.15^(COUNTIF(Q$4:Q1110,Q1111)-COUNTIF(Q$4:Q1110,""Sell_""&amp;Q1111))))))"),"")</f>
        <v/>
      </c>
      <c r="V1111" s="10" t="str">
        <f t="shared" si="11"/>
        <v/>
      </c>
      <c r="W1111" s="68" t="str">
        <f t="shared" si="12"/>
        <v/>
      </c>
      <c r="X1111" s="59" t="str">
        <f t="shared" si="13"/>
        <v/>
      </c>
      <c r="Y1111" s="69" t="str">
        <f t="shared" si="14"/>
        <v/>
      </c>
      <c r="Z1111" s="11"/>
    </row>
    <row r="1112">
      <c r="A1112" s="8"/>
      <c r="B1112" s="56" t="str">
        <f t="shared" si="2"/>
        <v/>
      </c>
      <c r="C1112" s="105"/>
      <c r="D1112" s="10"/>
      <c r="E1112" s="59" t="str">
        <f t="array" ref="E1112">IF(COUNTA(C1112:C1673)=0,"",SUM((COUNTIF(C$4:C1112,Upgrades!$B$3:$B$13)-COUNTIF(C$4:C1112,"Sell_"&amp;Upgrades!$B$3:$B$13))*Upgrades!$D$3:$D$13))</f>
        <v/>
      </c>
      <c r="F1112" s="66" t="str">
        <f>IFERROR(__xludf.DUMMYFUNCTION("IF(COUNTA(C1112:C1673)=0,"""",IF(REGEXMATCH(INDEX(FILTER(C$4:C1112,C$4:C1112&lt;&gt;""""),ROWS(FILTER(C$4:C1112,C$4:C1112&lt;&gt;""""))),""^Sell_""),INDEX(FILTER(F$4:F1111,C$4:C1111&lt;&gt;""""),ROWS(FILTER(C$4:C1111,C$4:C1111&lt;&gt;""""))),$AC$5+E1112))"),"")</f>
        <v/>
      </c>
      <c r="G1112" s="10" t="str">
        <f>IFERROR(__xludf.DUMMYFUNCTION("IF(COUNTA(C1112:C1673)=0,"""",IF(C1112="""",0,IF(REGEXMATCH(C1112,""^Sell_""),-ROUNDDOWN(ROUNDUP(INDEX(Upgrades!$C$3:$C$13,MATCH(SUBSTITUTE(C1112,""Sell_"",""""),Upgrades!$B$3:$B$13,0))*1.15^(COUNTIF(C$4:C1111,SUBSTITUTE(C1112,""Sell_"",""""))-COUNTIF(C$4"&amp;":C1111,""Sell_""&amp;SUBSTITUTE(C1112,""Sell_"",""""))))/2),ROUNDUP(INDEX(Upgrades!$C$3:$C$13,MATCH(C1112,Upgrades!$B$3:$B$13,0))*1.15^(COUNTIF(C$4:C1111,C1112)-COUNTIF(C$4:C1111,""Sell_""&amp;C1112))))))"),"")</f>
        <v/>
      </c>
      <c r="H1112" s="10" t="str">
        <f t="shared" si="3"/>
        <v/>
      </c>
      <c r="I1112" s="68" t="str">
        <f t="shared" si="4"/>
        <v/>
      </c>
      <c r="J1112" s="59" t="str">
        <f t="shared" si="5"/>
        <v/>
      </c>
      <c r="K1112" s="69" t="str">
        <f t="shared" si="6"/>
        <v/>
      </c>
      <c r="L1112" s="60" t="str">
        <f t="shared" si="7"/>
        <v/>
      </c>
      <c r="M1112" s="61" t="str">
        <f>IFERROR(__xludf.DUMMYFUNCTION("IFS(AND(COUNTA(C1112:C1673)=0,COUNTA(Q1112:Q1673)=0),"""",OR(AND(K1112&gt;=1000000000,OR(Y1112&gt;=1000000000,COUNTA(Q1112:Q1673)=0)),OR(Y1112&gt;=1000000000,AND(COUNTA(C1112:C1673)=0,P$3=TRUE))),
ROUNDDOWN((AB$1-AC$1)*MAX(INDEX(T$4:T1673,MATCH(LARGE(FILTER(Y$4:Y1"&amp;"673,Y$4:Y1673&lt;1000000000),1),Y$4:Y1673)),INDEX(F$4:F1673,MATCH(LARGE(FILTER(K$4:K1673,K$4:K1673&lt;1000000000),1),K$4:K1673)))),AND(K1112&lt;1000000000,COUNTA(C1112:C1673)&gt;0,P$3=FALSE),
ROUNDDOWN(INDEX(Y$4:Y1673,MATCH(LARGE(FILTER(W$4:W1673,W$4:W1673&lt;=I1112),1)"&amp;",W$4:W1673))+(I1112-LARGE(FILTER(W$4:W1673,W$4:W1673&lt;=I1112),1))*INDEX(T$4:T1673,MATCH(LARGE(FILTER(W$4:W1673,W$4:W1673&lt;=I1112),1),W$4:W1673))-K1112),1,
ROUNDDOWN(Y1112-INDEX(K$4:K1673,MATCH(LARGE(FILTER(I$4:I1673,I$4:I1673&lt;=W1112),1),I$4:I1673))-(W1112-L"&amp;"ARGE(FILTER(I$4:I1673,I$4:I1673&lt;=W1112),1))*INDEX(F$4:F1673,MATCH(LARGE(FILTER(I$4:I1673,I$4:I1673&lt;=W1112),1),I$4:I1673))))"),"")</f>
        <v/>
      </c>
      <c r="N1112" s="60" t="str">
        <f t="shared" si="8"/>
        <v/>
      </c>
      <c r="O1112" s="61" t="str">
        <f t="shared" si="9"/>
        <v/>
      </c>
      <c r="P1112" s="56" t="str">
        <f t="shared" si="10"/>
        <v/>
      </c>
      <c r="R1112" s="10"/>
      <c r="S1112" s="59" t="str">
        <f t="array" ref="S1112">IF(COUNTA(Q1112:Q1673)=0,"",SUM((COUNTIF(Q$4:Q1112,Upgrades!$B$3:$B$13)-COUNTIF(Q$4:Q1112,"Sell_"&amp;Upgrades!$B$3:$B$13))*Upgrades!$D$3:$D$13))</f>
        <v/>
      </c>
      <c r="T1112" s="66" t="str">
        <f>IFERROR(__xludf.DUMMYFUNCTION("IF(COUNTA(Q1112:Q1673)=0,"""",IF(REGEXMATCH(INDEX(FILTER(Q$4:Q1112,Q$4:Q1112&lt;&gt;""""),ROWS(FILTER(Q$4:Q1112,Q$4:Q1112&lt;&gt;""""))),""^Sell_""),INDEX(FILTER(T$4:T1111,Q$4:Q1111&lt;&gt;""""),ROWS(FILTER(Q$4:Q1111,Q$4:Q1111&lt;&gt;""""))),$AD$5+S1112))"),"")</f>
        <v/>
      </c>
      <c r="U1112" s="10" t="str">
        <f>IFERROR(__xludf.DUMMYFUNCTION("IF(COUNTA(Q1112:Q1673)=0,"""",IF(Q1112="""",0,IF(REGEXMATCH(Q1112,""^Sell_""),-ROUNDDOWN(ROUNDUP(INDEX(Upgrades!$C$3:$C$13,MATCH(SUBSTITUTE(Q1112,""Sell_"",""""),Upgrades!$B$3:$B$13,0))*1.15^(COUNTIF(Q$4:Q1111,SUBSTITUTE(Q1112,""Sell_"",""""))-COUNTIF(Q$4"&amp;":Q1111,""Sell_""&amp;SUBSTITUTE(Q1112,""Sell_"",""""))))/2),ROUNDUP(INDEX(Upgrades!$C$3:$C$13,MATCH(Q1112,Upgrades!$B$3:$B$13,0))*1.15^(COUNTIF(Q$4:Q1111,Q1112)-COUNTIF(Q$4:Q1111,""Sell_""&amp;Q1112))))))"),"")</f>
        <v/>
      </c>
      <c r="V1112" s="10" t="str">
        <f t="shared" si="11"/>
        <v/>
      </c>
      <c r="W1112" s="68" t="str">
        <f t="shared" si="12"/>
        <v/>
      </c>
      <c r="X1112" s="59" t="str">
        <f t="shared" si="13"/>
        <v/>
      </c>
      <c r="Y1112" s="69" t="str">
        <f t="shared" si="14"/>
        <v/>
      </c>
      <c r="Z1112" s="11"/>
    </row>
    <row r="1113">
      <c r="A1113" s="8"/>
      <c r="B1113" s="56" t="str">
        <f t="shared" si="2"/>
        <v/>
      </c>
      <c r="C1113" s="105"/>
      <c r="D1113" s="10"/>
      <c r="E1113" s="59" t="str">
        <f t="array" ref="E1113">IF(COUNTA(C1113:C1673)=0,"",SUM((COUNTIF(C$4:C1113,Upgrades!$B$3:$B$13)-COUNTIF(C$4:C1113,"Sell_"&amp;Upgrades!$B$3:$B$13))*Upgrades!$D$3:$D$13))</f>
        <v/>
      </c>
      <c r="F1113" s="66" t="str">
        <f>IFERROR(__xludf.DUMMYFUNCTION("IF(COUNTA(C1113:C1673)=0,"""",IF(REGEXMATCH(INDEX(FILTER(C$4:C1113,C$4:C1113&lt;&gt;""""),ROWS(FILTER(C$4:C1113,C$4:C1113&lt;&gt;""""))),""^Sell_""),INDEX(FILTER(F$4:F1112,C$4:C1112&lt;&gt;""""),ROWS(FILTER(C$4:C1112,C$4:C1112&lt;&gt;""""))),$AC$5+E1113))"),"")</f>
        <v/>
      </c>
      <c r="G1113" s="10" t="str">
        <f>IFERROR(__xludf.DUMMYFUNCTION("IF(COUNTA(C1113:C1673)=0,"""",IF(C1113="""",0,IF(REGEXMATCH(C1113,""^Sell_""),-ROUNDDOWN(ROUNDUP(INDEX(Upgrades!$C$3:$C$13,MATCH(SUBSTITUTE(C1113,""Sell_"",""""),Upgrades!$B$3:$B$13,0))*1.15^(COUNTIF(C$4:C1112,SUBSTITUTE(C1113,""Sell_"",""""))-COUNTIF(C$4"&amp;":C1112,""Sell_""&amp;SUBSTITUTE(C1113,""Sell_"",""""))))/2),ROUNDUP(INDEX(Upgrades!$C$3:$C$13,MATCH(C1113,Upgrades!$B$3:$B$13,0))*1.15^(COUNTIF(C$4:C1112,C1113)-COUNTIF(C$4:C1112,""Sell_""&amp;C1113))))))"),"")</f>
        <v/>
      </c>
      <c r="H1113" s="10" t="str">
        <f t="shared" si="3"/>
        <v/>
      </c>
      <c r="I1113" s="68" t="str">
        <f t="shared" si="4"/>
        <v/>
      </c>
      <c r="J1113" s="59" t="str">
        <f t="shared" si="5"/>
        <v/>
      </c>
      <c r="K1113" s="69" t="str">
        <f t="shared" si="6"/>
        <v/>
      </c>
      <c r="L1113" s="60" t="str">
        <f t="shared" si="7"/>
        <v/>
      </c>
      <c r="M1113" s="61" t="str">
        <f>IFERROR(__xludf.DUMMYFUNCTION("IFS(AND(COUNTA(C1113:C1673)=0,COUNTA(Q1113:Q1673)=0),"""",OR(AND(K1113&gt;=1000000000,OR(Y1113&gt;=1000000000,COUNTA(Q1113:Q1673)=0)),OR(Y1113&gt;=1000000000,AND(COUNTA(C1113:C1673)=0,P$3=TRUE))),
ROUNDDOWN((AB$1-AC$1)*MAX(INDEX(T$4:T1673,MATCH(LARGE(FILTER(Y$4:Y1"&amp;"673,Y$4:Y1673&lt;1000000000),1),Y$4:Y1673)),INDEX(F$4:F1673,MATCH(LARGE(FILTER(K$4:K1673,K$4:K1673&lt;1000000000),1),K$4:K1673)))),AND(K1113&lt;1000000000,COUNTA(C1113:C1673)&gt;0,P$3=FALSE),
ROUNDDOWN(INDEX(Y$4:Y1673,MATCH(LARGE(FILTER(W$4:W1673,W$4:W1673&lt;=I1113),1)"&amp;",W$4:W1673))+(I1113-LARGE(FILTER(W$4:W1673,W$4:W1673&lt;=I1113),1))*INDEX(T$4:T1673,MATCH(LARGE(FILTER(W$4:W1673,W$4:W1673&lt;=I1113),1),W$4:W1673))-K1113),1,
ROUNDDOWN(Y1113-INDEX(K$4:K1673,MATCH(LARGE(FILTER(I$4:I1673,I$4:I1673&lt;=W1113),1),I$4:I1673))-(W1113-L"&amp;"ARGE(FILTER(I$4:I1673,I$4:I1673&lt;=W1113),1))*INDEX(F$4:F1673,MATCH(LARGE(FILTER(I$4:I1673,I$4:I1673&lt;=W1113),1),I$4:I1673))))"),"")</f>
        <v/>
      </c>
      <c r="N1113" s="60" t="str">
        <f t="shared" si="8"/>
        <v/>
      </c>
      <c r="O1113" s="61" t="str">
        <f t="shared" si="9"/>
        <v/>
      </c>
      <c r="P1113" s="56" t="str">
        <f t="shared" si="10"/>
        <v/>
      </c>
      <c r="R1113" s="10"/>
      <c r="S1113" s="59" t="str">
        <f t="array" ref="S1113">IF(COUNTA(Q1113:Q1673)=0,"",SUM((COUNTIF(Q$4:Q1113,Upgrades!$B$3:$B$13)-COUNTIF(Q$4:Q1113,"Sell_"&amp;Upgrades!$B$3:$B$13))*Upgrades!$D$3:$D$13))</f>
        <v/>
      </c>
      <c r="T1113" s="66" t="str">
        <f>IFERROR(__xludf.DUMMYFUNCTION("IF(COUNTA(Q1113:Q1673)=0,"""",IF(REGEXMATCH(INDEX(FILTER(Q$4:Q1113,Q$4:Q1113&lt;&gt;""""),ROWS(FILTER(Q$4:Q1113,Q$4:Q1113&lt;&gt;""""))),""^Sell_""),INDEX(FILTER(T$4:T1112,Q$4:Q1112&lt;&gt;""""),ROWS(FILTER(Q$4:Q1112,Q$4:Q1112&lt;&gt;""""))),$AD$5+S1113))"),"")</f>
        <v/>
      </c>
      <c r="U1113" s="10" t="str">
        <f>IFERROR(__xludf.DUMMYFUNCTION("IF(COUNTA(Q1113:Q1673)=0,"""",IF(Q1113="""",0,IF(REGEXMATCH(Q1113,""^Sell_""),-ROUNDDOWN(ROUNDUP(INDEX(Upgrades!$C$3:$C$13,MATCH(SUBSTITUTE(Q1113,""Sell_"",""""),Upgrades!$B$3:$B$13,0))*1.15^(COUNTIF(Q$4:Q1112,SUBSTITUTE(Q1113,""Sell_"",""""))-COUNTIF(Q$4"&amp;":Q1112,""Sell_""&amp;SUBSTITUTE(Q1113,""Sell_"",""""))))/2),ROUNDUP(INDEX(Upgrades!$C$3:$C$13,MATCH(Q1113,Upgrades!$B$3:$B$13,0))*1.15^(COUNTIF(Q$4:Q1112,Q1113)-COUNTIF(Q$4:Q1112,""Sell_""&amp;Q1113))))))"),"")</f>
        <v/>
      </c>
      <c r="V1113" s="10" t="str">
        <f t="shared" si="11"/>
        <v/>
      </c>
      <c r="W1113" s="68" t="str">
        <f t="shared" si="12"/>
        <v/>
      </c>
      <c r="X1113" s="59" t="str">
        <f t="shared" si="13"/>
        <v/>
      </c>
      <c r="Y1113" s="69" t="str">
        <f t="shared" si="14"/>
        <v/>
      </c>
      <c r="Z1113" s="11"/>
    </row>
    <row r="1114">
      <c r="A1114" s="8"/>
      <c r="B1114" s="56" t="str">
        <f t="shared" si="2"/>
        <v/>
      </c>
      <c r="C1114" s="105"/>
      <c r="D1114" s="10"/>
      <c r="E1114" s="59" t="str">
        <f t="array" ref="E1114">IF(COUNTA(C1114:C1673)=0,"",SUM((COUNTIF(C$4:C1114,Upgrades!$B$3:$B$13)-COUNTIF(C$4:C1114,"Sell_"&amp;Upgrades!$B$3:$B$13))*Upgrades!$D$3:$D$13))</f>
        <v/>
      </c>
      <c r="F1114" s="66" t="str">
        <f>IFERROR(__xludf.DUMMYFUNCTION("IF(COUNTA(C1114:C1673)=0,"""",IF(REGEXMATCH(INDEX(FILTER(C$4:C1114,C$4:C1114&lt;&gt;""""),ROWS(FILTER(C$4:C1114,C$4:C1114&lt;&gt;""""))),""^Sell_""),INDEX(FILTER(F$4:F1113,C$4:C1113&lt;&gt;""""),ROWS(FILTER(C$4:C1113,C$4:C1113&lt;&gt;""""))),$AC$5+E1114))"),"")</f>
        <v/>
      </c>
      <c r="G1114" s="10" t="str">
        <f>IFERROR(__xludf.DUMMYFUNCTION("IF(COUNTA(C1114:C1673)=0,"""",IF(C1114="""",0,IF(REGEXMATCH(C1114,""^Sell_""),-ROUNDDOWN(ROUNDUP(INDEX(Upgrades!$C$3:$C$13,MATCH(SUBSTITUTE(C1114,""Sell_"",""""),Upgrades!$B$3:$B$13,0))*1.15^(COUNTIF(C$4:C1113,SUBSTITUTE(C1114,""Sell_"",""""))-COUNTIF(C$4"&amp;":C1113,""Sell_""&amp;SUBSTITUTE(C1114,""Sell_"",""""))))/2),ROUNDUP(INDEX(Upgrades!$C$3:$C$13,MATCH(C1114,Upgrades!$B$3:$B$13,0))*1.15^(COUNTIF(C$4:C1113,C1114)-COUNTIF(C$4:C1113,""Sell_""&amp;C1114))))))"),"")</f>
        <v/>
      </c>
      <c r="H1114" s="10" t="str">
        <f t="shared" si="3"/>
        <v/>
      </c>
      <c r="I1114" s="68" t="str">
        <f t="shared" si="4"/>
        <v/>
      </c>
      <c r="J1114" s="59" t="str">
        <f t="shared" si="5"/>
        <v/>
      </c>
      <c r="K1114" s="69" t="str">
        <f t="shared" si="6"/>
        <v/>
      </c>
      <c r="L1114" s="60" t="str">
        <f t="shared" si="7"/>
        <v/>
      </c>
      <c r="M1114" s="61" t="str">
        <f>IFERROR(__xludf.DUMMYFUNCTION("IFS(AND(COUNTA(C1114:C1673)=0,COUNTA(Q1114:Q1673)=0),"""",OR(AND(K1114&gt;=1000000000,OR(Y1114&gt;=1000000000,COUNTA(Q1114:Q1673)=0)),OR(Y1114&gt;=1000000000,AND(COUNTA(C1114:C1673)=0,P$3=TRUE))),
ROUNDDOWN((AB$1-AC$1)*MAX(INDEX(T$4:T1673,MATCH(LARGE(FILTER(Y$4:Y1"&amp;"673,Y$4:Y1673&lt;1000000000),1),Y$4:Y1673)),INDEX(F$4:F1673,MATCH(LARGE(FILTER(K$4:K1673,K$4:K1673&lt;1000000000),1),K$4:K1673)))),AND(K1114&lt;1000000000,COUNTA(C1114:C1673)&gt;0,P$3=FALSE),
ROUNDDOWN(INDEX(Y$4:Y1673,MATCH(LARGE(FILTER(W$4:W1673,W$4:W1673&lt;=I1114),1)"&amp;",W$4:W1673))+(I1114-LARGE(FILTER(W$4:W1673,W$4:W1673&lt;=I1114),1))*INDEX(T$4:T1673,MATCH(LARGE(FILTER(W$4:W1673,W$4:W1673&lt;=I1114),1),W$4:W1673))-K1114),1,
ROUNDDOWN(Y1114-INDEX(K$4:K1673,MATCH(LARGE(FILTER(I$4:I1673,I$4:I1673&lt;=W1114),1),I$4:I1673))-(W1114-L"&amp;"ARGE(FILTER(I$4:I1673,I$4:I1673&lt;=W1114),1))*INDEX(F$4:F1673,MATCH(LARGE(FILTER(I$4:I1673,I$4:I1673&lt;=W1114),1),I$4:I1673))))"),"")</f>
        <v/>
      </c>
      <c r="N1114" s="60" t="str">
        <f t="shared" si="8"/>
        <v/>
      </c>
      <c r="O1114" s="61" t="str">
        <f t="shared" si="9"/>
        <v/>
      </c>
      <c r="P1114" s="56" t="str">
        <f t="shared" si="10"/>
        <v/>
      </c>
      <c r="R1114" s="10"/>
      <c r="S1114" s="59" t="str">
        <f t="array" ref="S1114">IF(COUNTA(Q1114:Q1673)=0,"",SUM((COUNTIF(Q$4:Q1114,Upgrades!$B$3:$B$13)-COUNTIF(Q$4:Q1114,"Sell_"&amp;Upgrades!$B$3:$B$13))*Upgrades!$D$3:$D$13))</f>
        <v/>
      </c>
      <c r="T1114" s="66" t="str">
        <f>IFERROR(__xludf.DUMMYFUNCTION("IF(COUNTA(Q1114:Q1673)=0,"""",IF(REGEXMATCH(INDEX(FILTER(Q$4:Q1114,Q$4:Q1114&lt;&gt;""""),ROWS(FILTER(Q$4:Q1114,Q$4:Q1114&lt;&gt;""""))),""^Sell_""),INDEX(FILTER(T$4:T1113,Q$4:Q1113&lt;&gt;""""),ROWS(FILTER(Q$4:Q1113,Q$4:Q1113&lt;&gt;""""))),$AD$5+S1114))"),"")</f>
        <v/>
      </c>
      <c r="U1114" s="10" t="str">
        <f>IFERROR(__xludf.DUMMYFUNCTION("IF(COUNTA(Q1114:Q1673)=0,"""",IF(Q1114="""",0,IF(REGEXMATCH(Q1114,""^Sell_""),-ROUNDDOWN(ROUNDUP(INDEX(Upgrades!$C$3:$C$13,MATCH(SUBSTITUTE(Q1114,""Sell_"",""""),Upgrades!$B$3:$B$13,0))*1.15^(COUNTIF(Q$4:Q1113,SUBSTITUTE(Q1114,""Sell_"",""""))-COUNTIF(Q$4"&amp;":Q1113,""Sell_""&amp;SUBSTITUTE(Q1114,""Sell_"",""""))))/2),ROUNDUP(INDEX(Upgrades!$C$3:$C$13,MATCH(Q1114,Upgrades!$B$3:$B$13,0))*1.15^(COUNTIF(Q$4:Q1113,Q1114)-COUNTIF(Q$4:Q1113,""Sell_""&amp;Q1114))))))"),"")</f>
        <v/>
      </c>
      <c r="V1114" s="10" t="str">
        <f t="shared" si="11"/>
        <v/>
      </c>
      <c r="W1114" s="68" t="str">
        <f t="shared" si="12"/>
        <v/>
      </c>
      <c r="X1114" s="59" t="str">
        <f t="shared" si="13"/>
        <v/>
      </c>
      <c r="Y1114" s="69" t="str">
        <f t="shared" si="14"/>
        <v/>
      </c>
      <c r="Z1114" s="11"/>
    </row>
    <row r="1115">
      <c r="A1115" s="8"/>
      <c r="B1115" s="56" t="str">
        <f t="shared" si="2"/>
        <v/>
      </c>
      <c r="C1115" s="105"/>
      <c r="D1115" s="10"/>
      <c r="E1115" s="59" t="str">
        <f t="array" ref="E1115">IF(COUNTA(C1115:C1673)=0,"",SUM((COUNTIF(C$4:C1115,Upgrades!$B$3:$B$13)-COUNTIF(C$4:C1115,"Sell_"&amp;Upgrades!$B$3:$B$13))*Upgrades!$D$3:$D$13))</f>
        <v/>
      </c>
      <c r="F1115" s="66" t="str">
        <f>IFERROR(__xludf.DUMMYFUNCTION("IF(COUNTA(C1115:C1673)=0,"""",IF(REGEXMATCH(INDEX(FILTER(C$4:C1115,C$4:C1115&lt;&gt;""""),ROWS(FILTER(C$4:C1115,C$4:C1115&lt;&gt;""""))),""^Sell_""),INDEX(FILTER(F$4:F1114,C$4:C1114&lt;&gt;""""),ROWS(FILTER(C$4:C1114,C$4:C1114&lt;&gt;""""))),$AC$5+E1115))"),"")</f>
        <v/>
      </c>
      <c r="G1115" s="10" t="str">
        <f>IFERROR(__xludf.DUMMYFUNCTION("IF(COUNTA(C1115:C1673)=0,"""",IF(C1115="""",0,IF(REGEXMATCH(C1115,""^Sell_""),-ROUNDDOWN(ROUNDUP(INDEX(Upgrades!$C$3:$C$13,MATCH(SUBSTITUTE(C1115,""Sell_"",""""),Upgrades!$B$3:$B$13,0))*1.15^(COUNTIF(C$4:C1114,SUBSTITUTE(C1115,""Sell_"",""""))-COUNTIF(C$4"&amp;":C1114,""Sell_""&amp;SUBSTITUTE(C1115,""Sell_"",""""))))/2),ROUNDUP(INDEX(Upgrades!$C$3:$C$13,MATCH(C1115,Upgrades!$B$3:$B$13,0))*1.15^(COUNTIF(C$4:C1114,C1115)-COUNTIF(C$4:C1114,""Sell_""&amp;C1115))))))"),"")</f>
        <v/>
      </c>
      <c r="H1115" s="10" t="str">
        <f t="shared" si="3"/>
        <v/>
      </c>
      <c r="I1115" s="68" t="str">
        <f t="shared" si="4"/>
        <v/>
      </c>
      <c r="J1115" s="59" t="str">
        <f t="shared" si="5"/>
        <v/>
      </c>
      <c r="K1115" s="69" t="str">
        <f t="shared" si="6"/>
        <v/>
      </c>
      <c r="L1115" s="60" t="str">
        <f t="shared" si="7"/>
        <v/>
      </c>
      <c r="M1115" s="61" t="str">
        <f>IFERROR(__xludf.DUMMYFUNCTION("IFS(AND(COUNTA(C1115:C1673)=0,COUNTA(Q1115:Q1673)=0),"""",OR(AND(K1115&gt;=1000000000,OR(Y1115&gt;=1000000000,COUNTA(Q1115:Q1673)=0)),OR(Y1115&gt;=1000000000,AND(COUNTA(C1115:C1673)=0,P$3=TRUE))),
ROUNDDOWN((AB$1-AC$1)*MAX(INDEX(T$4:T1673,MATCH(LARGE(FILTER(Y$4:Y1"&amp;"673,Y$4:Y1673&lt;1000000000),1),Y$4:Y1673)),INDEX(F$4:F1673,MATCH(LARGE(FILTER(K$4:K1673,K$4:K1673&lt;1000000000),1),K$4:K1673)))),AND(K1115&lt;1000000000,COUNTA(C1115:C1673)&gt;0,P$3=FALSE),
ROUNDDOWN(INDEX(Y$4:Y1673,MATCH(LARGE(FILTER(W$4:W1673,W$4:W1673&lt;=I1115),1)"&amp;",W$4:W1673))+(I1115-LARGE(FILTER(W$4:W1673,W$4:W1673&lt;=I1115),1))*INDEX(T$4:T1673,MATCH(LARGE(FILTER(W$4:W1673,W$4:W1673&lt;=I1115),1),W$4:W1673))-K1115),1,
ROUNDDOWN(Y1115-INDEX(K$4:K1673,MATCH(LARGE(FILTER(I$4:I1673,I$4:I1673&lt;=W1115),1),I$4:I1673))-(W1115-L"&amp;"ARGE(FILTER(I$4:I1673,I$4:I1673&lt;=W1115),1))*INDEX(F$4:F1673,MATCH(LARGE(FILTER(I$4:I1673,I$4:I1673&lt;=W1115),1),I$4:I1673))))"),"")</f>
        <v/>
      </c>
      <c r="N1115" s="60" t="str">
        <f t="shared" si="8"/>
        <v/>
      </c>
      <c r="O1115" s="61" t="str">
        <f t="shared" si="9"/>
        <v/>
      </c>
      <c r="P1115" s="56" t="str">
        <f t="shared" si="10"/>
        <v/>
      </c>
      <c r="R1115" s="10"/>
      <c r="S1115" s="59" t="str">
        <f t="array" ref="S1115">IF(COUNTA(Q1115:Q1673)=0,"",SUM((COUNTIF(Q$4:Q1115,Upgrades!$B$3:$B$13)-COUNTIF(Q$4:Q1115,"Sell_"&amp;Upgrades!$B$3:$B$13))*Upgrades!$D$3:$D$13))</f>
        <v/>
      </c>
      <c r="T1115" s="66" t="str">
        <f>IFERROR(__xludf.DUMMYFUNCTION("IF(COUNTA(Q1115:Q1673)=0,"""",IF(REGEXMATCH(INDEX(FILTER(Q$4:Q1115,Q$4:Q1115&lt;&gt;""""),ROWS(FILTER(Q$4:Q1115,Q$4:Q1115&lt;&gt;""""))),""^Sell_""),INDEX(FILTER(T$4:T1114,Q$4:Q1114&lt;&gt;""""),ROWS(FILTER(Q$4:Q1114,Q$4:Q1114&lt;&gt;""""))),$AD$5+S1115))"),"")</f>
        <v/>
      </c>
      <c r="U1115" s="10" t="str">
        <f>IFERROR(__xludf.DUMMYFUNCTION("IF(COUNTA(Q1115:Q1673)=0,"""",IF(Q1115="""",0,IF(REGEXMATCH(Q1115,""^Sell_""),-ROUNDDOWN(ROUNDUP(INDEX(Upgrades!$C$3:$C$13,MATCH(SUBSTITUTE(Q1115,""Sell_"",""""),Upgrades!$B$3:$B$13,0))*1.15^(COUNTIF(Q$4:Q1114,SUBSTITUTE(Q1115,""Sell_"",""""))-COUNTIF(Q$4"&amp;":Q1114,""Sell_""&amp;SUBSTITUTE(Q1115,""Sell_"",""""))))/2),ROUNDUP(INDEX(Upgrades!$C$3:$C$13,MATCH(Q1115,Upgrades!$B$3:$B$13,0))*1.15^(COUNTIF(Q$4:Q1114,Q1115)-COUNTIF(Q$4:Q1114,""Sell_""&amp;Q1115))))))"),"")</f>
        <v/>
      </c>
      <c r="V1115" s="10" t="str">
        <f t="shared" si="11"/>
        <v/>
      </c>
      <c r="W1115" s="68" t="str">
        <f t="shared" si="12"/>
        <v/>
      </c>
      <c r="X1115" s="59" t="str">
        <f t="shared" si="13"/>
        <v/>
      </c>
      <c r="Y1115" s="69" t="str">
        <f t="shared" si="14"/>
        <v/>
      </c>
      <c r="Z1115" s="11"/>
    </row>
    <row r="1116">
      <c r="A1116" s="8"/>
      <c r="B1116" s="56" t="str">
        <f t="shared" si="2"/>
        <v/>
      </c>
      <c r="C1116" s="105"/>
      <c r="D1116" s="10"/>
      <c r="E1116" s="59" t="str">
        <f t="array" ref="E1116">IF(COUNTA(C1116:C1673)=0,"",SUM((COUNTIF(C$4:C1116,Upgrades!$B$3:$B$13)-COUNTIF(C$4:C1116,"Sell_"&amp;Upgrades!$B$3:$B$13))*Upgrades!$D$3:$D$13))</f>
        <v/>
      </c>
      <c r="F1116" s="66" t="str">
        <f>IFERROR(__xludf.DUMMYFUNCTION("IF(COUNTA(C1116:C1673)=0,"""",IF(REGEXMATCH(INDEX(FILTER(C$4:C1116,C$4:C1116&lt;&gt;""""),ROWS(FILTER(C$4:C1116,C$4:C1116&lt;&gt;""""))),""^Sell_""),INDEX(FILTER(F$4:F1115,C$4:C1115&lt;&gt;""""),ROWS(FILTER(C$4:C1115,C$4:C1115&lt;&gt;""""))),$AC$5+E1116))"),"")</f>
        <v/>
      </c>
      <c r="G1116" s="10" t="str">
        <f>IFERROR(__xludf.DUMMYFUNCTION("IF(COUNTA(C1116:C1673)=0,"""",IF(C1116="""",0,IF(REGEXMATCH(C1116,""^Sell_""),-ROUNDDOWN(ROUNDUP(INDEX(Upgrades!$C$3:$C$13,MATCH(SUBSTITUTE(C1116,""Sell_"",""""),Upgrades!$B$3:$B$13,0))*1.15^(COUNTIF(C$4:C1115,SUBSTITUTE(C1116,""Sell_"",""""))-COUNTIF(C$4"&amp;":C1115,""Sell_""&amp;SUBSTITUTE(C1116,""Sell_"",""""))))/2),ROUNDUP(INDEX(Upgrades!$C$3:$C$13,MATCH(C1116,Upgrades!$B$3:$B$13,0))*1.15^(COUNTIF(C$4:C1115,C1116)-COUNTIF(C$4:C1115,""Sell_""&amp;C1116))))))"),"")</f>
        <v/>
      </c>
      <c r="H1116" s="10" t="str">
        <f t="shared" si="3"/>
        <v/>
      </c>
      <c r="I1116" s="68" t="str">
        <f t="shared" si="4"/>
        <v/>
      </c>
      <c r="J1116" s="59" t="str">
        <f t="shared" si="5"/>
        <v/>
      </c>
      <c r="K1116" s="69" t="str">
        <f t="shared" si="6"/>
        <v/>
      </c>
      <c r="L1116" s="60" t="str">
        <f t="shared" si="7"/>
        <v/>
      </c>
      <c r="M1116" s="61" t="str">
        <f>IFERROR(__xludf.DUMMYFUNCTION("IFS(AND(COUNTA(C1116:C1673)=0,COUNTA(Q1116:Q1673)=0),"""",OR(AND(K1116&gt;=1000000000,OR(Y1116&gt;=1000000000,COUNTA(Q1116:Q1673)=0)),OR(Y1116&gt;=1000000000,AND(COUNTA(C1116:C1673)=0,P$3=TRUE))),
ROUNDDOWN((AB$1-AC$1)*MAX(INDEX(T$4:T1673,MATCH(LARGE(FILTER(Y$4:Y1"&amp;"673,Y$4:Y1673&lt;1000000000),1),Y$4:Y1673)),INDEX(F$4:F1673,MATCH(LARGE(FILTER(K$4:K1673,K$4:K1673&lt;1000000000),1),K$4:K1673)))),AND(K1116&lt;1000000000,COUNTA(C1116:C1673)&gt;0,P$3=FALSE),
ROUNDDOWN(INDEX(Y$4:Y1673,MATCH(LARGE(FILTER(W$4:W1673,W$4:W1673&lt;=I1116),1)"&amp;",W$4:W1673))+(I1116-LARGE(FILTER(W$4:W1673,W$4:W1673&lt;=I1116),1))*INDEX(T$4:T1673,MATCH(LARGE(FILTER(W$4:W1673,W$4:W1673&lt;=I1116),1),W$4:W1673))-K1116),1,
ROUNDDOWN(Y1116-INDEX(K$4:K1673,MATCH(LARGE(FILTER(I$4:I1673,I$4:I1673&lt;=W1116),1),I$4:I1673))-(W1116-L"&amp;"ARGE(FILTER(I$4:I1673,I$4:I1673&lt;=W1116),1))*INDEX(F$4:F1673,MATCH(LARGE(FILTER(I$4:I1673,I$4:I1673&lt;=W1116),1),I$4:I1673))))"),"")</f>
        <v/>
      </c>
      <c r="N1116" s="60" t="str">
        <f t="shared" si="8"/>
        <v/>
      </c>
      <c r="O1116" s="61" t="str">
        <f t="shared" si="9"/>
        <v/>
      </c>
      <c r="P1116" s="56" t="str">
        <f t="shared" si="10"/>
        <v/>
      </c>
      <c r="R1116" s="10"/>
      <c r="S1116" s="59" t="str">
        <f t="array" ref="S1116">IF(COUNTA(Q1116:Q1673)=0,"",SUM((COUNTIF(Q$4:Q1116,Upgrades!$B$3:$B$13)-COUNTIF(Q$4:Q1116,"Sell_"&amp;Upgrades!$B$3:$B$13))*Upgrades!$D$3:$D$13))</f>
        <v/>
      </c>
      <c r="T1116" s="66" t="str">
        <f>IFERROR(__xludf.DUMMYFUNCTION("IF(COUNTA(Q1116:Q1673)=0,"""",IF(REGEXMATCH(INDEX(FILTER(Q$4:Q1116,Q$4:Q1116&lt;&gt;""""),ROWS(FILTER(Q$4:Q1116,Q$4:Q1116&lt;&gt;""""))),""^Sell_""),INDEX(FILTER(T$4:T1115,Q$4:Q1115&lt;&gt;""""),ROWS(FILTER(Q$4:Q1115,Q$4:Q1115&lt;&gt;""""))),$AD$5+S1116))"),"")</f>
        <v/>
      </c>
      <c r="U1116" s="10" t="str">
        <f>IFERROR(__xludf.DUMMYFUNCTION("IF(COUNTA(Q1116:Q1673)=0,"""",IF(Q1116="""",0,IF(REGEXMATCH(Q1116,""^Sell_""),-ROUNDDOWN(ROUNDUP(INDEX(Upgrades!$C$3:$C$13,MATCH(SUBSTITUTE(Q1116,""Sell_"",""""),Upgrades!$B$3:$B$13,0))*1.15^(COUNTIF(Q$4:Q1115,SUBSTITUTE(Q1116,""Sell_"",""""))-COUNTIF(Q$4"&amp;":Q1115,""Sell_""&amp;SUBSTITUTE(Q1116,""Sell_"",""""))))/2),ROUNDUP(INDEX(Upgrades!$C$3:$C$13,MATCH(Q1116,Upgrades!$B$3:$B$13,0))*1.15^(COUNTIF(Q$4:Q1115,Q1116)-COUNTIF(Q$4:Q1115,""Sell_""&amp;Q1116))))))"),"")</f>
        <v/>
      </c>
      <c r="V1116" s="10" t="str">
        <f t="shared" si="11"/>
        <v/>
      </c>
      <c r="W1116" s="68" t="str">
        <f t="shared" si="12"/>
        <v/>
      </c>
      <c r="X1116" s="59" t="str">
        <f t="shared" si="13"/>
        <v/>
      </c>
      <c r="Y1116" s="69" t="str">
        <f t="shared" si="14"/>
        <v/>
      </c>
      <c r="Z1116" s="11"/>
    </row>
    <row r="1117">
      <c r="A1117" s="8"/>
      <c r="B1117" s="56" t="str">
        <f t="shared" si="2"/>
        <v/>
      </c>
      <c r="C1117" s="105"/>
      <c r="D1117" s="10"/>
      <c r="E1117" s="59" t="str">
        <f t="array" ref="E1117">IF(COUNTA(C1117:C1673)=0,"",SUM((COUNTIF(C$4:C1117,Upgrades!$B$3:$B$13)-COUNTIF(C$4:C1117,"Sell_"&amp;Upgrades!$B$3:$B$13))*Upgrades!$D$3:$D$13))</f>
        <v/>
      </c>
      <c r="F1117" s="66" t="str">
        <f>IFERROR(__xludf.DUMMYFUNCTION("IF(COUNTA(C1117:C1673)=0,"""",IF(REGEXMATCH(INDEX(FILTER(C$4:C1117,C$4:C1117&lt;&gt;""""),ROWS(FILTER(C$4:C1117,C$4:C1117&lt;&gt;""""))),""^Sell_""),INDEX(FILTER(F$4:F1116,C$4:C1116&lt;&gt;""""),ROWS(FILTER(C$4:C1116,C$4:C1116&lt;&gt;""""))),$AC$5+E1117))"),"")</f>
        <v/>
      </c>
      <c r="G1117" s="10" t="str">
        <f>IFERROR(__xludf.DUMMYFUNCTION("IF(COUNTA(C1117:C1673)=0,"""",IF(C1117="""",0,IF(REGEXMATCH(C1117,""^Sell_""),-ROUNDDOWN(ROUNDUP(INDEX(Upgrades!$C$3:$C$13,MATCH(SUBSTITUTE(C1117,""Sell_"",""""),Upgrades!$B$3:$B$13,0))*1.15^(COUNTIF(C$4:C1116,SUBSTITUTE(C1117,""Sell_"",""""))-COUNTIF(C$4"&amp;":C1116,""Sell_""&amp;SUBSTITUTE(C1117,""Sell_"",""""))))/2),ROUNDUP(INDEX(Upgrades!$C$3:$C$13,MATCH(C1117,Upgrades!$B$3:$B$13,0))*1.15^(COUNTIF(C$4:C1116,C1117)-COUNTIF(C$4:C1116,""Sell_""&amp;C1117))))))"),"")</f>
        <v/>
      </c>
      <c r="H1117" s="10" t="str">
        <f t="shared" si="3"/>
        <v/>
      </c>
      <c r="I1117" s="68" t="str">
        <f t="shared" si="4"/>
        <v/>
      </c>
      <c r="J1117" s="59" t="str">
        <f t="shared" si="5"/>
        <v/>
      </c>
      <c r="K1117" s="69" t="str">
        <f t="shared" si="6"/>
        <v/>
      </c>
      <c r="L1117" s="60" t="str">
        <f t="shared" si="7"/>
        <v/>
      </c>
      <c r="M1117" s="61" t="str">
        <f>IFERROR(__xludf.DUMMYFUNCTION("IFS(AND(COUNTA(C1117:C1673)=0,COUNTA(Q1117:Q1673)=0),"""",OR(AND(K1117&gt;=1000000000,OR(Y1117&gt;=1000000000,COUNTA(Q1117:Q1673)=0)),OR(Y1117&gt;=1000000000,AND(COUNTA(C1117:C1673)=0,P$3=TRUE))),
ROUNDDOWN((AB$1-AC$1)*MAX(INDEX(T$4:T1673,MATCH(LARGE(FILTER(Y$4:Y1"&amp;"673,Y$4:Y1673&lt;1000000000),1),Y$4:Y1673)),INDEX(F$4:F1673,MATCH(LARGE(FILTER(K$4:K1673,K$4:K1673&lt;1000000000),1),K$4:K1673)))),AND(K1117&lt;1000000000,COUNTA(C1117:C1673)&gt;0,P$3=FALSE),
ROUNDDOWN(INDEX(Y$4:Y1673,MATCH(LARGE(FILTER(W$4:W1673,W$4:W1673&lt;=I1117),1)"&amp;",W$4:W1673))+(I1117-LARGE(FILTER(W$4:W1673,W$4:W1673&lt;=I1117),1))*INDEX(T$4:T1673,MATCH(LARGE(FILTER(W$4:W1673,W$4:W1673&lt;=I1117),1),W$4:W1673))-K1117),1,
ROUNDDOWN(Y1117-INDEX(K$4:K1673,MATCH(LARGE(FILTER(I$4:I1673,I$4:I1673&lt;=W1117),1),I$4:I1673))-(W1117-L"&amp;"ARGE(FILTER(I$4:I1673,I$4:I1673&lt;=W1117),1))*INDEX(F$4:F1673,MATCH(LARGE(FILTER(I$4:I1673,I$4:I1673&lt;=W1117),1),I$4:I1673))))"),"")</f>
        <v/>
      </c>
      <c r="N1117" s="60" t="str">
        <f t="shared" si="8"/>
        <v/>
      </c>
      <c r="O1117" s="61" t="str">
        <f t="shared" si="9"/>
        <v/>
      </c>
      <c r="P1117" s="56" t="str">
        <f t="shared" si="10"/>
        <v/>
      </c>
      <c r="R1117" s="10"/>
      <c r="S1117" s="59" t="str">
        <f t="array" ref="S1117">IF(COUNTA(Q1117:Q1673)=0,"",SUM((COUNTIF(Q$4:Q1117,Upgrades!$B$3:$B$13)-COUNTIF(Q$4:Q1117,"Sell_"&amp;Upgrades!$B$3:$B$13))*Upgrades!$D$3:$D$13))</f>
        <v/>
      </c>
      <c r="T1117" s="66" t="str">
        <f>IFERROR(__xludf.DUMMYFUNCTION("IF(COUNTA(Q1117:Q1673)=0,"""",IF(REGEXMATCH(INDEX(FILTER(Q$4:Q1117,Q$4:Q1117&lt;&gt;""""),ROWS(FILTER(Q$4:Q1117,Q$4:Q1117&lt;&gt;""""))),""^Sell_""),INDEX(FILTER(T$4:T1116,Q$4:Q1116&lt;&gt;""""),ROWS(FILTER(Q$4:Q1116,Q$4:Q1116&lt;&gt;""""))),$AD$5+S1117))"),"")</f>
        <v/>
      </c>
      <c r="U1117" s="10" t="str">
        <f>IFERROR(__xludf.DUMMYFUNCTION("IF(COUNTA(Q1117:Q1673)=0,"""",IF(Q1117="""",0,IF(REGEXMATCH(Q1117,""^Sell_""),-ROUNDDOWN(ROUNDUP(INDEX(Upgrades!$C$3:$C$13,MATCH(SUBSTITUTE(Q1117,""Sell_"",""""),Upgrades!$B$3:$B$13,0))*1.15^(COUNTIF(Q$4:Q1116,SUBSTITUTE(Q1117,""Sell_"",""""))-COUNTIF(Q$4"&amp;":Q1116,""Sell_""&amp;SUBSTITUTE(Q1117,""Sell_"",""""))))/2),ROUNDUP(INDEX(Upgrades!$C$3:$C$13,MATCH(Q1117,Upgrades!$B$3:$B$13,0))*1.15^(COUNTIF(Q$4:Q1116,Q1117)-COUNTIF(Q$4:Q1116,""Sell_""&amp;Q1117))))))"),"")</f>
        <v/>
      </c>
      <c r="V1117" s="10" t="str">
        <f t="shared" si="11"/>
        <v/>
      </c>
      <c r="W1117" s="68" t="str">
        <f t="shared" si="12"/>
        <v/>
      </c>
      <c r="X1117" s="59" t="str">
        <f t="shared" si="13"/>
        <v/>
      </c>
      <c r="Y1117" s="69" t="str">
        <f t="shared" si="14"/>
        <v/>
      </c>
      <c r="Z1117" s="11"/>
    </row>
    <row r="1118">
      <c r="A1118" s="8"/>
      <c r="B1118" s="56" t="str">
        <f t="shared" si="2"/>
        <v/>
      </c>
      <c r="C1118" s="105"/>
      <c r="D1118" s="10"/>
      <c r="E1118" s="59" t="str">
        <f t="array" ref="E1118">IF(COUNTA(C1118:C1673)=0,"",SUM((COUNTIF(C$4:C1118,Upgrades!$B$3:$B$13)-COUNTIF(C$4:C1118,"Sell_"&amp;Upgrades!$B$3:$B$13))*Upgrades!$D$3:$D$13))</f>
        <v/>
      </c>
      <c r="F1118" s="66" t="str">
        <f>IFERROR(__xludf.DUMMYFUNCTION("IF(COUNTA(C1118:C1673)=0,"""",IF(REGEXMATCH(INDEX(FILTER(C$4:C1118,C$4:C1118&lt;&gt;""""),ROWS(FILTER(C$4:C1118,C$4:C1118&lt;&gt;""""))),""^Sell_""),INDEX(FILTER(F$4:F1117,C$4:C1117&lt;&gt;""""),ROWS(FILTER(C$4:C1117,C$4:C1117&lt;&gt;""""))),$AC$5+E1118))"),"")</f>
        <v/>
      </c>
      <c r="G1118" s="10" t="str">
        <f>IFERROR(__xludf.DUMMYFUNCTION("IF(COUNTA(C1118:C1673)=0,"""",IF(C1118="""",0,IF(REGEXMATCH(C1118,""^Sell_""),-ROUNDDOWN(ROUNDUP(INDEX(Upgrades!$C$3:$C$13,MATCH(SUBSTITUTE(C1118,""Sell_"",""""),Upgrades!$B$3:$B$13,0))*1.15^(COUNTIF(C$4:C1117,SUBSTITUTE(C1118,""Sell_"",""""))-COUNTIF(C$4"&amp;":C1117,""Sell_""&amp;SUBSTITUTE(C1118,""Sell_"",""""))))/2),ROUNDUP(INDEX(Upgrades!$C$3:$C$13,MATCH(C1118,Upgrades!$B$3:$B$13,0))*1.15^(COUNTIF(C$4:C1117,C1118)-COUNTIF(C$4:C1117,""Sell_""&amp;C1118))))))"),"")</f>
        <v/>
      </c>
      <c r="H1118" s="10" t="str">
        <f t="shared" si="3"/>
        <v/>
      </c>
      <c r="I1118" s="68" t="str">
        <f t="shared" si="4"/>
        <v/>
      </c>
      <c r="J1118" s="59" t="str">
        <f t="shared" si="5"/>
        <v/>
      </c>
      <c r="K1118" s="69" t="str">
        <f t="shared" si="6"/>
        <v/>
      </c>
      <c r="L1118" s="60" t="str">
        <f t="shared" si="7"/>
        <v/>
      </c>
      <c r="M1118" s="61" t="str">
        <f>IFERROR(__xludf.DUMMYFUNCTION("IFS(AND(COUNTA(C1118:C1673)=0,COUNTA(Q1118:Q1673)=0),"""",OR(AND(K1118&gt;=1000000000,OR(Y1118&gt;=1000000000,COUNTA(Q1118:Q1673)=0)),OR(Y1118&gt;=1000000000,AND(COUNTA(C1118:C1673)=0,P$3=TRUE))),
ROUNDDOWN((AB$1-AC$1)*MAX(INDEX(T$4:T1673,MATCH(LARGE(FILTER(Y$4:Y1"&amp;"673,Y$4:Y1673&lt;1000000000),1),Y$4:Y1673)),INDEX(F$4:F1673,MATCH(LARGE(FILTER(K$4:K1673,K$4:K1673&lt;1000000000),1),K$4:K1673)))),AND(K1118&lt;1000000000,COUNTA(C1118:C1673)&gt;0,P$3=FALSE),
ROUNDDOWN(INDEX(Y$4:Y1673,MATCH(LARGE(FILTER(W$4:W1673,W$4:W1673&lt;=I1118),1)"&amp;",W$4:W1673))+(I1118-LARGE(FILTER(W$4:W1673,W$4:W1673&lt;=I1118),1))*INDEX(T$4:T1673,MATCH(LARGE(FILTER(W$4:W1673,W$4:W1673&lt;=I1118),1),W$4:W1673))-K1118),1,
ROUNDDOWN(Y1118-INDEX(K$4:K1673,MATCH(LARGE(FILTER(I$4:I1673,I$4:I1673&lt;=W1118),1),I$4:I1673))-(W1118-L"&amp;"ARGE(FILTER(I$4:I1673,I$4:I1673&lt;=W1118),1))*INDEX(F$4:F1673,MATCH(LARGE(FILTER(I$4:I1673,I$4:I1673&lt;=W1118),1),I$4:I1673))))"),"")</f>
        <v/>
      </c>
      <c r="N1118" s="60" t="str">
        <f t="shared" si="8"/>
        <v/>
      </c>
      <c r="O1118" s="61" t="str">
        <f t="shared" si="9"/>
        <v/>
      </c>
      <c r="P1118" s="56" t="str">
        <f t="shared" si="10"/>
        <v/>
      </c>
      <c r="R1118" s="10"/>
      <c r="S1118" s="59" t="str">
        <f t="array" ref="S1118">IF(COUNTA(Q1118:Q1673)=0,"",SUM((COUNTIF(Q$4:Q1118,Upgrades!$B$3:$B$13)-COUNTIF(Q$4:Q1118,"Sell_"&amp;Upgrades!$B$3:$B$13))*Upgrades!$D$3:$D$13))</f>
        <v/>
      </c>
      <c r="T1118" s="66" t="str">
        <f>IFERROR(__xludf.DUMMYFUNCTION("IF(COUNTA(Q1118:Q1673)=0,"""",IF(REGEXMATCH(INDEX(FILTER(Q$4:Q1118,Q$4:Q1118&lt;&gt;""""),ROWS(FILTER(Q$4:Q1118,Q$4:Q1118&lt;&gt;""""))),""^Sell_""),INDEX(FILTER(T$4:T1117,Q$4:Q1117&lt;&gt;""""),ROWS(FILTER(Q$4:Q1117,Q$4:Q1117&lt;&gt;""""))),$AD$5+S1118))"),"")</f>
        <v/>
      </c>
      <c r="U1118" s="10" t="str">
        <f>IFERROR(__xludf.DUMMYFUNCTION("IF(COUNTA(Q1118:Q1673)=0,"""",IF(Q1118="""",0,IF(REGEXMATCH(Q1118,""^Sell_""),-ROUNDDOWN(ROUNDUP(INDEX(Upgrades!$C$3:$C$13,MATCH(SUBSTITUTE(Q1118,""Sell_"",""""),Upgrades!$B$3:$B$13,0))*1.15^(COUNTIF(Q$4:Q1117,SUBSTITUTE(Q1118,""Sell_"",""""))-COUNTIF(Q$4"&amp;":Q1117,""Sell_""&amp;SUBSTITUTE(Q1118,""Sell_"",""""))))/2),ROUNDUP(INDEX(Upgrades!$C$3:$C$13,MATCH(Q1118,Upgrades!$B$3:$B$13,0))*1.15^(COUNTIF(Q$4:Q1117,Q1118)-COUNTIF(Q$4:Q1117,""Sell_""&amp;Q1118))))))"),"")</f>
        <v/>
      </c>
      <c r="V1118" s="10" t="str">
        <f t="shared" si="11"/>
        <v/>
      </c>
      <c r="W1118" s="68" t="str">
        <f t="shared" si="12"/>
        <v/>
      </c>
      <c r="X1118" s="59" t="str">
        <f t="shared" si="13"/>
        <v/>
      </c>
      <c r="Y1118" s="69" t="str">
        <f t="shared" si="14"/>
        <v/>
      </c>
      <c r="Z1118" s="11"/>
    </row>
    <row r="1119">
      <c r="A1119" s="8"/>
      <c r="B1119" s="56" t="str">
        <f t="shared" si="2"/>
        <v/>
      </c>
      <c r="C1119" s="105"/>
      <c r="D1119" s="10"/>
      <c r="E1119" s="59" t="str">
        <f t="array" ref="E1119">IF(COUNTA(C1119:C1673)=0,"",SUM((COUNTIF(C$4:C1119,Upgrades!$B$3:$B$13)-COUNTIF(C$4:C1119,"Sell_"&amp;Upgrades!$B$3:$B$13))*Upgrades!$D$3:$D$13))</f>
        <v/>
      </c>
      <c r="F1119" s="66" t="str">
        <f>IFERROR(__xludf.DUMMYFUNCTION("IF(COUNTA(C1119:C1673)=0,"""",IF(REGEXMATCH(INDEX(FILTER(C$4:C1119,C$4:C1119&lt;&gt;""""),ROWS(FILTER(C$4:C1119,C$4:C1119&lt;&gt;""""))),""^Sell_""),INDEX(FILTER(F$4:F1118,C$4:C1118&lt;&gt;""""),ROWS(FILTER(C$4:C1118,C$4:C1118&lt;&gt;""""))),$AC$5+E1119))"),"")</f>
        <v/>
      </c>
      <c r="G1119" s="10" t="str">
        <f>IFERROR(__xludf.DUMMYFUNCTION("IF(COUNTA(C1119:C1673)=0,"""",IF(C1119="""",0,IF(REGEXMATCH(C1119,""^Sell_""),-ROUNDDOWN(ROUNDUP(INDEX(Upgrades!$C$3:$C$13,MATCH(SUBSTITUTE(C1119,""Sell_"",""""),Upgrades!$B$3:$B$13,0))*1.15^(COUNTIF(C$4:C1118,SUBSTITUTE(C1119,""Sell_"",""""))-COUNTIF(C$4"&amp;":C1118,""Sell_""&amp;SUBSTITUTE(C1119,""Sell_"",""""))))/2),ROUNDUP(INDEX(Upgrades!$C$3:$C$13,MATCH(C1119,Upgrades!$B$3:$B$13,0))*1.15^(COUNTIF(C$4:C1118,C1119)-COUNTIF(C$4:C1118,""Sell_""&amp;C1119))))))"),"")</f>
        <v/>
      </c>
      <c r="H1119" s="10" t="str">
        <f t="shared" si="3"/>
        <v/>
      </c>
      <c r="I1119" s="68" t="str">
        <f t="shared" si="4"/>
        <v/>
      </c>
      <c r="J1119" s="59" t="str">
        <f t="shared" si="5"/>
        <v/>
      </c>
      <c r="K1119" s="69" t="str">
        <f t="shared" si="6"/>
        <v/>
      </c>
      <c r="L1119" s="60" t="str">
        <f t="shared" si="7"/>
        <v/>
      </c>
      <c r="M1119" s="61" t="str">
        <f>IFERROR(__xludf.DUMMYFUNCTION("IFS(AND(COUNTA(C1119:C1673)=0,COUNTA(Q1119:Q1673)=0),"""",OR(AND(K1119&gt;=1000000000,OR(Y1119&gt;=1000000000,COUNTA(Q1119:Q1673)=0)),OR(Y1119&gt;=1000000000,AND(COUNTA(C1119:C1673)=0,P$3=TRUE))),
ROUNDDOWN((AB$1-AC$1)*MAX(INDEX(T$4:T1673,MATCH(LARGE(FILTER(Y$4:Y1"&amp;"673,Y$4:Y1673&lt;1000000000),1),Y$4:Y1673)),INDEX(F$4:F1673,MATCH(LARGE(FILTER(K$4:K1673,K$4:K1673&lt;1000000000),1),K$4:K1673)))),AND(K1119&lt;1000000000,COUNTA(C1119:C1673)&gt;0,P$3=FALSE),
ROUNDDOWN(INDEX(Y$4:Y1673,MATCH(LARGE(FILTER(W$4:W1673,W$4:W1673&lt;=I1119),1)"&amp;",W$4:W1673))+(I1119-LARGE(FILTER(W$4:W1673,W$4:W1673&lt;=I1119),1))*INDEX(T$4:T1673,MATCH(LARGE(FILTER(W$4:W1673,W$4:W1673&lt;=I1119),1),W$4:W1673))-K1119),1,
ROUNDDOWN(Y1119-INDEX(K$4:K1673,MATCH(LARGE(FILTER(I$4:I1673,I$4:I1673&lt;=W1119),1),I$4:I1673))-(W1119-L"&amp;"ARGE(FILTER(I$4:I1673,I$4:I1673&lt;=W1119),1))*INDEX(F$4:F1673,MATCH(LARGE(FILTER(I$4:I1673,I$4:I1673&lt;=W1119),1),I$4:I1673))))"),"")</f>
        <v/>
      </c>
      <c r="N1119" s="60" t="str">
        <f t="shared" si="8"/>
        <v/>
      </c>
      <c r="O1119" s="61" t="str">
        <f t="shared" si="9"/>
        <v/>
      </c>
      <c r="P1119" s="56" t="str">
        <f t="shared" si="10"/>
        <v/>
      </c>
      <c r="Q1119" s="67"/>
      <c r="R1119" s="10"/>
      <c r="S1119" s="59" t="str">
        <f t="array" ref="S1119">IF(COUNTA(Q1119:Q1673)=0,"",SUM((COUNTIF(Q$4:Q1119,Upgrades!$B$3:$B$13)-COUNTIF(Q$4:Q1119,"Sell_"&amp;Upgrades!$B$3:$B$13))*Upgrades!$D$3:$D$13))</f>
        <v/>
      </c>
      <c r="T1119" s="66" t="str">
        <f>IFERROR(__xludf.DUMMYFUNCTION("IF(COUNTA(Q1119:Q1673)=0,"""",IF(REGEXMATCH(INDEX(FILTER(Q$4:Q1119,Q$4:Q1119&lt;&gt;""""),ROWS(FILTER(Q$4:Q1119,Q$4:Q1119&lt;&gt;""""))),""^Sell_""),INDEX(FILTER(T$4:T1118,Q$4:Q1118&lt;&gt;""""),ROWS(FILTER(Q$4:Q1118,Q$4:Q1118&lt;&gt;""""))),$AD$5+S1119))"),"")</f>
        <v/>
      </c>
      <c r="U1119" s="10" t="str">
        <f>IFERROR(__xludf.DUMMYFUNCTION("IF(COUNTA(Q1119:Q1673)=0,"""",IF(Q1119="""",0,IF(REGEXMATCH(Q1119,""^Sell_""),-ROUNDDOWN(ROUNDUP(INDEX(Upgrades!$C$3:$C$13,MATCH(SUBSTITUTE(Q1119,""Sell_"",""""),Upgrades!$B$3:$B$13,0))*1.15^(COUNTIF(Q$4:Q1118,SUBSTITUTE(Q1119,""Sell_"",""""))-COUNTIF(Q$4"&amp;":Q1118,""Sell_""&amp;SUBSTITUTE(Q1119,""Sell_"",""""))))/2),ROUNDUP(INDEX(Upgrades!$C$3:$C$13,MATCH(Q1119,Upgrades!$B$3:$B$13,0))*1.15^(COUNTIF(Q$4:Q1118,Q1119)-COUNTIF(Q$4:Q1118,""Sell_""&amp;Q1119))))))"),"")</f>
        <v/>
      </c>
      <c r="V1119" s="10" t="str">
        <f t="shared" si="11"/>
        <v/>
      </c>
      <c r="W1119" s="68" t="str">
        <f t="shared" si="12"/>
        <v/>
      </c>
      <c r="X1119" s="59" t="str">
        <f t="shared" si="13"/>
        <v/>
      </c>
      <c r="Y1119" s="69" t="str">
        <f t="shared" si="14"/>
        <v/>
      </c>
      <c r="Z1119" s="11"/>
    </row>
    <row r="1120">
      <c r="A1120" s="8"/>
      <c r="B1120" s="56" t="str">
        <f t="shared" si="2"/>
        <v/>
      </c>
      <c r="C1120" s="105"/>
      <c r="D1120" s="10"/>
      <c r="E1120" s="59" t="str">
        <f t="array" ref="E1120">IF(COUNTA(C1120:C1673)=0,"",SUM((COUNTIF(C$4:C1120,Upgrades!$B$3:$B$13)-COUNTIF(C$4:C1120,"Sell_"&amp;Upgrades!$B$3:$B$13))*Upgrades!$D$3:$D$13))</f>
        <v/>
      </c>
      <c r="F1120" s="66" t="str">
        <f>IFERROR(__xludf.DUMMYFUNCTION("IF(COUNTA(C1120:C1673)=0,"""",IF(REGEXMATCH(INDEX(FILTER(C$4:C1120,C$4:C1120&lt;&gt;""""),ROWS(FILTER(C$4:C1120,C$4:C1120&lt;&gt;""""))),""^Sell_""),INDEX(FILTER(F$4:F1119,C$4:C1119&lt;&gt;""""),ROWS(FILTER(C$4:C1119,C$4:C1119&lt;&gt;""""))),$AC$5+E1120))"),"")</f>
        <v/>
      </c>
      <c r="G1120" s="10" t="str">
        <f>IFERROR(__xludf.DUMMYFUNCTION("IF(COUNTA(C1120:C1673)=0,"""",IF(C1120="""",0,IF(REGEXMATCH(C1120,""^Sell_""),-ROUNDDOWN(ROUNDUP(INDEX(Upgrades!$C$3:$C$13,MATCH(SUBSTITUTE(C1120,""Sell_"",""""),Upgrades!$B$3:$B$13,0))*1.15^(COUNTIF(C$4:C1119,SUBSTITUTE(C1120,""Sell_"",""""))-COUNTIF(C$4"&amp;":C1119,""Sell_""&amp;SUBSTITUTE(C1120,""Sell_"",""""))))/2),ROUNDUP(INDEX(Upgrades!$C$3:$C$13,MATCH(C1120,Upgrades!$B$3:$B$13,0))*1.15^(COUNTIF(C$4:C1119,C1120)-COUNTIF(C$4:C1119,""Sell_""&amp;C1120))))))"),"")</f>
        <v/>
      </c>
      <c r="H1120" s="10" t="str">
        <f t="shared" si="3"/>
        <v/>
      </c>
      <c r="I1120" s="68" t="str">
        <f t="shared" si="4"/>
        <v/>
      </c>
      <c r="J1120" s="59" t="str">
        <f t="shared" si="5"/>
        <v/>
      </c>
      <c r="K1120" s="69" t="str">
        <f t="shared" si="6"/>
        <v/>
      </c>
      <c r="L1120" s="60" t="str">
        <f t="shared" si="7"/>
        <v/>
      </c>
      <c r="M1120" s="61" t="str">
        <f>IFERROR(__xludf.DUMMYFUNCTION("IFS(AND(COUNTA(C1120:C1673)=0,COUNTA(Q1120:Q1673)=0),"""",OR(AND(K1120&gt;=1000000000,OR(Y1120&gt;=1000000000,COUNTA(Q1120:Q1673)=0)),OR(Y1120&gt;=1000000000,AND(COUNTA(C1120:C1673)=0,P$3=TRUE))),
ROUNDDOWN((AB$1-AC$1)*MAX(INDEX(T$4:T1673,MATCH(LARGE(FILTER(Y$4:Y1"&amp;"673,Y$4:Y1673&lt;1000000000),1),Y$4:Y1673)),INDEX(F$4:F1673,MATCH(LARGE(FILTER(K$4:K1673,K$4:K1673&lt;1000000000),1),K$4:K1673)))),AND(K1120&lt;1000000000,COUNTA(C1120:C1673)&gt;0,P$3=FALSE),
ROUNDDOWN(INDEX(Y$4:Y1673,MATCH(LARGE(FILTER(W$4:W1673,W$4:W1673&lt;=I1120),1)"&amp;",W$4:W1673))+(I1120-LARGE(FILTER(W$4:W1673,W$4:W1673&lt;=I1120),1))*INDEX(T$4:T1673,MATCH(LARGE(FILTER(W$4:W1673,W$4:W1673&lt;=I1120),1),W$4:W1673))-K1120),1,
ROUNDDOWN(Y1120-INDEX(K$4:K1673,MATCH(LARGE(FILTER(I$4:I1673,I$4:I1673&lt;=W1120),1),I$4:I1673))-(W1120-L"&amp;"ARGE(FILTER(I$4:I1673,I$4:I1673&lt;=W1120),1))*INDEX(F$4:F1673,MATCH(LARGE(FILTER(I$4:I1673,I$4:I1673&lt;=W1120),1),I$4:I1673))))"),"")</f>
        <v/>
      </c>
      <c r="N1120" s="60" t="str">
        <f t="shared" si="8"/>
        <v/>
      </c>
      <c r="O1120" s="61" t="str">
        <f t="shared" si="9"/>
        <v/>
      </c>
      <c r="P1120" s="56" t="str">
        <f t="shared" si="10"/>
        <v/>
      </c>
      <c r="Q1120" s="67"/>
      <c r="R1120" s="10"/>
      <c r="S1120" s="59" t="str">
        <f t="array" ref="S1120">IF(COUNTA(Q1120:Q1673)=0,"",SUM((COUNTIF(Q$4:Q1120,Upgrades!$B$3:$B$13)-COUNTIF(Q$4:Q1120,"Sell_"&amp;Upgrades!$B$3:$B$13))*Upgrades!$D$3:$D$13))</f>
        <v/>
      </c>
      <c r="T1120" s="66" t="str">
        <f>IFERROR(__xludf.DUMMYFUNCTION("IF(COUNTA(Q1120:Q1673)=0,"""",IF(REGEXMATCH(INDEX(FILTER(Q$4:Q1120,Q$4:Q1120&lt;&gt;""""),ROWS(FILTER(Q$4:Q1120,Q$4:Q1120&lt;&gt;""""))),""^Sell_""),INDEX(FILTER(T$4:T1119,Q$4:Q1119&lt;&gt;""""),ROWS(FILTER(Q$4:Q1119,Q$4:Q1119&lt;&gt;""""))),$AD$5+S1120))"),"")</f>
        <v/>
      </c>
      <c r="U1120" s="10" t="str">
        <f>IFERROR(__xludf.DUMMYFUNCTION("IF(COUNTA(Q1120:Q1673)=0,"""",IF(Q1120="""",0,IF(REGEXMATCH(Q1120,""^Sell_""),-ROUNDDOWN(ROUNDUP(INDEX(Upgrades!$C$3:$C$13,MATCH(SUBSTITUTE(Q1120,""Sell_"",""""),Upgrades!$B$3:$B$13,0))*1.15^(COUNTIF(Q$4:Q1119,SUBSTITUTE(Q1120,""Sell_"",""""))-COUNTIF(Q$4"&amp;":Q1119,""Sell_""&amp;SUBSTITUTE(Q1120,""Sell_"",""""))))/2),ROUNDUP(INDEX(Upgrades!$C$3:$C$13,MATCH(Q1120,Upgrades!$B$3:$B$13,0))*1.15^(COUNTIF(Q$4:Q1119,Q1120)-COUNTIF(Q$4:Q1119,""Sell_""&amp;Q1120))))))"),"")</f>
        <v/>
      </c>
      <c r="V1120" s="10" t="str">
        <f t="shared" si="11"/>
        <v/>
      </c>
      <c r="W1120" s="68" t="str">
        <f t="shared" si="12"/>
        <v/>
      </c>
      <c r="X1120" s="59" t="str">
        <f t="shared" si="13"/>
        <v/>
      </c>
      <c r="Y1120" s="69" t="str">
        <f t="shared" si="14"/>
        <v/>
      </c>
      <c r="Z1120" s="11"/>
    </row>
    <row r="1121">
      <c r="A1121" s="8"/>
      <c r="B1121" s="56" t="str">
        <f t="shared" si="2"/>
        <v/>
      </c>
      <c r="C1121" s="105"/>
      <c r="D1121" s="10"/>
      <c r="E1121" s="59" t="str">
        <f t="array" ref="E1121">IF(COUNTA(C1121:C1673)=0,"",SUM((COUNTIF(C$4:C1121,Upgrades!$B$3:$B$13)-COUNTIF(C$4:C1121,"Sell_"&amp;Upgrades!$B$3:$B$13))*Upgrades!$D$3:$D$13))</f>
        <v/>
      </c>
      <c r="F1121" s="66" t="str">
        <f>IFERROR(__xludf.DUMMYFUNCTION("IF(COUNTA(C1121:C1673)=0,"""",IF(REGEXMATCH(INDEX(FILTER(C$4:C1121,C$4:C1121&lt;&gt;""""),ROWS(FILTER(C$4:C1121,C$4:C1121&lt;&gt;""""))),""^Sell_""),INDEX(FILTER(F$4:F1120,C$4:C1120&lt;&gt;""""),ROWS(FILTER(C$4:C1120,C$4:C1120&lt;&gt;""""))),$AC$5+E1121))"),"")</f>
        <v/>
      </c>
      <c r="G1121" s="10" t="str">
        <f>IFERROR(__xludf.DUMMYFUNCTION("IF(COUNTA(C1121:C1673)=0,"""",IF(C1121="""",0,IF(REGEXMATCH(C1121,""^Sell_""),-ROUNDDOWN(ROUNDUP(INDEX(Upgrades!$C$3:$C$13,MATCH(SUBSTITUTE(C1121,""Sell_"",""""),Upgrades!$B$3:$B$13,0))*1.15^(COUNTIF(C$4:C1120,SUBSTITUTE(C1121,""Sell_"",""""))-COUNTIF(C$4"&amp;":C1120,""Sell_""&amp;SUBSTITUTE(C1121,""Sell_"",""""))))/2),ROUNDUP(INDEX(Upgrades!$C$3:$C$13,MATCH(C1121,Upgrades!$B$3:$B$13,0))*1.15^(COUNTIF(C$4:C1120,C1121)-COUNTIF(C$4:C1120,""Sell_""&amp;C1121))))))"),"")</f>
        <v/>
      </c>
      <c r="H1121" s="10" t="str">
        <f t="shared" si="3"/>
        <v/>
      </c>
      <c r="I1121" s="68" t="str">
        <f t="shared" si="4"/>
        <v/>
      </c>
      <c r="J1121" s="59" t="str">
        <f t="shared" si="5"/>
        <v/>
      </c>
      <c r="K1121" s="69" t="str">
        <f t="shared" si="6"/>
        <v/>
      </c>
      <c r="L1121" s="60" t="str">
        <f t="shared" si="7"/>
        <v/>
      </c>
      <c r="M1121" s="61" t="str">
        <f>IFERROR(__xludf.DUMMYFUNCTION("IFS(AND(COUNTA(C1121:C1673)=0,COUNTA(Q1121:Q1673)=0),"""",OR(AND(K1121&gt;=1000000000,OR(Y1121&gt;=1000000000,COUNTA(Q1121:Q1673)=0)),OR(Y1121&gt;=1000000000,AND(COUNTA(C1121:C1673)=0,P$3=TRUE))),
ROUNDDOWN((AB$1-AC$1)*MAX(INDEX(T$4:T1673,MATCH(LARGE(FILTER(Y$4:Y1"&amp;"673,Y$4:Y1673&lt;1000000000),1),Y$4:Y1673)),INDEX(F$4:F1673,MATCH(LARGE(FILTER(K$4:K1673,K$4:K1673&lt;1000000000),1),K$4:K1673)))),AND(K1121&lt;1000000000,COUNTA(C1121:C1673)&gt;0,P$3=FALSE),
ROUNDDOWN(INDEX(Y$4:Y1673,MATCH(LARGE(FILTER(W$4:W1673,W$4:W1673&lt;=I1121),1)"&amp;",W$4:W1673))+(I1121-LARGE(FILTER(W$4:W1673,W$4:W1673&lt;=I1121),1))*INDEX(T$4:T1673,MATCH(LARGE(FILTER(W$4:W1673,W$4:W1673&lt;=I1121),1),W$4:W1673))-K1121),1,
ROUNDDOWN(Y1121-INDEX(K$4:K1673,MATCH(LARGE(FILTER(I$4:I1673,I$4:I1673&lt;=W1121),1),I$4:I1673))-(W1121-L"&amp;"ARGE(FILTER(I$4:I1673,I$4:I1673&lt;=W1121),1))*INDEX(F$4:F1673,MATCH(LARGE(FILTER(I$4:I1673,I$4:I1673&lt;=W1121),1),I$4:I1673))))"),"")</f>
        <v/>
      </c>
      <c r="N1121" s="60" t="str">
        <f t="shared" si="8"/>
        <v/>
      </c>
      <c r="O1121" s="61" t="str">
        <f t="shared" si="9"/>
        <v/>
      </c>
      <c r="P1121" s="56" t="str">
        <f t="shared" si="10"/>
        <v/>
      </c>
      <c r="Q1121" s="67"/>
      <c r="R1121" s="10"/>
      <c r="S1121" s="59" t="str">
        <f t="array" ref="S1121">IF(COUNTA(Q1121:Q1673)=0,"",SUM((COUNTIF(Q$4:Q1121,Upgrades!$B$3:$B$13)-COUNTIF(Q$4:Q1121,"Sell_"&amp;Upgrades!$B$3:$B$13))*Upgrades!$D$3:$D$13))</f>
        <v/>
      </c>
      <c r="T1121" s="66" t="str">
        <f>IFERROR(__xludf.DUMMYFUNCTION("IF(COUNTA(Q1121:Q1673)=0,"""",IF(REGEXMATCH(INDEX(FILTER(Q$4:Q1121,Q$4:Q1121&lt;&gt;""""),ROWS(FILTER(Q$4:Q1121,Q$4:Q1121&lt;&gt;""""))),""^Sell_""),INDEX(FILTER(T$4:T1120,Q$4:Q1120&lt;&gt;""""),ROWS(FILTER(Q$4:Q1120,Q$4:Q1120&lt;&gt;""""))),$AD$5+S1121))"),"")</f>
        <v/>
      </c>
      <c r="U1121" s="10" t="str">
        <f>IFERROR(__xludf.DUMMYFUNCTION("IF(COUNTA(Q1121:Q1673)=0,"""",IF(Q1121="""",0,IF(REGEXMATCH(Q1121,""^Sell_""),-ROUNDDOWN(ROUNDUP(INDEX(Upgrades!$C$3:$C$13,MATCH(SUBSTITUTE(Q1121,""Sell_"",""""),Upgrades!$B$3:$B$13,0))*1.15^(COUNTIF(Q$4:Q1120,SUBSTITUTE(Q1121,""Sell_"",""""))-COUNTIF(Q$4"&amp;":Q1120,""Sell_""&amp;SUBSTITUTE(Q1121,""Sell_"",""""))))/2),ROUNDUP(INDEX(Upgrades!$C$3:$C$13,MATCH(Q1121,Upgrades!$B$3:$B$13,0))*1.15^(COUNTIF(Q$4:Q1120,Q1121)-COUNTIF(Q$4:Q1120,""Sell_""&amp;Q1121))))))"),"")</f>
        <v/>
      </c>
      <c r="V1121" s="10" t="str">
        <f t="shared" si="11"/>
        <v/>
      </c>
      <c r="W1121" s="68" t="str">
        <f t="shared" si="12"/>
        <v/>
      </c>
      <c r="X1121" s="59" t="str">
        <f t="shared" si="13"/>
        <v/>
      </c>
      <c r="Y1121" s="69" t="str">
        <f t="shared" si="14"/>
        <v/>
      </c>
      <c r="Z1121" s="11"/>
    </row>
    <row r="1122">
      <c r="A1122" s="8"/>
      <c r="B1122" s="56" t="str">
        <f t="shared" si="2"/>
        <v/>
      </c>
      <c r="C1122" s="105"/>
      <c r="D1122" s="10"/>
      <c r="E1122" s="59" t="str">
        <f t="array" ref="E1122">IF(COUNTA(C1122:C1673)=0,"",SUM((COUNTIF(C$4:C1122,Upgrades!$B$3:$B$13)-COUNTIF(C$4:C1122,"Sell_"&amp;Upgrades!$B$3:$B$13))*Upgrades!$D$3:$D$13))</f>
        <v/>
      </c>
      <c r="F1122" s="66" t="str">
        <f>IFERROR(__xludf.DUMMYFUNCTION("IF(COUNTA(C1122:C1673)=0,"""",IF(REGEXMATCH(INDEX(FILTER(C$4:C1122,C$4:C1122&lt;&gt;""""),ROWS(FILTER(C$4:C1122,C$4:C1122&lt;&gt;""""))),""^Sell_""),INDEX(FILTER(F$4:F1121,C$4:C1121&lt;&gt;""""),ROWS(FILTER(C$4:C1121,C$4:C1121&lt;&gt;""""))),$AC$5+E1122))"),"")</f>
        <v/>
      </c>
      <c r="G1122" s="10" t="str">
        <f>IFERROR(__xludf.DUMMYFUNCTION("IF(COUNTA(C1122:C1673)=0,"""",IF(C1122="""",0,IF(REGEXMATCH(C1122,""^Sell_""),-ROUNDDOWN(ROUNDUP(INDEX(Upgrades!$C$3:$C$13,MATCH(SUBSTITUTE(C1122,""Sell_"",""""),Upgrades!$B$3:$B$13,0))*1.15^(COUNTIF(C$4:C1121,SUBSTITUTE(C1122,""Sell_"",""""))-COUNTIF(C$4"&amp;":C1121,""Sell_""&amp;SUBSTITUTE(C1122,""Sell_"",""""))))/2),ROUNDUP(INDEX(Upgrades!$C$3:$C$13,MATCH(C1122,Upgrades!$B$3:$B$13,0))*1.15^(COUNTIF(C$4:C1121,C1122)-COUNTIF(C$4:C1121,""Sell_""&amp;C1122))))))"),"")</f>
        <v/>
      </c>
      <c r="H1122" s="10" t="str">
        <f t="shared" si="3"/>
        <v/>
      </c>
      <c r="I1122" s="68" t="str">
        <f t="shared" si="4"/>
        <v/>
      </c>
      <c r="J1122" s="59" t="str">
        <f t="shared" si="5"/>
        <v/>
      </c>
      <c r="K1122" s="69" t="str">
        <f t="shared" si="6"/>
        <v/>
      </c>
      <c r="L1122" s="60" t="str">
        <f t="shared" si="7"/>
        <v/>
      </c>
      <c r="M1122" s="61" t="str">
        <f>IFERROR(__xludf.DUMMYFUNCTION("IFS(AND(COUNTA(C1122:C1673)=0,COUNTA(Q1122:Q1673)=0),"""",OR(AND(K1122&gt;=1000000000,OR(Y1122&gt;=1000000000,COUNTA(Q1122:Q1673)=0)),OR(Y1122&gt;=1000000000,AND(COUNTA(C1122:C1673)=0,P$3=TRUE))),
ROUNDDOWN((AB$1-AC$1)*MAX(INDEX(T$4:T1673,MATCH(LARGE(FILTER(Y$4:Y1"&amp;"673,Y$4:Y1673&lt;1000000000),1),Y$4:Y1673)),INDEX(F$4:F1673,MATCH(LARGE(FILTER(K$4:K1673,K$4:K1673&lt;1000000000),1),K$4:K1673)))),AND(K1122&lt;1000000000,COUNTA(C1122:C1673)&gt;0,P$3=FALSE),
ROUNDDOWN(INDEX(Y$4:Y1673,MATCH(LARGE(FILTER(W$4:W1673,W$4:W1673&lt;=I1122),1)"&amp;",W$4:W1673))+(I1122-LARGE(FILTER(W$4:W1673,W$4:W1673&lt;=I1122),1))*INDEX(T$4:T1673,MATCH(LARGE(FILTER(W$4:W1673,W$4:W1673&lt;=I1122),1),W$4:W1673))-K1122),1,
ROUNDDOWN(Y1122-INDEX(K$4:K1673,MATCH(LARGE(FILTER(I$4:I1673,I$4:I1673&lt;=W1122),1),I$4:I1673))-(W1122-L"&amp;"ARGE(FILTER(I$4:I1673,I$4:I1673&lt;=W1122),1))*INDEX(F$4:F1673,MATCH(LARGE(FILTER(I$4:I1673,I$4:I1673&lt;=W1122),1),I$4:I1673))))"),"")</f>
        <v/>
      </c>
      <c r="N1122" s="60" t="str">
        <f t="shared" si="8"/>
        <v/>
      </c>
      <c r="O1122" s="61" t="str">
        <f t="shared" si="9"/>
        <v/>
      </c>
      <c r="P1122" s="56" t="str">
        <f t="shared" si="10"/>
        <v/>
      </c>
      <c r="Q1122" s="67"/>
      <c r="R1122" s="10"/>
      <c r="S1122" s="59" t="str">
        <f t="array" ref="S1122">IF(COUNTA(Q1122:Q1673)=0,"",SUM((COUNTIF(Q$4:Q1122,Upgrades!$B$3:$B$13)-COUNTIF(Q$4:Q1122,"Sell_"&amp;Upgrades!$B$3:$B$13))*Upgrades!$D$3:$D$13))</f>
        <v/>
      </c>
      <c r="T1122" s="66" t="str">
        <f>IFERROR(__xludf.DUMMYFUNCTION("IF(COUNTA(Q1122:Q1673)=0,"""",IF(REGEXMATCH(INDEX(FILTER(Q$4:Q1122,Q$4:Q1122&lt;&gt;""""),ROWS(FILTER(Q$4:Q1122,Q$4:Q1122&lt;&gt;""""))),""^Sell_""),INDEX(FILTER(T$4:T1121,Q$4:Q1121&lt;&gt;""""),ROWS(FILTER(Q$4:Q1121,Q$4:Q1121&lt;&gt;""""))),$AD$5+S1122))"),"")</f>
        <v/>
      </c>
      <c r="U1122" s="10" t="str">
        <f>IFERROR(__xludf.DUMMYFUNCTION("IF(COUNTA(Q1122:Q1673)=0,"""",IF(Q1122="""",0,IF(REGEXMATCH(Q1122,""^Sell_""),-ROUNDDOWN(ROUNDUP(INDEX(Upgrades!$C$3:$C$13,MATCH(SUBSTITUTE(Q1122,""Sell_"",""""),Upgrades!$B$3:$B$13,0))*1.15^(COUNTIF(Q$4:Q1121,SUBSTITUTE(Q1122,""Sell_"",""""))-COUNTIF(Q$4"&amp;":Q1121,""Sell_""&amp;SUBSTITUTE(Q1122,""Sell_"",""""))))/2),ROUNDUP(INDEX(Upgrades!$C$3:$C$13,MATCH(Q1122,Upgrades!$B$3:$B$13,0))*1.15^(COUNTIF(Q$4:Q1121,Q1122)-COUNTIF(Q$4:Q1121,""Sell_""&amp;Q1122))))))"),"")</f>
        <v/>
      </c>
      <c r="V1122" s="10" t="str">
        <f t="shared" si="11"/>
        <v/>
      </c>
      <c r="W1122" s="68" t="str">
        <f t="shared" si="12"/>
        <v/>
      </c>
      <c r="X1122" s="59" t="str">
        <f t="shared" si="13"/>
        <v/>
      </c>
      <c r="Y1122" s="69" t="str">
        <f t="shared" si="14"/>
        <v/>
      </c>
      <c r="Z1122" s="11"/>
    </row>
    <row r="1123">
      <c r="A1123" s="8"/>
      <c r="B1123" s="56" t="str">
        <f t="shared" si="2"/>
        <v/>
      </c>
      <c r="C1123" s="105"/>
      <c r="D1123" s="10"/>
      <c r="E1123" s="59" t="str">
        <f t="array" ref="E1123">IF(COUNTA(C1123:C1673)=0,"",SUM((COUNTIF(C$4:C1123,Upgrades!$B$3:$B$13)-COUNTIF(C$4:C1123,"Sell_"&amp;Upgrades!$B$3:$B$13))*Upgrades!$D$3:$D$13))</f>
        <v/>
      </c>
      <c r="F1123" s="66" t="str">
        <f>IFERROR(__xludf.DUMMYFUNCTION("IF(COUNTA(C1123:C1673)=0,"""",IF(REGEXMATCH(INDEX(FILTER(C$4:C1123,C$4:C1123&lt;&gt;""""),ROWS(FILTER(C$4:C1123,C$4:C1123&lt;&gt;""""))),""^Sell_""),INDEX(FILTER(F$4:F1122,C$4:C1122&lt;&gt;""""),ROWS(FILTER(C$4:C1122,C$4:C1122&lt;&gt;""""))),$AC$5+E1123))"),"")</f>
        <v/>
      </c>
      <c r="G1123" s="10" t="str">
        <f>IFERROR(__xludf.DUMMYFUNCTION("IF(COUNTA(C1123:C1673)=0,"""",IF(C1123="""",0,IF(REGEXMATCH(C1123,""^Sell_""),-ROUNDDOWN(ROUNDUP(INDEX(Upgrades!$C$3:$C$13,MATCH(SUBSTITUTE(C1123,""Sell_"",""""),Upgrades!$B$3:$B$13,0))*1.15^(COUNTIF(C$4:C1122,SUBSTITUTE(C1123,""Sell_"",""""))-COUNTIF(C$4"&amp;":C1122,""Sell_""&amp;SUBSTITUTE(C1123,""Sell_"",""""))))/2),ROUNDUP(INDEX(Upgrades!$C$3:$C$13,MATCH(C1123,Upgrades!$B$3:$B$13,0))*1.15^(COUNTIF(C$4:C1122,C1123)-COUNTIF(C$4:C1122,""Sell_""&amp;C1123))))))"),"")</f>
        <v/>
      </c>
      <c r="H1123" s="10" t="str">
        <f t="shared" si="3"/>
        <v/>
      </c>
      <c r="I1123" s="68" t="str">
        <f t="shared" si="4"/>
        <v/>
      </c>
      <c r="J1123" s="59" t="str">
        <f t="shared" si="5"/>
        <v/>
      </c>
      <c r="K1123" s="69" t="str">
        <f t="shared" si="6"/>
        <v/>
      </c>
      <c r="L1123" s="60" t="str">
        <f t="shared" si="7"/>
        <v/>
      </c>
      <c r="M1123" s="61" t="str">
        <f>IFERROR(__xludf.DUMMYFUNCTION("IFS(AND(COUNTA(C1123:C1673)=0,COUNTA(Q1123:Q1673)=0),"""",OR(AND(K1123&gt;=1000000000,OR(Y1123&gt;=1000000000,COUNTA(Q1123:Q1673)=0)),OR(Y1123&gt;=1000000000,AND(COUNTA(C1123:C1673)=0,P$3=TRUE))),
ROUNDDOWN((AB$1-AC$1)*MAX(INDEX(T$4:T1673,MATCH(LARGE(FILTER(Y$4:Y1"&amp;"673,Y$4:Y1673&lt;1000000000),1),Y$4:Y1673)),INDEX(F$4:F1673,MATCH(LARGE(FILTER(K$4:K1673,K$4:K1673&lt;1000000000),1),K$4:K1673)))),AND(K1123&lt;1000000000,COUNTA(C1123:C1673)&gt;0,P$3=FALSE),
ROUNDDOWN(INDEX(Y$4:Y1673,MATCH(LARGE(FILTER(W$4:W1673,W$4:W1673&lt;=I1123),1)"&amp;",W$4:W1673))+(I1123-LARGE(FILTER(W$4:W1673,W$4:W1673&lt;=I1123),1))*INDEX(T$4:T1673,MATCH(LARGE(FILTER(W$4:W1673,W$4:W1673&lt;=I1123),1),W$4:W1673))-K1123),1,
ROUNDDOWN(Y1123-INDEX(K$4:K1673,MATCH(LARGE(FILTER(I$4:I1673,I$4:I1673&lt;=W1123),1),I$4:I1673))-(W1123-L"&amp;"ARGE(FILTER(I$4:I1673,I$4:I1673&lt;=W1123),1))*INDEX(F$4:F1673,MATCH(LARGE(FILTER(I$4:I1673,I$4:I1673&lt;=W1123),1),I$4:I1673))))"),"")</f>
        <v/>
      </c>
      <c r="N1123" s="60" t="str">
        <f t="shared" si="8"/>
        <v/>
      </c>
      <c r="O1123" s="61" t="str">
        <f t="shared" si="9"/>
        <v/>
      </c>
      <c r="P1123" s="56" t="str">
        <f t="shared" si="10"/>
        <v/>
      </c>
      <c r="Q1123" s="67"/>
      <c r="R1123" s="10"/>
      <c r="S1123" s="59" t="str">
        <f t="array" ref="S1123">IF(COUNTA(Q1123:Q1673)=0,"",SUM((COUNTIF(Q$4:Q1123,Upgrades!$B$3:$B$13)-COUNTIF(Q$4:Q1123,"Sell_"&amp;Upgrades!$B$3:$B$13))*Upgrades!$D$3:$D$13))</f>
        <v/>
      </c>
      <c r="T1123" s="66" t="str">
        <f>IFERROR(__xludf.DUMMYFUNCTION("IF(COUNTA(Q1123:Q1673)=0,"""",IF(REGEXMATCH(INDEX(FILTER(Q$4:Q1123,Q$4:Q1123&lt;&gt;""""),ROWS(FILTER(Q$4:Q1123,Q$4:Q1123&lt;&gt;""""))),""^Sell_""),INDEX(FILTER(T$4:T1122,Q$4:Q1122&lt;&gt;""""),ROWS(FILTER(Q$4:Q1122,Q$4:Q1122&lt;&gt;""""))),$AD$5+S1123))"),"")</f>
        <v/>
      </c>
      <c r="U1123" s="10" t="str">
        <f>IFERROR(__xludf.DUMMYFUNCTION("IF(COUNTA(Q1123:Q1673)=0,"""",IF(Q1123="""",0,IF(REGEXMATCH(Q1123,""^Sell_""),-ROUNDDOWN(ROUNDUP(INDEX(Upgrades!$C$3:$C$13,MATCH(SUBSTITUTE(Q1123,""Sell_"",""""),Upgrades!$B$3:$B$13,0))*1.15^(COUNTIF(Q$4:Q1122,SUBSTITUTE(Q1123,""Sell_"",""""))-COUNTIF(Q$4"&amp;":Q1122,""Sell_""&amp;SUBSTITUTE(Q1123,""Sell_"",""""))))/2),ROUNDUP(INDEX(Upgrades!$C$3:$C$13,MATCH(Q1123,Upgrades!$B$3:$B$13,0))*1.15^(COUNTIF(Q$4:Q1122,Q1123)-COUNTIF(Q$4:Q1122,""Sell_""&amp;Q1123))))))"),"")</f>
        <v/>
      </c>
      <c r="V1123" s="10" t="str">
        <f t="shared" si="11"/>
        <v/>
      </c>
      <c r="W1123" s="68" t="str">
        <f t="shared" si="12"/>
        <v/>
      </c>
      <c r="X1123" s="59" t="str">
        <f t="shared" si="13"/>
        <v/>
      </c>
      <c r="Y1123" s="69" t="str">
        <f t="shared" si="14"/>
        <v/>
      </c>
      <c r="Z1123" s="11"/>
    </row>
    <row r="1124">
      <c r="A1124" s="8"/>
      <c r="B1124" s="56" t="str">
        <f t="shared" si="2"/>
        <v/>
      </c>
      <c r="C1124" s="105"/>
      <c r="D1124" s="10"/>
      <c r="E1124" s="59" t="str">
        <f t="array" ref="E1124">IF(COUNTA(C1124:C1673)=0,"",SUM((COUNTIF(C$4:C1124,Upgrades!$B$3:$B$13)-COUNTIF(C$4:C1124,"Sell_"&amp;Upgrades!$B$3:$B$13))*Upgrades!$D$3:$D$13))</f>
        <v/>
      </c>
      <c r="F1124" s="66" t="str">
        <f>IFERROR(__xludf.DUMMYFUNCTION("IF(COUNTA(C1124:C1673)=0,"""",IF(REGEXMATCH(INDEX(FILTER(C$4:C1124,C$4:C1124&lt;&gt;""""),ROWS(FILTER(C$4:C1124,C$4:C1124&lt;&gt;""""))),""^Sell_""),INDEX(FILTER(F$4:F1123,C$4:C1123&lt;&gt;""""),ROWS(FILTER(C$4:C1123,C$4:C1123&lt;&gt;""""))),$AC$5+E1124))"),"")</f>
        <v/>
      </c>
      <c r="G1124" s="10" t="str">
        <f>IFERROR(__xludf.DUMMYFUNCTION("IF(COUNTA(C1124:C1673)=0,"""",IF(C1124="""",0,IF(REGEXMATCH(C1124,""^Sell_""),-ROUNDDOWN(ROUNDUP(INDEX(Upgrades!$C$3:$C$13,MATCH(SUBSTITUTE(C1124,""Sell_"",""""),Upgrades!$B$3:$B$13,0))*1.15^(COUNTIF(C$4:C1123,SUBSTITUTE(C1124,""Sell_"",""""))-COUNTIF(C$4"&amp;":C1123,""Sell_""&amp;SUBSTITUTE(C1124,""Sell_"",""""))))/2),ROUNDUP(INDEX(Upgrades!$C$3:$C$13,MATCH(C1124,Upgrades!$B$3:$B$13,0))*1.15^(COUNTIF(C$4:C1123,C1124)-COUNTIF(C$4:C1123,""Sell_""&amp;C1124))))))"),"")</f>
        <v/>
      </c>
      <c r="H1124" s="10" t="str">
        <f t="shared" si="3"/>
        <v/>
      </c>
      <c r="I1124" s="68" t="str">
        <f t="shared" si="4"/>
        <v/>
      </c>
      <c r="J1124" s="59" t="str">
        <f t="shared" si="5"/>
        <v/>
      </c>
      <c r="K1124" s="69" t="str">
        <f t="shared" si="6"/>
        <v/>
      </c>
      <c r="L1124" s="60" t="str">
        <f t="shared" si="7"/>
        <v/>
      </c>
      <c r="M1124" s="61" t="str">
        <f>IFERROR(__xludf.DUMMYFUNCTION("IFS(AND(COUNTA(C1124:C1673)=0,COUNTA(Q1124:Q1673)=0),"""",OR(AND(K1124&gt;=1000000000,OR(Y1124&gt;=1000000000,COUNTA(Q1124:Q1673)=0)),OR(Y1124&gt;=1000000000,AND(COUNTA(C1124:C1673)=0,P$3=TRUE))),
ROUNDDOWN((AB$1-AC$1)*MAX(INDEX(T$4:T1673,MATCH(LARGE(FILTER(Y$4:Y1"&amp;"673,Y$4:Y1673&lt;1000000000),1),Y$4:Y1673)),INDEX(F$4:F1673,MATCH(LARGE(FILTER(K$4:K1673,K$4:K1673&lt;1000000000),1),K$4:K1673)))),AND(K1124&lt;1000000000,COUNTA(C1124:C1673)&gt;0,P$3=FALSE),
ROUNDDOWN(INDEX(Y$4:Y1673,MATCH(LARGE(FILTER(W$4:W1673,W$4:W1673&lt;=I1124),1)"&amp;",W$4:W1673))+(I1124-LARGE(FILTER(W$4:W1673,W$4:W1673&lt;=I1124),1))*INDEX(T$4:T1673,MATCH(LARGE(FILTER(W$4:W1673,W$4:W1673&lt;=I1124),1),W$4:W1673))-K1124),1,
ROUNDDOWN(Y1124-INDEX(K$4:K1673,MATCH(LARGE(FILTER(I$4:I1673,I$4:I1673&lt;=W1124),1),I$4:I1673))-(W1124-L"&amp;"ARGE(FILTER(I$4:I1673,I$4:I1673&lt;=W1124),1))*INDEX(F$4:F1673,MATCH(LARGE(FILTER(I$4:I1673,I$4:I1673&lt;=W1124),1),I$4:I1673))))"),"")</f>
        <v/>
      </c>
      <c r="N1124" s="60" t="str">
        <f t="shared" si="8"/>
        <v/>
      </c>
      <c r="O1124" s="61" t="str">
        <f t="shared" si="9"/>
        <v/>
      </c>
      <c r="P1124" s="56" t="str">
        <f t="shared" si="10"/>
        <v/>
      </c>
      <c r="Q1124" s="67"/>
      <c r="R1124" s="10"/>
      <c r="S1124" s="59" t="str">
        <f t="array" ref="S1124">IF(COUNTA(Q1124:Q1673)=0,"",SUM((COUNTIF(Q$4:Q1124,Upgrades!$B$3:$B$13)-COUNTIF(Q$4:Q1124,"Sell_"&amp;Upgrades!$B$3:$B$13))*Upgrades!$D$3:$D$13))</f>
        <v/>
      </c>
      <c r="T1124" s="66" t="str">
        <f>IFERROR(__xludf.DUMMYFUNCTION("IF(COUNTA(Q1124:Q1673)=0,"""",IF(REGEXMATCH(INDEX(FILTER(Q$4:Q1124,Q$4:Q1124&lt;&gt;""""),ROWS(FILTER(Q$4:Q1124,Q$4:Q1124&lt;&gt;""""))),""^Sell_""),INDEX(FILTER(T$4:T1123,Q$4:Q1123&lt;&gt;""""),ROWS(FILTER(Q$4:Q1123,Q$4:Q1123&lt;&gt;""""))),$AD$5+S1124))"),"")</f>
        <v/>
      </c>
      <c r="U1124" s="10" t="str">
        <f>IFERROR(__xludf.DUMMYFUNCTION("IF(COUNTA(Q1124:Q1673)=0,"""",IF(Q1124="""",0,IF(REGEXMATCH(Q1124,""^Sell_""),-ROUNDDOWN(ROUNDUP(INDEX(Upgrades!$C$3:$C$13,MATCH(SUBSTITUTE(Q1124,""Sell_"",""""),Upgrades!$B$3:$B$13,0))*1.15^(COUNTIF(Q$4:Q1123,SUBSTITUTE(Q1124,""Sell_"",""""))-COUNTIF(Q$4"&amp;":Q1123,""Sell_""&amp;SUBSTITUTE(Q1124,""Sell_"",""""))))/2),ROUNDUP(INDEX(Upgrades!$C$3:$C$13,MATCH(Q1124,Upgrades!$B$3:$B$13,0))*1.15^(COUNTIF(Q$4:Q1123,Q1124)-COUNTIF(Q$4:Q1123,""Sell_""&amp;Q1124))))))"),"")</f>
        <v/>
      </c>
      <c r="V1124" s="10" t="str">
        <f t="shared" si="11"/>
        <v/>
      </c>
      <c r="W1124" s="68" t="str">
        <f t="shared" si="12"/>
        <v/>
      </c>
      <c r="X1124" s="59" t="str">
        <f t="shared" si="13"/>
        <v/>
      </c>
      <c r="Y1124" s="69" t="str">
        <f t="shared" si="14"/>
        <v/>
      </c>
      <c r="Z1124" s="11"/>
    </row>
    <row r="1125">
      <c r="A1125" s="8"/>
      <c r="B1125" s="56" t="str">
        <f t="shared" si="2"/>
        <v/>
      </c>
      <c r="C1125" s="105"/>
      <c r="D1125" s="10"/>
      <c r="E1125" s="59" t="str">
        <f t="array" ref="E1125">IF(COUNTA(C1125:C1673)=0,"",SUM((COUNTIF(C$4:C1125,Upgrades!$B$3:$B$13)-COUNTIF(C$4:C1125,"Sell_"&amp;Upgrades!$B$3:$B$13))*Upgrades!$D$3:$D$13))</f>
        <v/>
      </c>
      <c r="F1125" s="66" t="str">
        <f>IFERROR(__xludf.DUMMYFUNCTION("IF(COUNTA(C1125:C1673)=0,"""",IF(REGEXMATCH(INDEX(FILTER(C$4:C1125,C$4:C1125&lt;&gt;""""),ROWS(FILTER(C$4:C1125,C$4:C1125&lt;&gt;""""))),""^Sell_""),INDEX(FILTER(F$4:F1124,C$4:C1124&lt;&gt;""""),ROWS(FILTER(C$4:C1124,C$4:C1124&lt;&gt;""""))),$AC$5+E1125))"),"")</f>
        <v/>
      </c>
      <c r="G1125" s="10" t="str">
        <f>IFERROR(__xludf.DUMMYFUNCTION("IF(COUNTA(C1125:C1673)=0,"""",IF(C1125="""",0,IF(REGEXMATCH(C1125,""^Sell_""),-ROUNDDOWN(ROUNDUP(INDEX(Upgrades!$C$3:$C$13,MATCH(SUBSTITUTE(C1125,""Sell_"",""""),Upgrades!$B$3:$B$13,0))*1.15^(COUNTIF(C$4:C1124,SUBSTITUTE(C1125,""Sell_"",""""))-COUNTIF(C$4"&amp;":C1124,""Sell_""&amp;SUBSTITUTE(C1125,""Sell_"",""""))))/2),ROUNDUP(INDEX(Upgrades!$C$3:$C$13,MATCH(C1125,Upgrades!$B$3:$B$13,0))*1.15^(COUNTIF(C$4:C1124,C1125)-COUNTIF(C$4:C1124,""Sell_""&amp;C1125))))))"),"")</f>
        <v/>
      </c>
      <c r="H1125" s="10" t="str">
        <f t="shared" si="3"/>
        <v/>
      </c>
      <c r="I1125" s="68" t="str">
        <f t="shared" si="4"/>
        <v/>
      </c>
      <c r="J1125" s="59" t="str">
        <f t="shared" si="5"/>
        <v/>
      </c>
      <c r="K1125" s="69" t="str">
        <f t="shared" si="6"/>
        <v/>
      </c>
      <c r="L1125" s="60" t="str">
        <f t="shared" si="7"/>
        <v/>
      </c>
      <c r="M1125" s="61" t="str">
        <f>IFERROR(__xludf.DUMMYFUNCTION("IFS(AND(COUNTA(C1125:C1673)=0,COUNTA(Q1125:Q1673)=0),"""",OR(AND(K1125&gt;=1000000000,OR(Y1125&gt;=1000000000,COUNTA(Q1125:Q1673)=0)),OR(Y1125&gt;=1000000000,AND(COUNTA(C1125:C1673)=0,P$3=TRUE))),
ROUNDDOWN((AB$1-AC$1)*MAX(INDEX(T$4:T1673,MATCH(LARGE(FILTER(Y$4:Y1"&amp;"673,Y$4:Y1673&lt;1000000000),1),Y$4:Y1673)),INDEX(F$4:F1673,MATCH(LARGE(FILTER(K$4:K1673,K$4:K1673&lt;1000000000),1),K$4:K1673)))),AND(K1125&lt;1000000000,COUNTA(C1125:C1673)&gt;0,P$3=FALSE),
ROUNDDOWN(INDEX(Y$4:Y1673,MATCH(LARGE(FILTER(W$4:W1673,W$4:W1673&lt;=I1125),1)"&amp;",W$4:W1673))+(I1125-LARGE(FILTER(W$4:W1673,W$4:W1673&lt;=I1125),1))*INDEX(T$4:T1673,MATCH(LARGE(FILTER(W$4:W1673,W$4:W1673&lt;=I1125),1),W$4:W1673))-K1125),1,
ROUNDDOWN(Y1125-INDEX(K$4:K1673,MATCH(LARGE(FILTER(I$4:I1673,I$4:I1673&lt;=W1125),1),I$4:I1673))-(W1125-L"&amp;"ARGE(FILTER(I$4:I1673,I$4:I1673&lt;=W1125),1))*INDEX(F$4:F1673,MATCH(LARGE(FILTER(I$4:I1673,I$4:I1673&lt;=W1125),1),I$4:I1673))))"),"")</f>
        <v/>
      </c>
      <c r="N1125" s="60" t="str">
        <f t="shared" si="8"/>
        <v/>
      </c>
      <c r="O1125" s="61" t="str">
        <f t="shared" si="9"/>
        <v/>
      </c>
      <c r="P1125" s="56" t="str">
        <f t="shared" si="10"/>
        <v/>
      </c>
      <c r="Q1125" s="67"/>
      <c r="R1125" s="10"/>
      <c r="S1125" s="59" t="str">
        <f t="array" ref="S1125">IF(COUNTA(Q1125:Q1673)=0,"",SUM((COUNTIF(Q$4:Q1125,Upgrades!$B$3:$B$13)-COUNTIF(Q$4:Q1125,"Sell_"&amp;Upgrades!$B$3:$B$13))*Upgrades!$D$3:$D$13))</f>
        <v/>
      </c>
      <c r="T1125" s="66" t="str">
        <f>IFERROR(__xludf.DUMMYFUNCTION("IF(COUNTA(Q1125:Q1673)=0,"""",IF(REGEXMATCH(INDEX(FILTER(Q$4:Q1125,Q$4:Q1125&lt;&gt;""""),ROWS(FILTER(Q$4:Q1125,Q$4:Q1125&lt;&gt;""""))),""^Sell_""),INDEX(FILTER(T$4:T1124,Q$4:Q1124&lt;&gt;""""),ROWS(FILTER(Q$4:Q1124,Q$4:Q1124&lt;&gt;""""))),$AD$5+S1125))"),"")</f>
        <v/>
      </c>
      <c r="U1125" s="10" t="str">
        <f>IFERROR(__xludf.DUMMYFUNCTION("IF(COUNTA(Q1125:Q1673)=0,"""",IF(Q1125="""",0,IF(REGEXMATCH(Q1125,""^Sell_""),-ROUNDDOWN(ROUNDUP(INDEX(Upgrades!$C$3:$C$13,MATCH(SUBSTITUTE(Q1125,""Sell_"",""""),Upgrades!$B$3:$B$13,0))*1.15^(COUNTIF(Q$4:Q1124,SUBSTITUTE(Q1125,""Sell_"",""""))-COUNTIF(Q$4"&amp;":Q1124,""Sell_""&amp;SUBSTITUTE(Q1125,""Sell_"",""""))))/2),ROUNDUP(INDEX(Upgrades!$C$3:$C$13,MATCH(Q1125,Upgrades!$B$3:$B$13,0))*1.15^(COUNTIF(Q$4:Q1124,Q1125)-COUNTIF(Q$4:Q1124,""Sell_""&amp;Q1125))))))"),"")</f>
        <v/>
      </c>
      <c r="V1125" s="10" t="str">
        <f t="shared" si="11"/>
        <v/>
      </c>
      <c r="W1125" s="68" t="str">
        <f t="shared" si="12"/>
        <v/>
      </c>
      <c r="X1125" s="59" t="str">
        <f t="shared" si="13"/>
        <v/>
      </c>
      <c r="Y1125" s="69" t="str">
        <f t="shared" si="14"/>
        <v/>
      </c>
      <c r="Z1125" s="11"/>
    </row>
    <row r="1126">
      <c r="A1126" s="8"/>
      <c r="B1126" s="56" t="str">
        <f t="shared" si="2"/>
        <v/>
      </c>
      <c r="C1126" s="105"/>
      <c r="D1126" s="10"/>
      <c r="E1126" s="59" t="str">
        <f t="array" ref="E1126">IF(COUNTA(C1126:C1673)=0,"",SUM((COUNTIF(C$4:C1126,Upgrades!$B$3:$B$13)-COUNTIF(C$4:C1126,"Sell_"&amp;Upgrades!$B$3:$B$13))*Upgrades!$D$3:$D$13))</f>
        <v/>
      </c>
      <c r="F1126" s="66" t="str">
        <f>IFERROR(__xludf.DUMMYFUNCTION("IF(COUNTA(C1126:C1673)=0,"""",IF(REGEXMATCH(INDEX(FILTER(C$4:C1126,C$4:C1126&lt;&gt;""""),ROWS(FILTER(C$4:C1126,C$4:C1126&lt;&gt;""""))),""^Sell_""),INDEX(FILTER(F$4:F1125,C$4:C1125&lt;&gt;""""),ROWS(FILTER(C$4:C1125,C$4:C1125&lt;&gt;""""))),$AC$5+E1126))"),"")</f>
        <v/>
      </c>
      <c r="G1126" s="10" t="str">
        <f>IFERROR(__xludf.DUMMYFUNCTION("IF(COUNTA(C1126:C1673)=0,"""",IF(C1126="""",0,IF(REGEXMATCH(C1126,""^Sell_""),-ROUNDDOWN(ROUNDUP(INDEX(Upgrades!$C$3:$C$13,MATCH(SUBSTITUTE(C1126,""Sell_"",""""),Upgrades!$B$3:$B$13,0))*1.15^(COUNTIF(C$4:C1125,SUBSTITUTE(C1126,""Sell_"",""""))-COUNTIF(C$4"&amp;":C1125,""Sell_""&amp;SUBSTITUTE(C1126,""Sell_"",""""))))/2),ROUNDUP(INDEX(Upgrades!$C$3:$C$13,MATCH(C1126,Upgrades!$B$3:$B$13,0))*1.15^(COUNTIF(C$4:C1125,C1126)-COUNTIF(C$4:C1125,""Sell_""&amp;C1126))))))"),"")</f>
        <v/>
      </c>
      <c r="H1126" s="10" t="str">
        <f t="shared" si="3"/>
        <v/>
      </c>
      <c r="I1126" s="68" t="str">
        <f t="shared" si="4"/>
        <v/>
      </c>
      <c r="J1126" s="59" t="str">
        <f t="shared" si="5"/>
        <v/>
      </c>
      <c r="K1126" s="69" t="str">
        <f t="shared" si="6"/>
        <v/>
      </c>
      <c r="L1126" s="60" t="str">
        <f t="shared" si="7"/>
        <v/>
      </c>
      <c r="M1126" s="61" t="str">
        <f>IFERROR(__xludf.DUMMYFUNCTION("IFS(AND(COUNTA(C1126:C1673)=0,COUNTA(Q1126:Q1673)=0),"""",OR(AND(K1126&gt;=1000000000,OR(Y1126&gt;=1000000000,COUNTA(Q1126:Q1673)=0)),OR(Y1126&gt;=1000000000,AND(COUNTA(C1126:C1673)=0,P$3=TRUE))),
ROUNDDOWN((AB$1-AC$1)*MAX(INDEX(T$4:T1673,MATCH(LARGE(FILTER(Y$4:Y1"&amp;"673,Y$4:Y1673&lt;1000000000),1),Y$4:Y1673)),INDEX(F$4:F1673,MATCH(LARGE(FILTER(K$4:K1673,K$4:K1673&lt;1000000000),1),K$4:K1673)))),AND(K1126&lt;1000000000,COUNTA(C1126:C1673)&gt;0,P$3=FALSE),
ROUNDDOWN(INDEX(Y$4:Y1673,MATCH(LARGE(FILTER(W$4:W1673,W$4:W1673&lt;=I1126),1)"&amp;",W$4:W1673))+(I1126-LARGE(FILTER(W$4:W1673,W$4:W1673&lt;=I1126),1))*INDEX(T$4:T1673,MATCH(LARGE(FILTER(W$4:W1673,W$4:W1673&lt;=I1126),1),W$4:W1673))-K1126),1,
ROUNDDOWN(Y1126-INDEX(K$4:K1673,MATCH(LARGE(FILTER(I$4:I1673,I$4:I1673&lt;=W1126),1),I$4:I1673))-(W1126-L"&amp;"ARGE(FILTER(I$4:I1673,I$4:I1673&lt;=W1126),1))*INDEX(F$4:F1673,MATCH(LARGE(FILTER(I$4:I1673,I$4:I1673&lt;=W1126),1),I$4:I1673))))"),"")</f>
        <v/>
      </c>
      <c r="N1126" s="60" t="str">
        <f t="shared" si="8"/>
        <v/>
      </c>
      <c r="O1126" s="61" t="str">
        <f t="shared" si="9"/>
        <v/>
      </c>
      <c r="P1126" s="56" t="str">
        <f t="shared" si="10"/>
        <v/>
      </c>
      <c r="Q1126" s="67"/>
      <c r="R1126" s="10"/>
      <c r="S1126" s="59" t="str">
        <f t="array" ref="S1126">IF(COUNTA(Q1126:Q1673)=0,"",SUM((COUNTIF(Q$4:Q1126,Upgrades!$B$3:$B$13)-COUNTIF(Q$4:Q1126,"Sell_"&amp;Upgrades!$B$3:$B$13))*Upgrades!$D$3:$D$13))</f>
        <v/>
      </c>
      <c r="T1126" s="66" t="str">
        <f>IFERROR(__xludf.DUMMYFUNCTION("IF(COUNTA(Q1126:Q1673)=0,"""",IF(REGEXMATCH(INDEX(FILTER(Q$4:Q1126,Q$4:Q1126&lt;&gt;""""),ROWS(FILTER(Q$4:Q1126,Q$4:Q1126&lt;&gt;""""))),""^Sell_""),INDEX(FILTER(T$4:T1125,Q$4:Q1125&lt;&gt;""""),ROWS(FILTER(Q$4:Q1125,Q$4:Q1125&lt;&gt;""""))),$AD$5+S1126))"),"")</f>
        <v/>
      </c>
      <c r="U1126" s="10" t="str">
        <f>IFERROR(__xludf.DUMMYFUNCTION("IF(COUNTA(Q1126:Q1673)=0,"""",IF(Q1126="""",0,IF(REGEXMATCH(Q1126,""^Sell_""),-ROUNDDOWN(ROUNDUP(INDEX(Upgrades!$C$3:$C$13,MATCH(SUBSTITUTE(Q1126,""Sell_"",""""),Upgrades!$B$3:$B$13,0))*1.15^(COUNTIF(Q$4:Q1125,SUBSTITUTE(Q1126,""Sell_"",""""))-COUNTIF(Q$4"&amp;":Q1125,""Sell_""&amp;SUBSTITUTE(Q1126,""Sell_"",""""))))/2),ROUNDUP(INDEX(Upgrades!$C$3:$C$13,MATCH(Q1126,Upgrades!$B$3:$B$13,0))*1.15^(COUNTIF(Q$4:Q1125,Q1126)-COUNTIF(Q$4:Q1125,""Sell_""&amp;Q1126))))))"),"")</f>
        <v/>
      </c>
      <c r="V1126" s="10" t="str">
        <f t="shared" si="11"/>
        <v/>
      </c>
      <c r="W1126" s="68" t="str">
        <f t="shared" si="12"/>
        <v/>
      </c>
      <c r="X1126" s="59" t="str">
        <f t="shared" si="13"/>
        <v/>
      </c>
      <c r="Y1126" s="69" t="str">
        <f t="shared" si="14"/>
        <v/>
      </c>
      <c r="Z1126" s="11"/>
    </row>
    <row r="1127">
      <c r="A1127" s="8"/>
      <c r="B1127" s="56" t="str">
        <f t="shared" si="2"/>
        <v/>
      </c>
      <c r="C1127" s="105"/>
      <c r="D1127" s="10"/>
      <c r="E1127" s="59" t="str">
        <f t="array" ref="E1127">IF(COUNTA(C1127:C1673)=0,"",SUM((COUNTIF(C$4:C1127,Upgrades!$B$3:$B$13)-COUNTIF(C$4:C1127,"Sell_"&amp;Upgrades!$B$3:$B$13))*Upgrades!$D$3:$D$13))</f>
        <v/>
      </c>
      <c r="F1127" s="66" t="str">
        <f>IFERROR(__xludf.DUMMYFUNCTION("IF(COUNTA(C1127:C1673)=0,"""",IF(REGEXMATCH(INDEX(FILTER(C$4:C1127,C$4:C1127&lt;&gt;""""),ROWS(FILTER(C$4:C1127,C$4:C1127&lt;&gt;""""))),""^Sell_""),INDEX(FILTER(F$4:F1126,C$4:C1126&lt;&gt;""""),ROWS(FILTER(C$4:C1126,C$4:C1126&lt;&gt;""""))),$AC$5+E1127))"),"")</f>
        <v/>
      </c>
      <c r="G1127" s="10" t="str">
        <f>IFERROR(__xludf.DUMMYFUNCTION("IF(COUNTA(C1127:C1673)=0,"""",IF(C1127="""",0,IF(REGEXMATCH(C1127,""^Sell_""),-ROUNDDOWN(ROUNDUP(INDEX(Upgrades!$C$3:$C$13,MATCH(SUBSTITUTE(C1127,""Sell_"",""""),Upgrades!$B$3:$B$13,0))*1.15^(COUNTIF(C$4:C1126,SUBSTITUTE(C1127,""Sell_"",""""))-COUNTIF(C$4"&amp;":C1126,""Sell_""&amp;SUBSTITUTE(C1127,""Sell_"",""""))))/2),ROUNDUP(INDEX(Upgrades!$C$3:$C$13,MATCH(C1127,Upgrades!$B$3:$B$13,0))*1.15^(COUNTIF(C$4:C1126,C1127)-COUNTIF(C$4:C1126,""Sell_""&amp;C1127))))))"),"")</f>
        <v/>
      </c>
      <c r="H1127" s="10" t="str">
        <f t="shared" si="3"/>
        <v/>
      </c>
      <c r="I1127" s="68" t="str">
        <f t="shared" si="4"/>
        <v/>
      </c>
      <c r="J1127" s="59" t="str">
        <f t="shared" si="5"/>
        <v/>
      </c>
      <c r="K1127" s="69" t="str">
        <f t="shared" si="6"/>
        <v/>
      </c>
      <c r="L1127" s="60" t="str">
        <f t="shared" si="7"/>
        <v/>
      </c>
      <c r="M1127" s="61" t="str">
        <f>IFERROR(__xludf.DUMMYFUNCTION("IFS(AND(COUNTA(C1127:C1673)=0,COUNTA(Q1127:Q1673)=0),"""",OR(AND(K1127&gt;=1000000000,OR(Y1127&gt;=1000000000,COUNTA(Q1127:Q1673)=0)),OR(Y1127&gt;=1000000000,AND(COUNTA(C1127:C1673)=0,P$3=TRUE))),
ROUNDDOWN((AB$1-AC$1)*MAX(INDEX(T$4:T1673,MATCH(LARGE(FILTER(Y$4:Y1"&amp;"673,Y$4:Y1673&lt;1000000000),1),Y$4:Y1673)),INDEX(F$4:F1673,MATCH(LARGE(FILTER(K$4:K1673,K$4:K1673&lt;1000000000),1),K$4:K1673)))),AND(K1127&lt;1000000000,COUNTA(C1127:C1673)&gt;0,P$3=FALSE),
ROUNDDOWN(INDEX(Y$4:Y1673,MATCH(LARGE(FILTER(W$4:W1673,W$4:W1673&lt;=I1127),1)"&amp;",W$4:W1673))+(I1127-LARGE(FILTER(W$4:W1673,W$4:W1673&lt;=I1127),1))*INDEX(T$4:T1673,MATCH(LARGE(FILTER(W$4:W1673,W$4:W1673&lt;=I1127),1),W$4:W1673))-K1127),1,
ROUNDDOWN(Y1127-INDEX(K$4:K1673,MATCH(LARGE(FILTER(I$4:I1673,I$4:I1673&lt;=W1127),1),I$4:I1673))-(W1127-L"&amp;"ARGE(FILTER(I$4:I1673,I$4:I1673&lt;=W1127),1))*INDEX(F$4:F1673,MATCH(LARGE(FILTER(I$4:I1673,I$4:I1673&lt;=W1127),1),I$4:I1673))))"),"")</f>
        <v/>
      </c>
      <c r="N1127" s="60" t="str">
        <f t="shared" si="8"/>
        <v/>
      </c>
      <c r="O1127" s="61" t="str">
        <f t="shared" si="9"/>
        <v/>
      </c>
      <c r="P1127" s="56" t="str">
        <f t="shared" si="10"/>
        <v/>
      </c>
      <c r="Q1127" s="67"/>
      <c r="R1127" s="10"/>
      <c r="S1127" s="59" t="str">
        <f t="array" ref="S1127">IF(COUNTA(Q1127:Q1673)=0,"",SUM((COUNTIF(Q$4:Q1127,Upgrades!$B$3:$B$13)-COUNTIF(Q$4:Q1127,"Sell_"&amp;Upgrades!$B$3:$B$13))*Upgrades!$D$3:$D$13))</f>
        <v/>
      </c>
      <c r="T1127" s="66" t="str">
        <f>IFERROR(__xludf.DUMMYFUNCTION("IF(COUNTA(Q1127:Q1673)=0,"""",IF(REGEXMATCH(INDEX(FILTER(Q$4:Q1127,Q$4:Q1127&lt;&gt;""""),ROWS(FILTER(Q$4:Q1127,Q$4:Q1127&lt;&gt;""""))),""^Sell_""),INDEX(FILTER(T$4:T1126,Q$4:Q1126&lt;&gt;""""),ROWS(FILTER(Q$4:Q1126,Q$4:Q1126&lt;&gt;""""))),$AD$5+S1127))"),"")</f>
        <v/>
      </c>
      <c r="U1127" s="10" t="str">
        <f>IFERROR(__xludf.DUMMYFUNCTION("IF(COUNTA(Q1127:Q1673)=0,"""",IF(Q1127="""",0,IF(REGEXMATCH(Q1127,""^Sell_""),-ROUNDDOWN(ROUNDUP(INDEX(Upgrades!$C$3:$C$13,MATCH(SUBSTITUTE(Q1127,""Sell_"",""""),Upgrades!$B$3:$B$13,0))*1.15^(COUNTIF(Q$4:Q1126,SUBSTITUTE(Q1127,""Sell_"",""""))-COUNTIF(Q$4"&amp;":Q1126,""Sell_""&amp;SUBSTITUTE(Q1127,""Sell_"",""""))))/2),ROUNDUP(INDEX(Upgrades!$C$3:$C$13,MATCH(Q1127,Upgrades!$B$3:$B$13,0))*1.15^(COUNTIF(Q$4:Q1126,Q1127)-COUNTIF(Q$4:Q1126,""Sell_""&amp;Q1127))))))"),"")</f>
        <v/>
      </c>
      <c r="V1127" s="10" t="str">
        <f t="shared" si="11"/>
        <v/>
      </c>
      <c r="W1127" s="68" t="str">
        <f t="shared" si="12"/>
        <v/>
      </c>
      <c r="X1127" s="59" t="str">
        <f t="shared" si="13"/>
        <v/>
      </c>
      <c r="Y1127" s="69" t="str">
        <f t="shared" si="14"/>
        <v/>
      </c>
      <c r="Z1127" s="11"/>
    </row>
    <row r="1128">
      <c r="A1128" s="8"/>
      <c r="B1128" s="56" t="str">
        <f t="shared" si="2"/>
        <v/>
      </c>
      <c r="C1128" s="105"/>
      <c r="D1128" s="10"/>
      <c r="E1128" s="59" t="str">
        <f t="array" ref="E1128">IF(COUNTA(C1128:C1673)=0,"",SUM((COUNTIF(C$4:C1128,Upgrades!$B$3:$B$13)-COUNTIF(C$4:C1128,"Sell_"&amp;Upgrades!$B$3:$B$13))*Upgrades!$D$3:$D$13))</f>
        <v/>
      </c>
      <c r="F1128" s="66" t="str">
        <f>IFERROR(__xludf.DUMMYFUNCTION("IF(COUNTA(C1128:C1673)=0,"""",IF(REGEXMATCH(INDEX(FILTER(C$4:C1128,C$4:C1128&lt;&gt;""""),ROWS(FILTER(C$4:C1128,C$4:C1128&lt;&gt;""""))),""^Sell_""),INDEX(FILTER(F$4:F1127,C$4:C1127&lt;&gt;""""),ROWS(FILTER(C$4:C1127,C$4:C1127&lt;&gt;""""))),$AC$5+E1128))"),"")</f>
        <v/>
      </c>
      <c r="G1128" s="10" t="str">
        <f>IFERROR(__xludf.DUMMYFUNCTION("IF(COUNTA(C1128:C1673)=0,"""",IF(C1128="""",0,IF(REGEXMATCH(C1128,""^Sell_""),-ROUNDDOWN(ROUNDUP(INDEX(Upgrades!$C$3:$C$13,MATCH(SUBSTITUTE(C1128,""Sell_"",""""),Upgrades!$B$3:$B$13,0))*1.15^(COUNTIF(C$4:C1127,SUBSTITUTE(C1128,""Sell_"",""""))-COUNTIF(C$4"&amp;":C1127,""Sell_""&amp;SUBSTITUTE(C1128,""Sell_"",""""))))/2),ROUNDUP(INDEX(Upgrades!$C$3:$C$13,MATCH(C1128,Upgrades!$B$3:$B$13,0))*1.15^(COUNTIF(C$4:C1127,C1128)-COUNTIF(C$4:C1127,""Sell_""&amp;C1128))))))"),"")</f>
        <v/>
      </c>
      <c r="H1128" s="10" t="str">
        <f t="shared" si="3"/>
        <v/>
      </c>
      <c r="I1128" s="68" t="str">
        <f t="shared" si="4"/>
        <v/>
      </c>
      <c r="J1128" s="59" t="str">
        <f t="shared" si="5"/>
        <v/>
      </c>
      <c r="K1128" s="69" t="str">
        <f t="shared" si="6"/>
        <v/>
      </c>
      <c r="L1128" s="60" t="str">
        <f t="shared" si="7"/>
        <v/>
      </c>
      <c r="M1128" s="61" t="str">
        <f>IFERROR(__xludf.DUMMYFUNCTION("IFS(AND(COUNTA(C1128:C1673)=0,COUNTA(Q1128:Q1673)=0),"""",OR(AND(K1128&gt;=1000000000,OR(Y1128&gt;=1000000000,COUNTA(Q1128:Q1673)=0)),OR(Y1128&gt;=1000000000,AND(COUNTA(C1128:C1673)=0,P$3=TRUE))),
ROUNDDOWN((AB$1-AC$1)*MAX(INDEX(T$4:T1673,MATCH(LARGE(FILTER(Y$4:Y1"&amp;"673,Y$4:Y1673&lt;1000000000),1),Y$4:Y1673)),INDEX(F$4:F1673,MATCH(LARGE(FILTER(K$4:K1673,K$4:K1673&lt;1000000000),1),K$4:K1673)))),AND(K1128&lt;1000000000,COUNTA(C1128:C1673)&gt;0,P$3=FALSE),
ROUNDDOWN(INDEX(Y$4:Y1673,MATCH(LARGE(FILTER(W$4:W1673,W$4:W1673&lt;=I1128),1)"&amp;",W$4:W1673))+(I1128-LARGE(FILTER(W$4:W1673,W$4:W1673&lt;=I1128),1))*INDEX(T$4:T1673,MATCH(LARGE(FILTER(W$4:W1673,W$4:W1673&lt;=I1128),1),W$4:W1673))-K1128),1,
ROUNDDOWN(Y1128-INDEX(K$4:K1673,MATCH(LARGE(FILTER(I$4:I1673,I$4:I1673&lt;=W1128),1),I$4:I1673))-(W1128-L"&amp;"ARGE(FILTER(I$4:I1673,I$4:I1673&lt;=W1128),1))*INDEX(F$4:F1673,MATCH(LARGE(FILTER(I$4:I1673,I$4:I1673&lt;=W1128),1),I$4:I1673))))"),"")</f>
        <v/>
      </c>
      <c r="N1128" s="60" t="str">
        <f t="shared" si="8"/>
        <v/>
      </c>
      <c r="O1128" s="61" t="str">
        <f t="shared" si="9"/>
        <v/>
      </c>
      <c r="P1128" s="56" t="str">
        <f t="shared" si="10"/>
        <v/>
      </c>
      <c r="Q1128" s="67"/>
      <c r="R1128" s="10"/>
      <c r="S1128" s="59" t="str">
        <f t="array" ref="S1128">IF(COUNTA(Q1128:Q1673)=0,"",SUM((COUNTIF(Q$4:Q1128,Upgrades!$B$3:$B$13)-COUNTIF(Q$4:Q1128,"Sell_"&amp;Upgrades!$B$3:$B$13))*Upgrades!$D$3:$D$13))</f>
        <v/>
      </c>
      <c r="T1128" s="66" t="str">
        <f>IFERROR(__xludf.DUMMYFUNCTION("IF(COUNTA(Q1128:Q1673)=0,"""",IF(REGEXMATCH(INDEX(FILTER(Q$4:Q1128,Q$4:Q1128&lt;&gt;""""),ROWS(FILTER(Q$4:Q1128,Q$4:Q1128&lt;&gt;""""))),""^Sell_""),INDEX(FILTER(T$4:T1127,Q$4:Q1127&lt;&gt;""""),ROWS(FILTER(Q$4:Q1127,Q$4:Q1127&lt;&gt;""""))),$AD$5+S1128))"),"")</f>
        <v/>
      </c>
      <c r="U1128" s="10" t="str">
        <f>IFERROR(__xludf.DUMMYFUNCTION("IF(COUNTA(Q1128:Q1673)=0,"""",IF(Q1128="""",0,IF(REGEXMATCH(Q1128,""^Sell_""),-ROUNDDOWN(ROUNDUP(INDEX(Upgrades!$C$3:$C$13,MATCH(SUBSTITUTE(Q1128,""Sell_"",""""),Upgrades!$B$3:$B$13,0))*1.15^(COUNTIF(Q$4:Q1127,SUBSTITUTE(Q1128,""Sell_"",""""))-COUNTIF(Q$4"&amp;":Q1127,""Sell_""&amp;SUBSTITUTE(Q1128,""Sell_"",""""))))/2),ROUNDUP(INDEX(Upgrades!$C$3:$C$13,MATCH(Q1128,Upgrades!$B$3:$B$13,0))*1.15^(COUNTIF(Q$4:Q1127,Q1128)-COUNTIF(Q$4:Q1127,""Sell_""&amp;Q1128))))))"),"")</f>
        <v/>
      </c>
      <c r="V1128" s="10" t="str">
        <f t="shared" si="11"/>
        <v/>
      </c>
      <c r="W1128" s="68" t="str">
        <f t="shared" si="12"/>
        <v/>
      </c>
      <c r="X1128" s="59" t="str">
        <f t="shared" si="13"/>
        <v/>
      </c>
      <c r="Y1128" s="69" t="str">
        <f t="shared" si="14"/>
        <v/>
      </c>
      <c r="Z1128" s="11"/>
    </row>
    <row r="1129">
      <c r="A1129" s="8"/>
      <c r="B1129" s="56" t="str">
        <f t="shared" si="2"/>
        <v/>
      </c>
      <c r="C1129" s="105"/>
      <c r="D1129" s="10"/>
      <c r="E1129" s="59" t="str">
        <f t="array" ref="E1129">IF(COUNTA(C1129:C1673)=0,"",SUM((COUNTIF(C$4:C1129,Upgrades!$B$3:$B$13)-COUNTIF(C$4:C1129,"Sell_"&amp;Upgrades!$B$3:$B$13))*Upgrades!$D$3:$D$13))</f>
        <v/>
      </c>
      <c r="F1129" s="66" t="str">
        <f>IFERROR(__xludf.DUMMYFUNCTION("IF(COUNTA(C1129:C1673)=0,"""",IF(REGEXMATCH(INDEX(FILTER(C$4:C1129,C$4:C1129&lt;&gt;""""),ROWS(FILTER(C$4:C1129,C$4:C1129&lt;&gt;""""))),""^Sell_""),INDEX(FILTER(F$4:F1128,C$4:C1128&lt;&gt;""""),ROWS(FILTER(C$4:C1128,C$4:C1128&lt;&gt;""""))),$AC$5+E1129))"),"")</f>
        <v/>
      </c>
      <c r="G1129" s="10" t="str">
        <f>IFERROR(__xludf.DUMMYFUNCTION("IF(COUNTA(C1129:C1673)=0,"""",IF(C1129="""",0,IF(REGEXMATCH(C1129,""^Sell_""),-ROUNDDOWN(ROUNDUP(INDEX(Upgrades!$C$3:$C$13,MATCH(SUBSTITUTE(C1129,""Sell_"",""""),Upgrades!$B$3:$B$13,0))*1.15^(COUNTIF(C$4:C1128,SUBSTITUTE(C1129,""Sell_"",""""))-COUNTIF(C$4"&amp;":C1128,""Sell_""&amp;SUBSTITUTE(C1129,""Sell_"",""""))))/2),ROUNDUP(INDEX(Upgrades!$C$3:$C$13,MATCH(C1129,Upgrades!$B$3:$B$13,0))*1.15^(COUNTIF(C$4:C1128,C1129)-COUNTIF(C$4:C1128,""Sell_""&amp;C1129))))))"),"")</f>
        <v/>
      </c>
      <c r="H1129" s="10" t="str">
        <f t="shared" si="3"/>
        <v/>
      </c>
      <c r="I1129" s="68" t="str">
        <f t="shared" si="4"/>
        <v/>
      </c>
      <c r="J1129" s="59" t="str">
        <f t="shared" si="5"/>
        <v/>
      </c>
      <c r="K1129" s="69" t="str">
        <f t="shared" si="6"/>
        <v/>
      </c>
      <c r="L1129" s="60" t="str">
        <f t="shared" si="7"/>
        <v/>
      </c>
      <c r="M1129" s="61" t="str">
        <f>IFERROR(__xludf.DUMMYFUNCTION("IFS(AND(COUNTA(C1129:C1673)=0,COUNTA(Q1129:Q1673)=0),"""",OR(AND(K1129&gt;=1000000000,OR(Y1129&gt;=1000000000,COUNTA(Q1129:Q1673)=0)),OR(Y1129&gt;=1000000000,AND(COUNTA(C1129:C1673)=0,P$3=TRUE))),
ROUNDDOWN((AB$1-AC$1)*MAX(INDEX(T$4:T1673,MATCH(LARGE(FILTER(Y$4:Y1"&amp;"673,Y$4:Y1673&lt;1000000000),1),Y$4:Y1673)),INDEX(F$4:F1673,MATCH(LARGE(FILTER(K$4:K1673,K$4:K1673&lt;1000000000),1),K$4:K1673)))),AND(K1129&lt;1000000000,COUNTA(C1129:C1673)&gt;0,P$3=FALSE),
ROUNDDOWN(INDEX(Y$4:Y1673,MATCH(LARGE(FILTER(W$4:W1673,W$4:W1673&lt;=I1129),1)"&amp;",W$4:W1673))+(I1129-LARGE(FILTER(W$4:W1673,W$4:W1673&lt;=I1129),1))*INDEX(T$4:T1673,MATCH(LARGE(FILTER(W$4:W1673,W$4:W1673&lt;=I1129),1),W$4:W1673))-K1129),1,
ROUNDDOWN(Y1129-INDEX(K$4:K1673,MATCH(LARGE(FILTER(I$4:I1673,I$4:I1673&lt;=W1129),1),I$4:I1673))-(W1129-L"&amp;"ARGE(FILTER(I$4:I1673,I$4:I1673&lt;=W1129),1))*INDEX(F$4:F1673,MATCH(LARGE(FILTER(I$4:I1673,I$4:I1673&lt;=W1129),1),I$4:I1673))))"),"")</f>
        <v/>
      </c>
      <c r="N1129" s="60" t="str">
        <f t="shared" si="8"/>
        <v/>
      </c>
      <c r="O1129" s="61" t="str">
        <f t="shared" si="9"/>
        <v/>
      </c>
      <c r="P1129" s="56" t="str">
        <f t="shared" si="10"/>
        <v/>
      </c>
      <c r="Q1129" s="67"/>
      <c r="R1129" s="10"/>
      <c r="S1129" s="59" t="str">
        <f t="array" ref="S1129">IF(COUNTA(Q1129:Q1673)=0,"",SUM((COUNTIF(Q$4:Q1129,Upgrades!$B$3:$B$13)-COUNTIF(Q$4:Q1129,"Sell_"&amp;Upgrades!$B$3:$B$13))*Upgrades!$D$3:$D$13))</f>
        <v/>
      </c>
      <c r="T1129" s="66" t="str">
        <f>IFERROR(__xludf.DUMMYFUNCTION("IF(COUNTA(Q1129:Q1673)=0,"""",IF(REGEXMATCH(INDEX(FILTER(Q$4:Q1129,Q$4:Q1129&lt;&gt;""""),ROWS(FILTER(Q$4:Q1129,Q$4:Q1129&lt;&gt;""""))),""^Sell_""),INDEX(FILTER(T$4:T1128,Q$4:Q1128&lt;&gt;""""),ROWS(FILTER(Q$4:Q1128,Q$4:Q1128&lt;&gt;""""))),$AD$5+S1129))"),"")</f>
        <v/>
      </c>
      <c r="U1129" s="10" t="str">
        <f>IFERROR(__xludf.DUMMYFUNCTION("IF(COUNTA(Q1129:Q1673)=0,"""",IF(Q1129="""",0,IF(REGEXMATCH(Q1129,""^Sell_""),-ROUNDDOWN(ROUNDUP(INDEX(Upgrades!$C$3:$C$13,MATCH(SUBSTITUTE(Q1129,""Sell_"",""""),Upgrades!$B$3:$B$13,0))*1.15^(COUNTIF(Q$4:Q1128,SUBSTITUTE(Q1129,""Sell_"",""""))-COUNTIF(Q$4"&amp;":Q1128,""Sell_""&amp;SUBSTITUTE(Q1129,""Sell_"",""""))))/2),ROUNDUP(INDEX(Upgrades!$C$3:$C$13,MATCH(Q1129,Upgrades!$B$3:$B$13,0))*1.15^(COUNTIF(Q$4:Q1128,Q1129)-COUNTIF(Q$4:Q1128,""Sell_""&amp;Q1129))))))"),"")</f>
        <v/>
      </c>
      <c r="V1129" s="10" t="str">
        <f t="shared" si="11"/>
        <v/>
      </c>
      <c r="W1129" s="68" t="str">
        <f t="shared" si="12"/>
        <v/>
      </c>
      <c r="X1129" s="59" t="str">
        <f t="shared" si="13"/>
        <v/>
      </c>
      <c r="Y1129" s="69" t="str">
        <f t="shared" si="14"/>
        <v/>
      </c>
      <c r="Z1129" s="11"/>
    </row>
    <row r="1130">
      <c r="A1130" s="8"/>
      <c r="B1130" s="56" t="str">
        <f t="shared" si="2"/>
        <v/>
      </c>
      <c r="C1130" s="105"/>
      <c r="D1130" s="10"/>
      <c r="E1130" s="59" t="str">
        <f t="array" ref="E1130">IF(COUNTA(C1130:C1673)=0,"",SUM((COUNTIF(C$4:C1130,Upgrades!$B$3:$B$13)-COUNTIF(C$4:C1130,"Sell_"&amp;Upgrades!$B$3:$B$13))*Upgrades!$D$3:$D$13))</f>
        <v/>
      </c>
      <c r="F1130" s="66" t="str">
        <f>IFERROR(__xludf.DUMMYFUNCTION("IF(COUNTA(C1130:C1673)=0,"""",IF(REGEXMATCH(INDEX(FILTER(C$4:C1130,C$4:C1130&lt;&gt;""""),ROWS(FILTER(C$4:C1130,C$4:C1130&lt;&gt;""""))),""^Sell_""),INDEX(FILTER(F$4:F1129,C$4:C1129&lt;&gt;""""),ROWS(FILTER(C$4:C1129,C$4:C1129&lt;&gt;""""))),$AC$5+E1130))"),"")</f>
        <v/>
      </c>
      <c r="G1130" s="10" t="str">
        <f>IFERROR(__xludf.DUMMYFUNCTION("IF(COUNTA(C1130:C1673)=0,"""",IF(C1130="""",0,IF(REGEXMATCH(C1130,""^Sell_""),-ROUNDDOWN(ROUNDUP(INDEX(Upgrades!$C$3:$C$13,MATCH(SUBSTITUTE(C1130,""Sell_"",""""),Upgrades!$B$3:$B$13,0))*1.15^(COUNTIF(C$4:C1129,SUBSTITUTE(C1130,""Sell_"",""""))-COUNTIF(C$4"&amp;":C1129,""Sell_""&amp;SUBSTITUTE(C1130,""Sell_"",""""))))/2),ROUNDUP(INDEX(Upgrades!$C$3:$C$13,MATCH(C1130,Upgrades!$B$3:$B$13,0))*1.15^(COUNTIF(C$4:C1129,C1130)-COUNTIF(C$4:C1129,""Sell_""&amp;C1130))))))"),"")</f>
        <v/>
      </c>
      <c r="H1130" s="10" t="str">
        <f t="shared" si="3"/>
        <v/>
      </c>
      <c r="I1130" s="68" t="str">
        <f t="shared" si="4"/>
        <v/>
      </c>
      <c r="J1130" s="59" t="str">
        <f t="shared" si="5"/>
        <v/>
      </c>
      <c r="K1130" s="69" t="str">
        <f t="shared" si="6"/>
        <v/>
      </c>
      <c r="L1130" s="60" t="str">
        <f t="shared" si="7"/>
        <v/>
      </c>
      <c r="M1130" s="61" t="str">
        <f>IFERROR(__xludf.DUMMYFUNCTION("IFS(AND(COUNTA(C1130:C1673)=0,COUNTA(Q1130:Q1673)=0),"""",OR(AND(K1130&gt;=1000000000,OR(Y1130&gt;=1000000000,COUNTA(Q1130:Q1673)=0)),OR(Y1130&gt;=1000000000,AND(COUNTA(C1130:C1673)=0,P$3=TRUE))),
ROUNDDOWN((AB$1-AC$1)*MAX(INDEX(T$4:T1673,MATCH(LARGE(FILTER(Y$4:Y1"&amp;"673,Y$4:Y1673&lt;1000000000),1),Y$4:Y1673)),INDEX(F$4:F1673,MATCH(LARGE(FILTER(K$4:K1673,K$4:K1673&lt;1000000000),1),K$4:K1673)))),AND(K1130&lt;1000000000,COUNTA(C1130:C1673)&gt;0,P$3=FALSE),
ROUNDDOWN(INDEX(Y$4:Y1673,MATCH(LARGE(FILTER(W$4:W1673,W$4:W1673&lt;=I1130),1)"&amp;",W$4:W1673))+(I1130-LARGE(FILTER(W$4:W1673,W$4:W1673&lt;=I1130),1))*INDEX(T$4:T1673,MATCH(LARGE(FILTER(W$4:W1673,W$4:W1673&lt;=I1130),1),W$4:W1673))-K1130),1,
ROUNDDOWN(Y1130-INDEX(K$4:K1673,MATCH(LARGE(FILTER(I$4:I1673,I$4:I1673&lt;=W1130),1),I$4:I1673))-(W1130-L"&amp;"ARGE(FILTER(I$4:I1673,I$4:I1673&lt;=W1130),1))*INDEX(F$4:F1673,MATCH(LARGE(FILTER(I$4:I1673,I$4:I1673&lt;=W1130),1),I$4:I1673))))"),"")</f>
        <v/>
      </c>
      <c r="N1130" s="60" t="str">
        <f t="shared" si="8"/>
        <v/>
      </c>
      <c r="O1130" s="61" t="str">
        <f t="shared" si="9"/>
        <v/>
      </c>
      <c r="P1130" s="56" t="str">
        <f t="shared" si="10"/>
        <v/>
      </c>
      <c r="Q1130" s="67"/>
      <c r="R1130" s="10"/>
      <c r="S1130" s="59" t="str">
        <f t="array" ref="S1130">IF(COUNTA(Q1130:Q1673)=0,"",SUM((COUNTIF(Q$4:Q1130,Upgrades!$B$3:$B$13)-COUNTIF(Q$4:Q1130,"Sell_"&amp;Upgrades!$B$3:$B$13))*Upgrades!$D$3:$D$13))</f>
        <v/>
      </c>
      <c r="T1130" s="66" t="str">
        <f>IFERROR(__xludf.DUMMYFUNCTION("IF(COUNTA(Q1130:Q1673)=0,"""",IF(REGEXMATCH(INDEX(FILTER(Q$4:Q1130,Q$4:Q1130&lt;&gt;""""),ROWS(FILTER(Q$4:Q1130,Q$4:Q1130&lt;&gt;""""))),""^Sell_""),INDEX(FILTER(T$4:T1129,Q$4:Q1129&lt;&gt;""""),ROWS(FILTER(Q$4:Q1129,Q$4:Q1129&lt;&gt;""""))),$AD$5+S1130))"),"")</f>
        <v/>
      </c>
      <c r="U1130" s="10" t="str">
        <f>IFERROR(__xludf.DUMMYFUNCTION("IF(COUNTA(Q1130:Q1673)=0,"""",IF(Q1130="""",0,IF(REGEXMATCH(Q1130,""^Sell_""),-ROUNDDOWN(ROUNDUP(INDEX(Upgrades!$C$3:$C$13,MATCH(SUBSTITUTE(Q1130,""Sell_"",""""),Upgrades!$B$3:$B$13,0))*1.15^(COUNTIF(Q$4:Q1129,SUBSTITUTE(Q1130,""Sell_"",""""))-COUNTIF(Q$4"&amp;":Q1129,""Sell_""&amp;SUBSTITUTE(Q1130,""Sell_"",""""))))/2),ROUNDUP(INDEX(Upgrades!$C$3:$C$13,MATCH(Q1130,Upgrades!$B$3:$B$13,0))*1.15^(COUNTIF(Q$4:Q1129,Q1130)-COUNTIF(Q$4:Q1129,""Sell_""&amp;Q1130))))))"),"")</f>
        <v/>
      </c>
      <c r="V1130" s="10" t="str">
        <f t="shared" si="11"/>
        <v/>
      </c>
      <c r="W1130" s="68" t="str">
        <f t="shared" si="12"/>
        <v/>
      </c>
      <c r="X1130" s="59" t="str">
        <f t="shared" si="13"/>
        <v/>
      </c>
      <c r="Y1130" s="69" t="str">
        <f t="shared" si="14"/>
        <v/>
      </c>
      <c r="Z1130" s="11"/>
    </row>
    <row r="1131">
      <c r="A1131" s="8"/>
      <c r="B1131" s="56" t="str">
        <f t="shared" si="2"/>
        <v/>
      </c>
      <c r="C1131" s="105"/>
      <c r="D1131" s="10"/>
      <c r="E1131" s="59" t="str">
        <f t="array" ref="E1131">IF(COUNTA(C1131:C1673)=0,"",SUM((COUNTIF(C$4:C1131,Upgrades!$B$3:$B$13)-COUNTIF(C$4:C1131,"Sell_"&amp;Upgrades!$B$3:$B$13))*Upgrades!$D$3:$D$13))</f>
        <v/>
      </c>
      <c r="F1131" s="66" t="str">
        <f>IFERROR(__xludf.DUMMYFUNCTION("IF(COUNTA(C1131:C1673)=0,"""",IF(REGEXMATCH(INDEX(FILTER(C$4:C1131,C$4:C1131&lt;&gt;""""),ROWS(FILTER(C$4:C1131,C$4:C1131&lt;&gt;""""))),""^Sell_""),INDEX(FILTER(F$4:F1130,C$4:C1130&lt;&gt;""""),ROWS(FILTER(C$4:C1130,C$4:C1130&lt;&gt;""""))),$AC$5+E1131))"),"")</f>
        <v/>
      </c>
      <c r="G1131" s="10" t="str">
        <f>IFERROR(__xludf.DUMMYFUNCTION("IF(COUNTA(C1131:C1673)=0,"""",IF(C1131="""",0,IF(REGEXMATCH(C1131,""^Sell_""),-ROUNDDOWN(ROUNDUP(INDEX(Upgrades!$C$3:$C$13,MATCH(SUBSTITUTE(C1131,""Sell_"",""""),Upgrades!$B$3:$B$13,0))*1.15^(COUNTIF(C$4:C1130,SUBSTITUTE(C1131,""Sell_"",""""))-COUNTIF(C$4"&amp;":C1130,""Sell_""&amp;SUBSTITUTE(C1131,""Sell_"",""""))))/2),ROUNDUP(INDEX(Upgrades!$C$3:$C$13,MATCH(C1131,Upgrades!$B$3:$B$13,0))*1.15^(COUNTIF(C$4:C1130,C1131)-COUNTIF(C$4:C1130,""Sell_""&amp;C1131))))))"),"")</f>
        <v/>
      </c>
      <c r="H1131" s="10" t="str">
        <f t="shared" si="3"/>
        <v/>
      </c>
      <c r="I1131" s="68" t="str">
        <f t="shared" si="4"/>
        <v/>
      </c>
      <c r="J1131" s="59" t="str">
        <f t="shared" si="5"/>
        <v/>
      </c>
      <c r="K1131" s="69" t="str">
        <f t="shared" si="6"/>
        <v/>
      </c>
      <c r="L1131" s="60" t="str">
        <f t="shared" si="7"/>
        <v/>
      </c>
      <c r="M1131" s="61" t="str">
        <f>IFERROR(__xludf.DUMMYFUNCTION("IFS(AND(COUNTA(C1131:C1673)=0,COUNTA(Q1131:Q1673)=0),"""",OR(AND(K1131&gt;=1000000000,OR(Y1131&gt;=1000000000,COUNTA(Q1131:Q1673)=0)),OR(Y1131&gt;=1000000000,AND(COUNTA(C1131:C1673)=0,P$3=TRUE))),
ROUNDDOWN((AB$1-AC$1)*MAX(INDEX(T$4:T1673,MATCH(LARGE(FILTER(Y$4:Y1"&amp;"673,Y$4:Y1673&lt;1000000000),1),Y$4:Y1673)),INDEX(F$4:F1673,MATCH(LARGE(FILTER(K$4:K1673,K$4:K1673&lt;1000000000),1),K$4:K1673)))),AND(K1131&lt;1000000000,COUNTA(C1131:C1673)&gt;0,P$3=FALSE),
ROUNDDOWN(INDEX(Y$4:Y1673,MATCH(LARGE(FILTER(W$4:W1673,W$4:W1673&lt;=I1131),1)"&amp;",W$4:W1673))+(I1131-LARGE(FILTER(W$4:W1673,W$4:W1673&lt;=I1131),1))*INDEX(T$4:T1673,MATCH(LARGE(FILTER(W$4:W1673,W$4:W1673&lt;=I1131),1),W$4:W1673))-K1131),1,
ROUNDDOWN(Y1131-INDEX(K$4:K1673,MATCH(LARGE(FILTER(I$4:I1673,I$4:I1673&lt;=W1131),1),I$4:I1673))-(W1131-L"&amp;"ARGE(FILTER(I$4:I1673,I$4:I1673&lt;=W1131),1))*INDEX(F$4:F1673,MATCH(LARGE(FILTER(I$4:I1673,I$4:I1673&lt;=W1131),1),I$4:I1673))))"),"")</f>
        <v/>
      </c>
      <c r="N1131" s="60" t="str">
        <f t="shared" si="8"/>
        <v/>
      </c>
      <c r="O1131" s="61" t="str">
        <f t="shared" si="9"/>
        <v/>
      </c>
      <c r="P1131" s="56" t="str">
        <f t="shared" si="10"/>
        <v/>
      </c>
      <c r="Q1131" s="67"/>
      <c r="R1131" s="10"/>
      <c r="S1131" s="59" t="str">
        <f t="array" ref="S1131">IF(COUNTA(Q1131:Q1673)=0,"",SUM((COUNTIF(Q$4:Q1131,Upgrades!$B$3:$B$13)-COUNTIF(Q$4:Q1131,"Sell_"&amp;Upgrades!$B$3:$B$13))*Upgrades!$D$3:$D$13))</f>
        <v/>
      </c>
      <c r="T1131" s="66" t="str">
        <f>IFERROR(__xludf.DUMMYFUNCTION("IF(COUNTA(Q1131:Q1673)=0,"""",IF(REGEXMATCH(INDEX(FILTER(Q$4:Q1131,Q$4:Q1131&lt;&gt;""""),ROWS(FILTER(Q$4:Q1131,Q$4:Q1131&lt;&gt;""""))),""^Sell_""),INDEX(FILTER(T$4:T1130,Q$4:Q1130&lt;&gt;""""),ROWS(FILTER(Q$4:Q1130,Q$4:Q1130&lt;&gt;""""))),$AD$5+S1131))"),"")</f>
        <v/>
      </c>
      <c r="U1131" s="10" t="str">
        <f>IFERROR(__xludf.DUMMYFUNCTION("IF(COUNTA(Q1131:Q1673)=0,"""",IF(Q1131="""",0,IF(REGEXMATCH(Q1131,""^Sell_""),-ROUNDDOWN(ROUNDUP(INDEX(Upgrades!$C$3:$C$13,MATCH(SUBSTITUTE(Q1131,""Sell_"",""""),Upgrades!$B$3:$B$13,0))*1.15^(COUNTIF(Q$4:Q1130,SUBSTITUTE(Q1131,""Sell_"",""""))-COUNTIF(Q$4"&amp;":Q1130,""Sell_""&amp;SUBSTITUTE(Q1131,""Sell_"",""""))))/2),ROUNDUP(INDEX(Upgrades!$C$3:$C$13,MATCH(Q1131,Upgrades!$B$3:$B$13,0))*1.15^(COUNTIF(Q$4:Q1130,Q1131)-COUNTIF(Q$4:Q1130,""Sell_""&amp;Q1131))))))"),"")</f>
        <v/>
      </c>
      <c r="V1131" s="10" t="str">
        <f t="shared" si="11"/>
        <v/>
      </c>
      <c r="W1131" s="68" t="str">
        <f t="shared" si="12"/>
        <v/>
      </c>
      <c r="X1131" s="59" t="str">
        <f t="shared" si="13"/>
        <v/>
      </c>
      <c r="Y1131" s="69" t="str">
        <f t="shared" si="14"/>
        <v/>
      </c>
      <c r="Z1131" s="11"/>
    </row>
    <row r="1132">
      <c r="A1132" s="8"/>
      <c r="B1132" s="56" t="str">
        <f t="shared" si="2"/>
        <v/>
      </c>
      <c r="C1132" s="105"/>
      <c r="D1132" s="10"/>
      <c r="E1132" s="59" t="str">
        <f t="array" ref="E1132">IF(COUNTA(C1132:C1673)=0,"",SUM((COUNTIF(C$4:C1132,Upgrades!$B$3:$B$13)-COUNTIF(C$4:C1132,"Sell_"&amp;Upgrades!$B$3:$B$13))*Upgrades!$D$3:$D$13))</f>
        <v/>
      </c>
      <c r="F1132" s="66" t="str">
        <f>IFERROR(__xludf.DUMMYFUNCTION("IF(COUNTA(C1132:C1673)=0,"""",IF(REGEXMATCH(INDEX(FILTER(C$4:C1132,C$4:C1132&lt;&gt;""""),ROWS(FILTER(C$4:C1132,C$4:C1132&lt;&gt;""""))),""^Sell_""),INDEX(FILTER(F$4:F1131,C$4:C1131&lt;&gt;""""),ROWS(FILTER(C$4:C1131,C$4:C1131&lt;&gt;""""))),$AC$5+E1132))"),"")</f>
        <v/>
      </c>
      <c r="G1132" s="10" t="str">
        <f>IFERROR(__xludf.DUMMYFUNCTION("IF(COUNTA(C1132:C1673)=0,"""",IF(C1132="""",0,IF(REGEXMATCH(C1132,""^Sell_""),-ROUNDDOWN(ROUNDUP(INDEX(Upgrades!$C$3:$C$13,MATCH(SUBSTITUTE(C1132,""Sell_"",""""),Upgrades!$B$3:$B$13,0))*1.15^(COUNTIF(C$4:C1131,SUBSTITUTE(C1132,""Sell_"",""""))-COUNTIF(C$4"&amp;":C1131,""Sell_""&amp;SUBSTITUTE(C1132,""Sell_"",""""))))/2),ROUNDUP(INDEX(Upgrades!$C$3:$C$13,MATCH(C1132,Upgrades!$B$3:$B$13,0))*1.15^(COUNTIF(C$4:C1131,C1132)-COUNTIF(C$4:C1131,""Sell_""&amp;C1132))))))"),"")</f>
        <v/>
      </c>
      <c r="H1132" s="10" t="str">
        <f t="shared" si="3"/>
        <v/>
      </c>
      <c r="I1132" s="68" t="str">
        <f t="shared" si="4"/>
        <v/>
      </c>
      <c r="J1132" s="59" t="str">
        <f t="shared" si="5"/>
        <v/>
      </c>
      <c r="K1132" s="69" t="str">
        <f t="shared" si="6"/>
        <v/>
      </c>
      <c r="L1132" s="60" t="str">
        <f t="shared" si="7"/>
        <v/>
      </c>
      <c r="M1132" s="61" t="str">
        <f>IFERROR(__xludf.DUMMYFUNCTION("IFS(AND(COUNTA(C1132:C1673)=0,COUNTA(Q1132:Q1673)=0),"""",OR(AND(K1132&gt;=1000000000,OR(Y1132&gt;=1000000000,COUNTA(Q1132:Q1673)=0)),OR(Y1132&gt;=1000000000,AND(COUNTA(C1132:C1673)=0,P$3=TRUE))),
ROUNDDOWN((AB$1-AC$1)*MAX(INDEX(T$4:T1673,MATCH(LARGE(FILTER(Y$4:Y1"&amp;"673,Y$4:Y1673&lt;1000000000),1),Y$4:Y1673)),INDEX(F$4:F1673,MATCH(LARGE(FILTER(K$4:K1673,K$4:K1673&lt;1000000000),1),K$4:K1673)))),AND(K1132&lt;1000000000,COUNTA(C1132:C1673)&gt;0,P$3=FALSE),
ROUNDDOWN(INDEX(Y$4:Y1673,MATCH(LARGE(FILTER(W$4:W1673,W$4:W1673&lt;=I1132),1)"&amp;",W$4:W1673))+(I1132-LARGE(FILTER(W$4:W1673,W$4:W1673&lt;=I1132),1))*INDEX(T$4:T1673,MATCH(LARGE(FILTER(W$4:W1673,W$4:W1673&lt;=I1132),1),W$4:W1673))-K1132),1,
ROUNDDOWN(Y1132-INDEX(K$4:K1673,MATCH(LARGE(FILTER(I$4:I1673,I$4:I1673&lt;=W1132),1),I$4:I1673))-(W1132-L"&amp;"ARGE(FILTER(I$4:I1673,I$4:I1673&lt;=W1132),1))*INDEX(F$4:F1673,MATCH(LARGE(FILTER(I$4:I1673,I$4:I1673&lt;=W1132),1),I$4:I1673))))"),"")</f>
        <v/>
      </c>
      <c r="N1132" s="60" t="str">
        <f t="shared" si="8"/>
        <v/>
      </c>
      <c r="O1132" s="61" t="str">
        <f t="shared" si="9"/>
        <v/>
      </c>
      <c r="P1132" s="56" t="str">
        <f t="shared" si="10"/>
        <v/>
      </c>
      <c r="Q1132" s="67"/>
      <c r="R1132" s="10"/>
      <c r="S1132" s="59" t="str">
        <f t="array" ref="S1132">IF(COUNTA(Q1132:Q1673)=0,"",SUM((COUNTIF(Q$4:Q1132,Upgrades!$B$3:$B$13)-COUNTIF(Q$4:Q1132,"Sell_"&amp;Upgrades!$B$3:$B$13))*Upgrades!$D$3:$D$13))</f>
        <v/>
      </c>
      <c r="T1132" s="66" t="str">
        <f>IFERROR(__xludf.DUMMYFUNCTION("IF(COUNTA(Q1132:Q1673)=0,"""",IF(REGEXMATCH(INDEX(FILTER(Q$4:Q1132,Q$4:Q1132&lt;&gt;""""),ROWS(FILTER(Q$4:Q1132,Q$4:Q1132&lt;&gt;""""))),""^Sell_""),INDEX(FILTER(T$4:T1131,Q$4:Q1131&lt;&gt;""""),ROWS(FILTER(Q$4:Q1131,Q$4:Q1131&lt;&gt;""""))),$AD$5+S1132))"),"")</f>
        <v/>
      </c>
      <c r="U1132" s="10" t="str">
        <f>IFERROR(__xludf.DUMMYFUNCTION("IF(COUNTA(Q1132:Q1673)=0,"""",IF(Q1132="""",0,IF(REGEXMATCH(Q1132,""^Sell_""),-ROUNDDOWN(ROUNDUP(INDEX(Upgrades!$C$3:$C$13,MATCH(SUBSTITUTE(Q1132,""Sell_"",""""),Upgrades!$B$3:$B$13,0))*1.15^(COUNTIF(Q$4:Q1131,SUBSTITUTE(Q1132,""Sell_"",""""))-COUNTIF(Q$4"&amp;":Q1131,""Sell_""&amp;SUBSTITUTE(Q1132,""Sell_"",""""))))/2),ROUNDUP(INDEX(Upgrades!$C$3:$C$13,MATCH(Q1132,Upgrades!$B$3:$B$13,0))*1.15^(COUNTIF(Q$4:Q1131,Q1132)-COUNTIF(Q$4:Q1131,""Sell_""&amp;Q1132))))))"),"")</f>
        <v/>
      </c>
      <c r="V1132" s="10" t="str">
        <f t="shared" si="11"/>
        <v/>
      </c>
      <c r="W1132" s="68" t="str">
        <f t="shared" si="12"/>
        <v/>
      </c>
      <c r="X1132" s="59" t="str">
        <f t="shared" si="13"/>
        <v/>
      </c>
      <c r="Y1132" s="69" t="str">
        <f t="shared" si="14"/>
        <v/>
      </c>
      <c r="Z1132" s="11"/>
    </row>
    <row r="1133">
      <c r="A1133" s="8"/>
      <c r="B1133" s="56" t="str">
        <f t="shared" si="2"/>
        <v/>
      </c>
      <c r="C1133" s="105"/>
      <c r="D1133" s="10"/>
      <c r="E1133" s="59" t="str">
        <f t="array" ref="E1133">IF(COUNTA(C1133:C1673)=0,"",SUM((COUNTIF(C$4:C1133,Upgrades!$B$3:$B$13)-COUNTIF(C$4:C1133,"Sell_"&amp;Upgrades!$B$3:$B$13))*Upgrades!$D$3:$D$13))</f>
        <v/>
      </c>
      <c r="F1133" s="66" t="str">
        <f>IFERROR(__xludf.DUMMYFUNCTION("IF(COUNTA(C1133:C1673)=0,"""",IF(REGEXMATCH(INDEX(FILTER(C$4:C1133,C$4:C1133&lt;&gt;""""),ROWS(FILTER(C$4:C1133,C$4:C1133&lt;&gt;""""))),""^Sell_""),INDEX(FILTER(F$4:F1132,C$4:C1132&lt;&gt;""""),ROWS(FILTER(C$4:C1132,C$4:C1132&lt;&gt;""""))),$AC$5+E1133))"),"")</f>
        <v/>
      </c>
      <c r="G1133" s="10" t="str">
        <f>IFERROR(__xludf.DUMMYFUNCTION("IF(COUNTA(C1133:C1673)=0,"""",IF(C1133="""",0,IF(REGEXMATCH(C1133,""^Sell_""),-ROUNDDOWN(ROUNDUP(INDEX(Upgrades!$C$3:$C$13,MATCH(SUBSTITUTE(C1133,""Sell_"",""""),Upgrades!$B$3:$B$13,0))*1.15^(COUNTIF(C$4:C1132,SUBSTITUTE(C1133,""Sell_"",""""))-COUNTIF(C$4"&amp;":C1132,""Sell_""&amp;SUBSTITUTE(C1133,""Sell_"",""""))))/2),ROUNDUP(INDEX(Upgrades!$C$3:$C$13,MATCH(C1133,Upgrades!$B$3:$B$13,0))*1.15^(COUNTIF(C$4:C1132,C1133)-COUNTIF(C$4:C1132,""Sell_""&amp;C1133))))))"),"")</f>
        <v/>
      </c>
      <c r="H1133" s="10" t="str">
        <f t="shared" si="3"/>
        <v/>
      </c>
      <c r="I1133" s="68" t="str">
        <f t="shared" si="4"/>
        <v/>
      </c>
      <c r="J1133" s="59" t="str">
        <f t="shared" si="5"/>
        <v/>
      </c>
      <c r="K1133" s="69" t="str">
        <f t="shared" si="6"/>
        <v/>
      </c>
      <c r="L1133" s="60" t="str">
        <f t="shared" si="7"/>
        <v/>
      </c>
      <c r="M1133" s="61" t="str">
        <f>IFERROR(__xludf.DUMMYFUNCTION("IFS(AND(COUNTA(C1133:C1673)=0,COUNTA(Q1133:Q1673)=0),"""",OR(AND(K1133&gt;=1000000000,OR(Y1133&gt;=1000000000,COUNTA(Q1133:Q1673)=0)),OR(Y1133&gt;=1000000000,AND(COUNTA(C1133:C1673)=0,P$3=TRUE))),
ROUNDDOWN((AB$1-AC$1)*MAX(INDEX(T$4:T1673,MATCH(LARGE(FILTER(Y$4:Y1"&amp;"673,Y$4:Y1673&lt;1000000000),1),Y$4:Y1673)),INDEX(F$4:F1673,MATCH(LARGE(FILTER(K$4:K1673,K$4:K1673&lt;1000000000),1),K$4:K1673)))),AND(K1133&lt;1000000000,COUNTA(C1133:C1673)&gt;0,P$3=FALSE),
ROUNDDOWN(INDEX(Y$4:Y1673,MATCH(LARGE(FILTER(W$4:W1673,W$4:W1673&lt;=I1133),1)"&amp;",W$4:W1673))+(I1133-LARGE(FILTER(W$4:W1673,W$4:W1673&lt;=I1133),1))*INDEX(T$4:T1673,MATCH(LARGE(FILTER(W$4:W1673,W$4:W1673&lt;=I1133),1),W$4:W1673))-K1133),1,
ROUNDDOWN(Y1133-INDEX(K$4:K1673,MATCH(LARGE(FILTER(I$4:I1673,I$4:I1673&lt;=W1133),1),I$4:I1673))-(W1133-L"&amp;"ARGE(FILTER(I$4:I1673,I$4:I1673&lt;=W1133),1))*INDEX(F$4:F1673,MATCH(LARGE(FILTER(I$4:I1673,I$4:I1673&lt;=W1133),1),I$4:I1673))))"),"")</f>
        <v/>
      </c>
      <c r="N1133" s="60" t="str">
        <f t="shared" si="8"/>
        <v/>
      </c>
      <c r="O1133" s="61" t="str">
        <f t="shared" si="9"/>
        <v/>
      </c>
      <c r="P1133" s="56" t="str">
        <f t="shared" si="10"/>
        <v/>
      </c>
      <c r="Q1133" s="67"/>
      <c r="R1133" s="10"/>
      <c r="S1133" s="59" t="str">
        <f t="array" ref="S1133">IF(COUNTA(Q1133:Q1673)=0,"",SUM((COUNTIF(Q$4:Q1133,Upgrades!$B$3:$B$13)-COUNTIF(Q$4:Q1133,"Sell_"&amp;Upgrades!$B$3:$B$13))*Upgrades!$D$3:$D$13))</f>
        <v/>
      </c>
      <c r="T1133" s="66" t="str">
        <f>IFERROR(__xludf.DUMMYFUNCTION("IF(COUNTA(Q1133:Q1673)=0,"""",IF(REGEXMATCH(INDEX(FILTER(Q$4:Q1133,Q$4:Q1133&lt;&gt;""""),ROWS(FILTER(Q$4:Q1133,Q$4:Q1133&lt;&gt;""""))),""^Sell_""),INDEX(FILTER(T$4:T1132,Q$4:Q1132&lt;&gt;""""),ROWS(FILTER(Q$4:Q1132,Q$4:Q1132&lt;&gt;""""))),$AD$5+S1133))"),"")</f>
        <v/>
      </c>
      <c r="U1133" s="10" t="str">
        <f>IFERROR(__xludf.DUMMYFUNCTION("IF(COUNTA(Q1133:Q1673)=0,"""",IF(Q1133="""",0,IF(REGEXMATCH(Q1133,""^Sell_""),-ROUNDDOWN(ROUNDUP(INDEX(Upgrades!$C$3:$C$13,MATCH(SUBSTITUTE(Q1133,""Sell_"",""""),Upgrades!$B$3:$B$13,0))*1.15^(COUNTIF(Q$4:Q1132,SUBSTITUTE(Q1133,""Sell_"",""""))-COUNTIF(Q$4"&amp;":Q1132,""Sell_""&amp;SUBSTITUTE(Q1133,""Sell_"",""""))))/2),ROUNDUP(INDEX(Upgrades!$C$3:$C$13,MATCH(Q1133,Upgrades!$B$3:$B$13,0))*1.15^(COUNTIF(Q$4:Q1132,Q1133)-COUNTIF(Q$4:Q1132,""Sell_""&amp;Q1133))))))"),"")</f>
        <v/>
      </c>
      <c r="V1133" s="10" t="str">
        <f t="shared" si="11"/>
        <v/>
      </c>
      <c r="W1133" s="68" t="str">
        <f t="shared" si="12"/>
        <v/>
      </c>
      <c r="X1133" s="59" t="str">
        <f t="shared" si="13"/>
        <v/>
      </c>
      <c r="Y1133" s="69" t="str">
        <f t="shared" si="14"/>
        <v/>
      </c>
      <c r="Z1133" s="11"/>
    </row>
    <row r="1134">
      <c r="A1134" s="8"/>
      <c r="B1134" s="56" t="str">
        <f t="shared" si="2"/>
        <v/>
      </c>
      <c r="C1134" s="105"/>
      <c r="D1134" s="10"/>
      <c r="E1134" s="59" t="str">
        <f t="array" ref="E1134">IF(COUNTA(C1134:C1673)=0,"",SUM((COUNTIF(C$4:C1134,Upgrades!$B$3:$B$13)-COUNTIF(C$4:C1134,"Sell_"&amp;Upgrades!$B$3:$B$13))*Upgrades!$D$3:$D$13))</f>
        <v/>
      </c>
      <c r="F1134" s="66" t="str">
        <f>IFERROR(__xludf.DUMMYFUNCTION("IF(COUNTA(C1134:C1673)=0,"""",IF(REGEXMATCH(INDEX(FILTER(C$4:C1134,C$4:C1134&lt;&gt;""""),ROWS(FILTER(C$4:C1134,C$4:C1134&lt;&gt;""""))),""^Sell_""),INDEX(FILTER(F$4:F1133,C$4:C1133&lt;&gt;""""),ROWS(FILTER(C$4:C1133,C$4:C1133&lt;&gt;""""))),$AC$5+E1134))"),"")</f>
        <v/>
      </c>
      <c r="G1134" s="10" t="str">
        <f>IFERROR(__xludf.DUMMYFUNCTION("IF(COUNTA(C1134:C1673)=0,"""",IF(C1134="""",0,IF(REGEXMATCH(C1134,""^Sell_""),-ROUNDDOWN(ROUNDUP(INDEX(Upgrades!$C$3:$C$13,MATCH(SUBSTITUTE(C1134,""Sell_"",""""),Upgrades!$B$3:$B$13,0))*1.15^(COUNTIF(C$4:C1133,SUBSTITUTE(C1134,""Sell_"",""""))-COUNTIF(C$4"&amp;":C1133,""Sell_""&amp;SUBSTITUTE(C1134,""Sell_"",""""))))/2),ROUNDUP(INDEX(Upgrades!$C$3:$C$13,MATCH(C1134,Upgrades!$B$3:$B$13,0))*1.15^(COUNTIF(C$4:C1133,C1134)-COUNTIF(C$4:C1133,""Sell_""&amp;C1134))))))"),"")</f>
        <v/>
      </c>
      <c r="H1134" s="10" t="str">
        <f t="shared" si="3"/>
        <v/>
      </c>
      <c r="I1134" s="68" t="str">
        <f t="shared" si="4"/>
        <v/>
      </c>
      <c r="J1134" s="59" t="str">
        <f t="shared" si="5"/>
        <v/>
      </c>
      <c r="K1134" s="69" t="str">
        <f t="shared" si="6"/>
        <v/>
      </c>
      <c r="L1134" s="60" t="str">
        <f t="shared" si="7"/>
        <v/>
      </c>
      <c r="M1134" s="61" t="str">
        <f>IFERROR(__xludf.DUMMYFUNCTION("IFS(AND(COUNTA(C1134:C1673)=0,COUNTA(Q1134:Q1673)=0),"""",OR(AND(K1134&gt;=1000000000,OR(Y1134&gt;=1000000000,COUNTA(Q1134:Q1673)=0)),OR(Y1134&gt;=1000000000,AND(COUNTA(C1134:C1673)=0,P$3=TRUE))),
ROUNDDOWN((AB$1-AC$1)*MAX(INDEX(T$4:T1673,MATCH(LARGE(FILTER(Y$4:Y1"&amp;"673,Y$4:Y1673&lt;1000000000),1),Y$4:Y1673)),INDEX(F$4:F1673,MATCH(LARGE(FILTER(K$4:K1673,K$4:K1673&lt;1000000000),1),K$4:K1673)))),AND(K1134&lt;1000000000,COUNTA(C1134:C1673)&gt;0,P$3=FALSE),
ROUNDDOWN(INDEX(Y$4:Y1673,MATCH(LARGE(FILTER(W$4:W1673,W$4:W1673&lt;=I1134),1)"&amp;",W$4:W1673))+(I1134-LARGE(FILTER(W$4:W1673,W$4:W1673&lt;=I1134),1))*INDEX(T$4:T1673,MATCH(LARGE(FILTER(W$4:W1673,W$4:W1673&lt;=I1134),1),W$4:W1673))-K1134),1,
ROUNDDOWN(Y1134-INDEX(K$4:K1673,MATCH(LARGE(FILTER(I$4:I1673,I$4:I1673&lt;=W1134),1),I$4:I1673))-(W1134-L"&amp;"ARGE(FILTER(I$4:I1673,I$4:I1673&lt;=W1134),1))*INDEX(F$4:F1673,MATCH(LARGE(FILTER(I$4:I1673,I$4:I1673&lt;=W1134),1),I$4:I1673))))"),"")</f>
        <v/>
      </c>
      <c r="N1134" s="60" t="str">
        <f t="shared" si="8"/>
        <v/>
      </c>
      <c r="O1134" s="61" t="str">
        <f t="shared" si="9"/>
        <v/>
      </c>
      <c r="P1134" s="56" t="str">
        <f t="shared" si="10"/>
        <v/>
      </c>
      <c r="Q1134" s="67"/>
      <c r="R1134" s="10"/>
      <c r="S1134" s="59" t="str">
        <f t="array" ref="S1134">IF(COUNTA(Q1134:Q1673)=0,"",SUM((COUNTIF(Q$4:Q1134,Upgrades!$B$3:$B$13)-COUNTIF(Q$4:Q1134,"Sell_"&amp;Upgrades!$B$3:$B$13))*Upgrades!$D$3:$D$13))</f>
        <v/>
      </c>
      <c r="T1134" s="66" t="str">
        <f>IFERROR(__xludf.DUMMYFUNCTION("IF(COUNTA(Q1134:Q1673)=0,"""",IF(REGEXMATCH(INDEX(FILTER(Q$4:Q1134,Q$4:Q1134&lt;&gt;""""),ROWS(FILTER(Q$4:Q1134,Q$4:Q1134&lt;&gt;""""))),""^Sell_""),INDEX(FILTER(T$4:T1133,Q$4:Q1133&lt;&gt;""""),ROWS(FILTER(Q$4:Q1133,Q$4:Q1133&lt;&gt;""""))),$AD$5+S1134))"),"")</f>
        <v/>
      </c>
      <c r="U1134" s="10" t="str">
        <f>IFERROR(__xludf.DUMMYFUNCTION("IF(COUNTA(Q1134:Q1673)=0,"""",IF(Q1134="""",0,IF(REGEXMATCH(Q1134,""^Sell_""),-ROUNDDOWN(ROUNDUP(INDEX(Upgrades!$C$3:$C$13,MATCH(SUBSTITUTE(Q1134,""Sell_"",""""),Upgrades!$B$3:$B$13,0))*1.15^(COUNTIF(Q$4:Q1133,SUBSTITUTE(Q1134,""Sell_"",""""))-COUNTIF(Q$4"&amp;":Q1133,""Sell_""&amp;SUBSTITUTE(Q1134,""Sell_"",""""))))/2),ROUNDUP(INDEX(Upgrades!$C$3:$C$13,MATCH(Q1134,Upgrades!$B$3:$B$13,0))*1.15^(COUNTIF(Q$4:Q1133,Q1134)-COUNTIF(Q$4:Q1133,""Sell_""&amp;Q1134))))))"),"")</f>
        <v/>
      </c>
      <c r="V1134" s="10" t="str">
        <f t="shared" si="11"/>
        <v/>
      </c>
      <c r="W1134" s="68" t="str">
        <f t="shared" si="12"/>
        <v/>
      </c>
      <c r="X1134" s="59" t="str">
        <f t="shared" si="13"/>
        <v/>
      </c>
      <c r="Y1134" s="69" t="str">
        <f t="shared" si="14"/>
        <v/>
      </c>
      <c r="Z1134" s="11"/>
    </row>
    <row r="1135">
      <c r="A1135" s="8"/>
      <c r="B1135" s="56" t="str">
        <f t="shared" si="2"/>
        <v/>
      </c>
      <c r="C1135" s="105"/>
      <c r="D1135" s="10"/>
      <c r="E1135" s="59" t="str">
        <f t="array" ref="E1135">IF(COUNTA(C1135:C1673)=0,"",SUM((COUNTIF(C$4:C1135,Upgrades!$B$3:$B$13)-COUNTIF(C$4:C1135,"Sell_"&amp;Upgrades!$B$3:$B$13))*Upgrades!$D$3:$D$13))</f>
        <v/>
      </c>
      <c r="F1135" s="66" t="str">
        <f>IFERROR(__xludf.DUMMYFUNCTION("IF(COUNTA(C1135:C1673)=0,"""",IF(REGEXMATCH(INDEX(FILTER(C$4:C1135,C$4:C1135&lt;&gt;""""),ROWS(FILTER(C$4:C1135,C$4:C1135&lt;&gt;""""))),""^Sell_""),INDEX(FILTER(F$4:F1134,C$4:C1134&lt;&gt;""""),ROWS(FILTER(C$4:C1134,C$4:C1134&lt;&gt;""""))),$AC$5+E1135))"),"")</f>
        <v/>
      </c>
      <c r="G1135" s="10" t="str">
        <f>IFERROR(__xludf.DUMMYFUNCTION("IF(COUNTA(C1135:C1673)=0,"""",IF(C1135="""",0,IF(REGEXMATCH(C1135,""^Sell_""),-ROUNDDOWN(ROUNDUP(INDEX(Upgrades!$C$3:$C$13,MATCH(SUBSTITUTE(C1135,""Sell_"",""""),Upgrades!$B$3:$B$13,0))*1.15^(COUNTIF(C$4:C1134,SUBSTITUTE(C1135,""Sell_"",""""))-COUNTIF(C$4"&amp;":C1134,""Sell_""&amp;SUBSTITUTE(C1135,""Sell_"",""""))))/2),ROUNDUP(INDEX(Upgrades!$C$3:$C$13,MATCH(C1135,Upgrades!$B$3:$B$13,0))*1.15^(COUNTIF(C$4:C1134,C1135)-COUNTIF(C$4:C1134,""Sell_""&amp;C1135))))))"),"")</f>
        <v/>
      </c>
      <c r="H1135" s="10" t="str">
        <f t="shared" si="3"/>
        <v/>
      </c>
      <c r="I1135" s="68" t="str">
        <f t="shared" si="4"/>
        <v/>
      </c>
      <c r="J1135" s="59" t="str">
        <f t="shared" si="5"/>
        <v/>
      </c>
      <c r="K1135" s="69" t="str">
        <f t="shared" si="6"/>
        <v/>
      </c>
      <c r="L1135" s="60" t="str">
        <f t="shared" si="7"/>
        <v/>
      </c>
      <c r="M1135" s="61" t="str">
        <f>IFERROR(__xludf.DUMMYFUNCTION("IFS(AND(COUNTA(C1135:C1673)=0,COUNTA(Q1135:Q1673)=0),"""",OR(AND(K1135&gt;=1000000000,OR(Y1135&gt;=1000000000,COUNTA(Q1135:Q1673)=0)),OR(Y1135&gt;=1000000000,AND(COUNTA(C1135:C1673)=0,P$3=TRUE))),
ROUNDDOWN((AB$1-AC$1)*MAX(INDEX(T$4:T1673,MATCH(LARGE(FILTER(Y$4:Y1"&amp;"673,Y$4:Y1673&lt;1000000000),1),Y$4:Y1673)),INDEX(F$4:F1673,MATCH(LARGE(FILTER(K$4:K1673,K$4:K1673&lt;1000000000),1),K$4:K1673)))),AND(K1135&lt;1000000000,COUNTA(C1135:C1673)&gt;0,P$3=FALSE),
ROUNDDOWN(INDEX(Y$4:Y1673,MATCH(LARGE(FILTER(W$4:W1673,W$4:W1673&lt;=I1135),1)"&amp;",W$4:W1673))+(I1135-LARGE(FILTER(W$4:W1673,W$4:W1673&lt;=I1135),1))*INDEX(T$4:T1673,MATCH(LARGE(FILTER(W$4:W1673,W$4:W1673&lt;=I1135),1),W$4:W1673))-K1135),1,
ROUNDDOWN(Y1135-INDEX(K$4:K1673,MATCH(LARGE(FILTER(I$4:I1673,I$4:I1673&lt;=W1135),1),I$4:I1673))-(W1135-L"&amp;"ARGE(FILTER(I$4:I1673,I$4:I1673&lt;=W1135),1))*INDEX(F$4:F1673,MATCH(LARGE(FILTER(I$4:I1673,I$4:I1673&lt;=W1135),1),I$4:I1673))))"),"")</f>
        <v/>
      </c>
      <c r="N1135" s="60" t="str">
        <f t="shared" si="8"/>
        <v/>
      </c>
      <c r="O1135" s="61" t="str">
        <f t="shared" si="9"/>
        <v/>
      </c>
      <c r="P1135" s="56" t="str">
        <f t="shared" si="10"/>
        <v/>
      </c>
      <c r="Q1135" s="67"/>
      <c r="R1135" s="10"/>
      <c r="S1135" s="59" t="str">
        <f t="array" ref="S1135">IF(COUNTA(Q1135:Q1673)=0,"",SUM((COUNTIF(Q$4:Q1135,Upgrades!$B$3:$B$13)-COUNTIF(Q$4:Q1135,"Sell_"&amp;Upgrades!$B$3:$B$13))*Upgrades!$D$3:$D$13))</f>
        <v/>
      </c>
      <c r="T1135" s="66" t="str">
        <f>IFERROR(__xludf.DUMMYFUNCTION("IF(COUNTA(Q1135:Q1673)=0,"""",IF(REGEXMATCH(INDEX(FILTER(Q$4:Q1135,Q$4:Q1135&lt;&gt;""""),ROWS(FILTER(Q$4:Q1135,Q$4:Q1135&lt;&gt;""""))),""^Sell_""),INDEX(FILTER(T$4:T1134,Q$4:Q1134&lt;&gt;""""),ROWS(FILTER(Q$4:Q1134,Q$4:Q1134&lt;&gt;""""))),$AD$5+S1135))"),"")</f>
        <v/>
      </c>
      <c r="U1135" s="10" t="str">
        <f>IFERROR(__xludf.DUMMYFUNCTION("IF(COUNTA(Q1135:Q1673)=0,"""",IF(Q1135="""",0,IF(REGEXMATCH(Q1135,""^Sell_""),-ROUNDDOWN(ROUNDUP(INDEX(Upgrades!$C$3:$C$13,MATCH(SUBSTITUTE(Q1135,""Sell_"",""""),Upgrades!$B$3:$B$13,0))*1.15^(COUNTIF(Q$4:Q1134,SUBSTITUTE(Q1135,""Sell_"",""""))-COUNTIF(Q$4"&amp;":Q1134,""Sell_""&amp;SUBSTITUTE(Q1135,""Sell_"",""""))))/2),ROUNDUP(INDEX(Upgrades!$C$3:$C$13,MATCH(Q1135,Upgrades!$B$3:$B$13,0))*1.15^(COUNTIF(Q$4:Q1134,Q1135)-COUNTIF(Q$4:Q1134,""Sell_""&amp;Q1135))))))"),"")</f>
        <v/>
      </c>
      <c r="V1135" s="10" t="str">
        <f t="shared" si="11"/>
        <v/>
      </c>
      <c r="W1135" s="68" t="str">
        <f t="shared" si="12"/>
        <v/>
      </c>
      <c r="X1135" s="59" t="str">
        <f t="shared" si="13"/>
        <v/>
      </c>
      <c r="Y1135" s="69" t="str">
        <f t="shared" si="14"/>
        <v/>
      </c>
      <c r="Z1135" s="11"/>
    </row>
    <row r="1136">
      <c r="A1136" s="8"/>
      <c r="B1136" s="56" t="str">
        <f t="shared" si="2"/>
        <v/>
      </c>
      <c r="C1136" s="105"/>
      <c r="D1136" s="10"/>
      <c r="E1136" s="59" t="str">
        <f t="array" ref="E1136">IF(COUNTA(C1136:C1673)=0,"",SUM((COUNTIF(C$4:C1136,Upgrades!$B$3:$B$13)-COUNTIF(C$4:C1136,"Sell_"&amp;Upgrades!$B$3:$B$13))*Upgrades!$D$3:$D$13))</f>
        <v/>
      </c>
      <c r="F1136" s="66" t="str">
        <f>IFERROR(__xludf.DUMMYFUNCTION("IF(COUNTA(C1136:C1673)=0,"""",IF(REGEXMATCH(INDEX(FILTER(C$4:C1136,C$4:C1136&lt;&gt;""""),ROWS(FILTER(C$4:C1136,C$4:C1136&lt;&gt;""""))),""^Sell_""),INDEX(FILTER(F$4:F1135,C$4:C1135&lt;&gt;""""),ROWS(FILTER(C$4:C1135,C$4:C1135&lt;&gt;""""))),$AC$5+E1136))"),"")</f>
        <v/>
      </c>
      <c r="G1136" s="10" t="str">
        <f>IFERROR(__xludf.DUMMYFUNCTION("IF(COUNTA(C1136:C1673)=0,"""",IF(C1136="""",0,IF(REGEXMATCH(C1136,""^Sell_""),-ROUNDDOWN(ROUNDUP(INDEX(Upgrades!$C$3:$C$13,MATCH(SUBSTITUTE(C1136,""Sell_"",""""),Upgrades!$B$3:$B$13,0))*1.15^(COUNTIF(C$4:C1135,SUBSTITUTE(C1136,""Sell_"",""""))-COUNTIF(C$4"&amp;":C1135,""Sell_""&amp;SUBSTITUTE(C1136,""Sell_"",""""))))/2),ROUNDUP(INDEX(Upgrades!$C$3:$C$13,MATCH(C1136,Upgrades!$B$3:$B$13,0))*1.15^(COUNTIF(C$4:C1135,C1136)-COUNTIF(C$4:C1135,""Sell_""&amp;C1136))))))"),"")</f>
        <v/>
      </c>
      <c r="H1136" s="10" t="str">
        <f t="shared" si="3"/>
        <v/>
      </c>
      <c r="I1136" s="68" t="str">
        <f t="shared" si="4"/>
        <v/>
      </c>
      <c r="J1136" s="59" t="str">
        <f t="shared" si="5"/>
        <v/>
      </c>
      <c r="K1136" s="69" t="str">
        <f t="shared" si="6"/>
        <v/>
      </c>
      <c r="L1136" s="60" t="str">
        <f t="shared" si="7"/>
        <v/>
      </c>
      <c r="M1136" s="61" t="str">
        <f>IFERROR(__xludf.DUMMYFUNCTION("IFS(AND(COUNTA(C1136:C1673)=0,COUNTA(Q1136:Q1673)=0),"""",OR(AND(K1136&gt;=1000000000,OR(Y1136&gt;=1000000000,COUNTA(Q1136:Q1673)=0)),OR(Y1136&gt;=1000000000,AND(COUNTA(C1136:C1673)=0,P$3=TRUE))),
ROUNDDOWN((AB$1-AC$1)*MAX(INDEX(T$4:T1673,MATCH(LARGE(FILTER(Y$4:Y1"&amp;"673,Y$4:Y1673&lt;1000000000),1),Y$4:Y1673)),INDEX(F$4:F1673,MATCH(LARGE(FILTER(K$4:K1673,K$4:K1673&lt;1000000000),1),K$4:K1673)))),AND(K1136&lt;1000000000,COUNTA(C1136:C1673)&gt;0,P$3=FALSE),
ROUNDDOWN(INDEX(Y$4:Y1673,MATCH(LARGE(FILTER(W$4:W1673,W$4:W1673&lt;=I1136),1)"&amp;",W$4:W1673))+(I1136-LARGE(FILTER(W$4:W1673,W$4:W1673&lt;=I1136),1))*INDEX(T$4:T1673,MATCH(LARGE(FILTER(W$4:W1673,W$4:W1673&lt;=I1136),1),W$4:W1673))-K1136),1,
ROUNDDOWN(Y1136-INDEX(K$4:K1673,MATCH(LARGE(FILTER(I$4:I1673,I$4:I1673&lt;=W1136),1),I$4:I1673))-(W1136-L"&amp;"ARGE(FILTER(I$4:I1673,I$4:I1673&lt;=W1136),1))*INDEX(F$4:F1673,MATCH(LARGE(FILTER(I$4:I1673,I$4:I1673&lt;=W1136),1),I$4:I1673))))"),"")</f>
        <v/>
      </c>
      <c r="N1136" s="60" t="str">
        <f t="shared" si="8"/>
        <v/>
      </c>
      <c r="O1136" s="61" t="str">
        <f t="shared" si="9"/>
        <v/>
      </c>
      <c r="P1136" s="56" t="str">
        <f t="shared" si="10"/>
        <v/>
      </c>
      <c r="Q1136" s="67"/>
      <c r="R1136" s="10"/>
      <c r="S1136" s="59" t="str">
        <f t="array" ref="S1136">IF(COUNTA(Q1136:Q1673)=0,"",SUM((COUNTIF(Q$4:Q1136,Upgrades!$B$3:$B$13)-COUNTIF(Q$4:Q1136,"Sell_"&amp;Upgrades!$B$3:$B$13))*Upgrades!$D$3:$D$13))</f>
        <v/>
      </c>
      <c r="T1136" s="66" t="str">
        <f>IFERROR(__xludf.DUMMYFUNCTION("IF(COUNTA(Q1136:Q1673)=0,"""",IF(REGEXMATCH(INDEX(FILTER(Q$4:Q1136,Q$4:Q1136&lt;&gt;""""),ROWS(FILTER(Q$4:Q1136,Q$4:Q1136&lt;&gt;""""))),""^Sell_""),INDEX(FILTER(T$4:T1135,Q$4:Q1135&lt;&gt;""""),ROWS(FILTER(Q$4:Q1135,Q$4:Q1135&lt;&gt;""""))),$AD$5+S1136))"),"")</f>
        <v/>
      </c>
      <c r="U1136" s="10" t="str">
        <f>IFERROR(__xludf.DUMMYFUNCTION("IF(COUNTA(Q1136:Q1673)=0,"""",IF(Q1136="""",0,IF(REGEXMATCH(Q1136,""^Sell_""),-ROUNDDOWN(ROUNDUP(INDEX(Upgrades!$C$3:$C$13,MATCH(SUBSTITUTE(Q1136,""Sell_"",""""),Upgrades!$B$3:$B$13,0))*1.15^(COUNTIF(Q$4:Q1135,SUBSTITUTE(Q1136,""Sell_"",""""))-COUNTIF(Q$4"&amp;":Q1135,""Sell_""&amp;SUBSTITUTE(Q1136,""Sell_"",""""))))/2),ROUNDUP(INDEX(Upgrades!$C$3:$C$13,MATCH(Q1136,Upgrades!$B$3:$B$13,0))*1.15^(COUNTIF(Q$4:Q1135,Q1136)-COUNTIF(Q$4:Q1135,""Sell_""&amp;Q1136))))))"),"")</f>
        <v/>
      </c>
      <c r="V1136" s="10" t="str">
        <f t="shared" si="11"/>
        <v/>
      </c>
      <c r="W1136" s="68" t="str">
        <f t="shared" si="12"/>
        <v/>
      </c>
      <c r="X1136" s="59" t="str">
        <f t="shared" si="13"/>
        <v/>
      </c>
      <c r="Y1136" s="69" t="str">
        <f t="shared" si="14"/>
        <v/>
      </c>
      <c r="Z1136" s="11"/>
    </row>
    <row r="1137">
      <c r="A1137" s="8"/>
      <c r="B1137" s="56" t="str">
        <f t="shared" si="2"/>
        <v/>
      </c>
      <c r="C1137" s="105"/>
      <c r="D1137" s="10"/>
      <c r="E1137" s="59" t="str">
        <f t="array" ref="E1137">IF(COUNTA(C1137:C1673)=0,"",SUM((COUNTIF(C$4:C1137,Upgrades!$B$3:$B$13)-COUNTIF(C$4:C1137,"Sell_"&amp;Upgrades!$B$3:$B$13))*Upgrades!$D$3:$D$13))</f>
        <v/>
      </c>
      <c r="F1137" s="66" t="str">
        <f>IFERROR(__xludf.DUMMYFUNCTION("IF(COUNTA(C1137:C1673)=0,"""",IF(REGEXMATCH(INDEX(FILTER(C$4:C1137,C$4:C1137&lt;&gt;""""),ROWS(FILTER(C$4:C1137,C$4:C1137&lt;&gt;""""))),""^Sell_""),INDEX(FILTER(F$4:F1136,C$4:C1136&lt;&gt;""""),ROWS(FILTER(C$4:C1136,C$4:C1136&lt;&gt;""""))),$AC$5+E1137))"),"")</f>
        <v/>
      </c>
      <c r="G1137" s="10" t="str">
        <f>IFERROR(__xludf.DUMMYFUNCTION("IF(COUNTA(C1137:C1673)=0,"""",IF(C1137="""",0,IF(REGEXMATCH(C1137,""^Sell_""),-ROUNDDOWN(ROUNDUP(INDEX(Upgrades!$C$3:$C$13,MATCH(SUBSTITUTE(C1137,""Sell_"",""""),Upgrades!$B$3:$B$13,0))*1.15^(COUNTIF(C$4:C1136,SUBSTITUTE(C1137,""Sell_"",""""))-COUNTIF(C$4"&amp;":C1136,""Sell_""&amp;SUBSTITUTE(C1137,""Sell_"",""""))))/2),ROUNDUP(INDEX(Upgrades!$C$3:$C$13,MATCH(C1137,Upgrades!$B$3:$B$13,0))*1.15^(COUNTIF(C$4:C1136,C1137)-COUNTIF(C$4:C1136,""Sell_""&amp;C1137))))))"),"")</f>
        <v/>
      </c>
      <c r="H1137" s="10" t="str">
        <f t="shared" si="3"/>
        <v/>
      </c>
      <c r="I1137" s="68" t="str">
        <f t="shared" si="4"/>
        <v/>
      </c>
      <c r="J1137" s="59" t="str">
        <f t="shared" si="5"/>
        <v/>
      </c>
      <c r="K1137" s="69" t="str">
        <f t="shared" si="6"/>
        <v/>
      </c>
      <c r="L1137" s="60" t="str">
        <f t="shared" si="7"/>
        <v/>
      </c>
      <c r="M1137" s="61" t="str">
        <f>IFERROR(__xludf.DUMMYFUNCTION("IFS(AND(COUNTA(C1137:C1673)=0,COUNTA(Q1137:Q1673)=0),"""",OR(AND(K1137&gt;=1000000000,OR(Y1137&gt;=1000000000,COUNTA(Q1137:Q1673)=0)),OR(Y1137&gt;=1000000000,AND(COUNTA(C1137:C1673)=0,P$3=TRUE))),
ROUNDDOWN((AB$1-AC$1)*MAX(INDEX(T$4:T1673,MATCH(LARGE(FILTER(Y$4:Y1"&amp;"673,Y$4:Y1673&lt;1000000000),1),Y$4:Y1673)),INDEX(F$4:F1673,MATCH(LARGE(FILTER(K$4:K1673,K$4:K1673&lt;1000000000),1),K$4:K1673)))),AND(K1137&lt;1000000000,COUNTA(C1137:C1673)&gt;0,P$3=FALSE),
ROUNDDOWN(INDEX(Y$4:Y1673,MATCH(LARGE(FILTER(W$4:W1673,W$4:W1673&lt;=I1137),1)"&amp;",W$4:W1673))+(I1137-LARGE(FILTER(W$4:W1673,W$4:W1673&lt;=I1137),1))*INDEX(T$4:T1673,MATCH(LARGE(FILTER(W$4:W1673,W$4:W1673&lt;=I1137),1),W$4:W1673))-K1137),1,
ROUNDDOWN(Y1137-INDEX(K$4:K1673,MATCH(LARGE(FILTER(I$4:I1673,I$4:I1673&lt;=W1137),1),I$4:I1673))-(W1137-L"&amp;"ARGE(FILTER(I$4:I1673,I$4:I1673&lt;=W1137),1))*INDEX(F$4:F1673,MATCH(LARGE(FILTER(I$4:I1673,I$4:I1673&lt;=W1137),1),I$4:I1673))))"),"")</f>
        <v/>
      </c>
      <c r="N1137" s="60" t="str">
        <f t="shared" si="8"/>
        <v/>
      </c>
      <c r="O1137" s="61" t="str">
        <f t="shared" si="9"/>
        <v/>
      </c>
      <c r="P1137" s="56" t="str">
        <f t="shared" si="10"/>
        <v/>
      </c>
      <c r="Q1137" s="67"/>
      <c r="R1137" s="10"/>
      <c r="S1137" s="59" t="str">
        <f t="array" ref="S1137">IF(COUNTA(Q1137:Q1673)=0,"",SUM((COUNTIF(Q$4:Q1137,Upgrades!$B$3:$B$13)-COUNTIF(Q$4:Q1137,"Sell_"&amp;Upgrades!$B$3:$B$13))*Upgrades!$D$3:$D$13))</f>
        <v/>
      </c>
      <c r="T1137" s="66" t="str">
        <f>IFERROR(__xludf.DUMMYFUNCTION("IF(COUNTA(Q1137:Q1673)=0,"""",IF(REGEXMATCH(INDEX(FILTER(Q$4:Q1137,Q$4:Q1137&lt;&gt;""""),ROWS(FILTER(Q$4:Q1137,Q$4:Q1137&lt;&gt;""""))),""^Sell_""),INDEX(FILTER(T$4:T1136,Q$4:Q1136&lt;&gt;""""),ROWS(FILTER(Q$4:Q1136,Q$4:Q1136&lt;&gt;""""))),$AD$5+S1137))"),"")</f>
        <v/>
      </c>
      <c r="U1137" s="10" t="str">
        <f>IFERROR(__xludf.DUMMYFUNCTION("IF(COUNTA(Q1137:Q1673)=0,"""",IF(Q1137="""",0,IF(REGEXMATCH(Q1137,""^Sell_""),-ROUNDDOWN(ROUNDUP(INDEX(Upgrades!$C$3:$C$13,MATCH(SUBSTITUTE(Q1137,""Sell_"",""""),Upgrades!$B$3:$B$13,0))*1.15^(COUNTIF(Q$4:Q1136,SUBSTITUTE(Q1137,""Sell_"",""""))-COUNTIF(Q$4"&amp;":Q1136,""Sell_""&amp;SUBSTITUTE(Q1137,""Sell_"",""""))))/2),ROUNDUP(INDEX(Upgrades!$C$3:$C$13,MATCH(Q1137,Upgrades!$B$3:$B$13,0))*1.15^(COUNTIF(Q$4:Q1136,Q1137)-COUNTIF(Q$4:Q1136,""Sell_""&amp;Q1137))))))"),"")</f>
        <v/>
      </c>
      <c r="V1137" s="10" t="str">
        <f t="shared" si="11"/>
        <v/>
      </c>
      <c r="W1137" s="68" t="str">
        <f t="shared" si="12"/>
        <v/>
      </c>
      <c r="X1137" s="59" t="str">
        <f t="shared" si="13"/>
        <v/>
      </c>
      <c r="Y1137" s="69" t="str">
        <f t="shared" si="14"/>
        <v/>
      </c>
      <c r="Z1137" s="11"/>
    </row>
    <row r="1138">
      <c r="A1138" s="8"/>
      <c r="B1138" s="56" t="str">
        <f t="shared" si="2"/>
        <v/>
      </c>
      <c r="C1138" s="105"/>
      <c r="D1138" s="10"/>
      <c r="E1138" s="59" t="str">
        <f t="array" ref="E1138">IF(COUNTA(C1138:C1673)=0,"",SUM((COUNTIF(C$4:C1138,Upgrades!$B$3:$B$13)-COUNTIF(C$4:C1138,"Sell_"&amp;Upgrades!$B$3:$B$13))*Upgrades!$D$3:$D$13))</f>
        <v/>
      </c>
      <c r="F1138" s="66" t="str">
        <f>IFERROR(__xludf.DUMMYFUNCTION("IF(COUNTA(C1138:C1673)=0,"""",IF(REGEXMATCH(INDEX(FILTER(C$4:C1138,C$4:C1138&lt;&gt;""""),ROWS(FILTER(C$4:C1138,C$4:C1138&lt;&gt;""""))),""^Sell_""),INDEX(FILTER(F$4:F1137,C$4:C1137&lt;&gt;""""),ROWS(FILTER(C$4:C1137,C$4:C1137&lt;&gt;""""))),$AC$5+E1138))"),"")</f>
        <v/>
      </c>
      <c r="G1138" s="10" t="str">
        <f>IFERROR(__xludf.DUMMYFUNCTION("IF(COUNTA(C1138:C1673)=0,"""",IF(C1138="""",0,IF(REGEXMATCH(C1138,""^Sell_""),-ROUNDDOWN(ROUNDUP(INDEX(Upgrades!$C$3:$C$13,MATCH(SUBSTITUTE(C1138,""Sell_"",""""),Upgrades!$B$3:$B$13,0))*1.15^(COUNTIF(C$4:C1137,SUBSTITUTE(C1138,""Sell_"",""""))-COUNTIF(C$4"&amp;":C1137,""Sell_""&amp;SUBSTITUTE(C1138,""Sell_"",""""))))/2),ROUNDUP(INDEX(Upgrades!$C$3:$C$13,MATCH(C1138,Upgrades!$B$3:$B$13,0))*1.15^(COUNTIF(C$4:C1137,C1138)-COUNTIF(C$4:C1137,""Sell_""&amp;C1138))))))"),"")</f>
        <v/>
      </c>
      <c r="H1138" s="10" t="str">
        <f t="shared" si="3"/>
        <v/>
      </c>
      <c r="I1138" s="68" t="str">
        <f t="shared" si="4"/>
        <v/>
      </c>
      <c r="J1138" s="59" t="str">
        <f t="shared" si="5"/>
        <v/>
      </c>
      <c r="K1138" s="69" t="str">
        <f t="shared" si="6"/>
        <v/>
      </c>
      <c r="L1138" s="60" t="str">
        <f t="shared" si="7"/>
        <v/>
      </c>
      <c r="M1138" s="61" t="str">
        <f>IFERROR(__xludf.DUMMYFUNCTION("IFS(AND(COUNTA(C1138:C1673)=0,COUNTA(Q1138:Q1673)=0),"""",OR(AND(K1138&gt;=1000000000,OR(Y1138&gt;=1000000000,COUNTA(Q1138:Q1673)=0)),OR(Y1138&gt;=1000000000,AND(COUNTA(C1138:C1673)=0,P$3=TRUE))),
ROUNDDOWN((AB$1-AC$1)*MAX(INDEX(T$4:T1673,MATCH(LARGE(FILTER(Y$4:Y1"&amp;"673,Y$4:Y1673&lt;1000000000),1),Y$4:Y1673)),INDEX(F$4:F1673,MATCH(LARGE(FILTER(K$4:K1673,K$4:K1673&lt;1000000000),1),K$4:K1673)))),AND(K1138&lt;1000000000,COUNTA(C1138:C1673)&gt;0,P$3=FALSE),
ROUNDDOWN(INDEX(Y$4:Y1673,MATCH(LARGE(FILTER(W$4:W1673,W$4:W1673&lt;=I1138),1)"&amp;",W$4:W1673))+(I1138-LARGE(FILTER(W$4:W1673,W$4:W1673&lt;=I1138),1))*INDEX(T$4:T1673,MATCH(LARGE(FILTER(W$4:W1673,W$4:W1673&lt;=I1138),1),W$4:W1673))-K1138),1,
ROUNDDOWN(Y1138-INDEX(K$4:K1673,MATCH(LARGE(FILTER(I$4:I1673,I$4:I1673&lt;=W1138),1),I$4:I1673))-(W1138-L"&amp;"ARGE(FILTER(I$4:I1673,I$4:I1673&lt;=W1138),1))*INDEX(F$4:F1673,MATCH(LARGE(FILTER(I$4:I1673,I$4:I1673&lt;=W1138),1),I$4:I1673))))"),"")</f>
        <v/>
      </c>
      <c r="N1138" s="60" t="str">
        <f t="shared" si="8"/>
        <v/>
      </c>
      <c r="O1138" s="61" t="str">
        <f t="shared" si="9"/>
        <v/>
      </c>
      <c r="P1138" s="56" t="str">
        <f t="shared" si="10"/>
        <v/>
      </c>
      <c r="Q1138" s="67"/>
      <c r="R1138" s="10"/>
      <c r="S1138" s="59" t="str">
        <f t="array" ref="S1138">IF(COUNTA(Q1138:Q1673)=0,"",SUM((COUNTIF(Q$4:Q1138,Upgrades!$B$3:$B$13)-COUNTIF(Q$4:Q1138,"Sell_"&amp;Upgrades!$B$3:$B$13))*Upgrades!$D$3:$D$13))</f>
        <v/>
      </c>
      <c r="T1138" s="66" t="str">
        <f>IFERROR(__xludf.DUMMYFUNCTION("IF(COUNTA(Q1138:Q1673)=0,"""",IF(REGEXMATCH(INDEX(FILTER(Q$4:Q1138,Q$4:Q1138&lt;&gt;""""),ROWS(FILTER(Q$4:Q1138,Q$4:Q1138&lt;&gt;""""))),""^Sell_""),INDEX(FILTER(T$4:T1137,Q$4:Q1137&lt;&gt;""""),ROWS(FILTER(Q$4:Q1137,Q$4:Q1137&lt;&gt;""""))),$AD$5+S1138))"),"")</f>
        <v/>
      </c>
      <c r="U1138" s="10" t="str">
        <f>IFERROR(__xludf.DUMMYFUNCTION("IF(COUNTA(Q1138:Q1673)=0,"""",IF(Q1138="""",0,IF(REGEXMATCH(Q1138,""^Sell_""),-ROUNDDOWN(ROUNDUP(INDEX(Upgrades!$C$3:$C$13,MATCH(SUBSTITUTE(Q1138,""Sell_"",""""),Upgrades!$B$3:$B$13,0))*1.15^(COUNTIF(Q$4:Q1137,SUBSTITUTE(Q1138,""Sell_"",""""))-COUNTIF(Q$4"&amp;":Q1137,""Sell_""&amp;SUBSTITUTE(Q1138,""Sell_"",""""))))/2),ROUNDUP(INDEX(Upgrades!$C$3:$C$13,MATCH(Q1138,Upgrades!$B$3:$B$13,0))*1.15^(COUNTIF(Q$4:Q1137,Q1138)-COUNTIF(Q$4:Q1137,""Sell_""&amp;Q1138))))))"),"")</f>
        <v/>
      </c>
      <c r="V1138" s="10" t="str">
        <f t="shared" si="11"/>
        <v/>
      </c>
      <c r="W1138" s="68" t="str">
        <f t="shared" si="12"/>
        <v/>
      </c>
      <c r="X1138" s="59" t="str">
        <f t="shared" si="13"/>
        <v/>
      </c>
      <c r="Y1138" s="69" t="str">
        <f t="shared" si="14"/>
        <v/>
      </c>
      <c r="Z1138" s="11"/>
    </row>
    <row r="1139">
      <c r="A1139" s="8"/>
      <c r="B1139" s="56" t="str">
        <f t="shared" si="2"/>
        <v/>
      </c>
      <c r="C1139" s="105"/>
      <c r="D1139" s="10"/>
      <c r="E1139" s="59" t="str">
        <f t="array" ref="E1139">IF(COUNTA(C1139:C1673)=0,"",SUM((COUNTIF(C$4:C1139,Upgrades!$B$3:$B$13)-COUNTIF(C$4:C1139,"Sell_"&amp;Upgrades!$B$3:$B$13))*Upgrades!$D$3:$D$13))</f>
        <v/>
      </c>
      <c r="F1139" s="66" t="str">
        <f>IFERROR(__xludf.DUMMYFUNCTION("IF(COUNTA(C1139:C1673)=0,"""",IF(REGEXMATCH(INDEX(FILTER(C$4:C1139,C$4:C1139&lt;&gt;""""),ROWS(FILTER(C$4:C1139,C$4:C1139&lt;&gt;""""))),""^Sell_""),INDEX(FILTER(F$4:F1138,C$4:C1138&lt;&gt;""""),ROWS(FILTER(C$4:C1138,C$4:C1138&lt;&gt;""""))),$AC$5+E1139))"),"")</f>
        <v/>
      </c>
      <c r="G1139" s="10" t="str">
        <f>IFERROR(__xludf.DUMMYFUNCTION("IF(COUNTA(C1139:C1673)=0,"""",IF(C1139="""",0,IF(REGEXMATCH(C1139,""^Sell_""),-ROUNDDOWN(ROUNDUP(INDEX(Upgrades!$C$3:$C$13,MATCH(SUBSTITUTE(C1139,""Sell_"",""""),Upgrades!$B$3:$B$13,0))*1.15^(COUNTIF(C$4:C1138,SUBSTITUTE(C1139,""Sell_"",""""))-COUNTIF(C$4"&amp;":C1138,""Sell_""&amp;SUBSTITUTE(C1139,""Sell_"",""""))))/2),ROUNDUP(INDEX(Upgrades!$C$3:$C$13,MATCH(C1139,Upgrades!$B$3:$B$13,0))*1.15^(COUNTIF(C$4:C1138,C1139)-COUNTIF(C$4:C1138,""Sell_""&amp;C1139))))))"),"")</f>
        <v/>
      </c>
      <c r="H1139" s="10" t="str">
        <f t="shared" si="3"/>
        <v/>
      </c>
      <c r="I1139" s="68" t="str">
        <f t="shared" si="4"/>
        <v/>
      </c>
      <c r="J1139" s="59" t="str">
        <f t="shared" si="5"/>
        <v/>
      </c>
      <c r="K1139" s="69" t="str">
        <f t="shared" si="6"/>
        <v/>
      </c>
      <c r="L1139" s="60" t="str">
        <f t="shared" si="7"/>
        <v/>
      </c>
      <c r="M1139" s="61" t="str">
        <f>IFERROR(__xludf.DUMMYFUNCTION("IFS(AND(COUNTA(C1139:C1673)=0,COUNTA(Q1139:Q1673)=0),"""",OR(AND(K1139&gt;=1000000000,OR(Y1139&gt;=1000000000,COUNTA(Q1139:Q1673)=0)),OR(Y1139&gt;=1000000000,AND(COUNTA(C1139:C1673)=0,P$3=TRUE))),
ROUNDDOWN((AB$1-AC$1)*MAX(INDEX(T$4:T1673,MATCH(LARGE(FILTER(Y$4:Y1"&amp;"673,Y$4:Y1673&lt;1000000000),1),Y$4:Y1673)),INDEX(F$4:F1673,MATCH(LARGE(FILTER(K$4:K1673,K$4:K1673&lt;1000000000),1),K$4:K1673)))),AND(K1139&lt;1000000000,COUNTA(C1139:C1673)&gt;0,P$3=FALSE),
ROUNDDOWN(INDEX(Y$4:Y1673,MATCH(LARGE(FILTER(W$4:W1673,W$4:W1673&lt;=I1139),1)"&amp;",W$4:W1673))+(I1139-LARGE(FILTER(W$4:W1673,W$4:W1673&lt;=I1139),1))*INDEX(T$4:T1673,MATCH(LARGE(FILTER(W$4:W1673,W$4:W1673&lt;=I1139),1),W$4:W1673))-K1139),1,
ROUNDDOWN(Y1139-INDEX(K$4:K1673,MATCH(LARGE(FILTER(I$4:I1673,I$4:I1673&lt;=W1139),1),I$4:I1673))-(W1139-L"&amp;"ARGE(FILTER(I$4:I1673,I$4:I1673&lt;=W1139),1))*INDEX(F$4:F1673,MATCH(LARGE(FILTER(I$4:I1673,I$4:I1673&lt;=W1139),1),I$4:I1673))))"),"")</f>
        <v/>
      </c>
      <c r="N1139" s="60" t="str">
        <f t="shared" si="8"/>
        <v/>
      </c>
      <c r="O1139" s="61" t="str">
        <f t="shared" si="9"/>
        <v/>
      </c>
      <c r="P1139" s="56" t="str">
        <f t="shared" si="10"/>
        <v/>
      </c>
      <c r="Q1139" s="67"/>
      <c r="R1139" s="10"/>
      <c r="S1139" s="59" t="str">
        <f t="array" ref="S1139">IF(COUNTA(Q1139:Q1673)=0,"",SUM((COUNTIF(Q$4:Q1139,Upgrades!$B$3:$B$13)-COUNTIF(Q$4:Q1139,"Sell_"&amp;Upgrades!$B$3:$B$13))*Upgrades!$D$3:$D$13))</f>
        <v/>
      </c>
      <c r="T1139" s="66" t="str">
        <f>IFERROR(__xludf.DUMMYFUNCTION("IF(COUNTA(Q1139:Q1673)=0,"""",IF(REGEXMATCH(INDEX(FILTER(Q$4:Q1139,Q$4:Q1139&lt;&gt;""""),ROWS(FILTER(Q$4:Q1139,Q$4:Q1139&lt;&gt;""""))),""^Sell_""),INDEX(FILTER(T$4:T1138,Q$4:Q1138&lt;&gt;""""),ROWS(FILTER(Q$4:Q1138,Q$4:Q1138&lt;&gt;""""))),$AD$5+S1139))"),"")</f>
        <v/>
      </c>
      <c r="U1139" s="10" t="str">
        <f>IFERROR(__xludf.DUMMYFUNCTION("IF(COUNTA(Q1139:Q1673)=0,"""",IF(Q1139="""",0,IF(REGEXMATCH(Q1139,""^Sell_""),-ROUNDDOWN(ROUNDUP(INDEX(Upgrades!$C$3:$C$13,MATCH(SUBSTITUTE(Q1139,""Sell_"",""""),Upgrades!$B$3:$B$13,0))*1.15^(COUNTIF(Q$4:Q1138,SUBSTITUTE(Q1139,""Sell_"",""""))-COUNTIF(Q$4"&amp;":Q1138,""Sell_""&amp;SUBSTITUTE(Q1139,""Sell_"",""""))))/2),ROUNDUP(INDEX(Upgrades!$C$3:$C$13,MATCH(Q1139,Upgrades!$B$3:$B$13,0))*1.15^(COUNTIF(Q$4:Q1138,Q1139)-COUNTIF(Q$4:Q1138,""Sell_""&amp;Q1139))))))"),"")</f>
        <v/>
      </c>
      <c r="V1139" s="10" t="str">
        <f t="shared" si="11"/>
        <v/>
      </c>
      <c r="W1139" s="68" t="str">
        <f t="shared" si="12"/>
        <v/>
      </c>
      <c r="X1139" s="59" t="str">
        <f t="shared" si="13"/>
        <v/>
      </c>
      <c r="Y1139" s="69" t="str">
        <f t="shared" si="14"/>
        <v/>
      </c>
      <c r="Z1139" s="11"/>
    </row>
    <row r="1140">
      <c r="A1140" s="8"/>
      <c r="B1140" s="56" t="str">
        <f t="shared" si="2"/>
        <v/>
      </c>
      <c r="C1140" s="105"/>
      <c r="D1140" s="10"/>
      <c r="E1140" s="59" t="str">
        <f t="array" ref="E1140">IF(COUNTA(C1140:C1673)=0,"",SUM((COUNTIF(C$4:C1140,Upgrades!$B$3:$B$13)-COUNTIF(C$4:C1140,"Sell_"&amp;Upgrades!$B$3:$B$13))*Upgrades!$D$3:$D$13))</f>
        <v/>
      </c>
      <c r="F1140" s="66" t="str">
        <f>IFERROR(__xludf.DUMMYFUNCTION("IF(COUNTA(C1140:C1673)=0,"""",IF(REGEXMATCH(INDEX(FILTER(C$4:C1140,C$4:C1140&lt;&gt;""""),ROWS(FILTER(C$4:C1140,C$4:C1140&lt;&gt;""""))),""^Sell_""),INDEX(FILTER(F$4:F1139,C$4:C1139&lt;&gt;""""),ROWS(FILTER(C$4:C1139,C$4:C1139&lt;&gt;""""))),$AC$5+E1140))"),"")</f>
        <v/>
      </c>
      <c r="G1140" s="10" t="str">
        <f>IFERROR(__xludf.DUMMYFUNCTION("IF(COUNTA(C1140:C1673)=0,"""",IF(C1140="""",0,IF(REGEXMATCH(C1140,""^Sell_""),-ROUNDDOWN(ROUNDUP(INDEX(Upgrades!$C$3:$C$13,MATCH(SUBSTITUTE(C1140,""Sell_"",""""),Upgrades!$B$3:$B$13,0))*1.15^(COUNTIF(C$4:C1139,SUBSTITUTE(C1140,""Sell_"",""""))-COUNTIF(C$4"&amp;":C1139,""Sell_""&amp;SUBSTITUTE(C1140,""Sell_"",""""))))/2),ROUNDUP(INDEX(Upgrades!$C$3:$C$13,MATCH(C1140,Upgrades!$B$3:$B$13,0))*1.15^(COUNTIF(C$4:C1139,C1140)-COUNTIF(C$4:C1139,""Sell_""&amp;C1140))))))"),"")</f>
        <v/>
      </c>
      <c r="H1140" s="10" t="str">
        <f t="shared" si="3"/>
        <v/>
      </c>
      <c r="I1140" s="68" t="str">
        <f t="shared" si="4"/>
        <v/>
      </c>
      <c r="J1140" s="59" t="str">
        <f t="shared" si="5"/>
        <v/>
      </c>
      <c r="K1140" s="69" t="str">
        <f t="shared" si="6"/>
        <v/>
      </c>
      <c r="L1140" s="60" t="str">
        <f t="shared" si="7"/>
        <v/>
      </c>
      <c r="M1140" s="61" t="str">
        <f>IFERROR(__xludf.DUMMYFUNCTION("IFS(AND(COUNTA(C1140:C1673)=0,COUNTA(Q1140:Q1673)=0),"""",OR(AND(K1140&gt;=1000000000,OR(Y1140&gt;=1000000000,COUNTA(Q1140:Q1673)=0)),OR(Y1140&gt;=1000000000,AND(COUNTA(C1140:C1673)=0,P$3=TRUE))),
ROUNDDOWN((AB$1-AC$1)*MAX(INDEX(T$4:T1673,MATCH(LARGE(FILTER(Y$4:Y1"&amp;"673,Y$4:Y1673&lt;1000000000),1),Y$4:Y1673)),INDEX(F$4:F1673,MATCH(LARGE(FILTER(K$4:K1673,K$4:K1673&lt;1000000000),1),K$4:K1673)))),AND(K1140&lt;1000000000,COUNTA(C1140:C1673)&gt;0,P$3=FALSE),
ROUNDDOWN(INDEX(Y$4:Y1673,MATCH(LARGE(FILTER(W$4:W1673,W$4:W1673&lt;=I1140),1)"&amp;",W$4:W1673))+(I1140-LARGE(FILTER(W$4:W1673,W$4:W1673&lt;=I1140),1))*INDEX(T$4:T1673,MATCH(LARGE(FILTER(W$4:W1673,W$4:W1673&lt;=I1140),1),W$4:W1673))-K1140),1,
ROUNDDOWN(Y1140-INDEX(K$4:K1673,MATCH(LARGE(FILTER(I$4:I1673,I$4:I1673&lt;=W1140),1),I$4:I1673))-(W1140-L"&amp;"ARGE(FILTER(I$4:I1673,I$4:I1673&lt;=W1140),1))*INDEX(F$4:F1673,MATCH(LARGE(FILTER(I$4:I1673,I$4:I1673&lt;=W1140),1),I$4:I1673))))"),"")</f>
        <v/>
      </c>
      <c r="N1140" s="60" t="str">
        <f t="shared" si="8"/>
        <v/>
      </c>
      <c r="O1140" s="61" t="str">
        <f t="shared" si="9"/>
        <v/>
      </c>
      <c r="P1140" s="56" t="str">
        <f t="shared" si="10"/>
        <v/>
      </c>
      <c r="Q1140" s="67"/>
      <c r="R1140" s="10"/>
      <c r="S1140" s="59" t="str">
        <f t="array" ref="S1140">IF(COUNTA(Q1140:Q1673)=0,"",SUM((COUNTIF(Q$4:Q1140,Upgrades!$B$3:$B$13)-COUNTIF(Q$4:Q1140,"Sell_"&amp;Upgrades!$B$3:$B$13))*Upgrades!$D$3:$D$13))</f>
        <v/>
      </c>
      <c r="T1140" s="66" t="str">
        <f>IFERROR(__xludf.DUMMYFUNCTION("IF(COUNTA(Q1140:Q1673)=0,"""",IF(REGEXMATCH(INDEX(FILTER(Q$4:Q1140,Q$4:Q1140&lt;&gt;""""),ROWS(FILTER(Q$4:Q1140,Q$4:Q1140&lt;&gt;""""))),""^Sell_""),INDEX(FILTER(T$4:T1139,Q$4:Q1139&lt;&gt;""""),ROWS(FILTER(Q$4:Q1139,Q$4:Q1139&lt;&gt;""""))),$AD$5+S1140))"),"")</f>
        <v/>
      </c>
      <c r="U1140" s="10" t="str">
        <f>IFERROR(__xludf.DUMMYFUNCTION("IF(COUNTA(Q1140:Q1673)=0,"""",IF(Q1140="""",0,IF(REGEXMATCH(Q1140,""^Sell_""),-ROUNDDOWN(ROUNDUP(INDEX(Upgrades!$C$3:$C$13,MATCH(SUBSTITUTE(Q1140,""Sell_"",""""),Upgrades!$B$3:$B$13,0))*1.15^(COUNTIF(Q$4:Q1139,SUBSTITUTE(Q1140,""Sell_"",""""))-COUNTIF(Q$4"&amp;":Q1139,""Sell_""&amp;SUBSTITUTE(Q1140,""Sell_"",""""))))/2),ROUNDUP(INDEX(Upgrades!$C$3:$C$13,MATCH(Q1140,Upgrades!$B$3:$B$13,0))*1.15^(COUNTIF(Q$4:Q1139,Q1140)-COUNTIF(Q$4:Q1139,""Sell_""&amp;Q1140))))))"),"")</f>
        <v/>
      </c>
      <c r="V1140" s="10" t="str">
        <f t="shared" si="11"/>
        <v/>
      </c>
      <c r="W1140" s="68" t="str">
        <f t="shared" si="12"/>
        <v/>
      </c>
      <c r="X1140" s="59" t="str">
        <f t="shared" si="13"/>
        <v/>
      </c>
      <c r="Y1140" s="69" t="str">
        <f t="shared" si="14"/>
        <v/>
      </c>
      <c r="Z1140" s="11"/>
    </row>
    <row r="1141">
      <c r="A1141" s="8"/>
      <c r="B1141" s="56" t="str">
        <f t="shared" si="2"/>
        <v/>
      </c>
      <c r="C1141" s="105"/>
      <c r="D1141" s="10"/>
      <c r="E1141" s="59" t="str">
        <f t="array" ref="E1141">IF(COUNTA(C1141:C1673)=0,"",SUM((COUNTIF(C$4:C1141,Upgrades!$B$3:$B$13)-COUNTIF(C$4:C1141,"Sell_"&amp;Upgrades!$B$3:$B$13))*Upgrades!$D$3:$D$13))</f>
        <v/>
      </c>
      <c r="F1141" s="66" t="str">
        <f>IFERROR(__xludf.DUMMYFUNCTION("IF(COUNTA(C1141:C1673)=0,"""",IF(REGEXMATCH(INDEX(FILTER(C$4:C1141,C$4:C1141&lt;&gt;""""),ROWS(FILTER(C$4:C1141,C$4:C1141&lt;&gt;""""))),""^Sell_""),INDEX(FILTER(F$4:F1140,C$4:C1140&lt;&gt;""""),ROWS(FILTER(C$4:C1140,C$4:C1140&lt;&gt;""""))),$AC$5+E1141))"),"")</f>
        <v/>
      </c>
      <c r="G1141" s="10" t="str">
        <f>IFERROR(__xludf.DUMMYFUNCTION("IF(COUNTA(C1141:C1673)=0,"""",IF(C1141="""",0,IF(REGEXMATCH(C1141,""^Sell_""),-ROUNDDOWN(ROUNDUP(INDEX(Upgrades!$C$3:$C$13,MATCH(SUBSTITUTE(C1141,""Sell_"",""""),Upgrades!$B$3:$B$13,0))*1.15^(COUNTIF(C$4:C1140,SUBSTITUTE(C1141,""Sell_"",""""))-COUNTIF(C$4"&amp;":C1140,""Sell_""&amp;SUBSTITUTE(C1141,""Sell_"",""""))))/2),ROUNDUP(INDEX(Upgrades!$C$3:$C$13,MATCH(C1141,Upgrades!$B$3:$B$13,0))*1.15^(COUNTIF(C$4:C1140,C1141)-COUNTIF(C$4:C1140,""Sell_""&amp;C1141))))))"),"")</f>
        <v/>
      </c>
      <c r="H1141" s="10" t="str">
        <f t="shared" si="3"/>
        <v/>
      </c>
      <c r="I1141" s="68" t="str">
        <f t="shared" si="4"/>
        <v/>
      </c>
      <c r="J1141" s="59" t="str">
        <f t="shared" si="5"/>
        <v/>
      </c>
      <c r="K1141" s="69" t="str">
        <f t="shared" si="6"/>
        <v/>
      </c>
      <c r="L1141" s="60" t="str">
        <f t="shared" si="7"/>
        <v/>
      </c>
      <c r="M1141" s="61" t="str">
        <f>IFERROR(__xludf.DUMMYFUNCTION("IFS(AND(COUNTA(C1141:C1673)=0,COUNTA(Q1141:Q1673)=0),"""",OR(AND(K1141&gt;=1000000000,OR(Y1141&gt;=1000000000,COUNTA(Q1141:Q1673)=0)),OR(Y1141&gt;=1000000000,AND(COUNTA(C1141:C1673)=0,P$3=TRUE))),
ROUNDDOWN((AB$1-AC$1)*MAX(INDEX(T$4:T1673,MATCH(LARGE(FILTER(Y$4:Y1"&amp;"673,Y$4:Y1673&lt;1000000000),1),Y$4:Y1673)),INDEX(F$4:F1673,MATCH(LARGE(FILTER(K$4:K1673,K$4:K1673&lt;1000000000),1),K$4:K1673)))),AND(K1141&lt;1000000000,COUNTA(C1141:C1673)&gt;0,P$3=FALSE),
ROUNDDOWN(INDEX(Y$4:Y1673,MATCH(LARGE(FILTER(W$4:W1673,W$4:W1673&lt;=I1141),1)"&amp;",W$4:W1673))+(I1141-LARGE(FILTER(W$4:W1673,W$4:W1673&lt;=I1141),1))*INDEX(T$4:T1673,MATCH(LARGE(FILTER(W$4:W1673,W$4:W1673&lt;=I1141),1),W$4:W1673))-K1141),1,
ROUNDDOWN(Y1141-INDEX(K$4:K1673,MATCH(LARGE(FILTER(I$4:I1673,I$4:I1673&lt;=W1141),1),I$4:I1673))-(W1141-L"&amp;"ARGE(FILTER(I$4:I1673,I$4:I1673&lt;=W1141),1))*INDEX(F$4:F1673,MATCH(LARGE(FILTER(I$4:I1673,I$4:I1673&lt;=W1141),1),I$4:I1673))))"),"")</f>
        <v/>
      </c>
      <c r="N1141" s="60" t="str">
        <f t="shared" si="8"/>
        <v/>
      </c>
      <c r="O1141" s="61" t="str">
        <f t="shared" si="9"/>
        <v/>
      </c>
      <c r="P1141" s="56" t="str">
        <f t="shared" si="10"/>
        <v/>
      </c>
      <c r="Q1141" s="67"/>
      <c r="R1141" s="10"/>
      <c r="S1141" s="59" t="str">
        <f t="array" ref="S1141">IF(COUNTA(Q1141:Q1673)=0,"",SUM((COUNTIF(Q$4:Q1141,Upgrades!$B$3:$B$13)-COUNTIF(Q$4:Q1141,"Sell_"&amp;Upgrades!$B$3:$B$13))*Upgrades!$D$3:$D$13))</f>
        <v/>
      </c>
      <c r="T1141" s="66" t="str">
        <f>IFERROR(__xludf.DUMMYFUNCTION("IF(COUNTA(Q1141:Q1673)=0,"""",IF(REGEXMATCH(INDEX(FILTER(Q$4:Q1141,Q$4:Q1141&lt;&gt;""""),ROWS(FILTER(Q$4:Q1141,Q$4:Q1141&lt;&gt;""""))),""^Sell_""),INDEX(FILTER(T$4:T1140,Q$4:Q1140&lt;&gt;""""),ROWS(FILTER(Q$4:Q1140,Q$4:Q1140&lt;&gt;""""))),$AD$5+S1141))"),"")</f>
        <v/>
      </c>
      <c r="U1141" s="10" t="str">
        <f>IFERROR(__xludf.DUMMYFUNCTION("IF(COUNTA(Q1141:Q1673)=0,"""",IF(Q1141="""",0,IF(REGEXMATCH(Q1141,""^Sell_""),-ROUNDDOWN(ROUNDUP(INDEX(Upgrades!$C$3:$C$13,MATCH(SUBSTITUTE(Q1141,""Sell_"",""""),Upgrades!$B$3:$B$13,0))*1.15^(COUNTIF(Q$4:Q1140,SUBSTITUTE(Q1141,""Sell_"",""""))-COUNTIF(Q$4"&amp;":Q1140,""Sell_""&amp;SUBSTITUTE(Q1141,""Sell_"",""""))))/2),ROUNDUP(INDEX(Upgrades!$C$3:$C$13,MATCH(Q1141,Upgrades!$B$3:$B$13,0))*1.15^(COUNTIF(Q$4:Q1140,Q1141)-COUNTIF(Q$4:Q1140,""Sell_""&amp;Q1141))))))"),"")</f>
        <v/>
      </c>
      <c r="V1141" s="10" t="str">
        <f t="shared" si="11"/>
        <v/>
      </c>
      <c r="W1141" s="68" t="str">
        <f t="shared" si="12"/>
        <v/>
      </c>
      <c r="X1141" s="59" t="str">
        <f t="shared" si="13"/>
        <v/>
      </c>
      <c r="Y1141" s="69" t="str">
        <f t="shared" si="14"/>
        <v/>
      </c>
      <c r="Z1141" s="11"/>
    </row>
    <row r="1142">
      <c r="A1142" s="8"/>
      <c r="B1142" s="56" t="str">
        <f t="shared" si="2"/>
        <v/>
      </c>
      <c r="C1142" s="105"/>
      <c r="D1142" s="10"/>
      <c r="E1142" s="59" t="str">
        <f t="array" ref="E1142">IF(COUNTA(C1142:C1673)=0,"",SUM((COUNTIF(C$4:C1142,Upgrades!$B$3:$B$13)-COUNTIF(C$4:C1142,"Sell_"&amp;Upgrades!$B$3:$B$13))*Upgrades!$D$3:$D$13))</f>
        <v/>
      </c>
      <c r="F1142" s="66" t="str">
        <f>IFERROR(__xludf.DUMMYFUNCTION("IF(COUNTA(C1142:C1673)=0,"""",IF(REGEXMATCH(INDEX(FILTER(C$4:C1142,C$4:C1142&lt;&gt;""""),ROWS(FILTER(C$4:C1142,C$4:C1142&lt;&gt;""""))),""^Sell_""),INDEX(FILTER(F$4:F1141,C$4:C1141&lt;&gt;""""),ROWS(FILTER(C$4:C1141,C$4:C1141&lt;&gt;""""))),$AC$5+E1142))"),"")</f>
        <v/>
      </c>
      <c r="G1142" s="10" t="str">
        <f>IFERROR(__xludf.DUMMYFUNCTION("IF(COUNTA(C1142:C1673)=0,"""",IF(C1142="""",0,IF(REGEXMATCH(C1142,""^Sell_""),-ROUNDDOWN(ROUNDUP(INDEX(Upgrades!$C$3:$C$13,MATCH(SUBSTITUTE(C1142,""Sell_"",""""),Upgrades!$B$3:$B$13,0))*1.15^(COUNTIF(C$4:C1141,SUBSTITUTE(C1142,""Sell_"",""""))-COUNTIF(C$4"&amp;":C1141,""Sell_""&amp;SUBSTITUTE(C1142,""Sell_"",""""))))/2),ROUNDUP(INDEX(Upgrades!$C$3:$C$13,MATCH(C1142,Upgrades!$B$3:$B$13,0))*1.15^(COUNTIF(C$4:C1141,C1142)-COUNTIF(C$4:C1141,""Sell_""&amp;C1142))))))"),"")</f>
        <v/>
      </c>
      <c r="H1142" s="10" t="str">
        <f t="shared" si="3"/>
        <v/>
      </c>
      <c r="I1142" s="68" t="str">
        <f t="shared" si="4"/>
        <v/>
      </c>
      <c r="J1142" s="59" t="str">
        <f t="shared" si="5"/>
        <v/>
      </c>
      <c r="K1142" s="69" t="str">
        <f t="shared" si="6"/>
        <v/>
      </c>
      <c r="L1142" s="60" t="str">
        <f t="shared" si="7"/>
        <v/>
      </c>
      <c r="M1142" s="61" t="str">
        <f>IFERROR(__xludf.DUMMYFUNCTION("IFS(AND(COUNTA(C1142:C1673)=0,COUNTA(Q1142:Q1673)=0),"""",OR(AND(K1142&gt;=1000000000,OR(Y1142&gt;=1000000000,COUNTA(Q1142:Q1673)=0)),OR(Y1142&gt;=1000000000,AND(COUNTA(C1142:C1673)=0,P$3=TRUE))),
ROUNDDOWN((AB$1-AC$1)*MAX(INDEX(T$4:T1673,MATCH(LARGE(FILTER(Y$4:Y1"&amp;"673,Y$4:Y1673&lt;1000000000),1),Y$4:Y1673)),INDEX(F$4:F1673,MATCH(LARGE(FILTER(K$4:K1673,K$4:K1673&lt;1000000000),1),K$4:K1673)))),AND(K1142&lt;1000000000,COUNTA(C1142:C1673)&gt;0,P$3=FALSE),
ROUNDDOWN(INDEX(Y$4:Y1673,MATCH(LARGE(FILTER(W$4:W1673,W$4:W1673&lt;=I1142),1)"&amp;",W$4:W1673))+(I1142-LARGE(FILTER(W$4:W1673,W$4:W1673&lt;=I1142),1))*INDEX(T$4:T1673,MATCH(LARGE(FILTER(W$4:W1673,W$4:W1673&lt;=I1142),1),W$4:W1673))-K1142),1,
ROUNDDOWN(Y1142-INDEX(K$4:K1673,MATCH(LARGE(FILTER(I$4:I1673,I$4:I1673&lt;=W1142),1),I$4:I1673))-(W1142-L"&amp;"ARGE(FILTER(I$4:I1673,I$4:I1673&lt;=W1142),1))*INDEX(F$4:F1673,MATCH(LARGE(FILTER(I$4:I1673,I$4:I1673&lt;=W1142),1),I$4:I1673))))"),"")</f>
        <v/>
      </c>
      <c r="N1142" s="60" t="str">
        <f t="shared" si="8"/>
        <v/>
      </c>
      <c r="O1142" s="61" t="str">
        <f t="shared" si="9"/>
        <v/>
      </c>
      <c r="P1142" s="56" t="str">
        <f t="shared" si="10"/>
        <v/>
      </c>
      <c r="Q1142" s="67"/>
      <c r="R1142" s="10"/>
      <c r="S1142" s="59" t="str">
        <f t="array" ref="S1142">IF(COUNTA(Q1142:Q1673)=0,"",SUM((COUNTIF(Q$4:Q1142,Upgrades!$B$3:$B$13)-COUNTIF(Q$4:Q1142,"Sell_"&amp;Upgrades!$B$3:$B$13))*Upgrades!$D$3:$D$13))</f>
        <v/>
      </c>
      <c r="T1142" s="66" t="str">
        <f>IFERROR(__xludf.DUMMYFUNCTION("IF(COUNTA(Q1142:Q1673)=0,"""",IF(REGEXMATCH(INDEX(FILTER(Q$4:Q1142,Q$4:Q1142&lt;&gt;""""),ROWS(FILTER(Q$4:Q1142,Q$4:Q1142&lt;&gt;""""))),""^Sell_""),INDEX(FILTER(T$4:T1141,Q$4:Q1141&lt;&gt;""""),ROWS(FILTER(Q$4:Q1141,Q$4:Q1141&lt;&gt;""""))),$AD$5+S1142))"),"")</f>
        <v/>
      </c>
      <c r="U1142" s="10" t="str">
        <f>IFERROR(__xludf.DUMMYFUNCTION("IF(COUNTA(Q1142:Q1673)=0,"""",IF(Q1142="""",0,IF(REGEXMATCH(Q1142,""^Sell_""),-ROUNDDOWN(ROUNDUP(INDEX(Upgrades!$C$3:$C$13,MATCH(SUBSTITUTE(Q1142,""Sell_"",""""),Upgrades!$B$3:$B$13,0))*1.15^(COUNTIF(Q$4:Q1141,SUBSTITUTE(Q1142,""Sell_"",""""))-COUNTIF(Q$4"&amp;":Q1141,""Sell_""&amp;SUBSTITUTE(Q1142,""Sell_"",""""))))/2),ROUNDUP(INDEX(Upgrades!$C$3:$C$13,MATCH(Q1142,Upgrades!$B$3:$B$13,0))*1.15^(COUNTIF(Q$4:Q1141,Q1142)-COUNTIF(Q$4:Q1141,""Sell_""&amp;Q1142))))))"),"")</f>
        <v/>
      </c>
      <c r="V1142" s="10" t="str">
        <f t="shared" si="11"/>
        <v/>
      </c>
      <c r="W1142" s="68" t="str">
        <f t="shared" si="12"/>
        <v/>
      </c>
      <c r="X1142" s="59" t="str">
        <f t="shared" si="13"/>
        <v/>
      </c>
      <c r="Y1142" s="69" t="str">
        <f t="shared" si="14"/>
        <v/>
      </c>
      <c r="Z1142" s="11"/>
    </row>
    <row r="1143">
      <c r="A1143" s="8"/>
      <c r="B1143" s="56" t="str">
        <f t="shared" si="2"/>
        <v/>
      </c>
      <c r="C1143" s="105"/>
      <c r="D1143" s="10"/>
      <c r="E1143" s="59" t="str">
        <f t="array" ref="E1143">IF(COUNTA(C1143:C1673)=0,"",SUM((COUNTIF(C$4:C1143,Upgrades!$B$3:$B$13)-COUNTIF(C$4:C1143,"Sell_"&amp;Upgrades!$B$3:$B$13))*Upgrades!$D$3:$D$13))</f>
        <v/>
      </c>
      <c r="F1143" s="66" t="str">
        <f>IFERROR(__xludf.DUMMYFUNCTION("IF(COUNTA(C1143:C1673)=0,"""",IF(REGEXMATCH(INDEX(FILTER(C$4:C1143,C$4:C1143&lt;&gt;""""),ROWS(FILTER(C$4:C1143,C$4:C1143&lt;&gt;""""))),""^Sell_""),INDEX(FILTER(F$4:F1142,C$4:C1142&lt;&gt;""""),ROWS(FILTER(C$4:C1142,C$4:C1142&lt;&gt;""""))),$AC$5+E1143))"),"")</f>
        <v/>
      </c>
      <c r="G1143" s="10" t="str">
        <f>IFERROR(__xludf.DUMMYFUNCTION("IF(COUNTA(C1143:C1673)=0,"""",IF(C1143="""",0,IF(REGEXMATCH(C1143,""^Sell_""),-ROUNDDOWN(ROUNDUP(INDEX(Upgrades!$C$3:$C$13,MATCH(SUBSTITUTE(C1143,""Sell_"",""""),Upgrades!$B$3:$B$13,0))*1.15^(COUNTIF(C$4:C1142,SUBSTITUTE(C1143,""Sell_"",""""))-COUNTIF(C$4"&amp;":C1142,""Sell_""&amp;SUBSTITUTE(C1143,""Sell_"",""""))))/2),ROUNDUP(INDEX(Upgrades!$C$3:$C$13,MATCH(C1143,Upgrades!$B$3:$B$13,0))*1.15^(COUNTIF(C$4:C1142,C1143)-COUNTIF(C$4:C1142,""Sell_""&amp;C1143))))))"),"")</f>
        <v/>
      </c>
      <c r="H1143" s="10" t="str">
        <f t="shared" si="3"/>
        <v/>
      </c>
      <c r="I1143" s="68" t="str">
        <f t="shared" si="4"/>
        <v/>
      </c>
      <c r="J1143" s="59" t="str">
        <f t="shared" si="5"/>
        <v/>
      </c>
      <c r="K1143" s="69" t="str">
        <f t="shared" si="6"/>
        <v/>
      </c>
      <c r="L1143" s="60" t="str">
        <f t="shared" si="7"/>
        <v/>
      </c>
      <c r="M1143" s="61" t="str">
        <f>IFERROR(__xludf.DUMMYFUNCTION("IFS(AND(COUNTA(C1143:C1673)=0,COUNTA(Q1143:Q1673)=0),"""",OR(AND(K1143&gt;=1000000000,OR(Y1143&gt;=1000000000,COUNTA(Q1143:Q1673)=0)),OR(Y1143&gt;=1000000000,AND(COUNTA(C1143:C1673)=0,P$3=TRUE))),
ROUNDDOWN((AB$1-AC$1)*MAX(INDEX(T$4:T1673,MATCH(LARGE(FILTER(Y$4:Y1"&amp;"673,Y$4:Y1673&lt;1000000000),1),Y$4:Y1673)),INDEX(F$4:F1673,MATCH(LARGE(FILTER(K$4:K1673,K$4:K1673&lt;1000000000),1),K$4:K1673)))),AND(K1143&lt;1000000000,COUNTA(C1143:C1673)&gt;0,P$3=FALSE),
ROUNDDOWN(INDEX(Y$4:Y1673,MATCH(LARGE(FILTER(W$4:W1673,W$4:W1673&lt;=I1143),1)"&amp;",W$4:W1673))+(I1143-LARGE(FILTER(W$4:W1673,W$4:W1673&lt;=I1143),1))*INDEX(T$4:T1673,MATCH(LARGE(FILTER(W$4:W1673,W$4:W1673&lt;=I1143),1),W$4:W1673))-K1143),1,
ROUNDDOWN(Y1143-INDEX(K$4:K1673,MATCH(LARGE(FILTER(I$4:I1673,I$4:I1673&lt;=W1143),1),I$4:I1673))-(W1143-L"&amp;"ARGE(FILTER(I$4:I1673,I$4:I1673&lt;=W1143),1))*INDEX(F$4:F1673,MATCH(LARGE(FILTER(I$4:I1673,I$4:I1673&lt;=W1143),1),I$4:I1673))))"),"")</f>
        <v/>
      </c>
      <c r="N1143" s="60" t="str">
        <f t="shared" si="8"/>
        <v/>
      </c>
      <c r="O1143" s="61" t="str">
        <f t="shared" si="9"/>
        <v/>
      </c>
      <c r="P1143" s="56" t="str">
        <f t="shared" si="10"/>
        <v/>
      </c>
      <c r="Q1143" s="67"/>
      <c r="R1143" s="10"/>
      <c r="S1143" s="59" t="str">
        <f t="array" ref="S1143">IF(COUNTA(Q1143:Q1673)=0,"",SUM((COUNTIF(Q$4:Q1143,Upgrades!$B$3:$B$13)-COUNTIF(Q$4:Q1143,"Sell_"&amp;Upgrades!$B$3:$B$13))*Upgrades!$D$3:$D$13))</f>
        <v/>
      </c>
      <c r="T1143" s="66" t="str">
        <f>IFERROR(__xludf.DUMMYFUNCTION("IF(COUNTA(Q1143:Q1673)=0,"""",IF(REGEXMATCH(INDEX(FILTER(Q$4:Q1143,Q$4:Q1143&lt;&gt;""""),ROWS(FILTER(Q$4:Q1143,Q$4:Q1143&lt;&gt;""""))),""^Sell_""),INDEX(FILTER(T$4:T1142,Q$4:Q1142&lt;&gt;""""),ROWS(FILTER(Q$4:Q1142,Q$4:Q1142&lt;&gt;""""))),$AD$5+S1143))"),"")</f>
        <v/>
      </c>
      <c r="U1143" s="10" t="str">
        <f>IFERROR(__xludf.DUMMYFUNCTION("IF(COUNTA(Q1143:Q1673)=0,"""",IF(Q1143="""",0,IF(REGEXMATCH(Q1143,""^Sell_""),-ROUNDDOWN(ROUNDUP(INDEX(Upgrades!$C$3:$C$13,MATCH(SUBSTITUTE(Q1143,""Sell_"",""""),Upgrades!$B$3:$B$13,0))*1.15^(COUNTIF(Q$4:Q1142,SUBSTITUTE(Q1143,""Sell_"",""""))-COUNTIF(Q$4"&amp;":Q1142,""Sell_""&amp;SUBSTITUTE(Q1143,""Sell_"",""""))))/2),ROUNDUP(INDEX(Upgrades!$C$3:$C$13,MATCH(Q1143,Upgrades!$B$3:$B$13,0))*1.15^(COUNTIF(Q$4:Q1142,Q1143)-COUNTIF(Q$4:Q1142,""Sell_""&amp;Q1143))))))"),"")</f>
        <v/>
      </c>
      <c r="V1143" s="10" t="str">
        <f t="shared" si="11"/>
        <v/>
      </c>
      <c r="W1143" s="68" t="str">
        <f t="shared" si="12"/>
        <v/>
      </c>
      <c r="X1143" s="59" t="str">
        <f t="shared" si="13"/>
        <v/>
      </c>
      <c r="Y1143" s="69" t="str">
        <f t="shared" si="14"/>
        <v/>
      </c>
      <c r="Z1143" s="11"/>
    </row>
    <row r="1144">
      <c r="A1144" s="8"/>
      <c r="B1144" s="56" t="str">
        <f t="shared" si="2"/>
        <v/>
      </c>
      <c r="C1144" s="105"/>
      <c r="D1144" s="10"/>
      <c r="E1144" s="59" t="str">
        <f t="array" ref="E1144">IF(COUNTA(C1144:C1673)=0,"",SUM((COUNTIF(C$4:C1144,Upgrades!$B$3:$B$13)-COUNTIF(C$4:C1144,"Sell_"&amp;Upgrades!$B$3:$B$13))*Upgrades!$D$3:$D$13))</f>
        <v/>
      </c>
      <c r="F1144" s="66" t="str">
        <f>IFERROR(__xludf.DUMMYFUNCTION("IF(COUNTA(C1144:C1673)=0,"""",IF(REGEXMATCH(INDEX(FILTER(C$4:C1144,C$4:C1144&lt;&gt;""""),ROWS(FILTER(C$4:C1144,C$4:C1144&lt;&gt;""""))),""^Sell_""),INDEX(FILTER(F$4:F1143,C$4:C1143&lt;&gt;""""),ROWS(FILTER(C$4:C1143,C$4:C1143&lt;&gt;""""))),$AC$5+E1144))"),"")</f>
        <v/>
      </c>
      <c r="G1144" s="10" t="str">
        <f>IFERROR(__xludf.DUMMYFUNCTION("IF(COUNTA(C1144:C1673)=0,"""",IF(C1144="""",0,IF(REGEXMATCH(C1144,""^Sell_""),-ROUNDDOWN(ROUNDUP(INDEX(Upgrades!$C$3:$C$13,MATCH(SUBSTITUTE(C1144,""Sell_"",""""),Upgrades!$B$3:$B$13,0))*1.15^(COUNTIF(C$4:C1143,SUBSTITUTE(C1144,""Sell_"",""""))-COUNTIF(C$4"&amp;":C1143,""Sell_""&amp;SUBSTITUTE(C1144,""Sell_"",""""))))/2),ROUNDUP(INDEX(Upgrades!$C$3:$C$13,MATCH(C1144,Upgrades!$B$3:$B$13,0))*1.15^(COUNTIF(C$4:C1143,C1144)-COUNTIF(C$4:C1143,""Sell_""&amp;C1144))))))"),"")</f>
        <v/>
      </c>
      <c r="H1144" s="10" t="str">
        <f t="shared" si="3"/>
        <v/>
      </c>
      <c r="I1144" s="68" t="str">
        <f t="shared" si="4"/>
        <v/>
      </c>
      <c r="J1144" s="59" t="str">
        <f t="shared" si="5"/>
        <v/>
      </c>
      <c r="K1144" s="69" t="str">
        <f t="shared" si="6"/>
        <v/>
      </c>
      <c r="L1144" s="60" t="str">
        <f t="shared" si="7"/>
        <v/>
      </c>
      <c r="M1144" s="61" t="str">
        <f>IFERROR(__xludf.DUMMYFUNCTION("IFS(AND(COUNTA(C1144:C1673)=0,COUNTA(Q1144:Q1673)=0),"""",OR(AND(K1144&gt;=1000000000,OR(Y1144&gt;=1000000000,COUNTA(Q1144:Q1673)=0)),OR(Y1144&gt;=1000000000,AND(COUNTA(C1144:C1673)=0,P$3=TRUE))),
ROUNDDOWN((AB$1-AC$1)*MAX(INDEX(T$4:T1673,MATCH(LARGE(FILTER(Y$4:Y1"&amp;"673,Y$4:Y1673&lt;1000000000),1),Y$4:Y1673)),INDEX(F$4:F1673,MATCH(LARGE(FILTER(K$4:K1673,K$4:K1673&lt;1000000000),1),K$4:K1673)))),AND(K1144&lt;1000000000,COUNTA(C1144:C1673)&gt;0,P$3=FALSE),
ROUNDDOWN(INDEX(Y$4:Y1673,MATCH(LARGE(FILTER(W$4:W1673,W$4:W1673&lt;=I1144),1)"&amp;",W$4:W1673))+(I1144-LARGE(FILTER(W$4:W1673,W$4:W1673&lt;=I1144),1))*INDEX(T$4:T1673,MATCH(LARGE(FILTER(W$4:W1673,W$4:W1673&lt;=I1144),1),W$4:W1673))-K1144),1,
ROUNDDOWN(Y1144-INDEX(K$4:K1673,MATCH(LARGE(FILTER(I$4:I1673,I$4:I1673&lt;=W1144),1),I$4:I1673))-(W1144-L"&amp;"ARGE(FILTER(I$4:I1673,I$4:I1673&lt;=W1144),1))*INDEX(F$4:F1673,MATCH(LARGE(FILTER(I$4:I1673,I$4:I1673&lt;=W1144),1),I$4:I1673))))"),"")</f>
        <v/>
      </c>
      <c r="N1144" s="60" t="str">
        <f t="shared" si="8"/>
        <v/>
      </c>
      <c r="O1144" s="61" t="str">
        <f t="shared" si="9"/>
        <v/>
      </c>
      <c r="P1144" s="56" t="str">
        <f t="shared" si="10"/>
        <v/>
      </c>
      <c r="Q1144" s="67"/>
      <c r="R1144" s="10"/>
      <c r="S1144" s="59" t="str">
        <f t="array" ref="S1144">IF(COUNTA(Q1144:Q1673)=0,"",SUM((COUNTIF(Q$4:Q1144,Upgrades!$B$3:$B$13)-COUNTIF(Q$4:Q1144,"Sell_"&amp;Upgrades!$B$3:$B$13))*Upgrades!$D$3:$D$13))</f>
        <v/>
      </c>
      <c r="T1144" s="66" t="str">
        <f>IFERROR(__xludf.DUMMYFUNCTION("IF(COUNTA(Q1144:Q1673)=0,"""",IF(REGEXMATCH(INDEX(FILTER(Q$4:Q1144,Q$4:Q1144&lt;&gt;""""),ROWS(FILTER(Q$4:Q1144,Q$4:Q1144&lt;&gt;""""))),""^Sell_""),INDEX(FILTER(T$4:T1143,Q$4:Q1143&lt;&gt;""""),ROWS(FILTER(Q$4:Q1143,Q$4:Q1143&lt;&gt;""""))),$AD$5+S1144))"),"")</f>
        <v/>
      </c>
      <c r="U1144" s="10" t="str">
        <f>IFERROR(__xludf.DUMMYFUNCTION("IF(COUNTA(Q1144:Q1673)=0,"""",IF(Q1144="""",0,IF(REGEXMATCH(Q1144,""^Sell_""),-ROUNDDOWN(ROUNDUP(INDEX(Upgrades!$C$3:$C$13,MATCH(SUBSTITUTE(Q1144,""Sell_"",""""),Upgrades!$B$3:$B$13,0))*1.15^(COUNTIF(Q$4:Q1143,SUBSTITUTE(Q1144,""Sell_"",""""))-COUNTIF(Q$4"&amp;":Q1143,""Sell_""&amp;SUBSTITUTE(Q1144,""Sell_"",""""))))/2),ROUNDUP(INDEX(Upgrades!$C$3:$C$13,MATCH(Q1144,Upgrades!$B$3:$B$13,0))*1.15^(COUNTIF(Q$4:Q1143,Q1144)-COUNTIF(Q$4:Q1143,""Sell_""&amp;Q1144))))))"),"")</f>
        <v/>
      </c>
      <c r="V1144" s="10" t="str">
        <f t="shared" si="11"/>
        <v/>
      </c>
      <c r="W1144" s="68" t="str">
        <f t="shared" si="12"/>
        <v/>
      </c>
      <c r="X1144" s="59" t="str">
        <f t="shared" si="13"/>
        <v/>
      </c>
      <c r="Y1144" s="69" t="str">
        <f t="shared" si="14"/>
        <v/>
      </c>
      <c r="Z1144" s="11"/>
    </row>
    <row r="1145">
      <c r="A1145" s="8"/>
      <c r="B1145" s="56" t="str">
        <f t="shared" si="2"/>
        <v/>
      </c>
      <c r="C1145" s="105"/>
      <c r="D1145" s="10"/>
      <c r="E1145" s="59" t="str">
        <f t="array" ref="E1145">IF(COUNTA(C1145:C1673)=0,"",SUM((COUNTIF(C$4:C1145,Upgrades!$B$3:$B$13)-COUNTIF(C$4:C1145,"Sell_"&amp;Upgrades!$B$3:$B$13))*Upgrades!$D$3:$D$13))</f>
        <v/>
      </c>
      <c r="F1145" s="66" t="str">
        <f>IFERROR(__xludf.DUMMYFUNCTION("IF(COUNTA(C1145:C1673)=0,"""",IF(REGEXMATCH(INDEX(FILTER(C$4:C1145,C$4:C1145&lt;&gt;""""),ROWS(FILTER(C$4:C1145,C$4:C1145&lt;&gt;""""))),""^Sell_""),INDEX(FILTER(F$4:F1144,C$4:C1144&lt;&gt;""""),ROWS(FILTER(C$4:C1144,C$4:C1144&lt;&gt;""""))),$AC$5+E1145))"),"")</f>
        <v/>
      </c>
      <c r="G1145" s="10" t="str">
        <f>IFERROR(__xludf.DUMMYFUNCTION("IF(COUNTA(C1145:C1673)=0,"""",IF(C1145="""",0,IF(REGEXMATCH(C1145,""^Sell_""),-ROUNDDOWN(ROUNDUP(INDEX(Upgrades!$C$3:$C$13,MATCH(SUBSTITUTE(C1145,""Sell_"",""""),Upgrades!$B$3:$B$13,0))*1.15^(COUNTIF(C$4:C1144,SUBSTITUTE(C1145,""Sell_"",""""))-COUNTIF(C$4"&amp;":C1144,""Sell_""&amp;SUBSTITUTE(C1145,""Sell_"",""""))))/2),ROUNDUP(INDEX(Upgrades!$C$3:$C$13,MATCH(C1145,Upgrades!$B$3:$B$13,0))*1.15^(COUNTIF(C$4:C1144,C1145)-COUNTIF(C$4:C1144,""Sell_""&amp;C1145))))))"),"")</f>
        <v/>
      </c>
      <c r="H1145" s="10" t="str">
        <f t="shared" si="3"/>
        <v/>
      </c>
      <c r="I1145" s="68" t="str">
        <f t="shared" si="4"/>
        <v/>
      </c>
      <c r="J1145" s="59" t="str">
        <f t="shared" si="5"/>
        <v/>
      </c>
      <c r="K1145" s="69" t="str">
        <f t="shared" si="6"/>
        <v/>
      </c>
      <c r="L1145" s="60" t="str">
        <f t="shared" si="7"/>
        <v/>
      </c>
      <c r="M1145" s="61" t="str">
        <f>IFERROR(__xludf.DUMMYFUNCTION("IFS(AND(COUNTA(C1145:C1673)=0,COUNTA(Q1145:Q1673)=0),"""",OR(AND(K1145&gt;=1000000000,OR(Y1145&gt;=1000000000,COUNTA(Q1145:Q1673)=0)),OR(Y1145&gt;=1000000000,AND(COUNTA(C1145:C1673)=0,P$3=TRUE))),
ROUNDDOWN((AB$1-AC$1)*MAX(INDEX(T$4:T1673,MATCH(LARGE(FILTER(Y$4:Y1"&amp;"673,Y$4:Y1673&lt;1000000000),1),Y$4:Y1673)),INDEX(F$4:F1673,MATCH(LARGE(FILTER(K$4:K1673,K$4:K1673&lt;1000000000),1),K$4:K1673)))),AND(K1145&lt;1000000000,COUNTA(C1145:C1673)&gt;0,P$3=FALSE),
ROUNDDOWN(INDEX(Y$4:Y1673,MATCH(LARGE(FILTER(W$4:W1673,W$4:W1673&lt;=I1145),1)"&amp;",W$4:W1673))+(I1145-LARGE(FILTER(W$4:W1673,W$4:W1673&lt;=I1145),1))*INDEX(T$4:T1673,MATCH(LARGE(FILTER(W$4:W1673,W$4:W1673&lt;=I1145),1),W$4:W1673))-K1145),1,
ROUNDDOWN(Y1145-INDEX(K$4:K1673,MATCH(LARGE(FILTER(I$4:I1673,I$4:I1673&lt;=W1145),1),I$4:I1673))-(W1145-L"&amp;"ARGE(FILTER(I$4:I1673,I$4:I1673&lt;=W1145),1))*INDEX(F$4:F1673,MATCH(LARGE(FILTER(I$4:I1673,I$4:I1673&lt;=W1145),1),I$4:I1673))))"),"")</f>
        <v/>
      </c>
      <c r="N1145" s="60" t="str">
        <f t="shared" si="8"/>
        <v/>
      </c>
      <c r="O1145" s="61" t="str">
        <f t="shared" si="9"/>
        <v/>
      </c>
      <c r="P1145" s="56" t="str">
        <f t="shared" si="10"/>
        <v/>
      </c>
      <c r="Q1145" s="67"/>
      <c r="R1145" s="10"/>
      <c r="S1145" s="59" t="str">
        <f t="array" ref="S1145">IF(COUNTA(Q1145:Q1673)=0,"",SUM((COUNTIF(Q$4:Q1145,Upgrades!$B$3:$B$13)-COUNTIF(Q$4:Q1145,"Sell_"&amp;Upgrades!$B$3:$B$13))*Upgrades!$D$3:$D$13))</f>
        <v/>
      </c>
      <c r="T1145" s="66" t="str">
        <f>IFERROR(__xludf.DUMMYFUNCTION("IF(COUNTA(Q1145:Q1673)=0,"""",IF(REGEXMATCH(INDEX(FILTER(Q$4:Q1145,Q$4:Q1145&lt;&gt;""""),ROWS(FILTER(Q$4:Q1145,Q$4:Q1145&lt;&gt;""""))),""^Sell_""),INDEX(FILTER(T$4:T1144,Q$4:Q1144&lt;&gt;""""),ROWS(FILTER(Q$4:Q1144,Q$4:Q1144&lt;&gt;""""))),$AD$5+S1145))"),"")</f>
        <v/>
      </c>
      <c r="U1145" s="10" t="str">
        <f>IFERROR(__xludf.DUMMYFUNCTION("IF(COUNTA(Q1145:Q1673)=0,"""",IF(Q1145="""",0,IF(REGEXMATCH(Q1145,""^Sell_""),-ROUNDDOWN(ROUNDUP(INDEX(Upgrades!$C$3:$C$13,MATCH(SUBSTITUTE(Q1145,""Sell_"",""""),Upgrades!$B$3:$B$13,0))*1.15^(COUNTIF(Q$4:Q1144,SUBSTITUTE(Q1145,""Sell_"",""""))-COUNTIF(Q$4"&amp;":Q1144,""Sell_""&amp;SUBSTITUTE(Q1145,""Sell_"",""""))))/2),ROUNDUP(INDEX(Upgrades!$C$3:$C$13,MATCH(Q1145,Upgrades!$B$3:$B$13,0))*1.15^(COUNTIF(Q$4:Q1144,Q1145)-COUNTIF(Q$4:Q1144,""Sell_""&amp;Q1145))))))"),"")</f>
        <v/>
      </c>
      <c r="V1145" s="10" t="str">
        <f t="shared" si="11"/>
        <v/>
      </c>
      <c r="W1145" s="68" t="str">
        <f t="shared" si="12"/>
        <v/>
      </c>
      <c r="X1145" s="59" t="str">
        <f t="shared" si="13"/>
        <v/>
      </c>
      <c r="Y1145" s="69" t="str">
        <f t="shared" si="14"/>
        <v/>
      </c>
      <c r="Z1145" s="11"/>
    </row>
    <row r="1146">
      <c r="A1146" s="8"/>
      <c r="B1146" s="56" t="str">
        <f t="shared" si="2"/>
        <v/>
      </c>
      <c r="C1146" s="105"/>
      <c r="D1146" s="10"/>
      <c r="E1146" s="59" t="str">
        <f t="array" ref="E1146">IF(COUNTA(C1146:C1673)=0,"",SUM((COUNTIF(C$4:C1146,Upgrades!$B$3:$B$13)-COUNTIF(C$4:C1146,"Sell_"&amp;Upgrades!$B$3:$B$13))*Upgrades!$D$3:$D$13))</f>
        <v/>
      </c>
      <c r="F1146" s="66" t="str">
        <f>IFERROR(__xludf.DUMMYFUNCTION("IF(COUNTA(C1146:C1673)=0,"""",IF(REGEXMATCH(INDEX(FILTER(C$4:C1146,C$4:C1146&lt;&gt;""""),ROWS(FILTER(C$4:C1146,C$4:C1146&lt;&gt;""""))),""^Sell_""),INDEX(FILTER(F$4:F1145,C$4:C1145&lt;&gt;""""),ROWS(FILTER(C$4:C1145,C$4:C1145&lt;&gt;""""))),$AC$5+E1146))"),"")</f>
        <v/>
      </c>
      <c r="G1146" s="10" t="str">
        <f>IFERROR(__xludf.DUMMYFUNCTION("IF(COUNTA(C1146:C1673)=0,"""",IF(C1146="""",0,IF(REGEXMATCH(C1146,""^Sell_""),-ROUNDDOWN(ROUNDUP(INDEX(Upgrades!$C$3:$C$13,MATCH(SUBSTITUTE(C1146,""Sell_"",""""),Upgrades!$B$3:$B$13,0))*1.15^(COUNTIF(C$4:C1145,SUBSTITUTE(C1146,""Sell_"",""""))-COUNTIF(C$4"&amp;":C1145,""Sell_""&amp;SUBSTITUTE(C1146,""Sell_"",""""))))/2),ROUNDUP(INDEX(Upgrades!$C$3:$C$13,MATCH(C1146,Upgrades!$B$3:$B$13,0))*1.15^(COUNTIF(C$4:C1145,C1146)-COUNTIF(C$4:C1145,""Sell_""&amp;C1146))))))"),"")</f>
        <v/>
      </c>
      <c r="H1146" s="10" t="str">
        <f t="shared" si="3"/>
        <v/>
      </c>
      <c r="I1146" s="68" t="str">
        <f t="shared" si="4"/>
        <v/>
      </c>
      <c r="J1146" s="59" t="str">
        <f t="shared" si="5"/>
        <v/>
      </c>
      <c r="K1146" s="69" t="str">
        <f t="shared" si="6"/>
        <v/>
      </c>
      <c r="L1146" s="60" t="str">
        <f t="shared" si="7"/>
        <v/>
      </c>
      <c r="M1146" s="61" t="str">
        <f>IFERROR(__xludf.DUMMYFUNCTION("IFS(AND(COUNTA(C1146:C1673)=0,COUNTA(Q1146:Q1673)=0),"""",OR(AND(K1146&gt;=1000000000,OR(Y1146&gt;=1000000000,COUNTA(Q1146:Q1673)=0)),OR(Y1146&gt;=1000000000,AND(COUNTA(C1146:C1673)=0,P$3=TRUE))),
ROUNDDOWN((AB$1-AC$1)*MAX(INDEX(T$4:T1673,MATCH(LARGE(FILTER(Y$4:Y1"&amp;"673,Y$4:Y1673&lt;1000000000),1),Y$4:Y1673)),INDEX(F$4:F1673,MATCH(LARGE(FILTER(K$4:K1673,K$4:K1673&lt;1000000000),1),K$4:K1673)))),AND(K1146&lt;1000000000,COUNTA(C1146:C1673)&gt;0,P$3=FALSE),
ROUNDDOWN(INDEX(Y$4:Y1673,MATCH(LARGE(FILTER(W$4:W1673,W$4:W1673&lt;=I1146),1)"&amp;",W$4:W1673))+(I1146-LARGE(FILTER(W$4:W1673,W$4:W1673&lt;=I1146),1))*INDEX(T$4:T1673,MATCH(LARGE(FILTER(W$4:W1673,W$4:W1673&lt;=I1146),1),W$4:W1673))-K1146),1,
ROUNDDOWN(Y1146-INDEX(K$4:K1673,MATCH(LARGE(FILTER(I$4:I1673,I$4:I1673&lt;=W1146),1),I$4:I1673))-(W1146-L"&amp;"ARGE(FILTER(I$4:I1673,I$4:I1673&lt;=W1146),1))*INDEX(F$4:F1673,MATCH(LARGE(FILTER(I$4:I1673,I$4:I1673&lt;=W1146),1),I$4:I1673))))"),"")</f>
        <v/>
      </c>
      <c r="N1146" s="60" t="str">
        <f t="shared" si="8"/>
        <v/>
      </c>
      <c r="O1146" s="61" t="str">
        <f t="shared" si="9"/>
        <v/>
      </c>
      <c r="P1146" s="56" t="str">
        <f t="shared" si="10"/>
        <v/>
      </c>
      <c r="Q1146" s="67"/>
      <c r="R1146" s="10"/>
      <c r="S1146" s="59" t="str">
        <f t="array" ref="S1146">IF(COUNTA(Q1146:Q1673)=0,"",SUM((COUNTIF(Q$4:Q1146,Upgrades!$B$3:$B$13)-COUNTIF(Q$4:Q1146,"Sell_"&amp;Upgrades!$B$3:$B$13))*Upgrades!$D$3:$D$13))</f>
        <v/>
      </c>
      <c r="T1146" s="66" t="str">
        <f>IFERROR(__xludf.DUMMYFUNCTION("IF(COUNTA(Q1146:Q1673)=0,"""",IF(REGEXMATCH(INDEX(FILTER(Q$4:Q1146,Q$4:Q1146&lt;&gt;""""),ROWS(FILTER(Q$4:Q1146,Q$4:Q1146&lt;&gt;""""))),""^Sell_""),INDEX(FILTER(T$4:T1145,Q$4:Q1145&lt;&gt;""""),ROWS(FILTER(Q$4:Q1145,Q$4:Q1145&lt;&gt;""""))),$AD$5+S1146))"),"")</f>
        <v/>
      </c>
      <c r="U1146" s="10" t="str">
        <f>IFERROR(__xludf.DUMMYFUNCTION("IF(COUNTA(Q1146:Q1673)=0,"""",IF(Q1146="""",0,IF(REGEXMATCH(Q1146,""^Sell_""),-ROUNDDOWN(ROUNDUP(INDEX(Upgrades!$C$3:$C$13,MATCH(SUBSTITUTE(Q1146,""Sell_"",""""),Upgrades!$B$3:$B$13,0))*1.15^(COUNTIF(Q$4:Q1145,SUBSTITUTE(Q1146,""Sell_"",""""))-COUNTIF(Q$4"&amp;":Q1145,""Sell_""&amp;SUBSTITUTE(Q1146,""Sell_"",""""))))/2),ROUNDUP(INDEX(Upgrades!$C$3:$C$13,MATCH(Q1146,Upgrades!$B$3:$B$13,0))*1.15^(COUNTIF(Q$4:Q1145,Q1146)-COUNTIF(Q$4:Q1145,""Sell_""&amp;Q1146))))))"),"")</f>
        <v/>
      </c>
      <c r="V1146" s="10" t="str">
        <f t="shared" si="11"/>
        <v/>
      </c>
      <c r="W1146" s="68" t="str">
        <f t="shared" si="12"/>
        <v/>
      </c>
      <c r="X1146" s="59" t="str">
        <f t="shared" si="13"/>
        <v/>
      </c>
      <c r="Y1146" s="69" t="str">
        <f t="shared" si="14"/>
        <v/>
      </c>
      <c r="Z1146" s="11"/>
    </row>
    <row r="1147">
      <c r="A1147" s="8"/>
      <c r="B1147" s="56" t="str">
        <f t="shared" si="2"/>
        <v/>
      </c>
      <c r="C1147" s="105"/>
      <c r="D1147" s="10"/>
      <c r="E1147" s="59" t="str">
        <f t="array" ref="E1147">IF(COUNTA(C1147:C1673)=0,"",SUM((COUNTIF(C$4:C1147,Upgrades!$B$3:$B$13)-COUNTIF(C$4:C1147,"Sell_"&amp;Upgrades!$B$3:$B$13))*Upgrades!$D$3:$D$13))</f>
        <v/>
      </c>
      <c r="F1147" s="66" t="str">
        <f>IFERROR(__xludf.DUMMYFUNCTION("IF(COUNTA(C1147:C1673)=0,"""",IF(REGEXMATCH(INDEX(FILTER(C$4:C1147,C$4:C1147&lt;&gt;""""),ROWS(FILTER(C$4:C1147,C$4:C1147&lt;&gt;""""))),""^Sell_""),INDEX(FILTER(F$4:F1146,C$4:C1146&lt;&gt;""""),ROWS(FILTER(C$4:C1146,C$4:C1146&lt;&gt;""""))),$AC$5+E1147))"),"")</f>
        <v/>
      </c>
      <c r="G1147" s="10" t="str">
        <f>IFERROR(__xludf.DUMMYFUNCTION("IF(COUNTA(C1147:C1673)=0,"""",IF(C1147="""",0,IF(REGEXMATCH(C1147,""^Sell_""),-ROUNDDOWN(ROUNDUP(INDEX(Upgrades!$C$3:$C$13,MATCH(SUBSTITUTE(C1147,""Sell_"",""""),Upgrades!$B$3:$B$13,0))*1.15^(COUNTIF(C$4:C1146,SUBSTITUTE(C1147,""Sell_"",""""))-COUNTIF(C$4"&amp;":C1146,""Sell_""&amp;SUBSTITUTE(C1147,""Sell_"",""""))))/2),ROUNDUP(INDEX(Upgrades!$C$3:$C$13,MATCH(C1147,Upgrades!$B$3:$B$13,0))*1.15^(COUNTIF(C$4:C1146,C1147)-COUNTIF(C$4:C1146,""Sell_""&amp;C1147))))))"),"")</f>
        <v/>
      </c>
      <c r="H1147" s="10" t="str">
        <f t="shared" si="3"/>
        <v/>
      </c>
      <c r="I1147" s="68" t="str">
        <f t="shared" si="4"/>
        <v/>
      </c>
      <c r="J1147" s="59" t="str">
        <f t="shared" si="5"/>
        <v/>
      </c>
      <c r="K1147" s="69" t="str">
        <f t="shared" si="6"/>
        <v/>
      </c>
      <c r="L1147" s="60" t="str">
        <f t="shared" si="7"/>
        <v/>
      </c>
      <c r="M1147" s="61" t="str">
        <f>IFERROR(__xludf.DUMMYFUNCTION("IFS(AND(COUNTA(C1147:C1673)=0,COUNTA(Q1147:Q1673)=0),"""",OR(AND(K1147&gt;=1000000000,OR(Y1147&gt;=1000000000,COUNTA(Q1147:Q1673)=0)),OR(Y1147&gt;=1000000000,AND(COUNTA(C1147:C1673)=0,P$3=TRUE))),
ROUNDDOWN((AB$1-AC$1)*MAX(INDEX(T$4:T1673,MATCH(LARGE(FILTER(Y$4:Y1"&amp;"673,Y$4:Y1673&lt;1000000000),1),Y$4:Y1673)),INDEX(F$4:F1673,MATCH(LARGE(FILTER(K$4:K1673,K$4:K1673&lt;1000000000),1),K$4:K1673)))),AND(K1147&lt;1000000000,COUNTA(C1147:C1673)&gt;0,P$3=FALSE),
ROUNDDOWN(INDEX(Y$4:Y1673,MATCH(LARGE(FILTER(W$4:W1673,W$4:W1673&lt;=I1147),1)"&amp;",W$4:W1673))+(I1147-LARGE(FILTER(W$4:W1673,W$4:W1673&lt;=I1147),1))*INDEX(T$4:T1673,MATCH(LARGE(FILTER(W$4:W1673,W$4:W1673&lt;=I1147),1),W$4:W1673))-K1147),1,
ROUNDDOWN(Y1147-INDEX(K$4:K1673,MATCH(LARGE(FILTER(I$4:I1673,I$4:I1673&lt;=W1147),1),I$4:I1673))-(W1147-L"&amp;"ARGE(FILTER(I$4:I1673,I$4:I1673&lt;=W1147),1))*INDEX(F$4:F1673,MATCH(LARGE(FILTER(I$4:I1673,I$4:I1673&lt;=W1147),1),I$4:I1673))))"),"")</f>
        <v/>
      </c>
      <c r="N1147" s="60" t="str">
        <f t="shared" si="8"/>
        <v/>
      </c>
      <c r="O1147" s="61" t="str">
        <f t="shared" si="9"/>
        <v/>
      </c>
      <c r="P1147" s="56" t="str">
        <f t="shared" si="10"/>
        <v/>
      </c>
      <c r="Q1147" s="67"/>
      <c r="R1147" s="10"/>
      <c r="S1147" s="59" t="str">
        <f t="array" ref="S1147">IF(COUNTA(Q1147:Q1673)=0,"",SUM((COUNTIF(Q$4:Q1147,Upgrades!$B$3:$B$13)-COUNTIF(Q$4:Q1147,"Sell_"&amp;Upgrades!$B$3:$B$13))*Upgrades!$D$3:$D$13))</f>
        <v/>
      </c>
      <c r="T1147" s="66" t="str">
        <f>IFERROR(__xludf.DUMMYFUNCTION("IF(COUNTA(Q1147:Q1673)=0,"""",IF(REGEXMATCH(INDEX(FILTER(Q$4:Q1147,Q$4:Q1147&lt;&gt;""""),ROWS(FILTER(Q$4:Q1147,Q$4:Q1147&lt;&gt;""""))),""^Sell_""),INDEX(FILTER(T$4:T1146,Q$4:Q1146&lt;&gt;""""),ROWS(FILTER(Q$4:Q1146,Q$4:Q1146&lt;&gt;""""))),$AD$5+S1147))"),"")</f>
        <v/>
      </c>
      <c r="U1147" s="10" t="str">
        <f>IFERROR(__xludf.DUMMYFUNCTION("IF(COUNTA(Q1147:Q1673)=0,"""",IF(Q1147="""",0,IF(REGEXMATCH(Q1147,""^Sell_""),-ROUNDDOWN(ROUNDUP(INDEX(Upgrades!$C$3:$C$13,MATCH(SUBSTITUTE(Q1147,""Sell_"",""""),Upgrades!$B$3:$B$13,0))*1.15^(COUNTIF(Q$4:Q1146,SUBSTITUTE(Q1147,""Sell_"",""""))-COUNTIF(Q$4"&amp;":Q1146,""Sell_""&amp;SUBSTITUTE(Q1147,""Sell_"",""""))))/2),ROUNDUP(INDEX(Upgrades!$C$3:$C$13,MATCH(Q1147,Upgrades!$B$3:$B$13,0))*1.15^(COUNTIF(Q$4:Q1146,Q1147)-COUNTIF(Q$4:Q1146,""Sell_""&amp;Q1147))))))"),"")</f>
        <v/>
      </c>
      <c r="V1147" s="10" t="str">
        <f t="shared" si="11"/>
        <v/>
      </c>
      <c r="W1147" s="68" t="str">
        <f t="shared" si="12"/>
        <v/>
      </c>
      <c r="X1147" s="59" t="str">
        <f t="shared" si="13"/>
        <v/>
      </c>
      <c r="Y1147" s="69" t="str">
        <f t="shared" si="14"/>
        <v/>
      </c>
      <c r="Z1147" s="11"/>
    </row>
    <row r="1148">
      <c r="A1148" s="8"/>
      <c r="B1148" s="56" t="str">
        <f t="shared" si="2"/>
        <v/>
      </c>
      <c r="C1148" s="105"/>
      <c r="D1148" s="10"/>
      <c r="E1148" s="59" t="str">
        <f t="array" ref="E1148">IF(COUNTA(C1148:C1673)=0,"",SUM((COUNTIF(C$4:C1148,Upgrades!$B$3:$B$13)-COUNTIF(C$4:C1148,"Sell_"&amp;Upgrades!$B$3:$B$13))*Upgrades!$D$3:$D$13))</f>
        <v/>
      </c>
      <c r="F1148" s="66" t="str">
        <f>IFERROR(__xludf.DUMMYFUNCTION("IF(COUNTA(C1148:C1673)=0,"""",IF(REGEXMATCH(INDEX(FILTER(C$4:C1148,C$4:C1148&lt;&gt;""""),ROWS(FILTER(C$4:C1148,C$4:C1148&lt;&gt;""""))),""^Sell_""),INDEX(FILTER(F$4:F1147,C$4:C1147&lt;&gt;""""),ROWS(FILTER(C$4:C1147,C$4:C1147&lt;&gt;""""))),$AC$5+E1148))"),"")</f>
        <v/>
      </c>
      <c r="G1148" s="10" t="str">
        <f>IFERROR(__xludf.DUMMYFUNCTION("IF(COUNTA(C1148:C1673)=0,"""",IF(C1148="""",0,IF(REGEXMATCH(C1148,""^Sell_""),-ROUNDDOWN(ROUNDUP(INDEX(Upgrades!$C$3:$C$13,MATCH(SUBSTITUTE(C1148,""Sell_"",""""),Upgrades!$B$3:$B$13,0))*1.15^(COUNTIF(C$4:C1147,SUBSTITUTE(C1148,""Sell_"",""""))-COUNTIF(C$4"&amp;":C1147,""Sell_""&amp;SUBSTITUTE(C1148,""Sell_"",""""))))/2),ROUNDUP(INDEX(Upgrades!$C$3:$C$13,MATCH(C1148,Upgrades!$B$3:$B$13,0))*1.15^(COUNTIF(C$4:C1147,C1148)-COUNTIF(C$4:C1147,""Sell_""&amp;C1148))))))"),"")</f>
        <v/>
      </c>
      <c r="H1148" s="10" t="str">
        <f t="shared" si="3"/>
        <v/>
      </c>
      <c r="I1148" s="68" t="str">
        <f t="shared" si="4"/>
        <v/>
      </c>
      <c r="J1148" s="59" t="str">
        <f t="shared" si="5"/>
        <v/>
      </c>
      <c r="K1148" s="69" t="str">
        <f t="shared" si="6"/>
        <v/>
      </c>
      <c r="L1148" s="60" t="str">
        <f t="shared" si="7"/>
        <v/>
      </c>
      <c r="M1148" s="61" t="str">
        <f>IFERROR(__xludf.DUMMYFUNCTION("IFS(AND(COUNTA(C1148:C1673)=0,COUNTA(Q1148:Q1673)=0),"""",OR(AND(K1148&gt;=1000000000,OR(Y1148&gt;=1000000000,COUNTA(Q1148:Q1673)=0)),OR(Y1148&gt;=1000000000,AND(COUNTA(C1148:C1673)=0,P$3=TRUE))),
ROUNDDOWN((AB$1-AC$1)*MAX(INDEX(T$4:T1673,MATCH(LARGE(FILTER(Y$4:Y1"&amp;"673,Y$4:Y1673&lt;1000000000),1),Y$4:Y1673)),INDEX(F$4:F1673,MATCH(LARGE(FILTER(K$4:K1673,K$4:K1673&lt;1000000000),1),K$4:K1673)))),AND(K1148&lt;1000000000,COUNTA(C1148:C1673)&gt;0,P$3=FALSE),
ROUNDDOWN(INDEX(Y$4:Y1673,MATCH(LARGE(FILTER(W$4:W1673,W$4:W1673&lt;=I1148),1)"&amp;",W$4:W1673))+(I1148-LARGE(FILTER(W$4:W1673,W$4:W1673&lt;=I1148),1))*INDEX(T$4:T1673,MATCH(LARGE(FILTER(W$4:W1673,W$4:W1673&lt;=I1148),1),W$4:W1673))-K1148),1,
ROUNDDOWN(Y1148-INDEX(K$4:K1673,MATCH(LARGE(FILTER(I$4:I1673,I$4:I1673&lt;=W1148),1),I$4:I1673))-(W1148-L"&amp;"ARGE(FILTER(I$4:I1673,I$4:I1673&lt;=W1148),1))*INDEX(F$4:F1673,MATCH(LARGE(FILTER(I$4:I1673,I$4:I1673&lt;=W1148),1),I$4:I1673))))"),"")</f>
        <v/>
      </c>
      <c r="N1148" s="60" t="str">
        <f t="shared" si="8"/>
        <v/>
      </c>
      <c r="O1148" s="61" t="str">
        <f t="shared" si="9"/>
        <v/>
      </c>
      <c r="P1148" s="56" t="str">
        <f t="shared" si="10"/>
        <v/>
      </c>
      <c r="Q1148" s="67"/>
      <c r="R1148" s="10"/>
      <c r="S1148" s="59" t="str">
        <f t="array" ref="S1148">IF(COUNTA(Q1148:Q1673)=0,"",SUM((COUNTIF(Q$4:Q1148,Upgrades!$B$3:$B$13)-COUNTIF(Q$4:Q1148,"Sell_"&amp;Upgrades!$B$3:$B$13))*Upgrades!$D$3:$D$13))</f>
        <v/>
      </c>
      <c r="T1148" s="66" t="str">
        <f>IFERROR(__xludf.DUMMYFUNCTION("IF(COUNTA(Q1148:Q1673)=0,"""",IF(REGEXMATCH(INDEX(FILTER(Q$4:Q1148,Q$4:Q1148&lt;&gt;""""),ROWS(FILTER(Q$4:Q1148,Q$4:Q1148&lt;&gt;""""))),""^Sell_""),INDEX(FILTER(T$4:T1147,Q$4:Q1147&lt;&gt;""""),ROWS(FILTER(Q$4:Q1147,Q$4:Q1147&lt;&gt;""""))),$AD$5+S1148))"),"")</f>
        <v/>
      </c>
      <c r="U1148" s="10" t="str">
        <f>IFERROR(__xludf.DUMMYFUNCTION("IF(COUNTA(Q1148:Q1673)=0,"""",IF(Q1148="""",0,IF(REGEXMATCH(Q1148,""^Sell_""),-ROUNDDOWN(ROUNDUP(INDEX(Upgrades!$C$3:$C$13,MATCH(SUBSTITUTE(Q1148,""Sell_"",""""),Upgrades!$B$3:$B$13,0))*1.15^(COUNTIF(Q$4:Q1147,SUBSTITUTE(Q1148,""Sell_"",""""))-COUNTIF(Q$4"&amp;":Q1147,""Sell_""&amp;SUBSTITUTE(Q1148,""Sell_"",""""))))/2),ROUNDUP(INDEX(Upgrades!$C$3:$C$13,MATCH(Q1148,Upgrades!$B$3:$B$13,0))*1.15^(COUNTIF(Q$4:Q1147,Q1148)-COUNTIF(Q$4:Q1147,""Sell_""&amp;Q1148))))))"),"")</f>
        <v/>
      </c>
      <c r="V1148" s="10" t="str">
        <f t="shared" si="11"/>
        <v/>
      </c>
      <c r="W1148" s="68" t="str">
        <f t="shared" si="12"/>
        <v/>
      </c>
      <c r="X1148" s="59" t="str">
        <f t="shared" si="13"/>
        <v/>
      </c>
      <c r="Y1148" s="69" t="str">
        <f t="shared" si="14"/>
        <v/>
      </c>
      <c r="Z1148" s="11"/>
    </row>
    <row r="1149">
      <c r="A1149" s="8"/>
      <c r="B1149" s="56" t="str">
        <f t="shared" si="2"/>
        <v/>
      </c>
      <c r="C1149" s="105"/>
      <c r="D1149" s="10"/>
      <c r="E1149" s="59" t="str">
        <f t="array" ref="E1149">IF(COUNTA(C1149:C1673)=0,"",SUM((COUNTIF(C$4:C1149,Upgrades!$B$3:$B$13)-COUNTIF(C$4:C1149,"Sell_"&amp;Upgrades!$B$3:$B$13))*Upgrades!$D$3:$D$13))</f>
        <v/>
      </c>
      <c r="F1149" s="66" t="str">
        <f>IFERROR(__xludf.DUMMYFUNCTION("IF(COUNTA(C1149:C1673)=0,"""",IF(REGEXMATCH(INDEX(FILTER(C$4:C1149,C$4:C1149&lt;&gt;""""),ROWS(FILTER(C$4:C1149,C$4:C1149&lt;&gt;""""))),""^Sell_""),INDEX(FILTER(F$4:F1148,C$4:C1148&lt;&gt;""""),ROWS(FILTER(C$4:C1148,C$4:C1148&lt;&gt;""""))),$AC$5+E1149))"),"")</f>
        <v/>
      </c>
      <c r="G1149" s="10" t="str">
        <f>IFERROR(__xludf.DUMMYFUNCTION("IF(COUNTA(C1149:C1673)=0,"""",IF(C1149="""",0,IF(REGEXMATCH(C1149,""^Sell_""),-ROUNDDOWN(ROUNDUP(INDEX(Upgrades!$C$3:$C$13,MATCH(SUBSTITUTE(C1149,""Sell_"",""""),Upgrades!$B$3:$B$13,0))*1.15^(COUNTIF(C$4:C1148,SUBSTITUTE(C1149,""Sell_"",""""))-COUNTIF(C$4"&amp;":C1148,""Sell_""&amp;SUBSTITUTE(C1149,""Sell_"",""""))))/2),ROUNDUP(INDEX(Upgrades!$C$3:$C$13,MATCH(C1149,Upgrades!$B$3:$B$13,0))*1.15^(COUNTIF(C$4:C1148,C1149)-COUNTIF(C$4:C1148,""Sell_""&amp;C1149))))))"),"")</f>
        <v/>
      </c>
      <c r="H1149" s="10" t="str">
        <f t="shared" si="3"/>
        <v/>
      </c>
      <c r="I1149" s="68" t="str">
        <f t="shared" si="4"/>
        <v/>
      </c>
      <c r="J1149" s="59" t="str">
        <f t="shared" si="5"/>
        <v/>
      </c>
      <c r="K1149" s="69" t="str">
        <f t="shared" si="6"/>
        <v/>
      </c>
      <c r="L1149" s="60" t="str">
        <f t="shared" si="7"/>
        <v/>
      </c>
      <c r="M1149" s="61" t="str">
        <f>IFERROR(__xludf.DUMMYFUNCTION("IFS(AND(COUNTA(C1149:C1673)=0,COUNTA(Q1149:Q1673)=0),"""",OR(AND(K1149&gt;=1000000000,OR(Y1149&gt;=1000000000,COUNTA(Q1149:Q1673)=0)),OR(Y1149&gt;=1000000000,AND(COUNTA(C1149:C1673)=0,P$3=TRUE))),
ROUNDDOWN((AB$1-AC$1)*MAX(INDEX(T$4:T1673,MATCH(LARGE(FILTER(Y$4:Y1"&amp;"673,Y$4:Y1673&lt;1000000000),1),Y$4:Y1673)),INDEX(F$4:F1673,MATCH(LARGE(FILTER(K$4:K1673,K$4:K1673&lt;1000000000),1),K$4:K1673)))),AND(K1149&lt;1000000000,COUNTA(C1149:C1673)&gt;0,P$3=FALSE),
ROUNDDOWN(INDEX(Y$4:Y1673,MATCH(LARGE(FILTER(W$4:W1673,W$4:W1673&lt;=I1149),1)"&amp;",W$4:W1673))+(I1149-LARGE(FILTER(W$4:W1673,W$4:W1673&lt;=I1149),1))*INDEX(T$4:T1673,MATCH(LARGE(FILTER(W$4:W1673,W$4:W1673&lt;=I1149),1),W$4:W1673))-K1149),1,
ROUNDDOWN(Y1149-INDEX(K$4:K1673,MATCH(LARGE(FILTER(I$4:I1673,I$4:I1673&lt;=W1149),1),I$4:I1673))-(W1149-L"&amp;"ARGE(FILTER(I$4:I1673,I$4:I1673&lt;=W1149),1))*INDEX(F$4:F1673,MATCH(LARGE(FILTER(I$4:I1673,I$4:I1673&lt;=W1149),1),I$4:I1673))))"),"")</f>
        <v/>
      </c>
      <c r="N1149" s="60" t="str">
        <f t="shared" si="8"/>
        <v/>
      </c>
      <c r="O1149" s="61" t="str">
        <f t="shared" si="9"/>
        <v/>
      </c>
      <c r="P1149" s="56" t="str">
        <f t="shared" si="10"/>
        <v/>
      </c>
      <c r="Q1149" s="67"/>
      <c r="R1149" s="10"/>
      <c r="S1149" s="59" t="str">
        <f t="array" ref="S1149">IF(COUNTA(Q1149:Q1673)=0,"",SUM((COUNTIF(Q$4:Q1149,Upgrades!$B$3:$B$13)-COUNTIF(Q$4:Q1149,"Sell_"&amp;Upgrades!$B$3:$B$13))*Upgrades!$D$3:$D$13))</f>
        <v/>
      </c>
      <c r="T1149" s="66" t="str">
        <f>IFERROR(__xludf.DUMMYFUNCTION("IF(COUNTA(Q1149:Q1673)=0,"""",IF(REGEXMATCH(INDEX(FILTER(Q$4:Q1149,Q$4:Q1149&lt;&gt;""""),ROWS(FILTER(Q$4:Q1149,Q$4:Q1149&lt;&gt;""""))),""^Sell_""),INDEX(FILTER(T$4:T1148,Q$4:Q1148&lt;&gt;""""),ROWS(FILTER(Q$4:Q1148,Q$4:Q1148&lt;&gt;""""))),$AD$5+S1149))"),"")</f>
        <v/>
      </c>
      <c r="U1149" s="10" t="str">
        <f>IFERROR(__xludf.DUMMYFUNCTION("IF(COUNTA(Q1149:Q1673)=0,"""",IF(Q1149="""",0,IF(REGEXMATCH(Q1149,""^Sell_""),-ROUNDDOWN(ROUNDUP(INDEX(Upgrades!$C$3:$C$13,MATCH(SUBSTITUTE(Q1149,""Sell_"",""""),Upgrades!$B$3:$B$13,0))*1.15^(COUNTIF(Q$4:Q1148,SUBSTITUTE(Q1149,""Sell_"",""""))-COUNTIF(Q$4"&amp;":Q1148,""Sell_""&amp;SUBSTITUTE(Q1149,""Sell_"",""""))))/2),ROUNDUP(INDEX(Upgrades!$C$3:$C$13,MATCH(Q1149,Upgrades!$B$3:$B$13,0))*1.15^(COUNTIF(Q$4:Q1148,Q1149)-COUNTIF(Q$4:Q1148,""Sell_""&amp;Q1149))))))"),"")</f>
        <v/>
      </c>
      <c r="V1149" s="10" t="str">
        <f t="shared" si="11"/>
        <v/>
      </c>
      <c r="W1149" s="68" t="str">
        <f t="shared" si="12"/>
        <v/>
      </c>
      <c r="X1149" s="59" t="str">
        <f t="shared" si="13"/>
        <v/>
      </c>
      <c r="Y1149" s="69" t="str">
        <f t="shared" si="14"/>
        <v/>
      </c>
      <c r="Z1149" s="11"/>
    </row>
    <row r="1150">
      <c r="A1150" s="8"/>
      <c r="B1150" s="56" t="str">
        <f t="shared" si="2"/>
        <v/>
      </c>
      <c r="C1150" s="105"/>
      <c r="D1150" s="10"/>
      <c r="E1150" s="59" t="str">
        <f t="array" ref="E1150">IF(COUNTA(C1150:C1673)=0,"",SUM((COUNTIF(C$4:C1150,Upgrades!$B$3:$B$13)-COUNTIF(C$4:C1150,"Sell_"&amp;Upgrades!$B$3:$B$13))*Upgrades!$D$3:$D$13))</f>
        <v/>
      </c>
      <c r="F1150" s="66" t="str">
        <f>IFERROR(__xludf.DUMMYFUNCTION("IF(COUNTA(C1150:C1673)=0,"""",IF(REGEXMATCH(INDEX(FILTER(C$4:C1150,C$4:C1150&lt;&gt;""""),ROWS(FILTER(C$4:C1150,C$4:C1150&lt;&gt;""""))),""^Sell_""),INDEX(FILTER(F$4:F1149,C$4:C1149&lt;&gt;""""),ROWS(FILTER(C$4:C1149,C$4:C1149&lt;&gt;""""))),$AC$5+E1150))"),"")</f>
        <v/>
      </c>
      <c r="G1150" s="10" t="str">
        <f>IFERROR(__xludf.DUMMYFUNCTION("IF(COUNTA(C1150:C1673)=0,"""",IF(C1150="""",0,IF(REGEXMATCH(C1150,""^Sell_""),-ROUNDDOWN(ROUNDUP(INDEX(Upgrades!$C$3:$C$13,MATCH(SUBSTITUTE(C1150,""Sell_"",""""),Upgrades!$B$3:$B$13,0))*1.15^(COUNTIF(C$4:C1149,SUBSTITUTE(C1150,""Sell_"",""""))-COUNTIF(C$4"&amp;":C1149,""Sell_""&amp;SUBSTITUTE(C1150,""Sell_"",""""))))/2),ROUNDUP(INDEX(Upgrades!$C$3:$C$13,MATCH(C1150,Upgrades!$B$3:$B$13,0))*1.15^(COUNTIF(C$4:C1149,C1150)-COUNTIF(C$4:C1149,""Sell_""&amp;C1150))))))"),"")</f>
        <v/>
      </c>
      <c r="H1150" s="10" t="str">
        <f t="shared" si="3"/>
        <v/>
      </c>
      <c r="I1150" s="68" t="str">
        <f t="shared" si="4"/>
        <v/>
      </c>
      <c r="J1150" s="59" t="str">
        <f t="shared" si="5"/>
        <v/>
      </c>
      <c r="K1150" s="69" t="str">
        <f t="shared" si="6"/>
        <v/>
      </c>
      <c r="L1150" s="60" t="str">
        <f t="shared" si="7"/>
        <v/>
      </c>
      <c r="M1150" s="61" t="str">
        <f>IFERROR(__xludf.DUMMYFUNCTION("IFS(AND(COUNTA(C1150:C1673)=0,COUNTA(Q1150:Q1673)=0),"""",OR(AND(K1150&gt;=1000000000,OR(Y1150&gt;=1000000000,COUNTA(Q1150:Q1673)=0)),OR(Y1150&gt;=1000000000,AND(COUNTA(C1150:C1673)=0,P$3=TRUE))),
ROUNDDOWN((AB$1-AC$1)*MAX(INDEX(T$4:T1673,MATCH(LARGE(FILTER(Y$4:Y1"&amp;"673,Y$4:Y1673&lt;1000000000),1),Y$4:Y1673)),INDEX(F$4:F1673,MATCH(LARGE(FILTER(K$4:K1673,K$4:K1673&lt;1000000000),1),K$4:K1673)))),AND(K1150&lt;1000000000,COUNTA(C1150:C1673)&gt;0,P$3=FALSE),
ROUNDDOWN(INDEX(Y$4:Y1673,MATCH(LARGE(FILTER(W$4:W1673,W$4:W1673&lt;=I1150),1)"&amp;",W$4:W1673))+(I1150-LARGE(FILTER(W$4:W1673,W$4:W1673&lt;=I1150),1))*INDEX(T$4:T1673,MATCH(LARGE(FILTER(W$4:W1673,W$4:W1673&lt;=I1150),1),W$4:W1673))-K1150),1,
ROUNDDOWN(Y1150-INDEX(K$4:K1673,MATCH(LARGE(FILTER(I$4:I1673,I$4:I1673&lt;=W1150),1),I$4:I1673))-(W1150-L"&amp;"ARGE(FILTER(I$4:I1673,I$4:I1673&lt;=W1150),1))*INDEX(F$4:F1673,MATCH(LARGE(FILTER(I$4:I1673,I$4:I1673&lt;=W1150),1),I$4:I1673))))"),"")</f>
        <v/>
      </c>
      <c r="N1150" s="60" t="str">
        <f t="shared" si="8"/>
        <v/>
      </c>
      <c r="O1150" s="61" t="str">
        <f t="shared" si="9"/>
        <v/>
      </c>
      <c r="P1150" s="56" t="str">
        <f t="shared" si="10"/>
        <v/>
      </c>
      <c r="Q1150" s="67"/>
      <c r="R1150" s="10"/>
      <c r="S1150" s="59" t="str">
        <f t="array" ref="S1150">IF(COUNTA(Q1150:Q1673)=0,"",SUM((COUNTIF(Q$4:Q1150,Upgrades!$B$3:$B$13)-COUNTIF(Q$4:Q1150,"Sell_"&amp;Upgrades!$B$3:$B$13))*Upgrades!$D$3:$D$13))</f>
        <v/>
      </c>
      <c r="T1150" s="66" t="str">
        <f>IFERROR(__xludf.DUMMYFUNCTION("IF(COUNTA(Q1150:Q1673)=0,"""",IF(REGEXMATCH(INDEX(FILTER(Q$4:Q1150,Q$4:Q1150&lt;&gt;""""),ROWS(FILTER(Q$4:Q1150,Q$4:Q1150&lt;&gt;""""))),""^Sell_""),INDEX(FILTER(T$4:T1149,Q$4:Q1149&lt;&gt;""""),ROWS(FILTER(Q$4:Q1149,Q$4:Q1149&lt;&gt;""""))),$AD$5+S1150))"),"")</f>
        <v/>
      </c>
      <c r="U1150" s="10" t="str">
        <f>IFERROR(__xludf.DUMMYFUNCTION("IF(COUNTA(Q1150:Q1673)=0,"""",IF(Q1150="""",0,IF(REGEXMATCH(Q1150,""^Sell_""),-ROUNDDOWN(ROUNDUP(INDEX(Upgrades!$C$3:$C$13,MATCH(SUBSTITUTE(Q1150,""Sell_"",""""),Upgrades!$B$3:$B$13,0))*1.15^(COUNTIF(Q$4:Q1149,SUBSTITUTE(Q1150,""Sell_"",""""))-COUNTIF(Q$4"&amp;":Q1149,""Sell_""&amp;SUBSTITUTE(Q1150,""Sell_"",""""))))/2),ROUNDUP(INDEX(Upgrades!$C$3:$C$13,MATCH(Q1150,Upgrades!$B$3:$B$13,0))*1.15^(COUNTIF(Q$4:Q1149,Q1150)-COUNTIF(Q$4:Q1149,""Sell_""&amp;Q1150))))))"),"")</f>
        <v/>
      </c>
      <c r="V1150" s="10" t="str">
        <f t="shared" si="11"/>
        <v/>
      </c>
      <c r="W1150" s="68" t="str">
        <f t="shared" si="12"/>
        <v/>
      </c>
      <c r="X1150" s="59" t="str">
        <f t="shared" si="13"/>
        <v/>
      </c>
      <c r="Y1150" s="69" t="str">
        <f t="shared" si="14"/>
        <v/>
      </c>
      <c r="Z1150" s="11"/>
    </row>
    <row r="1151">
      <c r="A1151" s="8"/>
      <c r="B1151" s="56" t="str">
        <f t="shared" si="2"/>
        <v/>
      </c>
      <c r="C1151" s="105"/>
      <c r="D1151" s="10"/>
      <c r="E1151" s="59" t="str">
        <f t="array" ref="E1151">IF(COUNTA(C1151:C1673)=0,"",SUM((COUNTIF(C$4:C1151,Upgrades!$B$3:$B$13)-COUNTIF(C$4:C1151,"Sell_"&amp;Upgrades!$B$3:$B$13))*Upgrades!$D$3:$D$13))</f>
        <v/>
      </c>
      <c r="F1151" s="66" t="str">
        <f>IFERROR(__xludf.DUMMYFUNCTION("IF(COUNTA(C1151:C1673)=0,"""",IF(REGEXMATCH(INDEX(FILTER(C$4:C1151,C$4:C1151&lt;&gt;""""),ROWS(FILTER(C$4:C1151,C$4:C1151&lt;&gt;""""))),""^Sell_""),INDEX(FILTER(F$4:F1150,C$4:C1150&lt;&gt;""""),ROWS(FILTER(C$4:C1150,C$4:C1150&lt;&gt;""""))),$AC$5+E1151))"),"")</f>
        <v/>
      </c>
      <c r="G1151" s="10" t="str">
        <f>IFERROR(__xludf.DUMMYFUNCTION("IF(COUNTA(C1151:C1673)=0,"""",IF(C1151="""",0,IF(REGEXMATCH(C1151,""^Sell_""),-ROUNDDOWN(ROUNDUP(INDEX(Upgrades!$C$3:$C$13,MATCH(SUBSTITUTE(C1151,""Sell_"",""""),Upgrades!$B$3:$B$13,0))*1.15^(COUNTIF(C$4:C1150,SUBSTITUTE(C1151,""Sell_"",""""))-COUNTIF(C$4"&amp;":C1150,""Sell_""&amp;SUBSTITUTE(C1151,""Sell_"",""""))))/2),ROUNDUP(INDEX(Upgrades!$C$3:$C$13,MATCH(C1151,Upgrades!$B$3:$B$13,0))*1.15^(COUNTIF(C$4:C1150,C1151)-COUNTIF(C$4:C1150,""Sell_""&amp;C1151))))))"),"")</f>
        <v/>
      </c>
      <c r="H1151" s="10" t="str">
        <f t="shared" si="3"/>
        <v/>
      </c>
      <c r="I1151" s="68" t="str">
        <f t="shared" si="4"/>
        <v/>
      </c>
      <c r="J1151" s="59" t="str">
        <f t="shared" si="5"/>
        <v/>
      </c>
      <c r="K1151" s="69" t="str">
        <f t="shared" si="6"/>
        <v/>
      </c>
      <c r="L1151" s="60" t="str">
        <f t="shared" si="7"/>
        <v/>
      </c>
      <c r="M1151" s="61" t="str">
        <f>IFERROR(__xludf.DUMMYFUNCTION("IFS(AND(COUNTA(C1151:C1673)=0,COUNTA(Q1151:Q1673)=0),"""",OR(AND(K1151&gt;=1000000000,OR(Y1151&gt;=1000000000,COUNTA(Q1151:Q1673)=0)),OR(Y1151&gt;=1000000000,AND(COUNTA(C1151:C1673)=0,P$3=TRUE))),
ROUNDDOWN((AB$1-AC$1)*MAX(INDEX(T$4:T1673,MATCH(LARGE(FILTER(Y$4:Y1"&amp;"673,Y$4:Y1673&lt;1000000000),1),Y$4:Y1673)),INDEX(F$4:F1673,MATCH(LARGE(FILTER(K$4:K1673,K$4:K1673&lt;1000000000),1),K$4:K1673)))),AND(K1151&lt;1000000000,COUNTA(C1151:C1673)&gt;0,P$3=FALSE),
ROUNDDOWN(INDEX(Y$4:Y1673,MATCH(LARGE(FILTER(W$4:W1673,W$4:W1673&lt;=I1151),1)"&amp;",W$4:W1673))+(I1151-LARGE(FILTER(W$4:W1673,W$4:W1673&lt;=I1151),1))*INDEX(T$4:T1673,MATCH(LARGE(FILTER(W$4:W1673,W$4:W1673&lt;=I1151),1),W$4:W1673))-K1151),1,
ROUNDDOWN(Y1151-INDEX(K$4:K1673,MATCH(LARGE(FILTER(I$4:I1673,I$4:I1673&lt;=W1151),1),I$4:I1673))-(W1151-L"&amp;"ARGE(FILTER(I$4:I1673,I$4:I1673&lt;=W1151),1))*INDEX(F$4:F1673,MATCH(LARGE(FILTER(I$4:I1673,I$4:I1673&lt;=W1151),1),I$4:I1673))))"),"")</f>
        <v/>
      </c>
      <c r="N1151" s="60" t="str">
        <f t="shared" si="8"/>
        <v/>
      </c>
      <c r="O1151" s="61" t="str">
        <f t="shared" si="9"/>
        <v/>
      </c>
      <c r="P1151" s="56" t="str">
        <f t="shared" si="10"/>
        <v/>
      </c>
      <c r="Q1151" s="67"/>
      <c r="R1151" s="10"/>
      <c r="S1151" s="59" t="str">
        <f t="array" ref="S1151">IF(COUNTA(Q1151:Q1673)=0,"",SUM((COUNTIF(Q$4:Q1151,Upgrades!$B$3:$B$13)-COUNTIF(Q$4:Q1151,"Sell_"&amp;Upgrades!$B$3:$B$13))*Upgrades!$D$3:$D$13))</f>
        <v/>
      </c>
      <c r="T1151" s="66" t="str">
        <f>IFERROR(__xludf.DUMMYFUNCTION("IF(COUNTA(Q1151:Q1673)=0,"""",IF(REGEXMATCH(INDEX(FILTER(Q$4:Q1151,Q$4:Q1151&lt;&gt;""""),ROWS(FILTER(Q$4:Q1151,Q$4:Q1151&lt;&gt;""""))),""^Sell_""),INDEX(FILTER(T$4:T1150,Q$4:Q1150&lt;&gt;""""),ROWS(FILTER(Q$4:Q1150,Q$4:Q1150&lt;&gt;""""))),$AD$5+S1151))"),"")</f>
        <v/>
      </c>
      <c r="U1151" s="10" t="str">
        <f>IFERROR(__xludf.DUMMYFUNCTION("IF(COUNTA(Q1151:Q1673)=0,"""",IF(Q1151="""",0,IF(REGEXMATCH(Q1151,""^Sell_""),-ROUNDDOWN(ROUNDUP(INDEX(Upgrades!$C$3:$C$13,MATCH(SUBSTITUTE(Q1151,""Sell_"",""""),Upgrades!$B$3:$B$13,0))*1.15^(COUNTIF(Q$4:Q1150,SUBSTITUTE(Q1151,""Sell_"",""""))-COUNTIF(Q$4"&amp;":Q1150,""Sell_""&amp;SUBSTITUTE(Q1151,""Sell_"",""""))))/2),ROUNDUP(INDEX(Upgrades!$C$3:$C$13,MATCH(Q1151,Upgrades!$B$3:$B$13,0))*1.15^(COUNTIF(Q$4:Q1150,Q1151)-COUNTIF(Q$4:Q1150,""Sell_""&amp;Q1151))))))"),"")</f>
        <v/>
      </c>
      <c r="V1151" s="10" t="str">
        <f t="shared" si="11"/>
        <v/>
      </c>
      <c r="W1151" s="68" t="str">
        <f t="shared" si="12"/>
        <v/>
      </c>
      <c r="X1151" s="59" t="str">
        <f t="shared" si="13"/>
        <v/>
      </c>
      <c r="Y1151" s="69" t="str">
        <f t="shared" si="14"/>
        <v/>
      </c>
      <c r="Z1151" s="11"/>
    </row>
    <row r="1152">
      <c r="A1152" s="8"/>
      <c r="B1152" s="56" t="str">
        <f t="shared" si="2"/>
        <v/>
      </c>
      <c r="C1152" s="105"/>
      <c r="D1152" s="10"/>
      <c r="E1152" s="59" t="str">
        <f t="array" ref="E1152">IF(COUNTA(C1152:C1673)=0,"",SUM((COUNTIF(C$4:C1152,Upgrades!$B$3:$B$13)-COUNTIF(C$4:C1152,"Sell_"&amp;Upgrades!$B$3:$B$13))*Upgrades!$D$3:$D$13))</f>
        <v/>
      </c>
      <c r="F1152" s="66" t="str">
        <f>IFERROR(__xludf.DUMMYFUNCTION("IF(COUNTA(C1152:C1673)=0,"""",IF(REGEXMATCH(INDEX(FILTER(C$4:C1152,C$4:C1152&lt;&gt;""""),ROWS(FILTER(C$4:C1152,C$4:C1152&lt;&gt;""""))),""^Sell_""),INDEX(FILTER(F$4:F1151,C$4:C1151&lt;&gt;""""),ROWS(FILTER(C$4:C1151,C$4:C1151&lt;&gt;""""))),$AC$5+E1152))"),"")</f>
        <v/>
      </c>
      <c r="G1152" s="10" t="str">
        <f>IFERROR(__xludf.DUMMYFUNCTION("IF(COUNTA(C1152:C1673)=0,"""",IF(C1152="""",0,IF(REGEXMATCH(C1152,""^Sell_""),-ROUNDDOWN(ROUNDUP(INDEX(Upgrades!$C$3:$C$13,MATCH(SUBSTITUTE(C1152,""Sell_"",""""),Upgrades!$B$3:$B$13,0))*1.15^(COUNTIF(C$4:C1151,SUBSTITUTE(C1152,""Sell_"",""""))-COUNTIF(C$4"&amp;":C1151,""Sell_""&amp;SUBSTITUTE(C1152,""Sell_"",""""))))/2),ROUNDUP(INDEX(Upgrades!$C$3:$C$13,MATCH(C1152,Upgrades!$B$3:$B$13,0))*1.15^(COUNTIF(C$4:C1151,C1152)-COUNTIF(C$4:C1151,""Sell_""&amp;C1152))))))"),"")</f>
        <v/>
      </c>
      <c r="H1152" s="10" t="str">
        <f t="shared" si="3"/>
        <v/>
      </c>
      <c r="I1152" s="68" t="str">
        <f t="shared" si="4"/>
        <v/>
      </c>
      <c r="J1152" s="59" t="str">
        <f t="shared" si="5"/>
        <v/>
      </c>
      <c r="K1152" s="69" t="str">
        <f t="shared" si="6"/>
        <v/>
      </c>
      <c r="L1152" s="60" t="str">
        <f t="shared" si="7"/>
        <v/>
      </c>
      <c r="M1152" s="61" t="str">
        <f>IFERROR(__xludf.DUMMYFUNCTION("IFS(AND(COUNTA(C1152:C1673)=0,COUNTA(Q1152:Q1673)=0),"""",OR(AND(K1152&gt;=1000000000,OR(Y1152&gt;=1000000000,COUNTA(Q1152:Q1673)=0)),OR(Y1152&gt;=1000000000,AND(COUNTA(C1152:C1673)=0,P$3=TRUE))),
ROUNDDOWN((AB$1-AC$1)*MAX(INDEX(T$4:T1673,MATCH(LARGE(FILTER(Y$4:Y1"&amp;"673,Y$4:Y1673&lt;1000000000),1),Y$4:Y1673)),INDEX(F$4:F1673,MATCH(LARGE(FILTER(K$4:K1673,K$4:K1673&lt;1000000000),1),K$4:K1673)))),AND(K1152&lt;1000000000,COUNTA(C1152:C1673)&gt;0,P$3=FALSE),
ROUNDDOWN(INDEX(Y$4:Y1673,MATCH(LARGE(FILTER(W$4:W1673,W$4:W1673&lt;=I1152),1)"&amp;",W$4:W1673))+(I1152-LARGE(FILTER(W$4:W1673,W$4:W1673&lt;=I1152),1))*INDEX(T$4:T1673,MATCH(LARGE(FILTER(W$4:W1673,W$4:W1673&lt;=I1152),1),W$4:W1673))-K1152),1,
ROUNDDOWN(Y1152-INDEX(K$4:K1673,MATCH(LARGE(FILTER(I$4:I1673,I$4:I1673&lt;=W1152),1),I$4:I1673))-(W1152-L"&amp;"ARGE(FILTER(I$4:I1673,I$4:I1673&lt;=W1152),1))*INDEX(F$4:F1673,MATCH(LARGE(FILTER(I$4:I1673,I$4:I1673&lt;=W1152),1),I$4:I1673))))"),"")</f>
        <v/>
      </c>
      <c r="N1152" s="60" t="str">
        <f t="shared" si="8"/>
        <v/>
      </c>
      <c r="O1152" s="61" t="str">
        <f t="shared" si="9"/>
        <v/>
      </c>
      <c r="P1152" s="56" t="str">
        <f t="shared" si="10"/>
        <v/>
      </c>
      <c r="Q1152" s="67"/>
      <c r="R1152" s="10"/>
      <c r="S1152" s="59" t="str">
        <f t="array" ref="S1152">IF(COUNTA(Q1152:Q1673)=0,"",SUM((COUNTIF(Q$4:Q1152,Upgrades!$B$3:$B$13)-COUNTIF(Q$4:Q1152,"Sell_"&amp;Upgrades!$B$3:$B$13))*Upgrades!$D$3:$D$13))</f>
        <v/>
      </c>
      <c r="T1152" s="66" t="str">
        <f>IFERROR(__xludf.DUMMYFUNCTION("IF(COUNTA(Q1152:Q1673)=0,"""",IF(REGEXMATCH(INDEX(FILTER(Q$4:Q1152,Q$4:Q1152&lt;&gt;""""),ROWS(FILTER(Q$4:Q1152,Q$4:Q1152&lt;&gt;""""))),""^Sell_""),INDEX(FILTER(T$4:T1151,Q$4:Q1151&lt;&gt;""""),ROWS(FILTER(Q$4:Q1151,Q$4:Q1151&lt;&gt;""""))),$AD$5+S1152))"),"")</f>
        <v/>
      </c>
      <c r="U1152" s="10" t="str">
        <f>IFERROR(__xludf.DUMMYFUNCTION("IF(COUNTA(Q1152:Q1673)=0,"""",IF(Q1152="""",0,IF(REGEXMATCH(Q1152,""^Sell_""),-ROUNDDOWN(ROUNDUP(INDEX(Upgrades!$C$3:$C$13,MATCH(SUBSTITUTE(Q1152,""Sell_"",""""),Upgrades!$B$3:$B$13,0))*1.15^(COUNTIF(Q$4:Q1151,SUBSTITUTE(Q1152,""Sell_"",""""))-COUNTIF(Q$4"&amp;":Q1151,""Sell_""&amp;SUBSTITUTE(Q1152,""Sell_"",""""))))/2),ROUNDUP(INDEX(Upgrades!$C$3:$C$13,MATCH(Q1152,Upgrades!$B$3:$B$13,0))*1.15^(COUNTIF(Q$4:Q1151,Q1152)-COUNTIF(Q$4:Q1151,""Sell_""&amp;Q1152))))))"),"")</f>
        <v/>
      </c>
      <c r="V1152" s="10" t="str">
        <f t="shared" si="11"/>
        <v/>
      </c>
      <c r="W1152" s="68" t="str">
        <f t="shared" si="12"/>
        <v/>
      </c>
      <c r="X1152" s="59" t="str">
        <f t="shared" si="13"/>
        <v/>
      </c>
      <c r="Y1152" s="69" t="str">
        <f t="shared" si="14"/>
        <v/>
      </c>
      <c r="Z1152" s="11"/>
    </row>
    <row r="1153">
      <c r="A1153" s="8"/>
      <c r="B1153" s="56" t="str">
        <f t="shared" si="2"/>
        <v/>
      </c>
      <c r="C1153" s="105"/>
      <c r="D1153" s="10"/>
      <c r="E1153" s="59" t="str">
        <f t="array" ref="E1153">IF(COUNTA(C1153:C1673)=0,"",SUM((COUNTIF(C$4:C1153,Upgrades!$B$3:$B$13)-COUNTIF(C$4:C1153,"Sell_"&amp;Upgrades!$B$3:$B$13))*Upgrades!$D$3:$D$13))</f>
        <v/>
      </c>
      <c r="F1153" s="66" t="str">
        <f>IFERROR(__xludf.DUMMYFUNCTION("IF(COUNTA(C1153:C1673)=0,"""",IF(REGEXMATCH(INDEX(FILTER(C$4:C1153,C$4:C1153&lt;&gt;""""),ROWS(FILTER(C$4:C1153,C$4:C1153&lt;&gt;""""))),""^Sell_""),INDEX(FILTER(F$4:F1152,C$4:C1152&lt;&gt;""""),ROWS(FILTER(C$4:C1152,C$4:C1152&lt;&gt;""""))),$AC$5+E1153))"),"")</f>
        <v/>
      </c>
      <c r="G1153" s="10" t="str">
        <f>IFERROR(__xludf.DUMMYFUNCTION("IF(COUNTA(C1153:C1673)=0,"""",IF(C1153="""",0,IF(REGEXMATCH(C1153,""^Sell_""),-ROUNDDOWN(ROUNDUP(INDEX(Upgrades!$C$3:$C$13,MATCH(SUBSTITUTE(C1153,""Sell_"",""""),Upgrades!$B$3:$B$13,0))*1.15^(COUNTIF(C$4:C1152,SUBSTITUTE(C1153,""Sell_"",""""))-COUNTIF(C$4"&amp;":C1152,""Sell_""&amp;SUBSTITUTE(C1153,""Sell_"",""""))))/2),ROUNDUP(INDEX(Upgrades!$C$3:$C$13,MATCH(C1153,Upgrades!$B$3:$B$13,0))*1.15^(COUNTIF(C$4:C1152,C1153)-COUNTIF(C$4:C1152,""Sell_""&amp;C1153))))))"),"")</f>
        <v/>
      </c>
      <c r="H1153" s="10" t="str">
        <f t="shared" si="3"/>
        <v/>
      </c>
      <c r="I1153" s="68" t="str">
        <f t="shared" si="4"/>
        <v/>
      </c>
      <c r="J1153" s="59" t="str">
        <f t="shared" si="5"/>
        <v/>
      </c>
      <c r="K1153" s="69" t="str">
        <f t="shared" si="6"/>
        <v/>
      </c>
      <c r="L1153" s="60" t="str">
        <f t="shared" si="7"/>
        <v/>
      </c>
      <c r="M1153" s="61" t="str">
        <f>IFERROR(__xludf.DUMMYFUNCTION("IFS(AND(COUNTA(C1153:C1673)=0,COUNTA(Q1153:Q1673)=0),"""",OR(AND(K1153&gt;=1000000000,OR(Y1153&gt;=1000000000,COUNTA(Q1153:Q1673)=0)),OR(Y1153&gt;=1000000000,AND(COUNTA(C1153:C1673)=0,P$3=TRUE))),
ROUNDDOWN((AB$1-AC$1)*MAX(INDEX(T$4:T1673,MATCH(LARGE(FILTER(Y$4:Y1"&amp;"673,Y$4:Y1673&lt;1000000000),1),Y$4:Y1673)),INDEX(F$4:F1673,MATCH(LARGE(FILTER(K$4:K1673,K$4:K1673&lt;1000000000),1),K$4:K1673)))),AND(K1153&lt;1000000000,COUNTA(C1153:C1673)&gt;0,P$3=FALSE),
ROUNDDOWN(INDEX(Y$4:Y1673,MATCH(LARGE(FILTER(W$4:W1673,W$4:W1673&lt;=I1153),1)"&amp;",W$4:W1673))+(I1153-LARGE(FILTER(W$4:W1673,W$4:W1673&lt;=I1153),1))*INDEX(T$4:T1673,MATCH(LARGE(FILTER(W$4:W1673,W$4:W1673&lt;=I1153),1),W$4:W1673))-K1153),1,
ROUNDDOWN(Y1153-INDEX(K$4:K1673,MATCH(LARGE(FILTER(I$4:I1673,I$4:I1673&lt;=W1153),1),I$4:I1673))-(W1153-L"&amp;"ARGE(FILTER(I$4:I1673,I$4:I1673&lt;=W1153),1))*INDEX(F$4:F1673,MATCH(LARGE(FILTER(I$4:I1673,I$4:I1673&lt;=W1153),1),I$4:I1673))))"),"")</f>
        <v/>
      </c>
      <c r="N1153" s="60" t="str">
        <f t="shared" si="8"/>
        <v/>
      </c>
      <c r="O1153" s="61" t="str">
        <f t="shared" si="9"/>
        <v/>
      </c>
      <c r="P1153" s="56" t="str">
        <f t="shared" si="10"/>
        <v/>
      </c>
      <c r="Q1153" s="67"/>
      <c r="R1153" s="10"/>
      <c r="S1153" s="59" t="str">
        <f t="array" ref="S1153">IF(COUNTA(Q1153:Q1673)=0,"",SUM((COUNTIF(Q$4:Q1153,Upgrades!$B$3:$B$13)-COUNTIF(Q$4:Q1153,"Sell_"&amp;Upgrades!$B$3:$B$13))*Upgrades!$D$3:$D$13))</f>
        <v/>
      </c>
      <c r="T1153" s="66" t="str">
        <f>IFERROR(__xludf.DUMMYFUNCTION("IF(COUNTA(Q1153:Q1673)=0,"""",IF(REGEXMATCH(INDEX(FILTER(Q$4:Q1153,Q$4:Q1153&lt;&gt;""""),ROWS(FILTER(Q$4:Q1153,Q$4:Q1153&lt;&gt;""""))),""^Sell_""),INDEX(FILTER(T$4:T1152,Q$4:Q1152&lt;&gt;""""),ROWS(FILTER(Q$4:Q1152,Q$4:Q1152&lt;&gt;""""))),$AD$5+S1153))"),"")</f>
        <v/>
      </c>
      <c r="U1153" s="10" t="str">
        <f>IFERROR(__xludf.DUMMYFUNCTION("IF(COUNTA(Q1153:Q1673)=0,"""",IF(Q1153="""",0,IF(REGEXMATCH(Q1153,""^Sell_""),-ROUNDDOWN(ROUNDUP(INDEX(Upgrades!$C$3:$C$13,MATCH(SUBSTITUTE(Q1153,""Sell_"",""""),Upgrades!$B$3:$B$13,0))*1.15^(COUNTIF(Q$4:Q1152,SUBSTITUTE(Q1153,""Sell_"",""""))-COUNTIF(Q$4"&amp;":Q1152,""Sell_""&amp;SUBSTITUTE(Q1153,""Sell_"",""""))))/2),ROUNDUP(INDEX(Upgrades!$C$3:$C$13,MATCH(Q1153,Upgrades!$B$3:$B$13,0))*1.15^(COUNTIF(Q$4:Q1152,Q1153)-COUNTIF(Q$4:Q1152,""Sell_""&amp;Q1153))))))"),"")</f>
        <v/>
      </c>
      <c r="V1153" s="10" t="str">
        <f t="shared" si="11"/>
        <v/>
      </c>
      <c r="W1153" s="68" t="str">
        <f t="shared" si="12"/>
        <v/>
      </c>
      <c r="X1153" s="59" t="str">
        <f t="shared" si="13"/>
        <v/>
      </c>
      <c r="Y1153" s="69" t="str">
        <f t="shared" si="14"/>
        <v/>
      </c>
      <c r="Z1153" s="11"/>
    </row>
    <row r="1154">
      <c r="A1154" s="8"/>
      <c r="B1154" s="56" t="str">
        <f t="shared" si="2"/>
        <v/>
      </c>
      <c r="C1154" s="105"/>
      <c r="D1154" s="10"/>
      <c r="E1154" s="59" t="str">
        <f t="array" ref="E1154">IF(COUNTA(C1154:C1673)=0,"",SUM((COUNTIF(C$4:C1154,Upgrades!$B$3:$B$13)-COUNTIF(C$4:C1154,"Sell_"&amp;Upgrades!$B$3:$B$13))*Upgrades!$D$3:$D$13))</f>
        <v/>
      </c>
      <c r="F1154" s="66" t="str">
        <f>IFERROR(__xludf.DUMMYFUNCTION("IF(COUNTA(C1154:C1673)=0,"""",IF(REGEXMATCH(INDEX(FILTER(C$4:C1154,C$4:C1154&lt;&gt;""""),ROWS(FILTER(C$4:C1154,C$4:C1154&lt;&gt;""""))),""^Sell_""),INDEX(FILTER(F$4:F1153,C$4:C1153&lt;&gt;""""),ROWS(FILTER(C$4:C1153,C$4:C1153&lt;&gt;""""))),$AC$5+E1154))"),"")</f>
        <v/>
      </c>
      <c r="G1154" s="10" t="str">
        <f>IFERROR(__xludf.DUMMYFUNCTION("IF(COUNTA(C1154:C1673)=0,"""",IF(C1154="""",0,IF(REGEXMATCH(C1154,""^Sell_""),-ROUNDDOWN(ROUNDUP(INDEX(Upgrades!$C$3:$C$13,MATCH(SUBSTITUTE(C1154,""Sell_"",""""),Upgrades!$B$3:$B$13,0))*1.15^(COUNTIF(C$4:C1153,SUBSTITUTE(C1154,""Sell_"",""""))-COUNTIF(C$4"&amp;":C1153,""Sell_""&amp;SUBSTITUTE(C1154,""Sell_"",""""))))/2),ROUNDUP(INDEX(Upgrades!$C$3:$C$13,MATCH(C1154,Upgrades!$B$3:$B$13,0))*1.15^(COUNTIF(C$4:C1153,C1154)-COUNTIF(C$4:C1153,""Sell_""&amp;C1154))))))"),"")</f>
        <v/>
      </c>
      <c r="H1154" s="10" t="str">
        <f t="shared" si="3"/>
        <v/>
      </c>
      <c r="I1154" s="68" t="str">
        <f t="shared" si="4"/>
        <v/>
      </c>
      <c r="J1154" s="59" t="str">
        <f t="shared" si="5"/>
        <v/>
      </c>
      <c r="K1154" s="69" t="str">
        <f t="shared" si="6"/>
        <v/>
      </c>
      <c r="L1154" s="60" t="str">
        <f t="shared" si="7"/>
        <v/>
      </c>
      <c r="M1154" s="61" t="str">
        <f>IFERROR(__xludf.DUMMYFUNCTION("IFS(AND(COUNTA(C1154:C1673)=0,COUNTA(Q1154:Q1673)=0),"""",OR(AND(K1154&gt;=1000000000,OR(Y1154&gt;=1000000000,COUNTA(Q1154:Q1673)=0)),OR(Y1154&gt;=1000000000,AND(COUNTA(C1154:C1673)=0,P$3=TRUE))),
ROUNDDOWN((AB$1-AC$1)*MAX(INDEX(T$4:T1673,MATCH(LARGE(FILTER(Y$4:Y1"&amp;"673,Y$4:Y1673&lt;1000000000),1),Y$4:Y1673)),INDEX(F$4:F1673,MATCH(LARGE(FILTER(K$4:K1673,K$4:K1673&lt;1000000000),1),K$4:K1673)))),AND(K1154&lt;1000000000,COUNTA(C1154:C1673)&gt;0,P$3=FALSE),
ROUNDDOWN(INDEX(Y$4:Y1673,MATCH(LARGE(FILTER(W$4:W1673,W$4:W1673&lt;=I1154),1)"&amp;",W$4:W1673))+(I1154-LARGE(FILTER(W$4:W1673,W$4:W1673&lt;=I1154),1))*INDEX(T$4:T1673,MATCH(LARGE(FILTER(W$4:W1673,W$4:W1673&lt;=I1154),1),W$4:W1673))-K1154),1,
ROUNDDOWN(Y1154-INDEX(K$4:K1673,MATCH(LARGE(FILTER(I$4:I1673,I$4:I1673&lt;=W1154),1),I$4:I1673))-(W1154-L"&amp;"ARGE(FILTER(I$4:I1673,I$4:I1673&lt;=W1154),1))*INDEX(F$4:F1673,MATCH(LARGE(FILTER(I$4:I1673,I$4:I1673&lt;=W1154),1),I$4:I1673))))"),"")</f>
        <v/>
      </c>
      <c r="N1154" s="60" t="str">
        <f t="shared" si="8"/>
        <v/>
      </c>
      <c r="O1154" s="61" t="str">
        <f t="shared" si="9"/>
        <v/>
      </c>
      <c r="P1154" s="56" t="str">
        <f t="shared" si="10"/>
        <v/>
      </c>
      <c r="Q1154" s="67"/>
      <c r="R1154" s="10"/>
      <c r="S1154" s="59" t="str">
        <f t="array" ref="S1154">IF(COUNTA(Q1154:Q1673)=0,"",SUM((COUNTIF(Q$4:Q1154,Upgrades!$B$3:$B$13)-COUNTIF(Q$4:Q1154,"Sell_"&amp;Upgrades!$B$3:$B$13))*Upgrades!$D$3:$D$13))</f>
        <v/>
      </c>
      <c r="T1154" s="66" t="str">
        <f>IFERROR(__xludf.DUMMYFUNCTION("IF(COUNTA(Q1154:Q1673)=0,"""",IF(REGEXMATCH(INDEX(FILTER(Q$4:Q1154,Q$4:Q1154&lt;&gt;""""),ROWS(FILTER(Q$4:Q1154,Q$4:Q1154&lt;&gt;""""))),""^Sell_""),INDEX(FILTER(T$4:T1153,Q$4:Q1153&lt;&gt;""""),ROWS(FILTER(Q$4:Q1153,Q$4:Q1153&lt;&gt;""""))),$AD$5+S1154))"),"")</f>
        <v/>
      </c>
      <c r="U1154" s="10" t="str">
        <f>IFERROR(__xludf.DUMMYFUNCTION("IF(COUNTA(Q1154:Q1673)=0,"""",IF(Q1154="""",0,IF(REGEXMATCH(Q1154,""^Sell_""),-ROUNDDOWN(ROUNDUP(INDEX(Upgrades!$C$3:$C$13,MATCH(SUBSTITUTE(Q1154,""Sell_"",""""),Upgrades!$B$3:$B$13,0))*1.15^(COUNTIF(Q$4:Q1153,SUBSTITUTE(Q1154,""Sell_"",""""))-COUNTIF(Q$4"&amp;":Q1153,""Sell_""&amp;SUBSTITUTE(Q1154,""Sell_"",""""))))/2),ROUNDUP(INDEX(Upgrades!$C$3:$C$13,MATCH(Q1154,Upgrades!$B$3:$B$13,0))*1.15^(COUNTIF(Q$4:Q1153,Q1154)-COUNTIF(Q$4:Q1153,""Sell_""&amp;Q1154))))))"),"")</f>
        <v/>
      </c>
      <c r="V1154" s="10" t="str">
        <f t="shared" si="11"/>
        <v/>
      </c>
      <c r="W1154" s="68" t="str">
        <f t="shared" si="12"/>
        <v/>
      </c>
      <c r="X1154" s="59" t="str">
        <f t="shared" si="13"/>
        <v/>
      </c>
      <c r="Y1154" s="69" t="str">
        <f t="shared" si="14"/>
        <v/>
      </c>
      <c r="Z1154" s="11"/>
    </row>
    <row r="1155">
      <c r="A1155" s="8"/>
      <c r="B1155" s="56" t="str">
        <f t="shared" si="2"/>
        <v/>
      </c>
      <c r="C1155" s="105"/>
      <c r="D1155" s="10"/>
      <c r="E1155" s="59" t="str">
        <f t="array" ref="E1155">IF(COUNTA(C1155:C1673)=0,"",SUM((COUNTIF(C$4:C1155,Upgrades!$B$3:$B$13)-COUNTIF(C$4:C1155,"Sell_"&amp;Upgrades!$B$3:$B$13))*Upgrades!$D$3:$D$13))</f>
        <v/>
      </c>
      <c r="F1155" s="66" t="str">
        <f>IFERROR(__xludf.DUMMYFUNCTION("IF(COUNTA(C1155:C1673)=0,"""",IF(REGEXMATCH(INDEX(FILTER(C$4:C1155,C$4:C1155&lt;&gt;""""),ROWS(FILTER(C$4:C1155,C$4:C1155&lt;&gt;""""))),""^Sell_""),INDEX(FILTER(F$4:F1154,C$4:C1154&lt;&gt;""""),ROWS(FILTER(C$4:C1154,C$4:C1154&lt;&gt;""""))),$AC$5+E1155))"),"")</f>
        <v/>
      </c>
      <c r="G1155" s="10" t="str">
        <f>IFERROR(__xludf.DUMMYFUNCTION("IF(COUNTA(C1155:C1673)=0,"""",IF(C1155="""",0,IF(REGEXMATCH(C1155,""^Sell_""),-ROUNDDOWN(ROUNDUP(INDEX(Upgrades!$C$3:$C$13,MATCH(SUBSTITUTE(C1155,""Sell_"",""""),Upgrades!$B$3:$B$13,0))*1.15^(COUNTIF(C$4:C1154,SUBSTITUTE(C1155,""Sell_"",""""))-COUNTIF(C$4"&amp;":C1154,""Sell_""&amp;SUBSTITUTE(C1155,""Sell_"",""""))))/2),ROUNDUP(INDEX(Upgrades!$C$3:$C$13,MATCH(C1155,Upgrades!$B$3:$B$13,0))*1.15^(COUNTIF(C$4:C1154,C1155)-COUNTIF(C$4:C1154,""Sell_""&amp;C1155))))))"),"")</f>
        <v/>
      </c>
      <c r="H1155" s="10" t="str">
        <f t="shared" si="3"/>
        <v/>
      </c>
      <c r="I1155" s="68" t="str">
        <f t="shared" si="4"/>
        <v/>
      </c>
      <c r="J1155" s="59" t="str">
        <f t="shared" si="5"/>
        <v/>
      </c>
      <c r="K1155" s="69" t="str">
        <f t="shared" si="6"/>
        <v/>
      </c>
      <c r="L1155" s="60" t="str">
        <f t="shared" si="7"/>
        <v/>
      </c>
      <c r="M1155" s="61" t="str">
        <f>IFERROR(__xludf.DUMMYFUNCTION("IFS(AND(COUNTA(C1155:C1673)=0,COUNTA(Q1155:Q1673)=0),"""",OR(AND(K1155&gt;=1000000000,OR(Y1155&gt;=1000000000,COUNTA(Q1155:Q1673)=0)),OR(Y1155&gt;=1000000000,AND(COUNTA(C1155:C1673)=0,P$3=TRUE))),
ROUNDDOWN((AB$1-AC$1)*MAX(INDEX(T$4:T1673,MATCH(LARGE(FILTER(Y$4:Y1"&amp;"673,Y$4:Y1673&lt;1000000000),1),Y$4:Y1673)),INDEX(F$4:F1673,MATCH(LARGE(FILTER(K$4:K1673,K$4:K1673&lt;1000000000),1),K$4:K1673)))),AND(K1155&lt;1000000000,COUNTA(C1155:C1673)&gt;0,P$3=FALSE),
ROUNDDOWN(INDEX(Y$4:Y1673,MATCH(LARGE(FILTER(W$4:W1673,W$4:W1673&lt;=I1155),1)"&amp;",W$4:W1673))+(I1155-LARGE(FILTER(W$4:W1673,W$4:W1673&lt;=I1155),1))*INDEX(T$4:T1673,MATCH(LARGE(FILTER(W$4:W1673,W$4:W1673&lt;=I1155),1),W$4:W1673))-K1155),1,
ROUNDDOWN(Y1155-INDEX(K$4:K1673,MATCH(LARGE(FILTER(I$4:I1673,I$4:I1673&lt;=W1155),1),I$4:I1673))-(W1155-L"&amp;"ARGE(FILTER(I$4:I1673,I$4:I1673&lt;=W1155),1))*INDEX(F$4:F1673,MATCH(LARGE(FILTER(I$4:I1673,I$4:I1673&lt;=W1155),1),I$4:I1673))))"),"")</f>
        <v/>
      </c>
      <c r="N1155" s="60" t="str">
        <f t="shared" si="8"/>
        <v/>
      </c>
      <c r="O1155" s="61" t="str">
        <f t="shared" si="9"/>
        <v/>
      </c>
      <c r="P1155" s="56" t="str">
        <f t="shared" si="10"/>
        <v/>
      </c>
      <c r="Q1155" s="67"/>
      <c r="R1155" s="10"/>
      <c r="S1155" s="59" t="str">
        <f t="array" ref="S1155">IF(COUNTA(Q1155:Q1673)=0,"",SUM((COUNTIF(Q$4:Q1155,Upgrades!$B$3:$B$13)-COUNTIF(Q$4:Q1155,"Sell_"&amp;Upgrades!$B$3:$B$13))*Upgrades!$D$3:$D$13))</f>
        <v/>
      </c>
      <c r="T1155" s="66" t="str">
        <f>IFERROR(__xludf.DUMMYFUNCTION("IF(COUNTA(Q1155:Q1673)=0,"""",IF(REGEXMATCH(INDEX(FILTER(Q$4:Q1155,Q$4:Q1155&lt;&gt;""""),ROWS(FILTER(Q$4:Q1155,Q$4:Q1155&lt;&gt;""""))),""^Sell_""),INDEX(FILTER(T$4:T1154,Q$4:Q1154&lt;&gt;""""),ROWS(FILTER(Q$4:Q1154,Q$4:Q1154&lt;&gt;""""))),$AD$5+S1155))"),"")</f>
        <v/>
      </c>
      <c r="U1155" s="10" t="str">
        <f>IFERROR(__xludf.DUMMYFUNCTION("IF(COUNTA(Q1155:Q1673)=0,"""",IF(Q1155="""",0,IF(REGEXMATCH(Q1155,""^Sell_""),-ROUNDDOWN(ROUNDUP(INDEX(Upgrades!$C$3:$C$13,MATCH(SUBSTITUTE(Q1155,""Sell_"",""""),Upgrades!$B$3:$B$13,0))*1.15^(COUNTIF(Q$4:Q1154,SUBSTITUTE(Q1155,""Sell_"",""""))-COUNTIF(Q$4"&amp;":Q1154,""Sell_""&amp;SUBSTITUTE(Q1155,""Sell_"",""""))))/2),ROUNDUP(INDEX(Upgrades!$C$3:$C$13,MATCH(Q1155,Upgrades!$B$3:$B$13,0))*1.15^(COUNTIF(Q$4:Q1154,Q1155)-COUNTIF(Q$4:Q1154,""Sell_""&amp;Q1155))))))"),"")</f>
        <v/>
      </c>
      <c r="V1155" s="10" t="str">
        <f t="shared" si="11"/>
        <v/>
      </c>
      <c r="W1155" s="68" t="str">
        <f t="shared" si="12"/>
        <v/>
      </c>
      <c r="X1155" s="59" t="str">
        <f t="shared" si="13"/>
        <v/>
      </c>
      <c r="Y1155" s="69" t="str">
        <f t="shared" si="14"/>
        <v/>
      </c>
      <c r="Z1155" s="11"/>
    </row>
    <row r="1156">
      <c r="A1156" s="8"/>
      <c r="B1156" s="56" t="str">
        <f t="shared" si="2"/>
        <v/>
      </c>
      <c r="C1156" s="105"/>
      <c r="D1156" s="10"/>
      <c r="E1156" s="59" t="str">
        <f t="array" ref="E1156">IF(COUNTA(C1156:C1673)=0,"",SUM((COUNTIF(C$4:C1156,Upgrades!$B$3:$B$13)-COUNTIF(C$4:C1156,"Sell_"&amp;Upgrades!$B$3:$B$13))*Upgrades!$D$3:$D$13))</f>
        <v/>
      </c>
      <c r="F1156" s="66" t="str">
        <f>IFERROR(__xludf.DUMMYFUNCTION("IF(COUNTA(C1156:C1673)=0,"""",IF(REGEXMATCH(INDEX(FILTER(C$4:C1156,C$4:C1156&lt;&gt;""""),ROWS(FILTER(C$4:C1156,C$4:C1156&lt;&gt;""""))),""^Sell_""),INDEX(FILTER(F$4:F1155,C$4:C1155&lt;&gt;""""),ROWS(FILTER(C$4:C1155,C$4:C1155&lt;&gt;""""))),$AC$5+E1156))"),"")</f>
        <v/>
      </c>
      <c r="G1156" s="10" t="str">
        <f>IFERROR(__xludf.DUMMYFUNCTION("IF(COUNTA(C1156:C1673)=0,"""",IF(C1156="""",0,IF(REGEXMATCH(C1156,""^Sell_""),-ROUNDDOWN(ROUNDUP(INDEX(Upgrades!$C$3:$C$13,MATCH(SUBSTITUTE(C1156,""Sell_"",""""),Upgrades!$B$3:$B$13,0))*1.15^(COUNTIF(C$4:C1155,SUBSTITUTE(C1156,""Sell_"",""""))-COUNTIF(C$4"&amp;":C1155,""Sell_""&amp;SUBSTITUTE(C1156,""Sell_"",""""))))/2),ROUNDUP(INDEX(Upgrades!$C$3:$C$13,MATCH(C1156,Upgrades!$B$3:$B$13,0))*1.15^(COUNTIF(C$4:C1155,C1156)-COUNTIF(C$4:C1155,""Sell_""&amp;C1156))))))"),"")</f>
        <v/>
      </c>
      <c r="H1156" s="10" t="str">
        <f t="shared" si="3"/>
        <v/>
      </c>
      <c r="I1156" s="68" t="str">
        <f t="shared" si="4"/>
        <v/>
      </c>
      <c r="J1156" s="59" t="str">
        <f t="shared" si="5"/>
        <v/>
      </c>
      <c r="K1156" s="69" t="str">
        <f t="shared" si="6"/>
        <v/>
      </c>
      <c r="L1156" s="60" t="str">
        <f t="shared" si="7"/>
        <v/>
      </c>
      <c r="M1156" s="61" t="str">
        <f>IFERROR(__xludf.DUMMYFUNCTION("IFS(AND(COUNTA(C1156:C1673)=0,COUNTA(Q1156:Q1673)=0),"""",OR(AND(K1156&gt;=1000000000,OR(Y1156&gt;=1000000000,COUNTA(Q1156:Q1673)=0)),OR(Y1156&gt;=1000000000,AND(COUNTA(C1156:C1673)=0,P$3=TRUE))),
ROUNDDOWN((AB$1-AC$1)*MAX(INDEX(T$4:T1673,MATCH(LARGE(FILTER(Y$4:Y1"&amp;"673,Y$4:Y1673&lt;1000000000),1),Y$4:Y1673)),INDEX(F$4:F1673,MATCH(LARGE(FILTER(K$4:K1673,K$4:K1673&lt;1000000000),1),K$4:K1673)))),AND(K1156&lt;1000000000,COUNTA(C1156:C1673)&gt;0,P$3=FALSE),
ROUNDDOWN(INDEX(Y$4:Y1673,MATCH(LARGE(FILTER(W$4:W1673,W$4:W1673&lt;=I1156),1)"&amp;",W$4:W1673))+(I1156-LARGE(FILTER(W$4:W1673,W$4:W1673&lt;=I1156),1))*INDEX(T$4:T1673,MATCH(LARGE(FILTER(W$4:W1673,W$4:W1673&lt;=I1156),1),W$4:W1673))-K1156),1,
ROUNDDOWN(Y1156-INDEX(K$4:K1673,MATCH(LARGE(FILTER(I$4:I1673,I$4:I1673&lt;=W1156),1),I$4:I1673))-(W1156-L"&amp;"ARGE(FILTER(I$4:I1673,I$4:I1673&lt;=W1156),1))*INDEX(F$4:F1673,MATCH(LARGE(FILTER(I$4:I1673,I$4:I1673&lt;=W1156),1),I$4:I1673))))"),"")</f>
        <v/>
      </c>
      <c r="N1156" s="60" t="str">
        <f t="shared" si="8"/>
        <v/>
      </c>
      <c r="O1156" s="61" t="str">
        <f t="shared" si="9"/>
        <v/>
      </c>
      <c r="P1156" s="56" t="str">
        <f t="shared" si="10"/>
        <v/>
      </c>
      <c r="Q1156" s="67"/>
      <c r="R1156" s="10"/>
      <c r="S1156" s="59" t="str">
        <f t="array" ref="S1156">IF(COUNTA(Q1156:Q1673)=0,"",SUM((COUNTIF(Q$4:Q1156,Upgrades!$B$3:$B$13)-COUNTIF(Q$4:Q1156,"Sell_"&amp;Upgrades!$B$3:$B$13))*Upgrades!$D$3:$D$13))</f>
        <v/>
      </c>
      <c r="T1156" s="66" t="str">
        <f>IFERROR(__xludf.DUMMYFUNCTION("IF(COUNTA(Q1156:Q1673)=0,"""",IF(REGEXMATCH(INDEX(FILTER(Q$4:Q1156,Q$4:Q1156&lt;&gt;""""),ROWS(FILTER(Q$4:Q1156,Q$4:Q1156&lt;&gt;""""))),""^Sell_""),INDEX(FILTER(T$4:T1155,Q$4:Q1155&lt;&gt;""""),ROWS(FILTER(Q$4:Q1155,Q$4:Q1155&lt;&gt;""""))),$AD$5+S1156))"),"")</f>
        <v/>
      </c>
      <c r="U1156" s="10" t="str">
        <f>IFERROR(__xludf.DUMMYFUNCTION("IF(COUNTA(Q1156:Q1673)=0,"""",IF(Q1156="""",0,IF(REGEXMATCH(Q1156,""^Sell_""),-ROUNDDOWN(ROUNDUP(INDEX(Upgrades!$C$3:$C$13,MATCH(SUBSTITUTE(Q1156,""Sell_"",""""),Upgrades!$B$3:$B$13,0))*1.15^(COUNTIF(Q$4:Q1155,SUBSTITUTE(Q1156,""Sell_"",""""))-COUNTIF(Q$4"&amp;":Q1155,""Sell_""&amp;SUBSTITUTE(Q1156,""Sell_"",""""))))/2),ROUNDUP(INDEX(Upgrades!$C$3:$C$13,MATCH(Q1156,Upgrades!$B$3:$B$13,0))*1.15^(COUNTIF(Q$4:Q1155,Q1156)-COUNTIF(Q$4:Q1155,""Sell_""&amp;Q1156))))))"),"")</f>
        <v/>
      </c>
      <c r="V1156" s="10" t="str">
        <f t="shared" si="11"/>
        <v/>
      </c>
      <c r="W1156" s="68" t="str">
        <f t="shared" si="12"/>
        <v/>
      </c>
      <c r="X1156" s="59" t="str">
        <f t="shared" si="13"/>
        <v/>
      </c>
      <c r="Y1156" s="69" t="str">
        <f t="shared" si="14"/>
        <v/>
      </c>
      <c r="Z1156" s="11"/>
    </row>
    <row r="1157">
      <c r="A1157" s="8"/>
      <c r="B1157" s="56" t="str">
        <f t="shared" si="2"/>
        <v/>
      </c>
      <c r="C1157" s="105"/>
      <c r="D1157" s="10"/>
      <c r="E1157" s="59" t="str">
        <f t="array" ref="E1157">IF(COUNTA(C1157:C1673)=0,"",SUM((COUNTIF(C$4:C1157,Upgrades!$B$3:$B$13)-COUNTIF(C$4:C1157,"Sell_"&amp;Upgrades!$B$3:$B$13))*Upgrades!$D$3:$D$13))</f>
        <v/>
      </c>
      <c r="F1157" s="66" t="str">
        <f>IFERROR(__xludf.DUMMYFUNCTION("IF(COUNTA(C1157:C1673)=0,"""",IF(REGEXMATCH(INDEX(FILTER(C$4:C1157,C$4:C1157&lt;&gt;""""),ROWS(FILTER(C$4:C1157,C$4:C1157&lt;&gt;""""))),""^Sell_""),INDEX(FILTER(F$4:F1156,C$4:C1156&lt;&gt;""""),ROWS(FILTER(C$4:C1156,C$4:C1156&lt;&gt;""""))),$AC$5+E1157))"),"")</f>
        <v/>
      </c>
      <c r="G1157" s="10" t="str">
        <f>IFERROR(__xludf.DUMMYFUNCTION("IF(COUNTA(C1157:C1673)=0,"""",IF(C1157="""",0,IF(REGEXMATCH(C1157,""^Sell_""),-ROUNDDOWN(ROUNDUP(INDEX(Upgrades!$C$3:$C$13,MATCH(SUBSTITUTE(C1157,""Sell_"",""""),Upgrades!$B$3:$B$13,0))*1.15^(COUNTIF(C$4:C1156,SUBSTITUTE(C1157,""Sell_"",""""))-COUNTIF(C$4"&amp;":C1156,""Sell_""&amp;SUBSTITUTE(C1157,""Sell_"",""""))))/2),ROUNDUP(INDEX(Upgrades!$C$3:$C$13,MATCH(C1157,Upgrades!$B$3:$B$13,0))*1.15^(COUNTIF(C$4:C1156,C1157)-COUNTIF(C$4:C1156,""Sell_""&amp;C1157))))))"),"")</f>
        <v/>
      </c>
      <c r="H1157" s="10" t="str">
        <f t="shared" si="3"/>
        <v/>
      </c>
      <c r="I1157" s="68" t="str">
        <f t="shared" si="4"/>
        <v/>
      </c>
      <c r="J1157" s="59" t="str">
        <f t="shared" si="5"/>
        <v/>
      </c>
      <c r="K1157" s="69" t="str">
        <f t="shared" si="6"/>
        <v/>
      </c>
      <c r="L1157" s="60" t="str">
        <f t="shared" si="7"/>
        <v/>
      </c>
      <c r="M1157" s="61" t="str">
        <f>IFERROR(__xludf.DUMMYFUNCTION("IFS(AND(COUNTA(C1157:C1673)=0,COUNTA(Q1157:Q1673)=0),"""",OR(AND(K1157&gt;=1000000000,OR(Y1157&gt;=1000000000,COUNTA(Q1157:Q1673)=0)),OR(Y1157&gt;=1000000000,AND(COUNTA(C1157:C1673)=0,P$3=TRUE))),
ROUNDDOWN((AB$1-AC$1)*MAX(INDEX(T$4:T1673,MATCH(LARGE(FILTER(Y$4:Y1"&amp;"673,Y$4:Y1673&lt;1000000000),1),Y$4:Y1673)),INDEX(F$4:F1673,MATCH(LARGE(FILTER(K$4:K1673,K$4:K1673&lt;1000000000),1),K$4:K1673)))),AND(K1157&lt;1000000000,COUNTA(C1157:C1673)&gt;0,P$3=FALSE),
ROUNDDOWN(INDEX(Y$4:Y1673,MATCH(LARGE(FILTER(W$4:W1673,W$4:W1673&lt;=I1157),1)"&amp;",W$4:W1673))+(I1157-LARGE(FILTER(W$4:W1673,W$4:W1673&lt;=I1157),1))*INDEX(T$4:T1673,MATCH(LARGE(FILTER(W$4:W1673,W$4:W1673&lt;=I1157),1),W$4:W1673))-K1157),1,
ROUNDDOWN(Y1157-INDEX(K$4:K1673,MATCH(LARGE(FILTER(I$4:I1673,I$4:I1673&lt;=W1157),1),I$4:I1673))-(W1157-L"&amp;"ARGE(FILTER(I$4:I1673,I$4:I1673&lt;=W1157),1))*INDEX(F$4:F1673,MATCH(LARGE(FILTER(I$4:I1673,I$4:I1673&lt;=W1157),1),I$4:I1673))))"),"")</f>
        <v/>
      </c>
      <c r="N1157" s="60" t="str">
        <f t="shared" si="8"/>
        <v/>
      </c>
      <c r="O1157" s="61" t="str">
        <f t="shared" si="9"/>
        <v/>
      </c>
      <c r="P1157" s="56" t="str">
        <f t="shared" si="10"/>
        <v/>
      </c>
      <c r="Q1157" s="67"/>
      <c r="R1157" s="10"/>
      <c r="S1157" s="59" t="str">
        <f t="array" ref="S1157">IF(COUNTA(Q1157:Q1673)=0,"",SUM((COUNTIF(Q$4:Q1157,Upgrades!$B$3:$B$13)-COUNTIF(Q$4:Q1157,"Sell_"&amp;Upgrades!$B$3:$B$13))*Upgrades!$D$3:$D$13))</f>
        <v/>
      </c>
      <c r="T1157" s="66" t="str">
        <f>IFERROR(__xludf.DUMMYFUNCTION("IF(COUNTA(Q1157:Q1673)=0,"""",IF(REGEXMATCH(INDEX(FILTER(Q$4:Q1157,Q$4:Q1157&lt;&gt;""""),ROWS(FILTER(Q$4:Q1157,Q$4:Q1157&lt;&gt;""""))),""^Sell_""),INDEX(FILTER(T$4:T1156,Q$4:Q1156&lt;&gt;""""),ROWS(FILTER(Q$4:Q1156,Q$4:Q1156&lt;&gt;""""))),$AD$5+S1157))"),"")</f>
        <v/>
      </c>
      <c r="U1157" s="10" t="str">
        <f>IFERROR(__xludf.DUMMYFUNCTION("IF(COUNTA(Q1157:Q1673)=0,"""",IF(Q1157="""",0,IF(REGEXMATCH(Q1157,""^Sell_""),-ROUNDDOWN(ROUNDUP(INDEX(Upgrades!$C$3:$C$13,MATCH(SUBSTITUTE(Q1157,""Sell_"",""""),Upgrades!$B$3:$B$13,0))*1.15^(COUNTIF(Q$4:Q1156,SUBSTITUTE(Q1157,""Sell_"",""""))-COUNTIF(Q$4"&amp;":Q1156,""Sell_""&amp;SUBSTITUTE(Q1157,""Sell_"",""""))))/2),ROUNDUP(INDEX(Upgrades!$C$3:$C$13,MATCH(Q1157,Upgrades!$B$3:$B$13,0))*1.15^(COUNTIF(Q$4:Q1156,Q1157)-COUNTIF(Q$4:Q1156,""Sell_""&amp;Q1157))))))"),"")</f>
        <v/>
      </c>
      <c r="V1157" s="10" t="str">
        <f t="shared" si="11"/>
        <v/>
      </c>
      <c r="W1157" s="68" t="str">
        <f t="shared" si="12"/>
        <v/>
      </c>
      <c r="X1157" s="59" t="str">
        <f t="shared" si="13"/>
        <v/>
      </c>
      <c r="Y1157" s="69" t="str">
        <f t="shared" si="14"/>
        <v/>
      </c>
      <c r="Z1157" s="11"/>
    </row>
    <row r="1158">
      <c r="A1158" s="8"/>
      <c r="B1158" s="56" t="str">
        <f t="shared" si="2"/>
        <v/>
      </c>
      <c r="C1158" s="105"/>
      <c r="D1158" s="10"/>
      <c r="E1158" s="59" t="str">
        <f t="array" ref="E1158">IF(COUNTA(C1158:C1673)=0,"",SUM((COUNTIF(C$4:C1158,Upgrades!$B$3:$B$13)-COUNTIF(C$4:C1158,"Sell_"&amp;Upgrades!$B$3:$B$13))*Upgrades!$D$3:$D$13))</f>
        <v/>
      </c>
      <c r="F1158" s="66" t="str">
        <f>IFERROR(__xludf.DUMMYFUNCTION("IF(COUNTA(C1158:C1673)=0,"""",IF(REGEXMATCH(INDEX(FILTER(C$4:C1158,C$4:C1158&lt;&gt;""""),ROWS(FILTER(C$4:C1158,C$4:C1158&lt;&gt;""""))),""^Sell_""),INDEX(FILTER(F$4:F1157,C$4:C1157&lt;&gt;""""),ROWS(FILTER(C$4:C1157,C$4:C1157&lt;&gt;""""))),$AC$5+E1158))"),"")</f>
        <v/>
      </c>
      <c r="G1158" s="10" t="str">
        <f>IFERROR(__xludf.DUMMYFUNCTION("IF(COUNTA(C1158:C1673)=0,"""",IF(C1158="""",0,IF(REGEXMATCH(C1158,""^Sell_""),-ROUNDDOWN(ROUNDUP(INDEX(Upgrades!$C$3:$C$13,MATCH(SUBSTITUTE(C1158,""Sell_"",""""),Upgrades!$B$3:$B$13,0))*1.15^(COUNTIF(C$4:C1157,SUBSTITUTE(C1158,""Sell_"",""""))-COUNTIF(C$4"&amp;":C1157,""Sell_""&amp;SUBSTITUTE(C1158,""Sell_"",""""))))/2),ROUNDUP(INDEX(Upgrades!$C$3:$C$13,MATCH(C1158,Upgrades!$B$3:$B$13,0))*1.15^(COUNTIF(C$4:C1157,C1158)-COUNTIF(C$4:C1157,""Sell_""&amp;C1158))))))"),"")</f>
        <v/>
      </c>
      <c r="H1158" s="10" t="str">
        <f t="shared" si="3"/>
        <v/>
      </c>
      <c r="I1158" s="68" t="str">
        <f t="shared" si="4"/>
        <v/>
      </c>
      <c r="J1158" s="59" t="str">
        <f t="shared" si="5"/>
        <v/>
      </c>
      <c r="K1158" s="69" t="str">
        <f t="shared" si="6"/>
        <v/>
      </c>
      <c r="L1158" s="60" t="str">
        <f t="shared" si="7"/>
        <v/>
      </c>
      <c r="M1158" s="61" t="str">
        <f>IFERROR(__xludf.DUMMYFUNCTION("IFS(AND(COUNTA(C1158:C1673)=0,COUNTA(Q1158:Q1673)=0),"""",OR(AND(K1158&gt;=1000000000,OR(Y1158&gt;=1000000000,COUNTA(Q1158:Q1673)=0)),OR(Y1158&gt;=1000000000,AND(COUNTA(C1158:C1673)=0,P$3=TRUE))),
ROUNDDOWN((AB$1-AC$1)*MAX(INDEX(T$4:T1673,MATCH(LARGE(FILTER(Y$4:Y1"&amp;"673,Y$4:Y1673&lt;1000000000),1),Y$4:Y1673)),INDEX(F$4:F1673,MATCH(LARGE(FILTER(K$4:K1673,K$4:K1673&lt;1000000000),1),K$4:K1673)))),AND(K1158&lt;1000000000,COUNTA(C1158:C1673)&gt;0,P$3=FALSE),
ROUNDDOWN(INDEX(Y$4:Y1673,MATCH(LARGE(FILTER(W$4:W1673,W$4:W1673&lt;=I1158),1)"&amp;",W$4:W1673))+(I1158-LARGE(FILTER(W$4:W1673,W$4:W1673&lt;=I1158),1))*INDEX(T$4:T1673,MATCH(LARGE(FILTER(W$4:W1673,W$4:W1673&lt;=I1158),1),W$4:W1673))-K1158),1,
ROUNDDOWN(Y1158-INDEX(K$4:K1673,MATCH(LARGE(FILTER(I$4:I1673,I$4:I1673&lt;=W1158),1),I$4:I1673))-(W1158-L"&amp;"ARGE(FILTER(I$4:I1673,I$4:I1673&lt;=W1158),1))*INDEX(F$4:F1673,MATCH(LARGE(FILTER(I$4:I1673,I$4:I1673&lt;=W1158),1),I$4:I1673))))"),"")</f>
        <v/>
      </c>
      <c r="N1158" s="60" t="str">
        <f t="shared" si="8"/>
        <v/>
      </c>
      <c r="O1158" s="61" t="str">
        <f t="shared" si="9"/>
        <v/>
      </c>
      <c r="P1158" s="56" t="str">
        <f t="shared" si="10"/>
        <v/>
      </c>
      <c r="Q1158" s="67"/>
      <c r="R1158" s="10"/>
      <c r="S1158" s="59" t="str">
        <f t="array" ref="S1158">IF(COUNTA(Q1158:Q1673)=0,"",SUM((COUNTIF(Q$4:Q1158,Upgrades!$B$3:$B$13)-COUNTIF(Q$4:Q1158,"Sell_"&amp;Upgrades!$B$3:$B$13))*Upgrades!$D$3:$D$13))</f>
        <v/>
      </c>
      <c r="T1158" s="66" t="str">
        <f>IFERROR(__xludf.DUMMYFUNCTION("IF(COUNTA(Q1158:Q1673)=0,"""",IF(REGEXMATCH(INDEX(FILTER(Q$4:Q1158,Q$4:Q1158&lt;&gt;""""),ROWS(FILTER(Q$4:Q1158,Q$4:Q1158&lt;&gt;""""))),""^Sell_""),INDEX(FILTER(T$4:T1157,Q$4:Q1157&lt;&gt;""""),ROWS(FILTER(Q$4:Q1157,Q$4:Q1157&lt;&gt;""""))),$AD$5+S1158))"),"")</f>
        <v/>
      </c>
      <c r="U1158" s="10" t="str">
        <f>IFERROR(__xludf.DUMMYFUNCTION("IF(COUNTA(Q1158:Q1673)=0,"""",IF(Q1158="""",0,IF(REGEXMATCH(Q1158,""^Sell_""),-ROUNDDOWN(ROUNDUP(INDEX(Upgrades!$C$3:$C$13,MATCH(SUBSTITUTE(Q1158,""Sell_"",""""),Upgrades!$B$3:$B$13,0))*1.15^(COUNTIF(Q$4:Q1157,SUBSTITUTE(Q1158,""Sell_"",""""))-COUNTIF(Q$4"&amp;":Q1157,""Sell_""&amp;SUBSTITUTE(Q1158,""Sell_"",""""))))/2),ROUNDUP(INDEX(Upgrades!$C$3:$C$13,MATCH(Q1158,Upgrades!$B$3:$B$13,0))*1.15^(COUNTIF(Q$4:Q1157,Q1158)-COUNTIF(Q$4:Q1157,""Sell_""&amp;Q1158))))))"),"")</f>
        <v/>
      </c>
      <c r="V1158" s="10" t="str">
        <f t="shared" si="11"/>
        <v/>
      </c>
      <c r="W1158" s="68" t="str">
        <f t="shared" si="12"/>
        <v/>
      </c>
      <c r="X1158" s="59" t="str">
        <f t="shared" si="13"/>
        <v/>
      </c>
      <c r="Y1158" s="69" t="str">
        <f t="shared" si="14"/>
        <v/>
      </c>
      <c r="Z1158" s="11"/>
    </row>
    <row r="1159">
      <c r="A1159" s="8"/>
      <c r="B1159" s="56" t="str">
        <f t="shared" si="2"/>
        <v/>
      </c>
      <c r="C1159" s="105"/>
      <c r="D1159" s="10"/>
      <c r="E1159" s="59" t="str">
        <f t="array" ref="E1159">IF(COUNTA(C1159:C1673)=0,"",SUM((COUNTIF(C$4:C1159,Upgrades!$B$3:$B$13)-COUNTIF(C$4:C1159,"Sell_"&amp;Upgrades!$B$3:$B$13))*Upgrades!$D$3:$D$13))</f>
        <v/>
      </c>
      <c r="F1159" s="66" t="str">
        <f>IFERROR(__xludf.DUMMYFUNCTION("IF(COUNTA(C1159:C1673)=0,"""",IF(REGEXMATCH(INDEX(FILTER(C$4:C1159,C$4:C1159&lt;&gt;""""),ROWS(FILTER(C$4:C1159,C$4:C1159&lt;&gt;""""))),""^Sell_""),INDEX(FILTER(F$4:F1158,C$4:C1158&lt;&gt;""""),ROWS(FILTER(C$4:C1158,C$4:C1158&lt;&gt;""""))),$AC$5+E1159))"),"")</f>
        <v/>
      </c>
      <c r="G1159" s="10" t="str">
        <f>IFERROR(__xludf.DUMMYFUNCTION("IF(COUNTA(C1159:C1673)=0,"""",IF(C1159="""",0,IF(REGEXMATCH(C1159,""^Sell_""),-ROUNDDOWN(ROUNDUP(INDEX(Upgrades!$C$3:$C$13,MATCH(SUBSTITUTE(C1159,""Sell_"",""""),Upgrades!$B$3:$B$13,0))*1.15^(COUNTIF(C$4:C1158,SUBSTITUTE(C1159,""Sell_"",""""))-COUNTIF(C$4"&amp;":C1158,""Sell_""&amp;SUBSTITUTE(C1159,""Sell_"",""""))))/2),ROUNDUP(INDEX(Upgrades!$C$3:$C$13,MATCH(C1159,Upgrades!$B$3:$B$13,0))*1.15^(COUNTIF(C$4:C1158,C1159)-COUNTIF(C$4:C1158,""Sell_""&amp;C1159))))))"),"")</f>
        <v/>
      </c>
      <c r="H1159" s="10" t="str">
        <f t="shared" si="3"/>
        <v/>
      </c>
      <c r="I1159" s="68" t="str">
        <f t="shared" si="4"/>
        <v/>
      </c>
      <c r="J1159" s="59" t="str">
        <f t="shared" si="5"/>
        <v/>
      </c>
      <c r="K1159" s="69" t="str">
        <f t="shared" si="6"/>
        <v/>
      </c>
      <c r="L1159" s="60" t="str">
        <f t="shared" si="7"/>
        <v/>
      </c>
      <c r="M1159" s="61" t="str">
        <f>IFERROR(__xludf.DUMMYFUNCTION("IFS(AND(COUNTA(C1159:C1673)=0,COUNTA(Q1159:Q1673)=0),"""",OR(AND(K1159&gt;=1000000000,OR(Y1159&gt;=1000000000,COUNTA(Q1159:Q1673)=0)),OR(Y1159&gt;=1000000000,AND(COUNTA(C1159:C1673)=0,P$3=TRUE))),
ROUNDDOWN((AB$1-AC$1)*MAX(INDEX(T$4:T1673,MATCH(LARGE(FILTER(Y$4:Y1"&amp;"673,Y$4:Y1673&lt;1000000000),1),Y$4:Y1673)),INDEX(F$4:F1673,MATCH(LARGE(FILTER(K$4:K1673,K$4:K1673&lt;1000000000),1),K$4:K1673)))),AND(K1159&lt;1000000000,COUNTA(C1159:C1673)&gt;0,P$3=FALSE),
ROUNDDOWN(INDEX(Y$4:Y1673,MATCH(LARGE(FILTER(W$4:W1673,W$4:W1673&lt;=I1159),1)"&amp;",W$4:W1673))+(I1159-LARGE(FILTER(W$4:W1673,W$4:W1673&lt;=I1159),1))*INDEX(T$4:T1673,MATCH(LARGE(FILTER(W$4:W1673,W$4:W1673&lt;=I1159),1),W$4:W1673))-K1159),1,
ROUNDDOWN(Y1159-INDEX(K$4:K1673,MATCH(LARGE(FILTER(I$4:I1673,I$4:I1673&lt;=W1159),1),I$4:I1673))-(W1159-L"&amp;"ARGE(FILTER(I$4:I1673,I$4:I1673&lt;=W1159),1))*INDEX(F$4:F1673,MATCH(LARGE(FILTER(I$4:I1673,I$4:I1673&lt;=W1159),1),I$4:I1673))))"),"")</f>
        <v/>
      </c>
      <c r="N1159" s="60" t="str">
        <f t="shared" si="8"/>
        <v/>
      </c>
      <c r="O1159" s="61" t="str">
        <f t="shared" si="9"/>
        <v/>
      </c>
      <c r="P1159" s="56" t="str">
        <f t="shared" si="10"/>
        <v/>
      </c>
      <c r="Q1159" s="67"/>
      <c r="R1159" s="10"/>
      <c r="S1159" s="59" t="str">
        <f t="array" ref="S1159">IF(COUNTA(Q1159:Q1673)=0,"",SUM((COUNTIF(Q$4:Q1159,Upgrades!$B$3:$B$13)-COUNTIF(Q$4:Q1159,"Sell_"&amp;Upgrades!$B$3:$B$13))*Upgrades!$D$3:$D$13))</f>
        <v/>
      </c>
      <c r="T1159" s="66" t="str">
        <f>IFERROR(__xludf.DUMMYFUNCTION("IF(COUNTA(Q1159:Q1673)=0,"""",IF(REGEXMATCH(INDEX(FILTER(Q$4:Q1159,Q$4:Q1159&lt;&gt;""""),ROWS(FILTER(Q$4:Q1159,Q$4:Q1159&lt;&gt;""""))),""^Sell_""),INDEX(FILTER(T$4:T1158,Q$4:Q1158&lt;&gt;""""),ROWS(FILTER(Q$4:Q1158,Q$4:Q1158&lt;&gt;""""))),$AD$5+S1159))"),"")</f>
        <v/>
      </c>
      <c r="U1159" s="10" t="str">
        <f>IFERROR(__xludf.DUMMYFUNCTION("IF(COUNTA(Q1159:Q1673)=0,"""",IF(Q1159="""",0,IF(REGEXMATCH(Q1159,""^Sell_""),-ROUNDDOWN(ROUNDUP(INDEX(Upgrades!$C$3:$C$13,MATCH(SUBSTITUTE(Q1159,""Sell_"",""""),Upgrades!$B$3:$B$13,0))*1.15^(COUNTIF(Q$4:Q1158,SUBSTITUTE(Q1159,""Sell_"",""""))-COUNTIF(Q$4"&amp;":Q1158,""Sell_""&amp;SUBSTITUTE(Q1159,""Sell_"",""""))))/2),ROUNDUP(INDEX(Upgrades!$C$3:$C$13,MATCH(Q1159,Upgrades!$B$3:$B$13,0))*1.15^(COUNTIF(Q$4:Q1158,Q1159)-COUNTIF(Q$4:Q1158,""Sell_""&amp;Q1159))))))"),"")</f>
        <v/>
      </c>
      <c r="V1159" s="10" t="str">
        <f t="shared" si="11"/>
        <v/>
      </c>
      <c r="W1159" s="68" t="str">
        <f t="shared" si="12"/>
        <v/>
      </c>
      <c r="X1159" s="59" t="str">
        <f t="shared" si="13"/>
        <v/>
      </c>
      <c r="Y1159" s="69" t="str">
        <f t="shared" si="14"/>
        <v/>
      </c>
      <c r="Z1159" s="11"/>
    </row>
    <row r="1160">
      <c r="A1160" s="8"/>
      <c r="B1160" s="56" t="str">
        <f t="shared" si="2"/>
        <v/>
      </c>
      <c r="C1160" s="105"/>
      <c r="D1160" s="10"/>
      <c r="E1160" s="59" t="str">
        <f t="array" ref="E1160">IF(COUNTA(C1160:C1673)=0,"",SUM((COUNTIF(C$4:C1160,Upgrades!$B$3:$B$13)-COUNTIF(C$4:C1160,"Sell_"&amp;Upgrades!$B$3:$B$13))*Upgrades!$D$3:$D$13))</f>
        <v/>
      </c>
      <c r="F1160" s="66" t="str">
        <f>IFERROR(__xludf.DUMMYFUNCTION("IF(COUNTA(C1160:C1673)=0,"""",IF(REGEXMATCH(INDEX(FILTER(C$4:C1160,C$4:C1160&lt;&gt;""""),ROWS(FILTER(C$4:C1160,C$4:C1160&lt;&gt;""""))),""^Sell_""),INDEX(FILTER(F$4:F1159,C$4:C1159&lt;&gt;""""),ROWS(FILTER(C$4:C1159,C$4:C1159&lt;&gt;""""))),$AC$5+E1160))"),"")</f>
        <v/>
      </c>
      <c r="G1160" s="10" t="str">
        <f>IFERROR(__xludf.DUMMYFUNCTION("IF(COUNTA(C1160:C1673)=0,"""",IF(C1160="""",0,IF(REGEXMATCH(C1160,""^Sell_""),-ROUNDDOWN(ROUNDUP(INDEX(Upgrades!$C$3:$C$13,MATCH(SUBSTITUTE(C1160,""Sell_"",""""),Upgrades!$B$3:$B$13,0))*1.15^(COUNTIF(C$4:C1159,SUBSTITUTE(C1160,""Sell_"",""""))-COUNTIF(C$4"&amp;":C1159,""Sell_""&amp;SUBSTITUTE(C1160,""Sell_"",""""))))/2),ROUNDUP(INDEX(Upgrades!$C$3:$C$13,MATCH(C1160,Upgrades!$B$3:$B$13,0))*1.15^(COUNTIF(C$4:C1159,C1160)-COUNTIF(C$4:C1159,""Sell_""&amp;C1160))))))"),"")</f>
        <v/>
      </c>
      <c r="H1160" s="10" t="str">
        <f t="shared" si="3"/>
        <v/>
      </c>
      <c r="I1160" s="68" t="str">
        <f t="shared" si="4"/>
        <v/>
      </c>
      <c r="J1160" s="59" t="str">
        <f t="shared" si="5"/>
        <v/>
      </c>
      <c r="K1160" s="69" t="str">
        <f t="shared" si="6"/>
        <v/>
      </c>
      <c r="L1160" s="60" t="str">
        <f t="shared" si="7"/>
        <v/>
      </c>
      <c r="M1160" s="61" t="str">
        <f>IFERROR(__xludf.DUMMYFUNCTION("IFS(AND(COUNTA(C1160:C1673)=0,COUNTA(Q1160:Q1673)=0),"""",OR(AND(K1160&gt;=1000000000,OR(Y1160&gt;=1000000000,COUNTA(Q1160:Q1673)=0)),OR(Y1160&gt;=1000000000,AND(COUNTA(C1160:C1673)=0,P$3=TRUE))),
ROUNDDOWN((AB$1-AC$1)*MAX(INDEX(T$4:T1673,MATCH(LARGE(FILTER(Y$4:Y1"&amp;"673,Y$4:Y1673&lt;1000000000),1),Y$4:Y1673)),INDEX(F$4:F1673,MATCH(LARGE(FILTER(K$4:K1673,K$4:K1673&lt;1000000000),1),K$4:K1673)))),AND(K1160&lt;1000000000,COUNTA(C1160:C1673)&gt;0,P$3=FALSE),
ROUNDDOWN(INDEX(Y$4:Y1673,MATCH(LARGE(FILTER(W$4:W1673,W$4:W1673&lt;=I1160),1)"&amp;",W$4:W1673))+(I1160-LARGE(FILTER(W$4:W1673,W$4:W1673&lt;=I1160),1))*INDEX(T$4:T1673,MATCH(LARGE(FILTER(W$4:W1673,W$4:W1673&lt;=I1160),1),W$4:W1673))-K1160),1,
ROUNDDOWN(Y1160-INDEX(K$4:K1673,MATCH(LARGE(FILTER(I$4:I1673,I$4:I1673&lt;=W1160),1),I$4:I1673))-(W1160-L"&amp;"ARGE(FILTER(I$4:I1673,I$4:I1673&lt;=W1160),1))*INDEX(F$4:F1673,MATCH(LARGE(FILTER(I$4:I1673,I$4:I1673&lt;=W1160),1),I$4:I1673))))"),"")</f>
        <v/>
      </c>
      <c r="N1160" s="60" t="str">
        <f t="shared" si="8"/>
        <v/>
      </c>
      <c r="O1160" s="61" t="str">
        <f t="shared" si="9"/>
        <v/>
      </c>
      <c r="P1160" s="56" t="str">
        <f t="shared" si="10"/>
        <v/>
      </c>
      <c r="Q1160" s="67"/>
      <c r="R1160" s="10"/>
      <c r="S1160" s="59" t="str">
        <f t="array" ref="S1160">IF(COUNTA(Q1160:Q1673)=0,"",SUM((COUNTIF(Q$4:Q1160,Upgrades!$B$3:$B$13)-COUNTIF(Q$4:Q1160,"Sell_"&amp;Upgrades!$B$3:$B$13))*Upgrades!$D$3:$D$13))</f>
        <v/>
      </c>
      <c r="T1160" s="66" t="str">
        <f>IFERROR(__xludf.DUMMYFUNCTION("IF(COUNTA(Q1160:Q1673)=0,"""",IF(REGEXMATCH(INDEX(FILTER(Q$4:Q1160,Q$4:Q1160&lt;&gt;""""),ROWS(FILTER(Q$4:Q1160,Q$4:Q1160&lt;&gt;""""))),""^Sell_""),INDEX(FILTER(T$4:T1159,Q$4:Q1159&lt;&gt;""""),ROWS(FILTER(Q$4:Q1159,Q$4:Q1159&lt;&gt;""""))),$AD$5+S1160))"),"")</f>
        <v/>
      </c>
      <c r="U1160" s="10" t="str">
        <f>IFERROR(__xludf.DUMMYFUNCTION("IF(COUNTA(Q1160:Q1673)=0,"""",IF(Q1160="""",0,IF(REGEXMATCH(Q1160,""^Sell_""),-ROUNDDOWN(ROUNDUP(INDEX(Upgrades!$C$3:$C$13,MATCH(SUBSTITUTE(Q1160,""Sell_"",""""),Upgrades!$B$3:$B$13,0))*1.15^(COUNTIF(Q$4:Q1159,SUBSTITUTE(Q1160,""Sell_"",""""))-COUNTIF(Q$4"&amp;":Q1159,""Sell_""&amp;SUBSTITUTE(Q1160,""Sell_"",""""))))/2),ROUNDUP(INDEX(Upgrades!$C$3:$C$13,MATCH(Q1160,Upgrades!$B$3:$B$13,0))*1.15^(COUNTIF(Q$4:Q1159,Q1160)-COUNTIF(Q$4:Q1159,""Sell_""&amp;Q1160))))))"),"")</f>
        <v/>
      </c>
      <c r="V1160" s="10" t="str">
        <f t="shared" si="11"/>
        <v/>
      </c>
      <c r="W1160" s="68" t="str">
        <f t="shared" si="12"/>
        <v/>
      </c>
      <c r="X1160" s="59" t="str">
        <f t="shared" si="13"/>
        <v/>
      </c>
      <c r="Y1160" s="69" t="str">
        <f t="shared" si="14"/>
        <v/>
      </c>
      <c r="Z1160" s="11"/>
    </row>
    <row r="1161">
      <c r="A1161" s="8"/>
      <c r="B1161" s="56" t="str">
        <f t="shared" si="2"/>
        <v/>
      </c>
      <c r="C1161" s="105"/>
      <c r="D1161" s="10"/>
      <c r="E1161" s="59" t="str">
        <f t="array" ref="E1161">IF(COUNTA(C1161:C1673)=0,"",SUM((COUNTIF(C$4:C1161,Upgrades!$B$3:$B$13)-COUNTIF(C$4:C1161,"Sell_"&amp;Upgrades!$B$3:$B$13))*Upgrades!$D$3:$D$13))</f>
        <v/>
      </c>
      <c r="F1161" s="66" t="str">
        <f>IFERROR(__xludf.DUMMYFUNCTION("IF(COUNTA(C1161:C1673)=0,"""",IF(REGEXMATCH(INDEX(FILTER(C$4:C1161,C$4:C1161&lt;&gt;""""),ROWS(FILTER(C$4:C1161,C$4:C1161&lt;&gt;""""))),""^Sell_""),INDEX(FILTER(F$4:F1160,C$4:C1160&lt;&gt;""""),ROWS(FILTER(C$4:C1160,C$4:C1160&lt;&gt;""""))),$AC$5+E1161))"),"")</f>
        <v/>
      </c>
      <c r="G1161" s="10" t="str">
        <f>IFERROR(__xludf.DUMMYFUNCTION("IF(COUNTA(C1161:C1673)=0,"""",IF(C1161="""",0,IF(REGEXMATCH(C1161,""^Sell_""),-ROUNDDOWN(ROUNDUP(INDEX(Upgrades!$C$3:$C$13,MATCH(SUBSTITUTE(C1161,""Sell_"",""""),Upgrades!$B$3:$B$13,0))*1.15^(COUNTIF(C$4:C1160,SUBSTITUTE(C1161,""Sell_"",""""))-COUNTIF(C$4"&amp;":C1160,""Sell_""&amp;SUBSTITUTE(C1161,""Sell_"",""""))))/2),ROUNDUP(INDEX(Upgrades!$C$3:$C$13,MATCH(C1161,Upgrades!$B$3:$B$13,0))*1.15^(COUNTIF(C$4:C1160,C1161)-COUNTIF(C$4:C1160,""Sell_""&amp;C1161))))))"),"")</f>
        <v/>
      </c>
      <c r="H1161" s="10" t="str">
        <f t="shared" si="3"/>
        <v/>
      </c>
      <c r="I1161" s="68" t="str">
        <f t="shared" si="4"/>
        <v/>
      </c>
      <c r="J1161" s="59" t="str">
        <f t="shared" si="5"/>
        <v/>
      </c>
      <c r="K1161" s="69" t="str">
        <f t="shared" si="6"/>
        <v/>
      </c>
      <c r="L1161" s="60" t="str">
        <f t="shared" si="7"/>
        <v/>
      </c>
      <c r="M1161" s="61" t="str">
        <f>IFERROR(__xludf.DUMMYFUNCTION("IFS(AND(COUNTA(C1161:C1673)=0,COUNTA(Q1161:Q1673)=0),"""",OR(AND(K1161&gt;=1000000000,OR(Y1161&gt;=1000000000,COUNTA(Q1161:Q1673)=0)),OR(Y1161&gt;=1000000000,AND(COUNTA(C1161:C1673)=0,P$3=TRUE))),
ROUNDDOWN((AB$1-AC$1)*MAX(INDEX(T$4:T1673,MATCH(LARGE(FILTER(Y$4:Y1"&amp;"673,Y$4:Y1673&lt;1000000000),1),Y$4:Y1673)),INDEX(F$4:F1673,MATCH(LARGE(FILTER(K$4:K1673,K$4:K1673&lt;1000000000),1),K$4:K1673)))),AND(K1161&lt;1000000000,COUNTA(C1161:C1673)&gt;0,P$3=FALSE),
ROUNDDOWN(INDEX(Y$4:Y1673,MATCH(LARGE(FILTER(W$4:W1673,W$4:W1673&lt;=I1161),1)"&amp;",W$4:W1673))+(I1161-LARGE(FILTER(W$4:W1673,W$4:W1673&lt;=I1161),1))*INDEX(T$4:T1673,MATCH(LARGE(FILTER(W$4:W1673,W$4:W1673&lt;=I1161),1),W$4:W1673))-K1161),1,
ROUNDDOWN(Y1161-INDEX(K$4:K1673,MATCH(LARGE(FILTER(I$4:I1673,I$4:I1673&lt;=W1161),1),I$4:I1673))-(W1161-L"&amp;"ARGE(FILTER(I$4:I1673,I$4:I1673&lt;=W1161),1))*INDEX(F$4:F1673,MATCH(LARGE(FILTER(I$4:I1673,I$4:I1673&lt;=W1161),1),I$4:I1673))))"),"")</f>
        <v/>
      </c>
      <c r="N1161" s="60" t="str">
        <f t="shared" si="8"/>
        <v/>
      </c>
      <c r="O1161" s="61" t="str">
        <f t="shared" si="9"/>
        <v/>
      </c>
      <c r="P1161" s="56" t="str">
        <f t="shared" si="10"/>
        <v/>
      </c>
      <c r="Q1161" s="67"/>
      <c r="R1161" s="10"/>
      <c r="S1161" s="59" t="str">
        <f t="array" ref="S1161">IF(COUNTA(Q1161:Q1673)=0,"",SUM((COUNTIF(Q$4:Q1161,Upgrades!$B$3:$B$13)-COUNTIF(Q$4:Q1161,"Sell_"&amp;Upgrades!$B$3:$B$13))*Upgrades!$D$3:$D$13))</f>
        <v/>
      </c>
      <c r="T1161" s="66" t="str">
        <f>IFERROR(__xludf.DUMMYFUNCTION("IF(COUNTA(Q1161:Q1673)=0,"""",IF(REGEXMATCH(INDEX(FILTER(Q$4:Q1161,Q$4:Q1161&lt;&gt;""""),ROWS(FILTER(Q$4:Q1161,Q$4:Q1161&lt;&gt;""""))),""^Sell_""),INDEX(FILTER(T$4:T1160,Q$4:Q1160&lt;&gt;""""),ROWS(FILTER(Q$4:Q1160,Q$4:Q1160&lt;&gt;""""))),$AD$5+S1161))"),"")</f>
        <v/>
      </c>
      <c r="U1161" s="10" t="str">
        <f>IFERROR(__xludf.DUMMYFUNCTION("IF(COUNTA(Q1161:Q1673)=0,"""",IF(Q1161="""",0,IF(REGEXMATCH(Q1161,""^Sell_""),-ROUNDDOWN(ROUNDUP(INDEX(Upgrades!$C$3:$C$13,MATCH(SUBSTITUTE(Q1161,""Sell_"",""""),Upgrades!$B$3:$B$13,0))*1.15^(COUNTIF(Q$4:Q1160,SUBSTITUTE(Q1161,""Sell_"",""""))-COUNTIF(Q$4"&amp;":Q1160,""Sell_""&amp;SUBSTITUTE(Q1161,""Sell_"",""""))))/2),ROUNDUP(INDEX(Upgrades!$C$3:$C$13,MATCH(Q1161,Upgrades!$B$3:$B$13,0))*1.15^(COUNTIF(Q$4:Q1160,Q1161)-COUNTIF(Q$4:Q1160,""Sell_""&amp;Q1161))))))"),"")</f>
        <v/>
      </c>
      <c r="V1161" s="10" t="str">
        <f t="shared" si="11"/>
        <v/>
      </c>
      <c r="W1161" s="68" t="str">
        <f t="shared" si="12"/>
        <v/>
      </c>
      <c r="X1161" s="59" t="str">
        <f t="shared" si="13"/>
        <v/>
      </c>
      <c r="Y1161" s="69" t="str">
        <f t="shared" si="14"/>
        <v/>
      </c>
      <c r="Z1161" s="11"/>
    </row>
    <row r="1162">
      <c r="A1162" s="8"/>
      <c r="B1162" s="56" t="str">
        <f t="shared" si="2"/>
        <v/>
      </c>
      <c r="C1162" s="105"/>
      <c r="D1162" s="10"/>
      <c r="E1162" s="59" t="str">
        <f t="array" ref="E1162">IF(COUNTA(C1162:C1673)=0,"",SUM((COUNTIF(C$4:C1162,Upgrades!$B$3:$B$13)-COUNTIF(C$4:C1162,"Sell_"&amp;Upgrades!$B$3:$B$13))*Upgrades!$D$3:$D$13))</f>
        <v/>
      </c>
      <c r="F1162" s="66" t="str">
        <f>IFERROR(__xludf.DUMMYFUNCTION("IF(COUNTA(C1162:C1673)=0,"""",IF(REGEXMATCH(INDEX(FILTER(C$4:C1162,C$4:C1162&lt;&gt;""""),ROWS(FILTER(C$4:C1162,C$4:C1162&lt;&gt;""""))),""^Sell_""),INDEX(FILTER(F$4:F1161,C$4:C1161&lt;&gt;""""),ROWS(FILTER(C$4:C1161,C$4:C1161&lt;&gt;""""))),$AC$5+E1162))"),"")</f>
        <v/>
      </c>
      <c r="G1162" s="10" t="str">
        <f>IFERROR(__xludf.DUMMYFUNCTION("IF(COUNTA(C1162:C1673)=0,"""",IF(C1162="""",0,IF(REGEXMATCH(C1162,""^Sell_""),-ROUNDDOWN(ROUNDUP(INDEX(Upgrades!$C$3:$C$13,MATCH(SUBSTITUTE(C1162,""Sell_"",""""),Upgrades!$B$3:$B$13,0))*1.15^(COUNTIF(C$4:C1161,SUBSTITUTE(C1162,""Sell_"",""""))-COUNTIF(C$4"&amp;":C1161,""Sell_""&amp;SUBSTITUTE(C1162,""Sell_"",""""))))/2),ROUNDUP(INDEX(Upgrades!$C$3:$C$13,MATCH(C1162,Upgrades!$B$3:$B$13,0))*1.15^(COUNTIF(C$4:C1161,C1162)-COUNTIF(C$4:C1161,""Sell_""&amp;C1162))))))"),"")</f>
        <v/>
      </c>
      <c r="H1162" s="10" t="str">
        <f t="shared" si="3"/>
        <v/>
      </c>
      <c r="I1162" s="68" t="str">
        <f t="shared" si="4"/>
        <v/>
      </c>
      <c r="J1162" s="59" t="str">
        <f t="shared" si="5"/>
        <v/>
      </c>
      <c r="K1162" s="69" t="str">
        <f t="shared" si="6"/>
        <v/>
      </c>
      <c r="L1162" s="60" t="str">
        <f t="shared" si="7"/>
        <v/>
      </c>
      <c r="M1162" s="61" t="str">
        <f>IFERROR(__xludf.DUMMYFUNCTION("IFS(AND(COUNTA(C1162:C1673)=0,COUNTA(Q1162:Q1673)=0),"""",OR(AND(K1162&gt;=1000000000,OR(Y1162&gt;=1000000000,COUNTA(Q1162:Q1673)=0)),OR(Y1162&gt;=1000000000,AND(COUNTA(C1162:C1673)=0,P$3=TRUE))),
ROUNDDOWN((AB$1-AC$1)*MAX(INDEX(T$4:T1673,MATCH(LARGE(FILTER(Y$4:Y1"&amp;"673,Y$4:Y1673&lt;1000000000),1),Y$4:Y1673)),INDEX(F$4:F1673,MATCH(LARGE(FILTER(K$4:K1673,K$4:K1673&lt;1000000000),1),K$4:K1673)))),AND(K1162&lt;1000000000,COUNTA(C1162:C1673)&gt;0,P$3=FALSE),
ROUNDDOWN(INDEX(Y$4:Y1673,MATCH(LARGE(FILTER(W$4:W1673,W$4:W1673&lt;=I1162),1)"&amp;",W$4:W1673))+(I1162-LARGE(FILTER(W$4:W1673,W$4:W1673&lt;=I1162),1))*INDEX(T$4:T1673,MATCH(LARGE(FILTER(W$4:W1673,W$4:W1673&lt;=I1162),1),W$4:W1673))-K1162),1,
ROUNDDOWN(Y1162-INDEX(K$4:K1673,MATCH(LARGE(FILTER(I$4:I1673,I$4:I1673&lt;=W1162),1),I$4:I1673))-(W1162-L"&amp;"ARGE(FILTER(I$4:I1673,I$4:I1673&lt;=W1162),1))*INDEX(F$4:F1673,MATCH(LARGE(FILTER(I$4:I1673,I$4:I1673&lt;=W1162),1),I$4:I1673))))"),"")</f>
        <v/>
      </c>
      <c r="N1162" s="60" t="str">
        <f t="shared" si="8"/>
        <v/>
      </c>
      <c r="O1162" s="61" t="str">
        <f t="shared" si="9"/>
        <v/>
      </c>
      <c r="P1162" s="56" t="str">
        <f t="shared" si="10"/>
        <v/>
      </c>
      <c r="Q1162" s="67"/>
      <c r="R1162" s="10"/>
      <c r="S1162" s="59" t="str">
        <f t="array" ref="S1162">IF(COUNTA(Q1162:Q1673)=0,"",SUM((COUNTIF(Q$4:Q1162,Upgrades!$B$3:$B$13)-COUNTIF(Q$4:Q1162,"Sell_"&amp;Upgrades!$B$3:$B$13))*Upgrades!$D$3:$D$13))</f>
        <v/>
      </c>
      <c r="T1162" s="66" t="str">
        <f>IFERROR(__xludf.DUMMYFUNCTION("IF(COUNTA(Q1162:Q1673)=0,"""",IF(REGEXMATCH(INDEX(FILTER(Q$4:Q1162,Q$4:Q1162&lt;&gt;""""),ROWS(FILTER(Q$4:Q1162,Q$4:Q1162&lt;&gt;""""))),""^Sell_""),INDEX(FILTER(T$4:T1161,Q$4:Q1161&lt;&gt;""""),ROWS(FILTER(Q$4:Q1161,Q$4:Q1161&lt;&gt;""""))),$AD$5+S1162))"),"")</f>
        <v/>
      </c>
      <c r="U1162" s="10" t="str">
        <f>IFERROR(__xludf.DUMMYFUNCTION("IF(COUNTA(Q1162:Q1673)=0,"""",IF(Q1162="""",0,IF(REGEXMATCH(Q1162,""^Sell_""),-ROUNDDOWN(ROUNDUP(INDEX(Upgrades!$C$3:$C$13,MATCH(SUBSTITUTE(Q1162,""Sell_"",""""),Upgrades!$B$3:$B$13,0))*1.15^(COUNTIF(Q$4:Q1161,SUBSTITUTE(Q1162,""Sell_"",""""))-COUNTIF(Q$4"&amp;":Q1161,""Sell_""&amp;SUBSTITUTE(Q1162,""Sell_"",""""))))/2),ROUNDUP(INDEX(Upgrades!$C$3:$C$13,MATCH(Q1162,Upgrades!$B$3:$B$13,0))*1.15^(COUNTIF(Q$4:Q1161,Q1162)-COUNTIF(Q$4:Q1161,""Sell_""&amp;Q1162))))))"),"")</f>
        <v/>
      </c>
      <c r="V1162" s="10" t="str">
        <f t="shared" si="11"/>
        <v/>
      </c>
      <c r="W1162" s="68" t="str">
        <f t="shared" si="12"/>
        <v/>
      </c>
      <c r="X1162" s="59" t="str">
        <f t="shared" si="13"/>
        <v/>
      </c>
      <c r="Y1162" s="69" t="str">
        <f t="shared" si="14"/>
        <v/>
      </c>
      <c r="Z1162" s="11"/>
    </row>
    <row r="1163">
      <c r="A1163" s="8"/>
      <c r="B1163" s="56" t="str">
        <f t="shared" si="2"/>
        <v/>
      </c>
      <c r="C1163" s="105"/>
      <c r="D1163" s="10"/>
      <c r="E1163" s="59" t="str">
        <f t="array" ref="E1163">IF(COUNTA(C1163:C1673)=0,"",SUM((COUNTIF(C$4:C1163,Upgrades!$B$3:$B$13)-COUNTIF(C$4:C1163,"Sell_"&amp;Upgrades!$B$3:$B$13))*Upgrades!$D$3:$D$13))</f>
        <v/>
      </c>
      <c r="F1163" s="66" t="str">
        <f>IFERROR(__xludf.DUMMYFUNCTION("IF(COUNTA(C1163:C1673)=0,"""",IF(REGEXMATCH(INDEX(FILTER(C$4:C1163,C$4:C1163&lt;&gt;""""),ROWS(FILTER(C$4:C1163,C$4:C1163&lt;&gt;""""))),""^Sell_""),INDEX(FILTER(F$4:F1162,C$4:C1162&lt;&gt;""""),ROWS(FILTER(C$4:C1162,C$4:C1162&lt;&gt;""""))),$AC$5+E1163))"),"")</f>
        <v/>
      </c>
      <c r="G1163" s="10" t="str">
        <f>IFERROR(__xludf.DUMMYFUNCTION("IF(COUNTA(C1163:C1673)=0,"""",IF(C1163="""",0,IF(REGEXMATCH(C1163,""^Sell_""),-ROUNDDOWN(ROUNDUP(INDEX(Upgrades!$C$3:$C$13,MATCH(SUBSTITUTE(C1163,""Sell_"",""""),Upgrades!$B$3:$B$13,0))*1.15^(COUNTIF(C$4:C1162,SUBSTITUTE(C1163,""Sell_"",""""))-COUNTIF(C$4"&amp;":C1162,""Sell_""&amp;SUBSTITUTE(C1163,""Sell_"",""""))))/2),ROUNDUP(INDEX(Upgrades!$C$3:$C$13,MATCH(C1163,Upgrades!$B$3:$B$13,0))*1.15^(COUNTIF(C$4:C1162,C1163)-COUNTIF(C$4:C1162,""Sell_""&amp;C1163))))))"),"")</f>
        <v/>
      </c>
      <c r="H1163" s="10" t="str">
        <f t="shared" si="3"/>
        <v/>
      </c>
      <c r="I1163" s="68" t="str">
        <f t="shared" si="4"/>
        <v/>
      </c>
      <c r="J1163" s="59" t="str">
        <f t="shared" si="5"/>
        <v/>
      </c>
      <c r="K1163" s="69" t="str">
        <f t="shared" si="6"/>
        <v/>
      </c>
      <c r="L1163" s="60" t="str">
        <f t="shared" si="7"/>
        <v/>
      </c>
      <c r="M1163" s="61" t="str">
        <f>IFERROR(__xludf.DUMMYFUNCTION("IFS(AND(COUNTA(C1163:C1673)=0,COUNTA(Q1163:Q1673)=0),"""",OR(AND(K1163&gt;=1000000000,OR(Y1163&gt;=1000000000,COUNTA(Q1163:Q1673)=0)),OR(Y1163&gt;=1000000000,AND(COUNTA(C1163:C1673)=0,P$3=TRUE))),
ROUNDDOWN((AB$1-AC$1)*MAX(INDEX(T$4:T1673,MATCH(LARGE(FILTER(Y$4:Y1"&amp;"673,Y$4:Y1673&lt;1000000000),1),Y$4:Y1673)),INDEX(F$4:F1673,MATCH(LARGE(FILTER(K$4:K1673,K$4:K1673&lt;1000000000),1),K$4:K1673)))),AND(K1163&lt;1000000000,COUNTA(C1163:C1673)&gt;0,P$3=FALSE),
ROUNDDOWN(INDEX(Y$4:Y1673,MATCH(LARGE(FILTER(W$4:W1673,W$4:W1673&lt;=I1163),1)"&amp;",W$4:W1673))+(I1163-LARGE(FILTER(W$4:W1673,W$4:W1673&lt;=I1163),1))*INDEX(T$4:T1673,MATCH(LARGE(FILTER(W$4:W1673,W$4:W1673&lt;=I1163),1),W$4:W1673))-K1163),1,
ROUNDDOWN(Y1163-INDEX(K$4:K1673,MATCH(LARGE(FILTER(I$4:I1673,I$4:I1673&lt;=W1163),1),I$4:I1673))-(W1163-L"&amp;"ARGE(FILTER(I$4:I1673,I$4:I1673&lt;=W1163),1))*INDEX(F$4:F1673,MATCH(LARGE(FILTER(I$4:I1673,I$4:I1673&lt;=W1163),1),I$4:I1673))))"),"")</f>
        <v/>
      </c>
      <c r="N1163" s="60" t="str">
        <f t="shared" si="8"/>
        <v/>
      </c>
      <c r="O1163" s="61" t="str">
        <f t="shared" si="9"/>
        <v/>
      </c>
      <c r="P1163" s="56" t="str">
        <f t="shared" si="10"/>
        <v/>
      </c>
      <c r="Q1163" s="67"/>
      <c r="R1163" s="10"/>
      <c r="S1163" s="59" t="str">
        <f t="array" ref="S1163">IF(COUNTA(Q1163:Q1673)=0,"",SUM((COUNTIF(Q$4:Q1163,Upgrades!$B$3:$B$13)-COUNTIF(Q$4:Q1163,"Sell_"&amp;Upgrades!$B$3:$B$13))*Upgrades!$D$3:$D$13))</f>
        <v/>
      </c>
      <c r="T1163" s="66" t="str">
        <f>IFERROR(__xludf.DUMMYFUNCTION("IF(COUNTA(Q1163:Q1673)=0,"""",IF(REGEXMATCH(INDEX(FILTER(Q$4:Q1163,Q$4:Q1163&lt;&gt;""""),ROWS(FILTER(Q$4:Q1163,Q$4:Q1163&lt;&gt;""""))),""^Sell_""),INDEX(FILTER(T$4:T1162,Q$4:Q1162&lt;&gt;""""),ROWS(FILTER(Q$4:Q1162,Q$4:Q1162&lt;&gt;""""))),$AD$5+S1163))"),"")</f>
        <v/>
      </c>
      <c r="U1163" s="10" t="str">
        <f>IFERROR(__xludf.DUMMYFUNCTION("IF(COUNTA(Q1163:Q1673)=0,"""",IF(Q1163="""",0,IF(REGEXMATCH(Q1163,""^Sell_""),-ROUNDDOWN(ROUNDUP(INDEX(Upgrades!$C$3:$C$13,MATCH(SUBSTITUTE(Q1163,""Sell_"",""""),Upgrades!$B$3:$B$13,0))*1.15^(COUNTIF(Q$4:Q1162,SUBSTITUTE(Q1163,""Sell_"",""""))-COUNTIF(Q$4"&amp;":Q1162,""Sell_""&amp;SUBSTITUTE(Q1163,""Sell_"",""""))))/2),ROUNDUP(INDEX(Upgrades!$C$3:$C$13,MATCH(Q1163,Upgrades!$B$3:$B$13,0))*1.15^(COUNTIF(Q$4:Q1162,Q1163)-COUNTIF(Q$4:Q1162,""Sell_""&amp;Q1163))))))"),"")</f>
        <v/>
      </c>
      <c r="V1163" s="10" t="str">
        <f t="shared" si="11"/>
        <v/>
      </c>
      <c r="W1163" s="68" t="str">
        <f t="shared" si="12"/>
        <v/>
      </c>
      <c r="X1163" s="59" t="str">
        <f t="shared" si="13"/>
        <v/>
      </c>
      <c r="Y1163" s="69" t="str">
        <f t="shared" si="14"/>
        <v/>
      </c>
      <c r="Z1163" s="11"/>
    </row>
    <row r="1164">
      <c r="A1164" s="8"/>
      <c r="B1164" s="56" t="str">
        <f t="shared" si="2"/>
        <v/>
      </c>
      <c r="C1164" s="105"/>
      <c r="D1164" s="10"/>
      <c r="E1164" s="59" t="str">
        <f t="array" ref="E1164">IF(COUNTA(C1164:C1673)=0,"",SUM((COUNTIF(C$4:C1164,Upgrades!$B$3:$B$13)-COUNTIF(C$4:C1164,"Sell_"&amp;Upgrades!$B$3:$B$13))*Upgrades!$D$3:$D$13))</f>
        <v/>
      </c>
      <c r="F1164" s="66" t="str">
        <f>IFERROR(__xludf.DUMMYFUNCTION("IF(COUNTA(C1164:C1673)=0,"""",IF(REGEXMATCH(INDEX(FILTER(C$4:C1164,C$4:C1164&lt;&gt;""""),ROWS(FILTER(C$4:C1164,C$4:C1164&lt;&gt;""""))),""^Sell_""),INDEX(FILTER(F$4:F1163,C$4:C1163&lt;&gt;""""),ROWS(FILTER(C$4:C1163,C$4:C1163&lt;&gt;""""))),$AC$5+E1164))"),"")</f>
        <v/>
      </c>
      <c r="G1164" s="10" t="str">
        <f>IFERROR(__xludf.DUMMYFUNCTION("IF(COUNTA(C1164:C1673)=0,"""",IF(C1164="""",0,IF(REGEXMATCH(C1164,""^Sell_""),-ROUNDDOWN(ROUNDUP(INDEX(Upgrades!$C$3:$C$13,MATCH(SUBSTITUTE(C1164,""Sell_"",""""),Upgrades!$B$3:$B$13,0))*1.15^(COUNTIF(C$4:C1163,SUBSTITUTE(C1164,""Sell_"",""""))-COUNTIF(C$4"&amp;":C1163,""Sell_""&amp;SUBSTITUTE(C1164,""Sell_"",""""))))/2),ROUNDUP(INDEX(Upgrades!$C$3:$C$13,MATCH(C1164,Upgrades!$B$3:$B$13,0))*1.15^(COUNTIF(C$4:C1163,C1164)-COUNTIF(C$4:C1163,""Sell_""&amp;C1164))))))"),"")</f>
        <v/>
      </c>
      <c r="H1164" s="10" t="str">
        <f t="shared" si="3"/>
        <v/>
      </c>
      <c r="I1164" s="68" t="str">
        <f t="shared" si="4"/>
        <v/>
      </c>
      <c r="J1164" s="59" t="str">
        <f t="shared" si="5"/>
        <v/>
      </c>
      <c r="K1164" s="69" t="str">
        <f t="shared" si="6"/>
        <v/>
      </c>
      <c r="L1164" s="60" t="str">
        <f t="shared" si="7"/>
        <v/>
      </c>
      <c r="M1164" s="61" t="str">
        <f>IFERROR(__xludf.DUMMYFUNCTION("IFS(AND(COUNTA(C1164:C1673)=0,COUNTA(Q1164:Q1673)=0),"""",OR(AND(K1164&gt;=1000000000,OR(Y1164&gt;=1000000000,COUNTA(Q1164:Q1673)=0)),OR(Y1164&gt;=1000000000,AND(COUNTA(C1164:C1673)=0,P$3=TRUE))),
ROUNDDOWN((AB$1-AC$1)*MAX(INDEX(T$4:T1673,MATCH(LARGE(FILTER(Y$4:Y1"&amp;"673,Y$4:Y1673&lt;1000000000),1),Y$4:Y1673)),INDEX(F$4:F1673,MATCH(LARGE(FILTER(K$4:K1673,K$4:K1673&lt;1000000000),1),K$4:K1673)))),AND(K1164&lt;1000000000,COUNTA(C1164:C1673)&gt;0,P$3=FALSE),
ROUNDDOWN(INDEX(Y$4:Y1673,MATCH(LARGE(FILTER(W$4:W1673,W$4:W1673&lt;=I1164),1)"&amp;",W$4:W1673))+(I1164-LARGE(FILTER(W$4:W1673,W$4:W1673&lt;=I1164),1))*INDEX(T$4:T1673,MATCH(LARGE(FILTER(W$4:W1673,W$4:W1673&lt;=I1164),1),W$4:W1673))-K1164),1,
ROUNDDOWN(Y1164-INDEX(K$4:K1673,MATCH(LARGE(FILTER(I$4:I1673,I$4:I1673&lt;=W1164),1),I$4:I1673))-(W1164-L"&amp;"ARGE(FILTER(I$4:I1673,I$4:I1673&lt;=W1164),1))*INDEX(F$4:F1673,MATCH(LARGE(FILTER(I$4:I1673,I$4:I1673&lt;=W1164),1),I$4:I1673))))"),"")</f>
        <v/>
      </c>
      <c r="N1164" s="60" t="str">
        <f t="shared" si="8"/>
        <v/>
      </c>
      <c r="O1164" s="61" t="str">
        <f t="shared" si="9"/>
        <v/>
      </c>
      <c r="P1164" s="56" t="str">
        <f t="shared" si="10"/>
        <v/>
      </c>
      <c r="Q1164" s="67"/>
      <c r="R1164" s="10"/>
      <c r="S1164" s="59" t="str">
        <f t="array" ref="S1164">IF(COUNTA(Q1164:Q1673)=0,"",SUM((COUNTIF(Q$4:Q1164,Upgrades!$B$3:$B$13)-COUNTIF(Q$4:Q1164,"Sell_"&amp;Upgrades!$B$3:$B$13))*Upgrades!$D$3:$D$13))</f>
        <v/>
      </c>
      <c r="T1164" s="66" t="str">
        <f>IFERROR(__xludf.DUMMYFUNCTION("IF(COUNTA(Q1164:Q1673)=0,"""",IF(REGEXMATCH(INDEX(FILTER(Q$4:Q1164,Q$4:Q1164&lt;&gt;""""),ROWS(FILTER(Q$4:Q1164,Q$4:Q1164&lt;&gt;""""))),""^Sell_""),INDEX(FILTER(T$4:T1163,Q$4:Q1163&lt;&gt;""""),ROWS(FILTER(Q$4:Q1163,Q$4:Q1163&lt;&gt;""""))),$AD$5+S1164))"),"")</f>
        <v/>
      </c>
      <c r="U1164" s="10" t="str">
        <f>IFERROR(__xludf.DUMMYFUNCTION("IF(COUNTA(Q1164:Q1673)=0,"""",IF(Q1164="""",0,IF(REGEXMATCH(Q1164,""^Sell_""),-ROUNDDOWN(ROUNDUP(INDEX(Upgrades!$C$3:$C$13,MATCH(SUBSTITUTE(Q1164,""Sell_"",""""),Upgrades!$B$3:$B$13,0))*1.15^(COUNTIF(Q$4:Q1163,SUBSTITUTE(Q1164,""Sell_"",""""))-COUNTIF(Q$4"&amp;":Q1163,""Sell_""&amp;SUBSTITUTE(Q1164,""Sell_"",""""))))/2),ROUNDUP(INDEX(Upgrades!$C$3:$C$13,MATCH(Q1164,Upgrades!$B$3:$B$13,0))*1.15^(COUNTIF(Q$4:Q1163,Q1164)-COUNTIF(Q$4:Q1163,""Sell_""&amp;Q1164))))))"),"")</f>
        <v/>
      </c>
      <c r="V1164" s="10" t="str">
        <f t="shared" si="11"/>
        <v/>
      </c>
      <c r="W1164" s="68" t="str">
        <f t="shared" si="12"/>
        <v/>
      </c>
      <c r="X1164" s="59" t="str">
        <f t="shared" si="13"/>
        <v/>
      </c>
      <c r="Y1164" s="69" t="str">
        <f t="shared" si="14"/>
        <v/>
      </c>
      <c r="Z1164" s="11"/>
    </row>
    <row r="1165">
      <c r="A1165" s="8"/>
      <c r="B1165" s="56" t="str">
        <f t="shared" si="2"/>
        <v/>
      </c>
      <c r="C1165" s="105"/>
      <c r="D1165" s="10"/>
      <c r="E1165" s="59" t="str">
        <f t="array" ref="E1165">IF(COUNTA(C1165:C1673)=0,"",SUM((COUNTIF(C$4:C1165,Upgrades!$B$3:$B$13)-COUNTIF(C$4:C1165,"Sell_"&amp;Upgrades!$B$3:$B$13))*Upgrades!$D$3:$D$13))</f>
        <v/>
      </c>
      <c r="F1165" s="66" t="str">
        <f>IFERROR(__xludf.DUMMYFUNCTION("IF(COUNTA(C1165:C1673)=0,"""",IF(REGEXMATCH(INDEX(FILTER(C$4:C1165,C$4:C1165&lt;&gt;""""),ROWS(FILTER(C$4:C1165,C$4:C1165&lt;&gt;""""))),""^Sell_""),INDEX(FILTER(F$4:F1164,C$4:C1164&lt;&gt;""""),ROWS(FILTER(C$4:C1164,C$4:C1164&lt;&gt;""""))),$AC$5+E1165))"),"")</f>
        <v/>
      </c>
      <c r="G1165" s="10" t="str">
        <f>IFERROR(__xludf.DUMMYFUNCTION("IF(COUNTA(C1165:C1673)=0,"""",IF(C1165="""",0,IF(REGEXMATCH(C1165,""^Sell_""),-ROUNDDOWN(ROUNDUP(INDEX(Upgrades!$C$3:$C$13,MATCH(SUBSTITUTE(C1165,""Sell_"",""""),Upgrades!$B$3:$B$13,0))*1.15^(COUNTIF(C$4:C1164,SUBSTITUTE(C1165,""Sell_"",""""))-COUNTIF(C$4"&amp;":C1164,""Sell_""&amp;SUBSTITUTE(C1165,""Sell_"",""""))))/2),ROUNDUP(INDEX(Upgrades!$C$3:$C$13,MATCH(C1165,Upgrades!$B$3:$B$13,0))*1.15^(COUNTIF(C$4:C1164,C1165)-COUNTIF(C$4:C1164,""Sell_""&amp;C1165))))))"),"")</f>
        <v/>
      </c>
      <c r="H1165" s="10" t="str">
        <f t="shared" si="3"/>
        <v/>
      </c>
      <c r="I1165" s="68" t="str">
        <f t="shared" si="4"/>
        <v/>
      </c>
      <c r="J1165" s="59" t="str">
        <f t="shared" si="5"/>
        <v/>
      </c>
      <c r="K1165" s="69" t="str">
        <f t="shared" si="6"/>
        <v/>
      </c>
      <c r="L1165" s="60" t="str">
        <f t="shared" si="7"/>
        <v/>
      </c>
      <c r="M1165" s="61" t="str">
        <f>IFERROR(__xludf.DUMMYFUNCTION("IFS(AND(COUNTA(C1165:C1673)=0,COUNTA(Q1165:Q1673)=0),"""",OR(AND(K1165&gt;=1000000000,OR(Y1165&gt;=1000000000,COUNTA(Q1165:Q1673)=0)),OR(Y1165&gt;=1000000000,AND(COUNTA(C1165:C1673)=0,P$3=TRUE))),
ROUNDDOWN((AB$1-AC$1)*MAX(INDEX(T$4:T1673,MATCH(LARGE(FILTER(Y$4:Y1"&amp;"673,Y$4:Y1673&lt;1000000000),1),Y$4:Y1673)),INDEX(F$4:F1673,MATCH(LARGE(FILTER(K$4:K1673,K$4:K1673&lt;1000000000),1),K$4:K1673)))),AND(K1165&lt;1000000000,COUNTA(C1165:C1673)&gt;0,P$3=FALSE),
ROUNDDOWN(INDEX(Y$4:Y1673,MATCH(LARGE(FILTER(W$4:W1673,W$4:W1673&lt;=I1165),1)"&amp;",W$4:W1673))+(I1165-LARGE(FILTER(W$4:W1673,W$4:W1673&lt;=I1165),1))*INDEX(T$4:T1673,MATCH(LARGE(FILTER(W$4:W1673,W$4:W1673&lt;=I1165),1),W$4:W1673))-K1165),1,
ROUNDDOWN(Y1165-INDEX(K$4:K1673,MATCH(LARGE(FILTER(I$4:I1673,I$4:I1673&lt;=W1165),1),I$4:I1673))-(W1165-L"&amp;"ARGE(FILTER(I$4:I1673,I$4:I1673&lt;=W1165),1))*INDEX(F$4:F1673,MATCH(LARGE(FILTER(I$4:I1673,I$4:I1673&lt;=W1165),1),I$4:I1673))))"),"")</f>
        <v/>
      </c>
      <c r="N1165" s="60" t="str">
        <f t="shared" si="8"/>
        <v/>
      </c>
      <c r="O1165" s="61" t="str">
        <f t="shared" si="9"/>
        <v/>
      </c>
      <c r="P1165" s="56" t="str">
        <f t="shared" si="10"/>
        <v/>
      </c>
      <c r="Q1165" s="67"/>
      <c r="R1165" s="10"/>
      <c r="S1165" s="59" t="str">
        <f t="array" ref="S1165">IF(COUNTA(Q1165:Q1673)=0,"",SUM((COUNTIF(Q$4:Q1165,Upgrades!$B$3:$B$13)-COUNTIF(Q$4:Q1165,"Sell_"&amp;Upgrades!$B$3:$B$13))*Upgrades!$D$3:$D$13))</f>
        <v/>
      </c>
      <c r="T1165" s="66" t="str">
        <f>IFERROR(__xludf.DUMMYFUNCTION("IF(COUNTA(Q1165:Q1673)=0,"""",IF(REGEXMATCH(INDEX(FILTER(Q$4:Q1165,Q$4:Q1165&lt;&gt;""""),ROWS(FILTER(Q$4:Q1165,Q$4:Q1165&lt;&gt;""""))),""^Sell_""),INDEX(FILTER(T$4:T1164,Q$4:Q1164&lt;&gt;""""),ROWS(FILTER(Q$4:Q1164,Q$4:Q1164&lt;&gt;""""))),$AD$5+S1165))"),"")</f>
        <v/>
      </c>
      <c r="U1165" s="10" t="str">
        <f>IFERROR(__xludf.DUMMYFUNCTION("IF(COUNTA(Q1165:Q1673)=0,"""",IF(Q1165="""",0,IF(REGEXMATCH(Q1165,""^Sell_""),-ROUNDDOWN(ROUNDUP(INDEX(Upgrades!$C$3:$C$13,MATCH(SUBSTITUTE(Q1165,""Sell_"",""""),Upgrades!$B$3:$B$13,0))*1.15^(COUNTIF(Q$4:Q1164,SUBSTITUTE(Q1165,""Sell_"",""""))-COUNTIF(Q$4"&amp;":Q1164,""Sell_""&amp;SUBSTITUTE(Q1165,""Sell_"",""""))))/2),ROUNDUP(INDEX(Upgrades!$C$3:$C$13,MATCH(Q1165,Upgrades!$B$3:$B$13,0))*1.15^(COUNTIF(Q$4:Q1164,Q1165)-COUNTIF(Q$4:Q1164,""Sell_""&amp;Q1165))))))"),"")</f>
        <v/>
      </c>
      <c r="V1165" s="10" t="str">
        <f t="shared" si="11"/>
        <v/>
      </c>
      <c r="W1165" s="68" t="str">
        <f t="shared" si="12"/>
        <v/>
      </c>
      <c r="X1165" s="59" t="str">
        <f t="shared" si="13"/>
        <v/>
      </c>
      <c r="Y1165" s="69" t="str">
        <f t="shared" si="14"/>
        <v/>
      </c>
      <c r="Z1165" s="11"/>
    </row>
    <row r="1166">
      <c r="A1166" s="8"/>
      <c r="B1166" s="56" t="str">
        <f t="shared" si="2"/>
        <v/>
      </c>
      <c r="C1166" s="105"/>
      <c r="D1166" s="10"/>
      <c r="E1166" s="59" t="str">
        <f t="array" ref="E1166">IF(COUNTA(C1166:C1673)=0,"",SUM((COUNTIF(C$4:C1166,Upgrades!$B$3:$B$13)-COUNTIF(C$4:C1166,"Sell_"&amp;Upgrades!$B$3:$B$13))*Upgrades!$D$3:$D$13))</f>
        <v/>
      </c>
      <c r="F1166" s="66" t="str">
        <f>IFERROR(__xludf.DUMMYFUNCTION("IF(COUNTA(C1166:C1673)=0,"""",IF(REGEXMATCH(INDEX(FILTER(C$4:C1166,C$4:C1166&lt;&gt;""""),ROWS(FILTER(C$4:C1166,C$4:C1166&lt;&gt;""""))),""^Sell_""),INDEX(FILTER(F$4:F1165,C$4:C1165&lt;&gt;""""),ROWS(FILTER(C$4:C1165,C$4:C1165&lt;&gt;""""))),$AC$5+E1166))"),"")</f>
        <v/>
      </c>
      <c r="G1166" s="10" t="str">
        <f>IFERROR(__xludf.DUMMYFUNCTION("IF(COUNTA(C1166:C1673)=0,"""",IF(C1166="""",0,IF(REGEXMATCH(C1166,""^Sell_""),-ROUNDDOWN(ROUNDUP(INDEX(Upgrades!$C$3:$C$13,MATCH(SUBSTITUTE(C1166,""Sell_"",""""),Upgrades!$B$3:$B$13,0))*1.15^(COUNTIF(C$4:C1165,SUBSTITUTE(C1166,""Sell_"",""""))-COUNTIF(C$4"&amp;":C1165,""Sell_""&amp;SUBSTITUTE(C1166,""Sell_"",""""))))/2),ROUNDUP(INDEX(Upgrades!$C$3:$C$13,MATCH(C1166,Upgrades!$B$3:$B$13,0))*1.15^(COUNTIF(C$4:C1165,C1166)-COUNTIF(C$4:C1165,""Sell_""&amp;C1166))))))"),"")</f>
        <v/>
      </c>
      <c r="H1166" s="10" t="str">
        <f t="shared" si="3"/>
        <v/>
      </c>
      <c r="I1166" s="68" t="str">
        <f t="shared" si="4"/>
        <v/>
      </c>
      <c r="J1166" s="59" t="str">
        <f t="shared" si="5"/>
        <v/>
      </c>
      <c r="K1166" s="69" t="str">
        <f t="shared" si="6"/>
        <v/>
      </c>
      <c r="L1166" s="60" t="str">
        <f t="shared" si="7"/>
        <v/>
      </c>
      <c r="M1166" s="61" t="str">
        <f>IFERROR(__xludf.DUMMYFUNCTION("IFS(AND(COUNTA(C1166:C1673)=0,COUNTA(Q1166:Q1673)=0),"""",OR(AND(K1166&gt;=1000000000,OR(Y1166&gt;=1000000000,COUNTA(Q1166:Q1673)=0)),OR(Y1166&gt;=1000000000,AND(COUNTA(C1166:C1673)=0,P$3=TRUE))),
ROUNDDOWN((AB$1-AC$1)*MAX(INDEX(T$4:T1673,MATCH(LARGE(FILTER(Y$4:Y1"&amp;"673,Y$4:Y1673&lt;1000000000),1),Y$4:Y1673)),INDEX(F$4:F1673,MATCH(LARGE(FILTER(K$4:K1673,K$4:K1673&lt;1000000000),1),K$4:K1673)))),AND(K1166&lt;1000000000,COUNTA(C1166:C1673)&gt;0,P$3=FALSE),
ROUNDDOWN(INDEX(Y$4:Y1673,MATCH(LARGE(FILTER(W$4:W1673,W$4:W1673&lt;=I1166),1)"&amp;",W$4:W1673))+(I1166-LARGE(FILTER(W$4:W1673,W$4:W1673&lt;=I1166),1))*INDEX(T$4:T1673,MATCH(LARGE(FILTER(W$4:W1673,W$4:W1673&lt;=I1166),1),W$4:W1673))-K1166),1,
ROUNDDOWN(Y1166-INDEX(K$4:K1673,MATCH(LARGE(FILTER(I$4:I1673,I$4:I1673&lt;=W1166),1),I$4:I1673))-(W1166-L"&amp;"ARGE(FILTER(I$4:I1673,I$4:I1673&lt;=W1166),1))*INDEX(F$4:F1673,MATCH(LARGE(FILTER(I$4:I1673,I$4:I1673&lt;=W1166),1),I$4:I1673))))"),"")</f>
        <v/>
      </c>
      <c r="N1166" s="60" t="str">
        <f t="shared" si="8"/>
        <v/>
      </c>
      <c r="O1166" s="61" t="str">
        <f t="shared" si="9"/>
        <v/>
      </c>
      <c r="P1166" s="56" t="str">
        <f t="shared" si="10"/>
        <v/>
      </c>
      <c r="Q1166" s="67"/>
      <c r="R1166" s="10"/>
      <c r="S1166" s="59" t="str">
        <f t="array" ref="S1166">IF(COUNTA(Q1166:Q1673)=0,"",SUM((COUNTIF(Q$4:Q1166,Upgrades!$B$3:$B$13)-COUNTIF(Q$4:Q1166,"Sell_"&amp;Upgrades!$B$3:$B$13))*Upgrades!$D$3:$D$13))</f>
        <v/>
      </c>
      <c r="T1166" s="66" t="str">
        <f>IFERROR(__xludf.DUMMYFUNCTION("IF(COUNTA(Q1166:Q1673)=0,"""",IF(REGEXMATCH(INDEX(FILTER(Q$4:Q1166,Q$4:Q1166&lt;&gt;""""),ROWS(FILTER(Q$4:Q1166,Q$4:Q1166&lt;&gt;""""))),""^Sell_""),INDEX(FILTER(T$4:T1165,Q$4:Q1165&lt;&gt;""""),ROWS(FILTER(Q$4:Q1165,Q$4:Q1165&lt;&gt;""""))),$AD$5+S1166))"),"")</f>
        <v/>
      </c>
      <c r="U1166" s="10" t="str">
        <f>IFERROR(__xludf.DUMMYFUNCTION("IF(COUNTA(Q1166:Q1673)=0,"""",IF(Q1166="""",0,IF(REGEXMATCH(Q1166,""^Sell_""),-ROUNDDOWN(ROUNDUP(INDEX(Upgrades!$C$3:$C$13,MATCH(SUBSTITUTE(Q1166,""Sell_"",""""),Upgrades!$B$3:$B$13,0))*1.15^(COUNTIF(Q$4:Q1165,SUBSTITUTE(Q1166,""Sell_"",""""))-COUNTIF(Q$4"&amp;":Q1165,""Sell_""&amp;SUBSTITUTE(Q1166,""Sell_"",""""))))/2),ROUNDUP(INDEX(Upgrades!$C$3:$C$13,MATCH(Q1166,Upgrades!$B$3:$B$13,0))*1.15^(COUNTIF(Q$4:Q1165,Q1166)-COUNTIF(Q$4:Q1165,""Sell_""&amp;Q1166))))))"),"")</f>
        <v/>
      </c>
      <c r="V1166" s="10" t="str">
        <f t="shared" si="11"/>
        <v/>
      </c>
      <c r="W1166" s="68" t="str">
        <f t="shared" si="12"/>
        <v/>
      </c>
      <c r="X1166" s="59" t="str">
        <f t="shared" si="13"/>
        <v/>
      </c>
      <c r="Y1166" s="69" t="str">
        <f t="shared" si="14"/>
        <v/>
      </c>
      <c r="Z1166" s="11"/>
    </row>
    <row r="1167">
      <c r="A1167" s="8"/>
      <c r="B1167" s="56" t="str">
        <f t="shared" si="2"/>
        <v/>
      </c>
      <c r="C1167" s="105"/>
      <c r="D1167" s="10"/>
      <c r="E1167" s="59" t="str">
        <f t="array" ref="E1167">IF(COUNTA(C1167:C1673)=0,"",SUM((COUNTIF(C$4:C1167,Upgrades!$B$3:$B$13)-COUNTIF(C$4:C1167,"Sell_"&amp;Upgrades!$B$3:$B$13))*Upgrades!$D$3:$D$13))</f>
        <v/>
      </c>
      <c r="F1167" s="66" t="str">
        <f>IFERROR(__xludf.DUMMYFUNCTION("IF(COUNTA(C1167:C1673)=0,"""",IF(REGEXMATCH(INDEX(FILTER(C$4:C1167,C$4:C1167&lt;&gt;""""),ROWS(FILTER(C$4:C1167,C$4:C1167&lt;&gt;""""))),""^Sell_""),INDEX(FILTER(F$4:F1166,C$4:C1166&lt;&gt;""""),ROWS(FILTER(C$4:C1166,C$4:C1166&lt;&gt;""""))),$AC$5+E1167))"),"")</f>
        <v/>
      </c>
      <c r="G1167" s="10" t="str">
        <f>IFERROR(__xludf.DUMMYFUNCTION("IF(COUNTA(C1167:C1673)=0,"""",IF(C1167="""",0,IF(REGEXMATCH(C1167,""^Sell_""),-ROUNDDOWN(ROUNDUP(INDEX(Upgrades!$C$3:$C$13,MATCH(SUBSTITUTE(C1167,""Sell_"",""""),Upgrades!$B$3:$B$13,0))*1.15^(COUNTIF(C$4:C1166,SUBSTITUTE(C1167,""Sell_"",""""))-COUNTIF(C$4"&amp;":C1166,""Sell_""&amp;SUBSTITUTE(C1167,""Sell_"",""""))))/2),ROUNDUP(INDEX(Upgrades!$C$3:$C$13,MATCH(C1167,Upgrades!$B$3:$B$13,0))*1.15^(COUNTIF(C$4:C1166,C1167)-COUNTIF(C$4:C1166,""Sell_""&amp;C1167))))))"),"")</f>
        <v/>
      </c>
      <c r="H1167" s="10" t="str">
        <f t="shared" si="3"/>
        <v/>
      </c>
      <c r="I1167" s="68" t="str">
        <f t="shared" si="4"/>
        <v/>
      </c>
      <c r="J1167" s="59" t="str">
        <f t="shared" si="5"/>
        <v/>
      </c>
      <c r="K1167" s="69" t="str">
        <f t="shared" si="6"/>
        <v/>
      </c>
      <c r="L1167" s="60" t="str">
        <f t="shared" si="7"/>
        <v/>
      </c>
      <c r="M1167" s="61" t="str">
        <f>IFERROR(__xludf.DUMMYFUNCTION("IFS(AND(COUNTA(C1167:C1673)=0,COUNTA(Q1167:Q1673)=0),"""",OR(AND(K1167&gt;=1000000000,OR(Y1167&gt;=1000000000,COUNTA(Q1167:Q1673)=0)),OR(Y1167&gt;=1000000000,AND(COUNTA(C1167:C1673)=0,P$3=TRUE))),
ROUNDDOWN((AB$1-AC$1)*MAX(INDEX(T$4:T1673,MATCH(LARGE(FILTER(Y$4:Y1"&amp;"673,Y$4:Y1673&lt;1000000000),1),Y$4:Y1673)),INDEX(F$4:F1673,MATCH(LARGE(FILTER(K$4:K1673,K$4:K1673&lt;1000000000),1),K$4:K1673)))),AND(K1167&lt;1000000000,COUNTA(C1167:C1673)&gt;0,P$3=FALSE),
ROUNDDOWN(INDEX(Y$4:Y1673,MATCH(LARGE(FILTER(W$4:W1673,W$4:W1673&lt;=I1167),1)"&amp;",W$4:W1673))+(I1167-LARGE(FILTER(W$4:W1673,W$4:W1673&lt;=I1167),1))*INDEX(T$4:T1673,MATCH(LARGE(FILTER(W$4:W1673,W$4:W1673&lt;=I1167),1),W$4:W1673))-K1167),1,
ROUNDDOWN(Y1167-INDEX(K$4:K1673,MATCH(LARGE(FILTER(I$4:I1673,I$4:I1673&lt;=W1167),1),I$4:I1673))-(W1167-L"&amp;"ARGE(FILTER(I$4:I1673,I$4:I1673&lt;=W1167),1))*INDEX(F$4:F1673,MATCH(LARGE(FILTER(I$4:I1673,I$4:I1673&lt;=W1167),1),I$4:I1673))))"),"")</f>
        <v/>
      </c>
      <c r="N1167" s="60" t="str">
        <f t="shared" si="8"/>
        <v/>
      </c>
      <c r="O1167" s="61" t="str">
        <f t="shared" si="9"/>
        <v/>
      </c>
      <c r="P1167" s="56" t="str">
        <f t="shared" si="10"/>
        <v/>
      </c>
      <c r="Q1167" s="67"/>
      <c r="R1167" s="10"/>
      <c r="S1167" s="59" t="str">
        <f t="array" ref="S1167">IF(COUNTA(Q1167:Q1673)=0,"",SUM((COUNTIF(Q$4:Q1167,Upgrades!$B$3:$B$13)-COUNTIF(Q$4:Q1167,"Sell_"&amp;Upgrades!$B$3:$B$13))*Upgrades!$D$3:$D$13))</f>
        <v/>
      </c>
      <c r="T1167" s="66" t="str">
        <f>IFERROR(__xludf.DUMMYFUNCTION("IF(COUNTA(Q1167:Q1673)=0,"""",IF(REGEXMATCH(INDEX(FILTER(Q$4:Q1167,Q$4:Q1167&lt;&gt;""""),ROWS(FILTER(Q$4:Q1167,Q$4:Q1167&lt;&gt;""""))),""^Sell_""),INDEX(FILTER(T$4:T1166,Q$4:Q1166&lt;&gt;""""),ROWS(FILTER(Q$4:Q1166,Q$4:Q1166&lt;&gt;""""))),$AD$5+S1167))"),"")</f>
        <v/>
      </c>
      <c r="U1167" s="10" t="str">
        <f>IFERROR(__xludf.DUMMYFUNCTION("IF(COUNTA(Q1167:Q1673)=0,"""",IF(Q1167="""",0,IF(REGEXMATCH(Q1167,""^Sell_""),-ROUNDDOWN(ROUNDUP(INDEX(Upgrades!$C$3:$C$13,MATCH(SUBSTITUTE(Q1167,""Sell_"",""""),Upgrades!$B$3:$B$13,0))*1.15^(COUNTIF(Q$4:Q1166,SUBSTITUTE(Q1167,""Sell_"",""""))-COUNTIF(Q$4"&amp;":Q1166,""Sell_""&amp;SUBSTITUTE(Q1167,""Sell_"",""""))))/2),ROUNDUP(INDEX(Upgrades!$C$3:$C$13,MATCH(Q1167,Upgrades!$B$3:$B$13,0))*1.15^(COUNTIF(Q$4:Q1166,Q1167)-COUNTIF(Q$4:Q1166,""Sell_""&amp;Q1167))))))"),"")</f>
        <v/>
      </c>
      <c r="V1167" s="10" t="str">
        <f t="shared" si="11"/>
        <v/>
      </c>
      <c r="W1167" s="68" t="str">
        <f t="shared" si="12"/>
        <v/>
      </c>
      <c r="X1167" s="59" t="str">
        <f t="shared" si="13"/>
        <v/>
      </c>
      <c r="Y1167" s="69" t="str">
        <f t="shared" si="14"/>
        <v/>
      </c>
      <c r="Z1167" s="11"/>
    </row>
    <row r="1168">
      <c r="A1168" s="8"/>
      <c r="B1168" s="56" t="str">
        <f t="shared" si="2"/>
        <v/>
      </c>
      <c r="C1168" s="105"/>
      <c r="D1168" s="10"/>
      <c r="E1168" s="59" t="str">
        <f t="array" ref="E1168">IF(COUNTA(C1168:C1673)=0,"",SUM((COUNTIF(C$4:C1168,Upgrades!$B$3:$B$13)-COUNTIF(C$4:C1168,"Sell_"&amp;Upgrades!$B$3:$B$13))*Upgrades!$D$3:$D$13))</f>
        <v/>
      </c>
      <c r="F1168" s="66" t="str">
        <f>IFERROR(__xludf.DUMMYFUNCTION("IF(COUNTA(C1168:C1673)=0,"""",IF(REGEXMATCH(INDEX(FILTER(C$4:C1168,C$4:C1168&lt;&gt;""""),ROWS(FILTER(C$4:C1168,C$4:C1168&lt;&gt;""""))),""^Sell_""),INDEX(FILTER(F$4:F1167,C$4:C1167&lt;&gt;""""),ROWS(FILTER(C$4:C1167,C$4:C1167&lt;&gt;""""))),$AC$5+E1168))"),"")</f>
        <v/>
      </c>
      <c r="G1168" s="10" t="str">
        <f>IFERROR(__xludf.DUMMYFUNCTION("IF(COUNTA(C1168:C1673)=0,"""",IF(C1168="""",0,IF(REGEXMATCH(C1168,""^Sell_""),-ROUNDDOWN(ROUNDUP(INDEX(Upgrades!$C$3:$C$13,MATCH(SUBSTITUTE(C1168,""Sell_"",""""),Upgrades!$B$3:$B$13,0))*1.15^(COUNTIF(C$4:C1167,SUBSTITUTE(C1168,""Sell_"",""""))-COUNTIF(C$4"&amp;":C1167,""Sell_""&amp;SUBSTITUTE(C1168,""Sell_"",""""))))/2),ROUNDUP(INDEX(Upgrades!$C$3:$C$13,MATCH(C1168,Upgrades!$B$3:$B$13,0))*1.15^(COUNTIF(C$4:C1167,C1168)-COUNTIF(C$4:C1167,""Sell_""&amp;C1168))))))"),"")</f>
        <v/>
      </c>
      <c r="H1168" s="10" t="str">
        <f t="shared" si="3"/>
        <v/>
      </c>
      <c r="I1168" s="68" t="str">
        <f t="shared" si="4"/>
        <v/>
      </c>
      <c r="J1168" s="59" t="str">
        <f t="shared" si="5"/>
        <v/>
      </c>
      <c r="K1168" s="69" t="str">
        <f t="shared" si="6"/>
        <v/>
      </c>
      <c r="L1168" s="60" t="str">
        <f t="shared" si="7"/>
        <v/>
      </c>
      <c r="M1168" s="61" t="str">
        <f>IFERROR(__xludf.DUMMYFUNCTION("IFS(AND(COUNTA(C1168:C1673)=0,COUNTA(Q1168:Q1673)=0),"""",OR(AND(K1168&gt;=1000000000,OR(Y1168&gt;=1000000000,COUNTA(Q1168:Q1673)=0)),OR(Y1168&gt;=1000000000,AND(COUNTA(C1168:C1673)=0,P$3=TRUE))),
ROUNDDOWN((AB$1-AC$1)*MAX(INDEX(T$4:T1673,MATCH(LARGE(FILTER(Y$4:Y1"&amp;"673,Y$4:Y1673&lt;1000000000),1),Y$4:Y1673)),INDEX(F$4:F1673,MATCH(LARGE(FILTER(K$4:K1673,K$4:K1673&lt;1000000000),1),K$4:K1673)))),AND(K1168&lt;1000000000,COUNTA(C1168:C1673)&gt;0,P$3=FALSE),
ROUNDDOWN(INDEX(Y$4:Y1673,MATCH(LARGE(FILTER(W$4:W1673,W$4:W1673&lt;=I1168),1)"&amp;",W$4:W1673))+(I1168-LARGE(FILTER(W$4:W1673,W$4:W1673&lt;=I1168),1))*INDEX(T$4:T1673,MATCH(LARGE(FILTER(W$4:W1673,W$4:W1673&lt;=I1168),1),W$4:W1673))-K1168),1,
ROUNDDOWN(Y1168-INDEX(K$4:K1673,MATCH(LARGE(FILTER(I$4:I1673,I$4:I1673&lt;=W1168),1),I$4:I1673))-(W1168-L"&amp;"ARGE(FILTER(I$4:I1673,I$4:I1673&lt;=W1168),1))*INDEX(F$4:F1673,MATCH(LARGE(FILTER(I$4:I1673,I$4:I1673&lt;=W1168),1),I$4:I1673))))"),"")</f>
        <v/>
      </c>
      <c r="N1168" s="60" t="str">
        <f t="shared" si="8"/>
        <v/>
      </c>
      <c r="O1168" s="61" t="str">
        <f t="shared" si="9"/>
        <v/>
      </c>
      <c r="P1168" s="56" t="str">
        <f t="shared" si="10"/>
        <v/>
      </c>
      <c r="Q1168" s="67"/>
      <c r="R1168" s="10"/>
      <c r="S1168" s="59" t="str">
        <f t="array" ref="S1168">IF(COUNTA(Q1168:Q1673)=0,"",SUM((COUNTIF(Q$4:Q1168,Upgrades!$B$3:$B$13)-COUNTIF(Q$4:Q1168,"Sell_"&amp;Upgrades!$B$3:$B$13))*Upgrades!$D$3:$D$13))</f>
        <v/>
      </c>
      <c r="T1168" s="66" t="str">
        <f>IFERROR(__xludf.DUMMYFUNCTION("IF(COUNTA(Q1168:Q1673)=0,"""",IF(REGEXMATCH(INDEX(FILTER(Q$4:Q1168,Q$4:Q1168&lt;&gt;""""),ROWS(FILTER(Q$4:Q1168,Q$4:Q1168&lt;&gt;""""))),""^Sell_""),INDEX(FILTER(T$4:T1167,Q$4:Q1167&lt;&gt;""""),ROWS(FILTER(Q$4:Q1167,Q$4:Q1167&lt;&gt;""""))),$AD$5+S1168))"),"")</f>
        <v/>
      </c>
      <c r="U1168" s="10" t="str">
        <f>IFERROR(__xludf.DUMMYFUNCTION("IF(COUNTA(Q1168:Q1673)=0,"""",IF(Q1168="""",0,IF(REGEXMATCH(Q1168,""^Sell_""),-ROUNDDOWN(ROUNDUP(INDEX(Upgrades!$C$3:$C$13,MATCH(SUBSTITUTE(Q1168,""Sell_"",""""),Upgrades!$B$3:$B$13,0))*1.15^(COUNTIF(Q$4:Q1167,SUBSTITUTE(Q1168,""Sell_"",""""))-COUNTIF(Q$4"&amp;":Q1167,""Sell_""&amp;SUBSTITUTE(Q1168,""Sell_"",""""))))/2),ROUNDUP(INDEX(Upgrades!$C$3:$C$13,MATCH(Q1168,Upgrades!$B$3:$B$13,0))*1.15^(COUNTIF(Q$4:Q1167,Q1168)-COUNTIF(Q$4:Q1167,""Sell_""&amp;Q1168))))))"),"")</f>
        <v/>
      </c>
      <c r="V1168" s="10" t="str">
        <f t="shared" si="11"/>
        <v/>
      </c>
      <c r="W1168" s="68" t="str">
        <f t="shared" si="12"/>
        <v/>
      </c>
      <c r="X1168" s="59" t="str">
        <f t="shared" si="13"/>
        <v/>
      </c>
      <c r="Y1168" s="69" t="str">
        <f t="shared" si="14"/>
        <v/>
      </c>
      <c r="Z1168" s="11"/>
    </row>
    <row r="1169">
      <c r="A1169" s="8"/>
      <c r="B1169" s="56" t="str">
        <f t="shared" si="2"/>
        <v/>
      </c>
      <c r="C1169" s="105"/>
      <c r="D1169" s="10"/>
      <c r="E1169" s="59" t="str">
        <f t="array" ref="E1169">IF(COUNTA(C1169:C1673)=0,"",SUM((COUNTIF(C$4:C1169,Upgrades!$B$3:$B$13)-COUNTIF(C$4:C1169,"Sell_"&amp;Upgrades!$B$3:$B$13))*Upgrades!$D$3:$D$13))</f>
        <v/>
      </c>
      <c r="F1169" s="66" t="str">
        <f>IFERROR(__xludf.DUMMYFUNCTION("IF(COUNTA(C1169:C1673)=0,"""",IF(REGEXMATCH(INDEX(FILTER(C$4:C1169,C$4:C1169&lt;&gt;""""),ROWS(FILTER(C$4:C1169,C$4:C1169&lt;&gt;""""))),""^Sell_""),INDEX(FILTER(F$4:F1168,C$4:C1168&lt;&gt;""""),ROWS(FILTER(C$4:C1168,C$4:C1168&lt;&gt;""""))),$AC$5+E1169))"),"")</f>
        <v/>
      </c>
      <c r="G1169" s="10" t="str">
        <f>IFERROR(__xludf.DUMMYFUNCTION("IF(COUNTA(C1169:C1673)=0,"""",IF(C1169="""",0,IF(REGEXMATCH(C1169,""^Sell_""),-ROUNDDOWN(ROUNDUP(INDEX(Upgrades!$C$3:$C$13,MATCH(SUBSTITUTE(C1169,""Sell_"",""""),Upgrades!$B$3:$B$13,0))*1.15^(COUNTIF(C$4:C1168,SUBSTITUTE(C1169,""Sell_"",""""))-COUNTIF(C$4"&amp;":C1168,""Sell_""&amp;SUBSTITUTE(C1169,""Sell_"",""""))))/2),ROUNDUP(INDEX(Upgrades!$C$3:$C$13,MATCH(C1169,Upgrades!$B$3:$B$13,0))*1.15^(COUNTIF(C$4:C1168,C1169)-COUNTIF(C$4:C1168,""Sell_""&amp;C1169))))))"),"")</f>
        <v/>
      </c>
      <c r="H1169" s="10" t="str">
        <f t="shared" si="3"/>
        <v/>
      </c>
      <c r="I1169" s="68" t="str">
        <f t="shared" si="4"/>
        <v/>
      </c>
      <c r="J1169" s="59" t="str">
        <f t="shared" si="5"/>
        <v/>
      </c>
      <c r="K1169" s="69" t="str">
        <f t="shared" si="6"/>
        <v/>
      </c>
      <c r="L1169" s="60" t="str">
        <f t="shared" si="7"/>
        <v/>
      </c>
      <c r="M1169" s="61" t="str">
        <f>IFERROR(__xludf.DUMMYFUNCTION("IFS(AND(COUNTA(C1169:C1673)=0,COUNTA(Q1169:Q1673)=0),"""",OR(AND(K1169&gt;=1000000000,OR(Y1169&gt;=1000000000,COUNTA(Q1169:Q1673)=0)),OR(Y1169&gt;=1000000000,AND(COUNTA(C1169:C1673)=0,P$3=TRUE))),
ROUNDDOWN((AB$1-AC$1)*MAX(INDEX(T$4:T1673,MATCH(LARGE(FILTER(Y$4:Y1"&amp;"673,Y$4:Y1673&lt;1000000000),1),Y$4:Y1673)),INDEX(F$4:F1673,MATCH(LARGE(FILTER(K$4:K1673,K$4:K1673&lt;1000000000),1),K$4:K1673)))),AND(K1169&lt;1000000000,COUNTA(C1169:C1673)&gt;0,P$3=FALSE),
ROUNDDOWN(INDEX(Y$4:Y1673,MATCH(LARGE(FILTER(W$4:W1673,W$4:W1673&lt;=I1169),1)"&amp;",W$4:W1673))+(I1169-LARGE(FILTER(W$4:W1673,W$4:W1673&lt;=I1169),1))*INDEX(T$4:T1673,MATCH(LARGE(FILTER(W$4:W1673,W$4:W1673&lt;=I1169),1),W$4:W1673))-K1169),1,
ROUNDDOWN(Y1169-INDEX(K$4:K1673,MATCH(LARGE(FILTER(I$4:I1673,I$4:I1673&lt;=W1169),1),I$4:I1673))-(W1169-L"&amp;"ARGE(FILTER(I$4:I1673,I$4:I1673&lt;=W1169),1))*INDEX(F$4:F1673,MATCH(LARGE(FILTER(I$4:I1673,I$4:I1673&lt;=W1169),1),I$4:I1673))))"),"")</f>
        <v/>
      </c>
      <c r="N1169" s="60" t="str">
        <f t="shared" si="8"/>
        <v/>
      </c>
      <c r="O1169" s="61" t="str">
        <f t="shared" si="9"/>
        <v/>
      </c>
      <c r="P1169" s="56" t="str">
        <f t="shared" si="10"/>
        <v/>
      </c>
      <c r="Q1169" s="67"/>
      <c r="R1169" s="10"/>
      <c r="S1169" s="59" t="str">
        <f t="array" ref="S1169">IF(COUNTA(Q1169:Q1673)=0,"",SUM((COUNTIF(Q$4:Q1169,Upgrades!$B$3:$B$13)-COUNTIF(Q$4:Q1169,"Sell_"&amp;Upgrades!$B$3:$B$13))*Upgrades!$D$3:$D$13))</f>
        <v/>
      </c>
      <c r="T1169" s="66" t="str">
        <f>IFERROR(__xludf.DUMMYFUNCTION("IF(COUNTA(Q1169:Q1673)=0,"""",IF(REGEXMATCH(INDEX(FILTER(Q$4:Q1169,Q$4:Q1169&lt;&gt;""""),ROWS(FILTER(Q$4:Q1169,Q$4:Q1169&lt;&gt;""""))),""^Sell_""),INDEX(FILTER(T$4:T1168,Q$4:Q1168&lt;&gt;""""),ROWS(FILTER(Q$4:Q1168,Q$4:Q1168&lt;&gt;""""))),$AD$5+S1169))"),"")</f>
        <v/>
      </c>
      <c r="U1169" s="10" t="str">
        <f>IFERROR(__xludf.DUMMYFUNCTION("IF(COUNTA(Q1169:Q1673)=0,"""",IF(Q1169="""",0,IF(REGEXMATCH(Q1169,""^Sell_""),-ROUNDDOWN(ROUNDUP(INDEX(Upgrades!$C$3:$C$13,MATCH(SUBSTITUTE(Q1169,""Sell_"",""""),Upgrades!$B$3:$B$13,0))*1.15^(COUNTIF(Q$4:Q1168,SUBSTITUTE(Q1169,""Sell_"",""""))-COUNTIF(Q$4"&amp;":Q1168,""Sell_""&amp;SUBSTITUTE(Q1169,""Sell_"",""""))))/2),ROUNDUP(INDEX(Upgrades!$C$3:$C$13,MATCH(Q1169,Upgrades!$B$3:$B$13,0))*1.15^(COUNTIF(Q$4:Q1168,Q1169)-COUNTIF(Q$4:Q1168,""Sell_""&amp;Q1169))))))"),"")</f>
        <v/>
      </c>
      <c r="V1169" s="10" t="str">
        <f t="shared" si="11"/>
        <v/>
      </c>
      <c r="W1169" s="68" t="str">
        <f t="shared" si="12"/>
        <v/>
      </c>
      <c r="X1169" s="59" t="str">
        <f t="shared" si="13"/>
        <v/>
      </c>
      <c r="Y1169" s="69" t="str">
        <f t="shared" si="14"/>
        <v/>
      </c>
      <c r="Z1169" s="11"/>
    </row>
    <row r="1170">
      <c r="A1170" s="8"/>
      <c r="B1170" s="56" t="str">
        <f t="shared" si="2"/>
        <v/>
      </c>
      <c r="C1170" s="105"/>
      <c r="D1170" s="10"/>
      <c r="E1170" s="59" t="str">
        <f t="array" ref="E1170">IF(COUNTA(C1170:C1673)=0,"",SUM((COUNTIF(C$4:C1170,Upgrades!$B$3:$B$13)-COUNTIF(C$4:C1170,"Sell_"&amp;Upgrades!$B$3:$B$13))*Upgrades!$D$3:$D$13))</f>
        <v/>
      </c>
      <c r="F1170" s="66" t="str">
        <f>IFERROR(__xludf.DUMMYFUNCTION("IF(COUNTA(C1170:C1673)=0,"""",IF(REGEXMATCH(INDEX(FILTER(C$4:C1170,C$4:C1170&lt;&gt;""""),ROWS(FILTER(C$4:C1170,C$4:C1170&lt;&gt;""""))),""^Sell_""),INDEX(FILTER(F$4:F1169,C$4:C1169&lt;&gt;""""),ROWS(FILTER(C$4:C1169,C$4:C1169&lt;&gt;""""))),$AC$5+E1170))"),"")</f>
        <v/>
      </c>
      <c r="G1170" s="10" t="str">
        <f>IFERROR(__xludf.DUMMYFUNCTION("IF(COUNTA(C1170:C1673)=0,"""",IF(C1170="""",0,IF(REGEXMATCH(C1170,""^Sell_""),-ROUNDDOWN(ROUNDUP(INDEX(Upgrades!$C$3:$C$13,MATCH(SUBSTITUTE(C1170,""Sell_"",""""),Upgrades!$B$3:$B$13,0))*1.15^(COUNTIF(C$4:C1169,SUBSTITUTE(C1170,""Sell_"",""""))-COUNTIF(C$4"&amp;":C1169,""Sell_""&amp;SUBSTITUTE(C1170,""Sell_"",""""))))/2),ROUNDUP(INDEX(Upgrades!$C$3:$C$13,MATCH(C1170,Upgrades!$B$3:$B$13,0))*1.15^(COUNTIF(C$4:C1169,C1170)-COUNTIF(C$4:C1169,""Sell_""&amp;C1170))))))"),"")</f>
        <v/>
      </c>
      <c r="H1170" s="10" t="str">
        <f t="shared" si="3"/>
        <v/>
      </c>
      <c r="I1170" s="68" t="str">
        <f t="shared" si="4"/>
        <v/>
      </c>
      <c r="J1170" s="59" t="str">
        <f t="shared" si="5"/>
        <v/>
      </c>
      <c r="K1170" s="69" t="str">
        <f t="shared" si="6"/>
        <v/>
      </c>
      <c r="L1170" s="60" t="str">
        <f t="shared" si="7"/>
        <v/>
      </c>
      <c r="M1170" s="61" t="str">
        <f>IFERROR(__xludf.DUMMYFUNCTION("IFS(AND(COUNTA(C1170:C1673)=0,COUNTA(Q1170:Q1673)=0),"""",OR(AND(K1170&gt;=1000000000,OR(Y1170&gt;=1000000000,COUNTA(Q1170:Q1673)=0)),OR(Y1170&gt;=1000000000,AND(COUNTA(C1170:C1673)=0,P$3=TRUE))),
ROUNDDOWN((AB$1-AC$1)*MAX(INDEX(T$4:T1673,MATCH(LARGE(FILTER(Y$4:Y1"&amp;"673,Y$4:Y1673&lt;1000000000),1),Y$4:Y1673)),INDEX(F$4:F1673,MATCH(LARGE(FILTER(K$4:K1673,K$4:K1673&lt;1000000000),1),K$4:K1673)))),AND(K1170&lt;1000000000,COUNTA(C1170:C1673)&gt;0,P$3=FALSE),
ROUNDDOWN(INDEX(Y$4:Y1673,MATCH(LARGE(FILTER(W$4:W1673,W$4:W1673&lt;=I1170),1)"&amp;",W$4:W1673))+(I1170-LARGE(FILTER(W$4:W1673,W$4:W1673&lt;=I1170),1))*INDEX(T$4:T1673,MATCH(LARGE(FILTER(W$4:W1673,W$4:W1673&lt;=I1170),1),W$4:W1673))-K1170),1,
ROUNDDOWN(Y1170-INDEX(K$4:K1673,MATCH(LARGE(FILTER(I$4:I1673,I$4:I1673&lt;=W1170),1),I$4:I1673))-(W1170-L"&amp;"ARGE(FILTER(I$4:I1673,I$4:I1673&lt;=W1170),1))*INDEX(F$4:F1673,MATCH(LARGE(FILTER(I$4:I1673,I$4:I1673&lt;=W1170),1),I$4:I1673))))"),"")</f>
        <v/>
      </c>
      <c r="N1170" s="60" t="str">
        <f t="shared" si="8"/>
        <v/>
      </c>
      <c r="O1170" s="61" t="str">
        <f t="shared" si="9"/>
        <v/>
      </c>
      <c r="P1170" s="56" t="str">
        <f t="shared" si="10"/>
        <v/>
      </c>
      <c r="Q1170" s="67"/>
      <c r="R1170" s="10"/>
      <c r="S1170" s="59" t="str">
        <f t="array" ref="S1170">IF(COUNTA(Q1170:Q1673)=0,"",SUM((COUNTIF(Q$4:Q1170,Upgrades!$B$3:$B$13)-COUNTIF(Q$4:Q1170,"Sell_"&amp;Upgrades!$B$3:$B$13))*Upgrades!$D$3:$D$13))</f>
        <v/>
      </c>
      <c r="T1170" s="66" t="str">
        <f>IFERROR(__xludf.DUMMYFUNCTION("IF(COUNTA(Q1170:Q1673)=0,"""",IF(REGEXMATCH(INDEX(FILTER(Q$4:Q1170,Q$4:Q1170&lt;&gt;""""),ROWS(FILTER(Q$4:Q1170,Q$4:Q1170&lt;&gt;""""))),""^Sell_""),INDEX(FILTER(T$4:T1169,Q$4:Q1169&lt;&gt;""""),ROWS(FILTER(Q$4:Q1169,Q$4:Q1169&lt;&gt;""""))),$AD$5+S1170))"),"")</f>
        <v/>
      </c>
      <c r="U1170" s="10" t="str">
        <f>IFERROR(__xludf.DUMMYFUNCTION("IF(COUNTA(Q1170:Q1673)=0,"""",IF(Q1170="""",0,IF(REGEXMATCH(Q1170,""^Sell_""),-ROUNDDOWN(ROUNDUP(INDEX(Upgrades!$C$3:$C$13,MATCH(SUBSTITUTE(Q1170,""Sell_"",""""),Upgrades!$B$3:$B$13,0))*1.15^(COUNTIF(Q$4:Q1169,SUBSTITUTE(Q1170,""Sell_"",""""))-COUNTIF(Q$4"&amp;":Q1169,""Sell_""&amp;SUBSTITUTE(Q1170,""Sell_"",""""))))/2),ROUNDUP(INDEX(Upgrades!$C$3:$C$13,MATCH(Q1170,Upgrades!$B$3:$B$13,0))*1.15^(COUNTIF(Q$4:Q1169,Q1170)-COUNTIF(Q$4:Q1169,""Sell_""&amp;Q1170))))))"),"")</f>
        <v/>
      </c>
      <c r="V1170" s="10" t="str">
        <f t="shared" si="11"/>
        <v/>
      </c>
      <c r="W1170" s="68" t="str">
        <f t="shared" si="12"/>
        <v/>
      </c>
      <c r="X1170" s="59" t="str">
        <f t="shared" si="13"/>
        <v/>
      </c>
      <c r="Y1170" s="69" t="str">
        <f t="shared" si="14"/>
        <v/>
      </c>
      <c r="Z1170" s="11"/>
    </row>
    <row r="1171">
      <c r="A1171" s="8"/>
      <c r="B1171" s="56" t="str">
        <f t="shared" si="2"/>
        <v/>
      </c>
      <c r="C1171" s="105"/>
      <c r="D1171" s="10"/>
      <c r="E1171" s="59" t="str">
        <f t="array" ref="E1171">IF(COUNTA(C1171:C1673)=0,"",SUM((COUNTIF(C$4:C1171,Upgrades!$B$3:$B$13)-COUNTIF(C$4:C1171,"Sell_"&amp;Upgrades!$B$3:$B$13))*Upgrades!$D$3:$D$13))</f>
        <v/>
      </c>
      <c r="F1171" s="66" t="str">
        <f>IFERROR(__xludf.DUMMYFUNCTION("IF(COUNTA(C1171:C1673)=0,"""",IF(REGEXMATCH(INDEX(FILTER(C$4:C1171,C$4:C1171&lt;&gt;""""),ROWS(FILTER(C$4:C1171,C$4:C1171&lt;&gt;""""))),""^Sell_""),INDEX(FILTER(F$4:F1170,C$4:C1170&lt;&gt;""""),ROWS(FILTER(C$4:C1170,C$4:C1170&lt;&gt;""""))),$AC$5+E1171))"),"")</f>
        <v/>
      </c>
      <c r="G1171" s="10" t="str">
        <f>IFERROR(__xludf.DUMMYFUNCTION("IF(COUNTA(C1171:C1673)=0,"""",IF(C1171="""",0,IF(REGEXMATCH(C1171,""^Sell_""),-ROUNDDOWN(ROUNDUP(INDEX(Upgrades!$C$3:$C$13,MATCH(SUBSTITUTE(C1171,""Sell_"",""""),Upgrades!$B$3:$B$13,0))*1.15^(COUNTIF(C$4:C1170,SUBSTITUTE(C1171,""Sell_"",""""))-COUNTIF(C$4"&amp;":C1170,""Sell_""&amp;SUBSTITUTE(C1171,""Sell_"",""""))))/2),ROUNDUP(INDEX(Upgrades!$C$3:$C$13,MATCH(C1171,Upgrades!$B$3:$B$13,0))*1.15^(COUNTIF(C$4:C1170,C1171)-COUNTIF(C$4:C1170,""Sell_""&amp;C1171))))))"),"")</f>
        <v/>
      </c>
      <c r="H1171" s="10" t="str">
        <f t="shared" si="3"/>
        <v/>
      </c>
      <c r="I1171" s="68" t="str">
        <f t="shared" si="4"/>
        <v/>
      </c>
      <c r="J1171" s="59" t="str">
        <f t="shared" si="5"/>
        <v/>
      </c>
      <c r="K1171" s="69" t="str">
        <f t="shared" si="6"/>
        <v/>
      </c>
      <c r="L1171" s="60" t="str">
        <f t="shared" si="7"/>
        <v/>
      </c>
      <c r="M1171" s="61" t="str">
        <f>IFERROR(__xludf.DUMMYFUNCTION("IFS(AND(COUNTA(C1171:C1673)=0,COUNTA(Q1171:Q1673)=0),"""",OR(AND(K1171&gt;=1000000000,OR(Y1171&gt;=1000000000,COUNTA(Q1171:Q1673)=0)),OR(Y1171&gt;=1000000000,AND(COUNTA(C1171:C1673)=0,P$3=TRUE))),
ROUNDDOWN((AB$1-AC$1)*MAX(INDEX(T$4:T1673,MATCH(LARGE(FILTER(Y$4:Y1"&amp;"673,Y$4:Y1673&lt;1000000000),1),Y$4:Y1673)),INDEX(F$4:F1673,MATCH(LARGE(FILTER(K$4:K1673,K$4:K1673&lt;1000000000),1),K$4:K1673)))),AND(K1171&lt;1000000000,COUNTA(C1171:C1673)&gt;0,P$3=FALSE),
ROUNDDOWN(INDEX(Y$4:Y1673,MATCH(LARGE(FILTER(W$4:W1673,W$4:W1673&lt;=I1171),1)"&amp;",W$4:W1673))+(I1171-LARGE(FILTER(W$4:W1673,W$4:W1673&lt;=I1171),1))*INDEX(T$4:T1673,MATCH(LARGE(FILTER(W$4:W1673,W$4:W1673&lt;=I1171),1),W$4:W1673))-K1171),1,
ROUNDDOWN(Y1171-INDEX(K$4:K1673,MATCH(LARGE(FILTER(I$4:I1673,I$4:I1673&lt;=W1171),1),I$4:I1673))-(W1171-L"&amp;"ARGE(FILTER(I$4:I1673,I$4:I1673&lt;=W1171),1))*INDEX(F$4:F1673,MATCH(LARGE(FILTER(I$4:I1673,I$4:I1673&lt;=W1171),1),I$4:I1673))))"),"")</f>
        <v/>
      </c>
      <c r="N1171" s="60" t="str">
        <f t="shared" si="8"/>
        <v/>
      </c>
      <c r="O1171" s="61" t="str">
        <f t="shared" si="9"/>
        <v/>
      </c>
      <c r="P1171" s="56" t="str">
        <f t="shared" si="10"/>
        <v/>
      </c>
      <c r="Q1171" s="67"/>
      <c r="R1171" s="10"/>
      <c r="S1171" s="59" t="str">
        <f t="array" ref="S1171">IF(COUNTA(Q1171:Q1673)=0,"",SUM((COUNTIF(Q$4:Q1171,Upgrades!$B$3:$B$13)-COUNTIF(Q$4:Q1171,"Sell_"&amp;Upgrades!$B$3:$B$13))*Upgrades!$D$3:$D$13))</f>
        <v/>
      </c>
      <c r="T1171" s="66" t="str">
        <f>IFERROR(__xludf.DUMMYFUNCTION("IF(COUNTA(Q1171:Q1673)=0,"""",IF(REGEXMATCH(INDEX(FILTER(Q$4:Q1171,Q$4:Q1171&lt;&gt;""""),ROWS(FILTER(Q$4:Q1171,Q$4:Q1171&lt;&gt;""""))),""^Sell_""),INDEX(FILTER(T$4:T1170,Q$4:Q1170&lt;&gt;""""),ROWS(FILTER(Q$4:Q1170,Q$4:Q1170&lt;&gt;""""))),$AD$5+S1171))"),"")</f>
        <v/>
      </c>
      <c r="U1171" s="10" t="str">
        <f>IFERROR(__xludf.DUMMYFUNCTION("IF(COUNTA(Q1171:Q1673)=0,"""",IF(Q1171="""",0,IF(REGEXMATCH(Q1171,""^Sell_""),-ROUNDDOWN(ROUNDUP(INDEX(Upgrades!$C$3:$C$13,MATCH(SUBSTITUTE(Q1171,""Sell_"",""""),Upgrades!$B$3:$B$13,0))*1.15^(COUNTIF(Q$4:Q1170,SUBSTITUTE(Q1171,""Sell_"",""""))-COUNTIF(Q$4"&amp;":Q1170,""Sell_""&amp;SUBSTITUTE(Q1171,""Sell_"",""""))))/2),ROUNDUP(INDEX(Upgrades!$C$3:$C$13,MATCH(Q1171,Upgrades!$B$3:$B$13,0))*1.15^(COUNTIF(Q$4:Q1170,Q1171)-COUNTIF(Q$4:Q1170,""Sell_""&amp;Q1171))))))"),"")</f>
        <v/>
      </c>
      <c r="V1171" s="10" t="str">
        <f t="shared" si="11"/>
        <v/>
      </c>
      <c r="W1171" s="68" t="str">
        <f t="shared" si="12"/>
        <v/>
      </c>
      <c r="X1171" s="59" t="str">
        <f t="shared" si="13"/>
        <v/>
      </c>
      <c r="Y1171" s="69" t="str">
        <f t="shared" si="14"/>
        <v/>
      </c>
      <c r="Z1171" s="11"/>
    </row>
    <row r="1172">
      <c r="A1172" s="8"/>
      <c r="B1172" s="56" t="str">
        <f t="shared" si="2"/>
        <v/>
      </c>
      <c r="C1172" s="105"/>
      <c r="D1172" s="10"/>
      <c r="E1172" s="59" t="str">
        <f t="array" ref="E1172">IF(COUNTA(C1172:C1673)=0,"",SUM((COUNTIF(C$4:C1172,Upgrades!$B$3:$B$13)-COUNTIF(C$4:C1172,"Sell_"&amp;Upgrades!$B$3:$B$13))*Upgrades!$D$3:$D$13))</f>
        <v/>
      </c>
      <c r="F1172" s="66" t="str">
        <f>IFERROR(__xludf.DUMMYFUNCTION("IF(COUNTA(C1172:C1673)=0,"""",IF(REGEXMATCH(INDEX(FILTER(C$4:C1172,C$4:C1172&lt;&gt;""""),ROWS(FILTER(C$4:C1172,C$4:C1172&lt;&gt;""""))),""^Sell_""),INDEX(FILTER(F$4:F1171,C$4:C1171&lt;&gt;""""),ROWS(FILTER(C$4:C1171,C$4:C1171&lt;&gt;""""))),$AC$5+E1172))"),"")</f>
        <v/>
      </c>
      <c r="G1172" s="10" t="str">
        <f>IFERROR(__xludf.DUMMYFUNCTION("IF(COUNTA(C1172:C1673)=0,"""",IF(C1172="""",0,IF(REGEXMATCH(C1172,""^Sell_""),-ROUNDDOWN(ROUNDUP(INDEX(Upgrades!$C$3:$C$13,MATCH(SUBSTITUTE(C1172,""Sell_"",""""),Upgrades!$B$3:$B$13,0))*1.15^(COUNTIF(C$4:C1171,SUBSTITUTE(C1172,""Sell_"",""""))-COUNTIF(C$4"&amp;":C1171,""Sell_""&amp;SUBSTITUTE(C1172,""Sell_"",""""))))/2),ROUNDUP(INDEX(Upgrades!$C$3:$C$13,MATCH(C1172,Upgrades!$B$3:$B$13,0))*1.15^(COUNTIF(C$4:C1171,C1172)-COUNTIF(C$4:C1171,""Sell_""&amp;C1172))))))"),"")</f>
        <v/>
      </c>
      <c r="H1172" s="10" t="str">
        <f t="shared" si="3"/>
        <v/>
      </c>
      <c r="I1172" s="68" t="str">
        <f t="shared" si="4"/>
        <v/>
      </c>
      <c r="J1172" s="59" t="str">
        <f t="shared" si="5"/>
        <v/>
      </c>
      <c r="K1172" s="69" t="str">
        <f t="shared" si="6"/>
        <v/>
      </c>
      <c r="L1172" s="60" t="str">
        <f t="shared" si="7"/>
        <v/>
      </c>
      <c r="M1172" s="61" t="str">
        <f>IFERROR(__xludf.DUMMYFUNCTION("IFS(AND(COUNTA(C1172:C1673)=0,COUNTA(Q1172:Q1673)=0),"""",OR(AND(K1172&gt;=1000000000,OR(Y1172&gt;=1000000000,COUNTA(Q1172:Q1673)=0)),OR(Y1172&gt;=1000000000,AND(COUNTA(C1172:C1673)=0,P$3=TRUE))),
ROUNDDOWN((AB$1-AC$1)*MAX(INDEX(T$4:T1673,MATCH(LARGE(FILTER(Y$4:Y1"&amp;"673,Y$4:Y1673&lt;1000000000),1),Y$4:Y1673)),INDEX(F$4:F1673,MATCH(LARGE(FILTER(K$4:K1673,K$4:K1673&lt;1000000000),1),K$4:K1673)))),AND(K1172&lt;1000000000,COUNTA(C1172:C1673)&gt;0,P$3=FALSE),
ROUNDDOWN(INDEX(Y$4:Y1673,MATCH(LARGE(FILTER(W$4:W1673,W$4:W1673&lt;=I1172),1)"&amp;",W$4:W1673))+(I1172-LARGE(FILTER(W$4:W1673,W$4:W1673&lt;=I1172),1))*INDEX(T$4:T1673,MATCH(LARGE(FILTER(W$4:W1673,W$4:W1673&lt;=I1172),1),W$4:W1673))-K1172),1,
ROUNDDOWN(Y1172-INDEX(K$4:K1673,MATCH(LARGE(FILTER(I$4:I1673,I$4:I1673&lt;=W1172),1),I$4:I1673))-(W1172-L"&amp;"ARGE(FILTER(I$4:I1673,I$4:I1673&lt;=W1172),1))*INDEX(F$4:F1673,MATCH(LARGE(FILTER(I$4:I1673,I$4:I1673&lt;=W1172),1),I$4:I1673))))"),"")</f>
        <v/>
      </c>
      <c r="N1172" s="60" t="str">
        <f t="shared" si="8"/>
        <v/>
      </c>
      <c r="O1172" s="61" t="str">
        <f t="shared" si="9"/>
        <v/>
      </c>
      <c r="P1172" s="56" t="str">
        <f t="shared" si="10"/>
        <v/>
      </c>
      <c r="Q1172" s="67"/>
      <c r="R1172" s="10"/>
      <c r="S1172" s="59" t="str">
        <f t="array" ref="S1172">IF(COUNTA(Q1172:Q1673)=0,"",SUM((COUNTIF(Q$4:Q1172,Upgrades!$B$3:$B$13)-COUNTIF(Q$4:Q1172,"Sell_"&amp;Upgrades!$B$3:$B$13))*Upgrades!$D$3:$D$13))</f>
        <v/>
      </c>
      <c r="T1172" s="66" t="str">
        <f>IFERROR(__xludf.DUMMYFUNCTION("IF(COUNTA(Q1172:Q1673)=0,"""",IF(REGEXMATCH(INDEX(FILTER(Q$4:Q1172,Q$4:Q1172&lt;&gt;""""),ROWS(FILTER(Q$4:Q1172,Q$4:Q1172&lt;&gt;""""))),""^Sell_""),INDEX(FILTER(T$4:T1171,Q$4:Q1171&lt;&gt;""""),ROWS(FILTER(Q$4:Q1171,Q$4:Q1171&lt;&gt;""""))),$AD$5+S1172))"),"")</f>
        <v/>
      </c>
      <c r="U1172" s="10" t="str">
        <f>IFERROR(__xludf.DUMMYFUNCTION("IF(COUNTA(Q1172:Q1673)=0,"""",IF(Q1172="""",0,IF(REGEXMATCH(Q1172,""^Sell_""),-ROUNDDOWN(ROUNDUP(INDEX(Upgrades!$C$3:$C$13,MATCH(SUBSTITUTE(Q1172,""Sell_"",""""),Upgrades!$B$3:$B$13,0))*1.15^(COUNTIF(Q$4:Q1171,SUBSTITUTE(Q1172,""Sell_"",""""))-COUNTIF(Q$4"&amp;":Q1171,""Sell_""&amp;SUBSTITUTE(Q1172,""Sell_"",""""))))/2),ROUNDUP(INDEX(Upgrades!$C$3:$C$13,MATCH(Q1172,Upgrades!$B$3:$B$13,0))*1.15^(COUNTIF(Q$4:Q1171,Q1172)-COUNTIF(Q$4:Q1171,""Sell_""&amp;Q1172))))))"),"")</f>
        <v/>
      </c>
      <c r="V1172" s="10" t="str">
        <f t="shared" si="11"/>
        <v/>
      </c>
      <c r="W1172" s="68" t="str">
        <f t="shared" si="12"/>
        <v/>
      </c>
      <c r="X1172" s="59" t="str">
        <f t="shared" si="13"/>
        <v/>
      </c>
      <c r="Y1172" s="69" t="str">
        <f t="shared" si="14"/>
        <v/>
      </c>
      <c r="Z1172" s="11"/>
    </row>
    <row r="1173">
      <c r="A1173" s="8"/>
      <c r="B1173" s="56" t="str">
        <f t="shared" si="2"/>
        <v/>
      </c>
      <c r="C1173" s="105"/>
      <c r="D1173" s="10"/>
      <c r="E1173" s="59" t="str">
        <f t="array" ref="E1173">IF(COUNTA(C1173:C1673)=0,"",SUM((COUNTIF(C$4:C1173,Upgrades!$B$3:$B$13)-COUNTIF(C$4:C1173,"Sell_"&amp;Upgrades!$B$3:$B$13))*Upgrades!$D$3:$D$13))</f>
        <v/>
      </c>
      <c r="F1173" s="66" t="str">
        <f>IFERROR(__xludf.DUMMYFUNCTION("IF(COUNTA(C1173:C1673)=0,"""",IF(REGEXMATCH(INDEX(FILTER(C$4:C1173,C$4:C1173&lt;&gt;""""),ROWS(FILTER(C$4:C1173,C$4:C1173&lt;&gt;""""))),""^Sell_""),INDEX(FILTER(F$4:F1172,C$4:C1172&lt;&gt;""""),ROWS(FILTER(C$4:C1172,C$4:C1172&lt;&gt;""""))),$AC$5+E1173))"),"")</f>
        <v/>
      </c>
      <c r="G1173" s="10" t="str">
        <f>IFERROR(__xludf.DUMMYFUNCTION("IF(COUNTA(C1173:C1673)=0,"""",IF(C1173="""",0,IF(REGEXMATCH(C1173,""^Sell_""),-ROUNDDOWN(ROUNDUP(INDEX(Upgrades!$C$3:$C$13,MATCH(SUBSTITUTE(C1173,""Sell_"",""""),Upgrades!$B$3:$B$13,0))*1.15^(COUNTIF(C$4:C1172,SUBSTITUTE(C1173,""Sell_"",""""))-COUNTIF(C$4"&amp;":C1172,""Sell_""&amp;SUBSTITUTE(C1173,""Sell_"",""""))))/2),ROUNDUP(INDEX(Upgrades!$C$3:$C$13,MATCH(C1173,Upgrades!$B$3:$B$13,0))*1.15^(COUNTIF(C$4:C1172,C1173)-COUNTIF(C$4:C1172,""Sell_""&amp;C1173))))))"),"")</f>
        <v/>
      </c>
      <c r="H1173" s="10" t="str">
        <f t="shared" si="3"/>
        <v/>
      </c>
      <c r="I1173" s="68" t="str">
        <f t="shared" si="4"/>
        <v/>
      </c>
      <c r="J1173" s="59" t="str">
        <f t="shared" si="5"/>
        <v/>
      </c>
      <c r="K1173" s="69" t="str">
        <f t="shared" si="6"/>
        <v/>
      </c>
      <c r="L1173" s="60" t="str">
        <f t="shared" si="7"/>
        <v/>
      </c>
      <c r="M1173" s="61" t="str">
        <f>IFERROR(__xludf.DUMMYFUNCTION("IFS(AND(COUNTA(C1173:C1673)=0,COUNTA(Q1173:Q1673)=0),"""",OR(AND(K1173&gt;=1000000000,OR(Y1173&gt;=1000000000,COUNTA(Q1173:Q1673)=0)),OR(Y1173&gt;=1000000000,AND(COUNTA(C1173:C1673)=0,P$3=TRUE))),
ROUNDDOWN((AB$1-AC$1)*MAX(INDEX(T$4:T1673,MATCH(LARGE(FILTER(Y$4:Y1"&amp;"673,Y$4:Y1673&lt;1000000000),1),Y$4:Y1673)),INDEX(F$4:F1673,MATCH(LARGE(FILTER(K$4:K1673,K$4:K1673&lt;1000000000),1),K$4:K1673)))),AND(K1173&lt;1000000000,COUNTA(C1173:C1673)&gt;0,P$3=FALSE),
ROUNDDOWN(INDEX(Y$4:Y1673,MATCH(LARGE(FILTER(W$4:W1673,W$4:W1673&lt;=I1173),1)"&amp;",W$4:W1673))+(I1173-LARGE(FILTER(W$4:W1673,W$4:W1673&lt;=I1173),1))*INDEX(T$4:T1673,MATCH(LARGE(FILTER(W$4:W1673,W$4:W1673&lt;=I1173),1),W$4:W1673))-K1173),1,
ROUNDDOWN(Y1173-INDEX(K$4:K1673,MATCH(LARGE(FILTER(I$4:I1673,I$4:I1673&lt;=W1173),1),I$4:I1673))-(W1173-L"&amp;"ARGE(FILTER(I$4:I1673,I$4:I1673&lt;=W1173),1))*INDEX(F$4:F1673,MATCH(LARGE(FILTER(I$4:I1673,I$4:I1673&lt;=W1173),1),I$4:I1673))))"),"")</f>
        <v/>
      </c>
      <c r="N1173" s="60" t="str">
        <f t="shared" si="8"/>
        <v/>
      </c>
      <c r="O1173" s="61" t="str">
        <f t="shared" si="9"/>
        <v/>
      </c>
      <c r="P1173" s="56" t="str">
        <f t="shared" si="10"/>
        <v/>
      </c>
      <c r="Q1173" s="67"/>
      <c r="R1173" s="10"/>
      <c r="S1173" s="59" t="str">
        <f t="array" ref="S1173">IF(COUNTA(Q1173:Q1673)=0,"",SUM((COUNTIF(Q$4:Q1173,Upgrades!$B$3:$B$13)-COUNTIF(Q$4:Q1173,"Sell_"&amp;Upgrades!$B$3:$B$13))*Upgrades!$D$3:$D$13))</f>
        <v/>
      </c>
      <c r="T1173" s="66" t="str">
        <f>IFERROR(__xludf.DUMMYFUNCTION("IF(COUNTA(Q1173:Q1673)=0,"""",IF(REGEXMATCH(INDEX(FILTER(Q$4:Q1173,Q$4:Q1173&lt;&gt;""""),ROWS(FILTER(Q$4:Q1173,Q$4:Q1173&lt;&gt;""""))),""^Sell_""),INDEX(FILTER(T$4:T1172,Q$4:Q1172&lt;&gt;""""),ROWS(FILTER(Q$4:Q1172,Q$4:Q1172&lt;&gt;""""))),$AD$5+S1173))"),"")</f>
        <v/>
      </c>
      <c r="U1173" s="10" t="str">
        <f>IFERROR(__xludf.DUMMYFUNCTION("IF(COUNTA(Q1173:Q1673)=0,"""",IF(Q1173="""",0,IF(REGEXMATCH(Q1173,""^Sell_""),-ROUNDDOWN(ROUNDUP(INDEX(Upgrades!$C$3:$C$13,MATCH(SUBSTITUTE(Q1173,""Sell_"",""""),Upgrades!$B$3:$B$13,0))*1.15^(COUNTIF(Q$4:Q1172,SUBSTITUTE(Q1173,""Sell_"",""""))-COUNTIF(Q$4"&amp;":Q1172,""Sell_""&amp;SUBSTITUTE(Q1173,""Sell_"",""""))))/2),ROUNDUP(INDEX(Upgrades!$C$3:$C$13,MATCH(Q1173,Upgrades!$B$3:$B$13,0))*1.15^(COUNTIF(Q$4:Q1172,Q1173)-COUNTIF(Q$4:Q1172,""Sell_""&amp;Q1173))))))"),"")</f>
        <v/>
      </c>
      <c r="V1173" s="10" t="str">
        <f t="shared" si="11"/>
        <v/>
      </c>
      <c r="W1173" s="68" t="str">
        <f t="shared" si="12"/>
        <v/>
      </c>
      <c r="X1173" s="59" t="str">
        <f t="shared" si="13"/>
        <v/>
      </c>
      <c r="Y1173" s="69" t="str">
        <f t="shared" si="14"/>
        <v/>
      </c>
      <c r="Z1173" s="11"/>
    </row>
    <row r="1174">
      <c r="A1174" s="8"/>
      <c r="B1174" s="56" t="str">
        <f t="shared" si="2"/>
        <v/>
      </c>
      <c r="C1174" s="105"/>
      <c r="D1174" s="10"/>
      <c r="E1174" s="59" t="str">
        <f t="array" ref="E1174">IF(COUNTA(C1174:C1673)=0,"",SUM((COUNTIF(C$4:C1174,Upgrades!$B$3:$B$13)-COUNTIF(C$4:C1174,"Sell_"&amp;Upgrades!$B$3:$B$13))*Upgrades!$D$3:$D$13))</f>
        <v/>
      </c>
      <c r="F1174" s="66" t="str">
        <f>IFERROR(__xludf.DUMMYFUNCTION("IF(COUNTA(C1174:C1673)=0,"""",IF(REGEXMATCH(INDEX(FILTER(C$4:C1174,C$4:C1174&lt;&gt;""""),ROWS(FILTER(C$4:C1174,C$4:C1174&lt;&gt;""""))),""^Sell_""),INDEX(FILTER(F$4:F1173,C$4:C1173&lt;&gt;""""),ROWS(FILTER(C$4:C1173,C$4:C1173&lt;&gt;""""))),$AC$5+E1174))"),"")</f>
        <v/>
      </c>
      <c r="G1174" s="10" t="str">
        <f>IFERROR(__xludf.DUMMYFUNCTION("IF(COUNTA(C1174:C1673)=0,"""",IF(C1174="""",0,IF(REGEXMATCH(C1174,""^Sell_""),-ROUNDDOWN(ROUNDUP(INDEX(Upgrades!$C$3:$C$13,MATCH(SUBSTITUTE(C1174,""Sell_"",""""),Upgrades!$B$3:$B$13,0))*1.15^(COUNTIF(C$4:C1173,SUBSTITUTE(C1174,""Sell_"",""""))-COUNTIF(C$4"&amp;":C1173,""Sell_""&amp;SUBSTITUTE(C1174,""Sell_"",""""))))/2),ROUNDUP(INDEX(Upgrades!$C$3:$C$13,MATCH(C1174,Upgrades!$B$3:$B$13,0))*1.15^(COUNTIF(C$4:C1173,C1174)-COUNTIF(C$4:C1173,""Sell_""&amp;C1174))))))"),"")</f>
        <v/>
      </c>
      <c r="H1174" s="10" t="str">
        <f t="shared" si="3"/>
        <v/>
      </c>
      <c r="I1174" s="68" t="str">
        <f t="shared" si="4"/>
        <v/>
      </c>
      <c r="J1174" s="59" t="str">
        <f t="shared" si="5"/>
        <v/>
      </c>
      <c r="K1174" s="69" t="str">
        <f t="shared" si="6"/>
        <v/>
      </c>
      <c r="L1174" s="60" t="str">
        <f t="shared" si="7"/>
        <v/>
      </c>
      <c r="M1174" s="61" t="str">
        <f>IFERROR(__xludf.DUMMYFUNCTION("IFS(AND(COUNTA(C1174:C1673)=0,COUNTA(Q1174:Q1673)=0),"""",OR(AND(K1174&gt;=1000000000,OR(Y1174&gt;=1000000000,COUNTA(Q1174:Q1673)=0)),OR(Y1174&gt;=1000000000,AND(COUNTA(C1174:C1673)=0,P$3=TRUE))),
ROUNDDOWN((AB$1-AC$1)*MAX(INDEX(T$4:T1673,MATCH(LARGE(FILTER(Y$4:Y1"&amp;"673,Y$4:Y1673&lt;1000000000),1),Y$4:Y1673)),INDEX(F$4:F1673,MATCH(LARGE(FILTER(K$4:K1673,K$4:K1673&lt;1000000000),1),K$4:K1673)))),AND(K1174&lt;1000000000,COUNTA(C1174:C1673)&gt;0,P$3=FALSE),
ROUNDDOWN(INDEX(Y$4:Y1673,MATCH(LARGE(FILTER(W$4:W1673,W$4:W1673&lt;=I1174),1)"&amp;",W$4:W1673))+(I1174-LARGE(FILTER(W$4:W1673,W$4:W1673&lt;=I1174),1))*INDEX(T$4:T1673,MATCH(LARGE(FILTER(W$4:W1673,W$4:W1673&lt;=I1174),1),W$4:W1673))-K1174),1,
ROUNDDOWN(Y1174-INDEX(K$4:K1673,MATCH(LARGE(FILTER(I$4:I1673,I$4:I1673&lt;=W1174),1),I$4:I1673))-(W1174-L"&amp;"ARGE(FILTER(I$4:I1673,I$4:I1673&lt;=W1174),1))*INDEX(F$4:F1673,MATCH(LARGE(FILTER(I$4:I1673,I$4:I1673&lt;=W1174),1),I$4:I1673))))"),"")</f>
        <v/>
      </c>
      <c r="N1174" s="60" t="str">
        <f t="shared" si="8"/>
        <v/>
      </c>
      <c r="O1174" s="61" t="str">
        <f t="shared" si="9"/>
        <v/>
      </c>
      <c r="P1174" s="56" t="str">
        <f t="shared" si="10"/>
        <v/>
      </c>
      <c r="Q1174" s="67"/>
      <c r="R1174" s="10"/>
      <c r="S1174" s="59" t="str">
        <f t="array" ref="S1174">IF(COUNTA(Q1174:Q1673)=0,"",SUM((COUNTIF(Q$4:Q1174,Upgrades!$B$3:$B$13)-COUNTIF(Q$4:Q1174,"Sell_"&amp;Upgrades!$B$3:$B$13))*Upgrades!$D$3:$D$13))</f>
        <v/>
      </c>
      <c r="T1174" s="66" t="str">
        <f>IFERROR(__xludf.DUMMYFUNCTION("IF(COUNTA(Q1174:Q1673)=0,"""",IF(REGEXMATCH(INDEX(FILTER(Q$4:Q1174,Q$4:Q1174&lt;&gt;""""),ROWS(FILTER(Q$4:Q1174,Q$4:Q1174&lt;&gt;""""))),""^Sell_""),INDEX(FILTER(T$4:T1173,Q$4:Q1173&lt;&gt;""""),ROWS(FILTER(Q$4:Q1173,Q$4:Q1173&lt;&gt;""""))),$AD$5+S1174))"),"")</f>
        <v/>
      </c>
      <c r="U1174" s="10" t="str">
        <f>IFERROR(__xludf.DUMMYFUNCTION("IF(COUNTA(Q1174:Q1673)=0,"""",IF(Q1174="""",0,IF(REGEXMATCH(Q1174,""^Sell_""),-ROUNDDOWN(ROUNDUP(INDEX(Upgrades!$C$3:$C$13,MATCH(SUBSTITUTE(Q1174,""Sell_"",""""),Upgrades!$B$3:$B$13,0))*1.15^(COUNTIF(Q$4:Q1173,SUBSTITUTE(Q1174,""Sell_"",""""))-COUNTIF(Q$4"&amp;":Q1173,""Sell_""&amp;SUBSTITUTE(Q1174,""Sell_"",""""))))/2),ROUNDUP(INDEX(Upgrades!$C$3:$C$13,MATCH(Q1174,Upgrades!$B$3:$B$13,0))*1.15^(COUNTIF(Q$4:Q1173,Q1174)-COUNTIF(Q$4:Q1173,""Sell_""&amp;Q1174))))))"),"")</f>
        <v/>
      </c>
      <c r="V1174" s="10" t="str">
        <f t="shared" si="11"/>
        <v/>
      </c>
      <c r="W1174" s="68" t="str">
        <f t="shared" si="12"/>
        <v/>
      </c>
      <c r="X1174" s="59" t="str">
        <f t="shared" si="13"/>
        <v/>
      </c>
      <c r="Y1174" s="69" t="str">
        <f t="shared" si="14"/>
        <v/>
      </c>
      <c r="Z1174" s="11"/>
    </row>
    <row r="1175">
      <c r="A1175" s="8"/>
      <c r="B1175" s="56" t="str">
        <f t="shared" si="2"/>
        <v/>
      </c>
      <c r="C1175" s="105"/>
      <c r="D1175" s="10"/>
      <c r="E1175" s="59" t="str">
        <f t="array" ref="E1175">IF(COUNTA(C1175:C1673)=0,"",SUM((COUNTIF(C$4:C1175,Upgrades!$B$3:$B$13)-COUNTIF(C$4:C1175,"Sell_"&amp;Upgrades!$B$3:$B$13))*Upgrades!$D$3:$D$13))</f>
        <v/>
      </c>
      <c r="F1175" s="66" t="str">
        <f>IFERROR(__xludf.DUMMYFUNCTION("IF(COUNTA(C1175:C1673)=0,"""",IF(REGEXMATCH(INDEX(FILTER(C$4:C1175,C$4:C1175&lt;&gt;""""),ROWS(FILTER(C$4:C1175,C$4:C1175&lt;&gt;""""))),""^Sell_""),INDEX(FILTER(F$4:F1174,C$4:C1174&lt;&gt;""""),ROWS(FILTER(C$4:C1174,C$4:C1174&lt;&gt;""""))),$AC$5+E1175))"),"")</f>
        <v/>
      </c>
      <c r="G1175" s="10" t="str">
        <f>IFERROR(__xludf.DUMMYFUNCTION("IF(COUNTA(C1175:C1673)=0,"""",IF(C1175="""",0,IF(REGEXMATCH(C1175,""^Sell_""),-ROUNDDOWN(ROUNDUP(INDEX(Upgrades!$C$3:$C$13,MATCH(SUBSTITUTE(C1175,""Sell_"",""""),Upgrades!$B$3:$B$13,0))*1.15^(COUNTIF(C$4:C1174,SUBSTITUTE(C1175,""Sell_"",""""))-COUNTIF(C$4"&amp;":C1174,""Sell_""&amp;SUBSTITUTE(C1175,""Sell_"",""""))))/2),ROUNDUP(INDEX(Upgrades!$C$3:$C$13,MATCH(C1175,Upgrades!$B$3:$B$13,0))*1.15^(COUNTIF(C$4:C1174,C1175)-COUNTIF(C$4:C1174,""Sell_""&amp;C1175))))))"),"")</f>
        <v/>
      </c>
      <c r="H1175" s="10" t="str">
        <f t="shared" si="3"/>
        <v/>
      </c>
      <c r="I1175" s="68" t="str">
        <f t="shared" si="4"/>
        <v/>
      </c>
      <c r="J1175" s="59" t="str">
        <f t="shared" si="5"/>
        <v/>
      </c>
      <c r="K1175" s="69" t="str">
        <f t="shared" si="6"/>
        <v/>
      </c>
      <c r="L1175" s="60" t="str">
        <f t="shared" si="7"/>
        <v/>
      </c>
      <c r="M1175" s="61" t="str">
        <f>IFERROR(__xludf.DUMMYFUNCTION("IFS(AND(COUNTA(C1175:C1673)=0,COUNTA(Q1175:Q1673)=0),"""",OR(AND(K1175&gt;=1000000000,OR(Y1175&gt;=1000000000,COUNTA(Q1175:Q1673)=0)),OR(Y1175&gt;=1000000000,AND(COUNTA(C1175:C1673)=0,P$3=TRUE))),
ROUNDDOWN((AB$1-AC$1)*MAX(INDEX(T$4:T1673,MATCH(LARGE(FILTER(Y$4:Y1"&amp;"673,Y$4:Y1673&lt;1000000000),1),Y$4:Y1673)),INDEX(F$4:F1673,MATCH(LARGE(FILTER(K$4:K1673,K$4:K1673&lt;1000000000),1),K$4:K1673)))),AND(K1175&lt;1000000000,COUNTA(C1175:C1673)&gt;0,P$3=FALSE),
ROUNDDOWN(INDEX(Y$4:Y1673,MATCH(LARGE(FILTER(W$4:W1673,W$4:W1673&lt;=I1175),1)"&amp;",W$4:W1673))+(I1175-LARGE(FILTER(W$4:W1673,W$4:W1673&lt;=I1175),1))*INDEX(T$4:T1673,MATCH(LARGE(FILTER(W$4:W1673,W$4:W1673&lt;=I1175),1),W$4:W1673))-K1175),1,
ROUNDDOWN(Y1175-INDEX(K$4:K1673,MATCH(LARGE(FILTER(I$4:I1673,I$4:I1673&lt;=W1175),1),I$4:I1673))-(W1175-L"&amp;"ARGE(FILTER(I$4:I1673,I$4:I1673&lt;=W1175),1))*INDEX(F$4:F1673,MATCH(LARGE(FILTER(I$4:I1673,I$4:I1673&lt;=W1175),1),I$4:I1673))))"),"")</f>
        <v/>
      </c>
      <c r="N1175" s="60" t="str">
        <f t="shared" si="8"/>
        <v/>
      </c>
      <c r="O1175" s="61" t="str">
        <f t="shared" si="9"/>
        <v/>
      </c>
      <c r="P1175" s="56" t="str">
        <f t="shared" si="10"/>
        <v/>
      </c>
      <c r="Q1175" s="67"/>
      <c r="R1175" s="10"/>
      <c r="S1175" s="59" t="str">
        <f t="array" ref="S1175">IF(COUNTA(Q1175:Q1673)=0,"",SUM((COUNTIF(Q$4:Q1175,Upgrades!$B$3:$B$13)-COUNTIF(Q$4:Q1175,"Sell_"&amp;Upgrades!$B$3:$B$13))*Upgrades!$D$3:$D$13))</f>
        <v/>
      </c>
      <c r="T1175" s="66" t="str">
        <f>IFERROR(__xludf.DUMMYFUNCTION("IF(COUNTA(Q1175:Q1673)=0,"""",IF(REGEXMATCH(INDEX(FILTER(Q$4:Q1175,Q$4:Q1175&lt;&gt;""""),ROWS(FILTER(Q$4:Q1175,Q$4:Q1175&lt;&gt;""""))),""^Sell_""),INDEX(FILTER(T$4:T1174,Q$4:Q1174&lt;&gt;""""),ROWS(FILTER(Q$4:Q1174,Q$4:Q1174&lt;&gt;""""))),$AD$5+S1175))"),"")</f>
        <v/>
      </c>
      <c r="U1175" s="10" t="str">
        <f>IFERROR(__xludf.DUMMYFUNCTION("IF(COUNTA(Q1175:Q1673)=0,"""",IF(Q1175="""",0,IF(REGEXMATCH(Q1175,""^Sell_""),-ROUNDDOWN(ROUNDUP(INDEX(Upgrades!$C$3:$C$13,MATCH(SUBSTITUTE(Q1175,""Sell_"",""""),Upgrades!$B$3:$B$13,0))*1.15^(COUNTIF(Q$4:Q1174,SUBSTITUTE(Q1175,""Sell_"",""""))-COUNTIF(Q$4"&amp;":Q1174,""Sell_""&amp;SUBSTITUTE(Q1175,""Sell_"",""""))))/2),ROUNDUP(INDEX(Upgrades!$C$3:$C$13,MATCH(Q1175,Upgrades!$B$3:$B$13,0))*1.15^(COUNTIF(Q$4:Q1174,Q1175)-COUNTIF(Q$4:Q1174,""Sell_""&amp;Q1175))))))"),"")</f>
        <v/>
      </c>
      <c r="V1175" s="10" t="str">
        <f t="shared" si="11"/>
        <v/>
      </c>
      <c r="W1175" s="68" t="str">
        <f t="shared" si="12"/>
        <v/>
      </c>
      <c r="X1175" s="59" t="str">
        <f t="shared" si="13"/>
        <v/>
      </c>
      <c r="Y1175" s="69" t="str">
        <f t="shared" si="14"/>
        <v/>
      </c>
      <c r="Z1175" s="11"/>
    </row>
    <row r="1176">
      <c r="A1176" s="8"/>
      <c r="B1176" s="56" t="str">
        <f t="shared" si="2"/>
        <v/>
      </c>
      <c r="C1176" s="105"/>
      <c r="D1176" s="10"/>
      <c r="E1176" s="59" t="str">
        <f t="array" ref="E1176">IF(COUNTA(C1176:C1673)=0,"",SUM((COUNTIF(C$4:C1176,Upgrades!$B$3:$B$13)-COUNTIF(C$4:C1176,"Sell_"&amp;Upgrades!$B$3:$B$13))*Upgrades!$D$3:$D$13))</f>
        <v/>
      </c>
      <c r="F1176" s="66" t="str">
        <f>IFERROR(__xludf.DUMMYFUNCTION("IF(COUNTA(C1176:C1673)=0,"""",IF(REGEXMATCH(INDEX(FILTER(C$4:C1176,C$4:C1176&lt;&gt;""""),ROWS(FILTER(C$4:C1176,C$4:C1176&lt;&gt;""""))),""^Sell_""),INDEX(FILTER(F$4:F1175,C$4:C1175&lt;&gt;""""),ROWS(FILTER(C$4:C1175,C$4:C1175&lt;&gt;""""))),$AC$5+E1176))"),"")</f>
        <v/>
      </c>
      <c r="G1176" s="10" t="str">
        <f>IFERROR(__xludf.DUMMYFUNCTION("IF(COUNTA(C1176:C1673)=0,"""",IF(C1176="""",0,IF(REGEXMATCH(C1176,""^Sell_""),-ROUNDDOWN(ROUNDUP(INDEX(Upgrades!$C$3:$C$13,MATCH(SUBSTITUTE(C1176,""Sell_"",""""),Upgrades!$B$3:$B$13,0))*1.15^(COUNTIF(C$4:C1175,SUBSTITUTE(C1176,""Sell_"",""""))-COUNTIF(C$4"&amp;":C1175,""Sell_""&amp;SUBSTITUTE(C1176,""Sell_"",""""))))/2),ROUNDUP(INDEX(Upgrades!$C$3:$C$13,MATCH(C1176,Upgrades!$B$3:$B$13,0))*1.15^(COUNTIF(C$4:C1175,C1176)-COUNTIF(C$4:C1175,""Sell_""&amp;C1176))))))"),"")</f>
        <v/>
      </c>
      <c r="H1176" s="10" t="str">
        <f t="shared" si="3"/>
        <v/>
      </c>
      <c r="I1176" s="68" t="str">
        <f t="shared" si="4"/>
        <v/>
      </c>
      <c r="J1176" s="59" t="str">
        <f t="shared" si="5"/>
        <v/>
      </c>
      <c r="K1176" s="69" t="str">
        <f t="shared" si="6"/>
        <v/>
      </c>
      <c r="L1176" s="60" t="str">
        <f t="shared" si="7"/>
        <v/>
      </c>
      <c r="M1176" s="61" t="str">
        <f>IFERROR(__xludf.DUMMYFUNCTION("IFS(AND(COUNTA(C1176:C1673)=0,COUNTA(Q1176:Q1673)=0),"""",OR(AND(K1176&gt;=1000000000,OR(Y1176&gt;=1000000000,COUNTA(Q1176:Q1673)=0)),OR(Y1176&gt;=1000000000,AND(COUNTA(C1176:C1673)=0,P$3=TRUE))),
ROUNDDOWN((AB$1-AC$1)*MAX(INDEX(T$4:T1673,MATCH(LARGE(FILTER(Y$4:Y1"&amp;"673,Y$4:Y1673&lt;1000000000),1),Y$4:Y1673)),INDEX(F$4:F1673,MATCH(LARGE(FILTER(K$4:K1673,K$4:K1673&lt;1000000000),1),K$4:K1673)))),AND(K1176&lt;1000000000,COUNTA(C1176:C1673)&gt;0,P$3=FALSE),
ROUNDDOWN(INDEX(Y$4:Y1673,MATCH(LARGE(FILTER(W$4:W1673,W$4:W1673&lt;=I1176),1)"&amp;",W$4:W1673))+(I1176-LARGE(FILTER(W$4:W1673,W$4:W1673&lt;=I1176),1))*INDEX(T$4:T1673,MATCH(LARGE(FILTER(W$4:W1673,W$4:W1673&lt;=I1176),1),W$4:W1673))-K1176),1,
ROUNDDOWN(Y1176-INDEX(K$4:K1673,MATCH(LARGE(FILTER(I$4:I1673,I$4:I1673&lt;=W1176),1),I$4:I1673))-(W1176-L"&amp;"ARGE(FILTER(I$4:I1673,I$4:I1673&lt;=W1176),1))*INDEX(F$4:F1673,MATCH(LARGE(FILTER(I$4:I1673,I$4:I1673&lt;=W1176),1),I$4:I1673))))"),"")</f>
        <v/>
      </c>
      <c r="N1176" s="60" t="str">
        <f t="shared" si="8"/>
        <v/>
      </c>
      <c r="O1176" s="61" t="str">
        <f t="shared" si="9"/>
        <v/>
      </c>
      <c r="P1176" s="56" t="str">
        <f t="shared" si="10"/>
        <v/>
      </c>
      <c r="Q1176" s="67"/>
      <c r="R1176" s="10"/>
      <c r="S1176" s="59" t="str">
        <f t="array" ref="S1176">IF(COUNTA(Q1176:Q1673)=0,"",SUM((COUNTIF(Q$4:Q1176,Upgrades!$B$3:$B$13)-COUNTIF(Q$4:Q1176,"Sell_"&amp;Upgrades!$B$3:$B$13))*Upgrades!$D$3:$D$13))</f>
        <v/>
      </c>
      <c r="T1176" s="66" t="str">
        <f>IFERROR(__xludf.DUMMYFUNCTION("IF(COUNTA(Q1176:Q1673)=0,"""",IF(REGEXMATCH(INDEX(FILTER(Q$4:Q1176,Q$4:Q1176&lt;&gt;""""),ROWS(FILTER(Q$4:Q1176,Q$4:Q1176&lt;&gt;""""))),""^Sell_""),INDEX(FILTER(T$4:T1175,Q$4:Q1175&lt;&gt;""""),ROWS(FILTER(Q$4:Q1175,Q$4:Q1175&lt;&gt;""""))),$AD$5+S1176))"),"")</f>
        <v/>
      </c>
      <c r="U1176" s="10" t="str">
        <f>IFERROR(__xludf.DUMMYFUNCTION("IF(COUNTA(Q1176:Q1673)=0,"""",IF(Q1176="""",0,IF(REGEXMATCH(Q1176,""^Sell_""),-ROUNDDOWN(ROUNDUP(INDEX(Upgrades!$C$3:$C$13,MATCH(SUBSTITUTE(Q1176,""Sell_"",""""),Upgrades!$B$3:$B$13,0))*1.15^(COUNTIF(Q$4:Q1175,SUBSTITUTE(Q1176,""Sell_"",""""))-COUNTIF(Q$4"&amp;":Q1175,""Sell_""&amp;SUBSTITUTE(Q1176,""Sell_"",""""))))/2),ROUNDUP(INDEX(Upgrades!$C$3:$C$13,MATCH(Q1176,Upgrades!$B$3:$B$13,0))*1.15^(COUNTIF(Q$4:Q1175,Q1176)-COUNTIF(Q$4:Q1175,""Sell_""&amp;Q1176))))))"),"")</f>
        <v/>
      </c>
      <c r="V1176" s="10" t="str">
        <f t="shared" si="11"/>
        <v/>
      </c>
      <c r="W1176" s="68" t="str">
        <f t="shared" si="12"/>
        <v/>
      </c>
      <c r="X1176" s="59" t="str">
        <f t="shared" si="13"/>
        <v/>
      </c>
      <c r="Y1176" s="69" t="str">
        <f t="shared" si="14"/>
        <v/>
      </c>
      <c r="Z1176" s="11"/>
    </row>
    <row r="1177">
      <c r="A1177" s="8"/>
      <c r="B1177" s="56" t="str">
        <f t="shared" si="2"/>
        <v/>
      </c>
      <c r="C1177" s="105"/>
      <c r="D1177" s="10"/>
      <c r="E1177" s="59" t="str">
        <f t="array" ref="E1177">IF(COUNTA(C1177:C1673)=0,"",SUM((COUNTIF(C$4:C1177,Upgrades!$B$3:$B$13)-COUNTIF(C$4:C1177,"Sell_"&amp;Upgrades!$B$3:$B$13))*Upgrades!$D$3:$D$13))</f>
        <v/>
      </c>
      <c r="F1177" s="66" t="str">
        <f>IFERROR(__xludf.DUMMYFUNCTION("IF(COUNTA(C1177:C1673)=0,"""",IF(REGEXMATCH(INDEX(FILTER(C$4:C1177,C$4:C1177&lt;&gt;""""),ROWS(FILTER(C$4:C1177,C$4:C1177&lt;&gt;""""))),""^Sell_""),INDEX(FILTER(F$4:F1176,C$4:C1176&lt;&gt;""""),ROWS(FILTER(C$4:C1176,C$4:C1176&lt;&gt;""""))),$AC$5+E1177))"),"")</f>
        <v/>
      </c>
      <c r="G1177" s="10" t="str">
        <f>IFERROR(__xludf.DUMMYFUNCTION("IF(COUNTA(C1177:C1673)=0,"""",IF(C1177="""",0,IF(REGEXMATCH(C1177,""^Sell_""),-ROUNDDOWN(ROUNDUP(INDEX(Upgrades!$C$3:$C$13,MATCH(SUBSTITUTE(C1177,""Sell_"",""""),Upgrades!$B$3:$B$13,0))*1.15^(COUNTIF(C$4:C1176,SUBSTITUTE(C1177,""Sell_"",""""))-COUNTIF(C$4"&amp;":C1176,""Sell_""&amp;SUBSTITUTE(C1177,""Sell_"",""""))))/2),ROUNDUP(INDEX(Upgrades!$C$3:$C$13,MATCH(C1177,Upgrades!$B$3:$B$13,0))*1.15^(COUNTIF(C$4:C1176,C1177)-COUNTIF(C$4:C1176,""Sell_""&amp;C1177))))))"),"")</f>
        <v/>
      </c>
      <c r="H1177" s="10" t="str">
        <f t="shared" si="3"/>
        <v/>
      </c>
      <c r="I1177" s="68" t="str">
        <f t="shared" si="4"/>
        <v/>
      </c>
      <c r="J1177" s="59" t="str">
        <f t="shared" si="5"/>
        <v/>
      </c>
      <c r="K1177" s="69" t="str">
        <f t="shared" si="6"/>
        <v/>
      </c>
      <c r="L1177" s="60" t="str">
        <f t="shared" si="7"/>
        <v/>
      </c>
      <c r="M1177" s="61" t="str">
        <f>IFERROR(__xludf.DUMMYFUNCTION("IFS(AND(COUNTA(C1177:C1673)=0,COUNTA(Q1177:Q1673)=0),"""",OR(AND(K1177&gt;=1000000000,OR(Y1177&gt;=1000000000,COUNTA(Q1177:Q1673)=0)),OR(Y1177&gt;=1000000000,AND(COUNTA(C1177:C1673)=0,P$3=TRUE))),
ROUNDDOWN((AB$1-AC$1)*MAX(INDEX(T$4:T1673,MATCH(LARGE(FILTER(Y$4:Y1"&amp;"673,Y$4:Y1673&lt;1000000000),1),Y$4:Y1673)),INDEX(F$4:F1673,MATCH(LARGE(FILTER(K$4:K1673,K$4:K1673&lt;1000000000),1),K$4:K1673)))),AND(K1177&lt;1000000000,COUNTA(C1177:C1673)&gt;0,P$3=FALSE),
ROUNDDOWN(INDEX(Y$4:Y1673,MATCH(LARGE(FILTER(W$4:W1673,W$4:W1673&lt;=I1177),1)"&amp;",W$4:W1673))+(I1177-LARGE(FILTER(W$4:W1673,W$4:W1673&lt;=I1177),1))*INDEX(T$4:T1673,MATCH(LARGE(FILTER(W$4:W1673,W$4:W1673&lt;=I1177),1),W$4:W1673))-K1177),1,
ROUNDDOWN(Y1177-INDEX(K$4:K1673,MATCH(LARGE(FILTER(I$4:I1673,I$4:I1673&lt;=W1177),1),I$4:I1673))-(W1177-L"&amp;"ARGE(FILTER(I$4:I1673,I$4:I1673&lt;=W1177),1))*INDEX(F$4:F1673,MATCH(LARGE(FILTER(I$4:I1673,I$4:I1673&lt;=W1177),1),I$4:I1673))))"),"")</f>
        <v/>
      </c>
      <c r="N1177" s="60" t="str">
        <f t="shared" si="8"/>
        <v/>
      </c>
      <c r="O1177" s="61" t="str">
        <f t="shared" si="9"/>
        <v/>
      </c>
      <c r="P1177" s="56" t="str">
        <f t="shared" si="10"/>
        <v/>
      </c>
      <c r="Q1177" s="67"/>
      <c r="R1177" s="10"/>
      <c r="S1177" s="59" t="str">
        <f t="array" ref="S1177">IF(COUNTA(Q1177:Q1673)=0,"",SUM((COUNTIF(Q$4:Q1177,Upgrades!$B$3:$B$13)-COUNTIF(Q$4:Q1177,"Sell_"&amp;Upgrades!$B$3:$B$13))*Upgrades!$D$3:$D$13))</f>
        <v/>
      </c>
      <c r="T1177" s="66" t="str">
        <f>IFERROR(__xludf.DUMMYFUNCTION("IF(COUNTA(Q1177:Q1673)=0,"""",IF(REGEXMATCH(INDEX(FILTER(Q$4:Q1177,Q$4:Q1177&lt;&gt;""""),ROWS(FILTER(Q$4:Q1177,Q$4:Q1177&lt;&gt;""""))),""^Sell_""),INDEX(FILTER(T$4:T1176,Q$4:Q1176&lt;&gt;""""),ROWS(FILTER(Q$4:Q1176,Q$4:Q1176&lt;&gt;""""))),$AD$5+S1177))"),"")</f>
        <v/>
      </c>
      <c r="U1177" s="10" t="str">
        <f>IFERROR(__xludf.DUMMYFUNCTION("IF(COUNTA(Q1177:Q1673)=0,"""",IF(Q1177="""",0,IF(REGEXMATCH(Q1177,""^Sell_""),-ROUNDDOWN(ROUNDUP(INDEX(Upgrades!$C$3:$C$13,MATCH(SUBSTITUTE(Q1177,""Sell_"",""""),Upgrades!$B$3:$B$13,0))*1.15^(COUNTIF(Q$4:Q1176,SUBSTITUTE(Q1177,""Sell_"",""""))-COUNTIF(Q$4"&amp;":Q1176,""Sell_""&amp;SUBSTITUTE(Q1177,""Sell_"",""""))))/2),ROUNDUP(INDEX(Upgrades!$C$3:$C$13,MATCH(Q1177,Upgrades!$B$3:$B$13,0))*1.15^(COUNTIF(Q$4:Q1176,Q1177)-COUNTIF(Q$4:Q1176,""Sell_""&amp;Q1177))))))"),"")</f>
        <v/>
      </c>
      <c r="V1177" s="10" t="str">
        <f t="shared" si="11"/>
        <v/>
      </c>
      <c r="W1177" s="68" t="str">
        <f t="shared" si="12"/>
        <v/>
      </c>
      <c r="X1177" s="59" t="str">
        <f t="shared" si="13"/>
        <v/>
      </c>
      <c r="Y1177" s="69" t="str">
        <f t="shared" si="14"/>
        <v/>
      </c>
      <c r="Z1177" s="11"/>
    </row>
    <row r="1178">
      <c r="A1178" s="8"/>
      <c r="B1178" s="56" t="str">
        <f t="shared" si="2"/>
        <v/>
      </c>
      <c r="C1178" s="105"/>
      <c r="D1178" s="10"/>
      <c r="E1178" s="59" t="str">
        <f t="array" ref="E1178">IF(COUNTA(C1178:C1673)=0,"",SUM((COUNTIF(C$4:C1178,Upgrades!$B$3:$B$13)-COUNTIF(C$4:C1178,"Sell_"&amp;Upgrades!$B$3:$B$13))*Upgrades!$D$3:$D$13))</f>
        <v/>
      </c>
      <c r="F1178" s="66" t="str">
        <f>IFERROR(__xludf.DUMMYFUNCTION("IF(COUNTA(C1178:C1673)=0,"""",IF(REGEXMATCH(INDEX(FILTER(C$4:C1178,C$4:C1178&lt;&gt;""""),ROWS(FILTER(C$4:C1178,C$4:C1178&lt;&gt;""""))),""^Sell_""),INDEX(FILTER(F$4:F1177,C$4:C1177&lt;&gt;""""),ROWS(FILTER(C$4:C1177,C$4:C1177&lt;&gt;""""))),$AC$5+E1178))"),"")</f>
        <v/>
      </c>
      <c r="G1178" s="10" t="str">
        <f>IFERROR(__xludf.DUMMYFUNCTION("IF(COUNTA(C1178:C1673)=0,"""",IF(C1178="""",0,IF(REGEXMATCH(C1178,""^Sell_""),-ROUNDDOWN(ROUNDUP(INDEX(Upgrades!$C$3:$C$13,MATCH(SUBSTITUTE(C1178,""Sell_"",""""),Upgrades!$B$3:$B$13,0))*1.15^(COUNTIF(C$4:C1177,SUBSTITUTE(C1178,""Sell_"",""""))-COUNTIF(C$4"&amp;":C1177,""Sell_""&amp;SUBSTITUTE(C1178,""Sell_"",""""))))/2),ROUNDUP(INDEX(Upgrades!$C$3:$C$13,MATCH(C1178,Upgrades!$B$3:$B$13,0))*1.15^(COUNTIF(C$4:C1177,C1178)-COUNTIF(C$4:C1177,""Sell_""&amp;C1178))))))"),"")</f>
        <v/>
      </c>
      <c r="H1178" s="10" t="str">
        <f t="shared" si="3"/>
        <v/>
      </c>
      <c r="I1178" s="68" t="str">
        <f t="shared" si="4"/>
        <v/>
      </c>
      <c r="J1178" s="59" t="str">
        <f t="shared" si="5"/>
        <v/>
      </c>
      <c r="K1178" s="69" t="str">
        <f t="shared" si="6"/>
        <v/>
      </c>
      <c r="L1178" s="60" t="str">
        <f t="shared" si="7"/>
        <v/>
      </c>
      <c r="M1178" s="61" t="str">
        <f>IFERROR(__xludf.DUMMYFUNCTION("IFS(AND(COUNTA(C1178:C1673)=0,COUNTA(Q1178:Q1673)=0),"""",OR(AND(K1178&gt;=1000000000,OR(Y1178&gt;=1000000000,COUNTA(Q1178:Q1673)=0)),OR(Y1178&gt;=1000000000,AND(COUNTA(C1178:C1673)=0,P$3=TRUE))),
ROUNDDOWN((AB$1-AC$1)*MAX(INDEX(T$4:T1673,MATCH(LARGE(FILTER(Y$4:Y1"&amp;"673,Y$4:Y1673&lt;1000000000),1),Y$4:Y1673)),INDEX(F$4:F1673,MATCH(LARGE(FILTER(K$4:K1673,K$4:K1673&lt;1000000000),1),K$4:K1673)))),AND(K1178&lt;1000000000,COUNTA(C1178:C1673)&gt;0,P$3=FALSE),
ROUNDDOWN(INDEX(Y$4:Y1673,MATCH(LARGE(FILTER(W$4:W1673,W$4:W1673&lt;=I1178),1)"&amp;",W$4:W1673))+(I1178-LARGE(FILTER(W$4:W1673,W$4:W1673&lt;=I1178),1))*INDEX(T$4:T1673,MATCH(LARGE(FILTER(W$4:W1673,W$4:W1673&lt;=I1178),1),W$4:W1673))-K1178),1,
ROUNDDOWN(Y1178-INDEX(K$4:K1673,MATCH(LARGE(FILTER(I$4:I1673,I$4:I1673&lt;=W1178),1),I$4:I1673))-(W1178-L"&amp;"ARGE(FILTER(I$4:I1673,I$4:I1673&lt;=W1178),1))*INDEX(F$4:F1673,MATCH(LARGE(FILTER(I$4:I1673,I$4:I1673&lt;=W1178),1),I$4:I1673))))"),"")</f>
        <v/>
      </c>
      <c r="N1178" s="60" t="str">
        <f t="shared" si="8"/>
        <v/>
      </c>
      <c r="O1178" s="61" t="str">
        <f t="shared" si="9"/>
        <v/>
      </c>
      <c r="P1178" s="56" t="str">
        <f t="shared" si="10"/>
        <v/>
      </c>
      <c r="Q1178" s="67"/>
      <c r="R1178" s="10"/>
      <c r="S1178" s="59" t="str">
        <f t="array" ref="S1178">IF(COUNTA(Q1178:Q1673)=0,"",SUM((COUNTIF(Q$4:Q1178,Upgrades!$B$3:$B$13)-COUNTIF(Q$4:Q1178,"Sell_"&amp;Upgrades!$B$3:$B$13))*Upgrades!$D$3:$D$13))</f>
        <v/>
      </c>
      <c r="T1178" s="66" t="str">
        <f>IFERROR(__xludf.DUMMYFUNCTION("IF(COUNTA(Q1178:Q1673)=0,"""",IF(REGEXMATCH(INDEX(FILTER(Q$4:Q1178,Q$4:Q1178&lt;&gt;""""),ROWS(FILTER(Q$4:Q1178,Q$4:Q1178&lt;&gt;""""))),""^Sell_""),INDEX(FILTER(T$4:T1177,Q$4:Q1177&lt;&gt;""""),ROWS(FILTER(Q$4:Q1177,Q$4:Q1177&lt;&gt;""""))),$AD$5+S1178))"),"")</f>
        <v/>
      </c>
      <c r="U1178" s="10" t="str">
        <f>IFERROR(__xludf.DUMMYFUNCTION("IF(COUNTA(Q1178:Q1673)=0,"""",IF(Q1178="""",0,IF(REGEXMATCH(Q1178,""^Sell_""),-ROUNDDOWN(ROUNDUP(INDEX(Upgrades!$C$3:$C$13,MATCH(SUBSTITUTE(Q1178,""Sell_"",""""),Upgrades!$B$3:$B$13,0))*1.15^(COUNTIF(Q$4:Q1177,SUBSTITUTE(Q1178,""Sell_"",""""))-COUNTIF(Q$4"&amp;":Q1177,""Sell_""&amp;SUBSTITUTE(Q1178,""Sell_"",""""))))/2),ROUNDUP(INDEX(Upgrades!$C$3:$C$13,MATCH(Q1178,Upgrades!$B$3:$B$13,0))*1.15^(COUNTIF(Q$4:Q1177,Q1178)-COUNTIF(Q$4:Q1177,""Sell_""&amp;Q1178))))))"),"")</f>
        <v/>
      </c>
      <c r="V1178" s="10" t="str">
        <f t="shared" si="11"/>
        <v/>
      </c>
      <c r="W1178" s="68" t="str">
        <f t="shared" si="12"/>
        <v/>
      </c>
      <c r="X1178" s="59" t="str">
        <f t="shared" si="13"/>
        <v/>
      </c>
      <c r="Y1178" s="69" t="str">
        <f t="shared" si="14"/>
        <v/>
      </c>
      <c r="Z1178" s="11"/>
    </row>
    <row r="1179">
      <c r="A1179" s="8"/>
      <c r="B1179" s="56" t="str">
        <f t="shared" si="2"/>
        <v/>
      </c>
      <c r="C1179" s="105"/>
      <c r="D1179" s="10"/>
      <c r="E1179" s="59" t="str">
        <f t="array" ref="E1179">IF(COUNTA(C1179:C1673)=0,"",SUM((COUNTIF(C$4:C1179,Upgrades!$B$3:$B$13)-COUNTIF(C$4:C1179,"Sell_"&amp;Upgrades!$B$3:$B$13))*Upgrades!$D$3:$D$13))</f>
        <v/>
      </c>
      <c r="F1179" s="66" t="str">
        <f>IFERROR(__xludf.DUMMYFUNCTION("IF(COUNTA(C1179:C1673)=0,"""",IF(REGEXMATCH(INDEX(FILTER(C$4:C1179,C$4:C1179&lt;&gt;""""),ROWS(FILTER(C$4:C1179,C$4:C1179&lt;&gt;""""))),""^Sell_""),INDEX(FILTER(F$4:F1178,C$4:C1178&lt;&gt;""""),ROWS(FILTER(C$4:C1178,C$4:C1178&lt;&gt;""""))),$AC$5+E1179))"),"")</f>
        <v/>
      </c>
      <c r="G1179" s="10" t="str">
        <f>IFERROR(__xludf.DUMMYFUNCTION("IF(COUNTA(C1179:C1673)=0,"""",IF(C1179="""",0,IF(REGEXMATCH(C1179,""^Sell_""),-ROUNDDOWN(ROUNDUP(INDEX(Upgrades!$C$3:$C$13,MATCH(SUBSTITUTE(C1179,""Sell_"",""""),Upgrades!$B$3:$B$13,0))*1.15^(COUNTIF(C$4:C1178,SUBSTITUTE(C1179,""Sell_"",""""))-COUNTIF(C$4"&amp;":C1178,""Sell_""&amp;SUBSTITUTE(C1179,""Sell_"",""""))))/2),ROUNDUP(INDEX(Upgrades!$C$3:$C$13,MATCH(C1179,Upgrades!$B$3:$B$13,0))*1.15^(COUNTIF(C$4:C1178,C1179)-COUNTIF(C$4:C1178,""Sell_""&amp;C1179))))))"),"")</f>
        <v/>
      </c>
      <c r="H1179" s="10" t="str">
        <f t="shared" si="3"/>
        <v/>
      </c>
      <c r="I1179" s="68" t="str">
        <f t="shared" si="4"/>
        <v/>
      </c>
      <c r="J1179" s="59" t="str">
        <f t="shared" si="5"/>
        <v/>
      </c>
      <c r="K1179" s="69" t="str">
        <f t="shared" si="6"/>
        <v/>
      </c>
      <c r="L1179" s="60" t="str">
        <f t="shared" si="7"/>
        <v/>
      </c>
      <c r="M1179" s="61" t="str">
        <f>IFERROR(__xludf.DUMMYFUNCTION("IFS(AND(COUNTA(C1179:C1673)=0,COUNTA(Q1179:Q1673)=0),"""",OR(AND(K1179&gt;=1000000000,OR(Y1179&gt;=1000000000,COUNTA(Q1179:Q1673)=0)),OR(Y1179&gt;=1000000000,AND(COUNTA(C1179:C1673)=0,P$3=TRUE))),
ROUNDDOWN((AB$1-AC$1)*MAX(INDEX(T$4:T1673,MATCH(LARGE(FILTER(Y$4:Y1"&amp;"673,Y$4:Y1673&lt;1000000000),1),Y$4:Y1673)),INDEX(F$4:F1673,MATCH(LARGE(FILTER(K$4:K1673,K$4:K1673&lt;1000000000),1),K$4:K1673)))),AND(K1179&lt;1000000000,COUNTA(C1179:C1673)&gt;0,P$3=FALSE),
ROUNDDOWN(INDEX(Y$4:Y1673,MATCH(LARGE(FILTER(W$4:W1673,W$4:W1673&lt;=I1179),1)"&amp;",W$4:W1673))+(I1179-LARGE(FILTER(W$4:W1673,W$4:W1673&lt;=I1179),1))*INDEX(T$4:T1673,MATCH(LARGE(FILTER(W$4:W1673,W$4:W1673&lt;=I1179),1),W$4:W1673))-K1179),1,
ROUNDDOWN(Y1179-INDEX(K$4:K1673,MATCH(LARGE(FILTER(I$4:I1673,I$4:I1673&lt;=W1179),1),I$4:I1673))-(W1179-L"&amp;"ARGE(FILTER(I$4:I1673,I$4:I1673&lt;=W1179),1))*INDEX(F$4:F1673,MATCH(LARGE(FILTER(I$4:I1673,I$4:I1673&lt;=W1179),1),I$4:I1673))))"),"")</f>
        <v/>
      </c>
      <c r="N1179" s="60" t="str">
        <f t="shared" si="8"/>
        <v/>
      </c>
      <c r="O1179" s="61" t="str">
        <f t="shared" si="9"/>
        <v/>
      </c>
      <c r="P1179" s="56" t="str">
        <f t="shared" si="10"/>
        <v/>
      </c>
      <c r="Q1179" s="67"/>
      <c r="R1179" s="10"/>
      <c r="S1179" s="59" t="str">
        <f t="array" ref="S1179">IF(COUNTA(Q1179:Q1673)=0,"",SUM((COUNTIF(Q$4:Q1179,Upgrades!$B$3:$B$13)-COUNTIF(Q$4:Q1179,"Sell_"&amp;Upgrades!$B$3:$B$13))*Upgrades!$D$3:$D$13))</f>
        <v/>
      </c>
      <c r="T1179" s="66" t="str">
        <f>IFERROR(__xludf.DUMMYFUNCTION("IF(COUNTA(Q1179:Q1673)=0,"""",IF(REGEXMATCH(INDEX(FILTER(Q$4:Q1179,Q$4:Q1179&lt;&gt;""""),ROWS(FILTER(Q$4:Q1179,Q$4:Q1179&lt;&gt;""""))),""^Sell_""),INDEX(FILTER(T$4:T1178,Q$4:Q1178&lt;&gt;""""),ROWS(FILTER(Q$4:Q1178,Q$4:Q1178&lt;&gt;""""))),$AD$5+S1179))"),"")</f>
        <v/>
      </c>
      <c r="U1179" s="10" t="str">
        <f>IFERROR(__xludf.DUMMYFUNCTION("IF(COUNTA(Q1179:Q1673)=0,"""",IF(Q1179="""",0,IF(REGEXMATCH(Q1179,""^Sell_""),-ROUNDDOWN(ROUNDUP(INDEX(Upgrades!$C$3:$C$13,MATCH(SUBSTITUTE(Q1179,""Sell_"",""""),Upgrades!$B$3:$B$13,0))*1.15^(COUNTIF(Q$4:Q1178,SUBSTITUTE(Q1179,""Sell_"",""""))-COUNTIF(Q$4"&amp;":Q1178,""Sell_""&amp;SUBSTITUTE(Q1179,""Sell_"",""""))))/2),ROUNDUP(INDEX(Upgrades!$C$3:$C$13,MATCH(Q1179,Upgrades!$B$3:$B$13,0))*1.15^(COUNTIF(Q$4:Q1178,Q1179)-COUNTIF(Q$4:Q1178,""Sell_""&amp;Q1179))))))"),"")</f>
        <v/>
      </c>
      <c r="V1179" s="10" t="str">
        <f t="shared" si="11"/>
        <v/>
      </c>
      <c r="W1179" s="68" t="str">
        <f t="shared" si="12"/>
        <v/>
      </c>
      <c r="X1179" s="59" t="str">
        <f t="shared" si="13"/>
        <v/>
      </c>
      <c r="Y1179" s="69" t="str">
        <f t="shared" si="14"/>
        <v/>
      </c>
      <c r="Z1179" s="11"/>
    </row>
    <row r="1180">
      <c r="A1180" s="8"/>
      <c r="B1180" s="56" t="str">
        <f t="shared" si="2"/>
        <v/>
      </c>
      <c r="C1180" s="105"/>
      <c r="D1180" s="10"/>
      <c r="E1180" s="59" t="str">
        <f t="array" ref="E1180">IF(COUNTA(C1180:C1673)=0,"",SUM((COUNTIF(C$4:C1180,Upgrades!$B$3:$B$13)-COUNTIF(C$4:C1180,"Sell_"&amp;Upgrades!$B$3:$B$13))*Upgrades!$D$3:$D$13))</f>
        <v/>
      </c>
      <c r="F1180" s="66" t="str">
        <f>IFERROR(__xludf.DUMMYFUNCTION("IF(COUNTA(C1180:C1673)=0,"""",IF(REGEXMATCH(INDEX(FILTER(C$4:C1180,C$4:C1180&lt;&gt;""""),ROWS(FILTER(C$4:C1180,C$4:C1180&lt;&gt;""""))),""^Sell_""),INDEX(FILTER(F$4:F1179,C$4:C1179&lt;&gt;""""),ROWS(FILTER(C$4:C1179,C$4:C1179&lt;&gt;""""))),$AC$5+E1180))"),"")</f>
        <v/>
      </c>
      <c r="G1180" s="10" t="str">
        <f>IFERROR(__xludf.DUMMYFUNCTION("IF(COUNTA(C1180:C1673)=0,"""",IF(C1180="""",0,IF(REGEXMATCH(C1180,""^Sell_""),-ROUNDDOWN(ROUNDUP(INDEX(Upgrades!$C$3:$C$13,MATCH(SUBSTITUTE(C1180,""Sell_"",""""),Upgrades!$B$3:$B$13,0))*1.15^(COUNTIF(C$4:C1179,SUBSTITUTE(C1180,""Sell_"",""""))-COUNTIF(C$4"&amp;":C1179,""Sell_""&amp;SUBSTITUTE(C1180,""Sell_"",""""))))/2),ROUNDUP(INDEX(Upgrades!$C$3:$C$13,MATCH(C1180,Upgrades!$B$3:$B$13,0))*1.15^(COUNTIF(C$4:C1179,C1180)-COUNTIF(C$4:C1179,""Sell_""&amp;C1180))))))"),"")</f>
        <v/>
      </c>
      <c r="H1180" s="10" t="str">
        <f t="shared" si="3"/>
        <v/>
      </c>
      <c r="I1180" s="68" t="str">
        <f t="shared" si="4"/>
        <v/>
      </c>
      <c r="J1180" s="59" t="str">
        <f t="shared" si="5"/>
        <v/>
      </c>
      <c r="K1180" s="69" t="str">
        <f t="shared" si="6"/>
        <v/>
      </c>
      <c r="L1180" s="60" t="str">
        <f t="shared" si="7"/>
        <v/>
      </c>
      <c r="M1180" s="61" t="str">
        <f>IFERROR(__xludf.DUMMYFUNCTION("IFS(AND(COUNTA(C1180:C1673)=0,COUNTA(Q1180:Q1673)=0),"""",OR(AND(K1180&gt;=1000000000,OR(Y1180&gt;=1000000000,COUNTA(Q1180:Q1673)=0)),OR(Y1180&gt;=1000000000,AND(COUNTA(C1180:C1673)=0,P$3=TRUE))),
ROUNDDOWN((AB$1-AC$1)*MAX(INDEX(T$4:T1673,MATCH(LARGE(FILTER(Y$4:Y1"&amp;"673,Y$4:Y1673&lt;1000000000),1),Y$4:Y1673)),INDEX(F$4:F1673,MATCH(LARGE(FILTER(K$4:K1673,K$4:K1673&lt;1000000000),1),K$4:K1673)))),AND(K1180&lt;1000000000,COUNTA(C1180:C1673)&gt;0,P$3=FALSE),
ROUNDDOWN(INDEX(Y$4:Y1673,MATCH(LARGE(FILTER(W$4:W1673,W$4:W1673&lt;=I1180),1)"&amp;",W$4:W1673))+(I1180-LARGE(FILTER(W$4:W1673,W$4:W1673&lt;=I1180),1))*INDEX(T$4:T1673,MATCH(LARGE(FILTER(W$4:W1673,W$4:W1673&lt;=I1180),1),W$4:W1673))-K1180),1,
ROUNDDOWN(Y1180-INDEX(K$4:K1673,MATCH(LARGE(FILTER(I$4:I1673,I$4:I1673&lt;=W1180),1),I$4:I1673))-(W1180-L"&amp;"ARGE(FILTER(I$4:I1673,I$4:I1673&lt;=W1180),1))*INDEX(F$4:F1673,MATCH(LARGE(FILTER(I$4:I1673,I$4:I1673&lt;=W1180),1),I$4:I1673))))"),"")</f>
        <v/>
      </c>
      <c r="N1180" s="60" t="str">
        <f t="shared" si="8"/>
        <v/>
      </c>
      <c r="O1180" s="61" t="str">
        <f t="shared" si="9"/>
        <v/>
      </c>
      <c r="P1180" s="56" t="str">
        <f t="shared" si="10"/>
        <v/>
      </c>
      <c r="Q1180" s="67"/>
      <c r="R1180" s="10"/>
      <c r="S1180" s="59" t="str">
        <f t="array" ref="S1180">IF(COUNTA(Q1180:Q1673)=0,"",SUM((COUNTIF(Q$4:Q1180,Upgrades!$B$3:$B$13)-COUNTIF(Q$4:Q1180,"Sell_"&amp;Upgrades!$B$3:$B$13))*Upgrades!$D$3:$D$13))</f>
        <v/>
      </c>
      <c r="T1180" s="66" t="str">
        <f>IFERROR(__xludf.DUMMYFUNCTION("IF(COUNTA(Q1180:Q1673)=0,"""",IF(REGEXMATCH(INDEX(FILTER(Q$4:Q1180,Q$4:Q1180&lt;&gt;""""),ROWS(FILTER(Q$4:Q1180,Q$4:Q1180&lt;&gt;""""))),""^Sell_""),INDEX(FILTER(T$4:T1179,Q$4:Q1179&lt;&gt;""""),ROWS(FILTER(Q$4:Q1179,Q$4:Q1179&lt;&gt;""""))),$AD$5+S1180))"),"")</f>
        <v/>
      </c>
      <c r="U1180" s="10" t="str">
        <f>IFERROR(__xludf.DUMMYFUNCTION("IF(COUNTA(Q1180:Q1673)=0,"""",IF(Q1180="""",0,IF(REGEXMATCH(Q1180,""^Sell_""),-ROUNDDOWN(ROUNDUP(INDEX(Upgrades!$C$3:$C$13,MATCH(SUBSTITUTE(Q1180,""Sell_"",""""),Upgrades!$B$3:$B$13,0))*1.15^(COUNTIF(Q$4:Q1179,SUBSTITUTE(Q1180,""Sell_"",""""))-COUNTIF(Q$4"&amp;":Q1179,""Sell_""&amp;SUBSTITUTE(Q1180,""Sell_"",""""))))/2),ROUNDUP(INDEX(Upgrades!$C$3:$C$13,MATCH(Q1180,Upgrades!$B$3:$B$13,0))*1.15^(COUNTIF(Q$4:Q1179,Q1180)-COUNTIF(Q$4:Q1179,""Sell_""&amp;Q1180))))))"),"")</f>
        <v/>
      </c>
      <c r="V1180" s="10" t="str">
        <f t="shared" si="11"/>
        <v/>
      </c>
      <c r="W1180" s="68" t="str">
        <f t="shared" si="12"/>
        <v/>
      </c>
      <c r="X1180" s="59" t="str">
        <f t="shared" si="13"/>
        <v/>
      </c>
      <c r="Y1180" s="69" t="str">
        <f t="shared" si="14"/>
        <v/>
      </c>
      <c r="Z1180" s="11"/>
    </row>
    <row r="1181">
      <c r="A1181" s="8"/>
      <c r="B1181" s="56" t="str">
        <f t="shared" si="2"/>
        <v/>
      </c>
      <c r="C1181" s="105"/>
      <c r="D1181" s="10"/>
      <c r="E1181" s="59" t="str">
        <f t="array" ref="E1181">IF(COUNTA(C1181:C1673)=0,"",SUM((COUNTIF(C$4:C1181,Upgrades!$B$3:$B$13)-COUNTIF(C$4:C1181,"Sell_"&amp;Upgrades!$B$3:$B$13))*Upgrades!$D$3:$D$13))</f>
        <v/>
      </c>
      <c r="F1181" s="66" t="str">
        <f>IFERROR(__xludf.DUMMYFUNCTION("IF(COUNTA(C1181:C1673)=0,"""",IF(REGEXMATCH(INDEX(FILTER(C$4:C1181,C$4:C1181&lt;&gt;""""),ROWS(FILTER(C$4:C1181,C$4:C1181&lt;&gt;""""))),""^Sell_""),INDEX(FILTER(F$4:F1180,C$4:C1180&lt;&gt;""""),ROWS(FILTER(C$4:C1180,C$4:C1180&lt;&gt;""""))),$AC$5+E1181))"),"")</f>
        <v/>
      </c>
      <c r="G1181" s="10" t="str">
        <f>IFERROR(__xludf.DUMMYFUNCTION("IF(COUNTA(C1181:C1673)=0,"""",IF(C1181="""",0,IF(REGEXMATCH(C1181,""^Sell_""),-ROUNDDOWN(ROUNDUP(INDEX(Upgrades!$C$3:$C$13,MATCH(SUBSTITUTE(C1181,""Sell_"",""""),Upgrades!$B$3:$B$13,0))*1.15^(COUNTIF(C$4:C1180,SUBSTITUTE(C1181,""Sell_"",""""))-COUNTIF(C$4"&amp;":C1180,""Sell_""&amp;SUBSTITUTE(C1181,""Sell_"",""""))))/2),ROUNDUP(INDEX(Upgrades!$C$3:$C$13,MATCH(C1181,Upgrades!$B$3:$B$13,0))*1.15^(COUNTIF(C$4:C1180,C1181)-COUNTIF(C$4:C1180,""Sell_""&amp;C1181))))))"),"")</f>
        <v/>
      </c>
      <c r="H1181" s="10" t="str">
        <f t="shared" si="3"/>
        <v/>
      </c>
      <c r="I1181" s="68" t="str">
        <f t="shared" si="4"/>
        <v/>
      </c>
      <c r="J1181" s="59" t="str">
        <f t="shared" si="5"/>
        <v/>
      </c>
      <c r="K1181" s="69" t="str">
        <f t="shared" si="6"/>
        <v/>
      </c>
      <c r="L1181" s="60" t="str">
        <f t="shared" si="7"/>
        <v/>
      </c>
      <c r="M1181" s="61" t="str">
        <f>IFERROR(__xludf.DUMMYFUNCTION("IFS(AND(COUNTA(C1181:C1673)=0,COUNTA(Q1181:Q1673)=0),"""",OR(AND(K1181&gt;=1000000000,OR(Y1181&gt;=1000000000,COUNTA(Q1181:Q1673)=0)),OR(Y1181&gt;=1000000000,AND(COUNTA(C1181:C1673)=0,P$3=TRUE))),
ROUNDDOWN((AB$1-AC$1)*MAX(INDEX(T$4:T1673,MATCH(LARGE(FILTER(Y$4:Y1"&amp;"673,Y$4:Y1673&lt;1000000000),1),Y$4:Y1673)),INDEX(F$4:F1673,MATCH(LARGE(FILTER(K$4:K1673,K$4:K1673&lt;1000000000),1),K$4:K1673)))),AND(K1181&lt;1000000000,COUNTA(C1181:C1673)&gt;0,P$3=FALSE),
ROUNDDOWN(INDEX(Y$4:Y1673,MATCH(LARGE(FILTER(W$4:W1673,W$4:W1673&lt;=I1181),1)"&amp;",W$4:W1673))+(I1181-LARGE(FILTER(W$4:W1673,W$4:W1673&lt;=I1181),1))*INDEX(T$4:T1673,MATCH(LARGE(FILTER(W$4:W1673,W$4:W1673&lt;=I1181),1),W$4:W1673))-K1181),1,
ROUNDDOWN(Y1181-INDEX(K$4:K1673,MATCH(LARGE(FILTER(I$4:I1673,I$4:I1673&lt;=W1181),1),I$4:I1673))-(W1181-L"&amp;"ARGE(FILTER(I$4:I1673,I$4:I1673&lt;=W1181),1))*INDEX(F$4:F1673,MATCH(LARGE(FILTER(I$4:I1673,I$4:I1673&lt;=W1181),1),I$4:I1673))))"),"")</f>
        <v/>
      </c>
      <c r="N1181" s="60" t="str">
        <f t="shared" si="8"/>
        <v/>
      </c>
      <c r="O1181" s="61" t="str">
        <f t="shared" si="9"/>
        <v/>
      </c>
      <c r="P1181" s="56" t="str">
        <f t="shared" si="10"/>
        <v/>
      </c>
      <c r="Q1181" s="67"/>
      <c r="R1181" s="10"/>
      <c r="S1181" s="59" t="str">
        <f t="array" ref="S1181">IF(COUNTA(Q1181:Q1673)=0,"",SUM((COUNTIF(Q$4:Q1181,Upgrades!$B$3:$B$13)-COUNTIF(Q$4:Q1181,"Sell_"&amp;Upgrades!$B$3:$B$13))*Upgrades!$D$3:$D$13))</f>
        <v/>
      </c>
      <c r="T1181" s="66" t="str">
        <f>IFERROR(__xludf.DUMMYFUNCTION("IF(COUNTA(Q1181:Q1673)=0,"""",IF(REGEXMATCH(INDEX(FILTER(Q$4:Q1181,Q$4:Q1181&lt;&gt;""""),ROWS(FILTER(Q$4:Q1181,Q$4:Q1181&lt;&gt;""""))),""^Sell_""),INDEX(FILTER(T$4:T1180,Q$4:Q1180&lt;&gt;""""),ROWS(FILTER(Q$4:Q1180,Q$4:Q1180&lt;&gt;""""))),$AD$5+S1181))"),"")</f>
        <v/>
      </c>
      <c r="U1181" s="10" t="str">
        <f>IFERROR(__xludf.DUMMYFUNCTION("IF(COUNTA(Q1181:Q1673)=0,"""",IF(Q1181="""",0,IF(REGEXMATCH(Q1181,""^Sell_""),-ROUNDDOWN(ROUNDUP(INDEX(Upgrades!$C$3:$C$13,MATCH(SUBSTITUTE(Q1181,""Sell_"",""""),Upgrades!$B$3:$B$13,0))*1.15^(COUNTIF(Q$4:Q1180,SUBSTITUTE(Q1181,""Sell_"",""""))-COUNTIF(Q$4"&amp;":Q1180,""Sell_""&amp;SUBSTITUTE(Q1181,""Sell_"",""""))))/2),ROUNDUP(INDEX(Upgrades!$C$3:$C$13,MATCH(Q1181,Upgrades!$B$3:$B$13,0))*1.15^(COUNTIF(Q$4:Q1180,Q1181)-COUNTIF(Q$4:Q1180,""Sell_""&amp;Q1181))))))"),"")</f>
        <v/>
      </c>
      <c r="V1181" s="10" t="str">
        <f t="shared" si="11"/>
        <v/>
      </c>
      <c r="W1181" s="68" t="str">
        <f t="shared" si="12"/>
        <v/>
      </c>
      <c r="X1181" s="59" t="str">
        <f t="shared" si="13"/>
        <v/>
      </c>
      <c r="Y1181" s="69" t="str">
        <f t="shared" si="14"/>
        <v/>
      </c>
      <c r="Z1181" s="11"/>
    </row>
    <row r="1182">
      <c r="A1182" s="8"/>
      <c r="B1182" s="56" t="str">
        <f t="shared" si="2"/>
        <v/>
      </c>
      <c r="C1182" s="105"/>
      <c r="D1182" s="10"/>
      <c r="E1182" s="59" t="str">
        <f t="array" ref="E1182">IF(COUNTA(C1182:C1673)=0,"",SUM((COUNTIF(C$4:C1182,Upgrades!$B$3:$B$13)-COUNTIF(C$4:C1182,"Sell_"&amp;Upgrades!$B$3:$B$13))*Upgrades!$D$3:$D$13))</f>
        <v/>
      </c>
      <c r="F1182" s="66" t="str">
        <f>IFERROR(__xludf.DUMMYFUNCTION("IF(COUNTA(C1182:C1673)=0,"""",IF(REGEXMATCH(INDEX(FILTER(C$4:C1182,C$4:C1182&lt;&gt;""""),ROWS(FILTER(C$4:C1182,C$4:C1182&lt;&gt;""""))),""^Sell_""),INDEX(FILTER(F$4:F1181,C$4:C1181&lt;&gt;""""),ROWS(FILTER(C$4:C1181,C$4:C1181&lt;&gt;""""))),$AC$5+E1182))"),"")</f>
        <v/>
      </c>
      <c r="G1182" s="10" t="str">
        <f>IFERROR(__xludf.DUMMYFUNCTION("IF(COUNTA(C1182:C1673)=0,"""",IF(C1182="""",0,IF(REGEXMATCH(C1182,""^Sell_""),-ROUNDDOWN(ROUNDUP(INDEX(Upgrades!$C$3:$C$13,MATCH(SUBSTITUTE(C1182,""Sell_"",""""),Upgrades!$B$3:$B$13,0))*1.15^(COUNTIF(C$4:C1181,SUBSTITUTE(C1182,""Sell_"",""""))-COUNTIF(C$4"&amp;":C1181,""Sell_""&amp;SUBSTITUTE(C1182,""Sell_"",""""))))/2),ROUNDUP(INDEX(Upgrades!$C$3:$C$13,MATCH(C1182,Upgrades!$B$3:$B$13,0))*1.15^(COUNTIF(C$4:C1181,C1182)-COUNTIF(C$4:C1181,""Sell_""&amp;C1182))))))"),"")</f>
        <v/>
      </c>
      <c r="H1182" s="10" t="str">
        <f t="shared" si="3"/>
        <v/>
      </c>
      <c r="I1182" s="68" t="str">
        <f t="shared" si="4"/>
        <v/>
      </c>
      <c r="J1182" s="59" t="str">
        <f t="shared" si="5"/>
        <v/>
      </c>
      <c r="K1182" s="69" t="str">
        <f t="shared" si="6"/>
        <v/>
      </c>
      <c r="L1182" s="60" t="str">
        <f t="shared" si="7"/>
        <v/>
      </c>
      <c r="M1182" s="61" t="str">
        <f>IFERROR(__xludf.DUMMYFUNCTION("IFS(AND(COUNTA(C1182:C1673)=0,COUNTA(Q1182:Q1673)=0),"""",OR(AND(K1182&gt;=1000000000,OR(Y1182&gt;=1000000000,COUNTA(Q1182:Q1673)=0)),OR(Y1182&gt;=1000000000,AND(COUNTA(C1182:C1673)=0,P$3=TRUE))),
ROUNDDOWN((AB$1-AC$1)*MAX(INDEX(T$4:T1673,MATCH(LARGE(FILTER(Y$4:Y1"&amp;"673,Y$4:Y1673&lt;1000000000),1),Y$4:Y1673)),INDEX(F$4:F1673,MATCH(LARGE(FILTER(K$4:K1673,K$4:K1673&lt;1000000000),1),K$4:K1673)))),AND(K1182&lt;1000000000,COUNTA(C1182:C1673)&gt;0,P$3=FALSE),
ROUNDDOWN(INDEX(Y$4:Y1673,MATCH(LARGE(FILTER(W$4:W1673,W$4:W1673&lt;=I1182),1)"&amp;",W$4:W1673))+(I1182-LARGE(FILTER(W$4:W1673,W$4:W1673&lt;=I1182),1))*INDEX(T$4:T1673,MATCH(LARGE(FILTER(W$4:W1673,W$4:W1673&lt;=I1182),1),W$4:W1673))-K1182),1,
ROUNDDOWN(Y1182-INDEX(K$4:K1673,MATCH(LARGE(FILTER(I$4:I1673,I$4:I1673&lt;=W1182),1),I$4:I1673))-(W1182-L"&amp;"ARGE(FILTER(I$4:I1673,I$4:I1673&lt;=W1182),1))*INDEX(F$4:F1673,MATCH(LARGE(FILTER(I$4:I1673,I$4:I1673&lt;=W1182),1),I$4:I1673))))"),"")</f>
        <v/>
      </c>
      <c r="N1182" s="60" t="str">
        <f t="shared" si="8"/>
        <v/>
      </c>
      <c r="O1182" s="61" t="str">
        <f t="shared" si="9"/>
        <v/>
      </c>
      <c r="P1182" s="56" t="str">
        <f t="shared" si="10"/>
        <v/>
      </c>
      <c r="Q1182" s="67"/>
      <c r="R1182" s="10"/>
      <c r="S1182" s="59" t="str">
        <f t="array" ref="S1182">IF(COUNTA(Q1182:Q1673)=0,"",SUM((COUNTIF(Q$4:Q1182,Upgrades!$B$3:$B$13)-COUNTIF(Q$4:Q1182,"Sell_"&amp;Upgrades!$B$3:$B$13))*Upgrades!$D$3:$D$13))</f>
        <v/>
      </c>
      <c r="T1182" s="66" t="str">
        <f>IFERROR(__xludf.DUMMYFUNCTION("IF(COUNTA(Q1182:Q1673)=0,"""",IF(REGEXMATCH(INDEX(FILTER(Q$4:Q1182,Q$4:Q1182&lt;&gt;""""),ROWS(FILTER(Q$4:Q1182,Q$4:Q1182&lt;&gt;""""))),""^Sell_""),INDEX(FILTER(T$4:T1181,Q$4:Q1181&lt;&gt;""""),ROWS(FILTER(Q$4:Q1181,Q$4:Q1181&lt;&gt;""""))),$AD$5+S1182))"),"")</f>
        <v/>
      </c>
      <c r="U1182" s="10" t="str">
        <f>IFERROR(__xludf.DUMMYFUNCTION("IF(COUNTA(Q1182:Q1673)=0,"""",IF(Q1182="""",0,IF(REGEXMATCH(Q1182,""^Sell_""),-ROUNDDOWN(ROUNDUP(INDEX(Upgrades!$C$3:$C$13,MATCH(SUBSTITUTE(Q1182,""Sell_"",""""),Upgrades!$B$3:$B$13,0))*1.15^(COUNTIF(Q$4:Q1181,SUBSTITUTE(Q1182,""Sell_"",""""))-COUNTIF(Q$4"&amp;":Q1181,""Sell_""&amp;SUBSTITUTE(Q1182,""Sell_"",""""))))/2),ROUNDUP(INDEX(Upgrades!$C$3:$C$13,MATCH(Q1182,Upgrades!$B$3:$B$13,0))*1.15^(COUNTIF(Q$4:Q1181,Q1182)-COUNTIF(Q$4:Q1181,""Sell_""&amp;Q1182))))))"),"")</f>
        <v/>
      </c>
      <c r="V1182" s="10" t="str">
        <f t="shared" si="11"/>
        <v/>
      </c>
      <c r="W1182" s="68" t="str">
        <f t="shared" si="12"/>
        <v/>
      </c>
      <c r="X1182" s="59" t="str">
        <f t="shared" si="13"/>
        <v/>
      </c>
      <c r="Y1182" s="69" t="str">
        <f t="shared" si="14"/>
        <v/>
      </c>
      <c r="Z1182" s="11"/>
    </row>
    <row r="1183">
      <c r="A1183" s="8"/>
      <c r="B1183" s="56" t="str">
        <f t="shared" si="2"/>
        <v/>
      </c>
      <c r="C1183" s="105"/>
      <c r="D1183" s="10"/>
      <c r="E1183" s="59" t="str">
        <f t="array" ref="E1183">IF(COUNTA(C1183:C1673)=0,"",SUM((COUNTIF(C$4:C1183,Upgrades!$B$3:$B$13)-COUNTIF(C$4:C1183,"Sell_"&amp;Upgrades!$B$3:$B$13))*Upgrades!$D$3:$D$13))</f>
        <v/>
      </c>
      <c r="F1183" s="66" t="str">
        <f>IFERROR(__xludf.DUMMYFUNCTION("IF(COUNTA(C1183:C1673)=0,"""",IF(REGEXMATCH(INDEX(FILTER(C$4:C1183,C$4:C1183&lt;&gt;""""),ROWS(FILTER(C$4:C1183,C$4:C1183&lt;&gt;""""))),""^Sell_""),INDEX(FILTER(F$4:F1182,C$4:C1182&lt;&gt;""""),ROWS(FILTER(C$4:C1182,C$4:C1182&lt;&gt;""""))),$AC$5+E1183))"),"")</f>
        <v/>
      </c>
      <c r="G1183" s="10" t="str">
        <f>IFERROR(__xludf.DUMMYFUNCTION("IF(COUNTA(C1183:C1673)=0,"""",IF(C1183="""",0,IF(REGEXMATCH(C1183,""^Sell_""),-ROUNDDOWN(ROUNDUP(INDEX(Upgrades!$C$3:$C$13,MATCH(SUBSTITUTE(C1183,""Sell_"",""""),Upgrades!$B$3:$B$13,0))*1.15^(COUNTIF(C$4:C1182,SUBSTITUTE(C1183,""Sell_"",""""))-COUNTIF(C$4"&amp;":C1182,""Sell_""&amp;SUBSTITUTE(C1183,""Sell_"",""""))))/2),ROUNDUP(INDEX(Upgrades!$C$3:$C$13,MATCH(C1183,Upgrades!$B$3:$B$13,0))*1.15^(COUNTIF(C$4:C1182,C1183)-COUNTIF(C$4:C1182,""Sell_""&amp;C1183))))))"),"")</f>
        <v/>
      </c>
      <c r="H1183" s="10" t="str">
        <f t="shared" si="3"/>
        <v/>
      </c>
      <c r="I1183" s="68" t="str">
        <f t="shared" si="4"/>
        <v/>
      </c>
      <c r="J1183" s="59" t="str">
        <f t="shared" si="5"/>
        <v/>
      </c>
      <c r="K1183" s="69" t="str">
        <f t="shared" si="6"/>
        <v/>
      </c>
      <c r="L1183" s="60" t="str">
        <f t="shared" si="7"/>
        <v/>
      </c>
      <c r="M1183" s="61" t="str">
        <f>IFERROR(__xludf.DUMMYFUNCTION("IFS(AND(COUNTA(C1183:C1673)=0,COUNTA(Q1183:Q1673)=0),"""",OR(AND(K1183&gt;=1000000000,OR(Y1183&gt;=1000000000,COUNTA(Q1183:Q1673)=0)),OR(Y1183&gt;=1000000000,AND(COUNTA(C1183:C1673)=0,P$3=TRUE))),
ROUNDDOWN((AB$1-AC$1)*MAX(INDEX(T$4:T1673,MATCH(LARGE(FILTER(Y$4:Y1"&amp;"673,Y$4:Y1673&lt;1000000000),1),Y$4:Y1673)),INDEX(F$4:F1673,MATCH(LARGE(FILTER(K$4:K1673,K$4:K1673&lt;1000000000),1),K$4:K1673)))),AND(K1183&lt;1000000000,COUNTA(C1183:C1673)&gt;0,P$3=FALSE),
ROUNDDOWN(INDEX(Y$4:Y1673,MATCH(LARGE(FILTER(W$4:W1673,W$4:W1673&lt;=I1183),1)"&amp;",W$4:W1673))+(I1183-LARGE(FILTER(W$4:W1673,W$4:W1673&lt;=I1183),1))*INDEX(T$4:T1673,MATCH(LARGE(FILTER(W$4:W1673,W$4:W1673&lt;=I1183),1),W$4:W1673))-K1183),1,
ROUNDDOWN(Y1183-INDEX(K$4:K1673,MATCH(LARGE(FILTER(I$4:I1673,I$4:I1673&lt;=W1183),1),I$4:I1673))-(W1183-L"&amp;"ARGE(FILTER(I$4:I1673,I$4:I1673&lt;=W1183),1))*INDEX(F$4:F1673,MATCH(LARGE(FILTER(I$4:I1673,I$4:I1673&lt;=W1183),1),I$4:I1673))))"),"")</f>
        <v/>
      </c>
      <c r="N1183" s="60" t="str">
        <f t="shared" si="8"/>
        <v/>
      </c>
      <c r="O1183" s="61" t="str">
        <f t="shared" si="9"/>
        <v/>
      </c>
      <c r="P1183" s="56" t="str">
        <f t="shared" si="10"/>
        <v/>
      </c>
      <c r="Q1183" s="67"/>
      <c r="R1183" s="10"/>
      <c r="S1183" s="59" t="str">
        <f t="array" ref="S1183">IF(COUNTA(Q1183:Q1673)=0,"",SUM((COUNTIF(Q$4:Q1183,Upgrades!$B$3:$B$13)-COUNTIF(Q$4:Q1183,"Sell_"&amp;Upgrades!$B$3:$B$13))*Upgrades!$D$3:$D$13))</f>
        <v/>
      </c>
      <c r="T1183" s="66" t="str">
        <f>IFERROR(__xludf.DUMMYFUNCTION("IF(COUNTA(Q1183:Q1673)=0,"""",IF(REGEXMATCH(INDEX(FILTER(Q$4:Q1183,Q$4:Q1183&lt;&gt;""""),ROWS(FILTER(Q$4:Q1183,Q$4:Q1183&lt;&gt;""""))),""^Sell_""),INDEX(FILTER(T$4:T1182,Q$4:Q1182&lt;&gt;""""),ROWS(FILTER(Q$4:Q1182,Q$4:Q1182&lt;&gt;""""))),$AD$5+S1183))"),"")</f>
        <v/>
      </c>
      <c r="U1183" s="10" t="str">
        <f>IFERROR(__xludf.DUMMYFUNCTION("IF(COUNTA(Q1183:Q1673)=0,"""",IF(Q1183="""",0,IF(REGEXMATCH(Q1183,""^Sell_""),-ROUNDDOWN(ROUNDUP(INDEX(Upgrades!$C$3:$C$13,MATCH(SUBSTITUTE(Q1183,""Sell_"",""""),Upgrades!$B$3:$B$13,0))*1.15^(COUNTIF(Q$4:Q1182,SUBSTITUTE(Q1183,""Sell_"",""""))-COUNTIF(Q$4"&amp;":Q1182,""Sell_""&amp;SUBSTITUTE(Q1183,""Sell_"",""""))))/2),ROUNDUP(INDEX(Upgrades!$C$3:$C$13,MATCH(Q1183,Upgrades!$B$3:$B$13,0))*1.15^(COUNTIF(Q$4:Q1182,Q1183)-COUNTIF(Q$4:Q1182,""Sell_""&amp;Q1183))))))"),"")</f>
        <v/>
      </c>
      <c r="V1183" s="10" t="str">
        <f t="shared" si="11"/>
        <v/>
      </c>
      <c r="W1183" s="68" t="str">
        <f t="shared" si="12"/>
        <v/>
      </c>
      <c r="X1183" s="59" t="str">
        <f t="shared" si="13"/>
        <v/>
      </c>
      <c r="Y1183" s="69" t="str">
        <f t="shared" si="14"/>
        <v/>
      </c>
      <c r="Z1183" s="11"/>
    </row>
    <row r="1184">
      <c r="A1184" s="8"/>
      <c r="B1184" s="56" t="str">
        <f t="shared" si="2"/>
        <v/>
      </c>
      <c r="C1184" s="105"/>
      <c r="D1184" s="10"/>
      <c r="E1184" s="59" t="str">
        <f t="array" ref="E1184">IF(COUNTA(C1184:C1673)=0,"",SUM((COUNTIF(C$4:C1184,Upgrades!$B$3:$B$13)-COUNTIF(C$4:C1184,"Sell_"&amp;Upgrades!$B$3:$B$13))*Upgrades!$D$3:$D$13))</f>
        <v/>
      </c>
      <c r="F1184" s="66" t="str">
        <f>IFERROR(__xludf.DUMMYFUNCTION("IF(COUNTA(C1184:C1673)=0,"""",IF(REGEXMATCH(INDEX(FILTER(C$4:C1184,C$4:C1184&lt;&gt;""""),ROWS(FILTER(C$4:C1184,C$4:C1184&lt;&gt;""""))),""^Sell_""),INDEX(FILTER(F$4:F1183,C$4:C1183&lt;&gt;""""),ROWS(FILTER(C$4:C1183,C$4:C1183&lt;&gt;""""))),$AC$5+E1184))"),"")</f>
        <v/>
      </c>
      <c r="G1184" s="10" t="str">
        <f>IFERROR(__xludf.DUMMYFUNCTION("IF(COUNTA(C1184:C1673)=0,"""",IF(C1184="""",0,IF(REGEXMATCH(C1184,""^Sell_""),-ROUNDDOWN(ROUNDUP(INDEX(Upgrades!$C$3:$C$13,MATCH(SUBSTITUTE(C1184,""Sell_"",""""),Upgrades!$B$3:$B$13,0))*1.15^(COUNTIF(C$4:C1183,SUBSTITUTE(C1184,""Sell_"",""""))-COUNTIF(C$4"&amp;":C1183,""Sell_""&amp;SUBSTITUTE(C1184,""Sell_"",""""))))/2),ROUNDUP(INDEX(Upgrades!$C$3:$C$13,MATCH(C1184,Upgrades!$B$3:$B$13,0))*1.15^(COUNTIF(C$4:C1183,C1184)-COUNTIF(C$4:C1183,""Sell_""&amp;C1184))))))"),"")</f>
        <v/>
      </c>
      <c r="H1184" s="10" t="str">
        <f t="shared" si="3"/>
        <v/>
      </c>
      <c r="I1184" s="68" t="str">
        <f t="shared" si="4"/>
        <v/>
      </c>
      <c r="J1184" s="59" t="str">
        <f t="shared" si="5"/>
        <v/>
      </c>
      <c r="K1184" s="69" t="str">
        <f t="shared" si="6"/>
        <v/>
      </c>
      <c r="L1184" s="60" t="str">
        <f t="shared" si="7"/>
        <v/>
      </c>
      <c r="M1184" s="61" t="str">
        <f>IFERROR(__xludf.DUMMYFUNCTION("IFS(AND(COUNTA(C1184:C1673)=0,COUNTA(Q1184:Q1673)=0),"""",OR(AND(K1184&gt;=1000000000,OR(Y1184&gt;=1000000000,COUNTA(Q1184:Q1673)=0)),OR(Y1184&gt;=1000000000,AND(COUNTA(C1184:C1673)=0,P$3=TRUE))),
ROUNDDOWN((AB$1-AC$1)*MAX(INDEX(T$4:T1673,MATCH(LARGE(FILTER(Y$4:Y1"&amp;"673,Y$4:Y1673&lt;1000000000),1),Y$4:Y1673)),INDEX(F$4:F1673,MATCH(LARGE(FILTER(K$4:K1673,K$4:K1673&lt;1000000000),1),K$4:K1673)))),AND(K1184&lt;1000000000,COUNTA(C1184:C1673)&gt;0,P$3=FALSE),
ROUNDDOWN(INDEX(Y$4:Y1673,MATCH(LARGE(FILTER(W$4:W1673,W$4:W1673&lt;=I1184),1)"&amp;",W$4:W1673))+(I1184-LARGE(FILTER(W$4:W1673,W$4:W1673&lt;=I1184),1))*INDEX(T$4:T1673,MATCH(LARGE(FILTER(W$4:W1673,W$4:W1673&lt;=I1184),1),W$4:W1673))-K1184),1,
ROUNDDOWN(Y1184-INDEX(K$4:K1673,MATCH(LARGE(FILTER(I$4:I1673,I$4:I1673&lt;=W1184),1),I$4:I1673))-(W1184-L"&amp;"ARGE(FILTER(I$4:I1673,I$4:I1673&lt;=W1184),1))*INDEX(F$4:F1673,MATCH(LARGE(FILTER(I$4:I1673,I$4:I1673&lt;=W1184),1),I$4:I1673))))"),"")</f>
        <v/>
      </c>
      <c r="N1184" s="60" t="str">
        <f t="shared" si="8"/>
        <v/>
      </c>
      <c r="O1184" s="61" t="str">
        <f t="shared" si="9"/>
        <v/>
      </c>
      <c r="P1184" s="56" t="str">
        <f t="shared" si="10"/>
        <v/>
      </c>
      <c r="Q1184" s="67"/>
      <c r="R1184" s="10"/>
      <c r="S1184" s="59" t="str">
        <f t="array" ref="S1184">IF(COUNTA(Q1184:Q1673)=0,"",SUM((COUNTIF(Q$4:Q1184,Upgrades!$B$3:$B$13)-COUNTIF(Q$4:Q1184,"Sell_"&amp;Upgrades!$B$3:$B$13))*Upgrades!$D$3:$D$13))</f>
        <v/>
      </c>
      <c r="T1184" s="66" t="str">
        <f>IFERROR(__xludf.DUMMYFUNCTION("IF(COUNTA(Q1184:Q1673)=0,"""",IF(REGEXMATCH(INDEX(FILTER(Q$4:Q1184,Q$4:Q1184&lt;&gt;""""),ROWS(FILTER(Q$4:Q1184,Q$4:Q1184&lt;&gt;""""))),""^Sell_""),INDEX(FILTER(T$4:T1183,Q$4:Q1183&lt;&gt;""""),ROWS(FILTER(Q$4:Q1183,Q$4:Q1183&lt;&gt;""""))),$AD$5+S1184))"),"")</f>
        <v/>
      </c>
      <c r="U1184" s="10" t="str">
        <f>IFERROR(__xludf.DUMMYFUNCTION("IF(COUNTA(Q1184:Q1673)=0,"""",IF(Q1184="""",0,IF(REGEXMATCH(Q1184,""^Sell_""),-ROUNDDOWN(ROUNDUP(INDEX(Upgrades!$C$3:$C$13,MATCH(SUBSTITUTE(Q1184,""Sell_"",""""),Upgrades!$B$3:$B$13,0))*1.15^(COUNTIF(Q$4:Q1183,SUBSTITUTE(Q1184,""Sell_"",""""))-COUNTIF(Q$4"&amp;":Q1183,""Sell_""&amp;SUBSTITUTE(Q1184,""Sell_"",""""))))/2),ROUNDUP(INDEX(Upgrades!$C$3:$C$13,MATCH(Q1184,Upgrades!$B$3:$B$13,0))*1.15^(COUNTIF(Q$4:Q1183,Q1184)-COUNTIF(Q$4:Q1183,""Sell_""&amp;Q1184))))))"),"")</f>
        <v/>
      </c>
      <c r="V1184" s="10" t="str">
        <f t="shared" si="11"/>
        <v/>
      </c>
      <c r="W1184" s="68" t="str">
        <f t="shared" si="12"/>
        <v/>
      </c>
      <c r="X1184" s="59" t="str">
        <f t="shared" si="13"/>
        <v/>
      </c>
      <c r="Y1184" s="69" t="str">
        <f t="shared" si="14"/>
        <v/>
      </c>
      <c r="Z1184" s="11"/>
    </row>
    <row r="1185">
      <c r="A1185" s="8"/>
      <c r="B1185" s="56" t="str">
        <f t="shared" si="2"/>
        <v/>
      </c>
      <c r="C1185" s="105"/>
      <c r="D1185" s="10"/>
      <c r="E1185" s="59" t="str">
        <f t="array" ref="E1185">IF(COUNTA(C1185:C1673)=0,"",SUM((COUNTIF(C$4:C1185,Upgrades!$B$3:$B$13)-COUNTIF(C$4:C1185,"Sell_"&amp;Upgrades!$B$3:$B$13))*Upgrades!$D$3:$D$13))</f>
        <v/>
      </c>
      <c r="F1185" s="66" t="str">
        <f>IFERROR(__xludf.DUMMYFUNCTION("IF(COUNTA(C1185:C1673)=0,"""",IF(REGEXMATCH(INDEX(FILTER(C$4:C1185,C$4:C1185&lt;&gt;""""),ROWS(FILTER(C$4:C1185,C$4:C1185&lt;&gt;""""))),""^Sell_""),INDEX(FILTER(F$4:F1184,C$4:C1184&lt;&gt;""""),ROWS(FILTER(C$4:C1184,C$4:C1184&lt;&gt;""""))),$AC$5+E1185))"),"")</f>
        <v/>
      </c>
      <c r="G1185" s="10" t="str">
        <f>IFERROR(__xludf.DUMMYFUNCTION("IF(COUNTA(C1185:C1673)=0,"""",IF(C1185="""",0,IF(REGEXMATCH(C1185,""^Sell_""),-ROUNDDOWN(ROUNDUP(INDEX(Upgrades!$C$3:$C$13,MATCH(SUBSTITUTE(C1185,""Sell_"",""""),Upgrades!$B$3:$B$13,0))*1.15^(COUNTIF(C$4:C1184,SUBSTITUTE(C1185,""Sell_"",""""))-COUNTIF(C$4"&amp;":C1184,""Sell_""&amp;SUBSTITUTE(C1185,""Sell_"",""""))))/2),ROUNDUP(INDEX(Upgrades!$C$3:$C$13,MATCH(C1185,Upgrades!$B$3:$B$13,0))*1.15^(COUNTIF(C$4:C1184,C1185)-COUNTIF(C$4:C1184,""Sell_""&amp;C1185))))))"),"")</f>
        <v/>
      </c>
      <c r="H1185" s="10" t="str">
        <f t="shared" si="3"/>
        <v/>
      </c>
      <c r="I1185" s="68" t="str">
        <f t="shared" si="4"/>
        <v/>
      </c>
      <c r="J1185" s="59" t="str">
        <f t="shared" si="5"/>
        <v/>
      </c>
      <c r="K1185" s="69" t="str">
        <f t="shared" si="6"/>
        <v/>
      </c>
      <c r="L1185" s="60" t="str">
        <f t="shared" si="7"/>
        <v/>
      </c>
      <c r="M1185" s="61" t="str">
        <f>IFERROR(__xludf.DUMMYFUNCTION("IFS(AND(COUNTA(C1185:C1673)=0,COUNTA(Q1185:Q1673)=0),"""",OR(AND(K1185&gt;=1000000000,OR(Y1185&gt;=1000000000,COUNTA(Q1185:Q1673)=0)),OR(Y1185&gt;=1000000000,AND(COUNTA(C1185:C1673)=0,P$3=TRUE))),
ROUNDDOWN((AB$1-AC$1)*MAX(INDEX(T$4:T1673,MATCH(LARGE(FILTER(Y$4:Y1"&amp;"673,Y$4:Y1673&lt;1000000000),1),Y$4:Y1673)),INDEX(F$4:F1673,MATCH(LARGE(FILTER(K$4:K1673,K$4:K1673&lt;1000000000),1),K$4:K1673)))),AND(K1185&lt;1000000000,COUNTA(C1185:C1673)&gt;0,P$3=FALSE),
ROUNDDOWN(INDEX(Y$4:Y1673,MATCH(LARGE(FILTER(W$4:W1673,W$4:W1673&lt;=I1185),1)"&amp;",W$4:W1673))+(I1185-LARGE(FILTER(W$4:W1673,W$4:W1673&lt;=I1185),1))*INDEX(T$4:T1673,MATCH(LARGE(FILTER(W$4:W1673,W$4:W1673&lt;=I1185),1),W$4:W1673))-K1185),1,
ROUNDDOWN(Y1185-INDEX(K$4:K1673,MATCH(LARGE(FILTER(I$4:I1673,I$4:I1673&lt;=W1185),1),I$4:I1673))-(W1185-L"&amp;"ARGE(FILTER(I$4:I1673,I$4:I1673&lt;=W1185),1))*INDEX(F$4:F1673,MATCH(LARGE(FILTER(I$4:I1673,I$4:I1673&lt;=W1185),1),I$4:I1673))))"),"")</f>
        <v/>
      </c>
      <c r="N1185" s="60" t="str">
        <f t="shared" si="8"/>
        <v/>
      </c>
      <c r="O1185" s="61" t="str">
        <f t="shared" si="9"/>
        <v/>
      </c>
      <c r="P1185" s="56" t="str">
        <f t="shared" si="10"/>
        <v/>
      </c>
      <c r="Q1185" s="67"/>
      <c r="R1185" s="10"/>
      <c r="S1185" s="59" t="str">
        <f t="array" ref="S1185">IF(COUNTA(Q1185:Q1673)=0,"",SUM((COUNTIF(Q$4:Q1185,Upgrades!$B$3:$B$13)-COUNTIF(Q$4:Q1185,"Sell_"&amp;Upgrades!$B$3:$B$13))*Upgrades!$D$3:$D$13))</f>
        <v/>
      </c>
      <c r="T1185" s="66" t="str">
        <f>IFERROR(__xludf.DUMMYFUNCTION("IF(COUNTA(Q1185:Q1673)=0,"""",IF(REGEXMATCH(INDEX(FILTER(Q$4:Q1185,Q$4:Q1185&lt;&gt;""""),ROWS(FILTER(Q$4:Q1185,Q$4:Q1185&lt;&gt;""""))),""^Sell_""),INDEX(FILTER(T$4:T1184,Q$4:Q1184&lt;&gt;""""),ROWS(FILTER(Q$4:Q1184,Q$4:Q1184&lt;&gt;""""))),$AD$5+S1185))"),"")</f>
        <v/>
      </c>
      <c r="U1185" s="10" t="str">
        <f>IFERROR(__xludf.DUMMYFUNCTION("IF(COUNTA(Q1185:Q1673)=0,"""",IF(Q1185="""",0,IF(REGEXMATCH(Q1185,""^Sell_""),-ROUNDDOWN(ROUNDUP(INDEX(Upgrades!$C$3:$C$13,MATCH(SUBSTITUTE(Q1185,""Sell_"",""""),Upgrades!$B$3:$B$13,0))*1.15^(COUNTIF(Q$4:Q1184,SUBSTITUTE(Q1185,""Sell_"",""""))-COUNTIF(Q$4"&amp;":Q1184,""Sell_""&amp;SUBSTITUTE(Q1185,""Sell_"",""""))))/2),ROUNDUP(INDEX(Upgrades!$C$3:$C$13,MATCH(Q1185,Upgrades!$B$3:$B$13,0))*1.15^(COUNTIF(Q$4:Q1184,Q1185)-COUNTIF(Q$4:Q1184,""Sell_""&amp;Q1185))))))"),"")</f>
        <v/>
      </c>
      <c r="V1185" s="10" t="str">
        <f t="shared" si="11"/>
        <v/>
      </c>
      <c r="W1185" s="68" t="str">
        <f t="shared" si="12"/>
        <v/>
      </c>
      <c r="X1185" s="59" t="str">
        <f t="shared" si="13"/>
        <v/>
      </c>
      <c r="Y1185" s="69" t="str">
        <f t="shared" si="14"/>
        <v/>
      </c>
      <c r="Z1185" s="11"/>
    </row>
    <row r="1186">
      <c r="A1186" s="8"/>
      <c r="B1186" s="56" t="str">
        <f t="shared" si="2"/>
        <v/>
      </c>
      <c r="C1186" s="105"/>
      <c r="D1186" s="10"/>
      <c r="E1186" s="59" t="str">
        <f t="array" ref="E1186">IF(COUNTA(C1186:C1673)=0,"",SUM((COUNTIF(C$4:C1186,Upgrades!$B$3:$B$13)-COUNTIF(C$4:C1186,"Sell_"&amp;Upgrades!$B$3:$B$13))*Upgrades!$D$3:$D$13))</f>
        <v/>
      </c>
      <c r="F1186" s="66" t="str">
        <f>IFERROR(__xludf.DUMMYFUNCTION("IF(COUNTA(C1186:C1673)=0,"""",IF(REGEXMATCH(INDEX(FILTER(C$4:C1186,C$4:C1186&lt;&gt;""""),ROWS(FILTER(C$4:C1186,C$4:C1186&lt;&gt;""""))),""^Sell_""),INDEX(FILTER(F$4:F1185,C$4:C1185&lt;&gt;""""),ROWS(FILTER(C$4:C1185,C$4:C1185&lt;&gt;""""))),$AC$5+E1186))"),"")</f>
        <v/>
      </c>
      <c r="G1186" s="10" t="str">
        <f>IFERROR(__xludf.DUMMYFUNCTION("IF(COUNTA(C1186:C1673)=0,"""",IF(C1186="""",0,IF(REGEXMATCH(C1186,""^Sell_""),-ROUNDDOWN(ROUNDUP(INDEX(Upgrades!$C$3:$C$13,MATCH(SUBSTITUTE(C1186,""Sell_"",""""),Upgrades!$B$3:$B$13,0))*1.15^(COUNTIF(C$4:C1185,SUBSTITUTE(C1186,""Sell_"",""""))-COUNTIF(C$4"&amp;":C1185,""Sell_""&amp;SUBSTITUTE(C1186,""Sell_"",""""))))/2),ROUNDUP(INDEX(Upgrades!$C$3:$C$13,MATCH(C1186,Upgrades!$B$3:$B$13,0))*1.15^(COUNTIF(C$4:C1185,C1186)-COUNTIF(C$4:C1185,""Sell_""&amp;C1186))))))"),"")</f>
        <v/>
      </c>
      <c r="H1186" s="10" t="str">
        <f t="shared" si="3"/>
        <v/>
      </c>
      <c r="I1186" s="68" t="str">
        <f t="shared" si="4"/>
        <v/>
      </c>
      <c r="J1186" s="59" t="str">
        <f t="shared" si="5"/>
        <v/>
      </c>
      <c r="K1186" s="69" t="str">
        <f t="shared" si="6"/>
        <v/>
      </c>
      <c r="L1186" s="60" t="str">
        <f t="shared" si="7"/>
        <v/>
      </c>
      <c r="M1186" s="61" t="str">
        <f>IFERROR(__xludf.DUMMYFUNCTION("IFS(AND(COUNTA(C1186:C1673)=0,COUNTA(Q1186:Q1673)=0),"""",OR(AND(K1186&gt;=1000000000,OR(Y1186&gt;=1000000000,COUNTA(Q1186:Q1673)=0)),OR(Y1186&gt;=1000000000,AND(COUNTA(C1186:C1673)=0,P$3=TRUE))),
ROUNDDOWN((AB$1-AC$1)*MAX(INDEX(T$4:T1673,MATCH(LARGE(FILTER(Y$4:Y1"&amp;"673,Y$4:Y1673&lt;1000000000),1),Y$4:Y1673)),INDEX(F$4:F1673,MATCH(LARGE(FILTER(K$4:K1673,K$4:K1673&lt;1000000000),1),K$4:K1673)))),AND(K1186&lt;1000000000,COUNTA(C1186:C1673)&gt;0,P$3=FALSE),
ROUNDDOWN(INDEX(Y$4:Y1673,MATCH(LARGE(FILTER(W$4:W1673,W$4:W1673&lt;=I1186),1)"&amp;",W$4:W1673))+(I1186-LARGE(FILTER(W$4:W1673,W$4:W1673&lt;=I1186),1))*INDEX(T$4:T1673,MATCH(LARGE(FILTER(W$4:W1673,W$4:W1673&lt;=I1186),1),W$4:W1673))-K1186),1,
ROUNDDOWN(Y1186-INDEX(K$4:K1673,MATCH(LARGE(FILTER(I$4:I1673,I$4:I1673&lt;=W1186),1),I$4:I1673))-(W1186-L"&amp;"ARGE(FILTER(I$4:I1673,I$4:I1673&lt;=W1186),1))*INDEX(F$4:F1673,MATCH(LARGE(FILTER(I$4:I1673,I$4:I1673&lt;=W1186),1),I$4:I1673))))"),"")</f>
        <v/>
      </c>
      <c r="N1186" s="60" t="str">
        <f t="shared" si="8"/>
        <v/>
      </c>
      <c r="O1186" s="61" t="str">
        <f t="shared" si="9"/>
        <v/>
      </c>
      <c r="P1186" s="56" t="str">
        <f t="shared" si="10"/>
        <v/>
      </c>
      <c r="Q1186" s="67"/>
      <c r="R1186" s="10"/>
      <c r="S1186" s="59" t="str">
        <f t="array" ref="S1186">IF(COUNTA(Q1186:Q1673)=0,"",SUM((COUNTIF(Q$4:Q1186,Upgrades!$B$3:$B$13)-COUNTIF(Q$4:Q1186,"Sell_"&amp;Upgrades!$B$3:$B$13))*Upgrades!$D$3:$D$13))</f>
        <v/>
      </c>
      <c r="T1186" s="66" t="str">
        <f>IFERROR(__xludf.DUMMYFUNCTION("IF(COUNTA(Q1186:Q1673)=0,"""",IF(REGEXMATCH(INDEX(FILTER(Q$4:Q1186,Q$4:Q1186&lt;&gt;""""),ROWS(FILTER(Q$4:Q1186,Q$4:Q1186&lt;&gt;""""))),""^Sell_""),INDEX(FILTER(T$4:T1185,Q$4:Q1185&lt;&gt;""""),ROWS(FILTER(Q$4:Q1185,Q$4:Q1185&lt;&gt;""""))),$AD$5+S1186))"),"")</f>
        <v/>
      </c>
      <c r="U1186" s="10" t="str">
        <f>IFERROR(__xludf.DUMMYFUNCTION("IF(COUNTA(Q1186:Q1673)=0,"""",IF(Q1186="""",0,IF(REGEXMATCH(Q1186,""^Sell_""),-ROUNDDOWN(ROUNDUP(INDEX(Upgrades!$C$3:$C$13,MATCH(SUBSTITUTE(Q1186,""Sell_"",""""),Upgrades!$B$3:$B$13,0))*1.15^(COUNTIF(Q$4:Q1185,SUBSTITUTE(Q1186,""Sell_"",""""))-COUNTIF(Q$4"&amp;":Q1185,""Sell_""&amp;SUBSTITUTE(Q1186,""Sell_"",""""))))/2),ROUNDUP(INDEX(Upgrades!$C$3:$C$13,MATCH(Q1186,Upgrades!$B$3:$B$13,0))*1.15^(COUNTIF(Q$4:Q1185,Q1186)-COUNTIF(Q$4:Q1185,""Sell_""&amp;Q1186))))))"),"")</f>
        <v/>
      </c>
      <c r="V1186" s="10" t="str">
        <f t="shared" si="11"/>
        <v/>
      </c>
      <c r="W1186" s="68" t="str">
        <f t="shared" si="12"/>
        <v/>
      </c>
      <c r="X1186" s="59" t="str">
        <f t="shared" si="13"/>
        <v/>
      </c>
      <c r="Y1186" s="69" t="str">
        <f t="shared" si="14"/>
        <v/>
      </c>
      <c r="Z1186" s="11"/>
    </row>
    <row r="1187">
      <c r="A1187" s="8"/>
      <c r="B1187" s="56" t="str">
        <f t="shared" si="2"/>
        <v/>
      </c>
      <c r="C1187" s="105"/>
      <c r="D1187" s="10"/>
      <c r="E1187" s="59" t="str">
        <f t="array" ref="E1187">IF(COUNTA(C1187:C1673)=0,"",SUM((COUNTIF(C$4:C1187,Upgrades!$B$3:$B$13)-COUNTIF(C$4:C1187,"Sell_"&amp;Upgrades!$B$3:$B$13))*Upgrades!$D$3:$D$13))</f>
        <v/>
      </c>
      <c r="F1187" s="66" t="str">
        <f>IFERROR(__xludf.DUMMYFUNCTION("IF(COUNTA(C1187:C1673)=0,"""",IF(REGEXMATCH(INDEX(FILTER(C$4:C1187,C$4:C1187&lt;&gt;""""),ROWS(FILTER(C$4:C1187,C$4:C1187&lt;&gt;""""))),""^Sell_""),INDEX(FILTER(F$4:F1186,C$4:C1186&lt;&gt;""""),ROWS(FILTER(C$4:C1186,C$4:C1186&lt;&gt;""""))),$AC$5+E1187))"),"")</f>
        <v/>
      </c>
      <c r="G1187" s="10" t="str">
        <f>IFERROR(__xludf.DUMMYFUNCTION("IF(COUNTA(C1187:C1673)=0,"""",IF(C1187="""",0,IF(REGEXMATCH(C1187,""^Sell_""),-ROUNDDOWN(ROUNDUP(INDEX(Upgrades!$C$3:$C$13,MATCH(SUBSTITUTE(C1187,""Sell_"",""""),Upgrades!$B$3:$B$13,0))*1.15^(COUNTIF(C$4:C1186,SUBSTITUTE(C1187,""Sell_"",""""))-COUNTIF(C$4"&amp;":C1186,""Sell_""&amp;SUBSTITUTE(C1187,""Sell_"",""""))))/2),ROUNDUP(INDEX(Upgrades!$C$3:$C$13,MATCH(C1187,Upgrades!$B$3:$B$13,0))*1.15^(COUNTIF(C$4:C1186,C1187)-COUNTIF(C$4:C1186,""Sell_""&amp;C1187))))))"),"")</f>
        <v/>
      </c>
      <c r="H1187" s="10" t="str">
        <f t="shared" si="3"/>
        <v/>
      </c>
      <c r="I1187" s="68" t="str">
        <f t="shared" si="4"/>
        <v/>
      </c>
      <c r="J1187" s="59" t="str">
        <f t="shared" si="5"/>
        <v/>
      </c>
      <c r="K1187" s="69" t="str">
        <f t="shared" si="6"/>
        <v/>
      </c>
      <c r="L1187" s="60" t="str">
        <f t="shared" si="7"/>
        <v/>
      </c>
      <c r="M1187" s="61" t="str">
        <f>IFERROR(__xludf.DUMMYFUNCTION("IFS(AND(COUNTA(C1187:C1673)=0,COUNTA(Q1187:Q1673)=0),"""",OR(AND(K1187&gt;=1000000000,OR(Y1187&gt;=1000000000,COUNTA(Q1187:Q1673)=0)),OR(Y1187&gt;=1000000000,AND(COUNTA(C1187:C1673)=0,P$3=TRUE))),
ROUNDDOWN((AB$1-AC$1)*MAX(INDEX(T$4:T1673,MATCH(LARGE(FILTER(Y$4:Y1"&amp;"673,Y$4:Y1673&lt;1000000000),1),Y$4:Y1673)),INDEX(F$4:F1673,MATCH(LARGE(FILTER(K$4:K1673,K$4:K1673&lt;1000000000),1),K$4:K1673)))),AND(K1187&lt;1000000000,COUNTA(C1187:C1673)&gt;0,P$3=FALSE),
ROUNDDOWN(INDEX(Y$4:Y1673,MATCH(LARGE(FILTER(W$4:W1673,W$4:W1673&lt;=I1187),1)"&amp;",W$4:W1673))+(I1187-LARGE(FILTER(W$4:W1673,W$4:W1673&lt;=I1187),1))*INDEX(T$4:T1673,MATCH(LARGE(FILTER(W$4:W1673,W$4:W1673&lt;=I1187),1),W$4:W1673))-K1187),1,
ROUNDDOWN(Y1187-INDEX(K$4:K1673,MATCH(LARGE(FILTER(I$4:I1673,I$4:I1673&lt;=W1187),1),I$4:I1673))-(W1187-L"&amp;"ARGE(FILTER(I$4:I1673,I$4:I1673&lt;=W1187),1))*INDEX(F$4:F1673,MATCH(LARGE(FILTER(I$4:I1673,I$4:I1673&lt;=W1187),1),I$4:I1673))))"),"")</f>
        <v/>
      </c>
      <c r="N1187" s="60" t="str">
        <f t="shared" si="8"/>
        <v/>
      </c>
      <c r="O1187" s="61" t="str">
        <f t="shared" si="9"/>
        <v/>
      </c>
      <c r="P1187" s="56" t="str">
        <f t="shared" si="10"/>
        <v/>
      </c>
      <c r="Q1187" s="67"/>
      <c r="R1187" s="10"/>
      <c r="S1187" s="59" t="str">
        <f t="array" ref="S1187">IF(COUNTA(Q1187:Q1673)=0,"",SUM((COUNTIF(Q$4:Q1187,Upgrades!$B$3:$B$13)-COUNTIF(Q$4:Q1187,"Sell_"&amp;Upgrades!$B$3:$B$13))*Upgrades!$D$3:$D$13))</f>
        <v/>
      </c>
      <c r="T1187" s="66" t="str">
        <f>IFERROR(__xludf.DUMMYFUNCTION("IF(COUNTA(Q1187:Q1673)=0,"""",IF(REGEXMATCH(INDEX(FILTER(Q$4:Q1187,Q$4:Q1187&lt;&gt;""""),ROWS(FILTER(Q$4:Q1187,Q$4:Q1187&lt;&gt;""""))),""^Sell_""),INDEX(FILTER(T$4:T1186,Q$4:Q1186&lt;&gt;""""),ROWS(FILTER(Q$4:Q1186,Q$4:Q1186&lt;&gt;""""))),$AD$5+S1187))"),"")</f>
        <v/>
      </c>
      <c r="U1187" s="10" t="str">
        <f>IFERROR(__xludf.DUMMYFUNCTION("IF(COUNTA(Q1187:Q1673)=0,"""",IF(Q1187="""",0,IF(REGEXMATCH(Q1187,""^Sell_""),-ROUNDDOWN(ROUNDUP(INDEX(Upgrades!$C$3:$C$13,MATCH(SUBSTITUTE(Q1187,""Sell_"",""""),Upgrades!$B$3:$B$13,0))*1.15^(COUNTIF(Q$4:Q1186,SUBSTITUTE(Q1187,""Sell_"",""""))-COUNTIF(Q$4"&amp;":Q1186,""Sell_""&amp;SUBSTITUTE(Q1187,""Sell_"",""""))))/2),ROUNDUP(INDEX(Upgrades!$C$3:$C$13,MATCH(Q1187,Upgrades!$B$3:$B$13,0))*1.15^(COUNTIF(Q$4:Q1186,Q1187)-COUNTIF(Q$4:Q1186,""Sell_""&amp;Q1187))))))"),"")</f>
        <v/>
      </c>
      <c r="V1187" s="10" t="str">
        <f t="shared" si="11"/>
        <v/>
      </c>
      <c r="W1187" s="68" t="str">
        <f t="shared" si="12"/>
        <v/>
      </c>
      <c r="X1187" s="59" t="str">
        <f t="shared" si="13"/>
        <v/>
      </c>
      <c r="Y1187" s="69" t="str">
        <f t="shared" si="14"/>
        <v/>
      </c>
      <c r="Z1187" s="11"/>
    </row>
    <row r="1188">
      <c r="A1188" s="8"/>
      <c r="B1188" s="56" t="str">
        <f t="shared" si="2"/>
        <v/>
      </c>
      <c r="C1188" s="105"/>
      <c r="D1188" s="10"/>
      <c r="E1188" s="59" t="str">
        <f t="array" ref="E1188">IF(COUNTA(C1188:C1673)=0,"",SUM((COUNTIF(C$4:C1188,Upgrades!$B$3:$B$13)-COUNTIF(C$4:C1188,"Sell_"&amp;Upgrades!$B$3:$B$13))*Upgrades!$D$3:$D$13))</f>
        <v/>
      </c>
      <c r="F1188" s="66" t="str">
        <f>IFERROR(__xludf.DUMMYFUNCTION("IF(COUNTA(C1188:C1673)=0,"""",IF(REGEXMATCH(INDEX(FILTER(C$4:C1188,C$4:C1188&lt;&gt;""""),ROWS(FILTER(C$4:C1188,C$4:C1188&lt;&gt;""""))),""^Sell_""),INDEX(FILTER(F$4:F1187,C$4:C1187&lt;&gt;""""),ROWS(FILTER(C$4:C1187,C$4:C1187&lt;&gt;""""))),$AC$5+E1188))"),"")</f>
        <v/>
      </c>
      <c r="G1188" s="10" t="str">
        <f>IFERROR(__xludf.DUMMYFUNCTION("IF(COUNTA(C1188:C1673)=0,"""",IF(C1188="""",0,IF(REGEXMATCH(C1188,""^Sell_""),-ROUNDDOWN(ROUNDUP(INDEX(Upgrades!$C$3:$C$13,MATCH(SUBSTITUTE(C1188,""Sell_"",""""),Upgrades!$B$3:$B$13,0))*1.15^(COUNTIF(C$4:C1187,SUBSTITUTE(C1188,""Sell_"",""""))-COUNTIF(C$4"&amp;":C1187,""Sell_""&amp;SUBSTITUTE(C1188,""Sell_"",""""))))/2),ROUNDUP(INDEX(Upgrades!$C$3:$C$13,MATCH(C1188,Upgrades!$B$3:$B$13,0))*1.15^(COUNTIF(C$4:C1187,C1188)-COUNTIF(C$4:C1187,""Sell_""&amp;C1188))))))"),"")</f>
        <v/>
      </c>
      <c r="H1188" s="10" t="str">
        <f t="shared" si="3"/>
        <v/>
      </c>
      <c r="I1188" s="68" t="str">
        <f t="shared" si="4"/>
        <v/>
      </c>
      <c r="J1188" s="59" t="str">
        <f t="shared" si="5"/>
        <v/>
      </c>
      <c r="K1188" s="69" t="str">
        <f t="shared" si="6"/>
        <v/>
      </c>
      <c r="L1188" s="60" t="str">
        <f t="shared" si="7"/>
        <v/>
      </c>
      <c r="M1188" s="61" t="str">
        <f>IFERROR(__xludf.DUMMYFUNCTION("IFS(AND(COUNTA(C1188:C1673)=0,COUNTA(Q1188:Q1673)=0),"""",OR(AND(K1188&gt;=1000000000,OR(Y1188&gt;=1000000000,COUNTA(Q1188:Q1673)=0)),OR(Y1188&gt;=1000000000,AND(COUNTA(C1188:C1673)=0,P$3=TRUE))),
ROUNDDOWN((AB$1-AC$1)*MAX(INDEX(T$4:T1673,MATCH(LARGE(FILTER(Y$4:Y1"&amp;"673,Y$4:Y1673&lt;1000000000),1),Y$4:Y1673)),INDEX(F$4:F1673,MATCH(LARGE(FILTER(K$4:K1673,K$4:K1673&lt;1000000000),1),K$4:K1673)))),AND(K1188&lt;1000000000,COUNTA(C1188:C1673)&gt;0,P$3=FALSE),
ROUNDDOWN(INDEX(Y$4:Y1673,MATCH(LARGE(FILTER(W$4:W1673,W$4:W1673&lt;=I1188),1)"&amp;",W$4:W1673))+(I1188-LARGE(FILTER(W$4:W1673,W$4:W1673&lt;=I1188),1))*INDEX(T$4:T1673,MATCH(LARGE(FILTER(W$4:W1673,W$4:W1673&lt;=I1188),1),W$4:W1673))-K1188),1,
ROUNDDOWN(Y1188-INDEX(K$4:K1673,MATCH(LARGE(FILTER(I$4:I1673,I$4:I1673&lt;=W1188),1),I$4:I1673))-(W1188-L"&amp;"ARGE(FILTER(I$4:I1673,I$4:I1673&lt;=W1188),1))*INDEX(F$4:F1673,MATCH(LARGE(FILTER(I$4:I1673,I$4:I1673&lt;=W1188),1),I$4:I1673))))"),"")</f>
        <v/>
      </c>
      <c r="N1188" s="60" t="str">
        <f t="shared" si="8"/>
        <v/>
      </c>
      <c r="O1188" s="61" t="str">
        <f t="shared" si="9"/>
        <v/>
      </c>
      <c r="P1188" s="56" t="str">
        <f t="shared" si="10"/>
        <v/>
      </c>
      <c r="Q1188" s="67"/>
      <c r="R1188" s="10"/>
      <c r="S1188" s="59" t="str">
        <f t="array" ref="S1188">IF(COUNTA(Q1188:Q1673)=0,"",SUM((COUNTIF(Q$4:Q1188,Upgrades!$B$3:$B$13)-COUNTIF(Q$4:Q1188,"Sell_"&amp;Upgrades!$B$3:$B$13))*Upgrades!$D$3:$D$13))</f>
        <v/>
      </c>
      <c r="T1188" s="66" t="str">
        <f>IFERROR(__xludf.DUMMYFUNCTION("IF(COUNTA(Q1188:Q1673)=0,"""",IF(REGEXMATCH(INDEX(FILTER(Q$4:Q1188,Q$4:Q1188&lt;&gt;""""),ROWS(FILTER(Q$4:Q1188,Q$4:Q1188&lt;&gt;""""))),""^Sell_""),INDEX(FILTER(T$4:T1187,Q$4:Q1187&lt;&gt;""""),ROWS(FILTER(Q$4:Q1187,Q$4:Q1187&lt;&gt;""""))),$AD$5+S1188))"),"")</f>
        <v/>
      </c>
      <c r="U1188" s="10" t="str">
        <f>IFERROR(__xludf.DUMMYFUNCTION("IF(COUNTA(Q1188:Q1673)=0,"""",IF(Q1188="""",0,IF(REGEXMATCH(Q1188,""^Sell_""),-ROUNDDOWN(ROUNDUP(INDEX(Upgrades!$C$3:$C$13,MATCH(SUBSTITUTE(Q1188,""Sell_"",""""),Upgrades!$B$3:$B$13,0))*1.15^(COUNTIF(Q$4:Q1187,SUBSTITUTE(Q1188,""Sell_"",""""))-COUNTIF(Q$4"&amp;":Q1187,""Sell_""&amp;SUBSTITUTE(Q1188,""Sell_"",""""))))/2),ROUNDUP(INDEX(Upgrades!$C$3:$C$13,MATCH(Q1188,Upgrades!$B$3:$B$13,0))*1.15^(COUNTIF(Q$4:Q1187,Q1188)-COUNTIF(Q$4:Q1187,""Sell_""&amp;Q1188))))))"),"")</f>
        <v/>
      </c>
      <c r="V1188" s="10" t="str">
        <f t="shared" si="11"/>
        <v/>
      </c>
      <c r="W1188" s="68" t="str">
        <f t="shared" si="12"/>
        <v/>
      </c>
      <c r="X1188" s="59" t="str">
        <f t="shared" si="13"/>
        <v/>
      </c>
      <c r="Y1188" s="69" t="str">
        <f t="shared" si="14"/>
        <v/>
      </c>
      <c r="Z1188" s="11"/>
    </row>
    <row r="1189">
      <c r="A1189" s="8"/>
      <c r="B1189" s="56" t="str">
        <f t="shared" si="2"/>
        <v/>
      </c>
      <c r="C1189" s="105"/>
      <c r="D1189" s="10"/>
      <c r="E1189" s="59" t="str">
        <f t="array" ref="E1189">IF(COUNTA(C1189:C1673)=0,"",SUM((COUNTIF(C$4:C1189,Upgrades!$B$3:$B$13)-COUNTIF(C$4:C1189,"Sell_"&amp;Upgrades!$B$3:$B$13))*Upgrades!$D$3:$D$13))</f>
        <v/>
      </c>
      <c r="F1189" s="66" t="str">
        <f>IFERROR(__xludf.DUMMYFUNCTION("IF(COUNTA(C1189:C1673)=0,"""",IF(REGEXMATCH(INDEX(FILTER(C$4:C1189,C$4:C1189&lt;&gt;""""),ROWS(FILTER(C$4:C1189,C$4:C1189&lt;&gt;""""))),""^Sell_""),INDEX(FILTER(F$4:F1188,C$4:C1188&lt;&gt;""""),ROWS(FILTER(C$4:C1188,C$4:C1188&lt;&gt;""""))),$AC$5+E1189))"),"")</f>
        <v/>
      </c>
      <c r="G1189" s="10" t="str">
        <f>IFERROR(__xludf.DUMMYFUNCTION("IF(COUNTA(C1189:C1673)=0,"""",IF(C1189="""",0,IF(REGEXMATCH(C1189,""^Sell_""),-ROUNDDOWN(ROUNDUP(INDEX(Upgrades!$C$3:$C$13,MATCH(SUBSTITUTE(C1189,""Sell_"",""""),Upgrades!$B$3:$B$13,0))*1.15^(COUNTIF(C$4:C1188,SUBSTITUTE(C1189,""Sell_"",""""))-COUNTIF(C$4"&amp;":C1188,""Sell_""&amp;SUBSTITUTE(C1189,""Sell_"",""""))))/2),ROUNDUP(INDEX(Upgrades!$C$3:$C$13,MATCH(C1189,Upgrades!$B$3:$B$13,0))*1.15^(COUNTIF(C$4:C1188,C1189)-COUNTIF(C$4:C1188,""Sell_""&amp;C1189))))))"),"")</f>
        <v/>
      </c>
      <c r="H1189" s="10" t="str">
        <f t="shared" si="3"/>
        <v/>
      </c>
      <c r="I1189" s="68" t="str">
        <f t="shared" si="4"/>
        <v/>
      </c>
      <c r="J1189" s="59" t="str">
        <f t="shared" si="5"/>
        <v/>
      </c>
      <c r="K1189" s="69" t="str">
        <f t="shared" si="6"/>
        <v/>
      </c>
      <c r="L1189" s="60" t="str">
        <f t="shared" si="7"/>
        <v/>
      </c>
      <c r="M1189" s="61" t="str">
        <f>IFERROR(__xludf.DUMMYFUNCTION("IFS(AND(COUNTA(C1189:C1673)=0,COUNTA(Q1189:Q1673)=0),"""",OR(AND(K1189&gt;=1000000000,OR(Y1189&gt;=1000000000,COUNTA(Q1189:Q1673)=0)),OR(Y1189&gt;=1000000000,AND(COUNTA(C1189:C1673)=0,P$3=TRUE))),
ROUNDDOWN((AB$1-AC$1)*MAX(INDEX(T$4:T1673,MATCH(LARGE(FILTER(Y$4:Y1"&amp;"673,Y$4:Y1673&lt;1000000000),1),Y$4:Y1673)),INDEX(F$4:F1673,MATCH(LARGE(FILTER(K$4:K1673,K$4:K1673&lt;1000000000),1),K$4:K1673)))),AND(K1189&lt;1000000000,COUNTA(C1189:C1673)&gt;0,P$3=FALSE),
ROUNDDOWN(INDEX(Y$4:Y1673,MATCH(LARGE(FILTER(W$4:W1673,W$4:W1673&lt;=I1189),1)"&amp;",W$4:W1673))+(I1189-LARGE(FILTER(W$4:W1673,W$4:W1673&lt;=I1189),1))*INDEX(T$4:T1673,MATCH(LARGE(FILTER(W$4:W1673,W$4:W1673&lt;=I1189),1),W$4:W1673))-K1189),1,
ROUNDDOWN(Y1189-INDEX(K$4:K1673,MATCH(LARGE(FILTER(I$4:I1673,I$4:I1673&lt;=W1189),1),I$4:I1673))-(W1189-L"&amp;"ARGE(FILTER(I$4:I1673,I$4:I1673&lt;=W1189),1))*INDEX(F$4:F1673,MATCH(LARGE(FILTER(I$4:I1673,I$4:I1673&lt;=W1189),1),I$4:I1673))))"),"")</f>
        <v/>
      </c>
      <c r="N1189" s="60" t="str">
        <f t="shared" si="8"/>
        <v/>
      </c>
      <c r="O1189" s="61" t="str">
        <f t="shared" si="9"/>
        <v/>
      </c>
      <c r="P1189" s="56" t="str">
        <f t="shared" si="10"/>
        <v/>
      </c>
      <c r="Q1189" s="67"/>
      <c r="R1189" s="10"/>
      <c r="S1189" s="59" t="str">
        <f t="array" ref="S1189">IF(COUNTA(Q1189:Q1673)=0,"",SUM((COUNTIF(Q$4:Q1189,Upgrades!$B$3:$B$13)-COUNTIF(Q$4:Q1189,"Sell_"&amp;Upgrades!$B$3:$B$13))*Upgrades!$D$3:$D$13))</f>
        <v/>
      </c>
      <c r="T1189" s="66" t="str">
        <f>IFERROR(__xludf.DUMMYFUNCTION("IF(COUNTA(Q1189:Q1673)=0,"""",IF(REGEXMATCH(INDEX(FILTER(Q$4:Q1189,Q$4:Q1189&lt;&gt;""""),ROWS(FILTER(Q$4:Q1189,Q$4:Q1189&lt;&gt;""""))),""^Sell_""),INDEX(FILTER(T$4:T1188,Q$4:Q1188&lt;&gt;""""),ROWS(FILTER(Q$4:Q1188,Q$4:Q1188&lt;&gt;""""))),$AD$5+S1189))"),"")</f>
        <v/>
      </c>
      <c r="U1189" s="10" t="str">
        <f>IFERROR(__xludf.DUMMYFUNCTION("IF(COUNTA(Q1189:Q1673)=0,"""",IF(Q1189="""",0,IF(REGEXMATCH(Q1189,""^Sell_""),-ROUNDDOWN(ROUNDUP(INDEX(Upgrades!$C$3:$C$13,MATCH(SUBSTITUTE(Q1189,""Sell_"",""""),Upgrades!$B$3:$B$13,0))*1.15^(COUNTIF(Q$4:Q1188,SUBSTITUTE(Q1189,""Sell_"",""""))-COUNTIF(Q$4"&amp;":Q1188,""Sell_""&amp;SUBSTITUTE(Q1189,""Sell_"",""""))))/2),ROUNDUP(INDEX(Upgrades!$C$3:$C$13,MATCH(Q1189,Upgrades!$B$3:$B$13,0))*1.15^(COUNTIF(Q$4:Q1188,Q1189)-COUNTIF(Q$4:Q1188,""Sell_""&amp;Q1189))))))"),"")</f>
        <v/>
      </c>
      <c r="V1189" s="10" t="str">
        <f t="shared" si="11"/>
        <v/>
      </c>
      <c r="W1189" s="68" t="str">
        <f t="shared" si="12"/>
        <v/>
      </c>
      <c r="X1189" s="59" t="str">
        <f t="shared" si="13"/>
        <v/>
      </c>
      <c r="Y1189" s="69" t="str">
        <f t="shared" si="14"/>
        <v/>
      </c>
      <c r="Z1189" s="11"/>
    </row>
    <row r="1190">
      <c r="A1190" s="8"/>
      <c r="B1190" s="56" t="str">
        <f t="shared" si="2"/>
        <v/>
      </c>
      <c r="C1190" s="105"/>
      <c r="D1190" s="10"/>
      <c r="E1190" s="59" t="str">
        <f t="array" ref="E1190">IF(COUNTA(C1190:C1673)=0,"",SUM((COUNTIF(C$4:C1190,Upgrades!$B$3:$B$13)-COUNTIF(C$4:C1190,"Sell_"&amp;Upgrades!$B$3:$B$13))*Upgrades!$D$3:$D$13))</f>
        <v/>
      </c>
      <c r="F1190" s="66" t="str">
        <f>IFERROR(__xludf.DUMMYFUNCTION("IF(COUNTA(C1190:C1673)=0,"""",IF(REGEXMATCH(INDEX(FILTER(C$4:C1190,C$4:C1190&lt;&gt;""""),ROWS(FILTER(C$4:C1190,C$4:C1190&lt;&gt;""""))),""^Sell_""),INDEX(FILTER(F$4:F1189,C$4:C1189&lt;&gt;""""),ROWS(FILTER(C$4:C1189,C$4:C1189&lt;&gt;""""))),$AC$5+E1190))"),"")</f>
        <v/>
      </c>
      <c r="G1190" s="10" t="str">
        <f>IFERROR(__xludf.DUMMYFUNCTION("IF(COUNTA(C1190:C1673)=0,"""",IF(C1190="""",0,IF(REGEXMATCH(C1190,""^Sell_""),-ROUNDDOWN(ROUNDUP(INDEX(Upgrades!$C$3:$C$13,MATCH(SUBSTITUTE(C1190,""Sell_"",""""),Upgrades!$B$3:$B$13,0))*1.15^(COUNTIF(C$4:C1189,SUBSTITUTE(C1190,""Sell_"",""""))-COUNTIF(C$4"&amp;":C1189,""Sell_""&amp;SUBSTITUTE(C1190,""Sell_"",""""))))/2),ROUNDUP(INDEX(Upgrades!$C$3:$C$13,MATCH(C1190,Upgrades!$B$3:$B$13,0))*1.15^(COUNTIF(C$4:C1189,C1190)-COUNTIF(C$4:C1189,""Sell_""&amp;C1190))))))"),"")</f>
        <v/>
      </c>
      <c r="H1190" s="10" t="str">
        <f t="shared" si="3"/>
        <v/>
      </c>
      <c r="I1190" s="68" t="str">
        <f t="shared" si="4"/>
        <v/>
      </c>
      <c r="J1190" s="59" t="str">
        <f t="shared" si="5"/>
        <v/>
      </c>
      <c r="K1190" s="69" t="str">
        <f t="shared" si="6"/>
        <v/>
      </c>
      <c r="L1190" s="60" t="str">
        <f t="shared" si="7"/>
        <v/>
      </c>
      <c r="M1190" s="61" t="str">
        <f>IFERROR(__xludf.DUMMYFUNCTION("IFS(AND(COUNTA(C1190:C1673)=0,COUNTA(Q1190:Q1673)=0),"""",OR(AND(K1190&gt;=1000000000,OR(Y1190&gt;=1000000000,COUNTA(Q1190:Q1673)=0)),OR(Y1190&gt;=1000000000,AND(COUNTA(C1190:C1673)=0,P$3=TRUE))),
ROUNDDOWN((AB$1-AC$1)*MAX(INDEX(T$4:T1673,MATCH(LARGE(FILTER(Y$4:Y1"&amp;"673,Y$4:Y1673&lt;1000000000),1),Y$4:Y1673)),INDEX(F$4:F1673,MATCH(LARGE(FILTER(K$4:K1673,K$4:K1673&lt;1000000000),1),K$4:K1673)))),AND(K1190&lt;1000000000,COUNTA(C1190:C1673)&gt;0,P$3=FALSE),
ROUNDDOWN(INDEX(Y$4:Y1673,MATCH(LARGE(FILTER(W$4:W1673,W$4:W1673&lt;=I1190),1)"&amp;",W$4:W1673))+(I1190-LARGE(FILTER(W$4:W1673,W$4:W1673&lt;=I1190),1))*INDEX(T$4:T1673,MATCH(LARGE(FILTER(W$4:W1673,W$4:W1673&lt;=I1190),1),W$4:W1673))-K1190),1,
ROUNDDOWN(Y1190-INDEX(K$4:K1673,MATCH(LARGE(FILTER(I$4:I1673,I$4:I1673&lt;=W1190),1),I$4:I1673))-(W1190-L"&amp;"ARGE(FILTER(I$4:I1673,I$4:I1673&lt;=W1190),1))*INDEX(F$4:F1673,MATCH(LARGE(FILTER(I$4:I1673,I$4:I1673&lt;=W1190),1),I$4:I1673))))"),"")</f>
        <v/>
      </c>
      <c r="N1190" s="60" t="str">
        <f t="shared" si="8"/>
        <v/>
      </c>
      <c r="O1190" s="61" t="str">
        <f t="shared" si="9"/>
        <v/>
      </c>
      <c r="P1190" s="56" t="str">
        <f t="shared" si="10"/>
        <v/>
      </c>
      <c r="Q1190" s="67"/>
      <c r="R1190" s="10"/>
      <c r="S1190" s="59" t="str">
        <f t="array" ref="S1190">IF(COUNTA(Q1190:Q1673)=0,"",SUM((COUNTIF(Q$4:Q1190,Upgrades!$B$3:$B$13)-COUNTIF(Q$4:Q1190,"Sell_"&amp;Upgrades!$B$3:$B$13))*Upgrades!$D$3:$D$13))</f>
        <v/>
      </c>
      <c r="T1190" s="66" t="str">
        <f>IFERROR(__xludf.DUMMYFUNCTION("IF(COUNTA(Q1190:Q1673)=0,"""",IF(REGEXMATCH(INDEX(FILTER(Q$4:Q1190,Q$4:Q1190&lt;&gt;""""),ROWS(FILTER(Q$4:Q1190,Q$4:Q1190&lt;&gt;""""))),""^Sell_""),INDEX(FILTER(T$4:T1189,Q$4:Q1189&lt;&gt;""""),ROWS(FILTER(Q$4:Q1189,Q$4:Q1189&lt;&gt;""""))),$AD$5+S1190))"),"")</f>
        <v/>
      </c>
      <c r="U1190" s="10" t="str">
        <f>IFERROR(__xludf.DUMMYFUNCTION("IF(COUNTA(Q1190:Q1673)=0,"""",IF(Q1190="""",0,IF(REGEXMATCH(Q1190,""^Sell_""),-ROUNDDOWN(ROUNDUP(INDEX(Upgrades!$C$3:$C$13,MATCH(SUBSTITUTE(Q1190,""Sell_"",""""),Upgrades!$B$3:$B$13,0))*1.15^(COUNTIF(Q$4:Q1189,SUBSTITUTE(Q1190,""Sell_"",""""))-COUNTIF(Q$4"&amp;":Q1189,""Sell_""&amp;SUBSTITUTE(Q1190,""Sell_"",""""))))/2),ROUNDUP(INDEX(Upgrades!$C$3:$C$13,MATCH(Q1190,Upgrades!$B$3:$B$13,0))*1.15^(COUNTIF(Q$4:Q1189,Q1190)-COUNTIF(Q$4:Q1189,""Sell_""&amp;Q1190))))))"),"")</f>
        <v/>
      </c>
      <c r="V1190" s="10" t="str">
        <f t="shared" si="11"/>
        <v/>
      </c>
      <c r="W1190" s="68" t="str">
        <f t="shared" si="12"/>
        <v/>
      </c>
      <c r="X1190" s="59" t="str">
        <f t="shared" si="13"/>
        <v/>
      </c>
      <c r="Y1190" s="69" t="str">
        <f t="shared" si="14"/>
        <v/>
      </c>
      <c r="Z1190" s="11"/>
    </row>
    <row r="1191">
      <c r="A1191" s="8"/>
      <c r="B1191" s="56" t="str">
        <f t="shared" si="2"/>
        <v/>
      </c>
      <c r="C1191" s="105"/>
      <c r="D1191" s="10"/>
      <c r="E1191" s="59" t="str">
        <f t="array" ref="E1191">IF(COUNTA(C1191:C1673)=0,"",SUM((COUNTIF(C$4:C1191,Upgrades!$B$3:$B$13)-COUNTIF(C$4:C1191,"Sell_"&amp;Upgrades!$B$3:$B$13))*Upgrades!$D$3:$D$13))</f>
        <v/>
      </c>
      <c r="F1191" s="66" t="str">
        <f>IFERROR(__xludf.DUMMYFUNCTION("IF(COUNTA(C1191:C1673)=0,"""",IF(REGEXMATCH(INDEX(FILTER(C$4:C1191,C$4:C1191&lt;&gt;""""),ROWS(FILTER(C$4:C1191,C$4:C1191&lt;&gt;""""))),""^Sell_""),INDEX(FILTER(F$4:F1190,C$4:C1190&lt;&gt;""""),ROWS(FILTER(C$4:C1190,C$4:C1190&lt;&gt;""""))),$AC$5+E1191))"),"")</f>
        <v/>
      </c>
      <c r="G1191" s="10" t="str">
        <f>IFERROR(__xludf.DUMMYFUNCTION("IF(COUNTA(C1191:C1673)=0,"""",IF(C1191="""",0,IF(REGEXMATCH(C1191,""^Sell_""),-ROUNDDOWN(ROUNDUP(INDEX(Upgrades!$C$3:$C$13,MATCH(SUBSTITUTE(C1191,""Sell_"",""""),Upgrades!$B$3:$B$13,0))*1.15^(COUNTIF(C$4:C1190,SUBSTITUTE(C1191,""Sell_"",""""))-COUNTIF(C$4"&amp;":C1190,""Sell_""&amp;SUBSTITUTE(C1191,""Sell_"",""""))))/2),ROUNDUP(INDEX(Upgrades!$C$3:$C$13,MATCH(C1191,Upgrades!$B$3:$B$13,0))*1.15^(COUNTIF(C$4:C1190,C1191)-COUNTIF(C$4:C1190,""Sell_""&amp;C1191))))))"),"")</f>
        <v/>
      </c>
      <c r="H1191" s="10" t="str">
        <f t="shared" si="3"/>
        <v/>
      </c>
      <c r="I1191" s="68" t="str">
        <f t="shared" si="4"/>
        <v/>
      </c>
      <c r="J1191" s="59" t="str">
        <f t="shared" si="5"/>
        <v/>
      </c>
      <c r="K1191" s="69" t="str">
        <f t="shared" si="6"/>
        <v/>
      </c>
      <c r="L1191" s="60" t="str">
        <f t="shared" si="7"/>
        <v/>
      </c>
      <c r="M1191" s="61" t="str">
        <f>IFERROR(__xludf.DUMMYFUNCTION("IFS(AND(COUNTA(C1191:C1673)=0,COUNTA(Q1191:Q1673)=0),"""",OR(AND(K1191&gt;=1000000000,OR(Y1191&gt;=1000000000,COUNTA(Q1191:Q1673)=0)),OR(Y1191&gt;=1000000000,AND(COUNTA(C1191:C1673)=0,P$3=TRUE))),
ROUNDDOWN((AB$1-AC$1)*MAX(INDEX(T$4:T1673,MATCH(LARGE(FILTER(Y$4:Y1"&amp;"673,Y$4:Y1673&lt;1000000000),1),Y$4:Y1673)),INDEX(F$4:F1673,MATCH(LARGE(FILTER(K$4:K1673,K$4:K1673&lt;1000000000),1),K$4:K1673)))),AND(K1191&lt;1000000000,COUNTA(C1191:C1673)&gt;0,P$3=FALSE),
ROUNDDOWN(INDEX(Y$4:Y1673,MATCH(LARGE(FILTER(W$4:W1673,W$4:W1673&lt;=I1191),1)"&amp;",W$4:W1673))+(I1191-LARGE(FILTER(W$4:W1673,W$4:W1673&lt;=I1191),1))*INDEX(T$4:T1673,MATCH(LARGE(FILTER(W$4:W1673,W$4:W1673&lt;=I1191),1),W$4:W1673))-K1191),1,
ROUNDDOWN(Y1191-INDEX(K$4:K1673,MATCH(LARGE(FILTER(I$4:I1673,I$4:I1673&lt;=W1191),1),I$4:I1673))-(W1191-L"&amp;"ARGE(FILTER(I$4:I1673,I$4:I1673&lt;=W1191),1))*INDEX(F$4:F1673,MATCH(LARGE(FILTER(I$4:I1673,I$4:I1673&lt;=W1191),1),I$4:I1673))))"),"")</f>
        <v/>
      </c>
      <c r="N1191" s="60" t="str">
        <f t="shared" si="8"/>
        <v/>
      </c>
      <c r="O1191" s="61" t="str">
        <f t="shared" si="9"/>
        <v/>
      </c>
      <c r="P1191" s="56" t="str">
        <f t="shared" si="10"/>
        <v/>
      </c>
      <c r="Q1191" s="67"/>
      <c r="R1191" s="10"/>
      <c r="S1191" s="59" t="str">
        <f t="array" ref="S1191">IF(COUNTA(Q1191:Q1673)=0,"",SUM((COUNTIF(Q$4:Q1191,Upgrades!$B$3:$B$13)-COUNTIF(Q$4:Q1191,"Sell_"&amp;Upgrades!$B$3:$B$13))*Upgrades!$D$3:$D$13))</f>
        <v/>
      </c>
      <c r="T1191" s="66" t="str">
        <f>IFERROR(__xludf.DUMMYFUNCTION("IF(COUNTA(Q1191:Q1673)=0,"""",IF(REGEXMATCH(INDEX(FILTER(Q$4:Q1191,Q$4:Q1191&lt;&gt;""""),ROWS(FILTER(Q$4:Q1191,Q$4:Q1191&lt;&gt;""""))),""^Sell_""),INDEX(FILTER(T$4:T1190,Q$4:Q1190&lt;&gt;""""),ROWS(FILTER(Q$4:Q1190,Q$4:Q1190&lt;&gt;""""))),$AD$5+S1191))"),"")</f>
        <v/>
      </c>
      <c r="U1191" s="10" t="str">
        <f>IFERROR(__xludf.DUMMYFUNCTION("IF(COUNTA(Q1191:Q1673)=0,"""",IF(Q1191="""",0,IF(REGEXMATCH(Q1191,""^Sell_""),-ROUNDDOWN(ROUNDUP(INDEX(Upgrades!$C$3:$C$13,MATCH(SUBSTITUTE(Q1191,""Sell_"",""""),Upgrades!$B$3:$B$13,0))*1.15^(COUNTIF(Q$4:Q1190,SUBSTITUTE(Q1191,""Sell_"",""""))-COUNTIF(Q$4"&amp;":Q1190,""Sell_""&amp;SUBSTITUTE(Q1191,""Sell_"",""""))))/2),ROUNDUP(INDEX(Upgrades!$C$3:$C$13,MATCH(Q1191,Upgrades!$B$3:$B$13,0))*1.15^(COUNTIF(Q$4:Q1190,Q1191)-COUNTIF(Q$4:Q1190,""Sell_""&amp;Q1191))))))"),"")</f>
        <v/>
      </c>
      <c r="V1191" s="10" t="str">
        <f t="shared" si="11"/>
        <v/>
      </c>
      <c r="W1191" s="68" t="str">
        <f t="shared" si="12"/>
        <v/>
      </c>
      <c r="X1191" s="59" t="str">
        <f t="shared" si="13"/>
        <v/>
      </c>
      <c r="Y1191" s="69" t="str">
        <f t="shared" si="14"/>
        <v/>
      </c>
      <c r="Z1191" s="11"/>
    </row>
    <row r="1192">
      <c r="A1192" s="8"/>
      <c r="B1192" s="56" t="str">
        <f t="shared" si="2"/>
        <v/>
      </c>
      <c r="C1192" s="105"/>
      <c r="D1192" s="10"/>
      <c r="E1192" s="59" t="str">
        <f t="array" ref="E1192">IF(COUNTA(C1192:C1673)=0,"",SUM((COUNTIF(C$4:C1192,Upgrades!$B$3:$B$13)-COUNTIF(C$4:C1192,"Sell_"&amp;Upgrades!$B$3:$B$13))*Upgrades!$D$3:$D$13))</f>
        <v/>
      </c>
      <c r="F1192" s="66" t="str">
        <f>IFERROR(__xludf.DUMMYFUNCTION("IF(COUNTA(C1192:C1673)=0,"""",IF(REGEXMATCH(INDEX(FILTER(C$4:C1192,C$4:C1192&lt;&gt;""""),ROWS(FILTER(C$4:C1192,C$4:C1192&lt;&gt;""""))),""^Sell_""),INDEX(FILTER(F$4:F1191,C$4:C1191&lt;&gt;""""),ROWS(FILTER(C$4:C1191,C$4:C1191&lt;&gt;""""))),$AC$5+E1192))"),"")</f>
        <v/>
      </c>
      <c r="G1192" s="10" t="str">
        <f>IFERROR(__xludf.DUMMYFUNCTION("IF(COUNTA(C1192:C1673)=0,"""",IF(C1192="""",0,IF(REGEXMATCH(C1192,""^Sell_""),-ROUNDDOWN(ROUNDUP(INDEX(Upgrades!$C$3:$C$13,MATCH(SUBSTITUTE(C1192,""Sell_"",""""),Upgrades!$B$3:$B$13,0))*1.15^(COUNTIF(C$4:C1191,SUBSTITUTE(C1192,""Sell_"",""""))-COUNTIF(C$4"&amp;":C1191,""Sell_""&amp;SUBSTITUTE(C1192,""Sell_"",""""))))/2),ROUNDUP(INDEX(Upgrades!$C$3:$C$13,MATCH(C1192,Upgrades!$B$3:$B$13,0))*1.15^(COUNTIF(C$4:C1191,C1192)-COUNTIF(C$4:C1191,""Sell_""&amp;C1192))))))"),"")</f>
        <v/>
      </c>
      <c r="H1192" s="10" t="str">
        <f t="shared" si="3"/>
        <v/>
      </c>
      <c r="I1192" s="68" t="str">
        <f t="shared" si="4"/>
        <v/>
      </c>
      <c r="J1192" s="59" t="str">
        <f t="shared" si="5"/>
        <v/>
      </c>
      <c r="K1192" s="69" t="str">
        <f t="shared" si="6"/>
        <v/>
      </c>
      <c r="L1192" s="60" t="str">
        <f t="shared" si="7"/>
        <v/>
      </c>
      <c r="M1192" s="61" t="str">
        <f>IFERROR(__xludf.DUMMYFUNCTION("IFS(AND(COUNTA(C1192:C1673)=0,COUNTA(Q1192:Q1673)=0),"""",OR(AND(K1192&gt;=1000000000,OR(Y1192&gt;=1000000000,COUNTA(Q1192:Q1673)=0)),OR(Y1192&gt;=1000000000,AND(COUNTA(C1192:C1673)=0,P$3=TRUE))),
ROUNDDOWN((AB$1-AC$1)*MAX(INDEX(T$4:T1673,MATCH(LARGE(FILTER(Y$4:Y1"&amp;"673,Y$4:Y1673&lt;1000000000),1),Y$4:Y1673)),INDEX(F$4:F1673,MATCH(LARGE(FILTER(K$4:K1673,K$4:K1673&lt;1000000000),1),K$4:K1673)))),AND(K1192&lt;1000000000,COUNTA(C1192:C1673)&gt;0,P$3=FALSE),
ROUNDDOWN(INDEX(Y$4:Y1673,MATCH(LARGE(FILTER(W$4:W1673,W$4:W1673&lt;=I1192),1)"&amp;",W$4:W1673))+(I1192-LARGE(FILTER(W$4:W1673,W$4:W1673&lt;=I1192),1))*INDEX(T$4:T1673,MATCH(LARGE(FILTER(W$4:W1673,W$4:W1673&lt;=I1192),1),W$4:W1673))-K1192),1,
ROUNDDOWN(Y1192-INDEX(K$4:K1673,MATCH(LARGE(FILTER(I$4:I1673,I$4:I1673&lt;=W1192),1),I$4:I1673))-(W1192-L"&amp;"ARGE(FILTER(I$4:I1673,I$4:I1673&lt;=W1192),1))*INDEX(F$4:F1673,MATCH(LARGE(FILTER(I$4:I1673,I$4:I1673&lt;=W1192),1),I$4:I1673))))"),"")</f>
        <v/>
      </c>
      <c r="N1192" s="60" t="str">
        <f t="shared" si="8"/>
        <v/>
      </c>
      <c r="O1192" s="61" t="str">
        <f t="shared" si="9"/>
        <v/>
      </c>
      <c r="P1192" s="56" t="str">
        <f t="shared" si="10"/>
        <v/>
      </c>
      <c r="Q1192" s="67"/>
      <c r="R1192" s="10"/>
      <c r="S1192" s="59" t="str">
        <f t="array" ref="S1192">IF(COUNTA(Q1192:Q1673)=0,"",SUM((COUNTIF(Q$4:Q1192,Upgrades!$B$3:$B$13)-COUNTIF(Q$4:Q1192,"Sell_"&amp;Upgrades!$B$3:$B$13))*Upgrades!$D$3:$D$13))</f>
        <v/>
      </c>
      <c r="T1192" s="66" t="str">
        <f>IFERROR(__xludf.DUMMYFUNCTION("IF(COUNTA(Q1192:Q1673)=0,"""",IF(REGEXMATCH(INDEX(FILTER(Q$4:Q1192,Q$4:Q1192&lt;&gt;""""),ROWS(FILTER(Q$4:Q1192,Q$4:Q1192&lt;&gt;""""))),""^Sell_""),INDEX(FILTER(T$4:T1191,Q$4:Q1191&lt;&gt;""""),ROWS(FILTER(Q$4:Q1191,Q$4:Q1191&lt;&gt;""""))),$AD$5+S1192))"),"")</f>
        <v/>
      </c>
      <c r="U1192" s="10" t="str">
        <f>IFERROR(__xludf.DUMMYFUNCTION("IF(COUNTA(Q1192:Q1673)=0,"""",IF(Q1192="""",0,IF(REGEXMATCH(Q1192,""^Sell_""),-ROUNDDOWN(ROUNDUP(INDEX(Upgrades!$C$3:$C$13,MATCH(SUBSTITUTE(Q1192,""Sell_"",""""),Upgrades!$B$3:$B$13,0))*1.15^(COUNTIF(Q$4:Q1191,SUBSTITUTE(Q1192,""Sell_"",""""))-COUNTIF(Q$4"&amp;":Q1191,""Sell_""&amp;SUBSTITUTE(Q1192,""Sell_"",""""))))/2),ROUNDUP(INDEX(Upgrades!$C$3:$C$13,MATCH(Q1192,Upgrades!$B$3:$B$13,0))*1.15^(COUNTIF(Q$4:Q1191,Q1192)-COUNTIF(Q$4:Q1191,""Sell_""&amp;Q1192))))))"),"")</f>
        <v/>
      </c>
      <c r="V1192" s="10" t="str">
        <f t="shared" si="11"/>
        <v/>
      </c>
      <c r="W1192" s="68" t="str">
        <f t="shared" si="12"/>
        <v/>
      </c>
      <c r="X1192" s="59" t="str">
        <f t="shared" si="13"/>
        <v/>
      </c>
      <c r="Y1192" s="69" t="str">
        <f t="shared" si="14"/>
        <v/>
      </c>
      <c r="Z1192" s="11"/>
    </row>
    <row r="1193">
      <c r="A1193" s="8"/>
      <c r="B1193" s="56" t="str">
        <f t="shared" si="2"/>
        <v/>
      </c>
      <c r="C1193" s="105"/>
      <c r="D1193" s="10"/>
      <c r="E1193" s="59" t="str">
        <f t="array" ref="E1193">IF(COUNTA(C1193:C1673)=0,"",SUM((COUNTIF(C$4:C1193,Upgrades!$B$3:$B$13)-COUNTIF(C$4:C1193,"Sell_"&amp;Upgrades!$B$3:$B$13))*Upgrades!$D$3:$D$13))</f>
        <v/>
      </c>
      <c r="F1193" s="66" t="str">
        <f>IFERROR(__xludf.DUMMYFUNCTION("IF(COUNTA(C1193:C1673)=0,"""",IF(REGEXMATCH(INDEX(FILTER(C$4:C1193,C$4:C1193&lt;&gt;""""),ROWS(FILTER(C$4:C1193,C$4:C1193&lt;&gt;""""))),""^Sell_""),INDEX(FILTER(F$4:F1192,C$4:C1192&lt;&gt;""""),ROWS(FILTER(C$4:C1192,C$4:C1192&lt;&gt;""""))),$AC$5+E1193))"),"")</f>
        <v/>
      </c>
      <c r="G1193" s="10" t="str">
        <f>IFERROR(__xludf.DUMMYFUNCTION("IF(COUNTA(C1193:C1673)=0,"""",IF(C1193="""",0,IF(REGEXMATCH(C1193,""^Sell_""),-ROUNDDOWN(ROUNDUP(INDEX(Upgrades!$C$3:$C$13,MATCH(SUBSTITUTE(C1193,""Sell_"",""""),Upgrades!$B$3:$B$13,0))*1.15^(COUNTIF(C$4:C1192,SUBSTITUTE(C1193,""Sell_"",""""))-COUNTIF(C$4"&amp;":C1192,""Sell_""&amp;SUBSTITUTE(C1193,""Sell_"",""""))))/2),ROUNDUP(INDEX(Upgrades!$C$3:$C$13,MATCH(C1193,Upgrades!$B$3:$B$13,0))*1.15^(COUNTIF(C$4:C1192,C1193)-COUNTIF(C$4:C1192,""Sell_""&amp;C1193))))))"),"")</f>
        <v/>
      </c>
      <c r="H1193" s="10" t="str">
        <f t="shared" si="3"/>
        <v/>
      </c>
      <c r="I1193" s="68" t="str">
        <f t="shared" si="4"/>
        <v/>
      </c>
      <c r="J1193" s="59" t="str">
        <f t="shared" si="5"/>
        <v/>
      </c>
      <c r="K1193" s="69" t="str">
        <f t="shared" si="6"/>
        <v/>
      </c>
      <c r="L1193" s="60" t="str">
        <f t="shared" si="7"/>
        <v/>
      </c>
      <c r="M1193" s="61" t="str">
        <f>IFERROR(__xludf.DUMMYFUNCTION("IFS(AND(COUNTA(C1193:C1673)=0,COUNTA(Q1193:Q1673)=0),"""",OR(AND(K1193&gt;=1000000000,OR(Y1193&gt;=1000000000,COUNTA(Q1193:Q1673)=0)),OR(Y1193&gt;=1000000000,AND(COUNTA(C1193:C1673)=0,P$3=TRUE))),
ROUNDDOWN((AB$1-AC$1)*MAX(INDEX(T$4:T1673,MATCH(LARGE(FILTER(Y$4:Y1"&amp;"673,Y$4:Y1673&lt;1000000000),1),Y$4:Y1673)),INDEX(F$4:F1673,MATCH(LARGE(FILTER(K$4:K1673,K$4:K1673&lt;1000000000),1),K$4:K1673)))),AND(K1193&lt;1000000000,COUNTA(C1193:C1673)&gt;0,P$3=FALSE),
ROUNDDOWN(INDEX(Y$4:Y1673,MATCH(LARGE(FILTER(W$4:W1673,W$4:W1673&lt;=I1193),1)"&amp;",W$4:W1673))+(I1193-LARGE(FILTER(W$4:W1673,W$4:W1673&lt;=I1193),1))*INDEX(T$4:T1673,MATCH(LARGE(FILTER(W$4:W1673,W$4:W1673&lt;=I1193),1),W$4:W1673))-K1193),1,
ROUNDDOWN(Y1193-INDEX(K$4:K1673,MATCH(LARGE(FILTER(I$4:I1673,I$4:I1673&lt;=W1193),1),I$4:I1673))-(W1193-L"&amp;"ARGE(FILTER(I$4:I1673,I$4:I1673&lt;=W1193),1))*INDEX(F$4:F1673,MATCH(LARGE(FILTER(I$4:I1673,I$4:I1673&lt;=W1193),1),I$4:I1673))))"),"")</f>
        <v/>
      </c>
      <c r="N1193" s="60" t="str">
        <f t="shared" si="8"/>
        <v/>
      </c>
      <c r="O1193" s="61" t="str">
        <f t="shared" si="9"/>
        <v/>
      </c>
      <c r="P1193" s="56" t="str">
        <f t="shared" si="10"/>
        <v/>
      </c>
      <c r="Q1193" s="67"/>
      <c r="R1193" s="10"/>
      <c r="S1193" s="59" t="str">
        <f t="array" ref="S1193">IF(COUNTA(Q1193:Q1673)=0,"",SUM((COUNTIF(Q$4:Q1193,Upgrades!$B$3:$B$13)-COUNTIF(Q$4:Q1193,"Sell_"&amp;Upgrades!$B$3:$B$13))*Upgrades!$D$3:$D$13))</f>
        <v/>
      </c>
      <c r="T1193" s="66" t="str">
        <f>IFERROR(__xludf.DUMMYFUNCTION("IF(COUNTA(Q1193:Q1673)=0,"""",IF(REGEXMATCH(INDEX(FILTER(Q$4:Q1193,Q$4:Q1193&lt;&gt;""""),ROWS(FILTER(Q$4:Q1193,Q$4:Q1193&lt;&gt;""""))),""^Sell_""),INDEX(FILTER(T$4:T1192,Q$4:Q1192&lt;&gt;""""),ROWS(FILTER(Q$4:Q1192,Q$4:Q1192&lt;&gt;""""))),$AD$5+S1193))"),"")</f>
        <v/>
      </c>
      <c r="U1193" s="10" t="str">
        <f>IFERROR(__xludf.DUMMYFUNCTION("IF(COUNTA(Q1193:Q1673)=0,"""",IF(Q1193="""",0,IF(REGEXMATCH(Q1193,""^Sell_""),-ROUNDDOWN(ROUNDUP(INDEX(Upgrades!$C$3:$C$13,MATCH(SUBSTITUTE(Q1193,""Sell_"",""""),Upgrades!$B$3:$B$13,0))*1.15^(COUNTIF(Q$4:Q1192,SUBSTITUTE(Q1193,""Sell_"",""""))-COUNTIF(Q$4"&amp;":Q1192,""Sell_""&amp;SUBSTITUTE(Q1193,""Sell_"",""""))))/2),ROUNDUP(INDEX(Upgrades!$C$3:$C$13,MATCH(Q1193,Upgrades!$B$3:$B$13,0))*1.15^(COUNTIF(Q$4:Q1192,Q1193)-COUNTIF(Q$4:Q1192,""Sell_""&amp;Q1193))))))"),"")</f>
        <v/>
      </c>
      <c r="V1193" s="10" t="str">
        <f t="shared" si="11"/>
        <v/>
      </c>
      <c r="W1193" s="68" t="str">
        <f t="shared" si="12"/>
        <v/>
      </c>
      <c r="X1193" s="59" t="str">
        <f t="shared" si="13"/>
        <v/>
      </c>
      <c r="Y1193" s="69" t="str">
        <f t="shared" si="14"/>
        <v/>
      </c>
      <c r="Z1193" s="11"/>
    </row>
    <row r="1194">
      <c r="A1194" s="8"/>
      <c r="B1194" s="56" t="str">
        <f t="shared" si="2"/>
        <v/>
      </c>
      <c r="C1194" s="105"/>
      <c r="D1194" s="10"/>
      <c r="E1194" s="59" t="str">
        <f t="array" ref="E1194">IF(COUNTA(C1194:C1673)=0,"",SUM((COUNTIF(C$4:C1194,Upgrades!$B$3:$B$13)-COUNTIF(C$4:C1194,"Sell_"&amp;Upgrades!$B$3:$B$13))*Upgrades!$D$3:$D$13))</f>
        <v/>
      </c>
      <c r="F1194" s="66" t="str">
        <f>IFERROR(__xludf.DUMMYFUNCTION("IF(COUNTA(C1194:C1673)=0,"""",IF(REGEXMATCH(INDEX(FILTER(C$4:C1194,C$4:C1194&lt;&gt;""""),ROWS(FILTER(C$4:C1194,C$4:C1194&lt;&gt;""""))),""^Sell_""),INDEX(FILTER(F$4:F1193,C$4:C1193&lt;&gt;""""),ROWS(FILTER(C$4:C1193,C$4:C1193&lt;&gt;""""))),$AC$5+E1194))"),"")</f>
        <v/>
      </c>
      <c r="G1194" s="10" t="str">
        <f>IFERROR(__xludf.DUMMYFUNCTION("IF(COUNTA(C1194:C1673)=0,"""",IF(C1194="""",0,IF(REGEXMATCH(C1194,""^Sell_""),-ROUNDDOWN(ROUNDUP(INDEX(Upgrades!$C$3:$C$13,MATCH(SUBSTITUTE(C1194,""Sell_"",""""),Upgrades!$B$3:$B$13,0))*1.15^(COUNTIF(C$4:C1193,SUBSTITUTE(C1194,""Sell_"",""""))-COUNTIF(C$4"&amp;":C1193,""Sell_""&amp;SUBSTITUTE(C1194,""Sell_"",""""))))/2),ROUNDUP(INDEX(Upgrades!$C$3:$C$13,MATCH(C1194,Upgrades!$B$3:$B$13,0))*1.15^(COUNTIF(C$4:C1193,C1194)-COUNTIF(C$4:C1193,""Sell_""&amp;C1194))))))"),"")</f>
        <v/>
      </c>
      <c r="H1194" s="10" t="str">
        <f t="shared" si="3"/>
        <v/>
      </c>
      <c r="I1194" s="68" t="str">
        <f t="shared" si="4"/>
        <v/>
      </c>
      <c r="J1194" s="59" t="str">
        <f t="shared" si="5"/>
        <v/>
      </c>
      <c r="K1194" s="69" t="str">
        <f t="shared" si="6"/>
        <v/>
      </c>
      <c r="L1194" s="60" t="str">
        <f t="shared" si="7"/>
        <v/>
      </c>
      <c r="M1194" s="61" t="str">
        <f>IFERROR(__xludf.DUMMYFUNCTION("IFS(AND(COUNTA(C1194:C1673)=0,COUNTA(Q1194:Q1673)=0),"""",OR(AND(K1194&gt;=1000000000,OR(Y1194&gt;=1000000000,COUNTA(Q1194:Q1673)=0)),OR(Y1194&gt;=1000000000,AND(COUNTA(C1194:C1673)=0,P$3=TRUE))),
ROUNDDOWN((AB$1-AC$1)*MAX(INDEX(T$4:T1673,MATCH(LARGE(FILTER(Y$4:Y1"&amp;"673,Y$4:Y1673&lt;1000000000),1),Y$4:Y1673)),INDEX(F$4:F1673,MATCH(LARGE(FILTER(K$4:K1673,K$4:K1673&lt;1000000000),1),K$4:K1673)))),AND(K1194&lt;1000000000,COUNTA(C1194:C1673)&gt;0,P$3=FALSE),
ROUNDDOWN(INDEX(Y$4:Y1673,MATCH(LARGE(FILTER(W$4:W1673,W$4:W1673&lt;=I1194),1)"&amp;",W$4:W1673))+(I1194-LARGE(FILTER(W$4:W1673,W$4:W1673&lt;=I1194),1))*INDEX(T$4:T1673,MATCH(LARGE(FILTER(W$4:W1673,W$4:W1673&lt;=I1194),1),W$4:W1673))-K1194),1,
ROUNDDOWN(Y1194-INDEX(K$4:K1673,MATCH(LARGE(FILTER(I$4:I1673,I$4:I1673&lt;=W1194),1),I$4:I1673))-(W1194-L"&amp;"ARGE(FILTER(I$4:I1673,I$4:I1673&lt;=W1194),1))*INDEX(F$4:F1673,MATCH(LARGE(FILTER(I$4:I1673,I$4:I1673&lt;=W1194),1),I$4:I1673))))"),"")</f>
        <v/>
      </c>
      <c r="N1194" s="60" t="str">
        <f t="shared" si="8"/>
        <v/>
      </c>
      <c r="O1194" s="61" t="str">
        <f t="shared" si="9"/>
        <v/>
      </c>
      <c r="P1194" s="56" t="str">
        <f t="shared" si="10"/>
        <v/>
      </c>
      <c r="Q1194" s="67"/>
      <c r="R1194" s="10"/>
      <c r="S1194" s="59" t="str">
        <f t="array" ref="S1194">IF(COUNTA(Q1194:Q1673)=0,"",SUM((COUNTIF(Q$4:Q1194,Upgrades!$B$3:$B$13)-COUNTIF(Q$4:Q1194,"Sell_"&amp;Upgrades!$B$3:$B$13))*Upgrades!$D$3:$D$13))</f>
        <v/>
      </c>
      <c r="T1194" s="66" t="str">
        <f>IFERROR(__xludf.DUMMYFUNCTION("IF(COUNTA(Q1194:Q1673)=0,"""",IF(REGEXMATCH(INDEX(FILTER(Q$4:Q1194,Q$4:Q1194&lt;&gt;""""),ROWS(FILTER(Q$4:Q1194,Q$4:Q1194&lt;&gt;""""))),""^Sell_""),INDEX(FILTER(T$4:T1193,Q$4:Q1193&lt;&gt;""""),ROWS(FILTER(Q$4:Q1193,Q$4:Q1193&lt;&gt;""""))),$AD$5+S1194))"),"")</f>
        <v/>
      </c>
      <c r="U1194" s="10" t="str">
        <f>IFERROR(__xludf.DUMMYFUNCTION("IF(COUNTA(Q1194:Q1673)=0,"""",IF(Q1194="""",0,IF(REGEXMATCH(Q1194,""^Sell_""),-ROUNDDOWN(ROUNDUP(INDEX(Upgrades!$C$3:$C$13,MATCH(SUBSTITUTE(Q1194,""Sell_"",""""),Upgrades!$B$3:$B$13,0))*1.15^(COUNTIF(Q$4:Q1193,SUBSTITUTE(Q1194,""Sell_"",""""))-COUNTIF(Q$4"&amp;":Q1193,""Sell_""&amp;SUBSTITUTE(Q1194,""Sell_"",""""))))/2),ROUNDUP(INDEX(Upgrades!$C$3:$C$13,MATCH(Q1194,Upgrades!$B$3:$B$13,0))*1.15^(COUNTIF(Q$4:Q1193,Q1194)-COUNTIF(Q$4:Q1193,""Sell_""&amp;Q1194))))))"),"")</f>
        <v/>
      </c>
      <c r="V1194" s="10" t="str">
        <f t="shared" si="11"/>
        <v/>
      </c>
      <c r="W1194" s="68" t="str">
        <f t="shared" si="12"/>
        <v/>
      </c>
      <c r="X1194" s="59" t="str">
        <f t="shared" si="13"/>
        <v/>
      </c>
      <c r="Y1194" s="69" t="str">
        <f t="shared" si="14"/>
        <v/>
      </c>
      <c r="Z1194" s="11"/>
    </row>
    <row r="1195">
      <c r="A1195" s="8"/>
      <c r="B1195" s="56" t="str">
        <f t="shared" si="2"/>
        <v/>
      </c>
      <c r="C1195" s="105"/>
      <c r="D1195" s="10"/>
      <c r="E1195" s="59" t="str">
        <f t="array" ref="E1195">IF(COUNTA(C1195:C1673)=0,"",SUM((COUNTIF(C$4:C1195,Upgrades!$B$3:$B$13)-COUNTIF(C$4:C1195,"Sell_"&amp;Upgrades!$B$3:$B$13))*Upgrades!$D$3:$D$13))</f>
        <v/>
      </c>
      <c r="F1195" s="66" t="str">
        <f>IFERROR(__xludf.DUMMYFUNCTION("IF(COUNTA(C1195:C1673)=0,"""",IF(REGEXMATCH(INDEX(FILTER(C$4:C1195,C$4:C1195&lt;&gt;""""),ROWS(FILTER(C$4:C1195,C$4:C1195&lt;&gt;""""))),""^Sell_""),INDEX(FILTER(F$4:F1194,C$4:C1194&lt;&gt;""""),ROWS(FILTER(C$4:C1194,C$4:C1194&lt;&gt;""""))),$AC$5+E1195))"),"")</f>
        <v/>
      </c>
      <c r="G1195" s="10" t="str">
        <f>IFERROR(__xludf.DUMMYFUNCTION("IF(COUNTA(C1195:C1673)=0,"""",IF(C1195="""",0,IF(REGEXMATCH(C1195,""^Sell_""),-ROUNDDOWN(ROUNDUP(INDEX(Upgrades!$C$3:$C$13,MATCH(SUBSTITUTE(C1195,""Sell_"",""""),Upgrades!$B$3:$B$13,0))*1.15^(COUNTIF(C$4:C1194,SUBSTITUTE(C1195,""Sell_"",""""))-COUNTIF(C$4"&amp;":C1194,""Sell_""&amp;SUBSTITUTE(C1195,""Sell_"",""""))))/2),ROUNDUP(INDEX(Upgrades!$C$3:$C$13,MATCH(C1195,Upgrades!$B$3:$B$13,0))*1.15^(COUNTIF(C$4:C1194,C1195)-COUNTIF(C$4:C1194,""Sell_""&amp;C1195))))))"),"")</f>
        <v/>
      </c>
      <c r="H1195" s="10" t="str">
        <f t="shared" si="3"/>
        <v/>
      </c>
      <c r="I1195" s="68" t="str">
        <f t="shared" si="4"/>
        <v/>
      </c>
      <c r="J1195" s="59" t="str">
        <f t="shared" si="5"/>
        <v/>
      </c>
      <c r="K1195" s="69" t="str">
        <f t="shared" si="6"/>
        <v/>
      </c>
      <c r="L1195" s="60" t="str">
        <f t="shared" si="7"/>
        <v/>
      </c>
      <c r="M1195" s="61" t="str">
        <f>IFERROR(__xludf.DUMMYFUNCTION("IFS(AND(COUNTA(C1195:C1673)=0,COUNTA(Q1195:Q1673)=0),"""",OR(AND(K1195&gt;=1000000000,OR(Y1195&gt;=1000000000,COUNTA(Q1195:Q1673)=0)),OR(Y1195&gt;=1000000000,AND(COUNTA(C1195:C1673)=0,P$3=TRUE))),
ROUNDDOWN((AB$1-AC$1)*MAX(INDEX(T$4:T1673,MATCH(LARGE(FILTER(Y$4:Y1"&amp;"673,Y$4:Y1673&lt;1000000000),1),Y$4:Y1673)),INDEX(F$4:F1673,MATCH(LARGE(FILTER(K$4:K1673,K$4:K1673&lt;1000000000),1),K$4:K1673)))),AND(K1195&lt;1000000000,COUNTA(C1195:C1673)&gt;0,P$3=FALSE),
ROUNDDOWN(INDEX(Y$4:Y1673,MATCH(LARGE(FILTER(W$4:W1673,W$4:W1673&lt;=I1195),1)"&amp;",W$4:W1673))+(I1195-LARGE(FILTER(W$4:W1673,W$4:W1673&lt;=I1195),1))*INDEX(T$4:T1673,MATCH(LARGE(FILTER(W$4:W1673,W$4:W1673&lt;=I1195),1),W$4:W1673))-K1195),1,
ROUNDDOWN(Y1195-INDEX(K$4:K1673,MATCH(LARGE(FILTER(I$4:I1673,I$4:I1673&lt;=W1195),1),I$4:I1673))-(W1195-L"&amp;"ARGE(FILTER(I$4:I1673,I$4:I1673&lt;=W1195),1))*INDEX(F$4:F1673,MATCH(LARGE(FILTER(I$4:I1673,I$4:I1673&lt;=W1195),1),I$4:I1673))))"),"")</f>
        <v/>
      </c>
      <c r="N1195" s="60" t="str">
        <f t="shared" si="8"/>
        <v/>
      </c>
      <c r="O1195" s="61" t="str">
        <f t="shared" si="9"/>
        <v/>
      </c>
      <c r="P1195" s="56" t="str">
        <f t="shared" si="10"/>
        <v/>
      </c>
      <c r="Q1195" s="67"/>
      <c r="R1195" s="10"/>
      <c r="S1195" s="59" t="str">
        <f t="array" ref="S1195">IF(COUNTA(Q1195:Q1673)=0,"",SUM((COUNTIF(Q$4:Q1195,Upgrades!$B$3:$B$13)-COUNTIF(Q$4:Q1195,"Sell_"&amp;Upgrades!$B$3:$B$13))*Upgrades!$D$3:$D$13))</f>
        <v/>
      </c>
      <c r="T1195" s="66" t="str">
        <f>IFERROR(__xludf.DUMMYFUNCTION("IF(COUNTA(Q1195:Q1673)=0,"""",IF(REGEXMATCH(INDEX(FILTER(Q$4:Q1195,Q$4:Q1195&lt;&gt;""""),ROWS(FILTER(Q$4:Q1195,Q$4:Q1195&lt;&gt;""""))),""^Sell_""),INDEX(FILTER(T$4:T1194,Q$4:Q1194&lt;&gt;""""),ROWS(FILTER(Q$4:Q1194,Q$4:Q1194&lt;&gt;""""))),$AD$5+S1195))"),"")</f>
        <v/>
      </c>
      <c r="U1195" s="10" t="str">
        <f>IFERROR(__xludf.DUMMYFUNCTION("IF(COUNTA(Q1195:Q1673)=0,"""",IF(Q1195="""",0,IF(REGEXMATCH(Q1195,""^Sell_""),-ROUNDDOWN(ROUNDUP(INDEX(Upgrades!$C$3:$C$13,MATCH(SUBSTITUTE(Q1195,""Sell_"",""""),Upgrades!$B$3:$B$13,0))*1.15^(COUNTIF(Q$4:Q1194,SUBSTITUTE(Q1195,""Sell_"",""""))-COUNTIF(Q$4"&amp;":Q1194,""Sell_""&amp;SUBSTITUTE(Q1195,""Sell_"",""""))))/2),ROUNDUP(INDEX(Upgrades!$C$3:$C$13,MATCH(Q1195,Upgrades!$B$3:$B$13,0))*1.15^(COUNTIF(Q$4:Q1194,Q1195)-COUNTIF(Q$4:Q1194,""Sell_""&amp;Q1195))))))"),"")</f>
        <v/>
      </c>
      <c r="V1195" s="10" t="str">
        <f t="shared" si="11"/>
        <v/>
      </c>
      <c r="W1195" s="68" t="str">
        <f t="shared" si="12"/>
        <v/>
      </c>
      <c r="X1195" s="59" t="str">
        <f t="shared" si="13"/>
        <v/>
      </c>
      <c r="Y1195" s="69" t="str">
        <f t="shared" si="14"/>
        <v/>
      </c>
      <c r="Z1195" s="11"/>
    </row>
    <row r="1196">
      <c r="A1196" s="8"/>
      <c r="B1196" s="56" t="str">
        <f t="shared" si="2"/>
        <v/>
      </c>
      <c r="C1196" s="105"/>
      <c r="D1196" s="10"/>
      <c r="E1196" s="59" t="str">
        <f t="array" ref="E1196">IF(COUNTA(C1196:C1673)=0,"",SUM((COUNTIF(C$4:C1196,Upgrades!$B$3:$B$13)-COUNTIF(C$4:C1196,"Sell_"&amp;Upgrades!$B$3:$B$13))*Upgrades!$D$3:$D$13))</f>
        <v/>
      </c>
      <c r="F1196" s="66" t="str">
        <f>IFERROR(__xludf.DUMMYFUNCTION("IF(COUNTA(C1196:C1673)=0,"""",IF(REGEXMATCH(INDEX(FILTER(C$4:C1196,C$4:C1196&lt;&gt;""""),ROWS(FILTER(C$4:C1196,C$4:C1196&lt;&gt;""""))),""^Sell_""),INDEX(FILTER(F$4:F1195,C$4:C1195&lt;&gt;""""),ROWS(FILTER(C$4:C1195,C$4:C1195&lt;&gt;""""))),$AC$5+E1196))"),"")</f>
        <v/>
      </c>
      <c r="G1196" s="10" t="str">
        <f>IFERROR(__xludf.DUMMYFUNCTION("IF(COUNTA(C1196:C1673)=0,"""",IF(C1196="""",0,IF(REGEXMATCH(C1196,""^Sell_""),-ROUNDDOWN(ROUNDUP(INDEX(Upgrades!$C$3:$C$13,MATCH(SUBSTITUTE(C1196,""Sell_"",""""),Upgrades!$B$3:$B$13,0))*1.15^(COUNTIF(C$4:C1195,SUBSTITUTE(C1196,""Sell_"",""""))-COUNTIF(C$4"&amp;":C1195,""Sell_""&amp;SUBSTITUTE(C1196,""Sell_"",""""))))/2),ROUNDUP(INDEX(Upgrades!$C$3:$C$13,MATCH(C1196,Upgrades!$B$3:$B$13,0))*1.15^(COUNTIF(C$4:C1195,C1196)-COUNTIF(C$4:C1195,""Sell_""&amp;C1196))))))"),"")</f>
        <v/>
      </c>
      <c r="H1196" s="10" t="str">
        <f t="shared" si="3"/>
        <v/>
      </c>
      <c r="I1196" s="68" t="str">
        <f t="shared" si="4"/>
        <v/>
      </c>
      <c r="J1196" s="59" t="str">
        <f t="shared" si="5"/>
        <v/>
      </c>
      <c r="K1196" s="69" t="str">
        <f t="shared" si="6"/>
        <v/>
      </c>
      <c r="L1196" s="60" t="str">
        <f t="shared" si="7"/>
        <v/>
      </c>
      <c r="M1196" s="61" t="str">
        <f>IFERROR(__xludf.DUMMYFUNCTION("IFS(AND(COUNTA(C1196:C1673)=0,COUNTA(Q1196:Q1673)=0),"""",OR(AND(K1196&gt;=1000000000,OR(Y1196&gt;=1000000000,COUNTA(Q1196:Q1673)=0)),OR(Y1196&gt;=1000000000,AND(COUNTA(C1196:C1673)=0,P$3=TRUE))),
ROUNDDOWN((AB$1-AC$1)*MAX(INDEX(T$4:T1673,MATCH(LARGE(FILTER(Y$4:Y1"&amp;"673,Y$4:Y1673&lt;1000000000),1),Y$4:Y1673)),INDEX(F$4:F1673,MATCH(LARGE(FILTER(K$4:K1673,K$4:K1673&lt;1000000000),1),K$4:K1673)))),AND(K1196&lt;1000000000,COUNTA(C1196:C1673)&gt;0,P$3=FALSE),
ROUNDDOWN(INDEX(Y$4:Y1673,MATCH(LARGE(FILTER(W$4:W1673,W$4:W1673&lt;=I1196),1)"&amp;",W$4:W1673))+(I1196-LARGE(FILTER(W$4:W1673,W$4:W1673&lt;=I1196),1))*INDEX(T$4:T1673,MATCH(LARGE(FILTER(W$4:W1673,W$4:W1673&lt;=I1196),1),W$4:W1673))-K1196),1,
ROUNDDOWN(Y1196-INDEX(K$4:K1673,MATCH(LARGE(FILTER(I$4:I1673,I$4:I1673&lt;=W1196),1),I$4:I1673))-(W1196-L"&amp;"ARGE(FILTER(I$4:I1673,I$4:I1673&lt;=W1196),1))*INDEX(F$4:F1673,MATCH(LARGE(FILTER(I$4:I1673,I$4:I1673&lt;=W1196),1),I$4:I1673))))"),"")</f>
        <v/>
      </c>
      <c r="N1196" s="60" t="str">
        <f t="shared" si="8"/>
        <v/>
      </c>
      <c r="O1196" s="61" t="str">
        <f t="shared" si="9"/>
        <v/>
      </c>
      <c r="P1196" s="56" t="str">
        <f t="shared" si="10"/>
        <v/>
      </c>
      <c r="Q1196" s="67"/>
      <c r="R1196" s="10"/>
      <c r="S1196" s="59" t="str">
        <f t="array" ref="S1196">IF(COUNTA(Q1196:Q1673)=0,"",SUM((COUNTIF(Q$4:Q1196,Upgrades!$B$3:$B$13)-COUNTIF(Q$4:Q1196,"Sell_"&amp;Upgrades!$B$3:$B$13))*Upgrades!$D$3:$D$13))</f>
        <v/>
      </c>
      <c r="T1196" s="66" t="str">
        <f>IFERROR(__xludf.DUMMYFUNCTION("IF(COUNTA(Q1196:Q1673)=0,"""",IF(REGEXMATCH(INDEX(FILTER(Q$4:Q1196,Q$4:Q1196&lt;&gt;""""),ROWS(FILTER(Q$4:Q1196,Q$4:Q1196&lt;&gt;""""))),""^Sell_""),INDEX(FILTER(T$4:T1195,Q$4:Q1195&lt;&gt;""""),ROWS(FILTER(Q$4:Q1195,Q$4:Q1195&lt;&gt;""""))),$AD$5+S1196))"),"")</f>
        <v/>
      </c>
      <c r="U1196" s="10" t="str">
        <f>IFERROR(__xludf.DUMMYFUNCTION("IF(COUNTA(Q1196:Q1673)=0,"""",IF(Q1196="""",0,IF(REGEXMATCH(Q1196,""^Sell_""),-ROUNDDOWN(ROUNDUP(INDEX(Upgrades!$C$3:$C$13,MATCH(SUBSTITUTE(Q1196,""Sell_"",""""),Upgrades!$B$3:$B$13,0))*1.15^(COUNTIF(Q$4:Q1195,SUBSTITUTE(Q1196,""Sell_"",""""))-COUNTIF(Q$4"&amp;":Q1195,""Sell_""&amp;SUBSTITUTE(Q1196,""Sell_"",""""))))/2),ROUNDUP(INDEX(Upgrades!$C$3:$C$13,MATCH(Q1196,Upgrades!$B$3:$B$13,0))*1.15^(COUNTIF(Q$4:Q1195,Q1196)-COUNTIF(Q$4:Q1195,""Sell_""&amp;Q1196))))))"),"")</f>
        <v/>
      </c>
      <c r="V1196" s="10" t="str">
        <f t="shared" si="11"/>
        <v/>
      </c>
      <c r="W1196" s="68" t="str">
        <f t="shared" si="12"/>
        <v/>
      </c>
      <c r="X1196" s="59" t="str">
        <f t="shared" si="13"/>
        <v/>
      </c>
      <c r="Y1196" s="69" t="str">
        <f t="shared" si="14"/>
        <v/>
      </c>
      <c r="Z1196" s="11"/>
    </row>
    <row r="1197">
      <c r="A1197" s="8"/>
      <c r="B1197" s="56" t="str">
        <f t="shared" si="2"/>
        <v/>
      </c>
      <c r="C1197" s="105"/>
      <c r="D1197" s="10"/>
      <c r="E1197" s="59" t="str">
        <f t="array" ref="E1197">IF(COUNTA(C1197:C1673)=0,"",SUM((COUNTIF(C$4:C1197,Upgrades!$B$3:$B$13)-COUNTIF(C$4:C1197,"Sell_"&amp;Upgrades!$B$3:$B$13))*Upgrades!$D$3:$D$13))</f>
        <v/>
      </c>
      <c r="F1197" s="66" t="str">
        <f>IFERROR(__xludf.DUMMYFUNCTION("IF(COUNTA(C1197:C1673)=0,"""",IF(REGEXMATCH(INDEX(FILTER(C$4:C1197,C$4:C1197&lt;&gt;""""),ROWS(FILTER(C$4:C1197,C$4:C1197&lt;&gt;""""))),""^Sell_""),INDEX(FILTER(F$4:F1196,C$4:C1196&lt;&gt;""""),ROWS(FILTER(C$4:C1196,C$4:C1196&lt;&gt;""""))),$AC$5+E1197))"),"")</f>
        <v/>
      </c>
      <c r="G1197" s="10" t="str">
        <f>IFERROR(__xludf.DUMMYFUNCTION("IF(COUNTA(C1197:C1673)=0,"""",IF(C1197="""",0,IF(REGEXMATCH(C1197,""^Sell_""),-ROUNDDOWN(ROUNDUP(INDEX(Upgrades!$C$3:$C$13,MATCH(SUBSTITUTE(C1197,""Sell_"",""""),Upgrades!$B$3:$B$13,0))*1.15^(COUNTIF(C$4:C1196,SUBSTITUTE(C1197,""Sell_"",""""))-COUNTIF(C$4"&amp;":C1196,""Sell_""&amp;SUBSTITUTE(C1197,""Sell_"",""""))))/2),ROUNDUP(INDEX(Upgrades!$C$3:$C$13,MATCH(C1197,Upgrades!$B$3:$B$13,0))*1.15^(COUNTIF(C$4:C1196,C1197)-COUNTIF(C$4:C1196,""Sell_""&amp;C1197))))))"),"")</f>
        <v/>
      </c>
      <c r="H1197" s="10" t="str">
        <f t="shared" si="3"/>
        <v/>
      </c>
      <c r="I1197" s="68" t="str">
        <f t="shared" si="4"/>
        <v/>
      </c>
      <c r="J1197" s="59" t="str">
        <f t="shared" si="5"/>
        <v/>
      </c>
      <c r="K1197" s="69" t="str">
        <f t="shared" si="6"/>
        <v/>
      </c>
      <c r="L1197" s="60" t="str">
        <f t="shared" si="7"/>
        <v/>
      </c>
      <c r="M1197" s="61" t="str">
        <f>IFERROR(__xludf.DUMMYFUNCTION("IFS(AND(COUNTA(C1197:C1673)=0,COUNTA(Q1197:Q1673)=0),"""",OR(AND(K1197&gt;=1000000000,OR(Y1197&gt;=1000000000,COUNTA(Q1197:Q1673)=0)),OR(Y1197&gt;=1000000000,AND(COUNTA(C1197:C1673)=0,P$3=TRUE))),
ROUNDDOWN((AB$1-AC$1)*MAX(INDEX(T$4:T1673,MATCH(LARGE(FILTER(Y$4:Y1"&amp;"673,Y$4:Y1673&lt;1000000000),1),Y$4:Y1673)),INDEX(F$4:F1673,MATCH(LARGE(FILTER(K$4:K1673,K$4:K1673&lt;1000000000),1),K$4:K1673)))),AND(K1197&lt;1000000000,COUNTA(C1197:C1673)&gt;0,P$3=FALSE),
ROUNDDOWN(INDEX(Y$4:Y1673,MATCH(LARGE(FILTER(W$4:W1673,W$4:W1673&lt;=I1197),1)"&amp;",W$4:W1673))+(I1197-LARGE(FILTER(W$4:W1673,W$4:W1673&lt;=I1197),1))*INDEX(T$4:T1673,MATCH(LARGE(FILTER(W$4:W1673,W$4:W1673&lt;=I1197),1),W$4:W1673))-K1197),1,
ROUNDDOWN(Y1197-INDEX(K$4:K1673,MATCH(LARGE(FILTER(I$4:I1673,I$4:I1673&lt;=W1197),1),I$4:I1673))-(W1197-L"&amp;"ARGE(FILTER(I$4:I1673,I$4:I1673&lt;=W1197),1))*INDEX(F$4:F1673,MATCH(LARGE(FILTER(I$4:I1673,I$4:I1673&lt;=W1197),1),I$4:I1673))))"),"")</f>
        <v/>
      </c>
      <c r="N1197" s="60" t="str">
        <f t="shared" si="8"/>
        <v/>
      </c>
      <c r="O1197" s="61" t="str">
        <f t="shared" si="9"/>
        <v/>
      </c>
      <c r="P1197" s="56" t="str">
        <f t="shared" si="10"/>
        <v/>
      </c>
      <c r="Q1197" s="67"/>
      <c r="R1197" s="10"/>
      <c r="S1197" s="59" t="str">
        <f t="array" ref="S1197">IF(COUNTA(Q1197:Q1673)=0,"",SUM((COUNTIF(Q$4:Q1197,Upgrades!$B$3:$B$13)-COUNTIF(Q$4:Q1197,"Sell_"&amp;Upgrades!$B$3:$B$13))*Upgrades!$D$3:$D$13))</f>
        <v/>
      </c>
      <c r="T1197" s="66" t="str">
        <f>IFERROR(__xludf.DUMMYFUNCTION("IF(COUNTA(Q1197:Q1673)=0,"""",IF(REGEXMATCH(INDEX(FILTER(Q$4:Q1197,Q$4:Q1197&lt;&gt;""""),ROWS(FILTER(Q$4:Q1197,Q$4:Q1197&lt;&gt;""""))),""^Sell_""),INDEX(FILTER(T$4:T1196,Q$4:Q1196&lt;&gt;""""),ROWS(FILTER(Q$4:Q1196,Q$4:Q1196&lt;&gt;""""))),$AD$5+S1197))"),"")</f>
        <v/>
      </c>
      <c r="U1197" s="10" t="str">
        <f>IFERROR(__xludf.DUMMYFUNCTION("IF(COUNTA(Q1197:Q1673)=0,"""",IF(Q1197="""",0,IF(REGEXMATCH(Q1197,""^Sell_""),-ROUNDDOWN(ROUNDUP(INDEX(Upgrades!$C$3:$C$13,MATCH(SUBSTITUTE(Q1197,""Sell_"",""""),Upgrades!$B$3:$B$13,0))*1.15^(COUNTIF(Q$4:Q1196,SUBSTITUTE(Q1197,""Sell_"",""""))-COUNTIF(Q$4"&amp;":Q1196,""Sell_""&amp;SUBSTITUTE(Q1197,""Sell_"",""""))))/2),ROUNDUP(INDEX(Upgrades!$C$3:$C$13,MATCH(Q1197,Upgrades!$B$3:$B$13,0))*1.15^(COUNTIF(Q$4:Q1196,Q1197)-COUNTIF(Q$4:Q1196,""Sell_""&amp;Q1197))))))"),"")</f>
        <v/>
      </c>
      <c r="V1197" s="10" t="str">
        <f t="shared" si="11"/>
        <v/>
      </c>
      <c r="W1197" s="68" t="str">
        <f t="shared" si="12"/>
        <v/>
      </c>
      <c r="X1197" s="59" t="str">
        <f t="shared" si="13"/>
        <v/>
      </c>
      <c r="Y1197" s="69" t="str">
        <f t="shared" si="14"/>
        <v/>
      </c>
      <c r="Z1197" s="11"/>
    </row>
    <row r="1198">
      <c r="A1198" s="8"/>
      <c r="B1198" s="56" t="str">
        <f t="shared" si="2"/>
        <v/>
      </c>
      <c r="C1198" s="105"/>
      <c r="D1198" s="10"/>
      <c r="E1198" s="59" t="str">
        <f t="array" ref="E1198">IF(COUNTA(C1198:C1673)=0,"",SUM((COUNTIF(C$4:C1198,Upgrades!$B$3:$B$13)-COUNTIF(C$4:C1198,"Sell_"&amp;Upgrades!$B$3:$B$13))*Upgrades!$D$3:$D$13))</f>
        <v/>
      </c>
      <c r="F1198" s="66" t="str">
        <f>IFERROR(__xludf.DUMMYFUNCTION("IF(COUNTA(C1198:C1673)=0,"""",IF(REGEXMATCH(INDEX(FILTER(C$4:C1198,C$4:C1198&lt;&gt;""""),ROWS(FILTER(C$4:C1198,C$4:C1198&lt;&gt;""""))),""^Sell_""),INDEX(FILTER(F$4:F1197,C$4:C1197&lt;&gt;""""),ROWS(FILTER(C$4:C1197,C$4:C1197&lt;&gt;""""))),$AC$5+E1198))"),"")</f>
        <v/>
      </c>
      <c r="G1198" s="10" t="str">
        <f>IFERROR(__xludf.DUMMYFUNCTION("IF(COUNTA(C1198:C1673)=0,"""",IF(C1198="""",0,IF(REGEXMATCH(C1198,""^Sell_""),-ROUNDDOWN(ROUNDUP(INDEX(Upgrades!$C$3:$C$13,MATCH(SUBSTITUTE(C1198,""Sell_"",""""),Upgrades!$B$3:$B$13,0))*1.15^(COUNTIF(C$4:C1197,SUBSTITUTE(C1198,""Sell_"",""""))-COUNTIF(C$4"&amp;":C1197,""Sell_""&amp;SUBSTITUTE(C1198,""Sell_"",""""))))/2),ROUNDUP(INDEX(Upgrades!$C$3:$C$13,MATCH(C1198,Upgrades!$B$3:$B$13,0))*1.15^(COUNTIF(C$4:C1197,C1198)-COUNTIF(C$4:C1197,""Sell_""&amp;C1198))))))"),"")</f>
        <v/>
      </c>
      <c r="H1198" s="10" t="str">
        <f t="shared" si="3"/>
        <v/>
      </c>
      <c r="I1198" s="68" t="str">
        <f t="shared" si="4"/>
        <v/>
      </c>
      <c r="J1198" s="59" t="str">
        <f t="shared" si="5"/>
        <v/>
      </c>
      <c r="K1198" s="69" t="str">
        <f t="shared" si="6"/>
        <v/>
      </c>
      <c r="L1198" s="60" t="str">
        <f t="shared" si="7"/>
        <v/>
      </c>
      <c r="M1198" s="61" t="str">
        <f>IFERROR(__xludf.DUMMYFUNCTION("IFS(AND(COUNTA(C1198:C1673)=0,COUNTA(Q1198:Q1673)=0),"""",OR(AND(K1198&gt;=1000000000,OR(Y1198&gt;=1000000000,COUNTA(Q1198:Q1673)=0)),OR(Y1198&gt;=1000000000,AND(COUNTA(C1198:C1673)=0,P$3=TRUE))),
ROUNDDOWN((AB$1-AC$1)*MAX(INDEX(T$4:T1673,MATCH(LARGE(FILTER(Y$4:Y1"&amp;"673,Y$4:Y1673&lt;1000000000),1),Y$4:Y1673)),INDEX(F$4:F1673,MATCH(LARGE(FILTER(K$4:K1673,K$4:K1673&lt;1000000000),1),K$4:K1673)))),AND(K1198&lt;1000000000,COUNTA(C1198:C1673)&gt;0,P$3=FALSE),
ROUNDDOWN(INDEX(Y$4:Y1673,MATCH(LARGE(FILTER(W$4:W1673,W$4:W1673&lt;=I1198),1)"&amp;",W$4:W1673))+(I1198-LARGE(FILTER(W$4:W1673,W$4:W1673&lt;=I1198),1))*INDEX(T$4:T1673,MATCH(LARGE(FILTER(W$4:W1673,W$4:W1673&lt;=I1198),1),W$4:W1673))-K1198),1,
ROUNDDOWN(Y1198-INDEX(K$4:K1673,MATCH(LARGE(FILTER(I$4:I1673,I$4:I1673&lt;=W1198),1),I$4:I1673))-(W1198-L"&amp;"ARGE(FILTER(I$4:I1673,I$4:I1673&lt;=W1198),1))*INDEX(F$4:F1673,MATCH(LARGE(FILTER(I$4:I1673,I$4:I1673&lt;=W1198),1),I$4:I1673))))"),"")</f>
        <v/>
      </c>
      <c r="N1198" s="60" t="str">
        <f t="shared" si="8"/>
        <v/>
      </c>
      <c r="O1198" s="61" t="str">
        <f t="shared" si="9"/>
        <v/>
      </c>
      <c r="P1198" s="56" t="str">
        <f t="shared" si="10"/>
        <v/>
      </c>
      <c r="Q1198" s="67"/>
      <c r="R1198" s="10"/>
      <c r="S1198" s="59" t="str">
        <f t="array" ref="S1198">IF(COUNTA(Q1198:Q1673)=0,"",SUM((COUNTIF(Q$4:Q1198,Upgrades!$B$3:$B$13)-COUNTIF(Q$4:Q1198,"Sell_"&amp;Upgrades!$B$3:$B$13))*Upgrades!$D$3:$D$13))</f>
        <v/>
      </c>
      <c r="T1198" s="66" t="str">
        <f>IFERROR(__xludf.DUMMYFUNCTION("IF(COUNTA(Q1198:Q1673)=0,"""",IF(REGEXMATCH(INDEX(FILTER(Q$4:Q1198,Q$4:Q1198&lt;&gt;""""),ROWS(FILTER(Q$4:Q1198,Q$4:Q1198&lt;&gt;""""))),""^Sell_""),INDEX(FILTER(T$4:T1197,Q$4:Q1197&lt;&gt;""""),ROWS(FILTER(Q$4:Q1197,Q$4:Q1197&lt;&gt;""""))),$AD$5+S1198))"),"")</f>
        <v/>
      </c>
      <c r="U1198" s="10" t="str">
        <f>IFERROR(__xludf.DUMMYFUNCTION("IF(COUNTA(Q1198:Q1673)=0,"""",IF(Q1198="""",0,IF(REGEXMATCH(Q1198,""^Sell_""),-ROUNDDOWN(ROUNDUP(INDEX(Upgrades!$C$3:$C$13,MATCH(SUBSTITUTE(Q1198,""Sell_"",""""),Upgrades!$B$3:$B$13,0))*1.15^(COUNTIF(Q$4:Q1197,SUBSTITUTE(Q1198,""Sell_"",""""))-COUNTIF(Q$4"&amp;":Q1197,""Sell_""&amp;SUBSTITUTE(Q1198,""Sell_"",""""))))/2),ROUNDUP(INDEX(Upgrades!$C$3:$C$13,MATCH(Q1198,Upgrades!$B$3:$B$13,0))*1.15^(COUNTIF(Q$4:Q1197,Q1198)-COUNTIF(Q$4:Q1197,""Sell_""&amp;Q1198))))))"),"")</f>
        <v/>
      </c>
      <c r="V1198" s="10" t="str">
        <f t="shared" si="11"/>
        <v/>
      </c>
      <c r="W1198" s="68" t="str">
        <f t="shared" si="12"/>
        <v/>
      </c>
      <c r="X1198" s="59" t="str">
        <f t="shared" si="13"/>
        <v/>
      </c>
      <c r="Y1198" s="69" t="str">
        <f t="shared" si="14"/>
        <v/>
      </c>
      <c r="Z1198" s="11"/>
    </row>
    <row r="1199">
      <c r="A1199" s="8"/>
      <c r="B1199" s="56" t="str">
        <f t="shared" si="2"/>
        <v/>
      </c>
      <c r="C1199" s="105"/>
      <c r="D1199" s="10"/>
      <c r="E1199" s="59" t="str">
        <f t="array" ref="E1199">IF(COUNTA(C1199:C1673)=0,"",SUM((COUNTIF(C$4:C1199,Upgrades!$B$3:$B$13)-COUNTIF(C$4:C1199,"Sell_"&amp;Upgrades!$B$3:$B$13))*Upgrades!$D$3:$D$13))</f>
        <v/>
      </c>
      <c r="F1199" s="66" t="str">
        <f>IFERROR(__xludf.DUMMYFUNCTION("IF(COUNTA(C1199:C1673)=0,"""",IF(REGEXMATCH(INDEX(FILTER(C$4:C1199,C$4:C1199&lt;&gt;""""),ROWS(FILTER(C$4:C1199,C$4:C1199&lt;&gt;""""))),""^Sell_""),INDEX(FILTER(F$4:F1198,C$4:C1198&lt;&gt;""""),ROWS(FILTER(C$4:C1198,C$4:C1198&lt;&gt;""""))),$AC$5+E1199))"),"")</f>
        <v/>
      </c>
      <c r="G1199" s="10" t="str">
        <f>IFERROR(__xludf.DUMMYFUNCTION("IF(COUNTA(C1199:C1673)=0,"""",IF(C1199="""",0,IF(REGEXMATCH(C1199,""^Sell_""),-ROUNDDOWN(ROUNDUP(INDEX(Upgrades!$C$3:$C$13,MATCH(SUBSTITUTE(C1199,""Sell_"",""""),Upgrades!$B$3:$B$13,0))*1.15^(COUNTIF(C$4:C1198,SUBSTITUTE(C1199,""Sell_"",""""))-COUNTIF(C$4"&amp;":C1198,""Sell_""&amp;SUBSTITUTE(C1199,""Sell_"",""""))))/2),ROUNDUP(INDEX(Upgrades!$C$3:$C$13,MATCH(C1199,Upgrades!$B$3:$B$13,0))*1.15^(COUNTIF(C$4:C1198,C1199)-COUNTIF(C$4:C1198,""Sell_""&amp;C1199))))))"),"")</f>
        <v/>
      </c>
      <c r="H1199" s="10" t="str">
        <f t="shared" si="3"/>
        <v/>
      </c>
      <c r="I1199" s="68" t="str">
        <f t="shared" si="4"/>
        <v/>
      </c>
      <c r="J1199" s="59" t="str">
        <f t="shared" si="5"/>
        <v/>
      </c>
      <c r="K1199" s="69" t="str">
        <f t="shared" si="6"/>
        <v/>
      </c>
      <c r="L1199" s="60" t="str">
        <f t="shared" si="7"/>
        <v/>
      </c>
      <c r="M1199" s="61" t="str">
        <f>IFERROR(__xludf.DUMMYFUNCTION("IFS(AND(COUNTA(C1199:C1673)=0,COUNTA(Q1199:Q1673)=0),"""",OR(AND(K1199&gt;=1000000000,OR(Y1199&gt;=1000000000,COUNTA(Q1199:Q1673)=0)),OR(Y1199&gt;=1000000000,AND(COUNTA(C1199:C1673)=0,P$3=TRUE))),
ROUNDDOWN((AB$1-AC$1)*MAX(INDEX(T$4:T1673,MATCH(LARGE(FILTER(Y$4:Y1"&amp;"673,Y$4:Y1673&lt;1000000000),1),Y$4:Y1673)),INDEX(F$4:F1673,MATCH(LARGE(FILTER(K$4:K1673,K$4:K1673&lt;1000000000),1),K$4:K1673)))),AND(K1199&lt;1000000000,COUNTA(C1199:C1673)&gt;0,P$3=FALSE),
ROUNDDOWN(INDEX(Y$4:Y1673,MATCH(LARGE(FILTER(W$4:W1673,W$4:W1673&lt;=I1199),1)"&amp;",W$4:W1673))+(I1199-LARGE(FILTER(W$4:W1673,W$4:W1673&lt;=I1199),1))*INDEX(T$4:T1673,MATCH(LARGE(FILTER(W$4:W1673,W$4:W1673&lt;=I1199),1),W$4:W1673))-K1199),1,
ROUNDDOWN(Y1199-INDEX(K$4:K1673,MATCH(LARGE(FILTER(I$4:I1673,I$4:I1673&lt;=W1199),1),I$4:I1673))-(W1199-L"&amp;"ARGE(FILTER(I$4:I1673,I$4:I1673&lt;=W1199),1))*INDEX(F$4:F1673,MATCH(LARGE(FILTER(I$4:I1673,I$4:I1673&lt;=W1199),1),I$4:I1673))))"),"")</f>
        <v/>
      </c>
      <c r="N1199" s="60" t="str">
        <f t="shared" si="8"/>
        <v/>
      </c>
      <c r="O1199" s="61" t="str">
        <f t="shared" si="9"/>
        <v/>
      </c>
      <c r="P1199" s="56" t="str">
        <f t="shared" si="10"/>
        <v/>
      </c>
      <c r="Q1199" s="67"/>
      <c r="R1199" s="10"/>
      <c r="S1199" s="59" t="str">
        <f t="array" ref="S1199">IF(COUNTA(Q1199:Q1673)=0,"",SUM((COUNTIF(Q$4:Q1199,Upgrades!$B$3:$B$13)-COUNTIF(Q$4:Q1199,"Sell_"&amp;Upgrades!$B$3:$B$13))*Upgrades!$D$3:$D$13))</f>
        <v/>
      </c>
      <c r="T1199" s="66" t="str">
        <f>IFERROR(__xludf.DUMMYFUNCTION("IF(COUNTA(Q1199:Q1673)=0,"""",IF(REGEXMATCH(INDEX(FILTER(Q$4:Q1199,Q$4:Q1199&lt;&gt;""""),ROWS(FILTER(Q$4:Q1199,Q$4:Q1199&lt;&gt;""""))),""^Sell_""),INDEX(FILTER(T$4:T1198,Q$4:Q1198&lt;&gt;""""),ROWS(FILTER(Q$4:Q1198,Q$4:Q1198&lt;&gt;""""))),$AD$5+S1199))"),"")</f>
        <v/>
      </c>
      <c r="U1199" s="10" t="str">
        <f>IFERROR(__xludf.DUMMYFUNCTION("IF(COUNTA(Q1199:Q1673)=0,"""",IF(Q1199="""",0,IF(REGEXMATCH(Q1199,""^Sell_""),-ROUNDDOWN(ROUNDUP(INDEX(Upgrades!$C$3:$C$13,MATCH(SUBSTITUTE(Q1199,""Sell_"",""""),Upgrades!$B$3:$B$13,0))*1.15^(COUNTIF(Q$4:Q1198,SUBSTITUTE(Q1199,""Sell_"",""""))-COUNTIF(Q$4"&amp;":Q1198,""Sell_""&amp;SUBSTITUTE(Q1199,""Sell_"",""""))))/2),ROUNDUP(INDEX(Upgrades!$C$3:$C$13,MATCH(Q1199,Upgrades!$B$3:$B$13,0))*1.15^(COUNTIF(Q$4:Q1198,Q1199)-COUNTIF(Q$4:Q1198,""Sell_""&amp;Q1199))))))"),"")</f>
        <v/>
      </c>
      <c r="V1199" s="10" t="str">
        <f t="shared" si="11"/>
        <v/>
      </c>
      <c r="W1199" s="68" t="str">
        <f t="shared" si="12"/>
        <v/>
      </c>
      <c r="X1199" s="59" t="str">
        <f t="shared" si="13"/>
        <v/>
      </c>
      <c r="Y1199" s="69" t="str">
        <f t="shared" si="14"/>
        <v/>
      </c>
      <c r="Z1199" s="11"/>
    </row>
    <row r="1200">
      <c r="A1200" s="8"/>
      <c r="B1200" s="56" t="str">
        <f t="shared" si="2"/>
        <v/>
      </c>
      <c r="C1200" s="105"/>
      <c r="D1200" s="10"/>
      <c r="E1200" s="59" t="str">
        <f t="array" ref="E1200">IF(COUNTA(C1200:C1673)=0,"",SUM((COUNTIF(C$4:C1200,Upgrades!$B$3:$B$13)-COUNTIF(C$4:C1200,"Sell_"&amp;Upgrades!$B$3:$B$13))*Upgrades!$D$3:$D$13))</f>
        <v/>
      </c>
      <c r="F1200" s="66" t="str">
        <f>IFERROR(__xludf.DUMMYFUNCTION("IF(COUNTA(C1200:C1673)=0,"""",IF(REGEXMATCH(INDEX(FILTER(C$4:C1200,C$4:C1200&lt;&gt;""""),ROWS(FILTER(C$4:C1200,C$4:C1200&lt;&gt;""""))),""^Sell_""),INDEX(FILTER(F$4:F1199,C$4:C1199&lt;&gt;""""),ROWS(FILTER(C$4:C1199,C$4:C1199&lt;&gt;""""))),$AC$5+E1200))"),"")</f>
        <v/>
      </c>
      <c r="G1200" s="10" t="str">
        <f>IFERROR(__xludf.DUMMYFUNCTION("IF(COUNTA(C1200:C1673)=0,"""",IF(C1200="""",0,IF(REGEXMATCH(C1200,""^Sell_""),-ROUNDDOWN(ROUNDUP(INDEX(Upgrades!$C$3:$C$13,MATCH(SUBSTITUTE(C1200,""Sell_"",""""),Upgrades!$B$3:$B$13,0))*1.15^(COUNTIF(C$4:C1199,SUBSTITUTE(C1200,""Sell_"",""""))-COUNTIF(C$4"&amp;":C1199,""Sell_""&amp;SUBSTITUTE(C1200,""Sell_"",""""))))/2),ROUNDUP(INDEX(Upgrades!$C$3:$C$13,MATCH(C1200,Upgrades!$B$3:$B$13,0))*1.15^(COUNTIF(C$4:C1199,C1200)-COUNTIF(C$4:C1199,""Sell_""&amp;C1200))))))"),"")</f>
        <v/>
      </c>
      <c r="H1200" s="10" t="str">
        <f t="shared" si="3"/>
        <v/>
      </c>
      <c r="I1200" s="68" t="str">
        <f t="shared" si="4"/>
        <v/>
      </c>
      <c r="J1200" s="59" t="str">
        <f t="shared" si="5"/>
        <v/>
      </c>
      <c r="K1200" s="69" t="str">
        <f t="shared" si="6"/>
        <v/>
      </c>
      <c r="L1200" s="60" t="str">
        <f t="shared" si="7"/>
        <v/>
      </c>
      <c r="M1200" s="61" t="str">
        <f>IFERROR(__xludf.DUMMYFUNCTION("IFS(AND(COUNTA(C1200:C1673)=0,COUNTA(Q1200:Q1673)=0),"""",OR(AND(K1200&gt;=1000000000,OR(Y1200&gt;=1000000000,COUNTA(Q1200:Q1673)=0)),OR(Y1200&gt;=1000000000,AND(COUNTA(C1200:C1673)=0,P$3=TRUE))),
ROUNDDOWN((AB$1-AC$1)*MAX(INDEX(T$4:T1673,MATCH(LARGE(FILTER(Y$4:Y1"&amp;"673,Y$4:Y1673&lt;1000000000),1),Y$4:Y1673)),INDEX(F$4:F1673,MATCH(LARGE(FILTER(K$4:K1673,K$4:K1673&lt;1000000000),1),K$4:K1673)))),AND(K1200&lt;1000000000,COUNTA(C1200:C1673)&gt;0,P$3=FALSE),
ROUNDDOWN(INDEX(Y$4:Y1673,MATCH(LARGE(FILTER(W$4:W1673,W$4:W1673&lt;=I1200),1)"&amp;",W$4:W1673))+(I1200-LARGE(FILTER(W$4:W1673,W$4:W1673&lt;=I1200),1))*INDEX(T$4:T1673,MATCH(LARGE(FILTER(W$4:W1673,W$4:W1673&lt;=I1200),1),W$4:W1673))-K1200),1,
ROUNDDOWN(Y1200-INDEX(K$4:K1673,MATCH(LARGE(FILTER(I$4:I1673,I$4:I1673&lt;=W1200),1),I$4:I1673))-(W1200-L"&amp;"ARGE(FILTER(I$4:I1673,I$4:I1673&lt;=W1200),1))*INDEX(F$4:F1673,MATCH(LARGE(FILTER(I$4:I1673,I$4:I1673&lt;=W1200),1),I$4:I1673))))"),"")</f>
        <v/>
      </c>
      <c r="N1200" s="60" t="str">
        <f t="shared" si="8"/>
        <v/>
      </c>
      <c r="O1200" s="61" t="str">
        <f t="shared" si="9"/>
        <v/>
      </c>
      <c r="P1200" s="56" t="str">
        <f t="shared" si="10"/>
        <v/>
      </c>
      <c r="Q1200" s="67"/>
      <c r="R1200" s="10"/>
      <c r="S1200" s="59" t="str">
        <f t="array" ref="S1200">IF(COUNTA(Q1200:Q1673)=0,"",SUM((COUNTIF(Q$4:Q1200,Upgrades!$B$3:$B$13)-COUNTIF(Q$4:Q1200,"Sell_"&amp;Upgrades!$B$3:$B$13))*Upgrades!$D$3:$D$13))</f>
        <v/>
      </c>
      <c r="T1200" s="66" t="str">
        <f>IFERROR(__xludf.DUMMYFUNCTION("IF(COUNTA(Q1200:Q1673)=0,"""",IF(REGEXMATCH(INDEX(FILTER(Q$4:Q1200,Q$4:Q1200&lt;&gt;""""),ROWS(FILTER(Q$4:Q1200,Q$4:Q1200&lt;&gt;""""))),""^Sell_""),INDEX(FILTER(T$4:T1199,Q$4:Q1199&lt;&gt;""""),ROWS(FILTER(Q$4:Q1199,Q$4:Q1199&lt;&gt;""""))),$AD$5+S1200))"),"")</f>
        <v/>
      </c>
      <c r="U1200" s="10" t="str">
        <f>IFERROR(__xludf.DUMMYFUNCTION("IF(COUNTA(Q1200:Q1673)=0,"""",IF(Q1200="""",0,IF(REGEXMATCH(Q1200,""^Sell_""),-ROUNDDOWN(ROUNDUP(INDEX(Upgrades!$C$3:$C$13,MATCH(SUBSTITUTE(Q1200,""Sell_"",""""),Upgrades!$B$3:$B$13,0))*1.15^(COUNTIF(Q$4:Q1199,SUBSTITUTE(Q1200,""Sell_"",""""))-COUNTIF(Q$4"&amp;":Q1199,""Sell_""&amp;SUBSTITUTE(Q1200,""Sell_"",""""))))/2),ROUNDUP(INDEX(Upgrades!$C$3:$C$13,MATCH(Q1200,Upgrades!$B$3:$B$13,0))*1.15^(COUNTIF(Q$4:Q1199,Q1200)-COUNTIF(Q$4:Q1199,""Sell_""&amp;Q1200))))))"),"")</f>
        <v/>
      </c>
      <c r="V1200" s="10" t="str">
        <f t="shared" si="11"/>
        <v/>
      </c>
      <c r="W1200" s="68" t="str">
        <f t="shared" si="12"/>
        <v/>
      </c>
      <c r="X1200" s="59" t="str">
        <f t="shared" si="13"/>
        <v/>
      </c>
      <c r="Y1200" s="69" t="str">
        <f t="shared" si="14"/>
        <v/>
      </c>
      <c r="Z1200" s="11"/>
    </row>
    <row r="1201">
      <c r="A1201" s="8"/>
      <c r="B1201" s="56" t="str">
        <f t="shared" si="2"/>
        <v/>
      </c>
      <c r="C1201" s="105"/>
      <c r="D1201" s="10"/>
      <c r="E1201" s="59" t="str">
        <f t="array" ref="E1201">IF(COUNTA(C1201:C1673)=0,"",SUM((COUNTIF(C$4:C1201,Upgrades!$B$3:$B$13)-COUNTIF(C$4:C1201,"Sell_"&amp;Upgrades!$B$3:$B$13))*Upgrades!$D$3:$D$13))</f>
        <v/>
      </c>
      <c r="F1201" s="66" t="str">
        <f>IFERROR(__xludf.DUMMYFUNCTION("IF(COUNTA(C1201:C1673)=0,"""",IF(REGEXMATCH(INDEX(FILTER(C$4:C1201,C$4:C1201&lt;&gt;""""),ROWS(FILTER(C$4:C1201,C$4:C1201&lt;&gt;""""))),""^Sell_""),INDEX(FILTER(F$4:F1200,C$4:C1200&lt;&gt;""""),ROWS(FILTER(C$4:C1200,C$4:C1200&lt;&gt;""""))),$AC$5+E1201))"),"")</f>
        <v/>
      </c>
      <c r="G1201" s="10" t="str">
        <f>IFERROR(__xludf.DUMMYFUNCTION("IF(COUNTA(C1201:C1673)=0,"""",IF(C1201="""",0,IF(REGEXMATCH(C1201,""^Sell_""),-ROUNDDOWN(ROUNDUP(INDEX(Upgrades!$C$3:$C$13,MATCH(SUBSTITUTE(C1201,""Sell_"",""""),Upgrades!$B$3:$B$13,0))*1.15^(COUNTIF(C$4:C1200,SUBSTITUTE(C1201,""Sell_"",""""))-COUNTIF(C$4"&amp;":C1200,""Sell_""&amp;SUBSTITUTE(C1201,""Sell_"",""""))))/2),ROUNDUP(INDEX(Upgrades!$C$3:$C$13,MATCH(C1201,Upgrades!$B$3:$B$13,0))*1.15^(COUNTIF(C$4:C1200,C1201)-COUNTIF(C$4:C1200,""Sell_""&amp;C1201))))))"),"")</f>
        <v/>
      </c>
      <c r="H1201" s="10" t="str">
        <f t="shared" si="3"/>
        <v/>
      </c>
      <c r="I1201" s="68" t="str">
        <f t="shared" si="4"/>
        <v/>
      </c>
      <c r="J1201" s="59" t="str">
        <f t="shared" si="5"/>
        <v/>
      </c>
      <c r="K1201" s="69" t="str">
        <f t="shared" si="6"/>
        <v/>
      </c>
      <c r="L1201" s="60" t="str">
        <f t="shared" si="7"/>
        <v/>
      </c>
      <c r="M1201" s="61" t="str">
        <f>IFERROR(__xludf.DUMMYFUNCTION("IFS(AND(COUNTA(C1201:C1673)=0,COUNTA(Q1201:Q1673)=0),"""",OR(AND(K1201&gt;=1000000000,OR(Y1201&gt;=1000000000,COUNTA(Q1201:Q1673)=0)),OR(Y1201&gt;=1000000000,AND(COUNTA(C1201:C1673)=0,P$3=TRUE))),
ROUNDDOWN((AB$1-AC$1)*MAX(INDEX(T$4:T1673,MATCH(LARGE(FILTER(Y$4:Y1"&amp;"673,Y$4:Y1673&lt;1000000000),1),Y$4:Y1673)),INDEX(F$4:F1673,MATCH(LARGE(FILTER(K$4:K1673,K$4:K1673&lt;1000000000),1),K$4:K1673)))),AND(K1201&lt;1000000000,COUNTA(C1201:C1673)&gt;0,P$3=FALSE),
ROUNDDOWN(INDEX(Y$4:Y1673,MATCH(LARGE(FILTER(W$4:W1673,W$4:W1673&lt;=I1201),1)"&amp;",W$4:W1673))+(I1201-LARGE(FILTER(W$4:W1673,W$4:W1673&lt;=I1201),1))*INDEX(T$4:T1673,MATCH(LARGE(FILTER(W$4:W1673,W$4:W1673&lt;=I1201),1),W$4:W1673))-K1201),1,
ROUNDDOWN(Y1201-INDEX(K$4:K1673,MATCH(LARGE(FILTER(I$4:I1673,I$4:I1673&lt;=W1201),1),I$4:I1673))-(W1201-L"&amp;"ARGE(FILTER(I$4:I1673,I$4:I1673&lt;=W1201),1))*INDEX(F$4:F1673,MATCH(LARGE(FILTER(I$4:I1673,I$4:I1673&lt;=W1201),1),I$4:I1673))))"),"")</f>
        <v/>
      </c>
      <c r="N1201" s="60" t="str">
        <f t="shared" si="8"/>
        <v/>
      </c>
      <c r="O1201" s="61" t="str">
        <f t="shared" si="9"/>
        <v/>
      </c>
      <c r="P1201" s="56" t="str">
        <f t="shared" si="10"/>
        <v/>
      </c>
      <c r="Q1201" s="67"/>
      <c r="R1201" s="10"/>
      <c r="S1201" s="59" t="str">
        <f t="array" ref="S1201">IF(COUNTA(Q1201:Q1673)=0,"",SUM((COUNTIF(Q$4:Q1201,Upgrades!$B$3:$B$13)-COUNTIF(Q$4:Q1201,"Sell_"&amp;Upgrades!$B$3:$B$13))*Upgrades!$D$3:$D$13))</f>
        <v/>
      </c>
      <c r="T1201" s="66" t="str">
        <f>IFERROR(__xludf.DUMMYFUNCTION("IF(COUNTA(Q1201:Q1673)=0,"""",IF(REGEXMATCH(INDEX(FILTER(Q$4:Q1201,Q$4:Q1201&lt;&gt;""""),ROWS(FILTER(Q$4:Q1201,Q$4:Q1201&lt;&gt;""""))),""^Sell_""),INDEX(FILTER(T$4:T1200,Q$4:Q1200&lt;&gt;""""),ROWS(FILTER(Q$4:Q1200,Q$4:Q1200&lt;&gt;""""))),$AD$5+S1201))"),"")</f>
        <v/>
      </c>
      <c r="U1201" s="10" t="str">
        <f>IFERROR(__xludf.DUMMYFUNCTION("IF(COUNTA(Q1201:Q1673)=0,"""",IF(Q1201="""",0,IF(REGEXMATCH(Q1201,""^Sell_""),-ROUNDDOWN(ROUNDUP(INDEX(Upgrades!$C$3:$C$13,MATCH(SUBSTITUTE(Q1201,""Sell_"",""""),Upgrades!$B$3:$B$13,0))*1.15^(COUNTIF(Q$4:Q1200,SUBSTITUTE(Q1201,""Sell_"",""""))-COUNTIF(Q$4"&amp;":Q1200,""Sell_""&amp;SUBSTITUTE(Q1201,""Sell_"",""""))))/2),ROUNDUP(INDEX(Upgrades!$C$3:$C$13,MATCH(Q1201,Upgrades!$B$3:$B$13,0))*1.15^(COUNTIF(Q$4:Q1200,Q1201)-COUNTIF(Q$4:Q1200,""Sell_""&amp;Q1201))))))"),"")</f>
        <v/>
      </c>
      <c r="V1201" s="10" t="str">
        <f t="shared" si="11"/>
        <v/>
      </c>
      <c r="W1201" s="68" t="str">
        <f t="shared" si="12"/>
        <v/>
      </c>
      <c r="X1201" s="59" t="str">
        <f t="shared" si="13"/>
        <v/>
      </c>
      <c r="Y1201" s="69" t="str">
        <f t="shared" si="14"/>
        <v/>
      </c>
      <c r="Z1201" s="11"/>
    </row>
    <row r="1202">
      <c r="A1202" s="8"/>
      <c r="B1202" s="56" t="str">
        <f t="shared" si="2"/>
        <v/>
      </c>
      <c r="C1202" s="105"/>
      <c r="D1202" s="10"/>
      <c r="E1202" s="59" t="str">
        <f t="array" ref="E1202">IF(COUNTA(C1202:C1673)=0,"",SUM((COUNTIF(C$4:C1202,Upgrades!$B$3:$B$13)-COUNTIF(C$4:C1202,"Sell_"&amp;Upgrades!$B$3:$B$13))*Upgrades!$D$3:$D$13))</f>
        <v/>
      </c>
      <c r="F1202" s="66" t="str">
        <f>IFERROR(__xludf.DUMMYFUNCTION("IF(COUNTA(C1202:C1673)=0,"""",IF(REGEXMATCH(INDEX(FILTER(C$4:C1202,C$4:C1202&lt;&gt;""""),ROWS(FILTER(C$4:C1202,C$4:C1202&lt;&gt;""""))),""^Sell_""),INDEX(FILTER(F$4:F1201,C$4:C1201&lt;&gt;""""),ROWS(FILTER(C$4:C1201,C$4:C1201&lt;&gt;""""))),$AC$5+E1202))"),"")</f>
        <v/>
      </c>
      <c r="G1202" s="10" t="str">
        <f>IFERROR(__xludf.DUMMYFUNCTION("IF(COUNTA(C1202:C1673)=0,"""",IF(C1202="""",0,IF(REGEXMATCH(C1202,""^Sell_""),-ROUNDDOWN(ROUNDUP(INDEX(Upgrades!$C$3:$C$13,MATCH(SUBSTITUTE(C1202,""Sell_"",""""),Upgrades!$B$3:$B$13,0))*1.15^(COUNTIF(C$4:C1201,SUBSTITUTE(C1202,""Sell_"",""""))-COUNTIF(C$4"&amp;":C1201,""Sell_""&amp;SUBSTITUTE(C1202,""Sell_"",""""))))/2),ROUNDUP(INDEX(Upgrades!$C$3:$C$13,MATCH(C1202,Upgrades!$B$3:$B$13,0))*1.15^(COUNTIF(C$4:C1201,C1202)-COUNTIF(C$4:C1201,""Sell_""&amp;C1202))))))"),"")</f>
        <v/>
      </c>
      <c r="H1202" s="10" t="str">
        <f t="shared" si="3"/>
        <v/>
      </c>
      <c r="I1202" s="68" t="str">
        <f t="shared" si="4"/>
        <v/>
      </c>
      <c r="J1202" s="59" t="str">
        <f t="shared" si="5"/>
        <v/>
      </c>
      <c r="K1202" s="69" t="str">
        <f t="shared" si="6"/>
        <v/>
      </c>
      <c r="L1202" s="60" t="str">
        <f t="shared" si="7"/>
        <v/>
      </c>
      <c r="M1202" s="61" t="str">
        <f>IFERROR(__xludf.DUMMYFUNCTION("IFS(AND(COUNTA(C1202:C1673)=0,COUNTA(Q1202:Q1673)=0),"""",OR(AND(K1202&gt;=1000000000,OR(Y1202&gt;=1000000000,COUNTA(Q1202:Q1673)=0)),OR(Y1202&gt;=1000000000,AND(COUNTA(C1202:C1673)=0,P$3=TRUE))),
ROUNDDOWN((AB$1-AC$1)*MAX(INDEX(T$4:T1673,MATCH(LARGE(FILTER(Y$4:Y1"&amp;"673,Y$4:Y1673&lt;1000000000),1),Y$4:Y1673)),INDEX(F$4:F1673,MATCH(LARGE(FILTER(K$4:K1673,K$4:K1673&lt;1000000000),1),K$4:K1673)))),AND(K1202&lt;1000000000,COUNTA(C1202:C1673)&gt;0,P$3=FALSE),
ROUNDDOWN(INDEX(Y$4:Y1673,MATCH(LARGE(FILTER(W$4:W1673,W$4:W1673&lt;=I1202),1)"&amp;",W$4:W1673))+(I1202-LARGE(FILTER(W$4:W1673,W$4:W1673&lt;=I1202),1))*INDEX(T$4:T1673,MATCH(LARGE(FILTER(W$4:W1673,W$4:W1673&lt;=I1202),1),W$4:W1673))-K1202),1,
ROUNDDOWN(Y1202-INDEX(K$4:K1673,MATCH(LARGE(FILTER(I$4:I1673,I$4:I1673&lt;=W1202),1),I$4:I1673))-(W1202-L"&amp;"ARGE(FILTER(I$4:I1673,I$4:I1673&lt;=W1202),1))*INDEX(F$4:F1673,MATCH(LARGE(FILTER(I$4:I1673,I$4:I1673&lt;=W1202),1),I$4:I1673))))"),"")</f>
        <v/>
      </c>
      <c r="N1202" s="60" t="str">
        <f t="shared" si="8"/>
        <v/>
      </c>
      <c r="O1202" s="61" t="str">
        <f t="shared" si="9"/>
        <v/>
      </c>
      <c r="P1202" s="56" t="str">
        <f t="shared" si="10"/>
        <v/>
      </c>
      <c r="Q1202" s="67"/>
      <c r="R1202" s="10"/>
      <c r="S1202" s="59" t="str">
        <f t="array" ref="S1202">IF(COUNTA(Q1202:Q1673)=0,"",SUM((COUNTIF(Q$4:Q1202,Upgrades!$B$3:$B$13)-COUNTIF(Q$4:Q1202,"Sell_"&amp;Upgrades!$B$3:$B$13))*Upgrades!$D$3:$D$13))</f>
        <v/>
      </c>
      <c r="T1202" s="66" t="str">
        <f>IFERROR(__xludf.DUMMYFUNCTION("IF(COUNTA(Q1202:Q1673)=0,"""",IF(REGEXMATCH(INDEX(FILTER(Q$4:Q1202,Q$4:Q1202&lt;&gt;""""),ROWS(FILTER(Q$4:Q1202,Q$4:Q1202&lt;&gt;""""))),""^Sell_""),INDEX(FILTER(T$4:T1201,Q$4:Q1201&lt;&gt;""""),ROWS(FILTER(Q$4:Q1201,Q$4:Q1201&lt;&gt;""""))),$AD$5+S1202))"),"")</f>
        <v/>
      </c>
      <c r="U1202" s="10" t="str">
        <f>IFERROR(__xludf.DUMMYFUNCTION("IF(COUNTA(Q1202:Q1673)=0,"""",IF(Q1202="""",0,IF(REGEXMATCH(Q1202,""^Sell_""),-ROUNDDOWN(ROUNDUP(INDEX(Upgrades!$C$3:$C$13,MATCH(SUBSTITUTE(Q1202,""Sell_"",""""),Upgrades!$B$3:$B$13,0))*1.15^(COUNTIF(Q$4:Q1201,SUBSTITUTE(Q1202,""Sell_"",""""))-COUNTIF(Q$4"&amp;":Q1201,""Sell_""&amp;SUBSTITUTE(Q1202,""Sell_"",""""))))/2),ROUNDUP(INDEX(Upgrades!$C$3:$C$13,MATCH(Q1202,Upgrades!$B$3:$B$13,0))*1.15^(COUNTIF(Q$4:Q1201,Q1202)-COUNTIF(Q$4:Q1201,""Sell_""&amp;Q1202))))))"),"")</f>
        <v/>
      </c>
      <c r="V1202" s="10" t="str">
        <f t="shared" si="11"/>
        <v/>
      </c>
      <c r="W1202" s="68" t="str">
        <f t="shared" si="12"/>
        <v/>
      </c>
      <c r="X1202" s="59" t="str">
        <f t="shared" si="13"/>
        <v/>
      </c>
      <c r="Y1202" s="69" t="str">
        <f t="shared" si="14"/>
        <v/>
      </c>
      <c r="Z1202" s="11"/>
    </row>
    <row r="1203">
      <c r="A1203" s="8"/>
      <c r="B1203" s="56" t="str">
        <f t="shared" si="2"/>
        <v/>
      </c>
      <c r="C1203" s="105"/>
      <c r="D1203" s="10"/>
      <c r="E1203" s="59" t="str">
        <f t="array" ref="E1203">IF(COUNTA(C1203:C1673)=0,"",SUM((COUNTIF(C$4:C1203,Upgrades!$B$3:$B$13)-COUNTIF(C$4:C1203,"Sell_"&amp;Upgrades!$B$3:$B$13))*Upgrades!$D$3:$D$13))</f>
        <v/>
      </c>
      <c r="F1203" s="66" t="str">
        <f>IFERROR(__xludf.DUMMYFUNCTION("IF(COUNTA(C1203:C1673)=0,"""",IF(REGEXMATCH(INDEX(FILTER(C$4:C1203,C$4:C1203&lt;&gt;""""),ROWS(FILTER(C$4:C1203,C$4:C1203&lt;&gt;""""))),""^Sell_""),INDEX(FILTER(F$4:F1202,C$4:C1202&lt;&gt;""""),ROWS(FILTER(C$4:C1202,C$4:C1202&lt;&gt;""""))),$AC$5+E1203))"),"")</f>
        <v/>
      </c>
      <c r="G1203" s="10" t="str">
        <f>IFERROR(__xludf.DUMMYFUNCTION("IF(COUNTA(C1203:C1673)=0,"""",IF(C1203="""",0,IF(REGEXMATCH(C1203,""^Sell_""),-ROUNDDOWN(ROUNDUP(INDEX(Upgrades!$C$3:$C$13,MATCH(SUBSTITUTE(C1203,""Sell_"",""""),Upgrades!$B$3:$B$13,0))*1.15^(COUNTIF(C$4:C1202,SUBSTITUTE(C1203,""Sell_"",""""))-COUNTIF(C$4"&amp;":C1202,""Sell_""&amp;SUBSTITUTE(C1203,""Sell_"",""""))))/2),ROUNDUP(INDEX(Upgrades!$C$3:$C$13,MATCH(C1203,Upgrades!$B$3:$B$13,0))*1.15^(COUNTIF(C$4:C1202,C1203)-COUNTIF(C$4:C1202,""Sell_""&amp;C1203))))))"),"")</f>
        <v/>
      </c>
      <c r="H1203" s="10" t="str">
        <f t="shared" si="3"/>
        <v/>
      </c>
      <c r="I1203" s="68" t="str">
        <f t="shared" si="4"/>
        <v/>
      </c>
      <c r="J1203" s="59" t="str">
        <f t="shared" si="5"/>
        <v/>
      </c>
      <c r="K1203" s="69" t="str">
        <f t="shared" si="6"/>
        <v/>
      </c>
      <c r="L1203" s="60" t="str">
        <f t="shared" si="7"/>
        <v/>
      </c>
      <c r="M1203" s="61" t="str">
        <f>IFERROR(__xludf.DUMMYFUNCTION("IFS(AND(COUNTA(C1203:C1673)=0,COUNTA(Q1203:Q1673)=0),"""",OR(AND(K1203&gt;=1000000000,OR(Y1203&gt;=1000000000,COUNTA(Q1203:Q1673)=0)),OR(Y1203&gt;=1000000000,AND(COUNTA(C1203:C1673)=0,P$3=TRUE))),
ROUNDDOWN((AB$1-AC$1)*MAX(INDEX(T$4:T1673,MATCH(LARGE(FILTER(Y$4:Y1"&amp;"673,Y$4:Y1673&lt;1000000000),1),Y$4:Y1673)),INDEX(F$4:F1673,MATCH(LARGE(FILTER(K$4:K1673,K$4:K1673&lt;1000000000),1),K$4:K1673)))),AND(K1203&lt;1000000000,COUNTA(C1203:C1673)&gt;0,P$3=FALSE),
ROUNDDOWN(INDEX(Y$4:Y1673,MATCH(LARGE(FILTER(W$4:W1673,W$4:W1673&lt;=I1203),1)"&amp;",W$4:W1673))+(I1203-LARGE(FILTER(W$4:W1673,W$4:W1673&lt;=I1203),1))*INDEX(T$4:T1673,MATCH(LARGE(FILTER(W$4:W1673,W$4:W1673&lt;=I1203),1),W$4:W1673))-K1203),1,
ROUNDDOWN(Y1203-INDEX(K$4:K1673,MATCH(LARGE(FILTER(I$4:I1673,I$4:I1673&lt;=W1203),1),I$4:I1673))-(W1203-L"&amp;"ARGE(FILTER(I$4:I1673,I$4:I1673&lt;=W1203),1))*INDEX(F$4:F1673,MATCH(LARGE(FILTER(I$4:I1673,I$4:I1673&lt;=W1203),1),I$4:I1673))))"),"")</f>
        <v/>
      </c>
      <c r="N1203" s="60" t="str">
        <f t="shared" si="8"/>
        <v/>
      </c>
      <c r="O1203" s="61" t="str">
        <f t="shared" si="9"/>
        <v/>
      </c>
      <c r="P1203" s="56" t="str">
        <f t="shared" si="10"/>
        <v/>
      </c>
      <c r="Q1203" s="67"/>
      <c r="R1203" s="10"/>
      <c r="S1203" s="59" t="str">
        <f t="array" ref="S1203">IF(COUNTA(Q1203:Q1673)=0,"",SUM((COUNTIF(Q$4:Q1203,Upgrades!$B$3:$B$13)-COUNTIF(Q$4:Q1203,"Sell_"&amp;Upgrades!$B$3:$B$13))*Upgrades!$D$3:$D$13))</f>
        <v/>
      </c>
      <c r="T1203" s="66" t="str">
        <f>IFERROR(__xludf.DUMMYFUNCTION("IF(COUNTA(Q1203:Q1673)=0,"""",IF(REGEXMATCH(INDEX(FILTER(Q$4:Q1203,Q$4:Q1203&lt;&gt;""""),ROWS(FILTER(Q$4:Q1203,Q$4:Q1203&lt;&gt;""""))),""^Sell_""),INDEX(FILTER(T$4:T1202,Q$4:Q1202&lt;&gt;""""),ROWS(FILTER(Q$4:Q1202,Q$4:Q1202&lt;&gt;""""))),$AD$5+S1203))"),"")</f>
        <v/>
      </c>
      <c r="U1203" s="10" t="str">
        <f>IFERROR(__xludf.DUMMYFUNCTION("IF(COUNTA(Q1203:Q1673)=0,"""",IF(Q1203="""",0,IF(REGEXMATCH(Q1203,""^Sell_""),-ROUNDDOWN(ROUNDUP(INDEX(Upgrades!$C$3:$C$13,MATCH(SUBSTITUTE(Q1203,""Sell_"",""""),Upgrades!$B$3:$B$13,0))*1.15^(COUNTIF(Q$4:Q1202,SUBSTITUTE(Q1203,""Sell_"",""""))-COUNTIF(Q$4"&amp;":Q1202,""Sell_""&amp;SUBSTITUTE(Q1203,""Sell_"",""""))))/2),ROUNDUP(INDEX(Upgrades!$C$3:$C$13,MATCH(Q1203,Upgrades!$B$3:$B$13,0))*1.15^(COUNTIF(Q$4:Q1202,Q1203)-COUNTIF(Q$4:Q1202,""Sell_""&amp;Q1203))))))"),"")</f>
        <v/>
      </c>
      <c r="V1203" s="10" t="str">
        <f t="shared" si="11"/>
        <v/>
      </c>
      <c r="W1203" s="68" t="str">
        <f t="shared" si="12"/>
        <v/>
      </c>
      <c r="X1203" s="59" t="str">
        <f t="shared" si="13"/>
        <v/>
      </c>
      <c r="Y1203" s="69" t="str">
        <f t="shared" si="14"/>
        <v/>
      </c>
      <c r="Z1203" s="11"/>
    </row>
    <row r="1204">
      <c r="A1204" s="8"/>
      <c r="B1204" s="56" t="str">
        <f t="shared" si="2"/>
        <v/>
      </c>
      <c r="C1204" s="105"/>
      <c r="D1204" s="10"/>
      <c r="E1204" s="59" t="str">
        <f t="array" ref="E1204">IF(COUNTA(C1204:C1673)=0,"",SUM((COUNTIF(C$4:C1204,Upgrades!$B$3:$B$13)-COUNTIF(C$4:C1204,"Sell_"&amp;Upgrades!$B$3:$B$13))*Upgrades!$D$3:$D$13))</f>
        <v/>
      </c>
      <c r="F1204" s="66" t="str">
        <f>IFERROR(__xludf.DUMMYFUNCTION("IF(COUNTA(C1204:C1673)=0,"""",IF(REGEXMATCH(INDEX(FILTER(C$4:C1204,C$4:C1204&lt;&gt;""""),ROWS(FILTER(C$4:C1204,C$4:C1204&lt;&gt;""""))),""^Sell_""),INDEX(FILTER(F$4:F1203,C$4:C1203&lt;&gt;""""),ROWS(FILTER(C$4:C1203,C$4:C1203&lt;&gt;""""))),$AC$5+E1204))"),"")</f>
        <v/>
      </c>
      <c r="G1204" s="10" t="str">
        <f>IFERROR(__xludf.DUMMYFUNCTION("IF(COUNTA(C1204:C1673)=0,"""",IF(C1204="""",0,IF(REGEXMATCH(C1204,""^Sell_""),-ROUNDDOWN(ROUNDUP(INDEX(Upgrades!$C$3:$C$13,MATCH(SUBSTITUTE(C1204,""Sell_"",""""),Upgrades!$B$3:$B$13,0))*1.15^(COUNTIF(C$4:C1203,SUBSTITUTE(C1204,""Sell_"",""""))-COUNTIF(C$4"&amp;":C1203,""Sell_""&amp;SUBSTITUTE(C1204,""Sell_"",""""))))/2),ROUNDUP(INDEX(Upgrades!$C$3:$C$13,MATCH(C1204,Upgrades!$B$3:$B$13,0))*1.15^(COUNTIF(C$4:C1203,C1204)-COUNTIF(C$4:C1203,""Sell_""&amp;C1204))))))"),"")</f>
        <v/>
      </c>
      <c r="H1204" s="10" t="str">
        <f t="shared" si="3"/>
        <v/>
      </c>
      <c r="I1204" s="68" t="str">
        <f t="shared" si="4"/>
        <v/>
      </c>
      <c r="J1204" s="59" t="str">
        <f t="shared" si="5"/>
        <v/>
      </c>
      <c r="K1204" s="69" t="str">
        <f t="shared" si="6"/>
        <v/>
      </c>
      <c r="L1204" s="60" t="str">
        <f t="shared" si="7"/>
        <v/>
      </c>
      <c r="M1204" s="61" t="str">
        <f>IFERROR(__xludf.DUMMYFUNCTION("IFS(AND(COUNTA(C1204:C1673)=0,COUNTA(Q1204:Q1673)=0),"""",OR(AND(K1204&gt;=1000000000,OR(Y1204&gt;=1000000000,COUNTA(Q1204:Q1673)=0)),OR(Y1204&gt;=1000000000,AND(COUNTA(C1204:C1673)=0,P$3=TRUE))),
ROUNDDOWN((AB$1-AC$1)*MAX(INDEX(T$4:T1673,MATCH(LARGE(FILTER(Y$4:Y1"&amp;"673,Y$4:Y1673&lt;1000000000),1),Y$4:Y1673)),INDEX(F$4:F1673,MATCH(LARGE(FILTER(K$4:K1673,K$4:K1673&lt;1000000000),1),K$4:K1673)))),AND(K1204&lt;1000000000,COUNTA(C1204:C1673)&gt;0,P$3=FALSE),
ROUNDDOWN(INDEX(Y$4:Y1673,MATCH(LARGE(FILTER(W$4:W1673,W$4:W1673&lt;=I1204),1)"&amp;",W$4:W1673))+(I1204-LARGE(FILTER(W$4:W1673,W$4:W1673&lt;=I1204),1))*INDEX(T$4:T1673,MATCH(LARGE(FILTER(W$4:W1673,W$4:W1673&lt;=I1204),1),W$4:W1673))-K1204),1,
ROUNDDOWN(Y1204-INDEX(K$4:K1673,MATCH(LARGE(FILTER(I$4:I1673,I$4:I1673&lt;=W1204),1),I$4:I1673))-(W1204-L"&amp;"ARGE(FILTER(I$4:I1673,I$4:I1673&lt;=W1204),1))*INDEX(F$4:F1673,MATCH(LARGE(FILTER(I$4:I1673,I$4:I1673&lt;=W1204),1),I$4:I1673))))"),"")</f>
        <v/>
      </c>
      <c r="N1204" s="60" t="str">
        <f t="shared" si="8"/>
        <v/>
      </c>
      <c r="O1204" s="61" t="str">
        <f t="shared" si="9"/>
        <v/>
      </c>
      <c r="P1204" s="56" t="str">
        <f t="shared" si="10"/>
        <v/>
      </c>
      <c r="Q1204" s="67"/>
      <c r="R1204" s="10"/>
      <c r="S1204" s="59" t="str">
        <f t="array" ref="S1204">IF(COUNTA(Q1204:Q1673)=0,"",SUM((COUNTIF(Q$4:Q1204,Upgrades!$B$3:$B$13)-COUNTIF(Q$4:Q1204,"Sell_"&amp;Upgrades!$B$3:$B$13))*Upgrades!$D$3:$D$13))</f>
        <v/>
      </c>
      <c r="T1204" s="66" t="str">
        <f>IFERROR(__xludf.DUMMYFUNCTION("IF(COUNTA(Q1204:Q1673)=0,"""",IF(REGEXMATCH(INDEX(FILTER(Q$4:Q1204,Q$4:Q1204&lt;&gt;""""),ROWS(FILTER(Q$4:Q1204,Q$4:Q1204&lt;&gt;""""))),""^Sell_""),INDEX(FILTER(T$4:T1203,Q$4:Q1203&lt;&gt;""""),ROWS(FILTER(Q$4:Q1203,Q$4:Q1203&lt;&gt;""""))),$AD$5+S1204))"),"")</f>
        <v/>
      </c>
      <c r="U1204" s="10" t="str">
        <f>IFERROR(__xludf.DUMMYFUNCTION("IF(COUNTA(Q1204:Q1673)=0,"""",IF(Q1204="""",0,IF(REGEXMATCH(Q1204,""^Sell_""),-ROUNDDOWN(ROUNDUP(INDEX(Upgrades!$C$3:$C$13,MATCH(SUBSTITUTE(Q1204,""Sell_"",""""),Upgrades!$B$3:$B$13,0))*1.15^(COUNTIF(Q$4:Q1203,SUBSTITUTE(Q1204,""Sell_"",""""))-COUNTIF(Q$4"&amp;":Q1203,""Sell_""&amp;SUBSTITUTE(Q1204,""Sell_"",""""))))/2),ROUNDUP(INDEX(Upgrades!$C$3:$C$13,MATCH(Q1204,Upgrades!$B$3:$B$13,0))*1.15^(COUNTIF(Q$4:Q1203,Q1204)-COUNTIF(Q$4:Q1203,""Sell_""&amp;Q1204))))))"),"")</f>
        <v/>
      </c>
      <c r="V1204" s="10" t="str">
        <f t="shared" si="11"/>
        <v/>
      </c>
      <c r="W1204" s="68" t="str">
        <f t="shared" si="12"/>
        <v/>
      </c>
      <c r="X1204" s="59" t="str">
        <f t="shared" si="13"/>
        <v/>
      </c>
      <c r="Y1204" s="69" t="str">
        <f t="shared" si="14"/>
        <v/>
      </c>
      <c r="Z1204" s="11"/>
    </row>
    <row r="1205">
      <c r="A1205" s="8"/>
      <c r="B1205" s="56" t="str">
        <f t="shared" si="2"/>
        <v/>
      </c>
      <c r="C1205" s="105"/>
      <c r="D1205" s="10"/>
      <c r="E1205" s="59" t="str">
        <f t="array" ref="E1205">IF(COUNTA(C1205:C1673)=0,"",SUM((COUNTIF(C$4:C1205,Upgrades!$B$3:$B$13)-COUNTIF(C$4:C1205,"Sell_"&amp;Upgrades!$B$3:$B$13))*Upgrades!$D$3:$D$13))</f>
        <v/>
      </c>
      <c r="F1205" s="66" t="str">
        <f>IFERROR(__xludf.DUMMYFUNCTION("IF(COUNTA(C1205:C1673)=0,"""",IF(REGEXMATCH(INDEX(FILTER(C$4:C1205,C$4:C1205&lt;&gt;""""),ROWS(FILTER(C$4:C1205,C$4:C1205&lt;&gt;""""))),""^Sell_""),INDEX(FILTER(F$4:F1204,C$4:C1204&lt;&gt;""""),ROWS(FILTER(C$4:C1204,C$4:C1204&lt;&gt;""""))),$AC$5+E1205))"),"")</f>
        <v/>
      </c>
      <c r="G1205" s="10" t="str">
        <f>IFERROR(__xludf.DUMMYFUNCTION("IF(COUNTA(C1205:C1673)=0,"""",IF(C1205="""",0,IF(REGEXMATCH(C1205,""^Sell_""),-ROUNDDOWN(ROUNDUP(INDEX(Upgrades!$C$3:$C$13,MATCH(SUBSTITUTE(C1205,""Sell_"",""""),Upgrades!$B$3:$B$13,0))*1.15^(COUNTIF(C$4:C1204,SUBSTITUTE(C1205,""Sell_"",""""))-COUNTIF(C$4"&amp;":C1204,""Sell_""&amp;SUBSTITUTE(C1205,""Sell_"",""""))))/2),ROUNDUP(INDEX(Upgrades!$C$3:$C$13,MATCH(C1205,Upgrades!$B$3:$B$13,0))*1.15^(COUNTIF(C$4:C1204,C1205)-COUNTIF(C$4:C1204,""Sell_""&amp;C1205))))))"),"")</f>
        <v/>
      </c>
      <c r="H1205" s="10" t="str">
        <f t="shared" si="3"/>
        <v/>
      </c>
      <c r="I1205" s="68" t="str">
        <f t="shared" si="4"/>
        <v/>
      </c>
      <c r="J1205" s="59" t="str">
        <f t="shared" si="5"/>
        <v/>
      </c>
      <c r="K1205" s="69" t="str">
        <f t="shared" si="6"/>
        <v/>
      </c>
      <c r="L1205" s="60" t="str">
        <f t="shared" si="7"/>
        <v/>
      </c>
      <c r="M1205" s="61" t="str">
        <f>IFERROR(__xludf.DUMMYFUNCTION("IFS(AND(COUNTA(C1205:C1673)=0,COUNTA(Q1205:Q1673)=0),"""",OR(AND(K1205&gt;=1000000000,OR(Y1205&gt;=1000000000,COUNTA(Q1205:Q1673)=0)),OR(Y1205&gt;=1000000000,AND(COUNTA(C1205:C1673)=0,P$3=TRUE))),
ROUNDDOWN((AB$1-AC$1)*MAX(INDEX(T$4:T1673,MATCH(LARGE(FILTER(Y$4:Y1"&amp;"673,Y$4:Y1673&lt;1000000000),1),Y$4:Y1673)),INDEX(F$4:F1673,MATCH(LARGE(FILTER(K$4:K1673,K$4:K1673&lt;1000000000),1),K$4:K1673)))),AND(K1205&lt;1000000000,COUNTA(C1205:C1673)&gt;0,P$3=FALSE),
ROUNDDOWN(INDEX(Y$4:Y1673,MATCH(LARGE(FILTER(W$4:W1673,W$4:W1673&lt;=I1205),1)"&amp;",W$4:W1673))+(I1205-LARGE(FILTER(W$4:W1673,W$4:W1673&lt;=I1205),1))*INDEX(T$4:T1673,MATCH(LARGE(FILTER(W$4:W1673,W$4:W1673&lt;=I1205),1),W$4:W1673))-K1205),1,
ROUNDDOWN(Y1205-INDEX(K$4:K1673,MATCH(LARGE(FILTER(I$4:I1673,I$4:I1673&lt;=W1205),1),I$4:I1673))-(W1205-L"&amp;"ARGE(FILTER(I$4:I1673,I$4:I1673&lt;=W1205),1))*INDEX(F$4:F1673,MATCH(LARGE(FILTER(I$4:I1673,I$4:I1673&lt;=W1205),1),I$4:I1673))))"),"")</f>
        <v/>
      </c>
      <c r="N1205" s="60" t="str">
        <f t="shared" si="8"/>
        <v/>
      </c>
      <c r="O1205" s="61" t="str">
        <f t="shared" si="9"/>
        <v/>
      </c>
      <c r="P1205" s="56" t="str">
        <f t="shared" si="10"/>
        <v/>
      </c>
      <c r="Q1205" s="67"/>
      <c r="R1205" s="10"/>
      <c r="S1205" s="59" t="str">
        <f t="array" ref="S1205">IF(COUNTA(Q1205:Q1673)=0,"",SUM((COUNTIF(Q$4:Q1205,Upgrades!$B$3:$B$13)-COUNTIF(Q$4:Q1205,"Sell_"&amp;Upgrades!$B$3:$B$13))*Upgrades!$D$3:$D$13))</f>
        <v/>
      </c>
      <c r="T1205" s="66" t="str">
        <f>IFERROR(__xludf.DUMMYFUNCTION("IF(COUNTA(Q1205:Q1673)=0,"""",IF(REGEXMATCH(INDEX(FILTER(Q$4:Q1205,Q$4:Q1205&lt;&gt;""""),ROWS(FILTER(Q$4:Q1205,Q$4:Q1205&lt;&gt;""""))),""^Sell_""),INDEX(FILTER(T$4:T1204,Q$4:Q1204&lt;&gt;""""),ROWS(FILTER(Q$4:Q1204,Q$4:Q1204&lt;&gt;""""))),$AD$5+S1205))"),"")</f>
        <v/>
      </c>
      <c r="U1205" s="10" t="str">
        <f>IFERROR(__xludf.DUMMYFUNCTION("IF(COUNTA(Q1205:Q1673)=0,"""",IF(Q1205="""",0,IF(REGEXMATCH(Q1205,""^Sell_""),-ROUNDDOWN(ROUNDUP(INDEX(Upgrades!$C$3:$C$13,MATCH(SUBSTITUTE(Q1205,""Sell_"",""""),Upgrades!$B$3:$B$13,0))*1.15^(COUNTIF(Q$4:Q1204,SUBSTITUTE(Q1205,""Sell_"",""""))-COUNTIF(Q$4"&amp;":Q1204,""Sell_""&amp;SUBSTITUTE(Q1205,""Sell_"",""""))))/2),ROUNDUP(INDEX(Upgrades!$C$3:$C$13,MATCH(Q1205,Upgrades!$B$3:$B$13,0))*1.15^(COUNTIF(Q$4:Q1204,Q1205)-COUNTIF(Q$4:Q1204,""Sell_""&amp;Q1205))))))"),"")</f>
        <v/>
      </c>
      <c r="V1205" s="10" t="str">
        <f t="shared" si="11"/>
        <v/>
      </c>
      <c r="W1205" s="68" t="str">
        <f t="shared" si="12"/>
        <v/>
      </c>
      <c r="X1205" s="59" t="str">
        <f t="shared" si="13"/>
        <v/>
      </c>
      <c r="Y1205" s="69" t="str">
        <f t="shared" si="14"/>
        <v/>
      </c>
      <c r="Z1205" s="11"/>
    </row>
    <row r="1206">
      <c r="A1206" s="8"/>
      <c r="B1206" s="56" t="str">
        <f t="shared" si="2"/>
        <v/>
      </c>
      <c r="C1206" s="105"/>
      <c r="D1206" s="10"/>
      <c r="E1206" s="59" t="str">
        <f t="array" ref="E1206">IF(COUNTA(C1206:C1673)=0,"",SUM((COUNTIF(C$4:C1206,Upgrades!$B$3:$B$13)-COUNTIF(C$4:C1206,"Sell_"&amp;Upgrades!$B$3:$B$13))*Upgrades!$D$3:$D$13))</f>
        <v/>
      </c>
      <c r="F1206" s="66" t="str">
        <f>IFERROR(__xludf.DUMMYFUNCTION("IF(COUNTA(C1206:C1673)=0,"""",IF(REGEXMATCH(INDEX(FILTER(C$4:C1206,C$4:C1206&lt;&gt;""""),ROWS(FILTER(C$4:C1206,C$4:C1206&lt;&gt;""""))),""^Sell_""),INDEX(FILTER(F$4:F1205,C$4:C1205&lt;&gt;""""),ROWS(FILTER(C$4:C1205,C$4:C1205&lt;&gt;""""))),$AC$5+E1206))"),"")</f>
        <v/>
      </c>
      <c r="G1206" s="10" t="str">
        <f>IFERROR(__xludf.DUMMYFUNCTION("IF(COUNTA(C1206:C1673)=0,"""",IF(C1206="""",0,IF(REGEXMATCH(C1206,""^Sell_""),-ROUNDDOWN(ROUNDUP(INDEX(Upgrades!$C$3:$C$13,MATCH(SUBSTITUTE(C1206,""Sell_"",""""),Upgrades!$B$3:$B$13,0))*1.15^(COUNTIF(C$4:C1205,SUBSTITUTE(C1206,""Sell_"",""""))-COUNTIF(C$4"&amp;":C1205,""Sell_""&amp;SUBSTITUTE(C1206,""Sell_"",""""))))/2),ROUNDUP(INDEX(Upgrades!$C$3:$C$13,MATCH(C1206,Upgrades!$B$3:$B$13,0))*1.15^(COUNTIF(C$4:C1205,C1206)-COUNTIF(C$4:C1205,""Sell_""&amp;C1206))))))"),"")</f>
        <v/>
      </c>
      <c r="H1206" s="10" t="str">
        <f t="shared" si="3"/>
        <v/>
      </c>
      <c r="I1206" s="68" t="str">
        <f t="shared" si="4"/>
        <v/>
      </c>
      <c r="J1206" s="59" t="str">
        <f t="shared" si="5"/>
        <v/>
      </c>
      <c r="K1206" s="69" t="str">
        <f t="shared" si="6"/>
        <v/>
      </c>
      <c r="L1206" s="60" t="str">
        <f t="shared" si="7"/>
        <v/>
      </c>
      <c r="M1206" s="61" t="str">
        <f>IFERROR(__xludf.DUMMYFUNCTION("IFS(AND(COUNTA(C1206:C1673)=0,COUNTA(Q1206:Q1673)=0),"""",OR(AND(K1206&gt;=1000000000,OR(Y1206&gt;=1000000000,COUNTA(Q1206:Q1673)=0)),OR(Y1206&gt;=1000000000,AND(COUNTA(C1206:C1673)=0,P$3=TRUE))),
ROUNDDOWN((AB$1-AC$1)*MAX(INDEX(T$4:T1673,MATCH(LARGE(FILTER(Y$4:Y1"&amp;"673,Y$4:Y1673&lt;1000000000),1),Y$4:Y1673)),INDEX(F$4:F1673,MATCH(LARGE(FILTER(K$4:K1673,K$4:K1673&lt;1000000000),1),K$4:K1673)))),AND(K1206&lt;1000000000,COUNTA(C1206:C1673)&gt;0,P$3=FALSE),
ROUNDDOWN(INDEX(Y$4:Y1673,MATCH(LARGE(FILTER(W$4:W1673,W$4:W1673&lt;=I1206),1)"&amp;",W$4:W1673))+(I1206-LARGE(FILTER(W$4:W1673,W$4:W1673&lt;=I1206),1))*INDEX(T$4:T1673,MATCH(LARGE(FILTER(W$4:W1673,W$4:W1673&lt;=I1206),1),W$4:W1673))-K1206),1,
ROUNDDOWN(Y1206-INDEX(K$4:K1673,MATCH(LARGE(FILTER(I$4:I1673,I$4:I1673&lt;=W1206),1),I$4:I1673))-(W1206-L"&amp;"ARGE(FILTER(I$4:I1673,I$4:I1673&lt;=W1206),1))*INDEX(F$4:F1673,MATCH(LARGE(FILTER(I$4:I1673,I$4:I1673&lt;=W1206),1),I$4:I1673))))"),"")</f>
        <v/>
      </c>
      <c r="N1206" s="60" t="str">
        <f t="shared" si="8"/>
        <v/>
      </c>
      <c r="O1206" s="61" t="str">
        <f t="shared" si="9"/>
        <v/>
      </c>
      <c r="P1206" s="56" t="str">
        <f t="shared" si="10"/>
        <v/>
      </c>
      <c r="Q1206" s="67"/>
      <c r="R1206" s="10"/>
      <c r="S1206" s="59" t="str">
        <f t="array" ref="S1206">IF(COUNTA(Q1206:Q1673)=0,"",SUM((COUNTIF(Q$4:Q1206,Upgrades!$B$3:$B$13)-COUNTIF(Q$4:Q1206,"Sell_"&amp;Upgrades!$B$3:$B$13))*Upgrades!$D$3:$D$13))</f>
        <v/>
      </c>
      <c r="T1206" s="66" t="str">
        <f>IFERROR(__xludf.DUMMYFUNCTION("IF(COUNTA(Q1206:Q1673)=0,"""",IF(REGEXMATCH(INDEX(FILTER(Q$4:Q1206,Q$4:Q1206&lt;&gt;""""),ROWS(FILTER(Q$4:Q1206,Q$4:Q1206&lt;&gt;""""))),""^Sell_""),INDEX(FILTER(T$4:T1205,Q$4:Q1205&lt;&gt;""""),ROWS(FILTER(Q$4:Q1205,Q$4:Q1205&lt;&gt;""""))),$AD$5+S1206))"),"")</f>
        <v/>
      </c>
      <c r="U1206" s="10" t="str">
        <f>IFERROR(__xludf.DUMMYFUNCTION("IF(COUNTA(Q1206:Q1673)=0,"""",IF(Q1206="""",0,IF(REGEXMATCH(Q1206,""^Sell_""),-ROUNDDOWN(ROUNDUP(INDEX(Upgrades!$C$3:$C$13,MATCH(SUBSTITUTE(Q1206,""Sell_"",""""),Upgrades!$B$3:$B$13,0))*1.15^(COUNTIF(Q$4:Q1205,SUBSTITUTE(Q1206,""Sell_"",""""))-COUNTIF(Q$4"&amp;":Q1205,""Sell_""&amp;SUBSTITUTE(Q1206,""Sell_"",""""))))/2),ROUNDUP(INDEX(Upgrades!$C$3:$C$13,MATCH(Q1206,Upgrades!$B$3:$B$13,0))*1.15^(COUNTIF(Q$4:Q1205,Q1206)-COUNTIF(Q$4:Q1205,""Sell_""&amp;Q1206))))))"),"")</f>
        <v/>
      </c>
      <c r="V1206" s="10" t="str">
        <f t="shared" si="11"/>
        <v/>
      </c>
      <c r="W1206" s="68" t="str">
        <f t="shared" si="12"/>
        <v/>
      </c>
      <c r="X1206" s="59" t="str">
        <f t="shared" si="13"/>
        <v/>
      </c>
      <c r="Y1206" s="69" t="str">
        <f t="shared" si="14"/>
        <v/>
      </c>
      <c r="Z1206" s="11"/>
    </row>
    <row r="1207">
      <c r="A1207" s="8"/>
      <c r="B1207" s="56" t="str">
        <f t="shared" si="2"/>
        <v/>
      </c>
      <c r="C1207" s="105"/>
      <c r="D1207" s="10"/>
      <c r="E1207" s="59" t="str">
        <f t="array" ref="E1207">IF(COUNTA(C1207:C1673)=0,"",SUM((COUNTIF(C$4:C1207,Upgrades!$B$3:$B$13)-COUNTIF(C$4:C1207,"Sell_"&amp;Upgrades!$B$3:$B$13))*Upgrades!$D$3:$D$13))</f>
        <v/>
      </c>
      <c r="F1207" s="66" t="str">
        <f>IFERROR(__xludf.DUMMYFUNCTION("IF(COUNTA(C1207:C1673)=0,"""",IF(REGEXMATCH(INDEX(FILTER(C$4:C1207,C$4:C1207&lt;&gt;""""),ROWS(FILTER(C$4:C1207,C$4:C1207&lt;&gt;""""))),""^Sell_""),INDEX(FILTER(F$4:F1206,C$4:C1206&lt;&gt;""""),ROWS(FILTER(C$4:C1206,C$4:C1206&lt;&gt;""""))),$AC$5+E1207))"),"")</f>
        <v/>
      </c>
      <c r="G1207" s="10" t="str">
        <f>IFERROR(__xludf.DUMMYFUNCTION("IF(COUNTA(C1207:C1673)=0,"""",IF(C1207="""",0,IF(REGEXMATCH(C1207,""^Sell_""),-ROUNDDOWN(ROUNDUP(INDEX(Upgrades!$C$3:$C$13,MATCH(SUBSTITUTE(C1207,""Sell_"",""""),Upgrades!$B$3:$B$13,0))*1.15^(COUNTIF(C$4:C1206,SUBSTITUTE(C1207,""Sell_"",""""))-COUNTIF(C$4"&amp;":C1206,""Sell_""&amp;SUBSTITUTE(C1207,""Sell_"",""""))))/2),ROUNDUP(INDEX(Upgrades!$C$3:$C$13,MATCH(C1207,Upgrades!$B$3:$B$13,0))*1.15^(COUNTIF(C$4:C1206,C1207)-COUNTIF(C$4:C1206,""Sell_""&amp;C1207))))))"),"")</f>
        <v/>
      </c>
      <c r="H1207" s="10" t="str">
        <f t="shared" si="3"/>
        <v/>
      </c>
      <c r="I1207" s="68" t="str">
        <f t="shared" si="4"/>
        <v/>
      </c>
      <c r="J1207" s="59" t="str">
        <f t="shared" si="5"/>
        <v/>
      </c>
      <c r="K1207" s="69" t="str">
        <f t="shared" si="6"/>
        <v/>
      </c>
      <c r="L1207" s="60" t="str">
        <f t="shared" si="7"/>
        <v/>
      </c>
      <c r="M1207" s="61" t="str">
        <f>IFERROR(__xludf.DUMMYFUNCTION("IFS(AND(COUNTA(C1207:C1673)=0,COUNTA(Q1207:Q1673)=0),"""",OR(AND(K1207&gt;=1000000000,OR(Y1207&gt;=1000000000,COUNTA(Q1207:Q1673)=0)),OR(Y1207&gt;=1000000000,AND(COUNTA(C1207:C1673)=0,P$3=TRUE))),
ROUNDDOWN((AB$1-AC$1)*MAX(INDEX(T$4:T1673,MATCH(LARGE(FILTER(Y$4:Y1"&amp;"673,Y$4:Y1673&lt;1000000000),1),Y$4:Y1673)),INDEX(F$4:F1673,MATCH(LARGE(FILTER(K$4:K1673,K$4:K1673&lt;1000000000),1),K$4:K1673)))),AND(K1207&lt;1000000000,COUNTA(C1207:C1673)&gt;0,P$3=FALSE),
ROUNDDOWN(INDEX(Y$4:Y1673,MATCH(LARGE(FILTER(W$4:W1673,W$4:W1673&lt;=I1207),1)"&amp;",W$4:W1673))+(I1207-LARGE(FILTER(W$4:W1673,W$4:W1673&lt;=I1207),1))*INDEX(T$4:T1673,MATCH(LARGE(FILTER(W$4:W1673,W$4:W1673&lt;=I1207),1),W$4:W1673))-K1207),1,
ROUNDDOWN(Y1207-INDEX(K$4:K1673,MATCH(LARGE(FILTER(I$4:I1673,I$4:I1673&lt;=W1207),1),I$4:I1673))-(W1207-L"&amp;"ARGE(FILTER(I$4:I1673,I$4:I1673&lt;=W1207),1))*INDEX(F$4:F1673,MATCH(LARGE(FILTER(I$4:I1673,I$4:I1673&lt;=W1207),1),I$4:I1673))))"),"")</f>
        <v/>
      </c>
      <c r="N1207" s="60" t="str">
        <f t="shared" si="8"/>
        <v/>
      </c>
      <c r="O1207" s="61" t="str">
        <f t="shared" si="9"/>
        <v/>
      </c>
      <c r="P1207" s="56" t="str">
        <f t="shared" si="10"/>
        <v/>
      </c>
      <c r="Q1207" s="67"/>
      <c r="R1207" s="10"/>
      <c r="S1207" s="59" t="str">
        <f t="array" ref="S1207">IF(COUNTA(Q1207:Q1673)=0,"",SUM((COUNTIF(Q$4:Q1207,Upgrades!$B$3:$B$13)-COUNTIF(Q$4:Q1207,"Sell_"&amp;Upgrades!$B$3:$B$13))*Upgrades!$D$3:$D$13))</f>
        <v/>
      </c>
      <c r="T1207" s="66" t="str">
        <f>IFERROR(__xludf.DUMMYFUNCTION("IF(COUNTA(Q1207:Q1673)=0,"""",IF(REGEXMATCH(INDEX(FILTER(Q$4:Q1207,Q$4:Q1207&lt;&gt;""""),ROWS(FILTER(Q$4:Q1207,Q$4:Q1207&lt;&gt;""""))),""^Sell_""),INDEX(FILTER(T$4:T1206,Q$4:Q1206&lt;&gt;""""),ROWS(FILTER(Q$4:Q1206,Q$4:Q1206&lt;&gt;""""))),$AD$5+S1207))"),"")</f>
        <v/>
      </c>
      <c r="U1207" s="10" t="str">
        <f>IFERROR(__xludf.DUMMYFUNCTION("IF(COUNTA(Q1207:Q1673)=0,"""",IF(Q1207="""",0,IF(REGEXMATCH(Q1207,""^Sell_""),-ROUNDDOWN(ROUNDUP(INDEX(Upgrades!$C$3:$C$13,MATCH(SUBSTITUTE(Q1207,""Sell_"",""""),Upgrades!$B$3:$B$13,0))*1.15^(COUNTIF(Q$4:Q1206,SUBSTITUTE(Q1207,""Sell_"",""""))-COUNTIF(Q$4"&amp;":Q1206,""Sell_""&amp;SUBSTITUTE(Q1207,""Sell_"",""""))))/2),ROUNDUP(INDEX(Upgrades!$C$3:$C$13,MATCH(Q1207,Upgrades!$B$3:$B$13,0))*1.15^(COUNTIF(Q$4:Q1206,Q1207)-COUNTIF(Q$4:Q1206,""Sell_""&amp;Q1207))))))"),"")</f>
        <v/>
      </c>
      <c r="V1207" s="10" t="str">
        <f t="shared" si="11"/>
        <v/>
      </c>
      <c r="W1207" s="68" t="str">
        <f t="shared" si="12"/>
        <v/>
      </c>
      <c r="X1207" s="59" t="str">
        <f t="shared" si="13"/>
        <v/>
      </c>
      <c r="Y1207" s="69" t="str">
        <f t="shared" si="14"/>
        <v/>
      </c>
      <c r="Z1207" s="11"/>
    </row>
    <row r="1208">
      <c r="A1208" s="8"/>
      <c r="B1208" s="56" t="str">
        <f t="shared" si="2"/>
        <v/>
      </c>
      <c r="C1208" s="105"/>
      <c r="D1208" s="10"/>
      <c r="E1208" s="59" t="str">
        <f t="array" ref="E1208">IF(COUNTA(C1208:C1673)=0,"",SUM((COUNTIF(C$4:C1208,Upgrades!$B$3:$B$13)-COUNTIF(C$4:C1208,"Sell_"&amp;Upgrades!$B$3:$B$13))*Upgrades!$D$3:$D$13))</f>
        <v/>
      </c>
      <c r="F1208" s="66" t="str">
        <f>IFERROR(__xludf.DUMMYFUNCTION("IF(COUNTA(C1208:C1673)=0,"""",IF(REGEXMATCH(INDEX(FILTER(C$4:C1208,C$4:C1208&lt;&gt;""""),ROWS(FILTER(C$4:C1208,C$4:C1208&lt;&gt;""""))),""^Sell_""),INDEX(FILTER(F$4:F1207,C$4:C1207&lt;&gt;""""),ROWS(FILTER(C$4:C1207,C$4:C1207&lt;&gt;""""))),$AC$5+E1208))"),"")</f>
        <v/>
      </c>
      <c r="G1208" s="10" t="str">
        <f>IFERROR(__xludf.DUMMYFUNCTION("IF(COUNTA(C1208:C1673)=0,"""",IF(C1208="""",0,IF(REGEXMATCH(C1208,""^Sell_""),-ROUNDDOWN(ROUNDUP(INDEX(Upgrades!$C$3:$C$13,MATCH(SUBSTITUTE(C1208,""Sell_"",""""),Upgrades!$B$3:$B$13,0))*1.15^(COUNTIF(C$4:C1207,SUBSTITUTE(C1208,""Sell_"",""""))-COUNTIF(C$4"&amp;":C1207,""Sell_""&amp;SUBSTITUTE(C1208,""Sell_"",""""))))/2),ROUNDUP(INDEX(Upgrades!$C$3:$C$13,MATCH(C1208,Upgrades!$B$3:$B$13,0))*1.15^(COUNTIF(C$4:C1207,C1208)-COUNTIF(C$4:C1207,""Sell_""&amp;C1208))))))"),"")</f>
        <v/>
      </c>
      <c r="H1208" s="10" t="str">
        <f t="shared" si="3"/>
        <v/>
      </c>
      <c r="I1208" s="68" t="str">
        <f t="shared" si="4"/>
        <v/>
      </c>
      <c r="J1208" s="59" t="str">
        <f t="shared" si="5"/>
        <v/>
      </c>
      <c r="K1208" s="69" t="str">
        <f t="shared" si="6"/>
        <v/>
      </c>
      <c r="L1208" s="60" t="str">
        <f t="shared" si="7"/>
        <v/>
      </c>
      <c r="M1208" s="61" t="str">
        <f>IFERROR(__xludf.DUMMYFUNCTION("IFS(AND(COUNTA(C1208:C1673)=0,COUNTA(Q1208:Q1673)=0),"""",OR(AND(K1208&gt;=1000000000,OR(Y1208&gt;=1000000000,COUNTA(Q1208:Q1673)=0)),OR(Y1208&gt;=1000000000,AND(COUNTA(C1208:C1673)=0,P$3=TRUE))),
ROUNDDOWN((AB$1-AC$1)*MAX(INDEX(T$4:T1673,MATCH(LARGE(FILTER(Y$4:Y1"&amp;"673,Y$4:Y1673&lt;1000000000),1),Y$4:Y1673)),INDEX(F$4:F1673,MATCH(LARGE(FILTER(K$4:K1673,K$4:K1673&lt;1000000000),1),K$4:K1673)))),AND(K1208&lt;1000000000,COUNTA(C1208:C1673)&gt;0,P$3=FALSE),
ROUNDDOWN(INDEX(Y$4:Y1673,MATCH(LARGE(FILTER(W$4:W1673,W$4:W1673&lt;=I1208),1)"&amp;",W$4:W1673))+(I1208-LARGE(FILTER(W$4:W1673,W$4:W1673&lt;=I1208),1))*INDEX(T$4:T1673,MATCH(LARGE(FILTER(W$4:W1673,W$4:W1673&lt;=I1208),1),W$4:W1673))-K1208),1,
ROUNDDOWN(Y1208-INDEX(K$4:K1673,MATCH(LARGE(FILTER(I$4:I1673,I$4:I1673&lt;=W1208),1),I$4:I1673))-(W1208-L"&amp;"ARGE(FILTER(I$4:I1673,I$4:I1673&lt;=W1208),1))*INDEX(F$4:F1673,MATCH(LARGE(FILTER(I$4:I1673,I$4:I1673&lt;=W1208),1),I$4:I1673))))"),"")</f>
        <v/>
      </c>
      <c r="N1208" s="60" t="str">
        <f t="shared" si="8"/>
        <v/>
      </c>
      <c r="O1208" s="61" t="str">
        <f t="shared" si="9"/>
        <v/>
      </c>
      <c r="P1208" s="56" t="str">
        <f t="shared" si="10"/>
        <v/>
      </c>
      <c r="Q1208" s="67"/>
      <c r="R1208" s="10"/>
      <c r="S1208" s="59" t="str">
        <f t="array" ref="S1208">IF(COUNTA(Q1208:Q1673)=0,"",SUM((COUNTIF(Q$4:Q1208,Upgrades!$B$3:$B$13)-COUNTIF(Q$4:Q1208,"Sell_"&amp;Upgrades!$B$3:$B$13))*Upgrades!$D$3:$D$13))</f>
        <v/>
      </c>
      <c r="T1208" s="66" t="str">
        <f>IFERROR(__xludf.DUMMYFUNCTION("IF(COUNTA(Q1208:Q1673)=0,"""",IF(REGEXMATCH(INDEX(FILTER(Q$4:Q1208,Q$4:Q1208&lt;&gt;""""),ROWS(FILTER(Q$4:Q1208,Q$4:Q1208&lt;&gt;""""))),""^Sell_""),INDEX(FILTER(T$4:T1207,Q$4:Q1207&lt;&gt;""""),ROWS(FILTER(Q$4:Q1207,Q$4:Q1207&lt;&gt;""""))),$AD$5+S1208))"),"")</f>
        <v/>
      </c>
      <c r="U1208" s="10" t="str">
        <f>IFERROR(__xludf.DUMMYFUNCTION("IF(COUNTA(Q1208:Q1673)=0,"""",IF(Q1208="""",0,IF(REGEXMATCH(Q1208,""^Sell_""),-ROUNDDOWN(ROUNDUP(INDEX(Upgrades!$C$3:$C$13,MATCH(SUBSTITUTE(Q1208,""Sell_"",""""),Upgrades!$B$3:$B$13,0))*1.15^(COUNTIF(Q$4:Q1207,SUBSTITUTE(Q1208,""Sell_"",""""))-COUNTIF(Q$4"&amp;":Q1207,""Sell_""&amp;SUBSTITUTE(Q1208,""Sell_"",""""))))/2),ROUNDUP(INDEX(Upgrades!$C$3:$C$13,MATCH(Q1208,Upgrades!$B$3:$B$13,0))*1.15^(COUNTIF(Q$4:Q1207,Q1208)-COUNTIF(Q$4:Q1207,""Sell_""&amp;Q1208))))))"),"")</f>
        <v/>
      </c>
      <c r="V1208" s="10" t="str">
        <f t="shared" si="11"/>
        <v/>
      </c>
      <c r="W1208" s="68" t="str">
        <f t="shared" si="12"/>
        <v/>
      </c>
      <c r="X1208" s="59" t="str">
        <f t="shared" si="13"/>
        <v/>
      </c>
      <c r="Y1208" s="69" t="str">
        <f t="shared" si="14"/>
        <v/>
      </c>
      <c r="Z1208" s="11"/>
    </row>
    <row r="1209">
      <c r="A1209" s="8"/>
      <c r="B1209" s="56" t="str">
        <f t="shared" si="2"/>
        <v/>
      </c>
      <c r="C1209" s="105"/>
      <c r="D1209" s="10"/>
      <c r="E1209" s="59" t="str">
        <f t="array" ref="E1209">IF(COUNTA(C1209:C1673)=0,"",SUM((COUNTIF(C$4:C1209,Upgrades!$B$3:$B$13)-COUNTIF(C$4:C1209,"Sell_"&amp;Upgrades!$B$3:$B$13))*Upgrades!$D$3:$D$13))</f>
        <v/>
      </c>
      <c r="F1209" s="66" t="str">
        <f>IFERROR(__xludf.DUMMYFUNCTION("IF(COUNTA(C1209:C1673)=0,"""",IF(REGEXMATCH(INDEX(FILTER(C$4:C1209,C$4:C1209&lt;&gt;""""),ROWS(FILTER(C$4:C1209,C$4:C1209&lt;&gt;""""))),""^Sell_""),INDEX(FILTER(F$4:F1208,C$4:C1208&lt;&gt;""""),ROWS(FILTER(C$4:C1208,C$4:C1208&lt;&gt;""""))),$AC$5+E1209))"),"")</f>
        <v/>
      </c>
      <c r="G1209" s="10" t="str">
        <f>IFERROR(__xludf.DUMMYFUNCTION("IF(COUNTA(C1209:C1673)=0,"""",IF(C1209="""",0,IF(REGEXMATCH(C1209,""^Sell_""),-ROUNDDOWN(ROUNDUP(INDEX(Upgrades!$C$3:$C$13,MATCH(SUBSTITUTE(C1209,""Sell_"",""""),Upgrades!$B$3:$B$13,0))*1.15^(COUNTIF(C$4:C1208,SUBSTITUTE(C1209,""Sell_"",""""))-COUNTIF(C$4"&amp;":C1208,""Sell_""&amp;SUBSTITUTE(C1209,""Sell_"",""""))))/2),ROUNDUP(INDEX(Upgrades!$C$3:$C$13,MATCH(C1209,Upgrades!$B$3:$B$13,0))*1.15^(COUNTIF(C$4:C1208,C1209)-COUNTIF(C$4:C1208,""Sell_""&amp;C1209))))))"),"")</f>
        <v/>
      </c>
      <c r="H1209" s="10" t="str">
        <f t="shared" si="3"/>
        <v/>
      </c>
      <c r="I1209" s="68" t="str">
        <f t="shared" si="4"/>
        <v/>
      </c>
      <c r="J1209" s="59" t="str">
        <f t="shared" si="5"/>
        <v/>
      </c>
      <c r="K1209" s="69" t="str">
        <f t="shared" si="6"/>
        <v/>
      </c>
      <c r="L1209" s="60" t="str">
        <f t="shared" si="7"/>
        <v/>
      </c>
      <c r="M1209" s="61" t="str">
        <f>IFERROR(__xludf.DUMMYFUNCTION("IFS(AND(COUNTA(C1209:C1673)=0,COUNTA(Q1209:Q1673)=0),"""",OR(AND(K1209&gt;=1000000000,OR(Y1209&gt;=1000000000,COUNTA(Q1209:Q1673)=0)),OR(Y1209&gt;=1000000000,AND(COUNTA(C1209:C1673)=0,P$3=TRUE))),
ROUNDDOWN((AB$1-AC$1)*MAX(INDEX(T$4:T1673,MATCH(LARGE(FILTER(Y$4:Y1"&amp;"673,Y$4:Y1673&lt;1000000000),1),Y$4:Y1673)),INDEX(F$4:F1673,MATCH(LARGE(FILTER(K$4:K1673,K$4:K1673&lt;1000000000),1),K$4:K1673)))),AND(K1209&lt;1000000000,COUNTA(C1209:C1673)&gt;0,P$3=FALSE),
ROUNDDOWN(INDEX(Y$4:Y1673,MATCH(LARGE(FILTER(W$4:W1673,W$4:W1673&lt;=I1209),1)"&amp;",W$4:W1673))+(I1209-LARGE(FILTER(W$4:W1673,W$4:W1673&lt;=I1209),1))*INDEX(T$4:T1673,MATCH(LARGE(FILTER(W$4:W1673,W$4:W1673&lt;=I1209),1),W$4:W1673))-K1209),1,
ROUNDDOWN(Y1209-INDEX(K$4:K1673,MATCH(LARGE(FILTER(I$4:I1673,I$4:I1673&lt;=W1209),1),I$4:I1673))-(W1209-L"&amp;"ARGE(FILTER(I$4:I1673,I$4:I1673&lt;=W1209),1))*INDEX(F$4:F1673,MATCH(LARGE(FILTER(I$4:I1673,I$4:I1673&lt;=W1209),1),I$4:I1673))))"),"")</f>
        <v/>
      </c>
      <c r="N1209" s="60" t="str">
        <f t="shared" si="8"/>
        <v/>
      </c>
      <c r="O1209" s="61" t="str">
        <f t="shared" si="9"/>
        <v/>
      </c>
      <c r="P1209" s="56" t="str">
        <f t="shared" si="10"/>
        <v/>
      </c>
      <c r="Q1209" s="67"/>
      <c r="R1209" s="10"/>
      <c r="S1209" s="59" t="str">
        <f t="array" ref="S1209">IF(COUNTA(Q1209:Q1673)=0,"",SUM((COUNTIF(Q$4:Q1209,Upgrades!$B$3:$B$13)-COUNTIF(Q$4:Q1209,"Sell_"&amp;Upgrades!$B$3:$B$13))*Upgrades!$D$3:$D$13))</f>
        <v/>
      </c>
      <c r="T1209" s="66" t="str">
        <f>IFERROR(__xludf.DUMMYFUNCTION("IF(COUNTA(Q1209:Q1673)=0,"""",IF(REGEXMATCH(INDEX(FILTER(Q$4:Q1209,Q$4:Q1209&lt;&gt;""""),ROWS(FILTER(Q$4:Q1209,Q$4:Q1209&lt;&gt;""""))),""^Sell_""),INDEX(FILTER(T$4:T1208,Q$4:Q1208&lt;&gt;""""),ROWS(FILTER(Q$4:Q1208,Q$4:Q1208&lt;&gt;""""))),$AD$5+S1209))"),"")</f>
        <v/>
      </c>
      <c r="U1209" s="10" t="str">
        <f>IFERROR(__xludf.DUMMYFUNCTION("IF(COUNTA(Q1209:Q1673)=0,"""",IF(Q1209="""",0,IF(REGEXMATCH(Q1209,""^Sell_""),-ROUNDDOWN(ROUNDUP(INDEX(Upgrades!$C$3:$C$13,MATCH(SUBSTITUTE(Q1209,""Sell_"",""""),Upgrades!$B$3:$B$13,0))*1.15^(COUNTIF(Q$4:Q1208,SUBSTITUTE(Q1209,""Sell_"",""""))-COUNTIF(Q$4"&amp;":Q1208,""Sell_""&amp;SUBSTITUTE(Q1209,""Sell_"",""""))))/2),ROUNDUP(INDEX(Upgrades!$C$3:$C$13,MATCH(Q1209,Upgrades!$B$3:$B$13,0))*1.15^(COUNTIF(Q$4:Q1208,Q1209)-COUNTIF(Q$4:Q1208,""Sell_""&amp;Q1209))))))"),"")</f>
        <v/>
      </c>
      <c r="V1209" s="10" t="str">
        <f t="shared" si="11"/>
        <v/>
      </c>
      <c r="W1209" s="68" t="str">
        <f t="shared" si="12"/>
        <v/>
      </c>
      <c r="X1209" s="59" t="str">
        <f t="shared" si="13"/>
        <v/>
      </c>
      <c r="Y1209" s="69" t="str">
        <f t="shared" si="14"/>
        <v/>
      </c>
      <c r="Z1209" s="11"/>
    </row>
    <row r="1210">
      <c r="A1210" s="8"/>
      <c r="B1210" s="56" t="str">
        <f t="shared" si="2"/>
        <v/>
      </c>
      <c r="C1210" s="105"/>
      <c r="D1210" s="10"/>
      <c r="E1210" s="59" t="str">
        <f t="array" ref="E1210">IF(COUNTA(C1210:C1673)=0,"",SUM((COUNTIF(C$4:C1210,Upgrades!$B$3:$B$13)-COUNTIF(C$4:C1210,"Sell_"&amp;Upgrades!$B$3:$B$13))*Upgrades!$D$3:$D$13))</f>
        <v/>
      </c>
      <c r="F1210" s="66" t="str">
        <f>IFERROR(__xludf.DUMMYFUNCTION("IF(COUNTA(C1210:C1673)=0,"""",IF(REGEXMATCH(INDEX(FILTER(C$4:C1210,C$4:C1210&lt;&gt;""""),ROWS(FILTER(C$4:C1210,C$4:C1210&lt;&gt;""""))),""^Sell_""),INDEX(FILTER(F$4:F1209,C$4:C1209&lt;&gt;""""),ROWS(FILTER(C$4:C1209,C$4:C1209&lt;&gt;""""))),$AC$5+E1210))"),"")</f>
        <v/>
      </c>
      <c r="G1210" s="10" t="str">
        <f>IFERROR(__xludf.DUMMYFUNCTION("IF(COUNTA(C1210:C1673)=0,"""",IF(C1210="""",0,IF(REGEXMATCH(C1210,""^Sell_""),-ROUNDDOWN(ROUNDUP(INDEX(Upgrades!$C$3:$C$13,MATCH(SUBSTITUTE(C1210,""Sell_"",""""),Upgrades!$B$3:$B$13,0))*1.15^(COUNTIF(C$4:C1209,SUBSTITUTE(C1210,""Sell_"",""""))-COUNTIF(C$4"&amp;":C1209,""Sell_""&amp;SUBSTITUTE(C1210,""Sell_"",""""))))/2),ROUNDUP(INDEX(Upgrades!$C$3:$C$13,MATCH(C1210,Upgrades!$B$3:$B$13,0))*1.15^(COUNTIF(C$4:C1209,C1210)-COUNTIF(C$4:C1209,""Sell_""&amp;C1210))))))"),"")</f>
        <v/>
      </c>
      <c r="H1210" s="10" t="str">
        <f t="shared" si="3"/>
        <v/>
      </c>
      <c r="I1210" s="68" t="str">
        <f t="shared" si="4"/>
        <v/>
      </c>
      <c r="J1210" s="59" t="str">
        <f t="shared" si="5"/>
        <v/>
      </c>
      <c r="K1210" s="69" t="str">
        <f t="shared" si="6"/>
        <v/>
      </c>
      <c r="L1210" s="60" t="str">
        <f t="shared" si="7"/>
        <v/>
      </c>
      <c r="M1210" s="61" t="str">
        <f>IFERROR(__xludf.DUMMYFUNCTION("IFS(AND(COUNTA(C1210:C1673)=0,COUNTA(Q1210:Q1673)=0),"""",OR(AND(K1210&gt;=1000000000,OR(Y1210&gt;=1000000000,COUNTA(Q1210:Q1673)=0)),OR(Y1210&gt;=1000000000,AND(COUNTA(C1210:C1673)=0,P$3=TRUE))),
ROUNDDOWN((AB$1-AC$1)*MAX(INDEX(T$4:T1673,MATCH(LARGE(FILTER(Y$4:Y1"&amp;"673,Y$4:Y1673&lt;1000000000),1),Y$4:Y1673)),INDEX(F$4:F1673,MATCH(LARGE(FILTER(K$4:K1673,K$4:K1673&lt;1000000000),1),K$4:K1673)))),AND(K1210&lt;1000000000,COUNTA(C1210:C1673)&gt;0,P$3=FALSE),
ROUNDDOWN(INDEX(Y$4:Y1673,MATCH(LARGE(FILTER(W$4:W1673,W$4:W1673&lt;=I1210),1)"&amp;",W$4:W1673))+(I1210-LARGE(FILTER(W$4:W1673,W$4:W1673&lt;=I1210),1))*INDEX(T$4:T1673,MATCH(LARGE(FILTER(W$4:W1673,W$4:W1673&lt;=I1210),1),W$4:W1673))-K1210),1,
ROUNDDOWN(Y1210-INDEX(K$4:K1673,MATCH(LARGE(FILTER(I$4:I1673,I$4:I1673&lt;=W1210),1),I$4:I1673))-(W1210-L"&amp;"ARGE(FILTER(I$4:I1673,I$4:I1673&lt;=W1210),1))*INDEX(F$4:F1673,MATCH(LARGE(FILTER(I$4:I1673,I$4:I1673&lt;=W1210),1),I$4:I1673))))"),"")</f>
        <v/>
      </c>
      <c r="N1210" s="60" t="str">
        <f t="shared" si="8"/>
        <v/>
      </c>
      <c r="O1210" s="61" t="str">
        <f t="shared" si="9"/>
        <v/>
      </c>
      <c r="P1210" s="56" t="str">
        <f t="shared" si="10"/>
        <v/>
      </c>
      <c r="Q1210" s="67"/>
      <c r="R1210" s="10"/>
      <c r="S1210" s="59" t="str">
        <f t="array" ref="S1210">IF(COUNTA(Q1210:Q1673)=0,"",SUM((COUNTIF(Q$4:Q1210,Upgrades!$B$3:$B$13)-COUNTIF(Q$4:Q1210,"Sell_"&amp;Upgrades!$B$3:$B$13))*Upgrades!$D$3:$D$13))</f>
        <v/>
      </c>
      <c r="T1210" s="66" t="str">
        <f>IFERROR(__xludf.DUMMYFUNCTION("IF(COUNTA(Q1210:Q1673)=0,"""",IF(REGEXMATCH(INDEX(FILTER(Q$4:Q1210,Q$4:Q1210&lt;&gt;""""),ROWS(FILTER(Q$4:Q1210,Q$4:Q1210&lt;&gt;""""))),""^Sell_""),INDEX(FILTER(T$4:T1209,Q$4:Q1209&lt;&gt;""""),ROWS(FILTER(Q$4:Q1209,Q$4:Q1209&lt;&gt;""""))),$AD$5+S1210))"),"")</f>
        <v/>
      </c>
      <c r="U1210" s="10" t="str">
        <f>IFERROR(__xludf.DUMMYFUNCTION("IF(COUNTA(Q1210:Q1673)=0,"""",IF(Q1210="""",0,IF(REGEXMATCH(Q1210,""^Sell_""),-ROUNDDOWN(ROUNDUP(INDEX(Upgrades!$C$3:$C$13,MATCH(SUBSTITUTE(Q1210,""Sell_"",""""),Upgrades!$B$3:$B$13,0))*1.15^(COUNTIF(Q$4:Q1209,SUBSTITUTE(Q1210,""Sell_"",""""))-COUNTIF(Q$4"&amp;":Q1209,""Sell_""&amp;SUBSTITUTE(Q1210,""Sell_"",""""))))/2),ROUNDUP(INDEX(Upgrades!$C$3:$C$13,MATCH(Q1210,Upgrades!$B$3:$B$13,0))*1.15^(COUNTIF(Q$4:Q1209,Q1210)-COUNTIF(Q$4:Q1209,""Sell_""&amp;Q1210))))))"),"")</f>
        <v/>
      </c>
      <c r="V1210" s="10" t="str">
        <f t="shared" si="11"/>
        <v/>
      </c>
      <c r="W1210" s="68" t="str">
        <f t="shared" si="12"/>
        <v/>
      </c>
      <c r="X1210" s="59" t="str">
        <f t="shared" si="13"/>
        <v/>
      </c>
      <c r="Y1210" s="69" t="str">
        <f t="shared" si="14"/>
        <v/>
      </c>
      <c r="Z1210" s="11"/>
    </row>
    <row r="1211">
      <c r="A1211" s="8"/>
      <c r="B1211" s="56" t="str">
        <f t="shared" si="2"/>
        <v/>
      </c>
      <c r="C1211" s="105"/>
      <c r="D1211" s="10"/>
      <c r="E1211" s="59" t="str">
        <f t="array" ref="E1211">IF(COUNTA(C1211:C1673)=0,"",SUM((COUNTIF(C$4:C1211,Upgrades!$B$3:$B$13)-COUNTIF(C$4:C1211,"Sell_"&amp;Upgrades!$B$3:$B$13))*Upgrades!$D$3:$D$13))</f>
        <v/>
      </c>
      <c r="F1211" s="66" t="str">
        <f>IFERROR(__xludf.DUMMYFUNCTION("IF(COUNTA(C1211:C1673)=0,"""",IF(REGEXMATCH(INDEX(FILTER(C$4:C1211,C$4:C1211&lt;&gt;""""),ROWS(FILTER(C$4:C1211,C$4:C1211&lt;&gt;""""))),""^Sell_""),INDEX(FILTER(F$4:F1210,C$4:C1210&lt;&gt;""""),ROWS(FILTER(C$4:C1210,C$4:C1210&lt;&gt;""""))),$AC$5+E1211))"),"")</f>
        <v/>
      </c>
      <c r="G1211" s="10" t="str">
        <f>IFERROR(__xludf.DUMMYFUNCTION("IF(COUNTA(C1211:C1673)=0,"""",IF(C1211="""",0,IF(REGEXMATCH(C1211,""^Sell_""),-ROUNDDOWN(ROUNDUP(INDEX(Upgrades!$C$3:$C$13,MATCH(SUBSTITUTE(C1211,""Sell_"",""""),Upgrades!$B$3:$B$13,0))*1.15^(COUNTIF(C$4:C1210,SUBSTITUTE(C1211,""Sell_"",""""))-COUNTIF(C$4"&amp;":C1210,""Sell_""&amp;SUBSTITUTE(C1211,""Sell_"",""""))))/2),ROUNDUP(INDEX(Upgrades!$C$3:$C$13,MATCH(C1211,Upgrades!$B$3:$B$13,0))*1.15^(COUNTIF(C$4:C1210,C1211)-COUNTIF(C$4:C1210,""Sell_""&amp;C1211))))))"),"")</f>
        <v/>
      </c>
      <c r="H1211" s="10" t="str">
        <f t="shared" si="3"/>
        <v/>
      </c>
      <c r="I1211" s="68" t="str">
        <f t="shared" si="4"/>
        <v/>
      </c>
      <c r="J1211" s="59" t="str">
        <f t="shared" si="5"/>
        <v/>
      </c>
      <c r="K1211" s="69" t="str">
        <f t="shared" si="6"/>
        <v/>
      </c>
      <c r="L1211" s="60" t="str">
        <f t="shared" si="7"/>
        <v/>
      </c>
      <c r="M1211" s="61" t="str">
        <f>IFERROR(__xludf.DUMMYFUNCTION("IFS(AND(COUNTA(C1211:C1673)=0,COUNTA(Q1211:Q1673)=0),"""",OR(AND(K1211&gt;=1000000000,OR(Y1211&gt;=1000000000,COUNTA(Q1211:Q1673)=0)),OR(Y1211&gt;=1000000000,AND(COUNTA(C1211:C1673)=0,P$3=TRUE))),
ROUNDDOWN((AB$1-AC$1)*MAX(INDEX(T$4:T1673,MATCH(LARGE(FILTER(Y$4:Y1"&amp;"673,Y$4:Y1673&lt;1000000000),1),Y$4:Y1673)),INDEX(F$4:F1673,MATCH(LARGE(FILTER(K$4:K1673,K$4:K1673&lt;1000000000),1),K$4:K1673)))),AND(K1211&lt;1000000000,COUNTA(C1211:C1673)&gt;0,P$3=FALSE),
ROUNDDOWN(INDEX(Y$4:Y1673,MATCH(LARGE(FILTER(W$4:W1673,W$4:W1673&lt;=I1211),1)"&amp;",W$4:W1673))+(I1211-LARGE(FILTER(W$4:W1673,W$4:W1673&lt;=I1211),1))*INDEX(T$4:T1673,MATCH(LARGE(FILTER(W$4:W1673,W$4:W1673&lt;=I1211),1),W$4:W1673))-K1211),1,
ROUNDDOWN(Y1211-INDEX(K$4:K1673,MATCH(LARGE(FILTER(I$4:I1673,I$4:I1673&lt;=W1211),1),I$4:I1673))-(W1211-L"&amp;"ARGE(FILTER(I$4:I1673,I$4:I1673&lt;=W1211),1))*INDEX(F$4:F1673,MATCH(LARGE(FILTER(I$4:I1673,I$4:I1673&lt;=W1211),1),I$4:I1673))))"),"")</f>
        <v/>
      </c>
      <c r="N1211" s="60" t="str">
        <f t="shared" si="8"/>
        <v/>
      </c>
      <c r="O1211" s="61" t="str">
        <f t="shared" si="9"/>
        <v/>
      </c>
      <c r="P1211" s="56" t="str">
        <f t="shared" si="10"/>
        <v/>
      </c>
      <c r="Q1211" s="67"/>
      <c r="R1211" s="10"/>
      <c r="S1211" s="59" t="str">
        <f t="array" ref="S1211">IF(COUNTA(Q1211:Q1673)=0,"",SUM((COUNTIF(Q$4:Q1211,Upgrades!$B$3:$B$13)-COUNTIF(Q$4:Q1211,"Sell_"&amp;Upgrades!$B$3:$B$13))*Upgrades!$D$3:$D$13))</f>
        <v/>
      </c>
      <c r="T1211" s="66" t="str">
        <f>IFERROR(__xludf.DUMMYFUNCTION("IF(COUNTA(Q1211:Q1673)=0,"""",IF(REGEXMATCH(INDEX(FILTER(Q$4:Q1211,Q$4:Q1211&lt;&gt;""""),ROWS(FILTER(Q$4:Q1211,Q$4:Q1211&lt;&gt;""""))),""^Sell_""),INDEX(FILTER(T$4:T1210,Q$4:Q1210&lt;&gt;""""),ROWS(FILTER(Q$4:Q1210,Q$4:Q1210&lt;&gt;""""))),$AD$5+S1211))"),"")</f>
        <v/>
      </c>
      <c r="U1211" s="10" t="str">
        <f>IFERROR(__xludf.DUMMYFUNCTION("IF(COUNTA(Q1211:Q1673)=0,"""",IF(Q1211="""",0,IF(REGEXMATCH(Q1211,""^Sell_""),-ROUNDDOWN(ROUNDUP(INDEX(Upgrades!$C$3:$C$13,MATCH(SUBSTITUTE(Q1211,""Sell_"",""""),Upgrades!$B$3:$B$13,0))*1.15^(COUNTIF(Q$4:Q1210,SUBSTITUTE(Q1211,""Sell_"",""""))-COUNTIF(Q$4"&amp;":Q1210,""Sell_""&amp;SUBSTITUTE(Q1211,""Sell_"",""""))))/2),ROUNDUP(INDEX(Upgrades!$C$3:$C$13,MATCH(Q1211,Upgrades!$B$3:$B$13,0))*1.15^(COUNTIF(Q$4:Q1210,Q1211)-COUNTIF(Q$4:Q1210,""Sell_""&amp;Q1211))))))"),"")</f>
        <v/>
      </c>
      <c r="V1211" s="10" t="str">
        <f t="shared" si="11"/>
        <v/>
      </c>
      <c r="W1211" s="68" t="str">
        <f t="shared" si="12"/>
        <v/>
      </c>
      <c r="X1211" s="59" t="str">
        <f t="shared" si="13"/>
        <v/>
      </c>
      <c r="Y1211" s="69" t="str">
        <f t="shared" si="14"/>
        <v/>
      </c>
      <c r="Z1211" s="11"/>
    </row>
    <row r="1212">
      <c r="A1212" s="8"/>
      <c r="B1212" s="56" t="str">
        <f t="shared" si="2"/>
        <v/>
      </c>
      <c r="C1212" s="105"/>
      <c r="D1212" s="10"/>
      <c r="E1212" s="59" t="str">
        <f t="array" ref="E1212">IF(COUNTA(C1212:C1673)=0,"",SUM((COUNTIF(C$4:C1212,Upgrades!$B$3:$B$13)-COUNTIF(C$4:C1212,"Sell_"&amp;Upgrades!$B$3:$B$13))*Upgrades!$D$3:$D$13))</f>
        <v/>
      </c>
      <c r="F1212" s="66" t="str">
        <f>IFERROR(__xludf.DUMMYFUNCTION("IF(COUNTA(C1212:C1673)=0,"""",IF(REGEXMATCH(INDEX(FILTER(C$4:C1212,C$4:C1212&lt;&gt;""""),ROWS(FILTER(C$4:C1212,C$4:C1212&lt;&gt;""""))),""^Sell_""),INDEX(FILTER(F$4:F1211,C$4:C1211&lt;&gt;""""),ROWS(FILTER(C$4:C1211,C$4:C1211&lt;&gt;""""))),$AC$5+E1212))"),"")</f>
        <v/>
      </c>
      <c r="G1212" s="10" t="str">
        <f>IFERROR(__xludf.DUMMYFUNCTION("IF(COUNTA(C1212:C1673)=0,"""",IF(C1212="""",0,IF(REGEXMATCH(C1212,""^Sell_""),-ROUNDDOWN(ROUNDUP(INDEX(Upgrades!$C$3:$C$13,MATCH(SUBSTITUTE(C1212,""Sell_"",""""),Upgrades!$B$3:$B$13,0))*1.15^(COUNTIF(C$4:C1211,SUBSTITUTE(C1212,""Sell_"",""""))-COUNTIF(C$4"&amp;":C1211,""Sell_""&amp;SUBSTITUTE(C1212,""Sell_"",""""))))/2),ROUNDUP(INDEX(Upgrades!$C$3:$C$13,MATCH(C1212,Upgrades!$B$3:$B$13,0))*1.15^(COUNTIF(C$4:C1211,C1212)-COUNTIF(C$4:C1211,""Sell_""&amp;C1212))))))"),"")</f>
        <v/>
      </c>
      <c r="H1212" s="10" t="str">
        <f t="shared" si="3"/>
        <v/>
      </c>
      <c r="I1212" s="68" t="str">
        <f t="shared" si="4"/>
        <v/>
      </c>
      <c r="J1212" s="59" t="str">
        <f t="shared" si="5"/>
        <v/>
      </c>
      <c r="K1212" s="69" t="str">
        <f t="shared" si="6"/>
        <v/>
      </c>
      <c r="L1212" s="60" t="str">
        <f t="shared" si="7"/>
        <v/>
      </c>
      <c r="M1212" s="61" t="str">
        <f>IFERROR(__xludf.DUMMYFUNCTION("IFS(AND(COUNTA(C1212:C1673)=0,COUNTA(Q1212:Q1673)=0),"""",OR(AND(K1212&gt;=1000000000,OR(Y1212&gt;=1000000000,COUNTA(Q1212:Q1673)=0)),OR(Y1212&gt;=1000000000,AND(COUNTA(C1212:C1673)=0,P$3=TRUE))),
ROUNDDOWN((AB$1-AC$1)*MAX(INDEX(T$4:T1673,MATCH(LARGE(FILTER(Y$4:Y1"&amp;"673,Y$4:Y1673&lt;1000000000),1),Y$4:Y1673)),INDEX(F$4:F1673,MATCH(LARGE(FILTER(K$4:K1673,K$4:K1673&lt;1000000000),1),K$4:K1673)))),AND(K1212&lt;1000000000,COUNTA(C1212:C1673)&gt;0,P$3=FALSE),
ROUNDDOWN(INDEX(Y$4:Y1673,MATCH(LARGE(FILTER(W$4:W1673,W$4:W1673&lt;=I1212),1)"&amp;",W$4:W1673))+(I1212-LARGE(FILTER(W$4:W1673,W$4:W1673&lt;=I1212),1))*INDEX(T$4:T1673,MATCH(LARGE(FILTER(W$4:W1673,W$4:W1673&lt;=I1212),1),W$4:W1673))-K1212),1,
ROUNDDOWN(Y1212-INDEX(K$4:K1673,MATCH(LARGE(FILTER(I$4:I1673,I$4:I1673&lt;=W1212),1),I$4:I1673))-(W1212-L"&amp;"ARGE(FILTER(I$4:I1673,I$4:I1673&lt;=W1212),1))*INDEX(F$4:F1673,MATCH(LARGE(FILTER(I$4:I1673,I$4:I1673&lt;=W1212),1),I$4:I1673))))"),"")</f>
        <v/>
      </c>
      <c r="N1212" s="60" t="str">
        <f t="shared" si="8"/>
        <v/>
      </c>
      <c r="O1212" s="61" t="str">
        <f t="shared" si="9"/>
        <v/>
      </c>
      <c r="P1212" s="56" t="str">
        <f t="shared" si="10"/>
        <v/>
      </c>
      <c r="Q1212" s="67"/>
      <c r="R1212" s="10"/>
      <c r="S1212" s="59" t="str">
        <f t="array" ref="S1212">IF(COUNTA(Q1212:Q1673)=0,"",SUM((COUNTIF(Q$4:Q1212,Upgrades!$B$3:$B$13)-COUNTIF(Q$4:Q1212,"Sell_"&amp;Upgrades!$B$3:$B$13))*Upgrades!$D$3:$D$13))</f>
        <v/>
      </c>
      <c r="T1212" s="66" t="str">
        <f>IFERROR(__xludf.DUMMYFUNCTION("IF(COUNTA(Q1212:Q1673)=0,"""",IF(REGEXMATCH(INDEX(FILTER(Q$4:Q1212,Q$4:Q1212&lt;&gt;""""),ROWS(FILTER(Q$4:Q1212,Q$4:Q1212&lt;&gt;""""))),""^Sell_""),INDEX(FILTER(T$4:T1211,Q$4:Q1211&lt;&gt;""""),ROWS(FILTER(Q$4:Q1211,Q$4:Q1211&lt;&gt;""""))),$AD$5+S1212))"),"")</f>
        <v/>
      </c>
      <c r="U1212" s="10" t="str">
        <f>IFERROR(__xludf.DUMMYFUNCTION("IF(COUNTA(Q1212:Q1673)=0,"""",IF(Q1212="""",0,IF(REGEXMATCH(Q1212,""^Sell_""),-ROUNDDOWN(ROUNDUP(INDEX(Upgrades!$C$3:$C$13,MATCH(SUBSTITUTE(Q1212,""Sell_"",""""),Upgrades!$B$3:$B$13,0))*1.15^(COUNTIF(Q$4:Q1211,SUBSTITUTE(Q1212,""Sell_"",""""))-COUNTIF(Q$4"&amp;":Q1211,""Sell_""&amp;SUBSTITUTE(Q1212,""Sell_"",""""))))/2),ROUNDUP(INDEX(Upgrades!$C$3:$C$13,MATCH(Q1212,Upgrades!$B$3:$B$13,0))*1.15^(COUNTIF(Q$4:Q1211,Q1212)-COUNTIF(Q$4:Q1211,""Sell_""&amp;Q1212))))))"),"")</f>
        <v/>
      </c>
      <c r="V1212" s="10" t="str">
        <f t="shared" si="11"/>
        <v/>
      </c>
      <c r="W1212" s="68" t="str">
        <f t="shared" si="12"/>
        <v/>
      </c>
      <c r="X1212" s="59" t="str">
        <f t="shared" si="13"/>
        <v/>
      </c>
      <c r="Y1212" s="69" t="str">
        <f t="shared" si="14"/>
        <v/>
      </c>
      <c r="Z1212" s="11"/>
    </row>
    <row r="1213">
      <c r="A1213" s="8"/>
      <c r="B1213" s="56" t="str">
        <f t="shared" si="2"/>
        <v/>
      </c>
      <c r="C1213" s="105"/>
      <c r="D1213" s="10"/>
      <c r="E1213" s="59" t="str">
        <f t="array" ref="E1213">IF(COUNTA(C1213:C1673)=0,"",SUM((COUNTIF(C$4:C1213,Upgrades!$B$3:$B$13)-COUNTIF(C$4:C1213,"Sell_"&amp;Upgrades!$B$3:$B$13))*Upgrades!$D$3:$D$13))</f>
        <v/>
      </c>
      <c r="F1213" s="66" t="str">
        <f>IFERROR(__xludf.DUMMYFUNCTION("IF(COUNTA(C1213:C1673)=0,"""",IF(REGEXMATCH(INDEX(FILTER(C$4:C1213,C$4:C1213&lt;&gt;""""),ROWS(FILTER(C$4:C1213,C$4:C1213&lt;&gt;""""))),""^Sell_""),INDEX(FILTER(F$4:F1212,C$4:C1212&lt;&gt;""""),ROWS(FILTER(C$4:C1212,C$4:C1212&lt;&gt;""""))),$AC$5+E1213))"),"")</f>
        <v/>
      </c>
      <c r="G1213" s="10" t="str">
        <f>IFERROR(__xludf.DUMMYFUNCTION("IF(COUNTA(C1213:C1673)=0,"""",IF(C1213="""",0,IF(REGEXMATCH(C1213,""^Sell_""),-ROUNDDOWN(ROUNDUP(INDEX(Upgrades!$C$3:$C$13,MATCH(SUBSTITUTE(C1213,""Sell_"",""""),Upgrades!$B$3:$B$13,0))*1.15^(COUNTIF(C$4:C1212,SUBSTITUTE(C1213,""Sell_"",""""))-COUNTIF(C$4"&amp;":C1212,""Sell_""&amp;SUBSTITUTE(C1213,""Sell_"",""""))))/2),ROUNDUP(INDEX(Upgrades!$C$3:$C$13,MATCH(C1213,Upgrades!$B$3:$B$13,0))*1.15^(COUNTIF(C$4:C1212,C1213)-COUNTIF(C$4:C1212,""Sell_""&amp;C1213))))))"),"")</f>
        <v/>
      </c>
      <c r="H1213" s="10" t="str">
        <f t="shared" si="3"/>
        <v/>
      </c>
      <c r="I1213" s="68" t="str">
        <f t="shared" si="4"/>
        <v/>
      </c>
      <c r="J1213" s="59" t="str">
        <f t="shared" si="5"/>
        <v/>
      </c>
      <c r="K1213" s="69" t="str">
        <f t="shared" si="6"/>
        <v/>
      </c>
      <c r="L1213" s="60" t="str">
        <f t="shared" si="7"/>
        <v/>
      </c>
      <c r="M1213" s="61" t="str">
        <f>IFERROR(__xludf.DUMMYFUNCTION("IFS(AND(COUNTA(C1213:C1673)=0,COUNTA(Q1213:Q1673)=0),"""",OR(AND(K1213&gt;=1000000000,OR(Y1213&gt;=1000000000,COUNTA(Q1213:Q1673)=0)),OR(Y1213&gt;=1000000000,AND(COUNTA(C1213:C1673)=0,P$3=TRUE))),
ROUNDDOWN((AB$1-AC$1)*MAX(INDEX(T$4:T1673,MATCH(LARGE(FILTER(Y$4:Y1"&amp;"673,Y$4:Y1673&lt;1000000000),1),Y$4:Y1673)),INDEX(F$4:F1673,MATCH(LARGE(FILTER(K$4:K1673,K$4:K1673&lt;1000000000),1),K$4:K1673)))),AND(K1213&lt;1000000000,COUNTA(C1213:C1673)&gt;0,P$3=FALSE),
ROUNDDOWN(INDEX(Y$4:Y1673,MATCH(LARGE(FILTER(W$4:W1673,W$4:W1673&lt;=I1213),1)"&amp;",W$4:W1673))+(I1213-LARGE(FILTER(W$4:W1673,W$4:W1673&lt;=I1213),1))*INDEX(T$4:T1673,MATCH(LARGE(FILTER(W$4:W1673,W$4:W1673&lt;=I1213),1),W$4:W1673))-K1213),1,
ROUNDDOWN(Y1213-INDEX(K$4:K1673,MATCH(LARGE(FILTER(I$4:I1673,I$4:I1673&lt;=W1213),1),I$4:I1673))-(W1213-L"&amp;"ARGE(FILTER(I$4:I1673,I$4:I1673&lt;=W1213),1))*INDEX(F$4:F1673,MATCH(LARGE(FILTER(I$4:I1673,I$4:I1673&lt;=W1213),1),I$4:I1673))))"),"")</f>
        <v/>
      </c>
      <c r="N1213" s="60" t="str">
        <f t="shared" si="8"/>
        <v/>
      </c>
      <c r="O1213" s="61" t="str">
        <f t="shared" si="9"/>
        <v/>
      </c>
      <c r="P1213" s="56" t="str">
        <f t="shared" si="10"/>
        <v/>
      </c>
      <c r="Q1213" s="67"/>
      <c r="R1213" s="10"/>
      <c r="S1213" s="59" t="str">
        <f t="array" ref="S1213">IF(COUNTA(Q1213:Q1673)=0,"",SUM((COUNTIF(Q$4:Q1213,Upgrades!$B$3:$B$13)-COUNTIF(Q$4:Q1213,"Sell_"&amp;Upgrades!$B$3:$B$13))*Upgrades!$D$3:$D$13))</f>
        <v/>
      </c>
      <c r="T1213" s="66" t="str">
        <f>IFERROR(__xludf.DUMMYFUNCTION("IF(COUNTA(Q1213:Q1673)=0,"""",IF(REGEXMATCH(INDEX(FILTER(Q$4:Q1213,Q$4:Q1213&lt;&gt;""""),ROWS(FILTER(Q$4:Q1213,Q$4:Q1213&lt;&gt;""""))),""^Sell_""),INDEX(FILTER(T$4:T1212,Q$4:Q1212&lt;&gt;""""),ROWS(FILTER(Q$4:Q1212,Q$4:Q1212&lt;&gt;""""))),$AD$5+S1213))"),"")</f>
        <v/>
      </c>
      <c r="U1213" s="10" t="str">
        <f>IFERROR(__xludf.DUMMYFUNCTION("IF(COUNTA(Q1213:Q1673)=0,"""",IF(Q1213="""",0,IF(REGEXMATCH(Q1213,""^Sell_""),-ROUNDDOWN(ROUNDUP(INDEX(Upgrades!$C$3:$C$13,MATCH(SUBSTITUTE(Q1213,""Sell_"",""""),Upgrades!$B$3:$B$13,0))*1.15^(COUNTIF(Q$4:Q1212,SUBSTITUTE(Q1213,""Sell_"",""""))-COUNTIF(Q$4"&amp;":Q1212,""Sell_""&amp;SUBSTITUTE(Q1213,""Sell_"",""""))))/2),ROUNDUP(INDEX(Upgrades!$C$3:$C$13,MATCH(Q1213,Upgrades!$B$3:$B$13,0))*1.15^(COUNTIF(Q$4:Q1212,Q1213)-COUNTIF(Q$4:Q1212,""Sell_""&amp;Q1213))))))"),"")</f>
        <v/>
      </c>
      <c r="V1213" s="10" t="str">
        <f t="shared" si="11"/>
        <v/>
      </c>
      <c r="W1213" s="68" t="str">
        <f t="shared" si="12"/>
        <v/>
      </c>
      <c r="X1213" s="59" t="str">
        <f t="shared" si="13"/>
        <v/>
      </c>
      <c r="Y1213" s="69" t="str">
        <f t="shared" si="14"/>
        <v/>
      </c>
      <c r="Z1213" s="11"/>
    </row>
    <row r="1214">
      <c r="A1214" s="8"/>
      <c r="B1214" s="56" t="str">
        <f t="shared" si="2"/>
        <v/>
      </c>
      <c r="C1214" s="105"/>
      <c r="D1214" s="10"/>
      <c r="E1214" s="59" t="str">
        <f t="array" ref="E1214">IF(COUNTA(C1214:C1673)=0,"",SUM((COUNTIF(C$4:C1214,Upgrades!$B$3:$B$13)-COUNTIF(C$4:C1214,"Sell_"&amp;Upgrades!$B$3:$B$13))*Upgrades!$D$3:$D$13))</f>
        <v/>
      </c>
      <c r="F1214" s="66" t="str">
        <f>IFERROR(__xludf.DUMMYFUNCTION("IF(COUNTA(C1214:C1673)=0,"""",IF(REGEXMATCH(INDEX(FILTER(C$4:C1214,C$4:C1214&lt;&gt;""""),ROWS(FILTER(C$4:C1214,C$4:C1214&lt;&gt;""""))),""^Sell_""),INDEX(FILTER(F$4:F1213,C$4:C1213&lt;&gt;""""),ROWS(FILTER(C$4:C1213,C$4:C1213&lt;&gt;""""))),$AC$5+E1214))"),"")</f>
        <v/>
      </c>
      <c r="G1214" s="10" t="str">
        <f>IFERROR(__xludf.DUMMYFUNCTION("IF(COUNTA(C1214:C1673)=0,"""",IF(C1214="""",0,IF(REGEXMATCH(C1214,""^Sell_""),-ROUNDDOWN(ROUNDUP(INDEX(Upgrades!$C$3:$C$13,MATCH(SUBSTITUTE(C1214,""Sell_"",""""),Upgrades!$B$3:$B$13,0))*1.15^(COUNTIF(C$4:C1213,SUBSTITUTE(C1214,""Sell_"",""""))-COUNTIF(C$4"&amp;":C1213,""Sell_""&amp;SUBSTITUTE(C1214,""Sell_"",""""))))/2),ROUNDUP(INDEX(Upgrades!$C$3:$C$13,MATCH(C1214,Upgrades!$B$3:$B$13,0))*1.15^(COUNTIF(C$4:C1213,C1214)-COUNTIF(C$4:C1213,""Sell_""&amp;C1214))))))"),"")</f>
        <v/>
      </c>
      <c r="H1214" s="10" t="str">
        <f t="shared" si="3"/>
        <v/>
      </c>
      <c r="I1214" s="68" t="str">
        <f t="shared" si="4"/>
        <v/>
      </c>
      <c r="J1214" s="59" t="str">
        <f t="shared" si="5"/>
        <v/>
      </c>
      <c r="K1214" s="69" t="str">
        <f t="shared" si="6"/>
        <v/>
      </c>
      <c r="L1214" s="60" t="str">
        <f t="shared" si="7"/>
        <v/>
      </c>
      <c r="M1214" s="61" t="str">
        <f>IFERROR(__xludf.DUMMYFUNCTION("IFS(AND(COUNTA(C1214:C1673)=0,COUNTA(Q1214:Q1673)=0),"""",OR(AND(K1214&gt;=1000000000,OR(Y1214&gt;=1000000000,COUNTA(Q1214:Q1673)=0)),OR(Y1214&gt;=1000000000,AND(COUNTA(C1214:C1673)=0,P$3=TRUE))),
ROUNDDOWN((AB$1-AC$1)*MAX(INDEX(T$4:T1673,MATCH(LARGE(FILTER(Y$4:Y1"&amp;"673,Y$4:Y1673&lt;1000000000),1),Y$4:Y1673)),INDEX(F$4:F1673,MATCH(LARGE(FILTER(K$4:K1673,K$4:K1673&lt;1000000000),1),K$4:K1673)))),AND(K1214&lt;1000000000,COUNTA(C1214:C1673)&gt;0,P$3=FALSE),
ROUNDDOWN(INDEX(Y$4:Y1673,MATCH(LARGE(FILTER(W$4:W1673,W$4:W1673&lt;=I1214),1)"&amp;",W$4:W1673))+(I1214-LARGE(FILTER(W$4:W1673,W$4:W1673&lt;=I1214),1))*INDEX(T$4:T1673,MATCH(LARGE(FILTER(W$4:W1673,W$4:W1673&lt;=I1214),1),W$4:W1673))-K1214),1,
ROUNDDOWN(Y1214-INDEX(K$4:K1673,MATCH(LARGE(FILTER(I$4:I1673,I$4:I1673&lt;=W1214),1),I$4:I1673))-(W1214-L"&amp;"ARGE(FILTER(I$4:I1673,I$4:I1673&lt;=W1214),1))*INDEX(F$4:F1673,MATCH(LARGE(FILTER(I$4:I1673,I$4:I1673&lt;=W1214),1),I$4:I1673))))"),"")</f>
        <v/>
      </c>
      <c r="N1214" s="60" t="str">
        <f t="shared" si="8"/>
        <v/>
      </c>
      <c r="O1214" s="61" t="str">
        <f t="shared" si="9"/>
        <v/>
      </c>
      <c r="P1214" s="56" t="str">
        <f t="shared" si="10"/>
        <v/>
      </c>
      <c r="Q1214" s="67"/>
      <c r="R1214" s="10"/>
      <c r="S1214" s="59" t="str">
        <f t="array" ref="S1214">IF(COUNTA(Q1214:Q1673)=0,"",SUM((COUNTIF(Q$4:Q1214,Upgrades!$B$3:$B$13)-COUNTIF(Q$4:Q1214,"Sell_"&amp;Upgrades!$B$3:$B$13))*Upgrades!$D$3:$D$13))</f>
        <v/>
      </c>
      <c r="T1214" s="66" t="str">
        <f>IFERROR(__xludf.DUMMYFUNCTION("IF(COUNTA(Q1214:Q1673)=0,"""",IF(REGEXMATCH(INDEX(FILTER(Q$4:Q1214,Q$4:Q1214&lt;&gt;""""),ROWS(FILTER(Q$4:Q1214,Q$4:Q1214&lt;&gt;""""))),""^Sell_""),INDEX(FILTER(T$4:T1213,Q$4:Q1213&lt;&gt;""""),ROWS(FILTER(Q$4:Q1213,Q$4:Q1213&lt;&gt;""""))),$AD$5+S1214))"),"")</f>
        <v/>
      </c>
      <c r="U1214" s="10" t="str">
        <f>IFERROR(__xludf.DUMMYFUNCTION("IF(COUNTA(Q1214:Q1673)=0,"""",IF(Q1214="""",0,IF(REGEXMATCH(Q1214,""^Sell_""),-ROUNDDOWN(ROUNDUP(INDEX(Upgrades!$C$3:$C$13,MATCH(SUBSTITUTE(Q1214,""Sell_"",""""),Upgrades!$B$3:$B$13,0))*1.15^(COUNTIF(Q$4:Q1213,SUBSTITUTE(Q1214,""Sell_"",""""))-COUNTIF(Q$4"&amp;":Q1213,""Sell_""&amp;SUBSTITUTE(Q1214,""Sell_"",""""))))/2),ROUNDUP(INDEX(Upgrades!$C$3:$C$13,MATCH(Q1214,Upgrades!$B$3:$B$13,0))*1.15^(COUNTIF(Q$4:Q1213,Q1214)-COUNTIF(Q$4:Q1213,""Sell_""&amp;Q1214))))))"),"")</f>
        <v/>
      </c>
      <c r="V1214" s="10" t="str">
        <f t="shared" si="11"/>
        <v/>
      </c>
      <c r="W1214" s="68" t="str">
        <f t="shared" si="12"/>
        <v/>
      </c>
      <c r="X1214" s="59" t="str">
        <f t="shared" si="13"/>
        <v/>
      </c>
      <c r="Y1214" s="69" t="str">
        <f t="shared" si="14"/>
        <v/>
      </c>
      <c r="Z1214" s="11"/>
    </row>
    <row r="1215">
      <c r="A1215" s="8"/>
      <c r="B1215" s="56" t="str">
        <f t="shared" si="2"/>
        <v/>
      </c>
      <c r="C1215" s="105"/>
      <c r="D1215" s="10"/>
      <c r="E1215" s="59" t="str">
        <f t="array" ref="E1215">IF(COUNTA(C1215:C1673)=0,"",SUM((COUNTIF(C$4:C1215,Upgrades!$B$3:$B$13)-COUNTIF(C$4:C1215,"Sell_"&amp;Upgrades!$B$3:$B$13))*Upgrades!$D$3:$D$13))</f>
        <v/>
      </c>
      <c r="F1215" s="66" t="str">
        <f>IFERROR(__xludf.DUMMYFUNCTION("IF(COUNTA(C1215:C1673)=0,"""",IF(REGEXMATCH(INDEX(FILTER(C$4:C1215,C$4:C1215&lt;&gt;""""),ROWS(FILTER(C$4:C1215,C$4:C1215&lt;&gt;""""))),""^Sell_""),INDEX(FILTER(F$4:F1214,C$4:C1214&lt;&gt;""""),ROWS(FILTER(C$4:C1214,C$4:C1214&lt;&gt;""""))),$AC$5+E1215))"),"")</f>
        <v/>
      </c>
      <c r="G1215" s="10" t="str">
        <f>IFERROR(__xludf.DUMMYFUNCTION("IF(COUNTA(C1215:C1673)=0,"""",IF(C1215="""",0,IF(REGEXMATCH(C1215,""^Sell_""),-ROUNDDOWN(ROUNDUP(INDEX(Upgrades!$C$3:$C$13,MATCH(SUBSTITUTE(C1215,""Sell_"",""""),Upgrades!$B$3:$B$13,0))*1.15^(COUNTIF(C$4:C1214,SUBSTITUTE(C1215,""Sell_"",""""))-COUNTIF(C$4"&amp;":C1214,""Sell_""&amp;SUBSTITUTE(C1215,""Sell_"",""""))))/2),ROUNDUP(INDEX(Upgrades!$C$3:$C$13,MATCH(C1215,Upgrades!$B$3:$B$13,0))*1.15^(COUNTIF(C$4:C1214,C1215)-COUNTIF(C$4:C1214,""Sell_""&amp;C1215))))))"),"")</f>
        <v/>
      </c>
      <c r="H1215" s="10" t="str">
        <f t="shared" si="3"/>
        <v/>
      </c>
      <c r="I1215" s="68" t="str">
        <f t="shared" si="4"/>
        <v/>
      </c>
      <c r="J1215" s="59" t="str">
        <f t="shared" si="5"/>
        <v/>
      </c>
      <c r="K1215" s="69" t="str">
        <f t="shared" si="6"/>
        <v/>
      </c>
      <c r="L1215" s="60" t="str">
        <f t="shared" si="7"/>
        <v/>
      </c>
      <c r="M1215" s="61" t="str">
        <f>IFERROR(__xludf.DUMMYFUNCTION("IFS(AND(COUNTA(C1215:C1673)=0,COUNTA(Q1215:Q1673)=0),"""",OR(AND(K1215&gt;=1000000000,OR(Y1215&gt;=1000000000,COUNTA(Q1215:Q1673)=0)),OR(Y1215&gt;=1000000000,AND(COUNTA(C1215:C1673)=0,P$3=TRUE))),
ROUNDDOWN((AB$1-AC$1)*MAX(INDEX(T$4:T1673,MATCH(LARGE(FILTER(Y$4:Y1"&amp;"673,Y$4:Y1673&lt;1000000000),1),Y$4:Y1673)),INDEX(F$4:F1673,MATCH(LARGE(FILTER(K$4:K1673,K$4:K1673&lt;1000000000),1),K$4:K1673)))),AND(K1215&lt;1000000000,COUNTA(C1215:C1673)&gt;0,P$3=FALSE),
ROUNDDOWN(INDEX(Y$4:Y1673,MATCH(LARGE(FILTER(W$4:W1673,W$4:W1673&lt;=I1215),1)"&amp;",W$4:W1673))+(I1215-LARGE(FILTER(W$4:W1673,W$4:W1673&lt;=I1215),1))*INDEX(T$4:T1673,MATCH(LARGE(FILTER(W$4:W1673,W$4:W1673&lt;=I1215),1),W$4:W1673))-K1215),1,
ROUNDDOWN(Y1215-INDEX(K$4:K1673,MATCH(LARGE(FILTER(I$4:I1673,I$4:I1673&lt;=W1215),1),I$4:I1673))-(W1215-L"&amp;"ARGE(FILTER(I$4:I1673,I$4:I1673&lt;=W1215),1))*INDEX(F$4:F1673,MATCH(LARGE(FILTER(I$4:I1673,I$4:I1673&lt;=W1215),1),I$4:I1673))))"),"")</f>
        <v/>
      </c>
      <c r="N1215" s="60" t="str">
        <f t="shared" si="8"/>
        <v/>
      </c>
      <c r="O1215" s="61" t="str">
        <f t="shared" si="9"/>
        <v/>
      </c>
      <c r="P1215" s="56" t="str">
        <f t="shared" si="10"/>
        <v/>
      </c>
      <c r="Q1215" s="67"/>
      <c r="R1215" s="10"/>
      <c r="S1215" s="59" t="str">
        <f t="array" ref="S1215">IF(COUNTA(Q1215:Q1673)=0,"",SUM((COUNTIF(Q$4:Q1215,Upgrades!$B$3:$B$13)-COUNTIF(Q$4:Q1215,"Sell_"&amp;Upgrades!$B$3:$B$13))*Upgrades!$D$3:$D$13))</f>
        <v/>
      </c>
      <c r="T1215" s="66" t="str">
        <f>IFERROR(__xludf.DUMMYFUNCTION("IF(COUNTA(Q1215:Q1673)=0,"""",IF(REGEXMATCH(INDEX(FILTER(Q$4:Q1215,Q$4:Q1215&lt;&gt;""""),ROWS(FILTER(Q$4:Q1215,Q$4:Q1215&lt;&gt;""""))),""^Sell_""),INDEX(FILTER(T$4:T1214,Q$4:Q1214&lt;&gt;""""),ROWS(FILTER(Q$4:Q1214,Q$4:Q1214&lt;&gt;""""))),$AD$5+S1215))"),"")</f>
        <v/>
      </c>
      <c r="U1215" s="10" t="str">
        <f>IFERROR(__xludf.DUMMYFUNCTION("IF(COUNTA(Q1215:Q1673)=0,"""",IF(Q1215="""",0,IF(REGEXMATCH(Q1215,""^Sell_""),-ROUNDDOWN(ROUNDUP(INDEX(Upgrades!$C$3:$C$13,MATCH(SUBSTITUTE(Q1215,""Sell_"",""""),Upgrades!$B$3:$B$13,0))*1.15^(COUNTIF(Q$4:Q1214,SUBSTITUTE(Q1215,""Sell_"",""""))-COUNTIF(Q$4"&amp;":Q1214,""Sell_""&amp;SUBSTITUTE(Q1215,""Sell_"",""""))))/2),ROUNDUP(INDEX(Upgrades!$C$3:$C$13,MATCH(Q1215,Upgrades!$B$3:$B$13,0))*1.15^(COUNTIF(Q$4:Q1214,Q1215)-COUNTIF(Q$4:Q1214,""Sell_""&amp;Q1215))))))"),"")</f>
        <v/>
      </c>
      <c r="V1215" s="10" t="str">
        <f t="shared" si="11"/>
        <v/>
      </c>
      <c r="W1215" s="68" t="str">
        <f t="shared" si="12"/>
        <v/>
      </c>
      <c r="X1215" s="59" t="str">
        <f t="shared" si="13"/>
        <v/>
      </c>
      <c r="Y1215" s="69" t="str">
        <f t="shared" si="14"/>
        <v/>
      </c>
      <c r="Z1215" s="11"/>
    </row>
    <row r="1216">
      <c r="A1216" s="8"/>
      <c r="B1216" s="56" t="str">
        <f t="shared" si="2"/>
        <v/>
      </c>
      <c r="C1216" s="105"/>
      <c r="D1216" s="10"/>
      <c r="E1216" s="59" t="str">
        <f t="array" ref="E1216">IF(COUNTA(C1216:C1673)=0,"",SUM((COUNTIF(C$4:C1216,Upgrades!$B$3:$B$13)-COUNTIF(C$4:C1216,"Sell_"&amp;Upgrades!$B$3:$B$13))*Upgrades!$D$3:$D$13))</f>
        <v/>
      </c>
      <c r="F1216" s="66" t="str">
        <f>IFERROR(__xludf.DUMMYFUNCTION("IF(COUNTA(C1216:C1673)=0,"""",IF(REGEXMATCH(INDEX(FILTER(C$4:C1216,C$4:C1216&lt;&gt;""""),ROWS(FILTER(C$4:C1216,C$4:C1216&lt;&gt;""""))),""^Sell_""),INDEX(FILTER(F$4:F1215,C$4:C1215&lt;&gt;""""),ROWS(FILTER(C$4:C1215,C$4:C1215&lt;&gt;""""))),$AC$5+E1216))"),"")</f>
        <v/>
      </c>
      <c r="G1216" s="10" t="str">
        <f>IFERROR(__xludf.DUMMYFUNCTION("IF(COUNTA(C1216:C1673)=0,"""",IF(C1216="""",0,IF(REGEXMATCH(C1216,""^Sell_""),-ROUNDDOWN(ROUNDUP(INDEX(Upgrades!$C$3:$C$13,MATCH(SUBSTITUTE(C1216,""Sell_"",""""),Upgrades!$B$3:$B$13,0))*1.15^(COUNTIF(C$4:C1215,SUBSTITUTE(C1216,""Sell_"",""""))-COUNTIF(C$4"&amp;":C1215,""Sell_""&amp;SUBSTITUTE(C1216,""Sell_"",""""))))/2),ROUNDUP(INDEX(Upgrades!$C$3:$C$13,MATCH(C1216,Upgrades!$B$3:$B$13,0))*1.15^(COUNTIF(C$4:C1215,C1216)-COUNTIF(C$4:C1215,""Sell_""&amp;C1216))))))"),"")</f>
        <v/>
      </c>
      <c r="H1216" s="10" t="str">
        <f t="shared" si="3"/>
        <v/>
      </c>
      <c r="I1216" s="68" t="str">
        <f t="shared" si="4"/>
        <v/>
      </c>
      <c r="J1216" s="59" t="str">
        <f t="shared" si="5"/>
        <v/>
      </c>
      <c r="K1216" s="69" t="str">
        <f t="shared" si="6"/>
        <v/>
      </c>
      <c r="L1216" s="60" t="str">
        <f t="shared" si="7"/>
        <v/>
      </c>
      <c r="M1216" s="61" t="str">
        <f>IFERROR(__xludf.DUMMYFUNCTION("IFS(AND(COUNTA(C1216:C1673)=0,COUNTA(Q1216:Q1673)=0),"""",OR(AND(K1216&gt;=1000000000,OR(Y1216&gt;=1000000000,COUNTA(Q1216:Q1673)=0)),OR(Y1216&gt;=1000000000,AND(COUNTA(C1216:C1673)=0,P$3=TRUE))),
ROUNDDOWN((AB$1-AC$1)*MAX(INDEX(T$4:T1673,MATCH(LARGE(FILTER(Y$4:Y1"&amp;"673,Y$4:Y1673&lt;1000000000),1),Y$4:Y1673)),INDEX(F$4:F1673,MATCH(LARGE(FILTER(K$4:K1673,K$4:K1673&lt;1000000000),1),K$4:K1673)))),AND(K1216&lt;1000000000,COUNTA(C1216:C1673)&gt;0,P$3=FALSE),
ROUNDDOWN(INDEX(Y$4:Y1673,MATCH(LARGE(FILTER(W$4:W1673,W$4:W1673&lt;=I1216),1)"&amp;",W$4:W1673))+(I1216-LARGE(FILTER(W$4:W1673,W$4:W1673&lt;=I1216),1))*INDEX(T$4:T1673,MATCH(LARGE(FILTER(W$4:W1673,W$4:W1673&lt;=I1216),1),W$4:W1673))-K1216),1,
ROUNDDOWN(Y1216-INDEX(K$4:K1673,MATCH(LARGE(FILTER(I$4:I1673,I$4:I1673&lt;=W1216),1),I$4:I1673))-(W1216-L"&amp;"ARGE(FILTER(I$4:I1673,I$4:I1673&lt;=W1216),1))*INDEX(F$4:F1673,MATCH(LARGE(FILTER(I$4:I1673,I$4:I1673&lt;=W1216),1),I$4:I1673))))"),"")</f>
        <v/>
      </c>
      <c r="N1216" s="60" t="str">
        <f t="shared" si="8"/>
        <v/>
      </c>
      <c r="O1216" s="61" t="str">
        <f t="shared" si="9"/>
        <v/>
      </c>
      <c r="P1216" s="56" t="str">
        <f t="shared" si="10"/>
        <v/>
      </c>
      <c r="Q1216" s="67"/>
      <c r="R1216" s="10"/>
      <c r="S1216" s="59" t="str">
        <f t="array" ref="S1216">IF(COUNTA(Q1216:Q1673)=0,"",SUM((COUNTIF(Q$4:Q1216,Upgrades!$B$3:$B$13)-COUNTIF(Q$4:Q1216,"Sell_"&amp;Upgrades!$B$3:$B$13))*Upgrades!$D$3:$D$13))</f>
        <v/>
      </c>
      <c r="T1216" s="66" t="str">
        <f>IFERROR(__xludf.DUMMYFUNCTION("IF(COUNTA(Q1216:Q1673)=0,"""",IF(REGEXMATCH(INDEX(FILTER(Q$4:Q1216,Q$4:Q1216&lt;&gt;""""),ROWS(FILTER(Q$4:Q1216,Q$4:Q1216&lt;&gt;""""))),""^Sell_""),INDEX(FILTER(T$4:T1215,Q$4:Q1215&lt;&gt;""""),ROWS(FILTER(Q$4:Q1215,Q$4:Q1215&lt;&gt;""""))),$AD$5+S1216))"),"")</f>
        <v/>
      </c>
      <c r="U1216" s="10" t="str">
        <f>IFERROR(__xludf.DUMMYFUNCTION("IF(COUNTA(Q1216:Q1673)=0,"""",IF(Q1216="""",0,IF(REGEXMATCH(Q1216,""^Sell_""),-ROUNDDOWN(ROUNDUP(INDEX(Upgrades!$C$3:$C$13,MATCH(SUBSTITUTE(Q1216,""Sell_"",""""),Upgrades!$B$3:$B$13,0))*1.15^(COUNTIF(Q$4:Q1215,SUBSTITUTE(Q1216,""Sell_"",""""))-COUNTIF(Q$4"&amp;":Q1215,""Sell_""&amp;SUBSTITUTE(Q1216,""Sell_"",""""))))/2),ROUNDUP(INDEX(Upgrades!$C$3:$C$13,MATCH(Q1216,Upgrades!$B$3:$B$13,0))*1.15^(COUNTIF(Q$4:Q1215,Q1216)-COUNTIF(Q$4:Q1215,""Sell_""&amp;Q1216))))))"),"")</f>
        <v/>
      </c>
      <c r="V1216" s="10" t="str">
        <f t="shared" si="11"/>
        <v/>
      </c>
      <c r="W1216" s="68" t="str">
        <f t="shared" si="12"/>
        <v/>
      </c>
      <c r="X1216" s="59" t="str">
        <f t="shared" si="13"/>
        <v/>
      </c>
      <c r="Y1216" s="69" t="str">
        <f t="shared" si="14"/>
        <v/>
      </c>
      <c r="Z1216" s="11"/>
    </row>
    <row r="1217">
      <c r="A1217" s="8"/>
      <c r="B1217" s="56" t="str">
        <f t="shared" si="2"/>
        <v/>
      </c>
      <c r="C1217" s="105"/>
      <c r="D1217" s="10"/>
      <c r="E1217" s="59" t="str">
        <f t="array" ref="E1217">IF(COUNTA(C1217:C1673)=0,"",SUM((COUNTIF(C$4:C1217,Upgrades!$B$3:$B$13)-COUNTIF(C$4:C1217,"Sell_"&amp;Upgrades!$B$3:$B$13))*Upgrades!$D$3:$D$13))</f>
        <v/>
      </c>
      <c r="F1217" s="66" t="str">
        <f>IFERROR(__xludf.DUMMYFUNCTION("IF(COUNTA(C1217:C1673)=0,"""",IF(REGEXMATCH(INDEX(FILTER(C$4:C1217,C$4:C1217&lt;&gt;""""),ROWS(FILTER(C$4:C1217,C$4:C1217&lt;&gt;""""))),""^Sell_""),INDEX(FILTER(F$4:F1216,C$4:C1216&lt;&gt;""""),ROWS(FILTER(C$4:C1216,C$4:C1216&lt;&gt;""""))),$AC$5+E1217))"),"")</f>
        <v/>
      </c>
      <c r="G1217" s="10" t="str">
        <f>IFERROR(__xludf.DUMMYFUNCTION("IF(COUNTA(C1217:C1673)=0,"""",IF(C1217="""",0,IF(REGEXMATCH(C1217,""^Sell_""),-ROUNDDOWN(ROUNDUP(INDEX(Upgrades!$C$3:$C$13,MATCH(SUBSTITUTE(C1217,""Sell_"",""""),Upgrades!$B$3:$B$13,0))*1.15^(COUNTIF(C$4:C1216,SUBSTITUTE(C1217,""Sell_"",""""))-COUNTIF(C$4"&amp;":C1216,""Sell_""&amp;SUBSTITUTE(C1217,""Sell_"",""""))))/2),ROUNDUP(INDEX(Upgrades!$C$3:$C$13,MATCH(C1217,Upgrades!$B$3:$B$13,0))*1.15^(COUNTIF(C$4:C1216,C1217)-COUNTIF(C$4:C1216,""Sell_""&amp;C1217))))))"),"")</f>
        <v/>
      </c>
      <c r="H1217" s="10" t="str">
        <f t="shared" si="3"/>
        <v/>
      </c>
      <c r="I1217" s="68" t="str">
        <f t="shared" si="4"/>
        <v/>
      </c>
      <c r="J1217" s="59" t="str">
        <f t="shared" si="5"/>
        <v/>
      </c>
      <c r="K1217" s="69" t="str">
        <f t="shared" si="6"/>
        <v/>
      </c>
      <c r="L1217" s="60" t="str">
        <f t="shared" si="7"/>
        <v/>
      </c>
      <c r="M1217" s="61" t="str">
        <f>IFERROR(__xludf.DUMMYFUNCTION("IFS(AND(COUNTA(C1217:C1673)=0,COUNTA(Q1217:Q1673)=0),"""",OR(AND(K1217&gt;=1000000000,OR(Y1217&gt;=1000000000,COUNTA(Q1217:Q1673)=0)),OR(Y1217&gt;=1000000000,AND(COUNTA(C1217:C1673)=0,P$3=TRUE))),
ROUNDDOWN((AB$1-AC$1)*MAX(INDEX(T$4:T1673,MATCH(LARGE(FILTER(Y$4:Y1"&amp;"673,Y$4:Y1673&lt;1000000000),1),Y$4:Y1673)),INDEX(F$4:F1673,MATCH(LARGE(FILTER(K$4:K1673,K$4:K1673&lt;1000000000),1),K$4:K1673)))),AND(K1217&lt;1000000000,COUNTA(C1217:C1673)&gt;0,P$3=FALSE),
ROUNDDOWN(INDEX(Y$4:Y1673,MATCH(LARGE(FILTER(W$4:W1673,W$4:W1673&lt;=I1217),1)"&amp;",W$4:W1673))+(I1217-LARGE(FILTER(W$4:W1673,W$4:W1673&lt;=I1217),1))*INDEX(T$4:T1673,MATCH(LARGE(FILTER(W$4:W1673,W$4:W1673&lt;=I1217),1),W$4:W1673))-K1217),1,
ROUNDDOWN(Y1217-INDEX(K$4:K1673,MATCH(LARGE(FILTER(I$4:I1673,I$4:I1673&lt;=W1217),1),I$4:I1673))-(W1217-L"&amp;"ARGE(FILTER(I$4:I1673,I$4:I1673&lt;=W1217),1))*INDEX(F$4:F1673,MATCH(LARGE(FILTER(I$4:I1673,I$4:I1673&lt;=W1217),1),I$4:I1673))))"),"")</f>
        <v/>
      </c>
      <c r="N1217" s="60" t="str">
        <f t="shared" si="8"/>
        <v/>
      </c>
      <c r="O1217" s="61" t="str">
        <f t="shared" si="9"/>
        <v/>
      </c>
      <c r="P1217" s="56" t="str">
        <f t="shared" si="10"/>
        <v/>
      </c>
      <c r="Q1217" s="67"/>
      <c r="R1217" s="10"/>
      <c r="S1217" s="59" t="str">
        <f t="array" ref="S1217">IF(COUNTA(Q1217:Q1673)=0,"",SUM((COUNTIF(Q$4:Q1217,Upgrades!$B$3:$B$13)-COUNTIF(Q$4:Q1217,"Sell_"&amp;Upgrades!$B$3:$B$13))*Upgrades!$D$3:$D$13))</f>
        <v/>
      </c>
      <c r="T1217" s="66" t="str">
        <f>IFERROR(__xludf.DUMMYFUNCTION("IF(COUNTA(Q1217:Q1673)=0,"""",IF(REGEXMATCH(INDEX(FILTER(Q$4:Q1217,Q$4:Q1217&lt;&gt;""""),ROWS(FILTER(Q$4:Q1217,Q$4:Q1217&lt;&gt;""""))),""^Sell_""),INDEX(FILTER(T$4:T1216,Q$4:Q1216&lt;&gt;""""),ROWS(FILTER(Q$4:Q1216,Q$4:Q1216&lt;&gt;""""))),$AD$5+S1217))"),"")</f>
        <v/>
      </c>
      <c r="U1217" s="10" t="str">
        <f>IFERROR(__xludf.DUMMYFUNCTION("IF(COUNTA(Q1217:Q1673)=0,"""",IF(Q1217="""",0,IF(REGEXMATCH(Q1217,""^Sell_""),-ROUNDDOWN(ROUNDUP(INDEX(Upgrades!$C$3:$C$13,MATCH(SUBSTITUTE(Q1217,""Sell_"",""""),Upgrades!$B$3:$B$13,0))*1.15^(COUNTIF(Q$4:Q1216,SUBSTITUTE(Q1217,""Sell_"",""""))-COUNTIF(Q$4"&amp;":Q1216,""Sell_""&amp;SUBSTITUTE(Q1217,""Sell_"",""""))))/2),ROUNDUP(INDEX(Upgrades!$C$3:$C$13,MATCH(Q1217,Upgrades!$B$3:$B$13,0))*1.15^(COUNTIF(Q$4:Q1216,Q1217)-COUNTIF(Q$4:Q1216,""Sell_""&amp;Q1217))))))"),"")</f>
        <v/>
      </c>
      <c r="V1217" s="10" t="str">
        <f t="shared" si="11"/>
        <v/>
      </c>
      <c r="W1217" s="68" t="str">
        <f t="shared" si="12"/>
        <v/>
      </c>
      <c r="X1217" s="59" t="str">
        <f t="shared" si="13"/>
        <v/>
      </c>
      <c r="Y1217" s="69" t="str">
        <f t="shared" si="14"/>
        <v/>
      </c>
      <c r="Z1217" s="11"/>
    </row>
    <row r="1218">
      <c r="A1218" s="8"/>
      <c r="B1218" s="56" t="str">
        <f t="shared" si="2"/>
        <v/>
      </c>
      <c r="C1218" s="105"/>
      <c r="D1218" s="10"/>
      <c r="E1218" s="59" t="str">
        <f t="array" ref="E1218">IF(COUNTA(C1218:C1673)=0,"",SUM((COUNTIF(C$4:C1218,Upgrades!$B$3:$B$13)-COUNTIF(C$4:C1218,"Sell_"&amp;Upgrades!$B$3:$B$13))*Upgrades!$D$3:$D$13))</f>
        <v/>
      </c>
      <c r="F1218" s="66" t="str">
        <f>IFERROR(__xludf.DUMMYFUNCTION("IF(COUNTA(C1218:C1673)=0,"""",IF(REGEXMATCH(INDEX(FILTER(C$4:C1218,C$4:C1218&lt;&gt;""""),ROWS(FILTER(C$4:C1218,C$4:C1218&lt;&gt;""""))),""^Sell_""),INDEX(FILTER(F$4:F1217,C$4:C1217&lt;&gt;""""),ROWS(FILTER(C$4:C1217,C$4:C1217&lt;&gt;""""))),$AC$5+E1218))"),"")</f>
        <v/>
      </c>
      <c r="G1218" s="10" t="str">
        <f>IFERROR(__xludf.DUMMYFUNCTION("IF(COUNTA(C1218:C1673)=0,"""",IF(C1218="""",0,IF(REGEXMATCH(C1218,""^Sell_""),-ROUNDDOWN(ROUNDUP(INDEX(Upgrades!$C$3:$C$13,MATCH(SUBSTITUTE(C1218,""Sell_"",""""),Upgrades!$B$3:$B$13,0))*1.15^(COUNTIF(C$4:C1217,SUBSTITUTE(C1218,""Sell_"",""""))-COUNTIF(C$4"&amp;":C1217,""Sell_""&amp;SUBSTITUTE(C1218,""Sell_"",""""))))/2),ROUNDUP(INDEX(Upgrades!$C$3:$C$13,MATCH(C1218,Upgrades!$B$3:$B$13,0))*1.15^(COUNTIF(C$4:C1217,C1218)-COUNTIF(C$4:C1217,""Sell_""&amp;C1218))))))"),"")</f>
        <v/>
      </c>
      <c r="H1218" s="10" t="str">
        <f t="shared" si="3"/>
        <v/>
      </c>
      <c r="I1218" s="68" t="str">
        <f t="shared" si="4"/>
        <v/>
      </c>
      <c r="J1218" s="59" t="str">
        <f t="shared" si="5"/>
        <v/>
      </c>
      <c r="K1218" s="69" t="str">
        <f t="shared" si="6"/>
        <v/>
      </c>
      <c r="L1218" s="60" t="str">
        <f t="shared" si="7"/>
        <v/>
      </c>
      <c r="M1218" s="61" t="str">
        <f>IFERROR(__xludf.DUMMYFUNCTION("IFS(AND(COUNTA(C1218:C1673)=0,COUNTA(Q1218:Q1673)=0),"""",OR(AND(K1218&gt;=1000000000,OR(Y1218&gt;=1000000000,COUNTA(Q1218:Q1673)=0)),OR(Y1218&gt;=1000000000,AND(COUNTA(C1218:C1673)=0,P$3=TRUE))),
ROUNDDOWN((AB$1-AC$1)*MAX(INDEX(T$4:T1673,MATCH(LARGE(FILTER(Y$4:Y1"&amp;"673,Y$4:Y1673&lt;1000000000),1),Y$4:Y1673)),INDEX(F$4:F1673,MATCH(LARGE(FILTER(K$4:K1673,K$4:K1673&lt;1000000000),1),K$4:K1673)))),AND(K1218&lt;1000000000,COUNTA(C1218:C1673)&gt;0,P$3=FALSE),
ROUNDDOWN(INDEX(Y$4:Y1673,MATCH(LARGE(FILTER(W$4:W1673,W$4:W1673&lt;=I1218),1)"&amp;",W$4:W1673))+(I1218-LARGE(FILTER(W$4:W1673,W$4:W1673&lt;=I1218),1))*INDEX(T$4:T1673,MATCH(LARGE(FILTER(W$4:W1673,W$4:W1673&lt;=I1218),1),W$4:W1673))-K1218),1,
ROUNDDOWN(Y1218-INDEX(K$4:K1673,MATCH(LARGE(FILTER(I$4:I1673,I$4:I1673&lt;=W1218),1),I$4:I1673))-(W1218-L"&amp;"ARGE(FILTER(I$4:I1673,I$4:I1673&lt;=W1218),1))*INDEX(F$4:F1673,MATCH(LARGE(FILTER(I$4:I1673,I$4:I1673&lt;=W1218),1),I$4:I1673))))"),"")</f>
        <v/>
      </c>
      <c r="N1218" s="60" t="str">
        <f t="shared" si="8"/>
        <v/>
      </c>
      <c r="O1218" s="61" t="str">
        <f t="shared" si="9"/>
        <v/>
      </c>
      <c r="P1218" s="56" t="str">
        <f t="shared" si="10"/>
        <v/>
      </c>
      <c r="Q1218" s="67"/>
      <c r="R1218" s="10"/>
      <c r="S1218" s="59" t="str">
        <f t="array" ref="S1218">IF(COUNTA(Q1218:Q1673)=0,"",SUM((COUNTIF(Q$4:Q1218,Upgrades!$B$3:$B$13)-COUNTIF(Q$4:Q1218,"Sell_"&amp;Upgrades!$B$3:$B$13))*Upgrades!$D$3:$D$13))</f>
        <v/>
      </c>
      <c r="T1218" s="66" t="str">
        <f>IFERROR(__xludf.DUMMYFUNCTION("IF(COUNTA(Q1218:Q1673)=0,"""",IF(REGEXMATCH(INDEX(FILTER(Q$4:Q1218,Q$4:Q1218&lt;&gt;""""),ROWS(FILTER(Q$4:Q1218,Q$4:Q1218&lt;&gt;""""))),""^Sell_""),INDEX(FILTER(T$4:T1217,Q$4:Q1217&lt;&gt;""""),ROWS(FILTER(Q$4:Q1217,Q$4:Q1217&lt;&gt;""""))),$AD$5+S1218))"),"")</f>
        <v/>
      </c>
      <c r="U1218" s="10" t="str">
        <f>IFERROR(__xludf.DUMMYFUNCTION("IF(COUNTA(Q1218:Q1673)=0,"""",IF(Q1218="""",0,IF(REGEXMATCH(Q1218,""^Sell_""),-ROUNDDOWN(ROUNDUP(INDEX(Upgrades!$C$3:$C$13,MATCH(SUBSTITUTE(Q1218,""Sell_"",""""),Upgrades!$B$3:$B$13,0))*1.15^(COUNTIF(Q$4:Q1217,SUBSTITUTE(Q1218,""Sell_"",""""))-COUNTIF(Q$4"&amp;":Q1217,""Sell_""&amp;SUBSTITUTE(Q1218,""Sell_"",""""))))/2),ROUNDUP(INDEX(Upgrades!$C$3:$C$13,MATCH(Q1218,Upgrades!$B$3:$B$13,0))*1.15^(COUNTIF(Q$4:Q1217,Q1218)-COUNTIF(Q$4:Q1217,""Sell_""&amp;Q1218))))))"),"")</f>
        <v/>
      </c>
      <c r="V1218" s="10" t="str">
        <f t="shared" si="11"/>
        <v/>
      </c>
      <c r="W1218" s="68" t="str">
        <f t="shared" si="12"/>
        <v/>
      </c>
      <c r="X1218" s="59" t="str">
        <f t="shared" si="13"/>
        <v/>
      </c>
      <c r="Y1218" s="69" t="str">
        <f t="shared" si="14"/>
        <v/>
      </c>
      <c r="Z1218" s="11"/>
    </row>
    <row r="1219">
      <c r="A1219" s="8"/>
      <c r="B1219" s="56" t="str">
        <f t="shared" si="2"/>
        <v/>
      </c>
      <c r="C1219" s="105"/>
      <c r="D1219" s="10"/>
      <c r="E1219" s="59" t="str">
        <f t="array" ref="E1219">IF(COUNTA(C1219:C1673)=0,"",SUM((COUNTIF(C$4:C1219,Upgrades!$B$3:$B$13)-COUNTIF(C$4:C1219,"Sell_"&amp;Upgrades!$B$3:$B$13))*Upgrades!$D$3:$D$13))</f>
        <v/>
      </c>
      <c r="F1219" s="66" t="str">
        <f>IFERROR(__xludf.DUMMYFUNCTION("IF(COUNTA(C1219:C1673)=0,"""",IF(REGEXMATCH(INDEX(FILTER(C$4:C1219,C$4:C1219&lt;&gt;""""),ROWS(FILTER(C$4:C1219,C$4:C1219&lt;&gt;""""))),""^Sell_""),INDEX(FILTER(F$4:F1218,C$4:C1218&lt;&gt;""""),ROWS(FILTER(C$4:C1218,C$4:C1218&lt;&gt;""""))),$AC$5+E1219))"),"")</f>
        <v/>
      </c>
      <c r="G1219" s="10" t="str">
        <f>IFERROR(__xludf.DUMMYFUNCTION("IF(COUNTA(C1219:C1673)=0,"""",IF(C1219="""",0,IF(REGEXMATCH(C1219,""^Sell_""),-ROUNDDOWN(ROUNDUP(INDEX(Upgrades!$C$3:$C$13,MATCH(SUBSTITUTE(C1219,""Sell_"",""""),Upgrades!$B$3:$B$13,0))*1.15^(COUNTIF(C$4:C1218,SUBSTITUTE(C1219,""Sell_"",""""))-COUNTIF(C$4"&amp;":C1218,""Sell_""&amp;SUBSTITUTE(C1219,""Sell_"",""""))))/2),ROUNDUP(INDEX(Upgrades!$C$3:$C$13,MATCH(C1219,Upgrades!$B$3:$B$13,0))*1.15^(COUNTIF(C$4:C1218,C1219)-COUNTIF(C$4:C1218,""Sell_""&amp;C1219))))))"),"")</f>
        <v/>
      </c>
      <c r="H1219" s="10" t="str">
        <f t="shared" si="3"/>
        <v/>
      </c>
      <c r="I1219" s="68" t="str">
        <f t="shared" si="4"/>
        <v/>
      </c>
      <c r="J1219" s="59" t="str">
        <f t="shared" si="5"/>
        <v/>
      </c>
      <c r="K1219" s="69" t="str">
        <f t="shared" si="6"/>
        <v/>
      </c>
      <c r="L1219" s="60" t="str">
        <f t="shared" si="7"/>
        <v/>
      </c>
      <c r="M1219" s="61" t="str">
        <f>IFERROR(__xludf.DUMMYFUNCTION("IFS(AND(COUNTA(C1219:C1673)=0,COUNTA(Q1219:Q1673)=0),"""",OR(AND(K1219&gt;=1000000000,OR(Y1219&gt;=1000000000,COUNTA(Q1219:Q1673)=0)),OR(Y1219&gt;=1000000000,AND(COUNTA(C1219:C1673)=0,P$3=TRUE))),
ROUNDDOWN((AB$1-AC$1)*MAX(INDEX(T$4:T1673,MATCH(LARGE(FILTER(Y$4:Y1"&amp;"673,Y$4:Y1673&lt;1000000000),1),Y$4:Y1673)),INDEX(F$4:F1673,MATCH(LARGE(FILTER(K$4:K1673,K$4:K1673&lt;1000000000),1),K$4:K1673)))),AND(K1219&lt;1000000000,COUNTA(C1219:C1673)&gt;0,P$3=FALSE),
ROUNDDOWN(INDEX(Y$4:Y1673,MATCH(LARGE(FILTER(W$4:W1673,W$4:W1673&lt;=I1219),1)"&amp;",W$4:W1673))+(I1219-LARGE(FILTER(W$4:W1673,W$4:W1673&lt;=I1219),1))*INDEX(T$4:T1673,MATCH(LARGE(FILTER(W$4:W1673,W$4:W1673&lt;=I1219),1),W$4:W1673))-K1219),1,
ROUNDDOWN(Y1219-INDEX(K$4:K1673,MATCH(LARGE(FILTER(I$4:I1673,I$4:I1673&lt;=W1219),1),I$4:I1673))-(W1219-L"&amp;"ARGE(FILTER(I$4:I1673,I$4:I1673&lt;=W1219),1))*INDEX(F$4:F1673,MATCH(LARGE(FILTER(I$4:I1673,I$4:I1673&lt;=W1219),1),I$4:I1673))))"),"")</f>
        <v/>
      </c>
      <c r="N1219" s="60" t="str">
        <f t="shared" si="8"/>
        <v/>
      </c>
      <c r="O1219" s="61" t="str">
        <f t="shared" si="9"/>
        <v/>
      </c>
      <c r="P1219" s="56" t="str">
        <f t="shared" si="10"/>
        <v/>
      </c>
      <c r="Q1219" s="67"/>
      <c r="R1219" s="10"/>
      <c r="S1219" s="59" t="str">
        <f t="array" ref="S1219">IF(COUNTA(Q1219:Q1673)=0,"",SUM((COUNTIF(Q$4:Q1219,Upgrades!$B$3:$B$13)-COUNTIF(Q$4:Q1219,"Sell_"&amp;Upgrades!$B$3:$B$13))*Upgrades!$D$3:$D$13))</f>
        <v/>
      </c>
      <c r="T1219" s="66" t="str">
        <f>IFERROR(__xludf.DUMMYFUNCTION("IF(COUNTA(Q1219:Q1673)=0,"""",IF(REGEXMATCH(INDEX(FILTER(Q$4:Q1219,Q$4:Q1219&lt;&gt;""""),ROWS(FILTER(Q$4:Q1219,Q$4:Q1219&lt;&gt;""""))),""^Sell_""),INDEX(FILTER(T$4:T1218,Q$4:Q1218&lt;&gt;""""),ROWS(FILTER(Q$4:Q1218,Q$4:Q1218&lt;&gt;""""))),$AD$5+S1219))"),"")</f>
        <v/>
      </c>
      <c r="U1219" s="10" t="str">
        <f>IFERROR(__xludf.DUMMYFUNCTION("IF(COUNTA(Q1219:Q1673)=0,"""",IF(Q1219="""",0,IF(REGEXMATCH(Q1219,""^Sell_""),-ROUNDDOWN(ROUNDUP(INDEX(Upgrades!$C$3:$C$13,MATCH(SUBSTITUTE(Q1219,""Sell_"",""""),Upgrades!$B$3:$B$13,0))*1.15^(COUNTIF(Q$4:Q1218,SUBSTITUTE(Q1219,""Sell_"",""""))-COUNTIF(Q$4"&amp;":Q1218,""Sell_""&amp;SUBSTITUTE(Q1219,""Sell_"",""""))))/2),ROUNDUP(INDEX(Upgrades!$C$3:$C$13,MATCH(Q1219,Upgrades!$B$3:$B$13,0))*1.15^(COUNTIF(Q$4:Q1218,Q1219)-COUNTIF(Q$4:Q1218,""Sell_""&amp;Q1219))))))"),"")</f>
        <v/>
      </c>
      <c r="V1219" s="10" t="str">
        <f t="shared" si="11"/>
        <v/>
      </c>
      <c r="W1219" s="68" t="str">
        <f t="shared" si="12"/>
        <v/>
      </c>
      <c r="X1219" s="59" t="str">
        <f t="shared" si="13"/>
        <v/>
      </c>
      <c r="Y1219" s="69" t="str">
        <f t="shared" si="14"/>
        <v/>
      </c>
      <c r="Z1219" s="11"/>
    </row>
    <row r="1220">
      <c r="A1220" s="8"/>
      <c r="B1220" s="56" t="str">
        <f t="shared" si="2"/>
        <v/>
      </c>
      <c r="C1220" s="105"/>
      <c r="D1220" s="10"/>
      <c r="E1220" s="59" t="str">
        <f t="array" ref="E1220">IF(COUNTA(C1220:C1673)=0,"",SUM((COUNTIF(C$4:C1220,Upgrades!$B$3:$B$13)-COUNTIF(C$4:C1220,"Sell_"&amp;Upgrades!$B$3:$B$13))*Upgrades!$D$3:$D$13))</f>
        <v/>
      </c>
      <c r="F1220" s="66" t="str">
        <f>IFERROR(__xludf.DUMMYFUNCTION("IF(COUNTA(C1220:C1673)=0,"""",IF(REGEXMATCH(INDEX(FILTER(C$4:C1220,C$4:C1220&lt;&gt;""""),ROWS(FILTER(C$4:C1220,C$4:C1220&lt;&gt;""""))),""^Sell_""),INDEX(FILTER(F$4:F1219,C$4:C1219&lt;&gt;""""),ROWS(FILTER(C$4:C1219,C$4:C1219&lt;&gt;""""))),$AC$5+E1220))"),"")</f>
        <v/>
      </c>
      <c r="G1220" s="10" t="str">
        <f>IFERROR(__xludf.DUMMYFUNCTION("IF(COUNTA(C1220:C1673)=0,"""",IF(C1220="""",0,IF(REGEXMATCH(C1220,""^Sell_""),-ROUNDDOWN(ROUNDUP(INDEX(Upgrades!$C$3:$C$13,MATCH(SUBSTITUTE(C1220,""Sell_"",""""),Upgrades!$B$3:$B$13,0))*1.15^(COUNTIF(C$4:C1219,SUBSTITUTE(C1220,""Sell_"",""""))-COUNTIF(C$4"&amp;":C1219,""Sell_""&amp;SUBSTITUTE(C1220,""Sell_"",""""))))/2),ROUNDUP(INDEX(Upgrades!$C$3:$C$13,MATCH(C1220,Upgrades!$B$3:$B$13,0))*1.15^(COUNTIF(C$4:C1219,C1220)-COUNTIF(C$4:C1219,""Sell_""&amp;C1220))))))"),"")</f>
        <v/>
      </c>
      <c r="H1220" s="10" t="str">
        <f t="shared" si="3"/>
        <v/>
      </c>
      <c r="I1220" s="68" t="str">
        <f t="shared" si="4"/>
        <v/>
      </c>
      <c r="J1220" s="59" t="str">
        <f t="shared" si="5"/>
        <v/>
      </c>
      <c r="K1220" s="69" t="str">
        <f t="shared" si="6"/>
        <v/>
      </c>
      <c r="L1220" s="60" t="str">
        <f t="shared" si="7"/>
        <v/>
      </c>
      <c r="M1220" s="61" t="str">
        <f>IFERROR(__xludf.DUMMYFUNCTION("IFS(AND(COUNTA(C1220:C1673)=0,COUNTA(Q1220:Q1673)=0),"""",OR(AND(K1220&gt;=1000000000,OR(Y1220&gt;=1000000000,COUNTA(Q1220:Q1673)=0)),OR(Y1220&gt;=1000000000,AND(COUNTA(C1220:C1673)=0,P$3=TRUE))),
ROUNDDOWN((AB$1-AC$1)*MAX(INDEX(T$4:T1673,MATCH(LARGE(FILTER(Y$4:Y1"&amp;"673,Y$4:Y1673&lt;1000000000),1),Y$4:Y1673)),INDEX(F$4:F1673,MATCH(LARGE(FILTER(K$4:K1673,K$4:K1673&lt;1000000000),1),K$4:K1673)))),AND(K1220&lt;1000000000,COUNTA(C1220:C1673)&gt;0,P$3=FALSE),
ROUNDDOWN(INDEX(Y$4:Y1673,MATCH(LARGE(FILTER(W$4:W1673,W$4:W1673&lt;=I1220),1)"&amp;",W$4:W1673))+(I1220-LARGE(FILTER(W$4:W1673,W$4:W1673&lt;=I1220),1))*INDEX(T$4:T1673,MATCH(LARGE(FILTER(W$4:W1673,W$4:W1673&lt;=I1220),1),W$4:W1673))-K1220),1,
ROUNDDOWN(Y1220-INDEX(K$4:K1673,MATCH(LARGE(FILTER(I$4:I1673,I$4:I1673&lt;=W1220),1),I$4:I1673))-(W1220-L"&amp;"ARGE(FILTER(I$4:I1673,I$4:I1673&lt;=W1220),1))*INDEX(F$4:F1673,MATCH(LARGE(FILTER(I$4:I1673,I$4:I1673&lt;=W1220),1),I$4:I1673))))"),"")</f>
        <v/>
      </c>
      <c r="N1220" s="60" t="str">
        <f t="shared" si="8"/>
        <v/>
      </c>
      <c r="O1220" s="61" t="str">
        <f t="shared" si="9"/>
        <v/>
      </c>
      <c r="P1220" s="56" t="str">
        <f t="shared" si="10"/>
        <v/>
      </c>
      <c r="Q1220" s="67"/>
      <c r="R1220" s="10"/>
      <c r="S1220" s="59" t="str">
        <f t="array" ref="S1220">IF(COUNTA(Q1220:Q1673)=0,"",SUM((COUNTIF(Q$4:Q1220,Upgrades!$B$3:$B$13)-COUNTIF(Q$4:Q1220,"Sell_"&amp;Upgrades!$B$3:$B$13))*Upgrades!$D$3:$D$13))</f>
        <v/>
      </c>
      <c r="T1220" s="66" t="str">
        <f>IFERROR(__xludf.DUMMYFUNCTION("IF(COUNTA(Q1220:Q1673)=0,"""",IF(REGEXMATCH(INDEX(FILTER(Q$4:Q1220,Q$4:Q1220&lt;&gt;""""),ROWS(FILTER(Q$4:Q1220,Q$4:Q1220&lt;&gt;""""))),""^Sell_""),INDEX(FILTER(T$4:T1219,Q$4:Q1219&lt;&gt;""""),ROWS(FILTER(Q$4:Q1219,Q$4:Q1219&lt;&gt;""""))),$AD$5+S1220))"),"")</f>
        <v/>
      </c>
      <c r="U1220" s="10" t="str">
        <f>IFERROR(__xludf.DUMMYFUNCTION("IF(COUNTA(Q1220:Q1673)=0,"""",IF(Q1220="""",0,IF(REGEXMATCH(Q1220,""^Sell_""),-ROUNDDOWN(ROUNDUP(INDEX(Upgrades!$C$3:$C$13,MATCH(SUBSTITUTE(Q1220,""Sell_"",""""),Upgrades!$B$3:$B$13,0))*1.15^(COUNTIF(Q$4:Q1219,SUBSTITUTE(Q1220,""Sell_"",""""))-COUNTIF(Q$4"&amp;":Q1219,""Sell_""&amp;SUBSTITUTE(Q1220,""Sell_"",""""))))/2),ROUNDUP(INDEX(Upgrades!$C$3:$C$13,MATCH(Q1220,Upgrades!$B$3:$B$13,0))*1.15^(COUNTIF(Q$4:Q1219,Q1220)-COUNTIF(Q$4:Q1219,""Sell_""&amp;Q1220))))))"),"")</f>
        <v/>
      </c>
      <c r="V1220" s="10" t="str">
        <f t="shared" si="11"/>
        <v/>
      </c>
      <c r="W1220" s="68" t="str">
        <f t="shared" si="12"/>
        <v/>
      </c>
      <c r="X1220" s="59" t="str">
        <f t="shared" si="13"/>
        <v/>
      </c>
      <c r="Y1220" s="69" t="str">
        <f t="shared" si="14"/>
        <v/>
      </c>
      <c r="Z1220" s="11"/>
    </row>
    <row r="1221">
      <c r="A1221" s="8"/>
      <c r="B1221" s="56" t="str">
        <f t="shared" si="2"/>
        <v/>
      </c>
      <c r="C1221" s="105"/>
      <c r="D1221" s="10"/>
      <c r="E1221" s="59" t="str">
        <f t="array" ref="E1221">IF(COUNTA(C1221:C1673)=0,"",SUM((COUNTIF(C$4:C1221,Upgrades!$B$3:$B$13)-COUNTIF(C$4:C1221,"Sell_"&amp;Upgrades!$B$3:$B$13))*Upgrades!$D$3:$D$13))</f>
        <v/>
      </c>
      <c r="F1221" s="66" t="str">
        <f>IFERROR(__xludf.DUMMYFUNCTION("IF(COUNTA(C1221:C1673)=0,"""",IF(REGEXMATCH(INDEX(FILTER(C$4:C1221,C$4:C1221&lt;&gt;""""),ROWS(FILTER(C$4:C1221,C$4:C1221&lt;&gt;""""))),""^Sell_""),INDEX(FILTER(F$4:F1220,C$4:C1220&lt;&gt;""""),ROWS(FILTER(C$4:C1220,C$4:C1220&lt;&gt;""""))),$AC$5+E1221))"),"")</f>
        <v/>
      </c>
      <c r="G1221" s="10" t="str">
        <f>IFERROR(__xludf.DUMMYFUNCTION("IF(COUNTA(C1221:C1673)=0,"""",IF(C1221="""",0,IF(REGEXMATCH(C1221,""^Sell_""),-ROUNDDOWN(ROUNDUP(INDEX(Upgrades!$C$3:$C$13,MATCH(SUBSTITUTE(C1221,""Sell_"",""""),Upgrades!$B$3:$B$13,0))*1.15^(COUNTIF(C$4:C1220,SUBSTITUTE(C1221,""Sell_"",""""))-COUNTIF(C$4"&amp;":C1220,""Sell_""&amp;SUBSTITUTE(C1221,""Sell_"",""""))))/2),ROUNDUP(INDEX(Upgrades!$C$3:$C$13,MATCH(C1221,Upgrades!$B$3:$B$13,0))*1.15^(COUNTIF(C$4:C1220,C1221)-COUNTIF(C$4:C1220,""Sell_""&amp;C1221))))))"),"")</f>
        <v/>
      </c>
      <c r="H1221" s="10" t="str">
        <f t="shared" si="3"/>
        <v/>
      </c>
      <c r="I1221" s="68" t="str">
        <f t="shared" si="4"/>
        <v/>
      </c>
      <c r="J1221" s="59" t="str">
        <f t="shared" si="5"/>
        <v/>
      </c>
      <c r="K1221" s="69" t="str">
        <f t="shared" si="6"/>
        <v/>
      </c>
      <c r="L1221" s="60" t="str">
        <f t="shared" si="7"/>
        <v/>
      </c>
      <c r="M1221" s="61" t="str">
        <f>IFERROR(__xludf.DUMMYFUNCTION("IFS(AND(COUNTA(C1221:C1673)=0,COUNTA(Q1221:Q1673)=0),"""",OR(AND(K1221&gt;=1000000000,OR(Y1221&gt;=1000000000,COUNTA(Q1221:Q1673)=0)),OR(Y1221&gt;=1000000000,AND(COUNTA(C1221:C1673)=0,P$3=TRUE))),
ROUNDDOWN((AB$1-AC$1)*MAX(INDEX(T$4:T1673,MATCH(LARGE(FILTER(Y$4:Y1"&amp;"673,Y$4:Y1673&lt;1000000000),1),Y$4:Y1673)),INDEX(F$4:F1673,MATCH(LARGE(FILTER(K$4:K1673,K$4:K1673&lt;1000000000),1),K$4:K1673)))),AND(K1221&lt;1000000000,COUNTA(C1221:C1673)&gt;0,P$3=FALSE),
ROUNDDOWN(INDEX(Y$4:Y1673,MATCH(LARGE(FILTER(W$4:W1673,W$4:W1673&lt;=I1221),1)"&amp;",W$4:W1673))+(I1221-LARGE(FILTER(W$4:W1673,W$4:W1673&lt;=I1221),1))*INDEX(T$4:T1673,MATCH(LARGE(FILTER(W$4:W1673,W$4:W1673&lt;=I1221),1),W$4:W1673))-K1221),1,
ROUNDDOWN(Y1221-INDEX(K$4:K1673,MATCH(LARGE(FILTER(I$4:I1673,I$4:I1673&lt;=W1221),1),I$4:I1673))-(W1221-L"&amp;"ARGE(FILTER(I$4:I1673,I$4:I1673&lt;=W1221),1))*INDEX(F$4:F1673,MATCH(LARGE(FILTER(I$4:I1673,I$4:I1673&lt;=W1221),1),I$4:I1673))))"),"")</f>
        <v/>
      </c>
      <c r="N1221" s="60" t="str">
        <f t="shared" si="8"/>
        <v/>
      </c>
      <c r="O1221" s="61" t="str">
        <f t="shared" si="9"/>
        <v/>
      </c>
      <c r="P1221" s="56" t="str">
        <f t="shared" si="10"/>
        <v/>
      </c>
      <c r="Q1221" s="67"/>
      <c r="R1221" s="10"/>
      <c r="S1221" s="59" t="str">
        <f t="array" ref="S1221">IF(COUNTA(Q1221:Q1673)=0,"",SUM((COUNTIF(Q$4:Q1221,Upgrades!$B$3:$B$13)-COUNTIF(Q$4:Q1221,"Sell_"&amp;Upgrades!$B$3:$B$13))*Upgrades!$D$3:$D$13))</f>
        <v/>
      </c>
      <c r="T1221" s="66" t="str">
        <f>IFERROR(__xludf.DUMMYFUNCTION("IF(COUNTA(Q1221:Q1673)=0,"""",IF(REGEXMATCH(INDEX(FILTER(Q$4:Q1221,Q$4:Q1221&lt;&gt;""""),ROWS(FILTER(Q$4:Q1221,Q$4:Q1221&lt;&gt;""""))),""^Sell_""),INDEX(FILTER(T$4:T1220,Q$4:Q1220&lt;&gt;""""),ROWS(FILTER(Q$4:Q1220,Q$4:Q1220&lt;&gt;""""))),$AD$5+S1221))"),"")</f>
        <v/>
      </c>
      <c r="U1221" s="10" t="str">
        <f>IFERROR(__xludf.DUMMYFUNCTION("IF(COUNTA(Q1221:Q1673)=0,"""",IF(Q1221="""",0,IF(REGEXMATCH(Q1221,""^Sell_""),-ROUNDDOWN(ROUNDUP(INDEX(Upgrades!$C$3:$C$13,MATCH(SUBSTITUTE(Q1221,""Sell_"",""""),Upgrades!$B$3:$B$13,0))*1.15^(COUNTIF(Q$4:Q1220,SUBSTITUTE(Q1221,""Sell_"",""""))-COUNTIF(Q$4"&amp;":Q1220,""Sell_""&amp;SUBSTITUTE(Q1221,""Sell_"",""""))))/2),ROUNDUP(INDEX(Upgrades!$C$3:$C$13,MATCH(Q1221,Upgrades!$B$3:$B$13,0))*1.15^(COUNTIF(Q$4:Q1220,Q1221)-COUNTIF(Q$4:Q1220,""Sell_""&amp;Q1221))))))"),"")</f>
        <v/>
      </c>
      <c r="V1221" s="10" t="str">
        <f t="shared" si="11"/>
        <v/>
      </c>
      <c r="W1221" s="68" t="str">
        <f t="shared" si="12"/>
        <v/>
      </c>
      <c r="X1221" s="59" t="str">
        <f t="shared" si="13"/>
        <v/>
      </c>
      <c r="Y1221" s="69" t="str">
        <f t="shared" si="14"/>
        <v/>
      </c>
      <c r="Z1221" s="11"/>
    </row>
    <row r="1222">
      <c r="A1222" s="8"/>
      <c r="B1222" s="56" t="str">
        <f t="shared" si="2"/>
        <v/>
      </c>
      <c r="C1222" s="105"/>
      <c r="D1222" s="10"/>
      <c r="E1222" s="59" t="str">
        <f t="array" ref="E1222">IF(COUNTA(C1222:C1673)=0,"",SUM((COUNTIF(C$4:C1222,Upgrades!$B$3:$B$13)-COUNTIF(C$4:C1222,"Sell_"&amp;Upgrades!$B$3:$B$13))*Upgrades!$D$3:$D$13))</f>
        <v/>
      </c>
      <c r="F1222" s="66" t="str">
        <f>IFERROR(__xludf.DUMMYFUNCTION("IF(COUNTA(C1222:C1673)=0,"""",IF(REGEXMATCH(INDEX(FILTER(C$4:C1222,C$4:C1222&lt;&gt;""""),ROWS(FILTER(C$4:C1222,C$4:C1222&lt;&gt;""""))),""^Sell_""),INDEX(FILTER(F$4:F1221,C$4:C1221&lt;&gt;""""),ROWS(FILTER(C$4:C1221,C$4:C1221&lt;&gt;""""))),$AC$5+E1222))"),"")</f>
        <v/>
      </c>
      <c r="G1222" s="10" t="str">
        <f>IFERROR(__xludf.DUMMYFUNCTION("IF(COUNTA(C1222:C1673)=0,"""",IF(C1222="""",0,IF(REGEXMATCH(C1222,""^Sell_""),-ROUNDDOWN(ROUNDUP(INDEX(Upgrades!$C$3:$C$13,MATCH(SUBSTITUTE(C1222,""Sell_"",""""),Upgrades!$B$3:$B$13,0))*1.15^(COUNTIF(C$4:C1221,SUBSTITUTE(C1222,""Sell_"",""""))-COUNTIF(C$4"&amp;":C1221,""Sell_""&amp;SUBSTITUTE(C1222,""Sell_"",""""))))/2),ROUNDUP(INDEX(Upgrades!$C$3:$C$13,MATCH(C1222,Upgrades!$B$3:$B$13,0))*1.15^(COUNTIF(C$4:C1221,C1222)-COUNTIF(C$4:C1221,""Sell_""&amp;C1222))))))"),"")</f>
        <v/>
      </c>
      <c r="H1222" s="10" t="str">
        <f t="shared" si="3"/>
        <v/>
      </c>
      <c r="I1222" s="68" t="str">
        <f t="shared" si="4"/>
        <v/>
      </c>
      <c r="J1222" s="59" t="str">
        <f t="shared" si="5"/>
        <v/>
      </c>
      <c r="K1222" s="69" t="str">
        <f t="shared" si="6"/>
        <v/>
      </c>
      <c r="L1222" s="60" t="str">
        <f t="shared" si="7"/>
        <v/>
      </c>
      <c r="M1222" s="61" t="str">
        <f>IFERROR(__xludf.DUMMYFUNCTION("IFS(AND(COUNTA(C1222:C1673)=0,COUNTA(Q1222:Q1673)=0),"""",OR(AND(K1222&gt;=1000000000,OR(Y1222&gt;=1000000000,COUNTA(Q1222:Q1673)=0)),OR(Y1222&gt;=1000000000,AND(COUNTA(C1222:C1673)=0,P$3=TRUE))),
ROUNDDOWN((AB$1-AC$1)*MAX(INDEX(T$4:T1673,MATCH(LARGE(FILTER(Y$4:Y1"&amp;"673,Y$4:Y1673&lt;1000000000),1),Y$4:Y1673)),INDEX(F$4:F1673,MATCH(LARGE(FILTER(K$4:K1673,K$4:K1673&lt;1000000000),1),K$4:K1673)))),AND(K1222&lt;1000000000,COUNTA(C1222:C1673)&gt;0,P$3=FALSE),
ROUNDDOWN(INDEX(Y$4:Y1673,MATCH(LARGE(FILTER(W$4:W1673,W$4:W1673&lt;=I1222),1)"&amp;",W$4:W1673))+(I1222-LARGE(FILTER(W$4:W1673,W$4:W1673&lt;=I1222),1))*INDEX(T$4:T1673,MATCH(LARGE(FILTER(W$4:W1673,W$4:W1673&lt;=I1222),1),W$4:W1673))-K1222),1,
ROUNDDOWN(Y1222-INDEX(K$4:K1673,MATCH(LARGE(FILTER(I$4:I1673,I$4:I1673&lt;=W1222),1),I$4:I1673))-(W1222-L"&amp;"ARGE(FILTER(I$4:I1673,I$4:I1673&lt;=W1222),1))*INDEX(F$4:F1673,MATCH(LARGE(FILTER(I$4:I1673,I$4:I1673&lt;=W1222),1),I$4:I1673))))"),"")</f>
        <v/>
      </c>
      <c r="N1222" s="60" t="str">
        <f t="shared" si="8"/>
        <v/>
      </c>
      <c r="O1222" s="61" t="str">
        <f t="shared" si="9"/>
        <v/>
      </c>
      <c r="P1222" s="56" t="str">
        <f t="shared" si="10"/>
        <v/>
      </c>
      <c r="Q1222" s="67"/>
      <c r="R1222" s="10"/>
      <c r="S1222" s="59" t="str">
        <f t="array" ref="S1222">IF(COUNTA(Q1222:Q1673)=0,"",SUM((COUNTIF(Q$4:Q1222,Upgrades!$B$3:$B$13)-COUNTIF(Q$4:Q1222,"Sell_"&amp;Upgrades!$B$3:$B$13))*Upgrades!$D$3:$D$13))</f>
        <v/>
      </c>
      <c r="T1222" s="66" t="str">
        <f>IFERROR(__xludf.DUMMYFUNCTION("IF(COUNTA(Q1222:Q1673)=0,"""",IF(REGEXMATCH(INDEX(FILTER(Q$4:Q1222,Q$4:Q1222&lt;&gt;""""),ROWS(FILTER(Q$4:Q1222,Q$4:Q1222&lt;&gt;""""))),""^Sell_""),INDEX(FILTER(T$4:T1221,Q$4:Q1221&lt;&gt;""""),ROWS(FILTER(Q$4:Q1221,Q$4:Q1221&lt;&gt;""""))),$AD$5+S1222))"),"")</f>
        <v/>
      </c>
      <c r="U1222" s="10" t="str">
        <f>IFERROR(__xludf.DUMMYFUNCTION("IF(COUNTA(Q1222:Q1673)=0,"""",IF(Q1222="""",0,IF(REGEXMATCH(Q1222,""^Sell_""),-ROUNDDOWN(ROUNDUP(INDEX(Upgrades!$C$3:$C$13,MATCH(SUBSTITUTE(Q1222,""Sell_"",""""),Upgrades!$B$3:$B$13,0))*1.15^(COUNTIF(Q$4:Q1221,SUBSTITUTE(Q1222,""Sell_"",""""))-COUNTIF(Q$4"&amp;":Q1221,""Sell_""&amp;SUBSTITUTE(Q1222,""Sell_"",""""))))/2),ROUNDUP(INDEX(Upgrades!$C$3:$C$13,MATCH(Q1222,Upgrades!$B$3:$B$13,0))*1.15^(COUNTIF(Q$4:Q1221,Q1222)-COUNTIF(Q$4:Q1221,""Sell_""&amp;Q1222))))))"),"")</f>
        <v/>
      </c>
      <c r="V1222" s="10" t="str">
        <f t="shared" si="11"/>
        <v/>
      </c>
      <c r="W1222" s="68" t="str">
        <f t="shared" si="12"/>
        <v/>
      </c>
      <c r="X1222" s="59" t="str">
        <f t="shared" si="13"/>
        <v/>
      </c>
      <c r="Y1222" s="69" t="str">
        <f t="shared" si="14"/>
        <v/>
      </c>
      <c r="Z1222" s="11"/>
    </row>
    <row r="1223">
      <c r="A1223" s="8"/>
      <c r="B1223" s="56" t="str">
        <f t="shared" si="2"/>
        <v/>
      </c>
      <c r="C1223" s="105"/>
      <c r="D1223" s="10"/>
      <c r="E1223" s="59" t="str">
        <f t="array" ref="E1223">IF(COUNTA(C1223:C1673)=0,"",SUM((COUNTIF(C$4:C1223,Upgrades!$B$3:$B$13)-COUNTIF(C$4:C1223,"Sell_"&amp;Upgrades!$B$3:$B$13))*Upgrades!$D$3:$D$13))</f>
        <v/>
      </c>
      <c r="F1223" s="66" t="str">
        <f>IFERROR(__xludf.DUMMYFUNCTION("IF(COUNTA(C1223:C1673)=0,"""",IF(REGEXMATCH(INDEX(FILTER(C$4:C1223,C$4:C1223&lt;&gt;""""),ROWS(FILTER(C$4:C1223,C$4:C1223&lt;&gt;""""))),""^Sell_""),INDEX(FILTER(F$4:F1222,C$4:C1222&lt;&gt;""""),ROWS(FILTER(C$4:C1222,C$4:C1222&lt;&gt;""""))),$AC$5+E1223))"),"")</f>
        <v/>
      </c>
      <c r="G1223" s="10" t="str">
        <f>IFERROR(__xludf.DUMMYFUNCTION("IF(COUNTA(C1223:C1673)=0,"""",IF(C1223="""",0,IF(REGEXMATCH(C1223,""^Sell_""),-ROUNDDOWN(ROUNDUP(INDEX(Upgrades!$C$3:$C$13,MATCH(SUBSTITUTE(C1223,""Sell_"",""""),Upgrades!$B$3:$B$13,0))*1.15^(COUNTIF(C$4:C1222,SUBSTITUTE(C1223,""Sell_"",""""))-COUNTIF(C$4"&amp;":C1222,""Sell_""&amp;SUBSTITUTE(C1223,""Sell_"",""""))))/2),ROUNDUP(INDEX(Upgrades!$C$3:$C$13,MATCH(C1223,Upgrades!$B$3:$B$13,0))*1.15^(COUNTIF(C$4:C1222,C1223)-COUNTIF(C$4:C1222,""Sell_""&amp;C1223))))))"),"")</f>
        <v/>
      </c>
      <c r="H1223" s="10" t="str">
        <f t="shared" si="3"/>
        <v/>
      </c>
      <c r="I1223" s="68" t="str">
        <f t="shared" si="4"/>
        <v/>
      </c>
      <c r="J1223" s="59" t="str">
        <f t="shared" si="5"/>
        <v/>
      </c>
      <c r="K1223" s="69" t="str">
        <f t="shared" si="6"/>
        <v/>
      </c>
      <c r="L1223" s="60" t="str">
        <f t="shared" si="7"/>
        <v/>
      </c>
      <c r="M1223" s="61" t="str">
        <f>IFERROR(__xludf.DUMMYFUNCTION("IFS(AND(COUNTA(C1223:C1673)=0,COUNTA(Q1223:Q1673)=0),"""",OR(AND(K1223&gt;=1000000000,OR(Y1223&gt;=1000000000,COUNTA(Q1223:Q1673)=0)),OR(Y1223&gt;=1000000000,AND(COUNTA(C1223:C1673)=0,P$3=TRUE))),
ROUNDDOWN((AB$1-AC$1)*MAX(INDEX(T$4:T1673,MATCH(LARGE(FILTER(Y$4:Y1"&amp;"673,Y$4:Y1673&lt;1000000000),1),Y$4:Y1673)),INDEX(F$4:F1673,MATCH(LARGE(FILTER(K$4:K1673,K$4:K1673&lt;1000000000),1),K$4:K1673)))),AND(K1223&lt;1000000000,COUNTA(C1223:C1673)&gt;0,P$3=FALSE),
ROUNDDOWN(INDEX(Y$4:Y1673,MATCH(LARGE(FILTER(W$4:W1673,W$4:W1673&lt;=I1223),1)"&amp;",W$4:W1673))+(I1223-LARGE(FILTER(W$4:W1673,W$4:W1673&lt;=I1223),1))*INDEX(T$4:T1673,MATCH(LARGE(FILTER(W$4:W1673,W$4:W1673&lt;=I1223),1),W$4:W1673))-K1223),1,
ROUNDDOWN(Y1223-INDEX(K$4:K1673,MATCH(LARGE(FILTER(I$4:I1673,I$4:I1673&lt;=W1223),1),I$4:I1673))-(W1223-L"&amp;"ARGE(FILTER(I$4:I1673,I$4:I1673&lt;=W1223),1))*INDEX(F$4:F1673,MATCH(LARGE(FILTER(I$4:I1673,I$4:I1673&lt;=W1223),1),I$4:I1673))))"),"")</f>
        <v/>
      </c>
      <c r="N1223" s="60" t="str">
        <f t="shared" si="8"/>
        <v/>
      </c>
      <c r="O1223" s="61" t="str">
        <f t="shared" si="9"/>
        <v/>
      </c>
      <c r="P1223" s="56" t="str">
        <f t="shared" si="10"/>
        <v/>
      </c>
      <c r="Q1223" s="67"/>
      <c r="R1223" s="10"/>
      <c r="S1223" s="59" t="str">
        <f t="array" ref="S1223">IF(COUNTA(Q1223:Q1673)=0,"",SUM((COUNTIF(Q$4:Q1223,Upgrades!$B$3:$B$13)-COUNTIF(Q$4:Q1223,"Sell_"&amp;Upgrades!$B$3:$B$13))*Upgrades!$D$3:$D$13))</f>
        <v/>
      </c>
      <c r="T1223" s="66" t="str">
        <f>IFERROR(__xludf.DUMMYFUNCTION("IF(COUNTA(Q1223:Q1673)=0,"""",IF(REGEXMATCH(INDEX(FILTER(Q$4:Q1223,Q$4:Q1223&lt;&gt;""""),ROWS(FILTER(Q$4:Q1223,Q$4:Q1223&lt;&gt;""""))),""^Sell_""),INDEX(FILTER(T$4:T1222,Q$4:Q1222&lt;&gt;""""),ROWS(FILTER(Q$4:Q1222,Q$4:Q1222&lt;&gt;""""))),$AD$5+S1223))"),"")</f>
        <v/>
      </c>
      <c r="U1223" s="10" t="str">
        <f>IFERROR(__xludf.DUMMYFUNCTION("IF(COUNTA(Q1223:Q1673)=0,"""",IF(Q1223="""",0,IF(REGEXMATCH(Q1223,""^Sell_""),-ROUNDDOWN(ROUNDUP(INDEX(Upgrades!$C$3:$C$13,MATCH(SUBSTITUTE(Q1223,""Sell_"",""""),Upgrades!$B$3:$B$13,0))*1.15^(COUNTIF(Q$4:Q1222,SUBSTITUTE(Q1223,""Sell_"",""""))-COUNTIF(Q$4"&amp;":Q1222,""Sell_""&amp;SUBSTITUTE(Q1223,""Sell_"",""""))))/2),ROUNDUP(INDEX(Upgrades!$C$3:$C$13,MATCH(Q1223,Upgrades!$B$3:$B$13,0))*1.15^(COUNTIF(Q$4:Q1222,Q1223)-COUNTIF(Q$4:Q1222,""Sell_""&amp;Q1223))))))"),"")</f>
        <v/>
      </c>
      <c r="V1223" s="10" t="str">
        <f t="shared" si="11"/>
        <v/>
      </c>
      <c r="W1223" s="68" t="str">
        <f t="shared" si="12"/>
        <v/>
      </c>
      <c r="X1223" s="59" t="str">
        <f t="shared" si="13"/>
        <v/>
      </c>
      <c r="Y1223" s="69" t="str">
        <f t="shared" si="14"/>
        <v/>
      </c>
      <c r="Z1223" s="11"/>
    </row>
    <row r="1224">
      <c r="A1224" s="8"/>
      <c r="B1224" s="56" t="str">
        <f t="shared" si="2"/>
        <v/>
      </c>
      <c r="C1224" s="105"/>
      <c r="D1224" s="10"/>
      <c r="E1224" s="59" t="str">
        <f t="array" ref="E1224">IF(COUNTA(C1224:C1673)=0,"",SUM((COUNTIF(C$4:C1224,Upgrades!$B$3:$B$13)-COUNTIF(C$4:C1224,"Sell_"&amp;Upgrades!$B$3:$B$13))*Upgrades!$D$3:$D$13))</f>
        <v/>
      </c>
      <c r="F1224" s="66" t="str">
        <f>IFERROR(__xludf.DUMMYFUNCTION("IF(COUNTA(C1224:C1673)=0,"""",IF(REGEXMATCH(INDEX(FILTER(C$4:C1224,C$4:C1224&lt;&gt;""""),ROWS(FILTER(C$4:C1224,C$4:C1224&lt;&gt;""""))),""^Sell_""),INDEX(FILTER(F$4:F1223,C$4:C1223&lt;&gt;""""),ROWS(FILTER(C$4:C1223,C$4:C1223&lt;&gt;""""))),$AC$5+E1224))"),"")</f>
        <v/>
      </c>
      <c r="G1224" s="10" t="str">
        <f>IFERROR(__xludf.DUMMYFUNCTION("IF(COUNTA(C1224:C1673)=0,"""",IF(C1224="""",0,IF(REGEXMATCH(C1224,""^Sell_""),-ROUNDDOWN(ROUNDUP(INDEX(Upgrades!$C$3:$C$13,MATCH(SUBSTITUTE(C1224,""Sell_"",""""),Upgrades!$B$3:$B$13,0))*1.15^(COUNTIF(C$4:C1223,SUBSTITUTE(C1224,""Sell_"",""""))-COUNTIF(C$4"&amp;":C1223,""Sell_""&amp;SUBSTITUTE(C1224,""Sell_"",""""))))/2),ROUNDUP(INDEX(Upgrades!$C$3:$C$13,MATCH(C1224,Upgrades!$B$3:$B$13,0))*1.15^(COUNTIF(C$4:C1223,C1224)-COUNTIF(C$4:C1223,""Sell_""&amp;C1224))))))"),"")</f>
        <v/>
      </c>
      <c r="H1224" s="10" t="str">
        <f t="shared" si="3"/>
        <v/>
      </c>
      <c r="I1224" s="68" t="str">
        <f t="shared" si="4"/>
        <v/>
      </c>
      <c r="J1224" s="59" t="str">
        <f t="shared" si="5"/>
        <v/>
      </c>
      <c r="K1224" s="69" t="str">
        <f t="shared" si="6"/>
        <v/>
      </c>
      <c r="L1224" s="60" t="str">
        <f t="shared" si="7"/>
        <v/>
      </c>
      <c r="M1224" s="61" t="str">
        <f>IFERROR(__xludf.DUMMYFUNCTION("IFS(AND(COUNTA(C1224:C1673)=0,COUNTA(Q1224:Q1673)=0),"""",OR(AND(K1224&gt;=1000000000,OR(Y1224&gt;=1000000000,COUNTA(Q1224:Q1673)=0)),OR(Y1224&gt;=1000000000,AND(COUNTA(C1224:C1673)=0,P$3=TRUE))),
ROUNDDOWN((AB$1-AC$1)*MAX(INDEX(T$4:T1673,MATCH(LARGE(FILTER(Y$4:Y1"&amp;"673,Y$4:Y1673&lt;1000000000),1),Y$4:Y1673)),INDEX(F$4:F1673,MATCH(LARGE(FILTER(K$4:K1673,K$4:K1673&lt;1000000000),1),K$4:K1673)))),AND(K1224&lt;1000000000,COUNTA(C1224:C1673)&gt;0,P$3=FALSE),
ROUNDDOWN(INDEX(Y$4:Y1673,MATCH(LARGE(FILTER(W$4:W1673,W$4:W1673&lt;=I1224),1)"&amp;",W$4:W1673))+(I1224-LARGE(FILTER(W$4:W1673,W$4:W1673&lt;=I1224),1))*INDEX(T$4:T1673,MATCH(LARGE(FILTER(W$4:W1673,W$4:W1673&lt;=I1224),1),W$4:W1673))-K1224),1,
ROUNDDOWN(Y1224-INDEX(K$4:K1673,MATCH(LARGE(FILTER(I$4:I1673,I$4:I1673&lt;=W1224),1),I$4:I1673))-(W1224-L"&amp;"ARGE(FILTER(I$4:I1673,I$4:I1673&lt;=W1224),1))*INDEX(F$4:F1673,MATCH(LARGE(FILTER(I$4:I1673,I$4:I1673&lt;=W1224),1),I$4:I1673))))"),"")</f>
        <v/>
      </c>
      <c r="N1224" s="60" t="str">
        <f t="shared" si="8"/>
        <v/>
      </c>
      <c r="O1224" s="61" t="str">
        <f t="shared" si="9"/>
        <v/>
      </c>
      <c r="P1224" s="56" t="str">
        <f t="shared" si="10"/>
        <v/>
      </c>
      <c r="Q1224" s="67"/>
      <c r="R1224" s="10"/>
      <c r="S1224" s="59" t="str">
        <f t="array" ref="S1224">IF(COUNTA(Q1224:Q1673)=0,"",SUM((COUNTIF(Q$4:Q1224,Upgrades!$B$3:$B$13)-COUNTIF(Q$4:Q1224,"Sell_"&amp;Upgrades!$B$3:$B$13))*Upgrades!$D$3:$D$13))</f>
        <v/>
      </c>
      <c r="T1224" s="66" t="str">
        <f>IFERROR(__xludf.DUMMYFUNCTION("IF(COUNTA(Q1224:Q1673)=0,"""",IF(REGEXMATCH(INDEX(FILTER(Q$4:Q1224,Q$4:Q1224&lt;&gt;""""),ROWS(FILTER(Q$4:Q1224,Q$4:Q1224&lt;&gt;""""))),""^Sell_""),INDEX(FILTER(T$4:T1223,Q$4:Q1223&lt;&gt;""""),ROWS(FILTER(Q$4:Q1223,Q$4:Q1223&lt;&gt;""""))),$AD$5+S1224))"),"")</f>
        <v/>
      </c>
      <c r="U1224" s="10" t="str">
        <f>IFERROR(__xludf.DUMMYFUNCTION("IF(COUNTA(Q1224:Q1673)=0,"""",IF(Q1224="""",0,IF(REGEXMATCH(Q1224,""^Sell_""),-ROUNDDOWN(ROUNDUP(INDEX(Upgrades!$C$3:$C$13,MATCH(SUBSTITUTE(Q1224,""Sell_"",""""),Upgrades!$B$3:$B$13,0))*1.15^(COUNTIF(Q$4:Q1223,SUBSTITUTE(Q1224,""Sell_"",""""))-COUNTIF(Q$4"&amp;":Q1223,""Sell_""&amp;SUBSTITUTE(Q1224,""Sell_"",""""))))/2),ROUNDUP(INDEX(Upgrades!$C$3:$C$13,MATCH(Q1224,Upgrades!$B$3:$B$13,0))*1.15^(COUNTIF(Q$4:Q1223,Q1224)-COUNTIF(Q$4:Q1223,""Sell_""&amp;Q1224))))))"),"")</f>
        <v/>
      </c>
      <c r="V1224" s="10" t="str">
        <f t="shared" si="11"/>
        <v/>
      </c>
      <c r="W1224" s="68" t="str">
        <f t="shared" si="12"/>
        <v/>
      </c>
      <c r="X1224" s="59" t="str">
        <f t="shared" si="13"/>
        <v/>
      </c>
      <c r="Y1224" s="69" t="str">
        <f t="shared" si="14"/>
        <v/>
      </c>
      <c r="Z1224" s="11"/>
    </row>
    <row r="1225">
      <c r="A1225" s="8"/>
      <c r="B1225" s="56" t="str">
        <f t="shared" si="2"/>
        <v/>
      </c>
      <c r="C1225" s="105"/>
      <c r="D1225" s="10"/>
      <c r="E1225" s="59" t="str">
        <f t="array" ref="E1225">IF(COUNTA(C1225:C1673)=0,"",SUM((COUNTIF(C$4:C1225,Upgrades!$B$3:$B$13)-COUNTIF(C$4:C1225,"Sell_"&amp;Upgrades!$B$3:$B$13))*Upgrades!$D$3:$D$13))</f>
        <v/>
      </c>
      <c r="F1225" s="66" t="str">
        <f>IFERROR(__xludf.DUMMYFUNCTION("IF(COUNTA(C1225:C1673)=0,"""",IF(REGEXMATCH(INDEX(FILTER(C$4:C1225,C$4:C1225&lt;&gt;""""),ROWS(FILTER(C$4:C1225,C$4:C1225&lt;&gt;""""))),""^Sell_""),INDEX(FILTER(F$4:F1224,C$4:C1224&lt;&gt;""""),ROWS(FILTER(C$4:C1224,C$4:C1224&lt;&gt;""""))),$AC$5+E1225))"),"")</f>
        <v/>
      </c>
      <c r="G1225" s="10" t="str">
        <f>IFERROR(__xludf.DUMMYFUNCTION("IF(COUNTA(C1225:C1673)=0,"""",IF(C1225="""",0,IF(REGEXMATCH(C1225,""^Sell_""),-ROUNDDOWN(ROUNDUP(INDEX(Upgrades!$C$3:$C$13,MATCH(SUBSTITUTE(C1225,""Sell_"",""""),Upgrades!$B$3:$B$13,0))*1.15^(COUNTIF(C$4:C1224,SUBSTITUTE(C1225,""Sell_"",""""))-COUNTIF(C$4"&amp;":C1224,""Sell_""&amp;SUBSTITUTE(C1225,""Sell_"",""""))))/2),ROUNDUP(INDEX(Upgrades!$C$3:$C$13,MATCH(C1225,Upgrades!$B$3:$B$13,0))*1.15^(COUNTIF(C$4:C1224,C1225)-COUNTIF(C$4:C1224,""Sell_""&amp;C1225))))))"),"")</f>
        <v/>
      </c>
      <c r="H1225" s="10" t="str">
        <f t="shared" si="3"/>
        <v/>
      </c>
      <c r="I1225" s="68" t="str">
        <f t="shared" si="4"/>
        <v/>
      </c>
      <c r="J1225" s="59" t="str">
        <f t="shared" si="5"/>
        <v/>
      </c>
      <c r="K1225" s="69" t="str">
        <f t="shared" si="6"/>
        <v/>
      </c>
      <c r="L1225" s="60" t="str">
        <f t="shared" si="7"/>
        <v/>
      </c>
      <c r="M1225" s="61" t="str">
        <f>IFERROR(__xludf.DUMMYFUNCTION("IFS(AND(COUNTA(C1225:C1673)=0,COUNTA(Q1225:Q1673)=0),"""",OR(AND(K1225&gt;=1000000000,OR(Y1225&gt;=1000000000,COUNTA(Q1225:Q1673)=0)),OR(Y1225&gt;=1000000000,AND(COUNTA(C1225:C1673)=0,P$3=TRUE))),
ROUNDDOWN((AB$1-AC$1)*MAX(INDEX(T$4:T1673,MATCH(LARGE(FILTER(Y$4:Y1"&amp;"673,Y$4:Y1673&lt;1000000000),1),Y$4:Y1673)),INDEX(F$4:F1673,MATCH(LARGE(FILTER(K$4:K1673,K$4:K1673&lt;1000000000),1),K$4:K1673)))),AND(K1225&lt;1000000000,COUNTA(C1225:C1673)&gt;0,P$3=FALSE),
ROUNDDOWN(INDEX(Y$4:Y1673,MATCH(LARGE(FILTER(W$4:W1673,W$4:W1673&lt;=I1225),1)"&amp;",W$4:W1673))+(I1225-LARGE(FILTER(W$4:W1673,W$4:W1673&lt;=I1225),1))*INDEX(T$4:T1673,MATCH(LARGE(FILTER(W$4:W1673,W$4:W1673&lt;=I1225),1),W$4:W1673))-K1225),1,
ROUNDDOWN(Y1225-INDEX(K$4:K1673,MATCH(LARGE(FILTER(I$4:I1673,I$4:I1673&lt;=W1225),1),I$4:I1673))-(W1225-L"&amp;"ARGE(FILTER(I$4:I1673,I$4:I1673&lt;=W1225),1))*INDEX(F$4:F1673,MATCH(LARGE(FILTER(I$4:I1673,I$4:I1673&lt;=W1225),1),I$4:I1673))))"),"")</f>
        <v/>
      </c>
      <c r="N1225" s="60" t="str">
        <f t="shared" si="8"/>
        <v/>
      </c>
      <c r="O1225" s="61" t="str">
        <f t="shared" si="9"/>
        <v/>
      </c>
      <c r="P1225" s="56" t="str">
        <f t="shared" si="10"/>
        <v/>
      </c>
      <c r="Q1225" s="67"/>
      <c r="R1225" s="10"/>
      <c r="S1225" s="59" t="str">
        <f t="array" ref="S1225">IF(COUNTA(Q1225:Q1673)=0,"",SUM((COUNTIF(Q$4:Q1225,Upgrades!$B$3:$B$13)-COUNTIF(Q$4:Q1225,"Sell_"&amp;Upgrades!$B$3:$B$13))*Upgrades!$D$3:$D$13))</f>
        <v/>
      </c>
      <c r="T1225" s="66" t="str">
        <f>IFERROR(__xludf.DUMMYFUNCTION("IF(COUNTA(Q1225:Q1673)=0,"""",IF(REGEXMATCH(INDEX(FILTER(Q$4:Q1225,Q$4:Q1225&lt;&gt;""""),ROWS(FILTER(Q$4:Q1225,Q$4:Q1225&lt;&gt;""""))),""^Sell_""),INDEX(FILTER(T$4:T1224,Q$4:Q1224&lt;&gt;""""),ROWS(FILTER(Q$4:Q1224,Q$4:Q1224&lt;&gt;""""))),$AD$5+S1225))"),"")</f>
        <v/>
      </c>
      <c r="U1225" s="10" t="str">
        <f>IFERROR(__xludf.DUMMYFUNCTION("IF(COUNTA(Q1225:Q1673)=0,"""",IF(Q1225="""",0,IF(REGEXMATCH(Q1225,""^Sell_""),-ROUNDDOWN(ROUNDUP(INDEX(Upgrades!$C$3:$C$13,MATCH(SUBSTITUTE(Q1225,""Sell_"",""""),Upgrades!$B$3:$B$13,0))*1.15^(COUNTIF(Q$4:Q1224,SUBSTITUTE(Q1225,""Sell_"",""""))-COUNTIF(Q$4"&amp;":Q1224,""Sell_""&amp;SUBSTITUTE(Q1225,""Sell_"",""""))))/2),ROUNDUP(INDEX(Upgrades!$C$3:$C$13,MATCH(Q1225,Upgrades!$B$3:$B$13,0))*1.15^(COUNTIF(Q$4:Q1224,Q1225)-COUNTIF(Q$4:Q1224,""Sell_""&amp;Q1225))))))"),"")</f>
        <v/>
      </c>
      <c r="V1225" s="10" t="str">
        <f t="shared" si="11"/>
        <v/>
      </c>
      <c r="W1225" s="68" t="str">
        <f t="shared" si="12"/>
        <v/>
      </c>
      <c r="X1225" s="59" t="str">
        <f t="shared" si="13"/>
        <v/>
      </c>
      <c r="Y1225" s="69" t="str">
        <f t="shared" si="14"/>
        <v/>
      </c>
      <c r="Z1225" s="11"/>
    </row>
    <row r="1226">
      <c r="A1226" s="8"/>
      <c r="B1226" s="56" t="str">
        <f t="shared" si="2"/>
        <v/>
      </c>
      <c r="C1226" s="105"/>
      <c r="D1226" s="10"/>
      <c r="E1226" s="59" t="str">
        <f t="array" ref="E1226">IF(COUNTA(C1226:C1673)=0,"",SUM((COUNTIF(C$4:C1226,Upgrades!$B$3:$B$13)-COUNTIF(C$4:C1226,"Sell_"&amp;Upgrades!$B$3:$B$13))*Upgrades!$D$3:$D$13))</f>
        <v/>
      </c>
      <c r="F1226" s="66" t="str">
        <f>IFERROR(__xludf.DUMMYFUNCTION("IF(COUNTA(C1226:C1673)=0,"""",IF(REGEXMATCH(INDEX(FILTER(C$4:C1226,C$4:C1226&lt;&gt;""""),ROWS(FILTER(C$4:C1226,C$4:C1226&lt;&gt;""""))),""^Sell_""),INDEX(FILTER(F$4:F1225,C$4:C1225&lt;&gt;""""),ROWS(FILTER(C$4:C1225,C$4:C1225&lt;&gt;""""))),$AC$5+E1226))"),"")</f>
        <v/>
      </c>
      <c r="G1226" s="10" t="str">
        <f>IFERROR(__xludf.DUMMYFUNCTION("IF(COUNTA(C1226:C1673)=0,"""",IF(C1226="""",0,IF(REGEXMATCH(C1226,""^Sell_""),-ROUNDDOWN(ROUNDUP(INDEX(Upgrades!$C$3:$C$13,MATCH(SUBSTITUTE(C1226,""Sell_"",""""),Upgrades!$B$3:$B$13,0))*1.15^(COUNTIF(C$4:C1225,SUBSTITUTE(C1226,""Sell_"",""""))-COUNTIF(C$4"&amp;":C1225,""Sell_""&amp;SUBSTITUTE(C1226,""Sell_"",""""))))/2),ROUNDUP(INDEX(Upgrades!$C$3:$C$13,MATCH(C1226,Upgrades!$B$3:$B$13,0))*1.15^(COUNTIF(C$4:C1225,C1226)-COUNTIF(C$4:C1225,""Sell_""&amp;C1226))))))"),"")</f>
        <v/>
      </c>
      <c r="H1226" s="10" t="str">
        <f t="shared" si="3"/>
        <v/>
      </c>
      <c r="I1226" s="68" t="str">
        <f t="shared" si="4"/>
        <v/>
      </c>
      <c r="J1226" s="59" t="str">
        <f t="shared" si="5"/>
        <v/>
      </c>
      <c r="K1226" s="69" t="str">
        <f t="shared" si="6"/>
        <v/>
      </c>
      <c r="L1226" s="60" t="str">
        <f t="shared" si="7"/>
        <v/>
      </c>
      <c r="M1226" s="61" t="str">
        <f>IFERROR(__xludf.DUMMYFUNCTION("IFS(AND(COUNTA(C1226:C1673)=0,COUNTA(Q1226:Q1673)=0),"""",OR(AND(K1226&gt;=1000000000,OR(Y1226&gt;=1000000000,COUNTA(Q1226:Q1673)=0)),OR(Y1226&gt;=1000000000,AND(COUNTA(C1226:C1673)=0,P$3=TRUE))),
ROUNDDOWN((AB$1-AC$1)*MAX(INDEX(T$4:T1673,MATCH(LARGE(FILTER(Y$4:Y1"&amp;"673,Y$4:Y1673&lt;1000000000),1),Y$4:Y1673)),INDEX(F$4:F1673,MATCH(LARGE(FILTER(K$4:K1673,K$4:K1673&lt;1000000000),1),K$4:K1673)))),AND(K1226&lt;1000000000,COUNTA(C1226:C1673)&gt;0,P$3=FALSE),
ROUNDDOWN(INDEX(Y$4:Y1673,MATCH(LARGE(FILTER(W$4:W1673,W$4:W1673&lt;=I1226),1)"&amp;",W$4:W1673))+(I1226-LARGE(FILTER(W$4:W1673,W$4:W1673&lt;=I1226),1))*INDEX(T$4:T1673,MATCH(LARGE(FILTER(W$4:W1673,W$4:W1673&lt;=I1226),1),W$4:W1673))-K1226),1,
ROUNDDOWN(Y1226-INDEX(K$4:K1673,MATCH(LARGE(FILTER(I$4:I1673,I$4:I1673&lt;=W1226),1),I$4:I1673))-(W1226-L"&amp;"ARGE(FILTER(I$4:I1673,I$4:I1673&lt;=W1226),1))*INDEX(F$4:F1673,MATCH(LARGE(FILTER(I$4:I1673,I$4:I1673&lt;=W1226),1),I$4:I1673))))"),"")</f>
        <v/>
      </c>
      <c r="N1226" s="60" t="str">
        <f t="shared" si="8"/>
        <v/>
      </c>
      <c r="O1226" s="61" t="str">
        <f t="shared" si="9"/>
        <v/>
      </c>
      <c r="P1226" s="56" t="str">
        <f t="shared" si="10"/>
        <v/>
      </c>
      <c r="Q1226" s="67"/>
      <c r="R1226" s="10"/>
      <c r="S1226" s="59" t="str">
        <f t="array" ref="S1226">IF(COUNTA(Q1226:Q1673)=0,"",SUM((COUNTIF(Q$4:Q1226,Upgrades!$B$3:$B$13)-COUNTIF(Q$4:Q1226,"Sell_"&amp;Upgrades!$B$3:$B$13))*Upgrades!$D$3:$D$13))</f>
        <v/>
      </c>
      <c r="T1226" s="66" t="str">
        <f>IFERROR(__xludf.DUMMYFUNCTION("IF(COUNTA(Q1226:Q1673)=0,"""",IF(REGEXMATCH(INDEX(FILTER(Q$4:Q1226,Q$4:Q1226&lt;&gt;""""),ROWS(FILTER(Q$4:Q1226,Q$4:Q1226&lt;&gt;""""))),""^Sell_""),INDEX(FILTER(T$4:T1225,Q$4:Q1225&lt;&gt;""""),ROWS(FILTER(Q$4:Q1225,Q$4:Q1225&lt;&gt;""""))),$AD$5+S1226))"),"")</f>
        <v/>
      </c>
      <c r="U1226" s="10" t="str">
        <f>IFERROR(__xludf.DUMMYFUNCTION("IF(COUNTA(Q1226:Q1673)=0,"""",IF(Q1226="""",0,IF(REGEXMATCH(Q1226,""^Sell_""),-ROUNDDOWN(ROUNDUP(INDEX(Upgrades!$C$3:$C$13,MATCH(SUBSTITUTE(Q1226,""Sell_"",""""),Upgrades!$B$3:$B$13,0))*1.15^(COUNTIF(Q$4:Q1225,SUBSTITUTE(Q1226,""Sell_"",""""))-COUNTIF(Q$4"&amp;":Q1225,""Sell_""&amp;SUBSTITUTE(Q1226,""Sell_"",""""))))/2),ROUNDUP(INDEX(Upgrades!$C$3:$C$13,MATCH(Q1226,Upgrades!$B$3:$B$13,0))*1.15^(COUNTIF(Q$4:Q1225,Q1226)-COUNTIF(Q$4:Q1225,""Sell_""&amp;Q1226))))))"),"")</f>
        <v/>
      </c>
      <c r="V1226" s="10" t="str">
        <f t="shared" si="11"/>
        <v/>
      </c>
      <c r="W1226" s="68" t="str">
        <f t="shared" si="12"/>
        <v/>
      </c>
      <c r="X1226" s="59" t="str">
        <f t="shared" si="13"/>
        <v/>
      </c>
      <c r="Y1226" s="69" t="str">
        <f t="shared" si="14"/>
        <v/>
      </c>
      <c r="Z1226" s="11"/>
    </row>
    <row r="1227">
      <c r="A1227" s="8"/>
      <c r="B1227" s="56" t="str">
        <f t="shared" si="2"/>
        <v/>
      </c>
      <c r="C1227" s="105"/>
      <c r="D1227" s="10"/>
      <c r="E1227" s="59" t="str">
        <f t="array" ref="E1227">IF(COUNTA(C1227:C1673)=0,"",SUM((COUNTIF(C$4:C1227,Upgrades!$B$3:$B$13)-COUNTIF(C$4:C1227,"Sell_"&amp;Upgrades!$B$3:$B$13))*Upgrades!$D$3:$D$13))</f>
        <v/>
      </c>
      <c r="F1227" s="66" t="str">
        <f>IFERROR(__xludf.DUMMYFUNCTION("IF(COUNTA(C1227:C1673)=0,"""",IF(REGEXMATCH(INDEX(FILTER(C$4:C1227,C$4:C1227&lt;&gt;""""),ROWS(FILTER(C$4:C1227,C$4:C1227&lt;&gt;""""))),""^Sell_""),INDEX(FILTER(F$4:F1226,C$4:C1226&lt;&gt;""""),ROWS(FILTER(C$4:C1226,C$4:C1226&lt;&gt;""""))),$AC$5+E1227))"),"")</f>
        <v/>
      </c>
      <c r="G1227" s="10" t="str">
        <f>IFERROR(__xludf.DUMMYFUNCTION("IF(COUNTA(C1227:C1673)=0,"""",IF(C1227="""",0,IF(REGEXMATCH(C1227,""^Sell_""),-ROUNDDOWN(ROUNDUP(INDEX(Upgrades!$C$3:$C$13,MATCH(SUBSTITUTE(C1227,""Sell_"",""""),Upgrades!$B$3:$B$13,0))*1.15^(COUNTIF(C$4:C1226,SUBSTITUTE(C1227,""Sell_"",""""))-COUNTIF(C$4"&amp;":C1226,""Sell_""&amp;SUBSTITUTE(C1227,""Sell_"",""""))))/2),ROUNDUP(INDEX(Upgrades!$C$3:$C$13,MATCH(C1227,Upgrades!$B$3:$B$13,0))*1.15^(COUNTIF(C$4:C1226,C1227)-COUNTIF(C$4:C1226,""Sell_""&amp;C1227))))))"),"")</f>
        <v/>
      </c>
      <c r="H1227" s="10" t="str">
        <f t="shared" si="3"/>
        <v/>
      </c>
      <c r="I1227" s="68" t="str">
        <f t="shared" si="4"/>
        <v/>
      </c>
      <c r="J1227" s="59" t="str">
        <f t="shared" si="5"/>
        <v/>
      </c>
      <c r="K1227" s="69" t="str">
        <f t="shared" si="6"/>
        <v/>
      </c>
      <c r="L1227" s="60" t="str">
        <f t="shared" si="7"/>
        <v/>
      </c>
      <c r="M1227" s="61" t="str">
        <f>IFERROR(__xludf.DUMMYFUNCTION("IFS(AND(COUNTA(C1227:C1673)=0,COUNTA(Q1227:Q1673)=0),"""",OR(AND(K1227&gt;=1000000000,OR(Y1227&gt;=1000000000,COUNTA(Q1227:Q1673)=0)),OR(Y1227&gt;=1000000000,AND(COUNTA(C1227:C1673)=0,P$3=TRUE))),
ROUNDDOWN((AB$1-AC$1)*MAX(INDEX(T$4:T1673,MATCH(LARGE(FILTER(Y$4:Y1"&amp;"673,Y$4:Y1673&lt;1000000000),1),Y$4:Y1673)),INDEX(F$4:F1673,MATCH(LARGE(FILTER(K$4:K1673,K$4:K1673&lt;1000000000),1),K$4:K1673)))),AND(K1227&lt;1000000000,COUNTA(C1227:C1673)&gt;0,P$3=FALSE),
ROUNDDOWN(INDEX(Y$4:Y1673,MATCH(LARGE(FILTER(W$4:W1673,W$4:W1673&lt;=I1227),1)"&amp;",W$4:W1673))+(I1227-LARGE(FILTER(W$4:W1673,W$4:W1673&lt;=I1227),1))*INDEX(T$4:T1673,MATCH(LARGE(FILTER(W$4:W1673,W$4:W1673&lt;=I1227),1),W$4:W1673))-K1227),1,
ROUNDDOWN(Y1227-INDEX(K$4:K1673,MATCH(LARGE(FILTER(I$4:I1673,I$4:I1673&lt;=W1227),1),I$4:I1673))-(W1227-L"&amp;"ARGE(FILTER(I$4:I1673,I$4:I1673&lt;=W1227),1))*INDEX(F$4:F1673,MATCH(LARGE(FILTER(I$4:I1673,I$4:I1673&lt;=W1227),1),I$4:I1673))))"),"")</f>
        <v/>
      </c>
      <c r="N1227" s="60" t="str">
        <f t="shared" si="8"/>
        <v/>
      </c>
      <c r="O1227" s="61" t="str">
        <f t="shared" si="9"/>
        <v/>
      </c>
      <c r="P1227" s="56" t="str">
        <f t="shared" si="10"/>
        <v/>
      </c>
      <c r="Q1227" s="67"/>
      <c r="R1227" s="10"/>
      <c r="S1227" s="59" t="str">
        <f t="array" ref="S1227">IF(COUNTA(Q1227:Q1673)=0,"",SUM((COUNTIF(Q$4:Q1227,Upgrades!$B$3:$B$13)-COUNTIF(Q$4:Q1227,"Sell_"&amp;Upgrades!$B$3:$B$13))*Upgrades!$D$3:$D$13))</f>
        <v/>
      </c>
      <c r="T1227" s="66" t="str">
        <f>IFERROR(__xludf.DUMMYFUNCTION("IF(COUNTA(Q1227:Q1673)=0,"""",IF(REGEXMATCH(INDEX(FILTER(Q$4:Q1227,Q$4:Q1227&lt;&gt;""""),ROWS(FILTER(Q$4:Q1227,Q$4:Q1227&lt;&gt;""""))),""^Sell_""),INDEX(FILTER(T$4:T1226,Q$4:Q1226&lt;&gt;""""),ROWS(FILTER(Q$4:Q1226,Q$4:Q1226&lt;&gt;""""))),$AD$5+S1227))"),"")</f>
        <v/>
      </c>
      <c r="U1227" s="10" t="str">
        <f>IFERROR(__xludf.DUMMYFUNCTION("IF(COUNTA(Q1227:Q1673)=0,"""",IF(Q1227="""",0,IF(REGEXMATCH(Q1227,""^Sell_""),-ROUNDDOWN(ROUNDUP(INDEX(Upgrades!$C$3:$C$13,MATCH(SUBSTITUTE(Q1227,""Sell_"",""""),Upgrades!$B$3:$B$13,0))*1.15^(COUNTIF(Q$4:Q1226,SUBSTITUTE(Q1227,""Sell_"",""""))-COUNTIF(Q$4"&amp;":Q1226,""Sell_""&amp;SUBSTITUTE(Q1227,""Sell_"",""""))))/2),ROUNDUP(INDEX(Upgrades!$C$3:$C$13,MATCH(Q1227,Upgrades!$B$3:$B$13,0))*1.15^(COUNTIF(Q$4:Q1226,Q1227)-COUNTIF(Q$4:Q1226,""Sell_""&amp;Q1227))))))"),"")</f>
        <v/>
      </c>
      <c r="V1227" s="10" t="str">
        <f t="shared" si="11"/>
        <v/>
      </c>
      <c r="W1227" s="68" t="str">
        <f t="shared" si="12"/>
        <v/>
      </c>
      <c r="X1227" s="59" t="str">
        <f t="shared" si="13"/>
        <v/>
      </c>
      <c r="Y1227" s="69" t="str">
        <f t="shared" si="14"/>
        <v/>
      </c>
      <c r="Z1227" s="11"/>
    </row>
    <row r="1228">
      <c r="A1228" s="8"/>
      <c r="B1228" s="56" t="str">
        <f t="shared" si="2"/>
        <v/>
      </c>
      <c r="C1228" s="105"/>
      <c r="D1228" s="10"/>
      <c r="E1228" s="59" t="str">
        <f t="array" ref="E1228">IF(COUNTA(C1228:C1673)=0,"",SUM((COUNTIF(C$4:C1228,Upgrades!$B$3:$B$13)-COUNTIF(C$4:C1228,"Sell_"&amp;Upgrades!$B$3:$B$13))*Upgrades!$D$3:$D$13))</f>
        <v/>
      </c>
      <c r="F1228" s="66" t="str">
        <f>IFERROR(__xludf.DUMMYFUNCTION("IF(COUNTA(C1228:C1673)=0,"""",IF(REGEXMATCH(INDEX(FILTER(C$4:C1228,C$4:C1228&lt;&gt;""""),ROWS(FILTER(C$4:C1228,C$4:C1228&lt;&gt;""""))),""^Sell_""),INDEX(FILTER(F$4:F1227,C$4:C1227&lt;&gt;""""),ROWS(FILTER(C$4:C1227,C$4:C1227&lt;&gt;""""))),$AC$5+E1228))"),"")</f>
        <v/>
      </c>
      <c r="G1228" s="10" t="str">
        <f>IFERROR(__xludf.DUMMYFUNCTION("IF(COUNTA(C1228:C1673)=0,"""",IF(C1228="""",0,IF(REGEXMATCH(C1228,""^Sell_""),-ROUNDDOWN(ROUNDUP(INDEX(Upgrades!$C$3:$C$13,MATCH(SUBSTITUTE(C1228,""Sell_"",""""),Upgrades!$B$3:$B$13,0))*1.15^(COUNTIF(C$4:C1227,SUBSTITUTE(C1228,""Sell_"",""""))-COUNTIF(C$4"&amp;":C1227,""Sell_""&amp;SUBSTITUTE(C1228,""Sell_"",""""))))/2),ROUNDUP(INDEX(Upgrades!$C$3:$C$13,MATCH(C1228,Upgrades!$B$3:$B$13,0))*1.15^(COUNTIF(C$4:C1227,C1228)-COUNTIF(C$4:C1227,""Sell_""&amp;C1228))))))"),"")</f>
        <v/>
      </c>
      <c r="H1228" s="10" t="str">
        <f t="shared" si="3"/>
        <v/>
      </c>
      <c r="I1228" s="68" t="str">
        <f t="shared" si="4"/>
        <v/>
      </c>
      <c r="J1228" s="59" t="str">
        <f t="shared" si="5"/>
        <v/>
      </c>
      <c r="K1228" s="69" t="str">
        <f t="shared" si="6"/>
        <v/>
      </c>
      <c r="L1228" s="60" t="str">
        <f t="shared" si="7"/>
        <v/>
      </c>
      <c r="M1228" s="61" t="str">
        <f>IFERROR(__xludf.DUMMYFUNCTION("IFS(AND(COUNTA(C1228:C1673)=0,COUNTA(Q1228:Q1673)=0),"""",OR(AND(K1228&gt;=1000000000,OR(Y1228&gt;=1000000000,COUNTA(Q1228:Q1673)=0)),OR(Y1228&gt;=1000000000,AND(COUNTA(C1228:C1673)=0,P$3=TRUE))),
ROUNDDOWN((AB$1-AC$1)*MAX(INDEX(T$4:T1673,MATCH(LARGE(FILTER(Y$4:Y1"&amp;"673,Y$4:Y1673&lt;1000000000),1),Y$4:Y1673)),INDEX(F$4:F1673,MATCH(LARGE(FILTER(K$4:K1673,K$4:K1673&lt;1000000000),1),K$4:K1673)))),AND(K1228&lt;1000000000,COUNTA(C1228:C1673)&gt;0,P$3=FALSE),
ROUNDDOWN(INDEX(Y$4:Y1673,MATCH(LARGE(FILTER(W$4:W1673,W$4:W1673&lt;=I1228),1)"&amp;",W$4:W1673))+(I1228-LARGE(FILTER(W$4:W1673,W$4:W1673&lt;=I1228),1))*INDEX(T$4:T1673,MATCH(LARGE(FILTER(W$4:W1673,W$4:W1673&lt;=I1228),1),W$4:W1673))-K1228),1,
ROUNDDOWN(Y1228-INDEX(K$4:K1673,MATCH(LARGE(FILTER(I$4:I1673,I$4:I1673&lt;=W1228),1),I$4:I1673))-(W1228-L"&amp;"ARGE(FILTER(I$4:I1673,I$4:I1673&lt;=W1228),1))*INDEX(F$4:F1673,MATCH(LARGE(FILTER(I$4:I1673,I$4:I1673&lt;=W1228),1),I$4:I1673))))"),"")</f>
        <v/>
      </c>
      <c r="N1228" s="60" t="str">
        <f t="shared" si="8"/>
        <v/>
      </c>
      <c r="O1228" s="61" t="str">
        <f t="shared" si="9"/>
        <v/>
      </c>
      <c r="P1228" s="56" t="str">
        <f t="shared" si="10"/>
        <v/>
      </c>
      <c r="Q1228" s="67"/>
      <c r="R1228" s="10"/>
      <c r="S1228" s="59" t="str">
        <f t="array" ref="S1228">IF(COUNTA(Q1228:Q1673)=0,"",SUM((COUNTIF(Q$4:Q1228,Upgrades!$B$3:$B$13)-COUNTIF(Q$4:Q1228,"Sell_"&amp;Upgrades!$B$3:$B$13))*Upgrades!$D$3:$D$13))</f>
        <v/>
      </c>
      <c r="T1228" s="66" t="str">
        <f>IFERROR(__xludf.DUMMYFUNCTION("IF(COUNTA(Q1228:Q1673)=0,"""",IF(REGEXMATCH(INDEX(FILTER(Q$4:Q1228,Q$4:Q1228&lt;&gt;""""),ROWS(FILTER(Q$4:Q1228,Q$4:Q1228&lt;&gt;""""))),""^Sell_""),INDEX(FILTER(T$4:T1227,Q$4:Q1227&lt;&gt;""""),ROWS(FILTER(Q$4:Q1227,Q$4:Q1227&lt;&gt;""""))),$AD$5+S1228))"),"")</f>
        <v/>
      </c>
      <c r="U1228" s="10" t="str">
        <f>IFERROR(__xludf.DUMMYFUNCTION("IF(COUNTA(Q1228:Q1673)=0,"""",IF(Q1228="""",0,IF(REGEXMATCH(Q1228,""^Sell_""),-ROUNDDOWN(ROUNDUP(INDEX(Upgrades!$C$3:$C$13,MATCH(SUBSTITUTE(Q1228,""Sell_"",""""),Upgrades!$B$3:$B$13,0))*1.15^(COUNTIF(Q$4:Q1227,SUBSTITUTE(Q1228,""Sell_"",""""))-COUNTIF(Q$4"&amp;":Q1227,""Sell_""&amp;SUBSTITUTE(Q1228,""Sell_"",""""))))/2),ROUNDUP(INDEX(Upgrades!$C$3:$C$13,MATCH(Q1228,Upgrades!$B$3:$B$13,0))*1.15^(COUNTIF(Q$4:Q1227,Q1228)-COUNTIF(Q$4:Q1227,""Sell_""&amp;Q1228))))))"),"")</f>
        <v/>
      </c>
      <c r="V1228" s="10" t="str">
        <f t="shared" si="11"/>
        <v/>
      </c>
      <c r="W1228" s="68" t="str">
        <f t="shared" si="12"/>
        <v/>
      </c>
      <c r="X1228" s="59" t="str">
        <f t="shared" si="13"/>
        <v/>
      </c>
      <c r="Y1228" s="69" t="str">
        <f t="shared" si="14"/>
        <v/>
      </c>
      <c r="Z1228" s="11"/>
    </row>
    <row r="1229">
      <c r="A1229" s="8"/>
      <c r="B1229" s="56" t="str">
        <f t="shared" si="2"/>
        <v/>
      </c>
      <c r="C1229" s="105"/>
      <c r="D1229" s="10"/>
      <c r="E1229" s="59" t="str">
        <f t="array" ref="E1229">IF(COUNTA(C1229:C1673)=0,"",SUM((COUNTIF(C$4:C1229,Upgrades!$B$3:$B$13)-COUNTIF(C$4:C1229,"Sell_"&amp;Upgrades!$B$3:$B$13))*Upgrades!$D$3:$D$13))</f>
        <v/>
      </c>
      <c r="F1229" s="66" t="str">
        <f>IFERROR(__xludf.DUMMYFUNCTION("IF(COUNTA(C1229:C1673)=0,"""",IF(REGEXMATCH(INDEX(FILTER(C$4:C1229,C$4:C1229&lt;&gt;""""),ROWS(FILTER(C$4:C1229,C$4:C1229&lt;&gt;""""))),""^Sell_""),INDEX(FILTER(F$4:F1228,C$4:C1228&lt;&gt;""""),ROWS(FILTER(C$4:C1228,C$4:C1228&lt;&gt;""""))),$AC$5+E1229))"),"")</f>
        <v/>
      </c>
      <c r="G1229" s="10" t="str">
        <f>IFERROR(__xludf.DUMMYFUNCTION("IF(COUNTA(C1229:C1673)=0,"""",IF(C1229="""",0,IF(REGEXMATCH(C1229,""^Sell_""),-ROUNDDOWN(ROUNDUP(INDEX(Upgrades!$C$3:$C$13,MATCH(SUBSTITUTE(C1229,""Sell_"",""""),Upgrades!$B$3:$B$13,0))*1.15^(COUNTIF(C$4:C1228,SUBSTITUTE(C1229,""Sell_"",""""))-COUNTIF(C$4"&amp;":C1228,""Sell_""&amp;SUBSTITUTE(C1229,""Sell_"",""""))))/2),ROUNDUP(INDEX(Upgrades!$C$3:$C$13,MATCH(C1229,Upgrades!$B$3:$B$13,0))*1.15^(COUNTIF(C$4:C1228,C1229)-COUNTIF(C$4:C1228,""Sell_""&amp;C1229))))))"),"")</f>
        <v/>
      </c>
      <c r="H1229" s="10" t="str">
        <f t="shared" si="3"/>
        <v/>
      </c>
      <c r="I1229" s="68" t="str">
        <f t="shared" si="4"/>
        <v/>
      </c>
      <c r="J1229" s="59" t="str">
        <f t="shared" si="5"/>
        <v/>
      </c>
      <c r="K1229" s="69" t="str">
        <f t="shared" si="6"/>
        <v/>
      </c>
      <c r="L1229" s="60" t="str">
        <f t="shared" si="7"/>
        <v/>
      </c>
      <c r="M1229" s="61" t="str">
        <f>IFERROR(__xludf.DUMMYFUNCTION("IFS(AND(COUNTA(C1229:C1673)=0,COUNTA(Q1229:Q1673)=0),"""",OR(AND(K1229&gt;=1000000000,OR(Y1229&gt;=1000000000,COUNTA(Q1229:Q1673)=0)),OR(Y1229&gt;=1000000000,AND(COUNTA(C1229:C1673)=0,P$3=TRUE))),
ROUNDDOWN((AB$1-AC$1)*MAX(INDEX(T$4:T1673,MATCH(LARGE(FILTER(Y$4:Y1"&amp;"673,Y$4:Y1673&lt;1000000000),1),Y$4:Y1673)),INDEX(F$4:F1673,MATCH(LARGE(FILTER(K$4:K1673,K$4:K1673&lt;1000000000),1),K$4:K1673)))),AND(K1229&lt;1000000000,COUNTA(C1229:C1673)&gt;0,P$3=FALSE),
ROUNDDOWN(INDEX(Y$4:Y1673,MATCH(LARGE(FILTER(W$4:W1673,W$4:W1673&lt;=I1229),1)"&amp;",W$4:W1673))+(I1229-LARGE(FILTER(W$4:W1673,W$4:W1673&lt;=I1229),1))*INDEX(T$4:T1673,MATCH(LARGE(FILTER(W$4:W1673,W$4:W1673&lt;=I1229),1),W$4:W1673))-K1229),1,
ROUNDDOWN(Y1229-INDEX(K$4:K1673,MATCH(LARGE(FILTER(I$4:I1673,I$4:I1673&lt;=W1229),1),I$4:I1673))-(W1229-L"&amp;"ARGE(FILTER(I$4:I1673,I$4:I1673&lt;=W1229),1))*INDEX(F$4:F1673,MATCH(LARGE(FILTER(I$4:I1673,I$4:I1673&lt;=W1229),1),I$4:I1673))))"),"")</f>
        <v/>
      </c>
      <c r="N1229" s="60" t="str">
        <f t="shared" si="8"/>
        <v/>
      </c>
      <c r="O1229" s="61" t="str">
        <f t="shared" si="9"/>
        <v/>
      </c>
      <c r="P1229" s="56" t="str">
        <f t="shared" si="10"/>
        <v/>
      </c>
      <c r="Q1229" s="67"/>
      <c r="R1229" s="10"/>
      <c r="S1229" s="59" t="str">
        <f t="array" ref="S1229">IF(COUNTA(Q1229:Q1673)=0,"",SUM((COUNTIF(Q$4:Q1229,Upgrades!$B$3:$B$13)-COUNTIF(Q$4:Q1229,"Sell_"&amp;Upgrades!$B$3:$B$13))*Upgrades!$D$3:$D$13))</f>
        <v/>
      </c>
      <c r="T1229" s="66" t="str">
        <f>IFERROR(__xludf.DUMMYFUNCTION("IF(COUNTA(Q1229:Q1673)=0,"""",IF(REGEXMATCH(INDEX(FILTER(Q$4:Q1229,Q$4:Q1229&lt;&gt;""""),ROWS(FILTER(Q$4:Q1229,Q$4:Q1229&lt;&gt;""""))),""^Sell_""),INDEX(FILTER(T$4:T1228,Q$4:Q1228&lt;&gt;""""),ROWS(FILTER(Q$4:Q1228,Q$4:Q1228&lt;&gt;""""))),$AD$5+S1229))"),"")</f>
        <v/>
      </c>
      <c r="U1229" s="10" t="str">
        <f>IFERROR(__xludf.DUMMYFUNCTION("IF(COUNTA(Q1229:Q1673)=0,"""",IF(Q1229="""",0,IF(REGEXMATCH(Q1229,""^Sell_""),-ROUNDDOWN(ROUNDUP(INDEX(Upgrades!$C$3:$C$13,MATCH(SUBSTITUTE(Q1229,""Sell_"",""""),Upgrades!$B$3:$B$13,0))*1.15^(COUNTIF(Q$4:Q1228,SUBSTITUTE(Q1229,""Sell_"",""""))-COUNTIF(Q$4"&amp;":Q1228,""Sell_""&amp;SUBSTITUTE(Q1229,""Sell_"",""""))))/2),ROUNDUP(INDEX(Upgrades!$C$3:$C$13,MATCH(Q1229,Upgrades!$B$3:$B$13,0))*1.15^(COUNTIF(Q$4:Q1228,Q1229)-COUNTIF(Q$4:Q1228,""Sell_""&amp;Q1229))))))"),"")</f>
        <v/>
      </c>
      <c r="V1229" s="10" t="str">
        <f t="shared" si="11"/>
        <v/>
      </c>
      <c r="W1229" s="68" t="str">
        <f t="shared" si="12"/>
        <v/>
      </c>
      <c r="X1229" s="59" t="str">
        <f t="shared" si="13"/>
        <v/>
      </c>
      <c r="Y1229" s="69" t="str">
        <f t="shared" si="14"/>
        <v/>
      </c>
      <c r="Z1229" s="11"/>
    </row>
    <row r="1230">
      <c r="A1230" s="8"/>
      <c r="B1230" s="56" t="str">
        <f t="shared" si="2"/>
        <v/>
      </c>
      <c r="C1230" s="105"/>
      <c r="D1230" s="10"/>
      <c r="E1230" s="59" t="str">
        <f t="array" ref="E1230">IF(COUNTA(C1230:C1673)=0,"",SUM((COUNTIF(C$4:C1230,Upgrades!$B$3:$B$13)-COUNTIF(C$4:C1230,"Sell_"&amp;Upgrades!$B$3:$B$13))*Upgrades!$D$3:$D$13))</f>
        <v/>
      </c>
      <c r="F1230" s="66" t="str">
        <f>IFERROR(__xludf.DUMMYFUNCTION("IF(COUNTA(C1230:C1673)=0,"""",IF(REGEXMATCH(INDEX(FILTER(C$4:C1230,C$4:C1230&lt;&gt;""""),ROWS(FILTER(C$4:C1230,C$4:C1230&lt;&gt;""""))),""^Sell_""),INDEX(FILTER(F$4:F1229,C$4:C1229&lt;&gt;""""),ROWS(FILTER(C$4:C1229,C$4:C1229&lt;&gt;""""))),$AC$5+E1230))"),"")</f>
        <v/>
      </c>
      <c r="G1230" s="10" t="str">
        <f>IFERROR(__xludf.DUMMYFUNCTION("IF(COUNTA(C1230:C1673)=0,"""",IF(C1230="""",0,IF(REGEXMATCH(C1230,""^Sell_""),-ROUNDDOWN(ROUNDUP(INDEX(Upgrades!$C$3:$C$13,MATCH(SUBSTITUTE(C1230,""Sell_"",""""),Upgrades!$B$3:$B$13,0))*1.15^(COUNTIF(C$4:C1229,SUBSTITUTE(C1230,""Sell_"",""""))-COUNTIF(C$4"&amp;":C1229,""Sell_""&amp;SUBSTITUTE(C1230,""Sell_"",""""))))/2),ROUNDUP(INDEX(Upgrades!$C$3:$C$13,MATCH(C1230,Upgrades!$B$3:$B$13,0))*1.15^(COUNTIF(C$4:C1229,C1230)-COUNTIF(C$4:C1229,""Sell_""&amp;C1230))))))"),"")</f>
        <v/>
      </c>
      <c r="H1230" s="10" t="str">
        <f t="shared" si="3"/>
        <v/>
      </c>
      <c r="I1230" s="68" t="str">
        <f t="shared" si="4"/>
        <v/>
      </c>
      <c r="J1230" s="59" t="str">
        <f t="shared" si="5"/>
        <v/>
      </c>
      <c r="K1230" s="69" t="str">
        <f t="shared" si="6"/>
        <v/>
      </c>
      <c r="L1230" s="60" t="str">
        <f t="shared" si="7"/>
        <v/>
      </c>
      <c r="M1230" s="61" t="str">
        <f>IFERROR(__xludf.DUMMYFUNCTION("IFS(AND(COUNTA(C1230:C1673)=0,COUNTA(Q1230:Q1673)=0),"""",OR(AND(K1230&gt;=1000000000,OR(Y1230&gt;=1000000000,COUNTA(Q1230:Q1673)=0)),OR(Y1230&gt;=1000000000,AND(COUNTA(C1230:C1673)=0,P$3=TRUE))),
ROUNDDOWN((AB$1-AC$1)*MAX(INDEX(T$4:T1673,MATCH(LARGE(FILTER(Y$4:Y1"&amp;"673,Y$4:Y1673&lt;1000000000),1),Y$4:Y1673)),INDEX(F$4:F1673,MATCH(LARGE(FILTER(K$4:K1673,K$4:K1673&lt;1000000000),1),K$4:K1673)))),AND(K1230&lt;1000000000,COUNTA(C1230:C1673)&gt;0,P$3=FALSE),
ROUNDDOWN(INDEX(Y$4:Y1673,MATCH(LARGE(FILTER(W$4:W1673,W$4:W1673&lt;=I1230),1)"&amp;",W$4:W1673))+(I1230-LARGE(FILTER(W$4:W1673,W$4:W1673&lt;=I1230),1))*INDEX(T$4:T1673,MATCH(LARGE(FILTER(W$4:W1673,W$4:W1673&lt;=I1230),1),W$4:W1673))-K1230),1,
ROUNDDOWN(Y1230-INDEX(K$4:K1673,MATCH(LARGE(FILTER(I$4:I1673,I$4:I1673&lt;=W1230),1),I$4:I1673))-(W1230-L"&amp;"ARGE(FILTER(I$4:I1673,I$4:I1673&lt;=W1230),1))*INDEX(F$4:F1673,MATCH(LARGE(FILTER(I$4:I1673,I$4:I1673&lt;=W1230),1),I$4:I1673))))"),"")</f>
        <v/>
      </c>
      <c r="N1230" s="60" t="str">
        <f t="shared" si="8"/>
        <v/>
      </c>
      <c r="O1230" s="61" t="str">
        <f t="shared" si="9"/>
        <v/>
      </c>
      <c r="P1230" s="56" t="str">
        <f t="shared" si="10"/>
        <v/>
      </c>
      <c r="Q1230" s="67"/>
      <c r="R1230" s="10"/>
      <c r="S1230" s="59" t="str">
        <f t="array" ref="S1230">IF(COUNTA(Q1230:Q1673)=0,"",SUM((COUNTIF(Q$4:Q1230,Upgrades!$B$3:$B$13)-COUNTIF(Q$4:Q1230,"Sell_"&amp;Upgrades!$B$3:$B$13))*Upgrades!$D$3:$D$13))</f>
        <v/>
      </c>
      <c r="T1230" s="66" t="str">
        <f>IFERROR(__xludf.DUMMYFUNCTION("IF(COUNTA(Q1230:Q1673)=0,"""",IF(REGEXMATCH(INDEX(FILTER(Q$4:Q1230,Q$4:Q1230&lt;&gt;""""),ROWS(FILTER(Q$4:Q1230,Q$4:Q1230&lt;&gt;""""))),""^Sell_""),INDEX(FILTER(T$4:T1229,Q$4:Q1229&lt;&gt;""""),ROWS(FILTER(Q$4:Q1229,Q$4:Q1229&lt;&gt;""""))),$AD$5+S1230))"),"")</f>
        <v/>
      </c>
      <c r="U1230" s="10" t="str">
        <f>IFERROR(__xludf.DUMMYFUNCTION("IF(COUNTA(Q1230:Q1673)=0,"""",IF(Q1230="""",0,IF(REGEXMATCH(Q1230,""^Sell_""),-ROUNDDOWN(ROUNDUP(INDEX(Upgrades!$C$3:$C$13,MATCH(SUBSTITUTE(Q1230,""Sell_"",""""),Upgrades!$B$3:$B$13,0))*1.15^(COUNTIF(Q$4:Q1229,SUBSTITUTE(Q1230,""Sell_"",""""))-COUNTIF(Q$4"&amp;":Q1229,""Sell_""&amp;SUBSTITUTE(Q1230,""Sell_"",""""))))/2),ROUNDUP(INDEX(Upgrades!$C$3:$C$13,MATCH(Q1230,Upgrades!$B$3:$B$13,0))*1.15^(COUNTIF(Q$4:Q1229,Q1230)-COUNTIF(Q$4:Q1229,""Sell_""&amp;Q1230))))))"),"")</f>
        <v/>
      </c>
      <c r="V1230" s="10" t="str">
        <f t="shared" si="11"/>
        <v/>
      </c>
      <c r="W1230" s="68" t="str">
        <f t="shared" si="12"/>
        <v/>
      </c>
      <c r="X1230" s="59" t="str">
        <f t="shared" si="13"/>
        <v/>
      </c>
      <c r="Y1230" s="69" t="str">
        <f t="shared" si="14"/>
        <v/>
      </c>
      <c r="Z1230" s="11"/>
    </row>
    <row r="1231">
      <c r="A1231" s="8"/>
      <c r="B1231" s="56" t="str">
        <f t="shared" si="2"/>
        <v/>
      </c>
      <c r="C1231" s="105"/>
      <c r="D1231" s="10"/>
      <c r="E1231" s="59" t="str">
        <f t="array" ref="E1231">IF(COUNTA(C1231:C1673)=0,"",SUM((COUNTIF(C$4:C1231,Upgrades!$B$3:$B$13)-COUNTIF(C$4:C1231,"Sell_"&amp;Upgrades!$B$3:$B$13))*Upgrades!$D$3:$D$13))</f>
        <v/>
      </c>
      <c r="F1231" s="66" t="str">
        <f>IFERROR(__xludf.DUMMYFUNCTION("IF(COUNTA(C1231:C1673)=0,"""",IF(REGEXMATCH(INDEX(FILTER(C$4:C1231,C$4:C1231&lt;&gt;""""),ROWS(FILTER(C$4:C1231,C$4:C1231&lt;&gt;""""))),""^Sell_""),INDEX(FILTER(F$4:F1230,C$4:C1230&lt;&gt;""""),ROWS(FILTER(C$4:C1230,C$4:C1230&lt;&gt;""""))),$AC$5+E1231))"),"")</f>
        <v/>
      </c>
      <c r="G1231" s="10" t="str">
        <f>IFERROR(__xludf.DUMMYFUNCTION("IF(COUNTA(C1231:C1673)=0,"""",IF(C1231="""",0,IF(REGEXMATCH(C1231,""^Sell_""),-ROUNDDOWN(ROUNDUP(INDEX(Upgrades!$C$3:$C$13,MATCH(SUBSTITUTE(C1231,""Sell_"",""""),Upgrades!$B$3:$B$13,0))*1.15^(COUNTIF(C$4:C1230,SUBSTITUTE(C1231,""Sell_"",""""))-COUNTIF(C$4"&amp;":C1230,""Sell_""&amp;SUBSTITUTE(C1231,""Sell_"",""""))))/2),ROUNDUP(INDEX(Upgrades!$C$3:$C$13,MATCH(C1231,Upgrades!$B$3:$B$13,0))*1.15^(COUNTIF(C$4:C1230,C1231)-COUNTIF(C$4:C1230,""Sell_""&amp;C1231))))))"),"")</f>
        <v/>
      </c>
      <c r="H1231" s="10" t="str">
        <f t="shared" si="3"/>
        <v/>
      </c>
      <c r="I1231" s="68" t="str">
        <f t="shared" si="4"/>
        <v/>
      </c>
      <c r="J1231" s="59" t="str">
        <f t="shared" si="5"/>
        <v/>
      </c>
      <c r="K1231" s="69" t="str">
        <f t="shared" si="6"/>
        <v/>
      </c>
      <c r="L1231" s="60" t="str">
        <f t="shared" si="7"/>
        <v/>
      </c>
      <c r="M1231" s="61" t="str">
        <f>IFERROR(__xludf.DUMMYFUNCTION("IFS(AND(COUNTA(C1231:C1673)=0,COUNTA(Q1231:Q1673)=0),"""",OR(AND(K1231&gt;=1000000000,OR(Y1231&gt;=1000000000,COUNTA(Q1231:Q1673)=0)),OR(Y1231&gt;=1000000000,AND(COUNTA(C1231:C1673)=0,P$3=TRUE))),
ROUNDDOWN((AB$1-AC$1)*MAX(INDEX(T$4:T1673,MATCH(LARGE(FILTER(Y$4:Y1"&amp;"673,Y$4:Y1673&lt;1000000000),1),Y$4:Y1673)),INDEX(F$4:F1673,MATCH(LARGE(FILTER(K$4:K1673,K$4:K1673&lt;1000000000),1),K$4:K1673)))),AND(K1231&lt;1000000000,COUNTA(C1231:C1673)&gt;0,P$3=FALSE),
ROUNDDOWN(INDEX(Y$4:Y1673,MATCH(LARGE(FILTER(W$4:W1673,W$4:W1673&lt;=I1231),1)"&amp;",W$4:W1673))+(I1231-LARGE(FILTER(W$4:W1673,W$4:W1673&lt;=I1231),1))*INDEX(T$4:T1673,MATCH(LARGE(FILTER(W$4:W1673,W$4:W1673&lt;=I1231),1),W$4:W1673))-K1231),1,
ROUNDDOWN(Y1231-INDEX(K$4:K1673,MATCH(LARGE(FILTER(I$4:I1673,I$4:I1673&lt;=W1231),1),I$4:I1673))-(W1231-L"&amp;"ARGE(FILTER(I$4:I1673,I$4:I1673&lt;=W1231),1))*INDEX(F$4:F1673,MATCH(LARGE(FILTER(I$4:I1673,I$4:I1673&lt;=W1231),1),I$4:I1673))))"),"")</f>
        <v/>
      </c>
      <c r="N1231" s="60" t="str">
        <f t="shared" si="8"/>
        <v/>
      </c>
      <c r="O1231" s="61" t="str">
        <f t="shared" si="9"/>
        <v/>
      </c>
      <c r="P1231" s="56" t="str">
        <f t="shared" si="10"/>
        <v/>
      </c>
      <c r="Q1231" s="67"/>
      <c r="R1231" s="10"/>
      <c r="S1231" s="59" t="str">
        <f t="array" ref="S1231">IF(COUNTA(Q1231:Q1673)=0,"",SUM((COUNTIF(Q$4:Q1231,Upgrades!$B$3:$B$13)-COUNTIF(Q$4:Q1231,"Sell_"&amp;Upgrades!$B$3:$B$13))*Upgrades!$D$3:$D$13))</f>
        <v/>
      </c>
      <c r="T1231" s="66" t="str">
        <f>IFERROR(__xludf.DUMMYFUNCTION("IF(COUNTA(Q1231:Q1673)=0,"""",IF(REGEXMATCH(INDEX(FILTER(Q$4:Q1231,Q$4:Q1231&lt;&gt;""""),ROWS(FILTER(Q$4:Q1231,Q$4:Q1231&lt;&gt;""""))),""^Sell_""),INDEX(FILTER(T$4:T1230,Q$4:Q1230&lt;&gt;""""),ROWS(FILTER(Q$4:Q1230,Q$4:Q1230&lt;&gt;""""))),$AD$5+S1231))"),"")</f>
        <v/>
      </c>
      <c r="U1231" s="10" t="str">
        <f>IFERROR(__xludf.DUMMYFUNCTION("IF(COUNTA(Q1231:Q1673)=0,"""",IF(Q1231="""",0,IF(REGEXMATCH(Q1231,""^Sell_""),-ROUNDDOWN(ROUNDUP(INDEX(Upgrades!$C$3:$C$13,MATCH(SUBSTITUTE(Q1231,""Sell_"",""""),Upgrades!$B$3:$B$13,0))*1.15^(COUNTIF(Q$4:Q1230,SUBSTITUTE(Q1231,""Sell_"",""""))-COUNTIF(Q$4"&amp;":Q1230,""Sell_""&amp;SUBSTITUTE(Q1231,""Sell_"",""""))))/2),ROUNDUP(INDEX(Upgrades!$C$3:$C$13,MATCH(Q1231,Upgrades!$B$3:$B$13,0))*1.15^(COUNTIF(Q$4:Q1230,Q1231)-COUNTIF(Q$4:Q1230,""Sell_""&amp;Q1231))))))"),"")</f>
        <v/>
      </c>
      <c r="V1231" s="10" t="str">
        <f t="shared" si="11"/>
        <v/>
      </c>
      <c r="W1231" s="68" t="str">
        <f t="shared" si="12"/>
        <v/>
      </c>
      <c r="X1231" s="59" t="str">
        <f t="shared" si="13"/>
        <v/>
      </c>
      <c r="Y1231" s="69" t="str">
        <f t="shared" si="14"/>
        <v/>
      </c>
      <c r="Z1231" s="11"/>
    </row>
    <row r="1232">
      <c r="A1232" s="8"/>
      <c r="B1232" s="56" t="str">
        <f t="shared" si="2"/>
        <v/>
      </c>
      <c r="C1232" s="105"/>
      <c r="D1232" s="10"/>
      <c r="E1232" s="59" t="str">
        <f t="array" ref="E1232">IF(COUNTA(C1232:C1673)=0,"",SUM((COUNTIF(C$4:C1232,Upgrades!$B$3:$B$13)-COUNTIF(C$4:C1232,"Sell_"&amp;Upgrades!$B$3:$B$13))*Upgrades!$D$3:$D$13))</f>
        <v/>
      </c>
      <c r="F1232" s="66" t="str">
        <f>IFERROR(__xludf.DUMMYFUNCTION("IF(COUNTA(C1232:C1673)=0,"""",IF(REGEXMATCH(INDEX(FILTER(C$4:C1232,C$4:C1232&lt;&gt;""""),ROWS(FILTER(C$4:C1232,C$4:C1232&lt;&gt;""""))),""^Sell_""),INDEX(FILTER(F$4:F1231,C$4:C1231&lt;&gt;""""),ROWS(FILTER(C$4:C1231,C$4:C1231&lt;&gt;""""))),$AC$5+E1232))"),"")</f>
        <v/>
      </c>
      <c r="G1232" s="10" t="str">
        <f>IFERROR(__xludf.DUMMYFUNCTION("IF(COUNTA(C1232:C1673)=0,"""",IF(C1232="""",0,IF(REGEXMATCH(C1232,""^Sell_""),-ROUNDDOWN(ROUNDUP(INDEX(Upgrades!$C$3:$C$13,MATCH(SUBSTITUTE(C1232,""Sell_"",""""),Upgrades!$B$3:$B$13,0))*1.15^(COUNTIF(C$4:C1231,SUBSTITUTE(C1232,""Sell_"",""""))-COUNTIF(C$4"&amp;":C1231,""Sell_""&amp;SUBSTITUTE(C1232,""Sell_"",""""))))/2),ROUNDUP(INDEX(Upgrades!$C$3:$C$13,MATCH(C1232,Upgrades!$B$3:$B$13,0))*1.15^(COUNTIF(C$4:C1231,C1232)-COUNTIF(C$4:C1231,""Sell_""&amp;C1232))))))"),"")</f>
        <v/>
      </c>
      <c r="H1232" s="10" t="str">
        <f t="shared" si="3"/>
        <v/>
      </c>
      <c r="I1232" s="68" t="str">
        <f t="shared" si="4"/>
        <v/>
      </c>
      <c r="J1232" s="59" t="str">
        <f t="shared" si="5"/>
        <v/>
      </c>
      <c r="K1232" s="69" t="str">
        <f t="shared" si="6"/>
        <v/>
      </c>
      <c r="L1232" s="60" t="str">
        <f t="shared" si="7"/>
        <v/>
      </c>
      <c r="M1232" s="61" t="str">
        <f>IFERROR(__xludf.DUMMYFUNCTION("IFS(AND(COUNTA(C1232:C1673)=0,COUNTA(Q1232:Q1673)=0),"""",OR(AND(K1232&gt;=1000000000,OR(Y1232&gt;=1000000000,COUNTA(Q1232:Q1673)=0)),OR(Y1232&gt;=1000000000,AND(COUNTA(C1232:C1673)=0,P$3=TRUE))),
ROUNDDOWN((AB$1-AC$1)*MAX(INDEX(T$4:T1673,MATCH(LARGE(FILTER(Y$4:Y1"&amp;"673,Y$4:Y1673&lt;1000000000),1),Y$4:Y1673)),INDEX(F$4:F1673,MATCH(LARGE(FILTER(K$4:K1673,K$4:K1673&lt;1000000000),1),K$4:K1673)))),AND(K1232&lt;1000000000,COUNTA(C1232:C1673)&gt;0,P$3=FALSE),
ROUNDDOWN(INDEX(Y$4:Y1673,MATCH(LARGE(FILTER(W$4:W1673,W$4:W1673&lt;=I1232),1)"&amp;",W$4:W1673))+(I1232-LARGE(FILTER(W$4:W1673,W$4:W1673&lt;=I1232),1))*INDEX(T$4:T1673,MATCH(LARGE(FILTER(W$4:W1673,W$4:W1673&lt;=I1232),1),W$4:W1673))-K1232),1,
ROUNDDOWN(Y1232-INDEX(K$4:K1673,MATCH(LARGE(FILTER(I$4:I1673,I$4:I1673&lt;=W1232),1),I$4:I1673))-(W1232-L"&amp;"ARGE(FILTER(I$4:I1673,I$4:I1673&lt;=W1232),1))*INDEX(F$4:F1673,MATCH(LARGE(FILTER(I$4:I1673,I$4:I1673&lt;=W1232),1),I$4:I1673))))"),"")</f>
        <v/>
      </c>
      <c r="N1232" s="60" t="str">
        <f t="shared" si="8"/>
        <v/>
      </c>
      <c r="O1232" s="61" t="str">
        <f t="shared" si="9"/>
        <v/>
      </c>
      <c r="P1232" s="56" t="str">
        <f t="shared" si="10"/>
        <v/>
      </c>
      <c r="Q1232" s="67"/>
      <c r="R1232" s="10"/>
      <c r="S1232" s="59" t="str">
        <f t="array" ref="S1232">IF(COUNTA(Q1232:Q1673)=0,"",SUM((COUNTIF(Q$4:Q1232,Upgrades!$B$3:$B$13)-COUNTIF(Q$4:Q1232,"Sell_"&amp;Upgrades!$B$3:$B$13))*Upgrades!$D$3:$D$13))</f>
        <v/>
      </c>
      <c r="T1232" s="66" t="str">
        <f>IFERROR(__xludf.DUMMYFUNCTION("IF(COUNTA(Q1232:Q1673)=0,"""",IF(REGEXMATCH(INDEX(FILTER(Q$4:Q1232,Q$4:Q1232&lt;&gt;""""),ROWS(FILTER(Q$4:Q1232,Q$4:Q1232&lt;&gt;""""))),""^Sell_""),INDEX(FILTER(T$4:T1231,Q$4:Q1231&lt;&gt;""""),ROWS(FILTER(Q$4:Q1231,Q$4:Q1231&lt;&gt;""""))),$AD$5+S1232))"),"")</f>
        <v/>
      </c>
      <c r="U1232" s="10" t="str">
        <f>IFERROR(__xludf.DUMMYFUNCTION("IF(COUNTA(Q1232:Q1673)=0,"""",IF(Q1232="""",0,IF(REGEXMATCH(Q1232,""^Sell_""),-ROUNDDOWN(ROUNDUP(INDEX(Upgrades!$C$3:$C$13,MATCH(SUBSTITUTE(Q1232,""Sell_"",""""),Upgrades!$B$3:$B$13,0))*1.15^(COUNTIF(Q$4:Q1231,SUBSTITUTE(Q1232,""Sell_"",""""))-COUNTIF(Q$4"&amp;":Q1231,""Sell_""&amp;SUBSTITUTE(Q1232,""Sell_"",""""))))/2),ROUNDUP(INDEX(Upgrades!$C$3:$C$13,MATCH(Q1232,Upgrades!$B$3:$B$13,0))*1.15^(COUNTIF(Q$4:Q1231,Q1232)-COUNTIF(Q$4:Q1231,""Sell_""&amp;Q1232))))))"),"")</f>
        <v/>
      </c>
      <c r="V1232" s="10" t="str">
        <f t="shared" si="11"/>
        <v/>
      </c>
      <c r="W1232" s="68" t="str">
        <f t="shared" si="12"/>
        <v/>
      </c>
      <c r="X1232" s="59" t="str">
        <f t="shared" si="13"/>
        <v/>
      </c>
      <c r="Y1232" s="69" t="str">
        <f t="shared" si="14"/>
        <v/>
      </c>
      <c r="Z1232" s="11"/>
    </row>
    <row r="1233">
      <c r="A1233" s="8"/>
      <c r="B1233" s="56" t="str">
        <f t="shared" si="2"/>
        <v/>
      </c>
      <c r="C1233" s="105"/>
      <c r="D1233" s="10"/>
      <c r="E1233" s="59" t="str">
        <f t="array" ref="E1233">IF(COUNTA(C1233:C1673)=0,"",SUM((COUNTIF(C$4:C1233,Upgrades!$B$3:$B$13)-COUNTIF(C$4:C1233,"Sell_"&amp;Upgrades!$B$3:$B$13))*Upgrades!$D$3:$D$13))</f>
        <v/>
      </c>
      <c r="F1233" s="66" t="str">
        <f>IFERROR(__xludf.DUMMYFUNCTION("IF(COUNTA(C1233:C1673)=0,"""",IF(REGEXMATCH(INDEX(FILTER(C$4:C1233,C$4:C1233&lt;&gt;""""),ROWS(FILTER(C$4:C1233,C$4:C1233&lt;&gt;""""))),""^Sell_""),INDEX(FILTER(F$4:F1232,C$4:C1232&lt;&gt;""""),ROWS(FILTER(C$4:C1232,C$4:C1232&lt;&gt;""""))),$AC$5+E1233))"),"")</f>
        <v/>
      </c>
      <c r="G1233" s="10" t="str">
        <f>IFERROR(__xludf.DUMMYFUNCTION("IF(COUNTA(C1233:C1673)=0,"""",IF(C1233="""",0,IF(REGEXMATCH(C1233,""^Sell_""),-ROUNDDOWN(ROUNDUP(INDEX(Upgrades!$C$3:$C$13,MATCH(SUBSTITUTE(C1233,""Sell_"",""""),Upgrades!$B$3:$B$13,0))*1.15^(COUNTIF(C$4:C1232,SUBSTITUTE(C1233,""Sell_"",""""))-COUNTIF(C$4"&amp;":C1232,""Sell_""&amp;SUBSTITUTE(C1233,""Sell_"",""""))))/2),ROUNDUP(INDEX(Upgrades!$C$3:$C$13,MATCH(C1233,Upgrades!$B$3:$B$13,0))*1.15^(COUNTIF(C$4:C1232,C1233)-COUNTIF(C$4:C1232,""Sell_""&amp;C1233))))))"),"")</f>
        <v/>
      </c>
      <c r="H1233" s="10" t="str">
        <f t="shared" si="3"/>
        <v/>
      </c>
      <c r="I1233" s="68" t="str">
        <f t="shared" si="4"/>
        <v/>
      </c>
      <c r="J1233" s="59" t="str">
        <f t="shared" si="5"/>
        <v/>
      </c>
      <c r="K1233" s="69" t="str">
        <f t="shared" si="6"/>
        <v/>
      </c>
      <c r="L1233" s="60" t="str">
        <f t="shared" si="7"/>
        <v/>
      </c>
      <c r="M1233" s="61" t="str">
        <f>IFERROR(__xludf.DUMMYFUNCTION("IFS(AND(COUNTA(C1233:C1673)=0,COUNTA(Q1233:Q1673)=0),"""",OR(AND(K1233&gt;=1000000000,OR(Y1233&gt;=1000000000,COUNTA(Q1233:Q1673)=0)),OR(Y1233&gt;=1000000000,AND(COUNTA(C1233:C1673)=0,P$3=TRUE))),
ROUNDDOWN((AB$1-AC$1)*MAX(INDEX(T$4:T1673,MATCH(LARGE(FILTER(Y$4:Y1"&amp;"673,Y$4:Y1673&lt;1000000000),1),Y$4:Y1673)),INDEX(F$4:F1673,MATCH(LARGE(FILTER(K$4:K1673,K$4:K1673&lt;1000000000),1),K$4:K1673)))),AND(K1233&lt;1000000000,COUNTA(C1233:C1673)&gt;0,P$3=FALSE),
ROUNDDOWN(INDEX(Y$4:Y1673,MATCH(LARGE(FILTER(W$4:W1673,W$4:W1673&lt;=I1233),1)"&amp;",W$4:W1673))+(I1233-LARGE(FILTER(W$4:W1673,W$4:W1673&lt;=I1233),1))*INDEX(T$4:T1673,MATCH(LARGE(FILTER(W$4:W1673,W$4:W1673&lt;=I1233),1),W$4:W1673))-K1233),1,
ROUNDDOWN(Y1233-INDEX(K$4:K1673,MATCH(LARGE(FILTER(I$4:I1673,I$4:I1673&lt;=W1233),1),I$4:I1673))-(W1233-L"&amp;"ARGE(FILTER(I$4:I1673,I$4:I1673&lt;=W1233),1))*INDEX(F$4:F1673,MATCH(LARGE(FILTER(I$4:I1673,I$4:I1673&lt;=W1233),1),I$4:I1673))))"),"")</f>
        <v/>
      </c>
      <c r="N1233" s="60" t="str">
        <f t="shared" si="8"/>
        <v/>
      </c>
      <c r="O1233" s="61" t="str">
        <f t="shared" si="9"/>
        <v/>
      </c>
      <c r="P1233" s="56" t="str">
        <f t="shared" si="10"/>
        <v/>
      </c>
      <c r="Q1233" s="67"/>
      <c r="R1233" s="10"/>
      <c r="S1233" s="59" t="str">
        <f t="array" ref="S1233">IF(COUNTA(Q1233:Q1673)=0,"",SUM((COUNTIF(Q$4:Q1233,Upgrades!$B$3:$B$13)-COUNTIF(Q$4:Q1233,"Sell_"&amp;Upgrades!$B$3:$B$13))*Upgrades!$D$3:$D$13))</f>
        <v/>
      </c>
      <c r="T1233" s="66" t="str">
        <f>IFERROR(__xludf.DUMMYFUNCTION("IF(COUNTA(Q1233:Q1673)=0,"""",IF(REGEXMATCH(INDEX(FILTER(Q$4:Q1233,Q$4:Q1233&lt;&gt;""""),ROWS(FILTER(Q$4:Q1233,Q$4:Q1233&lt;&gt;""""))),""^Sell_""),INDEX(FILTER(T$4:T1232,Q$4:Q1232&lt;&gt;""""),ROWS(FILTER(Q$4:Q1232,Q$4:Q1232&lt;&gt;""""))),$AD$5+S1233))"),"")</f>
        <v/>
      </c>
      <c r="U1233" s="10" t="str">
        <f>IFERROR(__xludf.DUMMYFUNCTION("IF(COUNTA(Q1233:Q1673)=0,"""",IF(Q1233="""",0,IF(REGEXMATCH(Q1233,""^Sell_""),-ROUNDDOWN(ROUNDUP(INDEX(Upgrades!$C$3:$C$13,MATCH(SUBSTITUTE(Q1233,""Sell_"",""""),Upgrades!$B$3:$B$13,0))*1.15^(COUNTIF(Q$4:Q1232,SUBSTITUTE(Q1233,""Sell_"",""""))-COUNTIF(Q$4"&amp;":Q1232,""Sell_""&amp;SUBSTITUTE(Q1233,""Sell_"",""""))))/2),ROUNDUP(INDEX(Upgrades!$C$3:$C$13,MATCH(Q1233,Upgrades!$B$3:$B$13,0))*1.15^(COUNTIF(Q$4:Q1232,Q1233)-COUNTIF(Q$4:Q1232,""Sell_""&amp;Q1233))))))"),"")</f>
        <v/>
      </c>
      <c r="V1233" s="10" t="str">
        <f t="shared" si="11"/>
        <v/>
      </c>
      <c r="W1233" s="68" t="str">
        <f t="shared" si="12"/>
        <v/>
      </c>
      <c r="X1233" s="59" t="str">
        <f t="shared" si="13"/>
        <v/>
      </c>
      <c r="Y1233" s="69" t="str">
        <f t="shared" si="14"/>
        <v/>
      </c>
      <c r="Z1233" s="11"/>
    </row>
    <row r="1234">
      <c r="A1234" s="8"/>
      <c r="B1234" s="56" t="str">
        <f t="shared" si="2"/>
        <v/>
      </c>
      <c r="C1234" s="105"/>
      <c r="D1234" s="10"/>
      <c r="E1234" s="59" t="str">
        <f t="array" ref="E1234">IF(COUNTA(C1234:C1673)=0,"",SUM((COUNTIF(C$4:C1234,Upgrades!$B$3:$B$13)-COUNTIF(C$4:C1234,"Sell_"&amp;Upgrades!$B$3:$B$13))*Upgrades!$D$3:$D$13))</f>
        <v/>
      </c>
      <c r="F1234" s="66" t="str">
        <f>IFERROR(__xludf.DUMMYFUNCTION("IF(COUNTA(C1234:C1673)=0,"""",IF(REGEXMATCH(INDEX(FILTER(C$4:C1234,C$4:C1234&lt;&gt;""""),ROWS(FILTER(C$4:C1234,C$4:C1234&lt;&gt;""""))),""^Sell_""),INDEX(FILTER(F$4:F1233,C$4:C1233&lt;&gt;""""),ROWS(FILTER(C$4:C1233,C$4:C1233&lt;&gt;""""))),$AC$5+E1234))"),"")</f>
        <v/>
      </c>
      <c r="G1234" s="10" t="str">
        <f>IFERROR(__xludf.DUMMYFUNCTION("IF(COUNTA(C1234:C1673)=0,"""",IF(C1234="""",0,IF(REGEXMATCH(C1234,""^Sell_""),-ROUNDDOWN(ROUNDUP(INDEX(Upgrades!$C$3:$C$13,MATCH(SUBSTITUTE(C1234,""Sell_"",""""),Upgrades!$B$3:$B$13,0))*1.15^(COUNTIF(C$4:C1233,SUBSTITUTE(C1234,""Sell_"",""""))-COUNTIF(C$4"&amp;":C1233,""Sell_""&amp;SUBSTITUTE(C1234,""Sell_"",""""))))/2),ROUNDUP(INDEX(Upgrades!$C$3:$C$13,MATCH(C1234,Upgrades!$B$3:$B$13,0))*1.15^(COUNTIF(C$4:C1233,C1234)-COUNTIF(C$4:C1233,""Sell_""&amp;C1234))))))"),"")</f>
        <v/>
      </c>
      <c r="H1234" s="10" t="str">
        <f t="shared" si="3"/>
        <v/>
      </c>
      <c r="I1234" s="68" t="str">
        <f t="shared" si="4"/>
        <v/>
      </c>
      <c r="J1234" s="59" t="str">
        <f t="shared" si="5"/>
        <v/>
      </c>
      <c r="K1234" s="69" t="str">
        <f t="shared" si="6"/>
        <v/>
      </c>
      <c r="L1234" s="60" t="str">
        <f t="shared" si="7"/>
        <v/>
      </c>
      <c r="M1234" s="61" t="str">
        <f>IFERROR(__xludf.DUMMYFUNCTION("IFS(AND(COUNTA(C1234:C1673)=0,COUNTA(Q1234:Q1673)=0),"""",OR(AND(K1234&gt;=1000000000,OR(Y1234&gt;=1000000000,COUNTA(Q1234:Q1673)=0)),OR(Y1234&gt;=1000000000,AND(COUNTA(C1234:C1673)=0,P$3=TRUE))),
ROUNDDOWN((AB$1-AC$1)*MAX(INDEX(T$4:T1673,MATCH(LARGE(FILTER(Y$4:Y1"&amp;"673,Y$4:Y1673&lt;1000000000),1),Y$4:Y1673)),INDEX(F$4:F1673,MATCH(LARGE(FILTER(K$4:K1673,K$4:K1673&lt;1000000000),1),K$4:K1673)))),AND(K1234&lt;1000000000,COUNTA(C1234:C1673)&gt;0,P$3=FALSE),
ROUNDDOWN(INDEX(Y$4:Y1673,MATCH(LARGE(FILTER(W$4:W1673,W$4:W1673&lt;=I1234),1)"&amp;",W$4:W1673))+(I1234-LARGE(FILTER(W$4:W1673,W$4:W1673&lt;=I1234),1))*INDEX(T$4:T1673,MATCH(LARGE(FILTER(W$4:W1673,W$4:W1673&lt;=I1234),1),W$4:W1673))-K1234),1,
ROUNDDOWN(Y1234-INDEX(K$4:K1673,MATCH(LARGE(FILTER(I$4:I1673,I$4:I1673&lt;=W1234),1),I$4:I1673))-(W1234-L"&amp;"ARGE(FILTER(I$4:I1673,I$4:I1673&lt;=W1234),1))*INDEX(F$4:F1673,MATCH(LARGE(FILTER(I$4:I1673,I$4:I1673&lt;=W1234),1),I$4:I1673))))"),"")</f>
        <v/>
      </c>
      <c r="N1234" s="60" t="str">
        <f t="shared" si="8"/>
        <v/>
      </c>
      <c r="O1234" s="61" t="str">
        <f t="shared" si="9"/>
        <v/>
      </c>
      <c r="P1234" s="56" t="str">
        <f t="shared" si="10"/>
        <v/>
      </c>
      <c r="Q1234" s="67"/>
      <c r="R1234" s="10"/>
      <c r="S1234" s="59" t="str">
        <f t="array" ref="S1234">IF(COUNTA(Q1234:Q1673)=0,"",SUM((COUNTIF(Q$4:Q1234,Upgrades!$B$3:$B$13)-COUNTIF(Q$4:Q1234,"Sell_"&amp;Upgrades!$B$3:$B$13))*Upgrades!$D$3:$D$13))</f>
        <v/>
      </c>
      <c r="T1234" s="66" t="str">
        <f>IFERROR(__xludf.DUMMYFUNCTION("IF(COUNTA(Q1234:Q1673)=0,"""",IF(REGEXMATCH(INDEX(FILTER(Q$4:Q1234,Q$4:Q1234&lt;&gt;""""),ROWS(FILTER(Q$4:Q1234,Q$4:Q1234&lt;&gt;""""))),""^Sell_""),INDEX(FILTER(T$4:T1233,Q$4:Q1233&lt;&gt;""""),ROWS(FILTER(Q$4:Q1233,Q$4:Q1233&lt;&gt;""""))),$AD$5+S1234))"),"")</f>
        <v/>
      </c>
      <c r="U1234" s="10" t="str">
        <f>IFERROR(__xludf.DUMMYFUNCTION("IF(COUNTA(Q1234:Q1673)=0,"""",IF(Q1234="""",0,IF(REGEXMATCH(Q1234,""^Sell_""),-ROUNDDOWN(ROUNDUP(INDEX(Upgrades!$C$3:$C$13,MATCH(SUBSTITUTE(Q1234,""Sell_"",""""),Upgrades!$B$3:$B$13,0))*1.15^(COUNTIF(Q$4:Q1233,SUBSTITUTE(Q1234,""Sell_"",""""))-COUNTIF(Q$4"&amp;":Q1233,""Sell_""&amp;SUBSTITUTE(Q1234,""Sell_"",""""))))/2),ROUNDUP(INDEX(Upgrades!$C$3:$C$13,MATCH(Q1234,Upgrades!$B$3:$B$13,0))*1.15^(COUNTIF(Q$4:Q1233,Q1234)-COUNTIF(Q$4:Q1233,""Sell_""&amp;Q1234))))))"),"")</f>
        <v/>
      </c>
      <c r="V1234" s="10" t="str">
        <f t="shared" si="11"/>
        <v/>
      </c>
      <c r="W1234" s="68" t="str">
        <f t="shared" si="12"/>
        <v/>
      </c>
      <c r="X1234" s="59" t="str">
        <f t="shared" si="13"/>
        <v/>
      </c>
      <c r="Y1234" s="69" t="str">
        <f t="shared" si="14"/>
        <v/>
      </c>
      <c r="Z1234" s="11"/>
    </row>
    <row r="1235">
      <c r="A1235" s="8"/>
      <c r="B1235" s="56" t="str">
        <f t="shared" si="2"/>
        <v/>
      </c>
      <c r="C1235" s="105"/>
      <c r="D1235" s="10"/>
      <c r="E1235" s="59" t="str">
        <f t="array" ref="E1235">IF(COUNTA(C1235:C1673)=0,"",SUM((COUNTIF(C$4:C1235,Upgrades!$B$3:$B$13)-COUNTIF(C$4:C1235,"Sell_"&amp;Upgrades!$B$3:$B$13))*Upgrades!$D$3:$D$13))</f>
        <v/>
      </c>
      <c r="F1235" s="66" t="str">
        <f>IFERROR(__xludf.DUMMYFUNCTION("IF(COUNTA(C1235:C1673)=0,"""",IF(REGEXMATCH(INDEX(FILTER(C$4:C1235,C$4:C1235&lt;&gt;""""),ROWS(FILTER(C$4:C1235,C$4:C1235&lt;&gt;""""))),""^Sell_""),INDEX(FILTER(F$4:F1234,C$4:C1234&lt;&gt;""""),ROWS(FILTER(C$4:C1234,C$4:C1234&lt;&gt;""""))),$AC$5+E1235))"),"")</f>
        <v/>
      </c>
      <c r="G1235" s="10" t="str">
        <f>IFERROR(__xludf.DUMMYFUNCTION("IF(COUNTA(C1235:C1673)=0,"""",IF(C1235="""",0,IF(REGEXMATCH(C1235,""^Sell_""),-ROUNDDOWN(ROUNDUP(INDEX(Upgrades!$C$3:$C$13,MATCH(SUBSTITUTE(C1235,""Sell_"",""""),Upgrades!$B$3:$B$13,0))*1.15^(COUNTIF(C$4:C1234,SUBSTITUTE(C1235,""Sell_"",""""))-COUNTIF(C$4"&amp;":C1234,""Sell_""&amp;SUBSTITUTE(C1235,""Sell_"",""""))))/2),ROUNDUP(INDEX(Upgrades!$C$3:$C$13,MATCH(C1235,Upgrades!$B$3:$B$13,0))*1.15^(COUNTIF(C$4:C1234,C1235)-COUNTIF(C$4:C1234,""Sell_""&amp;C1235))))))"),"")</f>
        <v/>
      </c>
      <c r="H1235" s="10" t="str">
        <f t="shared" si="3"/>
        <v/>
      </c>
      <c r="I1235" s="68" t="str">
        <f t="shared" si="4"/>
        <v/>
      </c>
      <c r="J1235" s="59" t="str">
        <f t="shared" si="5"/>
        <v/>
      </c>
      <c r="K1235" s="69" t="str">
        <f t="shared" si="6"/>
        <v/>
      </c>
      <c r="L1235" s="60" t="str">
        <f t="shared" si="7"/>
        <v/>
      </c>
      <c r="M1235" s="61" t="str">
        <f>IFERROR(__xludf.DUMMYFUNCTION("IFS(AND(COUNTA(C1235:C1673)=0,COUNTA(Q1235:Q1673)=0),"""",OR(AND(K1235&gt;=1000000000,OR(Y1235&gt;=1000000000,COUNTA(Q1235:Q1673)=0)),OR(Y1235&gt;=1000000000,AND(COUNTA(C1235:C1673)=0,P$3=TRUE))),
ROUNDDOWN((AB$1-AC$1)*MAX(INDEX(T$4:T1673,MATCH(LARGE(FILTER(Y$4:Y1"&amp;"673,Y$4:Y1673&lt;1000000000),1),Y$4:Y1673)),INDEX(F$4:F1673,MATCH(LARGE(FILTER(K$4:K1673,K$4:K1673&lt;1000000000),1),K$4:K1673)))),AND(K1235&lt;1000000000,COUNTA(C1235:C1673)&gt;0,P$3=FALSE),
ROUNDDOWN(INDEX(Y$4:Y1673,MATCH(LARGE(FILTER(W$4:W1673,W$4:W1673&lt;=I1235),1)"&amp;",W$4:W1673))+(I1235-LARGE(FILTER(W$4:W1673,W$4:W1673&lt;=I1235),1))*INDEX(T$4:T1673,MATCH(LARGE(FILTER(W$4:W1673,W$4:W1673&lt;=I1235),1),W$4:W1673))-K1235),1,
ROUNDDOWN(Y1235-INDEX(K$4:K1673,MATCH(LARGE(FILTER(I$4:I1673,I$4:I1673&lt;=W1235),1),I$4:I1673))-(W1235-L"&amp;"ARGE(FILTER(I$4:I1673,I$4:I1673&lt;=W1235),1))*INDEX(F$4:F1673,MATCH(LARGE(FILTER(I$4:I1673,I$4:I1673&lt;=W1235),1),I$4:I1673))))"),"")</f>
        <v/>
      </c>
      <c r="N1235" s="60" t="str">
        <f t="shared" si="8"/>
        <v/>
      </c>
      <c r="O1235" s="61" t="str">
        <f t="shared" si="9"/>
        <v/>
      </c>
      <c r="P1235" s="56" t="str">
        <f t="shared" si="10"/>
        <v/>
      </c>
      <c r="Q1235" s="67"/>
      <c r="R1235" s="10"/>
      <c r="S1235" s="59" t="str">
        <f t="array" ref="S1235">IF(COUNTA(Q1235:Q1673)=0,"",SUM((COUNTIF(Q$4:Q1235,Upgrades!$B$3:$B$13)-COUNTIF(Q$4:Q1235,"Sell_"&amp;Upgrades!$B$3:$B$13))*Upgrades!$D$3:$D$13))</f>
        <v/>
      </c>
      <c r="T1235" s="66" t="str">
        <f>IFERROR(__xludf.DUMMYFUNCTION("IF(COUNTA(Q1235:Q1673)=0,"""",IF(REGEXMATCH(INDEX(FILTER(Q$4:Q1235,Q$4:Q1235&lt;&gt;""""),ROWS(FILTER(Q$4:Q1235,Q$4:Q1235&lt;&gt;""""))),""^Sell_""),INDEX(FILTER(T$4:T1234,Q$4:Q1234&lt;&gt;""""),ROWS(FILTER(Q$4:Q1234,Q$4:Q1234&lt;&gt;""""))),$AD$5+S1235))"),"")</f>
        <v/>
      </c>
      <c r="U1235" s="10" t="str">
        <f>IFERROR(__xludf.DUMMYFUNCTION("IF(COUNTA(Q1235:Q1673)=0,"""",IF(Q1235="""",0,IF(REGEXMATCH(Q1235,""^Sell_""),-ROUNDDOWN(ROUNDUP(INDEX(Upgrades!$C$3:$C$13,MATCH(SUBSTITUTE(Q1235,""Sell_"",""""),Upgrades!$B$3:$B$13,0))*1.15^(COUNTIF(Q$4:Q1234,SUBSTITUTE(Q1235,""Sell_"",""""))-COUNTIF(Q$4"&amp;":Q1234,""Sell_""&amp;SUBSTITUTE(Q1235,""Sell_"",""""))))/2),ROUNDUP(INDEX(Upgrades!$C$3:$C$13,MATCH(Q1235,Upgrades!$B$3:$B$13,0))*1.15^(COUNTIF(Q$4:Q1234,Q1235)-COUNTIF(Q$4:Q1234,""Sell_""&amp;Q1235))))))"),"")</f>
        <v/>
      </c>
      <c r="V1235" s="10" t="str">
        <f t="shared" si="11"/>
        <v/>
      </c>
      <c r="W1235" s="68" t="str">
        <f t="shared" si="12"/>
        <v/>
      </c>
      <c r="X1235" s="59" t="str">
        <f t="shared" si="13"/>
        <v/>
      </c>
      <c r="Y1235" s="69" t="str">
        <f t="shared" si="14"/>
        <v/>
      </c>
      <c r="Z1235" s="11"/>
    </row>
    <row r="1236">
      <c r="A1236" s="8"/>
      <c r="B1236" s="56" t="str">
        <f t="shared" si="2"/>
        <v/>
      </c>
      <c r="C1236" s="105"/>
      <c r="D1236" s="10"/>
      <c r="E1236" s="59" t="str">
        <f t="array" ref="E1236">IF(COUNTA(C1236:C1673)=0,"",SUM((COUNTIF(C$4:C1236,Upgrades!$B$3:$B$13)-COUNTIF(C$4:C1236,"Sell_"&amp;Upgrades!$B$3:$B$13))*Upgrades!$D$3:$D$13))</f>
        <v/>
      </c>
      <c r="F1236" s="66" t="str">
        <f>IFERROR(__xludf.DUMMYFUNCTION("IF(COUNTA(C1236:C1673)=0,"""",IF(REGEXMATCH(INDEX(FILTER(C$4:C1236,C$4:C1236&lt;&gt;""""),ROWS(FILTER(C$4:C1236,C$4:C1236&lt;&gt;""""))),""^Sell_""),INDEX(FILTER(F$4:F1235,C$4:C1235&lt;&gt;""""),ROWS(FILTER(C$4:C1235,C$4:C1235&lt;&gt;""""))),$AC$5+E1236))"),"")</f>
        <v/>
      </c>
      <c r="G1236" s="10" t="str">
        <f>IFERROR(__xludf.DUMMYFUNCTION("IF(COUNTA(C1236:C1673)=0,"""",IF(C1236="""",0,IF(REGEXMATCH(C1236,""^Sell_""),-ROUNDDOWN(ROUNDUP(INDEX(Upgrades!$C$3:$C$13,MATCH(SUBSTITUTE(C1236,""Sell_"",""""),Upgrades!$B$3:$B$13,0))*1.15^(COUNTIF(C$4:C1235,SUBSTITUTE(C1236,""Sell_"",""""))-COUNTIF(C$4"&amp;":C1235,""Sell_""&amp;SUBSTITUTE(C1236,""Sell_"",""""))))/2),ROUNDUP(INDEX(Upgrades!$C$3:$C$13,MATCH(C1236,Upgrades!$B$3:$B$13,0))*1.15^(COUNTIF(C$4:C1235,C1236)-COUNTIF(C$4:C1235,""Sell_""&amp;C1236))))))"),"")</f>
        <v/>
      </c>
      <c r="H1236" s="10" t="str">
        <f t="shared" si="3"/>
        <v/>
      </c>
      <c r="I1236" s="68" t="str">
        <f t="shared" si="4"/>
        <v/>
      </c>
      <c r="J1236" s="59" t="str">
        <f t="shared" si="5"/>
        <v/>
      </c>
      <c r="K1236" s="69" t="str">
        <f t="shared" si="6"/>
        <v/>
      </c>
      <c r="L1236" s="60" t="str">
        <f t="shared" si="7"/>
        <v/>
      </c>
      <c r="M1236" s="61" t="str">
        <f>IFERROR(__xludf.DUMMYFUNCTION("IFS(AND(COUNTA(C1236:C1673)=0,COUNTA(Q1236:Q1673)=0),"""",OR(AND(K1236&gt;=1000000000,OR(Y1236&gt;=1000000000,COUNTA(Q1236:Q1673)=0)),OR(Y1236&gt;=1000000000,AND(COUNTA(C1236:C1673)=0,P$3=TRUE))),
ROUNDDOWN((AB$1-AC$1)*MAX(INDEX(T$4:T1673,MATCH(LARGE(FILTER(Y$4:Y1"&amp;"673,Y$4:Y1673&lt;1000000000),1),Y$4:Y1673)),INDEX(F$4:F1673,MATCH(LARGE(FILTER(K$4:K1673,K$4:K1673&lt;1000000000),1),K$4:K1673)))),AND(K1236&lt;1000000000,COUNTA(C1236:C1673)&gt;0,P$3=FALSE),
ROUNDDOWN(INDEX(Y$4:Y1673,MATCH(LARGE(FILTER(W$4:W1673,W$4:W1673&lt;=I1236),1)"&amp;",W$4:W1673))+(I1236-LARGE(FILTER(W$4:W1673,W$4:W1673&lt;=I1236),1))*INDEX(T$4:T1673,MATCH(LARGE(FILTER(W$4:W1673,W$4:W1673&lt;=I1236),1),W$4:W1673))-K1236),1,
ROUNDDOWN(Y1236-INDEX(K$4:K1673,MATCH(LARGE(FILTER(I$4:I1673,I$4:I1673&lt;=W1236),1),I$4:I1673))-(W1236-L"&amp;"ARGE(FILTER(I$4:I1673,I$4:I1673&lt;=W1236),1))*INDEX(F$4:F1673,MATCH(LARGE(FILTER(I$4:I1673,I$4:I1673&lt;=W1236),1),I$4:I1673))))"),"")</f>
        <v/>
      </c>
      <c r="N1236" s="60" t="str">
        <f t="shared" si="8"/>
        <v/>
      </c>
      <c r="O1236" s="61" t="str">
        <f t="shared" si="9"/>
        <v/>
      </c>
      <c r="P1236" s="56" t="str">
        <f t="shared" si="10"/>
        <v/>
      </c>
      <c r="Q1236" s="67"/>
      <c r="R1236" s="10"/>
      <c r="S1236" s="59" t="str">
        <f t="array" ref="S1236">IF(COUNTA(Q1236:Q1673)=0,"",SUM((COUNTIF(Q$4:Q1236,Upgrades!$B$3:$B$13)-COUNTIF(Q$4:Q1236,"Sell_"&amp;Upgrades!$B$3:$B$13))*Upgrades!$D$3:$D$13))</f>
        <v/>
      </c>
      <c r="T1236" s="66" t="str">
        <f>IFERROR(__xludf.DUMMYFUNCTION("IF(COUNTA(Q1236:Q1673)=0,"""",IF(REGEXMATCH(INDEX(FILTER(Q$4:Q1236,Q$4:Q1236&lt;&gt;""""),ROWS(FILTER(Q$4:Q1236,Q$4:Q1236&lt;&gt;""""))),""^Sell_""),INDEX(FILTER(T$4:T1235,Q$4:Q1235&lt;&gt;""""),ROWS(FILTER(Q$4:Q1235,Q$4:Q1235&lt;&gt;""""))),$AD$5+S1236))"),"")</f>
        <v/>
      </c>
      <c r="U1236" s="10" t="str">
        <f>IFERROR(__xludf.DUMMYFUNCTION("IF(COUNTA(Q1236:Q1673)=0,"""",IF(Q1236="""",0,IF(REGEXMATCH(Q1236,""^Sell_""),-ROUNDDOWN(ROUNDUP(INDEX(Upgrades!$C$3:$C$13,MATCH(SUBSTITUTE(Q1236,""Sell_"",""""),Upgrades!$B$3:$B$13,0))*1.15^(COUNTIF(Q$4:Q1235,SUBSTITUTE(Q1236,""Sell_"",""""))-COUNTIF(Q$4"&amp;":Q1235,""Sell_""&amp;SUBSTITUTE(Q1236,""Sell_"",""""))))/2),ROUNDUP(INDEX(Upgrades!$C$3:$C$13,MATCH(Q1236,Upgrades!$B$3:$B$13,0))*1.15^(COUNTIF(Q$4:Q1235,Q1236)-COUNTIF(Q$4:Q1235,""Sell_""&amp;Q1236))))))"),"")</f>
        <v/>
      </c>
      <c r="V1236" s="10" t="str">
        <f t="shared" si="11"/>
        <v/>
      </c>
      <c r="W1236" s="68" t="str">
        <f t="shared" si="12"/>
        <v/>
      </c>
      <c r="X1236" s="59" t="str">
        <f t="shared" si="13"/>
        <v/>
      </c>
      <c r="Y1236" s="69" t="str">
        <f t="shared" si="14"/>
        <v/>
      </c>
      <c r="Z1236" s="11"/>
    </row>
    <row r="1237">
      <c r="A1237" s="8"/>
      <c r="B1237" s="56" t="str">
        <f t="shared" si="2"/>
        <v/>
      </c>
      <c r="C1237" s="105"/>
      <c r="D1237" s="10"/>
      <c r="E1237" s="59" t="str">
        <f t="array" ref="E1237">IF(COUNTA(C1237:C1673)=0,"",SUM((COUNTIF(C$4:C1237,Upgrades!$B$3:$B$13)-COUNTIF(C$4:C1237,"Sell_"&amp;Upgrades!$B$3:$B$13))*Upgrades!$D$3:$D$13))</f>
        <v/>
      </c>
      <c r="F1237" s="66" t="str">
        <f>IFERROR(__xludf.DUMMYFUNCTION("IF(COUNTA(C1237:C1673)=0,"""",IF(REGEXMATCH(INDEX(FILTER(C$4:C1237,C$4:C1237&lt;&gt;""""),ROWS(FILTER(C$4:C1237,C$4:C1237&lt;&gt;""""))),""^Sell_""),INDEX(FILTER(F$4:F1236,C$4:C1236&lt;&gt;""""),ROWS(FILTER(C$4:C1236,C$4:C1236&lt;&gt;""""))),$AC$5+E1237))"),"")</f>
        <v/>
      </c>
      <c r="G1237" s="10" t="str">
        <f>IFERROR(__xludf.DUMMYFUNCTION("IF(COUNTA(C1237:C1673)=0,"""",IF(C1237="""",0,IF(REGEXMATCH(C1237,""^Sell_""),-ROUNDDOWN(ROUNDUP(INDEX(Upgrades!$C$3:$C$13,MATCH(SUBSTITUTE(C1237,""Sell_"",""""),Upgrades!$B$3:$B$13,0))*1.15^(COUNTIF(C$4:C1236,SUBSTITUTE(C1237,""Sell_"",""""))-COUNTIF(C$4"&amp;":C1236,""Sell_""&amp;SUBSTITUTE(C1237,""Sell_"",""""))))/2),ROUNDUP(INDEX(Upgrades!$C$3:$C$13,MATCH(C1237,Upgrades!$B$3:$B$13,0))*1.15^(COUNTIF(C$4:C1236,C1237)-COUNTIF(C$4:C1236,""Sell_""&amp;C1237))))))"),"")</f>
        <v/>
      </c>
      <c r="H1237" s="10" t="str">
        <f t="shared" si="3"/>
        <v/>
      </c>
      <c r="I1237" s="68" t="str">
        <f t="shared" si="4"/>
        <v/>
      </c>
      <c r="J1237" s="59" t="str">
        <f t="shared" si="5"/>
        <v/>
      </c>
      <c r="K1237" s="69" t="str">
        <f t="shared" si="6"/>
        <v/>
      </c>
      <c r="L1237" s="60" t="str">
        <f t="shared" si="7"/>
        <v/>
      </c>
      <c r="M1237" s="61" t="str">
        <f>IFERROR(__xludf.DUMMYFUNCTION("IFS(AND(COUNTA(C1237:C1673)=0,COUNTA(Q1237:Q1673)=0),"""",OR(AND(K1237&gt;=1000000000,OR(Y1237&gt;=1000000000,COUNTA(Q1237:Q1673)=0)),OR(Y1237&gt;=1000000000,AND(COUNTA(C1237:C1673)=0,P$3=TRUE))),
ROUNDDOWN((AB$1-AC$1)*MAX(INDEX(T$4:T1673,MATCH(LARGE(FILTER(Y$4:Y1"&amp;"673,Y$4:Y1673&lt;1000000000),1),Y$4:Y1673)),INDEX(F$4:F1673,MATCH(LARGE(FILTER(K$4:K1673,K$4:K1673&lt;1000000000),1),K$4:K1673)))),AND(K1237&lt;1000000000,COUNTA(C1237:C1673)&gt;0,P$3=FALSE),
ROUNDDOWN(INDEX(Y$4:Y1673,MATCH(LARGE(FILTER(W$4:W1673,W$4:W1673&lt;=I1237),1)"&amp;",W$4:W1673))+(I1237-LARGE(FILTER(W$4:W1673,W$4:W1673&lt;=I1237),1))*INDEX(T$4:T1673,MATCH(LARGE(FILTER(W$4:W1673,W$4:W1673&lt;=I1237),1),W$4:W1673))-K1237),1,
ROUNDDOWN(Y1237-INDEX(K$4:K1673,MATCH(LARGE(FILTER(I$4:I1673,I$4:I1673&lt;=W1237),1),I$4:I1673))-(W1237-L"&amp;"ARGE(FILTER(I$4:I1673,I$4:I1673&lt;=W1237),1))*INDEX(F$4:F1673,MATCH(LARGE(FILTER(I$4:I1673,I$4:I1673&lt;=W1237),1),I$4:I1673))))"),"")</f>
        <v/>
      </c>
      <c r="N1237" s="60" t="str">
        <f t="shared" si="8"/>
        <v/>
      </c>
      <c r="O1237" s="61" t="str">
        <f t="shared" si="9"/>
        <v/>
      </c>
      <c r="P1237" s="56" t="str">
        <f t="shared" si="10"/>
        <v/>
      </c>
      <c r="Q1237" s="67"/>
      <c r="R1237" s="10"/>
      <c r="S1237" s="59" t="str">
        <f t="array" ref="S1237">IF(COUNTA(Q1237:Q1673)=0,"",SUM((COUNTIF(Q$4:Q1237,Upgrades!$B$3:$B$13)-COUNTIF(Q$4:Q1237,"Sell_"&amp;Upgrades!$B$3:$B$13))*Upgrades!$D$3:$D$13))</f>
        <v/>
      </c>
      <c r="T1237" s="66" t="str">
        <f>IFERROR(__xludf.DUMMYFUNCTION("IF(COUNTA(Q1237:Q1673)=0,"""",IF(REGEXMATCH(INDEX(FILTER(Q$4:Q1237,Q$4:Q1237&lt;&gt;""""),ROWS(FILTER(Q$4:Q1237,Q$4:Q1237&lt;&gt;""""))),""^Sell_""),INDEX(FILTER(T$4:T1236,Q$4:Q1236&lt;&gt;""""),ROWS(FILTER(Q$4:Q1236,Q$4:Q1236&lt;&gt;""""))),$AD$5+S1237))"),"")</f>
        <v/>
      </c>
      <c r="U1237" s="10" t="str">
        <f>IFERROR(__xludf.DUMMYFUNCTION("IF(COUNTA(Q1237:Q1673)=0,"""",IF(Q1237="""",0,IF(REGEXMATCH(Q1237,""^Sell_""),-ROUNDDOWN(ROUNDUP(INDEX(Upgrades!$C$3:$C$13,MATCH(SUBSTITUTE(Q1237,""Sell_"",""""),Upgrades!$B$3:$B$13,0))*1.15^(COUNTIF(Q$4:Q1236,SUBSTITUTE(Q1237,""Sell_"",""""))-COUNTIF(Q$4"&amp;":Q1236,""Sell_""&amp;SUBSTITUTE(Q1237,""Sell_"",""""))))/2),ROUNDUP(INDEX(Upgrades!$C$3:$C$13,MATCH(Q1237,Upgrades!$B$3:$B$13,0))*1.15^(COUNTIF(Q$4:Q1236,Q1237)-COUNTIF(Q$4:Q1236,""Sell_""&amp;Q1237))))))"),"")</f>
        <v/>
      </c>
      <c r="V1237" s="10" t="str">
        <f t="shared" si="11"/>
        <v/>
      </c>
      <c r="W1237" s="68" t="str">
        <f t="shared" si="12"/>
        <v/>
      </c>
      <c r="X1237" s="59" t="str">
        <f t="shared" si="13"/>
        <v/>
      </c>
      <c r="Y1237" s="69" t="str">
        <f t="shared" si="14"/>
        <v/>
      </c>
      <c r="Z1237" s="11"/>
    </row>
    <row r="1238">
      <c r="A1238" s="8"/>
      <c r="B1238" s="56" t="str">
        <f t="shared" si="2"/>
        <v/>
      </c>
      <c r="C1238" s="105"/>
      <c r="D1238" s="10"/>
      <c r="E1238" s="59" t="str">
        <f t="array" ref="E1238">IF(COUNTA(C1238:C1673)=0,"",SUM((COUNTIF(C$4:C1238,Upgrades!$B$3:$B$13)-COUNTIF(C$4:C1238,"Sell_"&amp;Upgrades!$B$3:$B$13))*Upgrades!$D$3:$D$13))</f>
        <v/>
      </c>
      <c r="F1238" s="66" t="str">
        <f>IFERROR(__xludf.DUMMYFUNCTION("IF(COUNTA(C1238:C1673)=0,"""",IF(REGEXMATCH(INDEX(FILTER(C$4:C1238,C$4:C1238&lt;&gt;""""),ROWS(FILTER(C$4:C1238,C$4:C1238&lt;&gt;""""))),""^Sell_""),INDEX(FILTER(F$4:F1237,C$4:C1237&lt;&gt;""""),ROWS(FILTER(C$4:C1237,C$4:C1237&lt;&gt;""""))),$AC$5+E1238))"),"")</f>
        <v/>
      </c>
      <c r="G1238" s="10" t="str">
        <f>IFERROR(__xludf.DUMMYFUNCTION("IF(COUNTA(C1238:C1673)=0,"""",IF(C1238="""",0,IF(REGEXMATCH(C1238,""^Sell_""),-ROUNDDOWN(ROUNDUP(INDEX(Upgrades!$C$3:$C$13,MATCH(SUBSTITUTE(C1238,""Sell_"",""""),Upgrades!$B$3:$B$13,0))*1.15^(COUNTIF(C$4:C1237,SUBSTITUTE(C1238,""Sell_"",""""))-COUNTIF(C$4"&amp;":C1237,""Sell_""&amp;SUBSTITUTE(C1238,""Sell_"",""""))))/2),ROUNDUP(INDEX(Upgrades!$C$3:$C$13,MATCH(C1238,Upgrades!$B$3:$B$13,0))*1.15^(COUNTIF(C$4:C1237,C1238)-COUNTIF(C$4:C1237,""Sell_""&amp;C1238))))))"),"")</f>
        <v/>
      </c>
      <c r="H1238" s="10" t="str">
        <f t="shared" si="3"/>
        <v/>
      </c>
      <c r="I1238" s="68" t="str">
        <f t="shared" si="4"/>
        <v/>
      </c>
      <c r="J1238" s="59" t="str">
        <f t="shared" si="5"/>
        <v/>
      </c>
      <c r="K1238" s="69" t="str">
        <f t="shared" si="6"/>
        <v/>
      </c>
      <c r="L1238" s="60" t="str">
        <f t="shared" si="7"/>
        <v/>
      </c>
      <c r="M1238" s="61" t="str">
        <f>IFERROR(__xludf.DUMMYFUNCTION("IFS(AND(COUNTA(C1238:C1673)=0,COUNTA(Q1238:Q1673)=0),"""",OR(AND(K1238&gt;=1000000000,OR(Y1238&gt;=1000000000,COUNTA(Q1238:Q1673)=0)),OR(Y1238&gt;=1000000000,AND(COUNTA(C1238:C1673)=0,P$3=TRUE))),
ROUNDDOWN((AB$1-AC$1)*MAX(INDEX(T$4:T1673,MATCH(LARGE(FILTER(Y$4:Y1"&amp;"673,Y$4:Y1673&lt;1000000000),1),Y$4:Y1673)),INDEX(F$4:F1673,MATCH(LARGE(FILTER(K$4:K1673,K$4:K1673&lt;1000000000),1),K$4:K1673)))),AND(K1238&lt;1000000000,COUNTA(C1238:C1673)&gt;0,P$3=FALSE),
ROUNDDOWN(INDEX(Y$4:Y1673,MATCH(LARGE(FILTER(W$4:W1673,W$4:W1673&lt;=I1238),1)"&amp;",W$4:W1673))+(I1238-LARGE(FILTER(W$4:W1673,W$4:W1673&lt;=I1238),1))*INDEX(T$4:T1673,MATCH(LARGE(FILTER(W$4:W1673,W$4:W1673&lt;=I1238),1),W$4:W1673))-K1238),1,
ROUNDDOWN(Y1238-INDEX(K$4:K1673,MATCH(LARGE(FILTER(I$4:I1673,I$4:I1673&lt;=W1238),1),I$4:I1673))-(W1238-L"&amp;"ARGE(FILTER(I$4:I1673,I$4:I1673&lt;=W1238),1))*INDEX(F$4:F1673,MATCH(LARGE(FILTER(I$4:I1673,I$4:I1673&lt;=W1238),1),I$4:I1673))))"),"")</f>
        <v/>
      </c>
      <c r="N1238" s="60" t="str">
        <f t="shared" si="8"/>
        <v/>
      </c>
      <c r="O1238" s="61" t="str">
        <f t="shared" si="9"/>
        <v/>
      </c>
      <c r="P1238" s="56" t="str">
        <f t="shared" si="10"/>
        <v/>
      </c>
      <c r="Q1238" s="67"/>
      <c r="R1238" s="10"/>
      <c r="S1238" s="59" t="str">
        <f t="array" ref="S1238">IF(COUNTA(Q1238:Q1673)=0,"",SUM((COUNTIF(Q$4:Q1238,Upgrades!$B$3:$B$13)-COUNTIF(Q$4:Q1238,"Sell_"&amp;Upgrades!$B$3:$B$13))*Upgrades!$D$3:$D$13))</f>
        <v/>
      </c>
      <c r="T1238" s="66" t="str">
        <f>IFERROR(__xludf.DUMMYFUNCTION("IF(COUNTA(Q1238:Q1673)=0,"""",IF(REGEXMATCH(INDEX(FILTER(Q$4:Q1238,Q$4:Q1238&lt;&gt;""""),ROWS(FILTER(Q$4:Q1238,Q$4:Q1238&lt;&gt;""""))),""^Sell_""),INDEX(FILTER(T$4:T1237,Q$4:Q1237&lt;&gt;""""),ROWS(FILTER(Q$4:Q1237,Q$4:Q1237&lt;&gt;""""))),$AD$5+S1238))"),"")</f>
        <v/>
      </c>
      <c r="U1238" s="10" t="str">
        <f>IFERROR(__xludf.DUMMYFUNCTION("IF(COUNTA(Q1238:Q1673)=0,"""",IF(Q1238="""",0,IF(REGEXMATCH(Q1238,""^Sell_""),-ROUNDDOWN(ROUNDUP(INDEX(Upgrades!$C$3:$C$13,MATCH(SUBSTITUTE(Q1238,""Sell_"",""""),Upgrades!$B$3:$B$13,0))*1.15^(COUNTIF(Q$4:Q1237,SUBSTITUTE(Q1238,""Sell_"",""""))-COUNTIF(Q$4"&amp;":Q1237,""Sell_""&amp;SUBSTITUTE(Q1238,""Sell_"",""""))))/2),ROUNDUP(INDEX(Upgrades!$C$3:$C$13,MATCH(Q1238,Upgrades!$B$3:$B$13,0))*1.15^(COUNTIF(Q$4:Q1237,Q1238)-COUNTIF(Q$4:Q1237,""Sell_""&amp;Q1238))))))"),"")</f>
        <v/>
      </c>
      <c r="V1238" s="10" t="str">
        <f t="shared" si="11"/>
        <v/>
      </c>
      <c r="W1238" s="68" t="str">
        <f t="shared" si="12"/>
        <v/>
      </c>
      <c r="X1238" s="59" t="str">
        <f t="shared" si="13"/>
        <v/>
      </c>
      <c r="Y1238" s="69" t="str">
        <f t="shared" si="14"/>
        <v/>
      </c>
      <c r="Z1238" s="11"/>
    </row>
    <row r="1239">
      <c r="A1239" s="8"/>
      <c r="B1239" s="56" t="str">
        <f t="shared" si="2"/>
        <v/>
      </c>
      <c r="C1239" s="105"/>
      <c r="D1239" s="10"/>
      <c r="E1239" s="59" t="str">
        <f t="array" ref="E1239">IF(COUNTA(C1239:C1673)=0,"",SUM((COUNTIF(C$4:C1239,Upgrades!$B$3:$B$13)-COUNTIF(C$4:C1239,"Sell_"&amp;Upgrades!$B$3:$B$13))*Upgrades!$D$3:$D$13))</f>
        <v/>
      </c>
      <c r="F1239" s="66" t="str">
        <f>IFERROR(__xludf.DUMMYFUNCTION("IF(COUNTA(C1239:C1673)=0,"""",IF(REGEXMATCH(INDEX(FILTER(C$4:C1239,C$4:C1239&lt;&gt;""""),ROWS(FILTER(C$4:C1239,C$4:C1239&lt;&gt;""""))),""^Sell_""),INDEX(FILTER(F$4:F1238,C$4:C1238&lt;&gt;""""),ROWS(FILTER(C$4:C1238,C$4:C1238&lt;&gt;""""))),$AC$5+E1239))"),"")</f>
        <v/>
      </c>
      <c r="G1239" s="10" t="str">
        <f>IFERROR(__xludf.DUMMYFUNCTION("IF(COUNTA(C1239:C1673)=0,"""",IF(C1239="""",0,IF(REGEXMATCH(C1239,""^Sell_""),-ROUNDDOWN(ROUNDUP(INDEX(Upgrades!$C$3:$C$13,MATCH(SUBSTITUTE(C1239,""Sell_"",""""),Upgrades!$B$3:$B$13,0))*1.15^(COUNTIF(C$4:C1238,SUBSTITUTE(C1239,""Sell_"",""""))-COUNTIF(C$4"&amp;":C1238,""Sell_""&amp;SUBSTITUTE(C1239,""Sell_"",""""))))/2),ROUNDUP(INDEX(Upgrades!$C$3:$C$13,MATCH(C1239,Upgrades!$B$3:$B$13,0))*1.15^(COUNTIF(C$4:C1238,C1239)-COUNTIF(C$4:C1238,""Sell_""&amp;C1239))))))"),"")</f>
        <v/>
      </c>
      <c r="H1239" s="10" t="str">
        <f t="shared" si="3"/>
        <v/>
      </c>
      <c r="I1239" s="68" t="str">
        <f t="shared" si="4"/>
        <v/>
      </c>
      <c r="J1239" s="59" t="str">
        <f t="shared" si="5"/>
        <v/>
      </c>
      <c r="K1239" s="69" t="str">
        <f t="shared" si="6"/>
        <v/>
      </c>
      <c r="L1239" s="60" t="str">
        <f t="shared" si="7"/>
        <v/>
      </c>
      <c r="M1239" s="61" t="str">
        <f>IFERROR(__xludf.DUMMYFUNCTION("IFS(AND(COUNTA(C1239:C1673)=0,COUNTA(Q1239:Q1673)=0),"""",OR(AND(K1239&gt;=1000000000,OR(Y1239&gt;=1000000000,COUNTA(Q1239:Q1673)=0)),OR(Y1239&gt;=1000000000,AND(COUNTA(C1239:C1673)=0,P$3=TRUE))),
ROUNDDOWN((AB$1-AC$1)*MAX(INDEX(T$4:T1673,MATCH(LARGE(FILTER(Y$4:Y1"&amp;"673,Y$4:Y1673&lt;1000000000),1),Y$4:Y1673)),INDEX(F$4:F1673,MATCH(LARGE(FILTER(K$4:K1673,K$4:K1673&lt;1000000000),1),K$4:K1673)))),AND(K1239&lt;1000000000,COUNTA(C1239:C1673)&gt;0,P$3=FALSE),
ROUNDDOWN(INDEX(Y$4:Y1673,MATCH(LARGE(FILTER(W$4:W1673,W$4:W1673&lt;=I1239),1)"&amp;",W$4:W1673))+(I1239-LARGE(FILTER(W$4:W1673,W$4:W1673&lt;=I1239),1))*INDEX(T$4:T1673,MATCH(LARGE(FILTER(W$4:W1673,W$4:W1673&lt;=I1239),1),W$4:W1673))-K1239),1,
ROUNDDOWN(Y1239-INDEX(K$4:K1673,MATCH(LARGE(FILTER(I$4:I1673,I$4:I1673&lt;=W1239),1),I$4:I1673))-(W1239-L"&amp;"ARGE(FILTER(I$4:I1673,I$4:I1673&lt;=W1239),1))*INDEX(F$4:F1673,MATCH(LARGE(FILTER(I$4:I1673,I$4:I1673&lt;=W1239),1),I$4:I1673))))"),"")</f>
        <v/>
      </c>
      <c r="N1239" s="60" t="str">
        <f t="shared" si="8"/>
        <v/>
      </c>
      <c r="O1239" s="61" t="str">
        <f t="shared" si="9"/>
        <v/>
      </c>
      <c r="P1239" s="56" t="str">
        <f t="shared" si="10"/>
        <v/>
      </c>
      <c r="Q1239" s="67"/>
      <c r="R1239" s="10"/>
      <c r="S1239" s="59" t="str">
        <f t="array" ref="S1239">IF(COUNTA(Q1239:Q1673)=0,"",SUM((COUNTIF(Q$4:Q1239,Upgrades!$B$3:$B$13)-COUNTIF(Q$4:Q1239,"Sell_"&amp;Upgrades!$B$3:$B$13))*Upgrades!$D$3:$D$13))</f>
        <v/>
      </c>
      <c r="T1239" s="66" t="str">
        <f>IFERROR(__xludf.DUMMYFUNCTION("IF(COUNTA(Q1239:Q1673)=0,"""",IF(REGEXMATCH(INDEX(FILTER(Q$4:Q1239,Q$4:Q1239&lt;&gt;""""),ROWS(FILTER(Q$4:Q1239,Q$4:Q1239&lt;&gt;""""))),""^Sell_""),INDEX(FILTER(T$4:T1238,Q$4:Q1238&lt;&gt;""""),ROWS(FILTER(Q$4:Q1238,Q$4:Q1238&lt;&gt;""""))),$AD$5+S1239))"),"")</f>
        <v/>
      </c>
      <c r="U1239" s="10" t="str">
        <f>IFERROR(__xludf.DUMMYFUNCTION("IF(COUNTA(Q1239:Q1673)=0,"""",IF(Q1239="""",0,IF(REGEXMATCH(Q1239,""^Sell_""),-ROUNDDOWN(ROUNDUP(INDEX(Upgrades!$C$3:$C$13,MATCH(SUBSTITUTE(Q1239,""Sell_"",""""),Upgrades!$B$3:$B$13,0))*1.15^(COUNTIF(Q$4:Q1238,SUBSTITUTE(Q1239,""Sell_"",""""))-COUNTIF(Q$4"&amp;":Q1238,""Sell_""&amp;SUBSTITUTE(Q1239,""Sell_"",""""))))/2),ROUNDUP(INDEX(Upgrades!$C$3:$C$13,MATCH(Q1239,Upgrades!$B$3:$B$13,0))*1.15^(COUNTIF(Q$4:Q1238,Q1239)-COUNTIF(Q$4:Q1238,""Sell_""&amp;Q1239))))))"),"")</f>
        <v/>
      </c>
      <c r="V1239" s="10" t="str">
        <f t="shared" si="11"/>
        <v/>
      </c>
      <c r="W1239" s="68" t="str">
        <f t="shared" si="12"/>
        <v/>
      </c>
      <c r="X1239" s="59" t="str">
        <f t="shared" si="13"/>
        <v/>
      </c>
      <c r="Y1239" s="69" t="str">
        <f t="shared" si="14"/>
        <v/>
      </c>
      <c r="Z1239" s="11"/>
    </row>
    <row r="1240">
      <c r="A1240" s="8"/>
      <c r="B1240" s="56" t="str">
        <f t="shared" si="2"/>
        <v/>
      </c>
      <c r="C1240" s="105"/>
      <c r="D1240" s="10"/>
      <c r="E1240" s="59" t="str">
        <f t="array" ref="E1240">IF(COUNTA(C1240:C1673)=0,"",SUM((COUNTIF(C$4:C1240,Upgrades!$B$3:$B$13)-COUNTIF(C$4:C1240,"Sell_"&amp;Upgrades!$B$3:$B$13))*Upgrades!$D$3:$D$13))</f>
        <v/>
      </c>
      <c r="F1240" s="66" t="str">
        <f>IFERROR(__xludf.DUMMYFUNCTION("IF(COUNTA(C1240:C1673)=0,"""",IF(REGEXMATCH(INDEX(FILTER(C$4:C1240,C$4:C1240&lt;&gt;""""),ROWS(FILTER(C$4:C1240,C$4:C1240&lt;&gt;""""))),""^Sell_""),INDEX(FILTER(F$4:F1239,C$4:C1239&lt;&gt;""""),ROWS(FILTER(C$4:C1239,C$4:C1239&lt;&gt;""""))),$AC$5+E1240))"),"")</f>
        <v/>
      </c>
      <c r="G1240" s="10" t="str">
        <f>IFERROR(__xludf.DUMMYFUNCTION("IF(COUNTA(C1240:C1673)=0,"""",IF(C1240="""",0,IF(REGEXMATCH(C1240,""^Sell_""),-ROUNDDOWN(ROUNDUP(INDEX(Upgrades!$C$3:$C$13,MATCH(SUBSTITUTE(C1240,""Sell_"",""""),Upgrades!$B$3:$B$13,0))*1.15^(COUNTIF(C$4:C1239,SUBSTITUTE(C1240,""Sell_"",""""))-COUNTIF(C$4"&amp;":C1239,""Sell_""&amp;SUBSTITUTE(C1240,""Sell_"",""""))))/2),ROUNDUP(INDEX(Upgrades!$C$3:$C$13,MATCH(C1240,Upgrades!$B$3:$B$13,0))*1.15^(COUNTIF(C$4:C1239,C1240)-COUNTIF(C$4:C1239,""Sell_""&amp;C1240))))))"),"")</f>
        <v/>
      </c>
      <c r="H1240" s="10" t="str">
        <f t="shared" si="3"/>
        <v/>
      </c>
      <c r="I1240" s="68" t="str">
        <f t="shared" si="4"/>
        <v/>
      </c>
      <c r="J1240" s="59" t="str">
        <f t="shared" si="5"/>
        <v/>
      </c>
      <c r="K1240" s="69" t="str">
        <f t="shared" si="6"/>
        <v/>
      </c>
      <c r="L1240" s="60" t="str">
        <f t="shared" si="7"/>
        <v/>
      </c>
      <c r="M1240" s="61" t="str">
        <f>IFERROR(__xludf.DUMMYFUNCTION("IFS(AND(COUNTA(C1240:C1673)=0,COUNTA(Q1240:Q1673)=0),"""",OR(AND(K1240&gt;=1000000000,OR(Y1240&gt;=1000000000,COUNTA(Q1240:Q1673)=0)),OR(Y1240&gt;=1000000000,AND(COUNTA(C1240:C1673)=0,P$3=TRUE))),
ROUNDDOWN((AB$1-AC$1)*MAX(INDEX(T$4:T1673,MATCH(LARGE(FILTER(Y$4:Y1"&amp;"673,Y$4:Y1673&lt;1000000000),1),Y$4:Y1673)),INDEX(F$4:F1673,MATCH(LARGE(FILTER(K$4:K1673,K$4:K1673&lt;1000000000),1),K$4:K1673)))),AND(K1240&lt;1000000000,COUNTA(C1240:C1673)&gt;0,P$3=FALSE),
ROUNDDOWN(INDEX(Y$4:Y1673,MATCH(LARGE(FILTER(W$4:W1673,W$4:W1673&lt;=I1240),1)"&amp;",W$4:W1673))+(I1240-LARGE(FILTER(W$4:W1673,W$4:W1673&lt;=I1240),1))*INDEX(T$4:T1673,MATCH(LARGE(FILTER(W$4:W1673,W$4:W1673&lt;=I1240),1),W$4:W1673))-K1240),1,
ROUNDDOWN(Y1240-INDEX(K$4:K1673,MATCH(LARGE(FILTER(I$4:I1673,I$4:I1673&lt;=W1240),1),I$4:I1673))-(W1240-L"&amp;"ARGE(FILTER(I$4:I1673,I$4:I1673&lt;=W1240),1))*INDEX(F$4:F1673,MATCH(LARGE(FILTER(I$4:I1673,I$4:I1673&lt;=W1240),1),I$4:I1673))))"),"")</f>
        <v/>
      </c>
      <c r="N1240" s="60" t="str">
        <f t="shared" si="8"/>
        <v/>
      </c>
      <c r="O1240" s="61" t="str">
        <f t="shared" si="9"/>
        <v/>
      </c>
      <c r="P1240" s="56" t="str">
        <f t="shared" si="10"/>
        <v/>
      </c>
      <c r="Q1240" s="67"/>
      <c r="R1240" s="10"/>
      <c r="S1240" s="59" t="str">
        <f t="array" ref="S1240">IF(COUNTA(Q1240:Q1673)=0,"",SUM((COUNTIF(Q$4:Q1240,Upgrades!$B$3:$B$13)-COUNTIF(Q$4:Q1240,"Sell_"&amp;Upgrades!$B$3:$B$13))*Upgrades!$D$3:$D$13))</f>
        <v/>
      </c>
      <c r="T1240" s="66" t="str">
        <f>IFERROR(__xludf.DUMMYFUNCTION("IF(COUNTA(Q1240:Q1673)=0,"""",IF(REGEXMATCH(INDEX(FILTER(Q$4:Q1240,Q$4:Q1240&lt;&gt;""""),ROWS(FILTER(Q$4:Q1240,Q$4:Q1240&lt;&gt;""""))),""^Sell_""),INDEX(FILTER(T$4:T1239,Q$4:Q1239&lt;&gt;""""),ROWS(FILTER(Q$4:Q1239,Q$4:Q1239&lt;&gt;""""))),$AD$5+S1240))"),"")</f>
        <v/>
      </c>
      <c r="U1240" s="10" t="str">
        <f>IFERROR(__xludf.DUMMYFUNCTION("IF(COUNTA(Q1240:Q1673)=0,"""",IF(Q1240="""",0,IF(REGEXMATCH(Q1240,""^Sell_""),-ROUNDDOWN(ROUNDUP(INDEX(Upgrades!$C$3:$C$13,MATCH(SUBSTITUTE(Q1240,""Sell_"",""""),Upgrades!$B$3:$B$13,0))*1.15^(COUNTIF(Q$4:Q1239,SUBSTITUTE(Q1240,""Sell_"",""""))-COUNTIF(Q$4"&amp;":Q1239,""Sell_""&amp;SUBSTITUTE(Q1240,""Sell_"",""""))))/2),ROUNDUP(INDEX(Upgrades!$C$3:$C$13,MATCH(Q1240,Upgrades!$B$3:$B$13,0))*1.15^(COUNTIF(Q$4:Q1239,Q1240)-COUNTIF(Q$4:Q1239,""Sell_""&amp;Q1240))))))"),"")</f>
        <v/>
      </c>
      <c r="V1240" s="10" t="str">
        <f t="shared" si="11"/>
        <v/>
      </c>
      <c r="W1240" s="68" t="str">
        <f t="shared" si="12"/>
        <v/>
      </c>
      <c r="X1240" s="59" t="str">
        <f t="shared" si="13"/>
        <v/>
      </c>
      <c r="Y1240" s="69" t="str">
        <f t="shared" si="14"/>
        <v/>
      </c>
      <c r="Z1240" s="11"/>
    </row>
    <row r="1241">
      <c r="A1241" s="8"/>
      <c r="B1241" s="56" t="str">
        <f t="shared" si="2"/>
        <v/>
      </c>
      <c r="C1241" s="105"/>
      <c r="D1241" s="10"/>
      <c r="E1241" s="59" t="str">
        <f t="array" ref="E1241">IF(COUNTA(C1241:C1673)=0,"",SUM((COUNTIF(C$4:C1241,Upgrades!$B$3:$B$13)-COUNTIF(C$4:C1241,"Sell_"&amp;Upgrades!$B$3:$B$13))*Upgrades!$D$3:$D$13))</f>
        <v/>
      </c>
      <c r="F1241" s="66" t="str">
        <f>IFERROR(__xludf.DUMMYFUNCTION("IF(COUNTA(C1241:C1673)=0,"""",IF(REGEXMATCH(INDEX(FILTER(C$4:C1241,C$4:C1241&lt;&gt;""""),ROWS(FILTER(C$4:C1241,C$4:C1241&lt;&gt;""""))),""^Sell_""),INDEX(FILTER(F$4:F1240,C$4:C1240&lt;&gt;""""),ROWS(FILTER(C$4:C1240,C$4:C1240&lt;&gt;""""))),$AC$5+E1241))"),"")</f>
        <v/>
      </c>
      <c r="G1241" s="10" t="str">
        <f>IFERROR(__xludf.DUMMYFUNCTION("IF(COUNTA(C1241:C1673)=0,"""",IF(C1241="""",0,IF(REGEXMATCH(C1241,""^Sell_""),-ROUNDDOWN(ROUNDUP(INDEX(Upgrades!$C$3:$C$13,MATCH(SUBSTITUTE(C1241,""Sell_"",""""),Upgrades!$B$3:$B$13,0))*1.15^(COUNTIF(C$4:C1240,SUBSTITUTE(C1241,""Sell_"",""""))-COUNTIF(C$4"&amp;":C1240,""Sell_""&amp;SUBSTITUTE(C1241,""Sell_"",""""))))/2),ROUNDUP(INDEX(Upgrades!$C$3:$C$13,MATCH(C1241,Upgrades!$B$3:$B$13,0))*1.15^(COUNTIF(C$4:C1240,C1241)-COUNTIF(C$4:C1240,""Sell_""&amp;C1241))))))"),"")</f>
        <v/>
      </c>
      <c r="H1241" s="10" t="str">
        <f t="shared" si="3"/>
        <v/>
      </c>
      <c r="I1241" s="68" t="str">
        <f t="shared" si="4"/>
        <v/>
      </c>
      <c r="J1241" s="59" t="str">
        <f t="shared" si="5"/>
        <v/>
      </c>
      <c r="K1241" s="69" t="str">
        <f t="shared" si="6"/>
        <v/>
      </c>
      <c r="L1241" s="60" t="str">
        <f t="shared" si="7"/>
        <v/>
      </c>
      <c r="M1241" s="61" t="str">
        <f>IFERROR(__xludf.DUMMYFUNCTION("IFS(AND(COUNTA(C1241:C1673)=0,COUNTA(Q1241:Q1673)=0),"""",OR(AND(K1241&gt;=1000000000,OR(Y1241&gt;=1000000000,COUNTA(Q1241:Q1673)=0)),OR(Y1241&gt;=1000000000,AND(COUNTA(C1241:C1673)=0,P$3=TRUE))),
ROUNDDOWN((AB$1-AC$1)*MAX(INDEX(T$4:T1673,MATCH(LARGE(FILTER(Y$4:Y1"&amp;"673,Y$4:Y1673&lt;1000000000),1),Y$4:Y1673)),INDEX(F$4:F1673,MATCH(LARGE(FILTER(K$4:K1673,K$4:K1673&lt;1000000000),1),K$4:K1673)))),AND(K1241&lt;1000000000,COUNTA(C1241:C1673)&gt;0,P$3=FALSE),
ROUNDDOWN(INDEX(Y$4:Y1673,MATCH(LARGE(FILTER(W$4:W1673,W$4:W1673&lt;=I1241),1)"&amp;",W$4:W1673))+(I1241-LARGE(FILTER(W$4:W1673,W$4:W1673&lt;=I1241),1))*INDEX(T$4:T1673,MATCH(LARGE(FILTER(W$4:W1673,W$4:W1673&lt;=I1241),1),W$4:W1673))-K1241),1,
ROUNDDOWN(Y1241-INDEX(K$4:K1673,MATCH(LARGE(FILTER(I$4:I1673,I$4:I1673&lt;=W1241),1),I$4:I1673))-(W1241-L"&amp;"ARGE(FILTER(I$4:I1673,I$4:I1673&lt;=W1241),1))*INDEX(F$4:F1673,MATCH(LARGE(FILTER(I$4:I1673,I$4:I1673&lt;=W1241),1),I$4:I1673))))"),"")</f>
        <v/>
      </c>
      <c r="N1241" s="60" t="str">
        <f t="shared" si="8"/>
        <v/>
      </c>
      <c r="O1241" s="61" t="str">
        <f t="shared" si="9"/>
        <v/>
      </c>
      <c r="P1241" s="56" t="str">
        <f t="shared" si="10"/>
        <v/>
      </c>
      <c r="Q1241" s="67"/>
      <c r="R1241" s="10"/>
      <c r="S1241" s="59" t="str">
        <f t="array" ref="S1241">IF(COUNTA(Q1241:Q1673)=0,"",SUM((COUNTIF(Q$4:Q1241,Upgrades!$B$3:$B$13)-COUNTIF(Q$4:Q1241,"Sell_"&amp;Upgrades!$B$3:$B$13))*Upgrades!$D$3:$D$13))</f>
        <v/>
      </c>
      <c r="T1241" s="66" t="str">
        <f>IFERROR(__xludf.DUMMYFUNCTION("IF(COUNTA(Q1241:Q1673)=0,"""",IF(REGEXMATCH(INDEX(FILTER(Q$4:Q1241,Q$4:Q1241&lt;&gt;""""),ROWS(FILTER(Q$4:Q1241,Q$4:Q1241&lt;&gt;""""))),""^Sell_""),INDEX(FILTER(T$4:T1240,Q$4:Q1240&lt;&gt;""""),ROWS(FILTER(Q$4:Q1240,Q$4:Q1240&lt;&gt;""""))),$AD$5+S1241))"),"")</f>
        <v/>
      </c>
      <c r="U1241" s="10" t="str">
        <f>IFERROR(__xludf.DUMMYFUNCTION("IF(COUNTA(Q1241:Q1673)=0,"""",IF(Q1241="""",0,IF(REGEXMATCH(Q1241,""^Sell_""),-ROUNDDOWN(ROUNDUP(INDEX(Upgrades!$C$3:$C$13,MATCH(SUBSTITUTE(Q1241,""Sell_"",""""),Upgrades!$B$3:$B$13,0))*1.15^(COUNTIF(Q$4:Q1240,SUBSTITUTE(Q1241,""Sell_"",""""))-COUNTIF(Q$4"&amp;":Q1240,""Sell_""&amp;SUBSTITUTE(Q1241,""Sell_"",""""))))/2),ROUNDUP(INDEX(Upgrades!$C$3:$C$13,MATCH(Q1241,Upgrades!$B$3:$B$13,0))*1.15^(COUNTIF(Q$4:Q1240,Q1241)-COUNTIF(Q$4:Q1240,""Sell_""&amp;Q1241))))))"),"")</f>
        <v/>
      </c>
      <c r="V1241" s="10" t="str">
        <f t="shared" si="11"/>
        <v/>
      </c>
      <c r="W1241" s="68" t="str">
        <f t="shared" si="12"/>
        <v/>
      </c>
      <c r="X1241" s="59" t="str">
        <f t="shared" si="13"/>
        <v/>
      </c>
      <c r="Y1241" s="69" t="str">
        <f t="shared" si="14"/>
        <v/>
      </c>
      <c r="Z1241" s="11"/>
    </row>
    <row r="1242">
      <c r="A1242" s="8"/>
      <c r="B1242" s="56" t="str">
        <f t="shared" si="2"/>
        <v/>
      </c>
      <c r="C1242" s="105"/>
      <c r="D1242" s="10"/>
      <c r="E1242" s="59" t="str">
        <f t="array" ref="E1242">IF(COUNTA(C1242:C1673)=0,"",SUM((COUNTIF(C$4:C1242,Upgrades!$B$3:$B$13)-COUNTIF(C$4:C1242,"Sell_"&amp;Upgrades!$B$3:$B$13))*Upgrades!$D$3:$D$13))</f>
        <v/>
      </c>
      <c r="F1242" s="66" t="str">
        <f>IFERROR(__xludf.DUMMYFUNCTION("IF(COUNTA(C1242:C1673)=0,"""",IF(REGEXMATCH(INDEX(FILTER(C$4:C1242,C$4:C1242&lt;&gt;""""),ROWS(FILTER(C$4:C1242,C$4:C1242&lt;&gt;""""))),""^Sell_""),INDEX(FILTER(F$4:F1241,C$4:C1241&lt;&gt;""""),ROWS(FILTER(C$4:C1241,C$4:C1241&lt;&gt;""""))),$AC$5+E1242))"),"")</f>
        <v/>
      </c>
      <c r="G1242" s="10" t="str">
        <f>IFERROR(__xludf.DUMMYFUNCTION("IF(COUNTA(C1242:C1673)=0,"""",IF(C1242="""",0,IF(REGEXMATCH(C1242,""^Sell_""),-ROUNDDOWN(ROUNDUP(INDEX(Upgrades!$C$3:$C$13,MATCH(SUBSTITUTE(C1242,""Sell_"",""""),Upgrades!$B$3:$B$13,0))*1.15^(COUNTIF(C$4:C1241,SUBSTITUTE(C1242,""Sell_"",""""))-COUNTIF(C$4"&amp;":C1241,""Sell_""&amp;SUBSTITUTE(C1242,""Sell_"",""""))))/2),ROUNDUP(INDEX(Upgrades!$C$3:$C$13,MATCH(C1242,Upgrades!$B$3:$B$13,0))*1.15^(COUNTIF(C$4:C1241,C1242)-COUNTIF(C$4:C1241,""Sell_""&amp;C1242))))))"),"")</f>
        <v/>
      </c>
      <c r="H1242" s="10" t="str">
        <f t="shared" si="3"/>
        <v/>
      </c>
      <c r="I1242" s="68" t="str">
        <f t="shared" si="4"/>
        <v/>
      </c>
      <c r="J1242" s="59" t="str">
        <f t="shared" si="5"/>
        <v/>
      </c>
      <c r="K1242" s="69" t="str">
        <f t="shared" si="6"/>
        <v/>
      </c>
      <c r="L1242" s="60" t="str">
        <f t="shared" si="7"/>
        <v/>
      </c>
      <c r="M1242" s="61" t="str">
        <f>IFERROR(__xludf.DUMMYFUNCTION("IFS(AND(COUNTA(C1242:C1673)=0,COUNTA(Q1242:Q1673)=0),"""",OR(AND(K1242&gt;=1000000000,OR(Y1242&gt;=1000000000,COUNTA(Q1242:Q1673)=0)),OR(Y1242&gt;=1000000000,AND(COUNTA(C1242:C1673)=0,P$3=TRUE))),
ROUNDDOWN((AB$1-AC$1)*MAX(INDEX(T$4:T1673,MATCH(LARGE(FILTER(Y$4:Y1"&amp;"673,Y$4:Y1673&lt;1000000000),1),Y$4:Y1673)),INDEX(F$4:F1673,MATCH(LARGE(FILTER(K$4:K1673,K$4:K1673&lt;1000000000),1),K$4:K1673)))),AND(K1242&lt;1000000000,COUNTA(C1242:C1673)&gt;0,P$3=FALSE),
ROUNDDOWN(INDEX(Y$4:Y1673,MATCH(LARGE(FILTER(W$4:W1673,W$4:W1673&lt;=I1242),1)"&amp;",W$4:W1673))+(I1242-LARGE(FILTER(W$4:W1673,W$4:W1673&lt;=I1242),1))*INDEX(T$4:T1673,MATCH(LARGE(FILTER(W$4:W1673,W$4:W1673&lt;=I1242),1),W$4:W1673))-K1242),1,
ROUNDDOWN(Y1242-INDEX(K$4:K1673,MATCH(LARGE(FILTER(I$4:I1673,I$4:I1673&lt;=W1242),1),I$4:I1673))-(W1242-L"&amp;"ARGE(FILTER(I$4:I1673,I$4:I1673&lt;=W1242),1))*INDEX(F$4:F1673,MATCH(LARGE(FILTER(I$4:I1673,I$4:I1673&lt;=W1242),1),I$4:I1673))))"),"")</f>
        <v/>
      </c>
      <c r="N1242" s="60" t="str">
        <f t="shared" si="8"/>
        <v/>
      </c>
      <c r="O1242" s="61" t="str">
        <f t="shared" si="9"/>
        <v/>
      </c>
      <c r="P1242" s="56" t="str">
        <f t="shared" si="10"/>
        <v/>
      </c>
      <c r="Q1242" s="67"/>
      <c r="R1242" s="10"/>
      <c r="S1242" s="59" t="str">
        <f t="array" ref="S1242">IF(COUNTA(Q1242:Q1673)=0,"",SUM((COUNTIF(Q$4:Q1242,Upgrades!$B$3:$B$13)-COUNTIF(Q$4:Q1242,"Sell_"&amp;Upgrades!$B$3:$B$13))*Upgrades!$D$3:$D$13))</f>
        <v/>
      </c>
      <c r="T1242" s="66" t="str">
        <f>IFERROR(__xludf.DUMMYFUNCTION("IF(COUNTA(Q1242:Q1673)=0,"""",IF(REGEXMATCH(INDEX(FILTER(Q$4:Q1242,Q$4:Q1242&lt;&gt;""""),ROWS(FILTER(Q$4:Q1242,Q$4:Q1242&lt;&gt;""""))),""^Sell_""),INDEX(FILTER(T$4:T1241,Q$4:Q1241&lt;&gt;""""),ROWS(FILTER(Q$4:Q1241,Q$4:Q1241&lt;&gt;""""))),$AD$5+S1242))"),"")</f>
        <v/>
      </c>
      <c r="U1242" s="10" t="str">
        <f>IFERROR(__xludf.DUMMYFUNCTION("IF(COUNTA(Q1242:Q1673)=0,"""",IF(Q1242="""",0,IF(REGEXMATCH(Q1242,""^Sell_""),-ROUNDDOWN(ROUNDUP(INDEX(Upgrades!$C$3:$C$13,MATCH(SUBSTITUTE(Q1242,""Sell_"",""""),Upgrades!$B$3:$B$13,0))*1.15^(COUNTIF(Q$4:Q1241,SUBSTITUTE(Q1242,""Sell_"",""""))-COUNTIF(Q$4"&amp;":Q1241,""Sell_""&amp;SUBSTITUTE(Q1242,""Sell_"",""""))))/2),ROUNDUP(INDEX(Upgrades!$C$3:$C$13,MATCH(Q1242,Upgrades!$B$3:$B$13,0))*1.15^(COUNTIF(Q$4:Q1241,Q1242)-COUNTIF(Q$4:Q1241,""Sell_""&amp;Q1242))))))"),"")</f>
        <v/>
      </c>
      <c r="V1242" s="10" t="str">
        <f t="shared" si="11"/>
        <v/>
      </c>
      <c r="W1242" s="68" t="str">
        <f t="shared" si="12"/>
        <v/>
      </c>
      <c r="X1242" s="59" t="str">
        <f t="shared" si="13"/>
        <v/>
      </c>
      <c r="Y1242" s="69" t="str">
        <f t="shared" si="14"/>
        <v/>
      </c>
      <c r="Z1242" s="11"/>
    </row>
    <row r="1243">
      <c r="A1243" s="8"/>
      <c r="B1243" s="56" t="str">
        <f t="shared" si="2"/>
        <v/>
      </c>
      <c r="C1243" s="105"/>
      <c r="D1243" s="10"/>
      <c r="E1243" s="59" t="str">
        <f t="array" ref="E1243">IF(COUNTA(C1243:C1673)=0,"",SUM((COUNTIF(C$4:C1243,Upgrades!$B$3:$B$13)-COUNTIF(C$4:C1243,"Sell_"&amp;Upgrades!$B$3:$B$13))*Upgrades!$D$3:$D$13))</f>
        <v/>
      </c>
      <c r="F1243" s="66" t="str">
        <f>IFERROR(__xludf.DUMMYFUNCTION("IF(COUNTA(C1243:C1673)=0,"""",IF(REGEXMATCH(INDEX(FILTER(C$4:C1243,C$4:C1243&lt;&gt;""""),ROWS(FILTER(C$4:C1243,C$4:C1243&lt;&gt;""""))),""^Sell_""),INDEX(FILTER(F$4:F1242,C$4:C1242&lt;&gt;""""),ROWS(FILTER(C$4:C1242,C$4:C1242&lt;&gt;""""))),$AC$5+E1243))"),"")</f>
        <v/>
      </c>
      <c r="G1243" s="10" t="str">
        <f>IFERROR(__xludf.DUMMYFUNCTION("IF(COUNTA(C1243:C1673)=0,"""",IF(C1243="""",0,IF(REGEXMATCH(C1243,""^Sell_""),-ROUNDDOWN(ROUNDUP(INDEX(Upgrades!$C$3:$C$13,MATCH(SUBSTITUTE(C1243,""Sell_"",""""),Upgrades!$B$3:$B$13,0))*1.15^(COUNTIF(C$4:C1242,SUBSTITUTE(C1243,""Sell_"",""""))-COUNTIF(C$4"&amp;":C1242,""Sell_""&amp;SUBSTITUTE(C1243,""Sell_"",""""))))/2),ROUNDUP(INDEX(Upgrades!$C$3:$C$13,MATCH(C1243,Upgrades!$B$3:$B$13,0))*1.15^(COUNTIF(C$4:C1242,C1243)-COUNTIF(C$4:C1242,""Sell_""&amp;C1243))))))"),"")</f>
        <v/>
      </c>
      <c r="H1243" s="10" t="str">
        <f t="shared" si="3"/>
        <v/>
      </c>
      <c r="I1243" s="68" t="str">
        <f t="shared" si="4"/>
        <v/>
      </c>
      <c r="J1243" s="59" t="str">
        <f t="shared" si="5"/>
        <v/>
      </c>
      <c r="K1243" s="69" t="str">
        <f t="shared" si="6"/>
        <v/>
      </c>
      <c r="L1243" s="60" t="str">
        <f t="shared" si="7"/>
        <v/>
      </c>
      <c r="M1243" s="61" t="str">
        <f>IFERROR(__xludf.DUMMYFUNCTION("IFS(AND(COUNTA(C1243:C1673)=0,COUNTA(Q1243:Q1673)=0),"""",OR(AND(K1243&gt;=1000000000,OR(Y1243&gt;=1000000000,COUNTA(Q1243:Q1673)=0)),OR(Y1243&gt;=1000000000,AND(COUNTA(C1243:C1673)=0,P$3=TRUE))),
ROUNDDOWN((AB$1-AC$1)*MAX(INDEX(T$4:T1673,MATCH(LARGE(FILTER(Y$4:Y1"&amp;"673,Y$4:Y1673&lt;1000000000),1),Y$4:Y1673)),INDEX(F$4:F1673,MATCH(LARGE(FILTER(K$4:K1673,K$4:K1673&lt;1000000000),1),K$4:K1673)))),AND(K1243&lt;1000000000,COUNTA(C1243:C1673)&gt;0,P$3=FALSE),
ROUNDDOWN(INDEX(Y$4:Y1673,MATCH(LARGE(FILTER(W$4:W1673,W$4:W1673&lt;=I1243),1)"&amp;",W$4:W1673))+(I1243-LARGE(FILTER(W$4:W1673,W$4:W1673&lt;=I1243),1))*INDEX(T$4:T1673,MATCH(LARGE(FILTER(W$4:W1673,W$4:W1673&lt;=I1243),1),W$4:W1673))-K1243),1,
ROUNDDOWN(Y1243-INDEX(K$4:K1673,MATCH(LARGE(FILTER(I$4:I1673,I$4:I1673&lt;=W1243),1),I$4:I1673))-(W1243-L"&amp;"ARGE(FILTER(I$4:I1673,I$4:I1673&lt;=W1243),1))*INDEX(F$4:F1673,MATCH(LARGE(FILTER(I$4:I1673,I$4:I1673&lt;=W1243),1),I$4:I1673))))"),"")</f>
        <v/>
      </c>
      <c r="N1243" s="60" t="str">
        <f t="shared" si="8"/>
        <v/>
      </c>
      <c r="O1243" s="61" t="str">
        <f t="shared" si="9"/>
        <v/>
      </c>
      <c r="P1243" s="56" t="str">
        <f t="shared" si="10"/>
        <v/>
      </c>
      <c r="Q1243" s="67"/>
      <c r="R1243" s="10"/>
      <c r="S1243" s="59" t="str">
        <f t="array" ref="S1243">IF(COUNTA(Q1243:Q1673)=0,"",SUM((COUNTIF(Q$4:Q1243,Upgrades!$B$3:$B$13)-COUNTIF(Q$4:Q1243,"Sell_"&amp;Upgrades!$B$3:$B$13))*Upgrades!$D$3:$D$13))</f>
        <v/>
      </c>
      <c r="T1243" s="66" t="str">
        <f>IFERROR(__xludf.DUMMYFUNCTION("IF(COUNTA(Q1243:Q1673)=0,"""",IF(REGEXMATCH(INDEX(FILTER(Q$4:Q1243,Q$4:Q1243&lt;&gt;""""),ROWS(FILTER(Q$4:Q1243,Q$4:Q1243&lt;&gt;""""))),""^Sell_""),INDEX(FILTER(T$4:T1242,Q$4:Q1242&lt;&gt;""""),ROWS(FILTER(Q$4:Q1242,Q$4:Q1242&lt;&gt;""""))),$AD$5+S1243))"),"")</f>
        <v/>
      </c>
      <c r="U1243" s="10" t="str">
        <f>IFERROR(__xludf.DUMMYFUNCTION("IF(COUNTA(Q1243:Q1673)=0,"""",IF(Q1243="""",0,IF(REGEXMATCH(Q1243,""^Sell_""),-ROUNDDOWN(ROUNDUP(INDEX(Upgrades!$C$3:$C$13,MATCH(SUBSTITUTE(Q1243,""Sell_"",""""),Upgrades!$B$3:$B$13,0))*1.15^(COUNTIF(Q$4:Q1242,SUBSTITUTE(Q1243,""Sell_"",""""))-COUNTIF(Q$4"&amp;":Q1242,""Sell_""&amp;SUBSTITUTE(Q1243,""Sell_"",""""))))/2),ROUNDUP(INDEX(Upgrades!$C$3:$C$13,MATCH(Q1243,Upgrades!$B$3:$B$13,0))*1.15^(COUNTIF(Q$4:Q1242,Q1243)-COUNTIF(Q$4:Q1242,""Sell_""&amp;Q1243))))))"),"")</f>
        <v/>
      </c>
      <c r="V1243" s="10" t="str">
        <f t="shared" si="11"/>
        <v/>
      </c>
      <c r="W1243" s="68" t="str">
        <f t="shared" si="12"/>
        <v/>
      </c>
      <c r="X1243" s="59" t="str">
        <f t="shared" si="13"/>
        <v/>
      </c>
      <c r="Y1243" s="69" t="str">
        <f t="shared" si="14"/>
        <v/>
      </c>
      <c r="Z1243" s="11"/>
    </row>
    <row r="1244">
      <c r="A1244" s="8"/>
      <c r="B1244" s="56" t="str">
        <f t="shared" si="2"/>
        <v/>
      </c>
      <c r="C1244" s="105"/>
      <c r="D1244" s="10"/>
      <c r="E1244" s="59" t="str">
        <f t="array" ref="E1244">IF(COUNTA(C1244:C1673)=0,"",SUM((COUNTIF(C$4:C1244,Upgrades!$B$3:$B$13)-COUNTIF(C$4:C1244,"Sell_"&amp;Upgrades!$B$3:$B$13))*Upgrades!$D$3:$D$13))</f>
        <v/>
      </c>
      <c r="F1244" s="66" t="str">
        <f>IFERROR(__xludf.DUMMYFUNCTION("IF(COUNTA(C1244:C1673)=0,"""",IF(REGEXMATCH(INDEX(FILTER(C$4:C1244,C$4:C1244&lt;&gt;""""),ROWS(FILTER(C$4:C1244,C$4:C1244&lt;&gt;""""))),""^Sell_""),INDEX(FILTER(F$4:F1243,C$4:C1243&lt;&gt;""""),ROWS(FILTER(C$4:C1243,C$4:C1243&lt;&gt;""""))),$AC$5+E1244))"),"")</f>
        <v/>
      </c>
      <c r="G1244" s="10" t="str">
        <f>IFERROR(__xludf.DUMMYFUNCTION("IF(COUNTA(C1244:C1673)=0,"""",IF(C1244="""",0,IF(REGEXMATCH(C1244,""^Sell_""),-ROUNDDOWN(ROUNDUP(INDEX(Upgrades!$C$3:$C$13,MATCH(SUBSTITUTE(C1244,""Sell_"",""""),Upgrades!$B$3:$B$13,0))*1.15^(COUNTIF(C$4:C1243,SUBSTITUTE(C1244,""Sell_"",""""))-COUNTIF(C$4"&amp;":C1243,""Sell_""&amp;SUBSTITUTE(C1244,""Sell_"",""""))))/2),ROUNDUP(INDEX(Upgrades!$C$3:$C$13,MATCH(C1244,Upgrades!$B$3:$B$13,0))*1.15^(COUNTIF(C$4:C1243,C1244)-COUNTIF(C$4:C1243,""Sell_""&amp;C1244))))))"),"")</f>
        <v/>
      </c>
      <c r="H1244" s="10" t="str">
        <f t="shared" si="3"/>
        <v/>
      </c>
      <c r="I1244" s="68" t="str">
        <f t="shared" si="4"/>
        <v/>
      </c>
      <c r="J1244" s="59" t="str">
        <f t="shared" si="5"/>
        <v/>
      </c>
      <c r="K1244" s="69" t="str">
        <f t="shared" si="6"/>
        <v/>
      </c>
      <c r="L1244" s="60" t="str">
        <f t="shared" si="7"/>
        <v/>
      </c>
      <c r="M1244" s="61" t="str">
        <f>IFERROR(__xludf.DUMMYFUNCTION("IFS(AND(COUNTA(C1244:C1673)=0,COUNTA(Q1244:Q1673)=0),"""",OR(AND(K1244&gt;=1000000000,OR(Y1244&gt;=1000000000,COUNTA(Q1244:Q1673)=0)),OR(Y1244&gt;=1000000000,AND(COUNTA(C1244:C1673)=0,P$3=TRUE))),
ROUNDDOWN((AB$1-AC$1)*MAX(INDEX(T$4:T1673,MATCH(LARGE(FILTER(Y$4:Y1"&amp;"673,Y$4:Y1673&lt;1000000000),1),Y$4:Y1673)),INDEX(F$4:F1673,MATCH(LARGE(FILTER(K$4:K1673,K$4:K1673&lt;1000000000),1),K$4:K1673)))),AND(K1244&lt;1000000000,COUNTA(C1244:C1673)&gt;0,P$3=FALSE),
ROUNDDOWN(INDEX(Y$4:Y1673,MATCH(LARGE(FILTER(W$4:W1673,W$4:W1673&lt;=I1244),1)"&amp;",W$4:W1673))+(I1244-LARGE(FILTER(W$4:W1673,W$4:W1673&lt;=I1244),1))*INDEX(T$4:T1673,MATCH(LARGE(FILTER(W$4:W1673,W$4:W1673&lt;=I1244),1),W$4:W1673))-K1244),1,
ROUNDDOWN(Y1244-INDEX(K$4:K1673,MATCH(LARGE(FILTER(I$4:I1673,I$4:I1673&lt;=W1244),1),I$4:I1673))-(W1244-L"&amp;"ARGE(FILTER(I$4:I1673,I$4:I1673&lt;=W1244),1))*INDEX(F$4:F1673,MATCH(LARGE(FILTER(I$4:I1673,I$4:I1673&lt;=W1244),1),I$4:I1673))))"),"")</f>
        <v/>
      </c>
      <c r="N1244" s="60" t="str">
        <f t="shared" si="8"/>
        <v/>
      </c>
      <c r="O1244" s="61" t="str">
        <f t="shared" si="9"/>
        <v/>
      </c>
      <c r="P1244" s="56" t="str">
        <f t="shared" si="10"/>
        <v/>
      </c>
      <c r="Q1244" s="67"/>
      <c r="R1244" s="10"/>
      <c r="S1244" s="59" t="str">
        <f t="array" ref="S1244">IF(COUNTA(Q1244:Q1673)=0,"",SUM((COUNTIF(Q$4:Q1244,Upgrades!$B$3:$B$13)-COUNTIF(Q$4:Q1244,"Sell_"&amp;Upgrades!$B$3:$B$13))*Upgrades!$D$3:$D$13))</f>
        <v/>
      </c>
      <c r="T1244" s="66" t="str">
        <f>IFERROR(__xludf.DUMMYFUNCTION("IF(COUNTA(Q1244:Q1673)=0,"""",IF(REGEXMATCH(INDEX(FILTER(Q$4:Q1244,Q$4:Q1244&lt;&gt;""""),ROWS(FILTER(Q$4:Q1244,Q$4:Q1244&lt;&gt;""""))),""^Sell_""),INDEX(FILTER(T$4:T1243,Q$4:Q1243&lt;&gt;""""),ROWS(FILTER(Q$4:Q1243,Q$4:Q1243&lt;&gt;""""))),$AD$5+S1244))"),"")</f>
        <v/>
      </c>
      <c r="U1244" s="10" t="str">
        <f>IFERROR(__xludf.DUMMYFUNCTION("IF(COUNTA(Q1244:Q1673)=0,"""",IF(Q1244="""",0,IF(REGEXMATCH(Q1244,""^Sell_""),-ROUNDDOWN(ROUNDUP(INDEX(Upgrades!$C$3:$C$13,MATCH(SUBSTITUTE(Q1244,""Sell_"",""""),Upgrades!$B$3:$B$13,0))*1.15^(COUNTIF(Q$4:Q1243,SUBSTITUTE(Q1244,""Sell_"",""""))-COUNTIF(Q$4"&amp;":Q1243,""Sell_""&amp;SUBSTITUTE(Q1244,""Sell_"",""""))))/2),ROUNDUP(INDEX(Upgrades!$C$3:$C$13,MATCH(Q1244,Upgrades!$B$3:$B$13,0))*1.15^(COUNTIF(Q$4:Q1243,Q1244)-COUNTIF(Q$4:Q1243,""Sell_""&amp;Q1244))))))"),"")</f>
        <v/>
      </c>
      <c r="V1244" s="10" t="str">
        <f t="shared" si="11"/>
        <v/>
      </c>
      <c r="W1244" s="68" t="str">
        <f t="shared" si="12"/>
        <v/>
      </c>
      <c r="X1244" s="59" t="str">
        <f t="shared" si="13"/>
        <v/>
      </c>
      <c r="Y1244" s="69" t="str">
        <f t="shared" si="14"/>
        <v/>
      </c>
      <c r="Z1244" s="11"/>
    </row>
    <row r="1245">
      <c r="A1245" s="8"/>
      <c r="B1245" s="56" t="str">
        <f t="shared" si="2"/>
        <v/>
      </c>
      <c r="C1245" s="105"/>
      <c r="D1245" s="10"/>
      <c r="E1245" s="59" t="str">
        <f t="array" ref="E1245">IF(COUNTA(C1245:C1673)=0,"",SUM((COUNTIF(C$4:C1245,Upgrades!$B$3:$B$13)-COUNTIF(C$4:C1245,"Sell_"&amp;Upgrades!$B$3:$B$13))*Upgrades!$D$3:$D$13))</f>
        <v/>
      </c>
      <c r="F1245" s="66" t="str">
        <f>IFERROR(__xludf.DUMMYFUNCTION("IF(COUNTA(C1245:C1673)=0,"""",IF(REGEXMATCH(INDEX(FILTER(C$4:C1245,C$4:C1245&lt;&gt;""""),ROWS(FILTER(C$4:C1245,C$4:C1245&lt;&gt;""""))),""^Sell_""),INDEX(FILTER(F$4:F1244,C$4:C1244&lt;&gt;""""),ROWS(FILTER(C$4:C1244,C$4:C1244&lt;&gt;""""))),$AC$5+E1245))"),"")</f>
        <v/>
      </c>
      <c r="G1245" s="10" t="str">
        <f>IFERROR(__xludf.DUMMYFUNCTION("IF(COUNTA(C1245:C1673)=0,"""",IF(C1245="""",0,IF(REGEXMATCH(C1245,""^Sell_""),-ROUNDDOWN(ROUNDUP(INDEX(Upgrades!$C$3:$C$13,MATCH(SUBSTITUTE(C1245,""Sell_"",""""),Upgrades!$B$3:$B$13,0))*1.15^(COUNTIF(C$4:C1244,SUBSTITUTE(C1245,""Sell_"",""""))-COUNTIF(C$4"&amp;":C1244,""Sell_""&amp;SUBSTITUTE(C1245,""Sell_"",""""))))/2),ROUNDUP(INDEX(Upgrades!$C$3:$C$13,MATCH(C1245,Upgrades!$B$3:$B$13,0))*1.15^(COUNTIF(C$4:C1244,C1245)-COUNTIF(C$4:C1244,""Sell_""&amp;C1245))))))"),"")</f>
        <v/>
      </c>
      <c r="H1245" s="10" t="str">
        <f t="shared" si="3"/>
        <v/>
      </c>
      <c r="I1245" s="68" t="str">
        <f t="shared" si="4"/>
        <v/>
      </c>
      <c r="J1245" s="59" t="str">
        <f t="shared" si="5"/>
        <v/>
      </c>
      <c r="K1245" s="69" t="str">
        <f t="shared" si="6"/>
        <v/>
      </c>
      <c r="L1245" s="60" t="str">
        <f t="shared" si="7"/>
        <v/>
      </c>
      <c r="M1245" s="61" t="str">
        <f>IFERROR(__xludf.DUMMYFUNCTION("IFS(AND(COUNTA(C1245:C1673)=0,COUNTA(Q1245:Q1673)=0),"""",OR(AND(K1245&gt;=1000000000,OR(Y1245&gt;=1000000000,COUNTA(Q1245:Q1673)=0)),OR(Y1245&gt;=1000000000,AND(COUNTA(C1245:C1673)=0,P$3=TRUE))),
ROUNDDOWN((AB$1-AC$1)*MAX(INDEX(T$4:T1673,MATCH(LARGE(FILTER(Y$4:Y1"&amp;"673,Y$4:Y1673&lt;1000000000),1),Y$4:Y1673)),INDEX(F$4:F1673,MATCH(LARGE(FILTER(K$4:K1673,K$4:K1673&lt;1000000000),1),K$4:K1673)))),AND(K1245&lt;1000000000,COUNTA(C1245:C1673)&gt;0,P$3=FALSE),
ROUNDDOWN(INDEX(Y$4:Y1673,MATCH(LARGE(FILTER(W$4:W1673,W$4:W1673&lt;=I1245),1)"&amp;",W$4:W1673))+(I1245-LARGE(FILTER(W$4:W1673,W$4:W1673&lt;=I1245),1))*INDEX(T$4:T1673,MATCH(LARGE(FILTER(W$4:W1673,W$4:W1673&lt;=I1245),1),W$4:W1673))-K1245),1,
ROUNDDOWN(Y1245-INDEX(K$4:K1673,MATCH(LARGE(FILTER(I$4:I1673,I$4:I1673&lt;=W1245),1),I$4:I1673))-(W1245-L"&amp;"ARGE(FILTER(I$4:I1673,I$4:I1673&lt;=W1245),1))*INDEX(F$4:F1673,MATCH(LARGE(FILTER(I$4:I1673,I$4:I1673&lt;=W1245),1),I$4:I1673))))"),"")</f>
        <v/>
      </c>
      <c r="N1245" s="60" t="str">
        <f t="shared" si="8"/>
        <v/>
      </c>
      <c r="O1245" s="61" t="str">
        <f t="shared" si="9"/>
        <v/>
      </c>
      <c r="P1245" s="56" t="str">
        <f t="shared" si="10"/>
        <v/>
      </c>
      <c r="Q1245" s="67"/>
      <c r="R1245" s="10"/>
      <c r="S1245" s="59" t="str">
        <f t="array" ref="S1245">IF(COUNTA(Q1245:Q1673)=0,"",SUM((COUNTIF(Q$4:Q1245,Upgrades!$B$3:$B$13)-COUNTIF(Q$4:Q1245,"Sell_"&amp;Upgrades!$B$3:$B$13))*Upgrades!$D$3:$D$13))</f>
        <v/>
      </c>
      <c r="T1245" s="66" t="str">
        <f>IFERROR(__xludf.DUMMYFUNCTION("IF(COUNTA(Q1245:Q1673)=0,"""",IF(REGEXMATCH(INDEX(FILTER(Q$4:Q1245,Q$4:Q1245&lt;&gt;""""),ROWS(FILTER(Q$4:Q1245,Q$4:Q1245&lt;&gt;""""))),""^Sell_""),INDEX(FILTER(T$4:T1244,Q$4:Q1244&lt;&gt;""""),ROWS(FILTER(Q$4:Q1244,Q$4:Q1244&lt;&gt;""""))),$AD$5+S1245))"),"")</f>
        <v/>
      </c>
      <c r="U1245" s="10" t="str">
        <f>IFERROR(__xludf.DUMMYFUNCTION("IF(COUNTA(Q1245:Q1673)=0,"""",IF(Q1245="""",0,IF(REGEXMATCH(Q1245,""^Sell_""),-ROUNDDOWN(ROUNDUP(INDEX(Upgrades!$C$3:$C$13,MATCH(SUBSTITUTE(Q1245,""Sell_"",""""),Upgrades!$B$3:$B$13,0))*1.15^(COUNTIF(Q$4:Q1244,SUBSTITUTE(Q1245,""Sell_"",""""))-COUNTIF(Q$4"&amp;":Q1244,""Sell_""&amp;SUBSTITUTE(Q1245,""Sell_"",""""))))/2),ROUNDUP(INDEX(Upgrades!$C$3:$C$13,MATCH(Q1245,Upgrades!$B$3:$B$13,0))*1.15^(COUNTIF(Q$4:Q1244,Q1245)-COUNTIF(Q$4:Q1244,""Sell_""&amp;Q1245))))))"),"")</f>
        <v/>
      </c>
      <c r="V1245" s="10" t="str">
        <f t="shared" si="11"/>
        <v/>
      </c>
      <c r="W1245" s="68" t="str">
        <f t="shared" si="12"/>
        <v/>
      </c>
      <c r="X1245" s="59" t="str">
        <f t="shared" si="13"/>
        <v/>
      </c>
      <c r="Y1245" s="69" t="str">
        <f t="shared" si="14"/>
        <v/>
      </c>
      <c r="Z1245" s="11"/>
    </row>
    <row r="1246">
      <c r="A1246" s="8"/>
      <c r="B1246" s="56" t="str">
        <f t="shared" si="2"/>
        <v/>
      </c>
      <c r="C1246" s="105"/>
      <c r="D1246" s="10"/>
      <c r="E1246" s="59" t="str">
        <f t="array" ref="E1246">IF(COUNTA(C1246:C1673)=0,"",SUM((COUNTIF(C$4:C1246,Upgrades!$B$3:$B$13)-COUNTIF(C$4:C1246,"Sell_"&amp;Upgrades!$B$3:$B$13))*Upgrades!$D$3:$D$13))</f>
        <v/>
      </c>
      <c r="F1246" s="66" t="str">
        <f>IFERROR(__xludf.DUMMYFUNCTION("IF(COUNTA(C1246:C1673)=0,"""",IF(REGEXMATCH(INDEX(FILTER(C$4:C1246,C$4:C1246&lt;&gt;""""),ROWS(FILTER(C$4:C1246,C$4:C1246&lt;&gt;""""))),""^Sell_""),INDEX(FILTER(F$4:F1245,C$4:C1245&lt;&gt;""""),ROWS(FILTER(C$4:C1245,C$4:C1245&lt;&gt;""""))),$AC$5+E1246))"),"")</f>
        <v/>
      </c>
      <c r="G1246" s="10" t="str">
        <f>IFERROR(__xludf.DUMMYFUNCTION("IF(COUNTA(C1246:C1673)=0,"""",IF(C1246="""",0,IF(REGEXMATCH(C1246,""^Sell_""),-ROUNDDOWN(ROUNDUP(INDEX(Upgrades!$C$3:$C$13,MATCH(SUBSTITUTE(C1246,""Sell_"",""""),Upgrades!$B$3:$B$13,0))*1.15^(COUNTIF(C$4:C1245,SUBSTITUTE(C1246,""Sell_"",""""))-COUNTIF(C$4"&amp;":C1245,""Sell_""&amp;SUBSTITUTE(C1246,""Sell_"",""""))))/2),ROUNDUP(INDEX(Upgrades!$C$3:$C$13,MATCH(C1246,Upgrades!$B$3:$B$13,0))*1.15^(COUNTIF(C$4:C1245,C1246)-COUNTIF(C$4:C1245,""Sell_""&amp;C1246))))))"),"")</f>
        <v/>
      </c>
      <c r="H1246" s="10" t="str">
        <f t="shared" si="3"/>
        <v/>
      </c>
      <c r="I1246" s="68" t="str">
        <f t="shared" si="4"/>
        <v/>
      </c>
      <c r="J1246" s="59" t="str">
        <f t="shared" si="5"/>
        <v/>
      </c>
      <c r="K1246" s="69" t="str">
        <f t="shared" si="6"/>
        <v/>
      </c>
      <c r="L1246" s="60" t="str">
        <f t="shared" si="7"/>
        <v/>
      </c>
      <c r="M1246" s="61" t="str">
        <f>IFERROR(__xludf.DUMMYFUNCTION("IFS(AND(COUNTA(C1246:C1673)=0,COUNTA(Q1246:Q1673)=0),"""",OR(AND(K1246&gt;=1000000000,OR(Y1246&gt;=1000000000,COUNTA(Q1246:Q1673)=0)),OR(Y1246&gt;=1000000000,AND(COUNTA(C1246:C1673)=0,P$3=TRUE))),
ROUNDDOWN((AB$1-AC$1)*MAX(INDEX(T$4:T1673,MATCH(LARGE(FILTER(Y$4:Y1"&amp;"673,Y$4:Y1673&lt;1000000000),1),Y$4:Y1673)),INDEX(F$4:F1673,MATCH(LARGE(FILTER(K$4:K1673,K$4:K1673&lt;1000000000),1),K$4:K1673)))),AND(K1246&lt;1000000000,COUNTA(C1246:C1673)&gt;0,P$3=FALSE),
ROUNDDOWN(INDEX(Y$4:Y1673,MATCH(LARGE(FILTER(W$4:W1673,W$4:W1673&lt;=I1246),1)"&amp;",W$4:W1673))+(I1246-LARGE(FILTER(W$4:W1673,W$4:W1673&lt;=I1246),1))*INDEX(T$4:T1673,MATCH(LARGE(FILTER(W$4:W1673,W$4:W1673&lt;=I1246),1),W$4:W1673))-K1246),1,
ROUNDDOWN(Y1246-INDEX(K$4:K1673,MATCH(LARGE(FILTER(I$4:I1673,I$4:I1673&lt;=W1246),1),I$4:I1673))-(W1246-L"&amp;"ARGE(FILTER(I$4:I1673,I$4:I1673&lt;=W1246),1))*INDEX(F$4:F1673,MATCH(LARGE(FILTER(I$4:I1673,I$4:I1673&lt;=W1246),1),I$4:I1673))))"),"")</f>
        <v/>
      </c>
      <c r="N1246" s="60" t="str">
        <f t="shared" si="8"/>
        <v/>
      </c>
      <c r="O1246" s="61" t="str">
        <f t="shared" si="9"/>
        <v/>
      </c>
      <c r="P1246" s="56" t="str">
        <f t="shared" si="10"/>
        <v/>
      </c>
      <c r="Q1246" s="67"/>
      <c r="R1246" s="10"/>
      <c r="S1246" s="59" t="str">
        <f t="array" ref="S1246">IF(COUNTA(Q1246:Q1673)=0,"",SUM((COUNTIF(Q$4:Q1246,Upgrades!$B$3:$B$13)-COUNTIF(Q$4:Q1246,"Sell_"&amp;Upgrades!$B$3:$B$13))*Upgrades!$D$3:$D$13))</f>
        <v/>
      </c>
      <c r="T1246" s="66" t="str">
        <f>IFERROR(__xludf.DUMMYFUNCTION("IF(COUNTA(Q1246:Q1673)=0,"""",IF(REGEXMATCH(INDEX(FILTER(Q$4:Q1246,Q$4:Q1246&lt;&gt;""""),ROWS(FILTER(Q$4:Q1246,Q$4:Q1246&lt;&gt;""""))),""^Sell_""),INDEX(FILTER(T$4:T1245,Q$4:Q1245&lt;&gt;""""),ROWS(FILTER(Q$4:Q1245,Q$4:Q1245&lt;&gt;""""))),$AD$5+S1246))"),"")</f>
        <v/>
      </c>
      <c r="U1246" s="10" t="str">
        <f>IFERROR(__xludf.DUMMYFUNCTION("IF(COUNTA(Q1246:Q1673)=0,"""",IF(Q1246="""",0,IF(REGEXMATCH(Q1246,""^Sell_""),-ROUNDDOWN(ROUNDUP(INDEX(Upgrades!$C$3:$C$13,MATCH(SUBSTITUTE(Q1246,""Sell_"",""""),Upgrades!$B$3:$B$13,0))*1.15^(COUNTIF(Q$4:Q1245,SUBSTITUTE(Q1246,""Sell_"",""""))-COUNTIF(Q$4"&amp;":Q1245,""Sell_""&amp;SUBSTITUTE(Q1246,""Sell_"",""""))))/2),ROUNDUP(INDEX(Upgrades!$C$3:$C$13,MATCH(Q1246,Upgrades!$B$3:$B$13,0))*1.15^(COUNTIF(Q$4:Q1245,Q1246)-COUNTIF(Q$4:Q1245,""Sell_""&amp;Q1246))))))"),"")</f>
        <v/>
      </c>
      <c r="V1246" s="10" t="str">
        <f t="shared" si="11"/>
        <v/>
      </c>
      <c r="W1246" s="68" t="str">
        <f t="shared" si="12"/>
        <v/>
      </c>
      <c r="X1246" s="59" t="str">
        <f t="shared" si="13"/>
        <v/>
      </c>
      <c r="Y1246" s="69" t="str">
        <f t="shared" si="14"/>
        <v/>
      </c>
      <c r="Z1246" s="11"/>
    </row>
    <row r="1247">
      <c r="A1247" s="8"/>
      <c r="B1247" s="56" t="str">
        <f t="shared" si="2"/>
        <v/>
      </c>
      <c r="C1247" s="105"/>
      <c r="D1247" s="10"/>
      <c r="E1247" s="59" t="str">
        <f t="array" ref="E1247">IF(COUNTA(C1247:C1673)=0,"",SUM((COUNTIF(C$4:C1247,Upgrades!$B$3:$B$13)-COUNTIF(C$4:C1247,"Sell_"&amp;Upgrades!$B$3:$B$13))*Upgrades!$D$3:$D$13))</f>
        <v/>
      </c>
      <c r="F1247" s="66" t="str">
        <f>IFERROR(__xludf.DUMMYFUNCTION("IF(COUNTA(C1247:C1673)=0,"""",IF(REGEXMATCH(INDEX(FILTER(C$4:C1247,C$4:C1247&lt;&gt;""""),ROWS(FILTER(C$4:C1247,C$4:C1247&lt;&gt;""""))),""^Sell_""),INDEX(FILTER(F$4:F1246,C$4:C1246&lt;&gt;""""),ROWS(FILTER(C$4:C1246,C$4:C1246&lt;&gt;""""))),$AC$5+E1247))"),"")</f>
        <v/>
      </c>
      <c r="G1247" s="10" t="str">
        <f>IFERROR(__xludf.DUMMYFUNCTION("IF(COUNTA(C1247:C1673)=0,"""",IF(C1247="""",0,IF(REGEXMATCH(C1247,""^Sell_""),-ROUNDDOWN(ROUNDUP(INDEX(Upgrades!$C$3:$C$13,MATCH(SUBSTITUTE(C1247,""Sell_"",""""),Upgrades!$B$3:$B$13,0))*1.15^(COUNTIF(C$4:C1246,SUBSTITUTE(C1247,""Sell_"",""""))-COUNTIF(C$4"&amp;":C1246,""Sell_""&amp;SUBSTITUTE(C1247,""Sell_"",""""))))/2),ROUNDUP(INDEX(Upgrades!$C$3:$C$13,MATCH(C1247,Upgrades!$B$3:$B$13,0))*1.15^(COUNTIF(C$4:C1246,C1247)-COUNTIF(C$4:C1246,""Sell_""&amp;C1247))))))"),"")</f>
        <v/>
      </c>
      <c r="H1247" s="10" t="str">
        <f t="shared" si="3"/>
        <v/>
      </c>
      <c r="I1247" s="68" t="str">
        <f t="shared" si="4"/>
        <v/>
      </c>
      <c r="J1247" s="59" t="str">
        <f t="shared" si="5"/>
        <v/>
      </c>
      <c r="K1247" s="69" t="str">
        <f t="shared" si="6"/>
        <v/>
      </c>
      <c r="L1247" s="60" t="str">
        <f t="shared" si="7"/>
        <v/>
      </c>
      <c r="M1247" s="61" t="str">
        <f>IFERROR(__xludf.DUMMYFUNCTION("IFS(AND(COUNTA(C1247:C1673)=0,COUNTA(Q1247:Q1673)=0),"""",OR(AND(K1247&gt;=1000000000,OR(Y1247&gt;=1000000000,COUNTA(Q1247:Q1673)=0)),OR(Y1247&gt;=1000000000,AND(COUNTA(C1247:C1673)=0,P$3=TRUE))),
ROUNDDOWN((AB$1-AC$1)*MAX(INDEX(T$4:T1673,MATCH(LARGE(FILTER(Y$4:Y1"&amp;"673,Y$4:Y1673&lt;1000000000),1),Y$4:Y1673)),INDEX(F$4:F1673,MATCH(LARGE(FILTER(K$4:K1673,K$4:K1673&lt;1000000000),1),K$4:K1673)))),AND(K1247&lt;1000000000,COUNTA(C1247:C1673)&gt;0,P$3=FALSE),
ROUNDDOWN(INDEX(Y$4:Y1673,MATCH(LARGE(FILTER(W$4:W1673,W$4:W1673&lt;=I1247),1)"&amp;",W$4:W1673))+(I1247-LARGE(FILTER(W$4:W1673,W$4:W1673&lt;=I1247),1))*INDEX(T$4:T1673,MATCH(LARGE(FILTER(W$4:W1673,W$4:W1673&lt;=I1247),1),W$4:W1673))-K1247),1,
ROUNDDOWN(Y1247-INDEX(K$4:K1673,MATCH(LARGE(FILTER(I$4:I1673,I$4:I1673&lt;=W1247),1),I$4:I1673))-(W1247-L"&amp;"ARGE(FILTER(I$4:I1673,I$4:I1673&lt;=W1247),1))*INDEX(F$4:F1673,MATCH(LARGE(FILTER(I$4:I1673,I$4:I1673&lt;=W1247),1),I$4:I1673))))"),"")</f>
        <v/>
      </c>
      <c r="N1247" s="60" t="str">
        <f t="shared" si="8"/>
        <v/>
      </c>
      <c r="O1247" s="61" t="str">
        <f t="shared" si="9"/>
        <v/>
      </c>
      <c r="P1247" s="56" t="str">
        <f t="shared" si="10"/>
        <v/>
      </c>
      <c r="Q1247" s="67"/>
      <c r="R1247" s="10"/>
      <c r="S1247" s="59" t="str">
        <f t="array" ref="S1247">IF(COUNTA(Q1247:Q1673)=0,"",SUM((COUNTIF(Q$4:Q1247,Upgrades!$B$3:$B$13)-COUNTIF(Q$4:Q1247,"Sell_"&amp;Upgrades!$B$3:$B$13))*Upgrades!$D$3:$D$13))</f>
        <v/>
      </c>
      <c r="T1247" s="66" t="str">
        <f>IFERROR(__xludf.DUMMYFUNCTION("IF(COUNTA(Q1247:Q1673)=0,"""",IF(REGEXMATCH(INDEX(FILTER(Q$4:Q1247,Q$4:Q1247&lt;&gt;""""),ROWS(FILTER(Q$4:Q1247,Q$4:Q1247&lt;&gt;""""))),""^Sell_""),INDEX(FILTER(T$4:T1246,Q$4:Q1246&lt;&gt;""""),ROWS(FILTER(Q$4:Q1246,Q$4:Q1246&lt;&gt;""""))),$AD$5+S1247))"),"")</f>
        <v/>
      </c>
      <c r="U1247" s="10" t="str">
        <f>IFERROR(__xludf.DUMMYFUNCTION("IF(COUNTA(Q1247:Q1673)=0,"""",IF(Q1247="""",0,IF(REGEXMATCH(Q1247,""^Sell_""),-ROUNDDOWN(ROUNDUP(INDEX(Upgrades!$C$3:$C$13,MATCH(SUBSTITUTE(Q1247,""Sell_"",""""),Upgrades!$B$3:$B$13,0))*1.15^(COUNTIF(Q$4:Q1246,SUBSTITUTE(Q1247,""Sell_"",""""))-COUNTIF(Q$4"&amp;":Q1246,""Sell_""&amp;SUBSTITUTE(Q1247,""Sell_"",""""))))/2),ROUNDUP(INDEX(Upgrades!$C$3:$C$13,MATCH(Q1247,Upgrades!$B$3:$B$13,0))*1.15^(COUNTIF(Q$4:Q1246,Q1247)-COUNTIF(Q$4:Q1246,""Sell_""&amp;Q1247))))))"),"")</f>
        <v/>
      </c>
      <c r="V1247" s="10" t="str">
        <f t="shared" si="11"/>
        <v/>
      </c>
      <c r="W1247" s="68" t="str">
        <f t="shared" si="12"/>
        <v/>
      </c>
      <c r="X1247" s="59" t="str">
        <f t="shared" si="13"/>
        <v/>
      </c>
      <c r="Y1247" s="69" t="str">
        <f t="shared" si="14"/>
        <v/>
      </c>
      <c r="Z1247" s="11"/>
    </row>
    <row r="1248">
      <c r="A1248" s="8"/>
      <c r="B1248" s="56" t="str">
        <f t="shared" si="2"/>
        <v/>
      </c>
      <c r="C1248" s="105"/>
      <c r="D1248" s="10"/>
      <c r="E1248" s="59" t="str">
        <f t="array" ref="E1248">IF(COUNTA(C1248:C1673)=0,"",SUM((COUNTIF(C$4:C1248,Upgrades!$B$3:$B$13)-COUNTIF(C$4:C1248,"Sell_"&amp;Upgrades!$B$3:$B$13))*Upgrades!$D$3:$D$13))</f>
        <v/>
      </c>
      <c r="F1248" s="66" t="str">
        <f>IFERROR(__xludf.DUMMYFUNCTION("IF(COUNTA(C1248:C1673)=0,"""",IF(REGEXMATCH(INDEX(FILTER(C$4:C1248,C$4:C1248&lt;&gt;""""),ROWS(FILTER(C$4:C1248,C$4:C1248&lt;&gt;""""))),""^Sell_""),INDEX(FILTER(F$4:F1247,C$4:C1247&lt;&gt;""""),ROWS(FILTER(C$4:C1247,C$4:C1247&lt;&gt;""""))),$AC$5+E1248))"),"")</f>
        <v/>
      </c>
      <c r="G1248" s="10" t="str">
        <f>IFERROR(__xludf.DUMMYFUNCTION("IF(COUNTA(C1248:C1673)=0,"""",IF(C1248="""",0,IF(REGEXMATCH(C1248,""^Sell_""),-ROUNDDOWN(ROUNDUP(INDEX(Upgrades!$C$3:$C$13,MATCH(SUBSTITUTE(C1248,""Sell_"",""""),Upgrades!$B$3:$B$13,0))*1.15^(COUNTIF(C$4:C1247,SUBSTITUTE(C1248,""Sell_"",""""))-COUNTIF(C$4"&amp;":C1247,""Sell_""&amp;SUBSTITUTE(C1248,""Sell_"",""""))))/2),ROUNDUP(INDEX(Upgrades!$C$3:$C$13,MATCH(C1248,Upgrades!$B$3:$B$13,0))*1.15^(COUNTIF(C$4:C1247,C1248)-COUNTIF(C$4:C1247,""Sell_""&amp;C1248))))))"),"")</f>
        <v/>
      </c>
      <c r="H1248" s="10" t="str">
        <f t="shared" si="3"/>
        <v/>
      </c>
      <c r="I1248" s="68" t="str">
        <f t="shared" si="4"/>
        <v/>
      </c>
      <c r="J1248" s="59" t="str">
        <f t="shared" si="5"/>
        <v/>
      </c>
      <c r="K1248" s="69" t="str">
        <f t="shared" si="6"/>
        <v/>
      </c>
      <c r="L1248" s="60" t="str">
        <f t="shared" si="7"/>
        <v/>
      </c>
      <c r="M1248" s="61" t="str">
        <f>IFERROR(__xludf.DUMMYFUNCTION("IFS(AND(COUNTA(C1248:C1673)=0,COUNTA(Q1248:Q1673)=0),"""",OR(AND(K1248&gt;=1000000000,OR(Y1248&gt;=1000000000,COUNTA(Q1248:Q1673)=0)),OR(Y1248&gt;=1000000000,AND(COUNTA(C1248:C1673)=0,P$3=TRUE))),
ROUNDDOWN((AB$1-AC$1)*MAX(INDEX(T$4:T1673,MATCH(LARGE(FILTER(Y$4:Y1"&amp;"673,Y$4:Y1673&lt;1000000000),1),Y$4:Y1673)),INDEX(F$4:F1673,MATCH(LARGE(FILTER(K$4:K1673,K$4:K1673&lt;1000000000),1),K$4:K1673)))),AND(K1248&lt;1000000000,COUNTA(C1248:C1673)&gt;0,P$3=FALSE),
ROUNDDOWN(INDEX(Y$4:Y1673,MATCH(LARGE(FILTER(W$4:W1673,W$4:W1673&lt;=I1248),1)"&amp;",W$4:W1673))+(I1248-LARGE(FILTER(W$4:W1673,W$4:W1673&lt;=I1248),1))*INDEX(T$4:T1673,MATCH(LARGE(FILTER(W$4:W1673,W$4:W1673&lt;=I1248),1),W$4:W1673))-K1248),1,
ROUNDDOWN(Y1248-INDEX(K$4:K1673,MATCH(LARGE(FILTER(I$4:I1673,I$4:I1673&lt;=W1248),1),I$4:I1673))-(W1248-L"&amp;"ARGE(FILTER(I$4:I1673,I$4:I1673&lt;=W1248),1))*INDEX(F$4:F1673,MATCH(LARGE(FILTER(I$4:I1673,I$4:I1673&lt;=W1248),1),I$4:I1673))))"),"")</f>
        <v/>
      </c>
      <c r="N1248" s="60" t="str">
        <f t="shared" si="8"/>
        <v/>
      </c>
      <c r="O1248" s="61" t="str">
        <f t="shared" si="9"/>
        <v/>
      </c>
      <c r="P1248" s="56" t="str">
        <f t="shared" si="10"/>
        <v/>
      </c>
      <c r="Q1248" s="67"/>
      <c r="R1248" s="10"/>
      <c r="S1248" s="59" t="str">
        <f t="array" ref="S1248">IF(COUNTA(Q1248:Q1673)=0,"",SUM((COUNTIF(Q$4:Q1248,Upgrades!$B$3:$B$13)-COUNTIF(Q$4:Q1248,"Sell_"&amp;Upgrades!$B$3:$B$13))*Upgrades!$D$3:$D$13))</f>
        <v/>
      </c>
      <c r="T1248" s="66" t="str">
        <f>IFERROR(__xludf.DUMMYFUNCTION("IF(COUNTA(Q1248:Q1673)=0,"""",IF(REGEXMATCH(INDEX(FILTER(Q$4:Q1248,Q$4:Q1248&lt;&gt;""""),ROWS(FILTER(Q$4:Q1248,Q$4:Q1248&lt;&gt;""""))),""^Sell_""),INDEX(FILTER(T$4:T1247,Q$4:Q1247&lt;&gt;""""),ROWS(FILTER(Q$4:Q1247,Q$4:Q1247&lt;&gt;""""))),$AD$5+S1248))"),"")</f>
        <v/>
      </c>
      <c r="U1248" s="10" t="str">
        <f>IFERROR(__xludf.DUMMYFUNCTION("IF(COUNTA(Q1248:Q1673)=0,"""",IF(Q1248="""",0,IF(REGEXMATCH(Q1248,""^Sell_""),-ROUNDDOWN(ROUNDUP(INDEX(Upgrades!$C$3:$C$13,MATCH(SUBSTITUTE(Q1248,""Sell_"",""""),Upgrades!$B$3:$B$13,0))*1.15^(COUNTIF(Q$4:Q1247,SUBSTITUTE(Q1248,""Sell_"",""""))-COUNTIF(Q$4"&amp;":Q1247,""Sell_""&amp;SUBSTITUTE(Q1248,""Sell_"",""""))))/2),ROUNDUP(INDEX(Upgrades!$C$3:$C$13,MATCH(Q1248,Upgrades!$B$3:$B$13,0))*1.15^(COUNTIF(Q$4:Q1247,Q1248)-COUNTIF(Q$4:Q1247,""Sell_""&amp;Q1248))))))"),"")</f>
        <v/>
      </c>
      <c r="V1248" s="10" t="str">
        <f t="shared" si="11"/>
        <v/>
      </c>
      <c r="W1248" s="68" t="str">
        <f t="shared" si="12"/>
        <v/>
      </c>
      <c r="X1248" s="59" t="str">
        <f t="shared" si="13"/>
        <v/>
      </c>
      <c r="Y1248" s="69" t="str">
        <f t="shared" si="14"/>
        <v/>
      </c>
      <c r="Z1248" s="11"/>
    </row>
    <row r="1249">
      <c r="A1249" s="8"/>
      <c r="B1249" s="56" t="str">
        <f t="shared" si="2"/>
        <v/>
      </c>
      <c r="C1249" s="105"/>
      <c r="D1249" s="10"/>
      <c r="E1249" s="59" t="str">
        <f t="array" ref="E1249">IF(COUNTA(C1249:C1673)=0,"",SUM((COUNTIF(C$4:C1249,Upgrades!$B$3:$B$13)-COUNTIF(C$4:C1249,"Sell_"&amp;Upgrades!$B$3:$B$13))*Upgrades!$D$3:$D$13))</f>
        <v/>
      </c>
      <c r="F1249" s="66" t="str">
        <f>IFERROR(__xludf.DUMMYFUNCTION("IF(COUNTA(C1249:C1673)=0,"""",IF(REGEXMATCH(INDEX(FILTER(C$4:C1249,C$4:C1249&lt;&gt;""""),ROWS(FILTER(C$4:C1249,C$4:C1249&lt;&gt;""""))),""^Sell_""),INDEX(FILTER(F$4:F1248,C$4:C1248&lt;&gt;""""),ROWS(FILTER(C$4:C1248,C$4:C1248&lt;&gt;""""))),$AC$5+E1249))"),"")</f>
        <v/>
      </c>
      <c r="G1249" s="10" t="str">
        <f>IFERROR(__xludf.DUMMYFUNCTION("IF(COUNTA(C1249:C1673)=0,"""",IF(C1249="""",0,IF(REGEXMATCH(C1249,""^Sell_""),-ROUNDDOWN(ROUNDUP(INDEX(Upgrades!$C$3:$C$13,MATCH(SUBSTITUTE(C1249,""Sell_"",""""),Upgrades!$B$3:$B$13,0))*1.15^(COUNTIF(C$4:C1248,SUBSTITUTE(C1249,""Sell_"",""""))-COUNTIF(C$4"&amp;":C1248,""Sell_""&amp;SUBSTITUTE(C1249,""Sell_"",""""))))/2),ROUNDUP(INDEX(Upgrades!$C$3:$C$13,MATCH(C1249,Upgrades!$B$3:$B$13,0))*1.15^(COUNTIF(C$4:C1248,C1249)-COUNTIF(C$4:C1248,""Sell_""&amp;C1249))))))"),"")</f>
        <v/>
      </c>
      <c r="H1249" s="10" t="str">
        <f t="shared" si="3"/>
        <v/>
      </c>
      <c r="I1249" s="68" t="str">
        <f t="shared" si="4"/>
        <v/>
      </c>
      <c r="J1249" s="59" t="str">
        <f t="shared" si="5"/>
        <v/>
      </c>
      <c r="K1249" s="69" t="str">
        <f t="shared" si="6"/>
        <v/>
      </c>
      <c r="L1249" s="60" t="str">
        <f t="shared" si="7"/>
        <v/>
      </c>
      <c r="M1249" s="61" t="str">
        <f>IFERROR(__xludf.DUMMYFUNCTION("IFS(AND(COUNTA(C1249:C1673)=0,COUNTA(Q1249:Q1673)=0),"""",OR(AND(K1249&gt;=1000000000,OR(Y1249&gt;=1000000000,COUNTA(Q1249:Q1673)=0)),OR(Y1249&gt;=1000000000,AND(COUNTA(C1249:C1673)=0,P$3=TRUE))),
ROUNDDOWN((AB$1-AC$1)*MAX(INDEX(T$4:T1673,MATCH(LARGE(FILTER(Y$4:Y1"&amp;"673,Y$4:Y1673&lt;1000000000),1),Y$4:Y1673)),INDEX(F$4:F1673,MATCH(LARGE(FILTER(K$4:K1673,K$4:K1673&lt;1000000000),1),K$4:K1673)))),AND(K1249&lt;1000000000,COUNTA(C1249:C1673)&gt;0,P$3=FALSE),
ROUNDDOWN(INDEX(Y$4:Y1673,MATCH(LARGE(FILTER(W$4:W1673,W$4:W1673&lt;=I1249),1)"&amp;",W$4:W1673))+(I1249-LARGE(FILTER(W$4:W1673,W$4:W1673&lt;=I1249),1))*INDEX(T$4:T1673,MATCH(LARGE(FILTER(W$4:W1673,W$4:W1673&lt;=I1249),1),W$4:W1673))-K1249),1,
ROUNDDOWN(Y1249-INDEX(K$4:K1673,MATCH(LARGE(FILTER(I$4:I1673,I$4:I1673&lt;=W1249),1),I$4:I1673))-(W1249-L"&amp;"ARGE(FILTER(I$4:I1673,I$4:I1673&lt;=W1249),1))*INDEX(F$4:F1673,MATCH(LARGE(FILTER(I$4:I1673,I$4:I1673&lt;=W1249),1),I$4:I1673))))"),"")</f>
        <v/>
      </c>
      <c r="N1249" s="60" t="str">
        <f t="shared" si="8"/>
        <v/>
      </c>
      <c r="O1249" s="61" t="str">
        <f t="shared" si="9"/>
        <v/>
      </c>
      <c r="P1249" s="56" t="str">
        <f t="shared" si="10"/>
        <v/>
      </c>
      <c r="Q1249" s="67"/>
      <c r="R1249" s="10"/>
      <c r="S1249" s="59" t="str">
        <f t="array" ref="S1249">IF(COUNTA(Q1249:Q1673)=0,"",SUM((COUNTIF(Q$4:Q1249,Upgrades!$B$3:$B$13)-COUNTIF(Q$4:Q1249,"Sell_"&amp;Upgrades!$B$3:$B$13))*Upgrades!$D$3:$D$13))</f>
        <v/>
      </c>
      <c r="T1249" s="66" t="str">
        <f>IFERROR(__xludf.DUMMYFUNCTION("IF(COUNTA(Q1249:Q1673)=0,"""",IF(REGEXMATCH(INDEX(FILTER(Q$4:Q1249,Q$4:Q1249&lt;&gt;""""),ROWS(FILTER(Q$4:Q1249,Q$4:Q1249&lt;&gt;""""))),""^Sell_""),INDEX(FILTER(T$4:T1248,Q$4:Q1248&lt;&gt;""""),ROWS(FILTER(Q$4:Q1248,Q$4:Q1248&lt;&gt;""""))),$AD$5+S1249))"),"")</f>
        <v/>
      </c>
      <c r="U1249" s="10" t="str">
        <f>IFERROR(__xludf.DUMMYFUNCTION("IF(COUNTA(Q1249:Q1673)=0,"""",IF(Q1249="""",0,IF(REGEXMATCH(Q1249,""^Sell_""),-ROUNDDOWN(ROUNDUP(INDEX(Upgrades!$C$3:$C$13,MATCH(SUBSTITUTE(Q1249,""Sell_"",""""),Upgrades!$B$3:$B$13,0))*1.15^(COUNTIF(Q$4:Q1248,SUBSTITUTE(Q1249,""Sell_"",""""))-COUNTIF(Q$4"&amp;":Q1248,""Sell_""&amp;SUBSTITUTE(Q1249,""Sell_"",""""))))/2),ROUNDUP(INDEX(Upgrades!$C$3:$C$13,MATCH(Q1249,Upgrades!$B$3:$B$13,0))*1.15^(COUNTIF(Q$4:Q1248,Q1249)-COUNTIF(Q$4:Q1248,""Sell_""&amp;Q1249))))))"),"")</f>
        <v/>
      </c>
      <c r="V1249" s="10" t="str">
        <f t="shared" si="11"/>
        <v/>
      </c>
      <c r="W1249" s="68" t="str">
        <f t="shared" si="12"/>
        <v/>
      </c>
      <c r="X1249" s="59" t="str">
        <f t="shared" si="13"/>
        <v/>
      </c>
      <c r="Y1249" s="69" t="str">
        <f t="shared" si="14"/>
        <v/>
      </c>
      <c r="Z1249" s="11"/>
    </row>
    <row r="1250">
      <c r="A1250" s="8"/>
      <c r="B1250" s="56" t="str">
        <f t="shared" si="2"/>
        <v/>
      </c>
      <c r="C1250" s="105"/>
      <c r="D1250" s="10"/>
      <c r="E1250" s="59" t="str">
        <f t="array" ref="E1250">IF(COUNTA(C1250:C1673)=0,"",SUM((COUNTIF(C$4:C1250,Upgrades!$B$3:$B$13)-COUNTIF(C$4:C1250,"Sell_"&amp;Upgrades!$B$3:$B$13))*Upgrades!$D$3:$D$13))</f>
        <v/>
      </c>
      <c r="F1250" s="66" t="str">
        <f>IFERROR(__xludf.DUMMYFUNCTION("IF(COUNTA(C1250:C1673)=0,"""",IF(REGEXMATCH(INDEX(FILTER(C$4:C1250,C$4:C1250&lt;&gt;""""),ROWS(FILTER(C$4:C1250,C$4:C1250&lt;&gt;""""))),""^Sell_""),INDEX(FILTER(F$4:F1249,C$4:C1249&lt;&gt;""""),ROWS(FILTER(C$4:C1249,C$4:C1249&lt;&gt;""""))),$AC$5+E1250))"),"")</f>
        <v/>
      </c>
      <c r="G1250" s="10" t="str">
        <f>IFERROR(__xludf.DUMMYFUNCTION("IF(COUNTA(C1250:C1673)=0,"""",IF(C1250="""",0,IF(REGEXMATCH(C1250,""^Sell_""),-ROUNDDOWN(ROUNDUP(INDEX(Upgrades!$C$3:$C$13,MATCH(SUBSTITUTE(C1250,""Sell_"",""""),Upgrades!$B$3:$B$13,0))*1.15^(COUNTIF(C$4:C1249,SUBSTITUTE(C1250,""Sell_"",""""))-COUNTIF(C$4"&amp;":C1249,""Sell_""&amp;SUBSTITUTE(C1250,""Sell_"",""""))))/2),ROUNDUP(INDEX(Upgrades!$C$3:$C$13,MATCH(C1250,Upgrades!$B$3:$B$13,0))*1.15^(COUNTIF(C$4:C1249,C1250)-COUNTIF(C$4:C1249,""Sell_""&amp;C1250))))))"),"")</f>
        <v/>
      </c>
      <c r="H1250" s="10" t="str">
        <f t="shared" si="3"/>
        <v/>
      </c>
      <c r="I1250" s="68" t="str">
        <f t="shared" si="4"/>
        <v/>
      </c>
      <c r="J1250" s="59" t="str">
        <f t="shared" si="5"/>
        <v/>
      </c>
      <c r="K1250" s="69" t="str">
        <f t="shared" si="6"/>
        <v/>
      </c>
      <c r="L1250" s="60" t="str">
        <f t="shared" si="7"/>
        <v/>
      </c>
      <c r="M1250" s="61" t="str">
        <f>IFERROR(__xludf.DUMMYFUNCTION("IFS(AND(COUNTA(C1250:C1673)=0,COUNTA(Q1250:Q1673)=0),"""",OR(AND(K1250&gt;=1000000000,OR(Y1250&gt;=1000000000,COUNTA(Q1250:Q1673)=0)),OR(Y1250&gt;=1000000000,AND(COUNTA(C1250:C1673)=0,P$3=TRUE))),
ROUNDDOWN((AB$1-AC$1)*MAX(INDEX(T$4:T1673,MATCH(LARGE(FILTER(Y$4:Y1"&amp;"673,Y$4:Y1673&lt;1000000000),1),Y$4:Y1673)),INDEX(F$4:F1673,MATCH(LARGE(FILTER(K$4:K1673,K$4:K1673&lt;1000000000),1),K$4:K1673)))),AND(K1250&lt;1000000000,COUNTA(C1250:C1673)&gt;0,P$3=FALSE),
ROUNDDOWN(INDEX(Y$4:Y1673,MATCH(LARGE(FILTER(W$4:W1673,W$4:W1673&lt;=I1250),1)"&amp;",W$4:W1673))+(I1250-LARGE(FILTER(W$4:W1673,W$4:W1673&lt;=I1250),1))*INDEX(T$4:T1673,MATCH(LARGE(FILTER(W$4:W1673,W$4:W1673&lt;=I1250),1),W$4:W1673))-K1250),1,
ROUNDDOWN(Y1250-INDEX(K$4:K1673,MATCH(LARGE(FILTER(I$4:I1673,I$4:I1673&lt;=W1250),1),I$4:I1673))-(W1250-L"&amp;"ARGE(FILTER(I$4:I1673,I$4:I1673&lt;=W1250),1))*INDEX(F$4:F1673,MATCH(LARGE(FILTER(I$4:I1673,I$4:I1673&lt;=W1250),1),I$4:I1673))))"),"")</f>
        <v/>
      </c>
      <c r="N1250" s="60" t="str">
        <f t="shared" si="8"/>
        <v/>
      </c>
      <c r="O1250" s="61" t="str">
        <f t="shared" si="9"/>
        <v/>
      </c>
      <c r="P1250" s="56" t="str">
        <f t="shared" si="10"/>
        <v/>
      </c>
      <c r="Q1250" s="67"/>
      <c r="R1250" s="10"/>
      <c r="S1250" s="59" t="str">
        <f t="array" ref="S1250">IF(COUNTA(Q1250:Q1673)=0,"",SUM((COUNTIF(Q$4:Q1250,Upgrades!$B$3:$B$13)-COUNTIF(Q$4:Q1250,"Sell_"&amp;Upgrades!$B$3:$B$13))*Upgrades!$D$3:$D$13))</f>
        <v/>
      </c>
      <c r="T1250" s="66" t="str">
        <f>IFERROR(__xludf.DUMMYFUNCTION("IF(COUNTA(Q1250:Q1673)=0,"""",IF(REGEXMATCH(INDEX(FILTER(Q$4:Q1250,Q$4:Q1250&lt;&gt;""""),ROWS(FILTER(Q$4:Q1250,Q$4:Q1250&lt;&gt;""""))),""^Sell_""),INDEX(FILTER(T$4:T1249,Q$4:Q1249&lt;&gt;""""),ROWS(FILTER(Q$4:Q1249,Q$4:Q1249&lt;&gt;""""))),$AD$5+S1250))"),"")</f>
        <v/>
      </c>
      <c r="U1250" s="10" t="str">
        <f>IFERROR(__xludf.DUMMYFUNCTION("IF(COUNTA(Q1250:Q1673)=0,"""",IF(Q1250="""",0,IF(REGEXMATCH(Q1250,""^Sell_""),-ROUNDDOWN(ROUNDUP(INDEX(Upgrades!$C$3:$C$13,MATCH(SUBSTITUTE(Q1250,""Sell_"",""""),Upgrades!$B$3:$B$13,0))*1.15^(COUNTIF(Q$4:Q1249,SUBSTITUTE(Q1250,""Sell_"",""""))-COUNTIF(Q$4"&amp;":Q1249,""Sell_""&amp;SUBSTITUTE(Q1250,""Sell_"",""""))))/2),ROUNDUP(INDEX(Upgrades!$C$3:$C$13,MATCH(Q1250,Upgrades!$B$3:$B$13,0))*1.15^(COUNTIF(Q$4:Q1249,Q1250)-COUNTIF(Q$4:Q1249,""Sell_""&amp;Q1250))))))"),"")</f>
        <v/>
      </c>
      <c r="V1250" s="10" t="str">
        <f t="shared" si="11"/>
        <v/>
      </c>
      <c r="W1250" s="68" t="str">
        <f t="shared" si="12"/>
        <v/>
      </c>
      <c r="X1250" s="59" t="str">
        <f t="shared" si="13"/>
        <v/>
      </c>
      <c r="Y1250" s="69" t="str">
        <f t="shared" si="14"/>
        <v/>
      </c>
      <c r="Z1250" s="11"/>
    </row>
    <row r="1251">
      <c r="A1251" s="8"/>
      <c r="B1251" s="56" t="str">
        <f t="shared" si="2"/>
        <v/>
      </c>
      <c r="C1251" s="105"/>
      <c r="D1251" s="10"/>
      <c r="E1251" s="59" t="str">
        <f t="array" ref="E1251">IF(COUNTA(C1251:C1673)=0,"",SUM((COUNTIF(C$4:C1251,Upgrades!$B$3:$B$13)-COUNTIF(C$4:C1251,"Sell_"&amp;Upgrades!$B$3:$B$13))*Upgrades!$D$3:$D$13))</f>
        <v/>
      </c>
      <c r="F1251" s="66" t="str">
        <f>IFERROR(__xludf.DUMMYFUNCTION("IF(COUNTA(C1251:C1673)=0,"""",IF(REGEXMATCH(INDEX(FILTER(C$4:C1251,C$4:C1251&lt;&gt;""""),ROWS(FILTER(C$4:C1251,C$4:C1251&lt;&gt;""""))),""^Sell_""),INDEX(FILTER(F$4:F1250,C$4:C1250&lt;&gt;""""),ROWS(FILTER(C$4:C1250,C$4:C1250&lt;&gt;""""))),$AC$5+E1251))"),"")</f>
        <v/>
      </c>
      <c r="G1251" s="10" t="str">
        <f>IFERROR(__xludf.DUMMYFUNCTION("IF(COUNTA(C1251:C1673)=0,"""",IF(C1251="""",0,IF(REGEXMATCH(C1251,""^Sell_""),-ROUNDDOWN(ROUNDUP(INDEX(Upgrades!$C$3:$C$13,MATCH(SUBSTITUTE(C1251,""Sell_"",""""),Upgrades!$B$3:$B$13,0))*1.15^(COUNTIF(C$4:C1250,SUBSTITUTE(C1251,""Sell_"",""""))-COUNTIF(C$4"&amp;":C1250,""Sell_""&amp;SUBSTITUTE(C1251,""Sell_"",""""))))/2),ROUNDUP(INDEX(Upgrades!$C$3:$C$13,MATCH(C1251,Upgrades!$B$3:$B$13,0))*1.15^(COUNTIF(C$4:C1250,C1251)-COUNTIF(C$4:C1250,""Sell_""&amp;C1251))))))"),"")</f>
        <v/>
      </c>
      <c r="H1251" s="10" t="str">
        <f t="shared" si="3"/>
        <v/>
      </c>
      <c r="I1251" s="68" t="str">
        <f t="shared" si="4"/>
        <v/>
      </c>
      <c r="J1251" s="59" t="str">
        <f t="shared" si="5"/>
        <v/>
      </c>
      <c r="K1251" s="69" t="str">
        <f t="shared" si="6"/>
        <v/>
      </c>
      <c r="L1251" s="60" t="str">
        <f t="shared" si="7"/>
        <v/>
      </c>
      <c r="M1251" s="61" t="str">
        <f>IFERROR(__xludf.DUMMYFUNCTION("IFS(AND(COUNTA(C1251:C1673)=0,COUNTA(Q1251:Q1673)=0),"""",OR(AND(K1251&gt;=1000000000,OR(Y1251&gt;=1000000000,COUNTA(Q1251:Q1673)=0)),OR(Y1251&gt;=1000000000,AND(COUNTA(C1251:C1673)=0,P$3=TRUE))),
ROUNDDOWN((AB$1-AC$1)*MAX(INDEX(T$4:T1673,MATCH(LARGE(FILTER(Y$4:Y1"&amp;"673,Y$4:Y1673&lt;1000000000),1),Y$4:Y1673)),INDEX(F$4:F1673,MATCH(LARGE(FILTER(K$4:K1673,K$4:K1673&lt;1000000000),1),K$4:K1673)))),AND(K1251&lt;1000000000,COUNTA(C1251:C1673)&gt;0,P$3=FALSE),
ROUNDDOWN(INDEX(Y$4:Y1673,MATCH(LARGE(FILTER(W$4:W1673,W$4:W1673&lt;=I1251),1)"&amp;",W$4:W1673))+(I1251-LARGE(FILTER(W$4:W1673,W$4:W1673&lt;=I1251),1))*INDEX(T$4:T1673,MATCH(LARGE(FILTER(W$4:W1673,W$4:W1673&lt;=I1251),1),W$4:W1673))-K1251),1,
ROUNDDOWN(Y1251-INDEX(K$4:K1673,MATCH(LARGE(FILTER(I$4:I1673,I$4:I1673&lt;=W1251),1),I$4:I1673))-(W1251-L"&amp;"ARGE(FILTER(I$4:I1673,I$4:I1673&lt;=W1251),1))*INDEX(F$4:F1673,MATCH(LARGE(FILTER(I$4:I1673,I$4:I1673&lt;=W1251),1),I$4:I1673))))"),"")</f>
        <v/>
      </c>
      <c r="N1251" s="60" t="str">
        <f t="shared" si="8"/>
        <v/>
      </c>
      <c r="O1251" s="61" t="str">
        <f t="shared" si="9"/>
        <v/>
      </c>
      <c r="P1251" s="56" t="str">
        <f t="shared" si="10"/>
        <v/>
      </c>
      <c r="Q1251" s="67"/>
      <c r="R1251" s="10"/>
      <c r="S1251" s="59" t="str">
        <f t="array" ref="S1251">IF(COUNTA(Q1251:Q1673)=0,"",SUM((COUNTIF(Q$4:Q1251,Upgrades!$B$3:$B$13)-COUNTIF(Q$4:Q1251,"Sell_"&amp;Upgrades!$B$3:$B$13))*Upgrades!$D$3:$D$13))</f>
        <v/>
      </c>
      <c r="T1251" s="66" t="str">
        <f>IFERROR(__xludf.DUMMYFUNCTION("IF(COUNTA(Q1251:Q1673)=0,"""",IF(REGEXMATCH(INDEX(FILTER(Q$4:Q1251,Q$4:Q1251&lt;&gt;""""),ROWS(FILTER(Q$4:Q1251,Q$4:Q1251&lt;&gt;""""))),""^Sell_""),INDEX(FILTER(T$4:T1250,Q$4:Q1250&lt;&gt;""""),ROWS(FILTER(Q$4:Q1250,Q$4:Q1250&lt;&gt;""""))),$AD$5+S1251))"),"")</f>
        <v/>
      </c>
      <c r="U1251" s="10" t="str">
        <f>IFERROR(__xludf.DUMMYFUNCTION("IF(COUNTA(Q1251:Q1673)=0,"""",IF(Q1251="""",0,IF(REGEXMATCH(Q1251,""^Sell_""),-ROUNDDOWN(ROUNDUP(INDEX(Upgrades!$C$3:$C$13,MATCH(SUBSTITUTE(Q1251,""Sell_"",""""),Upgrades!$B$3:$B$13,0))*1.15^(COUNTIF(Q$4:Q1250,SUBSTITUTE(Q1251,""Sell_"",""""))-COUNTIF(Q$4"&amp;":Q1250,""Sell_""&amp;SUBSTITUTE(Q1251,""Sell_"",""""))))/2),ROUNDUP(INDEX(Upgrades!$C$3:$C$13,MATCH(Q1251,Upgrades!$B$3:$B$13,0))*1.15^(COUNTIF(Q$4:Q1250,Q1251)-COUNTIF(Q$4:Q1250,""Sell_""&amp;Q1251))))))"),"")</f>
        <v/>
      </c>
      <c r="V1251" s="10" t="str">
        <f t="shared" si="11"/>
        <v/>
      </c>
      <c r="W1251" s="68" t="str">
        <f t="shared" si="12"/>
        <v/>
      </c>
      <c r="X1251" s="59" t="str">
        <f t="shared" si="13"/>
        <v/>
      </c>
      <c r="Y1251" s="69" t="str">
        <f t="shared" si="14"/>
        <v/>
      </c>
      <c r="Z1251" s="11"/>
    </row>
    <row r="1252">
      <c r="A1252" s="8"/>
      <c r="B1252" s="56" t="str">
        <f t="shared" si="2"/>
        <v/>
      </c>
      <c r="C1252" s="105"/>
      <c r="D1252" s="10"/>
      <c r="E1252" s="59" t="str">
        <f t="array" ref="E1252">IF(COUNTA(C1252:C1673)=0,"",SUM((COUNTIF(C$4:C1252,Upgrades!$B$3:$B$13)-COUNTIF(C$4:C1252,"Sell_"&amp;Upgrades!$B$3:$B$13))*Upgrades!$D$3:$D$13))</f>
        <v/>
      </c>
      <c r="F1252" s="66" t="str">
        <f>IFERROR(__xludf.DUMMYFUNCTION("IF(COUNTA(C1252:C1673)=0,"""",IF(REGEXMATCH(INDEX(FILTER(C$4:C1252,C$4:C1252&lt;&gt;""""),ROWS(FILTER(C$4:C1252,C$4:C1252&lt;&gt;""""))),""^Sell_""),INDEX(FILTER(F$4:F1251,C$4:C1251&lt;&gt;""""),ROWS(FILTER(C$4:C1251,C$4:C1251&lt;&gt;""""))),$AC$5+E1252))"),"")</f>
        <v/>
      </c>
      <c r="G1252" s="10" t="str">
        <f>IFERROR(__xludf.DUMMYFUNCTION("IF(COUNTA(C1252:C1673)=0,"""",IF(C1252="""",0,IF(REGEXMATCH(C1252,""^Sell_""),-ROUNDDOWN(ROUNDUP(INDEX(Upgrades!$C$3:$C$13,MATCH(SUBSTITUTE(C1252,""Sell_"",""""),Upgrades!$B$3:$B$13,0))*1.15^(COUNTIF(C$4:C1251,SUBSTITUTE(C1252,""Sell_"",""""))-COUNTIF(C$4"&amp;":C1251,""Sell_""&amp;SUBSTITUTE(C1252,""Sell_"",""""))))/2),ROUNDUP(INDEX(Upgrades!$C$3:$C$13,MATCH(C1252,Upgrades!$B$3:$B$13,0))*1.15^(COUNTIF(C$4:C1251,C1252)-COUNTIF(C$4:C1251,""Sell_""&amp;C1252))))))"),"")</f>
        <v/>
      </c>
      <c r="H1252" s="10" t="str">
        <f t="shared" si="3"/>
        <v/>
      </c>
      <c r="I1252" s="68" t="str">
        <f t="shared" si="4"/>
        <v/>
      </c>
      <c r="J1252" s="59" t="str">
        <f t="shared" si="5"/>
        <v/>
      </c>
      <c r="K1252" s="69" t="str">
        <f t="shared" si="6"/>
        <v/>
      </c>
      <c r="L1252" s="60" t="str">
        <f t="shared" si="7"/>
        <v/>
      </c>
      <c r="M1252" s="61" t="str">
        <f>IFERROR(__xludf.DUMMYFUNCTION("IFS(AND(COUNTA(C1252:C1673)=0,COUNTA(Q1252:Q1673)=0),"""",OR(AND(K1252&gt;=1000000000,OR(Y1252&gt;=1000000000,COUNTA(Q1252:Q1673)=0)),OR(Y1252&gt;=1000000000,AND(COUNTA(C1252:C1673)=0,P$3=TRUE))),
ROUNDDOWN((AB$1-AC$1)*MAX(INDEX(T$4:T1673,MATCH(LARGE(FILTER(Y$4:Y1"&amp;"673,Y$4:Y1673&lt;1000000000),1),Y$4:Y1673)),INDEX(F$4:F1673,MATCH(LARGE(FILTER(K$4:K1673,K$4:K1673&lt;1000000000),1),K$4:K1673)))),AND(K1252&lt;1000000000,COUNTA(C1252:C1673)&gt;0,P$3=FALSE),
ROUNDDOWN(INDEX(Y$4:Y1673,MATCH(LARGE(FILTER(W$4:W1673,W$4:W1673&lt;=I1252),1)"&amp;",W$4:W1673))+(I1252-LARGE(FILTER(W$4:W1673,W$4:W1673&lt;=I1252),1))*INDEX(T$4:T1673,MATCH(LARGE(FILTER(W$4:W1673,W$4:W1673&lt;=I1252),1),W$4:W1673))-K1252),1,
ROUNDDOWN(Y1252-INDEX(K$4:K1673,MATCH(LARGE(FILTER(I$4:I1673,I$4:I1673&lt;=W1252),1),I$4:I1673))-(W1252-L"&amp;"ARGE(FILTER(I$4:I1673,I$4:I1673&lt;=W1252),1))*INDEX(F$4:F1673,MATCH(LARGE(FILTER(I$4:I1673,I$4:I1673&lt;=W1252),1),I$4:I1673))))"),"")</f>
        <v/>
      </c>
      <c r="N1252" s="60" t="str">
        <f t="shared" si="8"/>
        <v/>
      </c>
      <c r="O1252" s="61" t="str">
        <f t="shared" si="9"/>
        <v/>
      </c>
      <c r="P1252" s="56" t="str">
        <f t="shared" si="10"/>
        <v/>
      </c>
      <c r="Q1252" s="67"/>
      <c r="R1252" s="10"/>
      <c r="S1252" s="59" t="str">
        <f t="array" ref="S1252">IF(COUNTA(Q1252:Q1673)=0,"",SUM((COUNTIF(Q$4:Q1252,Upgrades!$B$3:$B$13)-COUNTIF(Q$4:Q1252,"Sell_"&amp;Upgrades!$B$3:$B$13))*Upgrades!$D$3:$D$13))</f>
        <v/>
      </c>
      <c r="T1252" s="66" t="str">
        <f>IFERROR(__xludf.DUMMYFUNCTION("IF(COUNTA(Q1252:Q1673)=0,"""",IF(REGEXMATCH(INDEX(FILTER(Q$4:Q1252,Q$4:Q1252&lt;&gt;""""),ROWS(FILTER(Q$4:Q1252,Q$4:Q1252&lt;&gt;""""))),""^Sell_""),INDEX(FILTER(T$4:T1251,Q$4:Q1251&lt;&gt;""""),ROWS(FILTER(Q$4:Q1251,Q$4:Q1251&lt;&gt;""""))),$AD$5+S1252))"),"")</f>
        <v/>
      </c>
      <c r="U1252" s="10" t="str">
        <f>IFERROR(__xludf.DUMMYFUNCTION("IF(COUNTA(Q1252:Q1673)=0,"""",IF(Q1252="""",0,IF(REGEXMATCH(Q1252,""^Sell_""),-ROUNDDOWN(ROUNDUP(INDEX(Upgrades!$C$3:$C$13,MATCH(SUBSTITUTE(Q1252,""Sell_"",""""),Upgrades!$B$3:$B$13,0))*1.15^(COUNTIF(Q$4:Q1251,SUBSTITUTE(Q1252,""Sell_"",""""))-COUNTIF(Q$4"&amp;":Q1251,""Sell_""&amp;SUBSTITUTE(Q1252,""Sell_"",""""))))/2),ROUNDUP(INDEX(Upgrades!$C$3:$C$13,MATCH(Q1252,Upgrades!$B$3:$B$13,0))*1.15^(COUNTIF(Q$4:Q1251,Q1252)-COUNTIF(Q$4:Q1251,""Sell_""&amp;Q1252))))))"),"")</f>
        <v/>
      </c>
      <c r="V1252" s="10" t="str">
        <f t="shared" si="11"/>
        <v/>
      </c>
      <c r="W1252" s="68" t="str">
        <f t="shared" si="12"/>
        <v/>
      </c>
      <c r="X1252" s="59" t="str">
        <f t="shared" si="13"/>
        <v/>
      </c>
      <c r="Y1252" s="69" t="str">
        <f t="shared" si="14"/>
        <v/>
      </c>
      <c r="Z1252" s="11"/>
    </row>
    <row r="1253">
      <c r="A1253" s="8"/>
      <c r="B1253" s="56" t="str">
        <f t="shared" si="2"/>
        <v/>
      </c>
      <c r="C1253" s="105"/>
      <c r="D1253" s="10"/>
      <c r="E1253" s="59" t="str">
        <f t="array" ref="E1253">IF(COUNTA(C1253:C1673)=0,"",SUM((COUNTIF(C$4:C1253,Upgrades!$B$3:$B$13)-COUNTIF(C$4:C1253,"Sell_"&amp;Upgrades!$B$3:$B$13))*Upgrades!$D$3:$D$13))</f>
        <v/>
      </c>
      <c r="F1253" s="66" t="str">
        <f>IFERROR(__xludf.DUMMYFUNCTION("IF(COUNTA(C1253:C1673)=0,"""",IF(REGEXMATCH(INDEX(FILTER(C$4:C1253,C$4:C1253&lt;&gt;""""),ROWS(FILTER(C$4:C1253,C$4:C1253&lt;&gt;""""))),""^Sell_""),INDEX(FILTER(F$4:F1252,C$4:C1252&lt;&gt;""""),ROWS(FILTER(C$4:C1252,C$4:C1252&lt;&gt;""""))),$AC$5+E1253))"),"")</f>
        <v/>
      </c>
      <c r="G1253" s="10" t="str">
        <f>IFERROR(__xludf.DUMMYFUNCTION("IF(COUNTA(C1253:C1673)=0,"""",IF(C1253="""",0,IF(REGEXMATCH(C1253,""^Sell_""),-ROUNDDOWN(ROUNDUP(INDEX(Upgrades!$C$3:$C$13,MATCH(SUBSTITUTE(C1253,""Sell_"",""""),Upgrades!$B$3:$B$13,0))*1.15^(COUNTIF(C$4:C1252,SUBSTITUTE(C1253,""Sell_"",""""))-COUNTIF(C$4"&amp;":C1252,""Sell_""&amp;SUBSTITUTE(C1253,""Sell_"",""""))))/2),ROUNDUP(INDEX(Upgrades!$C$3:$C$13,MATCH(C1253,Upgrades!$B$3:$B$13,0))*1.15^(COUNTIF(C$4:C1252,C1253)-COUNTIF(C$4:C1252,""Sell_""&amp;C1253))))))"),"")</f>
        <v/>
      </c>
      <c r="H1253" s="10" t="str">
        <f t="shared" si="3"/>
        <v/>
      </c>
      <c r="I1253" s="68" t="str">
        <f t="shared" si="4"/>
        <v/>
      </c>
      <c r="J1253" s="59" t="str">
        <f t="shared" si="5"/>
        <v/>
      </c>
      <c r="K1253" s="69" t="str">
        <f t="shared" si="6"/>
        <v/>
      </c>
      <c r="L1253" s="60" t="str">
        <f t="shared" si="7"/>
        <v/>
      </c>
      <c r="M1253" s="61" t="str">
        <f>IFERROR(__xludf.DUMMYFUNCTION("IFS(AND(COUNTA(C1253:C1673)=0,COUNTA(Q1253:Q1673)=0),"""",OR(AND(K1253&gt;=1000000000,OR(Y1253&gt;=1000000000,COUNTA(Q1253:Q1673)=0)),OR(Y1253&gt;=1000000000,AND(COUNTA(C1253:C1673)=0,P$3=TRUE))),
ROUNDDOWN((AB$1-AC$1)*MAX(INDEX(T$4:T1673,MATCH(LARGE(FILTER(Y$4:Y1"&amp;"673,Y$4:Y1673&lt;1000000000),1),Y$4:Y1673)),INDEX(F$4:F1673,MATCH(LARGE(FILTER(K$4:K1673,K$4:K1673&lt;1000000000),1),K$4:K1673)))),AND(K1253&lt;1000000000,COUNTA(C1253:C1673)&gt;0,P$3=FALSE),
ROUNDDOWN(INDEX(Y$4:Y1673,MATCH(LARGE(FILTER(W$4:W1673,W$4:W1673&lt;=I1253),1)"&amp;",W$4:W1673))+(I1253-LARGE(FILTER(W$4:W1673,W$4:W1673&lt;=I1253),1))*INDEX(T$4:T1673,MATCH(LARGE(FILTER(W$4:W1673,W$4:W1673&lt;=I1253),1),W$4:W1673))-K1253),1,
ROUNDDOWN(Y1253-INDEX(K$4:K1673,MATCH(LARGE(FILTER(I$4:I1673,I$4:I1673&lt;=W1253),1),I$4:I1673))-(W1253-L"&amp;"ARGE(FILTER(I$4:I1673,I$4:I1673&lt;=W1253),1))*INDEX(F$4:F1673,MATCH(LARGE(FILTER(I$4:I1673,I$4:I1673&lt;=W1253),1),I$4:I1673))))"),"")</f>
        <v/>
      </c>
      <c r="N1253" s="60" t="str">
        <f t="shared" si="8"/>
        <v/>
      </c>
      <c r="O1253" s="61" t="str">
        <f t="shared" si="9"/>
        <v/>
      </c>
      <c r="P1253" s="56" t="str">
        <f t="shared" si="10"/>
        <v/>
      </c>
      <c r="Q1253" s="67"/>
      <c r="R1253" s="10"/>
      <c r="S1253" s="59" t="str">
        <f t="array" ref="S1253">IF(COUNTA(Q1253:Q1673)=0,"",SUM((COUNTIF(Q$4:Q1253,Upgrades!$B$3:$B$13)-COUNTIF(Q$4:Q1253,"Sell_"&amp;Upgrades!$B$3:$B$13))*Upgrades!$D$3:$D$13))</f>
        <v/>
      </c>
      <c r="T1253" s="66" t="str">
        <f>IFERROR(__xludf.DUMMYFUNCTION("IF(COUNTA(Q1253:Q1673)=0,"""",IF(REGEXMATCH(INDEX(FILTER(Q$4:Q1253,Q$4:Q1253&lt;&gt;""""),ROWS(FILTER(Q$4:Q1253,Q$4:Q1253&lt;&gt;""""))),""^Sell_""),INDEX(FILTER(T$4:T1252,Q$4:Q1252&lt;&gt;""""),ROWS(FILTER(Q$4:Q1252,Q$4:Q1252&lt;&gt;""""))),$AD$5+S1253))"),"")</f>
        <v/>
      </c>
      <c r="U1253" s="10" t="str">
        <f>IFERROR(__xludf.DUMMYFUNCTION("IF(COUNTA(Q1253:Q1673)=0,"""",IF(Q1253="""",0,IF(REGEXMATCH(Q1253,""^Sell_""),-ROUNDDOWN(ROUNDUP(INDEX(Upgrades!$C$3:$C$13,MATCH(SUBSTITUTE(Q1253,""Sell_"",""""),Upgrades!$B$3:$B$13,0))*1.15^(COUNTIF(Q$4:Q1252,SUBSTITUTE(Q1253,""Sell_"",""""))-COUNTIF(Q$4"&amp;":Q1252,""Sell_""&amp;SUBSTITUTE(Q1253,""Sell_"",""""))))/2),ROUNDUP(INDEX(Upgrades!$C$3:$C$13,MATCH(Q1253,Upgrades!$B$3:$B$13,0))*1.15^(COUNTIF(Q$4:Q1252,Q1253)-COUNTIF(Q$4:Q1252,""Sell_""&amp;Q1253))))))"),"")</f>
        <v/>
      </c>
      <c r="V1253" s="10" t="str">
        <f t="shared" si="11"/>
        <v/>
      </c>
      <c r="W1253" s="68" t="str">
        <f t="shared" si="12"/>
        <v/>
      </c>
      <c r="X1253" s="59" t="str">
        <f t="shared" si="13"/>
        <v/>
      </c>
      <c r="Y1253" s="69" t="str">
        <f t="shared" si="14"/>
        <v/>
      </c>
      <c r="Z1253" s="11"/>
    </row>
    <row r="1254">
      <c r="A1254" s="8"/>
      <c r="B1254" s="56" t="str">
        <f t="shared" si="2"/>
        <v/>
      </c>
      <c r="C1254" s="105"/>
      <c r="D1254" s="10"/>
      <c r="E1254" s="59" t="str">
        <f t="array" ref="E1254">IF(COUNTA(C1254:C1673)=0,"",SUM((COUNTIF(C$4:C1254,Upgrades!$B$3:$B$13)-COUNTIF(C$4:C1254,"Sell_"&amp;Upgrades!$B$3:$B$13))*Upgrades!$D$3:$D$13))</f>
        <v/>
      </c>
      <c r="F1254" s="66" t="str">
        <f>IFERROR(__xludf.DUMMYFUNCTION("IF(COUNTA(C1254:C1673)=0,"""",IF(REGEXMATCH(INDEX(FILTER(C$4:C1254,C$4:C1254&lt;&gt;""""),ROWS(FILTER(C$4:C1254,C$4:C1254&lt;&gt;""""))),""^Sell_""),INDEX(FILTER(F$4:F1253,C$4:C1253&lt;&gt;""""),ROWS(FILTER(C$4:C1253,C$4:C1253&lt;&gt;""""))),$AC$5+E1254))"),"")</f>
        <v/>
      </c>
      <c r="G1254" s="10" t="str">
        <f>IFERROR(__xludf.DUMMYFUNCTION("IF(COUNTA(C1254:C1673)=0,"""",IF(C1254="""",0,IF(REGEXMATCH(C1254,""^Sell_""),-ROUNDDOWN(ROUNDUP(INDEX(Upgrades!$C$3:$C$13,MATCH(SUBSTITUTE(C1254,""Sell_"",""""),Upgrades!$B$3:$B$13,0))*1.15^(COUNTIF(C$4:C1253,SUBSTITUTE(C1254,""Sell_"",""""))-COUNTIF(C$4"&amp;":C1253,""Sell_""&amp;SUBSTITUTE(C1254,""Sell_"",""""))))/2),ROUNDUP(INDEX(Upgrades!$C$3:$C$13,MATCH(C1254,Upgrades!$B$3:$B$13,0))*1.15^(COUNTIF(C$4:C1253,C1254)-COUNTIF(C$4:C1253,""Sell_""&amp;C1254))))))"),"")</f>
        <v/>
      </c>
      <c r="H1254" s="10" t="str">
        <f t="shared" si="3"/>
        <v/>
      </c>
      <c r="I1254" s="68" t="str">
        <f t="shared" si="4"/>
        <v/>
      </c>
      <c r="J1254" s="59" t="str">
        <f t="shared" si="5"/>
        <v/>
      </c>
      <c r="K1254" s="69" t="str">
        <f t="shared" si="6"/>
        <v/>
      </c>
      <c r="L1254" s="60" t="str">
        <f t="shared" si="7"/>
        <v/>
      </c>
      <c r="M1254" s="61" t="str">
        <f>IFERROR(__xludf.DUMMYFUNCTION("IFS(AND(COUNTA(C1254:C1673)=0,COUNTA(Q1254:Q1673)=0),"""",OR(AND(K1254&gt;=1000000000,OR(Y1254&gt;=1000000000,COUNTA(Q1254:Q1673)=0)),OR(Y1254&gt;=1000000000,AND(COUNTA(C1254:C1673)=0,P$3=TRUE))),
ROUNDDOWN((AB$1-AC$1)*MAX(INDEX(T$4:T1673,MATCH(LARGE(FILTER(Y$4:Y1"&amp;"673,Y$4:Y1673&lt;1000000000),1),Y$4:Y1673)),INDEX(F$4:F1673,MATCH(LARGE(FILTER(K$4:K1673,K$4:K1673&lt;1000000000),1),K$4:K1673)))),AND(K1254&lt;1000000000,COUNTA(C1254:C1673)&gt;0,P$3=FALSE),
ROUNDDOWN(INDEX(Y$4:Y1673,MATCH(LARGE(FILTER(W$4:W1673,W$4:W1673&lt;=I1254),1)"&amp;",W$4:W1673))+(I1254-LARGE(FILTER(W$4:W1673,W$4:W1673&lt;=I1254),1))*INDEX(T$4:T1673,MATCH(LARGE(FILTER(W$4:W1673,W$4:W1673&lt;=I1254),1),W$4:W1673))-K1254),1,
ROUNDDOWN(Y1254-INDEX(K$4:K1673,MATCH(LARGE(FILTER(I$4:I1673,I$4:I1673&lt;=W1254),1),I$4:I1673))-(W1254-L"&amp;"ARGE(FILTER(I$4:I1673,I$4:I1673&lt;=W1254),1))*INDEX(F$4:F1673,MATCH(LARGE(FILTER(I$4:I1673,I$4:I1673&lt;=W1254),1),I$4:I1673))))"),"")</f>
        <v/>
      </c>
      <c r="N1254" s="60" t="str">
        <f t="shared" si="8"/>
        <v/>
      </c>
      <c r="O1254" s="61" t="str">
        <f t="shared" si="9"/>
        <v/>
      </c>
      <c r="P1254" s="56" t="str">
        <f t="shared" si="10"/>
        <v/>
      </c>
      <c r="Q1254" s="67"/>
      <c r="R1254" s="10"/>
      <c r="S1254" s="59" t="str">
        <f t="array" ref="S1254">IF(COUNTA(Q1254:Q1673)=0,"",SUM((COUNTIF(Q$4:Q1254,Upgrades!$B$3:$B$13)-COUNTIF(Q$4:Q1254,"Sell_"&amp;Upgrades!$B$3:$B$13))*Upgrades!$D$3:$D$13))</f>
        <v/>
      </c>
      <c r="T1254" s="66" t="str">
        <f>IFERROR(__xludf.DUMMYFUNCTION("IF(COUNTA(Q1254:Q1673)=0,"""",IF(REGEXMATCH(INDEX(FILTER(Q$4:Q1254,Q$4:Q1254&lt;&gt;""""),ROWS(FILTER(Q$4:Q1254,Q$4:Q1254&lt;&gt;""""))),""^Sell_""),INDEX(FILTER(T$4:T1253,Q$4:Q1253&lt;&gt;""""),ROWS(FILTER(Q$4:Q1253,Q$4:Q1253&lt;&gt;""""))),$AD$5+S1254))"),"")</f>
        <v/>
      </c>
      <c r="U1254" s="10" t="str">
        <f>IFERROR(__xludf.DUMMYFUNCTION("IF(COUNTA(Q1254:Q1673)=0,"""",IF(Q1254="""",0,IF(REGEXMATCH(Q1254,""^Sell_""),-ROUNDDOWN(ROUNDUP(INDEX(Upgrades!$C$3:$C$13,MATCH(SUBSTITUTE(Q1254,""Sell_"",""""),Upgrades!$B$3:$B$13,0))*1.15^(COUNTIF(Q$4:Q1253,SUBSTITUTE(Q1254,""Sell_"",""""))-COUNTIF(Q$4"&amp;":Q1253,""Sell_""&amp;SUBSTITUTE(Q1254,""Sell_"",""""))))/2),ROUNDUP(INDEX(Upgrades!$C$3:$C$13,MATCH(Q1254,Upgrades!$B$3:$B$13,0))*1.15^(COUNTIF(Q$4:Q1253,Q1254)-COUNTIF(Q$4:Q1253,""Sell_""&amp;Q1254))))))"),"")</f>
        <v/>
      </c>
      <c r="V1254" s="10" t="str">
        <f t="shared" si="11"/>
        <v/>
      </c>
      <c r="W1254" s="68" t="str">
        <f t="shared" si="12"/>
        <v/>
      </c>
      <c r="X1254" s="59" t="str">
        <f t="shared" si="13"/>
        <v/>
      </c>
      <c r="Y1254" s="69" t="str">
        <f t="shared" si="14"/>
        <v/>
      </c>
      <c r="Z1254" s="11"/>
    </row>
    <row r="1255">
      <c r="A1255" s="8"/>
      <c r="B1255" s="56" t="str">
        <f t="shared" si="2"/>
        <v/>
      </c>
      <c r="C1255" s="105"/>
      <c r="D1255" s="10"/>
      <c r="E1255" s="59" t="str">
        <f t="array" ref="E1255">IF(COUNTA(C1255:C1673)=0,"",SUM((COUNTIF(C$4:C1255,Upgrades!$B$3:$B$13)-COUNTIF(C$4:C1255,"Sell_"&amp;Upgrades!$B$3:$B$13))*Upgrades!$D$3:$D$13))</f>
        <v/>
      </c>
      <c r="F1255" s="66" t="str">
        <f>IFERROR(__xludf.DUMMYFUNCTION("IF(COUNTA(C1255:C1673)=0,"""",IF(REGEXMATCH(INDEX(FILTER(C$4:C1255,C$4:C1255&lt;&gt;""""),ROWS(FILTER(C$4:C1255,C$4:C1255&lt;&gt;""""))),""^Sell_""),INDEX(FILTER(F$4:F1254,C$4:C1254&lt;&gt;""""),ROWS(FILTER(C$4:C1254,C$4:C1254&lt;&gt;""""))),$AC$5+E1255))"),"")</f>
        <v/>
      </c>
      <c r="G1255" s="10" t="str">
        <f>IFERROR(__xludf.DUMMYFUNCTION("IF(COUNTA(C1255:C1673)=0,"""",IF(C1255="""",0,IF(REGEXMATCH(C1255,""^Sell_""),-ROUNDDOWN(ROUNDUP(INDEX(Upgrades!$C$3:$C$13,MATCH(SUBSTITUTE(C1255,""Sell_"",""""),Upgrades!$B$3:$B$13,0))*1.15^(COUNTIF(C$4:C1254,SUBSTITUTE(C1255,""Sell_"",""""))-COUNTIF(C$4"&amp;":C1254,""Sell_""&amp;SUBSTITUTE(C1255,""Sell_"",""""))))/2),ROUNDUP(INDEX(Upgrades!$C$3:$C$13,MATCH(C1255,Upgrades!$B$3:$B$13,0))*1.15^(COUNTIF(C$4:C1254,C1255)-COUNTIF(C$4:C1254,""Sell_""&amp;C1255))))))"),"")</f>
        <v/>
      </c>
      <c r="H1255" s="10" t="str">
        <f t="shared" si="3"/>
        <v/>
      </c>
      <c r="I1255" s="68" t="str">
        <f t="shared" si="4"/>
        <v/>
      </c>
      <c r="J1255" s="59" t="str">
        <f t="shared" si="5"/>
        <v/>
      </c>
      <c r="K1255" s="69" t="str">
        <f t="shared" si="6"/>
        <v/>
      </c>
      <c r="L1255" s="60" t="str">
        <f t="shared" si="7"/>
        <v/>
      </c>
      <c r="M1255" s="61" t="str">
        <f>IFERROR(__xludf.DUMMYFUNCTION("IFS(AND(COUNTA(C1255:C1673)=0,COUNTA(Q1255:Q1673)=0),"""",OR(AND(K1255&gt;=1000000000,OR(Y1255&gt;=1000000000,COUNTA(Q1255:Q1673)=0)),OR(Y1255&gt;=1000000000,AND(COUNTA(C1255:C1673)=0,P$3=TRUE))),
ROUNDDOWN((AB$1-AC$1)*MAX(INDEX(T$4:T1673,MATCH(LARGE(FILTER(Y$4:Y1"&amp;"673,Y$4:Y1673&lt;1000000000),1),Y$4:Y1673)),INDEX(F$4:F1673,MATCH(LARGE(FILTER(K$4:K1673,K$4:K1673&lt;1000000000),1),K$4:K1673)))),AND(K1255&lt;1000000000,COUNTA(C1255:C1673)&gt;0,P$3=FALSE),
ROUNDDOWN(INDEX(Y$4:Y1673,MATCH(LARGE(FILTER(W$4:W1673,W$4:W1673&lt;=I1255),1)"&amp;",W$4:W1673))+(I1255-LARGE(FILTER(W$4:W1673,W$4:W1673&lt;=I1255),1))*INDEX(T$4:T1673,MATCH(LARGE(FILTER(W$4:W1673,W$4:W1673&lt;=I1255),1),W$4:W1673))-K1255),1,
ROUNDDOWN(Y1255-INDEX(K$4:K1673,MATCH(LARGE(FILTER(I$4:I1673,I$4:I1673&lt;=W1255),1),I$4:I1673))-(W1255-L"&amp;"ARGE(FILTER(I$4:I1673,I$4:I1673&lt;=W1255),1))*INDEX(F$4:F1673,MATCH(LARGE(FILTER(I$4:I1673,I$4:I1673&lt;=W1255),1),I$4:I1673))))"),"")</f>
        <v/>
      </c>
      <c r="N1255" s="60" t="str">
        <f t="shared" si="8"/>
        <v/>
      </c>
      <c r="O1255" s="61" t="str">
        <f t="shared" si="9"/>
        <v/>
      </c>
      <c r="P1255" s="56" t="str">
        <f t="shared" si="10"/>
        <v/>
      </c>
      <c r="Q1255" s="67"/>
      <c r="R1255" s="10"/>
      <c r="S1255" s="59" t="str">
        <f t="array" ref="S1255">IF(COUNTA(Q1255:Q1673)=0,"",SUM((COUNTIF(Q$4:Q1255,Upgrades!$B$3:$B$13)-COUNTIF(Q$4:Q1255,"Sell_"&amp;Upgrades!$B$3:$B$13))*Upgrades!$D$3:$D$13))</f>
        <v/>
      </c>
      <c r="T1255" s="66" t="str">
        <f>IFERROR(__xludf.DUMMYFUNCTION("IF(COUNTA(Q1255:Q1673)=0,"""",IF(REGEXMATCH(INDEX(FILTER(Q$4:Q1255,Q$4:Q1255&lt;&gt;""""),ROWS(FILTER(Q$4:Q1255,Q$4:Q1255&lt;&gt;""""))),""^Sell_""),INDEX(FILTER(T$4:T1254,Q$4:Q1254&lt;&gt;""""),ROWS(FILTER(Q$4:Q1254,Q$4:Q1254&lt;&gt;""""))),$AD$5+S1255))"),"")</f>
        <v/>
      </c>
      <c r="U1255" s="10" t="str">
        <f>IFERROR(__xludf.DUMMYFUNCTION("IF(COUNTA(Q1255:Q1673)=0,"""",IF(Q1255="""",0,IF(REGEXMATCH(Q1255,""^Sell_""),-ROUNDDOWN(ROUNDUP(INDEX(Upgrades!$C$3:$C$13,MATCH(SUBSTITUTE(Q1255,""Sell_"",""""),Upgrades!$B$3:$B$13,0))*1.15^(COUNTIF(Q$4:Q1254,SUBSTITUTE(Q1255,""Sell_"",""""))-COUNTIF(Q$4"&amp;":Q1254,""Sell_""&amp;SUBSTITUTE(Q1255,""Sell_"",""""))))/2),ROUNDUP(INDEX(Upgrades!$C$3:$C$13,MATCH(Q1255,Upgrades!$B$3:$B$13,0))*1.15^(COUNTIF(Q$4:Q1254,Q1255)-COUNTIF(Q$4:Q1254,""Sell_""&amp;Q1255))))))"),"")</f>
        <v/>
      </c>
      <c r="V1255" s="10" t="str">
        <f t="shared" si="11"/>
        <v/>
      </c>
      <c r="W1255" s="68" t="str">
        <f t="shared" si="12"/>
        <v/>
      </c>
      <c r="X1255" s="59" t="str">
        <f t="shared" si="13"/>
        <v/>
      </c>
      <c r="Y1255" s="69" t="str">
        <f t="shared" si="14"/>
        <v/>
      </c>
      <c r="Z1255" s="11"/>
    </row>
    <row r="1256">
      <c r="A1256" s="8"/>
      <c r="B1256" s="56" t="str">
        <f t="shared" si="2"/>
        <v/>
      </c>
      <c r="C1256" s="105"/>
      <c r="D1256" s="10"/>
      <c r="E1256" s="59" t="str">
        <f t="array" ref="E1256">IF(COUNTA(C1256:C1673)=0,"",SUM((COUNTIF(C$4:C1256,Upgrades!$B$3:$B$13)-COUNTIF(C$4:C1256,"Sell_"&amp;Upgrades!$B$3:$B$13))*Upgrades!$D$3:$D$13))</f>
        <v/>
      </c>
      <c r="F1256" s="66" t="str">
        <f>IFERROR(__xludf.DUMMYFUNCTION("IF(COUNTA(C1256:C1673)=0,"""",IF(REGEXMATCH(INDEX(FILTER(C$4:C1256,C$4:C1256&lt;&gt;""""),ROWS(FILTER(C$4:C1256,C$4:C1256&lt;&gt;""""))),""^Sell_""),INDEX(FILTER(F$4:F1255,C$4:C1255&lt;&gt;""""),ROWS(FILTER(C$4:C1255,C$4:C1255&lt;&gt;""""))),$AC$5+E1256))"),"")</f>
        <v/>
      </c>
      <c r="G1256" s="10" t="str">
        <f>IFERROR(__xludf.DUMMYFUNCTION("IF(COUNTA(C1256:C1673)=0,"""",IF(C1256="""",0,IF(REGEXMATCH(C1256,""^Sell_""),-ROUNDDOWN(ROUNDUP(INDEX(Upgrades!$C$3:$C$13,MATCH(SUBSTITUTE(C1256,""Sell_"",""""),Upgrades!$B$3:$B$13,0))*1.15^(COUNTIF(C$4:C1255,SUBSTITUTE(C1256,""Sell_"",""""))-COUNTIF(C$4"&amp;":C1255,""Sell_""&amp;SUBSTITUTE(C1256,""Sell_"",""""))))/2),ROUNDUP(INDEX(Upgrades!$C$3:$C$13,MATCH(C1256,Upgrades!$B$3:$B$13,0))*1.15^(COUNTIF(C$4:C1255,C1256)-COUNTIF(C$4:C1255,""Sell_""&amp;C1256))))))"),"")</f>
        <v/>
      </c>
      <c r="H1256" s="10" t="str">
        <f t="shared" si="3"/>
        <v/>
      </c>
      <c r="I1256" s="68" t="str">
        <f t="shared" si="4"/>
        <v/>
      </c>
      <c r="J1256" s="59" t="str">
        <f t="shared" si="5"/>
        <v/>
      </c>
      <c r="K1256" s="69" t="str">
        <f t="shared" si="6"/>
        <v/>
      </c>
      <c r="L1256" s="60" t="str">
        <f t="shared" si="7"/>
        <v/>
      </c>
      <c r="M1256" s="61" t="str">
        <f>IFERROR(__xludf.DUMMYFUNCTION("IFS(AND(COUNTA(C1256:C1673)=0,COUNTA(Q1256:Q1673)=0),"""",OR(AND(K1256&gt;=1000000000,OR(Y1256&gt;=1000000000,COUNTA(Q1256:Q1673)=0)),OR(Y1256&gt;=1000000000,AND(COUNTA(C1256:C1673)=0,P$3=TRUE))),
ROUNDDOWN((AB$1-AC$1)*MAX(INDEX(T$4:T1673,MATCH(LARGE(FILTER(Y$4:Y1"&amp;"673,Y$4:Y1673&lt;1000000000),1),Y$4:Y1673)),INDEX(F$4:F1673,MATCH(LARGE(FILTER(K$4:K1673,K$4:K1673&lt;1000000000),1),K$4:K1673)))),AND(K1256&lt;1000000000,COUNTA(C1256:C1673)&gt;0,P$3=FALSE),
ROUNDDOWN(INDEX(Y$4:Y1673,MATCH(LARGE(FILTER(W$4:W1673,W$4:W1673&lt;=I1256),1)"&amp;",W$4:W1673))+(I1256-LARGE(FILTER(W$4:W1673,W$4:W1673&lt;=I1256),1))*INDEX(T$4:T1673,MATCH(LARGE(FILTER(W$4:W1673,W$4:W1673&lt;=I1256),1),W$4:W1673))-K1256),1,
ROUNDDOWN(Y1256-INDEX(K$4:K1673,MATCH(LARGE(FILTER(I$4:I1673,I$4:I1673&lt;=W1256),1),I$4:I1673))-(W1256-L"&amp;"ARGE(FILTER(I$4:I1673,I$4:I1673&lt;=W1256),1))*INDEX(F$4:F1673,MATCH(LARGE(FILTER(I$4:I1673,I$4:I1673&lt;=W1256),1),I$4:I1673))))"),"")</f>
        <v/>
      </c>
      <c r="N1256" s="60" t="str">
        <f t="shared" si="8"/>
        <v/>
      </c>
      <c r="O1256" s="61" t="str">
        <f t="shared" si="9"/>
        <v/>
      </c>
      <c r="P1256" s="56" t="str">
        <f t="shared" si="10"/>
        <v/>
      </c>
      <c r="Q1256" s="67"/>
      <c r="R1256" s="10"/>
      <c r="S1256" s="59" t="str">
        <f t="array" ref="S1256">IF(COUNTA(Q1256:Q1673)=0,"",SUM((COUNTIF(Q$4:Q1256,Upgrades!$B$3:$B$13)-COUNTIF(Q$4:Q1256,"Sell_"&amp;Upgrades!$B$3:$B$13))*Upgrades!$D$3:$D$13))</f>
        <v/>
      </c>
      <c r="T1256" s="66" t="str">
        <f>IFERROR(__xludf.DUMMYFUNCTION("IF(COUNTA(Q1256:Q1673)=0,"""",IF(REGEXMATCH(INDEX(FILTER(Q$4:Q1256,Q$4:Q1256&lt;&gt;""""),ROWS(FILTER(Q$4:Q1256,Q$4:Q1256&lt;&gt;""""))),""^Sell_""),INDEX(FILTER(T$4:T1255,Q$4:Q1255&lt;&gt;""""),ROWS(FILTER(Q$4:Q1255,Q$4:Q1255&lt;&gt;""""))),$AD$5+S1256))"),"")</f>
        <v/>
      </c>
      <c r="U1256" s="10" t="str">
        <f>IFERROR(__xludf.DUMMYFUNCTION("IF(COUNTA(Q1256:Q1673)=0,"""",IF(Q1256="""",0,IF(REGEXMATCH(Q1256,""^Sell_""),-ROUNDDOWN(ROUNDUP(INDEX(Upgrades!$C$3:$C$13,MATCH(SUBSTITUTE(Q1256,""Sell_"",""""),Upgrades!$B$3:$B$13,0))*1.15^(COUNTIF(Q$4:Q1255,SUBSTITUTE(Q1256,""Sell_"",""""))-COUNTIF(Q$4"&amp;":Q1255,""Sell_""&amp;SUBSTITUTE(Q1256,""Sell_"",""""))))/2),ROUNDUP(INDEX(Upgrades!$C$3:$C$13,MATCH(Q1256,Upgrades!$B$3:$B$13,0))*1.15^(COUNTIF(Q$4:Q1255,Q1256)-COUNTIF(Q$4:Q1255,""Sell_""&amp;Q1256))))))"),"")</f>
        <v/>
      </c>
      <c r="V1256" s="10" t="str">
        <f t="shared" si="11"/>
        <v/>
      </c>
      <c r="W1256" s="68" t="str">
        <f t="shared" si="12"/>
        <v/>
      </c>
      <c r="X1256" s="59" t="str">
        <f t="shared" si="13"/>
        <v/>
      </c>
      <c r="Y1256" s="69" t="str">
        <f t="shared" si="14"/>
        <v/>
      </c>
      <c r="Z1256" s="11"/>
    </row>
    <row r="1257">
      <c r="A1257" s="8"/>
      <c r="B1257" s="56" t="str">
        <f t="shared" si="2"/>
        <v/>
      </c>
      <c r="C1257" s="105"/>
      <c r="D1257" s="10"/>
      <c r="E1257" s="59" t="str">
        <f t="array" ref="E1257">IF(COUNTA(C1257:C1673)=0,"",SUM((COUNTIF(C$4:C1257,Upgrades!$B$3:$B$13)-COUNTIF(C$4:C1257,"Sell_"&amp;Upgrades!$B$3:$B$13))*Upgrades!$D$3:$D$13))</f>
        <v/>
      </c>
      <c r="F1257" s="66" t="str">
        <f>IFERROR(__xludf.DUMMYFUNCTION("IF(COUNTA(C1257:C1673)=0,"""",IF(REGEXMATCH(INDEX(FILTER(C$4:C1257,C$4:C1257&lt;&gt;""""),ROWS(FILTER(C$4:C1257,C$4:C1257&lt;&gt;""""))),""^Sell_""),INDEX(FILTER(F$4:F1256,C$4:C1256&lt;&gt;""""),ROWS(FILTER(C$4:C1256,C$4:C1256&lt;&gt;""""))),$AC$5+E1257))"),"")</f>
        <v/>
      </c>
      <c r="G1257" s="10" t="str">
        <f>IFERROR(__xludf.DUMMYFUNCTION("IF(COUNTA(C1257:C1673)=0,"""",IF(C1257="""",0,IF(REGEXMATCH(C1257,""^Sell_""),-ROUNDDOWN(ROUNDUP(INDEX(Upgrades!$C$3:$C$13,MATCH(SUBSTITUTE(C1257,""Sell_"",""""),Upgrades!$B$3:$B$13,0))*1.15^(COUNTIF(C$4:C1256,SUBSTITUTE(C1257,""Sell_"",""""))-COUNTIF(C$4"&amp;":C1256,""Sell_""&amp;SUBSTITUTE(C1257,""Sell_"",""""))))/2),ROUNDUP(INDEX(Upgrades!$C$3:$C$13,MATCH(C1257,Upgrades!$B$3:$B$13,0))*1.15^(COUNTIF(C$4:C1256,C1257)-COUNTIF(C$4:C1256,""Sell_""&amp;C1257))))))"),"")</f>
        <v/>
      </c>
      <c r="H1257" s="10" t="str">
        <f t="shared" si="3"/>
        <v/>
      </c>
      <c r="I1257" s="68" t="str">
        <f t="shared" si="4"/>
        <v/>
      </c>
      <c r="J1257" s="59" t="str">
        <f t="shared" si="5"/>
        <v/>
      </c>
      <c r="K1257" s="69" t="str">
        <f t="shared" si="6"/>
        <v/>
      </c>
      <c r="L1257" s="60" t="str">
        <f t="shared" si="7"/>
        <v/>
      </c>
      <c r="M1257" s="61" t="str">
        <f>IFERROR(__xludf.DUMMYFUNCTION("IFS(AND(COUNTA(C1257:C1673)=0,COUNTA(Q1257:Q1673)=0),"""",OR(AND(K1257&gt;=1000000000,OR(Y1257&gt;=1000000000,COUNTA(Q1257:Q1673)=0)),OR(Y1257&gt;=1000000000,AND(COUNTA(C1257:C1673)=0,P$3=TRUE))),
ROUNDDOWN((AB$1-AC$1)*MAX(INDEX(T$4:T1673,MATCH(LARGE(FILTER(Y$4:Y1"&amp;"673,Y$4:Y1673&lt;1000000000),1),Y$4:Y1673)),INDEX(F$4:F1673,MATCH(LARGE(FILTER(K$4:K1673,K$4:K1673&lt;1000000000),1),K$4:K1673)))),AND(K1257&lt;1000000000,COUNTA(C1257:C1673)&gt;0,P$3=FALSE),
ROUNDDOWN(INDEX(Y$4:Y1673,MATCH(LARGE(FILTER(W$4:W1673,W$4:W1673&lt;=I1257),1)"&amp;",W$4:W1673))+(I1257-LARGE(FILTER(W$4:W1673,W$4:W1673&lt;=I1257),1))*INDEX(T$4:T1673,MATCH(LARGE(FILTER(W$4:W1673,W$4:W1673&lt;=I1257),1),W$4:W1673))-K1257),1,
ROUNDDOWN(Y1257-INDEX(K$4:K1673,MATCH(LARGE(FILTER(I$4:I1673,I$4:I1673&lt;=W1257),1),I$4:I1673))-(W1257-L"&amp;"ARGE(FILTER(I$4:I1673,I$4:I1673&lt;=W1257),1))*INDEX(F$4:F1673,MATCH(LARGE(FILTER(I$4:I1673,I$4:I1673&lt;=W1257),1),I$4:I1673))))"),"")</f>
        <v/>
      </c>
      <c r="N1257" s="60" t="str">
        <f t="shared" si="8"/>
        <v/>
      </c>
      <c r="O1257" s="61" t="str">
        <f t="shared" si="9"/>
        <v/>
      </c>
      <c r="P1257" s="56" t="str">
        <f t="shared" si="10"/>
        <v/>
      </c>
      <c r="Q1257" s="67"/>
      <c r="R1257" s="10"/>
      <c r="S1257" s="59" t="str">
        <f t="array" ref="S1257">IF(COUNTA(Q1257:Q1673)=0,"",SUM((COUNTIF(Q$4:Q1257,Upgrades!$B$3:$B$13)-COUNTIF(Q$4:Q1257,"Sell_"&amp;Upgrades!$B$3:$B$13))*Upgrades!$D$3:$D$13))</f>
        <v/>
      </c>
      <c r="T1257" s="66" t="str">
        <f>IFERROR(__xludf.DUMMYFUNCTION("IF(COUNTA(Q1257:Q1673)=0,"""",IF(REGEXMATCH(INDEX(FILTER(Q$4:Q1257,Q$4:Q1257&lt;&gt;""""),ROWS(FILTER(Q$4:Q1257,Q$4:Q1257&lt;&gt;""""))),""^Sell_""),INDEX(FILTER(T$4:T1256,Q$4:Q1256&lt;&gt;""""),ROWS(FILTER(Q$4:Q1256,Q$4:Q1256&lt;&gt;""""))),$AD$5+S1257))"),"")</f>
        <v/>
      </c>
      <c r="U1257" s="10" t="str">
        <f>IFERROR(__xludf.DUMMYFUNCTION("IF(COUNTA(Q1257:Q1673)=0,"""",IF(Q1257="""",0,IF(REGEXMATCH(Q1257,""^Sell_""),-ROUNDDOWN(ROUNDUP(INDEX(Upgrades!$C$3:$C$13,MATCH(SUBSTITUTE(Q1257,""Sell_"",""""),Upgrades!$B$3:$B$13,0))*1.15^(COUNTIF(Q$4:Q1256,SUBSTITUTE(Q1257,""Sell_"",""""))-COUNTIF(Q$4"&amp;":Q1256,""Sell_""&amp;SUBSTITUTE(Q1257,""Sell_"",""""))))/2),ROUNDUP(INDEX(Upgrades!$C$3:$C$13,MATCH(Q1257,Upgrades!$B$3:$B$13,0))*1.15^(COUNTIF(Q$4:Q1256,Q1257)-COUNTIF(Q$4:Q1256,""Sell_""&amp;Q1257))))))"),"")</f>
        <v/>
      </c>
      <c r="V1257" s="10" t="str">
        <f t="shared" si="11"/>
        <v/>
      </c>
      <c r="W1257" s="68" t="str">
        <f t="shared" si="12"/>
        <v/>
      </c>
      <c r="X1257" s="59" t="str">
        <f t="shared" si="13"/>
        <v/>
      </c>
      <c r="Y1257" s="69" t="str">
        <f t="shared" si="14"/>
        <v/>
      </c>
      <c r="Z1257" s="11"/>
    </row>
    <row r="1258">
      <c r="A1258" s="8"/>
      <c r="B1258" s="56" t="str">
        <f t="shared" si="2"/>
        <v/>
      </c>
      <c r="C1258" s="105"/>
      <c r="D1258" s="10"/>
      <c r="E1258" s="59" t="str">
        <f t="array" ref="E1258">IF(COUNTA(C1258:C1673)=0,"",SUM((COUNTIF(C$4:C1258,Upgrades!$B$3:$B$13)-COUNTIF(C$4:C1258,"Sell_"&amp;Upgrades!$B$3:$B$13))*Upgrades!$D$3:$D$13))</f>
        <v/>
      </c>
      <c r="F1258" s="66" t="str">
        <f>IFERROR(__xludf.DUMMYFUNCTION("IF(COUNTA(C1258:C1673)=0,"""",IF(REGEXMATCH(INDEX(FILTER(C$4:C1258,C$4:C1258&lt;&gt;""""),ROWS(FILTER(C$4:C1258,C$4:C1258&lt;&gt;""""))),""^Sell_""),INDEX(FILTER(F$4:F1257,C$4:C1257&lt;&gt;""""),ROWS(FILTER(C$4:C1257,C$4:C1257&lt;&gt;""""))),$AC$5+E1258))"),"")</f>
        <v/>
      </c>
      <c r="G1258" s="10" t="str">
        <f>IFERROR(__xludf.DUMMYFUNCTION("IF(COUNTA(C1258:C1673)=0,"""",IF(C1258="""",0,IF(REGEXMATCH(C1258,""^Sell_""),-ROUNDDOWN(ROUNDUP(INDEX(Upgrades!$C$3:$C$13,MATCH(SUBSTITUTE(C1258,""Sell_"",""""),Upgrades!$B$3:$B$13,0))*1.15^(COUNTIF(C$4:C1257,SUBSTITUTE(C1258,""Sell_"",""""))-COUNTIF(C$4"&amp;":C1257,""Sell_""&amp;SUBSTITUTE(C1258,""Sell_"",""""))))/2),ROUNDUP(INDEX(Upgrades!$C$3:$C$13,MATCH(C1258,Upgrades!$B$3:$B$13,0))*1.15^(COUNTIF(C$4:C1257,C1258)-COUNTIF(C$4:C1257,""Sell_""&amp;C1258))))))"),"")</f>
        <v/>
      </c>
      <c r="H1258" s="10" t="str">
        <f t="shared" si="3"/>
        <v/>
      </c>
      <c r="I1258" s="68" t="str">
        <f t="shared" si="4"/>
        <v/>
      </c>
      <c r="J1258" s="59" t="str">
        <f t="shared" si="5"/>
        <v/>
      </c>
      <c r="K1258" s="69" t="str">
        <f t="shared" si="6"/>
        <v/>
      </c>
      <c r="L1258" s="60" t="str">
        <f t="shared" si="7"/>
        <v/>
      </c>
      <c r="M1258" s="61" t="str">
        <f>IFERROR(__xludf.DUMMYFUNCTION("IFS(AND(COUNTA(C1258:C1673)=0,COUNTA(Q1258:Q1673)=0),"""",OR(AND(K1258&gt;=1000000000,OR(Y1258&gt;=1000000000,COUNTA(Q1258:Q1673)=0)),OR(Y1258&gt;=1000000000,AND(COUNTA(C1258:C1673)=0,P$3=TRUE))),
ROUNDDOWN((AB$1-AC$1)*MAX(INDEX(T$4:T1673,MATCH(LARGE(FILTER(Y$4:Y1"&amp;"673,Y$4:Y1673&lt;1000000000),1),Y$4:Y1673)),INDEX(F$4:F1673,MATCH(LARGE(FILTER(K$4:K1673,K$4:K1673&lt;1000000000),1),K$4:K1673)))),AND(K1258&lt;1000000000,COUNTA(C1258:C1673)&gt;0,P$3=FALSE),
ROUNDDOWN(INDEX(Y$4:Y1673,MATCH(LARGE(FILTER(W$4:W1673,W$4:W1673&lt;=I1258),1)"&amp;",W$4:W1673))+(I1258-LARGE(FILTER(W$4:W1673,W$4:W1673&lt;=I1258),1))*INDEX(T$4:T1673,MATCH(LARGE(FILTER(W$4:W1673,W$4:W1673&lt;=I1258),1),W$4:W1673))-K1258),1,
ROUNDDOWN(Y1258-INDEX(K$4:K1673,MATCH(LARGE(FILTER(I$4:I1673,I$4:I1673&lt;=W1258),1),I$4:I1673))-(W1258-L"&amp;"ARGE(FILTER(I$4:I1673,I$4:I1673&lt;=W1258),1))*INDEX(F$4:F1673,MATCH(LARGE(FILTER(I$4:I1673,I$4:I1673&lt;=W1258),1),I$4:I1673))))"),"")</f>
        <v/>
      </c>
      <c r="N1258" s="60" t="str">
        <f t="shared" si="8"/>
        <v/>
      </c>
      <c r="O1258" s="61" t="str">
        <f t="shared" si="9"/>
        <v/>
      </c>
      <c r="P1258" s="56" t="str">
        <f t="shared" si="10"/>
        <v/>
      </c>
      <c r="Q1258" s="67"/>
      <c r="R1258" s="10"/>
      <c r="S1258" s="59" t="str">
        <f t="array" ref="S1258">IF(COUNTA(Q1258:Q1673)=0,"",SUM((COUNTIF(Q$4:Q1258,Upgrades!$B$3:$B$13)-COUNTIF(Q$4:Q1258,"Sell_"&amp;Upgrades!$B$3:$B$13))*Upgrades!$D$3:$D$13))</f>
        <v/>
      </c>
      <c r="T1258" s="66" t="str">
        <f>IFERROR(__xludf.DUMMYFUNCTION("IF(COUNTA(Q1258:Q1673)=0,"""",IF(REGEXMATCH(INDEX(FILTER(Q$4:Q1258,Q$4:Q1258&lt;&gt;""""),ROWS(FILTER(Q$4:Q1258,Q$4:Q1258&lt;&gt;""""))),""^Sell_""),INDEX(FILTER(T$4:T1257,Q$4:Q1257&lt;&gt;""""),ROWS(FILTER(Q$4:Q1257,Q$4:Q1257&lt;&gt;""""))),$AD$5+S1258))"),"")</f>
        <v/>
      </c>
      <c r="U1258" s="10" t="str">
        <f>IFERROR(__xludf.DUMMYFUNCTION("IF(COUNTA(Q1258:Q1673)=0,"""",IF(Q1258="""",0,IF(REGEXMATCH(Q1258,""^Sell_""),-ROUNDDOWN(ROUNDUP(INDEX(Upgrades!$C$3:$C$13,MATCH(SUBSTITUTE(Q1258,""Sell_"",""""),Upgrades!$B$3:$B$13,0))*1.15^(COUNTIF(Q$4:Q1257,SUBSTITUTE(Q1258,""Sell_"",""""))-COUNTIF(Q$4"&amp;":Q1257,""Sell_""&amp;SUBSTITUTE(Q1258,""Sell_"",""""))))/2),ROUNDUP(INDEX(Upgrades!$C$3:$C$13,MATCH(Q1258,Upgrades!$B$3:$B$13,0))*1.15^(COUNTIF(Q$4:Q1257,Q1258)-COUNTIF(Q$4:Q1257,""Sell_""&amp;Q1258))))))"),"")</f>
        <v/>
      </c>
      <c r="V1258" s="10" t="str">
        <f t="shared" si="11"/>
        <v/>
      </c>
      <c r="W1258" s="68" t="str">
        <f t="shared" si="12"/>
        <v/>
      </c>
      <c r="X1258" s="59" t="str">
        <f t="shared" si="13"/>
        <v/>
      </c>
      <c r="Y1258" s="69" t="str">
        <f t="shared" si="14"/>
        <v/>
      </c>
      <c r="Z1258" s="11"/>
    </row>
    <row r="1259">
      <c r="A1259" s="8"/>
      <c r="B1259" s="56" t="str">
        <f t="shared" si="2"/>
        <v/>
      </c>
      <c r="C1259" s="105"/>
      <c r="D1259" s="10"/>
      <c r="E1259" s="59" t="str">
        <f t="array" ref="E1259">IF(COUNTA(C1259:C1673)=0,"",SUM((COUNTIF(C$4:C1259,Upgrades!$B$3:$B$13)-COUNTIF(C$4:C1259,"Sell_"&amp;Upgrades!$B$3:$B$13))*Upgrades!$D$3:$D$13))</f>
        <v/>
      </c>
      <c r="F1259" s="66" t="str">
        <f>IFERROR(__xludf.DUMMYFUNCTION("IF(COUNTA(C1259:C1673)=0,"""",IF(REGEXMATCH(INDEX(FILTER(C$4:C1259,C$4:C1259&lt;&gt;""""),ROWS(FILTER(C$4:C1259,C$4:C1259&lt;&gt;""""))),""^Sell_""),INDEX(FILTER(F$4:F1258,C$4:C1258&lt;&gt;""""),ROWS(FILTER(C$4:C1258,C$4:C1258&lt;&gt;""""))),$AC$5+E1259))"),"")</f>
        <v/>
      </c>
      <c r="G1259" s="10" t="str">
        <f>IFERROR(__xludf.DUMMYFUNCTION("IF(COUNTA(C1259:C1673)=0,"""",IF(C1259="""",0,IF(REGEXMATCH(C1259,""^Sell_""),-ROUNDDOWN(ROUNDUP(INDEX(Upgrades!$C$3:$C$13,MATCH(SUBSTITUTE(C1259,""Sell_"",""""),Upgrades!$B$3:$B$13,0))*1.15^(COUNTIF(C$4:C1258,SUBSTITUTE(C1259,""Sell_"",""""))-COUNTIF(C$4"&amp;":C1258,""Sell_""&amp;SUBSTITUTE(C1259,""Sell_"",""""))))/2),ROUNDUP(INDEX(Upgrades!$C$3:$C$13,MATCH(C1259,Upgrades!$B$3:$B$13,0))*1.15^(COUNTIF(C$4:C1258,C1259)-COUNTIF(C$4:C1258,""Sell_""&amp;C1259))))))"),"")</f>
        <v/>
      </c>
      <c r="H1259" s="10" t="str">
        <f t="shared" si="3"/>
        <v/>
      </c>
      <c r="I1259" s="68" t="str">
        <f t="shared" si="4"/>
        <v/>
      </c>
      <c r="J1259" s="59" t="str">
        <f t="shared" si="5"/>
        <v/>
      </c>
      <c r="K1259" s="69" t="str">
        <f t="shared" si="6"/>
        <v/>
      </c>
      <c r="L1259" s="60" t="str">
        <f t="shared" si="7"/>
        <v/>
      </c>
      <c r="M1259" s="61" t="str">
        <f>IFERROR(__xludf.DUMMYFUNCTION("IFS(AND(COUNTA(C1259:C1673)=0,COUNTA(Q1259:Q1673)=0),"""",OR(AND(K1259&gt;=1000000000,OR(Y1259&gt;=1000000000,COUNTA(Q1259:Q1673)=0)),OR(Y1259&gt;=1000000000,AND(COUNTA(C1259:C1673)=0,P$3=TRUE))),
ROUNDDOWN((AB$1-AC$1)*MAX(INDEX(T$4:T1673,MATCH(LARGE(FILTER(Y$4:Y1"&amp;"673,Y$4:Y1673&lt;1000000000),1),Y$4:Y1673)),INDEX(F$4:F1673,MATCH(LARGE(FILTER(K$4:K1673,K$4:K1673&lt;1000000000),1),K$4:K1673)))),AND(K1259&lt;1000000000,COUNTA(C1259:C1673)&gt;0,P$3=FALSE),
ROUNDDOWN(INDEX(Y$4:Y1673,MATCH(LARGE(FILTER(W$4:W1673,W$4:W1673&lt;=I1259),1)"&amp;",W$4:W1673))+(I1259-LARGE(FILTER(W$4:W1673,W$4:W1673&lt;=I1259),1))*INDEX(T$4:T1673,MATCH(LARGE(FILTER(W$4:W1673,W$4:W1673&lt;=I1259),1),W$4:W1673))-K1259),1,
ROUNDDOWN(Y1259-INDEX(K$4:K1673,MATCH(LARGE(FILTER(I$4:I1673,I$4:I1673&lt;=W1259),1),I$4:I1673))-(W1259-L"&amp;"ARGE(FILTER(I$4:I1673,I$4:I1673&lt;=W1259),1))*INDEX(F$4:F1673,MATCH(LARGE(FILTER(I$4:I1673,I$4:I1673&lt;=W1259),1),I$4:I1673))))"),"")</f>
        <v/>
      </c>
      <c r="N1259" s="60" t="str">
        <f t="shared" si="8"/>
        <v/>
      </c>
      <c r="O1259" s="61" t="str">
        <f t="shared" si="9"/>
        <v/>
      </c>
      <c r="P1259" s="56" t="str">
        <f t="shared" si="10"/>
        <v/>
      </c>
      <c r="Q1259" s="67"/>
      <c r="R1259" s="10"/>
      <c r="S1259" s="59" t="str">
        <f t="array" ref="S1259">IF(COUNTA(Q1259:Q1673)=0,"",SUM((COUNTIF(Q$4:Q1259,Upgrades!$B$3:$B$13)-COUNTIF(Q$4:Q1259,"Sell_"&amp;Upgrades!$B$3:$B$13))*Upgrades!$D$3:$D$13))</f>
        <v/>
      </c>
      <c r="T1259" s="66" t="str">
        <f>IFERROR(__xludf.DUMMYFUNCTION("IF(COUNTA(Q1259:Q1673)=0,"""",IF(REGEXMATCH(INDEX(FILTER(Q$4:Q1259,Q$4:Q1259&lt;&gt;""""),ROWS(FILTER(Q$4:Q1259,Q$4:Q1259&lt;&gt;""""))),""^Sell_""),INDEX(FILTER(T$4:T1258,Q$4:Q1258&lt;&gt;""""),ROWS(FILTER(Q$4:Q1258,Q$4:Q1258&lt;&gt;""""))),$AD$5+S1259))"),"")</f>
        <v/>
      </c>
      <c r="U1259" s="10" t="str">
        <f>IFERROR(__xludf.DUMMYFUNCTION("IF(COUNTA(Q1259:Q1673)=0,"""",IF(Q1259="""",0,IF(REGEXMATCH(Q1259,""^Sell_""),-ROUNDDOWN(ROUNDUP(INDEX(Upgrades!$C$3:$C$13,MATCH(SUBSTITUTE(Q1259,""Sell_"",""""),Upgrades!$B$3:$B$13,0))*1.15^(COUNTIF(Q$4:Q1258,SUBSTITUTE(Q1259,""Sell_"",""""))-COUNTIF(Q$4"&amp;":Q1258,""Sell_""&amp;SUBSTITUTE(Q1259,""Sell_"",""""))))/2),ROUNDUP(INDEX(Upgrades!$C$3:$C$13,MATCH(Q1259,Upgrades!$B$3:$B$13,0))*1.15^(COUNTIF(Q$4:Q1258,Q1259)-COUNTIF(Q$4:Q1258,""Sell_""&amp;Q1259))))))"),"")</f>
        <v/>
      </c>
      <c r="V1259" s="10" t="str">
        <f t="shared" si="11"/>
        <v/>
      </c>
      <c r="W1259" s="68" t="str">
        <f t="shared" si="12"/>
        <v/>
      </c>
      <c r="X1259" s="59" t="str">
        <f t="shared" si="13"/>
        <v/>
      </c>
      <c r="Y1259" s="69" t="str">
        <f t="shared" si="14"/>
        <v/>
      </c>
      <c r="Z1259" s="11"/>
    </row>
    <row r="1260">
      <c r="A1260" s="8"/>
      <c r="B1260" s="56" t="str">
        <f t="shared" si="2"/>
        <v/>
      </c>
      <c r="C1260" s="105"/>
      <c r="D1260" s="10"/>
      <c r="E1260" s="59" t="str">
        <f t="array" ref="E1260">IF(COUNTA(C1260:C1673)=0,"",SUM((COUNTIF(C$4:C1260,Upgrades!$B$3:$B$13)-COUNTIF(C$4:C1260,"Sell_"&amp;Upgrades!$B$3:$B$13))*Upgrades!$D$3:$D$13))</f>
        <v/>
      </c>
      <c r="F1260" s="66" t="str">
        <f>IFERROR(__xludf.DUMMYFUNCTION("IF(COUNTA(C1260:C1673)=0,"""",IF(REGEXMATCH(INDEX(FILTER(C$4:C1260,C$4:C1260&lt;&gt;""""),ROWS(FILTER(C$4:C1260,C$4:C1260&lt;&gt;""""))),""^Sell_""),INDEX(FILTER(F$4:F1259,C$4:C1259&lt;&gt;""""),ROWS(FILTER(C$4:C1259,C$4:C1259&lt;&gt;""""))),$AC$5+E1260))"),"")</f>
        <v/>
      </c>
      <c r="G1260" s="10" t="str">
        <f>IFERROR(__xludf.DUMMYFUNCTION("IF(COUNTA(C1260:C1673)=0,"""",IF(C1260="""",0,IF(REGEXMATCH(C1260,""^Sell_""),-ROUNDDOWN(ROUNDUP(INDEX(Upgrades!$C$3:$C$13,MATCH(SUBSTITUTE(C1260,""Sell_"",""""),Upgrades!$B$3:$B$13,0))*1.15^(COUNTIF(C$4:C1259,SUBSTITUTE(C1260,""Sell_"",""""))-COUNTIF(C$4"&amp;":C1259,""Sell_""&amp;SUBSTITUTE(C1260,""Sell_"",""""))))/2),ROUNDUP(INDEX(Upgrades!$C$3:$C$13,MATCH(C1260,Upgrades!$B$3:$B$13,0))*1.15^(COUNTIF(C$4:C1259,C1260)-COUNTIF(C$4:C1259,""Sell_""&amp;C1260))))))"),"")</f>
        <v/>
      </c>
      <c r="H1260" s="10" t="str">
        <f t="shared" si="3"/>
        <v/>
      </c>
      <c r="I1260" s="68" t="str">
        <f t="shared" si="4"/>
        <v/>
      </c>
      <c r="J1260" s="59" t="str">
        <f t="shared" si="5"/>
        <v/>
      </c>
      <c r="K1260" s="69" t="str">
        <f t="shared" si="6"/>
        <v/>
      </c>
      <c r="L1260" s="60" t="str">
        <f t="shared" si="7"/>
        <v/>
      </c>
      <c r="M1260" s="61" t="str">
        <f>IFERROR(__xludf.DUMMYFUNCTION("IFS(AND(COUNTA(C1260:C1673)=0,COUNTA(Q1260:Q1673)=0),"""",OR(AND(K1260&gt;=1000000000,OR(Y1260&gt;=1000000000,COUNTA(Q1260:Q1673)=0)),OR(Y1260&gt;=1000000000,AND(COUNTA(C1260:C1673)=0,P$3=TRUE))),
ROUNDDOWN((AB$1-AC$1)*MAX(INDEX(T$4:T1673,MATCH(LARGE(FILTER(Y$4:Y1"&amp;"673,Y$4:Y1673&lt;1000000000),1),Y$4:Y1673)),INDEX(F$4:F1673,MATCH(LARGE(FILTER(K$4:K1673,K$4:K1673&lt;1000000000),1),K$4:K1673)))),AND(K1260&lt;1000000000,COUNTA(C1260:C1673)&gt;0,P$3=FALSE),
ROUNDDOWN(INDEX(Y$4:Y1673,MATCH(LARGE(FILTER(W$4:W1673,W$4:W1673&lt;=I1260),1)"&amp;",W$4:W1673))+(I1260-LARGE(FILTER(W$4:W1673,W$4:W1673&lt;=I1260),1))*INDEX(T$4:T1673,MATCH(LARGE(FILTER(W$4:W1673,W$4:W1673&lt;=I1260),1),W$4:W1673))-K1260),1,
ROUNDDOWN(Y1260-INDEX(K$4:K1673,MATCH(LARGE(FILTER(I$4:I1673,I$4:I1673&lt;=W1260),1),I$4:I1673))-(W1260-L"&amp;"ARGE(FILTER(I$4:I1673,I$4:I1673&lt;=W1260),1))*INDEX(F$4:F1673,MATCH(LARGE(FILTER(I$4:I1673,I$4:I1673&lt;=W1260),1),I$4:I1673))))"),"")</f>
        <v/>
      </c>
      <c r="N1260" s="60" t="str">
        <f t="shared" si="8"/>
        <v/>
      </c>
      <c r="O1260" s="61" t="str">
        <f t="shared" si="9"/>
        <v/>
      </c>
      <c r="P1260" s="56" t="str">
        <f t="shared" si="10"/>
        <v/>
      </c>
      <c r="Q1260" s="67"/>
      <c r="R1260" s="10"/>
      <c r="S1260" s="59" t="str">
        <f t="array" ref="S1260">IF(COUNTA(Q1260:Q1673)=0,"",SUM((COUNTIF(Q$4:Q1260,Upgrades!$B$3:$B$13)-COUNTIF(Q$4:Q1260,"Sell_"&amp;Upgrades!$B$3:$B$13))*Upgrades!$D$3:$D$13))</f>
        <v/>
      </c>
      <c r="T1260" s="66" t="str">
        <f>IFERROR(__xludf.DUMMYFUNCTION("IF(COUNTA(Q1260:Q1673)=0,"""",IF(REGEXMATCH(INDEX(FILTER(Q$4:Q1260,Q$4:Q1260&lt;&gt;""""),ROWS(FILTER(Q$4:Q1260,Q$4:Q1260&lt;&gt;""""))),""^Sell_""),INDEX(FILTER(T$4:T1259,Q$4:Q1259&lt;&gt;""""),ROWS(FILTER(Q$4:Q1259,Q$4:Q1259&lt;&gt;""""))),$AD$5+S1260))"),"")</f>
        <v/>
      </c>
      <c r="U1260" s="10" t="str">
        <f>IFERROR(__xludf.DUMMYFUNCTION("IF(COUNTA(Q1260:Q1673)=0,"""",IF(Q1260="""",0,IF(REGEXMATCH(Q1260,""^Sell_""),-ROUNDDOWN(ROUNDUP(INDEX(Upgrades!$C$3:$C$13,MATCH(SUBSTITUTE(Q1260,""Sell_"",""""),Upgrades!$B$3:$B$13,0))*1.15^(COUNTIF(Q$4:Q1259,SUBSTITUTE(Q1260,""Sell_"",""""))-COUNTIF(Q$4"&amp;":Q1259,""Sell_""&amp;SUBSTITUTE(Q1260,""Sell_"",""""))))/2),ROUNDUP(INDEX(Upgrades!$C$3:$C$13,MATCH(Q1260,Upgrades!$B$3:$B$13,0))*1.15^(COUNTIF(Q$4:Q1259,Q1260)-COUNTIF(Q$4:Q1259,""Sell_""&amp;Q1260))))))"),"")</f>
        <v/>
      </c>
      <c r="V1260" s="10" t="str">
        <f t="shared" si="11"/>
        <v/>
      </c>
      <c r="W1260" s="68" t="str">
        <f t="shared" si="12"/>
        <v/>
      </c>
      <c r="X1260" s="59" t="str">
        <f t="shared" si="13"/>
        <v/>
      </c>
      <c r="Y1260" s="69" t="str">
        <f t="shared" si="14"/>
        <v/>
      </c>
      <c r="Z1260" s="11"/>
    </row>
    <row r="1261">
      <c r="A1261" s="8"/>
      <c r="B1261" s="56" t="str">
        <f t="shared" si="2"/>
        <v/>
      </c>
      <c r="C1261" s="105"/>
      <c r="D1261" s="10"/>
      <c r="E1261" s="59" t="str">
        <f t="array" ref="E1261">IF(COUNTA(C1261:C1673)=0,"",SUM((COUNTIF(C$4:C1261,Upgrades!$B$3:$B$13)-COUNTIF(C$4:C1261,"Sell_"&amp;Upgrades!$B$3:$B$13))*Upgrades!$D$3:$D$13))</f>
        <v/>
      </c>
      <c r="F1261" s="66" t="str">
        <f>IFERROR(__xludf.DUMMYFUNCTION("IF(COUNTA(C1261:C1673)=0,"""",IF(REGEXMATCH(INDEX(FILTER(C$4:C1261,C$4:C1261&lt;&gt;""""),ROWS(FILTER(C$4:C1261,C$4:C1261&lt;&gt;""""))),""^Sell_""),INDEX(FILTER(F$4:F1260,C$4:C1260&lt;&gt;""""),ROWS(FILTER(C$4:C1260,C$4:C1260&lt;&gt;""""))),$AC$5+E1261))"),"")</f>
        <v/>
      </c>
      <c r="G1261" s="10" t="str">
        <f>IFERROR(__xludf.DUMMYFUNCTION("IF(COUNTA(C1261:C1673)=0,"""",IF(C1261="""",0,IF(REGEXMATCH(C1261,""^Sell_""),-ROUNDDOWN(ROUNDUP(INDEX(Upgrades!$C$3:$C$13,MATCH(SUBSTITUTE(C1261,""Sell_"",""""),Upgrades!$B$3:$B$13,0))*1.15^(COUNTIF(C$4:C1260,SUBSTITUTE(C1261,""Sell_"",""""))-COUNTIF(C$4"&amp;":C1260,""Sell_""&amp;SUBSTITUTE(C1261,""Sell_"",""""))))/2),ROUNDUP(INDEX(Upgrades!$C$3:$C$13,MATCH(C1261,Upgrades!$B$3:$B$13,0))*1.15^(COUNTIF(C$4:C1260,C1261)-COUNTIF(C$4:C1260,""Sell_""&amp;C1261))))))"),"")</f>
        <v/>
      </c>
      <c r="H1261" s="10" t="str">
        <f t="shared" si="3"/>
        <v/>
      </c>
      <c r="I1261" s="68" t="str">
        <f t="shared" si="4"/>
        <v/>
      </c>
      <c r="J1261" s="59" t="str">
        <f t="shared" si="5"/>
        <v/>
      </c>
      <c r="K1261" s="69" t="str">
        <f t="shared" si="6"/>
        <v/>
      </c>
      <c r="L1261" s="60" t="str">
        <f t="shared" si="7"/>
        <v/>
      </c>
      <c r="M1261" s="61" t="str">
        <f>IFERROR(__xludf.DUMMYFUNCTION("IFS(AND(COUNTA(C1261:C1673)=0,COUNTA(Q1261:Q1673)=0),"""",OR(AND(K1261&gt;=1000000000,OR(Y1261&gt;=1000000000,COUNTA(Q1261:Q1673)=0)),OR(Y1261&gt;=1000000000,AND(COUNTA(C1261:C1673)=0,P$3=TRUE))),
ROUNDDOWN((AB$1-AC$1)*MAX(INDEX(T$4:T1673,MATCH(LARGE(FILTER(Y$4:Y1"&amp;"673,Y$4:Y1673&lt;1000000000),1),Y$4:Y1673)),INDEX(F$4:F1673,MATCH(LARGE(FILTER(K$4:K1673,K$4:K1673&lt;1000000000),1),K$4:K1673)))),AND(K1261&lt;1000000000,COUNTA(C1261:C1673)&gt;0,P$3=FALSE),
ROUNDDOWN(INDEX(Y$4:Y1673,MATCH(LARGE(FILTER(W$4:W1673,W$4:W1673&lt;=I1261),1)"&amp;",W$4:W1673))+(I1261-LARGE(FILTER(W$4:W1673,W$4:W1673&lt;=I1261),1))*INDEX(T$4:T1673,MATCH(LARGE(FILTER(W$4:W1673,W$4:W1673&lt;=I1261),1),W$4:W1673))-K1261),1,
ROUNDDOWN(Y1261-INDEX(K$4:K1673,MATCH(LARGE(FILTER(I$4:I1673,I$4:I1673&lt;=W1261),1),I$4:I1673))-(W1261-L"&amp;"ARGE(FILTER(I$4:I1673,I$4:I1673&lt;=W1261),1))*INDEX(F$4:F1673,MATCH(LARGE(FILTER(I$4:I1673,I$4:I1673&lt;=W1261),1),I$4:I1673))))"),"")</f>
        <v/>
      </c>
      <c r="N1261" s="60" t="str">
        <f t="shared" si="8"/>
        <v/>
      </c>
      <c r="O1261" s="61" t="str">
        <f t="shared" si="9"/>
        <v/>
      </c>
      <c r="P1261" s="56" t="str">
        <f t="shared" si="10"/>
        <v/>
      </c>
      <c r="Q1261" s="67"/>
      <c r="R1261" s="10"/>
      <c r="S1261" s="59" t="str">
        <f t="array" ref="S1261">IF(COUNTA(Q1261:Q1673)=0,"",SUM((COUNTIF(Q$4:Q1261,Upgrades!$B$3:$B$13)-COUNTIF(Q$4:Q1261,"Sell_"&amp;Upgrades!$B$3:$B$13))*Upgrades!$D$3:$D$13))</f>
        <v/>
      </c>
      <c r="T1261" s="66" t="str">
        <f>IFERROR(__xludf.DUMMYFUNCTION("IF(COUNTA(Q1261:Q1673)=0,"""",IF(REGEXMATCH(INDEX(FILTER(Q$4:Q1261,Q$4:Q1261&lt;&gt;""""),ROWS(FILTER(Q$4:Q1261,Q$4:Q1261&lt;&gt;""""))),""^Sell_""),INDEX(FILTER(T$4:T1260,Q$4:Q1260&lt;&gt;""""),ROWS(FILTER(Q$4:Q1260,Q$4:Q1260&lt;&gt;""""))),$AD$5+S1261))"),"")</f>
        <v/>
      </c>
      <c r="U1261" s="10" t="str">
        <f>IFERROR(__xludf.DUMMYFUNCTION("IF(COUNTA(Q1261:Q1673)=0,"""",IF(Q1261="""",0,IF(REGEXMATCH(Q1261,""^Sell_""),-ROUNDDOWN(ROUNDUP(INDEX(Upgrades!$C$3:$C$13,MATCH(SUBSTITUTE(Q1261,""Sell_"",""""),Upgrades!$B$3:$B$13,0))*1.15^(COUNTIF(Q$4:Q1260,SUBSTITUTE(Q1261,""Sell_"",""""))-COUNTIF(Q$4"&amp;":Q1260,""Sell_""&amp;SUBSTITUTE(Q1261,""Sell_"",""""))))/2),ROUNDUP(INDEX(Upgrades!$C$3:$C$13,MATCH(Q1261,Upgrades!$B$3:$B$13,0))*1.15^(COUNTIF(Q$4:Q1260,Q1261)-COUNTIF(Q$4:Q1260,""Sell_""&amp;Q1261))))))"),"")</f>
        <v/>
      </c>
      <c r="V1261" s="10" t="str">
        <f t="shared" si="11"/>
        <v/>
      </c>
      <c r="W1261" s="68" t="str">
        <f t="shared" si="12"/>
        <v/>
      </c>
      <c r="X1261" s="59" t="str">
        <f t="shared" si="13"/>
        <v/>
      </c>
      <c r="Y1261" s="69" t="str">
        <f t="shared" si="14"/>
        <v/>
      </c>
      <c r="Z1261" s="11"/>
    </row>
    <row r="1262">
      <c r="A1262" s="8"/>
      <c r="B1262" s="56" t="str">
        <f t="shared" si="2"/>
        <v/>
      </c>
      <c r="C1262" s="105"/>
      <c r="D1262" s="10"/>
      <c r="E1262" s="59" t="str">
        <f t="array" ref="E1262">IF(COUNTA(C1262:C1673)=0,"",SUM((COUNTIF(C$4:C1262,Upgrades!$B$3:$B$13)-COUNTIF(C$4:C1262,"Sell_"&amp;Upgrades!$B$3:$B$13))*Upgrades!$D$3:$D$13))</f>
        <v/>
      </c>
      <c r="F1262" s="66" t="str">
        <f>IFERROR(__xludf.DUMMYFUNCTION("IF(COUNTA(C1262:C1673)=0,"""",IF(REGEXMATCH(INDEX(FILTER(C$4:C1262,C$4:C1262&lt;&gt;""""),ROWS(FILTER(C$4:C1262,C$4:C1262&lt;&gt;""""))),""^Sell_""),INDEX(FILTER(F$4:F1261,C$4:C1261&lt;&gt;""""),ROWS(FILTER(C$4:C1261,C$4:C1261&lt;&gt;""""))),$AC$5+E1262))"),"")</f>
        <v/>
      </c>
      <c r="G1262" s="10" t="str">
        <f>IFERROR(__xludf.DUMMYFUNCTION("IF(COUNTA(C1262:C1673)=0,"""",IF(C1262="""",0,IF(REGEXMATCH(C1262,""^Sell_""),-ROUNDDOWN(ROUNDUP(INDEX(Upgrades!$C$3:$C$13,MATCH(SUBSTITUTE(C1262,""Sell_"",""""),Upgrades!$B$3:$B$13,0))*1.15^(COUNTIF(C$4:C1261,SUBSTITUTE(C1262,""Sell_"",""""))-COUNTIF(C$4"&amp;":C1261,""Sell_""&amp;SUBSTITUTE(C1262,""Sell_"",""""))))/2),ROUNDUP(INDEX(Upgrades!$C$3:$C$13,MATCH(C1262,Upgrades!$B$3:$B$13,0))*1.15^(COUNTIF(C$4:C1261,C1262)-COUNTIF(C$4:C1261,""Sell_""&amp;C1262))))))"),"")</f>
        <v/>
      </c>
      <c r="H1262" s="10" t="str">
        <f t="shared" si="3"/>
        <v/>
      </c>
      <c r="I1262" s="68" t="str">
        <f t="shared" si="4"/>
        <v/>
      </c>
      <c r="J1262" s="59" t="str">
        <f t="shared" si="5"/>
        <v/>
      </c>
      <c r="K1262" s="69" t="str">
        <f t="shared" si="6"/>
        <v/>
      </c>
      <c r="L1262" s="60" t="str">
        <f t="shared" si="7"/>
        <v/>
      </c>
      <c r="M1262" s="61" t="str">
        <f>IFERROR(__xludf.DUMMYFUNCTION("IFS(AND(COUNTA(C1262:C1673)=0,COUNTA(Q1262:Q1673)=0),"""",OR(AND(K1262&gt;=1000000000,OR(Y1262&gt;=1000000000,COUNTA(Q1262:Q1673)=0)),OR(Y1262&gt;=1000000000,AND(COUNTA(C1262:C1673)=0,P$3=TRUE))),
ROUNDDOWN((AB$1-AC$1)*MAX(INDEX(T$4:T1673,MATCH(LARGE(FILTER(Y$4:Y1"&amp;"673,Y$4:Y1673&lt;1000000000),1),Y$4:Y1673)),INDEX(F$4:F1673,MATCH(LARGE(FILTER(K$4:K1673,K$4:K1673&lt;1000000000),1),K$4:K1673)))),AND(K1262&lt;1000000000,COUNTA(C1262:C1673)&gt;0,P$3=FALSE),
ROUNDDOWN(INDEX(Y$4:Y1673,MATCH(LARGE(FILTER(W$4:W1673,W$4:W1673&lt;=I1262),1)"&amp;",W$4:W1673))+(I1262-LARGE(FILTER(W$4:W1673,W$4:W1673&lt;=I1262),1))*INDEX(T$4:T1673,MATCH(LARGE(FILTER(W$4:W1673,W$4:W1673&lt;=I1262),1),W$4:W1673))-K1262),1,
ROUNDDOWN(Y1262-INDEX(K$4:K1673,MATCH(LARGE(FILTER(I$4:I1673,I$4:I1673&lt;=W1262),1),I$4:I1673))-(W1262-L"&amp;"ARGE(FILTER(I$4:I1673,I$4:I1673&lt;=W1262),1))*INDEX(F$4:F1673,MATCH(LARGE(FILTER(I$4:I1673,I$4:I1673&lt;=W1262),1),I$4:I1673))))"),"")</f>
        <v/>
      </c>
      <c r="N1262" s="60" t="str">
        <f t="shared" si="8"/>
        <v/>
      </c>
      <c r="O1262" s="61" t="str">
        <f t="shared" si="9"/>
        <v/>
      </c>
      <c r="P1262" s="56" t="str">
        <f t="shared" si="10"/>
        <v/>
      </c>
      <c r="Q1262" s="67"/>
      <c r="R1262" s="10"/>
      <c r="S1262" s="59" t="str">
        <f t="array" ref="S1262">IF(COUNTA(Q1262:Q1673)=0,"",SUM((COUNTIF(Q$4:Q1262,Upgrades!$B$3:$B$13)-COUNTIF(Q$4:Q1262,"Sell_"&amp;Upgrades!$B$3:$B$13))*Upgrades!$D$3:$D$13))</f>
        <v/>
      </c>
      <c r="T1262" s="66" t="str">
        <f>IFERROR(__xludf.DUMMYFUNCTION("IF(COUNTA(Q1262:Q1673)=0,"""",IF(REGEXMATCH(INDEX(FILTER(Q$4:Q1262,Q$4:Q1262&lt;&gt;""""),ROWS(FILTER(Q$4:Q1262,Q$4:Q1262&lt;&gt;""""))),""^Sell_""),INDEX(FILTER(T$4:T1261,Q$4:Q1261&lt;&gt;""""),ROWS(FILTER(Q$4:Q1261,Q$4:Q1261&lt;&gt;""""))),$AD$5+S1262))"),"")</f>
        <v/>
      </c>
      <c r="U1262" s="10" t="str">
        <f>IFERROR(__xludf.DUMMYFUNCTION("IF(COUNTA(Q1262:Q1673)=0,"""",IF(Q1262="""",0,IF(REGEXMATCH(Q1262,""^Sell_""),-ROUNDDOWN(ROUNDUP(INDEX(Upgrades!$C$3:$C$13,MATCH(SUBSTITUTE(Q1262,""Sell_"",""""),Upgrades!$B$3:$B$13,0))*1.15^(COUNTIF(Q$4:Q1261,SUBSTITUTE(Q1262,""Sell_"",""""))-COUNTIF(Q$4"&amp;":Q1261,""Sell_""&amp;SUBSTITUTE(Q1262,""Sell_"",""""))))/2),ROUNDUP(INDEX(Upgrades!$C$3:$C$13,MATCH(Q1262,Upgrades!$B$3:$B$13,0))*1.15^(COUNTIF(Q$4:Q1261,Q1262)-COUNTIF(Q$4:Q1261,""Sell_""&amp;Q1262))))))"),"")</f>
        <v/>
      </c>
      <c r="V1262" s="10" t="str">
        <f t="shared" si="11"/>
        <v/>
      </c>
      <c r="W1262" s="68" t="str">
        <f t="shared" si="12"/>
        <v/>
      </c>
      <c r="X1262" s="59" t="str">
        <f t="shared" si="13"/>
        <v/>
      </c>
      <c r="Y1262" s="69" t="str">
        <f t="shared" si="14"/>
        <v/>
      </c>
      <c r="Z1262" s="11"/>
    </row>
    <row r="1263">
      <c r="A1263" s="8"/>
      <c r="B1263" s="56" t="str">
        <f t="shared" si="2"/>
        <v/>
      </c>
      <c r="C1263" s="105"/>
      <c r="D1263" s="10"/>
      <c r="E1263" s="59" t="str">
        <f t="array" ref="E1263">IF(COUNTA(C1263:C1673)=0,"",SUM((COUNTIF(C$4:C1263,Upgrades!$B$3:$B$13)-COUNTIF(C$4:C1263,"Sell_"&amp;Upgrades!$B$3:$B$13))*Upgrades!$D$3:$D$13))</f>
        <v/>
      </c>
      <c r="F1263" s="66" t="str">
        <f>IFERROR(__xludf.DUMMYFUNCTION("IF(COUNTA(C1263:C1673)=0,"""",IF(REGEXMATCH(INDEX(FILTER(C$4:C1263,C$4:C1263&lt;&gt;""""),ROWS(FILTER(C$4:C1263,C$4:C1263&lt;&gt;""""))),""^Sell_""),INDEX(FILTER(F$4:F1262,C$4:C1262&lt;&gt;""""),ROWS(FILTER(C$4:C1262,C$4:C1262&lt;&gt;""""))),$AC$5+E1263))"),"")</f>
        <v/>
      </c>
      <c r="G1263" s="10" t="str">
        <f>IFERROR(__xludf.DUMMYFUNCTION("IF(COUNTA(C1263:C1673)=0,"""",IF(C1263="""",0,IF(REGEXMATCH(C1263,""^Sell_""),-ROUNDDOWN(ROUNDUP(INDEX(Upgrades!$C$3:$C$13,MATCH(SUBSTITUTE(C1263,""Sell_"",""""),Upgrades!$B$3:$B$13,0))*1.15^(COUNTIF(C$4:C1262,SUBSTITUTE(C1263,""Sell_"",""""))-COUNTIF(C$4"&amp;":C1262,""Sell_""&amp;SUBSTITUTE(C1263,""Sell_"",""""))))/2),ROUNDUP(INDEX(Upgrades!$C$3:$C$13,MATCH(C1263,Upgrades!$B$3:$B$13,0))*1.15^(COUNTIF(C$4:C1262,C1263)-COUNTIF(C$4:C1262,""Sell_""&amp;C1263))))))"),"")</f>
        <v/>
      </c>
      <c r="H1263" s="10" t="str">
        <f t="shared" si="3"/>
        <v/>
      </c>
      <c r="I1263" s="68" t="str">
        <f t="shared" si="4"/>
        <v/>
      </c>
      <c r="J1263" s="59" t="str">
        <f t="shared" si="5"/>
        <v/>
      </c>
      <c r="K1263" s="69" t="str">
        <f t="shared" si="6"/>
        <v/>
      </c>
      <c r="L1263" s="60" t="str">
        <f t="shared" si="7"/>
        <v/>
      </c>
      <c r="M1263" s="61" t="str">
        <f>IFERROR(__xludf.DUMMYFUNCTION("IFS(AND(COUNTA(C1263:C1673)=0,COUNTA(Q1263:Q1673)=0),"""",OR(AND(K1263&gt;=1000000000,OR(Y1263&gt;=1000000000,COUNTA(Q1263:Q1673)=0)),OR(Y1263&gt;=1000000000,AND(COUNTA(C1263:C1673)=0,P$3=TRUE))),
ROUNDDOWN((AB$1-AC$1)*MAX(INDEX(T$4:T1673,MATCH(LARGE(FILTER(Y$4:Y1"&amp;"673,Y$4:Y1673&lt;1000000000),1),Y$4:Y1673)),INDEX(F$4:F1673,MATCH(LARGE(FILTER(K$4:K1673,K$4:K1673&lt;1000000000),1),K$4:K1673)))),AND(K1263&lt;1000000000,COUNTA(C1263:C1673)&gt;0,P$3=FALSE),
ROUNDDOWN(INDEX(Y$4:Y1673,MATCH(LARGE(FILTER(W$4:W1673,W$4:W1673&lt;=I1263),1)"&amp;",W$4:W1673))+(I1263-LARGE(FILTER(W$4:W1673,W$4:W1673&lt;=I1263),1))*INDEX(T$4:T1673,MATCH(LARGE(FILTER(W$4:W1673,W$4:W1673&lt;=I1263),1),W$4:W1673))-K1263),1,
ROUNDDOWN(Y1263-INDEX(K$4:K1673,MATCH(LARGE(FILTER(I$4:I1673,I$4:I1673&lt;=W1263),1),I$4:I1673))-(W1263-L"&amp;"ARGE(FILTER(I$4:I1673,I$4:I1673&lt;=W1263),1))*INDEX(F$4:F1673,MATCH(LARGE(FILTER(I$4:I1673,I$4:I1673&lt;=W1263),1),I$4:I1673))))"),"")</f>
        <v/>
      </c>
      <c r="N1263" s="60" t="str">
        <f t="shared" si="8"/>
        <v/>
      </c>
      <c r="O1263" s="61" t="str">
        <f t="shared" si="9"/>
        <v/>
      </c>
      <c r="P1263" s="56" t="str">
        <f t="shared" si="10"/>
        <v/>
      </c>
      <c r="Q1263" s="67"/>
      <c r="R1263" s="10"/>
      <c r="S1263" s="59" t="str">
        <f t="array" ref="S1263">IF(COUNTA(Q1263:Q1673)=0,"",SUM((COUNTIF(Q$4:Q1263,Upgrades!$B$3:$B$13)-COUNTIF(Q$4:Q1263,"Sell_"&amp;Upgrades!$B$3:$B$13))*Upgrades!$D$3:$D$13))</f>
        <v/>
      </c>
      <c r="T1263" s="66" t="str">
        <f>IFERROR(__xludf.DUMMYFUNCTION("IF(COUNTA(Q1263:Q1673)=0,"""",IF(REGEXMATCH(INDEX(FILTER(Q$4:Q1263,Q$4:Q1263&lt;&gt;""""),ROWS(FILTER(Q$4:Q1263,Q$4:Q1263&lt;&gt;""""))),""^Sell_""),INDEX(FILTER(T$4:T1262,Q$4:Q1262&lt;&gt;""""),ROWS(FILTER(Q$4:Q1262,Q$4:Q1262&lt;&gt;""""))),$AD$5+S1263))"),"")</f>
        <v/>
      </c>
      <c r="U1263" s="10" t="str">
        <f>IFERROR(__xludf.DUMMYFUNCTION("IF(COUNTA(Q1263:Q1673)=0,"""",IF(Q1263="""",0,IF(REGEXMATCH(Q1263,""^Sell_""),-ROUNDDOWN(ROUNDUP(INDEX(Upgrades!$C$3:$C$13,MATCH(SUBSTITUTE(Q1263,""Sell_"",""""),Upgrades!$B$3:$B$13,0))*1.15^(COUNTIF(Q$4:Q1262,SUBSTITUTE(Q1263,""Sell_"",""""))-COUNTIF(Q$4"&amp;":Q1262,""Sell_""&amp;SUBSTITUTE(Q1263,""Sell_"",""""))))/2),ROUNDUP(INDEX(Upgrades!$C$3:$C$13,MATCH(Q1263,Upgrades!$B$3:$B$13,0))*1.15^(COUNTIF(Q$4:Q1262,Q1263)-COUNTIF(Q$4:Q1262,""Sell_""&amp;Q1263))))))"),"")</f>
        <v/>
      </c>
      <c r="V1263" s="10" t="str">
        <f t="shared" si="11"/>
        <v/>
      </c>
      <c r="W1263" s="68" t="str">
        <f t="shared" si="12"/>
        <v/>
      </c>
      <c r="X1263" s="59" t="str">
        <f t="shared" si="13"/>
        <v/>
      </c>
      <c r="Y1263" s="69" t="str">
        <f t="shared" si="14"/>
        <v/>
      </c>
      <c r="Z1263" s="11"/>
    </row>
    <row r="1264">
      <c r="A1264" s="8"/>
      <c r="B1264" s="56" t="str">
        <f t="shared" si="2"/>
        <v/>
      </c>
      <c r="C1264" s="105"/>
      <c r="D1264" s="10"/>
      <c r="E1264" s="59" t="str">
        <f t="array" ref="E1264">IF(COUNTA(C1264:C1673)=0,"",SUM((COUNTIF(C$4:C1264,Upgrades!$B$3:$B$13)-COUNTIF(C$4:C1264,"Sell_"&amp;Upgrades!$B$3:$B$13))*Upgrades!$D$3:$D$13))</f>
        <v/>
      </c>
      <c r="F1264" s="66" t="str">
        <f>IFERROR(__xludf.DUMMYFUNCTION("IF(COUNTA(C1264:C1673)=0,"""",IF(REGEXMATCH(INDEX(FILTER(C$4:C1264,C$4:C1264&lt;&gt;""""),ROWS(FILTER(C$4:C1264,C$4:C1264&lt;&gt;""""))),""^Sell_""),INDEX(FILTER(F$4:F1263,C$4:C1263&lt;&gt;""""),ROWS(FILTER(C$4:C1263,C$4:C1263&lt;&gt;""""))),$AC$5+E1264))"),"")</f>
        <v/>
      </c>
      <c r="G1264" s="10" t="str">
        <f>IFERROR(__xludf.DUMMYFUNCTION("IF(COUNTA(C1264:C1673)=0,"""",IF(C1264="""",0,IF(REGEXMATCH(C1264,""^Sell_""),-ROUNDDOWN(ROUNDUP(INDEX(Upgrades!$C$3:$C$13,MATCH(SUBSTITUTE(C1264,""Sell_"",""""),Upgrades!$B$3:$B$13,0))*1.15^(COUNTIF(C$4:C1263,SUBSTITUTE(C1264,""Sell_"",""""))-COUNTIF(C$4"&amp;":C1263,""Sell_""&amp;SUBSTITUTE(C1264,""Sell_"",""""))))/2),ROUNDUP(INDEX(Upgrades!$C$3:$C$13,MATCH(C1264,Upgrades!$B$3:$B$13,0))*1.15^(COUNTIF(C$4:C1263,C1264)-COUNTIF(C$4:C1263,""Sell_""&amp;C1264))))))"),"")</f>
        <v/>
      </c>
      <c r="H1264" s="10" t="str">
        <f t="shared" si="3"/>
        <v/>
      </c>
      <c r="I1264" s="68" t="str">
        <f t="shared" si="4"/>
        <v/>
      </c>
      <c r="J1264" s="59" t="str">
        <f t="shared" si="5"/>
        <v/>
      </c>
      <c r="K1264" s="69" t="str">
        <f t="shared" si="6"/>
        <v/>
      </c>
      <c r="L1264" s="60" t="str">
        <f t="shared" si="7"/>
        <v/>
      </c>
      <c r="M1264" s="61" t="str">
        <f>IFERROR(__xludf.DUMMYFUNCTION("IFS(AND(COUNTA(C1264:C1673)=0,COUNTA(Q1264:Q1673)=0),"""",OR(AND(K1264&gt;=1000000000,OR(Y1264&gt;=1000000000,COUNTA(Q1264:Q1673)=0)),OR(Y1264&gt;=1000000000,AND(COUNTA(C1264:C1673)=0,P$3=TRUE))),
ROUNDDOWN((AB$1-AC$1)*MAX(INDEX(T$4:T1673,MATCH(LARGE(FILTER(Y$4:Y1"&amp;"673,Y$4:Y1673&lt;1000000000),1),Y$4:Y1673)),INDEX(F$4:F1673,MATCH(LARGE(FILTER(K$4:K1673,K$4:K1673&lt;1000000000),1),K$4:K1673)))),AND(K1264&lt;1000000000,COUNTA(C1264:C1673)&gt;0,P$3=FALSE),
ROUNDDOWN(INDEX(Y$4:Y1673,MATCH(LARGE(FILTER(W$4:W1673,W$4:W1673&lt;=I1264),1)"&amp;",W$4:W1673))+(I1264-LARGE(FILTER(W$4:W1673,W$4:W1673&lt;=I1264),1))*INDEX(T$4:T1673,MATCH(LARGE(FILTER(W$4:W1673,W$4:W1673&lt;=I1264),1),W$4:W1673))-K1264),1,
ROUNDDOWN(Y1264-INDEX(K$4:K1673,MATCH(LARGE(FILTER(I$4:I1673,I$4:I1673&lt;=W1264),1),I$4:I1673))-(W1264-L"&amp;"ARGE(FILTER(I$4:I1673,I$4:I1673&lt;=W1264),1))*INDEX(F$4:F1673,MATCH(LARGE(FILTER(I$4:I1673,I$4:I1673&lt;=W1264),1),I$4:I1673))))"),"")</f>
        <v/>
      </c>
      <c r="N1264" s="60" t="str">
        <f t="shared" si="8"/>
        <v/>
      </c>
      <c r="O1264" s="61" t="str">
        <f t="shared" si="9"/>
        <v/>
      </c>
      <c r="P1264" s="56" t="str">
        <f t="shared" si="10"/>
        <v/>
      </c>
      <c r="Q1264" s="67"/>
      <c r="R1264" s="10"/>
      <c r="S1264" s="59" t="str">
        <f t="array" ref="S1264">IF(COUNTA(Q1264:Q1673)=0,"",SUM((COUNTIF(Q$4:Q1264,Upgrades!$B$3:$B$13)-COUNTIF(Q$4:Q1264,"Sell_"&amp;Upgrades!$B$3:$B$13))*Upgrades!$D$3:$D$13))</f>
        <v/>
      </c>
      <c r="T1264" s="66" t="str">
        <f>IFERROR(__xludf.DUMMYFUNCTION("IF(COUNTA(Q1264:Q1673)=0,"""",IF(REGEXMATCH(INDEX(FILTER(Q$4:Q1264,Q$4:Q1264&lt;&gt;""""),ROWS(FILTER(Q$4:Q1264,Q$4:Q1264&lt;&gt;""""))),""^Sell_""),INDEX(FILTER(T$4:T1263,Q$4:Q1263&lt;&gt;""""),ROWS(FILTER(Q$4:Q1263,Q$4:Q1263&lt;&gt;""""))),$AD$5+S1264))"),"")</f>
        <v/>
      </c>
      <c r="U1264" s="10" t="str">
        <f>IFERROR(__xludf.DUMMYFUNCTION("IF(COUNTA(Q1264:Q1673)=0,"""",IF(Q1264="""",0,IF(REGEXMATCH(Q1264,""^Sell_""),-ROUNDDOWN(ROUNDUP(INDEX(Upgrades!$C$3:$C$13,MATCH(SUBSTITUTE(Q1264,""Sell_"",""""),Upgrades!$B$3:$B$13,0))*1.15^(COUNTIF(Q$4:Q1263,SUBSTITUTE(Q1264,""Sell_"",""""))-COUNTIF(Q$4"&amp;":Q1263,""Sell_""&amp;SUBSTITUTE(Q1264,""Sell_"",""""))))/2),ROUNDUP(INDEX(Upgrades!$C$3:$C$13,MATCH(Q1264,Upgrades!$B$3:$B$13,0))*1.15^(COUNTIF(Q$4:Q1263,Q1264)-COUNTIF(Q$4:Q1263,""Sell_""&amp;Q1264))))))"),"")</f>
        <v/>
      </c>
      <c r="V1264" s="10" t="str">
        <f t="shared" si="11"/>
        <v/>
      </c>
      <c r="W1264" s="68" t="str">
        <f t="shared" si="12"/>
        <v/>
      </c>
      <c r="X1264" s="59" t="str">
        <f t="shared" si="13"/>
        <v/>
      </c>
      <c r="Y1264" s="69" t="str">
        <f t="shared" si="14"/>
        <v/>
      </c>
      <c r="Z1264" s="11"/>
    </row>
    <row r="1265">
      <c r="A1265" s="8"/>
      <c r="B1265" s="56" t="str">
        <f t="shared" si="2"/>
        <v/>
      </c>
      <c r="C1265" s="105"/>
      <c r="D1265" s="10"/>
      <c r="E1265" s="59" t="str">
        <f t="array" ref="E1265">IF(COUNTA(C1265:C1673)=0,"",SUM((COUNTIF(C$4:C1265,Upgrades!$B$3:$B$13)-COUNTIF(C$4:C1265,"Sell_"&amp;Upgrades!$B$3:$B$13))*Upgrades!$D$3:$D$13))</f>
        <v/>
      </c>
      <c r="F1265" s="66" t="str">
        <f>IFERROR(__xludf.DUMMYFUNCTION("IF(COUNTA(C1265:C1673)=0,"""",IF(REGEXMATCH(INDEX(FILTER(C$4:C1265,C$4:C1265&lt;&gt;""""),ROWS(FILTER(C$4:C1265,C$4:C1265&lt;&gt;""""))),""^Sell_""),INDEX(FILTER(F$4:F1264,C$4:C1264&lt;&gt;""""),ROWS(FILTER(C$4:C1264,C$4:C1264&lt;&gt;""""))),$AC$5+E1265))"),"")</f>
        <v/>
      </c>
      <c r="G1265" s="10" t="str">
        <f>IFERROR(__xludf.DUMMYFUNCTION("IF(COUNTA(C1265:C1673)=0,"""",IF(C1265="""",0,IF(REGEXMATCH(C1265,""^Sell_""),-ROUNDDOWN(ROUNDUP(INDEX(Upgrades!$C$3:$C$13,MATCH(SUBSTITUTE(C1265,""Sell_"",""""),Upgrades!$B$3:$B$13,0))*1.15^(COUNTIF(C$4:C1264,SUBSTITUTE(C1265,""Sell_"",""""))-COUNTIF(C$4"&amp;":C1264,""Sell_""&amp;SUBSTITUTE(C1265,""Sell_"",""""))))/2),ROUNDUP(INDEX(Upgrades!$C$3:$C$13,MATCH(C1265,Upgrades!$B$3:$B$13,0))*1.15^(COUNTIF(C$4:C1264,C1265)-COUNTIF(C$4:C1264,""Sell_""&amp;C1265))))))"),"")</f>
        <v/>
      </c>
      <c r="H1265" s="10" t="str">
        <f t="shared" si="3"/>
        <v/>
      </c>
      <c r="I1265" s="68" t="str">
        <f t="shared" si="4"/>
        <v/>
      </c>
      <c r="J1265" s="59" t="str">
        <f t="shared" si="5"/>
        <v/>
      </c>
      <c r="K1265" s="69" t="str">
        <f t="shared" si="6"/>
        <v/>
      </c>
      <c r="L1265" s="60" t="str">
        <f t="shared" si="7"/>
        <v/>
      </c>
      <c r="M1265" s="61" t="str">
        <f>IFERROR(__xludf.DUMMYFUNCTION("IFS(AND(COUNTA(C1265:C1673)=0,COUNTA(Q1265:Q1673)=0),"""",OR(AND(K1265&gt;=1000000000,OR(Y1265&gt;=1000000000,COUNTA(Q1265:Q1673)=0)),OR(Y1265&gt;=1000000000,AND(COUNTA(C1265:C1673)=0,P$3=TRUE))),
ROUNDDOWN((AB$1-AC$1)*MAX(INDEX(T$4:T1673,MATCH(LARGE(FILTER(Y$4:Y1"&amp;"673,Y$4:Y1673&lt;1000000000),1),Y$4:Y1673)),INDEX(F$4:F1673,MATCH(LARGE(FILTER(K$4:K1673,K$4:K1673&lt;1000000000),1),K$4:K1673)))),AND(K1265&lt;1000000000,COUNTA(C1265:C1673)&gt;0,P$3=FALSE),
ROUNDDOWN(INDEX(Y$4:Y1673,MATCH(LARGE(FILTER(W$4:W1673,W$4:W1673&lt;=I1265),1)"&amp;",W$4:W1673))+(I1265-LARGE(FILTER(W$4:W1673,W$4:W1673&lt;=I1265),1))*INDEX(T$4:T1673,MATCH(LARGE(FILTER(W$4:W1673,W$4:W1673&lt;=I1265),1),W$4:W1673))-K1265),1,
ROUNDDOWN(Y1265-INDEX(K$4:K1673,MATCH(LARGE(FILTER(I$4:I1673,I$4:I1673&lt;=W1265),1),I$4:I1673))-(W1265-L"&amp;"ARGE(FILTER(I$4:I1673,I$4:I1673&lt;=W1265),1))*INDEX(F$4:F1673,MATCH(LARGE(FILTER(I$4:I1673,I$4:I1673&lt;=W1265),1),I$4:I1673))))"),"")</f>
        <v/>
      </c>
      <c r="N1265" s="60" t="str">
        <f t="shared" si="8"/>
        <v/>
      </c>
      <c r="O1265" s="61" t="str">
        <f t="shared" si="9"/>
        <v/>
      </c>
      <c r="P1265" s="56" t="str">
        <f t="shared" si="10"/>
        <v/>
      </c>
      <c r="Q1265" s="67"/>
      <c r="R1265" s="10"/>
      <c r="S1265" s="59" t="str">
        <f t="array" ref="S1265">IF(COUNTA(Q1265:Q1673)=0,"",SUM((COUNTIF(Q$4:Q1265,Upgrades!$B$3:$B$13)-COUNTIF(Q$4:Q1265,"Sell_"&amp;Upgrades!$B$3:$B$13))*Upgrades!$D$3:$D$13))</f>
        <v/>
      </c>
      <c r="T1265" s="66" t="str">
        <f>IFERROR(__xludf.DUMMYFUNCTION("IF(COUNTA(Q1265:Q1673)=0,"""",IF(REGEXMATCH(INDEX(FILTER(Q$4:Q1265,Q$4:Q1265&lt;&gt;""""),ROWS(FILTER(Q$4:Q1265,Q$4:Q1265&lt;&gt;""""))),""^Sell_""),INDEX(FILTER(T$4:T1264,Q$4:Q1264&lt;&gt;""""),ROWS(FILTER(Q$4:Q1264,Q$4:Q1264&lt;&gt;""""))),$AD$5+S1265))"),"")</f>
        <v/>
      </c>
      <c r="U1265" s="10" t="str">
        <f>IFERROR(__xludf.DUMMYFUNCTION("IF(COUNTA(Q1265:Q1673)=0,"""",IF(Q1265="""",0,IF(REGEXMATCH(Q1265,""^Sell_""),-ROUNDDOWN(ROUNDUP(INDEX(Upgrades!$C$3:$C$13,MATCH(SUBSTITUTE(Q1265,""Sell_"",""""),Upgrades!$B$3:$B$13,0))*1.15^(COUNTIF(Q$4:Q1264,SUBSTITUTE(Q1265,""Sell_"",""""))-COUNTIF(Q$4"&amp;":Q1264,""Sell_""&amp;SUBSTITUTE(Q1265,""Sell_"",""""))))/2),ROUNDUP(INDEX(Upgrades!$C$3:$C$13,MATCH(Q1265,Upgrades!$B$3:$B$13,0))*1.15^(COUNTIF(Q$4:Q1264,Q1265)-COUNTIF(Q$4:Q1264,""Sell_""&amp;Q1265))))))"),"")</f>
        <v/>
      </c>
      <c r="V1265" s="10" t="str">
        <f t="shared" si="11"/>
        <v/>
      </c>
      <c r="W1265" s="68" t="str">
        <f t="shared" si="12"/>
        <v/>
      </c>
      <c r="X1265" s="59" t="str">
        <f t="shared" si="13"/>
        <v/>
      </c>
      <c r="Y1265" s="69" t="str">
        <f t="shared" si="14"/>
        <v/>
      </c>
      <c r="Z1265" s="11"/>
    </row>
    <row r="1266">
      <c r="A1266" s="8"/>
      <c r="B1266" s="56" t="str">
        <f t="shared" si="2"/>
        <v/>
      </c>
      <c r="C1266" s="105"/>
      <c r="D1266" s="10"/>
      <c r="E1266" s="59" t="str">
        <f t="array" ref="E1266">IF(COUNTA(C1266:C1673)=0,"",SUM((COUNTIF(C$4:C1266,Upgrades!$B$3:$B$13)-COUNTIF(C$4:C1266,"Sell_"&amp;Upgrades!$B$3:$B$13))*Upgrades!$D$3:$D$13))</f>
        <v/>
      </c>
      <c r="F1266" s="66" t="str">
        <f>IFERROR(__xludf.DUMMYFUNCTION("IF(COUNTA(C1266:C1673)=0,"""",IF(REGEXMATCH(INDEX(FILTER(C$4:C1266,C$4:C1266&lt;&gt;""""),ROWS(FILTER(C$4:C1266,C$4:C1266&lt;&gt;""""))),""^Sell_""),INDEX(FILTER(F$4:F1265,C$4:C1265&lt;&gt;""""),ROWS(FILTER(C$4:C1265,C$4:C1265&lt;&gt;""""))),$AC$5+E1266))"),"")</f>
        <v/>
      </c>
      <c r="G1266" s="10" t="str">
        <f>IFERROR(__xludf.DUMMYFUNCTION("IF(COUNTA(C1266:C1673)=0,"""",IF(C1266="""",0,IF(REGEXMATCH(C1266,""^Sell_""),-ROUNDDOWN(ROUNDUP(INDEX(Upgrades!$C$3:$C$13,MATCH(SUBSTITUTE(C1266,""Sell_"",""""),Upgrades!$B$3:$B$13,0))*1.15^(COUNTIF(C$4:C1265,SUBSTITUTE(C1266,""Sell_"",""""))-COUNTIF(C$4"&amp;":C1265,""Sell_""&amp;SUBSTITUTE(C1266,""Sell_"",""""))))/2),ROUNDUP(INDEX(Upgrades!$C$3:$C$13,MATCH(C1266,Upgrades!$B$3:$B$13,0))*1.15^(COUNTIF(C$4:C1265,C1266)-COUNTIF(C$4:C1265,""Sell_""&amp;C1266))))))"),"")</f>
        <v/>
      </c>
      <c r="H1266" s="10" t="str">
        <f t="shared" si="3"/>
        <v/>
      </c>
      <c r="I1266" s="68" t="str">
        <f t="shared" si="4"/>
        <v/>
      </c>
      <c r="J1266" s="59" t="str">
        <f t="shared" si="5"/>
        <v/>
      </c>
      <c r="K1266" s="69" t="str">
        <f t="shared" si="6"/>
        <v/>
      </c>
      <c r="L1266" s="60" t="str">
        <f t="shared" si="7"/>
        <v/>
      </c>
      <c r="M1266" s="61" t="str">
        <f>IFERROR(__xludf.DUMMYFUNCTION("IFS(AND(COUNTA(C1266:C1673)=0,COUNTA(Q1266:Q1673)=0),"""",OR(AND(K1266&gt;=1000000000,OR(Y1266&gt;=1000000000,COUNTA(Q1266:Q1673)=0)),OR(Y1266&gt;=1000000000,AND(COUNTA(C1266:C1673)=0,P$3=TRUE))),
ROUNDDOWN((AB$1-AC$1)*MAX(INDEX(T$4:T1673,MATCH(LARGE(FILTER(Y$4:Y1"&amp;"673,Y$4:Y1673&lt;1000000000),1),Y$4:Y1673)),INDEX(F$4:F1673,MATCH(LARGE(FILTER(K$4:K1673,K$4:K1673&lt;1000000000),1),K$4:K1673)))),AND(K1266&lt;1000000000,COUNTA(C1266:C1673)&gt;0,P$3=FALSE),
ROUNDDOWN(INDEX(Y$4:Y1673,MATCH(LARGE(FILTER(W$4:W1673,W$4:W1673&lt;=I1266),1)"&amp;",W$4:W1673))+(I1266-LARGE(FILTER(W$4:W1673,W$4:W1673&lt;=I1266),1))*INDEX(T$4:T1673,MATCH(LARGE(FILTER(W$4:W1673,W$4:W1673&lt;=I1266),1),W$4:W1673))-K1266),1,
ROUNDDOWN(Y1266-INDEX(K$4:K1673,MATCH(LARGE(FILTER(I$4:I1673,I$4:I1673&lt;=W1266),1),I$4:I1673))-(W1266-L"&amp;"ARGE(FILTER(I$4:I1673,I$4:I1673&lt;=W1266),1))*INDEX(F$4:F1673,MATCH(LARGE(FILTER(I$4:I1673,I$4:I1673&lt;=W1266),1),I$4:I1673))))"),"")</f>
        <v/>
      </c>
      <c r="N1266" s="60" t="str">
        <f t="shared" si="8"/>
        <v/>
      </c>
      <c r="O1266" s="61" t="str">
        <f t="shared" si="9"/>
        <v/>
      </c>
      <c r="P1266" s="56" t="str">
        <f t="shared" si="10"/>
        <v/>
      </c>
      <c r="Q1266" s="67"/>
      <c r="R1266" s="10"/>
      <c r="S1266" s="59" t="str">
        <f t="array" ref="S1266">IF(COUNTA(Q1266:Q1673)=0,"",SUM((COUNTIF(Q$4:Q1266,Upgrades!$B$3:$B$13)-COUNTIF(Q$4:Q1266,"Sell_"&amp;Upgrades!$B$3:$B$13))*Upgrades!$D$3:$D$13))</f>
        <v/>
      </c>
      <c r="T1266" s="66" t="str">
        <f>IFERROR(__xludf.DUMMYFUNCTION("IF(COUNTA(Q1266:Q1673)=0,"""",IF(REGEXMATCH(INDEX(FILTER(Q$4:Q1266,Q$4:Q1266&lt;&gt;""""),ROWS(FILTER(Q$4:Q1266,Q$4:Q1266&lt;&gt;""""))),""^Sell_""),INDEX(FILTER(T$4:T1265,Q$4:Q1265&lt;&gt;""""),ROWS(FILTER(Q$4:Q1265,Q$4:Q1265&lt;&gt;""""))),$AD$5+S1266))"),"")</f>
        <v/>
      </c>
      <c r="U1266" s="10" t="str">
        <f>IFERROR(__xludf.DUMMYFUNCTION("IF(COUNTA(Q1266:Q1673)=0,"""",IF(Q1266="""",0,IF(REGEXMATCH(Q1266,""^Sell_""),-ROUNDDOWN(ROUNDUP(INDEX(Upgrades!$C$3:$C$13,MATCH(SUBSTITUTE(Q1266,""Sell_"",""""),Upgrades!$B$3:$B$13,0))*1.15^(COUNTIF(Q$4:Q1265,SUBSTITUTE(Q1266,""Sell_"",""""))-COUNTIF(Q$4"&amp;":Q1265,""Sell_""&amp;SUBSTITUTE(Q1266,""Sell_"",""""))))/2),ROUNDUP(INDEX(Upgrades!$C$3:$C$13,MATCH(Q1266,Upgrades!$B$3:$B$13,0))*1.15^(COUNTIF(Q$4:Q1265,Q1266)-COUNTIF(Q$4:Q1265,""Sell_""&amp;Q1266))))))"),"")</f>
        <v/>
      </c>
      <c r="V1266" s="10" t="str">
        <f t="shared" si="11"/>
        <v/>
      </c>
      <c r="W1266" s="68" t="str">
        <f t="shared" si="12"/>
        <v/>
      </c>
      <c r="X1266" s="59" t="str">
        <f t="shared" si="13"/>
        <v/>
      </c>
      <c r="Y1266" s="69" t="str">
        <f t="shared" si="14"/>
        <v/>
      </c>
      <c r="Z1266" s="11"/>
    </row>
    <row r="1267">
      <c r="A1267" s="8"/>
      <c r="B1267" s="56" t="str">
        <f t="shared" si="2"/>
        <v/>
      </c>
      <c r="C1267" s="105"/>
      <c r="D1267" s="10"/>
      <c r="E1267" s="59" t="str">
        <f t="array" ref="E1267">IF(COUNTA(C1267:C1673)=0,"",SUM((COUNTIF(C$4:C1267,Upgrades!$B$3:$B$13)-COUNTIF(C$4:C1267,"Sell_"&amp;Upgrades!$B$3:$B$13))*Upgrades!$D$3:$D$13))</f>
        <v/>
      </c>
      <c r="F1267" s="66" t="str">
        <f>IFERROR(__xludf.DUMMYFUNCTION("IF(COUNTA(C1267:C1673)=0,"""",IF(REGEXMATCH(INDEX(FILTER(C$4:C1267,C$4:C1267&lt;&gt;""""),ROWS(FILTER(C$4:C1267,C$4:C1267&lt;&gt;""""))),""^Sell_""),INDEX(FILTER(F$4:F1266,C$4:C1266&lt;&gt;""""),ROWS(FILTER(C$4:C1266,C$4:C1266&lt;&gt;""""))),$AC$5+E1267))"),"")</f>
        <v/>
      </c>
      <c r="G1267" s="10" t="str">
        <f>IFERROR(__xludf.DUMMYFUNCTION("IF(COUNTA(C1267:C1673)=0,"""",IF(C1267="""",0,IF(REGEXMATCH(C1267,""^Sell_""),-ROUNDDOWN(ROUNDUP(INDEX(Upgrades!$C$3:$C$13,MATCH(SUBSTITUTE(C1267,""Sell_"",""""),Upgrades!$B$3:$B$13,0))*1.15^(COUNTIF(C$4:C1266,SUBSTITUTE(C1267,""Sell_"",""""))-COUNTIF(C$4"&amp;":C1266,""Sell_""&amp;SUBSTITUTE(C1267,""Sell_"",""""))))/2),ROUNDUP(INDEX(Upgrades!$C$3:$C$13,MATCH(C1267,Upgrades!$B$3:$B$13,0))*1.15^(COUNTIF(C$4:C1266,C1267)-COUNTIF(C$4:C1266,""Sell_""&amp;C1267))))))"),"")</f>
        <v/>
      </c>
      <c r="H1267" s="10" t="str">
        <f t="shared" si="3"/>
        <v/>
      </c>
      <c r="I1267" s="68" t="str">
        <f t="shared" si="4"/>
        <v/>
      </c>
      <c r="J1267" s="59" t="str">
        <f t="shared" si="5"/>
        <v/>
      </c>
      <c r="K1267" s="69" t="str">
        <f t="shared" si="6"/>
        <v/>
      </c>
      <c r="L1267" s="60" t="str">
        <f t="shared" si="7"/>
        <v/>
      </c>
      <c r="M1267" s="61" t="str">
        <f>IFERROR(__xludf.DUMMYFUNCTION("IFS(AND(COUNTA(C1267:C1673)=0,COUNTA(Q1267:Q1673)=0),"""",OR(AND(K1267&gt;=1000000000,OR(Y1267&gt;=1000000000,COUNTA(Q1267:Q1673)=0)),OR(Y1267&gt;=1000000000,AND(COUNTA(C1267:C1673)=0,P$3=TRUE))),
ROUNDDOWN((AB$1-AC$1)*MAX(INDEX(T$4:T1673,MATCH(LARGE(FILTER(Y$4:Y1"&amp;"673,Y$4:Y1673&lt;1000000000),1),Y$4:Y1673)),INDEX(F$4:F1673,MATCH(LARGE(FILTER(K$4:K1673,K$4:K1673&lt;1000000000),1),K$4:K1673)))),AND(K1267&lt;1000000000,COUNTA(C1267:C1673)&gt;0,P$3=FALSE),
ROUNDDOWN(INDEX(Y$4:Y1673,MATCH(LARGE(FILTER(W$4:W1673,W$4:W1673&lt;=I1267),1)"&amp;",W$4:W1673))+(I1267-LARGE(FILTER(W$4:W1673,W$4:W1673&lt;=I1267),1))*INDEX(T$4:T1673,MATCH(LARGE(FILTER(W$4:W1673,W$4:W1673&lt;=I1267),1),W$4:W1673))-K1267),1,
ROUNDDOWN(Y1267-INDEX(K$4:K1673,MATCH(LARGE(FILTER(I$4:I1673,I$4:I1673&lt;=W1267),1),I$4:I1673))-(W1267-L"&amp;"ARGE(FILTER(I$4:I1673,I$4:I1673&lt;=W1267),1))*INDEX(F$4:F1673,MATCH(LARGE(FILTER(I$4:I1673,I$4:I1673&lt;=W1267),1),I$4:I1673))))"),"")</f>
        <v/>
      </c>
      <c r="N1267" s="60" t="str">
        <f t="shared" si="8"/>
        <v/>
      </c>
      <c r="O1267" s="61" t="str">
        <f t="shared" si="9"/>
        <v/>
      </c>
      <c r="P1267" s="56" t="str">
        <f t="shared" si="10"/>
        <v/>
      </c>
      <c r="Q1267" s="67"/>
      <c r="R1267" s="10"/>
      <c r="S1267" s="59" t="str">
        <f t="array" ref="S1267">IF(COUNTA(Q1267:Q1673)=0,"",SUM((COUNTIF(Q$4:Q1267,Upgrades!$B$3:$B$13)-COUNTIF(Q$4:Q1267,"Sell_"&amp;Upgrades!$B$3:$B$13))*Upgrades!$D$3:$D$13))</f>
        <v/>
      </c>
      <c r="T1267" s="66" t="str">
        <f>IFERROR(__xludf.DUMMYFUNCTION("IF(COUNTA(Q1267:Q1673)=0,"""",IF(REGEXMATCH(INDEX(FILTER(Q$4:Q1267,Q$4:Q1267&lt;&gt;""""),ROWS(FILTER(Q$4:Q1267,Q$4:Q1267&lt;&gt;""""))),""^Sell_""),INDEX(FILTER(T$4:T1266,Q$4:Q1266&lt;&gt;""""),ROWS(FILTER(Q$4:Q1266,Q$4:Q1266&lt;&gt;""""))),$AD$5+S1267))"),"")</f>
        <v/>
      </c>
      <c r="U1267" s="10" t="str">
        <f>IFERROR(__xludf.DUMMYFUNCTION("IF(COUNTA(Q1267:Q1673)=0,"""",IF(Q1267="""",0,IF(REGEXMATCH(Q1267,""^Sell_""),-ROUNDDOWN(ROUNDUP(INDEX(Upgrades!$C$3:$C$13,MATCH(SUBSTITUTE(Q1267,""Sell_"",""""),Upgrades!$B$3:$B$13,0))*1.15^(COUNTIF(Q$4:Q1266,SUBSTITUTE(Q1267,""Sell_"",""""))-COUNTIF(Q$4"&amp;":Q1266,""Sell_""&amp;SUBSTITUTE(Q1267,""Sell_"",""""))))/2),ROUNDUP(INDEX(Upgrades!$C$3:$C$13,MATCH(Q1267,Upgrades!$B$3:$B$13,0))*1.15^(COUNTIF(Q$4:Q1266,Q1267)-COUNTIF(Q$4:Q1266,""Sell_""&amp;Q1267))))))"),"")</f>
        <v/>
      </c>
      <c r="V1267" s="10" t="str">
        <f t="shared" si="11"/>
        <v/>
      </c>
      <c r="W1267" s="68" t="str">
        <f t="shared" si="12"/>
        <v/>
      </c>
      <c r="X1267" s="59" t="str">
        <f t="shared" si="13"/>
        <v/>
      </c>
      <c r="Y1267" s="69" t="str">
        <f t="shared" si="14"/>
        <v/>
      </c>
      <c r="Z1267" s="11"/>
    </row>
    <row r="1268">
      <c r="A1268" s="8"/>
      <c r="B1268" s="56" t="str">
        <f t="shared" si="2"/>
        <v/>
      </c>
      <c r="C1268" s="105"/>
      <c r="D1268" s="10"/>
      <c r="E1268" s="59" t="str">
        <f t="array" ref="E1268">IF(COUNTA(C1268:C1673)=0,"",SUM((COUNTIF(C$4:C1268,Upgrades!$B$3:$B$13)-COUNTIF(C$4:C1268,"Sell_"&amp;Upgrades!$B$3:$B$13))*Upgrades!$D$3:$D$13))</f>
        <v/>
      </c>
      <c r="F1268" s="66" t="str">
        <f>IFERROR(__xludf.DUMMYFUNCTION("IF(COUNTA(C1268:C1673)=0,"""",IF(REGEXMATCH(INDEX(FILTER(C$4:C1268,C$4:C1268&lt;&gt;""""),ROWS(FILTER(C$4:C1268,C$4:C1268&lt;&gt;""""))),""^Sell_""),INDEX(FILTER(F$4:F1267,C$4:C1267&lt;&gt;""""),ROWS(FILTER(C$4:C1267,C$4:C1267&lt;&gt;""""))),$AC$5+E1268))"),"")</f>
        <v/>
      </c>
      <c r="G1268" s="10" t="str">
        <f>IFERROR(__xludf.DUMMYFUNCTION("IF(COUNTA(C1268:C1673)=0,"""",IF(C1268="""",0,IF(REGEXMATCH(C1268,""^Sell_""),-ROUNDDOWN(ROUNDUP(INDEX(Upgrades!$C$3:$C$13,MATCH(SUBSTITUTE(C1268,""Sell_"",""""),Upgrades!$B$3:$B$13,0))*1.15^(COUNTIF(C$4:C1267,SUBSTITUTE(C1268,""Sell_"",""""))-COUNTIF(C$4"&amp;":C1267,""Sell_""&amp;SUBSTITUTE(C1268,""Sell_"",""""))))/2),ROUNDUP(INDEX(Upgrades!$C$3:$C$13,MATCH(C1268,Upgrades!$B$3:$B$13,0))*1.15^(COUNTIF(C$4:C1267,C1268)-COUNTIF(C$4:C1267,""Sell_""&amp;C1268))))))"),"")</f>
        <v/>
      </c>
      <c r="H1268" s="10" t="str">
        <f t="shared" si="3"/>
        <v/>
      </c>
      <c r="I1268" s="68" t="str">
        <f t="shared" si="4"/>
        <v/>
      </c>
      <c r="J1268" s="59" t="str">
        <f t="shared" si="5"/>
        <v/>
      </c>
      <c r="K1268" s="69" t="str">
        <f t="shared" si="6"/>
        <v/>
      </c>
      <c r="L1268" s="60" t="str">
        <f t="shared" si="7"/>
        <v/>
      </c>
      <c r="M1268" s="61" t="str">
        <f>IFERROR(__xludf.DUMMYFUNCTION("IFS(AND(COUNTA(C1268:C1673)=0,COUNTA(Q1268:Q1673)=0),"""",OR(AND(K1268&gt;=1000000000,OR(Y1268&gt;=1000000000,COUNTA(Q1268:Q1673)=0)),OR(Y1268&gt;=1000000000,AND(COUNTA(C1268:C1673)=0,P$3=TRUE))),
ROUNDDOWN((AB$1-AC$1)*MAX(INDEX(T$4:T1673,MATCH(LARGE(FILTER(Y$4:Y1"&amp;"673,Y$4:Y1673&lt;1000000000),1),Y$4:Y1673)),INDEX(F$4:F1673,MATCH(LARGE(FILTER(K$4:K1673,K$4:K1673&lt;1000000000),1),K$4:K1673)))),AND(K1268&lt;1000000000,COUNTA(C1268:C1673)&gt;0,P$3=FALSE),
ROUNDDOWN(INDEX(Y$4:Y1673,MATCH(LARGE(FILTER(W$4:W1673,W$4:W1673&lt;=I1268),1)"&amp;",W$4:W1673))+(I1268-LARGE(FILTER(W$4:W1673,W$4:W1673&lt;=I1268),1))*INDEX(T$4:T1673,MATCH(LARGE(FILTER(W$4:W1673,W$4:W1673&lt;=I1268),1),W$4:W1673))-K1268),1,
ROUNDDOWN(Y1268-INDEX(K$4:K1673,MATCH(LARGE(FILTER(I$4:I1673,I$4:I1673&lt;=W1268),1),I$4:I1673))-(W1268-L"&amp;"ARGE(FILTER(I$4:I1673,I$4:I1673&lt;=W1268),1))*INDEX(F$4:F1673,MATCH(LARGE(FILTER(I$4:I1673,I$4:I1673&lt;=W1268),1),I$4:I1673))))"),"")</f>
        <v/>
      </c>
      <c r="N1268" s="60" t="str">
        <f t="shared" si="8"/>
        <v/>
      </c>
      <c r="O1268" s="61" t="str">
        <f t="shared" si="9"/>
        <v/>
      </c>
      <c r="P1268" s="56" t="str">
        <f t="shared" si="10"/>
        <v/>
      </c>
      <c r="Q1268" s="67"/>
      <c r="R1268" s="10"/>
      <c r="S1268" s="59" t="str">
        <f t="array" ref="S1268">IF(COUNTA(Q1268:Q1673)=0,"",SUM((COUNTIF(Q$4:Q1268,Upgrades!$B$3:$B$13)-COUNTIF(Q$4:Q1268,"Sell_"&amp;Upgrades!$B$3:$B$13))*Upgrades!$D$3:$D$13))</f>
        <v/>
      </c>
      <c r="T1268" s="66" t="str">
        <f>IFERROR(__xludf.DUMMYFUNCTION("IF(COUNTA(Q1268:Q1673)=0,"""",IF(REGEXMATCH(INDEX(FILTER(Q$4:Q1268,Q$4:Q1268&lt;&gt;""""),ROWS(FILTER(Q$4:Q1268,Q$4:Q1268&lt;&gt;""""))),""^Sell_""),INDEX(FILTER(T$4:T1267,Q$4:Q1267&lt;&gt;""""),ROWS(FILTER(Q$4:Q1267,Q$4:Q1267&lt;&gt;""""))),$AD$5+S1268))"),"")</f>
        <v/>
      </c>
      <c r="U1268" s="10" t="str">
        <f>IFERROR(__xludf.DUMMYFUNCTION("IF(COUNTA(Q1268:Q1673)=0,"""",IF(Q1268="""",0,IF(REGEXMATCH(Q1268,""^Sell_""),-ROUNDDOWN(ROUNDUP(INDEX(Upgrades!$C$3:$C$13,MATCH(SUBSTITUTE(Q1268,""Sell_"",""""),Upgrades!$B$3:$B$13,0))*1.15^(COUNTIF(Q$4:Q1267,SUBSTITUTE(Q1268,""Sell_"",""""))-COUNTIF(Q$4"&amp;":Q1267,""Sell_""&amp;SUBSTITUTE(Q1268,""Sell_"",""""))))/2),ROUNDUP(INDEX(Upgrades!$C$3:$C$13,MATCH(Q1268,Upgrades!$B$3:$B$13,0))*1.15^(COUNTIF(Q$4:Q1267,Q1268)-COUNTIF(Q$4:Q1267,""Sell_""&amp;Q1268))))))"),"")</f>
        <v/>
      </c>
      <c r="V1268" s="10" t="str">
        <f t="shared" si="11"/>
        <v/>
      </c>
      <c r="W1268" s="68" t="str">
        <f t="shared" si="12"/>
        <v/>
      </c>
      <c r="X1268" s="59" t="str">
        <f t="shared" si="13"/>
        <v/>
      </c>
      <c r="Y1268" s="69" t="str">
        <f t="shared" si="14"/>
        <v/>
      </c>
      <c r="Z1268" s="11"/>
    </row>
    <row r="1269">
      <c r="A1269" s="8"/>
      <c r="B1269" s="56" t="str">
        <f t="shared" si="2"/>
        <v/>
      </c>
      <c r="C1269" s="105"/>
      <c r="D1269" s="10"/>
      <c r="E1269" s="59" t="str">
        <f t="array" ref="E1269">IF(COUNTA(C1269:C1673)=0,"",SUM((COUNTIF(C$4:C1269,Upgrades!$B$3:$B$13)-COUNTIF(C$4:C1269,"Sell_"&amp;Upgrades!$B$3:$B$13))*Upgrades!$D$3:$D$13))</f>
        <v/>
      </c>
      <c r="F1269" s="66" t="str">
        <f>IFERROR(__xludf.DUMMYFUNCTION("IF(COUNTA(C1269:C1673)=0,"""",IF(REGEXMATCH(INDEX(FILTER(C$4:C1269,C$4:C1269&lt;&gt;""""),ROWS(FILTER(C$4:C1269,C$4:C1269&lt;&gt;""""))),""^Sell_""),INDEX(FILTER(F$4:F1268,C$4:C1268&lt;&gt;""""),ROWS(FILTER(C$4:C1268,C$4:C1268&lt;&gt;""""))),$AC$5+E1269))"),"")</f>
        <v/>
      </c>
      <c r="G1269" s="10" t="str">
        <f>IFERROR(__xludf.DUMMYFUNCTION("IF(COUNTA(C1269:C1673)=0,"""",IF(C1269="""",0,IF(REGEXMATCH(C1269,""^Sell_""),-ROUNDDOWN(ROUNDUP(INDEX(Upgrades!$C$3:$C$13,MATCH(SUBSTITUTE(C1269,""Sell_"",""""),Upgrades!$B$3:$B$13,0))*1.15^(COUNTIF(C$4:C1268,SUBSTITUTE(C1269,""Sell_"",""""))-COUNTIF(C$4"&amp;":C1268,""Sell_""&amp;SUBSTITUTE(C1269,""Sell_"",""""))))/2),ROUNDUP(INDEX(Upgrades!$C$3:$C$13,MATCH(C1269,Upgrades!$B$3:$B$13,0))*1.15^(COUNTIF(C$4:C1268,C1269)-COUNTIF(C$4:C1268,""Sell_""&amp;C1269))))))"),"")</f>
        <v/>
      </c>
      <c r="H1269" s="10" t="str">
        <f t="shared" si="3"/>
        <v/>
      </c>
      <c r="I1269" s="68" t="str">
        <f t="shared" si="4"/>
        <v/>
      </c>
      <c r="J1269" s="59" t="str">
        <f t="shared" si="5"/>
        <v/>
      </c>
      <c r="K1269" s="69" t="str">
        <f t="shared" si="6"/>
        <v/>
      </c>
      <c r="L1269" s="60" t="str">
        <f t="shared" si="7"/>
        <v/>
      </c>
      <c r="M1269" s="61" t="str">
        <f>IFERROR(__xludf.DUMMYFUNCTION("IFS(AND(COUNTA(C1269:C1673)=0,COUNTA(Q1269:Q1673)=0),"""",OR(AND(K1269&gt;=1000000000,OR(Y1269&gt;=1000000000,COUNTA(Q1269:Q1673)=0)),OR(Y1269&gt;=1000000000,AND(COUNTA(C1269:C1673)=0,P$3=TRUE))),
ROUNDDOWN((AB$1-AC$1)*MAX(INDEX(T$4:T1673,MATCH(LARGE(FILTER(Y$4:Y1"&amp;"673,Y$4:Y1673&lt;1000000000),1),Y$4:Y1673)),INDEX(F$4:F1673,MATCH(LARGE(FILTER(K$4:K1673,K$4:K1673&lt;1000000000),1),K$4:K1673)))),AND(K1269&lt;1000000000,COUNTA(C1269:C1673)&gt;0,P$3=FALSE),
ROUNDDOWN(INDEX(Y$4:Y1673,MATCH(LARGE(FILTER(W$4:W1673,W$4:W1673&lt;=I1269),1)"&amp;",W$4:W1673))+(I1269-LARGE(FILTER(W$4:W1673,W$4:W1673&lt;=I1269),1))*INDEX(T$4:T1673,MATCH(LARGE(FILTER(W$4:W1673,W$4:W1673&lt;=I1269),1),W$4:W1673))-K1269),1,
ROUNDDOWN(Y1269-INDEX(K$4:K1673,MATCH(LARGE(FILTER(I$4:I1673,I$4:I1673&lt;=W1269),1),I$4:I1673))-(W1269-L"&amp;"ARGE(FILTER(I$4:I1673,I$4:I1673&lt;=W1269),1))*INDEX(F$4:F1673,MATCH(LARGE(FILTER(I$4:I1673,I$4:I1673&lt;=W1269),1),I$4:I1673))))"),"")</f>
        <v/>
      </c>
      <c r="N1269" s="60" t="str">
        <f t="shared" si="8"/>
        <v/>
      </c>
      <c r="O1269" s="61" t="str">
        <f t="shared" si="9"/>
        <v/>
      </c>
      <c r="P1269" s="56" t="str">
        <f t="shared" si="10"/>
        <v/>
      </c>
      <c r="Q1269" s="67"/>
      <c r="R1269" s="10"/>
      <c r="S1269" s="59" t="str">
        <f t="array" ref="S1269">IF(COUNTA(Q1269:Q1673)=0,"",SUM((COUNTIF(Q$4:Q1269,Upgrades!$B$3:$B$13)-COUNTIF(Q$4:Q1269,"Sell_"&amp;Upgrades!$B$3:$B$13))*Upgrades!$D$3:$D$13))</f>
        <v/>
      </c>
      <c r="T1269" s="66" t="str">
        <f>IFERROR(__xludf.DUMMYFUNCTION("IF(COUNTA(Q1269:Q1673)=0,"""",IF(REGEXMATCH(INDEX(FILTER(Q$4:Q1269,Q$4:Q1269&lt;&gt;""""),ROWS(FILTER(Q$4:Q1269,Q$4:Q1269&lt;&gt;""""))),""^Sell_""),INDEX(FILTER(T$4:T1268,Q$4:Q1268&lt;&gt;""""),ROWS(FILTER(Q$4:Q1268,Q$4:Q1268&lt;&gt;""""))),$AD$5+S1269))"),"")</f>
        <v/>
      </c>
      <c r="U1269" s="10" t="str">
        <f>IFERROR(__xludf.DUMMYFUNCTION("IF(COUNTA(Q1269:Q1673)=0,"""",IF(Q1269="""",0,IF(REGEXMATCH(Q1269,""^Sell_""),-ROUNDDOWN(ROUNDUP(INDEX(Upgrades!$C$3:$C$13,MATCH(SUBSTITUTE(Q1269,""Sell_"",""""),Upgrades!$B$3:$B$13,0))*1.15^(COUNTIF(Q$4:Q1268,SUBSTITUTE(Q1269,""Sell_"",""""))-COUNTIF(Q$4"&amp;":Q1268,""Sell_""&amp;SUBSTITUTE(Q1269,""Sell_"",""""))))/2),ROUNDUP(INDEX(Upgrades!$C$3:$C$13,MATCH(Q1269,Upgrades!$B$3:$B$13,0))*1.15^(COUNTIF(Q$4:Q1268,Q1269)-COUNTIF(Q$4:Q1268,""Sell_""&amp;Q1269))))))"),"")</f>
        <v/>
      </c>
      <c r="V1269" s="10" t="str">
        <f t="shared" si="11"/>
        <v/>
      </c>
      <c r="W1269" s="68" t="str">
        <f t="shared" si="12"/>
        <v/>
      </c>
      <c r="X1269" s="59" t="str">
        <f t="shared" si="13"/>
        <v/>
      </c>
      <c r="Y1269" s="69" t="str">
        <f t="shared" si="14"/>
        <v/>
      </c>
      <c r="Z1269" s="11"/>
    </row>
    <row r="1270">
      <c r="A1270" s="8"/>
      <c r="B1270" s="56" t="str">
        <f t="shared" si="2"/>
        <v/>
      </c>
      <c r="C1270" s="105"/>
      <c r="D1270" s="10"/>
      <c r="E1270" s="59" t="str">
        <f t="array" ref="E1270">IF(COUNTA(C1270:C1673)=0,"",SUM((COUNTIF(C$4:C1270,Upgrades!$B$3:$B$13)-COUNTIF(C$4:C1270,"Sell_"&amp;Upgrades!$B$3:$B$13))*Upgrades!$D$3:$D$13))</f>
        <v/>
      </c>
      <c r="F1270" s="66" t="str">
        <f>IFERROR(__xludf.DUMMYFUNCTION("IF(COUNTA(C1270:C1673)=0,"""",IF(REGEXMATCH(INDEX(FILTER(C$4:C1270,C$4:C1270&lt;&gt;""""),ROWS(FILTER(C$4:C1270,C$4:C1270&lt;&gt;""""))),""^Sell_""),INDEX(FILTER(F$4:F1269,C$4:C1269&lt;&gt;""""),ROWS(FILTER(C$4:C1269,C$4:C1269&lt;&gt;""""))),$AC$5+E1270))"),"")</f>
        <v/>
      </c>
      <c r="G1270" s="10" t="str">
        <f>IFERROR(__xludf.DUMMYFUNCTION("IF(COUNTA(C1270:C1673)=0,"""",IF(C1270="""",0,IF(REGEXMATCH(C1270,""^Sell_""),-ROUNDDOWN(ROUNDUP(INDEX(Upgrades!$C$3:$C$13,MATCH(SUBSTITUTE(C1270,""Sell_"",""""),Upgrades!$B$3:$B$13,0))*1.15^(COUNTIF(C$4:C1269,SUBSTITUTE(C1270,""Sell_"",""""))-COUNTIF(C$4"&amp;":C1269,""Sell_""&amp;SUBSTITUTE(C1270,""Sell_"",""""))))/2),ROUNDUP(INDEX(Upgrades!$C$3:$C$13,MATCH(C1270,Upgrades!$B$3:$B$13,0))*1.15^(COUNTIF(C$4:C1269,C1270)-COUNTIF(C$4:C1269,""Sell_""&amp;C1270))))))"),"")</f>
        <v/>
      </c>
      <c r="H1270" s="10" t="str">
        <f t="shared" si="3"/>
        <v/>
      </c>
      <c r="I1270" s="68" t="str">
        <f t="shared" si="4"/>
        <v/>
      </c>
      <c r="J1270" s="59" t="str">
        <f t="shared" si="5"/>
        <v/>
      </c>
      <c r="K1270" s="69" t="str">
        <f t="shared" si="6"/>
        <v/>
      </c>
      <c r="L1270" s="60" t="str">
        <f t="shared" si="7"/>
        <v/>
      </c>
      <c r="M1270" s="61" t="str">
        <f>IFERROR(__xludf.DUMMYFUNCTION("IFS(AND(COUNTA(C1270:C1673)=0,COUNTA(Q1270:Q1673)=0),"""",OR(AND(K1270&gt;=1000000000,OR(Y1270&gt;=1000000000,COUNTA(Q1270:Q1673)=0)),OR(Y1270&gt;=1000000000,AND(COUNTA(C1270:C1673)=0,P$3=TRUE))),
ROUNDDOWN((AB$1-AC$1)*MAX(INDEX(T$4:T1673,MATCH(LARGE(FILTER(Y$4:Y1"&amp;"673,Y$4:Y1673&lt;1000000000),1),Y$4:Y1673)),INDEX(F$4:F1673,MATCH(LARGE(FILTER(K$4:K1673,K$4:K1673&lt;1000000000),1),K$4:K1673)))),AND(K1270&lt;1000000000,COUNTA(C1270:C1673)&gt;0,P$3=FALSE),
ROUNDDOWN(INDEX(Y$4:Y1673,MATCH(LARGE(FILTER(W$4:W1673,W$4:W1673&lt;=I1270),1)"&amp;",W$4:W1673))+(I1270-LARGE(FILTER(W$4:W1673,W$4:W1673&lt;=I1270),1))*INDEX(T$4:T1673,MATCH(LARGE(FILTER(W$4:W1673,W$4:W1673&lt;=I1270),1),W$4:W1673))-K1270),1,
ROUNDDOWN(Y1270-INDEX(K$4:K1673,MATCH(LARGE(FILTER(I$4:I1673,I$4:I1673&lt;=W1270),1),I$4:I1673))-(W1270-L"&amp;"ARGE(FILTER(I$4:I1673,I$4:I1673&lt;=W1270),1))*INDEX(F$4:F1673,MATCH(LARGE(FILTER(I$4:I1673,I$4:I1673&lt;=W1270),1),I$4:I1673))))"),"")</f>
        <v/>
      </c>
      <c r="N1270" s="60" t="str">
        <f t="shared" si="8"/>
        <v/>
      </c>
      <c r="O1270" s="61" t="str">
        <f t="shared" si="9"/>
        <v/>
      </c>
      <c r="P1270" s="56" t="str">
        <f t="shared" si="10"/>
        <v/>
      </c>
      <c r="Q1270" s="67"/>
      <c r="R1270" s="10"/>
      <c r="S1270" s="59" t="str">
        <f t="array" ref="S1270">IF(COUNTA(Q1270:Q1673)=0,"",SUM((COUNTIF(Q$4:Q1270,Upgrades!$B$3:$B$13)-COUNTIF(Q$4:Q1270,"Sell_"&amp;Upgrades!$B$3:$B$13))*Upgrades!$D$3:$D$13))</f>
        <v/>
      </c>
      <c r="T1270" s="66" t="str">
        <f>IFERROR(__xludf.DUMMYFUNCTION("IF(COUNTA(Q1270:Q1673)=0,"""",IF(REGEXMATCH(INDEX(FILTER(Q$4:Q1270,Q$4:Q1270&lt;&gt;""""),ROWS(FILTER(Q$4:Q1270,Q$4:Q1270&lt;&gt;""""))),""^Sell_""),INDEX(FILTER(T$4:T1269,Q$4:Q1269&lt;&gt;""""),ROWS(FILTER(Q$4:Q1269,Q$4:Q1269&lt;&gt;""""))),$AD$5+S1270))"),"")</f>
        <v/>
      </c>
      <c r="U1270" s="10" t="str">
        <f>IFERROR(__xludf.DUMMYFUNCTION("IF(COUNTA(Q1270:Q1673)=0,"""",IF(Q1270="""",0,IF(REGEXMATCH(Q1270,""^Sell_""),-ROUNDDOWN(ROUNDUP(INDEX(Upgrades!$C$3:$C$13,MATCH(SUBSTITUTE(Q1270,""Sell_"",""""),Upgrades!$B$3:$B$13,0))*1.15^(COUNTIF(Q$4:Q1269,SUBSTITUTE(Q1270,""Sell_"",""""))-COUNTIF(Q$4"&amp;":Q1269,""Sell_""&amp;SUBSTITUTE(Q1270,""Sell_"",""""))))/2),ROUNDUP(INDEX(Upgrades!$C$3:$C$13,MATCH(Q1270,Upgrades!$B$3:$B$13,0))*1.15^(COUNTIF(Q$4:Q1269,Q1270)-COUNTIF(Q$4:Q1269,""Sell_""&amp;Q1270))))))"),"")</f>
        <v/>
      </c>
      <c r="V1270" s="10" t="str">
        <f t="shared" si="11"/>
        <v/>
      </c>
      <c r="W1270" s="68" t="str">
        <f t="shared" si="12"/>
        <v/>
      </c>
      <c r="X1270" s="59" t="str">
        <f t="shared" si="13"/>
        <v/>
      </c>
      <c r="Y1270" s="69" t="str">
        <f t="shared" si="14"/>
        <v/>
      </c>
      <c r="Z1270" s="11"/>
    </row>
    <row r="1271">
      <c r="A1271" s="8"/>
      <c r="B1271" s="56" t="str">
        <f t="shared" si="2"/>
        <v/>
      </c>
      <c r="C1271" s="105"/>
      <c r="D1271" s="10"/>
      <c r="E1271" s="59" t="str">
        <f t="array" ref="E1271">IF(COUNTA(C1271:C1673)=0,"",SUM((COUNTIF(C$4:C1271,Upgrades!$B$3:$B$13)-COUNTIF(C$4:C1271,"Sell_"&amp;Upgrades!$B$3:$B$13))*Upgrades!$D$3:$D$13))</f>
        <v/>
      </c>
      <c r="F1271" s="66" t="str">
        <f>IFERROR(__xludf.DUMMYFUNCTION("IF(COUNTA(C1271:C1673)=0,"""",IF(REGEXMATCH(INDEX(FILTER(C$4:C1271,C$4:C1271&lt;&gt;""""),ROWS(FILTER(C$4:C1271,C$4:C1271&lt;&gt;""""))),""^Sell_""),INDEX(FILTER(F$4:F1270,C$4:C1270&lt;&gt;""""),ROWS(FILTER(C$4:C1270,C$4:C1270&lt;&gt;""""))),$AC$5+E1271))"),"")</f>
        <v/>
      </c>
      <c r="G1271" s="10" t="str">
        <f>IFERROR(__xludf.DUMMYFUNCTION("IF(COUNTA(C1271:C1673)=0,"""",IF(C1271="""",0,IF(REGEXMATCH(C1271,""^Sell_""),-ROUNDDOWN(ROUNDUP(INDEX(Upgrades!$C$3:$C$13,MATCH(SUBSTITUTE(C1271,""Sell_"",""""),Upgrades!$B$3:$B$13,0))*1.15^(COUNTIF(C$4:C1270,SUBSTITUTE(C1271,""Sell_"",""""))-COUNTIF(C$4"&amp;":C1270,""Sell_""&amp;SUBSTITUTE(C1271,""Sell_"",""""))))/2),ROUNDUP(INDEX(Upgrades!$C$3:$C$13,MATCH(C1271,Upgrades!$B$3:$B$13,0))*1.15^(COUNTIF(C$4:C1270,C1271)-COUNTIF(C$4:C1270,""Sell_""&amp;C1271))))))"),"")</f>
        <v/>
      </c>
      <c r="H1271" s="10" t="str">
        <f t="shared" si="3"/>
        <v/>
      </c>
      <c r="I1271" s="68" t="str">
        <f t="shared" si="4"/>
        <v/>
      </c>
      <c r="J1271" s="59" t="str">
        <f t="shared" si="5"/>
        <v/>
      </c>
      <c r="K1271" s="69" t="str">
        <f t="shared" si="6"/>
        <v/>
      </c>
      <c r="L1271" s="60" t="str">
        <f t="shared" si="7"/>
        <v/>
      </c>
      <c r="M1271" s="61" t="str">
        <f>IFERROR(__xludf.DUMMYFUNCTION("IFS(AND(COUNTA(C1271:C1673)=0,COUNTA(Q1271:Q1673)=0),"""",OR(AND(K1271&gt;=1000000000,OR(Y1271&gt;=1000000000,COUNTA(Q1271:Q1673)=0)),OR(Y1271&gt;=1000000000,AND(COUNTA(C1271:C1673)=0,P$3=TRUE))),
ROUNDDOWN((AB$1-AC$1)*MAX(INDEX(T$4:T1673,MATCH(LARGE(FILTER(Y$4:Y1"&amp;"673,Y$4:Y1673&lt;1000000000),1),Y$4:Y1673)),INDEX(F$4:F1673,MATCH(LARGE(FILTER(K$4:K1673,K$4:K1673&lt;1000000000),1),K$4:K1673)))),AND(K1271&lt;1000000000,COUNTA(C1271:C1673)&gt;0,P$3=FALSE),
ROUNDDOWN(INDEX(Y$4:Y1673,MATCH(LARGE(FILTER(W$4:W1673,W$4:W1673&lt;=I1271),1)"&amp;",W$4:W1673))+(I1271-LARGE(FILTER(W$4:W1673,W$4:W1673&lt;=I1271),1))*INDEX(T$4:T1673,MATCH(LARGE(FILTER(W$4:W1673,W$4:W1673&lt;=I1271),1),W$4:W1673))-K1271),1,
ROUNDDOWN(Y1271-INDEX(K$4:K1673,MATCH(LARGE(FILTER(I$4:I1673,I$4:I1673&lt;=W1271),1),I$4:I1673))-(W1271-L"&amp;"ARGE(FILTER(I$4:I1673,I$4:I1673&lt;=W1271),1))*INDEX(F$4:F1673,MATCH(LARGE(FILTER(I$4:I1673,I$4:I1673&lt;=W1271),1),I$4:I1673))))"),"")</f>
        <v/>
      </c>
      <c r="N1271" s="60" t="str">
        <f t="shared" si="8"/>
        <v/>
      </c>
      <c r="O1271" s="61" t="str">
        <f t="shared" si="9"/>
        <v/>
      </c>
      <c r="P1271" s="56" t="str">
        <f t="shared" si="10"/>
        <v/>
      </c>
      <c r="Q1271" s="67"/>
      <c r="R1271" s="10"/>
      <c r="S1271" s="59" t="str">
        <f t="array" ref="S1271">IF(COUNTA(Q1271:Q1673)=0,"",SUM((COUNTIF(Q$4:Q1271,Upgrades!$B$3:$B$13)-COUNTIF(Q$4:Q1271,"Sell_"&amp;Upgrades!$B$3:$B$13))*Upgrades!$D$3:$D$13))</f>
        <v/>
      </c>
      <c r="T1271" s="66" t="str">
        <f>IFERROR(__xludf.DUMMYFUNCTION("IF(COUNTA(Q1271:Q1673)=0,"""",IF(REGEXMATCH(INDEX(FILTER(Q$4:Q1271,Q$4:Q1271&lt;&gt;""""),ROWS(FILTER(Q$4:Q1271,Q$4:Q1271&lt;&gt;""""))),""^Sell_""),INDEX(FILTER(T$4:T1270,Q$4:Q1270&lt;&gt;""""),ROWS(FILTER(Q$4:Q1270,Q$4:Q1270&lt;&gt;""""))),$AD$5+S1271))"),"")</f>
        <v/>
      </c>
      <c r="U1271" s="10" t="str">
        <f>IFERROR(__xludf.DUMMYFUNCTION("IF(COUNTA(Q1271:Q1673)=0,"""",IF(Q1271="""",0,IF(REGEXMATCH(Q1271,""^Sell_""),-ROUNDDOWN(ROUNDUP(INDEX(Upgrades!$C$3:$C$13,MATCH(SUBSTITUTE(Q1271,""Sell_"",""""),Upgrades!$B$3:$B$13,0))*1.15^(COUNTIF(Q$4:Q1270,SUBSTITUTE(Q1271,""Sell_"",""""))-COUNTIF(Q$4"&amp;":Q1270,""Sell_""&amp;SUBSTITUTE(Q1271,""Sell_"",""""))))/2),ROUNDUP(INDEX(Upgrades!$C$3:$C$13,MATCH(Q1271,Upgrades!$B$3:$B$13,0))*1.15^(COUNTIF(Q$4:Q1270,Q1271)-COUNTIF(Q$4:Q1270,""Sell_""&amp;Q1271))))))"),"")</f>
        <v/>
      </c>
      <c r="V1271" s="10" t="str">
        <f t="shared" si="11"/>
        <v/>
      </c>
      <c r="W1271" s="68" t="str">
        <f t="shared" si="12"/>
        <v/>
      </c>
      <c r="X1271" s="59" t="str">
        <f t="shared" si="13"/>
        <v/>
      </c>
      <c r="Y1271" s="69" t="str">
        <f t="shared" si="14"/>
        <v/>
      </c>
      <c r="Z1271" s="11"/>
    </row>
    <row r="1272">
      <c r="A1272" s="8"/>
      <c r="B1272" s="56" t="str">
        <f t="shared" si="2"/>
        <v/>
      </c>
      <c r="C1272" s="105"/>
      <c r="D1272" s="10"/>
      <c r="E1272" s="59" t="str">
        <f t="array" ref="E1272">IF(COUNTA(C1272:C1673)=0,"",SUM((COUNTIF(C$4:C1272,Upgrades!$B$3:$B$13)-COUNTIF(C$4:C1272,"Sell_"&amp;Upgrades!$B$3:$B$13))*Upgrades!$D$3:$D$13))</f>
        <v/>
      </c>
      <c r="F1272" s="66" t="str">
        <f>IFERROR(__xludf.DUMMYFUNCTION("IF(COUNTA(C1272:C1673)=0,"""",IF(REGEXMATCH(INDEX(FILTER(C$4:C1272,C$4:C1272&lt;&gt;""""),ROWS(FILTER(C$4:C1272,C$4:C1272&lt;&gt;""""))),""^Sell_""),INDEX(FILTER(F$4:F1271,C$4:C1271&lt;&gt;""""),ROWS(FILTER(C$4:C1271,C$4:C1271&lt;&gt;""""))),$AC$5+E1272))"),"")</f>
        <v/>
      </c>
      <c r="G1272" s="10" t="str">
        <f>IFERROR(__xludf.DUMMYFUNCTION("IF(COUNTA(C1272:C1673)=0,"""",IF(C1272="""",0,IF(REGEXMATCH(C1272,""^Sell_""),-ROUNDDOWN(ROUNDUP(INDEX(Upgrades!$C$3:$C$13,MATCH(SUBSTITUTE(C1272,""Sell_"",""""),Upgrades!$B$3:$B$13,0))*1.15^(COUNTIF(C$4:C1271,SUBSTITUTE(C1272,""Sell_"",""""))-COUNTIF(C$4"&amp;":C1271,""Sell_""&amp;SUBSTITUTE(C1272,""Sell_"",""""))))/2),ROUNDUP(INDEX(Upgrades!$C$3:$C$13,MATCH(C1272,Upgrades!$B$3:$B$13,0))*1.15^(COUNTIF(C$4:C1271,C1272)-COUNTIF(C$4:C1271,""Sell_""&amp;C1272))))))"),"")</f>
        <v/>
      </c>
      <c r="H1272" s="10" t="str">
        <f t="shared" si="3"/>
        <v/>
      </c>
      <c r="I1272" s="68" t="str">
        <f t="shared" si="4"/>
        <v/>
      </c>
      <c r="J1272" s="59" t="str">
        <f t="shared" si="5"/>
        <v/>
      </c>
      <c r="K1272" s="69" t="str">
        <f t="shared" si="6"/>
        <v/>
      </c>
      <c r="L1272" s="60" t="str">
        <f t="shared" si="7"/>
        <v/>
      </c>
      <c r="M1272" s="61" t="str">
        <f>IFERROR(__xludf.DUMMYFUNCTION("IFS(AND(COUNTA(C1272:C1673)=0,COUNTA(Q1272:Q1673)=0),"""",OR(AND(K1272&gt;=1000000000,OR(Y1272&gt;=1000000000,COUNTA(Q1272:Q1673)=0)),OR(Y1272&gt;=1000000000,AND(COUNTA(C1272:C1673)=0,P$3=TRUE))),
ROUNDDOWN((AB$1-AC$1)*MAX(INDEX(T$4:T1673,MATCH(LARGE(FILTER(Y$4:Y1"&amp;"673,Y$4:Y1673&lt;1000000000),1),Y$4:Y1673)),INDEX(F$4:F1673,MATCH(LARGE(FILTER(K$4:K1673,K$4:K1673&lt;1000000000),1),K$4:K1673)))),AND(K1272&lt;1000000000,COUNTA(C1272:C1673)&gt;0,P$3=FALSE),
ROUNDDOWN(INDEX(Y$4:Y1673,MATCH(LARGE(FILTER(W$4:W1673,W$4:W1673&lt;=I1272),1)"&amp;",W$4:W1673))+(I1272-LARGE(FILTER(W$4:W1673,W$4:W1673&lt;=I1272),1))*INDEX(T$4:T1673,MATCH(LARGE(FILTER(W$4:W1673,W$4:W1673&lt;=I1272),1),W$4:W1673))-K1272),1,
ROUNDDOWN(Y1272-INDEX(K$4:K1673,MATCH(LARGE(FILTER(I$4:I1673,I$4:I1673&lt;=W1272),1),I$4:I1673))-(W1272-L"&amp;"ARGE(FILTER(I$4:I1673,I$4:I1673&lt;=W1272),1))*INDEX(F$4:F1673,MATCH(LARGE(FILTER(I$4:I1673,I$4:I1673&lt;=W1272),1),I$4:I1673))))"),"")</f>
        <v/>
      </c>
      <c r="N1272" s="60" t="str">
        <f t="shared" si="8"/>
        <v/>
      </c>
      <c r="O1272" s="61" t="str">
        <f t="shared" si="9"/>
        <v/>
      </c>
      <c r="P1272" s="56" t="str">
        <f t="shared" si="10"/>
        <v/>
      </c>
      <c r="Q1272" s="67"/>
      <c r="R1272" s="10"/>
      <c r="S1272" s="59" t="str">
        <f t="array" ref="S1272">IF(COUNTA(Q1272:Q1673)=0,"",SUM((COUNTIF(Q$4:Q1272,Upgrades!$B$3:$B$13)-COUNTIF(Q$4:Q1272,"Sell_"&amp;Upgrades!$B$3:$B$13))*Upgrades!$D$3:$D$13))</f>
        <v/>
      </c>
      <c r="T1272" s="66" t="str">
        <f>IFERROR(__xludf.DUMMYFUNCTION("IF(COUNTA(Q1272:Q1673)=0,"""",IF(REGEXMATCH(INDEX(FILTER(Q$4:Q1272,Q$4:Q1272&lt;&gt;""""),ROWS(FILTER(Q$4:Q1272,Q$4:Q1272&lt;&gt;""""))),""^Sell_""),INDEX(FILTER(T$4:T1271,Q$4:Q1271&lt;&gt;""""),ROWS(FILTER(Q$4:Q1271,Q$4:Q1271&lt;&gt;""""))),$AD$5+S1272))"),"")</f>
        <v/>
      </c>
      <c r="U1272" s="10" t="str">
        <f>IFERROR(__xludf.DUMMYFUNCTION("IF(COUNTA(Q1272:Q1673)=0,"""",IF(Q1272="""",0,IF(REGEXMATCH(Q1272,""^Sell_""),-ROUNDDOWN(ROUNDUP(INDEX(Upgrades!$C$3:$C$13,MATCH(SUBSTITUTE(Q1272,""Sell_"",""""),Upgrades!$B$3:$B$13,0))*1.15^(COUNTIF(Q$4:Q1271,SUBSTITUTE(Q1272,""Sell_"",""""))-COUNTIF(Q$4"&amp;":Q1271,""Sell_""&amp;SUBSTITUTE(Q1272,""Sell_"",""""))))/2),ROUNDUP(INDEX(Upgrades!$C$3:$C$13,MATCH(Q1272,Upgrades!$B$3:$B$13,0))*1.15^(COUNTIF(Q$4:Q1271,Q1272)-COUNTIF(Q$4:Q1271,""Sell_""&amp;Q1272))))))"),"")</f>
        <v/>
      </c>
      <c r="V1272" s="10" t="str">
        <f t="shared" si="11"/>
        <v/>
      </c>
      <c r="W1272" s="68" t="str">
        <f t="shared" si="12"/>
        <v/>
      </c>
      <c r="X1272" s="59" t="str">
        <f t="shared" si="13"/>
        <v/>
      </c>
      <c r="Y1272" s="69" t="str">
        <f t="shared" si="14"/>
        <v/>
      </c>
      <c r="Z1272" s="11"/>
    </row>
    <row r="1273">
      <c r="A1273" s="8"/>
      <c r="B1273" s="56" t="str">
        <f t="shared" si="2"/>
        <v/>
      </c>
      <c r="C1273" s="105"/>
      <c r="D1273" s="10"/>
      <c r="E1273" s="59" t="str">
        <f t="array" ref="E1273">IF(COUNTA(C1273:C1673)=0,"",SUM((COUNTIF(C$4:C1273,Upgrades!$B$3:$B$13)-COUNTIF(C$4:C1273,"Sell_"&amp;Upgrades!$B$3:$B$13))*Upgrades!$D$3:$D$13))</f>
        <v/>
      </c>
      <c r="F1273" s="66" t="str">
        <f>IFERROR(__xludf.DUMMYFUNCTION("IF(COUNTA(C1273:C1673)=0,"""",IF(REGEXMATCH(INDEX(FILTER(C$4:C1273,C$4:C1273&lt;&gt;""""),ROWS(FILTER(C$4:C1273,C$4:C1273&lt;&gt;""""))),""^Sell_""),INDEX(FILTER(F$4:F1272,C$4:C1272&lt;&gt;""""),ROWS(FILTER(C$4:C1272,C$4:C1272&lt;&gt;""""))),$AC$5+E1273))"),"")</f>
        <v/>
      </c>
      <c r="G1273" s="10" t="str">
        <f>IFERROR(__xludf.DUMMYFUNCTION("IF(COUNTA(C1273:C1673)=0,"""",IF(C1273="""",0,IF(REGEXMATCH(C1273,""^Sell_""),-ROUNDDOWN(ROUNDUP(INDEX(Upgrades!$C$3:$C$13,MATCH(SUBSTITUTE(C1273,""Sell_"",""""),Upgrades!$B$3:$B$13,0))*1.15^(COUNTIF(C$4:C1272,SUBSTITUTE(C1273,""Sell_"",""""))-COUNTIF(C$4"&amp;":C1272,""Sell_""&amp;SUBSTITUTE(C1273,""Sell_"",""""))))/2),ROUNDUP(INDEX(Upgrades!$C$3:$C$13,MATCH(C1273,Upgrades!$B$3:$B$13,0))*1.15^(COUNTIF(C$4:C1272,C1273)-COUNTIF(C$4:C1272,""Sell_""&amp;C1273))))))"),"")</f>
        <v/>
      </c>
      <c r="H1273" s="10" t="str">
        <f t="shared" si="3"/>
        <v/>
      </c>
      <c r="I1273" s="68" t="str">
        <f t="shared" si="4"/>
        <v/>
      </c>
      <c r="J1273" s="59" t="str">
        <f t="shared" si="5"/>
        <v/>
      </c>
      <c r="K1273" s="69" t="str">
        <f t="shared" si="6"/>
        <v/>
      </c>
      <c r="L1273" s="60" t="str">
        <f t="shared" si="7"/>
        <v/>
      </c>
      <c r="M1273" s="61" t="str">
        <f>IFERROR(__xludf.DUMMYFUNCTION("IFS(AND(COUNTA(C1273:C1673)=0,COUNTA(Q1273:Q1673)=0),"""",OR(AND(K1273&gt;=1000000000,OR(Y1273&gt;=1000000000,COUNTA(Q1273:Q1673)=0)),OR(Y1273&gt;=1000000000,AND(COUNTA(C1273:C1673)=0,P$3=TRUE))),
ROUNDDOWN((AB$1-AC$1)*MAX(INDEX(T$4:T1673,MATCH(LARGE(FILTER(Y$4:Y1"&amp;"673,Y$4:Y1673&lt;1000000000),1),Y$4:Y1673)),INDEX(F$4:F1673,MATCH(LARGE(FILTER(K$4:K1673,K$4:K1673&lt;1000000000),1),K$4:K1673)))),AND(K1273&lt;1000000000,COUNTA(C1273:C1673)&gt;0,P$3=FALSE),
ROUNDDOWN(INDEX(Y$4:Y1673,MATCH(LARGE(FILTER(W$4:W1673,W$4:W1673&lt;=I1273),1)"&amp;",W$4:W1673))+(I1273-LARGE(FILTER(W$4:W1673,W$4:W1673&lt;=I1273),1))*INDEX(T$4:T1673,MATCH(LARGE(FILTER(W$4:W1673,W$4:W1673&lt;=I1273),1),W$4:W1673))-K1273),1,
ROUNDDOWN(Y1273-INDEX(K$4:K1673,MATCH(LARGE(FILTER(I$4:I1673,I$4:I1673&lt;=W1273),1),I$4:I1673))-(W1273-L"&amp;"ARGE(FILTER(I$4:I1673,I$4:I1673&lt;=W1273),1))*INDEX(F$4:F1673,MATCH(LARGE(FILTER(I$4:I1673,I$4:I1673&lt;=W1273),1),I$4:I1673))))"),"")</f>
        <v/>
      </c>
      <c r="N1273" s="60" t="str">
        <f t="shared" si="8"/>
        <v/>
      </c>
      <c r="O1273" s="61" t="str">
        <f t="shared" si="9"/>
        <v/>
      </c>
      <c r="P1273" s="56" t="str">
        <f t="shared" si="10"/>
        <v/>
      </c>
      <c r="Q1273" s="67"/>
      <c r="R1273" s="10"/>
      <c r="S1273" s="59" t="str">
        <f t="array" ref="S1273">IF(COUNTA(Q1273:Q1673)=0,"",SUM((COUNTIF(Q$4:Q1273,Upgrades!$B$3:$B$13)-COUNTIF(Q$4:Q1273,"Sell_"&amp;Upgrades!$B$3:$B$13))*Upgrades!$D$3:$D$13))</f>
        <v/>
      </c>
      <c r="T1273" s="66" t="str">
        <f>IFERROR(__xludf.DUMMYFUNCTION("IF(COUNTA(Q1273:Q1673)=0,"""",IF(REGEXMATCH(INDEX(FILTER(Q$4:Q1273,Q$4:Q1273&lt;&gt;""""),ROWS(FILTER(Q$4:Q1273,Q$4:Q1273&lt;&gt;""""))),""^Sell_""),INDEX(FILTER(T$4:T1272,Q$4:Q1272&lt;&gt;""""),ROWS(FILTER(Q$4:Q1272,Q$4:Q1272&lt;&gt;""""))),$AD$5+S1273))"),"")</f>
        <v/>
      </c>
      <c r="U1273" s="10" t="str">
        <f>IFERROR(__xludf.DUMMYFUNCTION("IF(COUNTA(Q1273:Q1673)=0,"""",IF(Q1273="""",0,IF(REGEXMATCH(Q1273,""^Sell_""),-ROUNDDOWN(ROUNDUP(INDEX(Upgrades!$C$3:$C$13,MATCH(SUBSTITUTE(Q1273,""Sell_"",""""),Upgrades!$B$3:$B$13,0))*1.15^(COUNTIF(Q$4:Q1272,SUBSTITUTE(Q1273,""Sell_"",""""))-COUNTIF(Q$4"&amp;":Q1272,""Sell_""&amp;SUBSTITUTE(Q1273,""Sell_"",""""))))/2),ROUNDUP(INDEX(Upgrades!$C$3:$C$13,MATCH(Q1273,Upgrades!$B$3:$B$13,0))*1.15^(COUNTIF(Q$4:Q1272,Q1273)-COUNTIF(Q$4:Q1272,""Sell_""&amp;Q1273))))))"),"")</f>
        <v/>
      </c>
      <c r="V1273" s="10" t="str">
        <f t="shared" si="11"/>
        <v/>
      </c>
      <c r="W1273" s="68" t="str">
        <f t="shared" si="12"/>
        <v/>
      </c>
      <c r="X1273" s="59" t="str">
        <f t="shared" si="13"/>
        <v/>
      </c>
      <c r="Y1273" s="69" t="str">
        <f t="shared" si="14"/>
        <v/>
      </c>
      <c r="Z1273" s="11"/>
    </row>
    <row r="1274">
      <c r="A1274" s="8"/>
      <c r="B1274" s="56" t="str">
        <f t="shared" si="2"/>
        <v/>
      </c>
      <c r="C1274" s="105"/>
      <c r="D1274" s="10"/>
      <c r="E1274" s="59" t="str">
        <f t="array" ref="E1274">IF(COUNTA(C1274:C1673)=0,"",SUM((COUNTIF(C$4:C1274,Upgrades!$B$3:$B$13)-COUNTIF(C$4:C1274,"Sell_"&amp;Upgrades!$B$3:$B$13))*Upgrades!$D$3:$D$13))</f>
        <v/>
      </c>
      <c r="F1274" s="66" t="str">
        <f>IFERROR(__xludf.DUMMYFUNCTION("IF(COUNTA(C1274:C1673)=0,"""",IF(REGEXMATCH(INDEX(FILTER(C$4:C1274,C$4:C1274&lt;&gt;""""),ROWS(FILTER(C$4:C1274,C$4:C1274&lt;&gt;""""))),""^Sell_""),INDEX(FILTER(F$4:F1273,C$4:C1273&lt;&gt;""""),ROWS(FILTER(C$4:C1273,C$4:C1273&lt;&gt;""""))),$AC$5+E1274))"),"")</f>
        <v/>
      </c>
      <c r="G1274" s="10" t="str">
        <f>IFERROR(__xludf.DUMMYFUNCTION("IF(COUNTA(C1274:C1673)=0,"""",IF(C1274="""",0,IF(REGEXMATCH(C1274,""^Sell_""),-ROUNDDOWN(ROUNDUP(INDEX(Upgrades!$C$3:$C$13,MATCH(SUBSTITUTE(C1274,""Sell_"",""""),Upgrades!$B$3:$B$13,0))*1.15^(COUNTIF(C$4:C1273,SUBSTITUTE(C1274,""Sell_"",""""))-COUNTIF(C$4"&amp;":C1273,""Sell_""&amp;SUBSTITUTE(C1274,""Sell_"",""""))))/2),ROUNDUP(INDEX(Upgrades!$C$3:$C$13,MATCH(C1274,Upgrades!$B$3:$B$13,0))*1.15^(COUNTIF(C$4:C1273,C1274)-COUNTIF(C$4:C1273,""Sell_""&amp;C1274))))))"),"")</f>
        <v/>
      </c>
      <c r="H1274" s="10" t="str">
        <f t="shared" si="3"/>
        <v/>
      </c>
      <c r="I1274" s="68" t="str">
        <f t="shared" si="4"/>
        <v/>
      </c>
      <c r="J1274" s="59" t="str">
        <f t="shared" si="5"/>
        <v/>
      </c>
      <c r="K1274" s="69" t="str">
        <f t="shared" si="6"/>
        <v/>
      </c>
      <c r="L1274" s="60" t="str">
        <f t="shared" si="7"/>
        <v/>
      </c>
      <c r="M1274" s="61" t="str">
        <f>IFERROR(__xludf.DUMMYFUNCTION("IFS(AND(COUNTA(C1274:C1673)=0,COUNTA(Q1274:Q1673)=0),"""",OR(AND(K1274&gt;=1000000000,OR(Y1274&gt;=1000000000,COUNTA(Q1274:Q1673)=0)),OR(Y1274&gt;=1000000000,AND(COUNTA(C1274:C1673)=0,P$3=TRUE))),
ROUNDDOWN((AB$1-AC$1)*MAX(INDEX(T$4:T1673,MATCH(LARGE(FILTER(Y$4:Y1"&amp;"673,Y$4:Y1673&lt;1000000000),1),Y$4:Y1673)),INDEX(F$4:F1673,MATCH(LARGE(FILTER(K$4:K1673,K$4:K1673&lt;1000000000),1),K$4:K1673)))),AND(K1274&lt;1000000000,COUNTA(C1274:C1673)&gt;0,P$3=FALSE),
ROUNDDOWN(INDEX(Y$4:Y1673,MATCH(LARGE(FILTER(W$4:W1673,W$4:W1673&lt;=I1274),1)"&amp;",W$4:W1673))+(I1274-LARGE(FILTER(W$4:W1673,W$4:W1673&lt;=I1274),1))*INDEX(T$4:T1673,MATCH(LARGE(FILTER(W$4:W1673,W$4:W1673&lt;=I1274),1),W$4:W1673))-K1274),1,
ROUNDDOWN(Y1274-INDEX(K$4:K1673,MATCH(LARGE(FILTER(I$4:I1673,I$4:I1673&lt;=W1274),1),I$4:I1673))-(W1274-L"&amp;"ARGE(FILTER(I$4:I1673,I$4:I1673&lt;=W1274),1))*INDEX(F$4:F1673,MATCH(LARGE(FILTER(I$4:I1673,I$4:I1673&lt;=W1274),1),I$4:I1673))))"),"")</f>
        <v/>
      </c>
      <c r="N1274" s="60" t="str">
        <f t="shared" si="8"/>
        <v/>
      </c>
      <c r="O1274" s="61" t="str">
        <f t="shared" si="9"/>
        <v/>
      </c>
      <c r="P1274" s="56" t="str">
        <f t="shared" si="10"/>
        <v/>
      </c>
      <c r="Q1274" s="67"/>
      <c r="R1274" s="10"/>
      <c r="S1274" s="59" t="str">
        <f t="array" ref="S1274">IF(COUNTA(Q1274:Q1673)=0,"",SUM((COUNTIF(Q$4:Q1274,Upgrades!$B$3:$B$13)-COUNTIF(Q$4:Q1274,"Sell_"&amp;Upgrades!$B$3:$B$13))*Upgrades!$D$3:$D$13))</f>
        <v/>
      </c>
      <c r="T1274" s="66" t="str">
        <f>IFERROR(__xludf.DUMMYFUNCTION("IF(COUNTA(Q1274:Q1673)=0,"""",IF(REGEXMATCH(INDEX(FILTER(Q$4:Q1274,Q$4:Q1274&lt;&gt;""""),ROWS(FILTER(Q$4:Q1274,Q$4:Q1274&lt;&gt;""""))),""^Sell_""),INDEX(FILTER(T$4:T1273,Q$4:Q1273&lt;&gt;""""),ROWS(FILTER(Q$4:Q1273,Q$4:Q1273&lt;&gt;""""))),$AD$5+S1274))"),"")</f>
        <v/>
      </c>
      <c r="U1274" s="10" t="str">
        <f>IFERROR(__xludf.DUMMYFUNCTION("IF(COUNTA(Q1274:Q1673)=0,"""",IF(Q1274="""",0,IF(REGEXMATCH(Q1274,""^Sell_""),-ROUNDDOWN(ROUNDUP(INDEX(Upgrades!$C$3:$C$13,MATCH(SUBSTITUTE(Q1274,""Sell_"",""""),Upgrades!$B$3:$B$13,0))*1.15^(COUNTIF(Q$4:Q1273,SUBSTITUTE(Q1274,""Sell_"",""""))-COUNTIF(Q$4"&amp;":Q1273,""Sell_""&amp;SUBSTITUTE(Q1274,""Sell_"",""""))))/2),ROUNDUP(INDEX(Upgrades!$C$3:$C$13,MATCH(Q1274,Upgrades!$B$3:$B$13,0))*1.15^(COUNTIF(Q$4:Q1273,Q1274)-COUNTIF(Q$4:Q1273,""Sell_""&amp;Q1274))))))"),"")</f>
        <v/>
      </c>
      <c r="V1274" s="10" t="str">
        <f t="shared" si="11"/>
        <v/>
      </c>
      <c r="W1274" s="68" t="str">
        <f t="shared" si="12"/>
        <v/>
      </c>
      <c r="X1274" s="59" t="str">
        <f t="shared" si="13"/>
        <v/>
      </c>
      <c r="Y1274" s="69" t="str">
        <f t="shared" si="14"/>
        <v/>
      </c>
      <c r="Z1274" s="11"/>
    </row>
    <row r="1275">
      <c r="A1275" s="8"/>
      <c r="B1275" s="56" t="str">
        <f t="shared" si="2"/>
        <v/>
      </c>
      <c r="C1275" s="105"/>
      <c r="D1275" s="10"/>
      <c r="E1275" s="59" t="str">
        <f t="array" ref="E1275">IF(COUNTA(C1275:C1673)=0,"",SUM((COUNTIF(C$4:C1275,Upgrades!$B$3:$B$13)-COUNTIF(C$4:C1275,"Sell_"&amp;Upgrades!$B$3:$B$13))*Upgrades!$D$3:$D$13))</f>
        <v/>
      </c>
      <c r="F1275" s="66" t="str">
        <f>IFERROR(__xludf.DUMMYFUNCTION("IF(COUNTA(C1275:C1673)=0,"""",IF(REGEXMATCH(INDEX(FILTER(C$4:C1275,C$4:C1275&lt;&gt;""""),ROWS(FILTER(C$4:C1275,C$4:C1275&lt;&gt;""""))),""^Sell_""),INDEX(FILTER(F$4:F1274,C$4:C1274&lt;&gt;""""),ROWS(FILTER(C$4:C1274,C$4:C1274&lt;&gt;""""))),$AC$5+E1275))"),"")</f>
        <v/>
      </c>
      <c r="G1275" s="10" t="str">
        <f>IFERROR(__xludf.DUMMYFUNCTION("IF(COUNTA(C1275:C1673)=0,"""",IF(C1275="""",0,IF(REGEXMATCH(C1275,""^Sell_""),-ROUNDDOWN(ROUNDUP(INDEX(Upgrades!$C$3:$C$13,MATCH(SUBSTITUTE(C1275,""Sell_"",""""),Upgrades!$B$3:$B$13,0))*1.15^(COUNTIF(C$4:C1274,SUBSTITUTE(C1275,""Sell_"",""""))-COUNTIF(C$4"&amp;":C1274,""Sell_""&amp;SUBSTITUTE(C1275,""Sell_"",""""))))/2),ROUNDUP(INDEX(Upgrades!$C$3:$C$13,MATCH(C1275,Upgrades!$B$3:$B$13,0))*1.15^(COUNTIF(C$4:C1274,C1275)-COUNTIF(C$4:C1274,""Sell_""&amp;C1275))))))"),"")</f>
        <v/>
      </c>
      <c r="H1275" s="10" t="str">
        <f t="shared" si="3"/>
        <v/>
      </c>
      <c r="I1275" s="68" t="str">
        <f t="shared" si="4"/>
        <v/>
      </c>
      <c r="J1275" s="59" t="str">
        <f t="shared" si="5"/>
        <v/>
      </c>
      <c r="K1275" s="69" t="str">
        <f t="shared" si="6"/>
        <v/>
      </c>
      <c r="L1275" s="60" t="str">
        <f t="shared" si="7"/>
        <v/>
      </c>
      <c r="M1275" s="61" t="str">
        <f>IFERROR(__xludf.DUMMYFUNCTION("IFS(AND(COUNTA(C1275:C1673)=0,COUNTA(Q1275:Q1673)=0),"""",OR(AND(K1275&gt;=1000000000,OR(Y1275&gt;=1000000000,COUNTA(Q1275:Q1673)=0)),OR(Y1275&gt;=1000000000,AND(COUNTA(C1275:C1673)=0,P$3=TRUE))),
ROUNDDOWN((AB$1-AC$1)*MAX(INDEX(T$4:T1673,MATCH(LARGE(FILTER(Y$4:Y1"&amp;"673,Y$4:Y1673&lt;1000000000),1),Y$4:Y1673)),INDEX(F$4:F1673,MATCH(LARGE(FILTER(K$4:K1673,K$4:K1673&lt;1000000000),1),K$4:K1673)))),AND(K1275&lt;1000000000,COUNTA(C1275:C1673)&gt;0,P$3=FALSE),
ROUNDDOWN(INDEX(Y$4:Y1673,MATCH(LARGE(FILTER(W$4:W1673,W$4:W1673&lt;=I1275),1)"&amp;",W$4:W1673))+(I1275-LARGE(FILTER(W$4:W1673,W$4:W1673&lt;=I1275),1))*INDEX(T$4:T1673,MATCH(LARGE(FILTER(W$4:W1673,W$4:W1673&lt;=I1275),1),W$4:W1673))-K1275),1,
ROUNDDOWN(Y1275-INDEX(K$4:K1673,MATCH(LARGE(FILTER(I$4:I1673,I$4:I1673&lt;=W1275),1),I$4:I1673))-(W1275-L"&amp;"ARGE(FILTER(I$4:I1673,I$4:I1673&lt;=W1275),1))*INDEX(F$4:F1673,MATCH(LARGE(FILTER(I$4:I1673,I$4:I1673&lt;=W1275),1),I$4:I1673))))"),"")</f>
        <v/>
      </c>
      <c r="N1275" s="60" t="str">
        <f t="shared" si="8"/>
        <v/>
      </c>
      <c r="O1275" s="61" t="str">
        <f t="shared" si="9"/>
        <v/>
      </c>
      <c r="P1275" s="56" t="str">
        <f t="shared" si="10"/>
        <v/>
      </c>
      <c r="Q1275" s="67"/>
      <c r="R1275" s="10"/>
      <c r="S1275" s="59" t="str">
        <f t="array" ref="S1275">IF(COUNTA(Q1275:Q1673)=0,"",SUM((COUNTIF(Q$4:Q1275,Upgrades!$B$3:$B$13)-COUNTIF(Q$4:Q1275,"Sell_"&amp;Upgrades!$B$3:$B$13))*Upgrades!$D$3:$D$13))</f>
        <v/>
      </c>
      <c r="T1275" s="66" t="str">
        <f>IFERROR(__xludf.DUMMYFUNCTION("IF(COUNTA(Q1275:Q1673)=0,"""",IF(REGEXMATCH(INDEX(FILTER(Q$4:Q1275,Q$4:Q1275&lt;&gt;""""),ROWS(FILTER(Q$4:Q1275,Q$4:Q1275&lt;&gt;""""))),""^Sell_""),INDEX(FILTER(T$4:T1274,Q$4:Q1274&lt;&gt;""""),ROWS(FILTER(Q$4:Q1274,Q$4:Q1274&lt;&gt;""""))),$AD$5+S1275))"),"")</f>
        <v/>
      </c>
      <c r="U1275" s="10" t="str">
        <f>IFERROR(__xludf.DUMMYFUNCTION("IF(COUNTA(Q1275:Q1673)=0,"""",IF(Q1275="""",0,IF(REGEXMATCH(Q1275,""^Sell_""),-ROUNDDOWN(ROUNDUP(INDEX(Upgrades!$C$3:$C$13,MATCH(SUBSTITUTE(Q1275,""Sell_"",""""),Upgrades!$B$3:$B$13,0))*1.15^(COUNTIF(Q$4:Q1274,SUBSTITUTE(Q1275,""Sell_"",""""))-COUNTIF(Q$4"&amp;":Q1274,""Sell_""&amp;SUBSTITUTE(Q1275,""Sell_"",""""))))/2),ROUNDUP(INDEX(Upgrades!$C$3:$C$13,MATCH(Q1275,Upgrades!$B$3:$B$13,0))*1.15^(COUNTIF(Q$4:Q1274,Q1275)-COUNTIF(Q$4:Q1274,""Sell_""&amp;Q1275))))))"),"")</f>
        <v/>
      </c>
      <c r="V1275" s="10" t="str">
        <f t="shared" si="11"/>
        <v/>
      </c>
      <c r="W1275" s="68" t="str">
        <f t="shared" si="12"/>
        <v/>
      </c>
      <c r="X1275" s="59" t="str">
        <f t="shared" si="13"/>
        <v/>
      </c>
      <c r="Y1275" s="69" t="str">
        <f t="shared" si="14"/>
        <v/>
      </c>
      <c r="Z1275" s="11"/>
    </row>
    <row r="1276">
      <c r="A1276" s="8"/>
      <c r="B1276" s="56" t="str">
        <f t="shared" si="2"/>
        <v/>
      </c>
      <c r="C1276" s="105"/>
      <c r="D1276" s="10"/>
      <c r="E1276" s="59" t="str">
        <f t="array" ref="E1276">IF(COUNTA(C1276:C1673)=0,"",SUM((COUNTIF(C$4:C1276,Upgrades!$B$3:$B$13)-COUNTIF(C$4:C1276,"Sell_"&amp;Upgrades!$B$3:$B$13))*Upgrades!$D$3:$D$13))</f>
        <v/>
      </c>
      <c r="F1276" s="66" t="str">
        <f>IFERROR(__xludf.DUMMYFUNCTION("IF(COUNTA(C1276:C1673)=0,"""",IF(REGEXMATCH(INDEX(FILTER(C$4:C1276,C$4:C1276&lt;&gt;""""),ROWS(FILTER(C$4:C1276,C$4:C1276&lt;&gt;""""))),""^Sell_""),INDEX(FILTER(F$4:F1275,C$4:C1275&lt;&gt;""""),ROWS(FILTER(C$4:C1275,C$4:C1275&lt;&gt;""""))),$AC$5+E1276))"),"")</f>
        <v/>
      </c>
      <c r="G1276" s="10" t="str">
        <f>IFERROR(__xludf.DUMMYFUNCTION("IF(COUNTA(C1276:C1673)=0,"""",IF(C1276="""",0,IF(REGEXMATCH(C1276,""^Sell_""),-ROUNDDOWN(ROUNDUP(INDEX(Upgrades!$C$3:$C$13,MATCH(SUBSTITUTE(C1276,""Sell_"",""""),Upgrades!$B$3:$B$13,0))*1.15^(COUNTIF(C$4:C1275,SUBSTITUTE(C1276,""Sell_"",""""))-COUNTIF(C$4"&amp;":C1275,""Sell_""&amp;SUBSTITUTE(C1276,""Sell_"",""""))))/2),ROUNDUP(INDEX(Upgrades!$C$3:$C$13,MATCH(C1276,Upgrades!$B$3:$B$13,0))*1.15^(COUNTIF(C$4:C1275,C1276)-COUNTIF(C$4:C1275,""Sell_""&amp;C1276))))))"),"")</f>
        <v/>
      </c>
      <c r="H1276" s="10" t="str">
        <f t="shared" si="3"/>
        <v/>
      </c>
      <c r="I1276" s="68" t="str">
        <f t="shared" si="4"/>
        <v/>
      </c>
      <c r="J1276" s="59" t="str">
        <f t="shared" si="5"/>
        <v/>
      </c>
      <c r="K1276" s="69" t="str">
        <f t="shared" si="6"/>
        <v/>
      </c>
      <c r="L1276" s="60" t="str">
        <f t="shared" si="7"/>
        <v/>
      </c>
      <c r="M1276" s="61" t="str">
        <f>IFERROR(__xludf.DUMMYFUNCTION("IFS(AND(COUNTA(C1276:C1673)=0,COUNTA(Q1276:Q1673)=0),"""",OR(AND(K1276&gt;=1000000000,OR(Y1276&gt;=1000000000,COUNTA(Q1276:Q1673)=0)),OR(Y1276&gt;=1000000000,AND(COUNTA(C1276:C1673)=0,P$3=TRUE))),
ROUNDDOWN((AB$1-AC$1)*MAX(INDEX(T$4:T1673,MATCH(LARGE(FILTER(Y$4:Y1"&amp;"673,Y$4:Y1673&lt;1000000000),1),Y$4:Y1673)),INDEX(F$4:F1673,MATCH(LARGE(FILTER(K$4:K1673,K$4:K1673&lt;1000000000),1),K$4:K1673)))),AND(K1276&lt;1000000000,COUNTA(C1276:C1673)&gt;0,P$3=FALSE),
ROUNDDOWN(INDEX(Y$4:Y1673,MATCH(LARGE(FILTER(W$4:W1673,W$4:W1673&lt;=I1276),1)"&amp;",W$4:W1673))+(I1276-LARGE(FILTER(W$4:W1673,W$4:W1673&lt;=I1276),1))*INDEX(T$4:T1673,MATCH(LARGE(FILTER(W$4:W1673,W$4:W1673&lt;=I1276),1),W$4:W1673))-K1276),1,
ROUNDDOWN(Y1276-INDEX(K$4:K1673,MATCH(LARGE(FILTER(I$4:I1673,I$4:I1673&lt;=W1276),1),I$4:I1673))-(W1276-L"&amp;"ARGE(FILTER(I$4:I1673,I$4:I1673&lt;=W1276),1))*INDEX(F$4:F1673,MATCH(LARGE(FILTER(I$4:I1673,I$4:I1673&lt;=W1276),1),I$4:I1673))))"),"")</f>
        <v/>
      </c>
      <c r="N1276" s="60" t="str">
        <f t="shared" si="8"/>
        <v/>
      </c>
      <c r="O1276" s="61" t="str">
        <f t="shared" si="9"/>
        <v/>
      </c>
      <c r="P1276" s="56" t="str">
        <f t="shared" si="10"/>
        <v/>
      </c>
      <c r="Q1276" s="67"/>
      <c r="R1276" s="10"/>
      <c r="S1276" s="59" t="str">
        <f t="array" ref="S1276">IF(COUNTA(Q1276:Q1673)=0,"",SUM((COUNTIF(Q$4:Q1276,Upgrades!$B$3:$B$13)-COUNTIF(Q$4:Q1276,"Sell_"&amp;Upgrades!$B$3:$B$13))*Upgrades!$D$3:$D$13))</f>
        <v/>
      </c>
      <c r="T1276" s="66" t="str">
        <f>IFERROR(__xludf.DUMMYFUNCTION("IF(COUNTA(Q1276:Q1673)=0,"""",IF(REGEXMATCH(INDEX(FILTER(Q$4:Q1276,Q$4:Q1276&lt;&gt;""""),ROWS(FILTER(Q$4:Q1276,Q$4:Q1276&lt;&gt;""""))),""^Sell_""),INDEX(FILTER(T$4:T1275,Q$4:Q1275&lt;&gt;""""),ROWS(FILTER(Q$4:Q1275,Q$4:Q1275&lt;&gt;""""))),$AD$5+S1276))"),"")</f>
        <v/>
      </c>
      <c r="U1276" s="10" t="str">
        <f>IFERROR(__xludf.DUMMYFUNCTION("IF(COUNTA(Q1276:Q1673)=0,"""",IF(Q1276="""",0,IF(REGEXMATCH(Q1276,""^Sell_""),-ROUNDDOWN(ROUNDUP(INDEX(Upgrades!$C$3:$C$13,MATCH(SUBSTITUTE(Q1276,""Sell_"",""""),Upgrades!$B$3:$B$13,0))*1.15^(COUNTIF(Q$4:Q1275,SUBSTITUTE(Q1276,""Sell_"",""""))-COUNTIF(Q$4"&amp;":Q1275,""Sell_""&amp;SUBSTITUTE(Q1276,""Sell_"",""""))))/2),ROUNDUP(INDEX(Upgrades!$C$3:$C$13,MATCH(Q1276,Upgrades!$B$3:$B$13,0))*1.15^(COUNTIF(Q$4:Q1275,Q1276)-COUNTIF(Q$4:Q1275,""Sell_""&amp;Q1276))))))"),"")</f>
        <v/>
      </c>
      <c r="V1276" s="10" t="str">
        <f t="shared" si="11"/>
        <v/>
      </c>
      <c r="W1276" s="68" t="str">
        <f t="shared" si="12"/>
        <v/>
      </c>
      <c r="X1276" s="59" t="str">
        <f t="shared" si="13"/>
        <v/>
      </c>
      <c r="Y1276" s="69" t="str">
        <f t="shared" si="14"/>
        <v/>
      </c>
      <c r="Z1276" s="11"/>
    </row>
    <row r="1277">
      <c r="A1277" s="8"/>
      <c r="B1277" s="56" t="str">
        <f t="shared" si="2"/>
        <v/>
      </c>
      <c r="C1277" s="105"/>
      <c r="D1277" s="10"/>
      <c r="E1277" s="59" t="str">
        <f t="array" ref="E1277">IF(COUNTA(C1277:C1673)=0,"",SUM((COUNTIF(C$4:C1277,Upgrades!$B$3:$B$13)-COUNTIF(C$4:C1277,"Sell_"&amp;Upgrades!$B$3:$B$13))*Upgrades!$D$3:$D$13))</f>
        <v/>
      </c>
      <c r="F1277" s="66" t="str">
        <f>IFERROR(__xludf.DUMMYFUNCTION("IF(COUNTA(C1277:C1673)=0,"""",IF(REGEXMATCH(INDEX(FILTER(C$4:C1277,C$4:C1277&lt;&gt;""""),ROWS(FILTER(C$4:C1277,C$4:C1277&lt;&gt;""""))),""^Sell_""),INDEX(FILTER(F$4:F1276,C$4:C1276&lt;&gt;""""),ROWS(FILTER(C$4:C1276,C$4:C1276&lt;&gt;""""))),$AC$5+E1277))"),"")</f>
        <v/>
      </c>
      <c r="G1277" s="10" t="str">
        <f>IFERROR(__xludf.DUMMYFUNCTION("IF(COUNTA(C1277:C1673)=0,"""",IF(C1277="""",0,IF(REGEXMATCH(C1277,""^Sell_""),-ROUNDDOWN(ROUNDUP(INDEX(Upgrades!$C$3:$C$13,MATCH(SUBSTITUTE(C1277,""Sell_"",""""),Upgrades!$B$3:$B$13,0))*1.15^(COUNTIF(C$4:C1276,SUBSTITUTE(C1277,""Sell_"",""""))-COUNTIF(C$4"&amp;":C1276,""Sell_""&amp;SUBSTITUTE(C1277,""Sell_"",""""))))/2),ROUNDUP(INDEX(Upgrades!$C$3:$C$13,MATCH(C1277,Upgrades!$B$3:$B$13,0))*1.15^(COUNTIF(C$4:C1276,C1277)-COUNTIF(C$4:C1276,""Sell_""&amp;C1277))))))"),"")</f>
        <v/>
      </c>
      <c r="H1277" s="10" t="str">
        <f t="shared" si="3"/>
        <v/>
      </c>
      <c r="I1277" s="68" t="str">
        <f t="shared" si="4"/>
        <v/>
      </c>
      <c r="J1277" s="59" t="str">
        <f t="shared" si="5"/>
        <v/>
      </c>
      <c r="K1277" s="69" t="str">
        <f t="shared" si="6"/>
        <v/>
      </c>
      <c r="L1277" s="60" t="str">
        <f t="shared" si="7"/>
        <v/>
      </c>
      <c r="M1277" s="61" t="str">
        <f>IFERROR(__xludf.DUMMYFUNCTION("IFS(AND(COUNTA(C1277:C1673)=0,COUNTA(Q1277:Q1673)=0),"""",OR(AND(K1277&gt;=1000000000,OR(Y1277&gt;=1000000000,COUNTA(Q1277:Q1673)=0)),OR(Y1277&gt;=1000000000,AND(COUNTA(C1277:C1673)=0,P$3=TRUE))),
ROUNDDOWN((AB$1-AC$1)*MAX(INDEX(T$4:T1673,MATCH(LARGE(FILTER(Y$4:Y1"&amp;"673,Y$4:Y1673&lt;1000000000),1),Y$4:Y1673)),INDEX(F$4:F1673,MATCH(LARGE(FILTER(K$4:K1673,K$4:K1673&lt;1000000000),1),K$4:K1673)))),AND(K1277&lt;1000000000,COUNTA(C1277:C1673)&gt;0,P$3=FALSE),
ROUNDDOWN(INDEX(Y$4:Y1673,MATCH(LARGE(FILTER(W$4:W1673,W$4:W1673&lt;=I1277),1)"&amp;",W$4:W1673))+(I1277-LARGE(FILTER(W$4:W1673,W$4:W1673&lt;=I1277),1))*INDEX(T$4:T1673,MATCH(LARGE(FILTER(W$4:W1673,W$4:W1673&lt;=I1277),1),W$4:W1673))-K1277),1,
ROUNDDOWN(Y1277-INDEX(K$4:K1673,MATCH(LARGE(FILTER(I$4:I1673,I$4:I1673&lt;=W1277),1),I$4:I1673))-(W1277-L"&amp;"ARGE(FILTER(I$4:I1673,I$4:I1673&lt;=W1277),1))*INDEX(F$4:F1673,MATCH(LARGE(FILTER(I$4:I1673,I$4:I1673&lt;=W1277),1),I$4:I1673))))"),"")</f>
        <v/>
      </c>
      <c r="N1277" s="60" t="str">
        <f t="shared" si="8"/>
        <v/>
      </c>
      <c r="O1277" s="61" t="str">
        <f t="shared" si="9"/>
        <v/>
      </c>
      <c r="P1277" s="56" t="str">
        <f t="shared" si="10"/>
        <v/>
      </c>
      <c r="Q1277" s="67"/>
      <c r="R1277" s="10"/>
      <c r="S1277" s="59" t="str">
        <f t="array" ref="S1277">IF(COUNTA(Q1277:Q1673)=0,"",SUM((COUNTIF(Q$4:Q1277,Upgrades!$B$3:$B$13)-COUNTIF(Q$4:Q1277,"Sell_"&amp;Upgrades!$B$3:$B$13))*Upgrades!$D$3:$D$13))</f>
        <v/>
      </c>
      <c r="T1277" s="66" t="str">
        <f>IFERROR(__xludf.DUMMYFUNCTION("IF(COUNTA(Q1277:Q1673)=0,"""",IF(REGEXMATCH(INDEX(FILTER(Q$4:Q1277,Q$4:Q1277&lt;&gt;""""),ROWS(FILTER(Q$4:Q1277,Q$4:Q1277&lt;&gt;""""))),""^Sell_""),INDEX(FILTER(T$4:T1276,Q$4:Q1276&lt;&gt;""""),ROWS(FILTER(Q$4:Q1276,Q$4:Q1276&lt;&gt;""""))),$AD$5+S1277))"),"")</f>
        <v/>
      </c>
      <c r="U1277" s="10" t="str">
        <f>IFERROR(__xludf.DUMMYFUNCTION("IF(COUNTA(Q1277:Q1673)=0,"""",IF(Q1277="""",0,IF(REGEXMATCH(Q1277,""^Sell_""),-ROUNDDOWN(ROUNDUP(INDEX(Upgrades!$C$3:$C$13,MATCH(SUBSTITUTE(Q1277,""Sell_"",""""),Upgrades!$B$3:$B$13,0))*1.15^(COUNTIF(Q$4:Q1276,SUBSTITUTE(Q1277,""Sell_"",""""))-COUNTIF(Q$4"&amp;":Q1276,""Sell_""&amp;SUBSTITUTE(Q1277,""Sell_"",""""))))/2),ROUNDUP(INDEX(Upgrades!$C$3:$C$13,MATCH(Q1277,Upgrades!$B$3:$B$13,0))*1.15^(COUNTIF(Q$4:Q1276,Q1277)-COUNTIF(Q$4:Q1276,""Sell_""&amp;Q1277))))))"),"")</f>
        <v/>
      </c>
      <c r="V1277" s="10" t="str">
        <f t="shared" si="11"/>
        <v/>
      </c>
      <c r="W1277" s="68" t="str">
        <f t="shared" si="12"/>
        <v/>
      </c>
      <c r="X1277" s="59" t="str">
        <f t="shared" si="13"/>
        <v/>
      </c>
      <c r="Y1277" s="69" t="str">
        <f t="shared" si="14"/>
        <v/>
      </c>
      <c r="Z1277" s="11"/>
    </row>
    <row r="1278">
      <c r="A1278" s="8"/>
      <c r="B1278" s="56" t="str">
        <f t="shared" si="2"/>
        <v/>
      </c>
      <c r="C1278" s="105"/>
      <c r="D1278" s="10"/>
      <c r="E1278" s="59" t="str">
        <f t="array" ref="E1278">IF(COUNTA(C1278:C1673)=0,"",SUM((COUNTIF(C$4:C1278,Upgrades!$B$3:$B$13)-COUNTIF(C$4:C1278,"Sell_"&amp;Upgrades!$B$3:$B$13))*Upgrades!$D$3:$D$13))</f>
        <v/>
      </c>
      <c r="F1278" s="66" t="str">
        <f>IFERROR(__xludf.DUMMYFUNCTION("IF(COUNTA(C1278:C1673)=0,"""",IF(REGEXMATCH(INDEX(FILTER(C$4:C1278,C$4:C1278&lt;&gt;""""),ROWS(FILTER(C$4:C1278,C$4:C1278&lt;&gt;""""))),""^Sell_""),INDEX(FILTER(F$4:F1277,C$4:C1277&lt;&gt;""""),ROWS(FILTER(C$4:C1277,C$4:C1277&lt;&gt;""""))),$AC$5+E1278))"),"")</f>
        <v/>
      </c>
      <c r="G1278" s="10" t="str">
        <f>IFERROR(__xludf.DUMMYFUNCTION("IF(COUNTA(C1278:C1673)=0,"""",IF(C1278="""",0,IF(REGEXMATCH(C1278,""^Sell_""),-ROUNDDOWN(ROUNDUP(INDEX(Upgrades!$C$3:$C$13,MATCH(SUBSTITUTE(C1278,""Sell_"",""""),Upgrades!$B$3:$B$13,0))*1.15^(COUNTIF(C$4:C1277,SUBSTITUTE(C1278,""Sell_"",""""))-COUNTIF(C$4"&amp;":C1277,""Sell_""&amp;SUBSTITUTE(C1278,""Sell_"",""""))))/2),ROUNDUP(INDEX(Upgrades!$C$3:$C$13,MATCH(C1278,Upgrades!$B$3:$B$13,0))*1.15^(COUNTIF(C$4:C1277,C1278)-COUNTIF(C$4:C1277,""Sell_""&amp;C1278))))))"),"")</f>
        <v/>
      </c>
      <c r="H1278" s="10" t="str">
        <f t="shared" si="3"/>
        <v/>
      </c>
      <c r="I1278" s="68" t="str">
        <f t="shared" si="4"/>
        <v/>
      </c>
      <c r="J1278" s="59" t="str">
        <f t="shared" si="5"/>
        <v/>
      </c>
      <c r="K1278" s="69" t="str">
        <f t="shared" si="6"/>
        <v/>
      </c>
      <c r="L1278" s="60" t="str">
        <f t="shared" si="7"/>
        <v/>
      </c>
      <c r="M1278" s="61" t="str">
        <f>IFERROR(__xludf.DUMMYFUNCTION("IFS(AND(COUNTA(C1278:C1673)=0,COUNTA(Q1278:Q1673)=0),"""",OR(AND(K1278&gt;=1000000000,OR(Y1278&gt;=1000000000,COUNTA(Q1278:Q1673)=0)),OR(Y1278&gt;=1000000000,AND(COUNTA(C1278:C1673)=0,P$3=TRUE))),
ROUNDDOWN((AB$1-AC$1)*MAX(INDEX(T$4:T1673,MATCH(LARGE(FILTER(Y$4:Y1"&amp;"673,Y$4:Y1673&lt;1000000000),1),Y$4:Y1673)),INDEX(F$4:F1673,MATCH(LARGE(FILTER(K$4:K1673,K$4:K1673&lt;1000000000),1),K$4:K1673)))),AND(K1278&lt;1000000000,COUNTA(C1278:C1673)&gt;0,P$3=FALSE),
ROUNDDOWN(INDEX(Y$4:Y1673,MATCH(LARGE(FILTER(W$4:W1673,W$4:W1673&lt;=I1278),1)"&amp;",W$4:W1673))+(I1278-LARGE(FILTER(W$4:W1673,W$4:W1673&lt;=I1278),1))*INDEX(T$4:T1673,MATCH(LARGE(FILTER(W$4:W1673,W$4:W1673&lt;=I1278),1),W$4:W1673))-K1278),1,
ROUNDDOWN(Y1278-INDEX(K$4:K1673,MATCH(LARGE(FILTER(I$4:I1673,I$4:I1673&lt;=W1278),1),I$4:I1673))-(W1278-L"&amp;"ARGE(FILTER(I$4:I1673,I$4:I1673&lt;=W1278),1))*INDEX(F$4:F1673,MATCH(LARGE(FILTER(I$4:I1673,I$4:I1673&lt;=W1278),1),I$4:I1673))))"),"")</f>
        <v/>
      </c>
      <c r="N1278" s="60" t="str">
        <f t="shared" si="8"/>
        <v/>
      </c>
      <c r="O1278" s="61" t="str">
        <f t="shared" si="9"/>
        <v/>
      </c>
      <c r="P1278" s="56" t="str">
        <f t="shared" si="10"/>
        <v/>
      </c>
      <c r="Q1278" s="67"/>
      <c r="R1278" s="10"/>
      <c r="S1278" s="59" t="str">
        <f t="array" ref="S1278">IF(COUNTA(Q1278:Q1673)=0,"",SUM((COUNTIF(Q$4:Q1278,Upgrades!$B$3:$B$13)-COUNTIF(Q$4:Q1278,"Sell_"&amp;Upgrades!$B$3:$B$13))*Upgrades!$D$3:$D$13))</f>
        <v/>
      </c>
      <c r="T1278" s="66" t="str">
        <f>IFERROR(__xludf.DUMMYFUNCTION("IF(COUNTA(Q1278:Q1673)=0,"""",IF(REGEXMATCH(INDEX(FILTER(Q$4:Q1278,Q$4:Q1278&lt;&gt;""""),ROWS(FILTER(Q$4:Q1278,Q$4:Q1278&lt;&gt;""""))),""^Sell_""),INDEX(FILTER(T$4:T1277,Q$4:Q1277&lt;&gt;""""),ROWS(FILTER(Q$4:Q1277,Q$4:Q1277&lt;&gt;""""))),$AD$5+S1278))"),"")</f>
        <v/>
      </c>
      <c r="U1278" s="10" t="str">
        <f>IFERROR(__xludf.DUMMYFUNCTION("IF(COUNTA(Q1278:Q1673)=0,"""",IF(Q1278="""",0,IF(REGEXMATCH(Q1278,""^Sell_""),-ROUNDDOWN(ROUNDUP(INDEX(Upgrades!$C$3:$C$13,MATCH(SUBSTITUTE(Q1278,""Sell_"",""""),Upgrades!$B$3:$B$13,0))*1.15^(COUNTIF(Q$4:Q1277,SUBSTITUTE(Q1278,""Sell_"",""""))-COUNTIF(Q$4"&amp;":Q1277,""Sell_""&amp;SUBSTITUTE(Q1278,""Sell_"",""""))))/2),ROUNDUP(INDEX(Upgrades!$C$3:$C$13,MATCH(Q1278,Upgrades!$B$3:$B$13,0))*1.15^(COUNTIF(Q$4:Q1277,Q1278)-COUNTIF(Q$4:Q1277,""Sell_""&amp;Q1278))))))"),"")</f>
        <v/>
      </c>
      <c r="V1278" s="10" t="str">
        <f t="shared" si="11"/>
        <v/>
      </c>
      <c r="W1278" s="68" t="str">
        <f t="shared" si="12"/>
        <v/>
      </c>
      <c r="X1278" s="59" t="str">
        <f t="shared" si="13"/>
        <v/>
      </c>
      <c r="Y1278" s="69" t="str">
        <f t="shared" si="14"/>
        <v/>
      </c>
      <c r="Z1278" s="11"/>
    </row>
    <row r="1279">
      <c r="A1279" s="8"/>
      <c r="B1279" s="56" t="str">
        <f t="shared" si="2"/>
        <v/>
      </c>
      <c r="C1279" s="105"/>
      <c r="D1279" s="10"/>
      <c r="E1279" s="59" t="str">
        <f t="array" ref="E1279">IF(COUNTA(C1279:C1673)=0,"",SUM((COUNTIF(C$4:C1279,Upgrades!$B$3:$B$13)-COUNTIF(C$4:C1279,"Sell_"&amp;Upgrades!$B$3:$B$13))*Upgrades!$D$3:$D$13))</f>
        <v/>
      </c>
      <c r="F1279" s="66" t="str">
        <f>IFERROR(__xludf.DUMMYFUNCTION("IF(COUNTA(C1279:C1673)=0,"""",IF(REGEXMATCH(INDEX(FILTER(C$4:C1279,C$4:C1279&lt;&gt;""""),ROWS(FILTER(C$4:C1279,C$4:C1279&lt;&gt;""""))),""^Sell_""),INDEX(FILTER(F$4:F1278,C$4:C1278&lt;&gt;""""),ROWS(FILTER(C$4:C1278,C$4:C1278&lt;&gt;""""))),$AC$5+E1279))"),"")</f>
        <v/>
      </c>
      <c r="G1279" s="10" t="str">
        <f>IFERROR(__xludf.DUMMYFUNCTION("IF(COUNTA(C1279:C1673)=0,"""",IF(C1279="""",0,IF(REGEXMATCH(C1279,""^Sell_""),-ROUNDDOWN(ROUNDUP(INDEX(Upgrades!$C$3:$C$13,MATCH(SUBSTITUTE(C1279,""Sell_"",""""),Upgrades!$B$3:$B$13,0))*1.15^(COUNTIF(C$4:C1278,SUBSTITUTE(C1279,""Sell_"",""""))-COUNTIF(C$4"&amp;":C1278,""Sell_""&amp;SUBSTITUTE(C1279,""Sell_"",""""))))/2),ROUNDUP(INDEX(Upgrades!$C$3:$C$13,MATCH(C1279,Upgrades!$B$3:$B$13,0))*1.15^(COUNTIF(C$4:C1278,C1279)-COUNTIF(C$4:C1278,""Sell_""&amp;C1279))))))"),"")</f>
        <v/>
      </c>
      <c r="H1279" s="10" t="str">
        <f t="shared" si="3"/>
        <v/>
      </c>
      <c r="I1279" s="68" t="str">
        <f t="shared" si="4"/>
        <v/>
      </c>
      <c r="J1279" s="59" t="str">
        <f t="shared" si="5"/>
        <v/>
      </c>
      <c r="K1279" s="69" t="str">
        <f t="shared" si="6"/>
        <v/>
      </c>
      <c r="L1279" s="60" t="str">
        <f t="shared" si="7"/>
        <v/>
      </c>
      <c r="M1279" s="61" t="str">
        <f>IFERROR(__xludf.DUMMYFUNCTION("IFS(AND(COUNTA(C1279:C1673)=0,COUNTA(Q1279:Q1673)=0),"""",OR(AND(K1279&gt;=1000000000,OR(Y1279&gt;=1000000000,COUNTA(Q1279:Q1673)=0)),OR(Y1279&gt;=1000000000,AND(COUNTA(C1279:C1673)=0,P$3=TRUE))),
ROUNDDOWN((AB$1-AC$1)*MAX(INDEX(T$4:T1673,MATCH(LARGE(FILTER(Y$4:Y1"&amp;"673,Y$4:Y1673&lt;1000000000),1),Y$4:Y1673)),INDEX(F$4:F1673,MATCH(LARGE(FILTER(K$4:K1673,K$4:K1673&lt;1000000000),1),K$4:K1673)))),AND(K1279&lt;1000000000,COUNTA(C1279:C1673)&gt;0,P$3=FALSE),
ROUNDDOWN(INDEX(Y$4:Y1673,MATCH(LARGE(FILTER(W$4:W1673,W$4:W1673&lt;=I1279),1)"&amp;",W$4:W1673))+(I1279-LARGE(FILTER(W$4:W1673,W$4:W1673&lt;=I1279),1))*INDEX(T$4:T1673,MATCH(LARGE(FILTER(W$4:W1673,W$4:W1673&lt;=I1279),1),W$4:W1673))-K1279),1,
ROUNDDOWN(Y1279-INDEX(K$4:K1673,MATCH(LARGE(FILTER(I$4:I1673,I$4:I1673&lt;=W1279),1),I$4:I1673))-(W1279-L"&amp;"ARGE(FILTER(I$4:I1673,I$4:I1673&lt;=W1279),1))*INDEX(F$4:F1673,MATCH(LARGE(FILTER(I$4:I1673,I$4:I1673&lt;=W1279),1),I$4:I1673))))"),"")</f>
        <v/>
      </c>
      <c r="N1279" s="60" t="str">
        <f t="shared" si="8"/>
        <v/>
      </c>
      <c r="O1279" s="61" t="str">
        <f t="shared" si="9"/>
        <v/>
      </c>
      <c r="P1279" s="56" t="str">
        <f t="shared" si="10"/>
        <v/>
      </c>
      <c r="Q1279" s="67"/>
      <c r="R1279" s="10"/>
      <c r="S1279" s="59" t="str">
        <f t="array" ref="S1279">IF(COUNTA(Q1279:Q1673)=0,"",SUM((COUNTIF(Q$4:Q1279,Upgrades!$B$3:$B$13)-COUNTIF(Q$4:Q1279,"Sell_"&amp;Upgrades!$B$3:$B$13))*Upgrades!$D$3:$D$13))</f>
        <v/>
      </c>
      <c r="T1279" s="66" t="str">
        <f>IFERROR(__xludf.DUMMYFUNCTION("IF(COUNTA(Q1279:Q1673)=0,"""",IF(REGEXMATCH(INDEX(FILTER(Q$4:Q1279,Q$4:Q1279&lt;&gt;""""),ROWS(FILTER(Q$4:Q1279,Q$4:Q1279&lt;&gt;""""))),""^Sell_""),INDEX(FILTER(T$4:T1278,Q$4:Q1278&lt;&gt;""""),ROWS(FILTER(Q$4:Q1278,Q$4:Q1278&lt;&gt;""""))),$AD$5+S1279))"),"")</f>
        <v/>
      </c>
      <c r="U1279" s="10" t="str">
        <f>IFERROR(__xludf.DUMMYFUNCTION("IF(COUNTA(Q1279:Q1673)=0,"""",IF(Q1279="""",0,IF(REGEXMATCH(Q1279,""^Sell_""),-ROUNDDOWN(ROUNDUP(INDEX(Upgrades!$C$3:$C$13,MATCH(SUBSTITUTE(Q1279,""Sell_"",""""),Upgrades!$B$3:$B$13,0))*1.15^(COUNTIF(Q$4:Q1278,SUBSTITUTE(Q1279,""Sell_"",""""))-COUNTIF(Q$4"&amp;":Q1278,""Sell_""&amp;SUBSTITUTE(Q1279,""Sell_"",""""))))/2),ROUNDUP(INDEX(Upgrades!$C$3:$C$13,MATCH(Q1279,Upgrades!$B$3:$B$13,0))*1.15^(COUNTIF(Q$4:Q1278,Q1279)-COUNTIF(Q$4:Q1278,""Sell_""&amp;Q1279))))))"),"")</f>
        <v/>
      </c>
      <c r="V1279" s="10" t="str">
        <f t="shared" si="11"/>
        <v/>
      </c>
      <c r="W1279" s="68" t="str">
        <f t="shared" si="12"/>
        <v/>
      </c>
      <c r="X1279" s="59" t="str">
        <f t="shared" si="13"/>
        <v/>
      </c>
      <c r="Y1279" s="69" t="str">
        <f t="shared" si="14"/>
        <v/>
      </c>
      <c r="Z1279" s="11"/>
    </row>
    <row r="1280">
      <c r="A1280" s="8"/>
      <c r="B1280" s="56" t="str">
        <f t="shared" si="2"/>
        <v/>
      </c>
      <c r="C1280" s="105"/>
      <c r="D1280" s="10"/>
      <c r="E1280" s="59" t="str">
        <f t="array" ref="E1280">IF(COUNTA(C1280:C1673)=0,"",SUM((COUNTIF(C$4:C1280,Upgrades!$B$3:$B$13)-COUNTIF(C$4:C1280,"Sell_"&amp;Upgrades!$B$3:$B$13))*Upgrades!$D$3:$D$13))</f>
        <v/>
      </c>
      <c r="F1280" s="66" t="str">
        <f>IFERROR(__xludf.DUMMYFUNCTION("IF(COUNTA(C1280:C1673)=0,"""",IF(REGEXMATCH(INDEX(FILTER(C$4:C1280,C$4:C1280&lt;&gt;""""),ROWS(FILTER(C$4:C1280,C$4:C1280&lt;&gt;""""))),""^Sell_""),INDEX(FILTER(F$4:F1279,C$4:C1279&lt;&gt;""""),ROWS(FILTER(C$4:C1279,C$4:C1279&lt;&gt;""""))),$AC$5+E1280))"),"")</f>
        <v/>
      </c>
      <c r="G1280" s="10" t="str">
        <f>IFERROR(__xludf.DUMMYFUNCTION("IF(COUNTA(C1280:C1673)=0,"""",IF(C1280="""",0,IF(REGEXMATCH(C1280,""^Sell_""),-ROUNDDOWN(ROUNDUP(INDEX(Upgrades!$C$3:$C$13,MATCH(SUBSTITUTE(C1280,""Sell_"",""""),Upgrades!$B$3:$B$13,0))*1.15^(COUNTIF(C$4:C1279,SUBSTITUTE(C1280,""Sell_"",""""))-COUNTIF(C$4"&amp;":C1279,""Sell_""&amp;SUBSTITUTE(C1280,""Sell_"",""""))))/2),ROUNDUP(INDEX(Upgrades!$C$3:$C$13,MATCH(C1280,Upgrades!$B$3:$B$13,0))*1.15^(COUNTIF(C$4:C1279,C1280)-COUNTIF(C$4:C1279,""Sell_""&amp;C1280))))))"),"")</f>
        <v/>
      </c>
      <c r="H1280" s="10" t="str">
        <f t="shared" si="3"/>
        <v/>
      </c>
      <c r="I1280" s="68" t="str">
        <f t="shared" si="4"/>
        <v/>
      </c>
      <c r="J1280" s="59" t="str">
        <f t="shared" si="5"/>
        <v/>
      </c>
      <c r="K1280" s="69" t="str">
        <f t="shared" si="6"/>
        <v/>
      </c>
      <c r="L1280" s="60" t="str">
        <f t="shared" si="7"/>
        <v/>
      </c>
      <c r="M1280" s="61" t="str">
        <f>IFERROR(__xludf.DUMMYFUNCTION("IFS(AND(COUNTA(C1280:C1673)=0,COUNTA(Q1280:Q1673)=0),"""",OR(AND(K1280&gt;=1000000000,OR(Y1280&gt;=1000000000,COUNTA(Q1280:Q1673)=0)),OR(Y1280&gt;=1000000000,AND(COUNTA(C1280:C1673)=0,P$3=TRUE))),
ROUNDDOWN((AB$1-AC$1)*MAX(INDEX(T$4:T1673,MATCH(LARGE(FILTER(Y$4:Y1"&amp;"673,Y$4:Y1673&lt;1000000000),1),Y$4:Y1673)),INDEX(F$4:F1673,MATCH(LARGE(FILTER(K$4:K1673,K$4:K1673&lt;1000000000),1),K$4:K1673)))),AND(K1280&lt;1000000000,COUNTA(C1280:C1673)&gt;0,P$3=FALSE),
ROUNDDOWN(INDEX(Y$4:Y1673,MATCH(LARGE(FILTER(W$4:W1673,W$4:W1673&lt;=I1280),1)"&amp;",W$4:W1673))+(I1280-LARGE(FILTER(W$4:W1673,W$4:W1673&lt;=I1280),1))*INDEX(T$4:T1673,MATCH(LARGE(FILTER(W$4:W1673,W$4:W1673&lt;=I1280),1),W$4:W1673))-K1280),1,
ROUNDDOWN(Y1280-INDEX(K$4:K1673,MATCH(LARGE(FILTER(I$4:I1673,I$4:I1673&lt;=W1280),1),I$4:I1673))-(W1280-L"&amp;"ARGE(FILTER(I$4:I1673,I$4:I1673&lt;=W1280),1))*INDEX(F$4:F1673,MATCH(LARGE(FILTER(I$4:I1673,I$4:I1673&lt;=W1280),1),I$4:I1673))))"),"")</f>
        <v/>
      </c>
      <c r="N1280" s="60" t="str">
        <f t="shared" si="8"/>
        <v/>
      </c>
      <c r="O1280" s="61" t="str">
        <f t="shared" si="9"/>
        <v/>
      </c>
      <c r="P1280" s="56" t="str">
        <f t="shared" si="10"/>
        <v/>
      </c>
      <c r="Q1280" s="67"/>
      <c r="R1280" s="10"/>
      <c r="S1280" s="59" t="str">
        <f t="array" ref="S1280">IF(COUNTA(Q1280:Q1673)=0,"",SUM((COUNTIF(Q$4:Q1280,Upgrades!$B$3:$B$13)-COUNTIF(Q$4:Q1280,"Sell_"&amp;Upgrades!$B$3:$B$13))*Upgrades!$D$3:$D$13))</f>
        <v/>
      </c>
      <c r="T1280" s="66" t="str">
        <f>IFERROR(__xludf.DUMMYFUNCTION("IF(COUNTA(Q1280:Q1673)=0,"""",IF(REGEXMATCH(INDEX(FILTER(Q$4:Q1280,Q$4:Q1280&lt;&gt;""""),ROWS(FILTER(Q$4:Q1280,Q$4:Q1280&lt;&gt;""""))),""^Sell_""),INDEX(FILTER(T$4:T1279,Q$4:Q1279&lt;&gt;""""),ROWS(FILTER(Q$4:Q1279,Q$4:Q1279&lt;&gt;""""))),$AD$5+S1280))"),"")</f>
        <v/>
      </c>
      <c r="U1280" s="10" t="str">
        <f>IFERROR(__xludf.DUMMYFUNCTION("IF(COUNTA(Q1280:Q1673)=0,"""",IF(Q1280="""",0,IF(REGEXMATCH(Q1280,""^Sell_""),-ROUNDDOWN(ROUNDUP(INDEX(Upgrades!$C$3:$C$13,MATCH(SUBSTITUTE(Q1280,""Sell_"",""""),Upgrades!$B$3:$B$13,0))*1.15^(COUNTIF(Q$4:Q1279,SUBSTITUTE(Q1280,""Sell_"",""""))-COUNTIF(Q$4"&amp;":Q1279,""Sell_""&amp;SUBSTITUTE(Q1280,""Sell_"",""""))))/2),ROUNDUP(INDEX(Upgrades!$C$3:$C$13,MATCH(Q1280,Upgrades!$B$3:$B$13,0))*1.15^(COUNTIF(Q$4:Q1279,Q1280)-COUNTIF(Q$4:Q1279,""Sell_""&amp;Q1280))))))"),"")</f>
        <v/>
      </c>
      <c r="V1280" s="10" t="str">
        <f t="shared" si="11"/>
        <v/>
      </c>
      <c r="W1280" s="68" t="str">
        <f t="shared" si="12"/>
        <v/>
      </c>
      <c r="X1280" s="59" t="str">
        <f t="shared" si="13"/>
        <v/>
      </c>
      <c r="Y1280" s="69" t="str">
        <f t="shared" si="14"/>
        <v/>
      </c>
      <c r="Z1280" s="11"/>
    </row>
    <row r="1281">
      <c r="A1281" s="8"/>
      <c r="B1281" s="56" t="str">
        <f t="shared" si="2"/>
        <v/>
      </c>
      <c r="C1281" s="105"/>
      <c r="D1281" s="10"/>
      <c r="E1281" s="59" t="str">
        <f t="array" ref="E1281">IF(COUNTA(C1281:C1673)=0,"",SUM((COUNTIF(C$4:C1281,Upgrades!$B$3:$B$13)-COUNTIF(C$4:C1281,"Sell_"&amp;Upgrades!$B$3:$B$13))*Upgrades!$D$3:$D$13))</f>
        <v/>
      </c>
      <c r="F1281" s="66" t="str">
        <f>IFERROR(__xludf.DUMMYFUNCTION("IF(COUNTA(C1281:C1673)=0,"""",IF(REGEXMATCH(INDEX(FILTER(C$4:C1281,C$4:C1281&lt;&gt;""""),ROWS(FILTER(C$4:C1281,C$4:C1281&lt;&gt;""""))),""^Sell_""),INDEX(FILTER(F$4:F1280,C$4:C1280&lt;&gt;""""),ROWS(FILTER(C$4:C1280,C$4:C1280&lt;&gt;""""))),$AC$5+E1281))"),"")</f>
        <v/>
      </c>
      <c r="G1281" s="10" t="str">
        <f>IFERROR(__xludf.DUMMYFUNCTION("IF(COUNTA(C1281:C1673)=0,"""",IF(C1281="""",0,IF(REGEXMATCH(C1281,""^Sell_""),-ROUNDDOWN(ROUNDUP(INDEX(Upgrades!$C$3:$C$13,MATCH(SUBSTITUTE(C1281,""Sell_"",""""),Upgrades!$B$3:$B$13,0))*1.15^(COUNTIF(C$4:C1280,SUBSTITUTE(C1281,""Sell_"",""""))-COUNTIF(C$4"&amp;":C1280,""Sell_""&amp;SUBSTITUTE(C1281,""Sell_"",""""))))/2),ROUNDUP(INDEX(Upgrades!$C$3:$C$13,MATCH(C1281,Upgrades!$B$3:$B$13,0))*1.15^(COUNTIF(C$4:C1280,C1281)-COUNTIF(C$4:C1280,""Sell_""&amp;C1281))))))"),"")</f>
        <v/>
      </c>
      <c r="H1281" s="10" t="str">
        <f t="shared" si="3"/>
        <v/>
      </c>
      <c r="I1281" s="68" t="str">
        <f t="shared" si="4"/>
        <v/>
      </c>
      <c r="J1281" s="59" t="str">
        <f t="shared" si="5"/>
        <v/>
      </c>
      <c r="K1281" s="69" t="str">
        <f t="shared" si="6"/>
        <v/>
      </c>
      <c r="L1281" s="60" t="str">
        <f t="shared" si="7"/>
        <v/>
      </c>
      <c r="M1281" s="61" t="str">
        <f>IFERROR(__xludf.DUMMYFUNCTION("IFS(AND(COUNTA(C1281:C1673)=0,COUNTA(Q1281:Q1673)=0),"""",OR(AND(K1281&gt;=1000000000,OR(Y1281&gt;=1000000000,COUNTA(Q1281:Q1673)=0)),OR(Y1281&gt;=1000000000,AND(COUNTA(C1281:C1673)=0,P$3=TRUE))),
ROUNDDOWN((AB$1-AC$1)*MAX(INDEX(T$4:T1673,MATCH(LARGE(FILTER(Y$4:Y1"&amp;"673,Y$4:Y1673&lt;1000000000),1),Y$4:Y1673)),INDEX(F$4:F1673,MATCH(LARGE(FILTER(K$4:K1673,K$4:K1673&lt;1000000000),1),K$4:K1673)))),AND(K1281&lt;1000000000,COUNTA(C1281:C1673)&gt;0,P$3=FALSE),
ROUNDDOWN(INDEX(Y$4:Y1673,MATCH(LARGE(FILTER(W$4:W1673,W$4:W1673&lt;=I1281),1)"&amp;",W$4:W1673))+(I1281-LARGE(FILTER(W$4:W1673,W$4:W1673&lt;=I1281),1))*INDEX(T$4:T1673,MATCH(LARGE(FILTER(W$4:W1673,W$4:W1673&lt;=I1281),1),W$4:W1673))-K1281),1,
ROUNDDOWN(Y1281-INDEX(K$4:K1673,MATCH(LARGE(FILTER(I$4:I1673,I$4:I1673&lt;=W1281),1),I$4:I1673))-(W1281-L"&amp;"ARGE(FILTER(I$4:I1673,I$4:I1673&lt;=W1281),1))*INDEX(F$4:F1673,MATCH(LARGE(FILTER(I$4:I1673,I$4:I1673&lt;=W1281),1),I$4:I1673))))"),"")</f>
        <v/>
      </c>
      <c r="N1281" s="60" t="str">
        <f t="shared" si="8"/>
        <v/>
      </c>
      <c r="O1281" s="61" t="str">
        <f t="shared" si="9"/>
        <v/>
      </c>
      <c r="P1281" s="56" t="str">
        <f t="shared" si="10"/>
        <v/>
      </c>
      <c r="Q1281" s="67"/>
      <c r="R1281" s="10"/>
      <c r="S1281" s="59" t="str">
        <f t="array" ref="S1281">IF(COUNTA(Q1281:Q1673)=0,"",SUM((COUNTIF(Q$4:Q1281,Upgrades!$B$3:$B$13)-COUNTIF(Q$4:Q1281,"Sell_"&amp;Upgrades!$B$3:$B$13))*Upgrades!$D$3:$D$13))</f>
        <v/>
      </c>
      <c r="T1281" s="66" t="str">
        <f>IFERROR(__xludf.DUMMYFUNCTION("IF(COUNTA(Q1281:Q1673)=0,"""",IF(REGEXMATCH(INDEX(FILTER(Q$4:Q1281,Q$4:Q1281&lt;&gt;""""),ROWS(FILTER(Q$4:Q1281,Q$4:Q1281&lt;&gt;""""))),""^Sell_""),INDEX(FILTER(T$4:T1280,Q$4:Q1280&lt;&gt;""""),ROWS(FILTER(Q$4:Q1280,Q$4:Q1280&lt;&gt;""""))),$AD$5+S1281))"),"")</f>
        <v/>
      </c>
      <c r="U1281" s="10" t="str">
        <f>IFERROR(__xludf.DUMMYFUNCTION("IF(COUNTA(Q1281:Q1673)=0,"""",IF(Q1281="""",0,IF(REGEXMATCH(Q1281,""^Sell_""),-ROUNDDOWN(ROUNDUP(INDEX(Upgrades!$C$3:$C$13,MATCH(SUBSTITUTE(Q1281,""Sell_"",""""),Upgrades!$B$3:$B$13,0))*1.15^(COUNTIF(Q$4:Q1280,SUBSTITUTE(Q1281,""Sell_"",""""))-COUNTIF(Q$4"&amp;":Q1280,""Sell_""&amp;SUBSTITUTE(Q1281,""Sell_"",""""))))/2),ROUNDUP(INDEX(Upgrades!$C$3:$C$13,MATCH(Q1281,Upgrades!$B$3:$B$13,0))*1.15^(COUNTIF(Q$4:Q1280,Q1281)-COUNTIF(Q$4:Q1280,""Sell_""&amp;Q1281))))))"),"")</f>
        <v/>
      </c>
      <c r="V1281" s="10" t="str">
        <f t="shared" si="11"/>
        <v/>
      </c>
      <c r="W1281" s="68" t="str">
        <f t="shared" si="12"/>
        <v/>
      </c>
      <c r="X1281" s="59" t="str">
        <f t="shared" si="13"/>
        <v/>
      </c>
      <c r="Y1281" s="69" t="str">
        <f t="shared" si="14"/>
        <v/>
      </c>
      <c r="Z1281" s="11"/>
    </row>
    <row r="1282">
      <c r="A1282" s="8"/>
      <c r="B1282" s="56" t="str">
        <f t="shared" si="2"/>
        <v/>
      </c>
      <c r="C1282" s="105"/>
      <c r="D1282" s="10"/>
      <c r="E1282" s="59" t="str">
        <f t="array" ref="E1282">IF(COUNTA(C1282:C1673)=0,"",SUM((COUNTIF(C$4:C1282,Upgrades!$B$3:$B$13)-COUNTIF(C$4:C1282,"Sell_"&amp;Upgrades!$B$3:$B$13))*Upgrades!$D$3:$D$13))</f>
        <v/>
      </c>
      <c r="F1282" s="66" t="str">
        <f>IFERROR(__xludf.DUMMYFUNCTION("IF(COUNTA(C1282:C1673)=0,"""",IF(REGEXMATCH(INDEX(FILTER(C$4:C1282,C$4:C1282&lt;&gt;""""),ROWS(FILTER(C$4:C1282,C$4:C1282&lt;&gt;""""))),""^Sell_""),INDEX(FILTER(F$4:F1281,C$4:C1281&lt;&gt;""""),ROWS(FILTER(C$4:C1281,C$4:C1281&lt;&gt;""""))),$AC$5+E1282))"),"")</f>
        <v/>
      </c>
      <c r="G1282" s="10" t="str">
        <f>IFERROR(__xludf.DUMMYFUNCTION("IF(COUNTA(C1282:C1673)=0,"""",IF(C1282="""",0,IF(REGEXMATCH(C1282,""^Sell_""),-ROUNDDOWN(ROUNDUP(INDEX(Upgrades!$C$3:$C$13,MATCH(SUBSTITUTE(C1282,""Sell_"",""""),Upgrades!$B$3:$B$13,0))*1.15^(COUNTIF(C$4:C1281,SUBSTITUTE(C1282,""Sell_"",""""))-COUNTIF(C$4"&amp;":C1281,""Sell_""&amp;SUBSTITUTE(C1282,""Sell_"",""""))))/2),ROUNDUP(INDEX(Upgrades!$C$3:$C$13,MATCH(C1282,Upgrades!$B$3:$B$13,0))*1.15^(COUNTIF(C$4:C1281,C1282)-COUNTIF(C$4:C1281,""Sell_""&amp;C1282))))))"),"")</f>
        <v/>
      </c>
      <c r="H1282" s="10" t="str">
        <f t="shared" si="3"/>
        <v/>
      </c>
      <c r="I1282" s="68" t="str">
        <f t="shared" si="4"/>
        <v/>
      </c>
      <c r="J1282" s="59" t="str">
        <f t="shared" si="5"/>
        <v/>
      </c>
      <c r="K1282" s="69" t="str">
        <f t="shared" si="6"/>
        <v/>
      </c>
      <c r="L1282" s="60" t="str">
        <f t="shared" si="7"/>
        <v/>
      </c>
      <c r="M1282" s="61" t="str">
        <f>IFERROR(__xludf.DUMMYFUNCTION("IFS(AND(COUNTA(C1282:C1673)=0,COUNTA(Q1282:Q1673)=0),"""",OR(AND(K1282&gt;=1000000000,OR(Y1282&gt;=1000000000,COUNTA(Q1282:Q1673)=0)),OR(Y1282&gt;=1000000000,AND(COUNTA(C1282:C1673)=0,P$3=TRUE))),
ROUNDDOWN((AB$1-AC$1)*MAX(INDEX(T$4:T1673,MATCH(LARGE(FILTER(Y$4:Y1"&amp;"673,Y$4:Y1673&lt;1000000000),1),Y$4:Y1673)),INDEX(F$4:F1673,MATCH(LARGE(FILTER(K$4:K1673,K$4:K1673&lt;1000000000),1),K$4:K1673)))),AND(K1282&lt;1000000000,COUNTA(C1282:C1673)&gt;0,P$3=FALSE),
ROUNDDOWN(INDEX(Y$4:Y1673,MATCH(LARGE(FILTER(W$4:W1673,W$4:W1673&lt;=I1282),1)"&amp;",W$4:W1673))+(I1282-LARGE(FILTER(W$4:W1673,W$4:W1673&lt;=I1282),1))*INDEX(T$4:T1673,MATCH(LARGE(FILTER(W$4:W1673,W$4:W1673&lt;=I1282),1),W$4:W1673))-K1282),1,
ROUNDDOWN(Y1282-INDEX(K$4:K1673,MATCH(LARGE(FILTER(I$4:I1673,I$4:I1673&lt;=W1282),1),I$4:I1673))-(W1282-L"&amp;"ARGE(FILTER(I$4:I1673,I$4:I1673&lt;=W1282),1))*INDEX(F$4:F1673,MATCH(LARGE(FILTER(I$4:I1673,I$4:I1673&lt;=W1282),1),I$4:I1673))))"),"")</f>
        <v/>
      </c>
      <c r="N1282" s="60" t="str">
        <f t="shared" si="8"/>
        <v/>
      </c>
      <c r="O1282" s="61" t="str">
        <f t="shared" si="9"/>
        <v/>
      </c>
      <c r="P1282" s="56" t="str">
        <f t="shared" si="10"/>
        <v/>
      </c>
      <c r="Q1282" s="67"/>
      <c r="R1282" s="10"/>
      <c r="S1282" s="59" t="str">
        <f t="array" ref="S1282">IF(COUNTA(Q1282:Q1673)=0,"",SUM((COUNTIF(Q$4:Q1282,Upgrades!$B$3:$B$13)-COUNTIF(Q$4:Q1282,"Sell_"&amp;Upgrades!$B$3:$B$13))*Upgrades!$D$3:$D$13))</f>
        <v/>
      </c>
      <c r="T1282" s="66" t="str">
        <f>IFERROR(__xludf.DUMMYFUNCTION("IF(COUNTA(Q1282:Q1673)=0,"""",IF(REGEXMATCH(INDEX(FILTER(Q$4:Q1282,Q$4:Q1282&lt;&gt;""""),ROWS(FILTER(Q$4:Q1282,Q$4:Q1282&lt;&gt;""""))),""^Sell_""),INDEX(FILTER(T$4:T1281,Q$4:Q1281&lt;&gt;""""),ROWS(FILTER(Q$4:Q1281,Q$4:Q1281&lt;&gt;""""))),$AD$5+S1282))"),"")</f>
        <v/>
      </c>
      <c r="U1282" s="10" t="str">
        <f>IFERROR(__xludf.DUMMYFUNCTION("IF(COUNTA(Q1282:Q1673)=0,"""",IF(Q1282="""",0,IF(REGEXMATCH(Q1282,""^Sell_""),-ROUNDDOWN(ROUNDUP(INDEX(Upgrades!$C$3:$C$13,MATCH(SUBSTITUTE(Q1282,""Sell_"",""""),Upgrades!$B$3:$B$13,0))*1.15^(COUNTIF(Q$4:Q1281,SUBSTITUTE(Q1282,""Sell_"",""""))-COUNTIF(Q$4"&amp;":Q1281,""Sell_""&amp;SUBSTITUTE(Q1282,""Sell_"",""""))))/2),ROUNDUP(INDEX(Upgrades!$C$3:$C$13,MATCH(Q1282,Upgrades!$B$3:$B$13,0))*1.15^(COUNTIF(Q$4:Q1281,Q1282)-COUNTIF(Q$4:Q1281,""Sell_""&amp;Q1282))))))"),"")</f>
        <v/>
      </c>
      <c r="V1282" s="10" t="str">
        <f t="shared" si="11"/>
        <v/>
      </c>
      <c r="W1282" s="68" t="str">
        <f t="shared" si="12"/>
        <v/>
      </c>
      <c r="X1282" s="59" t="str">
        <f t="shared" si="13"/>
        <v/>
      </c>
      <c r="Y1282" s="69" t="str">
        <f t="shared" si="14"/>
        <v/>
      </c>
      <c r="Z1282" s="11"/>
    </row>
    <row r="1283">
      <c r="A1283" s="8"/>
      <c r="B1283" s="56" t="str">
        <f t="shared" si="2"/>
        <v/>
      </c>
      <c r="C1283" s="105"/>
      <c r="D1283" s="10"/>
      <c r="E1283" s="59" t="str">
        <f t="array" ref="E1283">IF(COUNTA(C1283:C1673)=0,"",SUM((COUNTIF(C$4:C1283,Upgrades!$B$3:$B$13)-COUNTIF(C$4:C1283,"Sell_"&amp;Upgrades!$B$3:$B$13))*Upgrades!$D$3:$D$13))</f>
        <v/>
      </c>
      <c r="F1283" s="66" t="str">
        <f>IFERROR(__xludf.DUMMYFUNCTION("IF(COUNTA(C1283:C1673)=0,"""",IF(REGEXMATCH(INDEX(FILTER(C$4:C1283,C$4:C1283&lt;&gt;""""),ROWS(FILTER(C$4:C1283,C$4:C1283&lt;&gt;""""))),""^Sell_""),INDEX(FILTER(F$4:F1282,C$4:C1282&lt;&gt;""""),ROWS(FILTER(C$4:C1282,C$4:C1282&lt;&gt;""""))),$AC$5+E1283))"),"")</f>
        <v/>
      </c>
      <c r="G1283" s="10" t="str">
        <f>IFERROR(__xludf.DUMMYFUNCTION("IF(COUNTA(C1283:C1673)=0,"""",IF(C1283="""",0,IF(REGEXMATCH(C1283,""^Sell_""),-ROUNDDOWN(ROUNDUP(INDEX(Upgrades!$C$3:$C$13,MATCH(SUBSTITUTE(C1283,""Sell_"",""""),Upgrades!$B$3:$B$13,0))*1.15^(COUNTIF(C$4:C1282,SUBSTITUTE(C1283,""Sell_"",""""))-COUNTIF(C$4"&amp;":C1282,""Sell_""&amp;SUBSTITUTE(C1283,""Sell_"",""""))))/2),ROUNDUP(INDEX(Upgrades!$C$3:$C$13,MATCH(C1283,Upgrades!$B$3:$B$13,0))*1.15^(COUNTIF(C$4:C1282,C1283)-COUNTIF(C$4:C1282,""Sell_""&amp;C1283))))))"),"")</f>
        <v/>
      </c>
      <c r="H1283" s="10" t="str">
        <f t="shared" si="3"/>
        <v/>
      </c>
      <c r="I1283" s="68" t="str">
        <f t="shared" si="4"/>
        <v/>
      </c>
      <c r="J1283" s="59" t="str">
        <f t="shared" si="5"/>
        <v/>
      </c>
      <c r="K1283" s="69" t="str">
        <f t="shared" si="6"/>
        <v/>
      </c>
      <c r="L1283" s="60" t="str">
        <f t="shared" si="7"/>
        <v/>
      </c>
      <c r="M1283" s="61" t="str">
        <f>IFERROR(__xludf.DUMMYFUNCTION("IFS(AND(COUNTA(C1283:C1673)=0,COUNTA(Q1283:Q1673)=0),"""",OR(AND(K1283&gt;=1000000000,OR(Y1283&gt;=1000000000,COUNTA(Q1283:Q1673)=0)),OR(Y1283&gt;=1000000000,AND(COUNTA(C1283:C1673)=0,P$3=TRUE))),
ROUNDDOWN((AB$1-AC$1)*MAX(INDEX(T$4:T1673,MATCH(LARGE(FILTER(Y$4:Y1"&amp;"673,Y$4:Y1673&lt;1000000000),1),Y$4:Y1673)),INDEX(F$4:F1673,MATCH(LARGE(FILTER(K$4:K1673,K$4:K1673&lt;1000000000),1),K$4:K1673)))),AND(K1283&lt;1000000000,COUNTA(C1283:C1673)&gt;0,P$3=FALSE),
ROUNDDOWN(INDEX(Y$4:Y1673,MATCH(LARGE(FILTER(W$4:W1673,W$4:W1673&lt;=I1283),1)"&amp;",W$4:W1673))+(I1283-LARGE(FILTER(W$4:W1673,W$4:W1673&lt;=I1283),1))*INDEX(T$4:T1673,MATCH(LARGE(FILTER(W$4:W1673,W$4:W1673&lt;=I1283),1),W$4:W1673))-K1283),1,
ROUNDDOWN(Y1283-INDEX(K$4:K1673,MATCH(LARGE(FILTER(I$4:I1673,I$4:I1673&lt;=W1283),1),I$4:I1673))-(W1283-L"&amp;"ARGE(FILTER(I$4:I1673,I$4:I1673&lt;=W1283),1))*INDEX(F$4:F1673,MATCH(LARGE(FILTER(I$4:I1673,I$4:I1673&lt;=W1283),1),I$4:I1673))))"),"")</f>
        <v/>
      </c>
      <c r="N1283" s="60" t="str">
        <f t="shared" si="8"/>
        <v/>
      </c>
      <c r="O1283" s="61" t="str">
        <f t="shared" si="9"/>
        <v/>
      </c>
      <c r="P1283" s="56" t="str">
        <f t="shared" si="10"/>
        <v/>
      </c>
      <c r="Q1283" s="67"/>
      <c r="R1283" s="10"/>
      <c r="S1283" s="59" t="str">
        <f t="array" ref="S1283">IF(COUNTA(Q1283:Q1673)=0,"",SUM((COUNTIF(Q$4:Q1283,Upgrades!$B$3:$B$13)-COUNTIF(Q$4:Q1283,"Sell_"&amp;Upgrades!$B$3:$B$13))*Upgrades!$D$3:$D$13))</f>
        <v/>
      </c>
      <c r="T1283" s="66" t="str">
        <f>IFERROR(__xludf.DUMMYFUNCTION("IF(COUNTA(Q1283:Q1673)=0,"""",IF(REGEXMATCH(INDEX(FILTER(Q$4:Q1283,Q$4:Q1283&lt;&gt;""""),ROWS(FILTER(Q$4:Q1283,Q$4:Q1283&lt;&gt;""""))),""^Sell_""),INDEX(FILTER(T$4:T1282,Q$4:Q1282&lt;&gt;""""),ROWS(FILTER(Q$4:Q1282,Q$4:Q1282&lt;&gt;""""))),$AD$5+S1283))"),"")</f>
        <v/>
      </c>
      <c r="U1283" s="10" t="str">
        <f>IFERROR(__xludf.DUMMYFUNCTION("IF(COUNTA(Q1283:Q1673)=0,"""",IF(Q1283="""",0,IF(REGEXMATCH(Q1283,""^Sell_""),-ROUNDDOWN(ROUNDUP(INDEX(Upgrades!$C$3:$C$13,MATCH(SUBSTITUTE(Q1283,""Sell_"",""""),Upgrades!$B$3:$B$13,0))*1.15^(COUNTIF(Q$4:Q1282,SUBSTITUTE(Q1283,""Sell_"",""""))-COUNTIF(Q$4"&amp;":Q1282,""Sell_""&amp;SUBSTITUTE(Q1283,""Sell_"",""""))))/2),ROUNDUP(INDEX(Upgrades!$C$3:$C$13,MATCH(Q1283,Upgrades!$B$3:$B$13,0))*1.15^(COUNTIF(Q$4:Q1282,Q1283)-COUNTIF(Q$4:Q1282,""Sell_""&amp;Q1283))))))"),"")</f>
        <v/>
      </c>
      <c r="V1283" s="10" t="str">
        <f t="shared" si="11"/>
        <v/>
      </c>
      <c r="W1283" s="68" t="str">
        <f t="shared" si="12"/>
        <v/>
      </c>
      <c r="X1283" s="59" t="str">
        <f t="shared" si="13"/>
        <v/>
      </c>
      <c r="Y1283" s="69" t="str">
        <f t="shared" si="14"/>
        <v/>
      </c>
      <c r="Z1283" s="11"/>
    </row>
    <row r="1284">
      <c r="A1284" s="8"/>
      <c r="B1284" s="56" t="str">
        <f t="shared" si="2"/>
        <v/>
      </c>
      <c r="C1284" s="105"/>
      <c r="D1284" s="10"/>
      <c r="E1284" s="59" t="str">
        <f t="array" ref="E1284">IF(COUNTA(C1284:C1673)=0,"",SUM((COUNTIF(C$4:C1284,Upgrades!$B$3:$B$13)-COUNTIF(C$4:C1284,"Sell_"&amp;Upgrades!$B$3:$B$13))*Upgrades!$D$3:$D$13))</f>
        <v/>
      </c>
      <c r="F1284" s="66" t="str">
        <f>IFERROR(__xludf.DUMMYFUNCTION("IF(COUNTA(C1284:C1673)=0,"""",IF(REGEXMATCH(INDEX(FILTER(C$4:C1284,C$4:C1284&lt;&gt;""""),ROWS(FILTER(C$4:C1284,C$4:C1284&lt;&gt;""""))),""^Sell_""),INDEX(FILTER(F$4:F1283,C$4:C1283&lt;&gt;""""),ROWS(FILTER(C$4:C1283,C$4:C1283&lt;&gt;""""))),$AC$5+E1284))"),"")</f>
        <v/>
      </c>
      <c r="G1284" s="10" t="str">
        <f>IFERROR(__xludf.DUMMYFUNCTION("IF(COUNTA(C1284:C1673)=0,"""",IF(C1284="""",0,IF(REGEXMATCH(C1284,""^Sell_""),-ROUNDDOWN(ROUNDUP(INDEX(Upgrades!$C$3:$C$13,MATCH(SUBSTITUTE(C1284,""Sell_"",""""),Upgrades!$B$3:$B$13,0))*1.15^(COUNTIF(C$4:C1283,SUBSTITUTE(C1284,""Sell_"",""""))-COUNTIF(C$4"&amp;":C1283,""Sell_""&amp;SUBSTITUTE(C1284,""Sell_"",""""))))/2),ROUNDUP(INDEX(Upgrades!$C$3:$C$13,MATCH(C1284,Upgrades!$B$3:$B$13,0))*1.15^(COUNTIF(C$4:C1283,C1284)-COUNTIF(C$4:C1283,""Sell_""&amp;C1284))))))"),"")</f>
        <v/>
      </c>
      <c r="H1284" s="10" t="str">
        <f t="shared" si="3"/>
        <v/>
      </c>
      <c r="I1284" s="68" t="str">
        <f t="shared" si="4"/>
        <v/>
      </c>
      <c r="J1284" s="59" t="str">
        <f t="shared" si="5"/>
        <v/>
      </c>
      <c r="K1284" s="69" t="str">
        <f t="shared" si="6"/>
        <v/>
      </c>
      <c r="L1284" s="60" t="str">
        <f t="shared" si="7"/>
        <v/>
      </c>
      <c r="M1284" s="61" t="str">
        <f>IFERROR(__xludf.DUMMYFUNCTION("IFS(AND(COUNTA(C1284:C1673)=0,COUNTA(Q1284:Q1673)=0),"""",OR(AND(K1284&gt;=1000000000,OR(Y1284&gt;=1000000000,COUNTA(Q1284:Q1673)=0)),OR(Y1284&gt;=1000000000,AND(COUNTA(C1284:C1673)=0,P$3=TRUE))),
ROUNDDOWN((AB$1-AC$1)*MAX(INDEX(T$4:T1673,MATCH(LARGE(FILTER(Y$4:Y1"&amp;"673,Y$4:Y1673&lt;1000000000),1),Y$4:Y1673)),INDEX(F$4:F1673,MATCH(LARGE(FILTER(K$4:K1673,K$4:K1673&lt;1000000000),1),K$4:K1673)))),AND(K1284&lt;1000000000,COUNTA(C1284:C1673)&gt;0,P$3=FALSE),
ROUNDDOWN(INDEX(Y$4:Y1673,MATCH(LARGE(FILTER(W$4:W1673,W$4:W1673&lt;=I1284),1)"&amp;",W$4:W1673))+(I1284-LARGE(FILTER(W$4:W1673,W$4:W1673&lt;=I1284),1))*INDEX(T$4:T1673,MATCH(LARGE(FILTER(W$4:W1673,W$4:W1673&lt;=I1284),1),W$4:W1673))-K1284),1,
ROUNDDOWN(Y1284-INDEX(K$4:K1673,MATCH(LARGE(FILTER(I$4:I1673,I$4:I1673&lt;=W1284),1),I$4:I1673))-(W1284-L"&amp;"ARGE(FILTER(I$4:I1673,I$4:I1673&lt;=W1284),1))*INDEX(F$4:F1673,MATCH(LARGE(FILTER(I$4:I1673,I$4:I1673&lt;=W1284),1),I$4:I1673))))"),"")</f>
        <v/>
      </c>
      <c r="N1284" s="60" t="str">
        <f t="shared" si="8"/>
        <v/>
      </c>
      <c r="O1284" s="61" t="str">
        <f t="shared" si="9"/>
        <v/>
      </c>
      <c r="P1284" s="56" t="str">
        <f t="shared" si="10"/>
        <v/>
      </c>
      <c r="Q1284" s="67"/>
      <c r="R1284" s="10"/>
      <c r="S1284" s="59" t="str">
        <f t="array" ref="S1284">IF(COUNTA(Q1284:Q1673)=0,"",SUM((COUNTIF(Q$4:Q1284,Upgrades!$B$3:$B$13)-COUNTIF(Q$4:Q1284,"Sell_"&amp;Upgrades!$B$3:$B$13))*Upgrades!$D$3:$D$13))</f>
        <v/>
      </c>
      <c r="T1284" s="66" t="str">
        <f>IFERROR(__xludf.DUMMYFUNCTION("IF(COUNTA(Q1284:Q1673)=0,"""",IF(REGEXMATCH(INDEX(FILTER(Q$4:Q1284,Q$4:Q1284&lt;&gt;""""),ROWS(FILTER(Q$4:Q1284,Q$4:Q1284&lt;&gt;""""))),""^Sell_""),INDEX(FILTER(T$4:T1283,Q$4:Q1283&lt;&gt;""""),ROWS(FILTER(Q$4:Q1283,Q$4:Q1283&lt;&gt;""""))),$AD$5+S1284))"),"")</f>
        <v/>
      </c>
      <c r="U1284" s="10" t="str">
        <f>IFERROR(__xludf.DUMMYFUNCTION("IF(COUNTA(Q1284:Q1673)=0,"""",IF(Q1284="""",0,IF(REGEXMATCH(Q1284,""^Sell_""),-ROUNDDOWN(ROUNDUP(INDEX(Upgrades!$C$3:$C$13,MATCH(SUBSTITUTE(Q1284,""Sell_"",""""),Upgrades!$B$3:$B$13,0))*1.15^(COUNTIF(Q$4:Q1283,SUBSTITUTE(Q1284,""Sell_"",""""))-COUNTIF(Q$4"&amp;":Q1283,""Sell_""&amp;SUBSTITUTE(Q1284,""Sell_"",""""))))/2),ROUNDUP(INDEX(Upgrades!$C$3:$C$13,MATCH(Q1284,Upgrades!$B$3:$B$13,0))*1.15^(COUNTIF(Q$4:Q1283,Q1284)-COUNTIF(Q$4:Q1283,""Sell_""&amp;Q1284))))))"),"")</f>
        <v/>
      </c>
      <c r="V1284" s="10" t="str">
        <f t="shared" si="11"/>
        <v/>
      </c>
      <c r="W1284" s="68" t="str">
        <f t="shared" si="12"/>
        <v/>
      </c>
      <c r="X1284" s="59" t="str">
        <f t="shared" si="13"/>
        <v/>
      </c>
      <c r="Y1284" s="69" t="str">
        <f t="shared" si="14"/>
        <v/>
      </c>
      <c r="Z1284" s="11"/>
    </row>
    <row r="1285">
      <c r="A1285" s="8"/>
      <c r="B1285" s="56" t="str">
        <f t="shared" si="2"/>
        <v/>
      </c>
      <c r="C1285" s="105"/>
      <c r="D1285" s="10"/>
      <c r="E1285" s="59" t="str">
        <f t="array" ref="E1285">IF(COUNTA(C1285:C1673)=0,"",SUM((COUNTIF(C$4:C1285,Upgrades!$B$3:$B$13)-COUNTIF(C$4:C1285,"Sell_"&amp;Upgrades!$B$3:$B$13))*Upgrades!$D$3:$D$13))</f>
        <v/>
      </c>
      <c r="F1285" s="66" t="str">
        <f>IFERROR(__xludf.DUMMYFUNCTION("IF(COUNTA(C1285:C1673)=0,"""",IF(REGEXMATCH(INDEX(FILTER(C$4:C1285,C$4:C1285&lt;&gt;""""),ROWS(FILTER(C$4:C1285,C$4:C1285&lt;&gt;""""))),""^Sell_""),INDEX(FILTER(F$4:F1284,C$4:C1284&lt;&gt;""""),ROWS(FILTER(C$4:C1284,C$4:C1284&lt;&gt;""""))),$AC$5+E1285))"),"")</f>
        <v/>
      </c>
      <c r="G1285" s="10" t="str">
        <f>IFERROR(__xludf.DUMMYFUNCTION("IF(COUNTA(C1285:C1673)=0,"""",IF(C1285="""",0,IF(REGEXMATCH(C1285,""^Sell_""),-ROUNDDOWN(ROUNDUP(INDEX(Upgrades!$C$3:$C$13,MATCH(SUBSTITUTE(C1285,""Sell_"",""""),Upgrades!$B$3:$B$13,0))*1.15^(COUNTIF(C$4:C1284,SUBSTITUTE(C1285,""Sell_"",""""))-COUNTIF(C$4"&amp;":C1284,""Sell_""&amp;SUBSTITUTE(C1285,""Sell_"",""""))))/2),ROUNDUP(INDEX(Upgrades!$C$3:$C$13,MATCH(C1285,Upgrades!$B$3:$B$13,0))*1.15^(COUNTIF(C$4:C1284,C1285)-COUNTIF(C$4:C1284,""Sell_""&amp;C1285))))))"),"")</f>
        <v/>
      </c>
      <c r="H1285" s="10" t="str">
        <f t="shared" si="3"/>
        <v/>
      </c>
      <c r="I1285" s="68" t="str">
        <f t="shared" si="4"/>
        <v/>
      </c>
      <c r="J1285" s="59" t="str">
        <f t="shared" si="5"/>
        <v/>
      </c>
      <c r="K1285" s="69" t="str">
        <f t="shared" si="6"/>
        <v/>
      </c>
      <c r="L1285" s="60" t="str">
        <f t="shared" si="7"/>
        <v/>
      </c>
      <c r="M1285" s="61" t="str">
        <f>IFERROR(__xludf.DUMMYFUNCTION("IFS(AND(COUNTA(C1285:C1673)=0,COUNTA(Q1285:Q1673)=0),"""",OR(AND(K1285&gt;=1000000000,OR(Y1285&gt;=1000000000,COUNTA(Q1285:Q1673)=0)),OR(Y1285&gt;=1000000000,AND(COUNTA(C1285:C1673)=0,P$3=TRUE))),
ROUNDDOWN((AB$1-AC$1)*MAX(INDEX(T$4:T1673,MATCH(LARGE(FILTER(Y$4:Y1"&amp;"673,Y$4:Y1673&lt;1000000000),1),Y$4:Y1673)),INDEX(F$4:F1673,MATCH(LARGE(FILTER(K$4:K1673,K$4:K1673&lt;1000000000),1),K$4:K1673)))),AND(K1285&lt;1000000000,COUNTA(C1285:C1673)&gt;0,P$3=FALSE),
ROUNDDOWN(INDEX(Y$4:Y1673,MATCH(LARGE(FILTER(W$4:W1673,W$4:W1673&lt;=I1285),1)"&amp;",W$4:W1673))+(I1285-LARGE(FILTER(W$4:W1673,W$4:W1673&lt;=I1285),1))*INDEX(T$4:T1673,MATCH(LARGE(FILTER(W$4:W1673,W$4:W1673&lt;=I1285),1),W$4:W1673))-K1285),1,
ROUNDDOWN(Y1285-INDEX(K$4:K1673,MATCH(LARGE(FILTER(I$4:I1673,I$4:I1673&lt;=W1285),1),I$4:I1673))-(W1285-L"&amp;"ARGE(FILTER(I$4:I1673,I$4:I1673&lt;=W1285),1))*INDEX(F$4:F1673,MATCH(LARGE(FILTER(I$4:I1673,I$4:I1673&lt;=W1285),1),I$4:I1673))))"),"")</f>
        <v/>
      </c>
      <c r="N1285" s="60" t="str">
        <f t="shared" si="8"/>
        <v/>
      </c>
      <c r="O1285" s="61" t="str">
        <f t="shared" si="9"/>
        <v/>
      </c>
      <c r="P1285" s="56" t="str">
        <f t="shared" si="10"/>
        <v/>
      </c>
      <c r="Q1285" s="67"/>
      <c r="R1285" s="10"/>
      <c r="S1285" s="59" t="str">
        <f t="array" ref="S1285">IF(COUNTA(Q1285:Q1673)=0,"",SUM((COUNTIF(Q$4:Q1285,Upgrades!$B$3:$B$13)-COUNTIF(Q$4:Q1285,"Sell_"&amp;Upgrades!$B$3:$B$13))*Upgrades!$D$3:$D$13))</f>
        <v/>
      </c>
      <c r="T1285" s="66" t="str">
        <f>IFERROR(__xludf.DUMMYFUNCTION("IF(COUNTA(Q1285:Q1673)=0,"""",IF(REGEXMATCH(INDEX(FILTER(Q$4:Q1285,Q$4:Q1285&lt;&gt;""""),ROWS(FILTER(Q$4:Q1285,Q$4:Q1285&lt;&gt;""""))),""^Sell_""),INDEX(FILTER(T$4:T1284,Q$4:Q1284&lt;&gt;""""),ROWS(FILTER(Q$4:Q1284,Q$4:Q1284&lt;&gt;""""))),$AD$5+S1285))"),"")</f>
        <v/>
      </c>
      <c r="U1285" s="10" t="str">
        <f>IFERROR(__xludf.DUMMYFUNCTION("IF(COUNTA(Q1285:Q1673)=0,"""",IF(Q1285="""",0,IF(REGEXMATCH(Q1285,""^Sell_""),-ROUNDDOWN(ROUNDUP(INDEX(Upgrades!$C$3:$C$13,MATCH(SUBSTITUTE(Q1285,""Sell_"",""""),Upgrades!$B$3:$B$13,0))*1.15^(COUNTIF(Q$4:Q1284,SUBSTITUTE(Q1285,""Sell_"",""""))-COUNTIF(Q$4"&amp;":Q1284,""Sell_""&amp;SUBSTITUTE(Q1285,""Sell_"",""""))))/2),ROUNDUP(INDEX(Upgrades!$C$3:$C$13,MATCH(Q1285,Upgrades!$B$3:$B$13,0))*1.15^(COUNTIF(Q$4:Q1284,Q1285)-COUNTIF(Q$4:Q1284,""Sell_""&amp;Q1285))))))"),"")</f>
        <v/>
      </c>
      <c r="V1285" s="10" t="str">
        <f t="shared" si="11"/>
        <v/>
      </c>
      <c r="W1285" s="68" t="str">
        <f t="shared" si="12"/>
        <v/>
      </c>
      <c r="X1285" s="59" t="str">
        <f t="shared" si="13"/>
        <v/>
      </c>
      <c r="Y1285" s="69" t="str">
        <f t="shared" si="14"/>
        <v/>
      </c>
      <c r="Z1285" s="11"/>
    </row>
    <row r="1286">
      <c r="A1286" s="8"/>
      <c r="B1286" s="56" t="str">
        <f t="shared" si="2"/>
        <v/>
      </c>
      <c r="C1286" s="105"/>
      <c r="D1286" s="10"/>
      <c r="E1286" s="59" t="str">
        <f t="array" ref="E1286">IF(COUNTA(C1286:C1673)=0,"",SUM((COUNTIF(C$4:C1286,Upgrades!$B$3:$B$13)-COUNTIF(C$4:C1286,"Sell_"&amp;Upgrades!$B$3:$B$13))*Upgrades!$D$3:$D$13))</f>
        <v/>
      </c>
      <c r="F1286" s="66" t="str">
        <f>IFERROR(__xludf.DUMMYFUNCTION("IF(COUNTA(C1286:C1673)=0,"""",IF(REGEXMATCH(INDEX(FILTER(C$4:C1286,C$4:C1286&lt;&gt;""""),ROWS(FILTER(C$4:C1286,C$4:C1286&lt;&gt;""""))),""^Sell_""),INDEX(FILTER(F$4:F1285,C$4:C1285&lt;&gt;""""),ROWS(FILTER(C$4:C1285,C$4:C1285&lt;&gt;""""))),$AC$5+E1286))"),"")</f>
        <v/>
      </c>
      <c r="G1286" s="10" t="str">
        <f>IFERROR(__xludf.DUMMYFUNCTION("IF(COUNTA(C1286:C1673)=0,"""",IF(C1286="""",0,IF(REGEXMATCH(C1286,""^Sell_""),-ROUNDDOWN(ROUNDUP(INDEX(Upgrades!$C$3:$C$13,MATCH(SUBSTITUTE(C1286,""Sell_"",""""),Upgrades!$B$3:$B$13,0))*1.15^(COUNTIF(C$4:C1285,SUBSTITUTE(C1286,""Sell_"",""""))-COUNTIF(C$4"&amp;":C1285,""Sell_""&amp;SUBSTITUTE(C1286,""Sell_"",""""))))/2),ROUNDUP(INDEX(Upgrades!$C$3:$C$13,MATCH(C1286,Upgrades!$B$3:$B$13,0))*1.15^(COUNTIF(C$4:C1285,C1286)-COUNTIF(C$4:C1285,""Sell_""&amp;C1286))))))"),"")</f>
        <v/>
      </c>
      <c r="H1286" s="10" t="str">
        <f t="shared" si="3"/>
        <v/>
      </c>
      <c r="I1286" s="68" t="str">
        <f t="shared" si="4"/>
        <v/>
      </c>
      <c r="J1286" s="59" t="str">
        <f t="shared" si="5"/>
        <v/>
      </c>
      <c r="K1286" s="69" t="str">
        <f t="shared" si="6"/>
        <v/>
      </c>
      <c r="L1286" s="60" t="str">
        <f t="shared" si="7"/>
        <v/>
      </c>
      <c r="M1286" s="61" t="str">
        <f>IFERROR(__xludf.DUMMYFUNCTION("IFS(AND(COUNTA(C1286:C1673)=0,COUNTA(Q1286:Q1673)=0),"""",OR(AND(K1286&gt;=1000000000,OR(Y1286&gt;=1000000000,COUNTA(Q1286:Q1673)=0)),OR(Y1286&gt;=1000000000,AND(COUNTA(C1286:C1673)=0,P$3=TRUE))),
ROUNDDOWN((AB$1-AC$1)*MAX(INDEX(T$4:T1673,MATCH(LARGE(FILTER(Y$4:Y1"&amp;"673,Y$4:Y1673&lt;1000000000),1),Y$4:Y1673)),INDEX(F$4:F1673,MATCH(LARGE(FILTER(K$4:K1673,K$4:K1673&lt;1000000000),1),K$4:K1673)))),AND(K1286&lt;1000000000,COUNTA(C1286:C1673)&gt;0,P$3=FALSE),
ROUNDDOWN(INDEX(Y$4:Y1673,MATCH(LARGE(FILTER(W$4:W1673,W$4:W1673&lt;=I1286),1)"&amp;",W$4:W1673))+(I1286-LARGE(FILTER(W$4:W1673,W$4:W1673&lt;=I1286),1))*INDEX(T$4:T1673,MATCH(LARGE(FILTER(W$4:W1673,W$4:W1673&lt;=I1286),1),W$4:W1673))-K1286),1,
ROUNDDOWN(Y1286-INDEX(K$4:K1673,MATCH(LARGE(FILTER(I$4:I1673,I$4:I1673&lt;=W1286),1),I$4:I1673))-(W1286-L"&amp;"ARGE(FILTER(I$4:I1673,I$4:I1673&lt;=W1286),1))*INDEX(F$4:F1673,MATCH(LARGE(FILTER(I$4:I1673,I$4:I1673&lt;=W1286),1),I$4:I1673))))"),"")</f>
        <v/>
      </c>
      <c r="N1286" s="60" t="str">
        <f t="shared" si="8"/>
        <v/>
      </c>
      <c r="O1286" s="61" t="str">
        <f t="shared" si="9"/>
        <v/>
      </c>
      <c r="P1286" s="56" t="str">
        <f t="shared" si="10"/>
        <v/>
      </c>
      <c r="Q1286" s="67"/>
      <c r="R1286" s="10"/>
      <c r="S1286" s="59" t="str">
        <f t="array" ref="S1286">IF(COUNTA(Q1286:Q1673)=0,"",SUM((COUNTIF(Q$4:Q1286,Upgrades!$B$3:$B$13)-COUNTIF(Q$4:Q1286,"Sell_"&amp;Upgrades!$B$3:$B$13))*Upgrades!$D$3:$D$13))</f>
        <v/>
      </c>
      <c r="T1286" s="66" t="str">
        <f>IFERROR(__xludf.DUMMYFUNCTION("IF(COUNTA(Q1286:Q1673)=0,"""",IF(REGEXMATCH(INDEX(FILTER(Q$4:Q1286,Q$4:Q1286&lt;&gt;""""),ROWS(FILTER(Q$4:Q1286,Q$4:Q1286&lt;&gt;""""))),""^Sell_""),INDEX(FILTER(T$4:T1285,Q$4:Q1285&lt;&gt;""""),ROWS(FILTER(Q$4:Q1285,Q$4:Q1285&lt;&gt;""""))),$AD$5+S1286))"),"")</f>
        <v/>
      </c>
      <c r="U1286" s="10" t="str">
        <f>IFERROR(__xludf.DUMMYFUNCTION("IF(COUNTA(Q1286:Q1673)=0,"""",IF(Q1286="""",0,IF(REGEXMATCH(Q1286,""^Sell_""),-ROUNDDOWN(ROUNDUP(INDEX(Upgrades!$C$3:$C$13,MATCH(SUBSTITUTE(Q1286,""Sell_"",""""),Upgrades!$B$3:$B$13,0))*1.15^(COUNTIF(Q$4:Q1285,SUBSTITUTE(Q1286,""Sell_"",""""))-COUNTIF(Q$4"&amp;":Q1285,""Sell_""&amp;SUBSTITUTE(Q1286,""Sell_"",""""))))/2),ROUNDUP(INDEX(Upgrades!$C$3:$C$13,MATCH(Q1286,Upgrades!$B$3:$B$13,0))*1.15^(COUNTIF(Q$4:Q1285,Q1286)-COUNTIF(Q$4:Q1285,""Sell_""&amp;Q1286))))))"),"")</f>
        <v/>
      </c>
      <c r="V1286" s="10" t="str">
        <f t="shared" si="11"/>
        <v/>
      </c>
      <c r="W1286" s="68" t="str">
        <f t="shared" si="12"/>
        <v/>
      </c>
      <c r="X1286" s="59" t="str">
        <f t="shared" si="13"/>
        <v/>
      </c>
      <c r="Y1286" s="69" t="str">
        <f t="shared" si="14"/>
        <v/>
      </c>
      <c r="Z1286" s="11"/>
    </row>
    <row r="1287">
      <c r="A1287" s="8"/>
      <c r="B1287" s="56" t="str">
        <f t="shared" si="2"/>
        <v/>
      </c>
      <c r="C1287" s="105"/>
      <c r="D1287" s="10"/>
      <c r="E1287" s="59" t="str">
        <f t="array" ref="E1287">IF(COUNTA(C1287:C1673)=0,"",SUM((COUNTIF(C$4:C1287,Upgrades!$B$3:$B$13)-COUNTIF(C$4:C1287,"Sell_"&amp;Upgrades!$B$3:$B$13))*Upgrades!$D$3:$D$13))</f>
        <v/>
      </c>
      <c r="F1287" s="66" t="str">
        <f>IFERROR(__xludf.DUMMYFUNCTION("IF(COUNTA(C1287:C1673)=0,"""",IF(REGEXMATCH(INDEX(FILTER(C$4:C1287,C$4:C1287&lt;&gt;""""),ROWS(FILTER(C$4:C1287,C$4:C1287&lt;&gt;""""))),""^Sell_""),INDEX(FILTER(F$4:F1286,C$4:C1286&lt;&gt;""""),ROWS(FILTER(C$4:C1286,C$4:C1286&lt;&gt;""""))),$AC$5+E1287))"),"")</f>
        <v/>
      </c>
      <c r="G1287" s="10" t="str">
        <f>IFERROR(__xludf.DUMMYFUNCTION("IF(COUNTA(C1287:C1673)=0,"""",IF(C1287="""",0,IF(REGEXMATCH(C1287,""^Sell_""),-ROUNDDOWN(ROUNDUP(INDEX(Upgrades!$C$3:$C$13,MATCH(SUBSTITUTE(C1287,""Sell_"",""""),Upgrades!$B$3:$B$13,0))*1.15^(COUNTIF(C$4:C1286,SUBSTITUTE(C1287,""Sell_"",""""))-COUNTIF(C$4"&amp;":C1286,""Sell_""&amp;SUBSTITUTE(C1287,""Sell_"",""""))))/2),ROUNDUP(INDEX(Upgrades!$C$3:$C$13,MATCH(C1287,Upgrades!$B$3:$B$13,0))*1.15^(COUNTIF(C$4:C1286,C1287)-COUNTIF(C$4:C1286,""Sell_""&amp;C1287))))))"),"")</f>
        <v/>
      </c>
      <c r="H1287" s="10" t="str">
        <f t="shared" si="3"/>
        <v/>
      </c>
      <c r="I1287" s="68" t="str">
        <f t="shared" si="4"/>
        <v/>
      </c>
      <c r="J1287" s="59" t="str">
        <f t="shared" si="5"/>
        <v/>
      </c>
      <c r="K1287" s="69" t="str">
        <f t="shared" si="6"/>
        <v/>
      </c>
      <c r="L1287" s="60" t="str">
        <f t="shared" si="7"/>
        <v/>
      </c>
      <c r="M1287" s="61" t="str">
        <f>IFERROR(__xludf.DUMMYFUNCTION("IFS(AND(COUNTA(C1287:C1673)=0,COUNTA(Q1287:Q1673)=0),"""",OR(AND(K1287&gt;=1000000000,OR(Y1287&gt;=1000000000,COUNTA(Q1287:Q1673)=0)),OR(Y1287&gt;=1000000000,AND(COUNTA(C1287:C1673)=0,P$3=TRUE))),
ROUNDDOWN((AB$1-AC$1)*MAX(INDEX(T$4:T1673,MATCH(LARGE(FILTER(Y$4:Y1"&amp;"673,Y$4:Y1673&lt;1000000000),1),Y$4:Y1673)),INDEX(F$4:F1673,MATCH(LARGE(FILTER(K$4:K1673,K$4:K1673&lt;1000000000),1),K$4:K1673)))),AND(K1287&lt;1000000000,COUNTA(C1287:C1673)&gt;0,P$3=FALSE),
ROUNDDOWN(INDEX(Y$4:Y1673,MATCH(LARGE(FILTER(W$4:W1673,W$4:W1673&lt;=I1287),1)"&amp;",W$4:W1673))+(I1287-LARGE(FILTER(W$4:W1673,W$4:W1673&lt;=I1287),1))*INDEX(T$4:T1673,MATCH(LARGE(FILTER(W$4:W1673,W$4:W1673&lt;=I1287),1),W$4:W1673))-K1287),1,
ROUNDDOWN(Y1287-INDEX(K$4:K1673,MATCH(LARGE(FILTER(I$4:I1673,I$4:I1673&lt;=W1287),1),I$4:I1673))-(W1287-L"&amp;"ARGE(FILTER(I$4:I1673,I$4:I1673&lt;=W1287),1))*INDEX(F$4:F1673,MATCH(LARGE(FILTER(I$4:I1673,I$4:I1673&lt;=W1287),1),I$4:I1673))))"),"")</f>
        <v/>
      </c>
      <c r="N1287" s="60" t="str">
        <f t="shared" si="8"/>
        <v/>
      </c>
      <c r="O1287" s="61" t="str">
        <f t="shared" si="9"/>
        <v/>
      </c>
      <c r="P1287" s="56" t="str">
        <f t="shared" si="10"/>
        <v/>
      </c>
      <c r="Q1287" s="67"/>
      <c r="R1287" s="10"/>
      <c r="S1287" s="59" t="str">
        <f t="array" ref="S1287">IF(COUNTA(Q1287:Q1673)=0,"",SUM((COUNTIF(Q$4:Q1287,Upgrades!$B$3:$B$13)-COUNTIF(Q$4:Q1287,"Sell_"&amp;Upgrades!$B$3:$B$13))*Upgrades!$D$3:$D$13))</f>
        <v/>
      </c>
      <c r="T1287" s="66" t="str">
        <f>IFERROR(__xludf.DUMMYFUNCTION("IF(COUNTA(Q1287:Q1673)=0,"""",IF(REGEXMATCH(INDEX(FILTER(Q$4:Q1287,Q$4:Q1287&lt;&gt;""""),ROWS(FILTER(Q$4:Q1287,Q$4:Q1287&lt;&gt;""""))),""^Sell_""),INDEX(FILTER(T$4:T1286,Q$4:Q1286&lt;&gt;""""),ROWS(FILTER(Q$4:Q1286,Q$4:Q1286&lt;&gt;""""))),$AD$5+S1287))"),"")</f>
        <v/>
      </c>
      <c r="U1287" s="10" t="str">
        <f>IFERROR(__xludf.DUMMYFUNCTION("IF(COUNTA(Q1287:Q1673)=0,"""",IF(Q1287="""",0,IF(REGEXMATCH(Q1287,""^Sell_""),-ROUNDDOWN(ROUNDUP(INDEX(Upgrades!$C$3:$C$13,MATCH(SUBSTITUTE(Q1287,""Sell_"",""""),Upgrades!$B$3:$B$13,0))*1.15^(COUNTIF(Q$4:Q1286,SUBSTITUTE(Q1287,""Sell_"",""""))-COUNTIF(Q$4"&amp;":Q1286,""Sell_""&amp;SUBSTITUTE(Q1287,""Sell_"",""""))))/2),ROUNDUP(INDEX(Upgrades!$C$3:$C$13,MATCH(Q1287,Upgrades!$B$3:$B$13,0))*1.15^(COUNTIF(Q$4:Q1286,Q1287)-COUNTIF(Q$4:Q1286,""Sell_""&amp;Q1287))))))"),"")</f>
        <v/>
      </c>
      <c r="V1287" s="10" t="str">
        <f t="shared" si="11"/>
        <v/>
      </c>
      <c r="W1287" s="68" t="str">
        <f t="shared" si="12"/>
        <v/>
      </c>
      <c r="X1287" s="59" t="str">
        <f t="shared" si="13"/>
        <v/>
      </c>
      <c r="Y1287" s="69" t="str">
        <f t="shared" si="14"/>
        <v/>
      </c>
      <c r="Z1287" s="11"/>
    </row>
    <row r="1288">
      <c r="A1288" s="8"/>
      <c r="B1288" s="56" t="str">
        <f t="shared" si="2"/>
        <v/>
      </c>
      <c r="C1288" s="105"/>
      <c r="D1288" s="10"/>
      <c r="E1288" s="59" t="str">
        <f t="array" ref="E1288">IF(COUNTA(C1288:C1673)=0,"",SUM((COUNTIF(C$4:C1288,Upgrades!$B$3:$B$13)-COUNTIF(C$4:C1288,"Sell_"&amp;Upgrades!$B$3:$B$13))*Upgrades!$D$3:$D$13))</f>
        <v/>
      </c>
      <c r="F1288" s="66" t="str">
        <f>IFERROR(__xludf.DUMMYFUNCTION("IF(COUNTA(C1288:C1673)=0,"""",IF(REGEXMATCH(INDEX(FILTER(C$4:C1288,C$4:C1288&lt;&gt;""""),ROWS(FILTER(C$4:C1288,C$4:C1288&lt;&gt;""""))),""^Sell_""),INDEX(FILTER(F$4:F1287,C$4:C1287&lt;&gt;""""),ROWS(FILTER(C$4:C1287,C$4:C1287&lt;&gt;""""))),$AC$5+E1288))"),"")</f>
        <v/>
      </c>
      <c r="G1288" s="10" t="str">
        <f>IFERROR(__xludf.DUMMYFUNCTION("IF(COUNTA(C1288:C1673)=0,"""",IF(C1288="""",0,IF(REGEXMATCH(C1288,""^Sell_""),-ROUNDDOWN(ROUNDUP(INDEX(Upgrades!$C$3:$C$13,MATCH(SUBSTITUTE(C1288,""Sell_"",""""),Upgrades!$B$3:$B$13,0))*1.15^(COUNTIF(C$4:C1287,SUBSTITUTE(C1288,""Sell_"",""""))-COUNTIF(C$4"&amp;":C1287,""Sell_""&amp;SUBSTITUTE(C1288,""Sell_"",""""))))/2),ROUNDUP(INDEX(Upgrades!$C$3:$C$13,MATCH(C1288,Upgrades!$B$3:$B$13,0))*1.15^(COUNTIF(C$4:C1287,C1288)-COUNTIF(C$4:C1287,""Sell_""&amp;C1288))))))"),"")</f>
        <v/>
      </c>
      <c r="H1288" s="10" t="str">
        <f t="shared" si="3"/>
        <v/>
      </c>
      <c r="I1288" s="68" t="str">
        <f t="shared" si="4"/>
        <v/>
      </c>
      <c r="J1288" s="59" t="str">
        <f t="shared" si="5"/>
        <v/>
      </c>
      <c r="K1288" s="69" t="str">
        <f t="shared" si="6"/>
        <v/>
      </c>
      <c r="L1288" s="60" t="str">
        <f t="shared" si="7"/>
        <v/>
      </c>
      <c r="M1288" s="61" t="str">
        <f>IFERROR(__xludf.DUMMYFUNCTION("IFS(AND(COUNTA(C1288:C1673)=0,COUNTA(Q1288:Q1673)=0),"""",OR(AND(K1288&gt;=1000000000,OR(Y1288&gt;=1000000000,COUNTA(Q1288:Q1673)=0)),OR(Y1288&gt;=1000000000,AND(COUNTA(C1288:C1673)=0,P$3=TRUE))),
ROUNDDOWN((AB$1-AC$1)*MAX(INDEX(T$4:T1673,MATCH(LARGE(FILTER(Y$4:Y1"&amp;"673,Y$4:Y1673&lt;1000000000),1),Y$4:Y1673)),INDEX(F$4:F1673,MATCH(LARGE(FILTER(K$4:K1673,K$4:K1673&lt;1000000000),1),K$4:K1673)))),AND(K1288&lt;1000000000,COUNTA(C1288:C1673)&gt;0,P$3=FALSE),
ROUNDDOWN(INDEX(Y$4:Y1673,MATCH(LARGE(FILTER(W$4:W1673,W$4:W1673&lt;=I1288),1)"&amp;",W$4:W1673))+(I1288-LARGE(FILTER(W$4:W1673,W$4:W1673&lt;=I1288),1))*INDEX(T$4:T1673,MATCH(LARGE(FILTER(W$4:W1673,W$4:W1673&lt;=I1288),1),W$4:W1673))-K1288),1,
ROUNDDOWN(Y1288-INDEX(K$4:K1673,MATCH(LARGE(FILTER(I$4:I1673,I$4:I1673&lt;=W1288),1),I$4:I1673))-(W1288-L"&amp;"ARGE(FILTER(I$4:I1673,I$4:I1673&lt;=W1288),1))*INDEX(F$4:F1673,MATCH(LARGE(FILTER(I$4:I1673,I$4:I1673&lt;=W1288),1),I$4:I1673))))"),"")</f>
        <v/>
      </c>
      <c r="N1288" s="60" t="str">
        <f t="shared" si="8"/>
        <v/>
      </c>
      <c r="O1288" s="61" t="str">
        <f t="shared" si="9"/>
        <v/>
      </c>
      <c r="P1288" s="56" t="str">
        <f t="shared" si="10"/>
        <v/>
      </c>
      <c r="Q1288" s="67"/>
      <c r="R1288" s="10"/>
      <c r="S1288" s="59" t="str">
        <f t="array" ref="S1288">IF(COUNTA(Q1288:Q1673)=0,"",SUM((COUNTIF(Q$4:Q1288,Upgrades!$B$3:$B$13)-COUNTIF(Q$4:Q1288,"Sell_"&amp;Upgrades!$B$3:$B$13))*Upgrades!$D$3:$D$13))</f>
        <v/>
      </c>
      <c r="T1288" s="66" t="str">
        <f>IFERROR(__xludf.DUMMYFUNCTION("IF(COUNTA(Q1288:Q1673)=0,"""",IF(REGEXMATCH(INDEX(FILTER(Q$4:Q1288,Q$4:Q1288&lt;&gt;""""),ROWS(FILTER(Q$4:Q1288,Q$4:Q1288&lt;&gt;""""))),""^Sell_""),INDEX(FILTER(T$4:T1287,Q$4:Q1287&lt;&gt;""""),ROWS(FILTER(Q$4:Q1287,Q$4:Q1287&lt;&gt;""""))),$AD$5+S1288))"),"")</f>
        <v/>
      </c>
      <c r="U1288" s="10" t="str">
        <f>IFERROR(__xludf.DUMMYFUNCTION("IF(COUNTA(Q1288:Q1673)=0,"""",IF(Q1288="""",0,IF(REGEXMATCH(Q1288,""^Sell_""),-ROUNDDOWN(ROUNDUP(INDEX(Upgrades!$C$3:$C$13,MATCH(SUBSTITUTE(Q1288,""Sell_"",""""),Upgrades!$B$3:$B$13,0))*1.15^(COUNTIF(Q$4:Q1287,SUBSTITUTE(Q1288,""Sell_"",""""))-COUNTIF(Q$4"&amp;":Q1287,""Sell_""&amp;SUBSTITUTE(Q1288,""Sell_"",""""))))/2),ROUNDUP(INDEX(Upgrades!$C$3:$C$13,MATCH(Q1288,Upgrades!$B$3:$B$13,0))*1.15^(COUNTIF(Q$4:Q1287,Q1288)-COUNTIF(Q$4:Q1287,""Sell_""&amp;Q1288))))))"),"")</f>
        <v/>
      </c>
      <c r="V1288" s="10" t="str">
        <f t="shared" si="11"/>
        <v/>
      </c>
      <c r="W1288" s="68" t="str">
        <f t="shared" si="12"/>
        <v/>
      </c>
      <c r="X1288" s="59" t="str">
        <f t="shared" si="13"/>
        <v/>
      </c>
      <c r="Y1288" s="69" t="str">
        <f t="shared" si="14"/>
        <v/>
      </c>
      <c r="Z1288" s="11"/>
    </row>
    <row r="1289">
      <c r="A1289" s="8"/>
      <c r="B1289" s="56" t="str">
        <f t="shared" si="2"/>
        <v/>
      </c>
      <c r="C1289" s="105"/>
      <c r="D1289" s="10"/>
      <c r="E1289" s="59" t="str">
        <f t="array" ref="E1289">IF(COUNTA(C1289:C1673)=0,"",SUM((COUNTIF(C$4:C1289,Upgrades!$B$3:$B$13)-COUNTIF(C$4:C1289,"Sell_"&amp;Upgrades!$B$3:$B$13))*Upgrades!$D$3:$D$13))</f>
        <v/>
      </c>
      <c r="F1289" s="66" t="str">
        <f>IFERROR(__xludf.DUMMYFUNCTION("IF(COUNTA(C1289:C1673)=0,"""",IF(REGEXMATCH(INDEX(FILTER(C$4:C1289,C$4:C1289&lt;&gt;""""),ROWS(FILTER(C$4:C1289,C$4:C1289&lt;&gt;""""))),""^Sell_""),INDEX(FILTER(F$4:F1288,C$4:C1288&lt;&gt;""""),ROWS(FILTER(C$4:C1288,C$4:C1288&lt;&gt;""""))),$AC$5+E1289))"),"")</f>
        <v/>
      </c>
      <c r="G1289" s="10" t="str">
        <f>IFERROR(__xludf.DUMMYFUNCTION("IF(COUNTA(C1289:C1673)=0,"""",IF(C1289="""",0,IF(REGEXMATCH(C1289,""^Sell_""),-ROUNDDOWN(ROUNDUP(INDEX(Upgrades!$C$3:$C$13,MATCH(SUBSTITUTE(C1289,""Sell_"",""""),Upgrades!$B$3:$B$13,0))*1.15^(COUNTIF(C$4:C1288,SUBSTITUTE(C1289,""Sell_"",""""))-COUNTIF(C$4"&amp;":C1288,""Sell_""&amp;SUBSTITUTE(C1289,""Sell_"",""""))))/2),ROUNDUP(INDEX(Upgrades!$C$3:$C$13,MATCH(C1289,Upgrades!$B$3:$B$13,0))*1.15^(COUNTIF(C$4:C1288,C1289)-COUNTIF(C$4:C1288,""Sell_""&amp;C1289))))))"),"")</f>
        <v/>
      </c>
      <c r="H1289" s="10" t="str">
        <f t="shared" si="3"/>
        <v/>
      </c>
      <c r="I1289" s="68" t="str">
        <f t="shared" si="4"/>
        <v/>
      </c>
      <c r="J1289" s="59" t="str">
        <f t="shared" si="5"/>
        <v/>
      </c>
      <c r="K1289" s="69" t="str">
        <f t="shared" si="6"/>
        <v/>
      </c>
      <c r="L1289" s="60" t="str">
        <f t="shared" si="7"/>
        <v/>
      </c>
      <c r="M1289" s="61" t="str">
        <f>IFERROR(__xludf.DUMMYFUNCTION("IFS(AND(COUNTA(C1289:C1673)=0,COUNTA(Q1289:Q1673)=0),"""",OR(AND(K1289&gt;=1000000000,OR(Y1289&gt;=1000000000,COUNTA(Q1289:Q1673)=0)),OR(Y1289&gt;=1000000000,AND(COUNTA(C1289:C1673)=0,P$3=TRUE))),
ROUNDDOWN((AB$1-AC$1)*MAX(INDEX(T$4:T1673,MATCH(LARGE(FILTER(Y$4:Y1"&amp;"673,Y$4:Y1673&lt;1000000000),1),Y$4:Y1673)),INDEX(F$4:F1673,MATCH(LARGE(FILTER(K$4:K1673,K$4:K1673&lt;1000000000),1),K$4:K1673)))),AND(K1289&lt;1000000000,COUNTA(C1289:C1673)&gt;0,P$3=FALSE),
ROUNDDOWN(INDEX(Y$4:Y1673,MATCH(LARGE(FILTER(W$4:W1673,W$4:W1673&lt;=I1289),1)"&amp;",W$4:W1673))+(I1289-LARGE(FILTER(W$4:W1673,W$4:W1673&lt;=I1289),1))*INDEX(T$4:T1673,MATCH(LARGE(FILTER(W$4:W1673,W$4:W1673&lt;=I1289),1),W$4:W1673))-K1289),1,
ROUNDDOWN(Y1289-INDEX(K$4:K1673,MATCH(LARGE(FILTER(I$4:I1673,I$4:I1673&lt;=W1289),1),I$4:I1673))-(W1289-L"&amp;"ARGE(FILTER(I$4:I1673,I$4:I1673&lt;=W1289),1))*INDEX(F$4:F1673,MATCH(LARGE(FILTER(I$4:I1673,I$4:I1673&lt;=W1289),1),I$4:I1673))))"),"")</f>
        <v/>
      </c>
      <c r="N1289" s="60" t="str">
        <f t="shared" si="8"/>
        <v/>
      </c>
      <c r="O1289" s="61" t="str">
        <f t="shared" si="9"/>
        <v/>
      </c>
      <c r="P1289" s="56" t="str">
        <f t="shared" si="10"/>
        <v/>
      </c>
      <c r="Q1289" s="67"/>
      <c r="R1289" s="10"/>
      <c r="S1289" s="59" t="str">
        <f t="array" ref="S1289">IF(COUNTA(Q1289:Q1673)=0,"",SUM((COUNTIF(Q$4:Q1289,Upgrades!$B$3:$B$13)-COUNTIF(Q$4:Q1289,"Sell_"&amp;Upgrades!$B$3:$B$13))*Upgrades!$D$3:$D$13))</f>
        <v/>
      </c>
      <c r="T1289" s="66" t="str">
        <f>IFERROR(__xludf.DUMMYFUNCTION("IF(COUNTA(Q1289:Q1673)=0,"""",IF(REGEXMATCH(INDEX(FILTER(Q$4:Q1289,Q$4:Q1289&lt;&gt;""""),ROWS(FILTER(Q$4:Q1289,Q$4:Q1289&lt;&gt;""""))),""^Sell_""),INDEX(FILTER(T$4:T1288,Q$4:Q1288&lt;&gt;""""),ROWS(FILTER(Q$4:Q1288,Q$4:Q1288&lt;&gt;""""))),$AD$5+S1289))"),"")</f>
        <v/>
      </c>
      <c r="U1289" s="10" t="str">
        <f>IFERROR(__xludf.DUMMYFUNCTION("IF(COUNTA(Q1289:Q1673)=0,"""",IF(Q1289="""",0,IF(REGEXMATCH(Q1289,""^Sell_""),-ROUNDDOWN(ROUNDUP(INDEX(Upgrades!$C$3:$C$13,MATCH(SUBSTITUTE(Q1289,""Sell_"",""""),Upgrades!$B$3:$B$13,0))*1.15^(COUNTIF(Q$4:Q1288,SUBSTITUTE(Q1289,""Sell_"",""""))-COUNTIF(Q$4"&amp;":Q1288,""Sell_""&amp;SUBSTITUTE(Q1289,""Sell_"",""""))))/2),ROUNDUP(INDEX(Upgrades!$C$3:$C$13,MATCH(Q1289,Upgrades!$B$3:$B$13,0))*1.15^(COUNTIF(Q$4:Q1288,Q1289)-COUNTIF(Q$4:Q1288,""Sell_""&amp;Q1289))))))"),"")</f>
        <v/>
      </c>
      <c r="V1289" s="10" t="str">
        <f t="shared" si="11"/>
        <v/>
      </c>
      <c r="W1289" s="68" t="str">
        <f t="shared" si="12"/>
        <v/>
      </c>
      <c r="X1289" s="59" t="str">
        <f t="shared" si="13"/>
        <v/>
      </c>
      <c r="Y1289" s="69" t="str">
        <f t="shared" si="14"/>
        <v/>
      </c>
      <c r="Z1289" s="11"/>
    </row>
    <row r="1290">
      <c r="A1290" s="8"/>
      <c r="B1290" s="56" t="str">
        <f t="shared" si="2"/>
        <v/>
      </c>
      <c r="C1290" s="105"/>
      <c r="D1290" s="10"/>
      <c r="E1290" s="59" t="str">
        <f t="array" ref="E1290">IF(COUNTA(C1290:C1673)=0,"",SUM((COUNTIF(C$4:C1290,Upgrades!$B$3:$B$13)-COUNTIF(C$4:C1290,"Sell_"&amp;Upgrades!$B$3:$B$13))*Upgrades!$D$3:$D$13))</f>
        <v/>
      </c>
      <c r="F1290" s="66" t="str">
        <f>IFERROR(__xludf.DUMMYFUNCTION("IF(COUNTA(C1290:C1673)=0,"""",IF(REGEXMATCH(INDEX(FILTER(C$4:C1290,C$4:C1290&lt;&gt;""""),ROWS(FILTER(C$4:C1290,C$4:C1290&lt;&gt;""""))),""^Sell_""),INDEX(FILTER(F$4:F1289,C$4:C1289&lt;&gt;""""),ROWS(FILTER(C$4:C1289,C$4:C1289&lt;&gt;""""))),$AC$5+E1290))"),"")</f>
        <v/>
      </c>
      <c r="G1290" s="10" t="str">
        <f>IFERROR(__xludf.DUMMYFUNCTION("IF(COUNTA(C1290:C1673)=0,"""",IF(C1290="""",0,IF(REGEXMATCH(C1290,""^Sell_""),-ROUNDDOWN(ROUNDUP(INDEX(Upgrades!$C$3:$C$13,MATCH(SUBSTITUTE(C1290,""Sell_"",""""),Upgrades!$B$3:$B$13,0))*1.15^(COUNTIF(C$4:C1289,SUBSTITUTE(C1290,""Sell_"",""""))-COUNTIF(C$4"&amp;":C1289,""Sell_""&amp;SUBSTITUTE(C1290,""Sell_"",""""))))/2),ROUNDUP(INDEX(Upgrades!$C$3:$C$13,MATCH(C1290,Upgrades!$B$3:$B$13,0))*1.15^(COUNTIF(C$4:C1289,C1290)-COUNTIF(C$4:C1289,""Sell_""&amp;C1290))))))"),"")</f>
        <v/>
      </c>
      <c r="H1290" s="10" t="str">
        <f t="shared" si="3"/>
        <v/>
      </c>
      <c r="I1290" s="68" t="str">
        <f t="shared" si="4"/>
        <v/>
      </c>
      <c r="J1290" s="59" t="str">
        <f t="shared" si="5"/>
        <v/>
      </c>
      <c r="K1290" s="69" t="str">
        <f t="shared" si="6"/>
        <v/>
      </c>
      <c r="L1290" s="60" t="str">
        <f t="shared" si="7"/>
        <v/>
      </c>
      <c r="M1290" s="61" t="str">
        <f>IFERROR(__xludf.DUMMYFUNCTION("IFS(AND(COUNTA(C1290:C1673)=0,COUNTA(Q1290:Q1673)=0),"""",OR(AND(K1290&gt;=1000000000,OR(Y1290&gt;=1000000000,COUNTA(Q1290:Q1673)=0)),OR(Y1290&gt;=1000000000,AND(COUNTA(C1290:C1673)=0,P$3=TRUE))),
ROUNDDOWN((AB$1-AC$1)*MAX(INDEX(T$4:T1673,MATCH(LARGE(FILTER(Y$4:Y1"&amp;"673,Y$4:Y1673&lt;1000000000),1),Y$4:Y1673)),INDEX(F$4:F1673,MATCH(LARGE(FILTER(K$4:K1673,K$4:K1673&lt;1000000000),1),K$4:K1673)))),AND(K1290&lt;1000000000,COUNTA(C1290:C1673)&gt;0,P$3=FALSE),
ROUNDDOWN(INDEX(Y$4:Y1673,MATCH(LARGE(FILTER(W$4:W1673,W$4:W1673&lt;=I1290),1)"&amp;",W$4:W1673))+(I1290-LARGE(FILTER(W$4:W1673,W$4:W1673&lt;=I1290),1))*INDEX(T$4:T1673,MATCH(LARGE(FILTER(W$4:W1673,W$4:W1673&lt;=I1290),1),W$4:W1673))-K1290),1,
ROUNDDOWN(Y1290-INDEX(K$4:K1673,MATCH(LARGE(FILTER(I$4:I1673,I$4:I1673&lt;=W1290),1),I$4:I1673))-(W1290-L"&amp;"ARGE(FILTER(I$4:I1673,I$4:I1673&lt;=W1290),1))*INDEX(F$4:F1673,MATCH(LARGE(FILTER(I$4:I1673,I$4:I1673&lt;=W1290),1),I$4:I1673))))"),"")</f>
        <v/>
      </c>
      <c r="N1290" s="60" t="str">
        <f t="shared" si="8"/>
        <v/>
      </c>
      <c r="O1290" s="61" t="str">
        <f t="shared" si="9"/>
        <v/>
      </c>
      <c r="P1290" s="56" t="str">
        <f t="shared" si="10"/>
        <v/>
      </c>
      <c r="Q1290" s="67"/>
      <c r="R1290" s="10"/>
      <c r="S1290" s="59" t="str">
        <f t="array" ref="S1290">IF(COUNTA(Q1290:Q1673)=0,"",SUM((COUNTIF(Q$4:Q1290,Upgrades!$B$3:$B$13)-COUNTIF(Q$4:Q1290,"Sell_"&amp;Upgrades!$B$3:$B$13))*Upgrades!$D$3:$D$13))</f>
        <v/>
      </c>
      <c r="T1290" s="66" t="str">
        <f>IFERROR(__xludf.DUMMYFUNCTION("IF(COUNTA(Q1290:Q1673)=0,"""",IF(REGEXMATCH(INDEX(FILTER(Q$4:Q1290,Q$4:Q1290&lt;&gt;""""),ROWS(FILTER(Q$4:Q1290,Q$4:Q1290&lt;&gt;""""))),""^Sell_""),INDEX(FILTER(T$4:T1289,Q$4:Q1289&lt;&gt;""""),ROWS(FILTER(Q$4:Q1289,Q$4:Q1289&lt;&gt;""""))),$AD$5+S1290))"),"")</f>
        <v/>
      </c>
      <c r="U1290" s="10" t="str">
        <f>IFERROR(__xludf.DUMMYFUNCTION("IF(COUNTA(Q1290:Q1673)=0,"""",IF(Q1290="""",0,IF(REGEXMATCH(Q1290,""^Sell_""),-ROUNDDOWN(ROUNDUP(INDEX(Upgrades!$C$3:$C$13,MATCH(SUBSTITUTE(Q1290,""Sell_"",""""),Upgrades!$B$3:$B$13,0))*1.15^(COUNTIF(Q$4:Q1289,SUBSTITUTE(Q1290,""Sell_"",""""))-COUNTIF(Q$4"&amp;":Q1289,""Sell_""&amp;SUBSTITUTE(Q1290,""Sell_"",""""))))/2),ROUNDUP(INDEX(Upgrades!$C$3:$C$13,MATCH(Q1290,Upgrades!$B$3:$B$13,0))*1.15^(COUNTIF(Q$4:Q1289,Q1290)-COUNTIF(Q$4:Q1289,""Sell_""&amp;Q1290))))))"),"")</f>
        <v/>
      </c>
      <c r="V1290" s="10" t="str">
        <f t="shared" si="11"/>
        <v/>
      </c>
      <c r="W1290" s="68" t="str">
        <f t="shared" si="12"/>
        <v/>
      </c>
      <c r="X1290" s="59" t="str">
        <f t="shared" si="13"/>
        <v/>
      </c>
      <c r="Y1290" s="69" t="str">
        <f t="shared" si="14"/>
        <v/>
      </c>
      <c r="Z1290" s="11"/>
    </row>
    <row r="1291">
      <c r="A1291" s="8"/>
      <c r="B1291" s="56" t="str">
        <f t="shared" si="2"/>
        <v/>
      </c>
      <c r="C1291" s="105"/>
      <c r="D1291" s="10"/>
      <c r="E1291" s="59" t="str">
        <f t="array" ref="E1291">IF(COUNTA(C1291:C1673)=0,"",SUM((COUNTIF(C$4:C1291,Upgrades!$B$3:$B$13)-COUNTIF(C$4:C1291,"Sell_"&amp;Upgrades!$B$3:$B$13))*Upgrades!$D$3:$D$13))</f>
        <v/>
      </c>
      <c r="F1291" s="66" t="str">
        <f>IFERROR(__xludf.DUMMYFUNCTION("IF(COUNTA(C1291:C1673)=0,"""",IF(REGEXMATCH(INDEX(FILTER(C$4:C1291,C$4:C1291&lt;&gt;""""),ROWS(FILTER(C$4:C1291,C$4:C1291&lt;&gt;""""))),""^Sell_""),INDEX(FILTER(F$4:F1290,C$4:C1290&lt;&gt;""""),ROWS(FILTER(C$4:C1290,C$4:C1290&lt;&gt;""""))),$AC$5+E1291))"),"")</f>
        <v/>
      </c>
      <c r="G1291" s="10" t="str">
        <f>IFERROR(__xludf.DUMMYFUNCTION("IF(COUNTA(C1291:C1673)=0,"""",IF(C1291="""",0,IF(REGEXMATCH(C1291,""^Sell_""),-ROUNDDOWN(ROUNDUP(INDEX(Upgrades!$C$3:$C$13,MATCH(SUBSTITUTE(C1291,""Sell_"",""""),Upgrades!$B$3:$B$13,0))*1.15^(COUNTIF(C$4:C1290,SUBSTITUTE(C1291,""Sell_"",""""))-COUNTIF(C$4"&amp;":C1290,""Sell_""&amp;SUBSTITUTE(C1291,""Sell_"",""""))))/2),ROUNDUP(INDEX(Upgrades!$C$3:$C$13,MATCH(C1291,Upgrades!$B$3:$B$13,0))*1.15^(COUNTIF(C$4:C1290,C1291)-COUNTIF(C$4:C1290,""Sell_""&amp;C1291))))))"),"")</f>
        <v/>
      </c>
      <c r="H1291" s="10" t="str">
        <f t="shared" si="3"/>
        <v/>
      </c>
      <c r="I1291" s="68" t="str">
        <f t="shared" si="4"/>
        <v/>
      </c>
      <c r="J1291" s="59" t="str">
        <f t="shared" si="5"/>
        <v/>
      </c>
      <c r="K1291" s="69" t="str">
        <f t="shared" si="6"/>
        <v/>
      </c>
      <c r="L1291" s="60" t="str">
        <f t="shared" si="7"/>
        <v/>
      </c>
      <c r="M1291" s="61" t="str">
        <f>IFERROR(__xludf.DUMMYFUNCTION("IFS(AND(COUNTA(C1291:C1673)=0,COUNTA(Q1291:Q1673)=0),"""",OR(AND(K1291&gt;=1000000000,OR(Y1291&gt;=1000000000,COUNTA(Q1291:Q1673)=0)),OR(Y1291&gt;=1000000000,AND(COUNTA(C1291:C1673)=0,P$3=TRUE))),
ROUNDDOWN((AB$1-AC$1)*MAX(INDEX(T$4:T1673,MATCH(LARGE(FILTER(Y$4:Y1"&amp;"673,Y$4:Y1673&lt;1000000000),1),Y$4:Y1673)),INDEX(F$4:F1673,MATCH(LARGE(FILTER(K$4:K1673,K$4:K1673&lt;1000000000),1),K$4:K1673)))),AND(K1291&lt;1000000000,COUNTA(C1291:C1673)&gt;0,P$3=FALSE),
ROUNDDOWN(INDEX(Y$4:Y1673,MATCH(LARGE(FILTER(W$4:W1673,W$4:W1673&lt;=I1291),1)"&amp;",W$4:W1673))+(I1291-LARGE(FILTER(W$4:W1673,W$4:W1673&lt;=I1291),1))*INDEX(T$4:T1673,MATCH(LARGE(FILTER(W$4:W1673,W$4:W1673&lt;=I1291),1),W$4:W1673))-K1291),1,
ROUNDDOWN(Y1291-INDEX(K$4:K1673,MATCH(LARGE(FILTER(I$4:I1673,I$4:I1673&lt;=W1291),1),I$4:I1673))-(W1291-L"&amp;"ARGE(FILTER(I$4:I1673,I$4:I1673&lt;=W1291),1))*INDEX(F$4:F1673,MATCH(LARGE(FILTER(I$4:I1673,I$4:I1673&lt;=W1291),1),I$4:I1673))))"),"")</f>
        <v/>
      </c>
      <c r="N1291" s="60" t="str">
        <f t="shared" si="8"/>
        <v/>
      </c>
      <c r="O1291" s="61" t="str">
        <f t="shared" si="9"/>
        <v/>
      </c>
      <c r="P1291" s="56" t="str">
        <f t="shared" si="10"/>
        <v/>
      </c>
      <c r="Q1291" s="67"/>
      <c r="R1291" s="10"/>
      <c r="S1291" s="59" t="str">
        <f t="array" ref="S1291">IF(COUNTA(Q1291:Q1673)=0,"",SUM((COUNTIF(Q$4:Q1291,Upgrades!$B$3:$B$13)-COUNTIF(Q$4:Q1291,"Sell_"&amp;Upgrades!$B$3:$B$13))*Upgrades!$D$3:$D$13))</f>
        <v/>
      </c>
      <c r="T1291" s="66" t="str">
        <f>IFERROR(__xludf.DUMMYFUNCTION("IF(COUNTA(Q1291:Q1673)=0,"""",IF(REGEXMATCH(INDEX(FILTER(Q$4:Q1291,Q$4:Q1291&lt;&gt;""""),ROWS(FILTER(Q$4:Q1291,Q$4:Q1291&lt;&gt;""""))),""^Sell_""),INDEX(FILTER(T$4:T1290,Q$4:Q1290&lt;&gt;""""),ROWS(FILTER(Q$4:Q1290,Q$4:Q1290&lt;&gt;""""))),$AD$5+S1291))"),"")</f>
        <v/>
      </c>
      <c r="U1291" s="10" t="str">
        <f>IFERROR(__xludf.DUMMYFUNCTION("IF(COUNTA(Q1291:Q1673)=0,"""",IF(Q1291="""",0,IF(REGEXMATCH(Q1291,""^Sell_""),-ROUNDDOWN(ROUNDUP(INDEX(Upgrades!$C$3:$C$13,MATCH(SUBSTITUTE(Q1291,""Sell_"",""""),Upgrades!$B$3:$B$13,0))*1.15^(COUNTIF(Q$4:Q1290,SUBSTITUTE(Q1291,""Sell_"",""""))-COUNTIF(Q$4"&amp;":Q1290,""Sell_""&amp;SUBSTITUTE(Q1291,""Sell_"",""""))))/2),ROUNDUP(INDEX(Upgrades!$C$3:$C$13,MATCH(Q1291,Upgrades!$B$3:$B$13,0))*1.15^(COUNTIF(Q$4:Q1290,Q1291)-COUNTIF(Q$4:Q1290,""Sell_""&amp;Q1291))))))"),"")</f>
        <v/>
      </c>
      <c r="V1291" s="10" t="str">
        <f t="shared" si="11"/>
        <v/>
      </c>
      <c r="W1291" s="68" t="str">
        <f t="shared" si="12"/>
        <v/>
      </c>
      <c r="X1291" s="59" t="str">
        <f t="shared" si="13"/>
        <v/>
      </c>
      <c r="Y1291" s="69" t="str">
        <f t="shared" si="14"/>
        <v/>
      </c>
      <c r="Z1291" s="11"/>
    </row>
    <row r="1292">
      <c r="A1292" s="8"/>
      <c r="B1292" s="56" t="str">
        <f t="shared" si="2"/>
        <v/>
      </c>
      <c r="C1292" s="105"/>
      <c r="D1292" s="10"/>
      <c r="E1292" s="59" t="str">
        <f t="array" ref="E1292">IF(COUNTA(C1292:C1673)=0,"",SUM((COUNTIF(C$4:C1292,Upgrades!$B$3:$B$13)-COUNTIF(C$4:C1292,"Sell_"&amp;Upgrades!$B$3:$B$13))*Upgrades!$D$3:$D$13))</f>
        <v/>
      </c>
      <c r="F1292" s="66" t="str">
        <f>IFERROR(__xludf.DUMMYFUNCTION("IF(COUNTA(C1292:C1673)=0,"""",IF(REGEXMATCH(INDEX(FILTER(C$4:C1292,C$4:C1292&lt;&gt;""""),ROWS(FILTER(C$4:C1292,C$4:C1292&lt;&gt;""""))),""^Sell_""),INDEX(FILTER(F$4:F1291,C$4:C1291&lt;&gt;""""),ROWS(FILTER(C$4:C1291,C$4:C1291&lt;&gt;""""))),$AC$5+E1292))"),"")</f>
        <v/>
      </c>
      <c r="G1292" s="10" t="str">
        <f>IFERROR(__xludf.DUMMYFUNCTION("IF(COUNTA(C1292:C1673)=0,"""",IF(C1292="""",0,IF(REGEXMATCH(C1292,""^Sell_""),-ROUNDDOWN(ROUNDUP(INDEX(Upgrades!$C$3:$C$13,MATCH(SUBSTITUTE(C1292,""Sell_"",""""),Upgrades!$B$3:$B$13,0))*1.15^(COUNTIF(C$4:C1291,SUBSTITUTE(C1292,""Sell_"",""""))-COUNTIF(C$4"&amp;":C1291,""Sell_""&amp;SUBSTITUTE(C1292,""Sell_"",""""))))/2),ROUNDUP(INDEX(Upgrades!$C$3:$C$13,MATCH(C1292,Upgrades!$B$3:$B$13,0))*1.15^(COUNTIF(C$4:C1291,C1292)-COUNTIF(C$4:C1291,""Sell_""&amp;C1292))))))"),"")</f>
        <v/>
      </c>
      <c r="H1292" s="10" t="str">
        <f t="shared" si="3"/>
        <v/>
      </c>
      <c r="I1292" s="68" t="str">
        <f t="shared" si="4"/>
        <v/>
      </c>
      <c r="J1292" s="59" t="str">
        <f t="shared" si="5"/>
        <v/>
      </c>
      <c r="K1292" s="69" t="str">
        <f t="shared" si="6"/>
        <v/>
      </c>
      <c r="L1292" s="60" t="str">
        <f t="shared" si="7"/>
        <v/>
      </c>
      <c r="M1292" s="61" t="str">
        <f>IFERROR(__xludf.DUMMYFUNCTION("IFS(AND(COUNTA(C1292:C1673)=0,COUNTA(Q1292:Q1673)=0),"""",OR(AND(K1292&gt;=1000000000,OR(Y1292&gt;=1000000000,COUNTA(Q1292:Q1673)=0)),OR(Y1292&gt;=1000000000,AND(COUNTA(C1292:C1673)=0,P$3=TRUE))),
ROUNDDOWN((AB$1-AC$1)*MAX(INDEX(T$4:T1673,MATCH(LARGE(FILTER(Y$4:Y1"&amp;"673,Y$4:Y1673&lt;1000000000),1),Y$4:Y1673)),INDEX(F$4:F1673,MATCH(LARGE(FILTER(K$4:K1673,K$4:K1673&lt;1000000000),1),K$4:K1673)))),AND(K1292&lt;1000000000,COUNTA(C1292:C1673)&gt;0,P$3=FALSE),
ROUNDDOWN(INDEX(Y$4:Y1673,MATCH(LARGE(FILTER(W$4:W1673,W$4:W1673&lt;=I1292),1)"&amp;",W$4:W1673))+(I1292-LARGE(FILTER(W$4:W1673,W$4:W1673&lt;=I1292),1))*INDEX(T$4:T1673,MATCH(LARGE(FILTER(W$4:W1673,W$4:W1673&lt;=I1292),1),W$4:W1673))-K1292),1,
ROUNDDOWN(Y1292-INDEX(K$4:K1673,MATCH(LARGE(FILTER(I$4:I1673,I$4:I1673&lt;=W1292),1),I$4:I1673))-(W1292-L"&amp;"ARGE(FILTER(I$4:I1673,I$4:I1673&lt;=W1292),1))*INDEX(F$4:F1673,MATCH(LARGE(FILTER(I$4:I1673,I$4:I1673&lt;=W1292),1),I$4:I1673))))"),"")</f>
        <v/>
      </c>
      <c r="N1292" s="60" t="str">
        <f t="shared" si="8"/>
        <v/>
      </c>
      <c r="O1292" s="61" t="str">
        <f t="shared" si="9"/>
        <v/>
      </c>
      <c r="P1292" s="56" t="str">
        <f t="shared" si="10"/>
        <v/>
      </c>
      <c r="Q1292" s="67"/>
      <c r="R1292" s="10"/>
      <c r="S1292" s="59" t="str">
        <f t="array" ref="S1292">IF(COUNTA(Q1292:Q1673)=0,"",SUM((COUNTIF(Q$4:Q1292,Upgrades!$B$3:$B$13)-COUNTIF(Q$4:Q1292,"Sell_"&amp;Upgrades!$B$3:$B$13))*Upgrades!$D$3:$D$13))</f>
        <v/>
      </c>
      <c r="T1292" s="66" t="str">
        <f>IFERROR(__xludf.DUMMYFUNCTION("IF(COUNTA(Q1292:Q1673)=0,"""",IF(REGEXMATCH(INDEX(FILTER(Q$4:Q1292,Q$4:Q1292&lt;&gt;""""),ROWS(FILTER(Q$4:Q1292,Q$4:Q1292&lt;&gt;""""))),""^Sell_""),INDEX(FILTER(T$4:T1291,Q$4:Q1291&lt;&gt;""""),ROWS(FILTER(Q$4:Q1291,Q$4:Q1291&lt;&gt;""""))),$AD$5+S1292))"),"")</f>
        <v/>
      </c>
      <c r="U1292" s="10" t="str">
        <f>IFERROR(__xludf.DUMMYFUNCTION("IF(COUNTA(Q1292:Q1673)=0,"""",IF(Q1292="""",0,IF(REGEXMATCH(Q1292,""^Sell_""),-ROUNDDOWN(ROUNDUP(INDEX(Upgrades!$C$3:$C$13,MATCH(SUBSTITUTE(Q1292,""Sell_"",""""),Upgrades!$B$3:$B$13,0))*1.15^(COUNTIF(Q$4:Q1291,SUBSTITUTE(Q1292,""Sell_"",""""))-COUNTIF(Q$4"&amp;":Q1291,""Sell_""&amp;SUBSTITUTE(Q1292,""Sell_"",""""))))/2),ROUNDUP(INDEX(Upgrades!$C$3:$C$13,MATCH(Q1292,Upgrades!$B$3:$B$13,0))*1.15^(COUNTIF(Q$4:Q1291,Q1292)-COUNTIF(Q$4:Q1291,""Sell_""&amp;Q1292))))))"),"")</f>
        <v/>
      </c>
      <c r="V1292" s="10" t="str">
        <f t="shared" si="11"/>
        <v/>
      </c>
      <c r="W1292" s="68" t="str">
        <f t="shared" si="12"/>
        <v/>
      </c>
      <c r="X1292" s="59" t="str">
        <f t="shared" si="13"/>
        <v/>
      </c>
      <c r="Y1292" s="69" t="str">
        <f t="shared" si="14"/>
        <v/>
      </c>
      <c r="Z1292" s="11"/>
    </row>
    <row r="1293">
      <c r="A1293" s="8"/>
      <c r="B1293" s="56" t="str">
        <f t="shared" si="2"/>
        <v/>
      </c>
      <c r="C1293" s="105"/>
      <c r="D1293" s="10"/>
      <c r="E1293" s="59" t="str">
        <f t="array" ref="E1293">IF(COUNTA(C1293:C1673)=0,"",SUM((COUNTIF(C$4:C1293,Upgrades!$B$3:$B$13)-COUNTIF(C$4:C1293,"Sell_"&amp;Upgrades!$B$3:$B$13))*Upgrades!$D$3:$D$13))</f>
        <v/>
      </c>
      <c r="F1293" s="66" t="str">
        <f>IFERROR(__xludf.DUMMYFUNCTION("IF(COUNTA(C1293:C1673)=0,"""",IF(REGEXMATCH(INDEX(FILTER(C$4:C1293,C$4:C1293&lt;&gt;""""),ROWS(FILTER(C$4:C1293,C$4:C1293&lt;&gt;""""))),""^Sell_""),INDEX(FILTER(F$4:F1292,C$4:C1292&lt;&gt;""""),ROWS(FILTER(C$4:C1292,C$4:C1292&lt;&gt;""""))),$AC$5+E1293))"),"")</f>
        <v/>
      </c>
      <c r="G1293" s="10" t="str">
        <f>IFERROR(__xludf.DUMMYFUNCTION("IF(COUNTA(C1293:C1673)=0,"""",IF(C1293="""",0,IF(REGEXMATCH(C1293,""^Sell_""),-ROUNDDOWN(ROUNDUP(INDEX(Upgrades!$C$3:$C$13,MATCH(SUBSTITUTE(C1293,""Sell_"",""""),Upgrades!$B$3:$B$13,0))*1.15^(COUNTIF(C$4:C1292,SUBSTITUTE(C1293,""Sell_"",""""))-COUNTIF(C$4"&amp;":C1292,""Sell_""&amp;SUBSTITUTE(C1293,""Sell_"",""""))))/2),ROUNDUP(INDEX(Upgrades!$C$3:$C$13,MATCH(C1293,Upgrades!$B$3:$B$13,0))*1.15^(COUNTIF(C$4:C1292,C1293)-COUNTIF(C$4:C1292,""Sell_""&amp;C1293))))))"),"")</f>
        <v/>
      </c>
      <c r="H1293" s="10" t="str">
        <f t="shared" si="3"/>
        <v/>
      </c>
      <c r="I1293" s="68" t="str">
        <f t="shared" si="4"/>
        <v/>
      </c>
      <c r="J1293" s="59" t="str">
        <f t="shared" si="5"/>
        <v/>
      </c>
      <c r="K1293" s="69" t="str">
        <f t="shared" si="6"/>
        <v/>
      </c>
      <c r="L1293" s="60" t="str">
        <f t="shared" si="7"/>
        <v/>
      </c>
      <c r="M1293" s="61" t="str">
        <f>IFERROR(__xludf.DUMMYFUNCTION("IFS(AND(COUNTA(C1293:C1673)=0,COUNTA(Q1293:Q1673)=0),"""",OR(AND(K1293&gt;=1000000000,OR(Y1293&gt;=1000000000,COUNTA(Q1293:Q1673)=0)),OR(Y1293&gt;=1000000000,AND(COUNTA(C1293:C1673)=0,P$3=TRUE))),
ROUNDDOWN((AB$1-AC$1)*MAX(INDEX(T$4:T1673,MATCH(LARGE(FILTER(Y$4:Y1"&amp;"673,Y$4:Y1673&lt;1000000000),1),Y$4:Y1673)),INDEX(F$4:F1673,MATCH(LARGE(FILTER(K$4:K1673,K$4:K1673&lt;1000000000),1),K$4:K1673)))),AND(K1293&lt;1000000000,COUNTA(C1293:C1673)&gt;0,P$3=FALSE),
ROUNDDOWN(INDEX(Y$4:Y1673,MATCH(LARGE(FILTER(W$4:W1673,W$4:W1673&lt;=I1293),1)"&amp;",W$4:W1673))+(I1293-LARGE(FILTER(W$4:W1673,W$4:W1673&lt;=I1293),1))*INDEX(T$4:T1673,MATCH(LARGE(FILTER(W$4:W1673,W$4:W1673&lt;=I1293),1),W$4:W1673))-K1293),1,
ROUNDDOWN(Y1293-INDEX(K$4:K1673,MATCH(LARGE(FILTER(I$4:I1673,I$4:I1673&lt;=W1293),1),I$4:I1673))-(W1293-L"&amp;"ARGE(FILTER(I$4:I1673,I$4:I1673&lt;=W1293),1))*INDEX(F$4:F1673,MATCH(LARGE(FILTER(I$4:I1673,I$4:I1673&lt;=W1293),1),I$4:I1673))))"),"")</f>
        <v/>
      </c>
      <c r="N1293" s="60" t="str">
        <f t="shared" si="8"/>
        <v/>
      </c>
      <c r="O1293" s="61" t="str">
        <f t="shared" si="9"/>
        <v/>
      </c>
      <c r="P1293" s="56" t="str">
        <f t="shared" si="10"/>
        <v/>
      </c>
      <c r="Q1293" s="67"/>
      <c r="R1293" s="10"/>
      <c r="S1293" s="59" t="str">
        <f t="array" ref="S1293">IF(COUNTA(Q1293:Q1673)=0,"",SUM((COUNTIF(Q$4:Q1293,Upgrades!$B$3:$B$13)-COUNTIF(Q$4:Q1293,"Sell_"&amp;Upgrades!$B$3:$B$13))*Upgrades!$D$3:$D$13))</f>
        <v/>
      </c>
      <c r="T1293" s="66" t="str">
        <f>IFERROR(__xludf.DUMMYFUNCTION("IF(COUNTA(Q1293:Q1673)=0,"""",IF(REGEXMATCH(INDEX(FILTER(Q$4:Q1293,Q$4:Q1293&lt;&gt;""""),ROWS(FILTER(Q$4:Q1293,Q$4:Q1293&lt;&gt;""""))),""^Sell_""),INDEX(FILTER(T$4:T1292,Q$4:Q1292&lt;&gt;""""),ROWS(FILTER(Q$4:Q1292,Q$4:Q1292&lt;&gt;""""))),$AD$5+S1293))"),"")</f>
        <v/>
      </c>
      <c r="U1293" s="10" t="str">
        <f>IFERROR(__xludf.DUMMYFUNCTION("IF(COUNTA(Q1293:Q1673)=0,"""",IF(Q1293="""",0,IF(REGEXMATCH(Q1293,""^Sell_""),-ROUNDDOWN(ROUNDUP(INDEX(Upgrades!$C$3:$C$13,MATCH(SUBSTITUTE(Q1293,""Sell_"",""""),Upgrades!$B$3:$B$13,0))*1.15^(COUNTIF(Q$4:Q1292,SUBSTITUTE(Q1293,""Sell_"",""""))-COUNTIF(Q$4"&amp;":Q1292,""Sell_""&amp;SUBSTITUTE(Q1293,""Sell_"",""""))))/2),ROUNDUP(INDEX(Upgrades!$C$3:$C$13,MATCH(Q1293,Upgrades!$B$3:$B$13,0))*1.15^(COUNTIF(Q$4:Q1292,Q1293)-COUNTIF(Q$4:Q1292,""Sell_""&amp;Q1293))))))"),"")</f>
        <v/>
      </c>
      <c r="V1293" s="10" t="str">
        <f t="shared" si="11"/>
        <v/>
      </c>
      <c r="W1293" s="68" t="str">
        <f t="shared" si="12"/>
        <v/>
      </c>
      <c r="X1293" s="59" t="str">
        <f t="shared" si="13"/>
        <v/>
      </c>
      <c r="Y1293" s="69" t="str">
        <f t="shared" si="14"/>
        <v/>
      </c>
      <c r="Z1293" s="11"/>
    </row>
    <row r="1294">
      <c r="A1294" s="8"/>
      <c r="B1294" s="56" t="str">
        <f t="shared" si="2"/>
        <v/>
      </c>
      <c r="C1294" s="105"/>
      <c r="D1294" s="10"/>
      <c r="E1294" s="59" t="str">
        <f t="array" ref="E1294">IF(COUNTA(C1294:C1673)=0,"",SUM((COUNTIF(C$4:C1294,Upgrades!$B$3:$B$13)-COUNTIF(C$4:C1294,"Sell_"&amp;Upgrades!$B$3:$B$13))*Upgrades!$D$3:$D$13))</f>
        <v/>
      </c>
      <c r="F1294" s="66" t="str">
        <f>IFERROR(__xludf.DUMMYFUNCTION("IF(COUNTA(C1294:C1673)=0,"""",IF(REGEXMATCH(INDEX(FILTER(C$4:C1294,C$4:C1294&lt;&gt;""""),ROWS(FILTER(C$4:C1294,C$4:C1294&lt;&gt;""""))),""^Sell_""),INDEX(FILTER(F$4:F1293,C$4:C1293&lt;&gt;""""),ROWS(FILTER(C$4:C1293,C$4:C1293&lt;&gt;""""))),$AC$5+E1294))"),"")</f>
        <v/>
      </c>
      <c r="G1294" s="10" t="str">
        <f>IFERROR(__xludf.DUMMYFUNCTION("IF(COUNTA(C1294:C1673)=0,"""",IF(C1294="""",0,IF(REGEXMATCH(C1294,""^Sell_""),-ROUNDDOWN(ROUNDUP(INDEX(Upgrades!$C$3:$C$13,MATCH(SUBSTITUTE(C1294,""Sell_"",""""),Upgrades!$B$3:$B$13,0))*1.15^(COUNTIF(C$4:C1293,SUBSTITUTE(C1294,""Sell_"",""""))-COUNTIF(C$4"&amp;":C1293,""Sell_""&amp;SUBSTITUTE(C1294,""Sell_"",""""))))/2),ROUNDUP(INDEX(Upgrades!$C$3:$C$13,MATCH(C1294,Upgrades!$B$3:$B$13,0))*1.15^(COUNTIF(C$4:C1293,C1294)-COUNTIF(C$4:C1293,""Sell_""&amp;C1294))))))"),"")</f>
        <v/>
      </c>
      <c r="H1294" s="10" t="str">
        <f t="shared" si="3"/>
        <v/>
      </c>
      <c r="I1294" s="68" t="str">
        <f t="shared" si="4"/>
        <v/>
      </c>
      <c r="J1294" s="59" t="str">
        <f t="shared" si="5"/>
        <v/>
      </c>
      <c r="K1294" s="69" t="str">
        <f t="shared" si="6"/>
        <v/>
      </c>
      <c r="L1294" s="60" t="str">
        <f t="shared" si="7"/>
        <v/>
      </c>
      <c r="M1294" s="61" t="str">
        <f>IFERROR(__xludf.DUMMYFUNCTION("IFS(AND(COUNTA(C1294:C1673)=0,COUNTA(Q1294:Q1673)=0),"""",OR(AND(K1294&gt;=1000000000,OR(Y1294&gt;=1000000000,COUNTA(Q1294:Q1673)=0)),OR(Y1294&gt;=1000000000,AND(COUNTA(C1294:C1673)=0,P$3=TRUE))),
ROUNDDOWN((AB$1-AC$1)*MAX(INDEX(T$4:T1673,MATCH(LARGE(FILTER(Y$4:Y1"&amp;"673,Y$4:Y1673&lt;1000000000),1),Y$4:Y1673)),INDEX(F$4:F1673,MATCH(LARGE(FILTER(K$4:K1673,K$4:K1673&lt;1000000000),1),K$4:K1673)))),AND(K1294&lt;1000000000,COUNTA(C1294:C1673)&gt;0,P$3=FALSE),
ROUNDDOWN(INDEX(Y$4:Y1673,MATCH(LARGE(FILTER(W$4:W1673,W$4:W1673&lt;=I1294),1)"&amp;",W$4:W1673))+(I1294-LARGE(FILTER(W$4:W1673,W$4:W1673&lt;=I1294),1))*INDEX(T$4:T1673,MATCH(LARGE(FILTER(W$4:W1673,W$4:W1673&lt;=I1294),1),W$4:W1673))-K1294),1,
ROUNDDOWN(Y1294-INDEX(K$4:K1673,MATCH(LARGE(FILTER(I$4:I1673,I$4:I1673&lt;=W1294),1),I$4:I1673))-(W1294-L"&amp;"ARGE(FILTER(I$4:I1673,I$4:I1673&lt;=W1294),1))*INDEX(F$4:F1673,MATCH(LARGE(FILTER(I$4:I1673,I$4:I1673&lt;=W1294),1),I$4:I1673))))"),"")</f>
        <v/>
      </c>
      <c r="N1294" s="60" t="str">
        <f t="shared" si="8"/>
        <v/>
      </c>
      <c r="O1294" s="61" t="str">
        <f t="shared" si="9"/>
        <v/>
      </c>
      <c r="P1294" s="56" t="str">
        <f t="shared" si="10"/>
        <v/>
      </c>
      <c r="Q1294" s="67"/>
      <c r="R1294" s="10"/>
      <c r="S1294" s="59" t="str">
        <f t="array" ref="S1294">IF(COUNTA(Q1294:Q1673)=0,"",SUM((COUNTIF(Q$4:Q1294,Upgrades!$B$3:$B$13)-COUNTIF(Q$4:Q1294,"Sell_"&amp;Upgrades!$B$3:$B$13))*Upgrades!$D$3:$D$13))</f>
        <v/>
      </c>
      <c r="T1294" s="66" t="str">
        <f>IFERROR(__xludf.DUMMYFUNCTION("IF(COUNTA(Q1294:Q1673)=0,"""",IF(REGEXMATCH(INDEX(FILTER(Q$4:Q1294,Q$4:Q1294&lt;&gt;""""),ROWS(FILTER(Q$4:Q1294,Q$4:Q1294&lt;&gt;""""))),""^Sell_""),INDEX(FILTER(T$4:T1293,Q$4:Q1293&lt;&gt;""""),ROWS(FILTER(Q$4:Q1293,Q$4:Q1293&lt;&gt;""""))),$AD$5+S1294))"),"")</f>
        <v/>
      </c>
      <c r="U1294" s="10" t="str">
        <f>IFERROR(__xludf.DUMMYFUNCTION("IF(COUNTA(Q1294:Q1673)=0,"""",IF(Q1294="""",0,IF(REGEXMATCH(Q1294,""^Sell_""),-ROUNDDOWN(ROUNDUP(INDEX(Upgrades!$C$3:$C$13,MATCH(SUBSTITUTE(Q1294,""Sell_"",""""),Upgrades!$B$3:$B$13,0))*1.15^(COUNTIF(Q$4:Q1293,SUBSTITUTE(Q1294,""Sell_"",""""))-COUNTIF(Q$4"&amp;":Q1293,""Sell_""&amp;SUBSTITUTE(Q1294,""Sell_"",""""))))/2),ROUNDUP(INDEX(Upgrades!$C$3:$C$13,MATCH(Q1294,Upgrades!$B$3:$B$13,0))*1.15^(COUNTIF(Q$4:Q1293,Q1294)-COUNTIF(Q$4:Q1293,""Sell_""&amp;Q1294))))))"),"")</f>
        <v/>
      </c>
      <c r="V1294" s="10" t="str">
        <f t="shared" si="11"/>
        <v/>
      </c>
      <c r="W1294" s="68" t="str">
        <f t="shared" si="12"/>
        <v/>
      </c>
      <c r="X1294" s="59" t="str">
        <f t="shared" si="13"/>
        <v/>
      </c>
      <c r="Y1294" s="69" t="str">
        <f t="shared" si="14"/>
        <v/>
      </c>
      <c r="Z1294" s="11"/>
    </row>
    <row r="1295">
      <c r="A1295" s="8"/>
      <c r="B1295" s="56" t="str">
        <f t="shared" si="2"/>
        <v/>
      </c>
      <c r="C1295" s="105"/>
      <c r="D1295" s="10"/>
      <c r="E1295" s="59" t="str">
        <f t="array" ref="E1295">IF(COUNTA(C1295:C1673)=0,"",SUM((COUNTIF(C$4:C1295,Upgrades!$B$3:$B$13)-COUNTIF(C$4:C1295,"Sell_"&amp;Upgrades!$B$3:$B$13))*Upgrades!$D$3:$D$13))</f>
        <v/>
      </c>
      <c r="F1295" s="66" t="str">
        <f>IFERROR(__xludf.DUMMYFUNCTION("IF(COUNTA(C1295:C1673)=0,"""",IF(REGEXMATCH(INDEX(FILTER(C$4:C1295,C$4:C1295&lt;&gt;""""),ROWS(FILTER(C$4:C1295,C$4:C1295&lt;&gt;""""))),""^Sell_""),INDEX(FILTER(F$4:F1294,C$4:C1294&lt;&gt;""""),ROWS(FILTER(C$4:C1294,C$4:C1294&lt;&gt;""""))),$AC$5+E1295))"),"")</f>
        <v/>
      </c>
      <c r="G1295" s="10" t="str">
        <f>IFERROR(__xludf.DUMMYFUNCTION("IF(COUNTA(C1295:C1673)=0,"""",IF(C1295="""",0,IF(REGEXMATCH(C1295,""^Sell_""),-ROUNDDOWN(ROUNDUP(INDEX(Upgrades!$C$3:$C$13,MATCH(SUBSTITUTE(C1295,""Sell_"",""""),Upgrades!$B$3:$B$13,0))*1.15^(COUNTIF(C$4:C1294,SUBSTITUTE(C1295,""Sell_"",""""))-COUNTIF(C$4"&amp;":C1294,""Sell_""&amp;SUBSTITUTE(C1295,""Sell_"",""""))))/2),ROUNDUP(INDEX(Upgrades!$C$3:$C$13,MATCH(C1295,Upgrades!$B$3:$B$13,0))*1.15^(COUNTIF(C$4:C1294,C1295)-COUNTIF(C$4:C1294,""Sell_""&amp;C1295))))))"),"")</f>
        <v/>
      </c>
      <c r="H1295" s="10" t="str">
        <f t="shared" si="3"/>
        <v/>
      </c>
      <c r="I1295" s="68" t="str">
        <f t="shared" si="4"/>
        <v/>
      </c>
      <c r="J1295" s="59" t="str">
        <f t="shared" si="5"/>
        <v/>
      </c>
      <c r="K1295" s="69" t="str">
        <f t="shared" si="6"/>
        <v/>
      </c>
      <c r="L1295" s="60" t="str">
        <f t="shared" si="7"/>
        <v/>
      </c>
      <c r="M1295" s="61" t="str">
        <f>IFERROR(__xludf.DUMMYFUNCTION("IFS(AND(COUNTA(C1295:C1673)=0,COUNTA(Q1295:Q1673)=0),"""",OR(AND(K1295&gt;=1000000000,OR(Y1295&gt;=1000000000,COUNTA(Q1295:Q1673)=0)),OR(Y1295&gt;=1000000000,AND(COUNTA(C1295:C1673)=0,P$3=TRUE))),
ROUNDDOWN((AB$1-AC$1)*MAX(INDEX(T$4:T1673,MATCH(LARGE(FILTER(Y$4:Y1"&amp;"673,Y$4:Y1673&lt;1000000000),1),Y$4:Y1673)),INDEX(F$4:F1673,MATCH(LARGE(FILTER(K$4:K1673,K$4:K1673&lt;1000000000),1),K$4:K1673)))),AND(K1295&lt;1000000000,COUNTA(C1295:C1673)&gt;0,P$3=FALSE),
ROUNDDOWN(INDEX(Y$4:Y1673,MATCH(LARGE(FILTER(W$4:W1673,W$4:W1673&lt;=I1295),1)"&amp;",W$4:W1673))+(I1295-LARGE(FILTER(W$4:W1673,W$4:W1673&lt;=I1295),1))*INDEX(T$4:T1673,MATCH(LARGE(FILTER(W$4:W1673,W$4:W1673&lt;=I1295),1),W$4:W1673))-K1295),1,
ROUNDDOWN(Y1295-INDEX(K$4:K1673,MATCH(LARGE(FILTER(I$4:I1673,I$4:I1673&lt;=W1295),1),I$4:I1673))-(W1295-L"&amp;"ARGE(FILTER(I$4:I1673,I$4:I1673&lt;=W1295),1))*INDEX(F$4:F1673,MATCH(LARGE(FILTER(I$4:I1673,I$4:I1673&lt;=W1295),1),I$4:I1673))))"),"")</f>
        <v/>
      </c>
      <c r="N1295" s="60" t="str">
        <f t="shared" si="8"/>
        <v/>
      </c>
      <c r="O1295" s="61" t="str">
        <f t="shared" si="9"/>
        <v/>
      </c>
      <c r="P1295" s="56" t="str">
        <f t="shared" si="10"/>
        <v/>
      </c>
      <c r="Q1295" s="67"/>
      <c r="R1295" s="10"/>
      <c r="S1295" s="59" t="str">
        <f t="array" ref="S1295">IF(COUNTA(Q1295:Q1673)=0,"",SUM((COUNTIF(Q$4:Q1295,Upgrades!$B$3:$B$13)-COUNTIF(Q$4:Q1295,"Sell_"&amp;Upgrades!$B$3:$B$13))*Upgrades!$D$3:$D$13))</f>
        <v/>
      </c>
      <c r="T1295" s="66" t="str">
        <f>IFERROR(__xludf.DUMMYFUNCTION("IF(COUNTA(Q1295:Q1673)=0,"""",IF(REGEXMATCH(INDEX(FILTER(Q$4:Q1295,Q$4:Q1295&lt;&gt;""""),ROWS(FILTER(Q$4:Q1295,Q$4:Q1295&lt;&gt;""""))),""^Sell_""),INDEX(FILTER(T$4:T1294,Q$4:Q1294&lt;&gt;""""),ROWS(FILTER(Q$4:Q1294,Q$4:Q1294&lt;&gt;""""))),$AD$5+S1295))"),"")</f>
        <v/>
      </c>
      <c r="U1295" s="10" t="str">
        <f>IFERROR(__xludf.DUMMYFUNCTION("IF(COUNTA(Q1295:Q1673)=0,"""",IF(Q1295="""",0,IF(REGEXMATCH(Q1295,""^Sell_""),-ROUNDDOWN(ROUNDUP(INDEX(Upgrades!$C$3:$C$13,MATCH(SUBSTITUTE(Q1295,""Sell_"",""""),Upgrades!$B$3:$B$13,0))*1.15^(COUNTIF(Q$4:Q1294,SUBSTITUTE(Q1295,""Sell_"",""""))-COUNTIF(Q$4"&amp;":Q1294,""Sell_""&amp;SUBSTITUTE(Q1295,""Sell_"",""""))))/2),ROUNDUP(INDEX(Upgrades!$C$3:$C$13,MATCH(Q1295,Upgrades!$B$3:$B$13,0))*1.15^(COUNTIF(Q$4:Q1294,Q1295)-COUNTIF(Q$4:Q1294,""Sell_""&amp;Q1295))))))"),"")</f>
        <v/>
      </c>
      <c r="V1295" s="10" t="str">
        <f t="shared" si="11"/>
        <v/>
      </c>
      <c r="W1295" s="68" t="str">
        <f t="shared" si="12"/>
        <v/>
      </c>
      <c r="X1295" s="59" t="str">
        <f t="shared" si="13"/>
        <v/>
      </c>
      <c r="Y1295" s="69" t="str">
        <f t="shared" si="14"/>
        <v/>
      </c>
      <c r="Z1295" s="11"/>
    </row>
    <row r="1296">
      <c r="A1296" s="8"/>
      <c r="B1296" s="56" t="str">
        <f t="shared" si="2"/>
        <v/>
      </c>
      <c r="C1296" s="105"/>
      <c r="D1296" s="10"/>
      <c r="E1296" s="59" t="str">
        <f t="array" ref="E1296">IF(COUNTA(C1296:C1673)=0,"",SUM((COUNTIF(C$4:C1296,Upgrades!$B$3:$B$13)-COUNTIF(C$4:C1296,"Sell_"&amp;Upgrades!$B$3:$B$13))*Upgrades!$D$3:$D$13))</f>
        <v/>
      </c>
      <c r="F1296" s="66" t="str">
        <f>IFERROR(__xludf.DUMMYFUNCTION("IF(COUNTA(C1296:C1673)=0,"""",IF(REGEXMATCH(INDEX(FILTER(C$4:C1296,C$4:C1296&lt;&gt;""""),ROWS(FILTER(C$4:C1296,C$4:C1296&lt;&gt;""""))),""^Sell_""),INDEX(FILTER(F$4:F1295,C$4:C1295&lt;&gt;""""),ROWS(FILTER(C$4:C1295,C$4:C1295&lt;&gt;""""))),$AC$5+E1296))"),"")</f>
        <v/>
      </c>
      <c r="G1296" s="10" t="str">
        <f>IFERROR(__xludf.DUMMYFUNCTION("IF(COUNTA(C1296:C1673)=0,"""",IF(C1296="""",0,IF(REGEXMATCH(C1296,""^Sell_""),-ROUNDDOWN(ROUNDUP(INDEX(Upgrades!$C$3:$C$13,MATCH(SUBSTITUTE(C1296,""Sell_"",""""),Upgrades!$B$3:$B$13,0))*1.15^(COUNTIF(C$4:C1295,SUBSTITUTE(C1296,""Sell_"",""""))-COUNTIF(C$4"&amp;":C1295,""Sell_""&amp;SUBSTITUTE(C1296,""Sell_"",""""))))/2),ROUNDUP(INDEX(Upgrades!$C$3:$C$13,MATCH(C1296,Upgrades!$B$3:$B$13,0))*1.15^(COUNTIF(C$4:C1295,C1296)-COUNTIF(C$4:C1295,""Sell_""&amp;C1296))))))"),"")</f>
        <v/>
      </c>
      <c r="H1296" s="10" t="str">
        <f t="shared" si="3"/>
        <v/>
      </c>
      <c r="I1296" s="68" t="str">
        <f t="shared" si="4"/>
        <v/>
      </c>
      <c r="J1296" s="59" t="str">
        <f t="shared" si="5"/>
        <v/>
      </c>
      <c r="K1296" s="69" t="str">
        <f t="shared" si="6"/>
        <v/>
      </c>
      <c r="L1296" s="60" t="str">
        <f t="shared" si="7"/>
        <v/>
      </c>
      <c r="M1296" s="61" t="str">
        <f>IFERROR(__xludf.DUMMYFUNCTION("IFS(AND(COUNTA(C1296:C1673)=0,COUNTA(Q1296:Q1673)=0),"""",OR(AND(K1296&gt;=1000000000,OR(Y1296&gt;=1000000000,COUNTA(Q1296:Q1673)=0)),OR(Y1296&gt;=1000000000,AND(COUNTA(C1296:C1673)=0,P$3=TRUE))),
ROUNDDOWN((AB$1-AC$1)*MAX(INDEX(T$4:T1673,MATCH(LARGE(FILTER(Y$4:Y1"&amp;"673,Y$4:Y1673&lt;1000000000),1),Y$4:Y1673)),INDEX(F$4:F1673,MATCH(LARGE(FILTER(K$4:K1673,K$4:K1673&lt;1000000000),1),K$4:K1673)))),AND(K1296&lt;1000000000,COUNTA(C1296:C1673)&gt;0,P$3=FALSE),
ROUNDDOWN(INDEX(Y$4:Y1673,MATCH(LARGE(FILTER(W$4:W1673,W$4:W1673&lt;=I1296),1)"&amp;",W$4:W1673))+(I1296-LARGE(FILTER(W$4:W1673,W$4:W1673&lt;=I1296),1))*INDEX(T$4:T1673,MATCH(LARGE(FILTER(W$4:W1673,W$4:W1673&lt;=I1296),1),W$4:W1673))-K1296),1,
ROUNDDOWN(Y1296-INDEX(K$4:K1673,MATCH(LARGE(FILTER(I$4:I1673,I$4:I1673&lt;=W1296),1),I$4:I1673))-(W1296-L"&amp;"ARGE(FILTER(I$4:I1673,I$4:I1673&lt;=W1296),1))*INDEX(F$4:F1673,MATCH(LARGE(FILTER(I$4:I1673,I$4:I1673&lt;=W1296),1),I$4:I1673))))"),"")</f>
        <v/>
      </c>
      <c r="N1296" s="60" t="str">
        <f t="shared" si="8"/>
        <v/>
      </c>
      <c r="O1296" s="61" t="str">
        <f t="shared" si="9"/>
        <v/>
      </c>
      <c r="P1296" s="56" t="str">
        <f t="shared" si="10"/>
        <v/>
      </c>
      <c r="Q1296" s="67"/>
      <c r="R1296" s="10"/>
      <c r="S1296" s="59" t="str">
        <f t="array" ref="S1296">IF(COUNTA(Q1296:Q1673)=0,"",SUM((COUNTIF(Q$4:Q1296,Upgrades!$B$3:$B$13)-COUNTIF(Q$4:Q1296,"Sell_"&amp;Upgrades!$B$3:$B$13))*Upgrades!$D$3:$D$13))</f>
        <v/>
      </c>
      <c r="T1296" s="66" t="str">
        <f>IFERROR(__xludf.DUMMYFUNCTION("IF(COUNTA(Q1296:Q1673)=0,"""",IF(REGEXMATCH(INDEX(FILTER(Q$4:Q1296,Q$4:Q1296&lt;&gt;""""),ROWS(FILTER(Q$4:Q1296,Q$4:Q1296&lt;&gt;""""))),""^Sell_""),INDEX(FILTER(T$4:T1295,Q$4:Q1295&lt;&gt;""""),ROWS(FILTER(Q$4:Q1295,Q$4:Q1295&lt;&gt;""""))),$AD$5+S1296))"),"")</f>
        <v/>
      </c>
      <c r="U1296" s="10" t="str">
        <f>IFERROR(__xludf.DUMMYFUNCTION("IF(COUNTA(Q1296:Q1673)=0,"""",IF(Q1296="""",0,IF(REGEXMATCH(Q1296,""^Sell_""),-ROUNDDOWN(ROUNDUP(INDEX(Upgrades!$C$3:$C$13,MATCH(SUBSTITUTE(Q1296,""Sell_"",""""),Upgrades!$B$3:$B$13,0))*1.15^(COUNTIF(Q$4:Q1295,SUBSTITUTE(Q1296,""Sell_"",""""))-COUNTIF(Q$4"&amp;":Q1295,""Sell_""&amp;SUBSTITUTE(Q1296,""Sell_"",""""))))/2),ROUNDUP(INDEX(Upgrades!$C$3:$C$13,MATCH(Q1296,Upgrades!$B$3:$B$13,0))*1.15^(COUNTIF(Q$4:Q1295,Q1296)-COUNTIF(Q$4:Q1295,""Sell_""&amp;Q1296))))))"),"")</f>
        <v/>
      </c>
      <c r="V1296" s="10" t="str">
        <f t="shared" si="11"/>
        <v/>
      </c>
      <c r="W1296" s="68" t="str">
        <f t="shared" si="12"/>
        <v/>
      </c>
      <c r="X1296" s="59" t="str">
        <f t="shared" si="13"/>
        <v/>
      </c>
      <c r="Y1296" s="69" t="str">
        <f t="shared" si="14"/>
        <v/>
      </c>
      <c r="Z1296" s="11"/>
    </row>
    <row r="1297">
      <c r="A1297" s="8"/>
      <c r="B1297" s="56" t="str">
        <f t="shared" si="2"/>
        <v/>
      </c>
      <c r="C1297" s="105"/>
      <c r="D1297" s="10"/>
      <c r="E1297" s="59" t="str">
        <f t="array" ref="E1297">IF(COUNTA(C1297:C1673)=0,"",SUM((COUNTIF(C$4:C1297,Upgrades!$B$3:$B$13)-COUNTIF(C$4:C1297,"Sell_"&amp;Upgrades!$B$3:$B$13))*Upgrades!$D$3:$D$13))</f>
        <v/>
      </c>
      <c r="F1297" s="66" t="str">
        <f>IFERROR(__xludf.DUMMYFUNCTION("IF(COUNTA(C1297:C1673)=0,"""",IF(REGEXMATCH(INDEX(FILTER(C$4:C1297,C$4:C1297&lt;&gt;""""),ROWS(FILTER(C$4:C1297,C$4:C1297&lt;&gt;""""))),""^Sell_""),INDEX(FILTER(F$4:F1296,C$4:C1296&lt;&gt;""""),ROWS(FILTER(C$4:C1296,C$4:C1296&lt;&gt;""""))),$AC$5+E1297))"),"")</f>
        <v/>
      </c>
      <c r="G1297" s="10" t="str">
        <f>IFERROR(__xludf.DUMMYFUNCTION("IF(COUNTA(C1297:C1673)=0,"""",IF(C1297="""",0,IF(REGEXMATCH(C1297,""^Sell_""),-ROUNDDOWN(ROUNDUP(INDEX(Upgrades!$C$3:$C$13,MATCH(SUBSTITUTE(C1297,""Sell_"",""""),Upgrades!$B$3:$B$13,0))*1.15^(COUNTIF(C$4:C1296,SUBSTITUTE(C1297,""Sell_"",""""))-COUNTIF(C$4"&amp;":C1296,""Sell_""&amp;SUBSTITUTE(C1297,""Sell_"",""""))))/2),ROUNDUP(INDEX(Upgrades!$C$3:$C$13,MATCH(C1297,Upgrades!$B$3:$B$13,0))*1.15^(COUNTIF(C$4:C1296,C1297)-COUNTIF(C$4:C1296,""Sell_""&amp;C1297))))))"),"")</f>
        <v/>
      </c>
      <c r="H1297" s="10" t="str">
        <f t="shared" si="3"/>
        <v/>
      </c>
      <c r="I1297" s="68" t="str">
        <f t="shared" si="4"/>
        <v/>
      </c>
      <c r="J1297" s="59" t="str">
        <f t="shared" si="5"/>
        <v/>
      </c>
      <c r="K1297" s="69" t="str">
        <f t="shared" si="6"/>
        <v/>
      </c>
      <c r="L1297" s="60" t="str">
        <f t="shared" si="7"/>
        <v/>
      </c>
      <c r="M1297" s="61" t="str">
        <f>IFERROR(__xludf.DUMMYFUNCTION("IFS(AND(COUNTA(C1297:C1673)=0,COUNTA(Q1297:Q1673)=0),"""",OR(AND(K1297&gt;=1000000000,OR(Y1297&gt;=1000000000,COUNTA(Q1297:Q1673)=0)),OR(Y1297&gt;=1000000000,AND(COUNTA(C1297:C1673)=0,P$3=TRUE))),
ROUNDDOWN((AB$1-AC$1)*MAX(INDEX(T$4:T1673,MATCH(LARGE(FILTER(Y$4:Y1"&amp;"673,Y$4:Y1673&lt;1000000000),1),Y$4:Y1673)),INDEX(F$4:F1673,MATCH(LARGE(FILTER(K$4:K1673,K$4:K1673&lt;1000000000),1),K$4:K1673)))),AND(K1297&lt;1000000000,COUNTA(C1297:C1673)&gt;0,P$3=FALSE),
ROUNDDOWN(INDEX(Y$4:Y1673,MATCH(LARGE(FILTER(W$4:W1673,W$4:W1673&lt;=I1297),1)"&amp;",W$4:W1673))+(I1297-LARGE(FILTER(W$4:W1673,W$4:W1673&lt;=I1297),1))*INDEX(T$4:T1673,MATCH(LARGE(FILTER(W$4:W1673,W$4:W1673&lt;=I1297),1),W$4:W1673))-K1297),1,
ROUNDDOWN(Y1297-INDEX(K$4:K1673,MATCH(LARGE(FILTER(I$4:I1673,I$4:I1673&lt;=W1297),1),I$4:I1673))-(W1297-L"&amp;"ARGE(FILTER(I$4:I1673,I$4:I1673&lt;=W1297),1))*INDEX(F$4:F1673,MATCH(LARGE(FILTER(I$4:I1673,I$4:I1673&lt;=W1297),1),I$4:I1673))))"),"")</f>
        <v/>
      </c>
      <c r="N1297" s="60" t="str">
        <f t="shared" si="8"/>
        <v/>
      </c>
      <c r="O1297" s="61" t="str">
        <f t="shared" si="9"/>
        <v/>
      </c>
      <c r="P1297" s="56" t="str">
        <f t="shared" si="10"/>
        <v/>
      </c>
      <c r="Q1297" s="67"/>
      <c r="R1297" s="10"/>
      <c r="S1297" s="59" t="str">
        <f t="array" ref="S1297">IF(COUNTA(Q1297:Q1673)=0,"",SUM((COUNTIF(Q$4:Q1297,Upgrades!$B$3:$B$13)-COUNTIF(Q$4:Q1297,"Sell_"&amp;Upgrades!$B$3:$B$13))*Upgrades!$D$3:$D$13))</f>
        <v/>
      </c>
      <c r="T1297" s="66" t="str">
        <f>IFERROR(__xludf.DUMMYFUNCTION("IF(COUNTA(Q1297:Q1673)=0,"""",IF(REGEXMATCH(INDEX(FILTER(Q$4:Q1297,Q$4:Q1297&lt;&gt;""""),ROWS(FILTER(Q$4:Q1297,Q$4:Q1297&lt;&gt;""""))),""^Sell_""),INDEX(FILTER(T$4:T1296,Q$4:Q1296&lt;&gt;""""),ROWS(FILTER(Q$4:Q1296,Q$4:Q1296&lt;&gt;""""))),$AD$5+S1297))"),"")</f>
        <v/>
      </c>
      <c r="U1297" s="10" t="str">
        <f>IFERROR(__xludf.DUMMYFUNCTION("IF(COUNTA(Q1297:Q1673)=0,"""",IF(Q1297="""",0,IF(REGEXMATCH(Q1297,""^Sell_""),-ROUNDDOWN(ROUNDUP(INDEX(Upgrades!$C$3:$C$13,MATCH(SUBSTITUTE(Q1297,""Sell_"",""""),Upgrades!$B$3:$B$13,0))*1.15^(COUNTIF(Q$4:Q1296,SUBSTITUTE(Q1297,""Sell_"",""""))-COUNTIF(Q$4"&amp;":Q1296,""Sell_""&amp;SUBSTITUTE(Q1297,""Sell_"",""""))))/2),ROUNDUP(INDEX(Upgrades!$C$3:$C$13,MATCH(Q1297,Upgrades!$B$3:$B$13,0))*1.15^(COUNTIF(Q$4:Q1296,Q1297)-COUNTIF(Q$4:Q1296,""Sell_""&amp;Q1297))))))"),"")</f>
        <v/>
      </c>
      <c r="V1297" s="10" t="str">
        <f t="shared" si="11"/>
        <v/>
      </c>
      <c r="W1297" s="68" t="str">
        <f t="shared" si="12"/>
        <v/>
      </c>
      <c r="X1297" s="59" t="str">
        <f t="shared" si="13"/>
        <v/>
      </c>
      <c r="Y1297" s="69" t="str">
        <f t="shared" si="14"/>
        <v/>
      </c>
      <c r="Z1297" s="11"/>
    </row>
    <row r="1298">
      <c r="A1298" s="8"/>
      <c r="B1298" s="56" t="str">
        <f t="shared" si="2"/>
        <v/>
      </c>
      <c r="C1298" s="105"/>
      <c r="D1298" s="10"/>
      <c r="E1298" s="59" t="str">
        <f t="array" ref="E1298">IF(COUNTA(C1298:C1673)=0,"",SUM((COUNTIF(C$4:C1298,Upgrades!$B$3:$B$13)-COUNTIF(C$4:C1298,"Sell_"&amp;Upgrades!$B$3:$B$13))*Upgrades!$D$3:$D$13))</f>
        <v/>
      </c>
      <c r="F1298" s="66" t="str">
        <f>IFERROR(__xludf.DUMMYFUNCTION("IF(COUNTA(C1298:C1673)=0,"""",IF(REGEXMATCH(INDEX(FILTER(C$4:C1298,C$4:C1298&lt;&gt;""""),ROWS(FILTER(C$4:C1298,C$4:C1298&lt;&gt;""""))),""^Sell_""),INDEX(FILTER(F$4:F1297,C$4:C1297&lt;&gt;""""),ROWS(FILTER(C$4:C1297,C$4:C1297&lt;&gt;""""))),$AC$5+E1298))"),"")</f>
        <v/>
      </c>
      <c r="G1298" s="10" t="str">
        <f>IFERROR(__xludf.DUMMYFUNCTION("IF(COUNTA(C1298:C1673)=0,"""",IF(C1298="""",0,IF(REGEXMATCH(C1298,""^Sell_""),-ROUNDDOWN(ROUNDUP(INDEX(Upgrades!$C$3:$C$13,MATCH(SUBSTITUTE(C1298,""Sell_"",""""),Upgrades!$B$3:$B$13,0))*1.15^(COUNTIF(C$4:C1297,SUBSTITUTE(C1298,""Sell_"",""""))-COUNTIF(C$4"&amp;":C1297,""Sell_""&amp;SUBSTITUTE(C1298,""Sell_"",""""))))/2),ROUNDUP(INDEX(Upgrades!$C$3:$C$13,MATCH(C1298,Upgrades!$B$3:$B$13,0))*1.15^(COUNTIF(C$4:C1297,C1298)-COUNTIF(C$4:C1297,""Sell_""&amp;C1298))))))"),"")</f>
        <v/>
      </c>
      <c r="H1298" s="10" t="str">
        <f t="shared" si="3"/>
        <v/>
      </c>
      <c r="I1298" s="68" t="str">
        <f t="shared" si="4"/>
        <v/>
      </c>
      <c r="J1298" s="59" t="str">
        <f t="shared" si="5"/>
        <v/>
      </c>
      <c r="K1298" s="69" t="str">
        <f t="shared" si="6"/>
        <v/>
      </c>
      <c r="L1298" s="60" t="str">
        <f t="shared" si="7"/>
        <v/>
      </c>
      <c r="M1298" s="61" t="str">
        <f>IFERROR(__xludf.DUMMYFUNCTION("IFS(AND(COUNTA(C1298:C1673)=0,COUNTA(Q1298:Q1673)=0),"""",OR(AND(K1298&gt;=1000000000,OR(Y1298&gt;=1000000000,COUNTA(Q1298:Q1673)=0)),OR(Y1298&gt;=1000000000,AND(COUNTA(C1298:C1673)=0,P$3=TRUE))),
ROUNDDOWN((AB$1-AC$1)*MAX(INDEX(T$4:T1673,MATCH(LARGE(FILTER(Y$4:Y1"&amp;"673,Y$4:Y1673&lt;1000000000),1),Y$4:Y1673)),INDEX(F$4:F1673,MATCH(LARGE(FILTER(K$4:K1673,K$4:K1673&lt;1000000000),1),K$4:K1673)))),AND(K1298&lt;1000000000,COUNTA(C1298:C1673)&gt;0,P$3=FALSE),
ROUNDDOWN(INDEX(Y$4:Y1673,MATCH(LARGE(FILTER(W$4:W1673,W$4:W1673&lt;=I1298),1)"&amp;",W$4:W1673))+(I1298-LARGE(FILTER(W$4:W1673,W$4:W1673&lt;=I1298),1))*INDEX(T$4:T1673,MATCH(LARGE(FILTER(W$4:W1673,W$4:W1673&lt;=I1298),1),W$4:W1673))-K1298),1,
ROUNDDOWN(Y1298-INDEX(K$4:K1673,MATCH(LARGE(FILTER(I$4:I1673,I$4:I1673&lt;=W1298),1),I$4:I1673))-(W1298-L"&amp;"ARGE(FILTER(I$4:I1673,I$4:I1673&lt;=W1298),1))*INDEX(F$4:F1673,MATCH(LARGE(FILTER(I$4:I1673,I$4:I1673&lt;=W1298),1),I$4:I1673))))"),"")</f>
        <v/>
      </c>
      <c r="N1298" s="60" t="str">
        <f t="shared" si="8"/>
        <v/>
      </c>
      <c r="O1298" s="61" t="str">
        <f t="shared" si="9"/>
        <v/>
      </c>
      <c r="P1298" s="56" t="str">
        <f t="shared" si="10"/>
        <v/>
      </c>
      <c r="Q1298" s="67"/>
      <c r="R1298" s="10"/>
      <c r="S1298" s="59" t="str">
        <f t="array" ref="S1298">IF(COUNTA(Q1298:Q1673)=0,"",SUM((COUNTIF(Q$4:Q1298,Upgrades!$B$3:$B$13)-COUNTIF(Q$4:Q1298,"Sell_"&amp;Upgrades!$B$3:$B$13))*Upgrades!$D$3:$D$13))</f>
        <v/>
      </c>
      <c r="T1298" s="66" t="str">
        <f>IFERROR(__xludf.DUMMYFUNCTION("IF(COUNTA(Q1298:Q1673)=0,"""",IF(REGEXMATCH(INDEX(FILTER(Q$4:Q1298,Q$4:Q1298&lt;&gt;""""),ROWS(FILTER(Q$4:Q1298,Q$4:Q1298&lt;&gt;""""))),""^Sell_""),INDEX(FILTER(T$4:T1297,Q$4:Q1297&lt;&gt;""""),ROWS(FILTER(Q$4:Q1297,Q$4:Q1297&lt;&gt;""""))),$AD$5+S1298))"),"")</f>
        <v/>
      </c>
      <c r="U1298" s="10" t="str">
        <f>IFERROR(__xludf.DUMMYFUNCTION("IF(COUNTA(Q1298:Q1673)=0,"""",IF(Q1298="""",0,IF(REGEXMATCH(Q1298,""^Sell_""),-ROUNDDOWN(ROUNDUP(INDEX(Upgrades!$C$3:$C$13,MATCH(SUBSTITUTE(Q1298,""Sell_"",""""),Upgrades!$B$3:$B$13,0))*1.15^(COUNTIF(Q$4:Q1297,SUBSTITUTE(Q1298,""Sell_"",""""))-COUNTIF(Q$4"&amp;":Q1297,""Sell_""&amp;SUBSTITUTE(Q1298,""Sell_"",""""))))/2),ROUNDUP(INDEX(Upgrades!$C$3:$C$13,MATCH(Q1298,Upgrades!$B$3:$B$13,0))*1.15^(COUNTIF(Q$4:Q1297,Q1298)-COUNTIF(Q$4:Q1297,""Sell_""&amp;Q1298))))))"),"")</f>
        <v/>
      </c>
      <c r="V1298" s="10" t="str">
        <f t="shared" si="11"/>
        <v/>
      </c>
      <c r="W1298" s="68" t="str">
        <f t="shared" si="12"/>
        <v/>
      </c>
      <c r="X1298" s="59" t="str">
        <f t="shared" si="13"/>
        <v/>
      </c>
      <c r="Y1298" s="69" t="str">
        <f t="shared" si="14"/>
        <v/>
      </c>
      <c r="Z1298" s="11"/>
    </row>
    <row r="1299">
      <c r="A1299" s="8"/>
      <c r="B1299" s="56" t="str">
        <f t="shared" si="2"/>
        <v/>
      </c>
      <c r="C1299" s="105"/>
      <c r="D1299" s="10"/>
      <c r="E1299" s="59" t="str">
        <f t="array" ref="E1299">IF(COUNTA(C1299:C1673)=0,"",SUM((COUNTIF(C$4:C1299,Upgrades!$B$3:$B$13)-COUNTIF(C$4:C1299,"Sell_"&amp;Upgrades!$B$3:$B$13))*Upgrades!$D$3:$D$13))</f>
        <v/>
      </c>
      <c r="F1299" s="66" t="str">
        <f>IFERROR(__xludf.DUMMYFUNCTION("IF(COUNTA(C1299:C1673)=0,"""",IF(REGEXMATCH(INDEX(FILTER(C$4:C1299,C$4:C1299&lt;&gt;""""),ROWS(FILTER(C$4:C1299,C$4:C1299&lt;&gt;""""))),""^Sell_""),INDEX(FILTER(F$4:F1298,C$4:C1298&lt;&gt;""""),ROWS(FILTER(C$4:C1298,C$4:C1298&lt;&gt;""""))),$AC$5+E1299))"),"")</f>
        <v/>
      </c>
      <c r="G1299" s="10" t="str">
        <f>IFERROR(__xludf.DUMMYFUNCTION("IF(COUNTA(C1299:C1673)=0,"""",IF(C1299="""",0,IF(REGEXMATCH(C1299,""^Sell_""),-ROUNDDOWN(ROUNDUP(INDEX(Upgrades!$C$3:$C$13,MATCH(SUBSTITUTE(C1299,""Sell_"",""""),Upgrades!$B$3:$B$13,0))*1.15^(COUNTIF(C$4:C1298,SUBSTITUTE(C1299,""Sell_"",""""))-COUNTIF(C$4"&amp;":C1298,""Sell_""&amp;SUBSTITUTE(C1299,""Sell_"",""""))))/2),ROUNDUP(INDEX(Upgrades!$C$3:$C$13,MATCH(C1299,Upgrades!$B$3:$B$13,0))*1.15^(COUNTIF(C$4:C1298,C1299)-COUNTIF(C$4:C1298,""Sell_""&amp;C1299))))))"),"")</f>
        <v/>
      </c>
      <c r="H1299" s="10" t="str">
        <f t="shared" si="3"/>
        <v/>
      </c>
      <c r="I1299" s="68" t="str">
        <f t="shared" si="4"/>
        <v/>
      </c>
      <c r="J1299" s="59" t="str">
        <f t="shared" si="5"/>
        <v/>
      </c>
      <c r="K1299" s="69" t="str">
        <f t="shared" si="6"/>
        <v/>
      </c>
      <c r="L1299" s="60" t="str">
        <f t="shared" si="7"/>
        <v/>
      </c>
      <c r="M1299" s="61" t="str">
        <f>IFERROR(__xludf.DUMMYFUNCTION("IFS(AND(COUNTA(C1299:C1673)=0,COUNTA(Q1299:Q1673)=0),"""",OR(AND(K1299&gt;=1000000000,OR(Y1299&gt;=1000000000,COUNTA(Q1299:Q1673)=0)),OR(Y1299&gt;=1000000000,AND(COUNTA(C1299:C1673)=0,P$3=TRUE))),
ROUNDDOWN((AB$1-AC$1)*MAX(INDEX(T$4:T1673,MATCH(LARGE(FILTER(Y$4:Y1"&amp;"673,Y$4:Y1673&lt;1000000000),1),Y$4:Y1673)),INDEX(F$4:F1673,MATCH(LARGE(FILTER(K$4:K1673,K$4:K1673&lt;1000000000),1),K$4:K1673)))),AND(K1299&lt;1000000000,COUNTA(C1299:C1673)&gt;0,P$3=FALSE),
ROUNDDOWN(INDEX(Y$4:Y1673,MATCH(LARGE(FILTER(W$4:W1673,W$4:W1673&lt;=I1299),1)"&amp;",W$4:W1673))+(I1299-LARGE(FILTER(W$4:W1673,W$4:W1673&lt;=I1299),1))*INDEX(T$4:T1673,MATCH(LARGE(FILTER(W$4:W1673,W$4:W1673&lt;=I1299),1),W$4:W1673))-K1299),1,
ROUNDDOWN(Y1299-INDEX(K$4:K1673,MATCH(LARGE(FILTER(I$4:I1673,I$4:I1673&lt;=W1299),1),I$4:I1673))-(W1299-L"&amp;"ARGE(FILTER(I$4:I1673,I$4:I1673&lt;=W1299),1))*INDEX(F$4:F1673,MATCH(LARGE(FILTER(I$4:I1673,I$4:I1673&lt;=W1299),1),I$4:I1673))))"),"")</f>
        <v/>
      </c>
      <c r="N1299" s="60" t="str">
        <f t="shared" si="8"/>
        <v/>
      </c>
      <c r="O1299" s="61" t="str">
        <f t="shared" si="9"/>
        <v/>
      </c>
      <c r="P1299" s="56" t="str">
        <f t="shared" si="10"/>
        <v/>
      </c>
      <c r="Q1299" s="67"/>
      <c r="R1299" s="10"/>
      <c r="S1299" s="59" t="str">
        <f t="array" ref="S1299">IF(COUNTA(Q1299:Q1673)=0,"",SUM((COUNTIF(Q$4:Q1299,Upgrades!$B$3:$B$13)-COUNTIF(Q$4:Q1299,"Sell_"&amp;Upgrades!$B$3:$B$13))*Upgrades!$D$3:$D$13))</f>
        <v/>
      </c>
      <c r="T1299" s="66" t="str">
        <f>IFERROR(__xludf.DUMMYFUNCTION("IF(COUNTA(Q1299:Q1673)=0,"""",IF(REGEXMATCH(INDEX(FILTER(Q$4:Q1299,Q$4:Q1299&lt;&gt;""""),ROWS(FILTER(Q$4:Q1299,Q$4:Q1299&lt;&gt;""""))),""^Sell_""),INDEX(FILTER(T$4:T1298,Q$4:Q1298&lt;&gt;""""),ROWS(FILTER(Q$4:Q1298,Q$4:Q1298&lt;&gt;""""))),$AD$5+S1299))"),"")</f>
        <v/>
      </c>
      <c r="U1299" s="10" t="str">
        <f>IFERROR(__xludf.DUMMYFUNCTION("IF(COUNTA(Q1299:Q1673)=0,"""",IF(Q1299="""",0,IF(REGEXMATCH(Q1299,""^Sell_""),-ROUNDDOWN(ROUNDUP(INDEX(Upgrades!$C$3:$C$13,MATCH(SUBSTITUTE(Q1299,""Sell_"",""""),Upgrades!$B$3:$B$13,0))*1.15^(COUNTIF(Q$4:Q1298,SUBSTITUTE(Q1299,""Sell_"",""""))-COUNTIF(Q$4"&amp;":Q1298,""Sell_""&amp;SUBSTITUTE(Q1299,""Sell_"",""""))))/2),ROUNDUP(INDEX(Upgrades!$C$3:$C$13,MATCH(Q1299,Upgrades!$B$3:$B$13,0))*1.15^(COUNTIF(Q$4:Q1298,Q1299)-COUNTIF(Q$4:Q1298,""Sell_""&amp;Q1299))))))"),"")</f>
        <v/>
      </c>
      <c r="V1299" s="10" t="str">
        <f t="shared" si="11"/>
        <v/>
      </c>
      <c r="W1299" s="68" t="str">
        <f t="shared" si="12"/>
        <v/>
      </c>
      <c r="X1299" s="59" t="str">
        <f t="shared" si="13"/>
        <v/>
      </c>
      <c r="Y1299" s="69" t="str">
        <f t="shared" si="14"/>
        <v/>
      </c>
      <c r="Z1299" s="11"/>
    </row>
    <row r="1300">
      <c r="A1300" s="8"/>
      <c r="B1300" s="56" t="str">
        <f t="shared" si="2"/>
        <v/>
      </c>
      <c r="C1300" s="105"/>
      <c r="D1300" s="10"/>
      <c r="E1300" s="59" t="str">
        <f t="array" ref="E1300">IF(COUNTA(C1300:C1673)=0,"",SUM((COUNTIF(C$4:C1300,Upgrades!$B$3:$B$13)-COUNTIF(C$4:C1300,"Sell_"&amp;Upgrades!$B$3:$B$13))*Upgrades!$D$3:$D$13))</f>
        <v/>
      </c>
      <c r="F1300" s="66" t="str">
        <f>IFERROR(__xludf.DUMMYFUNCTION("IF(COUNTA(C1300:C1673)=0,"""",IF(REGEXMATCH(INDEX(FILTER(C$4:C1300,C$4:C1300&lt;&gt;""""),ROWS(FILTER(C$4:C1300,C$4:C1300&lt;&gt;""""))),""^Sell_""),INDEX(FILTER(F$4:F1299,C$4:C1299&lt;&gt;""""),ROWS(FILTER(C$4:C1299,C$4:C1299&lt;&gt;""""))),$AC$5+E1300))"),"")</f>
        <v/>
      </c>
      <c r="G1300" s="10" t="str">
        <f>IFERROR(__xludf.DUMMYFUNCTION("IF(COUNTA(C1300:C1673)=0,"""",IF(C1300="""",0,IF(REGEXMATCH(C1300,""^Sell_""),-ROUNDDOWN(ROUNDUP(INDEX(Upgrades!$C$3:$C$13,MATCH(SUBSTITUTE(C1300,""Sell_"",""""),Upgrades!$B$3:$B$13,0))*1.15^(COUNTIF(C$4:C1299,SUBSTITUTE(C1300,""Sell_"",""""))-COUNTIF(C$4"&amp;":C1299,""Sell_""&amp;SUBSTITUTE(C1300,""Sell_"",""""))))/2),ROUNDUP(INDEX(Upgrades!$C$3:$C$13,MATCH(C1300,Upgrades!$B$3:$B$13,0))*1.15^(COUNTIF(C$4:C1299,C1300)-COUNTIF(C$4:C1299,""Sell_""&amp;C1300))))))"),"")</f>
        <v/>
      </c>
      <c r="H1300" s="10" t="str">
        <f t="shared" si="3"/>
        <v/>
      </c>
      <c r="I1300" s="68" t="str">
        <f t="shared" si="4"/>
        <v/>
      </c>
      <c r="J1300" s="59" t="str">
        <f t="shared" si="5"/>
        <v/>
      </c>
      <c r="K1300" s="69" t="str">
        <f t="shared" si="6"/>
        <v/>
      </c>
      <c r="L1300" s="60" t="str">
        <f t="shared" si="7"/>
        <v/>
      </c>
      <c r="M1300" s="61" t="str">
        <f>IFERROR(__xludf.DUMMYFUNCTION("IFS(AND(COUNTA(C1300:C1673)=0,COUNTA(Q1300:Q1673)=0),"""",OR(AND(K1300&gt;=1000000000,OR(Y1300&gt;=1000000000,COUNTA(Q1300:Q1673)=0)),OR(Y1300&gt;=1000000000,AND(COUNTA(C1300:C1673)=0,P$3=TRUE))),
ROUNDDOWN((AB$1-AC$1)*MAX(INDEX(T$4:T1673,MATCH(LARGE(FILTER(Y$4:Y1"&amp;"673,Y$4:Y1673&lt;1000000000),1),Y$4:Y1673)),INDEX(F$4:F1673,MATCH(LARGE(FILTER(K$4:K1673,K$4:K1673&lt;1000000000),1),K$4:K1673)))),AND(K1300&lt;1000000000,COUNTA(C1300:C1673)&gt;0,P$3=FALSE),
ROUNDDOWN(INDEX(Y$4:Y1673,MATCH(LARGE(FILTER(W$4:W1673,W$4:W1673&lt;=I1300),1)"&amp;",W$4:W1673))+(I1300-LARGE(FILTER(W$4:W1673,W$4:W1673&lt;=I1300),1))*INDEX(T$4:T1673,MATCH(LARGE(FILTER(W$4:W1673,W$4:W1673&lt;=I1300),1),W$4:W1673))-K1300),1,
ROUNDDOWN(Y1300-INDEX(K$4:K1673,MATCH(LARGE(FILTER(I$4:I1673,I$4:I1673&lt;=W1300),1),I$4:I1673))-(W1300-L"&amp;"ARGE(FILTER(I$4:I1673,I$4:I1673&lt;=W1300),1))*INDEX(F$4:F1673,MATCH(LARGE(FILTER(I$4:I1673,I$4:I1673&lt;=W1300),1),I$4:I1673))))"),"")</f>
        <v/>
      </c>
      <c r="N1300" s="60" t="str">
        <f t="shared" si="8"/>
        <v/>
      </c>
      <c r="O1300" s="61" t="str">
        <f t="shared" si="9"/>
        <v/>
      </c>
      <c r="P1300" s="56" t="str">
        <f t="shared" si="10"/>
        <v/>
      </c>
      <c r="Q1300" s="67"/>
      <c r="R1300" s="10"/>
      <c r="S1300" s="59" t="str">
        <f t="array" ref="S1300">IF(COUNTA(Q1300:Q1673)=0,"",SUM((COUNTIF(Q$4:Q1300,Upgrades!$B$3:$B$13)-COUNTIF(Q$4:Q1300,"Sell_"&amp;Upgrades!$B$3:$B$13))*Upgrades!$D$3:$D$13))</f>
        <v/>
      </c>
      <c r="T1300" s="66" t="str">
        <f>IFERROR(__xludf.DUMMYFUNCTION("IF(COUNTA(Q1300:Q1673)=0,"""",IF(REGEXMATCH(INDEX(FILTER(Q$4:Q1300,Q$4:Q1300&lt;&gt;""""),ROWS(FILTER(Q$4:Q1300,Q$4:Q1300&lt;&gt;""""))),""^Sell_""),INDEX(FILTER(T$4:T1299,Q$4:Q1299&lt;&gt;""""),ROWS(FILTER(Q$4:Q1299,Q$4:Q1299&lt;&gt;""""))),$AD$5+S1300))"),"")</f>
        <v/>
      </c>
      <c r="U1300" s="10" t="str">
        <f>IFERROR(__xludf.DUMMYFUNCTION("IF(COUNTA(Q1300:Q1673)=0,"""",IF(Q1300="""",0,IF(REGEXMATCH(Q1300,""^Sell_""),-ROUNDDOWN(ROUNDUP(INDEX(Upgrades!$C$3:$C$13,MATCH(SUBSTITUTE(Q1300,""Sell_"",""""),Upgrades!$B$3:$B$13,0))*1.15^(COUNTIF(Q$4:Q1299,SUBSTITUTE(Q1300,""Sell_"",""""))-COUNTIF(Q$4"&amp;":Q1299,""Sell_""&amp;SUBSTITUTE(Q1300,""Sell_"",""""))))/2),ROUNDUP(INDEX(Upgrades!$C$3:$C$13,MATCH(Q1300,Upgrades!$B$3:$B$13,0))*1.15^(COUNTIF(Q$4:Q1299,Q1300)-COUNTIF(Q$4:Q1299,""Sell_""&amp;Q1300))))))"),"")</f>
        <v/>
      </c>
      <c r="V1300" s="10" t="str">
        <f t="shared" si="11"/>
        <v/>
      </c>
      <c r="W1300" s="68" t="str">
        <f t="shared" si="12"/>
        <v/>
      </c>
      <c r="X1300" s="59" t="str">
        <f t="shared" si="13"/>
        <v/>
      </c>
      <c r="Y1300" s="69" t="str">
        <f t="shared" si="14"/>
        <v/>
      </c>
      <c r="Z1300" s="11"/>
    </row>
    <row r="1301">
      <c r="A1301" s="8"/>
      <c r="B1301" s="56" t="str">
        <f t="shared" si="2"/>
        <v/>
      </c>
      <c r="C1301" s="105"/>
      <c r="D1301" s="10"/>
      <c r="E1301" s="59" t="str">
        <f t="array" ref="E1301">IF(COUNTA(C1301:C1673)=0,"",SUM((COUNTIF(C$4:C1301,Upgrades!$B$3:$B$13)-COUNTIF(C$4:C1301,"Sell_"&amp;Upgrades!$B$3:$B$13))*Upgrades!$D$3:$D$13))</f>
        <v/>
      </c>
      <c r="F1301" s="66" t="str">
        <f>IFERROR(__xludf.DUMMYFUNCTION("IF(COUNTA(C1301:C1673)=0,"""",IF(REGEXMATCH(INDEX(FILTER(C$4:C1301,C$4:C1301&lt;&gt;""""),ROWS(FILTER(C$4:C1301,C$4:C1301&lt;&gt;""""))),""^Sell_""),INDEX(FILTER(F$4:F1300,C$4:C1300&lt;&gt;""""),ROWS(FILTER(C$4:C1300,C$4:C1300&lt;&gt;""""))),$AC$5+E1301))"),"")</f>
        <v/>
      </c>
      <c r="G1301" s="10" t="str">
        <f>IFERROR(__xludf.DUMMYFUNCTION("IF(COUNTA(C1301:C1673)=0,"""",IF(C1301="""",0,IF(REGEXMATCH(C1301,""^Sell_""),-ROUNDDOWN(ROUNDUP(INDEX(Upgrades!$C$3:$C$13,MATCH(SUBSTITUTE(C1301,""Sell_"",""""),Upgrades!$B$3:$B$13,0))*1.15^(COUNTIF(C$4:C1300,SUBSTITUTE(C1301,""Sell_"",""""))-COUNTIF(C$4"&amp;":C1300,""Sell_""&amp;SUBSTITUTE(C1301,""Sell_"",""""))))/2),ROUNDUP(INDEX(Upgrades!$C$3:$C$13,MATCH(C1301,Upgrades!$B$3:$B$13,0))*1.15^(COUNTIF(C$4:C1300,C1301)-COUNTIF(C$4:C1300,""Sell_""&amp;C1301))))))"),"")</f>
        <v/>
      </c>
      <c r="H1301" s="10" t="str">
        <f t="shared" si="3"/>
        <v/>
      </c>
      <c r="I1301" s="68" t="str">
        <f t="shared" si="4"/>
        <v/>
      </c>
      <c r="J1301" s="59" t="str">
        <f t="shared" si="5"/>
        <v/>
      </c>
      <c r="K1301" s="69" t="str">
        <f t="shared" si="6"/>
        <v/>
      </c>
      <c r="L1301" s="60" t="str">
        <f t="shared" si="7"/>
        <v/>
      </c>
      <c r="M1301" s="61" t="str">
        <f>IFERROR(__xludf.DUMMYFUNCTION("IFS(AND(COUNTA(C1301:C1673)=0,COUNTA(Q1301:Q1673)=0),"""",OR(AND(K1301&gt;=1000000000,OR(Y1301&gt;=1000000000,COUNTA(Q1301:Q1673)=0)),OR(Y1301&gt;=1000000000,AND(COUNTA(C1301:C1673)=0,P$3=TRUE))),
ROUNDDOWN((AB$1-AC$1)*MAX(INDEX(T$4:T1673,MATCH(LARGE(FILTER(Y$4:Y1"&amp;"673,Y$4:Y1673&lt;1000000000),1),Y$4:Y1673)),INDEX(F$4:F1673,MATCH(LARGE(FILTER(K$4:K1673,K$4:K1673&lt;1000000000),1),K$4:K1673)))),AND(K1301&lt;1000000000,COUNTA(C1301:C1673)&gt;0,P$3=FALSE),
ROUNDDOWN(INDEX(Y$4:Y1673,MATCH(LARGE(FILTER(W$4:W1673,W$4:W1673&lt;=I1301),1)"&amp;",W$4:W1673))+(I1301-LARGE(FILTER(W$4:W1673,W$4:W1673&lt;=I1301),1))*INDEX(T$4:T1673,MATCH(LARGE(FILTER(W$4:W1673,W$4:W1673&lt;=I1301),1),W$4:W1673))-K1301),1,
ROUNDDOWN(Y1301-INDEX(K$4:K1673,MATCH(LARGE(FILTER(I$4:I1673,I$4:I1673&lt;=W1301),1),I$4:I1673))-(W1301-L"&amp;"ARGE(FILTER(I$4:I1673,I$4:I1673&lt;=W1301),1))*INDEX(F$4:F1673,MATCH(LARGE(FILTER(I$4:I1673,I$4:I1673&lt;=W1301),1),I$4:I1673))))"),"")</f>
        <v/>
      </c>
      <c r="N1301" s="60" t="str">
        <f t="shared" si="8"/>
        <v/>
      </c>
      <c r="O1301" s="61" t="str">
        <f t="shared" si="9"/>
        <v/>
      </c>
      <c r="P1301" s="56" t="str">
        <f t="shared" si="10"/>
        <v/>
      </c>
      <c r="Q1301" s="67"/>
      <c r="R1301" s="10"/>
      <c r="S1301" s="59" t="str">
        <f t="array" ref="S1301">IF(COUNTA(Q1301:Q1673)=0,"",SUM((COUNTIF(Q$4:Q1301,Upgrades!$B$3:$B$13)-COUNTIF(Q$4:Q1301,"Sell_"&amp;Upgrades!$B$3:$B$13))*Upgrades!$D$3:$D$13))</f>
        <v/>
      </c>
      <c r="T1301" s="66" t="str">
        <f>IFERROR(__xludf.DUMMYFUNCTION("IF(COUNTA(Q1301:Q1673)=0,"""",IF(REGEXMATCH(INDEX(FILTER(Q$4:Q1301,Q$4:Q1301&lt;&gt;""""),ROWS(FILTER(Q$4:Q1301,Q$4:Q1301&lt;&gt;""""))),""^Sell_""),INDEX(FILTER(T$4:T1300,Q$4:Q1300&lt;&gt;""""),ROWS(FILTER(Q$4:Q1300,Q$4:Q1300&lt;&gt;""""))),$AD$5+S1301))"),"")</f>
        <v/>
      </c>
      <c r="U1301" s="10" t="str">
        <f>IFERROR(__xludf.DUMMYFUNCTION("IF(COUNTA(Q1301:Q1673)=0,"""",IF(Q1301="""",0,IF(REGEXMATCH(Q1301,""^Sell_""),-ROUNDDOWN(ROUNDUP(INDEX(Upgrades!$C$3:$C$13,MATCH(SUBSTITUTE(Q1301,""Sell_"",""""),Upgrades!$B$3:$B$13,0))*1.15^(COUNTIF(Q$4:Q1300,SUBSTITUTE(Q1301,""Sell_"",""""))-COUNTIF(Q$4"&amp;":Q1300,""Sell_""&amp;SUBSTITUTE(Q1301,""Sell_"",""""))))/2),ROUNDUP(INDEX(Upgrades!$C$3:$C$13,MATCH(Q1301,Upgrades!$B$3:$B$13,0))*1.15^(COUNTIF(Q$4:Q1300,Q1301)-COUNTIF(Q$4:Q1300,""Sell_""&amp;Q1301))))))"),"")</f>
        <v/>
      </c>
      <c r="V1301" s="10" t="str">
        <f t="shared" si="11"/>
        <v/>
      </c>
      <c r="W1301" s="68" t="str">
        <f t="shared" si="12"/>
        <v/>
      </c>
      <c r="X1301" s="59" t="str">
        <f t="shared" si="13"/>
        <v/>
      </c>
      <c r="Y1301" s="69" t="str">
        <f t="shared" si="14"/>
        <v/>
      </c>
      <c r="Z1301" s="11"/>
    </row>
    <row r="1302">
      <c r="A1302" s="8"/>
      <c r="B1302" s="56" t="str">
        <f t="shared" si="2"/>
        <v/>
      </c>
      <c r="C1302" s="105"/>
      <c r="D1302" s="10"/>
      <c r="E1302" s="59" t="str">
        <f t="array" ref="E1302">IF(COUNTA(C1302:C1673)=0,"",SUM((COUNTIF(C$4:C1302,Upgrades!$B$3:$B$13)-COUNTIF(C$4:C1302,"Sell_"&amp;Upgrades!$B$3:$B$13))*Upgrades!$D$3:$D$13))</f>
        <v/>
      </c>
      <c r="F1302" s="66" t="str">
        <f>IFERROR(__xludf.DUMMYFUNCTION("IF(COUNTA(C1302:C1673)=0,"""",IF(REGEXMATCH(INDEX(FILTER(C$4:C1302,C$4:C1302&lt;&gt;""""),ROWS(FILTER(C$4:C1302,C$4:C1302&lt;&gt;""""))),""^Sell_""),INDEX(FILTER(F$4:F1301,C$4:C1301&lt;&gt;""""),ROWS(FILTER(C$4:C1301,C$4:C1301&lt;&gt;""""))),$AC$5+E1302))"),"")</f>
        <v/>
      </c>
      <c r="G1302" s="10" t="str">
        <f>IFERROR(__xludf.DUMMYFUNCTION("IF(COUNTA(C1302:C1673)=0,"""",IF(C1302="""",0,IF(REGEXMATCH(C1302,""^Sell_""),-ROUNDDOWN(ROUNDUP(INDEX(Upgrades!$C$3:$C$13,MATCH(SUBSTITUTE(C1302,""Sell_"",""""),Upgrades!$B$3:$B$13,0))*1.15^(COUNTIF(C$4:C1301,SUBSTITUTE(C1302,""Sell_"",""""))-COUNTIF(C$4"&amp;":C1301,""Sell_""&amp;SUBSTITUTE(C1302,""Sell_"",""""))))/2),ROUNDUP(INDEX(Upgrades!$C$3:$C$13,MATCH(C1302,Upgrades!$B$3:$B$13,0))*1.15^(COUNTIF(C$4:C1301,C1302)-COUNTIF(C$4:C1301,""Sell_""&amp;C1302))))))"),"")</f>
        <v/>
      </c>
      <c r="H1302" s="10" t="str">
        <f t="shared" si="3"/>
        <v/>
      </c>
      <c r="I1302" s="68" t="str">
        <f t="shared" si="4"/>
        <v/>
      </c>
      <c r="J1302" s="59" t="str">
        <f t="shared" si="5"/>
        <v/>
      </c>
      <c r="K1302" s="69" t="str">
        <f t="shared" si="6"/>
        <v/>
      </c>
      <c r="L1302" s="60" t="str">
        <f t="shared" si="7"/>
        <v/>
      </c>
      <c r="M1302" s="61" t="str">
        <f>IFERROR(__xludf.DUMMYFUNCTION("IFS(AND(COUNTA(C1302:C1673)=0,COUNTA(Q1302:Q1673)=0),"""",OR(AND(K1302&gt;=1000000000,OR(Y1302&gt;=1000000000,COUNTA(Q1302:Q1673)=0)),OR(Y1302&gt;=1000000000,AND(COUNTA(C1302:C1673)=0,P$3=TRUE))),
ROUNDDOWN((AB$1-AC$1)*MAX(INDEX(T$4:T1673,MATCH(LARGE(FILTER(Y$4:Y1"&amp;"673,Y$4:Y1673&lt;1000000000),1),Y$4:Y1673)),INDEX(F$4:F1673,MATCH(LARGE(FILTER(K$4:K1673,K$4:K1673&lt;1000000000),1),K$4:K1673)))),AND(K1302&lt;1000000000,COUNTA(C1302:C1673)&gt;0,P$3=FALSE),
ROUNDDOWN(INDEX(Y$4:Y1673,MATCH(LARGE(FILTER(W$4:W1673,W$4:W1673&lt;=I1302),1)"&amp;",W$4:W1673))+(I1302-LARGE(FILTER(W$4:W1673,W$4:W1673&lt;=I1302),1))*INDEX(T$4:T1673,MATCH(LARGE(FILTER(W$4:W1673,W$4:W1673&lt;=I1302),1),W$4:W1673))-K1302),1,
ROUNDDOWN(Y1302-INDEX(K$4:K1673,MATCH(LARGE(FILTER(I$4:I1673,I$4:I1673&lt;=W1302),1),I$4:I1673))-(W1302-L"&amp;"ARGE(FILTER(I$4:I1673,I$4:I1673&lt;=W1302),1))*INDEX(F$4:F1673,MATCH(LARGE(FILTER(I$4:I1673,I$4:I1673&lt;=W1302),1),I$4:I1673))))"),"")</f>
        <v/>
      </c>
      <c r="N1302" s="60" t="str">
        <f t="shared" si="8"/>
        <v/>
      </c>
      <c r="O1302" s="61" t="str">
        <f t="shared" si="9"/>
        <v/>
      </c>
      <c r="P1302" s="56" t="str">
        <f t="shared" si="10"/>
        <v/>
      </c>
      <c r="Q1302" s="67"/>
      <c r="R1302" s="10"/>
      <c r="S1302" s="59" t="str">
        <f t="array" ref="S1302">IF(COUNTA(Q1302:Q1673)=0,"",SUM((COUNTIF(Q$4:Q1302,Upgrades!$B$3:$B$13)-COUNTIF(Q$4:Q1302,"Sell_"&amp;Upgrades!$B$3:$B$13))*Upgrades!$D$3:$D$13))</f>
        <v/>
      </c>
      <c r="T1302" s="66" t="str">
        <f>IFERROR(__xludf.DUMMYFUNCTION("IF(COUNTA(Q1302:Q1673)=0,"""",IF(REGEXMATCH(INDEX(FILTER(Q$4:Q1302,Q$4:Q1302&lt;&gt;""""),ROWS(FILTER(Q$4:Q1302,Q$4:Q1302&lt;&gt;""""))),""^Sell_""),INDEX(FILTER(T$4:T1301,Q$4:Q1301&lt;&gt;""""),ROWS(FILTER(Q$4:Q1301,Q$4:Q1301&lt;&gt;""""))),$AD$5+S1302))"),"")</f>
        <v/>
      </c>
      <c r="U1302" s="10" t="str">
        <f>IFERROR(__xludf.DUMMYFUNCTION("IF(COUNTA(Q1302:Q1673)=0,"""",IF(Q1302="""",0,IF(REGEXMATCH(Q1302,""^Sell_""),-ROUNDDOWN(ROUNDUP(INDEX(Upgrades!$C$3:$C$13,MATCH(SUBSTITUTE(Q1302,""Sell_"",""""),Upgrades!$B$3:$B$13,0))*1.15^(COUNTIF(Q$4:Q1301,SUBSTITUTE(Q1302,""Sell_"",""""))-COUNTIF(Q$4"&amp;":Q1301,""Sell_""&amp;SUBSTITUTE(Q1302,""Sell_"",""""))))/2),ROUNDUP(INDEX(Upgrades!$C$3:$C$13,MATCH(Q1302,Upgrades!$B$3:$B$13,0))*1.15^(COUNTIF(Q$4:Q1301,Q1302)-COUNTIF(Q$4:Q1301,""Sell_""&amp;Q1302))))))"),"")</f>
        <v/>
      </c>
      <c r="V1302" s="10" t="str">
        <f t="shared" si="11"/>
        <v/>
      </c>
      <c r="W1302" s="68" t="str">
        <f t="shared" si="12"/>
        <v/>
      </c>
      <c r="X1302" s="59" t="str">
        <f t="shared" si="13"/>
        <v/>
      </c>
      <c r="Y1302" s="69" t="str">
        <f t="shared" si="14"/>
        <v/>
      </c>
      <c r="Z1302" s="11"/>
    </row>
    <row r="1303">
      <c r="A1303" s="8"/>
      <c r="B1303" s="56" t="str">
        <f t="shared" si="2"/>
        <v/>
      </c>
      <c r="C1303" s="105"/>
      <c r="D1303" s="10"/>
      <c r="E1303" s="59" t="str">
        <f t="array" ref="E1303">IF(COUNTA(C1303:C1673)=0,"",SUM((COUNTIF(C$4:C1303,Upgrades!$B$3:$B$13)-COUNTIF(C$4:C1303,"Sell_"&amp;Upgrades!$B$3:$B$13))*Upgrades!$D$3:$D$13))</f>
        <v/>
      </c>
      <c r="F1303" s="66" t="str">
        <f>IFERROR(__xludf.DUMMYFUNCTION("IF(COUNTA(C1303:C1673)=0,"""",IF(REGEXMATCH(INDEX(FILTER(C$4:C1303,C$4:C1303&lt;&gt;""""),ROWS(FILTER(C$4:C1303,C$4:C1303&lt;&gt;""""))),""^Sell_""),INDEX(FILTER(F$4:F1302,C$4:C1302&lt;&gt;""""),ROWS(FILTER(C$4:C1302,C$4:C1302&lt;&gt;""""))),$AC$5+E1303))"),"")</f>
        <v/>
      </c>
      <c r="G1303" s="10" t="str">
        <f>IFERROR(__xludf.DUMMYFUNCTION("IF(COUNTA(C1303:C1673)=0,"""",IF(C1303="""",0,IF(REGEXMATCH(C1303,""^Sell_""),-ROUNDDOWN(ROUNDUP(INDEX(Upgrades!$C$3:$C$13,MATCH(SUBSTITUTE(C1303,""Sell_"",""""),Upgrades!$B$3:$B$13,0))*1.15^(COUNTIF(C$4:C1302,SUBSTITUTE(C1303,""Sell_"",""""))-COUNTIF(C$4"&amp;":C1302,""Sell_""&amp;SUBSTITUTE(C1303,""Sell_"",""""))))/2),ROUNDUP(INDEX(Upgrades!$C$3:$C$13,MATCH(C1303,Upgrades!$B$3:$B$13,0))*1.15^(COUNTIF(C$4:C1302,C1303)-COUNTIF(C$4:C1302,""Sell_""&amp;C1303))))))"),"")</f>
        <v/>
      </c>
      <c r="H1303" s="10" t="str">
        <f t="shared" si="3"/>
        <v/>
      </c>
      <c r="I1303" s="68" t="str">
        <f t="shared" si="4"/>
        <v/>
      </c>
      <c r="J1303" s="59" t="str">
        <f t="shared" si="5"/>
        <v/>
      </c>
      <c r="K1303" s="69" t="str">
        <f t="shared" si="6"/>
        <v/>
      </c>
      <c r="L1303" s="60" t="str">
        <f t="shared" si="7"/>
        <v/>
      </c>
      <c r="M1303" s="61" t="str">
        <f>IFERROR(__xludf.DUMMYFUNCTION("IFS(AND(COUNTA(C1303:C1673)=0,COUNTA(Q1303:Q1673)=0),"""",OR(AND(K1303&gt;=1000000000,OR(Y1303&gt;=1000000000,COUNTA(Q1303:Q1673)=0)),OR(Y1303&gt;=1000000000,AND(COUNTA(C1303:C1673)=0,P$3=TRUE))),
ROUNDDOWN((AB$1-AC$1)*MAX(INDEX(T$4:T1673,MATCH(LARGE(FILTER(Y$4:Y1"&amp;"673,Y$4:Y1673&lt;1000000000),1),Y$4:Y1673)),INDEX(F$4:F1673,MATCH(LARGE(FILTER(K$4:K1673,K$4:K1673&lt;1000000000),1),K$4:K1673)))),AND(K1303&lt;1000000000,COUNTA(C1303:C1673)&gt;0,P$3=FALSE),
ROUNDDOWN(INDEX(Y$4:Y1673,MATCH(LARGE(FILTER(W$4:W1673,W$4:W1673&lt;=I1303),1)"&amp;",W$4:W1673))+(I1303-LARGE(FILTER(W$4:W1673,W$4:W1673&lt;=I1303),1))*INDEX(T$4:T1673,MATCH(LARGE(FILTER(W$4:W1673,W$4:W1673&lt;=I1303),1),W$4:W1673))-K1303),1,
ROUNDDOWN(Y1303-INDEX(K$4:K1673,MATCH(LARGE(FILTER(I$4:I1673,I$4:I1673&lt;=W1303),1),I$4:I1673))-(W1303-L"&amp;"ARGE(FILTER(I$4:I1673,I$4:I1673&lt;=W1303),1))*INDEX(F$4:F1673,MATCH(LARGE(FILTER(I$4:I1673,I$4:I1673&lt;=W1303),1),I$4:I1673))))"),"")</f>
        <v/>
      </c>
      <c r="N1303" s="60" t="str">
        <f t="shared" si="8"/>
        <v/>
      </c>
      <c r="O1303" s="61" t="str">
        <f t="shared" si="9"/>
        <v/>
      </c>
      <c r="P1303" s="56" t="str">
        <f t="shared" si="10"/>
        <v/>
      </c>
      <c r="Q1303" s="67"/>
      <c r="R1303" s="10"/>
      <c r="S1303" s="59" t="str">
        <f t="array" ref="S1303">IF(COUNTA(Q1303:Q1673)=0,"",SUM((COUNTIF(Q$4:Q1303,Upgrades!$B$3:$B$13)-COUNTIF(Q$4:Q1303,"Sell_"&amp;Upgrades!$B$3:$B$13))*Upgrades!$D$3:$D$13))</f>
        <v/>
      </c>
      <c r="T1303" s="66" t="str">
        <f>IFERROR(__xludf.DUMMYFUNCTION("IF(COUNTA(Q1303:Q1673)=0,"""",IF(REGEXMATCH(INDEX(FILTER(Q$4:Q1303,Q$4:Q1303&lt;&gt;""""),ROWS(FILTER(Q$4:Q1303,Q$4:Q1303&lt;&gt;""""))),""^Sell_""),INDEX(FILTER(T$4:T1302,Q$4:Q1302&lt;&gt;""""),ROWS(FILTER(Q$4:Q1302,Q$4:Q1302&lt;&gt;""""))),$AD$5+S1303))"),"")</f>
        <v/>
      </c>
      <c r="U1303" s="10" t="str">
        <f>IFERROR(__xludf.DUMMYFUNCTION("IF(COUNTA(Q1303:Q1673)=0,"""",IF(Q1303="""",0,IF(REGEXMATCH(Q1303,""^Sell_""),-ROUNDDOWN(ROUNDUP(INDEX(Upgrades!$C$3:$C$13,MATCH(SUBSTITUTE(Q1303,""Sell_"",""""),Upgrades!$B$3:$B$13,0))*1.15^(COUNTIF(Q$4:Q1302,SUBSTITUTE(Q1303,""Sell_"",""""))-COUNTIF(Q$4"&amp;":Q1302,""Sell_""&amp;SUBSTITUTE(Q1303,""Sell_"",""""))))/2),ROUNDUP(INDEX(Upgrades!$C$3:$C$13,MATCH(Q1303,Upgrades!$B$3:$B$13,0))*1.15^(COUNTIF(Q$4:Q1302,Q1303)-COUNTIF(Q$4:Q1302,""Sell_""&amp;Q1303))))))"),"")</f>
        <v/>
      </c>
      <c r="V1303" s="10" t="str">
        <f t="shared" si="11"/>
        <v/>
      </c>
      <c r="W1303" s="68" t="str">
        <f t="shared" si="12"/>
        <v/>
      </c>
      <c r="X1303" s="59" t="str">
        <f t="shared" si="13"/>
        <v/>
      </c>
      <c r="Y1303" s="69" t="str">
        <f t="shared" si="14"/>
        <v/>
      </c>
      <c r="Z1303" s="11"/>
    </row>
    <row r="1304">
      <c r="A1304" s="8"/>
      <c r="B1304" s="56" t="str">
        <f t="shared" si="2"/>
        <v/>
      </c>
      <c r="C1304" s="105"/>
      <c r="D1304" s="10"/>
      <c r="E1304" s="59" t="str">
        <f t="array" ref="E1304">IF(COUNTA(C1304:C1673)=0,"",SUM((COUNTIF(C$4:C1304,Upgrades!$B$3:$B$13)-COUNTIF(C$4:C1304,"Sell_"&amp;Upgrades!$B$3:$B$13))*Upgrades!$D$3:$D$13))</f>
        <v/>
      </c>
      <c r="F1304" s="66" t="str">
        <f>IFERROR(__xludf.DUMMYFUNCTION("IF(COUNTA(C1304:C1673)=0,"""",IF(REGEXMATCH(INDEX(FILTER(C$4:C1304,C$4:C1304&lt;&gt;""""),ROWS(FILTER(C$4:C1304,C$4:C1304&lt;&gt;""""))),""^Sell_""),INDEX(FILTER(F$4:F1303,C$4:C1303&lt;&gt;""""),ROWS(FILTER(C$4:C1303,C$4:C1303&lt;&gt;""""))),$AC$5+E1304))"),"")</f>
        <v/>
      </c>
      <c r="G1304" s="10" t="str">
        <f>IFERROR(__xludf.DUMMYFUNCTION("IF(COUNTA(C1304:C1673)=0,"""",IF(C1304="""",0,IF(REGEXMATCH(C1304,""^Sell_""),-ROUNDDOWN(ROUNDUP(INDEX(Upgrades!$C$3:$C$13,MATCH(SUBSTITUTE(C1304,""Sell_"",""""),Upgrades!$B$3:$B$13,0))*1.15^(COUNTIF(C$4:C1303,SUBSTITUTE(C1304,""Sell_"",""""))-COUNTIF(C$4"&amp;":C1303,""Sell_""&amp;SUBSTITUTE(C1304,""Sell_"",""""))))/2),ROUNDUP(INDEX(Upgrades!$C$3:$C$13,MATCH(C1304,Upgrades!$B$3:$B$13,0))*1.15^(COUNTIF(C$4:C1303,C1304)-COUNTIF(C$4:C1303,""Sell_""&amp;C1304))))))"),"")</f>
        <v/>
      </c>
      <c r="H1304" s="10" t="str">
        <f t="shared" si="3"/>
        <v/>
      </c>
      <c r="I1304" s="68" t="str">
        <f t="shared" si="4"/>
        <v/>
      </c>
      <c r="J1304" s="59" t="str">
        <f t="shared" si="5"/>
        <v/>
      </c>
      <c r="K1304" s="69" t="str">
        <f t="shared" si="6"/>
        <v/>
      </c>
      <c r="L1304" s="60" t="str">
        <f t="shared" si="7"/>
        <v/>
      </c>
      <c r="M1304" s="61" t="str">
        <f>IFERROR(__xludf.DUMMYFUNCTION("IFS(AND(COUNTA(C1304:C1673)=0,COUNTA(Q1304:Q1673)=0),"""",OR(AND(K1304&gt;=1000000000,OR(Y1304&gt;=1000000000,COUNTA(Q1304:Q1673)=0)),OR(Y1304&gt;=1000000000,AND(COUNTA(C1304:C1673)=0,P$3=TRUE))),
ROUNDDOWN((AB$1-AC$1)*MAX(INDEX(T$4:T1673,MATCH(LARGE(FILTER(Y$4:Y1"&amp;"673,Y$4:Y1673&lt;1000000000),1),Y$4:Y1673)),INDEX(F$4:F1673,MATCH(LARGE(FILTER(K$4:K1673,K$4:K1673&lt;1000000000),1),K$4:K1673)))),AND(K1304&lt;1000000000,COUNTA(C1304:C1673)&gt;0,P$3=FALSE),
ROUNDDOWN(INDEX(Y$4:Y1673,MATCH(LARGE(FILTER(W$4:W1673,W$4:W1673&lt;=I1304),1)"&amp;",W$4:W1673))+(I1304-LARGE(FILTER(W$4:W1673,W$4:W1673&lt;=I1304),1))*INDEX(T$4:T1673,MATCH(LARGE(FILTER(W$4:W1673,W$4:W1673&lt;=I1304),1),W$4:W1673))-K1304),1,
ROUNDDOWN(Y1304-INDEX(K$4:K1673,MATCH(LARGE(FILTER(I$4:I1673,I$4:I1673&lt;=W1304),1),I$4:I1673))-(W1304-L"&amp;"ARGE(FILTER(I$4:I1673,I$4:I1673&lt;=W1304),1))*INDEX(F$4:F1673,MATCH(LARGE(FILTER(I$4:I1673,I$4:I1673&lt;=W1304),1),I$4:I1673))))"),"")</f>
        <v/>
      </c>
      <c r="N1304" s="60" t="str">
        <f t="shared" si="8"/>
        <v/>
      </c>
      <c r="O1304" s="61" t="str">
        <f t="shared" si="9"/>
        <v/>
      </c>
      <c r="P1304" s="56" t="str">
        <f t="shared" si="10"/>
        <v/>
      </c>
      <c r="Q1304" s="67"/>
      <c r="R1304" s="10"/>
      <c r="S1304" s="59" t="str">
        <f t="array" ref="S1304">IF(COUNTA(Q1304:Q1673)=0,"",SUM((COUNTIF(Q$4:Q1304,Upgrades!$B$3:$B$13)-COUNTIF(Q$4:Q1304,"Sell_"&amp;Upgrades!$B$3:$B$13))*Upgrades!$D$3:$D$13))</f>
        <v/>
      </c>
      <c r="T1304" s="66" t="str">
        <f>IFERROR(__xludf.DUMMYFUNCTION("IF(COUNTA(Q1304:Q1673)=0,"""",IF(REGEXMATCH(INDEX(FILTER(Q$4:Q1304,Q$4:Q1304&lt;&gt;""""),ROWS(FILTER(Q$4:Q1304,Q$4:Q1304&lt;&gt;""""))),""^Sell_""),INDEX(FILTER(T$4:T1303,Q$4:Q1303&lt;&gt;""""),ROWS(FILTER(Q$4:Q1303,Q$4:Q1303&lt;&gt;""""))),$AD$5+S1304))"),"")</f>
        <v/>
      </c>
      <c r="U1304" s="10" t="str">
        <f>IFERROR(__xludf.DUMMYFUNCTION("IF(COUNTA(Q1304:Q1673)=0,"""",IF(Q1304="""",0,IF(REGEXMATCH(Q1304,""^Sell_""),-ROUNDDOWN(ROUNDUP(INDEX(Upgrades!$C$3:$C$13,MATCH(SUBSTITUTE(Q1304,""Sell_"",""""),Upgrades!$B$3:$B$13,0))*1.15^(COUNTIF(Q$4:Q1303,SUBSTITUTE(Q1304,""Sell_"",""""))-COUNTIF(Q$4"&amp;":Q1303,""Sell_""&amp;SUBSTITUTE(Q1304,""Sell_"",""""))))/2),ROUNDUP(INDEX(Upgrades!$C$3:$C$13,MATCH(Q1304,Upgrades!$B$3:$B$13,0))*1.15^(COUNTIF(Q$4:Q1303,Q1304)-COUNTIF(Q$4:Q1303,""Sell_""&amp;Q1304))))))"),"")</f>
        <v/>
      </c>
      <c r="V1304" s="10" t="str">
        <f t="shared" si="11"/>
        <v/>
      </c>
      <c r="W1304" s="68" t="str">
        <f t="shared" si="12"/>
        <v/>
      </c>
      <c r="X1304" s="59" t="str">
        <f t="shared" si="13"/>
        <v/>
      </c>
      <c r="Y1304" s="69" t="str">
        <f t="shared" si="14"/>
        <v/>
      </c>
      <c r="Z1304" s="11"/>
    </row>
    <row r="1305">
      <c r="A1305" s="8"/>
      <c r="B1305" s="56" t="str">
        <f t="shared" si="2"/>
        <v/>
      </c>
      <c r="C1305" s="105"/>
      <c r="D1305" s="10"/>
      <c r="E1305" s="59" t="str">
        <f t="array" ref="E1305">IF(COUNTA(C1305:C1673)=0,"",SUM((COUNTIF(C$4:C1305,Upgrades!$B$3:$B$13)-COUNTIF(C$4:C1305,"Sell_"&amp;Upgrades!$B$3:$B$13))*Upgrades!$D$3:$D$13))</f>
        <v/>
      </c>
      <c r="F1305" s="66" t="str">
        <f>IFERROR(__xludf.DUMMYFUNCTION("IF(COUNTA(C1305:C1673)=0,"""",IF(REGEXMATCH(INDEX(FILTER(C$4:C1305,C$4:C1305&lt;&gt;""""),ROWS(FILTER(C$4:C1305,C$4:C1305&lt;&gt;""""))),""^Sell_""),INDEX(FILTER(F$4:F1304,C$4:C1304&lt;&gt;""""),ROWS(FILTER(C$4:C1304,C$4:C1304&lt;&gt;""""))),$AC$5+E1305))"),"")</f>
        <v/>
      </c>
      <c r="G1305" s="10" t="str">
        <f>IFERROR(__xludf.DUMMYFUNCTION("IF(COUNTA(C1305:C1673)=0,"""",IF(C1305="""",0,IF(REGEXMATCH(C1305,""^Sell_""),-ROUNDDOWN(ROUNDUP(INDEX(Upgrades!$C$3:$C$13,MATCH(SUBSTITUTE(C1305,""Sell_"",""""),Upgrades!$B$3:$B$13,0))*1.15^(COUNTIF(C$4:C1304,SUBSTITUTE(C1305,""Sell_"",""""))-COUNTIF(C$4"&amp;":C1304,""Sell_""&amp;SUBSTITUTE(C1305,""Sell_"",""""))))/2),ROUNDUP(INDEX(Upgrades!$C$3:$C$13,MATCH(C1305,Upgrades!$B$3:$B$13,0))*1.15^(COUNTIF(C$4:C1304,C1305)-COUNTIF(C$4:C1304,""Sell_""&amp;C1305))))))"),"")</f>
        <v/>
      </c>
      <c r="H1305" s="10" t="str">
        <f t="shared" si="3"/>
        <v/>
      </c>
      <c r="I1305" s="68" t="str">
        <f t="shared" si="4"/>
        <v/>
      </c>
      <c r="J1305" s="59" t="str">
        <f t="shared" si="5"/>
        <v/>
      </c>
      <c r="K1305" s="69" t="str">
        <f t="shared" si="6"/>
        <v/>
      </c>
      <c r="L1305" s="60" t="str">
        <f t="shared" si="7"/>
        <v/>
      </c>
      <c r="M1305" s="61" t="str">
        <f>IFERROR(__xludf.DUMMYFUNCTION("IFS(AND(COUNTA(C1305:C1673)=0,COUNTA(Q1305:Q1673)=0),"""",OR(AND(K1305&gt;=1000000000,OR(Y1305&gt;=1000000000,COUNTA(Q1305:Q1673)=0)),OR(Y1305&gt;=1000000000,AND(COUNTA(C1305:C1673)=0,P$3=TRUE))),
ROUNDDOWN((AB$1-AC$1)*MAX(INDEX(T$4:T1673,MATCH(LARGE(FILTER(Y$4:Y1"&amp;"673,Y$4:Y1673&lt;1000000000),1),Y$4:Y1673)),INDEX(F$4:F1673,MATCH(LARGE(FILTER(K$4:K1673,K$4:K1673&lt;1000000000),1),K$4:K1673)))),AND(K1305&lt;1000000000,COUNTA(C1305:C1673)&gt;0,P$3=FALSE),
ROUNDDOWN(INDEX(Y$4:Y1673,MATCH(LARGE(FILTER(W$4:W1673,W$4:W1673&lt;=I1305),1)"&amp;",W$4:W1673))+(I1305-LARGE(FILTER(W$4:W1673,W$4:W1673&lt;=I1305),1))*INDEX(T$4:T1673,MATCH(LARGE(FILTER(W$4:W1673,W$4:W1673&lt;=I1305),1),W$4:W1673))-K1305),1,
ROUNDDOWN(Y1305-INDEX(K$4:K1673,MATCH(LARGE(FILTER(I$4:I1673,I$4:I1673&lt;=W1305),1),I$4:I1673))-(W1305-L"&amp;"ARGE(FILTER(I$4:I1673,I$4:I1673&lt;=W1305),1))*INDEX(F$4:F1673,MATCH(LARGE(FILTER(I$4:I1673,I$4:I1673&lt;=W1305),1),I$4:I1673))))"),"")</f>
        <v/>
      </c>
      <c r="N1305" s="60" t="str">
        <f t="shared" si="8"/>
        <v/>
      </c>
      <c r="O1305" s="61" t="str">
        <f t="shared" si="9"/>
        <v/>
      </c>
      <c r="P1305" s="56" t="str">
        <f t="shared" si="10"/>
        <v/>
      </c>
      <c r="Q1305" s="67"/>
      <c r="R1305" s="10"/>
      <c r="S1305" s="59" t="str">
        <f t="array" ref="S1305">IF(COUNTA(Q1305:Q1673)=0,"",SUM((COUNTIF(Q$4:Q1305,Upgrades!$B$3:$B$13)-COUNTIF(Q$4:Q1305,"Sell_"&amp;Upgrades!$B$3:$B$13))*Upgrades!$D$3:$D$13))</f>
        <v/>
      </c>
      <c r="T1305" s="66" t="str">
        <f>IFERROR(__xludf.DUMMYFUNCTION("IF(COUNTA(Q1305:Q1673)=0,"""",IF(REGEXMATCH(INDEX(FILTER(Q$4:Q1305,Q$4:Q1305&lt;&gt;""""),ROWS(FILTER(Q$4:Q1305,Q$4:Q1305&lt;&gt;""""))),""^Sell_""),INDEX(FILTER(T$4:T1304,Q$4:Q1304&lt;&gt;""""),ROWS(FILTER(Q$4:Q1304,Q$4:Q1304&lt;&gt;""""))),$AD$5+S1305))"),"")</f>
        <v/>
      </c>
      <c r="U1305" s="10" t="str">
        <f>IFERROR(__xludf.DUMMYFUNCTION("IF(COUNTA(Q1305:Q1673)=0,"""",IF(Q1305="""",0,IF(REGEXMATCH(Q1305,""^Sell_""),-ROUNDDOWN(ROUNDUP(INDEX(Upgrades!$C$3:$C$13,MATCH(SUBSTITUTE(Q1305,""Sell_"",""""),Upgrades!$B$3:$B$13,0))*1.15^(COUNTIF(Q$4:Q1304,SUBSTITUTE(Q1305,""Sell_"",""""))-COUNTIF(Q$4"&amp;":Q1304,""Sell_""&amp;SUBSTITUTE(Q1305,""Sell_"",""""))))/2),ROUNDUP(INDEX(Upgrades!$C$3:$C$13,MATCH(Q1305,Upgrades!$B$3:$B$13,0))*1.15^(COUNTIF(Q$4:Q1304,Q1305)-COUNTIF(Q$4:Q1304,""Sell_""&amp;Q1305))))))"),"")</f>
        <v/>
      </c>
      <c r="V1305" s="10" t="str">
        <f t="shared" si="11"/>
        <v/>
      </c>
      <c r="W1305" s="68" t="str">
        <f t="shared" si="12"/>
        <v/>
      </c>
      <c r="X1305" s="59" t="str">
        <f t="shared" si="13"/>
        <v/>
      </c>
      <c r="Y1305" s="69" t="str">
        <f t="shared" si="14"/>
        <v/>
      </c>
      <c r="Z1305" s="11"/>
    </row>
    <row r="1306">
      <c r="A1306" s="8"/>
      <c r="B1306" s="56" t="str">
        <f t="shared" si="2"/>
        <v/>
      </c>
      <c r="C1306" s="105"/>
      <c r="D1306" s="10"/>
      <c r="E1306" s="59" t="str">
        <f t="array" ref="E1306">IF(COUNTA(C1306:C1673)=0,"",SUM((COUNTIF(C$4:C1306,Upgrades!$B$3:$B$13)-COUNTIF(C$4:C1306,"Sell_"&amp;Upgrades!$B$3:$B$13))*Upgrades!$D$3:$D$13))</f>
        <v/>
      </c>
      <c r="F1306" s="66" t="str">
        <f>IFERROR(__xludf.DUMMYFUNCTION("IF(COUNTA(C1306:C1673)=0,"""",IF(REGEXMATCH(INDEX(FILTER(C$4:C1306,C$4:C1306&lt;&gt;""""),ROWS(FILTER(C$4:C1306,C$4:C1306&lt;&gt;""""))),""^Sell_""),INDEX(FILTER(F$4:F1305,C$4:C1305&lt;&gt;""""),ROWS(FILTER(C$4:C1305,C$4:C1305&lt;&gt;""""))),$AC$5+E1306))"),"")</f>
        <v/>
      </c>
      <c r="G1306" s="10" t="str">
        <f>IFERROR(__xludf.DUMMYFUNCTION("IF(COUNTA(C1306:C1673)=0,"""",IF(C1306="""",0,IF(REGEXMATCH(C1306,""^Sell_""),-ROUNDDOWN(ROUNDUP(INDEX(Upgrades!$C$3:$C$13,MATCH(SUBSTITUTE(C1306,""Sell_"",""""),Upgrades!$B$3:$B$13,0))*1.15^(COUNTIF(C$4:C1305,SUBSTITUTE(C1306,""Sell_"",""""))-COUNTIF(C$4"&amp;":C1305,""Sell_""&amp;SUBSTITUTE(C1306,""Sell_"",""""))))/2),ROUNDUP(INDEX(Upgrades!$C$3:$C$13,MATCH(C1306,Upgrades!$B$3:$B$13,0))*1.15^(COUNTIF(C$4:C1305,C1306)-COUNTIF(C$4:C1305,""Sell_""&amp;C1306))))))"),"")</f>
        <v/>
      </c>
      <c r="H1306" s="10" t="str">
        <f t="shared" si="3"/>
        <v/>
      </c>
      <c r="I1306" s="68" t="str">
        <f t="shared" si="4"/>
        <v/>
      </c>
      <c r="J1306" s="59" t="str">
        <f t="shared" si="5"/>
        <v/>
      </c>
      <c r="K1306" s="69" t="str">
        <f t="shared" si="6"/>
        <v/>
      </c>
      <c r="L1306" s="60" t="str">
        <f t="shared" si="7"/>
        <v/>
      </c>
      <c r="M1306" s="61" t="str">
        <f>IFERROR(__xludf.DUMMYFUNCTION("IFS(AND(COUNTA(C1306:C1673)=0,COUNTA(Q1306:Q1673)=0),"""",OR(AND(K1306&gt;=1000000000,OR(Y1306&gt;=1000000000,COUNTA(Q1306:Q1673)=0)),OR(Y1306&gt;=1000000000,AND(COUNTA(C1306:C1673)=0,P$3=TRUE))),
ROUNDDOWN((AB$1-AC$1)*MAX(INDEX(T$4:T1673,MATCH(LARGE(FILTER(Y$4:Y1"&amp;"673,Y$4:Y1673&lt;1000000000),1),Y$4:Y1673)),INDEX(F$4:F1673,MATCH(LARGE(FILTER(K$4:K1673,K$4:K1673&lt;1000000000),1),K$4:K1673)))),AND(K1306&lt;1000000000,COUNTA(C1306:C1673)&gt;0,P$3=FALSE),
ROUNDDOWN(INDEX(Y$4:Y1673,MATCH(LARGE(FILTER(W$4:W1673,W$4:W1673&lt;=I1306),1)"&amp;",W$4:W1673))+(I1306-LARGE(FILTER(W$4:W1673,W$4:W1673&lt;=I1306),1))*INDEX(T$4:T1673,MATCH(LARGE(FILTER(W$4:W1673,W$4:W1673&lt;=I1306),1),W$4:W1673))-K1306),1,
ROUNDDOWN(Y1306-INDEX(K$4:K1673,MATCH(LARGE(FILTER(I$4:I1673,I$4:I1673&lt;=W1306),1),I$4:I1673))-(W1306-L"&amp;"ARGE(FILTER(I$4:I1673,I$4:I1673&lt;=W1306),1))*INDEX(F$4:F1673,MATCH(LARGE(FILTER(I$4:I1673,I$4:I1673&lt;=W1306),1),I$4:I1673))))"),"")</f>
        <v/>
      </c>
      <c r="N1306" s="60" t="str">
        <f t="shared" si="8"/>
        <v/>
      </c>
      <c r="O1306" s="61" t="str">
        <f t="shared" si="9"/>
        <v/>
      </c>
      <c r="P1306" s="56" t="str">
        <f t="shared" si="10"/>
        <v/>
      </c>
      <c r="Q1306" s="67"/>
      <c r="R1306" s="10"/>
      <c r="S1306" s="59" t="str">
        <f t="array" ref="S1306">IF(COUNTA(Q1306:Q1673)=0,"",SUM((COUNTIF(Q$4:Q1306,Upgrades!$B$3:$B$13)-COUNTIF(Q$4:Q1306,"Sell_"&amp;Upgrades!$B$3:$B$13))*Upgrades!$D$3:$D$13))</f>
        <v/>
      </c>
      <c r="T1306" s="66" t="str">
        <f>IFERROR(__xludf.DUMMYFUNCTION("IF(COUNTA(Q1306:Q1673)=0,"""",IF(REGEXMATCH(INDEX(FILTER(Q$4:Q1306,Q$4:Q1306&lt;&gt;""""),ROWS(FILTER(Q$4:Q1306,Q$4:Q1306&lt;&gt;""""))),""^Sell_""),INDEX(FILTER(T$4:T1305,Q$4:Q1305&lt;&gt;""""),ROWS(FILTER(Q$4:Q1305,Q$4:Q1305&lt;&gt;""""))),$AD$5+S1306))"),"")</f>
        <v/>
      </c>
      <c r="U1306" s="10" t="str">
        <f>IFERROR(__xludf.DUMMYFUNCTION("IF(COUNTA(Q1306:Q1673)=0,"""",IF(Q1306="""",0,IF(REGEXMATCH(Q1306,""^Sell_""),-ROUNDDOWN(ROUNDUP(INDEX(Upgrades!$C$3:$C$13,MATCH(SUBSTITUTE(Q1306,""Sell_"",""""),Upgrades!$B$3:$B$13,0))*1.15^(COUNTIF(Q$4:Q1305,SUBSTITUTE(Q1306,""Sell_"",""""))-COUNTIF(Q$4"&amp;":Q1305,""Sell_""&amp;SUBSTITUTE(Q1306,""Sell_"",""""))))/2),ROUNDUP(INDEX(Upgrades!$C$3:$C$13,MATCH(Q1306,Upgrades!$B$3:$B$13,0))*1.15^(COUNTIF(Q$4:Q1305,Q1306)-COUNTIF(Q$4:Q1305,""Sell_""&amp;Q1306))))))"),"")</f>
        <v/>
      </c>
      <c r="V1306" s="10" t="str">
        <f t="shared" si="11"/>
        <v/>
      </c>
      <c r="W1306" s="68" t="str">
        <f t="shared" si="12"/>
        <v/>
      </c>
      <c r="X1306" s="59" t="str">
        <f t="shared" si="13"/>
        <v/>
      </c>
      <c r="Y1306" s="69" t="str">
        <f t="shared" si="14"/>
        <v/>
      </c>
      <c r="Z1306" s="11"/>
    </row>
    <row r="1307">
      <c r="A1307" s="8"/>
      <c r="B1307" s="56" t="str">
        <f t="shared" si="2"/>
        <v/>
      </c>
      <c r="C1307" s="105"/>
      <c r="D1307" s="10"/>
      <c r="E1307" s="59" t="str">
        <f t="array" ref="E1307">IF(COUNTA(C1307:C1673)=0,"",SUM((COUNTIF(C$4:C1307,Upgrades!$B$3:$B$13)-COUNTIF(C$4:C1307,"Sell_"&amp;Upgrades!$B$3:$B$13))*Upgrades!$D$3:$D$13))</f>
        <v/>
      </c>
      <c r="F1307" s="66" t="str">
        <f>IFERROR(__xludf.DUMMYFUNCTION("IF(COUNTA(C1307:C1673)=0,"""",IF(REGEXMATCH(INDEX(FILTER(C$4:C1307,C$4:C1307&lt;&gt;""""),ROWS(FILTER(C$4:C1307,C$4:C1307&lt;&gt;""""))),""^Sell_""),INDEX(FILTER(F$4:F1306,C$4:C1306&lt;&gt;""""),ROWS(FILTER(C$4:C1306,C$4:C1306&lt;&gt;""""))),$AC$5+E1307))"),"")</f>
        <v/>
      </c>
      <c r="G1307" s="10" t="str">
        <f>IFERROR(__xludf.DUMMYFUNCTION("IF(COUNTA(C1307:C1673)=0,"""",IF(C1307="""",0,IF(REGEXMATCH(C1307,""^Sell_""),-ROUNDDOWN(ROUNDUP(INDEX(Upgrades!$C$3:$C$13,MATCH(SUBSTITUTE(C1307,""Sell_"",""""),Upgrades!$B$3:$B$13,0))*1.15^(COUNTIF(C$4:C1306,SUBSTITUTE(C1307,""Sell_"",""""))-COUNTIF(C$4"&amp;":C1306,""Sell_""&amp;SUBSTITUTE(C1307,""Sell_"",""""))))/2),ROUNDUP(INDEX(Upgrades!$C$3:$C$13,MATCH(C1307,Upgrades!$B$3:$B$13,0))*1.15^(COUNTIF(C$4:C1306,C1307)-COUNTIF(C$4:C1306,""Sell_""&amp;C1307))))))"),"")</f>
        <v/>
      </c>
      <c r="H1307" s="10" t="str">
        <f t="shared" si="3"/>
        <v/>
      </c>
      <c r="I1307" s="68" t="str">
        <f t="shared" si="4"/>
        <v/>
      </c>
      <c r="J1307" s="59" t="str">
        <f t="shared" si="5"/>
        <v/>
      </c>
      <c r="K1307" s="69" t="str">
        <f t="shared" si="6"/>
        <v/>
      </c>
      <c r="L1307" s="60" t="str">
        <f t="shared" si="7"/>
        <v/>
      </c>
      <c r="M1307" s="61" t="str">
        <f>IFERROR(__xludf.DUMMYFUNCTION("IFS(AND(COUNTA(C1307:C1673)=0,COUNTA(Q1307:Q1673)=0),"""",OR(AND(K1307&gt;=1000000000,OR(Y1307&gt;=1000000000,COUNTA(Q1307:Q1673)=0)),OR(Y1307&gt;=1000000000,AND(COUNTA(C1307:C1673)=0,P$3=TRUE))),
ROUNDDOWN((AB$1-AC$1)*MAX(INDEX(T$4:T1673,MATCH(LARGE(FILTER(Y$4:Y1"&amp;"673,Y$4:Y1673&lt;1000000000),1),Y$4:Y1673)),INDEX(F$4:F1673,MATCH(LARGE(FILTER(K$4:K1673,K$4:K1673&lt;1000000000),1),K$4:K1673)))),AND(K1307&lt;1000000000,COUNTA(C1307:C1673)&gt;0,P$3=FALSE),
ROUNDDOWN(INDEX(Y$4:Y1673,MATCH(LARGE(FILTER(W$4:W1673,W$4:W1673&lt;=I1307),1)"&amp;",W$4:W1673))+(I1307-LARGE(FILTER(W$4:W1673,W$4:W1673&lt;=I1307),1))*INDEX(T$4:T1673,MATCH(LARGE(FILTER(W$4:W1673,W$4:W1673&lt;=I1307),1),W$4:W1673))-K1307),1,
ROUNDDOWN(Y1307-INDEX(K$4:K1673,MATCH(LARGE(FILTER(I$4:I1673,I$4:I1673&lt;=W1307),1),I$4:I1673))-(W1307-L"&amp;"ARGE(FILTER(I$4:I1673,I$4:I1673&lt;=W1307),1))*INDEX(F$4:F1673,MATCH(LARGE(FILTER(I$4:I1673,I$4:I1673&lt;=W1307),1),I$4:I1673))))"),"")</f>
        <v/>
      </c>
      <c r="N1307" s="60" t="str">
        <f t="shared" si="8"/>
        <v/>
      </c>
      <c r="O1307" s="61" t="str">
        <f t="shared" si="9"/>
        <v/>
      </c>
      <c r="P1307" s="56" t="str">
        <f t="shared" si="10"/>
        <v/>
      </c>
      <c r="Q1307" s="67"/>
      <c r="R1307" s="10"/>
      <c r="S1307" s="59" t="str">
        <f t="array" ref="S1307">IF(COUNTA(Q1307:Q1673)=0,"",SUM((COUNTIF(Q$4:Q1307,Upgrades!$B$3:$B$13)-COUNTIF(Q$4:Q1307,"Sell_"&amp;Upgrades!$B$3:$B$13))*Upgrades!$D$3:$D$13))</f>
        <v/>
      </c>
      <c r="T1307" s="66" t="str">
        <f>IFERROR(__xludf.DUMMYFUNCTION("IF(COUNTA(Q1307:Q1673)=0,"""",IF(REGEXMATCH(INDEX(FILTER(Q$4:Q1307,Q$4:Q1307&lt;&gt;""""),ROWS(FILTER(Q$4:Q1307,Q$4:Q1307&lt;&gt;""""))),""^Sell_""),INDEX(FILTER(T$4:T1306,Q$4:Q1306&lt;&gt;""""),ROWS(FILTER(Q$4:Q1306,Q$4:Q1306&lt;&gt;""""))),$AD$5+S1307))"),"")</f>
        <v/>
      </c>
      <c r="U1307" s="10" t="str">
        <f>IFERROR(__xludf.DUMMYFUNCTION("IF(COUNTA(Q1307:Q1673)=0,"""",IF(Q1307="""",0,IF(REGEXMATCH(Q1307,""^Sell_""),-ROUNDDOWN(ROUNDUP(INDEX(Upgrades!$C$3:$C$13,MATCH(SUBSTITUTE(Q1307,""Sell_"",""""),Upgrades!$B$3:$B$13,0))*1.15^(COUNTIF(Q$4:Q1306,SUBSTITUTE(Q1307,""Sell_"",""""))-COUNTIF(Q$4"&amp;":Q1306,""Sell_""&amp;SUBSTITUTE(Q1307,""Sell_"",""""))))/2),ROUNDUP(INDEX(Upgrades!$C$3:$C$13,MATCH(Q1307,Upgrades!$B$3:$B$13,0))*1.15^(COUNTIF(Q$4:Q1306,Q1307)-COUNTIF(Q$4:Q1306,""Sell_""&amp;Q1307))))))"),"")</f>
        <v/>
      </c>
      <c r="V1307" s="10" t="str">
        <f t="shared" si="11"/>
        <v/>
      </c>
      <c r="W1307" s="68" t="str">
        <f t="shared" si="12"/>
        <v/>
      </c>
      <c r="X1307" s="59" t="str">
        <f t="shared" si="13"/>
        <v/>
      </c>
      <c r="Y1307" s="69" t="str">
        <f t="shared" si="14"/>
        <v/>
      </c>
      <c r="Z1307" s="11"/>
    </row>
    <row r="1308">
      <c r="A1308" s="8"/>
      <c r="B1308" s="56" t="str">
        <f t="shared" si="2"/>
        <v/>
      </c>
      <c r="C1308" s="105"/>
      <c r="D1308" s="10"/>
      <c r="E1308" s="59" t="str">
        <f t="array" ref="E1308">IF(COUNTA(C1308:C1673)=0,"",SUM((COUNTIF(C$4:C1308,Upgrades!$B$3:$B$13)-COUNTIF(C$4:C1308,"Sell_"&amp;Upgrades!$B$3:$B$13))*Upgrades!$D$3:$D$13))</f>
        <v/>
      </c>
      <c r="F1308" s="66" t="str">
        <f>IFERROR(__xludf.DUMMYFUNCTION("IF(COUNTA(C1308:C1673)=0,"""",IF(REGEXMATCH(INDEX(FILTER(C$4:C1308,C$4:C1308&lt;&gt;""""),ROWS(FILTER(C$4:C1308,C$4:C1308&lt;&gt;""""))),""^Sell_""),INDEX(FILTER(F$4:F1307,C$4:C1307&lt;&gt;""""),ROWS(FILTER(C$4:C1307,C$4:C1307&lt;&gt;""""))),$AC$5+E1308))"),"")</f>
        <v/>
      </c>
      <c r="G1308" s="10" t="str">
        <f>IFERROR(__xludf.DUMMYFUNCTION("IF(COUNTA(C1308:C1673)=0,"""",IF(C1308="""",0,IF(REGEXMATCH(C1308,""^Sell_""),-ROUNDDOWN(ROUNDUP(INDEX(Upgrades!$C$3:$C$13,MATCH(SUBSTITUTE(C1308,""Sell_"",""""),Upgrades!$B$3:$B$13,0))*1.15^(COUNTIF(C$4:C1307,SUBSTITUTE(C1308,""Sell_"",""""))-COUNTIF(C$4"&amp;":C1307,""Sell_""&amp;SUBSTITUTE(C1308,""Sell_"",""""))))/2),ROUNDUP(INDEX(Upgrades!$C$3:$C$13,MATCH(C1308,Upgrades!$B$3:$B$13,0))*1.15^(COUNTIF(C$4:C1307,C1308)-COUNTIF(C$4:C1307,""Sell_""&amp;C1308))))))"),"")</f>
        <v/>
      </c>
      <c r="H1308" s="10" t="str">
        <f t="shared" si="3"/>
        <v/>
      </c>
      <c r="I1308" s="68" t="str">
        <f t="shared" si="4"/>
        <v/>
      </c>
      <c r="J1308" s="59" t="str">
        <f t="shared" si="5"/>
        <v/>
      </c>
      <c r="K1308" s="69" t="str">
        <f t="shared" si="6"/>
        <v/>
      </c>
      <c r="L1308" s="60" t="str">
        <f t="shared" si="7"/>
        <v/>
      </c>
      <c r="M1308" s="61" t="str">
        <f>IFERROR(__xludf.DUMMYFUNCTION("IFS(AND(COUNTA(C1308:C1673)=0,COUNTA(Q1308:Q1673)=0),"""",OR(AND(K1308&gt;=1000000000,OR(Y1308&gt;=1000000000,COUNTA(Q1308:Q1673)=0)),OR(Y1308&gt;=1000000000,AND(COUNTA(C1308:C1673)=0,P$3=TRUE))),
ROUNDDOWN((AB$1-AC$1)*MAX(INDEX(T$4:T1673,MATCH(LARGE(FILTER(Y$4:Y1"&amp;"673,Y$4:Y1673&lt;1000000000),1),Y$4:Y1673)),INDEX(F$4:F1673,MATCH(LARGE(FILTER(K$4:K1673,K$4:K1673&lt;1000000000),1),K$4:K1673)))),AND(K1308&lt;1000000000,COUNTA(C1308:C1673)&gt;0,P$3=FALSE),
ROUNDDOWN(INDEX(Y$4:Y1673,MATCH(LARGE(FILTER(W$4:W1673,W$4:W1673&lt;=I1308),1)"&amp;",W$4:W1673))+(I1308-LARGE(FILTER(W$4:W1673,W$4:W1673&lt;=I1308),1))*INDEX(T$4:T1673,MATCH(LARGE(FILTER(W$4:W1673,W$4:W1673&lt;=I1308),1),W$4:W1673))-K1308),1,
ROUNDDOWN(Y1308-INDEX(K$4:K1673,MATCH(LARGE(FILTER(I$4:I1673,I$4:I1673&lt;=W1308),1),I$4:I1673))-(W1308-L"&amp;"ARGE(FILTER(I$4:I1673,I$4:I1673&lt;=W1308),1))*INDEX(F$4:F1673,MATCH(LARGE(FILTER(I$4:I1673,I$4:I1673&lt;=W1308),1),I$4:I1673))))"),"")</f>
        <v/>
      </c>
      <c r="N1308" s="60" t="str">
        <f t="shared" si="8"/>
        <v/>
      </c>
      <c r="O1308" s="61" t="str">
        <f t="shared" si="9"/>
        <v/>
      </c>
      <c r="P1308" s="56" t="str">
        <f t="shared" si="10"/>
        <v/>
      </c>
      <c r="Q1308" s="67"/>
      <c r="R1308" s="10"/>
      <c r="S1308" s="59" t="str">
        <f t="array" ref="S1308">IF(COUNTA(Q1308:Q1673)=0,"",SUM((COUNTIF(Q$4:Q1308,Upgrades!$B$3:$B$13)-COUNTIF(Q$4:Q1308,"Sell_"&amp;Upgrades!$B$3:$B$13))*Upgrades!$D$3:$D$13))</f>
        <v/>
      </c>
      <c r="T1308" s="66" t="str">
        <f>IFERROR(__xludf.DUMMYFUNCTION("IF(COUNTA(Q1308:Q1673)=0,"""",IF(REGEXMATCH(INDEX(FILTER(Q$4:Q1308,Q$4:Q1308&lt;&gt;""""),ROWS(FILTER(Q$4:Q1308,Q$4:Q1308&lt;&gt;""""))),""^Sell_""),INDEX(FILTER(T$4:T1307,Q$4:Q1307&lt;&gt;""""),ROWS(FILTER(Q$4:Q1307,Q$4:Q1307&lt;&gt;""""))),$AD$5+S1308))"),"")</f>
        <v/>
      </c>
      <c r="U1308" s="10" t="str">
        <f>IFERROR(__xludf.DUMMYFUNCTION("IF(COUNTA(Q1308:Q1673)=0,"""",IF(Q1308="""",0,IF(REGEXMATCH(Q1308,""^Sell_""),-ROUNDDOWN(ROUNDUP(INDEX(Upgrades!$C$3:$C$13,MATCH(SUBSTITUTE(Q1308,""Sell_"",""""),Upgrades!$B$3:$B$13,0))*1.15^(COUNTIF(Q$4:Q1307,SUBSTITUTE(Q1308,""Sell_"",""""))-COUNTIF(Q$4"&amp;":Q1307,""Sell_""&amp;SUBSTITUTE(Q1308,""Sell_"",""""))))/2),ROUNDUP(INDEX(Upgrades!$C$3:$C$13,MATCH(Q1308,Upgrades!$B$3:$B$13,0))*1.15^(COUNTIF(Q$4:Q1307,Q1308)-COUNTIF(Q$4:Q1307,""Sell_""&amp;Q1308))))))"),"")</f>
        <v/>
      </c>
      <c r="V1308" s="10" t="str">
        <f t="shared" si="11"/>
        <v/>
      </c>
      <c r="W1308" s="68" t="str">
        <f t="shared" si="12"/>
        <v/>
      </c>
      <c r="X1308" s="59" t="str">
        <f t="shared" si="13"/>
        <v/>
      </c>
      <c r="Y1308" s="69" t="str">
        <f t="shared" si="14"/>
        <v/>
      </c>
      <c r="Z1308" s="11"/>
    </row>
    <row r="1309">
      <c r="A1309" s="8"/>
      <c r="B1309" s="56" t="str">
        <f t="shared" si="2"/>
        <v/>
      </c>
      <c r="C1309" s="105"/>
      <c r="D1309" s="10"/>
      <c r="E1309" s="59" t="str">
        <f t="array" ref="E1309">IF(COUNTA(C1309:C1673)=0,"",SUM((COUNTIF(C$4:C1309,Upgrades!$B$3:$B$13)-COUNTIF(C$4:C1309,"Sell_"&amp;Upgrades!$B$3:$B$13))*Upgrades!$D$3:$D$13))</f>
        <v/>
      </c>
      <c r="F1309" s="66" t="str">
        <f>IFERROR(__xludf.DUMMYFUNCTION("IF(COUNTA(C1309:C1673)=0,"""",IF(REGEXMATCH(INDEX(FILTER(C$4:C1309,C$4:C1309&lt;&gt;""""),ROWS(FILTER(C$4:C1309,C$4:C1309&lt;&gt;""""))),""^Sell_""),INDEX(FILTER(F$4:F1308,C$4:C1308&lt;&gt;""""),ROWS(FILTER(C$4:C1308,C$4:C1308&lt;&gt;""""))),$AC$5+E1309))"),"")</f>
        <v/>
      </c>
      <c r="G1309" s="10" t="str">
        <f>IFERROR(__xludf.DUMMYFUNCTION("IF(COUNTA(C1309:C1673)=0,"""",IF(C1309="""",0,IF(REGEXMATCH(C1309,""^Sell_""),-ROUNDDOWN(ROUNDUP(INDEX(Upgrades!$C$3:$C$13,MATCH(SUBSTITUTE(C1309,""Sell_"",""""),Upgrades!$B$3:$B$13,0))*1.15^(COUNTIF(C$4:C1308,SUBSTITUTE(C1309,""Sell_"",""""))-COUNTIF(C$4"&amp;":C1308,""Sell_""&amp;SUBSTITUTE(C1309,""Sell_"",""""))))/2),ROUNDUP(INDEX(Upgrades!$C$3:$C$13,MATCH(C1309,Upgrades!$B$3:$B$13,0))*1.15^(COUNTIF(C$4:C1308,C1309)-COUNTIF(C$4:C1308,""Sell_""&amp;C1309))))))"),"")</f>
        <v/>
      </c>
      <c r="H1309" s="10" t="str">
        <f t="shared" si="3"/>
        <v/>
      </c>
      <c r="I1309" s="68" t="str">
        <f t="shared" si="4"/>
        <v/>
      </c>
      <c r="J1309" s="59" t="str">
        <f t="shared" si="5"/>
        <v/>
      </c>
      <c r="K1309" s="69" t="str">
        <f t="shared" si="6"/>
        <v/>
      </c>
      <c r="L1309" s="60" t="str">
        <f t="shared" si="7"/>
        <v/>
      </c>
      <c r="M1309" s="61" t="str">
        <f>IFERROR(__xludf.DUMMYFUNCTION("IFS(AND(COUNTA(C1309:C1673)=0,COUNTA(Q1309:Q1673)=0),"""",OR(AND(K1309&gt;=1000000000,OR(Y1309&gt;=1000000000,COUNTA(Q1309:Q1673)=0)),OR(Y1309&gt;=1000000000,AND(COUNTA(C1309:C1673)=0,P$3=TRUE))),
ROUNDDOWN((AB$1-AC$1)*MAX(INDEX(T$4:T1673,MATCH(LARGE(FILTER(Y$4:Y1"&amp;"673,Y$4:Y1673&lt;1000000000),1),Y$4:Y1673)),INDEX(F$4:F1673,MATCH(LARGE(FILTER(K$4:K1673,K$4:K1673&lt;1000000000),1),K$4:K1673)))),AND(K1309&lt;1000000000,COUNTA(C1309:C1673)&gt;0,P$3=FALSE),
ROUNDDOWN(INDEX(Y$4:Y1673,MATCH(LARGE(FILTER(W$4:W1673,W$4:W1673&lt;=I1309),1)"&amp;",W$4:W1673))+(I1309-LARGE(FILTER(W$4:W1673,W$4:W1673&lt;=I1309),1))*INDEX(T$4:T1673,MATCH(LARGE(FILTER(W$4:W1673,W$4:W1673&lt;=I1309),1),W$4:W1673))-K1309),1,
ROUNDDOWN(Y1309-INDEX(K$4:K1673,MATCH(LARGE(FILTER(I$4:I1673,I$4:I1673&lt;=W1309),1),I$4:I1673))-(W1309-L"&amp;"ARGE(FILTER(I$4:I1673,I$4:I1673&lt;=W1309),1))*INDEX(F$4:F1673,MATCH(LARGE(FILTER(I$4:I1673,I$4:I1673&lt;=W1309),1),I$4:I1673))))"),"")</f>
        <v/>
      </c>
      <c r="N1309" s="60" t="str">
        <f t="shared" si="8"/>
        <v/>
      </c>
      <c r="O1309" s="61" t="str">
        <f t="shared" si="9"/>
        <v/>
      </c>
      <c r="P1309" s="56" t="str">
        <f t="shared" si="10"/>
        <v/>
      </c>
      <c r="Q1309" s="67"/>
      <c r="R1309" s="10"/>
      <c r="S1309" s="59" t="str">
        <f t="array" ref="S1309">IF(COUNTA(Q1309:Q1673)=0,"",SUM((COUNTIF(Q$4:Q1309,Upgrades!$B$3:$B$13)-COUNTIF(Q$4:Q1309,"Sell_"&amp;Upgrades!$B$3:$B$13))*Upgrades!$D$3:$D$13))</f>
        <v/>
      </c>
      <c r="T1309" s="66" t="str">
        <f>IFERROR(__xludf.DUMMYFUNCTION("IF(COUNTA(Q1309:Q1673)=0,"""",IF(REGEXMATCH(INDEX(FILTER(Q$4:Q1309,Q$4:Q1309&lt;&gt;""""),ROWS(FILTER(Q$4:Q1309,Q$4:Q1309&lt;&gt;""""))),""^Sell_""),INDEX(FILTER(T$4:T1308,Q$4:Q1308&lt;&gt;""""),ROWS(FILTER(Q$4:Q1308,Q$4:Q1308&lt;&gt;""""))),$AD$5+S1309))"),"")</f>
        <v/>
      </c>
      <c r="U1309" s="10" t="str">
        <f>IFERROR(__xludf.DUMMYFUNCTION("IF(COUNTA(Q1309:Q1673)=0,"""",IF(Q1309="""",0,IF(REGEXMATCH(Q1309,""^Sell_""),-ROUNDDOWN(ROUNDUP(INDEX(Upgrades!$C$3:$C$13,MATCH(SUBSTITUTE(Q1309,""Sell_"",""""),Upgrades!$B$3:$B$13,0))*1.15^(COUNTIF(Q$4:Q1308,SUBSTITUTE(Q1309,""Sell_"",""""))-COUNTIF(Q$4"&amp;":Q1308,""Sell_""&amp;SUBSTITUTE(Q1309,""Sell_"",""""))))/2),ROUNDUP(INDEX(Upgrades!$C$3:$C$13,MATCH(Q1309,Upgrades!$B$3:$B$13,0))*1.15^(COUNTIF(Q$4:Q1308,Q1309)-COUNTIF(Q$4:Q1308,""Sell_""&amp;Q1309))))))"),"")</f>
        <v/>
      </c>
      <c r="V1309" s="10" t="str">
        <f t="shared" si="11"/>
        <v/>
      </c>
      <c r="W1309" s="68" t="str">
        <f t="shared" si="12"/>
        <v/>
      </c>
      <c r="X1309" s="59" t="str">
        <f t="shared" si="13"/>
        <v/>
      </c>
      <c r="Y1309" s="69" t="str">
        <f t="shared" si="14"/>
        <v/>
      </c>
      <c r="Z1309" s="11"/>
    </row>
    <row r="1310">
      <c r="A1310" s="8"/>
      <c r="B1310" s="56" t="str">
        <f t="shared" si="2"/>
        <v/>
      </c>
      <c r="C1310" s="105"/>
      <c r="D1310" s="10"/>
      <c r="E1310" s="59" t="str">
        <f t="array" ref="E1310">IF(COUNTA(C1310:C1673)=0,"",SUM((COUNTIF(C$4:C1310,Upgrades!$B$3:$B$13)-COUNTIF(C$4:C1310,"Sell_"&amp;Upgrades!$B$3:$B$13))*Upgrades!$D$3:$D$13))</f>
        <v/>
      </c>
      <c r="F1310" s="66" t="str">
        <f>IFERROR(__xludf.DUMMYFUNCTION("IF(COUNTA(C1310:C1673)=0,"""",IF(REGEXMATCH(INDEX(FILTER(C$4:C1310,C$4:C1310&lt;&gt;""""),ROWS(FILTER(C$4:C1310,C$4:C1310&lt;&gt;""""))),""^Sell_""),INDEX(FILTER(F$4:F1309,C$4:C1309&lt;&gt;""""),ROWS(FILTER(C$4:C1309,C$4:C1309&lt;&gt;""""))),$AC$5+E1310))"),"")</f>
        <v/>
      </c>
      <c r="G1310" s="10" t="str">
        <f>IFERROR(__xludf.DUMMYFUNCTION("IF(COUNTA(C1310:C1673)=0,"""",IF(C1310="""",0,IF(REGEXMATCH(C1310,""^Sell_""),-ROUNDDOWN(ROUNDUP(INDEX(Upgrades!$C$3:$C$13,MATCH(SUBSTITUTE(C1310,""Sell_"",""""),Upgrades!$B$3:$B$13,0))*1.15^(COUNTIF(C$4:C1309,SUBSTITUTE(C1310,""Sell_"",""""))-COUNTIF(C$4"&amp;":C1309,""Sell_""&amp;SUBSTITUTE(C1310,""Sell_"",""""))))/2),ROUNDUP(INDEX(Upgrades!$C$3:$C$13,MATCH(C1310,Upgrades!$B$3:$B$13,0))*1.15^(COUNTIF(C$4:C1309,C1310)-COUNTIF(C$4:C1309,""Sell_""&amp;C1310))))))"),"")</f>
        <v/>
      </c>
      <c r="H1310" s="10" t="str">
        <f t="shared" si="3"/>
        <v/>
      </c>
      <c r="I1310" s="68" t="str">
        <f t="shared" si="4"/>
        <v/>
      </c>
      <c r="J1310" s="59" t="str">
        <f t="shared" si="5"/>
        <v/>
      </c>
      <c r="K1310" s="69" t="str">
        <f t="shared" si="6"/>
        <v/>
      </c>
      <c r="L1310" s="60" t="str">
        <f t="shared" si="7"/>
        <v/>
      </c>
      <c r="M1310" s="61" t="str">
        <f>IFERROR(__xludf.DUMMYFUNCTION("IFS(AND(COUNTA(C1310:C1673)=0,COUNTA(Q1310:Q1673)=0),"""",OR(AND(K1310&gt;=1000000000,OR(Y1310&gt;=1000000000,COUNTA(Q1310:Q1673)=0)),OR(Y1310&gt;=1000000000,AND(COUNTA(C1310:C1673)=0,P$3=TRUE))),
ROUNDDOWN((AB$1-AC$1)*MAX(INDEX(T$4:T1673,MATCH(LARGE(FILTER(Y$4:Y1"&amp;"673,Y$4:Y1673&lt;1000000000),1),Y$4:Y1673)),INDEX(F$4:F1673,MATCH(LARGE(FILTER(K$4:K1673,K$4:K1673&lt;1000000000),1),K$4:K1673)))),AND(K1310&lt;1000000000,COUNTA(C1310:C1673)&gt;0,P$3=FALSE),
ROUNDDOWN(INDEX(Y$4:Y1673,MATCH(LARGE(FILTER(W$4:W1673,W$4:W1673&lt;=I1310),1)"&amp;",W$4:W1673))+(I1310-LARGE(FILTER(W$4:W1673,W$4:W1673&lt;=I1310),1))*INDEX(T$4:T1673,MATCH(LARGE(FILTER(W$4:W1673,W$4:W1673&lt;=I1310),1),W$4:W1673))-K1310),1,
ROUNDDOWN(Y1310-INDEX(K$4:K1673,MATCH(LARGE(FILTER(I$4:I1673,I$4:I1673&lt;=W1310),1),I$4:I1673))-(W1310-L"&amp;"ARGE(FILTER(I$4:I1673,I$4:I1673&lt;=W1310),1))*INDEX(F$4:F1673,MATCH(LARGE(FILTER(I$4:I1673,I$4:I1673&lt;=W1310),1),I$4:I1673))))"),"")</f>
        <v/>
      </c>
      <c r="N1310" s="60" t="str">
        <f t="shared" si="8"/>
        <v/>
      </c>
      <c r="O1310" s="61" t="str">
        <f t="shared" si="9"/>
        <v/>
      </c>
      <c r="P1310" s="56" t="str">
        <f t="shared" si="10"/>
        <v/>
      </c>
      <c r="Q1310" s="67"/>
      <c r="R1310" s="10"/>
      <c r="S1310" s="59" t="str">
        <f t="array" ref="S1310">IF(COUNTA(Q1310:Q1673)=0,"",SUM((COUNTIF(Q$4:Q1310,Upgrades!$B$3:$B$13)-COUNTIF(Q$4:Q1310,"Sell_"&amp;Upgrades!$B$3:$B$13))*Upgrades!$D$3:$D$13))</f>
        <v/>
      </c>
      <c r="T1310" s="66" t="str">
        <f>IFERROR(__xludf.DUMMYFUNCTION("IF(COUNTA(Q1310:Q1673)=0,"""",IF(REGEXMATCH(INDEX(FILTER(Q$4:Q1310,Q$4:Q1310&lt;&gt;""""),ROWS(FILTER(Q$4:Q1310,Q$4:Q1310&lt;&gt;""""))),""^Sell_""),INDEX(FILTER(T$4:T1309,Q$4:Q1309&lt;&gt;""""),ROWS(FILTER(Q$4:Q1309,Q$4:Q1309&lt;&gt;""""))),$AD$5+S1310))"),"")</f>
        <v/>
      </c>
      <c r="U1310" s="10" t="str">
        <f>IFERROR(__xludf.DUMMYFUNCTION("IF(COUNTA(Q1310:Q1673)=0,"""",IF(Q1310="""",0,IF(REGEXMATCH(Q1310,""^Sell_""),-ROUNDDOWN(ROUNDUP(INDEX(Upgrades!$C$3:$C$13,MATCH(SUBSTITUTE(Q1310,""Sell_"",""""),Upgrades!$B$3:$B$13,0))*1.15^(COUNTIF(Q$4:Q1309,SUBSTITUTE(Q1310,""Sell_"",""""))-COUNTIF(Q$4"&amp;":Q1309,""Sell_""&amp;SUBSTITUTE(Q1310,""Sell_"",""""))))/2),ROUNDUP(INDEX(Upgrades!$C$3:$C$13,MATCH(Q1310,Upgrades!$B$3:$B$13,0))*1.15^(COUNTIF(Q$4:Q1309,Q1310)-COUNTIF(Q$4:Q1309,""Sell_""&amp;Q1310))))))"),"")</f>
        <v/>
      </c>
      <c r="V1310" s="10" t="str">
        <f t="shared" si="11"/>
        <v/>
      </c>
      <c r="W1310" s="68" t="str">
        <f t="shared" si="12"/>
        <v/>
      </c>
      <c r="X1310" s="59" t="str">
        <f t="shared" si="13"/>
        <v/>
      </c>
      <c r="Y1310" s="69" t="str">
        <f t="shared" si="14"/>
        <v/>
      </c>
      <c r="Z1310" s="11"/>
    </row>
    <row r="1311">
      <c r="A1311" s="8"/>
      <c r="B1311" s="56" t="str">
        <f t="shared" si="2"/>
        <v/>
      </c>
      <c r="C1311" s="105"/>
      <c r="D1311" s="10"/>
      <c r="E1311" s="59" t="str">
        <f t="array" ref="E1311">IF(COUNTA(C1311:C1673)=0,"",SUM((COUNTIF(C$4:C1311,Upgrades!$B$3:$B$13)-COUNTIF(C$4:C1311,"Sell_"&amp;Upgrades!$B$3:$B$13))*Upgrades!$D$3:$D$13))</f>
        <v/>
      </c>
      <c r="F1311" s="66" t="str">
        <f>IFERROR(__xludf.DUMMYFUNCTION("IF(COUNTA(C1311:C1673)=0,"""",IF(REGEXMATCH(INDEX(FILTER(C$4:C1311,C$4:C1311&lt;&gt;""""),ROWS(FILTER(C$4:C1311,C$4:C1311&lt;&gt;""""))),""^Sell_""),INDEX(FILTER(F$4:F1310,C$4:C1310&lt;&gt;""""),ROWS(FILTER(C$4:C1310,C$4:C1310&lt;&gt;""""))),$AC$5+E1311))"),"")</f>
        <v/>
      </c>
      <c r="G1311" s="10" t="str">
        <f>IFERROR(__xludf.DUMMYFUNCTION("IF(COUNTA(C1311:C1673)=0,"""",IF(C1311="""",0,IF(REGEXMATCH(C1311,""^Sell_""),-ROUNDDOWN(ROUNDUP(INDEX(Upgrades!$C$3:$C$13,MATCH(SUBSTITUTE(C1311,""Sell_"",""""),Upgrades!$B$3:$B$13,0))*1.15^(COUNTIF(C$4:C1310,SUBSTITUTE(C1311,""Sell_"",""""))-COUNTIF(C$4"&amp;":C1310,""Sell_""&amp;SUBSTITUTE(C1311,""Sell_"",""""))))/2),ROUNDUP(INDEX(Upgrades!$C$3:$C$13,MATCH(C1311,Upgrades!$B$3:$B$13,0))*1.15^(COUNTIF(C$4:C1310,C1311)-COUNTIF(C$4:C1310,""Sell_""&amp;C1311))))))"),"")</f>
        <v/>
      </c>
      <c r="H1311" s="10" t="str">
        <f t="shared" si="3"/>
        <v/>
      </c>
      <c r="I1311" s="68" t="str">
        <f t="shared" si="4"/>
        <v/>
      </c>
      <c r="J1311" s="59" t="str">
        <f t="shared" si="5"/>
        <v/>
      </c>
      <c r="K1311" s="69" t="str">
        <f t="shared" si="6"/>
        <v/>
      </c>
      <c r="L1311" s="60" t="str">
        <f t="shared" si="7"/>
        <v/>
      </c>
      <c r="M1311" s="61" t="str">
        <f>IFERROR(__xludf.DUMMYFUNCTION("IFS(AND(COUNTA(C1311:C1673)=0,COUNTA(Q1311:Q1673)=0),"""",OR(AND(K1311&gt;=1000000000,OR(Y1311&gt;=1000000000,COUNTA(Q1311:Q1673)=0)),OR(Y1311&gt;=1000000000,AND(COUNTA(C1311:C1673)=0,P$3=TRUE))),
ROUNDDOWN((AB$1-AC$1)*MAX(INDEX(T$4:T1673,MATCH(LARGE(FILTER(Y$4:Y1"&amp;"673,Y$4:Y1673&lt;1000000000),1),Y$4:Y1673)),INDEX(F$4:F1673,MATCH(LARGE(FILTER(K$4:K1673,K$4:K1673&lt;1000000000),1),K$4:K1673)))),AND(K1311&lt;1000000000,COUNTA(C1311:C1673)&gt;0,P$3=FALSE),
ROUNDDOWN(INDEX(Y$4:Y1673,MATCH(LARGE(FILTER(W$4:W1673,W$4:W1673&lt;=I1311),1)"&amp;",W$4:W1673))+(I1311-LARGE(FILTER(W$4:W1673,W$4:W1673&lt;=I1311),1))*INDEX(T$4:T1673,MATCH(LARGE(FILTER(W$4:W1673,W$4:W1673&lt;=I1311),1),W$4:W1673))-K1311),1,
ROUNDDOWN(Y1311-INDEX(K$4:K1673,MATCH(LARGE(FILTER(I$4:I1673,I$4:I1673&lt;=W1311),1),I$4:I1673))-(W1311-L"&amp;"ARGE(FILTER(I$4:I1673,I$4:I1673&lt;=W1311),1))*INDEX(F$4:F1673,MATCH(LARGE(FILTER(I$4:I1673,I$4:I1673&lt;=W1311),1),I$4:I1673))))"),"")</f>
        <v/>
      </c>
      <c r="N1311" s="60" t="str">
        <f t="shared" si="8"/>
        <v/>
      </c>
      <c r="O1311" s="61" t="str">
        <f t="shared" si="9"/>
        <v/>
      </c>
      <c r="P1311" s="56" t="str">
        <f t="shared" si="10"/>
        <v/>
      </c>
      <c r="Q1311" s="67"/>
      <c r="R1311" s="10"/>
      <c r="S1311" s="59" t="str">
        <f t="array" ref="S1311">IF(COUNTA(Q1311:Q1673)=0,"",SUM((COUNTIF(Q$4:Q1311,Upgrades!$B$3:$B$13)-COUNTIF(Q$4:Q1311,"Sell_"&amp;Upgrades!$B$3:$B$13))*Upgrades!$D$3:$D$13))</f>
        <v/>
      </c>
      <c r="T1311" s="66" t="str">
        <f>IFERROR(__xludf.DUMMYFUNCTION("IF(COUNTA(Q1311:Q1673)=0,"""",IF(REGEXMATCH(INDEX(FILTER(Q$4:Q1311,Q$4:Q1311&lt;&gt;""""),ROWS(FILTER(Q$4:Q1311,Q$4:Q1311&lt;&gt;""""))),""^Sell_""),INDEX(FILTER(T$4:T1310,Q$4:Q1310&lt;&gt;""""),ROWS(FILTER(Q$4:Q1310,Q$4:Q1310&lt;&gt;""""))),$AD$5+S1311))"),"")</f>
        <v/>
      </c>
      <c r="U1311" s="10" t="str">
        <f>IFERROR(__xludf.DUMMYFUNCTION("IF(COUNTA(Q1311:Q1673)=0,"""",IF(Q1311="""",0,IF(REGEXMATCH(Q1311,""^Sell_""),-ROUNDDOWN(ROUNDUP(INDEX(Upgrades!$C$3:$C$13,MATCH(SUBSTITUTE(Q1311,""Sell_"",""""),Upgrades!$B$3:$B$13,0))*1.15^(COUNTIF(Q$4:Q1310,SUBSTITUTE(Q1311,""Sell_"",""""))-COUNTIF(Q$4"&amp;":Q1310,""Sell_""&amp;SUBSTITUTE(Q1311,""Sell_"",""""))))/2),ROUNDUP(INDEX(Upgrades!$C$3:$C$13,MATCH(Q1311,Upgrades!$B$3:$B$13,0))*1.15^(COUNTIF(Q$4:Q1310,Q1311)-COUNTIF(Q$4:Q1310,""Sell_""&amp;Q1311))))))"),"")</f>
        <v/>
      </c>
      <c r="V1311" s="10" t="str">
        <f t="shared" si="11"/>
        <v/>
      </c>
      <c r="W1311" s="68" t="str">
        <f t="shared" si="12"/>
        <v/>
      </c>
      <c r="X1311" s="59" t="str">
        <f t="shared" si="13"/>
        <v/>
      </c>
      <c r="Y1311" s="69" t="str">
        <f t="shared" si="14"/>
        <v/>
      </c>
      <c r="Z1311" s="11"/>
    </row>
    <row r="1312">
      <c r="A1312" s="8"/>
      <c r="B1312" s="56" t="str">
        <f t="shared" si="2"/>
        <v/>
      </c>
      <c r="C1312" s="105"/>
      <c r="D1312" s="10"/>
      <c r="E1312" s="59" t="str">
        <f t="array" ref="E1312">IF(COUNTA(C1312:C1673)=0,"",SUM((COUNTIF(C$4:C1312,Upgrades!$B$3:$B$13)-COUNTIF(C$4:C1312,"Sell_"&amp;Upgrades!$B$3:$B$13))*Upgrades!$D$3:$D$13))</f>
        <v/>
      </c>
      <c r="F1312" s="66" t="str">
        <f>IFERROR(__xludf.DUMMYFUNCTION("IF(COUNTA(C1312:C1673)=0,"""",IF(REGEXMATCH(INDEX(FILTER(C$4:C1312,C$4:C1312&lt;&gt;""""),ROWS(FILTER(C$4:C1312,C$4:C1312&lt;&gt;""""))),""^Sell_""),INDEX(FILTER(F$4:F1311,C$4:C1311&lt;&gt;""""),ROWS(FILTER(C$4:C1311,C$4:C1311&lt;&gt;""""))),$AC$5+E1312))"),"")</f>
        <v/>
      </c>
      <c r="G1312" s="10" t="str">
        <f>IFERROR(__xludf.DUMMYFUNCTION("IF(COUNTA(C1312:C1673)=0,"""",IF(C1312="""",0,IF(REGEXMATCH(C1312,""^Sell_""),-ROUNDDOWN(ROUNDUP(INDEX(Upgrades!$C$3:$C$13,MATCH(SUBSTITUTE(C1312,""Sell_"",""""),Upgrades!$B$3:$B$13,0))*1.15^(COUNTIF(C$4:C1311,SUBSTITUTE(C1312,""Sell_"",""""))-COUNTIF(C$4"&amp;":C1311,""Sell_""&amp;SUBSTITUTE(C1312,""Sell_"",""""))))/2),ROUNDUP(INDEX(Upgrades!$C$3:$C$13,MATCH(C1312,Upgrades!$B$3:$B$13,0))*1.15^(COUNTIF(C$4:C1311,C1312)-COUNTIF(C$4:C1311,""Sell_""&amp;C1312))))))"),"")</f>
        <v/>
      </c>
      <c r="H1312" s="10" t="str">
        <f t="shared" si="3"/>
        <v/>
      </c>
      <c r="I1312" s="68" t="str">
        <f t="shared" si="4"/>
        <v/>
      </c>
      <c r="J1312" s="59" t="str">
        <f t="shared" si="5"/>
        <v/>
      </c>
      <c r="K1312" s="69" t="str">
        <f t="shared" si="6"/>
        <v/>
      </c>
      <c r="L1312" s="60" t="str">
        <f t="shared" si="7"/>
        <v/>
      </c>
      <c r="M1312" s="61" t="str">
        <f>IFERROR(__xludf.DUMMYFUNCTION("IFS(AND(COUNTA(C1312:C1673)=0,COUNTA(Q1312:Q1673)=0),"""",OR(AND(K1312&gt;=1000000000,OR(Y1312&gt;=1000000000,COUNTA(Q1312:Q1673)=0)),OR(Y1312&gt;=1000000000,AND(COUNTA(C1312:C1673)=0,P$3=TRUE))),
ROUNDDOWN((AB$1-AC$1)*MAX(INDEX(T$4:T1673,MATCH(LARGE(FILTER(Y$4:Y1"&amp;"673,Y$4:Y1673&lt;1000000000),1),Y$4:Y1673)),INDEX(F$4:F1673,MATCH(LARGE(FILTER(K$4:K1673,K$4:K1673&lt;1000000000),1),K$4:K1673)))),AND(K1312&lt;1000000000,COUNTA(C1312:C1673)&gt;0,P$3=FALSE),
ROUNDDOWN(INDEX(Y$4:Y1673,MATCH(LARGE(FILTER(W$4:W1673,W$4:W1673&lt;=I1312),1)"&amp;",W$4:W1673))+(I1312-LARGE(FILTER(W$4:W1673,W$4:W1673&lt;=I1312),1))*INDEX(T$4:T1673,MATCH(LARGE(FILTER(W$4:W1673,W$4:W1673&lt;=I1312),1),W$4:W1673))-K1312),1,
ROUNDDOWN(Y1312-INDEX(K$4:K1673,MATCH(LARGE(FILTER(I$4:I1673,I$4:I1673&lt;=W1312),1),I$4:I1673))-(W1312-L"&amp;"ARGE(FILTER(I$4:I1673,I$4:I1673&lt;=W1312),1))*INDEX(F$4:F1673,MATCH(LARGE(FILTER(I$4:I1673,I$4:I1673&lt;=W1312),1),I$4:I1673))))"),"")</f>
        <v/>
      </c>
      <c r="N1312" s="60" t="str">
        <f t="shared" si="8"/>
        <v/>
      </c>
      <c r="O1312" s="61" t="str">
        <f t="shared" si="9"/>
        <v/>
      </c>
      <c r="P1312" s="56" t="str">
        <f t="shared" si="10"/>
        <v/>
      </c>
      <c r="Q1312" s="67"/>
      <c r="R1312" s="10"/>
      <c r="S1312" s="59" t="str">
        <f t="array" ref="S1312">IF(COUNTA(Q1312:Q1673)=0,"",SUM((COUNTIF(Q$4:Q1312,Upgrades!$B$3:$B$13)-COUNTIF(Q$4:Q1312,"Sell_"&amp;Upgrades!$B$3:$B$13))*Upgrades!$D$3:$D$13))</f>
        <v/>
      </c>
      <c r="T1312" s="66" t="str">
        <f>IFERROR(__xludf.DUMMYFUNCTION("IF(COUNTA(Q1312:Q1673)=0,"""",IF(REGEXMATCH(INDEX(FILTER(Q$4:Q1312,Q$4:Q1312&lt;&gt;""""),ROWS(FILTER(Q$4:Q1312,Q$4:Q1312&lt;&gt;""""))),""^Sell_""),INDEX(FILTER(T$4:T1311,Q$4:Q1311&lt;&gt;""""),ROWS(FILTER(Q$4:Q1311,Q$4:Q1311&lt;&gt;""""))),$AD$5+S1312))"),"")</f>
        <v/>
      </c>
      <c r="U1312" s="10" t="str">
        <f>IFERROR(__xludf.DUMMYFUNCTION("IF(COUNTA(Q1312:Q1673)=0,"""",IF(Q1312="""",0,IF(REGEXMATCH(Q1312,""^Sell_""),-ROUNDDOWN(ROUNDUP(INDEX(Upgrades!$C$3:$C$13,MATCH(SUBSTITUTE(Q1312,""Sell_"",""""),Upgrades!$B$3:$B$13,0))*1.15^(COUNTIF(Q$4:Q1311,SUBSTITUTE(Q1312,""Sell_"",""""))-COUNTIF(Q$4"&amp;":Q1311,""Sell_""&amp;SUBSTITUTE(Q1312,""Sell_"",""""))))/2),ROUNDUP(INDEX(Upgrades!$C$3:$C$13,MATCH(Q1312,Upgrades!$B$3:$B$13,0))*1.15^(COUNTIF(Q$4:Q1311,Q1312)-COUNTIF(Q$4:Q1311,""Sell_""&amp;Q1312))))))"),"")</f>
        <v/>
      </c>
      <c r="V1312" s="10" t="str">
        <f t="shared" si="11"/>
        <v/>
      </c>
      <c r="W1312" s="68" t="str">
        <f t="shared" si="12"/>
        <v/>
      </c>
      <c r="X1312" s="59" t="str">
        <f t="shared" si="13"/>
        <v/>
      </c>
      <c r="Y1312" s="69" t="str">
        <f t="shared" si="14"/>
        <v/>
      </c>
      <c r="Z1312" s="11"/>
    </row>
    <row r="1313">
      <c r="A1313" s="8"/>
      <c r="B1313" s="56" t="str">
        <f t="shared" si="2"/>
        <v/>
      </c>
      <c r="C1313" s="105"/>
      <c r="D1313" s="10"/>
      <c r="E1313" s="59" t="str">
        <f t="array" ref="E1313">IF(COUNTA(C1313:C1673)=0,"",SUM((COUNTIF(C$4:C1313,Upgrades!$B$3:$B$13)-COUNTIF(C$4:C1313,"Sell_"&amp;Upgrades!$B$3:$B$13))*Upgrades!$D$3:$D$13))</f>
        <v/>
      </c>
      <c r="F1313" s="66" t="str">
        <f>IFERROR(__xludf.DUMMYFUNCTION("IF(COUNTA(C1313:C1673)=0,"""",IF(REGEXMATCH(INDEX(FILTER(C$4:C1313,C$4:C1313&lt;&gt;""""),ROWS(FILTER(C$4:C1313,C$4:C1313&lt;&gt;""""))),""^Sell_""),INDEX(FILTER(F$4:F1312,C$4:C1312&lt;&gt;""""),ROWS(FILTER(C$4:C1312,C$4:C1312&lt;&gt;""""))),$AC$5+E1313))"),"")</f>
        <v/>
      </c>
      <c r="G1313" s="10" t="str">
        <f>IFERROR(__xludf.DUMMYFUNCTION("IF(COUNTA(C1313:C1673)=0,"""",IF(C1313="""",0,IF(REGEXMATCH(C1313,""^Sell_""),-ROUNDDOWN(ROUNDUP(INDEX(Upgrades!$C$3:$C$13,MATCH(SUBSTITUTE(C1313,""Sell_"",""""),Upgrades!$B$3:$B$13,0))*1.15^(COUNTIF(C$4:C1312,SUBSTITUTE(C1313,""Sell_"",""""))-COUNTIF(C$4"&amp;":C1312,""Sell_""&amp;SUBSTITUTE(C1313,""Sell_"",""""))))/2),ROUNDUP(INDEX(Upgrades!$C$3:$C$13,MATCH(C1313,Upgrades!$B$3:$B$13,0))*1.15^(COUNTIF(C$4:C1312,C1313)-COUNTIF(C$4:C1312,""Sell_""&amp;C1313))))))"),"")</f>
        <v/>
      </c>
      <c r="H1313" s="10" t="str">
        <f t="shared" si="3"/>
        <v/>
      </c>
      <c r="I1313" s="68" t="str">
        <f t="shared" si="4"/>
        <v/>
      </c>
      <c r="J1313" s="59" t="str">
        <f t="shared" si="5"/>
        <v/>
      </c>
      <c r="K1313" s="69" t="str">
        <f t="shared" si="6"/>
        <v/>
      </c>
      <c r="L1313" s="60" t="str">
        <f t="shared" si="7"/>
        <v/>
      </c>
      <c r="M1313" s="61" t="str">
        <f>IFERROR(__xludf.DUMMYFUNCTION("IFS(AND(COUNTA(C1313:C1673)=0,COUNTA(Q1313:Q1673)=0),"""",OR(AND(K1313&gt;=1000000000,OR(Y1313&gt;=1000000000,COUNTA(Q1313:Q1673)=0)),OR(Y1313&gt;=1000000000,AND(COUNTA(C1313:C1673)=0,P$3=TRUE))),
ROUNDDOWN((AB$1-AC$1)*MAX(INDEX(T$4:T1673,MATCH(LARGE(FILTER(Y$4:Y1"&amp;"673,Y$4:Y1673&lt;1000000000),1),Y$4:Y1673)),INDEX(F$4:F1673,MATCH(LARGE(FILTER(K$4:K1673,K$4:K1673&lt;1000000000),1),K$4:K1673)))),AND(K1313&lt;1000000000,COUNTA(C1313:C1673)&gt;0,P$3=FALSE),
ROUNDDOWN(INDEX(Y$4:Y1673,MATCH(LARGE(FILTER(W$4:W1673,W$4:W1673&lt;=I1313),1)"&amp;",W$4:W1673))+(I1313-LARGE(FILTER(W$4:W1673,W$4:W1673&lt;=I1313),1))*INDEX(T$4:T1673,MATCH(LARGE(FILTER(W$4:W1673,W$4:W1673&lt;=I1313),1),W$4:W1673))-K1313),1,
ROUNDDOWN(Y1313-INDEX(K$4:K1673,MATCH(LARGE(FILTER(I$4:I1673,I$4:I1673&lt;=W1313),1),I$4:I1673))-(W1313-L"&amp;"ARGE(FILTER(I$4:I1673,I$4:I1673&lt;=W1313),1))*INDEX(F$4:F1673,MATCH(LARGE(FILTER(I$4:I1673,I$4:I1673&lt;=W1313),1),I$4:I1673))))"),"")</f>
        <v/>
      </c>
      <c r="N1313" s="60" t="str">
        <f t="shared" si="8"/>
        <v/>
      </c>
      <c r="O1313" s="61" t="str">
        <f t="shared" si="9"/>
        <v/>
      </c>
      <c r="P1313" s="56" t="str">
        <f t="shared" si="10"/>
        <v/>
      </c>
      <c r="Q1313" s="67"/>
      <c r="R1313" s="10"/>
      <c r="S1313" s="59" t="str">
        <f t="array" ref="S1313">IF(COUNTA(Q1313:Q1673)=0,"",SUM((COUNTIF(Q$4:Q1313,Upgrades!$B$3:$B$13)-COUNTIF(Q$4:Q1313,"Sell_"&amp;Upgrades!$B$3:$B$13))*Upgrades!$D$3:$D$13))</f>
        <v/>
      </c>
      <c r="T1313" s="66" t="str">
        <f>IFERROR(__xludf.DUMMYFUNCTION("IF(COUNTA(Q1313:Q1673)=0,"""",IF(REGEXMATCH(INDEX(FILTER(Q$4:Q1313,Q$4:Q1313&lt;&gt;""""),ROWS(FILTER(Q$4:Q1313,Q$4:Q1313&lt;&gt;""""))),""^Sell_""),INDEX(FILTER(T$4:T1312,Q$4:Q1312&lt;&gt;""""),ROWS(FILTER(Q$4:Q1312,Q$4:Q1312&lt;&gt;""""))),$AD$5+S1313))"),"")</f>
        <v/>
      </c>
      <c r="U1313" s="10" t="str">
        <f>IFERROR(__xludf.DUMMYFUNCTION("IF(COUNTA(Q1313:Q1673)=0,"""",IF(Q1313="""",0,IF(REGEXMATCH(Q1313,""^Sell_""),-ROUNDDOWN(ROUNDUP(INDEX(Upgrades!$C$3:$C$13,MATCH(SUBSTITUTE(Q1313,""Sell_"",""""),Upgrades!$B$3:$B$13,0))*1.15^(COUNTIF(Q$4:Q1312,SUBSTITUTE(Q1313,""Sell_"",""""))-COUNTIF(Q$4"&amp;":Q1312,""Sell_""&amp;SUBSTITUTE(Q1313,""Sell_"",""""))))/2),ROUNDUP(INDEX(Upgrades!$C$3:$C$13,MATCH(Q1313,Upgrades!$B$3:$B$13,0))*1.15^(COUNTIF(Q$4:Q1312,Q1313)-COUNTIF(Q$4:Q1312,""Sell_""&amp;Q1313))))))"),"")</f>
        <v/>
      </c>
      <c r="V1313" s="10" t="str">
        <f t="shared" si="11"/>
        <v/>
      </c>
      <c r="W1313" s="68" t="str">
        <f t="shared" si="12"/>
        <v/>
      </c>
      <c r="X1313" s="59" t="str">
        <f t="shared" si="13"/>
        <v/>
      </c>
      <c r="Y1313" s="69" t="str">
        <f t="shared" si="14"/>
        <v/>
      </c>
      <c r="Z1313" s="11"/>
    </row>
    <row r="1314">
      <c r="A1314" s="8"/>
      <c r="B1314" s="56" t="str">
        <f t="shared" si="2"/>
        <v/>
      </c>
      <c r="C1314" s="105"/>
      <c r="D1314" s="10"/>
      <c r="E1314" s="59" t="str">
        <f t="array" ref="E1314">IF(COUNTA(C1314:C1673)=0,"",SUM((COUNTIF(C$4:C1314,Upgrades!$B$3:$B$13)-COUNTIF(C$4:C1314,"Sell_"&amp;Upgrades!$B$3:$B$13))*Upgrades!$D$3:$D$13))</f>
        <v/>
      </c>
      <c r="F1314" s="66" t="str">
        <f>IFERROR(__xludf.DUMMYFUNCTION("IF(COUNTA(C1314:C1673)=0,"""",IF(REGEXMATCH(INDEX(FILTER(C$4:C1314,C$4:C1314&lt;&gt;""""),ROWS(FILTER(C$4:C1314,C$4:C1314&lt;&gt;""""))),""^Sell_""),INDEX(FILTER(F$4:F1313,C$4:C1313&lt;&gt;""""),ROWS(FILTER(C$4:C1313,C$4:C1313&lt;&gt;""""))),$AC$5+E1314))"),"")</f>
        <v/>
      </c>
      <c r="G1314" s="10" t="str">
        <f>IFERROR(__xludf.DUMMYFUNCTION("IF(COUNTA(C1314:C1673)=0,"""",IF(C1314="""",0,IF(REGEXMATCH(C1314,""^Sell_""),-ROUNDDOWN(ROUNDUP(INDEX(Upgrades!$C$3:$C$13,MATCH(SUBSTITUTE(C1314,""Sell_"",""""),Upgrades!$B$3:$B$13,0))*1.15^(COUNTIF(C$4:C1313,SUBSTITUTE(C1314,""Sell_"",""""))-COUNTIF(C$4"&amp;":C1313,""Sell_""&amp;SUBSTITUTE(C1314,""Sell_"",""""))))/2),ROUNDUP(INDEX(Upgrades!$C$3:$C$13,MATCH(C1314,Upgrades!$B$3:$B$13,0))*1.15^(COUNTIF(C$4:C1313,C1314)-COUNTIF(C$4:C1313,""Sell_""&amp;C1314))))))"),"")</f>
        <v/>
      </c>
      <c r="H1314" s="10" t="str">
        <f t="shared" si="3"/>
        <v/>
      </c>
      <c r="I1314" s="68" t="str">
        <f t="shared" si="4"/>
        <v/>
      </c>
      <c r="J1314" s="59" t="str">
        <f t="shared" si="5"/>
        <v/>
      </c>
      <c r="K1314" s="69" t="str">
        <f t="shared" si="6"/>
        <v/>
      </c>
      <c r="L1314" s="60" t="str">
        <f t="shared" si="7"/>
        <v/>
      </c>
      <c r="M1314" s="61" t="str">
        <f>IFERROR(__xludf.DUMMYFUNCTION("IFS(AND(COUNTA(C1314:C1673)=0,COUNTA(Q1314:Q1673)=0),"""",OR(AND(K1314&gt;=1000000000,OR(Y1314&gt;=1000000000,COUNTA(Q1314:Q1673)=0)),OR(Y1314&gt;=1000000000,AND(COUNTA(C1314:C1673)=0,P$3=TRUE))),
ROUNDDOWN((AB$1-AC$1)*MAX(INDEX(T$4:T1673,MATCH(LARGE(FILTER(Y$4:Y1"&amp;"673,Y$4:Y1673&lt;1000000000),1),Y$4:Y1673)),INDEX(F$4:F1673,MATCH(LARGE(FILTER(K$4:K1673,K$4:K1673&lt;1000000000),1),K$4:K1673)))),AND(K1314&lt;1000000000,COUNTA(C1314:C1673)&gt;0,P$3=FALSE),
ROUNDDOWN(INDEX(Y$4:Y1673,MATCH(LARGE(FILTER(W$4:W1673,W$4:W1673&lt;=I1314),1)"&amp;",W$4:W1673))+(I1314-LARGE(FILTER(W$4:W1673,W$4:W1673&lt;=I1314),1))*INDEX(T$4:T1673,MATCH(LARGE(FILTER(W$4:W1673,W$4:W1673&lt;=I1314),1),W$4:W1673))-K1314),1,
ROUNDDOWN(Y1314-INDEX(K$4:K1673,MATCH(LARGE(FILTER(I$4:I1673,I$4:I1673&lt;=W1314),1),I$4:I1673))-(W1314-L"&amp;"ARGE(FILTER(I$4:I1673,I$4:I1673&lt;=W1314),1))*INDEX(F$4:F1673,MATCH(LARGE(FILTER(I$4:I1673,I$4:I1673&lt;=W1314),1),I$4:I1673))))"),"")</f>
        <v/>
      </c>
      <c r="N1314" s="60" t="str">
        <f t="shared" si="8"/>
        <v/>
      </c>
      <c r="O1314" s="61" t="str">
        <f t="shared" si="9"/>
        <v/>
      </c>
      <c r="P1314" s="56" t="str">
        <f t="shared" si="10"/>
        <v/>
      </c>
      <c r="Q1314" s="67"/>
      <c r="R1314" s="10"/>
      <c r="S1314" s="59" t="str">
        <f t="array" ref="S1314">IF(COUNTA(Q1314:Q1673)=0,"",SUM((COUNTIF(Q$4:Q1314,Upgrades!$B$3:$B$13)-COUNTIF(Q$4:Q1314,"Sell_"&amp;Upgrades!$B$3:$B$13))*Upgrades!$D$3:$D$13))</f>
        <v/>
      </c>
      <c r="T1314" s="66" t="str">
        <f>IFERROR(__xludf.DUMMYFUNCTION("IF(COUNTA(Q1314:Q1673)=0,"""",IF(REGEXMATCH(INDEX(FILTER(Q$4:Q1314,Q$4:Q1314&lt;&gt;""""),ROWS(FILTER(Q$4:Q1314,Q$4:Q1314&lt;&gt;""""))),""^Sell_""),INDEX(FILTER(T$4:T1313,Q$4:Q1313&lt;&gt;""""),ROWS(FILTER(Q$4:Q1313,Q$4:Q1313&lt;&gt;""""))),$AD$5+S1314))"),"")</f>
        <v/>
      </c>
      <c r="U1314" s="10" t="str">
        <f>IFERROR(__xludf.DUMMYFUNCTION("IF(COUNTA(Q1314:Q1673)=0,"""",IF(Q1314="""",0,IF(REGEXMATCH(Q1314,""^Sell_""),-ROUNDDOWN(ROUNDUP(INDEX(Upgrades!$C$3:$C$13,MATCH(SUBSTITUTE(Q1314,""Sell_"",""""),Upgrades!$B$3:$B$13,0))*1.15^(COUNTIF(Q$4:Q1313,SUBSTITUTE(Q1314,""Sell_"",""""))-COUNTIF(Q$4"&amp;":Q1313,""Sell_""&amp;SUBSTITUTE(Q1314,""Sell_"",""""))))/2),ROUNDUP(INDEX(Upgrades!$C$3:$C$13,MATCH(Q1314,Upgrades!$B$3:$B$13,0))*1.15^(COUNTIF(Q$4:Q1313,Q1314)-COUNTIF(Q$4:Q1313,""Sell_""&amp;Q1314))))))"),"")</f>
        <v/>
      </c>
      <c r="V1314" s="10" t="str">
        <f t="shared" si="11"/>
        <v/>
      </c>
      <c r="W1314" s="68" t="str">
        <f t="shared" si="12"/>
        <v/>
      </c>
      <c r="X1314" s="59" t="str">
        <f t="shared" si="13"/>
        <v/>
      </c>
      <c r="Y1314" s="69" t="str">
        <f t="shared" si="14"/>
        <v/>
      </c>
      <c r="Z1314" s="11"/>
    </row>
    <row r="1315">
      <c r="A1315" s="8"/>
      <c r="B1315" s="56" t="str">
        <f t="shared" si="2"/>
        <v/>
      </c>
      <c r="C1315" s="105"/>
      <c r="D1315" s="10"/>
      <c r="E1315" s="59" t="str">
        <f t="array" ref="E1315">IF(COUNTA(C1315:C1673)=0,"",SUM((COUNTIF(C$4:C1315,Upgrades!$B$3:$B$13)-COUNTIF(C$4:C1315,"Sell_"&amp;Upgrades!$B$3:$B$13))*Upgrades!$D$3:$D$13))</f>
        <v/>
      </c>
      <c r="F1315" s="66" t="str">
        <f>IFERROR(__xludf.DUMMYFUNCTION("IF(COUNTA(C1315:C1673)=0,"""",IF(REGEXMATCH(INDEX(FILTER(C$4:C1315,C$4:C1315&lt;&gt;""""),ROWS(FILTER(C$4:C1315,C$4:C1315&lt;&gt;""""))),""^Sell_""),INDEX(FILTER(F$4:F1314,C$4:C1314&lt;&gt;""""),ROWS(FILTER(C$4:C1314,C$4:C1314&lt;&gt;""""))),$AC$5+E1315))"),"")</f>
        <v/>
      </c>
      <c r="G1315" s="10" t="str">
        <f>IFERROR(__xludf.DUMMYFUNCTION("IF(COUNTA(C1315:C1673)=0,"""",IF(C1315="""",0,IF(REGEXMATCH(C1315,""^Sell_""),-ROUNDDOWN(ROUNDUP(INDEX(Upgrades!$C$3:$C$13,MATCH(SUBSTITUTE(C1315,""Sell_"",""""),Upgrades!$B$3:$B$13,0))*1.15^(COUNTIF(C$4:C1314,SUBSTITUTE(C1315,""Sell_"",""""))-COUNTIF(C$4"&amp;":C1314,""Sell_""&amp;SUBSTITUTE(C1315,""Sell_"",""""))))/2),ROUNDUP(INDEX(Upgrades!$C$3:$C$13,MATCH(C1315,Upgrades!$B$3:$B$13,0))*1.15^(COUNTIF(C$4:C1314,C1315)-COUNTIF(C$4:C1314,""Sell_""&amp;C1315))))))"),"")</f>
        <v/>
      </c>
      <c r="H1315" s="10" t="str">
        <f t="shared" si="3"/>
        <v/>
      </c>
      <c r="I1315" s="68" t="str">
        <f t="shared" si="4"/>
        <v/>
      </c>
      <c r="J1315" s="59" t="str">
        <f t="shared" si="5"/>
        <v/>
      </c>
      <c r="K1315" s="69" t="str">
        <f t="shared" si="6"/>
        <v/>
      </c>
      <c r="L1315" s="60" t="str">
        <f t="shared" si="7"/>
        <v/>
      </c>
      <c r="M1315" s="61" t="str">
        <f>IFERROR(__xludf.DUMMYFUNCTION("IFS(AND(COUNTA(C1315:C1673)=0,COUNTA(Q1315:Q1673)=0),"""",OR(AND(K1315&gt;=1000000000,OR(Y1315&gt;=1000000000,COUNTA(Q1315:Q1673)=0)),OR(Y1315&gt;=1000000000,AND(COUNTA(C1315:C1673)=0,P$3=TRUE))),
ROUNDDOWN((AB$1-AC$1)*MAX(INDEX(T$4:T1673,MATCH(LARGE(FILTER(Y$4:Y1"&amp;"673,Y$4:Y1673&lt;1000000000),1),Y$4:Y1673)),INDEX(F$4:F1673,MATCH(LARGE(FILTER(K$4:K1673,K$4:K1673&lt;1000000000),1),K$4:K1673)))),AND(K1315&lt;1000000000,COUNTA(C1315:C1673)&gt;0,P$3=FALSE),
ROUNDDOWN(INDEX(Y$4:Y1673,MATCH(LARGE(FILTER(W$4:W1673,W$4:W1673&lt;=I1315),1)"&amp;",W$4:W1673))+(I1315-LARGE(FILTER(W$4:W1673,W$4:W1673&lt;=I1315),1))*INDEX(T$4:T1673,MATCH(LARGE(FILTER(W$4:W1673,W$4:W1673&lt;=I1315),1),W$4:W1673))-K1315),1,
ROUNDDOWN(Y1315-INDEX(K$4:K1673,MATCH(LARGE(FILTER(I$4:I1673,I$4:I1673&lt;=W1315),1),I$4:I1673))-(W1315-L"&amp;"ARGE(FILTER(I$4:I1673,I$4:I1673&lt;=W1315),1))*INDEX(F$4:F1673,MATCH(LARGE(FILTER(I$4:I1673,I$4:I1673&lt;=W1315),1),I$4:I1673))))"),"")</f>
        <v/>
      </c>
      <c r="N1315" s="60" t="str">
        <f t="shared" si="8"/>
        <v/>
      </c>
      <c r="O1315" s="61" t="str">
        <f t="shared" si="9"/>
        <v/>
      </c>
      <c r="P1315" s="56" t="str">
        <f t="shared" si="10"/>
        <v/>
      </c>
      <c r="Q1315" s="67"/>
      <c r="R1315" s="10"/>
      <c r="S1315" s="59" t="str">
        <f t="array" ref="S1315">IF(COUNTA(Q1315:Q1673)=0,"",SUM((COUNTIF(Q$4:Q1315,Upgrades!$B$3:$B$13)-COUNTIF(Q$4:Q1315,"Sell_"&amp;Upgrades!$B$3:$B$13))*Upgrades!$D$3:$D$13))</f>
        <v/>
      </c>
      <c r="T1315" s="66" t="str">
        <f>IFERROR(__xludf.DUMMYFUNCTION("IF(COUNTA(Q1315:Q1673)=0,"""",IF(REGEXMATCH(INDEX(FILTER(Q$4:Q1315,Q$4:Q1315&lt;&gt;""""),ROWS(FILTER(Q$4:Q1315,Q$4:Q1315&lt;&gt;""""))),""^Sell_""),INDEX(FILTER(T$4:T1314,Q$4:Q1314&lt;&gt;""""),ROWS(FILTER(Q$4:Q1314,Q$4:Q1314&lt;&gt;""""))),$AD$5+S1315))"),"")</f>
        <v/>
      </c>
      <c r="U1315" s="10" t="str">
        <f>IFERROR(__xludf.DUMMYFUNCTION("IF(COUNTA(Q1315:Q1673)=0,"""",IF(Q1315="""",0,IF(REGEXMATCH(Q1315,""^Sell_""),-ROUNDDOWN(ROUNDUP(INDEX(Upgrades!$C$3:$C$13,MATCH(SUBSTITUTE(Q1315,""Sell_"",""""),Upgrades!$B$3:$B$13,0))*1.15^(COUNTIF(Q$4:Q1314,SUBSTITUTE(Q1315,""Sell_"",""""))-COUNTIF(Q$4"&amp;":Q1314,""Sell_""&amp;SUBSTITUTE(Q1315,""Sell_"",""""))))/2),ROUNDUP(INDEX(Upgrades!$C$3:$C$13,MATCH(Q1315,Upgrades!$B$3:$B$13,0))*1.15^(COUNTIF(Q$4:Q1314,Q1315)-COUNTIF(Q$4:Q1314,""Sell_""&amp;Q1315))))))"),"")</f>
        <v/>
      </c>
      <c r="V1315" s="10" t="str">
        <f t="shared" si="11"/>
        <v/>
      </c>
      <c r="W1315" s="68" t="str">
        <f t="shared" si="12"/>
        <v/>
      </c>
      <c r="X1315" s="59" t="str">
        <f t="shared" si="13"/>
        <v/>
      </c>
      <c r="Y1315" s="69" t="str">
        <f t="shared" si="14"/>
        <v/>
      </c>
      <c r="Z1315" s="11"/>
    </row>
    <row r="1316">
      <c r="A1316" s="8"/>
      <c r="B1316" s="56" t="str">
        <f t="shared" si="2"/>
        <v/>
      </c>
      <c r="C1316" s="105"/>
      <c r="D1316" s="10"/>
      <c r="E1316" s="59" t="str">
        <f t="array" ref="E1316">IF(COUNTA(C1316:C1673)=0,"",SUM((COUNTIF(C$4:C1316,Upgrades!$B$3:$B$13)-COUNTIF(C$4:C1316,"Sell_"&amp;Upgrades!$B$3:$B$13))*Upgrades!$D$3:$D$13))</f>
        <v/>
      </c>
      <c r="F1316" s="66" t="str">
        <f>IFERROR(__xludf.DUMMYFUNCTION("IF(COUNTA(C1316:C1673)=0,"""",IF(REGEXMATCH(INDEX(FILTER(C$4:C1316,C$4:C1316&lt;&gt;""""),ROWS(FILTER(C$4:C1316,C$4:C1316&lt;&gt;""""))),""^Sell_""),INDEX(FILTER(F$4:F1315,C$4:C1315&lt;&gt;""""),ROWS(FILTER(C$4:C1315,C$4:C1315&lt;&gt;""""))),$AC$5+E1316))"),"")</f>
        <v/>
      </c>
      <c r="G1316" s="10" t="str">
        <f>IFERROR(__xludf.DUMMYFUNCTION("IF(COUNTA(C1316:C1673)=0,"""",IF(C1316="""",0,IF(REGEXMATCH(C1316,""^Sell_""),-ROUNDDOWN(ROUNDUP(INDEX(Upgrades!$C$3:$C$13,MATCH(SUBSTITUTE(C1316,""Sell_"",""""),Upgrades!$B$3:$B$13,0))*1.15^(COUNTIF(C$4:C1315,SUBSTITUTE(C1316,""Sell_"",""""))-COUNTIF(C$4"&amp;":C1315,""Sell_""&amp;SUBSTITUTE(C1316,""Sell_"",""""))))/2),ROUNDUP(INDEX(Upgrades!$C$3:$C$13,MATCH(C1316,Upgrades!$B$3:$B$13,0))*1.15^(COUNTIF(C$4:C1315,C1316)-COUNTIF(C$4:C1315,""Sell_""&amp;C1316))))))"),"")</f>
        <v/>
      </c>
      <c r="H1316" s="10" t="str">
        <f t="shared" si="3"/>
        <v/>
      </c>
      <c r="I1316" s="68" t="str">
        <f t="shared" si="4"/>
        <v/>
      </c>
      <c r="J1316" s="59" t="str">
        <f t="shared" si="5"/>
        <v/>
      </c>
      <c r="K1316" s="69" t="str">
        <f t="shared" si="6"/>
        <v/>
      </c>
      <c r="L1316" s="60" t="str">
        <f t="shared" si="7"/>
        <v/>
      </c>
      <c r="M1316" s="61" t="str">
        <f>IFERROR(__xludf.DUMMYFUNCTION("IFS(AND(COUNTA(C1316:C1673)=0,COUNTA(Q1316:Q1673)=0),"""",OR(AND(K1316&gt;=1000000000,OR(Y1316&gt;=1000000000,COUNTA(Q1316:Q1673)=0)),OR(Y1316&gt;=1000000000,AND(COUNTA(C1316:C1673)=0,P$3=TRUE))),
ROUNDDOWN((AB$1-AC$1)*MAX(INDEX(T$4:T1673,MATCH(LARGE(FILTER(Y$4:Y1"&amp;"673,Y$4:Y1673&lt;1000000000),1),Y$4:Y1673)),INDEX(F$4:F1673,MATCH(LARGE(FILTER(K$4:K1673,K$4:K1673&lt;1000000000),1),K$4:K1673)))),AND(K1316&lt;1000000000,COUNTA(C1316:C1673)&gt;0,P$3=FALSE),
ROUNDDOWN(INDEX(Y$4:Y1673,MATCH(LARGE(FILTER(W$4:W1673,W$4:W1673&lt;=I1316),1)"&amp;",W$4:W1673))+(I1316-LARGE(FILTER(W$4:W1673,W$4:W1673&lt;=I1316),1))*INDEX(T$4:T1673,MATCH(LARGE(FILTER(W$4:W1673,W$4:W1673&lt;=I1316),1),W$4:W1673))-K1316),1,
ROUNDDOWN(Y1316-INDEX(K$4:K1673,MATCH(LARGE(FILTER(I$4:I1673,I$4:I1673&lt;=W1316),1),I$4:I1673))-(W1316-L"&amp;"ARGE(FILTER(I$4:I1673,I$4:I1673&lt;=W1316),1))*INDEX(F$4:F1673,MATCH(LARGE(FILTER(I$4:I1673,I$4:I1673&lt;=W1316),1),I$4:I1673))))"),"")</f>
        <v/>
      </c>
      <c r="N1316" s="60" t="str">
        <f t="shared" si="8"/>
        <v/>
      </c>
      <c r="O1316" s="61" t="str">
        <f t="shared" si="9"/>
        <v/>
      </c>
      <c r="P1316" s="56" t="str">
        <f t="shared" si="10"/>
        <v/>
      </c>
      <c r="Q1316" s="67"/>
      <c r="R1316" s="10"/>
      <c r="S1316" s="59" t="str">
        <f t="array" ref="S1316">IF(COUNTA(Q1316:Q1673)=0,"",SUM((COUNTIF(Q$4:Q1316,Upgrades!$B$3:$B$13)-COUNTIF(Q$4:Q1316,"Sell_"&amp;Upgrades!$B$3:$B$13))*Upgrades!$D$3:$D$13))</f>
        <v/>
      </c>
      <c r="T1316" s="66" t="str">
        <f>IFERROR(__xludf.DUMMYFUNCTION("IF(COUNTA(Q1316:Q1673)=0,"""",IF(REGEXMATCH(INDEX(FILTER(Q$4:Q1316,Q$4:Q1316&lt;&gt;""""),ROWS(FILTER(Q$4:Q1316,Q$4:Q1316&lt;&gt;""""))),""^Sell_""),INDEX(FILTER(T$4:T1315,Q$4:Q1315&lt;&gt;""""),ROWS(FILTER(Q$4:Q1315,Q$4:Q1315&lt;&gt;""""))),$AD$5+S1316))"),"")</f>
        <v/>
      </c>
      <c r="U1316" s="10" t="str">
        <f>IFERROR(__xludf.DUMMYFUNCTION("IF(COUNTA(Q1316:Q1673)=0,"""",IF(Q1316="""",0,IF(REGEXMATCH(Q1316,""^Sell_""),-ROUNDDOWN(ROUNDUP(INDEX(Upgrades!$C$3:$C$13,MATCH(SUBSTITUTE(Q1316,""Sell_"",""""),Upgrades!$B$3:$B$13,0))*1.15^(COUNTIF(Q$4:Q1315,SUBSTITUTE(Q1316,""Sell_"",""""))-COUNTIF(Q$4"&amp;":Q1315,""Sell_""&amp;SUBSTITUTE(Q1316,""Sell_"",""""))))/2),ROUNDUP(INDEX(Upgrades!$C$3:$C$13,MATCH(Q1316,Upgrades!$B$3:$B$13,0))*1.15^(COUNTIF(Q$4:Q1315,Q1316)-COUNTIF(Q$4:Q1315,""Sell_""&amp;Q1316))))))"),"")</f>
        <v/>
      </c>
      <c r="V1316" s="10" t="str">
        <f t="shared" si="11"/>
        <v/>
      </c>
      <c r="W1316" s="68" t="str">
        <f t="shared" si="12"/>
        <v/>
      </c>
      <c r="X1316" s="59" t="str">
        <f t="shared" si="13"/>
        <v/>
      </c>
      <c r="Y1316" s="69" t="str">
        <f t="shared" si="14"/>
        <v/>
      </c>
      <c r="Z1316" s="11"/>
    </row>
    <row r="1317">
      <c r="A1317" s="8"/>
      <c r="B1317" s="56" t="str">
        <f t="shared" si="2"/>
        <v/>
      </c>
      <c r="C1317" s="105"/>
      <c r="D1317" s="10"/>
      <c r="E1317" s="59" t="str">
        <f t="array" ref="E1317">IF(COUNTA(C1317:C1673)=0,"",SUM((COUNTIF(C$4:C1317,Upgrades!$B$3:$B$13)-COUNTIF(C$4:C1317,"Sell_"&amp;Upgrades!$B$3:$B$13))*Upgrades!$D$3:$D$13))</f>
        <v/>
      </c>
      <c r="F1317" s="66" t="str">
        <f>IFERROR(__xludf.DUMMYFUNCTION("IF(COUNTA(C1317:C1673)=0,"""",IF(REGEXMATCH(INDEX(FILTER(C$4:C1317,C$4:C1317&lt;&gt;""""),ROWS(FILTER(C$4:C1317,C$4:C1317&lt;&gt;""""))),""^Sell_""),INDEX(FILTER(F$4:F1316,C$4:C1316&lt;&gt;""""),ROWS(FILTER(C$4:C1316,C$4:C1316&lt;&gt;""""))),$AC$5+E1317))"),"")</f>
        <v/>
      </c>
      <c r="G1317" s="10" t="str">
        <f>IFERROR(__xludf.DUMMYFUNCTION("IF(COUNTA(C1317:C1673)=0,"""",IF(C1317="""",0,IF(REGEXMATCH(C1317,""^Sell_""),-ROUNDDOWN(ROUNDUP(INDEX(Upgrades!$C$3:$C$13,MATCH(SUBSTITUTE(C1317,""Sell_"",""""),Upgrades!$B$3:$B$13,0))*1.15^(COUNTIF(C$4:C1316,SUBSTITUTE(C1317,""Sell_"",""""))-COUNTIF(C$4"&amp;":C1316,""Sell_""&amp;SUBSTITUTE(C1317,""Sell_"",""""))))/2),ROUNDUP(INDEX(Upgrades!$C$3:$C$13,MATCH(C1317,Upgrades!$B$3:$B$13,0))*1.15^(COUNTIF(C$4:C1316,C1317)-COUNTIF(C$4:C1316,""Sell_""&amp;C1317))))))"),"")</f>
        <v/>
      </c>
      <c r="H1317" s="10" t="str">
        <f t="shared" si="3"/>
        <v/>
      </c>
      <c r="I1317" s="68" t="str">
        <f t="shared" si="4"/>
        <v/>
      </c>
      <c r="J1317" s="59" t="str">
        <f t="shared" si="5"/>
        <v/>
      </c>
      <c r="K1317" s="69" t="str">
        <f t="shared" si="6"/>
        <v/>
      </c>
      <c r="L1317" s="60" t="str">
        <f t="shared" si="7"/>
        <v/>
      </c>
      <c r="M1317" s="61" t="str">
        <f>IFERROR(__xludf.DUMMYFUNCTION("IFS(AND(COUNTA(C1317:C1673)=0,COUNTA(Q1317:Q1673)=0),"""",OR(AND(K1317&gt;=1000000000,OR(Y1317&gt;=1000000000,COUNTA(Q1317:Q1673)=0)),OR(Y1317&gt;=1000000000,AND(COUNTA(C1317:C1673)=0,P$3=TRUE))),
ROUNDDOWN((AB$1-AC$1)*MAX(INDEX(T$4:T1673,MATCH(LARGE(FILTER(Y$4:Y1"&amp;"673,Y$4:Y1673&lt;1000000000),1),Y$4:Y1673)),INDEX(F$4:F1673,MATCH(LARGE(FILTER(K$4:K1673,K$4:K1673&lt;1000000000),1),K$4:K1673)))),AND(K1317&lt;1000000000,COUNTA(C1317:C1673)&gt;0,P$3=FALSE),
ROUNDDOWN(INDEX(Y$4:Y1673,MATCH(LARGE(FILTER(W$4:W1673,W$4:W1673&lt;=I1317),1)"&amp;",W$4:W1673))+(I1317-LARGE(FILTER(W$4:W1673,W$4:W1673&lt;=I1317),1))*INDEX(T$4:T1673,MATCH(LARGE(FILTER(W$4:W1673,W$4:W1673&lt;=I1317),1),W$4:W1673))-K1317),1,
ROUNDDOWN(Y1317-INDEX(K$4:K1673,MATCH(LARGE(FILTER(I$4:I1673,I$4:I1673&lt;=W1317),1),I$4:I1673))-(W1317-L"&amp;"ARGE(FILTER(I$4:I1673,I$4:I1673&lt;=W1317),1))*INDEX(F$4:F1673,MATCH(LARGE(FILTER(I$4:I1673,I$4:I1673&lt;=W1317),1),I$4:I1673))))"),"")</f>
        <v/>
      </c>
      <c r="N1317" s="60" t="str">
        <f t="shared" si="8"/>
        <v/>
      </c>
      <c r="O1317" s="61" t="str">
        <f t="shared" si="9"/>
        <v/>
      </c>
      <c r="P1317" s="56" t="str">
        <f t="shared" si="10"/>
        <v/>
      </c>
      <c r="Q1317" s="67"/>
      <c r="R1317" s="10"/>
      <c r="S1317" s="59" t="str">
        <f t="array" ref="S1317">IF(COUNTA(Q1317:Q1673)=0,"",SUM((COUNTIF(Q$4:Q1317,Upgrades!$B$3:$B$13)-COUNTIF(Q$4:Q1317,"Sell_"&amp;Upgrades!$B$3:$B$13))*Upgrades!$D$3:$D$13))</f>
        <v/>
      </c>
      <c r="T1317" s="66" t="str">
        <f>IFERROR(__xludf.DUMMYFUNCTION("IF(COUNTA(Q1317:Q1673)=0,"""",IF(REGEXMATCH(INDEX(FILTER(Q$4:Q1317,Q$4:Q1317&lt;&gt;""""),ROWS(FILTER(Q$4:Q1317,Q$4:Q1317&lt;&gt;""""))),""^Sell_""),INDEX(FILTER(T$4:T1316,Q$4:Q1316&lt;&gt;""""),ROWS(FILTER(Q$4:Q1316,Q$4:Q1316&lt;&gt;""""))),$AD$5+S1317))"),"")</f>
        <v/>
      </c>
      <c r="U1317" s="10" t="str">
        <f>IFERROR(__xludf.DUMMYFUNCTION("IF(COUNTA(Q1317:Q1673)=0,"""",IF(Q1317="""",0,IF(REGEXMATCH(Q1317,""^Sell_""),-ROUNDDOWN(ROUNDUP(INDEX(Upgrades!$C$3:$C$13,MATCH(SUBSTITUTE(Q1317,""Sell_"",""""),Upgrades!$B$3:$B$13,0))*1.15^(COUNTIF(Q$4:Q1316,SUBSTITUTE(Q1317,""Sell_"",""""))-COUNTIF(Q$4"&amp;":Q1316,""Sell_""&amp;SUBSTITUTE(Q1317,""Sell_"",""""))))/2),ROUNDUP(INDEX(Upgrades!$C$3:$C$13,MATCH(Q1317,Upgrades!$B$3:$B$13,0))*1.15^(COUNTIF(Q$4:Q1316,Q1317)-COUNTIF(Q$4:Q1316,""Sell_""&amp;Q1317))))))"),"")</f>
        <v/>
      </c>
      <c r="V1317" s="10" t="str">
        <f t="shared" si="11"/>
        <v/>
      </c>
      <c r="W1317" s="68" t="str">
        <f t="shared" si="12"/>
        <v/>
      </c>
      <c r="X1317" s="59" t="str">
        <f t="shared" si="13"/>
        <v/>
      </c>
      <c r="Y1317" s="69" t="str">
        <f t="shared" si="14"/>
        <v/>
      </c>
      <c r="Z1317" s="11"/>
    </row>
    <row r="1318">
      <c r="A1318" s="8"/>
      <c r="B1318" s="56" t="str">
        <f t="shared" si="2"/>
        <v/>
      </c>
      <c r="C1318" s="105"/>
      <c r="D1318" s="10"/>
      <c r="E1318" s="59" t="str">
        <f t="array" ref="E1318">IF(COUNTA(C1318:C1673)=0,"",SUM((COUNTIF(C$4:C1318,Upgrades!$B$3:$B$13)-COUNTIF(C$4:C1318,"Sell_"&amp;Upgrades!$B$3:$B$13))*Upgrades!$D$3:$D$13))</f>
        <v/>
      </c>
      <c r="F1318" s="66" t="str">
        <f>IFERROR(__xludf.DUMMYFUNCTION("IF(COUNTA(C1318:C1673)=0,"""",IF(REGEXMATCH(INDEX(FILTER(C$4:C1318,C$4:C1318&lt;&gt;""""),ROWS(FILTER(C$4:C1318,C$4:C1318&lt;&gt;""""))),""^Sell_""),INDEX(FILTER(F$4:F1317,C$4:C1317&lt;&gt;""""),ROWS(FILTER(C$4:C1317,C$4:C1317&lt;&gt;""""))),$AC$5+E1318))"),"")</f>
        <v/>
      </c>
      <c r="G1318" s="10" t="str">
        <f>IFERROR(__xludf.DUMMYFUNCTION("IF(COUNTA(C1318:C1673)=0,"""",IF(C1318="""",0,IF(REGEXMATCH(C1318,""^Sell_""),-ROUNDDOWN(ROUNDUP(INDEX(Upgrades!$C$3:$C$13,MATCH(SUBSTITUTE(C1318,""Sell_"",""""),Upgrades!$B$3:$B$13,0))*1.15^(COUNTIF(C$4:C1317,SUBSTITUTE(C1318,""Sell_"",""""))-COUNTIF(C$4"&amp;":C1317,""Sell_""&amp;SUBSTITUTE(C1318,""Sell_"",""""))))/2),ROUNDUP(INDEX(Upgrades!$C$3:$C$13,MATCH(C1318,Upgrades!$B$3:$B$13,0))*1.15^(COUNTIF(C$4:C1317,C1318)-COUNTIF(C$4:C1317,""Sell_""&amp;C1318))))))"),"")</f>
        <v/>
      </c>
      <c r="H1318" s="10" t="str">
        <f t="shared" si="3"/>
        <v/>
      </c>
      <c r="I1318" s="68" t="str">
        <f t="shared" si="4"/>
        <v/>
      </c>
      <c r="J1318" s="59" t="str">
        <f t="shared" si="5"/>
        <v/>
      </c>
      <c r="K1318" s="69" t="str">
        <f t="shared" si="6"/>
        <v/>
      </c>
      <c r="L1318" s="60" t="str">
        <f t="shared" si="7"/>
        <v/>
      </c>
      <c r="M1318" s="61" t="str">
        <f>IFERROR(__xludf.DUMMYFUNCTION("IFS(AND(COUNTA(C1318:C1673)=0,COUNTA(Q1318:Q1673)=0),"""",OR(AND(K1318&gt;=1000000000,OR(Y1318&gt;=1000000000,COUNTA(Q1318:Q1673)=0)),OR(Y1318&gt;=1000000000,AND(COUNTA(C1318:C1673)=0,P$3=TRUE))),
ROUNDDOWN((AB$1-AC$1)*MAX(INDEX(T$4:T1673,MATCH(LARGE(FILTER(Y$4:Y1"&amp;"673,Y$4:Y1673&lt;1000000000),1),Y$4:Y1673)),INDEX(F$4:F1673,MATCH(LARGE(FILTER(K$4:K1673,K$4:K1673&lt;1000000000),1),K$4:K1673)))),AND(K1318&lt;1000000000,COUNTA(C1318:C1673)&gt;0,P$3=FALSE),
ROUNDDOWN(INDEX(Y$4:Y1673,MATCH(LARGE(FILTER(W$4:W1673,W$4:W1673&lt;=I1318),1)"&amp;",W$4:W1673))+(I1318-LARGE(FILTER(W$4:W1673,W$4:W1673&lt;=I1318),1))*INDEX(T$4:T1673,MATCH(LARGE(FILTER(W$4:W1673,W$4:W1673&lt;=I1318),1),W$4:W1673))-K1318),1,
ROUNDDOWN(Y1318-INDEX(K$4:K1673,MATCH(LARGE(FILTER(I$4:I1673,I$4:I1673&lt;=W1318),1),I$4:I1673))-(W1318-L"&amp;"ARGE(FILTER(I$4:I1673,I$4:I1673&lt;=W1318),1))*INDEX(F$4:F1673,MATCH(LARGE(FILTER(I$4:I1673,I$4:I1673&lt;=W1318),1),I$4:I1673))))"),"")</f>
        <v/>
      </c>
      <c r="N1318" s="60" t="str">
        <f t="shared" si="8"/>
        <v/>
      </c>
      <c r="O1318" s="61" t="str">
        <f t="shared" si="9"/>
        <v/>
      </c>
      <c r="P1318" s="56" t="str">
        <f t="shared" si="10"/>
        <v/>
      </c>
      <c r="Q1318" s="67"/>
      <c r="R1318" s="10"/>
      <c r="S1318" s="59" t="str">
        <f t="array" ref="S1318">IF(COUNTA(Q1318:Q1673)=0,"",SUM((COUNTIF(Q$4:Q1318,Upgrades!$B$3:$B$13)-COUNTIF(Q$4:Q1318,"Sell_"&amp;Upgrades!$B$3:$B$13))*Upgrades!$D$3:$D$13))</f>
        <v/>
      </c>
      <c r="T1318" s="66" t="str">
        <f>IFERROR(__xludf.DUMMYFUNCTION("IF(COUNTA(Q1318:Q1673)=0,"""",IF(REGEXMATCH(INDEX(FILTER(Q$4:Q1318,Q$4:Q1318&lt;&gt;""""),ROWS(FILTER(Q$4:Q1318,Q$4:Q1318&lt;&gt;""""))),""^Sell_""),INDEX(FILTER(T$4:T1317,Q$4:Q1317&lt;&gt;""""),ROWS(FILTER(Q$4:Q1317,Q$4:Q1317&lt;&gt;""""))),$AD$5+S1318))"),"")</f>
        <v/>
      </c>
      <c r="U1318" s="10" t="str">
        <f>IFERROR(__xludf.DUMMYFUNCTION("IF(COUNTA(Q1318:Q1673)=0,"""",IF(Q1318="""",0,IF(REGEXMATCH(Q1318,""^Sell_""),-ROUNDDOWN(ROUNDUP(INDEX(Upgrades!$C$3:$C$13,MATCH(SUBSTITUTE(Q1318,""Sell_"",""""),Upgrades!$B$3:$B$13,0))*1.15^(COUNTIF(Q$4:Q1317,SUBSTITUTE(Q1318,""Sell_"",""""))-COUNTIF(Q$4"&amp;":Q1317,""Sell_""&amp;SUBSTITUTE(Q1318,""Sell_"",""""))))/2),ROUNDUP(INDEX(Upgrades!$C$3:$C$13,MATCH(Q1318,Upgrades!$B$3:$B$13,0))*1.15^(COUNTIF(Q$4:Q1317,Q1318)-COUNTIF(Q$4:Q1317,""Sell_""&amp;Q1318))))))"),"")</f>
        <v/>
      </c>
      <c r="V1318" s="10" t="str">
        <f t="shared" si="11"/>
        <v/>
      </c>
      <c r="W1318" s="68" t="str">
        <f t="shared" si="12"/>
        <v/>
      </c>
      <c r="X1318" s="59" t="str">
        <f t="shared" si="13"/>
        <v/>
      </c>
      <c r="Y1318" s="69" t="str">
        <f t="shared" si="14"/>
        <v/>
      </c>
      <c r="Z1318" s="11"/>
    </row>
    <row r="1319">
      <c r="A1319" s="8"/>
      <c r="B1319" s="56" t="str">
        <f t="shared" si="2"/>
        <v/>
      </c>
      <c r="C1319" s="105"/>
      <c r="D1319" s="10"/>
      <c r="E1319" s="59" t="str">
        <f t="array" ref="E1319">IF(COUNTA(C1319:C1673)=0,"",SUM((COUNTIF(C$4:C1319,Upgrades!$B$3:$B$13)-COUNTIF(C$4:C1319,"Sell_"&amp;Upgrades!$B$3:$B$13))*Upgrades!$D$3:$D$13))</f>
        <v/>
      </c>
      <c r="F1319" s="66" t="str">
        <f>IFERROR(__xludf.DUMMYFUNCTION("IF(COUNTA(C1319:C1673)=0,"""",IF(REGEXMATCH(INDEX(FILTER(C$4:C1319,C$4:C1319&lt;&gt;""""),ROWS(FILTER(C$4:C1319,C$4:C1319&lt;&gt;""""))),""^Sell_""),INDEX(FILTER(F$4:F1318,C$4:C1318&lt;&gt;""""),ROWS(FILTER(C$4:C1318,C$4:C1318&lt;&gt;""""))),$AC$5+E1319))"),"")</f>
        <v/>
      </c>
      <c r="G1319" s="10" t="str">
        <f>IFERROR(__xludf.DUMMYFUNCTION("IF(COUNTA(C1319:C1673)=0,"""",IF(C1319="""",0,IF(REGEXMATCH(C1319,""^Sell_""),-ROUNDDOWN(ROUNDUP(INDEX(Upgrades!$C$3:$C$13,MATCH(SUBSTITUTE(C1319,""Sell_"",""""),Upgrades!$B$3:$B$13,0))*1.15^(COUNTIF(C$4:C1318,SUBSTITUTE(C1319,""Sell_"",""""))-COUNTIF(C$4"&amp;":C1318,""Sell_""&amp;SUBSTITUTE(C1319,""Sell_"",""""))))/2),ROUNDUP(INDEX(Upgrades!$C$3:$C$13,MATCH(C1319,Upgrades!$B$3:$B$13,0))*1.15^(COUNTIF(C$4:C1318,C1319)-COUNTIF(C$4:C1318,""Sell_""&amp;C1319))))))"),"")</f>
        <v/>
      </c>
      <c r="H1319" s="10" t="str">
        <f t="shared" si="3"/>
        <v/>
      </c>
      <c r="I1319" s="68" t="str">
        <f t="shared" si="4"/>
        <v/>
      </c>
      <c r="J1319" s="59" t="str">
        <f t="shared" si="5"/>
        <v/>
      </c>
      <c r="K1319" s="69" t="str">
        <f t="shared" si="6"/>
        <v/>
      </c>
      <c r="L1319" s="60" t="str">
        <f t="shared" si="7"/>
        <v/>
      </c>
      <c r="M1319" s="61" t="str">
        <f>IFERROR(__xludf.DUMMYFUNCTION("IFS(AND(COUNTA(C1319:C1673)=0,COUNTA(Q1319:Q1673)=0),"""",OR(AND(K1319&gt;=1000000000,OR(Y1319&gt;=1000000000,COUNTA(Q1319:Q1673)=0)),OR(Y1319&gt;=1000000000,AND(COUNTA(C1319:C1673)=0,P$3=TRUE))),
ROUNDDOWN((AB$1-AC$1)*MAX(INDEX(T$4:T1673,MATCH(LARGE(FILTER(Y$4:Y1"&amp;"673,Y$4:Y1673&lt;1000000000),1),Y$4:Y1673)),INDEX(F$4:F1673,MATCH(LARGE(FILTER(K$4:K1673,K$4:K1673&lt;1000000000),1),K$4:K1673)))),AND(K1319&lt;1000000000,COUNTA(C1319:C1673)&gt;0,P$3=FALSE),
ROUNDDOWN(INDEX(Y$4:Y1673,MATCH(LARGE(FILTER(W$4:W1673,W$4:W1673&lt;=I1319),1)"&amp;",W$4:W1673))+(I1319-LARGE(FILTER(W$4:W1673,W$4:W1673&lt;=I1319),1))*INDEX(T$4:T1673,MATCH(LARGE(FILTER(W$4:W1673,W$4:W1673&lt;=I1319),1),W$4:W1673))-K1319),1,
ROUNDDOWN(Y1319-INDEX(K$4:K1673,MATCH(LARGE(FILTER(I$4:I1673,I$4:I1673&lt;=W1319),1),I$4:I1673))-(W1319-L"&amp;"ARGE(FILTER(I$4:I1673,I$4:I1673&lt;=W1319),1))*INDEX(F$4:F1673,MATCH(LARGE(FILTER(I$4:I1673,I$4:I1673&lt;=W1319),1),I$4:I1673))))"),"")</f>
        <v/>
      </c>
      <c r="N1319" s="60" t="str">
        <f t="shared" si="8"/>
        <v/>
      </c>
      <c r="O1319" s="61" t="str">
        <f t="shared" si="9"/>
        <v/>
      </c>
      <c r="P1319" s="56" t="str">
        <f t="shared" si="10"/>
        <v/>
      </c>
      <c r="Q1319" s="67"/>
      <c r="R1319" s="10"/>
      <c r="S1319" s="59" t="str">
        <f t="array" ref="S1319">IF(COUNTA(Q1319:Q1673)=0,"",SUM((COUNTIF(Q$4:Q1319,Upgrades!$B$3:$B$13)-COUNTIF(Q$4:Q1319,"Sell_"&amp;Upgrades!$B$3:$B$13))*Upgrades!$D$3:$D$13))</f>
        <v/>
      </c>
      <c r="T1319" s="66" t="str">
        <f>IFERROR(__xludf.DUMMYFUNCTION("IF(COUNTA(Q1319:Q1673)=0,"""",IF(REGEXMATCH(INDEX(FILTER(Q$4:Q1319,Q$4:Q1319&lt;&gt;""""),ROWS(FILTER(Q$4:Q1319,Q$4:Q1319&lt;&gt;""""))),""^Sell_""),INDEX(FILTER(T$4:T1318,Q$4:Q1318&lt;&gt;""""),ROWS(FILTER(Q$4:Q1318,Q$4:Q1318&lt;&gt;""""))),$AD$5+S1319))"),"")</f>
        <v/>
      </c>
      <c r="U1319" s="10" t="str">
        <f>IFERROR(__xludf.DUMMYFUNCTION("IF(COUNTA(Q1319:Q1673)=0,"""",IF(Q1319="""",0,IF(REGEXMATCH(Q1319,""^Sell_""),-ROUNDDOWN(ROUNDUP(INDEX(Upgrades!$C$3:$C$13,MATCH(SUBSTITUTE(Q1319,""Sell_"",""""),Upgrades!$B$3:$B$13,0))*1.15^(COUNTIF(Q$4:Q1318,SUBSTITUTE(Q1319,""Sell_"",""""))-COUNTIF(Q$4"&amp;":Q1318,""Sell_""&amp;SUBSTITUTE(Q1319,""Sell_"",""""))))/2),ROUNDUP(INDEX(Upgrades!$C$3:$C$13,MATCH(Q1319,Upgrades!$B$3:$B$13,0))*1.15^(COUNTIF(Q$4:Q1318,Q1319)-COUNTIF(Q$4:Q1318,""Sell_""&amp;Q1319))))))"),"")</f>
        <v/>
      </c>
      <c r="V1319" s="10" t="str">
        <f t="shared" si="11"/>
        <v/>
      </c>
      <c r="W1319" s="68" t="str">
        <f t="shared" si="12"/>
        <v/>
      </c>
      <c r="X1319" s="59" t="str">
        <f t="shared" si="13"/>
        <v/>
      </c>
      <c r="Y1319" s="69" t="str">
        <f t="shared" si="14"/>
        <v/>
      </c>
      <c r="Z1319" s="11"/>
    </row>
    <row r="1320">
      <c r="A1320" s="8"/>
      <c r="B1320" s="56" t="str">
        <f t="shared" si="2"/>
        <v/>
      </c>
      <c r="C1320" s="105"/>
      <c r="D1320" s="10"/>
      <c r="E1320" s="59" t="str">
        <f t="array" ref="E1320">IF(COUNTA(C1320:C1673)=0,"",SUM((COUNTIF(C$4:C1320,Upgrades!$B$3:$B$13)-COUNTIF(C$4:C1320,"Sell_"&amp;Upgrades!$B$3:$B$13))*Upgrades!$D$3:$D$13))</f>
        <v/>
      </c>
      <c r="F1320" s="66" t="str">
        <f>IFERROR(__xludf.DUMMYFUNCTION("IF(COUNTA(C1320:C1673)=0,"""",IF(REGEXMATCH(INDEX(FILTER(C$4:C1320,C$4:C1320&lt;&gt;""""),ROWS(FILTER(C$4:C1320,C$4:C1320&lt;&gt;""""))),""^Sell_""),INDEX(FILTER(F$4:F1319,C$4:C1319&lt;&gt;""""),ROWS(FILTER(C$4:C1319,C$4:C1319&lt;&gt;""""))),$AC$5+E1320))"),"")</f>
        <v/>
      </c>
      <c r="G1320" s="10" t="str">
        <f>IFERROR(__xludf.DUMMYFUNCTION("IF(COUNTA(C1320:C1673)=0,"""",IF(C1320="""",0,IF(REGEXMATCH(C1320,""^Sell_""),-ROUNDDOWN(ROUNDUP(INDEX(Upgrades!$C$3:$C$13,MATCH(SUBSTITUTE(C1320,""Sell_"",""""),Upgrades!$B$3:$B$13,0))*1.15^(COUNTIF(C$4:C1319,SUBSTITUTE(C1320,""Sell_"",""""))-COUNTIF(C$4"&amp;":C1319,""Sell_""&amp;SUBSTITUTE(C1320,""Sell_"",""""))))/2),ROUNDUP(INDEX(Upgrades!$C$3:$C$13,MATCH(C1320,Upgrades!$B$3:$B$13,0))*1.15^(COUNTIF(C$4:C1319,C1320)-COUNTIF(C$4:C1319,""Sell_""&amp;C1320))))))"),"")</f>
        <v/>
      </c>
      <c r="H1320" s="10" t="str">
        <f t="shared" si="3"/>
        <v/>
      </c>
      <c r="I1320" s="68" t="str">
        <f t="shared" si="4"/>
        <v/>
      </c>
      <c r="J1320" s="59" t="str">
        <f t="shared" si="5"/>
        <v/>
      </c>
      <c r="K1320" s="69" t="str">
        <f t="shared" si="6"/>
        <v/>
      </c>
      <c r="L1320" s="60" t="str">
        <f t="shared" si="7"/>
        <v/>
      </c>
      <c r="M1320" s="61" t="str">
        <f>IFERROR(__xludf.DUMMYFUNCTION("IFS(AND(COUNTA(C1320:C1673)=0,COUNTA(Q1320:Q1673)=0),"""",OR(AND(K1320&gt;=1000000000,OR(Y1320&gt;=1000000000,COUNTA(Q1320:Q1673)=0)),OR(Y1320&gt;=1000000000,AND(COUNTA(C1320:C1673)=0,P$3=TRUE))),
ROUNDDOWN((AB$1-AC$1)*MAX(INDEX(T$4:T1673,MATCH(LARGE(FILTER(Y$4:Y1"&amp;"673,Y$4:Y1673&lt;1000000000),1),Y$4:Y1673)),INDEX(F$4:F1673,MATCH(LARGE(FILTER(K$4:K1673,K$4:K1673&lt;1000000000),1),K$4:K1673)))),AND(K1320&lt;1000000000,COUNTA(C1320:C1673)&gt;0,P$3=FALSE),
ROUNDDOWN(INDEX(Y$4:Y1673,MATCH(LARGE(FILTER(W$4:W1673,W$4:W1673&lt;=I1320),1)"&amp;",W$4:W1673))+(I1320-LARGE(FILTER(W$4:W1673,W$4:W1673&lt;=I1320),1))*INDEX(T$4:T1673,MATCH(LARGE(FILTER(W$4:W1673,W$4:W1673&lt;=I1320),1),W$4:W1673))-K1320),1,
ROUNDDOWN(Y1320-INDEX(K$4:K1673,MATCH(LARGE(FILTER(I$4:I1673,I$4:I1673&lt;=W1320),1),I$4:I1673))-(W1320-L"&amp;"ARGE(FILTER(I$4:I1673,I$4:I1673&lt;=W1320),1))*INDEX(F$4:F1673,MATCH(LARGE(FILTER(I$4:I1673,I$4:I1673&lt;=W1320),1),I$4:I1673))))"),"")</f>
        <v/>
      </c>
      <c r="N1320" s="60" t="str">
        <f t="shared" si="8"/>
        <v/>
      </c>
      <c r="O1320" s="61" t="str">
        <f t="shared" si="9"/>
        <v/>
      </c>
      <c r="P1320" s="56" t="str">
        <f t="shared" si="10"/>
        <v/>
      </c>
      <c r="Q1320" s="67"/>
      <c r="R1320" s="10"/>
      <c r="S1320" s="59" t="str">
        <f t="array" ref="S1320">IF(COUNTA(Q1320:Q1673)=0,"",SUM((COUNTIF(Q$4:Q1320,Upgrades!$B$3:$B$13)-COUNTIF(Q$4:Q1320,"Sell_"&amp;Upgrades!$B$3:$B$13))*Upgrades!$D$3:$D$13))</f>
        <v/>
      </c>
      <c r="T1320" s="66" t="str">
        <f>IFERROR(__xludf.DUMMYFUNCTION("IF(COUNTA(Q1320:Q1673)=0,"""",IF(REGEXMATCH(INDEX(FILTER(Q$4:Q1320,Q$4:Q1320&lt;&gt;""""),ROWS(FILTER(Q$4:Q1320,Q$4:Q1320&lt;&gt;""""))),""^Sell_""),INDEX(FILTER(T$4:T1319,Q$4:Q1319&lt;&gt;""""),ROWS(FILTER(Q$4:Q1319,Q$4:Q1319&lt;&gt;""""))),$AD$5+S1320))"),"")</f>
        <v/>
      </c>
      <c r="U1320" s="10" t="str">
        <f>IFERROR(__xludf.DUMMYFUNCTION("IF(COUNTA(Q1320:Q1673)=0,"""",IF(Q1320="""",0,IF(REGEXMATCH(Q1320,""^Sell_""),-ROUNDDOWN(ROUNDUP(INDEX(Upgrades!$C$3:$C$13,MATCH(SUBSTITUTE(Q1320,""Sell_"",""""),Upgrades!$B$3:$B$13,0))*1.15^(COUNTIF(Q$4:Q1319,SUBSTITUTE(Q1320,""Sell_"",""""))-COUNTIF(Q$4"&amp;":Q1319,""Sell_""&amp;SUBSTITUTE(Q1320,""Sell_"",""""))))/2),ROUNDUP(INDEX(Upgrades!$C$3:$C$13,MATCH(Q1320,Upgrades!$B$3:$B$13,0))*1.15^(COUNTIF(Q$4:Q1319,Q1320)-COUNTIF(Q$4:Q1319,""Sell_""&amp;Q1320))))))"),"")</f>
        <v/>
      </c>
      <c r="V1320" s="10" t="str">
        <f t="shared" si="11"/>
        <v/>
      </c>
      <c r="W1320" s="68" t="str">
        <f t="shared" si="12"/>
        <v/>
      </c>
      <c r="X1320" s="59" t="str">
        <f t="shared" si="13"/>
        <v/>
      </c>
      <c r="Y1320" s="69" t="str">
        <f t="shared" si="14"/>
        <v/>
      </c>
      <c r="Z1320" s="11"/>
    </row>
    <row r="1321">
      <c r="A1321" s="8"/>
      <c r="B1321" s="56" t="str">
        <f t="shared" si="2"/>
        <v/>
      </c>
      <c r="C1321" s="105"/>
      <c r="D1321" s="10"/>
      <c r="E1321" s="59" t="str">
        <f t="array" ref="E1321">IF(COUNTA(C1321:C1673)=0,"",SUM((COUNTIF(C$4:C1321,Upgrades!$B$3:$B$13)-COUNTIF(C$4:C1321,"Sell_"&amp;Upgrades!$B$3:$B$13))*Upgrades!$D$3:$D$13))</f>
        <v/>
      </c>
      <c r="F1321" s="66" t="str">
        <f>IFERROR(__xludf.DUMMYFUNCTION("IF(COUNTA(C1321:C1673)=0,"""",IF(REGEXMATCH(INDEX(FILTER(C$4:C1321,C$4:C1321&lt;&gt;""""),ROWS(FILTER(C$4:C1321,C$4:C1321&lt;&gt;""""))),""^Sell_""),INDEX(FILTER(F$4:F1320,C$4:C1320&lt;&gt;""""),ROWS(FILTER(C$4:C1320,C$4:C1320&lt;&gt;""""))),$AC$5+E1321))"),"")</f>
        <v/>
      </c>
      <c r="G1321" s="10" t="str">
        <f>IFERROR(__xludf.DUMMYFUNCTION("IF(COUNTA(C1321:C1673)=0,"""",IF(C1321="""",0,IF(REGEXMATCH(C1321,""^Sell_""),-ROUNDDOWN(ROUNDUP(INDEX(Upgrades!$C$3:$C$13,MATCH(SUBSTITUTE(C1321,""Sell_"",""""),Upgrades!$B$3:$B$13,0))*1.15^(COUNTIF(C$4:C1320,SUBSTITUTE(C1321,""Sell_"",""""))-COUNTIF(C$4"&amp;":C1320,""Sell_""&amp;SUBSTITUTE(C1321,""Sell_"",""""))))/2),ROUNDUP(INDEX(Upgrades!$C$3:$C$13,MATCH(C1321,Upgrades!$B$3:$B$13,0))*1.15^(COUNTIF(C$4:C1320,C1321)-COUNTIF(C$4:C1320,""Sell_""&amp;C1321))))))"),"")</f>
        <v/>
      </c>
      <c r="H1321" s="10" t="str">
        <f t="shared" si="3"/>
        <v/>
      </c>
      <c r="I1321" s="68" t="str">
        <f t="shared" si="4"/>
        <v/>
      </c>
      <c r="J1321" s="59" t="str">
        <f t="shared" si="5"/>
        <v/>
      </c>
      <c r="K1321" s="69" t="str">
        <f t="shared" si="6"/>
        <v/>
      </c>
      <c r="L1321" s="60" t="str">
        <f t="shared" si="7"/>
        <v/>
      </c>
      <c r="M1321" s="61" t="str">
        <f>IFERROR(__xludf.DUMMYFUNCTION("IFS(AND(COUNTA(C1321:C1673)=0,COUNTA(Q1321:Q1673)=0),"""",OR(AND(K1321&gt;=1000000000,OR(Y1321&gt;=1000000000,COUNTA(Q1321:Q1673)=0)),OR(Y1321&gt;=1000000000,AND(COUNTA(C1321:C1673)=0,P$3=TRUE))),
ROUNDDOWN((AB$1-AC$1)*MAX(INDEX(T$4:T1673,MATCH(LARGE(FILTER(Y$4:Y1"&amp;"673,Y$4:Y1673&lt;1000000000),1),Y$4:Y1673)),INDEX(F$4:F1673,MATCH(LARGE(FILTER(K$4:K1673,K$4:K1673&lt;1000000000),1),K$4:K1673)))),AND(K1321&lt;1000000000,COUNTA(C1321:C1673)&gt;0,P$3=FALSE),
ROUNDDOWN(INDEX(Y$4:Y1673,MATCH(LARGE(FILTER(W$4:W1673,W$4:W1673&lt;=I1321),1)"&amp;",W$4:W1673))+(I1321-LARGE(FILTER(W$4:W1673,W$4:W1673&lt;=I1321),1))*INDEX(T$4:T1673,MATCH(LARGE(FILTER(W$4:W1673,W$4:W1673&lt;=I1321),1),W$4:W1673))-K1321),1,
ROUNDDOWN(Y1321-INDEX(K$4:K1673,MATCH(LARGE(FILTER(I$4:I1673,I$4:I1673&lt;=W1321),1),I$4:I1673))-(W1321-L"&amp;"ARGE(FILTER(I$4:I1673,I$4:I1673&lt;=W1321),1))*INDEX(F$4:F1673,MATCH(LARGE(FILTER(I$4:I1673,I$4:I1673&lt;=W1321),1),I$4:I1673))))"),"")</f>
        <v/>
      </c>
      <c r="N1321" s="60" t="str">
        <f t="shared" si="8"/>
        <v/>
      </c>
      <c r="O1321" s="61" t="str">
        <f t="shared" si="9"/>
        <v/>
      </c>
      <c r="P1321" s="56" t="str">
        <f t="shared" si="10"/>
        <v/>
      </c>
      <c r="Q1321" s="67"/>
      <c r="R1321" s="10"/>
      <c r="S1321" s="59" t="str">
        <f t="array" ref="S1321">IF(COUNTA(Q1321:Q1673)=0,"",SUM((COUNTIF(Q$4:Q1321,Upgrades!$B$3:$B$13)-COUNTIF(Q$4:Q1321,"Sell_"&amp;Upgrades!$B$3:$B$13))*Upgrades!$D$3:$D$13))</f>
        <v/>
      </c>
      <c r="T1321" s="66" t="str">
        <f>IFERROR(__xludf.DUMMYFUNCTION("IF(COUNTA(Q1321:Q1673)=0,"""",IF(REGEXMATCH(INDEX(FILTER(Q$4:Q1321,Q$4:Q1321&lt;&gt;""""),ROWS(FILTER(Q$4:Q1321,Q$4:Q1321&lt;&gt;""""))),""^Sell_""),INDEX(FILTER(T$4:T1320,Q$4:Q1320&lt;&gt;""""),ROWS(FILTER(Q$4:Q1320,Q$4:Q1320&lt;&gt;""""))),$AD$5+S1321))"),"")</f>
        <v/>
      </c>
      <c r="U1321" s="10" t="str">
        <f>IFERROR(__xludf.DUMMYFUNCTION("IF(COUNTA(Q1321:Q1673)=0,"""",IF(Q1321="""",0,IF(REGEXMATCH(Q1321,""^Sell_""),-ROUNDDOWN(ROUNDUP(INDEX(Upgrades!$C$3:$C$13,MATCH(SUBSTITUTE(Q1321,""Sell_"",""""),Upgrades!$B$3:$B$13,0))*1.15^(COUNTIF(Q$4:Q1320,SUBSTITUTE(Q1321,""Sell_"",""""))-COUNTIF(Q$4"&amp;":Q1320,""Sell_""&amp;SUBSTITUTE(Q1321,""Sell_"",""""))))/2),ROUNDUP(INDEX(Upgrades!$C$3:$C$13,MATCH(Q1321,Upgrades!$B$3:$B$13,0))*1.15^(COUNTIF(Q$4:Q1320,Q1321)-COUNTIF(Q$4:Q1320,""Sell_""&amp;Q1321))))))"),"")</f>
        <v/>
      </c>
      <c r="V1321" s="10" t="str">
        <f t="shared" si="11"/>
        <v/>
      </c>
      <c r="W1321" s="68" t="str">
        <f t="shared" si="12"/>
        <v/>
      </c>
      <c r="X1321" s="59" t="str">
        <f t="shared" si="13"/>
        <v/>
      </c>
      <c r="Y1321" s="69" t="str">
        <f t="shared" si="14"/>
        <v/>
      </c>
      <c r="Z1321" s="11"/>
    </row>
    <row r="1322">
      <c r="A1322" s="8"/>
      <c r="B1322" s="56" t="str">
        <f t="shared" si="2"/>
        <v/>
      </c>
      <c r="C1322" s="105"/>
      <c r="D1322" s="10"/>
      <c r="E1322" s="59" t="str">
        <f t="array" ref="E1322">IF(COUNTA(C1322:C1673)=0,"",SUM((COUNTIF(C$4:C1322,Upgrades!$B$3:$B$13)-COUNTIF(C$4:C1322,"Sell_"&amp;Upgrades!$B$3:$B$13))*Upgrades!$D$3:$D$13))</f>
        <v/>
      </c>
      <c r="F1322" s="66" t="str">
        <f>IFERROR(__xludf.DUMMYFUNCTION("IF(COUNTA(C1322:C1673)=0,"""",IF(REGEXMATCH(INDEX(FILTER(C$4:C1322,C$4:C1322&lt;&gt;""""),ROWS(FILTER(C$4:C1322,C$4:C1322&lt;&gt;""""))),""^Sell_""),INDEX(FILTER(F$4:F1321,C$4:C1321&lt;&gt;""""),ROWS(FILTER(C$4:C1321,C$4:C1321&lt;&gt;""""))),$AC$5+E1322))"),"")</f>
        <v/>
      </c>
      <c r="G1322" s="10" t="str">
        <f>IFERROR(__xludf.DUMMYFUNCTION("IF(COUNTA(C1322:C1673)=0,"""",IF(C1322="""",0,IF(REGEXMATCH(C1322,""^Sell_""),-ROUNDDOWN(ROUNDUP(INDEX(Upgrades!$C$3:$C$13,MATCH(SUBSTITUTE(C1322,""Sell_"",""""),Upgrades!$B$3:$B$13,0))*1.15^(COUNTIF(C$4:C1321,SUBSTITUTE(C1322,""Sell_"",""""))-COUNTIF(C$4"&amp;":C1321,""Sell_""&amp;SUBSTITUTE(C1322,""Sell_"",""""))))/2),ROUNDUP(INDEX(Upgrades!$C$3:$C$13,MATCH(C1322,Upgrades!$B$3:$B$13,0))*1.15^(COUNTIF(C$4:C1321,C1322)-COUNTIF(C$4:C1321,""Sell_""&amp;C1322))))))"),"")</f>
        <v/>
      </c>
      <c r="H1322" s="10" t="str">
        <f t="shared" si="3"/>
        <v/>
      </c>
      <c r="I1322" s="68" t="str">
        <f t="shared" si="4"/>
        <v/>
      </c>
      <c r="J1322" s="59" t="str">
        <f t="shared" si="5"/>
        <v/>
      </c>
      <c r="K1322" s="69" t="str">
        <f t="shared" si="6"/>
        <v/>
      </c>
      <c r="L1322" s="60" t="str">
        <f t="shared" si="7"/>
        <v/>
      </c>
      <c r="M1322" s="61" t="str">
        <f>IFERROR(__xludf.DUMMYFUNCTION("IFS(AND(COUNTA(C1322:C1673)=0,COUNTA(Q1322:Q1673)=0),"""",OR(AND(K1322&gt;=1000000000,OR(Y1322&gt;=1000000000,COUNTA(Q1322:Q1673)=0)),OR(Y1322&gt;=1000000000,AND(COUNTA(C1322:C1673)=0,P$3=TRUE))),
ROUNDDOWN((AB$1-AC$1)*MAX(INDEX(T$4:T1673,MATCH(LARGE(FILTER(Y$4:Y1"&amp;"673,Y$4:Y1673&lt;1000000000),1),Y$4:Y1673)),INDEX(F$4:F1673,MATCH(LARGE(FILTER(K$4:K1673,K$4:K1673&lt;1000000000),1),K$4:K1673)))),AND(K1322&lt;1000000000,COUNTA(C1322:C1673)&gt;0,P$3=FALSE),
ROUNDDOWN(INDEX(Y$4:Y1673,MATCH(LARGE(FILTER(W$4:W1673,W$4:W1673&lt;=I1322),1)"&amp;",W$4:W1673))+(I1322-LARGE(FILTER(W$4:W1673,W$4:W1673&lt;=I1322),1))*INDEX(T$4:T1673,MATCH(LARGE(FILTER(W$4:W1673,W$4:W1673&lt;=I1322),1),W$4:W1673))-K1322),1,
ROUNDDOWN(Y1322-INDEX(K$4:K1673,MATCH(LARGE(FILTER(I$4:I1673,I$4:I1673&lt;=W1322),1),I$4:I1673))-(W1322-L"&amp;"ARGE(FILTER(I$4:I1673,I$4:I1673&lt;=W1322),1))*INDEX(F$4:F1673,MATCH(LARGE(FILTER(I$4:I1673,I$4:I1673&lt;=W1322),1),I$4:I1673))))"),"")</f>
        <v/>
      </c>
      <c r="N1322" s="60" t="str">
        <f t="shared" si="8"/>
        <v/>
      </c>
      <c r="O1322" s="61" t="str">
        <f t="shared" si="9"/>
        <v/>
      </c>
      <c r="P1322" s="56" t="str">
        <f t="shared" si="10"/>
        <v/>
      </c>
      <c r="Q1322" s="67"/>
      <c r="R1322" s="10"/>
      <c r="S1322" s="59" t="str">
        <f t="array" ref="S1322">IF(COUNTA(Q1322:Q1673)=0,"",SUM((COUNTIF(Q$4:Q1322,Upgrades!$B$3:$B$13)-COUNTIF(Q$4:Q1322,"Sell_"&amp;Upgrades!$B$3:$B$13))*Upgrades!$D$3:$D$13))</f>
        <v/>
      </c>
      <c r="T1322" s="66" t="str">
        <f>IFERROR(__xludf.DUMMYFUNCTION("IF(COUNTA(Q1322:Q1673)=0,"""",IF(REGEXMATCH(INDEX(FILTER(Q$4:Q1322,Q$4:Q1322&lt;&gt;""""),ROWS(FILTER(Q$4:Q1322,Q$4:Q1322&lt;&gt;""""))),""^Sell_""),INDEX(FILTER(T$4:T1321,Q$4:Q1321&lt;&gt;""""),ROWS(FILTER(Q$4:Q1321,Q$4:Q1321&lt;&gt;""""))),$AD$5+S1322))"),"")</f>
        <v/>
      </c>
      <c r="U1322" s="10" t="str">
        <f>IFERROR(__xludf.DUMMYFUNCTION("IF(COUNTA(Q1322:Q1673)=0,"""",IF(Q1322="""",0,IF(REGEXMATCH(Q1322,""^Sell_""),-ROUNDDOWN(ROUNDUP(INDEX(Upgrades!$C$3:$C$13,MATCH(SUBSTITUTE(Q1322,""Sell_"",""""),Upgrades!$B$3:$B$13,0))*1.15^(COUNTIF(Q$4:Q1321,SUBSTITUTE(Q1322,""Sell_"",""""))-COUNTIF(Q$4"&amp;":Q1321,""Sell_""&amp;SUBSTITUTE(Q1322,""Sell_"",""""))))/2),ROUNDUP(INDEX(Upgrades!$C$3:$C$13,MATCH(Q1322,Upgrades!$B$3:$B$13,0))*1.15^(COUNTIF(Q$4:Q1321,Q1322)-COUNTIF(Q$4:Q1321,""Sell_""&amp;Q1322))))))"),"")</f>
        <v/>
      </c>
      <c r="V1322" s="10" t="str">
        <f t="shared" si="11"/>
        <v/>
      </c>
      <c r="W1322" s="68" t="str">
        <f t="shared" si="12"/>
        <v/>
      </c>
      <c r="X1322" s="59" t="str">
        <f t="shared" si="13"/>
        <v/>
      </c>
      <c r="Y1322" s="69" t="str">
        <f t="shared" si="14"/>
        <v/>
      </c>
      <c r="Z1322" s="11"/>
    </row>
    <row r="1323">
      <c r="A1323" s="8"/>
      <c r="B1323" s="56" t="str">
        <f t="shared" si="2"/>
        <v/>
      </c>
      <c r="C1323" s="105"/>
      <c r="D1323" s="10"/>
      <c r="E1323" s="59" t="str">
        <f t="array" ref="E1323">IF(COUNTA(C1323:C1673)=0,"",SUM((COUNTIF(C$4:C1323,Upgrades!$B$3:$B$13)-COUNTIF(C$4:C1323,"Sell_"&amp;Upgrades!$B$3:$B$13))*Upgrades!$D$3:$D$13))</f>
        <v/>
      </c>
      <c r="F1323" s="66" t="str">
        <f>IFERROR(__xludf.DUMMYFUNCTION("IF(COUNTA(C1323:C1673)=0,"""",IF(REGEXMATCH(INDEX(FILTER(C$4:C1323,C$4:C1323&lt;&gt;""""),ROWS(FILTER(C$4:C1323,C$4:C1323&lt;&gt;""""))),""^Sell_""),INDEX(FILTER(F$4:F1322,C$4:C1322&lt;&gt;""""),ROWS(FILTER(C$4:C1322,C$4:C1322&lt;&gt;""""))),$AC$5+E1323))"),"")</f>
        <v/>
      </c>
      <c r="G1323" s="10" t="str">
        <f>IFERROR(__xludf.DUMMYFUNCTION("IF(COUNTA(C1323:C1673)=0,"""",IF(C1323="""",0,IF(REGEXMATCH(C1323,""^Sell_""),-ROUNDDOWN(ROUNDUP(INDEX(Upgrades!$C$3:$C$13,MATCH(SUBSTITUTE(C1323,""Sell_"",""""),Upgrades!$B$3:$B$13,0))*1.15^(COUNTIF(C$4:C1322,SUBSTITUTE(C1323,""Sell_"",""""))-COUNTIF(C$4"&amp;":C1322,""Sell_""&amp;SUBSTITUTE(C1323,""Sell_"",""""))))/2),ROUNDUP(INDEX(Upgrades!$C$3:$C$13,MATCH(C1323,Upgrades!$B$3:$B$13,0))*1.15^(COUNTIF(C$4:C1322,C1323)-COUNTIF(C$4:C1322,""Sell_""&amp;C1323))))))"),"")</f>
        <v/>
      </c>
      <c r="H1323" s="10" t="str">
        <f t="shared" si="3"/>
        <v/>
      </c>
      <c r="I1323" s="68" t="str">
        <f t="shared" si="4"/>
        <v/>
      </c>
      <c r="J1323" s="59" t="str">
        <f t="shared" si="5"/>
        <v/>
      </c>
      <c r="K1323" s="69" t="str">
        <f t="shared" si="6"/>
        <v/>
      </c>
      <c r="L1323" s="60" t="str">
        <f t="shared" si="7"/>
        <v/>
      </c>
      <c r="M1323" s="61" t="str">
        <f>IFERROR(__xludf.DUMMYFUNCTION("IFS(AND(COUNTA(C1323:C1673)=0,COUNTA(Q1323:Q1673)=0),"""",OR(AND(K1323&gt;=1000000000,OR(Y1323&gt;=1000000000,COUNTA(Q1323:Q1673)=0)),OR(Y1323&gt;=1000000000,AND(COUNTA(C1323:C1673)=0,P$3=TRUE))),
ROUNDDOWN((AB$1-AC$1)*MAX(INDEX(T$4:T1673,MATCH(LARGE(FILTER(Y$4:Y1"&amp;"673,Y$4:Y1673&lt;1000000000),1),Y$4:Y1673)),INDEX(F$4:F1673,MATCH(LARGE(FILTER(K$4:K1673,K$4:K1673&lt;1000000000),1),K$4:K1673)))),AND(K1323&lt;1000000000,COUNTA(C1323:C1673)&gt;0,P$3=FALSE),
ROUNDDOWN(INDEX(Y$4:Y1673,MATCH(LARGE(FILTER(W$4:W1673,W$4:W1673&lt;=I1323),1)"&amp;",W$4:W1673))+(I1323-LARGE(FILTER(W$4:W1673,W$4:W1673&lt;=I1323),1))*INDEX(T$4:T1673,MATCH(LARGE(FILTER(W$4:W1673,W$4:W1673&lt;=I1323),1),W$4:W1673))-K1323),1,
ROUNDDOWN(Y1323-INDEX(K$4:K1673,MATCH(LARGE(FILTER(I$4:I1673,I$4:I1673&lt;=W1323),1),I$4:I1673))-(W1323-L"&amp;"ARGE(FILTER(I$4:I1673,I$4:I1673&lt;=W1323),1))*INDEX(F$4:F1673,MATCH(LARGE(FILTER(I$4:I1673,I$4:I1673&lt;=W1323),1),I$4:I1673))))"),"")</f>
        <v/>
      </c>
      <c r="N1323" s="60" t="str">
        <f t="shared" si="8"/>
        <v/>
      </c>
      <c r="O1323" s="61" t="str">
        <f t="shared" si="9"/>
        <v/>
      </c>
      <c r="P1323" s="56" t="str">
        <f t="shared" si="10"/>
        <v/>
      </c>
      <c r="Q1323" s="67"/>
      <c r="R1323" s="10"/>
      <c r="S1323" s="59" t="str">
        <f t="array" ref="S1323">IF(COUNTA(Q1323:Q1673)=0,"",SUM((COUNTIF(Q$4:Q1323,Upgrades!$B$3:$B$13)-COUNTIF(Q$4:Q1323,"Sell_"&amp;Upgrades!$B$3:$B$13))*Upgrades!$D$3:$D$13))</f>
        <v/>
      </c>
      <c r="T1323" s="66" t="str">
        <f>IFERROR(__xludf.DUMMYFUNCTION("IF(COUNTA(Q1323:Q1673)=0,"""",IF(REGEXMATCH(INDEX(FILTER(Q$4:Q1323,Q$4:Q1323&lt;&gt;""""),ROWS(FILTER(Q$4:Q1323,Q$4:Q1323&lt;&gt;""""))),""^Sell_""),INDEX(FILTER(T$4:T1322,Q$4:Q1322&lt;&gt;""""),ROWS(FILTER(Q$4:Q1322,Q$4:Q1322&lt;&gt;""""))),$AD$5+S1323))"),"")</f>
        <v/>
      </c>
      <c r="U1323" s="10" t="str">
        <f>IFERROR(__xludf.DUMMYFUNCTION("IF(COUNTA(Q1323:Q1673)=0,"""",IF(Q1323="""",0,IF(REGEXMATCH(Q1323,""^Sell_""),-ROUNDDOWN(ROUNDUP(INDEX(Upgrades!$C$3:$C$13,MATCH(SUBSTITUTE(Q1323,""Sell_"",""""),Upgrades!$B$3:$B$13,0))*1.15^(COUNTIF(Q$4:Q1322,SUBSTITUTE(Q1323,""Sell_"",""""))-COUNTIF(Q$4"&amp;":Q1322,""Sell_""&amp;SUBSTITUTE(Q1323,""Sell_"",""""))))/2),ROUNDUP(INDEX(Upgrades!$C$3:$C$13,MATCH(Q1323,Upgrades!$B$3:$B$13,0))*1.15^(COUNTIF(Q$4:Q1322,Q1323)-COUNTIF(Q$4:Q1322,""Sell_""&amp;Q1323))))))"),"")</f>
        <v/>
      </c>
      <c r="V1323" s="10" t="str">
        <f t="shared" si="11"/>
        <v/>
      </c>
      <c r="W1323" s="68" t="str">
        <f t="shared" si="12"/>
        <v/>
      </c>
      <c r="X1323" s="59" t="str">
        <f t="shared" si="13"/>
        <v/>
      </c>
      <c r="Y1323" s="69" t="str">
        <f t="shared" si="14"/>
        <v/>
      </c>
      <c r="Z1323" s="11"/>
    </row>
    <row r="1324">
      <c r="A1324" s="8"/>
      <c r="B1324" s="56" t="str">
        <f t="shared" si="2"/>
        <v/>
      </c>
      <c r="C1324" s="105"/>
      <c r="D1324" s="10"/>
      <c r="E1324" s="59" t="str">
        <f t="array" ref="E1324">IF(COUNTA(C1324:C1673)=0,"",SUM((COUNTIF(C$4:C1324,Upgrades!$B$3:$B$13)-COUNTIF(C$4:C1324,"Sell_"&amp;Upgrades!$B$3:$B$13))*Upgrades!$D$3:$D$13))</f>
        <v/>
      </c>
      <c r="F1324" s="66" t="str">
        <f>IFERROR(__xludf.DUMMYFUNCTION("IF(COUNTA(C1324:C1673)=0,"""",IF(REGEXMATCH(INDEX(FILTER(C$4:C1324,C$4:C1324&lt;&gt;""""),ROWS(FILTER(C$4:C1324,C$4:C1324&lt;&gt;""""))),""^Sell_""),INDEX(FILTER(F$4:F1323,C$4:C1323&lt;&gt;""""),ROWS(FILTER(C$4:C1323,C$4:C1323&lt;&gt;""""))),$AC$5+E1324))"),"")</f>
        <v/>
      </c>
      <c r="G1324" s="10" t="str">
        <f>IFERROR(__xludf.DUMMYFUNCTION("IF(COUNTA(C1324:C1673)=0,"""",IF(C1324="""",0,IF(REGEXMATCH(C1324,""^Sell_""),-ROUNDDOWN(ROUNDUP(INDEX(Upgrades!$C$3:$C$13,MATCH(SUBSTITUTE(C1324,""Sell_"",""""),Upgrades!$B$3:$B$13,0))*1.15^(COUNTIF(C$4:C1323,SUBSTITUTE(C1324,""Sell_"",""""))-COUNTIF(C$4"&amp;":C1323,""Sell_""&amp;SUBSTITUTE(C1324,""Sell_"",""""))))/2),ROUNDUP(INDEX(Upgrades!$C$3:$C$13,MATCH(C1324,Upgrades!$B$3:$B$13,0))*1.15^(COUNTIF(C$4:C1323,C1324)-COUNTIF(C$4:C1323,""Sell_""&amp;C1324))))))"),"")</f>
        <v/>
      </c>
      <c r="H1324" s="10" t="str">
        <f t="shared" si="3"/>
        <v/>
      </c>
      <c r="I1324" s="68" t="str">
        <f t="shared" si="4"/>
        <v/>
      </c>
      <c r="J1324" s="59" t="str">
        <f t="shared" si="5"/>
        <v/>
      </c>
      <c r="K1324" s="69" t="str">
        <f t="shared" si="6"/>
        <v/>
      </c>
      <c r="L1324" s="60" t="str">
        <f t="shared" si="7"/>
        <v/>
      </c>
      <c r="M1324" s="61" t="str">
        <f>IFERROR(__xludf.DUMMYFUNCTION("IFS(AND(COUNTA(C1324:C1673)=0,COUNTA(Q1324:Q1673)=0),"""",OR(AND(K1324&gt;=1000000000,OR(Y1324&gt;=1000000000,COUNTA(Q1324:Q1673)=0)),OR(Y1324&gt;=1000000000,AND(COUNTA(C1324:C1673)=0,P$3=TRUE))),
ROUNDDOWN((AB$1-AC$1)*MAX(INDEX(T$4:T1673,MATCH(LARGE(FILTER(Y$4:Y1"&amp;"673,Y$4:Y1673&lt;1000000000),1),Y$4:Y1673)),INDEX(F$4:F1673,MATCH(LARGE(FILTER(K$4:K1673,K$4:K1673&lt;1000000000),1),K$4:K1673)))),AND(K1324&lt;1000000000,COUNTA(C1324:C1673)&gt;0,P$3=FALSE),
ROUNDDOWN(INDEX(Y$4:Y1673,MATCH(LARGE(FILTER(W$4:W1673,W$4:W1673&lt;=I1324),1)"&amp;",W$4:W1673))+(I1324-LARGE(FILTER(W$4:W1673,W$4:W1673&lt;=I1324),1))*INDEX(T$4:T1673,MATCH(LARGE(FILTER(W$4:W1673,W$4:W1673&lt;=I1324),1),W$4:W1673))-K1324),1,
ROUNDDOWN(Y1324-INDEX(K$4:K1673,MATCH(LARGE(FILTER(I$4:I1673,I$4:I1673&lt;=W1324),1),I$4:I1673))-(W1324-L"&amp;"ARGE(FILTER(I$4:I1673,I$4:I1673&lt;=W1324),1))*INDEX(F$4:F1673,MATCH(LARGE(FILTER(I$4:I1673,I$4:I1673&lt;=W1324),1),I$4:I1673))))"),"")</f>
        <v/>
      </c>
      <c r="N1324" s="60" t="str">
        <f t="shared" si="8"/>
        <v/>
      </c>
      <c r="O1324" s="61" t="str">
        <f t="shared" si="9"/>
        <v/>
      </c>
      <c r="P1324" s="56" t="str">
        <f t="shared" si="10"/>
        <v/>
      </c>
      <c r="Q1324" s="67"/>
      <c r="R1324" s="10"/>
      <c r="S1324" s="59" t="str">
        <f t="array" ref="S1324">IF(COUNTA(Q1324:Q1673)=0,"",SUM((COUNTIF(Q$4:Q1324,Upgrades!$B$3:$B$13)-COUNTIF(Q$4:Q1324,"Sell_"&amp;Upgrades!$B$3:$B$13))*Upgrades!$D$3:$D$13))</f>
        <v/>
      </c>
      <c r="T1324" s="66" t="str">
        <f>IFERROR(__xludf.DUMMYFUNCTION("IF(COUNTA(Q1324:Q1673)=0,"""",IF(REGEXMATCH(INDEX(FILTER(Q$4:Q1324,Q$4:Q1324&lt;&gt;""""),ROWS(FILTER(Q$4:Q1324,Q$4:Q1324&lt;&gt;""""))),""^Sell_""),INDEX(FILTER(T$4:T1323,Q$4:Q1323&lt;&gt;""""),ROWS(FILTER(Q$4:Q1323,Q$4:Q1323&lt;&gt;""""))),$AD$5+S1324))"),"")</f>
        <v/>
      </c>
      <c r="U1324" s="10" t="str">
        <f>IFERROR(__xludf.DUMMYFUNCTION("IF(COUNTA(Q1324:Q1673)=0,"""",IF(Q1324="""",0,IF(REGEXMATCH(Q1324,""^Sell_""),-ROUNDDOWN(ROUNDUP(INDEX(Upgrades!$C$3:$C$13,MATCH(SUBSTITUTE(Q1324,""Sell_"",""""),Upgrades!$B$3:$B$13,0))*1.15^(COUNTIF(Q$4:Q1323,SUBSTITUTE(Q1324,""Sell_"",""""))-COUNTIF(Q$4"&amp;":Q1323,""Sell_""&amp;SUBSTITUTE(Q1324,""Sell_"",""""))))/2),ROUNDUP(INDEX(Upgrades!$C$3:$C$13,MATCH(Q1324,Upgrades!$B$3:$B$13,0))*1.15^(COUNTIF(Q$4:Q1323,Q1324)-COUNTIF(Q$4:Q1323,""Sell_""&amp;Q1324))))))"),"")</f>
        <v/>
      </c>
      <c r="V1324" s="10" t="str">
        <f t="shared" si="11"/>
        <v/>
      </c>
      <c r="W1324" s="68" t="str">
        <f t="shared" si="12"/>
        <v/>
      </c>
      <c r="X1324" s="59" t="str">
        <f t="shared" si="13"/>
        <v/>
      </c>
      <c r="Y1324" s="69" t="str">
        <f t="shared" si="14"/>
        <v/>
      </c>
      <c r="Z1324" s="11"/>
    </row>
    <row r="1325">
      <c r="A1325" s="8"/>
      <c r="B1325" s="56" t="str">
        <f t="shared" si="2"/>
        <v/>
      </c>
      <c r="C1325" s="105"/>
      <c r="D1325" s="10"/>
      <c r="E1325" s="59" t="str">
        <f t="array" ref="E1325">IF(COUNTA(C1325:C1673)=0,"",SUM((COUNTIF(C$4:C1325,Upgrades!$B$3:$B$13)-COUNTIF(C$4:C1325,"Sell_"&amp;Upgrades!$B$3:$B$13))*Upgrades!$D$3:$D$13))</f>
        <v/>
      </c>
      <c r="F1325" s="66" t="str">
        <f>IFERROR(__xludf.DUMMYFUNCTION("IF(COUNTA(C1325:C1673)=0,"""",IF(REGEXMATCH(INDEX(FILTER(C$4:C1325,C$4:C1325&lt;&gt;""""),ROWS(FILTER(C$4:C1325,C$4:C1325&lt;&gt;""""))),""^Sell_""),INDEX(FILTER(F$4:F1324,C$4:C1324&lt;&gt;""""),ROWS(FILTER(C$4:C1324,C$4:C1324&lt;&gt;""""))),$AC$5+E1325))"),"")</f>
        <v/>
      </c>
      <c r="G1325" s="10" t="str">
        <f>IFERROR(__xludf.DUMMYFUNCTION("IF(COUNTA(C1325:C1673)=0,"""",IF(C1325="""",0,IF(REGEXMATCH(C1325,""^Sell_""),-ROUNDDOWN(ROUNDUP(INDEX(Upgrades!$C$3:$C$13,MATCH(SUBSTITUTE(C1325,""Sell_"",""""),Upgrades!$B$3:$B$13,0))*1.15^(COUNTIF(C$4:C1324,SUBSTITUTE(C1325,""Sell_"",""""))-COUNTIF(C$4"&amp;":C1324,""Sell_""&amp;SUBSTITUTE(C1325,""Sell_"",""""))))/2),ROUNDUP(INDEX(Upgrades!$C$3:$C$13,MATCH(C1325,Upgrades!$B$3:$B$13,0))*1.15^(COUNTIF(C$4:C1324,C1325)-COUNTIF(C$4:C1324,""Sell_""&amp;C1325))))))"),"")</f>
        <v/>
      </c>
      <c r="H1325" s="10" t="str">
        <f t="shared" si="3"/>
        <v/>
      </c>
      <c r="I1325" s="68" t="str">
        <f t="shared" si="4"/>
        <v/>
      </c>
      <c r="J1325" s="59" t="str">
        <f t="shared" si="5"/>
        <v/>
      </c>
      <c r="K1325" s="69" t="str">
        <f t="shared" si="6"/>
        <v/>
      </c>
      <c r="L1325" s="60" t="str">
        <f t="shared" si="7"/>
        <v/>
      </c>
      <c r="M1325" s="61" t="str">
        <f>IFERROR(__xludf.DUMMYFUNCTION("IFS(AND(COUNTA(C1325:C1673)=0,COUNTA(Q1325:Q1673)=0),"""",OR(AND(K1325&gt;=1000000000,OR(Y1325&gt;=1000000000,COUNTA(Q1325:Q1673)=0)),OR(Y1325&gt;=1000000000,AND(COUNTA(C1325:C1673)=0,P$3=TRUE))),
ROUNDDOWN((AB$1-AC$1)*MAX(INDEX(T$4:T1673,MATCH(LARGE(FILTER(Y$4:Y1"&amp;"673,Y$4:Y1673&lt;1000000000),1),Y$4:Y1673)),INDEX(F$4:F1673,MATCH(LARGE(FILTER(K$4:K1673,K$4:K1673&lt;1000000000),1),K$4:K1673)))),AND(K1325&lt;1000000000,COUNTA(C1325:C1673)&gt;0,P$3=FALSE),
ROUNDDOWN(INDEX(Y$4:Y1673,MATCH(LARGE(FILTER(W$4:W1673,W$4:W1673&lt;=I1325),1)"&amp;",W$4:W1673))+(I1325-LARGE(FILTER(W$4:W1673,W$4:W1673&lt;=I1325),1))*INDEX(T$4:T1673,MATCH(LARGE(FILTER(W$4:W1673,W$4:W1673&lt;=I1325),1),W$4:W1673))-K1325),1,
ROUNDDOWN(Y1325-INDEX(K$4:K1673,MATCH(LARGE(FILTER(I$4:I1673,I$4:I1673&lt;=W1325),1),I$4:I1673))-(W1325-L"&amp;"ARGE(FILTER(I$4:I1673,I$4:I1673&lt;=W1325),1))*INDEX(F$4:F1673,MATCH(LARGE(FILTER(I$4:I1673,I$4:I1673&lt;=W1325),1),I$4:I1673))))"),"")</f>
        <v/>
      </c>
      <c r="N1325" s="60" t="str">
        <f t="shared" si="8"/>
        <v/>
      </c>
      <c r="O1325" s="61" t="str">
        <f t="shared" si="9"/>
        <v/>
      </c>
      <c r="P1325" s="56" t="str">
        <f t="shared" si="10"/>
        <v/>
      </c>
      <c r="Q1325" s="67"/>
      <c r="R1325" s="10"/>
      <c r="S1325" s="59" t="str">
        <f t="array" ref="S1325">IF(COUNTA(Q1325:Q1673)=0,"",SUM((COUNTIF(Q$4:Q1325,Upgrades!$B$3:$B$13)-COUNTIF(Q$4:Q1325,"Sell_"&amp;Upgrades!$B$3:$B$13))*Upgrades!$D$3:$D$13))</f>
        <v/>
      </c>
      <c r="T1325" s="66" t="str">
        <f>IFERROR(__xludf.DUMMYFUNCTION("IF(COUNTA(Q1325:Q1673)=0,"""",IF(REGEXMATCH(INDEX(FILTER(Q$4:Q1325,Q$4:Q1325&lt;&gt;""""),ROWS(FILTER(Q$4:Q1325,Q$4:Q1325&lt;&gt;""""))),""^Sell_""),INDEX(FILTER(T$4:T1324,Q$4:Q1324&lt;&gt;""""),ROWS(FILTER(Q$4:Q1324,Q$4:Q1324&lt;&gt;""""))),$AD$5+S1325))"),"")</f>
        <v/>
      </c>
      <c r="U1325" s="10" t="str">
        <f>IFERROR(__xludf.DUMMYFUNCTION("IF(COUNTA(Q1325:Q1673)=0,"""",IF(Q1325="""",0,IF(REGEXMATCH(Q1325,""^Sell_""),-ROUNDDOWN(ROUNDUP(INDEX(Upgrades!$C$3:$C$13,MATCH(SUBSTITUTE(Q1325,""Sell_"",""""),Upgrades!$B$3:$B$13,0))*1.15^(COUNTIF(Q$4:Q1324,SUBSTITUTE(Q1325,""Sell_"",""""))-COUNTIF(Q$4"&amp;":Q1324,""Sell_""&amp;SUBSTITUTE(Q1325,""Sell_"",""""))))/2),ROUNDUP(INDEX(Upgrades!$C$3:$C$13,MATCH(Q1325,Upgrades!$B$3:$B$13,0))*1.15^(COUNTIF(Q$4:Q1324,Q1325)-COUNTIF(Q$4:Q1324,""Sell_""&amp;Q1325))))))"),"")</f>
        <v/>
      </c>
      <c r="V1325" s="10" t="str">
        <f t="shared" si="11"/>
        <v/>
      </c>
      <c r="W1325" s="68" t="str">
        <f t="shared" si="12"/>
        <v/>
      </c>
      <c r="X1325" s="59" t="str">
        <f t="shared" si="13"/>
        <v/>
      </c>
      <c r="Y1325" s="69" t="str">
        <f t="shared" si="14"/>
        <v/>
      </c>
      <c r="Z1325" s="11"/>
    </row>
    <row r="1326">
      <c r="A1326" s="8"/>
      <c r="B1326" s="56" t="str">
        <f t="shared" si="2"/>
        <v/>
      </c>
      <c r="C1326" s="105"/>
      <c r="D1326" s="10"/>
      <c r="E1326" s="59" t="str">
        <f t="array" ref="E1326">IF(COUNTA(C1326:C1673)=0,"",SUM((COUNTIF(C$4:C1326,Upgrades!$B$3:$B$13)-COUNTIF(C$4:C1326,"Sell_"&amp;Upgrades!$B$3:$B$13))*Upgrades!$D$3:$D$13))</f>
        <v/>
      </c>
      <c r="F1326" s="66" t="str">
        <f>IFERROR(__xludf.DUMMYFUNCTION("IF(COUNTA(C1326:C1673)=0,"""",IF(REGEXMATCH(INDEX(FILTER(C$4:C1326,C$4:C1326&lt;&gt;""""),ROWS(FILTER(C$4:C1326,C$4:C1326&lt;&gt;""""))),""^Sell_""),INDEX(FILTER(F$4:F1325,C$4:C1325&lt;&gt;""""),ROWS(FILTER(C$4:C1325,C$4:C1325&lt;&gt;""""))),$AC$5+E1326))"),"")</f>
        <v/>
      </c>
      <c r="G1326" s="10" t="str">
        <f>IFERROR(__xludf.DUMMYFUNCTION("IF(COUNTA(C1326:C1673)=0,"""",IF(C1326="""",0,IF(REGEXMATCH(C1326,""^Sell_""),-ROUNDDOWN(ROUNDUP(INDEX(Upgrades!$C$3:$C$13,MATCH(SUBSTITUTE(C1326,""Sell_"",""""),Upgrades!$B$3:$B$13,0))*1.15^(COUNTIF(C$4:C1325,SUBSTITUTE(C1326,""Sell_"",""""))-COUNTIF(C$4"&amp;":C1325,""Sell_""&amp;SUBSTITUTE(C1326,""Sell_"",""""))))/2),ROUNDUP(INDEX(Upgrades!$C$3:$C$13,MATCH(C1326,Upgrades!$B$3:$B$13,0))*1.15^(COUNTIF(C$4:C1325,C1326)-COUNTIF(C$4:C1325,""Sell_""&amp;C1326))))))"),"")</f>
        <v/>
      </c>
      <c r="H1326" s="10" t="str">
        <f t="shared" si="3"/>
        <v/>
      </c>
      <c r="I1326" s="68" t="str">
        <f t="shared" si="4"/>
        <v/>
      </c>
      <c r="J1326" s="59" t="str">
        <f t="shared" si="5"/>
        <v/>
      </c>
      <c r="K1326" s="69" t="str">
        <f t="shared" si="6"/>
        <v/>
      </c>
      <c r="L1326" s="60" t="str">
        <f t="shared" si="7"/>
        <v/>
      </c>
      <c r="M1326" s="61" t="str">
        <f>IFERROR(__xludf.DUMMYFUNCTION("IFS(AND(COUNTA(C1326:C1673)=0,COUNTA(Q1326:Q1673)=0),"""",OR(AND(K1326&gt;=1000000000,OR(Y1326&gt;=1000000000,COUNTA(Q1326:Q1673)=0)),OR(Y1326&gt;=1000000000,AND(COUNTA(C1326:C1673)=0,P$3=TRUE))),
ROUNDDOWN((AB$1-AC$1)*MAX(INDEX(T$4:T1673,MATCH(LARGE(FILTER(Y$4:Y1"&amp;"673,Y$4:Y1673&lt;1000000000),1),Y$4:Y1673)),INDEX(F$4:F1673,MATCH(LARGE(FILTER(K$4:K1673,K$4:K1673&lt;1000000000),1),K$4:K1673)))),AND(K1326&lt;1000000000,COUNTA(C1326:C1673)&gt;0,P$3=FALSE),
ROUNDDOWN(INDEX(Y$4:Y1673,MATCH(LARGE(FILTER(W$4:W1673,W$4:W1673&lt;=I1326),1)"&amp;",W$4:W1673))+(I1326-LARGE(FILTER(W$4:W1673,W$4:W1673&lt;=I1326),1))*INDEX(T$4:T1673,MATCH(LARGE(FILTER(W$4:W1673,W$4:W1673&lt;=I1326),1),W$4:W1673))-K1326),1,
ROUNDDOWN(Y1326-INDEX(K$4:K1673,MATCH(LARGE(FILTER(I$4:I1673,I$4:I1673&lt;=W1326),1),I$4:I1673))-(W1326-L"&amp;"ARGE(FILTER(I$4:I1673,I$4:I1673&lt;=W1326),1))*INDEX(F$4:F1673,MATCH(LARGE(FILTER(I$4:I1673,I$4:I1673&lt;=W1326),1),I$4:I1673))))"),"")</f>
        <v/>
      </c>
      <c r="N1326" s="60" t="str">
        <f t="shared" si="8"/>
        <v/>
      </c>
      <c r="O1326" s="61" t="str">
        <f t="shared" si="9"/>
        <v/>
      </c>
      <c r="P1326" s="56" t="str">
        <f t="shared" si="10"/>
        <v/>
      </c>
      <c r="Q1326" s="67"/>
      <c r="R1326" s="10"/>
      <c r="S1326" s="59" t="str">
        <f t="array" ref="S1326">IF(COUNTA(Q1326:Q1673)=0,"",SUM((COUNTIF(Q$4:Q1326,Upgrades!$B$3:$B$13)-COUNTIF(Q$4:Q1326,"Sell_"&amp;Upgrades!$B$3:$B$13))*Upgrades!$D$3:$D$13))</f>
        <v/>
      </c>
      <c r="T1326" s="66" t="str">
        <f>IFERROR(__xludf.DUMMYFUNCTION("IF(COUNTA(Q1326:Q1673)=0,"""",IF(REGEXMATCH(INDEX(FILTER(Q$4:Q1326,Q$4:Q1326&lt;&gt;""""),ROWS(FILTER(Q$4:Q1326,Q$4:Q1326&lt;&gt;""""))),""^Sell_""),INDEX(FILTER(T$4:T1325,Q$4:Q1325&lt;&gt;""""),ROWS(FILTER(Q$4:Q1325,Q$4:Q1325&lt;&gt;""""))),$AD$5+S1326))"),"")</f>
        <v/>
      </c>
      <c r="U1326" s="10" t="str">
        <f>IFERROR(__xludf.DUMMYFUNCTION("IF(COUNTA(Q1326:Q1673)=0,"""",IF(Q1326="""",0,IF(REGEXMATCH(Q1326,""^Sell_""),-ROUNDDOWN(ROUNDUP(INDEX(Upgrades!$C$3:$C$13,MATCH(SUBSTITUTE(Q1326,""Sell_"",""""),Upgrades!$B$3:$B$13,0))*1.15^(COUNTIF(Q$4:Q1325,SUBSTITUTE(Q1326,""Sell_"",""""))-COUNTIF(Q$4"&amp;":Q1325,""Sell_""&amp;SUBSTITUTE(Q1326,""Sell_"",""""))))/2),ROUNDUP(INDEX(Upgrades!$C$3:$C$13,MATCH(Q1326,Upgrades!$B$3:$B$13,0))*1.15^(COUNTIF(Q$4:Q1325,Q1326)-COUNTIF(Q$4:Q1325,""Sell_""&amp;Q1326))))))"),"")</f>
        <v/>
      </c>
      <c r="V1326" s="10" t="str">
        <f t="shared" si="11"/>
        <v/>
      </c>
      <c r="W1326" s="68" t="str">
        <f t="shared" si="12"/>
        <v/>
      </c>
      <c r="X1326" s="59" t="str">
        <f t="shared" si="13"/>
        <v/>
      </c>
      <c r="Y1326" s="69" t="str">
        <f t="shared" si="14"/>
        <v/>
      </c>
      <c r="Z1326" s="11"/>
    </row>
    <row r="1327">
      <c r="A1327" s="8"/>
      <c r="B1327" s="56" t="str">
        <f t="shared" si="2"/>
        <v/>
      </c>
      <c r="C1327" s="105"/>
      <c r="D1327" s="10"/>
      <c r="E1327" s="59" t="str">
        <f t="array" ref="E1327">IF(COUNTA(C1327:C1673)=0,"",SUM((COUNTIF(C$4:C1327,Upgrades!$B$3:$B$13)-COUNTIF(C$4:C1327,"Sell_"&amp;Upgrades!$B$3:$B$13))*Upgrades!$D$3:$D$13))</f>
        <v/>
      </c>
      <c r="F1327" s="66" t="str">
        <f>IFERROR(__xludf.DUMMYFUNCTION("IF(COUNTA(C1327:C1673)=0,"""",IF(REGEXMATCH(INDEX(FILTER(C$4:C1327,C$4:C1327&lt;&gt;""""),ROWS(FILTER(C$4:C1327,C$4:C1327&lt;&gt;""""))),""^Sell_""),INDEX(FILTER(F$4:F1326,C$4:C1326&lt;&gt;""""),ROWS(FILTER(C$4:C1326,C$4:C1326&lt;&gt;""""))),$AC$5+E1327))"),"")</f>
        <v/>
      </c>
      <c r="G1327" s="10" t="str">
        <f>IFERROR(__xludf.DUMMYFUNCTION("IF(COUNTA(C1327:C1673)=0,"""",IF(C1327="""",0,IF(REGEXMATCH(C1327,""^Sell_""),-ROUNDDOWN(ROUNDUP(INDEX(Upgrades!$C$3:$C$13,MATCH(SUBSTITUTE(C1327,""Sell_"",""""),Upgrades!$B$3:$B$13,0))*1.15^(COUNTIF(C$4:C1326,SUBSTITUTE(C1327,""Sell_"",""""))-COUNTIF(C$4"&amp;":C1326,""Sell_""&amp;SUBSTITUTE(C1327,""Sell_"",""""))))/2),ROUNDUP(INDEX(Upgrades!$C$3:$C$13,MATCH(C1327,Upgrades!$B$3:$B$13,0))*1.15^(COUNTIF(C$4:C1326,C1327)-COUNTIF(C$4:C1326,""Sell_""&amp;C1327))))))"),"")</f>
        <v/>
      </c>
      <c r="H1327" s="10" t="str">
        <f t="shared" si="3"/>
        <v/>
      </c>
      <c r="I1327" s="68" t="str">
        <f t="shared" si="4"/>
        <v/>
      </c>
      <c r="J1327" s="59" t="str">
        <f t="shared" si="5"/>
        <v/>
      </c>
      <c r="K1327" s="69" t="str">
        <f t="shared" si="6"/>
        <v/>
      </c>
      <c r="L1327" s="60" t="str">
        <f t="shared" si="7"/>
        <v/>
      </c>
      <c r="M1327" s="61" t="str">
        <f>IFERROR(__xludf.DUMMYFUNCTION("IFS(AND(COUNTA(C1327:C1673)=0,COUNTA(Q1327:Q1673)=0),"""",OR(AND(K1327&gt;=1000000000,OR(Y1327&gt;=1000000000,COUNTA(Q1327:Q1673)=0)),OR(Y1327&gt;=1000000000,AND(COUNTA(C1327:C1673)=0,P$3=TRUE))),
ROUNDDOWN((AB$1-AC$1)*MAX(INDEX(T$4:T1673,MATCH(LARGE(FILTER(Y$4:Y1"&amp;"673,Y$4:Y1673&lt;1000000000),1),Y$4:Y1673)),INDEX(F$4:F1673,MATCH(LARGE(FILTER(K$4:K1673,K$4:K1673&lt;1000000000),1),K$4:K1673)))),AND(K1327&lt;1000000000,COUNTA(C1327:C1673)&gt;0,P$3=FALSE),
ROUNDDOWN(INDEX(Y$4:Y1673,MATCH(LARGE(FILTER(W$4:W1673,W$4:W1673&lt;=I1327),1)"&amp;",W$4:W1673))+(I1327-LARGE(FILTER(W$4:W1673,W$4:W1673&lt;=I1327),1))*INDEX(T$4:T1673,MATCH(LARGE(FILTER(W$4:W1673,W$4:W1673&lt;=I1327),1),W$4:W1673))-K1327),1,
ROUNDDOWN(Y1327-INDEX(K$4:K1673,MATCH(LARGE(FILTER(I$4:I1673,I$4:I1673&lt;=W1327),1),I$4:I1673))-(W1327-L"&amp;"ARGE(FILTER(I$4:I1673,I$4:I1673&lt;=W1327),1))*INDEX(F$4:F1673,MATCH(LARGE(FILTER(I$4:I1673,I$4:I1673&lt;=W1327),1),I$4:I1673))))"),"")</f>
        <v/>
      </c>
      <c r="N1327" s="60" t="str">
        <f t="shared" si="8"/>
        <v/>
      </c>
      <c r="O1327" s="61" t="str">
        <f t="shared" si="9"/>
        <v/>
      </c>
      <c r="P1327" s="56" t="str">
        <f t="shared" si="10"/>
        <v/>
      </c>
      <c r="Q1327" s="67"/>
      <c r="R1327" s="10"/>
      <c r="S1327" s="59" t="str">
        <f t="array" ref="S1327">IF(COUNTA(Q1327:Q1673)=0,"",SUM((COUNTIF(Q$4:Q1327,Upgrades!$B$3:$B$13)-COUNTIF(Q$4:Q1327,"Sell_"&amp;Upgrades!$B$3:$B$13))*Upgrades!$D$3:$D$13))</f>
        <v/>
      </c>
      <c r="T1327" s="66" t="str">
        <f>IFERROR(__xludf.DUMMYFUNCTION("IF(COUNTA(Q1327:Q1673)=0,"""",IF(REGEXMATCH(INDEX(FILTER(Q$4:Q1327,Q$4:Q1327&lt;&gt;""""),ROWS(FILTER(Q$4:Q1327,Q$4:Q1327&lt;&gt;""""))),""^Sell_""),INDEX(FILTER(T$4:T1326,Q$4:Q1326&lt;&gt;""""),ROWS(FILTER(Q$4:Q1326,Q$4:Q1326&lt;&gt;""""))),$AD$5+S1327))"),"")</f>
        <v/>
      </c>
      <c r="U1327" s="10" t="str">
        <f>IFERROR(__xludf.DUMMYFUNCTION("IF(COUNTA(Q1327:Q1673)=0,"""",IF(Q1327="""",0,IF(REGEXMATCH(Q1327,""^Sell_""),-ROUNDDOWN(ROUNDUP(INDEX(Upgrades!$C$3:$C$13,MATCH(SUBSTITUTE(Q1327,""Sell_"",""""),Upgrades!$B$3:$B$13,0))*1.15^(COUNTIF(Q$4:Q1326,SUBSTITUTE(Q1327,""Sell_"",""""))-COUNTIF(Q$4"&amp;":Q1326,""Sell_""&amp;SUBSTITUTE(Q1327,""Sell_"",""""))))/2),ROUNDUP(INDEX(Upgrades!$C$3:$C$13,MATCH(Q1327,Upgrades!$B$3:$B$13,0))*1.15^(COUNTIF(Q$4:Q1326,Q1327)-COUNTIF(Q$4:Q1326,""Sell_""&amp;Q1327))))))"),"")</f>
        <v/>
      </c>
      <c r="V1327" s="10" t="str">
        <f t="shared" si="11"/>
        <v/>
      </c>
      <c r="W1327" s="68" t="str">
        <f t="shared" si="12"/>
        <v/>
      </c>
      <c r="X1327" s="59" t="str">
        <f t="shared" si="13"/>
        <v/>
      </c>
      <c r="Y1327" s="69" t="str">
        <f t="shared" si="14"/>
        <v/>
      </c>
      <c r="Z1327" s="11"/>
    </row>
    <row r="1328">
      <c r="A1328" s="8"/>
      <c r="B1328" s="56" t="str">
        <f t="shared" si="2"/>
        <v/>
      </c>
      <c r="C1328" s="105"/>
      <c r="D1328" s="10"/>
      <c r="E1328" s="59" t="str">
        <f t="array" ref="E1328">IF(COUNTA(C1328:C1673)=0,"",SUM((COUNTIF(C$4:C1328,Upgrades!$B$3:$B$13)-COUNTIF(C$4:C1328,"Sell_"&amp;Upgrades!$B$3:$B$13))*Upgrades!$D$3:$D$13))</f>
        <v/>
      </c>
      <c r="F1328" s="66" t="str">
        <f>IFERROR(__xludf.DUMMYFUNCTION("IF(COUNTA(C1328:C1673)=0,"""",IF(REGEXMATCH(INDEX(FILTER(C$4:C1328,C$4:C1328&lt;&gt;""""),ROWS(FILTER(C$4:C1328,C$4:C1328&lt;&gt;""""))),""^Sell_""),INDEX(FILTER(F$4:F1327,C$4:C1327&lt;&gt;""""),ROWS(FILTER(C$4:C1327,C$4:C1327&lt;&gt;""""))),$AC$5+E1328))"),"")</f>
        <v/>
      </c>
      <c r="G1328" s="10" t="str">
        <f>IFERROR(__xludf.DUMMYFUNCTION("IF(COUNTA(C1328:C1673)=0,"""",IF(C1328="""",0,IF(REGEXMATCH(C1328,""^Sell_""),-ROUNDDOWN(ROUNDUP(INDEX(Upgrades!$C$3:$C$13,MATCH(SUBSTITUTE(C1328,""Sell_"",""""),Upgrades!$B$3:$B$13,0))*1.15^(COUNTIF(C$4:C1327,SUBSTITUTE(C1328,""Sell_"",""""))-COUNTIF(C$4"&amp;":C1327,""Sell_""&amp;SUBSTITUTE(C1328,""Sell_"",""""))))/2),ROUNDUP(INDEX(Upgrades!$C$3:$C$13,MATCH(C1328,Upgrades!$B$3:$B$13,0))*1.15^(COUNTIF(C$4:C1327,C1328)-COUNTIF(C$4:C1327,""Sell_""&amp;C1328))))))"),"")</f>
        <v/>
      </c>
      <c r="H1328" s="10" t="str">
        <f t="shared" si="3"/>
        <v/>
      </c>
      <c r="I1328" s="68" t="str">
        <f t="shared" si="4"/>
        <v/>
      </c>
      <c r="J1328" s="59" t="str">
        <f t="shared" si="5"/>
        <v/>
      </c>
      <c r="K1328" s="69" t="str">
        <f t="shared" si="6"/>
        <v/>
      </c>
      <c r="L1328" s="60" t="str">
        <f t="shared" si="7"/>
        <v/>
      </c>
      <c r="M1328" s="61" t="str">
        <f>IFERROR(__xludf.DUMMYFUNCTION("IFS(AND(COUNTA(C1328:C1673)=0,COUNTA(Q1328:Q1673)=0),"""",OR(AND(K1328&gt;=1000000000,OR(Y1328&gt;=1000000000,COUNTA(Q1328:Q1673)=0)),OR(Y1328&gt;=1000000000,AND(COUNTA(C1328:C1673)=0,P$3=TRUE))),
ROUNDDOWN((AB$1-AC$1)*MAX(INDEX(T$4:T1673,MATCH(LARGE(FILTER(Y$4:Y1"&amp;"673,Y$4:Y1673&lt;1000000000),1),Y$4:Y1673)),INDEX(F$4:F1673,MATCH(LARGE(FILTER(K$4:K1673,K$4:K1673&lt;1000000000),1),K$4:K1673)))),AND(K1328&lt;1000000000,COUNTA(C1328:C1673)&gt;0,P$3=FALSE),
ROUNDDOWN(INDEX(Y$4:Y1673,MATCH(LARGE(FILTER(W$4:W1673,W$4:W1673&lt;=I1328),1)"&amp;",W$4:W1673))+(I1328-LARGE(FILTER(W$4:W1673,W$4:W1673&lt;=I1328),1))*INDEX(T$4:T1673,MATCH(LARGE(FILTER(W$4:W1673,W$4:W1673&lt;=I1328),1),W$4:W1673))-K1328),1,
ROUNDDOWN(Y1328-INDEX(K$4:K1673,MATCH(LARGE(FILTER(I$4:I1673,I$4:I1673&lt;=W1328),1),I$4:I1673))-(W1328-L"&amp;"ARGE(FILTER(I$4:I1673,I$4:I1673&lt;=W1328),1))*INDEX(F$4:F1673,MATCH(LARGE(FILTER(I$4:I1673,I$4:I1673&lt;=W1328),1),I$4:I1673))))"),"")</f>
        <v/>
      </c>
      <c r="N1328" s="60" t="str">
        <f t="shared" si="8"/>
        <v/>
      </c>
      <c r="O1328" s="61" t="str">
        <f t="shared" si="9"/>
        <v/>
      </c>
      <c r="P1328" s="56" t="str">
        <f t="shared" si="10"/>
        <v/>
      </c>
      <c r="Q1328" s="67"/>
      <c r="R1328" s="10"/>
      <c r="S1328" s="59" t="str">
        <f t="array" ref="S1328">IF(COUNTA(Q1328:Q1673)=0,"",SUM((COUNTIF(Q$4:Q1328,Upgrades!$B$3:$B$13)-COUNTIF(Q$4:Q1328,"Sell_"&amp;Upgrades!$B$3:$B$13))*Upgrades!$D$3:$D$13))</f>
        <v/>
      </c>
      <c r="T1328" s="66" t="str">
        <f>IFERROR(__xludf.DUMMYFUNCTION("IF(COUNTA(Q1328:Q1673)=0,"""",IF(REGEXMATCH(INDEX(FILTER(Q$4:Q1328,Q$4:Q1328&lt;&gt;""""),ROWS(FILTER(Q$4:Q1328,Q$4:Q1328&lt;&gt;""""))),""^Sell_""),INDEX(FILTER(T$4:T1327,Q$4:Q1327&lt;&gt;""""),ROWS(FILTER(Q$4:Q1327,Q$4:Q1327&lt;&gt;""""))),$AD$5+S1328))"),"")</f>
        <v/>
      </c>
      <c r="U1328" s="10" t="str">
        <f>IFERROR(__xludf.DUMMYFUNCTION("IF(COUNTA(Q1328:Q1673)=0,"""",IF(Q1328="""",0,IF(REGEXMATCH(Q1328,""^Sell_""),-ROUNDDOWN(ROUNDUP(INDEX(Upgrades!$C$3:$C$13,MATCH(SUBSTITUTE(Q1328,""Sell_"",""""),Upgrades!$B$3:$B$13,0))*1.15^(COUNTIF(Q$4:Q1327,SUBSTITUTE(Q1328,""Sell_"",""""))-COUNTIF(Q$4"&amp;":Q1327,""Sell_""&amp;SUBSTITUTE(Q1328,""Sell_"",""""))))/2),ROUNDUP(INDEX(Upgrades!$C$3:$C$13,MATCH(Q1328,Upgrades!$B$3:$B$13,0))*1.15^(COUNTIF(Q$4:Q1327,Q1328)-COUNTIF(Q$4:Q1327,""Sell_""&amp;Q1328))))))"),"")</f>
        <v/>
      </c>
      <c r="V1328" s="10" t="str">
        <f t="shared" si="11"/>
        <v/>
      </c>
      <c r="W1328" s="68" t="str">
        <f t="shared" si="12"/>
        <v/>
      </c>
      <c r="X1328" s="59" t="str">
        <f t="shared" si="13"/>
        <v/>
      </c>
      <c r="Y1328" s="69" t="str">
        <f t="shared" si="14"/>
        <v/>
      </c>
      <c r="Z1328" s="11"/>
    </row>
    <row r="1329">
      <c r="A1329" s="8"/>
      <c r="B1329" s="56" t="str">
        <f t="shared" si="2"/>
        <v/>
      </c>
      <c r="C1329" s="105"/>
      <c r="D1329" s="10"/>
      <c r="E1329" s="59" t="str">
        <f t="array" ref="E1329">IF(COUNTA(C1329:C1673)=0,"",SUM((COUNTIF(C$4:C1329,Upgrades!$B$3:$B$13)-COUNTIF(C$4:C1329,"Sell_"&amp;Upgrades!$B$3:$B$13))*Upgrades!$D$3:$D$13))</f>
        <v/>
      </c>
      <c r="F1329" s="66" t="str">
        <f>IFERROR(__xludf.DUMMYFUNCTION("IF(COUNTA(C1329:C1673)=0,"""",IF(REGEXMATCH(INDEX(FILTER(C$4:C1329,C$4:C1329&lt;&gt;""""),ROWS(FILTER(C$4:C1329,C$4:C1329&lt;&gt;""""))),""^Sell_""),INDEX(FILTER(F$4:F1328,C$4:C1328&lt;&gt;""""),ROWS(FILTER(C$4:C1328,C$4:C1328&lt;&gt;""""))),$AC$5+E1329))"),"")</f>
        <v/>
      </c>
      <c r="G1329" s="10" t="str">
        <f>IFERROR(__xludf.DUMMYFUNCTION("IF(COUNTA(C1329:C1673)=0,"""",IF(C1329="""",0,IF(REGEXMATCH(C1329,""^Sell_""),-ROUNDDOWN(ROUNDUP(INDEX(Upgrades!$C$3:$C$13,MATCH(SUBSTITUTE(C1329,""Sell_"",""""),Upgrades!$B$3:$B$13,0))*1.15^(COUNTIF(C$4:C1328,SUBSTITUTE(C1329,""Sell_"",""""))-COUNTIF(C$4"&amp;":C1328,""Sell_""&amp;SUBSTITUTE(C1329,""Sell_"",""""))))/2),ROUNDUP(INDEX(Upgrades!$C$3:$C$13,MATCH(C1329,Upgrades!$B$3:$B$13,0))*1.15^(COUNTIF(C$4:C1328,C1329)-COUNTIF(C$4:C1328,""Sell_""&amp;C1329))))))"),"")</f>
        <v/>
      </c>
      <c r="H1329" s="10" t="str">
        <f t="shared" si="3"/>
        <v/>
      </c>
      <c r="I1329" s="68" t="str">
        <f t="shared" si="4"/>
        <v/>
      </c>
      <c r="J1329" s="59" t="str">
        <f t="shared" si="5"/>
        <v/>
      </c>
      <c r="K1329" s="69" t="str">
        <f t="shared" si="6"/>
        <v/>
      </c>
      <c r="L1329" s="60" t="str">
        <f t="shared" si="7"/>
        <v/>
      </c>
      <c r="M1329" s="61" t="str">
        <f>IFERROR(__xludf.DUMMYFUNCTION("IFS(AND(COUNTA(C1329:C1673)=0,COUNTA(Q1329:Q1673)=0),"""",OR(AND(K1329&gt;=1000000000,OR(Y1329&gt;=1000000000,COUNTA(Q1329:Q1673)=0)),OR(Y1329&gt;=1000000000,AND(COUNTA(C1329:C1673)=0,P$3=TRUE))),
ROUNDDOWN((AB$1-AC$1)*MAX(INDEX(T$4:T1673,MATCH(LARGE(FILTER(Y$4:Y1"&amp;"673,Y$4:Y1673&lt;1000000000),1),Y$4:Y1673)),INDEX(F$4:F1673,MATCH(LARGE(FILTER(K$4:K1673,K$4:K1673&lt;1000000000),1),K$4:K1673)))),AND(K1329&lt;1000000000,COUNTA(C1329:C1673)&gt;0,P$3=FALSE),
ROUNDDOWN(INDEX(Y$4:Y1673,MATCH(LARGE(FILTER(W$4:W1673,W$4:W1673&lt;=I1329),1)"&amp;",W$4:W1673))+(I1329-LARGE(FILTER(W$4:W1673,W$4:W1673&lt;=I1329),1))*INDEX(T$4:T1673,MATCH(LARGE(FILTER(W$4:W1673,W$4:W1673&lt;=I1329),1),W$4:W1673))-K1329),1,
ROUNDDOWN(Y1329-INDEX(K$4:K1673,MATCH(LARGE(FILTER(I$4:I1673,I$4:I1673&lt;=W1329),1),I$4:I1673))-(W1329-L"&amp;"ARGE(FILTER(I$4:I1673,I$4:I1673&lt;=W1329),1))*INDEX(F$4:F1673,MATCH(LARGE(FILTER(I$4:I1673,I$4:I1673&lt;=W1329),1),I$4:I1673))))"),"")</f>
        <v/>
      </c>
      <c r="N1329" s="60" t="str">
        <f t="shared" si="8"/>
        <v/>
      </c>
      <c r="O1329" s="61" t="str">
        <f t="shared" si="9"/>
        <v/>
      </c>
      <c r="P1329" s="56" t="str">
        <f t="shared" si="10"/>
        <v/>
      </c>
      <c r="Q1329" s="67"/>
      <c r="R1329" s="10"/>
      <c r="S1329" s="59" t="str">
        <f t="array" ref="S1329">IF(COUNTA(Q1329:Q1673)=0,"",SUM((COUNTIF(Q$4:Q1329,Upgrades!$B$3:$B$13)-COUNTIF(Q$4:Q1329,"Sell_"&amp;Upgrades!$B$3:$B$13))*Upgrades!$D$3:$D$13))</f>
        <v/>
      </c>
      <c r="T1329" s="66" t="str">
        <f>IFERROR(__xludf.DUMMYFUNCTION("IF(COUNTA(Q1329:Q1673)=0,"""",IF(REGEXMATCH(INDEX(FILTER(Q$4:Q1329,Q$4:Q1329&lt;&gt;""""),ROWS(FILTER(Q$4:Q1329,Q$4:Q1329&lt;&gt;""""))),""^Sell_""),INDEX(FILTER(T$4:T1328,Q$4:Q1328&lt;&gt;""""),ROWS(FILTER(Q$4:Q1328,Q$4:Q1328&lt;&gt;""""))),$AD$5+S1329))"),"")</f>
        <v/>
      </c>
      <c r="U1329" s="10" t="str">
        <f>IFERROR(__xludf.DUMMYFUNCTION("IF(COUNTA(Q1329:Q1673)=0,"""",IF(Q1329="""",0,IF(REGEXMATCH(Q1329,""^Sell_""),-ROUNDDOWN(ROUNDUP(INDEX(Upgrades!$C$3:$C$13,MATCH(SUBSTITUTE(Q1329,""Sell_"",""""),Upgrades!$B$3:$B$13,0))*1.15^(COUNTIF(Q$4:Q1328,SUBSTITUTE(Q1329,""Sell_"",""""))-COUNTIF(Q$4"&amp;":Q1328,""Sell_""&amp;SUBSTITUTE(Q1329,""Sell_"",""""))))/2),ROUNDUP(INDEX(Upgrades!$C$3:$C$13,MATCH(Q1329,Upgrades!$B$3:$B$13,0))*1.15^(COUNTIF(Q$4:Q1328,Q1329)-COUNTIF(Q$4:Q1328,""Sell_""&amp;Q1329))))))"),"")</f>
        <v/>
      </c>
      <c r="V1329" s="10" t="str">
        <f t="shared" si="11"/>
        <v/>
      </c>
      <c r="W1329" s="68" t="str">
        <f t="shared" si="12"/>
        <v/>
      </c>
      <c r="X1329" s="59" t="str">
        <f t="shared" si="13"/>
        <v/>
      </c>
      <c r="Y1329" s="69" t="str">
        <f t="shared" si="14"/>
        <v/>
      </c>
      <c r="Z1329" s="11"/>
    </row>
    <row r="1330">
      <c r="A1330" s="8"/>
      <c r="B1330" s="56" t="str">
        <f t="shared" si="2"/>
        <v/>
      </c>
      <c r="C1330" s="105"/>
      <c r="D1330" s="10"/>
      <c r="E1330" s="59" t="str">
        <f t="array" ref="E1330">IF(COUNTA(C1330:C1673)=0,"",SUM((COUNTIF(C$4:C1330,Upgrades!$B$3:$B$13)-COUNTIF(C$4:C1330,"Sell_"&amp;Upgrades!$B$3:$B$13))*Upgrades!$D$3:$D$13))</f>
        <v/>
      </c>
      <c r="F1330" s="66" t="str">
        <f>IFERROR(__xludf.DUMMYFUNCTION("IF(COUNTA(C1330:C1673)=0,"""",IF(REGEXMATCH(INDEX(FILTER(C$4:C1330,C$4:C1330&lt;&gt;""""),ROWS(FILTER(C$4:C1330,C$4:C1330&lt;&gt;""""))),""^Sell_""),INDEX(FILTER(F$4:F1329,C$4:C1329&lt;&gt;""""),ROWS(FILTER(C$4:C1329,C$4:C1329&lt;&gt;""""))),$AC$5+E1330))"),"")</f>
        <v/>
      </c>
      <c r="G1330" s="10" t="str">
        <f>IFERROR(__xludf.DUMMYFUNCTION("IF(COUNTA(C1330:C1673)=0,"""",IF(C1330="""",0,IF(REGEXMATCH(C1330,""^Sell_""),-ROUNDDOWN(ROUNDUP(INDEX(Upgrades!$C$3:$C$13,MATCH(SUBSTITUTE(C1330,""Sell_"",""""),Upgrades!$B$3:$B$13,0))*1.15^(COUNTIF(C$4:C1329,SUBSTITUTE(C1330,""Sell_"",""""))-COUNTIF(C$4"&amp;":C1329,""Sell_""&amp;SUBSTITUTE(C1330,""Sell_"",""""))))/2),ROUNDUP(INDEX(Upgrades!$C$3:$C$13,MATCH(C1330,Upgrades!$B$3:$B$13,0))*1.15^(COUNTIF(C$4:C1329,C1330)-COUNTIF(C$4:C1329,""Sell_""&amp;C1330))))))"),"")</f>
        <v/>
      </c>
      <c r="H1330" s="10" t="str">
        <f t="shared" si="3"/>
        <v/>
      </c>
      <c r="I1330" s="68" t="str">
        <f t="shared" si="4"/>
        <v/>
      </c>
      <c r="J1330" s="59" t="str">
        <f t="shared" si="5"/>
        <v/>
      </c>
      <c r="K1330" s="69" t="str">
        <f t="shared" si="6"/>
        <v/>
      </c>
      <c r="L1330" s="60" t="str">
        <f t="shared" si="7"/>
        <v/>
      </c>
      <c r="M1330" s="61" t="str">
        <f>IFERROR(__xludf.DUMMYFUNCTION("IFS(AND(COUNTA(C1330:C1673)=0,COUNTA(Q1330:Q1673)=0),"""",OR(AND(K1330&gt;=1000000000,OR(Y1330&gt;=1000000000,COUNTA(Q1330:Q1673)=0)),OR(Y1330&gt;=1000000000,AND(COUNTA(C1330:C1673)=0,P$3=TRUE))),
ROUNDDOWN((AB$1-AC$1)*MAX(INDEX(T$4:T1673,MATCH(LARGE(FILTER(Y$4:Y1"&amp;"673,Y$4:Y1673&lt;1000000000),1),Y$4:Y1673)),INDEX(F$4:F1673,MATCH(LARGE(FILTER(K$4:K1673,K$4:K1673&lt;1000000000),1),K$4:K1673)))),AND(K1330&lt;1000000000,COUNTA(C1330:C1673)&gt;0,P$3=FALSE),
ROUNDDOWN(INDEX(Y$4:Y1673,MATCH(LARGE(FILTER(W$4:W1673,W$4:W1673&lt;=I1330),1)"&amp;",W$4:W1673))+(I1330-LARGE(FILTER(W$4:W1673,W$4:W1673&lt;=I1330),1))*INDEX(T$4:T1673,MATCH(LARGE(FILTER(W$4:W1673,W$4:W1673&lt;=I1330),1),W$4:W1673))-K1330),1,
ROUNDDOWN(Y1330-INDEX(K$4:K1673,MATCH(LARGE(FILTER(I$4:I1673,I$4:I1673&lt;=W1330),1),I$4:I1673))-(W1330-L"&amp;"ARGE(FILTER(I$4:I1673,I$4:I1673&lt;=W1330),1))*INDEX(F$4:F1673,MATCH(LARGE(FILTER(I$4:I1673,I$4:I1673&lt;=W1330),1),I$4:I1673))))"),"")</f>
        <v/>
      </c>
      <c r="N1330" s="60" t="str">
        <f t="shared" si="8"/>
        <v/>
      </c>
      <c r="O1330" s="61" t="str">
        <f t="shared" si="9"/>
        <v/>
      </c>
      <c r="P1330" s="56" t="str">
        <f t="shared" si="10"/>
        <v/>
      </c>
      <c r="Q1330" s="67"/>
      <c r="R1330" s="10"/>
      <c r="S1330" s="59" t="str">
        <f t="array" ref="S1330">IF(COUNTA(Q1330:Q1673)=0,"",SUM((COUNTIF(Q$4:Q1330,Upgrades!$B$3:$B$13)-COUNTIF(Q$4:Q1330,"Sell_"&amp;Upgrades!$B$3:$B$13))*Upgrades!$D$3:$D$13))</f>
        <v/>
      </c>
      <c r="T1330" s="66" t="str">
        <f>IFERROR(__xludf.DUMMYFUNCTION("IF(COUNTA(Q1330:Q1673)=0,"""",IF(REGEXMATCH(INDEX(FILTER(Q$4:Q1330,Q$4:Q1330&lt;&gt;""""),ROWS(FILTER(Q$4:Q1330,Q$4:Q1330&lt;&gt;""""))),""^Sell_""),INDEX(FILTER(T$4:T1329,Q$4:Q1329&lt;&gt;""""),ROWS(FILTER(Q$4:Q1329,Q$4:Q1329&lt;&gt;""""))),$AD$5+S1330))"),"")</f>
        <v/>
      </c>
      <c r="U1330" s="10" t="str">
        <f>IFERROR(__xludf.DUMMYFUNCTION("IF(COUNTA(Q1330:Q1673)=0,"""",IF(Q1330="""",0,IF(REGEXMATCH(Q1330,""^Sell_""),-ROUNDDOWN(ROUNDUP(INDEX(Upgrades!$C$3:$C$13,MATCH(SUBSTITUTE(Q1330,""Sell_"",""""),Upgrades!$B$3:$B$13,0))*1.15^(COUNTIF(Q$4:Q1329,SUBSTITUTE(Q1330,""Sell_"",""""))-COUNTIF(Q$4"&amp;":Q1329,""Sell_""&amp;SUBSTITUTE(Q1330,""Sell_"",""""))))/2),ROUNDUP(INDEX(Upgrades!$C$3:$C$13,MATCH(Q1330,Upgrades!$B$3:$B$13,0))*1.15^(COUNTIF(Q$4:Q1329,Q1330)-COUNTIF(Q$4:Q1329,""Sell_""&amp;Q1330))))))"),"")</f>
        <v/>
      </c>
      <c r="V1330" s="10" t="str">
        <f t="shared" si="11"/>
        <v/>
      </c>
      <c r="W1330" s="68" t="str">
        <f t="shared" si="12"/>
        <v/>
      </c>
      <c r="X1330" s="59" t="str">
        <f t="shared" si="13"/>
        <v/>
      </c>
      <c r="Y1330" s="69" t="str">
        <f t="shared" si="14"/>
        <v/>
      </c>
      <c r="Z1330" s="11"/>
    </row>
    <row r="1331">
      <c r="A1331" s="8"/>
      <c r="B1331" s="56" t="str">
        <f t="shared" si="2"/>
        <v/>
      </c>
      <c r="C1331" s="105"/>
      <c r="D1331" s="10"/>
      <c r="E1331" s="59" t="str">
        <f t="array" ref="E1331">IF(COUNTA(C1331:C1673)=0,"",SUM((COUNTIF(C$4:C1331,Upgrades!$B$3:$B$13)-COUNTIF(C$4:C1331,"Sell_"&amp;Upgrades!$B$3:$B$13))*Upgrades!$D$3:$D$13))</f>
        <v/>
      </c>
      <c r="F1331" s="66" t="str">
        <f>IFERROR(__xludf.DUMMYFUNCTION("IF(COUNTA(C1331:C1673)=0,"""",IF(REGEXMATCH(INDEX(FILTER(C$4:C1331,C$4:C1331&lt;&gt;""""),ROWS(FILTER(C$4:C1331,C$4:C1331&lt;&gt;""""))),""^Sell_""),INDEX(FILTER(F$4:F1330,C$4:C1330&lt;&gt;""""),ROWS(FILTER(C$4:C1330,C$4:C1330&lt;&gt;""""))),$AC$5+E1331))"),"")</f>
        <v/>
      </c>
      <c r="G1331" s="10" t="str">
        <f>IFERROR(__xludf.DUMMYFUNCTION("IF(COUNTA(C1331:C1673)=0,"""",IF(C1331="""",0,IF(REGEXMATCH(C1331,""^Sell_""),-ROUNDDOWN(ROUNDUP(INDEX(Upgrades!$C$3:$C$13,MATCH(SUBSTITUTE(C1331,""Sell_"",""""),Upgrades!$B$3:$B$13,0))*1.15^(COUNTIF(C$4:C1330,SUBSTITUTE(C1331,""Sell_"",""""))-COUNTIF(C$4"&amp;":C1330,""Sell_""&amp;SUBSTITUTE(C1331,""Sell_"",""""))))/2),ROUNDUP(INDEX(Upgrades!$C$3:$C$13,MATCH(C1331,Upgrades!$B$3:$B$13,0))*1.15^(COUNTIF(C$4:C1330,C1331)-COUNTIF(C$4:C1330,""Sell_""&amp;C1331))))))"),"")</f>
        <v/>
      </c>
      <c r="H1331" s="10" t="str">
        <f t="shared" si="3"/>
        <v/>
      </c>
      <c r="I1331" s="68" t="str">
        <f t="shared" si="4"/>
        <v/>
      </c>
      <c r="J1331" s="59" t="str">
        <f t="shared" si="5"/>
        <v/>
      </c>
      <c r="K1331" s="69" t="str">
        <f t="shared" si="6"/>
        <v/>
      </c>
      <c r="L1331" s="60" t="str">
        <f t="shared" si="7"/>
        <v/>
      </c>
      <c r="M1331" s="61" t="str">
        <f>IFERROR(__xludf.DUMMYFUNCTION("IFS(AND(COUNTA(C1331:C1673)=0,COUNTA(Q1331:Q1673)=0),"""",OR(AND(K1331&gt;=1000000000,OR(Y1331&gt;=1000000000,COUNTA(Q1331:Q1673)=0)),OR(Y1331&gt;=1000000000,AND(COUNTA(C1331:C1673)=0,P$3=TRUE))),
ROUNDDOWN((AB$1-AC$1)*MAX(INDEX(T$4:T1673,MATCH(LARGE(FILTER(Y$4:Y1"&amp;"673,Y$4:Y1673&lt;1000000000),1),Y$4:Y1673)),INDEX(F$4:F1673,MATCH(LARGE(FILTER(K$4:K1673,K$4:K1673&lt;1000000000),1),K$4:K1673)))),AND(K1331&lt;1000000000,COUNTA(C1331:C1673)&gt;0,P$3=FALSE),
ROUNDDOWN(INDEX(Y$4:Y1673,MATCH(LARGE(FILTER(W$4:W1673,W$4:W1673&lt;=I1331),1)"&amp;",W$4:W1673))+(I1331-LARGE(FILTER(W$4:W1673,W$4:W1673&lt;=I1331),1))*INDEX(T$4:T1673,MATCH(LARGE(FILTER(W$4:W1673,W$4:W1673&lt;=I1331),1),W$4:W1673))-K1331),1,
ROUNDDOWN(Y1331-INDEX(K$4:K1673,MATCH(LARGE(FILTER(I$4:I1673,I$4:I1673&lt;=W1331),1),I$4:I1673))-(W1331-L"&amp;"ARGE(FILTER(I$4:I1673,I$4:I1673&lt;=W1331),1))*INDEX(F$4:F1673,MATCH(LARGE(FILTER(I$4:I1673,I$4:I1673&lt;=W1331),1),I$4:I1673))))"),"")</f>
        <v/>
      </c>
      <c r="N1331" s="60" t="str">
        <f t="shared" si="8"/>
        <v/>
      </c>
      <c r="O1331" s="61" t="str">
        <f t="shared" si="9"/>
        <v/>
      </c>
      <c r="P1331" s="56" t="str">
        <f t="shared" si="10"/>
        <v/>
      </c>
      <c r="Q1331" s="67"/>
      <c r="R1331" s="10"/>
      <c r="S1331" s="59" t="str">
        <f t="array" ref="S1331">IF(COUNTA(Q1331:Q1673)=0,"",SUM((COUNTIF(Q$4:Q1331,Upgrades!$B$3:$B$13)-COUNTIF(Q$4:Q1331,"Sell_"&amp;Upgrades!$B$3:$B$13))*Upgrades!$D$3:$D$13))</f>
        <v/>
      </c>
      <c r="T1331" s="66" t="str">
        <f>IFERROR(__xludf.DUMMYFUNCTION("IF(COUNTA(Q1331:Q1673)=0,"""",IF(REGEXMATCH(INDEX(FILTER(Q$4:Q1331,Q$4:Q1331&lt;&gt;""""),ROWS(FILTER(Q$4:Q1331,Q$4:Q1331&lt;&gt;""""))),""^Sell_""),INDEX(FILTER(T$4:T1330,Q$4:Q1330&lt;&gt;""""),ROWS(FILTER(Q$4:Q1330,Q$4:Q1330&lt;&gt;""""))),$AD$5+S1331))"),"")</f>
        <v/>
      </c>
      <c r="U1331" s="10" t="str">
        <f>IFERROR(__xludf.DUMMYFUNCTION("IF(COUNTA(Q1331:Q1673)=0,"""",IF(Q1331="""",0,IF(REGEXMATCH(Q1331,""^Sell_""),-ROUNDDOWN(ROUNDUP(INDEX(Upgrades!$C$3:$C$13,MATCH(SUBSTITUTE(Q1331,""Sell_"",""""),Upgrades!$B$3:$B$13,0))*1.15^(COUNTIF(Q$4:Q1330,SUBSTITUTE(Q1331,""Sell_"",""""))-COUNTIF(Q$4"&amp;":Q1330,""Sell_""&amp;SUBSTITUTE(Q1331,""Sell_"",""""))))/2),ROUNDUP(INDEX(Upgrades!$C$3:$C$13,MATCH(Q1331,Upgrades!$B$3:$B$13,0))*1.15^(COUNTIF(Q$4:Q1330,Q1331)-COUNTIF(Q$4:Q1330,""Sell_""&amp;Q1331))))))"),"")</f>
        <v/>
      </c>
      <c r="V1331" s="10" t="str">
        <f t="shared" si="11"/>
        <v/>
      </c>
      <c r="W1331" s="68" t="str">
        <f t="shared" si="12"/>
        <v/>
      </c>
      <c r="X1331" s="59" t="str">
        <f t="shared" si="13"/>
        <v/>
      </c>
      <c r="Y1331" s="69" t="str">
        <f t="shared" si="14"/>
        <v/>
      </c>
      <c r="Z1331" s="11"/>
    </row>
    <row r="1332">
      <c r="A1332" s="8"/>
      <c r="B1332" s="56" t="str">
        <f t="shared" si="2"/>
        <v/>
      </c>
      <c r="C1332" s="105"/>
      <c r="D1332" s="10"/>
      <c r="E1332" s="59" t="str">
        <f t="array" ref="E1332">IF(COUNTA(C1332:C1673)=0,"",SUM((COUNTIF(C$4:C1332,Upgrades!$B$3:$B$13)-COUNTIF(C$4:C1332,"Sell_"&amp;Upgrades!$B$3:$B$13))*Upgrades!$D$3:$D$13))</f>
        <v/>
      </c>
      <c r="F1332" s="66" t="str">
        <f>IFERROR(__xludf.DUMMYFUNCTION("IF(COUNTA(C1332:C1673)=0,"""",IF(REGEXMATCH(INDEX(FILTER(C$4:C1332,C$4:C1332&lt;&gt;""""),ROWS(FILTER(C$4:C1332,C$4:C1332&lt;&gt;""""))),""^Sell_""),INDEX(FILTER(F$4:F1331,C$4:C1331&lt;&gt;""""),ROWS(FILTER(C$4:C1331,C$4:C1331&lt;&gt;""""))),$AC$5+E1332))"),"")</f>
        <v/>
      </c>
      <c r="G1332" s="10" t="str">
        <f>IFERROR(__xludf.DUMMYFUNCTION("IF(COUNTA(C1332:C1673)=0,"""",IF(C1332="""",0,IF(REGEXMATCH(C1332,""^Sell_""),-ROUNDDOWN(ROUNDUP(INDEX(Upgrades!$C$3:$C$13,MATCH(SUBSTITUTE(C1332,""Sell_"",""""),Upgrades!$B$3:$B$13,0))*1.15^(COUNTIF(C$4:C1331,SUBSTITUTE(C1332,""Sell_"",""""))-COUNTIF(C$4"&amp;":C1331,""Sell_""&amp;SUBSTITUTE(C1332,""Sell_"",""""))))/2),ROUNDUP(INDEX(Upgrades!$C$3:$C$13,MATCH(C1332,Upgrades!$B$3:$B$13,0))*1.15^(COUNTIF(C$4:C1331,C1332)-COUNTIF(C$4:C1331,""Sell_""&amp;C1332))))))"),"")</f>
        <v/>
      </c>
      <c r="H1332" s="10" t="str">
        <f t="shared" si="3"/>
        <v/>
      </c>
      <c r="I1332" s="68" t="str">
        <f t="shared" si="4"/>
        <v/>
      </c>
      <c r="J1332" s="59" t="str">
        <f t="shared" si="5"/>
        <v/>
      </c>
      <c r="K1332" s="69" t="str">
        <f t="shared" si="6"/>
        <v/>
      </c>
      <c r="L1332" s="60" t="str">
        <f t="shared" si="7"/>
        <v/>
      </c>
      <c r="M1332" s="61" t="str">
        <f>IFERROR(__xludf.DUMMYFUNCTION("IFS(AND(COUNTA(C1332:C1673)=0,COUNTA(Q1332:Q1673)=0),"""",OR(AND(K1332&gt;=1000000000,OR(Y1332&gt;=1000000000,COUNTA(Q1332:Q1673)=0)),OR(Y1332&gt;=1000000000,AND(COUNTA(C1332:C1673)=0,P$3=TRUE))),
ROUNDDOWN((AB$1-AC$1)*MAX(INDEX(T$4:T1673,MATCH(LARGE(FILTER(Y$4:Y1"&amp;"673,Y$4:Y1673&lt;1000000000),1),Y$4:Y1673)),INDEX(F$4:F1673,MATCH(LARGE(FILTER(K$4:K1673,K$4:K1673&lt;1000000000),1),K$4:K1673)))),AND(K1332&lt;1000000000,COUNTA(C1332:C1673)&gt;0,P$3=FALSE),
ROUNDDOWN(INDEX(Y$4:Y1673,MATCH(LARGE(FILTER(W$4:W1673,W$4:W1673&lt;=I1332),1)"&amp;",W$4:W1673))+(I1332-LARGE(FILTER(W$4:W1673,W$4:W1673&lt;=I1332),1))*INDEX(T$4:T1673,MATCH(LARGE(FILTER(W$4:W1673,W$4:W1673&lt;=I1332),1),W$4:W1673))-K1332),1,
ROUNDDOWN(Y1332-INDEX(K$4:K1673,MATCH(LARGE(FILTER(I$4:I1673,I$4:I1673&lt;=W1332),1),I$4:I1673))-(W1332-L"&amp;"ARGE(FILTER(I$4:I1673,I$4:I1673&lt;=W1332),1))*INDEX(F$4:F1673,MATCH(LARGE(FILTER(I$4:I1673,I$4:I1673&lt;=W1332),1),I$4:I1673))))"),"")</f>
        <v/>
      </c>
      <c r="N1332" s="60" t="str">
        <f t="shared" si="8"/>
        <v/>
      </c>
      <c r="O1332" s="61" t="str">
        <f t="shared" si="9"/>
        <v/>
      </c>
      <c r="P1332" s="56" t="str">
        <f t="shared" si="10"/>
        <v/>
      </c>
      <c r="Q1332" s="67"/>
      <c r="R1332" s="10"/>
      <c r="S1332" s="59" t="str">
        <f t="array" ref="S1332">IF(COUNTA(Q1332:Q1673)=0,"",SUM((COUNTIF(Q$4:Q1332,Upgrades!$B$3:$B$13)-COUNTIF(Q$4:Q1332,"Sell_"&amp;Upgrades!$B$3:$B$13))*Upgrades!$D$3:$D$13))</f>
        <v/>
      </c>
      <c r="T1332" s="66" t="str">
        <f>IFERROR(__xludf.DUMMYFUNCTION("IF(COUNTA(Q1332:Q1673)=0,"""",IF(REGEXMATCH(INDEX(FILTER(Q$4:Q1332,Q$4:Q1332&lt;&gt;""""),ROWS(FILTER(Q$4:Q1332,Q$4:Q1332&lt;&gt;""""))),""^Sell_""),INDEX(FILTER(T$4:T1331,Q$4:Q1331&lt;&gt;""""),ROWS(FILTER(Q$4:Q1331,Q$4:Q1331&lt;&gt;""""))),$AD$5+S1332))"),"")</f>
        <v/>
      </c>
      <c r="U1332" s="10" t="str">
        <f>IFERROR(__xludf.DUMMYFUNCTION("IF(COUNTA(Q1332:Q1673)=0,"""",IF(Q1332="""",0,IF(REGEXMATCH(Q1332,""^Sell_""),-ROUNDDOWN(ROUNDUP(INDEX(Upgrades!$C$3:$C$13,MATCH(SUBSTITUTE(Q1332,""Sell_"",""""),Upgrades!$B$3:$B$13,0))*1.15^(COUNTIF(Q$4:Q1331,SUBSTITUTE(Q1332,""Sell_"",""""))-COUNTIF(Q$4"&amp;":Q1331,""Sell_""&amp;SUBSTITUTE(Q1332,""Sell_"",""""))))/2),ROUNDUP(INDEX(Upgrades!$C$3:$C$13,MATCH(Q1332,Upgrades!$B$3:$B$13,0))*1.15^(COUNTIF(Q$4:Q1331,Q1332)-COUNTIF(Q$4:Q1331,""Sell_""&amp;Q1332))))))"),"")</f>
        <v/>
      </c>
      <c r="V1332" s="10" t="str">
        <f t="shared" si="11"/>
        <v/>
      </c>
      <c r="W1332" s="68" t="str">
        <f t="shared" si="12"/>
        <v/>
      </c>
      <c r="X1332" s="59" t="str">
        <f t="shared" si="13"/>
        <v/>
      </c>
      <c r="Y1332" s="69" t="str">
        <f t="shared" si="14"/>
        <v/>
      </c>
      <c r="Z1332" s="11"/>
    </row>
    <row r="1333">
      <c r="A1333" s="8"/>
      <c r="B1333" s="56" t="str">
        <f t="shared" si="2"/>
        <v/>
      </c>
      <c r="C1333" s="105"/>
      <c r="D1333" s="10"/>
      <c r="E1333" s="59" t="str">
        <f t="array" ref="E1333">IF(COUNTA(C1333:C1673)=0,"",SUM((COUNTIF(C$4:C1333,Upgrades!$B$3:$B$13)-COUNTIF(C$4:C1333,"Sell_"&amp;Upgrades!$B$3:$B$13))*Upgrades!$D$3:$D$13))</f>
        <v/>
      </c>
      <c r="F1333" s="66" t="str">
        <f>IFERROR(__xludf.DUMMYFUNCTION("IF(COUNTA(C1333:C1673)=0,"""",IF(REGEXMATCH(INDEX(FILTER(C$4:C1333,C$4:C1333&lt;&gt;""""),ROWS(FILTER(C$4:C1333,C$4:C1333&lt;&gt;""""))),""^Sell_""),INDEX(FILTER(F$4:F1332,C$4:C1332&lt;&gt;""""),ROWS(FILTER(C$4:C1332,C$4:C1332&lt;&gt;""""))),$AC$5+E1333))"),"")</f>
        <v/>
      </c>
      <c r="G1333" s="10" t="str">
        <f>IFERROR(__xludf.DUMMYFUNCTION("IF(COUNTA(C1333:C1673)=0,"""",IF(C1333="""",0,IF(REGEXMATCH(C1333,""^Sell_""),-ROUNDDOWN(ROUNDUP(INDEX(Upgrades!$C$3:$C$13,MATCH(SUBSTITUTE(C1333,""Sell_"",""""),Upgrades!$B$3:$B$13,0))*1.15^(COUNTIF(C$4:C1332,SUBSTITUTE(C1333,""Sell_"",""""))-COUNTIF(C$4"&amp;":C1332,""Sell_""&amp;SUBSTITUTE(C1333,""Sell_"",""""))))/2),ROUNDUP(INDEX(Upgrades!$C$3:$C$13,MATCH(C1333,Upgrades!$B$3:$B$13,0))*1.15^(COUNTIF(C$4:C1332,C1333)-COUNTIF(C$4:C1332,""Sell_""&amp;C1333))))))"),"")</f>
        <v/>
      </c>
      <c r="H1333" s="10" t="str">
        <f t="shared" si="3"/>
        <v/>
      </c>
      <c r="I1333" s="68" t="str">
        <f t="shared" si="4"/>
        <v/>
      </c>
      <c r="J1333" s="59" t="str">
        <f t="shared" si="5"/>
        <v/>
      </c>
      <c r="K1333" s="69" t="str">
        <f t="shared" si="6"/>
        <v/>
      </c>
      <c r="L1333" s="60" t="str">
        <f t="shared" si="7"/>
        <v/>
      </c>
      <c r="M1333" s="61" t="str">
        <f>IFERROR(__xludf.DUMMYFUNCTION("IFS(AND(COUNTA(C1333:C1673)=0,COUNTA(Q1333:Q1673)=0),"""",OR(AND(K1333&gt;=1000000000,OR(Y1333&gt;=1000000000,COUNTA(Q1333:Q1673)=0)),OR(Y1333&gt;=1000000000,AND(COUNTA(C1333:C1673)=0,P$3=TRUE))),
ROUNDDOWN((AB$1-AC$1)*MAX(INDEX(T$4:T1673,MATCH(LARGE(FILTER(Y$4:Y1"&amp;"673,Y$4:Y1673&lt;1000000000),1),Y$4:Y1673)),INDEX(F$4:F1673,MATCH(LARGE(FILTER(K$4:K1673,K$4:K1673&lt;1000000000),1),K$4:K1673)))),AND(K1333&lt;1000000000,COUNTA(C1333:C1673)&gt;0,P$3=FALSE),
ROUNDDOWN(INDEX(Y$4:Y1673,MATCH(LARGE(FILTER(W$4:W1673,W$4:W1673&lt;=I1333),1)"&amp;",W$4:W1673))+(I1333-LARGE(FILTER(W$4:W1673,W$4:W1673&lt;=I1333),1))*INDEX(T$4:T1673,MATCH(LARGE(FILTER(W$4:W1673,W$4:W1673&lt;=I1333),1),W$4:W1673))-K1333),1,
ROUNDDOWN(Y1333-INDEX(K$4:K1673,MATCH(LARGE(FILTER(I$4:I1673,I$4:I1673&lt;=W1333),1),I$4:I1673))-(W1333-L"&amp;"ARGE(FILTER(I$4:I1673,I$4:I1673&lt;=W1333),1))*INDEX(F$4:F1673,MATCH(LARGE(FILTER(I$4:I1673,I$4:I1673&lt;=W1333),1),I$4:I1673))))"),"")</f>
        <v/>
      </c>
      <c r="N1333" s="60" t="str">
        <f t="shared" si="8"/>
        <v/>
      </c>
      <c r="O1333" s="61" t="str">
        <f t="shared" si="9"/>
        <v/>
      </c>
      <c r="P1333" s="56" t="str">
        <f t="shared" si="10"/>
        <v/>
      </c>
      <c r="Q1333" s="67"/>
      <c r="R1333" s="10"/>
      <c r="S1333" s="59" t="str">
        <f t="array" ref="S1333">IF(COUNTA(Q1333:Q1673)=0,"",SUM((COUNTIF(Q$4:Q1333,Upgrades!$B$3:$B$13)-COUNTIF(Q$4:Q1333,"Sell_"&amp;Upgrades!$B$3:$B$13))*Upgrades!$D$3:$D$13))</f>
        <v/>
      </c>
      <c r="T1333" s="66" t="str">
        <f>IFERROR(__xludf.DUMMYFUNCTION("IF(COUNTA(Q1333:Q1673)=0,"""",IF(REGEXMATCH(INDEX(FILTER(Q$4:Q1333,Q$4:Q1333&lt;&gt;""""),ROWS(FILTER(Q$4:Q1333,Q$4:Q1333&lt;&gt;""""))),""^Sell_""),INDEX(FILTER(T$4:T1332,Q$4:Q1332&lt;&gt;""""),ROWS(FILTER(Q$4:Q1332,Q$4:Q1332&lt;&gt;""""))),$AD$5+S1333))"),"")</f>
        <v/>
      </c>
      <c r="U1333" s="10" t="str">
        <f>IFERROR(__xludf.DUMMYFUNCTION("IF(COUNTA(Q1333:Q1673)=0,"""",IF(Q1333="""",0,IF(REGEXMATCH(Q1333,""^Sell_""),-ROUNDDOWN(ROUNDUP(INDEX(Upgrades!$C$3:$C$13,MATCH(SUBSTITUTE(Q1333,""Sell_"",""""),Upgrades!$B$3:$B$13,0))*1.15^(COUNTIF(Q$4:Q1332,SUBSTITUTE(Q1333,""Sell_"",""""))-COUNTIF(Q$4"&amp;":Q1332,""Sell_""&amp;SUBSTITUTE(Q1333,""Sell_"",""""))))/2),ROUNDUP(INDEX(Upgrades!$C$3:$C$13,MATCH(Q1333,Upgrades!$B$3:$B$13,0))*1.15^(COUNTIF(Q$4:Q1332,Q1333)-COUNTIF(Q$4:Q1332,""Sell_""&amp;Q1333))))))"),"")</f>
        <v/>
      </c>
      <c r="V1333" s="10" t="str">
        <f t="shared" si="11"/>
        <v/>
      </c>
      <c r="W1333" s="68" t="str">
        <f t="shared" si="12"/>
        <v/>
      </c>
      <c r="X1333" s="59" t="str">
        <f t="shared" si="13"/>
        <v/>
      </c>
      <c r="Y1333" s="69" t="str">
        <f t="shared" si="14"/>
        <v/>
      </c>
      <c r="Z1333" s="11"/>
    </row>
    <row r="1334">
      <c r="A1334" s="8"/>
      <c r="B1334" s="56" t="str">
        <f t="shared" si="2"/>
        <v/>
      </c>
      <c r="C1334" s="105"/>
      <c r="D1334" s="10"/>
      <c r="E1334" s="59" t="str">
        <f t="array" ref="E1334">IF(COUNTA(C1334:C1673)=0,"",SUM((COUNTIF(C$4:C1334,Upgrades!$B$3:$B$13)-COUNTIF(C$4:C1334,"Sell_"&amp;Upgrades!$B$3:$B$13))*Upgrades!$D$3:$D$13))</f>
        <v/>
      </c>
      <c r="F1334" s="66" t="str">
        <f>IFERROR(__xludf.DUMMYFUNCTION("IF(COUNTA(C1334:C1673)=0,"""",IF(REGEXMATCH(INDEX(FILTER(C$4:C1334,C$4:C1334&lt;&gt;""""),ROWS(FILTER(C$4:C1334,C$4:C1334&lt;&gt;""""))),""^Sell_""),INDEX(FILTER(F$4:F1333,C$4:C1333&lt;&gt;""""),ROWS(FILTER(C$4:C1333,C$4:C1333&lt;&gt;""""))),$AC$5+E1334))"),"")</f>
        <v/>
      </c>
      <c r="G1334" s="10" t="str">
        <f>IFERROR(__xludf.DUMMYFUNCTION("IF(COUNTA(C1334:C1673)=0,"""",IF(C1334="""",0,IF(REGEXMATCH(C1334,""^Sell_""),-ROUNDDOWN(ROUNDUP(INDEX(Upgrades!$C$3:$C$13,MATCH(SUBSTITUTE(C1334,""Sell_"",""""),Upgrades!$B$3:$B$13,0))*1.15^(COUNTIF(C$4:C1333,SUBSTITUTE(C1334,""Sell_"",""""))-COUNTIF(C$4"&amp;":C1333,""Sell_""&amp;SUBSTITUTE(C1334,""Sell_"",""""))))/2),ROUNDUP(INDEX(Upgrades!$C$3:$C$13,MATCH(C1334,Upgrades!$B$3:$B$13,0))*1.15^(COUNTIF(C$4:C1333,C1334)-COUNTIF(C$4:C1333,""Sell_""&amp;C1334))))))"),"")</f>
        <v/>
      </c>
      <c r="H1334" s="10" t="str">
        <f t="shared" si="3"/>
        <v/>
      </c>
      <c r="I1334" s="68" t="str">
        <f t="shared" si="4"/>
        <v/>
      </c>
      <c r="J1334" s="59" t="str">
        <f t="shared" si="5"/>
        <v/>
      </c>
      <c r="K1334" s="69" t="str">
        <f t="shared" si="6"/>
        <v/>
      </c>
      <c r="L1334" s="60" t="str">
        <f t="shared" si="7"/>
        <v/>
      </c>
      <c r="M1334" s="61" t="str">
        <f>IFERROR(__xludf.DUMMYFUNCTION("IFS(AND(COUNTA(C1334:C1673)=0,COUNTA(Q1334:Q1673)=0),"""",OR(AND(K1334&gt;=1000000000,OR(Y1334&gt;=1000000000,COUNTA(Q1334:Q1673)=0)),OR(Y1334&gt;=1000000000,AND(COUNTA(C1334:C1673)=0,P$3=TRUE))),
ROUNDDOWN((AB$1-AC$1)*MAX(INDEX(T$4:T1673,MATCH(LARGE(FILTER(Y$4:Y1"&amp;"673,Y$4:Y1673&lt;1000000000),1),Y$4:Y1673)),INDEX(F$4:F1673,MATCH(LARGE(FILTER(K$4:K1673,K$4:K1673&lt;1000000000),1),K$4:K1673)))),AND(K1334&lt;1000000000,COUNTA(C1334:C1673)&gt;0,P$3=FALSE),
ROUNDDOWN(INDEX(Y$4:Y1673,MATCH(LARGE(FILTER(W$4:W1673,W$4:W1673&lt;=I1334),1)"&amp;",W$4:W1673))+(I1334-LARGE(FILTER(W$4:W1673,W$4:W1673&lt;=I1334),1))*INDEX(T$4:T1673,MATCH(LARGE(FILTER(W$4:W1673,W$4:W1673&lt;=I1334),1),W$4:W1673))-K1334),1,
ROUNDDOWN(Y1334-INDEX(K$4:K1673,MATCH(LARGE(FILTER(I$4:I1673,I$4:I1673&lt;=W1334),1),I$4:I1673))-(W1334-L"&amp;"ARGE(FILTER(I$4:I1673,I$4:I1673&lt;=W1334),1))*INDEX(F$4:F1673,MATCH(LARGE(FILTER(I$4:I1673,I$4:I1673&lt;=W1334),1),I$4:I1673))))"),"")</f>
        <v/>
      </c>
      <c r="N1334" s="60" t="str">
        <f t="shared" si="8"/>
        <v/>
      </c>
      <c r="O1334" s="61" t="str">
        <f t="shared" si="9"/>
        <v/>
      </c>
      <c r="P1334" s="56" t="str">
        <f t="shared" si="10"/>
        <v/>
      </c>
      <c r="Q1334" s="67"/>
      <c r="R1334" s="10"/>
      <c r="S1334" s="59" t="str">
        <f t="array" ref="S1334">IF(COUNTA(Q1334:Q1673)=0,"",SUM((COUNTIF(Q$4:Q1334,Upgrades!$B$3:$B$13)-COUNTIF(Q$4:Q1334,"Sell_"&amp;Upgrades!$B$3:$B$13))*Upgrades!$D$3:$D$13))</f>
        <v/>
      </c>
      <c r="T1334" s="66" t="str">
        <f>IFERROR(__xludf.DUMMYFUNCTION("IF(COUNTA(Q1334:Q1673)=0,"""",IF(REGEXMATCH(INDEX(FILTER(Q$4:Q1334,Q$4:Q1334&lt;&gt;""""),ROWS(FILTER(Q$4:Q1334,Q$4:Q1334&lt;&gt;""""))),""^Sell_""),INDEX(FILTER(T$4:T1333,Q$4:Q1333&lt;&gt;""""),ROWS(FILTER(Q$4:Q1333,Q$4:Q1333&lt;&gt;""""))),$AD$5+S1334))"),"")</f>
        <v/>
      </c>
      <c r="U1334" s="10" t="str">
        <f>IFERROR(__xludf.DUMMYFUNCTION("IF(COUNTA(Q1334:Q1673)=0,"""",IF(Q1334="""",0,IF(REGEXMATCH(Q1334,""^Sell_""),-ROUNDDOWN(ROUNDUP(INDEX(Upgrades!$C$3:$C$13,MATCH(SUBSTITUTE(Q1334,""Sell_"",""""),Upgrades!$B$3:$B$13,0))*1.15^(COUNTIF(Q$4:Q1333,SUBSTITUTE(Q1334,""Sell_"",""""))-COUNTIF(Q$4"&amp;":Q1333,""Sell_""&amp;SUBSTITUTE(Q1334,""Sell_"",""""))))/2),ROUNDUP(INDEX(Upgrades!$C$3:$C$13,MATCH(Q1334,Upgrades!$B$3:$B$13,0))*1.15^(COUNTIF(Q$4:Q1333,Q1334)-COUNTIF(Q$4:Q1333,""Sell_""&amp;Q1334))))))"),"")</f>
        <v/>
      </c>
      <c r="V1334" s="10" t="str">
        <f t="shared" si="11"/>
        <v/>
      </c>
      <c r="W1334" s="68" t="str">
        <f t="shared" si="12"/>
        <v/>
      </c>
      <c r="X1334" s="59" t="str">
        <f t="shared" si="13"/>
        <v/>
      </c>
      <c r="Y1334" s="69" t="str">
        <f t="shared" si="14"/>
        <v/>
      </c>
      <c r="Z1334" s="11"/>
    </row>
    <row r="1335">
      <c r="A1335" s="8"/>
      <c r="B1335" s="56" t="str">
        <f t="shared" si="2"/>
        <v/>
      </c>
      <c r="C1335" s="105"/>
      <c r="D1335" s="10"/>
      <c r="E1335" s="59" t="str">
        <f t="array" ref="E1335">IF(COUNTA(C1335:C1673)=0,"",SUM((COUNTIF(C$4:C1335,Upgrades!$B$3:$B$13)-COUNTIF(C$4:C1335,"Sell_"&amp;Upgrades!$B$3:$B$13))*Upgrades!$D$3:$D$13))</f>
        <v/>
      </c>
      <c r="F1335" s="66" t="str">
        <f>IFERROR(__xludf.DUMMYFUNCTION("IF(COUNTA(C1335:C1673)=0,"""",IF(REGEXMATCH(INDEX(FILTER(C$4:C1335,C$4:C1335&lt;&gt;""""),ROWS(FILTER(C$4:C1335,C$4:C1335&lt;&gt;""""))),""^Sell_""),INDEX(FILTER(F$4:F1334,C$4:C1334&lt;&gt;""""),ROWS(FILTER(C$4:C1334,C$4:C1334&lt;&gt;""""))),$AC$5+E1335))"),"")</f>
        <v/>
      </c>
      <c r="G1335" s="10" t="str">
        <f>IFERROR(__xludf.DUMMYFUNCTION("IF(COUNTA(C1335:C1673)=0,"""",IF(C1335="""",0,IF(REGEXMATCH(C1335,""^Sell_""),-ROUNDDOWN(ROUNDUP(INDEX(Upgrades!$C$3:$C$13,MATCH(SUBSTITUTE(C1335,""Sell_"",""""),Upgrades!$B$3:$B$13,0))*1.15^(COUNTIF(C$4:C1334,SUBSTITUTE(C1335,""Sell_"",""""))-COUNTIF(C$4"&amp;":C1334,""Sell_""&amp;SUBSTITUTE(C1335,""Sell_"",""""))))/2),ROUNDUP(INDEX(Upgrades!$C$3:$C$13,MATCH(C1335,Upgrades!$B$3:$B$13,0))*1.15^(COUNTIF(C$4:C1334,C1335)-COUNTIF(C$4:C1334,""Sell_""&amp;C1335))))))"),"")</f>
        <v/>
      </c>
      <c r="H1335" s="10" t="str">
        <f t="shared" si="3"/>
        <v/>
      </c>
      <c r="I1335" s="68" t="str">
        <f t="shared" si="4"/>
        <v/>
      </c>
      <c r="J1335" s="59" t="str">
        <f t="shared" si="5"/>
        <v/>
      </c>
      <c r="K1335" s="69" t="str">
        <f t="shared" si="6"/>
        <v/>
      </c>
      <c r="L1335" s="60" t="str">
        <f t="shared" si="7"/>
        <v/>
      </c>
      <c r="M1335" s="61" t="str">
        <f>IFERROR(__xludf.DUMMYFUNCTION("IFS(AND(COUNTA(C1335:C1673)=0,COUNTA(Q1335:Q1673)=0),"""",OR(AND(K1335&gt;=1000000000,OR(Y1335&gt;=1000000000,COUNTA(Q1335:Q1673)=0)),OR(Y1335&gt;=1000000000,AND(COUNTA(C1335:C1673)=0,P$3=TRUE))),
ROUNDDOWN((AB$1-AC$1)*MAX(INDEX(T$4:T1673,MATCH(LARGE(FILTER(Y$4:Y1"&amp;"673,Y$4:Y1673&lt;1000000000),1),Y$4:Y1673)),INDEX(F$4:F1673,MATCH(LARGE(FILTER(K$4:K1673,K$4:K1673&lt;1000000000),1),K$4:K1673)))),AND(K1335&lt;1000000000,COUNTA(C1335:C1673)&gt;0,P$3=FALSE),
ROUNDDOWN(INDEX(Y$4:Y1673,MATCH(LARGE(FILTER(W$4:W1673,W$4:W1673&lt;=I1335),1)"&amp;",W$4:W1673))+(I1335-LARGE(FILTER(W$4:W1673,W$4:W1673&lt;=I1335),1))*INDEX(T$4:T1673,MATCH(LARGE(FILTER(W$4:W1673,W$4:W1673&lt;=I1335),1),W$4:W1673))-K1335),1,
ROUNDDOWN(Y1335-INDEX(K$4:K1673,MATCH(LARGE(FILTER(I$4:I1673,I$4:I1673&lt;=W1335),1),I$4:I1673))-(W1335-L"&amp;"ARGE(FILTER(I$4:I1673,I$4:I1673&lt;=W1335),1))*INDEX(F$4:F1673,MATCH(LARGE(FILTER(I$4:I1673,I$4:I1673&lt;=W1335),1),I$4:I1673))))"),"")</f>
        <v/>
      </c>
      <c r="N1335" s="60" t="str">
        <f t="shared" si="8"/>
        <v/>
      </c>
      <c r="O1335" s="61" t="str">
        <f t="shared" si="9"/>
        <v/>
      </c>
      <c r="P1335" s="56" t="str">
        <f t="shared" si="10"/>
        <v/>
      </c>
      <c r="Q1335" s="67"/>
      <c r="R1335" s="10"/>
      <c r="S1335" s="59" t="str">
        <f t="array" ref="S1335">IF(COUNTA(Q1335:Q1673)=0,"",SUM((COUNTIF(Q$4:Q1335,Upgrades!$B$3:$B$13)-COUNTIF(Q$4:Q1335,"Sell_"&amp;Upgrades!$B$3:$B$13))*Upgrades!$D$3:$D$13))</f>
        <v/>
      </c>
      <c r="T1335" s="66" t="str">
        <f>IFERROR(__xludf.DUMMYFUNCTION("IF(COUNTA(Q1335:Q1673)=0,"""",IF(REGEXMATCH(INDEX(FILTER(Q$4:Q1335,Q$4:Q1335&lt;&gt;""""),ROWS(FILTER(Q$4:Q1335,Q$4:Q1335&lt;&gt;""""))),""^Sell_""),INDEX(FILTER(T$4:T1334,Q$4:Q1334&lt;&gt;""""),ROWS(FILTER(Q$4:Q1334,Q$4:Q1334&lt;&gt;""""))),$AD$5+S1335))"),"")</f>
        <v/>
      </c>
      <c r="U1335" s="10" t="str">
        <f>IFERROR(__xludf.DUMMYFUNCTION("IF(COUNTA(Q1335:Q1673)=0,"""",IF(Q1335="""",0,IF(REGEXMATCH(Q1335,""^Sell_""),-ROUNDDOWN(ROUNDUP(INDEX(Upgrades!$C$3:$C$13,MATCH(SUBSTITUTE(Q1335,""Sell_"",""""),Upgrades!$B$3:$B$13,0))*1.15^(COUNTIF(Q$4:Q1334,SUBSTITUTE(Q1335,""Sell_"",""""))-COUNTIF(Q$4"&amp;":Q1334,""Sell_""&amp;SUBSTITUTE(Q1335,""Sell_"",""""))))/2),ROUNDUP(INDEX(Upgrades!$C$3:$C$13,MATCH(Q1335,Upgrades!$B$3:$B$13,0))*1.15^(COUNTIF(Q$4:Q1334,Q1335)-COUNTIF(Q$4:Q1334,""Sell_""&amp;Q1335))))))"),"")</f>
        <v/>
      </c>
      <c r="V1335" s="10" t="str">
        <f t="shared" si="11"/>
        <v/>
      </c>
      <c r="W1335" s="68" t="str">
        <f t="shared" si="12"/>
        <v/>
      </c>
      <c r="X1335" s="59" t="str">
        <f t="shared" si="13"/>
        <v/>
      </c>
      <c r="Y1335" s="69" t="str">
        <f t="shared" si="14"/>
        <v/>
      </c>
      <c r="Z1335" s="11"/>
    </row>
    <row r="1336">
      <c r="A1336" s="8"/>
      <c r="B1336" s="56" t="str">
        <f t="shared" si="2"/>
        <v/>
      </c>
      <c r="C1336" s="105"/>
      <c r="D1336" s="10"/>
      <c r="E1336" s="59" t="str">
        <f t="array" ref="E1336">IF(COUNTA(C1336:C1673)=0,"",SUM((COUNTIF(C$4:C1336,Upgrades!$B$3:$B$13)-COUNTIF(C$4:C1336,"Sell_"&amp;Upgrades!$B$3:$B$13))*Upgrades!$D$3:$D$13))</f>
        <v/>
      </c>
      <c r="F1336" s="66" t="str">
        <f>IFERROR(__xludf.DUMMYFUNCTION("IF(COUNTA(C1336:C1673)=0,"""",IF(REGEXMATCH(INDEX(FILTER(C$4:C1336,C$4:C1336&lt;&gt;""""),ROWS(FILTER(C$4:C1336,C$4:C1336&lt;&gt;""""))),""^Sell_""),INDEX(FILTER(F$4:F1335,C$4:C1335&lt;&gt;""""),ROWS(FILTER(C$4:C1335,C$4:C1335&lt;&gt;""""))),$AC$5+E1336))"),"")</f>
        <v/>
      </c>
      <c r="G1336" s="10" t="str">
        <f>IFERROR(__xludf.DUMMYFUNCTION("IF(COUNTA(C1336:C1673)=0,"""",IF(C1336="""",0,IF(REGEXMATCH(C1336,""^Sell_""),-ROUNDDOWN(ROUNDUP(INDEX(Upgrades!$C$3:$C$13,MATCH(SUBSTITUTE(C1336,""Sell_"",""""),Upgrades!$B$3:$B$13,0))*1.15^(COUNTIF(C$4:C1335,SUBSTITUTE(C1336,""Sell_"",""""))-COUNTIF(C$4"&amp;":C1335,""Sell_""&amp;SUBSTITUTE(C1336,""Sell_"",""""))))/2),ROUNDUP(INDEX(Upgrades!$C$3:$C$13,MATCH(C1336,Upgrades!$B$3:$B$13,0))*1.15^(COUNTIF(C$4:C1335,C1336)-COUNTIF(C$4:C1335,""Sell_""&amp;C1336))))))"),"")</f>
        <v/>
      </c>
      <c r="H1336" s="10" t="str">
        <f t="shared" si="3"/>
        <v/>
      </c>
      <c r="I1336" s="68" t="str">
        <f t="shared" si="4"/>
        <v/>
      </c>
      <c r="J1336" s="59" t="str">
        <f t="shared" si="5"/>
        <v/>
      </c>
      <c r="K1336" s="69" t="str">
        <f t="shared" si="6"/>
        <v/>
      </c>
      <c r="L1336" s="60" t="str">
        <f t="shared" si="7"/>
        <v/>
      </c>
      <c r="M1336" s="61" t="str">
        <f>IFERROR(__xludf.DUMMYFUNCTION("IFS(AND(COUNTA(C1336:C1673)=0,COUNTA(Q1336:Q1673)=0),"""",OR(AND(K1336&gt;=1000000000,OR(Y1336&gt;=1000000000,COUNTA(Q1336:Q1673)=0)),OR(Y1336&gt;=1000000000,AND(COUNTA(C1336:C1673)=0,P$3=TRUE))),
ROUNDDOWN((AB$1-AC$1)*MAX(INDEX(T$4:T1673,MATCH(LARGE(FILTER(Y$4:Y1"&amp;"673,Y$4:Y1673&lt;1000000000),1),Y$4:Y1673)),INDEX(F$4:F1673,MATCH(LARGE(FILTER(K$4:K1673,K$4:K1673&lt;1000000000),1),K$4:K1673)))),AND(K1336&lt;1000000000,COUNTA(C1336:C1673)&gt;0,P$3=FALSE),
ROUNDDOWN(INDEX(Y$4:Y1673,MATCH(LARGE(FILTER(W$4:W1673,W$4:W1673&lt;=I1336),1)"&amp;",W$4:W1673))+(I1336-LARGE(FILTER(W$4:W1673,W$4:W1673&lt;=I1336),1))*INDEX(T$4:T1673,MATCH(LARGE(FILTER(W$4:W1673,W$4:W1673&lt;=I1336),1),W$4:W1673))-K1336),1,
ROUNDDOWN(Y1336-INDEX(K$4:K1673,MATCH(LARGE(FILTER(I$4:I1673,I$4:I1673&lt;=W1336),1),I$4:I1673))-(W1336-L"&amp;"ARGE(FILTER(I$4:I1673,I$4:I1673&lt;=W1336),1))*INDEX(F$4:F1673,MATCH(LARGE(FILTER(I$4:I1673,I$4:I1673&lt;=W1336),1),I$4:I1673))))"),"")</f>
        <v/>
      </c>
      <c r="N1336" s="60" t="str">
        <f t="shared" si="8"/>
        <v/>
      </c>
      <c r="O1336" s="61" t="str">
        <f t="shared" si="9"/>
        <v/>
      </c>
      <c r="P1336" s="56" t="str">
        <f t="shared" si="10"/>
        <v/>
      </c>
      <c r="Q1336" s="67"/>
      <c r="R1336" s="10"/>
      <c r="S1336" s="59" t="str">
        <f t="array" ref="S1336">IF(COUNTA(Q1336:Q1673)=0,"",SUM((COUNTIF(Q$4:Q1336,Upgrades!$B$3:$B$13)-COUNTIF(Q$4:Q1336,"Sell_"&amp;Upgrades!$B$3:$B$13))*Upgrades!$D$3:$D$13))</f>
        <v/>
      </c>
      <c r="T1336" s="66" t="str">
        <f>IFERROR(__xludf.DUMMYFUNCTION("IF(COUNTA(Q1336:Q1673)=0,"""",IF(REGEXMATCH(INDEX(FILTER(Q$4:Q1336,Q$4:Q1336&lt;&gt;""""),ROWS(FILTER(Q$4:Q1336,Q$4:Q1336&lt;&gt;""""))),""^Sell_""),INDEX(FILTER(T$4:T1335,Q$4:Q1335&lt;&gt;""""),ROWS(FILTER(Q$4:Q1335,Q$4:Q1335&lt;&gt;""""))),$AD$5+S1336))"),"")</f>
        <v/>
      </c>
      <c r="U1336" s="10" t="str">
        <f>IFERROR(__xludf.DUMMYFUNCTION("IF(COUNTA(Q1336:Q1673)=0,"""",IF(Q1336="""",0,IF(REGEXMATCH(Q1336,""^Sell_""),-ROUNDDOWN(ROUNDUP(INDEX(Upgrades!$C$3:$C$13,MATCH(SUBSTITUTE(Q1336,""Sell_"",""""),Upgrades!$B$3:$B$13,0))*1.15^(COUNTIF(Q$4:Q1335,SUBSTITUTE(Q1336,""Sell_"",""""))-COUNTIF(Q$4"&amp;":Q1335,""Sell_""&amp;SUBSTITUTE(Q1336,""Sell_"",""""))))/2),ROUNDUP(INDEX(Upgrades!$C$3:$C$13,MATCH(Q1336,Upgrades!$B$3:$B$13,0))*1.15^(COUNTIF(Q$4:Q1335,Q1336)-COUNTIF(Q$4:Q1335,""Sell_""&amp;Q1336))))))"),"")</f>
        <v/>
      </c>
      <c r="V1336" s="10" t="str">
        <f t="shared" si="11"/>
        <v/>
      </c>
      <c r="W1336" s="68" t="str">
        <f t="shared" si="12"/>
        <v/>
      </c>
      <c r="X1336" s="59" t="str">
        <f t="shared" si="13"/>
        <v/>
      </c>
      <c r="Y1336" s="69" t="str">
        <f t="shared" si="14"/>
        <v/>
      </c>
      <c r="Z1336" s="11"/>
    </row>
    <row r="1337">
      <c r="A1337" s="8"/>
      <c r="B1337" s="56" t="str">
        <f t="shared" si="2"/>
        <v/>
      </c>
      <c r="C1337" s="105"/>
      <c r="D1337" s="10"/>
      <c r="E1337" s="59" t="str">
        <f t="array" ref="E1337">IF(COUNTA(C1337:C1673)=0,"",SUM((COUNTIF(C$4:C1337,Upgrades!$B$3:$B$13)-COUNTIF(C$4:C1337,"Sell_"&amp;Upgrades!$B$3:$B$13))*Upgrades!$D$3:$D$13))</f>
        <v/>
      </c>
      <c r="F1337" s="66" t="str">
        <f>IFERROR(__xludf.DUMMYFUNCTION("IF(COUNTA(C1337:C1673)=0,"""",IF(REGEXMATCH(INDEX(FILTER(C$4:C1337,C$4:C1337&lt;&gt;""""),ROWS(FILTER(C$4:C1337,C$4:C1337&lt;&gt;""""))),""^Sell_""),INDEX(FILTER(F$4:F1336,C$4:C1336&lt;&gt;""""),ROWS(FILTER(C$4:C1336,C$4:C1336&lt;&gt;""""))),$AC$5+E1337))"),"")</f>
        <v/>
      </c>
      <c r="G1337" s="10" t="str">
        <f>IFERROR(__xludf.DUMMYFUNCTION("IF(COUNTA(C1337:C1673)=0,"""",IF(C1337="""",0,IF(REGEXMATCH(C1337,""^Sell_""),-ROUNDDOWN(ROUNDUP(INDEX(Upgrades!$C$3:$C$13,MATCH(SUBSTITUTE(C1337,""Sell_"",""""),Upgrades!$B$3:$B$13,0))*1.15^(COUNTIF(C$4:C1336,SUBSTITUTE(C1337,""Sell_"",""""))-COUNTIF(C$4"&amp;":C1336,""Sell_""&amp;SUBSTITUTE(C1337,""Sell_"",""""))))/2),ROUNDUP(INDEX(Upgrades!$C$3:$C$13,MATCH(C1337,Upgrades!$B$3:$B$13,0))*1.15^(COUNTIF(C$4:C1336,C1337)-COUNTIF(C$4:C1336,""Sell_""&amp;C1337))))))"),"")</f>
        <v/>
      </c>
      <c r="H1337" s="10" t="str">
        <f t="shared" si="3"/>
        <v/>
      </c>
      <c r="I1337" s="68" t="str">
        <f t="shared" si="4"/>
        <v/>
      </c>
      <c r="J1337" s="59" t="str">
        <f t="shared" si="5"/>
        <v/>
      </c>
      <c r="K1337" s="69" t="str">
        <f t="shared" si="6"/>
        <v/>
      </c>
      <c r="L1337" s="60" t="str">
        <f t="shared" si="7"/>
        <v/>
      </c>
      <c r="M1337" s="61" t="str">
        <f>IFERROR(__xludf.DUMMYFUNCTION("IFS(AND(COUNTA(C1337:C1673)=0,COUNTA(Q1337:Q1673)=0),"""",OR(AND(K1337&gt;=1000000000,OR(Y1337&gt;=1000000000,COUNTA(Q1337:Q1673)=0)),OR(Y1337&gt;=1000000000,AND(COUNTA(C1337:C1673)=0,P$3=TRUE))),
ROUNDDOWN((AB$1-AC$1)*MAX(INDEX(T$4:T1673,MATCH(LARGE(FILTER(Y$4:Y1"&amp;"673,Y$4:Y1673&lt;1000000000),1),Y$4:Y1673)),INDEX(F$4:F1673,MATCH(LARGE(FILTER(K$4:K1673,K$4:K1673&lt;1000000000),1),K$4:K1673)))),AND(K1337&lt;1000000000,COUNTA(C1337:C1673)&gt;0,P$3=FALSE),
ROUNDDOWN(INDEX(Y$4:Y1673,MATCH(LARGE(FILTER(W$4:W1673,W$4:W1673&lt;=I1337),1)"&amp;",W$4:W1673))+(I1337-LARGE(FILTER(W$4:W1673,W$4:W1673&lt;=I1337),1))*INDEX(T$4:T1673,MATCH(LARGE(FILTER(W$4:W1673,W$4:W1673&lt;=I1337),1),W$4:W1673))-K1337),1,
ROUNDDOWN(Y1337-INDEX(K$4:K1673,MATCH(LARGE(FILTER(I$4:I1673,I$4:I1673&lt;=W1337),1),I$4:I1673))-(W1337-L"&amp;"ARGE(FILTER(I$4:I1673,I$4:I1673&lt;=W1337),1))*INDEX(F$4:F1673,MATCH(LARGE(FILTER(I$4:I1673,I$4:I1673&lt;=W1337),1),I$4:I1673))))"),"")</f>
        <v/>
      </c>
      <c r="N1337" s="60" t="str">
        <f t="shared" si="8"/>
        <v/>
      </c>
      <c r="O1337" s="61" t="str">
        <f t="shared" si="9"/>
        <v/>
      </c>
      <c r="P1337" s="56" t="str">
        <f t="shared" si="10"/>
        <v/>
      </c>
      <c r="Q1337" s="67"/>
      <c r="R1337" s="10"/>
      <c r="S1337" s="59" t="str">
        <f t="array" ref="S1337">IF(COUNTA(Q1337:Q1673)=0,"",SUM((COUNTIF(Q$4:Q1337,Upgrades!$B$3:$B$13)-COUNTIF(Q$4:Q1337,"Sell_"&amp;Upgrades!$B$3:$B$13))*Upgrades!$D$3:$D$13))</f>
        <v/>
      </c>
      <c r="T1337" s="66" t="str">
        <f>IFERROR(__xludf.DUMMYFUNCTION("IF(COUNTA(Q1337:Q1673)=0,"""",IF(REGEXMATCH(INDEX(FILTER(Q$4:Q1337,Q$4:Q1337&lt;&gt;""""),ROWS(FILTER(Q$4:Q1337,Q$4:Q1337&lt;&gt;""""))),""^Sell_""),INDEX(FILTER(T$4:T1336,Q$4:Q1336&lt;&gt;""""),ROWS(FILTER(Q$4:Q1336,Q$4:Q1336&lt;&gt;""""))),$AD$5+S1337))"),"")</f>
        <v/>
      </c>
      <c r="U1337" s="10" t="str">
        <f>IFERROR(__xludf.DUMMYFUNCTION("IF(COUNTA(Q1337:Q1673)=0,"""",IF(Q1337="""",0,IF(REGEXMATCH(Q1337,""^Sell_""),-ROUNDDOWN(ROUNDUP(INDEX(Upgrades!$C$3:$C$13,MATCH(SUBSTITUTE(Q1337,""Sell_"",""""),Upgrades!$B$3:$B$13,0))*1.15^(COUNTIF(Q$4:Q1336,SUBSTITUTE(Q1337,""Sell_"",""""))-COUNTIF(Q$4"&amp;":Q1336,""Sell_""&amp;SUBSTITUTE(Q1337,""Sell_"",""""))))/2),ROUNDUP(INDEX(Upgrades!$C$3:$C$13,MATCH(Q1337,Upgrades!$B$3:$B$13,0))*1.15^(COUNTIF(Q$4:Q1336,Q1337)-COUNTIF(Q$4:Q1336,""Sell_""&amp;Q1337))))))"),"")</f>
        <v/>
      </c>
      <c r="V1337" s="10" t="str">
        <f t="shared" si="11"/>
        <v/>
      </c>
      <c r="W1337" s="68" t="str">
        <f t="shared" si="12"/>
        <v/>
      </c>
      <c r="X1337" s="59" t="str">
        <f t="shared" si="13"/>
        <v/>
      </c>
      <c r="Y1337" s="69" t="str">
        <f t="shared" si="14"/>
        <v/>
      </c>
      <c r="Z1337" s="11"/>
    </row>
    <row r="1338">
      <c r="A1338" s="8"/>
      <c r="B1338" s="56" t="str">
        <f t="shared" si="2"/>
        <v/>
      </c>
      <c r="C1338" s="105"/>
      <c r="D1338" s="10"/>
      <c r="E1338" s="59" t="str">
        <f t="array" ref="E1338">IF(COUNTA(C1338:C1673)=0,"",SUM((COUNTIF(C$4:C1338,Upgrades!$B$3:$B$13)-COUNTIF(C$4:C1338,"Sell_"&amp;Upgrades!$B$3:$B$13))*Upgrades!$D$3:$D$13))</f>
        <v/>
      </c>
      <c r="F1338" s="66" t="str">
        <f>IFERROR(__xludf.DUMMYFUNCTION("IF(COUNTA(C1338:C1673)=0,"""",IF(REGEXMATCH(INDEX(FILTER(C$4:C1338,C$4:C1338&lt;&gt;""""),ROWS(FILTER(C$4:C1338,C$4:C1338&lt;&gt;""""))),""^Sell_""),INDEX(FILTER(F$4:F1337,C$4:C1337&lt;&gt;""""),ROWS(FILTER(C$4:C1337,C$4:C1337&lt;&gt;""""))),$AC$5+E1338))"),"")</f>
        <v/>
      </c>
      <c r="G1338" s="10" t="str">
        <f>IFERROR(__xludf.DUMMYFUNCTION("IF(COUNTA(C1338:C1673)=0,"""",IF(C1338="""",0,IF(REGEXMATCH(C1338,""^Sell_""),-ROUNDDOWN(ROUNDUP(INDEX(Upgrades!$C$3:$C$13,MATCH(SUBSTITUTE(C1338,""Sell_"",""""),Upgrades!$B$3:$B$13,0))*1.15^(COUNTIF(C$4:C1337,SUBSTITUTE(C1338,""Sell_"",""""))-COUNTIF(C$4"&amp;":C1337,""Sell_""&amp;SUBSTITUTE(C1338,""Sell_"",""""))))/2),ROUNDUP(INDEX(Upgrades!$C$3:$C$13,MATCH(C1338,Upgrades!$B$3:$B$13,0))*1.15^(COUNTIF(C$4:C1337,C1338)-COUNTIF(C$4:C1337,""Sell_""&amp;C1338))))))"),"")</f>
        <v/>
      </c>
      <c r="H1338" s="10" t="str">
        <f t="shared" si="3"/>
        <v/>
      </c>
      <c r="I1338" s="68" t="str">
        <f t="shared" si="4"/>
        <v/>
      </c>
      <c r="J1338" s="59" t="str">
        <f t="shared" si="5"/>
        <v/>
      </c>
      <c r="K1338" s="69" t="str">
        <f t="shared" si="6"/>
        <v/>
      </c>
      <c r="L1338" s="60" t="str">
        <f t="shared" si="7"/>
        <v/>
      </c>
      <c r="M1338" s="61" t="str">
        <f>IFERROR(__xludf.DUMMYFUNCTION("IFS(AND(COUNTA(C1338:C1673)=0,COUNTA(Q1338:Q1673)=0),"""",OR(AND(K1338&gt;=1000000000,OR(Y1338&gt;=1000000000,COUNTA(Q1338:Q1673)=0)),OR(Y1338&gt;=1000000000,AND(COUNTA(C1338:C1673)=0,P$3=TRUE))),
ROUNDDOWN((AB$1-AC$1)*MAX(INDEX(T$4:T1673,MATCH(LARGE(FILTER(Y$4:Y1"&amp;"673,Y$4:Y1673&lt;1000000000),1),Y$4:Y1673)),INDEX(F$4:F1673,MATCH(LARGE(FILTER(K$4:K1673,K$4:K1673&lt;1000000000),1),K$4:K1673)))),AND(K1338&lt;1000000000,COUNTA(C1338:C1673)&gt;0,P$3=FALSE),
ROUNDDOWN(INDEX(Y$4:Y1673,MATCH(LARGE(FILTER(W$4:W1673,W$4:W1673&lt;=I1338),1)"&amp;",W$4:W1673))+(I1338-LARGE(FILTER(W$4:W1673,W$4:W1673&lt;=I1338),1))*INDEX(T$4:T1673,MATCH(LARGE(FILTER(W$4:W1673,W$4:W1673&lt;=I1338),1),W$4:W1673))-K1338),1,
ROUNDDOWN(Y1338-INDEX(K$4:K1673,MATCH(LARGE(FILTER(I$4:I1673,I$4:I1673&lt;=W1338),1),I$4:I1673))-(W1338-L"&amp;"ARGE(FILTER(I$4:I1673,I$4:I1673&lt;=W1338),1))*INDEX(F$4:F1673,MATCH(LARGE(FILTER(I$4:I1673,I$4:I1673&lt;=W1338),1),I$4:I1673))))"),"")</f>
        <v/>
      </c>
      <c r="N1338" s="60" t="str">
        <f t="shared" si="8"/>
        <v/>
      </c>
      <c r="O1338" s="61" t="str">
        <f t="shared" si="9"/>
        <v/>
      </c>
      <c r="P1338" s="56" t="str">
        <f t="shared" si="10"/>
        <v/>
      </c>
      <c r="Q1338" s="67"/>
      <c r="R1338" s="10"/>
      <c r="S1338" s="59" t="str">
        <f t="array" ref="S1338">IF(COUNTA(Q1338:Q1673)=0,"",SUM((COUNTIF(Q$4:Q1338,Upgrades!$B$3:$B$13)-COUNTIF(Q$4:Q1338,"Sell_"&amp;Upgrades!$B$3:$B$13))*Upgrades!$D$3:$D$13))</f>
        <v/>
      </c>
      <c r="T1338" s="66" t="str">
        <f>IFERROR(__xludf.DUMMYFUNCTION("IF(COUNTA(Q1338:Q1673)=0,"""",IF(REGEXMATCH(INDEX(FILTER(Q$4:Q1338,Q$4:Q1338&lt;&gt;""""),ROWS(FILTER(Q$4:Q1338,Q$4:Q1338&lt;&gt;""""))),""^Sell_""),INDEX(FILTER(T$4:T1337,Q$4:Q1337&lt;&gt;""""),ROWS(FILTER(Q$4:Q1337,Q$4:Q1337&lt;&gt;""""))),$AD$5+S1338))"),"")</f>
        <v/>
      </c>
      <c r="U1338" s="10" t="str">
        <f>IFERROR(__xludf.DUMMYFUNCTION("IF(COUNTA(Q1338:Q1673)=0,"""",IF(Q1338="""",0,IF(REGEXMATCH(Q1338,""^Sell_""),-ROUNDDOWN(ROUNDUP(INDEX(Upgrades!$C$3:$C$13,MATCH(SUBSTITUTE(Q1338,""Sell_"",""""),Upgrades!$B$3:$B$13,0))*1.15^(COUNTIF(Q$4:Q1337,SUBSTITUTE(Q1338,""Sell_"",""""))-COUNTIF(Q$4"&amp;":Q1337,""Sell_""&amp;SUBSTITUTE(Q1338,""Sell_"",""""))))/2),ROUNDUP(INDEX(Upgrades!$C$3:$C$13,MATCH(Q1338,Upgrades!$B$3:$B$13,0))*1.15^(COUNTIF(Q$4:Q1337,Q1338)-COUNTIF(Q$4:Q1337,""Sell_""&amp;Q1338))))))"),"")</f>
        <v/>
      </c>
      <c r="V1338" s="10" t="str">
        <f t="shared" si="11"/>
        <v/>
      </c>
      <c r="W1338" s="68" t="str">
        <f t="shared" si="12"/>
        <v/>
      </c>
      <c r="X1338" s="59" t="str">
        <f t="shared" si="13"/>
        <v/>
      </c>
      <c r="Y1338" s="69" t="str">
        <f t="shared" si="14"/>
        <v/>
      </c>
      <c r="Z1338" s="11"/>
    </row>
    <row r="1339">
      <c r="A1339" s="8"/>
      <c r="B1339" s="56" t="str">
        <f t="shared" si="2"/>
        <v/>
      </c>
      <c r="C1339" s="105"/>
      <c r="D1339" s="10"/>
      <c r="E1339" s="59" t="str">
        <f t="array" ref="E1339">IF(COUNTA(C1339:C1673)=0,"",SUM((COUNTIF(C$4:C1339,Upgrades!$B$3:$B$13)-COUNTIF(C$4:C1339,"Sell_"&amp;Upgrades!$B$3:$B$13))*Upgrades!$D$3:$D$13))</f>
        <v/>
      </c>
      <c r="F1339" s="66" t="str">
        <f>IFERROR(__xludf.DUMMYFUNCTION("IF(COUNTA(C1339:C1673)=0,"""",IF(REGEXMATCH(INDEX(FILTER(C$4:C1339,C$4:C1339&lt;&gt;""""),ROWS(FILTER(C$4:C1339,C$4:C1339&lt;&gt;""""))),""^Sell_""),INDEX(FILTER(F$4:F1338,C$4:C1338&lt;&gt;""""),ROWS(FILTER(C$4:C1338,C$4:C1338&lt;&gt;""""))),$AC$5+E1339))"),"")</f>
        <v/>
      </c>
      <c r="G1339" s="10" t="str">
        <f>IFERROR(__xludf.DUMMYFUNCTION("IF(COUNTA(C1339:C1673)=0,"""",IF(C1339="""",0,IF(REGEXMATCH(C1339,""^Sell_""),-ROUNDDOWN(ROUNDUP(INDEX(Upgrades!$C$3:$C$13,MATCH(SUBSTITUTE(C1339,""Sell_"",""""),Upgrades!$B$3:$B$13,0))*1.15^(COUNTIF(C$4:C1338,SUBSTITUTE(C1339,""Sell_"",""""))-COUNTIF(C$4"&amp;":C1338,""Sell_""&amp;SUBSTITUTE(C1339,""Sell_"",""""))))/2),ROUNDUP(INDEX(Upgrades!$C$3:$C$13,MATCH(C1339,Upgrades!$B$3:$B$13,0))*1.15^(COUNTIF(C$4:C1338,C1339)-COUNTIF(C$4:C1338,""Sell_""&amp;C1339))))))"),"")</f>
        <v/>
      </c>
      <c r="H1339" s="10" t="str">
        <f t="shared" si="3"/>
        <v/>
      </c>
      <c r="I1339" s="68" t="str">
        <f t="shared" si="4"/>
        <v/>
      </c>
      <c r="J1339" s="59" t="str">
        <f t="shared" si="5"/>
        <v/>
      </c>
      <c r="K1339" s="69" t="str">
        <f t="shared" si="6"/>
        <v/>
      </c>
      <c r="L1339" s="60" t="str">
        <f t="shared" si="7"/>
        <v/>
      </c>
      <c r="M1339" s="61" t="str">
        <f>IFERROR(__xludf.DUMMYFUNCTION("IFS(AND(COUNTA(C1339:C1673)=0,COUNTA(Q1339:Q1673)=0),"""",OR(AND(K1339&gt;=1000000000,OR(Y1339&gt;=1000000000,COUNTA(Q1339:Q1673)=0)),OR(Y1339&gt;=1000000000,AND(COUNTA(C1339:C1673)=0,P$3=TRUE))),
ROUNDDOWN((AB$1-AC$1)*MAX(INDEX(T$4:T1673,MATCH(LARGE(FILTER(Y$4:Y1"&amp;"673,Y$4:Y1673&lt;1000000000),1),Y$4:Y1673)),INDEX(F$4:F1673,MATCH(LARGE(FILTER(K$4:K1673,K$4:K1673&lt;1000000000),1),K$4:K1673)))),AND(K1339&lt;1000000000,COUNTA(C1339:C1673)&gt;0,P$3=FALSE),
ROUNDDOWN(INDEX(Y$4:Y1673,MATCH(LARGE(FILTER(W$4:W1673,W$4:W1673&lt;=I1339),1)"&amp;",W$4:W1673))+(I1339-LARGE(FILTER(W$4:W1673,W$4:W1673&lt;=I1339),1))*INDEX(T$4:T1673,MATCH(LARGE(FILTER(W$4:W1673,W$4:W1673&lt;=I1339),1),W$4:W1673))-K1339),1,
ROUNDDOWN(Y1339-INDEX(K$4:K1673,MATCH(LARGE(FILTER(I$4:I1673,I$4:I1673&lt;=W1339),1),I$4:I1673))-(W1339-L"&amp;"ARGE(FILTER(I$4:I1673,I$4:I1673&lt;=W1339),1))*INDEX(F$4:F1673,MATCH(LARGE(FILTER(I$4:I1673,I$4:I1673&lt;=W1339),1),I$4:I1673))))"),"")</f>
        <v/>
      </c>
      <c r="N1339" s="60" t="str">
        <f t="shared" si="8"/>
        <v/>
      </c>
      <c r="O1339" s="61" t="str">
        <f t="shared" si="9"/>
        <v/>
      </c>
      <c r="P1339" s="56" t="str">
        <f t="shared" si="10"/>
        <v/>
      </c>
      <c r="Q1339" s="67"/>
      <c r="R1339" s="10"/>
      <c r="S1339" s="59" t="str">
        <f t="array" ref="S1339">IF(COUNTA(Q1339:Q1673)=0,"",SUM((COUNTIF(Q$4:Q1339,Upgrades!$B$3:$B$13)-COUNTIF(Q$4:Q1339,"Sell_"&amp;Upgrades!$B$3:$B$13))*Upgrades!$D$3:$D$13))</f>
        <v/>
      </c>
      <c r="T1339" s="66" t="str">
        <f>IFERROR(__xludf.DUMMYFUNCTION("IF(COUNTA(Q1339:Q1673)=0,"""",IF(REGEXMATCH(INDEX(FILTER(Q$4:Q1339,Q$4:Q1339&lt;&gt;""""),ROWS(FILTER(Q$4:Q1339,Q$4:Q1339&lt;&gt;""""))),""^Sell_""),INDEX(FILTER(T$4:T1338,Q$4:Q1338&lt;&gt;""""),ROWS(FILTER(Q$4:Q1338,Q$4:Q1338&lt;&gt;""""))),$AD$5+S1339))"),"")</f>
        <v/>
      </c>
      <c r="U1339" s="10" t="str">
        <f>IFERROR(__xludf.DUMMYFUNCTION("IF(COUNTA(Q1339:Q1673)=0,"""",IF(Q1339="""",0,IF(REGEXMATCH(Q1339,""^Sell_""),-ROUNDDOWN(ROUNDUP(INDEX(Upgrades!$C$3:$C$13,MATCH(SUBSTITUTE(Q1339,""Sell_"",""""),Upgrades!$B$3:$B$13,0))*1.15^(COUNTIF(Q$4:Q1338,SUBSTITUTE(Q1339,""Sell_"",""""))-COUNTIF(Q$4"&amp;":Q1338,""Sell_""&amp;SUBSTITUTE(Q1339,""Sell_"",""""))))/2),ROUNDUP(INDEX(Upgrades!$C$3:$C$13,MATCH(Q1339,Upgrades!$B$3:$B$13,0))*1.15^(COUNTIF(Q$4:Q1338,Q1339)-COUNTIF(Q$4:Q1338,""Sell_""&amp;Q1339))))))"),"")</f>
        <v/>
      </c>
      <c r="V1339" s="10" t="str">
        <f t="shared" si="11"/>
        <v/>
      </c>
      <c r="W1339" s="68" t="str">
        <f t="shared" si="12"/>
        <v/>
      </c>
      <c r="X1339" s="59" t="str">
        <f t="shared" si="13"/>
        <v/>
      </c>
      <c r="Y1339" s="69" t="str">
        <f t="shared" si="14"/>
        <v/>
      </c>
      <c r="Z1339" s="11"/>
    </row>
    <row r="1340">
      <c r="A1340" s="8"/>
      <c r="B1340" s="56" t="str">
        <f t="shared" si="2"/>
        <v/>
      </c>
      <c r="C1340" s="105"/>
      <c r="D1340" s="10"/>
      <c r="E1340" s="59" t="str">
        <f t="array" ref="E1340">IF(COUNTA(C1340:C1673)=0,"",SUM((COUNTIF(C$4:C1340,Upgrades!$B$3:$B$13)-COUNTIF(C$4:C1340,"Sell_"&amp;Upgrades!$B$3:$B$13))*Upgrades!$D$3:$D$13))</f>
        <v/>
      </c>
      <c r="F1340" s="66" t="str">
        <f>IFERROR(__xludf.DUMMYFUNCTION("IF(COUNTA(C1340:C1673)=0,"""",IF(REGEXMATCH(INDEX(FILTER(C$4:C1340,C$4:C1340&lt;&gt;""""),ROWS(FILTER(C$4:C1340,C$4:C1340&lt;&gt;""""))),""^Sell_""),INDEX(FILTER(F$4:F1339,C$4:C1339&lt;&gt;""""),ROWS(FILTER(C$4:C1339,C$4:C1339&lt;&gt;""""))),$AC$5+E1340))"),"")</f>
        <v/>
      </c>
      <c r="G1340" s="10" t="str">
        <f>IFERROR(__xludf.DUMMYFUNCTION("IF(COUNTA(C1340:C1673)=0,"""",IF(C1340="""",0,IF(REGEXMATCH(C1340,""^Sell_""),-ROUNDDOWN(ROUNDUP(INDEX(Upgrades!$C$3:$C$13,MATCH(SUBSTITUTE(C1340,""Sell_"",""""),Upgrades!$B$3:$B$13,0))*1.15^(COUNTIF(C$4:C1339,SUBSTITUTE(C1340,""Sell_"",""""))-COUNTIF(C$4"&amp;":C1339,""Sell_""&amp;SUBSTITUTE(C1340,""Sell_"",""""))))/2),ROUNDUP(INDEX(Upgrades!$C$3:$C$13,MATCH(C1340,Upgrades!$B$3:$B$13,0))*1.15^(COUNTIF(C$4:C1339,C1340)-COUNTIF(C$4:C1339,""Sell_""&amp;C1340))))))"),"")</f>
        <v/>
      </c>
      <c r="H1340" s="10" t="str">
        <f t="shared" si="3"/>
        <v/>
      </c>
      <c r="I1340" s="68" t="str">
        <f t="shared" si="4"/>
        <v/>
      </c>
      <c r="J1340" s="59" t="str">
        <f t="shared" si="5"/>
        <v/>
      </c>
      <c r="K1340" s="69" t="str">
        <f t="shared" si="6"/>
        <v/>
      </c>
      <c r="L1340" s="60" t="str">
        <f t="shared" si="7"/>
        <v/>
      </c>
      <c r="M1340" s="61" t="str">
        <f>IFERROR(__xludf.DUMMYFUNCTION("IFS(AND(COUNTA(C1340:C1673)=0,COUNTA(Q1340:Q1673)=0),"""",OR(AND(K1340&gt;=1000000000,OR(Y1340&gt;=1000000000,COUNTA(Q1340:Q1673)=0)),OR(Y1340&gt;=1000000000,AND(COUNTA(C1340:C1673)=0,P$3=TRUE))),
ROUNDDOWN((AB$1-AC$1)*MAX(INDEX(T$4:T1673,MATCH(LARGE(FILTER(Y$4:Y1"&amp;"673,Y$4:Y1673&lt;1000000000),1),Y$4:Y1673)),INDEX(F$4:F1673,MATCH(LARGE(FILTER(K$4:K1673,K$4:K1673&lt;1000000000),1),K$4:K1673)))),AND(K1340&lt;1000000000,COUNTA(C1340:C1673)&gt;0,P$3=FALSE),
ROUNDDOWN(INDEX(Y$4:Y1673,MATCH(LARGE(FILTER(W$4:W1673,W$4:W1673&lt;=I1340),1)"&amp;",W$4:W1673))+(I1340-LARGE(FILTER(W$4:W1673,W$4:W1673&lt;=I1340),1))*INDEX(T$4:T1673,MATCH(LARGE(FILTER(W$4:W1673,W$4:W1673&lt;=I1340),1),W$4:W1673))-K1340),1,
ROUNDDOWN(Y1340-INDEX(K$4:K1673,MATCH(LARGE(FILTER(I$4:I1673,I$4:I1673&lt;=W1340),1),I$4:I1673))-(W1340-L"&amp;"ARGE(FILTER(I$4:I1673,I$4:I1673&lt;=W1340),1))*INDEX(F$4:F1673,MATCH(LARGE(FILTER(I$4:I1673,I$4:I1673&lt;=W1340),1),I$4:I1673))))"),"")</f>
        <v/>
      </c>
      <c r="N1340" s="60" t="str">
        <f t="shared" si="8"/>
        <v/>
      </c>
      <c r="O1340" s="61" t="str">
        <f t="shared" si="9"/>
        <v/>
      </c>
      <c r="P1340" s="56" t="str">
        <f t="shared" si="10"/>
        <v/>
      </c>
      <c r="Q1340" s="67"/>
      <c r="R1340" s="10"/>
      <c r="S1340" s="59" t="str">
        <f t="array" ref="S1340">IF(COUNTA(Q1340:Q1673)=0,"",SUM((COUNTIF(Q$4:Q1340,Upgrades!$B$3:$B$13)-COUNTIF(Q$4:Q1340,"Sell_"&amp;Upgrades!$B$3:$B$13))*Upgrades!$D$3:$D$13))</f>
        <v/>
      </c>
      <c r="T1340" s="66" t="str">
        <f>IFERROR(__xludf.DUMMYFUNCTION("IF(COUNTA(Q1340:Q1673)=0,"""",IF(REGEXMATCH(INDEX(FILTER(Q$4:Q1340,Q$4:Q1340&lt;&gt;""""),ROWS(FILTER(Q$4:Q1340,Q$4:Q1340&lt;&gt;""""))),""^Sell_""),INDEX(FILTER(T$4:T1339,Q$4:Q1339&lt;&gt;""""),ROWS(FILTER(Q$4:Q1339,Q$4:Q1339&lt;&gt;""""))),$AD$5+S1340))"),"")</f>
        <v/>
      </c>
      <c r="U1340" s="10" t="str">
        <f>IFERROR(__xludf.DUMMYFUNCTION("IF(COUNTA(Q1340:Q1673)=0,"""",IF(Q1340="""",0,IF(REGEXMATCH(Q1340,""^Sell_""),-ROUNDDOWN(ROUNDUP(INDEX(Upgrades!$C$3:$C$13,MATCH(SUBSTITUTE(Q1340,""Sell_"",""""),Upgrades!$B$3:$B$13,0))*1.15^(COUNTIF(Q$4:Q1339,SUBSTITUTE(Q1340,""Sell_"",""""))-COUNTIF(Q$4"&amp;":Q1339,""Sell_""&amp;SUBSTITUTE(Q1340,""Sell_"",""""))))/2),ROUNDUP(INDEX(Upgrades!$C$3:$C$13,MATCH(Q1340,Upgrades!$B$3:$B$13,0))*1.15^(COUNTIF(Q$4:Q1339,Q1340)-COUNTIF(Q$4:Q1339,""Sell_""&amp;Q1340))))))"),"")</f>
        <v/>
      </c>
      <c r="V1340" s="10" t="str">
        <f t="shared" si="11"/>
        <v/>
      </c>
      <c r="W1340" s="68" t="str">
        <f t="shared" si="12"/>
        <v/>
      </c>
      <c r="X1340" s="59" t="str">
        <f t="shared" si="13"/>
        <v/>
      </c>
      <c r="Y1340" s="69" t="str">
        <f t="shared" si="14"/>
        <v/>
      </c>
      <c r="Z1340" s="11"/>
    </row>
    <row r="1341">
      <c r="A1341" s="8"/>
      <c r="B1341" s="56" t="str">
        <f t="shared" si="2"/>
        <v/>
      </c>
      <c r="C1341" s="105"/>
      <c r="D1341" s="10"/>
      <c r="E1341" s="59" t="str">
        <f t="array" ref="E1341">IF(COUNTA(C1341:C1673)=0,"",SUM((COUNTIF(C$4:C1341,Upgrades!$B$3:$B$13)-COUNTIF(C$4:C1341,"Sell_"&amp;Upgrades!$B$3:$B$13))*Upgrades!$D$3:$D$13))</f>
        <v/>
      </c>
      <c r="F1341" s="66" t="str">
        <f>IFERROR(__xludf.DUMMYFUNCTION("IF(COUNTA(C1341:C1673)=0,"""",IF(REGEXMATCH(INDEX(FILTER(C$4:C1341,C$4:C1341&lt;&gt;""""),ROWS(FILTER(C$4:C1341,C$4:C1341&lt;&gt;""""))),""^Sell_""),INDEX(FILTER(F$4:F1340,C$4:C1340&lt;&gt;""""),ROWS(FILTER(C$4:C1340,C$4:C1340&lt;&gt;""""))),$AC$5+E1341))"),"")</f>
        <v/>
      </c>
      <c r="G1341" s="10" t="str">
        <f>IFERROR(__xludf.DUMMYFUNCTION("IF(COUNTA(C1341:C1673)=0,"""",IF(C1341="""",0,IF(REGEXMATCH(C1341,""^Sell_""),-ROUNDDOWN(ROUNDUP(INDEX(Upgrades!$C$3:$C$13,MATCH(SUBSTITUTE(C1341,""Sell_"",""""),Upgrades!$B$3:$B$13,0))*1.15^(COUNTIF(C$4:C1340,SUBSTITUTE(C1341,""Sell_"",""""))-COUNTIF(C$4"&amp;":C1340,""Sell_""&amp;SUBSTITUTE(C1341,""Sell_"",""""))))/2),ROUNDUP(INDEX(Upgrades!$C$3:$C$13,MATCH(C1341,Upgrades!$B$3:$B$13,0))*1.15^(COUNTIF(C$4:C1340,C1341)-COUNTIF(C$4:C1340,""Sell_""&amp;C1341))))))"),"")</f>
        <v/>
      </c>
      <c r="H1341" s="10" t="str">
        <f t="shared" si="3"/>
        <v/>
      </c>
      <c r="I1341" s="68" t="str">
        <f t="shared" si="4"/>
        <v/>
      </c>
      <c r="J1341" s="59" t="str">
        <f t="shared" si="5"/>
        <v/>
      </c>
      <c r="K1341" s="69" t="str">
        <f t="shared" si="6"/>
        <v/>
      </c>
      <c r="L1341" s="60" t="str">
        <f t="shared" si="7"/>
        <v/>
      </c>
      <c r="M1341" s="61" t="str">
        <f>IFERROR(__xludf.DUMMYFUNCTION("IFS(AND(COUNTA(C1341:C1673)=0,COUNTA(Q1341:Q1673)=0),"""",OR(AND(K1341&gt;=1000000000,OR(Y1341&gt;=1000000000,COUNTA(Q1341:Q1673)=0)),OR(Y1341&gt;=1000000000,AND(COUNTA(C1341:C1673)=0,P$3=TRUE))),
ROUNDDOWN((AB$1-AC$1)*MAX(INDEX(T$4:T1673,MATCH(LARGE(FILTER(Y$4:Y1"&amp;"673,Y$4:Y1673&lt;1000000000),1),Y$4:Y1673)),INDEX(F$4:F1673,MATCH(LARGE(FILTER(K$4:K1673,K$4:K1673&lt;1000000000),1),K$4:K1673)))),AND(K1341&lt;1000000000,COUNTA(C1341:C1673)&gt;0,P$3=FALSE),
ROUNDDOWN(INDEX(Y$4:Y1673,MATCH(LARGE(FILTER(W$4:W1673,W$4:W1673&lt;=I1341),1)"&amp;",W$4:W1673))+(I1341-LARGE(FILTER(W$4:W1673,W$4:W1673&lt;=I1341),1))*INDEX(T$4:T1673,MATCH(LARGE(FILTER(W$4:W1673,W$4:W1673&lt;=I1341),1),W$4:W1673))-K1341),1,
ROUNDDOWN(Y1341-INDEX(K$4:K1673,MATCH(LARGE(FILTER(I$4:I1673,I$4:I1673&lt;=W1341),1),I$4:I1673))-(W1341-L"&amp;"ARGE(FILTER(I$4:I1673,I$4:I1673&lt;=W1341),1))*INDEX(F$4:F1673,MATCH(LARGE(FILTER(I$4:I1673,I$4:I1673&lt;=W1341),1),I$4:I1673))))"),"")</f>
        <v/>
      </c>
      <c r="N1341" s="60" t="str">
        <f t="shared" si="8"/>
        <v/>
      </c>
      <c r="O1341" s="61" t="str">
        <f t="shared" si="9"/>
        <v/>
      </c>
      <c r="P1341" s="56" t="str">
        <f t="shared" si="10"/>
        <v/>
      </c>
      <c r="Q1341" s="67"/>
      <c r="R1341" s="10"/>
      <c r="S1341" s="59" t="str">
        <f t="array" ref="S1341">IF(COUNTA(Q1341:Q1673)=0,"",SUM((COUNTIF(Q$4:Q1341,Upgrades!$B$3:$B$13)-COUNTIF(Q$4:Q1341,"Sell_"&amp;Upgrades!$B$3:$B$13))*Upgrades!$D$3:$D$13))</f>
        <v/>
      </c>
      <c r="T1341" s="66" t="str">
        <f>IFERROR(__xludf.DUMMYFUNCTION("IF(COUNTA(Q1341:Q1673)=0,"""",IF(REGEXMATCH(INDEX(FILTER(Q$4:Q1341,Q$4:Q1341&lt;&gt;""""),ROWS(FILTER(Q$4:Q1341,Q$4:Q1341&lt;&gt;""""))),""^Sell_""),INDEX(FILTER(T$4:T1340,Q$4:Q1340&lt;&gt;""""),ROWS(FILTER(Q$4:Q1340,Q$4:Q1340&lt;&gt;""""))),$AD$5+S1341))"),"")</f>
        <v/>
      </c>
      <c r="U1341" s="10" t="str">
        <f>IFERROR(__xludf.DUMMYFUNCTION("IF(COUNTA(Q1341:Q1673)=0,"""",IF(Q1341="""",0,IF(REGEXMATCH(Q1341,""^Sell_""),-ROUNDDOWN(ROUNDUP(INDEX(Upgrades!$C$3:$C$13,MATCH(SUBSTITUTE(Q1341,""Sell_"",""""),Upgrades!$B$3:$B$13,0))*1.15^(COUNTIF(Q$4:Q1340,SUBSTITUTE(Q1341,""Sell_"",""""))-COUNTIF(Q$4"&amp;":Q1340,""Sell_""&amp;SUBSTITUTE(Q1341,""Sell_"",""""))))/2),ROUNDUP(INDEX(Upgrades!$C$3:$C$13,MATCH(Q1341,Upgrades!$B$3:$B$13,0))*1.15^(COUNTIF(Q$4:Q1340,Q1341)-COUNTIF(Q$4:Q1340,""Sell_""&amp;Q1341))))))"),"")</f>
        <v/>
      </c>
      <c r="V1341" s="10" t="str">
        <f t="shared" si="11"/>
        <v/>
      </c>
      <c r="W1341" s="68" t="str">
        <f t="shared" si="12"/>
        <v/>
      </c>
      <c r="X1341" s="59" t="str">
        <f t="shared" si="13"/>
        <v/>
      </c>
      <c r="Y1341" s="69" t="str">
        <f t="shared" si="14"/>
        <v/>
      </c>
      <c r="Z1341" s="11"/>
    </row>
    <row r="1342">
      <c r="A1342" s="8"/>
      <c r="B1342" s="56" t="str">
        <f t="shared" si="2"/>
        <v/>
      </c>
      <c r="C1342" s="105"/>
      <c r="D1342" s="10"/>
      <c r="E1342" s="59" t="str">
        <f t="array" ref="E1342">IF(COUNTA(C1342:C1673)=0,"",SUM((COUNTIF(C$4:C1342,Upgrades!$B$3:$B$13)-COUNTIF(C$4:C1342,"Sell_"&amp;Upgrades!$B$3:$B$13))*Upgrades!$D$3:$D$13))</f>
        <v/>
      </c>
      <c r="F1342" s="66" t="str">
        <f>IFERROR(__xludf.DUMMYFUNCTION("IF(COUNTA(C1342:C1673)=0,"""",IF(REGEXMATCH(INDEX(FILTER(C$4:C1342,C$4:C1342&lt;&gt;""""),ROWS(FILTER(C$4:C1342,C$4:C1342&lt;&gt;""""))),""^Sell_""),INDEX(FILTER(F$4:F1341,C$4:C1341&lt;&gt;""""),ROWS(FILTER(C$4:C1341,C$4:C1341&lt;&gt;""""))),$AC$5+E1342))"),"")</f>
        <v/>
      </c>
      <c r="G1342" s="10" t="str">
        <f>IFERROR(__xludf.DUMMYFUNCTION("IF(COUNTA(C1342:C1673)=0,"""",IF(C1342="""",0,IF(REGEXMATCH(C1342,""^Sell_""),-ROUNDDOWN(ROUNDUP(INDEX(Upgrades!$C$3:$C$13,MATCH(SUBSTITUTE(C1342,""Sell_"",""""),Upgrades!$B$3:$B$13,0))*1.15^(COUNTIF(C$4:C1341,SUBSTITUTE(C1342,""Sell_"",""""))-COUNTIF(C$4"&amp;":C1341,""Sell_""&amp;SUBSTITUTE(C1342,""Sell_"",""""))))/2),ROUNDUP(INDEX(Upgrades!$C$3:$C$13,MATCH(C1342,Upgrades!$B$3:$B$13,0))*1.15^(COUNTIF(C$4:C1341,C1342)-COUNTIF(C$4:C1341,""Sell_""&amp;C1342))))))"),"")</f>
        <v/>
      </c>
      <c r="H1342" s="10" t="str">
        <f t="shared" si="3"/>
        <v/>
      </c>
      <c r="I1342" s="68" t="str">
        <f t="shared" si="4"/>
        <v/>
      </c>
      <c r="J1342" s="59" t="str">
        <f t="shared" si="5"/>
        <v/>
      </c>
      <c r="K1342" s="69" t="str">
        <f t="shared" si="6"/>
        <v/>
      </c>
      <c r="L1342" s="60" t="str">
        <f t="shared" si="7"/>
        <v/>
      </c>
      <c r="M1342" s="61" t="str">
        <f>IFERROR(__xludf.DUMMYFUNCTION("IFS(AND(COUNTA(C1342:C1673)=0,COUNTA(Q1342:Q1673)=0),"""",OR(AND(K1342&gt;=1000000000,OR(Y1342&gt;=1000000000,COUNTA(Q1342:Q1673)=0)),OR(Y1342&gt;=1000000000,AND(COUNTA(C1342:C1673)=0,P$3=TRUE))),
ROUNDDOWN((AB$1-AC$1)*MAX(INDEX(T$4:T1673,MATCH(LARGE(FILTER(Y$4:Y1"&amp;"673,Y$4:Y1673&lt;1000000000),1),Y$4:Y1673)),INDEX(F$4:F1673,MATCH(LARGE(FILTER(K$4:K1673,K$4:K1673&lt;1000000000),1),K$4:K1673)))),AND(K1342&lt;1000000000,COUNTA(C1342:C1673)&gt;0,P$3=FALSE),
ROUNDDOWN(INDEX(Y$4:Y1673,MATCH(LARGE(FILTER(W$4:W1673,W$4:W1673&lt;=I1342),1)"&amp;",W$4:W1673))+(I1342-LARGE(FILTER(W$4:W1673,W$4:W1673&lt;=I1342),1))*INDEX(T$4:T1673,MATCH(LARGE(FILTER(W$4:W1673,W$4:W1673&lt;=I1342),1),W$4:W1673))-K1342),1,
ROUNDDOWN(Y1342-INDEX(K$4:K1673,MATCH(LARGE(FILTER(I$4:I1673,I$4:I1673&lt;=W1342),1),I$4:I1673))-(W1342-L"&amp;"ARGE(FILTER(I$4:I1673,I$4:I1673&lt;=W1342),1))*INDEX(F$4:F1673,MATCH(LARGE(FILTER(I$4:I1673,I$4:I1673&lt;=W1342),1),I$4:I1673))))"),"")</f>
        <v/>
      </c>
      <c r="N1342" s="60" t="str">
        <f t="shared" si="8"/>
        <v/>
      </c>
      <c r="O1342" s="61" t="str">
        <f t="shared" si="9"/>
        <v/>
      </c>
      <c r="P1342" s="56" t="str">
        <f t="shared" si="10"/>
        <v/>
      </c>
      <c r="Q1342" s="67"/>
      <c r="R1342" s="10"/>
      <c r="S1342" s="59" t="str">
        <f t="array" ref="S1342">IF(COUNTA(Q1342:Q1673)=0,"",SUM((COUNTIF(Q$4:Q1342,Upgrades!$B$3:$B$13)-COUNTIF(Q$4:Q1342,"Sell_"&amp;Upgrades!$B$3:$B$13))*Upgrades!$D$3:$D$13))</f>
        <v/>
      </c>
      <c r="T1342" s="66" t="str">
        <f>IFERROR(__xludf.DUMMYFUNCTION("IF(COUNTA(Q1342:Q1673)=0,"""",IF(REGEXMATCH(INDEX(FILTER(Q$4:Q1342,Q$4:Q1342&lt;&gt;""""),ROWS(FILTER(Q$4:Q1342,Q$4:Q1342&lt;&gt;""""))),""^Sell_""),INDEX(FILTER(T$4:T1341,Q$4:Q1341&lt;&gt;""""),ROWS(FILTER(Q$4:Q1341,Q$4:Q1341&lt;&gt;""""))),$AD$5+S1342))"),"")</f>
        <v/>
      </c>
      <c r="U1342" s="10" t="str">
        <f>IFERROR(__xludf.DUMMYFUNCTION("IF(COUNTA(Q1342:Q1673)=0,"""",IF(Q1342="""",0,IF(REGEXMATCH(Q1342,""^Sell_""),-ROUNDDOWN(ROUNDUP(INDEX(Upgrades!$C$3:$C$13,MATCH(SUBSTITUTE(Q1342,""Sell_"",""""),Upgrades!$B$3:$B$13,0))*1.15^(COUNTIF(Q$4:Q1341,SUBSTITUTE(Q1342,""Sell_"",""""))-COUNTIF(Q$4"&amp;":Q1341,""Sell_""&amp;SUBSTITUTE(Q1342,""Sell_"",""""))))/2),ROUNDUP(INDEX(Upgrades!$C$3:$C$13,MATCH(Q1342,Upgrades!$B$3:$B$13,0))*1.15^(COUNTIF(Q$4:Q1341,Q1342)-COUNTIF(Q$4:Q1341,""Sell_""&amp;Q1342))))))"),"")</f>
        <v/>
      </c>
      <c r="V1342" s="10" t="str">
        <f t="shared" si="11"/>
        <v/>
      </c>
      <c r="W1342" s="68" t="str">
        <f t="shared" si="12"/>
        <v/>
      </c>
      <c r="X1342" s="59" t="str">
        <f t="shared" si="13"/>
        <v/>
      </c>
      <c r="Y1342" s="69" t="str">
        <f t="shared" si="14"/>
        <v/>
      </c>
      <c r="Z1342" s="11"/>
    </row>
    <row r="1343">
      <c r="A1343" s="8"/>
      <c r="B1343" s="56" t="str">
        <f t="shared" si="2"/>
        <v/>
      </c>
      <c r="C1343" s="105"/>
      <c r="D1343" s="10"/>
      <c r="E1343" s="59" t="str">
        <f t="array" ref="E1343">IF(COUNTA(C1343:C1673)=0,"",SUM((COUNTIF(C$4:C1343,Upgrades!$B$3:$B$13)-COUNTIF(C$4:C1343,"Sell_"&amp;Upgrades!$B$3:$B$13))*Upgrades!$D$3:$D$13))</f>
        <v/>
      </c>
      <c r="F1343" s="66" t="str">
        <f>IFERROR(__xludf.DUMMYFUNCTION("IF(COUNTA(C1343:C1673)=0,"""",IF(REGEXMATCH(INDEX(FILTER(C$4:C1343,C$4:C1343&lt;&gt;""""),ROWS(FILTER(C$4:C1343,C$4:C1343&lt;&gt;""""))),""^Sell_""),INDEX(FILTER(F$4:F1342,C$4:C1342&lt;&gt;""""),ROWS(FILTER(C$4:C1342,C$4:C1342&lt;&gt;""""))),$AC$5+E1343))"),"")</f>
        <v/>
      </c>
      <c r="G1343" s="10" t="str">
        <f>IFERROR(__xludf.DUMMYFUNCTION("IF(COUNTA(C1343:C1673)=0,"""",IF(C1343="""",0,IF(REGEXMATCH(C1343,""^Sell_""),-ROUNDDOWN(ROUNDUP(INDEX(Upgrades!$C$3:$C$13,MATCH(SUBSTITUTE(C1343,""Sell_"",""""),Upgrades!$B$3:$B$13,0))*1.15^(COUNTIF(C$4:C1342,SUBSTITUTE(C1343,""Sell_"",""""))-COUNTIF(C$4"&amp;":C1342,""Sell_""&amp;SUBSTITUTE(C1343,""Sell_"",""""))))/2),ROUNDUP(INDEX(Upgrades!$C$3:$C$13,MATCH(C1343,Upgrades!$B$3:$B$13,0))*1.15^(COUNTIF(C$4:C1342,C1343)-COUNTIF(C$4:C1342,""Sell_""&amp;C1343))))))"),"")</f>
        <v/>
      </c>
      <c r="H1343" s="10" t="str">
        <f t="shared" si="3"/>
        <v/>
      </c>
      <c r="I1343" s="68" t="str">
        <f t="shared" si="4"/>
        <v/>
      </c>
      <c r="J1343" s="59" t="str">
        <f t="shared" si="5"/>
        <v/>
      </c>
      <c r="K1343" s="69" t="str">
        <f t="shared" si="6"/>
        <v/>
      </c>
      <c r="L1343" s="60" t="str">
        <f t="shared" si="7"/>
        <v/>
      </c>
      <c r="M1343" s="61" t="str">
        <f>IFERROR(__xludf.DUMMYFUNCTION("IFS(AND(COUNTA(C1343:C1673)=0,COUNTA(Q1343:Q1673)=0),"""",OR(AND(K1343&gt;=1000000000,OR(Y1343&gt;=1000000000,COUNTA(Q1343:Q1673)=0)),OR(Y1343&gt;=1000000000,AND(COUNTA(C1343:C1673)=0,P$3=TRUE))),
ROUNDDOWN((AB$1-AC$1)*MAX(INDEX(T$4:T1673,MATCH(LARGE(FILTER(Y$4:Y1"&amp;"673,Y$4:Y1673&lt;1000000000),1),Y$4:Y1673)),INDEX(F$4:F1673,MATCH(LARGE(FILTER(K$4:K1673,K$4:K1673&lt;1000000000),1),K$4:K1673)))),AND(K1343&lt;1000000000,COUNTA(C1343:C1673)&gt;0,P$3=FALSE),
ROUNDDOWN(INDEX(Y$4:Y1673,MATCH(LARGE(FILTER(W$4:W1673,W$4:W1673&lt;=I1343),1)"&amp;",W$4:W1673))+(I1343-LARGE(FILTER(W$4:W1673,W$4:W1673&lt;=I1343),1))*INDEX(T$4:T1673,MATCH(LARGE(FILTER(W$4:W1673,W$4:W1673&lt;=I1343),1),W$4:W1673))-K1343),1,
ROUNDDOWN(Y1343-INDEX(K$4:K1673,MATCH(LARGE(FILTER(I$4:I1673,I$4:I1673&lt;=W1343),1),I$4:I1673))-(W1343-L"&amp;"ARGE(FILTER(I$4:I1673,I$4:I1673&lt;=W1343),1))*INDEX(F$4:F1673,MATCH(LARGE(FILTER(I$4:I1673,I$4:I1673&lt;=W1343),1),I$4:I1673))))"),"")</f>
        <v/>
      </c>
      <c r="N1343" s="60" t="str">
        <f t="shared" si="8"/>
        <v/>
      </c>
      <c r="O1343" s="61" t="str">
        <f t="shared" si="9"/>
        <v/>
      </c>
      <c r="P1343" s="56" t="str">
        <f t="shared" si="10"/>
        <v/>
      </c>
      <c r="Q1343" s="67"/>
      <c r="R1343" s="10"/>
      <c r="S1343" s="59" t="str">
        <f t="array" ref="S1343">IF(COUNTA(Q1343:Q1673)=0,"",SUM((COUNTIF(Q$4:Q1343,Upgrades!$B$3:$B$13)-COUNTIF(Q$4:Q1343,"Sell_"&amp;Upgrades!$B$3:$B$13))*Upgrades!$D$3:$D$13))</f>
        <v/>
      </c>
      <c r="T1343" s="66" t="str">
        <f>IFERROR(__xludf.DUMMYFUNCTION("IF(COUNTA(Q1343:Q1673)=0,"""",IF(REGEXMATCH(INDEX(FILTER(Q$4:Q1343,Q$4:Q1343&lt;&gt;""""),ROWS(FILTER(Q$4:Q1343,Q$4:Q1343&lt;&gt;""""))),""^Sell_""),INDEX(FILTER(T$4:T1342,Q$4:Q1342&lt;&gt;""""),ROWS(FILTER(Q$4:Q1342,Q$4:Q1342&lt;&gt;""""))),$AD$5+S1343))"),"")</f>
        <v/>
      </c>
      <c r="U1343" s="10" t="str">
        <f>IFERROR(__xludf.DUMMYFUNCTION("IF(COUNTA(Q1343:Q1673)=0,"""",IF(Q1343="""",0,IF(REGEXMATCH(Q1343,""^Sell_""),-ROUNDDOWN(ROUNDUP(INDEX(Upgrades!$C$3:$C$13,MATCH(SUBSTITUTE(Q1343,""Sell_"",""""),Upgrades!$B$3:$B$13,0))*1.15^(COUNTIF(Q$4:Q1342,SUBSTITUTE(Q1343,""Sell_"",""""))-COUNTIF(Q$4"&amp;":Q1342,""Sell_""&amp;SUBSTITUTE(Q1343,""Sell_"",""""))))/2),ROUNDUP(INDEX(Upgrades!$C$3:$C$13,MATCH(Q1343,Upgrades!$B$3:$B$13,0))*1.15^(COUNTIF(Q$4:Q1342,Q1343)-COUNTIF(Q$4:Q1342,""Sell_""&amp;Q1343))))))"),"")</f>
        <v/>
      </c>
      <c r="V1343" s="10" t="str">
        <f t="shared" si="11"/>
        <v/>
      </c>
      <c r="W1343" s="68" t="str">
        <f t="shared" si="12"/>
        <v/>
      </c>
      <c r="X1343" s="59" t="str">
        <f t="shared" si="13"/>
        <v/>
      </c>
      <c r="Y1343" s="69" t="str">
        <f t="shared" si="14"/>
        <v/>
      </c>
      <c r="Z1343" s="11"/>
    </row>
    <row r="1344">
      <c r="A1344" s="8"/>
      <c r="B1344" s="56" t="str">
        <f t="shared" si="2"/>
        <v/>
      </c>
      <c r="C1344" s="105"/>
      <c r="D1344" s="10"/>
      <c r="E1344" s="59" t="str">
        <f t="array" ref="E1344">IF(COUNTA(C1344:C1673)=0,"",SUM((COUNTIF(C$4:C1344,Upgrades!$B$3:$B$13)-COUNTIF(C$4:C1344,"Sell_"&amp;Upgrades!$B$3:$B$13))*Upgrades!$D$3:$D$13))</f>
        <v/>
      </c>
      <c r="F1344" s="66" t="str">
        <f>IFERROR(__xludf.DUMMYFUNCTION("IF(COUNTA(C1344:C1673)=0,"""",IF(REGEXMATCH(INDEX(FILTER(C$4:C1344,C$4:C1344&lt;&gt;""""),ROWS(FILTER(C$4:C1344,C$4:C1344&lt;&gt;""""))),""^Sell_""),INDEX(FILTER(F$4:F1343,C$4:C1343&lt;&gt;""""),ROWS(FILTER(C$4:C1343,C$4:C1343&lt;&gt;""""))),$AC$5+E1344))"),"")</f>
        <v/>
      </c>
      <c r="G1344" s="10" t="str">
        <f>IFERROR(__xludf.DUMMYFUNCTION("IF(COUNTA(C1344:C1673)=0,"""",IF(C1344="""",0,IF(REGEXMATCH(C1344,""^Sell_""),-ROUNDDOWN(ROUNDUP(INDEX(Upgrades!$C$3:$C$13,MATCH(SUBSTITUTE(C1344,""Sell_"",""""),Upgrades!$B$3:$B$13,0))*1.15^(COUNTIF(C$4:C1343,SUBSTITUTE(C1344,""Sell_"",""""))-COUNTIF(C$4"&amp;":C1343,""Sell_""&amp;SUBSTITUTE(C1344,""Sell_"",""""))))/2),ROUNDUP(INDEX(Upgrades!$C$3:$C$13,MATCH(C1344,Upgrades!$B$3:$B$13,0))*1.15^(COUNTIF(C$4:C1343,C1344)-COUNTIF(C$4:C1343,""Sell_""&amp;C1344))))))"),"")</f>
        <v/>
      </c>
      <c r="H1344" s="10" t="str">
        <f t="shared" si="3"/>
        <v/>
      </c>
      <c r="I1344" s="68" t="str">
        <f t="shared" si="4"/>
        <v/>
      </c>
      <c r="J1344" s="59" t="str">
        <f t="shared" si="5"/>
        <v/>
      </c>
      <c r="K1344" s="69" t="str">
        <f t="shared" si="6"/>
        <v/>
      </c>
      <c r="L1344" s="60" t="str">
        <f t="shared" si="7"/>
        <v/>
      </c>
      <c r="M1344" s="61" t="str">
        <f>IFERROR(__xludf.DUMMYFUNCTION("IFS(AND(COUNTA(C1344:C1673)=0,COUNTA(Q1344:Q1673)=0),"""",OR(AND(K1344&gt;=1000000000,OR(Y1344&gt;=1000000000,COUNTA(Q1344:Q1673)=0)),OR(Y1344&gt;=1000000000,AND(COUNTA(C1344:C1673)=0,P$3=TRUE))),
ROUNDDOWN((AB$1-AC$1)*MAX(INDEX(T$4:T1673,MATCH(LARGE(FILTER(Y$4:Y1"&amp;"673,Y$4:Y1673&lt;1000000000),1),Y$4:Y1673)),INDEX(F$4:F1673,MATCH(LARGE(FILTER(K$4:K1673,K$4:K1673&lt;1000000000),1),K$4:K1673)))),AND(K1344&lt;1000000000,COUNTA(C1344:C1673)&gt;0,P$3=FALSE),
ROUNDDOWN(INDEX(Y$4:Y1673,MATCH(LARGE(FILTER(W$4:W1673,W$4:W1673&lt;=I1344),1)"&amp;",W$4:W1673))+(I1344-LARGE(FILTER(W$4:W1673,W$4:W1673&lt;=I1344),1))*INDEX(T$4:T1673,MATCH(LARGE(FILTER(W$4:W1673,W$4:W1673&lt;=I1344),1),W$4:W1673))-K1344),1,
ROUNDDOWN(Y1344-INDEX(K$4:K1673,MATCH(LARGE(FILTER(I$4:I1673,I$4:I1673&lt;=W1344),1),I$4:I1673))-(W1344-L"&amp;"ARGE(FILTER(I$4:I1673,I$4:I1673&lt;=W1344),1))*INDEX(F$4:F1673,MATCH(LARGE(FILTER(I$4:I1673,I$4:I1673&lt;=W1344),1),I$4:I1673))))"),"")</f>
        <v/>
      </c>
      <c r="N1344" s="60" t="str">
        <f t="shared" si="8"/>
        <v/>
      </c>
      <c r="O1344" s="61" t="str">
        <f t="shared" si="9"/>
        <v/>
      </c>
      <c r="P1344" s="56" t="str">
        <f t="shared" si="10"/>
        <v/>
      </c>
      <c r="Q1344" s="67"/>
      <c r="R1344" s="10"/>
      <c r="S1344" s="59" t="str">
        <f t="array" ref="S1344">IF(COUNTA(Q1344:Q1673)=0,"",SUM((COUNTIF(Q$4:Q1344,Upgrades!$B$3:$B$13)-COUNTIF(Q$4:Q1344,"Sell_"&amp;Upgrades!$B$3:$B$13))*Upgrades!$D$3:$D$13))</f>
        <v/>
      </c>
      <c r="T1344" s="66" t="str">
        <f>IFERROR(__xludf.DUMMYFUNCTION("IF(COUNTA(Q1344:Q1673)=0,"""",IF(REGEXMATCH(INDEX(FILTER(Q$4:Q1344,Q$4:Q1344&lt;&gt;""""),ROWS(FILTER(Q$4:Q1344,Q$4:Q1344&lt;&gt;""""))),""^Sell_""),INDEX(FILTER(T$4:T1343,Q$4:Q1343&lt;&gt;""""),ROWS(FILTER(Q$4:Q1343,Q$4:Q1343&lt;&gt;""""))),$AD$5+S1344))"),"")</f>
        <v/>
      </c>
      <c r="U1344" s="10" t="str">
        <f>IFERROR(__xludf.DUMMYFUNCTION("IF(COUNTA(Q1344:Q1673)=0,"""",IF(Q1344="""",0,IF(REGEXMATCH(Q1344,""^Sell_""),-ROUNDDOWN(ROUNDUP(INDEX(Upgrades!$C$3:$C$13,MATCH(SUBSTITUTE(Q1344,""Sell_"",""""),Upgrades!$B$3:$B$13,0))*1.15^(COUNTIF(Q$4:Q1343,SUBSTITUTE(Q1344,""Sell_"",""""))-COUNTIF(Q$4"&amp;":Q1343,""Sell_""&amp;SUBSTITUTE(Q1344,""Sell_"",""""))))/2),ROUNDUP(INDEX(Upgrades!$C$3:$C$13,MATCH(Q1344,Upgrades!$B$3:$B$13,0))*1.15^(COUNTIF(Q$4:Q1343,Q1344)-COUNTIF(Q$4:Q1343,""Sell_""&amp;Q1344))))))"),"")</f>
        <v/>
      </c>
      <c r="V1344" s="10" t="str">
        <f t="shared" si="11"/>
        <v/>
      </c>
      <c r="W1344" s="68" t="str">
        <f t="shared" si="12"/>
        <v/>
      </c>
      <c r="X1344" s="59" t="str">
        <f t="shared" si="13"/>
        <v/>
      </c>
      <c r="Y1344" s="69" t="str">
        <f t="shared" si="14"/>
        <v/>
      </c>
      <c r="Z1344" s="11"/>
    </row>
    <row r="1345">
      <c r="A1345" s="8"/>
      <c r="B1345" s="56" t="str">
        <f t="shared" si="2"/>
        <v/>
      </c>
      <c r="C1345" s="105"/>
      <c r="D1345" s="10"/>
      <c r="E1345" s="59" t="str">
        <f t="array" ref="E1345">IF(COUNTA(C1345:C1673)=0,"",SUM((COUNTIF(C$4:C1345,Upgrades!$B$3:$B$13)-COUNTIF(C$4:C1345,"Sell_"&amp;Upgrades!$B$3:$B$13))*Upgrades!$D$3:$D$13))</f>
        <v/>
      </c>
      <c r="F1345" s="66" t="str">
        <f>IFERROR(__xludf.DUMMYFUNCTION("IF(COUNTA(C1345:C1673)=0,"""",IF(REGEXMATCH(INDEX(FILTER(C$4:C1345,C$4:C1345&lt;&gt;""""),ROWS(FILTER(C$4:C1345,C$4:C1345&lt;&gt;""""))),""^Sell_""),INDEX(FILTER(F$4:F1344,C$4:C1344&lt;&gt;""""),ROWS(FILTER(C$4:C1344,C$4:C1344&lt;&gt;""""))),$AC$5+E1345))"),"")</f>
        <v/>
      </c>
      <c r="G1345" s="10" t="str">
        <f>IFERROR(__xludf.DUMMYFUNCTION("IF(COUNTA(C1345:C1673)=0,"""",IF(C1345="""",0,IF(REGEXMATCH(C1345,""^Sell_""),-ROUNDDOWN(ROUNDUP(INDEX(Upgrades!$C$3:$C$13,MATCH(SUBSTITUTE(C1345,""Sell_"",""""),Upgrades!$B$3:$B$13,0))*1.15^(COUNTIF(C$4:C1344,SUBSTITUTE(C1345,""Sell_"",""""))-COUNTIF(C$4"&amp;":C1344,""Sell_""&amp;SUBSTITUTE(C1345,""Sell_"",""""))))/2),ROUNDUP(INDEX(Upgrades!$C$3:$C$13,MATCH(C1345,Upgrades!$B$3:$B$13,0))*1.15^(COUNTIF(C$4:C1344,C1345)-COUNTIF(C$4:C1344,""Sell_""&amp;C1345))))))"),"")</f>
        <v/>
      </c>
      <c r="H1345" s="10" t="str">
        <f t="shared" si="3"/>
        <v/>
      </c>
      <c r="I1345" s="68" t="str">
        <f t="shared" si="4"/>
        <v/>
      </c>
      <c r="J1345" s="59" t="str">
        <f t="shared" si="5"/>
        <v/>
      </c>
      <c r="K1345" s="69" t="str">
        <f t="shared" si="6"/>
        <v/>
      </c>
      <c r="L1345" s="60" t="str">
        <f t="shared" si="7"/>
        <v/>
      </c>
      <c r="M1345" s="61" t="str">
        <f>IFERROR(__xludf.DUMMYFUNCTION("IFS(AND(COUNTA(C1345:C1673)=0,COUNTA(Q1345:Q1673)=0),"""",OR(AND(K1345&gt;=1000000000,OR(Y1345&gt;=1000000000,COUNTA(Q1345:Q1673)=0)),OR(Y1345&gt;=1000000000,AND(COUNTA(C1345:C1673)=0,P$3=TRUE))),
ROUNDDOWN((AB$1-AC$1)*MAX(INDEX(T$4:T1673,MATCH(LARGE(FILTER(Y$4:Y1"&amp;"673,Y$4:Y1673&lt;1000000000),1),Y$4:Y1673)),INDEX(F$4:F1673,MATCH(LARGE(FILTER(K$4:K1673,K$4:K1673&lt;1000000000),1),K$4:K1673)))),AND(K1345&lt;1000000000,COUNTA(C1345:C1673)&gt;0,P$3=FALSE),
ROUNDDOWN(INDEX(Y$4:Y1673,MATCH(LARGE(FILTER(W$4:W1673,W$4:W1673&lt;=I1345),1)"&amp;",W$4:W1673))+(I1345-LARGE(FILTER(W$4:W1673,W$4:W1673&lt;=I1345),1))*INDEX(T$4:T1673,MATCH(LARGE(FILTER(W$4:W1673,W$4:W1673&lt;=I1345),1),W$4:W1673))-K1345),1,
ROUNDDOWN(Y1345-INDEX(K$4:K1673,MATCH(LARGE(FILTER(I$4:I1673,I$4:I1673&lt;=W1345),1),I$4:I1673))-(W1345-L"&amp;"ARGE(FILTER(I$4:I1673,I$4:I1673&lt;=W1345),1))*INDEX(F$4:F1673,MATCH(LARGE(FILTER(I$4:I1673,I$4:I1673&lt;=W1345),1),I$4:I1673))))"),"")</f>
        <v/>
      </c>
      <c r="N1345" s="60" t="str">
        <f t="shared" si="8"/>
        <v/>
      </c>
      <c r="O1345" s="61" t="str">
        <f t="shared" si="9"/>
        <v/>
      </c>
      <c r="P1345" s="56" t="str">
        <f t="shared" si="10"/>
        <v/>
      </c>
      <c r="Q1345" s="67"/>
      <c r="R1345" s="10"/>
      <c r="S1345" s="59" t="str">
        <f t="array" ref="S1345">IF(COUNTA(Q1345:Q1673)=0,"",SUM((COUNTIF(Q$4:Q1345,Upgrades!$B$3:$B$13)-COUNTIF(Q$4:Q1345,"Sell_"&amp;Upgrades!$B$3:$B$13))*Upgrades!$D$3:$D$13))</f>
        <v/>
      </c>
      <c r="T1345" s="66" t="str">
        <f>IFERROR(__xludf.DUMMYFUNCTION("IF(COUNTA(Q1345:Q1673)=0,"""",IF(REGEXMATCH(INDEX(FILTER(Q$4:Q1345,Q$4:Q1345&lt;&gt;""""),ROWS(FILTER(Q$4:Q1345,Q$4:Q1345&lt;&gt;""""))),""^Sell_""),INDEX(FILTER(T$4:T1344,Q$4:Q1344&lt;&gt;""""),ROWS(FILTER(Q$4:Q1344,Q$4:Q1344&lt;&gt;""""))),$AD$5+S1345))"),"")</f>
        <v/>
      </c>
      <c r="U1345" s="10" t="str">
        <f>IFERROR(__xludf.DUMMYFUNCTION("IF(COUNTA(Q1345:Q1673)=0,"""",IF(Q1345="""",0,IF(REGEXMATCH(Q1345,""^Sell_""),-ROUNDDOWN(ROUNDUP(INDEX(Upgrades!$C$3:$C$13,MATCH(SUBSTITUTE(Q1345,""Sell_"",""""),Upgrades!$B$3:$B$13,0))*1.15^(COUNTIF(Q$4:Q1344,SUBSTITUTE(Q1345,""Sell_"",""""))-COUNTIF(Q$4"&amp;":Q1344,""Sell_""&amp;SUBSTITUTE(Q1345,""Sell_"",""""))))/2),ROUNDUP(INDEX(Upgrades!$C$3:$C$13,MATCH(Q1345,Upgrades!$B$3:$B$13,0))*1.15^(COUNTIF(Q$4:Q1344,Q1345)-COUNTIF(Q$4:Q1344,""Sell_""&amp;Q1345))))))"),"")</f>
        <v/>
      </c>
      <c r="V1345" s="10" t="str">
        <f t="shared" si="11"/>
        <v/>
      </c>
      <c r="W1345" s="68" t="str">
        <f t="shared" si="12"/>
        <v/>
      </c>
      <c r="X1345" s="59" t="str">
        <f t="shared" si="13"/>
        <v/>
      </c>
      <c r="Y1345" s="69" t="str">
        <f t="shared" si="14"/>
        <v/>
      </c>
      <c r="Z1345" s="11"/>
    </row>
    <row r="1346">
      <c r="A1346" s="8"/>
      <c r="B1346" s="56" t="str">
        <f t="shared" si="2"/>
        <v/>
      </c>
      <c r="C1346" s="105"/>
      <c r="D1346" s="10"/>
      <c r="E1346" s="59" t="str">
        <f t="array" ref="E1346">IF(COUNTA(C1346:C1673)=0,"",SUM((COUNTIF(C$4:C1346,Upgrades!$B$3:$B$13)-COUNTIF(C$4:C1346,"Sell_"&amp;Upgrades!$B$3:$B$13))*Upgrades!$D$3:$D$13))</f>
        <v/>
      </c>
      <c r="F1346" s="66" t="str">
        <f>IFERROR(__xludf.DUMMYFUNCTION("IF(COUNTA(C1346:C1673)=0,"""",IF(REGEXMATCH(INDEX(FILTER(C$4:C1346,C$4:C1346&lt;&gt;""""),ROWS(FILTER(C$4:C1346,C$4:C1346&lt;&gt;""""))),""^Sell_""),INDEX(FILTER(F$4:F1345,C$4:C1345&lt;&gt;""""),ROWS(FILTER(C$4:C1345,C$4:C1345&lt;&gt;""""))),$AC$5+E1346))"),"")</f>
        <v/>
      </c>
      <c r="G1346" s="10" t="str">
        <f>IFERROR(__xludf.DUMMYFUNCTION("IF(COUNTA(C1346:C1673)=0,"""",IF(C1346="""",0,IF(REGEXMATCH(C1346,""^Sell_""),-ROUNDDOWN(ROUNDUP(INDEX(Upgrades!$C$3:$C$13,MATCH(SUBSTITUTE(C1346,""Sell_"",""""),Upgrades!$B$3:$B$13,0))*1.15^(COUNTIF(C$4:C1345,SUBSTITUTE(C1346,""Sell_"",""""))-COUNTIF(C$4"&amp;":C1345,""Sell_""&amp;SUBSTITUTE(C1346,""Sell_"",""""))))/2),ROUNDUP(INDEX(Upgrades!$C$3:$C$13,MATCH(C1346,Upgrades!$B$3:$B$13,0))*1.15^(COUNTIF(C$4:C1345,C1346)-COUNTIF(C$4:C1345,""Sell_""&amp;C1346))))))"),"")</f>
        <v/>
      </c>
      <c r="H1346" s="10" t="str">
        <f t="shared" si="3"/>
        <v/>
      </c>
      <c r="I1346" s="68" t="str">
        <f t="shared" si="4"/>
        <v/>
      </c>
      <c r="J1346" s="59" t="str">
        <f t="shared" si="5"/>
        <v/>
      </c>
      <c r="K1346" s="69" t="str">
        <f t="shared" si="6"/>
        <v/>
      </c>
      <c r="L1346" s="60" t="str">
        <f t="shared" si="7"/>
        <v/>
      </c>
      <c r="M1346" s="61" t="str">
        <f>IFERROR(__xludf.DUMMYFUNCTION("IFS(AND(COUNTA(C1346:C1673)=0,COUNTA(Q1346:Q1673)=0),"""",OR(AND(K1346&gt;=1000000000,OR(Y1346&gt;=1000000000,COUNTA(Q1346:Q1673)=0)),OR(Y1346&gt;=1000000000,AND(COUNTA(C1346:C1673)=0,P$3=TRUE))),
ROUNDDOWN((AB$1-AC$1)*MAX(INDEX(T$4:T1673,MATCH(LARGE(FILTER(Y$4:Y1"&amp;"673,Y$4:Y1673&lt;1000000000),1),Y$4:Y1673)),INDEX(F$4:F1673,MATCH(LARGE(FILTER(K$4:K1673,K$4:K1673&lt;1000000000),1),K$4:K1673)))),AND(K1346&lt;1000000000,COUNTA(C1346:C1673)&gt;0,P$3=FALSE),
ROUNDDOWN(INDEX(Y$4:Y1673,MATCH(LARGE(FILTER(W$4:W1673,W$4:W1673&lt;=I1346),1)"&amp;",W$4:W1673))+(I1346-LARGE(FILTER(W$4:W1673,W$4:W1673&lt;=I1346),1))*INDEX(T$4:T1673,MATCH(LARGE(FILTER(W$4:W1673,W$4:W1673&lt;=I1346),1),W$4:W1673))-K1346),1,
ROUNDDOWN(Y1346-INDEX(K$4:K1673,MATCH(LARGE(FILTER(I$4:I1673,I$4:I1673&lt;=W1346),1),I$4:I1673))-(W1346-L"&amp;"ARGE(FILTER(I$4:I1673,I$4:I1673&lt;=W1346),1))*INDEX(F$4:F1673,MATCH(LARGE(FILTER(I$4:I1673,I$4:I1673&lt;=W1346),1),I$4:I1673))))"),"")</f>
        <v/>
      </c>
      <c r="N1346" s="60" t="str">
        <f t="shared" si="8"/>
        <v/>
      </c>
      <c r="O1346" s="61" t="str">
        <f t="shared" si="9"/>
        <v/>
      </c>
      <c r="P1346" s="56" t="str">
        <f t="shared" si="10"/>
        <v/>
      </c>
      <c r="Q1346" s="67"/>
      <c r="R1346" s="10"/>
      <c r="S1346" s="59" t="str">
        <f t="array" ref="S1346">IF(COUNTA(Q1346:Q1673)=0,"",SUM((COUNTIF(Q$4:Q1346,Upgrades!$B$3:$B$13)-COUNTIF(Q$4:Q1346,"Sell_"&amp;Upgrades!$B$3:$B$13))*Upgrades!$D$3:$D$13))</f>
        <v/>
      </c>
      <c r="T1346" s="66" t="str">
        <f>IFERROR(__xludf.DUMMYFUNCTION("IF(COUNTA(Q1346:Q1673)=0,"""",IF(REGEXMATCH(INDEX(FILTER(Q$4:Q1346,Q$4:Q1346&lt;&gt;""""),ROWS(FILTER(Q$4:Q1346,Q$4:Q1346&lt;&gt;""""))),""^Sell_""),INDEX(FILTER(T$4:T1345,Q$4:Q1345&lt;&gt;""""),ROWS(FILTER(Q$4:Q1345,Q$4:Q1345&lt;&gt;""""))),$AD$5+S1346))"),"")</f>
        <v/>
      </c>
      <c r="U1346" s="10" t="str">
        <f>IFERROR(__xludf.DUMMYFUNCTION("IF(COUNTA(Q1346:Q1673)=0,"""",IF(Q1346="""",0,IF(REGEXMATCH(Q1346,""^Sell_""),-ROUNDDOWN(ROUNDUP(INDEX(Upgrades!$C$3:$C$13,MATCH(SUBSTITUTE(Q1346,""Sell_"",""""),Upgrades!$B$3:$B$13,0))*1.15^(COUNTIF(Q$4:Q1345,SUBSTITUTE(Q1346,""Sell_"",""""))-COUNTIF(Q$4"&amp;":Q1345,""Sell_""&amp;SUBSTITUTE(Q1346,""Sell_"",""""))))/2),ROUNDUP(INDEX(Upgrades!$C$3:$C$13,MATCH(Q1346,Upgrades!$B$3:$B$13,0))*1.15^(COUNTIF(Q$4:Q1345,Q1346)-COUNTIF(Q$4:Q1345,""Sell_""&amp;Q1346))))))"),"")</f>
        <v/>
      </c>
      <c r="V1346" s="10" t="str">
        <f t="shared" si="11"/>
        <v/>
      </c>
      <c r="W1346" s="68" t="str">
        <f t="shared" si="12"/>
        <v/>
      </c>
      <c r="X1346" s="59" t="str">
        <f t="shared" si="13"/>
        <v/>
      </c>
      <c r="Y1346" s="69" t="str">
        <f t="shared" si="14"/>
        <v/>
      </c>
      <c r="Z1346" s="11"/>
    </row>
    <row r="1347">
      <c r="A1347" s="8"/>
      <c r="B1347" s="56" t="str">
        <f t="shared" si="2"/>
        <v/>
      </c>
      <c r="C1347" s="105"/>
      <c r="D1347" s="10"/>
      <c r="E1347" s="59" t="str">
        <f t="array" ref="E1347">IF(COUNTA(C1347:C1673)=0,"",SUM((COUNTIF(C$4:C1347,Upgrades!$B$3:$B$13)-COUNTIF(C$4:C1347,"Sell_"&amp;Upgrades!$B$3:$B$13))*Upgrades!$D$3:$D$13))</f>
        <v/>
      </c>
      <c r="F1347" s="66" t="str">
        <f>IFERROR(__xludf.DUMMYFUNCTION("IF(COUNTA(C1347:C1673)=0,"""",IF(REGEXMATCH(INDEX(FILTER(C$4:C1347,C$4:C1347&lt;&gt;""""),ROWS(FILTER(C$4:C1347,C$4:C1347&lt;&gt;""""))),""^Sell_""),INDEX(FILTER(F$4:F1346,C$4:C1346&lt;&gt;""""),ROWS(FILTER(C$4:C1346,C$4:C1346&lt;&gt;""""))),$AC$5+E1347))"),"")</f>
        <v/>
      </c>
      <c r="G1347" s="10" t="str">
        <f>IFERROR(__xludf.DUMMYFUNCTION("IF(COUNTA(C1347:C1673)=0,"""",IF(C1347="""",0,IF(REGEXMATCH(C1347,""^Sell_""),-ROUNDDOWN(ROUNDUP(INDEX(Upgrades!$C$3:$C$13,MATCH(SUBSTITUTE(C1347,""Sell_"",""""),Upgrades!$B$3:$B$13,0))*1.15^(COUNTIF(C$4:C1346,SUBSTITUTE(C1347,""Sell_"",""""))-COUNTIF(C$4"&amp;":C1346,""Sell_""&amp;SUBSTITUTE(C1347,""Sell_"",""""))))/2),ROUNDUP(INDEX(Upgrades!$C$3:$C$13,MATCH(C1347,Upgrades!$B$3:$B$13,0))*1.15^(COUNTIF(C$4:C1346,C1347)-COUNTIF(C$4:C1346,""Sell_""&amp;C1347))))))"),"")</f>
        <v/>
      </c>
      <c r="H1347" s="10" t="str">
        <f t="shared" si="3"/>
        <v/>
      </c>
      <c r="I1347" s="68" t="str">
        <f t="shared" si="4"/>
        <v/>
      </c>
      <c r="J1347" s="59" t="str">
        <f t="shared" si="5"/>
        <v/>
      </c>
      <c r="K1347" s="69" t="str">
        <f t="shared" si="6"/>
        <v/>
      </c>
      <c r="L1347" s="60" t="str">
        <f t="shared" si="7"/>
        <v/>
      </c>
      <c r="M1347" s="61" t="str">
        <f>IFERROR(__xludf.DUMMYFUNCTION("IFS(AND(COUNTA(C1347:C1673)=0,COUNTA(Q1347:Q1673)=0),"""",OR(AND(K1347&gt;=1000000000,OR(Y1347&gt;=1000000000,COUNTA(Q1347:Q1673)=0)),OR(Y1347&gt;=1000000000,AND(COUNTA(C1347:C1673)=0,P$3=TRUE))),
ROUNDDOWN((AB$1-AC$1)*MAX(INDEX(T$4:T1673,MATCH(LARGE(FILTER(Y$4:Y1"&amp;"673,Y$4:Y1673&lt;1000000000),1),Y$4:Y1673)),INDEX(F$4:F1673,MATCH(LARGE(FILTER(K$4:K1673,K$4:K1673&lt;1000000000),1),K$4:K1673)))),AND(K1347&lt;1000000000,COUNTA(C1347:C1673)&gt;0,P$3=FALSE),
ROUNDDOWN(INDEX(Y$4:Y1673,MATCH(LARGE(FILTER(W$4:W1673,W$4:W1673&lt;=I1347),1)"&amp;",W$4:W1673))+(I1347-LARGE(FILTER(W$4:W1673,W$4:W1673&lt;=I1347),1))*INDEX(T$4:T1673,MATCH(LARGE(FILTER(W$4:W1673,W$4:W1673&lt;=I1347),1),W$4:W1673))-K1347),1,
ROUNDDOWN(Y1347-INDEX(K$4:K1673,MATCH(LARGE(FILTER(I$4:I1673,I$4:I1673&lt;=W1347),1),I$4:I1673))-(W1347-L"&amp;"ARGE(FILTER(I$4:I1673,I$4:I1673&lt;=W1347),1))*INDEX(F$4:F1673,MATCH(LARGE(FILTER(I$4:I1673,I$4:I1673&lt;=W1347),1),I$4:I1673))))"),"")</f>
        <v/>
      </c>
      <c r="N1347" s="60" t="str">
        <f t="shared" si="8"/>
        <v/>
      </c>
      <c r="O1347" s="61" t="str">
        <f t="shared" si="9"/>
        <v/>
      </c>
      <c r="P1347" s="56" t="str">
        <f t="shared" si="10"/>
        <v/>
      </c>
      <c r="Q1347" s="67"/>
      <c r="R1347" s="10"/>
      <c r="S1347" s="59" t="str">
        <f t="array" ref="S1347">IF(COUNTA(Q1347:Q1673)=0,"",SUM((COUNTIF(Q$4:Q1347,Upgrades!$B$3:$B$13)-COUNTIF(Q$4:Q1347,"Sell_"&amp;Upgrades!$B$3:$B$13))*Upgrades!$D$3:$D$13))</f>
        <v/>
      </c>
      <c r="T1347" s="66" t="str">
        <f>IFERROR(__xludf.DUMMYFUNCTION("IF(COUNTA(Q1347:Q1673)=0,"""",IF(REGEXMATCH(INDEX(FILTER(Q$4:Q1347,Q$4:Q1347&lt;&gt;""""),ROWS(FILTER(Q$4:Q1347,Q$4:Q1347&lt;&gt;""""))),""^Sell_""),INDEX(FILTER(T$4:T1346,Q$4:Q1346&lt;&gt;""""),ROWS(FILTER(Q$4:Q1346,Q$4:Q1346&lt;&gt;""""))),$AD$5+S1347))"),"")</f>
        <v/>
      </c>
      <c r="U1347" s="10" t="str">
        <f>IFERROR(__xludf.DUMMYFUNCTION("IF(COUNTA(Q1347:Q1673)=0,"""",IF(Q1347="""",0,IF(REGEXMATCH(Q1347,""^Sell_""),-ROUNDDOWN(ROUNDUP(INDEX(Upgrades!$C$3:$C$13,MATCH(SUBSTITUTE(Q1347,""Sell_"",""""),Upgrades!$B$3:$B$13,0))*1.15^(COUNTIF(Q$4:Q1346,SUBSTITUTE(Q1347,""Sell_"",""""))-COUNTIF(Q$4"&amp;":Q1346,""Sell_""&amp;SUBSTITUTE(Q1347,""Sell_"",""""))))/2),ROUNDUP(INDEX(Upgrades!$C$3:$C$13,MATCH(Q1347,Upgrades!$B$3:$B$13,0))*1.15^(COUNTIF(Q$4:Q1346,Q1347)-COUNTIF(Q$4:Q1346,""Sell_""&amp;Q1347))))))"),"")</f>
        <v/>
      </c>
      <c r="V1347" s="10" t="str">
        <f t="shared" si="11"/>
        <v/>
      </c>
      <c r="W1347" s="68" t="str">
        <f t="shared" si="12"/>
        <v/>
      </c>
      <c r="X1347" s="59" t="str">
        <f t="shared" si="13"/>
        <v/>
      </c>
      <c r="Y1347" s="69" t="str">
        <f t="shared" si="14"/>
        <v/>
      </c>
      <c r="Z1347" s="11"/>
    </row>
    <row r="1348">
      <c r="A1348" s="8"/>
      <c r="B1348" s="56" t="str">
        <f t="shared" si="2"/>
        <v/>
      </c>
      <c r="C1348" s="105"/>
      <c r="D1348" s="10"/>
      <c r="E1348" s="59" t="str">
        <f t="array" ref="E1348">IF(COUNTA(C1348:C1673)=0,"",SUM((COUNTIF(C$4:C1348,Upgrades!$B$3:$B$13)-COUNTIF(C$4:C1348,"Sell_"&amp;Upgrades!$B$3:$B$13))*Upgrades!$D$3:$D$13))</f>
        <v/>
      </c>
      <c r="F1348" s="66" t="str">
        <f>IFERROR(__xludf.DUMMYFUNCTION("IF(COUNTA(C1348:C1673)=0,"""",IF(REGEXMATCH(INDEX(FILTER(C$4:C1348,C$4:C1348&lt;&gt;""""),ROWS(FILTER(C$4:C1348,C$4:C1348&lt;&gt;""""))),""^Sell_""),INDEX(FILTER(F$4:F1347,C$4:C1347&lt;&gt;""""),ROWS(FILTER(C$4:C1347,C$4:C1347&lt;&gt;""""))),$AC$5+E1348))"),"")</f>
        <v/>
      </c>
      <c r="G1348" s="10" t="str">
        <f>IFERROR(__xludf.DUMMYFUNCTION("IF(COUNTA(C1348:C1673)=0,"""",IF(C1348="""",0,IF(REGEXMATCH(C1348,""^Sell_""),-ROUNDDOWN(ROUNDUP(INDEX(Upgrades!$C$3:$C$13,MATCH(SUBSTITUTE(C1348,""Sell_"",""""),Upgrades!$B$3:$B$13,0))*1.15^(COUNTIF(C$4:C1347,SUBSTITUTE(C1348,""Sell_"",""""))-COUNTIF(C$4"&amp;":C1347,""Sell_""&amp;SUBSTITUTE(C1348,""Sell_"",""""))))/2),ROUNDUP(INDEX(Upgrades!$C$3:$C$13,MATCH(C1348,Upgrades!$B$3:$B$13,0))*1.15^(COUNTIF(C$4:C1347,C1348)-COUNTIF(C$4:C1347,""Sell_""&amp;C1348))))))"),"")</f>
        <v/>
      </c>
      <c r="H1348" s="10" t="str">
        <f t="shared" si="3"/>
        <v/>
      </c>
      <c r="I1348" s="68" t="str">
        <f t="shared" si="4"/>
        <v/>
      </c>
      <c r="J1348" s="59" t="str">
        <f t="shared" si="5"/>
        <v/>
      </c>
      <c r="K1348" s="69" t="str">
        <f t="shared" si="6"/>
        <v/>
      </c>
      <c r="L1348" s="60" t="str">
        <f t="shared" si="7"/>
        <v/>
      </c>
      <c r="M1348" s="61" t="str">
        <f>IFERROR(__xludf.DUMMYFUNCTION("IFS(AND(COUNTA(C1348:C1673)=0,COUNTA(Q1348:Q1673)=0),"""",OR(AND(K1348&gt;=1000000000,OR(Y1348&gt;=1000000000,COUNTA(Q1348:Q1673)=0)),OR(Y1348&gt;=1000000000,AND(COUNTA(C1348:C1673)=0,P$3=TRUE))),
ROUNDDOWN((AB$1-AC$1)*MAX(INDEX(T$4:T1673,MATCH(LARGE(FILTER(Y$4:Y1"&amp;"673,Y$4:Y1673&lt;1000000000),1),Y$4:Y1673)),INDEX(F$4:F1673,MATCH(LARGE(FILTER(K$4:K1673,K$4:K1673&lt;1000000000),1),K$4:K1673)))),AND(K1348&lt;1000000000,COUNTA(C1348:C1673)&gt;0,P$3=FALSE),
ROUNDDOWN(INDEX(Y$4:Y1673,MATCH(LARGE(FILTER(W$4:W1673,W$4:W1673&lt;=I1348),1)"&amp;",W$4:W1673))+(I1348-LARGE(FILTER(W$4:W1673,W$4:W1673&lt;=I1348),1))*INDEX(T$4:T1673,MATCH(LARGE(FILTER(W$4:W1673,W$4:W1673&lt;=I1348),1),W$4:W1673))-K1348),1,
ROUNDDOWN(Y1348-INDEX(K$4:K1673,MATCH(LARGE(FILTER(I$4:I1673,I$4:I1673&lt;=W1348),1),I$4:I1673))-(W1348-L"&amp;"ARGE(FILTER(I$4:I1673,I$4:I1673&lt;=W1348),1))*INDEX(F$4:F1673,MATCH(LARGE(FILTER(I$4:I1673,I$4:I1673&lt;=W1348),1),I$4:I1673))))"),"")</f>
        <v/>
      </c>
      <c r="N1348" s="60" t="str">
        <f t="shared" si="8"/>
        <v/>
      </c>
      <c r="O1348" s="61" t="str">
        <f t="shared" si="9"/>
        <v/>
      </c>
      <c r="P1348" s="56" t="str">
        <f t="shared" si="10"/>
        <v/>
      </c>
      <c r="Q1348" s="67"/>
      <c r="R1348" s="10"/>
      <c r="S1348" s="59" t="str">
        <f t="array" ref="S1348">IF(COUNTA(Q1348:Q1673)=0,"",SUM((COUNTIF(Q$4:Q1348,Upgrades!$B$3:$B$13)-COUNTIF(Q$4:Q1348,"Sell_"&amp;Upgrades!$B$3:$B$13))*Upgrades!$D$3:$D$13))</f>
        <v/>
      </c>
      <c r="T1348" s="66" t="str">
        <f>IFERROR(__xludf.DUMMYFUNCTION("IF(COUNTA(Q1348:Q1673)=0,"""",IF(REGEXMATCH(INDEX(FILTER(Q$4:Q1348,Q$4:Q1348&lt;&gt;""""),ROWS(FILTER(Q$4:Q1348,Q$4:Q1348&lt;&gt;""""))),""^Sell_""),INDEX(FILTER(T$4:T1347,Q$4:Q1347&lt;&gt;""""),ROWS(FILTER(Q$4:Q1347,Q$4:Q1347&lt;&gt;""""))),$AD$5+S1348))"),"")</f>
        <v/>
      </c>
      <c r="U1348" s="10" t="str">
        <f>IFERROR(__xludf.DUMMYFUNCTION("IF(COUNTA(Q1348:Q1673)=0,"""",IF(Q1348="""",0,IF(REGEXMATCH(Q1348,""^Sell_""),-ROUNDDOWN(ROUNDUP(INDEX(Upgrades!$C$3:$C$13,MATCH(SUBSTITUTE(Q1348,""Sell_"",""""),Upgrades!$B$3:$B$13,0))*1.15^(COUNTIF(Q$4:Q1347,SUBSTITUTE(Q1348,""Sell_"",""""))-COUNTIF(Q$4"&amp;":Q1347,""Sell_""&amp;SUBSTITUTE(Q1348,""Sell_"",""""))))/2),ROUNDUP(INDEX(Upgrades!$C$3:$C$13,MATCH(Q1348,Upgrades!$B$3:$B$13,0))*1.15^(COUNTIF(Q$4:Q1347,Q1348)-COUNTIF(Q$4:Q1347,""Sell_""&amp;Q1348))))))"),"")</f>
        <v/>
      </c>
      <c r="V1348" s="10" t="str">
        <f t="shared" si="11"/>
        <v/>
      </c>
      <c r="W1348" s="68" t="str">
        <f t="shared" si="12"/>
        <v/>
      </c>
      <c r="X1348" s="59" t="str">
        <f t="shared" si="13"/>
        <v/>
      </c>
      <c r="Y1348" s="69" t="str">
        <f t="shared" si="14"/>
        <v/>
      </c>
      <c r="Z1348" s="11"/>
    </row>
    <row r="1349">
      <c r="A1349" s="8"/>
      <c r="B1349" s="56" t="str">
        <f t="shared" si="2"/>
        <v/>
      </c>
      <c r="C1349" s="105"/>
      <c r="D1349" s="10"/>
      <c r="E1349" s="59" t="str">
        <f t="array" ref="E1349">IF(COUNTA(C1349:C1673)=0,"",SUM((COUNTIF(C$4:C1349,Upgrades!$B$3:$B$13)-COUNTIF(C$4:C1349,"Sell_"&amp;Upgrades!$B$3:$B$13))*Upgrades!$D$3:$D$13))</f>
        <v/>
      </c>
      <c r="F1349" s="66" t="str">
        <f>IFERROR(__xludf.DUMMYFUNCTION("IF(COUNTA(C1349:C1673)=0,"""",IF(REGEXMATCH(INDEX(FILTER(C$4:C1349,C$4:C1349&lt;&gt;""""),ROWS(FILTER(C$4:C1349,C$4:C1349&lt;&gt;""""))),""^Sell_""),INDEX(FILTER(F$4:F1348,C$4:C1348&lt;&gt;""""),ROWS(FILTER(C$4:C1348,C$4:C1348&lt;&gt;""""))),$AC$5+E1349))"),"")</f>
        <v/>
      </c>
      <c r="G1349" s="10" t="str">
        <f>IFERROR(__xludf.DUMMYFUNCTION("IF(COUNTA(C1349:C1673)=0,"""",IF(C1349="""",0,IF(REGEXMATCH(C1349,""^Sell_""),-ROUNDDOWN(ROUNDUP(INDEX(Upgrades!$C$3:$C$13,MATCH(SUBSTITUTE(C1349,""Sell_"",""""),Upgrades!$B$3:$B$13,0))*1.15^(COUNTIF(C$4:C1348,SUBSTITUTE(C1349,""Sell_"",""""))-COUNTIF(C$4"&amp;":C1348,""Sell_""&amp;SUBSTITUTE(C1349,""Sell_"",""""))))/2),ROUNDUP(INDEX(Upgrades!$C$3:$C$13,MATCH(C1349,Upgrades!$B$3:$B$13,0))*1.15^(COUNTIF(C$4:C1348,C1349)-COUNTIF(C$4:C1348,""Sell_""&amp;C1349))))))"),"")</f>
        <v/>
      </c>
      <c r="H1349" s="10" t="str">
        <f t="shared" si="3"/>
        <v/>
      </c>
      <c r="I1349" s="68" t="str">
        <f t="shared" si="4"/>
        <v/>
      </c>
      <c r="J1349" s="59" t="str">
        <f t="shared" si="5"/>
        <v/>
      </c>
      <c r="K1349" s="69" t="str">
        <f t="shared" si="6"/>
        <v/>
      </c>
      <c r="L1349" s="60" t="str">
        <f t="shared" si="7"/>
        <v/>
      </c>
      <c r="M1349" s="61" t="str">
        <f>IFERROR(__xludf.DUMMYFUNCTION("IFS(AND(COUNTA(C1349:C1673)=0,COUNTA(Q1349:Q1673)=0),"""",OR(AND(K1349&gt;=1000000000,OR(Y1349&gt;=1000000000,COUNTA(Q1349:Q1673)=0)),OR(Y1349&gt;=1000000000,AND(COUNTA(C1349:C1673)=0,P$3=TRUE))),
ROUNDDOWN((AB$1-AC$1)*MAX(INDEX(T$4:T1673,MATCH(LARGE(FILTER(Y$4:Y1"&amp;"673,Y$4:Y1673&lt;1000000000),1),Y$4:Y1673)),INDEX(F$4:F1673,MATCH(LARGE(FILTER(K$4:K1673,K$4:K1673&lt;1000000000),1),K$4:K1673)))),AND(K1349&lt;1000000000,COUNTA(C1349:C1673)&gt;0,P$3=FALSE),
ROUNDDOWN(INDEX(Y$4:Y1673,MATCH(LARGE(FILTER(W$4:W1673,W$4:W1673&lt;=I1349),1)"&amp;",W$4:W1673))+(I1349-LARGE(FILTER(W$4:W1673,W$4:W1673&lt;=I1349),1))*INDEX(T$4:T1673,MATCH(LARGE(FILTER(W$4:W1673,W$4:W1673&lt;=I1349),1),W$4:W1673))-K1349),1,
ROUNDDOWN(Y1349-INDEX(K$4:K1673,MATCH(LARGE(FILTER(I$4:I1673,I$4:I1673&lt;=W1349),1),I$4:I1673))-(W1349-L"&amp;"ARGE(FILTER(I$4:I1673,I$4:I1673&lt;=W1349),1))*INDEX(F$4:F1673,MATCH(LARGE(FILTER(I$4:I1673,I$4:I1673&lt;=W1349),1),I$4:I1673))))"),"")</f>
        <v/>
      </c>
      <c r="N1349" s="60" t="str">
        <f t="shared" si="8"/>
        <v/>
      </c>
      <c r="O1349" s="61" t="str">
        <f t="shared" si="9"/>
        <v/>
      </c>
      <c r="P1349" s="56" t="str">
        <f t="shared" si="10"/>
        <v/>
      </c>
      <c r="Q1349" s="67"/>
      <c r="R1349" s="10"/>
      <c r="S1349" s="59" t="str">
        <f t="array" ref="S1349">IF(COUNTA(Q1349:Q1673)=0,"",SUM((COUNTIF(Q$4:Q1349,Upgrades!$B$3:$B$13)-COUNTIF(Q$4:Q1349,"Sell_"&amp;Upgrades!$B$3:$B$13))*Upgrades!$D$3:$D$13))</f>
        <v/>
      </c>
      <c r="T1349" s="66" t="str">
        <f>IFERROR(__xludf.DUMMYFUNCTION("IF(COUNTA(Q1349:Q1673)=0,"""",IF(REGEXMATCH(INDEX(FILTER(Q$4:Q1349,Q$4:Q1349&lt;&gt;""""),ROWS(FILTER(Q$4:Q1349,Q$4:Q1349&lt;&gt;""""))),""^Sell_""),INDEX(FILTER(T$4:T1348,Q$4:Q1348&lt;&gt;""""),ROWS(FILTER(Q$4:Q1348,Q$4:Q1348&lt;&gt;""""))),$AD$5+S1349))"),"")</f>
        <v/>
      </c>
      <c r="U1349" s="10" t="str">
        <f>IFERROR(__xludf.DUMMYFUNCTION("IF(COUNTA(Q1349:Q1673)=0,"""",IF(Q1349="""",0,IF(REGEXMATCH(Q1349,""^Sell_""),-ROUNDDOWN(ROUNDUP(INDEX(Upgrades!$C$3:$C$13,MATCH(SUBSTITUTE(Q1349,""Sell_"",""""),Upgrades!$B$3:$B$13,0))*1.15^(COUNTIF(Q$4:Q1348,SUBSTITUTE(Q1349,""Sell_"",""""))-COUNTIF(Q$4"&amp;":Q1348,""Sell_""&amp;SUBSTITUTE(Q1349,""Sell_"",""""))))/2),ROUNDUP(INDEX(Upgrades!$C$3:$C$13,MATCH(Q1349,Upgrades!$B$3:$B$13,0))*1.15^(COUNTIF(Q$4:Q1348,Q1349)-COUNTIF(Q$4:Q1348,""Sell_""&amp;Q1349))))))"),"")</f>
        <v/>
      </c>
      <c r="V1349" s="10" t="str">
        <f t="shared" si="11"/>
        <v/>
      </c>
      <c r="W1349" s="68" t="str">
        <f t="shared" si="12"/>
        <v/>
      </c>
      <c r="X1349" s="59" t="str">
        <f t="shared" si="13"/>
        <v/>
      </c>
      <c r="Y1349" s="69" t="str">
        <f t="shared" si="14"/>
        <v/>
      </c>
      <c r="Z1349" s="11"/>
    </row>
    <row r="1350">
      <c r="A1350" s="8"/>
      <c r="B1350" s="56" t="str">
        <f t="shared" si="2"/>
        <v/>
      </c>
      <c r="C1350" s="105"/>
      <c r="D1350" s="10"/>
      <c r="E1350" s="59" t="str">
        <f t="array" ref="E1350">IF(COUNTA(C1350:C1673)=0,"",SUM((COUNTIF(C$4:C1350,Upgrades!$B$3:$B$13)-COUNTIF(C$4:C1350,"Sell_"&amp;Upgrades!$B$3:$B$13))*Upgrades!$D$3:$D$13))</f>
        <v/>
      </c>
      <c r="F1350" s="66" t="str">
        <f>IFERROR(__xludf.DUMMYFUNCTION("IF(COUNTA(C1350:C1673)=0,"""",IF(REGEXMATCH(INDEX(FILTER(C$4:C1350,C$4:C1350&lt;&gt;""""),ROWS(FILTER(C$4:C1350,C$4:C1350&lt;&gt;""""))),""^Sell_""),INDEX(FILTER(F$4:F1349,C$4:C1349&lt;&gt;""""),ROWS(FILTER(C$4:C1349,C$4:C1349&lt;&gt;""""))),$AC$5+E1350))"),"")</f>
        <v/>
      </c>
      <c r="G1350" s="10" t="str">
        <f>IFERROR(__xludf.DUMMYFUNCTION("IF(COUNTA(C1350:C1673)=0,"""",IF(C1350="""",0,IF(REGEXMATCH(C1350,""^Sell_""),-ROUNDDOWN(ROUNDUP(INDEX(Upgrades!$C$3:$C$13,MATCH(SUBSTITUTE(C1350,""Sell_"",""""),Upgrades!$B$3:$B$13,0))*1.15^(COUNTIF(C$4:C1349,SUBSTITUTE(C1350,""Sell_"",""""))-COUNTIF(C$4"&amp;":C1349,""Sell_""&amp;SUBSTITUTE(C1350,""Sell_"",""""))))/2),ROUNDUP(INDEX(Upgrades!$C$3:$C$13,MATCH(C1350,Upgrades!$B$3:$B$13,0))*1.15^(COUNTIF(C$4:C1349,C1350)-COUNTIF(C$4:C1349,""Sell_""&amp;C1350))))))"),"")</f>
        <v/>
      </c>
      <c r="H1350" s="10" t="str">
        <f t="shared" si="3"/>
        <v/>
      </c>
      <c r="I1350" s="68" t="str">
        <f t="shared" si="4"/>
        <v/>
      </c>
      <c r="J1350" s="59" t="str">
        <f t="shared" si="5"/>
        <v/>
      </c>
      <c r="K1350" s="69" t="str">
        <f t="shared" si="6"/>
        <v/>
      </c>
      <c r="L1350" s="60" t="str">
        <f t="shared" si="7"/>
        <v/>
      </c>
      <c r="M1350" s="61" t="str">
        <f>IFERROR(__xludf.DUMMYFUNCTION("IFS(AND(COUNTA(C1350:C1673)=0,COUNTA(Q1350:Q1673)=0),"""",OR(AND(K1350&gt;=1000000000,OR(Y1350&gt;=1000000000,COUNTA(Q1350:Q1673)=0)),OR(Y1350&gt;=1000000000,AND(COUNTA(C1350:C1673)=0,P$3=TRUE))),
ROUNDDOWN((AB$1-AC$1)*MAX(INDEX(T$4:T1673,MATCH(LARGE(FILTER(Y$4:Y1"&amp;"673,Y$4:Y1673&lt;1000000000),1),Y$4:Y1673)),INDEX(F$4:F1673,MATCH(LARGE(FILTER(K$4:K1673,K$4:K1673&lt;1000000000),1),K$4:K1673)))),AND(K1350&lt;1000000000,COUNTA(C1350:C1673)&gt;0,P$3=FALSE),
ROUNDDOWN(INDEX(Y$4:Y1673,MATCH(LARGE(FILTER(W$4:W1673,W$4:W1673&lt;=I1350),1)"&amp;",W$4:W1673))+(I1350-LARGE(FILTER(W$4:W1673,W$4:W1673&lt;=I1350),1))*INDEX(T$4:T1673,MATCH(LARGE(FILTER(W$4:W1673,W$4:W1673&lt;=I1350),1),W$4:W1673))-K1350),1,
ROUNDDOWN(Y1350-INDEX(K$4:K1673,MATCH(LARGE(FILTER(I$4:I1673,I$4:I1673&lt;=W1350),1),I$4:I1673))-(W1350-L"&amp;"ARGE(FILTER(I$4:I1673,I$4:I1673&lt;=W1350),1))*INDEX(F$4:F1673,MATCH(LARGE(FILTER(I$4:I1673,I$4:I1673&lt;=W1350),1),I$4:I1673))))"),"")</f>
        <v/>
      </c>
      <c r="N1350" s="60" t="str">
        <f t="shared" si="8"/>
        <v/>
      </c>
      <c r="O1350" s="61" t="str">
        <f t="shared" si="9"/>
        <v/>
      </c>
      <c r="P1350" s="56" t="str">
        <f t="shared" si="10"/>
        <v/>
      </c>
      <c r="Q1350" s="67"/>
      <c r="R1350" s="10"/>
      <c r="S1350" s="59" t="str">
        <f t="array" ref="S1350">IF(COUNTA(Q1350:Q1673)=0,"",SUM((COUNTIF(Q$4:Q1350,Upgrades!$B$3:$B$13)-COUNTIF(Q$4:Q1350,"Sell_"&amp;Upgrades!$B$3:$B$13))*Upgrades!$D$3:$D$13))</f>
        <v/>
      </c>
      <c r="T1350" s="66" t="str">
        <f>IFERROR(__xludf.DUMMYFUNCTION("IF(COUNTA(Q1350:Q1673)=0,"""",IF(REGEXMATCH(INDEX(FILTER(Q$4:Q1350,Q$4:Q1350&lt;&gt;""""),ROWS(FILTER(Q$4:Q1350,Q$4:Q1350&lt;&gt;""""))),""^Sell_""),INDEX(FILTER(T$4:T1349,Q$4:Q1349&lt;&gt;""""),ROWS(FILTER(Q$4:Q1349,Q$4:Q1349&lt;&gt;""""))),$AD$5+S1350))"),"")</f>
        <v/>
      </c>
      <c r="U1350" s="10" t="str">
        <f>IFERROR(__xludf.DUMMYFUNCTION("IF(COUNTA(Q1350:Q1673)=0,"""",IF(Q1350="""",0,IF(REGEXMATCH(Q1350,""^Sell_""),-ROUNDDOWN(ROUNDUP(INDEX(Upgrades!$C$3:$C$13,MATCH(SUBSTITUTE(Q1350,""Sell_"",""""),Upgrades!$B$3:$B$13,0))*1.15^(COUNTIF(Q$4:Q1349,SUBSTITUTE(Q1350,""Sell_"",""""))-COUNTIF(Q$4"&amp;":Q1349,""Sell_""&amp;SUBSTITUTE(Q1350,""Sell_"",""""))))/2),ROUNDUP(INDEX(Upgrades!$C$3:$C$13,MATCH(Q1350,Upgrades!$B$3:$B$13,0))*1.15^(COUNTIF(Q$4:Q1349,Q1350)-COUNTIF(Q$4:Q1349,""Sell_""&amp;Q1350))))))"),"")</f>
        <v/>
      </c>
      <c r="V1350" s="10" t="str">
        <f t="shared" si="11"/>
        <v/>
      </c>
      <c r="W1350" s="68" t="str">
        <f t="shared" si="12"/>
        <v/>
      </c>
      <c r="X1350" s="59" t="str">
        <f t="shared" si="13"/>
        <v/>
      </c>
      <c r="Y1350" s="69" t="str">
        <f t="shared" si="14"/>
        <v/>
      </c>
      <c r="Z1350" s="11"/>
    </row>
    <row r="1351">
      <c r="A1351" s="8"/>
      <c r="B1351" s="56" t="str">
        <f t="shared" si="2"/>
        <v/>
      </c>
      <c r="C1351" s="105"/>
      <c r="D1351" s="10"/>
      <c r="E1351" s="59" t="str">
        <f t="array" ref="E1351">IF(COUNTA(C1351:C1673)=0,"",SUM((COUNTIF(C$4:C1351,Upgrades!$B$3:$B$13)-COUNTIF(C$4:C1351,"Sell_"&amp;Upgrades!$B$3:$B$13))*Upgrades!$D$3:$D$13))</f>
        <v/>
      </c>
      <c r="F1351" s="66" t="str">
        <f>IFERROR(__xludf.DUMMYFUNCTION("IF(COUNTA(C1351:C1673)=0,"""",IF(REGEXMATCH(INDEX(FILTER(C$4:C1351,C$4:C1351&lt;&gt;""""),ROWS(FILTER(C$4:C1351,C$4:C1351&lt;&gt;""""))),""^Sell_""),INDEX(FILTER(F$4:F1350,C$4:C1350&lt;&gt;""""),ROWS(FILTER(C$4:C1350,C$4:C1350&lt;&gt;""""))),$AC$5+E1351))"),"")</f>
        <v/>
      </c>
      <c r="G1351" s="10" t="str">
        <f>IFERROR(__xludf.DUMMYFUNCTION("IF(COUNTA(C1351:C1673)=0,"""",IF(C1351="""",0,IF(REGEXMATCH(C1351,""^Sell_""),-ROUNDDOWN(ROUNDUP(INDEX(Upgrades!$C$3:$C$13,MATCH(SUBSTITUTE(C1351,""Sell_"",""""),Upgrades!$B$3:$B$13,0))*1.15^(COUNTIF(C$4:C1350,SUBSTITUTE(C1351,""Sell_"",""""))-COUNTIF(C$4"&amp;":C1350,""Sell_""&amp;SUBSTITUTE(C1351,""Sell_"",""""))))/2),ROUNDUP(INDEX(Upgrades!$C$3:$C$13,MATCH(C1351,Upgrades!$B$3:$B$13,0))*1.15^(COUNTIF(C$4:C1350,C1351)-COUNTIF(C$4:C1350,""Sell_""&amp;C1351))))))"),"")</f>
        <v/>
      </c>
      <c r="H1351" s="10" t="str">
        <f t="shared" si="3"/>
        <v/>
      </c>
      <c r="I1351" s="68" t="str">
        <f t="shared" si="4"/>
        <v/>
      </c>
      <c r="J1351" s="59" t="str">
        <f t="shared" si="5"/>
        <v/>
      </c>
      <c r="K1351" s="69" t="str">
        <f t="shared" si="6"/>
        <v/>
      </c>
      <c r="L1351" s="60" t="str">
        <f t="shared" si="7"/>
        <v/>
      </c>
      <c r="M1351" s="61" t="str">
        <f>IFERROR(__xludf.DUMMYFUNCTION("IFS(AND(COUNTA(C1351:C1673)=0,COUNTA(Q1351:Q1673)=0),"""",OR(AND(K1351&gt;=1000000000,OR(Y1351&gt;=1000000000,COUNTA(Q1351:Q1673)=0)),OR(Y1351&gt;=1000000000,AND(COUNTA(C1351:C1673)=0,P$3=TRUE))),
ROUNDDOWN((AB$1-AC$1)*MAX(INDEX(T$4:T1673,MATCH(LARGE(FILTER(Y$4:Y1"&amp;"673,Y$4:Y1673&lt;1000000000),1),Y$4:Y1673)),INDEX(F$4:F1673,MATCH(LARGE(FILTER(K$4:K1673,K$4:K1673&lt;1000000000),1),K$4:K1673)))),AND(K1351&lt;1000000000,COUNTA(C1351:C1673)&gt;0,P$3=FALSE),
ROUNDDOWN(INDEX(Y$4:Y1673,MATCH(LARGE(FILTER(W$4:W1673,W$4:W1673&lt;=I1351),1)"&amp;",W$4:W1673))+(I1351-LARGE(FILTER(W$4:W1673,W$4:W1673&lt;=I1351),1))*INDEX(T$4:T1673,MATCH(LARGE(FILTER(W$4:W1673,W$4:W1673&lt;=I1351),1),W$4:W1673))-K1351),1,
ROUNDDOWN(Y1351-INDEX(K$4:K1673,MATCH(LARGE(FILTER(I$4:I1673,I$4:I1673&lt;=W1351),1),I$4:I1673))-(W1351-L"&amp;"ARGE(FILTER(I$4:I1673,I$4:I1673&lt;=W1351),1))*INDEX(F$4:F1673,MATCH(LARGE(FILTER(I$4:I1673,I$4:I1673&lt;=W1351),1),I$4:I1673))))"),"")</f>
        <v/>
      </c>
      <c r="N1351" s="60" t="str">
        <f t="shared" si="8"/>
        <v/>
      </c>
      <c r="O1351" s="61" t="str">
        <f t="shared" si="9"/>
        <v/>
      </c>
      <c r="P1351" s="56" t="str">
        <f t="shared" si="10"/>
        <v/>
      </c>
      <c r="Q1351" s="67"/>
      <c r="R1351" s="10"/>
      <c r="S1351" s="59" t="str">
        <f t="array" ref="S1351">IF(COUNTA(Q1351:Q1673)=0,"",SUM((COUNTIF(Q$4:Q1351,Upgrades!$B$3:$B$13)-COUNTIF(Q$4:Q1351,"Sell_"&amp;Upgrades!$B$3:$B$13))*Upgrades!$D$3:$D$13))</f>
        <v/>
      </c>
      <c r="T1351" s="66" t="str">
        <f>IFERROR(__xludf.DUMMYFUNCTION("IF(COUNTA(Q1351:Q1673)=0,"""",IF(REGEXMATCH(INDEX(FILTER(Q$4:Q1351,Q$4:Q1351&lt;&gt;""""),ROWS(FILTER(Q$4:Q1351,Q$4:Q1351&lt;&gt;""""))),""^Sell_""),INDEX(FILTER(T$4:T1350,Q$4:Q1350&lt;&gt;""""),ROWS(FILTER(Q$4:Q1350,Q$4:Q1350&lt;&gt;""""))),$AD$5+S1351))"),"")</f>
        <v/>
      </c>
      <c r="U1351" s="10" t="str">
        <f>IFERROR(__xludf.DUMMYFUNCTION("IF(COUNTA(Q1351:Q1673)=0,"""",IF(Q1351="""",0,IF(REGEXMATCH(Q1351,""^Sell_""),-ROUNDDOWN(ROUNDUP(INDEX(Upgrades!$C$3:$C$13,MATCH(SUBSTITUTE(Q1351,""Sell_"",""""),Upgrades!$B$3:$B$13,0))*1.15^(COUNTIF(Q$4:Q1350,SUBSTITUTE(Q1351,""Sell_"",""""))-COUNTIF(Q$4"&amp;":Q1350,""Sell_""&amp;SUBSTITUTE(Q1351,""Sell_"",""""))))/2),ROUNDUP(INDEX(Upgrades!$C$3:$C$13,MATCH(Q1351,Upgrades!$B$3:$B$13,0))*1.15^(COUNTIF(Q$4:Q1350,Q1351)-COUNTIF(Q$4:Q1350,""Sell_""&amp;Q1351))))))"),"")</f>
        <v/>
      </c>
      <c r="V1351" s="10" t="str">
        <f t="shared" si="11"/>
        <v/>
      </c>
      <c r="W1351" s="68" t="str">
        <f t="shared" si="12"/>
        <v/>
      </c>
      <c r="X1351" s="59" t="str">
        <f t="shared" si="13"/>
        <v/>
      </c>
      <c r="Y1351" s="69" t="str">
        <f t="shared" si="14"/>
        <v/>
      </c>
      <c r="Z1351" s="11"/>
    </row>
    <row r="1352">
      <c r="A1352" s="8"/>
      <c r="B1352" s="56" t="str">
        <f t="shared" si="2"/>
        <v/>
      </c>
      <c r="C1352" s="105"/>
      <c r="D1352" s="10"/>
      <c r="E1352" s="59" t="str">
        <f t="array" ref="E1352">IF(COUNTA(C1352:C1673)=0,"",SUM((COUNTIF(C$4:C1352,Upgrades!$B$3:$B$13)-COUNTIF(C$4:C1352,"Sell_"&amp;Upgrades!$B$3:$B$13))*Upgrades!$D$3:$D$13))</f>
        <v/>
      </c>
      <c r="F1352" s="66" t="str">
        <f>IFERROR(__xludf.DUMMYFUNCTION("IF(COUNTA(C1352:C1673)=0,"""",IF(REGEXMATCH(INDEX(FILTER(C$4:C1352,C$4:C1352&lt;&gt;""""),ROWS(FILTER(C$4:C1352,C$4:C1352&lt;&gt;""""))),""^Sell_""),INDEX(FILTER(F$4:F1351,C$4:C1351&lt;&gt;""""),ROWS(FILTER(C$4:C1351,C$4:C1351&lt;&gt;""""))),$AC$5+E1352))"),"")</f>
        <v/>
      </c>
      <c r="G1352" s="10" t="str">
        <f>IFERROR(__xludf.DUMMYFUNCTION("IF(COUNTA(C1352:C1673)=0,"""",IF(C1352="""",0,IF(REGEXMATCH(C1352,""^Sell_""),-ROUNDDOWN(ROUNDUP(INDEX(Upgrades!$C$3:$C$13,MATCH(SUBSTITUTE(C1352,""Sell_"",""""),Upgrades!$B$3:$B$13,0))*1.15^(COUNTIF(C$4:C1351,SUBSTITUTE(C1352,""Sell_"",""""))-COUNTIF(C$4"&amp;":C1351,""Sell_""&amp;SUBSTITUTE(C1352,""Sell_"",""""))))/2),ROUNDUP(INDEX(Upgrades!$C$3:$C$13,MATCH(C1352,Upgrades!$B$3:$B$13,0))*1.15^(COUNTIF(C$4:C1351,C1352)-COUNTIF(C$4:C1351,""Sell_""&amp;C1352))))))"),"")</f>
        <v/>
      </c>
      <c r="H1352" s="10" t="str">
        <f t="shared" si="3"/>
        <v/>
      </c>
      <c r="I1352" s="68" t="str">
        <f t="shared" si="4"/>
        <v/>
      </c>
      <c r="J1352" s="59" t="str">
        <f t="shared" si="5"/>
        <v/>
      </c>
      <c r="K1352" s="69" t="str">
        <f t="shared" si="6"/>
        <v/>
      </c>
      <c r="L1352" s="60" t="str">
        <f t="shared" si="7"/>
        <v/>
      </c>
      <c r="M1352" s="61" t="str">
        <f>IFERROR(__xludf.DUMMYFUNCTION("IFS(AND(COUNTA(C1352:C1673)=0,COUNTA(Q1352:Q1673)=0),"""",OR(AND(K1352&gt;=1000000000,OR(Y1352&gt;=1000000000,COUNTA(Q1352:Q1673)=0)),OR(Y1352&gt;=1000000000,AND(COUNTA(C1352:C1673)=0,P$3=TRUE))),
ROUNDDOWN((AB$1-AC$1)*MAX(INDEX(T$4:T1673,MATCH(LARGE(FILTER(Y$4:Y1"&amp;"673,Y$4:Y1673&lt;1000000000),1),Y$4:Y1673)),INDEX(F$4:F1673,MATCH(LARGE(FILTER(K$4:K1673,K$4:K1673&lt;1000000000),1),K$4:K1673)))),AND(K1352&lt;1000000000,COUNTA(C1352:C1673)&gt;0,P$3=FALSE),
ROUNDDOWN(INDEX(Y$4:Y1673,MATCH(LARGE(FILTER(W$4:W1673,W$4:W1673&lt;=I1352),1)"&amp;",W$4:W1673))+(I1352-LARGE(FILTER(W$4:W1673,W$4:W1673&lt;=I1352),1))*INDEX(T$4:T1673,MATCH(LARGE(FILTER(W$4:W1673,W$4:W1673&lt;=I1352),1),W$4:W1673))-K1352),1,
ROUNDDOWN(Y1352-INDEX(K$4:K1673,MATCH(LARGE(FILTER(I$4:I1673,I$4:I1673&lt;=W1352),1),I$4:I1673))-(W1352-L"&amp;"ARGE(FILTER(I$4:I1673,I$4:I1673&lt;=W1352),1))*INDEX(F$4:F1673,MATCH(LARGE(FILTER(I$4:I1673,I$4:I1673&lt;=W1352),1),I$4:I1673))))"),"")</f>
        <v/>
      </c>
      <c r="N1352" s="60" t="str">
        <f t="shared" si="8"/>
        <v/>
      </c>
      <c r="O1352" s="61" t="str">
        <f t="shared" si="9"/>
        <v/>
      </c>
      <c r="P1352" s="56" t="str">
        <f t="shared" si="10"/>
        <v/>
      </c>
      <c r="Q1352" s="67"/>
      <c r="R1352" s="10"/>
      <c r="S1352" s="59" t="str">
        <f t="array" ref="S1352">IF(COUNTA(Q1352:Q1673)=0,"",SUM((COUNTIF(Q$4:Q1352,Upgrades!$B$3:$B$13)-COUNTIF(Q$4:Q1352,"Sell_"&amp;Upgrades!$B$3:$B$13))*Upgrades!$D$3:$D$13))</f>
        <v/>
      </c>
      <c r="T1352" s="66" t="str">
        <f>IFERROR(__xludf.DUMMYFUNCTION("IF(COUNTA(Q1352:Q1673)=0,"""",IF(REGEXMATCH(INDEX(FILTER(Q$4:Q1352,Q$4:Q1352&lt;&gt;""""),ROWS(FILTER(Q$4:Q1352,Q$4:Q1352&lt;&gt;""""))),""^Sell_""),INDEX(FILTER(T$4:T1351,Q$4:Q1351&lt;&gt;""""),ROWS(FILTER(Q$4:Q1351,Q$4:Q1351&lt;&gt;""""))),$AD$5+S1352))"),"")</f>
        <v/>
      </c>
      <c r="U1352" s="10" t="str">
        <f>IFERROR(__xludf.DUMMYFUNCTION("IF(COUNTA(Q1352:Q1673)=0,"""",IF(Q1352="""",0,IF(REGEXMATCH(Q1352,""^Sell_""),-ROUNDDOWN(ROUNDUP(INDEX(Upgrades!$C$3:$C$13,MATCH(SUBSTITUTE(Q1352,""Sell_"",""""),Upgrades!$B$3:$B$13,0))*1.15^(COUNTIF(Q$4:Q1351,SUBSTITUTE(Q1352,""Sell_"",""""))-COUNTIF(Q$4"&amp;":Q1351,""Sell_""&amp;SUBSTITUTE(Q1352,""Sell_"",""""))))/2),ROUNDUP(INDEX(Upgrades!$C$3:$C$13,MATCH(Q1352,Upgrades!$B$3:$B$13,0))*1.15^(COUNTIF(Q$4:Q1351,Q1352)-COUNTIF(Q$4:Q1351,""Sell_""&amp;Q1352))))))"),"")</f>
        <v/>
      </c>
      <c r="V1352" s="10" t="str">
        <f t="shared" si="11"/>
        <v/>
      </c>
      <c r="W1352" s="68" t="str">
        <f t="shared" si="12"/>
        <v/>
      </c>
      <c r="X1352" s="59" t="str">
        <f t="shared" si="13"/>
        <v/>
      </c>
      <c r="Y1352" s="69" t="str">
        <f t="shared" si="14"/>
        <v/>
      </c>
      <c r="Z1352" s="11"/>
    </row>
    <row r="1353">
      <c r="A1353" s="8"/>
      <c r="B1353" s="56" t="str">
        <f t="shared" si="2"/>
        <v/>
      </c>
      <c r="C1353" s="105"/>
      <c r="D1353" s="10"/>
      <c r="E1353" s="59" t="str">
        <f t="array" ref="E1353">IF(COUNTA(C1353:C1673)=0,"",SUM((COUNTIF(C$4:C1353,Upgrades!$B$3:$B$13)-COUNTIF(C$4:C1353,"Sell_"&amp;Upgrades!$B$3:$B$13))*Upgrades!$D$3:$D$13))</f>
        <v/>
      </c>
      <c r="F1353" s="66" t="str">
        <f>IFERROR(__xludf.DUMMYFUNCTION("IF(COUNTA(C1353:C1673)=0,"""",IF(REGEXMATCH(INDEX(FILTER(C$4:C1353,C$4:C1353&lt;&gt;""""),ROWS(FILTER(C$4:C1353,C$4:C1353&lt;&gt;""""))),""^Sell_""),INDEX(FILTER(F$4:F1352,C$4:C1352&lt;&gt;""""),ROWS(FILTER(C$4:C1352,C$4:C1352&lt;&gt;""""))),$AC$5+E1353))"),"")</f>
        <v/>
      </c>
      <c r="G1353" s="10" t="str">
        <f>IFERROR(__xludf.DUMMYFUNCTION("IF(COUNTA(C1353:C1673)=0,"""",IF(C1353="""",0,IF(REGEXMATCH(C1353,""^Sell_""),-ROUNDDOWN(ROUNDUP(INDEX(Upgrades!$C$3:$C$13,MATCH(SUBSTITUTE(C1353,""Sell_"",""""),Upgrades!$B$3:$B$13,0))*1.15^(COUNTIF(C$4:C1352,SUBSTITUTE(C1353,""Sell_"",""""))-COUNTIF(C$4"&amp;":C1352,""Sell_""&amp;SUBSTITUTE(C1353,""Sell_"",""""))))/2),ROUNDUP(INDEX(Upgrades!$C$3:$C$13,MATCH(C1353,Upgrades!$B$3:$B$13,0))*1.15^(COUNTIF(C$4:C1352,C1353)-COUNTIF(C$4:C1352,""Sell_""&amp;C1353))))))"),"")</f>
        <v/>
      </c>
      <c r="H1353" s="10" t="str">
        <f t="shared" si="3"/>
        <v/>
      </c>
      <c r="I1353" s="68" t="str">
        <f t="shared" si="4"/>
        <v/>
      </c>
      <c r="J1353" s="59" t="str">
        <f t="shared" si="5"/>
        <v/>
      </c>
      <c r="K1353" s="69" t="str">
        <f t="shared" si="6"/>
        <v/>
      </c>
      <c r="L1353" s="60" t="str">
        <f t="shared" si="7"/>
        <v/>
      </c>
      <c r="M1353" s="61" t="str">
        <f>IFERROR(__xludf.DUMMYFUNCTION("IFS(AND(COUNTA(C1353:C1673)=0,COUNTA(Q1353:Q1673)=0),"""",OR(AND(K1353&gt;=1000000000,OR(Y1353&gt;=1000000000,COUNTA(Q1353:Q1673)=0)),OR(Y1353&gt;=1000000000,AND(COUNTA(C1353:C1673)=0,P$3=TRUE))),
ROUNDDOWN((AB$1-AC$1)*MAX(INDEX(T$4:T1673,MATCH(LARGE(FILTER(Y$4:Y1"&amp;"673,Y$4:Y1673&lt;1000000000),1),Y$4:Y1673)),INDEX(F$4:F1673,MATCH(LARGE(FILTER(K$4:K1673,K$4:K1673&lt;1000000000),1),K$4:K1673)))),AND(K1353&lt;1000000000,COUNTA(C1353:C1673)&gt;0,P$3=FALSE),
ROUNDDOWN(INDEX(Y$4:Y1673,MATCH(LARGE(FILTER(W$4:W1673,W$4:W1673&lt;=I1353),1)"&amp;",W$4:W1673))+(I1353-LARGE(FILTER(W$4:W1673,W$4:W1673&lt;=I1353),1))*INDEX(T$4:T1673,MATCH(LARGE(FILTER(W$4:W1673,W$4:W1673&lt;=I1353),1),W$4:W1673))-K1353),1,
ROUNDDOWN(Y1353-INDEX(K$4:K1673,MATCH(LARGE(FILTER(I$4:I1673,I$4:I1673&lt;=W1353),1),I$4:I1673))-(W1353-L"&amp;"ARGE(FILTER(I$4:I1673,I$4:I1673&lt;=W1353),1))*INDEX(F$4:F1673,MATCH(LARGE(FILTER(I$4:I1673,I$4:I1673&lt;=W1353),1),I$4:I1673))))"),"")</f>
        <v/>
      </c>
      <c r="N1353" s="60" t="str">
        <f t="shared" si="8"/>
        <v/>
      </c>
      <c r="O1353" s="61" t="str">
        <f t="shared" si="9"/>
        <v/>
      </c>
      <c r="P1353" s="56" t="str">
        <f t="shared" si="10"/>
        <v/>
      </c>
      <c r="Q1353" s="67"/>
      <c r="R1353" s="10"/>
      <c r="S1353" s="59" t="str">
        <f t="array" ref="S1353">IF(COUNTA(Q1353:Q1673)=0,"",SUM((COUNTIF(Q$4:Q1353,Upgrades!$B$3:$B$13)-COUNTIF(Q$4:Q1353,"Sell_"&amp;Upgrades!$B$3:$B$13))*Upgrades!$D$3:$D$13))</f>
        <v/>
      </c>
      <c r="T1353" s="66" t="str">
        <f>IFERROR(__xludf.DUMMYFUNCTION("IF(COUNTA(Q1353:Q1673)=0,"""",IF(REGEXMATCH(INDEX(FILTER(Q$4:Q1353,Q$4:Q1353&lt;&gt;""""),ROWS(FILTER(Q$4:Q1353,Q$4:Q1353&lt;&gt;""""))),""^Sell_""),INDEX(FILTER(T$4:T1352,Q$4:Q1352&lt;&gt;""""),ROWS(FILTER(Q$4:Q1352,Q$4:Q1352&lt;&gt;""""))),$AD$5+S1353))"),"")</f>
        <v/>
      </c>
      <c r="U1353" s="10" t="str">
        <f>IFERROR(__xludf.DUMMYFUNCTION("IF(COUNTA(Q1353:Q1673)=0,"""",IF(Q1353="""",0,IF(REGEXMATCH(Q1353,""^Sell_""),-ROUNDDOWN(ROUNDUP(INDEX(Upgrades!$C$3:$C$13,MATCH(SUBSTITUTE(Q1353,""Sell_"",""""),Upgrades!$B$3:$B$13,0))*1.15^(COUNTIF(Q$4:Q1352,SUBSTITUTE(Q1353,""Sell_"",""""))-COUNTIF(Q$4"&amp;":Q1352,""Sell_""&amp;SUBSTITUTE(Q1353,""Sell_"",""""))))/2),ROUNDUP(INDEX(Upgrades!$C$3:$C$13,MATCH(Q1353,Upgrades!$B$3:$B$13,0))*1.15^(COUNTIF(Q$4:Q1352,Q1353)-COUNTIF(Q$4:Q1352,""Sell_""&amp;Q1353))))))"),"")</f>
        <v/>
      </c>
      <c r="V1353" s="10" t="str">
        <f t="shared" si="11"/>
        <v/>
      </c>
      <c r="W1353" s="68" t="str">
        <f t="shared" si="12"/>
        <v/>
      </c>
      <c r="X1353" s="59" t="str">
        <f t="shared" si="13"/>
        <v/>
      </c>
      <c r="Y1353" s="69" t="str">
        <f t="shared" si="14"/>
        <v/>
      </c>
      <c r="Z1353" s="11"/>
    </row>
    <row r="1354">
      <c r="A1354" s="8"/>
      <c r="B1354" s="56" t="str">
        <f t="shared" si="2"/>
        <v/>
      </c>
      <c r="C1354" s="105"/>
      <c r="D1354" s="10"/>
      <c r="E1354" s="59" t="str">
        <f t="array" ref="E1354">IF(COUNTA(C1354:C1673)=0,"",SUM((COUNTIF(C$4:C1354,Upgrades!$B$3:$B$13)-COUNTIF(C$4:C1354,"Sell_"&amp;Upgrades!$B$3:$B$13))*Upgrades!$D$3:$D$13))</f>
        <v/>
      </c>
      <c r="F1354" s="66" t="str">
        <f>IFERROR(__xludf.DUMMYFUNCTION("IF(COUNTA(C1354:C1673)=0,"""",IF(REGEXMATCH(INDEX(FILTER(C$4:C1354,C$4:C1354&lt;&gt;""""),ROWS(FILTER(C$4:C1354,C$4:C1354&lt;&gt;""""))),""^Sell_""),INDEX(FILTER(F$4:F1353,C$4:C1353&lt;&gt;""""),ROWS(FILTER(C$4:C1353,C$4:C1353&lt;&gt;""""))),$AC$5+E1354))"),"")</f>
        <v/>
      </c>
      <c r="G1354" s="10" t="str">
        <f>IFERROR(__xludf.DUMMYFUNCTION("IF(COUNTA(C1354:C1673)=0,"""",IF(C1354="""",0,IF(REGEXMATCH(C1354,""^Sell_""),-ROUNDDOWN(ROUNDUP(INDEX(Upgrades!$C$3:$C$13,MATCH(SUBSTITUTE(C1354,""Sell_"",""""),Upgrades!$B$3:$B$13,0))*1.15^(COUNTIF(C$4:C1353,SUBSTITUTE(C1354,""Sell_"",""""))-COUNTIF(C$4"&amp;":C1353,""Sell_""&amp;SUBSTITUTE(C1354,""Sell_"",""""))))/2),ROUNDUP(INDEX(Upgrades!$C$3:$C$13,MATCH(C1354,Upgrades!$B$3:$B$13,0))*1.15^(COUNTIF(C$4:C1353,C1354)-COUNTIF(C$4:C1353,""Sell_""&amp;C1354))))))"),"")</f>
        <v/>
      </c>
      <c r="H1354" s="10" t="str">
        <f t="shared" si="3"/>
        <v/>
      </c>
      <c r="I1354" s="68" t="str">
        <f t="shared" si="4"/>
        <v/>
      </c>
      <c r="J1354" s="59" t="str">
        <f t="shared" si="5"/>
        <v/>
      </c>
      <c r="K1354" s="69" t="str">
        <f t="shared" si="6"/>
        <v/>
      </c>
      <c r="L1354" s="60" t="str">
        <f t="shared" si="7"/>
        <v/>
      </c>
      <c r="M1354" s="61" t="str">
        <f>IFERROR(__xludf.DUMMYFUNCTION("IFS(AND(COUNTA(C1354:C1673)=0,COUNTA(Q1354:Q1673)=0),"""",OR(AND(K1354&gt;=1000000000,OR(Y1354&gt;=1000000000,COUNTA(Q1354:Q1673)=0)),OR(Y1354&gt;=1000000000,AND(COUNTA(C1354:C1673)=0,P$3=TRUE))),
ROUNDDOWN((AB$1-AC$1)*MAX(INDEX(T$4:T1673,MATCH(LARGE(FILTER(Y$4:Y1"&amp;"673,Y$4:Y1673&lt;1000000000),1),Y$4:Y1673)),INDEX(F$4:F1673,MATCH(LARGE(FILTER(K$4:K1673,K$4:K1673&lt;1000000000),1),K$4:K1673)))),AND(K1354&lt;1000000000,COUNTA(C1354:C1673)&gt;0,P$3=FALSE),
ROUNDDOWN(INDEX(Y$4:Y1673,MATCH(LARGE(FILTER(W$4:W1673,W$4:W1673&lt;=I1354),1)"&amp;",W$4:W1673))+(I1354-LARGE(FILTER(W$4:W1673,W$4:W1673&lt;=I1354),1))*INDEX(T$4:T1673,MATCH(LARGE(FILTER(W$4:W1673,W$4:W1673&lt;=I1354),1),W$4:W1673))-K1354),1,
ROUNDDOWN(Y1354-INDEX(K$4:K1673,MATCH(LARGE(FILTER(I$4:I1673,I$4:I1673&lt;=W1354),1),I$4:I1673))-(W1354-L"&amp;"ARGE(FILTER(I$4:I1673,I$4:I1673&lt;=W1354),1))*INDEX(F$4:F1673,MATCH(LARGE(FILTER(I$4:I1673,I$4:I1673&lt;=W1354),1),I$4:I1673))))"),"")</f>
        <v/>
      </c>
      <c r="N1354" s="60" t="str">
        <f t="shared" si="8"/>
        <v/>
      </c>
      <c r="O1354" s="61" t="str">
        <f t="shared" si="9"/>
        <v/>
      </c>
      <c r="P1354" s="56" t="str">
        <f t="shared" si="10"/>
        <v/>
      </c>
      <c r="Q1354" s="67"/>
      <c r="R1354" s="10"/>
      <c r="S1354" s="59" t="str">
        <f t="array" ref="S1354">IF(COUNTA(Q1354:Q1673)=0,"",SUM((COUNTIF(Q$4:Q1354,Upgrades!$B$3:$B$13)-COUNTIF(Q$4:Q1354,"Sell_"&amp;Upgrades!$B$3:$B$13))*Upgrades!$D$3:$D$13))</f>
        <v/>
      </c>
      <c r="T1354" s="66" t="str">
        <f>IFERROR(__xludf.DUMMYFUNCTION("IF(COUNTA(Q1354:Q1673)=0,"""",IF(REGEXMATCH(INDEX(FILTER(Q$4:Q1354,Q$4:Q1354&lt;&gt;""""),ROWS(FILTER(Q$4:Q1354,Q$4:Q1354&lt;&gt;""""))),""^Sell_""),INDEX(FILTER(T$4:T1353,Q$4:Q1353&lt;&gt;""""),ROWS(FILTER(Q$4:Q1353,Q$4:Q1353&lt;&gt;""""))),$AD$5+S1354))"),"")</f>
        <v/>
      </c>
      <c r="U1354" s="10" t="str">
        <f>IFERROR(__xludf.DUMMYFUNCTION("IF(COUNTA(Q1354:Q1673)=0,"""",IF(Q1354="""",0,IF(REGEXMATCH(Q1354,""^Sell_""),-ROUNDDOWN(ROUNDUP(INDEX(Upgrades!$C$3:$C$13,MATCH(SUBSTITUTE(Q1354,""Sell_"",""""),Upgrades!$B$3:$B$13,0))*1.15^(COUNTIF(Q$4:Q1353,SUBSTITUTE(Q1354,""Sell_"",""""))-COUNTIF(Q$4"&amp;":Q1353,""Sell_""&amp;SUBSTITUTE(Q1354,""Sell_"",""""))))/2),ROUNDUP(INDEX(Upgrades!$C$3:$C$13,MATCH(Q1354,Upgrades!$B$3:$B$13,0))*1.15^(COUNTIF(Q$4:Q1353,Q1354)-COUNTIF(Q$4:Q1353,""Sell_""&amp;Q1354))))))"),"")</f>
        <v/>
      </c>
      <c r="V1354" s="10" t="str">
        <f t="shared" si="11"/>
        <v/>
      </c>
      <c r="W1354" s="68" t="str">
        <f t="shared" si="12"/>
        <v/>
      </c>
      <c r="X1354" s="59" t="str">
        <f t="shared" si="13"/>
        <v/>
      </c>
      <c r="Y1354" s="69" t="str">
        <f t="shared" si="14"/>
        <v/>
      </c>
      <c r="Z1354" s="11"/>
    </row>
    <row r="1355">
      <c r="A1355" s="8"/>
      <c r="B1355" s="56" t="str">
        <f t="shared" si="2"/>
        <v/>
      </c>
      <c r="C1355" s="105"/>
      <c r="D1355" s="10"/>
      <c r="E1355" s="59" t="str">
        <f t="array" ref="E1355">IF(COUNTA(C1355:C1673)=0,"",SUM((COUNTIF(C$4:C1355,Upgrades!$B$3:$B$13)-COUNTIF(C$4:C1355,"Sell_"&amp;Upgrades!$B$3:$B$13))*Upgrades!$D$3:$D$13))</f>
        <v/>
      </c>
      <c r="F1355" s="66" t="str">
        <f>IFERROR(__xludf.DUMMYFUNCTION("IF(COUNTA(C1355:C1673)=0,"""",IF(REGEXMATCH(INDEX(FILTER(C$4:C1355,C$4:C1355&lt;&gt;""""),ROWS(FILTER(C$4:C1355,C$4:C1355&lt;&gt;""""))),""^Sell_""),INDEX(FILTER(F$4:F1354,C$4:C1354&lt;&gt;""""),ROWS(FILTER(C$4:C1354,C$4:C1354&lt;&gt;""""))),$AC$5+E1355))"),"")</f>
        <v/>
      </c>
      <c r="G1355" s="10" t="str">
        <f>IFERROR(__xludf.DUMMYFUNCTION("IF(COUNTA(C1355:C1673)=0,"""",IF(C1355="""",0,IF(REGEXMATCH(C1355,""^Sell_""),-ROUNDDOWN(ROUNDUP(INDEX(Upgrades!$C$3:$C$13,MATCH(SUBSTITUTE(C1355,""Sell_"",""""),Upgrades!$B$3:$B$13,0))*1.15^(COUNTIF(C$4:C1354,SUBSTITUTE(C1355,""Sell_"",""""))-COUNTIF(C$4"&amp;":C1354,""Sell_""&amp;SUBSTITUTE(C1355,""Sell_"",""""))))/2),ROUNDUP(INDEX(Upgrades!$C$3:$C$13,MATCH(C1355,Upgrades!$B$3:$B$13,0))*1.15^(COUNTIF(C$4:C1354,C1355)-COUNTIF(C$4:C1354,""Sell_""&amp;C1355))))))"),"")</f>
        <v/>
      </c>
      <c r="H1355" s="10" t="str">
        <f t="shared" si="3"/>
        <v/>
      </c>
      <c r="I1355" s="68" t="str">
        <f t="shared" si="4"/>
        <v/>
      </c>
      <c r="J1355" s="59" t="str">
        <f t="shared" si="5"/>
        <v/>
      </c>
      <c r="K1355" s="69" t="str">
        <f t="shared" si="6"/>
        <v/>
      </c>
      <c r="L1355" s="60" t="str">
        <f t="shared" si="7"/>
        <v/>
      </c>
      <c r="M1355" s="61" t="str">
        <f>IFERROR(__xludf.DUMMYFUNCTION("IFS(AND(COUNTA(C1355:C1673)=0,COUNTA(Q1355:Q1673)=0),"""",OR(AND(K1355&gt;=1000000000,OR(Y1355&gt;=1000000000,COUNTA(Q1355:Q1673)=0)),OR(Y1355&gt;=1000000000,AND(COUNTA(C1355:C1673)=0,P$3=TRUE))),
ROUNDDOWN((AB$1-AC$1)*MAX(INDEX(T$4:T1673,MATCH(LARGE(FILTER(Y$4:Y1"&amp;"673,Y$4:Y1673&lt;1000000000),1),Y$4:Y1673)),INDEX(F$4:F1673,MATCH(LARGE(FILTER(K$4:K1673,K$4:K1673&lt;1000000000),1),K$4:K1673)))),AND(K1355&lt;1000000000,COUNTA(C1355:C1673)&gt;0,P$3=FALSE),
ROUNDDOWN(INDEX(Y$4:Y1673,MATCH(LARGE(FILTER(W$4:W1673,W$4:W1673&lt;=I1355),1)"&amp;",W$4:W1673))+(I1355-LARGE(FILTER(W$4:W1673,W$4:W1673&lt;=I1355),1))*INDEX(T$4:T1673,MATCH(LARGE(FILTER(W$4:W1673,W$4:W1673&lt;=I1355),1),W$4:W1673))-K1355),1,
ROUNDDOWN(Y1355-INDEX(K$4:K1673,MATCH(LARGE(FILTER(I$4:I1673,I$4:I1673&lt;=W1355),1),I$4:I1673))-(W1355-L"&amp;"ARGE(FILTER(I$4:I1673,I$4:I1673&lt;=W1355),1))*INDEX(F$4:F1673,MATCH(LARGE(FILTER(I$4:I1673,I$4:I1673&lt;=W1355),1),I$4:I1673))))"),"")</f>
        <v/>
      </c>
      <c r="N1355" s="60" t="str">
        <f t="shared" si="8"/>
        <v/>
      </c>
      <c r="O1355" s="61" t="str">
        <f t="shared" si="9"/>
        <v/>
      </c>
      <c r="P1355" s="56" t="str">
        <f t="shared" si="10"/>
        <v/>
      </c>
      <c r="Q1355" s="67"/>
      <c r="R1355" s="10"/>
      <c r="S1355" s="59" t="str">
        <f t="array" ref="S1355">IF(COUNTA(Q1355:Q1673)=0,"",SUM((COUNTIF(Q$4:Q1355,Upgrades!$B$3:$B$13)-COUNTIF(Q$4:Q1355,"Sell_"&amp;Upgrades!$B$3:$B$13))*Upgrades!$D$3:$D$13))</f>
        <v/>
      </c>
      <c r="T1355" s="66" t="str">
        <f>IFERROR(__xludf.DUMMYFUNCTION("IF(COUNTA(Q1355:Q1673)=0,"""",IF(REGEXMATCH(INDEX(FILTER(Q$4:Q1355,Q$4:Q1355&lt;&gt;""""),ROWS(FILTER(Q$4:Q1355,Q$4:Q1355&lt;&gt;""""))),""^Sell_""),INDEX(FILTER(T$4:T1354,Q$4:Q1354&lt;&gt;""""),ROWS(FILTER(Q$4:Q1354,Q$4:Q1354&lt;&gt;""""))),$AD$5+S1355))"),"")</f>
        <v/>
      </c>
      <c r="U1355" s="10" t="str">
        <f>IFERROR(__xludf.DUMMYFUNCTION("IF(COUNTA(Q1355:Q1673)=0,"""",IF(Q1355="""",0,IF(REGEXMATCH(Q1355,""^Sell_""),-ROUNDDOWN(ROUNDUP(INDEX(Upgrades!$C$3:$C$13,MATCH(SUBSTITUTE(Q1355,""Sell_"",""""),Upgrades!$B$3:$B$13,0))*1.15^(COUNTIF(Q$4:Q1354,SUBSTITUTE(Q1355,""Sell_"",""""))-COUNTIF(Q$4"&amp;":Q1354,""Sell_""&amp;SUBSTITUTE(Q1355,""Sell_"",""""))))/2),ROUNDUP(INDEX(Upgrades!$C$3:$C$13,MATCH(Q1355,Upgrades!$B$3:$B$13,0))*1.15^(COUNTIF(Q$4:Q1354,Q1355)-COUNTIF(Q$4:Q1354,""Sell_""&amp;Q1355))))))"),"")</f>
        <v/>
      </c>
      <c r="V1355" s="10" t="str">
        <f t="shared" si="11"/>
        <v/>
      </c>
      <c r="W1355" s="68" t="str">
        <f t="shared" si="12"/>
        <v/>
      </c>
      <c r="X1355" s="59" t="str">
        <f t="shared" si="13"/>
        <v/>
      </c>
      <c r="Y1355" s="69" t="str">
        <f t="shared" si="14"/>
        <v/>
      </c>
      <c r="Z1355" s="11"/>
    </row>
    <row r="1356">
      <c r="A1356" s="8"/>
      <c r="B1356" s="56" t="str">
        <f t="shared" si="2"/>
        <v/>
      </c>
      <c r="C1356" s="105"/>
      <c r="D1356" s="10"/>
      <c r="E1356" s="59" t="str">
        <f t="array" ref="E1356">IF(COUNTA(C1356:C1673)=0,"",SUM((COUNTIF(C$4:C1356,Upgrades!$B$3:$B$13)-COUNTIF(C$4:C1356,"Sell_"&amp;Upgrades!$B$3:$B$13))*Upgrades!$D$3:$D$13))</f>
        <v/>
      </c>
      <c r="F1356" s="66" t="str">
        <f>IFERROR(__xludf.DUMMYFUNCTION("IF(COUNTA(C1356:C1673)=0,"""",IF(REGEXMATCH(INDEX(FILTER(C$4:C1356,C$4:C1356&lt;&gt;""""),ROWS(FILTER(C$4:C1356,C$4:C1356&lt;&gt;""""))),""^Sell_""),INDEX(FILTER(F$4:F1355,C$4:C1355&lt;&gt;""""),ROWS(FILTER(C$4:C1355,C$4:C1355&lt;&gt;""""))),$AC$5+E1356))"),"")</f>
        <v/>
      </c>
      <c r="G1356" s="10" t="str">
        <f>IFERROR(__xludf.DUMMYFUNCTION("IF(COUNTA(C1356:C1673)=0,"""",IF(C1356="""",0,IF(REGEXMATCH(C1356,""^Sell_""),-ROUNDDOWN(ROUNDUP(INDEX(Upgrades!$C$3:$C$13,MATCH(SUBSTITUTE(C1356,""Sell_"",""""),Upgrades!$B$3:$B$13,0))*1.15^(COUNTIF(C$4:C1355,SUBSTITUTE(C1356,""Sell_"",""""))-COUNTIF(C$4"&amp;":C1355,""Sell_""&amp;SUBSTITUTE(C1356,""Sell_"",""""))))/2),ROUNDUP(INDEX(Upgrades!$C$3:$C$13,MATCH(C1356,Upgrades!$B$3:$B$13,0))*1.15^(COUNTIF(C$4:C1355,C1356)-COUNTIF(C$4:C1355,""Sell_""&amp;C1356))))))"),"")</f>
        <v/>
      </c>
      <c r="H1356" s="10" t="str">
        <f t="shared" si="3"/>
        <v/>
      </c>
      <c r="I1356" s="68" t="str">
        <f t="shared" si="4"/>
        <v/>
      </c>
      <c r="J1356" s="59" t="str">
        <f t="shared" si="5"/>
        <v/>
      </c>
      <c r="K1356" s="69" t="str">
        <f t="shared" si="6"/>
        <v/>
      </c>
      <c r="L1356" s="60" t="str">
        <f t="shared" si="7"/>
        <v/>
      </c>
      <c r="M1356" s="61" t="str">
        <f>IFERROR(__xludf.DUMMYFUNCTION("IFS(AND(COUNTA(C1356:C1673)=0,COUNTA(Q1356:Q1673)=0),"""",OR(AND(K1356&gt;=1000000000,OR(Y1356&gt;=1000000000,COUNTA(Q1356:Q1673)=0)),OR(Y1356&gt;=1000000000,AND(COUNTA(C1356:C1673)=0,P$3=TRUE))),
ROUNDDOWN((AB$1-AC$1)*MAX(INDEX(T$4:T1673,MATCH(LARGE(FILTER(Y$4:Y1"&amp;"673,Y$4:Y1673&lt;1000000000),1),Y$4:Y1673)),INDEX(F$4:F1673,MATCH(LARGE(FILTER(K$4:K1673,K$4:K1673&lt;1000000000),1),K$4:K1673)))),AND(K1356&lt;1000000000,COUNTA(C1356:C1673)&gt;0,P$3=FALSE),
ROUNDDOWN(INDEX(Y$4:Y1673,MATCH(LARGE(FILTER(W$4:W1673,W$4:W1673&lt;=I1356),1)"&amp;",W$4:W1673))+(I1356-LARGE(FILTER(W$4:W1673,W$4:W1673&lt;=I1356),1))*INDEX(T$4:T1673,MATCH(LARGE(FILTER(W$4:W1673,W$4:W1673&lt;=I1356),1),W$4:W1673))-K1356),1,
ROUNDDOWN(Y1356-INDEX(K$4:K1673,MATCH(LARGE(FILTER(I$4:I1673,I$4:I1673&lt;=W1356),1),I$4:I1673))-(W1356-L"&amp;"ARGE(FILTER(I$4:I1673,I$4:I1673&lt;=W1356),1))*INDEX(F$4:F1673,MATCH(LARGE(FILTER(I$4:I1673,I$4:I1673&lt;=W1356),1),I$4:I1673))))"),"")</f>
        <v/>
      </c>
      <c r="N1356" s="60" t="str">
        <f t="shared" si="8"/>
        <v/>
      </c>
      <c r="O1356" s="61" t="str">
        <f t="shared" si="9"/>
        <v/>
      </c>
      <c r="P1356" s="56" t="str">
        <f t="shared" si="10"/>
        <v/>
      </c>
      <c r="Q1356" s="67"/>
      <c r="R1356" s="10"/>
      <c r="S1356" s="59" t="str">
        <f t="array" ref="S1356">IF(COUNTA(Q1356:Q1673)=0,"",SUM((COUNTIF(Q$4:Q1356,Upgrades!$B$3:$B$13)-COUNTIF(Q$4:Q1356,"Sell_"&amp;Upgrades!$B$3:$B$13))*Upgrades!$D$3:$D$13))</f>
        <v/>
      </c>
      <c r="T1356" s="66" t="str">
        <f>IFERROR(__xludf.DUMMYFUNCTION("IF(COUNTA(Q1356:Q1673)=0,"""",IF(REGEXMATCH(INDEX(FILTER(Q$4:Q1356,Q$4:Q1356&lt;&gt;""""),ROWS(FILTER(Q$4:Q1356,Q$4:Q1356&lt;&gt;""""))),""^Sell_""),INDEX(FILTER(T$4:T1355,Q$4:Q1355&lt;&gt;""""),ROWS(FILTER(Q$4:Q1355,Q$4:Q1355&lt;&gt;""""))),$AD$5+S1356))"),"")</f>
        <v/>
      </c>
      <c r="U1356" s="10" t="str">
        <f>IFERROR(__xludf.DUMMYFUNCTION("IF(COUNTA(Q1356:Q1673)=0,"""",IF(Q1356="""",0,IF(REGEXMATCH(Q1356,""^Sell_""),-ROUNDDOWN(ROUNDUP(INDEX(Upgrades!$C$3:$C$13,MATCH(SUBSTITUTE(Q1356,""Sell_"",""""),Upgrades!$B$3:$B$13,0))*1.15^(COUNTIF(Q$4:Q1355,SUBSTITUTE(Q1356,""Sell_"",""""))-COUNTIF(Q$4"&amp;":Q1355,""Sell_""&amp;SUBSTITUTE(Q1356,""Sell_"",""""))))/2),ROUNDUP(INDEX(Upgrades!$C$3:$C$13,MATCH(Q1356,Upgrades!$B$3:$B$13,0))*1.15^(COUNTIF(Q$4:Q1355,Q1356)-COUNTIF(Q$4:Q1355,""Sell_""&amp;Q1356))))))"),"")</f>
        <v/>
      </c>
      <c r="V1356" s="10" t="str">
        <f t="shared" si="11"/>
        <v/>
      </c>
      <c r="W1356" s="68" t="str">
        <f t="shared" si="12"/>
        <v/>
      </c>
      <c r="X1356" s="59" t="str">
        <f t="shared" si="13"/>
        <v/>
      </c>
      <c r="Y1356" s="69" t="str">
        <f t="shared" si="14"/>
        <v/>
      </c>
      <c r="Z1356" s="11"/>
    </row>
    <row r="1357">
      <c r="A1357" s="8"/>
      <c r="B1357" s="56" t="str">
        <f t="shared" si="2"/>
        <v/>
      </c>
      <c r="C1357" s="105"/>
      <c r="D1357" s="10"/>
      <c r="E1357" s="59" t="str">
        <f t="array" ref="E1357">IF(COUNTA(C1357:C1673)=0,"",SUM((COUNTIF(C$4:C1357,Upgrades!$B$3:$B$13)-COUNTIF(C$4:C1357,"Sell_"&amp;Upgrades!$B$3:$B$13))*Upgrades!$D$3:$D$13))</f>
        <v/>
      </c>
      <c r="F1357" s="66" t="str">
        <f>IFERROR(__xludf.DUMMYFUNCTION("IF(COUNTA(C1357:C1673)=0,"""",IF(REGEXMATCH(INDEX(FILTER(C$4:C1357,C$4:C1357&lt;&gt;""""),ROWS(FILTER(C$4:C1357,C$4:C1357&lt;&gt;""""))),""^Sell_""),INDEX(FILTER(F$4:F1356,C$4:C1356&lt;&gt;""""),ROWS(FILTER(C$4:C1356,C$4:C1356&lt;&gt;""""))),$AC$5+E1357))"),"")</f>
        <v/>
      </c>
      <c r="G1357" s="10" t="str">
        <f>IFERROR(__xludf.DUMMYFUNCTION("IF(COUNTA(C1357:C1673)=0,"""",IF(C1357="""",0,IF(REGEXMATCH(C1357,""^Sell_""),-ROUNDDOWN(ROUNDUP(INDEX(Upgrades!$C$3:$C$13,MATCH(SUBSTITUTE(C1357,""Sell_"",""""),Upgrades!$B$3:$B$13,0))*1.15^(COUNTIF(C$4:C1356,SUBSTITUTE(C1357,""Sell_"",""""))-COUNTIF(C$4"&amp;":C1356,""Sell_""&amp;SUBSTITUTE(C1357,""Sell_"",""""))))/2),ROUNDUP(INDEX(Upgrades!$C$3:$C$13,MATCH(C1357,Upgrades!$B$3:$B$13,0))*1.15^(COUNTIF(C$4:C1356,C1357)-COUNTIF(C$4:C1356,""Sell_""&amp;C1357))))))"),"")</f>
        <v/>
      </c>
      <c r="H1357" s="10" t="str">
        <f t="shared" si="3"/>
        <v/>
      </c>
      <c r="I1357" s="68" t="str">
        <f t="shared" si="4"/>
        <v/>
      </c>
      <c r="J1357" s="59" t="str">
        <f t="shared" si="5"/>
        <v/>
      </c>
      <c r="K1357" s="69" t="str">
        <f t="shared" si="6"/>
        <v/>
      </c>
      <c r="L1357" s="60" t="str">
        <f t="shared" si="7"/>
        <v/>
      </c>
      <c r="M1357" s="61" t="str">
        <f>IFERROR(__xludf.DUMMYFUNCTION("IFS(AND(COUNTA(C1357:C1673)=0,COUNTA(Q1357:Q1673)=0),"""",OR(AND(K1357&gt;=1000000000,OR(Y1357&gt;=1000000000,COUNTA(Q1357:Q1673)=0)),OR(Y1357&gt;=1000000000,AND(COUNTA(C1357:C1673)=0,P$3=TRUE))),
ROUNDDOWN((AB$1-AC$1)*MAX(INDEX(T$4:T1673,MATCH(LARGE(FILTER(Y$4:Y1"&amp;"673,Y$4:Y1673&lt;1000000000),1),Y$4:Y1673)),INDEX(F$4:F1673,MATCH(LARGE(FILTER(K$4:K1673,K$4:K1673&lt;1000000000),1),K$4:K1673)))),AND(K1357&lt;1000000000,COUNTA(C1357:C1673)&gt;0,P$3=FALSE),
ROUNDDOWN(INDEX(Y$4:Y1673,MATCH(LARGE(FILTER(W$4:W1673,W$4:W1673&lt;=I1357),1)"&amp;",W$4:W1673))+(I1357-LARGE(FILTER(W$4:W1673,W$4:W1673&lt;=I1357),1))*INDEX(T$4:T1673,MATCH(LARGE(FILTER(W$4:W1673,W$4:W1673&lt;=I1357),1),W$4:W1673))-K1357),1,
ROUNDDOWN(Y1357-INDEX(K$4:K1673,MATCH(LARGE(FILTER(I$4:I1673,I$4:I1673&lt;=W1357),1),I$4:I1673))-(W1357-L"&amp;"ARGE(FILTER(I$4:I1673,I$4:I1673&lt;=W1357),1))*INDEX(F$4:F1673,MATCH(LARGE(FILTER(I$4:I1673,I$4:I1673&lt;=W1357),1),I$4:I1673))))"),"")</f>
        <v/>
      </c>
      <c r="N1357" s="60" t="str">
        <f t="shared" si="8"/>
        <v/>
      </c>
      <c r="O1357" s="61" t="str">
        <f t="shared" si="9"/>
        <v/>
      </c>
      <c r="P1357" s="56" t="str">
        <f t="shared" si="10"/>
        <v/>
      </c>
      <c r="Q1357" s="67"/>
      <c r="R1357" s="10"/>
      <c r="S1357" s="59" t="str">
        <f t="array" ref="S1357">IF(COUNTA(Q1357:Q1673)=0,"",SUM((COUNTIF(Q$4:Q1357,Upgrades!$B$3:$B$13)-COUNTIF(Q$4:Q1357,"Sell_"&amp;Upgrades!$B$3:$B$13))*Upgrades!$D$3:$D$13))</f>
        <v/>
      </c>
      <c r="T1357" s="66" t="str">
        <f>IFERROR(__xludf.DUMMYFUNCTION("IF(COUNTA(Q1357:Q1673)=0,"""",IF(REGEXMATCH(INDEX(FILTER(Q$4:Q1357,Q$4:Q1357&lt;&gt;""""),ROWS(FILTER(Q$4:Q1357,Q$4:Q1357&lt;&gt;""""))),""^Sell_""),INDEX(FILTER(T$4:T1356,Q$4:Q1356&lt;&gt;""""),ROWS(FILTER(Q$4:Q1356,Q$4:Q1356&lt;&gt;""""))),$AD$5+S1357))"),"")</f>
        <v/>
      </c>
      <c r="U1357" s="10" t="str">
        <f>IFERROR(__xludf.DUMMYFUNCTION("IF(COUNTA(Q1357:Q1673)=0,"""",IF(Q1357="""",0,IF(REGEXMATCH(Q1357,""^Sell_""),-ROUNDDOWN(ROUNDUP(INDEX(Upgrades!$C$3:$C$13,MATCH(SUBSTITUTE(Q1357,""Sell_"",""""),Upgrades!$B$3:$B$13,0))*1.15^(COUNTIF(Q$4:Q1356,SUBSTITUTE(Q1357,""Sell_"",""""))-COUNTIF(Q$4"&amp;":Q1356,""Sell_""&amp;SUBSTITUTE(Q1357,""Sell_"",""""))))/2),ROUNDUP(INDEX(Upgrades!$C$3:$C$13,MATCH(Q1357,Upgrades!$B$3:$B$13,0))*1.15^(COUNTIF(Q$4:Q1356,Q1357)-COUNTIF(Q$4:Q1356,""Sell_""&amp;Q1357))))))"),"")</f>
        <v/>
      </c>
      <c r="V1357" s="10" t="str">
        <f t="shared" si="11"/>
        <v/>
      </c>
      <c r="W1357" s="68" t="str">
        <f t="shared" si="12"/>
        <v/>
      </c>
      <c r="X1357" s="59" t="str">
        <f t="shared" si="13"/>
        <v/>
      </c>
      <c r="Y1357" s="69" t="str">
        <f t="shared" si="14"/>
        <v/>
      </c>
      <c r="Z1357" s="11"/>
    </row>
    <row r="1358">
      <c r="A1358" s="8"/>
      <c r="B1358" s="56" t="str">
        <f t="shared" si="2"/>
        <v/>
      </c>
      <c r="C1358" s="105"/>
      <c r="D1358" s="10"/>
      <c r="E1358" s="59" t="str">
        <f t="array" ref="E1358">IF(COUNTA(C1358:C1673)=0,"",SUM((COUNTIF(C$4:C1358,Upgrades!$B$3:$B$13)-COUNTIF(C$4:C1358,"Sell_"&amp;Upgrades!$B$3:$B$13))*Upgrades!$D$3:$D$13))</f>
        <v/>
      </c>
      <c r="F1358" s="66" t="str">
        <f>IFERROR(__xludf.DUMMYFUNCTION("IF(COUNTA(C1358:C1673)=0,"""",IF(REGEXMATCH(INDEX(FILTER(C$4:C1358,C$4:C1358&lt;&gt;""""),ROWS(FILTER(C$4:C1358,C$4:C1358&lt;&gt;""""))),""^Sell_""),INDEX(FILTER(F$4:F1357,C$4:C1357&lt;&gt;""""),ROWS(FILTER(C$4:C1357,C$4:C1357&lt;&gt;""""))),$AC$5+E1358))"),"")</f>
        <v/>
      </c>
      <c r="G1358" s="10" t="str">
        <f>IFERROR(__xludf.DUMMYFUNCTION("IF(COUNTA(C1358:C1673)=0,"""",IF(C1358="""",0,IF(REGEXMATCH(C1358,""^Sell_""),-ROUNDDOWN(ROUNDUP(INDEX(Upgrades!$C$3:$C$13,MATCH(SUBSTITUTE(C1358,""Sell_"",""""),Upgrades!$B$3:$B$13,0))*1.15^(COUNTIF(C$4:C1357,SUBSTITUTE(C1358,""Sell_"",""""))-COUNTIF(C$4"&amp;":C1357,""Sell_""&amp;SUBSTITUTE(C1358,""Sell_"",""""))))/2),ROUNDUP(INDEX(Upgrades!$C$3:$C$13,MATCH(C1358,Upgrades!$B$3:$B$13,0))*1.15^(COUNTIF(C$4:C1357,C1358)-COUNTIF(C$4:C1357,""Sell_""&amp;C1358))))))"),"")</f>
        <v/>
      </c>
      <c r="H1358" s="10" t="str">
        <f t="shared" si="3"/>
        <v/>
      </c>
      <c r="I1358" s="68" t="str">
        <f t="shared" si="4"/>
        <v/>
      </c>
      <c r="J1358" s="59" t="str">
        <f t="shared" si="5"/>
        <v/>
      </c>
      <c r="K1358" s="69" t="str">
        <f t="shared" si="6"/>
        <v/>
      </c>
      <c r="L1358" s="60" t="str">
        <f t="shared" si="7"/>
        <v/>
      </c>
      <c r="M1358" s="61" t="str">
        <f>IFERROR(__xludf.DUMMYFUNCTION("IFS(AND(COUNTA(C1358:C1673)=0,COUNTA(Q1358:Q1673)=0),"""",OR(AND(K1358&gt;=1000000000,OR(Y1358&gt;=1000000000,COUNTA(Q1358:Q1673)=0)),OR(Y1358&gt;=1000000000,AND(COUNTA(C1358:C1673)=0,P$3=TRUE))),
ROUNDDOWN((AB$1-AC$1)*MAX(INDEX(T$4:T1673,MATCH(LARGE(FILTER(Y$4:Y1"&amp;"673,Y$4:Y1673&lt;1000000000),1),Y$4:Y1673)),INDEX(F$4:F1673,MATCH(LARGE(FILTER(K$4:K1673,K$4:K1673&lt;1000000000),1),K$4:K1673)))),AND(K1358&lt;1000000000,COUNTA(C1358:C1673)&gt;0,P$3=FALSE),
ROUNDDOWN(INDEX(Y$4:Y1673,MATCH(LARGE(FILTER(W$4:W1673,W$4:W1673&lt;=I1358),1)"&amp;",W$4:W1673))+(I1358-LARGE(FILTER(W$4:W1673,W$4:W1673&lt;=I1358),1))*INDEX(T$4:T1673,MATCH(LARGE(FILTER(W$4:W1673,W$4:W1673&lt;=I1358),1),W$4:W1673))-K1358),1,
ROUNDDOWN(Y1358-INDEX(K$4:K1673,MATCH(LARGE(FILTER(I$4:I1673,I$4:I1673&lt;=W1358),1),I$4:I1673))-(W1358-L"&amp;"ARGE(FILTER(I$4:I1673,I$4:I1673&lt;=W1358),1))*INDEX(F$4:F1673,MATCH(LARGE(FILTER(I$4:I1673,I$4:I1673&lt;=W1358),1),I$4:I1673))))"),"")</f>
        <v/>
      </c>
      <c r="N1358" s="60" t="str">
        <f t="shared" si="8"/>
        <v/>
      </c>
      <c r="O1358" s="61" t="str">
        <f t="shared" si="9"/>
        <v/>
      </c>
      <c r="P1358" s="56" t="str">
        <f t="shared" si="10"/>
        <v/>
      </c>
      <c r="Q1358" s="67"/>
      <c r="R1358" s="10"/>
      <c r="S1358" s="59" t="str">
        <f t="array" ref="S1358">IF(COUNTA(Q1358:Q1673)=0,"",SUM((COUNTIF(Q$4:Q1358,Upgrades!$B$3:$B$13)-COUNTIF(Q$4:Q1358,"Sell_"&amp;Upgrades!$B$3:$B$13))*Upgrades!$D$3:$D$13))</f>
        <v/>
      </c>
      <c r="T1358" s="66" t="str">
        <f>IFERROR(__xludf.DUMMYFUNCTION("IF(COUNTA(Q1358:Q1673)=0,"""",IF(REGEXMATCH(INDEX(FILTER(Q$4:Q1358,Q$4:Q1358&lt;&gt;""""),ROWS(FILTER(Q$4:Q1358,Q$4:Q1358&lt;&gt;""""))),""^Sell_""),INDEX(FILTER(T$4:T1357,Q$4:Q1357&lt;&gt;""""),ROWS(FILTER(Q$4:Q1357,Q$4:Q1357&lt;&gt;""""))),$AD$5+S1358))"),"")</f>
        <v/>
      </c>
      <c r="U1358" s="10" t="str">
        <f>IFERROR(__xludf.DUMMYFUNCTION("IF(COUNTA(Q1358:Q1673)=0,"""",IF(Q1358="""",0,IF(REGEXMATCH(Q1358,""^Sell_""),-ROUNDDOWN(ROUNDUP(INDEX(Upgrades!$C$3:$C$13,MATCH(SUBSTITUTE(Q1358,""Sell_"",""""),Upgrades!$B$3:$B$13,0))*1.15^(COUNTIF(Q$4:Q1357,SUBSTITUTE(Q1358,""Sell_"",""""))-COUNTIF(Q$4"&amp;":Q1357,""Sell_""&amp;SUBSTITUTE(Q1358,""Sell_"",""""))))/2),ROUNDUP(INDEX(Upgrades!$C$3:$C$13,MATCH(Q1358,Upgrades!$B$3:$B$13,0))*1.15^(COUNTIF(Q$4:Q1357,Q1358)-COUNTIF(Q$4:Q1357,""Sell_""&amp;Q1358))))))"),"")</f>
        <v/>
      </c>
      <c r="V1358" s="10" t="str">
        <f t="shared" si="11"/>
        <v/>
      </c>
      <c r="W1358" s="68" t="str">
        <f t="shared" si="12"/>
        <v/>
      </c>
      <c r="X1358" s="59" t="str">
        <f t="shared" si="13"/>
        <v/>
      </c>
      <c r="Y1358" s="69" t="str">
        <f t="shared" si="14"/>
        <v/>
      </c>
      <c r="Z1358" s="11"/>
    </row>
    <row r="1359">
      <c r="A1359" s="8"/>
      <c r="B1359" s="56" t="str">
        <f t="shared" si="2"/>
        <v/>
      </c>
      <c r="C1359" s="105"/>
      <c r="D1359" s="10"/>
      <c r="E1359" s="59" t="str">
        <f t="array" ref="E1359">IF(COUNTA(C1359:C1673)=0,"",SUM((COUNTIF(C$4:C1359,Upgrades!$B$3:$B$13)-COUNTIF(C$4:C1359,"Sell_"&amp;Upgrades!$B$3:$B$13))*Upgrades!$D$3:$D$13))</f>
        <v/>
      </c>
      <c r="F1359" s="66" t="str">
        <f>IFERROR(__xludf.DUMMYFUNCTION("IF(COUNTA(C1359:C1673)=0,"""",IF(REGEXMATCH(INDEX(FILTER(C$4:C1359,C$4:C1359&lt;&gt;""""),ROWS(FILTER(C$4:C1359,C$4:C1359&lt;&gt;""""))),""^Sell_""),INDEX(FILTER(F$4:F1358,C$4:C1358&lt;&gt;""""),ROWS(FILTER(C$4:C1358,C$4:C1358&lt;&gt;""""))),$AC$5+E1359))"),"")</f>
        <v/>
      </c>
      <c r="G1359" s="10" t="str">
        <f>IFERROR(__xludf.DUMMYFUNCTION("IF(COUNTA(C1359:C1673)=0,"""",IF(C1359="""",0,IF(REGEXMATCH(C1359,""^Sell_""),-ROUNDDOWN(ROUNDUP(INDEX(Upgrades!$C$3:$C$13,MATCH(SUBSTITUTE(C1359,""Sell_"",""""),Upgrades!$B$3:$B$13,0))*1.15^(COUNTIF(C$4:C1358,SUBSTITUTE(C1359,""Sell_"",""""))-COUNTIF(C$4"&amp;":C1358,""Sell_""&amp;SUBSTITUTE(C1359,""Sell_"",""""))))/2),ROUNDUP(INDEX(Upgrades!$C$3:$C$13,MATCH(C1359,Upgrades!$B$3:$B$13,0))*1.15^(COUNTIF(C$4:C1358,C1359)-COUNTIF(C$4:C1358,""Sell_""&amp;C1359))))))"),"")</f>
        <v/>
      </c>
      <c r="H1359" s="10" t="str">
        <f t="shared" si="3"/>
        <v/>
      </c>
      <c r="I1359" s="68" t="str">
        <f t="shared" si="4"/>
        <v/>
      </c>
      <c r="J1359" s="59" t="str">
        <f t="shared" si="5"/>
        <v/>
      </c>
      <c r="K1359" s="69" t="str">
        <f t="shared" si="6"/>
        <v/>
      </c>
      <c r="L1359" s="60" t="str">
        <f t="shared" si="7"/>
        <v/>
      </c>
      <c r="M1359" s="61" t="str">
        <f>IFERROR(__xludf.DUMMYFUNCTION("IFS(AND(COUNTA(C1359:C1673)=0,COUNTA(Q1359:Q1673)=0),"""",OR(AND(K1359&gt;=1000000000,OR(Y1359&gt;=1000000000,COUNTA(Q1359:Q1673)=0)),OR(Y1359&gt;=1000000000,AND(COUNTA(C1359:C1673)=0,P$3=TRUE))),
ROUNDDOWN((AB$1-AC$1)*MAX(INDEX(T$4:T1673,MATCH(LARGE(FILTER(Y$4:Y1"&amp;"673,Y$4:Y1673&lt;1000000000),1),Y$4:Y1673)),INDEX(F$4:F1673,MATCH(LARGE(FILTER(K$4:K1673,K$4:K1673&lt;1000000000),1),K$4:K1673)))),AND(K1359&lt;1000000000,COUNTA(C1359:C1673)&gt;0,P$3=FALSE),
ROUNDDOWN(INDEX(Y$4:Y1673,MATCH(LARGE(FILTER(W$4:W1673,W$4:W1673&lt;=I1359),1)"&amp;",W$4:W1673))+(I1359-LARGE(FILTER(W$4:W1673,W$4:W1673&lt;=I1359),1))*INDEX(T$4:T1673,MATCH(LARGE(FILTER(W$4:W1673,W$4:W1673&lt;=I1359),1),W$4:W1673))-K1359),1,
ROUNDDOWN(Y1359-INDEX(K$4:K1673,MATCH(LARGE(FILTER(I$4:I1673,I$4:I1673&lt;=W1359),1),I$4:I1673))-(W1359-L"&amp;"ARGE(FILTER(I$4:I1673,I$4:I1673&lt;=W1359),1))*INDEX(F$4:F1673,MATCH(LARGE(FILTER(I$4:I1673,I$4:I1673&lt;=W1359),1),I$4:I1673))))"),"")</f>
        <v/>
      </c>
      <c r="N1359" s="60" t="str">
        <f t="shared" si="8"/>
        <v/>
      </c>
      <c r="O1359" s="61" t="str">
        <f t="shared" si="9"/>
        <v/>
      </c>
      <c r="P1359" s="56" t="str">
        <f t="shared" si="10"/>
        <v/>
      </c>
      <c r="Q1359" s="67"/>
      <c r="R1359" s="10"/>
      <c r="S1359" s="59" t="str">
        <f t="array" ref="S1359">IF(COUNTA(Q1359:Q1673)=0,"",SUM((COUNTIF(Q$4:Q1359,Upgrades!$B$3:$B$13)-COUNTIF(Q$4:Q1359,"Sell_"&amp;Upgrades!$B$3:$B$13))*Upgrades!$D$3:$D$13))</f>
        <v/>
      </c>
      <c r="T1359" s="66" t="str">
        <f>IFERROR(__xludf.DUMMYFUNCTION("IF(COUNTA(Q1359:Q1673)=0,"""",IF(REGEXMATCH(INDEX(FILTER(Q$4:Q1359,Q$4:Q1359&lt;&gt;""""),ROWS(FILTER(Q$4:Q1359,Q$4:Q1359&lt;&gt;""""))),""^Sell_""),INDEX(FILTER(T$4:T1358,Q$4:Q1358&lt;&gt;""""),ROWS(FILTER(Q$4:Q1358,Q$4:Q1358&lt;&gt;""""))),$AD$5+S1359))"),"")</f>
        <v/>
      </c>
      <c r="U1359" s="10" t="str">
        <f>IFERROR(__xludf.DUMMYFUNCTION("IF(COUNTA(Q1359:Q1673)=0,"""",IF(Q1359="""",0,IF(REGEXMATCH(Q1359,""^Sell_""),-ROUNDDOWN(ROUNDUP(INDEX(Upgrades!$C$3:$C$13,MATCH(SUBSTITUTE(Q1359,""Sell_"",""""),Upgrades!$B$3:$B$13,0))*1.15^(COUNTIF(Q$4:Q1358,SUBSTITUTE(Q1359,""Sell_"",""""))-COUNTIF(Q$4"&amp;":Q1358,""Sell_""&amp;SUBSTITUTE(Q1359,""Sell_"",""""))))/2),ROUNDUP(INDEX(Upgrades!$C$3:$C$13,MATCH(Q1359,Upgrades!$B$3:$B$13,0))*1.15^(COUNTIF(Q$4:Q1358,Q1359)-COUNTIF(Q$4:Q1358,""Sell_""&amp;Q1359))))))"),"")</f>
        <v/>
      </c>
      <c r="V1359" s="10" t="str">
        <f t="shared" si="11"/>
        <v/>
      </c>
      <c r="W1359" s="68" t="str">
        <f t="shared" si="12"/>
        <v/>
      </c>
      <c r="X1359" s="59" t="str">
        <f t="shared" si="13"/>
        <v/>
      </c>
      <c r="Y1359" s="69" t="str">
        <f t="shared" si="14"/>
        <v/>
      </c>
      <c r="Z1359" s="11"/>
    </row>
    <row r="1360">
      <c r="A1360" s="8"/>
      <c r="B1360" s="56" t="str">
        <f t="shared" si="2"/>
        <v/>
      </c>
      <c r="C1360" s="105"/>
      <c r="D1360" s="10"/>
      <c r="E1360" s="59" t="str">
        <f t="array" ref="E1360">IF(COUNTA(C1360:C1673)=0,"",SUM((COUNTIF(C$4:C1360,Upgrades!$B$3:$B$13)-COUNTIF(C$4:C1360,"Sell_"&amp;Upgrades!$B$3:$B$13))*Upgrades!$D$3:$D$13))</f>
        <v/>
      </c>
      <c r="F1360" s="66" t="str">
        <f>IFERROR(__xludf.DUMMYFUNCTION("IF(COUNTA(C1360:C1673)=0,"""",IF(REGEXMATCH(INDEX(FILTER(C$4:C1360,C$4:C1360&lt;&gt;""""),ROWS(FILTER(C$4:C1360,C$4:C1360&lt;&gt;""""))),""^Sell_""),INDEX(FILTER(F$4:F1359,C$4:C1359&lt;&gt;""""),ROWS(FILTER(C$4:C1359,C$4:C1359&lt;&gt;""""))),$AC$5+E1360))"),"")</f>
        <v/>
      </c>
      <c r="G1360" s="10" t="str">
        <f>IFERROR(__xludf.DUMMYFUNCTION("IF(COUNTA(C1360:C1673)=0,"""",IF(C1360="""",0,IF(REGEXMATCH(C1360,""^Sell_""),-ROUNDDOWN(ROUNDUP(INDEX(Upgrades!$C$3:$C$13,MATCH(SUBSTITUTE(C1360,""Sell_"",""""),Upgrades!$B$3:$B$13,0))*1.15^(COUNTIF(C$4:C1359,SUBSTITUTE(C1360,""Sell_"",""""))-COUNTIF(C$4"&amp;":C1359,""Sell_""&amp;SUBSTITUTE(C1360,""Sell_"",""""))))/2),ROUNDUP(INDEX(Upgrades!$C$3:$C$13,MATCH(C1360,Upgrades!$B$3:$B$13,0))*1.15^(COUNTIF(C$4:C1359,C1360)-COUNTIF(C$4:C1359,""Sell_""&amp;C1360))))))"),"")</f>
        <v/>
      </c>
      <c r="H1360" s="10" t="str">
        <f t="shared" si="3"/>
        <v/>
      </c>
      <c r="I1360" s="68" t="str">
        <f t="shared" si="4"/>
        <v/>
      </c>
      <c r="J1360" s="59" t="str">
        <f t="shared" si="5"/>
        <v/>
      </c>
      <c r="K1360" s="69" t="str">
        <f t="shared" si="6"/>
        <v/>
      </c>
      <c r="L1360" s="60" t="str">
        <f t="shared" si="7"/>
        <v/>
      </c>
      <c r="M1360" s="61" t="str">
        <f>IFERROR(__xludf.DUMMYFUNCTION("IFS(AND(COUNTA(C1360:C1673)=0,COUNTA(Q1360:Q1673)=0),"""",OR(AND(K1360&gt;=1000000000,OR(Y1360&gt;=1000000000,COUNTA(Q1360:Q1673)=0)),OR(Y1360&gt;=1000000000,AND(COUNTA(C1360:C1673)=0,P$3=TRUE))),
ROUNDDOWN((AB$1-AC$1)*MAX(INDEX(T$4:T1673,MATCH(LARGE(FILTER(Y$4:Y1"&amp;"673,Y$4:Y1673&lt;1000000000),1),Y$4:Y1673)),INDEX(F$4:F1673,MATCH(LARGE(FILTER(K$4:K1673,K$4:K1673&lt;1000000000),1),K$4:K1673)))),AND(K1360&lt;1000000000,COUNTA(C1360:C1673)&gt;0,P$3=FALSE),
ROUNDDOWN(INDEX(Y$4:Y1673,MATCH(LARGE(FILTER(W$4:W1673,W$4:W1673&lt;=I1360),1)"&amp;",W$4:W1673))+(I1360-LARGE(FILTER(W$4:W1673,W$4:W1673&lt;=I1360),1))*INDEX(T$4:T1673,MATCH(LARGE(FILTER(W$4:W1673,W$4:W1673&lt;=I1360),1),W$4:W1673))-K1360),1,
ROUNDDOWN(Y1360-INDEX(K$4:K1673,MATCH(LARGE(FILTER(I$4:I1673,I$4:I1673&lt;=W1360),1),I$4:I1673))-(W1360-L"&amp;"ARGE(FILTER(I$4:I1673,I$4:I1673&lt;=W1360),1))*INDEX(F$4:F1673,MATCH(LARGE(FILTER(I$4:I1673,I$4:I1673&lt;=W1360),1),I$4:I1673))))"),"")</f>
        <v/>
      </c>
      <c r="N1360" s="60" t="str">
        <f t="shared" si="8"/>
        <v/>
      </c>
      <c r="O1360" s="61" t="str">
        <f t="shared" si="9"/>
        <v/>
      </c>
      <c r="P1360" s="56" t="str">
        <f t="shared" si="10"/>
        <v/>
      </c>
      <c r="Q1360" s="67"/>
      <c r="R1360" s="10"/>
      <c r="S1360" s="59" t="str">
        <f t="array" ref="S1360">IF(COUNTA(Q1360:Q1673)=0,"",SUM((COUNTIF(Q$4:Q1360,Upgrades!$B$3:$B$13)-COUNTIF(Q$4:Q1360,"Sell_"&amp;Upgrades!$B$3:$B$13))*Upgrades!$D$3:$D$13))</f>
        <v/>
      </c>
      <c r="T1360" s="66" t="str">
        <f>IFERROR(__xludf.DUMMYFUNCTION("IF(COUNTA(Q1360:Q1673)=0,"""",IF(REGEXMATCH(INDEX(FILTER(Q$4:Q1360,Q$4:Q1360&lt;&gt;""""),ROWS(FILTER(Q$4:Q1360,Q$4:Q1360&lt;&gt;""""))),""^Sell_""),INDEX(FILTER(T$4:T1359,Q$4:Q1359&lt;&gt;""""),ROWS(FILTER(Q$4:Q1359,Q$4:Q1359&lt;&gt;""""))),$AD$5+S1360))"),"")</f>
        <v/>
      </c>
      <c r="U1360" s="10" t="str">
        <f>IFERROR(__xludf.DUMMYFUNCTION("IF(COUNTA(Q1360:Q1673)=0,"""",IF(Q1360="""",0,IF(REGEXMATCH(Q1360,""^Sell_""),-ROUNDDOWN(ROUNDUP(INDEX(Upgrades!$C$3:$C$13,MATCH(SUBSTITUTE(Q1360,""Sell_"",""""),Upgrades!$B$3:$B$13,0))*1.15^(COUNTIF(Q$4:Q1359,SUBSTITUTE(Q1360,""Sell_"",""""))-COUNTIF(Q$4"&amp;":Q1359,""Sell_""&amp;SUBSTITUTE(Q1360,""Sell_"",""""))))/2),ROUNDUP(INDEX(Upgrades!$C$3:$C$13,MATCH(Q1360,Upgrades!$B$3:$B$13,0))*1.15^(COUNTIF(Q$4:Q1359,Q1360)-COUNTIF(Q$4:Q1359,""Sell_""&amp;Q1360))))))"),"")</f>
        <v/>
      </c>
      <c r="V1360" s="10" t="str">
        <f t="shared" si="11"/>
        <v/>
      </c>
      <c r="W1360" s="68" t="str">
        <f t="shared" si="12"/>
        <v/>
      </c>
      <c r="X1360" s="59" t="str">
        <f t="shared" si="13"/>
        <v/>
      </c>
      <c r="Y1360" s="69" t="str">
        <f t="shared" si="14"/>
        <v/>
      </c>
      <c r="Z1360" s="11"/>
    </row>
    <row r="1361">
      <c r="A1361" s="8"/>
      <c r="B1361" s="56" t="str">
        <f t="shared" si="2"/>
        <v/>
      </c>
      <c r="C1361" s="105"/>
      <c r="D1361" s="10"/>
      <c r="E1361" s="59" t="str">
        <f t="array" ref="E1361">IF(COUNTA(C1361:C1673)=0,"",SUM((COUNTIF(C$4:C1361,Upgrades!$B$3:$B$13)-COUNTIF(C$4:C1361,"Sell_"&amp;Upgrades!$B$3:$B$13))*Upgrades!$D$3:$D$13))</f>
        <v/>
      </c>
      <c r="F1361" s="66" t="str">
        <f>IFERROR(__xludf.DUMMYFUNCTION("IF(COUNTA(C1361:C1673)=0,"""",IF(REGEXMATCH(INDEX(FILTER(C$4:C1361,C$4:C1361&lt;&gt;""""),ROWS(FILTER(C$4:C1361,C$4:C1361&lt;&gt;""""))),""^Sell_""),INDEX(FILTER(F$4:F1360,C$4:C1360&lt;&gt;""""),ROWS(FILTER(C$4:C1360,C$4:C1360&lt;&gt;""""))),$AC$5+E1361))"),"")</f>
        <v/>
      </c>
      <c r="G1361" s="10" t="str">
        <f>IFERROR(__xludf.DUMMYFUNCTION("IF(COUNTA(C1361:C1673)=0,"""",IF(C1361="""",0,IF(REGEXMATCH(C1361,""^Sell_""),-ROUNDDOWN(ROUNDUP(INDEX(Upgrades!$C$3:$C$13,MATCH(SUBSTITUTE(C1361,""Sell_"",""""),Upgrades!$B$3:$B$13,0))*1.15^(COUNTIF(C$4:C1360,SUBSTITUTE(C1361,""Sell_"",""""))-COUNTIF(C$4"&amp;":C1360,""Sell_""&amp;SUBSTITUTE(C1361,""Sell_"",""""))))/2),ROUNDUP(INDEX(Upgrades!$C$3:$C$13,MATCH(C1361,Upgrades!$B$3:$B$13,0))*1.15^(COUNTIF(C$4:C1360,C1361)-COUNTIF(C$4:C1360,""Sell_""&amp;C1361))))))"),"")</f>
        <v/>
      </c>
      <c r="H1361" s="10" t="str">
        <f t="shared" si="3"/>
        <v/>
      </c>
      <c r="I1361" s="68" t="str">
        <f t="shared" si="4"/>
        <v/>
      </c>
      <c r="J1361" s="59" t="str">
        <f t="shared" si="5"/>
        <v/>
      </c>
      <c r="K1361" s="69" t="str">
        <f t="shared" si="6"/>
        <v/>
      </c>
      <c r="L1361" s="60" t="str">
        <f t="shared" si="7"/>
        <v/>
      </c>
      <c r="M1361" s="61" t="str">
        <f>IFERROR(__xludf.DUMMYFUNCTION("IFS(AND(COUNTA(C1361:C1673)=0,COUNTA(Q1361:Q1673)=0),"""",OR(AND(K1361&gt;=1000000000,OR(Y1361&gt;=1000000000,COUNTA(Q1361:Q1673)=0)),OR(Y1361&gt;=1000000000,AND(COUNTA(C1361:C1673)=0,P$3=TRUE))),
ROUNDDOWN((AB$1-AC$1)*MAX(INDEX(T$4:T1673,MATCH(LARGE(FILTER(Y$4:Y1"&amp;"673,Y$4:Y1673&lt;1000000000),1),Y$4:Y1673)),INDEX(F$4:F1673,MATCH(LARGE(FILTER(K$4:K1673,K$4:K1673&lt;1000000000),1),K$4:K1673)))),AND(K1361&lt;1000000000,COUNTA(C1361:C1673)&gt;0,P$3=FALSE),
ROUNDDOWN(INDEX(Y$4:Y1673,MATCH(LARGE(FILTER(W$4:W1673,W$4:W1673&lt;=I1361),1)"&amp;",W$4:W1673))+(I1361-LARGE(FILTER(W$4:W1673,W$4:W1673&lt;=I1361),1))*INDEX(T$4:T1673,MATCH(LARGE(FILTER(W$4:W1673,W$4:W1673&lt;=I1361),1),W$4:W1673))-K1361),1,
ROUNDDOWN(Y1361-INDEX(K$4:K1673,MATCH(LARGE(FILTER(I$4:I1673,I$4:I1673&lt;=W1361),1),I$4:I1673))-(W1361-L"&amp;"ARGE(FILTER(I$4:I1673,I$4:I1673&lt;=W1361),1))*INDEX(F$4:F1673,MATCH(LARGE(FILTER(I$4:I1673,I$4:I1673&lt;=W1361),1),I$4:I1673))))"),"")</f>
        <v/>
      </c>
      <c r="N1361" s="60" t="str">
        <f t="shared" si="8"/>
        <v/>
      </c>
      <c r="O1361" s="61" t="str">
        <f t="shared" si="9"/>
        <v/>
      </c>
      <c r="P1361" s="56" t="str">
        <f t="shared" si="10"/>
        <v/>
      </c>
      <c r="Q1361" s="67"/>
      <c r="R1361" s="10"/>
      <c r="S1361" s="59" t="str">
        <f t="array" ref="S1361">IF(COUNTA(Q1361:Q1673)=0,"",SUM((COUNTIF(Q$4:Q1361,Upgrades!$B$3:$B$13)-COUNTIF(Q$4:Q1361,"Sell_"&amp;Upgrades!$B$3:$B$13))*Upgrades!$D$3:$D$13))</f>
        <v/>
      </c>
      <c r="T1361" s="66" t="str">
        <f>IFERROR(__xludf.DUMMYFUNCTION("IF(COUNTA(Q1361:Q1673)=0,"""",IF(REGEXMATCH(INDEX(FILTER(Q$4:Q1361,Q$4:Q1361&lt;&gt;""""),ROWS(FILTER(Q$4:Q1361,Q$4:Q1361&lt;&gt;""""))),""^Sell_""),INDEX(FILTER(T$4:T1360,Q$4:Q1360&lt;&gt;""""),ROWS(FILTER(Q$4:Q1360,Q$4:Q1360&lt;&gt;""""))),$AD$5+S1361))"),"")</f>
        <v/>
      </c>
      <c r="U1361" s="10" t="str">
        <f>IFERROR(__xludf.DUMMYFUNCTION("IF(COUNTA(Q1361:Q1673)=0,"""",IF(Q1361="""",0,IF(REGEXMATCH(Q1361,""^Sell_""),-ROUNDDOWN(ROUNDUP(INDEX(Upgrades!$C$3:$C$13,MATCH(SUBSTITUTE(Q1361,""Sell_"",""""),Upgrades!$B$3:$B$13,0))*1.15^(COUNTIF(Q$4:Q1360,SUBSTITUTE(Q1361,""Sell_"",""""))-COUNTIF(Q$4"&amp;":Q1360,""Sell_""&amp;SUBSTITUTE(Q1361,""Sell_"",""""))))/2),ROUNDUP(INDEX(Upgrades!$C$3:$C$13,MATCH(Q1361,Upgrades!$B$3:$B$13,0))*1.15^(COUNTIF(Q$4:Q1360,Q1361)-COUNTIF(Q$4:Q1360,""Sell_""&amp;Q1361))))))"),"")</f>
        <v/>
      </c>
      <c r="V1361" s="10" t="str">
        <f t="shared" si="11"/>
        <v/>
      </c>
      <c r="W1361" s="68" t="str">
        <f t="shared" si="12"/>
        <v/>
      </c>
      <c r="X1361" s="59" t="str">
        <f t="shared" si="13"/>
        <v/>
      </c>
      <c r="Y1361" s="69" t="str">
        <f t="shared" si="14"/>
        <v/>
      </c>
      <c r="Z1361" s="11"/>
    </row>
    <row r="1362">
      <c r="A1362" s="8"/>
      <c r="B1362" s="56" t="str">
        <f t="shared" si="2"/>
        <v/>
      </c>
      <c r="C1362" s="105"/>
      <c r="D1362" s="10"/>
      <c r="E1362" s="59" t="str">
        <f t="array" ref="E1362">IF(COUNTA(C1362:C1673)=0,"",SUM((COUNTIF(C$4:C1362,Upgrades!$B$3:$B$13)-COUNTIF(C$4:C1362,"Sell_"&amp;Upgrades!$B$3:$B$13))*Upgrades!$D$3:$D$13))</f>
        <v/>
      </c>
      <c r="F1362" s="66" t="str">
        <f>IFERROR(__xludf.DUMMYFUNCTION("IF(COUNTA(C1362:C1673)=0,"""",IF(REGEXMATCH(INDEX(FILTER(C$4:C1362,C$4:C1362&lt;&gt;""""),ROWS(FILTER(C$4:C1362,C$4:C1362&lt;&gt;""""))),""^Sell_""),INDEX(FILTER(F$4:F1361,C$4:C1361&lt;&gt;""""),ROWS(FILTER(C$4:C1361,C$4:C1361&lt;&gt;""""))),$AC$5+E1362))"),"")</f>
        <v/>
      </c>
      <c r="G1362" s="10" t="str">
        <f>IFERROR(__xludf.DUMMYFUNCTION("IF(COUNTA(C1362:C1673)=0,"""",IF(C1362="""",0,IF(REGEXMATCH(C1362,""^Sell_""),-ROUNDDOWN(ROUNDUP(INDEX(Upgrades!$C$3:$C$13,MATCH(SUBSTITUTE(C1362,""Sell_"",""""),Upgrades!$B$3:$B$13,0))*1.15^(COUNTIF(C$4:C1361,SUBSTITUTE(C1362,""Sell_"",""""))-COUNTIF(C$4"&amp;":C1361,""Sell_""&amp;SUBSTITUTE(C1362,""Sell_"",""""))))/2),ROUNDUP(INDEX(Upgrades!$C$3:$C$13,MATCH(C1362,Upgrades!$B$3:$B$13,0))*1.15^(COUNTIF(C$4:C1361,C1362)-COUNTIF(C$4:C1361,""Sell_""&amp;C1362))))))"),"")</f>
        <v/>
      </c>
      <c r="H1362" s="10" t="str">
        <f t="shared" si="3"/>
        <v/>
      </c>
      <c r="I1362" s="68" t="str">
        <f t="shared" si="4"/>
        <v/>
      </c>
      <c r="J1362" s="59" t="str">
        <f t="shared" si="5"/>
        <v/>
      </c>
      <c r="K1362" s="69" t="str">
        <f t="shared" si="6"/>
        <v/>
      </c>
      <c r="L1362" s="60" t="str">
        <f t="shared" si="7"/>
        <v/>
      </c>
      <c r="M1362" s="61" t="str">
        <f>IFERROR(__xludf.DUMMYFUNCTION("IFS(AND(COUNTA(C1362:C1673)=0,COUNTA(Q1362:Q1673)=0),"""",OR(AND(K1362&gt;=1000000000,OR(Y1362&gt;=1000000000,COUNTA(Q1362:Q1673)=0)),OR(Y1362&gt;=1000000000,AND(COUNTA(C1362:C1673)=0,P$3=TRUE))),
ROUNDDOWN((AB$1-AC$1)*MAX(INDEX(T$4:T1673,MATCH(LARGE(FILTER(Y$4:Y1"&amp;"673,Y$4:Y1673&lt;1000000000),1),Y$4:Y1673)),INDEX(F$4:F1673,MATCH(LARGE(FILTER(K$4:K1673,K$4:K1673&lt;1000000000),1),K$4:K1673)))),AND(K1362&lt;1000000000,COUNTA(C1362:C1673)&gt;0,P$3=FALSE),
ROUNDDOWN(INDEX(Y$4:Y1673,MATCH(LARGE(FILTER(W$4:W1673,W$4:W1673&lt;=I1362),1)"&amp;",W$4:W1673))+(I1362-LARGE(FILTER(W$4:W1673,W$4:W1673&lt;=I1362),1))*INDEX(T$4:T1673,MATCH(LARGE(FILTER(W$4:W1673,W$4:W1673&lt;=I1362),1),W$4:W1673))-K1362),1,
ROUNDDOWN(Y1362-INDEX(K$4:K1673,MATCH(LARGE(FILTER(I$4:I1673,I$4:I1673&lt;=W1362),1),I$4:I1673))-(W1362-L"&amp;"ARGE(FILTER(I$4:I1673,I$4:I1673&lt;=W1362),1))*INDEX(F$4:F1673,MATCH(LARGE(FILTER(I$4:I1673,I$4:I1673&lt;=W1362),1),I$4:I1673))))"),"")</f>
        <v/>
      </c>
      <c r="N1362" s="60" t="str">
        <f t="shared" si="8"/>
        <v/>
      </c>
      <c r="O1362" s="61" t="str">
        <f t="shared" si="9"/>
        <v/>
      </c>
      <c r="P1362" s="56" t="str">
        <f t="shared" si="10"/>
        <v/>
      </c>
      <c r="Q1362" s="67"/>
      <c r="R1362" s="10"/>
      <c r="S1362" s="59" t="str">
        <f t="array" ref="S1362">IF(COUNTA(Q1362:Q1673)=0,"",SUM((COUNTIF(Q$4:Q1362,Upgrades!$B$3:$B$13)-COUNTIF(Q$4:Q1362,"Sell_"&amp;Upgrades!$B$3:$B$13))*Upgrades!$D$3:$D$13))</f>
        <v/>
      </c>
      <c r="T1362" s="66" t="str">
        <f>IFERROR(__xludf.DUMMYFUNCTION("IF(COUNTA(Q1362:Q1673)=0,"""",IF(REGEXMATCH(INDEX(FILTER(Q$4:Q1362,Q$4:Q1362&lt;&gt;""""),ROWS(FILTER(Q$4:Q1362,Q$4:Q1362&lt;&gt;""""))),""^Sell_""),INDEX(FILTER(T$4:T1361,Q$4:Q1361&lt;&gt;""""),ROWS(FILTER(Q$4:Q1361,Q$4:Q1361&lt;&gt;""""))),$AD$5+S1362))"),"")</f>
        <v/>
      </c>
      <c r="U1362" s="10" t="str">
        <f>IFERROR(__xludf.DUMMYFUNCTION("IF(COUNTA(Q1362:Q1673)=0,"""",IF(Q1362="""",0,IF(REGEXMATCH(Q1362,""^Sell_""),-ROUNDDOWN(ROUNDUP(INDEX(Upgrades!$C$3:$C$13,MATCH(SUBSTITUTE(Q1362,""Sell_"",""""),Upgrades!$B$3:$B$13,0))*1.15^(COUNTIF(Q$4:Q1361,SUBSTITUTE(Q1362,""Sell_"",""""))-COUNTIF(Q$4"&amp;":Q1361,""Sell_""&amp;SUBSTITUTE(Q1362,""Sell_"",""""))))/2),ROUNDUP(INDEX(Upgrades!$C$3:$C$13,MATCH(Q1362,Upgrades!$B$3:$B$13,0))*1.15^(COUNTIF(Q$4:Q1361,Q1362)-COUNTIF(Q$4:Q1361,""Sell_""&amp;Q1362))))))"),"")</f>
        <v/>
      </c>
      <c r="V1362" s="10" t="str">
        <f t="shared" si="11"/>
        <v/>
      </c>
      <c r="W1362" s="68" t="str">
        <f t="shared" si="12"/>
        <v/>
      </c>
      <c r="X1362" s="59" t="str">
        <f t="shared" si="13"/>
        <v/>
      </c>
      <c r="Y1362" s="69" t="str">
        <f t="shared" si="14"/>
        <v/>
      </c>
      <c r="Z1362" s="11"/>
    </row>
    <row r="1363">
      <c r="A1363" s="8"/>
      <c r="B1363" s="56" t="str">
        <f t="shared" si="2"/>
        <v/>
      </c>
      <c r="C1363" s="105"/>
      <c r="D1363" s="10"/>
      <c r="E1363" s="59" t="str">
        <f t="array" ref="E1363">IF(COUNTA(C1363:C1673)=0,"",SUM((COUNTIF(C$4:C1363,Upgrades!$B$3:$B$13)-COUNTIF(C$4:C1363,"Sell_"&amp;Upgrades!$B$3:$B$13))*Upgrades!$D$3:$D$13))</f>
        <v/>
      </c>
      <c r="F1363" s="66" t="str">
        <f>IFERROR(__xludf.DUMMYFUNCTION("IF(COUNTA(C1363:C1673)=0,"""",IF(REGEXMATCH(INDEX(FILTER(C$4:C1363,C$4:C1363&lt;&gt;""""),ROWS(FILTER(C$4:C1363,C$4:C1363&lt;&gt;""""))),""^Sell_""),INDEX(FILTER(F$4:F1362,C$4:C1362&lt;&gt;""""),ROWS(FILTER(C$4:C1362,C$4:C1362&lt;&gt;""""))),$AC$5+E1363))"),"")</f>
        <v/>
      </c>
      <c r="G1363" s="10" t="str">
        <f>IFERROR(__xludf.DUMMYFUNCTION("IF(COUNTA(C1363:C1673)=0,"""",IF(C1363="""",0,IF(REGEXMATCH(C1363,""^Sell_""),-ROUNDDOWN(ROUNDUP(INDEX(Upgrades!$C$3:$C$13,MATCH(SUBSTITUTE(C1363,""Sell_"",""""),Upgrades!$B$3:$B$13,0))*1.15^(COUNTIF(C$4:C1362,SUBSTITUTE(C1363,""Sell_"",""""))-COUNTIF(C$4"&amp;":C1362,""Sell_""&amp;SUBSTITUTE(C1363,""Sell_"",""""))))/2),ROUNDUP(INDEX(Upgrades!$C$3:$C$13,MATCH(C1363,Upgrades!$B$3:$B$13,0))*1.15^(COUNTIF(C$4:C1362,C1363)-COUNTIF(C$4:C1362,""Sell_""&amp;C1363))))))"),"")</f>
        <v/>
      </c>
      <c r="H1363" s="10" t="str">
        <f t="shared" si="3"/>
        <v/>
      </c>
      <c r="I1363" s="68" t="str">
        <f t="shared" si="4"/>
        <v/>
      </c>
      <c r="J1363" s="59" t="str">
        <f t="shared" si="5"/>
        <v/>
      </c>
      <c r="K1363" s="69" t="str">
        <f t="shared" si="6"/>
        <v/>
      </c>
      <c r="L1363" s="60" t="str">
        <f t="shared" si="7"/>
        <v/>
      </c>
      <c r="M1363" s="61" t="str">
        <f>IFERROR(__xludf.DUMMYFUNCTION("IFS(AND(COUNTA(C1363:C1673)=0,COUNTA(Q1363:Q1673)=0),"""",OR(AND(K1363&gt;=1000000000,OR(Y1363&gt;=1000000000,COUNTA(Q1363:Q1673)=0)),OR(Y1363&gt;=1000000000,AND(COUNTA(C1363:C1673)=0,P$3=TRUE))),
ROUNDDOWN((AB$1-AC$1)*MAX(INDEX(T$4:T1673,MATCH(LARGE(FILTER(Y$4:Y1"&amp;"673,Y$4:Y1673&lt;1000000000),1),Y$4:Y1673)),INDEX(F$4:F1673,MATCH(LARGE(FILTER(K$4:K1673,K$4:K1673&lt;1000000000),1),K$4:K1673)))),AND(K1363&lt;1000000000,COUNTA(C1363:C1673)&gt;0,P$3=FALSE),
ROUNDDOWN(INDEX(Y$4:Y1673,MATCH(LARGE(FILTER(W$4:W1673,W$4:W1673&lt;=I1363),1)"&amp;",W$4:W1673))+(I1363-LARGE(FILTER(W$4:W1673,W$4:W1673&lt;=I1363),1))*INDEX(T$4:T1673,MATCH(LARGE(FILTER(W$4:W1673,W$4:W1673&lt;=I1363),1),W$4:W1673))-K1363),1,
ROUNDDOWN(Y1363-INDEX(K$4:K1673,MATCH(LARGE(FILTER(I$4:I1673,I$4:I1673&lt;=W1363),1),I$4:I1673))-(W1363-L"&amp;"ARGE(FILTER(I$4:I1673,I$4:I1673&lt;=W1363),1))*INDEX(F$4:F1673,MATCH(LARGE(FILTER(I$4:I1673,I$4:I1673&lt;=W1363),1),I$4:I1673))))"),"")</f>
        <v/>
      </c>
      <c r="N1363" s="60" t="str">
        <f t="shared" si="8"/>
        <v/>
      </c>
      <c r="O1363" s="61" t="str">
        <f t="shared" si="9"/>
        <v/>
      </c>
      <c r="P1363" s="56" t="str">
        <f t="shared" si="10"/>
        <v/>
      </c>
      <c r="Q1363" s="67"/>
      <c r="R1363" s="10"/>
      <c r="S1363" s="59" t="str">
        <f t="array" ref="S1363">IF(COUNTA(Q1363:Q1673)=0,"",SUM((COUNTIF(Q$4:Q1363,Upgrades!$B$3:$B$13)-COUNTIF(Q$4:Q1363,"Sell_"&amp;Upgrades!$B$3:$B$13))*Upgrades!$D$3:$D$13))</f>
        <v/>
      </c>
      <c r="T1363" s="66" t="str">
        <f>IFERROR(__xludf.DUMMYFUNCTION("IF(COUNTA(Q1363:Q1673)=0,"""",IF(REGEXMATCH(INDEX(FILTER(Q$4:Q1363,Q$4:Q1363&lt;&gt;""""),ROWS(FILTER(Q$4:Q1363,Q$4:Q1363&lt;&gt;""""))),""^Sell_""),INDEX(FILTER(T$4:T1362,Q$4:Q1362&lt;&gt;""""),ROWS(FILTER(Q$4:Q1362,Q$4:Q1362&lt;&gt;""""))),$AD$5+S1363))"),"")</f>
        <v/>
      </c>
      <c r="U1363" s="10" t="str">
        <f>IFERROR(__xludf.DUMMYFUNCTION("IF(COUNTA(Q1363:Q1673)=0,"""",IF(Q1363="""",0,IF(REGEXMATCH(Q1363,""^Sell_""),-ROUNDDOWN(ROUNDUP(INDEX(Upgrades!$C$3:$C$13,MATCH(SUBSTITUTE(Q1363,""Sell_"",""""),Upgrades!$B$3:$B$13,0))*1.15^(COUNTIF(Q$4:Q1362,SUBSTITUTE(Q1363,""Sell_"",""""))-COUNTIF(Q$4"&amp;":Q1362,""Sell_""&amp;SUBSTITUTE(Q1363,""Sell_"",""""))))/2),ROUNDUP(INDEX(Upgrades!$C$3:$C$13,MATCH(Q1363,Upgrades!$B$3:$B$13,0))*1.15^(COUNTIF(Q$4:Q1362,Q1363)-COUNTIF(Q$4:Q1362,""Sell_""&amp;Q1363))))))"),"")</f>
        <v/>
      </c>
      <c r="V1363" s="10" t="str">
        <f t="shared" si="11"/>
        <v/>
      </c>
      <c r="W1363" s="68" t="str">
        <f t="shared" si="12"/>
        <v/>
      </c>
      <c r="X1363" s="59" t="str">
        <f t="shared" si="13"/>
        <v/>
      </c>
      <c r="Y1363" s="69" t="str">
        <f t="shared" si="14"/>
        <v/>
      </c>
      <c r="Z1363" s="11"/>
    </row>
    <row r="1364">
      <c r="A1364" s="8"/>
      <c r="B1364" s="56" t="str">
        <f t="shared" si="2"/>
        <v/>
      </c>
      <c r="C1364" s="105"/>
      <c r="D1364" s="10"/>
      <c r="E1364" s="59" t="str">
        <f t="array" ref="E1364">IF(COUNTA(C1364:C1673)=0,"",SUM((COUNTIF(C$4:C1364,Upgrades!$B$3:$B$13)-COUNTIF(C$4:C1364,"Sell_"&amp;Upgrades!$B$3:$B$13))*Upgrades!$D$3:$D$13))</f>
        <v/>
      </c>
      <c r="F1364" s="66" t="str">
        <f>IFERROR(__xludf.DUMMYFUNCTION("IF(COUNTA(C1364:C1673)=0,"""",IF(REGEXMATCH(INDEX(FILTER(C$4:C1364,C$4:C1364&lt;&gt;""""),ROWS(FILTER(C$4:C1364,C$4:C1364&lt;&gt;""""))),""^Sell_""),INDEX(FILTER(F$4:F1363,C$4:C1363&lt;&gt;""""),ROWS(FILTER(C$4:C1363,C$4:C1363&lt;&gt;""""))),$AC$5+E1364))"),"")</f>
        <v/>
      </c>
      <c r="G1364" s="10" t="str">
        <f>IFERROR(__xludf.DUMMYFUNCTION("IF(COUNTA(C1364:C1673)=0,"""",IF(C1364="""",0,IF(REGEXMATCH(C1364,""^Sell_""),-ROUNDDOWN(ROUNDUP(INDEX(Upgrades!$C$3:$C$13,MATCH(SUBSTITUTE(C1364,""Sell_"",""""),Upgrades!$B$3:$B$13,0))*1.15^(COUNTIF(C$4:C1363,SUBSTITUTE(C1364,""Sell_"",""""))-COUNTIF(C$4"&amp;":C1363,""Sell_""&amp;SUBSTITUTE(C1364,""Sell_"",""""))))/2),ROUNDUP(INDEX(Upgrades!$C$3:$C$13,MATCH(C1364,Upgrades!$B$3:$B$13,0))*1.15^(COUNTIF(C$4:C1363,C1364)-COUNTIF(C$4:C1363,""Sell_""&amp;C1364))))))"),"")</f>
        <v/>
      </c>
      <c r="H1364" s="10" t="str">
        <f t="shared" si="3"/>
        <v/>
      </c>
      <c r="I1364" s="68" t="str">
        <f t="shared" si="4"/>
        <v/>
      </c>
      <c r="J1364" s="59" t="str">
        <f t="shared" si="5"/>
        <v/>
      </c>
      <c r="K1364" s="69" t="str">
        <f t="shared" si="6"/>
        <v/>
      </c>
      <c r="L1364" s="60" t="str">
        <f t="shared" si="7"/>
        <v/>
      </c>
      <c r="M1364" s="61" t="str">
        <f>IFERROR(__xludf.DUMMYFUNCTION("IFS(AND(COUNTA(C1364:C1673)=0,COUNTA(Q1364:Q1673)=0),"""",OR(AND(K1364&gt;=1000000000,OR(Y1364&gt;=1000000000,COUNTA(Q1364:Q1673)=0)),OR(Y1364&gt;=1000000000,AND(COUNTA(C1364:C1673)=0,P$3=TRUE))),
ROUNDDOWN((AB$1-AC$1)*MAX(INDEX(T$4:T1673,MATCH(LARGE(FILTER(Y$4:Y1"&amp;"673,Y$4:Y1673&lt;1000000000),1),Y$4:Y1673)),INDEX(F$4:F1673,MATCH(LARGE(FILTER(K$4:K1673,K$4:K1673&lt;1000000000),1),K$4:K1673)))),AND(K1364&lt;1000000000,COUNTA(C1364:C1673)&gt;0,P$3=FALSE),
ROUNDDOWN(INDEX(Y$4:Y1673,MATCH(LARGE(FILTER(W$4:W1673,W$4:W1673&lt;=I1364),1)"&amp;",W$4:W1673))+(I1364-LARGE(FILTER(W$4:W1673,W$4:W1673&lt;=I1364),1))*INDEX(T$4:T1673,MATCH(LARGE(FILTER(W$4:W1673,W$4:W1673&lt;=I1364),1),W$4:W1673))-K1364),1,
ROUNDDOWN(Y1364-INDEX(K$4:K1673,MATCH(LARGE(FILTER(I$4:I1673,I$4:I1673&lt;=W1364),1),I$4:I1673))-(W1364-L"&amp;"ARGE(FILTER(I$4:I1673,I$4:I1673&lt;=W1364),1))*INDEX(F$4:F1673,MATCH(LARGE(FILTER(I$4:I1673,I$4:I1673&lt;=W1364),1),I$4:I1673))))"),"")</f>
        <v/>
      </c>
      <c r="N1364" s="60" t="str">
        <f t="shared" si="8"/>
        <v/>
      </c>
      <c r="O1364" s="61" t="str">
        <f t="shared" si="9"/>
        <v/>
      </c>
      <c r="P1364" s="56" t="str">
        <f t="shared" si="10"/>
        <v/>
      </c>
      <c r="Q1364" s="67"/>
      <c r="R1364" s="10"/>
      <c r="S1364" s="59" t="str">
        <f t="array" ref="S1364">IF(COUNTA(Q1364:Q1673)=0,"",SUM((COUNTIF(Q$4:Q1364,Upgrades!$B$3:$B$13)-COUNTIF(Q$4:Q1364,"Sell_"&amp;Upgrades!$B$3:$B$13))*Upgrades!$D$3:$D$13))</f>
        <v/>
      </c>
      <c r="T1364" s="66" t="str">
        <f>IFERROR(__xludf.DUMMYFUNCTION("IF(COUNTA(Q1364:Q1673)=0,"""",IF(REGEXMATCH(INDEX(FILTER(Q$4:Q1364,Q$4:Q1364&lt;&gt;""""),ROWS(FILTER(Q$4:Q1364,Q$4:Q1364&lt;&gt;""""))),""^Sell_""),INDEX(FILTER(T$4:T1363,Q$4:Q1363&lt;&gt;""""),ROWS(FILTER(Q$4:Q1363,Q$4:Q1363&lt;&gt;""""))),$AD$5+S1364))"),"")</f>
        <v/>
      </c>
      <c r="U1364" s="10" t="str">
        <f>IFERROR(__xludf.DUMMYFUNCTION("IF(COUNTA(Q1364:Q1673)=0,"""",IF(Q1364="""",0,IF(REGEXMATCH(Q1364,""^Sell_""),-ROUNDDOWN(ROUNDUP(INDEX(Upgrades!$C$3:$C$13,MATCH(SUBSTITUTE(Q1364,""Sell_"",""""),Upgrades!$B$3:$B$13,0))*1.15^(COUNTIF(Q$4:Q1363,SUBSTITUTE(Q1364,""Sell_"",""""))-COUNTIF(Q$4"&amp;":Q1363,""Sell_""&amp;SUBSTITUTE(Q1364,""Sell_"",""""))))/2),ROUNDUP(INDEX(Upgrades!$C$3:$C$13,MATCH(Q1364,Upgrades!$B$3:$B$13,0))*1.15^(COUNTIF(Q$4:Q1363,Q1364)-COUNTIF(Q$4:Q1363,""Sell_""&amp;Q1364))))))"),"")</f>
        <v/>
      </c>
      <c r="V1364" s="10" t="str">
        <f t="shared" si="11"/>
        <v/>
      </c>
      <c r="W1364" s="68" t="str">
        <f t="shared" si="12"/>
        <v/>
      </c>
      <c r="X1364" s="59" t="str">
        <f t="shared" si="13"/>
        <v/>
      </c>
      <c r="Y1364" s="69" t="str">
        <f t="shared" si="14"/>
        <v/>
      </c>
      <c r="Z1364" s="11"/>
    </row>
    <row r="1365">
      <c r="A1365" s="8"/>
      <c r="B1365" s="56" t="str">
        <f t="shared" si="2"/>
        <v/>
      </c>
      <c r="C1365" s="105"/>
      <c r="D1365" s="10"/>
      <c r="E1365" s="59" t="str">
        <f t="array" ref="E1365">IF(COUNTA(C1365:C1673)=0,"",SUM((COUNTIF(C$4:C1365,Upgrades!$B$3:$B$13)-COUNTIF(C$4:C1365,"Sell_"&amp;Upgrades!$B$3:$B$13))*Upgrades!$D$3:$D$13))</f>
        <v/>
      </c>
      <c r="F1365" s="66" t="str">
        <f>IFERROR(__xludf.DUMMYFUNCTION("IF(COUNTA(C1365:C1673)=0,"""",IF(REGEXMATCH(INDEX(FILTER(C$4:C1365,C$4:C1365&lt;&gt;""""),ROWS(FILTER(C$4:C1365,C$4:C1365&lt;&gt;""""))),""^Sell_""),INDEX(FILTER(F$4:F1364,C$4:C1364&lt;&gt;""""),ROWS(FILTER(C$4:C1364,C$4:C1364&lt;&gt;""""))),$AC$5+E1365))"),"")</f>
        <v/>
      </c>
      <c r="G1365" s="10" t="str">
        <f>IFERROR(__xludf.DUMMYFUNCTION("IF(COUNTA(C1365:C1673)=0,"""",IF(C1365="""",0,IF(REGEXMATCH(C1365,""^Sell_""),-ROUNDDOWN(ROUNDUP(INDEX(Upgrades!$C$3:$C$13,MATCH(SUBSTITUTE(C1365,""Sell_"",""""),Upgrades!$B$3:$B$13,0))*1.15^(COUNTIF(C$4:C1364,SUBSTITUTE(C1365,""Sell_"",""""))-COUNTIF(C$4"&amp;":C1364,""Sell_""&amp;SUBSTITUTE(C1365,""Sell_"",""""))))/2),ROUNDUP(INDEX(Upgrades!$C$3:$C$13,MATCH(C1365,Upgrades!$B$3:$B$13,0))*1.15^(COUNTIF(C$4:C1364,C1365)-COUNTIF(C$4:C1364,""Sell_""&amp;C1365))))))"),"")</f>
        <v/>
      </c>
      <c r="H1365" s="10" t="str">
        <f t="shared" si="3"/>
        <v/>
      </c>
      <c r="I1365" s="68" t="str">
        <f t="shared" si="4"/>
        <v/>
      </c>
      <c r="J1365" s="59" t="str">
        <f t="shared" si="5"/>
        <v/>
      </c>
      <c r="K1365" s="69" t="str">
        <f t="shared" si="6"/>
        <v/>
      </c>
      <c r="L1365" s="60" t="str">
        <f t="shared" si="7"/>
        <v/>
      </c>
      <c r="M1365" s="61" t="str">
        <f>IFERROR(__xludf.DUMMYFUNCTION("IFS(AND(COUNTA(C1365:C1673)=0,COUNTA(Q1365:Q1673)=0),"""",OR(AND(K1365&gt;=1000000000,OR(Y1365&gt;=1000000000,COUNTA(Q1365:Q1673)=0)),OR(Y1365&gt;=1000000000,AND(COUNTA(C1365:C1673)=0,P$3=TRUE))),
ROUNDDOWN((AB$1-AC$1)*MAX(INDEX(T$4:T1673,MATCH(LARGE(FILTER(Y$4:Y1"&amp;"673,Y$4:Y1673&lt;1000000000),1),Y$4:Y1673)),INDEX(F$4:F1673,MATCH(LARGE(FILTER(K$4:K1673,K$4:K1673&lt;1000000000),1),K$4:K1673)))),AND(K1365&lt;1000000000,COUNTA(C1365:C1673)&gt;0,P$3=FALSE),
ROUNDDOWN(INDEX(Y$4:Y1673,MATCH(LARGE(FILTER(W$4:W1673,W$4:W1673&lt;=I1365),1)"&amp;",W$4:W1673))+(I1365-LARGE(FILTER(W$4:W1673,W$4:W1673&lt;=I1365),1))*INDEX(T$4:T1673,MATCH(LARGE(FILTER(W$4:W1673,W$4:W1673&lt;=I1365),1),W$4:W1673))-K1365),1,
ROUNDDOWN(Y1365-INDEX(K$4:K1673,MATCH(LARGE(FILTER(I$4:I1673,I$4:I1673&lt;=W1365),1),I$4:I1673))-(W1365-L"&amp;"ARGE(FILTER(I$4:I1673,I$4:I1673&lt;=W1365),1))*INDEX(F$4:F1673,MATCH(LARGE(FILTER(I$4:I1673,I$4:I1673&lt;=W1365),1),I$4:I1673))))"),"")</f>
        <v/>
      </c>
      <c r="N1365" s="60" t="str">
        <f t="shared" si="8"/>
        <v/>
      </c>
      <c r="O1365" s="61" t="str">
        <f t="shared" si="9"/>
        <v/>
      </c>
      <c r="P1365" s="56" t="str">
        <f t="shared" si="10"/>
        <v/>
      </c>
      <c r="Q1365" s="67"/>
      <c r="R1365" s="10"/>
      <c r="S1365" s="59" t="str">
        <f t="array" ref="S1365">IF(COUNTA(Q1365:Q1673)=0,"",SUM((COUNTIF(Q$4:Q1365,Upgrades!$B$3:$B$13)-COUNTIF(Q$4:Q1365,"Sell_"&amp;Upgrades!$B$3:$B$13))*Upgrades!$D$3:$D$13))</f>
        <v/>
      </c>
      <c r="T1365" s="66" t="str">
        <f>IFERROR(__xludf.DUMMYFUNCTION("IF(COUNTA(Q1365:Q1673)=0,"""",IF(REGEXMATCH(INDEX(FILTER(Q$4:Q1365,Q$4:Q1365&lt;&gt;""""),ROWS(FILTER(Q$4:Q1365,Q$4:Q1365&lt;&gt;""""))),""^Sell_""),INDEX(FILTER(T$4:T1364,Q$4:Q1364&lt;&gt;""""),ROWS(FILTER(Q$4:Q1364,Q$4:Q1364&lt;&gt;""""))),$AD$5+S1365))"),"")</f>
        <v/>
      </c>
      <c r="U1365" s="10" t="str">
        <f>IFERROR(__xludf.DUMMYFUNCTION("IF(COUNTA(Q1365:Q1673)=0,"""",IF(Q1365="""",0,IF(REGEXMATCH(Q1365,""^Sell_""),-ROUNDDOWN(ROUNDUP(INDEX(Upgrades!$C$3:$C$13,MATCH(SUBSTITUTE(Q1365,""Sell_"",""""),Upgrades!$B$3:$B$13,0))*1.15^(COUNTIF(Q$4:Q1364,SUBSTITUTE(Q1365,""Sell_"",""""))-COUNTIF(Q$4"&amp;":Q1364,""Sell_""&amp;SUBSTITUTE(Q1365,""Sell_"",""""))))/2),ROUNDUP(INDEX(Upgrades!$C$3:$C$13,MATCH(Q1365,Upgrades!$B$3:$B$13,0))*1.15^(COUNTIF(Q$4:Q1364,Q1365)-COUNTIF(Q$4:Q1364,""Sell_""&amp;Q1365))))))"),"")</f>
        <v/>
      </c>
      <c r="V1365" s="10" t="str">
        <f t="shared" si="11"/>
        <v/>
      </c>
      <c r="W1365" s="68" t="str">
        <f t="shared" si="12"/>
        <v/>
      </c>
      <c r="X1365" s="59" t="str">
        <f t="shared" si="13"/>
        <v/>
      </c>
      <c r="Y1365" s="69" t="str">
        <f t="shared" si="14"/>
        <v/>
      </c>
      <c r="Z1365" s="11"/>
    </row>
    <row r="1366">
      <c r="A1366" s="8"/>
      <c r="B1366" s="56" t="str">
        <f t="shared" si="2"/>
        <v/>
      </c>
      <c r="C1366" s="105"/>
      <c r="D1366" s="10"/>
      <c r="E1366" s="59" t="str">
        <f t="array" ref="E1366">IF(COUNTA(C1366:C1673)=0,"",SUM((COUNTIF(C$4:C1366,Upgrades!$B$3:$B$13)-COUNTIF(C$4:C1366,"Sell_"&amp;Upgrades!$B$3:$B$13))*Upgrades!$D$3:$D$13))</f>
        <v/>
      </c>
      <c r="F1366" s="66" t="str">
        <f>IFERROR(__xludf.DUMMYFUNCTION("IF(COUNTA(C1366:C1673)=0,"""",IF(REGEXMATCH(INDEX(FILTER(C$4:C1366,C$4:C1366&lt;&gt;""""),ROWS(FILTER(C$4:C1366,C$4:C1366&lt;&gt;""""))),""^Sell_""),INDEX(FILTER(F$4:F1365,C$4:C1365&lt;&gt;""""),ROWS(FILTER(C$4:C1365,C$4:C1365&lt;&gt;""""))),$AC$5+E1366))"),"")</f>
        <v/>
      </c>
      <c r="G1366" s="10" t="str">
        <f>IFERROR(__xludf.DUMMYFUNCTION("IF(COUNTA(C1366:C1673)=0,"""",IF(C1366="""",0,IF(REGEXMATCH(C1366,""^Sell_""),-ROUNDDOWN(ROUNDUP(INDEX(Upgrades!$C$3:$C$13,MATCH(SUBSTITUTE(C1366,""Sell_"",""""),Upgrades!$B$3:$B$13,0))*1.15^(COUNTIF(C$4:C1365,SUBSTITUTE(C1366,""Sell_"",""""))-COUNTIF(C$4"&amp;":C1365,""Sell_""&amp;SUBSTITUTE(C1366,""Sell_"",""""))))/2),ROUNDUP(INDEX(Upgrades!$C$3:$C$13,MATCH(C1366,Upgrades!$B$3:$B$13,0))*1.15^(COUNTIF(C$4:C1365,C1366)-COUNTIF(C$4:C1365,""Sell_""&amp;C1366))))))"),"")</f>
        <v/>
      </c>
      <c r="H1366" s="10" t="str">
        <f t="shared" si="3"/>
        <v/>
      </c>
      <c r="I1366" s="68" t="str">
        <f t="shared" si="4"/>
        <v/>
      </c>
      <c r="J1366" s="59" t="str">
        <f t="shared" si="5"/>
        <v/>
      </c>
      <c r="K1366" s="69" t="str">
        <f t="shared" si="6"/>
        <v/>
      </c>
      <c r="L1366" s="60" t="str">
        <f t="shared" si="7"/>
        <v/>
      </c>
      <c r="M1366" s="61" t="str">
        <f>IFERROR(__xludf.DUMMYFUNCTION("IFS(AND(COUNTA(C1366:C1673)=0,COUNTA(Q1366:Q1673)=0),"""",OR(AND(K1366&gt;=1000000000,OR(Y1366&gt;=1000000000,COUNTA(Q1366:Q1673)=0)),OR(Y1366&gt;=1000000000,AND(COUNTA(C1366:C1673)=0,P$3=TRUE))),
ROUNDDOWN((AB$1-AC$1)*MAX(INDEX(T$4:T1673,MATCH(LARGE(FILTER(Y$4:Y1"&amp;"673,Y$4:Y1673&lt;1000000000),1),Y$4:Y1673)),INDEX(F$4:F1673,MATCH(LARGE(FILTER(K$4:K1673,K$4:K1673&lt;1000000000),1),K$4:K1673)))),AND(K1366&lt;1000000000,COUNTA(C1366:C1673)&gt;0,P$3=FALSE),
ROUNDDOWN(INDEX(Y$4:Y1673,MATCH(LARGE(FILTER(W$4:W1673,W$4:W1673&lt;=I1366),1)"&amp;",W$4:W1673))+(I1366-LARGE(FILTER(W$4:W1673,W$4:W1673&lt;=I1366),1))*INDEX(T$4:T1673,MATCH(LARGE(FILTER(W$4:W1673,W$4:W1673&lt;=I1366),1),W$4:W1673))-K1366),1,
ROUNDDOWN(Y1366-INDEX(K$4:K1673,MATCH(LARGE(FILTER(I$4:I1673,I$4:I1673&lt;=W1366),1),I$4:I1673))-(W1366-L"&amp;"ARGE(FILTER(I$4:I1673,I$4:I1673&lt;=W1366),1))*INDEX(F$4:F1673,MATCH(LARGE(FILTER(I$4:I1673,I$4:I1673&lt;=W1366),1),I$4:I1673))))"),"")</f>
        <v/>
      </c>
      <c r="N1366" s="60" t="str">
        <f t="shared" si="8"/>
        <v/>
      </c>
      <c r="O1366" s="61" t="str">
        <f t="shared" si="9"/>
        <v/>
      </c>
      <c r="P1366" s="56" t="str">
        <f t="shared" si="10"/>
        <v/>
      </c>
      <c r="Q1366" s="67"/>
      <c r="R1366" s="10"/>
      <c r="S1366" s="59" t="str">
        <f t="array" ref="S1366">IF(COUNTA(Q1366:Q1673)=0,"",SUM((COUNTIF(Q$4:Q1366,Upgrades!$B$3:$B$13)-COUNTIF(Q$4:Q1366,"Sell_"&amp;Upgrades!$B$3:$B$13))*Upgrades!$D$3:$D$13))</f>
        <v/>
      </c>
      <c r="T1366" s="66" t="str">
        <f>IFERROR(__xludf.DUMMYFUNCTION("IF(COUNTA(Q1366:Q1673)=0,"""",IF(REGEXMATCH(INDEX(FILTER(Q$4:Q1366,Q$4:Q1366&lt;&gt;""""),ROWS(FILTER(Q$4:Q1366,Q$4:Q1366&lt;&gt;""""))),""^Sell_""),INDEX(FILTER(T$4:T1365,Q$4:Q1365&lt;&gt;""""),ROWS(FILTER(Q$4:Q1365,Q$4:Q1365&lt;&gt;""""))),$AD$5+S1366))"),"")</f>
        <v/>
      </c>
      <c r="U1366" s="10" t="str">
        <f>IFERROR(__xludf.DUMMYFUNCTION("IF(COUNTA(Q1366:Q1673)=0,"""",IF(Q1366="""",0,IF(REGEXMATCH(Q1366,""^Sell_""),-ROUNDDOWN(ROUNDUP(INDEX(Upgrades!$C$3:$C$13,MATCH(SUBSTITUTE(Q1366,""Sell_"",""""),Upgrades!$B$3:$B$13,0))*1.15^(COUNTIF(Q$4:Q1365,SUBSTITUTE(Q1366,""Sell_"",""""))-COUNTIF(Q$4"&amp;":Q1365,""Sell_""&amp;SUBSTITUTE(Q1366,""Sell_"",""""))))/2),ROUNDUP(INDEX(Upgrades!$C$3:$C$13,MATCH(Q1366,Upgrades!$B$3:$B$13,0))*1.15^(COUNTIF(Q$4:Q1365,Q1366)-COUNTIF(Q$4:Q1365,""Sell_""&amp;Q1366))))))"),"")</f>
        <v/>
      </c>
      <c r="V1366" s="10" t="str">
        <f t="shared" si="11"/>
        <v/>
      </c>
      <c r="W1366" s="68" t="str">
        <f t="shared" si="12"/>
        <v/>
      </c>
      <c r="X1366" s="59" t="str">
        <f t="shared" si="13"/>
        <v/>
      </c>
      <c r="Y1366" s="69" t="str">
        <f t="shared" si="14"/>
        <v/>
      </c>
      <c r="Z1366" s="11"/>
    </row>
    <row r="1367">
      <c r="A1367" s="8"/>
      <c r="B1367" s="56" t="str">
        <f t="shared" si="2"/>
        <v/>
      </c>
      <c r="C1367" s="105"/>
      <c r="D1367" s="10"/>
      <c r="E1367" s="59" t="str">
        <f t="array" ref="E1367">IF(COUNTA(C1367:C1673)=0,"",SUM((COUNTIF(C$4:C1367,Upgrades!$B$3:$B$13)-COUNTIF(C$4:C1367,"Sell_"&amp;Upgrades!$B$3:$B$13))*Upgrades!$D$3:$D$13))</f>
        <v/>
      </c>
      <c r="F1367" s="66" t="str">
        <f>IFERROR(__xludf.DUMMYFUNCTION("IF(COUNTA(C1367:C1673)=0,"""",IF(REGEXMATCH(INDEX(FILTER(C$4:C1367,C$4:C1367&lt;&gt;""""),ROWS(FILTER(C$4:C1367,C$4:C1367&lt;&gt;""""))),""^Sell_""),INDEX(FILTER(F$4:F1366,C$4:C1366&lt;&gt;""""),ROWS(FILTER(C$4:C1366,C$4:C1366&lt;&gt;""""))),$AC$5+E1367))"),"")</f>
        <v/>
      </c>
      <c r="G1367" s="10" t="str">
        <f>IFERROR(__xludf.DUMMYFUNCTION("IF(COUNTA(C1367:C1673)=0,"""",IF(C1367="""",0,IF(REGEXMATCH(C1367,""^Sell_""),-ROUNDDOWN(ROUNDUP(INDEX(Upgrades!$C$3:$C$13,MATCH(SUBSTITUTE(C1367,""Sell_"",""""),Upgrades!$B$3:$B$13,0))*1.15^(COUNTIF(C$4:C1366,SUBSTITUTE(C1367,""Sell_"",""""))-COUNTIF(C$4"&amp;":C1366,""Sell_""&amp;SUBSTITUTE(C1367,""Sell_"",""""))))/2),ROUNDUP(INDEX(Upgrades!$C$3:$C$13,MATCH(C1367,Upgrades!$B$3:$B$13,0))*1.15^(COUNTIF(C$4:C1366,C1367)-COUNTIF(C$4:C1366,""Sell_""&amp;C1367))))))"),"")</f>
        <v/>
      </c>
      <c r="H1367" s="10" t="str">
        <f t="shared" si="3"/>
        <v/>
      </c>
      <c r="I1367" s="68" t="str">
        <f t="shared" si="4"/>
        <v/>
      </c>
      <c r="J1367" s="59" t="str">
        <f t="shared" si="5"/>
        <v/>
      </c>
      <c r="K1367" s="69" t="str">
        <f t="shared" si="6"/>
        <v/>
      </c>
      <c r="L1367" s="60" t="str">
        <f t="shared" si="7"/>
        <v/>
      </c>
      <c r="M1367" s="61" t="str">
        <f>IFERROR(__xludf.DUMMYFUNCTION("IFS(AND(COUNTA(C1367:C1673)=0,COUNTA(Q1367:Q1673)=0),"""",OR(AND(K1367&gt;=1000000000,OR(Y1367&gt;=1000000000,COUNTA(Q1367:Q1673)=0)),OR(Y1367&gt;=1000000000,AND(COUNTA(C1367:C1673)=0,P$3=TRUE))),
ROUNDDOWN((AB$1-AC$1)*MAX(INDEX(T$4:T1673,MATCH(LARGE(FILTER(Y$4:Y1"&amp;"673,Y$4:Y1673&lt;1000000000),1),Y$4:Y1673)),INDEX(F$4:F1673,MATCH(LARGE(FILTER(K$4:K1673,K$4:K1673&lt;1000000000),1),K$4:K1673)))),AND(K1367&lt;1000000000,COUNTA(C1367:C1673)&gt;0,P$3=FALSE),
ROUNDDOWN(INDEX(Y$4:Y1673,MATCH(LARGE(FILTER(W$4:W1673,W$4:W1673&lt;=I1367),1)"&amp;",W$4:W1673))+(I1367-LARGE(FILTER(W$4:W1673,W$4:W1673&lt;=I1367),1))*INDEX(T$4:T1673,MATCH(LARGE(FILTER(W$4:W1673,W$4:W1673&lt;=I1367),1),W$4:W1673))-K1367),1,
ROUNDDOWN(Y1367-INDEX(K$4:K1673,MATCH(LARGE(FILTER(I$4:I1673,I$4:I1673&lt;=W1367),1),I$4:I1673))-(W1367-L"&amp;"ARGE(FILTER(I$4:I1673,I$4:I1673&lt;=W1367),1))*INDEX(F$4:F1673,MATCH(LARGE(FILTER(I$4:I1673,I$4:I1673&lt;=W1367),1),I$4:I1673))))"),"")</f>
        <v/>
      </c>
      <c r="N1367" s="60" t="str">
        <f t="shared" si="8"/>
        <v/>
      </c>
      <c r="O1367" s="61" t="str">
        <f t="shared" si="9"/>
        <v/>
      </c>
      <c r="P1367" s="56" t="str">
        <f t="shared" si="10"/>
        <v/>
      </c>
      <c r="Q1367" s="67"/>
      <c r="R1367" s="10"/>
      <c r="S1367" s="59" t="str">
        <f t="array" ref="S1367">IF(COUNTA(Q1367:Q1673)=0,"",SUM((COUNTIF(Q$4:Q1367,Upgrades!$B$3:$B$13)-COUNTIF(Q$4:Q1367,"Sell_"&amp;Upgrades!$B$3:$B$13))*Upgrades!$D$3:$D$13))</f>
        <v/>
      </c>
      <c r="T1367" s="66" t="str">
        <f>IFERROR(__xludf.DUMMYFUNCTION("IF(COUNTA(Q1367:Q1673)=0,"""",IF(REGEXMATCH(INDEX(FILTER(Q$4:Q1367,Q$4:Q1367&lt;&gt;""""),ROWS(FILTER(Q$4:Q1367,Q$4:Q1367&lt;&gt;""""))),""^Sell_""),INDEX(FILTER(T$4:T1366,Q$4:Q1366&lt;&gt;""""),ROWS(FILTER(Q$4:Q1366,Q$4:Q1366&lt;&gt;""""))),$AD$5+S1367))"),"")</f>
        <v/>
      </c>
      <c r="U1367" s="10" t="str">
        <f>IFERROR(__xludf.DUMMYFUNCTION("IF(COUNTA(Q1367:Q1673)=0,"""",IF(Q1367="""",0,IF(REGEXMATCH(Q1367,""^Sell_""),-ROUNDDOWN(ROUNDUP(INDEX(Upgrades!$C$3:$C$13,MATCH(SUBSTITUTE(Q1367,""Sell_"",""""),Upgrades!$B$3:$B$13,0))*1.15^(COUNTIF(Q$4:Q1366,SUBSTITUTE(Q1367,""Sell_"",""""))-COUNTIF(Q$4"&amp;":Q1366,""Sell_""&amp;SUBSTITUTE(Q1367,""Sell_"",""""))))/2),ROUNDUP(INDEX(Upgrades!$C$3:$C$13,MATCH(Q1367,Upgrades!$B$3:$B$13,0))*1.15^(COUNTIF(Q$4:Q1366,Q1367)-COUNTIF(Q$4:Q1366,""Sell_""&amp;Q1367))))))"),"")</f>
        <v/>
      </c>
      <c r="V1367" s="10" t="str">
        <f t="shared" si="11"/>
        <v/>
      </c>
      <c r="W1367" s="68" t="str">
        <f t="shared" si="12"/>
        <v/>
      </c>
      <c r="X1367" s="59" t="str">
        <f t="shared" si="13"/>
        <v/>
      </c>
      <c r="Y1367" s="69" t="str">
        <f t="shared" si="14"/>
        <v/>
      </c>
      <c r="Z1367" s="11"/>
    </row>
    <row r="1368">
      <c r="A1368" s="8"/>
      <c r="B1368" s="56" t="str">
        <f t="shared" si="2"/>
        <v/>
      </c>
      <c r="C1368" s="105"/>
      <c r="D1368" s="10"/>
      <c r="E1368" s="59" t="str">
        <f t="array" ref="E1368">IF(COUNTA(C1368:C1673)=0,"",SUM((COUNTIF(C$4:C1368,Upgrades!$B$3:$B$13)-COUNTIF(C$4:C1368,"Sell_"&amp;Upgrades!$B$3:$B$13))*Upgrades!$D$3:$D$13))</f>
        <v/>
      </c>
      <c r="F1368" s="66" t="str">
        <f>IFERROR(__xludf.DUMMYFUNCTION("IF(COUNTA(C1368:C1673)=0,"""",IF(REGEXMATCH(INDEX(FILTER(C$4:C1368,C$4:C1368&lt;&gt;""""),ROWS(FILTER(C$4:C1368,C$4:C1368&lt;&gt;""""))),""^Sell_""),INDEX(FILTER(F$4:F1367,C$4:C1367&lt;&gt;""""),ROWS(FILTER(C$4:C1367,C$4:C1367&lt;&gt;""""))),$AC$5+E1368))"),"")</f>
        <v/>
      </c>
      <c r="G1368" s="10" t="str">
        <f>IFERROR(__xludf.DUMMYFUNCTION("IF(COUNTA(C1368:C1673)=0,"""",IF(C1368="""",0,IF(REGEXMATCH(C1368,""^Sell_""),-ROUNDDOWN(ROUNDUP(INDEX(Upgrades!$C$3:$C$13,MATCH(SUBSTITUTE(C1368,""Sell_"",""""),Upgrades!$B$3:$B$13,0))*1.15^(COUNTIF(C$4:C1367,SUBSTITUTE(C1368,""Sell_"",""""))-COUNTIF(C$4"&amp;":C1367,""Sell_""&amp;SUBSTITUTE(C1368,""Sell_"",""""))))/2),ROUNDUP(INDEX(Upgrades!$C$3:$C$13,MATCH(C1368,Upgrades!$B$3:$B$13,0))*1.15^(COUNTIF(C$4:C1367,C1368)-COUNTIF(C$4:C1367,""Sell_""&amp;C1368))))))"),"")</f>
        <v/>
      </c>
      <c r="H1368" s="10" t="str">
        <f t="shared" si="3"/>
        <v/>
      </c>
      <c r="I1368" s="68" t="str">
        <f t="shared" si="4"/>
        <v/>
      </c>
      <c r="J1368" s="59" t="str">
        <f t="shared" si="5"/>
        <v/>
      </c>
      <c r="K1368" s="69" t="str">
        <f t="shared" si="6"/>
        <v/>
      </c>
      <c r="L1368" s="60" t="str">
        <f t="shared" si="7"/>
        <v/>
      </c>
      <c r="M1368" s="61" t="str">
        <f>IFERROR(__xludf.DUMMYFUNCTION("IFS(AND(COUNTA(C1368:C1673)=0,COUNTA(Q1368:Q1673)=0),"""",OR(AND(K1368&gt;=1000000000,OR(Y1368&gt;=1000000000,COUNTA(Q1368:Q1673)=0)),OR(Y1368&gt;=1000000000,AND(COUNTA(C1368:C1673)=0,P$3=TRUE))),
ROUNDDOWN((AB$1-AC$1)*MAX(INDEX(T$4:T1673,MATCH(LARGE(FILTER(Y$4:Y1"&amp;"673,Y$4:Y1673&lt;1000000000),1),Y$4:Y1673)),INDEX(F$4:F1673,MATCH(LARGE(FILTER(K$4:K1673,K$4:K1673&lt;1000000000),1),K$4:K1673)))),AND(K1368&lt;1000000000,COUNTA(C1368:C1673)&gt;0,P$3=FALSE),
ROUNDDOWN(INDEX(Y$4:Y1673,MATCH(LARGE(FILTER(W$4:W1673,W$4:W1673&lt;=I1368),1)"&amp;",W$4:W1673))+(I1368-LARGE(FILTER(W$4:W1673,W$4:W1673&lt;=I1368),1))*INDEX(T$4:T1673,MATCH(LARGE(FILTER(W$4:W1673,W$4:W1673&lt;=I1368),1),W$4:W1673))-K1368),1,
ROUNDDOWN(Y1368-INDEX(K$4:K1673,MATCH(LARGE(FILTER(I$4:I1673,I$4:I1673&lt;=W1368),1),I$4:I1673))-(W1368-L"&amp;"ARGE(FILTER(I$4:I1673,I$4:I1673&lt;=W1368),1))*INDEX(F$4:F1673,MATCH(LARGE(FILTER(I$4:I1673,I$4:I1673&lt;=W1368),1),I$4:I1673))))"),"")</f>
        <v/>
      </c>
      <c r="N1368" s="60" t="str">
        <f t="shared" si="8"/>
        <v/>
      </c>
      <c r="O1368" s="61" t="str">
        <f t="shared" si="9"/>
        <v/>
      </c>
      <c r="P1368" s="56" t="str">
        <f t="shared" si="10"/>
        <v/>
      </c>
      <c r="Q1368" s="67"/>
      <c r="R1368" s="10"/>
      <c r="S1368" s="59" t="str">
        <f t="array" ref="S1368">IF(COUNTA(Q1368:Q1673)=0,"",SUM((COUNTIF(Q$4:Q1368,Upgrades!$B$3:$B$13)-COUNTIF(Q$4:Q1368,"Sell_"&amp;Upgrades!$B$3:$B$13))*Upgrades!$D$3:$D$13))</f>
        <v/>
      </c>
      <c r="T1368" s="66" t="str">
        <f>IFERROR(__xludf.DUMMYFUNCTION("IF(COUNTA(Q1368:Q1673)=0,"""",IF(REGEXMATCH(INDEX(FILTER(Q$4:Q1368,Q$4:Q1368&lt;&gt;""""),ROWS(FILTER(Q$4:Q1368,Q$4:Q1368&lt;&gt;""""))),""^Sell_""),INDEX(FILTER(T$4:T1367,Q$4:Q1367&lt;&gt;""""),ROWS(FILTER(Q$4:Q1367,Q$4:Q1367&lt;&gt;""""))),$AD$5+S1368))"),"")</f>
        <v/>
      </c>
      <c r="U1368" s="10" t="str">
        <f>IFERROR(__xludf.DUMMYFUNCTION("IF(COUNTA(Q1368:Q1673)=0,"""",IF(Q1368="""",0,IF(REGEXMATCH(Q1368,""^Sell_""),-ROUNDDOWN(ROUNDUP(INDEX(Upgrades!$C$3:$C$13,MATCH(SUBSTITUTE(Q1368,""Sell_"",""""),Upgrades!$B$3:$B$13,0))*1.15^(COUNTIF(Q$4:Q1367,SUBSTITUTE(Q1368,""Sell_"",""""))-COUNTIF(Q$4"&amp;":Q1367,""Sell_""&amp;SUBSTITUTE(Q1368,""Sell_"",""""))))/2),ROUNDUP(INDEX(Upgrades!$C$3:$C$13,MATCH(Q1368,Upgrades!$B$3:$B$13,0))*1.15^(COUNTIF(Q$4:Q1367,Q1368)-COUNTIF(Q$4:Q1367,""Sell_""&amp;Q1368))))))"),"")</f>
        <v/>
      </c>
      <c r="V1368" s="10" t="str">
        <f t="shared" si="11"/>
        <v/>
      </c>
      <c r="W1368" s="68" t="str">
        <f t="shared" si="12"/>
        <v/>
      </c>
      <c r="X1368" s="59" t="str">
        <f t="shared" si="13"/>
        <v/>
      </c>
      <c r="Y1368" s="69" t="str">
        <f t="shared" si="14"/>
        <v/>
      </c>
      <c r="Z1368" s="11"/>
    </row>
    <row r="1369">
      <c r="A1369" s="8"/>
      <c r="B1369" s="56" t="str">
        <f t="shared" si="2"/>
        <v/>
      </c>
      <c r="C1369" s="105"/>
      <c r="D1369" s="10"/>
      <c r="E1369" s="59" t="str">
        <f t="array" ref="E1369">IF(COUNTA(C1369:C1673)=0,"",SUM((COUNTIF(C$4:C1369,Upgrades!$B$3:$B$13)-COUNTIF(C$4:C1369,"Sell_"&amp;Upgrades!$B$3:$B$13))*Upgrades!$D$3:$D$13))</f>
        <v/>
      </c>
      <c r="F1369" s="66" t="str">
        <f>IFERROR(__xludf.DUMMYFUNCTION("IF(COUNTA(C1369:C1673)=0,"""",IF(REGEXMATCH(INDEX(FILTER(C$4:C1369,C$4:C1369&lt;&gt;""""),ROWS(FILTER(C$4:C1369,C$4:C1369&lt;&gt;""""))),""^Sell_""),INDEX(FILTER(F$4:F1368,C$4:C1368&lt;&gt;""""),ROWS(FILTER(C$4:C1368,C$4:C1368&lt;&gt;""""))),$AC$5+E1369))"),"")</f>
        <v/>
      </c>
      <c r="G1369" s="10" t="str">
        <f>IFERROR(__xludf.DUMMYFUNCTION("IF(COUNTA(C1369:C1673)=0,"""",IF(C1369="""",0,IF(REGEXMATCH(C1369,""^Sell_""),-ROUNDDOWN(ROUNDUP(INDEX(Upgrades!$C$3:$C$13,MATCH(SUBSTITUTE(C1369,""Sell_"",""""),Upgrades!$B$3:$B$13,0))*1.15^(COUNTIF(C$4:C1368,SUBSTITUTE(C1369,""Sell_"",""""))-COUNTIF(C$4"&amp;":C1368,""Sell_""&amp;SUBSTITUTE(C1369,""Sell_"",""""))))/2),ROUNDUP(INDEX(Upgrades!$C$3:$C$13,MATCH(C1369,Upgrades!$B$3:$B$13,0))*1.15^(COUNTIF(C$4:C1368,C1369)-COUNTIF(C$4:C1368,""Sell_""&amp;C1369))))))"),"")</f>
        <v/>
      </c>
      <c r="H1369" s="10" t="str">
        <f t="shared" si="3"/>
        <v/>
      </c>
      <c r="I1369" s="68" t="str">
        <f t="shared" si="4"/>
        <v/>
      </c>
      <c r="J1369" s="59" t="str">
        <f t="shared" si="5"/>
        <v/>
      </c>
      <c r="K1369" s="69" t="str">
        <f t="shared" si="6"/>
        <v/>
      </c>
      <c r="L1369" s="60" t="str">
        <f t="shared" si="7"/>
        <v/>
      </c>
      <c r="M1369" s="61" t="str">
        <f>IFERROR(__xludf.DUMMYFUNCTION("IFS(AND(COUNTA(C1369:C1673)=0,COUNTA(Q1369:Q1673)=0),"""",OR(AND(K1369&gt;=1000000000,OR(Y1369&gt;=1000000000,COUNTA(Q1369:Q1673)=0)),OR(Y1369&gt;=1000000000,AND(COUNTA(C1369:C1673)=0,P$3=TRUE))),
ROUNDDOWN((AB$1-AC$1)*MAX(INDEX(T$4:T1673,MATCH(LARGE(FILTER(Y$4:Y1"&amp;"673,Y$4:Y1673&lt;1000000000),1),Y$4:Y1673)),INDEX(F$4:F1673,MATCH(LARGE(FILTER(K$4:K1673,K$4:K1673&lt;1000000000),1),K$4:K1673)))),AND(K1369&lt;1000000000,COUNTA(C1369:C1673)&gt;0,P$3=FALSE),
ROUNDDOWN(INDEX(Y$4:Y1673,MATCH(LARGE(FILTER(W$4:W1673,W$4:W1673&lt;=I1369),1)"&amp;",W$4:W1673))+(I1369-LARGE(FILTER(W$4:W1673,W$4:W1673&lt;=I1369),1))*INDEX(T$4:T1673,MATCH(LARGE(FILTER(W$4:W1673,W$4:W1673&lt;=I1369),1),W$4:W1673))-K1369),1,
ROUNDDOWN(Y1369-INDEX(K$4:K1673,MATCH(LARGE(FILTER(I$4:I1673,I$4:I1673&lt;=W1369),1),I$4:I1673))-(W1369-L"&amp;"ARGE(FILTER(I$4:I1673,I$4:I1673&lt;=W1369),1))*INDEX(F$4:F1673,MATCH(LARGE(FILTER(I$4:I1673,I$4:I1673&lt;=W1369),1),I$4:I1673))))"),"")</f>
        <v/>
      </c>
      <c r="N1369" s="60" t="str">
        <f t="shared" si="8"/>
        <v/>
      </c>
      <c r="O1369" s="61" t="str">
        <f t="shared" si="9"/>
        <v/>
      </c>
      <c r="P1369" s="56" t="str">
        <f t="shared" si="10"/>
        <v/>
      </c>
      <c r="Q1369" s="67"/>
      <c r="R1369" s="10"/>
      <c r="S1369" s="59" t="str">
        <f t="array" ref="S1369">IF(COUNTA(Q1369:Q1673)=0,"",SUM((COUNTIF(Q$4:Q1369,Upgrades!$B$3:$B$13)-COUNTIF(Q$4:Q1369,"Sell_"&amp;Upgrades!$B$3:$B$13))*Upgrades!$D$3:$D$13))</f>
        <v/>
      </c>
      <c r="T1369" s="66" t="str">
        <f>IFERROR(__xludf.DUMMYFUNCTION("IF(COUNTA(Q1369:Q1673)=0,"""",IF(REGEXMATCH(INDEX(FILTER(Q$4:Q1369,Q$4:Q1369&lt;&gt;""""),ROWS(FILTER(Q$4:Q1369,Q$4:Q1369&lt;&gt;""""))),""^Sell_""),INDEX(FILTER(T$4:T1368,Q$4:Q1368&lt;&gt;""""),ROWS(FILTER(Q$4:Q1368,Q$4:Q1368&lt;&gt;""""))),$AD$5+S1369))"),"")</f>
        <v/>
      </c>
      <c r="U1369" s="10" t="str">
        <f>IFERROR(__xludf.DUMMYFUNCTION("IF(COUNTA(Q1369:Q1673)=0,"""",IF(Q1369="""",0,IF(REGEXMATCH(Q1369,""^Sell_""),-ROUNDDOWN(ROUNDUP(INDEX(Upgrades!$C$3:$C$13,MATCH(SUBSTITUTE(Q1369,""Sell_"",""""),Upgrades!$B$3:$B$13,0))*1.15^(COUNTIF(Q$4:Q1368,SUBSTITUTE(Q1369,""Sell_"",""""))-COUNTIF(Q$4"&amp;":Q1368,""Sell_""&amp;SUBSTITUTE(Q1369,""Sell_"",""""))))/2),ROUNDUP(INDEX(Upgrades!$C$3:$C$13,MATCH(Q1369,Upgrades!$B$3:$B$13,0))*1.15^(COUNTIF(Q$4:Q1368,Q1369)-COUNTIF(Q$4:Q1368,""Sell_""&amp;Q1369))))))"),"")</f>
        <v/>
      </c>
      <c r="V1369" s="10" t="str">
        <f t="shared" si="11"/>
        <v/>
      </c>
      <c r="W1369" s="68" t="str">
        <f t="shared" si="12"/>
        <v/>
      </c>
      <c r="X1369" s="59" t="str">
        <f t="shared" si="13"/>
        <v/>
      </c>
      <c r="Y1369" s="69" t="str">
        <f t="shared" si="14"/>
        <v/>
      </c>
      <c r="Z1369" s="11"/>
    </row>
    <row r="1370">
      <c r="A1370" s="8"/>
      <c r="B1370" s="56" t="str">
        <f t="shared" si="2"/>
        <v/>
      </c>
      <c r="C1370" s="105"/>
      <c r="D1370" s="10"/>
      <c r="E1370" s="59" t="str">
        <f t="array" ref="E1370">IF(COUNTA(C1370:C1673)=0,"",SUM((COUNTIF(C$4:C1370,Upgrades!$B$3:$B$13)-COUNTIF(C$4:C1370,"Sell_"&amp;Upgrades!$B$3:$B$13))*Upgrades!$D$3:$D$13))</f>
        <v/>
      </c>
      <c r="F1370" s="66" t="str">
        <f>IFERROR(__xludf.DUMMYFUNCTION("IF(COUNTA(C1370:C1673)=0,"""",IF(REGEXMATCH(INDEX(FILTER(C$4:C1370,C$4:C1370&lt;&gt;""""),ROWS(FILTER(C$4:C1370,C$4:C1370&lt;&gt;""""))),""^Sell_""),INDEX(FILTER(F$4:F1369,C$4:C1369&lt;&gt;""""),ROWS(FILTER(C$4:C1369,C$4:C1369&lt;&gt;""""))),$AC$5+E1370))"),"")</f>
        <v/>
      </c>
      <c r="G1370" s="10" t="str">
        <f>IFERROR(__xludf.DUMMYFUNCTION("IF(COUNTA(C1370:C1673)=0,"""",IF(C1370="""",0,IF(REGEXMATCH(C1370,""^Sell_""),-ROUNDDOWN(ROUNDUP(INDEX(Upgrades!$C$3:$C$13,MATCH(SUBSTITUTE(C1370,""Sell_"",""""),Upgrades!$B$3:$B$13,0))*1.15^(COUNTIF(C$4:C1369,SUBSTITUTE(C1370,""Sell_"",""""))-COUNTIF(C$4"&amp;":C1369,""Sell_""&amp;SUBSTITUTE(C1370,""Sell_"",""""))))/2),ROUNDUP(INDEX(Upgrades!$C$3:$C$13,MATCH(C1370,Upgrades!$B$3:$B$13,0))*1.15^(COUNTIF(C$4:C1369,C1370)-COUNTIF(C$4:C1369,""Sell_""&amp;C1370))))))"),"")</f>
        <v/>
      </c>
      <c r="H1370" s="10" t="str">
        <f t="shared" si="3"/>
        <v/>
      </c>
      <c r="I1370" s="68" t="str">
        <f t="shared" si="4"/>
        <v/>
      </c>
      <c r="J1370" s="59" t="str">
        <f t="shared" si="5"/>
        <v/>
      </c>
      <c r="K1370" s="69" t="str">
        <f t="shared" si="6"/>
        <v/>
      </c>
      <c r="L1370" s="60" t="str">
        <f t="shared" si="7"/>
        <v/>
      </c>
      <c r="M1370" s="61" t="str">
        <f>IFERROR(__xludf.DUMMYFUNCTION("IFS(AND(COUNTA(C1370:C1673)=0,COUNTA(Q1370:Q1673)=0),"""",OR(AND(K1370&gt;=1000000000,OR(Y1370&gt;=1000000000,COUNTA(Q1370:Q1673)=0)),OR(Y1370&gt;=1000000000,AND(COUNTA(C1370:C1673)=0,P$3=TRUE))),
ROUNDDOWN((AB$1-AC$1)*MAX(INDEX(T$4:T1673,MATCH(LARGE(FILTER(Y$4:Y1"&amp;"673,Y$4:Y1673&lt;1000000000),1),Y$4:Y1673)),INDEX(F$4:F1673,MATCH(LARGE(FILTER(K$4:K1673,K$4:K1673&lt;1000000000),1),K$4:K1673)))),AND(K1370&lt;1000000000,COUNTA(C1370:C1673)&gt;0,P$3=FALSE),
ROUNDDOWN(INDEX(Y$4:Y1673,MATCH(LARGE(FILTER(W$4:W1673,W$4:W1673&lt;=I1370),1)"&amp;",W$4:W1673))+(I1370-LARGE(FILTER(W$4:W1673,W$4:W1673&lt;=I1370),1))*INDEX(T$4:T1673,MATCH(LARGE(FILTER(W$4:W1673,W$4:W1673&lt;=I1370),1),W$4:W1673))-K1370),1,
ROUNDDOWN(Y1370-INDEX(K$4:K1673,MATCH(LARGE(FILTER(I$4:I1673,I$4:I1673&lt;=W1370),1),I$4:I1673))-(W1370-L"&amp;"ARGE(FILTER(I$4:I1673,I$4:I1673&lt;=W1370),1))*INDEX(F$4:F1673,MATCH(LARGE(FILTER(I$4:I1673,I$4:I1673&lt;=W1370),1),I$4:I1673))))"),"")</f>
        <v/>
      </c>
      <c r="N1370" s="60" t="str">
        <f t="shared" si="8"/>
        <v/>
      </c>
      <c r="O1370" s="61" t="str">
        <f t="shared" si="9"/>
        <v/>
      </c>
      <c r="P1370" s="56" t="str">
        <f t="shared" si="10"/>
        <v/>
      </c>
      <c r="Q1370" s="67"/>
      <c r="R1370" s="10"/>
      <c r="S1370" s="59" t="str">
        <f t="array" ref="S1370">IF(COUNTA(Q1370:Q1673)=0,"",SUM((COUNTIF(Q$4:Q1370,Upgrades!$B$3:$B$13)-COUNTIF(Q$4:Q1370,"Sell_"&amp;Upgrades!$B$3:$B$13))*Upgrades!$D$3:$D$13))</f>
        <v/>
      </c>
      <c r="T1370" s="66" t="str">
        <f>IFERROR(__xludf.DUMMYFUNCTION("IF(COUNTA(Q1370:Q1673)=0,"""",IF(REGEXMATCH(INDEX(FILTER(Q$4:Q1370,Q$4:Q1370&lt;&gt;""""),ROWS(FILTER(Q$4:Q1370,Q$4:Q1370&lt;&gt;""""))),""^Sell_""),INDEX(FILTER(T$4:T1369,Q$4:Q1369&lt;&gt;""""),ROWS(FILTER(Q$4:Q1369,Q$4:Q1369&lt;&gt;""""))),$AD$5+S1370))"),"")</f>
        <v/>
      </c>
      <c r="U1370" s="10" t="str">
        <f>IFERROR(__xludf.DUMMYFUNCTION("IF(COUNTA(Q1370:Q1673)=0,"""",IF(Q1370="""",0,IF(REGEXMATCH(Q1370,""^Sell_""),-ROUNDDOWN(ROUNDUP(INDEX(Upgrades!$C$3:$C$13,MATCH(SUBSTITUTE(Q1370,""Sell_"",""""),Upgrades!$B$3:$B$13,0))*1.15^(COUNTIF(Q$4:Q1369,SUBSTITUTE(Q1370,""Sell_"",""""))-COUNTIF(Q$4"&amp;":Q1369,""Sell_""&amp;SUBSTITUTE(Q1370,""Sell_"",""""))))/2),ROUNDUP(INDEX(Upgrades!$C$3:$C$13,MATCH(Q1370,Upgrades!$B$3:$B$13,0))*1.15^(COUNTIF(Q$4:Q1369,Q1370)-COUNTIF(Q$4:Q1369,""Sell_""&amp;Q1370))))))"),"")</f>
        <v/>
      </c>
      <c r="V1370" s="10" t="str">
        <f t="shared" si="11"/>
        <v/>
      </c>
      <c r="W1370" s="68" t="str">
        <f t="shared" si="12"/>
        <v/>
      </c>
      <c r="X1370" s="59" t="str">
        <f t="shared" si="13"/>
        <v/>
      </c>
      <c r="Y1370" s="69" t="str">
        <f t="shared" si="14"/>
        <v/>
      </c>
      <c r="Z1370" s="11"/>
    </row>
    <row r="1371">
      <c r="A1371" s="8"/>
      <c r="B1371" s="56" t="str">
        <f t="shared" si="2"/>
        <v/>
      </c>
      <c r="C1371" s="105"/>
      <c r="D1371" s="10"/>
      <c r="E1371" s="59" t="str">
        <f t="array" ref="E1371">IF(COUNTA(C1371:C1673)=0,"",SUM((COUNTIF(C$4:C1371,Upgrades!$B$3:$B$13)-COUNTIF(C$4:C1371,"Sell_"&amp;Upgrades!$B$3:$B$13))*Upgrades!$D$3:$D$13))</f>
        <v/>
      </c>
      <c r="F1371" s="66" t="str">
        <f>IFERROR(__xludf.DUMMYFUNCTION("IF(COUNTA(C1371:C1673)=0,"""",IF(REGEXMATCH(INDEX(FILTER(C$4:C1371,C$4:C1371&lt;&gt;""""),ROWS(FILTER(C$4:C1371,C$4:C1371&lt;&gt;""""))),""^Sell_""),INDEX(FILTER(F$4:F1370,C$4:C1370&lt;&gt;""""),ROWS(FILTER(C$4:C1370,C$4:C1370&lt;&gt;""""))),$AC$5+E1371))"),"")</f>
        <v/>
      </c>
      <c r="G1371" s="10" t="str">
        <f>IFERROR(__xludf.DUMMYFUNCTION("IF(COUNTA(C1371:C1673)=0,"""",IF(C1371="""",0,IF(REGEXMATCH(C1371,""^Sell_""),-ROUNDDOWN(ROUNDUP(INDEX(Upgrades!$C$3:$C$13,MATCH(SUBSTITUTE(C1371,""Sell_"",""""),Upgrades!$B$3:$B$13,0))*1.15^(COUNTIF(C$4:C1370,SUBSTITUTE(C1371,""Sell_"",""""))-COUNTIF(C$4"&amp;":C1370,""Sell_""&amp;SUBSTITUTE(C1371,""Sell_"",""""))))/2),ROUNDUP(INDEX(Upgrades!$C$3:$C$13,MATCH(C1371,Upgrades!$B$3:$B$13,0))*1.15^(COUNTIF(C$4:C1370,C1371)-COUNTIF(C$4:C1370,""Sell_""&amp;C1371))))))"),"")</f>
        <v/>
      </c>
      <c r="H1371" s="10" t="str">
        <f t="shared" si="3"/>
        <v/>
      </c>
      <c r="I1371" s="68" t="str">
        <f t="shared" si="4"/>
        <v/>
      </c>
      <c r="J1371" s="59" t="str">
        <f t="shared" si="5"/>
        <v/>
      </c>
      <c r="K1371" s="69" t="str">
        <f t="shared" si="6"/>
        <v/>
      </c>
      <c r="L1371" s="60" t="str">
        <f t="shared" si="7"/>
        <v/>
      </c>
      <c r="M1371" s="61" t="str">
        <f>IFERROR(__xludf.DUMMYFUNCTION("IFS(AND(COUNTA(C1371:C1673)=0,COUNTA(Q1371:Q1673)=0),"""",OR(AND(K1371&gt;=1000000000,OR(Y1371&gt;=1000000000,COUNTA(Q1371:Q1673)=0)),OR(Y1371&gt;=1000000000,AND(COUNTA(C1371:C1673)=0,P$3=TRUE))),
ROUNDDOWN((AB$1-AC$1)*MAX(INDEX(T$4:T1673,MATCH(LARGE(FILTER(Y$4:Y1"&amp;"673,Y$4:Y1673&lt;1000000000),1),Y$4:Y1673)),INDEX(F$4:F1673,MATCH(LARGE(FILTER(K$4:K1673,K$4:K1673&lt;1000000000),1),K$4:K1673)))),AND(K1371&lt;1000000000,COUNTA(C1371:C1673)&gt;0,P$3=FALSE),
ROUNDDOWN(INDEX(Y$4:Y1673,MATCH(LARGE(FILTER(W$4:W1673,W$4:W1673&lt;=I1371),1)"&amp;",W$4:W1673))+(I1371-LARGE(FILTER(W$4:W1673,W$4:W1673&lt;=I1371),1))*INDEX(T$4:T1673,MATCH(LARGE(FILTER(W$4:W1673,W$4:W1673&lt;=I1371),1),W$4:W1673))-K1371),1,
ROUNDDOWN(Y1371-INDEX(K$4:K1673,MATCH(LARGE(FILTER(I$4:I1673,I$4:I1673&lt;=W1371),1),I$4:I1673))-(W1371-L"&amp;"ARGE(FILTER(I$4:I1673,I$4:I1673&lt;=W1371),1))*INDEX(F$4:F1673,MATCH(LARGE(FILTER(I$4:I1673,I$4:I1673&lt;=W1371),1),I$4:I1673))))"),"")</f>
        <v/>
      </c>
      <c r="N1371" s="60" t="str">
        <f t="shared" si="8"/>
        <v/>
      </c>
      <c r="O1371" s="61" t="str">
        <f t="shared" si="9"/>
        <v/>
      </c>
      <c r="P1371" s="56" t="str">
        <f t="shared" si="10"/>
        <v/>
      </c>
      <c r="Q1371" s="67"/>
      <c r="R1371" s="10"/>
      <c r="S1371" s="59" t="str">
        <f t="array" ref="S1371">IF(COUNTA(Q1371:Q1673)=0,"",SUM((COUNTIF(Q$4:Q1371,Upgrades!$B$3:$B$13)-COUNTIF(Q$4:Q1371,"Sell_"&amp;Upgrades!$B$3:$B$13))*Upgrades!$D$3:$D$13))</f>
        <v/>
      </c>
      <c r="T1371" s="66" t="str">
        <f>IFERROR(__xludf.DUMMYFUNCTION("IF(COUNTA(Q1371:Q1673)=0,"""",IF(REGEXMATCH(INDEX(FILTER(Q$4:Q1371,Q$4:Q1371&lt;&gt;""""),ROWS(FILTER(Q$4:Q1371,Q$4:Q1371&lt;&gt;""""))),""^Sell_""),INDEX(FILTER(T$4:T1370,Q$4:Q1370&lt;&gt;""""),ROWS(FILTER(Q$4:Q1370,Q$4:Q1370&lt;&gt;""""))),$AD$5+S1371))"),"")</f>
        <v/>
      </c>
      <c r="U1371" s="10" t="str">
        <f>IFERROR(__xludf.DUMMYFUNCTION("IF(COUNTA(Q1371:Q1673)=0,"""",IF(Q1371="""",0,IF(REGEXMATCH(Q1371,""^Sell_""),-ROUNDDOWN(ROUNDUP(INDEX(Upgrades!$C$3:$C$13,MATCH(SUBSTITUTE(Q1371,""Sell_"",""""),Upgrades!$B$3:$B$13,0))*1.15^(COUNTIF(Q$4:Q1370,SUBSTITUTE(Q1371,""Sell_"",""""))-COUNTIF(Q$4"&amp;":Q1370,""Sell_""&amp;SUBSTITUTE(Q1371,""Sell_"",""""))))/2),ROUNDUP(INDEX(Upgrades!$C$3:$C$13,MATCH(Q1371,Upgrades!$B$3:$B$13,0))*1.15^(COUNTIF(Q$4:Q1370,Q1371)-COUNTIF(Q$4:Q1370,""Sell_""&amp;Q1371))))))"),"")</f>
        <v/>
      </c>
      <c r="V1371" s="10" t="str">
        <f t="shared" si="11"/>
        <v/>
      </c>
      <c r="W1371" s="68" t="str">
        <f t="shared" si="12"/>
        <v/>
      </c>
      <c r="X1371" s="59" t="str">
        <f t="shared" si="13"/>
        <v/>
      </c>
      <c r="Y1371" s="69" t="str">
        <f t="shared" si="14"/>
        <v/>
      </c>
      <c r="Z1371" s="11"/>
    </row>
    <row r="1372">
      <c r="A1372" s="8"/>
      <c r="B1372" s="56" t="str">
        <f t="shared" si="2"/>
        <v/>
      </c>
      <c r="C1372" s="105"/>
      <c r="D1372" s="10"/>
      <c r="E1372" s="59" t="str">
        <f t="array" ref="E1372">IF(COUNTA(C1372:C1673)=0,"",SUM((COUNTIF(C$4:C1372,Upgrades!$B$3:$B$13)-COUNTIF(C$4:C1372,"Sell_"&amp;Upgrades!$B$3:$B$13))*Upgrades!$D$3:$D$13))</f>
        <v/>
      </c>
      <c r="F1372" s="66" t="str">
        <f>IFERROR(__xludf.DUMMYFUNCTION("IF(COUNTA(C1372:C1673)=0,"""",IF(REGEXMATCH(INDEX(FILTER(C$4:C1372,C$4:C1372&lt;&gt;""""),ROWS(FILTER(C$4:C1372,C$4:C1372&lt;&gt;""""))),""^Sell_""),INDEX(FILTER(F$4:F1371,C$4:C1371&lt;&gt;""""),ROWS(FILTER(C$4:C1371,C$4:C1371&lt;&gt;""""))),$AC$5+E1372))"),"")</f>
        <v/>
      </c>
      <c r="G1372" s="10" t="str">
        <f>IFERROR(__xludf.DUMMYFUNCTION("IF(COUNTA(C1372:C1673)=0,"""",IF(C1372="""",0,IF(REGEXMATCH(C1372,""^Sell_""),-ROUNDDOWN(ROUNDUP(INDEX(Upgrades!$C$3:$C$13,MATCH(SUBSTITUTE(C1372,""Sell_"",""""),Upgrades!$B$3:$B$13,0))*1.15^(COUNTIF(C$4:C1371,SUBSTITUTE(C1372,""Sell_"",""""))-COUNTIF(C$4"&amp;":C1371,""Sell_""&amp;SUBSTITUTE(C1372,""Sell_"",""""))))/2),ROUNDUP(INDEX(Upgrades!$C$3:$C$13,MATCH(C1372,Upgrades!$B$3:$B$13,0))*1.15^(COUNTIF(C$4:C1371,C1372)-COUNTIF(C$4:C1371,""Sell_""&amp;C1372))))))"),"")</f>
        <v/>
      </c>
      <c r="H1372" s="10" t="str">
        <f t="shared" si="3"/>
        <v/>
      </c>
      <c r="I1372" s="68" t="str">
        <f t="shared" si="4"/>
        <v/>
      </c>
      <c r="J1372" s="59" t="str">
        <f t="shared" si="5"/>
        <v/>
      </c>
      <c r="K1372" s="69" t="str">
        <f t="shared" si="6"/>
        <v/>
      </c>
      <c r="L1372" s="60" t="str">
        <f t="shared" si="7"/>
        <v/>
      </c>
      <c r="M1372" s="61" t="str">
        <f>IFERROR(__xludf.DUMMYFUNCTION("IFS(AND(COUNTA(C1372:C1673)=0,COUNTA(Q1372:Q1673)=0),"""",OR(AND(K1372&gt;=1000000000,OR(Y1372&gt;=1000000000,COUNTA(Q1372:Q1673)=0)),OR(Y1372&gt;=1000000000,AND(COUNTA(C1372:C1673)=0,P$3=TRUE))),
ROUNDDOWN((AB$1-AC$1)*MAX(INDEX(T$4:T1673,MATCH(LARGE(FILTER(Y$4:Y1"&amp;"673,Y$4:Y1673&lt;1000000000),1),Y$4:Y1673)),INDEX(F$4:F1673,MATCH(LARGE(FILTER(K$4:K1673,K$4:K1673&lt;1000000000),1),K$4:K1673)))),AND(K1372&lt;1000000000,COUNTA(C1372:C1673)&gt;0,P$3=FALSE),
ROUNDDOWN(INDEX(Y$4:Y1673,MATCH(LARGE(FILTER(W$4:W1673,W$4:W1673&lt;=I1372),1)"&amp;",W$4:W1673))+(I1372-LARGE(FILTER(W$4:W1673,W$4:W1673&lt;=I1372),1))*INDEX(T$4:T1673,MATCH(LARGE(FILTER(W$4:W1673,W$4:W1673&lt;=I1372),1),W$4:W1673))-K1372),1,
ROUNDDOWN(Y1372-INDEX(K$4:K1673,MATCH(LARGE(FILTER(I$4:I1673,I$4:I1673&lt;=W1372),1),I$4:I1673))-(W1372-L"&amp;"ARGE(FILTER(I$4:I1673,I$4:I1673&lt;=W1372),1))*INDEX(F$4:F1673,MATCH(LARGE(FILTER(I$4:I1673,I$4:I1673&lt;=W1372),1),I$4:I1673))))"),"")</f>
        <v/>
      </c>
      <c r="N1372" s="60" t="str">
        <f t="shared" si="8"/>
        <v/>
      </c>
      <c r="O1372" s="61" t="str">
        <f t="shared" si="9"/>
        <v/>
      </c>
      <c r="P1372" s="56" t="str">
        <f t="shared" si="10"/>
        <v/>
      </c>
      <c r="Q1372" s="67"/>
      <c r="R1372" s="10"/>
      <c r="S1372" s="59" t="str">
        <f t="array" ref="S1372">IF(COUNTA(Q1372:Q1673)=0,"",SUM((COUNTIF(Q$4:Q1372,Upgrades!$B$3:$B$13)-COUNTIF(Q$4:Q1372,"Sell_"&amp;Upgrades!$B$3:$B$13))*Upgrades!$D$3:$D$13))</f>
        <v/>
      </c>
      <c r="T1372" s="66" t="str">
        <f>IFERROR(__xludf.DUMMYFUNCTION("IF(COUNTA(Q1372:Q1673)=0,"""",IF(REGEXMATCH(INDEX(FILTER(Q$4:Q1372,Q$4:Q1372&lt;&gt;""""),ROWS(FILTER(Q$4:Q1372,Q$4:Q1372&lt;&gt;""""))),""^Sell_""),INDEX(FILTER(T$4:T1371,Q$4:Q1371&lt;&gt;""""),ROWS(FILTER(Q$4:Q1371,Q$4:Q1371&lt;&gt;""""))),$AD$5+S1372))"),"")</f>
        <v/>
      </c>
      <c r="U1372" s="10" t="str">
        <f>IFERROR(__xludf.DUMMYFUNCTION("IF(COUNTA(Q1372:Q1673)=0,"""",IF(Q1372="""",0,IF(REGEXMATCH(Q1372,""^Sell_""),-ROUNDDOWN(ROUNDUP(INDEX(Upgrades!$C$3:$C$13,MATCH(SUBSTITUTE(Q1372,""Sell_"",""""),Upgrades!$B$3:$B$13,0))*1.15^(COUNTIF(Q$4:Q1371,SUBSTITUTE(Q1372,""Sell_"",""""))-COUNTIF(Q$4"&amp;":Q1371,""Sell_""&amp;SUBSTITUTE(Q1372,""Sell_"",""""))))/2),ROUNDUP(INDEX(Upgrades!$C$3:$C$13,MATCH(Q1372,Upgrades!$B$3:$B$13,0))*1.15^(COUNTIF(Q$4:Q1371,Q1372)-COUNTIF(Q$4:Q1371,""Sell_""&amp;Q1372))))))"),"")</f>
        <v/>
      </c>
      <c r="V1372" s="10" t="str">
        <f t="shared" si="11"/>
        <v/>
      </c>
      <c r="W1372" s="68" t="str">
        <f t="shared" si="12"/>
        <v/>
      </c>
      <c r="X1372" s="59" t="str">
        <f t="shared" si="13"/>
        <v/>
      </c>
      <c r="Y1372" s="69" t="str">
        <f t="shared" si="14"/>
        <v/>
      </c>
      <c r="Z1372" s="11"/>
    </row>
    <row r="1373">
      <c r="A1373" s="8"/>
      <c r="B1373" s="56" t="str">
        <f t="shared" si="2"/>
        <v/>
      </c>
      <c r="C1373" s="105"/>
      <c r="D1373" s="10"/>
      <c r="E1373" s="59" t="str">
        <f t="array" ref="E1373">IF(COUNTA(C1373:C1673)=0,"",SUM((COUNTIF(C$4:C1373,Upgrades!$B$3:$B$13)-COUNTIF(C$4:C1373,"Sell_"&amp;Upgrades!$B$3:$B$13))*Upgrades!$D$3:$D$13))</f>
        <v/>
      </c>
      <c r="F1373" s="66" t="str">
        <f>IFERROR(__xludf.DUMMYFUNCTION("IF(COUNTA(C1373:C1673)=0,"""",IF(REGEXMATCH(INDEX(FILTER(C$4:C1373,C$4:C1373&lt;&gt;""""),ROWS(FILTER(C$4:C1373,C$4:C1373&lt;&gt;""""))),""^Sell_""),INDEX(FILTER(F$4:F1372,C$4:C1372&lt;&gt;""""),ROWS(FILTER(C$4:C1372,C$4:C1372&lt;&gt;""""))),$AC$5+E1373))"),"")</f>
        <v/>
      </c>
      <c r="G1373" s="10" t="str">
        <f>IFERROR(__xludf.DUMMYFUNCTION("IF(COUNTA(C1373:C1673)=0,"""",IF(C1373="""",0,IF(REGEXMATCH(C1373,""^Sell_""),-ROUNDDOWN(ROUNDUP(INDEX(Upgrades!$C$3:$C$13,MATCH(SUBSTITUTE(C1373,""Sell_"",""""),Upgrades!$B$3:$B$13,0))*1.15^(COUNTIF(C$4:C1372,SUBSTITUTE(C1373,""Sell_"",""""))-COUNTIF(C$4"&amp;":C1372,""Sell_""&amp;SUBSTITUTE(C1373,""Sell_"",""""))))/2),ROUNDUP(INDEX(Upgrades!$C$3:$C$13,MATCH(C1373,Upgrades!$B$3:$B$13,0))*1.15^(COUNTIF(C$4:C1372,C1373)-COUNTIF(C$4:C1372,""Sell_""&amp;C1373))))))"),"")</f>
        <v/>
      </c>
      <c r="H1373" s="10" t="str">
        <f t="shared" si="3"/>
        <v/>
      </c>
      <c r="I1373" s="68" t="str">
        <f t="shared" si="4"/>
        <v/>
      </c>
      <c r="J1373" s="59" t="str">
        <f t="shared" si="5"/>
        <v/>
      </c>
      <c r="K1373" s="69" t="str">
        <f t="shared" si="6"/>
        <v/>
      </c>
      <c r="L1373" s="60" t="str">
        <f t="shared" si="7"/>
        <v/>
      </c>
      <c r="M1373" s="61" t="str">
        <f>IFERROR(__xludf.DUMMYFUNCTION("IFS(AND(COUNTA(C1373:C1673)=0,COUNTA(Q1373:Q1673)=0),"""",OR(AND(K1373&gt;=1000000000,OR(Y1373&gt;=1000000000,COUNTA(Q1373:Q1673)=0)),OR(Y1373&gt;=1000000000,AND(COUNTA(C1373:C1673)=0,P$3=TRUE))),
ROUNDDOWN((AB$1-AC$1)*MAX(INDEX(T$4:T1673,MATCH(LARGE(FILTER(Y$4:Y1"&amp;"673,Y$4:Y1673&lt;1000000000),1),Y$4:Y1673)),INDEX(F$4:F1673,MATCH(LARGE(FILTER(K$4:K1673,K$4:K1673&lt;1000000000),1),K$4:K1673)))),AND(K1373&lt;1000000000,COUNTA(C1373:C1673)&gt;0,P$3=FALSE),
ROUNDDOWN(INDEX(Y$4:Y1673,MATCH(LARGE(FILTER(W$4:W1673,W$4:W1673&lt;=I1373),1)"&amp;",W$4:W1673))+(I1373-LARGE(FILTER(W$4:W1673,W$4:W1673&lt;=I1373),1))*INDEX(T$4:T1673,MATCH(LARGE(FILTER(W$4:W1673,W$4:W1673&lt;=I1373),1),W$4:W1673))-K1373),1,
ROUNDDOWN(Y1373-INDEX(K$4:K1673,MATCH(LARGE(FILTER(I$4:I1673,I$4:I1673&lt;=W1373),1),I$4:I1673))-(W1373-L"&amp;"ARGE(FILTER(I$4:I1673,I$4:I1673&lt;=W1373),1))*INDEX(F$4:F1673,MATCH(LARGE(FILTER(I$4:I1673,I$4:I1673&lt;=W1373),1),I$4:I1673))))"),"")</f>
        <v/>
      </c>
      <c r="N1373" s="60" t="str">
        <f t="shared" si="8"/>
        <v/>
      </c>
      <c r="O1373" s="61" t="str">
        <f t="shared" si="9"/>
        <v/>
      </c>
      <c r="P1373" s="56" t="str">
        <f t="shared" si="10"/>
        <v/>
      </c>
      <c r="Q1373" s="67"/>
      <c r="R1373" s="10"/>
      <c r="S1373" s="59" t="str">
        <f t="array" ref="S1373">IF(COUNTA(Q1373:Q1673)=0,"",SUM((COUNTIF(Q$4:Q1373,Upgrades!$B$3:$B$13)-COUNTIF(Q$4:Q1373,"Sell_"&amp;Upgrades!$B$3:$B$13))*Upgrades!$D$3:$D$13))</f>
        <v/>
      </c>
      <c r="T1373" s="66" t="str">
        <f>IFERROR(__xludf.DUMMYFUNCTION("IF(COUNTA(Q1373:Q1673)=0,"""",IF(REGEXMATCH(INDEX(FILTER(Q$4:Q1373,Q$4:Q1373&lt;&gt;""""),ROWS(FILTER(Q$4:Q1373,Q$4:Q1373&lt;&gt;""""))),""^Sell_""),INDEX(FILTER(T$4:T1372,Q$4:Q1372&lt;&gt;""""),ROWS(FILTER(Q$4:Q1372,Q$4:Q1372&lt;&gt;""""))),$AD$5+S1373))"),"")</f>
        <v/>
      </c>
      <c r="U1373" s="10" t="str">
        <f>IFERROR(__xludf.DUMMYFUNCTION("IF(COUNTA(Q1373:Q1673)=0,"""",IF(Q1373="""",0,IF(REGEXMATCH(Q1373,""^Sell_""),-ROUNDDOWN(ROUNDUP(INDEX(Upgrades!$C$3:$C$13,MATCH(SUBSTITUTE(Q1373,""Sell_"",""""),Upgrades!$B$3:$B$13,0))*1.15^(COUNTIF(Q$4:Q1372,SUBSTITUTE(Q1373,""Sell_"",""""))-COUNTIF(Q$4"&amp;":Q1372,""Sell_""&amp;SUBSTITUTE(Q1373,""Sell_"",""""))))/2),ROUNDUP(INDEX(Upgrades!$C$3:$C$13,MATCH(Q1373,Upgrades!$B$3:$B$13,0))*1.15^(COUNTIF(Q$4:Q1372,Q1373)-COUNTIF(Q$4:Q1372,""Sell_""&amp;Q1373))))))"),"")</f>
        <v/>
      </c>
      <c r="V1373" s="10" t="str">
        <f t="shared" si="11"/>
        <v/>
      </c>
      <c r="W1373" s="68" t="str">
        <f t="shared" si="12"/>
        <v/>
      </c>
      <c r="X1373" s="59" t="str">
        <f t="shared" si="13"/>
        <v/>
      </c>
      <c r="Y1373" s="69" t="str">
        <f t="shared" si="14"/>
        <v/>
      </c>
      <c r="Z1373" s="11"/>
    </row>
    <row r="1374">
      <c r="A1374" s="8"/>
      <c r="B1374" s="56" t="str">
        <f t="shared" si="2"/>
        <v/>
      </c>
      <c r="C1374" s="105"/>
      <c r="D1374" s="10"/>
      <c r="E1374" s="59" t="str">
        <f t="array" ref="E1374">IF(COUNTA(C1374:C1673)=0,"",SUM((COUNTIF(C$4:C1374,Upgrades!$B$3:$B$13)-COUNTIF(C$4:C1374,"Sell_"&amp;Upgrades!$B$3:$B$13))*Upgrades!$D$3:$D$13))</f>
        <v/>
      </c>
      <c r="F1374" s="66" t="str">
        <f>IFERROR(__xludf.DUMMYFUNCTION("IF(COUNTA(C1374:C1673)=0,"""",IF(REGEXMATCH(INDEX(FILTER(C$4:C1374,C$4:C1374&lt;&gt;""""),ROWS(FILTER(C$4:C1374,C$4:C1374&lt;&gt;""""))),""^Sell_""),INDEX(FILTER(F$4:F1373,C$4:C1373&lt;&gt;""""),ROWS(FILTER(C$4:C1373,C$4:C1373&lt;&gt;""""))),$AC$5+E1374))"),"")</f>
        <v/>
      </c>
      <c r="G1374" s="10" t="str">
        <f>IFERROR(__xludf.DUMMYFUNCTION("IF(COUNTA(C1374:C1673)=0,"""",IF(C1374="""",0,IF(REGEXMATCH(C1374,""^Sell_""),-ROUNDDOWN(ROUNDUP(INDEX(Upgrades!$C$3:$C$13,MATCH(SUBSTITUTE(C1374,""Sell_"",""""),Upgrades!$B$3:$B$13,0))*1.15^(COUNTIF(C$4:C1373,SUBSTITUTE(C1374,""Sell_"",""""))-COUNTIF(C$4"&amp;":C1373,""Sell_""&amp;SUBSTITUTE(C1374,""Sell_"",""""))))/2),ROUNDUP(INDEX(Upgrades!$C$3:$C$13,MATCH(C1374,Upgrades!$B$3:$B$13,0))*1.15^(COUNTIF(C$4:C1373,C1374)-COUNTIF(C$4:C1373,""Sell_""&amp;C1374))))))"),"")</f>
        <v/>
      </c>
      <c r="H1374" s="10" t="str">
        <f t="shared" si="3"/>
        <v/>
      </c>
      <c r="I1374" s="68" t="str">
        <f t="shared" si="4"/>
        <v/>
      </c>
      <c r="J1374" s="59" t="str">
        <f t="shared" si="5"/>
        <v/>
      </c>
      <c r="K1374" s="69" t="str">
        <f t="shared" si="6"/>
        <v/>
      </c>
      <c r="L1374" s="60" t="str">
        <f t="shared" si="7"/>
        <v/>
      </c>
      <c r="M1374" s="61" t="str">
        <f>IFERROR(__xludf.DUMMYFUNCTION("IFS(AND(COUNTA(C1374:C1673)=0,COUNTA(Q1374:Q1673)=0),"""",OR(AND(K1374&gt;=1000000000,OR(Y1374&gt;=1000000000,COUNTA(Q1374:Q1673)=0)),OR(Y1374&gt;=1000000000,AND(COUNTA(C1374:C1673)=0,P$3=TRUE))),
ROUNDDOWN((AB$1-AC$1)*MAX(INDEX(T$4:T1673,MATCH(LARGE(FILTER(Y$4:Y1"&amp;"673,Y$4:Y1673&lt;1000000000),1),Y$4:Y1673)),INDEX(F$4:F1673,MATCH(LARGE(FILTER(K$4:K1673,K$4:K1673&lt;1000000000),1),K$4:K1673)))),AND(K1374&lt;1000000000,COUNTA(C1374:C1673)&gt;0,P$3=FALSE),
ROUNDDOWN(INDEX(Y$4:Y1673,MATCH(LARGE(FILTER(W$4:W1673,W$4:W1673&lt;=I1374),1)"&amp;",W$4:W1673))+(I1374-LARGE(FILTER(W$4:W1673,W$4:W1673&lt;=I1374),1))*INDEX(T$4:T1673,MATCH(LARGE(FILTER(W$4:W1673,W$4:W1673&lt;=I1374),1),W$4:W1673))-K1374),1,
ROUNDDOWN(Y1374-INDEX(K$4:K1673,MATCH(LARGE(FILTER(I$4:I1673,I$4:I1673&lt;=W1374),1),I$4:I1673))-(W1374-L"&amp;"ARGE(FILTER(I$4:I1673,I$4:I1673&lt;=W1374),1))*INDEX(F$4:F1673,MATCH(LARGE(FILTER(I$4:I1673,I$4:I1673&lt;=W1374),1),I$4:I1673))))"),"")</f>
        <v/>
      </c>
      <c r="N1374" s="60" t="str">
        <f t="shared" si="8"/>
        <v/>
      </c>
      <c r="O1374" s="61" t="str">
        <f t="shared" si="9"/>
        <v/>
      </c>
      <c r="P1374" s="56" t="str">
        <f t="shared" si="10"/>
        <v/>
      </c>
      <c r="Q1374" s="67"/>
      <c r="R1374" s="10"/>
      <c r="S1374" s="59" t="str">
        <f t="array" ref="S1374">IF(COUNTA(Q1374:Q1673)=0,"",SUM((COUNTIF(Q$4:Q1374,Upgrades!$B$3:$B$13)-COUNTIF(Q$4:Q1374,"Sell_"&amp;Upgrades!$B$3:$B$13))*Upgrades!$D$3:$D$13))</f>
        <v/>
      </c>
      <c r="T1374" s="66" t="str">
        <f>IFERROR(__xludf.DUMMYFUNCTION("IF(COUNTA(Q1374:Q1673)=0,"""",IF(REGEXMATCH(INDEX(FILTER(Q$4:Q1374,Q$4:Q1374&lt;&gt;""""),ROWS(FILTER(Q$4:Q1374,Q$4:Q1374&lt;&gt;""""))),""^Sell_""),INDEX(FILTER(T$4:T1373,Q$4:Q1373&lt;&gt;""""),ROWS(FILTER(Q$4:Q1373,Q$4:Q1373&lt;&gt;""""))),$AD$5+S1374))"),"")</f>
        <v/>
      </c>
      <c r="U1374" s="10" t="str">
        <f>IFERROR(__xludf.DUMMYFUNCTION("IF(COUNTA(Q1374:Q1673)=0,"""",IF(Q1374="""",0,IF(REGEXMATCH(Q1374,""^Sell_""),-ROUNDDOWN(ROUNDUP(INDEX(Upgrades!$C$3:$C$13,MATCH(SUBSTITUTE(Q1374,""Sell_"",""""),Upgrades!$B$3:$B$13,0))*1.15^(COUNTIF(Q$4:Q1373,SUBSTITUTE(Q1374,""Sell_"",""""))-COUNTIF(Q$4"&amp;":Q1373,""Sell_""&amp;SUBSTITUTE(Q1374,""Sell_"",""""))))/2),ROUNDUP(INDEX(Upgrades!$C$3:$C$13,MATCH(Q1374,Upgrades!$B$3:$B$13,0))*1.15^(COUNTIF(Q$4:Q1373,Q1374)-COUNTIF(Q$4:Q1373,""Sell_""&amp;Q1374))))))"),"")</f>
        <v/>
      </c>
      <c r="V1374" s="10" t="str">
        <f t="shared" si="11"/>
        <v/>
      </c>
      <c r="W1374" s="68" t="str">
        <f t="shared" si="12"/>
        <v/>
      </c>
      <c r="X1374" s="59" t="str">
        <f t="shared" si="13"/>
        <v/>
      </c>
      <c r="Y1374" s="69" t="str">
        <f t="shared" si="14"/>
        <v/>
      </c>
      <c r="Z1374" s="11"/>
    </row>
    <row r="1375">
      <c r="A1375" s="8"/>
      <c r="B1375" s="56" t="str">
        <f t="shared" si="2"/>
        <v/>
      </c>
      <c r="C1375" s="105"/>
      <c r="D1375" s="10"/>
      <c r="E1375" s="59" t="str">
        <f t="array" ref="E1375">IF(COUNTA(C1375:C1673)=0,"",SUM((COUNTIF(C$4:C1375,Upgrades!$B$3:$B$13)-COUNTIF(C$4:C1375,"Sell_"&amp;Upgrades!$B$3:$B$13))*Upgrades!$D$3:$D$13))</f>
        <v/>
      </c>
      <c r="F1375" s="66" t="str">
        <f>IFERROR(__xludf.DUMMYFUNCTION("IF(COUNTA(C1375:C1673)=0,"""",IF(REGEXMATCH(INDEX(FILTER(C$4:C1375,C$4:C1375&lt;&gt;""""),ROWS(FILTER(C$4:C1375,C$4:C1375&lt;&gt;""""))),""^Sell_""),INDEX(FILTER(F$4:F1374,C$4:C1374&lt;&gt;""""),ROWS(FILTER(C$4:C1374,C$4:C1374&lt;&gt;""""))),$AC$5+E1375))"),"")</f>
        <v/>
      </c>
      <c r="G1375" s="10" t="str">
        <f>IFERROR(__xludf.DUMMYFUNCTION("IF(COUNTA(C1375:C1673)=0,"""",IF(C1375="""",0,IF(REGEXMATCH(C1375,""^Sell_""),-ROUNDDOWN(ROUNDUP(INDEX(Upgrades!$C$3:$C$13,MATCH(SUBSTITUTE(C1375,""Sell_"",""""),Upgrades!$B$3:$B$13,0))*1.15^(COUNTIF(C$4:C1374,SUBSTITUTE(C1375,""Sell_"",""""))-COUNTIF(C$4"&amp;":C1374,""Sell_""&amp;SUBSTITUTE(C1375,""Sell_"",""""))))/2),ROUNDUP(INDEX(Upgrades!$C$3:$C$13,MATCH(C1375,Upgrades!$B$3:$B$13,0))*1.15^(COUNTIF(C$4:C1374,C1375)-COUNTIF(C$4:C1374,""Sell_""&amp;C1375))))))"),"")</f>
        <v/>
      </c>
      <c r="H1375" s="10" t="str">
        <f t="shared" si="3"/>
        <v/>
      </c>
      <c r="I1375" s="68" t="str">
        <f t="shared" si="4"/>
        <v/>
      </c>
      <c r="J1375" s="59" t="str">
        <f t="shared" si="5"/>
        <v/>
      </c>
      <c r="K1375" s="69" t="str">
        <f t="shared" si="6"/>
        <v/>
      </c>
      <c r="L1375" s="60" t="str">
        <f t="shared" si="7"/>
        <v/>
      </c>
      <c r="M1375" s="61" t="str">
        <f>IFERROR(__xludf.DUMMYFUNCTION("IFS(AND(COUNTA(C1375:C1673)=0,COUNTA(Q1375:Q1673)=0),"""",OR(AND(K1375&gt;=1000000000,OR(Y1375&gt;=1000000000,COUNTA(Q1375:Q1673)=0)),OR(Y1375&gt;=1000000000,AND(COUNTA(C1375:C1673)=0,P$3=TRUE))),
ROUNDDOWN((AB$1-AC$1)*MAX(INDEX(T$4:T1673,MATCH(LARGE(FILTER(Y$4:Y1"&amp;"673,Y$4:Y1673&lt;1000000000),1),Y$4:Y1673)),INDEX(F$4:F1673,MATCH(LARGE(FILTER(K$4:K1673,K$4:K1673&lt;1000000000),1),K$4:K1673)))),AND(K1375&lt;1000000000,COUNTA(C1375:C1673)&gt;0,P$3=FALSE),
ROUNDDOWN(INDEX(Y$4:Y1673,MATCH(LARGE(FILTER(W$4:W1673,W$4:W1673&lt;=I1375),1)"&amp;",W$4:W1673))+(I1375-LARGE(FILTER(W$4:W1673,W$4:W1673&lt;=I1375),1))*INDEX(T$4:T1673,MATCH(LARGE(FILTER(W$4:W1673,W$4:W1673&lt;=I1375),1),W$4:W1673))-K1375),1,
ROUNDDOWN(Y1375-INDEX(K$4:K1673,MATCH(LARGE(FILTER(I$4:I1673,I$4:I1673&lt;=W1375),1),I$4:I1673))-(W1375-L"&amp;"ARGE(FILTER(I$4:I1673,I$4:I1673&lt;=W1375),1))*INDEX(F$4:F1673,MATCH(LARGE(FILTER(I$4:I1673,I$4:I1673&lt;=W1375),1),I$4:I1673))))"),"")</f>
        <v/>
      </c>
      <c r="N1375" s="60" t="str">
        <f t="shared" si="8"/>
        <v/>
      </c>
      <c r="O1375" s="61" t="str">
        <f t="shared" si="9"/>
        <v/>
      </c>
      <c r="P1375" s="56" t="str">
        <f t="shared" si="10"/>
        <v/>
      </c>
      <c r="Q1375" s="67"/>
      <c r="R1375" s="10"/>
      <c r="S1375" s="59" t="str">
        <f t="array" ref="S1375">IF(COUNTA(Q1375:Q1673)=0,"",SUM((COUNTIF(Q$4:Q1375,Upgrades!$B$3:$B$13)-COUNTIF(Q$4:Q1375,"Sell_"&amp;Upgrades!$B$3:$B$13))*Upgrades!$D$3:$D$13))</f>
        <v/>
      </c>
      <c r="T1375" s="66" t="str">
        <f>IFERROR(__xludf.DUMMYFUNCTION("IF(COUNTA(Q1375:Q1673)=0,"""",IF(REGEXMATCH(INDEX(FILTER(Q$4:Q1375,Q$4:Q1375&lt;&gt;""""),ROWS(FILTER(Q$4:Q1375,Q$4:Q1375&lt;&gt;""""))),""^Sell_""),INDEX(FILTER(T$4:T1374,Q$4:Q1374&lt;&gt;""""),ROWS(FILTER(Q$4:Q1374,Q$4:Q1374&lt;&gt;""""))),$AD$5+S1375))"),"")</f>
        <v/>
      </c>
      <c r="U1375" s="10" t="str">
        <f>IFERROR(__xludf.DUMMYFUNCTION("IF(COUNTA(Q1375:Q1673)=0,"""",IF(Q1375="""",0,IF(REGEXMATCH(Q1375,""^Sell_""),-ROUNDDOWN(ROUNDUP(INDEX(Upgrades!$C$3:$C$13,MATCH(SUBSTITUTE(Q1375,""Sell_"",""""),Upgrades!$B$3:$B$13,0))*1.15^(COUNTIF(Q$4:Q1374,SUBSTITUTE(Q1375,""Sell_"",""""))-COUNTIF(Q$4"&amp;":Q1374,""Sell_""&amp;SUBSTITUTE(Q1375,""Sell_"",""""))))/2),ROUNDUP(INDEX(Upgrades!$C$3:$C$13,MATCH(Q1375,Upgrades!$B$3:$B$13,0))*1.15^(COUNTIF(Q$4:Q1374,Q1375)-COUNTIF(Q$4:Q1374,""Sell_""&amp;Q1375))))))"),"")</f>
        <v/>
      </c>
      <c r="V1375" s="10" t="str">
        <f t="shared" si="11"/>
        <v/>
      </c>
      <c r="W1375" s="68" t="str">
        <f t="shared" si="12"/>
        <v/>
      </c>
      <c r="X1375" s="59" t="str">
        <f t="shared" si="13"/>
        <v/>
      </c>
      <c r="Y1375" s="69" t="str">
        <f t="shared" si="14"/>
        <v/>
      </c>
      <c r="Z1375" s="11"/>
    </row>
    <row r="1376">
      <c r="A1376" s="8"/>
      <c r="B1376" s="56" t="str">
        <f t="shared" si="2"/>
        <v/>
      </c>
      <c r="C1376" s="105"/>
      <c r="D1376" s="10"/>
      <c r="E1376" s="59" t="str">
        <f t="array" ref="E1376">IF(COUNTA(C1376:C1673)=0,"",SUM((COUNTIF(C$4:C1376,Upgrades!$B$3:$B$13)-COUNTIF(C$4:C1376,"Sell_"&amp;Upgrades!$B$3:$B$13))*Upgrades!$D$3:$D$13))</f>
        <v/>
      </c>
      <c r="F1376" s="66" t="str">
        <f>IFERROR(__xludf.DUMMYFUNCTION("IF(COUNTA(C1376:C1673)=0,"""",IF(REGEXMATCH(INDEX(FILTER(C$4:C1376,C$4:C1376&lt;&gt;""""),ROWS(FILTER(C$4:C1376,C$4:C1376&lt;&gt;""""))),""^Sell_""),INDEX(FILTER(F$4:F1375,C$4:C1375&lt;&gt;""""),ROWS(FILTER(C$4:C1375,C$4:C1375&lt;&gt;""""))),$AC$5+E1376))"),"")</f>
        <v/>
      </c>
      <c r="G1376" s="10" t="str">
        <f>IFERROR(__xludf.DUMMYFUNCTION("IF(COUNTA(C1376:C1673)=0,"""",IF(C1376="""",0,IF(REGEXMATCH(C1376,""^Sell_""),-ROUNDDOWN(ROUNDUP(INDEX(Upgrades!$C$3:$C$13,MATCH(SUBSTITUTE(C1376,""Sell_"",""""),Upgrades!$B$3:$B$13,0))*1.15^(COUNTIF(C$4:C1375,SUBSTITUTE(C1376,""Sell_"",""""))-COUNTIF(C$4"&amp;":C1375,""Sell_""&amp;SUBSTITUTE(C1376,""Sell_"",""""))))/2),ROUNDUP(INDEX(Upgrades!$C$3:$C$13,MATCH(C1376,Upgrades!$B$3:$B$13,0))*1.15^(COUNTIF(C$4:C1375,C1376)-COUNTIF(C$4:C1375,""Sell_""&amp;C1376))))))"),"")</f>
        <v/>
      </c>
      <c r="H1376" s="10" t="str">
        <f t="shared" si="3"/>
        <v/>
      </c>
      <c r="I1376" s="68" t="str">
        <f t="shared" si="4"/>
        <v/>
      </c>
      <c r="J1376" s="59" t="str">
        <f t="shared" si="5"/>
        <v/>
      </c>
      <c r="K1376" s="69" t="str">
        <f t="shared" si="6"/>
        <v/>
      </c>
      <c r="L1376" s="60" t="str">
        <f t="shared" si="7"/>
        <v/>
      </c>
      <c r="M1376" s="61" t="str">
        <f>IFERROR(__xludf.DUMMYFUNCTION("IFS(AND(COUNTA(C1376:C1673)=0,COUNTA(Q1376:Q1673)=0),"""",OR(AND(K1376&gt;=1000000000,OR(Y1376&gt;=1000000000,COUNTA(Q1376:Q1673)=0)),OR(Y1376&gt;=1000000000,AND(COUNTA(C1376:C1673)=0,P$3=TRUE))),
ROUNDDOWN((AB$1-AC$1)*MAX(INDEX(T$4:T1673,MATCH(LARGE(FILTER(Y$4:Y1"&amp;"673,Y$4:Y1673&lt;1000000000),1),Y$4:Y1673)),INDEX(F$4:F1673,MATCH(LARGE(FILTER(K$4:K1673,K$4:K1673&lt;1000000000),1),K$4:K1673)))),AND(K1376&lt;1000000000,COUNTA(C1376:C1673)&gt;0,P$3=FALSE),
ROUNDDOWN(INDEX(Y$4:Y1673,MATCH(LARGE(FILTER(W$4:W1673,W$4:W1673&lt;=I1376),1)"&amp;",W$4:W1673))+(I1376-LARGE(FILTER(W$4:W1673,W$4:W1673&lt;=I1376),1))*INDEX(T$4:T1673,MATCH(LARGE(FILTER(W$4:W1673,W$4:W1673&lt;=I1376),1),W$4:W1673))-K1376),1,
ROUNDDOWN(Y1376-INDEX(K$4:K1673,MATCH(LARGE(FILTER(I$4:I1673,I$4:I1673&lt;=W1376),1),I$4:I1673))-(W1376-L"&amp;"ARGE(FILTER(I$4:I1673,I$4:I1673&lt;=W1376),1))*INDEX(F$4:F1673,MATCH(LARGE(FILTER(I$4:I1673,I$4:I1673&lt;=W1376),1),I$4:I1673))))"),"")</f>
        <v/>
      </c>
      <c r="N1376" s="60" t="str">
        <f t="shared" si="8"/>
        <v/>
      </c>
      <c r="O1376" s="61" t="str">
        <f t="shared" si="9"/>
        <v/>
      </c>
      <c r="P1376" s="56" t="str">
        <f t="shared" si="10"/>
        <v/>
      </c>
      <c r="Q1376" s="67"/>
      <c r="R1376" s="10"/>
      <c r="S1376" s="59" t="str">
        <f t="array" ref="S1376">IF(COUNTA(Q1376:Q1673)=0,"",SUM((COUNTIF(Q$4:Q1376,Upgrades!$B$3:$B$13)-COUNTIF(Q$4:Q1376,"Sell_"&amp;Upgrades!$B$3:$B$13))*Upgrades!$D$3:$D$13))</f>
        <v/>
      </c>
      <c r="T1376" s="66" t="str">
        <f>IFERROR(__xludf.DUMMYFUNCTION("IF(COUNTA(Q1376:Q1673)=0,"""",IF(REGEXMATCH(INDEX(FILTER(Q$4:Q1376,Q$4:Q1376&lt;&gt;""""),ROWS(FILTER(Q$4:Q1376,Q$4:Q1376&lt;&gt;""""))),""^Sell_""),INDEX(FILTER(T$4:T1375,Q$4:Q1375&lt;&gt;""""),ROWS(FILTER(Q$4:Q1375,Q$4:Q1375&lt;&gt;""""))),$AD$5+S1376))"),"")</f>
        <v/>
      </c>
      <c r="U1376" s="10" t="str">
        <f>IFERROR(__xludf.DUMMYFUNCTION("IF(COUNTA(Q1376:Q1673)=0,"""",IF(Q1376="""",0,IF(REGEXMATCH(Q1376,""^Sell_""),-ROUNDDOWN(ROUNDUP(INDEX(Upgrades!$C$3:$C$13,MATCH(SUBSTITUTE(Q1376,""Sell_"",""""),Upgrades!$B$3:$B$13,0))*1.15^(COUNTIF(Q$4:Q1375,SUBSTITUTE(Q1376,""Sell_"",""""))-COUNTIF(Q$4"&amp;":Q1375,""Sell_""&amp;SUBSTITUTE(Q1376,""Sell_"",""""))))/2),ROUNDUP(INDEX(Upgrades!$C$3:$C$13,MATCH(Q1376,Upgrades!$B$3:$B$13,0))*1.15^(COUNTIF(Q$4:Q1375,Q1376)-COUNTIF(Q$4:Q1375,""Sell_""&amp;Q1376))))))"),"")</f>
        <v/>
      </c>
      <c r="V1376" s="10" t="str">
        <f t="shared" si="11"/>
        <v/>
      </c>
      <c r="W1376" s="68" t="str">
        <f t="shared" si="12"/>
        <v/>
      </c>
      <c r="X1376" s="59" t="str">
        <f t="shared" si="13"/>
        <v/>
      </c>
      <c r="Y1376" s="69" t="str">
        <f t="shared" si="14"/>
        <v/>
      </c>
      <c r="Z1376" s="11"/>
    </row>
    <row r="1377">
      <c r="A1377" s="8"/>
      <c r="B1377" s="56" t="str">
        <f t="shared" si="2"/>
        <v/>
      </c>
      <c r="C1377" s="105"/>
      <c r="D1377" s="10"/>
      <c r="E1377" s="59" t="str">
        <f t="array" ref="E1377">IF(COUNTA(C1377:C1673)=0,"",SUM((COUNTIF(C$4:C1377,Upgrades!$B$3:$B$13)-COUNTIF(C$4:C1377,"Sell_"&amp;Upgrades!$B$3:$B$13))*Upgrades!$D$3:$D$13))</f>
        <v/>
      </c>
      <c r="F1377" s="66" t="str">
        <f>IFERROR(__xludf.DUMMYFUNCTION("IF(COUNTA(C1377:C1673)=0,"""",IF(REGEXMATCH(INDEX(FILTER(C$4:C1377,C$4:C1377&lt;&gt;""""),ROWS(FILTER(C$4:C1377,C$4:C1377&lt;&gt;""""))),""^Sell_""),INDEX(FILTER(F$4:F1376,C$4:C1376&lt;&gt;""""),ROWS(FILTER(C$4:C1376,C$4:C1376&lt;&gt;""""))),$AC$5+E1377))"),"")</f>
        <v/>
      </c>
      <c r="G1377" s="10" t="str">
        <f>IFERROR(__xludf.DUMMYFUNCTION("IF(COUNTA(C1377:C1673)=0,"""",IF(C1377="""",0,IF(REGEXMATCH(C1377,""^Sell_""),-ROUNDDOWN(ROUNDUP(INDEX(Upgrades!$C$3:$C$13,MATCH(SUBSTITUTE(C1377,""Sell_"",""""),Upgrades!$B$3:$B$13,0))*1.15^(COUNTIF(C$4:C1376,SUBSTITUTE(C1377,""Sell_"",""""))-COUNTIF(C$4"&amp;":C1376,""Sell_""&amp;SUBSTITUTE(C1377,""Sell_"",""""))))/2),ROUNDUP(INDEX(Upgrades!$C$3:$C$13,MATCH(C1377,Upgrades!$B$3:$B$13,0))*1.15^(COUNTIF(C$4:C1376,C1377)-COUNTIF(C$4:C1376,""Sell_""&amp;C1377))))))"),"")</f>
        <v/>
      </c>
      <c r="H1377" s="10" t="str">
        <f t="shared" si="3"/>
        <v/>
      </c>
      <c r="I1377" s="68" t="str">
        <f t="shared" si="4"/>
        <v/>
      </c>
      <c r="J1377" s="59" t="str">
        <f t="shared" si="5"/>
        <v/>
      </c>
      <c r="K1377" s="69" t="str">
        <f t="shared" si="6"/>
        <v/>
      </c>
      <c r="L1377" s="60" t="str">
        <f t="shared" si="7"/>
        <v/>
      </c>
      <c r="M1377" s="61" t="str">
        <f>IFERROR(__xludf.DUMMYFUNCTION("IFS(AND(COUNTA(C1377:C1673)=0,COUNTA(Q1377:Q1673)=0),"""",OR(AND(K1377&gt;=1000000000,OR(Y1377&gt;=1000000000,COUNTA(Q1377:Q1673)=0)),OR(Y1377&gt;=1000000000,AND(COUNTA(C1377:C1673)=0,P$3=TRUE))),
ROUNDDOWN((AB$1-AC$1)*MAX(INDEX(T$4:T1673,MATCH(LARGE(FILTER(Y$4:Y1"&amp;"673,Y$4:Y1673&lt;1000000000),1),Y$4:Y1673)),INDEX(F$4:F1673,MATCH(LARGE(FILTER(K$4:K1673,K$4:K1673&lt;1000000000),1),K$4:K1673)))),AND(K1377&lt;1000000000,COUNTA(C1377:C1673)&gt;0,P$3=FALSE),
ROUNDDOWN(INDEX(Y$4:Y1673,MATCH(LARGE(FILTER(W$4:W1673,W$4:W1673&lt;=I1377),1)"&amp;",W$4:W1673))+(I1377-LARGE(FILTER(W$4:W1673,W$4:W1673&lt;=I1377),1))*INDEX(T$4:T1673,MATCH(LARGE(FILTER(W$4:W1673,W$4:W1673&lt;=I1377),1),W$4:W1673))-K1377),1,
ROUNDDOWN(Y1377-INDEX(K$4:K1673,MATCH(LARGE(FILTER(I$4:I1673,I$4:I1673&lt;=W1377),1),I$4:I1673))-(W1377-L"&amp;"ARGE(FILTER(I$4:I1673,I$4:I1673&lt;=W1377),1))*INDEX(F$4:F1673,MATCH(LARGE(FILTER(I$4:I1673,I$4:I1673&lt;=W1377),1),I$4:I1673))))"),"")</f>
        <v/>
      </c>
      <c r="N1377" s="60" t="str">
        <f t="shared" si="8"/>
        <v/>
      </c>
      <c r="O1377" s="61" t="str">
        <f t="shared" si="9"/>
        <v/>
      </c>
      <c r="P1377" s="56" t="str">
        <f t="shared" si="10"/>
        <v/>
      </c>
      <c r="Q1377" s="67"/>
      <c r="R1377" s="10"/>
      <c r="S1377" s="59" t="str">
        <f t="array" ref="S1377">IF(COUNTA(Q1377:Q1673)=0,"",SUM((COUNTIF(Q$4:Q1377,Upgrades!$B$3:$B$13)-COUNTIF(Q$4:Q1377,"Sell_"&amp;Upgrades!$B$3:$B$13))*Upgrades!$D$3:$D$13))</f>
        <v/>
      </c>
      <c r="T1377" s="66" t="str">
        <f>IFERROR(__xludf.DUMMYFUNCTION("IF(COUNTA(Q1377:Q1673)=0,"""",IF(REGEXMATCH(INDEX(FILTER(Q$4:Q1377,Q$4:Q1377&lt;&gt;""""),ROWS(FILTER(Q$4:Q1377,Q$4:Q1377&lt;&gt;""""))),""^Sell_""),INDEX(FILTER(T$4:T1376,Q$4:Q1376&lt;&gt;""""),ROWS(FILTER(Q$4:Q1376,Q$4:Q1376&lt;&gt;""""))),$AD$5+S1377))"),"")</f>
        <v/>
      </c>
      <c r="U1377" s="10" t="str">
        <f>IFERROR(__xludf.DUMMYFUNCTION("IF(COUNTA(Q1377:Q1673)=0,"""",IF(Q1377="""",0,IF(REGEXMATCH(Q1377,""^Sell_""),-ROUNDDOWN(ROUNDUP(INDEX(Upgrades!$C$3:$C$13,MATCH(SUBSTITUTE(Q1377,""Sell_"",""""),Upgrades!$B$3:$B$13,0))*1.15^(COUNTIF(Q$4:Q1376,SUBSTITUTE(Q1377,""Sell_"",""""))-COUNTIF(Q$4"&amp;":Q1376,""Sell_""&amp;SUBSTITUTE(Q1377,""Sell_"",""""))))/2),ROUNDUP(INDEX(Upgrades!$C$3:$C$13,MATCH(Q1377,Upgrades!$B$3:$B$13,0))*1.15^(COUNTIF(Q$4:Q1376,Q1377)-COUNTIF(Q$4:Q1376,""Sell_""&amp;Q1377))))))"),"")</f>
        <v/>
      </c>
      <c r="V1377" s="10" t="str">
        <f t="shared" si="11"/>
        <v/>
      </c>
      <c r="W1377" s="68" t="str">
        <f t="shared" si="12"/>
        <v/>
      </c>
      <c r="X1377" s="59" t="str">
        <f t="shared" si="13"/>
        <v/>
      </c>
      <c r="Y1377" s="69" t="str">
        <f t="shared" si="14"/>
        <v/>
      </c>
      <c r="Z1377" s="11"/>
    </row>
    <row r="1378">
      <c r="A1378" s="8"/>
      <c r="B1378" s="56" t="str">
        <f t="shared" si="2"/>
        <v/>
      </c>
      <c r="C1378" s="105"/>
      <c r="D1378" s="10"/>
      <c r="E1378" s="59" t="str">
        <f t="array" ref="E1378">IF(COUNTA(C1378:C1673)=0,"",SUM((COUNTIF(C$4:C1378,Upgrades!$B$3:$B$13)-COUNTIF(C$4:C1378,"Sell_"&amp;Upgrades!$B$3:$B$13))*Upgrades!$D$3:$D$13))</f>
        <v/>
      </c>
      <c r="F1378" s="66" t="str">
        <f>IFERROR(__xludf.DUMMYFUNCTION("IF(COUNTA(C1378:C1673)=0,"""",IF(REGEXMATCH(INDEX(FILTER(C$4:C1378,C$4:C1378&lt;&gt;""""),ROWS(FILTER(C$4:C1378,C$4:C1378&lt;&gt;""""))),""^Sell_""),INDEX(FILTER(F$4:F1377,C$4:C1377&lt;&gt;""""),ROWS(FILTER(C$4:C1377,C$4:C1377&lt;&gt;""""))),$AC$5+E1378))"),"")</f>
        <v/>
      </c>
      <c r="G1378" s="10" t="str">
        <f>IFERROR(__xludf.DUMMYFUNCTION("IF(COUNTA(C1378:C1673)=0,"""",IF(C1378="""",0,IF(REGEXMATCH(C1378,""^Sell_""),-ROUNDDOWN(ROUNDUP(INDEX(Upgrades!$C$3:$C$13,MATCH(SUBSTITUTE(C1378,""Sell_"",""""),Upgrades!$B$3:$B$13,0))*1.15^(COUNTIF(C$4:C1377,SUBSTITUTE(C1378,""Sell_"",""""))-COUNTIF(C$4"&amp;":C1377,""Sell_""&amp;SUBSTITUTE(C1378,""Sell_"",""""))))/2),ROUNDUP(INDEX(Upgrades!$C$3:$C$13,MATCH(C1378,Upgrades!$B$3:$B$13,0))*1.15^(COUNTIF(C$4:C1377,C1378)-COUNTIF(C$4:C1377,""Sell_""&amp;C1378))))))"),"")</f>
        <v/>
      </c>
      <c r="H1378" s="10" t="str">
        <f t="shared" si="3"/>
        <v/>
      </c>
      <c r="I1378" s="68" t="str">
        <f t="shared" si="4"/>
        <v/>
      </c>
      <c r="J1378" s="59" t="str">
        <f t="shared" si="5"/>
        <v/>
      </c>
      <c r="K1378" s="69" t="str">
        <f t="shared" si="6"/>
        <v/>
      </c>
      <c r="L1378" s="60" t="str">
        <f t="shared" si="7"/>
        <v/>
      </c>
      <c r="M1378" s="61" t="str">
        <f>IFERROR(__xludf.DUMMYFUNCTION("IFS(AND(COUNTA(C1378:C1673)=0,COUNTA(Q1378:Q1673)=0),"""",OR(AND(K1378&gt;=1000000000,OR(Y1378&gt;=1000000000,COUNTA(Q1378:Q1673)=0)),OR(Y1378&gt;=1000000000,AND(COUNTA(C1378:C1673)=0,P$3=TRUE))),
ROUNDDOWN((AB$1-AC$1)*MAX(INDEX(T$4:T1673,MATCH(LARGE(FILTER(Y$4:Y1"&amp;"673,Y$4:Y1673&lt;1000000000),1),Y$4:Y1673)),INDEX(F$4:F1673,MATCH(LARGE(FILTER(K$4:K1673,K$4:K1673&lt;1000000000),1),K$4:K1673)))),AND(K1378&lt;1000000000,COUNTA(C1378:C1673)&gt;0,P$3=FALSE),
ROUNDDOWN(INDEX(Y$4:Y1673,MATCH(LARGE(FILTER(W$4:W1673,W$4:W1673&lt;=I1378),1)"&amp;",W$4:W1673))+(I1378-LARGE(FILTER(W$4:W1673,W$4:W1673&lt;=I1378),1))*INDEX(T$4:T1673,MATCH(LARGE(FILTER(W$4:W1673,W$4:W1673&lt;=I1378),1),W$4:W1673))-K1378),1,
ROUNDDOWN(Y1378-INDEX(K$4:K1673,MATCH(LARGE(FILTER(I$4:I1673,I$4:I1673&lt;=W1378),1),I$4:I1673))-(W1378-L"&amp;"ARGE(FILTER(I$4:I1673,I$4:I1673&lt;=W1378),1))*INDEX(F$4:F1673,MATCH(LARGE(FILTER(I$4:I1673,I$4:I1673&lt;=W1378),1),I$4:I1673))))"),"")</f>
        <v/>
      </c>
      <c r="N1378" s="60" t="str">
        <f t="shared" si="8"/>
        <v/>
      </c>
      <c r="O1378" s="61" t="str">
        <f t="shared" si="9"/>
        <v/>
      </c>
      <c r="P1378" s="56" t="str">
        <f t="shared" si="10"/>
        <v/>
      </c>
      <c r="Q1378" s="67"/>
      <c r="R1378" s="10"/>
      <c r="S1378" s="59" t="str">
        <f t="array" ref="S1378">IF(COUNTA(Q1378:Q1673)=0,"",SUM((COUNTIF(Q$4:Q1378,Upgrades!$B$3:$B$13)-COUNTIF(Q$4:Q1378,"Sell_"&amp;Upgrades!$B$3:$B$13))*Upgrades!$D$3:$D$13))</f>
        <v/>
      </c>
      <c r="T1378" s="66" t="str">
        <f>IFERROR(__xludf.DUMMYFUNCTION("IF(COUNTA(Q1378:Q1673)=0,"""",IF(REGEXMATCH(INDEX(FILTER(Q$4:Q1378,Q$4:Q1378&lt;&gt;""""),ROWS(FILTER(Q$4:Q1378,Q$4:Q1378&lt;&gt;""""))),""^Sell_""),INDEX(FILTER(T$4:T1377,Q$4:Q1377&lt;&gt;""""),ROWS(FILTER(Q$4:Q1377,Q$4:Q1377&lt;&gt;""""))),$AD$5+S1378))"),"")</f>
        <v/>
      </c>
      <c r="U1378" s="10" t="str">
        <f>IFERROR(__xludf.DUMMYFUNCTION("IF(COUNTA(Q1378:Q1673)=0,"""",IF(Q1378="""",0,IF(REGEXMATCH(Q1378,""^Sell_""),-ROUNDDOWN(ROUNDUP(INDEX(Upgrades!$C$3:$C$13,MATCH(SUBSTITUTE(Q1378,""Sell_"",""""),Upgrades!$B$3:$B$13,0))*1.15^(COUNTIF(Q$4:Q1377,SUBSTITUTE(Q1378,""Sell_"",""""))-COUNTIF(Q$4"&amp;":Q1377,""Sell_""&amp;SUBSTITUTE(Q1378,""Sell_"",""""))))/2),ROUNDUP(INDEX(Upgrades!$C$3:$C$13,MATCH(Q1378,Upgrades!$B$3:$B$13,0))*1.15^(COUNTIF(Q$4:Q1377,Q1378)-COUNTIF(Q$4:Q1377,""Sell_""&amp;Q1378))))))"),"")</f>
        <v/>
      </c>
      <c r="V1378" s="10" t="str">
        <f t="shared" si="11"/>
        <v/>
      </c>
      <c r="W1378" s="68" t="str">
        <f t="shared" si="12"/>
        <v/>
      </c>
      <c r="X1378" s="59" t="str">
        <f t="shared" si="13"/>
        <v/>
      </c>
      <c r="Y1378" s="69" t="str">
        <f t="shared" si="14"/>
        <v/>
      </c>
      <c r="Z1378" s="11"/>
    </row>
    <row r="1379">
      <c r="A1379" s="8"/>
      <c r="B1379" s="56" t="str">
        <f t="shared" si="2"/>
        <v/>
      </c>
      <c r="C1379" s="105"/>
      <c r="D1379" s="10"/>
      <c r="E1379" s="59" t="str">
        <f t="array" ref="E1379">IF(COUNTA(C1379:C1673)=0,"",SUM((COUNTIF(C$4:C1379,Upgrades!$B$3:$B$13)-COUNTIF(C$4:C1379,"Sell_"&amp;Upgrades!$B$3:$B$13))*Upgrades!$D$3:$D$13))</f>
        <v/>
      </c>
      <c r="F1379" s="66" t="str">
        <f>IFERROR(__xludf.DUMMYFUNCTION("IF(COUNTA(C1379:C1673)=0,"""",IF(REGEXMATCH(INDEX(FILTER(C$4:C1379,C$4:C1379&lt;&gt;""""),ROWS(FILTER(C$4:C1379,C$4:C1379&lt;&gt;""""))),""^Sell_""),INDEX(FILTER(F$4:F1378,C$4:C1378&lt;&gt;""""),ROWS(FILTER(C$4:C1378,C$4:C1378&lt;&gt;""""))),$AC$5+E1379))"),"")</f>
        <v/>
      </c>
      <c r="G1379" s="10" t="str">
        <f>IFERROR(__xludf.DUMMYFUNCTION("IF(COUNTA(C1379:C1673)=0,"""",IF(C1379="""",0,IF(REGEXMATCH(C1379,""^Sell_""),-ROUNDDOWN(ROUNDUP(INDEX(Upgrades!$C$3:$C$13,MATCH(SUBSTITUTE(C1379,""Sell_"",""""),Upgrades!$B$3:$B$13,0))*1.15^(COUNTIF(C$4:C1378,SUBSTITUTE(C1379,""Sell_"",""""))-COUNTIF(C$4"&amp;":C1378,""Sell_""&amp;SUBSTITUTE(C1379,""Sell_"",""""))))/2),ROUNDUP(INDEX(Upgrades!$C$3:$C$13,MATCH(C1379,Upgrades!$B$3:$B$13,0))*1.15^(COUNTIF(C$4:C1378,C1379)-COUNTIF(C$4:C1378,""Sell_""&amp;C1379))))))"),"")</f>
        <v/>
      </c>
      <c r="H1379" s="10" t="str">
        <f t="shared" si="3"/>
        <v/>
      </c>
      <c r="I1379" s="68" t="str">
        <f t="shared" si="4"/>
        <v/>
      </c>
      <c r="J1379" s="59" t="str">
        <f t="shared" si="5"/>
        <v/>
      </c>
      <c r="K1379" s="69" t="str">
        <f t="shared" si="6"/>
        <v/>
      </c>
      <c r="L1379" s="60" t="str">
        <f t="shared" si="7"/>
        <v/>
      </c>
      <c r="M1379" s="61" t="str">
        <f>IFERROR(__xludf.DUMMYFUNCTION("IFS(AND(COUNTA(C1379:C1673)=0,COUNTA(Q1379:Q1673)=0),"""",OR(AND(K1379&gt;=1000000000,OR(Y1379&gt;=1000000000,COUNTA(Q1379:Q1673)=0)),OR(Y1379&gt;=1000000000,AND(COUNTA(C1379:C1673)=0,P$3=TRUE))),
ROUNDDOWN((AB$1-AC$1)*MAX(INDEX(T$4:T1673,MATCH(LARGE(FILTER(Y$4:Y1"&amp;"673,Y$4:Y1673&lt;1000000000),1),Y$4:Y1673)),INDEX(F$4:F1673,MATCH(LARGE(FILTER(K$4:K1673,K$4:K1673&lt;1000000000),1),K$4:K1673)))),AND(K1379&lt;1000000000,COUNTA(C1379:C1673)&gt;0,P$3=FALSE),
ROUNDDOWN(INDEX(Y$4:Y1673,MATCH(LARGE(FILTER(W$4:W1673,W$4:W1673&lt;=I1379),1)"&amp;",W$4:W1673))+(I1379-LARGE(FILTER(W$4:W1673,W$4:W1673&lt;=I1379),1))*INDEX(T$4:T1673,MATCH(LARGE(FILTER(W$4:W1673,W$4:W1673&lt;=I1379),1),W$4:W1673))-K1379),1,
ROUNDDOWN(Y1379-INDEX(K$4:K1673,MATCH(LARGE(FILTER(I$4:I1673,I$4:I1673&lt;=W1379),1),I$4:I1673))-(W1379-L"&amp;"ARGE(FILTER(I$4:I1673,I$4:I1673&lt;=W1379),1))*INDEX(F$4:F1673,MATCH(LARGE(FILTER(I$4:I1673,I$4:I1673&lt;=W1379),1),I$4:I1673))))"),"")</f>
        <v/>
      </c>
      <c r="N1379" s="60" t="str">
        <f t="shared" si="8"/>
        <v/>
      </c>
      <c r="O1379" s="61" t="str">
        <f t="shared" si="9"/>
        <v/>
      </c>
      <c r="P1379" s="56" t="str">
        <f t="shared" si="10"/>
        <v/>
      </c>
      <c r="Q1379" s="67"/>
      <c r="R1379" s="10"/>
      <c r="S1379" s="59" t="str">
        <f t="array" ref="S1379">IF(COUNTA(Q1379:Q1673)=0,"",SUM((COUNTIF(Q$4:Q1379,Upgrades!$B$3:$B$13)-COUNTIF(Q$4:Q1379,"Sell_"&amp;Upgrades!$B$3:$B$13))*Upgrades!$D$3:$D$13))</f>
        <v/>
      </c>
      <c r="T1379" s="66" t="str">
        <f>IFERROR(__xludf.DUMMYFUNCTION("IF(COUNTA(Q1379:Q1673)=0,"""",IF(REGEXMATCH(INDEX(FILTER(Q$4:Q1379,Q$4:Q1379&lt;&gt;""""),ROWS(FILTER(Q$4:Q1379,Q$4:Q1379&lt;&gt;""""))),""^Sell_""),INDEX(FILTER(T$4:T1378,Q$4:Q1378&lt;&gt;""""),ROWS(FILTER(Q$4:Q1378,Q$4:Q1378&lt;&gt;""""))),$AD$5+S1379))"),"")</f>
        <v/>
      </c>
      <c r="U1379" s="10" t="str">
        <f>IFERROR(__xludf.DUMMYFUNCTION("IF(COUNTA(Q1379:Q1673)=0,"""",IF(Q1379="""",0,IF(REGEXMATCH(Q1379,""^Sell_""),-ROUNDDOWN(ROUNDUP(INDEX(Upgrades!$C$3:$C$13,MATCH(SUBSTITUTE(Q1379,""Sell_"",""""),Upgrades!$B$3:$B$13,0))*1.15^(COUNTIF(Q$4:Q1378,SUBSTITUTE(Q1379,""Sell_"",""""))-COUNTIF(Q$4"&amp;":Q1378,""Sell_""&amp;SUBSTITUTE(Q1379,""Sell_"",""""))))/2),ROUNDUP(INDEX(Upgrades!$C$3:$C$13,MATCH(Q1379,Upgrades!$B$3:$B$13,0))*1.15^(COUNTIF(Q$4:Q1378,Q1379)-COUNTIF(Q$4:Q1378,""Sell_""&amp;Q1379))))))"),"")</f>
        <v/>
      </c>
      <c r="V1379" s="10" t="str">
        <f t="shared" si="11"/>
        <v/>
      </c>
      <c r="W1379" s="68" t="str">
        <f t="shared" si="12"/>
        <v/>
      </c>
      <c r="X1379" s="59" t="str">
        <f t="shared" si="13"/>
        <v/>
      </c>
      <c r="Y1379" s="69" t="str">
        <f t="shared" si="14"/>
        <v/>
      </c>
      <c r="Z1379" s="11"/>
    </row>
    <row r="1380">
      <c r="A1380" s="8"/>
      <c r="B1380" s="56" t="str">
        <f t="shared" si="2"/>
        <v/>
      </c>
      <c r="C1380" s="105"/>
      <c r="D1380" s="10"/>
      <c r="E1380" s="59" t="str">
        <f t="array" ref="E1380">IF(COUNTA(C1380:C1673)=0,"",SUM((COUNTIF(C$4:C1380,Upgrades!$B$3:$B$13)-COUNTIF(C$4:C1380,"Sell_"&amp;Upgrades!$B$3:$B$13))*Upgrades!$D$3:$D$13))</f>
        <v/>
      </c>
      <c r="F1380" s="66" t="str">
        <f>IFERROR(__xludf.DUMMYFUNCTION("IF(COUNTA(C1380:C1673)=0,"""",IF(REGEXMATCH(INDEX(FILTER(C$4:C1380,C$4:C1380&lt;&gt;""""),ROWS(FILTER(C$4:C1380,C$4:C1380&lt;&gt;""""))),""^Sell_""),INDEX(FILTER(F$4:F1379,C$4:C1379&lt;&gt;""""),ROWS(FILTER(C$4:C1379,C$4:C1379&lt;&gt;""""))),$AC$5+E1380))"),"")</f>
        <v/>
      </c>
      <c r="G1380" s="10" t="str">
        <f>IFERROR(__xludf.DUMMYFUNCTION("IF(COUNTA(C1380:C1673)=0,"""",IF(C1380="""",0,IF(REGEXMATCH(C1380,""^Sell_""),-ROUNDDOWN(ROUNDUP(INDEX(Upgrades!$C$3:$C$13,MATCH(SUBSTITUTE(C1380,""Sell_"",""""),Upgrades!$B$3:$B$13,0))*1.15^(COUNTIF(C$4:C1379,SUBSTITUTE(C1380,""Sell_"",""""))-COUNTIF(C$4"&amp;":C1379,""Sell_""&amp;SUBSTITUTE(C1380,""Sell_"",""""))))/2),ROUNDUP(INDEX(Upgrades!$C$3:$C$13,MATCH(C1380,Upgrades!$B$3:$B$13,0))*1.15^(COUNTIF(C$4:C1379,C1380)-COUNTIF(C$4:C1379,""Sell_""&amp;C1380))))))"),"")</f>
        <v/>
      </c>
      <c r="H1380" s="10" t="str">
        <f t="shared" si="3"/>
        <v/>
      </c>
      <c r="I1380" s="68" t="str">
        <f t="shared" si="4"/>
        <v/>
      </c>
      <c r="J1380" s="59" t="str">
        <f t="shared" si="5"/>
        <v/>
      </c>
      <c r="K1380" s="69" t="str">
        <f t="shared" si="6"/>
        <v/>
      </c>
      <c r="L1380" s="60" t="str">
        <f t="shared" si="7"/>
        <v/>
      </c>
      <c r="M1380" s="61" t="str">
        <f>IFERROR(__xludf.DUMMYFUNCTION("IFS(AND(COUNTA(C1380:C1673)=0,COUNTA(Q1380:Q1673)=0),"""",OR(AND(K1380&gt;=1000000000,OR(Y1380&gt;=1000000000,COUNTA(Q1380:Q1673)=0)),OR(Y1380&gt;=1000000000,AND(COUNTA(C1380:C1673)=0,P$3=TRUE))),
ROUNDDOWN((AB$1-AC$1)*MAX(INDEX(T$4:T1673,MATCH(LARGE(FILTER(Y$4:Y1"&amp;"673,Y$4:Y1673&lt;1000000000),1),Y$4:Y1673)),INDEX(F$4:F1673,MATCH(LARGE(FILTER(K$4:K1673,K$4:K1673&lt;1000000000),1),K$4:K1673)))),AND(K1380&lt;1000000000,COUNTA(C1380:C1673)&gt;0,P$3=FALSE),
ROUNDDOWN(INDEX(Y$4:Y1673,MATCH(LARGE(FILTER(W$4:W1673,W$4:W1673&lt;=I1380),1)"&amp;",W$4:W1673))+(I1380-LARGE(FILTER(W$4:W1673,W$4:W1673&lt;=I1380),1))*INDEX(T$4:T1673,MATCH(LARGE(FILTER(W$4:W1673,W$4:W1673&lt;=I1380),1),W$4:W1673))-K1380),1,
ROUNDDOWN(Y1380-INDEX(K$4:K1673,MATCH(LARGE(FILTER(I$4:I1673,I$4:I1673&lt;=W1380),1),I$4:I1673))-(W1380-L"&amp;"ARGE(FILTER(I$4:I1673,I$4:I1673&lt;=W1380),1))*INDEX(F$4:F1673,MATCH(LARGE(FILTER(I$4:I1673,I$4:I1673&lt;=W1380),1),I$4:I1673))))"),"")</f>
        <v/>
      </c>
      <c r="N1380" s="60" t="str">
        <f t="shared" si="8"/>
        <v/>
      </c>
      <c r="O1380" s="61" t="str">
        <f t="shared" si="9"/>
        <v/>
      </c>
      <c r="P1380" s="56" t="str">
        <f t="shared" si="10"/>
        <v/>
      </c>
      <c r="Q1380" s="67"/>
      <c r="R1380" s="10"/>
      <c r="S1380" s="59" t="str">
        <f t="array" ref="S1380">IF(COUNTA(Q1380:Q1673)=0,"",SUM((COUNTIF(Q$4:Q1380,Upgrades!$B$3:$B$13)-COUNTIF(Q$4:Q1380,"Sell_"&amp;Upgrades!$B$3:$B$13))*Upgrades!$D$3:$D$13))</f>
        <v/>
      </c>
      <c r="T1380" s="66" t="str">
        <f>IFERROR(__xludf.DUMMYFUNCTION("IF(COUNTA(Q1380:Q1673)=0,"""",IF(REGEXMATCH(INDEX(FILTER(Q$4:Q1380,Q$4:Q1380&lt;&gt;""""),ROWS(FILTER(Q$4:Q1380,Q$4:Q1380&lt;&gt;""""))),""^Sell_""),INDEX(FILTER(T$4:T1379,Q$4:Q1379&lt;&gt;""""),ROWS(FILTER(Q$4:Q1379,Q$4:Q1379&lt;&gt;""""))),$AD$5+S1380))"),"")</f>
        <v/>
      </c>
      <c r="U1380" s="10" t="str">
        <f>IFERROR(__xludf.DUMMYFUNCTION("IF(COUNTA(Q1380:Q1673)=0,"""",IF(Q1380="""",0,IF(REGEXMATCH(Q1380,""^Sell_""),-ROUNDDOWN(ROUNDUP(INDEX(Upgrades!$C$3:$C$13,MATCH(SUBSTITUTE(Q1380,""Sell_"",""""),Upgrades!$B$3:$B$13,0))*1.15^(COUNTIF(Q$4:Q1379,SUBSTITUTE(Q1380,""Sell_"",""""))-COUNTIF(Q$4"&amp;":Q1379,""Sell_""&amp;SUBSTITUTE(Q1380,""Sell_"",""""))))/2),ROUNDUP(INDEX(Upgrades!$C$3:$C$13,MATCH(Q1380,Upgrades!$B$3:$B$13,0))*1.15^(COUNTIF(Q$4:Q1379,Q1380)-COUNTIF(Q$4:Q1379,""Sell_""&amp;Q1380))))))"),"")</f>
        <v/>
      </c>
      <c r="V1380" s="10" t="str">
        <f t="shared" si="11"/>
        <v/>
      </c>
      <c r="W1380" s="68" t="str">
        <f t="shared" si="12"/>
        <v/>
      </c>
      <c r="X1380" s="59" t="str">
        <f t="shared" si="13"/>
        <v/>
      </c>
      <c r="Y1380" s="69" t="str">
        <f t="shared" si="14"/>
        <v/>
      </c>
      <c r="Z1380" s="11"/>
    </row>
    <row r="1381">
      <c r="A1381" s="8"/>
      <c r="B1381" s="56" t="str">
        <f t="shared" si="2"/>
        <v/>
      </c>
      <c r="C1381" s="105"/>
      <c r="D1381" s="10"/>
      <c r="E1381" s="59" t="str">
        <f t="array" ref="E1381">IF(COUNTA(C1381:C1673)=0,"",SUM((COUNTIF(C$4:C1381,Upgrades!$B$3:$B$13)-COUNTIF(C$4:C1381,"Sell_"&amp;Upgrades!$B$3:$B$13))*Upgrades!$D$3:$D$13))</f>
        <v/>
      </c>
      <c r="F1381" s="66" t="str">
        <f>IFERROR(__xludf.DUMMYFUNCTION("IF(COUNTA(C1381:C1673)=0,"""",IF(REGEXMATCH(INDEX(FILTER(C$4:C1381,C$4:C1381&lt;&gt;""""),ROWS(FILTER(C$4:C1381,C$4:C1381&lt;&gt;""""))),""^Sell_""),INDEX(FILTER(F$4:F1380,C$4:C1380&lt;&gt;""""),ROWS(FILTER(C$4:C1380,C$4:C1380&lt;&gt;""""))),$AC$5+E1381))"),"")</f>
        <v/>
      </c>
      <c r="G1381" s="10" t="str">
        <f>IFERROR(__xludf.DUMMYFUNCTION("IF(COUNTA(C1381:C1673)=0,"""",IF(C1381="""",0,IF(REGEXMATCH(C1381,""^Sell_""),-ROUNDDOWN(ROUNDUP(INDEX(Upgrades!$C$3:$C$13,MATCH(SUBSTITUTE(C1381,""Sell_"",""""),Upgrades!$B$3:$B$13,0))*1.15^(COUNTIF(C$4:C1380,SUBSTITUTE(C1381,""Sell_"",""""))-COUNTIF(C$4"&amp;":C1380,""Sell_""&amp;SUBSTITUTE(C1381,""Sell_"",""""))))/2),ROUNDUP(INDEX(Upgrades!$C$3:$C$13,MATCH(C1381,Upgrades!$B$3:$B$13,0))*1.15^(COUNTIF(C$4:C1380,C1381)-COUNTIF(C$4:C1380,""Sell_""&amp;C1381))))))"),"")</f>
        <v/>
      </c>
      <c r="H1381" s="10" t="str">
        <f t="shared" si="3"/>
        <v/>
      </c>
      <c r="I1381" s="68" t="str">
        <f t="shared" si="4"/>
        <v/>
      </c>
      <c r="J1381" s="59" t="str">
        <f t="shared" si="5"/>
        <v/>
      </c>
      <c r="K1381" s="69" t="str">
        <f t="shared" si="6"/>
        <v/>
      </c>
      <c r="L1381" s="60" t="str">
        <f t="shared" si="7"/>
        <v/>
      </c>
      <c r="M1381" s="61" t="str">
        <f>IFERROR(__xludf.DUMMYFUNCTION("IFS(AND(COUNTA(C1381:C1673)=0,COUNTA(Q1381:Q1673)=0),"""",OR(AND(K1381&gt;=1000000000,OR(Y1381&gt;=1000000000,COUNTA(Q1381:Q1673)=0)),OR(Y1381&gt;=1000000000,AND(COUNTA(C1381:C1673)=0,P$3=TRUE))),
ROUNDDOWN((AB$1-AC$1)*MAX(INDEX(T$4:T1673,MATCH(LARGE(FILTER(Y$4:Y1"&amp;"673,Y$4:Y1673&lt;1000000000),1),Y$4:Y1673)),INDEX(F$4:F1673,MATCH(LARGE(FILTER(K$4:K1673,K$4:K1673&lt;1000000000),1),K$4:K1673)))),AND(K1381&lt;1000000000,COUNTA(C1381:C1673)&gt;0,P$3=FALSE),
ROUNDDOWN(INDEX(Y$4:Y1673,MATCH(LARGE(FILTER(W$4:W1673,W$4:W1673&lt;=I1381),1)"&amp;",W$4:W1673))+(I1381-LARGE(FILTER(W$4:W1673,W$4:W1673&lt;=I1381),1))*INDEX(T$4:T1673,MATCH(LARGE(FILTER(W$4:W1673,W$4:W1673&lt;=I1381),1),W$4:W1673))-K1381),1,
ROUNDDOWN(Y1381-INDEX(K$4:K1673,MATCH(LARGE(FILTER(I$4:I1673,I$4:I1673&lt;=W1381),1),I$4:I1673))-(W1381-L"&amp;"ARGE(FILTER(I$4:I1673,I$4:I1673&lt;=W1381),1))*INDEX(F$4:F1673,MATCH(LARGE(FILTER(I$4:I1673,I$4:I1673&lt;=W1381),1),I$4:I1673))))"),"")</f>
        <v/>
      </c>
      <c r="N1381" s="60" t="str">
        <f t="shared" si="8"/>
        <v/>
      </c>
      <c r="O1381" s="61" t="str">
        <f t="shared" si="9"/>
        <v/>
      </c>
      <c r="P1381" s="56" t="str">
        <f t="shared" si="10"/>
        <v/>
      </c>
      <c r="Q1381" s="67"/>
      <c r="R1381" s="10"/>
      <c r="S1381" s="59" t="str">
        <f t="array" ref="S1381">IF(COUNTA(Q1381:Q1673)=0,"",SUM((COUNTIF(Q$4:Q1381,Upgrades!$B$3:$B$13)-COUNTIF(Q$4:Q1381,"Sell_"&amp;Upgrades!$B$3:$B$13))*Upgrades!$D$3:$D$13))</f>
        <v/>
      </c>
      <c r="T1381" s="66" t="str">
        <f>IFERROR(__xludf.DUMMYFUNCTION("IF(COUNTA(Q1381:Q1673)=0,"""",IF(REGEXMATCH(INDEX(FILTER(Q$4:Q1381,Q$4:Q1381&lt;&gt;""""),ROWS(FILTER(Q$4:Q1381,Q$4:Q1381&lt;&gt;""""))),""^Sell_""),INDEX(FILTER(T$4:T1380,Q$4:Q1380&lt;&gt;""""),ROWS(FILTER(Q$4:Q1380,Q$4:Q1380&lt;&gt;""""))),$AD$5+S1381))"),"")</f>
        <v/>
      </c>
      <c r="U1381" s="10" t="str">
        <f>IFERROR(__xludf.DUMMYFUNCTION("IF(COUNTA(Q1381:Q1673)=0,"""",IF(Q1381="""",0,IF(REGEXMATCH(Q1381,""^Sell_""),-ROUNDDOWN(ROUNDUP(INDEX(Upgrades!$C$3:$C$13,MATCH(SUBSTITUTE(Q1381,""Sell_"",""""),Upgrades!$B$3:$B$13,0))*1.15^(COUNTIF(Q$4:Q1380,SUBSTITUTE(Q1381,""Sell_"",""""))-COUNTIF(Q$4"&amp;":Q1380,""Sell_""&amp;SUBSTITUTE(Q1381,""Sell_"",""""))))/2),ROUNDUP(INDEX(Upgrades!$C$3:$C$13,MATCH(Q1381,Upgrades!$B$3:$B$13,0))*1.15^(COUNTIF(Q$4:Q1380,Q1381)-COUNTIF(Q$4:Q1380,""Sell_""&amp;Q1381))))))"),"")</f>
        <v/>
      </c>
      <c r="V1381" s="10" t="str">
        <f t="shared" si="11"/>
        <v/>
      </c>
      <c r="W1381" s="68" t="str">
        <f t="shared" si="12"/>
        <v/>
      </c>
      <c r="X1381" s="59" t="str">
        <f t="shared" si="13"/>
        <v/>
      </c>
      <c r="Y1381" s="69" t="str">
        <f t="shared" si="14"/>
        <v/>
      </c>
      <c r="Z1381" s="11"/>
    </row>
    <row r="1382">
      <c r="A1382" s="8"/>
      <c r="B1382" s="56" t="str">
        <f t="shared" si="2"/>
        <v/>
      </c>
      <c r="C1382" s="105"/>
      <c r="D1382" s="10"/>
      <c r="E1382" s="59" t="str">
        <f t="array" ref="E1382">IF(COUNTA(C1382:C1673)=0,"",SUM((COUNTIF(C$4:C1382,Upgrades!$B$3:$B$13)-COUNTIF(C$4:C1382,"Sell_"&amp;Upgrades!$B$3:$B$13))*Upgrades!$D$3:$D$13))</f>
        <v/>
      </c>
      <c r="F1382" s="66" t="str">
        <f>IFERROR(__xludf.DUMMYFUNCTION("IF(COUNTA(C1382:C1673)=0,"""",IF(REGEXMATCH(INDEX(FILTER(C$4:C1382,C$4:C1382&lt;&gt;""""),ROWS(FILTER(C$4:C1382,C$4:C1382&lt;&gt;""""))),""^Sell_""),INDEX(FILTER(F$4:F1381,C$4:C1381&lt;&gt;""""),ROWS(FILTER(C$4:C1381,C$4:C1381&lt;&gt;""""))),$AC$5+E1382))"),"")</f>
        <v/>
      </c>
      <c r="G1382" s="10" t="str">
        <f>IFERROR(__xludf.DUMMYFUNCTION("IF(COUNTA(C1382:C1673)=0,"""",IF(C1382="""",0,IF(REGEXMATCH(C1382,""^Sell_""),-ROUNDDOWN(ROUNDUP(INDEX(Upgrades!$C$3:$C$13,MATCH(SUBSTITUTE(C1382,""Sell_"",""""),Upgrades!$B$3:$B$13,0))*1.15^(COUNTIF(C$4:C1381,SUBSTITUTE(C1382,""Sell_"",""""))-COUNTIF(C$4"&amp;":C1381,""Sell_""&amp;SUBSTITUTE(C1382,""Sell_"",""""))))/2),ROUNDUP(INDEX(Upgrades!$C$3:$C$13,MATCH(C1382,Upgrades!$B$3:$B$13,0))*1.15^(COUNTIF(C$4:C1381,C1382)-COUNTIF(C$4:C1381,""Sell_""&amp;C1382))))))"),"")</f>
        <v/>
      </c>
      <c r="H1382" s="10" t="str">
        <f t="shared" si="3"/>
        <v/>
      </c>
      <c r="I1382" s="68" t="str">
        <f t="shared" si="4"/>
        <v/>
      </c>
      <c r="J1382" s="59" t="str">
        <f t="shared" si="5"/>
        <v/>
      </c>
      <c r="K1382" s="69" t="str">
        <f t="shared" si="6"/>
        <v/>
      </c>
      <c r="L1382" s="60" t="str">
        <f t="shared" si="7"/>
        <v/>
      </c>
      <c r="M1382" s="61" t="str">
        <f>IFERROR(__xludf.DUMMYFUNCTION("IFS(AND(COUNTA(C1382:C1673)=0,COUNTA(Q1382:Q1673)=0),"""",OR(AND(K1382&gt;=1000000000,OR(Y1382&gt;=1000000000,COUNTA(Q1382:Q1673)=0)),OR(Y1382&gt;=1000000000,AND(COUNTA(C1382:C1673)=0,P$3=TRUE))),
ROUNDDOWN((AB$1-AC$1)*MAX(INDEX(T$4:T1673,MATCH(LARGE(FILTER(Y$4:Y1"&amp;"673,Y$4:Y1673&lt;1000000000),1),Y$4:Y1673)),INDEX(F$4:F1673,MATCH(LARGE(FILTER(K$4:K1673,K$4:K1673&lt;1000000000),1),K$4:K1673)))),AND(K1382&lt;1000000000,COUNTA(C1382:C1673)&gt;0,P$3=FALSE),
ROUNDDOWN(INDEX(Y$4:Y1673,MATCH(LARGE(FILTER(W$4:W1673,W$4:W1673&lt;=I1382),1)"&amp;",W$4:W1673))+(I1382-LARGE(FILTER(W$4:W1673,W$4:W1673&lt;=I1382),1))*INDEX(T$4:T1673,MATCH(LARGE(FILTER(W$4:W1673,W$4:W1673&lt;=I1382),1),W$4:W1673))-K1382),1,
ROUNDDOWN(Y1382-INDEX(K$4:K1673,MATCH(LARGE(FILTER(I$4:I1673,I$4:I1673&lt;=W1382),1),I$4:I1673))-(W1382-L"&amp;"ARGE(FILTER(I$4:I1673,I$4:I1673&lt;=W1382),1))*INDEX(F$4:F1673,MATCH(LARGE(FILTER(I$4:I1673,I$4:I1673&lt;=W1382),1),I$4:I1673))))"),"")</f>
        <v/>
      </c>
      <c r="N1382" s="60" t="str">
        <f t="shared" si="8"/>
        <v/>
      </c>
      <c r="O1382" s="61" t="str">
        <f t="shared" si="9"/>
        <v/>
      </c>
      <c r="P1382" s="56" t="str">
        <f t="shared" si="10"/>
        <v/>
      </c>
      <c r="Q1382" s="67"/>
      <c r="R1382" s="10"/>
      <c r="S1382" s="59" t="str">
        <f t="array" ref="S1382">IF(COUNTA(Q1382:Q1673)=0,"",SUM((COUNTIF(Q$4:Q1382,Upgrades!$B$3:$B$13)-COUNTIF(Q$4:Q1382,"Sell_"&amp;Upgrades!$B$3:$B$13))*Upgrades!$D$3:$D$13))</f>
        <v/>
      </c>
      <c r="T1382" s="66" t="str">
        <f>IFERROR(__xludf.DUMMYFUNCTION("IF(COUNTA(Q1382:Q1673)=0,"""",IF(REGEXMATCH(INDEX(FILTER(Q$4:Q1382,Q$4:Q1382&lt;&gt;""""),ROWS(FILTER(Q$4:Q1382,Q$4:Q1382&lt;&gt;""""))),""^Sell_""),INDEX(FILTER(T$4:T1381,Q$4:Q1381&lt;&gt;""""),ROWS(FILTER(Q$4:Q1381,Q$4:Q1381&lt;&gt;""""))),$AD$5+S1382))"),"")</f>
        <v/>
      </c>
      <c r="U1382" s="10" t="str">
        <f>IFERROR(__xludf.DUMMYFUNCTION("IF(COUNTA(Q1382:Q1673)=0,"""",IF(Q1382="""",0,IF(REGEXMATCH(Q1382,""^Sell_""),-ROUNDDOWN(ROUNDUP(INDEX(Upgrades!$C$3:$C$13,MATCH(SUBSTITUTE(Q1382,""Sell_"",""""),Upgrades!$B$3:$B$13,0))*1.15^(COUNTIF(Q$4:Q1381,SUBSTITUTE(Q1382,""Sell_"",""""))-COUNTIF(Q$4"&amp;":Q1381,""Sell_""&amp;SUBSTITUTE(Q1382,""Sell_"",""""))))/2),ROUNDUP(INDEX(Upgrades!$C$3:$C$13,MATCH(Q1382,Upgrades!$B$3:$B$13,0))*1.15^(COUNTIF(Q$4:Q1381,Q1382)-COUNTIF(Q$4:Q1381,""Sell_""&amp;Q1382))))))"),"")</f>
        <v/>
      </c>
      <c r="V1382" s="10" t="str">
        <f t="shared" si="11"/>
        <v/>
      </c>
      <c r="W1382" s="68" t="str">
        <f t="shared" si="12"/>
        <v/>
      </c>
      <c r="X1382" s="59" t="str">
        <f t="shared" si="13"/>
        <v/>
      </c>
      <c r="Y1382" s="69" t="str">
        <f t="shared" si="14"/>
        <v/>
      </c>
      <c r="Z1382" s="11"/>
    </row>
    <row r="1383">
      <c r="A1383" s="8"/>
      <c r="B1383" s="56" t="str">
        <f t="shared" si="2"/>
        <v/>
      </c>
      <c r="C1383" s="105"/>
      <c r="D1383" s="10"/>
      <c r="E1383" s="59" t="str">
        <f t="array" ref="E1383">IF(COUNTA(C1383:C1673)=0,"",SUM((COUNTIF(C$4:C1383,Upgrades!$B$3:$B$13)-COUNTIF(C$4:C1383,"Sell_"&amp;Upgrades!$B$3:$B$13))*Upgrades!$D$3:$D$13))</f>
        <v/>
      </c>
      <c r="F1383" s="66" t="str">
        <f>IFERROR(__xludf.DUMMYFUNCTION("IF(COUNTA(C1383:C1673)=0,"""",IF(REGEXMATCH(INDEX(FILTER(C$4:C1383,C$4:C1383&lt;&gt;""""),ROWS(FILTER(C$4:C1383,C$4:C1383&lt;&gt;""""))),""^Sell_""),INDEX(FILTER(F$4:F1382,C$4:C1382&lt;&gt;""""),ROWS(FILTER(C$4:C1382,C$4:C1382&lt;&gt;""""))),$AC$5+E1383))"),"")</f>
        <v/>
      </c>
      <c r="G1383" s="10" t="str">
        <f>IFERROR(__xludf.DUMMYFUNCTION("IF(COUNTA(C1383:C1673)=0,"""",IF(C1383="""",0,IF(REGEXMATCH(C1383,""^Sell_""),-ROUNDDOWN(ROUNDUP(INDEX(Upgrades!$C$3:$C$13,MATCH(SUBSTITUTE(C1383,""Sell_"",""""),Upgrades!$B$3:$B$13,0))*1.15^(COUNTIF(C$4:C1382,SUBSTITUTE(C1383,""Sell_"",""""))-COUNTIF(C$4"&amp;":C1382,""Sell_""&amp;SUBSTITUTE(C1383,""Sell_"",""""))))/2),ROUNDUP(INDEX(Upgrades!$C$3:$C$13,MATCH(C1383,Upgrades!$B$3:$B$13,0))*1.15^(COUNTIF(C$4:C1382,C1383)-COUNTIF(C$4:C1382,""Sell_""&amp;C1383))))))"),"")</f>
        <v/>
      </c>
      <c r="H1383" s="10" t="str">
        <f t="shared" si="3"/>
        <v/>
      </c>
      <c r="I1383" s="68" t="str">
        <f t="shared" si="4"/>
        <v/>
      </c>
      <c r="J1383" s="59" t="str">
        <f t="shared" si="5"/>
        <v/>
      </c>
      <c r="K1383" s="69" t="str">
        <f t="shared" si="6"/>
        <v/>
      </c>
      <c r="L1383" s="60" t="str">
        <f t="shared" si="7"/>
        <v/>
      </c>
      <c r="M1383" s="61" t="str">
        <f>IFERROR(__xludf.DUMMYFUNCTION("IFS(AND(COUNTA(C1383:C1673)=0,COUNTA(Q1383:Q1673)=0),"""",OR(AND(K1383&gt;=1000000000,OR(Y1383&gt;=1000000000,COUNTA(Q1383:Q1673)=0)),OR(Y1383&gt;=1000000000,AND(COUNTA(C1383:C1673)=0,P$3=TRUE))),
ROUNDDOWN((AB$1-AC$1)*MAX(INDEX(T$4:T1673,MATCH(LARGE(FILTER(Y$4:Y1"&amp;"673,Y$4:Y1673&lt;1000000000),1),Y$4:Y1673)),INDEX(F$4:F1673,MATCH(LARGE(FILTER(K$4:K1673,K$4:K1673&lt;1000000000),1),K$4:K1673)))),AND(K1383&lt;1000000000,COUNTA(C1383:C1673)&gt;0,P$3=FALSE),
ROUNDDOWN(INDEX(Y$4:Y1673,MATCH(LARGE(FILTER(W$4:W1673,W$4:W1673&lt;=I1383),1)"&amp;",W$4:W1673))+(I1383-LARGE(FILTER(W$4:W1673,W$4:W1673&lt;=I1383),1))*INDEX(T$4:T1673,MATCH(LARGE(FILTER(W$4:W1673,W$4:W1673&lt;=I1383),1),W$4:W1673))-K1383),1,
ROUNDDOWN(Y1383-INDEX(K$4:K1673,MATCH(LARGE(FILTER(I$4:I1673,I$4:I1673&lt;=W1383),1),I$4:I1673))-(W1383-L"&amp;"ARGE(FILTER(I$4:I1673,I$4:I1673&lt;=W1383),1))*INDEX(F$4:F1673,MATCH(LARGE(FILTER(I$4:I1673,I$4:I1673&lt;=W1383),1),I$4:I1673))))"),"")</f>
        <v/>
      </c>
      <c r="N1383" s="60" t="str">
        <f t="shared" si="8"/>
        <v/>
      </c>
      <c r="O1383" s="61" t="str">
        <f t="shared" si="9"/>
        <v/>
      </c>
      <c r="P1383" s="56" t="str">
        <f t="shared" si="10"/>
        <v/>
      </c>
      <c r="Q1383" s="67"/>
      <c r="R1383" s="10"/>
      <c r="S1383" s="59" t="str">
        <f t="array" ref="S1383">IF(COUNTA(Q1383:Q1673)=0,"",SUM((COUNTIF(Q$4:Q1383,Upgrades!$B$3:$B$13)-COUNTIF(Q$4:Q1383,"Sell_"&amp;Upgrades!$B$3:$B$13))*Upgrades!$D$3:$D$13))</f>
        <v/>
      </c>
      <c r="T1383" s="66" t="str">
        <f>IFERROR(__xludf.DUMMYFUNCTION("IF(COUNTA(Q1383:Q1673)=0,"""",IF(REGEXMATCH(INDEX(FILTER(Q$4:Q1383,Q$4:Q1383&lt;&gt;""""),ROWS(FILTER(Q$4:Q1383,Q$4:Q1383&lt;&gt;""""))),""^Sell_""),INDEX(FILTER(T$4:T1382,Q$4:Q1382&lt;&gt;""""),ROWS(FILTER(Q$4:Q1382,Q$4:Q1382&lt;&gt;""""))),$AD$5+S1383))"),"")</f>
        <v/>
      </c>
      <c r="U1383" s="10" t="str">
        <f>IFERROR(__xludf.DUMMYFUNCTION("IF(COUNTA(Q1383:Q1673)=0,"""",IF(Q1383="""",0,IF(REGEXMATCH(Q1383,""^Sell_""),-ROUNDDOWN(ROUNDUP(INDEX(Upgrades!$C$3:$C$13,MATCH(SUBSTITUTE(Q1383,""Sell_"",""""),Upgrades!$B$3:$B$13,0))*1.15^(COUNTIF(Q$4:Q1382,SUBSTITUTE(Q1383,""Sell_"",""""))-COUNTIF(Q$4"&amp;":Q1382,""Sell_""&amp;SUBSTITUTE(Q1383,""Sell_"",""""))))/2),ROUNDUP(INDEX(Upgrades!$C$3:$C$13,MATCH(Q1383,Upgrades!$B$3:$B$13,0))*1.15^(COUNTIF(Q$4:Q1382,Q1383)-COUNTIF(Q$4:Q1382,""Sell_""&amp;Q1383))))))"),"")</f>
        <v/>
      </c>
      <c r="V1383" s="10" t="str">
        <f t="shared" si="11"/>
        <v/>
      </c>
      <c r="W1383" s="68" t="str">
        <f t="shared" si="12"/>
        <v/>
      </c>
      <c r="X1383" s="59" t="str">
        <f t="shared" si="13"/>
        <v/>
      </c>
      <c r="Y1383" s="69" t="str">
        <f t="shared" si="14"/>
        <v/>
      </c>
      <c r="Z1383" s="11"/>
    </row>
    <row r="1384">
      <c r="A1384" s="8"/>
      <c r="B1384" s="56" t="str">
        <f t="shared" si="2"/>
        <v/>
      </c>
      <c r="C1384" s="105"/>
      <c r="D1384" s="10"/>
      <c r="E1384" s="59" t="str">
        <f t="array" ref="E1384">IF(COUNTA(C1384:C1673)=0,"",SUM((COUNTIF(C$4:C1384,Upgrades!$B$3:$B$13)-COUNTIF(C$4:C1384,"Sell_"&amp;Upgrades!$B$3:$B$13))*Upgrades!$D$3:$D$13))</f>
        <v/>
      </c>
      <c r="F1384" s="66" t="str">
        <f>IFERROR(__xludf.DUMMYFUNCTION("IF(COUNTA(C1384:C1673)=0,"""",IF(REGEXMATCH(INDEX(FILTER(C$4:C1384,C$4:C1384&lt;&gt;""""),ROWS(FILTER(C$4:C1384,C$4:C1384&lt;&gt;""""))),""^Sell_""),INDEX(FILTER(F$4:F1383,C$4:C1383&lt;&gt;""""),ROWS(FILTER(C$4:C1383,C$4:C1383&lt;&gt;""""))),$AC$5+E1384))"),"")</f>
        <v/>
      </c>
      <c r="G1384" s="10" t="str">
        <f>IFERROR(__xludf.DUMMYFUNCTION("IF(COUNTA(C1384:C1673)=0,"""",IF(C1384="""",0,IF(REGEXMATCH(C1384,""^Sell_""),-ROUNDDOWN(ROUNDUP(INDEX(Upgrades!$C$3:$C$13,MATCH(SUBSTITUTE(C1384,""Sell_"",""""),Upgrades!$B$3:$B$13,0))*1.15^(COUNTIF(C$4:C1383,SUBSTITUTE(C1384,""Sell_"",""""))-COUNTIF(C$4"&amp;":C1383,""Sell_""&amp;SUBSTITUTE(C1384,""Sell_"",""""))))/2),ROUNDUP(INDEX(Upgrades!$C$3:$C$13,MATCH(C1384,Upgrades!$B$3:$B$13,0))*1.15^(COUNTIF(C$4:C1383,C1384)-COUNTIF(C$4:C1383,""Sell_""&amp;C1384))))))"),"")</f>
        <v/>
      </c>
      <c r="H1384" s="10" t="str">
        <f t="shared" si="3"/>
        <v/>
      </c>
      <c r="I1384" s="68" t="str">
        <f t="shared" si="4"/>
        <v/>
      </c>
      <c r="J1384" s="59" t="str">
        <f t="shared" si="5"/>
        <v/>
      </c>
      <c r="K1384" s="69" t="str">
        <f t="shared" si="6"/>
        <v/>
      </c>
      <c r="L1384" s="60" t="str">
        <f t="shared" si="7"/>
        <v/>
      </c>
      <c r="M1384" s="61" t="str">
        <f>IFERROR(__xludf.DUMMYFUNCTION("IFS(AND(COUNTA(C1384:C1673)=0,COUNTA(Q1384:Q1673)=0),"""",OR(AND(K1384&gt;=1000000000,OR(Y1384&gt;=1000000000,COUNTA(Q1384:Q1673)=0)),OR(Y1384&gt;=1000000000,AND(COUNTA(C1384:C1673)=0,P$3=TRUE))),
ROUNDDOWN((AB$1-AC$1)*MAX(INDEX(T$4:T1673,MATCH(LARGE(FILTER(Y$4:Y1"&amp;"673,Y$4:Y1673&lt;1000000000),1),Y$4:Y1673)),INDEX(F$4:F1673,MATCH(LARGE(FILTER(K$4:K1673,K$4:K1673&lt;1000000000),1),K$4:K1673)))),AND(K1384&lt;1000000000,COUNTA(C1384:C1673)&gt;0,P$3=FALSE),
ROUNDDOWN(INDEX(Y$4:Y1673,MATCH(LARGE(FILTER(W$4:W1673,W$4:W1673&lt;=I1384),1)"&amp;",W$4:W1673))+(I1384-LARGE(FILTER(W$4:W1673,W$4:W1673&lt;=I1384),1))*INDEX(T$4:T1673,MATCH(LARGE(FILTER(W$4:W1673,W$4:W1673&lt;=I1384),1),W$4:W1673))-K1384),1,
ROUNDDOWN(Y1384-INDEX(K$4:K1673,MATCH(LARGE(FILTER(I$4:I1673,I$4:I1673&lt;=W1384),1),I$4:I1673))-(W1384-L"&amp;"ARGE(FILTER(I$4:I1673,I$4:I1673&lt;=W1384),1))*INDEX(F$4:F1673,MATCH(LARGE(FILTER(I$4:I1673,I$4:I1673&lt;=W1384),1),I$4:I1673))))"),"")</f>
        <v/>
      </c>
      <c r="N1384" s="60" t="str">
        <f t="shared" si="8"/>
        <v/>
      </c>
      <c r="O1384" s="61" t="str">
        <f t="shared" si="9"/>
        <v/>
      </c>
      <c r="P1384" s="56" t="str">
        <f t="shared" si="10"/>
        <v/>
      </c>
      <c r="Q1384" s="67"/>
      <c r="R1384" s="10"/>
      <c r="S1384" s="59" t="str">
        <f t="array" ref="S1384">IF(COUNTA(Q1384:Q1673)=0,"",SUM((COUNTIF(Q$4:Q1384,Upgrades!$B$3:$B$13)-COUNTIF(Q$4:Q1384,"Sell_"&amp;Upgrades!$B$3:$B$13))*Upgrades!$D$3:$D$13))</f>
        <v/>
      </c>
      <c r="T1384" s="66" t="str">
        <f>IFERROR(__xludf.DUMMYFUNCTION("IF(COUNTA(Q1384:Q1673)=0,"""",IF(REGEXMATCH(INDEX(FILTER(Q$4:Q1384,Q$4:Q1384&lt;&gt;""""),ROWS(FILTER(Q$4:Q1384,Q$4:Q1384&lt;&gt;""""))),""^Sell_""),INDEX(FILTER(T$4:T1383,Q$4:Q1383&lt;&gt;""""),ROWS(FILTER(Q$4:Q1383,Q$4:Q1383&lt;&gt;""""))),$AD$5+S1384))"),"")</f>
        <v/>
      </c>
      <c r="U1384" s="10" t="str">
        <f>IFERROR(__xludf.DUMMYFUNCTION("IF(COUNTA(Q1384:Q1673)=0,"""",IF(Q1384="""",0,IF(REGEXMATCH(Q1384,""^Sell_""),-ROUNDDOWN(ROUNDUP(INDEX(Upgrades!$C$3:$C$13,MATCH(SUBSTITUTE(Q1384,""Sell_"",""""),Upgrades!$B$3:$B$13,0))*1.15^(COUNTIF(Q$4:Q1383,SUBSTITUTE(Q1384,""Sell_"",""""))-COUNTIF(Q$4"&amp;":Q1383,""Sell_""&amp;SUBSTITUTE(Q1384,""Sell_"",""""))))/2),ROUNDUP(INDEX(Upgrades!$C$3:$C$13,MATCH(Q1384,Upgrades!$B$3:$B$13,0))*1.15^(COUNTIF(Q$4:Q1383,Q1384)-COUNTIF(Q$4:Q1383,""Sell_""&amp;Q1384))))))"),"")</f>
        <v/>
      </c>
      <c r="V1384" s="10" t="str">
        <f t="shared" si="11"/>
        <v/>
      </c>
      <c r="W1384" s="68" t="str">
        <f t="shared" si="12"/>
        <v/>
      </c>
      <c r="X1384" s="59" t="str">
        <f t="shared" si="13"/>
        <v/>
      </c>
      <c r="Y1384" s="69" t="str">
        <f t="shared" si="14"/>
        <v/>
      </c>
      <c r="Z1384" s="11"/>
    </row>
    <row r="1385">
      <c r="A1385" s="8"/>
      <c r="B1385" s="56" t="str">
        <f t="shared" si="2"/>
        <v/>
      </c>
      <c r="C1385" s="105"/>
      <c r="D1385" s="10"/>
      <c r="E1385" s="59" t="str">
        <f t="array" ref="E1385">IF(COUNTA(C1385:C1673)=0,"",SUM((COUNTIF(C$4:C1385,Upgrades!$B$3:$B$13)-COUNTIF(C$4:C1385,"Sell_"&amp;Upgrades!$B$3:$B$13))*Upgrades!$D$3:$D$13))</f>
        <v/>
      </c>
      <c r="F1385" s="66" t="str">
        <f>IFERROR(__xludf.DUMMYFUNCTION("IF(COUNTA(C1385:C1673)=0,"""",IF(REGEXMATCH(INDEX(FILTER(C$4:C1385,C$4:C1385&lt;&gt;""""),ROWS(FILTER(C$4:C1385,C$4:C1385&lt;&gt;""""))),""^Sell_""),INDEX(FILTER(F$4:F1384,C$4:C1384&lt;&gt;""""),ROWS(FILTER(C$4:C1384,C$4:C1384&lt;&gt;""""))),$AC$5+E1385))"),"")</f>
        <v/>
      </c>
      <c r="G1385" s="10" t="str">
        <f>IFERROR(__xludf.DUMMYFUNCTION("IF(COUNTA(C1385:C1673)=0,"""",IF(C1385="""",0,IF(REGEXMATCH(C1385,""^Sell_""),-ROUNDDOWN(ROUNDUP(INDEX(Upgrades!$C$3:$C$13,MATCH(SUBSTITUTE(C1385,""Sell_"",""""),Upgrades!$B$3:$B$13,0))*1.15^(COUNTIF(C$4:C1384,SUBSTITUTE(C1385,""Sell_"",""""))-COUNTIF(C$4"&amp;":C1384,""Sell_""&amp;SUBSTITUTE(C1385,""Sell_"",""""))))/2),ROUNDUP(INDEX(Upgrades!$C$3:$C$13,MATCH(C1385,Upgrades!$B$3:$B$13,0))*1.15^(COUNTIF(C$4:C1384,C1385)-COUNTIF(C$4:C1384,""Sell_""&amp;C1385))))))"),"")</f>
        <v/>
      </c>
      <c r="H1385" s="10" t="str">
        <f t="shared" si="3"/>
        <v/>
      </c>
      <c r="I1385" s="68" t="str">
        <f t="shared" si="4"/>
        <v/>
      </c>
      <c r="J1385" s="59" t="str">
        <f t="shared" si="5"/>
        <v/>
      </c>
      <c r="K1385" s="69" t="str">
        <f t="shared" si="6"/>
        <v/>
      </c>
      <c r="L1385" s="60" t="str">
        <f t="shared" si="7"/>
        <v/>
      </c>
      <c r="M1385" s="61" t="str">
        <f>IFERROR(__xludf.DUMMYFUNCTION("IFS(AND(COUNTA(C1385:C1673)=0,COUNTA(Q1385:Q1673)=0),"""",OR(AND(K1385&gt;=1000000000,OR(Y1385&gt;=1000000000,COUNTA(Q1385:Q1673)=0)),OR(Y1385&gt;=1000000000,AND(COUNTA(C1385:C1673)=0,P$3=TRUE))),
ROUNDDOWN((AB$1-AC$1)*MAX(INDEX(T$4:T1673,MATCH(LARGE(FILTER(Y$4:Y1"&amp;"673,Y$4:Y1673&lt;1000000000),1),Y$4:Y1673)),INDEX(F$4:F1673,MATCH(LARGE(FILTER(K$4:K1673,K$4:K1673&lt;1000000000),1),K$4:K1673)))),AND(K1385&lt;1000000000,COUNTA(C1385:C1673)&gt;0,P$3=FALSE),
ROUNDDOWN(INDEX(Y$4:Y1673,MATCH(LARGE(FILTER(W$4:W1673,W$4:W1673&lt;=I1385),1)"&amp;",W$4:W1673))+(I1385-LARGE(FILTER(W$4:W1673,W$4:W1673&lt;=I1385),1))*INDEX(T$4:T1673,MATCH(LARGE(FILTER(W$4:W1673,W$4:W1673&lt;=I1385),1),W$4:W1673))-K1385),1,
ROUNDDOWN(Y1385-INDEX(K$4:K1673,MATCH(LARGE(FILTER(I$4:I1673,I$4:I1673&lt;=W1385),1),I$4:I1673))-(W1385-L"&amp;"ARGE(FILTER(I$4:I1673,I$4:I1673&lt;=W1385),1))*INDEX(F$4:F1673,MATCH(LARGE(FILTER(I$4:I1673,I$4:I1673&lt;=W1385),1),I$4:I1673))))"),"")</f>
        <v/>
      </c>
      <c r="N1385" s="60" t="str">
        <f t="shared" si="8"/>
        <v/>
      </c>
      <c r="O1385" s="61" t="str">
        <f t="shared" si="9"/>
        <v/>
      </c>
      <c r="P1385" s="56" t="str">
        <f t="shared" si="10"/>
        <v/>
      </c>
      <c r="Q1385" s="67"/>
      <c r="R1385" s="10"/>
      <c r="S1385" s="59" t="str">
        <f t="array" ref="S1385">IF(COUNTA(Q1385:Q1673)=0,"",SUM((COUNTIF(Q$4:Q1385,Upgrades!$B$3:$B$13)-COUNTIF(Q$4:Q1385,"Sell_"&amp;Upgrades!$B$3:$B$13))*Upgrades!$D$3:$D$13))</f>
        <v/>
      </c>
      <c r="T1385" s="66" t="str">
        <f>IFERROR(__xludf.DUMMYFUNCTION("IF(COUNTA(Q1385:Q1673)=0,"""",IF(REGEXMATCH(INDEX(FILTER(Q$4:Q1385,Q$4:Q1385&lt;&gt;""""),ROWS(FILTER(Q$4:Q1385,Q$4:Q1385&lt;&gt;""""))),""^Sell_""),INDEX(FILTER(T$4:T1384,Q$4:Q1384&lt;&gt;""""),ROWS(FILTER(Q$4:Q1384,Q$4:Q1384&lt;&gt;""""))),$AD$5+S1385))"),"")</f>
        <v/>
      </c>
      <c r="U1385" s="10" t="str">
        <f>IFERROR(__xludf.DUMMYFUNCTION("IF(COUNTA(Q1385:Q1673)=0,"""",IF(Q1385="""",0,IF(REGEXMATCH(Q1385,""^Sell_""),-ROUNDDOWN(ROUNDUP(INDEX(Upgrades!$C$3:$C$13,MATCH(SUBSTITUTE(Q1385,""Sell_"",""""),Upgrades!$B$3:$B$13,0))*1.15^(COUNTIF(Q$4:Q1384,SUBSTITUTE(Q1385,""Sell_"",""""))-COUNTIF(Q$4"&amp;":Q1384,""Sell_""&amp;SUBSTITUTE(Q1385,""Sell_"",""""))))/2),ROUNDUP(INDEX(Upgrades!$C$3:$C$13,MATCH(Q1385,Upgrades!$B$3:$B$13,0))*1.15^(COUNTIF(Q$4:Q1384,Q1385)-COUNTIF(Q$4:Q1384,""Sell_""&amp;Q1385))))))"),"")</f>
        <v/>
      </c>
      <c r="V1385" s="10" t="str">
        <f t="shared" si="11"/>
        <v/>
      </c>
      <c r="W1385" s="68" t="str">
        <f t="shared" si="12"/>
        <v/>
      </c>
      <c r="X1385" s="59" t="str">
        <f t="shared" si="13"/>
        <v/>
      </c>
      <c r="Y1385" s="69" t="str">
        <f t="shared" si="14"/>
        <v/>
      </c>
      <c r="Z1385" s="11"/>
    </row>
    <row r="1386">
      <c r="A1386" s="8"/>
      <c r="B1386" s="56" t="str">
        <f t="shared" si="2"/>
        <v/>
      </c>
      <c r="C1386" s="105"/>
      <c r="D1386" s="10"/>
      <c r="E1386" s="59" t="str">
        <f t="array" ref="E1386">IF(COUNTA(C1386:C1673)=0,"",SUM((COUNTIF(C$4:C1386,Upgrades!$B$3:$B$13)-COUNTIF(C$4:C1386,"Sell_"&amp;Upgrades!$B$3:$B$13))*Upgrades!$D$3:$D$13))</f>
        <v/>
      </c>
      <c r="F1386" s="66" t="str">
        <f>IFERROR(__xludf.DUMMYFUNCTION("IF(COUNTA(C1386:C1673)=0,"""",IF(REGEXMATCH(INDEX(FILTER(C$4:C1386,C$4:C1386&lt;&gt;""""),ROWS(FILTER(C$4:C1386,C$4:C1386&lt;&gt;""""))),""^Sell_""),INDEX(FILTER(F$4:F1385,C$4:C1385&lt;&gt;""""),ROWS(FILTER(C$4:C1385,C$4:C1385&lt;&gt;""""))),$AC$5+E1386))"),"")</f>
        <v/>
      </c>
      <c r="G1386" s="10" t="str">
        <f>IFERROR(__xludf.DUMMYFUNCTION("IF(COUNTA(C1386:C1673)=0,"""",IF(C1386="""",0,IF(REGEXMATCH(C1386,""^Sell_""),-ROUNDDOWN(ROUNDUP(INDEX(Upgrades!$C$3:$C$13,MATCH(SUBSTITUTE(C1386,""Sell_"",""""),Upgrades!$B$3:$B$13,0))*1.15^(COUNTIF(C$4:C1385,SUBSTITUTE(C1386,""Sell_"",""""))-COUNTIF(C$4"&amp;":C1385,""Sell_""&amp;SUBSTITUTE(C1386,""Sell_"",""""))))/2),ROUNDUP(INDEX(Upgrades!$C$3:$C$13,MATCH(C1386,Upgrades!$B$3:$B$13,0))*1.15^(COUNTIF(C$4:C1385,C1386)-COUNTIF(C$4:C1385,""Sell_""&amp;C1386))))))"),"")</f>
        <v/>
      </c>
      <c r="H1386" s="10" t="str">
        <f t="shared" si="3"/>
        <v/>
      </c>
      <c r="I1386" s="68" t="str">
        <f t="shared" si="4"/>
        <v/>
      </c>
      <c r="J1386" s="59" t="str">
        <f t="shared" si="5"/>
        <v/>
      </c>
      <c r="K1386" s="69" t="str">
        <f t="shared" si="6"/>
        <v/>
      </c>
      <c r="L1386" s="60" t="str">
        <f t="shared" si="7"/>
        <v/>
      </c>
      <c r="M1386" s="61" t="str">
        <f>IFERROR(__xludf.DUMMYFUNCTION("IFS(AND(COUNTA(C1386:C1673)=0,COUNTA(Q1386:Q1673)=0),"""",OR(AND(K1386&gt;=1000000000,OR(Y1386&gt;=1000000000,COUNTA(Q1386:Q1673)=0)),OR(Y1386&gt;=1000000000,AND(COUNTA(C1386:C1673)=0,P$3=TRUE))),
ROUNDDOWN((AB$1-AC$1)*MAX(INDEX(T$4:T1673,MATCH(LARGE(FILTER(Y$4:Y1"&amp;"673,Y$4:Y1673&lt;1000000000),1),Y$4:Y1673)),INDEX(F$4:F1673,MATCH(LARGE(FILTER(K$4:K1673,K$4:K1673&lt;1000000000),1),K$4:K1673)))),AND(K1386&lt;1000000000,COUNTA(C1386:C1673)&gt;0,P$3=FALSE),
ROUNDDOWN(INDEX(Y$4:Y1673,MATCH(LARGE(FILTER(W$4:W1673,W$4:W1673&lt;=I1386),1)"&amp;",W$4:W1673))+(I1386-LARGE(FILTER(W$4:W1673,W$4:W1673&lt;=I1386),1))*INDEX(T$4:T1673,MATCH(LARGE(FILTER(W$4:W1673,W$4:W1673&lt;=I1386),1),W$4:W1673))-K1386),1,
ROUNDDOWN(Y1386-INDEX(K$4:K1673,MATCH(LARGE(FILTER(I$4:I1673,I$4:I1673&lt;=W1386),1),I$4:I1673))-(W1386-L"&amp;"ARGE(FILTER(I$4:I1673,I$4:I1673&lt;=W1386),1))*INDEX(F$4:F1673,MATCH(LARGE(FILTER(I$4:I1673,I$4:I1673&lt;=W1386),1),I$4:I1673))))"),"")</f>
        <v/>
      </c>
      <c r="N1386" s="60" t="str">
        <f t="shared" si="8"/>
        <v/>
      </c>
      <c r="O1386" s="61" t="str">
        <f t="shared" si="9"/>
        <v/>
      </c>
      <c r="P1386" s="56" t="str">
        <f t="shared" si="10"/>
        <v/>
      </c>
      <c r="Q1386" s="67"/>
      <c r="R1386" s="10"/>
      <c r="S1386" s="59" t="str">
        <f t="array" ref="S1386">IF(COUNTA(Q1386:Q1673)=0,"",SUM((COUNTIF(Q$4:Q1386,Upgrades!$B$3:$B$13)-COUNTIF(Q$4:Q1386,"Sell_"&amp;Upgrades!$B$3:$B$13))*Upgrades!$D$3:$D$13))</f>
        <v/>
      </c>
      <c r="T1386" s="66" t="str">
        <f>IFERROR(__xludf.DUMMYFUNCTION("IF(COUNTA(Q1386:Q1673)=0,"""",IF(REGEXMATCH(INDEX(FILTER(Q$4:Q1386,Q$4:Q1386&lt;&gt;""""),ROWS(FILTER(Q$4:Q1386,Q$4:Q1386&lt;&gt;""""))),""^Sell_""),INDEX(FILTER(T$4:T1385,Q$4:Q1385&lt;&gt;""""),ROWS(FILTER(Q$4:Q1385,Q$4:Q1385&lt;&gt;""""))),$AD$5+S1386))"),"")</f>
        <v/>
      </c>
      <c r="U1386" s="10" t="str">
        <f>IFERROR(__xludf.DUMMYFUNCTION("IF(COUNTA(Q1386:Q1673)=0,"""",IF(Q1386="""",0,IF(REGEXMATCH(Q1386,""^Sell_""),-ROUNDDOWN(ROUNDUP(INDEX(Upgrades!$C$3:$C$13,MATCH(SUBSTITUTE(Q1386,""Sell_"",""""),Upgrades!$B$3:$B$13,0))*1.15^(COUNTIF(Q$4:Q1385,SUBSTITUTE(Q1386,""Sell_"",""""))-COUNTIF(Q$4"&amp;":Q1385,""Sell_""&amp;SUBSTITUTE(Q1386,""Sell_"",""""))))/2),ROUNDUP(INDEX(Upgrades!$C$3:$C$13,MATCH(Q1386,Upgrades!$B$3:$B$13,0))*1.15^(COUNTIF(Q$4:Q1385,Q1386)-COUNTIF(Q$4:Q1385,""Sell_""&amp;Q1386))))))"),"")</f>
        <v/>
      </c>
      <c r="V1386" s="10" t="str">
        <f t="shared" si="11"/>
        <v/>
      </c>
      <c r="W1386" s="68" t="str">
        <f t="shared" si="12"/>
        <v/>
      </c>
      <c r="X1386" s="59" t="str">
        <f t="shared" si="13"/>
        <v/>
      </c>
      <c r="Y1386" s="69" t="str">
        <f t="shared" si="14"/>
        <v/>
      </c>
      <c r="Z1386" s="11"/>
    </row>
    <row r="1387">
      <c r="A1387" s="8"/>
      <c r="B1387" s="56" t="str">
        <f t="shared" si="2"/>
        <v/>
      </c>
      <c r="C1387" s="105"/>
      <c r="D1387" s="10"/>
      <c r="E1387" s="59" t="str">
        <f t="array" ref="E1387">IF(COUNTA(C1387:C1673)=0,"",SUM((COUNTIF(C$4:C1387,Upgrades!$B$3:$B$13)-COUNTIF(C$4:C1387,"Sell_"&amp;Upgrades!$B$3:$B$13))*Upgrades!$D$3:$D$13))</f>
        <v/>
      </c>
      <c r="F1387" s="66" t="str">
        <f>IFERROR(__xludf.DUMMYFUNCTION("IF(COUNTA(C1387:C1673)=0,"""",IF(REGEXMATCH(INDEX(FILTER(C$4:C1387,C$4:C1387&lt;&gt;""""),ROWS(FILTER(C$4:C1387,C$4:C1387&lt;&gt;""""))),""^Sell_""),INDEX(FILTER(F$4:F1386,C$4:C1386&lt;&gt;""""),ROWS(FILTER(C$4:C1386,C$4:C1386&lt;&gt;""""))),$AC$5+E1387))"),"")</f>
        <v/>
      </c>
      <c r="G1387" s="10" t="str">
        <f>IFERROR(__xludf.DUMMYFUNCTION("IF(COUNTA(C1387:C1673)=0,"""",IF(C1387="""",0,IF(REGEXMATCH(C1387,""^Sell_""),-ROUNDDOWN(ROUNDUP(INDEX(Upgrades!$C$3:$C$13,MATCH(SUBSTITUTE(C1387,""Sell_"",""""),Upgrades!$B$3:$B$13,0))*1.15^(COUNTIF(C$4:C1386,SUBSTITUTE(C1387,""Sell_"",""""))-COUNTIF(C$4"&amp;":C1386,""Sell_""&amp;SUBSTITUTE(C1387,""Sell_"",""""))))/2),ROUNDUP(INDEX(Upgrades!$C$3:$C$13,MATCH(C1387,Upgrades!$B$3:$B$13,0))*1.15^(COUNTIF(C$4:C1386,C1387)-COUNTIF(C$4:C1386,""Sell_""&amp;C1387))))))"),"")</f>
        <v/>
      </c>
      <c r="H1387" s="10" t="str">
        <f t="shared" si="3"/>
        <v/>
      </c>
      <c r="I1387" s="68" t="str">
        <f t="shared" si="4"/>
        <v/>
      </c>
      <c r="J1387" s="59" t="str">
        <f t="shared" si="5"/>
        <v/>
      </c>
      <c r="K1387" s="69" t="str">
        <f t="shared" si="6"/>
        <v/>
      </c>
      <c r="L1387" s="60" t="str">
        <f t="shared" si="7"/>
        <v/>
      </c>
      <c r="M1387" s="61" t="str">
        <f>IFERROR(__xludf.DUMMYFUNCTION("IFS(AND(COUNTA(C1387:C1673)=0,COUNTA(Q1387:Q1673)=0),"""",OR(AND(K1387&gt;=1000000000,OR(Y1387&gt;=1000000000,COUNTA(Q1387:Q1673)=0)),OR(Y1387&gt;=1000000000,AND(COUNTA(C1387:C1673)=0,P$3=TRUE))),
ROUNDDOWN((AB$1-AC$1)*MAX(INDEX(T$4:T1673,MATCH(LARGE(FILTER(Y$4:Y1"&amp;"673,Y$4:Y1673&lt;1000000000),1),Y$4:Y1673)),INDEX(F$4:F1673,MATCH(LARGE(FILTER(K$4:K1673,K$4:K1673&lt;1000000000),1),K$4:K1673)))),AND(K1387&lt;1000000000,COUNTA(C1387:C1673)&gt;0,P$3=FALSE),
ROUNDDOWN(INDEX(Y$4:Y1673,MATCH(LARGE(FILTER(W$4:W1673,W$4:W1673&lt;=I1387),1)"&amp;",W$4:W1673))+(I1387-LARGE(FILTER(W$4:W1673,W$4:W1673&lt;=I1387),1))*INDEX(T$4:T1673,MATCH(LARGE(FILTER(W$4:W1673,W$4:W1673&lt;=I1387),1),W$4:W1673))-K1387),1,
ROUNDDOWN(Y1387-INDEX(K$4:K1673,MATCH(LARGE(FILTER(I$4:I1673,I$4:I1673&lt;=W1387),1),I$4:I1673))-(W1387-L"&amp;"ARGE(FILTER(I$4:I1673,I$4:I1673&lt;=W1387),1))*INDEX(F$4:F1673,MATCH(LARGE(FILTER(I$4:I1673,I$4:I1673&lt;=W1387),1),I$4:I1673))))"),"")</f>
        <v/>
      </c>
      <c r="N1387" s="60" t="str">
        <f t="shared" si="8"/>
        <v/>
      </c>
      <c r="O1387" s="61" t="str">
        <f t="shared" si="9"/>
        <v/>
      </c>
      <c r="P1387" s="56" t="str">
        <f t="shared" si="10"/>
        <v/>
      </c>
      <c r="Q1387" s="67"/>
      <c r="R1387" s="10"/>
      <c r="S1387" s="59" t="str">
        <f t="array" ref="S1387">IF(COUNTA(Q1387:Q1673)=0,"",SUM((COUNTIF(Q$4:Q1387,Upgrades!$B$3:$B$13)-COUNTIF(Q$4:Q1387,"Sell_"&amp;Upgrades!$B$3:$B$13))*Upgrades!$D$3:$D$13))</f>
        <v/>
      </c>
      <c r="T1387" s="66" t="str">
        <f>IFERROR(__xludf.DUMMYFUNCTION("IF(COUNTA(Q1387:Q1673)=0,"""",IF(REGEXMATCH(INDEX(FILTER(Q$4:Q1387,Q$4:Q1387&lt;&gt;""""),ROWS(FILTER(Q$4:Q1387,Q$4:Q1387&lt;&gt;""""))),""^Sell_""),INDEX(FILTER(T$4:T1386,Q$4:Q1386&lt;&gt;""""),ROWS(FILTER(Q$4:Q1386,Q$4:Q1386&lt;&gt;""""))),$AD$5+S1387))"),"")</f>
        <v/>
      </c>
      <c r="U1387" s="10" t="str">
        <f>IFERROR(__xludf.DUMMYFUNCTION("IF(COUNTA(Q1387:Q1673)=0,"""",IF(Q1387="""",0,IF(REGEXMATCH(Q1387,""^Sell_""),-ROUNDDOWN(ROUNDUP(INDEX(Upgrades!$C$3:$C$13,MATCH(SUBSTITUTE(Q1387,""Sell_"",""""),Upgrades!$B$3:$B$13,0))*1.15^(COUNTIF(Q$4:Q1386,SUBSTITUTE(Q1387,""Sell_"",""""))-COUNTIF(Q$4"&amp;":Q1386,""Sell_""&amp;SUBSTITUTE(Q1387,""Sell_"",""""))))/2),ROUNDUP(INDEX(Upgrades!$C$3:$C$13,MATCH(Q1387,Upgrades!$B$3:$B$13,0))*1.15^(COUNTIF(Q$4:Q1386,Q1387)-COUNTIF(Q$4:Q1386,""Sell_""&amp;Q1387))))))"),"")</f>
        <v/>
      </c>
      <c r="V1387" s="10" t="str">
        <f t="shared" si="11"/>
        <v/>
      </c>
      <c r="W1387" s="68" t="str">
        <f t="shared" si="12"/>
        <v/>
      </c>
      <c r="X1387" s="59" t="str">
        <f t="shared" si="13"/>
        <v/>
      </c>
      <c r="Y1387" s="69" t="str">
        <f t="shared" si="14"/>
        <v/>
      </c>
      <c r="Z1387" s="11"/>
    </row>
    <row r="1388">
      <c r="A1388" s="8"/>
      <c r="B1388" s="56" t="str">
        <f t="shared" si="2"/>
        <v/>
      </c>
      <c r="C1388" s="105"/>
      <c r="D1388" s="10"/>
      <c r="E1388" s="59" t="str">
        <f t="array" ref="E1388">IF(COUNTA(C1388:C1673)=0,"",SUM((COUNTIF(C$4:C1388,Upgrades!$B$3:$B$13)-COUNTIF(C$4:C1388,"Sell_"&amp;Upgrades!$B$3:$B$13))*Upgrades!$D$3:$D$13))</f>
        <v/>
      </c>
      <c r="F1388" s="66" t="str">
        <f>IFERROR(__xludf.DUMMYFUNCTION("IF(COUNTA(C1388:C1673)=0,"""",IF(REGEXMATCH(INDEX(FILTER(C$4:C1388,C$4:C1388&lt;&gt;""""),ROWS(FILTER(C$4:C1388,C$4:C1388&lt;&gt;""""))),""^Sell_""),INDEX(FILTER(F$4:F1387,C$4:C1387&lt;&gt;""""),ROWS(FILTER(C$4:C1387,C$4:C1387&lt;&gt;""""))),$AC$5+E1388))"),"")</f>
        <v/>
      </c>
      <c r="G1388" s="10" t="str">
        <f>IFERROR(__xludf.DUMMYFUNCTION("IF(COUNTA(C1388:C1673)=0,"""",IF(C1388="""",0,IF(REGEXMATCH(C1388,""^Sell_""),-ROUNDDOWN(ROUNDUP(INDEX(Upgrades!$C$3:$C$13,MATCH(SUBSTITUTE(C1388,""Sell_"",""""),Upgrades!$B$3:$B$13,0))*1.15^(COUNTIF(C$4:C1387,SUBSTITUTE(C1388,""Sell_"",""""))-COUNTIF(C$4"&amp;":C1387,""Sell_""&amp;SUBSTITUTE(C1388,""Sell_"",""""))))/2),ROUNDUP(INDEX(Upgrades!$C$3:$C$13,MATCH(C1388,Upgrades!$B$3:$B$13,0))*1.15^(COUNTIF(C$4:C1387,C1388)-COUNTIF(C$4:C1387,""Sell_""&amp;C1388))))))"),"")</f>
        <v/>
      </c>
      <c r="H1388" s="10" t="str">
        <f t="shared" si="3"/>
        <v/>
      </c>
      <c r="I1388" s="68" t="str">
        <f t="shared" si="4"/>
        <v/>
      </c>
      <c r="J1388" s="59" t="str">
        <f t="shared" si="5"/>
        <v/>
      </c>
      <c r="K1388" s="69" t="str">
        <f t="shared" si="6"/>
        <v/>
      </c>
      <c r="L1388" s="60" t="str">
        <f t="shared" si="7"/>
        <v/>
      </c>
      <c r="M1388" s="61" t="str">
        <f>IFERROR(__xludf.DUMMYFUNCTION("IFS(AND(COUNTA(C1388:C1673)=0,COUNTA(Q1388:Q1673)=0),"""",OR(AND(K1388&gt;=1000000000,OR(Y1388&gt;=1000000000,COUNTA(Q1388:Q1673)=0)),OR(Y1388&gt;=1000000000,AND(COUNTA(C1388:C1673)=0,P$3=TRUE))),
ROUNDDOWN((AB$1-AC$1)*MAX(INDEX(T$4:T1673,MATCH(LARGE(FILTER(Y$4:Y1"&amp;"673,Y$4:Y1673&lt;1000000000),1),Y$4:Y1673)),INDEX(F$4:F1673,MATCH(LARGE(FILTER(K$4:K1673,K$4:K1673&lt;1000000000),1),K$4:K1673)))),AND(K1388&lt;1000000000,COUNTA(C1388:C1673)&gt;0,P$3=FALSE),
ROUNDDOWN(INDEX(Y$4:Y1673,MATCH(LARGE(FILTER(W$4:W1673,W$4:W1673&lt;=I1388),1)"&amp;",W$4:W1673))+(I1388-LARGE(FILTER(W$4:W1673,W$4:W1673&lt;=I1388),1))*INDEX(T$4:T1673,MATCH(LARGE(FILTER(W$4:W1673,W$4:W1673&lt;=I1388),1),W$4:W1673))-K1388),1,
ROUNDDOWN(Y1388-INDEX(K$4:K1673,MATCH(LARGE(FILTER(I$4:I1673,I$4:I1673&lt;=W1388),1),I$4:I1673))-(W1388-L"&amp;"ARGE(FILTER(I$4:I1673,I$4:I1673&lt;=W1388),1))*INDEX(F$4:F1673,MATCH(LARGE(FILTER(I$4:I1673,I$4:I1673&lt;=W1388),1),I$4:I1673))))"),"")</f>
        <v/>
      </c>
      <c r="N1388" s="60" t="str">
        <f t="shared" si="8"/>
        <v/>
      </c>
      <c r="O1388" s="61" t="str">
        <f t="shared" si="9"/>
        <v/>
      </c>
      <c r="P1388" s="56" t="str">
        <f t="shared" si="10"/>
        <v/>
      </c>
      <c r="Q1388" s="67"/>
      <c r="R1388" s="10"/>
      <c r="S1388" s="59" t="str">
        <f t="array" ref="S1388">IF(COUNTA(Q1388:Q1673)=0,"",SUM((COUNTIF(Q$4:Q1388,Upgrades!$B$3:$B$13)-COUNTIF(Q$4:Q1388,"Sell_"&amp;Upgrades!$B$3:$B$13))*Upgrades!$D$3:$D$13))</f>
        <v/>
      </c>
      <c r="T1388" s="66" t="str">
        <f>IFERROR(__xludf.DUMMYFUNCTION("IF(COUNTA(Q1388:Q1673)=0,"""",IF(REGEXMATCH(INDEX(FILTER(Q$4:Q1388,Q$4:Q1388&lt;&gt;""""),ROWS(FILTER(Q$4:Q1388,Q$4:Q1388&lt;&gt;""""))),""^Sell_""),INDEX(FILTER(T$4:T1387,Q$4:Q1387&lt;&gt;""""),ROWS(FILTER(Q$4:Q1387,Q$4:Q1387&lt;&gt;""""))),$AD$5+S1388))"),"")</f>
        <v/>
      </c>
      <c r="U1388" s="10" t="str">
        <f>IFERROR(__xludf.DUMMYFUNCTION("IF(COUNTA(Q1388:Q1673)=0,"""",IF(Q1388="""",0,IF(REGEXMATCH(Q1388,""^Sell_""),-ROUNDDOWN(ROUNDUP(INDEX(Upgrades!$C$3:$C$13,MATCH(SUBSTITUTE(Q1388,""Sell_"",""""),Upgrades!$B$3:$B$13,0))*1.15^(COUNTIF(Q$4:Q1387,SUBSTITUTE(Q1388,""Sell_"",""""))-COUNTIF(Q$4"&amp;":Q1387,""Sell_""&amp;SUBSTITUTE(Q1388,""Sell_"",""""))))/2),ROUNDUP(INDEX(Upgrades!$C$3:$C$13,MATCH(Q1388,Upgrades!$B$3:$B$13,0))*1.15^(COUNTIF(Q$4:Q1387,Q1388)-COUNTIF(Q$4:Q1387,""Sell_""&amp;Q1388))))))"),"")</f>
        <v/>
      </c>
      <c r="V1388" s="10" t="str">
        <f t="shared" si="11"/>
        <v/>
      </c>
      <c r="W1388" s="68" t="str">
        <f t="shared" si="12"/>
        <v/>
      </c>
      <c r="X1388" s="59" t="str">
        <f t="shared" si="13"/>
        <v/>
      </c>
      <c r="Y1388" s="69" t="str">
        <f t="shared" si="14"/>
        <v/>
      </c>
      <c r="Z1388" s="11"/>
    </row>
    <row r="1389">
      <c r="A1389" s="8"/>
      <c r="B1389" s="56" t="str">
        <f t="shared" si="2"/>
        <v/>
      </c>
      <c r="C1389" s="105"/>
      <c r="D1389" s="10"/>
      <c r="E1389" s="59" t="str">
        <f t="array" ref="E1389">IF(COUNTA(C1389:C1673)=0,"",SUM((COUNTIF(C$4:C1389,Upgrades!$B$3:$B$13)-COUNTIF(C$4:C1389,"Sell_"&amp;Upgrades!$B$3:$B$13))*Upgrades!$D$3:$D$13))</f>
        <v/>
      </c>
      <c r="F1389" s="66" t="str">
        <f>IFERROR(__xludf.DUMMYFUNCTION("IF(COUNTA(C1389:C1673)=0,"""",IF(REGEXMATCH(INDEX(FILTER(C$4:C1389,C$4:C1389&lt;&gt;""""),ROWS(FILTER(C$4:C1389,C$4:C1389&lt;&gt;""""))),""^Sell_""),INDEX(FILTER(F$4:F1388,C$4:C1388&lt;&gt;""""),ROWS(FILTER(C$4:C1388,C$4:C1388&lt;&gt;""""))),$AC$5+E1389))"),"")</f>
        <v/>
      </c>
      <c r="G1389" s="10" t="str">
        <f>IFERROR(__xludf.DUMMYFUNCTION("IF(COUNTA(C1389:C1673)=0,"""",IF(C1389="""",0,IF(REGEXMATCH(C1389,""^Sell_""),-ROUNDDOWN(ROUNDUP(INDEX(Upgrades!$C$3:$C$13,MATCH(SUBSTITUTE(C1389,""Sell_"",""""),Upgrades!$B$3:$B$13,0))*1.15^(COUNTIF(C$4:C1388,SUBSTITUTE(C1389,""Sell_"",""""))-COUNTIF(C$4"&amp;":C1388,""Sell_""&amp;SUBSTITUTE(C1389,""Sell_"",""""))))/2),ROUNDUP(INDEX(Upgrades!$C$3:$C$13,MATCH(C1389,Upgrades!$B$3:$B$13,0))*1.15^(COUNTIF(C$4:C1388,C1389)-COUNTIF(C$4:C1388,""Sell_""&amp;C1389))))))"),"")</f>
        <v/>
      </c>
      <c r="H1389" s="10" t="str">
        <f t="shared" si="3"/>
        <v/>
      </c>
      <c r="I1389" s="68" t="str">
        <f t="shared" si="4"/>
        <v/>
      </c>
      <c r="J1389" s="59" t="str">
        <f t="shared" si="5"/>
        <v/>
      </c>
      <c r="K1389" s="69" t="str">
        <f t="shared" si="6"/>
        <v/>
      </c>
      <c r="L1389" s="60" t="str">
        <f t="shared" si="7"/>
        <v/>
      </c>
      <c r="M1389" s="61" t="str">
        <f>IFERROR(__xludf.DUMMYFUNCTION("IFS(AND(COUNTA(C1389:C1673)=0,COUNTA(Q1389:Q1673)=0),"""",OR(AND(K1389&gt;=1000000000,OR(Y1389&gt;=1000000000,COUNTA(Q1389:Q1673)=0)),OR(Y1389&gt;=1000000000,AND(COUNTA(C1389:C1673)=0,P$3=TRUE))),
ROUNDDOWN((AB$1-AC$1)*MAX(INDEX(T$4:T1673,MATCH(LARGE(FILTER(Y$4:Y1"&amp;"673,Y$4:Y1673&lt;1000000000),1),Y$4:Y1673)),INDEX(F$4:F1673,MATCH(LARGE(FILTER(K$4:K1673,K$4:K1673&lt;1000000000),1),K$4:K1673)))),AND(K1389&lt;1000000000,COUNTA(C1389:C1673)&gt;0,P$3=FALSE),
ROUNDDOWN(INDEX(Y$4:Y1673,MATCH(LARGE(FILTER(W$4:W1673,W$4:W1673&lt;=I1389),1)"&amp;",W$4:W1673))+(I1389-LARGE(FILTER(W$4:W1673,W$4:W1673&lt;=I1389),1))*INDEX(T$4:T1673,MATCH(LARGE(FILTER(W$4:W1673,W$4:W1673&lt;=I1389),1),W$4:W1673))-K1389),1,
ROUNDDOWN(Y1389-INDEX(K$4:K1673,MATCH(LARGE(FILTER(I$4:I1673,I$4:I1673&lt;=W1389),1),I$4:I1673))-(W1389-L"&amp;"ARGE(FILTER(I$4:I1673,I$4:I1673&lt;=W1389),1))*INDEX(F$4:F1673,MATCH(LARGE(FILTER(I$4:I1673,I$4:I1673&lt;=W1389),1),I$4:I1673))))"),"")</f>
        <v/>
      </c>
      <c r="N1389" s="60" t="str">
        <f t="shared" si="8"/>
        <v/>
      </c>
      <c r="O1389" s="61" t="str">
        <f t="shared" si="9"/>
        <v/>
      </c>
      <c r="P1389" s="56" t="str">
        <f t="shared" si="10"/>
        <v/>
      </c>
      <c r="Q1389" s="67"/>
      <c r="R1389" s="10"/>
      <c r="S1389" s="59" t="str">
        <f t="array" ref="S1389">IF(COUNTA(Q1389:Q1673)=0,"",SUM((COUNTIF(Q$4:Q1389,Upgrades!$B$3:$B$13)-COUNTIF(Q$4:Q1389,"Sell_"&amp;Upgrades!$B$3:$B$13))*Upgrades!$D$3:$D$13))</f>
        <v/>
      </c>
      <c r="T1389" s="66" t="str">
        <f>IFERROR(__xludf.DUMMYFUNCTION("IF(COUNTA(Q1389:Q1673)=0,"""",IF(REGEXMATCH(INDEX(FILTER(Q$4:Q1389,Q$4:Q1389&lt;&gt;""""),ROWS(FILTER(Q$4:Q1389,Q$4:Q1389&lt;&gt;""""))),""^Sell_""),INDEX(FILTER(T$4:T1388,Q$4:Q1388&lt;&gt;""""),ROWS(FILTER(Q$4:Q1388,Q$4:Q1388&lt;&gt;""""))),$AD$5+S1389))"),"")</f>
        <v/>
      </c>
      <c r="U1389" s="10" t="str">
        <f>IFERROR(__xludf.DUMMYFUNCTION("IF(COUNTA(Q1389:Q1673)=0,"""",IF(Q1389="""",0,IF(REGEXMATCH(Q1389,""^Sell_""),-ROUNDDOWN(ROUNDUP(INDEX(Upgrades!$C$3:$C$13,MATCH(SUBSTITUTE(Q1389,""Sell_"",""""),Upgrades!$B$3:$B$13,0))*1.15^(COUNTIF(Q$4:Q1388,SUBSTITUTE(Q1389,""Sell_"",""""))-COUNTIF(Q$4"&amp;":Q1388,""Sell_""&amp;SUBSTITUTE(Q1389,""Sell_"",""""))))/2),ROUNDUP(INDEX(Upgrades!$C$3:$C$13,MATCH(Q1389,Upgrades!$B$3:$B$13,0))*1.15^(COUNTIF(Q$4:Q1388,Q1389)-COUNTIF(Q$4:Q1388,""Sell_""&amp;Q1389))))))"),"")</f>
        <v/>
      </c>
      <c r="V1389" s="10" t="str">
        <f t="shared" si="11"/>
        <v/>
      </c>
      <c r="W1389" s="68" t="str">
        <f t="shared" si="12"/>
        <v/>
      </c>
      <c r="X1389" s="59" t="str">
        <f t="shared" si="13"/>
        <v/>
      </c>
      <c r="Y1389" s="69" t="str">
        <f t="shared" si="14"/>
        <v/>
      </c>
      <c r="Z1389" s="11"/>
    </row>
    <row r="1390">
      <c r="A1390" s="8"/>
      <c r="B1390" s="56" t="str">
        <f t="shared" si="2"/>
        <v/>
      </c>
      <c r="C1390" s="105"/>
      <c r="D1390" s="10"/>
      <c r="E1390" s="59" t="str">
        <f t="array" ref="E1390">IF(COUNTA(C1390:C1673)=0,"",SUM((COUNTIF(C$4:C1390,Upgrades!$B$3:$B$13)-COUNTIF(C$4:C1390,"Sell_"&amp;Upgrades!$B$3:$B$13))*Upgrades!$D$3:$D$13))</f>
        <v/>
      </c>
      <c r="F1390" s="66" t="str">
        <f>IFERROR(__xludf.DUMMYFUNCTION("IF(COUNTA(C1390:C1673)=0,"""",IF(REGEXMATCH(INDEX(FILTER(C$4:C1390,C$4:C1390&lt;&gt;""""),ROWS(FILTER(C$4:C1390,C$4:C1390&lt;&gt;""""))),""^Sell_""),INDEX(FILTER(F$4:F1389,C$4:C1389&lt;&gt;""""),ROWS(FILTER(C$4:C1389,C$4:C1389&lt;&gt;""""))),$AC$5+E1390))"),"")</f>
        <v/>
      </c>
      <c r="G1390" s="10" t="str">
        <f>IFERROR(__xludf.DUMMYFUNCTION("IF(COUNTA(C1390:C1673)=0,"""",IF(C1390="""",0,IF(REGEXMATCH(C1390,""^Sell_""),-ROUNDDOWN(ROUNDUP(INDEX(Upgrades!$C$3:$C$13,MATCH(SUBSTITUTE(C1390,""Sell_"",""""),Upgrades!$B$3:$B$13,0))*1.15^(COUNTIF(C$4:C1389,SUBSTITUTE(C1390,""Sell_"",""""))-COUNTIF(C$4"&amp;":C1389,""Sell_""&amp;SUBSTITUTE(C1390,""Sell_"",""""))))/2),ROUNDUP(INDEX(Upgrades!$C$3:$C$13,MATCH(C1390,Upgrades!$B$3:$B$13,0))*1.15^(COUNTIF(C$4:C1389,C1390)-COUNTIF(C$4:C1389,""Sell_""&amp;C1390))))))"),"")</f>
        <v/>
      </c>
      <c r="H1390" s="10" t="str">
        <f t="shared" si="3"/>
        <v/>
      </c>
      <c r="I1390" s="68" t="str">
        <f t="shared" si="4"/>
        <v/>
      </c>
      <c r="J1390" s="59" t="str">
        <f t="shared" si="5"/>
        <v/>
      </c>
      <c r="K1390" s="69" t="str">
        <f t="shared" si="6"/>
        <v/>
      </c>
      <c r="L1390" s="60" t="str">
        <f t="shared" si="7"/>
        <v/>
      </c>
      <c r="M1390" s="61" t="str">
        <f>IFERROR(__xludf.DUMMYFUNCTION("IFS(AND(COUNTA(C1390:C1673)=0,COUNTA(Q1390:Q1673)=0),"""",OR(AND(K1390&gt;=1000000000,OR(Y1390&gt;=1000000000,COUNTA(Q1390:Q1673)=0)),OR(Y1390&gt;=1000000000,AND(COUNTA(C1390:C1673)=0,P$3=TRUE))),
ROUNDDOWN((AB$1-AC$1)*MAX(INDEX(T$4:T1673,MATCH(LARGE(FILTER(Y$4:Y1"&amp;"673,Y$4:Y1673&lt;1000000000),1),Y$4:Y1673)),INDEX(F$4:F1673,MATCH(LARGE(FILTER(K$4:K1673,K$4:K1673&lt;1000000000),1),K$4:K1673)))),AND(K1390&lt;1000000000,COUNTA(C1390:C1673)&gt;0,P$3=FALSE),
ROUNDDOWN(INDEX(Y$4:Y1673,MATCH(LARGE(FILTER(W$4:W1673,W$4:W1673&lt;=I1390),1)"&amp;",W$4:W1673))+(I1390-LARGE(FILTER(W$4:W1673,W$4:W1673&lt;=I1390),1))*INDEX(T$4:T1673,MATCH(LARGE(FILTER(W$4:W1673,W$4:W1673&lt;=I1390),1),W$4:W1673))-K1390),1,
ROUNDDOWN(Y1390-INDEX(K$4:K1673,MATCH(LARGE(FILTER(I$4:I1673,I$4:I1673&lt;=W1390),1),I$4:I1673))-(W1390-L"&amp;"ARGE(FILTER(I$4:I1673,I$4:I1673&lt;=W1390),1))*INDEX(F$4:F1673,MATCH(LARGE(FILTER(I$4:I1673,I$4:I1673&lt;=W1390),1),I$4:I1673))))"),"")</f>
        <v/>
      </c>
      <c r="N1390" s="60" t="str">
        <f t="shared" si="8"/>
        <v/>
      </c>
      <c r="O1390" s="61" t="str">
        <f t="shared" si="9"/>
        <v/>
      </c>
      <c r="P1390" s="56" t="str">
        <f t="shared" si="10"/>
        <v/>
      </c>
      <c r="Q1390" s="67"/>
      <c r="R1390" s="10"/>
      <c r="S1390" s="59" t="str">
        <f t="array" ref="S1390">IF(COUNTA(Q1390:Q1673)=0,"",SUM((COUNTIF(Q$4:Q1390,Upgrades!$B$3:$B$13)-COUNTIF(Q$4:Q1390,"Sell_"&amp;Upgrades!$B$3:$B$13))*Upgrades!$D$3:$D$13))</f>
        <v/>
      </c>
      <c r="T1390" s="66" t="str">
        <f>IFERROR(__xludf.DUMMYFUNCTION("IF(COUNTA(Q1390:Q1673)=0,"""",IF(REGEXMATCH(INDEX(FILTER(Q$4:Q1390,Q$4:Q1390&lt;&gt;""""),ROWS(FILTER(Q$4:Q1390,Q$4:Q1390&lt;&gt;""""))),""^Sell_""),INDEX(FILTER(T$4:T1389,Q$4:Q1389&lt;&gt;""""),ROWS(FILTER(Q$4:Q1389,Q$4:Q1389&lt;&gt;""""))),$AD$5+S1390))"),"")</f>
        <v/>
      </c>
      <c r="U1390" s="10" t="str">
        <f>IFERROR(__xludf.DUMMYFUNCTION("IF(COUNTA(Q1390:Q1673)=0,"""",IF(Q1390="""",0,IF(REGEXMATCH(Q1390,""^Sell_""),-ROUNDDOWN(ROUNDUP(INDEX(Upgrades!$C$3:$C$13,MATCH(SUBSTITUTE(Q1390,""Sell_"",""""),Upgrades!$B$3:$B$13,0))*1.15^(COUNTIF(Q$4:Q1389,SUBSTITUTE(Q1390,""Sell_"",""""))-COUNTIF(Q$4"&amp;":Q1389,""Sell_""&amp;SUBSTITUTE(Q1390,""Sell_"",""""))))/2),ROUNDUP(INDEX(Upgrades!$C$3:$C$13,MATCH(Q1390,Upgrades!$B$3:$B$13,0))*1.15^(COUNTIF(Q$4:Q1389,Q1390)-COUNTIF(Q$4:Q1389,""Sell_""&amp;Q1390))))))"),"")</f>
        <v/>
      </c>
      <c r="V1390" s="10" t="str">
        <f t="shared" si="11"/>
        <v/>
      </c>
      <c r="W1390" s="68" t="str">
        <f t="shared" si="12"/>
        <v/>
      </c>
      <c r="X1390" s="59" t="str">
        <f t="shared" si="13"/>
        <v/>
      </c>
      <c r="Y1390" s="69" t="str">
        <f t="shared" si="14"/>
        <v/>
      </c>
      <c r="Z1390" s="11"/>
    </row>
    <row r="1391">
      <c r="A1391" s="8"/>
      <c r="B1391" s="56" t="str">
        <f t="shared" si="2"/>
        <v/>
      </c>
      <c r="C1391" s="105"/>
      <c r="D1391" s="10"/>
      <c r="E1391" s="59" t="str">
        <f t="array" ref="E1391">IF(COUNTA(C1391:C1673)=0,"",SUM((COUNTIF(C$4:C1391,Upgrades!$B$3:$B$13)-COUNTIF(C$4:C1391,"Sell_"&amp;Upgrades!$B$3:$B$13))*Upgrades!$D$3:$D$13))</f>
        <v/>
      </c>
      <c r="F1391" s="66" t="str">
        <f>IFERROR(__xludf.DUMMYFUNCTION("IF(COUNTA(C1391:C1673)=0,"""",IF(REGEXMATCH(INDEX(FILTER(C$4:C1391,C$4:C1391&lt;&gt;""""),ROWS(FILTER(C$4:C1391,C$4:C1391&lt;&gt;""""))),""^Sell_""),INDEX(FILTER(F$4:F1390,C$4:C1390&lt;&gt;""""),ROWS(FILTER(C$4:C1390,C$4:C1390&lt;&gt;""""))),$AC$5+E1391))"),"")</f>
        <v/>
      </c>
      <c r="G1391" s="10" t="str">
        <f>IFERROR(__xludf.DUMMYFUNCTION("IF(COUNTA(C1391:C1673)=0,"""",IF(C1391="""",0,IF(REGEXMATCH(C1391,""^Sell_""),-ROUNDDOWN(ROUNDUP(INDEX(Upgrades!$C$3:$C$13,MATCH(SUBSTITUTE(C1391,""Sell_"",""""),Upgrades!$B$3:$B$13,0))*1.15^(COUNTIF(C$4:C1390,SUBSTITUTE(C1391,""Sell_"",""""))-COUNTIF(C$4"&amp;":C1390,""Sell_""&amp;SUBSTITUTE(C1391,""Sell_"",""""))))/2),ROUNDUP(INDEX(Upgrades!$C$3:$C$13,MATCH(C1391,Upgrades!$B$3:$B$13,0))*1.15^(COUNTIF(C$4:C1390,C1391)-COUNTIF(C$4:C1390,""Sell_""&amp;C1391))))))"),"")</f>
        <v/>
      </c>
      <c r="H1391" s="10" t="str">
        <f t="shared" si="3"/>
        <v/>
      </c>
      <c r="I1391" s="68" t="str">
        <f t="shared" si="4"/>
        <v/>
      </c>
      <c r="J1391" s="59" t="str">
        <f t="shared" si="5"/>
        <v/>
      </c>
      <c r="K1391" s="69" t="str">
        <f t="shared" si="6"/>
        <v/>
      </c>
      <c r="L1391" s="60" t="str">
        <f t="shared" si="7"/>
        <v/>
      </c>
      <c r="M1391" s="61" t="str">
        <f>IFERROR(__xludf.DUMMYFUNCTION("IFS(AND(COUNTA(C1391:C1673)=0,COUNTA(Q1391:Q1673)=0),"""",OR(AND(K1391&gt;=1000000000,OR(Y1391&gt;=1000000000,COUNTA(Q1391:Q1673)=0)),OR(Y1391&gt;=1000000000,AND(COUNTA(C1391:C1673)=0,P$3=TRUE))),
ROUNDDOWN((AB$1-AC$1)*MAX(INDEX(T$4:T1673,MATCH(LARGE(FILTER(Y$4:Y1"&amp;"673,Y$4:Y1673&lt;1000000000),1),Y$4:Y1673)),INDEX(F$4:F1673,MATCH(LARGE(FILTER(K$4:K1673,K$4:K1673&lt;1000000000),1),K$4:K1673)))),AND(K1391&lt;1000000000,COUNTA(C1391:C1673)&gt;0,P$3=FALSE),
ROUNDDOWN(INDEX(Y$4:Y1673,MATCH(LARGE(FILTER(W$4:W1673,W$4:W1673&lt;=I1391),1)"&amp;",W$4:W1673))+(I1391-LARGE(FILTER(W$4:W1673,W$4:W1673&lt;=I1391),1))*INDEX(T$4:T1673,MATCH(LARGE(FILTER(W$4:W1673,W$4:W1673&lt;=I1391),1),W$4:W1673))-K1391),1,
ROUNDDOWN(Y1391-INDEX(K$4:K1673,MATCH(LARGE(FILTER(I$4:I1673,I$4:I1673&lt;=W1391),1),I$4:I1673))-(W1391-L"&amp;"ARGE(FILTER(I$4:I1673,I$4:I1673&lt;=W1391),1))*INDEX(F$4:F1673,MATCH(LARGE(FILTER(I$4:I1673,I$4:I1673&lt;=W1391),1),I$4:I1673))))"),"")</f>
        <v/>
      </c>
      <c r="N1391" s="60" t="str">
        <f t="shared" si="8"/>
        <v/>
      </c>
      <c r="O1391" s="61" t="str">
        <f t="shared" si="9"/>
        <v/>
      </c>
      <c r="P1391" s="56" t="str">
        <f t="shared" si="10"/>
        <v/>
      </c>
      <c r="Q1391" s="67"/>
      <c r="R1391" s="10"/>
      <c r="S1391" s="59" t="str">
        <f t="array" ref="S1391">IF(COUNTA(Q1391:Q1673)=0,"",SUM((COUNTIF(Q$4:Q1391,Upgrades!$B$3:$B$13)-COUNTIF(Q$4:Q1391,"Sell_"&amp;Upgrades!$B$3:$B$13))*Upgrades!$D$3:$D$13))</f>
        <v/>
      </c>
      <c r="T1391" s="66" t="str">
        <f>IFERROR(__xludf.DUMMYFUNCTION("IF(COUNTA(Q1391:Q1673)=0,"""",IF(REGEXMATCH(INDEX(FILTER(Q$4:Q1391,Q$4:Q1391&lt;&gt;""""),ROWS(FILTER(Q$4:Q1391,Q$4:Q1391&lt;&gt;""""))),""^Sell_""),INDEX(FILTER(T$4:T1390,Q$4:Q1390&lt;&gt;""""),ROWS(FILTER(Q$4:Q1390,Q$4:Q1390&lt;&gt;""""))),$AD$5+S1391))"),"")</f>
        <v/>
      </c>
      <c r="U1391" s="10" t="str">
        <f>IFERROR(__xludf.DUMMYFUNCTION("IF(COUNTA(Q1391:Q1673)=0,"""",IF(Q1391="""",0,IF(REGEXMATCH(Q1391,""^Sell_""),-ROUNDDOWN(ROUNDUP(INDEX(Upgrades!$C$3:$C$13,MATCH(SUBSTITUTE(Q1391,""Sell_"",""""),Upgrades!$B$3:$B$13,0))*1.15^(COUNTIF(Q$4:Q1390,SUBSTITUTE(Q1391,""Sell_"",""""))-COUNTIF(Q$4"&amp;":Q1390,""Sell_""&amp;SUBSTITUTE(Q1391,""Sell_"",""""))))/2),ROUNDUP(INDEX(Upgrades!$C$3:$C$13,MATCH(Q1391,Upgrades!$B$3:$B$13,0))*1.15^(COUNTIF(Q$4:Q1390,Q1391)-COUNTIF(Q$4:Q1390,""Sell_""&amp;Q1391))))))"),"")</f>
        <v/>
      </c>
      <c r="V1391" s="10" t="str">
        <f t="shared" si="11"/>
        <v/>
      </c>
      <c r="W1391" s="68" t="str">
        <f t="shared" si="12"/>
        <v/>
      </c>
      <c r="X1391" s="59" t="str">
        <f t="shared" si="13"/>
        <v/>
      </c>
      <c r="Y1391" s="69" t="str">
        <f t="shared" si="14"/>
        <v/>
      </c>
      <c r="Z1391" s="11"/>
    </row>
    <row r="1392">
      <c r="A1392" s="8"/>
      <c r="B1392" s="56" t="str">
        <f t="shared" si="2"/>
        <v/>
      </c>
      <c r="C1392" s="105"/>
      <c r="D1392" s="10"/>
      <c r="E1392" s="59" t="str">
        <f t="array" ref="E1392">IF(COUNTA(C1392:C1673)=0,"",SUM((COUNTIF(C$4:C1392,Upgrades!$B$3:$B$13)-COUNTIF(C$4:C1392,"Sell_"&amp;Upgrades!$B$3:$B$13))*Upgrades!$D$3:$D$13))</f>
        <v/>
      </c>
      <c r="F1392" s="66" t="str">
        <f>IFERROR(__xludf.DUMMYFUNCTION("IF(COUNTA(C1392:C1673)=0,"""",IF(REGEXMATCH(INDEX(FILTER(C$4:C1392,C$4:C1392&lt;&gt;""""),ROWS(FILTER(C$4:C1392,C$4:C1392&lt;&gt;""""))),""^Sell_""),INDEX(FILTER(F$4:F1391,C$4:C1391&lt;&gt;""""),ROWS(FILTER(C$4:C1391,C$4:C1391&lt;&gt;""""))),$AC$5+E1392))"),"")</f>
        <v/>
      </c>
      <c r="G1392" s="10" t="str">
        <f>IFERROR(__xludf.DUMMYFUNCTION("IF(COUNTA(C1392:C1673)=0,"""",IF(C1392="""",0,IF(REGEXMATCH(C1392,""^Sell_""),-ROUNDDOWN(ROUNDUP(INDEX(Upgrades!$C$3:$C$13,MATCH(SUBSTITUTE(C1392,""Sell_"",""""),Upgrades!$B$3:$B$13,0))*1.15^(COUNTIF(C$4:C1391,SUBSTITUTE(C1392,""Sell_"",""""))-COUNTIF(C$4"&amp;":C1391,""Sell_""&amp;SUBSTITUTE(C1392,""Sell_"",""""))))/2),ROUNDUP(INDEX(Upgrades!$C$3:$C$13,MATCH(C1392,Upgrades!$B$3:$B$13,0))*1.15^(COUNTIF(C$4:C1391,C1392)-COUNTIF(C$4:C1391,""Sell_""&amp;C1392))))))"),"")</f>
        <v/>
      </c>
      <c r="H1392" s="10" t="str">
        <f t="shared" si="3"/>
        <v/>
      </c>
      <c r="I1392" s="68" t="str">
        <f t="shared" si="4"/>
        <v/>
      </c>
      <c r="J1392" s="59" t="str">
        <f t="shared" si="5"/>
        <v/>
      </c>
      <c r="K1392" s="69" t="str">
        <f t="shared" si="6"/>
        <v/>
      </c>
      <c r="L1392" s="60" t="str">
        <f t="shared" si="7"/>
        <v/>
      </c>
      <c r="M1392" s="61" t="str">
        <f>IFERROR(__xludf.DUMMYFUNCTION("IFS(AND(COUNTA(C1392:C1673)=0,COUNTA(Q1392:Q1673)=0),"""",OR(AND(K1392&gt;=1000000000,OR(Y1392&gt;=1000000000,COUNTA(Q1392:Q1673)=0)),OR(Y1392&gt;=1000000000,AND(COUNTA(C1392:C1673)=0,P$3=TRUE))),
ROUNDDOWN((AB$1-AC$1)*MAX(INDEX(T$4:T1673,MATCH(LARGE(FILTER(Y$4:Y1"&amp;"673,Y$4:Y1673&lt;1000000000),1),Y$4:Y1673)),INDEX(F$4:F1673,MATCH(LARGE(FILTER(K$4:K1673,K$4:K1673&lt;1000000000),1),K$4:K1673)))),AND(K1392&lt;1000000000,COUNTA(C1392:C1673)&gt;0,P$3=FALSE),
ROUNDDOWN(INDEX(Y$4:Y1673,MATCH(LARGE(FILTER(W$4:W1673,W$4:W1673&lt;=I1392),1)"&amp;",W$4:W1673))+(I1392-LARGE(FILTER(W$4:W1673,W$4:W1673&lt;=I1392),1))*INDEX(T$4:T1673,MATCH(LARGE(FILTER(W$4:W1673,W$4:W1673&lt;=I1392),1),W$4:W1673))-K1392),1,
ROUNDDOWN(Y1392-INDEX(K$4:K1673,MATCH(LARGE(FILTER(I$4:I1673,I$4:I1673&lt;=W1392),1),I$4:I1673))-(W1392-L"&amp;"ARGE(FILTER(I$4:I1673,I$4:I1673&lt;=W1392),1))*INDEX(F$4:F1673,MATCH(LARGE(FILTER(I$4:I1673,I$4:I1673&lt;=W1392),1),I$4:I1673))))"),"")</f>
        <v/>
      </c>
      <c r="N1392" s="60" t="str">
        <f t="shared" si="8"/>
        <v/>
      </c>
      <c r="O1392" s="61" t="str">
        <f t="shared" si="9"/>
        <v/>
      </c>
      <c r="P1392" s="56" t="str">
        <f t="shared" si="10"/>
        <v/>
      </c>
      <c r="Q1392" s="67"/>
      <c r="R1392" s="10"/>
      <c r="S1392" s="59" t="str">
        <f t="array" ref="S1392">IF(COUNTA(Q1392:Q1673)=0,"",SUM((COUNTIF(Q$4:Q1392,Upgrades!$B$3:$B$13)-COUNTIF(Q$4:Q1392,"Sell_"&amp;Upgrades!$B$3:$B$13))*Upgrades!$D$3:$D$13))</f>
        <v/>
      </c>
      <c r="T1392" s="66" t="str">
        <f>IFERROR(__xludf.DUMMYFUNCTION("IF(COUNTA(Q1392:Q1673)=0,"""",IF(REGEXMATCH(INDEX(FILTER(Q$4:Q1392,Q$4:Q1392&lt;&gt;""""),ROWS(FILTER(Q$4:Q1392,Q$4:Q1392&lt;&gt;""""))),""^Sell_""),INDEX(FILTER(T$4:T1391,Q$4:Q1391&lt;&gt;""""),ROWS(FILTER(Q$4:Q1391,Q$4:Q1391&lt;&gt;""""))),$AD$5+S1392))"),"")</f>
        <v/>
      </c>
      <c r="U1392" s="10" t="str">
        <f>IFERROR(__xludf.DUMMYFUNCTION("IF(COUNTA(Q1392:Q1673)=0,"""",IF(Q1392="""",0,IF(REGEXMATCH(Q1392,""^Sell_""),-ROUNDDOWN(ROUNDUP(INDEX(Upgrades!$C$3:$C$13,MATCH(SUBSTITUTE(Q1392,""Sell_"",""""),Upgrades!$B$3:$B$13,0))*1.15^(COUNTIF(Q$4:Q1391,SUBSTITUTE(Q1392,""Sell_"",""""))-COUNTIF(Q$4"&amp;":Q1391,""Sell_""&amp;SUBSTITUTE(Q1392,""Sell_"",""""))))/2),ROUNDUP(INDEX(Upgrades!$C$3:$C$13,MATCH(Q1392,Upgrades!$B$3:$B$13,0))*1.15^(COUNTIF(Q$4:Q1391,Q1392)-COUNTIF(Q$4:Q1391,""Sell_""&amp;Q1392))))))"),"")</f>
        <v/>
      </c>
      <c r="V1392" s="10" t="str">
        <f t="shared" si="11"/>
        <v/>
      </c>
      <c r="W1392" s="68" t="str">
        <f t="shared" si="12"/>
        <v/>
      </c>
      <c r="X1392" s="59" t="str">
        <f t="shared" si="13"/>
        <v/>
      </c>
      <c r="Y1392" s="69" t="str">
        <f t="shared" si="14"/>
        <v/>
      </c>
      <c r="Z1392" s="11"/>
    </row>
    <row r="1393">
      <c r="A1393" s="8"/>
      <c r="B1393" s="56" t="str">
        <f t="shared" si="2"/>
        <v/>
      </c>
      <c r="C1393" s="105"/>
      <c r="D1393" s="10"/>
      <c r="E1393" s="59" t="str">
        <f t="array" ref="E1393">IF(COUNTA(C1393:C1673)=0,"",SUM((COUNTIF(C$4:C1393,Upgrades!$B$3:$B$13)-COUNTIF(C$4:C1393,"Sell_"&amp;Upgrades!$B$3:$B$13))*Upgrades!$D$3:$D$13))</f>
        <v/>
      </c>
      <c r="F1393" s="66" t="str">
        <f>IFERROR(__xludf.DUMMYFUNCTION("IF(COUNTA(C1393:C1673)=0,"""",IF(REGEXMATCH(INDEX(FILTER(C$4:C1393,C$4:C1393&lt;&gt;""""),ROWS(FILTER(C$4:C1393,C$4:C1393&lt;&gt;""""))),""^Sell_""),INDEX(FILTER(F$4:F1392,C$4:C1392&lt;&gt;""""),ROWS(FILTER(C$4:C1392,C$4:C1392&lt;&gt;""""))),$AC$5+E1393))"),"")</f>
        <v/>
      </c>
      <c r="G1393" s="10" t="str">
        <f>IFERROR(__xludf.DUMMYFUNCTION("IF(COUNTA(C1393:C1673)=0,"""",IF(C1393="""",0,IF(REGEXMATCH(C1393,""^Sell_""),-ROUNDDOWN(ROUNDUP(INDEX(Upgrades!$C$3:$C$13,MATCH(SUBSTITUTE(C1393,""Sell_"",""""),Upgrades!$B$3:$B$13,0))*1.15^(COUNTIF(C$4:C1392,SUBSTITUTE(C1393,""Sell_"",""""))-COUNTIF(C$4"&amp;":C1392,""Sell_""&amp;SUBSTITUTE(C1393,""Sell_"",""""))))/2),ROUNDUP(INDEX(Upgrades!$C$3:$C$13,MATCH(C1393,Upgrades!$B$3:$B$13,0))*1.15^(COUNTIF(C$4:C1392,C1393)-COUNTIF(C$4:C1392,""Sell_""&amp;C1393))))))"),"")</f>
        <v/>
      </c>
      <c r="H1393" s="10" t="str">
        <f t="shared" si="3"/>
        <v/>
      </c>
      <c r="I1393" s="68" t="str">
        <f t="shared" si="4"/>
        <v/>
      </c>
      <c r="J1393" s="59" t="str">
        <f t="shared" si="5"/>
        <v/>
      </c>
      <c r="K1393" s="69" t="str">
        <f t="shared" si="6"/>
        <v/>
      </c>
      <c r="L1393" s="60" t="str">
        <f t="shared" si="7"/>
        <v/>
      </c>
      <c r="M1393" s="61" t="str">
        <f>IFERROR(__xludf.DUMMYFUNCTION("IFS(AND(COUNTA(C1393:C1673)=0,COUNTA(Q1393:Q1673)=0),"""",OR(AND(K1393&gt;=1000000000,OR(Y1393&gt;=1000000000,COUNTA(Q1393:Q1673)=0)),OR(Y1393&gt;=1000000000,AND(COUNTA(C1393:C1673)=0,P$3=TRUE))),
ROUNDDOWN((AB$1-AC$1)*MAX(INDEX(T$4:T1673,MATCH(LARGE(FILTER(Y$4:Y1"&amp;"673,Y$4:Y1673&lt;1000000000),1),Y$4:Y1673)),INDEX(F$4:F1673,MATCH(LARGE(FILTER(K$4:K1673,K$4:K1673&lt;1000000000),1),K$4:K1673)))),AND(K1393&lt;1000000000,COUNTA(C1393:C1673)&gt;0,P$3=FALSE),
ROUNDDOWN(INDEX(Y$4:Y1673,MATCH(LARGE(FILTER(W$4:W1673,W$4:W1673&lt;=I1393),1)"&amp;",W$4:W1673))+(I1393-LARGE(FILTER(W$4:W1673,W$4:W1673&lt;=I1393),1))*INDEX(T$4:T1673,MATCH(LARGE(FILTER(W$4:W1673,W$4:W1673&lt;=I1393),1),W$4:W1673))-K1393),1,
ROUNDDOWN(Y1393-INDEX(K$4:K1673,MATCH(LARGE(FILTER(I$4:I1673,I$4:I1673&lt;=W1393),1),I$4:I1673))-(W1393-L"&amp;"ARGE(FILTER(I$4:I1673,I$4:I1673&lt;=W1393),1))*INDEX(F$4:F1673,MATCH(LARGE(FILTER(I$4:I1673,I$4:I1673&lt;=W1393),1),I$4:I1673))))"),"")</f>
        <v/>
      </c>
      <c r="N1393" s="60" t="str">
        <f t="shared" si="8"/>
        <v/>
      </c>
      <c r="O1393" s="61" t="str">
        <f t="shared" si="9"/>
        <v/>
      </c>
      <c r="P1393" s="56" t="str">
        <f t="shared" si="10"/>
        <v/>
      </c>
      <c r="Q1393" s="67"/>
      <c r="R1393" s="10"/>
      <c r="S1393" s="59" t="str">
        <f t="array" ref="S1393">IF(COUNTA(Q1393:Q1673)=0,"",SUM((COUNTIF(Q$4:Q1393,Upgrades!$B$3:$B$13)-COUNTIF(Q$4:Q1393,"Sell_"&amp;Upgrades!$B$3:$B$13))*Upgrades!$D$3:$D$13))</f>
        <v/>
      </c>
      <c r="T1393" s="66" t="str">
        <f>IFERROR(__xludf.DUMMYFUNCTION("IF(COUNTA(Q1393:Q1673)=0,"""",IF(REGEXMATCH(INDEX(FILTER(Q$4:Q1393,Q$4:Q1393&lt;&gt;""""),ROWS(FILTER(Q$4:Q1393,Q$4:Q1393&lt;&gt;""""))),""^Sell_""),INDEX(FILTER(T$4:T1392,Q$4:Q1392&lt;&gt;""""),ROWS(FILTER(Q$4:Q1392,Q$4:Q1392&lt;&gt;""""))),$AD$5+S1393))"),"")</f>
        <v/>
      </c>
      <c r="U1393" s="10" t="str">
        <f>IFERROR(__xludf.DUMMYFUNCTION("IF(COUNTA(Q1393:Q1673)=0,"""",IF(Q1393="""",0,IF(REGEXMATCH(Q1393,""^Sell_""),-ROUNDDOWN(ROUNDUP(INDEX(Upgrades!$C$3:$C$13,MATCH(SUBSTITUTE(Q1393,""Sell_"",""""),Upgrades!$B$3:$B$13,0))*1.15^(COUNTIF(Q$4:Q1392,SUBSTITUTE(Q1393,""Sell_"",""""))-COUNTIF(Q$4"&amp;":Q1392,""Sell_""&amp;SUBSTITUTE(Q1393,""Sell_"",""""))))/2),ROUNDUP(INDEX(Upgrades!$C$3:$C$13,MATCH(Q1393,Upgrades!$B$3:$B$13,0))*1.15^(COUNTIF(Q$4:Q1392,Q1393)-COUNTIF(Q$4:Q1392,""Sell_""&amp;Q1393))))))"),"")</f>
        <v/>
      </c>
      <c r="V1393" s="10" t="str">
        <f t="shared" si="11"/>
        <v/>
      </c>
      <c r="W1393" s="68" t="str">
        <f t="shared" si="12"/>
        <v/>
      </c>
      <c r="X1393" s="59" t="str">
        <f t="shared" si="13"/>
        <v/>
      </c>
      <c r="Y1393" s="69" t="str">
        <f t="shared" si="14"/>
        <v/>
      </c>
      <c r="Z1393" s="11"/>
    </row>
    <row r="1394">
      <c r="A1394" s="8"/>
      <c r="B1394" s="56" t="str">
        <f t="shared" si="2"/>
        <v/>
      </c>
      <c r="C1394" s="105"/>
      <c r="D1394" s="10"/>
      <c r="E1394" s="59" t="str">
        <f t="array" ref="E1394">IF(COUNTA(C1394:C1673)=0,"",SUM((COUNTIF(C$4:C1394,Upgrades!$B$3:$B$13)-COUNTIF(C$4:C1394,"Sell_"&amp;Upgrades!$B$3:$B$13))*Upgrades!$D$3:$D$13))</f>
        <v/>
      </c>
      <c r="F1394" s="66" t="str">
        <f>IFERROR(__xludf.DUMMYFUNCTION("IF(COUNTA(C1394:C1673)=0,"""",IF(REGEXMATCH(INDEX(FILTER(C$4:C1394,C$4:C1394&lt;&gt;""""),ROWS(FILTER(C$4:C1394,C$4:C1394&lt;&gt;""""))),""^Sell_""),INDEX(FILTER(F$4:F1393,C$4:C1393&lt;&gt;""""),ROWS(FILTER(C$4:C1393,C$4:C1393&lt;&gt;""""))),$AC$5+E1394))"),"")</f>
        <v/>
      </c>
      <c r="G1394" s="10" t="str">
        <f>IFERROR(__xludf.DUMMYFUNCTION("IF(COUNTA(C1394:C1673)=0,"""",IF(C1394="""",0,IF(REGEXMATCH(C1394,""^Sell_""),-ROUNDDOWN(ROUNDUP(INDEX(Upgrades!$C$3:$C$13,MATCH(SUBSTITUTE(C1394,""Sell_"",""""),Upgrades!$B$3:$B$13,0))*1.15^(COUNTIF(C$4:C1393,SUBSTITUTE(C1394,""Sell_"",""""))-COUNTIF(C$4"&amp;":C1393,""Sell_""&amp;SUBSTITUTE(C1394,""Sell_"",""""))))/2),ROUNDUP(INDEX(Upgrades!$C$3:$C$13,MATCH(C1394,Upgrades!$B$3:$B$13,0))*1.15^(COUNTIF(C$4:C1393,C1394)-COUNTIF(C$4:C1393,""Sell_""&amp;C1394))))))"),"")</f>
        <v/>
      </c>
      <c r="H1394" s="10" t="str">
        <f t="shared" si="3"/>
        <v/>
      </c>
      <c r="I1394" s="68" t="str">
        <f t="shared" si="4"/>
        <v/>
      </c>
      <c r="J1394" s="59" t="str">
        <f t="shared" si="5"/>
        <v/>
      </c>
      <c r="K1394" s="69" t="str">
        <f t="shared" si="6"/>
        <v/>
      </c>
      <c r="L1394" s="60" t="str">
        <f t="shared" si="7"/>
        <v/>
      </c>
      <c r="M1394" s="61" t="str">
        <f>IFERROR(__xludf.DUMMYFUNCTION("IFS(AND(COUNTA(C1394:C1673)=0,COUNTA(Q1394:Q1673)=0),"""",OR(AND(K1394&gt;=1000000000,OR(Y1394&gt;=1000000000,COUNTA(Q1394:Q1673)=0)),OR(Y1394&gt;=1000000000,AND(COUNTA(C1394:C1673)=0,P$3=TRUE))),
ROUNDDOWN((AB$1-AC$1)*MAX(INDEX(T$4:T1673,MATCH(LARGE(FILTER(Y$4:Y1"&amp;"673,Y$4:Y1673&lt;1000000000),1),Y$4:Y1673)),INDEX(F$4:F1673,MATCH(LARGE(FILTER(K$4:K1673,K$4:K1673&lt;1000000000),1),K$4:K1673)))),AND(K1394&lt;1000000000,COUNTA(C1394:C1673)&gt;0,P$3=FALSE),
ROUNDDOWN(INDEX(Y$4:Y1673,MATCH(LARGE(FILTER(W$4:W1673,W$4:W1673&lt;=I1394),1)"&amp;",W$4:W1673))+(I1394-LARGE(FILTER(W$4:W1673,W$4:W1673&lt;=I1394),1))*INDEX(T$4:T1673,MATCH(LARGE(FILTER(W$4:W1673,W$4:W1673&lt;=I1394),1),W$4:W1673))-K1394),1,
ROUNDDOWN(Y1394-INDEX(K$4:K1673,MATCH(LARGE(FILTER(I$4:I1673,I$4:I1673&lt;=W1394),1),I$4:I1673))-(W1394-L"&amp;"ARGE(FILTER(I$4:I1673,I$4:I1673&lt;=W1394),1))*INDEX(F$4:F1673,MATCH(LARGE(FILTER(I$4:I1673,I$4:I1673&lt;=W1394),1),I$4:I1673))))"),"")</f>
        <v/>
      </c>
      <c r="N1394" s="60" t="str">
        <f t="shared" si="8"/>
        <v/>
      </c>
      <c r="O1394" s="61" t="str">
        <f t="shared" si="9"/>
        <v/>
      </c>
      <c r="P1394" s="56" t="str">
        <f t="shared" si="10"/>
        <v/>
      </c>
      <c r="Q1394" s="67"/>
      <c r="R1394" s="10"/>
      <c r="S1394" s="59" t="str">
        <f t="array" ref="S1394">IF(COUNTA(Q1394:Q1673)=0,"",SUM((COUNTIF(Q$4:Q1394,Upgrades!$B$3:$B$13)-COUNTIF(Q$4:Q1394,"Sell_"&amp;Upgrades!$B$3:$B$13))*Upgrades!$D$3:$D$13))</f>
        <v/>
      </c>
      <c r="T1394" s="66" t="str">
        <f>IFERROR(__xludf.DUMMYFUNCTION("IF(COUNTA(Q1394:Q1673)=0,"""",IF(REGEXMATCH(INDEX(FILTER(Q$4:Q1394,Q$4:Q1394&lt;&gt;""""),ROWS(FILTER(Q$4:Q1394,Q$4:Q1394&lt;&gt;""""))),""^Sell_""),INDEX(FILTER(T$4:T1393,Q$4:Q1393&lt;&gt;""""),ROWS(FILTER(Q$4:Q1393,Q$4:Q1393&lt;&gt;""""))),$AD$5+S1394))"),"")</f>
        <v/>
      </c>
      <c r="U1394" s="10" t="str">
        <f>IFERROR(__xludf.DUMMYFUNCTION("IF(COUNTA(Q1394:Q1673)=0,"""",IF(Q1394="""",0,IF(REGEXMATCH(Q1394,""^Sell_""),-ROUNDDOWN(ROUNDUP(INDEX(Upgrades!$C$3:$C$13,MATCH(SUBSTITUTE(Q1394,""Sell_"",""""),Upgrades!$B$3:$B$13,0))*1.15^(COUNTIF(Q$4:Q1393,SUBSTITUTE(Q1394,""Sell_"",""""))-COUNTIF(Q$4"&amp;":Q1393,""Sell_""&amp;SUBSTITUTE(Q1394,""Sell_"",""""))))/2),ROUNDUP(INDEX(Upgrades!$C$3:$C$13,MATCH(Q1394,Upgrades!$B$3:$B$13,0))*1.15^(COUNTIF(Q$4:Q1393,Q1394)-COUNTIF(Q$4:Q1393,""Sell_""&amp;Q1394))))))"),"")</f>
        <v/>
      </c>
      <c r="V1394" s="10" t="str">
        <f t="shared" si="11"/>
        <v/>
      </c>
      <c r="W1394" s="68" t="str">
        <f t="shared" si="12"/>
        <v/>
      </c>
      <c r="X1394" s="59" t="str">
        <f t="shared" si="13"/>
        <v/>
      </c>
      <c r="Y1394" s="69" t="str">
        <f t="shared" si="14"/>
        <v/>
      </c>
      <c r="Z1394" s="11"/>
    </row>
    <row r="1395">
      <c r="A1395" s="8"/>
      <c r="B1395" s="56" t="str">
        <f t="shared" si="2"/>
        <v/>
      </c>
      <c r="C1395" s="105"/>
      <c r="D1395" s="10"/>
      <c r="E1395" s="59" t="str">
        <f t="array" ref="E1395">IF(COUNTA(C1395:C1673)=0,"",SUM((COUNTIF(C$4:C1395,Upgrades!$B$3:$B$13)-COUNTIF(C$4:C1395,"Sell_"&amp;Upgrades!$B$3:$B$13))*Upgrades!$D$3:$D$13))</f>
        <v/>
      </c>
      <c r="F1395" s="66" t="str">
        <f>IFERROR(__xludf.DUMMYFUNCTION("IF(COUNTA(C1395:C1673)=0,"""",IF(REGEXMATCH(INDEX(FILTER(C$4:C1395,C$4:C1395&lt;&gt;""""),ROWS(FILTER(C$4:C1395,C$4:C1395&lt;&gt;""""))),""^Sell_""),INDEX(FILTER(F$4:F1394,C$4:C1394&lt;&gt;""""),ROWS(FILTER(C$4:C1394,C$4:C1394&lt;&gt;""""))),$AC$5+E1395))"),"")</f>
        <v/>
      </c>
      <c r="G1395" s="10" t="str">
        <f>IFERROR(__xludf.DUMMYFUNCTION("IF(COUNTA(C1395:C1673)=0,"""",IF(C1395="""",0,IF(REGEXMATCH(C1395,""^Sell_""),-ROUNDDOWN(ROUNDUP(INDEX(Upgrades!$C$3:$C$13,MATCH(SUBSTITUTE(C1395,""Sell_"",""""),Upgrades!$B$3:$B$13,0))*1.15^(COUNTIF(C$4:C1394,SUBSTITUTE(C1395,""Sell_"",""""))-COUNTIF(C$4"&amp;":C1394,""Sell_""&amp;SUBSTITUTE(C1395,""Sell_"",""""))))/2),ROUNDUP(INDEX(Upgrades!$C$3:$C$13,MATCH(C1395,Upgrades!$B$3:$B$13,0))*1.15^(COUNTIF(C$4:C1394,C1395)-COUNTIF(C$4:C1394,""Sell_""&amp;C1395))))))"),"")</f>
        <v/>
      </c>
      <c r="H1395" s="10" t="str">
        <f t="shared" si="3"/>
        <v/>
      </c>
      <c r="I1395" s="68" t="str">
        <f t="shared" si="4"/>
        <v/>
      </c>
      <c r="J1395" s="59" t="str">
        <f t="shared" si="5"/>
        <v/>
      </c>
      <c r="K1395" s="69" t="str">
        <f t="shared" si="6"/>
        <v/>
      </c>
      <c r="L1395" s="60" t="str">
        <f t="shared" si="7"/>
        <v/>
      </c>
      <c r="M1395" s="61" t="str">
        <f>IFERROR(__xludf.DUMMYFUNCTION("IFS(AND(COUNTA(C1395:C1673)=0,COUNTA(Q1395:Q1673)=0),"""",OR(AND(K1395&gt;=1000000000,OR(Y1395&gt;=1000000000,COUNTA(Q1395:Q1673)=0)),OR(Y1395&gt;=1000000000,AND(COUNTA(C1395:C1673)=0,P$3=TRUE))),
ROUNDDOWN((AB$1-AC$1)*MAX(INDEX(T$4:T1673,MATCH(LARGE(FILTER(Y$4:Y1"&amp;"673,Y$4:Y1673&lt;1000000000),1),Y$4:Y1673)),INDEX(F$4:F1673,MATCH(LARGE(FILTER(K$4:K1673,K$4:K1673&lt;1000000000),1),K$4:K1673)))),AND(K1395&lt;1000000000,COUNTA(C1395:C1673)&gt;0,P$3=FALSE),
ROUNDDOWN(INDEX(Y$4:Y1673,MATCH(LARGE(FILTER(W$4:W1673,W$4:W1673&lt;=I1395),1)"&amp;",W$4:W1673))+(I1395-LARGE(FILTER(W$4:W1673,W$4:W1673&lt;=I1395),1))*INDEX(T$4:T1673,MATCH(LARGE(FILTER(W$4:W1673,W$4:W1673&lt;=I1395),1),W$4:W1673))-K1395),1,
ROUNDDOWN(Y1395-INDEX(K$4:K1673,MATCH(LARGE(FILTER(I$4:I1673,I$4:I1673&lt;=W1395),1),I$4:I1673))-(W1395-L"&amp;"ARGE(FILTER(I$4:I1673,I$4:I1673&lt;=W1395),1))*INDEX(F$4:F1673,MATCH(LARGE(FILTER(I$4:I1673,I$4:I1673&lt;=W1395),1),I$4:I1673))))"),"")</f>
        <v/>
      </c>
      <c r="N1395" s="60" t="str">
        <f t="shared" si="8"/>
        <v/>
      </c>
      <c r="O1395" s="61" t="str">
        <f t="shared" si="9"/>
        <v/>
      </c>
      <c r="P1395" s="56" t="str">
        <f t="shared" si="10"/>
        <v/>
      </c>
      <c r="Q1395" s="67"/>
      <c r="R1395" s="10"/>
      <c r="S1395" s="59" t="str">
        <f t="array" ref="S1395">IF(COUNTA(Q1395:Q1673)=0,"",SUM((COUNTIF(Q$4:Q1395,Upgrades!$B$3:$B$13)-COUNTIF(Q$4:Q1395,"Sell_"&amp;Upgrades!$B$3:$B$13))*Upgrades!$D$3:$D$13))</f>
        <v/>
      </c>
      <c r="T1395" s="66" t="str">
        <f>IFERROR(__xludf.DUMMYFUNCTION("IF(COUNTA(Q1395:Q1673)=0,"""",IF(REGEXMATCH(INDEX(FILTER(Q$4:Q1395,Q$4:Q1395&lt;&gt;""""),ROWS(FILTER(Q$4:Q1395,Q$4:Q1395&lt;&gt;""""))),""^Sell_""),INDEX(FILTER(T$4:T1394,Q$4:Q1394&lt;&gt;""""),ROWS(FILTER(Q$4:Q1394,Q$4:Q1394&lt;&gt;""""))),$AD$5+S1395))"),"")</f>
        <v/>
      </c>
      <c r="U1395" s="10" t="str">
        <f>IFERROR(__xludf.DUMMYFUNCTION("IF(COUNTA(Q1395:Q1673)=0,"""",IF(Q1395="""",0,IF(REGEXMATCH(Q1395,""^Sell_""),-ROUNDDOWN(ROUNDUP(INDEX(Upgrades!$C$3:$C$13,MATCH(SUBSTITUTE(Q1395,""Sell_"",""""),Upgrades!$B$3:$B$13,0))*1.15^(COUNTIF(Q$4:Q1394,SUBSTITUTE(Q1395,""Sell_"",""""))-COUNTIF(Q$4"&amp;":Q1394,""Sell_""&amp;SUBSTITUTE(Q1395,""Sell_"",""""))))/2),ROUNDUP(INDEX(Upgrades!$C$3:$C$13,MATCH(Q1395,Upgrades!$B$3:$B$13,0))*1.15^(COUNTIF(Q$4:Q1394,Q1395)-COUNTIF(Q$4:Q1394,""Sell_""&amp;Q1395))))))"),"")</f>
        <v/>
      </c>
      <c r="V1395" s="10" t="str">
        <f t="shared" si="11"/>
        <v/>
      </c>
      <c r="W1395" s="68" t="str">
        <f t="shared" si="12"/>
        <v/>
      </c>
      <c r="X1395" s="59" t="str">
        <f t="shared" si="13"/>
        <v/>
      </c>
      <c r="Y1395" s="69" t="str">
        <f t="shared" si="14"/>
        <v/>
      </c>
      <c r="Z1395" s="11"/>
    </row>
    <row r="1396">
      <c r="A1396" s="8"/>
      <c r="B1396" s="56" t="str">
        <f t="shared" si="2"/>
        <v/>
      </c>
      <c r="C1396" s="105"/>
      <c r="D1396" s="10"/>
      <c r="E1396" s="59" t="str">
        <f t="array" ref="E1396">IF(COUNTA(C1396:C1673)=0,"",SUM((COUNTIF(C$4:C1396,Upgrades!$B$3:$B$13)-COUNTIF(C$4:C1396,"Sell_"&amp;Upgrades!$B$3:$B$13))*Upgrades!$D$3:$D$13))</f>
        <v/>
      </c>
      <c r="F1396" s="66" t="str">
        <f>IFERROR(__xludf.DUMMYFUNCTION("IF(COUNTA(C1396:C1673)=0,"""",IF(REGEXMATCH(INDEX(FILTER(C$4:C1396,C$4:C1396&lt;&gt;""""),ROWS(FILTER(C$4:C1396,C$4:C1396&lt;&gt;""""))),""^Sell_""),INDEX(FILTER(F$4:F1395,C$4:C1395&lt;&gt;""""),ROWS(FILTER(C$4:C1395,C$4:C1395&lt;&gt;""""))),$AC$5+E1396))"),"")</f>
        <v/>
      </c>
      <c r="G1396" s="10" t="str">
        <f>IFERROR(__xludf.DUMMYFUNCTION("IF(COUNTA(C1396:C1673)=0,"""",IF(C1396="""",0,IF(REGEXMATCH(C1396,""^Sell_""),-ROUNDDOWN(ROUNDUP(INDEX(Upgrades!$C$3:$C$13,MATCH(SUBSTITUTE(C1396,""Sell_"",""""),Upgrades!$B$3:$B$13,0))*1.15^(COUNTIF(C$4:C1395,SUBSTITUTE(C1396,""Sell_"",""""))-COUNTIF(C$4"&amp;":C1395,""Sell_""&amp;SUBSTITUTE(C1396,""Sell_"",""""))))/2),ROUNDUP(INDEX(Upgrades!$C$3:$C$13,MATCH(C1396,Upgrades!$B$3:$B$13,0))*1.15^(COUNTIF(C$4:C1395,C1396)-COUNTIF(C$4:C1395,""Sell_""&amp;C1396))))))"),"")</f>
        <v/>
      </c>
      <c r="H1396" s="10" t="str">
        <f t="shared" si="3"/>
        <v/>
      </c>
      <c r="I1396" s="68" t="str">
        <f t="shared" si="4"/>
        <v/>
      </c>
      <c r="J1396" s="59" t="str">
        <f t="shared" si="5"/>
        <v/>
      </c>
      <c r="K1396" s="69" t="str">
        <f t="shared" si="6"/>
        <v/>
      </c>
      <c r="L1396" s="60" t="str">
        <f t="shared" si="7"/>
        <v/>
      </c>
      <c r="M1396" s="61" t="str">
        <f>IFERROR(__xludf.DUMMYFUNCTION("IFS(AND(COUNTA(C1396:C1673)=0,COUNTA(Q1396:Q1673)=0),"""",OR(AND(K1396&gt;=1000000000,OR(Y1396&gt;=1000000000,COUNTA(Q1396:Q1673)=0)),OR(Y1396&gt;=1000000000,AND(COUNTA(C1396:C1673)=0,P$3=TRUE))),
ROUNDDOWN((AB$1-AC$1)*MAX(INDEX(T$4:T1673,MATCH(LARGE(FILTER(Y$4:Y1"&amp;"673,Y$4:Y1673&lt;1000000000),1),Y$4:Y1673)),INDEX(F$4:F1673,MATCH(LARGE(FILTER(K$4:K1673,K$4:K1673&lt;1000000000),1),K$4:K1673)))),AND(K1396&lt;1000000000,COUNTA(C1396:C1673)&gt;0,P$3=FALSE),
ROUNDDOWN(INDEX(Y$4:Y1673,MATCH(LARGE(FILTER(W$4:W1673,W$4:W1673&lt;=I1396),1)"&amp;",W$4:W1673))+(I1396-LARGE(FILTER(W$4:W1673,W$4:W1673&lt;=I1396),1))*INDEX(T$4:T1673,MATCH(LARGE(FILTER(W$4:W1673,W$4:W1673&lt;=I1396),1),W$4:W1673))-K1396),1,
ROUNDDOWN(Y1396-INDEX(K$4:K1673,MATCH(LARGE(FILTER(I$4:I1673,I$4:I1673&lt;=W1396),1),I$4:I1673))-(W1396-L"&amp;"ARGE(FILTER(I$4:I1673,I$4:I1673&lt;=W1396),1))*INDEX(F$4:F1673,MATCH(LARGE(FILTER(I$4:I1673,I$4:I1673&lt;=W1396),1),I$4:I1673))))"),"")</f>
        <v/>
      </c>
      <c r="N1396" s="60" t="str">
        <f t="shared" si="8"/>
        <v/>
      </c>
      <c r="O1396" s="61" t="str">
        <f t="shared" si="9"/>
        <v/>
      </c>
      <c r="P1396" s="56" t="str">
        <f t="shared" si="10"/>
        <v/>
      </c>
      <c r="Q1396" s="67"/>
      <c r="R1396" s="10"/>
      <c r="S1396" s="59" t="str">
        <f t="array" ref="S1396">IF(COUNTA(Q1396:Q1673)=0,"",SUM((COUNTIF(Q$4:Q1396,Upgrades!$B$3:$B$13)-COUNTIF(Q$4:Q1396,"Sell_"&amp;Upgrades!$B$3:$B$13))*Upgrades!$D$3:$D$13))</f>
        <v/>
      </c>
      <c r="T1396" s="66" t="str">
        <f>IFERROR(__xludf.DUMMYFUNCTION("IF(COUNTA(Q1396:Q1673)=0,"""",IF(REGEXMATCH(INDEX(FILTER(Q$4:Q1396,Q$4:Q1396&lt;&gt;""""),ROWS(FILTER(Q$4:Q1396,Q$4:Q1396&lt;&gt;""""))),""^Sell_""),INDEX(FILTER(T$4:T1395,Q$4:Q1395&lt;&gt;""""),ROWS(FILTER(Q$4:Q1395,Q$4:Q1395&lt;&gt;""""))),$AD$5+S1396))"),"")</f>
        <v/>
      </c>
      <c r="U1396" s="10" t="str">
        <f>IFERROR(__xludf.DUMMYFUNCTION("IF(COUNTA(Q1396:Q1673)=0,"""",IF(Q1396="""",0,IF(REGEXMATCH(Q1396,""^Sell_""),-ROUNDDOWN(ROUNDUP(INDEX(Upgrades!$C$3:$C$13,MATCH(SUBSTITUTE(Q1396,""Sell_"",""""),Upgrades!$B$3:$B$13,0))*1.15^(COUNTIF(Q$4:Q1395,SUBSTITUTE(Q1396,""Sell_"",""""))-COUNTIF(Q$4"&amp;":Q1395,""Sell_""&amp;SUBSTITUTE(Q1396,""Sell_"",""""))))/2),ROUNDUP(INDEX(Upgrades!$C$3:$C$13,MATCH(Q1396,Upgrades!$B$3:$B$13,0))*1.15^(COUNTIF(Q$4:Q1395,Q1396)-COUNTIF(Q$4:Q1395,""Sell_""&amp;Q1396))))))"),"")</f>
        <v/>
      </c>
      <c r="V1396" s="10" t="str">
        <f t="shared" si="11"/>
        <v/>
      </c>
      <c r="W1396" s="68" t="str">
        <f t="shared" si="12"/>
        <v/>
      </c>
      <c r="X1396" s="59" t="str">
        <f t="shared" si="13"/>
        <v/>
      </c>
      <c r="Y1396" s="69" t="str">
        <f t="shared" si="14"/>
        <v/>
      </c>
      <c r="Z1396" s="11"/>
    </row>
    <row r="1397">
      <c r="A1397" s="8"/>
      <c r="B1397" s="56" t="str">
        <f t="shared" si="2"/>
        <v/>
      </c>
      <c r="C1397" s="105"/>
      <c r="D1397" s="10"/>
      <c r="E1397" s="59" t="str">
        <f t="array" ref="E1397">IF(COUNTA(C1397:C1673)=0,"",SUM((COUNTIF(C$4:C1397,Upgrades!$B$3:$B$13)-COUNTIF(C$4:C1397,"Sell_"&amp;Upgrades!$B$3:$B$13))*Upgrades!$D$3:$D$13))</f>
        <v/>
      </c>
      <c r="F1397" s="66" t="str">
        <f>IFERROR(__xludf.DUMMYFUNCTION("IF(COUNTA(C1397:C1673)=0,"""",IF(REGEXMATCH(INDEX(FILTER(C$4:C1397,C$4:C1397&lt;&gt;""""),ROWS(FILTER(C$4:C1397,C$4:C1397&lt;&gt;""""))),""^Sell_""),INDEX(FILTER(F$4:F1396,C$4:C1396&lt;&gt;""""),ROWS(FILTER(C$4:C1396,C$4:C1396&lt;&gt;""""))),$AC$5+E1397))"),"")</f>
        <v/>
      </c>
      <c r="G1397" s="10" t="str">
        <f>IFERROR(__xludf.DUMMYFUNCTION("IF(COUNTA(C1397:C1673)=0,"""",IF(C1397="""",0,IF(REGEXMATCH(C1397,""^Sell_""),-ROUNDDOWN(ROUNDUP(INDEX(Upgrades!$C$3:$C$13,MATCH(SUBSTITUTE(C1397,""Sell_"",""""),Upgrades!$B$3:$B$13,0))*1.15^(COUNTIF(C$4:C1396,SUBSTITUTE(C1397,""Sell_"",""""))-COUNTIF(C$4"&amp;":C1396,""Sell_""&amp;SUBSTITUTE(C1397,""Sell_"",""""))))/2),ROUNDUP(INDEX(Upgrades!$C$3:$C$13,MATCH(C1397,Upgrades!$B$3:$B$13,0))*1.15^(COUNTIF(C$4:C1396,C1397)-COUNTIF(C$4:C1396,""Sell_""&amp;C1397))))))"),"")</f>
        <v/>
      </c>
      <c r="H1397" s="10" t="str">
        <f t="shared" si="3"/>
        <v/>
      </c>
      <c r="I1397" s="68" t="str">
        <f t="shared" si="4"/>
        <v/>
      </c>
      <c r="J1397" s="59" t="str">
        <f t="shared" si="5"/>
        <v/>
      </c>
      <c r="K1397" s="69" t="str">
        <f t="shared" si="6"/>
        <v/>
      </c>
      <c r="L1397" s="60" t="str">
        <f t="shared" si="7"/>
        <v/>
      </c>
      <c r="M1397" s="61" t="str">
        <f>IFERROR(__xludf.DUMMYFUNCTION("IFS(AND(COUNTA(C1397:C1673)=0,COUNTA(Q1397:Q1673)=0),"""",OR(AND(K1397&gt;=1000000000,OR(Y1397&gt;=1000000000,COUNTA(Q1397:Q1673)=0)),OR(Y1397&gt;=1000000000,AND(COUNTA(C1397:C1673)=0,P$3=TRUE))),
ROUNDDOWN((AB$1-AC$1)*MAX(INDEX(T$4:T1673,MATCH(LARGE(FILTER(Y$4:Y1"&amp;"673,Y$4:Y1673&lt;1000000000),1),Y$4:Y1673)),INDEX(F$4:F1673,MATCH(LARGE(FILTER(K$4:K1673,K$4:K1673&lt;1000000000),1),K$4:K1673)))),AND(K1397&lt;1000000000,COUNTA(C1397:C1673)&gt;0,P$3=FALSE),
ROUNDDOWN(INDEX(Y$4:Y1673,MATCH(LARGE(FILTER(W$4:W1673,W$4:W1673&lt;=I1397),1)"&amp;",W$4:W1673))+(I1397-LARGE(FILTER(W$4:W1673,W$4:W1673&lt;=I1397),1))*INDEX(T$4:T1673,MATCH(LARGE(FILTER(W$4:W1673,W$4:W1673&lt;=I1397),1),W$4:W1673))-K1397),1,
ROUNDDOWN(Y1397-INDEX(K$4:K1673,MATCH(LARGE(FILTER(I$4:I1673,I$4:I1673&lt;=W1397),1),I$4:I1673))-(W1397-L"&amp;"ARGE(FILTER(I$4:I1673,I$4:I1673&lt;=W1397),1))*INDEX(F$4:F1673,MATCH(LARGE(FILTER(I$4:I1673,I$4:I1673&lt;=W1397),1),I$4:I1673))))"),"")</f>
        <v/>
      </c>
      <c r="N1397" s="60" t="str">
        <f t="shared" si="8"/>
        <v/>
      </c>
      <c r="O1397" s="61" t="str">
        <f t="shared" si="9"/>
        <v/>
      </c>
      <c r="P1397" s="56" t="str">
        <f t="shared" si="10"/>
        <v/>
      </c>
      <c r="Q1397" s="67"/>
      <c r="R1397" s="10"/>
      <c r="S1397" s="59" t="str">
        <f t="array" ref="S1397">IF(COUNTA(Q1397:Q1673)=0,"",SUM((COUNTIF(Q$4:Q1397,Upgrades!$B$3:$B$13)-COUNTIF(Q$4:Q1397,"Sell_"&amp;Upgrades!$B$3:$B$13))*Upgrades!$D$3:$D$13))</f>
        <v/>
      </c>
      <c r="T1397" s="66" t="str">
        <f>IFERROR(__xludf.DUMMYFUNCTION("IF(COUNTA(Q1397:Q1673)=0,"""",IF(REGEXMATCH(INDEX(FILTER(Q$4:Q1397,Q$4:Q1397&lt;&gt;""""),ROWS(FILTER(Q$4:Q1397,Q$4:Q1397&lt;&gt;""""))),""^Sell_""),INDEX(FILTER(T$4:T1396,Q$4:Q1396&lt;&gt;""""),ROWS(FILTER(Q$4:Q1396,Q$4:Q1396&lt;&gt;""""))),$AD$5+S1397))"),"")</f>
        <v/>
      </c>
      <c r="U1397" s="10" t="str">
        <f>IFERROR(__xludf.DUMMYFUNCTION("IF(COUNTA(Q1397:Q1673)=0,"""",IF(Q1397="""",0,IF(REGEXMATCH(Q1397,""^Sell_""),-ROUNDDOWN(ROUNDUP(INDEX(Upgrades!$C$3:$C$13,MATCH(SUBSTITUTE(Q1397,""Sell_"",""""),Upgrades!$B$3:$B$13,0))*1.15^(COUNTIF(Q$4:Q1396,SUBSTITUTE(Q1397,""Sell_"",""""))-COUNTIF(Q$4"&amp;":Q1396,""Sell_""&amp;SUBSTITUTE(Q1397,""Sell_"",""""))))/2),ROUNDUP(INDEX(Upgrades!$C$3:$C$13,MATCH(Q1397,Upgrades!$B$3:$B$13,0))*1.15^(COUNTIF(Q$4:Q1396,Q1397)-COUNTIF(Q$4:Q1396,""Sell_""&amp;Q1397))))))"),"")</f>
        <v/>
      </c>
      <c r="V1397" s="10" t="str">
        <f t="shared" si="11"/>
        <v/>
      </c>
      <c r="W1397" s="68" t="str">
        <f t="shared" si="12"/>
        <v/>
      </c>
      <c r="X1397" s="59" t="str">
        <f t="shared" si="13"/>
        <v/>
      </c>
      <c r="Y1397" s="69" t="str">
        <f t="shared" si="14"/>
        <v/>
      </c>
      <c r="Z1397" s="11"/>
    </row>
    <row r="1398">
      <c r="A1398" s="8"/>
      <c r="B1398" s="56" t="str">
        <f t="shared" si="2"/>
        <v/>
      </c>
      <c r="C1398" s="105"/>
      <c r="D1398" s="10"/>
      <c r="E1398" s="59" t="str">
        <f t="array" ref="E1398">IF(COUNTA(C1398:C1673)=0,"",SUM((COUNTIF(C$4:C1398,Upgrades!$B$3:$B$13)-COUNTIF(C$4:C1398,"Sell_"&amp;Upgrades!$B$3:$B$13))*Upgrades!$D$3:$D$13))</f>
        <v/>
      </c>
      <c r="F1398" s="66" t="str">
        <f>IFERROR(__xludf.DUMMYFUNCTION("IF(COUNTA(C1398:C1673)=0,"""",IF(REGEXMATCH(INDEX(FILTER(C$4:C1398,C$4:C1398&lt;&gt;""""),ROWS(FILTER(C$4:C1398,C$4:C1398&lt;&gt;""""))),""^Sell_""),INDEX(FILTER(F$4:F1397,C$4:C1397&lt;&gt;""""),ROWS(FILTER(C$4:C1397,C$4:C1397&lt;&gt;""""))),$AC$5+E1398))"),"")</f>
        <v/>
      </c>
      <c r="G1398" s="10" t="str">
        <f>IFERROR(__xludf.DUMMYFUNCTION("IF(COUNTA(C1398:C1673)=0,"""",IF(C1398="""",0,IF(REGEXMATCH(C1398,""^Sell_""),-ROUNDDOWN(ROUNDUP(INDEX(Upgrades!$C$3:$C$13,MATCH(SUBSTITUTE(C1398,""Sell_"",""""),Upgrades!$B$3:$B$13,0))*1.15^(COUNTIF(C$4:C1397,SUBSTITUTE(C1398,""Sell_"",""""))-COUNTIF(C$4"&amp;":C1397,""Sell_""&amp;SUBSTITUTE(C1398,""Sell_"",""""))))/2),ROUNDUP(INDEX(Upgrades!$C$3:$C$13,MATCH(C1398,Upgrades!$B$3:$B$13,0))*1.15^(COUNTIF(C$4:C1397,C1398)-COUNTIF(C$4:C1397,""Sell_""&amp;C1398))))))"),"")</f>
        <v/>
      </c>
      <c r="H1398" s="10" t="str">
        <f t="shared" si="3"/>
        <v/>
      </c>
      <c r="I1398" s="68" t="str">
        <f t="shared" si="4"/>
        <v/>
      </c>
      <c r="J1398" s="59" t="str">
        <f t="shared" si="5"/>
        <v/>
      </c>
      <c r="K1398" s="69" t="str">
        <f t="shared" si="6"/>
        <v/>
      </c>
      <c r="L1398" s="60" t="str">
        <f t="shared" si="7"/>
        <v/>
      </c>
      <c r="M1398" s="61" t="str">
        <f>IFERROR(__xludf.DUMMYFUNCTION("IFS(AND(COUNTA(C1398:C1673)=0,COUNTA(Q1398:Q1673)=0),"""",OR(AND(K1398&gt;=1000000000,OR(Y1398&gt;=1000000000,COUNTA(Q1398:Q1673)=0)),OR(Y1398&gt;=1000000000,AND(COUNTA(C1398:C1673)=0,P$3=TRUE))),
ROUNDDOWN((AB$1-AC$1)*MAX(INDEX(T$4:T1673,MATCH(LARGE(FILTER(Y$4:Y1"&amp;"673,Y$4:Y1673&lt;1000000000),1),Y$4:Y1673)),INDEX(F$4:F1673,MATCH(LARGE(FILTER(K$4:K1673,K$4:K1673&lt;1000000000),1),K$4:K1673)))),AND(K1398&lt;1000000000,COUNTA(C1398:C1673)&gt;0,P$3=FALSE),
ROUNDDOWN(INDEX(Y$4:Y1673,MATCH(LARGE(FILTER(W$4:W1673,W$4:W1673&lt;=I1398),1)"&amp;",W$4:W1673))+(I1398-LARGE(FILTER(W$4:W1673,W$4:W1673&lt;=I1398),1))*INDEX(T$4:T1673,MATCH(LARGE(FILTER(W$4:W1673,W$4:W1673&lt;=I1398),1),W$4:W1673))-K1398),1,
ROUNDDOWN(Y1398-INDEX(K$4:K1673,MATCH(LARGE(FILTER(I$4:I1673,I$4:I1673&lt;=W1398),1),I$4:I1673))-(W1398-L"&amp;"ARGE(FILTER(I$4:I1673,I$4:I1673&lt;=W1398),1))*INDEX(F$4:F1673,MATCH(LARGE(FILTER(I$4:I1673,I$4:I1673&lt;=W1398),1),I$4:I1673))))"),"")</f>
        <v/>
      </c>
      <c r="N1398" s="60" t="str">
        <f t="shared" si="8"/>
        <v/>
      </c>
      <c r="O1398" s="61" t="str">
        <f t="shared" si="9"/>
        <v/>
      </c>
      <c r="P1398" s="56" t="str">
        <f t="shared" si="10"/>
        <v/>
      </c>
      <c r="Q1398" s="67"/>
      <c r="R1398" s="10"/>
      <c r="S1398" s="59" t="str">
        <f t="array" ref="S1398">IF(COUNTA(Q1398:Q1673)=0,"",SUM((COUNTIF(Q$4:Q1398,Upgrades!$B$3:$B$13)-COUNTIF(Q$4:Q1398,"Sell_"&amp;Upgrades!$B$3:$B$13))*Upgrades!$D$3:$D$13))</f>
        <v/>
      </c>
      <c r="T1398" s="66" t="str">
        <f>IFERROR(__xludf.DUMMYFUNCTION("IF(COUNTA(Q1398:Q1673)=0,"""",IF(REGEXMATCH(INDEX(FILTER(Q$4:Q1398,Q$4:Q1398&lt;&gt;""""),ROWS(FILTER(Q$4:Q1398,Q$4:Q1398&lt;&gt;""""))),""^Sell_""),INDEX(FILTER(T$4:T1397,Q$4:Q1397&lt;&gt;""""),ROWS(FILTER(Q$4:Q1397,Q$4:Q1397&lt;&gt;""""))),$AD$5+S1398))"),"")</f>
        <v/>
      </c>
      <c r="U1398" s="10" t="str">
        <f>IFERROR(__xludf.DUMMYFUNCTION("IF(COUNTA(Q1398:Q1673)=0,"""",IF(Q1398="""",0,IF(REGEXMATCH(Q1398,""^Sell_""),-ROUNDDOWN(ROUNDUP(INDEX(Upgrades!$C$3:$C$13,MATCH(SUBSTITUTE(Q1398,""Sell_"",""""),Upgrades!$B$3:$B$13,0))*1.15^(COUNTIF(Q$4:Q1397,SUBSTITUTE(Q1398,""Sell_"",""""))-COUNTIF(Q$4"&amp;":Q1397,""Sell_""&amp;SUBSTITUTE(Q1398,""Sell_"",""""))))/2),ROUNDUP(INDEX(Upgrades!$C$3:$C$13,MATCH(Q1398,Upgrades!$B$3:$B$13,0))*1.15^(COUNTIF(Q$4:Q1397,Q1398)-COUNTIF(Q$4:Q1397,""Sell_""&amp;Q1398))))))"),"")</f>
        <v/>
      </c>
      <c r="V1398" s="10" t="str">
        <f t="shared" si="11"/>
        <v/>
      </c>
      <c r="W1398" s="68" t="str">
        <f t="shared" si="12"/>
        <v/>
      </c>
      <c r="X1398" s="59" t="str">
        <f t="shared" si="13"/>
        <v/>
      </c>
      <c r="Y1398" s="69" t="str">
        <f t="shared" si="14"/>
        <v/>
      </c>
      <c r="Z1398" s="11"/>
    </row>
    <row r="1399">
      <c r="A1399" s="8"/>
      <c r="B1399" s="56" t="str">
        <f t="shared" si="2"/>
        <v/>
      </c>
      <c r="C1399" s="105"/>
      <c r="D1399" s="10"/>
      <c r="E1399" s="59" t="str">
        <f t="array" ref="E1399">IF(COUNTA(C1399:C1673)=0,"",SUM((COUNTIF(C$4:C1399,Upgrades!$B$3:$B$13)-COUNTIF(C$4:C1399,"Sell_"&amp;Upgrades!$B$3:$B$13))*Upgrades!$D$3:$D$13))</f>
        <v/>
      </c>
      <c r="F1399" s="66" t="str">
        <f>IFERROR(__xludf.DUMMYFUNCTION("IF(COUNTA(C1399:C1673)=0,"""",IF(REGEXMATCH(INDEX(FILTER(C$4:C1399,C$4:C1399&lt;&gt;""""),ROWS(FILTER(C$4:C1399,C$4:C1399&lt;&gt;""""))),""^Sell_""),INDEX(FILTER(F$4:F1398,C$4:C1398&lt;&gt;""""),ROWS(FILTER(C$4:C1398,C$4:C1398&lt;&gt;""""))),$AC$5+E1399))"),"")</f>
        <v/>
      </c>
      <c r="G1399" s="10" t="str">
        <f>IFERROR(__xludf.DUMMYFUNCTION("IF(COUNTA(C1399:C1673)=0,"""",IF(C1399="""",0,IF(REGEXMATCH(C1399,""^Sell_""),-ROUNDDOWN(ROUNDUP(INDEX(Upgrades!$C$3:$C$13,MATCH(SUBSTITUTE(C1399,""Sell_"",""""),Upgrades!$B$3:$B$13,0))*1.15^(COUNTIF(C$4:C1398,SUBSTITUTE(C1399,""Sell_"",""""))-COUNTIF(C$4"&amp;":C1398,""Sell_""&amp;SUBSTITUTE(C1399,""Sell_"",""""))))/2),ROUNDUP(INDEX(Upgrades!$C$3:$C$13,MATCH(C1399,Upgrades!$B$3:$B$13,0))*1.15^(COUNTIF(C$4:C1398,C1399)-COUNTIF(C$4:C1398,""Sell_""&amp;C1399))))))"),"")</f>
        <v/>
      </c>
      <c r="H1399" s="10" t="str">
        <f t="shared" si="3"/>
        <v/>
      </c>
      <c r="I1399" s="68" t="str">
        <f t="shared" si="4"/>
        <v/>
      </c>
      <c r="J1399" s="59" t="str">
        <f t="shared" si="5"/>
        <v/>
      </c>
      <c r="K1399" s="69" t="str">
        <f t="shared" si="6"/>
        <v/>
      </c>
      <c r="L1399" s="60" t="str">
        <f t="shared" si="7"/>
        <v/>
      </c>
      <c r="M1399" s="61" t="str">
        <f>IFERROR(__xludf.DUMMYFUNCTION("IFS(AND(COUNTA(C1399:C1673)=0,COUNTA(Q1399:Q1673)=0),"""",OR(AND(K1399&gt;=1000000000,OR(Y1399&gt;=1000000000,COUNTA(Q1399:Q1673)=0)),OR(Y1399&gt;=1000000000,AND(COUNTA(C1399:C1673)=0,P$3=TRUE))),
ROUNDDOWN((AB$1-AC$1)*MAX(INDEX(T$4:T1673,MATCH(LARGE(FILTER(Y$4:Y1"&amp;"673,Y$4:Y1673&lt;1000000000),1),Y$4:Y1673)),INDEX(F$4:F1673,MATCH(LARGE(FILTER(K$4:K1673,K$4:K1673&lt;1000000000),1),K$4:K1673)))),AND(K1399&lt;1000000000,COUNTA(C1399:C1673)&gt;0,P$3=FALSE),
ROUNDDOWN(INDEX(Y$4:Y1673,MATCH(LARGE(FILTER(W$4:W1673,W$4:W1673&lt;=I1399),1)"&amp;",W$4:W1673))+(I1399-LARGE(FILTER(W$4:W1673,W$4:W1673&lt;=I1399),1))*INDEX(T$4:T1673,MATCH(LARGE(FILTER(W$4:W1673,W$4:W1673&lt;=I1399),1),W$4:W1673))-K1399),1,
ROUNDDOWN(Y1399-INDEX(K$4:K1673,MATCH(LARGE(FILTER(I$4:I1673,I$4:I1673&lt;=W1399),1),I$4:I1673))-(W1399-L"&amp;"ARGE(FILTER(I$4:I1673,I$4:I1673&lt;=W1399),1))*INDEX(F$4:F1673,MATCH(LARGE(FILTER(I$4:I1673,I$4:I1673&lt;=W1399),1),I$4:I1673))))"),"")</f>
        <v/>
      </c>
      <c r="N1399" s="60" t="str">
        <f t="shared" si="8"/>
        <v/>
      </c>
      <c r="O1399" s="61" t="str">
        <f t="shared" si="9"/>
        <v/>
      </c>
      <c r="P1399" s="56" t="str">
        <f t="shared" si="10"/>
        <v/>
      </c>
      <c r="Q1399" s="67"/>
      <c r="R1399" s="10"/>
      <c r="S1399" s="59" t="str">
        <f t="array" ref="S1399">IF(COUNTA(Q1399:Q1673)=0,"",SUM((COUNTIF(Q$4:Q1399,Upgrades!$B$3:$B$13)-COUNTIF(Q$4:Q1399,"Sell_"&amp;Upgrades!$B$3:$B$13))*Upgrades!$D$3:$D$13))</f>
        <v/>
      </c>
      <c r="T1399" s="66" t="str">
        <f>IFERROR(__xludf.DUMMYFUNCTION("IF(COUNTA(Q1399:Q1673)=0,"""",IF(REGEXMATCH(INDEX(FILTER(Q$4:Q1399,Q$4:Q1399&lt;&gt;""""),ROWS(FILTER(Q$4:Q1399,Q$4:Q1399&lt;&gt;""""))),""^Sell_""),INDEX(FILTER(T$4:T1398,Q$4:Q1398&lt;&gt;""""),ROWS(FILTER(Q$4:Q1398,Q$4:Q1398&lt;&gt;""""))),$AD$5+S1399))"),"")</f>
        <v/>
      </c>
      <c r="U1399" s="10" t="str">
        <f>IFERROR(__xludf.DUMMYFUNCTION("IF(COUNTA(Q1399:Q1673)=0,"""",IF(Q1399="""",0,IF(REGEXMATCH(Q1399,""^Sell_""),-ROUNDDOWN(ROUNDUP(INDEX(Upgrades!$C$3:$C$13,MATCH(SUBSTITUTE(Q1399,""Sell_"",""""),Upgrades!$B$3:$B$13,0))*1.15^(COUNTIF(Q$4:Q1398,SUBSTITUTE(Q1399,""Sell_"",""""))-COUNTIF(Q$4"&amp;":Q1398,""Sell_""&amp;SUBSTITUTE(Q1399,""Sell_"",""""))))/2),ROUNDUP(INDEX(Upgrades!$C$3:$C$13,MATCH(Q1399,Upgrades!$B$3:$B$13,0))*1.15^(COUNTIF(Q$4:Q1398,Q1399)-COUNTIF(Q$4:Q1398,""Sell_""&amp;Q1399))))))"),"")</f>
        <v/>
      </c>
      <c r="V1399" s="10" t="str">
        <f t="shared" si="11"/>
        <v/>
      </c>
      <c r="W1399" s="68" t="str">
        <f t="shared" si="12"/>
        <v/>
      </c>
      <c r="X1399" s="59" t="str">
        <f t="shared" si="13"/>
        <v/>
      </c>
      <c r="Y1399" s="69" t="str">
        <f t="shared" si="14"/>
        <v/>
      </c>
      <c r="Z1399" s="11"/>
    </row>
    <row r="1400">
      <c r="A1400" s="8"/>
      <c r="B1400" s="56" t="str">
        <f t="shared" si="2"/>
        <v/>
      </c>
      <c r="C1400" s="105"/>
      <c r="D1400" s="10"/>
      <c r="E1400" s="59" t="str">
        <f t="array" ref="E1400">IF(COUNTA(C1400:C1673)=0,"",SUM((COUNTIF(C$4:C1400,Upgrades!$B$3:$B$13)-COUNTIF(C$4:C1400,"Sell_"&amp;Upgrades!$B$3:$B$13))*Upgrades!$D$3:$D$13))</f>
        <v/>
      </c>
      <c r="F1400" s="66" t="str">
        <f>IFERROR(__xludf.DUMMYFUNCTION("IF(COUNTA(C1400:C1673)=0,"""",IF(REGEXMATCH(INDEX(FILTER(C$4:C1400,C$4:C1400&lt;&gt;""""),ROWS(FILTER(C$4:C1400,C$4:C1400&lt;&gt;""""))),""^Sell_""),INDEX(FILTER(F$4:F1399,C$4:C1399&lt;&gt;""""),ROWS(FILTER(C$4:C1399,C$4:C1399&lt;&gt;""""))),$AC$5+E1400))"),"")</f>
        <v/>
      </c>
      <c r="G1400" s="10" t="str">
        <f>IFERROR(__xludf.DUMMYFUNCTION("IF(COUNTA(C1400:C1673)=0,"""",IF(C1400="""",0,IF(REGEXMATCH(C1400,""^Sell_""),-ROUNDDOWN(ROUNDUP(INDEX(Upgrades!$C$3:$C$13,MATCH(SUBSTITUTE(C1400,""Sell_"",""""),Upgrades!$B$3:$B$13,0))*1.15^(COUNTIF(C$4:C1399,SUBSTITUTE(C1400,""Sell_"",""""))-COUNTIF(C$4"&amp;":C1399,""Sell_""&amp;SUBSTITUTE(C1400,""Sell_"",""""))))/2),ROUNDUP(INDEX(Upgrades!$C$3:$C$13,MATCH(C1400,Upgrades!$B$3:$B$13,0))*1.15^(COUNTIF(C$4:C1399,C1400)-COUNTIF(C$4:C1399,""Sell_""&amp;C1400))))))"),"")</f>
        <v/>
      </c>
      <c r="H1400" s="10" t="str">
        <f t="shared" si="3"/>
        <v/>
      </c>
      <c r="I1400" s="68" t="str">
        <f t="shared" si="4"/>
        <v/>
      </c>
      <c r="J1400" s="59" t="str">
        <f t="shared" si="5"/>
        <v/>
      </c>
      <c r="K1400" s="69" t="str">
        <f t="shared" si="6"/>
        <v/>
      </c>
      <c r="L1400" s="60" t="str">
        <f t="shared" si="7"/>
        <v/>
      </c>
      <c r="M1400" s="61" t="str">
        <f>IFERROR(__xludf.DUMMYFUNCTION("IFS(AND(COUNTA(C1400:C1673)=0,COUNTA(Q1400:Q1673)=0),"""",OR(AND(K1400&gt;=1000000000,OR(Y1400&gt;=1000000000,COUNTA(Q1400:Q1673)=0)),OR(Y1400&gt;=1000000000,AND(COUNTA(C1400:C1673)=0,P$3=TRUE))),
ROUNDDOWN((AB$1-AC$1)*MAX(INDEX(T$4:T1673,MATCH(LARGE(FILTER(Y$4:Y1"&amp;"673,Y$4:Y1673&lt;1000000000),1),Y$4:Y1673)),INDEX(F$4:F1673,MATCH(LARGE(FILTER(K$4:K1673,K$4:K1673&lt;1000000000),1),K$4:K1673)))),AND(K1400&lt;1000000000,COUNTA(C1400:C1673)&gt;0,P$3=FALSE),
ROUNDDOWN(INDEX(Y$4:Y1673,MATCH(LARGE(FILTER(W$4:W1673,W$4:W1673&lt;=I1400),1)"&amp;",W$4:W1673))+(I1400-LARGE(FILTER(W$4:W1673,W$4:W1673&lt;=I1400),1))*INDEX(T$4:T1673,MATCH(LARGE(FILTER(W$4:W1673,W$4:W1673&lt;=I1400),1),W$4:W1673))-K1400),1,
ROUNDDOWN(Y1400-INDEX(K$4:K1673,MATCH(LARGE(FILTER(I$4:I1673,I$4:I1673&lt;=W1400),1),I$4:I1673))-(W1400-L"&amp;"ARGE(FILTER(I$4:I1673,I$4:I1673&lt;=W1400),1))*INDEX(F$4:F1673,MATCH(LARGE(FILTER(I$4:I1673,I$4:I1673&lt;=W1400),1),I$4:I1673))))"),"")</f>
        <v/>
      </c>
      <c r="N1400" s="60" t="str">
        <f t="shared" si="8"/>
        <v/>
      </c>
      <c r="O1400" s="61" t="str">
        <f t="shared" si="9"/>
        <v/>
      </c>
      <c r="P1400" s="56" t="str">
        <f t="shared" si="10"/>
        <v/>
      </c>
      <c r="Q1400" s="67"/>
      <c r="R1400" s="10"/>
      <c r="S1400" s="59" t="str">
        <f t="array" ref="S1400">IF(COUNTA(Q1400:Q1673)=0,"",SUM((COUNTIF(Q$4:Q1400,Upgrades!$B$3:$B$13)-COUNTIF(Q$4:Q1400,"Sell_"&amp;Upgrades!$B$3:$B$13))*Upgrades!$D$3:$D$13))</f>
        <v/>
      </c>
      <c r="T1400" s="66" t="str">
        <f>IFERROR(__xludf.DUMMYFUNCTION("IF(COUNTA(Q1400:Q1673)=0,"""",IF(REGEXMATCH(INDEX(FILTER(Q$4:Q1400,Q$4:Q1400&lt;&gt;""""),ROWS(FILTER(Q$4:Q1400,Q$4:Q1400&lt;&gt;""""))),""^Sell_""),INDEX(FILTER(T$4:T1399,Q$4:Q1399&lt;&gt;""""),ROWS(FILTER(Q$4:Q1399,Q$4:Q1399&lt;&gt;""""))),$AD$5+S1400))"),"")</f>
        <v/>
      </c>
      <c r="U1400" s="10" t="str">
        <f>IFERROR(__xludf.DUMMYFUNCTION("IF(COUNTA(Q1400:Q1673)=0,"""",IF(Q1400="""",0,IF(REGEXMATCH(Q1400,""^Sell_""),-ROUNDDOWN(ROUNDUP(INDEX(Upgrades!$C$3:$C$13,MATCH(SUBSTITUTE(Q1400,""Sell_"",""""),Upgrades!$B$3:$B$13,0))*1.15^(COUNTIF(Q$4:Q1399,SUBSTITUTE(Q1400,""Sell_"",""""))-COUNTIF(Q$4"&amp;":Q1399,""Sell_""&amp;SUBSTITUTE(Q1400,""Sell_"",""""))))/2),ROUNDUP(INDEX(Upgrades!$C$3:$C$13,MATCH(Q1400,Upgrades!$B$3:$B$13,0))*1.15^(COUNTIF(Q$4:Q1399,Q1400)-COUNTIF(Q$4:Q1399,""Sell_""&amp;Q1400))))))"),"")</f>
        <v/>
      </c>
      <c r="V1400" s="10" t="str">
        <f t="shared" si="11"/>
        <v/>
      </c>
      <c r="W1400" s="68" t="str">
        <f t="shared" si="12"/>
        <v/>
      </c>
      <c r="X1400" s="59" t="str">
        <f t="shared" si="13"/>
        <v/>
      </c>
      <c r="Y1400" s="69" t="str">
        <f t="shared" si="14"/>
        <v/>
      </c>
      <c r="Z1400" s="11"/>
    </row>
    <row r="1401">
      <c r="A1401" s="8"/>
      <c r="B1401" s="56" t="str">
        <f t="shared" si="2"/>
        <v/>
      </c>
      <c r="C1401" s="105"/>
      <c r="D1401" s="10"/>
      <c r="E1401" s="59" t="str">
        <f t="array" ref="E1401">IF(COUNTA(C1401:C1673)=0,"",SUM((COUNTIF(C$4:C1401,Upgrades!$B$3:$B$13)-COUNTIF(C$4:C1401,"Sell_"&amp;Upgrades!$B$3:$B$13))*Upgrades!$D$3:$D$13))</f>
        <v/>
      </c>
      <c r="F1401" s="66" t="str">
        <f>IFERROR(__xludf.DUMMYFUNCTION("IF(COUNTA(C1401:C1673)=0,"""",IF(REGEXMATCH(INDEX(FILTER(C$4:C1401,C$4:C1401&lt;&gt;""""),ROWS(FILTER(C$4:C1401,C$4:C1401&lt;&gt;""""))),""^Sell_""),INDEX(FILTER(F$4:F1400,C$4:C1400&lt;&gt;""""),ROWS(FILTER(C$4:C1400,C$4:C1400&lt;&gt;""""))),$AC$5+E1401))"),"")</f>
        <v/>
      </c>
      <c r="G1401" s="10" t="str">
        <f>IFERROR(__xludf.DUMMYFUNCTION("IF(COUNTA(C1401:C1673)=0,"""",IF(C1401="""",0,IF(REGEXMATCH(C1401,""^Sell_""),-ROUNDDOWN(ROUNDUP(INDEX(Upgrades!$C$3:$C$13,MATCH(SUBSTITUTE(C1401,""Sell_"",""""),Upgrades!$B$3:$B$13,0))*1.15^(COUNTIF(C$4:C1400,SUBSTITUTE(C1401,""Sell_"",""""))-COUNTIF(C$4"&amp;":C1400,""Sell_""&amp;SUBSTITUTE(C1401,""Sell_"",""""))))/2),ROUNDUP(INDEX(Upgrades!$C$3:$C$13,MATCH(C1401,Upgrades!$B$3:$B$13,0))*1.15^(COUNTIF(C$4:C1400,C1401)-COUNTIF(C$4:C1400,""Sell_""&amp;C1401))))))"),"")</f>
        <v/>
      </c>
      <c r="H1401" s="10" t="str">
        <f t="shared" si="3"/>
        <v/>
      </c>
      <c r="I1401" s="68" t="str">
        <f t="shared" si="4"/>
        <v/>
      </c>
      <c r="J1401" s="59" t="str">
        <f t="shared" si="5"/>
        <v/>
      </c>
      <c r="K1401" s="69" t="str">
        <f t="shared" si="6"/>
        <v/>
      </c>
      <c r="L1401" s="60" t="str">
        <f t="shared" si="7"/>
        <v/>
      </c>
      <c r="M1401" s="61" t="str">
        <f>IFERROR(__xludf.DUMMYFUNCTION("IFS(AND(COUNTA(C1401:C1673)=0,COUNTA(Q1401:Q1673)=0),"""",OR(AND(K1401&gt;=1000000000,OR(Y1401&gt;=1000000000,COUNTA(Q1401:Q1673)=0)),OR(Y1401&gt;=1000000000,AND(COUNTA(C1401:C1673)=0,P$3=TRUE))),
ROUNDDOWN((AB$1-AC$1)*MAX(INDEX(T$4:T1673,MATCH(LARGE(FILTER(Y$4:Y1"&amp;"673,Y$4:Y1673&lt;1000000000),1),Y$4:Y1673)),INDEX(F$4:F1673,MATCH(LARGE(FILTER(K$4:K1673,K$4:K1673&lt;1000000000),1),K$4:K1673)))),AND(K1401&lt;1000000000,COUNTA(C1401:C1673)&gt;0,P$3=FALSE),
ROUNDDOWN(INDEX(Y$4:Y1673,MATCH(LARGE(FILTER(W$4:W1673,W$4:W1673&lt;=I1401),1)"&amp;",W$4:W1673))+(I1401-LARGE(FILTER(W$4:W1673,W$4:W1673&lt;=I1401),1))*INDEX(T$4:T1673,MATCH(LARGE(FILTER(W$4:W1673,W$4:W1673&lt;=I1401),1),W$4:W1673))-K1401),1,
ROUNDDOWN(Y1401-INDEX(K$4:K1673,MATCH(LARGE(FILTER(I$4:I1673,I$4:I1673&lt;=W1401),1),I$4:I1673))-(W1401-L"&amp;"ARGE(FILTER(I$4:I1673,I$4:I1673&lt;=W1401),1))*INDEX(F$4:F1673,MATCH(LARGE(FILTER(I$4:I1673,I$4:I1673&lt;=W1401),1),I$4:I1673))))"),"")</f>
        <v/>
      </c>
      <c r="N1401" s="60" t="str">
        <f t="shared" si="8"/>
        <v/>
      </c>
      <c r="O1401" s="61" t="str">
        <f t="shared" si="9"/>
        <v/>
      </c>
      <c r="P1401" s="56" t="str">
        <f t="shared" si="10"/>
        <v/>
      </c>
      <c r="Q1401" s="67"/>
      <c r="R1401" s="10"/>
      <c r="S1401" s="59" t="str">
        <f t="array" ref="S1401">IF(COUNTA(Q1401:Q1673)=0,"",SUM((COUNTIF(Q$4:Q1401,Upgrades!$B$3:$B$13)-COUNTIF(Q$4:Q1401,"Sell_"&amp;Upgrades!$B$3:$B$13))*Upgrades!$D$3:$D$13))</f>
        <v/>
      </c>
      <c r="T1401" s="66" t="str">
        <f>IFERROR(__xludf.DUMMYFUNCTION("IF(COUNTA(Q1401:Q1673)=0,"""",IF(REGEXMATCH(INDEX(FILTER(Q$4:Q1401,Q$4:Q1401&lt;&gt;""""),ROWS(FILTER(Q$4:Q1401,Q$4:Q1401&lt;&gt;""""))),""^Sell_""),INDEX(FILTER(T$4:T1400,Q$4:Q1400&lt;&gt;""""),ROWS(FILTER(Q$4:Q1400,Q$4:Q1400&lt;&gt;""""))),$AD$5+S1401))"),"")</f>
        <v/>
      </c>
      <c r="U1401" s="10" t="str">
        <f>IFERROR(__xludf.DUMMYFUNCTION("IF(COUNTA(Q1401:Q1673)=0,"""",IF(Q1401="""",0,IF(REGEXMATCH(Q1401,""^Sell_""),-ROUNDDOWN(ROUNDUP(INDEX(Upgrades!$C$3:$C$13,MATCH(SUBSTITUTE(Q1401,""Sell_"",""""),Upgrades!$B$3:$B$13,0))*1.15^(COUNTIF(Q$4:Q1400,SUBSTITUTE(Q1401,""Sell_"",""""))-COUNTIF(Q$4"&amp;":Q1400,""Sell_""&amp;SUBSTITUTE(Q1401,""Sell_"",""""))))/2),ROUNDUP(INDEX(Upgrades!$C$3:$C$13,MATCH(Q1401,Upgrades!$B$3:$B$13,0))*1.15^(COUNTIF(Q$4:Q1400,Q1401)-COUNTIF(Q$4:Q1400,""Sell_""&amp;Q1401))))))"),"")</f>
        <v/>
      </c>
      <c r="V1401" s="10" t="str">
        <f t="shared" si="11"/>
        <v/>
      </c>
      <c r="W1401" s="68" t="str">
        <f t="shared" si="12"/>
        <v/>
      </c>
      <c r="X1401" s="59" t="str">
        <f t="shared" si="13"/>
        <v/>
      </c>
      <c r="Y1401" s="69" t="str">
        <f t="shared" si="14"/>
        <v/>
      </c>
      <c r="Z1401" s="11"/>
    </row>
    <row r="1402">
      <c r="A1402" s="8"/>
      <c r="B1402" s="56" t="str">
        <f t="shared" si="2"/>
        <v/>
      </c>
      <c r="C1402" s="105"/>
      <c r="D1402" s="10"/>
      <c r="E1402" s="59" t="str">
        <f t="array" ref="E1402">IF(COUNTA(C1402:C1673)=0,"",SUM((COUNTIF(C$4:C1402,Upgrades!$B$3:$B$13)-COUNTIF(C$4:C1402,"Sell_"&amp;Upgrades!$B$3:$B$13))*Upgrades!$D$3:$D$13))</f>
        <v/>
      </c>
      <c r="F1402" s="66" t="str">
        <f>IFERROR(__xludf.DUMMYFUNCTION("IF(COUNTA(C1402:C1673)=0,"""",IF(REGEXMATCH(INDEX(FILTER(C$4:C1402,C$4:C1402&lt;&gt;""""),ROWS(FILTER(C$4:C1402,C$4:C1402&lt;&gt;""""))),""^Sell_""),INDEX(FILTER(F$4:F1401,C$4:C1401&lt;&gt;""""),ROWS(FILTER(C$4:C1401,C$4:C1401&lt;&gt;""""))),$AC$5+E1402))"),"")</f>
        <v/>
      </c>
      <c r="G1402" s="10" t="str">
        <f>IFERROR(__xludf.DUMMYFUNCTION("IF(COUNTA(C1402:C1673)=0,"""",IF(C1402="""",0,IF(REGEXMATCH(C1402,""^Sell_""),-ROUNDDOWN(ROUNDUP(INDEX(Upgrades!$C$3:$C$13,MATCH(SUBSTITUTE(C1402,""Sell_"",""""),Upgrades!$B$3:$B$13,0))*1.15^(COUNTIF(C$4:C1401,SUBSTITUTE(C1402,""Sell_"",""""))-COUNTIF(C$4"&amp;":C1401,""Sell_""&amp;SUBSTITUTE(C1402,""Sell_"",""""))))/2),ROUNDUP(INDEX(Upgrades!$C$3:$C$13,MATCH(C1402,Upgrades!$B$3:$B$13,0))*1.15^(COUNTIF(C$4:C1401,C1402)-COUNTIF(C$4:C1401,""Sell_""&amp;C1402))))))"),"")</f>
        <v/>
      </c>
      <c r="H1402" s="10" t="str">
        <f t="shared" si="3"/>
        <v/>
      </c>
      <c r="I1402" s="68" t="str">
        <f t="shared" si="4"/>
        <v/>
      </c>
      <c r="J1402" s="59" t="str">
        <f t="shared" si="5"/>
        <v/>
      </c>
      <c r="K1402" s="69" t="str">
        <f t="shared" si="6"/>
        <v/>
      </c>
      <c r="L1402" s="60" t="str">
        <f t="shared" si="7"/>
        <v/>
      </c>
      <c r="M1402" s="61" t="str">
        <f>IFERROR(__xludf.DUMMYFUNCTION("IFS(AND(COUNTA(C1402:C1673)=0,COUNTA(Q1402:Q1673)=0),"""",OR(AND(K1402&gt;=1000000000,OR(Y1402&gt;=1000000000,COUNTA(Q1402:Q1673)=0)),OR(Y1402&gt;=1000000000,AND(COUNTA(C1402:C1673)=0,P$3=TRUE))),
ROUNDDOWN((AB$1-AC$1)*MAX(INDEX(T$4:T1673,MATCH(LARGE(FILTER(Y$4:Y1"&amp;"673,Y$4:Y1673&lt;1000000000),1),Y$4:Y1673)),INDEX(F$4:F1673,MATCH(LARGE(FILTER(K$4:K1673,K$4:K1673&lt;1000000000),1),K$4:K1673)))),AND(K1402&lt;1000000000,COUNTA(C1402:C1673)&gt;0,P$3=FALSE),
ROUNDDOWN(INDEX(Y$4:Y1673,MATCH(LARGE(FILTER(W$4:W1673,W$4:W1673&lt;=I1402),1)"&amp;",W$4:W1673))+(I1402-LARGE(FILTER(W$4:W1673,W$4:W1673&lt;=I1402),1))*INDEX(T$4:T1673,MATCH(LARGE(FILTER(W$4:W1673,W$4:W1673&lt;=I1402),1),W$4:W1673))-K1402),1,
ROUNDDOWN(Y1402-INDEX(K$4:K1673,MATCH(LARGE(FILTER(I$4:I1673,I$4:I1673&lt;=W1402),1),I$4:I1673))-(W1402-L"&amp;"ARGE(FILTER(I$4:I1673,I$4:I1673&lt;=W1402),1))*INDEX(F$4:F1673,MATCH(LARGE(FILTER(I$4:I1673,I$4:I1673&lt;=W1402),1),I$4:I1673))))"),"")</f>
        <v/>
      </c>
      <c r="N1402" s="60" t="str">
        <f t="shared" si="8"/>
        <v/>
      </c>
      <c r="O1402" s="61" t="str">
        <f t="shared" si="9"/>
        <v/>
      </c>
      <c r="P1402" s="56" t="str">
        <f t="shared" si="10"/>
        <v/>
      </c>
      <c r="Q1402" s="67"/>
      <c r="R1402" s="10"/>
      <c r="S1402" s="59" t="str">
        <f t="array" ref="S1402">IF(COUNTA(Q1402:Q1673)=0,"",SUM((COUNTIF(Q$4:Q1402,Upgrades!$B$3:$B$13)-COUNTIF(Q$4:Q1402,"Sell_"&amp;Upgrades!$B$3:$B$13))*Upgrades!$D$3:$D$13))</f>
        <v/>
      </c>
      <c r="T1402" s="66" t="str">
        <f>IFERROR(__xludf.DUMMYFUNCTION("IF(COUNTA(Q1402:Q1673)=0,"""",IF(REGEXMATCH(INDEX(FILTER(Q$4:Q1402,Q$4:Q1402&lt;&gt;""""),ROWS(FILTER(Q$4:Q1402,Q$4:Q1402&lt;&gt;""""))),""^Sell_""),INDEX(FILTER(T$4:T1401,Q$4:Q1401&lt;&gt;""""),ROWS(FILTER(Q$4:Q1401,Q$4:Q1401&lt;&gt;""""))),$AD$5+S1402))"),"")</f>
        <v/>
      </c>
      <c r="U1402" s="10" t="str">
        <f>IFERROR(__xludf.DUMMYFUNCTION("IF(COUNTA(Q1402:Q1673)=0,"""",IF(Q1402="""",0,IF(REGEXMATCH(Q1402,""^Sell_""),-ROUNDDOWN(ROUNDUP(INDEX(Upgrades!$C$3:$C$13,MATCH(SUBSTITUTE(Q1402,""Sell_"",""""),Upgrades!$B$3:$B$13,0))*1.15^(COUNTIF(Q$4:Q1401,SUBSTITUTE(Q1402,""Sell_"",""""))-COUNTIF(Q$4"&amp;":Q1401,""Sell_""&amp;SUBSTITUTE(Q1402,""Sell_"",""""))))/2),ROUNDUP(INDEX(Upgrades!$C$3:$C$13,MATCH(Q1402,Upgrades!$B$3:$B$13,0))*1.15^(COUNTIF(Q$4:Q1401,Q1402)-COUNTIF(Q$4:Q1401,""Sell_""&amp;Q1402))))))"),"")</f>
        <v/>
      </c>
      <c r="V1402" s="10" t="str">
        <f t="shared" si="11"/>
        <v/>
      </c>
      <c r="W1402" s="68" t="str">
        <f t="shared" si="12"/>
        <v/>
      </c>
      <c r="X1402" s="59" t="str">
        <f t="shared" si="13"/>
        <v/>
      </c>
      <c r="Y1402" s="69" t="str">
        <f t="shared" si="14"/>
        <v/>
      </c>
      <c r="Z1402" s="11"/>
    </row>
    <row r="1403">
      <c r="A1403" s="8"/>
      <c r="B1403" s="56" t="str">
        <f t="shared" si="2"/>
        <v/>
      </c>
      <c r="C1403" s="105"/>
      <c r="D1403" s="10"/>
      <c r="E1403" s="59" t="str">
        <f t="array" ref="E1403">IF(COUNTA(C1403:C1673)=0,"",SUM((COUNTIF(C$4:C1403,Upgrades!$B$3:$B$13)-COUNTIF(C$4:C1403,"Sell_"&amp;Upgrades!$B$3:$B$13))*Upgrades!$D$3:$D$13))</f>
        <v/>
      </c>
      <c r="F1403" s="66" t="str">
        <f>IFERROR(__xludf.DUMMYFUNCTION("IF(COUNTA(C1403:C1673)=0,"""",IF(REGEXMATCH(INDEX(FILTER(C$4:C1403,C$4:C1403&lt;&gt;""""),ROWS(FILTER(C$4:C1403,C$4:C1403&lt;&gt;""""))),""^Sell_""),INDEX(FILTER(F$4:F1402,C$4:C1402&lt;&gt;""""),ROWS(FILTER(C$4:C1402,C$4:C1402&lt;&gt;""""))),$AC$5+E1403))"),"")</f>
        <v/>
      </c>
      <c r="G1403" s="10" t="str">
        <f>IFERROR(__xludf.DUMMYFUNCTION("IF(COUNTA(C1403:C1673)=0,"""",IF(C1403="""",0,IF(REGEXMATCH(C1403,""^Sell_""),-ROUNDDOWN(ROUNDUP(INDEX(Upgrades!$C$3:$C$13,MATCH(SUBSTITUTE(C1403,""Sell_"",""""),Upgrades!$B$3:$B$13,0))*1.15^(COUNTIF(C$4:C1402,SUBSTITUTE(C1403,""Sell_"",""""))-COUNTIF(C$4"&amp;":C1402,""Sell_""&amp;SUBSTITUTE(C1403,""Sell_"",""""))))/2),ROUNDUP(INDEX(Upgrades!$C$3:$C$13,MATCH(C1403,Upgrades!$B$3:$B$13,0))*1.15^(COUNTIF(C$4:C1402,C1403)-COUNTIF(C$4:C1402,""Sell_""&amp;C1403))))))"),"")</f>
        <v/>
      </c>
      <c r="H1403" s="10" t="str">
        <f t="shared" si="3"/>
        <v/>
      </c>
      <c r="I1403" s="68" t="str">
        <f t="shared" si="4"/>
        <v/>
      </c>
      <c r="J1403" s="59" t="str">
        <f t="shared" si="5"/>
        <v/>
      </c>
      <c r="K1403" s="69" t="str">
        <f t="shared" si="6"/>
        <v/>
      </c>
      <c r="L1403" s="60" t="str">
        <f t="shared" si="7"/>
        <v/>
      </c>
      <c r="M1403" s="61" t="str">
        <f>IFERROR(__xludf.DUMMYFUNCTION("IFS(AND(COUNTA(C1403:C1673)=0,COUNTA(Q1403:Q1673)=0),"""",OR(AND(K1403&gt;=1000000000,OR(Y1403&gt;=1000000000,COUNTA(Q1403:Q1673)=0)),OR(Y1403&gt;=1000000000,AND(COUNTA(C1403:C1673)=0,P$3=TRUE))),
ROUNDDOWN((AB$1-AC$1)*MAX(INDEX(T$4:T1673,MATCH(LARGE(FILTER(Y$4:Y1"&amp;"673,Y$4:Y1673&lt;1000000000),1),Y$4:Y1673)),INDEX(F$4:F1673,MATCH(LARGE(FILTER(K$4:K1673,K$4:K1673&lt;1000000000),1),K$4:K1673)))),AND(K1403&lt;1000000000,COUNTA(C1403:C1673)&gt;0,P$3=FALSE),
ROUNDDOWN(INDEX(Y$4:Y1673,MATCH(LARGE(FILTER(W$4:W1673,W$4:W1673&lt;=I1403),1)"&amp;",W$4:W1673))+(I1403-LARGE(FILTER(W$4:W1673,W$4:W1673&lt;=I1403),1))*INDEX(T$4:T1673,MATCH(LARGE(FILTER(W$4:W1673,W$4:W1673&lt;=I1403),1),W$4:W1673))-K1403),1,
ROUNDDOWN(Y1403-INDEX(K$4:K1673,MATCH(LARGE(FILTER(I$4:I1673,I$4:I1673&lt;=W1403),1),I$4:I1673))-(W1403-L"&amp;"ARGE(FILTER(I$4:I1673,I$4:I1673&lt;=W1403),1))*INDEX(F$4:F1673,MATCH(LARGE(FILTER(I$4:I1673,I$4:I1673&lt;=W1403),1),I$4:I1673))))"),"")</f>
        <v/>
      </c>
      <c r="N1403" s="60" t="str">
        <f t="shared" si="8"/>
        <v/>
      </c>
      <c r="O1403" s="61" t="str">
        <f t="shared" si="9"/>
        <v/>
      </c>
      <c r="P1403" s="56" t="str">
        <f t="shared" si="10"/>
        <v/>
      </c>
      <c r="Q1403" s="67"/>
      <c r="R1403" s="10"/>
      <c r="S1403" s="59" t="str">
        <f t="array" ref="S1403">IF(COUNTA(Q1403:Q1673)=0,"",SUM((COUNTIF(Q$4:Q1403,Upgrades!$B$3:$B$13)-COUNTIF(Q$4:Q1403,"Sell_"&amp;Upgrades!$B$3:$B$13))*Upgrades!$D$3:$D$13))</f>
        <v/>
      </c>
      <c r="T1403" s="66" t="str">
        <f>IFERROR(__xludf.DUMMYFUNCTION("IF(COUNTA(Q1403:Q1673)=0,"""",IF(REGEXMATCH(INDEX(FILTER(Q$4:Q1403,Q$4:Q1403&lt;&gt;""""),ROWS(FILTER(Q$4:Q1403,Q$4:Q1403&lt;&gt;""""))),""^Sell_""),INDEX(FILTER(T$4:T1402,Q$4:Q1402&lt;&gt;""""),ROWS(FILTER(Q$4:Q1402,Q$4:Q1402&lt;&gt;""""))),$AD$5+S1403))"),"")</f>
        <v/>
      </c>
      <c r="U1403" s="10" t="str">
        <f>IFERROR(__xludf.DUMMYFUNCTION("IF(COUNTA(Q1403:Q1673)=0,"""",IF(Q1403="""",0,IF(REGEXMATCH(Q1403,""^Sell_""),-ROUNDDOWN(ROUNDUP(INDEX(Upgrades!$C$3:$C$13,MATCH(SUBSTITUTE(Q1403,""Sell_"",""""),Upgrades!$B$3:$B$13,0))*1.15^(COUNTIF(Q$4:Q1402,SUBSTITUTE(Q1403,""Sell_"",""""))-COUNTIF(Q$4"&amp;":Q1402,""Sell_""&amp;SUBSTITUTE(Q1403,""Sell_"",""""))))/2),ROUNDUP(INDEX(Upgrades!$C$3:$C$13,MATCH(Q1403,Upgrades!$B$3:$B$13,0))*1.15^(COUNTIF(Q$4:Q1402,Q1403)-COUNTIF(Q$4:Q1402,""Sell_""&amp;Q1403))))))"),"")</f>
        <v/>
      </c>
      <c r="V1403" s="10" t="str">
        <f t="shared" si="11"/>
        <v/>
      </c>
      <c r="W1403" s="68" t="str">
        <f t="shared" si="12"/>
        <v/>
      </c>
      <c r="X1403" s="59" t="str">
        <f t="shared" si="13"/>
        <v/>
      </c>
      <c r="Y1403" s="69" t="str">
        <f t="shared" si="14"/>
        <v/>
      </c>
      <c r="Z1403" s="11"/>
    </row>
    <row r="1404">
      <c r="A1404" s="8"/>
      <c r="B1404" s="56" t="str">
        <f t="shared" si="2"/>
        <v/>
      </c>
      <c r="C1404" s="105"/>
      <c r="D1404" s="10"/>
      <c r="E1404" s="59" t="str">
        <f t="array" ref="E1404">IF(COUNTA(C1404:C1673)=0,"",SUM((COUNTIF(C$4:C1404,Upgrades!$B$3:$B$13)-COUNTIF(C$4:C1404,"Sell_"&amp;Upgrades!$B$3:$B$13))*Upgrades!$D$3:$D$13))</f>
        <v/>
      </c>
      <c r="F1404" s="66" t="str">
        <f>IFERROR(__xludf.DUMMYFUNCTION("IF(COUNTA(C1404:C1673)=0,"""",IF(REGEXMATCH(INDEX(FILTER(C$4:C1404,C$4:C1404&lt;&gt;""""),ROWS(FILTER(C$4:C1404,C$4:C1404&lt;&gt;""""))),""^Sell_""),INDEX(FILTER(F$4:F1403,C$4:C1403&lt;&gt;""""),ROWS(FILTER(C$4:C1403,C$4:C1403&lt;&gt;""""))),$AC$5+E1404))"),"")</f>
        <v/>
      </c>
      <c r="G1404" s="10" t="str">
        <f>IFERROR(__xludf.DUMMYFUNCTION("IF(COUNTA(C1404:C1673)=0,"""",IF(C1404="""",0,IF(REGEXMATCH(C1404,""^Sell_""),-ROUNDDOWN(ROUNDUP(INDEX(Upgrades!$C$3:$C$13,MATCH(SUBSTITUTE(C1404,""Sell_"",""""),Upgrades!$B$3:$B$13,0))*1.15^(COUNTIF(C$4:C1403,SUBSTITUTE(C1404,""Sell_"",""""))-COUNTIF(C$4"&amp;":C1403,""Sell_""&amp;SUBSTITUTE(C1404,""Sell_"",""""))))/2),ROUNDUP(INDEX(Upgrades!$C$3:$C$13,MATCH(C1404,Upgrades!$B$3:$B$13,0))*1.15^(COUNTIF(C$4:C1403,C1404)-COUNTIF(C$4:C1403,""Sell_""&amp;C1404))))))"),"")</f>
        <v/>
      </c>
      <c r="H1404" s="10" t="str">
        <f t="shared" si="3"/>
        <v/>
      </c>
      <c r="I1404" s="68" t="str">
        <f t="shared" si="4"/>
        <v/>
      </c>
      <c r="J1404" s="59" t="str">
        <f t="shared" si="5"/>
        <v/>
      </c>
      <c r="K1404" s="69" t="str">
        <f t="shared" si="6"/>
        <v/>
      </c>
      <c r="L1404" s="60" t="str">
        <f t="shared" si="7"/>
        <v/>
      </c>
      <c r="M1404" s="61" t="str">
        <f>IFERROR(__xludf.DUMMYFUNCTION("IFS(AND(COUNTA(C1404:C1673)=0,COUNTA(Q1404:Q1673)=0),"""",OR(AND(K1404&gt;=1000000000,OR(Y1404&gt;=1000000000,COUNTA(Q1404:Q1673)=0)),OR(Y1404&gt;=1000000000,AND(COUNTA(C1404:C1673)=0,P$3=TRUE))),
ROUNDDOWN((AB$1-AC$1)*MAX(INDEX(T$4:T1673,MATCH(LARGE(FILTER(Y$4:Y1"&amp;"673,Y$4:Y1673&lt;1000000000),1),Y$4:Y1673)),INDEX(F$4:F1673,MATCH(LARGE(FILTER(K$4:K1673,K$4:K1673&lt;1000000000),1),K$4:K1673)))),AND(K1404&lt;1000000000,COUNTA(C1404:C1673)&gt;0,P$3=FALSE),
ROUNDDOWN(INDEX(Y$4:Y1673,MATCH(LARGE(FILTER(W$4:W1673,W$4:W1673&lt;=I1404),1)"&amp;",W$4:W1673))+(I1404-LARGE(FILTER(W$4:W1673,W$4:W1673&lt;=I1404),1))*INDEX(T$4:T1673,MATCH(LARGE(FILTER(W$4:W1673,W$4:W1673&lt;=I1404),1),W$4:W1673))-K1404),1,
ROUNDDOWN(Y1404-INDEX(K$4:K1673,MATCH(LARGE(FILTER(I$4:I1673,I$4:I1673&lt;=W1404),1),I$4:I1673))-(W1404-L"&amp;"ARGE(FILTER(I$4:I1673,I$4:I1673&lt;=W1404),1))*INDEX(F$4:F1673,MATCH(LARGE(FILTER(I$4:I1673,I$4:I1673&lt;=W1404),1),I$4:I1673))))"),"")</f>
        <v/>
      </c>
      <c r="N1404" s="60" t="str">
        <f t="shared" si="8"/>
        <v/>
      </c>
      <c r="O1404" s="61" t="str">
        <f t="shared" si="9"/>
        <v/>
      </c>
      <c r="P1404" s="56" t="str">
        <f t="shared" si="10"/>
        <v/>
      </c>
      <c r="Q1404" s="67"/>
      <c r="R1404" s="10"/>
      <c r="S1404" s="59" t="str">
        <f t="array" ref="S1404">IF(COUNTA(Q1404:Q1673)=0,"",SUM((COUNTIF(Q$4:Q1404,Upgrades!$B$3:$B$13)-COUNTIF(Q$4:Q1404,"Sell_"&amp;Upgrades!$B$3:$B$13))*Upgrades!$D$3:$D$13))</f>
        <v/>
      </c>
      <c r="T1404" s="66" t="str">
        <f>IFERROR(__xludf.DUMMYFUNCTION("IF(COUNTA(Q1404:Q1673)=0,"""",IF(REGEXMATCH(INDEX(FILTER(Q$4:Q1404,Q$4:Q1404&lt;&gt;""""),ROWS(FILTER(Q$4:Q1404,Q$4:Q1404&lt;&gt;""""))),""^Sell_""),INDEX(FILTER(T$4:T1403,Q$4:Q1403&lt;&gt;""""),ROWS(FILTER(Q$4:Q1403,Q$4:Q1403&lt;&gt;""""))),$AD$5+S1404))"),"")</f>
        <v/>
      </c>
      <c r="U1404" s="10" t="str">
        <f>IFERROR(__xludf.DUMMYFUNCTION("IF(COUNTA(Q1404:Q1673)=0,"""",IF(Q1404="""",0,IF(REGEXMATCH(Q1404,""^Sell_""),-ROUNDDOWN(ROUNDUP(INDEX(Upgrades!$C$3:$C$13,MATCH(SUBSTITUTE(Q1404,""Sell_"",""""),Upgrades!$B$3:$B$13,0))*1.15^(COUNTIF(Q$4:Q1403,SUBSTITUTE(Q1404,""Sell_"",""""))-COUNTIF(Q$4"&amp;":Q1403,""Sell_""&amp;SUBSTITUTE(Q1404,""Sell_"",""""))))/2),ROUNDUP(INDEX(Upgrades!$C$3:$C$13,MATCH(Q1404,Upgrades!$B$3:$B$13,0))*1.15^(COUNTIF(Q$4:Q1403,Q1404)-COUNTIF(Q$4:Q1403,""Sell_""&amp;Q1404))))))"),"")</f>
        <v/>
      </c>
      <c r="V1404" s="10" t="str">
        <f t="shared" si="11"/>
        <v/>
      </c>
      <c r="W1404" s="68" t="str">
        <f t="shared" si="12"/>
        <v/>
      </c>
      <c r="X1404" s="59" t="str">
        <f t="shared" si="13"/>
        <v/>
      </c>
      <c r="Y1404" s="69" t="str">
        <f t="shared" si="14"/>
        <v/>
      </c>
      <c r="Z1404" s="11"/>
    </row>
    <row r="1405">
      <c r="A1405" s="8"/>
      <c r="B1405" s="56" t="str">
        <f t="shared" si="2"/>
        <v/>
      </c>
      <c r="C1405" s="105"/>
      <c r="D1405" s="10"/>
      <c r="E1405" s="59" t="str">
        <f t="array" ref="E1405">IF(COUNTA(C1405:C1673)=0,"",SUM((COUNTIF(C$4:C1405,Upgrades!$B$3:$B$13)-COUNTIF(C$4:C1405,"Sell_"&amp;Upgrades!$B$3:$B$13))*Upgrades!$D$3:$D$13))</f>
        <v/>
      </c>
      <c r="F1405" s="66" t="str">
        <f>IFERROR(__xludf.DUMMYFUNCTION("IF(COUNTA(C1405:C1673)=0,"""",IF(REGEXMATCH(INDEX(FILTER(C$4:C1405,C$4:C1405&lt;&gt;""""),ROWS(FILTER(C$4:C1405,C$4:C1405&lt;&gt;""""))),""^Sell_""),INDEX(FILTER(F$4:F1404,C$4:C1404&lt;&gt;""""),ROWS(FILTER(C$4:C1404,C$4:C1404&lt;&gt;""""))),$AC$5+E1405))"),"")</f>
        <v/>
      </c>
      <c r="G1405" s="10" t="str">
        <f>IFERROR(__xludf.DUMMYFUNCTION("IF(COUNTA(C1405:C1673)=0,"""",IF(C1405="""",0,IF(REGEXMATCH(C1405,""^Sell_""),-ROUNDDOWN(ROUNDUP(INDEX(Upgrades!$C$3:$C$13,MATCH(SUBSTITUTE(C1405,""Sell_"",""""),Upgrades!$B$3:$B$13,0))*1.15^(COUNTIF(C$4:C1404,SUBSTITUTE(C1405,""Sell_"",""""))-COUNTIF(C$4"&amp;":C1404,""Sell_""&amp;SUBSTITUTE(C1405,""Sell_"",""""))))/2),ROUNDUP(INDEX(Upgrades!$C$3:$C$13,MATCH(C1405,Upgrades!$B$3:$B$13,0))*1.15^(COUNTIF(C$4:C1404,C1405)-COUNTIF(C$4:C1404,""Sell_""&amp;C1405))))))"),"")</f>
        <v/>
      </c>
      <c r="H1405" s="10" t="str">
        <f t="shared" si="3"/>
        <v/>
      </c>
      <c r="I1405" s="68" t="str">
        <f t="shared" si="4"/>
        <v/>
      </c>
      <c r="J1405" s="59" t="str">
        <f t="shared" si="5"/>
        <v/>
      </c>
      <c r="K1405" s="69" t="str">
        <f t="shared" si="6"/>
        <v/>
      </c>
      <c r="L1405" s="60" t="str">
        <f t="shared" si="7"/>
        <v/>
      </c>
      <c r="M1405" s="61" t="str">
        <f>IFERROR(__xludf.DUMMYFUNCTION("IFS(AND(COUNTA(C1405:C1673)=0,COUNTA(Q1405:Q1673)=0),"""",OR(AND(K1405&gt;=1000000000,OR(Y1405&gt;=1000000000,COUNTA(Q1405:Q1673)=0)),OR(Y1405&gt;=1000000000,AND(COUNTA(C1405:C1673)=0,P$3=TRUE))),
ROUNDDOWN((AB$1-AC$1)*MAX(INDEX(T$4:T1673,MATCH(LARGE(FILTER(Y$4:Y1"&amp;"673,Y$4:Y1673&lt;1000000000),1),Y$4:Y1673)),INDEX(F$4:F1673,MATCH(LARGE(FILTER(K$4:K1673,K$4:K1673&lt;1000000000),1),K$4:K1673)))),AND(K1405&lt;1000000000,COUNTA(C1405:C1673)&gt;0,P$3=FALSE),
ROUNDDOWN(INDEX(Y$4:Y1673,MATCH(LARGE(FILTER(W$4:W1673,W$4:W1673&lt;=I1405),1)"&amp;",W$4:W1673))+(I1405-LARGE(FILTER(W$4:W1673,W$4:W1673&lt;=I1405),1))*INDEX(T$4:T1673,MATCH(LARGE(FILTER(W$4:W1673,W$4:W1673&lt;=I1405),1),W$4:W1673))-K1405),1,
ROUNDDOWN(Y1405-INDEX(K$4:K1673,MATCH(LARGE(FILTER(I$4:I1673,I$4:I1673&lt;=W1405),1),I$4:I1673))-(W1405-L"&amp;"ARGE(FILTER(I$4:I1673,I$4:I1673&lt;=W1405),1))*INDEX(F$4:F1673,MATCH(LARGE(FILTER(I$4:I1673,I$4:I1673&lt;=W1405),1),I$4:I1673))))"),"")</f>
        <v/>
      </c>
      <c r="N1405" s="60" t="str">
        <f t="shared" si="8"/>
        <v/>
      </c>
      <c r="O1405" s="61" t="str">
        <f t="shared" si="9"/>
        <v/>
      </c>
      <c r="P1405" s="56" t="str">
        <f t="shared" si="10"/>
        <v/>
      </c>
      <c r="Q1405" s="67"/>
      <c r="R1405" s="10"/>
      <c r="S1405" s="59" t="str">
        <f t="array" ref="S1405">IF(COUNTA(Q1405:Q1673)=0,"",SUM((COUNTIF(Q$4:Q1405,Upgrades!$B$3:$B$13)-COUNTIF(Q$4:Q1405,"Sell_"&amp;Upgrades!$B$3:$B$13))*Upgrades!$D$3:$D$13))</f>
        <v/>
      </c>
      <c r="T1405" s="66" t="str">
        <f>IFERROR(__xludf.DUMMYFUNCTION("IF(COUNTA(Q1405:Q1673)=0,"""",IF(REGEXMATCH(INDEX(FILTER(Q$4:Q1405,Q$4:Q1405&lt;&gt;""""),ROWS(FILTER(Q$4:Q1405,Q$4:Q1405&lt;&gt;""""))),""^Sell_""),INDEX(FILTER(T$4:T1404,Q$4:Q1404&lt;&gt;""""),ROWS(FILTER(Q$4:Q1404,Q$4:Q1404&lt;&gt;""""))),$AD$5+S1405))"),"")</f>
        <v/>
      </c>
      <c r="U1405" s="10" t="str">
        <f>IFERROR(__xludf.DUMMYFUNCTION("IF(COUNTA(Q1405:Q1673)=0,"""",IF(Q1405="""",0,IF(REGEXMATCH(Q1405,""^Sell_""),-ROUNDDOWN(ROUNDUP(INDEX(Upgrades!$C$3:$C$13,MATCH(SUBSTITUTE(Q1405,""Sell_"",""""),Upgrades!$B$3:$B$13,0))*1.15^(COUNTIF(Q$4:Q1404,SUBSTITUTE(Q1405,""Sell_"",""""))-COUNTIF(Q$4"&amp;":Q1404,""Sell_""&amp;SUBSTITUTE(Q1405,""Sell_"",""""))))/2),ROUNDUP(INDEX(Upgrades!$C$3:$C$13,MATCH(Q1405,Upgrades!$B$3:$B$13,0))*1.15^(COUNTIF(Q$4:Q1404,Q1405)-COUNTIF(Q$4:Q1404,""Sell_""&amp;Q1405))))))"),"")</f>
        <v/>
      </c>
      <c r="V1405" s="10" t="str">
        <f t="shared" si="11"/>
        <v/>
      </c>
      <c r="W1405" s="68" t="str">
        <f t="shared" si="12"/>
        <v/>
      </c>
      <c r="X1405" s="59" t="str">
        <f t="shared" si="13"/>
        <v/>
      </c>
      <c r="Y1405" s="69" t="str">
        <f t="shared" si="14"/>
        <v/>
      </c>
      <c r="Z1405" s="11"/>
    </row>
    <row r="1406">
      <c r="A1406" s="8"/>
      <c r="B1406" s="56" t="str">
        <f t="shared" si="2"/>
        <v/>
      </c>
      <c r="C1406" s="105"/>
      <c r="D1406" s="10"/>
      <c r="E1406" s="59" t="str">
        <f t="array" ref="E1406">IF(COUNTA(C1406:C1673)=0,"",SUM((COUNTIF(C$4:C1406,Upgrades!$B$3:$B$13)-COUNTIF(C$4:C1406,"Sell_"&amp;Upgrades!$B$3:$B$13))*Upgrades!$D$3:$D$13))</f>
        <v/>
      </c>
      <c r="F1406" s="66" t="str">
        <f>IFERROR(__xludf.DUMMYFUNCTION("IF(COUNTA(C1406:C1673)=0,"""",IF(REGEXMATCH(INDEX(FILTER(C$4:C1406,C$4:C1406&lt;&gt;""""),ROWS(FILTER(C$4:C1406,C$4:C1406&lt;&gt;""""))),""^Sell_""),INDEX(FILTER(F$4:F1405,C$4:C1405&lt;&gt;""""),ROWS(FILTER(C$4:C1405,C$4:C1405&lt;&gt;""""))),$AC$5+E1406))"),"")</f>
        <v/>
      </c>
      <c r="G1406" s="10" t="str">
        <f>IFERROR(__xludf.DUMMYFUNCTION("IF(COUNTA(C1406:C1673)=0,"""",IF(C1406="""",0,IF(REGEXMATCH(C1406,""^Sell_""),-ROUNDDOWN(ROUNDUP(INDEX(Upgrades!$C$3:$C$13,MATCH(SUBSTITUTE(C1406,""Sell_"",""""),Upgrades!$B$3:$B$13,0))*1.15^(COUNTIF(C$4:C1405,SUBSTITUTE(C1406,""Sell_"",""""))-COUNTIF(C$4"&amp;":C1405,""Sell_""&amp;SUBSTITUTE(C1406,""Sell_"",""""))))/2),ROUNDUP(INDEX(Upgrades!$C$3:$C$13,MATCH(C1406,Upgrades!$B$3:$B$13,0))*1.15^(COUNTIF(C$4:C1405,C1406)-COUNTIF(C$4:C1405,""Sell_""&amp;C1406))))))"),"")</f>
        <v/>
      </c>
      <c r="H1406" s="10" t="str">
        <f t="shared" si="3"/>
        <v/>
      </c>
      <c r="I1406" s="68" t="str">
        <f t="shared" si="4"/>
        <v/>
      </c>
      <c r="J1406" s="59" t="str">
        <f t="shared" si="5"/>
        <v/>
      </c>
      <c r="K1406" s="69" t="str">
        <f t="shared" si="6"/>
        <v/>
      </c>
      <c r="L1406" s="60" t="str">
        <f t="shared" si="7"/>
        <v/>
      </c>
      <c r="M1406" s="61" t="str">
        <f>IFERROR(__xludf.DUMMYFUNCTION("IFS(AND(COUNTA(C1406:C1673)=0,COUNTA(Q1406:Q1673)=0),"""",OR(AND(K1406&gt;=1000000000,OR(Y1406&gt;=1000000000,COUNTA(Q1406:Q1673)=0)),OR(Y1406&gt;=1000000000,AND(COUNTA(C1406:C1673)=0,P$3=TRUE))),
ROUNDDOWN((AB$1-AC$1)*MAX(INDEX(T$4:T1673,MATCH(LARGE(FILTER(Y$4:Y1"&amp;"673,Y$4:Y1673&lt;1000000000),1),Y$4:Y1673)),INDEX(F$4:F1673,MATCH(LARGE(FILTER(K$4:K1673,K$4:K1673&lt;1000000000),1),K$4:K1673)))),AND(K1406&lt;1000000000,COUNTA(C1406:C1673)&gt;0,P$3=FALSE),
ROUNDDOWN(INDEX(Y$4:Y1673,MATCH(LARGE(FILTER(W$4:W1673,W$4:W1673&lt;=I1406),1)"&amp;",W$4:W1673))+(I1406-LARGE(FILTER(W$4:W1673,W$4:W1673&lt;=I1406),1))*INDEX(T$4:T1673,MATCH(LARGE(FILTER(W$4:W1673,W$4:W1673&lt;=I1406),1),W$4:W1673))-K1406),1,
ROUNDDOWN(Y1406-INDEX(K$4:K1673,MATCH(LARGE(FILTER(I$4:I1673,I$4:I1673&lt;=W1406),1),I$4:I1673))-(W1406-L"&amp;"ARGE(FILTER(I$4:I1673,I$4:I1673&lt;=W1406),1))*INDEX(F$4:F1673,MATCH(LARGE(FILTER(I$4:I1673,I$4:I1673&lt;=W1406),1),I$4:I1673))))"),"")</f>
        <v/>
      </c>
      <c r="N1406" s="60" t="str">
        <f t="shared" si="8"/>
        <v/>
      </c>
      <c r="O1406" s="61" t="str">
        <f t="shared" si="9"/>
        <v/>
      </c>
      <c r="P1406" s="56" t="str">
        <f t="shared" si="10"/>
        <v/>
      </c>
      <c r="Q1406" s="67"/>
      <c r="R1406" s="10"/>
      <c r="S1406" s="59" t="str">
        <f t="array" ref="S1406">IF(COUNTA(Q1406:Q1673)=0,"",SUM((COUNTIF(Q$4:Q1406,Upgrades!$B$3:$B$13)-COUNTIF(Q$4:Q1406,"Sell_"&amp;Upgrades!$B$3:$B$13))*Upgrades!$D$3:$D$13))</f>
        <v/>
      </c>
      <c r="T1406" s="66" t="str">
        <f>IFERROR(__xludf.DUMMYFUNCTION("IF(COUNTA(Q1406:Q1673)=0,"""",IF(REGEXMATCH(INDEX(FILTER(Q$4:Q1406,Q$4:Q1406&lt;&gt;""""),ROWS(FILTER(Q$4:Q1406,Q$4:Q1406&lt;&gt;""""))),""^Sell_""),INDEX(FILTER(T$4:T1405,Q$4:Q1405&lt;&gt;""""),ROWS(FILTER(Q$4:Q1405,Q$4:Q1405&lt;&gt;""""))),$AD$5+S1406))"),"")</f>
        <v/>
      </c>
      <c r="U1406" s="10" t="str">
        <f>IFERROR(__xludf.DUMMYFUNCTION("IF(COUNTA(Q1406:Q1673)=0,"""",IF(Q1406="""",0,IF(REGEXMATCH(Q1406,""^Sell_""),-ROUNDDOWN(ROUNDUP(INDEX(Upgrades!$C$3:$C$13,MATCH(SUBSTITUTE(Q1406,""Sell_"",""""),Upgrades!$B$3:$B$13,0))*1.15^(COUNTIF(Q$4:Q1405,SUBSTITUTE(Q1406,""Sell_"",""""))-COUNTIF(Q$4"&amp;":Q1405,""Sell_""&amp;SUBSTITUTE(Q1406,""Sell_"",""""))))/2),ROUNDUP(INDEX(Upgrades!$C$3:$C$13,MATCH(Q1406,Upgrades!$B$3:$B$13,0))*1.15^(COUNTIF(Q$4:Q1405,Q1406)-COUNTIF(Q$4:Q1405,""Sell_""&amp;Q1406))))))"),"")</f>
        <v/>
      </c>
      <c r="V1406" s="10" t="str">
        <f t="shared" si="11"/>
        <v/>
      </c>
      <c r="W1406" s="68" t="str">
        <f t="shared" si="12"/>
        <v/>
      </c>
      <c r="X1406" s="59" t="str">
        <f t="shared" si="13"/>
        <v/>
      </c>
      <c r="Y1406" s="69" t="str">
        <f t="shared" si="14"/>
        <v/>
      </c>
      <c r="Z1406" s="11"/>
    </row>
    <row r="1407">
      <c r="A1407" s="8"/>
      <c r="B1407" s="56" t="str">
        <f t="shared" si="2"/>
        <v/>
      </c>
      <c r="C1407" s="105"/>
      <c r="D1407" s="10"/>
      <c r="E1407" s="59" t="str">
        <f t="array" ref="E1407">IF(COUNTA(C1407:C1673)=0,"",SUM((COUNTIF(C$4:C1407,Upgrades!$B$3:$B$13)-COUNTIF(C$4:C1407,"Sell_"&amp;Upgrades!$B$3:$B$13))*Upgrades!$D$3:$D$13))</f>
        <v/>
      </c>
      <c r="F1407" s="66" t="str">
        <f>IFERROR(__xludf.DUMMYFUNCTION("IF(COUNTA(C1407:C1673)=0,"""",IF(REGEXMATCH(INDEX(FILTER(C$4:C1407,C$4:C1407&lt;&gt;""""),ROWS(FILTER(C$4:C1407,C$4:C1407&lt;&gt;""""))),""^Sell_""),INDEX(FILTER(F$4:F1406,C$4:C1406&lt;&gt;""""),ROWS(FILTER(C$4:C1406,C$4:C1406&lt;&gt;""""))),$AC$5+E1407))"),"")</f>
        <v/>
      </c>
      <c r="G1407" s="10" t="str">
        <f>IFERROR(__xludf.DUMMYFUNCTION("IF(COUNTA(C1407:C1673)=0,"""",IF(C1407="""",0,IF(REGEXMATCH(C1407,""^Sell_""),-ROUNDDOWN(ROUNDUP(INDEX(Upgrades!$C$3:$C$13,MATCH(SUBSTITUTE(C1407,""Sell_"",""""),Upgrades!$B$3:$B$13,0))*1.15^(COUNTIF(C$4:C1406,SUBSTITUTE(C1407,""Sell_"",""""))-COUNTIF(C$4"&amp;":C1406,""Sell_""&amp;SUBSTITUTE(C1407,""Sell_"",""""))))/2),ROUNDUP(INDEX(Upgrades!$C$3:$C$13,MATCH(C1407,Upgrades!$B$3:$B$13,0))*1.15^(COUNTIF(C$4:C1406,C1407)-COUNTIF(C$4:C1406,""Sell_""&amp;C1407))))))"),"")</f>
        <v/>
      </c>
      <c r="H1407" s="10" t="str">
        <f t="shared" si="3"/>
        <v/>
      </c>
      <c r="I1407" s="68" t="str">
        <f t="shared" si="4"/>
        <v/>
      </c>
      <c r="J1407" s="59" t="str">
        <f t="shared" si="5"/>
        <v/>
      </c>
      <c r="K1407" s="69" t="str">
        <f t="shared" si="6"/>
        <v/>
      </c>
      <c r="L1407" s="60" t="str">
        <f t="shared" si="7"/>
        <v/>
      </c>
      <c r="M1407" s="61" t="str">
        <f>IFERROR(__xludf.DUMMYFUNCTION("IFS(AND(COUNTA(C1407:C1673)=0,COUNTA(Q1407:Q1673)=0),"""",OR(AND(K1407&gt;=1000000000,OR(Y1407&gt;=1000000000,COUNTA(Q1407:Q1673)=0)),OR(Y1407&gt;=1000000000,AND(COUNTA(C1407:C1673)=0,P$3=TRUE))),
ROUNDDOWN((AB$1-AC$1)*MAX(INDEX(T$4:T1673,MATCH(LARGE(FILTER(Y$4:Y1"&amp;"673,Y$4:Y1673&lt;1000000000),1),Y$4:Y1673)),INDEX(F$4:F1673,MATCH(LARGE(FILTER(K$4:K1673,K$4:K1673&lt;1000000000),1),K$4:K1673)))),AND(K1407&lt;1000000000,COUNTA(C1407:C1673)&gt;0,P$3=FALSE),
ROUNDDOWN(INDEX(Y$4:Y1673,MATCH(LARGE(FILTER(W$4:W1673,W$4:W1673&lt;=I1407),1)"&amp;",W$4:W1673))+(I1407-LARGE(FILTER(W$4:W1673,W$4:W1673&lt;=I1407),1))*INDEX(T$4:T1673,MATCH(LARGE(FILTER(W$4:W1673,W$4:W1673&lt;=I1407),1),W$4:W1673))-K1407),1,
ROUNDDOWN(Y1407-INDEX(K$4:K1673,MATCH(LARGE(FILTER(I$4:I1673,I$4:I1673&lt;=W1407),1),I$4:I1673))-(W1407-L"&amp;"ARGE(FILTER(I$4:I1673,I$4:I1673&lt;=W1407),1))*INDEX(F$4:F1673,MATCH(LARGE(FILTER(I$4:I1673,I$4:I1673&lt;=W1407),1),I$4:I1673))))"),"")</f>
        <v/>
      </c>
      <c r="N1407" s="60" t="str">
        <f t="shared" si="8"/>
        <v/>
      </c>
      <c r="O1407" s="61" t="str">
        <f t="shared" si="9"/>
        <v/>
      </c>
      <c r="P1407" s="56" t="str">
        <f t="shared" si="10"/>
        <v/>
      </c>
      <c r="Q1407" s="67"/>
      <c r="R1407" s="10"/>
      <c r="S1407" s="59" t="str">
        <f t="array" ref="S1407">IF(COUNTA(Q1407:Q1673)=0,"",SUM((COUNTIF(Q$4:Q1407,Upgrades!$B$3:$B$13)-COUNTIF(Q$4:Q1407,"Sell_"&amp;Upgrades!$B$3:$B$13))*Upgrades!$D$3:$D$13))</f>
        <v/>
      </c>
      <c r="T1407" s="66" t="str">
        <f>IFERROR(__xludf.DUMMYFUNCTION("IF(COUNTA(Q1407:Q1673)=0,"""",IF(REGEXMATCH(INDEX(FILTER(Q$4:Q1407,Q$4:Q1407&lt;&gt;""""),ROWS(FILTER(Q$4:Q1407,Q$4:Q1407&lt;&gt;""""))),""^Sell_""),INDEX(FILTER(T$4:T1406,Q$4:Q1406&lt;&gt;""""),ROWS(FILTER(Q$4:Q1406,Q$4:Q1406&lt;&gt;""""))),$AD$5+S1407))"),"")</f>
        <v/>
      </c>
      <c r="U1407" s="10" t="str">
        <f>IFERROR(__xludf.DUMMYFUNCTION("IF(COUNTA(Q1407:Q1673)=0,"""",IF(Q1407="""",0,IF(REGEXMATCH(Q1407,""^Sell_""),-ROUNDDOWN(ROUNDUP(INDEX(Upgrades!$C$3:$C$13,MATCH(SUBSTITUTE(Q1407,""Sell_"",""""),Upgrades!$B$3:$B$13,0))*1.15^(COUNTIF(Q$4:Q1406,SUBSTITUTE(Q1407,""Sell_"",""""))-COUNTIF(Q$4"&amp;":Q1406,""Sell_""&amp;SUBSTITUTE(Q1407,""Sell_"",""""))))/2),ROUNDUP(INDEX(Upgrades!$C$3:$C$13,MATCH(Q1407,Upgrades!$B$3:$B$13,0))*1.15^(COUNTIF(Q$4:Q1406,Q1407)-COUNTIF(Q$4:Q1406,""Sell_""&amp;Q1407))))))"),"")</f>
        <v/>
      </c>
      <c r="V1407" s="10" t="str">
        <f t="shared" si="11"/>
        <v/>
      </c>
      <c r="W1407" s="68" t="str">
        <f t="shared" si="12"/>
        <v/>
      </c>
      <c r="X1407" s="59" t="str">
        <f t="shared" si="13"/>
        <v/>
      </c>
      <c r="Y1407" s="69" t="str">
        <f t="shared" si="14"/>
        <v/>
      </c>
      <c r="Z1407" s="11"/>
    </row>
    <row r="1408">
      <c r="A1408" s="8"/>
      <c r="B1408" s="56" t="str">
        <f t="shared" si="2"/>
        <v/>
      </c>
      <c r="C1408" s="105"/>
      <c r="D1408" s="10"/>
      <c r="E1408" s="59" t="str">
        <f t="array" ref="E1408">IF(COUNTA(C1408:C1673)=0,"",SUM((COUNTIF(C$4:C1408,Upgrades!$B$3:$B$13)-COUNTIF(C$4:C1408,"Sell_"&amp;Upgrades!$B$3:$B$13))*Upgrades!$D$3:$D$13))</f>
        <v/>
      </c>
      <c r="F1408" s="66" t="str">
        <f>IFERROR(__xludf.DUMMYFUNCTION("IF(COUNTA(C1408:C1673)=0,"""",IF(REGEXMATCH(INDEX(FILTER(C$4:C1408,C$4:C1408&lt;&gt;""""),ROWS(FILTER(C$4:C1408,C$4:C1408&lt;&gt;""""))),""^Sell_""),INDEX(FILTER(F$4:F1407,C$4:C1407&lt;&gt;""""),ROWS(FILTER(C$4:C1407,C$4:C1407&lt;&gt;""""))),$AC$5+E1408))"),"")</f>
        <v/>
      </c>
      <c r="G1408" s="10" t="str">
        <f>IFERROR(__xludf.DUMMYFUNCTION("IF(COUNTA(C1408:C1673)=0,"""",IF(C1408="""",0,IF(REGEXMATCH(C1408,""^Sell_""),-ROUNDDOWN(ROUNDUP(INDEX(Upgrades!$C$3:$C$13,MATCH(SUBSTITUTE(C1408,""Sell_"",""""),Upgrades!$B$3:$B$13,0))*1.15^(COUNTIF(C$4:C1407,SUBSTITUTE(C1408,""Sell_"",""""))-COUNTIF(C$4"&amp;":C1407,""Sell_""&amp;SUBSTITUTE(C1408,""Sell_"",""""))))/2),ROUNDUP(INDEX(Upgrades!$C$3:$C$13,MATCH(C1408,Upgrades!$B$3:$B$13,0))*1.15^(COUNTIF(C$4:C1407,C1408)-COUNTIF(C$4:C1407,""Sell_""&amp;C1408))))))"),"")</f>
        <v/>
      </c>
      <c r="H1408" s="10" t="str">
        <f t="shared" si="3"/>
        <v/>
      </c>
      <c r="I1408" s="68" t="str">
        <f t="shared" si="4"/>
        <v/>
      </c>
      <c r="J1408" s="59" t="str">
        <f t="shared" si="5"/>
        <v/>
      </c>
      <c r="K1408" s="69" t="str">
        <f t="shared" si="6"/>
        <v/>
      </c>
      <c r="L1408" s="60" t="str">
        <f t="shared" si="7"/>
        <v/>
      </c>
      <c r="M1408" s="61" t="str">
        <f>IFERROR(__xludf.DUMMYFUNCTION("IFS(AND(COUNTA(C1408:C1673)=0,COUNTA(Q1408:Q1673)=0),"""",OR(AND(K1408&gt;=1000000000,OR(Y1408&gt;=1000000000,COUNTA(Q1408:Q1673)=0)),OR(Y1408&gt;=1000000000,AND(COUNTA(C1408:C1673)=0,P$3=TRUE))),
ROUNDDOWN((AB$1-AC$1)*MAX(INDEX(T$4:T1673,MATCH(LARGE(FILTER(Y$4:Y1"&amp;"673,Y$4:Y1673&lt;1000000000),1),Y$4:Y1673)),INDEX(F$4:F1673,MATCH(LARGE(FILTER(K$4:K1673,K$4:K1673&lt;1000000000),1),K$4:K1673)))),AND(K1408&lt;1000000000,COUNTA(C1408:C1673)&gt;0,P$3=FALSE),
ROUNDDOWN(INDEX(Y$4:Y1673,MATCH(LARGE(FILTER(W$4:W1673,W$4:W1673&lt;=I1408),1)"&amp;",W$4:W1673))+(I1408-LARGE(FILTER(W$4:W1673,W$4:W1673&lt;=I1408),1))*INDEX(T$4:T1673,MATCH(LARGE(FILTER(W$4:W1673,W$4:W1673&lt;=I1408),1),W$4:W1673))-K1408),1,
ROUNDDOWN(Y1408-INDEX(K$4:K1673,MATCH(LARGE(FILTER(I$4:I1673,I$4:I1673&lt;=W1408),1),I$4:I1673))-(W1408-L"&amp;"ARGE(FILTER(I$4:I1673,I$4:I1673&lt;=W1408),1))*INDEX(F$4:F1673,MATCH(LARGE(FILTER(I$4:I1673,I$4:I1673&lt;=W1408),1),I$4:I1673))))"),"")</f>
        <v/>
      </c>
      <c r="N1408" s="60" t="str">
        <f t="shared" si="8"/>
        <v/>
      </c>
      <c r="O1408" s="61" t="str">
        <f t="shared" si="9"/>
        <v/>
      </c>
      <c r="P1408" s="56" t="str">
        <f t="shared" si="10"/>
        <v/>
      </c>
      <c r="Q1408" s="67"/>
      <c r="R1408" s="10"/>
      <c r="S1408" s="59" t="str">
        <f t="array" ref="S1408">IF(COUNTA(Q1408:Q1673)=0,"",SUM((COUNTIF(Q$4:Q1408,Upgrades!$B$3:$B$13)-COUNTIF(Q$4:Q1408,"Sell_"&amp;Upgrades!$B$3:$B$13))*Upgrades!$D$3:$D$13))</f>
        <v/>
      </c>
      <c r="T1408" s="66" t="str">
        <f>IFERROR(__xludf.DUMMYFUNCTION("IF(COUNTA(Q1408:Q1673)=0,"""",IF(REGEXMATCH(INDEX(FILTER(Q$4:Q1408,Q$4:Q1408&lt;&gt;""""),ROWS(FILTER(Q$4:Q1408,Q$4:Q1408&lt;&gt;""""))),""^Sell_""),INDEX(FILTER(T$4:T1407,Q$4:Q1407&lt;&gt;""""),ROWS(FILTER(Q$4:Q1407,Q$4:Q1407&lt;&gt;""""))),$AD$5+S1408))"),"")</f>
        <v/>
      </c>
      <c r="U1408" s="10" t="str">
        <f>IFERROR(__xludf.DUMMYFUNCTION("IF(COUNTA(Q1408:Q1673)=0,"""",IF(Q1408="""",0,IF(REGEXMATCH(Q1408,""^Sell_""),-ROUNDDOWN(ROUNDUP(INDEX(Upgrades!$C$3:$C$13,MATCH(SUBSTITUTE(Q1408,""Sell_"",""""),Upgrades!$B$3:$B$13,0))*1.15^(COUNTIF(Q$4:Q1407,SUBSTITUTE(Q1408,""Sell_"",""""))-COUNTIF(Q$4"&amp;":Q1407,""Sell_""&amp;SUBSTITUTE(Q1408,""Sell_"",""""))))/2),ROUNDUP(INDEX(Upgrades!$C$3:$C$13,MATCH(Q1408,Upgrades!$B$3:$B$13,0))*1.15^(COUNTIF(Q$4:Q1407,Q1408)-COUNTIF(Q$4:Q1407,""Sell_""&amp;Q1408))))))"),"")</f>
        <v/>
      </c>
      <c r="V1408" s="10" t="str">
        <f t="shared" si="11"/>
        <v/>
      </c>
      <c r="W1408" s="68" t="str">
        <f t="shared" si="12"/>
        <v/>
      </c>
      <c r="X1408" s="59" t="str">
        <f t="shared" si="13"/>
        <v/>
      </c>
      <c r="Y1408" s="69" t="str">
        <f t="shared" si="14"/>
        <v/>
      </c>
      <c r="Z1408" s="11"/>
    </row>
    <row r="1409">
      <c r="A1409" s="8"/>
      <c r="B1409" s="56" t="str">
        <f t="shared" si="2"/>
        <v/>
      </c>
      <c r="C1409" s="105"/>
      <c r="D1409" s="10"/>
      <c r="E1409" s="59" t="str">
        <f t="array" ref="E1409">IF(COUNTA(C1409:C1673)=0,"",SUM((COUNTIF(C$4:C1409,Upgrades!$B$3:$B$13)-COUNTIF(C$4:C1409,"Sell_"&amp;Upgrades!$B$3:$B$13))*Upgrades!$D$3:$D$13))</f>
        <v/>
      </c>
      <c r="F1409" s="66" t="str">
        <f>IFERROR(__xludf.DUMMYFUNCTION("IF(COUNTA(C1409:C1673)=0,"""",IF(REGEXMATCH(INDEX(FILTER(C$4:C1409,C$4:C1409&lt;&gt;""""),ROWS(FILTER(C$4:C1409,C$4:C1409&lt;&gt;""""))),""^Sell_""),INDEX(FILTER(F$4:F1408,C$4:C1408&lt;&gt;""""),ROWS(FILTER(C$4:C1408,C$4:C1408&lt;&gt;""""))),$AC$5+E1409))"),"")</f>
        <v/>
      </c>
      <c r="G1409" s="10" t="str">
        <f>IFERROR(__xludf.DUMMYFUNCTION("IF(COUNTA(C1409:C1673)=0,"""",IF(C1409="""",0,IF(REGEXMATCH(C1409,""^Sell_""),-ROUNDDOWN(ROUNDUP(INDEX(Upgrades!$C$3:$C$13,MATCH(SUBSTITUTE(C1409,""Sell_"",""""),Upgrades!$B$3:$B$13,0))*1.15^(COUNTIF(C$4:C1408,SUBSTITUTE(C1409,""Sell_"",""""))-COUNTIF(C$4"&amp;":C1408,""Sell_""&amp;SUBSTITUTE(C1409,""Sell_"",""""))))/2),ROUNDUP(INDEX(Upgrades!$C$3:$C$13,MATCH(C1409,Upgrades!$B$3:$B$13,0))*1.15^(COUNTIF(C$4:C1408,C1409)-COUNTIF(C$4:C1408,""Sell_""&amp;C1409))))))"),"")</f>
        <v/>
      </c>
      <c r="H1409" s="10" t="str">
        <f t="shared" si="3"/>
        <v/>
      </c>
      <c r="I1409" s="68" t="str">
        <f t="shared" si="4"/>
        <v/>
      </c>
      <c r="J1409" s="59" t="str">
        <f t="shared" si="5"/>
        <v/>
      </c>
      <c r="K1409" s="69" t="str">
        <f t="shared" si="6"/>
        <v/>
      </c>
      <c r="L1409" s="60" t="str">
        <f t="shared" si="7"/>
        <v/>
      </c>
      <c r="M1409" s="61" t="str">
        <f>IFERROR(__xludf.DUMMYFUNCTION("IFS(AND(COUNTA(C1409:C1673)=0,COUNTA(Q1409:Q1673)=0),"""",OR(AND(K1409&gt;=1000000000,OR(Y1409&gt;=1000000000,COUNTA(Q1409:Q1673)=0)),OR(Y1409&gt;=1000000000,AND(COUNTA(C1409:C1673)=0,P$3=TRUE))),
ROUNDDOWN((AB$1-AC$1)*MAX(INDEX(T$4:T1673,MATCH(LARGE(FILTER(Y$4:Y1"&amp;"673,Y$4:Y1673&lt;1000000000),1),Y$4:Y1673)),INDEX(F$4:F1673,MATCH(LARGE(FILTER(K$4:K1673,K$4:K1673&lt;1000000000),1),K$4:K1673)))),AND(K1409&lt;1000000000,COUNTA(C1409:C1673)&gt;0,P$3=FALSE),
ROUNDDOWN(INDEX(Y$4:Y1673,MATCH(LARGE(FILTER(W$4:W1673,W$4:W1673&lt;=I1409),1)"&amp;",W$4:W1673))+(I1409-LARGE(FILTER(W$4:W1673,W$4:W1673&lt;=I1409),1))*INDEX(T$4:T1673,MATCH(LARGE(FILTER(W$4:W1673,W$4:W1673&lt;=I1409),1),W$4:W1673))-K1409),1,
ROUNDDOWN(Y1409-INDEX(K$4:K1673,MATCH(LARGE(FILTER(I$4:I1673,I$4:I1673&lt;=W1409),1),I$4:I1673))-(W1409-L"&amp;"ARGE(FILTER(I$4:I1673,I$4:I1673&lt;=W1409),1))*INDEX(F$4:F1673,MATCH(LARGE(FILTER(I$4:I1673,I$4:I1673&lt;=W1409),1),I$4:I1673))))"),"")</f>
        <v/>
      </c>
      <c r="N1409" s="60" t="str">
        <f t="shared" si="8"/>
        <v/>
      </c>
      <c r="O1409" s="61" t="str">
        <f t="shared" si="9"/>
        <v/>
      </c>
      <c r="P1409" s="56" t="str">
        <f t="shared" si="10"/>
        <v/>
      </c>
      <c r="Q1409" s="67"/>
      <c r="R1409" s="10"/>
      <c r="S1409" s="59" t="str">
        <f t="array" ref="S1409">IF(COUNTA(Q1409:Q1673)=0,"",SUM((COUNTIF(Q$4:Q1409,Upgrades!$B$3:$B$13)-COUNTIF(Q$4:Q1409,"Sell_"&amp;Upgrades!$B$3:$B$13))*Upgrades!$D$3:$D$13))</f>
        <v/>
      </c>
      <c r="T1409" s="66" t="str">
        <f>IFERROR(__xludf.DUMMYFUNCTION("IF(COUNTA(Q1409:Q1673)=0,"""",IF(REGEXMATCH(INDEX(FILTER(Q$4:Q1409,Q$4:Q1409&lt;&gt;""""),ROWS(FILTER(Q$4:Q1409,Q$4:Q1409&lt;&gt;""""))),""^Sell_""),INDEX(FILTER(T$4:T1408,Q$4:Q1408&lt;&gt;""""),ROWS(FILTER(Q$4:Q1408,Q$4:Q1408&lt;&gt;""""))),$AD$5+S1409))"),"")</f>
        <v/>
      </c>
      <c r="U1409" s="10" t="str">
        <f>IFERROR(__xludf.DUMMYFUNCTION("IF(COUNTA(Q1409:Q1673)=0,"""",IF(Q1409="""",0,IF(REGEXMATCH(Q1409,""^Sell_""),-ROUNDDOWN(ROUNDUP(INDEX(Upgrades!$C$3:$C$13,MATCH(SUBSTITUTE(Q1409,""Sell_"",""""),Upgrades!$B$3:$B$13,0))*1.15^(COUNTIF(Q$4:Q1408,SUBSTITUTE(Q1409,""Sell_"",""""))-COUNTIF(Q$4"&amp;":Q1408,""Sell_""&amp;SUBSTITUTE(Q1409,""Sell_"",""""))))/2),ROUNDUP(INDEX(Upgrades!$C$3:$C$13,MATCH(Q1409,Upgrades!$B$3:$B$13,0))*1.15^(COUNTIF(Q$4:Q1408,Q1409)-COUNTIF(Q$4:Q1408,""Sell_""&amp;Q1409))))))"),"")</f>
        <v/>
      </c>
      <c r="V1409" s="10" t="str">
        <f t="shared" si="11"/>
        <v/>
      </c>
      <c r="W1409" s="68" t="str">
        <f t="shared" si="12"/>
        <v/>
      </c>
      <c r="X1409" s="59" t="str">
        <f t="shared" si="13"/>
        <v/>
      </c>
      <c r="Y1409" s="69" t="str">
        <f t="shared" si="14"/>
        <v/>
      </c>
      <c r="Z1409" s="11"/>
    </row>
    <row r="1410">
      <c r="A1410" s="8"/>
      <c r="B1410" s="56" t="str">
        <f t="shared" si="2"/>
        <v/>
      </c>
      <c r="C1410" s="105"/>
      <c r="D1410" s="10"/>
      <c r="E1410" s="59" t="str">
        <f t="array" ref="E1410">IF(COUNTA(C1410:C1673)=0,"",SUM((COUNTIF(C$4:C1410,Upgrades!$B$3:$B$13)-COUNTIF(C$4:C1410,"Sell_"&amp;Upgrades!$B$3:$B$13))*Upgrades!$D$3:$D$13))</f>
        <v/>
      </c>
      <c r="F1410" s="66" t="str">
        <f>IFERROR(__xludf.DUMMYFUNCTION("IF(COUNTA(C1410:C1673)=0,"""",IF(REGEXMATCH(INDEX(FILTER(C$4:C1410,C$4:C1410&lt;&gt;""""),ROWS(FILTER(C$4:C1410,C$4:C1410&lt;&gt;""""))),""^Sell_""),INDEX(FILTER(F$4:F1409,C$4:C1409&lt;&gt;""""),ROWS(FILTER(C$4:C1409,C$4:C1409&lt;&gt;""""))),$AC$5+E1410))"),"")</f>
        <v/>
      </c>
      <c r="G1410" s="10" t="str">
        <f>IFERROR(__xludf.DUMMYFUNCTION("IF(COUNTA(C1410:C1673)=0,"""",IF(C1410="""",0,IF(REGEXMATCH(C1410,""^Sell_""),-ROUNDDOWN(ROUNDUP(INDEX(Upgrades!$C$3:$C$13,MATCH(SUBSTITUTE(C1410,""Sell_"",""""),Upgrades!$B$3:$B$13,0))*1.15^(COUNTIF(C$4:C1409,SUBSTITUTE(C1410,""Sell_"",""""))-COUNTIF(C$4"&amp;":C1409,""Sell_""&amp;SUBSTITUTE(C1410,""Sell_"",""""))))/2),ROUNDUP(INDEX(Upgrades!$C$3:$C$13,MATCH(C1410,Upgrades!$B$3:$B$13,0))*1.15^(COUNTIF(C$4:C1409,C1410)-COUNTIF(C$4:C1409,""Sell_""&amp;C1410))))))"),"")</f>
        <v/>
      </c>
      <c r="H1410" s="10" t="str">
        <f t="shared" si="3"/>
        <v/>
      </c>
      <c r="I1410" s="68" t="str">
        <f t="shared" si="4"/>
        <v/>
      </c>
      <c r="J1410" s="59" t="str">
        <f t="shared" si="5"/>
        <v/>
      </c>
      <c r="K1410" s="69" t="str">
        <f t="shared" si="6"/>
        <v/>
      </c>
      <c r="L1410" s="60" t="str">
        <f t="shared" si="7"/>
        <v/>
      </c>
      <c r="M1410" s="61" t="str">
        <f>IFERROR(__xludf.DUMMYFUNCTION("IFS(AND(COUNTA(C1410:C1673)=0,COUNTA(Q1410:Q1673)=0),"""",OR(AND(K1410&gt;=1000000000,OR(Y1410&gt;=1000000000,COUNTA(Q1410:Q1673)=0)),OR(Y1410&gt;=1000000000,AND(COUNTA(C1410:C1673)=0,P$3=TRUE))),
ROUNDDOWN((AB$1-AC$1)*MAX(INDEX(T$4:T1673,MATCH(LARGE(FILTER(Y$4:Y1"&amp;"673,Y$4:Y1673&lt;1000000000),1),Y$4:Y1673)),INDEX(F$4:F1673,MATCH(LARGE(FILTER(K$4:K1673,K$4:K1673&lt;1000000000),1),K$4:K1673)))),AND(K1410&lt;1000000000,COUNTA(C1410:C1673)&gt;0,P$3=FALSE),
ROUNDDOWN(INDEX(Y$4:Y1673,MATCH(LARGE(FILTER(W$4:W1673,W$4:W1673&lt;=I1410),1)"&amp;",W$4:W1673))+(I1410-LARGE(FILTER(W$4:W1673,W$4:W1673&lt;=I1410),1))*INDEX(T$4:T1673,MATCH(LARGE(FILTER(W$4:W1673,W$4:W1673&lt;=I1410),1),W$4:W1673))-K1410),1,
ROUNDDOWN(Y1410-INDEX(K$4:K1673,MATCH(LARGE(FILTER(I$4:I1673,I$4:I1673&lt;=W1410),1),I$4:I1673))-(W1410-L"&amp;"ARGE(FILTER(I$4:I1673,I$4:I1673&lt;=W1410),1))*INDEX(F$4:F1673,MATCH(LARGE(FILTER(I$4:I1673,I$4:I1673&lt;=W1410),1),I$4:I1673))))"),"")</f>
        <v/>
      </c>
      <c r="N1410" s="60" t="str">
        <f t="shared" si="8"/>
        <v/>
      </c>
      <c r="O1410" s="61" t="str">
        <f t="shared" si="9"/>
        <v/>
      </c>
      <c r="P1410" s="56" t="str">
        <f t="shared" si="10"/>
        <v/>
      </c>
      <c r="Q1410" s="67"/>
      <c r="R1410" s="10"/>
      <c r="S1410" s="59" t="str">
        <f t="array" ref="S1410">IF(COUNTA(Q1410:Q1673)=0,"",SUM((COUNTIF(Q$4:Q1410,Upgrades!$B$3:$B$13)-COUNTIF(Q$4:Q1410,"Sell_"&amp;Upgrades!$B$3:$B$13))*Upgrades!$D$3:$D$13))</f>
        <v/>
      </c>
      <c r="T1410" s="66" t="str">
        <f>IFERROR(__xludf.DUMMYFUNCTION("IF(COUNTA(Q1410:Q1673)=0,"""",IF(REGEXMATCH(INDEX(FILTER(Q$4:Q1410,Q$4:Q1410&lt;&gt;""""),ROWS(FILTER(Q$4:Q1410,Q$4:Q1410&lt;&gt;""""))),""^Sell_""),INDEX(FILTER(T$4:T1409,Q$4:Q1409&lt;&gt;""""),ROWS(FILTER(Q$4:Q1409,Q$4:Q1409&lt;&gt;""""))),$AD$5+S1410))"),"")</f>
        <v/>
      </c>
      <c r="U1410" s="10" t="str">
        <f>IFERROR(__xludf.DUMMYFUNCTION("IF(COUNTA(Q1410:Q1673)=0,"""",IF(Q1410="""",0,IF(REGEXMATCH(Q1410,""^Sell_""),-ROUNDDOWN(ROUNDUP(INDEX(Upgrades!$C$3:$C$13,MATCH(SUBSTITUTE(Q1410,""Sell_"",""""),Upgrades!$B$3:$B$13,0))*1.15^(COUNTIF(Q$4:Q1409,SUBSTITUTE(Q1410,""Sell_"",""""))-COUNTIF(Q$4"&amp;":Q1409,""Sell_""&amp;SUBSTITUTE(Q1410,""Sell_"",""""))))/2),ROUNDUP(INDEX(Upgrades!$C$3:$C$13,MATCH(Q1410,Upgrades!$B$3:$B$13,0))*1.15^(COUNTIF(Q$4:Q1409,Q1410)-COUNTIF(Q$4:Q1409,""Sell_""&amp;Q1410))))))"),"")</f>
        <v/>
      </c>
      <c r="V1410" s="10" t="str">
        <f t="shared" si="11"/>
        <v/>
      </c>
      <c r="W1410" s="68" t="str">
        <f t="shared" si="12"/>
        <v/>
      </c>
      <c r="X1410" s="59" t="str">
        <f t="shared" si="13"/>
        <v/>
      </c>
      <c r="Y1410" s="69" t="str">
        <f t="shared" si="14"/>
        <v/>
      </c>
      <c r="Z1410" s="11"/>
    </row>
    <row r="1411">
      <c r="A1411" s="8"/>
      <c r="B1411" s="56" t="str">
        <f t="shared" si="2"/>
        <v/>
      </c>
      <c r="C1411" s="105"/>
      <c r="D1411" s="10"/>
      <c r="E1411" s="59" t="str">
        <f t="array" ref="E1411">IF(COUNTA(C1411:C1673)=0,"",SUM((COUNTIF(C$4:C1411,Upgrades!$B$3:$B$13)-COUNTIF(C$4:C1411,"Sell_"&amp;Upgrades!$B$3:$B$13))*Upgrades!$D$3:$D$13))</f>
        <v/>
      </c>
      <c r="F1411" s="66" t="str">
        <f>IFERROR(__xludf.DUMMYFUNCTION("IF(COUNTA(C1411:C1673)=0,"""",IF(REGEXMATCH(INDEX(FILTER(C$4:C1411,C$4:C1411&lt;&gt;""""),ROWS(FILTER(C$4:C1411,C$4:C1411&lt;&gt;""""))),""^Sell_""),INDEX(FILTER(F$4:F1410,C$4:C1410&lt;&gt;""""),ROWS(FILTER(C$4:C1410,C$4:C1410&lt;&gt;""""))),$AC$5+E1411))"),"")</f>
        <v/>
      </c>
      <c r="G1411" s="10" t="str">
        <f>IFERROR(__xludf.DUMMYFUNCTION("IF(COUNTA(C1411:C1673)=0,"""",IF(C1411="""",0,IF(REGEXMATCH(C1411,""^Sell_""),-ROUNDDOWN(ROUNDUP(INDEX(Upgrades!$C$3:$C$13,MATCH(SUBSTITUTE(C1411,""Sell_"",""""),Upgrades!$B$3:$B$13,0))*1.15^(COUNTIF(C$4:C1410,SUBSTITUTE(C1411,""Sell_"",""""))-COUNTIF(C$4"&amp;":C1410,""Sell_""&amp;SUBSTITUTE(C1411,""Sell_"",""""))))/2),ROUNDUP(INDEX(Upgrades!$C$3:$C$13,MATCH(C1411,Upgrades!$B$3:$B$13,0))*1.15^(COUNTIF(C$4:C1410,C1411)-COUNTIF(C$4:C1410,""Sell_""&amp;C1411))))))"),"")</f>
        <v/>
      </c>
      <c r="H1411" s="10" t="str">
        <f t="shared" si="3"/>
        <v/>
      </c>
      <c r="I1411" s="68" t="str">
        <f t="shared" si="4"/>
        <v/>
      </c>
      <c r="J1411" s="59" t="str">
        <f t="shared" si="5"/>
        <v/>
      </c>
      <c r="K1411" s="69" t="str">
        <f t="shared" si="6"/>
        <v/>
      </c>
      <c r="L1411" s="60" t="str">
        <f t="shared" si="7"/>
        <v/>
      </c>
      <c r="M1411" s="61" t="str">
        <f>IFERROR(__xludf.DUMMYFUNCTION("IFS(AND(COUNTA(C1411:C1673)=0,COUNTA(Q1411:Q1673)=0),"""",OR(AND(K1411&gt;=1000000000,OR(Y1411&gt;=1000000000,COUNTA(Q1411:Q1673)=0)),OR(Y1411&gt;=1000000000,AND(COUNTA(C1411:C1673)=0,P$3=TRUE))),
ROUNDDOWN((AB$1-AC$1)*MAX(INDEX(T$4:T1673,MATCH(LARGE(FILTER(Y$4:Y1"&amp;"673,Y$4:Y1673&lt;1000000000),1),Y$4:Y1673)),INDEX(F$4:F1673,MATCH(LARGE(FILTER(K$4:K1673,K$4:K1673&lt;1000000000),1),K$4:K1673)))),AND(K1411&lt;1000000000,COUNTA(C1411:C1673)&gt;0,P$3=FALSE),
ROUNDDOWN(INDEX(Y$4:Y1673,MATCH(LARGE(FILTER(W$4:W1673,W$4:W1673&lt;=I1411),1)"&amp;",W$4:W1673))+(I1411-LARGE(FILTER(W$4:W1673,W$4:W1673&lt;=I1411),1))*INDEX(T$4:T1673,MATCH(LARGE(FILTER(W$4:W1673,W$4:W1673&lt;=I1411),1),W$4:W1673))-K1411),1,
ROUNDDOWN(Y1411-INDEX(K$4:K1673,MATCH(LARGE(FILTER(I$4:I1673,I$4:I1673&lt;=W1411),1),I$4:I1673))-(W1411-L"&amp;"ARGE(FILTER(I$4:I1673,I$4:I1673&lt;=W1411),1))*INDEX(F$4:F1673,MATCH(LARGE(FILTER(I$4:I1673,I$4:I1673&lt;=W1411),1),I$4:I1673))))"),"")</f>
        <v/>
      </c>
      <c r="N1411" s="60" t="str">
        <f t="shared" si="8"/>
        <v/>
      </c>
      <c r="O1411" s="61" t="str">
        <f t="shared" si="9"/>
        <v/>
      </c>
      <c r="P1411" s="56" t="str">
        <f t="shared" si="10"/>
        <v/>
      </c>
      <c r="Q1411" s="67"/>
      <c r="R1411" s="10"/>
      <c r="S1411" s="59" t="str">
        <f t="array" ref="S1411">IF(COUNTA(Q1411:Q1673)=0,"",SUM((COUNTIF(Q$4:Q1411,Upgrades!$B$3:$B$13)-COUNTIF(Q$4:Q1411,"Sell_"&amp;Upgrades!$B$3:$B$13))*Upgrades!$D$3:$D$13))</f>
        <v/>
      </c>
      <c r="T1411" s="66" t="str">
        <f>IFERROR(__xludf.DUMMYFUNCTION("IF(COUNTA(Q1411:Q1673)=0,"""",IF(REGEXMATCH(INDEX(FILTER(Q$4:Q1411,Q$4:Q1411&lt;&gt;""""),ROWS(FILTER(Q$4:Q1411,Q$4:Q1411&lt;&gt;""""))),""^Sell_""),INDEX(FILTER(T$4:T1410,Q$4:Q1410&lt;&gt;""""),ROWS(FILTER(Q$4:Q1410,Q$4:Q1410&lt;&gt;""""))),$AD$5+S1411))"),"")</f>
        <v/>
      </c>
      <c r="U1411" s="10" t="str">
        <f>IFERROR(__xludf.DUMMYFUNCTION("IF(COUNTA(Q1411:Q1673)=0,"""",IF(Q1411="""",0,IF(REGEXMATCH(Q1411,""^Sell_""),-ROUNDDOWN(ROUNDUP(INDEX(Upgrades!$C$3:$C$13,MATCH(SUBSTITUTE(Q1411,""Sell_"",""""),Upgrades!$B$3:$B$13,0))*1.15^(COUNTIF(Q$4:Q1410,SUBSTITUTE(Q1411,""Sell_"",""""))-COUNTIF(Q$4"&amp;":Q1410,""Sell_""&amp;SUBSTITUTE(Q1411,""Sell_"",""""))))/2),ROUNDUP(INDEX(Upgrades!$C$3:$C$13,MATCH(Q1411,Upgrades!$B$3:$B$13,0))*1.15^(COUNTIF(Q$4:Q1410,Q1411)-COUNTIF(Q$4:Q1410,""Sell_""&amp;Q1411))))))"),"")</f>
        <v/>
      </c>
      <c r="V1411" s="10" t="str">
        <f t="shared" si="11"/>
        <v/>
      </c>
      <c r="W1411" s="68" t="str">
        <f t="shared" si="12"/>
        <v/>
      </c>
      <c r="X1411" s="59" t="str">
        <f t="shared" si="13"/>
        <v/>
      </c>
      <c r="Y1411" s="69" t="str">
        <f t="shared" si="14"/>
        <v/>
      </c>
      <c r="Z1411" s="11"/>
    </row>
    <row r="1412">
      <c r="A1412" s="8"/>
      <c r="B1412" s="56" t="str">
        <f t="shared" si="2"/>
        <v/>
      </c>
      <c r="C1412" s="105"/>
      <c r="D1412" s="10"/>
      <c r="E1412" s="59" t="str">
        <f t="array" ref="E1412">IF(COUNTA(C1412:C1673)=0,"",SUM((COUNTIF(C$4:C1412,Upgrades!$B$3:$B$13)-COUNTIF(C$4:C1412,"Sell_"&amp;Upgrades!$B$3:$B$13))*Upgrades!$D$3:$D$13))</f>
        <v/>
      </c>
      <c r="F1412" s="66" t="str">
        <f>IFERROR(__xludf.DUMMYFUNCTION("IF(COUNTA(C1412:C1673)=0,"""",IF(REGEXMATCH(INDEX(FILTER(C$4:C1412,C$4:C1412&lt;&gt;""""),ROWS(FILTER(C$4:C1412,C$4:C1412&lt;&gt;""""))),""^Sell_""),INDEX(FILTER(F$4:F1411,C$4:C1411&lt;&gt;""""),ROWS(FILTER(C$4:C1411,C$4:C1411&lt;&gt;""""))),$AC$5+E1412))"),"")</f>
        <v/>
      </c>
      <c r="G1412" s="10" t="str">
        <f>IFERROR(__xludf.DUMMYFUNCTION("IF(COUNTA(C1412:C1673)=0,"""",IF(C1412="""",0,IF(REGEXMATCH(C1412,""^Sell_""),-ROUNDDOWN(ROUNDUP(INDEX(Upgrades!$C$3:$C$13,MATCH(SUBSTITUTE(C1412,""Sell_"",""""),Upgrades!$B$3:$B$13,0))*1.15^(COUNTIF(C$4:C1411,SUBSTITUTE(C1412,""Sell_"",""""))-COUNTIF(C$4"&amp;":C1411,""Sell_""&amp;SUBSTITUTE(C1412,""Sell_"",""""))))/2),ROUNDUP(INDEX(Upgrades!$C$3:$C$13,MATCH(C1412,Upgrades!$B$3:$B$13,0))*1.15^(COUNTIF(C$4:C1411,C1412)-COUNTIF(C$4:C1411,""Sell_""&amp;C1412))))))"),"")</f>
        <v/>
      </c>
      <c r="H1412" s="10" t="str">
        <f t="shared" si="3"/>
        <v/>
      </c>
      <c r="I1412" s="68" t="str">
        <f t="shared" si="4"/>
        <v/>
      </c>
      <c r="J1412" s="59" t="str">
        <f t="shared" si="5"/>
        <v/>
      </c>
      <c r="K1412" s="69" t="str">
        <f t="shared" si="6"/>
        <v/>
      </c>
      <c r="L1412" s="60" t="str">
        <f t="shared" si="7"/>
        <v/>
      </c>
      <c r="M1412" s="61" t="str">
        <f>IFERROR(__xludf.DUMMYFUNCTION("IFS(AND(COUNTA(C1412:C1673)=0,COUNTA(Q1412:Q1673)=0),"""",OR(AND(K1412&gt;=1000000000,OR(Y1412&gt;=1000000000,COUNTA(Q1412:Q1673)=0)),OR(Y1412&gt;=1000000000,AND(COUNTA(C1412:C1673)=0,P$3=TRUE))),
ROUNDDOWN((AB$1-AC$1)*MAX(INDEX(T$4:T1673,MATCH(LARGE(FILTER(Y$4:Y1"&amp;"673,Y$4:Y1673&lt;1000000000),1),Y$4:Y1673)),INDEX(F$4:F1673,MATCH(LARGE(FILTER(K$4:K1673,K$4:K1673&lt;1000000000),1),K$4:K1673)))),AND(K1412&lt;1000000000,COUNTA(C1412:C1673)&gt;0,P$3=FALSE),
ROUNDDOWN(INDEX(Y$4:Y1673,MATCH(LARGE(FILTER(W$4:W1673,W$4:W1673&lt;=I1412),1)"&amp;",W$4:W1673))+(I1412-LARGE(FILTER(W$4:W1673,W$4:W1673&lt;=I1412),1))*INDEX(T$4:T1673,MATCH(LARGE(FILTER(W$4:W1673,W$4:W1673&lt;=I1412),1),W$4:W1673))-K1412),1,
ROUNDDOWN(Y1412-INDEX(K$4:K1673,MATCH(LARGE(FILTER(I$4:I1673,I$4:I1673&lt;=W1412),1),I$4:I1673))-(W1412-L"&amp;"ARGE(FILTER(I$4:I1673,I$4:I1673&lt;=W1412),1))*INDEX(F$4:F1673,MATCH(LARGE(FILTER(I$4:I1673,I$4:I1673&lt;=W1412),1),I$4:I1673))))"),"")</f>
        <v/>
      </c>
      <c r="N1412" s="60" t="str">
        <f t="shared" si="8"/>
        <v/>
      </c>
      <c r="O1412" s="61" t="str">
        <f t="shared" si="9"/>
        <v/>
      </c>
      <c r="P1412" s="56" t="str">
        <f t="shared" si="10"/>
        <v/>
      </c>
      <c r="Q1412" s="67"/>
      <c r="R1412" s="10"/>
      <c r="S1412" s="59" t="str">
        <f t="array" ref="S1412">IF(COUNTA(Q1412:Q1673)=0,"",SUM((COUNTIF(Q$4:Q1412,Upgrades!$B$3:$B$13)-COUNTIF(Q$4:Q1412,"Sell_"&amp;Upgrades!$B$3:$B$13))*Upgrades!$D$3:$D$13))</f>
        <v/>
      </c>
      <c r="T1412" s="66" t="str">
        <f>IFERROR(__xludf.DUMMYFUNCTION("IF(COUNTA(Q1412:Q1673)=0,"""",IF(REGEXMATCH(INDEX(FILTER(Q$4:Q1412,Q$4:Q1412&lt;&gt;""""),ROWS(FILTER(Q$4:Q1412,Q$4:Q1412&lt;&gt;""""))),""^Sell_""),INDEX(FILTER(T$4:T1411,Q$4:Q1411&lt;&gt;""""),ROWS(FILTER(Q$4:Q1411,Q$4:Q1411&lt;&gt;""""))),$AD$5+S1412))"),"")</f>
        <v/>
      </c>
      <c r="U1412" s="10" t="str">
        <f>IFERROR(__xludf.DUMMYFUNCTION("IF(COUNTA(Q1412:Q1673)=0,"""",IF(Q1412="""",0,IF(REGEXMATCH(Q1412,""^Sell_""),-ROUNDDOWN(ROUNDUP(INDEX(Upgrades!$C$3:$C$13,MATCH(SUBSTITUTE(Q1412,""Sell_"",""""),Upgrades!$B$3:$B$13,0))*1.15^(COUNTIF(Q$4:Q1411,SUBSTITUTE(Q1412,""Sell_"",""""))-COUNTIF(Q$4"&amp;":Q1411,""Sell_""&amp;SUBSTITUTE(Q1412,""Sell_"",""""))))/2),ROUNDUP(INDEX(Upgrades!$C$3:$C$13,MATCH(Q1412,Upgrades!$B$3:$B$13,0))*1.15^(COUNTIF(Q$4:Q1411,Q1412)-COUNTIF(Q$4:Q1411,""Sell_""&amp;Q1412))))))"),"")</f>
        <v/>
      </c>
      <c r="V1412" s="10" t="str">
        <f t="shared" si="11"/>
        <v/>
      </c>
      <c r="W1412" s="68" t="str">
        <f t="shared" si="12"/>
        <v/>
      </c>
      <c r="X1412" s="59" t="str">
        <f t="shared" si="13"/>
        <v/>
      </c>
      <c r="Y1412" s="69" t="str">
        <f t="shared" si="14"/>
        <v/>
      </c>
      <c r="Z1412" s="11"/>
    </row>
    <row r="1413">
      <c r="A1413" s="8"/>
      <c r="B1413" s="56" t="str">
        <f t="shared" si="2"/>
        <v/>
      </c>
      <c r="C1413" s="105"/>
      <c r="D1413" s="10"/>
      <c r="E1413" s="59" t="str">
        <f t="array" ref="E1413">IF(COUNTA(C1413:C1673)=0,"",SUM((COUNTIF(C$4:C1413,Upgrades!$B$3:$B$13)-COUNTIF(C$4:C1413,"Sell_"&amp;Upgrades!$B$3:$B$13))*Upgrades!$D$3:$D$13))</f>
        <v/>
      </c>
      <c r="F1413" s="66" t="str">
        <f>IFERROR(__xludf.DUMMYFUNCTION("IF(COUNTA(C1413:C1673)=0,"""",IF(REGEXMATCH(INDEX(FILTER(C$4:C1413,C$4:C1413&lt;&gt;""""),ROWS(FILTER(C$4:C1413,C$4:C1413&lt;&gt;""""))),""^Sell_""),INDEX(FILTER(F$4:F1412,C$4:C1412&lt;&gt;""""),ROWS(FILTER(C$4:C1412,C$4:C1412&lt;&gt;""""))),$AC$5+E1413))"),"")</f>
        <v/>
      </c>
      <c r="G1413" s="10" t="str">
        <f>IFERROR(__xludf.DUMMYFUNCTION("IF(COUNTA(C1413:C1673)=0,"""",IF(C1413="""",0,IF(REGEXMATCH(C1413,""^Sell_""),-ROUNDDOWN(ROUNDUP(INDEX(Upgrades!$C$3:$C$13,MATCH(SUBSTITUTE(C1413,""Sell_"",""""),Upgrades!$B$3:$B$13,0))*1.15^(COUNTIF(C$4:C1412,SUBSTITUTE(C1413,""Sell_"",""""))-COUNTIF(C$4"&amp;":C1412,""Sell_""&amp;SUBSTITUTE(C1413,""Sell_"",""""))))/2),ROUNDUP(INDEX(Upgrades!$C$3:$C$13,MATCH(C1413,Upgrades!$B$3:$B$13,0))*1.15^(COUNTIF(C$4:C1412,C1413)-COUNTIF(C$4:C1412,""Sell_""&amp;C1413))))))"),"")</f>
        <v/>
      </c>
      <c r="H1413" s="10" t="str">
        <f t="shared" si="3"/>
        <v/>
      </c>
      <c r="I1413" s="68" t="str">
        <f t="shared" si="4"/>
        <v/>
      </c>
      <c r="J1413" s="59" t="str">
        <f t="shared" si="5"/>
        <v/>
      </c>
      <c r="K1413" s="69" t="str">
        <f t="shared" si="6"/>
        <v/>
      </c>
      <c r="L1413" s="60" t="str">
        <f t="shared" si="7"/>
        <v/>
      </c>
      <c r="M1413" s="61" t="str">
        <f>IFERROR(__xludf.DUMMYFUNCTION("IFS(AND(COUNTA(C1413:C1673)=0,COUNTA(Q1413:Q1673)=0),"""",OR(AND(K1413&gt;=1000000000,OR(Y1413&gt;=1000000000,COUNTA(Q1413:Q1673)=0)),OR(Y1413&gt;=1000000000,AND(COUNTA(C1413:C1673)=0,P$3=TRUE))),
ROUNDDOWN((AB$1-AC$1)*MAX(INDEX(T$4:T1673,MATCH(LARGE(FILTER(Y$4:Y1"&amp;"673,Y$4:Y1673&lt;1000000000),1),Y$4:Y1673)),INDEX(F$4:F1673,MATCH(LARGE(FILTER(K$4:K1673,K$4:K1673&lt;1000000000),1),K$4:K1673)))),AND(K1413&lt;1000000000,COUNTA(C1413:C1673)&gt;0,P$3=FALSE),
ROUNDDOWN(INDEX(Y$4:Y1673,MATCH(LARGE(FILTER(W$4:W1673,W$4:W1673&lt;=I1413),1)"&amp;",W$4:W1673))+(I1413-LARGE(FILTER(W$4:W1673,W$4:W1673&lt;=I1413),1))*INDEX(T$4:T1673,MATCH(LARGE(FILTER(W$4:W1673,W$4:W1673&lt;=I1413),1),W$4:W1673))-K1413),1,
ROUNDDOWN(Y1413-INDEX(K$4:K1673,MATCH(LARGE(FILTER(I$4:I1673,I$4:I1673&lt;=W1413),1),I$4:I1673))-(W1413-L"&amp;"ARGE(FILTER(I$4:I1673,I$4:I1673&lt;=W1413),1))*INDEX(F$4:F1673,MATCH(LARGE(FILTER(I$4:I1673,I$4:I1673&lt;=W1413),1),I$4:I1673))))"),"")</f>
        <v/>
      </c>
      <c r="N1413" s="60" t="str">
        <f t="shared" si="8"/>
        <v/>
      </c>
      <c r="O1413" s="61" t="str">
        <f t="shared" si="9"/>
        <v/>
      </c>
      <c r="P1413" s="56" t="str">
        <f t="shared" si="10"/>
        <v/>
      </c>
      <c r="Q1413" s="67"/>
      <c r="R1413" s="10"/>
      <c r="S1413" s="59" t="str">
        <f t="array" ref="S1413">IF(COUNTA(Q1413:Q1673)=0,"",SUM((COUNTIF(Q$4:Q1413,Upgrades!$B$3:$B$13)-COUNTIF(Q$4:Q1413,"Sell_"&amp;Upgrades!$B$3:$B$13))*Upgrades!$D$3:$D$13))</f>
        <v/>
      </c>
      <c r="T1413" s="66" t="str">
        <f>IFERROR(__xludf.DUMMYFUNCTION("IF(COUNTA(Q1413:Q1673)=0,"""",IF(REGEXMATCH(INDEX(FILTER(Q$4:Q1413,Q$4:Q1413&lt;&gt;""""),ROWS(FILTER(Q$4:Q1413,Q$4:Q1413&lt;&gt;""""))),""^Sell_""),INDEX(FILTER(T$4:T1412,Q$4:Q1412&lt;&gt;""""),ROWS(FILTER(Q$4:Q1412,Q$4:Q1412&lt;&gt;""""))),$AD$5+S1413))"),"")</f>
        <v/>
      </c>
      <c r="U1413" s="10" t="str">
        <f>IFERROR(__xludf.DUMMYFUNCTION("IF(COUNTA(Q1413:Q1673)=0,"""",IF(Q1413="""",0,IF(REGEXMATCH(Q1413,""^Sell_""),-ROUNDDOWN(ROUNDUP(INDEX(Upgrades!$C$3:$C$13,MATCH(SUBSTITUTE(Q1413,""Sell_"",""""),Upgrades!$B$3:$B$13,0))*1.15^(COUNTIF(Q$4:Q1412,SUBSTITUTE(Q1413,""Sell_"",""""))-COUNTIF(Q$4"&amp;":Q1412,""Sell_""&amp;SUBSTITUTE(Q1413,""Sell_"",""""))))/2),ROUNDUP(INDEX(Upgrades!$C$3:$C$13,MATCH(Q1413,Upgrades!$B$3:$B$13,0))*1.15^(COUNTIF(Q$4:Q1412,Q1413)-COUNTIF(Q$4:Q1412,""Sell_""&amp;Q1413))))))"),"")</f>
        <v/>
      </c>
      <c r="V1413" s="10" t="str">
        <f t="shared" si="11"/>
        <v/>
      </c>
      <c r="W1413" s="68" t="str">
        <f t="shared" si="12"/>
        <v/>
      </c>
      <c r="X1413" s="59" t="str">
        <f t="shared" si="13"/>
        <v/>
      </c>
      <c r="Y1413" s="69" t="str">
        <f t="shared" si="14"/>
        <v/>
      </c>
      <c r="Z1413" s="11"/>
    </row>
    <row r="1414">
      <c r="A1414" s="8"/>
      <c r="B1414" s="56" t="str">
        <f t="shared" si="2"/>
        <v/>
      </c>
      <c r="C1414" s="105"/>
      <c r="D1414" s="10"/>
      <c r="E1414" s="59" t="str">
        <f t="array" ref="E1414">IF(COUNTA(C1414:C1673)=0,"",SUM((COUNTIF(C$4:C1414,Upgrades!$B$3:$B$13)-COUNTIF(C$4:C1414,"Sell_"&amp;Upgrades!$B$3:$B$13))*Upgrades!$D$3:$D$13))</f>
        <v/>
      </c>
      <c r="F1414" s="66" t="str">
        <f>IFERROR(__xludf.DUMMYFUNCTION("IF(COUNTA(C1414:C1673)=0,"""",IF(REGEXMATCH(INDEX(FILTER(C$4:C1414,C$4:C1414&lt;&gt;""""),ROWS(FILTER(C$4:C1414,C$4:C1414&lt;&gt;""""))),""^Sell_""),INDEX(FILTER(F$4:F1413,C$4:C1413&lt;&gt;""""),ROWS(FILTER(C$4:C1413,C$4:C1413&lt;&gt;""""))),$AC$5+E1414))"),"")</f>
        <v/>
      </c>
      <c r="G1414" s="10" t="str">
        <f>IFERROR(__xludf.DUMMYFUNCTION("IF(COUNTA(C1414:C1673)=0,"""",IF(C1414="""",0,IF(REGEXMATCH(C1414,""^Sell_""),-ROUNDDOWN(ROUNDUP(INDEX(Upgrades!$C$3:$C$13,MATCH(SUBSTITUTE(C1414,""Sell_"",""""),Upgrades!$B$3:$B$13,0))*1.15^(COUNTIF(C$4:C1413,SUBSTITUTE(C1414,""Sell_"",""""))-COUNTIF(C$4"&amp;":C1413,""Sell_""&amp;SUBSTITUTE(C1414,""Sell_"",""""))))/2),ROUNDUP(INDEX(Upgrades!$C$3:$C$13,MATCH(C1414,Upgrades!$B$3:$B$13,0))*1.15^(COUNTIF(C$4:C1413,C1414)-COUNTIF(C$4:C1413,""Sell_""&amp;C1414))))))"),"")</f>
        <v/>
      </c>
      <c r="H1414" s="10" t="str">
        <f t="shared" si="3"/>
        <v/>
      </c>
      <c r="I1414" s="68" t="str">
        <f t="shared" si="4"/>
        <v/>
      </c>
      <c r="J1414" s="59" t="str">
        <f t="shared" si="5"/>
        <v/>
      </c>
      <c r="K1414" s="69" t="str">
        <f t="shared" si="6"/>
        <v/>
      </c>
      <c r="L1414" s="60" t="str">
        <f t="shared" si="7"/>
        <v/>
      </c>
      <c r="M1414" s="61" t="str">
        <f>IFERROR(__xludf.DUMMYFUNCTION("IFS(AND(COUNTA(C1414:C1673)=0,COUNTA(Q1414:Q1673)=0),"""",OR(AND(K1414&gt;=1000000000,OR(Y1414&gt;=1000000000,COUNTA(Q1414:Q1673)=0)),OR(Y1414&gt;=1000000000,AND(COUNTA(C1414:C1673)=0,P$3=TRUE))),
ROUNDDOWN((AB$1-AC$1)*MAX(INDEX(T$4:T1673,MATCH(LARGE(FILTER(Y$4:Y1"&amp;"673,Y$4:Y1673&lt;1000000000),1),Y$4:Y1673)),INDEX(F$4:F1673,MATCH(LARGE(FILTER(K$4:K1673,K$4:K1673&lt;1000000000),1),K$4:K1673)))),AND(K1414&lt;1000000000,COUNTA(C1414:C1673)&gt;0,P$3=FALSE),
ROUNDDOWN(INDEX(Y$4:Y1673,MATCH(LARGE(FILTER(W$4:W1673,W$4:W1673&lt;=I1414),1)"&amp;",W$4:W1673))+(I1414-LARGE(FILTER(W$4:W1673,W$4:W1673&lt;=I1414),1))*INDEX(T$4:T1673,MATCH(LARGE(FILTER(W$4:W1673,W$4:W1673&lt;=I1414),1),W$4:W1673))-K1414),1,
ROUNDDOWN(Y1414-INDEX(K$4:K1673,MATCH(LARGE(FILTER(I$4:I1673,I$4:I1673&lt;=W1414),1),I$4:I1673))-(W1414-L"&amp;"ARGE(FILTER(I$4:I1673,I$4:I1673&lt;=W1414),1))*INDEX(F$4:F1673,MATCH(LARGE(FILTER(I$4:I1673,I$4:I1673&lt;=W1414),1),I$4:I1673))))"),"")</f>
        <v/>
      </c>
      <c r="N1414" s="60" t="str">
        <f t="shared" si="8"/>
        <v/>
      </c>
      <c r="O1414" s="61" t="str">
        <f t="shared" si="9"/>
        <v/>
      </c>
      <c r="P1414" s="56" t="str">
        <f t="shared" si="10"/>
        <v/>
      </c>
      <c r="Q1414" s="67"/>
      <c r="R1414" s="10"/>
      <c r="S1414" s="59" t="str">
        <f t="array" ref="S1414">IF(COUNTA(Q1414:Q1673)=0,"",SUM((COUNTIF(Q$4:Q1414,Upgrades!$B$3:$B$13)-COUNTIF(Q$4:Q1414,"Sell_"&amp;Upgrades!$B$3:$B$13))*Upgrades!$D$3:$D$13))</f>
        <v/>
      </c>
      <c r="T1414" s="66" t="str">
        <f>IFERROR(__xludf.DUMMYFUNCTION("IF(COUNTA(Q1414:Q1673)=0,"""",IF(REGEXMATCH(INDEX(FILTER(Q$4:Q1414,Q$4:Q1414&lt;&gt;""""),ROWS(FILTER(Q$4:Q1414,Q$4:Q1414&lt;&gt;""""))),""^Sell_""),INDEX(FILTER(T$4:T1413,Q$4:Q1413&lt;&gt;""""),ROWS(FILTER(Q$4:Q1413,Q$4:Q1413&lt;&gt;""""))),$AD$5+S1414))"),"")</f>
        <v/>
      </c>
      <c r="U1414" s="10" t="str">
        <f>IFERROR(__xludf.DUMMYFUNCTION("IF(COUNTA(Q1414:Q1673)=0,"""",IF(Q1414="""",0,IF(REGEXMATCH(Q1414,""^Sell_""),-ROUNDDOWN(ROUNDUP(INDEX(Upgrades!$C$3:$C$13,MATCH(SUBSTITUTE(Q1414,""Sell_"",""""),Upgrades!$B$3:$B$13,0))*1.15^(COUNTIF(Q$4:Q1413,SUBSTITUTE(Q1414,""Sell_"",""""))-COUNTIF(Q$4"&amp;":Q1413,""Sell_""&amp;SUBSTITUTE(Q1414,""Sell_"",""""))))/2),ROUNDUP(INDEX(Upgrades!$C$3:$C$13,MATCH(Q1414,Upgrades!$B$3:$B$13,0))*1.15^(COUNTIF(Q$4:Q1413,Q1414)-COUNTIF(Q$4:Q1413,""Sell_""&amp;Q1414))))))"),"")</f>
        <v/>
      </c>
      <c r="V1414" s="10" t="str">
        <f t="shared" si="11"/>
        <v/>
      </c>
      <c r="W1414" s="68" t="str">
        <f t="shared" si="12"/>
        <v/>
      </c>
      <c r="X1414" s="59" t="str">
        <f t="shared" si="13"/>
        <v/>
      </c>
      <c r="Y1414" s="69" t="str">
        <f t="shared" si="14"/>
        <v/>
      </c>
      <c r="Z1414" s="11"/>
    </row>
    <row r="1415">
      <c r="A1415" s="8"/>
      <c r="B1415" s="56" t="str">
        <f t="shared" si="2"/>
        <v/>
      </c>
      <c r="C1415" s="105"/>
      <c r="D1415" s="10"/>
      <c r="E1415" s="59" t="str">
        <f t="array" ref="E1415">IF(COUNTA(C1415:C1673)=0,"",SUM((COUNTIF(C$4:C1415,Upgrades!$B$3:$B$13)-COUNTIF(C$4:C1415,"Sell_"&amp;Upgrades!$B$3:$B$13))*Upgrades!$D$3:$D$13))</f>
        <v/>
      </c>
      <c r="F1415" s="66" t="str">
        <f>IFERROR(__xludf.DUMMYFUNCTION("IF(COUNTA(C1415:C1673)=0,"""",IF(REGEXMATCH(INDEX(FILTER(C$4:C1415,C$4:C1415&lt;&gt;""""),ROWS(FILTER(C$4:C1415,C$4:C1415&lt;&gt;""""))),""^Sell_""),INDEX(FILTER(F$4:F1414,C$4:C1414&lt;&gt;""""),ROWS(FILTER(C$4:C1414,C$4:C1414&lt;&gt;""""))),$AC$5+E1415))"),"")</f>
        <v/>
      </c>
      <c r="G1415" s="10" t="str">
        <f>IFERROR(__xludf.DUMMYFUNCTION("IF(COUNTA(C1415:C1673)=0,"""",IF(C1415="""",0,IF(REGEXMATCH(C1415,""^Sell_""),-ROUNDDOWN(ROUNDUP(INDEX(Upgrades!$C$3:$C$13,MATCH(SUBSTITUTE(C1415,""Sell_"",""""),Upgrades!$B$3:$B$13,0))*1.15^(COUNTIF(C$4:C1414,SUBSTITUTE(C1415,""Sell_"",""""))-COUNTIF(C$4"&amp;":C1414,""Sell_""&amp;SUBSTITUTE(C1415,""Sell_"",""""))))/2),ROUNDUP(INDEX(Upgrades!$C$3:$C$13,MATCH(C1415,Upgrades!$B$3:$B$13,0))*1.15^(COUNTIF(C$4:C1414,C1415)-COUNTIF(C$4:C1414,""Sell_""&amp;C1415))))))"),"")</f>
        <v/>
      </c>
      <c r="H1415" s="10" t="str">
        <f t="shared" si="3"/>
        <v/>
      </c>
      <c r="I1415" s="68" t="str">
        <f t="shared" si="4"/>
        <v/>
      </c>
      <c r="J1415" s="59" t="str">
        <f t="shared" si="5"/>
        <v/>
      </c>
      <c r="K1415" s="69" t="str">
        <f t="shared" si="6"/>
        <v/>
      </c>
      <c r="L1415" s="60" t="str">
        <f t="shared" si="7"/>
        <v/>
      </c>
      <c r="M1415" s="61" t="str">
        <f>IFERROR(__xludf.DUMMYFUNCTION("IFS(AND(COUNTA(C1415:C1673)=0,COUNTA(Q1415:Q1673)=0),"""",OR(AND(K1415&gt;=1000000000,OR(Y1415&gt;=1000000000,COUNTA(Q1415:Q1673)=0)),OR(Y1415&gt;=1000000000,AND(COUNTA(C1415:C1673)=0,P$3=TRUE))),
ROUNDDOWN((AB$1-AC$1)*MAX(INDEX(T$4:T1673,MATCH(LARGE(FILTER(Y$4:Y1"&amp;"673,Y$4:Y1673&lt;1000000000),1),Y$4:Y1673)),INDEX(F$4:F1673,MATCH(LARGE(FILTER(K$4:K1673,K$4:K1673&lt;1000000000),1),K$4:K1673)))),AND(K1415&lt;1000000000,COUNTA(C1415:C1673)&gt;0,P$3=FALSE),
ROUNDDOWN(INDEX(Y$4:Y1673,MATCH(LARGE(FILTER(W$4:W1673,W$4:W1673&lt;=I1415),1)"&amp;",W$4:W1673))+(I1415-LARGE(FILTER(W$4:W1673,W$4:W1673&lt;=I1415),1))*INDEX(T$4:T1673,MATCH(LARGE(FILTER(W$4:W1673,W$4:W1673&lt;=I1415),1),W$4:W1673))-K1415),1,
ROUNDDOWN(Y1415-INDEX(K$4:K1673,MATCH(LARGE(FILTER(I$4:I1673,I$4:I1673&lt;=W1415),1),I$4:I1673))-(W1415-L"&amp;"ARGE(FILTER(I$4:I1673,I$4:I1673&lt;=W1415),1))*INDEX(F$4:F1673,MATCH(LARGE(FILTER(I$4:I1673,I$4:I1673&lt;=W1415),1),I$4:I1673))))"),"")</f>
        <v/>
      </c>
      <c r="N1415" s="60" t="str">
        <f t="shared" si="8"/>
        <v/>
      </c>
      <c r="O1415" s="61" t="str">
        <f t="shared" si="9"/>
        <v/>
      </c>
      <c r="P1415" s="56" t="str">
        <f t="shared" si="10"/>
        <v/>
      </c>
      <c r="Q1415" s="67"/>
      <c r="R1415" s="10"/>
      <c r="S1415" s="59" t="str">
        <f t="array" ref="S1415">IF(COUNTA(Q1415:Q1673)=0,"",SUM((COUNTIF(Q$4:Q1415,Upgrades!$B$3:$B$13)-COUNTIF(Q$4:Q1415,"Sell_"&amp;Upgrades!$B$3:$B$13))*Upgrades!$D$3:$D$13))</f>
        <v/>
      </c>
      <c r="T1415" s="66" t="str">
        <f>IFERROR(__xludf.DUMMYFUNCTION("IF(COUNTA(Q1415:Q1673)=0,"""",IF(REGEXMATCH(INDEX(FILTER(Q$4:Q1415,Q$4:Q1415&lt;&gt;""""),ROWS(FILTER(Q$4:Q1415,Q$4:Q1415&lt;&gt;""""))),""^Sell_""),INDEX(FILTER(T$4:T1414,Q$4:Q1414&lt;&gt;""""),ROWS(FILTER(Q$4:Q1414,Q$4:Q1414&lt;&gt;""""))),$AD$5+S1415))"),"")</f>
        <v/>
      </c>
      <c r="U1415" s="10" t="str">
        <f>IFERROR(__xludf.DUMMYFUNCTION("IF(COUNTA(Q1415:Q1673)=0,"""",IF(Q1415="""",0,IF(REGEXMATCH(Q1415,""^Sell_""),-ROUNDDOWN(ROUNDUP(INDEX(Upgrades!$C$3:$C$13,MATCH(SUBSTITUTE(Q1415,""Sell_"",""""),Upgrades!$B$3:$B$13,0))*1.15^(COUNTIF(Q$4:Q1414,SUBSTITUTE(Q1415,""Sell_"",""""))-COUNTIF(Q$4"&amp;":Q1414,""Sell_""&amp;SUBSTITUTE(Q1415,""Sell_"",""""))))/2),ROUNDUP(INDEX(Upgrades!$C$3:$C$13,MATCH(Q1415,Upgrades!$B$3:$B$13,0))*1.15^(COUNTIF(Q$4:Q1414,Q1415)-COUNTIF(Q$4:Q1414,""Sell_""&amp;Q1415))))))"),"")</f>
        <v/>
      </c>
      <c r="V1415" s="10" t="str">
        <f t="shared" si="11"/>
        <v/>
      </c>
      <c r="W1415" s="68" t="str">
        <f t="shared" si="12"/>
        <v/>
      </c>
      <c r="X1415" s="59" t="str">
        <f t="shared" si="13"/>
        <v/>
      </c>
      <c r="Y1415" s="69" t="str">
        <f t="shared" si="14"/>
        <v/>
      </c>
      <c r="Z1415" s="11"/>
    </row>
    <row r="1416">
      <c r="A1416" s="8"/>
      <c r="B1416" s="56" t="str">
        <f t="shared" si="2"/>
        <v/>
      </c>
      <c r="C1416" s="105"/>
      <c r="D1416" s="10"/>
      <c r="E1416" s="59" t="str">
        <f t="array" ref="E1416">IF(COUNTA(C1416:C1673)=0,"",SUM((COUNTIF(C$4:C1416,Upgrades!$B$3:$B$13)-COUNTIF(C$4:C1416,"Sell_"&amp;Upgrades!$B$3:$B$13))*Upgrades!$D$3:$D$13))</f>
        <v/>
      </c>
      <c r="F1416" s="66" t="str">
        <f>IFERROR(__xludf.DUMMYFUNCTION("IF(COUNTA(C1416:C1673)=0,"""",IF(REGEXMATCH(INDEX(FILTER(C$4:C1416,C$4:C1416&lt;&gt;""""),ROWS(FILTER(C$4:C1416,C$4:C1416&lt;&gt;""""))),""^Sell_""),INDEX(FILTER(F$4:F1415,C$4:C1415&lt;&gt;""""),ROWS(FILTER(C$4:C1415,C$4:C1415&lt;&gt;""""))),$AC$5+E1416))"),"")</f>
        <v/>
      </c>
      <c r="G1416" s="10" t="str">
        <f>IFERROR(__xludf.DUMMYFUNCTION("IF(COUNTA(C1416:C1673)=0,"""",IF(C1416="""",0,IF(REGEXMATCH(C1416,""^Sell_""),-ROUNDDOWN(ROUNDUP(INDEX(Upgrades!$C$3:$C$13,MATCH(SUBSTITUTE(C1416,""Sell_"",""""),Upgrades!$B$3:$B$13,0))*1.15^(COUNTIF(C$4:C1415,SUBSTITUTE(C1416,""Sell_"",""""))-COUNTIF(C$4"&amp;":C1415,""Sell_""&amp;SUBSTITUTE(C1416,""Sell_"",""""))))/2),ROUNDUP(INDEX(Upgrades!$C$3:$C$13,MATCH(C1416,Upgrades!$B$3:$B$13,0))*1.15^(COUNTIF(C$4:C1415,C1416)-COUNTIF(C$4:C1415,""Sell_""&amp;C1416))))))"),"")</f>
        <v/>
      </c>
      <c r="H1416" s="10" t="str">
        <f t="shared" si="3"/>
        <v/>
      </c>
      <c r="I1416" s="68" t="str">
        <f t="shared" si="4"/>
        <v/>
      </c>
      <c r="J1416" s="59" t="str">
        <f t="shared" si="5"/>
        <v/>
      </c>
      <c r="K1416" s="69" t="str">
        <f t="shared" si="6"/>
        <v/>
      </c>
      <c r="L1416" s="60" t="str">
        <f t="shared" si="7"/>
        <v/>
      </c>
      <c r="M1416" s="61" t="str">
        <f>IFERROR(__xludf.DUMMYFUNCTION("IFS(AND(COUNTA(C1416:C1673)=0,COUNTA(Q1416:Q1673)=0),"""",OR(AND(K1416&gt;=1000000000,OR(Y1416&gt;=1000000000,COUNTA(Q1416:Q1673)=0)),OR(Y1416&gt;=1000000000,AND(COUNTA(C1416:C1673)=0,P$3=TRUE))),
ROUNDDOWN((AB$1-AC$1)*MAX(INDEX(T$4:T1673,MATCH(LARGE(FILTER(Y$4:Y1"&amp;"673,Y$4:Y1673&lt;1000000000),1),Y$4:Y1673)),INDEX(F$4:F1673,MATCH(LARGE(FILTER(K$4:K1673,K$4:K1673&lt;1000000000),1),K$4:K1673)))),AND(K1416&lt;1000000000,COUNTA(C1416:C1673)&gt;0,P$3=FALSE),
ROUNDDOWN(INDEX(Y$4:Y1673,MATCH(LARGE(FILTER(W$4:W1673,W$4:W1673&lt;=I1416),1)"&amp;",W$4:W1673))+(I1416-LARGE(FILTER(W$4:W1673,W$4:W1673&lt;=I1416),1))*INDEX(T$4:T1673,MATCH(LARGE(FILTER(W$4:W1673,W$4:W1673&lt;=I1416),1),W$4:W1673))-K1416),1,
ROUNDDOWN(Y1416-INDEX(K$4:K1673,MATCH(LARGE(FILTER(I$4:I1673,I$4:I1673&lt;=W1416),1),I$4:I1673))-(W1416-L"&amp;"ARGE(FILTER(I$4:I1673,I$4:I1673&lt;=W1416),1))*INDEX(F$4:F1673,MATCH(LARGE(FILTER(I$4:I1673,I$4:I1673&lt;=W1416),1),I$4:I1673))))"),"")</f>
        <v/>
      </c>
      <c r="N1416" s="60" t="str">
        <f t="shared" si="8"/>
        <v/>
      </c>
      <c r="O1416" s="61" t="str">
        <f t="shared" si="9"/>
        <v/>
      </c>
      <c r="P1416" s="56" t="str">
        <f t="shared" si="10"/>
        <v/>
      </c>
      <c r="Q1416" s="67"/>
      <c r="R1416" s="10"/>
      <c r="S1416" s="59" t="str">
        <f t="array" ref="S1416">IF(COUNTA(Q1416:Q1673)=0,"",SUM((COUNTIF(Q$4:Q1416,Upgrades!$B$3:$B$13)-COUNTIF(Q$4:Q1416,"Sell_"&amp;Upgrades!$B$3:$B$13))*Upgrades!$D$3:$D$13))</f>
        <v/>
      </c>
      <c r="T1416" s="66" t="str">
        <f>IFERROR(__xludf.DUMMYFUNCTION("IF(COUNTA(Q1416:Q1673)=0,"""",IF(REGEXMATCH(INDEX(FILTER(Q$4:Q1416,Q$4:Q1416&lt;&gt;""""),ROWS(FILTER(Q$4:Q1416,Q$4:Q1416&lt;&gt;""""))),""^Sell_""),INDEX(FILTER(T$4:T1415,Q$4:Q1415&lt;&gt;""""),ROWS(FILTER(Q$4:Q1415,Q$4:Q1415&lt;&gt;""""))),$AD$5+S1416))"),"")</f>
        <v/>
      </c>
      <c r="U1416" s="10" t="str">
        <f>IFERROR(__xludf.DUMMYFUNCTION("IF(COUNTA(Q1416:Q1673)=0,"""",IF(Q1416="""",0,IF(REGEXMATCH(Q1416,""^Sell_""),-ROUNDDOWN(ROUNDUP(INDEX(Upgrades!$C$3:$C$13,MATCH(SUBSTITUTE(Q1416,""Sell_"",""""),Upgrades!$B$3:$B$13,0))*1.15^(COUNTIF(Q$4:Q1415,SUBSTITUTE(Q1416,""Sell_"",""""))-COUNTIF(Q$4"&amp;":Q1415,""Sell_""&amp;SUBSTITUTE(Q1416,""Sell_"",""""))))/2),ROUNDUP(INDEX(Upgrades!$C$3:$C$13,MATCH(Q1416,Upgrades!$B$3:$B$13,0))*1.15^(COUNTIF(Q$4:Q1415,Q1416)-COUNTIF(Q$4:Q1415,""Sell_""&amp;Q1416))))))"),"")</f>
        <v/>
      </c>
      <c r="V1416" s="10" t="str">
        <f t="shared" si="11"/>
        <v/>
      </c>
      <c r="W1416" s="68" t="str">
        <f t="shared" si="12"/>
        <v/>
      </c>
      <c r="X1416" s="59" t="str">
        <f t="shared" si="13"/>
        <v/>
      </c>
      <c r="Y1416" s="69" t="str">
        <f t="shared" si="14"/>
        <v/>
      </c>
      <c r="Z1416" s="11"/>
    </row>
    <row r="1417">
      <c r="A1417" s="8"/>
      <c r="B1417" s="56" t="str">
        <f t="shared" si="2"/>
        <v/>
      </c>
      <c r="C1417" s="105"/>
      <c r="D1417" s="10"/>
      <c r="E1417" s="59" t="str">
        <f t="array" ref="E1417">IF(COUNTA(C1417:C1673)=0,"",SUM((COUNTIF(C$4:C1417,Upgrades!$B$3:$B$13)-COUNTIF(C$4:C1417,"Sell_"&amp;Upgrades!$B$3:$B$13))*Upgrades!$D$3:$D$13))</f>
        <v/>
      </c>
      <c r="F1417" s="66" t="str">
        <f>IFERROR(__xludf.DUMMYFUNCTION("IF(COUNTA(C1417:C1673)=0,"""",IF(REGEXMATCH(INDEX(FILTER(C$4:C1417,C$4:C1417&lt;&gt;""""),ROWS(FILTER(C$4:C1417,C$4:C1417&lt;&gt;""""))),""^Sell_""),INDEX(FILTER(F$4:F1416,C$4:C1416&lt;&gt;""""),ROWS(FILTER(C$4:C1416,C$4:C1416&lt;&gt;""""))),$AC$5+E1417))"),"")</f>
        <v/>
      </c>
      <c r="G1417" s="10" t="str">
        <f>IFERROR(__xludf.DUMMYFUNCTION("IF(COUNTA(C1417:C1673)=0,"""",IF(C1417="""",0,IF(REGEXMATCH(C1417,""^Sell_""),-ROUNDDOWN(ROUNDUP(INDEX(Upgrades!$C$3:$C$13,MATCH(SUBSTITUTE(C1417,""Sell_"",""""),Upgrades!$B$3:$B$13,0))*1.15^(COUNTIF(C$4:C1416,SUBSTITUTE(C1417,""Sell_"",""""))-COUNTIF(C$4"&amp;":C1416,""Sell_""&amp;SUBSTITUTE(C1417,""Sell_"",""""))))/2),ROUNDUP(INDEX(Upgrades!$C$3:$C$13,MATCH(C1417,Upgrades!$B$3:$B$13,0))*1.15^(COUNTIF(C$4:C1416,C1417)-COUNTIF(C$4:C1416,""Sell_""&amp;C1417))))))"),"")</f>
        <v/>
      </c>
      <c r="H1417" s="10" t="str">
        <f t="shared" si="3"/>
        <v/>
      </c>
      <c r="I1417" s="68" t="str">
        <f t="shared" si="4"/>
        <v/>
      </c>
      <c r="J1417" s="59" t="str">
        <f t="shared" si="5"/>
        <v/>
      </c>
      <c r="K1417" s="69" t="str">
        <f t="shared" si="6"/>
        <v/>
      </c>
      <c r="L1417" s="60" t="str">
        <f t="shared" si="7"/>
        <v/>
      </c>
      <c r="M1417" s="61" t="str">
        <f>IFERROR(__xludf.DUMMYFUNCTION("IFS(AND(COUNTA(C1417:C1673)=0,COUNTA(Q1417:Q1673)=0),"""",OR(AND(K1417&gt;=1000000000,OR(Y1417&gt;=1000000000,COUNTA(Q1417:Q1673)=0)),OR(Y1417&gt;=1000000000,AND(COUNTA(C1417:C1673)=0,P$3=TRUE))),
ROUNDDOWN((AB$1-AC$1)*MAX(INDEX(T$4:T1673,MATCH(LARGE(FILTER(Y$4:Y1"&amp;"673,Y$4:Y1673&lt;1000000000),1),Y$4:Y1673)),INDEX(F$4:F1673,MATCH(LARGE(FILTER(K$4:K1673,K$4:K1673&lt;1000000000),1),K$4:K1673)))),AND(K1417&lt;1000000000,COUNTA(C1417:C1673)&gt;0,P$3=FALSE),
ROUNDDOWN(INDEX(Y$4:Y1673,MATCH(LARGE(FILTER(W$4:W1673,W$4:W1673&lt;=I1417),1)"&amp;",W$4:W1673))+(I1417-LARGE(FILTER(W$4:W1673,W$4:W1673&lt;=I1417),1))*INDEX(T$4:T1673,MATCH(LARGE(FILTER(W$4:W1673,W$4:W1673&lt;=I1417),1),W$4:W1673))-K1417),1,
ROUNDDOWN(Y1417-INDEX(K$4:K1673,MATCH(LARGE(FILTER(I$4:I1673,I$4:I1673&lt;=W1417),1),I$4:I1673))-(W1417-L"&amp;"ARGE(FILTER(I$4:I1673,I$4:I1673&lt;=W1417),1))*INDEX(F$4:F1673,MATCH(LARGE(FILTER(I$4:I1673,I$4:I1673&lt;=W1417),1),I$4:I1673))))"),"")</f>
        <v/>
      </c>
      <c r="N1417" s="60" t="str">
        <f t="shared" si="8"/>
        <v/>
      </c>
      <c r="O1417" s="61" t="str">
        <f t="shared" si="9"/>
        <v/>
      </c>
      <c r="P1417" s="56" t="str">
        <f t="shared" si="10"/>
        <v/>
      </c>
      <c r="Q1417" s="67"/>
      <c r="R1417" s="10"/>
      <c r="S1417" s="59" t="str">
        <f t="array" ref="S1417">IF(COUNTA(Q1417:Q1673)=0,"",SUM((COUNTIF(Q$4:Q1417,Upgrades!$B$3:$B$13)-COUNTIF(Q$4:Q1417,"Sell_"&amp;Upgrades!$B$3:$B$13))*Upgrades!$D$3:$D$13))</f>
        <v/>
      </c>
      <c r="T1417" s="66" t="str">
        <f>IFERROR(__xludf.DUMMYFUNCTION("IF(COUNTA(Q1417:Q1673)=0,"""",IF(REGEXMATCH(INDEX(FILTER(Q$4:Q1417,Q$4:Q1417&lt;&gt;""""),ROWS(FILTER(Q$4:Q1417,Q$4:Q1417&lt;&gt;""""))),""^Sell_""),INDEX(FILTER(T$4:T1416,Q$4:Q1416&lt;&gt;""""),ROWS(FILTER(Q$4:Q1416,Q$4:Q1416&lt;&gt;""""))),$AD$5+S1417))"),"")</f>
        <v/>
      </c>
      <c r="U1417" s="10" t="str">
        <f>IFERROR(__xludf.DUMMYFUNCTION("IF(COUNTA(Q1417:Q1673)=0,"""",IF(Q1417="""",0,IF(REGEXMATCH(Q1417,""^Sell_""),-ROUNDDOWN(ROUNDUP(INDEX(Upgrades!$C$3:$C$13,MATCH(SUBSTITUTE(Q1417,""Sell_"",""""),Upgrades!$B$3:$B$13,0))*1.15^(COUNTIF(Q$4:Q1416,SUBSTITUTE(Q1417,""Sell_"",""""))-COUNTIF(Q$4"&amp;":Q1416,""Sell_""&amp;SUBSTITUTE(Q1417,""Sell_"",""""))))/2),ROUNDUP(INDEX(Upgrades!$C$3:$C$13,MATCH(Q1417,Upgrades!$B$3:$B$13,0))*1.15^(COUNTIF(Q$4:Q1416,Q1417)-COUNTIF(Q$4:Q1416,""Sell_""&amp;Q1417))))))"),"")</f>
        <v/>
      </c>
      <c r="V1417" s="10" t="str">
        <f t="shared" si="11"/>
        <v/>
      </c>
      <c r="W1417" s="68" t="str">
        <f t="shared" si="12"/>
        <v/>
      </c>
      <c r="X1417" s="59" t="str">
        <f t="shared" si="13"/>
        <v/>
      </c>
      <c r="Y1417" s="69" t="str">
        <f t="shared" si="14"/>
        <v/>
      </c>
      <c r="Z1417" s="11"/>
    </row>
    <row r="1418">
      <c r="A1418" s="8"/>
      <c r="B1418" s="56" t="str">
        <f t="shared" si="2"/>
        <v/>
      </c>
      <c r="C1418" s="105"/>
      <c r="D1418" s="10"/>
      <c r="E1418" s="59" t="str">
        <f t="array" ref="E1418">IF(COUNTA(C1418:C1673)=0,"",SUM((COUNTIF(C$4:C1418,Upgrades!$B$3:$B$13)-COUNTIF(C$4:C1418,"Sell_"&amp;Upgrades!$B$3:$B$13))*Upgrades!$D$3:$D$13))</f>
        <v/>
      </c>
      <c r="F1418" s="66" t="str">
        <f>IFERROR(__xludf.DUMMYFUNCTION("IF(COUNTA(C1418:C1673)=0,"""",IF(REGEXMATCH(INDEX(FILTER(C$4:C1418,C$4:C1418&lt;&gt;""""),ROWS(FILTER(C$4:C1418,C$4:C1418&lt;&gt;""""))),""^Sell_""),INDEX(FILTER(F$4:F1417,C$4:C1417&lt;&gt;""""),ROWS(FILTER(C$4:C1417,C$4:C1417&lt;&gt;""""))),$AC$5+E1418))"),"")</f>
        <v/>
      </c>
      <c r="G1418" s="10" t="str">
        <f>IFERROR(__xludf.DUMMYFUNCTION("IF(COUNTA(C1418:C1673)=0,"""",IF(C1418="""",0,IF(REGEXMATCH(C1418,""^Sell_""),-ROUNDDOWN(ROUNDUP(INDEX(Upgrades!$C$3:$C$13,MATCH(SUBSTITUTE(C1418,""Sell_"",""""),Upgrades!$B$3:$B$13,0))*1.15^(COUNTIF(C$4:C1417,SUBSTITUTE(C1418,""Sell_"",""""))-COUNTIF(C$4"&amp;":C1417,""Sell_""&amp;SUBSTITUTE(C1418,""Sell_"",""""))))/2),ROUNDUP(INDEX(Upgrades!$C$3:$C$13,MATCH(C1418,Upgrades!$B$3:$B$13,0))*1.15^(COUNTIF(C$4:C1417,C1418)-COUNTIF(C$4:C1417,""Sell_""&amp;C1418))))))"),"")</f>
        <v/>
      </c>
      <c r="H1418" s="10" t="str">
        <f t="shared" si="3"/>
        <v/>
      </c>
      <c r="I1418" s="68" t="str">
        <f t="shared" si="4"/>
        <v/>
      </c>
      <c r="J1418" s="59" t="str">
        <f t="shared" si="5"/>
        <v/>
      </c>
      <c r="K1418" s="69" t="str">
        <f t="shared" si="6"/>
        <v/>
      </c>
      <c r="L1418" s="60" t="str">
        <f t="shared" si="7"/>
        <v/>
      </c>
      <c r="M1418" s="61" t="str">
        <f>IFERROR(__xludf.DUMMYFUNCTION("IFS(AND(COUNTA(C1418:C1673)=0,COUNTA(Q1418:Q1673)=0),"""",OR(AND(K1418&gt;=1000000000,OR(Y1418&gt;=1000000000,COUNTA(Q1418:Q1673)=0)),OR(Y1418&gt;=1000000000,AND(COUNTA(C1418:C1673)=0,P$3=TRUE))),
ROUNDDOWN((AB$1-AC$1)*MAX(INDEX(T$4:T1673,MATCH(LARGE(FILTER(Y$4:Y1"&amp;"673,Y$4:Y1673&lt;1000000000),1),Y$4:Y1673)),INDEX(F$4:F1673,MATCH(LARGE(FILTER(K$4:K1673,K$4:K1673&lt;1000000000),1),K$4:K1673)))),AND(K1418&lt;1000000000,COUNTA(C1418:C1673)&gt;0,P$3=FALSE),
ROUNDDOWN(INDEX(Y$4:Y1673,MATCH(LARGE(FILTER(W$4:W1673,W$4:W1673&lt;=I1418),1)"&amp;",W$4:W1673))+(I1418-LARGE(FILTER(W$4:W1673,W$4:W1673&lt;=I1418),1))*INDEX(T$4:T1673,MATCH(LARGE(FILTER(W$4:W1673,W$4:W1673&lt;=I1418),1),W$4:W1673))-K1418),1,
ROUNDDOWN(Y1418-INDEX(K$4:K1673,MATCH(LARGE(FILTER(I$4:I1673,I$4:I1673&lt;=W1418),1),I$4:I1673))-(W1418-L"&amp;"ARGE(FILTER(I$4:I1673,I$4:I1673&lt;=W1418),1))*INDEX(F$4:F1673,MATCH(LARGE(FILTER(I$4:I1673,I$4:I1673&lt;=W1418),1),I$4:I1673))))"),"")</f>
        <v/>
      </c>
      <c r="N1418" s="60" t="str">
        <f t="shared" si="8"/>
        <v/>
      </c>
      <c r="O1418" s="61" t="str">
        <f t="shared" si="9"/>
        <v/>
      </c>
      <c r="P1418" s="56" t="str">
        <f t="shared" si="10"/>
        <v/>
      </c>
      <c r="Q1418" s="67"/>
      <c r="R1418" s="10"/>
      <c r="S1418" s="59" t="str">
        <f t="array" ref="S1418">IF(COUNTA(Q1418:Q1673)=0,"",SUM((COUNTIF(Q$4:Q1418,Upgrades!$B$3:$B$13)-COUNTIF(Q$4:Q1418,"Sell_"&amp;Upgrades!$B$3:$B$13))*Upgrades!$D$3:$D$13))</f>
        <v/>
      </c>
      <c r="T1418" s="66" t="str">
        <f>IFERROR(__xludf.DUMMYFUNCTION("IF(COUNTA(Q1418:Q1673)=0,"""",IF(REGEXMATCH(INDEX(FILTER(Q$4:Q1418,Q$4:Q1418&lt;&gt;""""),ROWS(FILTER(Q$4:Q1418,Q$4:Q1418&lt;&gt;""""))),""^Sell_""),INDEX(FILTER(T$4:T1417,Q$4:Q1417&lt;&gt;""""),ROWS(FILTER(Q$4:Q1417,Q$4:Q1417&lt;&gt;""""))),$AD$5+S1418))"),"")</f>
        <v/>
      </c>
      <c r="U1418" s="10" t="str">
        <f>IFERROR(__xludf.DUMMYFUNCTION("IF(COUNTA(Q1418:Q1673)=0,"""",IF(Q1418="""",0,IF(REGEXMATCH(Q1418,""^Sell_""),-ROUNDDOWN(ROUNDUP(INDEX(Upgrades!$C$3:$C$13,MATCH(SUBSTITUTE(Q1418,""Sell_"",""""),Upgrades!$B$3:$B$13,0))*1.15^(COUNTIF(Q$4:Q1417,SUBSTITUTE(Q1418,""Sell_"",""""))-COUNTIF(Q$4"&amp;":Q1417,""Sell_""&amp;SUBSTITUTE(Q1418,""Sell_"",""""))))/2),ROUNDUP(INDEX(Upgrades!$C$3:$C$13,MATCH(Q1418,Upgrades!$B$3:$B$13,0))*1.15^(COUNTIF(Q$4:Q1417,Q1418)-COUNTIF(Q$4:Q1417,""Sell_""&amp;Q1418))))))"),"")</f>
        <v/>
      </c>
      <c r="V1418" s="10" t="str">
        <f t="shared" si="11"/>
        <v/>
      </c>
      <c r="W1418" s="68" t="str">
        <f t="shared" si="12"/>
        <v/>
      </c>
      <c r="X1418" s="59" t="str">
        <f t="shared" si="13"/>
        <v/>
      </c>
      <c r="Y1418" s="69" t="str">
        <f t="shared" si="14"/>
        <v/>
      </c>
      <c r="Z1418" s="11"/>
    </row>
    <row r="1419">
      <c r="A1419" s="8"/>
      <c r="B1419" s="56" t="str">
        <f t="shared" si="2"/>
        <v/>
      </c>
      <c r="C1419" s="105"/>
      <c r="D1419" s="10"/>
      <c r="E1419" s="59" t="str">
        <f t="array" ref="E1419">IF(COUNTA(C1419:C1673)=0,"",SUM((COUNTIF(C$4:C1419,Upgrades!$B$3:$B$13)-COUNTIF(C$4:C1419,"Sell_"&amp;Upgrades!$B$3:$B$13))*Upgrades!$D$3:$D$13))</f>
        <v/>
      </c>
      <c r="F1419" s="66" t="str">
        <f>IFERROR(__xludf.DUMMYFUNCTION("IF(COUNTA(C1419:C1673)=0,"""",IF(REGEXMATCH(INDEX(FILTER(C$4:C1419,C$4:C1419&lt;&gt;""""),ROWS(FILTER(C$4:C1419,C$4:C1419&lt;&gt;""""))),""^Sell_""),INDEX(FILTER(F$4:F1418,C$4:C1418&lt;&gt;""""),ROWS(FILTER(C$4:C1418,C$4:C1418&lt;&gt;""""))),$AC$5+E1419))"),"")</f>
        <v/>
      </c>
      <c r="G1419" s="10" t="str">
        <f>IFERROR(__xludf.DUMMYFUNCTION("IF(COUNTA(C1419:C1673)=0,"""",IF(C1419="""",0,IF(REGEXMATCH(C1419,""^Sell_""),-ROUNDDOWN(ROUNDUP(INDEX(Upgrades!$C$3:$C$13,MATCH(SUBSTITUTE(C1419,""Sell_"",""""),Upgrades!$B$3:$B$13,0))*1.15^(COUNTIF(C$4:C1418,SUBSTITUTE(C1419,""Sell_"",""""))-COUNTIF(C$4"&amp;":C1418,""Sell_""&amp;SUBSTITUTE(C1419,""Sell_"",""""))))/2),ROUNDUP(INDEX(Upgrades!$C$3:$C$13,MATCH(C1419,Upgrades!$B$3:$B$13,0))*1.15^(COUNTIF(C$4:C1418,C1419)-COUNTIF(C$4:C1418,""Sell_""&amp;C1419))))))"),"")</f>
        <v/>
      </c>
      <c r="H1419" s="10" t="str">
        <f t="shared" si="3"/>
        <v/>
      </c>
      <c r="I1419" s="68" t="str">
        <f t="shared" si="4"/>
        <v/>
      </c>
      <c r="J1419" s="59" t="str">
        <f t="shared" si="5"/>
        <v/>
      </c>
      <c r="K1419" s="69" t="str">
        <f t="shared" si="6"/>
        <v/>
      </c>
      <c r="L1419" s="60" t="str">
        <f t="shared" si="7"/>
        <v/>
      </c>
      <c r="M1419" s="61" t="str">
        <f>IFERROR(__xludf.DUMMYFUNCTION("IFS(AND(COUNTA(C1419:C1673)=0,COUNTA(Q1419:Q1673)=0),"""",OR(AND(K1419&gt;=1000000000,OR(Y1419&gt;=1000000000,COUNTA(Q1419:Q1673)=0)),OR(Y1419&gt;=1000000000,AND(COUNTA(C1419:C1673)=0,P$3=TRUE))),
ROUNDDOWN((AB$1-AC$1)*MAX(INDEX(T$4:T1673,MATCH(LARGE(FILTER(Y$4:Y1"&amp;"673,Y$4:Y1673&lt;1000000000),1),Y$4:Y1673)),INDEX(F$4:F1673,MATCH(LARGE(FILTER(K$4:K1673,K$4:K1673&lt;1000000000),1),K$4:K1673)))),AND(K1419&lt;1000000000,COUNTA(C1419:C1673)&gt;0,P$3=FALSE),
ROUNDDOWN(INDEX(Y$4:Y1673,MATCH(LARGE(FILTER(W$4:W1673,W$4:W1673&lt;=I1419),1)"&amp;",W$4:W1673))+(I1419-LARGE(FILTER(W$4:W1673,W$4:W1673&lt;=I1419),1))*INDEX(T$4:T1673,MATCH(LARGE(FILTER(W$4:W1673,W$4:W1673&lt;=I1419),1),W$4:W1673))-K1419),1,
ROUNDDOWN(Y1419-INDEX(K$4:K1673,MATCH(LARGE(FILTER(I$4:I1673,I$4:I1673&lt;=W1419),1),I$4:I1673))-(W1419-L"&amp;"ARGE(FILTER(I$4:I1673,I$4:I1673&lt;=W1419),1))*INDEX(F$4:F1673,MATCH(LARGE(FILTER(I$4:I1673,I$4:I1673&lt;=W1419),1),I$4:I1673))))"),"")</f>
        <v/>
      </c>
      <c r="N1419" s="60" t="str">
        <f t="shared" si="8"/>
        <v/>
      </c>
      <c r="O1419" s="61" t="str">
        <f t="shared" si="9"/>
        <v/>
      </c>
      <c r="P1419" s="56" t="str">
        <f t="shared" si="10"/>
        <v/>
      </c>
      <c r="Q1419" s="67"/>
      <c r="R1419" s="10"/>
      <c r="S1419" s="59" t="str">
        <f t="array" ref="S1419">IF(COUNTA(Q1419:Q1673)=0,"",SUM((COUNTIF(Q$4:Q1419,Upgrades!$B$3:$B$13)-COUNTIF(Q$4:Q1419,"Sell_"&amp;Upgrades!$B$3:$B$13))*Upgrades!$D$3:$D$13))</f>
        <v/>
      </c>
      <c r="T1419" s="66" t="str">
        <f>IFERROR(__xludf.DUMMYFUNCTION("IF(COUNTA(Q1419:Q1673)=0,"""",IF(REGEXMATCH(INDEX(FILTER(Q$4:Q1419,Q$4:Q1419&lt;&gt;""""),ROWS(FILTER(Q$4:Q1419,Q$4:Q1419&lt;&gt;""""))),""^Sell_""),INDEX(FILTER(T$4:T1418,Q$4:Q1418&lt;&gt;""""),ROWS(FILTER(Q$4:Q1418,Q$4:Q1418&lt;&gt;""""))),$AD$5+S1419))"),"")</f>
        <v/>
      </c>
      <c r="U1419" s="10" t="str">
        <f>IFERROR(__xludf.DUMMYFUNCTION("IF(COUNTA(Q1419:Q1673)=0,"""",IF(Q1419="""",0,IF(REGEXMATCH(Q1419,""^Sell_""),-ROUNDDOWN(ROUNDUP(INDEX(Upgrades!$C$3:$C$13,MATCH(SUBSTITUTE(Q1419,""Sell_"",""""),Upgrades!$B$3:$B$13,0))*1.15^(COUNTIF(Q$4:Q1418,SUBSTITUTE(Q1419,""Sell_"",""""))-COUNTIF(Q$4"&amp;":Q1418,""Sell_""&amp;SUBSTITUTE(Q1419,""Sell_"",""""))))/2),ROUNDUP(INDEX(Upgrades!$C$3:$C$13,MATCH(Q1419,Upgrades!$B$3:$B$13,0))*1.15^(COUNTIF(Q$4:Q1418,Q1419)-COUNTIF(Q$4:Q1418,""Sell_""&amp;Q1419))))))"),"")</f>
        <v/>
      </c>
      <c r="V1419" s="10" t="str">
        <f t="shared" si="11"/>
        <v/>
      </c>
      <c r="W1419" s="68" t="str">
        <f t="shared" si="12"/>
        <v/>
      </c>
      <c r="X1419" s="59" t="str">
        <f t="shared" si="13"/>
        <v/>
      </c>
      <c r="Y1419" s="69" t="str">
        <f t="shared" si="14"/>
        <v/>
      </c>
      <c r="Z1419" s="11"/>
    </row>
    <row r="1420">
      <c r="A1420" s="8"/>
      <c r="B1420" s="56" t="str">
        <f t="shared" si="2"/>
        <v/>
      </c>
      <c r="C1420" s="105"/>
      <c r="D1420" s="10"/>
      <c r="E1420" s="59" t="str">
        <f t="array" ref="E1420">IF(COUNTA(C1420:C1673)=0,"",SUM((COUNTIF(C$4:C1420,Upgrades!$B$3:$B$13)-COUNTIF(C$4:C1420,"Sell_"&amp;Upgrades!$B$3:$B$13))*Upgrades!$D$3:$D$13))</f>
        <v/>
      </c>
      <c r="F1420" s="66" t="str">
        <f>IFERROR(__xludf.DUMMYFUNCTION("IF(COUNTA(C1420:C1673)=0,"""",IF(REGEXMATCH(INDEX(FILTER(C$4:C1420,C$4:C1420&lt;&gt;""""),ROWS(FILTER(C$4:C1420,C$4:C1420&lt;&gt;""""))),""^Sell_""),INDEX(FILTER(F$4:F1419,C$4:C1419&lt;&gt;""""),ROWS(FILTER(C$4:C1419,C$4:C1419&lt;&gt;""""))),$AC$5+E1420))"),"")</f>
        <v/>
      </c>
      <c r="G1420" s="10" t="str">
        <f>IFERROR(__xludf.DUMMYFUNCTION("IF(COUNTA(C1420:C1673)=0,"""",IF(C1420="""",0,IF(REGEXMATCH(C1420,""^Sell_""),-ROUNDDOWN(ROUNDUP(INDEX(Upgrades!$C$3:$C$13,MATCH(SUBSTITUTE(C1420,""Sell_"",""""),Upgrades!$B$3:$B$13,0))*1.15^(COUNTIF(C$4:C1419,SUBSTITUTE(C1420,""Sell_"",""""))-COUNTIF(C$4"&amp;":C1419,""Sell_""&amp;SUBSTITUTE(C1420,""Sell_"",""""))))/2),ROUNDUP(INDEX(Upgrades!$C$3:$C$13,MATCH(C1420,Upgrades!$B$3:$B$13,0))*1.15^(COUNTIF(C$4:C1419,C1420)-COUNTIF(C$4:C1419,""Sell_""&amp;C1420))))))"),"")</f>
        <v/>
      </c>
      <c r="H1420" s="10" t="str">
        <f t="shared" si="3"/>
        <v/>
      </c>
      <c r="I1420" s="68" t="str">
        <f t="shared" si="4"/>
        <v/>
      </c>
      <c r="J1420" s="59" t="str">
        <f t="shared" si="5"/>
        <v/>
      </c>
      <c r="K1420" s="69" t="str">
        <f t="shared" si="6"/>
        <v/>
      </c>
      <c r="L1420" s="60" t="str">
        <f t="shared" si="7"/>
        <v/>
      </c>
      <c r="M1420" s="61" t="str">
        <f>IFERROR(__xludf.DUMMYFUNCTION("IFS(AND(COUNTA(C1420:C1673)=0,COUNTA(Q1420:Q1673)=0),"""",OR(AND(K1420&gt;=1000000000,OR(Y1420&gt;=1000000000,COUNTA(Q1420:Q1673)=0)),OR(Y1420&gt;=1000000000,AND(COUNTA(C1420:C1673)=0,P$3=TRUE))),
ROUNDDOWN((AB$1-AC$1)*MAX(INDEX(T$4:T1673,MATCH(LARGE(FILTER(Y$4:Y1"&amp;"673,Y$4:Y1673&lt;1000000000),1),Y$4:Y1673)),INDEX(F$4:F1673,MATCH(LARGE(FILTER(K$4:K1673,K$4:K1673&lt;1000000000),1),K$4:K1673)))),AND(K1420&lt;1000000000,COUNTA(C1420:C1673)&gt;0,P$3=FALSE),
ROUNDDOWN(INDEX(Y$4:Y1673,MATCH(LARGE(FILTER(W$4:W1673,W$4:W1673&lt;=I1420),1)"&amp;",W$4:W1673))+(I1420-LARGE(FILTER(W$4:W1673,W$4:W1673&lt;=I1420),1))*INDEX(T$4:T1673,MATCH(LARGE(FILTER(W$4:W1673,W$4:W1673&lt;=I1420),1),W$4:W1673))-K1420),1,
ROUNDDOWN(Y1420-INDEX(K$4:K1673,MATCH(LARGE(FILTER(I$4:I1673,I$4:I1673&lt;=W1420),1),I$4:I1673))-(W1420-L"&amp;"ARGE(FILTER(I$4:I1673,I$4:I1673&lt;=W1420),1))*INDEX(F$4:F1673,MATCH(LARGE(FILTER(I$4:I1673,I$4:I1673&lt;=W1420),1),I$4:I1673))))"),"")</f>
        <v/>
      </c>
      <c r="N1420" s="60" t="str">
        <f t="shared" si="8"/>
        <v/>
      </c>
      <c r="O1420" s="61" t="str">
        <f t="shared" si="9"/>
        <v/>
      </c>
      <c r="P1420" s="56" t="str">
        <f t="shared" si="10"/>
        <v/>
      </c>
      <c r="Q1420" s="67"/>
      <c r="R1420" s="10"/>
      <c r="S1420" s="59" t="str">
        <f t="array" ref="S1420">IF(COUNTA(Q1420:Q1673)=0,"",SUM((COUNTIF(Q$4:Q1420,Upgrades!$B$3:$B$13)-COUNTIF(Q$4:Q1420,"Sell_"&amp;Upgrades!$B$3:$B$13))*Upgrades!$D$3:$D$13))</f>
        <v/>
      </c>
      <c r="T1420" s="66" t="str">
        <f>IFERROR(__xludf.DUMMYFUNCTION("IF(COUNTA(Q1420:Q1673)=0,"""",IF(REGEXMATCH(INDEX(FILTER(Q$4:Q1420,Q$4:Q1420&lt;&gt;""""),ROWS(FILTER(Q$4:Q1420,Q$4:Q1420&lt;&gt;""""))),""^Sell_""),INDEX(FILTER(T$4:T1419,Q$4:Q1419&lt;&gt;""""),ROWS(FILTER(Q$4:Q1419,Q$4:Q1419&lt;&gt;""""))),$AD$5+S1420))"),"")</f>
        <v/>
      </c>
      <c r="U1420" s="10" t="str">
        <f>IFERROR(__xludf.DUMMYFUNCTION("IF(COUNTA(Q1420:Q1673)=0,"""",IF(Q1420="""",0,IF(REGEXMATCH(Q1420,""^Sell_""),-ROUNDDOWN(ROUNDUP(INDEX(Upgrades!$C$3:$C$13,MATCH(SUBSTITUTE(Q1420,""Sell_"",""""),Upgrades!$B$3:$B$13,0))*1.15^(COUNTIF(Q$4:Q1419,SUBSTITUTE(Q1420,""Sell_"",""""))-COUNTIF(Q$4"&amp;":Q1419,""Sell_""&amp;SUBSTITUTE(Q1420,""Sell_"",""""))))/2),ROUNDUP(INDEX(Upgrades!$C$3:$C$13,MATCH(Q1420,Upgrades!$B$3:$B$13,0))*1.15^(COUNTIF(Q$4:Q1419,Q1420)-COUNTIF(Q$4:Q1419,""Sell_""&amp;Q1420))))))"),"")</f>
        <v/>
      </c>
      <c r="V1420" s="10" t="str">
        <f t="shared" si="11"/>
        <v/>
      </c>
      <c r="W1420" s="68" t="str">
        <f t="shared" si="12"/>
        <v/>
      </c>
      <c r="X1420" s="59" t="str">
        <f t="shared" si="13"/>
        <v/>
      </c>
      <c r="Y1420" s="69" t="str">
        <f t="shared" si="14"/>
        <v/>
      </c>
      <c r="Z1420" s="11"/>
    </row>
    <row r="1421">
      <c r="A1421" s="8"/>
      <c r="B1421" s="56" t="str">
        <f t="shared" si="2"/>
        <v/>
      </c>
      <c r="C1421" s="105"/>
      <c r="D1421" s="10"/>
      <c r="E1421" s="59" t="str">
        <f t="array" ref="E1421">IF(COUNTA(C1421:C1673)=0,"",SUM((COUNTIF(C$4:C1421,Upgrades!$B$3:$B$13)-COUNTIF(C$4:C1421,"Sell_"&amp;Upgrades!$B$3:$B$13))*Upgrades!$D$3:$D$13))</f>
        <v/>
      </c>
      <c r="F1421" s="66" t="str">
        <f>IFERROR(__xludf.DUMMYFUNCTION("IF(COUNTA(C1421:C1673)=0,"""",IF(REGEXMATCH(INDEX(FILTER(C$4:C1421,C$4:C1421&lt;&gt;""""),ROWS(FILTER(C$4:C1421,C$4:C1421&lt;&gt;""""))),""^Sell_""),INDEX(FILTER(F$4:F1420,C$4:C1420&lt;&gt;""""),ROWS(FILTER(C$4:C1420,C$4:C1420&lt;&gt;""""))),$AC$5+E1421))"),"")</f>
        <v/>
      </c>
      <c r="G1421" s="10" t="str">
        <f>IFERROR(__xludf.DUMMYFUNCTION("IF(COUNTA(C1421:C1673)=0,"""",IF(C1421="""",0,IF(REGEXMATCH(C1421,""^Sell_""),-ROUNDDOWN(ROUNDUP(INDEX(Upgrades!$C$3:$C$13,MATCH(SUBSTITUTE(C1421,""Sell_"",""""),Upgrades!$B$3:$B$13,0))*1.15^(COUNTIF(C$4:C1420,SUBSTITUTE(C1421,""Sell_"",""""))-COUNTIF(C$4"&amp;":C1420,""Sell_""&amp;SUBSTITUTE(C1421,""Sell_"",""""))))/2),ROUNDUP(INDEX(Upgrades!$C$3:$C$13,MATCH(C1421,Upgrades!$B$3:$B$13,0))*1.15^(COUNTIF(C$4:C1420,C1421)-COUNTIF(C$4:C1420,""Sell_""&amp;C1421))))))"),"")</f>
        <v/>
      </c>
      <c r="H1421" s="10" t="str">
        <f t="shared" si="3"/>
        <v/>
      </c>
      <c r="I1421" s="68" t="str">
        <f t="shared" si="4"/>
        <v/>
      </c>
      <c r="J1421" s="59" t="str">
        <f t="shared" si="5"/>
        <v/>
      </c>
      <c r="K1421" s="69" t="str">
        <f t="shared" si="6"/>
        <v/>
      </c>
      <c r="L1421" s="60" t="str">
        <f t="shared" si="7"/>
        <v/>
      </c>
      <c r="M1421" s="61" t="str">
        <f>IFERROR(__xludf.DUMMYFUNCTION("IFS(AND(COUNTA(C1421:C1673)=0,COUNTA(Q1421:Q1673)=0),"""",OR(AND(K1421&gt;=1000000000,OR(Y1421&gt;=1000000000,COUNTA(Q1421:Q1673)=0)),OR(Y1421&gt;=1000000000,AND(COUNTA(C1421:C1673)=0,P$3=TRUE))),
ROUNDDOWN((AB$1-AC$1)*MAX(INDEX(T$4:T1673,MATCH(LARGE(FILTER(Y$4:Y1"&amp;"673,Y$4:Y1673&lt;1000000000),1),Y$4:Y1673)),INDEX(F$4:F1673,MATCH(LARGE(FILTER(K$4:K1673,K$4:K1673&lt;1000000000),1),K$4:K1673)))),AND(K1421&lt;1000000000,COUNTA(C1421:C1673)&gt;0,P$3=FALSE),
ROUNDDOWN(INDEX(Y$4:Y1673,MATCH(LARGE(FILTER(W$4:W1673,W$4:W1673&lt;=I1421),1)"&amp;",W$4:W1673))+(I1421-LARGE(FILTER(W$4:W1673,W$4:W1673&lt;=I1421),1))*INDEX(T$4:T1673,MATCH(LARGE(FILTER(W$4:W1673,W$4:W1673&lt;=I1421),1),W$4:W1673))-K1421),1,
ROUNDDOWN(Y1421-INDEX(K$4:K1673,MATCH(LARGE(FILTER(I$4:I1673,I$4:I1673&lt;=W1421),1),I$4:I1673))-(W1421-L"&amp;"ARGE(FILTER(I$4:I1673,I$4:I1673&lt;=W1421),1))*INDEX(F$4:F1673,MATCH(LARGE(FILTER(I$4:I1673,I$4:I1673&lt;=W1421),1),I$4:I1673))))"),"")</f>
        <v/>
      </c>
      <c r="N1421" s="60" t="str">
        <f t="shared" si="8"/>
        <v/>
      </c>
      <c r="O1421" s="61" t="str">
        <f t="shared" si="9"/>
        <v/>
      </c>
      <c r="P1421" s="56" t="str">
        <f t="shared" si="10"/>
        <v/>
      </c>
      <c r="Q1421" s="67"/>
      <c r="R1421" s="10"/>
      <c r="S1421" s="59" t="str">
        <f t="array" ref="S1421">IF(COUNTA(Q1421:Q1673)=0,"",SUM((COUNTIF(Q$4:Q1421,Upgrades!$B$3:$B$13)-COUNTIF(Q$4:Q1421,"Sell_"&amp;Upgrades!$B$3:$B$13))*Upgrades!$D$3:$D$13))</f>
        <v/>
      </c>
      <c r="T1421" s="66" t="str">
        <f>IFERROR(__xludf.DUMMYFUNCTION("IF(COUNTA(Q1421:Q1673)=0,"""",IF(REGEXMATCH(INDEX(FILTER(Q$4:Q1421,Q$4:Q1421&lt;&gt;""""),ROWS(FILTER(Q$4:Q1421,Q$4:Q1421&lt;&gt;""""))),""^Sell_""),INDEX(FILTER(T$4:T1420,Q$4:Q1420&lt;&gt;""""),ROWS(FILTER(Q$4:Q1420,Q$4:Q1420&lt;&gt;""""))),$AD$5+S1421))"),"")</f>
        <v/>
      </c>
      <c r="U1421" s="10" t="str">
        <f>IFERROR(__xludf.DUMMYFUNCTION("IF(COUNTA(Q1421:Q1673)=0,"""",IF(Q1421="""",0,IF(REGEXMATCH(Q1421,""^Sell_""),-ROUNDDOWN(ROUNDUP(INDEX(Upgrades!$C$3:$C$13,MATCH(SUBSTITUTE(Q1421,""Sell_"",""""),Upgrades!$B$3:$B$13,0))*1.15^(COUNTIF(Q$4:Q1420,SUBSTITUTE(Q1421,""Sell_"",""""))-COUNTIF(Q$4"&amp;":Q1420,""Sell_""&amp;SUBSTITUTE(Q1421,""Sell_"",""""))))/2),ROUNDUP(INDEX(Upgrades!$C$3:$C$13,MATCH(Q1421,Upgrades!$B$3:$B$13,0))*1.15^(COUNTIF(Q$4:Q1420,Q1421)-COUNTIF(Q$4:Q1420,""Sell_""&amp;Q1421))))))"),"")</f>
        <v/>
      </c>
      <c r="V1421" s="10" t="str">
        <f t="shared" si="11"/>
        <v/>
      </c>
      <c r="W1421" s="68" t="str">
        <f t="shared" si="12"/>
        <v/>
      </c>
      <c r="X1421" s="59" t="str">
        <f t="shared" si="13"/>
        <v/>
      </c>
      <c r="Y1421" s="69" t="str">
        <f t="shared" si="14"/>
        <v/>
      </c>
      <c r="Z1421" s="11"/>
    </row>
    <row r="1422">
      <c r="A1422" s="8"/>
      <c r="B1422" s="56" t="str">
        <f t="shared" si="2"/>
        <v/>
      </c>
      <c r="C1422" s="105"/>
      <c r="D1422" s="10"/>
      <c r="E1422" s="59" t="str">
        <f t="array" ref="E1422">IF(COUNTA(C1422:C1673)=0,"",SUM((COUNTIF(C$4:C1422,Upgrades!$B$3:$B$13)-COUNTIF(C$4:C1422,"Sell_"&amp;Upgrades!$B$3:$B$13))*Upgrades!$D$3:$D$13))</f>
        <v/>
      </c>
      <c r="F1422" s="66" t="str">
        <f>IFERROR(__xludf.DUMMYFUNCTION("IF(COUNTA(C1422:C1673)=0,"""",IF(REGEXMATCH(INDEX(FILTER(C$4:C1422,C$4:C1422&lt;&gt;""""),ROWS(FILTER(C$4:C1422,C$4:C1422&lt;&gt;""""))),""^Sell_""),INDEX(FILTER(F$4:F1421,C$4:C1421&lt;&gt;""""),ROWS(FILTER(C$4:C1421,C$4:C1421&lt;&gt;""""))),$AC$5+E1422))"),"")</f>
        <v/>
      </c>
      <c r="G1422" s="10" t="str">
        <f>IFERROR(__xludf.DUMMYFUNCTION("IF(COUNTA(C1422:C1673)=0,"""",IF(C1422="""",0,IF(REGEXMATCH(C1422,""^Sell_""),-ROUNDDOWN(ROUNDUP(INDEX(Upgrades!$C$3:$C$13,MATCH(SUBSTITUTE(C1422,""Sell_"",""""),Upgrades!$B$3:$B$13,0))*1.15^(COUNTIF(C$4:C1421,SUBSTITUTE(C1422,""Sell_"",""""))-COUNTIF(C$4"&amp;":C1421,""Sell_""&amp;SUBSTITUTE(C1422,""Sell_"",""""))))/2),ROUNDUP(INDEX(Upgrades!$C$3:$C$13,MATCH(C1422,Upgrades!$B$3:$B$13,0))*1.15^(COUNTIF(C$4:C1421,C1422)-COUNTIF(C$4:C1421,""Sell_""&amp;C1422))))))"),"")</f>
        <v/>
      </c>
      <c r="H1422" s="10" t="str">
        <f t="shared" si="3"/>
        <v/>
      </c>
      <c r="I1422" s="68" t="str">
        <f t="shared" si="4"/>
        <v/>
      </c>
      <c r="J1422" s="59" t="str">
        <f t="shared" si="5"/>
        <v/>
      </c>
      <c r="K1422" s="69" t="str">
        <f t="shared" si="6"/>
        <v/>
      </c>
      <c r="L1422" s="60" t="str">
        <f t="shared" si="7"/>
        <v/>
      </c>
      <c r="M1422" s="61" t="str">
        <f>IFERROR(__xludf.DUMMYFUNCTION("IFS(AND(COUNTA(C1422:C1673)=0,COUNTA(Q1422:Q1673)=0),"""",OR(AND(K1422&gt;=1000000000,OR(Y1422&gt;=1000000000,COUNTA(Q1422:Q1673)=0)),OR(Y1422&gt;=1000000000,AND(COUNTA(C1422:C1673)=0,P$3=TRUE))),
ROUNDDOWN((AB$1-AC$1)*MAX(INDEX(T$4:T1673,MATCH(LARGE(FILTER(Y$4:Y1"&amp;"673,Y$4:Y1673&lt;1000000000),1),Y$4:Y1673)),INDEX(F$4:F1673,MATCH(LARGE(FILTER(K$4:K1673,K$4:K1673&lt;1000000000),1),K$4:K1673)))),AND(K1422&lt;1000000000,COUNTA(C1422:C1673)&gt;0,P$3=FALSE),
ROUNDDOWN(INDEX(Y$4:Y1673,MATCH(LARGE(FILTER(W$4:W1673,W$4:W1673&lt;=I1422),1)"&amp;",W$4:W1673))+(I1422-LARGE(FILTER(W$4:W1673,W$4:W1673&lt;=I1422),1))*INDEX(T$4:T1673,MATCH(LARGE(FILTER(W$4:W1673,W$4:W1673&lt;=I1422),1),W$4:W1673))-K1422),1,
ROUNDDOWN(Y1422-INDEX(K$4:K1673,MATCH(LARGE(FILTER(I$4:I1673,I$4:I1673&lt;=W1422),1),I$4:I1673))-(W1422-L"&amp;"ARGE(FILTER(I$4:I1673,I$4:I1673&lt;=W1422),1))*INDEX(F$4:F1673,MATCH(LARGE(FILTER(I$4:I1673,I$4:I1673&lt;=W1422),1),I$4:I1673))))"),"")</f>
        <v/>
      </c>
      <c r="N1422" s="60" t="str">
        <f t="shared" si="8"/>
        <v/>
      </c>
      <c r="O1422" s="61" t="str">
        <f t="shared" si="9"/>
        <v/>
      </c>
      <c r="P1422" s="56" t="str">
        <f t="shared" si="10"/>
        <v/>
      </c>
      <c r="Q1422" s="67"/>
      <c r="R1422" s="10"/>
      <c r="S1422" s="59" t="str">
        <f t="array" ref="S1422">IF(COUNTA(Q1422:Q1673)=0,"",SUM((COUNTIF(Q$4:Q1422,Upgrades!$B$3:$B$13)-COUNTIF(Q$4:Q1422,"Sell_"&amp;Upgrades!$B$3:$B$13))*Upgrades!$D$3:$D$13))</f>
        <v/>
      </c>
      <c r="T1422" s="66" t="str">
        <f>IFERROR(__xludf.DUMMYFUNCTION("IF(COUNTA(Q1422:Q1673)=0,"""",IF(REGEXMATCH(INDEX(FILTER(Q$4:Q1422,Q$4:Q1422&lt;&gt;""""),ROWS(FILTER(Q$4:Q1422,Q$4:Q1422&lt;&gt;""""))),""^Sell_""),INDEX(FILTER(T$4:T1421,Q$4:Q1421&lt;&gt;""""),ROWS(FILTER(Q$4:Q1421,Q$4:Q1421&lt;&gt;""""))),$AD$5+S1422))"),"")</f>
        <v/>
      </c>
      <c r="U1422" s="10" t="str">
        <f>IFERROR(__xludf.DUMMYFUNCTION("IF(COUNTA(Q1422:Q1673)=0,"""",IF(Q1422="""",0,IF(REGEXMATCH(Q1422,""^Sell_""),-ROUNDDOWN(ROUNDUP(INDEX(Upgrades!$C$3:$C$13,MATCH(SUBSTITUTE(Q1422,""Sell_"",""""),Upgrades!$B$3:$B$13,0))*1.15^(COUNTIF(Q$4:Q1421,SUBSTITUTE(Q1422,""Sell_"",""""))-COUNTIF(Q$4"&amp;":Q1421,""Sell_""&amp;SUBSTITUTE(Q1422,""Sell_"",""""))))/2),ROUNDUP(INDEX(Upgrades!$C$3:$C$13,MATCH(Q1422,Upgrades!$B$3:$B$13,0))*1.15^(COUNTIF(Q$4:Q1421,Q1422)-COUNTIF(Q$4:Q1421,""Sell_""&amp;Q1422))))))"),"")</f>
        <v/>
      </c>
      <c r="V1422" s="10" t="str">
        <f t="shared" si="11"/>
        <v/>
      </c>
      <c r="W1422" s="68" t="str">
        <f t="shared" si="12"/>
        <v/>
      </c>
      <c r="X1422" s="59" t="str">
        <f t="shared" si="13"/>
        <v/>
      </c>
      <c r="Y1422" s="69" t="str">
        <f t="shared" si="14"/>
        <v/>
      </c>
      <c r="Z1422" s="11"/>
    </row>
    <row r="1423">
      <c r="A1423" s="8"/>
      <c r="B1423" s="56" t="str">
        <f t="shared" si="2"/>
        <v/>
      </c>
      <c r="C1423" s="105"/>
      <c r="D1423" s="10"/>
      <c r="E1423" s="59" t="str">
        <f t="array" ref="E1423">IF(COUNTA(C1423:C1673)=0,"",SUM((COUNTIF(C$4:C1423,Upgrades!$B$3:$B$13)-COUNTIF(C$4:C1423,"Sell_"&amp;Upgrades!$B$3:$B$13))*Upgrades!$D$3:$D$13))</f>
        <v/>
      </c>
      <c r="F1423" s="66" t="str">
        <f>IFERROR(__xludf.DUMMYFUNCTION("IF(COUNTA(C1423:C1673)=0,"""",IF(REGEXMATCH(INDEX(FILTER(C$4:C1423,C$4:C1423&lt;&gt;""""),ROWS(FILTER(C$4:C1423,C$4:C1423&lt;&gt;""""))),""^Sell_""),INDEX(FILTER(F$4:F1422,C$4:C1422&lt;&gt;""""),ROWS(FILTER(C$4:C1422,C$4:C1422&lt;&gt;""""))),$AC$5+E1423))"),"")</f>
        <v/>
      </c>
      <c r="G1423" s="10" t="str">
        <f>IFERROR(__xludf.DUMMYFUNCTION("IF(COUNTA(C1423:C1673)=0,"""",IF(C1423="""",0,IF(REGEXMATCH(C1423,""^Sell_""),-ROUNDDOWN(ROUNDUP(INDEX(Upgrades!$C$3:$C$13,MATCH(SUBSTITUTE(C1423,""Sell_"",""""),Upgrades!$B$3:$B$13,0))*1.15^(COUNTIF(C$4:C1422,SUBSTITUTE(C1423,""Sell_"",""""))-COUNTIF(C$4"&amp;":C1422,""Sell_""&amp;SUBSTITUTE(C1423,""Sell_"",""""))))/2),ROUNDUP(INDEX(Upgrades!$C$3:$C$13,MATCH(C1423,Upgrades!$B$3:$B$13,0))*1.15^(COUNTIF(C$4:C1422,C1423)-COUNTIF(C$4:C1422,""Sell_""&amp;C1423))))))"),"")</f>
        <v/>
      </c>
      <c r="H1423" s="10" t="str">
        <f t="shared" si="3"/>
        <v/>
      </c>
      <c r="I1423" s="68" t="str">
        <f t="shared" si="4"/>
        <v/>
      </c>
      <c r="J1423" s="59" t="str">
        <f t="shared" si="5"/>
        <v/>
      </c>
      <c r="K1423" s="69" t="str">
        <f t="shared" si="6"/>
        <v/>
      </c>
      <c r="L1423" s="60" t="str">
        <f t="shared" si="7"/>
        <v/>
      </c>
      <c r="M1423" s="61" t="str">
        <f>IFERROR(__xludf.DUMMYFUNCTION("IFS(AND(COUNTA(C1423:C1673)=0,COUNTA(Q1423:Q1673)=0),"""",OR(AND(K1423&gt;=1000000000,OR(Y1423&gt;=1000000000,COUNTA(Q1423:Q1673)=0)),OR(Y1423&gt;=1000000000,AND(COUNTA(C1423:C1673)=0,P$3=TRUE))),
ROUNDDOWN((AB$1-AC$1)*MAX(INDEX(T$4:T1673,MATCH(LARGE(FILTER(Y$4:Y1"&amp;"673,Y$4:Y1673&lt;1000000000),1),Y$4:Y1673)),INDEX(F$4:F1673,MATCH(LARGE(FILTER(K$4:K1673,K$4:K1673&lt;1000000000),1),K$4:K1673)))),AND(K1423&lt;1000000000,COUNTA(C1423:C1673)&gt;0,P$3=FALSE),
ROUNDDOWN(INDEX(Y$4:Y1673,MATCH(LARGE(FILTER(W$4:W1673,W$4:W1673&lt;=I1423),1)"&amp;",W$4:W1673))+(I1423-LARGE(FILTER(W$4:W1673,W$4:W1673&lt;=I1423),1))*INDEX(T$4:T1673,MATCH(LARGE(FILTER(W$4:W1673,W$4:W1673&lt;=I1423),1),W$4:W1673))-K1423),1,
ROUNDDOWN(Y1423-INDEX(K$4:K1673,MATCH(LARGE(FILTER(I$4:I1673,I$4:I1673&lt;=W1423),1),I$4:I1673))-(W1423-L"&amp;"ARGE(FILTER(I$4:I1673,I$4:I1673&lt;=W1423),1))*INDEX(F$4:F1673,MATCH(LARGE(FILTER(I$4:I1673,I$4:I1673&lt;=W1423),1),I$4:I1673))))"),"")</f>
        <v/>
      </c>
      <c r="N1423" s="60" t="str">
        <f t="shared" si="8"/>
        <v/>
      </c>
      <c r="O1423" s="61" t="str">
        <f t="shared" si="9"/>
        <v/>
      </c>
      <c r="P1423" s="56" t="str">
        <f t="shared" si="10"/>
        <v/>
      </c>
      <c r="Q1423" s="67"/>
      <c r="R1423" s="10"/>
      <c r="S1423" s="59" t="str">
        <f t="array" ref="S1423">IF(COUNTA(Q1423:Q1673)=0,"",SUM((COUNTIF(Q$4:Q1423,Upgrades!$B$3:$B$13)-COUNTIF(Q$4:Q1423,"Sell_"&amp;Upgrades!$B$3:$B$13))*Upgrades!$D$3:$D$13))</f>
        <v/>
      </c>
      <c r="T1423" s="66" t="str">
        <f>IFERROR(__xludf.DUMMYFUNCTION("IF(COUNTA(Q1423:Q1673)=0,"""",IF(REGEXMATCH(INDEX(FILTER(Q$4:Q1423,Q$4:Q1423&lt;&gt;""""),ROWS(FILTER(Q$4:Q1423,Q$4:Q1423&lt;&gt;""""))),""^Sell_""),INDEX(FILTER(T$4:T1422,Q$4:Q1422&lt;&gt;""""),ROWS(FILTER(Q$4:Q1422,Q$4:Q1422&lt;&gt;""""))),$AD$5+S1423))"),"")</f>
        <v/>
      </c>
      <c r="U1423" s="10" t="str">
        <f>IFERROR(__xludf.DUMMYFUNCTION("IF(COUNTA(Q1423:Q1673)=0,"""",IF(Q1423="""",0,IF(REGEXMATCH(Q1423,""^Sell_""),-ROUNDDOWN(ROUNDUP(INDEX(Upgrades!$C$3:$C$13,MATCH(SUBSTITUTE(Q1423,""Sell_"",""""),Upgrades!$B$3:$B$13,0))*1.15^(COUNTIF(Q$4:Q1422,SUBSTITUTE(Q1423,""Sell_"",""""))-COUNTIF(Q$4"&amp;":Q1422,""Sell_""&amp;SUBSTITUTE(Q1423,""Sell_"",""""))))/2),ROUNDUP(INDEX(Upgrades!$C$3:$C$13,MATCH(Q1423,Upgrades!$B$3:$B$13,0))*1.15^(COUNTIF(Q$4:Q1422,Q1423)-COUNTIF(Q$4:Q1422,""Sell_""&amp;Q1423))))))"),"")</f>
        <v/>
      </c>
      <c r="V1423" s="10" t="str">
        <f t="shared" si="11"/>
        <v/>
      </c>
      <c r="W1423" s="68" t="str">
        <f t="shared" si="12"/>
        <v/>
      </c>
      <c r="X1423" s="59" t="str">
        <f t="shared" si="13"/>
        <v/>
      </c>
      <c r="Y1423" s="69" t="str">
        <f t="shared" si="14"/>
        <v/>
      </c>
      <c r="Z1423" s="11"/>
    </row>
    <row r="1424">
      <c r="A1424" s="8"/>
      <c r="B1424" s="56" t="str">
        <f t="shared" si="2"/>
        <v/>
      </c>
      <c r="C1424" s="105"/>
      <c r="D1424" s="10"/>
      <c r="E1424" s="59" t="str">
        <f t="array" ref="E1424">IF(COUNTA(C1424:C1673)=0,"",SUM((COUNTIF(C$4:C1424,Upgrades!$B$3:$B$13)-COUNTIF(C$4:C1424,"Sell_"&amp;Upgrades!$B$3:$B$13))*Upgrades!$D$3:$D$13))</f>
        <v/>
      </c>
      <c r="F1424" s="66" t="str">
        <f>IFERROR(__xludf.DUMMYFUNCTION("IF(COUNTA(C1424:C1673)=0,"""",IF(REGEXMATCH(INDEX(FILTER(C$4:C1424,C$4:C1424&lt;&gt;""""),ROWS(FILTER(C$4:C1424,C$4:C1424&lt;&gt;""""))),""^Sell_""),INDEX(FILTER(F$4:F1423,C$4:C1423&lt;&gt;""""),ROWS(FILTER(C$4:C1423,C$4:C1423&lt;&gt;""""))),$AC$5+E1424))"),"")</f>
        <v/>
      </c>
      <c r="G1424" s="10" t="str">
        <f>IFERROR(__xludf.DUMMYFUNCTION("IF(COUNTA(C1424:C1673)=0,"""",IF(C1424="""",0,IF(REGEXMATCH(C1424,""^Sell_""),-ROUNDDOWN(ROUNDUP(INDEX(Upgrades!$C$3:$C$13,MATCH(SUBSTITUTE(C1424,""Sell_"",""""),Upgrades!$B$3:$B$13,0))*1.15^(COUNTIF(C$4:C1423,SUBSTITUTE(C1424,""Sell_"",""""))-COUNTIF(C$4"&amp;":C1423,""Sell_""&amp;SUBSTITUTE(C1424,""Sell_"",""""))))/2),ROUNDUP(INDEX(Upgrades!$C$3:$C$13,MATCH(C1424,Upgrades!$B$3:$B$13,0))*1.15^(COUNTIF(C$4:C1423,C1424)-COUNTIF(C$4:C1423,""Sell_""&amp;C1424))))))"),"")</f>
        <v/>
      </c>
      <c r="H1424" s="10" t="str">
        <f t="shared" si="3"/>
        <v/>
      </c>
      <c r="I1424" s="68" t="str">
        <f t="shared" si="4"/>
        <v/>
      </c>
      <c r="J1424" s="59" t="str">
        <f t="shared" si="5"/>
        <v/>
      </c>
      <c r="K1424" s="69" t="str">
        <f t="shared" si="6"/>
        <v/>
      </c>
      <c r="L1424" s="60" t="str">
        <f t="shared" si="7"/>
        <v/>
      </c>
      <c r="M1424" s="61" t="str">
        <f>IFERROR(__xludf.DUMMYFUNCTION("IFS(AND(COUNTA(C1424:C1673)=0,COUNTA(Q1424:Q1673)=0),"""",OR(AND(K1424&gt;=1000000000,OR(Y1424&gt;=1000000000,COUNTA(Q1424:Q1673)=0)),OR(Y1424&gt;=1000000000,AND(COUNTA(C1424:C1673)=0,P$3=TRUE))),
ROUNDDOWN((AB$1-AC$1)*MAX(INDEX(T$4:T1673,MATCH(LARGE(FILTER(Y$4:Y1"&amp;"673,Y$4:Y1673&lt;1000000000),1),Y$4:Y1673)),INDEX(F$4:F1673,MATCH(LARGE(FILTER(K$4:K1673,K$4:K1673&lt;1000000000),1),K$4:K1673)))),AND(K1424&lt;1000000000,COUNTA(C1424:C1673)&gt;0,P$3=FALSE),
ROUNDDOWN(INDEX(Y$4:Y1673,MATCH(LARGE(FILTER(W$4:W1673,W$4:W1673&lt;=I1424),1)"&amp;",W$4:W1673))+(I1424-LARGE(FILTER(W$4:W1673,W$4:W1673&lt;=I1424),1))*INDEX(T$4:T1673,MATCH(LARGE(FILTER(W$4:W1673,W$4:W1673&lt;=I1424),1),W$4:W1673))-K1424),1,
ROUNDDOWN(Y1424-INDEX(K$4:K1673,MATCH(LARGE(FILTER(I$4:I1673,I$4:I1673&lt;=W1424),1),I$4:I1673))-(W1424-L"&amp;"ARGE(FILTER(I$4:I1673,I$4:I1673&lt;=W1424),1))*INDEX(F$4:F1673,MATCH(LARGE(FILTER(I$4:I1673,I$4:I1673&lt;=W1424),1),I$4:I1673))))"),"")</f>
        <v/>
      </c>
      <c r="N1424" s="60" t="str">
        <f t="shared" si="8"/>
        <v/>
      </c>
      <c r="O1424" s="61" t="str">
        <f t="shared" si="9"/>
        <v/>
      </c>
      <c r="P1424" s="56" t="str">
        <f t="shared" si="10"/>
        <v/>
      </c>
      <c r="Q1424" s="67"/>
      <c r="R1424" s="10"/>
      <c r="S1424" s="59" t="str">
        <f t="array" ref="S1424">IF(COUNTA(Q1424:Q1673)=0,"",SUM((COUNTIF(Q$4:Q1424,Upgrades!$B$3:$B$13)-COUNTIF(Q$4:Q1424,"Sell_"&amp;Upgrades!$B$3:$B$13))*Upgrades!$D$3:$D$13))</f>
        <v/>
      </c>
      <c r="T1424" s="66" t="str">
        <f>IFERROR(__xludf.DUMMYFUNCTION("IF(COUNTA(Q1424:Q1673)=0,"""",IF(REGEXMATCH(INDEX(FILTER(Q$4:Q1424,Q$4:Q1424&lt;&gt;""""),ROWS(FILTER(Q$4:Q1424,Q$4:Q1424&lt;&gt;""""))),""^Sell_""),INDEX(FILTER(T$4:T1423,Q$4:Q1423&lt;&gt;""""),ROWS(FILTER(Q$4:Q1423,Q$4:Q1423&lt;&gt;""""))),$AD$5+S1424))"),"")</f>
        <v/>
      </c>
      <c r="U1424" s="10" t="str">
        <f>IFERROR(__xludf.DUMMYFUNCTION("IF(COUNTA(Q1424:Q1673)=0,"""",IF(Q1424="""",0,IF(REGEXMATCH(Q1424,""^Sell_""),-ROUNDDOWN(ROUNDUP(INDEX(Upgrades!$C$3:$C$13,MATCH(SUBSTITUTE(Q1424,""Sell_"",""""),Upgrades!$B$3:$B$13,0))*1.15^(COUNTIF(Q$4:Q1423,SUBSTITUTE(Q1424,""Sell_"",""""))-COUNTIF(Q$4"&amp;":Q1423,""Sell_""&amp;SUBSTITUTE(Q1424,""Sell_"",""""))))/2),ROUNDUP(INDEX(Upgrades!$C$3:$C$13,MATCH(Q1424,Upgrades!$B$3:$B$13,0))*1.15^(COUNTIF(Q$4:Q1423,Q1424)-COUNTIF(Q$4:Q1423,""Sell_""&amp;Q1424))))))"),"")</f>
        <v/>
      </c>
      <c r="V1424" s="10" t="str">
        <f t="shared" si="11"/>
        <v/>
      </c>
      <c r="W1424" s="68" t="str">
        <f t="shared" si="12"/>
        <v/>
      </c>
      <c r="X1424" s="59" t="str">
        <f t="shared" si="13"/>
        <v/>
      </c>
      <c r="Y1424" s="69" t="str">
        <f t="shared" si="14"/>
        <v/>
      </c>
      <c r="Z1424" s="11"/>
    </row>
    <row r="1425">
      <c r="A1425" s="8"/>
      <c r="B1425" s="56" t="str">
        <f t="shared" si="2"/>
        <v/>
      </c>
      <c r="C1425" s="105"/>
      <c r="D1425" s="10"/>
      <c r="E1425" s="59" t="str">
        <f t="array" ref="E1425">IF(COUNTA(C1425:C1673)=0,"",SUM((COUNTIF(C$4:C1425,Upgrades!$B$3:$B$13)-COUNTIF(C$4:C1425,"Sell_"&amp;Upgrades!$B$3:$B$13))*Upgrades!$D$3:$D$13))</f>
        <v/>
      </c>
      <c r="F1425" s="66" t="str">
        <f>IFERROR(__xludf.DUMMYFUNCTION("IF(COUNTA(C1425:C1673)=0,"""",IF(REGEXMATCH(INDEX(FILTER(C$4:C1425,C$4:C1425&lt;&gt;""""),ROWS(FILTER(C$4:C1425,C$4:C1425&lt;&gt;""""))),""^Sell_""),INDEX(FILTER(F$4:F1424,C$4:C1424&lt;&gt;""""),ROWS(FILTER(C$4:C1424,C$4:C1424&lt;&gt;""""))),$AC$5+E1425))"),"")</f>
        <v/>
      </c>
      <c r="G1425" s="10" t="str">
        <f>IFERROR(__xludf.DUMMYFUNCTION("IF(COUNTA(C1425:C1673)=0,"""",IF(C1425="""",0,IF(REGEXMATCH(C1425,""^Sell_""),-ROUNDDOWN(ROUNDUP(INDEX(Upgrades!$C$3:$C$13,MATCH(SUBSTITUTE(C1425,""Sell_"",""""),Upgrades!$B$3:$B$13,0))*1.15^(COUNTIF(C$4:C1424,SUBSTITUTE(C1425,""Sell_"",""""))-COUNTIF(C$4"&amp;":C1424,""Sell_""&amp;SUBSTITUTE(C1425,""Sell_"",""""))))/2),ROUNDUP(INDEX(Upgrades!$C$3:$C$13,MATCH(C1425,Upgrades!$B$3:$B$13,0))*1.15^(COUNTIF(C$4:C1424,C1425)-COUNTIF(C$4:C1424,""Sell_""&amp;C1425))))))"),"")</f>
        <v/>
      </c>
      <c r="H1425" s="10" t="str">
        <f t="shared" si="3"/>
        <v/>
      </c>
      <c r="I1425" s="68" t="str">
        <f t="shared" si="4"/>
        <v/>
      </c>
      <c r="J1425" s="59" t="str">
        <f t="shared" si="5"/>
        <v/>
      </c>
      <c r="K1425" s="69" t="str">
        <f t="shared" si="6"/>
        <v/>
      </c>
      <c r="L1425" s="60" t="str">
        <f t="shared" si="7"/>
        <v/>
      </c>
      <c r="M1425" s="61" t="str">
        <f>IFERROR(__xludf.DUMMYFUNCTION("IFS(AND(COUNTA(C1425:C1673)=0,COUNTA(Q1425:Q1673)=0),"""",OR(AND(K1425&gt;=1000000000,OR(Y1425&gt;=1000000000,COUNTA(Q1425:Q1673)=0)),OR(Y1425&gt;=1000000000,AND(COUNTA(C1425:C1673)=0,P$3=TRUE))),
ROUNDDOWN((AB$1-AC$1)*MAX(INDEX(T$4:T1673,MATCH(LARGE(FILTER(Y$4:Y1"&amp;"673,Y$4:Y1673&lt;1000000000),1),Y$4:Y1673)),INDEX(F$4:F1673,MATCH(LARGE(FILTER(K$4:K1673,K$4:K1673&lt;1000000000),1),K$4:K1673)))),AND(K1425&lt;1000000000,COUNTA(C1425:C1673)&gt;0,P$3=FALSE),
ROUNDDOWN(INDEX(Y$4:Y1673,MATCH(LARGE(FILTER(W$4:W1673,W$4:W1673&lt;=I1425),1)"&amp;",W$4:W1673))+(I1425-LARGE(FILTER(W$4:W1673,W$4:W1673&lt;=I1425),1))*INDEX(T$4:T1673,MATCH(LARGE(FILTER(W$4:W1673,W$4:W1673&lt;=I1425),1),W$4:W1673))-K1425),1,
ROUNDDOWN(Y1425-INDEX(K$4:K1673,MATCH(LARGE(FILTER(I$4:I1673,I$4:I1673&lt;=W1425),1),I$4:I1673))-(W1425-L"&amp;"ARGE(FILTER(I$4:I1673,I$4:I1673&lt;=W1425),1))*INDEX(F$4:F1673,MATCH(LARGE(FILTER(I$4:I1673,I$4:I1673&lt;=W1425),1),I$4:I1673))))"),"")</f>
        <v/>
      </c>
      <c r="N1425" s="60" t="str">
        <f t="shared" si="8"/>
        <v/>
      </c>
      <c r="O1425" s="61" t="str">
        <f t="shared" si="9"/>
        <v/>
      </c>
      <c r="P1425" s="56" t="str">
        <f t="shared" si="10"/>
        <v/>
      </c>
      <c r="Q1425" s="67"/>
      <c r="R1425" s="10"/>
      <c r="S1425" s="59" t="str">
        <f t="array" ref="S1425">IF(COUNTA(Q1425:Q1673)=0,"",SUM((COUNTIF(Q$4:Q1425,Upgrades!$B$3:$B$13)-COUNTIF(Q$4:Q1425,"Sell_"&amp;Upgrades!$B$3:$B$13))*Upgrades!$D$3:$D$13))</f>
        <v/>
      </c>
      <c r="T1425" s="66" t="str">
        <f>IFERROR(__xludf.DUMMYFUNCTION("IF(COUNTA(Q1425:Q1673)=0,"""",IF(REGEXMATCH(INDEX(FILTER(Q$4:Q1425,Q$4:Q1425&lt;&gt;""""),ROWS(FILTER(Q$4:Q1425,Q$4:Q1425&lt;&gt;""""))),""^Sell_""),INDEX(FILTER(T$4:T1424,Q$4:Q1424&lt;&gt;""""),ROWS(FILTER(Q$4:Q1424,Q$4:Q1424&lt;&gt;""""))),$AD$5+S1425))"),"")</f>
        <v/>
      </c>
      <c r="U1425" s="10" t="str">
        <f>IFERROR(__xludf.DUMMYFUNCTION("IF(COUNTA(Q1425:Q1673)=0,"""",IF(Q1425="""",0,IF(REGEXMATCH(Q1425,""^Sell_""),-ROUNDDOWN(ROUNDUP(INDEX(Upgrades!$C$3:$C$13,MATCH(SUBSTITUTE(Q1425,""Sell_"",""""),Upgrades!$B$3:$B$13,0))*1.15^(COUNTIF(Q$4:Q1424,SUBSTITUTE(Q1425,""Sell_"",""""))-COUNTIF(Q$4"&amp;":Q1424,""Sell_""&amp;SUBSTITUTE(Q1425,""Sell_"",""""))))/2),ROUNDUP(INDEX(Upgrades!$C$3:$C$13,MATCH(Q1425,Upgrades!$B$3:$B$13,0))*1.15^(COUNTIF(Q$4:Q1424,Q1425)-COUNTIF(Q$4:Q1424,""Sell_""&amp;Q1425))))))"),"")</f>
        <v/>
      </c>
      <c r="V1425" s="10" t="str">
        <f t="shared" si="11"/>
        <v/>
      </c>
      <c r="W1425" s="68" t="str">
        <f t="shared" si="12"/>
        <v/>
      </c>
      <c r="X1425" s="59" t="str">
        <f t="shared" si="13"/>
        <v/>
      </c>
      <c r="Y1425" s="69" t="str">
        <f t="shared" si="14"/>
        <v/>
      </c>
      <c r="Z1425" s="11"/>
    </row>
    <row r="1426">
      <c r="A1426" s="8"/>
      <c r="B1426" s="56" t="str">
        <f t="shared" si="2"/>
        <v/>
      </c>
      <c r="C1426" s="105"/>
      <c r="D1426" s="10"/>
      <c r="E1426" s="59" t="str">
        <f t="array" ref="E1426">IF(COUNTA(C1426:C1673)=0,"",SUM((COUNTIF(C$4:C1426,Upgrades!$B$3:$B$13)-COUNTIF(C$4:C1426,"Sell_"&amp;Upgrades!$B$3:$B$13))*Upgrades!$D$3:$D$13))</f>
        <v/>
      </c>
      <c r="F1426" s="66" t="str">
        <f>IFERROR(__xludf.DUMMYFUNCTION("IF(COUNTA(C1426:C1673)=0,"""",IF(REGEXMATCH(INDEX(FILTER(C$4:C1426,C$4:C1426&lt;&gt;""""),ROWS(FILTER(C$4:C1426,C$4:C1426&lt;&gt;""""))),""^Sell_""),INDEX(FILTER(F$4:F1425,C$4:C1425&lt;&gt;""""),ROWS(FILTER(C$4:C1425,C$4:C1425&lt;&gt;""""))),$AC$5+E1426))"),"")</f>
        <v/>
      </c>
      <c r="G1426" s="10" t="str">
        <f>IFERROR(__xludf.DUMMYFUNCTION("IF(COUNTA(C1426:C1673)=0,"""",IF(C1426="""",0,IF(REGEXMATCH(C1426,""^Sell_""),-ROUNDDOWN(ROUNDUP(INDEX(Upgrades!$C$3:$C$13,MATCH(SUBSTITUTE(C1426,""Sell_"",""""),Upgrades!$B$3:$B$13,0))*1.15^(COUNTIF(C$4:C1425,SUBSTITUTE(C1426,""Sell_"",""""))-COUNTIF(C$4"&amp;":C1425,""Sell_""&amp;SUBSTITUTE(C1426,""Sell_"",""""))))/2),ROUNDUP(INDEX(Upgrades!$C$3:$C$13,MATCH(C1426,Upgrades!$B$3:$B$13,0))*1.15^(COUNTIF(C$4:C1425,C1426)-COUNTIF(C$4:C1425,""Sell_""&amp;C1426))))))"),"")</f>
        <v/>
      </c>
      <c r="H1426" s="10" t="str">
        <f t="shared" si="3"/>
        <v/>
      </c>
      <c r="I1426" s="68" t="str">
        <f t="shared" si="4"/>
        <v/>
      </c>
      <c r="J1426" s="59" t="str">
        <f t="shared" si="5"/>
        <v/>
      </c>
      <c r="K1426" s="69" t="str">
        <f t="shared" si="6"/>
        <v/>
      </c>
      <c r="L1426" s="60" t="str">
        <f t="shared" si="7"/>
        <v/>
      </c>
      <c r="M1426" s="61" t="str">
        <f>IFERROR(__xludf.DUMMYFUNCTION("IFS(AND(COUNTA(C1426:C1673)=0,COUNTA(Q1426:Q1673)=0),"""",OR(AND(K1426&gt;=1000000000,OR(Y1426&gt;=1000000000,COUNTA(Q1426:Q1673)=0)),OR(Y1426&gt;=1000000000,AND(COUNTA(C1426:C1673)=0,P$3=TRUE))),
ROUNDDOWN((AB$1-AC$1)*MAX(INDEX(T$4:T1673,MATCH(LARGE(FILTER(Y$4:Y1"&amp;"673,Y$4:Y1673&lt;1000000000),1),Y$4:Y1673)),INDEX(F$4:F1673,MATCH(LARGE(FILTER(K$4:K1673,K$4:K1673&lt;1000000000),1),K$4:K1673)))),AND(K1426&lt;1000000000,COUNTA(C1426:C1673)&gt;0,P$3=FALSE),
ROUNDDOWN(INDEX(Y$4:Y1673,MATCH(LARGE(FILTER(W$4:W1673,W$4:W1673&lt;=I1426),1)"&amp;",W$4:W1673))+(I1426-LARGE(FILTER(W$4:W1673,W$4:W1673&lt;=I1426),1))*INDEX(T$4:T1673,MATCH(LARGE(FILTER(W$4:W1673,W$4:W1673&lt;=I1426),1),W$4:W1673))-K1426),1,
ROUNDDOWN(Y1426-INDEX(K$4:K1673,MATCH(LARGE(FILTER(I$4:I1673,I$4:I1673&lt;=W1426),1),I$4:I1673))-(W1426-L"&amp;"ARGE(FILTER(I$4:I1673,I$4:I1673&lt;=W1426),1))*INDEX(F$4:F1673,MATCH(LARGE(FILTER(I$4:I1673,I$4:I1673&lt;=W1426),1),I$4:I1673))))"),"")</f>
        <v/>
      </c>
      <c r="N1426" s="60" t="str">
        <f t="shared" si="8"/>
        <v/>
      </c>
      <c r="O1426" s="61" t="str">
        <f t="shared" si="9"/>
        <v/>
      </c>
      <c r="P1426" s="56" t="str">
        <f t="shared" si="10"/>
        <v/>
      </c>
      <c r="Q1426" s="67"/>
      <c r="R1426" s="10"/>
      <c r="S1426" s="59" t="str">
        <f t="array" ref="S1426">IF(COUNTA(Q1426:Q1673)=0,"",SUM((COUNTIF(Q$4:Q1426,Upgrades!$B$3:$B$13)-COUNTIF(Q$4:Q1426,"Sell_"&amp;Upgrades!$B$3:$B$13))*Upgrades!$D$3:$D$13))</f>
        <v/>
      </c>
      <c r="T1426" s="66" t="str">
        <f>IFERROR(__xludf.DUMMYFUNCTION("IF(COUNTA(Q1426:Q1673)=0,"""",IF(REGEXMATCH(INDEX(FILTER(Q$4:Q1426,Q$4:Q1426&lt;&gt;""""),ROWS(FILTER(Q$4:Q1426,Q$4:Q1426&lt;&gt;""""))),""^Sell_""),INDEX(FILTER(T$4:T1425,Q$4:Q1425&lt;&gt;""""),ROWS(FILTER(Q$4:Q1425,Q$4:Q1425&lt;&gt;""""))),$AD$5+S1426))"),"")</f>
        <v/>
      </c>
      <c r="U1426" s="10" t="str">
        <f>IFERROR(__xludf.DUMMYFUNCTION("IF(COUNTA(Q1426:Q1673)=0,"""",IF(Q1426="""",0,IF(REGEXMATCH(Q1426,""^Sell_""),-ROUNDDOWN(ROUNDUP(INDEX(Upgrades!$C$3:$C$13,MATCH(SUBSTITUTE(Q1426,""Sell_"",""""),Upgrades!$B$3:$B$13,0))*1.15^(COUNTIF(Q$4:Q1425,SUBSTITUTE(Q1426,""Sell_"",""""))-COUNTIF(Q$4"&amp;":Q1425,""Sell_""&amp;SUBSTITUTE(Q1426,""Sell_"",""""))))/2),ROUNDUP(INDEX(Upgrades!$C$3:$C$13,MATCH(Q1426,Upgrades!$B$3:$B$13,0))*1.15^(COUNTIF(Q$4:Q1425,Q1426)-COUNTIF(Q$4:Q1425,""Sell_""&amp;Q1426))))))"),"")</f>
        <v/>
      </c>
      <c r="V1426" s="10" t="str">
        <f t="shared" si="11"/>
        <v/>
      </c>
      <c r="W1426" s="68" t="str">
        <f t="shared" si="12"/>
        <v/>
      </c>
      <c r="X1426" s="59" t="str">
        <f t="shared" si="13"/>
        <v/>
      </c>
      <c r="Y1426" s="69" t="str">
        <f t="shared" si="14"/>
        <v/>
      </c>
      <c r="Z1426" s="11"/>
    </row>
    <row r="1427">
      <c r="A1427" s="8"/>
      <c r="B1427" s="56" t="str">
        <f t="shared" si="2"/>
        <v/>
      </c>
      <c r="C1427" s="105"/>
      <c r="D1427" s="10"/>
      <c r="E1427" s="59" t="str">
        <f t="array" ref="E1427">IF(COUNTA(C1427:C1673)=0,"",SUM((COUNTIF(C$4:C1427,Upgrades!$B$3:$B$13)-COUNTIF(C$4:C1427,"Sell_"&amp;Upgrades!$B$3:$B$13))*Upgrades!$D$3:$D$13))</f>
        <v/>
      </c>
      <c r="F1427" s="66" t="str">
        <f>IFERROR(__xludf.DUMMYFUNCTION("IF(COUNTA(C1427:C1673)=0,"""",IF(REGEXMATCH(INDEX(FILTER(C$4:C1427,C$4:C1427&lt;&gt;""""),ROWS(FILTER(C$4:C1427,C$4:C1427&lt;&gt;""""))),""^Sell_""),INDEX(FILTER(F$4:F1426,C$4:C1426&lt;&gt;""""),ROWS(FILTER(C$4:C1426,C$4:C1426&lt;&gt;""""))),$AC$5+E1427))"),"")</f>
        <v/>
      </c>
      <c r="G1427" s="10" t="str">
        <f>IFERROR(__xludf.DUMMYFUNCTION("IF(COUNTA(C1427:C1673)=0,"""",IF(C1427="""",0,IF(REGEXMATCH(C1427,""^Sell_""),-ROUNDDOWN(ROUNDUP(INDEX(Upgrades!$C$3:$C$13,MATCH(SUBSTITUTE(C1427,""Sell_"",""""),Upgrades!$B$3:$B$13,0))*1.15^(COUNTIF(C$4:C1426,SUBSTITUTE(C1427,""Sell_"",""""))-COUNTIF(C$4"&amp;":C1426,""Sell_""&amp;SUBSTITUTE(C1427,""Sell_"",""""))))/2),ROUNDUP(INDEX(Upgrades!$C$3:$C$13,MATCH(C1427,Upgrades!$B$3:$B$13,0))*1.15^(COUNTIF(C$4:C1426,C1427)-COUNTIF(C$4:C1426,""Sell_""&amp;C1427))))))"),"")</f>
        <v/>
      </c>
      <c r="H1427" s="10" t="str">
        <f t="shared" si="3"/>
        <v/>
      </c>
      <c r="I1427" s="68" t="str">
        <f t="shared" si="4"/>
        <v/>
      </c>
      <c r="J1427" s="59" t="str">
        <f t="shared" si="5"/>
        <v/>
      </c>
      <c r="K1427" s="69" t="str">
        <f t="shared" si="6"/>
        <v/>
      </c>
      <c r="L1427" s="60" t="str">
        <f t="shared" si="7"/>
        <v/>
      </c>
      <c r="M1427" s="61" t="str">
        <f>IFERROR(__xludf.DUMMYFUNCTION("IFS(AND(COUNTA(C1427:C1673)=0,COUNTA(Q1427:Q1673)=0),"""",OR(AND(K1427&gt;=1000000000,OR(Y1427&gt;=1000000000,COUNTA(Q1427:Q1673)=0)),OR(Y1427&gt;=1000000000,AND(COUNTA(C1427:C1673)=0,P$3=TRUE))),
ROUNDDOWN((AB$1-AC$1)*MAX(INDEX(T$4:T1673,MATCH(LARGE(FILTER(Y$4:Y1"&amp;"673,Y$4:Y1673&lt;1000000000),1),Y$4:Y1673)),INDEX(F$4:F1673,MATCH(LARGE(FILTER(K$4:K1673,K$4:K1673&lt;1000000000),1),K$4:K1673)))),AND(K1427&lt;1000000000,COUNTA(C1427:C1673)&gt;0,P$3=FALSE),
ROUNDDOWN(INDEX(Y$4:Y1673,MATCH(LARGE(FILTER(W$4:W1673,W$4:W1673&lt;=I1427),1)"&amp;",W$4:W1673))+(I1427-LARGE(FILTER(W$4:W1673,W$4:W1673&lt;=I1427),1))*INDEX(T$4:T1673,MATCH(LARGE(FILTER(W$4:W1673,W$4:W1673&lt;=I1427),1),W$4:W1673))-K1427),1,
ROUNDDOWN(Y1427-INDEX(K$4:K1673,MATCH(LARGE(FILTER(I$4:I1673,I$4:I1673&lt;=W1427),1),I$4:I1673))-(W1427-L"&amp;"ARGE(FILTER(I$4:I1673,I$4:I1673&lt;=W1427),1))*INDEX(F$4:F1673,MATCH(LARGE(FILTER(I$4:I1673,I$4:I1673&lt;=W1427),1),I$4:I1673))))"),"")</f>
        <v/>
      </c>
      <c r="N1427" s="60" t="str">
        <f t="shared" si="8"/>
        <v/>
      </c>
      <c r="O1427" s="61" t="str">
        <f t="shared" si="9"/>
        <v/>
      </c>
      <c r="P1427" s="56" t="str">
        <f t="shared" si="10"/>
        <v/>
      </c>
      <c r="Q1427" s="67"/>
      <c r="R1427" s="10"/>
      <c r="S1427" s="59" t="str">
        <f t="array" ref="S1427">IF(COUNTA(Q1427:Q1673)=0,"",SUM((COUNTIF(Q$4:Q1427,Upgrades!$B$3:$B$13)-COUNTIF(Q$4:Q1427,"Sell_"&amp;Upgrades!$B$3:$B$13))*Upgrades!$D$3:$D$13))</f>
        <v/>
      </c>
      <c r="T1427" s="66" t="str">
        <f>IFERROR(__xludf.DUMMYFUNCTION("IF(COUNTA(Q1427:Q1673)=0,"""",IF(REGEXMATCH(INDEX(FILTER(Q$4:Q1427,Q$4:Q1427&lt;&gt;""""),ROWS(FILTER(Q$4:Q1427,Q$4:Q1427&lt;&gt;""""))),""^Sell_""),INDEX(FILTER(T$4:T1426,Q$4:Q1426&lt;&gt;""""),ROWS(FILTER(Q$4:Q1426,Q$4:Q1426&lt;&gt;""""))),$AD$5+S1427))"),"")</f>
        <v/>
      </c>
      <c r="U1427" s="10" t="str">
        <f>IFERROR(__xludf.DUMMYFUNCTION("IF(COUNTA(Q1427:Q1673)=0,"""",IF(Q1427="""",0,IF(REGEXMATCH(Q1427,""^Sell_""),-ROUNDDOWN(ROUNDUP(INDEX(Upgrades!$C$3:$C$13,MATCH(SUBSTITUTE(Q1427,""Sell_"",""""),Upgrades!$B$3:$B$13,0))*1.15^(COUNTIF(Q$4:Q1426,SUBSTITUTE(Q1427,""Sell_"",""""))-COUNTIF(Q$4"&amp;":Q1426,""Sell_""&amp;SUBSTITUTE(Q1427,""Sell_"",""""))))/2),ROUNDUP(INDEX(Upgrades!$C$3:$C$13,MATCH(Q1427,Upgrades!$B$3:$B$13,0))*1.15^(COUNTIF(Q$4:Q1426,Q1427)-COUNTIF(Q$4:Q1426,""Sell_""&amp;Q1427))))))"),"")</f>
        <v/>
      </c>
      <c r="V1427" s="10" t="str">
        <f t="shared" si="11"/>
        <v/>
      </c>
      <c r="W1427" s="68" t="str">
        <f t="shared" si="12"/>
        <v/>
      </c>
      <c r="X1427" s="59" t="str">
        <f t="shared" si="13"/>
        <v/>
      </c>
      <c r="Y1427" s="69" t="str">
        <f t="shared" si="14"/>
        <v/>
      </c>
      <c r="Z1427" s="11"/>
    </row>
    <row r="1428">
      <c r="A1428" s="8"/>
      <c r="B1428" s="56" t="str">
        <f t="shared" si="2"/>
        <v/>
      </c>
      <c r="C1428" s="105"/>
      <c r="D1428" s="10"/>
      <c r="E1428" s="59" t="str">
        <f t="array" ref="E1428">IF(COUNTA(C1428:C1673)=0,"",SUM((COUNTIF(C$4:C1428,Upgrades!$B$3:$B$13)-COUNTIF(C$4:C1428,"Sell_"&amp;Upgrades!$B$3:$B$13))*Upgrades!$D$3:$D$13))</f>
        <v/>
      </c>
      <c r="F1428" s="66" t="str">
        <f>IFERROR(__xludf.DUMMYFUNCTION("IF(COUNTA(C1428:C1673)=0,"""",IF(REGEXMATCH(INDEX(FILTER(C$4:C1428,C$4:C1428&lt;&gt;""""),ROWS(FILTER(C$4:C1428,C$4:C1428&lt;&gt;""""))),""^Sell_""),INDEX(FILTER(F$4:F1427,C$4:C1427&lt;&gt;""""),ROWS(FILTER(C$4:C1427,C$4:C1427&lt;&gt;""""))),$AC$5+E1428))"),"")</f>
        <v/>
      </c>
      <c r="G1428" s="10" t="str">
        <f>IFERROR(__xludf.DUMMYFUNCTION("IF(COUNTA(C1428:C1673)=0,"""",IF(C1428="""",0,IF(REGEXMATCH(C1428,""^Sell_""),-ROUNDDOWN(ROUNDUP(INDEX(Upgrades!$C$3:$C$13,MATCH(SUBSTITUTE(C1428,""Sell_"",""""),Upgrades!$B$3:$B$13,0))*1.15^(COUNTIF(C$4:C1427,SUBSTITUTE(C1428,""Sell_"",""""))-COUNTIF(C$4"&amp;":C1427,""Sell_""&amp;SUBSTITUTE(C1428,""Sell_"",""""))))/2),ROUNDUP(INDEX(Upgrades!$C$3:$C$13,MATCH(C1428,Upgrades!$B$3:$B$13,0))*1.15^(COUNTIF(C$4:C1427,C1428)-COUNTIF(C$4:C1427,""Sell_""&amp;C1428))))))"),"")</f>
        <v/>
      </c>
      <c r="H1428" s="10" t="str">
        <f t="shared" si="3"/>
        <v/>
      </c>
      <c r="I1428" s="68" t="str">
        <f t="shared" si="4"/>
        <v/>
      </c>
      <c r="J1428" s="59" t="str">
        <f t="shared" si="5"/>
        <v/>
      </c>
      <c r="K1428" s="69" t="str">
        <f t="shared" si="6"/>
        <v/>
      </c>
      <c r="L1428" s="60" t="str">
        <f t="shared" si="7"/>
        <v/>
      </c>
      <c r="M1428" s="61" t="str">
        <f>IFERROR(__xludf.DUMMYFUNCTION("IFS(AND(COUNTA(C1428:C1673)=0,COUNTA(Q1428:Q1673)=0),"""",OR(AND(K1428&gt;=1000000000,OR(Y1428&gt;=1000000000,COUNTA(Q1428:Q1673)=0)),OR(Y1428&gt;=1000000000,AND(COUNTA(C1428:C1673)=0,P$3=TRUE))),
ROUNDDOWN((AB$1-AC$1)*MAX(INDEX(T$4:T1673,MATCH(LARGE(FILTER(Y$4:Y1"&amp;"673,Y$4:Y1673&lt;1000000000),1),Y$4:Y1673)),INDEX(F$4:F1673,MATCH(LARGE(FILTER(K$4:K1673,K$4:K1673&lt;1000000000),1),K$4:K1673)))),AND(K1428&lt;1000000000,COUNTA(C1428:C1673)&gt;0,P$3=FALSE),
ROUNDDOWN(INDEX(Y$4:Y1673,MATCH(LARGE(FILTER(W$4:W1673,W$4:W1673&lt;=I1428),1)"&amp;",W$4:W1673))+(I1428-LARGE(FILTER(W$4:W1673,W$4:W1673&lt;=I1428),1))*INDEX(T$4:T1673,MATCH(LARGE(FILTER(W$4:W1673,W$4:W1673&lt;=I1428),1),W$4:W1673))-K1428),1,
ROUNDDOWN(Y1428-INDEX(K$4:K1673,MATCH(LARGE(FILTER(I$4:I1673,I$4:I1673&lt;=W1428),1),I$4:I1673))-(W1428-L"&amp;"ARGE(FILTER(I$4:I1673,I$4:I1673&lt;=W1428),1))*INDEX(F$4:F1673,MATCH(LARGE(FILTER(I$4:I1673,I$4:I1673&lt;=W1428),1),I$4:I1673))))"),"")</f>
        <v/>
      </c>
      <c r="N1428" s="60" t="str">
        <f t="shared" si="8"/>
        <v/>
      </c>
      <c r="O1428" s="61" t="str">
        <f t="shared" si="9"/>
        <v/>
      </c>
      <c r="P1428" s="56" t="str">
        <f t="shared" si="10"/>
        <v/>
      </c>
      <c r="Q1428" s="67"/>
      <c r="R1428" s="10"/>
      <c r="S1428" s="59" t="str">
        <f t="array" ref="S1428">IF(COUNTA(Q1428:Q1673)=0,"",SUM((COUNTIF(Q$4:Q1428,Upgrades!$B$3:$B$13)-COUNTIF(Q$4:Q1428,"Sell_"&amp;Upgrades!$B$3:$B$13))*Upgrades!$D$3:$D$13))</f>
        <v/>
      </c>
      <c r="T1428" s="66" t="str">
        <f>IFERROR(__xludf.DUMMYFUNCTION("IF(COUNTA(Q1428:Q1673)=0,"""",IF(REGEXMATCH(INDEX(FILTER(Q$4:Q1428,Q$4:Q1428&lt;&gt;""""),ROWS(FILTER(Q$4:Q1428,Q$4:Q1428&lt;&gt;""""))),""^Sell_""),INDEX(FILTER(T$4:T1427,Q$4:Q1427&lt;&gt;""""),ROWS(FILTER(Q$4:Q1427,Q$4:Q1427&lt;&gt;""""))),$AD$5+S1428))"),"")</f>
        <v/>
      </c>
      <c r="U1428" s="10" t="str">
        <f>IFERROR(__xludf.DUMMYFUNCTION("IF(COUNTA(Q1428:Q1673)=0,"""",IF(Q1428="""",0,IF(REGEXMATCH(Q1428,""^Sell_""),-ROUNDDOWN(ROUNDUP(INDEX(Upgrades!$C$3:$C$13,MATCH(SUBSTITUTE(Q1428,""Sell_"",""""),Upgrades!$B$3:$B$13,0))*1.15^(COUNTIF(Q$4:Q1427,SUBSTITUTE(Q1428,""Sell_"",""""))-COUNTIF(Q$4"&amp;":Q1427,""Sell_""&amp;SUBSTITUTE(Q1428,""Sell_"",""""))))/2),ROUNDUP(INDEX(Upgrades!$C$3:$C$13,MATCH(Q1428,Upgrades!$B$3:$B$13,0))*1.15^(COUNTIF(Q$4:Q1427,Q1428)-COUNTIF(Q$4:Q1427,""Sell_""&amp;Q1428))))))"),"")</f>
        <v/>
      </c>
      <c r="V1428" s="10" t="str">
        <f t="shared" si="11"/>
        <v/>
      </c>
      <c r="W1428" s="68" t="str">
        <f t="shared" si="12"/>
        <v/>
      </c>
      <c r="X1428" s="59" t="str">
        <f t="shared" si="13"/>
        <v/>
      </c>
      <c r="Y1428" s="69" t="str">
        <f t="shared" si="14"/>
        <v/>
      </c>
      <c r="Z1428" s="11"/>
    </row>
    <row r="1429">
      <c r="A1429" s="8"/>
      <c r="B1429" s="56" t="str">
        <f t="shared" si="2"/>
        <v/>
      </c>
      <c r="C1429" s="105"/>
      <c r="D1429" s="10"/>
      <c r="E1429" s="59" t="str">
        <f t="array" ref="E1429">IF(COUNTA(C1429:C1673)=0,"",SUM((COUNTIF(C$4:C1429,Upgrades!$B$3:$B$13)-COUNTIF(C$4:C1429,"Sell_"&amp;Upgrades!$B$3:$B$13))*Upgrades!$D$3:$D$13))</f>
        <v/>
      </c>
      <c r="F1429" s="66" t="str">
        <f>IFERROR(__xludf.DUMMYFUNCTION("IF(COUNTA(C1429:C1673)=0,"""",IF(REGEXMATCH(INDEX(FILTER(C$4:C1429,C$4:C1429&lt;&gt;""""),ROWS(FILTER(C$4:C1429,C$4:C1429&lt;&gt;""""))),""^Sell_""),INDEX(FILTER(F$4:F1428,C$4:C1428&lt;&gt;""""),ROWS(FILTER(C$4:C1428,C$4:C1428&lt;&gt;""""))),$AC$5+E1429))"),"")</f>
        <v/>
      </c>
      <c r="G1429" s="10" t="str">
        <f>IFERROR(__xludf.DUMMYFUNCTION("IF(COUNTA(C1429:C1673)=0,"""",IF(C1429="""",0,IF(REGEXMATCH(C1429,""^Sell_""),-ROUNDDOWN(ROUNDUP(INDEX(Upgrades!$C$3:$C$13,MATCH(SUBSTITUTE(C1429,""Sell_"",""""),Upgrades!$B$3:$B$13,0))*1.15^(COUNTIF(C$4:C1428,SUBSTITUTE(C1429,""Sell_"",""""))-COUNTIF(C$4"&amp;":C1428,""Sell_""&amp;SUBSTITUTE(C1429,""Sell_"",""""))))/2),ROUNDUP(INDEX(Upgrades!$C$3:$C$13,MATCH(C1429,Upgrades!$B$3:$B$13,0))*1.15^(COUNTIF(C$4:C1428,C1429)-COUNTIF(C$4:C1428,""Sell_""&amp;C1429))))))"),"")</f>
        <v/>
      </c>
      <c r="H1429" s="10" t="str">
        <f t="shared" si="3"/>
        <v/>
      </c>
      <c r="I1429" s="68" t="str">
        <f t="shared" si="4"/>
        <v/>
      </c>
      <c r="J1429" s="59" t="str">
        <f t="shared" si="5"/>
        <v/>
      </c>
      <c r="K1429" s="69" t="str">
        <f t="shared" si="6"/>
        <v/>
      </c>
      <c r="L1429" s="60" t="str">
        <f t="shared" si="7"/>
        <v/>
      </c>
      <c r="M1429" s="61" t="str">
        <f>IFERROR(__xludf.DUMMYFUNCTION("IFS(AND(COUNTA(C1429:C1673)=0,COUNTA(Q1429:Q1673)=0),"""",OR(AND(K1429&gt;=1000000000,OR(Y1429&gt;=1000000000,COUNTA(Q1429:Q1673)=0)),OR(Y1429&gt;=1000000000,AND(COUNTA(C1429:C1673)=0,P$3=TRUE))),
ROUNDDOWN((AB$1-AC$1)*MAX(INDEX(T$4:T1673,MATCH(LARGE(FILTER(Y$4:Y1"&amp;"673,Y$4:Y1673&lt;1000000000),1),Y$4:Y1673)),INDEX(F$4:F1673,MATCH(LARGE(FILTER(K$4:K1673,K$4:K1673&lt;1000000000),1),K$4:K1673)))),AND(K1429&lt;1000000000,COUNTA(C1429:C1673)&gt;0,P$3=FALSE),
ROUNDDOWN(INDEX(Y$4:Y1673,MATCH(LARGE(FILTER(W$4:W1673,W$4:W1673&lt;=I1429),1)"&amp;",W$4:W1673))+(I1429-LARGE(FILTER(W$4:W1673,W$4:W1673&lt;=I1429),1))*INDEX(T$4:T1673,MATCH(LARGE(FILTER(W$4:W1673,W$4:W1673&lt;=I1429),1),W$4:W1673))-K1429),1,
ROUNDDOWN(Y1429-INDEX(K$4:K1673,MATCH(LARGE(FILTER(I$4:I1673,I$4:I1673&lt;=W1429),1),I$4:I1673))-(W1429-L"&amp;"ARGE(FILTER(I$4:I1673,I$4:I1673&lt;=W1429),1))*INDEX(F$4:F1673,MATCH(LARGE(FILTER(I$4:I1673,I$4:I1673&lt;=W1429),1),I$4:I1673))))"),"")</f>
        <v/>
      </c>
      <c r="N1429" s="60" t="str">
        <f t="shared" si="8"/>
        <v/>
      </c>
      <c r="O1429" s="61" t="str">
        <f t="shared" si="9"/>
        <v/>
      </c>
      <c r="P1429" s="56" t="str">
        <f t="shared" si="10"/>
        <v/>
      </c>
      <c r="Q1429" s="67"/>
      <c r="R1429" s="10"/>
      <c r="S1429" s="59" t="str">
        <f t="array" ref="S1429">IF(COUNTA(Q1429:Q1673)=0,"",SUM((COUNTIF(Q$4:Q1429,Upgrades!$B$3:$B$13)-COUNTIF(Q$4:Q1429,"Sell_"&amp;Upgrades!$B$3:$B$13))*Upgrades!$D$3:$D$13))</f>
        <v/>
      </c>
      <c r="T1429" s="66" t="str">
        <f>IFERROR(__xludf.DUMMYFUNCTION("IF(COUNTA(Q1429:Q1673)=0,"""",IF(REGEXMATCH(INDEX(FILTER(Q$4:Q1429,Q$4:Q1429&lt;&gt;""""),ROWS(FILTER(Q$4:Q1429,Q$4:Q1429&lt;&gt;""""))),""^Sell_""),INDEX(FILTER(T$4:T1428,Q$4:Q1428&lt;&gt;""""),ROWS(FILTER(Q$4:Q1428,Q$4:Q1428&lt;&gt;""""))),$AD$5+S1429))"),"")</f>
        <v/>
      </c>
      <c r="U1429" s="10" t="str">
        <f>IFERROR(__xludf.DUMMYFUNCTION("IF(COUNTA(Q1429:Q1673)=0,"""",IF(Q1429="""",0,IF(REGEXMATCH(Q1429,""^Sell_""),-ROUNDDOWN(ROUNDUP(INDEX(Upgrades!$C$3:$C$13,MATCH(SUBSTITUTE(Q1429,""Sell_"",""""),Upgrades!$B$3:$B$13,0))*1.15^(COUNTIF(Q$4:Q1428,SUBSTITUTE(Q1429,""Sell_"",""""))-COUNTIF(Q$4"&amp;":Q1428,""Sell_""&amp;SUBSTITUTE(Q1429,""Sell_"",""""))))/2),ROUNDUP(INDEX(Upgrades!$C$3:$C$13,MATCH(Q1429,Upgrades!$B$3:$B$13,0))*1.15^(COUNTIF(Q$4:Q1428,Q1429)-COUNTIF(Q$4:Q1428,""Sell_""&amp;Q1429))))))"),"")</f>
        <v/>
      </c>
      <c r="V1429" s="10" t="str">
        <f t="shared" si="11"/>
        <v/>
      </c>
      <c r="W1429" s="68" t="str">
        <f t="shared" si="12"/>
        <v/>
      </c>
      <c r="X1429" s="59" t="str">
        <f t="shared" si="13"/>
        <v/>
      </c>
      <c r="Y1429" s="69" t="str">
        <f t="shared" si="14"/>
        <v/>
      </c>
      <c r="Z1429" s="11"/>
    </row>
    <row r="1430">
      <c r="A1430" s="8"/>
      <c r="B1430" s="56" t="str">
        <f t="shared" si="2"/>
        <v/>
      </c>
      <c r="C1430" s="105"/>
      <c r="D1430" s="10"/>
      <c r="E1430" s="59" t="str">
        <f t="array" ref="E1430">IF(COUNTA(C1430:C1673)=0,"",SUM((COUNTIF(C$4:C1430,Upgrades!$B$3:$B$13)-COUNTIF(C$4:C1430,"Sell_"&amp;Upgrades!$B$3:$B$13))*Upgrades!$D$3:$D$13))</f>
        <v/>
      </c>
      <c r="F1430" s="66" t="str">
        <f>IFERROR(__xludf.DUMMYFUNCTION("IF(COUNTA(C1430:C1673)=0,"""",IF(REGEXMATCH(INDEX(FILTER(C$4:C1430,C$4:C1430&lt;&gt;""""),ROWS(FILTER(C$4:C1430,C$4:C1430&lt;&gt;""""))),""^Sell_""),INDEX(FILTER(F$4:F1429,C$4:C1429&lt;&gt;""""),ROWS(FILTER(C$4:C1429,C$4:C1429&lt;&gt;""""))),$AC$5+E1430))"),"")</f>
        <v/>
      </c>
      <c r="G1430" s="10" t="str">
        <f>IFERROR(__xludf.DUMMYFUNCTION("IF(COUNTA(C1430:C1673)=0,"""",IF(C1430="""",0,IF(REGEXMATCH(C1430,""^Sell_""),-ROUNDDOWN(ROUNDUP(INDEX(Upgrades!$C$3:$C$13,MATCH(SUBSTITUTE(C1430,""Sell_"",""""),Upgrades!$B$3:$B$13,0))*1.15^(COUNTIF(C$4:C1429,SUBSTITUTE(C1430,""Sell_"",""""))-COUNTIF(C$4"&amp;":C1429,""Sell_""&amp;SUBSTITUTE(C1430,""Sell_"",""""))))/2),ROUNDUP(INDEX(Upgrades!$C$3:$C$13,MATCH(C1430,Upgrades!$B$3:$B$13,0))*1.15^(COUNTIF(C$4:C1429,C1430)-COUNTIF(C$4:C1429,""Sell_""&amp;C1430))))))"),"")</f>
        <v/>
      </c>
      <c r="H1430" s="10" t="str">
        <f t="shared" si="3"/>
        <v/>
      </c>
      <c r="I1430" s="68" t="str">
        <f t="shared" si="4"/>
        <v/>
      </c>
      <c r="J1430" s="59" t="str">
        <f t="shared" si="5"/>
        <v/>
      </c>
      <c r="K1430" s="69" t="str">
        <f t="shared" si="6"/>
        <v/>
      </c>
      <c r="L1430" s="60" t="str">
        <f t="shared" si="7"/>
        <v/>
      </c>
      <c r="M1430" s="61" t="str">
        <f>IFERROR(__xludf.DUMMYFUNCTION("IFS(AND(COUNTA(C1430:C1673)=0,COUNTA(Q1430:Q1673)=0),"""",OR(AND(K1430&gt;=1000000000,OR(Y1430&gt;=1000000000,COUNTA(Q1430:Q1673)=0)),OR(Y1430&gt;=1000000000,AND(COUNTA(C1430:C1673)=0,P$3=TRUE))),
ROUNDDOWN((AB$1-AC$1)*MAX(INDEX(T$4:T1673,MATCH(LARGE(FILTER(Y$4:Y1"&amp;"673,Y$4:Y1673&lt;1000000000),1),Y$4:Y1673)),INDEX(F$4:F1673,MATCH(LARGE(FILTER(K$4:K1673,K$4:K1673&lt;1000000000),1),K$4:K1673)))),AND(K1430&lt;1000000000,COUNTA(C1430:C1673)&gt;0,P$3=FALSE),
ROUNDDOWN(INDEX(Y$4:Y1673,MATCH(LARGE(FILTER(W$4:W1673,W$4:W1673&lt;=I1430),1)"&amp;",W$4:W1673))+(I1430-LARGE(FILTER(W$4:W1673,W$4:W1673&lt;=I1430),1))*INDEX(T$4:T1673,MATCH(LARGE(FILTER(W$4:W1673,W$4:W1673&lt;=I1430),1),W$4:W1673))-K1430),1,
ROUNDDOWN(Y1430-INDEX(K$4:K1673,MATCH(LARGE(FILTER(I$4:I1673,I$4:I1673&lt;=W1430),1),I$4:I1673))-(W1430-L"&amp;"ARGE(FILTER(I$4:I1673,I$4:I1673&lt;=W1430),1))*INDEX(F$4:F1673,MATCH(LARGE(FILTER(I$4:I1673,I$4:I1673&lt;=W1430),1),I$4:I1673))))"),"")</f>
        <v/>
      </c>
      <c r="N1430" s="60" t="str">
        <f t="shared" si="8"/>
        <v/>
      </c>
      <c r="O1430" s="61" t="str">
        <f t="shared" si="9"/>
        <v/>
      </c>
      <c r="P1430" s="56" t="str">
        <f t="shared" si="10"/>
        <v/>
      </c>
      <c r="Q1430" s="67"/>
      <c r="R1430" s="10"/>
      <c r="S1430" s="59" t="str">
        <f t="array" ref="S1430">IF(COUNTA(Q1430:Q1673)=0,"",SUM((COUNTIF(Q$4:Q1430,Upgrades!$B$3:$B$13)-COUNTIF(Q$4:Q1430,"Sell_"&amp;Upgrades!$B$3:$B$13))*Upgrades!$D$3:$D$13))</f>
        <v/>
      </c>
      <c r="T1430" s="66" t="str">
        <f>IFERROR(__xludf.DUMMYFUNCTION("IF(COUNTA(Q1430:Q1673)=0,"""",IF(REGEXMATCH(INDEX(FILTER(Q$4:Q1430,Q$4:Q1430&lt;&gt;""""),ROWS(FILTER(Q$4:Q1430,Q$4:Q1430&lt;&gt;""""))),""^Sell_""),INDEX(FILTER(T$4:T1429,Q$4:Q1429&lt;&gt;""""),ROWS(FILTER(Q$4:Q1429,Q$4:Q1429&lt;&gt;""""))),$AD$5+S1430))"),"")</f>
        <v/>
      </c>
      <c r="U1430" s="10" t="str">
        <f>IFERROR(__xludf.DUMMYFUNCTION("IF(COUNTA(Q1430:Q1673)=0,"""",IF(Q1430="""",0,IF(REGEXMATCH(Q1430,""^Sell_""),-ROUNDDOWN(ROUNDUP(INDEX(Upgrades!$C$3:$C$13,MATCH(SUBSTITUTE(Q1430,""Sell_"",""""),Upgrades!$B$3:$B$13,0))*1.15^(COUNTIF(Q$4:Q1429,SUBSTITUTE(Q1430,""Sell_"",""""))-COUNTIF(Q$4"&amp;":Q1429,""Sell_""&amp;SUBSTITUTE(Q1430,""Sell_"",""""))))/2),ROUNDUP(INDEX(Upgrades!$C$3:$C$13,MATCH(Q1430,Upgrades!$B$3:$B$13,0))*1.15^(COUNTIF(Q$4:Q1429,Q1430)-COUNTIF(Q$4:Q1429,""Sell_""&amp;Q1430))))))"),"")</f>
        <v/>
      </c>
      <c r="V1430" s="10" t="str">
        <f t="shared" si="11"/>
        <v/>
      </c>
      <c r="W1430" s="68" t="str">
        <f t="shared" si="12"/>
        <v/>
      </c>
      <c r="X1430" s="59" t="str">
        <f t="shared" si="13"/>
        <v/>
      </c>
      <c r="Y1430" s="69" t="str">
        <f t="shared" si="14"/>
        <v/>
      </c>
      <c r="Z1430" s="11"/>
    </row>
    <row r="1431">
      <c r="A1431" s="8"/>
      <c r="B1431" s="56" t="str">
        <f t="shared" si="2"/>
        <v/>
      </c>
      <c r="C1431" s="105"/>
      <c r="D1431" s="10"/>
      <c r="E1431" s="59" t="str">
        <f t="array" ref="E1431">IF(COUNTA(C1431:C1673)=0,"",SUM((COUNTIF(C$4:C1431,Upgrades!$B$3:$B$13)-COUNTIF(C$4:C1431,"Sell_"&amp;Upgrades!$B$3:$B$13))*Upgrades!$D$3:$D$13))</f>
        <v/>
      </c>
      <c r="F1431" s="66" t="str">
        <f>IFERROR(__xludf.DUMMYFUNCTION("IF(COUNTA(C1431:C1673)=0,"""",IF(REGEXMATCH(INDEX(FILTER(C$4:C1431,C$4:C1431&lt;&gt;""""),ROWS(FILTER(C$4:C1431,C$4:C1431&lt;&gt;""""))),""^Sell_""),INDEX(FILTER(F$4:F1430,C$4:C1430&lt;&gt;""""),ROWS(FILTER(C$4:C1430,C$4:C1430&lt;&gt;""""))),$AC$5+E1431))"),"")</f>
        <v/>
      </c>
      <c r="G1431" s="10" t="str">
        <f>IFERROR(__xludf.DUMMYFUNCTION("IF(COUNTA(C1431:C1673)=0,"""",IF(C1431="""",0,IF(REGEXMATCH(C1431,""^Sell_""),-ROUNDDOWN(ROUNDUP(INDEX(Upgrades!$C$3:$C$13,MATCH(SUBSTITUTE(C1431,""Sell_"",""""),Upgrades!$B$3:$B$13,0))*1.15^(COUNTIF(C$4:C1430,SUBSTITUTE(C1431,""Sell_"",""""))-COUNTIF(C$4"&amp;":C1430,""Sell_""&amp;SUBSTITUTE(C1431,""Sell_"",""""))))/2),ROUNDUP(INDEX(Upgrades!$C$3:$C$13,MATCH(C1431,Upgrades!$B$3:$B$13,0))*1.15^(COUNTIF(C$4:C1430,C1431)-COUNTIF(C$4:C1430,""Sell_""&amp;C1431))))))"),"")</f>
        <v/>
      </c>
      <c r="H1431" s="10" t="str">
        <f t="shared" si="3"/>
        <v/>
      </c>
      <c r="I1431" s="68" t="str">
        <f t="shared" si="4"/>
        <v/>
      </c>
      <c r="J1431" s="59" t="str">
        <f t="shared" si="5"/>
        <v/>
      </c>
      <c r="K1431" s="69" t="str">
        <f t="shared" si="6"/>
        <v/>
      </c>
      <c r="L1431" s="60" t="str">
        <f t="shared" si="7"/>
        <v/>
      </c>
      <c r="M1431" s="61" t="str">
        <f>IFERROR(__xludf.DUMMYFUNCTION("IFS(AND(COUNTA(C1431:C1673)=0,COUNTA(Q1431:Q1673)=0),"""",OR(AND(K1431&gt;=1000000000,OR(Y1431&gt;=1000000000,COUNTA(Q1431:Q1673)=0)),OR(Y1431&gt;=1000000000,AND(COUNTA(C1431:C1673)=0,P$3=TRUE))),
ROUNDDOWN((AB$1-AC$1)*MAX(INDEX(T$4:T1673,MATCH(LARGE(FILTER(Y$4:Y1"&amp;"673,Y$4:Y1673&lt;1000000000),1),Y$4:Y1673)),INDEX(F$4:F1673,MATCH(LARGE(FILTER(K$4:K1673,K$4:K1673&lt;1000000000),1),K$4:K1673)))),AND(K1431&lt;1000000000,COUNTA(C1431:C1673)&gt;0,P$3=FALSE),
ROUNDDOWN(INDEX(Y$4:Y1673,MATCH(LARGE(FILTER(W$4:W1673,W$4:W1673&lt;=I1431),1)"&amp;",W$4:W1673))+(I1431-LARGE(FILTER(W$4:W1673,W$4:W1673&lt;=I1431),1))*INDEX(T$4:T1673,MATCH(LARGE(FILTER(W$4:W1673,W$4:W1673&lt;=I1431),1),W$4:W1673))-K1431),1,
ROUNDDOWN(Y1431-INDEX(K$4:K1673,MATCH(LARGE(FILTER(I$4:I1673,I$4:I1673&lt;=W1431),1),I$4:I1673))-(W1431-L"&amp;"ARGE(FILTER(I$4:I1673,I$4:I1673&lt;=W1431),1))*INDEX(F$4:F1673,MATCH(LARGE(FILTER(I$4:I1673,I$4:I1673&lt;=W1431),1),I$4:I1673))))"),"")</f>
        <v/>
      </c>
      <c r="N1431" s="60" t="str">
        <f t="shared" si="8"/>
        <v/>
      </c>
      <c r="O1431" s="61" t="str">
        <f t="shared" si="9"/>
        <v/>
      </c>
      <c r="P1431" s="56" t="str">
        <f t="shared" si="10"/>
        <v/>
      </c>
      <c r="Q1431" s="67"/>
      <c r="R1431" s="10"/>
      <c r="S1431" s="59" t="str">
        <f t="array" ref="S1431">IF(COUNTA(Q1431:Q1673)=0,"",SUM((COUNTIF(Q$4:Q1431,Upgrades!$B$3:$B$13)-COUNTIF(Q$4:Q1431,"Sell_"&amp;Upgrades!$B$3:$B$13))*Upgrades!$D$3:$D$13))</f>
        <v/>
      </c>
      <c r="T1431" s="66" t="str">
        <f>IFERROR(__xludf.DUMMYFUNCTION("IF(COUNTA(Q1431:Q1673)=0,"""",IF(REGEXMATCH(INDEX(FILTER(Q$4:Q1431,Q$4:Q1431&lt;&gt;""""),ROWS(FILTER(Q$4:Q1431,Q$4:Q1431&lt;&gt;""""))),""^Sell_""),INDEX(FILTER(T$4:T1430,Q$4:Q1430&lt;&gt;""""),ROWS(FILTER(Q$4:Q1430,Q$4:Q1430&lt;&gt;""""))),$AD$5+S1431))"),"")</f>
        <v/>
      </c>
      <c r="U1431" s="10" t="str">
        <f>IFERROR(__xludf.DUMMYFUNCTION("IF(COUNTA(Q1431:Q1673)=0,"""",IF(Q1431="""",0,IF(REGEXMATCH(Q1431,""^Sell_""),-ROUNDDOWN(ROUNDUP(INDEX(Upgrades!$C$3:$C$13,MATCH(SUBSTITUTE(Q1431,""Sell_"",""""),Upgrades!$B$3:$B$13,0))*1.15^(COUNTIF(Q$4:Q1430,SUBSTITUTE(Q1431,""Sell_"",""""))-COUNTIF(Q$4"&amp;":Q1430,""Sell_""&amp;SUBSTITUTE(Q1431,""Sell_"",""""))))/2),ROUNDUP(INDEX(Upgrades!$C$3:$C$13,MATCH(Q1431,Upgrades!$B$3:$B$13,0))*1.15^(COUNTIF(Q$4:Q1430,Q1431)-COUNTIF(Q$4:Q1430,""Sell_""&amp;Q1431))))))"),"")</f>
        <v/>
      </c>
      <c r="V1431" s="10" t="str">
        <f t="shared" si="11"/>
        <v/>
      </c>
      <c r="W1431" s="68" t="str">
        <f t="shared" si="12"/>
        <v/>
      </c>
      <c r="X1431" s="59" t="str">
        <f t="shared" si="13"/>
        <v/>
      </c>
      <c r="Y1431" s="69" t="str">
        <f t="shared" si="14"/>
        <v/>
      </c>
      <c r="Z1431" s="11"/>
    </row>
    <row r="1432">
      <c r="A1432" s="8"/>
      <c r="B1432" s="56" t="str">
        <f t="shared" si="2"/>
        <v/>
      </c>
      <c r="C1432" s="105"/>
      <c r="D1432" s="10"/>
      <c r="E1432" s="59" t="str">
        <f t="array" ref="E1432">IF(COUNTA(C1432:C1673)=0,"",SUM((COUNTIF(C$4:C1432,Upgrades!$B$3:$B$13)-COUNTIF(C$4:C1432,"Sell_"&amp;Upgrades!$B$3:$B$13))*Upgrades!$D$3:$D$13))</f>
        <v/>
      </c>
      <c r="F1432" s="66" t="str">
        <f>IFERROR(__xludf.DUMMYFUNCTION("IF(COUNTA(C1432:C1673)=0,"""",IF(REGEXMATCH(INDEX(FILTER(C$4:C1432,C$4:C1432&lt;&gt;""""),ROWS(FILTER(C$4:C1432,C$4:C1432&lt;&gt;""""))),""^Sell_""),INDEX(FILTER(F$4:F1431,C$4:C1431&lt;&gt;""""),ROWS(FILTER(C$4:C1431,C$4:C1431&lt;&gt;""""))),$AC$5+E1432))"),"")</f>
        <v/>
      </c>
      <c r="G1432" s="10" t="str">
        <f>IFERROR(__xludf.DUMMYFUNCTION("IF(COUNTA(C1432:C1673)=0,"""",IF(C1432="""",0,IF(REGEXMATCH(C1432,""^Sell_""),-ROUNDDOWN(ROUNDUP(INDEX(Upgrades!$C$3:$C$13,MATCH(SUBSTITUTE(C1432,""Sell_"",""""),Upgrades!$B$3:$B$13,0))*1.15^(COUNTIF(C$4:C1431,SUBSTITUTE(C1432,""Sell_"",""""))-COUNTIF(C$4"&amp;":C1431,""Sell_""&amp;SUBSTITUTE(C1432,""Sell_"",""""))))/2),ROUNDUP(INDEX(Upgrades!$C$3:$C$13,MATCH(C1432,Upgrades!$B$3:$B$13,0))*1.15^(COUNTIF(C$4:C1431,C1432)-COUNTIF(C$4:C1431,""Sell_""&amp;C1432))))))"),"")</f>
        <v/>
      </c>
      <c r="H1432" s="10" t="str">
        <f t="shared" si="3"/>
        <v/>
      </c>
      <c r="I1432" s="68" t="str">
        <f t="shared" si="4"/>
        <v/>
      </c>
      <c r="J1432" s="59" t="str">
        <f t="shared" si="5"/>
        <v/>
      </c>
      <c r="K1432" s="69" t="str">
        <f t="shared" si="6"/>
        <v/>
      </c>
      <c r="L1432" s="60" t="str">
        <f t="shared" si="7"/>
        <v/>
      </c>
      <c r="M1432" s="61" t="str">
        <f>IFERROR(__xludf.DUMMYFUNCTION("IFS(AND(COUNTA(C1432:C1673)=0,COUNTA(Q1432:Q1673)=0),"""",OR(AND(K1432&gt;=1000000000,OR(Y1432&gt;=1000000000,COUNTA(Q1432:Q1673)=0)),OR(Y1432&gt;=1000000000,AND(COUNTA(C1432:C1673)=0,P$3=TRUE))),
ROUNDDOWN((AB$1-AC$1)*MAX(INDEX(T$4:T1673,MATCH(LARGE(FILTER(Y$4:Y1"&amp;"673,Y$4:Y1673&lt;1000000000),1),Y$4:Y1673)),INDEX(F$4:F1673,MATCH(LARGE(FILTER(K$4:K1673,K$4:K1673&lt;1000000000),1),K$4:K1673)))),AND(K1432&lt;1000000000,COUNTA(C1432:C1673)&gt;0,P$3=FALSE),
ROUNDDOWN(INDEX(Y$4:Y1673,MATCH(LARGE(FILTER(W$4:W1673,W$4:W1673&lt;=I1432),1)"&amp;",W$4:W1673))+(I1432-LARGE(FILTER(W$4:W1673,W$4:W1673&lt;=I1432),1))*INDEX(T$4:T1673,MATCH(LARGE(FILTER(W$4:W1673,W$4:W1673&lt;=I1432),1),W$4:W1673))-K1432),1,
ROUNDDOWN(Y1432-INDEX(K$4:K1673,MATCH(LARGE(FILTER(I$4:I1673,I$4:I1673&lt;=W1432),1),I$4:I1673))-(W1432-L"&amp;"ARGE(FILTER(I$4:I1673,I$4:I1673&lt;=W1432),1))*INDEX(F$4:F1673,MATCH(LARGE(FILTER(I$4:I1673,I$4:I1673&lt;=W1432),1),I$4:I1673))))"),"")</f>
        <v/>
      </c>
      <c r="N1432" s="60" t="str">
        <f t="shared" si="8"/>
        <v/>
      </c>
      <c r="O1432" s="61" t="str">
        <f t="shared" si="9"/>
        <v/>
      </c>
      <c r="P1432" s="56" t="str">
        <f t="shared" si="10"/>
        <v/>
      </c>
      <c r="Q1432" s="67"/>
      <c r="R1432" s="10"/>
      <c r="S1432" s="59" t="str">
        <f t="array" ref="S1432">IF(COUNTA(Q1432:Q1673)=0,"",SUM((COUNTIF(Q$4:Q1432,Upgrades!$B$3:$B$13)-COUNTIF(Q$4:Q1432,"Sell_"&amp;Upgrades!$B$3:$B$13))*Upgrades!$D$3:$D$13))</f>
        <v/>
      </c>
      <c r="T1432" s="66" t="str">
        <f>IFERROR(__xludf.DUMMYFUNCTION("IF(COUNTA(Q1432:Q1673)=0,"""",IF(REGEXMATCH(INDEX(FILTER(Q$4:Q1432,Q$4:Q1432&lt;&gt;""""),ROWS(FILTER(Q$4:Q1432,Q$4:Q1432&lt;&gt;""""))),""^Sell_""),INDEX(FILTER(T$4:T1431,Q$4:Q1431&lt;&gt;""""),ROWS(FILTER(Q$4:Q1431,Q$4:Q1431&lt;&gt;""""))),$AD$5+S1432))"),"")</f>
        <v/>
      </c>
      <c r="U1432" s="10" t="str">
        <f>IFERROR(__xludf.DUMMYFUNCTION("IF(COUNTA(Q1432:Q1673)=0,"""",IF(Q1432="""",0,IF(REGEXMATCH(Q1432,""^Sell_""),-ROUNDDOWN(ROUNDUP(INDEX(Upgrades!$C$3:$C$13,MATCH(SUBSTITUTE(Q1432,""Sell_"",""""),Upgrades!$B$3:$B$13,0))*1.15^(COUNTIF(Q$4:Q1431,SUBSTITUTE(Q1432,""Sell_"",""""))-COUNTIF(Q$4"&amp;":Q1431,""Sell_""&amp;SUBSTITUTE(Q1432,""Sell_"",""""))))/2),ROUNDUP(INDEX(Upgrades!$C$3:$C$13,MATCH(Q1432,Upgrades!$B$3:$B$13,0))*1.15^(COUNTIF(Q$4:Q1431,Q1432)-COUNTIF(Q$4:Q1431,""Sell_""&amp;Q1432))))))"),"")</f>
        <v/>
      </c>
      <c r="V1432" s="10" t="str">
        <f t="shared" si="11"/>
        <v/>
      </c>
      <c r="W1432" s="68" t="str">
        <f t="shared" si="12"/>
        <v/>
      </c>
      <c r="X1432" s="59" t="str">
        <f t="shared" si="13"/>
        <v/>
      </c>
      <c r="Y1432" s="69" t="str">
        <f t="shared" si="14"/>
        <v/>
      </c>
      <c r="Z1432" s="11"/>
    </row>
    <row r="1433">
      <c r="A1433" s="8"/>
      <c r="B1433" s="56" t="str">
        <f t="shared" si="2"/>
        <v/>
      </c>
      <c r="C1433" s="105"/>
      <c r="D1433" s="10"/>
      <c r="E1433" s="59" t="str">
        <f t="array" ref="E1433">IF(COUNTA(C1433:C1673)=0,"",SUM((COUNTIF(C$4:C1433,Upgrades!$B$3:$B$13)-COUNTIF(C$4:C1433,"Sell_"&amp;Upgrades!$B$3:$B$13))*Upgrades!$D$3:$D$13))</f>
        <v/>
      </c>
      <c r="F1433" s="66" t="str">
        <f>IFERROR(__xludf.DUMMYFUNCTION("IF(COUNTA(C1433:C1673)=0,"""",IF(REGEXMATCH(INDEX(FILTER(C$4:C1433,C$4:C1433&lt;&gt;""""),ROWS(FILTER(C$4:C1433,C$4:C1433&lt;&gt;""""))),""^Sell_""),INDEX(FILTER(F$4:F1432,C$4:C1432&lt;&gt;""""),ROWS(FILTER(C$4:C1432,C$4:C1432&lt;&gt;""""))),$AC$5+E1433))"),"")</f>
        <v/>
      </c>
      <c r="G1433" s="10" t="str">
        <f>IFERROR(__xludf.DUMMYFUNCTION("IF(COUNTA(C1433:C1673)=0,"""",IF(C1433="""",0,IF(REGEXMATCH(C1433,""^Sell_""),-ROUNDDOWN(ROUNDUP(INDEX(Upgrades!$C$3:$C$13,MATCH(SUBSTITUTE(C1433,""Sell_"",""""),Upgrades!$B$3:$B$13,0))*1.15^(COUNTIF(C$4:C1432,SUBSTITUTE(C1433,""Sell_"",""""))-COUNTIF(C$4"&amp;":C1432,""Sell_""&amp;SUBSTITUTE(C1433,""Sell_"",""""))))/2),ROUNDUP(INDEX(Upgrades!$C$3:$C$13,MATCH(C1433,Upgrades!$B$3:$B$13,0))*1.15^(COUNTIF(C$4:C1432,C1433)-COUNTIF(C$4:C1432,""Sell_""&amp;C1433))))))"),"")</f>
        <v/>
      </c>
      <c r="H1433" s="10" t="str">
        <f t="shared" si="3"/>
        <v/>
      </c>
      <c r="I1433" s="68" t="str">
        <f t="shared" si="4"/>
        <v/>
      </c>
      <c r="J1433" s="59" t="str">
        <f t="shared" si="5"/>
        <v/>
      </c>
      <c r="K1433" s="69" t="str">
        <f t="shared" si="6"/>
        <v/>
      </c>
      <c r="L1433" s="60" t="str">
        <f t="shared" si="7"/>
        <v/>
      </c>
      <c r="M1433" s="61" t="str">
        <f>IFERROR(__xludf.DUMMYFUNCTION("IFS(AND(COUNTA(C1433:C1673)=0,COUNTA(Q1433:Q1673)=0),"""",OR(AND(K1433&gt;=1000000000,OR(Y1433&gt;=1000000000,COUNTA(Q1433:Q1673)=0)),OR(Y1433&gt;=1000000000,AND(COUNTA(C1433:C1673)=0,P$3=TRUE))),
ROUNDDOWN((AB$1-AC$1)*MAX(INDEX(T$4:T1673,MATCH(LARGE(FILTER(Y$4:Y1"&amp;"673,Y$4:Y1673&lt;1000000000),1),Y$4:Y1673)),INDEX(F$4:F1673,MATCH(LARGE(FILTER(K$4:K1673,K$4:K1673&lt;1000000000),1),K$4:K1673)))),AND(K1433&lt;1000000000,COUNTA(C1433:C1673)&gt;0,P$3=FALSE),
ROUNDDOWN(INDEX(Y$4:Y1673,MATCH(LARGE(FILTER(W$4:W1673,W$4:W1673&lt;=I1433),1)"&amp;",W$4:W1673))+(I1433-LARGE(FILTER(W$4:W1673,W$4:W1673&lt;=I1433),1))*INDEX(T$4:T1673,MATCH(LARGE(FILTER(W$4:W1673,W$4:W1673&lt;=I1433),1),W$4:W1673))-K1433),1,
ROUNDDOWN(Y1433-INDEX(K$4:K1673,MATCH(LARGE(FILTER(I$4:I1673,I$4:I1673&lt;=W1433),1),I$4:I1673))-(W1433-L"&amp;"ARGE(FILTER(I$4:I1673,I$4:I1673&lt;=W1433),1))*INDEX(F$4:F1673,MATCH(LARGE(FILTER(I$4:I1673,I$4:I1673&lt;=W1433),1),I$4:I1673))))"),"")</f>
        <v/>
      </c>
      <c r="N1433" s="60" t="str">
        <f t="shared" si="8"/>
        <v/>
      </c>
      <c r="O1433" s="61" t="str">
        <f t="shared" si="9"/>
        <v/>
      </c>
      <c r="P1433" s="56" t="str">
        <f t="shared" si="10"/>
        <v/>
      </c>
      <c r="Q1433" s="67"/>
      <c r="R1433" s="10"/>
      <c r="S1433" s="59" t="str">
        <f t="array" ref="S1433">IF(COUNTA(Q1433:Q1673)=0,"",SUM((COUNTIF(Q$4:Q1433,Upgrades!$B$3:$B$13)-COUNTIF(Q$4:Q1433,"Sell_"&amp;Upgrades!$B$3:$B$13))*Upgrades!$D$3:$D$13))</f>
        <v/>
      </c>
      <c r="T1433" s="66" t="str">
        <f>IFERROR(__xludf.DUMMYFUNCTION("IF(COUNTA(Q1433:Q1673)=0,"""",IF(REGEXMATCH(INDEX(FILTER(Q$4:Q1433,Q$4:Q1433&lt;&gt;""""),ROWS(FILTER(Q$4:Q1433,Q$4:Q1433&lt;&gt;""""))),""^Sell_""),INDEX(FILTER(T$4:T1432,Q$4:Q1432&lt;&gt;""""),ROWS(FILTER(Q$4:Q1432,Q$4:Q1432&lt;&gt;""""))),$AD$5+S1433))"),"")</f>
        <v/>
      </c>
      <c r="U1433" s="10" t="str">
        <f>IFERROR(__xludf.DUMMYFUNCTION("IF(COUNTA(Q1433:Q1673)=0,"""",IF(Q1433="""",0,IF(REGEXMATCH(Q1433,""^Sell_""),-ROUNDDOWN(ROUNDUP(INDEX(Upgrades!$C$3:$C$13,MATCH(SUBSTITUTE(Q1433,""Sell_"",""""),Upgrades!$B$3:$B$13,0))*1.15^(COUNTIF(Q$4:Q1432,SUBSTITUTE(Q1433,""Sell_"",""""))-COUNTIF(Q$4"&amp;":Q1432,""Sell_""&amp;SUBSTITUTE(Q1433,""Sell_"",""""))))/2),ROUNDUP(INDEX(Upgrades!$C$3:$C$13,MATCH(Q1433,Upgrades!$B$3:$B$13,0))*1.15^(COUNTIF(Q$4:Q1432,Q1433)-COUNTIF(Q$4:Q1432,""Sell_""&amp;Q1433))))))"),"")</f>
        <v/>
      </c>
      <c r="V1433" s="10" t="str">
        <f t="shared" si="11"/>
        <v/>
      </c>
      <c r="W1433" s="68" t="str">
        <f t="shared" si="12"/>
        <v/>
      </c>
      <c r="X1433" s="59" t="str">
        <f t="shared" si="13"/>
        <v/>
      </c>
      <c r="Y1433" s="69" t="str">
        <f t="shared" si="14"/>
        <v/>
      </c>
      <c r="Z1433" s="11"/>
    </row>
    <row r="1434">
      <c r="A1434" s="8"/>
      <c r="B1434" s="56" t="str">
        <f t="shared" si="2"/>
        <v/>
      </c>
      <c r="C1434" s="105"/>
      <c r="D1434" s="10"/>
      <c r="E1434" s="59" t="str">
        <f t="array" ref="E1434">IF(COUNTA(C1434:C1673)=0,"",SUM((COUNTIF(C$4:C1434,Upgrades!$B$3:$B$13)-COUNTIF(C$4:C1434,"Sell_"&amp;Upgrades!$B$3:$B$13))*Upgrades!$D$3:$D$13))</f>
        <v/>
      </c>
      <c r="F1434" s="66" t="str">
        <f>IFERROR(__xludf.DUMMYFUNCTION("IF(COUNTA(C1434:C1673)=0,"""",IF(REGEXMATCH(INDEX(FILTER(C$4:C1434,C$4:C1434&lt;&gt;""""),ROWS(FILTER(C$4:C1434,C$4:C1434&lt;&gt;""""))),""^Sell_""),INDEX(FILTER(F$4:F1433,C$4:C1433&lt;&gt;""""),ROWS(FILTER(C$4:C1433,C$4:C1433&lt;&gt;""""))),$AC$5+E1434))"),"")</f>
        <v/>
      </c>
      <c r="G1434" s="10" t="str">
        <f>IFERROR(__xludf.DUMMYFUNCTION("IF(COUNTA(C1434:C1673)=0,"""",IF(C1434="""",0,IF(REGEXMATCH(C1434,""^Sell_""),-ROUNDDOWN(ROUNDUP(INDEX(Upgrades!$C$3:$C$13,MATCH(SUBSTITUTE(C1434,""Sell_"",""""),Upgrades!$B$3:$B$13,0))*1.15^(COUNTIF(C$4:C1433,SUBSTITUTE(C1434,""Sell_"",""""))-COUNTIF(C$4"&amp;":C1433,""Sell_""&amp;SUBSTITUTE(C1434,""Sell_"",""""))))/2),ROUNDUP(INDEX(Upgrades!$C$3:$C$13,MATCH(C1434,Upgrades!$B$3:$B$13,0))*1.15^(COUNTIF(C$4:C1433,C1434)-COUNTIF(C$4:C1433,""Sell_""&amp;C1434))))))"),"")</f>
        <v/>
      </c>
      <c r="H1434" s="10" t="str">
        <f t="shared" si="3"/>
        <v/>
      </c>
      <c r="I1434" s="68" t="str">
        <f t="shared" si="4"/>
        <v/>
      </c>
      <c r="J1434" s="59" t="str">
        <f t="shared" si="5"/>
        <v/>
      </c>
      <c r="K1434" s="69" t="str">
        <f t="shared" si="6"/>
        <v/>
      </c>
      <c r="L1434" s="60" t="str">
        <f t="shared" si="7"/>
        <v/>
      </c>
      <c r="M1434" s="61" t="str">
        <f>IFERROR(__xludf.DUMMYFUNCTION("IFS(AND(COUNTA(C1434:C1673)=0,COUNTA(Q1434:Q1673)=0),"""",OR(AND(K1434&gt;=1000000000,OR(Y1434&gt;=1000000000,COUNTA(Q1434:Q1673)=0)),OR(Y1434&gt;=1000000000,AND(COUNTA(C1434:C1673)=0,P$3=TRUE))),
ROUNDDOWN((AB$1-AC$1)*MAX(INDEX(T$4:T1673,MATCH(LARGE(FILTER(Y$4:Y1"&amp;"673,Y$4:Y1673&lt;1000000000),1),Y$4:Y1673)),INDEX(F$4:F1673,MATCH(LARGE(FILTER(K$4:K1673,K$4:K1673&lt;1000000000),1),K$4:K1673)))),AND(K1434&lt;1000000000,COUNTA(C1434:C1673)&gt;0,P$3=FALSE),
ROUNDDOWN(INDEX(Y$4:Y1673,MATCH(LARGE(FILTER(W$4:W1673,W$4:W1673&lt;=I1434),1)"&amp;",W$4:W1673))+(I1434-LARGE(FILTER(W$4:W1673,W$4:W1673&lt;=I1434),1))*INDEX(T$4:T1673,MATCH(LARGE(FILTER(W$4:W1673,W$4:W1673&lt;=I1434),1),W$4:W1673))-K1434),1,
ROUNDDOWN(Y1434-INDEX(K$4:K1673,MATCH(LARGE(FILTER(I$4:I1673,I$4:I1673&lt;=W1434),1),I$4:I1673))-(W1434-L"&amp;"ARGE(FILTER(I$4:I1673,I$4:I1673&lt;=W1434),1))*INDEX(F$4:F1673,MATCH(LARGE(FILTER(I$4:I1673,I$4:I1673&lt;=W1434),1),I$4:I1673))))"),"")</f>
        <v/>
      </c>
      <c r="N1434" s="60" t="str">
        <f t="shared" si="8"/>
        <v/>
      </c>
      <c r="O1434" s="61" t="str">
        <f t="shared" si="9"/>
        <v/>
      </c>
      <c r="P1434" s="56" t="str">
        <f t="shared" si="10"/>
        <v/>
      </c>
      <c r="Q1434" s="67"/>
      <c r="R1434" s="10"/>
      <c r="S1434" s="59" t="str">
        <f t="array" ref="S1434">IF(COUNTA(Q1434:Q1673)=0,"",SUM((COUNTIF(Q$4:Q1434,Upgrades!$B$3:$B$13)-COUNTIF(Q$4:Q1434,"Sell_"&amp;Upgrades!$B$3:$B$13))*Upgrades!$D$3:$D$13))</f>
        <v/>
      </c>
      <c r="T1434" s="66" t="str">
        <f>IFERROR(__xludf.DUMMYFUNCTION("IF(COUNTA(Q1434:Q1673)=0,"""",IF(REGEXMATCH(INDEX(FILTER(Q$4:Q1434,Q$4:Q1434&lt;&gt;""""),ROWS(FILTER(Q$4:Q1434,Q$4:Q1434&lt;&gt;""""))),""^Sell_""),INDEX(FILTER(T$4:T1433,Q$4:Q1433&lt;&gt;""""),ROWS(FILTER(Q$4:Q1433,Q$4:Q1433&lt;&gt;""""))),$AD$5+S1434))"),"")</f>
        <v/>
      </c>
      <c r="U1434" s="10" t="str">
        <f>IFERROR(__xludf.DUMMYFUNCTION("IF(COUNTA(Q1434:Q1673)=0,"""",IF(Q1434="""",0,IF(REGEXMATCH(Q1434,""^Sell_""),-ROUNDDOWN(ROUNDUP(INDEX(Upgrades!$C$3:$C$13,MATCH(SUBSTITUTE(Q1434,""Sell_"",""""),Upgrades!$B$3:$B$13,0))*1.15^(COUNTIF(Q$4:Q1433,SUBSTITUTE(Q1434,""Sell_"",""""))-COUNTIF(Q$4"&amp;":Q1433,""Sell_""&amp;SUBSTITUTE(Q1434,""Sell_"",""""))))/2),ROUNDUP(INDEX(Upgrades!$C$3:$C$13,MATCH(Q1434,Upgrades!$B$3:$B$13,0))*1.15^(COUNTIF(Q$4:Q1433,Q1434)-COUNTIF(Q$4:Q1433,""Sell_""&amp;Q1434))))))"),"")</f>
        <v/>
      </c>
      <c r="V1434" s="10" t="str">
        <f t="shared" si="11"/>
        <v/>
      </c>
      <c r="W1434" s="68" t="str">
        <f t="shared" si="12"/>
        <v/>
      </c>
      <c r="X1434" s="59" t="str">
        <f t="shared" si="13"/>
        <v/>
      </c>
      <c r="Y1434" s="69" t="str">
        <f t="shared" si="14"/>
        <v/>
      </c>
      <c r="Z1434" s="11"/>
    </row>
    <row r="1435">
      <c r="A1435" s="8"/>
      <c r="B1435" s="56" t="str">
        <f t="shared" si="2"/>
        <v/>
      </c>
      <c r="C1435" s="105"/>
      <c r="D1435" s="10"/>
      <c r="E1435" s="59" t="str">
        <f t="array" ref="E1435">IF(COUNTA(C1435:C1673)=0,"",SUM((COUNTIF(C$4:C1435,Upgrades!$B$3:$B$13)-COUNTIF(C$4:C1435,"Sell_"&amp;Upgrades!$B$3:$B$13))*Upgrades!$D$3:$D$13))</f>
        <v/>
      </c>
      <c r="F1435" s="66" t="str">
        <f>IFERROR(__xludf.DUMMYFUNCTION("IF(COUNTA(C1435:C1673)=0,"""",IF(REGEXMATCH(INDEX(FILTER(C$4:C1435,C$4:C1435&lt;&gt;""""),ROWS(FILTER(C$4:C1435,C$4:C1435&lt;&gt;""""))),""^Sell_""),INDEX(FILTER(F$4:F1434,C$4:C1434&lt;&gt;""""),ROWS(FILTER(C$4:C1434,C$4:C1434&lt;&gt;""""))),$AC$5+E1435))"),"")</f>
        <v/>
      </c>
      <c r="G1435" s="10" t="str">
        <f>IFERROR(__xludf.DUMMYFUNCTION("IF(COUNTA(C1435:C1673)=0,"""",IF(C1435="""",0,IF(REGEXMATCH(C1435,""^Sell_""),-ROUNDDOWN(ROUNDUP(INDEX(Upgrades!$C$3:$C$13,MATCH(SUBSTITUTE(C1435,""Sell_"",""""),Upgrades!$B$3:$B$13,0))*1.15^(COUNTIF(C$4:C1434,SUBSTITUTE(C1435,""Sell_"",""""))-COUNTIF(C$4"&amp;":C1434,""Sell_""&amp;SUBSTITUTE(C1435,""Sell_"",""""))))/2),ROUNDUP(INDEX(Upgrades!$C$3:$C$13,MATCH(C1435,Upgrades!$B$3:$B$13,0))*1.15^(COUNTIF(C$4:C1434,C1435)-COUNTIF(C$4:C1434,""Sell_""&amp;C1435))))))"),"")</f>
        <v/>
      </c>
      <c r="H1435" s="10" t="str">
        <f t="shared" si="3"/>
        <v/>
      </c>
      <c r="I1435" s="68" t="str">
        <f t="shared" si="4"/>
        <v/>
      </c>
      <c r="J1435" s="59" t="str">
        <f t="shared" si="5"/>
        <v/>
      </c>
      <c r="K1435" s="69" t="str">
        <f t="shared" si="6"/>
        <v/>
      </c>
      <c r="L1435" s="60" t="str">
        <f t="shared" si="7"/>
        <v/>
      </c>
      <c r="M1435" s="61" t="str">
        <f>IFERROR(__xludf.DUMMYFUNCTION("IFS(AND(COUNTA(C1435:C1673)=0,COUNTA(Q1435:Q1673)=0),"""",OR(AND(K1435&gt;=1000000000,OR(Y1435&gt;=1000000000,COUNTA(Q1435:Q1673)=0)),OR(Y1435&gt;=1000000000,AND(COUNTA(C1435:C1673)=0,P$3=TRUE))),
ROUNDDOWN((AB$1-AC$1)*MAX(INDEX(T$4:T1673,MATCH(LARGE(FILTER(Y$4:Y1"&amp;"673,Y$4:Y1673&lt;1000000000),1),Y$4:Y1673)),INDEX(F$4:F1673,MATCH(LARGE(FILTER(K$4:K1673,K$4:K1673&lt;1000000000),1),K$4:K1673)))),AND(K1435&lt;1000000000,COUNTA(C1435:C1673)&gt;0,P$3=FALSE),
ROUNDDOWN(INDEX(Y$4:Y1673,MATCH(LARGE(FILTER(W$4:W1673,W$4:W1673&lt;=I1435),1)"&amp;",W$4:W1673))+(I1435-LARGE(FILTER(W$4:W1673,W$4:W1673&lt;=I1435),1))*INDEX(T$4:T1673,MATCH(LARGE(FILTER(W$4:W1673,W$4:W1673&lt;=I1435),1),W$4:W1673))-K1435),1,
ROUNDDOWN(Y1435-INDEX(K$4:K1673,MATCH(LARGE(FILTER(I$4:I1673,I$4:I1673&lt;=W1435),1),I$4:I1673))-(W1435-L"&amp;"ARGE(FILTER(I$4:I1673,I$4:I1673&lt;=W1435),1))*INDEX(F$4:F1673,MATCH(LARGE(FILTER(I$4:I1673,I$4:I1673&lt;=W1435),1),I$4:I1673))))"),"")</f>
        <v/>
      </c>
      <c r="N1435" s="60" t="str">
        <f t="shared" si="8"/>
        <v/>
      </c>
      <c r="O1435" s="61" t="str">
        <f t="shared" si="9"/>
        <v/>
      </c>
      <c r="P1435" s="56" t="str">
        <f t="shared" si="10"/>
        <v/>
      </c>
      <c r="Q1435" s="67"/>
      <c r="R1435" s="10"/>
      <c r="S1435" s="59" t="str">
        <f t="array" ref="S1435">IF(COUNTA(Q1435:Q1673)=0,"",SUM((COUNTIF(Q$4:Q1435,Upgrades!$B$3:$B$13)-COUNTIF(Q$4:Q1435,"Sell_"&amp;Upgrades!$B$3:$B$13))*Upgrades!$D$3:$D$13))</f>
        <v/>
      </c>
      <c r="T1435" s="66" t="str">
        <f>IFERROR(__xludf.DUMMYFUNCTION("IF(COUNTA(Q1435:Q1673)=0,"""",IF(REGEXMATCH(INDEX(FILTER(Q$4:Q1435,Q$4:Q1435&lt;&gt;""""),ROWS(FILTER(Q$4:Q1435,Q$4:Q1435&lt;&gt;""""))),""^Sell_""),INDEX(FILTER(T$4:T1434,Q$4:Q1434&lt;&gt;""""),ROWS(FILTER(Q$4:Q1434,Q$4:Q1434&lt;&gt;""""))),$AD$5+S1435))"),"")</f>
        <v/>
      </c>
      <c r="U1435" s="10" t="str">
        <f>IFERROR(__xludf.DUMMYFUNCTION("IF(COUNTA(Q1435:Q1673)=0,"""",IF(Q1435="""",0,IF(REGEXMATCH(Q1435,""^Sell_""),-ROUNDDOWN(ROUNDUP(INDEX(Upgrades!$C$3:$C$13,MATCH(SUBSTITUTE(Q1435,""Sell_"",""""),Upgrades!$B$3:$B$13,0))*1.15^(COUNTIF(Q$4:Q1434,SUBSTITUTE(Q1435,""Sell_"",""""))-COUNTIF(Q$4"&amp;":Q1434,""Sell_""&amp;SUBSTITUTE(Q1435,""Sell_"",""""))))/2),ROUNDUP(INDEX(Upgrades!$C$3:$C$13,MATCH(Q1435,Upgrades!$B$3:$B$13,0))*1.15^(COUNTIF(Q$4:Q1434,Q1435)-COUNTIF(Q$4:Q1434,""Sell_""&amp;Q1435))))))"),"")</f>
        <v/>
      </c>
      <c r="V1435" s="10" t="str">
        <f t="shared" si="11"/>
        <v/>
      </c>
      <c r="W1435" s="68" t="str">
        <f t="shared" si="12"/>
        <v/>
      </c>
      <c r="X1435" s="59" t="str">
        <f t="shared" si="13"/>
        <v/>
      </c>
      <c r="Y1435" s="69" t="str">
        <f t="shared" si="14"/>
        <v/>
      </c>
      <c r="Z1435" s="11"/>
    </row>
    <row r="1436">
      <c r="A1436" s="8"/>
      <c r="B1436" s="56" t="str">
        <f t="shared" si="2"/>
        <v/>
      </c>
      <c r="C1436" s="105"/>
      <c r="D1436" s="10"/>
      <c r="E1436" s="59" t="str">
        <f t="array" ref="E1436">IF(COUNTA(C1436:C1673)=0,"",SUM((COUNTIF(C$4:C1436,Upgrades!$B$3:$B$13)-COUNTIF(C$4:C1436,"Sell_"&amp;Upgrades!$B$3:$B$13))*Upgrades!$D$3:$D$13))</f>
        <v/>
      </c>
      <c r="F1436" s="66" t="str">
        <f>IFERROR(__xludf.DUMMYFUNCTION("IF(COUNTA(C1436:C1673)=0,"""",IF(REGEXMATCH(INDEX(FILTER(C$4:C1436,C$4:C1436&lt;&gt;""""),ROWS(FILTER(C$4:C1436,C$4:C1436&lt;&gt;""""))),""^Sell_""),INDEX(FILTER(F$4:F1435,C$4:C1435&lt;&gt;""""),ROWS(FILTER(C$4:C1435,C$4:C1435&lt;&gt;""""))),$AC$5+E1436))"),"")</f>
        <v/>
      </c>
      <c r="G1436" s="10" t="str">
        <f>IFERROR(__xludf.DUMMYFUNCTION("IF(COUNTA(C1436:C1673)=0,"""",IF(C1436="""",0,IF(REGEXMATCH(C1436,""^Sell_""),-ROUNDDOWN(ROUNDUP(INDEX(Upgrades!$C$3:$C$13,MATCH(SUBSTITUTE(C1436,""Sell_"",""""),Upgrades!$B$3:$B$13,0))*1.15^(COUNTIF(C$4:C1435,SUBSTITUTE(C1436,""Sell_"",""""))-COUNTIF(C$4"&amp;":C1435,""Sell_""&amp;SUBSTITUTE(C1436,""Sell_"",""""))))/2),ROUNDUP(INDEX(Upgrades!$C$3:$C$13,MATCH(C1436,Upgrades!$B$3:$B$13,0))*1.15^(COUNTIF(C$4:C1435,C1436)-COUNTIF(C$4:C1435,""Sell_""&amp;C1436))))))"),"")</f>
        <v/>
      </c>
      <c r="H1436" s="10" t="str">
        <f t="shared" si="3"/>
        <v/>
      </c>
      <c r="I1436" s="68" t="str">
        <f t="shared" si="4"/>
        <v/>
      </c>
      <c r="J1436" s="59" t="str">
        <f t="shared" si="5"/>
        <v/>
      </c>
      <c r="K1436" s="69" t="str">
        <f t="shared" si="6"/>
        <v/>
      </c>
      <c r="L1436" s="60" t="str">
        <f t="shared" si="7"/>
        <v/>
      </c>
      <c r="M1436" s="61" t="str">
        <f>IFERROR(__xludf.DUMMYFUNCTION("IFS(AND(COUNTA(C1436:C1673)=0,COUNTA(Q1436:Q1673)=0),"""",OR(AND(K1436&gt;=1000000000,OR(Y1436&gt;=1000000000,COUNTA(Q1436:Q1673)=0)),OR(Y1436&gt;=1000000000,AND(COUNTA(C1436:C1673)=0,P$3=TRUE))),
ROUNDDOWN((AB$1-AC$1)*MAX(INDEX(T$4:T1673,MATCH(LARGE(FILTER(Y$4:Y1"&amp;"673,Y$4:Y1673&lt;1000000000),1),Y$4:Y1673)),INDEX(F$4:F1673,MATCH(LARGE(FILTER(K$4:K1673,K$4:K1673&lt;1000000000),1),K$4:K1673)))),AND(K1436&lt;1000000000,COUNTA(C1436:C1673)&gt;0,P$3=FALSE),
ROUNDDOWN(INDEX(Y$4:Y1673,MATCH(LARGE(FILTER(W$4:W1673,W$4:W1673&lt;=I1436),1)"&amp;",W$4:W1673))+(I1436-LARGE(FILTER(W$4:W1673,W$4:W1673&lt;=I1436),1))*INDEX(T$4:T1673,MATCH(LARGE(FILTER(W$4:W1673,W$4:W1673&lt;=I1436),1),W$4:W1673))-K1436),1,
ROUNDDOWN(Y1436-INDEX(K$4:K1673,MATCH(LARGE(FILTER(I$4:I1673,I$4:I1673&lt;=W1436),1),I$4:I1673))-(W1436-L"&amp;"ARGE(FILTER(I$4:I1673,I$4:I1673&lt;=W1436),1))*INDEX(F$4:F1673,MATCH(LARGE(FILTER(I$4:I1673,I$4:I1673&lt;=W1436),1),I$4:I1673))))"),"")</f>
        <v/>
      </c>
      <c r="N1436" s="60" t="str">
        <f t="shared" si="8"/>
        <v/>
      </c>
      <c r="O1436" s="61" t="str">
        <f t="shared" si="9"/>
        <v/>
      </c>
      <c r="P1436" s="56" t="str">
        <f t="shared" si="10"/>
        <v/>
      </c>
      <c r="Q1436" s="67"/>
      <c r="R1436" s="10"/>
      <c r="S1436" s="59" t="str">
        <f t="array" ref="S1436">IF(COUNTA(Q1436:Q1673)=0,"",SUM((COUNTIF(Q$4:Q1436,Upgrades!$B$3:$B$13)-COUNTIF(Q$4:Q1436,"Sell_"&amp;Upgrades!$B$3:$B$13))*Upgrades!$D$3:$D$13))</f>
        <v/>
      </c>
      <c r="T1436" s="66" t="str">
        <f>IFERROR(__xludf.DUMMYFUNCTION("IF(COUNTA(Q1436:Q1673)=0,"""",IF(REGEXMATCH(INDEX(FILTER(Q$4:Q1436,Q$4:Q1436&lt;&gt;""""),ROWS(FILTER(Q$4:Q1436,Q$4:Q1436&lt;&gt;""""))),""^Sell_""),INDEX(FILTER(T$4:T1435,Q$4:Q1435&lt;&gt;""""),ROWS(FILTER(Q$4:Q1435,Q$4:Q1435&lt;&gt;""""))),$AD$5+S1436))"),"")</f>
        <v/>
      </c>
      <c r="U1436" s="10" t="str">
        <f>IFERROR(__xludf.DUMMYFUNCTION("IF(COUNTA(Q1436:Q1673)=0,"""",IF(Q1436="""",0,IF(REGEXMATCH(Q1436,""^Sell_""),-ROUNDDOWN(ROUNDUP(INDEX(Upgrades!$C$3:$C$13,MATCH(SUBSTITUTE(Q1436,""Sell_"",""""),Upgrades!$B$3:$B$13,0))*1.15^(COUNTIF(Q$4:Q1435,SUBSTITUTE(Q1436,""Sell_"",""""))-COUNTIF(Q$4"&amp;":Q1435,""Sell_""&amp;SUBSTITUTE(Q1436,""Sell_"",""""))))/2),ROUNDUP(INDEX(Upgrades!$C$3:$C$13,MATCH(Q1436,Upgrades!$B$3:$B$13,0))*1.15^(COUNTIF(Q$4:Q1435,Q1436)-COUNTIF(Q$4:Q1435,""Sell_""&amp;Q1436))))))"),"")</f>
        <v/>
      </c>
      <c r="V1436" s="10" t="str">
        <f t="shared" si="11"/>
        <v/>
      </c>
      <c r="W1436" s="68" t="str">
        <f t="shared" si="12"/>
        <v/>
      </c>
      <c r="X1436" s="59" t="str">
        <f t="shared" si="13"/>
        <v/>
      </c>
      <c r="Y1436" s="69" t="str">
        <f t="shared" si="14"/>
        <v/>
      </c>
      <c r="Z1436" s="11"/>
    </row>
    <row r="1437">
      <c r="A1437" s="8"/>
      <c r="B1437" s="56" t="str">
        <f t="shared" si="2"/>
        <v/>
      </c>
      <c r="C1437" s="105"/>
      <c r="D1437" s="10"/>
      <c r="E1437" s="59" t="str">
        <f t="array" ref="E1437">IF(COUNTA(C1437:C1673)=0,"",SUM((COUNTIF(C$4:C1437,Upgrades!$B$3:$B$13)-COUNTIF(C$4:C1437,"Sell_"&amp;Upgrades!$B$3:$B$13))*Upgrades!$D$3:$D$13))</f>
        <v/>
      </c>
      <c r="F1437" s="66" t="str">
        <f>IFERROR(__xludf.DUMMYFUNCTION("IF(COUNTA(C1437:C1673)=0,"""",IF(REGEXMATCH(INDEX(FILTER(C$4:C1437,C$4:C1437&lt;&gt;""""),ROWS(FILTER(C$4:C1437,C$4:C1437&lt;&gt;""""))),""^Sell_""),INDEX(FILTER(F$4:F1436,C$4:C1436&lt;&gt;""""),ROWS(FILTER(C$4:C1436,C$4:C1436&lt;&gt;""""))),$AC$5+E1437))"),"")</f>
        <v/>
      </c>
      <c r="G1437" s="10" t="str">
        <f>IFERROR(__xludf.DUMMYFUNCTION("IF(COUNTA(C1437:C1673)=0,"""",IF(C1437="""",0,IF(REGEXMATCH(C1437,""^Sell_""),-ROUNDDOWN(ROUNDUP(INDEX(Upgrades!$C$3:$C$13,MATCH(SUBSTITUTE(C1437,""Sell_"",""""),Upgrades!$B$3:$B$13,0))*1.15^(COUNTIF(C$4:C1436,SUBSTITUTE(C1437,""Sell_"",""""))-COUNTIF(C$4"&amp;":C1436,""Sell_""&amp;SUBSTITUTE(C1437,""Sell_"",""""))))/2),ROUNDUP(INDEX(Upgrades!$C$3:$C$13,MATCH(C1437,Upgrades!$B$3:$B$13,0))*1.15^(COUNTIF(C$4:C1436,C1437)-COUNTIF(C$4:C1436,""Sell_""&amp;C1437))))))"),"")</f>
        <v/>
      </c>
      <c r="H1437" s="10" t="str">
        <f t="shared" si="3"/>
        <v/>
      </c>
      <c r="I1437" s="68" t="str">
        <f t="shared" si="4"/>
        <v/>
      </c>
      <c r="J1437" s="59" t="str">
        <f t="shared" si="5"/>
        <v/>
      </c>
      <c r="K1437" s="69" t="str">
        <f t="shared" si="6"/>
        <v/>
      </c>
      <c r="L1437" s="60" t="str">
        <f t="shared" si="7"/>
        <v/>
      </c>
      <c r="M1437" s="61" t="str">
        <f>IFERROR(__xludf.DUMMYFUNCTION("IFS(AND(COUNTA(C1437:C1673)=0,COUNTA(Q1437:Q1673)=0),"""",OR(AND(K1437&gt;=1000000000,OR(Y1437&gt;=1000000000,COUNTA(Q1437:Q1673)=0)),OR(Y1437&gt;=1000000000,AND(COUNTA(C1437:C1673)=0,P$3=TRUE))),
ROUNDDOWN((AB$1-AC$1)*MAX(INDEX(T$4:T1673,MATCH(LARGE(FILTER(Y$4:Y1"&amp;"673,Y$4:Y1673&lt;1000000000),1),Y$4:Y1673)),INDEX(F$4:F1673,MATCH(LARGE(FILTER(K$4:K1673,K$4:K1673&lt;1000000000),1),K$4:K1673)))),AND(K1437&lt;1000000000,COUNTA(C1437:C1673)&gt;0,P$3=FALSE),
ROUNDDOWN(INDEX(Y$4:Y1673,MATCH(LARGE(FILTER(W$4:W1673,W$4:W1673&lt;=I1437),1)"&amp;",W$4:W1673))+(I1437-LARGE(FILTER(W$4:W1673,W$4:W1673&lt;=I1437),1))*INDEX(T$4:T1673,MATCH(LARGE(FILTER(W$4:W1673,W$4:W1673&lt;=I1437),1),W$4:W1673))-K1437),1,
ROUNDDOWN(Y1437-INDEX(K$4:K1673,MATCH(LARGE(FILTER(I$4:I1673,I$4:I1673&lt;=W1437),1),I$4:I1673))-(W1437-L"&amp;"ARGE(FILTER(I$4:I1673,I$4:I1673&lt;=W1437),1))*INDEX(F$4:F1673,MATCH(LARGE(FILTER(I$4:I1673,I$4:I1673&lt;=W1437),1),I$4:I1673))))"),"")</f>
        <v/>
      </c>
      <c r="N1437" s="60" t="str">
        <f t="shared" si="8"/>
        <v/>
      </c>
      <c r="O1437" s="61" t="str">
        <f t="shared" si="9"/>
        <v/>
      </c>
      <c r="P1437" s="56" t="str">
        <f t="shared" si="10"/>
        <v/>
      </c>
      <c r="Q1437" s="67"/>
      <c r="R1437" s="10"/>
      <c r="S1437" s="59" t="str">
        <f t="array" ref="S1437">IF(COUNTA(Q1437:Q1673)=0,"",SUM((COUNTIF(Q$4:Q1437,Upgrades!$B$3:$B$13)-COUNTIF(Q$4:Q1437,"Sell_"&amp;Upgrades!$B$3:$B$13))*Upgrades!$D$3:$D$13))</f>
        <v/>
      </c>
      <c r="T1437" s="66" t="str">
        <f>IFERROR(__xludf.DUMMYFUNCTION("IF(COUNTA(Q1437:Q1673)=0,"""",IF(REGEXMATCH(INDEX(FILTER(Q$4:Q1437,Q$4:Q1437&lt;&gt;""""),ROWS(FILTER(Q$4:Q1437,Q$4:Q1437&lt;&gt;""""))),""^Sell_""),INDEX(FILTER(T$4:T1436,Q$4:Q1436&lt;&gt;""""),ROWS(FILTER(Q$4:Q1436,Q$4:Q1436&lt;&gt;""""))),$AD$5+S1437))"),"")</f>
        <v/>
      </c>
      <c r="U1437" s="10" t="str">
        <f>IFERROR(__xludf.DUMMYFUNCTION("IF(COUNTA(Q1437:Q1673)=0,"""",IF(Q1437="""",0,IF(REGEXMATCH(Q1437,""^Sell_""),-ROUNDDOWN(ROUNDUP(INDEX(Upgrades!$C$3:$C$13,MATCH(SUBSTITUTE(Q1437,""Sell_"",""""),Upgrades!$B$3:$B$13,0))*1.15^(COUNTIF(Q$4:Q1436,SUBSTITUTE(Q1437,""Sell_"",""""))-COUNTIF(Q$4"&amp;":Q1436,""Sell_""&amp;SUBSTITUTE(Q1437,""Sell_"",""""))))/2),ROUNDUP(INDEX(Upgrades!$C$3:$C$13,MATCH(Q1437,Upgrades!$B$3:$B$13,0))*1.15^(COUNTIF(Q$4:Q1436,Q1437)-COUNTIF(Q$4:Q1436,""Sell_""&amp;Q1437))))))"),"")</f>
        <v/>
      </c>
      <c r="V1437" s="10" t="str">
        <f t="shared" si="11"/>
        <v/>
      </c>
      <c r="W1437" s="68" t="str">
        <f t="shared" si="12"/>
        <v/>
      </c>
      <c r="X1437" s="59" t="str">
        <f t="shared" si="13"/>
        <v/>
      </c>
      <c r="Y1437" s="69" t="str">
        <f t="shared" si="14"/>
        <v/>
      </c>
      <c r="Z1437" s="11"/>
    </row>
    <row r="1438">
      <c r="A1438" s="8"/>
      <c r="B1438" s="56" t="str">
        <f t="shared" si="2"/>
        <v/>
      </c>
      <c r="C1438" s="105"/>
      <c r="D1438" s="10"/>
      <c r="E1438" s="59" t="str">
        <f t="array" ref="E1438">IF(COUNTA(C1438:C1673)=0,"",SUM((COUNTIF(C$4:C1438,Upgrades!$B$3:$B$13)-COUNTIF(C$4:C1438,"Sell_"&amp;Upgrades!$B$3:$B$13))*Upgrades!$D$3:$D$13))</f>
        <v/>
      </c>
      <c r="F1438" s="66" t="str">
        <f>IFERROR(__xludf.DUMMYFUNCTION("IF(COUNTA(C1438:C1673)=0,"""",IF(REGEXMATCH(INDEX(FILTER(C$4:C1438,C$4:C1438&lt;&gt;""""),ROWS(FILTER(C$4:C1438,C$4:C1438&lt;&gt;""""))),""^Sell_""),INDEX(FILTER(F$4:F1437,C$4:C1437&lt;&gt;""""),ROWS(FILTER(C$4:C1437,C$4:C1437&lt;&gt;""""))),$AC$5+E1438))"),"")</f>
        <v/>
      </c>
      <c r="G1438" s="10" t="str">
        <f>IFERROR(__xludf.DUMMYFUNCTION("IF(COUNTA(C1438:C1673)=0,"""",IF(C1438="""",0,IF(REGEXMATCH(C1438,""^Sell_""),-ROUNDDOWN(ROUNDUP(INDEX(Upgrades!$C$3:$C$13,MATCH(SUBSTITUTE(C1438,""Sell_"",""""),Upgrades!$B$3:$B$13,0))*1.15^(COUNTIF(C$4:C1437,SUBSTITUTE(C1438,""Sell_"",""""))-COUNTIF(C$4"&amp;":C1437,""Sell_""&amp;SUBSTITUTE(C1438,""Sell_"",""""))))/2),ROUNDUP(INDEX(Upgrades!$C$3:$C$13,MATCH(C1438,Upgrades!$B$3:$B$13,0))*1.15^(COUNTIF(C$4:C1437,C1438)-COUNTIF(C$4:C1437,""Sell_""&amp;C1438))))))"),"")</f>
        <v/>
      </c>
      <c r="H1438" s="10" t="str">
        <f t="shared" si="3"/>
        <v/>
      </c>
      <c r="I1438" s="68" t="str">
        <f t="shared" si="4"/>
        <v/>
      </c>
      <c r="J1438" s="59" t="str">
        <f t="shared" si="5"/>
        <v/>
      </c>
      <c r="K1438" s="69" t="str">
        <f t="shared" si="6"/>
        <v/>
      </c>
      <c r="L1438" s="60" t="str">
        <f t="shared" si="7"/>
        <v/>
      </c>
      <c r="M1438" s="61" t="str">
        <f>IFERROR(__xludf.DUMMYFUNCTION("IFS(AND(COUNTA(C1438:C1673)=0,COUNTA(Q1438:Q1673)=0),"""",OR(AND(K1438&gt;=1000000000,OR(Y1438&gt;=1000000000,COUNTA(Q1438:Q1673)=0)),OR(Y1438&gt;=1000000000,AND(COUNTA(C1438:C1673)=0,P$3=TRUE))),
ROUNDDOWN((AB$1-AC$1)*MAX(INDEX(T$4:T1673,MATCH(LARGE(FILTER(Y$4:Y1"&amp;"673,Y$4:Y1673&lt;1000000000),1),Y$4:Y1673)),INDEX(F$4:F1673,MATCH(LARGE(FILTER(K$4:K1673,K$4:K1673&lt;1000000000),1),K$4:K1673)))),AND(K1438&lt;1000000000,COUNTA(C1438:C1673)&gt;0,P$3=FALSE),
ROUNDDOWN(INDEX(Y$4:Y1673,MATCH(LARGE(FILTER(W$4:W1673,W$4:W1673&lt;=I1438),1)"&amp;",W$4:W1673))+(I1438-LARGE(FILTER(W$4:W1673,W$4:W1673&lt;=I1438),1))*INDEX(T$4:T1673,MATCH(LARGE(FILTER(W$4:W1673,W$4:W1673&lt;=I1438),1),W$4:W1673))-K1438),1,
ROUNDDOWN(Y1438-INDEX(K$4:K1673,MATCH(LARGE(FILTER(I$4:I1673,I$4:I1673&lt;=W1438),1),I$4:I1673))-(W1438-L"&amp;"ARGE(FILTER(I$4:I1673,I$4:I1673&lt;=W1438),1))*INDEX(F$4:F1673,MATCH(LARGE(FILTER(I$4:I1673,I$4:I1673&lt;=W1438),1),I$4:I1673))))"),"")</f>
        <v/>
      </c>
      <c r="N1438" s="60" t="str">
        <f t="shared" si="8"/>
        <v/>
      </c>
      <c r="O1438" s="61" t="str">
        <f t="shared" si="9"/>
        <v/>
      </c>
      <c r="P1438" s="56" t="str">
        <f t="shared" si="10"/>
        <v/>
      </c>
      <c r="Q1438" s="67"/>
      <c r="R1438" s="10"/>
      <c r="S1438" s="59" t="str">
        <f t="array" ref="S1438">IF(COUNTA(Q1438:Q1673)=0,"",SUM((COUNTIF(Q$4:Q1438,Upgrades!$B$3:$B$13)-COUNTIF(Q$4:Q1438,"Sell_"&amp;Upgrades!$B$3:$B$13))*Upgrades!$D$3:$D$13))</f>
        <v/>
      </c>
      <c r="T1438" s="66" t="str">
        <f>IFERROR(__xludf.DUMMYFUNCTION("IF(COUNTA(Q1438:Q1673)=0,"""",IF(REGEXMATCH(INDEX(FILTER(Q$4:Q1438,Q$4:Q1438&lt;&gt;""""),ROWS(FILTER(Q$4:Q1438,Q$4:Q1438&lt;&gt;""""))),""^Sell_""),INDEX(FILTER(T$4:T1437,Q$4:Q1437&lt;&gt;""""),ROWS(FILTER(Q$4:Q1437,Q$4:Q1437&lt;&gt;""""))),$AD$5+S1438))"),"")</f>
        <v/>
      </c>
      <c r="U1438" s="10" t="str">
        <f>IFERROR(__xludf.DUMMYFUNCTION("IF(COUNTA(Q1438:Q1673)=0,"""",IF(Q1438="""",0,IF(REGEXMATCH(Q1438,""^Sell_""),-ROUNDDOWN(ROUNDUP(INDEX(Upgrades!$C$3:$C$13,MATCH(SUBSTITUTE(Q1438,""Sell_"",""""),Upgrades!$B$3:$B$13,0))*1.15^(COUNTIF(Q$4:Q1437,SUBSTITUTE(Q1438,""Sell_"",""""))-COUNTIF(Q$4"&amp;":Q1437,""Sell_""&amp;SUBSTITUTE(Q1438,""Sell_"",""""))))/2),ROUNDUP(INDEX(Upgrades!$C$3:$C$13,MATCH(Q1438,Upgrades!$B$3:$B$13,0))*1.15^(COUNTIF(Q$4:Q1437,Q1438)-COUNTIF(Q$4:Q1437,""Sell_""&amp;Q1438))))))"),"")</f>
        <v/>
      </c>
      <c r="V1438" s="10" t="str">
        <f t="shared" si="11"/>
        <v/>
      </c>
      <c r="W1438" s="68" t="str">
        <f t="shared" si="12"/>
        <v/>
      </c>
      <c r="X1438" s="59" t="str">
        <f t="shared" si="13"/>
        <v/>
      </c>
      <c r="Y1438" s="69" t="str">
        <f t="shared" si="14"/>
        <v/>
      </c>
      <c r="Z1438" s="11"/>
    </row>
    <row r="1439">
      <c r="A1439" s="8"/>
      <c r="B1439" s="56" t="str">
        <f t="shared" si="2"/>
        <v/>
      </c>
      <c r="C1439" s="105"/>
      <c r="D1439" s="10"/>
      <c r="E1439" s="59" t="str">
        <f t="array" ref="E1439">IF(COUNTA(C1439:C1673)=0,"",SUM((COUNTIF(C$4:C1439,Upgrades!$B$3:$B$13)-COUNTIF(C$4:C1439,"Sell_"&amp;Upgrades!$B$3:$B$13))*Upgrades!$D$3:$D$13))</f>
        <v/>
      </c>
      <c r="F1439" s="66" t="str">
        <f>IFERROR(__xludf.DUMMYFUNCTION("IF(COUNTA(C1439:C1673)=0,"""",IF(REGEXMATCH(INDEX(FILTER(C$4:C1439,C$4:C1439&lt;&gt;""""),ROWS(FILTER(C$4:C1439,C$4:C1439&lt;&gt;""""))),""^Sell_""),INDEX(FILTER(F$4:F1438,C$4:C1438&lt;&gt;""""),ROWS(FILTER(C$4:C1438,C$4:C1438&lt;&gt;""""))),$AC$5+E1439))"),"")</f>
        <v/>
      </c>
      <c r="G1439" s="10" t="str">
        <f>IFERROR(__xludf.DUMMYFUNCTION("IF(COUNTA(C1439:C1673)=0,"""",IF(C1439="""",0,IF(REGEXMATCH(C1439,""^Sell_""),-ROUNDDOWN(ROUNDUP(INDEX(Upgrades!$C$3:$C$13,MATCH(SUBSTITUTE(C1439,""Sell_"",""""),Upgrades!$B$3:$B$13,0))*1.15^(COUNTIF(C$4:C1438,SUBSTITUTE(C1439,""Sell_"",""""))-COUNTIF(C$4"&amp;":C1438,""Sell_""&amp;SUBSTITUTE(C1439,""Sell_"",""""))))/2),ROUNDUP(INDEX(Upgrades!$C$3:$C$13,MATCH(C1439,Upgrades!$B$3:$B$13,0))*1.15^(COUNTIF(C$4:C1438,C1439)-COUNTIF(C$4:C1438,""Sell_""&amp;C1439))))))"),"")</f>
        <v/>
      </c>
      <c r="H1439" s="10" t="str">
        <f t="shared" si="3"/>
        <v/>
      </c>
      <c r="I1439" s="68" t="str">
        <f t="shared" si="4"/>
        <v/>
      </c>
      <c r="J1439" s="59" t="str">
        <f t="shared" si="5"/>
        <v/>
      </c>
      <c r="K1439" s="69" t="str">
        <f t="shared" si="6"/>
        <v/>
      </c>
      <c r="L1439" s="60" t="str">
        <f t="shared" si="7"/>
        <v/>
      </c>
      <c r="M1439" s="61" t="str">
        <f>IFERROR(__xludf.DUMMYFUNCTION("IFS(AND(COUNTA(C1439:C1673)=0,COUNTA(Q1439:Q1673)=0),"""",OR(AND(K1439&gt;=1000000000,OR(Y1439&gt;=1000000000,COUNTA(Q1439:Q1673)=0)),OR(Y1439&gt;=1000000000,AND(COUNTA(C1439:C1673)=0,P$3=TRUE))),
ROUNDDOWN((AB$1-AC$1)*MAX(INDEX(T$4:T1673,MATCH(LARGE(FILTER(Y$4:Y1"&amp;"673,Y$4:Y1673&lt;1000000000),1),Y$4:Y1673)),INDEX(F$4:F1673,MATCH(LARGE(FILTER(K$4:K1673,K$4:K1673&lt;1000000000),1),K$4:K1673)))),AND(K1439&lt;1000000000,COUNTA(C1439:C1673)&gt;0,P$3=FALSE),
ROUNDDOWN(INDEX(Y$4:Y1673,MATCH(LARGE(FILTER(W$4:W1673,W$4:W1673&lt;=I1439),1)"&amp;",W$4:W1673))+(I1439-LARGE(FILTER(W$4:W1673,W$4:W1673&lt;=I1439),1))*INDEX(T$4:T1673,MATCH(LARGE(FILTER(W$4:W1673,W$4:W1673&lt;=I1439),1),W$4:W1673))-K1439),1,
ROUNDDOWN(Y1439-INDEX(K$4:K1673,MATCH(LARGE(FILTER(I$4:I1673,I$4:I1673&lt;=W1439),1),I$4:I1673))-(W1439-L"&amp;"ARGE(FILTER(I$4:I1673,I$4:I1673&lt;=W1439),1))*INDEX(F$4:F1673,MATCH(LARGE(FILTER(I$4:I1673,I$4:I1673&lt;=W1439),1),I$4:I1673))))"),"")</f>
        <v/>
      </c>
      <c r="N1439" s="60" t="str">
        <f t="shared" si="8"/>
        <v/>
      </c>
      <c r="O1439" s="61" t="str">
        <f t="shared" si="9"/>
        <v/>
      </c>
      <c r="P1439" s="56" t="str">
        <f t="shared" si="10"/>
        <v/>
      </c>
      <c r="Q1439" s="67"/>
      <c r="R1439" s="10"/>
      <c r="S1439" s="59" t="str">
        <f t="array" ref="S1439">IF(COUNTA(Q1439:Q1673)=0,"",SUM((COUNTIF(Q$4:Q1439,Upgrades!$B$3:$B$13)-COUNTIF(Q$4:Q1439,"Sell_"&amp;Upgrades!$B$3:$B$13))*Upgrades!$D$3:$D$13))</f>
        <v/>
      </c>
      <c r="T1439" s="66" t="str">
        <f>IFERROR(__xludf.DUMMYFUNCTION("IF(COUNTA(Q1439:Q1673)=0,"""",IF(REGEXMATCH(INDEX(FILTER(Q$4:Q1439,Q$4:Q1439&lt;&gt;""""),ROWS(FILTER(Q$4:Q1439,Q$4:Q1439&lt;&gt;""""))),""^Sell_""),INDEX(FILTER(T$4:T1438,Q$4:Q1438&lt;&gt;""""),ROWS(FILTER(Q$4:Q1438,Q$4:Q1438&lt;&gt;""""))),$AD$5+S1439))"),"")</f>
        <v/>
      </c>
      <c r="U1439" s="10" t="str">
        <f>IFERROR(__xludf.DUMMYFUNCTION("IF(COUNTA(Q1439:Q1673)=0,"""",IF(Q1439="""",0,IF(REGEXMATCH(Q1439,""^Sell_""),-ROUNDDOWN(ROUNDUP(INDEX(Upgrades!$C$3:$C$13,MATCH(SUBSTITUTE(Q1439,""Sell_"",""""),Upgrades!$B$3:$B$13,0))*1.15^(COUNTIF(Q$4:Q1438,SUBSTITUTE(Q1439,""Sell_"",""""))-COUNTIF(Q$4"&amp;":Q1438,""Sell_""&amp;SUBSTITUTE(Q1439,""Sell_"",""""))))/2),ROUNDUP(INDEX(Upgrades!$C$3:$C$13,MATCH(Q1439,Upgrades!$B$3:$B$13,0))*1.15^(COUNTIF(Q$4:Q1438,Q1439)-COUNTIF(Q$4:Q1438,""Sell_""&amp;Q1439))))))"),"")</f>
        <v/>
      </c>
      <c r="V1439" s="10" t="str">
        <f t="shared" si="11"/>
        <v/>
      </c>
      <c r="W1439" s="68" t="str">
        <f t="shared" si="12"/>
        <v/>
      </c>
      <c r="X1439" s="59" t="str">
        <f t="shared" si="13"/>
        <v/>
      </c>
      <c r="Y1439" s="69" t="str">
        <f t="shared" si="14"/>
        <v/>
      </c>
      <c r="Z1439" s="11"/>
    </row>
    <row r="1440">
      <c r="A1440" s="8"/>
      <c r="B1440" s="56" t="str">
        <f t="shared" si="2"/>
        <v/>
      </c>
      <c r="C1440" s="105"/>
      <c r="D1440" s="10"/>
      <c r="E1440" s="59" t="str">
        <f t="array" ref="E1440">IF(COUNTA(C1440:C1673)=0,"",SUM((COUNTIF(C$4:C1440,Upgrades!$B$3:$B$13)-COUNTIF(C$4:C1440,"Sell_"&amp;Upgrades!$B$3:$B$13))*Upgrades!$D$3:$D$13))</f>
        <v/>
      </c>
      <c r="F1440" s="66" t="str">
        <f>IFERROR(__xludf.DUMMYFUNCTION("IF(COUNTA(C1440:C1673)=0,"""",IF(REGEXMATCH(INDEX(FILTER(C$4:C1440,C$4:C1440&lt;&gt;""""),ROWS(FILTER(C$4:C1440,C$4:C1440&lt;&gt;""""))),""^Sell_""),INDEX(FILTER(F$4:F1439,C$4:C1439&lt;&gt;""""),ROWS(FILTER(C$4:C1439,C$4:C1439&lt;&gt;""""))),$AC$5+E1440))"),"")</f>
        <v/>
      </c>
      <c r="G1440" s="10" t="str">
        <f>IFERROR(__xludf.DUMMYFUNCTION("IF(COUNTA(C1440:C1673)=0,"""",IF(C1440="""",0,IF(REGEXMATCH(C1440,""^Sell_""),-ROUNDDOWN(ROUNDUP(INDEX(Upgrades!$C$3:$C$13,MATCH(SUBSTITUTE(C1440,""Sell_"",""""),Upgrades!$B$3:$B$13,0))*1.15^(COUNTIF(C$4:C1439,SUBSTITUTE(C1440,""Sell_"",""""))-COUNTIF(C$4"&amp;":C1439,""Sell_""&amp;SUBSTITUTE(C1440,""Sell_"",""""))))/2),ROUNDUP(INDEX(Upgrades!$C$3:$C$13,MATCH(C1440,Upgrades!$B$3:$B$13,0))*1.15^(COUNTIF(C$4:C1439,C1440)-COUNTIF(C$4:C1439,""Sell_""&amp;C1440))))))"),"")</f>
        <v/>
      </c>
      <c r="H1440" s="10" t="str">
        <f t="shared" si="3"/>
        <v/>
      </c>
      <c r="I1440" s="68" t="str">
        <f t="shared" si="4"/>
        <v/>
      </c>
      <c r="J1440" s="59" t="str">
        <f t="shared" si="5"/>
        <v/>
      </c>
      <c r="K1440" s="69" t="str">
        <f t="shared" si="6"/>
        <v/>
      </c>
      <c r="L1440" s="60" t="str">
        <f t="shared" si="7"/>
        <v/>
      </c>
      <c r="M1440" s="61" t="str">
        <f>IFERROR(__xludf.DUMMYFUNCTION("IFS(AND(COUNTA(C1440:C1673)=0,COUNTA(Q1440:Q1673)=0),"""",OR(AND(K1440&gt;=1000000000,OR(Y1440&gt;=1000000000,COUNTA(Q1440:Q1673)=0)),OR(Y1440&gt;=1000000000,AND(COUNTA(C1440:C1673)=0,P$3=TRUE))),
ROUNDDOWN((AB$1-AC$1)*MAX(INDEX(T$4:T1673,MATCH(LARGE(FILTER(Y$4:Y1"&amp;"673,Y$4:Y1673&lt;1000000000),1),Y$4:Y1673)),INDEX(F$4:F1673,MATCH(LARGE(FILTER(K$4:K1673,K$4:K1673&lt;1000000000),1),K$4:K1673)))),AND(K1440&lt;1000000000,COUNTA(C1440:C1673)&gt;0,P$3=FALSE),
ROUNDDOWN(INDEX(Y$4:Y1673,MATCH(LARGE(FILTER(W$4:W1673,W$4:W1673&lt;=I1440),1)"&amp;",W$4:W1673))+(I1440-LARGE(FILTER(W$4:W1673,W$4:W1673&lt;=I1440),1))*INDEX(T$4:T1673,MATCH(LARGE(FILTER(W$4:W1673,W$4:W1673&lt;=I1440),1),W$4:W1673))-K1440),1,
ROUNDDOWN(Y1440-INDEX(K$4:K1673,MATCH(LARGE(FILTER(I$4:I1673,I$4:I1673&lt;=W1440),1),I$4:I1673))-(W1440-L"&amp;"ARGE(FILTER(I$4:I1673,I$4:I1673&lt;=W1440),1))*INDEX(F$4:F1673,MATCH(LARGE(FILTER(I$4:I1673,I$4:I1673&lt;=W1440),1),I$4:I1673))))"),"")</f>
        <v/>
      </c>
      <c r="N1440" s="60" t="str">
        <f t="shared" si="8"/>
        <v/>
      </c>
      <c r="O1440" s="61" t="str">
        <f t="shared" si="9"/>
        <v/>
      </c>
      <c r="P1440" s="56" t="str">
        <f t="shared" si="10"/>
        <v/>
      </c>
      <c r="Q1440" s="67"/>
      <c r="R1440" s="10"/>
      <c r="S1440" s="59" t="str">
        <f t="array" ref="S1440">IF(COUNTA(Q1440:Q1673)=0,"",SUM((COUNTIF(Q$4:Q1440,Upgrades!$B$3:$B$13)-COUNTIF(Q$4:Q1440,"Sell_"&amp;Upgrades!$B$3:$B$13))*Upgrades!$D$3:$D$13))</f>
        <v/>
      </c>
      <c r="T1440" s="66" t="str">
        <f>IFERROR(__xludf.DUMMYFUNCTION("IF(COUNTA(Q1440:Q1673)=0,"""",IF(REGEXMATCH(INDEX(FILTER(Q$4:Q1440,Q$4:Q1440&lt;&gt;""""),ROWS(FILTER(Q$4:Q1440,Q$4:Q1440&lt;&gt;""""))),""^Sell_""),INDEX(FILTER(T$4:T1439,Q$4:Q1439&lt;&gt;""""),ROWS(FILTER(Q$4:Q1439,Q$4:Q1439&lt;&gt;""""))),$AD$5+S1440))"),"")</f>
        <v/>
      </c>
      <c r="U1440" s="10" t="str">
        <f>IFERROR(__xludf.DUMMYFUNCTION("IF(COUNTA(Q1440:Q1673)=0,"""",IF(Q1440="""",0,IF(REGEXMATCH(Q1440,""^Sell_""),-ROUNDDOWN(ROUNDUP(INDEX(Upgrades!$C$3:$C$13,MATCH(SUBSTITUTE(Q1440,""Sell_"",""""),Upgrades!$B$3:$B$13,0))*1.15^(COUNTIF(Q$4:Q1439,SUBSTITUTE(Q1440,""Sell_"",""""))-COUNTIF(Q$4"&amp;":Q1439,""Sell_""&amp;SUBSTITUTE(Q1440,""Sell_"",""""))))/2),ROUNDUP(INDEX(Upgrades!$C$3:$C$13,MATCH(Q1440,Upgrades!$B$3:$B$13,0))*1.15^(COUNTIF(Q$4:Q1439,Q1440)-COUNTIF(Q$4:Q1439,""Sell_""&amp;Q1440))))))"),"")</f>
        <v/>
      </c>
      <c r="V1440" s="10" t="str">
        <f t="shared" si="11"/>
        <v/>
      </c>
      <c r="W1440" s="68" t="str">
        <f t="shared" si="12"/>
        <v/>
      </c>
      <c r="X1440" s="59" t="str">
        <f t="shared" si="13"/>
        <v/>
      </c>
      <c r="Y1440" s="69" t="str">
        <f t="shared" si="14"/>
        <v/>
      </c>
      <c r="Z1440" s="11"/>
    </row>
    <row r="1441">
      <c r="A1441" s="8"/>
      <c r="B1441" s="56" t="str">
        <f t="shared" si="2"/>
        <v/>
      </c>
      <c r="C1441" s="105"/>
      <c r="D1441" s="10"/>
      <c r="E1441" s="59" t="str">
        <f t="array" ref="E1441">IF(COUNTA(C1441:C1673)=0,"",SUM((COUNTIF(C$4:C1441,Upgrades!$B$3:$B$13)-COUNTIF(C$4:C1441,"Sell_"&amp;Upgrades!$B$3:$B$13))*Upgrades!$D$3:$D$13))</f>
        <v/>
      </c>
      <c r="F1441" s="66" t="str">
        <f>IFERROR(__xludf.DUMMYFUNCTION("IF(COUNTA(C1441:C1673)=0,"""",IF(REGEXMATCH(INDEX(FILTER(C$4:C1441,C$4:C1441&lt;&gt;""""),ROWS(FILTER(C$4:C1441,C$4:C1441&lt;&gt;""""))),""^Sell_""),INDEX(FILTER(F$4:F1440,C$4:C1440&lt;&gt;""""),ROWS(FILTER(C$4:C1440,C$4:C1440&lt;&gt;""""))),$AC$5+E1441))"),"")</f>
        <v/>
      </c>
      <c r="G1441" s="10" t="str">
        <f>IFERROR(__xludf.DUMMYFUNCTION("IF(COUNTA(C1441:C1673)=0,"""",IF(C1441="""",0,IF(REGEXMATCH(C1441,""^Sell_""),-ROUNDDOWN(ROUNDUP(INDEX(Upgrades!$C$3:$C$13,MATCH(SUBSTITUTE(C1441,""Sell_"",""""),Upgrades!$B$3:$B$13,0))*1.15^(COUNTIF(C$4:C1440,SUBSTITUTE(C1441,""Sell_"",""""))-COUNTIF(C$4"&amp;":C1440,""Sell_""&amp;SUBSTITUTE(C1441,""Sell_"",""""))))/2),ROUNDUP(INDEX(Upgrades!$C$3:$C$13,MATCH(C1441,Upgrades!$B$3:$B$13,0))*1.15^(COUNTIF(C$4:C1440,C1441)-COUNTIF(C$4:C1440,""Sell_""&amp;C1441))))))"),"")</f>
        <v/>
      </c>
      <c r="H1441" s="10" t="str">
        <f t="shared" si="3"/>
        <v/>
      </c>
      <c r="I1441" s="68" t="str">
        <f t="shared" si="4"/>
        <v/>
      </c>
      <c r="J1441" s="59" t="str">
        <f t="shared" si="5"/>
        <v/>
      </c>
      <c r="K1441" s="69" t="str">
        <f t="shared" si="6"/>
        <v/>
      </c>
      <c r="L1441" s="60" t="str">
        <f t="shared" si="7"/>
        <v/>
      </c>
      <c r="M1441" s="61" t="str">
        <f>IFERROR(__xludf.DUMMYFUNCTION("IFS(AND(COUNTA(C1441:C1673)=0,COUNTA(Q1441:Q1673)=0),"""",OR(AND(K1441&gt;=1000000000,OR(Y1441&gt;=1000000000,COUNTA(Q1441:Q1673)=0)),OR(Y1441&gt;=1000000000,AND(COUNTA(C1441:C1673)=0,P$3=TRUE))),
ROUNDDOWN((AB$1-AC$1)*MAX(INDEX(T$4:T1673,MATCH(LARGE(FILTER(Y$4:Y1"&amp;"673,Y$4:Y1673&lt;1000000000),1),Y$4:Y1673)),INDEX(F$4:F1673,MATCH(LARGE(FILTER(K$4:K1673,K$4:K1673&lt;1000000000),1),K$4:K1673)))),AND(K1441&lt;1000000000,COUNTA(C1441:C1673)&gt;0,P$3=FALSE),
ROUNDDOWN(INDEX(Y$4:Y1673,MATCH(LARGE(FILTER(W$4:W1673,W$4:W1673&lt;=I1441),1)"&amp;",W$4:W1673))+(I1441-LARGE(FILTER(W$4:W1673,W$4:W1673&lt;=I1441),1))*INDEX(T$4:T1673,MATCH(LARGE(FILTER(W$4:W1673,W$4:W1673&lt;=I1441),1),W$4:W1673))-K1441),1,
ROUNDDOWN(Y1441-INDEX(K$4:K1673,MATCH(LARGE(FILTER(I$4:I1673,I$4:I1673&lt;=W1441),1),I$4:I1673))-(W1441-L"&amp;"ARGE(FILTER(I$4:I1673,I$4:I1673&lt;=W1441),1))*INDEX(F$4:F1673,MATCH(LARGE(FILTER(I$4:I1673,I$4:I1673&lt;=W1441),1),I$4:I1673))))"),"")</f>
        <v/>
      </c>
      <c r="N1441" s="60" t="str">
        <f t="shared" si="8"/>
        <v/>
      </c>
      <c r="O1441" s="61" t="str">
        <f t="shared" si="9"/>
        <v/>
      </c>
      <c r="P1441" s="56" t="str">
        <f t="shared" si="10"/>
        <v/>
      </c>
      <c r="Q1441" s="67"/>
      <c r="R1441" s="10"/>
      <c r="S1441" s="59" t="str">
        <f t="array" ref="S1441">IF(COUNTA(Q1441:Q1673)=0,"",SUM((COUNTIF(Q$4:Q1441,Upgrades!$B$3:$B$13)-COUNTIF(Q$4:Q1441,"Sell_"&amp;Upgrades!$B$3:$B$13))*Upgrades!$D$3:$D$13))</f>
        <v/>
      </c>
      <c r="T1441" s="66" t="str">
        <f>IFERROR(__xludf.DUMMYFUNCTION("IF(COUNTA(Q1441:Q1673)=0,"""",IF(REGEXMATCH(INDEX(FILTER(Q$4:Q1441,Q$4:Q1441&lt;&gt;""""),ROWS(FILTER(Q$4:Q1441,Q$4:Q1441&lt;&gt;""""))),""^Sell_""),INDEX(FILTER(T$4:T1440,Q$4:Q1440&lt;&gt;""""),ROWS(FILTER(Q$4:Q1440,Q$4:Q1440&lt;&gt;""""))),$AD$5+S1441))"),"")</f>
        <v/>
      </c>
      <c r="U1441" s="10" t="str">
        <f>IFERROR(__xludf.DUMMYFUNCTION("IF(COUNTA(Q1441:Q1673)=0,"""",IF(Q1441="""",0,IF(REGEXMATCH(Q1441,""^Sell_""),-ROUNDDOWN(ROUNDUP(INDEX(Upgrades!$C$3:$C$13,MATCH(SUBSTITUTE(Q1441,""Sell_"",""""),Upgrades!$B$3:$B$13,0))*1.15^(COUNTIF(Q$4:Q1440,SUBSTITUTE(Q1441,""Sell_"",""""))-COUNTIF(Q$4"&amp;":Q1440,""Sell_""&amp;SUBSTITUTE(Q1441,""Sell_"",""""))))/2),ROUNDUP(INDEX(Upgrades!$C$3:$C$13,MATCH(Q1441,Upgrades!$B$3:$B$13,0))*1.15^(COUNTIF(Q$4:Q1440,Q1441)-COUNTIF(Q$4:Q1440,""Sell_""&amp;Q1441))))))"),"")</f>
        <v/>
      </c>
      <c r="V1441" s="10" t="str">
        <f t="shared" si="11"/>
        <v/>
      </c>
      <c r="W1441" s="68" t="str">
        <f t="shared" si="12"/>
        <v/>
      </c>
      <c r="X1441" s="59" t="str">
        <f t="shared" si="13"/>
        <v/>
      </c>
      <c r="Y1441" s="69" t="str">
        <f t="shared" si="14"/>
        <v/>
      </c>
      <c r="Z1441" s="11"/>
    </row>
    <row r="1442">
      <c r="A1442" s="8"/>
      <c r="B1442" s="56" t="str">
        <f t="shared" si="2"/>
        <v/>
      </c>
      <c r="C1442" s="105"/>
      <c r="D1442" s="10"/>
      <c r="E1442" s="59" t="str">
        <f t="array" ref="E1442">IF(COUNTA(C1442:C1673)=0,"",SUM((COUNTIF(C$4:C1442,Upgrades!$B$3:$B$13)-COUNTIF(C$4:C1442,"Sell_"&amp;Upgrades!$B$3:$B$13))*Upgrades!$D$3:$D$13))</f>
        <v/>
      </c>
      <c r="F1442" s="66" t="str">
        <f>IFERROR(__xludf.DUMMYFUNCTION("IF(COUNTA(C1442:C1673)=0,"""",IF(REGEXMATCH(INDEX(FILTER(C$4:C1442,C$4:C1442&lt;&gt;""""),ROWS(FILTER(C$4:C1442,C$4:C1442&lt;&gt;""""))),""^Sell_""),INDEX(FILTER(F$4:F1441,C$4:C1441&lt;&gt;""""),ROWS(FILTER(C$4:C1441,C$4:C1441&lt;&gt;""""))),$AC$5+E1442))"),"")</f>
        <v/>
      </c>
      <c r="G1442" s="10" t="str">
        <f>IFERROR(__xludf.DUMMYFUNCTION("IF(COUNTA(C1442:C1673)=0,"""",IF(C1442="""",0,IF(REGEXMATCH(C1442,""^Sell_""),-ROUNDDOWN(ROUNDUP(INDEX(Upgrades!$C$3:$C$13,MATCH(SUBSTITUTE(C1442,""Sell_"",""""),Upgrades!$B$3:$B$13,0))*1.15^(COUNTIF(C$4:C1441,SUBSTITUTE(C1442,""Sell_"",""""))-COUNTIF(C$4"&amp;":C1441,""Sell_""&amp;SUBSTITUTE(C1442,""Sell_"",""""))))/2),ROUNDUP(INDEX(Upgrades!$C$3:$C$13,MATCH(C1442,Upgrades!$B$3:$B$13,0))*1.15^(COUNTIF(C$4:C1441,C1442)-COUNTIF(C$4:C1441,""Sell_""&amp;C1442))))))"),"")</f>
        <v/>
      </c>
      <c r="H1442" s="10" t="str">
        <f t="shared" si="3"/>
        <v/>
      </c>
      <c r="I1442" s="68" t="str">
        <f t="shared" si="4"/>
        <v/>
      </c>
      <c r="J1442" s="59" t="str">
        <f t="shared" si="5"/>
        <v/>
      </c>
      <c r="K1442" s="69" t="str">
        <f t="shared" si="6"/>
        <v/>
      </c>
      <c r="L1442" s="60" t="str">
        <f t="shared" si="7"/>
        <v/>
      </c>
      <c r="M1442" s="61" t="str">
        <f>IFERROR(__xludf.DUMMYFUNCTION("IFS(AND(COUNTA(C1442:C1673)=0,COUNTA(Q1442:Q1673)=0),"""",OR(AND(K1442&gt;=1000000000,OR(Y1442&gt;=1000000000,COUNTA(Q1442:Q1673)=0)),OR(Y1442&gt;=1000000000,AND(COUNTA(C1442:C1673)=0,P$3=TRUE))),
ROUNDDOWN((AB$1-AC$1)*MAX(INDEX(T$4:T1673,MATCH(LARGE(FILTER(Y$4:Y1"&amp;"673,Y$4:Y1673&lt;1000000000),1),Y$4:Y1673)),INDEX(F$4:F1673,MATCH(LARGE(FILTER(K$4:K1673,K$4:K1673&lt;1000000000),1),K$4:K1673)))),AND(K1442&lt;1000000000,COUNTA(C1442:C1673)&gt;0,P$3=FALSE),
ROUNDDOWN(INDEX(Y$4:Y1673,MATCH(LARGE(FILTER(W$4:W1673,W$4:W1673&lt;=I1442),1)"&amp;",W$4:W1673))+(I1442-LARGE(FILTER(W$4:W1673,W$4:W1673&lt;=I1442),1))*INDEX(T$4:T1673,MATCH(LARGE(FILTER(W$4:W1673,W$4:W1673&lt;=I1442),1),W$4:W1673))-K1442),1,
ROUNDDOWN(Y1442-INDEX(K$4:K1673,MATCH(LARGE(FILTER(I$4:I1673,I$4:I1673&lt;=W1442),1),I$4:I1673))-(W1442-L"&amp;"ARGE(FILTER(I$4:I1673,I$4:I1673&lt;=W1442),1))*INDEX(F$4:F1673,MATCH(LARGE(FILTER(I$4:I1673,I$4:I1673&lt;=W1442),1),I$4:I1673))))"),"")</f>
        <v/>
      </c>
      <c r="N1442" s="60" t="str">
        <f t="shared" si="8"/>
        <v/>
      </c>
      <c r="O1442" s="61" t="str">
        <f t="shared" si="9"/>
        <v/>
      </c>
      <c r="P1442" s="56" t="str">
        <f t="shared" si="10"/>
        <v/>
      </c>
      <c r="Q1442" s="67"/>
      <c r="R1442" s="10"/>
      <c r="S1442" s="59" t="str">
        <f t="array" ref="S1442">IF(COUNTA(Q1442:Q1673)=0,"",SUM((COUNTIF(Q$4:Q1442,Upgrades!$B$3:$B$13)-COUNTIF(Q$4:Q1442,"Sell_"&amp;Upgrades!$B$3:$B$13))*Upgrades!$D$3:$D$13))</f>
        <v/>
      </c>
      <c r="T1442" s="66" t="str">
        <f>IFERROR(__xludf.DUMMYFUNCTION("IF(COUNTA(Q1442:Q1673)=0,"""",IF(REGEXMATCH(INDEX(FILTER(Q$4:Q1442,Q$4:Q1442&lt;&gt;""""),ROWS(FILTER(Q$4:Q1442,Q$4:Q1442&lt;&gt;""""))),""^Sell_""),INDEX(FILTER(T$4:T1441,Q$4:Q1441&lt;&gt;""""),ROWS(FILTER(Q$4:Q1441,Q$4:Q1441&lt;&gt;""""))),$AD$5+S1442))"),"")</f>
        <v/>
      </c>
      <c r="U1442" s="10" t="str">
        <f>IFERROR(__xludf.DUMMYFUNCTION("IF(COUNTA(Q1442:Q1673)=0,"""",IF(Q1442="""",0,IF(REGEXMATCH(Q1442,""^Sell_""),-ROUNDDOWN(ROUNDUP(INDEX(Upgrades!$C$3:$C$13,MATCH(SUBSTITUTE(Q1442,""Sell_"",""""),Upgrades!$B$3:$B$13,0))*1.15^(COUNTIF(Q$4:Q1441,SUBSTITUTE(Q1442,""Sell_"",""""))-COUNTIF(Q$4"&amp;":Q1441,""Sell_""&amp;SUBSTITUTE(Q1442,""Sell_"",""""))))/2),ROUNDUP(INDEX(Upgrades!$C$3:$C$13,MATCH(Q1442,Upgrades!$B$3:$B$13,0))*1.15^(COUNTIF(Q$4:Q1441,Q1442)-COUNTIF(Q$4:Q1441,""Sell_""&amp;Q1442))))))"),"")</f>
        <v/>
      </c>
      <c r="V1442" s="10" t="str">
        <f t="shared" si="11"/>
        <v/>
      </c>
      <c r="W1442" s="68" t="str">
        <f t="shared" si="12"/>
        <v/>
      </c>
      <c r="X1442" s="59" t="str">
        <f t="shared" si="13"/>
        <v/>
      </c>
      <c r="Y1442" s="69" t="str">
        <f t="shared" si="14"/>
        <v/>
      </c>
      <c r="Z1442" s="11"/>
    </row>
    <row r="1443">
      <c r="A1443" s="8"/>
      <c r="B1443" s="56" t="str">
        <f t="shared" si="2"/>
        <v/>
      </c>
      <c r="C1443" s="105"/>
      <c r="D1443" s="10"/>
      <c r="E1443" s="59" t="str">
        <f t="array" ref="E1443">IF(COUNTA(C1443:C1673)=0,"",SUM((COUNTIF(C$4:C1443,Upgrades!$B$3:$B$13)-COUNTIF(C$4:C1443,"Sell_"&amp;Upgrades!$B$3:$B$13))*Upgrades!$D$3:$D$13))</f>
        <v/>
      </c>
      <c r="F1443" s="66" t="str">
        <f>IFERROR(__xludf.DUMMYFUNCTION("IF(COUNTA(C1443:C1673)=0,"""",IF(REGEXMATCH(INDEX(FILTER(C$4:C1443,C$4:C1443&lt;&gt;""""),ROWS(FILTER(C$4:C1443,C$4:C1443&lt;&gt;""""))),""^Sell_""),INDEX(FILTER(F$4:F1442,C$4:C1442&lt;&gt;""""),ROWS(FILTER(C$4:C1442,C$4:C1442&lt;&gt;""""))),$AC$5+E1443))"),"")</f>
        <v/>
      </c>
      <c r="G1443" s="10" t="str">
        <f>IFERROR(__xludf.DUMMYFUNCTION("IF(COUNTA(C1443:C1673)=0,"""",IF(C1443="""",0,IF(REGEXMATCH(C1443,""^Sell_""),-ROUNDDOWN(ROUNDUP(INDEX(Upgrades!$C$3:$C$13,MATCH(SUBSTITUTE(C1443,""Sell_"",""""),Upgrades!$B$3:$B$13,0))*1.15^(COUNTIF(C$4:C1442,SUBSTITUTE(C1443,""Sell_"",""""))-COUNTIF(C$4"&amp;":C1442,""Sell_""&amp;SUBSTITUTE(C1443,""Sell_"",""""))))/2),ROUNDUP(INDEX(Upgrades!$C$3:$C$13,MATCH(C1443,Upgrades!$B$3:$B$13,0))*1.15^(COUNTIF(C$4:C1442,C1443)-COUNTIF(C$4:C1442,""Sell_""&amp;C1443))))))"),"")</f>
        <v/>
      </c>
      <c r="H1443" s="10" t="str">
        <f t="shared" si="3"/>
        <v/>
      </c>
      <c r="I1443" s="68" t="str">
        <f t="shared" si="4"/>
        <v/>
      </c>
      <c r="J1443" s="59" t="str">
        <f t="shared" si="5"/>
        <v/>
      </c>
      <c r="K1443" s="69" t="str">
        <f t="shared" si="6"/>
        <v/>
      </c>
      <c r="L1443" s="60" t="str">
        <f t="shared" si="7"/>
        <v/>
      </c>
      <c r="M1443" s="61" t="str">
        <f>IFERROR(__xludf.DUMMYFUNCTION("IFS(AND(COUNTA(C1443:C1673)=0,COUNTA(Q1443:Q1673)=0),"""",OR(AND(K1443&gt;=1000000000,OR(Y1443&gt;=1000000000,COUNTA(Q1443:Q1673)=0)),OR(Y1443&gt;=1000000000,AND(COUNTA(C1443:C1673)=0,P$3=TRUE))),
ROUNDDOWN((AB$1-AC$1)*MAX(INDEX(T$4:T1673,MATCH(LARGE(FILTER(Y$4:Y1"&amp;"673,Y$4:Y1673&lt;1000000000),1),Y$4:Y1673)),INDEX(F$4:F1673,MATCH(LARGE(FILTER(K$4:K1673,K$4:K1673&lt;1000000000),1),K$4:K1673)))),AND(K1443&lt;1000000000,COUNTA(C1443:C1673)&gt;0,P$3=FALSE),
ROUNDDOWN(INDEX(Y$4:Y1673,MATCH(LARGE(FILTER(W$4:W1673,W$4:W1673&lt;=I1443),1)"&amp;",W$4:W1673))+(I1443-LARGE(FILTER(W$4:W1673,W$4:W1673&lt;=I1443),1))*INDEX(T$4:T1673,MATCH(LARGE(FILTER(W$4:W1673,W$4:W1673&lt;=I1443),1),W$4:W1673))-K1443),1,
ROUNDDOWN(Y1443-INDEX(K$4:K1673,MATCH(LARGE(FILTER(I$4:I1673,I$4:I1673&lt;=W1443),1),I$4:I1673))-(W1443-L"&amp;"ARGE(FILTER(I$4:I1673,I$4:I1673&lt;=W1443),1))*INDEX(F$4:F1673,MATCH(LARGE(FILTER(I$4:I1673,I$4:I1673&lt;=W1443),1),I$4:I1673))))"),"")</f>
        <v/>
      </c>
      <c r="N1443" s="60" t="str">
        <f t="shared" si="8"/>
        <v/>
      </c>
      <c r="O1443" s="61" t="str">
        <f t="shared" si="9"/>
        <v/>
      </c>
      <c r="P1443" s="56" t="str">
        <f t="shared" si="10"/>
        <v/>
      </c>
      <c r="Q1443" s="67"/>
      <c r="R1443" s="10"/>
      <c r="S1443" s="59" t="str">
        <f t="array" ref="S1443">IF(COUNTA(Q1443:Q1673)=0,"",SUM((COUNTIF(Q$4:Q1443,Upgrades!$B$3:$B$13)-COUNTIF(Q$4:Q1443,"Sell_"&amp;Upgrades!$B$3:$B$13))*Upgrades!$D$3:$D$13))</f>
        <v/>
      </c>
      <c r="T1443" s="66" t="str">
        <f>IFERROR(__xludf.DUMMYFUNCTION("IF(COUNTA(Q1443:Q1673)=0,"""",IF(REGEXMATCH(INDEX(FILTER(Q$4:Q1443,Q$4:Q1443&lt;&gt;""""),ROWS(FILTER(Q$4:Q1443,Q$4:Q1443&lt;&gt;""""))),""^Sell_""),INDEX(FILTER(T$4:T1442,Q$4:Q1442&lt;&gt;""""),ROWS(FILTER(Q$4:Q1442,Q$4:Q1442&lt;&gt;""""))),$AD$5+S1443))"),"")</f>
        <v/>
      </c>
      <c r="U1443" s="10" t="str">
        <f>IFERROR(__xludf.DUMMYFUNCTION("IF(COUNTA(Q1443:Q1673)=0,"""",IF(Q1443="""",0,IF(REGEXMATCH(Q1443,""^Sell_""),-ROUNDDOWN(ROUNDUP(INDEX(Upgrades!$C$3:$C$13,MATCH(SUBSTITUTE(Q1443,""Sell_"",""""),Upgrades!$B$3:$B$13,0))*1.15^(COUNTIF(Q$4:Q1442,SUBSTITUTE(Q1443,""Sell_"",""""))-COUNTIF(Q$4"&amp;":Q1442,""Sell_""&amp;SUBSTITUTE(Q1443,""Sell_"",""""))))/2),ROUNDUP(INDEX(Upgrades!$C$3:$C$13,MATCH(Q1443,Upgrades!$B$3:$B$13,0))*1.15^(COUNTIF(Q$4:Q1442,Q1443)-COUNTIF(Q$4:Q1442,""Sell_""&amp;Q1443))))))"),"")</f>
        <v/>
      </c>
      <c r="V1443" s="10" t="str">
        <f t="shared" si="11"/>
        <v/>
      </c>
      <c r="W1443" s="68" t="str">
        <f t="shared" si="12"/>
        <v/>
      </c>
      <c r="X1443" s="59" t="str">
        <f t="shared" si="13"/>
        <v/>
      </c>
      <c r="Y1443" s="69" t="str">
        <f t="shared" si="14"/>
        <v/>
      </c>
      <c r="Z1443" s="11"/>
    </row>
    <row r="1444">
      <c r="A1444" s="8"/>
      <c r="B1444" s="56" t="str">
        <f t="shared" si="2"/>
        <v/>
      </c>
      <c r="C1444" s="105"/>
      <c r="D1444" s="10"/>
      <c r="E1444" s="59" t="str">
        <f t="array" ref="E1444">IF(COUNTA(C1444:C1673)=0,"",SUM((COUNTIF(C$4:C1444,Upgrades!$B$3:$B$13)-COUNTIF(C$4:C1444,"Sell_"&amp;Upgrades!$B$3:$B$13))*Upgrades!$D$3:$D$13))</f>
        <v/>
      </c>
      <c r="F1444" s="66" t="str">
        <f>IFERROR(__xludf.DUMMYFUNCTION("IF(COUNTA(C1444:C1673)=0,"""",IF(REGEXMATCH(INDEX(FILTER(C$4:C1444,C$4:C1444&lt;&gt;""""),ROWS(FILTER(C$4:C1444,C$4:C1444&lt;&gt;""""))),""^Sell_""),INDEX(FILTER(F$4:F1443,C$4:C1443&lt;&gt;""""),ROWS(FILTER(C$4:C1443,C$4:C1443&lt;&gt;""""))),$AC$5+E1444))"),"")</f>
        <v/>
      </c>
      <c r="G1444" s="10" t="str">
        <f>IFERROR(__xludf.DUMMYFUNCTION("IF(COUNTA(C1444:C1673)=0,"""",IF(C1444="""",0,IF(REGEXMATCH(C1444,""^Sell_""),-ROUNDDOWN(ROUNDUP(INDEX(Upgrades!$C$3:$C$13,MATCH(SUBSTITUTE(C1444,""Sell_"",""""),Upgrades!$B$3:$B$13,0))*1.15^(COUNTIF(C$4:C1443,SUBSTITUTE(C1444,""Sell_"",""""))-COUNTIF(C$4"&amp;":C1443,""Sell_""&amp;SUBSTITUTE(C1444,""Sell_"",""""))))/2),ROUNDUP(INDEX(Upgrades!$C$3:$C$13,MATCH(C1444,Upgrades!$B$3:$B$13,0))*1.15^(COUNTIF(C$4:C1443,C1444)-COUNTIF(C$4:C1443,""Sell_""&amp;C1444))))))"),"")</f>
        <v/>
      </c>
      <c r="H1444" s="10" t="str">
        <f t="shared" si="3"/>
        <v/>
      </c>
      <c r="I1444" s="68" t="str">
        <f t="shared" si="4"/>
        <v/>
      </c>
      <c r="J1444" s="59" t="str">
        <f t="shared" si="5"/>
        <v/>
      </c>
      <c r="K1444" s="69" t="str">
        <f t="shared" si="6"/>
        <v/>
      </c>
      <c r="L1444" s="60" t="str">
        <f t="shared" si="7"/>
        <v/>
      </c>
      <c r="M1444" s="61" t="str">
        <f>IFERROR(__xludf.DUMMYFUNCTION("IFS(AND(COUNTA(C1444:C1673)=0,COUNTA(Q1444:Q1673)=0),"""",OR(AND(K1444&gt;=1000000000,OR(Y1444&gt;=1000000000,COUNTA(Q1444:Q1673)=0)),OR(Y1444&gt;=1000000000,AND(COUNTA(C1444:C1673)=0,P$3=TRUE))),
ROUNDDOWN((AB$1-AC$1)*MAX(INDEX(T$4:T1673,MATCH(LARGE(FILTER(Y$4:Y1"&amp;"673,Y$4:Y1673&lt;1000000000),1),Y$4:Y1673)),INDEX(F$4:F1673,MATCH(LARGE(FILTER(K$4:K1673,K$4:K1673&lt;1000000000),1),K$4:K1673)))),AND(K1444&lt;1000000000,COUNTA(C1444:C1673)&gt;0,P$3=FALSE),
ROUNDDOWN(INDEX(Y$4:Y1673,MATCH(LARGE(FILTER(W$4:W1673,W$4:W1673&lt;=I1444),1)"&amp;",W$4:W1673))+(I1444-LARGE(FILTER(W$4:W1673,W$4:W1673&lt;=I1444),1))*INDEX(T$4:T1673,MATCH(LARGE(FILTER(W$4:W1673,W$4:W1673&lt;=I1444),1),W$4:W1673))-K1444),1,
ROUNDDOWN(Y1444-INDEX(K$4:K1673,MATCH(LARGE(FILTER(I$4:I1673,I$4:I1673&lt;=W1444),1),I$4:I1673))-(W1444-L"&amp;"ARGE(FILTER(I$4:I1673,I$4:I1673&lt;=W1444),1))*INDEX(F$4:F1673,MATCH(LARGE(FILTER(I$4:I1673,I$4:I1673&lt;=W1444),1),I$4:I1673))))"),"")</f>
        <v/>
      </c>
      <c r="N1444" s="60" t="str">
        <f t="shared" si="8"/>
        <v/>
      </c>
      <c r="O1444" s="61" t="str">
        <f t="shared" si="9"/>
        <v/>
      </c>
      <c r="P1444" s="56" t="str">
        <f t="shared" si="10"/>
        <v/>
      </c>
      <c r="Q1444" s="67"/>
      <c r="R1444" s="10"/>
      <c r="S1444" s="59" t="str">
        <f t="array" ref="S1444">IF(COUNTA(Q1444:Q1673)=0,"",SUM((COUNTIF(Q$4:Q1444,Upgrades!$B$3:$B$13)-COUNTIF(Q$4:Q1444,"Sell_"&amp;Upgrades!$B$3:$B$13))*Upgrades!$D$3:$D$13))</f>
        <v/>
      </c>
      <c r="T1444" s="66" t="str">
        <f>IFERROR(__xludf.DUMMYFUNCTION("IF(COUNTA(Q1444:Q1673)=0,"""",IF(REGEXMATCH(INDEX(FILTER(Q$4:Q1444,Q$4:Q1444&lt;&gt;""""),ROWS(FILTER(Q$4:Q1444,Q$4:Q1444&lt;&gt;""""))),""^Sell_""),INDEX(FILTER(T$4:T1443,Q$4:Q1443&lt;&gt;""""),ROWS(FILTER(Q$4:Q1443,Q$4:Q1443&lt;&gt;""""))),$AD$5+S1444))"),"")</f>
        <v/>
      </c>
      <c r="U1444" s="10" t="str">
        <f>IFERROR(__xludf.DUMMYFUNCTION("IF(COUNTA(Q1444:Q1673)=0,"""",IF(Q1444="""",0,IF(REGEXMATCH(Q1444,""^Sell_""),-ROUNDDOWN(ROUNDUP(INDEX(Upgrades!$C$3:$C$13,MATCH(SUBSTITUTE(Q1444,""Sell_"",""""),Upgrades!$B$3:$B$13,0))*1.15^(COUNTIF(Q$4:Q1443,SUBSTITUTE(Q1444,""Sell_"",""""))-COUNTIF(Q$4"&amp;":Q1443,""Sell_""&amp;SUBSTITUTE(Q1444,""Sell_"",""""))))/2),ROUNDUP(INDEX(Upgrades!$C$3:$C$13,MATCH(Q1444,Upgrades!$B$3:$B$13,0))*1.15^(COUNTIF(Q$4:Q1443,Q1444)-COUNTIF(Q$4:Q1443,""Sell_""&amp;Q1444))))))"),"")</f>
        <v/>
      </c>
      <c r="V1444" s="10" t="str">
        <f t="shared" si="11"/>
        <v/>
      </c>
      <c r="W1444" s="68" t="str">
        <f t="shared" si="12"/>
        <v/>
      </c>
      <c r="X1444" s="59" t="str">
        <f t="shared" si="13"/>
        <v/>
      </c>
      <c r="Y1444" s="69" t="str">
        <f t="shared" si="14"/>
        <v/>
      </c>
      <c r="Z1444" s="11"/>
    </row>
    <row r="1445">
      <c r="A1445" s="8"/>
      <c r="B1445" s="56" t="str">
        <f t="shared" si="2"/>
        <v/>
      </c>
      <c r="C1445" s="105"/>
      <c r="D1445" s="10"/>
      <c r="E1445" s="59" t="str">
        <f t="array" ref="E1445">IF(COUNTA(C1445:C1673)=0,"",SUM((COUNTIF(C$4:C1445,Upgrades!$B$3:$B$13)-COUNTIF(C$4:C1445,"Sell_"&amp;Upgrades!$B$3:$B$13))*Upgrades!$D$3:$D$13))</f>
        <v/>
      </c>
      <c r="F1445" s="66" t="str">
        <f>IFERROR(__xludf.DUMMYFUNCTION("IF(COUNTA(C1445:C1673)=0,"""",IF(REGEXMATCH(INDEX(FILTER(C$4:C1445,C$4:C1445&lt;&gt;""""),ROWS(FILTER(C$4:C1445,C$4:C1445&lt;&gt;""""))),""^Sell_""),INDEX(FILTER(F$4:F1444,C$4:C1444&lt;&gt;""""),ROWS(FILTER(C$4:C1444,C$4:C1444&lt;&gt;""""))),$AC$5+E1445))"),"")</f>
        <v/>
      </c>
      <c r="G1445" s="10" t="str">
        <f>IFERROR(__xludf.DUMMYFUNCTION("IF(COUNTA(C1445:C1673)=0,"""",IF(C1445="""",0,IF(REGEXMATCH(C1445,""^Sell_""),-ROUNDDOWN(ROUNDUP(INDEX(Upgrades!$C$3:$C$13,MATCH(SUBSTITUTE(C1445,""Sell_"",""""),Upgrades!$B$3:$B$13,0))*1.15^(COUNTIF(C$4:C1444,SUBSTITUTE(C1445,""Sell_"",""""))-COUNTIF(C$4"&amp;":C1444,""Sell_""&amp;SUBSTITUTE(C1445,""Sell_"",""""))))/2),ROUNDUP(INDEX(Upgrades!$C$3:$C$13,MATCH(C1445,Upgrades!$B$3:$B$13,0))*1.15^(COUNTIF(C$4:C1444,C1445)-COUNTIF(C$4:C1444,""Sell_""&amp;C1445))))))"),"")</f>
        <v/>
      </c>
      <c r="H1445" s="10" t="str">
        <f t="shared" si="3"/>
        <v/>
      </c>
      <c r="I1445" s="68" t="str">
        <f t="shared" si="4"/>
        <v/>
      </c>
      <c r="J1445" s="59" t="str">
        <f t="shared" si="5"/>
        <v/>
      </c>
      <c r="K1445" s="69" t="str">
        <f t="shared" si="6"/>
        <v/>
      </c>
      <c r="L1445" s="60" t="str">
        <f t="shared" si="7"/>
        <v/>
      </c>
      <c r="M1445" s="61" t="str">
        <f>IFERROR(__xludf.DUMMYFUNCTION("IFS(AND(COUNTA(C1445:C1673)=0,COUNTA(Q1445:Q1673)=0),"""",OR(AND(K1445&gt;=1000000000,OR(Y1445&gt;=1000000000,COUNTA(Q1445:Q1673)=0)),OR(Y1445&gt;=1000000000,AND(COUNTA(C1445:C1673)=0,P$3=TRUE))),
ROUNDDOWN((AB$1-AC$1)*MAX(INDEX(T$4:T1673,MATCH(LARGE(FILTER(Y$4:Y1"&amp;"673,Y$4:Y1673&lt;1000000000),1),Y$4:Y1673)),INDEX(F$4:F1673,MATCH(LARGE(FILTER(K$4:K1673,K$4:K1673&lt;1000000000),1),K$4:K1673)))),AND(K1445&lt;1000000000,COUNTA(C1445:C1673)&gt;0,P$3=FALSE),
ROUNDDOWN(INDEX(Y$4:Y1673,MATCH(LARGE(FILTER(W$4:W1673,W$4:W1673&lt;=I1445),1)"&amp;",W$4:W1673))+(I1445-LARGE(FILTER(W$4:W1673,W$4:W1673&lt;=I1445),1))*INDEX(T$4:T1673,MATCH(LARGE(FILTER(W$4:W1673,W$4:W1673&lt;=I1445),1),W$4:W1673))-K1445),1,
ROUNDDOWN(Y1445-INDEX(K$4:K1673,MATCH(LARGE(FILTER(I$4:I1673,I$4:I1673&lt;=W1445),1),I$4:I1673))-(W1445-L"&amp;"ARGE(FILTER(I$4:I1673,I$4:I1673&lt;=W1445),1))*INDEX(F$4:F1673,MATCH(LARGE(FILTER(I$4:I1673,I$4:I1673&lt;=W1445),1),I$4:I1673))))"),"")</f>
        <v/>
      </c>
      <c r="N1445" s="60" t="str">
        <f t="shared" si="8"/>
        <v/>
      </c>
      <c r="O1445" s="61" t="str">
        <f t="shared" si="9"/>
        <v/>
      </c>
      <c r="P1445" s="56" t="str">
        <f t="shared" si="10"/>
        <v/>
      </c>
      <c r="Q1445" s="67"/>
      <c r="R1445" s="10"/>
      <c r="S1445" s="59" t="str">
        <f t="array" ref="S1445">IF(COUNTA(Q1445:Q1673)=0,"",SUM((COUNTIF(Q$4:Q1445,Upgrades!$B$3:$B$13)-COUNTIF(Q$4:Q1445,"Sell_"&amp;Upgrades!$B$3:$B$13))*Upgrades!$D$3:$D$13))</f>
        <v/>
      </c>
      <c r="T1445" s="66" t="str">
        <f>IFERROR(__xludf.DUMMYFUNCTION("IF(COUNTA(Q1445:Q1673)=0,"""",IF(REGEXMATCH(INDEX(FILTER(Q$4:Q1445,Q$4:Q1445&lt;&gt;""""),ROWS(FILTER(Q$4:Q1445,Q$4:Q1445&lt;&gt;""""))),""^Sell_""),INDEX(FILTER(T$4:T1444,Q$4:Q1444&lt;&gt;""""),ROWS(FILTER(Q$4:Q1444,Q$4:Q1444&lt;&gt;""""))),$AD$5+S1445))"),"")</f>
        <v/>
      </c>
      <c r="U1445" s="10" t="str">
        <f>IFERROR(__xludf.DUMMYFUNCTION("IF(COUNTA(Q1445:Q1673)=0,"""",IF(Q1445="""",0,IF(REGEXMATCH(Q1445,""^Sell_""),-ROUNDDOWN(ROUNDUP(INDEX(Upgrades!$C$3:$C$13,MATCH(SUBSTITUTE(Q1445,""Sell_"",""""),Upgrades!$B$3:$B$13,0))*1.15^(COUNTIF(Q$4:Q1444,SUBSTITUTE(Q1445,""Sell_"",""""))-COUNTIF(Q$4"&amp;":Q1444,""Sell_""&amp;SUBSTITUTE(Q1445,""Sell_"",""""))))/2),ROUNDUP(INDEX(Upgrades!$C$3:$C$13,MATCH(Q1445,Upgrades!$B$3:$B$13,0))*1.15^(COUNTIF(Q$4:Q1444,Q1445)-COUNTIF(Q$4:Q1444,""Sell_""&amp;Q1445))))))"),"")</f>
        <v/>
      </c>
      <c r="V1445" s="10" t="str">
        <f t="shared" si="11"/>
        <v/>
      </c>
      <c r="W1445" s="68" t="str">
        <f t="shared" si="12"/>
        <v/>
      </c>
      <c r="X1445" s="59" t="str">
        <f t="shared" si="13"/>
        <v/>
      </c>
      <c r="Y1445" s="69" t="str">
        <f t="shared" si="14"/>
        <v/>
      </c>
      <c r="Z1445" s="11"/>
    </row>
    <row r="1446">
      <c r="A1446" s="8"/>
      <c r="B1446" s="56" t="str">
        <f t="shared" si="2"/>
        <v/>
      </c>
      <c r="C1446" s="105"/>
      <c r="D1446" s="10"/>
      <c r="E1446" s="59" t="str">
        <f t="array" ref="E1446">IF(COUNTA(C1446:C1673)=0,"",SUM((COUNTIF(C$4:C1446,Upgrades!$B$3:$B$13)-COUNTIF(C$4:C1446,"Sell_"&amp;Upgrades!$B$3:$B$13))*Upgrades!$D$3:$D$13))</f>
        <v/>
      </c>
      <c r="F1446" s="66" t="str">
        <f>IFERROR(__xludf.DUMMYFUNCTION("IF(COUNTA(C1446:C1673)=0,"""",IF(REGEXMATCH(INDEX(FILTER(C$4:C1446,C$4:C1446&lt;&gt;""""),ROWS(FILTER(C$4:C1446,C$4:C1446&lt;&gt;""""))),""^Sell_""),INDEX(FILTER(F$4:F1445,C$4:C1445&lt;&gt;""""),ROWS(FILTER(C$4:C1445,C$4:C1445&lt;&gt;""""))),$AC$5+E1446))"),"")</f>
        <v/>
      </c>
      <c r="G1446" s="10" t="str">
        <f>IFERROR(__xludf.DUMMYFUNCTION("IF(COUNTA(C1446:C1673)=0,"""",IF(C1446="""",0,IF(REGEXMATCH(C1446,""^Sell_""),-ROUNDDOWN(ROUNDUP(INDEX(Upgrades!$C$3:$C$13,MATCH(SUBSTITUTE(C1446,""Sell_"",""""),Upgrades!$B$3:$B$13,0))*1.15^(COUNTIF(C$4:C1445,SUBSTITUTE(C1446,""Sell_"",""""))-COUNTIF(C$4"&amp;":C1445,""Sell_""&amp;SUBSTITUTE(C1446,""Sell_"",""""))))/2),ROUNDUP(INDEX(Upgrades!$C$3:$C$13,MATCH(C1446,Upgrades!$B$3:$B$13,0))*1.15^(COUNTIF(C$4:C1445,C1446)-COUNTIF(C$4:C1445,""Sell_""&amp;C1446))))))"),"")</f>
        <v/>
      </c>
      <c r="H1446" s="10" t="str">
        <f t="shared" si="3"/>
        <v/>
      </c>
      <c r="I1446" s="68" t="str">
        <f t="shared" si="4"/>
        <v/>
      </c>
      <c r="J1446" s="59" t="str">
        <f t="shared" si="5"/>
        <v/>
      </c>
      <c r="K1446" s="69" t="str">
        <f t="shared" si="6"/>
        <v/>
      </c>
      <c r="L1446" s="60" t="str">
        <f t="shared" si="7"/>
        <v/>
      </c>
      <c r="M1446" s="61" t="str">
        <f>IFERROR(__xludf.DUMMYFUNCTION("IFS(AND(COUNTA(C1446:C1673)=0,COUNTA(Q1446:Q1673)=0),"""",OR(AND(K1446&gt;=1000000000,OR(Y1446&gt;=1000000000,COUNTA(Q1446:Q1673)=0)),OR(Y1446&gt;=1000000000,AND(COUNTA(C1446:C1673)=0,P$3=TRUE))),
ROUNDDOWN((AB$1-AC$1)*MAX(INDEX(T$4:T1673,MATCH(LARGE(FILTER(Y$4:Y1"&amp;"673,Y$4:Y1673&lt;1000000000),1),Y$4:Y1673)),INDEX(F$4:F1673,MATCH(LARGE(FILTER(K$4:K1673,K$4:K1673&lt;1000000000),1),K$4:K1673)))),AND(K1446&lt;1000000000,COUNTA(C1446:C1673)&gt;0,P$3=FALSE),
ROUNDDOWN(INDEX(Y$4:Y1673,MATCH(LARGE(FILTER(W$4:W1673,W$4:W1673&lt;=I1446),1)"&amp;",W$4:W1673))+(I1446-LARGE(FILTER(W$4:W1673,W$4:W1673&lt;=I1446),1))*INDEX(T$4:T1673,MATCH(LARGE(FILTER(W$4:W1673,W$4:W1673&lt;=I1446),1),W$4:W1673))-K1446),1,
ROUNDDOWN(Y1446-INDEX(K$4:K1673,MATCH(LARGE(FILTER(I$4:I1673,I$4:I1673&lt;=W1446),1),I$4:I1673))-(W1446-L"&amp;"ARGE(FILTER(I$4:I1673,I$4:I1673&lt;=W1446),1))*INDEX(F$4:F1673,MATCH(LARGE(FILTER(I$4:I1673,I$4:I1673&lt;=W1446),1),I$4:I1673))))"),"")</f>
        <v/>
      </c>
      <c r="N1446" s="60" t="str">
        <f t="shared" si="8"/>
        <v/>
      </c>
      <c r="O1446" s="61" t="str">
        <f t="shared" si="9"/>
        <v/>
      </c>
      <c r="P1446" s="56" t="str">
        <f t="shared" si="10"/>
        <v/>
      </c>
      <c r="Q1446" s="67"/>
      <c r="R1446" s="10"/>
      <c r="S1446" s="59" t="str">
        <f t="array" ref="S1446">IF(COUNTA(Q1446:Q1673)=0,"",SUM((COUNTIF(Q$4:Q1446,Upgrades!$B$3:$B$13)-COUNTIF(Q$4:Q1446,"Sell_"&amp;Upgrades!$B$3:$B$13))*Upgrades!$D$3:$D$13))</f>
        <v/>
      </c>
      <c r="T1446" s="66" t="str">
        <f>IFERROR(__xludf.DUMMYFUNCTION("IF(COUNTA(Q1446:Q1673)=0,"""",IF(REGEXMATCH(INDEX(FILTER(Q$4:Q1446,Q$4:Q1446&lt;&gt;""""),ROWS(FILTER(Q$4:Q1446,Q$4:Q1446&lt;&gt;""""))),""^Sell_""),INDEX(FILTER(T$4:T1445,Q$4:Q1445&lt;&gt;""""),ROWS(FILTER(Q$4:Q1445,Q$4:Q1445&lt;&gt;""""))),$AD$5+S1446))"),"")</f>
        <v/>
      </c>
      <c r="U1446" s="10" t="str">
        <f>IFERROR(__xludf.DUMMYFUNCTION("IF(COUNTA(Q1446:Q1673)=0,"""",IF(Q1446="""",0,IF(REGEXMATCH(Q1446,""^Sell_""),-ROUNDDOWN(ROUNDUP(INDEX(Upgrades!$C$3:$C$13,MATCH(SUBSTITUTE(Q1446,""Sell_"",""""),Upgrades!$B$3:$B$13,0))*1.15^(COUNTIF(Q$4:Q1445,SUBSTITUTE(Q1446,""Sell_"",""""))-COUNTIF(Q$4"&amp;":Q1445,""Sell_""&amp;SUBSTITUTE(Q1446,""Sell_"",""""))))/2),ROUNDUP(INDEX(Upgrades!$C$3:$C$13,MATCH(Q1446,Upgrades!$B$3:$B$13,0))*1.15^(COUNTIF(Q$4:Q1445,Q1446)-COUNTIF(Q$4:Q1445,""Sell_""&amp;Q1446))))))"),"")</f>
        <v/>
      </c>
      <c r="V1446" s="10" t="str">
        <f t="shared" si="11"/>
        <v/>
      </c>
      <c r="W1446" s="68" t="str">
        <f t="shared" si="12"/>
        <v/>
      </c>
      <c r="X1446" s="59" t="str">
        <f t="shared" si="13"/>
        <v/>
      </c>
      <c r="Y1446" s="69" t="str">
        <f t="shared" si="14"/>
        <v/>
      </c>
      <c r="Z1446" s="11"/>
    </row>
    <row r="1447">
      <c r="A1447" s="8"/>
      <c r="B1447" s="56" t="str">
        <f t="shared" si="2"/>
        <v/>
      </c>
      <c r="C1447" s="105"/>
      <c r="D1447" s="10"/>
      <c r="E1447" s="59" t="str">
        <f t="array" ref="E1447">IF(COUNTA(C1447:C1673)=0,"",SUM((COUNTIF(C$4:C1447,Upgrades!$B$3:$B$13)-COUNTIF(C$4:C1447,"Sell_"&amp;Upgrades!$B$3:$B$13))*Upgrades!$D$3:$D$13))</f>
        <v/>
      </c>
      <c r="F1447" s="66" t="str">
        <f>IFERROR(__xludf.DUMMYFUNCTION("IF(COUNTA(C1447:C1673)=0,"""",IF(REGEXMATCH(INDEX(FILTER(C$4:C1447,C$4:C1447&lt;&gt;""""),ROWS(FILTER(C$4:C1447,C$4:C1447&lt;&gt;""""))),""^Sell_""),INDEX(FILTER(F$4:F1446,C$4:C1446&lt;&gt;""""),ROWS(FILTER(C$4:C1446,C$4:C1446&lt;&gt;""""))),$AC$5+E1447))"),"")</f>
        <v/>
      </c>
      <c r="G1447" s="10" t="str">
        <f>IFERROR(__xludf.DUMMYFUNCTION("IF(COUNTA(C1447:C1673)=0,"""",IF(C1447="""",0,IF(REGEXMATCH(C1447,""^Sell_""),-ROUNDDOWN(ROUNDUP(INDEX(Upgrades!$C$3:$C$13,MATCH(SUBSTITUTE(C1447,""Sell_"",""""),Upgrades!$B$3:$B$13,0))*1.15^(COUNTIF(C$4:C1446,SUBSTITUTE(C1447,""Sell_"",""""))-COUNTIF(C$4"&amp;":C1446,""Sell_""&amp;SUBSTITUTE(C1447,""Sell_"",""""))))/2),ROUNDUP(INDEX(Upgrades!$C$3:$C$13,MATCH(C1447,Upgrades!$B$3:$B$13,0))*1.15^(COUNTIF(C$4:C1446,C1447)-COUNTIF(C$4:C1446,""Sell_""&amp;C1447))))))"),"")</f>
        <v/>
      </c>
      <c r="H1447" s="10" t="str">
        <f t="shared" si="3"/>
        <v/>
      </c>
      <c r="I1447" s="68" t="str">
        <f t="shared" si="4"/>
        <v/>
      </c>
      <c r="J1447" s="59" t="str">
        <f t="shared" si="5"/>
        <v/>
      </c>
      <c r="K1447" s="69" t="str">
        <f t="shared" si="6"/>
        <v/>
      </c>
      <c r="L1447" s="60" t="str">
        <f t="shared" si="7"/>
        <v/>
      </c>
      <c r="M1447" s="61" t="str">
        <f>IFERROR(__xludf.DUMMYFUNCTION("IFS(AND(COUNTA(C1447:C1673)=0,COUNTA(Q1447:Q1673)=0),"""",OR(AND(K1447&gt;=1000000000,OR(Y1447&gt;=1000000000,COUNTA(Q1447:Q1673)=0)),OR(Y1447&gt;=1000000000,AND(COUNTA(C1447:C1673)=0,P$3=TRUE))),
ROUNDDOWN((AB$1-AC$1)*MAX(INDEX(T$4:T1673,MATCH(LARGE(FILTER(Y$4:Y1"&amp;"673,Y$4:Y1673&lt;1000000000),1),Y$4:Y1673)),INDEX(F$4:F1673,MATCH(LARGE(FILTER(K$4:K1673,K$4:K1673&lt;1000000000),1),K$4:K1673)))),AND(K1447&lt;1000000000,COUNTA(C1447:C1673)&gt;0,P$3=FALSE),
ROUNDDOWN(INDEX(Y$4:Y1673,MATCH(LARGE(FILTER(W$4:W1673,W$4:W1673&lt;=I1447),1)"&amp;",W$4:W1673))+(I1447-LARGE(FILTER(W$4:W1673,W$4:W1673&lt;=I1447),1))*INDEX(T$4:T1673,MATCH(LARGE(FILTER(W$4:W1673,W$4:W1673&lt;=I1447),1),W$4:W1673))-K1447),1,
ROUNDDOWN(Y1447-INDEX(K$4:K1673,MATCH(LARGE(FILTER(I$4:I1673,I$4:I1673&lt;=W1447),1),I$4:I1673))-(W1447-L"&amp;"ARGE(FILTER(I$4:I1673,I$4:I1673&lt;=W1447),1))*INDEX(F$4:F1673,MATCH(LARGE(FILTER(I$4:I1673,I$4:I1673&lt;=W1447),1),I$4:I1673))))"),"")</f>
        <v/>
      </c>
      <c r="N1447" s="60" t="str">
        <f t="shared" si="8"/>
        <v/>
      </c>
      <c r="O1447" s="61" t="str">
        <f t="shared" si="9"/>
        <v/>
      </c>
      <c r="P1447" s="56" t="str">
        <f t="shared" si="10"/>
        <v/>
      </c>
      <c r="Q1447" s="67"/>
      <c r="R1447" s="10"/>
      <c r="S1447" s="59" t="str">
        <f t="array" ref="S1447">IF(COUNTA(Q1447:Q1673)=0,"",SUM((COUNTIF(Q$4:Q1447,Upgrades!$B$3:$B$13)-COUNTIF(Q$4:Q1447,"Sell_"&amp;Upgrades!$B$3:$B$13))*Upgrades!$D$3:$D$13))</f>
        <v/>
      </c>
      <c r="T1447" s="66" t="str">
        <f>IFERROR(__xludf.DUMMYFUNCTION("IF(COUNTA(Q1447:Q1673)=0,"""",IF(REGEXMATCH(INDEX(FILTER(Q$4:Q1447,Q$4:Q1447&lt;&gt;""""),ROWS(FILTER(Q$4:Q1447,Q$4:Q1447&lt;&gt;""""))),""^Sell_""),INDEX(FILTER(T$4:T1446,Q$4:Q1446&lt;&gt;""""),ROWS(FILTER(Q$4:Q1446,Q$4:Q1446&lt;&gt;""""))),$AD$5+S1447))"),"")</f>
        <v/>
      </c>
      <c r="U1447" s="10" t="str">
        <f>IFERROR(__xludf.DUMMYFUNCTION("IF(COUNTA(Q1447:Q1673)=0,"""",IF(Q1447="""",0,IF(REGEXMATCH(Q1447,""^Sell_""),-ROUNDDOWN(ROUNDUP(INDEX(Upgrades!$C$3:$C$13,MATCH(SUBSTITUTE(Q1447,""Sell_"",""""),Upgrades!$B$3:$B$13,0))*1.15^(COUNTIF(Q$4:Q1446,SUBSTITUTE(Q1447,""Sell_"",""""))-COUNTIF(Q$4"&amp;":Q1446,""Sell_""&amp;SUBSTITUTE(Q1447,""Sell_"",""""))))/2),ROUNDUP(INDEX(Upgrades!$C$3:$C$13,MATCH(Q1447,Upgrades!$B$3:$B$13,0))*1.15^(COUNTIF(Q$4:Q1446,Q1447)-COUNTIF(Q$4:Q1446,""Sell_""&amp;Q1447))))))"),"")</f>
        <v/>
      </c>
      <c r="V1447" s="10" t="str">
        <f t="shared" si="11"/>
        <v/>
      </c>
      <c r="W1447" s="68" t="str">
        <f t="shared" si="12"/>
        <v/>
      </c>
      <c r="X1447" s="59" t="str">
        <f t="shared" si="13"/>
        <v/>
      </c>
      <c r="Y1447" s="69" t="str">
        <f t="shared" si="14"/>
        <v/>
      </c>
      <c r="Z1447" s="11"/>
    </row>
    <row r="1448">
      <c r="A1448" s="8"/>
      <c r="B1448" s="56" t="str">
        <f t="shared" si="2"/>
        <v/>
      </c>
      <c r="C1448" s="105"/>
      <c r="D1448" s="10"/>
      <c r="E1448" s="59" t="str">
        <f t="array" ref="E1448">IF(COUNTA(C1448:C1673)=0,"",SUM((COUNTIF(C$4:C1448,Upgrades!$B$3:$B$13)-COUNTIF(C$4:C1448,"Sell_"&amp;Upgrades!$B$3:$B$13))*Upgrades!$D$3:$D$13))</f>
        <v/>
      </c>
      <c r="F1448" s="66" t="str">
        <f>IFERROR(__xludf.DUMMYFUNCTION("IF(COUNTA(C1448:C1673)=0,"""",IF(REGEXMATCH(INDEX(FILTER(C$4:C1448,C$4:C1448&lt;&gt;""""),ROWS(FILTER(C$4:C1448,C$4:C1448&lt;&gt;""""))),""^Sell_""),INDEX(FILTER(F$4:F1447,C$4:C1447&lt;&gt;""""),ROWS(FILTER(C$4:C1447,C$4:C1447&lt;&gt;""""))),$AC$5+E1448))"),"")</f>
        <v/>
      </c>
      <c r="G1448" s="10" t="str">
        <f>IFERROR(__xludf.DUMMYFUNCTION("IF(COUNTA(C1448:C1673)=0,"""",IF(C1448="""",0,IF(REGEXMATCH(C1448,""^Sell_""),-ROUNDDOWN(ROUNDUP(INDEX(Upgrades!$C$3:$C$13,MATCH(SUBSTITUTE(C1448,""Sell_"",""""),Upgrades!$B$3:$B$13,0))*1.15^(COUNTIF(C$4:C1447,SUBSTITUTE(C1448,""Sell_"",""""))-COUNTIF(C$4"&amp;":C1447,""Sell_""&amp;SUBSTITUTE(C1448,""Sell_"",""""))))/2),ROUNDUP(INDEX(Upgrades!$C$3:$C$13,MATCH(C1448,Upgrades!$B$3:$B$13,0))*1.15^(COUNTIF(C$4:C1447,C1448)-COUNTIF(C$4:C1447,""Sell_""&amp;C1448))))))"),"")</f>
        <v/>
      </c>
      <c r="H1448" s="10" t="str">
        <f t="shared" si="3"/>
        <v/>
      </c>
      <c r="I1448" s="68" t="str">
        <f t="shared" si="4"/>
        <v/>
      </c>
      <c r="J1448" s="59" t="str">
        <f t="shared" si="5"/>
        <v/>
      </c>
      <c r="K1448" s="69" t="str">
        <f t="shared" si="6"/>
        <v/>
      </c>
      <c r="L1448" s="60" t="str">
        <f t="shared" si="7"/>
        <v/>
      </c>
      <c r="M1448" s="61" t="str">
        <f>IFERROR(__xludf.DUMMYFUNCTION("IFS(AND(COUNTA(C1448:C1673)=0,COUNTA(Q1448:Q1673)=0),"""",OR(AND(K1448&gt;=1000000000,OR(Y1448&gt;=1000000000,COUNTA(Q1448:Q1673)=0)),OR(Y1448&gt;=1000000000,AND(COUNTA(C1448:C1673)=0,P$3=TRUE))),
ROUNDDOWN((AB$1-AC$1)*MAX(INDEX(T$4:T1673,MATCH(LARGE(FILTER(Y$4:Y1"&amp;"673,Y$4:Y1673&lt;1000000000),1),Y$4:Y1673)),INDEX(F$4:F1673,MATCH(LARGE(FILTER(K$4:K1673,K$4:K1673&lt;1000000000),1),K$4:K1673)))),AND(K1448&lt;1000000000,COUNTA(C1448:C1673)&gt;0,P$3=FALSE),
ROUNDDOWN(INDEX(Y$4:Y1673,MATCH(LARGE(FILTER(W$4:W1673,W$4:W1673&lt;=I1448),1)"&amp;",W$4:W1673))+(I1448-LARGE(FILTER(W$4:W1673,W$4:W1673&lt;=I1448),1))*INDEX(T$4:T1673,MATCH(LARGE(FILTER(W$4:W1673,W$4:W1673&lt;=I1448),1),W$4:W1673))-K1448),1,
ROUNDDOWN(Y1448-INDEX(K$4:K1673,MATCH(LARGE(FILTER(I$4:I1673,I$4:I1673&lt;=W1448),1),I$4:I1673))-(W1448-L"&amp;"ARGE(FILTER(I$4:I1673,I$4:I1673&lt;=W1448),1))*INDEX(F$4:F1673,MATCH(LARGE(FILTER(I$4:I1673,I$4:I1673&lt;=W1448),1),I$4:I1673))))"),"")</f>
        <v/>
      </c>
      <c r="N1448" s="60" t="str">
        <f t="shared" si="8"/>
        <v/>
      </c>
      <c r="O1448" s="61" t="str">
        <f t="shared" si="9"/>
        <v/>
      </c>
      <c r="P1448" s="56" t="str">
        <f t="shared" si="10"/>
        <v/>
      </c>
      <c r="Q1448" s="67"/>
      <c r="R1448" s="10"/>
      <c r="S1448" s="59" t="str">
        <f t="array" ref="S1448">IF(COUNTA(Q1448:Q1673)=0,"",SUM((COUNTIF(Q$4:Q1448,Upgrades!$B$3:$B$13)-COUNTIF(Q$4:Q1448,"Sell_"&amp;Upgrades!$B$3:$B$13))*Upgrades!$D$3:$D$13))</f>
        <v/>
      </c>
      <c r="T1448" s="66" t="str">
        <f>IFERROR(__xludf.DUMMYFUNCTION("IF(COUNTA(Q1448:Q1673)=0,"""",IF(REGEXMATCH(INDEX(FILTER(Q$4:Q1448,Q$4:Q1448&lt;&gt;""""),ROWS(FILTER(Q$4:Q1448,Q$4:Q1448&lt;&gt;""""))),""^Sell_""),INDEX(FILTER(T$4:T1447,Q$4:Q1447&lt;&gt;""""),ROWS(FILTER(Q$4:Q1447,Q$4:Q1447&lt;&gt;""""))),$AD$5+S1448))"),"")</f>
        <v/>
      </c>
      <c r="U1448" s="10" t="str">
        <f>IFERROR(__xludf.DUMMYFUNCTION("IF(COUNTA(Q1448:Q1673)=0,"""",IF(Q1448="""",0,IF(REGEXMATCH(Q1448,""^Sell_""),-ROUNDDOWN(ROUNDUP(INDEX(Upgrades!$C$3:$C$13,MATCH(SUBSTITUTE(Q1448,""Sell_"",""""),Upgrades!$B$3:$B$13,0))*1.15^(COUNTIF(Q$4:Q1447,SUBSTITUTE(Q1448,""Sell_"",""""))-COUNTIF(Q$4"&amp;":Q1447,""Sell_""&amp;SUBSTITUTE(Q1448,""Sell_"",""""))))/2),ROUNDUP(INDEX(Upgrades!$C$3:$C$13,MATCH(Q1448,Upgrades!$B$3:$B$13,0))*1.15^(COUNTIF(Q$4:Q1447,Q1448)-COUNTIF(Q$4:Q1447,""Sell_""&amp;Q1448))))))"),"")</f>
        <v/>
      </c>
      <c r="V1448" s="10" t="str">
        <f t="shared" si="11"/>
        <v/>
      </c>
      <c r="W1448" s="68" t="str">
        <f t="shared" si="12"/>
        <v/>
      </c>
      <c r="X1448" s="59" t="str">
        <f t="shared" si="13"/>
        <v/>
      </c>
      <c r="Y1448" s="69" t="str">
        <f t="shared" si="14"/>
        <v/>
      </c>
      <c r="Z1448" s="11"/>
    </row>
    <row r="1449">
      <c r="A1449" s="8"/>
      <c r="B1449" s="56" t="str">
        <f t="shared" si="2"/>
        <v/>
      </c>
      <c r="C1449" s="105"/>
      <c r="D1449" s="10"/>
      <c r="E1449" s="59" t="str">
        <f t="array" ref="E1449">IF(COUNTA(C1449:C1673)=0,"",SUM((COUNTIF(C$4:C1449,Upgrades!$B$3:$B$13)-COUNTIF(C$4:C1449,"Sell_"&amp;Upgrades!$B$3:$B$13))*Upgrades!$D$3:$D$13))</f>
        <v/>
      </c>
      <c r="F1449" s="66" t="str">
        <f>IFERROR(__xludf.DUMMYFUNCTION("IF(COUNTA(C1449:C1673)=0,"""",IF(REGEXMATCH(INDEX(FILTER(C$4:C1449,C$4:C1449&lt;&gt;""""),ROWS(FILTER(C$4:C1449,C$4:C1449&lt;&gt;""""))),""^Sell_""),INDEX(FILTER(F$4:F1448,C$4:C1448&lt;&gt;""""),ROWS(FILTER(C$4:C1448,C$4:C1448&lt;&gt;""""))),$AC$5+E1449))"),"")</f>
        <v/>
      </c>
      <c r="G1449" s="10" t="str">
        <f>IFERROR(__xludf.DUMMYFUNCTION("IF(COUNTA(C1449:C1673)=0,"""",IF(C1449="""",0,IF(REGEXMATCH(C1449,""^Sell_""),-ROUNDDOWN(ROUNDUP(INDEX(Upgrades!$C$3:$C$13,MATCH(SUBSTITUTE(C1449,""Sell_"",""""),Upgrades!$B$3:$B$13,0))*1.15^(COUNTIF(C$4:C1448,SUBSTITUTE(C1449,""Sell_"",""""))-COUNTIF(C$4"&amp;":C1448,""Sell_""&amp;SUBSTITUTE(C1449,""Sell_"",""""))))/2),ROUNDUP(INDEX(Upgrades!$C$3:$C$13,MATCH(C1449,Upgrades!$B$3:$B$13,0))*1.15^(COUNTIF(C$4:C1448,C1449)-COUNTIF(C$4:C1448,""Sell_""&amp;C1449))))))"),"")</f>
        <v/>
      </c>
      <c r="H1449" s="10" t="str">
        <f t="shared" si="3"/>
        <v/>
      </c>
      <c r="I1449" s="68" t="str">
        <f t="shared" si="4"/>
        <v/>
      </c>
      <c r="J1449" s="59" t="str">
        <f t="shared" si="5"/>
        <v/>
      </c>
      <c r="K1449" s="69" t="str">
        <f t="shared" si="6"/>
        <v/>
      </c>
      <c r="L1449" s="60" t="str">
        <f t="shared" si="7"/>
        <v/>
      </c>
      <c r="M1449" s="61" t="str">
        <f>IFERROR(__xludf.DUMMYFUNCTION("IFS(AND(COUNTA(C1449:C1673)=0,COUNTA(Q1449:Q1673)=0),"""",OR(AND(K1449&gt;=1000000000,OR(Y1449&gt;=1000000000,COUNTA(Q1449:Q1673)=0)),OR(Y1449&gt;=1000000000,AND(COUNTA(C1449:C1673)=0,P$3=TRUE))),
ROUNDDOWN((AB$1-AC$1)*MAX(INDEX(T$4:T1673,MATCH(LARGE(FILTER(Y$4:Y1"&amp;"673,Y$4:Y1673&lt;1000000000),1),Y$4:Y1673)),INDEX(F$4:F1673,MATCH(LARGE(FILTER(K$4:K1673,K$4:K1673&lt;1000000000),1),K$4:K1673)))),AND(K1449&lt;1000000000,COUNTA(C1449:C1673)&gt;0,P$3=FALSE),
ROUNDDOWN(INDEX(Y$4:Y1673,MATCH(LARGE(FILTER(W$4:W1673,W$4:W1673&lt;=I1449),1)"&amp;",W$4:W1673))+(I1449-LARGE(FILTER(W$4:W1673,W$4:W1673&lt;=I1449),1))*INDEX(T$4:T1673,MATCH(LARGE(FILTER(W$4:W1673,W$4:W1673&lt;=I1449),1),W$4:W1673))-K1449),1,
ROUNDDOWN(Y1449-INDEX(K$4:K1673,MATCH(LARGE(FILTER(I$4:I1673,I$4:I1673&lt;=W1449),1),I$4:I1673))-(W1449-L"&amp;"ARGE(FILTER(I$4:I1673,I$4:I1673&lt;=W1449),1))*INDEX(F$4:F1673,MATCH(LARGE(FILTER(I$4:I1673,I$4:I1673&lt;=W1449),1),I$4:I1673))))"),"")</f>
        <v/>
      </c>
      <c r="N1449" s="60" t="str">
        <f t="shared" si="8"/>
        <v/>
      </c>
      <c r="O1449" s="61" t="str">
        <f t="shared" si="9"/>
        <v/>
      </c>
      <c r="P1449" s="56" t="str">
        <f t="shared" si="10"/>
        <v/>
      </c>
      <c r="Q1449" s="67"/>
      <c r="R1449" s="10"/>
      <c r="S1449" s="59" t="str">
        <f t="array" ref="S1449">IF(COUNTA(Q1449:Q1673)=0,"",SUM((COUNTIF(Q$4:Q1449,Upgrades!$B$3:$B$13)-COUNTIF(Q$4:Q1449,"Sell_"&amp;Upgrades!$B$3:$B$13))*Upgrades!$D$3:$D$13))</f>
        <v/>
      </c>
      <c r="T1449" s="66" t="str">
        <f>IFERROR(__xludf.DUMMYFUNCTION("IF(COUNTA(Q1449:Q1673)=0,"""",IF(REGEXMATCH(INDEX(FILTER(Q$4:Q1449,Q$4:Q1449&lt;&gt;""""),ROWS(FILTER(Q$4:Q1449,Q$4:Q1449&lt;&gt;""""))),""^Sell_""),INDEX(FILTER(T$4:T1448,Q$4:Q1448&lt;&gt;""""),ROWS(FILTER(Q$4:Q1448,Q$4:Q1448&lt;&gt;""""))),$AD$5+S1449))"),"")</f>
        <v/>
      </c>
      <c r="U1449" s="10" t="str">
        <f>IFERROR(__xludf.DUMMYFUNCTION("IF(COUNTA(Q1449:Q1673)=0,"""",IF(Q1449="""",0,IF(REGEXMATCH(Q1449,""^Sell_""),-ROUNDDOWN(ROUNDUP(INDEX(Upgrades!$C$3:$C$13,MATCH(SUBSTITUTE(Q1449,""Sell_"",""""),Upgrades!$B$3:$B$13,0))*1.15^(COUNTIF(Q$4:Q1448,SUBSTITUTE(Q1449,""Sell_"",""""))-COUNTIF(Q$4"&amp;":Q1448,""Sell_""&amp;SUBSTITUTE(Q1449,""Sell_"",""""))))/2),ROUNDUP(INDEX(Upgrades!$C$3:$C$13,MATCH(Q1449,Upgrades!$B$3:$B$13,0))*1.15^(COUNTIF(Q$4:Q1448,Q1449)-COUNTIF(Q$4:Q1448,""Sell_""&amp;Q1449))))))"),"")</f>
        <v/>
      </c>
      <c r="V1449" s="10" t="str">
        <f t="shared" si="11"/>
        <v/>
      </c>
      <c r="W1449" s="68" t="str">
        <f t="shared" si="12"/>
        <v/>
      </c>
      <c r="X1449" s="59" t="str">
        <f t="shared" si="13"/>
        <v/>
      </c>
      <c r="Y1449" s="69" t="str">
        <f t="shared" si="14"/>
        <v/>
      </c>
      <c r="Z1449" s="11"/>
    </row>
    <row r="1450">
      <c r="A1450" s="8"/>
      <c r="B1450" s="56" t="str">
        <f t="shared" si="2"/>
        <v/>
      </c>
      <c r="C1450" s="105"/>
      <c r="D1450" s="10"/>
      <c r="E1450" s="59" t="str">
        <f t="array" ref="E1450">IF(COUNTA(C1450:C1673)=0,"",SUM((COUNTIF(C$4:C1450,Upgrades!$B$3:$B$13)-COUNTIF(C$4:C1450,"Sell_"&amp;Upgrades!$B$3:$B$13))*Upgrades!$D$3:$D$13))</f>
        <v/>
      </c>
      <c r="F1450" s="66" t="str">
        <f>IFERROR(__xludf.DUMMYFUNCTION("IF(COUNTA(C1450:C1673)=0,"""",IF(REGEXMATCH(INDEX(FILTER(C$4:C1450,C$4:C1450&lt;&gt;""""),ROWS(FILTER(C$4:C1450,C$4:C1450&lt;&gt;""""))),""^Sell_""),INDEX(FILTER(F$4:F1449,C$4:C1449&lt;&gt;""""),ROWS(FILTER(C$4:C1449,C$4:C1449&lt;&gt;""""))),$AC$5+E1450))"),"")</f>
        <v/>
      </c>
      <c r="G1450" s="10" t="str">
        <f>IFERROR(__xludf.DUMMYFUNCTION("IF(COUNTA(C1450:C1673)=0,"""",IF(C1450="""",0,IF(REGEXMATCH(C1450,""^Sell_""),-ROUNDDOWN(ROUNDUP(INDEX(Upgrades!$C$3:$C$13,MATCH(SUBSTITUTE(C1450,""Sell_"",""""),Upgrades!$B$3:$B$13,0))*1.15^(COUNTIF(C$4:C1449,SUBSTITUTE(C1450,""Sell_"",""""))-COUNTIF(C$4"&amp;":C1449,""Sell_""&amp;SUBSTITUTE(C1450,""Sell_"",""""))))/2),ROUNDUP(INDEX(Upgrades!$C$3:$C$13,MATCH(C1450,Upgrades!$B$3:$B$13,0))*1.15^(COUNTIF(C$4:C1449,C1450)-COUNTIF(C$4:C1449,""Sell_""&amp;C1450))))))"),"")</f>
        <v/>
      </c>
      <c r="H1450" s="10" t="str">
        <f t="shared" si="3"/>
        <v/>
      </c>
      <c r="I1450" s="68" t="str">
        <f t="shared" si="4"/>
        <v/>
      </c>
      <c r="J1450" s="59" t="str">
        <f t="shared" si="5"/>
        <v/>
      </c>
      <c r="K1450" s="69" t="str">
        <f t="shared" si="6"/>
        <v/>
      </c>
      <c r="L1450" s="60" t="str">
        <f t="shared" si="7"/>
        <v/>
      </c>
      <c r="M1450" s="61" t="str">
        <f>IFERROR(__xludf.DUMMYFUNCTION("IFS(AND(COUNTA(C1450:C1673)=0,COUNTA(Q1450:Q1673)=0),"""",OR(AND(K1450&gt;=1000000000,OR(Y1450&gt;=1000000000,COUNTA(Q1450:Q1673)=0)),OR(Y1450&gt;=1000000000,AND(COUNTA(C1450:C1673)=0,P$3=TRUE))),
ROUNDDOWN((AB$1-AC$1)*MAX(INDEX(T$4:T1673,MATCH(LARGE(FILTER(Y$4:Y1"&amp;"673,Y$4:Y1673&lt;1000000000),1),Y$4:Y1673)),INDEX(F$4:F1673,MATCH(LARGE(FILTER(K$4:K1673,K$4:K1673&lt;1000000000),1),K$4:K1673)))),AND(K1450&lt;1000000000,COUNTA(C1450:C1673)&gt;0,P$3=FALSE),
ROUNDDOWN(INDEX(Y$4:Y1673,MATCH(LARGE(FILTER(W$4:W1673,W$4:W1673&lt;=I1450),1)"&amp;",W$4:W1673))+(I1450-LARGE(FILTER(W$4:W1673,W$4:W1673&lt;=I1450),1))*INDEX(T$4:T1673,MATCH(LARGE(FILTER(W$4:W1673,W$4:W1673&lt;=I1450),1),W$4:W1673))-K1450),1,
ROUNDDOWN(Y1450-INDEX(K$4:K1673,MATCH(LARGE(FILTER(I$4:I1673,I$4:I1673&lt;=W1450),1),I$4:I1673))-(W1450-L"&amp;"ARGE(FILTER(I$4:I1673,I$4:I1673&lt;=W1450),1))*INDEX(F$4:F1673,MATCH(LARGE(FILTER(I$4:I1673,I$4:I1673&lt;=W1450),1),I$4:I1673))))"),"")</f>
        <v/>
      </c>
      <c r="N1450" s="60" t="str">
        <f t="shared" si="8"/>
        <v/>
      </c>
      <c r="O1450" s="61" t="str">
        <f t="shared" si="9"/>
        <v/>
      </c>
      <c r="P1450" s="56" t="str">
        <f t="shared" si="10"/>
        <v/>
      </c>
      <c r="Q1450" s="67"/>
      <c r="R1450" s="10"/>
      <c r="S1450" s="59" t="str">
        <f t="array" ref="S1450">IF(COUNTA(Q1450:Q1673)=0,"",SUM((COUNTIF(Q$4:Q1450,Upgrades!$B$3:$B$13)-COUNTIF(Q$4:Q1450,"Sell_"&amp;Upgrades!$B$3:$B$13))*Upgrades!$D$3:$D$13))</f>
        <v/>
      </c>
      <c r="T1450" s="66" t="str">
        <f>IFERROR(__xludf.DUMMYFUNCTION("IF(COUNTA(Q1450:Q1673)=0,"""",IF(REGEXMATCH(INDEX(FILTER(Q$4:Q1450,Q$4:Q1450&lt;&gt;""""),ROWS(FILTER(Q$4:Q1450,Q$4:Q1450&lt;&gt;""""))),""^Sell_""),INDEX(FILTER(T$4:T1449,Q$4:Q1449&lt;&gt;""""),ROWS(FILTER(Q$4:Q1449,Q$4:Q1449&lt;&gt;""""))),$AD$5+S1450))"),"")</f>
        <v/>
      </c>
      <c r="U1450" s="10" t="str">
        <f>IFERROR(__xludf.DUMMYFUNCTION("IF(COUNTA(Q1450:Q1673)=0,"""",IF(Q1450="""",0,IF(REGEXMATCH(Q1450,""^Sell_""),-ROUNDDOWN(ROUNDUP(INDEX(Upgrades!$C$3:$C$13,MATCH(SUBSTITUTE(Q1450,""Sell_"",""""),Upgrades!$B$3:$B$13,0))*1.15^(COUNTIF(Q$4:Q1449,SUBSTITUTE(Q1450,""Sell_"",""""))-COUNTIF(Q$4"&amp;":Q1449,""Sell_""&amp;SUBSTITUTE(Q1450,""Sell_"",""""))))/2),ROUNDUP(INDEX(Upgrades!$C$3:$C$13,MATCH(Q1450,Upgrades!$B$3:$B$13,0))*1.15^(COUNTIF(Q$4:Q1449,Q1450)-COUNTIF(Q$4:Q1449,""Sell_""&amp;Q1450))))))"),"")</f>
        <v/>
      </c>
      <c r="V1450" s="10" t="str">
        <f t="shared" si="11"/>
        <v/>
      </c>
      <c r="W1450" s="68" t="str">
        <f t="shared" si="12"/>
        <v/>
      </c>
      <c r="X1450" s="59" t="str">
        <f t="shared" si="13"/>
        <v/>
      </c>
      <c r="Y1450" s="69" t="str">
        <f t="shared" si="14"/>
        <v/>
      </c>
      <c r="Z1450" s="11"/>
    </row>
    <row r="1451">
      <c r="A1451" s="8"/>
      <c r="B1451" s="56" t="str">
        <f t="shared" si="2"/>
        <v/>
      </c>
      <c r="C1451" s="105"/>
      <c r="D1451" s="10"/>
      <c r="E1451" s="59" t="str">
        <f t="array" ref="E1451">IF(COUNTA(C1451:C1673)=0,"",SUM((COUNTIF(C$4:C1451,Upgrades!$B$3:$B$13)-COUNTIF(C$4:C1451,"Sell_"&amp;Upgrades!$B$3:$B$13))*Upgrades!$D$3:$D$13))</f>
        <v/>
      </c>
      <c r="F1451" s="66" t="str">
        <f>IFERROR(__xludf.DUMMYFUNCTION("IF(COUNTA(C1451:C1673)=0,"""",IF(REGEXMATCH(INDEX(FILTER(C$4:C1451,C$4:C1451&lt;&gt;""""),ROWS(FILTER(C$4:C1451,C$4:C1451&lt;&gt;""""))),""^Sell_""),INDEX(FILTER(F$4:F1450,C$4:C1450&lt;&gt;""""),ROWS(FILTER(C$4:C1450,C$4:C1450&lt;&gt;""""))),$AC$5+E1451))"),"")</f>
        <v/>
      </c>
      <c r="G1451" s="10" t="str">
        <f>IFERROR(__xludf.DUMMYFUNCTION("IF(COUNTA(C1451:C1673)=0,"""",IF(C1451="""",0,IF(REGEXMATCH(C1451,""^Sell_""),-ROUNDDOWN(ROUNDUP(INDEX(Upgrades!$C$3:$C$13,MATCH(SUBSTITUTE(C1451,""Sell_"",""""),Upgrades!$B$3:$B$13,0))*1.15^(COUNTIF(C$4:C1450,SUBSTITUTE(C1451,""Sell_"",""""))-COUNTIF(C$4"&amp;":C1450,""Sell_""&amp;SUBSTITUTE(C1451,""Sell_"",""""))))/2),ROUNDUP(INDEX(Upgrades!$C$3:$C$13,MATCH(C1451,Upgrades!$B$3:$B$13,0))*1.15^(COUNTIF(C$4:C1450,C1451)-COUNTIF(C$4:C1450,""Sell_""&amp;C1451))))))"),"")</f>
        <v/>
      </c>
      <c r="H1451" s="10" t="str">
        <f t="shared" si="3"/>
        <v/>
      </c>
      <c r="I1451" s="68" t="str">
        <f t="shared" si="4"/>
        <v/>
      </c>
      <c r="J1451" s="59" t="str">
        <f t="shared" si="5"/>
        <v/>
      </c>
      <c r="K1451" s="69" t="str">
        <f t="shared" si="6"/>
        <v/>
      </c>
      <c r="L1451" s="60" t="str">
        <f t="shared" si="7"/>
        <v/>
      </c>
      <c r="M1451" s="61" t="str">
        <f>IFERROR(__xludf.DUMMYFUNCTION("IFS(AND(COUNTA(C1451:C1673)=0,COUNTA(Q1451:Q1673)=0),"""",OR(AND(K1451&gt;=1000000000,OR(Y1451&gt;=1000000000,COUNTA(Q1451:Q1673)=0)),OR(Y1451&gt;=1000000000,AND(COUNTA(C1451:C1673)=0,P$3=TRUE))),
ROUNDDOWN((AB$1-AC$1)*MAX(INDEX(T$4:T1673,MATCH(LARGE(FILTER(Y$4:Y1"&amp;"673,Y$4:Y1673&lt;1000000000),1),Y$4:Y1673)),INDEX(F$4:F1673,MATCH(LARGE(FILTER(K$4:K1673,K$4:K1673&lt;1000000000),1),K$4:K1673)))),AND(K1451&lt;1000000000,COUNTA(C1451:C1673)&gt;0,P$3=FALSE),
ROUNDDOWN(INDEX(Y$4:Y1673,MATCH(LARGE(FILTER(W$4:W1673,W$4:W1673&lt;=I1451),1)"&amp;",W$4:W1673))+(I1451-LARGE(FILTER(W$4:W1673,W$4:W1673&lt;=I1451),1))*INDEX(T$4:T1673,MATCH(LARGE(FILTER(W$4:W1673,W$4:W1673&lt;=I1451),1),W$4:W1673))-K1451),1,
ROUNDDOWN(Y1451-INDEX(K$4:K1673,MATCH(LARGE(FILTER(I$4:I1673,I$4:I1673&lt;=W1451),1),I$4:I1673))-(W1451-L"&amp;"ARGE(FILTER(I$4:I1673,I$4:I1673&lt;=W1451),1))*INDEX(F$4:F1673,MATCH(LARGE(FILTER(I$4:I1673,I$4:I1673&lt;=W1451),1),I$4:I1673))))"),"")</f>
        <v/>
      </c>
      <c r="N1451" s="60" t="str">
        <f t="shared" si="8"/>
        <v/>
      </c>
      <c r="O1451" s="61" t="str">
        <f t="shared" si="9"/>
        <v/>
      </c>
      <c r="P1451" s="56" t="str">
        <f t="shared" si="10"/>
        <v/>
      </c>
      <c r="Q1451" s="67"/>
      <c r="R1451" s="10"/>
      <c r="S1451" s="59" t="str">
        <f t="array" ref="S1451">IF(COUNTA(Q1451:Q1673)=0,"",SUM((COUNTIF(Q$4:Q1451,Upgrades!$B$3:$B$13)-COUNTIF(Q$4:Q1451,"Sell_"&amp;Upgrades!$B$3:$B$13))*Upgrades!$D$3:$D$13))</f>
        <v/>
      </c>
      <c r="T1451" s="66" t="str">
        <f>IFERROR(__xludf.DUMMYFUNCTION("IF(COUNTA(Q1451:Q1673)=0,"""",IF(REGEXMATCH(INDEX(FILTER(Q$4:Q1451,Q$4:Q1451&lt;&gt;""""),ROWS(FILTER(Q$4:Q1451,Q$4:Q1451&lt;&gt;""""))),""^Sell_""),INDEX(FILTER(T$4:T1450,Q$4:Q1450&lt;&gt;""""),ROWS(FILTER(Q$4:Q1450,Q$4:Q1450&lt;&gt;""""))),$AD$5+S1451))"),"")</f>
        <v/>
      </c>
      <c r="U1451" s="10" t="str">
        <f>IFERROR(__xludf.DUMMYFUNCTION("IF(COUNTA(Q1451:Q1673)=0,"""",IF(Q1451="""",0,IF(REGEXMATCH(Q1451,""^Sell_""),-ROUNDDOWN(ROUNDUP(INDEX(Upgrades!$C$3:$C$13,MATCH(SUBSTITUTE(Q1451,""Sell_"",""""),Upgrades!$B$3:$B$13,0))*1.15^(COUNTIF(Q$4:Q1450,SUBSTITUTE(Q1451,""Sell_"",""""))-COUNTIF(Q$4"&amp;":Q1450,""Sell_""&amp;SUBSTITUTE(Q1451,""Sell_"",""""))))/2),ROUNDUP(INDEX(Upgrades!$C$3:$C$13,MATCH(Q1451,Upgrades!$B$3:$B$13,0))*1.15^(COUNTIF(Q$4:Q1450,Q1451)-COUNTIF(Q$4:Q1450,""Sell_""&amp;Q1451))))))"),"")</f>
        <v/>
      </c>
      <c r="V1451" s="10" t="str">
        <f t="shared" si="11"/>
        <v/>
      </c>
      <c r="W1451" s="68" t="str">
        <f t="shared" si="12"/>
        <v/>
      </c>
      <c r="X1451" s="59" t="str">
        <f t="shared" si="13"/>
        <v/>
      </c>
      <c r="Y1451" s="69" t="str">
        <f t="shared" si="14"/>
        <v/>
      </c>
      <c r="Z1451" s="11"/>
    </row>
    <row r="1452">
      <c r="A1452" s="8"/>
      <c r="B1452" s="56" t="str">
        <f t="shared" si="2"/>
        <v/>
      </c>
      <c r="C1452" s="105"/>
      <c r="D1452" s="10"/>
      <c r="E1452" s="59" t="str">
        <f t="array" ref="E1452">IF(COUNTA(C1452:C1673)=0,"",SUM((COUNTIF(C$4:C1452,Upgrades!$B$3:$B$13)-COUNTIF(C$4:C1452,"Sell_"&amp;Upgrades!$B$3:$B$13))*Upgrades!$D$3:$D$13))</f>
        <v/>
      </c>
      <c r="F1452" s="66" t="str">
        <f>IFERROR(__xludf.DUMMYFUNCTION("IF(COUNTA(C1452:C1673)=0,"""",IF(REGEXMATCH(INDEX(FILTER(C$4:C1452,C$4:C1452&lt;&gt;""""),ROWS(FILTER(C$4:C1452,C$4:C1452&lt;&gt;""""))),""^Sell_""),INDEX(FILTER(F$4:F1451,C$4:C1451&lt;&gt;""""),ROWS(FILTER(C$4:C1451,C$4:C1451&lt;&gt;""""))),$AC$5+E1452))"),"")</f>
        <v/>
      </c>
      <c r="G1452" s="10" t="str">
        <f>IFERROR(__xludf.DUMMYFUNCTION("IF(COUNTA(C1452:C1673)=0,"""",IF(C1452="""",0,IF(REGEXMATCH(C1452,""^Sell_""),-ROUNDDOWN(ROUNDUP(INDEX(Upgrades!$C$3:$C$13,MATCH(SUBSTITUTE(C1452,""Sell_"",""""),Upgrades!$B$3:$B$13,0))*1.15^(COUNTIF(C$4:C1451,SUBSTITUTE(C1452,""Sell_"",""""))-COUNTIF(C$4"&amp;":C1451,""Sell_""&amp;SUBSTITUTE(C1452,""Sell_"",""""))))/2),ROUNDUP(INDEX(Upgrades!$C$3:$C$13,MATCH(C1452,Upgrades!$B$3:$B$13,0))*1.15^(COUNTIF(C$4:C1451,C1452)-COUNTIF(C$4:C1451,""Sell_""&amp;C1452))))))"),"")</f>
        <v/>
      </c>
      <c r="H1452" s="10" t="str">
        <f t="shared" si="3"/>
        <v/>
      </c>
      <c r="I1452" s="68" t="str">
        <f t="shared" si="4"/>
        <v/>
      </c>
      <c r="J1452" s="59" t="str">
        <f t="shared" si="5"/>
        <v/>
      </c>
      <c r="K1452" s="69" t="str">
        <f t="shared" si="6"/>
        <v/>
      </c>
      <c r="L1452" s="60" t="str">
        <f t="shared" si="7"/>
        <v/>
      </c>
      <c r="M1452" s="61" t="str">
        <f>IFERROR(__xludf.DUMMYFUNCTION("IFS(AND(COUNTA(C1452:C1673)=0,COUNTA(Q1452:Q1673)=0),"""",OR(AND(K1452&gt;=1000000000,OR(Y1452&gt;=1000000000,COUNTA(Q1452:Q1673)=0)),OR(Y1452&gt;=1000000000,AND(COUNTA(C1452:C1673)=0,P$3=TRUE))),
ROUNDDOWN((AB$1-AC$1)*MAX(INDEX(T$4:T1673,MATCH(LARGE(FILTER(Y$4:Y1"&amp;"673,Y$4:Y1673&lt;1000000000),1),Y$4:Y1673)),INDEX(F$4:F1673,MATCH(LARGE(FILTER(K$4:K1673,K$4:K1673&lt;1000000000),1),K$4:K1673)))),AND(K1452&lt;1000000000,COUNTA(C1452:C1673)&gt;0,P$3=FALSE),
ROUNDDOWN(INDEX(Y$4:Y1673,MATCH(LARGE(FILTER(W$4:W1673,W$4:W1673&lt;=I1452),1)"&amp;",W$4:W1673))+(I1452-LARGE(FILTER(W$4:W1673,W$4:W1673&lt;=I1452),1))*INDEX(T$4:T1673,MATCH(LARGE(FILTER(W$4:W1673,W$4:W1673&lt;=I1452),1),W$4:W1673))-K1452),1,
ROUNDDOWN(Y1452-INDEX(K$4:K1673,MATCH(LARGE(FILTER(I$4:I1673,I$4:I1673&lt;=W1452),1),I$4:I1673))-(W1452-L"&amp;"ARGE(FILTER(I$4:I1673,I$4:I1673&lt;=W1452),1))*INDEX(F$4:F1673,MATCH(LARGE(FILTER(I$4:I1673,I$4:I1673&lt;=W1452),1),I$4:I1673))))"),"")</f>
        <v/>
      </c>
      <c r="N1452" s="60" t="str">
        <f t="shared" si="8"/>
        <v/>
      </c>
      <c r="O1452" s="61" t="str">
        <f t="shared" si="9"/>
        <v/>
      </c>
      <c r="P1452" s="56" t="str">
        <f t="shared" si="10"/>
        <v/>
      </c>
      <c r="Q1452" s="67"/>
      <c r="R1452" s="10"/>
      <c r="S1452" s="59" t="str">
        <f t="array" ref="S1452">IF(COUNTA(Q1452:Q1673)=0,"",SUM((COUNTIF(Q$4:Q1452,Upgrades!$B$3:$B$13)-COUNTIF(Q$4:Q1452,"Sell_"&amp;Upgrades!$B$3:$B$13))*Upgrades!$D$3:$D$13))</f>
        <v/>
      </c>
      <c r="T1452" s="66" t="str">
        <f>IFERROR(__xludf.DUMMYFUNCTION("IF(COUNTA(Q1452:Q1673)=0,"""",IF(REGEXMATCH(INDEX(FILTER(Q$4:Q1452,Q$4:Q1452&lt;&gt;""""),ROWS(FILTER(Q$4:Q1452,Q$4:Q1452&lt;&gt;""""))),""^Sell_""),INDEX(FILTER(T$4:T1451,Q$4:Q1451&lt;&gt;""""),ROWS(FILTER(Q$4:Q1451,Q$4:Q1451&lt;&gt;""""))),$AD$5+S1452))"),"")</f>
        <v/>
      </c>
      <c r="U1452" s="10" t="str">
        <f>IFERROR(__xludf.DUMMYFUNCTION("IF(COUNTA(Q1452:Q1673)=0,"""",IF(Q1452="""",0,IF(REGEXMATCH(Q1452,""^Sell_""),-ROUNDDOWN(ROUNDUP(INDEX(Upgrades!$C$3:$C$13,MATCH(SUBSTITUTE(Q1452,""Sell_"",""""),Upgrades!$B$3:$B$13,0))*1.15^(COUNTIF(Q$4:Q1451,SUBSTITUTE(Q1452,""Sell_"",""""))-COUNTIF(Q$4"&amp;":Q1451,""Sell_""&amp;SUBSTITUTE(Q1452,""Sell_"",""""))))/2),ROUNDUP(INDEX(Upgrades!$C$3:$C$13,MATCH(Q1452,Upgrades!$B$3:$B$13,0))*1.15^(COUNTIF(Q$4:Q1451,Q1452)-COUNTIF(Q$4:Q1451,""Sell_""&amp;Q1452))))))"),"")</f>
        <v/>
      </c>
      <c r="V1452" s="10" t="str">
        <f t="shared" si="11"/>
        <v/>
      </c>
      <c r="W1452" s="68" t="str">
        <f t="shared" si="12"/>
        <v/>
      </c>
      <c r="X1452" s="59" t="str">
        <f t="shared" si="13"/>
        <v/>
      </c>
      <c r="Y1452" s="69" t="str">
        <f t="shared" si="14"/>
        <v/>
      </c>
      <c r="Z1452" s="11"/>
    </row>
    <row r="1453">
      <c r="A1453" s="8"/>
      <c r="B1453" s="56" t="str">
        <f t="shared" si="2"/>
        <v/>
      </c>
      <c r="C1453" s="105"/>
      <c r="D1453" s="10"/>
      <c r="E1453" s="59" t="str">
        <f t="array" ref="E1453">IF(COUNTA(C1453:C1673)=0,"",SUM((COUNTIF(C$4:C1453,Upgrades!$B$3:$B$13)-COUNTIF(C$4:C1453,"Sell_"&amp;Upgrades!$B$3:$B$13))*Upgrades!$D$3:$D$13))</f>
        <v/>
      </c>
      <c r="F1453" s="66" t="str">
        <f>IFERROR(__xludf.DUMMYFUNCTION("IF(COUNTA(C1453:C1673)=0,"""",IF(REGEXMATCH(INDEX(FILTER(C$4:C1453,C$4:C1453&lt;&gt;""""),ROWS(FILTER(C$4:C1453,C$4:C1453&lt;&gt;""""))),""^Sell_""),INDEX(FILTER(F$4:F1452,C$4:C1452&lt;&gt;""""),ROWS(FILTER(C$4:C1452,C$4:C1452&lt;&gt;""""))),$AC$5+E1453))"),"")</f>
        <v/>
      </c>
      <c r="G1453" s="10" t="str">
        <f>IFERROR(__xludf.DUMMYFUNCTION("IF(COUNTA(C1453:C1673)=0,"""",IF(C1453="""",0,IF(REGEXMATCH(C1453,""^Sell_""),-ROUNDDOWN(ROUNDUP(INDEX(Upgrades!$C$3:$C$13,MATCH(SUBSTITUTE(C1453,""Sell_"",""""),Upgrades!$B$3:$B$13,0))*1.15^(COUNTIF(C$4:C1452,SUBSTITUTE(C1453,""Sell_"",""""))-COUNTIF(C$4"&amp;":C1452,""Sell_""&amp;SUBSTITUTE(C1453,""Sell_"",""""))))/2),ROUNDUP(INDEX(Upgrades!$C$3:$C$13,MATCH(C1453,Upgrades!$B$3:$B$13,0))*1.15^(COUNTIF(C$4:C1452,C1453)-COUNTIF(C$4:C1452,""Sell_""&amp;C1453))))))"),"")</f>
        <v/>
      </c>
      <c r="H1453" s="10" t="str">
        <f t="shared" si="3"/>
        <v/>
      </c>
      <c r="I1453" s="68" t="str">
        <f t="shared" si="4"/>
        <v/>
      </c>
      <c r="J1453" s="59" t="str">
        <f t="shared" si="5"/>
        <v/>
      </c>
      <c r="K1453" s="69" t="str">
        <f t="shared" si="6"/>
        <v/>
      </c>
      <c r="L1453" s="60" t="str">
        <f t="shared" si="7"/>
        <v/>
      </c>
      <c r="M1453" s="61" t="str">
        <f>IFERROR(__xludf.DUMMYFUNCTION("IFS(AND(COUNTA(C1453:C1673)=0,COUNTA(Q1453:Q1673)=0),"""",OR(AND(K1453&gt;=1000000000,OR(Y1453&gt;=1000000000,COUNTA(Q1453:Q1673)=0)),OR(Y1453&gt;=1000000000,AND(COUNTA(C1453:C1673)=0,P$3=TRUE))),
ROUNDDOWN((AB$1-AC$1)*MAX(INDEX(T$4:T1673,MATCH(LARGE(FILTER(Y$4:Y1"&amp;"673,Y$4:Y1673&lt;1000000000),1),Y$4:Y1673)),INDEX(F$4:F1673,MATCH(LARGE(FILTER(K$4:K1673,K$4:K1673&lt;1000000000),1),K$4:K1673)))),AND(K1453&lt;1000000000,COUNTA(C1453:C1673)&gt;0,P$3=FALSE),
ROUNDDOWN(INDEX(Y$4:Y1673,MATCH(LARGE(FILTER(W$4:W1673,W$4:W1673&lt;=I1453),1)"&amp;",W$4:W1673))+(I1453-LARGE(FILTER(W$4:W1673,W$4:W1673&lt;=I1453),1))*INDEX(T$4:T1673,MATCH(LARGE(FILTER(W$4:W1673,W$4:W1673&lt;=I1453),1),W$4:W1673))-K1453),1,
ROUNDDOWN(Y1453-INDEX(K$4:K1673,MATCH(LARGE(FILTER(I$4:I1673,I$4:I1673&lt;=W1453),1),I$4:I1673))-(W1453-L"&amp;"ARGE(FILTER(I$4:I1673,I$4:I1673&lt;=W1453),1))*INDEX(F$4:F1673,MATCH(LARGE(FILTER(I$4:I1673,I$4:I1673&lt;=W1453),1),I$4:I1673))))"),"")</f>
        <v/>
      </c>
      <c r="N1453" s="60" t="str">
        <f t="shared" si="8"/>
        <v/>
      </c>
      <c r="O1453" s="61" t="str">
        <f t="shared" si="9"/>
        <v/>
      </c>
      <c r="P1453" s="56" t="str">
        <f t="shared" si="10"/>
        <v/>
      </c>
      <c r="Q1453" s="67"/>
      <c r="R1453" s="10"/>
      <c r="S1453" s="59" t="str">
        <f t="array" ref="S1453">IF(COUNTA(Q1453:Q1673)=0,"",SUM((COUNTIF(Q$4:Q1453,Upgrades!$B$3:$B$13)-COUNTIF(Q$4:Q1453,"Sell_"&amp;Upgrades!$B$3:$B$13))*Upgrades!$D$3:$D$13))</f>
        <v/>
      </c>
      <c r="T1453" s="66" t="str">
        <f>IFERROR(__xludf.DUMMYFUNCTION("IF(COUNTA(Q1453:Q1673)=0,"""",IF(REGEXMATCH(INDEX(FILTER(Q$4:Q1453,Q$4:Q1453&lt;&gt;""""),ROWS(FILTER(Q$4:Q1453,Q$4:Q1453&lt;&gt;""""))),""^Sell_""),INDEX(FILTER(T$4:T1452,Q$4:Q1452&lt;&gt;""""),ROWS(FILTER(Q$4:Q1452,Q$4:Q1452&lt;&gt;""""))),$AD$5+S1453))"),"")</f>
        <v/>
      </c>
      <c r="U1453" s="10" t="str">
        <f>IFERROR(__xludf.DUMMYFUNCTION("IF(COUNTA(Q1453:Q1673)=0,"""",IF(Q1453="""",0,IF(REGEXMATCH(Q1453,""^Sell_""),-ROUNDDOWN(ROUNDUP(INDEX(Upgrades!$C$3:$C$13,MATCH(SUBSTITUTE(Q1453,""Sell_"",""""),Upgrades!$B$3:$B$13,0))*1.15^(COUNTIF(Q$4:Q1452,SUBSTITUTE(Q1453,""Sell_"",""""))-COUNTIF(Q$4"&amp;":Q1452,""Sell_""&amp;SUBSTITUTE(Q1453,""Sell_"",""""))))/2),ROUNDUP(INDEX(Upgrades!$C$3:$C$13,MATCH(Q1453,Upgrades!$B$3:$B$13,0))*1.15^(COUNTIF(Q$4:Q1452,Q1453)-COUNTIF(Q$4:Q1452,""Sell_""&amp;Q1453))))))"),"")</f>
        <v/>
      </c>
      <c r="V1453" s="10" t="str">
        <f t="shared" si="11"/>
        <v/>
      </c>
      <c r="W1453" s="68" t="str">
        <f t="shared" si="12"/>
        <v/>
      </c>
      <c r="X1453" s="59" t="str">
        <f t="shared" si="13"/>
        <v/>
      </c>
      <c r="Y1453" s="69" t="str">
        <f t="shared" si="14"/>
        <v/>
      </c>
      <c r="Z1453" s="11"/>
    </row>
    <row r="1454">
      <c r="A1454" s="8"/>
      <c r="B1454" s="56" t="str">
        <f t="shared" si="2"/>
        <v/>
      </c>
      <c r="C1454" s="105"/>
      <c r="D1454" s="10"/>
      <c r="E1454" s="59" t="str">
        <f t="array" ref="E1454">IF(COUNTA(C1454:C1673)=0,"",SUM((COUNTIF(C$4:C1454,Upgrades!$B$3:$B$13)-COUNTIF(C$4:C1454,"Sell_"&amp;Upgrades!$B$3:$B$13))*Upgrades!$D$3:$D$13))</f>
        <v/>
      </c>
      <c r="F1454" s="66" t="str">
        <f>IFERROR(__xludf.DUMMYFUNCTION("IF(COUNTA(C1454:C1673)=0,"""",IF(REGEXMATCH(INDEX(FILTER(C$4:C1454,C$4:C1454&lt;&gt;""""),ROWS(FILTER(C$4:C1454,C$4:C1454&lt;&gt;""""))),""^Sell_""),INDEX(FILTER(F$4:F1453,C$4:C1453&lt;&gt;""""),ROWS(FILTER(C$4:C1453,C$4:C1453&lt;&gt;""""))),$AC$5+E1454))"),"")</f>
        <v/>
      </c>
      <c r="G1454" s="10" t="str">
        <f>IFERROR(__xludf.DUMMYFUNCTION("IF(COUNTA(C1454:C1673)=0,"""",IF(C1454="""",0,IF(REGEXMATCH(C1454,""^Sell_""),-ROUNDDOWN(ROUNDUP(INDEX(Upgrades!$C$3:$C$13,MATCH(SUBSTITUTE(C1454,""Sell_"",""""),Upgrades!$B$3:$B$13,0))*1.15^(COUNTIF(C$4:C1453,SUBSTITUTE(C1454,""Sell_"",""""))-COUNTIF(C$4"&amp;":C1453,""Sell_""&amp;SUBSTITUTE(C1454,""Sell_"",""""))))/2),ROUNDUP(INDEX(Upgrades!$C$3:$C$13,MATCH(C1454,Upgrades!$B$3:$B$13,0))*1.15^(COUNTIF(C$4:C1453,C1454)-COUNTIF(C$4:C1453,""Sell_""&amp;C1454))))))"),"")</f>
        <v/>
      </c>
      <c r="H1454" s="10" t="str">
        <f t="shared" si="3"/>
        <v/>
      </c>
      <c r="I1454" s="68" t="str">
        <f t="shared" si="4"/>
        <v/>
      </c>
      <c r="J1454" s="59" t="str">
        <f t="shared" si="5"/>
        <v/>
      </c>
      <c r="K1454" s="69" t="str">
        <f t="shared" si="6"/>
        <v/>
      </c>
      <c r="L1454" s="60" t="str">
        <f t="shared" si="7"/>
        <v/>
      </c>
      <c r="M1454" s="61" t="str">
        <f>IFERROR(__xludf.DUMMYFUNCTION("IFS(AND(COUNTA(C1454:C1673)=0,COUNTA(Q1454:Q1673)=0),"""",OR(AND(K1454&gt;=1000000000,OR(Y1454&gt;=1000000000,COUNTA(Q1454:Q1673)=0)),OR(Y1454&gt;=1000000000,AND(COUNTA(C1454:C1673)=0,P$3=TRUE))),
ROUNDDOWN((AB$1-AC$1)*MAX(INDEX(T$4:T1673,MATCH(LARGE(FILTER(Y$4:Y1"&amp;"673,Y$4:Y1673&lt;1000000000),1),Y$4:Y1673)),INDEX(F$4:F1673,MATCH(LARGE(FILTER(K$4:K1673,K$4:K1673&lt;1000000000),1),K$4:K1673)))),AND(K1454&lt;1000000000,COUNTA(C1454:C1673)&gt;0,P$3=FALSE),
ROUNDDOWN(INDEX(Y$4:Y1673,MATCH(LARGE(FILTER(W$4:W1673,W$4:W1673&lt;=I1454),1)"&amp;",W$4:W1673))+(I1454-LARGE(FILTER(W$4:W1673,W$4:W1673&lt;=I1454),1))*INDEX(T$4:T1673,MATCH(LARGE(FILTER(W$4:W1673,W$4:W1673&lt;=I1454),1),W$4:W1673))-K1454),1,
ROUNDDOWN(Y1454-INDEX(K$4:K1673,MATCH(LARGE(FILTER(I$4:I1673,I$4:I1673&lt;=W1454),1),I$4:I1673))-(W1454-L"&amp;"ARGE(FILTER(I$4:I1673,I$4:I1673&lt;=W1454),1))*INDEX(F$4:F1673,MATCH(LARGE(FILTER(I$4:I1673,I$4:I1673&lt;=W1454),1),I$4:I1673))))"),"")</f>
        <v/>
      </c>
      <c r="N1454" s="60" t="str">
        <f t="shared" si="8"/>
        <v/>
      </c>
      <c r="O1454" s="61" t="str">
        <f t="shared" si="9"/>
        <v/>
      </c>
      <c r="P1454" s="56" t="str">
        <f t="shared" si="10"/>
        <v/>
      </c>
      <c r="Q1454" s="67"/>
      <c r="R1454" s="10"/>
      <c r="S1454" s="59" t="str">
        <f t="array" ref="S1454">IF(COUNTA(Q1454:Q1673)=0,"",SUM((COUNTIF(Q$4:Q1454,Upgrades!$B$3:$B$13)-COUNTIF(Q$4:Q1454,"Sell_"&amp;Upgrades!$B$3:$B$13))*Upgrades!$D$3:$D$13))</f>
        <v/>
      </c>
      <c r="T1454" s="66" t="str">
        <f>IFERROR(__xludf.DUMMYFUNCTION("IF(COUNTA(Q1454:Q1673)=0,"""",IF(REGEXMATCH(INDEX(FILTER(Q$4:Q1454,Q$4:Q1454&lt;&gt;""""),ROWS(FILTER(Q$4:Q1454,Q$4:Q1454&lt;&gt;""""))),""^Sell_""),INDEX(FILTER(T$4:T1453,Q$4:Q1453&lt;&gt;""""),ROWS(FILTER(Q$4:Q1453,Q$4:Q1453&lt;&gt;""""))),$AD$5+S1454))"),"")</f>
        <v/>
      </c>
      <c r="U1454" s="10" t="str">
        <f>IFERROR(__xludf.DUMMYFUNCTION("IF(COUNTA(Q1454:Q1673)=0,"""",IF(Q1454="""",0,IF(REGEXMATCH(Q1454,""^Sell_""),-ROUNDDOWN(ROUNDUP(INDEX(Upgrades!$C$3:$C$13,MATCH(SUBSTITUTE(Q1454,""Sell_"",""""),Upgrades!$B$3:$B$13,0))*1.15^(COUNTIF(Q$4:Q1453,SUBSTITUTE(Q1454,""Sell_"",""""))-COUNTIF(Q$4"&amp;":Q1453,""Sell_""&amp;SUBSTITUTE(Q1454,""Sell_"",""""))))/2),ROUNDUP(INDEX(Upgrades!$C$3:$C$13,MATCH(Q1454,Upgrades!$B$3:$B$13,0))*1.15^(COUNTIF(Q$4:Q1453,Q1454)-COUNTIF(Q$4:Q1453,""Sell_""&amp;Q1454))))))"),"")</f>
        <v/>
      </c>
      <c r="V1454" s="10" t="str">
        <f t="shared" si="11"/>
        <v/>
      </c>
      <c r="W1454" s="68" t="str">
        <f t="shared" si="12"/>
        <v/>
      </c>
      <c r="X1454" s="59" t="str">
        <f t="shared" si="13"/>
        <v/>
      </c>
      <c r="Y1454" s="69" t="str">
        <f t="shared" si="14"/>
        <v/>
      </c>
      <c r="Z1454" s="11"/>
    </row>
    <row r="1455">
      <c r="A1455" s="8"/>
      <c r="B1455" s="56" t="str">
        <f t="shared" si="2"/>
        <v/>
      </c>
      <c r="C1455" s="105"/>
      <c r="D1455" s="10"/>
      <c r="E1455" s="59" t="str">
        <f t="array" ref="E1455">IF(COUNTA(C1455:C1673)=0,"",SUM((COUNTIF(C$4:C1455,Upgrades!$B$3:$B$13)-COUNTIF(C$4:C1455,"Sell_"&amp;Upgrades!$B$3:$B$13))*Upgrades!$D$3:$D$13))</f>
        <v/>
      </c>
      <c r="F1455" s="66" t="str">
        <f>IFERROR(__xludf.DUMMYFUNCTION("IF(COUNTA(C1455:C1673)=0,"""",IF(REGEXMATCH(INDEX(FILTER(C$4:C1455,C$4:C1455&lt;&gt;""""),ROWS(FILTER(C$4:C1455,C$4:C1455&lt;&gt;""""))),""^Sell_""),INDEX(FILTER(F$4:F1454,C$4:C1454&lt;&gt;""""),ROWS(FILTER(C$4:C1454,C$4:C1454&lt;&gt;""""))),$AC$5+E1455))"),"")</f>
        <v/>
      </c>
      <c r="G1455" s="10" t="str">
        <f>IFERROR(__xludf.DUMMYFUNCTION("IF(COUNTA(C1455:C1673)=0,"""",IF(C1455="""",0,IF(REGEXMATCH(C1455,""^Sell_""),-ROUNDDOWN(ROUNDUP(INDEX(Upgrades!$C$3:$C$13,MATCH(SUBSTITUTE(C1455,""Sell_"",""""),Upgrades!$B$3:$B$13,0))*1.15^(COUNTIF(C$4:C1454,SUBSTITUTE(C1455,""Sell_"",""""))-COUNTIF(C$4"&amp;":C1454,""Sell_""&amp;SUBSTITUTE(C1455,""Sell_"",""""))))/2),ROUNDUP(INDEX(Upgrades!$C$3:$C$13,MATCH(C1455,Upgrades!$B$3:$B$13,0))*1.15^(COUNTIF(C$4:C1454,C1455)-COUNTIF(C$4:C1454,""Sell_""&amp;C1455))))))"),"")</f>
        <v/>
      </c>
      <c r="H1455" s="10" t="str">
        <f t="shared" si="3"/>
        <v/>
      </c>
      <c r="I1455" s="68" t="str">
        <f t="shared" si="4"/>
        <v/>
      </c>
      <c r="J1455" s="59" t="str">
        <f t="shared" si="5"/>
        <v/>
      </c>
      <c r="K1455" s="69" t="str">
        <f t="shared" si="6"/>
        <v/>
      </c>
      <c r="L1455" s="60" t="str">
        <f t="shared" si="7"/>
        <v/>
      </c>
      <c r="M1455" s="61" t="str">
        <f>IFERROR(__xludf.DUMMYFUNCTION("IFS(AND(COUNTA(C1455:C1673)=0,COUNTA(Q1455:Q1673)=0),"""",OR(AND(K1455&gt;=1000000000,OR(Y1455&gt;=1000000000,COUNTA(Q1455:Q1673)=0)),OR(Y1455&gt;=1000000000,AND(COUNTA(C1455:C1673)=0,P$3=TRUE))),
ROUNDDOWN((AB$1-AC$1)*MAX(INDEX(T$4:T1673,MATCH(LARGE(FILTER(Y$4:Y1"&amp;"673,Y$4:Y1673&lt;1000000000),1),Y$4:Y1673)),INDEX(F$4:F1673,MATCH(LARGE(FILTER(K$4:K1673,K$4:K1673&lt;1000000000),1),K$4:K1673)))),AND(K1455&lt;1000000000,COUNTA(C1455:C1673)&gt;0,P$3=FALSE),
ROUNDDOWN(INDEX(Y$4:Y1673,MATCH(LARGE(FILTER(W$4:W1673,W$4:W1673&lt;=I1455),1)"&amp;",W$4:W1673))+(I1455-LARGE(FILTER(W$4:W1673,W$4:W1673&lt;=I1455),1))*INDEX(T$4:T1673,MATCH(LARGE(FILTER(W$4:W1673,W$4:W1673&lt;=I1455),1),W$4:W1673))-K1455),1,
ROUNDDOWN(Y1455-INDEX(K$4:K1673,MATCH(LARGE(FILTER(I$4:I1673,I$4:I1673&lt;=W1455),1),I$4:I1673))-(W1455-L"&amp;"ARGE(FILTER(I$4:I1673,I$4:I1673&lt;=W1455),1))*INDEX(F$4:F1673,MATCH(LARGE(FILTER(I$4:I1673,I$4:I1673&lt;=W1455),1),I$4:I1673))))"),"")</f>
        <v/>
      </c>
      <c r="N1455" s="60" t="str">
        <f t="shared" si="8"/>
        <v/>
      </c>
      <c r="O1455" s="61" t="str">
        <f t="shared" si="9"/>
        <v/>
      </c>
      <c r="P1455" s="56" t="str">
        <f t="shared" si="10"/>
        <v/>
      </c>
      <c r="Q1455" s="67"/>
      <c r="R1455" s="10"/>
      <c r="S1455" s="59" t="str">
        <f t="array" ref="S1455">IF(COUNTA(Q1455:Q1673)=0,"",SUM((COUNTIF(Q$4:Q1455,Upgrades!$B$3:$B$13)-COUNTIF(Q$4:Q1455,"Sell_"&amp;Upgrades!$B$3:$B$13))*Upgrades!$D$3:$D$13))</f>
        <v/>
      </c>
      <c r="T1455" s="66" t="str">
        <f>IFERROR(__xludf.DUMMYFUNCTION("IF(COUNTA(Q1455:Q1673)=0,"""",IF(REGEXMATCH(INDEX(FILTER(Q$4:Q1455,Q$4:Q1455&lt;&gt;""""),ROWS(FILTER(Q$4:Q1455,Q$4:Q1455&lt;&gt;""""))),""^Sell_""),INDEX(FILTER(T$4:T1454,Q$4:Q1454&lt;&gt;""""),ROWS(FILTER(Q$4:Q1454,Q$4:Q1454&lt;&gt;""""))),$AD$5+S1455))"),"")</f>
        <v/>
      </c>
      <c r="U1455" s="10" t="str">
        <f>IFERROR(__xludf.DUMMYFUNCTION("IF(COUNTA(Q1455:Q1673)=0,"""",IF(Q1455="""",0,IF(REGEXMATCH(Q1455,""^Sell_""),-ROUNDDOWN(ROUNDUP(INDEX(Upgrades!$C$3:$C$13,MATCH(SUBSTITUTE(Q1455,""Sell_"",""""),Upgrades!$B$3:$B$13,0))*1.15^(COUNTIF(Q$4:Q1454,SUBSTITUTE(Q1455,""Sell_"",""""))-COUNTIF(Q$4"&amp;":Q1454,""Sell_""&amp;SUBSTITUTE(Q1455,""Sell_"",""""))))/2),ROUNDUP(INDEX(Upgrades!$C$3:$C$13,MATCH(Q1455,Upgrades!$B$3:$B$13,0))*1.15^(COUNTIF(Q$4:Q1454,Q1455)-COUNTIF(Q$4:Q1454,""Sell_""&amp;Q1455))))))"),"")</f>
        <v/>
      </c>
      <c r="V1455" s="10" t="str">
        <f t="shared" si="11"/>
        <v/>
      </c>
      <c r="W1455" s="68" t="str">
        <f t="shared" si="12"/>
        <v/>
      </c>
      <c r="X1455" s="59" t="str">
        <f t="shared" si="13"/>
        <v/>
      </c>
      <c r="Y1455" s="69" t="str">
        <f t="shared" si="14"/>
        <v/>
      </c>
      <c r="Z1455" s="11"/>
    </row>
    <row r="1456">
      <c r="A1456" s="8"/>
      <c r="B1456" s="56" t="str">
        <f t="shared" si="2"/>
        <v/>
      </c>
      <c r="C1456" s="105"/>
      <c r="D1456" s="10"/>
      <c r="E1456" s="59" t="str">
        <f t="array" ref="E1456">IF(COUNTA(C1456:C1673)=0,"",SUM((COUNTIF(C$4:C1456,Upgrades!$B$3:$B$13)-COUNTIF(C$4:C1456,"Sell_"&amp;Upgrades!$B$3:$B$13))*Upgrades!$D$3:$D$13))</f>
        <v/>
      </c>
      <c r="F1456" s="66" t="str">
        <f>IFERROR(__xludf.DUMMYFUNCTION("IF(COUNTA(C1456:C1673)=0,"""",IF(REGEXMATCH(INDEX(FILTER(C$4:C1456,C$4:C1456&lt;&gt;""""),ROWS(FILTER(C$4:C1456,C$4:C1456&lt;&gt;""""))),""^Sell_""),INDEX(FILTER(F$4:F1455,C$4:C1455&lt;&gt;""""),ROWS(FILTER(C$4:C1455,C$4:C1455&lt;&gt;""""))),$AC$5+E1456))"),"")</f>
        <v/>
      </c>
      <c r="G1456" s="10" t="str">
        <f>IFERROR(__xludf.DUMMYFUNCTION("IF(COUNTA(C1456:C1673)=0,"""",IF(C1456="""",0,IF(REGEXMATCH(C1456,""^Sell_""),-ROUNDDOWN(ROUNDUP(INDEX(Upgrades!$C$3:$C$13,MATCH(SUBSTITUTE(C1456,""Sell_"",""""),Upgrades!$B$3:$B$13,0))*1.15^(COUNTIF(C$4:C1455,SUBSTITUTE(C1456,""Sell_"",""""))-COUNTIF(C$4"&amp;":C1455,""Sell_""&amp;SUBSTITUTE(C1456,""Sell_"",""""))))/2),ROUNDUP(INDEX(Upgrades!$C$3:$C$13,MATCH(C1456,Upgrades!$B$3:$B$13,0))*1.15^(COUNTIF(C$4:C1455,C1456)-COUNTIF(C$4:C1455,""Sell_""&amp;C1456))))))"),"")</f>
        <v/>
      </c>
      <c r="H1456" s="10" t="str">
        <f t="shared" si="3"/>
        <v/>
      </c>
      <c r="I1456" s="68" t="str">
        <f t="shared" si="4"/>
        <v/>
      </c>
      <c r="J1456" s="59" t="str">
        <f t="shared" si="5"/>
        <v/>
      </c>
      <c r="K1456" s="69" t="str">
        <f t="shared" si="6"/>
        <v/>
      </c>
      <c r="L1456" s="60" t="str">
        <f t="shared" si="7"/>
        <v/>
      </c>
      <c r="M1456" s="61" t="str">
        <f>IFERROR(__xludf.DUMMYFUNCTION("IFS(AND(COUNTA(C1456:C1673)=0,COUNTA(Q1456:Q1673)=0),"""",OR(AND(K1456&gt;=1000000000,OR(Y1456&gt;=1000000000,COUNTA(Q1456:Q1673)=0)),OR(Y1456&gt;=1000000000,AND(COUNTA(C1456:C1673)=0,P$3=TRUE))),
ROUNDDOWN((AB$1-AC$1)*MAX(INDEX(T$4:T1673,MATCH(LARGE(FILTER(Y$4:Y1"&amp;"673,Y$4:Y1673&lt;1000000000),1),Y$4:Y1673)),INDEX(F$4:F1673,MATCH(LARGE(FILTER(K$4:K1673,K$4:K1673&lt;1000000000),1),K$4:K1673)))),AND(K1456&lt;1000000000,COUNTA(C1456:C1673)&gt;0,P$3=FALSE),
ROUNDDOWN(INDEX(Y$4:Y1673,MATCH(LARGE(FILTER(W$4:W1673,W$4:W1673&lt;=I1456),1)"&amp;",W$4:W1673))+(I1456-LARGE(FILTER(W$4:W1673,W$4:W1673&lt;=I1456),1))*INDEX(T$4:T1673,MATCH(LARGE(FILTER(W$4:W1673,W$4:W1673&lt;=I1456),1),W$4:W1673))-K1456),1,
ROUNDDOWN(Y1456-INDEX(K$4:K1673,MATCH(LARGE(FILTER(I$4:I1673,I$4:I1673&lt;=W1456),1),I$4:I1673))-(W1456-L"&amp;"ARGE(FILTER(I$4:I1673,I$4:I1673&lt;=W1456),1))*INDEX(F$4:F1673,MATCH(LARGE(FILTER(I$4:I1673,I$4:I1673&lt;=W1456),1),I$4:I1673))))"),"")</f>
        <v/>
      </c>
      <c r="N1456" s="60" t="str">
        <f t="shared" si="8"/>
        <v/>
      </c>
      <c r="O1456" s="61" t="str">
        <f t="shared" si="9"/>
        <v/>
      </c>
      <c r="P1456" s="56" t="str">
        <f t="shared" si="10"/>
        <v/>
      </c>
      <c r="Q1456" s="67"/>
      <c r="R1456" s="10"/>
      <c r="S1456" s="59" t="str">
        <f t="array" ref="S1456">IF(COUNTA(Q1456:Q1673)=0,"",SUM((COUNTIF(Q$4:Q1456,Upgrades!$B$3:$B$13)-COUNTIF(Q$4:Q1456,"Sell_"&amp;Upgrades!$B$3:$B$13))*Upgrades!$D$3:$D$13))</f>
        <v/>
      </c>
      <c r="T1456" s="66" t="str">
        <f>IFERROR(__xludf.DUMMYFUNCTION("IF(COUNTA(Q1456:Q1673)=0,"""",IF(REGEXMATCH(INDEX(FILTER(Q$4:Q1456,Q$4:Q1456&lt;&gt;""""),ROWS(FILTER(Q$4:Q1456,Q$4:Q1456&lt;&gt;""""))),""^Sell_""),INDEX(FILTER(T$4:T1455,Q$4:Q1455&lt;&gt;""""),ROWS(FILTER(Q$4:Q1455,Q$4:Q1455&lt;&gt;""""))),$AD$5+S1456))"),"")</f>
        <v/>
      </c>
      <c r="U1456" s="10" t="str">
        <f>IFERROR(__xludf.DUMMYFUNCTION("IF(COUNTA(Q1456:Q1673)=0,"""",IF(Q1456="""",0,IF(REGEXMATCH(Q1456,""^Sell_""),-ROUNDDOWN(ROUNDUP(INDEX(Upgrades!$C$3:$C$13,MATCH(SUBSTITUTE(Q1456,""Sell_"",""""),Upgrades!$B$3:$B$13,0))*1.15^(COUNTIF(Q$4:Q1455,SUBSTITUTE(Q1456,""Sell_"",""""))-COUNTIF(Q$4"&amp;":Q1455,""Sell_""&amp;SUBSTITUTE(Q1456,""Sell_"",""""))))/2),ROUNDUP(INDEX(Upgrades!$C$3:$C$13,MATCH(Q1456,Upgrades!$B$3:$B$13,0))*1.15^(COUNTIF(Q$4:Q1455,Q1456)-COUNTIF(Q$4:Q1455,""Sell_""&amp;Q1456))))))"),"")</f>
        <v/>
      </c>
      <c r="V1456" s="10" t="str">
        <f t="shared" si="11"/>
        <v/>
      </c>
      <c r="W1456" s="68" t="str">
        <f t="shared" si="12"/>
        <v/>
      </c>
      <c r="X1456" s="59" t="str">
        <f t="shared" si="13"/>
        <v/>
      </c>
      <c r="Y1456" s="69" t="str">
        <f t="shared" si="14"/>
        <v/>
      </c>
      <c r="Z1456" s="11"/>
    </row>
    <row r="1457">
      <c r="A1457" s="8"/>
      <c r="B1457" s="56" t="str">
        <f t="shared" si="2"/>
        <v/>
      </c>
      <c r="C1457" s="105"/>
      <c r="D1457" s="10"/>
      <c r="E1457" s="59" t="str">
        <f t="array" ref="E1457">IF(COUNTA(C1457:C1673)=0,"",SUM((COUNTIF(C$4:C1457,Upgrades!$B$3:$B$13)-COUNTIF(C$4:C1457,"Sell_"&amp;Upgrades!$B$3:$B$13))*Upgrades!$D$3:$D$13))</f>
        <v/>
      </c>
      <c r="F1457" s="66" t="str">
        <f>IFERROR(__xludf.DUMMYFUNCTION("IF(COUNTA(C1457:C1673)=0,"""",IF(REGEXMATCH(INDEX(FILTER(C$4:C1457,C$4:C1457&lt;&gt;""""),ROWS(FILTER(C$4:C1457,C$4:C1457&lt;&gt;""""))),""^Sell_""),INDEX(FILTER(F$4:F1456,C$4:C1456&lt;&gt;""""),ROWS(FILTER(C$4:C1456,C$4:C1456&lt;&gt;""""))),$AC$5+E1457))"),"")</f>
        <v/>
      </c>
      <c r="G1457" s="10" t="str">
        <f>IFERROR(__xludf.DUMMYFUNCTION("IF(COUNTA(C1457:C1673)=0,"""",IF(C1457="""",0,IF(REGEXMATCH(C1457,""^Sell_""),-ROUNDDOWN(ROUNDUP(INDEX(Upgrades!$C$3:$C$13,MATCH(SUBSTITUTE(C1457,""Sell_"",""""),Upgrades!$B$3:$B$13,0))*1.15^(COUNTIF(C$4:C1456,SUBSTITUTE(C1457,""Sell_"",""""))-COUNTIF(C$4"&amp;":C1456,""Sell_""&amp;SUBSTITUTE(C1457,""Sell_"",""""))))/2),ROUNDUP(INDEX(Upgrades!$C$3:$C$13,MATCH(C1457,Upgrades!$B$3:$B$13,0))*1.15^(COUNTIF(C$4:C1456,C1457)-COUNTIF(C$4:C1456,""Sell_""&amp;C1457))))))"),"")</f>
        <v/>
      </c>
      <c r="H1457" s="10" t="str">
        <f t="shared" si="3"/>
        <v/>
      </c>
      <c r="I1457" s="68" t="str">
        <f t="shared" si="4"/>
        <v/>
      </c>
      <c r="J1457" s="59" t="str">
        <f t="shared" si="5"/>
        <v/>
      </c>
      <c r="K1457" s="69" t="str">
        <f t="shared" si="6"/>
        <v/>
      </c>
      <c r="L1457" s="60" t="str">
        <f t="shared" si="7"/>
        <v/>
      </c>
      <c r="M1457" s="61" t="str">
        <f>IFERROR(__xludf.DUMMYFUNCTION("IFS(AND(COUNTA(C1457:C1673)=0,COUNTA(Q1457:Q1673)=0),"""",OR(AND(K1457&gt;=1000000000,OR(Y1457&gt;=1000000000,COUNTA(Q1457:Q1673)=0)),OR(Y1457&gt;=1000000000,AND(COUNTA(C1457:C1673)=0,P$3=TRUE))),
ROUNDDOWN((AB$1-AC$1)*MAX(INDEX(T$4:T1673,MATCH(LARGE(FILTER(Y$4:Y1"&amp;"673,Y$4:Y1673&lt;1000000000),1),Y$4:Y1673)),INDEX(F$4:F1673,MATCH(LARGE(FILTER(K$4:K1673,K$4:K1673&lt;1000000000),1),K$4:K1673)))),AND(K1457&lt;1000000000,COUNTA(C1457:C1673)&gt;0,P$3=FALSE),
ROUNDDOWN(INDEX(Y$4:Y1673,MATCH(LARGE(FILTER(W$4:W1673,W$4:W1673&lt;=I1457),1)"&amp;",W$4:W1673))+(I1457-LARGE(FILTER(W$4:W1673,W$4:W1673&lt;=I1457),1))*INDEX(T$4:T1673,MATCH(LARGE(FILTER(W$4:W1673,W$4:W1673&lt;=I1457),1),W$4:W1673))-K1457),1,
ROUNDDOWN(Y1457-INDEX(K$4:K1673,MATCH(LARGE(FILTER(I$4:I1673,I$4:I1673&lt;=W1457),1),I$4:I1673))-(W1457-L"&amp;"ARGE(FILTER(I$4:I1673,I$4:I1673&lt;=W1457),1))*INDEX(F$4:F1673,MATCH(LARGE(FILTER(I$4:I1673,I$4:I1673&lt;=W1457),1),I$4:I1673))))"),"")</f>
        <v/>
      </c>
      <c r="N1457" s="60" t="str">
        <f t="shared" si="8"/>
        <v/>
      </c>
      <c r="O1457" s="61" t="str">
        <f t="shared" si="9"/>
        <v/>
      </c>
      <c r="P1457" s="56" t="str">
        <f t="shared" si="10"/>
        <v/>
      </c>
      <c r="Q1457" s="67"/>
      <c r="R1457" s="10"/>
      <c r="S1457" s="59" t="str">
        <f t="array" ref="S1457">IF(COUNTA(Q1457:Q1673)=0,"",SUM((COUNTIF(Q$4:Q1457,Upgrades!$B$3:$B$13)-COUNTIF(Q$4:Q1457,"Sell_"&amp;Upgrades!$B$3:$B$13))*Upgrades!$D$3:$D$13))</f>
        <v/>
      </c>
      <c r="T1457" s="66" t="str">
        <f>IFERROR(__xludf.DUMMYFUNCTION("IF(COUNTA(Q1457:Q1673)=0,"""",IF(REGEXMATCH(INDEX(FILTER(Q$4:Q1457,Q$4:Q1457&lt;&gt;""""),ROWS(FILTER(Q$4:Q1457,Q$4:Q1457&lt;&gt;""""))),""^Sell_""),INDEX(FILTER(T$4:T1456,Q$4:Q1456&lt;&gt;""""),ROWS(FILTER(Q$4:Q1456,Q$4:Q1456&lt;&gt;""""))),$AD$5+S1457))"),"")</f>
        <v/>
      </c>
      <c r="U1457" s="10" t="str">
        <f>IFERROR(__xludf.DUMMYFUNCTION("IF(COUNTA(Q1457:Q1673)=0,"""",IF(Q1457="""",0,IF(REGEXMATCH(Q1457,""^Sell_""),-ROUNDDOWN(ROUNDUP(INDEX(Upgrades!$C$3:$C$13,MATCH(SUBSTITUTE(Q1457,""Sell_"",""""),Upgrades!$B$3:$B$13,0))*1.15^(COUNTIF(Q$4:Q1456,SUBSTITUTE(Q1457,""Sell_"",""""))-COUNTIF(Q$4"&amp;":Q1456,""Sell_""&amp;SUBSTITUTE(Q1457,""Sell_"",""""))))/2),ROUNDUP(INDEX(Upgrades!$C$3:$C$13,MATCH(Q1457,Upgrades!$B$3:$B$13,0))*1.15^(COUNTIF(Q$4:Q1456,Q1457)-COUNTIF(Q$4:Q1456,""Sell_""&amp;Q1457))))))"),"")</f>
        <v/>
      </c>
      <c r="V1457" s="10" t="str">
        <f t="shared" si="11"/>
        <v/>
      </c>
      <c r="W1457" s="68" t="str">
        <f t="shared" si="12"/>
        <v/>
      </c>
      <c r="X1457" s="59" t="str">
        <f t="shared" si="13"/>
        <v/>
      </c>
      <c r="Y1457" s="69" t="str">
        <f t="shared" si="14"/>
        <v/>
      </c>
      <c r="Z1457" s="11"/>
    </row>
    <row r="1458">
      <c r="A1458" s="8"/>
      <c r="B1458" s="56" t="str">
        <f t="shared" si="2"/>
        <v/>
      </c>
      <c r="C1458" s="105"/>
      <c r="D1458" s="10"/>
      <c r="E1458" s="59" t="str">
        <f t="array" ref="E1458">IF(COUNTA(C1458:C1673)=0,"",SUM((COUNTIF(C$4:C1458,Upgrades!$B$3:$B$13)-COUNTIF(C$4:C1458,"Sell_"&amp;Upgrades!$B$3:$B$13))*Upgrades!$D$3:$D$13))</f>
        <v/>
      </c>
      <c r="F1458" s="66" t="str">
        <f>IFERROR(__xludf.DUMMYFUNCTION("IF(COUNTA(C1458:C1673)=0,"""",IF(REGEXMATCH(INDEX(FILTER(C$4:C1458,C$4:C1458&lt;&gt;""""),ROWS(FILTER(C$4:C1458,C$4:C1458&lt;&gt;""""))),""^Sell_""),INDEX(FILTER(F$4:F1457,C$4:C1457&lt;&gt;""""),ROWS(FILTER(C$4:C1457,C$4:C1457&lt;&gt;""""))),$AC$5+E1458))"),"")</f>
        <v/>
      </c>
      <c r="G1458" s="10" t="str">
        <f>IFERROR(__xludf.DUMMYFUNCTION("IF(COUNTA(C1458:C1673)=0,"""",IF(C1458="""",0,IF(REGEXMATCH(C1458,""^Sell_""),-ROUNDDOWN(ROUNDUP(INDEX(Upgrades!$C$3:$C$13,MATCH(SUBSTITUTE(C1458,""Sell_"",""""),Upgrades!$B$3:$B$13,0))*1.15^(COUNTIF(C$4:C1457,SUBSTITUTE(C1458,""Sell_"",""""))-COUNTIF(C$4"&amp;":C1457,""Sell_""&amp;SUBSTITUTE(C1458,""Sell_"",""""))))/2),ROUNDUP(INDEX(Upgrades!$C$3:$C$13,MATCH(C1458,Upgrades!$B$3:$B$13,0))*1.15^(COUNTIF(C$4:C1457,C1458)-COUNTIF(C$4:C1457,""Sell_""&amp;C1458))))))"),"")</f>
        <v/>
      </c>
      <c r="H1458" s="10" t="str">
        <f t="shared" si="3"/>
        <v/>
      </c>
      <c r="I1458" s="68" t="str">
        <f t="shared" si="4"/>
        <v/>
      </c>
      <c r="J1458" s="59" t="str">
        <f t="shared" si="5"/>
        <v/>
      </c>
      <c r="K1458" s="69" t="str">
        <f t="shared" si="6"/>
        <v/>
      </c>
      <c r="L1458" s="60" t="str">
        <f t="shared" si="7"/>
        <v/>
      </c>
      <c r="M1458" s="61" t="str">
        <f>IFERROR(__xludf.DUMMYFUNCTION("IFS(AND(COUNTA(C1458:C1673)=0,COUNTA(Q1458:Q1673)=0),"""",OR(AND(K1458&gt;=1000000000,OR(Y1458&gt;=1000000000,COUNTA(Q1458:Q1673)=0)),OR(Y1458&gt;=1000000000,AND(COUNTA(C1458:C1673)=0,P$3=TRUE))),
ROUNDDOWN((AB$1-AC$1)*MAX(INDEX(T$4:T1673,MATCH(LARGE(FILTER(Y$4:Y1"&amp;"673,Y$4:Y1673&lt;1000000000),1),Y$4:Y1673)),INDEX(F$4:F1673,MATCH(LARGE(FILTER(K$4:K1673,K$4:K1673&lt;1000000000),1),K$4:K1673)))),AND(K1458&lt;1000000000,COUNTA(C1458:C1673)&gt;0,P$3=FALSE),
ROUNDDOWN(INDEX(Y$4:Y1673,MATCH(LARGE(FILTER(W$4:W1673,W$4:W1673&lt;=I1458),1)"&amp;",W$4:W1673))+(I1458-LARGE(FILTER(W$4:W1673,W$4:W1673&lt;=I1458),1))*INDEX(T$4:T1673,MATCH(LARGE(FILTER(W$4:W1673,W$4:W1673&lt;=I1458),1),W$4:W1673))-K1458),1,
ROUNDDOWN(Y1458-INDEX(K$4:K1673,MATCH(LARGE(FILTER(I$4:I1673,I$4:I1673&lt;=W1458),1),I$4:I1673))-(W1458-L"&amp;"ARGE(FILTER(I$4:I1673,I$4:I1673&lt;=W1458),1))*INDEX(F$4:F1673,MATCH(LARGE(FILTER(I$4:I1673,I$4:I1673&lt;=W1458),1),I$4:I1673))))"),"")</f>
        <v/>
      </c>
      <c r="N1458" s="60" t="str">
        <f t="shared" si="8"/>
        <v/>
      </c>
      <c r="O1458" s="61" t="str">
        <f t="shared" si="9"/>
        <v/>
      </c>
      <c r="P1458" s="56" t="str">
        <f t="shared" si="10"/>
        <v/>
      </c>
      <c r="Q1458" s="67"/>
      <c r="R1458" s="10"/>
      <c r="S1458" s="59" t="str">
        <f t="array" ref="S1458">IF(COUNTA(Q1458:Q1673)=0,"",SUM((COUNTIF(Q$4:Q1458,Upgrades!$B$3:$B$13)-COUNTIF(Q$4:Q1458,"Sell_"&amp;Upgrades!$B$3:$B$13))*Upgrades!$D$3:$D$13))</f>
        <v/>
      </c>
      <c r="T1458" s="66" t="str">
        <f>IFERROR(__xludf.DUMMYFUNCTION("IF(COUNTA(Q1458:Q1673)=0,"""",IF(REGEXMATCH(INDEX(FILTER(Q$4:Q1458,Q$4:Q1458&lt;&gt;""""),ROWS(FILTER(Q$4:Q1458,Q$4:Q1458&lt;&gt;""""))),""^Sell_""),INDEX(FILTER(T$4:T1457,Q$4:Q1457&lt;&gt;""""),ROWS(FILTER(Q$4:Q1457,Q$4:Q1457&lt;&gt;""""))),$AD$5+S1458))"),"")</f>
        <v/>
      </c>
      <c r="U1458" s="10" t="str">
        <f>IFERROR(__xludf.DUMMYFUNCTION("IF(COUNTA(Q1458:Q1673)=0,"""",IF(Q1458="""",0,IF(REGEXMATCH(Q1458,""^Sell_""),-ROUNDDOWN(ROUNDUP(INDEX(Upgrades!$C$3:$C$13,MATCH(SUBSTITUTE(Q1458,""Sell_"",""""),Upgrades!$B$3:$B$13,0))*1.15^(COUNTIF(Q$4:Q1457,SUBSTITUTE(Q1458,""Sell_"",""""))-COUNTIF(Q$4"&amp;":Q1457,""Sell_""&amp;SUBSTITUTE(Q1458,""Sell_"",""""))))/2),ROUNDUP(INDEX(Upgrades!$C$3:$C$13,MATCH(Q1458,Upgrades!$B$3:$B$13,0))*1.15^(COUNTIF(Q$4:Q1457,Q1458)-COUNTIF(Q$4:Q1457,""Sell_""&amp;Q1458))))))"),"")</f>
        <v/>
      </c>
      <c r="V1458" s="10" t="str">
        <f t="shared" si="11"/>
        <v/>
      </c>
      <c r="W1458" s="68" t="str">
        <f t="shared" si="12"/>
        <v/>
      </c>
      <c r="X1458" s="59" t="str">
        <f t="shared" si="13"/>
        <v/>
      </c>
      <c r="Y1458" s="69" t="str">
        <f t="shared" si="14"/>
        <v/>
      </c>
      <c r="Z1458" s="11"/>
    </row>
    <row r="1459">
      <c r="A1459" s="8"/>
      <c r="B1459" s="56" t="str">
        <f t="shared" si="2"/>
        <v/>
      </c>
      <c r="C1459" s="105"/>
      <c r="D1459" s="10"/>
      <c r="E1459" s="59" t="str">
        <f t="array" ref="E1459">IF(COUNTA(C1459:C1673)=0,"",SUM((COUNTIF(C$4:C1459,Upgrades!$B$3:$B$13)-COUNTIF(C$4:C1459,"Sell_"&amp;Upgrades!$B$3:$B$13))*Upgrades!$D$3:$D$13))</f>
        <v/>
      </c>
      <c r="F1459" s="66" t="str">
        <f>IFERROR(__xludf.DUMMYFUNCTION("IF(COUNTA(C1459:C1673)=0,"""",IF(REGEXMATCH(INDEX(FILTER(C$4:C1459,C$4:C1459&lt;&gt;""""),ROWS(FILTER(C$4:C1459,C$4:C1459&lt;&gt;""""))),""^Sell_""),INDEX(FILTER(F$4:F1458,C$4:C1458&lt;&gt;""""),ROWS(FILTER(C$4:C1458,C$4:C1458&lt;&gt;""""))),$AC$5+E1459))"),"")</f>
        <v/>
      </c>
      <c r="G1459" s="10" t="str">
        <f>IFERROR(__xludf.DUMMYFUNCTION("IF(COUNTA(C1459:C1673)=0,"""",IF(C1459="""",0,IF(REGEXMATCH(C1459,""^Sell_""),-ROUNDDOWN(ROUNDUP(INDEX(Upgrades!$C$3:$C$13,MATCH(SUBSTITUTE(C1459,""Sell_"",""""),Upgrades!$B$3:$B$13,0))*1.15^(COUNTIF(C$4:C1458,SUBSTITUTE(C1459,""Sell_"",""""))-COUNTIF(C$4"&amp;":C1458,""Sell_""&amp;SUBSTITUTE(C1459,""Sell_"",""""))))/2),ROUNDUP(INDEX(Upgrades!$C$3:$C$13,MATCH(C1459,Upgrades!$B$3:$B$13,0))*1.15^(COUNTIF(C$4:C1458,C1459)-COUNTIF(C$4:C1458,""Sell_""&amp;C1459))))))"),"")</f>
        <v/>
      </c>
      <c r="H1459" s="10" t="str">
        <f t="shared" si="3"/>
        <v/>
      </c>
      <c r="I1459" s="68" t="str">
        <f t="shared" si="4"/>
        <v/>
      </c>
      <c r="J1459" s="59" t="str">
        <f t="shared" si="5"/>
        <v/>
      </c>
      <c r="K1459" s="69" t="str">
        <f t="shared" si="6"/>
        <v/>
      </c>
      <c r="L1459" s="60" t="str">
        <f t="shared" si="7"/>
        <v/>
      </c>
      <c r="M1459" s="61" t="str">
        <f>IFERROR(__xludf.DUMMYFUNCTION("IFS(AND(COUNTA(C1459:C1673)=0,COUNTA(Q1459:Q1673)=0),"""",OR(AND(K1459&gt;=1000000000,OR(Y1459&gt;=1000000000,COUNTA(Q1459:Q1673)=0)),OR(Y1459&gt;=1000000000,AND(COUNTA(C1459:C1673)=0,P$3=TRUE))),
ROUNDDOWN((AB$1-AC$1)*MAX(INDEX(T$4:T1673,MATCH(LARGE(FILTER(Y$4:Y1"&amp;"673,Y$4:Y1673&lt;1000000000),1),Y$4:Y1673)),INDEX(F$4:F1673,MATCH(LARGE(FILTER(K$4:K1673,K$4:K1673&lt;1000000000),1),K$4:K1673)))),AND(K1459&lt;1000000000,COUNTA(C1459:C1673)&gt;0,P$3=FALSE),
ROUNDDOWN(INDEX(Y$4:Y1673,MATCH(LARGE(FILTER(W$4:W1673,W$4:W1673&lt;=I1459),1)"&amp;",W$4:W1673))+(I1459-LARGE(FILTER(W$4:W1673,W$4:W1673&lt;=I1459),1))*INDEX(T$4:T1673,MATCH(LARGE(FILTER(W$4:W1673,W$4:W1673&lt;=I1459),1),W$4:W1673))-K1459),1,
ROUNDDOWN(Y1459-INDEX(K$4:K1673,MATCH(LARGE(FILTER(I$4:I1673,I$4:I1673&lt;=W1459),1),I$4:I1673))-(W1459-L"&amp;"ARGE(FILTER(I$4:I1673,I$4:I1673&lt;=W1459),1))*INDEX(F$4:F1673,MATCH(LARGE(FILTER(I$4:I1673,I$4:I1673&lt;=W1459),1),I$4:I1673))))"),"")</f>
        <v/>
      </c>
      <c r="N1459" s="60" t="str">
        <f t="shared" si="8"/>
        <v/>
      </c>
      <c r="O1459" s="61" t="str">
        <f t="shared" si="9"/>
        <v/>
      </c>
      <c r="P1459" s="56" t="str">
        <f t="shared" si="10"/>
        <v/>
      </c>
      <c r="Q1459" s="67"/>
      <c r="R1459" s="10"/>
      <c r="S1459" s="59" t="str">
        <f t="array" ref="S1459">IF(COUNTA(Q1459:Q1673)=0,"",SUM((COUNTIF(Q$4:Q1459,Upgrades!$B$3:$B$13)-COUNTIF(Q$4:Q1459,"Sell_"&amp;Upgrades!$B$3:$B$13))*Upgrades!$D$3:$D$13))</f>
        <v/>
      </c>
      <c r="T1459" s="66" t="str">
        <f>IFERROR(__xludf.DUMMYFUNCTION("IF(COUNTA(Q1459:Q1673)=0,"""",IF(REGEXMATCH(INDEX(FILTER(Q$4:Q1459,Q$4:Q1459&lt;&gt;""""),ROWS(FILTER(Q$4:Q1459,Q$4:Q1459&lt;&gt;""""))),""^Sell_""),INDEX(FILTER(T$4:T1458,Q$4:Q1458&lt;&gt;""""),ROWS(FILTER(Q$4:Q1458,Q$4:Q1458&lt;&gt;""""))),$AD$5+S1459))"),"")</f>
        <v/>
      </c>
      <c r="U1459" s="10" t="str">
        <f>IFERROR(__xludf.DUMMYFUNCTION("IF(COUNTA(Q1459:Q1673)=0,"""",IF(Q1459="""",0,IF(REGEXMATCH(Q1459,""^Sell_""),-ROUNDDOWN(ROUNDUP(INDEX(Upgrades!$C$3:$C$13,MATCH(SUBSTITUTE(Q1459,""Sell_"",""""),Upgrades!$B$3:$B$13,0))*1.15^(COUNTIF(Q$4:Q1458,SUBSTITUTE(Q1459,""Sell_"",""""))-COUNTIF(Q$4"&amp;":Q1458,""Sell_""&amp;SUBSTITUTE(Q1459,""Sell_"",""""))))/2),ROUNDUP(INDEX(Upgrades!$C$3:$C$13,MATCH(Q1459,Upgrades!$B$3:$B$13,0))*1.15^(COUNTIF(Q$4:Q1458,Q1459)-COUNTIF(Q$4:Q1458,""Sell_""&amp;Q1459))))))"),"")</f>
        <v/>
      </c>
      <c r="V1459" s="10" t="str">
        <f t="shared" si="11"/>
        <v/>
      </c>
      <c r="W1459" s="68" t="str">
        <f t="shared" si="12"/>
        <v/>
      </c>
      <c r="X1459" s="59" t="str">
        <f t="shared" si="13"/>
        <v/>
      </c>
      <c r="Y1459" s="69" t="str">
        <f t="shared" si="14"/>
        <v/>
      </c>
      <c r="Z1459" s="11"/>
    </row>
    <row r="1460">
      <c r="A1460" s="8"/>
      <c r="B1460" s="56" t="str">
        <f t="shared" si="2"/>
        <v/>
      </c>
      <c r="C1460" s="105"/>
      <c r="D1460" s="10"/>
      <c r="E1460" s="59" t="str">
        <f t="array" ref="E1460">IF(COUNTA(C1460:C1673)=0,"",SUM((COUNTIF(C$4:C1460,Upgrades!$B$3:$B$13)-COUNTIF(C$4:C1460,"Sell_"&amp;Upgrades!$B$3:$B$13))*Upgrades!$D$3:$D$13))</f>
        <v/>
      </c>
      <c r="F1460" s="66" t="str">
        <f>IFERROR(__xludf.DUMMYFUNCTION("IF(COUNTA(C1460:C1673)=0,"""",IF(REGEXMATCH(INDEX(FILTER(C$4:C1460,C$4:C1460&lt;&gt;""""),ROWS(FILTER(C$4:C1460,C$4:C1460&lt;&gt;""""))),""^Sell_""),INDEX(FILTER(F$4:F1459,C$4:C1459&lt;&gt;""""),ROWS(FILTER(C$4:C1459,C$4:C1459&lt;&gt;""""))),$AC$5+E1460))"),"")</f>
        <v/>
      </c>
      <c r="G1460" s="10" t="str">
        <f>IFERROR(__xludf.DUMMYFUNCTION("IF(COUNTA(C1460:C1673)=0,"""",IF(C1460="""",0,IF(REGEXMATCH(C1460,""^Sell_""),-ROUNDDOWN(ROUNDUP(INDEX(Upgrades!$C$3:$C$13,MATCH(SUBSTITUTE(C1460,""Sell_"",""""),Upgrades!$B$3:$B$13,0))*1.15^(COUNTIF(C$4:C1459,SUBSTITUTE(C1460,""Sell_"",""""))-COUNTIF(C$4"&amp;":C1459,""Sell_""&amp;SUBSTITUTE(C1460,""Sell_"",""""))))/2),ROUNDUP(INDEX(Upgrades!$C$3:$C$13,MATCH(C1460,Upgrades!$B$3:$B$13,0))*1.15^(COUNTIF(C$4:C1459,C1460)-COUNTIF(C$4:C1459,""Sell_""&amp;C1460))))))"),"")</f>
        <v/>
      </c>
      <c r="H1460" s="10" t="str">
        <f t="shared" si="3"/>
        <v/>
      </c>
      <c r="I1460" s="68" t="str">
        <f t="shared" si="4"/>
        <v/>
      </c>
      <c r="J1460" s="59" t="str">
        <f t="shared" si="5"/>
        <v/>
      </c>
      <c r="K1460" s="69" t="str">
        <f t="shared" si="6"/>
        <v/>
      </c>
      <c r="L1460" s="60" t="str">
        <f t="shared" si="7"/>
        <v/>
      </c>
      <c r="M1460" s="61" t="str">
        <f>IFERROR(__xludf.DUMMYFUNCTION("IFS(AND(COUNTA(C1460:C1673)=0,COUNTA(Q1460:Q1673)=0),"""",OR(AND(K1460&gt;=1000000000,OR(Y1460&gt;=1000000000,COUNTA(Q1460:Q1673)=0)),OR(Y1460&gt;=1000000000,AND(COUNTA(C1460:C1673)=0,P$3=TRUE))),
ROUNDDOWN((AB$1-AC$1)*MAX(INDEX(T$4:T1673,MATCH(LARGE(FILTER(Y$4:Y1"&amp;"673,Y$4:Y1673&lt;1000000000),1),Y$4:Y1673)),INDEX(F$4:F1673,MATCH(LARGE(FILTER(K$4:K1673,K$4:K1673&lt;1000000000),1),K$4:K1673)))),AND(K1460&lt;1000000000,COUNTA(C1460:C1673)&gt;0,P$3=FALSE),
ROUNDDOWN(INDEX(Y$4:Y1673,MATCH(LARGE(FILTER(W$4:W1673,W$4:W1673&lt;=I1460),1)"&amp;",W$4:W1673))+(I1460-LARGE(FILTER(W$4:W1673,W$4:W1673&lt;=I1460),1))*INDEX(T$4:T1673,MATCH(LARGE(FILTER(W$4:W1673,W$4:W1673&lt;=I1460),1),W$4:W1673))-K1460),1,
ROUNDDOWN(Y1460-INDEX(K$4:K1673,MATCH(LARGE(FILTER(I$4:I1673,I$4:I1673&lt;=W1460),1),I$4:I1673))-(W1460-L"&amp;"ARGE(FILTER(I$4:I1673,I$4:I1673&lt;=W1460),1))*INDEX(F$4:F1673,MATCH(LARGE(FILTER(I$4:I1673,I$4:I1673&lt;=W1460),1),I$4:I1673))))"),"")</f>
        <v/>
      </c>
      <c r="N1460" s="60" t="str">
        <f t="shared" si="8"/>
        <v/>
      </c>
      <c r="O1460" s="61" t="str">
        <f t="shared" si="9"/>
        <v/>
      </c>
      <c r="P1460" s="56" t="str">
        <f t="shared" si="10"/>
        <v/>
      </c>
      <c r="Q1460" s="67"/>
      <c r="R1460" s="10"/>
      <c r="S1460" s="59" t="str">
        <f t="array" ref="S1460">IF(COUNTA(Q1460:Q1673)=0,"",SUM((COUNTIF(Q$4:Q1460,Upgrades!$B$3:$B$13)-COUNTIF(Q$4:Q1460,"Sell_"&amp;Upgrades!$B$3:$B$13))*Upgrades!$D$3:$D$13))</f>
        <v/>
      </c>
      <c r="T1460" s="66" t="str">
        <f>IFERROR(__xludf.DUMMYFUNCTION("IF(COUNTA(Q1460:Q1673)=0,"""",IF(REGEXMATCH(INDEX(FILTER(Q$4:Q1460,Q$4:Q1460&lt;&gt;""""),ROWS(FILTER(Q$4:Q1460,Q$4:Q1460&lt;&gt;""""))),""^Sell_""),INDEX(FILTER(T$4:T1459,Q$4:Q1459&lt;&gt;""""),ROWS(FILTER(Q$4:Q1459,Q$4:Q1459&lt;&gt;""""))),$AD$5+S1460))"),"")</f>
        <v/>
      </c>
      <c r="U1460" s="10" t="str">
        <f>IFERROR(__xludf.DUMMYFUNCTION("IF(COUNTA(Q1460:Q1673)=0,"""",IF(Q1460="""",0,IF(REGEXMATCH(Q1460,""^Sell_""),-ROUNDDOWN(ROUNDUP(INDEX(Upgrades!$C$3:$C$13,MATCH(SUBSTITUTE(Q1460,""Sell_"",""""),Upgrades!$B$3:$B$13,0))*1.15^(COUNTIF(Q$4:Q1459,SUBSTITUTE(Q1460,""Sell_"",""""))-COUNTIF(Q$4"&amp;":Q1459,""Sell_""&amp;SUBSTITUTE(Q1460,""Sell_"",""""))))/2),ROUNDUP(INDEX(Upgrades!$C$3:$C$13,MATCH(Q1460,Upgrades!$B$3:$B$13,0))*1.15^(COUNTIF(Q$4:Q1459,Q1460)-COUNTIF(Q$4:Q1459,""Sell_""&amp;Q1460))))))"),"")</f>
        <v/>
      </c>
      <c r="V1460" s="10" t="str">
        <f t="shared" si="11"/>
        <v/>
      </c>
      <c r="W1460" s="68" t="str">
        <f t="shared" si="12"/>
        <v/>
      </c>
      <c r="X1460" s="59" t="str">
        <f t="shared" si="13"/>
        <v/>
      </c>
      <c r="Y1460" s="69" t="str">
        <f t="shared" si="14"/>
        <v/>
      </c>
      <c r="Z1460" s="11"/>
    </row>
    <row r="1461">
      <c r="A1461" s="8"/>
      <c r="B1461" s="56" t="str">
        <f t="shared" si="2"/>
        <v/>
      </c>
      <c r="C1461" s="105"/>
      <c r="D1461" s="10"/>
      <c r="E1461" s="59" t="str">
        <f t="array" ref="E1461">IF(COUNTA(C1461:C1673)=0,"",SUM((COUNTIF(C$4:C1461,Upgrades!$B$3:$B$13)-COUNTIF(C$4:C1461,"Sell_"&amp;Upgrades!$B$3:$B$13))*Upgrades!$D$3:$D$13))</f>
        <v/>
      </c>
      <c r="F1461" s="66" t="str">
        <f>IFERROR(__xludf.DUMMYFUNCTION("IF(COUNTA(C1461:C1673)=0,"""",IF(REGEXMATCH(INDEX(FILTER(C$4:C1461,C$4:C1461&lt;&gt;""""),ROWS(FILTER(C$4:C1461,C$4:C1461&lt;&gt;""""))),""^Sell_""),INDEX(FILTER(F$4:F1460,C$4:C1460&lt;&gt;""""),ROWS(FILTER(C$4:C1460,C$4:C1460&lt;&gt;""""))),$AC$5+E1461))"),"")</f>
        <v/>
      </c>
      <c r="G1461" s="10" t="str">
        <f>IFERROR(__xludf.DUMMYFUNCTION("IF(COUNTA(C1461:C1673)=0,"""",IF(C1461="""",0,IF(REGEXMATCH(C1461,""^Sell_""),-ROUNDDOWN(ROUNDUP(INDEX(Upgrades!$C$3:$C$13,MATCH(SUBSTITUTE(C1461,""Sell_"",""""),Upgrades!$B$3:$B$13,0))*1.15^(COUNTIF(C$4:C1460,SUBSTITUTE(C1461,""Sell_"",""""))-COUNTIF(C$4"&amp;":C1460,""Sell_""&amp;SUBSTITUTE(C1461,""Sell_"",""""))))/2),ROUNDUP(INDEX(Upgrades!$C$3:$C$13,MATCH(C1461,Upgrades!$B$3:$B$13,0))*1.15^(COUNTIF(C$4:C1460,C1461)-COUNTIF(C$4:C1460,""Sell_""&amp;C1461))))))"),"")</f>
        <v/>
      </c>
      <c r="H1461" s="10" t="str">
        <f t="shared" si="3"/>
        <v/>
      </c>
      <c r="I1461" s="68" t="str">
        <f t="shared" si="4"/>
        <v/>
      </c>
      <c r="J1461" s="59" t="str">
        <f t="shared" si="5"/>
        <v/>
      </c>
      <c r="K1461" s="69" t="str">
        <f t="shared" si="6"/>
        <v/>
      </c>
      <c r="L1461" s="60" t="str">
        <f t="shared" si="7"/>
        <v/>
      </c>
      <c r="M1461" s="61" t="str">
        <f>IFERROR(__xludf.DUMMYFUNCTION("IFS(AND(COUNTA(C1461:C1673)=0,COUNTA(Q1461:Q1673)=0),"""",OR(AND(K1461&gt;=1000000000,OR(Y1461&gt;=1000000000,COUNTA(Q1461:Q1673)=0)),OR(Y1461&gt;=1000000000,AND(COUNTA(C1461:C1673)=0,P$3=TRUE))),
ROUNDDOWN((AB$1-AC$1)*MAX(INDEX(T$4:T1673,MATCH(LARGE(FILTER(Y$4:Y1"&amp;"673,Y$4:Y1673&lt;1000000000),1),Y$4:Y1673)),INDEX(F$4:F1673,MATCH(LARGE(FILTER(K$4:K1673,K$4:K1673&lt;1000000000),1),K$4:K1673)))),AND(K1461&lt;1000000000,COUNTA(C1461:C1673)&gt;0,P$3=FALSE),
ROUNDDOWN(INDEX(Y$4:Y1673,MATCH(LARGE(FILTER(W$4:W1673,W$4:W1673&lt;=I1461),1)"&amp;",W$4:W1673))+(I1461-LARGE(FILTER(W$4:W1673,W$4:W1673&lt;=I1461),1))*INDEX(T$4:T1673,MATCH(LARGE(FILTER(W$4:W1673,W$4:W1673&lt;=I1461),1),W$4:W1673))-K1461),1,
ROUNDDOWN(Y1461-INDEX(K$4:K1673,MATCH(LARGE(FILTER(I$4:I1673,I$4:I1673&lt;=W1461),1),I$4:I1673))-(W1461-L"&amp;"ARGE(FILTER(I$4:I1673,I$4:I1673&lt;=W1461),1))*INDEX(F$4:F1673,MATCH(LARGE(FILTER(I$4:I1673,I$4:I1673&lt;=W1461),1),I$4:I1673))))"),"")</f>
        <v/>
      </c>
      <c r="N1461" s="60" t="str">
        <f t="shared" si="8"/>
        <v/>
      </c>
      <c r="O1461" s="61" t="str">
        <f t="shared" si="9"/>
        <v/>
      </c>
      <c r="P1461" s="56" t="str">
        <f t="shared" si="10"/>
        <v/>
      </c>
      <c r="Q1461" s="67"/>
      <c r="R1461" s="10"/>
      <c r="S1461" s="59" t="str">
        <f t="array" ref="S1461">IF(COUNTA(Q1461:Q1673)=0,"",SUM((COUNTIF(Q$4:Q1461,Upgrades!$B$3:$B$13)-COUNTIF(Q$4:Q1461,"Sell_"&amp;Upgrades!$B$3:$B$13))*Upgrades!$D$3:$D$13))</f>
        <v/>
      </c>
      <c r="T1461" s="66" t="str">
        <f>IFERROR(__xludf.DUMMYFUNCTION("IF(COUNTA(Q1461:Q1673)=0,"""",IF(REGEXMATCH(INDEX(FILTER(Q$4:Q1461,Q$4:Q1461&lt;&gt;""""),ROWS(FILTER(Q$4:Q1461,Q$4:Q1461&lt;&gt;""""))),""^Sell_""),INDEX(FILTER(T$4:T1460,Q$4:Q1460&lt;&gt;""""),ROWS(FILTER(Q$4:Q1460,Q$4:Q1460&lt;&gt;""""))),$AD$5+S1461))"),"")</f>
        <v/>
      </c>
      <c r="U1461" s="10" t="str">
        <f>IFERROR(__xludf.DUMMYFUNCTION("IF(COUNTA(Q1461:Q1673)=0,"""",IF(Q1461="""",0,IF(REGEXMATCH(Q1461,""^Sell_""),-ROUNDDOWN(ROUNDUP(INDEX(Upgrades!$C$3:$C$13,MATCH(SUBSTITUTE(Q1461,""Sell_"",""""),Upgrades!$B$3:$B$13,0))*1.15^(COUNTIF(Q$4:Q1460,SUBSTITUTE(Q1461,""Sell_"",""""))-COUNTIF(Q$4"&amp;":Q1460,""Sell_""&amp;SUBSTITUTE(Q1461,""Sell_"",""""))))/2),ROUNDUP(INDEX(Upgrades!$C$3:$C$13,MATCH(Q1461,Upgrades!$B$3:$B$13,0))*1.15^(COUNTIF(Q$4:Q1460,Q1461)-COUNTIF(Q$4:Q1460,""Sell_""&amp;Q1461))))))"),"")</f>
        <v/>
      </c>
      <c r="V1461" s="10" t="str">
        <f t="shared" si="11"/>
        <v/>
      </c>
      <c r="W1461" s="68" t="str">
        <f t="shared" si="12"/>
        <v/>
      </c>
      <c r="X1461" s="59" t="str">
        <f t="shared" si="13"/>
        <v/>
      </c>
      <c r="Y1461" s="69" t="str">
        <f t="shared" si="14"/>
        <v/>
      </c>
      <c r="Z1461" s="11"/>
    </row>
    <row r="1462">
      <c r="A1462" s="8"/>
      <c r="B1462" s="56" t="str">
        <f t="shared" si="2"/>
        <v/>
      </c>
      <c r="C1462" s="105"/>
      <c r="D1462" s="10"/>
      <c r="E1462" s="59" t="str">
        <f t="array" ref="E1462">IF(COUNTA(C1462:C1673)=0,"",SUM((COUNTIF(C$4:C1462,Upgrades!$B$3:$B$13)-COUNTIF(C$4:C1462,"Sell_"&amp;Upgrades!$B$3:$B$13))*Upgrades!$D$3:$D$13))</f>
        <v/>
      </c>
      <c r="F1462" s="66" t="str">
        <f>IFERROR(__xludf.DUMMYFUNCTION("IF(COUNTA(C1462:C1673)=0,"""",IF(REGEXMATCH(INDEX(FILTER(C$4:C1462,C$4:C1462&lt;&gt;""""),ROWS(FILTER(C$4:C1462,C$4:C1462&lt;&gt;""""))),""^Sell_""),INDEX(FILTER(F$4:F1461,C$4:C1461&lt;&gt;""""),ROWS(FILTER(C$4:C1461,C$4:C1461&lt;&gt;""""))),$AC$5+E1462))"),"")</f>
        <v/>
      </c>
      <c r="G1462" s="10" t="str">
        <f>IFERROR(__xludf.DUMMYFUNCTION("IF(COUNTA(C1462:C1673)=0,"""",IF(C1462="""",0,IF(REGEXMATCH(C1462,""^Sell_""),-ROUNDDOWN(ROUNDUP(INDEX(Upgrades!$C$3:$C$13,MATCH(SUBSTITUTE(C1462,""Sell_"",""""),Upgrades!$B$3:$B$13,0))*1.15^(COUNTIF(C$4:C1461,SUBSTITUTE(C1462,""Sell_"",""""))-COUNTIF(C$4"&amp;":C1461,""Sell_""&amp;SUBSTITUTE(C1462,""Sell_"",""""))))/2),ROUNDUP(INDEX(Upgrades!$C$3:$C$13,MATCH(C1462,Upgrades!$B$3:$B$13,0))*1.15^(COUNTIF(C$4:C1461,C1462)-COUNTIF(C$4:C1461,""Sell_""&amp;C1462))))))"),"")</f>
        <v/>
      </c>
      <c r="H1462" s="10" t="str">
        <f t="shared" si="3"/>
        <v/>
      </c>
      <c r="I1462" s="68" t="str">
        <f t="shared" si="4"/>
        <v/>
      </c>
      <c r="J1462" s="59" t="str">
        <f t="shared" si="5"/>
        <v/>
      </c>
      <c r="K1462" s="69" t="str">
        <f t="shared" si="6"/>
        <v/>
      </c>
      <c r="L1462" s="60" t="str">
        <f t="shared" si="7"/>
        <v/>
      </c>
      <c r="M1462" s="61" t="str">
        <f>IFERROR(__xludf.DUMMYFUNCTION("IFS(AND(COUNTA(C1462:C1673)=0,COUNTA(Q1462:Q1673)=0),"""",OR(AND(K1462&gt;=1000000000,OR(Y1462&gt;=1000000000,COUNTA(Q1462:Q1673)=0)),OR(Y1462&gt;=1000000000,AND(COUNTA(C1462:C1673)=0,P$3=TRUE))),
ROUNDDOWN((AB$1-AC$1)*MAX(INDEX(T$4:T1673,MATCH(LARGE(FILTER(Y$4:Y1"&amp;"673,Y$4:Y1673&lt;1000000000),1),Y$4:Y1673)),INDEX(F$4:F1673,MATCH(LARGE(FILTER(K$4:K1673,K$4:K1673&lt;1000000000),1),K$4:K1673)))),AND(K1462&lt;1000000000,COUNTA(C1462:C1673)&gt;0,P$3=FALSE),
ROUNDDOWN(INDEX(Y$4:Y1673,MATCH(LARGE(FILTER(W$4:W1673,W$4:W1673&lt;=I1462),1)"&amp;",W$4:W1673))+(I1462-LARGE(FILTER(W$4:W1673,W$4:W1673&lt;=I1462),1))*INDEX(T$4:T1673,MATCH(LARGE(FILTER(W$4:W1673,W$4:W1673&lt;=I1462),1),W$4:W1673))-K1462),1,
ROUNDDOWN(Y1462-INDEX(K$4:K1673,MATCH(LARGE(FILTER(I$4:I1673,I$4:I1673&lt;=W1462),1),I$4:I1673))-(W1462-L"&amp;"ARGE(FILTER(I$4:I1673,I$4:I1673&lt;=W1462),1))*INDEX(F$4:F1673,MATCH(LARGE(FILTER(I$4:I1673,I$4:I1673&lt;=W1462),1),I$4:I1673))))"),"")</f>
        <v/>
      </c>
      <c r="N1462" s="60" t="str">
        <f t="shared" si="8"/>
        <v/>
      </c>
      <c r="O1462" s="61" t="str">
        <f t="shared" si="9"/>
        <v/>
      </c>
      <c r="P1462" s="56" t="str">
        <f t="shared" si="10"/>
        <v/>
      </c>
      <c r="Q1462" s="67"/>
      <c r="R1462" s="10"/>
      <c r="S1462" s="59" t="str">
        <f t="array" ref="S1462">IF(COUNTA(Q1462:Q1673)=0,"",SUM((COUNTIF(Q$4:Q1462,Upgrades!$B$3:$B$13)-COUNTIF(Q$4:Q1462,"Sell_"&amp;Upgrades!$B$3:$B$13))*Upgrades!$D$3:$D$13))</f>
        <v/>
      </c>
      <c r="T1462" s="66" t="str">
        <f>IFERROR(__xludf.DUMMYFUNCTION("IF(COUNTA(Q1462:Q1673)=0,"""",IF(REGEXMATCH(INDEX(FILTER(Q$4:Q1462,Q$4:Q1462&lt;&gt;""""),ROWS(FILTER(Q$4:Q1462,Q$4:Q1462&lt;&gt;""""))),""^Sell_""),INDEX(FILTER(T$4:T1461,Q$4:Q1461&lt;&gt;""""),ROWS(FILTER(Q$4:Q1461,Q$4:Q1461&lt;&gt;""""))),$AD$5+S1462))"),"")</f>
        <v/>
      </c>
      <c r="U1462" s="10" t="str">
        <f>IFERROR(__xludf.DUMMYFUNCTION("IF(COUNTA(Q1462:Q1673)=0,"""",IF(Q1462="""",0,IF(REGEXMATCH(Q1462,""^Sell_""),-ROUNDDOWN(ROUNDUP(INDEX(Upgrades!$C$3:$C$13,MATCH(SUBSTITUTE(Q1462,""Sell_"",""""),Upgrades!$B$3:$B$13,0))*1.15^(COUNTIF(Q$4:Q1461,SUBSTITUTE(Q1462,""Sell_"",""""))-COUNTIF(Q$4"&amp;":Q1461,""Sell_""&amp;SUBSTITUTE(Q1462,""Sell_"",""""))))/2),ROUNDUP(INDEX(Upgrades!$C$3:$C$13,MATCH(Q1462,Upgrades!$B$3:$B$13,0))*1.15^(COUNTIF(Q$4:Q1461,Q1462)-COUNTIF(Q$4:Q1461,""Sell_""&amp;Q1462))))))"),"")</f>
        <v/>
      </c>
      <c r="V1462" s="10" t="str">
        <f t="shared" si="11"/>
        <v/>
      </c>
      <c r="W1462" s="68" t="str">
        <f t="shared" si="12"/>
        <v/>
      </c>
      <c r="X1462" s="59" t="str">
        <f t="shared" si="13"/>
        <v/>
      </c>
      <c r="Y1462" s="69" t="str">
        <f t="shared" si="14"/>
        <v/>
      </c>
      <c r="Z1462" s="11"/>
    </row>
    <row r="1463">
      <c r="A1463" s="8"/>
      <c r="B1463" s="56" t="str">
        <f t="shared" si="2"/>
        <v/>
      </c>
      <c r="C1463" s="105"/>
      <c r="D1463" s="10"/>
      <c r="E1463" s="59" t="str">
        <f t="array" ref="E1463">IF(COUNTA(C1463:C1673)=0,"",SUM((COUNTIF(C$4:C1463,Upgrades!$B$3:$B$13)-COUNTIF(C$4:C1463,"Sell_"&amp;Upgrades!$B$3:$B$13))*Upgrades!$D$3:$D$13))</f>
        <v/>
      </c>
      <c r="F1463" s="66" t="str">
        <f>IFERROR(__xludf.DUMMYFUNCTION("IF(COUNTA(C1463:C1673)=0,"""",IF(REGEXMATCH(INDEX(FILTER(C$4:C1463,C$4:C1463&lt;&gt;""""),ROWS(FILTER(C$4:C1463,C$4:C1463&lt;&gt;""""))),""^Sell_""),INDEX(FILTER(F$4:F1462,C$4:C1462&lt;&gt;""""),ROWS(FILTER(C$4:C1462,C$4:C1462&lt;&gt;""""))),$AC$5+E1463))"),"")</f>
        <v/>
      </c>
      <c r="G1463" s="10" t="str">
        <f>IFERROR(__xludf.DUMMYFUNCTION("IF(COUNTA(C1463:C1673)=0,"""",IF(C1463="""",0,IF(REGEXMATCH(C1463,""^Sell_""),-ROUNDDOWN(ROUNDUP(INDEX(Upgrades!$C$3:$C$13,MATCH(SUBSTITUTE(C1463,""Sell_"",""""),Upgrades!$B$3:$B$13,0))*1.15^(COUNTIF(C$4:C1462,SUBSTITUTE(C1463,""Sell_"",""""))-COUNTIF(C$4"&amp;":C1462,""Sell_""&amp;SUBSTITUTE(C1463,""Sell_"",""""))))/2),ROUNDUP(INDEX(Upgrades!$C$3:$C$13,MATCH(C1463,Upgrades!$B$3:$B$13,0))*1.15^(COUNTIF(C$4:C1462,C1463)-COUNTIF(C$4:C1462,""Sell_""&amp;C1463))))))"),"")</f>
        <v/>
      </c>
      <c r="H1463" s="10" t="str">
        <f t="shared" si="3"/>
        <v/>
      </c>
      <c r="I1463" s="68" t="str">
        <f t="shared" si="4"/>
        <v/>
      </c>
      <c r="J1463" s="59" t="str">
        <f t="shared" si="5"/>
        <v/>
      </c>
      <c r="K1463" s="69" t="str">
        <f t="shared" si="6"/>
        <v/>
      </c>
      <c r="L1463" s="60" t="str">
        <f t="shared" si="7"/>
        <v/>
      </c>
      <c r="M1463" s="61" t="str">
        <f>IFERROR(__xludf.DUMMYFUNCTION("IFS(AND(COUNTA(C1463:C1673)=0,COUNTA(Q1463:Q1673)=0),"""",OR(AND(K1463&gt;=1000000000,OR(Y1463&gt;=1000000000,COUNTA(Q1463:Q1673)=0)),OR(Y1463&gt;=1000000000,AND(COUNTA(C1463:C1673)=0,P$3=TRUE))),
ROUNDDOWN((AB$1-AC$1)*MAX(INDEX(T$4:T1673,MATCH(LARGE(FILTER(Y$4:Y1"&amp;"673,Y$4:Y1673&lt;1000000000),1),Y$4:Y1673)),INDEX(F$4:F1673,MATCH(LARGE(FILTER(K$4:K1673,K$4:K1673&lt;1000000000),1),K$4:K1673)))),AND(K1463&lt;1000000000,COUNTA(C1463:C1673)&gt;0,P$3=FALSE),
ROUNDDOWN(INDEX(Y$4:Y1673,MATCH(LARGE(FILTER(W$4:W1673,W$4:W1673&lt;=I1463),1)"&amp;",W$4:W1673))+(I1463-LARGE(FILTER(W$4:W1673,W$4:W1673&lt;=I1463),1))*INDEX(T$4:T1673,MATCH(LARGE(FILTER(W$4:W1673,W$4:W1673&lt;=I1463),1),W$4:W1673))-K1463),1,
ROUNDDOWN(Y1463-INDEX(K$4:K1673,MATCH(LARGE(FILTER(I$4:I1673,I$4:I1673&lt;=W1463),1),I$4:I1673))-(W1463-L"&amp;"ARGE(FILTER(I$4:I1673,I$4:I1673&lt;=W1463),1))*INDEX(F$4:F1673,MATCH(LARGE(FILTER(I$4:I1673,I$4:I1673&lt;=W1463),1),I$4:I1673))))"),"")</f>
        <v/>
      </c>
      <c r="N1463" s="60" t="str">
        <f t="shared" si="8"/>
        <v/>
      </c>
      <c r="O1463" s="61" t="str">
        <f t="shared" si="9"/>
        <v/>
      </c>
      <c r="P1463" s="56" t="str">
        <f t="shared" si="10"/>
        <v/>
      </c>
      <c r="Q1463" s="67"/>
      <c r="R1463" s="10"/>
      <c r="S1463" s="59" t="str">
        <f t="array" ref="S1463">IF(COUNTA(Q1463:Q1673)=0,"",SUM((COUNTIF(Q$4:Q1463,Upgrades!$B$3:$B$13)-COUNTIF(Q$4:Q1463,"Sell_"&amp;Upgrades!$B$3:$B$13))*Upgrades!$D$3:$D$13))</f>
        <v/>
      </c>
      <c r="T1463" s="66" t="str">
        <f>IFERROR(__xludf.DUMMYFUNCTION("IF(COUNTA(Q1463:Q1673)=0,"""",IF(REGEXMATCH(INDEX(FILTER(Q$4:Q1463,Q$4:Q1463&lt;&gt;""""),ROWS(FILTER(Q$4:Q1463,Q$4:Q1463&lt;&gt;""""))),""^Sell_""),INDEX(FILTER(T$4:T1462,Q$4:Q1462&lt;&gt;""""),ROWS(FILTER(Q$4:Q1462,Q$4:Q1462&lt;&gt;""""))),$AD$5+S1463))"),"")</f>
        <v/>
      </c>
      <c r="U1463" s="10" t="str">
        <f>IFERROR(__xludf.DUMMYFUNCTION("IF(COUNTA(Q1463:Q1673)=0,"""",IF(Q1463="""",0,IF(REGEXMATCH(Q1463,""^Sell_""),-ROUNDDOWN(ROUNDUP(INDEX(Upgrades!$C$3:$C$13,MATCH(SUBSTITUTE(Q1463,""Sell_"",""""),Upgrades!$B$3:$B$13,0))*1.15^(COUNTIF(Q$4:Q1462,SUBSTITUTE(Q1463,""Sell_"",""""))-COUNTIF(Q$4"&amp;":Q1462,""Sell_""&amp;SUBSTITUTE(Q1463,""Sell_"",""""))))/2),ROUNDUP(INDEX(Upgrades!$C$3:$C$13,MATCH(Q1463,Upgrades!$B$3:$B$13,0))*1.15^(COUNTIF(Q$4:Q1462,Q1463)-COUNTIF(Q$4:Q1462,""Sell_""&amp;Q1463))))))"),"")</f>
        <v/>
      </c>
      <c r="V1463" s="10" t="str">
        <f t="shared" si="11"/>
        <v/>
      </c>
      <c r="W1463" s="68" t="str">
        <f t="shared" si="12"/>
        <v/>
      </c>
      <c r="X1463" s="59" t="str">
        <f t="shared" si="13"/>
        <v/>
      </c>
      <c r="Y1463" s="69" t="str">
        <f t="shared" si="14"/>
        <v/>
      </c>
      <c r="Z1463" s="11"/>
    </row>
    <row r="1464">
      <c r="A1464" s="8"/>
      <c r="B1464" s="56" t="str">
        <f t="shared" si="2"/>
        <v/>
      </c>
      <c r="C1464" s="105"/>
      <c r="D1464" s="10"/>
      <c r="E1464" s="59" t="str">
        <f t="array" ref="E1464">IF(COUNTA(C1464:C1673)=0,"",SUM((COUNTIF(C$4:C1464,Upgrades!$B$3:$B$13)-COUNTIF(C$4:C1464,"Sell_"&amp;Upgrades!$B$3:$B$13))*Upgrades!$D$3:$D$13))</f>
        <v/>
      </c>
      <c r="F1464" s="66" t="str">
        <f>IFERROR(__xludf.DUMMYFUNCTION("IF(COUNTA(C1464:C1673)=0,"""",IF(REGEXMATCH(INDEX(FILTER(C$4:C1464,C$4:C1464&lt;&gt;""""),ROWS(FILTER(C$4:C1464,C$4:C1464&lt;&gt;""""))),""^Sell_""),INDEX(FILTER(F$4:F1463,C$4:C1463&lt;&gt;""""),ROWS(FILTER(C$4:C1463,C$4:C1463&lt;&gt;""""))),$AC$5+E1464))"),"")</f>
        <v/>
      </c>
      <c r="G1464" s="10" t="str">
        <f>IFERROR(__xludf.DUMMYFUNCTION("IF(COUNTA(C1464:C1673)=0,"""",IF(C1464="""",0,IF(REGEXMATCH(C1464,""^Sell_""),-ROUNDDOWN(ROUNDUP(INDEX(Upgrades!$C$3:$C$13,MATCH(SUBSTITUTE(C1464,""Sell_"",""""),Upgrades!$B$3:$B$13,0))*1.15^(COUNTIF(C$4:C1463,SUBSTITUTE(C1464,""Sell_"",""""))-COUNTIF(C$4"&amp;":C1463,""Sell_""&amp;SUBSTITUTE(C1464,""Sell_"",""""))))/2),ROUNDUP(INDEX(Upgrades!$C$3:$C$13,MATCH(C1464,Upgrades!$B$3:$B$13,0))*1.15^(COUNTIF(C$4:C1463,C1464)-COUNTIF(C$4:C1463,""Sell_""&amp;C1464))))))"),"")</f>
        <v/>
      </c>
      <c r="H1464" s="10" t="str">
        <f t="shared" si="3"/>
        <v/>
      </c>
      <c r="I1464" s="68" t="str">
        <f t="shared" si="4"/>
        <v/>
      </c>
      <c r="J1464" s="59" t="str">
        <f t="shared" si="5"/>
        <v/>
      </c>
      <c r="K1464" s="69" t="str">
        <f t="shared" si="6"/>
        <v/>
      </c>
      <c r="L1464" s="60" t="str">
        <f t="shared" si="7"/>
        <v/>
      </c>
      <c r="M1464" s="61" t="str">
        <f>IFERROR(__xludf.DUMMYFUNCTION("IFS(AND(COUNTA(C1464:C1673)=0,COUNTA(Q1464:Q1673)=0),"""",OR(AND(K1464&gt;=1000000000,OR(Y1464&gt;=1000000000,COUNTA(Q1464:Q1673)=0)),OR(Y1464&gt;=1000000000,AND(COUNTA(C1464:C1673)=0,P$3=TRUE))),
ROUNDDOWN((AB$1-AC$1)*MAX(INDEX(T$4:T1673,MATCH(LARGE(FILTER(Y$4:Y1"&amp;"673,Y$4:Y1673&lt;1000000000),1),Y$4:Y1673)),INDEX(F$4:F1673,MATCH(LARGE(FILTER(K$4:K1673,K$4:K1673&lt;1000000000),1),K$4:K1673)))),AND(K1464&lt;1000000000,COUNTA(C1464:C1673)&gt;0,P$3=FALSE),
ROUNDDOWN(INDEX(Y$4:Y1673,MATCH(LARGE(FILTER(W$4:W1673,W$4:W1673&lt;=I1464),1)"&amp;",W$4:W1673))+(I1464-LARGE(FILTER(W$4:W1673,W$4:W1673&lt;=I1464),1))*INDEX(T$4:T1673,MATCH(LARGE(FILTER(W$4:W1673,W$4:W1673&lt;=I1464),1),W$4:W1673))-K1464),1,
ROUNDDOWN(Y1464-INDEX(K$4:K1673,MATCH(LARGE(FILTER(I$4:I1673,I$4:I1673&lt;=W1464),1),I$4:I1673))-(W1464-L"&amp;"ARGE(FILTER(I$4:I1673,I$4:I1673&lt;=W1464),1))*INDEX(F$4:F1673,MATCH(LARGE(FILTER(I$4:I1673,I$4:I1673&lt;=W1464),1),I$4:I1673))))"),"")</f>
        <v/>
      </c>
      <c r="N1464" s="60" t="str">
        <f t="shared" si="8"/>
        <v/>
      </c>
      <c r="O1464" s="61" t="str">
        <f t="shared" si="9"/>
        <v/>
      </c>
      <c r="P1464" s="56" t="str">
        <f t="shared" si="10"/>
        <v/>
      </c>
      <c r="Q1464" s="67"/>
      <c r="R1464" s="10"/>
      <c r="S1464" s="59" t="str">
        <f t="array" ref="S1464">IF(COUNTA(Q1464:Q1673)=0,"",SUM((COUNTIF(Q$4:Q1464,Upgrades!$B$3:$B$13)-COUNTIF(Q$4:Q1464,"Sell_"&amp;Upgrades!$B$3:$B$13))*Upgrades!$D$3:$D$13))</f>
        <v/>
      </c>
      <c r="T1464" s="66" t="str">
        <f>IFERROR(__xludf.DUMMYFUNCTION("IF(COUNTA(Q1464:Q1673)=0,"""",IF(REGEXMATCH(INDEX(FILTER(Q$4:Q1464,Q$4:Q1464&lt;&gt;""""),ROWS(FILTER(Q$4:Q1464,Q$4:Q1464&lt;&gt;""""))),""^Sell_""),INDEX(FILTER(T$4:T1463,Q$4:Q1463&lt;&gt;""""),ROWS(FILTER(Q$4:Q1463,Q$4:Q1463&lt;&gt;""""))),$AD$5+S1464))"),"")</f>
        <v/>
      </c>
      <c r="U1464" s="10" t="str">
        <f>IFERROR(__xludf.DUMMYFUNCTION("IF(COUNTA(Q1464:Q1673)=0,"""",IF(Q1464="""",0,IF(REGEXMATCH(Q1464,""^Sell_""),-ROUNDDOWN(ROUNDUP(INDEX(Upgrades!$C$3:$C$13,MATCH(SUBSTITUTE(Q1464,""Sell_"",""""),Upgrades!$B$3:$B$13,0))*1.15^(COUNTIF(Q$4:Q1463,SUBSTITUTE(Q1464,""Sell_"",""""))-COUNTIF(Q$4"&amp;":Q1463,""Sell_""&amp;SUBSTITUTE(Q1464,""Sell_"",""""))))/2),ROUNDUP(INDEX(Upgrades!$C$3:$C$13,MATCH(Q1464,Upgrades!$B$3:$B$13,0))*1.15^(COUNTIF(Q$4:Q1463,Q1464)-COUNTIF(Q$4:Q1463,""Sell_""&amp;Q1464))))))"),"")</f>
        <v/>
      </c>
      <c r="V1464" s="10" t="str">
        <f t="shared" si="11"/>
        <v/>
      </c>
      <c r="W1464" s="68" t="str">
        <f t="shared" si="12"/>
        <v/>
      </c>
      <c r="X1464" s="59" t="str">
        <f t="shared" si="13"/>
        <v/>
      </c>
      <c r="Y1464" s="69" t="str">
        <f t="shared" si="14"/>
        <v/>
      </c>
      <c r="Z1464" s="11"/>
    </row>
    <row r="1465">
      <c r="A1465" s="8"/>
      <c r="B1465" s="56" t="str">
        <f t="shared" si="2"/>
        <v/>
      </c>
      <c r="C1465" s="105"/>
      <c r="D1465" s="10"/>
      <c r="E1465" s="59" t="str">
        <f t="array" ref="E1465">IF(COUNTA(C1465:C1673)=0,"",SUM((COUNTIF(C$4:C1465,Upgrades!$B$3:$B$13)-COUNTIF(C$4:C1465,"Sell_"&amp;Upgrades!$B$3:$B$13))*Upgrades!$D$3:$D$13))</f>
        <v/>
      </c>
      <c r="F1465" s="66" t="str">
        <f>IFERROR(__xludf.DUMMYFUNCTION("IF(COUNTA(C1465:C1673)=0,"""",IF(REGEXMATCH(INDEX(FILTER(C$4:C1465,C$4:C1465&lt;&gt;""""),ROWS(FILTER(C$4:C1465,C$4:C1465&lt;&gt;""""))),""^Sell_""),INDEX(FILTER(F$4:F1464,C$4:C1464&lt;&gt;""""),ROWS(FILTER(C$4:C1464,C$4:C1464&lt;&gt;""""))),$AC$5+E1465))"),"")</f>
        <v/>
      </c>
      <c r="G1465" s="10" t="str">
        <f>IFERROR(__xludf.DUMMYFUNCTION("IF(COUNTA(C1465:C1673)=0,"""",IF(C1465="""",0,IF(REGEXMATCH(C1465,""^Sell_""),-ROUNDDOWN(ROUNDUP(INDEX(Upgrades!$C$3:$C$13,MATCH(SUBSTITUTE(C1465,""Sell_"",""""),Upgrades!$B$3:$B$13,0))*1.15^(COUNTIF(C$4:C1464,SUBSTITUTE(C1465,""Sell_"",""""))-COUNTIF(C$4"&amp;":C1464,""Sell_""&amp;SUBSTITUTE(C1465,""Sell_"",""""))))/2),ROUNDUP(INDEX(Upgrades!$C$3:$C$13,MATCH(C1465,Upgrades!$B$3:$B$13,0))*1.15^(COUNTIF(C$4:C1464,C1465)-COUNTIF(C$4:C1464,""Sell_""&amp;C1465))))))"),"")</f>
        <v/>
      </c>
      <c r="H1465" s="10" t="str">
        <f t="shared" si="3"/>
        <v/>
      </c>
      <c r="I1465" s="68" t="str">
        <f t="shared" si="4"/>
        <v/>
      </c>
      <c r="J1465" s="59" t="str">
        <f t="shared" si="5"/>
        <v/>
      </c>
      <c r="K1465" s="69" t="str">
        <f t="shared" si="6"/>
        <v/>
      </c>
      <c r="L1465" s="60" t="str">
        <f t="shared" si="7"/>
        <v/>
      </c>
      <c r="M1465" s="61" t="str">
        <f>IFERROR(__xludf.DUMMYFUNCTION("IFS(AND(COUNTA(C1465:C1673)=0,COUNTA(Q1465:Q1673)=0),"""",OR(AND(K1465&gt;=1000000000,OR(Y1465&gt;=1000000000,COUNTA(Q1465:Q1673)=0)),OR(Y1465&gt;=1000000000,AND(COUNTA(C1465:C1673)=0,P$3=TRUE))),
ROUNDDOWN((AB$1-AC$1)*MAX(INDEX(T$4:T1673,MATCH(LARGE(FILTER(Y$4:Y1"&amp;"673,Y$4:Y1673&lt;1000000000),1),Y$4:Y1673)),INDEX(F$4:F1673,MATCH(LARGE(FILTER(K$4:K1673,K$4:K1673&lt;1000000000),1),K$4:K1673)))),AND(K1465&lt;1000000000,COUNTA(C1465:C1673)&gt;0,P$3=FALSE),
ROUNDDOWN(INDEX(Y$4:Y1673,MATCH(LARGE(FILTER(W$4:W1673,W$4:W1673&lt;=I1465),1)"&amp;",W$4:W1673))+(I1465-LARGE(FILTER(W$4:W1673,W$4:W1673&lt;=I1465),1))*INDEX(T$4:T1673,MATCH(LARGE(FILTER(W$4:W1673,W$4:W1673&lt;=I1465),1),W$4:W1673))-K1465),1,
ROUNDDOWN(Y1465-INDEX(K$4:K1673,MATCH(LARGE(FILTER(I$4:I1673,I$4:I1673&lt;=W1465),1),I$4:I1673))-(W1465-L"&amp;"ARGE(FILTER(I$4:I1673,I$4:I1673&lt;=W1465),1))*INDEX(F$4:F1673,MATCH(LARGE(FILTER(I$4:I1673,I$4:I1673&lt;=W1465),1),I$4:I1673))))"),"")</f>
        <v/>
      </c>
      <c r="N1465" s="60" t="str">
        <f t="shared" si="8"/>
        <v/>
      </c>
      <c r="O1465" s="61" t="str">
        <f t="shared" si="9"/>
        <v/>
      </c>
      <c r="P1465" s="56" t="str">
        <f t="shared" si="10"/>
        <v/>
      </c>
      <c r="Q1465" s="67"/>
      <c r="R1465" s="10"/>
      <c r="S1465" s="59" t="str">
        <f t="array" ref="S1465">IF(COUNTA(Q1465:Q1673)=0,"",SUM((COUNTIF(Q$4:Q1465,Upgrades!$B$3:$B$13)-COUNTIF(Q$4:Q1465,"Sell_"&amp;Upgrades!$B$3:$B$13))*Upgrades!$D$3:$D$13))</f>
        <v/>
      </c>
      <c r="T1465" s="66" t="str">
        <f>IFERROR(__xludf.DUMMYFUNCTION("IF(COUNTA(Q1465:Q1673)=0,"""",IF(REGEXMATCH(INDEX(FILTER(Q$4:Q1465,Q$4:Q1465&lt;&gt;""""),ROWS(FILTER(Q$4:Q1465,Q$4:Q1465&lt;&gt;""""))),""^Sell_""),INDEX(FILTER(T$4:T1464,Q$4:Q1464&lt;&gt;""""),ROWS(FILTER(Q$4:Q1464,Q$4:Q1464&lt;&gt;""""))),$AD$5+S1465))"),"")</f>
        <v/>
      </c>
      <c r="U1465" s="10" t="str">
        <f>IFERROR(__xludf.DUMMYFUNCTION("IF(COUNTA(Q1465:Q1673)=0,"""",IF(Q1465="""",0,IF(REGEXMATCH(Q1465,""^Sell_""),-ROUNDDOWN(ROUNDUP(INDEX(Upgrades!$C$3:$C$13,MATCH(SUBSTITUTE(Q1465,""Sell_"",""""),Upgrades!$B$3:$B$13,0))*1.15^(COUNTIF(Q$4:Q1464,SUBSTITUTE(Q1465,""Sell_"",""""))-COUNTIF(Q$4"&amp;":Q1464,""Sell_""&amp;SUBSTITUTE(Q1465,""Sell_"",""""))))/2),ROUNDUP(INDEX(Upgrades!$C$3:$C$13,MATCH(Q1465,Upgrades!$B$3:$B$13,0))*1.15^(COUNTIF(Q$4:Q1464,Q1465)-COUNTIF(Q$4:Q1464,""Sell_""&amp;Q1465))))))"),"")</f>
        <v/>
      </c>
      <c r="V1465" s="10" t="str">
        <f t="shared" si="11"/>
        <v/>
      </c>
      <c r="W1465" s="68" t="str">
        <f t="shared" si="12"/>
        <v/>
      </c>
      <c r="X1465" s="59" t="str">
        <f t="shared" si="13"/>
        <v/>
      </c>
      <c r="Y1465" s="69" t="str">
        <f t="shared" si="14"/>
        <v/>
      </c>
      <c r="Z1465" s="11"/>
    </row>
    <row r="1466">
      <c r="A1466" s="8"/>
      <c r="B1466" s="56" t="str">
        <f t="shared" si="2"/>
        <v/>
      </c>
      <c r="C1466" s="105"/>
      <c r="D1466" s="10"/>
      <c r="E1466" s="59" t="str">
        <f t="array" ref="E1466">IF(COUNTA(C1466:C1673)=0,"",SUM((COUNTIF(C$4:C1466,Upgrades!$B$3:$B$13)-COUNTIF(C$4:C1466,"Sell_"&amp;Upgrades!$B$3:$B$13))*Upgrades!$D$3:$D$13))</f>
        <v/>
      </c>
      <c r="F1466" s="66" t="str">
        <f>IFERROR(__xludf.DUMMYFUNCTION("IF(COUNTA(C1466:C1673)=0,"""",IF(REGEXMATCH(INDEX(FILTER(C$4:C1466,C$4:C1466&lt;&gt;""""),ROWS(FILTER(C$4:C1466,C$4:C1466&lt;&gt;""""))),""^Sell_""),INDEX(FILTER(F$4:F1465,C$4:C1465&lt;&gt;""""),ROWS(FILTER(C$4:C1465,C$4:C1465&lt;&gt;""""))),$AC$5+E1466))"),"")</f>
        <v/>
      </c>
      <c r="G1466" s="10" t="str">
        <f>IFERROR(__xludf.DUMMYFUNCTION("IF(COUNTA(C1466:C1673)=0,"""",IF(C1466="""",0,IF(REGEXMATCH(C1466,""^Sell_""),-ROUNDDOWN(ROUNDUP(INDEX(Upgrades!$C$3:$C$13,MATCH(SUBSTITUTE(C1466,""Sell_"",""""),Upgrades!$B$3:$B$13,0))*1.15^(COUNTIF(C$4:C1465,SUBSTITUTE(C1466,""Sell_"",""""))-COUNTIF(C$4"&amp;":C1465,""Sell_""&amp;SUBSTITUTE(C1466,""Sell_"",""""))))/2),ROUNDUP(INDEX(Upgrades!$C$3:$C$13,MATCH(C1466,Upgrades!$B$3:$B$13,0))*1.15^(COUNTIF(C$4:C1465,C1466)-COUNTIF(C$4:C1465,""Sell_""&amp;C1466))))))"),"")</f>
        <v/>
      </c>
      <c r="H1466" s="10" t="str">
        <f t="shared" si="3"/>
        <v/>
      </c>
      <c r="I1466" s="68" t="str">
        <f t="shared" si="4"/>
        <v/>
      </c>
      <c r="J1466" s="59" t="str">
        <f t="shared" si="5"/>
        <v/>
      </c>
      <c r="K1466" s="69" t="str">
        <f t="shared" si="6"/>
        <v/>
      </c>
      <c r="L1466" s="60" t="str">
        <f t="shared" si="7"/>
        <v/>
      </c>
      <c r="M1466" s="61" t="str">
        <f>IFERROR(__xludf.DUMMYFUNCTION("IFS(AND(COUNTA(C1466:C1673)=0,COUNTA(Q1466:Q1673)=0),"""",OR(AND(K1466&gt;=1000000000,OR(Y1466&gt;=1000000000,COUNTA(Q1466:Q1673)=0)),OR(Y1466&gt;=1000000000,AND(COUNTA(C1466:C1673)=0,P$3=TRUE))),
ROUNDDOWN((AB$1-AC$1)*MAX(INDEX(T$4:T1673,MATCH(LARGE(FILTER(Y$4:Y1"&amp;"673,Y$4:Y1673&lt;1000000000),1),Y$4:Y1673)),INDEX(F$4:F1673,MATCH(LARGE(FILTER(K$4:K1673,K$4:K1673&lt;1000000000),1),K$4:K1673)))),AND(K1466&lt;1000000000,COUNTA(C1466:C1673)&gt;0,P$3=FALSE),
ROUNDDOWN(INDEX(Y$4:Y1673,MATCH(LARGE(FILTER(W$4:W1673,W$4:W1673&lt;=I1466),1)"&amp;",W$4:W1673))+(I1466-LARGE(FILTER(W$4:W1673,W$4:W1673&lt;=I1466),1))*INDEX(T$4:T1673,MATCH(LARGE(FILTER(W$4:W1673,W$4:W1673&lt;=I1466),1),W$4:W1673))-K1466),1,
ROUNDDOWN(Y1466-INDEX(K$4:K1673,MATCH(LARGE(FILTER(I$4:I1673,I$4:I1673&lt;=W1466),1),I$4:I1673))-(W1466-L"&amp;"ARGE(FILTER(I$4:I1673,I$4:I1673&lt;=W1466),1))*INDEX(F$4:F1673,MATCH(LARGE(FILTER(I$4:I1673,I$4:I1673&lt;=W1466),1),I$4:I1673))))"),"")</f>
        <v/>
      </c>
      <c r="N1466" s="60" t="str">
        <f t="shared" si="8"/>
        <v/>
      </c>
      <c r="O1466" s="61" t="str">
        <f t="shared" si="9"/>
        <v/>
      </c>
      <c r="P1466" s="56" t="str">
        <f t="shared" si="10"/>
        <v/>
      </c>
      <c r="Q1466" s="67"/>
      <c r="R1466" s="10"/>
      <c r="S1466" s="59" t="str">
        <f t="array" ref="S1466">IF(COUNTA(Q1466:Q1673)=0,"",SUM((COUNTIF(Q$4:Q1466,Upgrades!$B$3:$B$13)-COUNTIF(Q$4:Q1466,"Sell_"&amp;Upgrades!$B$3:$B$13))*Upgrades!$D$3:$D$13))</f>
        <v/>
      </c>
      <c r="T1466" s="66" t="str">
        <f>IFERROR(__xludf.DUMMYFUNCTION("IF(COUNTA(Q1466:Q1673)=0,"""",IF(REGEXMATCH(INDEX(FILTER(Q$4:Q1466,Q$4:Q1466&lt;&gt;""""),ROWS(FILTER(Q$4:Q1466,Q$4:Q1466&lt;&gt;""""))),""^Sell_""),INDEX(FILTER(T$4:T1465,Q$4:Q1465&lt;&gt;""""),ROWS(FILTER(Q$4:Q1465,Q$4:Q1465&lt;&gt;""""))),$AD$5+S1466))"),"")</f>
        <v/>
      </c>
      <c r="U1466" s="10" t="str">
        <f>IFERROR(__xludf.DUMMYFUNCTION("IF(COUNTA(Q1466:Q1673)=0,"""",IF(Q1466="""",0,IF(REGEXMATCH(Q1466,""^Sell_""),-ROUNDDOWN(ROUNDUP(INDEX(Upgrades!$C$3:$C$13,MATCH(SUBSTITUTE(Q1466,""Sell_"",""""),Upgrades!$B$3:$B$13,0))*1.15^(COUNTIF(Q$4:Q1465,SUBSTITUTE(Q1466,""Sell_"",""""))-COUNTIF(Q$4"&amp;":Q1465,""Sell_""&amp;SUBSTITUTE(Q1466,""Sell_"",""""))))/2),ROUNDUP(INDEX(Upgrades!$C$3:$C$13,MATCH(Q1466,Upgrades!$B$3:$B$13,0))*1.15^(COUNTIF(Q$4:Q1465,Q1466)-COUNTIF(Q$4:Q1465,""Sell_""&amp;Q1466))))))"),"")</f>
        <v/>
      </c>
      <c r="V1466" s="10" t="str">
        <f t="shared" si="11"/>
        <v/>
      </c>
      <c r="W1466" s="68" t="str">
        <f t="shared" si="12"/>
        <v/>
      </c>
      <c r="X1466" s="59" t="str">
        <f t="shared" si="13"/>
        <v/>
      </c>
      <c r="Y1466" s="69" t="str">
        <f t="shared" si="14"/>
        <v/>
      </c>
      <c r="Z1466" s="11"/>
    </row>
    <row r="1467">
      <c r="A1467" s="8"/>
      <c r="B1467" s="56" t="str">
        <f t="shared" si="2"/>
        <v/>
      </c>
      <c r="C1467" s="105"/>
      <c r="D1467" s="10"/>
      <c r="E1467" s="59" t="str">
        <f t="array" ref="E1467">IF(COUNTA(C1467:C1673)=0,"",SUM((COUNTIF(C$4:C1467,Upgrades!$B$3:$B$13)-COUNTIF(C$4:C1467,"Sell_"&amp;Upgrades!$B$3:$B$13))*Upgrades!$D$3:$D$13))</f>
        <v/>
      </c>
      <c r="F1467" s="66" t="str">
        <f>IFERROR(__xludf.DUMMYFUNCTION("IF(COUNTA(C1467:C1673)=0,"""",IF(REGEXMATCH(INDEX(FILTER(C$4:C1467,C$4:C1467&lt;&gt;""""),ROWS(FILTER(C$4:C1467,C$4:C1467&lt;&gt;""""))),""^Sell_""),INDEX(FILTER(F$4:F1466,C$4:C1466&lt;&gt;""""),ROWS(FILTER(C$4:C1466,C$4:C1466&lt;&gt;""""))),$AC$5+E1467))"),"")</f>
        <v/>
      </c>
      <c r="G1467" s="10" t="str">
        <f>IFERROR(__xludf.DUMMYFUNCTION("IF(COUNTA(C1467:C1673)=0,"""",IF(C1467="""",0,IF(REGEXMATCH(C1467,""^Sell_""),-ROUNDDOWN(ROUNDUP(INDEX(Upgrades!$C$3:$C$13,MATCH(SUBSTITUTE(C1467,""Sell_"",""""),Upgrades!$B$3:$B$13,0))*1.15^(COUNTIF(C$4:C1466,SUBSTITUTE(C1467,""Sell_"",""""))-COUNTIF(C$4"&amp;":C1466,""Sell_""&amp;SUBSTITUTE(C1467,""Sell_"",""""))))/2),ROUNDUP(INDEX(Upgrades!$C$3:$C$13,MATCH(C1467,Upgrades!$B$3:$B$13,0))*1.15^(COUNTIF(C$4:C1466,C1467)-COUNTIF(C$4:C1466,""Sell_""&amp;C1467))))))"),"")</f>
        <v/>
      </c>
      <c r="H1467" s="10" t="str">
        <f t="shared" si="3"/>
        <v/>
      </c>
      <c r="I1467" s="68" t="str">
        <f t="shared" si="4"/>
        <v/>
      </c>
      <c r="J1467" s="59" t="str">
        <f t="shared" si="5"/>
        <v/>
      </c>
      <c r="K1467" s="69" t="str">
        <f t="shared" si="6"/>
        <v/>
      </c>
      <c r="L1467" s="60" t="str">
        <f t="shared" si="7"/>
        <v/>
      </c>
      <c r="M1467" s="61" t="str">
        <f>IFERROR(__xludf.DUMMYFUNCTION("IFS(AND(COUNTA(C1467:C1673)=0,COUNTA(Q1467:Q1673)=0),"""",OR(AND(K1467&gt;=1000000000,OR(Y1467&gt;=1000000000,COUNTA(Q1467:Q1673)=0)),OR(Y1467&gt;=1000000000,AND(COUNTA(C1467:C1673)=0,P$3=TRUE))),
ROUNDDOWN((AB$1-AC$1)*MAX(INDEX(T$4:T1673,MATCH(LARGE(FILTER(Y$4:Y1"&amp;"673,Y$4:Y1673&lt;1000000000),1),Y$4:Y1673)),INDEX(F$4:F1673,MATCH(LARGE(FILTER(K$4:K1673,K$4:K1673&lt;1000000000),1),K$4:K1673)))),AND(K1467&lt;1000000000,COUNTA(C1467:C1673)&gt;0,P$3=FALSE),
ROUNDDOWN(INDEX(Y$4:Y1673,MATCH(LARGE(FILTER(W$4:W1673,W$4:W1673&lt;=I1467),1)"&amp;",W$4:W1673))+(I1467-LARGE(FILTER(W$4:W1673,W$4:W1673&lt;=I1467),1))*INDEX(T$4:T1673,MATCH(LARGE(FILTER(W$4:W1673,W$4:W1673&lt;=I1467),1),W$4:W1673))-K1467),1,
ROUNDDOWN(Y1467-INDEX(K$4:K1673,MATCH(LARGE(FILTER(I$4:I1673,I$4:I1673&lt;=W1467),1),I$4:I1673))-(W1467-L"&amp;"ARGE(FILTER(I$4:I1673,I$4:I1673&lt;=W1467),1))*INDEX(F$4:F1673,MATCH(LARGE(FILTER(I$4:I1673,I$4:I1673&lt;=W1467),1),I$4:I1673))))"),"")</f>
        <v/>
      </c>
      <c r="N1467" s="60" t="str">
        <f t="shared" si="8"/>
        <v/>
      </c>
      <c r="O1467" s="61" t="str">
        <f t="shared" si="9"/>
        <v/>
      </c>
      <c r="P1467" s="56" t="str">
        <f t="shared" si="10"/>
        <v/>
      </c>
      <c r="Q1467" s="67"/>
      <c r="R1467" s="10"/>
      <c r="S1467" s="59" t="str">
        <f t="array" ref="S1467">IF(COUNTA(Q1467:Q1673)=0,"",SUM((COUNTIF(Q$4:Q1467,Upgrades!$B$3:$B$13)-COUNTIF(Q$4:Q1467,"Sell_"&amp;Upgrades!$B$3:$B$13))*Upgrades!$D$3:$D$13))</f>
        <v/>
      </c>
      <c r="T1467" s="66" t="str">
        <f>IFERROR(__xludf.DUMMYFUNCTION("IF(COUNTA(Q1467:Q1673)=0,"""",IF(REGEXMATCH(INDEX(FILTER(Q$4:Q1467,Q$4:Q1467&lt;&gt;""""),ROWS(FILTER(Q$4:Q1467,Q$4:Q1467&lt;&gt;""""))),""^Sell_""),INDEX(FILTER(T$4:T1466,Q$4:Q1466&lt;&gt;""""),ROWS(FILTER(Q$4:Q1466,Q$4:Q1466&lt;&gt;""""))),$AD$5+S1467))"),"")</f>
        <v/>
      </c>
      <c r="U1467" s="10" t="str">
        <f>IFERROR(__xludf.DUMMYFUNCTION("IF(COUNTA(Q1467:Q1673)=0,"""",IF(Q1467="""",0,IF(REGEXMATCH(Q1467,""^Sell_""),-ROUNDDOWN(ROUNDUP(INDEX(Upgrades!$C$3:$C$13,MATCH(SUBSTITUTE(Q1467,""Sell_"",""""),Upgrades!$B$3:$B$13,0))*1.15^(COUNTIF(Q$4:Q1466,SUBSTITUTE(Q1467,""Sell_"",""""))-COUNTIF(Q$4"&amp;":Q1466,""Sell_""&amp;SUBSTITUTE(Q1467,""Sell_"",""""))))/2),ROUNDUP(INDEX(Upgrades!$C$3:$C$13,MATCH(Q1467,Upgrades!$B$3:$B$13,0))*1.15^(COUNTIF(Q$4:Q1466,Q1467)-COUNTIF(Q$4:Q1466,""Sell_""&amp;Q1467))))))"),"")</f>
        <v/>
      </c>
      <c r="V1467" s="10" t="str">
        <f t="shared" si="11"/>
        <v/>
      </c>
      <c r="W1467" s="68" t="str">
        <f t="shared" si="12"/>
        <v/>
      </c>
      <c r="X1467" s="59" t="str">
        <f t="shared" si="13"/>
        <v/>
      </c>
      <c r="Y1467" s="69" t="str">
        <f t="shared" si="14"/>
        <v/>
      </c>
      <c r="Z1467" s="11"/>
    </row>
    <row r="1468">
      <c r="A1468" s="8"/>
      <c r="B1468" s="56" t="str">
        <f t="shared" si="2"/>
        <v/>
      </c>
      <c r="C1468" s="105"/>
      <c r="D1468" s="10"/>
      <c r="E1468" s="59" t="str">
        <f t="array" ref="E1468">IF(COUNTA(C1468:C1673)=0,"",SUM((COUNTIF(C$4:C1468,Upgrades!$B$3:$B$13)-COUNTIF(C$4:C1468,"Sell_"&amp;Upgrades!$B$3:$B$13))*Upgrades!$D$3:$D$13))</f>
        <v/>
      </c>
      <c r="F1468" s="66" t="str">
        <f>IFERROR(__xludf.DUMMYFUNCTION("IF(COUNTA(C1468:C1673)=0,"""",IF(REGEXMATCH(INDEX(FILTER(C$4:C1468,C$4:C1468&lt;&gt;""""),ROWS(FILTER(C$4:C1468,C$4:C1468&lt;&gt;""""))),""^Sell_""),INDEX(FILTER(F$4:F1467,C$4:C1467&lt;&gt;""""),ROWS(FILTER(C$4:C1467,C$4:C1467&lt;&gt;""""))),$AC$5+E1468))"),"")</f>
        <v/>
      </c>
      <c r="G1468" s="10" t="str">
        <f>IFERROR(__xludf.DUMMYFUNCTION("IF(COUNTA(C1468:C1673)=0,"""",IF(C1468="""",0,IF(REGEXMATCH(C1468,""^Sell_""),-ROUNDDOWN(ROUNDUP(INDEX(Upgrades!$C$3:$C$13,MATCH(SUBSTITUTE(C1468,""Sell_"",""""),Upgrades!$B$3:$B$13,0))*1.15^(COUNTIF(C$4:C1467,SUBSTITUTE(C1468,""Sell_"",""""))-COUNTIF(C$4"&amp;":C1467,""Sell_""&amp;SUBSTITUTE(C1468,""Sell_"",""""))))/2),ROUNDUP(INDEX(Upgrades!$C$3:$C$13,MATCH(C1468,Upgrades!$B$3:$B$13,0))*1.15^(COUNTIF(C$4:C1467,C1468)-COUNTIF(C$4:C1467,""Sell_""&amp;C1468))))))"),"")</f>
        <v/>
      </c>
      <c r="H1468" s="10" t="str">
        <f t="shared" si="3"/>
        <v/>
      </c>
      <c r="I1468" s="68" t="str">
        <f t="shared" si="4"/>
        <v/>
      </c>
      <c r="J1468" s="59" t="str">
        <f t="shared" si="5"/>
        <v/>
      </c>
      <c r="K1468" s="69" t="str">
        <f t="shared" si="6"/>
        <v/>
      </c>
      <c r="L1468" s="60" t="str">
        <f t="shared" si="7"/>
        <v/>
      </c>
      <c r="M1468" s="61" t="str">
        <f>IFERROR(__xludf.DUMMYFUNCTION("IFS(AND(COUNTA(C1468:C1673)=0,COUNTA(Q1468:Q1673)=0),"""",OR(AND(K1468&gt;=1000000000,OR(Y1468&gt;=1000000000,COUNTA(Q1468:Q1673)=0)),OR(Y1468&gt;=1000000000,AND(COUNTA(C1468:C1673)=0,P$3=TRUE))),
ROUNDDOWN((AB$1-AC$1)*MAX(INDEX(T$4:T1673,MATCH(LARGE(FILTER(Y$4:Y1"&amp;"673,Y$4:Y1673&lt;1000000000),1),Y$4:Y1673)),INDEX(F$4:F1673,MATCH(LARGE(FILTER(K$4:K1673,K$4:K1673&lt;1000000000),1),K$4:K1673)))),AND(K1468&lt;1000000000,COUNTA(C1468:C1673)&gt;0,P$3=FALSE),
ROUNDDOWN(INDEX(Y$4:Y1673,MATCH(LARGE(FILTER(W$4:W1673,W$4:W1673&lt;=I1468),1)"&amp;",W$4:W1673))+(I1468-LARGE(FILTER(W$4:W1673,W$4:W1673&lt;=I1468),1))*INDEX(T$4:T1673,MATCH(LARGE(FILTER(W$4:W1673,W$4:W1673&lt;=I1468),1),W$4:W1673))-K1468),1,
ROUNDDOWN(Y1468-INDEX(K$4:K1673,MATCH(LARGE(FILTER(I$4:I1673,I$4:I1673&lt;=W1468),1),I$4:I1673))-(W1468-L"&amp;"ARGE(FILTER(I$4:I1673,I$4:I1673&lt;=W1468),1))*INDEX(F$4:F1673,MATCH(LARGE(FILTER(I$4:I1673,I$4:I1673&lt;=W1468),1),I$4:I1673))))"),"")</f>
        <v/>
      </c>
      <c r="N1468" s="60" t="str">
        <f t="shared" si="8"/>
        <v/>
      </c>
      <c r="O1468" s="61" t="str">
        <f t="shared" si="9"/>
        <v/>
      </c>
      <c r="P1468" s="56" t="str">
        <f t="shared" si="10"/>
        <v/>
      </c>
      <c r="Q1468" s="67"/>
      <c r="R1468" s="10"/>
      <c r="S1468" s="59" t="str">
        <f t="array" ref="S1468">IF(COUNTA(Q1468:Q1673)=0,"",SUM((COUNTIF(Q$4:Q1468,Upgrades!$B$3:$B$13)-COUNTIF(Q$4:Q1468,"Sell_"&amp;Upgrades!$B$3:$B$13))*Upgrades!$D$3:$D$13))</f>
        <v/>
      </c>
      <c r="T1468" s="66" t="str">
        <f>IFERROR(__xludf.DUMMYFUNCTION("IF(COUNTA(Q1468:Q1673)=0,"""",IF(REGEXMATCH(INDEX(FILTER(Q$4:Q1468,Q$4:Q1468&lt;&gt;""""),ROWS(FILTER(Q$4:Q1468,Q$4:Q1468&lt;&gt;""""))),""^Sell_""),INDEX(FILTER(T$4:T1467,Q$4:Q1467&lt;&gt;""""),ROWS(FILTER(Q$4:Q1467,Q$4:Q1467&lt;&gt;""""))),$AD$5+S1468))"),"")</f>
        <v/>
      </c>
      <c r="U1468" s="10" t="str">
        <f>IFERROR(__xludf.DUMMYFUNCTION("IF(COUNTA(Q1468:Q1673)=0,"""",IF(Q1468="""",0,IF(REGEXMATCH(Q1468,""^Sell_""),-ROUNDDOWN(ROUNDUP(INDEX(Upgrades!$C$3:$C$13,MATCH(SUBSTITUTE(Q1468,""Sell_"",""""),Upgrades!$B$3:$B$13,0))*1.15^(COUNTIF(Q$4:Q1467,SUBSTITUTE(Q1468,""Sell_"",""""))-COUNTIF(Q$4"&amp;":Q1467,""Sell_""&amp;SUBSTITUTE(Q1468,""Sell_"",""""))))/2),ROUNDUP(INDEX(Upgrades!$C$3:$C$13,MATCH(Q1468,Upgrades!$B$3:$B$13,0))*1.15^(COUNTIF(Q$4:Q1467,Q1468)-COUNTIF(Q$4:Q1467,""Sell_""&amp;Q1468))))))"),"")</f>
        <v/>
      </c>
      <c r="V1468" s="10" t="str">
        <f t="shared" si="11"/>
        <v/>
      </c>
      <c r="W1468" s="68" t="str">
        <f t="shared" si="12"/>
        <v/>
      </c>
      <c r="X1468" s="59" t="str">
        <f t="shared" si="13"/>
        <v/>
      </c>
      <c r="Y1468" s="69" t="str">
        <f t="shared" si="14"/>
        <v/>
      </c>
      <c r="Z1468" s="11"/>
    </row>
    <row r="1469">
      <c r="A1469" s="8"/>
      <c r="B1469" s="56" t="str">
        <f t="shared" si="2"/>
        <v/>
      </c>
      <c r="C1469" s="105"/>
      <c r="D1469" s="10"/>
      <c r="E1469" s="59" t="str">
        <f t="array" ref="E1469">IF(COUNTA(C1469:C1673)=0,"",SUM((COUNTIF(C$4:C1469,Upgrades!$B$3:$B$13)-COUNTIF(C$4:C1469,"Sell_"&amp;Upgrades!$B$3:$B$13))*Upgrades!$D$3:$D$13))</f>
        <v/>
      </c>
      <c r="F1469" s="66" t="str">
        <f>IFERROR(__xludf.DUMMYFUNCTION("IF(COUNTA(C1469:C1673)=0,"""",IF(REGEXMATCH(INDEX(FILTER(C$4:C1469,C$4:C1469&lt;&gt;""""),ROWS(FILTER(C$4:C1469,C$4:C1469&lt;&gt;""""))),""^Sell_""),INDEX(FILTER(F$4:F1468,C$4:C1468&lt;&gt;""""),ROWS(FILTER(C$4:C1468,C$4:C1468&lt;&gt;""""))),$AC$5+E1469))"),"")</f>
        <v/>
      </c>
      <c r="G1469" s="10" t="str">
        <f>IFERROR(__xludf.DUMMYFUNCTION("IF(COUNTA(C1469:C1673)=0,"""",IF(C1469="""",0,IF(REGEXMATCH(C1469,""^Sell_""),-ROUNDDOWN(ROUNDUP(INDEX(Upgrades!$C$3:$C$13,MATCH(SUBSTITUTE(C1469,""Sell_"",""""),Upgrades!$B$3:$B$13,0))*1.15^(COUNTIF(C$4:C1468,SUBSTITUTE(C1469,""Sell_"",""""))-COUNTIF(C$4"&amp;":C1468,""Sell_""&amp;SUBSTITUTE(C1469,""Sell_"",""""))))/2),ROUNDUP(INDEX(Upgrades!$C$3:$C$13,MATCH(C1469,Upgrades!$B$3:$B$13,0))*1.15^(COUNTIF(C$4:C1468,C1469)-COUNTIF(C$4:C1468,""Sell_""&amp;C1469))))))"),"")</f>
        <v/>
      </c>
      <c r="H1469" s="10" t="str">
        <f t="shared" si="3"/>
        <v/>
      </c>
      <c r="I1469" s="68" t="str">
        <f t="shared" si="4"/>
        <v/>
      </c>
      <c r="J1469" s="59" t="str">
        <f t="shared" si="5"/>
        <v/>
      </c>
      <c r="K1469" s="69" t="str">
        <f t="shared" si="6"/>
        <v/>
      </c>
      <c r="L1469" s="60" t="str">
        <f t="shared" si="7"/>
        <v/>
      </c>
      <c r="M1469" s="61" t="str">
        <f>IFERROR(__xludf.DUMMYFUNCTION("IFS(AND(COUNTA(C1469:C1673)=0,COUNTA(Q1469:Q1673)=0),"""",OR(AND(K1469&gt;=1000000000,OR(Y1469&gt;=1000000000,COUNTA(Q1469:Q1673)=0)),OR(Y1469&gt;=1000000000,AND(COUNTA(C1469:C1673)=0,P$3=TRUE))),
ROUNDDOWN((AB$1-AC$1)*MAX(INDEX(T$4:T1673,MATCH(LARGE(FILTER(Y$4:Y1"&amp;"673,Y$4:Y1673&lt;1000000000),1),Y$4:Y1673)),INDEX(F$4:F1673,MATCH(LARGE(FILTER(K$4:K1673,K$4:K1673&lt;1000000000),1),K$4:K1673)))),AND(K1469&lt;1000000000,COUNTA(C1469:C1673)&gt;0,P$3=FALSE),
ROUNDDOWN(INDEX(Y$4:Y1673,MATCH(LARGE(FILTER(W$4:W1673,W$4:W1673&lt;=I1469),1)"&amp;",W$4:W1673))+(I1469-LARGE(FILTER(W$4:W1673,W$4:W1673&lt;=I1469),1))*INDEX(T$4:T1673,MATCH(LARGE(FILTER(W$4:W1673,W$4:W1673&lt;=I1469),1),W$4:W1673))-K1469),1,
ROUNDDOWN(Y1469-INDEX(K$4:K1673,MATCH(LARGE(FILTER(I$4:I1673,I$4:I1673&lt;=W1469),1),I$4:I1673))-(W1469-L"&amp;"ARGE(FILTER(I$4:I1673,I$4:I1673&lt;=W1469),1))*INDEX(F$4:F1673,MATCH(LARGE(FILTER(I$4:I1673,I$4:I1673&lt;=W1469),1),I$4:I1673))))"),"")</f>
        <v/>
      </c>
      <c r="N1469" s="60" t="str">
        <f t="shared" si="8"/>
        <v/>
      </c>
      <c r="O1469" s="61" t="str">
        <f t="shared" si="9"/>
        <v/>
      </c>
      <c r="P1469" s="56" t="str">
        <f t="shared" si="10"/>
        <v/>
      </c>
      <c r="Q1469" s="67"/>
      <c r="R1469" s="10"/>
      <c r="S1469" s="59" t="str">
        <f t="array" ref="S1469">IF(COUNTA(Q1469:Q1673)=0,"",SUM((COUNTIF(Q$4:Q1469,Upgrades!$B$3:$B$13)-COUNTIF(Q$4:Q1469,"Sell_"&amp;Upgrades!$B$3:$B$13))*Upgrades!$D$3:$D$13))</f>
        <v/>
      </c>
      <c r="T1469" s="66" t="str">
        <f>IFERROR(__xludf.DUMMYFUNCTION("IF(COUNTA(Q1469:Q1673)=0,"""",IF(REGEXMATCH(INDEX(FILTER(Q$4:Q1469,Q$4:Q1469&lt;&gt;""""),ROWS(FILTER(Q$4:Q1469,Q$4:Q1469&lt;&gt;""""))),""^Sell_""),INDEX(FILTER(T$4:T1468,Q$4:Q1468&lt;&gt;""""),ROWS(FILTER(Q$4:Q1468,Q$4:Q1468&lt;&gt;""""))),$AD$5+S1469))"),"")</f>
        <v/>
      </c>
      <c r="U1469" s="10" t="str">
        <f>IFERROR(__xludf.DUMMYFUNCTION("IF(COUNTA(Q1469:Q1673)=0,"""",IF(Q1469="""",0,IF(REGEXMATCH(Q1469,""^Sell_""),-ROUNDDOWN(ROUNDUP(INDEX(Upgrades!$C$3:$C$13,MATCH(SUBSTITUTE(Q1469,""Sell_"",""""),Upgrades!$B$3:$B$13,0))*1.15^(COUNTIF(Q$4:Q1468,SUBSTITUTE(Q1469,""Sell_"",""""))-COUNTIF(Q$4"&amp;":Q1468,""Sell_""&amp;SUBSTITUTE(Q1469,""Sell_"",""""))))/2),ROUNDUP(INDEX(Upgrades!$C$3:$C$13,MATCH(Q1469,Upgrades!$B$3:$B$13,0))*1.15^(COUNTIF(Q$4:Q1468,Q1469)-COUNTIF(Q$4:Q1468,""Sell_""&amp;Q1469))))))"),"")</f>
        <v/>
      </c>
      <c r="V1469" s="10" t="str">
        <f t="shared" si="11"/>
        <v/>
      </c>
      <c r="W1469" s="68" t="str">
        <f t="shared" si="12"/>
        <v/>
      </c>
      <c r="X1469" s="59" t="str">
        <f t="shared" si="13"/>
        <v/>
      </c>
      <c r="Y1469" s="69" t="str">
        <f t="shared" si="14"/>
        <v/>
      </c>
      <c r="Z1469" s="11"/>
    </row>
    <row r="1470">
      <c r="A1470" s="8"/>
      <c r="B1470" s="56" t="str">
        <f t="shared" si="2"/>
        <v/>
      </c>
      <c r="C1470" s="105"/>
      <c r="D1470" s="10"/>
      <c r="E1470" s="59" t="str">
        <f t="array" ref="E1470">IF(COUNTA(C1470:C1673)=0,"",SUM((COUNTIF(C$4:C1470,Upgrades!$B$3:$B$13)-COUNTIF(C$4:C1470,"Sell_"&amp;Upgrades!$B$3:$B$13))*Upgrades!$D$3:$D$13))</f>
        <v/>
      </c>
      <c r="F1470" s="66" t="str">
        <f>IFERROR(__xludf.DUMMYFUNCTION("IF(COUNTA(C1470:C1673)=0,"""",IF(REGEXMATCH(INDEX(FILTER(C$4:C1470,C$4:C1470&lt;&gt;""""),ROWS(FILTER(C$4:C1470,C$4:C1470&lt;&gt;""""))),""^Sell_""),INDEX(FILTER(F$4:F1469,C$4:C1469&lt;&gt;""""),ROWS(FILTER(C$4:C1469,C$4:C1469&lt;&gt;""""))),$AC$5+E1470))"),"")</f>
        <v/>
      </c>
      <c r="G1470" s="10" t="str">
        <f>IFERROR(__xludf.DUMMYFUNCTION("IF(COUNTA(C1470:C1673)=0,"""",IF(C1470="""",0,IF(REGEXMATCH(C1470,""^Sell_""),-ROUNDDOWN(ROUNDUP(INDEX(Upgrades!$C$3:$C$13,MATCH(SUBSTITUTE(C1470,""Sell_"",""""),Upgrades!$B$3:$B$13,0))*1.15^(COUNTIF(C$4:C1469,SUBSTITUTE(C1470,""Sell_"",""""))-COUNTIF(C$4"&amp;":C1469,""Sell_""&amp;SUBSTITUTE(C1470,""Sell_"",""""))))/2),ROUNDUP(INDEX(Upgrades!$C$3:$C$13,MATCH(C1470,Upgrades!$B$3:$B$13,0))*1.15^(COUNTIF(C$4:C1469,C1470)-COUNTIF(C$4:C1469,""Sell_""&amp;C1470))))))"),"")</f>
        <v/>
      </c>
      <c r="H1470" s="10" t="str">
        <f t="shared" si="3"/>
        <v/>
      </c>
      <c r="I1470" s="68" t="str">
        <f t="shared" si="4"/>
        <v/>
      </c>
      <c r="J1470" s="59" t="str">
        <f t="shared" si="5"/>
        <v/>
      </c>
      <c r="K1470" s="69" t="str">
        <f t="shared" si="6"/>
        <v/>
      </c>
      <c r="L1470" s="60" t="str">
        <f t="shared" si="7"/>
        <v/>
      </c>
      <c r="M1470" s="61" t="str">
        <f>IFERROR(__xludf.DUMMYFUNCTION("IFS(AND(COUNTA(C1470:C1673)=0,COUNTA(Q1470:Q1673)=0),"""",OR(AND(K1470&gt;=1000000000,OR(Y1470&gt;=1000000000,COUNTA(Q1470:Q1673)=0)),OR(Y1470&gt;=1000000000,AND(COUNTA(C1470:C1673)=0,P$3=TRUE))),
ROUNDDOWN((AB$1-AC$1)*MAX(INDEX(T$4:T1673,MATCH(LARGE(FILTER(Y$4:Y1"&amp;"673,Y$4:Y1673&lt;1000000000),1),Y$4:Y1673)),INDEX(F$4:F1673,MATCH(LARGE(FILTER(K$4:K1673,K$4:K1673&lt;1000000000),1),K$4:K1673)))),AND(K1470&lt;1000000000,COUNTA(C1470:C1673)&gt;0,P$3=FALSE),
ROUNDDOWN(INDEX(Y$4:Y1673,MATCH(LARGE(FILTER(W$4:W1673,W$4:W1673&lt;=I1470),1)"&amp;",W$4:W1673))+(I1470-LARGE(FILTER(W$4:W1673,W$4:W1673&lt;=I1470),1))*INDEX(T$4:T1673,MATCH(LARGE(FILTER(W$4:W1673,W$4:W1673&lt;=I1470),1),W$4:W1673))-K1470),1,
ROUNDDOWN(Y1470-INDEX(K$4:K1673,MATCH(LARGE(FILTER(I$4:I1673,I$4:I1673&lt;=W1470),1),I$4:I1673))-(W1470-L"&amp;"ARGE(FILTER(I$4:I1673,I$4:I1673&lt;=W1470),1))*INDEX(F$4:F1673,MATCH(LARGE(FILTER(I$4:I1673,I$4:I1673&lt;=W1470),1),I$4:I1673))))"),"")</f>
        <v/>
      </c>
      <c r="N1470" s="60" t="str">
        <f t="shared" si="8"/>
        <v/>
      </c>
      <c r="O1470" s="61" t="str">
        <f t="shared" si="9"/>
        <v/>
      </c>
      <c r="P1470" s="56" t="str">
        <f t="shared" si="10"/>
        <v/>
      </c>
      <c r="Q1470" s="67"/>
      <c r="R1470" s="10"/>
      <c r="S1470" s="59" t="str">
        <f t="array" ref="S1470">IF(COUNTA(Q1470:Q1673)=0,"",SUM((COUNTIF(Q$4:Q1470,Upgrades!$B$3:$B$13)-COUNTIF(Q$4:Q1470,"Sell_"&amp;Upgrades!$B$3:$B$13))*Upgrades!$D$3:$D$13))</f>
        <v/>
      </c>
      <c r="T1470" s="66" t="str">
        <f>IFERROR(__xludf.DUMMYFUNCTION("IF(COUNTA(Q1470:Q1673)=0,"""",IF(REGEXMATCH(INDEX(FILTER(Q$4:Q1470,Q$4:Q1470&lt;&gt;""""),ROWS(FILTER(Q$4:Q1470,Q$4:Q1470&lt;&gt;""""))),""^Sell_""),INDEX(FILTER(T$4:T1469,Q$4:Q1469&lt;&gt;""""),ROWS(FILTER(Q$4:Q1469,Q$4:Q1469&lt;&gt;""""))),$AD$5+S1470))"),"")</f>
        <v/>
      </c>
      <c r="U1470" s="10" t="str">
        <f>IFERROR(__xludf.DUMMYFUNCTION("IF(COUNTA(Q1470:Q1673)=0,"""",IF(Q1470="""",0,IF(REGEXMATCH(Q1470,""^Sell_""),-ROUNDDOWN(ROUNDUP(INDEX(Upgrades!$C$3:$C$13,MATCH(SUBSTITUTE(Q1470,""Sell_"",""""),Upgrades!$B$3:$B$13,0))*1.15^(COUNTIF(Q$4:Q1469,SUBSTITUTE(Q1470,""Sell_"",""""))-COUNTIF(Q$4"&amp;":Q1469,""Sell_""&amp;SUBSTITUTE(Q1470,""Sell_"",""""))))/2),ROUNDUP(INDEX(Upgrades!$C$3:$C$13,MATCH(Q1470,Upgrades!$B$3:$B$13,0))*1.15^(COUNTIF(Q$4:Q1469,Q1470)-COUNTIF(Q$4:Q1469,""Sell_""&amp;Q1470))))))"),"")</f>
        <v/>
      </c>
      <c r="V1470" s="10" t="str">
        <f t="shared" si="11"/>
        <v/>
      </c>
      <c r="W1470" s="68" t="str">
        <f t="shared" si="12"/>
        <v/>
      </c>
      <c r="X1470" s="59" t="str">
        <f t="shared" si="13"/>
        <v/>
      </c>
      <c r="Y1470" s="69" t="str">
        <f t="shared" si="14"/>
        <v/>
      </c>
      <c r="Z1470" s="11"/>
    </row>
    <row r="1471">
      <c r="A1471" s="8"/>
      <c r="B1471" s="56" t="str">
        <f t="shared" si="2"/>
        <v/>
      </c>
      <c r="C1471" s="105"/>
      <c r="D1471" s="10"/>
      <c r="E1471" s="59" t="str">
        <f t="array" ref="E1471">IF(COUNTA(C1471:C1673)=0,"",SUM((COUNTIF(C$4:C1471,Upgrades!$B$3:$B$13)-COUNTIF(C$4:C1471,"Sell_"&amp;Upgrades!$B$3:$B$13))*Upgrades!$D$3:$D$13))</f>
        <v/>
      </c>
      <c r="F1471" s="66" t="str">
        <f>IFERROR(__xludf.DUMMYFUNCTION("IF(COUNTA(C1471:C1673)=0,"""",IF(REGEXMATCH(INDEX(FILTER(C$4:C1471,C$4:C1471&lt;&gt;""""),ROWS(FILTER(C$4:C1471,C$4:C1471&lt;&gt;""""))),""^Sell_""),INDEX(FILTER(F$4:F1470,C$4:C1470&lt;&gt;""""),ROWS(FILTER(C$4:C1470,C$4:C1470&lt;&gt;""""))),$AC$5+E1471))"),"")</f>
        <v/>
      </c>
      <c r="G1471" s="10" t="str">
        <f>IFERROR(__xludf.DUMMYFUNCTION("IF(COUNTA(C1471:C1673)=0,"""",IF(C1471="""",0,IF(REGEXMATCH(C1471,""^Sell_""),-ROUNDDOWN(ROUNDUP(INDEX(Upgrades!$C$3:$C$13,MATCH(SUBSTITUTE(C1471,""Sell_"",""""),Upgrades!$B$3:$B$13,0))*1.15^(COUNTIF(C$4:C1470,SUBSTITUTE(C1471,""Sell_"",""""))-COUNTIF(C$4"&amp;":C1470,""Sell_""&amp;SUBSTITUTE(C1471,""Sell_"",""""))))/2),ROUNDUP(INDEX(Upgrades!$C$3:$C$13,MATCH(C1471,Upgrades!$B$3:$B$13,0))*1.15^(COUNTIF(C$4:C1470,C1471)-COUNTIF(C$4:C1470,""Sell_""&amp;C1471))))))"),"")</f>
        <v/>
      </c>
      <c r="H1471" s="10" t="str">
        <f t="shared" si="3"/>
        <v/>
      </c>
      <c r="I1471" s="68" t="str">
        <f t="shared" si="4"/>
        <v/>
      </c>
      <c r="J1471" s="59" t="str">
        <f t="shared" si="5"/>
        <v/>
      </c>
      <c r="K1471" s="69" t="str">
        <f t="shared" si="6"/>
        <v/>
      </c>
      <c r="L1471" s="60" t="str">
        <f t="shared" si="7"/>
        <v/>
      </c>
      <c r="M1471" s="61" t="str">
        <f>IFERROR(__xludf.DUMMYFUNCTION("IFS(AND(COUNTA(C1471:C1673)=0,COUNTA(Q1471:Q1673)=0),"""",OR(AND(K1471&gt;=1000000000,OR(Y1471&gt;=1000000000,COUNTA(Q1471:Q1673)=0)),OR(Y1471&gt;=1000000000,AND(COUNTA(C1471:C1673)=0,P$3=TRUE))),
ROUNDDOWN((AB$1-AC$1)*MAX(INDEX(T$4:T1673,MATCH(LARGE(FILTER(Y$4:Y1"&amp;"673,Y$4:Y1673&lt;1000000000),1),Y$4:Y1673)),INDEX(F$4:F1673,MATCH(LARGE(FILTER(K$4:K1673,K$4:K1673&lt;1000000000),1),K$4:K1673)))),AND(K1471&lt;1000000000,COUNTA(C1471:C1673)&gt;0,P$3=FALSE),
ROUNDDOWN(INDEX(Y$4:Y1673,MATCH(LARGE(FILTER(W$4:W1673,W$4:W1673&lt;=I1471),1)"&amp;",W$4:W1673))+(I1471-LARGE(FILTER(W$4:W1673,W$4:W1673&lt;=I1471),1))*INDEX(T$4:T1673,MATCH(LARGE(FILTER(W$4:W1673,W$4:W1673&lt;=I1471),1),W$4:W1673))-K1471),1,
ROUNDDOWN(Y1471-INDEX(K$4:K1673,MATCH(LARGE(FILTER(I$4:I1673,I$4:I1673&lt;=W1471),1),I$4:I1673))-(W1471-L"&amp;"ARGE(FILTER(I$4:I1673,I$4:I1673&lt;=W1471),1))*INDEX(F$4:F1673,MATCH(LARGE(FILTER(I$4:I1673,I$4:I1673&lt;=W1471),1),I$4:I1673))))"),"")</f>
        <v/>
      </c>
      <c r="N1471" s="60" t="str">
        <f t="shared" si="8"/>
        <v/>
      </c>
      <c r="O1471" s="61" t="str">
        <f t="shared" si="9"/>
        <v/>
      </c>
      <c r="P1471" s="56" t="str">
        <f t="shared" si="10"/>
        <v/>
      </c>
      <c r="Q1471" s="67"/>
      <c r="R1471" s="10"/>
      <c r="S1471" s="59" t="str">
        <f t="array" ref="S1471">IF(COUNTA(Q1471:Q1673)=0,"",SUM((COUNTIF(Q$4:Q1471,Upgrades!$B$3:$B$13)-COUNTIF(Q$4:Q1471,"Sell_"&amp;Upgrades!$B$3:$B$13))*Upgrades!$D$3:$D$13))</f>
        <v/>
      </c>
      <c r="T1471" s="66" t="str">
        <f>IFERROR(__xludf.DUMMYFUNCTION("IF(COUNTA(Q1471:Q1673)=0,"""",IF(REGEXMATCH(INDEX(FILTER(Q$4:Q1471,Q$4:Q1471&lt;&gt;""""),ROWS(FILTER(Q$4:Q1471,Q$4:Q1471&lt;&gt;""""))),""^Sell_""),INDEX(FILTER(T$4:T1470,Q$4:Q1470&lt;&gt;""""),ROWS(FILTER(Q$4:Q1470,Q$4:Q1470&lt;&gt;""""))),$AD$5+S1471))"),"")</f>
        <v/>
      </c>
      <c r="U1471" s="10" t="str">
        <f>IFERROR(__xludf.DUMMYFUNCTION("IF(COUNTA(Q1471:Q1673)=0,"""",IF(Q1471="""",0,IF(REGEXMATCH(Q1471,""^Sell_""),-ROUNDDOWN(ROUNDUP(INDEX(Upgrades!$C$3:$C$13,MATCH(SUBSTITUTE(Q1471,""Sell_"",""""),Upgrades!$B$3:$B$13,0))*1.15^(COUNTIF(Q$4:Q1470,SUBSTITUTE(Q1471,""Sell_"",""""))-COUNTIF(Q$4"&amp;":Q1470,""Sell_""&amp;SUBSTITUTE(Q1471,""Sell_"",""""))))/2),ROUNDUP(INDEX(Upgrades!$C$3:$C$13,MATCH(Q1471,Upgrades!$B$3:$B$13,0))*1.15^(COUNTIF(Q$4:Q1470,Q1471)-COUNTIF(Q$4:Q1470,""Sell_""&amp;Q1471))))))"),"")</f>
        <v/>
      </c>
      <c r="V1471" s="10" t="str">
        <f t="shared" si="11"/>
        <v/>
      </c>
      <c r="W1471" s="68" t="str">
        <f t="shared" si="12"/>
        <v/>
      </c>
      <c r="X1471" s="59" t="str">
        <f t="shared" si="13"/>
        <v/>
      </c>
      <c r="Y1471" s="69" t="str">
        <f t="shared" si="14"/>
        <v/>
      </c>
      <c r="Z1471" s="11"/>
    </row>
    <row r="1472">
      <c r="A1472" s="8"/>
      <c r="B1472" s="56" t="str">
        <f t="shared" si="2"/>
        <v/>
      </c>
      <c r="C1472" s="105"/>
      <c r="D1472" s="10"/>
      <c r="E1472" s="59" t="str">
        <f t="array" ref="E1472">IF(COUNTA(C1472:C1673)=0,"",SUM((COUNTIF(C$4:C1472,Upgrades!$B$3:$B$13)-COUNTIF(C$4:C1472,"Sell_"&amp;Upgrades!$B$3:$B$13))*Upgrades!$D$3:$D$13))</f>
        <v/>
      </c>
      <c r="F1472" s="66" t="str">
        <f>IFERROR(__xludf.DUMMYFUNCTION("IF(COUNTA(C1472:C1673)=0,"""",IF(REGEXMATCH(INDEX(FILTER(C$4:C1472,C$4:C1472&lt;&gt;""""),ROWS(FILTER(C$4:C1472,C$4:C1472&lt;&gt;""""))),""^Sell_""),INDEX(FILTER(F$4:F1471,C$4:C1471&lt;&gt;""""),ROWS(FILTER(C$4:C1471,C$4:C1471&lt;&gt;""""))),$AC$5+E1472))"),"")</f>
        <v/>
      </c>
      <c r="G1472" s="10" t="str">
        <f>IFERROR(__xludf.DUMMYFUNCTION("IF(COUNTA(C1472:C1673)=0,"""",IF(C1472="""",0,IF(REGEXMATCH(C1472,""^Sell_""),-ROUNDDOWN(ROUNDUP(INDEX(Upgrades!$C$3:$C$13,MATCH(SUBSTITUTE(C1472,""Sell_"",""""),Upgrades!$B$3:$B$13,0))*1.15^(COUNTIF(C$4:C1471,SUBSTITUTE(C1472,""Sell_"",""""))-COUNTIF(C$4"&amp;":C1471,""Sell_""&amp;SUBSTITUTE(C1472,""Sell_"",""""))))/2),ROUNDUP(INDEX(Upgrades!$C$3:$C$13,MATCH(C1472,Upgrades!$B$3:$B$13,0))*1.15^(COUNTIF(C$4:C1471,C1472)-COUNTIF(C$4:C1471,""Sell_""&amp;C1472))))))"),"")</f>
        <v/>
      </c>
      <c r="H1472" s="10" t="str">
        <f t="shared" si="3"/>
        <v/>
      </c>
      <c r="I1472" s="68" t="str">
        <f t="shared" si="4"/>
        <v/>
      </c>
      <c r="J1472" s="59" t="str">
        <f t="shared" si="5"/>
        <v/>
      </c>
      <c r="K1472" s="69" t="str">
        <f t="shared" si="6"/>
        <v/>
      </c>
      <c r="L1472" s="60" t="str">
        <f t="shared" si="7"/>
        <v/>
      </c>
      <c r="M1472" s="61" t="str">
        <f>IFERROR(__xludf.DUMMYFUNCTION("IFS(AND(COUNTA(C1472:C1673)=0,COUNTA(Q1472:Q1673)=0),"""",OR(AND(K1472&gt;=1000000000,OR(Y1472&gt;=1000000000,COUNTA(Q1472:Q1673)=0)),OR(Y1472&gt;=1000000000,AND(COUNTA(C1472:C1673)=0,P$3=TRUE))),
ROUNDDOWN((AB$1-AC$1)*MAX(INDEX(T$4:T1673,MATCH(LARGE(FILTER(Y$4:Y1"&amp;"673,Y$4:Y1673&lt;1000000000),1),Y$4:Y1673)),INDEX(F$4:F1673,MATCH(LARGE(FILTER(K$4:K1673,K$4:K1673&lt;1000000000),1),K$4:K1673)))),AND(K1472&lt;1000000000,COUNTA(C1472:C1673)&gt;0,P$3=FALSE),
ROUNDDOWN(INDEX(Y$4:Y1673,MATCH(LARGE(FILTER(W$4:W1673,W$4:W1673&lt;=I1472),1)"&amp;",W$4:W1673))+(I1472-LARGE(FILTER(W$4:W1673,W$4:W1673&lt;=I1472),1))*INDEX(T$4:T1673,MATCH(LARGE(FILTER(W$4:W1673,W$4:W1673&lt;=I1472),1),W$4:W1673))-K1472),1,
ROUNDDOWN(Y1472-INDEX(K$4:K1673,MATCH(LARGE(FILTER(I$4:I1673,I$4:I1673&lt;=W1472),1),I$4:I1673))-(W1472-L"&amp;"ARGE(FILTER(I$4:I1673,I$4:I1673&lt;=W1472),1))*INDEX(F$4:F1673,MATCH(LARGE(FILTER(I$4:I1673,I$4:I1673&lt;=W1472),1),I$4:I1673))))"),"")</f>
        <v/>
      </c>
      <c r="N1472" s="60" t="str">
        <f t="shared" si="8"/>
        <v/>
      </c>
      <c r="O1472" s="61" t="str">
        <f t="shared" si="9"/>
        <v/>
      </c>
      <c r="P1472" s="56" t="str">
        <f t="shared" si="10"/>
        <v/>
      </c>
      <c r="Q1472" s="67"/>
      <c r="R1472" s="10"/>
      <c r="S1472" s="59" t="str">
        <f t="array" ref="S1472">IF(COUNTA(Q1472:Q1673)=0,"",SUM((COUNTIF(Q$4:Q1472,Upgrades!$B$3:$B$13)-COUNTIF(Q$4:Q1472,"Sell_"&amp;Upgrades!$B$3:$B$13))*Upgrades!$D$3:$D$13))</f>
        <v/>
      </c>
      <c r="T1472" s="66" t="str">
        <f>IFERROR(__xludf.DUMMYFUNCTION("IF(COUNTA(Q1472:Q1673)=0,"""",IF(REGEXMATCH(INDEX(FILTER(Q$4:Q1472,Q$4:Q1472&lt;&gt;""""),ROWS(FILTER(Q$4:Q1472,Q$4:Q1472&lt;&gt;""""))),""^Sell_""),INDEX(FILTER(T$4:T1471,Q$4:Q1471&lt;&gt;""""),ROWS(FILTER(Q$4:Q1471,Q$4:Q1471&lt;&gt;""""))),$AD$5+S1472))"),"")</f>
        <v/>
      </c>
      <c r="U1472" s="10" t="str">
        <f>IFERROR(__xludf.DUMMYFUNCTION("IF(COUNTA(Q1472:Q1673)=0,"""",IF(Q1472="""",0,IF(REGEXMATCH(Q1472,""^Sell_""),-ROUNDDOWN(ROUNDUP(INDEX(Upgrades!$C$3:$C$13,MATCH(SUBSTITUTE(Q1472,""Sell_"",""""),Upgrades!$B$3:$B$13,0))*1.15^(COUNTIF(Q$4:Q1471,SUBSTITUTE(Q1472,""Sell_"",""""))-COUNTIF(Q$4"&amp;":Q1471,""Sell_""&amp;SUBSTITUTE(Q1472,""Sell_"",""""))))/2),ROUNDUP(INDEX(Upgrades!$C$3:$C$13,MATCH(Q1472,Upgrades!$B$3:$B$13,0))*1.15^(COUNTIF(Q$4:Q1471,Q1472)-COUNTIF(Q$4:Q1471,""Sell_""&amp;Q1472))))))"),"")</f>
        <v/>
      </c>
      <c r="V1472" s="10" t="str">
        <f t="shared" si="11"/>
        <v/>
      </c>
      <c r="W1472" s="68" t="str">
        <f t="shared" si="12"/>
        <v/>
      </c>
      <c r="X1472" s="59" t="str">
        <f t="shared" si="13"/>
        <v/>
      </c>
      <c r="Y1472" s="69" t="str">
        <f t="shared" si="14"/>
        <v/>
      </c>
      <c r="Z1472" s="11"/>
    </row>
    <row r="1473">
      <c r="A1473" s="8"/>
      <c r="B1473" s="56" t="str">
        <f t="shared" si="2"/>
        <v/>
      </c>
      <c r="C1473" s="105"/>
      <c r="D1473" s="10"/>
      <c r="E1473" s="59" t="str">
        <f t="array" ref="E1473">IF(COUNTA(C1473:C1673)=0,"",SUM((COUNTIF(C$4:C1473,Upgrades!$B$3:$B$13)-COUNTIF(C$4:C1473,"Sell_"&amp;Upgrades!$B$3:$B$13))*Upgrades!$D$3:$D$13))</f>
        <v/>
      </c>
      <c r="F1473" s="66" t="str">
        <f>IFERROR(__xludf.DUMMYFUNCTION("IF(COUNTA(C1473:C1673)=0,"""",IF(REGEXMATCH(INDEX(FILTER(C$4:C1473,C$4:C1473&lt;&gt;""""),ROWS(FILTER(C$4:C1473,C$4:C1473&lt;&gt;""""))),""^Sell_""),INDEX(FILTER(F$4:F1472,C$4:C1472&lt;&gt;""""),ROWS(FILTER(C$4:C1472,C$4:C1472&lt;&gt;""""))),$AC$5+E1473))"),"")</f>
        <v/>
      </c>
      <c r="G1473" s="10" t="str">
        <f>IFERROR(__xludf.DUMMYFUNCTION("IF(COUNTA(C1473:C1673)=0,"""",IF(C1473="""",0,IF(REGEXMATCH(C1473,""^Sell_""),-ROUNDDOWN(ROUNDUP(INDEX(Upgrades!$C$3:$C$13,MATCH(SUBSTITUTE(C1473,""Sell_"",""""),Upgrades!$B$3:$B$13,0))*1.15^(COUNTIF(C$4:C1472,SUBSTITUTE(C1473,""Sell_"",""""))-COUNTIF(C$4"&amp;":C1472,""Sell_""&amp;SUBSTITUTE(C1473,""Sell_"",""""))))/2),ROUNDUP(INDEX(Upgrades!$C$3:$C$13,MATCH(C1473,Upgrades!$B$3:$B$13,0))*1.15^(COUNTIF(C$4:C1472,C1473)-COUNTIF(C$4:C1472,""Sell_""&amp;C1473))))))"),"")</f>
        <v/>
      </c>
      <c r="H1473" s="10" t="str">
        <f t="shared" si="3"/>
        <v/>
      </c>
      <c r="I1473" s="68" t="str">
        <f t="shared" si="4"/>
        <v/>
      </c>
      <c r="J1473" s="59" t="str">
        <f t="shared" si="5"/>
        <v/>
      </c>
      <c r="K1473" s="69" t="str">
        <f t="shared" si="6"/>
        <v/>
      </c>
      <c r="L1473" s="60" t="str">
        <f t="shared" si="7"/>
        <v/>
      </c>
      <c r="M1473" s="61" t="str">
        <f>IFERROR(__xludf.DUMMYFUNCTION("IFS(AND(COUNTA(C1473:C1673)=0,COUNTA(Q1473:Q1673)=0),"""",OR(AND(K1473&gt;=1000000000,OR(Y1473&gt;=1000000000,COUNTA(Q1473:Q1673)=0)),OR(Y1473&gt;=1000000000,AND(COUNTA(C1473:C1673)=0,P$3=TRUE))),
ROUNDDOWN((AB$1-AC$1)*MAX(INDEX(T$4:T1673,MATCH(LARGE(FILTER(Y$4:Y1"&amp;"673,Y$4:Y1673&lt;1000000000),1),Y$4:Y1673)),INDEX(F$4:F1673,MATCH(LARGE(FILTER(K$4:K1673,K$4:K1673&lt;1000000000),1),K$4:K1673)))),AND(K1473&lt;1000000000,COUNTA(C1473:C1673)&gt;0,P$3=FALSE),
ROUNDDOWN(INDEX(Y$4:Y1673,MATCH(LARGE(FILTER(W$4:W1673,W$4:W1673&lt;=I1473),1)"&amp;",W$4:W1673))+(I1473-LARGE(FILTER(W$4:W1673,W$4:W1673&lt;=I1473),1))*INDEX(T$4:T1673,MATCH(LARGE(FILTER(W$4:W1673,W$4:W1673&lt;=I1473),1),W$4:W1673))-K1473),1,
ROUNDDOWN(Y1473-INDEX(K$4:K1673,MATCH(LARGE(FILTER(I$4:I1673,I$4:I1673&lt;=W1473),1),I$4:I1673))-(W1473-L"&amp;"ARGE(FILTER(I$4:I1673,I$4:I1673&lt;=W1473),1))*INDEX(F$4:F1673,MATCH(LARGE(FILTER(I$4:I1673,I$4:I1673&lt;=W1473),1),I$4:I1673))))"),"")</f>
        <v/>
      </c>
      <c r="N1473" s="60" t="str">
        <f t="shared" si="8"/>
        <v/>
      </c>
      <c r="O1473" s="61" t="str">
        <f t="shared" si="9"/>
        <v/>
      </c>
      <c r="P1473" s="56" t="str">
        <f t="shared" si="10"/>
        <v/>
      </c>
      <c r="Q1473" s="67"/>
      <c r="R1473" s="10"/>
      <c r="S1473" s="59" t="str">
        <f t="array" ref="S1473">IF(COUNTA(Q1473:Q1673)=0,"",SUM((COUNTIF(Q$4:Q1473,Upgrades!$B$3:$B$13)-COUNTIF(Q$4:Q1473,"Sell_"&amp;Upgrades!$B$3:$B$13))*Upgrades!$D$3:$D$13))</f>
        <v/>
      </c>
      <c r="T1473" s="66" t="str">
        <f>IFERROR(__xludf.DUMMYFUNCTION("IF(COUNTA(Q1473:Q1673)=0,"""",IF(REGEXMATCH(INDEX(FILTER(Q$4:Q1473,Q$4:Q1473&lt;&gt;""""),ROWS(FILTER(Q$4:Q1473,Q$4:Q1473&lt;&gt;""""))),""^Sell_""),INDEX(FILTER(T$4:T1472,Q$4:Q1472&lt;&gt;""""),ROWS(FILTER(Q$4:Q1472,Q$4:Q1472&lt;&gt;""""))),$AD$5+S1473))"),"")</f>
        <v/>
      </c>
      <c r="U1473" s="10" t="str">
        <f>IFERROR(__xludf.DUMMYFUNCTION("IF(COUNTA(Q1473:Q1673)=0,"""",IF(Q1473="""",0,IF(REGEXMATCH(Q1473,""^Sell_""),-ROUNDDOWN(ROUNDUP(INDEX(Upgrades!$C$3:$C$13,MATCH(SUBSTITUTE(Q1473,""Sell_"",""""),Upgrades!$B$3:$B$13,0))*1.15^(COUNTIF(Q$4:Q1472,SUBSTITUTE(Q1473,""Sell_"",""""))-COUNTIF(Q$4"&amp;":Q1472,""Sell_""&amp;SUBSTITUTE(Q1473,""Sell_"",""""))))/2),ROUNDUP(INDEX(Upgrades!$C$3:$C$13,MATCH(Q1473,Upgrades!$B$3:$B$13,0))*1.15^(COUNTIF(Q$4:Q1472,Q1473)-COUNTIF(Q$4:Q1472,""Sell_""&amp;Q1473))))))"),"")</f>
        <v/>
      </c>
      <c r="V1473" s="10" t="str">
        <f t="shared" si="11"/>
        <v/>
      </c>
      <c r="W1473" s="68" t="str">
        <f t="shared" si="12"/>
        <v/>
      </c>
      <c r="X1473" s="59" t="str">
        <f t="shared" si="13"/>
        <v/>
      </c>
      <c r="Y1473" s="69" t="str">
        <f t="shared" si="14"/>
        <v/>
      </c>
      <c r="Z1473" s="11"/>
    </row>
    <row r="1474">
      <c r="A1474" s="8"/>
      <c r="B1474" s="56" t="str">
        <f t="shared" si="2"/>
        <v/>
      </c>
      <c r="C1474" s="105"/>
      <c r="D1474" s="10"/>
      <c r="E1474" s="59" t="str">
        <f t="array" ref="E1474">IF(COUNTA(C1474:C1673)=0,"",SUM((COUNTIF(C$4:C1474,Upgrades!$B$3:$B$13)-COUNTIF(C$4:C1474,"Sell_"&amp;Upgrades!$B$3:$B$13))*Upgrades!$D$3:$D$13))</f>
        <v/>
      </c>
      <c r="F1474" s="66" t="str">
        <f>IFERROR(__xludf.DUMMYFUNCTION("IF(COUNTA(C1474:C1673)=0,"""",IF(REGEXMATCH(INDEX(FILTER(C$4:C1474,C$4:C1474&lt;&gt;""""),ROWS(FILTER(C$4:C1474,C$4:C1474&lt;&gt;""""))),""^Sell_""),INDEX(FILTER(F$4:F1473,C$4:C1473&lt;&gt;""""),ROWS(FILTER(C$4:C1473,C$4:C1473&lt;&gt;""""))),$AC$5+E1474))"),"")</f>
        <v/>
      </c>
      <c r="G1474" s="10" t="str">
        <f>IFERROR(__xludf.DUMMYFUNCTION("IF(COUNTA(C1474:C1673)=0,"""",IF(C1474="""",0,IF(REGEXMATCH(C1474,""^Sell_""),-ROUNDDOWN(ROUNDUP(INDEX(Upgrades!$C$3:$C$13,MATCH(SUBSTITUTE(C1474,""Sell_"",""""),Upgrades!$B$3:$B$13,0))*1.15^(COUNTIF(C$4:C1473,SUBSTITUTE(C1474,""Sell_"",""""))-COUNTIF(C$4"&amp;":C1473,""Sell_""&amp;SUBSTITUTE(C1474,""Sell_"",""""))))/2),ROUNDUP(INDEX(Upgrades!$C$3:$C$13,MATCH(C1474,Upgrades!$B$3:$B$13,0))*1.15^(COUNTIF(C$4:C1473,C1474)-COUNTIF(C$4:C1473,""Sell_""&amp;C1474))))))"),"")</f>
        <v/>
      </c>
      <c r="H1474" s="10" t="str">
        <f t="shared" si="3"/>
        <v/>
      </c>
      <c r="I1474" s="68" t="str">
        <f t="shared" si="4"/>
        <v/>
      </c>
      <c r="J1474" s="59" t="str">
        <f t="shared" si="5"/>
        <v/>
      </c>
      <c r="K1474" s="69" t="str">
        <f t="shared" si="6"/>
        <v/>
      </c>
      <c r="L1474" s="60" t="str">
        <f t="shared" si="7"/>
        <v/>
      </c>
      <c r="M1474" s="61" t="str">
        <f>IFERROR(__xludf.DUMMYFUNCTION("IFS(AND(COUNTA(C1474:C1673)=0,COUNTA(Q1474:Q1673)=0),"""",OR(AND(K1474&gt;=1000000000,OR(Y1474&gt;=1000000000,COUNTA(Q1474:Q1673)=0)),OR(Y1474&gt;=1000000000,AND(COUNTA(C1474:C1673)=0,P$3=TRUE))),
ROUNDDOWN((AB$1-AC$1)*MAX(INDEX(T$4:T1673,MATCH(LARGE(FILTER(Y$4:Y1"&amp;"673,Y$4:Y1673&lt;1000000000),1),Y$4:Y1673)),INDEX(F$4:F1673,MATCH(LARGE(FILTER(K$4:K1673,K$4:K1673&lt;1000000000),1),K$4:K1673)))),AND(K1474&lt;1000000000,COUNTA(C1474:C1673)&gt;0,P$3=FALSE),
ROUNDDOWN(INDEX(Y$4:Y1673,MATCH(LARGE(FILTER(W$4:W1673,W$4:W1673&lt;=I1474),1)"&amp;",W$4:W1673))+(I1474-LARGE(FILTER(W$4:W1673,W$4:W1673&lt;=I1474),1))*INDEX(T$4:T1673,MATCH(LARGE(FILTER(W$4:W1673,W$4:W1673&lt;=I1474),1),W$4:W1673))-K1474),1,
ROUNDDOWN(Y1474-INDEX(K$4:K1673,MATCH(LARGE(FILTER(I$4:I1673,I$4:I1673&lt;=W1474),1),I$4:I1673))-(W1474-L"&amp;"ARGE(FILTER(I$4:I1673,I$4:I1673&lt;=W1474),1))*INDEX(F$4:F1673,MATCH(LARGE(FILTER(I$4:I1673,I$4:I1673&lt;=W1474),1),I$4:I1673))))"),"")</f>
        <v/>
      </c>
      <c r="N1474" s="60" t="str">
        <f t="shared" si="8"/>
        <v/>
      </c>
      <c r="O1474" s="61" t="str">
        <f t="shared" si="9"/>
        <v/>
      </c>
      <c r="P1474" s="56" t="str">
        <f t="shared" si="10"/>
        <v/>
      </c>
      <c r="Q1474" s="67"/>
      <c r="R1474" s="10"/>
      <c r="S1474" s="59" t="str">
        <f t="array" ref="S1474">IF(COUNTA(Q1474:Q1673)=0,"",SUM((COUNTIF(Q$4:Q1474,Upgrades!$B$3:$B$13)-COUNTIF(Q$4:Q1474,"Sell_"&amp;Upgrades!$B$3:$B$13))*Upgrades!$D$3:$D$13))</f>
        <v/>
      </c>
      <c r="T1474" s="66" t="str">
        <f>IFERROR(__xludf.DUMMYFUNCTION("IF(COUNTA(Q1474:Q1673)=0,"""",IF(REGEXMATCH(INDEX(FILTER(Q$4:Q1474,Q$4:Q1474&lt;&gt;""""),ROWS(FILTER(Q$4:Q1474,Q$4:Q1474&lt;&gt;""""))),""^Sell_""),INDEX(FILTER(T$4:T1473,Q$4:Q1473&lt;&gt;""""),ROWS(FILTER(Q$4:Q1473,Q$4:Q1473&lt;&gt;""""))),$AD$5+S1474))"),"")</f>
        <v/>
      </c>
      <c r="U1474" s="10" t="str">
        <f>IFERROR(__xludf.DUMMYFUNCTION("IF(COUNTA(Q1474:Q1673)=0,"""",IF(Q1474="""",0,IF(REGEXMATCH(Q1474,""^Sell_""),-ROUNDDOWN(ROUNDUP(INDEX(Upgrades!$C$3:$C$13,MATCH(SUBSTITUTE(Q1474,""Sell_"",""""),Upgrades!$B$3:$B$13,0))*1.15^(COUNTIF(Q$4:Q1473,SUBSTITUTE(Q1474,""Sell_"",""""))-COUNTIF(Q$4"&amp;":Q1473,""Sell_""&amp;SUBSTITUTE(Q1474,""Sell_"",""""))))/2),ROUNDUP(INDEX(Upgrades!$C$3:$C$13,MATCH(Q1474,Upgrades!$B$3:$B$13,0))*1.15^(COUNTIF(Q$4:Q1473,Q1474)-COUNTIF(Q$4:Q1473,""Sell_""&amp;Q1474))))))"),"")</f>
        <v/>
      </c>
      <c r="V1474" s="10" t="str">
        <f t="shared" si="11"/>
        <v/>
      </c>
      <c r="W1474" s="68" t="str">
        <f t="shared" si="12"/>
        <v/>
      </c>
      <c r="X1474" s="59" t="str">
        <f t="shared" si="13"/>
        <v/>
      </c>
      <c r="Y1474" s="69" t="str">
        <f t="shared" si="14"/>
        <v/>
      </c>
      <c r="Z1474" s="11"/>
    </row>
    <row r="1475">
      <c r="A1475" s="8"/>
      <c r="B1475" s="56" t="str">
        <f t="shared" si="2"/>
        <v/>
      </c>
      <c r="C1475" s="105"/>
      <c r="D1475" s="10"/>
      <c r="E1475" s="59" t="str">
        <f t="array" ref="E1475">IF(COUNTA(C1475:C1673)=0,"",SUM((COUNTIF(C$4:C1475,Upgrades!$B$3:$B$13)-COUNTIF(C$4:C1475,"Sell_"&amp;Upgrades!$B$3:$B$13))*Upgrades!$D$3:$D$13))</f>
        <v/>
      </c>
      <c r="F1475" s="66" t="str">
        <f>IFERROR(__xludf.DUMMYFUNCTION("IF(COUNTA(C1475:C1673)=0,"""",IF(REGEXMATCH(INDEX(FILTER(C$4:C1475,C$4:C1475&lt;&gt;""""),ROWS(FILTER(C$4:C1475,C$4:C1475&lt;&gt;""""))),""^Sell_""),INDEX(FILTER(F$4:F1474,C$4:C1474&lt;&gt;""""),ROWS(FILTER(C$4:C1474,C$4:C1474&lt;&gt;""""))),$AC$5+E1475))"),"")</f>
        <v/>
      </c>
      <c r="G1475" s="10" t="str">
        <f>IFERROR(__xludf.DUMMYFUNCTION("IF(COUNTA(C1475:C1673)=0,"""",IF(C1475="""",0,IF(REGEXMATCH(C1475,""^Sell_""),-ROUNDDOWN(ROUNDUP(INDEX(Upgrades!$C$3:$C$13,MATCH(SUBSTITUTE(C1475,""Sell_"",""""),Upgrades!$B$3:$B$13,0))*1.15^(COUNTIF(C$4:C1474,SUBSTITUTE(C1475,""Sell_"",""""))-COUNTIF(C$4"&amp;":C1474,""Sell_""&amp;SUBSTITUTE(C1475,""Sell_"",""""))))/2),ROUNDUP(INDEX(Upgrades!$C$3:$C$13,MATCH(C1475,Upgrades!$B$3:$B$13,0))*1.15^(COUNTIF(C$4:C1474,C1475)-COUNTIF(C$4:C1474,""Sell_""&amp;C1475))))))"),"")</f>
        <v/>
      </c>
      <c r="H1475" s="10" t="str">
        <f t="shared" si="3"/>
        <v/>
      </c>
      <c r="I1475" s="68" t="str">
        <f t="shared" si="4"/>
        <v/>
      </c>
      <c r="J1475" s="59" t="str">
        <f t="shared" si="5"/>
        <v/>
      </c>
      <c r="K1475" s="69" t="str">
        <f t="shared" si="6"/>
        <v/>
      </c>
      <c r="L1475" s="60" t="str">
        <f t="shared" si="7"/>
        <v/>
      </c>
      <c r="M1475" s="61" t="str">
        <f>IFERROR(__xludf.DUMMYFUNCTION("IFS(AND(COUNTA(C1475:C1673)=0,COUNTA(Q1475:Q1673)=0),"""",OR(AND(K1475&gt;=1000000000,OR(Y1475&gt;=1000000000,COUNTA(Q1475:Q1673)=0)),OR(Y1475&gt;=1000000000,AND(COUNTA(C1475:C1673)=0,P$3=TRUE))),
ROUNDDOWN((AB$1-AC$1)*MAX(INDEX(T$4:T1673,MATCH(LARGE(FILTER(Y$4:Y1"&amp;"673,Y$4:Y1673&lt;1000000000),1),Y$4:Y1673)),INDEX(F$4:F1673,MATCH(LARGE(FILTER(K$4:K1673,K$4:K1673&lt;1000000000),1),K$4:K1673)))),AND(K1475&lt;1000000000,COUNTA(C1475:C1673)&gt;0,P$3=FALSE),
ROUNDDOWN(INDEX(Y$4:Y1673,MATCH(LARGE(FILTER(W$4:W1673,W$4:W1673&lt;=I1475),1)"&amp;",W$4:W1673))+(I1475-LARGE(FILTER(W$4:W1673,W$4:W1673&lt;=I1475),1))*INDEX(T$4:T1673,MATCH(LARGE(FILTER(W$4:W1673,W$4:W1673&lt;=I1475),1),W$4:W1673))-K1475),1,
ROUNDDOWN(Y1475-INDEX(K$4:K1673,MATCH(LARGE(FILTER(I$4:I1673,I$4:I1673&lt;=W1475),1),I$4:I1673))-(W1475-L"&amp;"ARGE(FILTER(I$4:I1673,I$4:I1673&lt;=W1475),1))*INDEX(F$4:F1673,MATCH(LARGE(FILTER(I$4:I1673,I$4:I1673&lt;=W1475),1),I$4:I1673))))"),"")</f>
        <v/>
      </c>
      <c r="N1475" s="60" t="str">
        <f t="shared" si="8"/>
        <v/>
      </c>
      <c r="O1475" s="61" t="str">
        <f t="shared" si="9"/>
        <v/>
      </c>
      <c r="P1475" s="56" t="str">
        <f t="shared" si="10"/>
        <v/>
      </c>
      <c r="Q1475" s="67"/>
      <c r="R1475" s="10"/>
      <c r="S1475" s="59" t="str">
        <f t="array" ref="S1475">IF(COUNTA(Q1475:Q1673)=0,"",SUM((COUNTIF(Q$4:Q1475,Upgrades!$B$3:$B$13)-COUNTIF(Q$4:Q1475,"Sell_"&amp;Upgrades!$B$3:$B$13))*Upgrades!$D$3:$D$13))</f>
        <v/>
      </c>
      <c r="T1475" s="66" t="str">
        <f>IFERROR(__xludf.DUMMYFUNCTION("IF(COUNTA(Q1475:Q1673)=0,"""",IF(REGEXMATCH(INDEX(FILTER(Q$4:Q1475,Q$4:Q1475&lt;&gt;""""),ROWS(FILTER(Q$4:Q1475,Q$4:Q1475&lt;&gt;""""))),""^Sell_""),INDEX(FILTER(T$4:T1474,Q$4:Q1474&lt;&gt;""""),ROWS(FILTER(Q$4:Q1474,Q$4:Q1474&lt;&gt;""""))),$AD$5+S1475))"),"")</f>
        <v/>
      </c>
      <c r="U1475" s="10" t="str">
        <f>IFERROR(__xludf.DUMMYFUNCTION("IF(COUNTA(Q1475:Q1673)=0,"""",IF(Q1475="""",0,IF(REGEXMATCH(Q1475,""^Sell_""),-ROUNDDOWN(ROUNDUP(INDEX(Upgrades!$C$3:$C$13,MATCH(SUBSTITUTE(Q1475,""Sell_"",""""),Upgrades!$B$3:$B$13,0))*1.15^(COUNTIF(Q$4:Q1474,SUBSTITUTE(Q1475,""Sell_"",""""))-COUNTIF(Q$4"&amp;":Q1474,""Sell_""&amp;SUBSTITUTE(Q1475,""Sell_"",""""))))/2),ROUNDUP(INDEX(Upgrades!$C$3:$C$13,MATCH(Q1475,Upgrades!$B$3:$B$13,0))*1.15^(COUNTIF(Q$4:Q1474,Q1475)-COUNTIF(Q$4:Q1474,""Sell_""&amp;Q1475))))))"),"")</f>
        <v/>
      </c>
      <c r="V1475" s="10" t="str">
        <f t="shared" si="11"/>
        <v/>
      </c>
      <c r="W1475" s="68" t="str">
        <f t="shared" si="12"/>
        <v/>
      </c>
      <c r="X1475" s="59" t="str">
        <f t="shared" si="13"/>
        <v/>
      </c>
      <c r="Y1475" s="69" t="str">
        <f t="shared" si="14"/>
        <v/>
      </c>
      <c r="Z1475" s="11"/>
    </row>
    <row r="1476">
      <c r="A1476" s="8"/>
      <c r="B1476" s="56" t="str">
        <f t="shared" si="2"/>
        <v/>
      </c>
      <c r="C1476" s="105"/>
      <c r="D1476" s="10"/>
      <c r="E1476" s="59" t="str">
        <f t="array" ref="E1476">IF(COUNTA(C1476:C1673)=0,"",SUM((COUNTIF(C$4:C1476,Upgrades!$B$3:$B$13)-COUNTIF(C$4:C1476,"Sell_"&amp;Upgrades!$B$3:$B$13))*Upgrades!$D$3:$D$13))</f>
        <v/>
      </c>
      <c r="F1476" s="66" t="str">
        <f>IFERROR(__xludf.DUMMYFUNCTION("IF(COUNTA(C1476:C1673)=0,"""",IF(REGEXMATCH(INDEX(FILTER(C$4:C1476,C$4:C1476&lt;&gt;""""),ROWS(FILTER(C$4:C1476,C$4:C1476&lt;&gt;""""))),""^Sell_""),INDEX(FILTER(F$4:F1475,C$4:C1475&lt;&gt;""""),ROWS(FILTER(C$4:C1475,C$4:C1475&lt;&gt;""""))),$AC$5+E1476))"),"")</f>
        <v/>
      </c>
      <c r="G1476" s="10" t="str">
        <f>IFERROR(__xludf.DUMMYFUNCTION("IF(COUNTA(C1476:C1673)=0,"""",IF(C1476="""",0,IF(REGEXMATCH(C1476,""^Sell_""),-ROUNDDOWN(ROUNDUP(INDEX(Upgrades!$C$3:$C$13,MATCH(SUBSTITUTE(C1476,""Sell_"",""""),Upgrades!$B$3:$B$13,0))*1.15^(COUNTIF(C$4:C1475,SUBSTITUTE(C1476,""Sell_"",""""))-COUNTIF(C$4"&amp;":C1475,""Sell_""&amp;SUBSTITUTE(C1476,""Sell_"",""""))))/2),ROUNDUP(INDEX(Upgrades!$C$3:$C$13,MATCH(C1476,Upgrades!$B$3:$B$13,0))*1.15^(COUNTIF(C$4:C1475,C1476)-COUNTIF(C$4:C1475,""Sell_""&amp;C1476))))))"),"")</f>
        <v/>
      </c>
      <c r="H1476" s="10" t="str">
        <f t="shared" si="3"/>
        <v/>
      </c>
      <c r="I1476" s="68" t="str">
        <f t="shared" si="4"/>
        <v/>
      </c>
      <c r="J1476" s="59" t="str">
        <f t="shared" si="5"/>
        <v/>
      </c>
      <c r="K1476" s="69" t="str">
        <f t="shared" si="6"/>
        <v/>
      </c>
      <c r="L1476" s="60" t="str">
        <f t="shared" si="7"/>
        <v/>
      </c>
      <c r="M1476" s="61" t="str">
        <f>IFERROR(__xludf.DUMMYFUNCTION("IFS(AND(COUNTA(C1476:C1673)=0,COUNTA(Q1476:Q1673)=0),"""",OR(AND(K1476&gt;=1000000000,OR(Y1476&gt;=1000000000,COUNTA(Q1476:Q1673)=0)),OR(Y1476&gt;=1000000000,AND(COUNTA(C1476:C1673)=0,P$3=TRUE))),
ROUNDDOWN((AB$1-AC$1)*MAX(INDEX(T$4:T1673,MATCH(LARGE(FILTER(Y$4:Y1"&amp;"673,Y$4:Y1673&lt;1000000000),1),Y$4:Y1673)),INDEX(F$4:F1673,MATCH(LARGE(FILTER(K$4:K1673,K$4:K1673&lt;1000000000),1),K$4:K1673)))),AND(K1476&lt;1000000000,COUNTA(C1476:C1673)&gt;0,P$3=FALSE),
ROUNDDOWN(INDEX(Y$4:Y1673,MATCH(LARGE(FILTER(W$4:W1673,W$4:W1673&lt;=I1476),1)"&amp;",W$4:W1673))+(I1476-LARGE(FILTER(W$4:W1673,W$4:W1673&lt;=I1476),1))*INDEX(T$4:T1673,MATCH(LARGE(FILTER(W$4:W1673,W$4:W1673&lt;=I1476),1),W$4:W1673))-K1476),1,
ROUNDDOWN(Y1476-INDEX(K$4:K1673,MATCH(LARGE(FILTER(I$4:I1673,I$4:I1673&lt;=W1476),1),I$4:I1673))-(W1476-L"&amp;"ARGE(FILTER(I$4:I1673,I$4:I1673&lt;=W1476),1))*INDEX(F$4:F1673,MATCH(LARGE(FILTER(I$4:I1673,I$4:I1673&lt;=W1476),1),I$4:I1673))))"),"")</f>
        <v/>
      </c>
      <c r="N1476" s="60" t="str">
        <f t="shared" si="8"/>
        <v/>
      </c>
      <c r="O1476" s="61" t="str">
        <f t="shared" si="9"/>
        <v/>
      </c>
      <c r="P1476" s="56" t="str">
        <f t="shared" si="10"/>
        <v/>
      </c>
      <c r="Q1476" s="67"/>
      <c r="R1476" s="10"/>
      <c r="S1476" s="59" t="str">
        <f t="array" ref="S1476">IF(COUNTA(Q1476:Q1673)=0,"",SUM((COUNTIF(Q$4:Q1476,Upgrades!$B$3:$B$13)-COUNTIF(Q$4:Q1476,"Sell_"&amp;Upgrades!$B$3:$B$13))*Upgrades!$D$3:$D$13))</f>
        <v/>
      </c>
      <c r="T1476" s="66" t="str">
        <f>IFERROR(__xludf.DUMMYFUNCTION("IF(COUNTA(Q1476:Q1673)=0,"""",IF(REGEXMATCH(INDEX(FILTER(Q$4:Q1476,Q$4:Q1476&lt;&gt;""""),ROWS(FILTER(Q$4:Q1476,Q$4:Q1476&lt;&gt;""""))),""^Sell_""),INDEX(FILTER(T$4:T1475,Q$4:Q1475&lt;&gt;""""),ROWS(FILTER(Q$4:Q1475,Q$4:Q1475&lt;&gt;""""))),$AD$5+S1476))"),"")</f>
        <v/>
      </c>
      <c r="U1476" s="10" t="str">
        <f>IFERROR(__xludf.DUMMYFUNCTION("IF(COUNTA(Q1476:Q1673)=0,"""",IF(Q1476="""",0,IF(REGEXMATCH(Q1476,""^Sell_""),-ROUNDDOWN(ROUNDUP(INDEX(Upgrades!$C$3:$C$13,MATCH(SUBSTITUTE(Q1476,""Sell_"",""""),Upgrades!$B$3:$B$13,0))*1.15^(COUNTIF(Q$4:Q1475,SUBSTITUTE(Q1476,""Sell_"",""""))-COUNTIF(Q$4"&amp;":Q1475,""Sell_""&amp;SUBSTITUTE(Q1476,""Sell_"",""""))))/2),ROUNDUP(INDEX(Upgrades!$C$3:$C$13,MATCH(Q1476,Upgrades!$B$3:$B$13,0))*1.15^(COUNTIF(Q$4:Q1475,Q1476)-COUNTIF(Q$4:Q1475,""Sell_""&amp;Q1476))))))"),"")</f>
        <v/>
      </c>
      <c r="V1476" s="10" t="str">
        <f t="shared" si="11"/>
        <v/>
      </c>
      <c r="W1476" s="68" t="str">
        <f t="shared" si="12"/>
        <v/>
      </c>
      <c r="X1476" s="59" t="str">
        <f t="shared" si="13"/>
        <v/>
      </c>
      <c r="Y1476" s="69" t="str">
        <f t="shared" si="14"/>
        <v/>
      </c>
      <c r="Z1476" s="11"/>
    </row>
    <row r="1477">
      <c r="A1477" s="8"/>
      <c r="B1477" s="56" t="str">
        <f t="shared" si="2"/>
        <v/>
      </c>
      <c r="C1477" s="105"/>
      <c r="D1477" s="10"/>
      <c r="E1477" s="59" t="str">
        <f t="array" ref="E1477">IF(COUNTA(C1477:C1673)=0,"",SUM((COUNTIF(C$4:C1477,Upgrades!$B$3:$B$13)-COUNTIF(C$4:C1477,"Sell_"&amp;Upgrades!$B$3:$B$13))*Upgrades!$D$3:$D$13))</f>
        <v/>
      </c>
      <c r="F1477" s="66" t="str">
        <f>IFERROR(__xludf.DUMMYFUNCTION("IF(COUNTA(C1477:C1673)=0,"""",IF(REGEXMATCH(INDEX(FILTER(C$4:C1477,C$4:C1477&lt;&gt;""""),ROWS(FILTER(C$4:C1477,C$4:C1477&lt;&gt;""""))),""^Sell_""),INDEX(FILTER(F$4:F1476,C$4:C1476&lt;&gt;""""),ROWS(FILTER(C$4:C1476,C$4:C1476&lt;&gt;""""))),$AC$5+E1477))"),"")</f>
        <v/>
      </c>
      <c r="G1477" s="10" t="str">
        <f>IFERROR(__xludf.DUMMYFUNCTION("IF(COUNTA(C1477:C1673)=0,"""",IF(C1477="""",0,IF(REGEXMATCH(C1477,""^Sell_""),-ROUNDDOWN(ROUNDUP(INDEX(Upgrades!$C$3:$C$13,MATCH(SUBSTITUTE(C1477,""Sell_"",""""),Upgrades!$B$3:$B$13,0))*1.15^(COUNTIF(C$4:C1476,SUBSTITUTE(C1477,""Sell_"",""""))-COUNTIF(C$4"&amp;":C1476,""Sell_""&amp;SUBSTITUTE(C1477,""Sell_"",""""))))/2),ROUNDUP(INDEX(Upgrades!$C$3:$C$13,MATCH(C1477,Upgrades!$B$3:$B$13,0))*1.15^(COUNTIF(C$4:C1476,C1477)-COUNTIF(C$4:C1476,""Sell_""&amp;C1477))))))"),"")</f>
        <v/>
      </c>
      <c r="H1477" s="10" t="str">
        <f t="shared" si="3"/>
        <v/>
      </c>
      <c r="I1477" s="68" t="str">
        <f t="shared" si="4"/>
        <v/>
      </c>
      <c r="J1477" s="59" t="str">
        <f t="shared" si="5"/>
        <v/>
      </c>
      <c r="K1477" s="69" t="str">
        <f t="shared" si="6"/>
        <v/>
      </c>
      <c r="L1477" s="60" t="str">
        <f t="shared" si="7"/>
        <v/>
      </c>
      <c r="M1477" s="61" t="str">
        <f>IFERROR(__xludf.DUMMYFUNCTION("IFS(AND(COUNTA(C1477:C1673)=0,COUNTA(Q1477:Q1673)=0),"""",OR(AND(K1477&gt;=1000000000,OR(Y1477&gt;=1000000000,COUNTA(Q1477:Q1673)=0)),OR(Y1477&gt;=1000000000,AND(COUNTA(C1477:C1673)=0,P$3=TRUE))),
ROUNDDOWN((AB$1-AC$1)*MAX(INDEX(T$4:T1673,MATCH(LARGE(FILTER(Y$4:Y1"&amp;"673,Y$4:Y1673&lt;1000000000),1),Y$4:Y1673)),INDEX(F$4:F1673,MATCH(LARGE(FILTER(K$4:K1673,K$4:K1673&lt;1000000000),1),K$4:K1673)))),AND(K1477&lt;1000000000,COUNTA(C1477:C1673)&gt;0,P$3=FALSE),
ROUNDDOWN(INDEX(Y$4:Y1673,MATCH(LARGE(FILTER(W$4:W1673,W$4:W1673&lt;=I1477),1)"&amp;",W$4:W1673))+(I1477-LARGE(FILTER(W$4:W1673,W$4:W1673&lt;=I1477),1))*INDEX(T$4:T1673,MATCH(LARGE(FILTER(W$4:W1673,W$4:W1673&lt;=I1477),1),W$4:W1673))-K1477),1,
ROUNDDOWN(Y1477-INDEX(K$4:K1673,MATCH(LARGE(FILTER(I$4:I1673,I$4:I1673&lt;=W1477),1),I$4:I1673))-(W1477-L"&amp;"ARGE(FILTER(I$4:I1673,I$4:I1673&lt;=W1477),1))*INDEX(F$4:F1673,MATCH(LARGE(FILTER(I$4:I1673,I$4:I1673&lt;=W1477),1),I$4:I1673))))"),"")</f>
        <v/>
      </c>
      <c r="N1477" s="60" t="str">
        <f t="shared" si="8"/>
        <v/>
      </c>
      <c r="O1477" s="61" t="str">
        <f t="shared" si="9"/>
        <v/>
      </c>
      <c r="P1477" s="56" t="str">
        <f t="shared" si="10"/>
        <v/>
      </c>
      <c r="Q1477" s="67"/>
      <c r="R1477" s="10"/>
      <c r="S1477" s="59" t="str">
        <f t="array" ref="S1477">IF(COUNTA(Q1477:Q1673)=0,"",SUM((COUNTIF(Q$4:Q1477,Upgrades!$B$3:$B$13)-COUNTIF(Q$4:Q1477,"Sell_"&amp;Upgrades!$B$3:$B$13))*Upgrades!$D$3:$D$13))</f>
        <v/>
      </c>
      <c r="T1477" s="66" t="str">
        <f>IFERROR(__xludf.DUMMYFUNCTION("IF(COUNTA(Q1477:Q1673)=0,"""",IF(REGEXMATCH(INDEX(FILTER(Q$4:Q1477,Q$4:Q1477&lt;&gt;""""),ROWS(FILTER(Q$4:Q1477,Q$4:Q1477&lt;&gt;""""))),""^Sell_""),INDEX(FILTER(T$4:T1476,Q$4:Q1476&lt;&gt;""""),ROWS(FILTER(Q$4:Q1476,Q$4:Q1476&lt;&gt;""""))),$AD$5+S1477))"),"")</f>
        <v/>
      </c>
      <c r="U1477" s="10" t="str">
        <f>IFERROR(__xludf.DUMMYFUNCTION("IF(COUNTA(Q1477:Q1673)=0,"""",IF(Q1477="""",0,IF(REGEXMATCH(Q1477,""^Sell_""),-ROUNDDOWN(ROUNDUP(INDEX(Upgrades!$C$3:$C$13,MATCH(SUBSTITUTE(Q1477,""Sell_"",""""),Upgrades!$B$3:$B$13,0))*1.15^(COUNTIF(Q$4:Q1476,SUBSTITUTE(Q1477,""Sell_"",""""))-COUNTIF(Q$4"&amp;":Q1476,""Sell_""&amp;SUBSTITUTE(Q1477,""Sell_"",""""))))/2),ROUNDUP(INDEX(Upgrades!$C$3:$C$13,MATCH(Q1477,Upgrades!$B$3:$B$13,0))*1.15^(COUNTIF(Q$4:Q1476,Q1477)-COUNTIF(Q$4:Q1476,""Sell_""&amp;Q1477))))))"),"")</f>
        <v/>
      </c>
      <c r="V1477" s="10" t="str">
        <f t="shared" si="11"/>
        <v/>
      </c>
      <c r="W1477" s="68" t="str">
        <f t="shared" si="12"/>
        <v/>
      </c>
      <c r="X1477" s="59" t="str">
        <f t="shared" si="13"/>
        <v/>
      </c>
      <c r="Y1477" s="69" t="str">
        <f t="shared" si="14"/>
        <v/>
      </c>
      <c r="Z1477" s="11"/>
    </row>
    <row r="1478">
      <c r="A1478" s="8"/>
      <c r="B1478" s="56" t="str">
        <f t="shared" si="2"/>
        <v/>
      </c>
      <c r="C1478" s="105"/>
      <c r="D1478" s="10"/>
      <c r="E1478" s="59" t="str">
        <f t="array" ref="E1478">IF(COUNTA(C1478:C1673)=0,"",SUM((COUNTIF(C$4:C1478,Upgrades!$B$3:$B$13)-COUNTIF(C$4:C1478,"Sell_"&amp;Upgrades!$B$3:$B$13))*Upgrades!$D$3:$D$13))</f>
        <v/>
      </c>
      <c r="F1478" s="66" t="str">
        <f>IFERROR(__xludf.DUMMYFUNCTION("IF(COUNTA(C1478:C1673)=0,"""",IF(REGEXMATCH(INDEX(FILTER(C$4:C1478,C$4:C1478&lt;&gt;""""),ROWS(FILTER(C$4:C1478,C$4:C1478&lt;&gt;""""))),""^Sell_""),INDEX(FILTER(F$4:F1477,C$4:C1477&lt;&gt;""""),ROWS(FILTER(C$4:C1477,C$4:C1477&lt;&gt;""""))),$AC$5+E1478))"),"")</f>
        <v/>
      </c>
      <c r="G1478" s="10" t="str">
        <f>IFERROR(__xludf.DUMMYFUNCTION("IF(COUNTA(C1478:C1673)=0,"""",IF(C1478="""",0,IF(REGEXMATCH(C1478,""^Sell_""),-ROUNDDOWN(ROUNDUP(INDEX(Upgrades!$C$3:$C$13,MATCH(SUBSTITUTE(C1478,""Sell_"",""""),Upgrades!$B$3:$B$13,0))*1.15^(COUNTIF(C$4:C1477,SUBSTITUTE(C1478,""Sell_"",""""))-COUNTIF(C$4"&amp;":C1477,""Sell_""&amp;SUBSTITUTE(C1478,""Sell_"",""""))))/2),ROUNDUP(INDEX(Upgrades!$C$3:$C$13,MATCH(C1478,Upgrades!$B$3:$B$13,0))*1.15^(COUNTIF(C$4:C1477,C1478)-COUNTIF(C$4:C1477,""Sell_""&amp;C1478))))))"),"")</f>
        <v/>
      </c>
      <c r="H1478" s="10" t="str">
        <f t="shared" si="3"/>
        <v/>
      </c>
      <c r="I1478" s="68" t="str">
        <f t="shared" si="4"/>
        <v/>
      </c>
      <c r="J1478" s="59" t="str">
        <f t="shared" si="5"/>
        <v/>
      </c>
      <c r="K1478" s="69" t="str">
        <f t="shared" si="6"/>
        <v/>
      </c>
      <c r="L1478" s="60" t="str">
        <f t="shared" si="7"/>
        <v/>
      </c>
      <c r="M1478" s="61" t="str">
        <f>IFERROR(__xludf.DUMMYFUNCTION("IFS(AND(COUNTA(C1478:C1673)=0,COUNTA(Q1478:Q1673)=0),"""",OR(AND(K1478&gt;=1000000000,OR(Y1478&gt;=1000000000,COUNTA(Q1478:Q1673)=0)),OR(Y1478&gt;=1000000000,AND(COUNTA(C1478:C1673)=0,P$3=TRUE))),
ROUNDDOWN((AB$1-AC$1)*MAX(INDEX(T$4:T1673,MATCH(LARGE(FILTER(Y$4:Y1"&amp;"673,Y$4:Y1673&lt;1000000000),1),Y$4:Y1673)),INDEX(F$4:F1673,MATCH(LARGE(FILTER(K$4:K1673,K$4:K1673&lt;1000000000),1),K$4:K1673)))),AND(K1478&lt;1000000000,COUNTA(C1478:C1673)&gt;0,P$3=FALSE),
ROUNDDOWN(INDEX(Y$4:Y1673,MATCH(LARGE(FILTER(W$4:W1673,W$4:W1673&lt;=I1478),1)"&amp;",W$4:W1673))+(I1478-LARGE(FILTER(W$4:W1673,W$4:W1673&lt;=I1478),1))*INDEX(T$4:T1673,MATCH(LARGE(FILTER(W$4:W1673,W$4:W1673&lt;=I1478),1),W$4:W1673))-K1478),1,
ROUNDDOWN(Y1478-INDEX(K$4:K1673,MATCH(LARGE(FILTER(I$4:I1673,I$4:I1673&lt;=W1478),1),I$4:I1673))-(W1478-L"&amp;"ARGE(FILTER(I$4:I1673,I$4:I1673&lt;=W1478),1))*INDEX(F$4:F1673,MATCH(LARGE(FILTER(I$4:I1673,I$4:I1673&lt;=W1478),1),I$4:I1673))))"),"")</f>
        <v/>
      </c>
      <c r="N1478" s="60" t="str">
        <f t="shared" si="8"/>
        <v/>
      </c>
      <c r="O1478" s="61" t="str">
        <f t="shared" si="9"/>
        <v/>
      </c>
      <c r="P1478" s="56" t="str">
        <f t="shared" si="10"/>
        <v/>
      </c>
      <c r="Q1478" s="67"/>
      <c r="R1478" s="10"/>
      <c r="S1478" s="59" t="str">
        <f t="array" ref="S1478">IF(COUNTA(Q1478:Q1673)=0,"",SUM((COUNTIF(Q$4:Q1478,Upgrades!$B$3:$B$13)-COUNTIF(Q$4:Q1478,"Sell_"&amp;Upgrades!$B$3:$B$13))*Upgrades!$D$3:$D$13))</f>
        <v/>
      </c>
      <c r="T1478" s="66" t="str">
        <f>IFERROR(__xludf.DUMMYFUNCTION("IF(COUNTA(Q1478:Q1673)=0,"""",IF(REGEXMATCH(INDEX(FILTER(Q$4:Q1478,Q$4:Q1478&lt;&gt;""""),ROWS(FILTER(Q$4:Q1478,Q$4:Q1478&lt;&gt;""""))),""^Sell_""),INDEX(FILTER(T$4:T1477,Q$4:Q1477&lt;&gt;""""),ROWS(FILTER(Q$4:Q1477,Q$4:Q1477&lt;&gt;""""))),$AD$5+S1478))"),"")</f>
        <v/>
      </c>
      <c r="U1478" s="10" t="str">
        <f>IFERROR(__xludf.DUMMYFUNCTION("IF(COUNTA(Q1478:Q1673)=0,"""",IF(Q1478="""",0,IF(REGEXMATCH(Q1478,""^Sell_""),-ROUNDDOWN(ROUNDUP(INDEX(Upgrades!$C$3:$C$13,MATCH(SUBSTITUTE(Q1478,""Sell_"",""""),Upgrades!$B$3:$B$13,0))*1.15^(COUNTIF(Q$4:Q1477,SUBSTITUTE(Q1478,""Sell_"",""""))-COUNTIF(Q$4"&amp;":Q1477,""Sell_""&amp;SUBSTITUTE(Q1478,""Sell_"",""""))))/2),ROUNDUP(INDEX(Upgrades!$C$3:$C$13,MATCH(Q1478,Upgrades!$B$3:$B$13,0))*1.15^(COUNTIF(Q$4:Q1477,Q1478)-COUNTIF(Q$4:Q1477,""Sell_""&amp;Q1478))))))"),"")</f>
        <v/>
      </c>
      <c r="V1478" s="10" t="str">
        <f t="shared" si="11"/>
        <v/>
      </c>
      <c r="W1478" s="68" t="str">
        <f t="shared" si="12"/>
        <v/>
      </c>
      <c r="X1478" s="59" t="str">
        <f t="shared" si="13"/>
        <v/>
      </c>
      <c r="Y1478" s="69" t="str">
        <f t="shared" si="14"/>
        <v/>
      </c>
      <c r="Z1478" s="11"/>
    </row>
    <row r="1479">
      <c r="A1479" s="8"/>
      <c r="B1479" s="56" t="str">
        <f t="shared" si="2"/>
        <v/>
      </c>
      <c r="C1479" s="105"/>
      <c r="D1479" s="10"/>
      <c r="E1479" s="59" t="str">
        <f t="array" ref="E1479">IF(COUNTA(C1479:C1673)=0,"",SUM((COUNTIF(C$4:C1479,Upgrades!$B$3:$B$13)-COUNTIF(C$4:C1479,"Sell_"&amp;Upgrades!$B$3:$B$13))*Upgrades!$D$3:$D$13))</f>
        <v/>
      </c>
      <c r="F1479" s="66" t="str">
        <f>IFERROR(__xludf.DUMMYFUNCTION("IF(COUNTA(C1479:C1673)=0,"""",IF(REGEXMATCH(INDEX(FILTER(C$4:C1479,C$4:C1479&lt;&gt;""""),ROWS(FILTER(C$4:C1479,C$4:C1479&lt;&gt;""""))),""^Sell_""),INDEX(FILTER(F$4:F1478,C$4:C1478&lt;&gt;""""),ROWS(FILTER(C$4:C1478,C$4:C1478&lt;&gt;""""))),$AC$5+E1479))"),"")</f>
        <v/>
      </c>
      <c r="G1479" s="10" t="str">
        <f>IFERROR(__xludf.DUMMYFUNCTION("IF(COUNTA(C1479:C1673)=0,"""",IF(C1479="""",0,IF(REGEXMATCH(C1479,""^Sell_""),-ROUNDDOWN(ROUNDUP(INDEX(Upgrades!$C$3:$C$13,MATCH(SUBSTITUTE(C1479,""Sell_"",""""),Upgrades!$B$3:$B$13,0))*1.15^(COUNTIF(C$4:C1478,SUBSTITUTE(C1479,""Sell_"",""""))-COUNTIF(C$4"&amp;":C1478,""Sell_""&amp;SUBSTITUTE(C1479,""Sell_"",""""))))/2),ROUNDUP(INDEX(Upgrades!$C$3:$C$13,MATCH(C1479,Upgrades!$B$3:$B$13,0))*1.15^(COUNTIF(C$4:C1478,C1479)-COUNTIF(C$4:C1478,""Sell_""&amp;C1479))))))"),"")</f>
        <v/>
      </c>
      <c r="H1479" s="10" t="str">
        <f t="shared" si="3"/>
        <v/>
      </c>
      <c r="I1479" s="68" t="str">
        <f t="shared" si="4"/>
        <v/>
      </c>
      <c r="J1479" s="59" t="str">
        <f t="shared" si="5"/>
        <v/>
      </c>
      <c r="K1479" s="69" t="str">
        <f t="shared" si="6"/>
        <v/>
      </c>
      <c r="L1479" s="60" t="str">
        <f t="shared" si="7"/>
        <v/>
      </c>
      <c r="M1479" s="61" t="str">
        <f>IFERROR(__xludf.DUMMYFUNCTION("IFS(AND(COUNTA(C1479:C1673)=0,COUNTA(Q1479:Q1673)=0),"""",OR(AND(K1479&gt;=1000000000,OR(Y1479&gt;=1000000000,COUNTA(Q1479:Q1673)=0)),OR(Y1479&gt;=1000000000,AND(COUNTA(C1479:C1673)=0,P$3=TRUE))),
ROUNDDOWN((AB$1-AC$1)*MAX(INDEX(T$4:T1673,MATCH(LARGE(FILTER(Y$4:Y1"&amp;"673,Y$4:Y1673&lt;1000000000),1),Y$4:Y1673)),INDEX(F$4:F1673,MATCH(LARGE(FILTER(K$4:K1673,K$4:K1673&lt;1000000000),1),K$4:K1673)))),AND(K1479&lt;1000000000,COUNTA(C1479:C1673)&gt;0,P$3=FALSE),
ROUNDDOWN(INDEX(Y$4:Y1673,MATCH(LARGE(FILTER(W$4:W1673,W$4:W1673&lt;=I1479),1)"&amp;",W$4:W1673))+(I1479-LARGE(FILTER(W$4:W1673,W$4:W1673&lt;=I1479),1))*INDEX(T$4:T1673,MATCH(LARGE(FILTER(W$4:W1673,W$4:W1673&lt;=I1479),1),W$4:W1673))-K1479),1,
ROUNDDOWN(Y1479-INDEX(K$4:K1673,MATCH(LARGE(FILTER(I$4:I1673,I$4:I1673&lt;=W1479),1),I$4:I1673))-(W1479-L"&amp;"ARGE(FILTER(I$4:I1673,I$4:I1673&lt;=W1479),1))*INDEX(F$4:F1673,MATCH(LARGE(FILTER(I$4:I1673,I$4:I1673&lt;=W1479),1),I$4:I1673))))"),"")</f>
        <v/>
      </c>
      <c r="N1479" s="60" t="str">
        <f t="shared" si="8"/>
        <v/>
      </c>
      <c r="O1479" s="61" t="str">
        <f t="shared" si="9"/>
        <v/>
      </c>
      <c r="P1479" s="56" t="str">
        <f t="shared" si="10"/>
        <v/>
      </c>
      <c r="Q1479" s="67"/>
      <c r="R1479" s="10"/>
      <c r="S1479" s="59" t="str">
        <f t="array" ref="S1479">IF(COUNTA(Q1479:Q1673)=0,"",SUM((COUNTIF(Q$4:Q1479,Upgrades!$B$3:$B$13)-COUNTIF(Q$4:Q1479,"Sell_"&amp;Upgrades!$B$3:$B$13))*Upgrades!$D$3:$D$13))</f>
        <v/>
      </c>
      <c r="T1479" s="66" t="str">
        <f>IFERROR(__xludf.DUMMYFUNCTION("IF(COUNTA(Q1479:Q1673)=0,"""",IF(REGEXMATCH(INDEX(FILTER(Q$4:Q1479,Q$4:Q1479&lt;&gt;""""),ROWS(FILTER(Q$4:Q1479,Q$4:Q1479&lt;&gt;""""))),""^Sell_""),INDEX(FILTER(T$4:T1478,Q$4:Q1478&lt;&gt;""""),ROWS(FILTER(Q$4:Q1478,Q$4:Q1478&lt;&gt;""""))),$AD$5+S1479))"),"")</f>
        <v/>
      </c>
      <c r="U1479" s="10" t="str">
        <f>IFERROR(__xludf.DUMMYFUNCTION("IF(COUNTA(Q1479:Q1673)=0,"""",IF(Q1479="""",0,IF(REGEXMATCH(Q1479,""^Sell_""),-ROUNDDOWN(ROUNDUP(INDEX(Upgrades!$C$3:$C$13,MATCH(SUBSTITUTE(Q1479,""Sell_"",""""),Upgrades!$B$3:$B$13,0))*1.15^(COUNTIF(Q$4:Q1478,SUBSTITUTE(Q1479,""Sell_"",""""))-COUNTIF(Q$4"&amp;":Q1478,""Sell_""&amp;SUBSTITUTE(Q1479,""Sell_"",""""))))/2),ROUNDUP(INDEX(Upgrades!$C$3:$C$13,MATCH(Q1479,Upgrades!$B$3:$B$13,0))*1.15^(COUNTIF(Q$4:Q1478,Q1479)-COUNTIF(Q$4:Q1478,""Sell_""&amp;Q1479))))))"),"")</f>
        <v/>
      </c>
      <c r="V1479" s="10" t="str">
        <f t="shared" si="11"/>
        <v/>
      </c>
      <c r="W1479" s="68" t="str">
        <f t="shared" si="12"/>
        <v/>
      </c>
      <c r="X1479" s="59" t="str">
        <f t="shared" si="13"/>
        <v/>
      </c>
      <c r="Y1479" s="69" t="str">
        <f t="shared" si="14"/>
        <v/>
      </c>
      <c r="Z1479" s="11"/>
    </row>
    <row r="1480">
      <c r="A1480" s="8"/>
      <c r="B1480" s="56" t="str">
        <f t="shared" si="2"/>
        <v/>
      </c>
      <c r="C1480" s="105"/>
      <c r="D1480" s="10"/>
      <c r="E1480" s="59" t="str">
        <f t="array" ref="E1480">IF(COUNTA(C1480:C1673)=0,"",SUM((COUNTIF(C$4:C1480,Upgrades!$B$3:$B$13)-COUNTIF(C$4:C1480,"Sell_"&amp;Upgrades!$B$3:$B$13))*Upgrades!$D$3:$D$13))</f>
        <v/>
      </c>
      <c r="F1480" s="66" t="str">
        <f>IFERROR(__xludf.DUMMYFUNCTION("IF(COUNTA(C1480:C1673)=0,"""",IF(REGEXMATCH(INDEX(FILTER(C$4:C1480,C$4:C1480&lt;&gt;""""),ROWS(FILTER(C$4:C1480,C$4:C1480&lt;&gt;""""))),""^Sell_""),INDEX(FILTER(F$4:F1479,C$4:C1479&lt;&gt;""""),ROWS(FILTER(C$4:C1479,C$4:C1479&lt;&gt;""""))),$AC$5+E1480))"),"")</f>
        <v/>
      </c>
      <c r="G1480" s="10" t="str">
        <f>IFERROR(__xludf.DUMMYFUNCTION("IF(COUNTA(C1480:C1673)=0,"""",IF(C1480="""",0,IF(REGEXMATCH(C1480,""^Sell_""),-ROUNDDOWN(ROUNDUP(INDEX(Upgrades!$C$3:$C$13,MATCH(SUBSTITUTE(C1480,""Sell_"",""""),Upgrades!$B$3:$B$13,0))*1.15^(COUNTIF(C$4:C1479,SUBSTITUTE(C1480,""Sell_"",""""))-COUNTIF(C$4"&amp;":C1479,""Sell_""&amp;SUBSTITUTE(C1480,""Sell_"",""""))))/2),ROUNDUP(INDEX(Upgrades!$C$3:$C$13,MATCH(C1480,Upgrades!$B$3:$B$13,0))*1.15^(COUNTIF(C$4:C1479,C1480)-COUNTIF(C$4:C1479,""Sell_""&amp;C1480))))))"),"")</f>
        <v/>
      </c>
      <c r="H1480" s="10" t="str">
        <f t="shared" si="3"/>
        <v/>
      </c>
      <c r="I1480" s="68" t="str">
        <f t="shared" si="4"/>
        <v/>
      </c>
      <c r="J1480" s="59" t="str">
        <f t="shared" si="5"/>
        <v/>
      </c>
      <c r="K1480" s="69" t="str">
        <f t="shared" si="6"/>
        <v/>
      </c>
      <c r="L1480" s="60" t="str">
        <f t="shared" si="7"/>
        <v/>
      </c>
      <c r="M1480" s="61" t="str">
        <f>IFERROR(__xludf.DUMMYFUNCTION("IFS(AND(COUNTA(C1480:C1673)=0,COUNTA(Q1480:Q1673)=0),"""",OR(AND(K1480&gt;=1000000000,OR(Y1480&gt;=1000000000,COUNTA(Q1480:Q1673)=0)),OR(Y1480&gt;=1000000000,AND(COUNTA(C1480:C1673)=0,P$3=TRUE))),
ROUNDDOWN((AB$1-AC$1)*MAX(INDEX(T$4:T1673,MATCH(LARGE(FILTER(Y$4:Y1"&amp;"673,Y$4:Y1673&lt;1000000000),1),Y$4:Y1673)),INDEX(F$4:F1673,MATCH(LARGE(FILTER(K$4:K1673,K$4:K1673&lt;1000000000),1),K$4:K1673)))),AND(K1480&lt;1000000000,COUNTA(C1480:C1673)&gt;0,P$3=FALSE),
ROUNDDOWN(INDEX(Y$4:Y1673,MATCH(LARGE(FILTER(W$4:W1673,W$4:W1673&lt;=I1480),1)"&amp;",W$4:W1673))+(I1480-LARGE(FILTER(W$4:W1673,W$4:W1673&lt;=I1480),1))*INDEX(T$4:T1673,MATCH(LARGE(FILTER(W$4:W1673,W$4:W1673&lt;=I1480),1),W$4:W1673))-K1480),1,
ROUNDDOWN(Y1480-INDEX(K$4:K1673,MATCH(LARGE(FILTER(I$4:I1673,I$4:I1673&lt;=W1480),1),I$4:I1673))-(W1480-L"&amp;"ARGE(FILTER(I$4:I1673,I$4:I1673&lt;=W1480),1))*INDEX(F$4:F1673,MATCH(LARGE(FILTER(I$4:I1673,I$4:I1673&lt;=W1480),1),I$4:I1673))))"),"")</f>
        <v/>
      </c>
      <c r="N1480" s="60" t="str">
        <f t="shared" si="8"/>
        <v/>
      </c>
      <c r="O1480" s="61" t="str">
        <f t="shared" si="9"/>
        <v/>
      </c>
      <c r="P1480" s="56" t="str">
        <f t="shared" si="10"/>
        <v/>
      </c>
      <c r="Q1480" s="67"/>
      <c r="R1480" s="10"/>
      <c r="S1480" s="59" t="str">
        <f t="array" ref="S1480">IF(COUNTA(Q1480:Q1673)=0,"",SUM((COUNTIF(Q$4:Q1480,Upgrades!$B$3:$B$13)-COUNTIF(Q$4:Q1480,"Sell_"&amp;Upgrades!$B$3:$B$13))*Upgrades!$D$3:$D$13))</f>
        <v/>
      </c>
      <c r="T1480" s="66" t="str">
        <f>IFERROR(__xludf.DUMMYFUNCTION("IF(COUNTA(Q1480:Q1673)=0,"""",IF(REGEXMATCH(INDEX(FILTER(Q$4:Q1480,Q$4:Q1480&lt;&gt;""""),ROWS(FILTER(Q$4:Q1480,Q$4:Q1480&lt;&gt;""""))),""^Sell_""),INDEX(FILTER(T$4:T1479,Q$4:Q1479&lt;&gt;""""),ROWS(FILTER(Q$4:Q1479,Q$4:Q1479&lt;&gt;""""))),$AD$5+S1480))"),"")</f>
        <v/>
      </c>
      <c r="U1480" s="10" t="str">
        <f>IFERROR(__xludf.DUMMYFUNCTION("IF(COUNTA(Q1480:Q1673)=0,"""",IF(Q1480="""",0,IF(REGEXMATCH(Q1480,""^Sell_""),-ROUNDDOWN(ROUNDUP(INDEX(Upgrades!$C$3:$C$13,MATCH(SUBSTITUTE(Q1480,""Sell_"",""""),Upgrades!$B$3:$B$13,0))*1.15^(COUNTIF(Q$4:Q1479,SUBSTITUTE(Q1480,""Sell_"",""""))-COUNTIF(Q$4"&amp;":Q1479,""Sell_""&amp;SUBSTITUTE(Q1480,""Sell_"",""""))))/2),ROUNDUP(INDEX(Upgrades!$C$3:$C$13,MATCH(Q1480,Upgrades!$B$3:$B$13,0))*1.15^(COUNTIF(Q$4:Q1479,Q1480)-COUNTIF(Q$4:Q1479,""Sell_""&amp;Q1480))))))"),"")</f>
        <v/>
      </c>
      <c r="V1480" s="10" t="str">
        <f t="shared" si="11"/>
        <v/>
      </c>
      <c r="W1480" s="68" t="str">
        <f t="shared" si="12"/>
        <v/>
      </c>
      <c r="X1480" s="59" t="str">
        <f t="shared" si="13"/>
        <v/>
      </c>
      <c r="Y1480" s="69" t="str">
        <f t="shared" si="14"/>
        <v/>
      </c>
      <c r="Z1480" s="11"/>
    </row>
    <row r="1481">
      <c r="A1481" s="8"/>
      <c r="B1481" s="56" t="str">
        <f t="shared" si="2"/>
        <v/>
      </c>
      <c r="C1481" s="105"/>
      <c r="D1481" s="10"/>
      <c r="E1481" s="59" t="str">
        <f t="array" ref="E1481">IF(COUNTA(C1481:C1673)=0,"",SUM((COUNTIF(C$4:C1481,Upgrades!$B$3:$B$13)-COUNTIF(C$4:C1481,"Sell_"&amp;Upgrades!$B$3:$B$13))*Upgrades!$D$3:$D$13))</f>
        <v/>
      </c>
      <c r="F1481" s="66" t="str">
        <f>IFERROR(__xludf.DUMMYFUNCTION("IF(COUNTA(C1481:C1673)=0,"""",IF(REGEXMATCH(INDEX(FILTER(C$4:C1481,C$4:C1481&lt;&gt;""""),ROWS(FILTER(C$4:C1481,C$4:C1481&lt;&gt;""""))),""^Sell_""),INDEX(FILTER(F$4:F1480,C$4:C1480&lt;&gt;""""),ROWS(FILTER(C$4:C1480,C$4:C1480&lt;&gt;""""))),$AC$5+E1481))"),"")</f>
        <v/>
      </c>
      <c r="G1481" s="10" t="str">
        <f>IFERROR(__xludf.DUMMYFUNCTION("IF(COUNTA(C1481:C1673)=0,"""",IF(C1481="""",0,IF(REGEXMATCH(C1481,""^Sell_""),-ROUNDDOWN(ROUNDUP(INDEX(Upgrades!$C$3:$C$13,MATCH(SUBSTITUTE(C1481,""Sell_"",""""),Upgrades!$B$3:$B$13,0))*1.15^(COUNTIF(C$4:C1480,SUBSTITUTE(C1481,""Sell_"",""""))-COUNTIF(C$4"&amp;":C1480,""Sell_""&amp;SUBSTITUTE(C1481,""Sell_"",""""))))/2),ROUNDUP(INDEX(Upgrades!$C$3:$C$13,MATCH(C1481,Upgrades!$B$3:$B$13,0))*1.15^(COUNTIF(C$4:C1480,C1481)-COUNTIF(C$4:C1480,""Sell_""&amp;C1481))))))"),"")</f>
        <v/>
      </c>
      <c r="H1481" s="10" t="str">
        <f t="shared" si="3"/>
        <v/>
      </c>
      <c r="I1481" s="68" t="str">
        <f t="shared" si="4"/>
        <v/>
      </c>
      <c r="J1481" s="59" t="str">
        <f t="shared" si="5"/>
        <v/>
      </c>
      <c r="K1481" s="69" t="str">
        <f t="shared" si="6"/>
        <v/>
      </c>
      <c r="L1481" s="60" t="str">
        <f t="shared" si="7"/>
        <v/>
      </c>
      <c r="M1481" s="61" t="str">
        <f>IFERROR(__xludf.DUMMYFUNCTION("IFS(AND(COUNTA(C1481:C1673)=0,COUNTA(Q1481:Q1673)=0),"""",OR(AND(K1481&gt;=1000000000,OR(Y1481&gt;=1000000000,COUNTA(Q1481:Q1673)=0)),OR(Y1481&gt;=1000000000,AND(COUNTA(C1481:C1673)=0,P$3=TRUE))),
ROUNDDOWN((AB$1-AC$1)*MAX(INDEX(T$4:T1673,MATCH(LARGE(FILTER(Y$4:Y1"&amp;"673,Y$4:Y1673&lt;1000000000),1),Y$4:Y1673)),INDEX(F$4:F1673,MATCH(LARGE(FILTER(K$4:K1673,K$4:K1673&lt;1000000000),1),K$4:K1673)))),AND(K1481&lt;1000000000,COUNTA(C1481:C1673)&gt;0,P$3=FALSE),
ROUNDDOWN(INDEX(Y$4:Y1673,MATCH(LARGE(FILTER(W$4:W1673,W$4:W1673&lt;=I1481),1)"&amp;",W$4:W1673))+(I1481-LARGE(FILTER(W$4:W1673,W$4:W1673&lt;=I1481),1))*INDEX(T$4:T1673,MATCH(LARGE(FILTER(W$4:W1673,W$4:W1673&lt;=I1481),1),W$4:W1673))-K1481),1,
ROUNDDOWN(Y1481-INDEX(K$4:K1673,MATCH(LARGE(FILTER(I$4:I1673,I$4:I1673&lt;=W1481),1),I$4:I1673))-(W1481-L"&amp;"ARGE(FILTER(I$4:I1673,I$4:I1673&lt;=W1481),1))*INDEX(F$4:F1673,MATCH(LARGE(FILTER(I$4:I1673,I$4:I1673&lt;=W1481),1),I$4:I1673))))"),"")</f>
        <v/>
      </c>
      <c r="N1481" s="60" t="str">
        <f t="shared" si="8"/>
        <v/>
      </c>
      <c r="O1481" s="61" t="str">
        <f t="shared" si="9"/>
        <v/>
      </c>
      <c r="P1481" s="56" t="str">
        <f t="shared" si="10"/>
        <v/>
      </c>
      <c r="Q1481" s="67"/>
      <c r="R1481" s="10"/>
      <c r="S1481" s="59" t="str">
        <f t="array" ref="S1481">IF(COUNTA(Q1481:Q1673)=0,"",SUM((COUNTIF(Q$4:Q1481,Upgrades!$B$3:$B$13)-COUNTIF(Q$4:Q1481,"Sell_"&amp;Upgrades!$B$3:$B$13))*Upgrades!$D$3:$D$13))</f>
        <v/>
      </c>
      <c r="T1481" s="66" t="str">
        <f>IFERROR(__xludf.DUMMYFUNCTION("IF(COUNTA(Q1481:Q1673)=0,"""",IF(REGEXMATCH(INDEX(FILTER(Q$4:Q1481,Q$4:Q1481&lt;&gt;""""),ROWS(FILTER(Q$4:Q1481,Q$4:Q1481&lt;&gt;""""))),""^Sell_""),INDEX(FILTER(T$4:T1480,Q$4:Q1480&lt;&gt;""""),ROWS(FILTER(Q$4:Q1480,Q$4:Q1480&lt;&gt;""""))),$AD$5+S1481))"),"")</f>
        <v/>
      </c>
      <c r="U1481" s="10" t="str">
        <f>IFERROR(__xludf.DUMMYFUNCTION("IF(COUNTA(Q1481:Q1673)=0,"""",IF(Q1481="""",0,IF(REGEXMATCH(Q1481,""^Sell_""),-ROUNDDOWN(ROUNDUP(INDEX(Upgrades!$C$3:$C$13,MATCH(SUBSTITUTE(Q1481,""Sell_"",""""),Upgrades!$B$3:$B$13,0))*1.15^(COUNTIF(Q$4:Q1480,SUBSTITUTE(Q1481,""Sell_"",""""))-COUNTIF(Q$4"&amp;":Q1480,""Sell_""&amp;SUBSTITUTE(Q1481,""Sell_"",""""))))/2),ROUNDUP(INDEX(Upgrades!$C$3:$C$13,MATCH(Q1481,Upgrades!$B$3:$B$13,0))*1.15^(COUNTIF(Q$4:Q1480,Q1481)-COUNTIF(Q$4:Q1480,""Sell_""&amp;Q1481))))))"),"")</f>
        <v/>
      </c>
      <c r="V1481" s="10" t="str">
        <f t="shared" si="11"/>
        <v/>
      </c>
      <c r="W1481" s="68" t="str">
        <f t="shared" si="12"/>
        <v/>
      </c>
      <c r="X1481" s="59" t="str">
        <f t="shared" si="13"/>
        <v/>
      </c>
      <c r="Y1481" s="69" t="str">
        <f t="shared" si="14"/>
        <v/>
      </c>
      <c r="Z1481" s="11"/>
    </row>
    <row r="1482">
      <c r="A1482" s="8"/>
      <c r="B1482" s="56" t="str">
        <f t="shared" si="2"/>
        <v/>
      </c>
      <c r="C1482" s="105"/>
      <c r="D1482" s="10"/>
      <c r="E1482" s="59" t="str">
        <f t="array" ref="E1482">IF(COUNTA(C1482:C1673)=0,"",SUM((COUNTIF(C$4:C1482,Upgrades!$B$3:$B$13)-COUNTIF(C$4:C1482,"Sell_"&amp;Upgrades!$B$3:$B$13))*Upgrades!$D$3:$D$13))</f>
        <v/>
      </c>
      <c r="F1482" s="66" t="str">
        <f>IFERROR(__xludf.DUMMYFUNCTION("IF(COUNTA(C1482:C1673)=0,"""",IF(REGEXMATCH(INDEX(FILTER(C$4:C1482,C$4:C1482&lt;&gt;""""),ROWS(FILTER(C$4:C1482,C$4:C1482&lt;&gt;""""))),""^Sell_""),INDEX(FILTER(F$4:F1481,C$4:C1481&lt;&gt;""""),ROWS(FILTER(C$4:C1481,C$4:C1481&lt;&gt;""""))),$AC$5+E1482))"),"")</f>
        <v/>
      </c>
      <c r="G1482" s="10" t="str">
        <f>IFERROR(__xludf.DUMMYFUNCTION("IF(COUNTA(C1482:C1673)=0,"""",IF(C1482="""",0,IF(REGEXMATCH(C1482,""^Sell_""),-ROUNDDOWN(ROUNDUP(INDEX(Upgrades!$C$3:$C$13,MATCH(SUBSTITUTE(C1482,""Sell_"",""""),Upgrades!$B$3:$B$13,0))*1.15^(COUNTIF(C$4:C1481,SUBSTITUTE(C1482,""Sell_"",""""))-COUNTIF(C$4"&amp;":C1481,""Sell_""&amp;SUBSTITUTE(C1482,""Sell_"",""""))))/2),ROUNDUP(INDEX(Upgrades!$C$3:$C$13,MATCH(C1482,Upgrades!$B$3:$B$13,0))*1.15^(COUNTIF(C$4:C1481,C1482)-COUNTIF(C$4:C1481,""Sell_""&amp;C1482))))))"),"")</f>
        <v/>
      </c>
      <c r="H1482" s="10" t="str">
        <f t="shared" si="3"/>
        <v/>
      </c>
      <c r="I1482" s="68" t="str">
        <f t="shared" si="4"/>
        <v/>
      </c>
      <c r="J1482" s="59" t="str">
        <f t="shared" si="5"/>
        <v/>
      </c>
      <c r="K1482" s="69" t="str">
        <f t="shared" si="6"/>
        <v/>
      </c>
      <c r="L1482" s="60" t="str">
        <f t="shared" si="7"/>
        <v/>
      </c>
      <c r="M1482" s="61" t="str">
        <f>IFERROR(__xludf.DUMMYFUNCTION("IFS(AND(COUNTA(C1482:C1673)=0,COUNTA(Q1482:Q1673)=0),"""",OR(AND(K1482&gt;=1000000000,OR(Y1482&gt;=1000000000,COUNTA(Q1482:Q1673)=0)),OR(Y1482&gt;=1000000000,AND(COUNTA(C1482:C1673)=0,P$3=TRUE))),
ROUNDDOWN((AB$1-AC$1)*MAX(INDEX(T$4:T1673,MATCH(LARGE(FILTER(Y$4:Y1"&amp;"673,Y$4:Y1673&lt;1000000000),1),Y$4:Y1673)),INDEX(F$4:F1673,MATCH(LARGE(FILTER(K$4:K1673,K$4:K1673&lt;1000000000),1),K$4:K1673)))),AND(K1482&lt;1000000000,COUNTA(C1482:C1673)&gt;0,P$3=FALSE),
ROUNDDOWN(INDEX(Y$4:Y1673,MATCH(LARGE(FILTER(W$4:W1673,W$4:W1673&lt;=I1482),1)"&amp;",W$4:W1673))+(I1482-LARGE(FILTER(W$4:W1673,W$4:W1673&lt;=I1482),1))*INDEX(T$4:T1673,MATCH(LARGE(FILTER(W$4:W1673,W$4:W1673&lt;=I1482),1),W$4:W1673))-K1482),1,
ROUNDDOWN(Y1482-INDEX(K$4:K1673,MATCH(LARGE(FILTER(I$4:I1673,I$4:I1673&lt;=W1482),1),I$4:I1673))-(W1482-L"&amp;"ARGE(FILTER(I$4:I1673,I$4:I1673&lt;=W1482),1))*INDEX(F$4:F1673,MATCH(LARGE(FILTER(I$4:I1673,I$4:I1673&lt;=W1482),1),I$4:I1673))))"),"")</f>
        <v/>
      </c>
      <c r="N1482" s="60" t="str">
        <f t="shared" si="8"/>
        <v/>
      </c>
      <c r="O1482" s="61" t="str">
        <f t="shared" si="9"/>
        <v/>
      </c>
      <c r="P1482" s="56" t="str">
        <f t="shared" si="10"/>
        <v/>
      </c>
      <c r="Q1482" s="67"/>
      <c r="R1482" s="10"/>
      <c r="S1482" s="59" t="str">
        <f t="array" ref="S1482">IF(COUNTA(Q1482:Q1673)=0,"",SUM((COUNTIF(Q$4:Q1482,Upgrades!$B$3:$B$13)-COUNTIF(Q$4:Q1482,"Sell_"&amp;Upgrades!$B$3:$B$13))*Upgrades!$D$3:$D$13))</f>
        <v/>
      </c>
      <c r="T1482" s="66" t="str">
        <f>IFERROR(__xludf.DUMMYFUNCTION("IF(COUNTA(Q1482:Q1673)=0,"""",IF(REGEXMATCH(INDEX(FILTER(Q$4:Q1482,Q$4:Q1482&lt;&gt;""""),ROWS(FILTER(Q$4:Q1482,Q$4:Q1482&lt;&gt;""""))),""^Sell_""),INDEX(FILTER(T$4:T1481,Q$4:Q1481&lt;&gt;""""),ROWS(FILTER(Q$4:Q1481,Q$4:Q1481&lt;&gt;""""))),$AD$5+S1482))"),"")</f>
        <v/>
      </c>
      <c r="U1482" s="10" t="str">
        <f>IFERROR(__xludf.DUMMYFUNCTION("IF(COUNTA(Q1482:Q1673)=0,"""",IF(Q1482="""",0,IF(REGEXMATCH(Q1482,""^Sell_""),-ROUNDDOWN(ROUNDUP(INDEX(Upgrades!$C$3:$C$13,MATCH(SUBSTITUTE(Q1482,""Sell_"",""""),Upgrades!$B$3:$B$13,0))*1.15^(COUNTIF(Q$4:Q1481,SUBSTITUTE(Q1482,""Sell_"",""""))-COUNTIF(Q$4"&amp;":Q1481,""Sell_""&amp;SUBSTITUTE(Q1482,""Sell_"",""""))))/2),ROUNDUP(INDEX(Upgrades!$C$3:$C$13,MATCH(Q1482,Upgrades!$B$3:$B$13,0))*1.15^(COUNTIF(Q$4:Q1481,Q1482)-COUNTIF(Q$4:Q1481,""Sell_""&amp;Q1482))))))"),"")</f>
        <v/>
      </c>
      <c r="V1482" s="10" t="str">
        <f t="shared" si="11"/>
        <v/>
      </c>
      <c r="W1482" s="68" t="str">
        <f t="shared" si="12"/>
        <v/>
      </c>
      <c r="X1482" s="59" t="str">
        <f t="shared" si="13"/>
        <v/>
      </c>
      <c r="Y1482" s="69" t="str">
        <f t="shared" si="14"/>
        <v/>
      </c>
      <c r="Z1482" s="11"/>
    </row>
    <row r="1483">
      <c r="A1483" s="8"/>
      <c r="B1483" s="56" t="str">
        <f t="shared" si="2"/>
        <v/>
      </c>
      <c r="C1483" s="105"/>
      <c r="D1483" s="10"/>
      <c r="E1483" s="59" t="str">
        <f t="array" ref="E1483">IF(COUNTA(C1483:C1673)=0,"",SUM((COUNTIF(C$4:C1483,Upgrades!$B$3:$B$13)-COUNTIF(C$4:C1483,"Sell_"&amp;Upgrades!$B$3:$B$13))*Upgrades!$D$3:$D$13))</f>
        <v/>
      </c>
      <c r="F1483" s="66" t="str">
        <f>IFERROR(__xludf.DUMMYFUNCTION("IF(COUNTA(C1483:C1673)=0,"""",IF(REGEXMATCH(INDEX(FILTER(C$4:C1483,C$4:C1483&lt;&gt;""""),ROWS(FILTER(C$4:C1483,C$4:C1483&lt;&gt;""""))),""^Sell_""),INDEX(FILTER(F$4:F1482,C$4:C1482&lt;&gt;""""),ROWS(FILTER(C$4:C1482,C$4:C1482&lt;&gt;""""))),$AC$5+E1483))"),"")</f>
        <v/>
      </c>
      <c r="G1483" s="10" t="str">
        <f>IFERROR(__xludf.DUMMYFUNCTION("IF(COUNTA(C1483:C1673)=0,"""",IF(C1483="""",0,IF(REGEXMATCH(C1483,""^Sell_""),-ROUNDDOWN(ROUNDUP(INDEX(Upgrades!$C$3:$C$13,MATCH(SUBSTITUTE(C1483,""Sell_"",""""),Upgrades!$B$3:$B$13,0))*1.15^(COUNTIF(C$4:C1482,SUBSTITUTE(C1483,""Sell_"",""""))-COUNTIF(C$4"&amp;":C1482,""Sell_""&amp;SUBSTITUTE(C1483,""Sell_"",""""))))/2),ROUNDUP(INDEX(Upgrades!$C$3:$C$13,MATCH(C1483,Upgrades!$B$3:$B$13,0))*1.15^(COUNTIF(C$4:C1482,C1483)-COUNTIF(C$4:C1482,""Sell_""&amp;C1483))))))"),"")</f>
        <v/>
      </c>
      <c r="H1483" s="10" t="str">
        <f t="shared" si="3"/>
        <v/>
      </c>
      <c r="I1483" s="68" t="str">
        <f t="shared" si="4"/>
        <v/>
      </c>
      <c r="J1483" s="59" t="str">
        <f t="shared" si="5"/>
        <v/>
      </c>
      <c r="K1483" s="69" t="str">
        <f t="shared" si="6"/>
        <v/>
      </c>
      <c r="L1483" s="60" t="str">
        <f t="shared" si="7"/>
        <v/>
      </c>
      <c r="M1483" s="61" t="str">
        <f>IFERROR(__xludf.DUMMYFUNCTION("IFS(AND(COUNTA(C1483:C1673)=0,COUNTA(Q1483:Q1673)=0),"""",OR(AND(K1483&gt;=1000000000,OR(Y1483&gt;=1000000000,COUNTA(Q1483:Q1673)=0)),OR(Y1483&gt;=1000000000,AND(COUNTA(C1483:C1673)=0,P$3=TRUE))),
ROUNDDOWN((AB$1-AC$1)*MAX(INDEX(T$4:T1673,MATCH(LARGE(FILTER(Y$4:Y1"&amp;"673,Y$4:Y1673&lt;1000000000),1),Y$4:Y1673)),INDEX(F$4:F1673,MATCH(LARGE(FILTER(K$4:K1673,K$4:K1673&lt;1000000000),1),K$4:K1673)))),AND(K1483&lt;1000000000,COUNTA(C1483:C1673)&gt;0,P$3=FALSE),
ROUNDDOWN(INDEX(Y$4:Y1673,MATCH(LARGE(FILTER(W$4:W1673,W$4:W1673&lt;=I1483),1)"&amp;",W$4:W1673))+(I1483-LARGE(FILTER(W$4:W1673,W$4:W1673&lt;=I1483),1))*INDEX(T$4:T1673,MATCH(LARGE(FILTER(W$4:W1673,W$4:W1673&lt;=I1483),1),W$4:W1673))-K1483),1,
ROUNDDOWN(Y1483-INDEX(K$4:K1673,MATCH(LARGE(FILTER(I$4:I1673,I$4:I1673&lt;=W1483),1),I$4:I1673))-(W1483-L"&amp;"ARGE(FILTER(I$4:I1673,I$4:I1673&lt;=W1483),1))*INDEX(F$4:F1673,MATCH(LARGE(FILTER(I$4:I1673,I$4:I1673&lt;=W1483),1),I$4:I1673))))"),"")</f>
        <v/>
      </c>
      <c r="N1483" s="60" t="str">
        <f t="shared" si="8"/>
        <v/>
      </c>
      <c r="O1483" s="61" t="str">
        <f t="shared" si="9"/>
        <v/>
      </c>
      <c r="P1483" s="56" t="str">
        <f t="shared" si="10"/>
        <v/>
      </c>
      <c r="Q1483" s="67"/>
      <c r="R1483" s="10"/>
      <c r="S1483" s="59" t="str">
        <f t="array" ref="S1483">IF(COUNTA(Q1483:Q1673)=0,"",SUM((COUNTIF(Q$4:Q1483,Upgrades!$B$3:$B$13)-COUNTIF(Q$4:Q1483,"Sell_"&amp;Upgrades!$B$3:$B$13))*Upgrades!$D$3:$D$13))</f>
        <v/>
      </c>
      <c r="T1483" s="66" t="str">
        <f>IFERROR(__xludf.DUMMYFUNCTION("IF(COUNTA(Q1483:Q1673)=0,"""",IF(REGEXMATCH(INDEX(FILTER(Q$4:Q1483,Q$4:Q1483&lt;&gt;""""),ROWS(FILTER(Q$4:Q1483,Q$4:Q1483&lt;&gt;""""))),""^Sell_""),INDEX(FILTER(T$4:T1482,Q$4:Q1482&lt;&gt;""""),ROWS(FILTER(Q$4:Q1482,Q$4:Q1482&lt;&gt;""""))),$AD$5+S1483))"),"")</f>
        <v/>
      </c>
      <c r="U1483" s="10" t="str">
        <f>IFERROR(__xludf.DUMMYFUNCTION("IF(COUNTA(Q1483:Q1673)=0,"""",IF(Q1483="""",0,IF(REGEXMATCH(Q1483,""^Sell_""),-ROUNDDOWN(ROUNDUP(INDEX(Upgrades!$C$3:$C$13,MATCH(SUBSTITUTE(Q1483,""Sell_"",""""),Upgrades!$B$3:$B$13,0))*1.15^(COUNTIF(Q$4:Q1482,SUBSTITUTE(Q1483,""Sell_"",""""))-COUNTIF(Q$4"&amp;":Q1482,""Sell_""&amp;SUBSTITUTE(Q1483,""Sell_"",""""))))/2),ROUNDUP(INDEX(Upgrades!$C$3:$C$13,MATCH(Q1483,Upgrades!$B$3:$B$13,0))*1.15^(COUNTIF(Q$4:Q1482,Q1483)-COUNTIF(Q$4:Q1482,""Sell_""&amp;Q1483))))))"),"")</f>
        <v/>
      </c>
      <c r="V1483" s="10" t="str">
        <f t="shared" si="11"/>
        <v/>
      </c>
      <c r="W1483" s="68" t="str">
        <f t="shared" si="12"/>
        <v/>
      </c>
      <c r="X1483" s="59" t="str">
        <f t="shared" si="13"/>
        <v/>
      </c>
      <c r="Y1483" s="69" t="str">
        <f t="shared" si="14"/>
        <v/>
      </c>
      <c r="Z1483" s="11"/>
    </row>
    <row r="1484">
      <c r="A1484" s="8"/>
      <c r="B1484" s="56" t="str">
        <f t="shared" si="2"/>
        <v/>
      </c>
      <c r="C1484" s="105"/>
      <c r="D1484" s="10"/>
      <c r="E1484" s="59" t="str">
        <f t="array" ref="E1484">IF(COUNTA(C1484:C1673)=0,"",SUM((COUNTIF(C$4:C1484,Upgrades!$B$3:$B$13)-COUNTIF(C$4:C1484,"Sell_"&amp;Upgrades!$B$3:$B$13))*Upgrades!$D$3:$D$13))</f>
        <v/>
      </c>
      <c r="F1484" s="66" t="str">
        <f>IFERROR(__xludf.DUMMYFUNCTION("IF(COUNTA(C1484:C1673)=0,"""",IF(REGEXMATCH(INDEX(FILTER(C$4:C1484,C$4:C1484&lt;&gt;""""),ROWS(FILTER(C$4:C1484,C$4:C1484&lt;&gt;""""))),""^Sell_""),INDEX(FILTER(F$4:F1483,C$4:C1483&lt;&gt;""""),ROWS(FILTER(C$4:C1483,C$4:C1483&lt;&gt;""""))),$AC$5+E1484))"),"")</f>
        <v/>
      </c>
      <c r="G1484" s="10" t="str">
        <f>IFERROR(__xludf.DUMMYFUNCTION("IF(COUNTA(C1484:C1673)=0,"""",IF(C1484="""",0,IF(REGEXMATCH(C1484,""^Sell_""),-ROUNDDOWN(ROUNDUP(INDEX(Upgrades!$C$3:$C$13,MATCH(SUBSTITUTE(C1484,""Sell_"",""""),Upgrades!$B$3:$B$13,0))*1.15^(COUNTIF(C$4:C1483,SUBSTITUTE(C1484,""Sell_"",""""))-COUNTIF(C$4"&amp;":C1483,""Sell_""&amp;SUBSTITUTE(C1484,""Sell_"",""""))))/2),ROUNDUP(INDEX(Upgrades!$C$3:$C$13,MATCH(C1484,Upgrades!$B$3:$B$13,0))*1.15^(COUNTIF(C$4:C1483,C1484)-COUNTIF(C$4:C1483,""Sell_""&amp;C1484))))))"),"")</f>
        <v/>
      </c>
      <c r="H1484" s="10" t="str">
        <f t="shared" si="3"/>
        <v/>
      </c>
      <c r="I1484" s="68" t="str">
        <f t="shared" si="4"/>
        <v/>
      </c>
      <c r="J1484" s="59" t="str">
        <f t="shared" si="5"/>
        <v/>
      </c>
      <c r="K1484" s="69" t="str">
        <f t="shared" si="6"/>
        <v/>
      </c>
      <c r="L1484" s="60" t="str">
        <f t="shared" si="7"/>
        <v/>
      </c>
      <c r="M1484" s="61" t="str">
        <f>IFERROR(__xludf.DUMMYFUNCTION("IFS(AND(COUNTA(C1484:C1673)=0,COUNTA(Q1484:Q1673)=0),"""",OR(AND(K1484&gt;=1000000000,OR(Y1484&gt;=1000000000,COUNTA(Q1484:Q1673)=0)),OR(Y1484&gt;=1000000000,AND(COUNTA(C1484:C1673)=0,P$3=TRUE))),
ROUNDDOWN((AB$1-AC$1)*MAX(INDEX(T$4:T1673,MATCH(LARGE(FILTER(Y$4:Y1"&amp;"673,Y$4:Y1673&lt;1000000000),1),Y$4:Y1673)),INDEX(F$4:F1673,MATCH(LARGE(FILTER(K$4:K1673,K$4:K1673&lt;1000000000),1),K$4:K1673)))),AND(K1484&lt;1000000000,COUNTA(C1484:C1673)&gt;0,P$3=FALSE),
ROUNDDOWN(INDEX(Y$4:Y1673,MATCH(LARGE(FILTER(W$4:W1673,W$4:W1673&lt;=I1484),1)"&amp;",W$4:W1673))+(I1484-LARGE(FILTER(W$4:W1673,W$4:W1673&lt;=I1484),1))*INDEX(T$4:T1673,MATCH(LARGE(FILTER(W$4:W1673,W$4:W1673&lt;=I1484),1),W$4:W1673))-K1484),1,
ROUNDDOWN(Y1484-INDEX(K$4:K1673,MATCH(LARGE(FILTER(I$4:I1673,I$4:I1673&lt;=W1484),1),I$4:I1673))-(W1484-L"&amp;"ARGE(FILTER(I$4:I1673,I$4:I1673&lt;=W1484),1))*INDEX(F$4:F1673,MATCH(LARGE(FILTER(I$4:I1673,I$4:I1673&lt;=W1484),1),I$4:I1673))))"),"")</f>
        <v/>
      </c>
      <c r="N1484" s="60" t="str">
        <f t="shared" si="8"/>
        <v/>
      </c>
      <c r="O1484" s="61" t="str">
        <f t="shared" si="9"/>
        <v/>
      </c>
      <c r="P1484" s="56" t="str">
        <f t="shared" si="10"/>
        <v/>
      </c>
      <c r="Q1484" s="67"/>
      <c r="R1484" s="10"/>
      <c r="S1484" s="59" t="str">
        <f t="array" ref="S1484">IF(COUNTA(Q1484:Q1673)=0,"",SUM((COUNTIF(Q$4:Q1484,Upgrades!$B$3:$B$13)-COUNTIF(Q$4:Q1484,"Sell_"&amp;Upgrades!$B$3:$B$13))*Upgrades!$D$3:$D$13))</f>
        <v/>
      </c>
      <c r="T1484" s="66" t="str">
        <f>IFERROR(__xludf.DUMMYFUNCTION("IF(COUNTA(Q1484:Q1673)=0,"""",IF(REGEXMATCH(INDEX(FILTER(Q$4:Q1484,Q$4:Q1484&lt;&gt;""""),ROWS(FILTER(Q$4:Q1484,Q$4:Q1484&lt;&gt;""""))),""^Sell_""),INDEX(FILTER(T$4:T1483,Q$4:Q1483&lt;&gt;""""),ROWS(FILTER(Q$4:Q1483,Q$4:Q1483&lt;&gt;""""))),$AD$5+S1484))"),"")</f>
        <v/>
      </c>
      <c r="U1484" s="10" t="str">
        <f>IFERROR(__xludf.DUMMYFUNCTION("IF(COUNTA(Q1484:Q1673)=0,"""",IF(Q1484="""",0,IF(REGEXMATCH(Q1484,""^Sell_""),-ROUNDDOWN(ROUNDUP(INDEX(Upgrades!$C$3:$C$13,MATCH(SUBSTITUTE(Q1484,""Sell_"",""""),Upgrades!$B$3:$B$13,0))*1.15^(COUNTIF(Q$4:Q1483,SUBSTITUTE(Q1484,""Sell_"",""""))-COUNTIF(Q$4"&amp;":Q1483,""Sell_""&amp;SUBSTITUTE(Q1484,""Sell_"",""""))))/2),ROUNDUP(INDEX(Upgrades!$C$3:$C$13,MATCH(Q1484,Upgrades!$B$3:$B$13,0))*1.15^(COUNTIF(Q$4:Q1483,Q1484)-COUNTIF(Q$4:Q1483,""Sell_""&amp;Q1484))))))"),"")</f>
        <v/>
      </c>
      <c r="V1484" s="10" t="str">
        <f t="shared" si="11"/>
        <v/>
      </c>
      <c r="W1484" s="68" t="str">
        <f t="shared" si="12"/>
        <v/>
      </c>
      <c r="X1484" s="59" t="str">
        <f t="shared" si="13"/>
        <v/>
      </c>
      <c r="Y1484" s="69" t="str">
        <f t="shared" si="14"/>
        <v/>
      </c>
      <c r="Z1484" s="11"/>
    </row>
    <row r="1485">
      <c r="A1485" s="8"/>
      <c r="B1485" s="56" t="str">
        <f t="shared" si="2"/>
        <v/>
      </c>
      <c r="C1485" s="105"/>
      <c r="D1485" s="10"/>
      <c r="E1485" s="59" t="str">
        <f t="array" ref="E1485">IF(COUNTA(C1485:C1673)=0,"",SUM((COUNTIF(C$4:C1485,Upgrades!$B$3:$B$13)-COUNTIF(C$4:C1485,"Sell_"&amp;Upgrades!$B$3:$B$13))*Upgrades!$D$3:$D$13))</f>
        <v/>
      </c>
      <c r="F1485" s="66" t="str">
        <f>IFERROR(__xludf.DUMMYFUNCTION("IF(COUNTA(C1485:C1673)=0,"""",IF(REGEXMATCH(INDEX(FILTER(C$4:C1485,C$4:C1485&lt;&gt;""""),ROWS(FILTER(C$4:C1485,C$4:C1485&lt;&gt;""""))),""^Sell_""),INDEX(FILTER(F$4:F1484,C$4:C1484&lt;&gt;""""),ROWS(FILTER(C$4:C1484,C$4:C1484&lt;&gt;""""))),$AC$5+E1485))"),"")</f>
        <v/>
      </c>
      <c r="G1485" s="10" t="str">
        <f>IFERROR(__xludf.DUMMYFUNCTION("IF(COUNTA(C1485:C1673)=0,"""",IF(C1485="""",0,IF(REGEXMATCH(C1485,""^Sell_""),-ROUNDDOWN(ROUNDUP(INDEX(Upgrades!$C$3:$C$13,MATCH(SUBSTITUTE(C1485,""Sell_"",""""),Upgrades!$B$3:$B$13,0))*1.15^(COUNTIF(C$4:C1484,SUBSTITUTE(C1485,""Sell_"",""""))-COUNTIF(C$4"&amp;":C1484,""Sell_""&amp;SUBSTITUTE(C1485,""Sell_"",""""))))/2),ROUNDUP(INDEX(Upgrades!$C$3:$C$13,MATCH(C1485,Upgrades!$B$3:$B$13,0))*1.15^(COUNTIF(C$4:C1484,C1485)-COUNTIF(C$4:C1484,""Sell_""&amp;C1485))))))"),"")</f>
        <v/>
      </c>
      <c r="H1485" s="10" t="str">
        <f t="shared" si="3"/>
        <v/>
      </c>
      <c r="I1485" s="68" t="str">
        <f t="shared" si="4"/>
        <v/>
      </c>
      <c r="J1485" s="59" t="str">
        <f t="shared" si="5"/>
        <v/>
      </c>
      <c r="K1485" s="69" t="str">
        <f t="shared" si="6"/>
        <v/>
      </c>
      <c r="L1485" s="60" t="str">
        <f t="shared" si="7"/>
        <v/>
      </c>
      <c r="M1485" s="61" t="str">
        <f>IFERROR(__xludf.DUMMYFUNCTION("IFS(AND(COUNTA(C1485:C1673)=0,COUNTA(Q1485:Q1673)=0),"""",OR(AND(K1485&gt;=1000000000,OR(Y1485&gt;=1000000000,COUNTA(Q1485:Q1673)=0)),OR(Y1485&gt;=1000000000,AND(COUNTA(C1485:C1673)=0,P$3=TRUE))),
ROUNDDOWN((AB$1-AC$1)*MAX(INDEX(T$4:T1673,MATCH(LARGE(FILTER(Y$4:Y1"&amp;"673,Y$4:Y1673&lt;1000000000),1),Y$4:Y1673)),INDEX(F$4:F1673,MATCH(LARGE(FILTER(K$4:K1673,K$4:K1673&lt;1000000000),1),K$4:K1673)))),AND(K1485&lt;1000000000,COUNTA(C1485:C1673)&gt;0,P$3=FALSE),
ROUNDDOWN(INDEX(Y$4:Y1673,MATCH(LARGE(FILTER(W$4:W1673,W$4:W1673&lt;=I1485),1)"&amp;",W$4:W1673))+(I1485-LARGE(FILTER(W$4:W1673,W$4:W1673&lt;=I1485),1))*INDEX(T$4:T1673,MATCH(LARGE(FILTER(W$4:W1673,W$4:W1673&lt;=I1485),1),W$4:W1673))-K1485),1,
ROUNDDOWN(Y1485-INDEX(K$4:K1673,MATCH(LARGE(FILTER(I$4:I1673,I$4:I1673&lt;=W1485),1),I$4:I1673))-(W1485-L"&amp;"ARGE(FILTER(I$4:I1673,I$4:I1673&lt;=W1485),1))*INDEX(F$4:F1673,MATCH(LARGE(FILTER(I$4:I1673,I$4:I1673&lt;=W1485),1),I$4:I1673))))"),"")</f>
        <v/>
      </c>
      <c r="N1485" s="60" t="str">
        <f t="shared" si="8"/>
        <v/>
      </c>
      <c r="O1485" s="61" t="str">
        <f t="shared" si="9"/>
        <v/>
      </c>
      <c r="P1485" s="56" t="str">
        <f t="shared" si="10"/>
        <v/>
      </c>
      <c r="Q1485" s="67"/>
      <c r="R1485" s="10"/>
      <c r="S1485" s="59" t="str">
        <f t="array" ref="S1485">IF(COUNTA(Q1485:Q1673)=0,"",SUM((COUNTIF(Q$4:Q1485,Upgrades!$B$3:$B$13)-COUNTIF(Q$4:Q1485,"Sell_"&amp;Upgrades!$B$3:$B$13))*Upgrades!$D$3:$D$13))</f>
        <v/>
      </c>
      <c r="T1485" s="66" t="str">
        <f>IFERROR(__xludf.DUMMYFUNCTION("IF(COUNTA(Q1485:Q1673)=0,"""",IF(REGEXMATCH(INDEX(FILTER(Q$4:Q1485,Q$4:Q1485&lt;&gt;""""),ROWS(FILTER(Q$4:Q1485,Q$4:Q1485&lt;&gt;""""))),""^Sell_""),INDEX(FILTER(T$4:T1484,Q$4:Q1484&lt;&gt;""""),ROWS(FILTER(Q$4:Q1484,Q$4:Q1484&lt;&gt;""""))),$AD$5+S1485))"),"")</f>
        <v/>
      </c>
      <c r="U1485" s="10" t="str">
        <f>IFERROR(__xludf.DUMMYFUNCTION("IF(COUNTA(Q1485:Q1673)=0,"""",IF(Q1485="""",0,IF(REGEXMATCH(Q1485,""^Sell_""),-ROUNDDOWN(ROUNDUP(INDEX(Upgrades!$C$3:$C$13,MATCH(SUBSTITUTE(Q1485,""Sell_"",""""),Upgrades!$B$3:$B$13,0))*1.15^(COUNTIF(Q$4:Q1484,SUBSTITUTE(Q1485,""Sell_"",""""))-COUNTIF(Q$4"&amp;":Q1484,""Sell_""&amp;SUBSTITUTE(Q1485,""Sell_"",""""))))/2),ROUNDUP(INDEX(Upgrades!$C$3:$C$13,MATCH(Q1485,Upgrades!$B$3:$B$13,0))*1.15^(COUNTIF(Q$4:Q1484,Q1485)-COUNTIF(Q$4:Q1484,""Sell_""&amp;Q1485))))))"),"")</f>
        <v/>
      </c>
      <c r="V1485" s="10" t="str">
        <f t="shared" si="11"/>
        <v/>
      </c>
      <c r="W1485" s="68" t="str">
        <f t="shared" si="12"/>
        <v/>
      </c>
      <c r="X1485" s="59" t="str">
        <f t="shared" si="13"/>
        <v/>
      </c>
      <c r="Y1485" s="69" t="str">
        <f t="shared" si="14"/>
        <v/>
      </c>
      <c r="Z1485" s="11"/>
    </row>
    <row r="1486">
      <c r="A1486" s="8"/>
      <c r="B1486" s="56" t="str">
        <f t="shared" si="2"/>
        <v/>
      </c>
      <c r="C1486" s="105"/>
      <c r="D1486" s="10"/>
      <c r="E1486" s="59" t="str">
        <f t="array" ref="E1486">IF(COUNTA(C1486:C1673)=0,"",SUM((COUNTIF(C$4:C1486,Upgrades!$B$3:$B$13)-COUNTIF(C$4:C1486,"Sell_"&amp;Upgrades!$B$3:$B$13))*Upgrades!$D$3:$D$13))</f>
        <v/>
      </c>
      <c r="F1486" s="66" t="str">
        <f>IFERROR(__xludf.DUMMYFUNCTION("IF(COUNTA(C1486:C1673)=0,"""",IF(REGEXMATCH(INDEX(FILTER(C$4:C1486,C$4:C1486&lt;&gt;""""),ROWS(FILTER(C$4:C1486,C$4:C1486&lt;&gt;""""))),""^Sell_""),INDEX(FILTER(F$4:F1485,C$4:C1485&lt;&gt;""""),ROWS(FILTER(C$4:C1485,C$4:C1485&lt;&gt;""""))),$AC$5+E1486))"),"")</f>
        <v/>
      </c>
      <c r="G1486" s="10" t="str">
        <f>IFERROR(__xludf.DUMMYFUNCTION("IF(COUNTA(C1486:C1673)=0,"""",IF(C1486="""",0,IF(REGEXMATCH(C1486,""^Sell_""),-ROUNDDOWN(ROUNDUP(INDEX(Upgrades!$C$3:$C$13,MATCH(SUBSTITUTE(C1486,""Sell_"",""""),Upgrades!$B$3:$B$13,0))*1.15^(COUNTIF(C$4:C1485,SUBSTITUTE(C1486,""Sell_"",""""))-COUNTIF(C$4"&amp;":C1485,""Sell_""&amp;SUBSTITUTE(C1486,""Sell_"",""""))))/2),ROUNDUP(INDEX(Upgrades!$C$3:$C$13,MATCH(C1486,Upgrades!$B$3:$B$13,0))*1.15^(COUNTIF(C$4:C1485,C1486)-COUNTIF(C$4:C1485,""Sell_""&amp;C1486))))))"),"")</f>
        <v/>
      </c>
      <c r="H1486" s="10" t="str">
        <f t="shared" si="3"/>
        <v/>
      </c>
      <c r="I1486" s="68" t="str">
        <f t="shared" si="4"/>
        <v/>
      </c>
      <c r="J1486" s="59" t="str">
        <f t="shared" si="5"/>
        <v/>
      </c>
      <c r="K1486" s="69" t="str">
        <f t="shared" si="6"/>
        <v/>
      </c>
      <c r="L1486" s="60" t="str">
        <f t="shared" si="7"/>
        <v/>
      </c>
      <c r="M1486" s="61" t="str">
        <f>IFERROR(__xludf.DUMMYFUNCTION("IFS(AND(COUNTA(C1486:C1673)=0,COUNTA(Q1486:Q1673)=0),"""",OR(AND(K1486&gt;=1000000000,OR(Y1486&gt;=1000000000,COUNTA(Q1486:Q1673)=0)),OR(Y1486&gt;=1000000000,AND(COUNTA(C1486:C1673)=0,P$3=TRUE))),
ROUNDDOWN((AB$1-AC$1)*MAX(INDEX(T$4:T1673,MATCH(LARGE(FILTER(Y$4:Y1"&amp;"673,Y$4:Y1673&lt;1000000000),1),Y$4:Y1673)),INDEX(F$4:F1673,MATCH(LARGE(FILTER(K$4:K1673,K$4:K1673&lt;1000000000),1),K$4:K1673)))),AND(K1486&lt;1000000000,COUNTA(C1486:C1673)&gt;0,P$3=FALSE),
ROUNDDOWN(INDEX(Y$4:Y1673,MATCH(LARGE(FILTER(W$4:W1673,W$4:W1673&lt;=I1486),1)"&amp;",W$4:W1673))+(I1486-LARGE(FILTER(W$4:W1673,W$4:W1673&lt;=I1486),1))*INDEX(T$4:T1673,MATCH(LARGE(FILTER(W$4:W1673,W$4:W1673&lt;=I1486),1),W$4:W1673))-K1486),1,
ROUNDDOWN(Y1486-INDEX(K$4:K1673,MATCH(LARGE(FILTER(I$4:I1673,I$4:I1673&lt;=W1486),1),I$4:I1673))-(W1486-L"&amp;"ARGE(FILTER(I$4:I1673,I$4:I1673&lt;=W1486),1))*INDEX(F$4:F1673,MATCH(LARGE(FILTER(I$4:I1673,I$4:I1673&lt;=W1486),1),I$4:I1673))))"),"")</f>
        <v/>
      </c>
      <c r="N1486" s="60" t="str">
        <f t="shared" si="8"/>
        <v/>
      </c>
      <c r="O1486" s="61" t="str">
        <f t="shared" si="9"/>
        <v/>
      </c>
      <c r="P1486" s="56" t="str">
        <f t="shared" si="10"/>
        <v/>
      </c>
      <c r="Q1486" s="67"/>
      <c r="R1486" s="10"/>
      <c r="S1486" s="59" t="str">
        <f t="array" ref="S1486">IF(COUNTA(Q1486:Q1673)=0,"",SUM((COUNTIF(Q$4:Q1486,Upgrades!$B$3:$B$13)-COUNTIF(Q$4:Q1486,"Sell_"&amp;Upgrades!$B$3:$B$13))*Upgrades!$D$3:$D$13))</f>
        <v/>
      </c>
      <c r="T1486" s="66" t="str">
        <f>IFERROR(__xludf.DUMMYFUNCTION("IF(COUNTA(Q1486:Q1673)=0,"""",IF(REGEXMATCH(INDEX(FILTER(Q$4:Q1486,Q$4:Q1486&lt;&gt;""""),ROWS(FILTER(Q$4:Q1486,Q$4:Q1486&lt;&gt;""""))),""^Sell_""),INDEX(FILTER(T$4:T1485,Q$4:Q1485&lt;&gt;""""),ROWS(FILTER(Q$4:Q1485,Q$4:Q1485&lt;&gt;""""))),$AD$5+S1486))"),"")</f>
        <v/>
      </c>
      <c r="U1486" s="10" t="str">
        <f>IFERROR(__xludf.DUMMYFUNCTION("IF(COUNTA(Q1486:Q1673)=0,"""",IF(Q1486="""",0,IF(REGEXMATCH(Q1486,""^Sell_""),-ROUNDDOWN(ROUNDUP(INDEX(Upgrades!$C$3:$C$13,MATCH(SUBSTITUTE(Q1486,""Sell_"",""""),Upgrades!$B$3:$B$13,0))*1.15^(COUNTIF(Q$4:Q1485,SUBSTITUTE(Q1486,""Sell_"",""""))-COUNTIF(Q$4"&amp;":Q1485,""Sell_""&amp;SUBSTITUTE(Q1486,""Sell_"",""""))))/2),ROUNDUP(INDEX(Upgrades!$C$3:$C$13,MATCH(Q1486,Upgrades!$B$3:$B$13,0))*1.15^(COUNTIF(Q$4:Q1485,Q1486)-COUNTIF(Q$4:Q1485,""Sell_""&amp;Q1486))))))"),"")</f>
        <v/>
      </c>
      <c r="V1486" s="10" t="str">
        <f t="shared" si="11"/>
        <v/>
      </c>
      <c r="W1486" s="68" t="str">
        <f t="shared" si="12"/>
        <v/>
      </c>
      <c r="X1486" s="59" t="str">
        <f t="shared" si="13"/>
        <v/>
      </c>
      <c r="Y1486" s="69" t="str">
        <f t="shared" si="14"/>
        <v/>
      </c>
      <c r="Z1486" s="11"/>
    </row>
    <row r="1487">
      <c r="A1487" s="8"/>
      <c r="B1487" s="56" t="str">
        <f t="shared" si="2"/>
        <v/>
      </c>
      <c r="C1487" s="105"/>
      <c r="D1487" s="10"/>
      <c r="E1487" s="59" t="str">
        <f t="array" ref="E1487">IF(COUNTA(C1487:C1673)=0,"",SUM((COUNTIF(C$4:C1487,Upgrades!$B$3:$B$13)-COUNTIF(C$4:C1487,"Sell_"&amp;Upgrades!$B$3:$B$13))*Upgrades!$D$3:$D$13))</f>
        <v/>
      </c>
      <c r="F1487" s="66" t="str">
        <f>IFERROR(__xludf.DUMMYFUNCTION("IF(COUNTA(C1487:C1673)=0,"""",IF(REGEXMATCH(INDEX(FILTER(C$4:C1487,C$4:C1487&lt;&gt;""""),ROWS(FILTER(C$4:C1487,C$4:C1487&lt;&gt;""""))),""^Sell_""),INDEX(FILTER(F$4:F1486,C$4:C1486&lt;&gt;""""),ROWS(FILTER(C$4:C1486,C$4:C1486&lt;&gt;""""))),$AC$5+E1487))"),"")</f>
        <v/>
      </c>
      <c r="G1487" s="10" t="str">
        <f>IFERROR(__xludf.DUMMYFUNCTION("IF(COUNTA(C1487:C1673)=0,"""",IF(C1487="""",0,IF(REGEXMATCH(C1487,""^Sell_""),-ROUNDDOWN(ROUNDUP(INDEX(Upgrades!$C$3:$C$13,MATCH(SUBSTITUTE(C1487,""Sell_"",""""),Upgrades!$B$3:$B$13,0))*1.15^(COUNTIF(C$4:C1486,SUBSTITUTE(C1487,""Sell_"",""""))-COUNTIF(C$4"&amp;":C1486,""Sell_""&amp;SUBSTITUTE(C1487,""Sell_"",""""))))/2),ROUNDUP(INDEX(Upgrades!$C$3:$C$13,MATCH(C1487,Upgrades!$B$3:$B$13,0))*1.15^(COUNTIF(C$4:C1486,C1487)-COUNTIF(C$4:C1486,""Sell_""&amp;C1487))))))"),"")</f>
        <v/>
      </c>
      <c r="H1487" s="10" t="str">
        <f t="shared" si="3"/>
        <v/>
      </c>
      <c r="I1487" s="68" t="str">
        <f t="shared" si="4"/>
        <v/>
      </c>
      <c r="J1487" s="59" t="str">
        <f t="shared" si="5"/>
        <v/>
      </c>
      <c r="K1487" s="69" t="str">
        <f t="shared" si="6"/>
        <v/>
      </c>
      <c r="L1487" s="60" t="str">
        <f t="shared" si="7"/>
        <v/>
      </c>
      <c r="M1487" s="61" t="str">
        <f>IFERROR(__xludf.DUMMYFUNCTION("IFS(AND(COUNTA(C1487:C1673)=0,COUNTA(Q1487:Q1673)=0),"""",OR(AND(K1487&gt;=1000000000,OR(Y1487&gt;=1000000000,COUNTA(Q1487:Q1673)=0)),OR(Y1487&gt;=1000000000,AND(COUNTA(C1487:C1673)=0,P$3=TRUE))),
ROUNDDOWN((AB$1-AC$1)*MAX(INDEX(T$4:T1673,MATCH(LARGE(FILTER(Y$4:Y1"&amp;"673,Y$4:Y1673&lt;1000000000),1),Y$4:Y1673)),INDEX(F$4:F1673,MATCH(LARGE(FILTER(K$4:K1673,K$4:K1673&lt;1000000000),1),K$4:K1673)))),AND(K1487&lt;1000000000,COUNTA(C1487:C1673)&gt;0,P$3=FALSE),
ROUNDDOWN(INDEX(Y$4:Y1673,MATCH(LARGE(FILTER(W$4:W1673,W$4:W1673&lt;=I1487),1)"&amp;",W$4:W1673))+(I1487-LARGE(FILTER(W$4:W1673,W$4:W1673&lt;=I1487),1))*INDEX(T$4:T1673,MATCH(LARGE(FILTER(W$4:W1673,W$4:W1673&lt;=I1487),1),W$4:W1673))-K1487),1,
ROUNDDOWN(Y1487-INDEX(K$4:K1673,MATCH(LARGE(FILTER(I$4:I1673,I$4:I1673&lt;=W1487),1),I$4:I1673))-(W1487-L"&amp;"ARGE(FILTER(I$4:I1673,I$4:I1673&lt;=W1487),1))*INDEX(F$4:F1673,MATCH(LARGE(FILTER(I$4:I1673,I$4:I1673&lt;=W1487),1),I$4:I1673))))"),"")</f>
        <v/>
      </c>
      <c r="N1487" s="60" t="str">
        <f t="shared" si="8"/>
        <v/>
      </c>
      <c r="O1487" s="61" t="str">
        <f t="shared" si="9"/>
        <v/>
      </c>
      <c r="P1487" s="56" t="str">
        <f t="shared" si="10"/>
        <v/>
      </c>
      <c r="Q1487" s="67"/>
      <c r="R1487" s="10"/>
      <c r="S1487" s="59" t="str">
        <f t="array" ref="S1487">IF(COUNTA(Q1487:Q1673)=0,"",SUM((COUNTIF(Q$4:Q1487,Upgrades!$B$3:$B$13)-COUNTIF(Q$4:Q1487,"Sell_"&amp;Upgrades!$B$3:$B$13))*Upgrades!$D$3:$D$13))</f>
        <v/>
      </c>
      <c r="T1487" s="66" t="str">
        <f>IFERROR(__xludf.DUMMYFUNCTION("IF(COUNTA(Q1487:Q1673)=0,"""",IF(REGEXMATCH(INDEX(FILTER(Q$4:Q1487,Q$4:Q1487&lt;&gt;""""),ROWS(FILTER(Q$4:Q1487,Q$4:Q1487&lt;&gt;""""))),""^Sell_""),INDEX(FILTER(T$4:T1486,Q$4:Q1486&lt;&gt;""""),ROWS(FILTER(Q$4:Q1486,Q$4:Q1486&lt;&gt;""""))),$AD$5+S1487))"),"")</f>
        <v/>
      </c>
      <c r="U1487" s="10" t="str">
        <f>IFERROR(__xludf.DUMMYFUNCTION("IF(COUNTA(Q1487:Q1673)=0,"""",IF(Q1487="""",0,IF(REGEXMATCH(Q1487,""^Sell_""),-ROUNDDOWN(ROUNDUP(INDEX(Upgrades!$C$3:$C$13,MATCH(SUBSTITUTE(Q1487,""Sell_"",""""),Upgrades!$B$3:$B$13,0))*1.15^(COUNTIF(Q$4:Q1486,SUBSTITUTE(Q1487,""Sell_"",""""))-COUNTIF(Q$4"&amp;":Q1486,""Sell_""&amp;SUBSTITUTE(Q1487,""Sell_"",""""))))/2),ROUNDUP(INDEX(Upgrades!$C$3:$C$13,MATCH(Q1487,Upgrades!$B$3:$B$13,0))*1.15^(COUNTIF(Q$4:Q1486,Q1487)-COUNTIF(Q$4:Q1486,""Sell_""&amp;Q1487))))))"),"")</f>
        <v/>
      </c>
      <c r="V1487" s="10" t="str">
        <f t="shared" si="11"/>
        <v/>
      </c>
      <c r="W1487" s="68" t="str">
        <f t="shared" si="12"/>
        <v/>
      </c>
      <c r="X1487" s="59" t="str">
        <f t="shared" si="13"/>
        <v/>
      </c>
      <c r="Y1487" s="69" t="str">
        <f t="shared" si="14"/>
        <v/>
      </c>
      <c r="Z1487" s="11"/>
    </row>
    <row r="1488">
      <c r="A1488" s="8"/>
      <c r="B1488" s="56" t="str">
        <f t="shared" si="2"/>
        <v/>
      </c>
      <c r="C1488" s="105"/>
      <c r="D1488" s="10"/>
      <c r="E1488" s="59" t="str">
        <f t="array" ref="E1488">IF(COUNTA(C1488:C1673)=0,"",SUM((COUNTIF(C$4:C1488,Upgrades!$B$3:$B$13)-COUNTIF(C$4:C1488,"Sell_"&amp;Upgrades!$B$3:$B$13))*Upgrades!$D$3:$D$13))</f>
        <v/>
      </c>
      <c r="F1488" s="66" t="str">
        <f>IFERROR(__xludf.DUMMYFUNCTION("IF(COUNTA(C1488:C1673)=0,"""",IF(REGEXMATCH(INDEX(FILTER(C$4:C1488,C$4:C1488&lt;&gt;""""),ROWS(FILTER(C$4:C1488,C$4:C1488&lt;&gt;""""))),""^Sell_""),INDEX(FILTER(F$4:F1487,C$4:C1487&lt;&gt;""""),ROWS(FILTER(C$4:C1487,C$4:C1487&lt;&gt;""""))),$AC$5+E1488))"),"")</f>
        <v/>
      </c>
      <c r="G1488" s="10" t="str">
        <f>IFERROR(__xludf.DUMMYFUNCTION("IF(COUNTA(C1488:C1673)=0,"""",IF(C1488="""",0,IF(REGEXMATCH(C1488,""^Sell_""),-ROUNDDOWN(ROUNDUP(INDEX(Upgrades!$C$3:$C$13,MATCH(SUBSTITUTE(C1488,""Sell_"",""""),Upgrades!$B$3:$B$13,0))*1.15^(COUNTIF(C$4:C1487,SUBSTITUTE(C1488,""Sell_"",""""))-COUNTIF(C$4"&amp;":C1487,""Sell_""&amp;SUBSTITUTE(C1488,""Sell_"",""""))))/2),ROUNDUP(INDEX(Upgrades!$C$3:$C$13,MATCH(C1488,Upgrades!$B$3:$B$13,0))*1.15^(COUNTIF(C$4:C1487,C1488)-COUNTIF(C$4:C1487,""Sell_""&amp;C1488))))))"),"")</f>
        <v/>
      </c>
      <c r="H1488" s="10" t="str">
        <f t="shared" si="3"/>
        <v/>
      </c>
      <c r="I1488" s="68" t="str">
        <f t="shared" si="4"/>
        <v/>
      </c>
      <c r="J1488" s="59" t="str">
        <f t="shared" si="5"/>
        <v/>
      </c>
      <c r="K1488" s="69" t="str">
        <f t="shared" si="6"/>
        <v/>
      </c>
      <c r="L1488" s="60" t="str">
        <f t="shared" si="7"/>
        <v/>
      </c>
      <c r="M1488" s="61" t="str">
        <f>IFERROR(__xludf.DUMMYFUNCTION("IFS(AND(COUNTA(C1488:C1673)=0,COUNTA(Q1488:Q1673)=0),"""",OR(AND(K1488&gt;=1000000000,OR(Y1488&gt;=1000000000,COUNTA(Q1488:Q1673)=0)),OR(Y1488&gt;=1000000000,AND(COUNTA(C1488:C1673)=0,P$3=TRUE))),
ROUNDDOWN((AB$1-AC$1)*MAX(INDEX(T$4:T1673,MATCH(LARGE(FILTER(Y$4:Y1"&amp;"673,Y$4:Y1673&lt;1000000000),1),Y$4:Y1673)),INDEX(F$4:F1673,MATCH(LARGE(FILTER(K$4:K1673,K$4:K1673&lt;1000000000),1),K$4:K1673)))),AND(K1488&lt;1000000000,COUNTA(C1488:C1673)&gt;0,P$3=FALSE),
ROUNDDOWN(INDEX(Y$4:Y1673,MATCH(LARGE(FILTER(W$4:W1673,W$4:W1673&lt;=I1488),1)"&amp;",W$4:W1673))+(I1488-LARGE(FILTER(W$4:W1673,W$4:W1673&lt;=I1488),1))*INDEX(T$4:T1673,MATCH(LARGE(FILTER(W$4:W1673,W$4:W1673&lt;=I1488),1),W$4:W1673))-K1488),1,
ROUNDDOWN(Y1488-INDEX(K$4:K1673,MATCH(LARGE(FILTER(I$4:I1673,I$4:I1673&lt;=W1488),1),I$4:I1673))-(W1488-L"&amp;"ARGE(FILTER(I$4:I1673,I$4:I1673&lt;=W1488),1))*INDEX(F$4:F1673,MATCH(LARGE(FILTER(I$4:I1673,I$4:I1673&lt;=W1488),1),I$4:I1673))))"),"")</f>
        <v/>
      </c>
      <c r="N1488" s="60" t="str">
        <f t="shared" si="8"/>
        <v/>
      </c>
      <c r="O1488" s="61" t="str">
        <f t="shared" si="9"/>
        <v/>
      </c>
      <c r="P1488" s="56" t="str">
        <f t="shared" si="10"/>
        <v/>
      </c>
      <c r="Q1488" s="67"/>
      <c r="R1488" s="10"/>
      <c r="S1488" s="59" t="str">
        <f t="array" ref="S1488">IF(COUNTA(Q1488:Q1673)=0,"",SUM((COUNTIF(Q$4:Q1488,Upgrades!$B$3:$B$13)-COUNTIF(Q$4:Q1488,"Sell_"&amp;Upgrades!$B$3:$B$13))*Upgrades!$D$3:$D$13))</f>
        <v/>
      </c>
      <c r="T1488" s="66" t="str">
        <f>IFERROR(__xludf.DUMMYFUNCTION("IF(COUNTA(Q1488:Q1673)=0,"""",IF(REGEXMATCH(INDEX(FILTER(Q$4:Q1488,Q$4:Q1488&lt;&gt;""""),ROWS(FILTER(Q$4:Q1488,Q$4:Q1488&lt;&gt;""""))),""^Sell_""),INDEX(FILTER(T$4:T1487,Q$4:Q1487&lt;&gt;""""),ROWS(FILTER(Q$4:Q1487,Q$4:Q1487&lt;&gt;""""))),$AD$5+S1488))"),"")</f>
        <v/>
      </c>
      <c r="U1488" s="10" t="str">
        <f>IFERROR(__xludf.DUMMYFUNCTION("IF(COUNTA(Q1488:Q1673)=0,"""",IF(Q1488="""",0,IF(REGEXMATCH(Q1488,""^Sell_""),-ROUNDDOWN(ROUNDUP(INDEX(Upgrades!$C$3:$C$13,MATCH(SUBSTITUTE(Q1488,""Sell_"",""""),Upgrades!$B$3:$B$13,0))*1.15^(COUNTIF(Q$4:Q1487,SUBSTITUTE(Q1488,""Sell_"",""""))-COUNTIF(Q$4"&amp;":Q1487,""Sell_""&amp;SUBSTITUTE(Q1488,""Sell_"",""""))))/2),ROUNDUP(INDEX(Upgrades!$C$3:$C$13,MATCH(Q1488,Upgrades!$B$3:$B$13,0))*1.15^(COUNTIF(Q$4:Q1487,Q1488)-COUNTIF(Q$4:Q1487,""Sell_""&amp;Q1488))))))"),"")</f>
        <v/>
      </c>
      <c r="V1488" s="10" t="str">
        <f t="shared" si="11"/>
        <v/>
      </c>
      <c r="W1488" s="68" t="str">
        <f t="shared" si="12"/>
        <v/>
      </c>
      <c r="X1488" s="59" t="str">
        <f t="shared" si="13"/>
        <v/>
      </c>
      <c r="Y1488" s="69" t="str">
        <f t="shared" si="14"/>
        <v/>
      </c>
      <c r="Z1488" s="11"/>
    </row>
    <row r="1489">
      <c r="A1489" s="8"/>
      <c r="B1489" s="56" t="str">
        <f t="shared" si="2"/>
        <v/>
      </c>
      <c r="C1489" s="105"/>
      <c r="D1489" s="10"/>
      <c r="E1489" s="59" t="str">
        <f t="array" ref="E1489">IF(COUNTA(C1489:C1673)=0,"",SUM((COUNTIF(C$4:C1489,Upgrades!$B$3:$B$13)-COUNTIF(C$4:C1489,"Sell_"&amp;Upgrades!$B$3:$B$13))*Upgrades!$D$3:$D$13))</f>
        <v/>
      </c>
      <c r="F1489" s="66" t="str">
        <f>IFERROR(__xludf.DUMMYFUNCTION("IF(COUNTA(C1489:C1673)=0,"""",IF(REGEXMATCH(INDEX(FILTER(C$4:C1489,C$4:C1489&lt;&gt;""""),ROWS(FILTER(C$4:C1489,C$4:C1489&lt;&gt;""""))),""^Sell_""),INDEX(FILTER(F$4:F1488,C$4:C1488&lt;&gt;""""),ROWS(FILTER(C$4:C1488,C$4:C1488&lt;&gt;""""))),$AC$5+E1489))"),"")</f>
        <v/>
      </c>
      <c r="G1489" s="10" t="str">
        <f>IFERROR(__xludf.DUMMYFUNCTION("IF(COUNTA(C1489:C1673)=0,"""",IF(C1489="""",0,IF(REGEXMATCH(C1489,""^Sell_""),-ROUNDDOWN(ROUNDUP(INDEX(Upgrades!$C$3:$C$13,MATCH(SUBSTITUTE(C1489,""Sell_"",""""),Upgrades!$B$3:$B$13,0))*1.15^(COUNTIF(C$4:C1488,SUBSTITUTE(C1489,""Sell_"",""""))-COUNTIF(C$4"&amp;":C1488,""Sell_""&amp;SUBSTITUTE(C1489,""Sell_"",""""))))/2),ROUNDUP(INDEX(Upgrades!$C$3:$C$13,MATCH(C1489,Upgrades!$B$3:$B$13,0))*1.15^(COUNTIF(C$4:C1488,C1489)-COUNTIF(C$4:C1488,""Sell_""&amp;C1489))))))"),"")</f>
        <v/>
      </c>
      <c r="H1489" s="10" t="str">
        <f t="shared" si="3"/>
        <v/>
      </c>
      <c r="I1489" s="68" t="str">
        <f t="shared" si="4"/>
        <v/>
      </c>
      <c r="J1489" s="59" t="str">
        <f t="shared" si="5"/>
        <v/>
      </c>
      <c r="K1489" s="69" t="str">
        <f t="shared" si="6"/>
        <v/>
      </c>
      <c r="L1489" s="60" t="str">
        <f t="shared" si="7"/>
        <v/>
      </c>
      <c r="M1489" s="61" t="str">
        <f>IFERROR(__xludf.DUMMYFUNCTION("IFS(AND(COUNTA(C1489:C1673)=0,COUNTA(Q1489:Q1673)=0),"""",OR(AND(K1489&gt;=1000000000,OR(Y1489&gt;=1000000000,COUNTA(Q1489:Q1673)=0)),OR(Y1489&gt;=1000000000,AND(COUNTA(C1489:C1673)=0,P$3=TRUE))),
ROUNDDOWN((AB$1-AC$1)*MAX(INDEX(T$4:T1673,MATCH(LARGE(FILTER(Y$4:Y1"&amp;"673,Y$4:Y1673&lt;1000000000),1),Y$4:Y1673)),INDEX(F$4:F1673,MATCH(LARGE(FILTER(K$4:K1673,K$4:K1673&lt;1000000000),1),K$4:K1673)))),AND(K1489&lt;1000000000,COUNTA(C1489:C1673)&gt;0,P$3=FALSE),
ROUNDDOWN(INDEX(Y$4:Y1673,MATCH(LARGE(FILTER(W$4:W1673,W$4:W1673&lt;=I1489),1)"&amp;",W$4:W1673))+(I1489-LARGE(FILTER(W$4:W1673,W$4:W1673&lt;=I1489),1))*INDEX(T$4:T1673,MATCH(LARGE(FILTER(W$4:W1673,W$4:W1673&lt;=I1489),1),W$4:W1673))-K1489),1,
ROUNDDOWN(Y1489-INDEX(K$4:K1673,MATCH(LARGE(FILTER(I$4:I1673,I$4:I1673&lt;=W1489),1),I$4:I1673))-(W1489-L"&amp;"ARGE(FILTER(I$4:I1673,I$4:I1673&lt;=W1489),1))*INDEX(F$4:F1673,MATCH(LARGE(FILTER(I$4:I1673,I$4:I1673&lt;=W1489),1),I$4:I1673))))"),"")</f>
        <v/>
      </c>
      <c r="N1489" s="60" t="str">
        <f t="shared" si="8"/>
        <v/>
      </c>
      <c r="O1489" s="61" t="str">
        <f t="shared" si="9"/>
        <v/>
      </c>
      <c r="P1489" s="56" t="str">
        <f t="shared" si="10"/>
        <v/>
      </c>
      <c r="Q1489" s="67"/>
      <c r="R1489" s="10"/>
      <c r="S1489" s="59" t="str">
        <f t="array" ref="S1489">IF(COUNTA(Q1489:Q1673)=0,"",SUM((COUNTIF(Q$4:Q1489,Upgrades!$B$3:$B$13)-COUNTIF(Q$4:Q1489,"Sell_"&amp;Upgrades!$B$3:$B$13))*Upgrades!$D$3:$D$13))</f>
        <v/>
      </c>
      <c r="T1489" s="66" t="str">
        <f>IFERROR(__xludf.DUMMYFUNCTION("IF(COUNTA(Q1489:Q1673)=0,"""",IF(REGEXMATCH(INDEX(FILTER(Q$4:Q1489,Q$4:Q1489&lt;&gt;""""),ROWS(FILTER(Q$4:Q1489,Q$4:Q1489&lt;&gt;""""))),""^Sell_""),INDEX(FILTER(T$4:T1488,Q$4:Q1488&lt;&gt;""""),ROWS(FILTER(Q$4:Q1488,Q$4:Q1488&lt;&gt;""""))),$AD$5+S1489))"),"")</f>
        <v/>
      </c>
      <c r="U1489" s="10" t="str">
        <f>IFERROR(__xludf.DUMMYFUNCTION("IF(COUNTA(Q1489:Q1673)=0,"""",IF(Q1489="""",0,IF(REGEXMATCH(Q1489,""^Sell_""),-ROUNDDOWN(ROUNDUP(INDEX(Upgrades!$C$3:$C$13,MATCH(SUBSTITUTE(Q1489,""Sell_"",""""),Upgrades!$B$3:$B$13,0))*1.15^(COUNTIF(Q$4:Q1488,SUBSTITUTE(Q1489,""Sell_"",""""))-COUNTIF(Q$4"&amp;":Q1488,""Sell_""&amp;SUBSTITUTE(Q1489,""Sell_"",""""))))/2),ROUNDUP(INDEX(Upgrades!$C$3:$C$13,MATCH(Q1489,Upgrades!$B$3:$B$13,0))*1.15^(COUNTIF(Q$4:Q1488,Q1489)-COUNTIF(Q$4:Q1488,""Sell_""&amp;Q1489))))))"),"")</f>
        <v/>
      </c>
      <c r="V1489" s="10" t="str">
        <f t="shared" si="11"/>
        <v/>
      </c>
      <c r="W1489" s="68" t="str">
        <f t="shared" si="12"/>
        <v/>
      </c>
      <c r="X1489" s="59" t="str">
        <f t="shared" si="13"/>
        <v/>
      </c>
      <c r="Y1489" s="69" t="str">
        <f t="shared" si="14"/>
        <v/>
      </c>
      <c r="Z1489" s="11"/>
    </row>
    <row r="1490">
      <c r="A1490" s="8"/>
      <c r="B1490" s="56" t="str">
        <f t="shared" si="2"/>
        <v/>
      </c>
      <c r="C1490" s="105"/>
      <c r="D1490" s="10"/>
      <c r="E1490" s="59" t="str">
        <f t="array" ref="E1490">IF(COUNTA(C1490:C1673)=0,"",SUM((COUNTIF(C$4:C1490,Upgrades!$B$3:$B$13)-COUNTIF(C$4:C1490,"Sell_"&amp;Upgrades!$B$3:$B$13))*Upgrades!$D$3:$D$13))</f>
        <v/>
      </c>
      <c r="F1490" s="66" t="str">
        <f>IFERROR(__xludf.DUMMYFUNCTION("IF(COUNTA(C1490:C1673)=0,"""",IF(REGEXMATCH(INDEX(FILTER(C$4:C1490,C$4:C1490&lt;&gt;""""),ROWS(FILTER(C$4:C1490,C$4:C1490&lt;&gt;""""))),""^Sell_""),INDEX(FILTER(F$4:F1489,C$4:C1489&lt;&gt;""""),ROWS(FILTER(C$4:C1489,C$4:C1489&lt;&gt;""""))),$AC$5+E1490))"),"")</f>
        <v/>
      </c>
      <c r="G1490" s="10" t="str">
        <f>IFERROR(__xludf.DUMMYFUNCTION("IF(COUNTA(C1490:C1673)=0,"""",IF(C1490="""",0,IF(REGEXMATCH(C1490,""^Sell_""),-ROUNDDOWN(ROUNDUP(INDEX(Upgrades!$C$3:$C$13,MATCH(SUBSTITUTE(C1490,""Sell_"",""""),Upgrades!$B$3:$B$13,0))*1.15^(COUNTIF(C$4:C1489,SUBSTITUTE(C1490,""Sell_"",""""))-COUNTIF(C$4"&amp;":C1489,""Sell_""&amp;SUBSTITUTE(C1490,""Sell_"",""""))))/2),ROUNDUP(INDEX(Upgrades!$C$3:$C$13,MATCH(C1490,Upgrades!$B$3:$B$13,0))*1.15^(COUNTIF(C$4:C1489,C1490)-COUNTIF(C$4:C1489,""Sell_""&amp;C1490))))))"),"")</f>
        <v/>
      </c>
      <c r="H1490" s="10" t="str">
        <f t="shared" si="3"/>
        <v/>
      </c>
      <c r="I1490" s="68" t="str">
        <f t="shared" si="4"/>
        <v/>
      </c>
      <c r="J1490" s="59" t="str">
        <f t="shared" si="5"/>
        <v/>
      </c>
      <c r="K1490" s="69" t="str">
        <f t="shared" si="6"/>
        <v/>
      </c>
      <c r="L1490" s="60" t="str">
        <f t="shared" si="7"/>
        <v/>
      </c>
      <c r="M1490" s="61" t="str">
        <f>IFERROR(__xludf.DUMMYFUNCTION("IFS(AND(COUNTA(C1490:C1673)=0,COUNTA(Q1490:Q1673)=0),"""",OR(AND(K1490&gt;=1000000000,OR(Y1490&gt;=1000000000,COUNTA(Q1490:Q1673)=0)),OR(Y1490&gt;=1000000000,AND(COUNTA(C1490:C1673)=0,P$3=TRUE))),
ROUNDDOWN((AB$1-AC$1)*MAX(INDEX(T$4:T1673,MATCH(LARGE(FILTER(Y$4:Y1"&amp;"673,Y$4:Y1673&lt;1000000000),1),Y$4:Y1673)),INDEX(F$4:F1673,MATCH(LARGE(FILTER(K$4:K1673,K$4:K1673&lt;1000000000),1),K$4:K1673)))),AND(K1490&lt;1000000000,COUNTA(C1490:C1673)&gt;0,P$3=FALSE),
ROUNDDOWN(INDEX(Y$4:Y1673,MATCH(LARGE(FILTER(W$4:W1673,W$4:W1673&lt;=I1490),1)"&amp;",W$4:W1673))+(I1490-LARGE(FILTER(W$4:W1673,W$4:W1673&lt;=I1490),1))*INDEX(T$4:T1673,MATCH(LARGE(FILTER(W$4:W1673,W$4:W1673&lt;=I1490),1),W$4:W1673))-K1490),1,
ROUNDDOWN(Y1490-INDEX(K$4:K1673,MATCH(LARGE(FILTER(I$4:I1673,I$4:I1673&lt;=W1490),1),I$4:I1673))-(W1490-L"&amp;"ARGE(FILTER(I$4:I1673,I$4:I1673&lt;=W1490),1))*INDEX(F$4:F1673,MATCH(LARGE(FILTER(I$4:I1673,I$4:I1673&lt;=W1490),1),I$4:I1673))))"),"")</f>
        <v/>
      </c>
      <c r="N1490" s="60" t="str">
        <f t="shared" si="8"/>
        <v/>
      </c>
      <c r="O1490" s="61" t="str">
        <f t="shared" si="9"/>
        <v/>
      </c>
      <c r="P1490" s="56" t="str">
        <f t="shared" si="10"/>
        <v/>
      </c>
      <c r="Q1490" s="67"/>
      <c r="R1490" s="10"/>
      <c r="S1490" s="59" t="str">
        <f t="array" ref="S1490">IF(COUNTA(Q1490:Q1673)=0,"",SUM((COUNTIF(Q$4:Q1490,Upgrades!$B$3:$B$13)-COUNTIF(Q$4:Q1490,"Sell_"&amp;Upgrades!$B$3:$B$13))*Upgrades!$D$3:$D$13))</f>
        <v/>
      </c>
      <c r="T1490" s="66" t="str">
        <f>IFERROR(__xludf.DUMMYFUNCTION("IF(COUNTA(Q1490:Q1673)=0,"""",IF(REGEXMATCH(INDEX(FILTER(Q$4:Q1490,Q$4:Q1490&lt;&gt;""""),ROWS(FILTER(Q$4:Q1490,Q$4:Q1490&lt;&gt;""""))),""^Sell_""),INDEX(FILTER(T$4:T1489,Q$4:Q1489&lt;&gt;""""),ROWS(FILTER(Q$4:Q1489,Q$4:Q1489&lt;&gt;""""))),$AD$5+S1490))"),"")</f>
        <v/>
      </c>
      <c r="U1490" s="10" t="str">
        <f>IFERROR(__xludf.DUMMYFUNCTION("IF(COUNTA(Q1490:Q1673)=0,"""",IF(Q1490="""",0,IF(REGEXMATCH(Q1490,""^Sell_""),-ROUNDDOWN(ROUNDUP(INDEX(Upgrades!$C$3:$C$13,MATCH(SUBSTITUTE(Q1490,""Sell_"",""""),Upgrades!$B$3:$B$13,0))*1.15^(COUNTIF(Q$4:Q1489,SUBSTITUTE(Q1490,""Sell_"",""""))-COUNTIF(Q$4"&amp;":Q1489,""Sell_""&amp;SUBSTITUTE(Q1490,""Sell_"",""""))))/2),ROUNDUP(INDEX(Upgrades!$C$3:$C$13,MATCH(Q1490,Upgrades!$B$3:$B$13,0))*1.15^(COUNTIF(Q$4:Q1489,Q1490)-COUNTIF(Q$4:Q1489,""Sell_""&amp;Q1490))))))"),"")</f>
        <v/>
      </c>
      <c r="V1490" s="10" t="str">
        <f t="shared" si="11"/>
        <v/>
      </c>
      <c r="W1490" s="68" t="str">
        <f t="shared" si="12"/>
        <v/>
      </c>
      <c r="X1490" s="59" t="str">
        <f t="shared" si="13"/>
        <v/>
      </c>
      <c r="Y1490" s="69" t="str">
        <f t="shared" si="14"/>
        <v/>
      </c>
      <c r="Z1490" s="11"/>
    </row>
    <row r="1491">
      <c r="A1491" s="8"/>
      <c r="B1491" s="56" t="str">
        <f t="shared" si="2"/>
        <v/>
      </c>
      <c r="C1491" s="105"/>
      <c r="D1491" s="10"/>
      <c r="E1491" s="59" t="str">
        <f t="array" ref="E1491">IF(COUNTA(C1491:C1673)=0,"",SUM((COUNTIF(C$4:C1491,Upgrades!$B$3:$B$13)-COUNTIF(C$4:C1491,"Sell_"&amp;Upgrades!$B$3:$B$13))*Upgrades!$D$3:$D$13))</f>
        <v/>
      </c>
      <c r="F1491" s="66" t="str">
        <f>IFERROR(__xludf.DUMMYFUNCTION("IF(COUNTA(C1491:C1673)=0,"""",IF(REGEXMATCH(INDEX(FILTER(C$4:C1491,C$4:C1491&lt;&gt;""""),ROWS(FILTER(C$4:C1491,C$4:C1491&lt;&gt;""""))),""^Sell_""),INDEX(FILTER(F$4:F1490,C$4:C1490&lt;&gt;""""),ROWS(FILTER(C$4:C1490,C$4:C1490&lt;&gt;""""))),$AC$5+E1491))"),"")</f>
        <v/>
      </c>
      <c r="G1491" s="10" t="str">
        <f>IFERROR(__xludf.DUMMYFUNCTION("IF(COUNTA(C1491:C1673)=0,"""",IF(C1491="""",0,IF(REGEXMATCH(C1491,""^Sell_""),-ROUNDDOWN(ROUNDUP(INDEX(Upgrades!$C$3:$C$13,MATCH(SUBSTITUTE(C1491,""Sell_"",""""),Upgrades!$B$3:$B$13,0))*1.15^(COUNTIF(C$4:C1490,SUBSTITUTE(C1491,""Sell_"",""""))-COUNTIF(C$4"&amp;":C1490,""Sell_""&amp;SUBSTITUTE(C1491,""Sell_"",""""))))/2),ROUNDUP(INDEX(Upgrades!$C$3:$C$13,MATCH(C1491,Upgrades!$B$3:$B$13,0))*1.15^(COUNTIF(C$4:C1490,C1491)-COUNTIF(C$4:C1490,""Sell_""&amp;C1491))))))"),"")</f>
        <v/>
      </c>
      <c r="H1491" s="10" t="str">
        <f t="shared" si="3"/>
        <v/>
      </c>
      <c r="I1491" s="68" t="str">
        <f t="shared" si="4"/>
        <v/>
      </c>
      <c r="J1491" s="59" t="str">
        <f t="shared" si="5"/>
        <v/>
      </c>
      <c r="K1491" s="69" t="str">
        <f t="shared" si="6"/>
        <v/>
      </c>
      <c r="L1491" s="60" t="str">
        <f t="shared" si="7"/>
        <v/>
      </c>
      <c r="M1491" s="61" t="str">
        <f>IFERROR(__xludf.DUMMYFUNCTION("IFS(AND(COUNTA(C1491:C1673)=0,COUNTA(Q1491:Q1673)=0),"""",OR(AND(K1491&gt;=1000000000,OR(Y1491&gt;=1000000000,COUNTA(Q1491:Q1673)=0)),OR(Y1491&gt;=1000000000,AND(COUNTA(C1491:C1673)=0,P$3=TRUE))),
ROUNDDOWN((AB$1-AC$1)*MAX(INDEX(T$4:T1673,MATCH(LARGE(FILTER(Y$4:Y1"&amp;"673,Y$4:Y1673&lt;1000000000),1),Y$4:Y1673)),INDEX(F$4:F1673,MATCH(LARGE(FILTER(K$4:K1673,K$4:K1673&lt;1000000000),1),K$4:K1673)))),AND(K1491&lt;1000000000,COUNTA(C1491:C1673)&gt;0,P$3=FALSE),
ROUNDDOWN(INDEX(Y$4:Y1673,MATCH(LARGE(FILTER(W$4:W1673,W$4:W1673&lt;=I1491),1)"&amp;",W$4:W1673))+(I1491-LARGE(FILTER(W$4:W1673,W$4:W1673&lt;=I1491),1))*INDEX(T$4:T1673,MATCH(LARGE(FILTER(W$4:W1673,W$4:W1673&lt;=I1491),1),W$4:W1673))-K1491),1,
ROUNDDOWN(Y1491-INDEX(K$4:K1673,MATCH(LARGE(FILTER(I$4:I1673,I$4:I1673&lt;=W1491),1),I$4:I1673))-(W1491-L"&amp;"ARGE(FILTER(I$4:I1673,I$4:I1673&lt;=W1491),1))*INDEX(F$4:F1673,MATCH(LARGE(FILTER(I$4:I1673,I$4:I1673&lt;=W1491),1),I$4:I1673))))"),"")</f>
        <v/>
      </c>
      <c r="N1491" s="60" t="str">
        <f t="shared" si="8"/>
        <v/>
      </c>
      <c r="O1491" s="61" t="str">
        <f t="shared" si="9"/>
        <v/>
      </c>
      <c r="P1491" s="56" t="str">
        <f t="shared" si="10"/>
        <v/>
      </c>
      <c r="Q1491" s="67"/>
      <c r="R1491" s="10"/>
      <c r="S1491" s="59" t="str">
        <f t="array" ref="S1491">IF(COUNTA(Q1491:Q1673)=0,"",SUM((COUNTIF(Q$4:Q1491,Upgrades!$B$3:$B$13)-COUNTIF(Q$4:Q1491,"Sell_"&amp;Upgrades!$B$3:$B$13))*Upgrades!$D$3:$D$13))</f>
        <v/>
      </c>
      <c r="T1491" s="66" t="str">
        <f>IFERROR(__xludf.DUMMYFUNCTION("IF(COUNTA(Q1491:Q1673)=0,"""",IF(REGEXMATCH(INDEX(FILTER(Q$4:Q1491,Q$4:Q1491&lt;&gt;""""),ROWS(FILTER(Q$4:Q1491,Q$4:Q1491&lt;&gt;""""))),""^Sell_""),INDEX(FILTER(T$4:T1490,Q$4:Q1490&lt;&gt;""""),ROWS(FILTER(Q$4:Q1490,Q$4:Q1490&lt;&gt;""""))),$AD$5+S1491))"),"")</f>
        <v/>
      </c>
      <c r="U1491" s="10" t="str">
        <f>IFERROR(__xludf.DUMMYFUNCTION("IF(COUNTA(Q1491:Q1673)=0,"""",IF(Q1491="""",0,IF(REGEXMATCH(Q1491,""^Sell_""),-ROUNDDOWN(ROUNDUP(INDEX(Upgrades!$C$3:$C$13,MATCH(SUBSTITUTE(Q1491,""Sell_"",""""),Upgrades!$B$3:$B$13,0))*1.15^(COUNTIF(Q$4:Q1490,SUBSTITUTE(Q1491,""Sell_"",""""))-COUNTIF(Q$4"&amp;":Q1490,""Sell_""&amp;SUBSTITUTE(Q1491,""Sell_"",""""))))/2),ROUNDUP(INDEX(Upgrades!$C$3:$C$13,MATCH(Q1491,Upgrades!$B$3:$B$13,0))*1.15^(COUNTIF(Q$4:Q1490,Q1491)-COUNTIF(Q$4:Q1490,""Sell_""&amp;Q1491))))))"),"")</f>
        <v/>
      </c>
      <c r="V1491" s="10" t="str">
        <f t="shared" si="11"/>
        <v/>
      </c>
      <c r="W1491" s="68" t="str">
        <f t="shared" si="12"/>
        <v/>
      </c>
      <c r="X1491" s="59" t="str">
        <f t="shared" si="13"/>
        <v/>
      </c>
      <c r="Y1491" s="69" t="str">
        <f t="shared" si="14"/>
        <v/>
      </c>
      <c r="Z1491" s="11"/>
    </row>
    <row r="1492">
      <c r="A1492" s="8"/>
      <c r="B1492" s="56" t="str">
        <f t="shared" si="2"/>
        <v/>
      </c>
      <c r="C1492" s="105"/>
      <c r="D1492" s="10"/>
      <c r="E1492" s="59" t="str">
        <f t="array" ref="E1492">IF(COUNTA(C1492:C1673)=0,"",SUM((COUNTIF(C$4:C1492,Upgrades!$B$3:$B$13)-COUNTIF(C$4:C1492,"Sell_"&amp;Upgrades!$B$3:$B$13))*Upgrades!$D$3:$D$13))</f>
        <v/>
      </c>
      <c r="F1492" s="66" t="str">
        <f>IFERROR(__xludf.DUMMYFUNCTION("IF(COUNTA(C1492:C1673)=0,"""",IF(REGEXMATCH(INDEX(FILTER(C$4:C1492,C$4:C1492&lt;&gt;""""),ROWS(FILTER(C$4:C1492,C$4:C1492&lt;&gt;""""))),""^Sell_""),INDEX(FILTER(F$4:F1491,C$4:C1491&lt;&gt;""""),ROWS(FILTER(C$4:C1491,C$4:C1491&lt;&gt;""""))),$AC$5+E1492))"),"")</f>
        <v/>
      </c>
      <c r="G1492" s="10" t="str">
        <f>IFERROR(__xludf.DUMMYFUNCTION("IF(COUNTA(C1492:C1673)=0,"""",IF(C1492="""",0,IF(REGEXMATCH(C1492,""^Sell_""),-ROUNDDOWN(ROUNDUP(INDEX(Upgrades!$C$3:$C$13,MATCH(SUBSTITUTE(C1492,""Sell_"",""""),Upgrades!$B$3:$B$13,0))*1.15^(COUNTIF(C$4:C1491,SUBSTITUTE(C1492,""Sell_"",""""))-COUNTIF(C$4"&amp;":C1491,""Sell_""&amp;SUBSTITUTE(C1492,""Sell_"",""""))))/2),ROUNDUP(INDEX(Upgrades!$C$3:$C$13,MATCH(C1492,Upgrades!$B$3:$B$13,0))*1.15^(COUNTIF(C$4:C1491,C1492)-COUNTIF(C$4:C1491,""Sell_""&amp;C1492))))))"),"")</f>
        <v/>
      </c>
      <c r="H1492" s="10" t="str">
        <f t="shared" si="3"/>
        <v/>
      </c>
      <c r="I1492" s="68" t="str">
        <f t="shared" si="4"/>
        <v/>
      </c>
      <c r="J1492" s="59" t="str">
        <f t="shared" si="5"/>
        <v/>
      </c>
      <c r="K1492" s="69" t="str">
        <f t="shared" si="6"/>
        <v/>
      </c>
      <c r="L1492" s="60" t="str">
        <f t="shared" si="7"/>
        <v/>
      </c>
      <c r="M1492" s="61" t="str">
        <f>IFERROR(__xludf.DUMMYFUNCTION("IFS(AND(COUNTA(C1492:C1673)=0,COUNTA(Q1492:Q1673)=0),"""",OR(AND(K1492&gt;=1000000000,OR(Y1492&gt;=1000000000,COUNTA(Q1492:Q1673)=0)),OR(Y1492&gt;=1000000000,AND(COUNTA(C1492:C1673)=0,P$3=TRUE))),
ROUNDDOWN((AB$1-AC$1)*MAX(INDEX(T$4:T1673,MATCH(LARGE(FILTER(Y$4:Y1"&amp;"673,Y$4:Y1673&lt;1000000000),1),Y$4:Y1673)),INDEX(F$4:F1673,MATCH(LARGE(FILTER(K$4:K1673,K$4:K1673&lt;1000000000),1),K$4:K1673)))),AND(K1492&lt;1000000000,COUNTA(C1492:C1673)&gt;0,P$3=FALSE),
ROUNDDOWN(INDEX(Y$4:Y1673,MATCH(LARGE(FILTER(W$4:W1673,W$4:W1673&lt;=I1492),1)"&amp;",W$4:W1673))+(I1492-LARGE(FILTER(W$4:W1673,W$4:W1673&lt;=I1492),1))*INDEX(T$4:T1673,MATCH(LARGE(FILTER(W$4:W1673,W$4:W1673&lt;=I1492),1),W$4:W1673))-K1492),1,
ROUNDDOWN(Y1492-INDEX(K$4:K1673,MATCH(LARGE(FILTER(I$4:I1673,I$4:I1673&lt;=W1492),1),I$4:I1673))-(W1492-L"&amp;"ARGE(FILTER(I$4:I1673,I$4:I1673&lt;=W1492),1))*INDEX(F$4:F1673,MATCH(LARGE(FILTER(I$4:I1673,I$4:I1673&lt;=W1492),1),I$4:I1673))))"),"")</f>
        <v/>
      </c>
      <c r="N1492" s="60" t="str">
        <f t="shared" si="8"/>
        <v/>
      </c>
      <c r="O1492" s="61" t="str">
        <f t="shared" si="9"/>
        <v/>
      </c>
      <c r="P1492" s="56" t="str">
        <f t="shared" si="10"/>
        <v/>
      </c>
      <c r="Q1492" s="67"/>
      <c r="R1492" s="10"/>
      <c r="S1492" s="59" t="str">
        <f t="array" ref="S1492">IF(COUNTA(Q1492:Q1673)=0,"",SUM((COUNTIF(Q$4:Q1492,Upgrades!$B$3:$B$13)-COUNTIF(Q$4:Q1492,"Sell_"&amp;Upgrades!$B$3:$B$13))*Upgrades!$D$3:$D$13))</f>
        <v/>
      </c>
      <c r="T1492" s="66" t="str">
        <f>IFERROR(__xludf.DUMMYFUNCTION("IF(COUNTA(Q1492:Q1673)=0,"""",IF(REGEXMATCH(INDEX(FILTER(Q$4:Q1492,Q$4:Q1492&lt;&gt;""""),ROWS(FILTER(Q$4:Q1492,Q$4:Q1492&lt;&gt;""""))),""^Sell_""),INDEX(FILTER(T$4:T1491,Q$4:Q1491&lt;&gt;""""),ROWS(FILTER(Q$4:Q1491,Q$4:Q1491&lt;&gt;""""))),$AD$5+S1492))"),"")</f>
        <v/>
      </c>
      <c r="U1492" s="10" t="str">
        <f>IFERROR(__xludf.DUMMYFUNCTION("IF(COUNTA(Q1492:Q1673)=0,"""",IF(Q1492="""",0,IF(REGEXMATCH(Q1492,""^Sell_""),-ROUNDDOWN(ROUNDUP(INDEX(Upgrades!$C$3:$C$13,MATCH(SUBSTITUTE(Q1492,""Sell_"",""""),Upgrades!$B$3:$B$13,0))*1.15^(COUNTIF(Q$4:Q1491,SUBSTITUTE(Q1492,""Sell_"",""""))-COUNTIF(Q$4"&amp;":Q1491,""Sell_""&amp;SUBSTITUTE(Q1492,""Sell_"",""""))))/2),ROUNDUP(INDEX(Upgrades!$C$3:$C$13,MATCH(Q1492,Upgrades!$B$3:$B$13,0))*1.15^(COUNTIF(Q$4:Q1491,Q1492)-COUNTIF(Q$4:Q1491,""Sell_""&amp;Q1492))))))"),"")</f>
        <v/>
      </c>
      <c r="V1492" s="10" t="str">
        <f t="shared" si="11"/>
        <v/>
      </c>
      <c r="W1492" s="68" t="str">
        <f t="shared" si="12"/>
        <v/>
      </c>
      <c r="X1492" s="59" t="str">
        <f t="shared" si="13"/>
        <v/>
      </c>
      <c r="Y1492" s="69" t="str">
        <f t="shared" si="14"/>
        <v/>
      </c>
      <c r="Z1492" s="11"/>
    </row>
    <row r="1493">
      <c r="A1493" s="8"/>
      <c r="B1493" s="56" t="str">
        <f t="shared" si="2"/>
        <v/>
      </c>
      <c r="C1493" s="105"/>
      <c r="D1493" s="10"/>
      <c r="E1493" s="59" t="str">
        <f t="array" ref="E1493">IF(COUNTA(C1493:C1673)=0,"",SUM((COUNTIF(C$4:C1493,Upgrades!$B$3:$B$13)-COUNTIF(C$4:C1493,"Sell_"&amp;Upgrades!$B$3:$B$13))*Upgrades!$D$3:$D$13))</f>
        <v/>
      </c>
      <c r="F1493" s="66" t="str">
        <f>IFERROR(__xludf.DUMMYFUNCTION("IF(COUNTA(C1493:C1673)=0,"""",IF(REGEXMATCH(INDEX(FILTER(C$4:C1493,C$4:C1493&lt;&gt;""""),ROWS(FILTER(C$4:C1493,C$4:C1493&lt;&gt;""""))),""^Sell_""),INDEX(FILTER(F$4:F1492,C$4:C1492&lt;&gt;""""),ROWS(FILTER(C$4:C1492,C$4:C1492&lt;&gt;""""))),$AC$5+E1493))"),"")</f>
        <v/>
      </c>
      <c r="G1493" s="10" t="str">
        <f>IFERROR(__xludf.DUMMYFUNCTION("IF(COUNTA(C1493:C1673)=0,"""",IF(C1493="""",0,IF(REGEXMATCH(C1493,""^Sell_""),-ROUNDDOWN(ROUNDUP(INDEX(Upgrades!$C$3:$C$13,MATCH(SUBSTITUTE(C1493,""Sell_"",""""),Upgrades!$B$3:$B$13,0))*1.15^(COUNTIF(C$4:C1492,SUBSTITUTE(C1493,""Sell_"",""""))-COUNTIF(C$4"&amp;":C1492,""Sell_""&amp;SUBSTITUTE(C1493,""Sell_"",""""))))/2),ROUNDUP(INDEX(Upgrades!$C$3:$C$13,MATCH(C1493,Upgrades!$B$3:$B$13,0))*1.15^(COUNTIF(C$4:C1492,C1493)-COUNTIF(C$4:C1492,""Sell_""&amp;C1493))))))"),"")</f>
        <v/>
      </c>
      <c r="H1493" s="10" t="str">
        <f t="shared" si="3"/>
        <v/>
      </c>
      <c r="I1493" s="68" t="str">
        <f t="shared" si="4"/>
        <v/>
      </c>
      <c r="J1493" s="59" t="str">
        <f t="shared" si="5"/>
        <v/>
      </c>
      <c r="K1493" s="69" t="str">
        <f t="shared" si="6"/>
        <v/>
      </c>
      <c r="L1493" s="60" t="str">
        <f t="shared" si="7"/>
        <v/>
      </c>
      <c r="M1493" s="61" t="str">
        <f>IFERROR(__xludf.DUMMYFUNCTION("IFS(AND(COUNTA(C1493:C1673)=0,COUNTA(Q1493:Q1673)=0),"""",OR(AND(K1493&gt;=1000000000,OR(Y1493&gt;=1000000000,COUNTA(Q1493:Q1673)=0)),OR(Y1493&gt;=1000000000,AND(COUNTA(C1493:C1673)=0,P$3=TRUE))),
ROUNDDOWN((AB$1-AC$1)*MAX(INDEX(T$4:T1673,MATCH(LARGE(FILTER(Y$4:Y1"&amp;"673,Y$4:Y1673&lt;1000000000),1),Y$4:Y1673)),INDEX(F$4:F1673,MATCH(LARGE(FILTER(K$4:K1673,K$4:K1673&lt;1000000000),1),K$4:K1673)))),AND(K1493&lt;1000000000,COUNTA(C1493:C1673)&gt;0,P$3=FALSE),
ROUNDDOWN(INDEX(Y$4:Y1673,MATCH(LARGE(FILTER(W$4:W1673,W$4:W1673&lt;=I1493),1)"&amp;",W$4:W1673))+(I1493-LARGE(FILTER(W$4:W1673,W$4:W1673&lt;=I1493),1))*INDEX(T$4:T1673,MATCH(LARGE(FILTER(W$4:W1673,W$4:W1673&lt;=I1493),1),W$4:W1673))-K1493),1,
ROUNDDOWN(Y1493-INDEX(K$4:K1673,MATCH(LARGE(FILTER(I$4:I1673,I$4:I1673&lt;=W1493),1),I$4:I1673))-(W1493-L"&amp;"ARGE(FILTER(I$4:I1673,I$4:I1673&lt;=W1493),1))*INDEX(F$4:F1673,MATCH(LARGE(FILTER(I$4:I1673,I$4:I1673&lt;=W1493),1),I$4:I1673))))"),"")</f>
        <v/>
      </c>
      <c r="N1493" s="60" t="str">
        <f t="shared" si="8"/>
        <v/>
      </c>
      <c r="O1493" s="61" t="str">
        <f t="shared" si="9"/>
        <v/>
      </c>
      <c r="P1493" s="56" t="str">
        <f t="shared" si="10"/>
        <v/>
      </c>
      <c r="Q1493" s="67"/>
      <c r="R1493" s="10"/>
      <c r="S1493" s="59" t="str">
        <f t="array" ref="S1493">IF(COUNTA(Q1493:Q1673)=0,"",SUM((COUNTIF(Q$4:Q1493,Upgrades!$B$3:$B$13)-COUNTIF(Q$4:Q1493,"Sell_"&amp;Upgrades!$B$3:$B$13))*Upgrades!$D$3:$D$13))</f>
        <v/>
      </c>
      <c r="T1493" s="66" t="str">
        <f>IFERROR(__xludf.DUMMYFUNCTION("IF(COUNTA(Q1493:Q1673)=0,"""",IF(REGEXMATCH(INDEX(FILTER(Q$4:Q1493,Q$4:Q1493&lt;&gt;""""),ROWS(FILTER(Q$4:Q1493,Q$4:Q1493&lt;&gt;""""))),""^Sell_""),INDEX(FILTER(T$4:T1492,Q$4:Q1492&lt;&gt;""""),ROWS(FILTER(Q$4:Q1492,Q$4:Q1492&lt;&gt;""""))),$AD$5+S1493))"),"")</f>
        <v/>
      </c>
      <c r="U1493" s="10" t="str">
        <f>IFERROR(__xludf.DUMMYFUNCTION("IF(COUNTA(Q1493:Q1673)=0,"""",IF(Q1493="""",0,IF(REGEXMATCH(Q1493,""^Sell_""),-ROUNDDOWN(ROUNDUP(INDEX(Upgrades!$C$3:$C$13,MATCH(SUBSTITUTE(Q1493,""Sell_"",""""),Upgrades!$B$3:$B$13,0))*1.15^(COUNTIF(Q$4:Q1492,SUBSTITUTE(Q1493,""Sell_"",""""))-COUNTIF(Q$4"&amp;":Q1492,""Sell_""&amp;SUBSTITUTE(Q1493,""Sell_"",""""))))/2),ROUNDUP(INDEX(Upgrades!$C$3:$C$13,MATCH(Q1493,Upgrades!$B$3:$B$13,0))*1.15^(COUNTIF(Q$4:Q1492,Q1493)-COUNTIF(Q$4:Q1492,""Sell_""&amp;Q1493))))))"),"")</f>
        <v/>
      </c>
      <c r="V1493" s="10" t="str">
        <f t="shared" si="11"/>
        <v/>
      </c>
      <c r="W1493" s="68" t="str">
        <f t="shared" si="12"/>
        <v/>
      </c>
      <c r="X1493" s="59" t="str">
        <f t="shared" si="13"/>
        <v/>
      </c>
      <c r="Y1493" s="69" t="str">
        <f t="shared" si="14"/>
        <v/>
      </c>
      <c r="Z1493" s="11"/>
    </row>
    <row r="1494">
      <c r="A1494" s="8"/>
      <c r="B1494" s="56" t="str">
        <f t="shared" si="2"/>
        <v/>
      </c>
      <c r="C1494" s="105"/>
      <c r="D1494" s="10"/>
      <c r="E1494" s="59" t="str">
        <f t="array" ref="E1494">IF(COUNTA(C1494:C1673)=0,"",SUM((COUNTIF(C$4:C1494,Upgrades!$B$3:$B$13)-COUNTIF(C$4:C1494,"Sell_"&amp;Upgrades!$B$3:$B$13))*Upgrades!$D$3:$D$13))</f>
        <v/>
      </c>
      <c r="F1494" s="66" t="str">
        <f>IFERROR(__xludf.DUMMYFUNCTION("IF(COUNTA(C1494:C1673)=0,"""",IF(REGEXMATCH(INDEX(FILTER(C$4:C1494,C$4:C1494&lt;&gt;""""),ROWS(FILTER(C$4:C1494,C$4:C1494&lt;&gt;""""))),""^Sell_""),INDEX(FILTER(F$4:F1493,C$4:C1493&lt;&gt;""""),ROWS(FILTER(C$4:C1493,C$4:C1493&lt;&gt;""""))),$AC$5+E1494))"),"")</f>
        <v/>
      </c>
      <c r="G1494" s="10" t="str">
        <f>IFERROR(__xludf.DUMMYFUNCTION("IF(COUNTA(C1494:C1673)=0,"""",IF(C1494="""",0,IF(REGEXMATCH(C1494,""^Sell_""),-ROUNDDOWN(ROUNDUP(INDEX(Upgrades!$C$3:$C$13,MATCH(SUBSTITUTE(C1494,""Sell_"",""""),Upgrades!$B$3:$B$13,0))*1.15^(COUNTIF(C$4:C1493,SUBSTITUTE(C1494,""Sell_"",""""))-COUNTIF(C$4"&amp;":C1493,""Sell_""&amp;SUBSTITUTE(C1494,""Sell_"",""""))))/2),ROUNDUP(INDEX(Upgrades!$C$3:$C$13,MATCH(C1494,Upgrades!$B$3:$B$13,0))*1.15^(COUNTIF(C$4:C1493,C1494)-COUNTIF(C$4:C1493,""Sell_""&amp;C1494))))))"),"")</f>
        <v/>
      </c>
      <c r="H1494" s="10" t="str">
        <f t="shared" si="3"/>
        <v/>
      </c>
      <c r="I1494" s="68" t="str">
        <f t="shared" si="4"/>
        <v/>
      </c>
      <c r="J1494" s="59" t="str">
        <f t="shared" si="5"/>
        <v/>
      </c>
      <c r="K1494" s="69" t="str">
        <f t="shared" si="6"/>
        <v/>
      </c>
      <c r="L1494" s="60" t="str">
        <f t="shared" si="7"/>
        <v/>
      </c>
      <c r="M1494" s="61" t="str">
        <f>IFERROR(__xludf.DUMMYFUNCTION("IFS(AND(COUNTA(C1494:C1673)=0,COUNTA(Q1494:Q1673)=0),"""",OR(AND(K1494&gt;=1000000000,OR(Y1494&gt;=1000000000,COUNTA(Q1494:Q1673)=0)),OR(Y1494&gt;=1000000000,AND(COUNTA(C1494:C1673)=0,P$3=TRUE))),
ROUNDDOWN((AB$1-AC$1)*MAX(INDEX(T$4:T1673,MATCH(LARGE(FILTER(Y$4:Y1"&amp;"673,Y$4:Y1673&lt;1000000000),1),Y$4:Y1673)),INDEX(F$4:F1673,MATCH(LARGE(FILTER(K$4:K1673,K$4:K1673&lt;1000000000),1),K$4:K1673)))),AND(K1494&lt;1000000000,COUNTA(C1494:C1673)&gt;0,P$3=FALSE),
ROUNDDOWN(INDEX(Y$4:Y1673,MATCH(LARGE(FILTER(W$4:W1673,W$4:W1673&lt;=I1494),1)"&amp;",W$4:W1673))+(I1494-LARGE(FILTER(W$4:W1673,W$4:W1673&lt;=I1494),1))*INDEX(T$4:T1673,MATCH(LARGE(FILTER(W$4:W1673,W$4:W1673&lt;=I1494),1),W$4:W1673))-K1494),1,
ROUNDDOWN(Y1494-INDEX(K$4:K1673,MATCH(LARGE(FILTER(I$4:I1673,I$4:I1673&lt;=W1494),1),I$4:I1673))-(W1494-L"&amp;"ARGE(FILTER(I$4:I1673,I$4:I1673&lt;=W1494),1))*INDEX(F$4:F1673,MATCH(LARGE(FILTER(I$4:I1673,I$4:I1673&lt;=W1494),1),I$4:I1673))))"),"")</f>
        <v/>
      </c>
      <c r="N1494" s="60" t="str">
        <f t="shared" si="8"/>
        <v/>
      </c>
      <c r="O1494" s="61" t="str">
        <f t="shared" si="9"/>
        <v/>
      </c>
      <c r="P1494" s="56" t="str">
        <f t="shared" si="10"/>
        <v/>
      </c>
      <c r="Q1494" s="67"/>
      <c r="R1494" s="10"/>
      <c r="S1494" s="59" t="str">
        <f t="array" ref="S1494">IF(COUNTA(Q1494:Q1673)=0,"",SUM((COUNTIF(Q$4:Q1494,Upgrades!$B$3:$B$13)-COUNTIF(Q$4:Q1494,"Sell_"&amp;Upgrades!$B$3:$B$13))*Upgrades!$D$3:$D$13))</f>
        <v/>
      </c>
      <c r="T1494" s="66" t="str">
        <f>IFERROR(__xludf.DUMMYFUNCTION("IF(COUNTA(Q1494:Q1673)=0,"""",IF(REGEXMATCH(INDEX(FILTER(Q$4:Q1494,Q$4:Q1494&lt;&gt;""""),ROWS(FILTER(Q$4:Q1494,Q$4:Q1494&lt;&gt;""""))),""^Sell_""),INDEX(FILTER(T$4:T1493,Q$4:Q1493&lt;&gt;""""),ROWS(FILTER(Q$4:Q1493,Q$4:Q1493&lt;&gt;""""))),$AD$5+S1494))"),"")</f>
        <v/>
      </c>
      <c r="U1494" s="10" t="str">
        <f>IFERROR(__xludf.DUMMYFUNCTION("IF(COUNTA(Q1494:Q1673)=0,"""",IF(Q1494="""",0,IF(REGEXMATCH(Q1494,""^Sell_""),-ROUNDDOWN(ROUNDUP(INDEX(Upgrades!$C$3:$C$13,MATCH(SUBSTITUTE(Q1494,""Sell_"",""""),Upgrades!$B$3:$B$13,0))*1.15^(COUNTIF(Q$4:Q1493,SUBSTITUTE(Q1494,""Sell_"",""""))-COUNTIF(Q$4"&amp;":Q1493,""Sell_""&amp;SUBSTITUTE(Q1494,""Sell_"",""""))))/2),ROUNDUP(INDEX(Upgrades!$C$3:$C$13,MATCH(Q1494,Upgrades!$B$3:$B$13,0))*1.15^(COUNTIF(Q$4:Q1493,Q1494)-COUNTIF(Q$4:Q1493,""Sell_""&amp;Q1494))))))"),"")</f>
        <v/>
      </c>
      <c r="V1494" s="10" t="str">
        <f t="shared" si="11"/>
        <v/>
      </c>
      <c r="W1494" s="68" t="str">
        <f t="shared" si="12"/>
        <v/>
      </c>
      <c r="X1494" s="59" t="str">
        <f t="shared" si="13"/>
        <v/>
      </c>
      <c r="Y1494" s="69" t="str">
        <f t="shared" si="14"/>
        <v/>
      </c>
      <c r="Z1494" s="11"/>
    </row>
    <row r="1495">
      <c r="A1495" s="8"/>
      <c r="B1495" s="56" t="str">
        <f t="shared" si="2"/>
        <v/>
      </c>
      <c r="C1495" s="105"/>
      <c r="D1495" s="10"/>
      <c r="E1495" s="59" t="str">
        <f t="array" ref="E1495">IF(COUNTA(C1495:C1673)=0,"",SUM((COUNTIF(C$4:C1495,Upgrades!$B$3:$B$13)-COUNTIF(C$4:C1495,"Sell_"&amp;Upgrades!$B$3:$B$13))*Upgrades!$D$3:$D$13))</f>
        <v/>
      </c>
      <c r="F1495" s="66" t="str">
        <f>IFERROR(__xludf.DUMMYFUNCTION("IF(COUNTA(C1495:C1673)=0,"""",IF(REGEXMATCH(INDEX(FILTER(C$4:C1495,C$4:C1495&lt;&gt;""""),ROWS(FILTER(C$4:C1495,C$4:C1495&lt;&gt;""""))),""^Sell_""),INDEX(FILTER(F$4:F1494,C$4:C1494&lt;&gt;""""),ROWS(FILTER(C$4:C1494,C$4:C1494&lt;&gt;""""))),$AC$5+E1495))"),"")</f>
        <v/>
      </c>
      <c r="G1495" s="10" t="str">
        <f>IFERROR(__xludf.DUMMYFUNCTION("IF(COUNTA(C1495:C1673)=0,"""",IF(C1495="""",0,IF(REGEXMATCH(C1495,""^Sell_""),-ROUNDDOWN(ROUNDUP(INDEX(Upgrades!$C$3:$C$13,MATCH(SUBSTITUTE(C1495,""Sell_"",""""),Upgrades!$B$3:$B$13,0))*1.15^(COUNTIF(C$4:C1494,SUBSTITUTE(C1495,""Sell_"",""""))-COUNTIF(C$4"&amp;":C1494,""Sell_""&amp;SUBSTITUTE(C1495,""Sell_"",""""))))/2),ROUNDUP(INDEX(Upgrades!$C$3:$C$13,MATCH(C1495,Upgrades!$B$3:$B$13,0))*1.15^(COUNTIF(C$4:C1494,C1495)-COUNTIF(C$4:C1494,""Sell_""&amp;C1495))))))"),"")</f>
        <v/>
      </c>
      <c r="H1495" s="10" t="str">
        <f t="shared" si="3"/>
        <v/>
      </c>
      <c r="I1495" s="68" t="str">
        <f t="shared" si="4"/>
        <v/>
      </c>
      <c r="J1495" s="59" t="str">
        <f t="shared" si="5"/>
        <v/>
      </c>
      <c r="K1495" s="69" t="str">
        <f t="shared" si="6"/>
        <v/>
      </c>
      <c r="L1495" s="60" t="str">
        <f t="shared" si="7"/>
        <v/>
      </c>
      <c r="M1495" s="61" t="str">
        <f>IFERROR(__xludf.DUMMYFUNCTION("IFS(AND(COUNTA(C1495:C1673)=0,COUNTA(Q1495:Q1673)=0),"""",OR(AND(K1495&gt;=1000000000,OR(Y1495&gt;=1000000000,COUNTA(Q1495:Q1673)=0)),OR(Y1495&gt;=1000000000,AND(COUNTA(C1495:C1673)=0,P$3=TRUE))),
ROUNDDOWN((AB$1-AC$1)*MAX(INDEX(T$4:T1673,MATCH(LARGE(FILTER(Y$4:Y1"&amp;"673,Y$4:Y1673&lt;1000000000),1),Y$4:Y1673)),INDEX(F$4:F1673,MATCH(LARGE(FILTER(K$4:K1673,K$4:K1673&lt;1000000000),1),K$4:K1673)))),AND(K1495&lt;1000000000,COUNTA(C1495:C1673)&gt;0,P$3=FALSE),
ROUNDDOWN(INDEX(Y$4:Y1673,MATCH(LARGE(FILTER(W$4:W1673,W$4:W1673&lt;=I1495),1)"&amp;",W$4:W1673))+(I1495-LARGE(FILTER(W$4:W1673,W$4:W1673&lt;=I1495),1))*INDEX(T$4:T1673,MATCH(LARGE(FILTER(W$4:W1673,W$4:W1673&lt;=I1495),1),W$4:W1673))-K1495),1,
ROUNDDOWN(Y1495-INDEX(K$4:K1673,MATCH(LARGE(FILTER(I$4:I1673,I$4:I1673&lt;=W1495),1),I$4:I1673))-(W1495-L"&amp;"ARGE(FILTER(I$4:I1673,I$4:I1673&lt;=W1495),1))*INDEX(F$4:F1673,MATCH(LARGE(FILTER(I$4:I1673,I$4:I1673&lt;=W1495),1),I$4:I1673))))"),"")</f>
        <v/>
      </c>
      <c r="N1495" s="60" t="str">
        <f t="shared" si="8"/>
        <v/>
      </c>
      <c r="O1495" s="61" t="str">
        <f t="shared" si="9"/>
        <v/>
      </c>
      <c r="P1495" s="56" t="str">
        <f t="shared" si="10"/>
        <v/>
      </c>
      <c r="Q1495" s="67"/>
      <c r="R1495" s="10"/>
      <c r="S1495" s="59" t="str">
        <f t="array" ref="S1495">IF(COUNTA(Q1495:Q1673)=0,"",SUM((COUNTIF(Q$4:Q1495,Upgrades!$B$3:$B$13)-COUNTIF(Q$4:Q1495,"Sell_"&amp;Upgrades!$B$3:$B$13))*Upgrades!$D$3:$D$13))</f>
        <v/>
      </c>
      <c r="T1495" s="66" t="str">
        <f>IFERROR(__xludf.DUMMYFUNCTION("IF(COUNTA(Q1495:Q1673)=0,"""",IF(REGEXMATCH(INDEX(FILTER(Q$4:Q1495,Q$4:Q1495&lt;&gt;""""),ROWS(FILTER(Q$4:Q1495,Q$4:Q1495&lt;&gt;""""))),""^Sell_""),INDEX(FILTER(T$4:T1494,Q$4:Q1494&lt;&gt;""""),ROWS(FILTER(Q$4:Q1494,Q$4:Q1494&lt;&gt;""""))),$AD$5+S1495))"),"")</f>
        <v/>
      </c>
      <c r="U1495" s="10" t="str">
        <f>IFERROR(__xludf.DUMMYFUNCTION("IF(COUNTA(Q1495:Q1673)=0,"""",IF(Q1495="""",0,IF(REGEXMATCH(Q1495,""^Sell_""),-ROUNDDOWN(ROUNDUP(INDEX(Upgrades!$C$3:$C$13,MATCH(SUBSTITUTE(Q1495,""Sell_"",""""),Upgrades!$B$3:$B$13,0))*1.15^(COUNTIF(Q$4:Q1494,SUBSTITUTE(Q1495,""Sell_"",""""))-COUNTIF(Q$4"&amp;":Q1494,""Sell_""&amp;SUBSTITUTE(Q1495,""Sell_"",""""))))/2),ROUNDUP(INDEX(Upgrades!$C$3:$C$13,MATCH(Q1495,Upgrades!$B$3:$B$13,0))*1.15^(COUNTIF(Q$4:Q1494,Q1495)-COUNTIF(Q$4:Q1494,""Sell_""&amp;Q1495))))))"),"")</f>
        <v/>
      </c>
      <c r="V1495" s="10" t="str">
        <f t="shared" si="11"/>
        <v/>
      </c>
      <c r="W1495" s="68" t="str">
        <f t="shared" si="12"/>
        <v/>
      </c>
      <c r="X1495" s="59" t="str">
        <f t="shared" si="13"/>
        <v/>
      </c>
      <c r="Y1495" s="69" t="str">
        <f t="shared" si="14"/>
        <v/>
      </c>
      <c r="Z1495" s="11"/>
    </row>
    <row r="1496">
      <c r="A1496" s="8"/>
      <c r="B1496" s="56" t="str">
        <f t="shared" si="2"/>
        <v/>
      </c>
      <c r="C1496" s="105"/>
      <c r="D1496" s="10"/>
      <c r="E1496" s="59" t="str">
        <f t="array" ref="E1496">IF(COUNTA(C1496:C1673)=0,"",SUM((COUNTIF(C$4:C1496,Upgrades!$B$3:$B$13)-COUNTIF(C$4:C1496,"Sell_"&amp;Upgrades!$B$3:$B$13))*Upgrades!$D$3:$D$13))</f>
        <v/>
      </c>
      <c r="F1496" s="66" t="str">
        <f>IFERROR(__xludf.DUMMYFUNCTION("IF(COUNTA(C1496:C1673)=0,"""",IF(REGEXMATCH(INDEX(FILTER(C$4:C1496,C$4:C1496&lt;&gt;""""),ROWS(FILTER(C$4:C1496,C$4:C1496&lt;&gt;""""))),""^Sell_""),INDEX(FILTER(F$4:F1495,C$4:C1495&lt;&gt;""""),ROWS(FILTER(C$4:C1495,C$4:C1495&lt;&gt;""""))),$AC$5+E1496))"),"")</f>
        <v/>
      </c>
      <c r="G1496" s="10" t="str">
        <f>IFERROR(__xludf.DUMMYFUNCTION("IF(COUNTA(C1496:C1673)=0,"""",IF(C1496="""",0,IF(REGEXMATCH(C1496,""^Sell_""),-ROUNDDOWN(ROUNDUP(INDEX(Upgrades!$C$3:$C$13,MATCH(SUBSTITUTE(C1496,""Sell_"",""""),Upgrades!$B$3:$B$13,0))*1.15^(COUNTIF(C$4:C1495,SUBSTITUTE(C1496,""Sell_"",""""))-COUNTIF(C$4"&amp;":C1495,""Sell_""&amp;SUBSTITUTE(C1496,""Sell_"",""""))))/2),ROUNDUP(INDEX(Upgrades!$C$3:$C$13,MATCH(C1496,Upgrades!$B$3:$B$13,0))*1.15^(COUNTIF(C$4:C1495,C1496)-COUNTIF(C$4:C1495,""Sell_""&amp;C1496))))))"),"")</f>
        <v/>
      </c>
      <c r="H1496" s="10" t="str">
        <f t="shared" si="3"/>
        <v/>
      </c>
      <c r="I1496" s="68" t="str">
        <f t="shared" si="4"/>
        <v/>
      </c>
      <c r="J1496" s="59" t="str">
        <f t="shared" si="5"/>
        <v/>
      </c>
      <c r="K1496" s="69" t="str">
        <f t="shared" si="6"/>
        <v/>
      </c>
      <c r="L1496" s="60" t="str">
        <f t="shared" si="7"/>
        <v/>
      </c>
      <c r="M1496" s="61" t="str">
        <f>IFERROR(__xludf.DUMMYFUNCTION("IFS(AND(COUNTA(C1496:C1673)=0,COUNTA(Q1496:Q1673)=0),"""",OR(AND(K1496&gt;=1000000000,OR(Y1496&gt;=1000000000,COUNTA(Q1496:Q1673)=0)),OR(Y1496&gt;=1000000000,AND(COUNTA(C1496:C1673)=0,P$3=TRUE))),
ROUNDDOWN((AB$1-AC$1)*MAX(INDEX(T$4:T1673,MATCH(LARGE(FILTER(Y$4:Y1"&amp;"673,Y$4:Y1673&lt;1000000000),1),Y$4:Y1673)),INDEX(F$4:F1673,MATCH(LARGE(FILTER(K$4:K1673,K$4:K1673&lt;1000000000),1),K$4:K1673)))),AND(K1496&lt;1000000000,COUNTA(C1496:C1673)&gt;0,P$3=FALSE),
ROUNDDOWN(INDEX(Y$4:Y1673,MATCH(LARGE(FILTER(W$4:W1673,W$4:W1673&lt;=I1496),1)"&amp;",W$4:W1673))+(I1496-LARGE(FILTER(W$4:W1673,W$4:W1673&lt;=I1496),1))*INDEX(T$4:T1673,MATCH(LARGE(FILTER(W$4:W1673,W$4:W1673&lt;=I1496),1),W$4:W1673))-K1496),1,
ROUNDDOWN(Y1496-INDEX(K$4:K1673,MATCH(LARGE(FILTER(I$4:I1673,I$4:I1673&lt;=W1496),1),I$4:I1673))-(W1496-L"&amp;"ARGE(FILTER(I$4:I1673,I$4:I1673&lt;=W1496),1))*INDEX(F$4:F1673,MATCH(LARGE(FILTER(I$4:I1673,I$4:I1673&lt;=W1496),1),I$4:I1673))))"),"")</f>
        <v/>
      </c>
      <c r="N1496" s="60" t="str">
        <f t="shared" si="8"/>
        <v/>
      </c>
      <c r="O1496" s="61" t="str">
        <f t="shared" si="9"/>
        <v/>
      </c>
      <c r="P1496" s="56" t="str">
        <f t="shared" si="10"/>
        <v/>
      </c>
      <c r="Q1496" s="67"/>
      <c r="R1496" s="10"/>
      <c r="S1496" s="59" t="str">
        <f t="array" ref="S1496">IF(COUNTA(Q1496:Q1673)=0,"",SUM((COUNTIF(Q$4:Q1496,Upgrades!$B$3:$B$13)-COUNTIF(Q$4:Q1496,"Sell_"&amp;Upgrades!$B$3:$B$13))*Upgrades!$D$3:$D$13))</f>
        <v/>
      </c>
      <c r="T1496" s="66" t="str">
        <f>IFERROR(__xludf.DUMMYFUNCTION("IF(COUNTA(Q1496:Q1673)=0,"""",IF(REGEXMATCH(INDEX(FILTER(Q$4:Q1496,Q$4:Q1496&lt;&gt;""""),ROWS(FILTER(Q$4:Q1496,Q$4:Q1496&lt;&gt;""""))),""^Sell_""),INDEX(FILTER(T$4:T1495,Q$4:Q1495&lt;&gt;""""),ROWS(FILTER(Q$4:Q1495,Q$4:Q1495&lt;&gt;""""))),$AD$5+S1496))"),"")</f>
        <v/>
      </c>
      <c r="U1496" s="10" t="str">
        <f>IFERROR(__xludf.DUMMYFUNCTION("IF(COUNTA(Q1496:Q1673)=0,"""",IF(Q1496="""",0,IF(REGEXMATCH(Q1496,""^Sell_""),-ROUNDDOWN(ROUNDUP(INDEX(Upgrades!$C$3:$C$13,MATCH(SUBSTITUTE(Q1496,""Sell_"",""""),Upgrades!$B$3:$B$13,0))*1.15^(COUNTIF(Q$4:Q1495,SUBSTITUTE(Q1496,""Sell_"",""""))-COUNTIF(Q$4"&amp;":Q1495,""Sell_""&amp;SUBSTITUTE(Q1496,""Sell_"",""""))))/2),ROUNDUP(INDEX(Upgrades!$C$3:$C$13,MATCH(Q1496,Upgrades!$B$3:$B$13,0))*1.15^(COUNTIF(Q$4:Q1495,Q1496)-COUNTIF(Q$4:Q1495,""Sell_""&amp;Q1496))))))"),"")</f>
        <v/>
      </c>
      <c r="V1496" s="10" t="str">
        <f t="shared" si="11"/>
        <v/>
      </c>
      <c r="W1496" s="68" t="str">
        <f t="shared" si="12"/>
        <v/>
      </c>
      <c r="X1496" s="59" t="str">
        <f t="shared" si="13"/>
        <v/>
      </c>
      <c r="Y1496" s="69" t="str">
        <f t="shared" si="14"/>
        <v/>
      </c>
      <c r="Z1496" s="11"/>
    </row>
    <row r="1497">
      <c r="A1497" s="8"/>
      <c r="B1497" s="56" t="str">
        <f t="shared" si="2"/>
        <v/>
      </c>
      <c r="C1497" s="105"/>
      <c r="D1497" s="10"/>
      <c r="E1497" s="59" t="str">
        <f t="array" ref="E1497">IF(COUNTA(C1497:C1673)=0,"",SUM((COUNTIF(C$4:C1497,Upgrades!$B$3:$B$13)-COUNTIF(C$4:C1497,"Sell_"&amp;Upgrades!$B$3:$B$13))*Upgrades!$D$3:$D$13))</f>
        <v/>
      </c>
      <c r="F1497" s="66" t="str">
        <f>IFERROR(__xludf.DUMMYFUNCTION("IF(COUNTA(C1497:C1673)=0,"""",IF(REGEXMATCH(INDEX(FILTER(C$4:C1497,C$4:C1497&lt;&gt;""""),ROWS(FILTER(C$4:C1497,C$4:C1497&lt;&gt;""""))),""^Sell_""),INDEX(FILTER(F$4:F1496,C$4:C1496&lt;&gt;""""),ROWS(FILTER(C$4:C1496,C$4:C1496&lt;&gt;""""))),$AC$5+E1497))"),"")</f>
        <v/>
      </c>
      <c r="G1497" s="10" t="str">
        <f>IFERROR(__xludf.DUMMYFUNCTION("IF(COUNTA(C1497:C1673)=0,"""",IF(C1497="""",0,IF(REGEXMATCH(C1497,""^Sell_""),-ROUNDDOWN(ROUNDUP(INDEX(Upgrades!$C$3:$C$13,MATCH(SUBSTITUTE(C1497,""Sell_"",""""),Upgrades!$B$3:$B$13,0))*1.15^(COUNTIF(C$4:C1496,SUBSTITUTE(C1497,""Sell_"",""""))-COUNTIF(C$4"&amp;":C1496,""Sell_""&amp;SUBSTITUTE(C1497,""Sell_"",""""))))/2),ROUNDUP(INDEX(Upgrades!$C$3:$C$13,MATCH(C1497,Upgrades!$B$3:$B$13,0))*1.15^(COUNTIF(C$4:C1496,C1497)-COUNTIF(C$4:C1496,""Sell_""&amp;C1497))))))"),"")</f>
        <v/>
      </c>
      <c r="H1497" s="10" t="str">
        <f t="shared" si="3"/>
        <v/>
      </c>
      <c r="I1497" s="68" t="str">
        <f t="shared" si="4"/>
        <v/>
      </c>
      <c r="J1497" s="59" t="str">
        <f t="shared" si="5"/>
        <v/>
      </c>
      <c r="K1497" s="69" t="str">
        <f t="shared" si="6"/>
        <v/>
      </c>
      <c r="L1497" s="60" t="str">
        <f t="shared" si="7"/>
        <v/>
      </c>
      <c r="M1497" s="61" t="str">
        <f>IFERROR(__xludf.DUMMYFUNCTION("IFS(AND(COUNTA(C1497:C1673)=0,COUNTA(Q1497:Q1673)=0),"""",OR(AND(K1497&gt;=1000000000,OR(Y1497&gt;=1000000000,COUNTA(Q1497:Q1673)=0)),OR(Y1497&gt;=1000000000,AND(COUNTA(C1497:C1673)=0,P$3=TRUE))),
ROUNDDOWN((AB$1-AC$1)*MAX(INDEX(T$4:T1673,MATCH(LARGE(FILTER(Y$4:Y1"&amp;"673,Y$4:Y1673&lt;1000000000),1),Y$4:Y1673)),INDEX(F$4:F1673,MATCH(LARGE(FILTER(K$4:K1673,K$4:K1673&lt;1000000000),1),K$4:K1673)))),AND(K1497&lt;1000000000,COUNTA(C1497:C1673)&gt;0,P$3=FALSE),
ROUNDDOWN(INDEX(Y$4:Y1673,MATCH(LARGE(FILTER(W$4:W1673,W$4:W1673&lt;=I1497),1)"&amp;",W$4:W1673))+(I1497-LARGE(FILTER(W$4:W1673,W$4:W1673&lt;=I1497),1))*INDEX(T$4:T1673,MATCH(LARGE(FILTER(W$4:W1673,W$4:W1673&lt;=I1497),1),W$4:W1673))-K1497),1,
ROUNDDOWN(Y1497-INDEX(K$4:K1673,MATCH(LARGE(FILTER(I$4:I1673,I$4:I1673&lt;=W1497),1),I$4:I1673))-(W1497-L"&amp;"ARGE(FILTER(I$4:I1673,I$4:I1673&lt;=W1497),1))*INDEX(F$4:F1673,MATCH(LARGE(FILTER(I$4:I1673,I$4:I1673&lt;=W1497),1),I$4:I1673))))"),"")</f>
        <v/>
      </c>
      <c r="N1497" s="60" t="str">
        <f t="shared" si="8"/>
        <v/>
      </c>
      <c r="O1497" s="61" t="str">
        <f t="shared" si="9"/>
        <v/>
      </c>
      <c r="P1497" s="56" t="str">
        <f t="shared" si="10"/>
        <v/>
      </c>
      <c r="Q1497" s="67"/>
      <c r="R1497" s="10"/>
      <c r="S1497" s="59" t="str">
        <f t="array" ref="S1497">IF(COUNTA(Q1497:Q1673)=0,"",SUM((COUNTIF(Q$4:Q1497,Upgrades!$B$3:$B$13)-COUNTIF(Q$4:Q1497,"Sell_"&amp;Upgrades!$B$3:$B$13))*Upgrades!$D$3:$D$13))</f>
        <v/>
      </c>
      <c r="T1497" s="66" t="str">
        <f>IFERROR(__xludf.DUMMYFUNCTION("IF(COUNTA(Q1497:Q1673)=0,"""",IF(REGEXMATCH(INDEX(FILTER(Q$4:Q1497,Q$4:Q1497&lt;&gt;""""),ROWS(FILTER(Q$4:Q1497,Q$4:Q1497&lt;&gt;""""))),""^Sell_""),INDEX(FILTER(T$4:T1496,Q$4:Q1496&lt;&gt;""""),ROWS(FILTER(Q$4:Q1496,Q$4:Q1496&lt;&gt;""""))),$AD$5+S1497))"),"")</f>
        <v/>
      </c>
      <c r="U1497" s="10" t="str">
        <f>IFERROR(__xludf.DUMMYFUNCTION("IF(COUNTA(Q1497:Q1673)=0,"""",IF(Q1497="""",0,IF(REGEXMATCH(Q1497,""^Sell_""),-ROUNDDOWN(ROUNDUP(INDEX(Upgrades!$C$3:$C$13,MATCH(SUBSTITUTE(Q1497,""Sell_"",""""),Upgrades!$B$3:$B$13,0))*1.15^(COUNTIF(Q$4:Q1496,SUBSTITUTE(Q1497,""Sell_"",""""))-COUNTIF(Q$4"&amp;":Q1496,""Sell_""&amp;SUBSTITUTE(Q1497,""Sell_"",""""))))/2),ROUNDUP(INDEX(Upgrades!$C$3:$C$13,MATCH(Q1497,Upgrades!$B$3:$B$13,0))*1.15^(COUNTIF(Q$4:Q1496,Q1497)-COUNTIF(Q$4:Q1496,""Sell_""&amp;Q1497))))))"),"")</f>
        <v/>
      </c>
      <c r="V1497" s="10" t="str">
        <f t="shared" si="11"/>
        <v/>
      </c>
      <c r="W1497" s="68" t="str">
        <f t="shared" si="12"/>
        <v/>
      </c>
      <c r="X1497" s="59" t="str">
        <f t="shared" si="13"/>
        <v/>
      </c>
      <c r="Y1497" s="69" t="str">
        <f t="shared" si="14"/>
        <v/>
      </c>
      <c r="Z1497" s="11"/>
    </row>
    <row r="1498">
      <c r="A1498" s="8"/>
      <c r="B1498" s="56" t="str">
        <f t="shared" si="2"/>
        <v/>
      </c>
      <c r="C1498" s="105"/>
      <c r="D1498" s="10"/>
      <c r="E1498" s="59" t="str">
        <f t="array" ref="E1498">IF(COUNTA(C1498:C1673)=0,"",SUM((COUNTIF(C$4:C1498,Upgrades!$B$3:$B$13)-COUNTIF(C$4:C1498,"Sell_"&amp;Upgrades!$B$3:$B$13))*Upgrades!$D$3:$D$13))</f>
        <v/>
      </c>
      <c r="F1498" s="66" t="str">
        <f>IFERROR(__xludf.DUMMYFUNCTION("IF(COUNTA(C1498:C1673)=0,"""",IF(REGEXMATCH(INDEX(FILTER(C$4:C1498,C$4:C1498&lt;&gt;""""),ROWS(FILTER(C$4:C1498,C$4:C1498&lt;&gt;""""))),""^Sell_""),INDEX(FILTER(F$4:F1497,C$4:C1497&lt;&gt;""""),ROWS(FILTER(C$4:C1497,C$4:C1497&lt;&gt;""""))),$AC$5+E1498))"),"")</f>
        <v/>
      </c>
      <c r="G1498" s="10" t="str">
        <f>IFERROR(__xludf.DUMMYFUNCTION("IF(COUNTA(C1498:C1673)=0,"""",IF(C1498="""",0,IF(REGEXMATCH(C1498,""^Sell_""),-ROUNDDOWN(ROUNDUP(INDEX(Upgrades!$C$3:$C$13,MATCH(SUBSTITUTE(C1498,""Sell_"",""""),Upgrades!$B$3:$B$13,0))*1.15^(COUNTIF(C$4:C1497,SUBSTITUTE(C1498,""Sell_"",""""))-COUNTIF(C$4"&amp;":C1497,""Sell_""&amp;SUBSTITUTE(C1498,""Sell_"",""""))))/2),ROUNDUP(INDEX(Upgrades!$C$3:$C$13,MATCH(C1498,Upgrades!$B$3:$B$13,0))*1.15^(COUNTIF(C$4:C1497,C1498)-COUNTIF(C$4:C1497,""Sell_""&amp;C1498))))))"),"")</f>
        <v/>
      </c>
      <c r="H1498" s="10" t="str">
        <f t="shared" si="3"/>
        <v/>
      </c>
      <c r="I1498" s="68" t="str">
        <f t="shared" si="4"/>
        <v/>
      </c>
      <c r="J1498" s="59" t="str">
        <f t="shared" si="5"/>
        <v/>
      </c>
      <c r="K1498" s="69" t="str">
        <f t="shared" si="6"/>
        <v/>
      </c>
      <c r="L1498" s="60" t="str">
        <f t="shared" si="7"/>
        <v/>
      </c>
      <c r="M1498" s="61" t="str">
        <f>IFERROR(__xludf.DUMMYFUNCTION("IFS(AND(COUNTA(C1498:C1673)=0,COUNTA(Q1498:Q1673)=0),"""",OR(AND(K1498&gt;=1000000000,OR(Y1498&gt;=1000000000,COUNTA(Q1498:Q1673)=0)),OR(Y1498&gt;=1000000000,AND(COUNTA(C1498:C1673)=0,P$3=TRUE))),
ROUNDDOWN((AB$1-AC$1)*MAX(INDEX(T$4:T1673,MATCH(LARGE(FILTER(Y$4:Y1"&amp;"673,Y$4:Y1673&lt;1000000000),1),Y$4:Y1673)),INDEX(F$4:F1673,MATCH(LARGE(FILTER(K$4:K1673,K$4:K1673&lt;1000000000),1),K$4:K1673)))),AND(K1498&lt;1000000000,COUNTA(C1498:C1673)&gt;0,P$3=FALSE),
ROUNDDOWN(INDEX(Y$4:Y1673,MATCH(LARGE(FILTER(W$4:W1673,W$4:W1673&lt;=I1498),1)"&amp;",W$4:W1673))+(I1498-LARGE(FILTER(W$4:W1673,W$4:W1673&lt;=I1498),1))*INDEX(T$4:T1673,MATCH(LARGE(FILTER(W$4:W1673,W$4:W1673&lt;=I1498),1),W$4:W1673))-K1498),1,
ROUNDDOWN(Y1498-INDEX(K$4:K1673,MATCH(LARGE(FILTER(I$4:I1673,I$4:I1673&lt;=W1498),1),I$4:I1673))-(W1498-L"&amp;"ARGE(FILTER(I$4:I1673,I$4:I1673&lt;=W1498),1))*INDEX(F$4:F1673,MATCH(LARGE(FILTER(I$4:I1673,I$4:I1673&lt;=W1498),1),I$4:I1673))))"),"")</f>
        <v/>
      </c>
      <c r="N1498" s="60" t="str">
        <f t="shared" si="8"/>
        <v/>
      </c>
      <c r="O1498" s="61" t="str">
        <f t="shared" si="9"/>
        <v/>
      </c>
      <c r="P1498" s="56" t="str">
        <f t="shared" si="10"/>
        <v/>
      </c>
      <c r="Q1498" s="67"/>
      <c r="R1498" s="10"/>
      <c r="S1498" s="59" t="str">
        <f t="array" ref="S1498">IF(COUNTA(Q1498:Q1673)=0,"",SUM((COUNTIF(Q$4:Q1498,Upgrades!$B$3:$B$13)-COUNTIF(Q$4:Q1498,"Sell_"&amp;Upgrades!$B$3:$B$13))*Upgrades!$D$3:$D$13))</f>
        <v/>
      </c>
      <c r="T1498" s="66" t="str">
        <f>IFERROR(__xludf.DUMMYFUNCTION("IF(COUNTA(Q1498:Q1673)=0,"""",IF(REGEXMATCH(INDEX(FILTER(Q$4:Q1498,Q$4:Q1498&lt;&gt;""""),ROWS(FILTER(Q$4:Q1498,Q$4:Q1498&lt;&gt;""""))),""^Sell_""),INDEX(FILTER(T$4:T1497,Q$4:Q1497&lt;&gt;""""),ROWS(FILTER(Q$4:Q1497,Q$4:Q1497&lt;&gt;""""))),$AD$5+S1498))"),"")</f>
        <v/>
      </c>
      <c r="U1498" s="10" t="str">
        <f>IFERROR(__xludf.DUMMYFUNCTION("IF(COUNTA(Q1498:Q1673)=0,"""",IF(Q1498="""",0,IF(REGEXMATCH(Q1498,""^Sell_""),-ROUNDDOWN(ROUNDUP(INDEX(Upgrades!$C$3:$C$13,MATCH(SUBSTITUTE(Q1498,""Sell_"",""""),Upgrades!$B$3:$B$13,0))*1.15^(COUNTIF(Q$4:Q1497,SUBSTITUTE(Q1498,""Sell_"",""""))-COUNTIF(Q$4"&amp;":Q1497,""Sell_""&amp;SUBSTITUTE(Q1498,""Sell_"",""""))))/2),ROUNDUP(INDEX(Upgrades!$C$3:$C$13,MATCH(Q1498,Upgrades!$B$3:$B$13,0))*1.15^(COUNTIF(Q$4:Q1497,Q1498)-COUNTIF(Q$4:Q1497,""Sell_""&amp;Q1498))))))"),"")</f>
        <v/>
      </c>
      <c r="V1498" s="10" t="str">
        <f t="shared" si="11"/>
        <v/>
      </c>
      <c r="W1498" s="68" t="str">
        <f t="shared" si="12"/>
        <v/>
      </c>
      <c r="X1498" s="59" t="str">
        <f t="shared" si="13"/>
        <v/>
      </c>
      <c r="Y1498" s="69" t="str">
        <f t="shared" si="14"/>
        <v/>
      </c>
      <c r="Z1498" s="11"/>
    </row>
    <row r="1499">
      <c r="A1499" s="8"/>
      <c r="B1499" s="56" t="str">
        <f t="shared" si="2"/>
        <v/>
      </c>
      <c r="C1499" s="105"/>
      <c r="D1499" s="10"/>
      <c r="E1499" s="59" t="str">
        <f t="array" ref="E1499">IF(COUNTA(C1499:C1673)=0,"",SUM((COUNTIF(C$4:C1499,Upgrades!$B$3:$B$13)-COUNTIF(C$4:C1499,"Sell_"&amp;Upgrades!$B$3:$B$13))*Upgrades!$D$3:$D$13))</f>
        <v/>
      </c>
      <c r="F1499" s="66" t="str">
        <f>IFERROR(__xludf.DUMMYFUNCTION("IF(COUNTA(C1499:C1673)=0,"""",IF(REGEXMATCH(INDEX(FILTER(C$4:C1499,C$4:C1499&lt;&gt;""""),ROWS(FILTER(C$4:C1499,C$4:C1499&lt;&gt;""""))),""^Sell_""),INDEX(FILTER(F$4:F1498,C$4:C1498&lt;&gt;""""),ROWS(FILTER(C$4:C1498,C$4:C1498&lt;&gt;""""))),$AC$5+E1499))"),"")</f>
        <v/>
      </c>
      <c r="G1499" s="10" t="str">
        <f>IFERROR(__xludf.DUMMYFUNCTION("IF(COUNTA(C1499:C1673)=0,"""",IF(C1499="""",0,IF(REGEXMATCH(C1499,""^Sell_""),-ROUNDDOWN(ROUNDUP(INDEX(Upgrades!$C$3:$C$13,MATCH(SUBSTITUTE(C1499,""Sell_"",""""),Upgrades!$B$3:$B$13,0))*1.15^(COUNTIF(C$4:C1498,SUBSTITUTE(C1499,""Sell_"",""""))-COUNTIF(C$4"&amp;":C1498,""Sell_""&amp;SUBSTITUTE(C1499,""Sell_"",""""))))/2),ROUNDUP(INDEX(Upgrades!$C$3:$C$13,MATCH(C1499,Upgrades!$B$3:$B$13,0))*1.15^(COUNTIF(C$4:C1498,C1499)-COUNTIF(C$4:C1498,""Sell_""&amp;C1499))))))"),"")</f>
        <v/>
      </c>
      <c r="H1499" s="10" t="str">
        <f t="shared" si="3"/>
        <v/>
      </c>
      <c r="I1499" s="68" t="str">
        <f t="shared" si="4"/>
        <v/>
      </c>
      <c r="J1499" s="59" t="str">
        <f t="shared" si="5"/>
        <v/>
      </c>
      <c r="K1499" s="69" t="str">
        <f t="shared" si="6"/>
        <v/>
      </c>
      <c r="L1499" s="60" t="str">
        <f t="shared" si="7"/>
        <v/>
      </c>
      <c r="M1499" s="61" t="str">
        <f>IFERROR(__xludf.DUMMYFUNCTION("IFS(AND(COUNTA(C1499:C1673)=0,COUNTA(Q1499:Q1673)=0),"""",OR(AND(K1499&gt;=1000000000,OR(Y1499&gt;=1000000000,COUNTA(Q1499:Q1673)=0)),OR(Y1499&gt;=1000000000,AND(COUNTA(C1499:C1673)=0,P$3=TRUE))),
ROUNDDOWN((AB$1-AC$1)*MAX(INDEX(T$4:T1673,MATCH(LARGE(FILTER(Y$4:Y1"&amp;"673,Y$4:Y1673&lt;1000000000),1),Y$4:Y1673)),INDEX(F$4:F1673,MATCH(LARGE(FILTER(K$4:K1673,K$4:K1673&lt;1000000000),1),K$4:K1673)))),AND(K1499&lt;1000000000,COUNTA(C1499:C1673)&gt;0,P$3=FALSE),
ROUNDDOWN(INDEX(Y$4:Y1673,MATCH(LARGE(FILTER(W$4:W1673,W$4:W1673&lt;=I1499),1)"&amp;",W$4:W1673))+(I1499-LARGE(FILTER(W$4:W1673,W$4:W1673&lt;=I1499),1))*INDEX(T$4:T1673,MATCH(LARGE(FILTER(W$4:W1673,W$4:W1673&lt;=I1499),1),W$4:W1673))-K1499),1,
ROUNDDOWN(Y1499-INDEX(K$4:K1673,MATCH(LARGE(FILTER(I$4:I1673,I$4:I1673&lt;=W1499),1),I$4:I1673))-(W1499-L"&amp;"ARGE(FILTER(I$4:I1673,I$4:I1673&lt;=W1499),1))*INDEX(F$4:F1673,MATCH(LARGE(FILTER(I$4:I1673,I$4:I1673&lt;=W1499),1),I$4:I1673))))"),"")</f>
        <v/>
      </c>
      <c r="N1499" s="60" t="str">
        <f t="shared" si="8"/>
        <v/>
      </c>
      <c r="O1499" s="61" t="str">
        <f t="shared" si="9"/>
        <v/>
      </c>
      <c r="P1499" s="56" t="str">
        <f t="shared" si="10"/>
        <v/>
      </c>
      <c r="Q1499" s="67"/>
      <c r="R1499" s="10"/>
      <c r="S1499" s="59" t="str">
        <f t="array" ref="S1499">IF(COUNTA(Q1499:Q1673)=0,"",SUM((COUNTIF(Q$4:Q1499,Upgrades!$B$3:$B$13)-COUNTIF(Q$4:Q1499,"Sell_"&amp;Upgrades!$B$3:$B$13))*Upgrades!$D$3:$D$13))</f>
        <v/>
      </c>
      <c r="T1499" s="66" t="str">
        <f>IFERROR(__xludf.DUMMYFUNCTION("IF(COUNTA(Q1499:Q1673)=0,"""",IF(REGEXMATCH(INDEX(FILTER(Q$4:Q1499,Q$4:Q1499&lt;&gt;""""),ROWS(FILTER(Q$4:Q1499,Q$4:Q1499&lt;&gt;""""))),""^Sell_""),INDEX(FILTER(T$4:T1498,Q$4:Q1498&lt;&gt;""""),ROWS(FILTER(Q$4:Q1498,Q$4:Q1498&lt;&gt;""""))),$AD$5+S1499))"),"")</f>
        <v/>
      </c>
      <c r="U1499" s="10" t="str">
        <f>IFERROR(__xludf.DUMMYFUNCTION("IF(COUNTA(Q1499:Q1673)=0,"""",IF(Q1499="""",0,IF(REGEXMATCH(Q1499,""^Sell_""),-ROUNDDOWN(ROUNDUP(INDEX(Upgrades!$C$3:$C$13,MATCH(SUBSTITUTE(Q1499,""Sell_"",""""),Upgrades!$B$3:$B$13,0))*1.15^(COUNTIF(Q$4:Q1498,SUBSTITUTE(Q1499,""Sell_"",""""))-COUNTIF(Q$4"&amp;":Q1498,""Sell_""&amp;SUBSTITUTE(Q1499,""Sell_"",""""))))/2),ROUNDUP(INDEX(Upgrades!$C$3:$C$13,MATCH(Q1499,Upgrades!$B$3:$B$13,0))*1.15^(COUNTIF(Q$4:Q1498,Q1499)-COUNTIF(Q$4:Q1498,""Sell_""&amp;Q1499))))))"),"")</f>
        <v/>
      </c>
      <c r="V1499" s="10" t="str">
        <f t="shared" si="11"/>
        <v/>
      </c>
      <c r="W1499" s="68" t="str">
        <f t="shared" si="12"/>
        <v/>
      </c>
      <c r="X1499" s="59" t="str">
        <f t="shared" si="13"/>
        <v/>
      </c>
      <c r="Y1499" s="69" t="str">
        <f t="shared" si="14"/>
        <v/>
      </c>
      <c r="Z1499" s="11"/>
    </row>
    <row r="1500">
      <c r="A1500" s="8"/>
      <c r="B1500" s="56" t="str">
        <f t="shared" si="2"/>
        <v/>
      </c>
      <c r="C1500" s="105"/>
      <c r="D1500" s="10"/>
      <c r="E1500" s="59" t="str">
        <f t="array" ref="E1500">IF(COUNTA(C1500:C1673)=0,"",SUM((COUNTIF(C$4:C1500,Upgrades!$B$3:$B$13)-COUNTIF(C$4:C1500,"Sell_"&amp;Upgrades!$B$3:$B$13))*Upgrades!$D$3:$D$13))</f>
        <v/>
      </c>
      <c r="F1500" s="66" t="str">
        <f>IFERROR(__xludf.DUMMYFUNCTION("IF(COUNTA(C1500:C1673)=0,"""",IF(REGEXMATCH(INDEX(FILTER(C$4:C1500,C$4:C1500&lt;&gt;""""),ROWS(FILTER(C$4:C1500,C$4:C1500&lt;&gt;""""))),""^Sell_""),INDEX(FILTER(F$4:F1499,C$4:C1499&lt;&gt;""""),ROWS(FILTER(C$4:C1499,C$4:C1499&lt;&gt;""""))),$AC$5+E1500))"),"")</f>
        <v/>
      </c>
      <c r="G1500" s="10" t="str">
        <f>IFERROR(__xludf.DUMMYFUNCTION("IF(COUNTA(C1500:C1673)=0,"""",IF(C1500="""",0,IF(REGEXMATCH(C1500,""^Sell_""),-ROUNDDOWN(ROUNDUP(INDEX(Upgrades!$C$3:$C$13,MATCH(SUBSTITUTE(C1500,""Sell_"",""""),Upgrades!$B$3:$B$13,0))*1.15^(COUNTIF(C$4:C1499,SUBSTITUTE(C1500,""Sell_"",""""))-COUNTIF(C$4"&amp;":C1499,""Sell_""&amp;SUBSTITUTE(C1500,""Sell_"",""""))))/2),ROUNDUP(INDEX(Upgrades!$C$3:$C$13,MATCH(C1500,Upgrades!$B$3:$B$13,0))*1.15^(COUNTIF(C$4:C1499,C1500)-COUNTIF(C$4:C1499,""Sell_""&amp;C1500))))))"),"")</f>
        <v/>
      </c>
      <c r="H1500" s="10" t="str">
        <f t="shared" si="3"/>
        <v/>
      </c>
      <c r="I1500" s="68" t="str">
        <f t="shared" si="4"/>
        <v/>
      </c>
      <c r="J1500" s="59" t="str">
        <f t="shared" si="5"/>
        <v/>
      </c>
      <c r="K1500" s="69" t="str">
        <f t="shared" si="6"/>
        <v/>
      </c>
      <c r="L1500" s="60" t="str">
        <f t="shared" si="7"/>
        <v/>
      </c>
      <c r="M1500" s="61" t="str">
        <f>IFERROR(__xludf.DUMMYFUNCTION("IFS(AND(COUNTA(C1500:C1673)=0,COUNTA(Q1500:Q1673)=0),"""",OR(AND(K1500&gt;=1000000000,OR(Y1500&gt;=1000000000,COUNTA(Q1500:Q1673)=0)),OR(Y1500&gt;=1000000000,AND(COUNTA(C1500:C1673)=0,P$3=TRUE))),
ROUNDDOWN((AB$1-AC$1)*MAX(INDEX(T$4:T1673,MATCH(LARGE(FILTER(Y$4:Y1"&amp;"673,Y$4:Y1673&lt;1000000000),1),Y$4:Y1673)),INDEX(F$4:F1673,MATCH(LARGE(FILTER(K$4:K1673,K$4:K1673&lt;1000000000),1),K$4:K1673)))),AND(K1500&lt;1000000000,COUNTA(C1500:C1673)&gt;0,P$3=FALSE),
ROUNDDOWN(INDEX(Y$4:Y1673,MATCH(LARGE(FILTER(W$4:W1673,W$4:W1673&lt;=I1500),1)"&amp;",W$4:W1673))+(I1500-LARGE(FILTER(W$4:W1673,W$4:W1673&lt;=I1500),1))*INDEX(T$4:T1673,MATCH(LARGE(FILTER(W$4:W1673,W$4:W1673&lt;=I1500),1),W$4:W1673))-K1500),1,
ROUNDDOWN(Y1500-INDEX(K$4:K1673,MATCH(LARGE(FILTER(I$4:I1673,I$4:I1673&lt;=W1500),1),I$4:I1673))-(W1500-L"&amp;"ARGE(FILTER(I$4:I1673,I$4:I1673&lt;=W1500),1))*INDEX(F$4:F1673,MATCH(LARGE(FILTER(I$4:I1673,I$4:I1673&lt;=W1500),1),I$4:I1673))))"),"")</f>
        <v/>
      </c>
      <c r="N1500" s="60" t="str">
        <f t="shared" si="8"/>
        <v/>
      </c>
      <c r="O1500" s="61" t="str">
        <f t="shared" si="9"/>
        <v/>
      </c>
      <c r="P1500" s="56" t="str">
        <f t="shared" si="10"/>
        <v/>
      </c>
      <c r="Q1500" s="67"/>
      <c r="R1500" s="10"/>
      <c r="S1500" s="59" t="str">
        <f t="array" ref="S1500">IF(COUNTA(Q1500:Q1673)=0,"",SUM((COUNTIF(Q$4:Q1500,Upgrades!$B$3:$B$13)-COUNTIF(Q$4:Q1500,"Sell_"&amp;Upgrades!$B$3:$B$13))*Upgrades!$D$3:$D$13))</f>
        <v/>
      </c>
      <c r="T1500" s="66" t="str">
        <f>IFERROR(__xludf.DUMMYFUNCTION("IF(COUNTA(Q1500:Q1673)=0,"""",IF(REGEXMATCH(INDEX(FILTER(Q$4:Q1500,Q$4:Q1500&lt;&gt;""""),ROWS(FILTER(Q$4:Q1500,Q$4:Q1500&lt;&gt;""""))),""^Sell_""),INDEX(FILTER(T$4:T1499,Q$4:Q1499&lt;&gt;""""),ROWS(FILTER(Q$4:Q1499,Q$4:Q1499&lt;&gt;""""))),$AD$5+S1500))"),"")</f>
        <v/>
      </c>
      <c r="U1500" s="10" t="str">
        <f>IFERROR(__xludf.DUMMYFUNCTION("IF(COUNTA(Q1500:Q1673)=0,"""",IF(Q1500="""",0,IF(REGEXMATCH(Q1500,""^Sell_""),-ROUNDDOWN(ROUNDUP(INDEX(Upgrades!$C$3:$C$13,MATCH(SUBSTITUTE(Q1500,""Sell_"",""""),Upgrades!$B$3:$B$13,0))*1.15^(COUNTIF(Q$4:Q1499,SUBSTITUTE(Q1500,""Sell_"",""""))-COUNTIF(Q$4"&amp;":Q1499,""Sell_""&amp;SUBSTITUTE(Q1500,""Sell_"",""""))))/2),ROUNDUP(INDEX(Upgrades!$C$3:$C$13,MATCH(Q1500,Upgrades!$B$3:$B$13,0))*1.15^(COUNTIF(Q$4:Q1499,Q1500)-COUNTIF(Q$4:Q1499,""Sell_""&amp;Q1500))))))"),"")</f>
        <v/>
      </c>
      <c r="V1500" s="10" t="str">
        <f t="shared" si="11"/>
        <v/>
      </c>
      <c r="W1500" s="68" t="str">
        <f t="shared" si="12"/>
        <v/>
      </c>
      <c r="X1500" s="59" t="str">
        <f t="shared" si="13"/>
        <v/>
      </c>
      <c r="Y1500" s="69" t="str">
        <f t="shared" si="14"/>
        <v/>
      </c>
      <c r="Z1500" s="11"/>
    </row>
    <row r="1501">
      <c r="A1501" s="8"/>
      <c r="B1501" s="56" t="str">
        <f t="shared" si="2"/>
        <v/>
      </c>
      <c r="C1501" s="105"/>
      <c r="D1501" s="10"/>
      <c r="E1501" s="59" t="str">
        <f t="array" ref="E1501">IF(COUNTA(C1501:C1673)=0,"",SUM((COUNTIF(C$4:C1501,Upgrades!$B$3:$B$13)-COUNTIF(C$4:C1501,"Sell_"&amp;Upgrades!$B$3:$B$13))*Upgrades!$D$3:$D$13))</f>
        <v/>
      </c>
      <c r="F1501" s="66" t="str">
        <f>IFERROR(__xludf.DUMMYFUNCTION("IF(COUNTA(C1501:C1673)=0,"""",IF(REGEXMATCH(INDEX(FILTER(C$4:C1501,C$4:C1501&lt;&gt;""""),ROWS(FILTER(C$4:C1501,C$4:C1501&lt;&gt;""""))),""^Sell_""),INDEX(FILTER(F$4:F1500,C$4:C1500&lt;&gt;""""),ROWS(FILTER(C$4:C1500,C$4:C1500&lt;&gt;""""))),$AC$5+E1501))"),"")</f>
        <v/>
      </c>
      <c r="G1501" s="10" t="str">
        <f>IFERROR(__xludf.DUMMYFUNCTION("IF(COUNTA(C1501:C1673)=0,"""",IF(C1501="""",0,IF(REGEXMATCH(C1501,""^Sell_""),-ROUNDDOWN(ROUNDUP(INDEX(Upgrades!$C$3:$C$13,MATCH(SUBSTITUTE(C1501,""Sell_"",""""),Upgrades!$B$3:$B$13,0))*1.15^(COUNTIF(C$4:C1500,SUBSTITUTE(C1501,""Sell_"",""""))-COUNTIF(C$4"&amp;":C1500,""Sell_""&amp;SUBSTITUTE(C1501,""Sell_"",""""))))/2),ROUNDUP(INDEX(Upgrades!$C$3:$C$13,MATCH(C1501,Upgrades!$B$3:$B$13,0))*1.15^(COUNTIF(C$4:C1500,C1501)-COUNTIF(C$4:C1500,""Sell_""&amp;C1501))))))"),"")</f>
        <v/>
      </c>
      <c r="H1501" s="10" t="str">
        <f t="shared" si="3"/>
        <v/>
      </c>
      <c r="I1501" s="68" t="str">
        <f t="shared" si="4"/>
        <v/>
      </c>
      <c r="J1501" s="59" t="str">
        <f t="shared" si="5"/>
        <v/>
      </c>
      <c r="K1501" s="69" t="str">
        <f t="shared" si="6"/>
        <v/>
      </c>
      <c r="L1501" s="60" t="str">
        <f t="shared" si="7"/>
        <v/>
      </c>
      <c r="M1501" s="61" t="str">
        <f>IFERROR(__xludf.DUMMYFUNCTION("IFS(AND(COUNTA(C1501:C1673)=0,COUNTA(Q1501:Q1673)=0),"""",OR(AND(K1501&gt;=1000000000,OR(Y1501&gt;=1000000000,COUNTA(Q1501:Q1673)=0)),OR(Y1501&gt;=1000000000,AND(COUNTA(C1501:C1673)=0,P$3=TRUE))),
ROUNDDOWN((AB$1-AC$1)*MAX(INDEX(T$4:T1673,MATCH(LARGE(FILTER(Y$4:Y1"&amp;"673,Y$4:Y1673&lt;1000000000),1),Y$4:Y1673)),INDEX(F$4:F1673,MATCH(LARGE(FILTER(K$4:K1673,K$4:K1673&lt;1000000000),1),K$4:K1673)))),AND(K1501&lt;1000000000,COUNTA(C1501:C1673)&gt;0,P$3=FALSE),
ROUNDDOWN(INDEX(Y$4:Y1673,MATCH(LARGE(FILTER(W$4:W1673,W$4:W1673&lt;=I1501),1)"&amp;",W$4:W1673))+(I1501-LARGE(FILTER(W$4:W1673,W$4:W1673&lt;=I1501),1))*INDEX(T$4:T1673,MATCH(LARGE(FILTER(W$4:W1673,W$4:W1673&lt;=I1501),1),W$4:W1673))-K1501),1,
ROUNDDOWN(Y1501-INDEX(K$4:K1673,MATCH(LARGE(FILTER(I$4:I1673,I$4:I1673&lt;=W1501),1),I$4:I1673))-(W1501-L"&amp;"ARGE(FILTER(I$4:I1673,I$4:I1673&lt;=W1501),1))*INDEX(F$4:F1673,MATCH(LARGE(FILTER(I$4:I1673,I$4:I1673&lt;=W1501),1),I$4:I1673))))"),"")</f>
        <v/>
      </c>
      <c r="N1501" s="60" t="str">
        <f t="shared" si="8"/>
        <v/>
      </c>
      <c r="O1501" s="61" t="str">
        <f t="shared" si="9"/>
        <v/>
      </c>
      <c r="P1501" s="56" t="str">
        <f t="shared" si="10"/>
        <v/>
      </c>
      <c r="Q1501" s="67"/>
      <c r="R1501" s="10"/>
      <c r="S1501" s="59" t="str">
        <f t="array" ref="S1501">IF(COUNTA(Q1501:Q1673)=0,"",SUM((COUNTIF(Q$4:Q1501,Upgrades!$B$3:$B$13)-COUNTIF(Q$4:Q1501,"Sell_"&amp;Upgrades!$B$3:$B$13))*Upgrades!$D$3:$D$13))</f>
        <v/>
      </c>
      <c r="T1501" s="66" t="str">
        <f>IFERROR(__xludf.DUMMYFUNCTION("IF(COUNTA(Q1501:Q1673)=0,"""",IF(REGEXMATCH(INDEX(FILTER(Q$4:Q1501,Q$4:Q1501&lt;&gt;""""),ROWS(FILTER(Q$4:Q1501,Q$4:Q1501&lt;&gt;""""))),""^Sell_""),INDEX(FILTER(T$4:T1500,Q$4:Q1500&lt;&gt;""""),ROWS(FILTER(Q$4:Q1500,Q$4:Q1500&lt;&gt;""""))),$AD$5+S1501))"),"")</f>
        <v/>
      </c>
      <c r="U1501" s="10" t="str">
        <f>IFERROR(__xludf.DUMMYFUNCTION("IF(COUNTA(Q1501:Q1673)=0,"""",IF(Q1501="""",0,IF(REGEXMATCH(Q1501,""^Sell_""),-ROUNDDOWN(ROUNDUP(INDEX(Upgrades!$C$3:$C$13,MATCH(SUBSTITUTE(Q1501,""Sell_"",""""),Upgrades!$B$3:$B$13,0))*1.15^(COUNTIF(Q$4:Q1500,SUBSTITUTE(Q1501,""Sell_"",""""))-COUNTIF(Q$4"&amp;":Q1500,""Sell_""&amp;SUBSTITUTE(Q1501,""Sell_"",""""))))/2),ROUNDUP(INDEX(Upgrades!$C$3:$C$13,MATCH(Q1501,Upgrades!$B$3:$B$13,0))*1.15^(COUNTIF(Q$4:Q1500,Q1501)-COUNTIF(Q$4:Q1500,""Sell_""&amp;Q1501))))))"),"")</f>
        <v/>
      </c>
      <c r="V1501" s="10" t="str">
        <f t="shared" si="11"/>
        <v/>
      </c>
      <c r="W1501" s="68" t="str">
        <f t="shared" si="12"/>
        <v/>
      </c>
      <c r="X1501" s="59" t="str">
        <f t="shared" si="13"/>
        <v/>
      </c>
      <c r="Y1501" s="69" t="str">
        <f t="shared" si="14"/>
        <v/>
      </c>
      <c r="Z1501" s="11"/>
    </row>
    <row r="1502">
      <c r="A1502" s="8"/>
      <c r="B1502" s="56" t="str">
        <f t="shared" si="2"/>
        <v/>
      </c>
      <c r="C1502" s="105"/>
      <c r="D1502" s="10"/>
      <c r="E1502" s="59" t="str">
        <f t="array" ref="E1502">IF(COUNTA(C1502:C1673)=0,"",SUM((COUNTIF(C$4:C1502,Upgrades!$B$3:$B$13)-COUNTIF(C$4:C1502,"Sell_"&amp;Upgrades!$B$3:$B$13))*Upgrades!$D$3:$D$13))</f>
        <v/>
      </c>
      <c r="F1502" s="66" t="str">
        <f>IFERROR(__xludf.DUMMYFUNCTION("IF(COUNTA(C1502:C1673)=0,"""",IF(REGEXMATCH(INDEX(FILTER(C$4:C1502,C$4:C1502&lt;&gt;""""),ROWS(FILTER(C$4:C1502,C$4:C1502&lt;&gt;""""))),""^Sell_""),INDEX(FILTER(F$4:F1501,C$4:C1501&lt;&gt;""""),ROWS(FILTER(C$4:C1501,C$4:C1501&lt;&gt;""""))),$AC$5+E1502))"),"")</f>
        <v/>
      </c>
      <c r="G1502" s="10" t="str">
        <f>IFERROR(__xludf.DUMMYFUNCTION("IF(COUNTA(C1502:C1673)=0,"""",IF(C1502="""",0,IF(REGEXMATCH(C1502,""^Sell_""),-ROUNDDOWN(ROUNDUP(INDEX(Upgrades!$C$3:$C$13,MATCH(SUBSTITUTE(C1502,""Sell_"",""""),Upgrades!$B$3:$B$13,0))*1.15^(COUNTIF(C$4:C1501,SUBSTITUTE(C1502,""Sell_"",""""))-COUNTIF(C$4"&amp;":C1501,""Sell_""&amp;SUBSTITUTE(C1502,""Sell_"",""""))))/2),ROUNDUP(INDEX(Upgrades!$C$3:$C$13,MATCH(C1502,Upgrades!$B$3:$B$13,0))*1.15^(COUNTIF(C$4:C1501,C1502)-COUNTIF(C$4:C1501,""Sell_""&amp;C1502))))))"),"")</f>
        <v/>
      </c>
      <c r="H1502" s="10" t="str">
        <f t="shared" si="3"/>
        <v/>
      </c>
      <c r="I1502" s="68" t="str">
        <f t="shared" si="4"/>
        <v/>
      </c>
      <c r="J1502" s="59" t="str">
        <f t="shared" si="5"/>
        <v/>
      </c>
      <c r="K1502" s="69" t="str">
        <f t="shared" si="6"/>
        <v/>
      </c>
      <c r="L1502" s="60" t="str">
        <f t="shared" si="7"/>
        <v/>
      </c>
      <c r="M1502" s="61" t="str">
        <f>IFERROR(__xludf.DUMMYFUNCTION("IFS(AND(COUNTA(C1502:C1673)=0,COUNTA(Q1502:Q1673)=0),"""",OR(AND(K1502&gt;=1000000000,OR(Y1502&gt;=1000000000,COUNTA(Q1502:Q1673)=0)),OR(Y1502&gt;=1000000000,AND(COUNTA(C1502:C1673)=0,P$3=TRUE))),
ROUNDDOWN((AB$1-AC$1)*MAX(INDEX(T$4:T1673,MATCH(LARGE(FILTER(Y$4:Y1"&amp;"673,Y$4:Y1673&lt;1000000000),1),Y$4:Y1673)),INDEX(F$4:F1673,MATCH(LARGE(FILTER(K$4:K1673,K$4:K1673&lt;1000000000),1),K$4:K1673)))),AND(K1502&lt;1000000000,COUNTA(C1502:C1673)&gt;0,P$3=FALSE),
ROUNDDOWN(INDEX(Y$4:Y1673,MATCH(LARGE(FILTER(W$4:W1673,W$4:W1673&lt;=I1502),1)"&amp;",W$4:W1673))+(I1502-LARGE(FILTER(W$4:W1673,W$4:W1673&lt;=I1502),1))*INDEX(T$4:T1673,MATCH(LARGE(FILTER(W$4:W1673,W$4:W1673&lt;=I1502),1),W$4:W1673))-K1502),1,
ROUNDDOWN(Y1502-INDEX(K$4:K1673,MATCH(LARGE(FILTER(I$4:I1673,I$4:I1673&lt;=W1502),1),I$4:I1673))-(W1502-L"&amp;"ARGE(FILTER(I$4:I1673,I$4:I1673&lt;=W1502),1))*INDEX(F$4:F1673,MATCH(LARGE(FILTER(I$4:I1673,I$4:I1673&lt;=W1502),1),I$4:I1673))))"),"")</f>
        <v/>
      </c>
      <c r="N1502" s="60" t="str">
        <f t="shared" si="8"/>
        <v/>
      </c>
      <c r="O1502" s="61" t="str">
        <f t="shared" si="9"/>
        <v/>
      </c>
      <c r="P1502" s="56" t="str">
        <f t="shared" si="10"/>
        <v/>
      </c>
      <c r="Q1502" s="67"/>
      <c r="R1502" s="10"/>
      <c r="S1502" s="59" t="str">
        <f t="array" ref="S1502">IF(COUNTA(Q1502:Q1673)=0,"",SUM((COUNTIF(Q$4:Q1502,Upgrades!$B$3:$B$13)-COUNTIF(Q$4:Q1502,"Sell_"&amp;Upgrades!$B$3:$B$13))*Upgrades!$D$3:$D$13))</f>
        <v/>
      </c>
      <c r="T1502" s="66" t="str">
        <f>IFERROR(__xludf.DUMMYFUNCTION("IF(COUNTA(Q1502:Q1673)=0,"""",IF(REGEXMATCH(INDEX(FILTER(Q$4:Q1502,Q$4:Q1502&lt;&gt;""""),ROWS(FILTER(Q$4:Q1502,Q$4:Q1502&lt;&gt;""""))),""^Sell_""),INDEX(FILTER(T$4:T1501,Q$4:Q1501&lt;&gt;""""),ROWS(FILTER(Q$4:Q1501,Q$4:Q1501&lt;&gt;""""))),$AD$5+S1502))"),"")</f>
        <v/>
      </c>
      <c r="U1502" s="10" t="str">
        <f>IFERROR(__xludf.DUMMYFUNCTION("IF(COUNTA(Q1502:Q1673)=0,"""",IF(Q1502="""",0,IF(REGEXMATCH(Q1502,""^Sell_""),-ROUNDDOWN(ROUNDUP(INDEX(Upgrades!$C$3:$C$13,MATCH(SUBSTITUTE(Q1502,""Sell_"",""""),Upgrades!$B$3:$B$13,0))*1.15^(COUNTIF(Q$4:Q1501,SUBSTITUTE(Q1502,""Sell_"",""""))-COUNTIF(Q$4"&amp;":Q1501,""Sell_""&amp;SUBSTITUTE(Q1502,""Sell_"",""""))))/2),ROUNDUP(INDEX(Upgrades!$C$3:$C$13,MATCH(Q1502,Upgrades!$B$3:$B$13,0))*1.15^(COUNTIF(Q$4:Q1501,Q1502)-COUNTIF(Q$4:Q1501,""Sell_""&amp;Q1502))))))"),"")</f>
        <v/>
      </c>
      <c r="V1502" s="10" t="str">
        <f t="shared" si="11"/>
        <v/>
      </c>
      <c r="W1502" s="68" t="str">
        <f t="shared" si="12"/>
        <v/>
      </c>
      <c r="X1502" s="59" t="str">
        <f t="shared" si="13"/>
        <v/>
      </c>
      <c r="Y1502" s="69" t="str">
        <f t="shared" si="14"/>
        <v/>
      </c>
      <c r="Z1502" s="11"/>
    </row>
    <row r="1503">
      <c r="A1503" s="8"/>
      <c r="B1503" s="56" t="str">
        <f t="shared" si="2"/>
        <v/>
      </c>
      <c r="C1503" s="105"/>
      <c r="D1503" s="10"/>
      <c r="E1503" s="59" t="str">
        <f t="array" ref="E1503">IF(COUNTA(C1503:C1673)=0,"",SUM((COUNTIF(C$4:C1503,Upgrades!$B$3:$B$13)-COUNTIF(C$4:C1503,"Sell_"&amp;Upgrades!$B$3:$B$13))*Upgrades!$D$3:$D$13))</f>
        <v/>
      </c>
      <c r="F1503" s="66" t="str">
        <f>IFERROR(__xludf.DUMMYFUNCTION("IF(COUNTA(C1503:C1673)=0,"""",IF(REGEXMATCH(INDEX(FILTER(C$4:C1503,C$4:C1503&lt;&gt;""""),ROWS(FILTER(C$4:C1503,C$4:C1503&lt;&gt;""""))),""^Sell_""),INDEX(FILTER(F$4:F1502,C$4:C1502&lt;&gt;""""),ROWS(FILTER(C$4:C1502,C$4:C1502&lt;&gt;""""))),$AC$5+E1503))"),"")</f>
        <v/>
      </c>
      <c r="G1503" s="10" t="str">
        <f>IFERROR(__xludf.DUMMYFUNCTION("IF(COUNTA(C1503:C1673)=0,"""",IF(C1503="""",0,IF(REGEXMATCH(C1503,""^Sell_""),-ROUNDDOWN(ROUNDUP(INDEX(Upgrades!$C$3:$C$13,MATCH(SUBSTITUTE(C1503,""Sell_"",""""),Upgrades!$B$3:$B$13,0))*1.15^(COUNTIF(C$4:C1502,SUBSTITUTE(C1503,""Sell_"",""""))-COUNTIF(C$4"&amp;":C1502,""Sell_""&amp;SUBSTITUTE(C1503,""Sell_"",""""))))/2),ROUNDUP(INDEX(Upgrades!$C$3:$C$13,MATCH(C1503,Upgrades!$B$3:$B$13,0))*1.15^(COUNTIF(C$4:C1502,C1503)-COUNTIF(C$4:C1502,""Sell_""&amp;C1503))))))"),"")</f>
        <v/>
      </c>
      <c r="H1503" s="10" t="str">
        <f t="shared" si="3"/>
        <v/>
      </c>
      <c r="I1503" s="68" t="str">
        <f t="shared" si="4"/>
        <v/>
      </c>
      <c r="J1503" s="59" t="str">
        <f t="shared" si="5"/>
        <v/>
      </c>
      <c r="K1503" s="69" t="str">
        <f t="shared" si="6"/>
        <v/>
      </c>
      <c r="L1503" s="60" t="str">
        <f t="shared" si="7"/>
        <v/>
      </c>
      <c r="M1503" s="61" t="str">
        <f>IFERROR(__xludf.DUMMYFUNCTION("IFS(AND(COUNTA(C1503:C1673)=0,COUNTA(Q1503:Q1673)=0),"""",OR(AND(K1503&gt;=1000000000,OR(Y1503&gt;=1000000000,COUNTA(Q1503:Q1673)=0)),OR(Y1503&gt;=1000000000,AND(COUNTA(C1503:C1673)=0,P$3=TRUE))),
ROUNDDOWN((AB$1-AC$1)*MAX(INDEX(T$4:T1673,MATCH(LARGE(FILTER(Y$4:Y1"&amp;"673,Y$4:Y1673&lt;1000000000),1),Y$4:Y1673)),INDEX(F$4:F1673,MATCH(LARGE(FILTER(K$4:K1673,K$4:K1673&lt;1000000000),1),K$4:K1673)))),AND(K1503&lt;1000000000,COUNTA(C1503:C1673)&gt;0,P$3=FALSE),
ROUNDDOWN(INDEX(Y$4:Y1673,MATCH(LARGE(FILTER(W$4:W1673,W$4:W1673&lt;=I1503),1)"&amp;",W$4:W1673))+(I1503-LARGE(FILTER(W$4:W1673,W$4:W1673&lt;=I1503),1))*INDEX(T$4:T1673,MATCH(LARGE(FILTER(W$4:W1673,W$4:W1673&lt;=I1503),1),W$4:W1673))-K1503),1,
ROUNDDOWN(Y1503-INDEX(K$4:K1673,MATCH(LARGE(FILTER(I$4:I1673,I$4:I1673&lt;=W1503),1),I$4:I1673))-(W1503-L"&amp;"ARGE(FILTER(I$4:I1673,I$4:I1673&lt;=W1503),1))*INDEX(F$4:F1673,MATCH(LARGE(FILTER(I$4:I1673,I$4:I1673&lt;=W1503),1),I$4:I1673))))"),"")</f>
        <v/>
      </c>
      <c r="N1503" s="60" t="str">
        <f t="shared" si="8"/>
        <v/>
      </c>
      <c r="O1503" s="61" t="str">
        <f t="shared" si="9"/>
        <v/>
      </c>
      <c r="P1503" s="56" t="str">
        <f t="shared" si="10"/>
        <v/>
      </c>
      <c r="Q1503" s="67"/>
      <c r="R1503" s="10"/>
      <c r="S1503" s="59" t="str">
        <f t="array" ref="S1503">IF(COUNTA(Q1503:Q1673)=0,"",SUM((COUNTIF(Q$4:Q1503,Upgrades!$B$3:$B$13)-COUNTIF(Q$4:Q1503,"Sell_"&amp;Upgrades!$B$3:$B$13))*Upgrades!$D$3:$D$13))</f>
        <v/>
      </c>
      <c r="T1503" s="66" t="str">
        <f>IFERROR(__xludf.DUMMYFUNCTION("IF(COUNTA(Q1503:Q1673)=0,"""",IF(REGEXMATCH(INDEX(FILTER(Q$4:Q1503,Q$4:Q1503&lt;&gt;""""),ROWS(FILTER(Q$4:Q1503,Q$4:Q1503&lt;&gt;""""))),""^Sell_""),INDEX(FILTER(T$4:T1502,Q$4:Q1502&lt;&gt;""""),ROWS(FILTER(Q$4:Q1502,Q$4:Q1502&lt;&gt;""""))),$AD$5+S1503))"),"")</f>
        <v/>
      </c>
      <c r="U1503" s="10" t="str">
        <f>IFERROR(__xludf.DUMMYFUNCTION("IF(COUNTA(Q1503:Q1673)=0,"""",IF(Q1503="""",0,IF(REGEXMATCH(Q1503,""^Sell_""),-ROUNDDOWN(ROUNDUP(INDEX(Upgrades!$C$3:$C$13,MATCH(SUBSTITUTE(Q1503,""Sell_"",""""),Upgrades!$B$3:$B$13,0))*1.15^(COUNTIF(Q$4:Q1502,SUBSTITUTE(Q1503,""Sell_"",""""))-COUNTIF(Q$4"&amp;":Q1502,""Sell_""&amp;SUBSTITUTE(Q1503,""Sell_"",""""))))/2),ROUNDUP(INDEX(Upgrades!$C$3:$C$13,MATCH(Q1503,Upgrades!$B$3:$B$13,0))*1.15^(COUNTIF(Q$4:Q1502,Q1503)-COUNTIF(Q$4:Q1502,""Sell_""&amp;Q1503))))))"),"")</f>
        <v/>
      </c>
      <c r="V1503" s="10" t="str">
        <f t="shared" si="11"/>
        <v/>
      </c>
      <c r="W1503" s="68" t="str">
        <f t="shared" si="12"/>
        <v/>
      </c>
      <c r="X1503" s="59" t="str">
        <f t="shared" si="13"/>
        <v/>
      </c>
      <c r="Y1503" s="69" t="str">
        <f t="shared" si="14"/>
        <v/>
      </c>
      <c r="Z1503" s="11"/>
    </row>
    <row r="1504">
      <c r="A1504" s="8"/>
      <c r="B1504" s="56" t="str">
        <f t="shared" si="2"/>
        <v/>
      </c>
      <c r="C1504" s="105"/>
      <c r="D1504" s="10"/>
      <c r="E1504" s="59" t="str">
        <f t="array" ref="E1504">IF(COUNTA(C1504:C1673)=0,"",SUM((COUNTIF(C$4:C1504,Upgrades!$B$3:$B$13)-COUNTIF(C$4:C1504,"Sell_"&amp;Upgrades!$B$3:$B$13))*Upgrades!$D$3:$D$13))</f>
        <v/>
      </c>
      <c r="F1504" s="66" t="str">
        <f>IFERROR(__xludf.DUMMYFUNCTION("IF(COUNTA(C1504:C1673)=0,"""",IF(REGEXMATCH(INDEX(FILTER(C$4:C1504,C$4:C1504&lt;&gt;""""),ROWS(FILTER(C$4:C1504,C$4:C1504&lt;&gt;""""))),""^Sell_""),INDEX(FILTER(F$4:F1503,C$4:C1503&lt;&gt;""""),ROWS(FILTER(C$4:C1503,C$4:C1503&lt;&gt;""""))),$AC$5+E1504))"),"")</f>
        <v/>
      </c>
      <c r="G1504" s="10" t="str">
        <f>IFERROR(__xludf.DUMMYFUNCTION("IF(COUNTA(C1504:C1673)=0,"""",IF(C1504="""",0,IF(REGEXMATCH(C1504,""^Sell_""),-ROUNDDOWN(ROUNDUP(INDEX(Upgrades!$C$3:$C$13,MATCH(SUBSTITUTE(C1504,""Sell_"",""""),Upgrades!$B$3:$B$13,0))*1.15^(COUNTIF(C$4:C1503,SUBSTITUTE(C1504,""Sell_"",""""))-COUNTIF(C$4"&amp;":C1503,""Sell_""&amp;SUBSTITUTE(C1504,""Sell_"",""""))))/2),ROUNDUP(INDEX(Upgrades!$C$3:$C$13,MATCH(C1504,Upgrades!$B$3:$B$13,0))*1.15^(COUNTIF(C$4:C1503,C1504)-COUNTIF(C$4:C1503,""Sell_""&amp;C1504))))))"),"")</f>
        <v/>
      </c>
      <c r="H1504" s="10" t="str">
        <f t="shared" si="3"/>
        <v/>
      </c>
      <c r="I1504" s="68" t="str">
        <f t="shared" si="4"/>
        <v/>
      </c>
      <c r="J1504" s="59" t="str">
        <f t="shared" si="5"/>
        <v/>
      </c>
      <c r="K1504" s="69" t="str">
        <f t="shared" si="6"/>
        <v/>
      </c>
      <c r="L1504" s="60" t="str">
        <f t="shared" si="7"/>
        <v/>
      </c>
      <c r="M1504" s="61" t="str">
        <f>IFERROR(__xludf.DUMMYFUNCTION("IFS(AND(COUNTA(C1504:C1673)=0,COUNTA(Q1504:Q1673)=0),"""",OR(AND(K1504&gt;=1000000000,OR(Y1504&gt;=1000000000,COUNTA(Q1504:Q1673)=0)),OR(Y1504&gt;=1000000000,AND(COUNTA(C1504:C1673)=0,P$3=TRUE))),
ROUNDDOWN((AB$1-AC$1)*MAX(INDEX(T$4:T1673,MATCH(LARGE(FILTER(Y$4:Y1"&amp;"673,Y$4:Y1673&lt;1000000000),1),Y$4:Y1673)),INDEX(F$4:F1673,MATCH(LARGE(FILTER(K$4:K1673,K$4:K1673&lt;1000000000),1),K$4:K1673)))),AND(K1504&lt;1000000000,COUNTA(C1504:C1673)&gt;0,P$3=FALSE),
ROUNDDOWN(INDEX(Y$4:Y1673,MATCH(LARGE(FILTER(W$4:W1673,W$4:W1673&lt;=I1504),1)"&amp;",W$4:W1673))+(I1504-LARGE(FILTER(W$4:W1673,W$4:W1673&lt;=I1504),1))*INDEX(T$4:T1673,MATCH(LARGE(FILTER(W$4:W1673,W$4:W1673&lt;=I1504),1),W$4:W1673))-K1504),1,
ROUNDDOWN(Y1504-INDEX(K$4:K1673,MATCH(LARGE(FILTER(I$4:I1673,I$4:I1673&lt;=W1504),1),I$4:I1673))-(W1504-L"&amp;"ARGE(FILTER(I$4:I1673,I$4:I1673&lt;=W1504),1))*INDEX(F$4:F1673,MATCH(LARGE(FILTER(I$4:I1673,I$4:I1673&lt;=W1504),1),I$4:I1673))))"),"")</f>
        <v/>
      </c>
      <c r="N1504" s="60" t="str">
        <f t="shared" si="8"/>
        <v/>
      </c>
      <c r="O1504" s="61" t="str">
        <f t="shared" si="9"/>
        <v/>
      </c>
      <c r="P1504" s="56" t="str">
        <f t="shared" si="10"/>
        <v/>
      </c>
      <c r="Q1504" s="67"/>
      <c r="R1504" s="10"/>
      <c r="S1504" s="59" t="str">
        <f t="array" ref="S1504">IF(COUNTA(Q1504:Q1673)=0,"",SUM((COUNTIF(Q$4:Q1504,Upgrades!$B$3:$B$13)-COUNTIF(Q$4:Q1504,"Sell_"&amp;Upgrades!$B$3:$B$13))*Upgrades!$D$3:$D$13))</f>
        <v/>
      </c>
      <c r="T1504" s="66" t="str">
        <f>IFERROR(__xludf.DUMMYFUNCTION("IF(COUNTA(Q1504:Q1673)=0,"""",IF(REGEXMATCH(INDEX(FILTER(Q$4:Q1504,Q$4:Q1504&lt;&gt;""""),ROWS(FILTER(Q$4:Q1504,Q$4:Q1504&lt;&gt;""""))),""^Sell_""),INDEX(FILTER(T$4:T1503,Q$4:Q1503&lt;&gt;""""),ROWS(FILTER(Q$4:Q1503,Q$4:Q1503&lt;&gt;""""))),$AD$5+S1504))"),"")</f>
        <v/>
      </c>
      <c r="U1504" s="10" t="str">
        <f>IFERROR(__xludf.DUMMYFUNCTION("IF(COUNTA(Q1504:Q1673)=0,"""",IF(Q1504="""",0,IF(REGEXMATCH(Q1504,""^Sell_""),-ROUNDDOWN(ROUNDUP(INDEX(Upgrades!$C$3:$C$13,MATCH(SUBSTITUTE(Q1504,""Sell_"",""""),Upgrades!$B$3:$B$13,0))*1.15^(COUNTIF(Q$4:Q1503,SUBSTITUTE(Q1504,""Sell_"",""""))-COUNTIF(Q$4"&amp;":Q1503,""Sell_""&amp;SUBSTITUTE(Q1504,""Sell_"",""""))))/2),ROUNDUP(INDEX(Upgrades!$C$3:$C$13,MATCH(Q1504,Upgrades!$B$3:$B$13,0))*1.15^(COUNTIF(Q$4:Q1503,Q1504)-COUNTIF(Q$4:Q1503,""Sell_""&amp;Q1504))))))"),"")</f>
        <v/>
      </c>
      <c r="V1504" s="10" t="str">
        <f t="shared" si="11"/>
        <v/>
      </c>
      <c r="W1504" s="68" t="str">
        <f t="shared" si="12"/>
        <v/>
      </c>
      <c r="X1504" s="59" t="str">
        <f t="shared" si="13"/>
        <v/>
      </c>
      <c r="Y1504" s="69" t="str">
        <f t="shared" si="14"/>
        <v/>
      </c>
      <c r="Z1504" s="11"/>
    </row>
    <row r="1505">
      <c r="A1505" s="8"/>
      <c r="B1505" s="56" t="str">
        <f t="shared" si="2"/>
        <v/>
      </c>
      <c r="C1505" s="105"/>
      <c r="D1505" s="10"/>
      <c r="E1505" s="59" t="str">
        <f t="array" ref="E1505">IF(COUNTA(C1505:C1673)=0,"",SUM((COUNTIF(C$4:C1505,Upgrades!$B$3:$B$13)-COUNTIF(C$4:C1505,"Sell_"&amp;Upgrades!$B$3:$B$13))*Upgrades!$D$3:$D$13))</f>
        <v/>
      </c>
      <c r="F1505" s="66" t="str">
        <f>IFERROR(__xludf.DUMMYFUNCTION("IF(COUNTA(C1505:C1673)=0,"""",IF(REGEXMATCH(INDEX(FILTER(C$4:C1505,C$4:C1505&lt;&gt;""""),ROWS(FILTER(C$4:C1505,C$4:C1505&lt;&gt;""""))),""^Sell_""),INDEX(FILTER(F$4:F1504,C$4:C1504&lt;&gt;""""),ROWS(FILTER(C$4:C1504,C$4:C1504&lt;&gt;""""))),$AC$5+E1505))"),"")</f>
        <v/>
      </c>
      <c r="G1505" s="10" t="str">
        <f>IFERROR(__xludf.DUMMYFUNCTION("IF(COUNTA(C1505:C1673)=0,"""",IF(C1505="""",0,IF(REGEXMATCH(C1505,""^Sell_""),-ROUNDDOWN(ROUNDUP(INDEX(Upgrades!$C$3:$C$13,MATCH(SUBSTITUTE(C1505,""Sell_"",""""),Upgrades!$B$3:$B$13,0))*1.15^(COUNTIF(C$4:C1504,SUBSTITUTE(C1505,""Sell_"",""""))-COUNTIF(C$4"&amp;":C1504,""Sell_""&amp;SUBSTITUTE(C1505,""Sell_"",""""))))/2),ROUNDUP(INDEX(Upgrades!$C$3:$C$13,MATCH(C1505,Upgrades!$B$3:$B$13,0))*1.15^(COUNTIF(C$4:C1504,C1505)-COUNTIF(C$4:C1504,""Sell_""&amp;C1505))))))"),"")</f>
        <v/>
      </c>
      <c r="H1505" s="10" t="str">
        <f t="shared" si="3"/>
        <v/>
      </c>
      <c r="I1505" s="68" t="str">
        <f t="shared" si="4"/>
        <v/>
      </c>
      <c r="J1505" s="59" t="str">
        <f t="shared" si="5"/>
        <v/>
      </c>
      <c r="K1505" s="69" t="str">
        <f t="shared" si="6"/>
        <v/>
      </c>
      <c r="L1505" s="60" t="str">
        <f t="shared" si="7"/>
        <v/>
      </c>
      <c r="M1505" s="61" t="str">
        <f>IFERROR(__xludf.DUMMYFUNCTION("IFS(AND(COUNTA(C1505:C1673)=0,COUNTA(Q1505:Q1673)=0),"""",OR(AND(K1505&gt;=1000000000,OR(Y1505&gt;=1000000000,COUNTA(Q1505:Q1673)=0)),OR(Y1505&gt;=1000000000,AND(COUNTA(C1505:C1673)=0,P$3=TRUE))),
ROUNDDOWN((AB$1-AC$1)*MAX(INDEX(T$4:T1673,MATCH(LARGE(FILTER(Y$4:Y1"&amp;"673,Y$4:Y1673&lt;1000000000),1),Y$4:Y1673)),INDEX(F$4:F1673,MATCH(LARGE(FILTER(K$4:K1673,K$4:K1673&lt;1000000000),1),K$4:K1673)))),AND(K1505&lt;1000000000,COUNTA(C1505:C1673)&gt;0,P$3=FALSE),
ROUNDDOWN(INDEX(Y$4:Y1673,MATCH(LARGE(FILTER(W$4:W1673,W$4:W1673&lt;=I1505),1)"&amp;",W$4:W1673))+(I1505-LARGE(FILTER(W$4:W1673,W$4:W1673&lt;=I1505),1))*INDEX(T$4:T1673,MATCH(LARGE(FILTER(W$4:W1673,W$4:W1673&lt;=I1505),1),W$4:W1673))-K1505),1,
ROUNDDOWN(Y1505-INDEX(K$4:K1673,MATCH(LARGE(FILTER(I$4:I1673,I$4:I1673&lt;=W1505),1),I$4:I1673))-(W1505-L"&amp;"ARGE(FILTER(I$4:I1673,I$4:I1673&lt;=W1505),1))*INDEX(F$4:F1673,MATCH(LARGE(FILTER(I$4:I1673,I$4:I1673&lt;=W1505),1),I$4:I1673))))"),"")</f>
        <v/>
      </c>
      <c r="N1505" s="60" t="str">
        <f t="shared" si="8"/>
        <v/>
      </c>
      <c r="O1505" s="61" t="str">
        <f t="shared" si="9"/>
        <v/>
      </c>
      <c r="P1505" s="56" t="str">
        <f t="shared" si="10"/>
        <v/>
      </c>
      <c r="Q1505" s="67"/>
      <c r="R1505" s="10"/>
      <c r="S1505" s="59" t="str">
        <f t="array" ref="S1505">IF(COUNTA(Q1505:Q1673)=0,"",SUM((COUNTIF(Q$4:Q1505,Upgrades!$B$3:$B$13)-COUNTIF(Q$4:Q1505,"Sell_"&amp;Upgrades!$B$3:$B$13))*Upgrades!$D$3:$D$13))</f>
        <v/>
      </c>
      <c r="T1505" s="66" t="str">
        <f>IFERROR(__xludf.DUMMYFUNCTION("IF(COUNTA(Q1505:Q1673)=0,"""",IF(REGEXMATCH(INDEX(FILTER(Q$4:Q1505,Q$4:Q1505&lt;&gt;""""),ROWS(FILTER(Q$4:Q1505,Q$4:Q1505&lt;&gt;""""))),""^Sell_""),INDEX(FILTER(T$4:T1504,Q$4:Q1504&lt;&gt;""""),ROWS(FILTER(Q$4:Q1504,Q$4:Q1504&lt;&gt;""""))),$AD$5+S1505))"),"")</f>
        <v/>
      </c>
      <c r="U1505" s="10" t="str">
        <f>IFERROR(__xludf.DUMMYFUNCTION("IF(COUNTA(Q1505:Q1673)=0,"""",IF(Q1505="""",0,IF(REGEXMATCH(Q1505,""^Sell_""),-ROUNDDOWN(ROUNDUP(INDEX(Upgrades!$C$3:$C$13,MATCH(SUBSTITUTE(Q1505,""Sell_"",""""),Upgrades!$B$3:$B$13,0))*1.15^(COUNTIF(Q$4:Q1504,SUBSTITUTE(Q1505,""Sell_"",""""))-COUNTIF(Q$4"&amp;":Q1504,""Sell_""&amp;SUBSTITUTE(Q1505,""Sell_"",""""))))/2),ROUNDUP(INDEX(Upgrades!$C$3:$C$13,MATCH(Q1505,Upgrades!$B$3:$B$13,0))*1.15^(COUNTIF(Q$4:Q1504,Q1505)-COUNTIF(Q$4:Q1504,""Sell_""&amp;Q1505))))))"),"")</f>
        <v/>
      </c>
      <c r="V1505" s="10" t="str">
        <f t="shared" si="11"/>
        <v/>
      </c>
      <c r="W1505" s="68" t="str">
        <f t="shared" si="12"/>
        <v/>
      </c>
      <c r="X1505" s="59" t="str">
        <f t="shared" si="13"/>
        <v/>
      </c>
      <c r="Y1505" s="69" t="str">
        <f t="shared" si="14"/>
        <v/>
      </c>
      <c r="Z1505" s="11"/>
    </row>
    <row r="1506">
      <c r="A1506" s="8"/>
      <c r="B1506" s="56" t="str">
        <f t="shared" si="2"/>
        <v/>
      </c>
      <c r="C1506" s="105"/>
      <c r="D1506" s="10"/>
      <c r="E1506" s="59" t="str">
        <f t="array" ref="E1506">IF(COUNTA(C1506:C1673)=0,"",SUM((COUNTIF(C$4:C1506,Upgrades!$B$3:$B$13)-COUNTIF(C$4:C1506,"Sell_"&amp;Upgrades!$B$3:$B$13))*Upgrades!$D$3:$D$13))</f>
        <v/>
      </c>
      <c r="F1506" s="66" t="str">
        <f>IFERROR(__xludf.DUMMYFUNCTION("IF(COUNTA(C1506:C1673)=0,"""",IF(REGEXMATCH(INDEX(FILTER(C$4:C1506,C$4:C1506&lt;&gt;""""),ROWS(FILTER(C$4:C1506,C$4:C1506&lt;&gt;""""))),""^Sell_""),INDEX(FILTER(F$4:F1505,C$4:C1505&lt;&gt;""""),ROWS(FILTER(C$4:C1505,C$4:C1505&lt;&gt;""""))),$AC$5+E1506))"),"")</f>
        <v/>
      </c>
      <c r="G1506" s="10" t="str">
        <f>IFERROR(__xludf.DUMMYFUNCTION("IF(COUNTA(C1506:C1673)=0,"""",IF(C1506="""",0,IF(REGEXMATCH(C1506,""^Sell_""),-ROUNDDOWN(ROUNDUP(INDEX(Upgrades!$C$3:$C$13,MATCH(SUBSTITUTE(C1506,""Sell_"",""""),Upgrades!$B$3:$B$13,0))*1.15^(COUNTIF(C$4:C1505,SUBSTITUTE(C1506,""Sell_"",""""))-COUNTIF(C$4"&amp;":C1505,""Sell_""&amp;SUBSTITUTE(C1506,""Sell_"",""""))))/2),ROUNDUP(INDEX(Upgrades!$C$3:$C$13,MATCH(C1506,Upgrades!$B$3:$B$13,0))*1.15^(COUNTIF(C$4:C1505,C1506)-COUNTIF(C$4:C1505,""Sell_""&amp;C1506))))))"),"")</f>
        <v/>
      </c>
      <c r="H1506" s="10" t="str">
        <f t="shared" si="3"/>
        <v/>
      </c>
      <c r="I1506" s="68" t="str">
        <f t="shared" si="4"/>
        <v/>
      </c>
      <c r="J1506" s="59" t="str">
        <f t="shared" si="5"/>
        <v/>
      </c>
      <c r="K1506" s="69" t="str">
        <f t="shared" si="6"/>
        <v/>
      </c>
      <c r="L1506" s="60" t="str">
        <f t="shared" si="7"/>
        <v/>
      </c>
      <c r="M1506" s="61" t="str">
        <f>IFERROR(__xludf.DUMMYFUNCTION("IFS(AND(COUNTA(C1506:C1673)=0,COUNTA(Q1506:Q1673)=0),"""",OR(AND(K1506&gt;=1000000000,OR(Y1506&gt;=1000000000,COUNTA(Q1506:Q1673)=0)),OR(Y1506&gt;=1000000000,AND(COUNTA(C1506:C1673)=0,P$3=TRUE))),
ROUNDDOWN((AB$1-AC$1)*MAX(INDEX(T$4:T1673,MATCH(LARGE(FILTER(Y$4:Y1"&amp;"673,Y$4:Y1673&lt;1000000000),1),Y$4:Y1673)),INDEX(F$4:F1673,MATCH(LARGE(FILTER(K$4:K1673,K$4:K1673&lt;1000000000),1),K$4:K1673)))),AND(K1506&lt;1000000000,COUNTA(C1506:C1673)&gt;0,P$3=FALSE),
ROUNDDOWN(INDEX(Y$4:Y1673,MATCH(LARGE(FILTER(W$4:W1673,W$4:W1673&lt;=I1506),1)"&amp;",W$4:W1673))+(I1506-LARGE(FILTER(W$4:W1673,W$4:W1673&lt;=I1506),1))*INDEX(T$4:T1673,MATCH(LARGE(FILTER(W$4:W1673,W$4:W1673&lt;=I1506),1),W$4:W1673))-K1506),1,
ROUNDDOWN(Y1506-INDEX(K$4:K1673,MATCH(LARGE(FILTER(I$4:I1673,I$4:I1673&lt;=W1506),1),I$4:I1673))-(W1506-L"&amp;"ARGE(FILTER(I$4:I1673,I$4:I1673&lt;=W1506),1))*INDEX(F$4:F1673,MATCH(LARGE(FILTER(I$4:I1673,I$4:I1673&lt;=W1506),1),I$4:I1673))))"),"")</f>
        <v/>
      </c>
      <c r="N1506" s="60" t="str">
        <f t="shared" si="8"/>
        <v/>
      </c>
      <c r="O1506" s="61" t="str">
        <f t="shared" si="9"/>
        <v/>
      </c>
      <c r="P1506" s="56" t="str">
        <f t="shared" si="10"/>
        <v/>
      </c>
      <c r="Q1506" s="67"/>
      <c r="R1506" s="10"/>
      <c r="S1506" s="59" t="str">
        <f t="array" ref="S1506">IF(COUNTA(Q1506:Q1673)=0,"",SUM((COUNTIF(Q$4:Q1506,Upgrades!$B$3:$B$13)-COUNTIF(Q$4:Q1506,"Sell_"&amp;Upgrades!$B$3:$B$13))*Upgrades!$D$3:$D$13))</f>
        <v/>
      </c>
      <c r="T1506" s="66" t="str">
        <f>IFERROR(__xludf.DUMMYFUNCTION("IF(COUNTA(Q1506:Q1673)=0,"""",IF(REGEXMATCH(INDEX(FILTER(Q$4:Q1506,Q$4:Q1506&lt;&gt;""""),ROWS(FILTER(Q$4:Q1506,Q$4:Q1506&lt;&gt;""""))),""^Sell_""),INDEX(FILTER(T$4:T1505,Q$4:Q1505&lt;&gt;""""),ROWS(FILTER(Q$4:Q1505,Q$4:Q1505&lt;&gt;""""))),$AD$5+S1506))"),"")</f>
        <v/>
      </c>
      <c r="U1506" s="10" t="str">
        <f>IFERROR(__xludf.DUMMYFUNCTION("IF(COUNTA(Q1506:Q1673)=0,"""",IF(Q1506="""",0,IF(REGEXMATCH(Q1506,""^Sell_""),-ROUNDDOWN(ROUNDUP(INDEX(Upgrades!$C$3:$C$13,MATCH(SUBSTITUTE(Q1506,""Sell_"",""""),Upgrades!$B$3:$B$13,0))*1.15^(COUNTIF(Q$4:Q1505,SUBSTITUTE(Q1506,""Sell_"",""""))-COUNTIF(Q$4"&amp;":Q1505,""Sell_""&amp;SUBSTITUTE(Q1506,""Sell_"",""""))))/2),ROUNDUP(INDEX(Upgrades!$C$3:$C$13,MATCH(Q1506,Upgrades!$B$3:$B$13,0))*1.15^(COUNTIF(Q$4:Q1505,Q1506)-COUNTIF(Q$4:Q1505,""Sell_""&amp;Q1506))))))"),"")</f>
        <v/>
      </c>
      <c r="V1506" s="10" t="str">
        <f t="shared" si="11"/>
        <v/>
      </c>
      <c r="W1506" s="68" t="str">
        <f t="shared" si="12"/>
        <v/>
      </c>
      <c r="X1506" s="59" t="str">
        <f t="shared" si="13"/>
        <v/>
      </c>
      <c r="Y1506" s="69" t="str">
        <f t="shared" si="14"/>
        <v/>
      </c>
      <c r="Z1506" s="11"/>
    </row>
    <row r="1507">
      <c r="A1507" s="8"/>
      <c r="B1507" s="56" t="str">
        <f t="shared" si="2"/>
        <v/>
      </c>
      <c r="C1507" s="105"/>
      <c r="D1507" s="10"/>
      <c r="E1507" s="59" t="str">
        <f t="array" ref="E1507">IF(COUNTA(C1507:C1673)=0,"",SUM((COUNTIF(C$4:C1507,Upgrades!$B$3:$B$13)-COUNTIF(C$4:C1507,"Sell_"&amp;Upgrades!$B$3:$B$13))*Upgrades!$D$3:$D$13))</f>
        <v/>
      </c>
      <c r="F1507" s="66" t="str">
        <f>IFERROR(__xludf.DUMMYFUNCTION("IF(COUNTA(C1507:C1673)=0,"""",IF(REGEXMATCH(INDEX(FILTER(C$4:C1507,C$4:C1507&lt;&gt;""""),ROWS(FILTER(C$4:C1507,C$4:C1507&lt;&gt;""""))),""^Sell_""),INDEX(FILTER(F$4:F1506,C$4:C1506&lt;&gt;""""),ROWS(FILTER(C$4:C1506,C$4:C1506&lt;&gt;""""))),$AC$5+E1507))"),"")</f>
        <v/>
      </c>
      <c r="G1507" s="10" t="str">
        <f>IFERROR(__xludf.DUMMYFUNCTION("IF(COUNTA(C1507:C1673)=0,"""",IF(C1507="""",0,IF(REGEXMATCH(C1507,""^Sell_""),-ROUNDDOWN(ROUNDUP(INDEX(Upgrades!$C$3:$C$13,MATCH(SUBSTITUTE(C1507,""Sell_"",""""),Upgrades!$B$3:$B$13,0))*1.15^(COUNTIF(C$4:C1506,SUBSTITUTE(C1507,""Sell_"",""""))-COUNTIF(C$4"&amp;":C1506,""Sell_""&amp;SUBSTITUTE(C1507,""Sell_"",""""))))/2),ROUNDUP(INDEX(Upgrades!$C$3:$C$13,MATCH(C1507,Upgrades!$B$3:$B$13,0))*1.15^(COUNTIF(C$4:C1506,C1507)-COUNTIF(C$4:C1506,""Sell_""&amp;C1507))))))"),"")</f>
        <v/>
      </c>
      <c r="H1507" s="10" t="str">
        <f t="shared" si="3"/>
        <v/>
      </c>
      <c r="I1507" s="68" t="str">
        <f t="shared" si="4"/>
        <v/>
      </c>
      <c r="J1507" s="59" t="str">
        <f t="shared" si="5"/>
        <v/>
      </c>
      <c r="K1507" s="69" t="str">
        <f t="shared" si="6"/>
        <v/>
      </c>
      <c r="L1507" s="60" t="str">
        <f t="shared" si="7"/>
        <v/>
      </c>
      <c r="M1507" s="61" t="str">
        <f>IFERROR(__xludf.DUMMYFUNCTION("IFS(AND(COUNTA(C1507:C1673)=0,COUNTA(Q1507:Q1673)=0),"""",OR(AND(K1507&gt;=1000000000,OR(Y1507&gt;=1000000000,COUNTA(Q1507:Q1673)=0)),OR(Y1507&gt;=1000000000,AND(COUNTA(C1507:C1673)=0,P$3=TRUE))),
ROUNDDOWN((AB$1-AC$1)*MAX(INDEX(T$4:T1673,MATCH(LARGE(FILTER(Y$4:Y1"&amp;"673,Y$4:Y1673&lt;1000000000),1),Y$4:Y1673)),INDEX(F$4:F1673,MATCH(LARGE(FILTER(K$4:K1673,K$4:K1673&lt;1000000000),1),K$4:K1673)))),AND(K1507&lt;1000000000,COUNTA(C1507:C1673)&gt;0,P$3=FALSE),
ROUNDDOWN(INDEX(Y$4:Y1673,MATCH(LARGE(FILTER(W$4:W1673,W$4:W1673&lt;=I1507),1)"&amp;",W$4:W1673))+(I1507-LARGE(FILTER(W$4:W1673,W$4:W1673&lt;=I1507),1))*INDEX(T$4:T1673,MATCH(LARGE(FILTER(W$4:W1673,W$4:W1673&lt;=I1507),1),W$4:W1673))-K1507),1,
ROUNDDOWN(Y1507-INDEX(K$4:K1673,MATCH(LARGE(FILTER(I$4:I1673,I$4:I1673&lt;=W1507),1),I$4:I1673))-(W1507-L"&amp;"ARGE(FILTER(I$4:I1673,I$4:I1673&lt;=W1507),1))*INDEX(F$4:F1673,MATCH(LARGE(FILTER(I$4:I1673,I$4:I1673&lt;=W1507),1),I$4:I1673))))"),"")</f>
        <v/>
      </c>
      <c r="N1507" s="60" t="str">
        <f t="shared" si="8"/>
        <v/>
      </c>
      <c r="O1507" s="61" t="str">
        <f t="shared" si="9"/>
        <v/>
      </c>
      <c r="P1507" s="56" t="str">
        <f t="shared" si="10"/>
        <v/>
      </c>
      <c r="Q1507" s="67"/>
      <c r="R1507" s="10"/>
      <c r="S1507" s="59" t="str">
        <f t="array" ref="S1507">IF(COUNTA(Q1507:Q1673)=0,"",SUM((COUNTIF(Q$4:Q1507,Upgrades!$B$3:$B$13)-COUNTIF(Q$4:Q1507,"Sell_"&amp;Upgrades!$B$3:$B$13))*Upgrades!$D$3:$D$13))</f>
        <v/>
      </c>
      <c r="T1507" s="66" t="str">
        <f>IFERROR(__xludf.DUMMYFUNCTION("IF(COUNTA(Q1507:Q1673)=0,"""",IF(REGEXMATCH(INDEX(FILTER(Q$4:Q1507,Q$4:Q1507&lt;&gt;""""),ROWS(FILTER(Q$4:Q1507,Q$4:Q1507&lt;&gt;""""))),""^Sell_""),INDEX(FILTER(T$4:T1506,Q$4:Q1506&lt;&gt;""""),ROWS(FILTER(Q$4:Q1506,Q$4:Q1506&lt;&gt;""""))),$AD$5+S1507))"),"")</f>
        <v/>
      </c>
      <c r="U1507" s="10" t="str">
        <f>IFERROR(__xludf.DUMMYFUNCTION("IF(COUNTA(Q1507:Q1673)=0,"""",IF(Q1507="""",0,IF(REGEXMATCH(Q1507,""^Sell_""),-ROUNDDOWN(ROUNDUP(INDEX(Upgrades!$C$3:$C$13,MATCH(SUBSTITUTE(Q1507,""Sell_"",""""),Upgrades!$B$3:$B$13,0))*1.15^(COUNTIF(Q$4:Q1506,SUBSTITUTE(Q1507,""Sell_"",""""))-COUNTIF(Q$4"&amp;":Q1506,""Sell_""&amp;SUBSTITUTE(Q1507,""Sell_"",""""))))/2),ROUNDUP(INDEX(Upgrades!$C$3:$C$13,MATCH(Q1507,Upgrades!$B$3:$B$13,0))*1.15^(COUNTIF(Q$4:Q1506,Q1507)-COUNTIF(Q$4:Q1506,""Sell_""&amp;Q1507))))))"),"")</f>
        <v/>
      </c>
      <c r="V1507" s="10" t="str">
        <f t="shared" si="11"/>
        <v/>
      </c>
      <c r="W1507" s="68" t="str">
        <f t="shared" si="12"/>
        <v/>
      </c>
      <c r="X1507" s="59" t="str">
        <f t="shared" si="13"/>
        <v/>
      </c>
      <c r="Y1507" s="69" t="str">
        <f t="shared" si="14"/>
        <v/>
      </c>
      <c r="Z1507" s="11"/>
    </row>
    <row r="1508">
      <c r="A1508" s="8"/>
      <c r="B1508" s="56" t="str">
        <f t="shared" si="2"/>
        <v/>
      </c>
      <c r="C1508" s="105"/>
      <c r="D1508" s="10"/>
      <c r="E1508" s="59" t="str">
        <f t="array" ref="E1508">IF(COUNTA(C1508:C1673)=0,"",SUM((COUNTIF(C$4:C1508,Upgrades!$B$3:$B$13)-COUNTIF(C$4:C1508,"Sell_"&amp;Upgrades!$B$3:$B$13))*Upgrades!$D$3:$D$13))</f>
        <v/>
      </c>
      <c r="F1508" s="66" t="str">
        <f>IFERROR(__xludf.DUMMYFUNCTION("IF(COUNTA(C1508:C1673)=0,"""",IF(REGEXMATCH(INDEX(FILTER(C$4:C1508,C$4:C1508&lt;&gt;""""),ROWS(FILTER(C$4:C1508,C$4:C1508&lt;&gt;""""))),""^Sell_""),INDEX(FILTER(F$4:F1507,C$4:C1507&lt;&gt;""""),ROWS(FILTER(C$4:C1507,C$4:C1507&lt;&gt;""""))),$AC$5+E1508))"),"")</f>
        <v/>
      </c>
      <c r="G1508" s="10" t="str">
        <f>IFERROR(__xludf.DUMMYFUNCTION("IF(COUNTA(C1508:C1673)=0,"""",IF(C1508="""",0,IF(REGEXMATCH(C1508,""^Sell_""),-ROUNDDOWN(ROUNDUP(INDEX(Upgrades!$C$3:$C$13,MATCH(SUBSTITUTE(C1508,""Sell_"",""""),Upgrades!$B$3:$B$13,0))*1.15^(COUNTIF(C$4:C1507,SUBSTITUTE(C1508,""Sell_"",""""))-COUNTIF(C$4"&amp;":C1507,""Sell_""&amp;SUBSTITUTE(C1508,""Sell_"",""""))))/2),ROUNDUP(INDEX(Upgrades!$C$3:$C$13,MATCH(C1508,Upgrades!$B$3:$B$13,0))*1.15^(COUNTIF(C$4:C1507,C1508)-COUNTIF(C$4:C1507,""Sell_""&amp;C1508))))))"),"")</f>
        <v/>
      </c>
      <c r="H1508" s="10" t="str">
        <f t="shared" si="3"/>
        <v/>
      </c>
      <c r="I1508" s="68" t="str">
        <f t="shared" si="4"/>
        <v/>
      </c>
      <c r="J1508" s="59" t="str">
        <f t="shared" si="5"/>
        <v/>
      </c>
      <c r="K1508" s="69" t="str">
        <f t="shared" si="6"/>
        <v/>
      </c>
      <c r="L1508" s="60" t="str">
        <f t="shared" si="7"/>
        <v/>
      </c>
      <c r="M1508" s="61" t="str">
        <f>IFERROR(__xludf.DUMMYFUNCTION("IFS(AND(COUNTA(C1508:C1673)=0,COUNTA(Q1508:Q1673)=0),"""",OR(AND(K1508&gt;=1000000000,OR(Y1508&gt;=1000000000,COUNTA(Q1508:Q1673)=0)),OR(Y1508&gt;=1000000000,AND(COUNTA(C1508:C1673)=0,P$3=TRUE))),
ROUNDDOWN((AB$1-AC$1)*MAX(INDEX(T$4:T1673,MATCH(LARGE(FILTER(Y$4:Y1"&amp;"673,Y$4:Y1673&lt;1000000000),1),Y$4:Y1673)),INDEX(F$4:F1673,MATCH(LARGE(FILTER(K$4:K1673,K$4:K1673&lt;1000000000),1),K$4:K1673)))),AND(K1508&lt;1000000000,COUNTA(C1508:C1673)&gt;0,P$3=FALSE),
ROUNDDOWN(INDEX(Y$4:Y1673,MATCH(LARGE(FILTER(W$4:W1673,W$4:W1673&lt;=I1508),1)"&amp;",W$4:W1673))+(I1508-LARGE(FILTER(W$4:W1673,W$4:W1673&lt;=I1508),1))*INDEX(T$4:T1673,MATCH(LARGE(FILTER(W$4:W1673,W$4:W1673&lt;=I1508),1),W$4:W1673))-K1508),1,
ROUNDDOWN(Y1508-INDEX(K$4:K1673,MATCH(LARGE(FILTER(I$4:I1673,I$4:I1673&lt;=W1508),1),I$4:I1673))-(W1508-L"&amp;"ARGE(FILTER(I$4:I1673,I$4:I1673&lt;=W1508),1))*INDEX(F$4:F1673,MATCH(LARGE(FILTER(I$4:I1673,I$4:I1673&lt;=W1508),1),I$4:I1673))))"),"")</f>
        <v/>
      </c>
      <c r="N1508" s="60" t="str">
        <f t="shared" si="8"/>
        <v/>
      </c>
      <c r="O1508" s="61" t="str">
        <f t="shared" si="9"/>
        <v/>
      </c>
      <c r="P1508" s="56" t="str">
        <f t="shared" si="10"/>
        <v/>
      </c>
      <c r="Q1508" s="67"/>
      <c r="R1508" s="10"/>
      <c r="S1508" s="59" t="str">
        <f t="array" ref="S1508">IF(COUNTA(Q1508:Q1673)=0,"",SUM((COUNTIF(Q$4:Q1508,Upgrades!$B$3:$B$13)-COUNTIF(Q$4:Q1508,"Sell_"&amp;Upgrades!$B$3:$B$13))*Upgrades!$D$3:$D$13))</f>
        <v/>
      </c>
      <c r="T1508" s="66" t="str">
        <f>IFERROR(__xludf.DUMMYFUNCTION("IF(COUNTA(Q1508:Q1673)=0,"""",IF(REGEXMATCH(INDEX(FILTER(Q$4:Q1508,Q$4:Q1508&lt;&gt;""""),ROWS(FILTER(Q$4:Q1508,Q$4:Q1508&lt;&gt;""""))),""^Sell_""),INDEX(FILTER(T$4:T1507,Q$4:Q1507&lt;&gt;""""),ROWS(FILTER(Q$4:Q1507,Q$4:Q1507&lt;&gt;""""))),$AD$5+S1508))"),"")</f>
        <v/>
      </c>
      <c r="U1508" s="10" t="str">
        <f>IFERROR(__xludf.DUMMYFUNCTION("IF(COUNTA(Q1508:Q1673)=0,"""",IF(Q1508="""",0,IF(REGEXMATCH(Q1508,""^Sell_""),-ROUNDDOWN(ROUNDUP(INDEX(Upgrades!$C$3:$C$13,MATCH(SUBSTITUTE(Q1508,""Sell_"",""""),Upgrades!$B$3:$B$13,0))*1.15^(COUNTIF(Q$4:Q1507,SUBSTITUTE(Q1508,""Sell_"",""""))-COUNTIF(Q$4"&amp;":Q1507,""Sell_""&amp;SUBSTITUTE(Q1508,""Sell_"",""""))))/2),ROUNDUP(INDEX(Upgrades!$C$3:$C$13,MATCH(Q1508,Upgrades!$B$3:$B$13,0))*1.15^(COUNTIF(Q$4:Q1507,Q1508)-COUNTIF(Q$4:Q1507,""Sell_""&amp;Q1508))))))"),"")</f>
        <v/>
      </c>
      <c r="V1508" s="10" t="str">
        <f t="shared" si="11"/>
        <v/>
      </c>
      <c r="W1508" s="68" t="str">
        <f t="shared" si="12"/>
        <v/>
      </c>
      <c r="X1508" s="59" t="str">
        <f t="shared" si="13"/>
        <v/>
      </c>
      <c r="Y1508" s="69" t="str">
        <f t="shared" si="14"/>
        <v/>
      </c>
      <c r="Z1508" s="11"/>
    </row>
    <row r="1509">
      <c r="A1509" s="8"/>
      <c r="B1509" s="56" t="str">
        <f t="shared" si="2"/>
        <v/>
      </c>
      <c r="C1509" s="105"/>
      <c r="D1509" s="10"/>
      <c r="E1509" s="59" t="str">
        <f t="array" ref="E1509">IF(COUNTA(C1509:C1673)=0,"",SUM((COUNTIF(C$4:C1509,Upgrades!$B$3:$B$13)-COUNTIF(C$4:C1509,"Sell_"&amp;Upgrades!$B$3:$B$13))*Upgrades!$D$3:$D$13))</f>
        <v/>
      </c>
      <c r="F1509" s="66" t="str">
        <f>IFERROR(__xludf.DUMMYFUNCTION("IF(COUNTA(C1509:C1673)=0,"""",IF(REGEXMATCH(INDEX(FILTER(C$4:C1509,C$4:C1509&lt;&gt;""""),ROWS(FILTER(C$4:C1509,C$4:C1509&lt;&gt;""""))),""^Sell_""),INDEX(FILTER(F$4:F1508,C$4:C1508&lt;&gt;""""),ROWS(FILTER(C$4:C1508,C$4:C1508&lt;&gt;""""))),$AC$5+E1509))"),"")</f>
        <v/>
      </c>
      <c r="G1509" s="10" t="str">
        <f>IFERROR(__xludf.DUMMYFUNCTION("IF(COUNTA(C1509:C1673)=0,"""",IF(C1509="""",0,IF(REGEXMATCH(C1509,""^Sell_""),-ROUNDDOWN(ROUNDUP(INDEX(Upgrades!$C$3:$C$13,MATCH(SUBSTITUTE(C1509,""Sell_"",""""),Upgrades!$B$3:$B$13,0))*1.15^(COUNTIF(C$4:C1508,SUBSTITUTE(C1509,""Sell_"",""""))-COUNTIF(C$4"&amp;":C1508,""Sell_""&amp;SUBSTITUTE(C1509,""Sell_"",""""))))/2),ROUNDUP(INDEX(Upgrades!$C$3:$C$13,MATCH(C1509,Upgrades!$B$3:$B$13,0))*1.15^(COUNTIF(C$4:C1508,C1509)-COUNTIF(C$4:C1508,""Sell_""&amp;C1509))))))"),"")</f>
        <v/>
      </c>
      <c r="H1509" s="10" t="str">
        <f t="shared" si="3"/>
        <v/>
      </c>
      <c r="I1509" s="68" t="str">
        <f t="shared" si="4"/>
        <v/>
      </c>
      <c r="J1509" s="59" t="str">
        <f t="shared" si="5"/>
        <v/>
      </c>
      <c r="K1509" s="69" t="str">
        <f t="shared" si="6"/>
        <v/>
      </c>
      <c r="L1509" s="60" t="str">
        <f t="shared" si="7"/>
        <v/>
      </c>
      <c r="M1509" s="61" t="str">
        <f>IFERROR(__xludf.DUMMYFUNCTION("IFS(AND(COUNTA(C1509:C1673)=0,COUNTA(Q1509:Q1673)=0),"""",OR(AND(K1509&gt;=1000000000,OR(Y1509&gt;=1000000000,COUNTA(Q1509:Q1673)=0)),OR(Y1509&gt;=1000000000,AND(COUNTA(C1509:C1673)=0,P$3=TRUE))),
ROUNDDOWN((AB$1-AC$1)*MAX(INDEX(T$4:T1673,MATCH(LARGE(FILTER(Y$4:Y1"&amp;"673,Y$4:Y1673&lt;1000000000),1),Y$4:Y1673)),INDEX(F$4:F1673,MATCH(LARGE(FILTER(K$4:K1673,K$4:K1673&lt;1000000000),1),K$4:K1673)))),AND(K1509&lt;1000000000,COUNTA(C1509:C1673)&gt;0,P$3=FALSE),
ROUNDDOWN(INDEX(Y$4:Y1673,MATCH(LARGE(FILTER(W$4:W1673,W$4:W1673&lt;=I1509),1)"&amp;",W$4:W1673))+(I1509-LARGE(FILTER(W$4:W1673,W$4:W1673&lt;=I1509),1))*INDEX(T$4:T1673,MATCH(LARGE(FILTER(W$4:W1673,W$4:W1673&lt;=I1509),1),W$4:W1673))-K1509),1,
ROUNDDOWN(Y1509-INDEX(K$4:K1673,MATCH(LARGE(FILTER(I$4:I1673,I$4:I1673&lt;=W1509),1),I$4:I1673))-(W1509-L"&amp;"ARGE(FILTER(I$4:I1673,I$4:I1673&lt;=W1509),1))*INDEX(F$4:F1673,MATCH(LARGE(FILTER(I$4:I1673,I$4:I1673&lt;=W1509),1),I$4:I1673))))"),"")</f>
        <v/>
      </c>
      <c r="N1509" s="60" t="str">
        <f t="shared" si="8"/>
        <v/>
      </c>
      <c r="O1509" s="61" t="str">
        <f t="shared" si="9"/>
        <v/>
      </c>
      <c r="P1509" s="56" t="str">
        <f t="shared" si="10"/>
        <v/>
      </c>
      <c r="Q1509" s="67"/>
      <c r="R1509" s="10"/>
      <c r="S1509" s="59" t="str">
        <f t="array" ref="S1509">IF(COUNTA(Q1509:Q1673)=0,"",SUM((COUNTIF(Q$4:Q1509,Upgrades!$B$3:$B$13)-COUNTIF(Q$4:Q1509,"Sell_"&amp;Upgrades!$B$3:$B$13))*Upgrades!$D$3:$D$13))</f>
        <v/>
      </c>
      <c r="T1509" s="66" t="str">
        <f>IFERROR(__xludf.DUMMYFUNCTION("IF(COUNTA(Q1509:Q1673)=0,"""",IF(REGEXMATCH(INDEX(FILTER(Q$4:Q1509,Q$4:Q1509&lt;&gt;""""),ROWS(FILTER(Q$4:Q1509,Q$4:Q1509&lt;&gt;""""))),""^Sell_""),INDEX(FILTER(T$4:T1508,Q$4:Q1508&lt;&gt;""""),ROWS(FILTER(Q$4:Q1508,Q$4:Q1508&lt;&gt;""""))),$AD$5+S1509))"),"")</f>
        <v/>
      </c>
      <c r="U1509" s="10" t="str">
        <f>IFERROR(__xludf.DUMMYFUNCTION("IF(COUNTA(Q1509:Q1673)=0,"""",IF(Q1509="""",0,IF(REGEXMATCH(Q1509,""^Sell_""),-ROUNDDOWN(ROUNDUP(INDEX(Upgrades!$C$3:$C$13,MATCH(SUBSTITUTE(Q1509,""Sell_"",""""),Upgrades!$B$3:$B$13,0))*1.15^(COUNTIF(Q$4:Q1508,SUBSTITUTE(Q1509,""Sell_"",""""))-COUNTIF(Q$4"&amp;":Q1508,""Sell_""&amp;SUBSTITUTE(Q1509,""Sell_"",""""))))/2),ROUNDUP(INDEX(Upgrades!$C$3:$C$13,MATCH(Q1509,Upgrades!$B$3:$B$13,0))*1.15^(COUNTIF(Q$4:Q1508,Q1509)-COUNTIF(Q$4:Q1508,""Sell_""&amp;Q1509))))))"),"")</f>
        <v/>
      </c>
      <c r="V1509" s="10" t="str">
        <f t="shared" si="11"/>
        <v/>
      </c>
      <c r="W1509" s="68" t="str">
        <f t="shared" si="12"/>
        <v/>
      </c>
      <c r="X1509" s="59" t="str">
        <f t="shared" si="13"/>
        <v/>
      </c>
      <c r="Y1509" s="69" t="str">
        <f t="shared" si="14"/>
        <v/>
      </c>
      <c r="Z1509" s="11"/>
    </row>
    <row r="1510">
      <c r="A1510" s="8"/>
      <c r="B1510" s="56" t="str">
        <f t="shared" si="2"/>
        <v/>
      </c>
      <c r="C1510" s="105"/>
      <c r="D1510" s="10"/>
      <c r="E1510" s="59" t="str">
        <f t="array" ref="E1510">IF(COUNTA(C1510:C1673)=0,"",SUM((COUNTIF(C$4:C1510,Upgrades!$B$3:$B$13)-COUNTIF(C$4:C1510,"Sell_"&amp;Upgrades!$B$3:$B$13))*Upgrades!$D$3:$D$13))</f>
        <v/>
      </c>
      <c r="F1510" s="66" t="str">
        <f>IFERROR(__xludf.DUMMYFUNCTION("IF(COUNTA(C1510:C1673)=0,"""",IF(REGEXMATCH(INDEX(FILTER(C$4:C1510,C$4:C1510&lt;&gt;""""),ROWS(FILTER(C$4:C1510,C$4:C1510&lt;&gt;""""))),""^Sell_""),INDEX(FILTER(F$4:F1509,C$4:C1509&lt;&gt;""""),ROWS(FILTER(C$4:C1509,C$4:C1509&lt;&gt;""""))),$AC$5+E1510))"),"")</f>
        <v/>
      </c>
      <c r="G1510" s="10" t="str">
        <f>IFERROR(__xludf.DUMMYFUNCTION("IF(COUNTA(C1510:C1673)=0,"""",IF(C1510="""",0,IF(REGEXMATCH(C1510,""^Sell_""),-ROUNDDOWN(ROUNDUP(INDEX(Upgrades!$C$3:$C$13,MATCH(SUBSTITUTE(C1510,""Sell_"",""""),Upgrades!$B$3:$B$13,0))*1.15^(COUNTIF(C$4:C1509,SUBSTITUTE(C1510,""Sell_"",""""))-COUNTIF(C$4"&amp;":C1509,""Sell_""&amp;SUBSTITUTE(C1510,""Sell_"",""""))))/2),ROUNDUP(INDEX(Upgrades!$C$3:$C$13,MATCH(C1510,Upgrades!$B$3:$B$13,0))*1.15^(COUNTIF(C$4:C1509,C1510)-COUNTIF(C$4:C1509,""Sell_""&amp;C1510))))))"),"")</f>
        <v/>
      </c>
      <c r="H1510" s="10" t="str">
        <f t="shared" si="3"/>
        <v/>
      </c>
      <c r="I1510" s="68" t="str">
        <f t="shared" si="4"/>
        <v/>
      </c>
      <c r="J1510" s="59" t="str">
        <f t="shared" si="5"/>
        <v/>
      </c>
      <c r="K1510" s="69" t="str">
        <f t="shared" si="6"/>
        <v/>
      </c>
      <c r="L1510" s="60" t="str">
        <f t="shared" si="7"/>
        <v/>
      </c>
      <c r="M1510" s="61" t="str">
        <f>IFERROR(__xludf.DUMMYFUNCTION("IFS(AND(COUNTA(C1510:C1673)=0,COUNTA(Q1510:Q1673)=0),"""",OR(AND(K1510&gt;=1000000000,OR(Y1510&gt;=1000000000,COUNTA(Q1510:Q1673)=0)),OR(Y1510&gt;=1000000000,AND(COUNTA(C1510:C1673)=0,P$3=TRUE))),
ROUNDDOWN((AB$1-AC$1)*MAX(INDEX(T$4:T1673,MATCH(LARGE(FILTER(Y$4:Y1"&amp;"673,Y$4:Y1673&lt;1000000000),1),Y$4:Y1673)),INDEX(F$4:F1673,MATCH(LARGE(FILTER(K$4:K1673,K$4:K1673&lt;1000000000),1),K$4:K1673)))),AND(K1510&lt;1000000000,COUNTA(C1510:C1673)&gt;0,P$3=FALSE),
ROUNDDOWN(INDEX(Y$4:Y1673,MATCH(LARGE(FILTER(W$4:W1673,W$4:W1673&lt;=I1510),1)"&amp;",W$4:W1673))+(I1510-LARGE(FILTER(W$4:W1673,W$4:W1673&lt;=I1510),1))*INDEX(T$4:T1673,MATCH(LARGE(FILTER(W$4:W1673,W$4:W1673&lt;=I1510),1),W$4:W1673))-K1510),1,
ROUNDDOWN(Y1510-INDEX(K$4:K1673,MATCH(LARGE(FILTER(I$4:I1673,I$4:I1673&lt;=W1510),1),I$4:I1673))-(W1510-L"&amp;"ARGE(FILTER(I$4:I1673,I$4:I1673&lt;=W1510),1))*INDEX(F$4:F1673,MATCH(LARGE(FILTER(I$4:I1673,I$4:I1673&lt;=W1510),1),I$4:I1673))))"),"")</f>
        <v/>
      </c>
      <c r="N1510" s="60" t="str">
        <f t="shared" si="8"/>
        <v/>
      </c>
      <c r="O1510" s="61" t="str">
        <f t="shared" si="9"/>
        <v/>
      </c>
      <c r="P1510" s="56" t="str">
        <f t="shared" si="10"/>
        <v/>
      </c>
      <c r="Q1510" s="67"/>
      <c r="R1510" s="10"/>
      <c r="S1510" s="59" t="str">
        <f t="array" ref="S1510">IF(COUNTA(Q1510:Q1673)=0,"",SUM((COUNTIF(Q$4:Q1510,Upgrades!$B$3:$B$13)-COUNTIF(Q$4:Q1510,"Sell_"&amp;Upgrades!$B$3:$B$13))*Upgrades!$D$3:$D$13))</f>
        <v/>
      </c>
      <c r="T1510" s="66" t="str">
        <f>IFERROR(__xludf.DUMMYFUNCTION("IF(COUNTA(Q1510:Q1673)=0,"""",IF(REGEXMATCH(INDEX(FILTER(Q$4:Q1510,Q$4:Q1510&lt;&gt;""""),ROWS(FILTER(Q$4:Q1510,Q$4:Q1510&lt;&gt;""""))),""^Sell_""),INDEX(FILTER(T$4:T1509,Q$4:Q1509&lt;&gt;""""),ROWS(FILTER(Q$4:Q1509,Q$4:Q1509&lt;&gt;""""))),$AD$5+S1510))"),"")</f>
        <v/>
      </c>
      <c r="U1510" s="10" t="str">
        <f>IFERROR(__xludf.DUMMYFUNCTION("IF(COUNTA(Q1510:Q1673)=0,"""",IF(Q1510="""",0,IF(REGEXMATCH(Q1510,""^Sell_""),-ROUNDDOWN(ROUNDUP(INDEX(Upgrades!$C$3:$C$13,MATCH(SUBSTITUTE(Q1510,""Sell_"",""""),Upgrades!$B$3:$B$13,0))*1.15^(COUNTIF(Q$4:Q1509,SUBSTITUTE(Q1510,""Sell_"",""""))-COUNTIF(Q$4"&amp;":Q1509,""Sell_""&amp;SUBSTITUTE(Q1510,""Sell_"",""""))))/2),ROUNDUP(INDEX(Upgrades!$C$3:$C$13,MATCH(Q1510,Upgrades!$B$3:$B$13,0))*1.15^(COUNTIF(Q$4:Q1509,Q1510)-COUNTIF(Q$4:Q1509,""Sell_""&amp;Q1510))))))"),"")</f>
        <v/>
      </c>
      <c r="V1510" s="10" t="str">
        <f t="shared" si="11"/>
        <v/>
      </c>
      <c r="W1510" s="68" t="str">
        <f t="shared" si="12"/>
        <v/>
      </c>
      <c r="X1510" s="59" t="str">
        <f t="shared" si="13"/>
        <v/>
      </c>
      <c r="Y1510" s="69" t="str">
        <f t="shared" si="14"/>
        <v/>
      </c>
      <c r="Z1510" s="11"/>
    </row>
    <row r="1511">
      <c r="A1511" s="8"/>
      <c r="B1511" s="56" t="str">
        <f t="shared" si="2"/>
        <v/>
      </c>
      <c r="C1511" s="105"/>
      <c r="D1511" s="10"/>
      <c r="E1511" s="59" t="str">
        <f t="array" ref="E1511">IF(COUNTA(C1511:C1673)=0,"",SUM((COUNTIF(C$4:C1511,Upgrades!$B$3:$B$13)-COUNTIF(C$4:C1511,"Sell_"&amp;Upgrades!$B$3:$B$13))*Upgrades!$D$3:$D$13))</f>
        <v/>
      </c>
      <c r="F1511" s="66" t="str">
        <f>IFERROR(__xludf.DUMMYFUNCTION("IF(COUNTA(C1511:C1673)=0,"""",IF(REGEXMATCH(INDEX(FILTER(C$4:C1511,C$4:C1511&lt;&gt;""""),ROWS(FILTER(C$4:C1511,C$4:C1511&lt;&gt;""""))),""^Sell_""),INDEX(FILTER(F$4:F1510,C$4:C1510&lt;&gt;""""),ROWS(FILTER(C$4:C1510,C$4:C1510&lt;&gt;""""))),$AC$5+E1511))"),"")</f>
        <v/>
      </c>
      <c r="G1511" s="10" t="str">
        <f>IFERROR(__xludf.DUMMYFUNCTION("IF(COUNTA(C1511:C1673)=0,"""",IF(C1511="""",0,IF(REGEXMATCH(C1511,""^Sell_""),-ROUNDDOWN(ROUNDUP(INDEX(Upgrades!$C$3:$C$13,MATCH(SUBSTITUTE(C1511,""Sell_"",""""),Upgrades!$B$3:$B$13,0))*1.15^(COUNTIF(C$4:C1510,SUBSTITUTE(C1511,""Sell_"",""""))-COUNTIF(C$4"&amp;":C1510,""Sell_""&amp;SUBSTITUTE(C1511,""Sell_"",""""))))/2),ROUNDUP(INDEX(Upgrades!$C$3:$C$13,MATCH(C1511,Upgrades!$B$3:$B$13,0))*1.15^(COUNTIF(C$4:C1510,C1511)-COUNTIF(C$4:C1510,""Sell_""&amp;C1511))))))"),"")</f>
        <v/>
      </c>
      <c r="H1511" s="10" t="str">
        <f t="shared" si="3"/>
        <v/>
      </c>
      <c r="I1511" s="68" t="str">
        <f t="shared" si="4"/>
        <v/>
      </c>
      <c r="J1511" s="59" t="str">
        <f t="shared" si="5"/>
        <v/>
      </c>
      <c r="K1511" s="69" t="str">
        <f t="shared" si="6"/>
        <v/>
      </c>
      <c r="L1511" s="60" t="str">
        <f t="shared" si="7"/>
        <v/>
      </c>
      <c r="M1511" s="61" t="str">
        <f>IFERROR(__xludf.DUMMYFUNCTION("IFS(AND(COUNTA(C1511:C1673)=0,COUNTA(Q1511:Q1673)=0),"""",OR(AND(K1511&gt;=1000000000,OR(Y1511&gt;=1000000000,COUNTA(Q1511:Q1673)=0)),OR(Y1511&gt;=1000000000,AND(COUNTA(C1511:C1673)=0,P$3=TRUE))),
ROUNDDOWN((AB$1-AC$1)*MAX(INDEX(T$4:T1673,MATCH(LARGE(FILTER(Y$4:Y1"&amp;"673,Y$4:Y1673&lt;1000000000),1),Y$4:Y1673)),INDEX(F$4:F1673,MATCH(LARGE(FILTER(K$4:K1673,K$4:K1673&lt;1000000000),1),K$4:K1673)))),AND(K1511&lt;1000000000,COUNTA(C1511:C1673)&gt;0,P$3=FALSE),
ROUNDDOWN(INDEX(Y$4:Y1673,MATCH(LARGE(FILTER(W$4:W1673,W$4:W1673&lt;=I1511),1)"&amp;",W$4:W1673))+(I1511-LARGE(FILTER(W$4:W1673,W$4:W1673&lt;=I1511),1))*INDEX(T$4:T1673,MATCH(LARGE(FILTER(W$4:W1673,W$4:W1673&lt;=I1511),1),W$4:W1673))-K1511),1,
ROUNDDOWN(Y1511-INDEX(K$4:K1673,MATCH(LARGE(FILTER(I$4:I1673,I$4:I1673&lt;=W1511),1),I$4:I1673))-(W1511-L"&amp;"ARGE(FILTER(I$4:I1673,I$4:I1673&lt;=W1511),1))*INDEX(F$4:F1673,MATCH(LARGE(FILTER(I$4:I1673,I$4:I1673&lt;=W1511),1),I$4:I1673))))"),"")</f>
        <v/>
      </c>
      <c r="N1511" s="60" t="str">
        <f t="shared" si="8"/>
        <v/>
      </c>
      <c r="O1511" s="61" t="str">
        <f t="shared" si="9"/>
        <v/>
      </c>
      <c r="P1511" s="56" t="str">
        <f t="shared" si="10"/>
        <v/>
      </c>
      <c r="Q1511" s="67"/>
      <c r="R1511" s="10"/>
      <c r="S1511" s="59" t="str">
        <f t="array" ref="S1511">IF(COUNTA(Q1511:Q1673)=0,"",SUM((COUNTIF(Q$4:Q1511,Upgrades!$B$3:$B$13)-COUNTIF(Q$4:Q1511,"Sell_"&amp;Upgrades!$B$3:$B$13))*Upgrades!$D$3:$D$13))</f>
        <v/>
      </c>
      <c r="T1511" s="66" t="str">
        <f>IFERROR(__xludf.DUMMYFUNCTION("IF(COUNTA(Q1511:Q1673)=0,"""",IF(REGEXMATCH(INDEX(FILTER(Q$4:Q1511,Q$4:Q1511&lt;&gt;""""),ROWS(FILTER(Q$4:Q1511,Q$4:Q1511&lt;&gt;""""))),""^Sell_""),INDEX(FILTER(T$4:T1510,Q$4:Q1510&lt;&gt;""""),ROWS(FILTER(Q$4:Q1510,Q$4:Q1510&lt;&gt;""""))),$AD$5+S1511))"),"")</f>
        <v/>
      </c>
      <c r="U1511" s="10" t="str">
        <f>IFERROR(__xludf.DUMMYFUNCTION("IF(COUNTA(Q1511:Q1673)=0,"""",IF(Q1511="""",0,IF(REGEXMATCH(Q1511,""^Sell_""),-ROUNDDOWN(ROUNDUP(INDEX(Upgrades!$C$3:$C$13,MATCH(SUBSTITUTE(Q1511,""Sell_"",""""),Upgrades!$B$3:$B$13,0))*1.15^(COUNTIF(Q$4:Q1510,SUBSTITUTE(Q1511,""Sell_"",""""))-COUNTIF(Q$4"&amp;":Q1510,""Sell_""&amp;SUBSTITUTE(Q1511,""Sell_"",""""))))/2),ROUNDUP(INDEX(Upgrades!$C$3:$C$13,MATCH(Q1511,Upgrades!$B$3:$B$13,0))*1.15^(COUNTIF(Q$4:Q1510,Q1511)-COUNTIF(Q$4:Q1510,""Sell_""&amp;Q1511))))))"),"")</f>
        <v/>
      </c>
      <c r="V1511" s="10" t="str">
        <f t="shared" si="11"/>
        <v/>
      </c>
      <c r="W1511" s="68" t="str">
        <f t="shared" si="12"/>
        <v/>
      </c>
      <c r="X1511" s="59" t="str">
        <f t="shared" si="13"/>
        <v/>
      </c>
      <c r="Y1511" s="69" t="str">
        <f t="shared" si="14"/>
        <v/>
      </c>
      <c r="Z1511" s="11"/>
    </row>
    <row r="1512">
      <c r="A1512" s="8"/>
      <c r="B1512" s="56" t="str">
        <f t="shared" si="2"/>
        <v/>
      </c>
      <c r="C1512" s="105"/>
      <c r="D1512" s="10"/>
      <c r="E1512" s="59" t="str">
        <f t="array" ref="E1512">IF(COUNTA(C1512:C1673)=0,"",SUM((COUNTIF(C$4:C1512,Upgrades!$B$3:$B$13)-COUNTIF(C$4:C1512,"Sell_"&amp;Upgrades!$B$3:$B$13))*Upgrades!$D$3:$D$13))</f>
        <v/>
      </c>
      <c r="F1512" s="66" t="str">
        <f>IFERROR(__xludf.DUMMYFUNCTION("IF(COUNTA(C1512:C1673)=0,"""",IF(REGEXMATCH(INDEX(FILTER(C$4:C1512,C$4:C1512&lt;&gt;""""),ROWS(FILTER(C$4:C1512,C$4:C1512&lt;&gt;""""))),""^Sell_""),INDEX(FILTER(F$4:F1511,C$4:C1511&lt;&gt;""""),ROWS(FILTER(C$4:C1511,C$4:C1511&lt;&gt;""""))),$AC$5+E1512))"),"")</f>
        <v/>
      </c>
      <c r="G1512" s="10" t="str">
        <f>IFERROR(__xludf.DUMMYFUNCTION("IF(COUNTA(C1512:C1673)=0,"""",IF(C1512="""",0,IF(REGEXMATCH(C1512,""^Sell_""),-ROUNDDOWN(ROUNDUP(INDEX(Upgrades!$C$3:$C$13,MATCH(SUBSTITUTE(C1512,""Sell_"",""""),Upgrades!$B$3:$B$13,0))*1.15^(COUNTIF(C$4:C1511,SUBSTITUTE(C1512,""Sell_"",""""))-COUNTIF(C$4"&amp;":C1511,""Sell_""&amp;SUBSTITUTE(C1512,""Sell_"",""""))))/2),ROUNDUP(INDEX(Upgrades!$C$3:$C$13,MATCH(C1512,Upgrades!$B$3:$B$13,0))*1.15^(COUNTIF(C$4:C1511,C1512)-COUNTIF(C$4:C1511,""Sell_""&amp;C1512))))))"),"")</f>
        <v/>
      </c>
      <c r="H1512" s="10" t="str">
        <f t="shared" si="3"/>
        <v/>
      </c>
      <c r="I1512" s="68" t="str">
        <f t="shared" si="4"/>
        <v/>
      </c>
      <c r="J1512" s="59" t="str">
        <f t="shared" si="5"/>
        <v/>
      </c>
      <c r="K1512" s="69" t="str">
        <f t="shared" si="6"/>
        <v/>
      </c>
      <c r="L1512" s="60" t="str">
        <f t="shared" si="7"/>
        <v/>
      </c>
      <c r="M1512" s="61" t="str">
        <f>IFERROR(__xludf.DUMMYFUNCTION("IFS(AND(COUNTA(C1512:C1673)=0,COUNTA(Q1512:Q1673)=0),"""",OR(AND(K1512&gt;=1000000000,OR(Y1512&gt;=1000000000,COUNTA(Q1512:Q1673)=0)),OR(Y1512&gt;=1000000000,AND(COUNTA(C1512:C1673)=0,P$3=TRUE))),
ROUNDDOWN((AB$1-AC$1)*MAX(INDEX(T$4:T1673,MATCH(LARGE(FILTER(Y$4:Y1"&amp;"673,Y$4:Y1673&lt;1000000000),1),Y$4:Y1673)),INDEX(F$4:F1673,MATCH(LARGE(FILTER(K$4:K1673,K$4:K1673&lt;1000000000),1),K$4:K1673)))),AND(K1512&lt;1000000000,COUNTA(C1512:C1673)&gt;0,P$3=FALSE),
ROUNDDOWN(INDEX(Y$4:Y1673,MATCH(LARGE(FILTER(W$4:W1673,W$4:W1673&lt;=I1512),1)"&amp;",W$4:W1673))+(I1512-LARGE(FILTER(W$4:W1673,W$4:W1673&lt;=I1512),1))*INDEX(T$4:T1673,MATCH(LARGE(FILTER(W$4:W1673,W$4:W1673&lt;=I1512),1),W$4:W1673))-K1512),1,
ROUNDDOWN(Y1512-INDEX(K$4:K1673,MATCH(LARGE(FILTER(I$4:I1673,I$4:I1673&lt;=W1512),1),I$4:I1673))-(W1512-L"&amp;"ARGE(FILTER(I$4:I1673,I$4:I1673&lt;=W1512),1))*INDEX(F$4:F1673,MATCH(LARGE(FILTER(I$4:I1673,I$4:I1673&lt;=W1512),1),I$4:I1673))))"),"")</f>
        <v/>
      </c>
      <c r="N1512" s="60" t="str">
        <f t="shared" si="8"/>
        <v/>
      </c>
      <c r="O1512" s="61" t="str">
        <f t="shared" si="9"/>
        <v/>
      </c>
      <c r="P1512" s="56" t="str">
        <f t="shared" si="10"/>
        <v/>
      </c>
      <c r="Q1512" s="67"/>
      <c r="R1512" s="10"/>
      <c r="S1512" s="59" t="str">
        <f t="array" ref="S1512">IF(COUNTA(Q1512:Q1673)=0,"",SUM((COUNTIF(Q$4:Q1512,Upgrades!$B$3:$B$13)-COUNTIF(Q$4:Q1512,"Sell_"&amp;Upgrades!$B$3:$B$13))*Upgrades!$D$3:$D$13))</f>
        <v/>
      </c>
      <c r="T1512" s="66" t="str">
        <f>IFERROR(__xludf.DUMMYFUNCTION("IF(COUNTA(Q1512:Q1673)=0,"""",IF(REGEXMATCH(INDEX(FILTER(Q$4:Q1512,Q$4:Q1512&lt;&gt;""""),ROWS(FILTER(Q$4:Q1512,Q$4:Q1512&lt;&gt;""""))),""^Sell_""),INDEX(FILTER(T$4:T1511,Q$4:Q1511&lt;&gt;""""),ROWS(FILTER(Q$4:Q1511,Q$4:Q1511&lt;&gt;""""))),$AD$5+S1512))"),"")</f>
        <v/>
      </c>
      <c r="U1512" s="10" t="str">
        <f>IFERROR(__xludf.DUMMYFUNCTION("IF(COUNTA(Q1512:Q1673)=0,"""",IF(Q1512="""",0,IF(REGEXMATCH(Q1512,""^Sell_""),-ROUNDDOWN(ROUNDUP(INDEX(Upgrades!$C$3:$C$13,MATCH(SUBSTITUTE(Q1512,""Sell_"",""""),Upgrades!$B$3:$B$13,0))*1.15^(COUNTIF(Q$4:Q1511,SUBSTITUTE(Q1512,""Sell_"",""""))-COUNTIF(Q$4"&amp;":Q1511,""Sell_""&amp;SUBSTITUTE(Q1512,""Sell_"",""""))))/2),ROUNDUP(INDEX(Upgrades!$C$3:$C$13,MATCH(Q1512,Upgrades!$B$3:$B$13,0))*1.15^(COUNTIF(Q$4:Q1511,Q1512)-COUNTIF(Q$4:Q1511,""Sell_""&amp;Q1512))))))"),"")</f>
        <v/>
      </c>
      <c r="V1512" s="10" t="str">
        <f t="shared" si="11"/>
        <v/>
      </c>
      <c r="W1512" s="68" t="str">
        <f t="shared" si="12"/>
        <v/>
      </c>
      <c r="X1512" s="59" t="str">
        <f t="shared" si="13"/>
        <v/>
      </c>
      <c r="Y1512" s="69" t="str">
        <f t="shared" si="14"/>
        <v/>
      </c>
      <c r="Z1512" s="11"/>
    </row>
    <row r="1513">
      <c r="A1513" s="8"/>
      <c r="B1513" s="56" t="str">
        <f t="shared" si="2"/>
        <v/>
      </c>
      <c r="C1513" s="105"/>
      <c r="D1513" s="10"/>
      <c r="E1513" s="59" t="str">
        <f t="array" ref="E1513">IF(COUNTA(C1513:C1673)=0,"",SUM((COUNTIF(C$4:C1513,Upgrades!$B$3:$B$13)-COUNTIF(C$4:C1513,"Sell_"&amp;Upgrades!$B$3:$B$13))*Upgrades!$D$3:$D$13))</f>
        <v/>
      </c>
      <c r="F1513" s="66" t="str">
        <f>IFERROR(__xludf.DUMMYFUNCTION("IF(COUNTA(C1513:C1673)=0,"""",IF(REGEXMATCH(INDEX(FILTER(C$4:C1513,C$4:C1513&lt;&gt;""""),ROWS(FILTER(C$4:C1513,C$4:C1513&lt;&gt;""""))),""^Sell_""),INDEX(FILTER(F$4:F1512,C$4:C1512&lt;&gt;""""),ROWS(FILTER(C$4:C1512,C$4:C1512&lt;&gt;""""))),$AC$5+E1513))"),"")</f>
        <v/>
      </c>
      <c r="G1513" s="10" t="str">
        <f>IFERROR(__xludf.DUMMYFUNCTION("IF(COUNTA(C1513:C1673)=0,"""",IF(C1513="""",0,IF(REGEXMATCH(C1513,""^Sell_""),-ROUNDDOWN(ROUNDUP(INDEX(Upgrades!$C$3:$C$13,MATCH(SUBSTITUTE(C1513,""Sell_"",""""),Upgrades!$B$3:$B$13,0))*1.15^(COUNTIF(C$4:C1512,SUBSTITUTE(C1513,""Sell_"",""""))-COUNTIF(C$4"&amp;":C1512,""Sell_""&amp;SUBSTITUTE(C1513,""Sell_"",""""))))/2),ROUNDUP(INDEX(Upgrades!$C$3:$C$13,MATCH(C1513,Upgrades!$B$3:$B$13,0))*1.15^(COUNTIF(C$4:C1512,C1513)-COUNTIF(C$4:C1512,""Sell_""&amp;C1513))))))"),"")</f>
        <v/>
      </c>
      <c r="H1513" s="10" t="str">
        <f t="shared" si="3"/>
        <v/>
      </c>
      <c r="I1513" s="68" t="str">
        <f t="shared" si="4"/>
        <v/>
      </c>
      <c r="J1513" s="59" t="str">
        <f t="shared" si="5"/>
        <v/>
      </c>
      <c r="K1513" s="69" t="str">
        <f t="shared" si="6"/>
        <v/>
      </c>
      <c r="L1513" s="60" t="str">
        <f t="shared" si="7"/>
        <v/>
      </c>
      <c r="M1513" s="61" t="str">
        <f>IFERROR(__xludf.DUMMYFUNCTION("IFS(AND(COUNTA(C1513:C1673)=0,COUNTA(Q1513:Q1673)=0),"""",OR(AND(K1513&gt;=1000000000,OR(Y1513&gt;=1000000000,COUNTA(Q1513:Q1673)=0)),OR(Y1513&gt;=1000000000,AND(COUNTA(C1513:C1673)=0,P$3=TRUE))),
ROUNDDOWN((AB$1-AC$1)*MAX(INDEX(T$4:T1673,MATCH(LARGE(FILTER(Y$4:Y1"&amp;"673,Y$4:Y1673&lt;1000000000),1),Y$4:Y1673)),INDEX(F$4:F1673,MATCH(LARGE(FILTER(K$4:K1673,K$4:K1673&lt;1000000000),1),K$4:K1673)))),AND(K1513&lt;1000000000,COUNTA(C1513:C1673)&gt;0,P$3=FALSE),
ROUNDDOWN(INDEX(Y$4:Y1673,MATCH(LARGE(FILTER(W$4:W1673,W$4:W1673&lt;=I1513),1)"&amp;",W$4:W1673))+(I1513-LARGE(FILTER(W$4:W1673,W$4:W1673&lt;=I1513),1))*INDEX(T$4:T1673,MATCH(LARGE(FILTER(W$4:W1673,W$4:W1673&lt;=I1513),1),W$4:W1673))-K1513),1,
ROUNDDOWN(Y1513-INDEX(K$4:K1673,MATCH(LARGE(FILTER(I$4:I1673,I$4:I1673&lt;=W1513),1),I$4:I1673))-(W1513-L"&amp;"ARGE(FILTER(I$4:I1673,I$4:I1673&lt;=W1513),1))*INDEX(F$4:F1673,MATCH(LARGE(FILTER(I$4:I1673,I$4:I1673&lt;=W1513),1),I$4:I1673))))"),"")</f>
        <v/>
      </c>
      <c r="N1513" s="60" t="str">
        <f t="shared" si="8"/>
        <v/>
      </c>
      <c r="O1513" s="61" t="str">
        <f t="shared" si="9"/>
        <v/>
      </c>
      <c r="P1513" s="56" t="str">
        <f t="shared" si="10"/>
        <v/>
      </c>
      <c r="Q1513" s="67"/>
      <c r="R1513" s="10"/>
      <c r="S1513" s="59" t="str">
        <f t="array" ref="S1513">IF(COUNTA(Q1513:Q1673)=0,"",SUM((COUNTIF(Q$4:Q1513,Upgrades!$B$3:$B$13)-COUNTIF(Q$4:Q1513,"Sell_"&amp;Upgrades!$B$3:$B$13))*Upgrades!$D$3:$D$13))</f>
        <v/>
      </c>
      <c r="T1513" s="66" t="str">
        <f>IFERROR(__xludf.DUMMYFUNCTION("IF(COUNTA(Q1513:Q1673)=0,"""",IF(REGEXMATCH(INDEX(FILTER(Q$4:Q1513,Q$4:Q1513&lt;&gt;""""),ROWS(FILTER(Q$4:Q1513,Q$4:Q1513&lt;&gt;""""))),""^Sell_""),INDEX(FILTER(T$4:T1512,Q$4:Q1512&lt;&gt;""""),ROWS(FILTER(Q$4:Q1512,Q$4:Q1512&lt;&gt;""""))),$AD$5+S1513))"),"")</f>
        <v/>
      </c>
      <c r="U1513" s="10" t="str">
        <f>IFERROR(__xludf.DUMMYFUNCTION("IF(COUNTA(Q1513:Q1673)=0,"""",IF(Q1513="""",0,IF(REGEXMATCH(Q1513,""^Sell_""),-ROUNDDOWN(ROUNDUP(INDEX(Upgrades!$C$3:$C$13,MATCH(SUBSTITUTE(Q1513,""Sell_"",""""),Upgrades!$B$3:$B$13,0))*1.15^(COUNTIF(Q$4:Q1512,SUBSTITUTE(Q1513,""Sell_"",""""))-COUNTIF(Q$4"&amp;":Q1512,""Sell_""&amp;SUBSTITUTE(Q1513,""Sell_"",""""))))/2),ROUNDUP(INDEX(Upgrades!$C$3:$C$13,MATCH(Q1513,Upgrades!$B$3:$B$13,0))*1.15^(COUNTIF(Q$4:Q1512,Q1513)-COUNTIF(Q$4:Q1512,""Sell_""&amp;Q1513))))))"),"")</f>
        <v/>
      </c>
      <c r="V1513" s="10" t="str">
        <f t="shared" si="11"/>
        <v/>
      </c>
      <c r="W1513" s="68" t="str">
        <f t="shared" si="12"/>
        <v/>
      </c>
      <c r="X1513" s="59" t="str">
        <f t="shared" si="13"/>
        <v/>
      </c>
      <c r="Y1513" s="69" t="str">
        <f t="shared" si="14"/>
        <v/>
      </c>
      <c r="Z1513" s="11"/>
    </row>
    <row r="1514">
      <c r="A1514" s="8"/>
      <c r="B1514" s="56" t="str">
        <f t="shared" si="2"/>
        <v/>
      </c>
      <c r="C1514" s="105"/>
      <c r="D1514" s="10"/>
      <c r="E1514" s="59" t="str">
        <f t="array" ref="E1514">IF(COUNTA(C1514:C1673)=0,"",SUM((COUNTIF(C$4:C1514,Upgrades!$B$3:$B$13)-COUNTIF(C$4:C1514,"Sell_"&amp;Upgrades!$B$3:$B$13))*Upgrades!$D$3:$D$13))</f>
        <v/>
      </c>
      <c r="F1514" s="66" t="str">
        <f>IFERROR(__xludf.DUMMYFUNCTION("IF(COUNTA(C1514:C1673)=0,"""",IF(REGEXMATCH(INDEX(FILTER(C$4:C1514,C$4:C1514&lt;&gt;""""),ROWS(FILTER(C$4:C1514,C$4:C1514&lt;&gt;""""))),""^Sell_""),INDEX(FILTER(F$4:F1513,C$4:C1513&lt;&gt;""""),ROWS(FILTER(C$4:C1513,C$4:C1513&lt;&gt;""""))),$AC$5+E1514))"),"")</f>
        <v/>
      </c>
      <c r="G1514" s="10" t="str">
        <f>IFERROR(__xludf.DUMMYFUNCTION("IF(COUNTA(C1514:C1673)=0,"""",IF(C1514="""",0,IF(REGEXMATCH(C1514,""^Sell_""),-ROUNDDOWN(ROUNDUP(INDEX(Upgrades!$C$3:$C$13,MATCH(SUBSTITUTE(C1514,""Sell_"",""""),Upgrades!$B$3:$B$13,0))*1.15^(COUNTIF(C$4:C1513,SUBSTITUTE(C1514,""Sell_"",""""))-COUNTIF(C$4"&amp;":C1513,""Sell_""&amp;SUBSTITUTE(C1514,""Sell_"",""""))))/2),ROUNDUP(INDEX(Upgrades!$C$3:$C$13,MATCH(C1514,Upgrades!$B$3:$B$13,0))*1.15^(COUNTIF(C$4:C1513,C1514)-COUNTIF(C$4:C1513,""Sell_""&amp;C1514))))))"),"")</f>
        <v/>
      </c>
      <c r="H1514" s="10" t="str">
        <f t="shared" si="3"/>
        <v/>
      </c>
      <c r="I1514" s="68" t="str">
        <f t="shared" si="4"/>
        <v/>
      </c>
      <c r="J1514" s="59" t="str">
        <f t="shared" si="5"/>
        <v/>
      </c>
      <c r="K1514" s="69" t="str">
        <f t="shared" si="6"/>
        <v/>
      </c>
      <c r="L1514" s="60" t="str">
        <f t="shared" si="7"/>
        <v/>
      </c>
      <c r="M1514" s="61" t="str">
        <f>IFERROR(__xludf.DUMMYFUNCTION("IFS(AND(COUNTA(C1514:C1673)=0,COUNTA(Q1514:Q1673)=0),"""",OR(AND(K1514&gt;=1000000000,OR(Y1514&gt;=1000000000,COUNTA(Q1514:Q1673)=0)),OR(Y1514&gt;=1000000000,AND(COUNTA(C1514:C1673)=0,P$3=TRUE))),
ROUNDDOWN((AB$1-AC$1)*MAX(INDEX(T$4:T1673,MATCH(LARGE(FILTER(Y$4:Y1"&amp;"673,Y$4:Y1673&lt;1000000000),1),Y$4:Y1673)),INDEX(F$4:F1673,MATCH(LARGE(FILTER(K$4:K1673,K$4:K1673&lt;1000000000),1),K$4:K1673)))),AND(K1514&lt;1000000000,COUNTA(C1514:C1673)&gt;0,P$3=FALSE),
ROUNDDOWN(INDEX(Y$4:Y1673,MATCH(LARGE(FILTER(W$4:W1673,W$4:W1673&lt;=I1514),1)"&amp;",W$4:W1673))+(I1514-LARGE(FILTER(W$4:W1673,W$4:W1673&lt;=I1514),1))*INDEX(T$4:T1673,MATCH(LARGE(FILTER(W$4:W1673,W$4:W1673&lt;=I1514),1),W$4:W1673))-K1514),1,
ROUNDDOWN(Y1514-INDEX(K$4:K1673,MATCH(LARGE(FILTER(I$4:I1673,I$4:I1673&lt;=W1514),1),I$4:I1673))-(W1514-L"&amp;"ARGE(FILTER(I$4:I1673,I$4:I1673&lt;=W1514),1))*INDEX(F$4:F1673,MATCH(LARGE(FILTER(I$4:I1673,I$4:I1673&lt;=W1514),1),I$4:I1673))))"),"")</f>
        <v/>
      </c>
      <c r="N1514" s="60" t="str">
        <f t="shared" si="8"/>
        <v/>
      </c>
      <c r="O1514" s="61" t="str">
        <f t="shared" si="9"/>
        <v/>
      </c>
      <c r="P1514" s="56" t="str">
        <f t="shared" si="10"/>
        <v/>
      </c>
      <c r="Q1514" s="67"/>
      <c r="R1514" s="10"/>
      <c r="S1514" s="59" t="str">
        <f t="array" ref="S1514">IF(COUNTA(Q1514:Q1673)=0,"",SUM((COUNTIF(Q$4:Q1514,Upgrades!$B$3:$B$13)-COUNTIF(Q$4:Q1514,"Sell_"&amp;Upgrades!$B$3:$B$13))*Upgrades!$D$3:$D$13))</f>
        <v/>
      </c>
      <c r="T1514" s="66" t="str">
        <f>IFERROR(__xludf.DUMMYFUNCTION("IF(COUNTA(Q1514:Q1673)=0,"""",IF(REGEXMATCH(INDEX(FILTER(Q$4:Q1514,Q$4:Q1514&lt;&gt;""""),ROWS(FILTER(Q$4:Q1514,Q$4:Q1514&lt;&gt;""""))),""^Sell_""),INDEX(FILTER(T$4:T1513,Q$4:Q1513&lt;&gt;""""),ROWS(FILTER(Q$4:Q1513,Q$4:Q1513&lt;&gt;""""))),$AD$5+S1514))"),"")</f>
        <v/>
      </c>
      <c r="U1514" s="10" t="str">
        <f>IFERROR(__xludf.DUMMYFUNCTION("IF(COUNTA(Q1514:Q1673)=0,"""",IF(Q1514="""",0,IF(REGEXMATCH(Q1514,""^Sell_""),-ROUNDDOWN(ROUNDUP(INDEX(Upgrades!$C$3:$C$13,MATCH(SUBSTITUTE(Q1514,""Sell_"",""""),Upgrades!$B$3:$B$13,0))*1.15^(COUNTIF(Q$4:Q1513,SUBSTITUTE(Q1514,""Sell_"",""""))-COUNTIF(Q$4"&amp;":Q1513,""Sell_""&amp;SUBSTITUTE(Q1514,""Sell_"",""""))))/2),ROUNDUP(INDEX(Upgrades!$C$3:$C$13,MATCH(Q1514,Upgrades!$B$3:$B$13,0))*1.15^(COUNTIF(Q$4:Q1513,Q1514)-COUNTIF(Q$4:Q1513,""Sell_""&amp;Q1514))))))"),"")</f>
        <v/>
      </c>
      <c r="V1514" s="10" t="str">
        <f t="shared" si="11"/>
        <v/>
      </c>
      <c r="W1514" s="68" t="str">
        <f t="shared" si="12"/>
        <v/>
      </c>
      <c r="X1514" s="59" t="str">
        <f t="shared" si="13"/>
        <v/>
      </c>
      <c r="Y1514" s="69" t="str">
        <f t="shared" si="14"/>
        <v/>
      </c>
      <c r="Z1514" s="11"/>
    </row>
    <row r="1515">
      <c r="A1515" s="8"/>
      <c r="B1515" s="56" t="str">
        <f t="shared" si="2"/>
        <v/>
      </c>
      <c r="C1515" s="105"/>
      <c r="D1515" s="10"/>
      <c r="E1515" s="59" t="str">
        <f t="array" ref="E1515">IF(COUNTA(C1515:C1673)=0,"",SUM((COUNTIF(C$4:C1515,Upgrades!$B$3:$B$13)-COUNTIF(C$4:C1515,"Sell_"&amp;Upgrades!$B$3:$B$13))*Upgrades!$D$3:$D$13))</f>
        <v/>
      </c>
      <c r="F1515" s="66" t="str">
        <f>IFERROR(__xludf.DUMMYFUNCTION("IF(COUNTA(C1515:C1673)=0,"""",IF(REGEXMATCH(INDEX(FILTER(C$4:C1515,C$4:C1515&lt;&gt;""""),ROWS(FILTER(C$4:C1515,C$4:C1515&lt;&gt;""""))),""^Sell_""),INDEX(FILTER(F$4:F1514,C$4:C1514&lt;&gt;""""),ROWS(FILTER(C$4:C1514,C$4:C1514&lt;&gt;""""))),$AC$5+E1515))"),"")</f>
        <v/>
      </c>
      <c r="G1515" s="10" t="str">
        <f>IFERROR(__xludf.DUMMYFUNCTION("IF(COUNTA(C1515:C1673)=0,"""",IF(C1515="""",0,IF(REGEXMATCH(C1515,""^Sell_""),-ROUNDDOWN(ROUNDUP(INDEX(Upgrades!$C$3:$C$13,MATCH(SUBSTITUTE(C1515,""Sell_"",""""),Upgrades!$B$3:$B$13,0))*1.15^(COUNTIF(C$4:C1514,SUBSTITUTE(C1515,""Sell_"",""""))-COUNTIF(C$4"&amp;":C1514,""Sell_""&amp;SUBSTITUTE(C1515,""Sell_"",""""))))/2),ROUNDUP(INDEX(Upgrades!$C$3:$C$13,MATCH(C1515,Upgrades!$B$3:$B$13,0))*1.15^(COUNTIF(C$4:C1514,C1515)-COUNTIF(C$4:C1514,""Sell_""&amp;C1515))))))"),"")</f>
        <v/>
      </c>
      <c r="H1515" s="10" t="str">
        <f t="shared" si="3"/>
        <v/>
      </c>
      <c r="I1515" s="68" t="str">
        <f t="shared" si="4"/>
        <v/>
      </c>
      <c r="J1515" s="59" t="str">
        <f t="shared" si="5"/>
        <v/>
      </c>
      <c r="K1515" s="69" t="str">
        <f t="shared" si="6"/>
        <v/>
      </c>
      <c r="L1515" s="60" t="str">
        <f t="shared" si="7"/>
        <v/>
      </c>
      <c r="M1515" s="61" t="str">
        <f>IFERROR(__xludf.DUMMYFUNCTION("IFS(AND(COUNTA(C1515:C1673)=0,COUNTA(Q1515:Q1673)=0),"""",OR(AND(K1515&gt;=1000000000,OR(Y1515&gt;=1000000000,COUNTA(Q1515:Q1673)=0)),OR(Y1515&gt;=1000000000,AND(COUNTA(C1515:C1673)=0,P$3=TRUE))),
ROUNDDOWN((AB$1-AC$1)*MAX(INDEX(T$4:T1673,MATCH(LARGE(FILTER(Y$4:Y1"&amp;"673,Y$4:Y1673&lt;1000000000),1),Y$4:Y1673)),INDEX(F$4:F1673,MATCH(LARGE(FILTER(K$4:K1673,K$4:K1673&lt;1000000000),1),K$4:K1673)))),AND(K1515&lt;1000000000,COUNTA(C1515:C1673)&gt;0,P$3=FALSE),
ROUNDDOWN(INDEX(Y$4:Y1673,MATCH(LARGE(FILTER(W$4:W1673,W$4:W1673&lt;=I1515),1)"&amp;",W$4:W1673))+(I1515-LARGE(FILTER(W$4:W1673,W$4:W1673&lt;=I1515),1))*INDEX(T$4:T1673,MATCH(LARGE(FILTER(W$4:W1673,W$4:W1673&lt;=I1515),1),W$4:W1673))-K1515),1,
ROUNDDOWN(Y1515-INDEX(K$4:K1673,MATCH(LARGE(FILTER(I$4:I1673,I$4:I1673&lt;=W1515),1),I$4:I1673))-(W1515-L"&amp;"ARGE(FILTER(I$4:I1673,I$4:I1673&lt;=W1515),1))*INDEX(F$4:F1673,MATCH(LARGE(FILTER(I$4:I1673,I$4:I1673&lt;=W1515),1),I$4:I1673))))"),"")</f>
        <v/>
      </c>
      <c r="N1515" s="60" t="str">
        <f t="shared" si="8"/>
        <v/>
      </c>
      <c r="O1515" s="61" t="str">
        <f t="shared" si="9"/>
        <v/>
      </c>
      <c r="P1515" s="56" t="str">
        <f t="shared" si="10"/>
        <v/>
      </c>
      <c r="Q1515" s="67"/>
      <c r="R1515" s="10"/>
      <c r="S1515" s="59" t="str">
        <f t="array" ref="S1515">IF(COUNTA(Q1515:Q1673)=0,"",SUM((COUNTIF(Q$4:Q1515,Upgrades!$B$3:$B$13)-COUNTIF(Q$4:Q1515,"Sell_"&amp;Upgrades!$B$3:$B$13))*Upgrades!$D$3:$D$13))</f>
        <v/>
      </c>
      <c r="T1515" s="66" t="str">
        <f>IFERROR(__xludf.DUMMYFUNCTION("IF(COUNTA(Q1515:Q1673)=0,"""",IF(REGEXMATCH(INDEX(FILTER(Q$4:Q1515,Q$4:Q1515&lt;&gt;""""),ROWS(FILTER(Q$4:Q1515,Q$4:Q1515&lt;&gt;""""))),""^Sell_""),INDEX(FILTER(T$4:T1514,Q$4:Q1514&lt;&gt;""""),ROWS(FILTER(Q$4:Q1514,Q$4:Q1514&lt;&gt;""""))),$AD$5+S1515))"),"")</f>
        <v/>
      </c>
      <c r="U1515" s="10" t="str">
        <f>IFERROR(__xludf.DUMMYFUNCTION("IF(COUNTA(Q1515:Q1673)=0,"""",IF(Q1515="""",0,IF(REGEXMATCH(Q1515,""^Sell_""),-ROUNDDOWN(ROUNDUP(INDEX(Upgrades!$C$3:$C$13,MATCH(SUBSTITUTE(Q1515,""Sell_"",""""),Upgrades!$B$3:$B$13,0))*1.15^(COUNTIF(Q$4:Q1514,SUBSTITUTE(Q1515,""Sell_"",""""))-COUNTIF(Q$4"&amp;":Q1514,""Sell_""&amp;SUBSTITUTE(Q1515,""Sell_"",""""))))/2),ROUNDUP(INDEX(Upgrades!$C$3:$C$13,MATCH(Q1515,Upgrades!$B$3:$B$13,0))*1.15^(COUNTIF(Q$4:Q1514,Q1515)-COUNTIF(Q$4:Q1514,""Sell_""&amp;Q1515))))))"),"")</f>
        <v/>
      </c>
      <c r="V1515" s="10" t="str">
        <f t="shared" si="11"/>
        <v/>
      </c>
      <c r="W1515" s="68" t="str">
        <f t="shared" si="12"/>
        <v/>
      </c>
      <c r="X1515" s="59" t="str">
        <f t="shared" si="13"/>
        <v/>
      </c>
      <c r="Y1515" s="69" t="str">
        <f t="shared" si="14"/>
        <v/>
      </c>
      <c r="Z1515" s="11"/>
    </row>
    <row r="1516">
      <c r="A1516" s="8"/>
      <c r="B1516" s="56" t="str">
        <f t="shared" si="2"/>
        <v/>
      </c>
      <c r="C1516" s="105"/>
      <c r="D1516" s="10"/>
      <c r="E1516" s="59" t="str">
        <f t="array" ref="E1516">IF(COUNTA(C1516:C1673)=0,"",SUM((COUNTIF(C$4:C1516,Upgrades!$B$3:$B$13)-COUNTIF(C$4:C1516,"Sell_"&amp;Upgrades!$B$3:$B$13))*Upgrades!$D$3:$D$13))</f>
        <v/>
      </c>
      <c r="F1516" s="66" t="str">
        <f>IFERROR(__xludf.DUMMYFUNCTION("IF(COUNTA(C1516:C1673)=0,"""",IF(REGEXMATCH(INDEX(FILTER(C$4:C1516,C$4:C1516&lt;&gt;""""),ROWS(FILTER(C$4:C1516,C$4:C1516&lt;&gt;""""))),""^Sell_""),INDEX(FILTER(F$4:F1515,C$4:C1515&lt;&gt;""""),ROWS(FILTER(C$4:C1515,C$4:C1515&lt;&gt;""""))),$AC$5+E1516))"),"")</f>
        <v/>
      </c>
      <c r="G1516" s="10" t="str">
        <f>IFERROR(__xludf.DUMMYFUNCTION("IF(COUNTA(C1516:C1673)=0,"""",IF(C1516="""",0,IF(REGEXMATCH(C1516,""^Sell_""),-ROUNDDOWN(ROUNDUP(INDEX(Upgrades!$C$3:$C$13,MATCH(SUBSTITUTE(C1516,""Sell_"",""""),Upgrades!$B$3:$B$13,0))*1.15^(COUNTIF(C$4:C1515,SUBSTITUTE(C1516,""Sell_"",""""))-COUNTIF(C$4"&amp;":C1515,""Sell_""&amp;SUBSTITUTE(C1516,""Sell_"",""""))))/2),ROUNDUP(INDEX(Upgrades!$C$3:$C$13,MATCH(C1516,Upgrades!$B$3:$B$13,0))*1.15^(COUNTIF(C$4:C1515,C1516)-COUNTIF(C$4:C1515,""Sell_""&amp;C1516))))))"),"")</f>
        <v/>
      </c>
      <c r="H1516" s="10" t="str">
        <f t="shared" si="3"/>
        <v/>
      </c>
      <c r="I1516" s="68" t="str">
        <f t="shared" si="4"/>
        <v/>
      </c>
      <c r="J1516" s="59" t="str">
        <f t="shared" si="5"/>
        <v/>
      </c>
      <c r="K1516" s="69" t="str">
        <f t="shared" si="6"/>
        <v/>
      </c>
      <c r="L1516" s="60" t="str">
        <f t="shared" si="7"/>
        <v/>
      </c>
      <c r="M1516" s="61" t="str">
        <f>IFERROR(__xludf.DUMMYFUNCTION("IFS(AND(COUNTA(C1516:C1673)=0,COUNTA(Q1516:Q1673)=0),"""",OR(AND(K1516&gt;=1000000000,OR(Y1516&gt;=1000000000,COUNTA(Q1516:Q1673)=0)),OR(Y1516&gt;=1000000000,AND(COUNTA(C1516:C1673)=0,P$3=TRUE))),
ROUNDDOWN((AB$1-AC$1)*MAX(INDEX(T$4:T1673,MATCH(LARGE(FILTER(Y$4:Y1"&amp;"673,Y$4:Y1673&lt;1000000000),1),Y$4:Y1673)),INDEX(F$4:F1673,MATCH(LARGE(FILTER(K$4:K1673,K$4:K1673&lt;1000000000),1),K$4:K1673)))),AND(K1516&lt;1000000000,COUNTA(C1516:C1673)&gt;0,P$3=FALSE),
ROUNDDOWN(INDEX(Y$4:Y1673,MATCH(LARGE(FILTER(W$4:W1673,W$4:W1673&lt;=I1516),1)"&amp;",W$4:W1673))+(I1516-LARGE(FILTER(W$4:W1673,W$4:W1673&lt;=I1516),1))*INDEX(T$4:T1673,MATCH(LARGE(FILTER(W$4:W1673,W$4:W1673&lt;=I1516),1),W$4:W1673))-K1516),1,
ROUNDDOWN(Y1516-INDEX(K$4:K1673,MATCH(LARGE(FILTER(I$4:I1673,I$4:I1673&lt;=W1516),1),I$4:I1673))-(W1516-L"&amp;"ARGE(FILTER(I$4:I1673,I$4:I1673&lt;=W1516),1))*INDEX(F$4:F1673,MATCH(LARGE(FILTER(I$4:I1673,I$4:I1673&lt;=W1516),1),I$4:I1673))))"),"")</f>
        <v/>
      </c>
      <c r="N1516" s="60" t="str">
        <f t="shared" si="8"/>
        <v/>
      </c>
      <c r="O1516" s="61" t="str">
        <f t="shared" si="9"/>
        <v/>
      </c>
      <c r="P1516" s="56" t="str">
        <f t="shared" si="10"/>
        <v/>
      </c>
      <c r="Q1516" s="67"/>
      <c r="R1516" s="10"/>
      <c r="S1516" s="59" t="str">
        <f t="array" ref="S1516">IF(COUNTA(Q1516:Q1673)=0,"",SUM((COUNTIF(Q$4:Q1516,Upgrades!$B$3:$B$13)-COUNTIF(Q$4:Q1516,"Sell_"&amp;Upgrades!$B$3:$B$13))*Upgrades!$D$3:$D$13))</f>
        <v/>
      </c>
      <c r="T1516" s="66" t="str">
        <f>IFERROR(__xludf.DUMMYFUNCTION("IF(COUNTA(Q1516:Q1673)=0,"""",IF(REGEXMATCH(INDEX(FILTER(Q$4:Q1516,Q$4:Q1516&lt;&gt;""""),ROWS(FILTER(Q$4:Q1516,Q$4:Q1516&lt;&gt;""""))),""^Sell_""),INDEX(FILTER(T$4:T1515,Q$4:Q1515&lt;&gt;""""),ROWS(FILTER(Q$4:Q1515,Q$4:Q1515&lt;&gt;""""))),$AD$5+S1516))"),"")</f>
        <v/>
      </c>
      <c r="U1516" s="10" t="str">
        <f>IFERROR(__xludf.DUMMYFUNCTION("IF(COUNTA(Q1516:Q1673)=0,"""",IF(Q1516="""",0,IF(REGEXMATCH(Q1516,""^Sell_""),-ROUNDDOWN(ROUNDUP(INDEX(Upgrades!$C$3:$C$13,MATCH(SUBSTITUTE(Q1516,""Sell_"",""""),Upgrades!$B$3:$B$13,0))*1.15^(COUNTIF(Q$4:Q1515,SUBSTITUTE(Q1516,""Sell_"",""""))-COUNTIF(Q$4"&amp;":Q1515,""Sell_""&amp;SUBSTITUTE(Q1516,""Sell_"",""""))))/2),ROUNDUP(INDEX(Upgrades!$C$3:$C$13,MATCH(Q1516,Upgrades!$B$3:$B$13,0))*1.15^(COUNTIF(Q$4:Q1515,Q1516)-COUNTIF(Q$4:Q1515,""Sell_""&amp;Q1516))))))"),"")</f>
        <v/>
      </c>
      <c r="V1516" s="10" t="str">
        <f t="shared" si="11"/>
        <v/>
      </c>
      <c r="W1516" s="68" t="str">
        <f t="shared" si="12"/>
        <v/>
      </c>
      <c r="X1516" s="59" t="str">
        <f t="shared" si="13"/>
        <v/>
      </c>
      <c r="Y1516" s="69" t="str">
        <f t="shared" si="14"/>
        <v/>
      </c>
      <c r="Z1516" s="11"/>
    </row>
    <row r="1517">
      <c r="A1517" s="8"/>
      <c r="B1517" s="56" t="str">
        <f t="shared" si="2"/>
        <v/>
      </c>
      <c r="C1517" s="105"/>
      <c r="D1517" s="10"/>
      <c r="E1517" s="59" t="str">
        <f t="array" ref="E1517">IF(COUNTA(C1517:C1673)=0,"",SUM((COUNTIF(C$4:C1517,Upgrades!$B$3:$B$13)-COUNTIF(C$4:C1517,"Sell_"&amp;Upgrades!$B$3:$B$13))*Upgrades!$D$3:$D$13))</f>
        <v/>
      </c>
      <c r="F1517" s="66" t="str">
        <f>IFERROR(__xludf.DUMMYFUNCTION("IF(COUNTA(C1517:C1673)=0,"""",IF(REGEXMATCH(INDEX(FILTER(C$4:C1517,C$4:C1517&lt;&gt;""""),ROWS(FILTER(C$4:C1517,C$4:C1517&lt;&gt;""""))),""^Sell_""),INDEX(FILTER(F$4:F1516,C$4:C1516&lt;&gt;""""),ROWS(FILTER(C$4:C1516,C$4:C1516&lt;&gt;""""))),$AC$5+E1517))"),"")</f>
        <v/>
      </c>
      <c r="G1517" s="10" t="str">
        <f>IFERROR(__xludf.DUMMYFUNCTION("IF(COUNTA(C1517:C1673)=0,"""",IF(C1517="""",0,IF(REGEXMATCH(C1517,""^Sell_""),-ROUNDDOWN(ROUNDUP(INDEX(Upgrades!$C$3:$C$13,MATCH(SUBSTITUTE(C1517,""Sell_"",""""),Upgrades!$B$3:$B$13,0))*1.15^(COUNTIF(C$4:C1516,SUBSTITUTE(C1517,""Sell_"",""""))-COUNTIF(C$4"&amp;":C1516,""Sell_""&amp;SUBSTITUTE(C1517,""Sell_"",""""))))/2),ROUNDUP(INDEX(Upgrades!$C$3:$C$13,MATCH(C1517,Upgrades!$B$3:$B$13,0))*1.15^(COUNTIF(C$4:C1516,C1517)-COUNTIF(C$4:C1516,""Sell_""&amp;C1517))))))"),"")</f>
        <v/>
      </c>
      <c r="H1517" s="10" t="str">
        <f t="shared" si="3"/>
        <v/>
      </c>
      <c r="I1517" s="68" t="str">
        <f t="shared" si="4"/>
        <v/>
      </c>
      <c r="J1517" s="59" t="str">
        <f t="shared" si="5"/>
        <v/>
      </c>
      <c r="K1517" s="69" t="str">
        <f t="shared" si="6"/>
        <v/>
      </c>
      <c r="L1517" s="60" t="str">
        <f t="shared" si="7"/>
        <v/>
      </c>
      <c r="M1517" s="61" t="str">
        <f>IFERROR(__xludf.DUMMYFUNCTION("IFS(AND(COUNTA(C1517:C1673)=0,COUNTA(Q1517:Q1673)=0),"""",OR(AND(K1517&gt;=1000000000,OR(Y1517&gt;=1000000000,COUNTA(Q1517:Q1673)=0)),OR(Y1517&gt;=1000000000,AND(COUNTA(C1517:C1673)=0,P$3=TRUE))),
ROUNDDOWN((AB$1-AC$1)*MAX(INDEX(T$4:T1673,MATCH(LARGE(FILTER(Y$4:Y1"&amp;"673,Y$4:Y1673&lt;1000000000),1),Y$4:Y1673)),INDEX(F$4:F1673,MATCH(LARGE(FILTER(K$4:K1673,K$4:K1673&lt;1000000000),1),K$4:K1673)))),AND(K1517&lt;1000000000,COUNTA(C1517:C1673)&gt;0,P$3=FALSE),
ROUNDDOWN(INDEX(Y$4:Y1673,MATCH(LARGE(FILTER(W$4:W1673,W$4:W1673&lt;=I1517),1)"&amp;",W$4:W1673))+(I1517-LARGE(FILTER(W$4:W1673,W$4:W1673&lt;=I1517),1))*INDEX(T$4:T1673,MATCH(LARGE(FILTER(W$4:W1673,W$4:W1673&lt;=I1517),1),W$4:W1673))-K1517),1,
ROUNDDOWN(Y1517-INDEX(K$4:K1673,MATCH(LARGE(FILTER(I$4:I1673,I$4:I1673&lt;=W1517),1),I$4:I1673))-(W1517-L"&amp;"ARGE(FILTER(I$4:I1673,I$4:I1673&lt;=W1517),1))*INDEX(F$4:F1673,MATCH(LARGE(FILTER(I$4:I1673,I$4:I1673&lt;=W1517),1),I$4:I1673))))"),"")</f>
        <v/>
      </c>
      <c r="N1517" s="60" t="str">
        <f t="shared" si="8"/>
        <v/>
      </c>
      <c r="O1517" s="61" t="str">
        <f t="shared" si="9"/>
        <v/>
      </c>
      <c r="P1517" s="56" t="str">
        <f t="shared" si="10"/>
        <v/>
      </c>
      <c r="Q1517" s="67"/>
      <c r="R1517" s="10"/>
      <c r="S1517" s="59" t="str">
        <f t="array" ref="S1517">IF(COUNTA(Q1517:Q1673)=0,"",SUM((COUNTIF(Q$4:Q1517,Upgrades!$B$3:$B$13)-COUNTIF(Q$4:Q1517,"Sell_"&amp;Upgrades!$B$3:$B$13))*Upgrades!$D$3:$D$13))</f>
        <v/>
      </c>
      <c r="T1517" s="66" t="str">
        <f>IFERROR(__xludf.DUMMYFUNCTION("IF(COUNTA(Q1517:Q1673)=0,"""",IF(REGEXMATCH(INDEX(FILTER(Q$4:Q1517,Q$4:Q1517&lt;&gt;""""),ROWS(FILTER(Q$4:Q1517,Q$4:Q1517&lt;&gt;""""))),""^Sell_""),INDEX(FILTER(T$4:T1516,Q$4:Q1516&lt;&gt;""""),ROWS(FILTER(Q$4:Q1516,Q$4:Q1516&lt;&gt;""""))),$AD$5+S1517))"),"")</f>
        <v/>
      </c>
      <c r="U1517" s="10" t="str">
        <f>IFERROR(__xludf.DUMMYFUNCTION("IF(COUNTA(Q1517:Q1673)=0,"""",IF(Q1517="""",0,IF(REGEXMATCH(Q1517,""^Sell_""),-ROUNDDOWN(ROUNDUP(INDEX(Upgrades!$C$3:$C$13,MATCH(SUBSTITUTE(Q1517,""Sell_"",""""),Upgrades!$B$3:$B$13,0))*1.15^(COUNTIF(Q$4:Q1516,SUBSTITUTE(Q1517,""Sell_"",""""))-COUNTIF(Q$4"&amp;":Q1516,""Sell_""&amp;SUBSTITUTE(Q1517,""Sell_"",""""))))/2),ROUNDUP(INDEX(Upgrades!$C$3:$C$13,MATCH(Q1517,Upgrades!$B$3:$B$13,0))*1.15^(COUNTIF(Q$4:Q1516,Q1517)-COUNTIF(Q$4:Q1516,""Sell_""&amp;Q1517))))))"),"")</f>
        <v/>
      </c>
      <c r="V1517" s="10" t="str">
        <f t="shared" si="11"/>
        <v/>
      </c>
      <c r="W1517" s="68" t="str">
        <f t="shared" si="12"/>
        <v/>
      </c>
      <c r="X1517" s="59" t="str">
        <f t="shared" si="13"/>
        <v/>
      </c>
      <c r="Y1517" s="69" t="str">
        <f t="shared" si="14"/>
        <v/>
      </c>
      <c r="Z1517" s="11"/>
    </row>
    <row r="1518">
      <c r="A1518" s="8"/>
      <c r="B1518" s="56" t="str">
        <f t="shared" si="2"/>
        <v/>
      </c>
      <c r="C1518" s="105"/>
      <c r="D1518" s="10"/>
      <c r="E1518" s="59" t="str">
        <f t="array" ref="E1518">IF(COUNTA(C1518:C1673)=0,"",SUM((COUNTIF(C$4:C1518,Upgrades!$B$3:$B$13)-COUNTIF(C$4:C1518,"Sell_"&amp;Upgrades!$B$3:$B$13))*Upgrades!$D$3:$D$13))</f>
        <v/>
      </c>
      <c r="F1518" s="66" t="str">
        <f>IFERROR(__xludf.DUMMYFUNCTION("IF(COUNTA(C1518:C1673)=0,"""",IF(REGEXMATCH(INDEX(FILTER(C$4:C1518,C$4:C1518&lt;&gt;""""),ROWS(FILTER(C$4:C1518,C$4:C1518&lt;&gt;""""))),""^Sell_""),INDEX(FILTER(F$4:F1517,C$4:C1517&lt;&gt;""""),ROWS(FILTER(C$4:C1517,C$4:C1517&lt;&gt;""""))),$AC$5+E1518))"),"")</f>
        <v/>
      </c>
      <c r="G1518" s="10" t="str">
        <f>IFERROR(__xludf.DUMMYFUNCTION("IF(COUNTA(C1518:C1673)=0,"""",IF(C1518="""",0,IF(REGEXMATCH(C1518,""^Sell_""),-ROUNDDOWN(ROUNDUP(INDEX(Upgrades!$C$3:$C$13,MATCH(SUBSTITUTE(C1518,""Sell_"",""""),Upgrades!$B$3:$B$13,0))*1.15^(COUNTIF(C$4:C1517,SUBSTITUTE(C1518,""Sell_"",""""))-COUNTIF(C$4"&amp;":C1517,""Sell_""&amp;SUBSTITUTE(C1518,""Sell_"",""""))))/2),ROUNDUP(INDEX(Upgrades!$C$3:$C$13,MATCH(C1518,Upgrades!$B$3:$B$13,0))*1.15^(COUNTIF(C$4:C1517,C1518)-COUNTIF(C$4:C1517,""Sell_""&amp;C1518))))))"),"")</f>
        <v/>
      </c>
      <c r="H1518" s="10" t="str">
        <f t="shared" si="3"/>
        <v/>
      </c>
      <c r="I1518" s="68" t="str">
        <f t="shared" si="4"/>
        <v/>
      </c>
      <c r="J1518" s="59" t="str">
        <f t="shared" si="5"/>
        <v/>
      </c>
      <c r="K1518" s="69" t="str">
        <f t="shared" si="6"/>
        <v/>
      </c>
      <c r="L1518" s="60" t="str">
        <f t="shared" si="7"/>
        <v/>
      </c>
      <c r="M1518" s="61" t="str">
        <f>IFERROR(__xludf.DUMMYFUNCTION("IFS(AND(COUNTA(C1518:C1673)=0,COUNTA(Q1518:Q1673)=0),"""",OR(AND(K1518&gt;=1000000000,OR(Y1518&gt;=1000000000,COUNTA(Q1518:Q1673)=0)),OR(Y1518&gt;=1000000000,AND(COUNTA(C1518:C1673)=0,P$3=TRUE))),
ROUNDDOWN((AB$1-AC$1)*MAX(INDEX(T$4:T1673,MATCH(LARGE(FILTER(Y$4:Y1"&amp;"673,Y$4:Y1673&lt;1000000000),1),Y$4:Y1673)),INDEX(F$4:F1673,MATCH(LARGE(FILTER(K$4:K1673,K$4:K1673&lt;1000000000),1),K$4:K1673)))),AND(K1518&lt;1000000000,COUNTA(C1518:C1673)&gt;0,P$3=FALSE),
ROUNDDOWN(INDEX(Y$4:Y1673,MATCH(LARGE(FILTER(W$4:W1673,W$4:W1673&lt;=I1518),1)"&amp;",W$4:W1673))+(I1518-LARGE(FILTER(W$4:W1673,W$4:W1673&lt;=I1518),1))*INDEX(T$4:T1673,MATCH(LARGE(FILTER(W$4:W1673,W$4:W1673&lt;=I1518),1),W$4:W1673))-K1518),1,
ROUNDDOWN(Y1518-INDEX(K$4:K1673,MATCH(LARGE(FILTER(I$4:I1673,I$4:I1673&lt;=W1518),1),I$4:I1673))-(W1518-L"&amp;"ARGE(FILTER(I$4:I1673,I$4:I1673&lt;=W1518),1))*INDEX(F$4:F1673,MATCH(LARGE(FILTER(I$4:I1673,I$4:I1673&lt;=W1518),1),I$4:I1673))))"),"")</f>
        <v/>
      </c>
      <c r="N1518" s="60" t="str">
        <f t="shared" si="8"/>
        <v/>
      </c>
      <c r="O1518" s="61" t="str">
        <f t="shared" si="9"/>
        <v/>
      </c>
      <c r="P1518" s="56" t="str">
        <f t="shared" si="10"/>
        <v/>
      </c>
      <c r="Q1518" s="67"/>
      <c r="R1518" s="10"/>
      <c r="S1518" s="59" t="str">
        <f t="array" ref="S1518">IF(COUNTA(Q1518:Q1673)=0,"",SUM((COUNTIF(Q$4:Q1518,Upgrades!$B$3:$B$13)-COUNTIF(Q$4:Q1518,"Sell_"&amp;Upgrades!$B$3:$B$13))*Upgrades!$D$3:$D$13))</f>
        <v/>
      </c>
      <c r="T1518" s="66" t="str">
        <f>IFERROR(__xludf.DUMMYFUNCTION("IF(COUNTA(Q1518:Q1673)=0,"""",IF(REGEXMATCH(INDEX(FILTER(Q$4:Q1518,Q$4:Q1518&lt;&gt;""""),ROWS(FILTER(Q$4:Q1518,Q$4:Q1518&lt;&gt;""""))),""^Sell_""),INDEX(FILTER(T$4:T1517,Q$4:Q1517&lt;&gt;""""),ROWS(FILTER(Q$4:Q1517,Q$4:Q1517&lt;&gt;""""))),$AD$5+S1518))"),"")</f>
        <v/>
      </c>
      <c r="U1518" s="10" t="str">
        <f>IFERROR(__xludf.DUMMYFUNCTION("IF(COUNTA(Q1518:Q1673)=0,"""",IF(Q1518="""",0,IF(REGEXMATCH(Q1518,""^Sell_""),-ROUNDDOWN(ROUNDUP(INDEX(Upgrades!$C$3:$C$13,MATCH(SUBSTITUTE(Q1518,""Sell_"",""""),Upgrades!$B$3:$B$13,0))*1.15^(COUNTIF(Q$4:Q1517,SUBSTITUTE(Q1518,""Sell_"",""""))-COUNTIF(Q$4"&amp;":Q1517,""Sell_""&amp;SUBSTITUTE(Q1518,""Sell_"",""""))))/2),ROUNDUP(INDEX(Upgrades!$C$3:$C$13,MATCH(Q1518,Upgrades!$B$3:$B$13,0))*1.15^(COUNTIF(Q$4:Q1517,Q1518)-COUNTIF(Q$4:Q1517,""Sell_""&amp;Q1518))))))"),"")</f>
        <v/>
      </c>
      <c r="V1518" s="10" t="str">
        <f t="shared" si="11"/>
        <v/>
      </c>
      <c r="W1518" s="68" t="str">
        <f t="shared" si="12"/>
        <v/>
      </c>
      <c r="X1518" s="59" t="str">
        <f t="shared" si="13"/>
        <v/>
      </c>
      <c r="Y1518" s="69" t="str">
        <f t="shared" si="14"/>
        <v/>
      </c>
      <c r="Z1518" s="11"/>
    </row>
    <row r="1519">
      <c r="A1519" s="8"/>
      <c r="B1519" s="56" t="str">
        <f t="shared" si="2"/>
        <v/>
      </c>
      <c r="C1519" s="105"/>
      <c r="D1519" s="10"/>
      <c r="E1519" s="59" t="str">
        <f t="array" ref="E1519">IF(COUNTA(C1519:C1673)=0,"",SUM((COUNTIF(C$4:C1519,Upgrades!$B$3:$B$13)-COUNTIF(C$4:C1519,"Sell_"&amp;Upgrades!$B$3:$B$13))*Upgrades!$D$3:$D$13))</f>
        <v/>
      </c>
      <c r="F1519" s="66" t="str">
        <f>IFERROR(__xludf.DUMMYFUNCTION("IF(COUNTA(C1519:C1673)=0,"""",IF(REGEXMATCH(INDEX(FILTER(C$4:C1519,C$4:C1519&lt;&gt;""""),ROWS(FILTER(C$4:C1519,C$4:C1519&lt;&gt;""""))),""^Sell_""),INDEX(FILTER(F$4:F1518,C$4:C1518&lt;&gt;""""),ROWS(FILTER(C$4:C1518,C$4:C1518&lt;&gt;""""))),$AC$5+E1519))"),"")</f>
        <v/>
      </c>
      <c r="G1519" s="10" t="str">
        <f>IFERROR(__xludf.DUMMYFUNCTION("IF(COUNTA(C1519:C1673)=0,"""",IF(C1519="""",0,IF(REGEXMATCH(C1519,""^Sell_""),-ROUNDDOWN(ROUNDUP(INDEX(Upgrades!$C$3:$C$13,MATCH(SUBSTITUTE(C1519,""Sell_"",""""),Upgrades!$B$3:$B$13,0))*1.15^(COUNTIF(C$4:C1518,SUBSTITUTE(C1519,""Sell_"",""""))-COUNTIF(C$4"&amp;":C1518,""Sell_""&amp;SUBSTITUTE(C1519,""Sell_"",""""))))/2),ROUNDUP(INDEX(Upgrades!$C$3:$C$13,MATCH(C1519,Upgrades!$B$3:$B$13,0))*1.15^(COUNTIF(C$4:C1518,C1519)-COUNTIF(C$4:C1518,""Sell_""&amp;C1519))))))"),"")</f>
        <v/>
      </c>
      <c r="H1519" s="10" t="str">
        <f t="shared" si="3"/>
        <v/>
      </c>
      <c r="I1519" s="68" t="str">
        <f t="shared" si="4"/>
        <v/>
      </c>
      <c r="J1519" s="59" t="str">
        <f t="shared" si="5"/>
        <v/>
      </c>
      <c r="K1519" s="69" t="str">
        <f t="shared" si="6"/>
        <v/>
      </c>
      <c r="L1519" s="60" t="str">
        <f t="shared" si="7"/>
        <v/>
      </c>
      <c r="M1519" s="61" t="str">
        <f>IFERROR(__xludf.DUMMYFUNCTION("IFS(AND(COUNTA(C1519:C1673)=0,COUNTA(Q1519:Q1673)=0),"""",OR(AND(K1519&gt;=1000000000,OR(Y1519&gt;=1000000000,COUNTA(Q1519:Q1673)=0)),OR(Y1519&gt;=1000000000,AND(COUNTA(C1519:C1673)=0,P$3=TRUE))),
ROUNDDOWN((AB$1-AC$1)*MAX(INDEX(T$4:T1673,MATCH(LARGE(FILTER(Y$4:Y1"&amp;"673,Y$4:Y1673&lt;1000000000),1),Y$4:Y1673)),INDEX(F$4:F1673,MATCH(LARGE(FILTER(K$4:K1673,K$4:K1673&lt;1000000000),1),K$4:K1673)))),AND(K1519&lt;1000000000,COUNTA(C1519:C1673)&gt;0,P$3=FALSE),
ROUNDDOWN(INDEX(Y$4:Y1673,MATCH(LARGE(FILTER(W$4:W1673,W$4:W1673&lt;=I1519),1)"&amp;",W$4:W1673))+(I1519-LARGE(FILTER(W$4:W1673,W$4:W1673&lt;=I1519),1))*INDEX(T$4:T1673,MATCH(LARGE(FILTER(W$4:W1673,W$4:W1673&lt;=I1519),1),W$4:W1673))-K1519),1,
ROUNDDOWN(Y1519-INDEX(K$4:K1673,MATCH(LARGE(FILTER(I$4:I1673,I$4:I1673&lt;=W1519),1),I$4:I1673))-(W1519-L"&amp;"ARGE(FILTER(I$4:I1673,I$4:I1673&lt;=W1519),1))*INDEX(F$4:F1673,MATCH(LARGE(FILTER(I$4:I1673,I$4:I1673&lt;=W1519),1),I$4:I1673))))"),"")</f>
        <v/>
      </c>
      <c r="N1519" s="60" t="str">
        <f t="shared" si="8"/>
        <v/>
      </c>
      <c r="O1519" s="61" t="str">
        <f t="shared" si="9"/>
        <v/>
      </c>
      <c r="P1519" s="56" t="str">
        <f t="shared" si="10"/>
        <v/>
      </c>
      <c r="Q1519" s="67"/>
      <c r="R1519" s="10"/>
      <c r="S1519" s="59" t="str">
        <f t="array" ref="S1519">IF(COUNTA(Q1519:Q1673)=0,"",SUM((COUNTIF(Q$4:Q1519,Upgrades!$B$3:$B$13)-COUNTIF(Q$4:Q1519,"Sell_"&amp;Upgrades!$B$3:$B$13))*Upgrades!$D$3:$D$13))</f>
        <v/>
      </c>
      <c r="T1519" s="66" t="str">
        <f>IFERROR(__xludf.DUMMYFUNCTION("IF(COUNTA(Q1519:Q1673)=0,"""",IF(REGEXMATCH(INDEX(FILTER(Q$4:Q1519,Q$4:Q1519&lt;&gt;""""),ROWS(FILTER(Q$4:Q1519,Q$4:Q1519&lt;&gt;""""))),""^Sell_""),INDEX(FILTER(T$4:T1518,Q$4:Q1518&lt;&gt;""""),ROWS(FILTER(Q$4:Q1518,Q$4:Q1518&lt;&gt;""""))),$AD$5+S1519))"),"")</f>
        <v/>
      </c>
      <c r="U1519" s="10" t="str">
        <f>IFERROR(__xludf.DUMMYFUNCTION("IF(COUNTA(Q1519:Q1673)=0,"""",IF(Q1519="""",0,IF(REGEXMATCH(Q1519,""^Sell_""),-ROUNDDOWN(ROUNDUP(INDEX(Upgrades!$C$3:$C$13,MATCH(SUBSTITUTE(Q1519,""Sell_"",""""),Upgrades!$B$3:$B$13,0))*1.15^(COUNTIF(Q$4:Q1518,SUBSTITUTE(Q1519,""Sell_"",""""))-COUNTIF(Q$4"&amp;":Q1518,""Sell_""&amp;SUBSTITUTE(Q1519,""Sell_"",""""))))/2),ROUNDUP(INDEX(Upgrades!$C$3:$C$13,MATCH(Q1519,Upgrades!$B$3:$B$13,0))*1.15^(COUNTIF(Q$4:Q1518,Q1519)-COUNTIF(Q$4:Q1518,""Sell_""&amp;Q1519))))))"),"")</f>
        <v/>
      </c>
      <c r="V1519" s="10" t="str">
        <f t="shared" si="11"/>
        <v/>
      </c>
      <c r="W1519" s="68" t="str">
        <f t="shared" si="12"/>
        <v/>
      </c>
      <c r="X1519" s="59" t="str">
        <f t="shared" si="13"/>
        <v/>
      </c>
      <c r="Y1519" s="69" t="str">
        <f t="shared" si="14"/>
        <v/>
      </c>
      <c r="Z1519" s="11"/>
    </row>
    <row r="1520">
      <c r="A1520" s="8"/>
      <c r="B1520" s="56" t="str">
        <f t="shared" si="2"/>
        <v/>
      </c>
      <c r="C1520" s="105"/>
      <c r="D1520" s="10"/>
      <c r="E1520" s="59" t="str">
        <f t="array" ref="E1520">IF(COUNTA(C1520:C1673)=0,"",SUM((COUNTIF(C$4:C1520,Upgrades!$B$3:$B$13)-COUNTIF(C$4:C1520,"Sell_"&amp;Upgrades!$B$3:$B$13))*Upgrades!$D$3:$D$13))</f>
        <v/>
      </c>
      <c r="F1520" s="66" t="str">
        <f>IFERROR(__xludf.DUMMYFUNCTION("IF(COUNTA(C1520:C1673)=0,"""",IF(REGEXMATCH(INDEX(FILTER(C$4:C1520,C$4:C1520&lt;&gt;""""),ROWS(FILTER(C$4:C1520,C$4:C1520&lt;&gt;""""))),""^Sell_""),INDEX(FILTER(F$4:F1519,C$4:C1519&lt;&gt;""""),ROWS(FILTER(C$4:C1519,C$4:C1519&lt;&gt;""""))),$AC$5+E1520))"),"")</f>
        <v/>
      </c>
      <c r="G1520" s="10" t="str">
        <f>IFERROR(__xludf.DUMMYFUNCTION("IF(COUNTA(C1520:C1673)=0,"""",IF(C1520="""",0,IF(REGEXMATCH(C1520,""^Sell_""),-ROUNDDOWN(ROUNDUP(INDEX(Upgrades!$C$3:$C$13,MATCH(SUBSTITUTE(C1520,""Sell_"",""""),Upgrades!$B$3:$B$13,0))*1.15^(COUNTIF(C$4:C1519,SUBSTITUTE(C1520,""Sell_"",""""))-COUNTIF(C$4"&amp;":C1519,""Sell_""&amp;SUBSTITUTE(C1520,""Sell_"",""""))))/2),ROUNDUP(INDEX(Upgrades!$C$3:$C$13,MATCH(C1520,Upgrades!$B$3:$B$13,0))*1.15^(COUNTIF(C$4:C1519,C1520)-COUNTIF(C$4:C1519,""Sell_""&amp;C1520))))))"),"")</f>
        <v/>
      </c>
      <c r="H1520" s="10" t="str">
        <f t="shared" si="3"/>
        <v/>
      </c>
      <c r="I1520" s="68" t="str">
        <f t="shared" si="4"/>
        <v/>
      </c>
      <c r="J1520" s="59" t="str">
        <f t="shared" si="5"/>
        <v/>
      </c>
      <c r="K1520" s="69" t="str">
        <f t="shared" si="6"/>
        <v/>
      </c>
      <c r="L1520" s="60" t="str">
        <f t="shared" si="7"/>
        <v/>
      </c>
      <c r="M1520" s="61" t="str">
        <f>IFERROR(__xludf.DUMMYFUNCTION("IFS(AND(COUNTA(C1520:C1673)=0,COUNTA(Q1520:Q1673)=0),"""",OR(AND(K1520&gt;=1000000000,OR(Y1520&gt;=1000000000,COUNTA(Q1520:Q1673)=0)),OR(Y1520&gt;=1000000000,AND(COUNTA(C1520:C1673)=0,P$3=TRUE))),
ROUNDDOWN((AB$1-AC$1)*MAX(INDEX(T$4:T1673,MATCH(LARGE(FILTER(Y$4:Y1"&amp;"673,Y$4:Y1673&lt;1000000000),1),Y$4:Y1673)),INDEX(F$4:F1673,MATCH(LARGE(FILTER(K$4:K1673,K$4:K1673&lt;1000000000),1),K$4:K1673)))),AND(K1520&lt;1000000000,COUNTA(C1520:C1673)&gt;0,P$3=FALSE),
ROUNDDOWN(INDEX(Y$4:Y1673,MATCH(LARGE(FILTER(W$4:W1673,W$4:W1673&lt;=I1520),1)"&amp;",W$4:W1673))+(I1520-LARGE(FILTER(W$4:W1673,W$4:W1673&lt;=I1520),1))*INDEX(T$4:T1673,MATCH(LARGE(FILTER(W$4:W1673,W$4:W1673&lt;=I1520),1),W$4:W1673))-K1520),1,
ROUNDDOWN(Y1520-INDEX(K$4:K1673,MATCH(LARGE(FILTER(I$4:I1673,I$4:I1673&lt;=W1520),1),I$4:I1673))-(W1520-L"&amp;"ARGE(FILTER(I$4:I1673,I$4:I1673&lt;=W1520),1))*INDEX(F$4:F1673,MATCH(LARGE(FILTER(I$4:I1673,I$4:I1673&lt;=W1520),1),I$4:I1673))))"),"")</f>
        <v/>
      </c>
      <c r="N1520" s="60" t="str">
        <f t="shared" si="8"/>
        <v/>
      </c>
      <c r="O1520" s="61" t="str">
        <f t="shared" si="9"/>
        <v/>
      </c>
      <c r="P1520" s="56" t="str">
        <f t="shared" si="10"/>
        <v/>
      </c>
      <c r="Q1520" s="67"/>
      <c r="R1520" s="10"/>
      <c r="S1520" s="59" t="str">
        <f t="array" ref="S1520">IF(COUNTA(Q1520:Q1673)=0,"",SUM((COUNTIF(Q$4:Q1520,Upgrades!$B$3:$B$13)-COUNTIF(Q$4:Q1520,"Sell_"&amp;Upgrades!$B$3:$B$13))*Upgrades!$D$3:$D$13))</f>
        <v/>
      </c>
      <c r="T1520" s="66" t="str">
        <f>IFERROR(__xludf.DUMMYFUNCTION("IF(COUNTA(Q1520:Q1673)=0,"""",IF(REGEXMATCH(INDEX(FILTER(Q$4:Q1520,Q$4:Q1520&lt;&gt;""""),ROWS(FILTER(Q$4:Q1520,Q$4:Q1520&lt;&gt;""""))),""^Sell_""),INDEX(FILTER(T$4:T1519,Q$4:Q1519&lt;&gt;""""),ROWS(FILTER(Q$4:Q1519,Q$4:Q1519&lt;&gt;""""))),$AD$5+S1520))"),"")</f>
        <v/>
      </c>
      <c r="U1520" s="10" t="str">
        <f>IFERROR(__xludf.DUMMYFUNCTION("IF(COUNTA(Q1520:Q1673)=0,"""",IF(Q1520="""",0,IF(REGEXMATCH(Q1520,""^Sell_""),-ROUNDDOWN(ROUNDUP(INDEX(Upgrades!$C$3:$C$13,MATCH(SUBSTITUTE(Q1520,""Sell_"",""""),Upgrades!$B$3:$B$13,0))*1.15^(COUNTIF(Q$4:Q1519,SUBSTITUTE(Q1520,""Sell_"",""""))-COUNTIF(Q$4"&amp;":Q1519,""Sell_""&amp;SUBSTITUTE(Q1520,""Sell_"",""""))))/2),ROUNDUP(INDEX(Upgrades!$C$3:$C$13,MATCH(Q1520,Upgrades!$B$3:$B$13,0))*1.15^(COUNTIF(Q$4:Q1519,Q1520)-COUNTIF(Q$4:Q1519,""Sell_""&amp;Q1520))))))"),"")</f>
        <v/>
      </c>
      <c r="V1520" s="10" t="str">
        <f t="shared" si="11"/>
        <v/>
      </c>
      <c r="W1520" s="68" t="str">
        <f t="shared" si="12"/>
        <v/>
      </c>
      <c r="X1520" s="59" t="str">
        <f t="shared" si="13"/>
        <v/>
      </c>
      <c r="Y1520" s="69" t="str">
        <f t="shared" si="14"/>
        <v/>
      </c>
      <c r="Z1520" s="11"/>
    </row>
    <row r="1521">
      <c r="A1521" s="8"/>
      <c r="B1521" s="56" t="str">
        <f t="shared" si="2"/>
        <v/>
      </c>
      <c r="C1521" s="105"/>
      <c r="D1521" s="10"/>
      <c r="E1521" s="59" t="str">
        <f t="array" ref="E1521">IF(COUNTA(C1521:C1673)=0,"",SUM((COUNTIF(C$4:C1521,Upgrades!$B$3:$B$13)-COUNTIF(C$4:C1521,"Sell_"&amp;Upgrades!$B$3:$B$13))*Upgrades!$D$3:$D$13))</f>
        <v/>
      </c>
      <c r="F1521" s="66" t="str">
        <f>IFERROR(__xludf.DUMMYFUNCTION("IF(COUNTA(C1521:C1673)=0,"""",IF(REGEXMATCH(INDEX(FILTER(C$4:C1521,C$4:C1521&lt;&gt;""""),ROWS(FILTER(C$4:C1521,C$4:C1521&lt;&gt;""""))),""^Sell_""),INDEX(FILTER(F$4:F1520,C$4:C1520&lt;&gt;""""),ROWS(FILTER(C$4:C1520,C$4:C1520&lt;&gt;""""))),$AC$5+E1521))"),"")</f>
        <v/>
      </c>
      <c r="G1521" s="10" t="str">
        <f>IFERROR(__xludf.DUMMYFUNCTION("IF(COUNTA(C1521:C1673)=0,"""",IF(C1521="""",0,IF(REGEXMATCH(C1521,""^Sell_""),-ROUNDDOWN(ROUNDUP(INDEX(Upgrades!$C$3:$C$13,MATCH(SUBSTITUTE(C1521,""Sell_"",""""),Upgrades!$B$3:$B$13,0))*1.15^(COUNTIF(C$4:C1520,SUBSTITUTE(C1521,""Sell_"",""""))-COUNTIF(C$4"&amp;":C1520,""Sell_""&amp;SUBSTITUTE(C1521,""Sell_"",""""))))/2),ROUNDUP(INDEX(Upgrades!$C$3:$C$13,MATCH(C1521,Upgrades!$B$3:$B$13,0))*1.15^(COUNTIF(C$4:C1520,C1521)-COUNTIF(C$4:C1520,""Sell_""&amp;C1521))))))"),"")</f>
        <v/>
      </c>
      <c r="H1521" s="10" t="str">
        <f t="shared" si="3"/>
        <v/>
      </c>
      <c r="I1521" s="68" t="str">
        <f t="shared" si="4"/>
        <v/>
      </c>
      <c r="J1521" s="59" t="str">
        <f t="shared" si="5"/>
        <v/>
      </c>
      <c r="K1521" s="69" t="str">
        <f t="shared" si="6"/>
        <v/>
      </c>
      <c r="L1521" s="60" t="str">
        <f t="shared" si="7"/>
        <v/>
      </c>
      <c r="M1521" s="61" t="str">
        <f>IFERROR(__xludf.DUMMYFUNCTION("IFS(AND(COUNTA(C1521:C1673)=0,COUNTA(Q1521:Q1673)=0),"""",OR(AND(K1521&gt;=1000000000,OR(Y1521&gt;=1000000000,COUNTA(Q1521:Q1673)=0)),OR(Y1521&gt;=1000000000,AND(COUNTA(C1521:C1673)=0,P$3=TRUE))),
ROUNDDOWN((AB$1-AC$1)*MAX(INDEX(T$4:T1673,MATCH(LARGE(FILTER(Y$4:Y1"&amp;"673,Y$4:Y1673&lt;1000000000),1),Y$4:Y1673)),INDEX(F$4:F1673,MATCH(LARGE(FILTER(K$4:K1673,K$4:K1673&lt;1000000000),1),K$4:K1673)))),AND(K1521&lt;1000000000,COUNTA(C1521:C1673)&gt;0,P$3=FALSE),
ROUNDDOWN(INDEX(Y$4:Y1673,MATCH(LARGE(FILTER(W$4:W1673,W$4:W1673&lt;=I1521),1)"&amp;",W$4:W1673))+(I1521-LARGE(FILTER(W$4:W1673,W$4:W1673&lt;=I1521),1))*INDEX(T$4:T1673,MATCH(LARGE(FILTER(W$4:W1673,W$4:W1673&lt;=I1521),1),W$4:W1673))-K1521),1,
ROUNDDOWN(Y1521-INDEX(K$4:K1673,MATCH(LARGE(FILTER(I$4:I1673,I$4:I1673&lt;=W1521),1),I$4:I1673))-(W1521-L"&amp;"ARGE(FILTER(I$4:I1673,I$4:I1673&lt;=W1521),1))*INDEX(F$4:F1673,MATCH(LARGE(FILTER(I$4:I1673,I$4:I1673&lt;=W1521),1),I$4:I1673))))"),"")</f>
        <v/>
      </c>
      <c r="N1521" s="60" t="str">
        <f t="shared" si="8"/>
        <v/>
      </c>
      <c r="O1521" s="61" t="str">
        <f t="shared" si="9"/>
        <v/>
      </c>
      <c r="P1521" s="56" t="str">
        <f t="shared" si="10"/>
        <v/>
      </c>
      <c r="Q1521" s="67"/>
      <c r="R1521" s="10"/>
      <c r="S1521" s="59" t="str">
        <f t="array" ref="S1521">IF(COUNTA(Q1521:Q1673)=0,"",SUM((COUNTIF(Q$4:Q1521,Upgrades!$B$3:$B$13)-COUNTIF(Q$4:Q1521,"Sell_"&amp;Upgrades!$B$3:$B$13))*Upgrades!$D$3:$D$13))</f>
        <v/>
      </c>
      <c r="T1521" s="66" t="str">
        <f>IFERROR(__xludf.DUMMYFUNCTION("IF(COUNTA(Q1521:Q1673)=0,"""",IF(REGEXMATCH(INDEX(FILTER(Q$4:Q1521,Q$4:Q1521&lt;&gt;""""),ROWS(FILTER(Q$4:Q1521,Q$4:Q1521&lt;&gt;""""))),""^Sell_""),INDEX(FILTER(T$4:T1520,Q$4:Q1520&lt;&gt;""""),ROWS(FILTER(Q$4:Q1520,Q$4:Q1520&lt;&gt;""""))),$AD$5+S1521))"),"")</f>
        <v/>
      </c>
      <c r="U1521" s="10" t="str">
        <f>IFERROR(__xludf.DUMMYFUNCTION("IF(COUNTA(Q1521:Q1673)=0,"""",IF(Q1521="""",0,IF(REGEXMATCH(Q1521,""^Sell_""),-ROUNDDOWN(ROUNDUP(INDEX(Upgrades!$C$3:$C$13,MATCH(SUBSTITUTE(Q1521,""Sell_"",""""),Upgrades!$B$3:$B$13,0))*1.15^(COUNTIF(Q$4:Q1520,SUBSTITUTE(Q1521,""Sell_"",""""))-COUNTIF(Q$4"&amp;":Q1520,""Sell_""&amp;SUBSTITUTE(Q1521,""Sell_"",""""))))/2),ROUNDUP(INDEX(Upgrades!$C$3:$C$13,MATCH(Q1521,Upgrades!$B$3:$B$13,0))*1.15^(COUNTIF(Q$4:Q1520,Q1521)-COUNTIF(Q$4:Q1520,""Sell_""&amp;Q1521))))))"),"")</f>
        <v/>
      </c>
      <c r="V1521" s="10" t="str">
        <f t="shared" si="11"/>
        <v/>
      </c>
      <c r="W1521" s="68" t="str">
        <f t="shared" si="12"/>
        <v/>
      </c>
      <c r="X1521" s="59" t="str">
        <f t="shared" si="13"/>
        <v/>
      </c>
      <c r="Y1521" s="69" t="str">
        <f t="shared" si="14"/>
        <v/>
      </c>
      <c r="Z1521" s="11"/>
    </row>
    <row r="1522">
      <c r="A1522" s="8"/>
      <c r="B1522" s="56" t="str">
        <f t="shared" si="2"/>
        <v/>
      </c>
      <c r="C1522" s="105"/>
      <c r="D1522" s="10"/>
      <c r="E1522" s="59" t="str">
        <f t="array" ref="E1522">IF(COUNTA(C1522:C1673)=0,"",SUM((COUNTIF(C$4:C1522,Upgrades!$B$3:$B$13)-COUNTIF(C$4:C1522,"Sell_"&amp;Upgrades!$B$3:$B$13))*Upgrades!$D$3:$D$13))</f>
        <v/>
      </c>
      <c r="F1522" s="66" t="str">
        <f>IFERROR(__xludf.DUMMYFUNCTION("IF(COUNTA(C1522:C1673)=0,"""",IF(REGEXMATCH(INDEX(FILTER(C$4:C1522,C$4:C1522&lt;&gt;""""),ROWS(FILTER(C$4:C1522,C$4:C1522&lt;&gt;""""))),""^Sell_""),INDEX(FILTER(F$4:F1521,C$4:C1521&lt;&gt;""""),ROWS(FILTER(C$4:C1521,C$4:C1521&lt;&gt;""""))),$AC$5+E1522))"),"")</f>
        <v/>
      </c>
      <c r="G1522" s="10" t="str">
        <f>IFERROR(__xludf.DUMMYFUNCTION("IF(COUNTA(C1522:C1673)=0,"""",IF(C1522="""",0,IF(REGEXMATCH(C1522,""^Sell_""),-ROUNDDOWN(ROUNDUP(INDEX(Upgrades!$C$3:$C$13,MATCH(SUBSTITUTE(C1522,""Sell_"",""""),Upgrades!$B$3:$B$13,0))*1.15^(COUNTIF(C$4:C1521,SUBSTITUTE(C1522,""Sell_"",""""))-COUNTIF(C$4"&amp;":C1521,""Sell_""&amp;SUBSTITUTE(C1522,""Sell_"",""""))))/2),ROUNDUP(INDEX(Upgrades!$C$3:$C$13,MATCH(C1522,Upgrades!$B$3:$B$13,0))*1.15^(COUNTIF(C$4:C1521,C1522)-COUNTIF(C$4:C1521,""Sell_""&amp;C1522))))))"),"")</f>
        <v/>
      </c>
      <c r="H1522" s="10" t="str">
        <f t="shared" si="3"/>
        <v/>
      </c>
      <c r="I1522" s="68" t="str">
        <f t="shared" si="4"/>
        <v/>
      </c>
      <c r="J1522" s="59" t="str">
        <f t="shared" si="5"/>
        <v/>
      </c>
      <c r="K1522" s="69" t="str">
        <f t="shared" si="6"/>
        <v/>
      </c>
      <c r="L1522" s="60" t="str">
        <f t="shared" si="7"/>
        <v/>
      </c>
      <c r="M1522" s="61" t="str">
        <f>IFERROR(__xludf.DUMMYFUNCTION("IFS(AND(COUNTA(C1522:C1673)=0,COUNTA(Q1522:Q1673)=0),"""",OR(AND(K1522&gt;=1000000000,OR(Y1522&gt;=1000000000,COUNTA(Q1522:Q1673)=0)),OR(Y1522&gt;=1000000000,AND(COUNTA(C1522:C1673)=0,P$3=TRUE))),
ROUNDDOWN((AB$1-AC$1)*MAX(INDEX(T$4:T1673,MATCH(LARGE(FILTER(Y$4:Y1"&amp;"673,Y$4:Y1673&lt;1000000000),1),Y$4:Y1673)),INDEX(F$4:F1673,MATCH(LARGE(FILTER(K$4:K1673,K$4:K1673&lt;1000000000),1),K$4:K1673)))),AND(K1522&lt;1000000000,COUNTA(C1522:C1673)&gt;0,P$3=FALSE),
ROUNDDOWN(INDEX(Y$4:Y1673,MATCH(LARGE(FILTER(W$4:W1673,W$4:W1673&lt;=I1522),1)"&amp;",W$4:W1673))+(I1522-LARGE(FILTER(W$4:W1673,W$4:W1673&lt;=I1522),1))*INDEX(T$4:T1673,MATCH(LARGE(FILTER(W$4:W1673,W$4:W1673&lt;=I1522),1),W$4:W1673))-K1522),1,
ROUNDDOWN(Y1522-INDEX(K$4:K1673,MATCH(LARGE(FILTER(I$4:I1673,I$4:I1673&lt;=W1522),1),I$4:I1673))-(W1522-L"&amp;"ARGE(FILTER(I$4:I1673,I$4:I1673&lt;=W1522),1))*INDEX(F$4:F1673,MATCH(LARGE(FILTER(I$4:I1673,I$4:I1673&lt;=W1522),1),I$4:I1673))))"),"")</f>
        <v/>
      </c>
      <c r="N1522" s="60" t="str">
        <f t="shared" si="8"/>
        <v/>
      </c>
      <c r="O1522" s="61" t="str">
        <f t="shared" si="9"/>
        <v/>
      </c>
      <c r="P1522" s="56" t="str">
        <f t="shared" si="10"/>
        <v/>
      </c>
      <c r="Q1522" s="67"/>
      <c r="R1522" s="10"/>
      <c r="S1522" s="59" t="str">
        <f t="array" ref="S1522">IF(COUNTA(Q1522:Q1673)=0,"",SUM((COUNTIF(Q$4:Q1522,Upgrades!$B$3:$B$13)-COUNTIF(Q$4:Q1522,"Sell_"&amp;Upgrades!$B$3:$B$13))*Upgrades!$D$3:$D$13))</f>
        <v/>
      </c>
      <c r="T1522" s="66" t="str">
        <f>IFERROR(__xludf.DUMMYFUNCTION("IF(COUNTA(Q1522:Q1673)=0,"""",IF(REGEXMATCH(INDEX(FILTER(Q$4:Q1522,Q$4:Q1522&lt;&gt;""""),ROWS(FILTER(Q$4:Q1522,Q$4:Q1522&lt;&gt;""""))),""^Sell_""),INDEX(FILTER(T$4:T1521,Q$4:Q1521&lt;&gt;""""),ROWS(FILTER(Q$4:Q1521,Q$4:Q1521&lt;&gt;""""))),$AD$5+S1522))"),"")</f>
        <v/>
      </c>
      <c r="U1522" s="10" t="str">
        <f>IFERROR(__xludf.DUMMYFUNCTION("IF(COUNTA(Q1522:Q1673)=0,"""",IF(Q1522="""",0,IF(REGEXMATCH(Q1522,""^Sell_""),-ROUNDDOWN(ROUNDUP(INDEX(Upgrades!$C$3:$C$13,MATCH(SUBSTITUTE(Q1522,""Sell_"",""""),Upgrades!$B$3:$B$13,0))*1.15^(COUNTIF(Q$4:Q1521,SUBSTITUTE(Q1522,""Sell_"",""""))-COUNTIF(Q$4"&amp;":Q1521,""Sell_""&amp;SUBSTITUTE(Q1522,""Sell_"",""""))))/2),ROUNDUP(INDEX(Upgrades!$C$3:$C$13,MATCH(Q1522,Upgrades!$B$3:$B$13,0))*1.15^(COUNTIF(Q$4:Q1521,Q1522)-COUNTIF(Q$4:Q1521,""Sell_""&amp;Q1522))))))"),"")</f>
        <v/>
      </c>
      <c r="V1522" s="10" t="str">
        <f t="shared" si="11"/>
        <v/>
      </c>
      <c r="W1522" s="68" t="str">
        <f t="shared" si="12"/>
        <v/>
      </c>
      <c r="X1522" s="59" t="str">
        <f t="shared" si="13"/>
        <v/>
      </c>
      <c r="Y1522" s="69" t="str">
        <f t="shared" si="14"/>
        <v/>
      </c>
      <c r="Z1522" s="11"/>
    </row>
    <row r="1523">
      <c r="A1523" s="8"/>
      <c r="B1523" s="56" t="str">
        <f t="shared" si="2"/>
        <v/>
      </c>
      <c r="C1523" s="105"/>
      <c r="D1523" s="10"/>
      <c r="E1523" s="59" t="str">
        <f t="array" ref="E1523">IF(COUNTA(C1523:C1673)=0,"",SUM((COUNTIF(C$4:C1523,Upgrades!$B$3:$B$13)-COUNTIF(C$4:C1523,"Sell_"&amp;Upgrades!$B$3:$B$13))*Upgrades!$D$3:$D$13))</f>
        <v/>
      </c>
      <c r="F1523" s="66" t="str">
        <f>IFERROR(__xludf.DUMMYFUNCTION("IF(COUNTA(C1523:C1673)=0,"""",IF(REGEXMATCH(INDEX(FILTER(C$4:C1523,C$4:C1523&lt;&gt;""""),ROWS(FILTER(C$4:C1523,C$4:C1523&lt;&gt;""""))),""^Sell_""),INDEX(FILTER(F$4:F1522,C$4:C1522&lt;&gt;""""),ROWS(FILTER(C$4:C1522,C$4:C1522&lt;&gt;""""))),$AC$5+E1523))"),"")</f>
        <v/>
      </c>
      <c r="G1523" s="10" t="str">
        <f>IFERROR(__xludf.DUMMYFUNCTION("IF(COUNTA(C1523:C1673)=0,"""",IF(C1523="""",0,IF(REGEXMATCH(C1523,""^Sell_""),-ROUNDDOWN(ROUNDUP(INDEX(Upgrades!$C$3:$C$13,MATCH(SUBSTITUTE(C1523,""Sell_"",""""),Upgrades!$B$3:$B$13,0))*1.15^(COUNTIF(C$4:C1522,SUBSTITUTE(C1523,""Sell_"",""""))-COUNTIF(C$4"&amp;":C1522,""Sell_""&amp;SUBSTITUTE(C1523,""Sell_"",""""))))/2),ROUNDUP(INDEX(Upgrades!$C$3:$C$13,MATCH(C1523,Upgrades!$B$3:$B$13,0))*1.15^(COUNTIF(C$4:C1522,C1523)-COUNTIF(C$4:C1522,""Sell_""&amp;C1523))))))"),"")</f>
        <v/>
      </c>
      <c r="H1523" s="10" t="str">
        <f t="shared" si="3"/>
        <v/>
      </c>
      <c r="I1523" s="68" t="str">
        <f t="shared" si="4"/>
        <v/>
      </c>
      <c r="J1523" s="59" t="str">
        <f t="shared" si="5"/>
        <v/>
      </c>
      <c r="K1523" s="69" t="str">
        <f t="shared" si="6"/>
        <v/>
      </c>
      <c r="L1523" s="60" t="str">
        <f t="shared" si="7"/>
        <v/>
      </c>
      <c r="M1523" s="61" t="str">
        <f>IFERROR(__xludf.DUMMYFUNCTION("IFS(AND(COUNTA(C1523:C1673)=0,COUNTA(Q1523:Q1673)=0),"""",OR(AND(K1523&gt;=1000000000,OR(Y1523&gt;=1000000000,COUNTA(Q1523:Q1673)=0)),OR(Y1523&gt;=1000000000,AND(COUNTA(C1523:C1673)=0,P$3=TRUE))),
ROUNDDOWN((AB$1-AC$1)*MAX(INDEX(T$4:T1673,MATCH(LARGE(FILTER(Y$4:Y1"&amp;"673,Y$4:Y1673&lt;1000000000),1),Y$4:Y1673)),INDEX(F$4:F1673,MATCH(LARGE(FILTER(K$4:K1673,K$4:K1673&lt;1000000000),1),K$4:K1673)))),AND(K1523&lt;1000000000,COUNTA(C1523:C1673)&gt;0,P$3=FALSE),
ROUNDDOWN(INDEX(Y$4:Y1673,MATCH(LARGE(FILTER(W$4:W1673,W$4:W1673&lt;=I1523),1)"&amp;",W$4:W1673))+(I1523-LARGE(FILTER(W$4:W1673,W$4:W1673&lt;=I1523),1))*INDEX(T$4:T1673,MATCH(LARGE(FILTER(W$4:W1673,W$4:W1673&lt;=I1523),1),W$4:W1673))-K1523),1,
ROUNDDOWN(Y1523-INDEX(K$4:K1673,MATCH(LARGE(FILTER(I$4:I1673,I$4:I1673&lt;=W1523),1),I$4:I1673))-(W1523-L"&amp;"ARGE(FILTER(I$4:I1673,I$4:I1673&lt;=W1523),1))*INDEX(F$4:F1673,MATCH(LARGE(FILTER(I$4:I1673,I$4:I1673&lt;=W1523),1),I$4:I1673))))"),"")</f>
        <v/>
      </c>
      <c r="N1523" s="60" t="str">
        <f t="shared" si="8"/>
        <v/>
      </c>
      <c r="O1523" s="61" t="str">
        <f t="shared" si="9"/>
        <v/>
      </c>
      <c r="P1523" s="56" t="str">
        <f t="shared" si="10"/>
        <v/>
      </c>
      <c r="Q1523" s="67"/>
      <c r="R1523" s="10"/>
      <c r="S1523" s="59" t="str">
        <f t="array" ref="S1523">IF(COUNTA(Q1523:Q1673)=0,"",SUM((COUNTIF(Q$4:Q1523,Upgrades!$B$3:$B$13)-COUNTIF(Q$4:Q1523,"Sell_"&amp;Upgrades!$B$3:$B$13))*Upgrades!$D$3:$D$13))</f>
        <v/>
      </c>
      <c r="T1523" s="66" t="str">
        <f>IFERROR(__xludf.DUMMYFUNCTION("IF(COUNTA(Q1523:Q1673)=0,"""",IF(REGEXMATCH(INDEX(FILTER(Q$4:Q1523,Q$4:Q1523&lt;&gt;""""),ROWS(FILTER(Q$4:Q1523,Q$4:Q1523&lt;&gt;""""))),""^Sell_""),INDEX(FILTER(T$4:T1522,Q$4:Q1522&lt;&gt;""""),ROWS(FILTER(Q$4:Q1522,Q$4:Q1522&lt;&gt;""""))),$AD$5+S1523))"),"")</f>
        <v/>
      </c>
      <c r="U1523" s="10" t="str">
        <f>IFERROR(__xludf.DUMMYFUNCTION("IF(COUNTA(Q1523:Q1673)=0,"""",IF(Q1523="""",0,IF(REGEXMATCH(Q1523,""^Sell_""),-ROUNDDOWN(ROUNDUP(INDEX(Upgrades!$C$3:$C$13,MATCH(SUBSTITUTE(Q1523,""Sell_"",""""),Upgrades!$B$3:$B$13,0))*1.15^(COUNTIF(Q$4:Q1522,SUBSTITUTE(Q1523,""Sell_"",""""))-COUNTIF(Q$4"&amp;":Q1522,""Sell_""&amp;SUBSTITUTE(Q1523,""Sell_"",""""))))/2),ROUNDUP(INDEX(Upgrades!$C$3:$C$13,MATCH(Q1523,Upgrades!$B$3:$B$13,0))*1.15^(COUNTIF(Q$4:Q1522,Q1523)-COUNTIF(Q$4:Q1522,""Sell_""&amp;Q1523))))))"),"")</f>
        <v/>
      </c>
      <c r="V1523" s="10" t="str">
        <f t="shared" si="11"/>
        <v/>
      </c>
      <c r="W1523" s="68" t="str">
        <f t="shared" si="12"/>
        <v/>
      </c>
      <c r="X1523" s="59" t="str">
        <f t="shared" si="13"/>
        <v/>
      </c>
      <c r="Y1523" s="69" t="str">
        <f t="shared" si="14"/>
        <v/>
      </c>
      <c r="Z1523" s="11"/>
    </row>
    <row r="1524">
      <c r="A1524" s="8"/>
      <c r="B1524" s="56" t="str">
        <f t="shared" si="2"/>
        <v/>
      </c>
      <c r="C1524" s="105"/>
      <c r="D1524" s="10"/>
      <c r="E1524" s="59" t="str">
        <f t="array" ref="E1524">IF(COUNTA(C1524:C1673)=0,"",SUM((COUNTIF(C$4:C1524,Upgrades!$B$3:$B$13)-COUNTIF(C$4:C1524,"Sell_"&amp;Upgrades!$B$3:$B$13))*Upgrades!$D$3:$D$13))</f>
        <v/>
      </c>
      <c r="F1524" s="66" t="str">
        <f>IFERROR(__xludf.DUMMYFUNCTION("IF(COUNTA(C1524:C1673)=0,"""",IF(REGEXMATCH(INDEX(FILTER(C$4:C1524,C$4:C1524&lt;&gt;""""),ROWS(FILTER(C$4:C1524,C$4:C1524&lt;&gt;""""))),""^Sell_""),INDEX(FILTER(F$4:F1523,C$4:C1523&lt;&gt;""""),ROWS(FILTER(C$4:C1523,C$4:C1523&lt;&gt;""""))),$AC$5+E1524))"),"")</f>
        <v/>
      </c>
      <c r="G1524" s="10" t="str">
        <f>IFERROR(__xludf.DUMMYFUNCTION("IF(COUNTA(C1524:C1673)=0,"""",IF(C1524="""",0,IF(REGEXMATCH(C1524,""^Sell_""),-ROUNDDOWN(ROUNDUP(INDEX(Upgrades!$C$3:$C$13,MATCH(SUBSTITUTE(C1524,""Sell_"",""""),Upgrades!$B$3:$B$13,0))*1.15^(COUNTIF(C$4:C1523,SUBSTITUTE(C1524,""Sell_"",""""))-COUNTIF(C$4"&amp;":C1523,""Sell_""&amp;SUBSTITUTE(C1524,""Sell_"",""""))))/2),ROUNDUP(INDEX(Upgrades!$C$3:$C$13,MATCH(C1524,Upgrades!$B$3:$B$13,0))*1.15^(COUNTIF(C$4:C1523,C1524)-COUNTIF(C$4:C1523,""Sell_""&amp;C1524))))))"),"")</f>
        <v/>
      </c>
      <c r="H1524" s="10" t="str">
        <f t="shared" si="3"/>
        <v/>
      </c>
      <c r="I1524" s="68" t="str">
        <f t="shared" si="4"/>
        <v/>
      </c>
      <c r="J1524" s="59" t="str">
        <f t="shared" si="5"/>
        <v/>
      </c>
      <c r="K1524" s="69" t="str">
        <f t="shared" si="6"/>
        <v/>
      </c>
      <c r="L1524" s="60" t="str">
        <f t="shared" si="7"/>
        <v/>
      </c>
      <c r="M1524" s="61" t="str">
        <f>IFERROR(__xludf.DUMMYFUNCTION("IFS(AND(COUNTA(C1524:C1673)=0,COUNTA(Q1524:Q1673)=0),"""",OR(AND(K1524&gt;=1000000000,OR(Y1524&gt;=1000000000,COUNTA(Q1524:Q1673)=0)),OR(Y1524&gt;=1000000000,AND(COUNTA(C1524:C1673)=0,P$3=TRUE))),
ROUNDDOWN((AB$1-AC$1)*MAX(INDEX(T$4:T1673,MATCH(LARGE(FILTER(Y$4:Y1"&amp;"673,Y$4:Y1673&lt;1000000000),1),Y$4:Y1673)),INDEX(F$4:F1673,MATCH(LARGE(FILTER(K$4:K1673,K$4:K1673&lt;1000000000),1),K$4:K1673)))),AND(K1524&lt;1000000000,COUNTA(C1524:C1673)&gt;0,P$3=FALSE),
ROUNDDOWN(INDEX(Y$4:Y1673,MATCH(LARGE(FILTER(W$4:W1673,W$4:W1673&lt;=I1524),1)"&amp;",W$4:W1673))+(I1524-LARGE(FILTER(W$4:W1673,W$4:W1673&lt;=I1524),1))*INDEX(T$4:T1673,MATCH(LARGE(FILTER(W$4:W1673,W$4:W1673&lt;=I1524),1),W$4:W1673))-K1524),1,
ROUNDDOWN(Y1524-INDEX(K$4:K1673,MATCH(LARGE(FILTER(I$4:I1673,I$4:I1673&lt;=W1524),1),I$4:I1673))-(W1524-L"&amp;"ARGE(FILTER(I$4:I1673,I$4:I1673&lt;=W1524),1))*INDEX(F$4:F1673,MATCH(LARGE(FILTER(I$4:I1673,I$4:I1673&lt;=W1524),1),I$4:I1673))))"),"")</f>
        <v/>
      </c>
      <c r="N1524" s="60" t="str">
        <f t="shared" si="8"/>
        <v/>
      </c>
      <c r="O1524" s="61" t="str">
        <f t="shared" si="9"/>
        <v/>
      </c>
      <c r="P1524" s="56" t="str">
        <f t="shared" si="10"/>
        <v/>
      </c>
      <c r="Q1524" s="67"/>
      <c r="R1524" s="10"/>
      <c r="S1524" s="59" t="str">
        <f t="array" ref="S1524">IF(COUNTA(Q1524:Q1673)=0,"",SUM((COUNTIF(Q$4:Q1524,Upgrades!$B$3:$B$13)-COUNTIF(Q$4:Q1524,"Sell_"&amp;Upgrades!$B$3:$B$13))*Upgrades!$D$3:$D$13))</f>
        <v/>
      </c>
      <c r="T1524" s="66" t="str">
        <f>IFERROR(__xludf.DUMMYFUNCTION("IF(COUNTA(Q1524:Q1673)=0,"""",IF(REGEXMATCH(INDEX(FILTER(Q$4:Q1524,Q$4:Q1524&lt;&gt;""""),ROWS(FILTER(Q$4:Q1524,Q$4:Q1524&lt;&gt;""""))),""^Sell_""),INDEX(FILTER(T$4:T1523,Q$4:Q1523&lt;&gt;""""),ROWS(FILTER(Q$4:Q1523,Q$4:Q1523&lt;&gt;""""))),$AD$5+S1524))"),"")</f>
        <v/>
      </c>
      <c r="U1524" s="10" t="str">
        <f>IFERROR(__xludf.DUMMYFUNCTION("IF(COUNTA(Q1524:Q1673)=0,"""",IF(Q1524="""",0,IF(REGEXMATCH(Q1524,""^Sell_""),-ROUNDDOWN(ROUNDUP(INDEX(Upgrades!$C$3:$C$13,MATCH(SUBSTITUTE(Q1524,""Sell_"",""""),Upgrades!$B$3:$B$13,0))*1.15^(COUNTIF(Q$4:Q1523,SUBSTITUTE(Q1524,""Sell_"",""""))-COUNTIF(Q$4"&amp;":Q1523,""Sell_""&amp;SUBSTITUTE(Q1524,""Sell_"",""""))))/2),ROUNDUP(INDEX(Upgrades!$C$3:$C$13,MATCH(Q1524,Upgrades!$B$3:$B$13,0))*1.15^(COUNTIF(Q$4:Q1523,Q1524)-COUNTIF(Q$4:Q1523,""Sell_""&amp;Q1524))))))"),"")</f>
        <v/>
      </c>
      <c r="V1524" s="10" t="str">
        <f t="shared" si="11"/>
        <v/>
      </c>
      <c r="W1524" s="68" t="str">
        <f t="shared" si="12"/>
        <v/>
      </c>
      <c r="X1524" s="59" t="str">
        <f t="shared" si="13"/>
        <v/>
      </c>
      <c r="Y1524" s="69" t="str">
        <f t="shared" si="14"/>
        <v/>
      </c>
      <c r="Z1524" s="11"/>
    </row>
    <row r="1525">
      <c r="A1525" s="8"/>
      <c r="B1525" s="56" t="str">
        <f t="shared" si="2"/>
        <v/>
      </c>
      <c r="C1525" s="105"/>
      <c r="D1525" s="10"/>
      <c r="E1525" s="59" t="str">
        <f t="array" ref="E1525">IF(COUNTA(C1525:C1673)=0,"",SUM((COUNTIF(C$4:C1525,Upgrades!$B$3:$B$13)-COUNTIF(C$4:C1525,"Sell_"&amp;Upgrades!$B$3:$B$13))*Upgrades!$D$3:$D$13))</f>
        <v/>
      </c>
      <c r="F1525" s="66" t="str">
        <f>IFERROR(__xludf.DUMMYFUNCTION("IF(COUNTA(C1525:C1673)=0,"""",IF(REGEXMATCH(INDEX(FILTER(C$4:C1525,C$4:C1525&lt;&gt;""""),ROWS(FILTER(C$4:C1525,C$4:C1525&lt;&gt;""""))),""^Sell_""),INDEX(FILTER(F$4:F1524,C$4:C1524&lt;&gt;""""),ROWS(FILTER(C$4:C1524,C$4:C1524&lt;&gt;""""))),$AC$5+E1525))"),"")</f>
        <v/>
      </c>
      <c r="G1525" s="10" t="str">
        <f>IFERROR(__xludf.DUMMYFUNCTION("IF(COUNTA(C1525:C1673)=0,"""",IF(C1525="""",0,IF(REGEXMATCH(C1525,""^Sell_""),-ROUNDDOWN(ROUNDUP(INDEX(Upgrades!$C$3:$C$13,MATCH(SUBSTITUTE(C1525,""Sell_"",""""),Upgrades!$B$3:$B$13,0))*1.15^(COUNTIF(C$4:C1524,SUBSTITUTE(C1525,""Sell_"",""""))-COUNTIF(C$4"&amp;":C1524,""Sell_""&amp;SUBSTITUTE(C1525,""Sell_"",""""))))/2),ROUNDUP(INDEX(Upgrades!$C$3:$C$13,MATCH(C1525,Upgrades!$B$3:$B$13,0))*1.15^(COUNTIF(C$4:C1524,C1525)-COUNTIF(C$4:C1524,""Sell_""&amp;C1525))))))"),"")</f>
        <v/>
      </c>
      <c r="H1525" s="10" t="str">
        <f t="shared" si="3"/>
        <v/>
      </c>
      <c r="I1525" s="68" t="str">
        <f t="shared" si="4"/>
        <v/>
      </c>
      <c r="J1525" s="59" t="str">
        <f t="shared" si="5"/>
        <v/>
      </c>
      <c r="K1525" s="69" t="str">
        <f t="shared" si="6"/>
        <v/>
      </c>
      <c r="L1525" s="60" t="str">
        <f t="shared" si="7"/>
        <v/>
      </c>
      <c r="M1525" s="61" t="str">
        <f>IFERROR(__xludf.DUMMYFUNCTION("IFS(AND(COUNTA(C1525:C1673)=0,COUNTA(Q1525:Q1673)=0),"""",OR(AND(K1525&gt;=1000000000,OR(Y1525&gt;=1000000000,COUNTA(Q1525:Q1673)=0)),OR(Y1525&gt;=1000000000,AND(COUNTA(C1525:C1673)=0,P$3=TRUE))),
ROUNDDOWN((AB$1-AC$1)*MAX(INDEX(T$4:T1673,MATCH(LARGE(FILTER(Y$4:Y1"&amp;"673,Y$4:Y1673&lt;1000000000),1),Y$4:Y1673)),INDEX(F$4:F1673,MATCH(LARGE(FILTER(K$4:K1673,K$4:K1673&lt;1000000000),1),K$4:K1673)))),AND(K1525&lt;1000000000,COUNTA(C1525:C1673)&gt;0,P$3=FALSE),
ROUNDDOWN(INDEX(Y$4:Y1673,MATCH(LARGE(FILTER(W$4:W1673,W$4:W1673&lt;=I1525),1)"&amp;",W$4:W1673))+(I1525-LARGE(FILTER(W$4:W1673,W$4:W1673&lt;=I1525),1))*INDEX(T$4:T1673,MATCH(LARGE(FILTER(W$4:W1673,W$4:W1673&lt;=I1525),1),W$4:W1673))-K1525),1,
ROUNDDOWN(Y1525-INDEX(K$4:K1673,MATCH(LARGE(FILTER(I$4:I1673,I$4:I1673&lt;=W1525),1),I$4:I1673))-(W1525-L"&amp;"ARGE(FILTER(I$4:I1673,I$4:I1673&lt;=W1525),1))*INDEX(F$4:F1673,MATCH(LARGE(FILTER(I$4:I1673,I$4:I1673&lt;=W1525),1),I$4:I1673))))"),"")</f>
        <v/>
      </c>
      <c r="N1525" s="60" t="str">
        <f t="shared" si="8"/>
        <v/>
      </c>
      <c r="O1525" s="61" t="str">
        <f t="shared" si="9"/>
        <v/>
      </c>
      <c r="P1525" s="56" t="str">
        <f t="shared" si="10"/>
        <v/>
      </c>
      <c r="Q1525" s="67"/>
      <c r="R1525" s="10"/>
      <c r="S1525" s="59" t="str">
        <f t="array" ref="S1525">IF(COUNTA(Q1525:Q1673)=0,"",SUM((COUNTIF(Q$4:Q1525,Upgrades!$B$3:$B$13)-COUNTIF(Q$4:Q1525,"Sell_"&amp;Upgrades!$B$3:$B$13))*Upgrades!$D$3:$D$13))</f>
        <v/>
      </c>
      <c r="T1525" s="66" t="str">
        <f>IFERROR(__xludf.DUMMYFUNCTION("IF(COUNTA(Q1525:Q1673)=0,"""",IF(REGEXMATCH(INDEX(FILTER(Q$4:Q1525,Q$4:Q1525&lt;&gt;""""),ROWS(FILTER(Q$4:Q1525,Q$4:Q1525&lt;&gt;""""))),""^Sell_""),INDEX(FILTER(T$4:T1524,Q$4:Q1524&lt;&gt;""""),ROWS(FILTER(Q$4:Q1524,Q$4:Q1524&lt;&gt;""""))),$AD$5+S1525))"),"")</f>
        <v/>
      </c>
      <c r="U1525" s="10" t="str">
        <f>IFERROR(__xludf.DUMMYFUNCTION("IF(COUNTA(Q1525:Q1673)=0,"""",IF(Q1525="""",0,IF(REGEXMATCH(Q1525,""^Sell_""),-ROUNDDOWN(ROUNDUP(INDEX(Upgrades!$C$3:$C$13,MATCH(SUBSTITUTE(Q1525,""Sell_"",""""),Upgrades!$B$3:$B$13,0))*1.15^(COUNTIF(Q$4:Q1524,SUBSTITUTE(Q1525,""Sell_"",""""))-COUNTIF(Q$4"&amp;":Q1524,""Sell_""&amp;SUBSTITUTE(Q1525,""Sell_"",""""))))/2),ROUNDUP(INDEX(Upgrades!$C$3:$C$13,MATCH(Q1525,Upgrades!$B$3:$B$13,0))*1.15^(COUNTIF(Q$4:Q1524,Q1525)-COUNTIF(Q$4:Q1524,""Sell_""&amp;Q1525))))))"),"")</f>
        <v/>
      </c>
      <c r="V1525" s="10" t="str">
        <f t="shared" si="11"/>
        <v/>
      </c>
      <c r="W1525" s="68" t="str">
        <f t="shared" si="12"/>
        <v/>
      </c>
      <c r="X1525" s="59" t="str">
        <f t="shared" si="13"/>
        <v/>
      </c>
      <c r="Y1525" s="69" t="str">
        <f t="shared" si="14"/>
        <v/>
      </c>
      <c r="Z1525" s="11"/>
    </row>
    <row r="1526">
      <c r="A1526" s="8"/>
      <c r="B1526" s="56" t="str">
        <f t="shared" si="2"/>
        <v/>
      </c>
      <c r="C1526" s="105"/>
      <c r="D1526" s="10"/>
      <c r="E1526" s="59" t="str">
        <f t="array" ref="E1526">IF(COUNTA(C1526:C1673)=0,"",SUM((COUNTIF(C$4:C1526,Upgrades!$B$3:$B$13)-COUNTIF(C$4:C1526,"Sell_"&amp;Upgrades!$B$3:$B$13))*Upgrades!$D$3:$D$13))</f>
        <v/>
      </c>
      <c r="F1526" s="66" t="str">
        <f>IFERROR(__xludf.DUMMYFUNCTION("IF(COUNTA(C1526:C1673)=0,"""",IF(REGEXMATCH(INDEX(FILTER(C$4:C1526,C$4:C1526&lt;&gt;""""),ROWS(FILTER(C$4:C1526,C$4:C1526&lt;&gt;""""))),""^Sell_""),INDEX(FILTER(F$4:F1525,C$4:C1525&lt;&gt;""""),ROWS(FILTER(C$4:C1525,C$4:C1525&lt;&gt;""""))),$AC$5+E1526))"),"")</f>
        <v/>
      </c>
      <c r="G1526" s="10" t="str">
        <f>IFERROR(__xludf.DUMMYFUNCTION("IF(COUNTA(C1526:C1673)=0,"""",IF(C1526="""",0,IF(REGEXMATCH(C1526,""^Sell_""),-ROUNDDOWN(ROUNDUP(INDEX(Upgrades!$C$3:$C$13,MATCH(SUBSTITUTE(C1526,""Sell_"",""""),Upgrades!$B$3:$B$13,0))*1.15^(COUNTIF(C$4:C1525,SUBSTITUTE(C1526,""Sell_"",""""))-COUNTIF(C$4"&amp;":C1525,""Sell_""&amp;SUBSTITUTE(C1526,""Sell_"",""""))))/2),ROUNDUP(INDEX(Upgrades!$C$3:$C$13,MATCH(C1526,Upgrades!$B$3:$B$13,0))*1.15^(COUNTIF(C$4:C1525,C1526)-COUNTIF(C$4:C1525,""Sell_""&amp;C1526))))))"),"")</f>
        <v/>
      </c>
      <c r="H1526" s="10" t="str">
        <f t="shared" si="3"/>
        <v/>
      </c>
      <c r="I1526" s="68" t="str">
        <f t="shared" si="4"/>
        <v/>
      </c>
      <c r="J1526" s="59" t="str">
        <f t="shared" si="5"/>
        <v/>
      </c>
      <c r="K1526" s="69" t="str">
        <f t="shared" si="6"/>
        <v/>
      </c>
      <c r="L1526" s="60" t="str">
        <f t="shared" si="7"/>
        <v/>
      </c>
      <c r="M1526" s="61" t="str">
        <f>IFERROR(__xludf.DUMMYFUNCTION("IFS(AND(COUNTA(C1526:C1673)=0,COUNTA(Q1526:Q1673)=0),"""",OR(AND(K1526&gt;=1000000000,OR(Y1526&gt;=1000000000,COUNTA(Q1526:Q1673)=0)),OR(Y1526&gt;=1000000000,AND(COUNTA(C1526:C1673)=0,P$3=TRUE))),
ROUNDDOWN((AB$1-AC$1)*MAX(INDEX(T$4:T1673,MATCH(LARGE(FILTER(Y$4:Y1"&amp;"673,Y$4:Y1673&lt;1000000000),1),Y$4:Y1673)),INDEX(F$4:F1673,MATCH(LARGE(FILTER(K$4:K1673,K$4:K1673&lt;1000000000),1),K$4:K1673)))),AND(K1526&lt;1000000000,COUNTA(C1526:C1673)&gt;0,P$3=FALSE),
ROUNDDOWN(INDEX(Y$4:Y1673,MATCH(LARGE(FILTER(W$4:W1673,W$4:W1673&lt;=I1526),1)"&amp;",W$4:W1673))+(I1526-LARGE(FILTER(W$4:W1673,W$4:W1673&lt;=I1526),1))*INDEX(T$4:T1673,MATCH(LARGE(FILTER(W$4:W1673,W$4:W1673&lt;=I1526),1),W$4:W1673))-K1526),1,
ROUNDDOWN(Y1526-INDEX(K$4:K1673,MATCH(LARGE(FILTER(I$4:I1673,I$4:I1673&lt;=W1526),1),I$4:I1673))-(W1526-L"&amp;"ARGE(FILTER(I$4:I1673,I$4:I1673&lt;=W1526),1))*INDEX(F$4:F1673,MATCH(LARGE(FILTER(I$4:I1673,I$4:I1673&lt;=W1526),1),I$4:I1673))))"),"")</f>
        <v/>
      </c>
      <c r="N1526" s="60" t="str">
        <f t="shared" si="8"/>
        <v/>
      </c>
      <c r="O1526" s="61" t="str">
        <f t="shared" si="9"/>
        <v/>
      </c>
      <c r="P1526" s="56" t="str">
        <f t="shared" si="10"/>
        <v/>
      </c>
      <c r="Q1526" s="67"/>
      <c r="R1526" s="10"/>
      <c r="S1526" s="59" t="str">
        <f t="array" ref="S1526">IF(COUNTA(Q1526:Q1673)=0,"",SUM((COUNTIF(Q$4:Q1526,Upgrades!$B$3:$B$13)-COUNTIF(Q$4:Q1526,"Sell_"&amp;Upgrades!$B$3:$B$13))*Upgrades!$D$3:$D$13))</f>
        <v/>
      </c>
      <c r="T1526" s="66" t="str">
        <f>IFERROR(__xludf.DUMMYFUNCTION("IF(COUNTA(Q1526:Q1673)=0,"""",IF(REGEXMATCH(INDEX(FILTER(Q$4:Q1526,Q$4:Q1526&lt;&gt;""""),ROWS(FILTER(Q$4:Q1526,Q$4:Q1526&lt;&gt;""""))),""^Sell_""),INDEX(FILTER(T$4:T1525,Q$4:Q1525&lt;&gt;""""),ROWS(FILTER(Q$4:Q1525,Q$4:Q1525&lt;&gt;""""))),$AD$5+S1526))"),"")</f>
        <v/>
      </c>
      <c r="U1526" s="10" t="str">
        <f>IFERROR(__xludf.DUMMYFUNCTION("IF(COUNTA(Q1526:Q1673)=0,"""",IF(Q1526="""",0,IF(REGEXMATCH(Q1526,""^Sell_""),-ROUNDDOWN(ROUNDUP(INDEX(Upgrades!$C$3:$C$13,MATCH(SUBSTITUTE(Q1526,""Sell_"",""""),Upgrades!$B$3:$B$13,0))*1.15^(COUNTIF(Q$4:Q1525,SUBSTITUTE(Q1526,""Sell_"",""""))-COUNTIF(Q$4"&amp;":Q1525,""Sell_""&amp;SUBSTITUTE(Q1526,""Sell_"",""""))))/2),ROUNDUP(INDEX(Upgrades!$C$3:$C$13,MATCH(Q1526,Upgrades!$B$3:$B$13,0))*1.15^(COUNTIF(Q$4:Q1525,Q1526)-COUNTIF(Q$4:Q1525,""Sell_""&amp;Q1526))))))"),"")</f>
        <v/>
      </c>
      <c r="V1526" s="10" t="str">
        <f t="shared" si="11"/>
        <v/>
      </c>
      <c r="W1526" s="68" t="str">
        <f t="shared" si="12"/>
        <v/>
      </c>
      <c r="X1526" s="59" t="str">
        <f t="shared" si="13"/>
        <v/>
      </c>
      <c r="Y1526" s="69" t="str">
        <f t="shared" si="14"/>
        <v/>
      </c>
      <c r="Z1526" s="11"/>
    </row>
    <row r="1527">
      <c r="A1527" s="8"/>
      <c r="B1527" s="56" t="str">
        <f t="shared" si="2"/>
        <v/>
      </c>
      <c r="C1527" s="105"/>
      <c r="D1527" s="10"/>
      <c r="E1527" s="59" t="str">
        <f t="array" ref="E1527">IF(COUNTA(C1527:C1673)=0,"",SUM((COUNTIF(C$4:C1527,Upgrades!$B$3:$B$13)-COUNTIF(C$4:C1527,"Sell_"&amp;Upgrades!$B$3:$B$13))*Upgrades!$D$3:$D$13))</f>
        <v/>
      </c>
      <c r="F1527" s="66" t="str">
        <f>IFERROR(__xludf.DUMMYFUNCTION("IF(COUNTA(C1527:C1673)=0,"""",IF(REGEXMATCH(INDEX(FILTER(C$4:C1527,C$4:C1527&lt;&gt;""""),ROWS(FILTER(C$4:C1527,C$4:C1527&lt;&gt;""""))),""^Sell_""),INDEX(FILTER(F$4:F1526,C$4:C1526&lt;&gt;""""),ROWS(FILTER(C$4:C1526,C$4:C1526&lt;&gt;""""))),$AC$5+E1527))"),"")</f>
        <v/>
      </c>
      <c r="G1527" s="10" t="str">
        <f>IFERROR(__xludf.DUMMYFUNCTION("IF(COUNTA(C1527:C1673)=0,"""",IF(C1527="""",0,IF(REGEXMATCH(C1527,""^Sell_""),-ROUNDDOWN(ROUNDUP(INDEX(Upgrades!$C$3:$C$13,MATCH(SUBSTITUTE(C1527,""Sell_"",""""),Upgrades!$B$3:$B$13,0))*1.15^(COUNTIF(C$4:C1526,SUBSTITUTE(C1527,""Sell_"",""""))-COUNTIF(C$4"&amp;":C1526,""Sell_""&amp;SUBSTITUTE(C1527,""Sell_"",""""))))/2),ROUNDUP(INDEX(Upgrades!$C$3:$C$13,MATCH(C1527,Upgrades!$B$3:$B$13,0))*1.15^(COUNTIF(C$4:C1526,C1527)-COUNTIF(C$4:C1526,""Sell_""&amp;C1527))))))"),"")</f>
        <v/>
      </c>
      <c r="H1527" s="10" t="str">
        <f t="shared" si="3"/>
        <v/>
      </c>
      <c r="I1527" s="68" t="str">
        <f t="shared" si="4"/>
        <v/>
      </c>
      <c r="J1527" s="59" t="str">
        <f t="shared" si="5"/>
        <v/>
      </c>
      <c r="K1527" s="69" t="str">
        <f t="shared" si="6"/>
        <v/>
      </c>
      <c r="L1527" s="60" t="str">
        <f t="shared" si="7"/>
        <v/>
      </c>
      <c r="M1527" s="61" t="str">
        <f>IFERROR(__xludf.DUMMYFUNCTION("IFS(AND(COUNTA(C1527:C1673)=0,COUNTA(Q1527:Q1673)=0),"""",OR(AND(K1527&gt;=1000000000,OR(Y1527&gt;=1000000000,COUNTA(Q1527:Q1673)=0)),OR(Y1527&gt;=1000000000,AND(COUNTA(C1527:C1673)=0,P$3=TRUE))),
ROUNDDOWN((AB$1-AC$1)*MAX(INDEX(T$4:T1673,MATCH(LARGE(FILTER(Y$4:Y1"&amp;"673,Y$4:Y1673&lt;1000000000),1),Y$4:Y1673)),INDEX(F$4:F1673,MATCH(LARGE(FILTER(K$4:K1673,K$4:K1673&lt;1000000000),1),K$4:K1673)))),AND(K1527&lt;1000000000,COUNTA(C1527:C1673)&gt;0,P$3=FALSE),
ROUNDDOWN(INDEX(Y$4:Y1673,MATCH(LARGE(FILTER(W$4:W1673,W$4:W1673&lt;=I1527),1)"&amp;",W$4:W1673))+(I1527-LARGE(FILTER(W$4:W1673,W$4:W1673&lt;=I1527),1))*INDEX(T$4:T1673,MATCH(LARGE(FILTER(W$4:W1673,W$4:W1673&lt;=I1527),1),W$4:W1673))-K1527),1,
ROUNDDOWN(Y1527-INDEX(K$4:K1673,MATCH(LARGE(FILTER(I$4:I1673,I$4:I1673&lt;=W1527),1),I$4:I1673))-(W1527-L"&amp;"ARGE(FILTER(I$4:I1673,I$4:I1673&lt;=W1527),1))*INDEX(F$4:F1673,MATCH(LARGE(FILTER(I$4:I1673,I$4:I1673&lt;=W1527),1),I$4:I1673))))"),"")</f>
        <v/>
      </c>
      <c r="N1527" s="60" t="str">
        <f t="shared" si="8"/>
        <v/>
      </c>
      <c r="O1527" s="61" t="str">
        <f t="shared" si="9"/>
        <v/>
      </c>
      <c r="P1527" s="56" t="str">
        <f t="shared" si="10"/>
        <v/>
      </c>
      <c r="Q1527" s="67"/>
      <c r="R1527" s="10"/>
      <c r="S1527" s="59" t="str">
        <f t="array" ref="S1527">IF(COUNTA(Q1527:Q1673)=0,"",SUM((COUNTIF(Q$4:Q1527,Upgrades!$B$3:$B$13)-COUNTIF(Q$4:Q1527,"Sell_"&amp;Upgrades!$B$3:$B$13))*Upgrades!$D$3:$D$13))</f>
        <v/>
      </c>
      <c r="T1527" s="66" t="str">
        <f>IFERROR(__xludf.DUMMYFUNCTION("IF(COUNTA(Q1527:Q1673)=0,"""",IF(REGEXMATCH(INDEX(FILTER(Q$4:Q1527,Q$4:Q1527&lt;&gt;""""),ROWS(FILTER(Q$4:Q1527,Q$4:Q1527&lt;&gt;""""))),""^Sell_""),INDEX(FILTER(T$4:T1526,Q$4:Q1526&lt;&gt;""""),ROWS(FILTER(Q$4:Q1526,Q$4:Q1526&lt;&gt;""""))),$AD$5+S1527))"),"")</f>
        <v/>
      </c>
      <c r="U1527" s="10" t="str">
        <f>IFERROR(__xludf.DUMMYFUNCTION("IF(COUNTA(Q1527:Q1673)=0,"""",IF(Q1527="""",0,IF(REGEXMATCH(Q1527,""^Sell_""),-ROUNDDOWN(ROUNDUP(INDEX(Upgrades!$C$3:$C$13,MATCH(SUBSTITUTE(Q1527,""Sell_"",""""),Upgrades!$B$3:$B$13,0))*1.15^(COUNTIF(Q$4:Q1526,SUBSTITUTE(Q1527,""Sell_"",""""))-COUNTIF(Q$4"&amp;":Q1526,""Sell_""&amp;SUBSTITUTE(Q1527,""Sell_"",""""))))/2),ROUNDUP(INDEX(Upgrades!$C$3:$C$13,MATCH(Q1527,Upgrades!$B$3:$B$13,0))*1.15^(COUNTIF(Q$4:Q1526,Q1527)-COUNTIF(Q$4:Q1526,""Sell_""&amp;Q1527))))))"),"")</f>
        <v/>
      </c>
      <c r="V1527" s="10" t="str">
        <f t="shared" si="11"/>
        <v/>
      </c>
      <c r="W1527" s="68" t="str">
        <f t="shared" si="12"/>
        <v/>
      </c>
      <c r="X1527" s="59" t="str">
        <f t="shared" si="13"/>
        <v/>
      </c>
      <c r="Y1527" s="69" t="str">
        <f t="shared" si="14"/>
        <v/>
      </c>
      <c r="Z1527" s="11"/>
    </row>
    <row r="1528">
      <c r="A1528" s="8"/>
      <c r="B1528" s="56" t="str">
        <f t="shared" si="2"/>
        <v/>
      </c>
      <c r="C1528" s="105"/>
      <c r="D1528" s="10"/>
      <c r="E1528" s="59" t="str">
        <f t="array" ref="E1528">IF(COUNTA(C1528:C1673)=0,"",SUM((COUNTIF(C$4:C1528,Upgrades!$B$3:$B$13)-COUNTIF(C$4:C1528,"Sell_"&amp;Upgrades!$B$3:$B$13))*Upgrades!$D$3:$D$13))</f>
        <v/>
      </c>
      <c r="F1528" s="66" t="str">
        <f>IFERROR(__xludf.DUMMYFUNCTION("IF(COUNTA(C1528:C1673)=0,"""",IF(REGEXMATCH(INDEX(FILTER(C$4:C1528,C$4:C1528&lt;&gt;""""),ROWS(FILTER(C$4:C1528,C$4:C1528&lt;&gt;""""))),""^Sell_""),INDEX(FILTER(F$4:F1527,C$4:C1527&lt;&gt;""""),ROWS(FILTER(C$4:C1527,C$4:C1527&lt;&gt;""""))),$AC$5+E1528))"),"")</f>
        <v/>
      </c>
      <c r="G1528" s="10" t="str">
        <f>IFERROR(__xludf.DUMMYFUNCTION("IF(COUNTA(C1528:C1673)=0,"""",IF(C1528="""",0,IF(REGEXMATCH(C1528,""^Sell_""),-ROUNDDOWN(ROUNDUP(INDEX(Upgrades!$C$3:$C$13,MATCH(SUBSTITUTE(C1528,""Sell_"",""""),Upgrades!$B$3:$B$13,0))*1.15^(COUNTIF(C$4:C1527,SUBSTITUTE(C1528,""Sell_"",""""))-COUNTIF(C$4"&amp;":C1527,""Sell_""&amp;SUBSTITUTE(C1528,""Sell_"",""""))))/2),ROUNDUP(INDEX(Upgrades!$C$3:$C$13,MATCH(C1528,Upgrades!$B$3:$B$13,0))*1.15^(COUNTIF(C$4:C1527,C1528)-COUNTIF(C$4:C1527,""Sell_""&amp;C1528))))))"),"")</f>
        <v/>
      </c>
      <c r="H1528" s="10" t="str">
        <f t="shared" si="3"/>
        <v/>
      </c>
      <c r="I1528" s="68" t="str">
        <f t="shared" si="4"/>
        <v/>
      </c>
      <c r="J1528" s="59" t="str">
        <f t="shared" si="5"/>
        <v/>
      </c>
      <c r="K1528" s="69" t="str">
        <f t="shared" si="6"/>
        <v/>
      </c>
      <c r="L1528" s="60" t="str">
        <f t="shared" si="7"/>
        <v/>
      </c>
      <c r="M1528" s="61" t="str">
        <f>IFERROR(__xludf.DUMMYFUNCTION("IFS(AND(COUNTA(C1528:C1673)=0,COUNTA(Q1528:Q1673)=0),"""",OR(AND(K1528&gt;=1000000000,OR(Y1528&gt;=1000000000,COUNTA(Q1528:Q1673)=0)),OR(Y1528&gt;=1000000000,AND(COUNTA(C1528:C1673)=0,P$3=TRUE))),
ROUNDDOWN((AB$1-AC$1)*MAX(INDEX(T$4:T1673,MATCH(LARGE(FILTER(Y$4:Y1"&amp;"673,Y$4:Y1673&lt;1000000000),1),Y$4:Y1673)),INDEX(F$4:F1673,MATCH(LARGE(FILTER(K$4:K1673,K$4:K1673&lt;1000000000),1),K$4:K1673)))),AND(K1528&lt;1000000000,COUNTA(C1528:C1673)&gt;0,P$3=FALSE),
ROUNDDOWN(INDEX(Y$4:Y1673,MATCH(LARGE(FILTER(W$4:W1673,W$4:W1673&lt;=I1528),1)"&amp;",W$4:W1673))+(I1528-LARGE(FILTER(W$4:W1673,W$4:W1673&lt;=I1528),1))*INDEX(T$4:T1673,MATCH(LARGE(FILTER(W$4:W1673,W$4:W1673&lt;=I1528),1),W$4:W1673))-K1528),1,
ROUNDDOWN(Y1528-INDEX(K$4:K1673,MATCH(LARGE(FILTER(I$4:I1673,I$4:I1673&lt;=W1528),1),I$4:I1673))-(W1528-L"&amp;"ARGE(FILTER(I$4:I1673,I$4:I1673&lt;=W1528),1))*INDEX(F$4:F1673,MATCH(LARGE(FILTER(I$4:I1673,I$4:I1673&lt;=W1528),1),I$4:I1673))))"),"")</f>
        <v/>
      </c>
      <c r="N1528" s="60" t="str">
        <f t="shared" si="8"/>
        <v/>
      </c>
      <c r="O1528" s="61" t="str">
        <f t="shared" si="9"/>
        <v/>
      </c>
      <c r="P1528" s="56" t="str">
        <f t="shared" si="10"/>
        <v/>
      </c>
      <c r="Q1528" s="67"/>
      <c r="R1528" s="10"/>
      <c r="S1528" s="59" t="str">
        <f t="array" ref="S1528">IF(COUNTA(Q1528:Q1673)=0,"",SUM((COUNTIF(Q$4:Q1528,Upgrades!$B$3:$B$13)-COUNTIF(Q$4:Q1528,"Sell_"&amp;Upgrades!$B$3:$B$13))*Upgrades!$D$3:$D$13))</f>
        <v/>
      </c>
      <c r="T1528" s="66" t="str">
        <f>IFERROR(__xludf.DUMMYFUNCTION("IF(COUNTA(Q1528:Q1673)=0,"""",IF(REGEXMATCH(INDEX(FILTER(Q$4:Q1528,Q$4:Q1528&lt;&gt;""""),ROWS(FILTER(Q$4:Q1528,Q$4:Q1528&lt;&gt;""""))),""^Sell_""),INDEX(FILTER(T$4:T1527,Q$4:Q1527&lt;&gt;""""),ROWS(FILTER(Q$4:Q1527,Q$4:Q1527&lt;&gt;""""))),$AD$5+S1528))"),"")</f>
        <v/>
      </c>
      <c r="U1528" s="10" t="str">
        <f>IFERROR(__xludf.DUMMYFUNCTION("IF(COUNTA(Q1528:Q1673)=0,"""",IF(Q1528="""",0,IF(REGEXMATCH(Q1528,""^Sell_""),-ROUNDDOWN(ROUNDUP(INDEX(Upgrades!$C$3:$C$13,MATCH(SUBSTITUTE(Q1528,""Sell_"",""""),Upgrades!$B$3:$B$13,0))*1.15^(COUNTIF(Q$4:Q1527,SUBSTITUTE(Q1528,""Sell_"",""""))-COUNTIF(Q$4"&amp;":Q1527,""Sell_""&amp;SUBSTITUTE(Q1528,""Sell_"",""""))))/2),ROUNDUP(INDEX(Upgrades!$C$3:$C$13,MATCH(Q1528,Upgrades!$B$3:$B$13,0))*1.15^(COUNTIF(Q$4:Q1527,Q1528)-COUNTIF(Q$4:Q1527,""Sell_""&amp;Q1528))))))"),"")</f>
        <v/>
      </c>
      <c r="V1528" s="10" t="str">
        <f t="shared" si="11"/>
        <v/>
      </c>
      <c r="W1528" s="68" t="str">
        <f t="shared" si="12"/>
        <v/>
      </c>
      <c r="X1528" s="59" t="str">
        <f t="shared" si="13"/>
        <v/>
      </c>
      <c r="Y1528" s="69" t="str">
        <f t="shared" si="14"/>
        <v/>
      </c>
      <c r="Z1528" s="11"/>
    </row>
    <row r="1529">
      <c r="A1529" s="8"/>
      <c r="B1529" s="56" t="str">
        <f t="shared" si="2"/>
        <v/>
      </c>
      <c r="C1529" s="105"/>
      <c r="D1529" s="10"/>
      <c r="E1529" s="59" t="str">
        <f t="array" ref="E1529">IF(COUNTA(C1529:C1673)=0,"",SUM((COUNTIF(C$4:C1529,Upgrades!$B$3:$B$13)-COUNTIF(C$4:C1529,"Sell_"&amp;Upgrades!$B$3:$B$13))*Upgrades!$D$3:$D$13))</f>
        <v/>
      </c>
      <c r="F1529" s="66" t="str">
        <f>IFERROR(__xludf.DUMMYFUNCTION("IF(COUNTA(C1529:C1673)=0,"""",IF(REGEXMATCH(INDEX(FILTER(C$4:C1529,C$4:C1529&lt;&gt;""""),ROWS(FILTER(C$4:C1529,C$4:C1529&lt;&gt;""""))),""^Sell_""),INDEX(FILTER(F$4:F1528,C$4:C1528&lt;&gt;""""),ROWS(FILTER(C$4:C1528,C$4:C1528&lt;&gt;""""))),$AC$5+E1529))"),"")</f>
        <v/>
      </c>
      <c r="G1529" s="10" t="str">
        <f>IFERROR(__xludf.DUMMYFUNCTION("IF(COUNTA(C1529:C1673)=0,"""",IF(C1529="""",0,IF(REGEXMATCH(C1529,""^Sell_""),-ROUNDDOWN(ROUNDUP(INDEX(Upgrades!$C$3:$C$13,MATCH(SUBSTITUTE(C1529,""Sell_"",""""),Upgrades!$B$3:$B$13,0))*1.15^(COUNTIF(C$4:C1528,SUBSTITUTE(C1529,""Sell_"",""""))-COUNTIF(C$4"&amp;":C1528,""Sell_""&amp;SUBSTITUTE(C1529,""Sell_"",""""))))/2),ROUNDUP(INDEX(Upgrades!$C$3:$C$13,MATCH(C1529,Upgrades!$B$3:$B$13,0))*1.15^(COUNTIF(C$4:C1528,C1529)-COUNTIF(C$4:C1528,""Sell_""&amp;C1529))))))"),"")</f>
        <v/>
      </c>
      <c r="H1529" s="10" t="str">
        <f t="shared" si="3"/>
        <v/>
      </c>
      <c r="I1529" s="68" t="str">
        <f t="shared" si="4"/>
        <v/>
      </c>
      <c r="J1529" s="59" t="str">
        <f t="shared" si="5"/>
        <v/>
      </c>
      <c r="K1529" s="69" t="str">
        <f t="shared" si="6"/>
        <v/>
      </c>
      <c r="L1529" s="60" t="str">
        <f t="shared" si="7"/>
        <v/>
      </c>
      <c r="M1529" s="61" t="str">
        <f>IFERROR(__xludf.DUMMYFUNCTION("IFS(AND(COUNTA(C1529:C1673)=0,COUNTA(Q1529:Q1673)=0),"""",OR(AND(K1529&gt;=1000000000,OR(Y1529&gt;=1000000000,COUNTA(Q1529:Q1673)=0)),OR(Y1529&gt;=1000000000,AND(COUNTA(C1529:C1673)=0,P$3=TRUE))),
ROUNDDOWN((AB$1-AC$1)*MAX(INDEX(T$4:T1673,MATCH(LARGE(FILTER(Y$4:Y1"&amp;"673,Y$4:Y1673&lt;1000000000),1),Y$4:Y1673)),INDEX(F$4:F1673,MATCH(LARGE(FILTER(K$4:K1673,K$4:K1673&lt;1000000000),1),K$4:K1673)))),AND(K1529&lt;1000000000,COUNTA(C1529:C1673)&gt;0,P$3=FALSE),
ROUNDDOWN(INDEX(Y$4:Y1673,MATCH(LARGE(FILTER(W$4:W1673,W$4:W1673&lt;=I1529),1)"&amp;",W$4:W1673))+(I1529-LARGE(FILTER(W$4:W1673,W$4:W1673&lt;=I1529),1))*INDEX(T$4:T1673,MATCH(LARGE(FILTER(W$4:W1673,W$4:W1673&lt;=I1529),1),W$4:W1673))-K1529),1,
ROUNDDOWN(Y1529-INDEX(K$4:K1673,MATCH(LARGE(FILTER(I$4:I1673,I$4:I1673&lt;=W1529),1),I$4:I1673))-(W1529-L"&amp;"ARGE(FILTER(I$4:I1673,I$4:I1673&lt;=W1529),1))*INDEX(F$4:F1673,MATCH(LARGE(FILTER(I$4:I1673,I$4:I1673&lt;=W1529),1),I$4:I1673))))"),"")</f>
        <v/>
      </c>
      <c r="N1529" s="60" t="str">
        <f t="shared" si="8"/>
        <v/>
      </c>
      <c r="O1529" s="61" t="str">
        <f t="shared" si="9"/>
        <v/>
      </c>
      <c r="P1529" s="56" t="str">
        <f t="shared" si="10"/>
        <v/>
      </c>
      <c r="Q1529" s="67"/>
      <c r="R1529" s="10"/>
      <c r="S1529" s="59" t="str">
        <f t="array" ref="S1529">IF(COUNTA(Q1529:Q1673)=0,"",SUM((COUNTIF(Q$4:Q1529,Upgrades!$B$3:$B$13)-COUNTIF(Q$4:Q1529,"Sell_"&amp;Upgrades!$B$3:$B$13))*Upgrades!$D$3:$D$13))</f>
        <v/>
      </c>
      <c r="T1529" s="66" t="str">
        <f>IFERROR(__xludf.DUMMYFUNCTION("IF(COUNTA(Q1529:Q1673)=0,"""",IF(REGEXMATCH(INDEX(FILTER(Q$4:Q1529,Q$4:Q1529&lt;&gt;""""),ROWS(FILTER(Q$4:Q1529,Q$4:Q1529&lt;&gt;""""))),""^Sell_""),INDEX(FILTER(T$4:T1528,Q$4:Q1528&lt;&gt;""""),ROWS(FILTER(Q$4:Q1528,Q$4:Q1528&lt;&gt;""""))),$AD$5+S1529))"),"")</f>
        <v/>
      </c>
      <c r="U1529" s="10" t="str">
        <f>IFERROR(__xludf.DUMMYFUNCTION("IF(COUNTA(Q1529:Q1673)=0,"""",IF(Q1529="""",0,IF(REGEXMATCH(Q1529,""^Sell_""),-ROUNDDOWN(ROUNDUP(INDEX(Upgrades!$C$3:$C$13,MATCH(SUBSTITUTE(Q1529,""Sell_"",""""),Upgrades!$B$3:$B$13,0))*1.15^(COUNTIF(Q$4:Q1528,SUBSTITUTE(Q1529,""Sell_"",""""))-COUNTIF(Q$4"&amp;":Q1528,""Sell_""&amp;SUBSTITUTE(Q1529,""Sell_"",""""))))/2),ROUNDUP(INDEX(Upgrades!$C$3:$C$13,MATCH(Q1529,Upgrades!$B$3:$B$13,0))*1.15^(COUNTIF(Q$4:Q1528,Q1529)-COUNTIF(Q$4:Q1528,""Sell_""&amp;Q1529))))))"),"")</f>
        <v/>
      </c>
      <c r="V1529" s="10" t="str">
        <f t="shared" si="11"/>
        <v/>
      </c>
      <c r="W1529" s="68" t="str">
        <f t="shared" si="12"/>
        <v/>
      </c>
      <c r="X1529" s="59" t="str">
        <f t="shared" si="13"/>
        <v/>
      </c>
      <c r="Y1529" s="69" t="str">
        <f t="shared" si="14"/>
        <v/>
      </c>
      <c r="Z1529" s="11"/>
    </row>
    <row r="1530">
      <c r="A1530" s="8"/>
      <c r="B1530" s="56" t="str">
        <f t="shared" si="2"/>
        <v/>
      </c>
      <c r="C1530" s="105"/>
      <c r="D1530" s="10"/>
      <c r="E1530" s="59" t="str">
        <f t="array" ref="E1530">IF(COUNTA(C1530:C1673)=0,"",SUM((COUNTIF(C$4:C1530,Upgrades!$B$3:$B$13)-COUNTIF(C$4:C1530,"Sell_"&amp;Upgrades!$B$3:$B$13))*Upgrades!$D$3:$D$13))</f>
        <v/>
      </c>
      <c r="F1530" s="66" t="str">
        <f>IFERROR(__xludf.DUMMYFUNCTION("IF(COUNTA(C1530:C1673)=0,"""",IF(REGEXMATCH(INDEX(FILTER(C$4:C1530,C$4:C1530&lt;&gt;""""),ROWS(FILTER(C$4:C1530,C$4:C1530&lt;&gt;""""))),""^Sell_""),INDEX(FILTER(F$4:F1529,C$4:C1529&lt;&gt;""""),ROWS(FILTER(C$4:C1529,C$4:C1529&lt;&gt;""""))),$AC$5+E1530))"),"")</f>
        <v/>
      </c>
      <c r="G1530" s="10" t="str">
        <f>IFERROR(__xludf.DUMMYFUNCTION("IF(COUNTA(C1530:C1673)=0,"""",IF(C1530="""",0,IF(REGEXMATCH(C1530,""^Sell_""),-ROUNDDOWN(ROUNDUP(INDEX(Upgrades!$C$3:$C$13,MATCH(SUBSTITUTE(C1530,""Sell_"",""""),Upgrades!$B$3:$B$13,0))*1.15^(COUNTIF(C$4:C1529,SUBSTITUTE(C1530,""Sell_"",""""))-COUNTIF(C$4"&amp;":C1529,""Sell_""&amp;SUBSTITUTE(C1530,""Sell_"",""""))))/2),ROUNDUP(INDEX(Upgrades!$C$3:$C$13,MATCH(C1530,Upgrades!$B$3:$B$13,0))*1.15^(COUNTIF(C$4:C1529,C1530)-COUNTIF(C$4:C1529,""Sell_""&amp;C1530))))))"),"")</f>
        <v/>
      </c>
      <c r="H1530" s="10" t="str">
        <f t="shared" si="3"/>
        <v/>
      </c>
      <c r="I1530" s="68" t="str">
        <f t="shared" si="4"/>
        <v/>
      </c>
      <c r="J1530" s="59" t="str">
        <f t="shared" si="5"/>
        <v/>
      </c>
      <c r="K1530" s="69" t="str">
        <f t="shared" si="6"/>
        <v/>
      </c>
      <c r="L1530" s="60" t="str">
        <f t="shared" si="7"/>
        <v/>
      </c>
      <c r="M1530" s="61" t="str">
        <f>IFERROR(__xludf.DUMMYFUNCTION("IFS(AND(COUNTA(C1530:C1673)=0,COUNTA(Q1530:Q1673)=0),"""",OR(AND(K1530&gt;=1000000000,OR(Y1530&gt;=1000000000,COUNTA(Q1530:Q1673)=0)),OR(Y1530&gt;=1000000000,AND(COUNTA(C1530:C1673)=0,P$3=TRUE))),
ROUNDDOWN((AB$1-AC$1)*MAX(INDEX(T$4:T1673,MATCH(LARGE(FILTER(Y$4:Y1"&amp;"673,Y$4:Y1673&lt;1000000000),1),Y$4:Y1673)),INDEX(F$4:F1673,MATCH(LARGE(FILTER(K$4:K1673,K$4:K1673&lt;1000000000),1),K$4:K1673)))),AND(K1530&lt;1000000000,COUNTA(C1530:C1673)&gt;0,P$3=FALSE),
ROUNDDOWN(INDEX(Y$4:Y1673,MATCH(LARGE(FILTER(W$4:W1673,W$4:W1673&lt;=I1530),1)"&amp;",W$4:W1673))+(I1530-LARGE(FILTER(W$4:W1673,W$4:W1673&lt;=I1530),1))*INDEX(T$4:T1673,MATCH(LARGE(FILTER(W$4:W1673,W$4:W1673&lt;=I1530),1),W$4:W1673))-K1530),1,
ROUNDDOWN(Y1530-INDEX(K$4:K1673,MATCH(LARGE(FILTER(I$4:I1673,I$4:I1673&lt;=W1530),1),I$4:I1673))-(W1530-L"&amp;"ARGE(FILTER(I$4:I1673,I$4:I1673&lt;=W1530),1))*INDEX(F$4:F1673,MATCH(LARGE(FILTER(I$4:I1673,I$4:I1673&lt;=W1530),1),I$4:I1673))))"),"")</f>
        <v/>
      </c>
      <c r="N1530" s="60" t="str">
        <f t="shared" si="8"/>
        <v/>
      </c>
      <c r="O1530" s="61" t="str">
        <f t="shared" si="9"/>
        <v/>
      </c>
      <c r="P1530" s="56" t="str">
        <f t="shared" si="10"/>
        <v/>
      </c>
      <c r="Q1530" s="67"/>
      <c r="R1530" s="10"/>
      <c r="S1530" s="59" t="str">
        <f t="array" ref="S1530">IF(COUNTA(Q1530:Q1673)=0,"",SUM((COUNTIF(Q$4:Q1530,Upgrades!$B$3:$B$13)-COUNTIF(Q$4:Q1530,"Sell_"&amp;Upgrades!$B$3:$B$13))*Upgrades!$D$3:$D$13))</f>
        <v/>
      </c>
      <c r="T1530" s="66" t="str">
        <f>IFERROR(__xludf.DUMMYFUNCTION("IF(COUNTA(Q1530:Q1673)=0,"""",IF(REGEXMATCH(INDEX(FILTER(Q$4:Q1530,Q$4:Q1530&lt;&gt;""""),ROWS(FILTER(Q$4:Q1530,Q$4:Q1530&lt;&gt;""""))),""^Sell_""),INDEX(FILTER(T$4:T1529,Q$4:Q1529&lt;&gt;""""),ROWS(FILTER(Q$4:Q1529,Q$4:Q1529&lt;&gt;""""))),$AD$5+S1530))"),"")</f>
        <v/>
      </c>
      <c r="U1530" s="10" t="str">
        <f>IFERROR(__xludf.DUMMYFUNCTION("IF(COUNTA(Q1530:Q1673)=0,"""",IF(Q1530="""",0,IF(REGEXMATCH(Q1530,""^Sell_""),-ROUNDDOWN(ROUNDUP(INDEX(Upgrades!$C$3:$C$13,MATCH(SUBSTITUTE(Q1530,""Sell_"",""""),Upgrades!$B$3:$B$13,0))*1.15^(COUNTIF(Q$4:Q1529,SUBSTITUTE(Q1530,""Sell_"",""""))-COUNTIF(Q$4"&amp;":Q1529,""Sell_""&amp;SUBSTITUTE(Q1530,""Sell_"",""""))))/2),ROUNDUP(INDEX(Upgrades!$C$3:$C$13,MATCH(Q1530,Upgrades!$B$3:$B$13,0))*1.15^(COUNTIF(Q$4:Q1529,Q1530)-COUNTIF(Q$4:Q1529,""Sell_""&amp;Q1530))))))"),"")</f>
        <v/>
      </c>
      <c r="V1530" s="10" t="str">
        <f t="shared" si="11"/>
        <v/>
      </c>
      <c r="W1530" s="68" t="str">
        <f t="shared" si="12"/>
        <v/>
      </c>
      <c r="X1530" s="59" t="str">
        <f t="shared" si="13"/>
        <v/>
      </c>
      <c r="Y1530" s="69" t="str">
        <f t="shared" si="14"/>
        <v/>
      </c>
      <c r="Z1530" s="11"/>
    </row>
    <row r="1531">
      <c r="A1531" s="8"/>
      <c r="B1531" s="56" t="str">
        <f t="shared" si="2"/>
        <v/>
      </c>
      <c r="C1531" s="105"/>
      <c r="D1531" s="10"/>
      <c r="E1531" s="59" t="str">
        <f t="array" ref="E1531">IF(COUNTA(C1531:C1673)=0,"",SUM((COUNTIF(C$4:C1531,Upgrades!$B$3:$B$13)-COUNTIF(C$4:C1531,"Sell_"&amp;Upgrades!$B$3:$B$13))*Upgrades!$D$3:$D$13))</f>
        <v/>
      </c>
      <c r="F1531" s="66" t="str">
        <f>IFERROR(__xludf.DUMMYFUNCTION("IF(COUNTA(C1531:C1673)=0,"""",IF(REGEXMATCH(INDEX(FILTER(C$4:C1531,C$4:C1531&lt;&gt;""""),ROWS(FILTER(C$4:C1531,C$4:C1531&lt;&gt;""""))),""^Sell_""),INDEX(FILTER(F$4:F1530,C$4:C1530&lt;&gt;""""),ROWS(FILTER(C$4:C1530,C$4:C1530&lt;&gt;""""))),$AC$5+E1531))"),"")</f>
        <v/>
      </c>
      <c r="G1531" s="10" t="str">
        <f>IFERROR(__xludf.DUMMYFUNCTION("IF(COUNTA(C1531:C1673)=0,"""",IF(C1531="""",0,IF(REGEXMATCH(C1531,""^Sell_""),-ROUNDDOWN(ROUNDUP(INDEX(Upgrades!$C$3:$C$13,MATCH(SUBSTITUTE(C1531,""Sell_"",""""),Upgrades!$B$3:$B$13,0))*1.15^(COUNTIF(C$4:C1530,SUBSTITUTE(C1531,""Sell_"",""""))-COUNTIF(C$4"&amp;":C1530,""Sell_""&amp;SUBSTITUTE(C1531,""Sell_"",""""))))/2),ROUNDUP(INDEX(Upgrades!$C$3:$C$13,MATCH(C1531,Upgrades!$B$3:$B$13,0))*1.15^(COUNTIF(C$4:C1530,C1531)-COUNTIF(C$4:C1530,""Sell_""&amp;C1531))))))"),"")</f>
        <v/>
      </c>
      <c r="H1531" s="10" t="str">
        <f t="shared" si="3"/>
        <v/>
      </c>
      <c r="I1531" s="68" t="str">
        <f t="shared" si="4"/>
        <v/>
      </c>
      <c r="J1531" s="59" t="str">
        <f t="shared" si="5"/>
        <v/>
      </c>
      <c r="K1531" s="69" t="str">
        <f t="shared" si="6"/>
        <v/>
      </c>
      <c r="L1531" s="60" t="str">
        <f t="shared" si="7"/>
        <v/>
      </c>
      <c r="M1531" s="61" t="str">
        <f>IFERROR(__xludf.DUMMYFUNCTION("IFS(AND(COUNTA(C1531:C1673)=0,COUNTA(Q1531:Q1673)=0),"""",OR(AND(K1531&gt;=1000000000,OR(Y1531&gt;=1000000000,COUNTA(Q1531:Q1673)=0)),OR(Y1531&gt;=1000000000,AND(COUNTA(C1531:C1673)=0,P$3=TRUE))),
ROUNDDOWN((AB$1-AC$1)*MAX(INDEX(T$4:T1673,MATCH(LARGE(FILTER(Y$4:Y1"&amp;"673,Y$4:Y1673&lt;1000000000),1),Y$4:Y1673)),INDEX(F$4:F1673,MATCH(LARGE(FILTER(K$4:K1673,K$4:K1673&lt;1000000000),1),K$4:K1673)))),AND(K1531&lt;1000000000,COUNTA(C1531:C1673)&gt;0,P$3=FALSE),
ROUNDDOWN(INDEX(Y$4:Y1673,MATCH(LARGE(FILTER(W$4:W1673,W$4:W1673&lt;=I1531),1)"&amp;",W$4:W1673))+(I1531-LARGE(FILTER(W$4:W1673,W$4:W1673&lt;=I1531),1))*INDEX(T$4:T1673,MATCH(LARGE(FILTER(W$4:W1673,W$4:W1673&lt;=I1531),1),W$4:W1673))-K1531),1,
ROUNDDOWN(Y1531-INDEX(K$4:K1673,MATCH(LARGE(FILTER(I$4:I1673,I$4:I1673&lt;=W1531),1),I$4:I1673))-(W1531-L"&amp;"ARGE(FILTER(I$4:I1673,I$4:I1673&lt;=W1531),1))*INDEX(F$4:F1673,MATCH(LARGE(FILTER(I$4:I1673,I$4:I1673&lt;=W1531),1),I$4:I1673))))"),"")</f>
        <v/>
      </c>
      <c r="N1531" s="60" t="str">
        <f t="shared" si="8"/>
        <v/>
      </c>
      <c r="O1531" s="61" t="str">
        <f t="shared" si="9"/>
        <v/>
      </c>
      <c r="P1531" s="56" t="str">
        <f t="shared" si="10"/>
        <v/>
      </c>
      <c r="Q1531" s="67"/>
      <c r="R1531" s="10"/>
      <c r="S1531" s="59" t="str">
        <f t="array" ref="S1531">IF(COUNTA(Q1531:Q1673)=0,"",SUM((COUNTIF(Q$4:Q1531,Upgrades!$B$3:$B$13)-COUNTIF(Q$4:Q1531,"Sell_"&amp;Upgrades!$B$3:$B$13))*Upgrades!$D$3:$D$13))</f>
        <v/>
      </c>
      <c r="T1531" s="66" t="str">
        <f>IFERROR(__xludf.DUMMYFUNCTION("IF(COUNTA(Q1531:Q1673)=0,"""",IF(REGEXMATCH(INDEX(FILTER(Q$4:Q1531,Q$4:Q1531&lt;&gt;""""),ROWS(FILTER(Q$4:Q1531,Q$4:Q1531&lt;&gt;""""))),""^Sell_""),INDEX(FILTER(T$4:T1530,Q$4:Q1530&lt;&gt;""""),ROWS(FILTER(Q$4:Q1530,Q$4:Q1530&lt;&gt;""""))),$AD$5+S1531))"),"")</f>
        <v/>
      </c>
      <c r="U1531" s="10" t="str">
        <f>IFERROR(__xludf.DUMMYFUNCTION("IF(COUNTA(Q1531:Q1673)=0,"""",IF(Q1531="""",0,IF(REGEXMATCH(Q1531,""^Sell_""),-ROUNDDOWN(ROUNDUP(INDEX(Upgrades!$C$3:$C$13,MATCH(SUBSTITUTE(Q1531,""Sell_"",""""),Upgrades!$B$3:$B$13,0))*1.15^(COUNTIF(Q$4:Q1530,SUBSTITUTE(Q1531,""Sell_"",""""))-COUNTIF(Q$4"&amp;":Q1530,""Sell_""&amp;SUBSTITUTE(Q1531,""Sell_"",""""))))/2),ROUNDUP(INDEX(Upgrades!$C$3:$C$13,MATCH(Q1531,Upgrades!$B$3:$B$13,0))*1.15^(COUNTIF(Q$4:Q1530,Q1531)-COUNTIF(Q$4:Q1530,""Sell_""&amp;Q1531))))))"),"")</f>
        <v/>
      </c>
      <c r="V1531" s="10" t="str">
        <f t="shared" si="11"/>
        <v/>
      </c>
      <c r="W1531" s="68" t="str">
        <f t="shared" si="12"/>
        <v/>
      </c>
      <c r="X1531" s="59" t="str">
        <f t="shared" si="13"/>
        <v/>
      </c>
      <c r="Y1531" s="69" t="str">
        <f t="shared" si="14"/>
        <v/>
      </c>
      <c r="Z1531" s="11"/>
    </row>
    <row r="1532">
      <c r="A1532" s="8"/>
      <c r="B1532" s="56" t="str">
        <f t="shared" si="2"/>
        <v/>
      </c>
      <c r="C1532" s="105"/>
      <c r="D1532" s="10"/>
      <c r="E1532" s="59" t="str">
        <f t="array" ref="E1532">IF(COUNTA(C1532:C1673)=0,"",SUM((COUNTIF(C$4:C1532,Upgrades!$B$3:$B$13)-COUNTIF(C$4:C1532,"Sell_"&amp;Upgrades!$B$3:$B$13))*Upgrades!$D$3:$D$13))</f>
        <v/>
      </c>
      <c r="F1532" s="66" t="str">
        <f>IFERROR(__xludf.DUMMYFUNCTION("IF(COUNTA(C1532:C1673)=0,"""",IF(REGEXMATCH(INDEX(FILTER(C$4:C1532,C$4:C1532&lt;&gt;""""),ROWS(FILTER(C$4:C1532,C$4:C1532&lt;&gt;""""))),""^Sell_""),INDEX(FILTER(F$4:F1531,C$4:C1531&lt;&gt;""""),ROWS(FILTER(C$4:C1531,C$4:C1531&lt;&gt;""""))),$AC$5+E1532))"),"")</f>
        <v/>
      </c>
      <c r="G1532" s="10" t="str">
        <f>IFERROR(__xludf.DUMMYFUNCTION("IF(COUNTA(C1532:C1673)=0,"""",IF(C1532="""",0,IF(REGEXMATCH(C1532,""^Sell_""),-ROUNDDOWN(ROUNDUP(INDEX(Upgrades!$C$3:$C$13,MATCH(SUBSTITUTE(C1532,""Sell_"",""""),Upgrades!$B$3:$B$13,0))*1.15^(COUNTIF(C$4:C1531,SUBSTITUTE(C1532,""Sell_"",""""))-COUNTIF(C$4"&amp;":C1531,""Sell_""&amp;SUBSTITUTE(C1532,""Sell_"",""""))))/2),ROUNDUP(INDEX(Upgrades!$C$3:$C$13,MATCH(C1532,Upgrades!$B$3:$B$13,0))*1.15^(COUNTIF(C$4:C1531,C1532)-COUNTIF(C$4:C1531,""Sell_""&amp;C1532))))))"),"")</f>
        <v/>
      </c>
      <c r="H1532" s="10" t="str">
        <f t="shared" si="3"/>
        <v/>
      </c>
      <c r="I1532" s="68" t="str">
        <f t="shared" si="4"/>
        <v/>
      </c>
      <c r="J1532" s="59" t="str">
        <f t="shared" si="5"/>
        <v/>
      </c>
      <c r="K1532" s="69" t="str">
        <f t="shared" si="6"/>
        <v/>
      </c>
      <c r="L1532" s="60" t="str">
        <f t="shared" si="7"/>
        <v/>
      </c>
      <c r="M1532" s="61" t="str">
        <f>IFERROR(__xludf.DUMMYFUNCTION("IFS(AND(COUNTA(C1532:C1673)=0,COUNTA(Q1532:Q1673)=0),"""",OR(AND(K1532&gt;=1000000000,OR(Y1532&gt;=1000000000,COUNTA(Q1532:Q1673)=0)),OR(Y1532&gt;=1000000000,AND(COUNTA(C1532:C1673)=0,P$3=TRUE))),
ROUNDDOWN((AB$1-AC$1)*MAX(INDEX(T$4:T1673,MATCH(LARGE(FILTER(Y$4:Y1"&amp;"673,Y$4:Y1673&lt;1000000000),1),Y$4:Y1673)),INDEX(F$4:F1673,MATCH(LARGE(FILTER(K$4:K1673,K$4:K1673&lt;1000000000),1),K$4:K1673)))),AND(K1532&lt;1000000000,COUNTA(C1532:C1673)&gt;0,P$3=FALSE),
ROUNDDOWN(INDEX(Y$4:Y1673,MATCH(LARGE(FILTER(W$4:W1673,W$4:W1673&lt;=I1532),1)"&amp;",W$4:W1673))+(I1532-LARGE(FILTER(W$4:W1673,W$4:W1673&lt;=I1532),1))*INDEX(T$4:T1673,MATCH(LARGE(FILTER(W$4:W1673,W$4:W1673&lt;=I1532),1),W$4:W1673))-K1532),1,
ROUNDDOWN(Y1532-INDEX(K$4:K1673,MATCH(LARGE(FILTER(I$4:I1673,I$4:I1673&lt;=W1532),1),I$4:I1673))-(W1532-L"&amp;"ARGE(FILTER(I$4:I1673,I$4:I1673&lt;=W1532),1))*INDEX(F$4:F1673,MATCH(LARGE(FILTER(I$4:I1673,I$4:I1673&lt;=W1532),1),I$4:I1673))))"),"")</f>
        <v/>
      </c>
      <c r="N1532" s="60" t="str">
        <f t="shared" si="8"/>
        <v/>
      </c>
      <c r="O1532" s="61" t="str">
        <f t="shared" si="9"/>
        <v/>
      </c>
      <c r="P1532" s="56" t="str">
        <f t="shared" si="10"/>
        <v/>
      </c>
      <c r="Q1532" s="67"/>
      <c r="R1532" s="10"/>
      <c r="S1532" s="59" t="str">
        <f t="array" ref="S1532">IF(COUNTA(Q1532:Q1673)=0,"",SUM((COUNTIF(Q$4:Q1532,Upgrades!$B$3:$B$13)-COUNTIF(Q$4:Q1532,"Sell_"&amp;Upgrades!$B$3:$B$13))*Upgrades!$D$3:$D$13))</f>
        <v/>
      </c>
      <c r="T1532" s="66" t="str">
        <f>IFERROR(__xludf.DUMMYFUNCTION("IF(COUNTA(Q1532:Q1673)=0,"""",IF(REGEXMATCH(INDEX(FILTER(Q$4:Q1532,Q$4:Q1532&lt;&gt;""""),ROWS(FILTER(Q$4:Q1532,Q$4:Q1532&lt;&gt;""""))),""^Sell_""),INDEX(FILTER(T$4:T1531,Q$4:Q1531&lt;&gt;""""),ROWS(FILTER(Q$4:Q1531,Q$4:Q1531&lt;&gt;""""))),$AD$5+S1532))"),"")</f>
        <v/>
      </c>
      <c r="U1532" s="10" t="str">
        <f>IFERROR(__xludf.DUMMYFUNCTION("IF(COUNTA(Q1532:Q1673)=0,"""",IF(Q1532="""",0,IF(REGEXMATCH(Q1532,""^Sell_""),-ROUNDDOWN(ROUNDUP(INDEX(Upgrades!$C$3:$C$13,MATCH(SUBSTITUTE(Q1532,""Sell_"",""""),Upgrades!$B$3:$B$13,0))*1.15^(COUNTIF(Q$4:Q1531,SUBSTITUTE(Q1532,""Sell_"",""""))-COUNTIF(Q$4"&amp;":Q1531,""Sell_""&amp;SUBSTITUTE(Q1532,""Sell_"",""""))))/2),ROUNDUP(INDEX(Upgrades!$C$3:$C$13,MATCH(Q1532,Upgrades!$B$3:$B$13,0))*1.15^(COUNTIF(Q$4:Q1531,Q1532)-COUNTIF(Q$4:Q1531,""Sell_""&amp;Q1532))))))"),"")</f>
        <v/>
      </c>
      <c r="V1532" s="10" t="str">
        <f t="shared" si="11"/>
        <v/>
      </c>
      <c r="W1532" s="68" t="str">
        <f t="shared" si="12"/>
        <v/>
      </c>
      <c r="X1532" s="59" t="str">
        <f t="shared" si="13"/>
        <v/>
      </c>
      <c r="Y1532" s="69" t="str">
        <f t="shared" si="14"/>
        <v/>
      </c>
      <c r="Z1532" s="11"/>
    </row>
    <row r="1533">
      <c r="A1533" s="8"/>
      <c r="B1533" s="56" t="str">
        <f t="shared" si="2"/>
        <v/>
      </c>
      <c r="C1533" s="105"/>
      <c r="D1533" s="10"/>
      <c r="E1533" s="59" t="str">
        <f t="array" ref="E1533">IF(COUNTA(C1533:C1673)=0,"",SUM((COUNTIF(C$4:C1533,Upgrades!$B$3:$B$13)-COUNTIF(C$4:C1533,"Sell_"&amp;Upgrades!$B$3:$B$13))*Upgrades!$D$3:$D$13))</f>
        <v/>
      </c>
      <c r="F1533" s="66" t="str">
        <f>IFERROR(__xludf.DUMMYFUNCTION("IF(COUNTA(C1533:C1673)=0,"""",IF(REGEXMATCH(INDEX(FILTER(C$4:C1533,C$4:C1533&lt;&gt;""""),ROWS(FILTER(C$4:C1533,C$4:C1533&lt;&gt;""""))),""^Sell_""),INDEX(FILTER(F$4:F1532,C$4:C1532&lt;&gt;""""),ROWS(FILTER(C$4:C1532,C$4:C1532&lt;&gt;""""))),$AC$5+E1533))"),"")</f>
        <v/>
      </c>
      <c r="G1533" s="10" t="str">
        <f>IFERROR(__xludf.DUMMYFUNCTION("IF(COUNTA(C1533:C1673)=0,"""",IF(C1533="""",0,IF(REGEXMATCH(C1533,""^Sell_""),-ROUNDDOWN(ROUNDUP(INDEX(Upgrades!$C$3:$C$13,MATCH(SUBSTITUTE(C1533,""Sell_"",""""),Upgrades!$B$3:$B$13,0))*1.15^(COUNTIF(C$4:C1532,SUBSTITUTE(C1533,""Sell_"",""""))-COUNTIF(C$4"&amp;":C1532,""Sell_""&amp;SUBSTITUTE(C1533,""Sell_"",""""))))/2),ROUNDUP(INDEX(Upgrades!$C$3:$C$13,MATCH(C1533,Upgrades!$B$3:$B$13,0))*1.15^(COUNTIF(C$4:C1532,C1533)-COUNTIF(C$4:C1532,""Sell_""&amp;C1533))))))"),"")</f>
        <v/>
      </c>
      <c r="H1533" s="10" t="str">
        <f t="shared" si="3"/>
        <v/>
      </c>
      <c r="I1533" s="68" t="str">
        <f t="shared" si="4"/>
        <v/>
      </c>
      <c r="J1533" s="59" t="str">
        <f t="shared" si="5"/>
        <v/>
      </c>
      <c r="K1533" s="69" t="str">
        <f t="shared" si="6"/>
        <v/>
      </c>
      <c r="L1533" s="60" t="str">
        <f t="shared" si="7"/>
        <v/>
      </c>
      <c r="M1533" s="61" t="str">
        <f>IFERROR(__xludf.DUMMYFUNCTION("IFS(AND(COUNTA(C1533:C1673)=0,COUNTA(Q1533:Q1673)=0),"""",OR(AND(K1533&gt;=1000000000,OR(Y1533&gt;=1000000000,COUNTA(Q1533:Q1673)=0)),OR(Y1533&gt;=1000000000,AND(COUNTA(C1533:C1673)=0,P$3=TRUE))),
ROUNDDOWN((AB$1-AC$1)*MAX(INDEX(T$4:T1673,MATCH(LARGE(FILTER(Y$4:Y1"&amp;"673,Y$4:Y1673&lt;1000000000),1),Y$4:Y1673)),INDEX(F$4:F1673,MATCH(LARGE(FILTER(K$4:K1673,K$4:K1673&lt;1000000000),1),K$4:K1673)))),AND(K1533&lt;1000000000,COUNTA(C1533:C1673)&gt;0,P$3=FALSE),
ROUNDDOWN(INDEX(Y$4:Y1673,MATCH(LARGE(FILTER(W$4:W1673,W$4:W1673&lt;=I1533),1)"&amp;",W$4:W1673))+(I1533-LARGE(FILTER(W$4:W1673,W$4:W1673&lt;=I1533),1))*INDEX(T$4:T1673,MATCH(LARGE(FILTER(W$4:W1673,W$4:W1673&lt;=I1533),1),W$4:W1673))-K1533),1,
ROUNDDOWN(Y1533-INDEX(K$4:K1673,MATCH(LARGE(FILTER(I$4:I1673,I$4:I1673&lt;=W1533),1),I$4:I1673))-(W1533-L"&amp;"ARGE(FILTER(I$4:I1673,I$4:I1673&lt;=W1533),1))*INDEX(F$4:F1673,MATCH(LARGE(FILTER(I$4:I1673,I$4:I1673&lt;=W1533),1),I$4:I1673))))"),"")</f>
        <v/>
      </c>
      <c r="N1533" s="60" t="str">
        <f t="shared" si="8"/>
        <v/>
      </c>
      <c r="O1533" s="61" t="str">
        <f t="shared" si="9"/>
        <v/>
      </c>
      <c r="P1533" s="56" t="str">
        <f t="shared" si="10"/>
        <v/>
      </c>
      <c r="Q1533" s="67"/>
      <c r="R1533" s="10"/>
      <c r="S1533" s="59" t="str">
        <f t="array" ref="S1533">IF(COUNTA(Q1533:Q1673)=0,"",SUM((COUNTIF(Q$4:Q1533,Upgrades!$B$3:$B$13)-COUNTIF(Q$4:Q1533,"Sell_"&amp;Upgrades!$B$3:$B$13))*Upgrades!$D$3:$D$13))</f>
        <v/>
      </c>
      <c r="T1533" s="66" t="str">
        <f>IFERROR(__xludf.DUMMYFUNCTION("IF(COUNTA(Q1533:Q1673)=0,"""",IF(REGEXMATCH(INDEX(FILTER(Q$4:Q1533,Q$4:Q1533&lt;&gt;""""),ROWS(FILTER(Q$4:Q1533,Q$4:Q1533&lt;&gt;""""))),""^Sell_""),INDEX(FILTER(T$4:T1532,Q$4:Q1532&lt;&gt;""""),ROWS(FILTER(Q$4:Q1532,Q$4:Q1532&lt;&gt;""""))),$AD$5+S1533))"),"")</f>
        <v/>
      </c>
      <c r="U1533" s="10" t="str">
        <f>IFERROR(__xludf.DUMMYFUNCTION("IF(COUNTA(Q1533:Q1673)=0,"""",IF(Q1533="""",0,IF(REGEXMATCH(Q1533,""^Sell_""),-ROUNDDOWN(ROUNDUP(INDEX(Upgrades!$C$3:$C$13,MATCH(SUBSTITUTE(Q1533,""Sell_"",""""),Upgrades!$B$3:$B$13,0))*1.15^(COUNTIF(Q$4:Q1532,SUBSTITUTE(Q1533,""Sell_"",""""))-COUNTIF(Q$4"&amp;":Q1532,""Sell_""&amp;SUBSTITUTE(Q1533,""Sell_"",""""))))/2),ROUNDUP(INDEX(Upgrades!$C$3:$C$13,MATCH(Q1533,Upgrades!$B$3:$B$13,0))*1.15^(COUNTIF(Q$4:Q1532,Q1533)-COUNTIF(Q$4:Q1532,""Sell_""&amp;Q1533))))))"),"")</f>
        <v/>
      </c>
      <c r="V1533" s="10" t="str">
        <f t="shared" si="11"/>
        <v/>
      </c>
      <c r="W1533" s="68" t="str">
        <f t="shared" si="12"/>
        <v/>
      </c>
      <c r="X1533" s="59" t="str">
        <f t="shared" si="13"/>
        <v/>
      </c>
      <c r="Y1533" s="69" t="str">
        <f t="shared" si="14"/>
        <v/>
      </c>
      <c r="Z1533" s="11"/>
    </row>
    <row r="1534">
      <c r="A1534" s="8"/>
      <c r="B1534" s="56" t="str">
        <f t="shared" si="2"/>
        <v/>
      </c>
      <c r="C1534" s="105"/>
      <c r="D1534" s="10"/>
      <c r="E1534" s="59" t="str">
        <f t="array" ref="E1534">IF(COUNTA(C1534:C1673)=0,"",SUM((COUNTIF(C$4:C1534,Upgrades!$B$3:$B$13)-COUNTIF(C$4:C1534,"Sell_"&amp;Upgrades!$B$3:$B$13))*Upgrades!$D$3:$D$13))</f>
        <v/>
      </c>
      <c r="F1534" s="66" t="str">
        <f>IFERROR(__xludf.DUMMYFUNCTION("IF(COUNTA(C1534:C1673)=0,"""",IF(REGEXMATCH(INDEX(FILTER(C$4:C1534,C$4:C1534&lt;&gt;""""),ROWS(FILTER(C$4:C1534,C$4:C1534&lt;&gt;""""))),""^Sell_""),INDEX(FILTER(F$4:F1533,C$4:C1533&lt;&gt;""""),ROWS(FILTER(C$4:C1533,C$4:C1533&lt;&gt;""""))),$AC$5+E1534))"),"")</f>
        <v/>
      </c>
      <c r="G1534" s="10" t="str">
        <f>IFERROR(__xludf.DUMMYFUNCTION("IF(COUNTA(C1534:C1673)=0,"""",IF(C1534="""",0,IF(REGEXMATCH(C1534,""^Sell_""),-ROUNDDOWN(ROUNDUP(INDEX(Upgrades!$C$3:$C$13,MATCH(SUBSTITUTE(C1534,""Sell_"",""""),Upgrades!$B$3:$B$13,0))*1.15^(COUNTIF(C$4:C1533,SUBSTITUTE(C1534,""Sell_"",""""))-COUNTIF(C$4"&amp;":C1533,""Sell_""&amp;SUBSTITUTE(C1534,""Sell_"",""""))))/2),ROUNDUP(INDEX(Upgrades!$C$3:$C$13,MATCH(C1534,Upgrades!$B$3:$B$13,0))*1.15^(COUNTIF(C$4:C1533,C1534)-COUNTIF(C$4:C1533,""Sell_""&amp;C1534))))))"),"")</f>
        <v/>
      </c>
      <c r="H1534" s="10" t="str">
        <f t="shared" si="3"/>
        <v/>
      </c>
      <c r="I1534" s="68" t="str">
        <f t="shared" si="4"/>
        <v/>
      </c>
      <c r="J1534" s="59" t="str">
        <f t="shared" si="5"/>
        <v/>
      </c>
      <c r="K1534" s="69" t="str">
        <f t="shared" si="6"/>
        <v/>
      </c>
      <c r="L1534" s="60" t="str">
        <f t="shared" si="7"/>
        <v/>
      </c>
      <c r="M1534" s="61" t="str">
        <f>IFERROR(__xludf.DUMMYFUNCTION("IFS(AND(COUNTA(C1534:C1673)=0,COUNTA(Q1534:Q1673)=0),"""",OR(AND(K1534&gt;=1000000000,OR(Y1534&gt;=1000000000,COUNTA(Q1534:Q1673)=0)),OR(Y1534&gt;=1000000000,AND(COUNTA(C1534:C1673)=0,P$3=TRUE))),
ROUNDDOWN((AB$1-AC$1)*MAX(INDEX(T$4:T1673,MATCH(LARGE(FILTER(Y$4:Y1"&amp;"673,Y$4:Y1673&lt;1000000000),1),Y$4:Y1673)),INDEX(F$4:F1673,MATCH(LARGE(FILTER(K$4:K1673,K$4:K1673&lt;1000000000),1),K$4:K1673)))),AND(K1534&lt;1000000000,COUNTA(C1534:C1673)&gt;0,P$3=FALSE),
ROUNDDOWN(INDEX(Y$4:Y1673,MATCH(LARGE(FILTER(W$4:W1673,W$4:W1673&lt;=I1534),1)"&amp;",W$4:W1673))+(I1534-LARGE(FILTER(W$4:W1673,W$4:W1673&lt;=I1534),1))*INDEX(T$4:T1673,MATCH(LARGE(FILTER(W$4:W1673,W$4:W1673&lt;=I1534),1),W$4:W1673))-K1534),1,
ROUNDDOWN(Y1534-INDEX(K$4:K1673,MATCH(LARGE(FILTER(I$4:I1673,I$4:I1673&lt;=W1534),1),I$4:I1673))-(W1534-L"&amp;"ARGE(FILTER(I$4:I1673,I$4:I1673&lt;=W1534),1))*INDEX(F$4:F1673,MATCH(LARGE(FILTER(I$4:I1673,I$4:I1673&lt;=W1534),1),I$4:I1673))))"),"")</f>
        <v/>
      </c>
      <c r="N1534" s="60" t="str">
        <f t="shared" si="8"/>
        <v/>
      </c>
      <c r="O1534" s="61" t="str">
        <f t="shared" si="9"/>
        <v/>
      </c>
      <c r="P1534" s="56" t="str">
        <f t="shared" si="10"/>
        <v/>
      </c>
      <c r="Q1534" s="67"/>
      <c r="R1534" s="10"/>
      <c r="S1534" s="59" t="str">
        <f t="array" ref="S1534">IF(COUNTA(Q1534:Q1673)=0,"",SUM((COUNTIF(Q$4:Q1534,Upgrades!$B$3:$B$13)-COUNTIF(Q$4:Q1534,"Sell_"&amp;Upgrades!$B$3:$B$13))*Upgrades!$D$3:$D$13))</f>
        <v/>
      </c>
      <c r="T1534" s="66" t="str">
        <f>IFERROR(__xludf.DUMMYFUNCTION("IF(COUNTA(Q1534:Q1673)=0,"""",IF(REGEXMATCH(INDEX(FILTER(Q$4:Q1534,Q$4:Q1534&lt;&gt;""""),ROWS(FILTER(Q$4:Q1534,Q$4:Q1534&lt;&gt;""""))),""^Sell_""),INDEX(FILTER(T$4:T1533,Q$4:Q1533&lt;&gt;""""),ROWS(FILTER(Q$4:Q1533,Q$4:Q1533&lt;&gt;""""))),$AD$5+S1534))"),"")</f>
        <v/>
      </c>
      <c r="U1534" s="10" t="str">
        <f>IFERROR(__xludf.DUMMYFUNCTION("IF(COUNTA(Q1534:Q1673)=0,"""",IF(Q1534="""",0,IF(REGEXMATCH(Q1534,""^Sell_""),-ROUNDDOWN(ROUNDUP(INDEX(Upgrades!$C$3:$C$13,MATCH(SUBSTITUTE(Q1534,""Sell_"",""""),Upgrades!$B$3:$B$13,0))*1.15^(COUNTIF(Q$4:Q1533,SUBSTITUTE(Q1534,""Sell_"",""""))-COUNTIF(Q$4"&amp;":Q1533,""Sell_""&amp;SUBSTITUTE(Q1534,""Sell_"",""""))))/2),ROUNDUP(INDEX(Upgrades!$C$3:$C$13,MATCH(Q1534,Upgrades!$B$3:$B$13,0))*1.15^(COUNTIF(Q$4:Q1533,Q1534)-COUNTIF(Q$4:Q1533,""Sell_""&amp;Q1534))))))"),"")</f>
        <v/>
      </c>
      <c r="V1534" s="10" t="str">
        <f t="shared" si="11"/>
        <v/>
      </c>
      <c r="W1534" s="68" t="str">
        <f t="shared" si="12"/>
        <v/>
      </c>
      <c r="X1534" s="59" t="str">
        <f t="shared" si="13"/>
        <v/>
      </c>
      <c r="Y1534" s="69" t="str">
        <f t="shared" si="14"/>
        <v/>
      </c>
      <c r="Z1534" s="11"/>
    </row>
    <row r="1535">
      <c r="A1535" s="8"/>
      <c r="B1535" s="56" t="str">
        <f t="shared" si="2"/>
        <v/>
      </c>
      <c r="C1535" s="105"/>
      <c r="D1535" s="10"/>
      <c r="E1535" s="59" t="str">
        <f t="array" ref="E1535">IF(COUNTA(C1535:C1673)=0,"",SUM((COUNTIF(C$4:C1535,Upgrades!$B$3:$B$13)-COUNTIF(C$4:C1535,"Sell_"&amp;Upgrades!$B$3:$B$13))*Upgrades!$D$3:$D$13))</f>
        <v/>
      </c>
      <c r="F1535" s="66" t="str">
        <f>IFERROR(__xludf.DUMMYFUNCTION("IF(COUNTA(C1535:C1673)=0,"""",IF(REGEXMATCH(INDEX(FILTER(C$4:C1535,C$4:C1535&lt;&gt;""""),ROWS(FILTER(C$4:C1535,C$4:C1535&lt;&gt;""""))),""^Sell_""),INDEX(FILTER(F$4:F1534,C$4:C1534&lt;&gt;""""),ROWS(FILTER(C$4:C1534,C$4:C1534&lt;&gt;""""))),$AC$5+E1535))"),"")</f>
        <v/>
      </c>
      <c r="G1535" s="10" t="str">
        <f>IFERROR(__xludf.DUMMYFUNCTION("IF(COUNTA(C1535:C1673)=0,"""",IF(C1535="""",0,IF(REGEXMATCH(C1535,""^Sell_""),-ROUNDDOWN(ROUNDUP(INDEX(Upgrades!$C$3:$C$13,MATCH(SUBSTITUTE(C1535,""Sell_"",""""),Upgrades!$B$3:$B$13,0))*1.15^(COUNTIF(C$4:C1534,SUBSTITUTE(C1535,""Sell_"",""""))-COUNTIF(C$4"&amp;":C1534,""Sell_""&amp;SUBSTITUTE(C1535,""Sell_"",""""))))/2),ROUNDUP(INDEX(Upgrades!$C$3:$C$13,MATCH(C1535,Upgrades!$B$3:$B$13,0))*1.15^(COUNTIF(C$4:C1534,C1535)-COUNTIF(C$4:C1534,""Sell_""&amp;C1535))))))"),"")</f>
        <v/>
      </c>
      <c r="H1535" s="10" t="str">
        <f t="shared" si="3"/>
        <v/>
      </c>
      <c r="I1535" s="68" t="str">
        <f t="shared" si="4"/>
        <v/>
      </c>
      <c r="J1535" s="59" t="str">
        <f t="shared" si="5"/>
        <v/>
      </c>
      <c r="K1535" s="69" t="str">
        <f t="shared" si="6"/>
        <v/>
      </c>
      <c r="L1535" s="60" t="str">
        <f t="shared" si="7"/>
        <v/>
      </c>
      <c r="M1535" s="61" t="str">
        <f>IFERROR(__xludf.DUMMYFUNCTION("IFS(AND(COUNTA(C1535:C1673)=0,COUNTA(Q1535:Q1673)=0),"""",OR(AND(K1535&gt;=1000000000,OR(Y1535&gt;=1000000000,COUNTA(Q1535:Q1673)=0)),OR(Y1535&gt;=1000000000,AND(COUNTA(C1535:C1673)=0,P$3=TRUE))),
ROUNDDOWN((AB$1-AC$1)*MAX(INDEX(T$4:T1673,MATCH(LARGE(FILTER(Y$4:Y1"&amp;"673,Y$4:Y1673&lt;1000000000),1),Y$4:Y1673)),INDEX(F$4:F1673,MATCH(LARGE(FILTER(K$4:K1673,K$4:K1673&lt;1000000000),1),K$4:K1673)))),AND(K1535&lt;1000000000,COUNTA(C1535:C1673)&gt;0,P$3=FALSE),
ROUNDDOWN(INDEX(Y$4:Y1673,MATCH(LARGE(FILTER(W$4:W1673,W$4:W1673&lt;=I1535),1)"&amp;",W$4:W1673))+(I1535-LARGE(FILTER(W$4:W1673,W$4:W1673&lt;=I1535),1))*INDEX(T$4:T1673,MATCH(LARGE(FILTER(W$4:W1673,W$4:W1673&lt;=I1535),1),W$4:W1673))-K1535),1,
ROUNDDOWN(Y1535-INDEX(K$4:K1673,MATCH(LARGE(FILTER(I$4:I1673,I$4:I1673&lt;=W1535),1),I$4:I1673))-(W1535-L"&amp;"ARGE(FILTER(I$4:I1673,I$4:I1673&lt;=W1535),1))*INDEX(F$4:F1673,MATCH(LARGE(FILTER(I$4:I1673,I$4:I1673&lt;=W1535),1),I$4:I1673))))"),"")</f>
        <v/>
      </c>
      <c r="N1535" s="60" t="str">
        <f t="shared" si="8"/>
        <v/>
      </c>
      <c r="O1535" s="61" t="str">
        <f t="shared" si="9"/>
        <v/>
      </c>
      <c r="P1535" s="56" t="str">
        <f t="shared" si="10"/>
        <v/>
      </c>
      <c r="Q1535" s="67"/>
      <c r="R1535" s="10"/>
      <c r="S1535" s="59" t="str">
        <f t="array" ref="S1535">IF(COUNTA(Q1535:Q1673)=0,"",SUM((COUNTIF(Q$4:Q1535,Upgrades!$B$3:$B$13)-COUNTIF(Q$4:Q1535,"Sell_"&amp;Upgrades!$B$3:$B$13))*Upgrades!$D$3:$D$13))</f>
        <v/>
      </c>
      <c r="T1535" s="66" t="str">
        <f>IFERROR(__xludf.DUMMYFUNCTION("IF(COUNTA(Q1535:Q1673)=0,"""",IF(REGEXMATCH(INDEX(FILTER(Q$4:Q1535,Q$4:Q1535&lt;&gt;""""),ROWS(FILTER(Q$4:Q1535,Q$4:Q1535&lt;&gt;""""))),""^Sell_""),INDEX(FILTER(T$4:T1534,Q$4:Q1534&lt;&gt;""""),ROWS(FILTER(Q$4:Q1534,Q$4:Q1534&lt;&gt;""""))),$AD$5+S1535))"),"")</f>
        <v/>
      </c>
      <c r="U1535" s="10" t="str">
        <f>IFERROR(__xludf.DUMMYFUNCTION("IF(COUNTA(Q1535:Q1673)=0,"""",IF(Q1535="""",0,IF(REGEXMATCH(Q1535,""^Sell_""),-ROUNDDOWN(ROUNDUP(INDEX(Upgrades!$C$3:$C$13,MATCH(SUBSTITUTE(Q1535,""Sell_"",""""),Upgrades!$B$3:$B$13,0))*1.15^(COUNTIF(Q$4:Q1534,SUBSTITUTE(Q1535,""Sell_"",""""))-COUNTIF(Q$4"&amp;":Q1534,""Sell_""&amp;SUBSTITUTE(Q1535,""Sell_"",""""))))/2),ROUNDUP(INDEX(Upgrades!$C$3:$C$13,MATCH(Q1535,Upgrades!$B$3:$B$13,0))*1.15^(COUNTIF(Q$4:Q1534,Q1535)-COUNTIF(Q$4:Q1534,""Sell_""&amp;Q1535))))))"),"")</f>
        <v/>
      </c>
      <c r="V1535" s="10" t="str">
        <f t="shared" si="11"/>
        <v/>
      </c>
      <c r="W1535" s="68" t="str">
        <f t="shared" si="12"/>
        <v/>
      </c>
      <c r="X1535" s="59" t="str">
        <f t="shared" si="13"/>
        <v/>
      </c>
      <c r="Y1535" s="69" t="str">
        <f t="shared" si="14"/>
        <v/>
      </c>
      <c r="Z1535" s="11"/>
    </row>
    <row r="1536">
      <c r="A1536" s="8"/>
      <c r="B1536" s="56" t="str">
        <f t="shared" si="2"/>
        <v/>
      </c>
      <c r="C1536" s="105"/>
      <c r="D1536" s="10"/>
      <c r="E1536" s="59" t="str">
        <f t="array" ref="E1536">IF(COUNTA(C1536:C1673)=0,"",SUM((COUNTIF(C$4:C1536,Upgrades!$B$3:$B$13)-COUNTIF(C$4:C1536,"Sell_"&amp;Upgrades!$B$3:$B$13))*Upgrades!$D$3:$D$13))</f>
        <v/>
      </c>
      <c r="F1536" s="66" t="str">
        <f>IFERROR(__xludf.DUMMYFUNCTION("IF(COUNTA(C1536:C1673)=0,"""",IF(REGEXMATCH(INDEX(FILTER(C$4:C1536,C$4:C1536&lt;&gt;""""),ROWS(FILTER(C$4:C1536,C$4:C1536&lt;&gt;""""))),""^Sell_""),INDEX(FILTER(F$4:F1535,C$4:C1535&lt;&gt;""""),ROWS(FILTER(C$4:C1535,C$4:C1535&lt;&gt;""""))),$AC$5+E1536))"),"")</f>
        <v/>
      </c>
      <c r="G1536" s="10" t="str">
        <f>IFERROR(__xludf.DUMMYFUNCTION("IF(COUNTA(C1536:C1673)=0,"""",IF(C1536="""",0,IF(REGEXMATCH(C1536,""^Sell_""),-ROUNDDOWN(ROUNDUP(INDEX(Upgrades!$C$3:$C$13,MATCH(SUBSTITUTE(C1536,""Sell_"",""""),Upgrades!$B$3:$B$13,0))*1.15^(COUNTIF(C$4:C1535,SUBSTITUTE(C1536,""Sell_"",""""))-COUNTIF(C$4"&amp;":C1535,""Sell_""&amp;SUBSTITUTE(C1536,""Sell_"",""""))))/2),ROUNDUP(INDEX(Upgrades!$C$3:$C$13,MATCH(C1536,Upgrades!$B$3:$B$13,0))*1.15^(COUNTIF(C$4:C1535,C1536)-COUNTIF(C$4:C1535,""Sell_""&amp;C1536))))))"),"")</f>
        <v/>
      </c>
      <c r="H1536" s="10" t="str">
        <f t="shared" si="3"/>
        <v/>
      </c>
      <c r="I1536" s="68" t="str">
        <f t="shared" si="4"/>
        <v/>
      </c>
      <c r="J1536" s="59" t="str">
        <f t="shared" si="5"/>
        <v/>
      </c>
      <c r="K1536" s="69" t="str">
        <f t="shared" si="6"/>
        <v/>
      </c>
      <c r="L1536" s="60" t="str">
        <f t="shared" si="7"/>
        <v/>
      </c>
      <c r="M1536" s="61" t="str">
        <f>IFERROR(__xludf.DUMMYFUNCTION("IFS(AND(COUNTA(C1536:C1673)=0,COUNTA(Q1536:Q1673)=0),"""",OR(AND(K1536&gt;=1000000000,OR(Y1536&gt;=1000000000,COUNTA(Q1536:Q1673)=0)),OR(Y1536&gt;=1000000000,AND(COUNTA(C1536:C1673)=0,P$3=TRUE))),
ROUNDDOWN((AB$1-AC$1)*MAX(INDEX(T$4:T1673,MATCH(LARGE(FILTER(Y$4:Y1"&amp;"673,Y$4:Y1673&lt;1000000000),1),Y$4:Y1673)),INDEX(F$4:F1673,MATCH(LARGE(FILTER(K$4:K1673,K$4:K1673&lt;1000000000),1),K$4:K1673)))),AND(K1536&lt;1000000000,COUNTA(C1536:C1673)&gt;0,P$3=FALSE),
ROUNDDOWN(INDEX(Y$4:Y1673,MATCH(LARGE(FILTER(W$4:W1673,W$4:W1673&lt;=I1536),1)"&amp;",W$4:W1673))+(I1536-LARGE(FILTER(W$4:W1673,W$4:W1673&lt;=I1536),1))*INDEX(T$4:T1673,MATCH(LARGE(FILTER(W$4:W1673,W$4:W1673&lt;=I1536),1),W$4:W1673))-K1536),1,
ROUNDDOWN(Y1536-INDEX(K$4:K1673,MATCH(LARGE(FILTER(I$4:I1673,I$4:I1673&lt;=W1536),1),I$4:I1673))-(W1536-L"&amp;"ARGE(FILTER(I$4:I1673,I$4:I1673&lt;=W1536),1))*INDEX(F$4:F1673,MATCH(LARGE(FILTER(I$4:I1673,I$4:I1673&lt;=W1536),1),I$4:I1673))))"),"")</f>
        <v/>
      </c>
      <c r="N1536" s="60" t="str">
        <f t="shared" si="8"/>
        <v/>
      </c>
      <c r="O1536" s="61" t="str">
        <f t="shared" si="9"/>
        <v/>
      </c>
      <c r="P1536" s="56" t="str">
        <f t="shared" si="10"/>
        <v/>
      </c>
      <c r="Q1536" s="67"/>
      <c r="R1536" s="10"/>
      <c r="S1536" s="59" t="str">
        <f t="array" ref="S1536">IF(COUNTA(Q1536:Q1673)=0,"",SUM((COUNTIF(Q$4:Q1536,Upgrades!$B$3:$B$13)-COUNTIF(Q$4:Q1536,"Sell_"&amp;Upgrades!$B$3:$B$13))*Upgrades!$D$3:$D$13))</f>
        <v/>
      </c>
      <c r="T1536" s="66" t="str">
        <f>IFERROR(__xludf.DUMMYFUNCTION("IF(COUNTA(Q1536:Q1673)=0,"""",IF(REGEXMATCH(INDEX(FILTER(Q$4:Q1536,Q$4:Q1536&lt;&gt;""""),ROWS(FILTER(Q$4:Q1536,Q$4:Q1536&lt;&gt;""""))),""^Sell_""),INDEX(FILTER(T$4:T1535,Q$4:Q1535&lt;&gt;""""),ROWS(FILTER(Q$4:Q1535,Q$4:Q1535&lt;&gt;""""))),$AD$5+S1536))"),"")</f>
        <v/>
      </c>
      <c r="U1536" s="10" t="str">
        <f>IFERROR(__xludf.DUMMYFUNCTION("IF(COUNTA(Q1536:Q1673)=0,"""",IF(Q1536="""",0,IF(REGEXMATCH(Q1536,""^Sell_""),-ROUNDDOWN(ROUNDUP(INDEX(Upgrades!$C$3:$C$13,MATCH(SUBSTITUTE(Q1536,""Sell_"",""""),Upgrades!$B$3:$B$13,0))*1.15^(COUNTIF(Q$4:Q1535,SUBSTITUTE(Q1536,""Sell_"",""""))-COUNTIF(Q$4"&amp;":Q1535,""Sell_""&amp;SUBSTITUTE(Q1536,""Sell_"",""""))))/2),ROUNDUP(INDEX(Upgrades!$C$3:$C$13,MATCH(Q1536,Upgrades!$B$3:$B$13,0))*1.15^(COUNTIF(Q$4:Q1535,Q1536)-COUNTIF(Q$4:Q1535,""Sell_""&amp;Q1536))))))"),"")</f>
        <v/>
      </c>
      <c r="V1536" s="10" t="str">
        <f t="shared" si="11"/>
        <v/>
      </c>
      <c r="W1536" s="68" t="str">
        <f t="shared" si="12"/>
        <v/>
      </c>
      <c r="X1536" s="59" t="str">
        <f t="shared" si="13"/>
        <v/>
      </c>
      <c r="Y1536" s="69" t="str">
        <f t="shared" si="14"/>
        <v/>
      </c>
      <c r="Z1536" s="11"/>
    </row>
    <row r="1537">
      <c r="A1537" s="8"/>
      <c r="B1537" s="56" t="str">
        <f t="shared" si="2"/>
        <v/>
      </c>
      <c r="C1537" s="105"/>
      <c r="D1537" s="10"/>
      <c r="E1537" s="59" t="str">
        <f t="array" ref="E1537">IF(COUNTA(C1537:C1673)=0,"",SUM((COUNTIF(C$4:C1537,Upgrades!$B$3:$B$13)-COUNTIF(C$4:C1537,"Sell_"&amp;Upgrades!$B$3:$B$13))*Upgrades!$D$3:$D$13))</f>
        <v/>
      </c>
      <c r="F1537" s="66" t="str">
        <f>IFERROR(__xludf.DUMMYFUNCTION("IF(COUNTA(C1537:C1673)=0,"""",IF(REGEXMATCH(INDEX(FILTER(C$4:C1537,C$4:C1537&lt;&gt;""""),ROWS(FILTER(C$4:C1537,C$4:C1537&lt;&gt;""""))),""^Sell_""),INDEX(FILTER(F$4:F1536,C$4:C1536&lt;&gt;""""),ROWS(FILTER(C$4:C1536,C$4:C1536&lt;&gt;""""))),$AC$5+E1537))"),"")</f>
        <v/>
      </c>
      <c r="G1537" s="10" t="str">
        <f>IFERROR(__xludf.DUMMYFUNCTION("IF(COUNTA(C1537:C1673)=0,"""",IF(C1537="""",0,IF(REGEXMATCH(C1537,""^Sell_""),-ROUNDDOWN(ROUNDUP(INDEX(Upgrades!$C$3:$C$13,MATCH(SUBSTITUTE(C1537,""Sell_"",""""),Upgrades!$B$3:$B$13,0))*1.15^(COUNTIF(C$4:C1536,SUBSTITUTE(C1537,""Sell_"",""""))-COUNTIF(C$4"&amp;":C1536,""Sell_""&amp;SUBSTITUTE(C1537,""Sell_"",""""))))/2),ROUNDUP(INDEX(Upgrades!$C$3:$C$13,MATCH(C1537,Upgrades!$B$3:$B$13,0))*1.15^(COUNTIF(C$4:C1536,C1537)-COUNTIF(C$4:C1536,""Sell_""&amp;C1537))))))"),"")</f>
        <v/>
      </c>
      <c r="H1537" s="10" t="str">
        <f t="shared" si="3"/>
        <v/>
      </c>
      <c r="I1537" s="68" t="str">
        <f t="shared" si="4"/>
        <v/>
      </c>
      <c r="J1537" s="59" t="str">
        <f t="shared" si="5"/>
        <v/>
      </c>
      <c r="K1537" s="69" t="str">
        <f t="shared" si="6"/>
        <v/>
      </c>
      <c r="L1537" s="60" t="str">
        <f t="shared" si="7"/>
        <v/>
      </c>
      <c r="M1537" s="61" t="str">
        <f>IFERROR(__xludf.DUMMYFUNCTION("IFS(AND(COUNTA(C1537:C1673)=0,COUNTA(Q1537:Q1673)=0),"""",OR(AND(K1537&gt;=1000000000,OR(Y1537&gt;=1000000000,COUNTA(Q1537:Q1673)=0)),OR(Y1537&gt;=1000000000,AND(COUNTA(C1537:C1673)=0,P$3=TRUE))),
ROUNDDOWN((AB$1-AC$1)*MAX(INDEX(T$4:T1673,MATCH(LARGE(FILTER(Y$4:Y1"&amp;"673,Y$4:Y1673&lt;1000000000),1),Y$4:Y1673)),INDEX(F$4:F1673,MATCH(LARGE(FILTER(K$4:K1673,K$4:K1673&lt;1000000000),1),K$4:K1673)))),AND(K1537&lt;1000000000,COUNTA(C1537:C1673)&gt;0,P$3=FALSE),
ROUNDDOWN(INDEX(Y$4:Y1673,MATCH(LARGE(FILTER(W$4:W1673,W$4:W1673&lt;=I1537),1)"&amp;",W$4:W1673))+(I1537-LARGE(FILTER(W$4:W1673,W$4:W1673&lt;=I1537),1))*INDEX(T$4:T1673,MATCH(LARGE(FILTER(W$4:W1673,W$4:W1673&lt;=I1537),1),W$4:W1673))-K1537),1,
ROUNDDOWN(Y1537-INDEX(K$4:K1673,MATCH(LARGE(FILTER(I$4:I1673,I$4:I1673&lt;=W1537),1),I$4:I1673))-(W1537-L"&amp;"ARGE(FILTER(I$4:I1673,I$4:I1673&lt;=W1537),1))*INDEX(F$4:F1673,MATCH(LARGE(FILTER(I$4:I1673,I$4:I1673&lt;=W1537),1),I$4:I1673))))"),"")</f>
        <v/>
      </c>
      <c r="N1537" s="60" t="str">
        <f t="shared" si="8"/>
        <v/>
      </c>
      <c r="O1537" s="61" t="str">
        <f t="shared" si="9"/>
        <v/>
      </c>
      <c r="P1537" s="56" t="str">
        <f t="shared" si="10"/>
        <v/>
      </c>
      <c r="Q1537" s="67"/>
      <c r="R1537" s="10"/>
      <c r="S1537" s="59" t="str">
        <f t="array" ref="S1537">IF(COUNTA(Q1537:Q1673)=0,"",SUM((COUNTIF(Q$4:Q1537,Upgrades!$B$3:$B$13)-COUNTIF(Q$4:Q1537,"Sell_"&amp;Upgrades!$B$3:$B$13))*Upgrades!$D$3:$D$13))</f>
        <v/>
      </c>
      <c r="T1537" s="66" t="str">
        <f>IFERROR(__xludf.DUMMYFUNCTION("IF(COUNTA(Q1537:Q1673)=0,"""",IF(REGEXMATCH(INDEX(FILTER(Q$4:Q1537,Q$4:Q1537&lt;&gt;""""),ROWS(FILTER(Q$4:Q1537,Q$4:Q1537&lt;&gt;""""))),""^Sell_""),INDEX(FILTER(T$4:T1536,Q$4:Q1536&lt;&gt;""""),ROWS(FILTER(Q$4:Q1536,Q$4:Q1536&lt;&gt;""""))),$AD$5+S1537))"),"")</f>
        <v/>
      </c>
      <c r="U1537" s="10" t="str">
        <f>IFERROR(__xludf.DUMMYFUNCTION("IF(COUNTA(Q1537:Q1673)=0,"""",IF(Q1537="""",0,IF(REGEXMATCH(Q1537,""^Sell_""),-ROUNDDOWN(ROUNDUP(INDEX(Upgrades!$C$3:$C$13,MATCH(SUBSTITUTE(Q1537,""Sell_"",""""),Upgrades!$B$3:$B$13,0))*1.15^(COUNTIF(Q$4:Q1536,SUBSTITUTE(Q1537,""Sell_"",""""))-COUNTIF(Q$4"&amp;":Q1536,""Sell_""&amp;SUBSTITUTE(Q1537,""Sell_"",""""))))/2),ROUNDUP(INDEX(Upgrades!$C$3:$C$13,MATCH(Q1537,Upgrades!$B$3:$B$13,0))*1.15^(COUNTIF(Q$4:Q1536,Q1537)-COUNTIF(Q$4:Q1536,""Sell_""&amp;Q1537))))))"),"")</f>
        <v/>
      </c>
      <c r="V1537" s="10" t="str">
        <f t="shared" si="11"/>
        <v/>
      </c>
      <c r="W1537" s="68" t="str">
        <f t="shared" si="12"/>
        <v/>
      </c>
      <c r="X1537" s="59" t="str">
        <f t="shared" si="13"/>
        <v/>
      </c>
      <c r="Y1537" s="69" t="str">
        <f t="shared" si="14"/>
        <v/>
      </c>
      <c r="Z1537" s="11"/>
    </row>
    <row r="1538">
      <c r="A1538" s="8"/>
      <c r="B1538" s="56" t="str">
        <f t="shared" si="2"/>
        <v/>
      </c>
      <c r="C1538" s="105"/>
      <c r="D1538" s="10"/>
      <c r="E1538" s="59" t="str">
        <f t="array" ref="E1538">IF(COUNTA(C1538:C1673)=0,"",SUM((COUNTIF(C$4:C1538,Upgrades!$B$3:$B$13)-COUNTIF(C$4:C1538,"Sell_"&amp;Upgrades!$B$3:$B$13))*Upgrades!$D$3:$D$13))</f>
        <v/>
      </c>
      <c r="F1538" s="66" t="str">
        <f>IFERROR(__xludf.DUMMYFUNCTION("IF(COUNTA(C1538:C1673)=0,"""",IF(REGEXMATCH(INDEX(FILTER(C$4:C1538,C$4:C1538&lt;&gt;""""),ROWS(FILTER(C$4:C1538,C$4:C1538&lt;&gt;""""))),""^Sell_""),INDEX(FILTER(F$4:F1537,C$4:C1537&lt;&gt;""""),ROWS(FILTER(C$4:C1537,C$4:C1537&lt;&gt;""""))),$AC$5+E1538))"),"")</f>
        <v/>
      </c>
      <c r="G1538" s="10" t="str">
        <f>IFERROR(__xludf.DUMMYFUNCTION("IF(COUNTA(C1538:C1673)=0,"""",IF(C1538="""",0,IF(REGEXMATCH(C1538,""^Sell_""),-ROUNDDOWN(ROUNDUP(INDEX(Upgrades!$C$3:$C$13,MATCH(SUBSTITUTE(C1538,""Sell_"",""""),Upgrades!$B$3:$B$13,0))*1.15^(COUNTIF(C$4:C1537,SUBSTITUTE(C1538,""Sell_"",""""))-COUNTIF(C$4"&amp;":C1537,""Sell_""&amp;SUBSTITUTE(C1538,""Sell_"",""""))))/2),ROUNDUP(INDEX(Upgrades!$C$3:$C$13,MATCH(C1538,Upgrades!$B$3:$B$13,0))*1.15^(COUNTIF(C$4:C1537,C1538)-COUNTIF(C$4:C1537,""Sell_""&amp;C1538))))))"),"")</f>
        <v/>
      </c>
      <c r="H1538" s="10" t="str">
        <f t="shared" si="3"/>
        <v/>
      </c>
      <c r="I1538" s="68" t="str">
        <f t="shared" si="4"/>
        <v/>
      </c>
      <c r="J1538" s="59" t="str">
        <f t="shared" si="5"/>
        <v/>
      </c>
      <c r="K1538" s="69" t="str">
        <f t="shared" si="6"/>
        <v/>
      </c>
      <c r="L1538" s="60" t="str">
        <f t="shared" si="7"/>
        <v/>
      </c>
      <c r="M1538" s="61" t="str">
        <f>IFERROR(__xludf.DUMMYFUNCTION("IFS(AND(COUNTA(C1538:C1673)=0,COUNTA(Q1538:Q1673)=0),"""",OR(AND(K1538&gt;=1000000000,OR(Y1538&gt;=1000000000,COUNTA(Q1538:Q1673)=0)),OR(Y1538&gt;=1000000000,AND(COUNTA(C1538:C1673)=0,P$3=TRUE))),
ROUNDDOWN((AB$1-AC$1)*MAX(INDEX(T$4:T1673,MATCH(LARGE(FILTER(Y$4:Y1"&amp;"673,Y$4:Y1673&lt;1000000000),1),Y$4:Y1673)),INDEX(F$4:F1673,MATCH(LARGE(FILTER(K$4:K1673,K$4:K1673&lt;1000000000),1),K$4:K1673)))),AND(K1538&lt;1000000000,COUNTA(C1538:C1673)&gt;0,P$3=FALSE),
ROUNDDOWN(INDEX(Y$4:Y1673,MATCH(LARGE(FILTER(W$4:W1673,W$4:W1673&lt;=I1538),1)"&amp;",W$4:W1673))+(I1538-LARGE(FILTER(W$4:W1673,W$4:W1673&lt;=I1538),1))*INDEX(T$4:T1673,MATCH(LARGE(FILTER(W$4:W1673,W$4:W1673&lt;=I1538),1),W$4:W1673))-K1538),1,
ROUNDDOWN(Y1538-INDEX(K$4:K1673,MATCH(LARGE(FILTER(I$4:I1673,I$4:I1673&lt;=W1538),1),I$4:I1673))-(W1538-L"&amp;"ARGE(FILTER(I$4:I1673,I$4:I1673&lt;=W1538),1))*INDEX(F$4:F1673,MATCH(LARGE(FILTER(I$4:I1673,I$4:I1673&lt;=W1538),1),I$4:I1673))))"),"")</f>
        <v/>
      </c>
      <c r="N1538" s="60" t="str">
        <f t="shared" si="8"/>
        <v/>
      </c>
      <c r="O1538" s="61" t="str">
        <f t="shared" si="9"/>
        <v/>
      </c>
      <c r="P1538" s="56" t="str">
        <f t="shared" si="10"/>
        <v/>
      </c>
      <c r="Q1538" s="67"/>
      <c r="R1538" s="10"/>
      <c r="S1538" s="59" t="str">
        <f t="array" ref="S1538">IF(COUNTA(Q1538:Q1673)=0,"",SUM((COUNTIF(Q$4:Q1538,Upgrades!$B$3:$B$13)-COUNTIF(Q$4:Q1538,"Sell_"&amp;Upgrades!$B$3:$B$13))*Upgrades!$D$3:$D$13))</f>
        <v/>
      </c>
      <c r="T1538" s="66" t="str">
        <f>IFERROR(__xludf.DUMMYFUNCTION("IF(COUNTA(Q1538:Q1673)=0,"""",IF(REGEXMATCH(INDEX(FILTER(Q$4:Q1538,Q$4:Q1538&lt;&gt;""""),ROWS(FILTER(Q$4:Q1538,Q$4:Q1538&lt;&gt;""""))),""^Sell_""),INDEX(FILTER(T$4:T1537,Q$4:Q1537&lt;&gt;""""),ROWS(FILTER(Q$4:Q1537,Q$4:Q1537&lt;&gt;""""))),$AD$5+S1538))"),"")</f>
        <v/>
      </c>
      <c r="U1538" s="10" t="str">
        <f>IFERROR(__xludf.DUMMYFUNCTION("IF(COUNTA(Q1538:Q1673)=0,"""",IF(Q1538="""",0,IF(REGEXMATCH(Q1538,""^Sell_""),-ROUNDDOWN(ROUNDUP(INDEX(Upgrades!$C$3:$C$13,MATCH(SUBSTITUTE(Q1538,""Sell_"",""""),Upgrades!$B$3:$B$13,0))*1.15^(COUNTIF(Q$4:Q1537,SUBSTITUTE(Q1538,""Sell_"",""""))-COUNTIF(Q$4"&amp;":Q1537,""Sell_""&amp;SUBSTITUTE(Q1538,""Sell_"",""""))))/2),ROUNDUP(INDEX(Upgrades!$C$3:$C$13,MATCH(Q1538,Upgrades!$B$3:$B$13,0))*1.15^(COUNTIF(Q$4:Q1537,Q1538)-COUNTIF(Q$4:Q1537,""Sell_""&amp;Q1538))))))"),"")</f>
        <v/>
      </c>
      <c r="V1538" s="10" t="str">
        <f t="shared" si="11"/>
        <v/>
      </c>
      <c r="W1538" s="68" t="str">
        <f t="shared" si="12"/>
        <v/>
      </c>
      <c r="X1538" s="59" t="str">
        <f t="shared" si="13"/>
        <v/>
      </c>
      <c r="Y1538" s="69" t="str">
        <f t="shared" si="14"/>
        <v/>
      </c>
      <c r="Z1538" s="11"/>
    </row>
    <row r="1539">
      <c r="A1539" s="8"/>
      <c r="B1539" s="56" t="str">
        <f t="shared" si="2"/>
        <v/>
      </c>
      <c r="C1539" s="105"/>
      <c r="D1539" s="10"/>
      <c r="E1539" s="59" t="str">
        <f t="array" ref="E1539">IF(COUNTA(C1539:C1673)=0,"",SUM((COUNTIF(C$4:C1539,Upgrades!$B$3:$B$13)-COUNTIF(C$4:C1539,"Sell_"&amp;Upgrades!$B$3:$B$13))*Upgrades!$D$3:$D$13))</f>
        <v/>
      </c>
      <c r="F1539" s="66" t="str">
        <f>IFERROR(__xludf.DUMMYFUNCTION("IF(COUNTA(C1539:C1673)=0,"""",IF(REGEXMATCH(INDEX(FILTER(C$4:C1539,C$4:C1539&lt;&gt;""""),ROWS(FILTER(C$4:C1539,C$4:C1539&lt;&gt;""""))),""^Sell_""),INDEX(FILTER(F$4:F1538,C$4:C1538&lt;&gt;""""),ROWS(FILTER(C$4:C1538,C$4:C1538&lt;&gt;""""))),$AC$5+E1539))"),"")</f>
        <v/>
      </c>
      <c r="G1539" s="10" t="str">
        <f>IFERROR(__xludf.DUMMYFUNCTION("IF(COUNTA(C1539:C1673)=0,"""",IF(C1539="""",0,IF(REGEXMATCH(C1539,""^Sell_""),-ROUNDDOWN(ROUNDUP(INDEX(Upgrades!$C$3:$C$13,MATCH(SUBSTITUTE(C1539,""Sell_"",""""),Upgrades!$B$3:$B$13,0))*1.15^(COUNTIF(C$4:C1538,SUBSTITUTE(C1539,""Sell_"",""""))-COUNTIF(C$4"&amp;":C1538,""Sell_""&amp;SUBSTITUTE(C1539,""Sell_"",""""))))/2),ROUNDUP(INDEX(Upgrades!$C$3:$C$13,MATCH(C1539,Upgrades!$B$3:$B$13,0))*1.15^(COUNTIF(C$4:C1538,C1539)-COUNTIF(C$4:C1538,""Sell_""&amp;C1539))))))"),"")</f>
        <v/>
      </c>
      <c r="H1539" s="10" t="str">
        <f t="shared" si="3"/>
        <v/>
      </c>
      <c r="I1539" s="68" t="str">
        <f t="shared" si="4"/>
        <v/>
      </c>
      <c r="J1539" s="59" t="str">
        <f t="shared" si="5"/>
        <v/>
      </c>
      <c r="K1539" s="69" t="str">
        <f t="shared" si="6"/>
        <v/>
      </c>
      <c r="L1539" s="60" t="str">
        <f t="shared" si="7"/>
        <v/>
      </c>
      <c r="M1539" s="61" t="str">
        <f>IFERROR(__xludf.DUMMYFUNCTION("IFS(AND(COUNTA(C1539:C1673)=0,COUNTA(Q1539:Q1673)=0),"""",OR(AND(K1539&gt;=1000000000,OR(Y1539&gt;=1000000000,COUNTA(Q1539:Q1673)=0)),OR(Y1539&gt;=1000000000,AND(COUNTA(C1539:C1673)=0,P$3=TRUE))),
ROUNDDOWN((AB$1-AC$1)*MAX(INDEX(T$4:T1673,MATCH(LARGE(FILTER(Y$4:Y1"&amp;"673,Y$4:Y1673&lt;1000000000),1),Y$4:Y1673)),INDEX(F$4:F1673,MATCH(LARGE(FILTER(K$4:K1673,K$4:K1673&lt;1000000000),1),K$4:K1673)))),AND(K1539&lt;1000000000,COUNTA(C1539:C1673)&gt;0,P$3=FALSE),
ROUNDDOWN(INDEX(Y$4:Y1673,MATCH(LARGE(FILTER(W$4:W1673,W$4:W1673&lt;=I1539),1)"&amp;",W$4:W1673))+(I1539-LARGE(FILTER(W$4:W1673,W$4:W1673&lt;=I1539),1))*INDEX(T$4:T1673,MATCH(LARGE(FILTER(W$4:W1673,W$4:W1673&lt;=I1539),1),W$4:W1673))-K1539),1,
ROUNDDOWN(Y1539-INDEX(K$4:K1673,MATCH(LARGE(FILTER(I$4:I1673,I$4:I1673&lt;=W1539),1),I$4:I1673))-(W1539-L"&amp;"ARGE(FILTER(I$4:I1673,I$4:I1673&lt;=W1539),1))*INDEX(F$4:F1673,MATCH(LARGE(FILTER(I$4:I1673,I$4:I1673&lt;=W1539),1),I$4:I1673))))"),"")</f>
        <v/>
      </c>
      <c r="N1539" s="60" t="str">
        <f t="shared" si="8"/>
        <v/>
      </c>
      <c r="O1539" s="61" t="str">
        <f t="shared" si="9"/>
        <v/>
      </c>
      <c r="P1539" s="56" t="str">
        <f t="shared" si="10"/>
        <v/>
      </c>
      <c r="Q1539" s="67"/>
      <c r="R1539" s="10"/>
      <c r="S1539" s="59" t="str">
        <f t="array" ref="S1539">IF(COUNTA(Q1539:Q1673)=0,"",SUM((COUNTIF(Q$4:Q1539,Upgrades!$B$3:$B$13)-COUNTIF(Q$4:Q1539,"Sell_"&amp;Upgrades!$B$3:$B$13))*Upgrades!$D$3:$D$13))</f>
        <v/>
      </c>
      <c r="T1539" s="66" t="str">
        <f>IFERROR(__xludf.DUMMYFUNCTION("IF(COUNTA(Q1539:Q1673)=0,"""",IF(REGEXMATCH(INDEX(FILTER(Q$4:Q1539,Q$4:Q1539&lt;&gt;""""),ROWS(FILTER(Q$4:Q1539,Q$4:Q1539&lt;&gt;""""))),""^Sell_""),INDEX(FILTER(T$4:T1538,Q$4:Q1538&lt;&gt;""""),ROWS(FILTER(Q$4:Q1538,Q$4:Q1538&lt;&gt;""""))),$AD$5+S1539))"),"")</f>
        <v/>
      </c>
      <c r="U1539" s="10" t="str">
        <f>IFERROR(__xludf.DUMMYFUNCTION("IF(COUNTA(Q1539:Q1673)=0,"""",IF(Q1539="""",0,IF(REGEXMATCH(Q1539,""^Sell_""),-ROUNDDOWN(ROUNDUP(INDEX(Upgrades!$C$3:$C$13,MATCH(SUBSTITUTE(Q1539,""Sell_"",""""),Upgrades!$B$3:$B$13,0))*1.15^(COUNTIF(Q$4:Q1538,SUBSTITUTE(Q1539,""Sell_"",""""))-COUNTIF(Q$4"&amp;":Q1538,""Sell_""&amp;SUBSTITUTE(Q1539,""Sell_"",""""))))/2),ROUNDUP(INDEX(Upgrades!$C$3:$C$13,MATCH(Q1539,Upgrades!$B$3:$B$13,0))*1.15^(COUNTIF(Q$4:Q1538,Q1539)-COUNTIF(Q$4:Q1538,""Sell_""&amp;Q1539))))))"),"")</f>
        <v/>
      </c>
      <c r="V1539" s="10" t="str">
        <f t="shared" si="11"/>
        <v/>
      </c>
      <c r="W1539" s="68" t="str">
        <f t="shared" si="12"/>
        <v/>
      </c>
      <c r="X1539" s="59" t="str">
        <f t="shared" si="13"/>
        <v/>
      </c>
      <c r="Y1539" s="69" t="str">
        <f t="shared" si="14"/>
        <v/>
      </c>
      <c r="Z1539" s="11"/>
    </row>
    <row r="1540">
      <c r="A1540" s="8"/>
      <c r="B1540" s="56" t="str">
        <f t="shared" si="2"/>
        <v/>
      </c>
      <c r="C1540" s="105"/>
      <c r="D1540" s="10"/>
      <c r="E1540" s="59" t="str">
        <f t="array" ref="E1540">IF(COUNTA(C1540:C1673)=0,"",SUM((COUNTIF(C$4:C1540,Upgrades!$B$3:$B$13)-COUNTIF(C$4:C1540,"Sell_"&amp;Upgrades!$B$3:$B$13))*Upgrades!$D$3:$D$13))</f>
        <v/>
      </c>
      <c r="F1540" s="66" t="str">
        <f>IFERROR(__xludf.DUMMYFUNCTION("IF(COUNTA(C1540:C1673)=0,"""",IF(REGEXMATCH(INDEX(FILTER(C$4:C1540,C$4:C1540&lt;&gt;""""),ROWS(FILTER(C$4:C1540,C$4:C1540&lt;&gt;""""))),""^Sell_""),INDEX(FILTER(F$4:F1539,C$4:C1539&lt;&gt;""""),ROWS(FILTER(C$4:C1539,C$4:C1539&lt;&gt;""""))),$AC$5+E1540))"),"")</f>
        <v/>
      </c>
      <c r="G1540" s="10" t="str">
        <f>IFERROR(__xludf.DUMMYFUNCTION("IF(COUNTA(C1540:C1673)=0,"""",IF(C1540="""",0,IF(REGEXMATCH(C1540,""^Sell_""),-ROUNDDOWN(ROUNDUP(INDEX(Upgrades!$C$3:$C$13,MATCH(SUBSTITUTE(C1540,""Sell_"",""""),Upgrades!$B$3:$B$13,0))*1.15^(COUNTIF(C$4:C1539,SUBSTITUTE(C1540,""Sell_"",""""))-COUNTIF(C$4"&amp;":C1539,""Sell_""&amp;SUBSTITUTE(C1540,""Sell_"",""""))))/2),ROUNDUP(INDEX(Upgrades!$C$3:$C$13,MATCH(C1540,Upgrades!$B$3:$B$13,0))*1.15^(COUNTIF(C$4:C1539,C1540)-COUNTIF(C$4:C1539,""Sell_""&amp;C1540))))))"),"")</f>
        <v/>
      </c>
      <c r="H1540" s="10" t="str">
        <f t="shared" si="3"/>
        <v/>
      </c>
      <c r="I1540" s="68" t="str">
        <f t="shared" si="4"/>
        <v/>
      </c>
      <c r="J1540" s="59" t="str">
        <f t="shared" si="5"/>
        <v/>
      </c>
      <c r="K1540" s="69" t="str">
        <f t="shared" si="6"/>
        <v/>
      </c>
      <c r="L1540" s="60" t="str">
        <f t="shared" si="7"/>
        <v/>
      </c>
      <c r="M1540" s="61" t="str">
        <f>IFERROR(__xludf.DUMMYFUNCTION("IFS(AND(COUNTA(C1540:C1673)=0,COUNTA(Q1540:Q1673)=0),"""",OR(AND(K1540&gt;=1000000000,OR(Y1540&gt;=1000000000,COUNTA(Q1540:Q1673)=0)),OR(Y1540&gt;=1000000000,AND(COUNTA(C1540:C1673)=0,P$3=TRUE))),
ROUNDDOWN((AB$1-AC$1)*MAX(INDEX(T$4:T1673,MATCH(LARGE(FILTER(Y$4:Y1"&amp;"673,Y$4:Y1673&lt;1000000000),1),Y$4:Y1673)),INDEX(F$4:F1673,MATCH(LARGE(FILTER(K$4:K1673,K$4:K1673&lt;1000000000),1),K$4:K1673)))),AND(K1540&lt;1000000000,COUNTA(C1540:C1673)&gt;0,P$3=FALSE),
ROUNDDOWN(INDEX(Y$4:Y1673,MATCH(LARGE(FILTER(W$4:W1673,W$4:W1673&lt;=I1540),1)"&amp;",W$4:W1673))+(I1540-LARGE(FILTER(W$4:W1673,W$4:W1673&lt;=I1540),1))*INDEX(T$4:T1673,MATCH(LARGE(FILTER(W$4:W1673,W$4:W1673&lt;=I1540),1),W$4:W1673))-K1540),1,
ROUNDDOWN(Y1540-INDEX(K$4:K1673,MATCH(LARGE(FILTER(I$4:I1673,I$4:I1673&lt;=W1540),1),I$4:I1673))-(W1540-L"&amp;"ARGE(FILTER(I$4:I1673,I$4:I1673&lt;=W1540),1))*INDEX(F$4:F1673,MATCH(LARGE(FILTER(I$4:I1673,I$4:I1673&lt;=W1540),1),I$4:I1673))))"),"")</f>
        <v/>
      </c>
      <c r="N1540" s="60" t="str">
        <f t="shared" si="8"/>
        <v/>
      </c>
      <c r="O1540" s="61" t="str">
        <f t="shared" si="9"/>
        <v/>
      </c>
      <c r="P1540" s="56" t="str">
        <f t="shared" si="10"/>
        <v/>
      </c>
      <c r="Q1540" s="67"/>
      <c r="R1540" s="10"/>
      <c r="S1540" s="59" t="str">
        <f t="array" ref="S1540">IF(COUNTA(Q1540:Q1673)=0,"",SUM((COUNTIF(Q$4:Q1540,Upgrades!$B$3:$B$13)-COUNTIF(Q$4:Q1540,"Sell_"&amp;Upgrades!$B$3:$B$13))*Upgrades!$D$3:$D$13))</f>
        <v/>
      </c>
      <c r="T1540" s="66" t="str">
        <f>IFERROR(__xludf.DUMMYFUNCTION("IF(COUNTA(Q1540:Q1673)=0,"""",IF(REGEXMATCH(INDEX(FILTER(Q$4:Q1540,Q$4:Q1540&lt;&gt;""""),ROWS(FILTER(Q$4:Q1540,Q$4:Q1540&lt;&gt;""""))),""^Sell_""),INDEX(FILTER(T$4:T1539,Q$4:Q1539&lt;&gt;""""),ROWS(FILTER(Q$4:Q1539,Q$4:Q1539&lt;&gt;""""))),$AD$5+S1540))"),"")</f>
        <v/>
      </c>
      <c r="U1540" s="10" t="str">
        <f>IFERROR(__xludf.DUMMYFUNCTION("IF(COUNTA(Q1540:Q1673)=0,"""",IF(Q1540="""",0,IF(REGEXMATCH(Q1540,""^Sell_""),-ROUNDDOWN(ROUNDUP(INDEX(Upgrades!$C$3:$C$13,MATCH(SUBSTITUTE(Q1540,""Sell_"",""""),Upgrades!$B$3:$B$13,0))*1.15^(COUNTIF(Q$4:Q1539,SUBSTITUTE(Q1540,""Sell_"",""""))-COUNTIF(Q$4"&amp;":Q1539,""Sell_""&amp;SUBSTITUTE(Q1540,""Sell_"",""""))))/2),ROUNDUP(INDEX(Upgrades!$C$3:$C$13,MATCH(Q1540,Upgrades!$B$3:$B$13,0))*1.15^(COUNTIF(Q$4:Q1539,Q1540)-COUNTIF(Q$4:Q1539,""Sell_""&amp;Q1540))))))"),"")</f>
        <v/>
      </c>
      <c r="V1540" s="10" t="str">
        <f t="shared" si="11"/>
        <v/>
      </c>
      <c r="W1540" s="68" t="str">
        <f t="shared" si="12"/>
        <v/>
      </c>
      <c r="X1540" s="59" t="str">
        <f t="shared" si="13"/>
        <v/>
      </c>
      <c r="Y1540" s="69" t="str">
        <f t="shared" si="14"/>
        <v/>
      </c>
      <c r="Z1540" s="11"/>
    </row>
    <row r="1541">
      <c r="A1541" s="8"/>
      <c r="B1541" s="56" t="str">
        <f t="shared" si="2"/>
        <v/>
      </c>
      <c r="C1541" s="105"/>
      <c r="D1541" s="10"/>
      <c r="E1541" s="59" t="str">
        <f t="array" ref="E1541">IF(COUNTA(C1541:C1673)=0,"",SUM((COUNTIF(C$4:C1541,Upgrades!$B$3:$B$13)-COUNTIF(C$4:C1541,"Sell_"&amp;Upgrades!$B$3:$B$13))*Upgrades!$D$3:$D$13))</f>
        <v/>
      </c>
      <c r="F1541" s="66" t="str">
        <f>IFERROR(__xludf.DUMMYFUNCTION("IF(COUNTA(C1541:C1673)=0,"""",IF(REGEXMATCH(INDEX(FILTER(C$4:C1541,C$4:C1541&lt;&gt;""""),ROWS(FILTER(C$4:C1541,C$4:C1541&lt;&gt;""""))),""^Sell_""),INDEX(FILTER(F$4:F1540,C$4:C1540&lt;&gt;""""),ROWS(FILTER(C$4:C1540,C$4:C1540&lt;&gt;""""))),$AC$5+E1541))"),"")</f>
        <v/>
      </c>
      <c r="G1541" s="10" t="str">
        <f>IFERROR(__xludf.DUMMYFUNCTION("IF(COUNTA(C1541:C1673)=0,"""",IF(C1541="""",0,IF(REGEXMATCH(C1541,""^Sell_""),-ROUNDDOWN(ROUNDUP(INDEX(Upgrades!$C$3:$C$13,MATCH(SUBSTITUTE(C1541,""Sell_"",""""),Upgrades!$B$3:$B$13,0))*1.15^(COUNTIF(C$4:C1540,SUBSTITUTE(C1541,""Sell_"",""""))-COUNTIF(C$4"&amp;":C1540,""Sell_""&amp;SUBSTITUTE(C1541,""Sell_"",""""))))/2),ROUNDUP(INDEX(Upgrades!$C$3:$C$13,MATCH(C1541,Upgrades!$B$3:$B$13,0))*1.15^(COUNTIF(C$4:C1540,C1541)-COUNTIF(C$4:C1540,""Sell_""&amp;C1541))))))"),"")</f>
        <v/>
      </c>
      <c r="H1541" s="10" t="str">
        <f t="shared" si="3"/>
        <v/>
      </c>
      <c r="I1541" s="68" t="str">
        <f t="shared" si="4"/>
        <v/>
      </c>
      <c r="J1541" s="59" t="str">
        <f t="shared" si="5"/>
        <v/>
      </c>
      <c r="K1541" s="69" t="str">
        <f t="shared" si="6"/>
        <v/>
      </c>
      <c r="L1541" s="60" t="str">
        <f t="shared" si="7"/>
        <v/>
      </c>
      <c r="M1541" s="61" t="str">
        <f>IFERROR(__xludf.DUMMYFUNCTION("IFS(AND(COUNTA(C1541:C1673)=0,COUNTA(Q1541:Q1673)=0),"""",OR(AND(K1541&gt;=1000000000,OR(Y1541&gt;=1000000000,COUNTA(Q1541:Q1673)=0)),OR(Y1541&gt;=1000000000,AND(COUNTA(C1541:C1673)=0,P$3=TRUE))),
ROUNDDOWN((AB$1-AC$1)*MAX(INDEX(T$4:T1673,MATCH(LARGE(FILTER(Y$4:Y1"&amp;"673,Y$4:Y1673&lt;1000000000),1),Y$4:Y1673)),INDEX(F$4:F1673,MATCH(LARGE(FILTER(K$4:K1673,K$4:K1673&lt;1000000000),1),K$4:K1673)))),AND(K1541&lt;1000000000,COUNTA(C1541:C1673)&gt;0,P$3=FALSE),
ROUNDDOWN(INDEX(Y$4:Y1673,MATCH(LARGE(FILTER(W$4:W1673,W$4:W1673&lt;=I1541),1)"&amp;",W$4:W1673))+(I1541-LARGE(FILTER(W$4:W1673,W$4:W1673&lt;=I1541),1))*INDEX(T$4:T1673,MATCH(LARGE(FILTER(W$4:W1673,W$4:W1673&lt;=I1541),1),W$4:W1673))-K1541),1,
ROUNDDOWN(Y1541-INDEX(K$4:K1673,MATCH(LARGE(FILTER(I$4:I1673,I$4:I1673&lt;=W1541),1),I$4:I1673))-(W1541-L"&amp;"ARGE(FILTER(I$4:I1673,I$4:I1673&lt;=W1541),1))*INDEX(F$4:F1673,MATCH(LARGE(FILTER(I$4:I1673,I$4:I1673&lt;=W1541),1),I$4:I1673))))"),"")</f>
        <v/>
      </c>
      <c r="N1541" s="60" t="str">
        <f t="shared" si="8"/>
        <v/>
      </c>
      <c r="O1541" s="61" t="str">
        <f t="shared" si="9"/>
        <v/>
      </c>
      <c r="P1541" s="56" t="str">
        <f t="shared" si="10"/>
        <v/>
      </c>
      <c r="Q1541" s="67"/>
      <c r="R1541" s="10"/>
      <c r="S1541" s="59" t="str">
        <f t="array" ref="S1541">IF(COUNTA(Q1541:Q1673)=0,"",SUM((COUNTIF(Q$4:Q1541,Upgrades!$B$3:$B$13)-COUNTIF(Q$4:Q1541,"Sell_"&amp;Upgrades!$B$3:$B$13))*Upgrades!$D$3:$D$13))</f>
        <v/>
      </c>
      <c r="T1541" s="66" t="str">
        <f>IFERROR(__xludf.DUMMYFUNCTION("IF(COUNTA(Q1541:Q1673)=0,"""",IF(REGEXMATCH(INDEX(FILTER(Q$4:Q1541,Q$4:Q1541&lt;&gt;""""),ROWS(FILTER(Q$4:Q1541,Q$4:Q1541&lt;&gt;""""))),""^Sell_""),INDEX(FILTER(T$4:T1540,Q$4:Q1540&lt;&gt;""""),ROWS(FILTER(Q$4:Q1540,Q$4:Q1540&lt;&gt;""""))),$AD$5+S1541))"),"")</f>
        <v/>
      </c>
      <c r="U1541" s="10" t="str">
        <f>IFERROR(__xludf.DUMMYFUNCTION("IF(COUNTA(Q1541:Q1673)=0,"""",IF(Q1541="""",0,IF(REGEXMATCH(Q1541,""^Sell_""),-ROUNDDOWN(ROUNDUP(INDEX(Upgrades!$C$3:$C$13,MATCH(SUBSTITUTE(Q1541,""Sell_"",""""),Upgrades!$B$3:$B$13,0))*1.15^(COUNTIF(Q$4:Q1540,SUBSTITUTE(Q1541,""Sell_"",""""))-COUNTIF(Q$4"&amp;":Q1540,""Sell_""&amp;SUBSTITUTE(Q1541,""Sell_"",""""))))/2),ROUNDUP(INDEX(Upgrades!$C$3:$C$13,MATCH(Q1541,Upgrades!$B$3:$B$13,0))*1.15^(COUNTIF(Q$4:Q1540,Q1541)-COUNTIF(Q$4:Q1540,""Sell_""&amp;Q1541))))))"),"")</f>
        <v/>
      </c>
      <c r="V1541" s="10" t="str">
        <f t="shared" si="11"/>
        <v/>
      </c>
      <c r="W1541" s="68" t="str">
        <f t="shared" si="12"/>
        <v/>
      </c>
      <c r="X1541" s="59" t="str">
        <f t="shared" si="13"/>
        <v/>
      </c>
      <c r="Y1541" s="69" t="str">
        <f t="shared" si="14"/>
        <v/>
      </c>
      <c r="Z1541" s="11"/>
    </row>
    <row r="1542">
      <c r="A1542" s="8"/>
      <c r="B1542" s="56" t="str">
        <f t="shared" si="2"/>
        <v/>
      </c>
      <c r="C1542" s="105"/>
      <c r="D1542" s="10"/>
      <c r="E1542" s="59" t="str">
        <f t="array" ref="E1542">IF(COUNTA(C1542:C1673)=0,"",SUM((COUNTIF(C$4:C1542,Upgrades!$B$3:$B$13)-COUNTIF(C$4:C1542,"Sell_"&amp;Upgrades!$B$3:$B$13))*Upgrades!$D$3:$D$13))</f>
        <v/>
      </c>
      <c r="F1542" s="66" t="str">
        <f>IFERROR(__xludf.DUMMYFUNCTION("IF(COUNTA(C1542:C1673)=0,"""",IF(REGEXMATCH(INDEX(FILTER(C$4:C1542,C$4:C1542&lt;&gt;""""),ROWS(FILTER(C$4:C1542,C$4:C1542&lt;&gt;""""))),""^Sell_""),INDEX(FILTER(F$4:F1541,C$4:C1541&lt;&gt;""""),ROWS(FILTER(C$4:C1541,C$4:C1541&lt;&gt;""""))),$AC$5+E1542))"),"")</f>
        <v/>
      </c>
      <c r="G1542" s="10" t="str">
        <f>IFERROR(__xludf.DUMMYFUNCTION("IF(COUNTA(C1542:C1673)=0,"""",IF(C1542="""",0,IF(REGEXMATCH(C1542,""^Sell_""),-ROUNDDOWN(ROUNDUP(INDEX(Upgrades!$C$3:$C$13,MATCH(SUBSTITUTE(C1542,""Sell_"",""""),Upgrades!$B$3:$B$13,0))*1.15^(COUNTIF(C$4:C1541,SUBSTITUTE(C1542,""Sell_"",""""))-COUNTIF(C$4"&amp;":C1541,""Sell_""&amp;SUBSTITUTE(C1542,""Sell_"",""""))))/2),ROUNDUP(INDEX(Upgrades!$C$3:$C$13,MATCH(C1542,Upgrades!$B$3:$B$13,0))*1.15^(COUNTIF(C$4:C1541,C1542)-COUNTIF(C$4:C1541,""Sell_""&amp;C1542))))))"),"")</f>
        <v/>
      </c>
      <c r="H1542" s="10" t="str">
        <f t="shared" si="3"/>
        <v/>
      </c>
      <c r="I1542" s="68" t="str">
        <f t="shared" si="4"/>
        <v/>
      </c>
      <c r="J1542" s="59" t="str">
        <f t="shared" si="5"/>
        <v/>
      </c>
      <c r="K1542" s="69" t="str">
        <f t="shared" si="6"/>
        <v/>
      </c>
      <c r="L1542" s="60" t="str">
        <f t="shared" si="7"/>
        <v/>
      </c>
      <c r="M1542" s="61" t="str">
        <f>IFERROR(__xludf.DUMMYFUNCTION("IFS(AND(COUNTA(C1542:C1673)=0,COUNTA(Q1542:Q1673)=0),"""",OR(AND(K1542&gt;=1000000000,OR(Y1542&gt;=1000000000,COUNTA(Q1542:Q1673)=0)),OR(Y1542&gt;=1000000000,AND(COUNTA(C1542:C1673)=0,P$3=TRUE))),
ROUNDDOWN((AB$1-AC$1)*MAX(INDEX(T$4:T1673,MATCH(LARGE(FILTER(Y$4:Y1"&amp;"673,Y$4:Y1673&lt;1000000000),1),Y$4:Y1673)),INDEX(F$4:F1673,MATCH(LARGE(FILTER(K$4:K1673,K$4:K1673&lt;1000000000),1),K$4:K1673)))),AND(K1542&lt;1000000000,COUNTA(C1542:C1673)&gt;0,P$3=FALSE),
ROUNDDOWN(INDEX(Y$4:Y1673,MATCH(LARGE(FILTER(W$4:W1673,W$4:W1673&lt;=I1542),1)"&amp;",W$4:W1673))+(I1542-LARGE(FILTER(W$4:W1673,W$4:W1673&lt;=I1542),1))*INDEX(T$4:T1673,MATCH(LARGE(FILTER(W$4:W1673,W$4:W1673&lt;=I1542),1),W$4:W1673))-K1542),1,
ROUNDDOWN(Y1542-INDEX(K$4:K1673,MATCH(LARGE(FILTER(I$4:I1673,I$4:I1673&lt;=W1542),1),I$4:I1673))-(W1542-L"&amp;"ARGE(FILTER(I$4:I1673,I$4:I1673&lt;=W1542),1))*INDEX(F$4:F1673,MATCH(LARGE(FILTER(I$4:I1673,I$4:I1673&lt;=W1542),1),I$4:I1673))))"),"")</f>
        <v/>
      </c>
      <c r="N1542" s="60" t="str">
        <f t="shared" si="8"/>
        <v/>
      </c>
      <c r="O1542" s="61" t="str">
        <f t="shared" si="9"/>
        <v/>
      </c>
      <c r="P1542" s="56" t="str">
        <f t="shared" si="10"/>
        <v/>
      </c>
      <c r="Q1542" s="67"/>
      <c r="R1542" s="10"/>
      <c r="S1542" s="59" t="str">
        <f t="array" ref="S1542">IF(COUNTA(Q1542:Q1673)=0,"",SUM((COUNTIF(Q$4:Q1542,Upgrades!$B$3:$B$13)-COUNTIF(Q$4:Q1542,"Sell_"&amp;Upgrades!$B$3:$B$13))*Upgrades!$D$3:$D$13))</f>
        <v/>
      </c>
      <c r="T1542" s="66" t="str">
        <f>IFERROR(__xludf.DUMMYFUNCTION("IF(COUNTA(Q1542:Q1673)=0,"""",IF(REGEXMATCH(INDEX(FILTER(Q$4:Q1542,Q$4:Q1542&lt;&gt;""""),ROWS(FILTER(Q$4:Q1542,Q$4:Q1542&lt;&gt;""""))),""^Sell_""),INDEX(FILTER(T$4:T1541,Q$4:Q1541&lt;&gt;""""),ROWS(FILTER(Q$4:Q1541,Q$4:Q1541&lt;&gt;""""))),$AD$5+S1542))"),"")</f>
        <v/>
      </c>
      <c r="U1542" s="10" t="str">
        <f>IFERROR(__xludf.DUMMYFUNCTION("IF(COUNTA(Q1542:Q1673)=0,"""",IF(Q1542="""",0,IF(REGEXMATCH(Q1542,""^Sell_""),-ROUNDDOWN(ROUNDUP(INDEX(Upgrades!$C$3:$C$13,MATCH(SUBSTITUTE(Q1542,""Sell_"",""""),Upgrades!$B$3:$B$13,0))*1.15^(COUNTIF(Q$4:Q1541,SUBSTITUTE(Q1542,""Sell_"",""""))-COUNTIF(Q$4"&amp;":Q1541,""Sell_""&amp;SUBSTITUTE(Q1542,""Sell_"",""""))))/2),ROUNDUP(INDEX(Upgrades!$C$3:$C$13,MATCH(Q1542,Upgrades!$B$3:$B$13,0))*1.15^(COUNTIF(Q$4:Q1541,Q1542)-COUNTIF(Q$4:Q1541,""Sell_""&amp;Q1542))))))"),"")</f>
        <v/>
      </c>
      <c r="V1542" s="10" t="str">
        <f t="shared" si="11"/>
        <v/>
      </c>
      <c r="W1542" s="68" t="str">
        <f t="shared" si="12"/>
        <v/>
      </c>
      <c r="X1542" s="59" t="str">
        <f t="shared" si="13"/>
        <v/>
      </c>
      <c r="Y1542" s="69" t="str">
        <f t="shared" si="14"/>
        <v/>
      </c>
      <c r="Z1542" s="11"/>
    </row>
    <row r="1543">
      <c r="A1543" s="8"/>
      <c r="B1543" s="56" t="str">
        <f t="shared" si="2"/>
        <v/>
      </c>
      <c r="C1543" s="105"/>
      <c r="D1543" s="10"/>
      <c r="E1543" s="59" t="str">
        <f t="array" ref="E1543">IF(COUNTA(C1543:C1673)=0,"",SUM((COUNTIF(C$4:C1543,Upgrades!$B$3:$B$13)-COUNTIF(C$4:C1543,"Sell_"&amp;Upgrades!$B$3:$B$13))*Upgrades!$D$3:$D$13))</f>
        <v/>
      </c>
      <c r="F1543" s="66" t="str">
        <f>IFERROR(__xludf.DUMMYFUNCTION("IF(COUNTA(C1543:C1673)=0,"""",IF(REGEXMATCH(INDEX(FILTER(C$4:C1543,C$4:C1543&lt;&gt;""""),ROWS(FILTER(C$4:C1543,C$4:C1543&lt;&gt;""""))),""^Sell_""),INDEX(FILTER(F$4:F1542,C$4:C1542&lt;&gt;""""),ROWS(FILTER(C$4:C1542,C$4:C1542&lt;&gt;""""))),$AC$5+E1543))"),"")</f>
        <v/>
      </c>
      <c r="G1543" s="10" t="str">
        <f>IFERROR(__xludf.DUMMYFUNCTION("IF(COUNTA(C1543:C1673)=0,"""",IF(C1543="""",0,IF(REGEXMATCH(C1543,""^Sell_""),-ROUNDDOWN(ROUNDUP(INDEX(Upgrades!$C$3:$C$13,MATCH(SUBSTITUTE(C1543,""Sell_"",""""),Upgrades!$B$3:$B$13,0))*1.15^(COUNTIF(C$4:C1542,SUBSTITUTE(C1543,""Sell_"",""""))-COUNTIF(C$4"&amp;":C1542,""Sell_""&amp;SUBSTITUTE(C1543,""Sell_"",""""))))/2),ROUNDUP(INDEX(Upgrades!$C$3:$C$13,MATCH(C1543,Upgrades!$B$3:$B$13,0))*1.15^(COUNTIF(C$4:C1542,C1543)-COUNTIF(C$4:C1542,""Sell_""&amp;C1543))))))"),"")</f>
        <v/>
      </c>
      <c r="H1543" s="10" t="str">
        <f t="shared" si="3"/>
        <v/>
      </c>
      <c r="I1543" s="68" t="str">
        <f t="shared" si="4"/>
        <v/>
      </c>
      <c r="J1543" s="59" t="str">
        <f t="shared" si="5"/>
        <v/>
      </c>
      <c r="K1543" s="69" t="str">
        <f t="shared" si="6"/>
        <v/>
      </c>
      <c r="L1543" s="60" t="str">
        <f t="shared" si="7"/>
        <v/>
      </c>
      <c r="M1543" s="61" t="str">
        <f>IFERROR(__xludf.DUMMYFUNCTION("IFS(AND(COUNTA(C1543:C1673)=0,COUNTA(Q1543:Q1673)=0),"""",OR(AND(K1543&gt;=1000000000,OR(Y1543&gt;=1000000000,COUNTA(Q1543:Q1673)=0)),OR(Y1543&gt;=1000000000,AND(COUNTA(C1543:C1673)=0,P$3=TRUE))),
ROUNDDOWN((AB$1-AC$1)*MAX(INDEX(T$4:T1673,MATCH(LARGE(FILTER(Y$4:Y1"&amp;"673,Y$4:Y1673&lt;1000000000),1),Y$4:Y1673)),INDEX(F$4:F1673,MATCH(LARGE(FILTER(K$4:K1673,K$4:K1673&lt;1000000000),1),K$4:K1673)))),AND(K1543&lt;1000000000,COUNTA(C1543:C1673)&gt;0,P$3=FALSE),
ROUNDDOWN(INDEX(Y$4:Y1673,MATCH(LARGE(FILTER(W$4:W1673,W$4:W1673&lt;=I1543),1)"&amp;",W$4:W1673))+(I1543-LARGE(FILTER(W$4:W1673,W$4:W1673&lt;=I1543),1))*INDEX(T$4:T1673,MATCH(LARGE(FILTER(W$4:W1673,W$4:W1673&lt;=I1543),1),W$4:W1673))-K1543),1,
ROUNDDOWN(Y1543-INDEX(K$4:K1673,MATCH(LARGE(FILTER(I$4:I1673,I$4:I1673&lt;=W1543),1),I$4:I1673))-(W1543-L"&amp;"ARGE(FILTER(I$4:I1673,I$4:I1673&lt;=W1543),1))*INDEX(F$4:F1673,MATCH(LARGE(FILTER(I$4:I1673,I$4:I1673&lt;=W1543),1),I$4:I1673))))"),"")</f>
        <v/>
      </c>
      <c r="N1543" s="60" t="str">
        <f t="shared" si="8"/>
        <v/>
      </c>
      <c r="O1543" s="61" t="str">
        <f t="shared" si="9"/>
        <v/>
      </c>
      <c r="P1543" s="56" t="str">
        <f t="shared" si="10"/>
        <v/>
      </c>
      <c r="Q1543" s="67"/>
      <c r="R1543" s="10"/>
      <c r="S1543" s="59" t="str">
        <f t="array" ref="S1543">IF(COUNTA(Q1543:Q1673)=0,"",SUM((COUNTIF(Q$4:Q1543,Upgrades!$B$3:$B$13)-COUNTIF(Q$4:Q1543,"Sell_"&amp;Upgrades!$B$3:$B$13))*Upgrades!$D$3:$D$13))</f>
        <v/>
      </c>
      <c r="T1543" s="66" t="str">
        <f>IFERROR(__xludf.DUMMYFUNCTION("IF(COUNTA(Q1543:Q1673)=0,"""",IF(REGEXMATCH(INDEX(FILTER(Q$4:Q1543,Q$4:Q1543&lt;&gt;""""),ROWS(FILTER(Q$4:Q1543,Q$4:Q1543&lt;&gt;""""))),""^Sell_""),INDEX(FILTER(T$4:T1542,Q$4:Q1542&lt;&gt;""""),ROWS(FILTER(Q$4:Q1542,Q$4:Q1542&lt;&gt;""""))),$AD$5+S1543))"),"")</f>
        <v/>
      </c>
      <c r="U1543" s="10" t="str">
        <f>IFERROR(__xludf.DUMMYFUNCTION("IF(COUNTA(Q1543:Q1673)=0,"""",IF(Q1543="""",0,IF(REGEXMATCH(Q1543,""^Sell_""),-ROUNDDOWN(ROUNDUP(INDEX(Upgrades!$C$3:$C$13,MATCH(SUBSTITUTE(Q1543,""Sell_"",""""),Upgrades!$B$3:$B$13,0))*1.15^(COUNTIF(Q$4:Q1542,SUBSTITUTE(Q1543,""Sell_"",""""))-COUNTIF(Q$4"&amp;":Q1542,""Sell_""&amp;SUBSTITUTE(Q1543,""Sell_"",""""))))/2),ROUNDUP(INDEX(Upgrades!$C$3:$C$13,MATCH(Q1543,Upgrades!$B$3:$B$13,0))*1.15^(COUNTIF(Q$4:Q1542,Q1543)-COUNTIF(Q$4:Q1542,""Sell_""&amp;Q1543))))))"),"")</f>
        <v/>
      </c>
      <c r="V1543" s="10" t="str">
        <f t="shared" si="11"/>
        <v/>
      </c>
      <c r="W1543" s="68" t="str">
        <f t="shared" si="12"/>
        <v/>
      </c>
      <c r="X1543" s="59" t="str">
        <f t="shared" si="13"/>
        <v/>
      </c>
      <c r="Y1543" s="69" t="str">
        <f t="shared" si="14"/>
        <v/>
      </c>
      <c r="Z1543" s="11"/>
    </row>
    <row r="1544">
      <c r="A1544" s="8"/>
      <c r="B1544" s="56" t="str">
        <f t="shared" si="2"/>
        <v/>
      </c>
      <c r="C1544" s="105"/>
      <c r="D1544" s="10"/>
      <c r="E1544" s="59" t="str">
        <f t="array" ref="E1544">IF(COUNTA(C1544:C1673)=0,"",SUM((COUNTIF(C$4:C1544,Upgrades!$B$3:$B$13)-COUNTIF(C$4:C1544,"Sell_"&amp;Upgrades!$B$3:$B$13))*Upgrades!$D$3:$D$13))</f>
        <v/>
      </c>
      <c r="F1544" s="66" t="str">
        <f>IFERROR(__xludf.DUMMYFUNCTION("IF(COUNTA(C1544:C1673)=0,"""",IF(REGEXMATCH(INDEX(FILTER(C$4:C1544,C$4:C1544&lt;&gt;""""),ROWS(FILTER(C$4:C1544,C$4:C1544&lt;&gt;""""))),""^Sell_""),INDEX(FILTER(F$4:F1543,C$4:C1543&lt;&gt;""""),ROWS(FILTER(C$4:C1543,C$4:C1543&lt;&gt;""""))),$AC$5+E1544))"),"")</f>
        <v/>
      </c>
      <c r="G1544" s="10" t="str">
        <f>IFERROR(__xludf.DUMMYFUNCTION("IF(COUNTA(C1544:C1673)=0,"""",IF(C1544="""",0,IF(REGEXMATCH(C1544,""^Sell_""),-ROUNDDOWN(ROUNDUP(INDEX(Upgrades!$C$3:$C$13,MATCH(SUBSTITUTE(C1544,""Sell_"",""""),Upgrades!$B$3:$B$13,0))*1.15^(COUNTIF(C$4:C1543,SUBSTITUTE(C1544,""Sell_"",""""))-COUNTIF(C$4"&amp;":C1543,""Sell_""&amp;SUBSTITUTE(C1544,""Sell_"",""""))))/2),ROUNDUP(INDEX(Upgrades!$C$3:$C$13,MATCH(C1544,Upgrades!$B$3:$B$13,0))*1.15^(COUNTIF(C$4:C1543,C1544)-COUNTIF(C$4:C1543,""Sell_""&amp;C1544))))))"),"")</f>
        <v/>
      </c>
      <c r="H1544" s="10" t="str">
        <f t="shared" si="3"/>
        <v/>
      </c>
      <c r="I1544" s="68" t="str">
        <f t="shared" si="4"/>
        <v/>
      </c>
      <c r="J1544" s="59" t="str">
        <f t="shared" si="5"/>
        <v/>
      </c>
      <c r="K1544" s="69" t="str">
        <f t="shared" si="6"/>
        <v/>
      </c>
      <c r="L1544" s="60" t="str">
        <f t="shared" si="7"/>
        <v/>
      </c>
      <c r="M1544" s="61" t="str">
        <f>IFERROR(__xludf.DUMMYFUNCTION("IFS(AND(COUNTA(C1544:C1673)=0,COUNTA(Q1544:Q1673)=0),"""",OR(AND(K1544&gt;=1000000000,OR(Y1544&gt;=1000000000,COUNTA(Q1544:Q1673)=0)),OR(Y1544&gt;=1000000000,AND(COUNTA(C1544:C1673)=0,P$3=TRUE))),
ROUNDDOWN((AB$1-AC$1)*MAX(INDEX(T$4:T1673,MATCH(LARGE(FILTER(Y$4:Y1"&amp;"673,Y$4:Y1673&lt;1000000000),1),Y$4:Y1673)),INDEX(F$4:F1673,MATCH(LARGE(FILTER(K$4:K1673,K$4:K1673&lt;1000000000),1),K$4:K1673)))),AND(K1544&lt;1000000000,COUNTA(C1544:C1673)&gt;0,P$3=FALSE),
ROUNDDOWN(INDEX(Y$4:Y1673,MATCH(LARGE(FILTER(W$4:W1673,W$4:W1673&lt;=I1544),1)"&amp;",W$4:W1673))+(I1544-LARGE(FILTER(W$4:W1673,W$4:W1673&lt;=I1544),1))*INDEX(T$4:T1673,MATCH(LARGE(FILTER(W$4:W1673,W$4:W1673&lt;=I1544),1),W$4:W1673))-K1544),1,
ROUNDDOWN(Y1544-INDEX(K$4:K1673,MATCH(LARGE(FILTER(I$4:I1673,I$4:I1673&lt;=W1544),1),I$4:I1673))-(W1544-L"&amp;"ARGE(FILTER(I$4:I1673,I$4:I1673&lt;=W1544),1))*INDEX(F$4:F1673,MATCH(LARGE(FILTER(I$4:I1673,I$4:I1673&lt;=W1544),1),I$4:I1673))))"),"")</f>
        <v/>
      </c>
      <c r="N1544" s="60" t="str">
        <f t="shared" si="8"/>
        <v/>
      </c>
      <c r="O1544" s="61" t="str">
        <f t="shared" si="9"/>
        <v/>
      </c>
      <c r="P1544" s="56" t="str">
        <f t="shared" si="10"/>
        <v/>
      </c>
      <c r="Q1544" s="67"/>
      <c r="R1544" s="10"/>
      <c r="S1544" s="59" t="str">
        <f t="array" ref="S1544">IF(COUNTA(Q1544:Q1673)=0,"",SUM((COUNTIF(Q$4:Q1544,Upgrades!$B$3:$B$13)-COUNTIF(Q$4:Q1544,"Sell_"&amp;Upgrades!$B$3:$B$13))*Upgrades!$D$3:$D$13))</f>
        <v/>
      </c>
      <c r="T1544" s="66" t="str">
        <f>IFERROR(__xludf.DUMMYFUNCTION("IF(COUNTA(Q1544:Q1673)=0,"""",IF(REGEXMATCH(INDEX(FILTER(Q$4:Q1544,Q$4:Q1544&lt;&gt;""""),ROWS(FILTER(Q$4:Q1544,Q$4:Q1544&lt;&gt;""""))),""^Sell_""),INDEX(FILTER(T$4:T1543,Q$4:Q1543&lt;&gt;""""),ROWS(FILTER(Q$4:Q1543,Q$4:Q1543&lt;&gt;""""))),$AD$5+S1544))"),"")</f>
        <v/>
      </c>
      <c r="U1544" s="10" t="str">
        <f>IFERROR(__xludf.DUMMYFUNCTION("IF(COUNTA(Q1544:Q1673)=0,"""",IF(Q1544="""",0,IF(REGEXMATCH(Q1544,""^Sell_""),-ROUNDDOWN(ROUNDUP(INDEX(Upgrades!$C$3:$C$13,MATCH(SUBSTITUTE(Q1544,""Sell_"",""""),Upgrades!$B$3:$B$13,0))*1.15^(COUNTIF(Q$4:Q1543,SUBSTITUTE(Q1544,""Sell_"",""""))-COUNTIF(Q$4"&amp;":Q1543,""Sell_""&amp;SUBSTITUTE(Q1544,""Sell_"",""""))))/2),ROUNDUP(INDEX(Upgrades!$C$3:$C$13,MATCH(Q1544,Upgrades!$B$3:$B$13,0))*1.15^(COUNTIF(Q$4:Q1543,Q1544)-COUNTIF(Q$4:Q1543,""Sell_""&amp;Q1544))))))"),"")</f>
        <v/>
      </c>
      <c r="V1544" s="10" t="str">
        <f t="shared" si="11"/>
        <v/>
      </c>
      <c r="W1544" s="68" t="str">
        <f t="shared" si="12"/>
        <v/>
      </c>
      <c r="X1544" s="59" t="str">
        <f t="shared" si="13"/>
        <v/>
      </c>
      <c r="Y1544" s="69" t="str">
        <f t="shared" si="14"/>
        <v/>
      </c>
      <c r="Z1544" s="11"/>
    </row>
    <row r="1545">
      <c r="A1545" s="8"/>
      <c r="B1545" s="56" t="str">
        <f t="shared" si="2"/>
        <v/>
      </c>
      <c r="C1545" s="105"/>
      <c r="D1545" s="10"/>
      <c r="E1545" s="59" t="str">
        <f t="array" ref="E1545">IF(COUNTA(C1545:C1673)=0,"",SUM((COUNTIF(C$4:C1545,Upgrades!$B$3:$B$13)-COUNTIF(C$4:C1545,"Sell_"&amp;Upgrades!$B$3:$B$13))*Upgrades!$D$3:$D$13))</f>
        <v/>
      </c>
      <c r="F1545" s="66" t="str">
        <f>IFERROR(__xludf.DUMMYFUNCTION("IF(COUNTA(C1545:C1673)=0,"""",IF(REGEXMATCH(INDEX(FILTER(C$4:C1545,C$4:C1545&lt;&gt;""""),ROWS(FILTER(C$4:C1545,C$4:C1545&lt;&gt;""""))),""^Sell_""),INDEX(FILTER(F$4:F1544,C$4:C1544&lt;&gt;""""),ROWS(FILTER(C$4:C1544,C$4:C1544&lt;&gt;""""))),$AC$5+E1545))"),"")</f>
        <v/>
      </c>
      <c r="G1545" s="10" t="str">
        <f>IFERROR(__xludf.DUMMYFUNCTION("IF(COUNTA(C1545:C1673)=0,"""",IF(C1545="""",0,IF(REGEXMATCH(C1545,""^Sell_""),-ROUNDDOWN(ROUNDUP(INDEX(Upgrades!$C$3:$C$13,MATCH(SUBSTITUTE(C1545,""Sell_"",""""),Upgrades!$B$3:$B$13,0))*1.15^(COUNTIF(C$4:C1544,SUBSTITUTE(C1545,""Sell_"",""""))-COUNTIF(C$4"&amp;":C1544,""Sell_""&amp;SUBSTITUTE(C1545,""Sell_"",""""))))/2),ROUNDUP(INDEX(Upgrades!$C$3:$C$13,MATCH(C1545,Upgrades!$B$3:$B$13,0))*1.15^(COUNTIF(C$4:C1544,C1545)-COUNTIF(C$4:C1544,""Sell_""&amp;C1545))))))"),"")</f>
        <v/>
      </c>
      <c r="H1545" s="10" t="str">
        <f t="shared" si="3"/>
        <v/>
      </c>
      <c r="I1545" s="68" t="str">
        <f t="shared" si="4"/>
        <v/>
      </c>
      <c r="J1545" s="59" t="str">
        <f t="shared" si="5"/>
        <v/>
      </c>
      <c r="K1545" s="69" t="str">
        <f t="shared" si="6"/>
        <v/>
      </c>
      <c r="L1545" s="60" t="str">
        <f t="shared" si="7"/>
        <v/>
      </c>
      <c r="M1545" s="61" t="str">
        <f>IFERROR(__xludf.DUMMYFUNCTION("IFS(AND(COUNTA(C1545:C1673)=0,COUNTA(Q1545:Q1673)=0),"""",OR(AND(K1545&gt;=1000000000,OR(Y1545&gt;=1000000000,COUNTA(Q1545:Q1673)=0)),OR(Y1545&gt;=1000000000,AND(COUNTA(C1545:C1673)=0,P$3=TRUE))),
ROUNDDOWN((AB$1-AC$1)*MAX(INDEX(T$4:T1673,MATCH(LARGE(FILTER(Y$4:Y1"&amp;"673,Y$4:Y1673&lt;1000000000),1),Y$4:Y1673)),INDEX(F$4:F1673,MATCH(LARGE(FILTER(K$4:K1673,K$4:K1673&lt;1000000000),1),K$4:K1673)))),AND(K1545&lt;1000000000,COUNTA(C1545:C1673)&gt;0,P$3=FALSE),
ROUNDDOWN(INDEX(Y$4:Y1673,MATCH(LARGE(FILTER(W$4:W1673,W$4:W1673&lt;=I1545),1)"&amp;",W$4:W1673))+(I1545-LARGE(FILTER(W$4:W1673,W$4:W1673&lt;=I1545),1))*INDEX(T$4:T1673,MATCH(LARGE(FILTER(W$4:W1673,W$4:W1673&lt;=I1545),1),W$4:W1673))-K1545),1,
ROUNDDOWN(Y1545-INDEX(K$4:K1673,MATCH(LARGE(FILTER(I$4:I1673,I$4:I1673&lt;=W1545),1),I$4:I1673))-(W1545-L"&amp;"ARGE(FILTER(I$4:I1673,I$4:I1673&lt;=W1545),1))*INDEX(F$4:F1673,MATCH(LARGE(FILTER(I$4:I1673,I$4:I1673&lt;=W1545),1),I$4:I1673))))"),"")</f>
        <v/>
      </c>
      <c r="N1545" s="60" t="str">
        <f t="shared" si="8"/>
        <v/>
      </c>
      <c r="O1545" s="61" t="str">
        <f t="shared" si="9"/>
        <v/>
      </c>
      <c r="P1545" s="56" t="str">
        <f t="shared" si="10"/>
        <v/>
      </c>
      <c r="Q1545" s="67"/>
      <c r="R1545" s="10"/>
      <c r="S1545" s="59" t="str">
        <f t="array" ref="S1545">IF(COUNTA(Q1545:Q1673)=0,"",SUM((COUNTIF(Q$4:Q1545,Upgrades!$B$3:$B$13)-COUNTIF(Q$4:Q1545,"Sell_"&amp;Upgrades!$B$3:$B$13))*Upgrades!$D$3:$D$13))</f>
        <v/>
      </c>
      <c r="T1545" s="66" t="str">
        <f>IFERROR(__xludf.DUMMYFUNCTION("IF(COUNTA(Q1545:Q1673)=0,"""",IF(REGEXMATCH(INDEX(FILTER(Q$4:Q1545,Q$4:Q1545&lt;&gt;""""),ROWS(FILTER(Q$4:Q1545,Q$4:Q1545&lt;&gt;""""))),""^Sell_""),INDEX(FILTER(T$4:T1544,Q$4:Q1544&lt;&gt;""""),ROWS(FILTER(Q$4:Q1544,Q$4:Q1544&lt;&gt;""""))),$AD$5+S1545))"),"")</f>
        <v/>
      </c>
      <c r="U1545" s="10" t="str">
        <f>IFERROR(__xludf.DUMMYFUNCTION("IF(COUNTA(Q1545:Q1673)=0,"""",IF(Q1545="""",0,IF(REGEXMATCH(Q1545,""^Sell_""),-ROUNDDOWN(ROUNDUP(INDEX(Upgrades!$C$3:$C$13,MATCH(SUBSTITUTE(Q1545,""Sell_"",""""),Upgrades!$B$3:$B$13,0))*1.15^(COUNTIF(Q$4:Q1544,SUBSTITUTE(Q1545,""Sell_"",""""))-COUNTIF(Q$4"&amp;":Q1544,""Sell_""&amp;SUBSTITUTE(Q1545,""Sell_"",""""))))/2),ROUNDUP(INDEX(Upgrades!$C$3:$C$13,MATCH(Q1545,Upgrades!$B$3:$B$13,0))*1.15^(COUNTIF(Q$4:Q1544,Q1545)-COUNTIF(Q$4:Q1544,""Sell_""&amp;Q1545))))))"),"")</f>
        <v/>
      </c>
      <c r="V1545" s="10" t="str">
        <f t="shared" si="11"/>
        <v/>
      </c>
      <c r="W1545" s="68" t="str">
        <f t="shared" si="12"/>
        <v/>
      </c>
      <c r="X1545" s="59" t="str">
        <f t="shared" si="13"/>
        <v/>
      </c>
      <c r="Y1545" s="69" t="str">
        <f t="shared" si="14"/>
        <v/>
      </c>
      <c r="Z1545" s="11"/>
    </row>
    <row r="1546">
      <c r="A1546" s="8"/>
      <c r="B1546" s="56" t="str">
        <f t="shared" si="2"/>
        <v/>
      </c>
      <c r="C1546" s="105"/>
      <c r="D1546" s="10"/>
      <c r="E1546" s="59" t="str">
        <f t="array" ref="E1546">IF(COUNTA(C1546:C1673)=0,"",SUM((COUNTIF(C$4:C1546,Upgrades!$B$3:$B$13)-COUNTIF(C$4:C1546,"Sell_"&amp;Upgrades!$B$3:$B$13))*Upgrades!$D$3:$D$13))</f>
        <v/>
      </c>
      <c r="F1546" s="66" t="str">
        <f>IFERROR(__xludf.DUMMYFUNCTION("IF(COUNTA(C1546:C1673)=0,"""",IF(REGEXMATCH(INDEX(FILTER(C$4:C1546,C$4:C1546&lt;&gt;""""),ROWS(FILTER(C$4:C1546,C$4:C1546&lt;&gt;""""))),""^Sell_""),INDEX(FILTER(F$4:F1545,C$4:C1545&lt;&gt;""""),ROWS(FILTER(C$4:C1545,C$4:C1545&lt;&gt;""""))),$AC$5+E1546))"),"")</f>
        <v/>
      </c>
      <c r="G1546" s="10" t="str">
        <f>IFERROR(__xludf.DUMMYFUNCTION("IF(COUNTA(C1546:C1673)=0,"""",IF(C1546="""",0,IF(REGEXMATCH(C1546,""^Sell_""),-ROUNDDOWN(ROUNDUP(INDEX(Upgrades!$C$3:$C$13,MATCH(SUBSTITUTE(C1546,""Sell_"",""""),Upgrades!$B$3:$B$13,0))*1.15^(COUNTIF(C$4:C1545,SUBSTITUTE(C1546,""Sell_"",""""))-COUNTIF(C$4"&amp;":C1545,""Sell_""&amp;SUBSTITUTE(C1546,""Sell_"",""""))))/2),ROUNDUP(INDEX(Upgrades!$C$3:$C$13,MATCH(C1546,Upgrades!$B$3:$B$13,0))*1.15^(COUNTIF(C$4:C1545,C1546)-COUNTIF(C$4:C1545,""Sell_""&amp;C1546))))))"),"")</f>
        <v/>
      </c>
      <c r="H1546" s="10" t="str">
        <f t="shared" si="3"/>
        <v/>
      </c>
      <c r="I1546" s="68" t="str">
        <f t="shared" si="4"/>
        <v/>
      </c>
      <c r="J1546" s="59" t="str">
        <f t="shared" si="5"/>
        <v/>
      </c>
      <c r="K1546" s="69" t="str">
        <f t="shared" si="6"/>
        <v/>
      </c>
      <c r="L1546" s="60" t="str">
        <f t="shared" si="7"/>
        <v/>
      </c>
      <c r="M1546" s="61" t="str">
        <f>IFERROR(__xludf.DUMMYFUNCTION("IFS(AND(COUNTA(C1546:C1673)=0,COUNTA(Q1546:Q1673)=0),"""",OR(AND(K1546&gt;=1000000000,OR(Y1546&gt;=1000000000,COUNTA(Q1546:Q1673)=0)),OR(Y1546&gt;=1000000000,AND(COUNTA(C1546:C1673)=0,P$3=TRUE))),
ROUNDDOWN((AB$1-AC$1)*MAX(INDEX(T$4:T1673,MATCH(LARGE(FILTER(Y$4:Y1"&amp;"673,Y$4:Y1673&lt;1000000000),1),Y$4:Y1673)),INDEX(F$4:F1673,MATCH(LARGE(FILTER(K$4:K1673,K$4:K1673&lt;1000000000),1),K$4:K1673)))),AND(K1546&lt;1000000000,COUNTA(C1546:C1673)&gt;0,P$3=FALSE),
ROUNDDOWN(INDEX(Y$4:Y1673,MATCH(LARGE(FILTER(W$4:W1673,W$4:W1673&lt;=I1546),1)"&amp;",W$4:W1673))+(I1546-LARGE(FILTER(W$4:W1673,W$4:W1673&lt;=I1546),1))*INDEX(T$4:T1673,MATCH(LARGE(FILTER(W$4:W1673,W$4:W1673&lt;=I1546),1),W$4:W1673))-K1546),1,
ROUNDDOWN(Y1546-INDEX(K$4:K1673,MATCH(LARGE(FILTER(I$4:I1673,I$4:I1673&lt;=W1546),1),I$4:I1673))-(W1546-L"&amp;"ARGE(FILTER(I$4:I1673,I$4:I1673&lt;=W1546),1))*INDEX(F$4:F1673,MATCH(LARGE(FILTER(I$4:I1673,I$4:I1673&lt;=W1546),1),I$4:I1673))))"),"")</f>
        <v/>
      </c>
      <c r="N1546" s="60" t="str">
        <f t="shared" si="8"/>
        <v/>
      </c>
      <c r="O1546" s="61" t="str">
        <f t="shared" si="9"/>
        <v/>
      </c>
      <c r="P1546" s="56" t="str">
        <f t="shared" si="10"/>
        <v/>
      </c>
      <c r="Q1546" s="67"/>
      <c r="R1546" s="10"/>
      <c r="S1546" s="59" t="str">
        <f t="array" ref="S1546">IF(COUNTA(Q1546:Q1673)=0,"",SUM((COUNTIF(Q$4:Q1546,Upgrades!$B$3:$B$13)-COUNTIF(Q$4:Q1546,"Sell_"&amp;Upgrades!$B$3:$B$13))*Upgrades!$D$3:$D$13))</f>
        <v/>
      </c>
      <c r="T1546" s="66" t="str">
        <f>IFERROR(__xludf.DUMMYFUNCTION("IF(COUNTA(Q1546:Q1673)=0,"""",IF(REGEXMATCH(INDEX(FILTER(Q$4:Q1546,Q$4:Q1546&lt;&gt;""""),ROWS(FILTER(Q$4:Q1546,Q$4:Q1546&lt;&gt;""""))),""^Sell_""),INDEX(FILTER(T$4:T1545,Q$4:Q1545&lt;&gt;""""),ROWS(FILTER(Q$4:Q1545,Q$4:Q1545&lt;&gt;""""))),$AD$5+S1546))"),"")</f>
        <v/>
      </c>
      <c r="U1546" s="10" t="str">
        <f>IFERROR(__xludf.DUMMYFUNCTION("IF(COUNTA(Q1546:Q1673)=0,"""",IF(Q1546="""",0,IF(REGEXMATCH(Q1546,""^Sell_""),-ROUNDDOWN(ROUNDUP(INDEX(Upgrades!$C$3:$C$13,MATCH(SUBSTITUTE(Q1546,""Sell_"",""""),Upgrades!$B$3:$B$13,0))*1.15^(COUNTIF(Q$4:Q1545,SUBSTITUTE(Q1546,""Sell_"",""""))-COUNTIF(Q$4"&amp;":Q1545,""Sell_""&amp;SUBSTITUTE(Q1546,""Sell_"",""""))))/2),ROUNDUP(INDEX(Upgrades!$C$3:$C$13,MATCH(Q1546,Upgrades!$B$3:$B$13,0))*1.15^(COUNTIF(Q$4:Q1545,Q1546)-COUNTIF(Q$4:Q1545,""Sell_""&amp;Q1546))))))"),"")</f>
        <v/>
      </c>
      <c r="V1546" s="10" t="str">
        <f t="shared" si="11"/>
        <v/>
      </c>
      <c r="W1546" s="68" t="str">
        <f t="shared" si="12"/>
        <v/>
      </c>
      <c r="X1546" s="59" t="str">
        <f t="shared" si="13"/>
        <v/>
      </c>
      <c r="Y1546" s="69" t="str">
        <f t="shared" si="14"/>
        <v/>
      </c>
      <c r="Z1546" s="11"/>
    </row>
    <row r="1547">
      <c r="A1547" s="8"/>
      <c r="B1547" s="56" t="str">
        <f t="shared" si="2"/>
        <v/>
      </c>
      <c r="C1547" s="105"/>
      <c r="D1547" s="10"/>
      <c r="E1547" s="59" t="str">
        <f t="array" ref="E1547">IF(COUNTA(C1547:C1673)=0,"",SUM((COUNTIF(C$4:C1547,Upgrades!$B$3:$B$13)-COUNTIF(C$4:C1547,"Sell_"&amp;Upgrades!$B$3:$B$13))*Upgrades!$D$3:$D$13))</f>
        <v/>
      </c>
      <c r="F1547" s="66" t="str">
        <f>IFERROR(__xludf.DUMMYFUNCTION("IF(COUNTA(C1547:C1673)=0,"""",IF(REGEXMATCH(INDEX(FILTER(C$4:C1547,C$4:C1547&lt;&gt;""""),ROWS(FILTER(C$4:C1547,C$4:C1547&lt;&gt;""""))),""^Sell_""),INDEX(FILTER(F$4:F1546,C$4:C1546&lt;&gt;""""),ROWS(FILTER(C$4:C1546,C$4:C1546&lt;&gt;""""))),$AC$5+E1547))"),"")</f>
        <v/>
      </c>
      <c r="G1547" s="10" t="str">
        <f>IFERROR(__xludf.DUMMYFUNCTION("IF(COUNTA(C1547:C1673)=0,"""",IF(C1547="""",0,IF(REGEXMATCH(C1547,""^Sell_""),-ROUNDDOWN(ROUNDUP(INDEX(Upgrades!$C$3:$C$13,MATCH(SUBSTITUTE(C1547,""Sell_"",""""),Upgrades!$B$3:$B$13,0))*1.15^(COUNTIF(C$4:C1546,SUBSTITUTE(C1547,""Sell_"",""""))-COUNTIF(C$4"&amp;":C1546,""Sell_""&amp;SUBSTITUTE(C1547,""Sell_"",""""))))/2),ROUNDUP(INDEX(Upgrades!$C$3:$C$13,MATCH(C1547,Upgrades!$B$3:$B$13,0))*1.15^(COUNTIF(C$4:C1546,C1547)-COUNTIF(C$4:C1546,""Sell_""&amp;C1547))))))"),"")</f>
        <v/>
      </c>
      <c r="H1547" s="10" t="str">
        <f t="shared" si="3"/>
        <v/>
      </c>
      <c r="I1547" s="68" t="str">
        <f t="shared" si="4"/>
        <v/>
      </c>
      <c r="J1547" s="59" t="str">
        <f t="shared" si="5"/>
        <v/>
      </c>
      <c r="K1547" s="69" t="str">
        <f t="shared" si="6"/>
        <v/>
      </c>
      <c r="L1547" s="60" t="str">
        <f t="shared" si="7"/>
        <v/>
      </c>
      <c r="M1547" s="61" t="str">
        <f>IFERROR(__xludf.DUMMYFUNCTION("IFS(AND(COUNTA(C1547:C1673)=0,COUNTA(Q1547:Q1673)=0),"""",OR(AND(K1547&gt;=1000000000,OR(Y1547&gt;=1000000000,COUNTA(Q1547:Q1673)=0)),OR(Y1547&gt;=1000000000,AND(COUNTA(C1547:C1673)=0,P$3=TRUE))),
ROUNDDOWN((AB$1-AC$1)*MAX(INDEX(T$4:T1673,MATCH(LARGE(FILTER(Y$4:Y1"&amp;"673,Y$4:Y1673&lt;1000000000),1),Y$4:Y1673)),INDEX(F$4:F1673,MATCH(LARGE(FILTER(K$4:K1673,K$4:K1673&lt;1000000000),1),K$4:K1673)))),AND(K1547&lt;1000000000,COUNTA(C1547:C1673)&gt;0,P$3=FALSE),
ROUNDDOWN(INDEX(Y$4:Y1673,MATCH(LARGE(FILTER(W$4:W1673,W$4:W1673&lt;=I1547),1)"&amp;",W$4:W1673))+(I1547-LARGE(FILTER(W$4:W1673,W$4:W1673&lt;=I1547),1))*INDEX(T$4:T1673,MATCH(LARGE(FILTER(W$4:W1673,W$4:W1673&lt;=I1547),1),W$4:W1673))-K1547),1,
ROUNDDOWN(Y1547-INDEX(K$4:K1673,MATCH(LARGE(FILTER(I$4:I1673,I$4:I1673&lt;=W1547),1),I$4:I1673))-(W1547-L"&amp;"ARGE(FILTER(I$4:I1673,I$4:I1673&lt;=W1547),1))*INDEX(F$4:F1673,MATCH(LARGE(FILTER(I$4:I1673,I$4:I1673&lt;=W1547),1),I$4:I1673))))"),"")</f>
        <v/>
      </c>
      <c r="N1547" s="60" t="str">
        <f t="shared" si="8"/>
        <v/>
      </c>
      <c r="O1547" s="61" t="str">
        <f t="shared" si="9"/>
        <v/>
      </c>
      <c r="P1547" s="56" t="str">
        <f t="shared" si="10"/>
        <v/>
      </c>
      <c r="Q1547" s="67"/>
      <c r="R1547" s="10"/>
      <c r="S1547" s="59" t="str">
        <f t="array" ref="S1547">IF(COUNTA(Q1547:Q1673)=0,"",SUM((COUNTIF(Q$4:Q1547,Upgrades!$B$3:$B$13)-COUNTIF(Q$4:Q1547,"Sell_"&amp;Upgrades!$B$3:$B$13))*Upgrades!$D$3:$D$13))</f>
        <v/>
      </c>
      <c r="T1547" s="66" t="str">
        <f>IFERROR(__xludf.DUMMYFUNCTION("IF(COUNTA(Q1547:Q1673)=0,"""",IF(REGEXMATCH(INDEX(FILTER(Q$4:Q1547,Q$4:Q1547&lt;&gt;""""),ROWS(FILTER(Q$4:Q1547,Q$4:Q1547&lt;&gt;""""))),""^Sell_""),INDEX(FILTER(T$4:T1546,Q$4:Q1546&lt;&gt;""""),ROWS(FILTER(Q$4:Q1546,Q$4:Q1546&lt;&gt;""""))),$AD$5+S1547))"),"")</f>
        <v/>
      </c>
      <c r="U1547" s="10" t="str">
        <f>IFERROR(__xludf.DUMMYFUNCTION("IF(COUNTA(Q1547:Q1673)=0,"""",IF(Q1547="""",0,IF(REGEXMATCH(Q1547,""^Sell_""),-ROUNDDOWN(ROUNDUP(INDEX(Upgrades!$C$3:$C$13,MATCH(SUBSTITUTE(Q1547,""Sell_"",""""),Upgrades!$B$3:$B$13,0))*1.15^(COUNTIF(Q$4:Q1546,SUBSTITUTE(Q1547,""Sell_"",""""))-COUNTIF(Q$4"&amp;":Q1546,""Sell_""&amp;SUBSTITUTE(Q1547,""Sell_"",""""))))/2),ROUNDUP(INDEX(Upgrades!$C$3:$C$13,MATCH(Q1547,Upgrades!$B$3:$B$13,0))*1.15^(COUNTIF(Q$4:Q1546,Q1547)-COUNTIF(Q$4:Q1546,""Sell_""&amp;Q1547))))))"),"")</f>
        <v/>
      </c>
      <c r="V1547" s="10" t="str">
        <f t="shared" si="11"/>
        <v/>
      </c>
      <c r="W1547" s="68" t="str">
        <f t="shared" si="12"/>
        <v/>
      </c>
      <c r="X1547" s="59" t="str">
        <f t="shared" si="13"/>
        <v/>
      </c>
      <c r="Y1547" s="69" t="str">
        <f t="shared" si="14"/>
        <v/>
      </c>
      <c r="Z1547" s="11"/>
    </row>
    <row r="1548">
      <c r="A1548" s="8"/>
      <c r="B1548" s="56" t="str">
        <f t="shared" si="2"/>
        <v/>
      </c>
      <c r="C1548" s="105"/>
      <c r="D1548" s="10"/>
      <c r="E1548" s="59" t="str">
        <f t="array" ref="E1548">IF(COUNTA(C1548:C1673)=0,"",SUM((COUNTIF(C$4:C1548,Upgrades!$B$3:$B$13)-COUNTIF(C$4:C1548,"Sell_"&amp;Upgrades!$B$3:$B$13))*Upgrades!$D$3:$D$13))</f>
        <v/>
      </c>
      <c r="F1548" s="66" t="str">
        <f>IFERROR(__xludf.DUMMYFUNCTION("IF(COUNTA(C1548:C1673)=0,"""",IF(REGEXMATCH(INDEX(FILTER(C$4:C1548,C$4:C1548&lt;&gt;""""),ROWS(FILTER(C$4:C1548,C$4:C1548&lt;&gt;""""))),""^Sell_""),INDEX(FILTER(F$4:F1547,C$4:C1547&lt;&gt;""""),ROWS(FILTER(C$4:C1547,C$4:C1547&lt;&gt;""""))),$AC$5+E1548))"),"")</f>
        <v/>
      </c>
      <c r="G1548" s="10" t="str">
        <f>IFERROR(__xludf.DUMMYFUNCTION("IF(COUNTA(C1548:C1673)=0,"""",IF(C1548="""",0,IF(REGEXMATCH(C1548,""^Sell_""),-ROUNDDOWN(ROUNDUP(INDEX(Upgrades!$C$3:$C$13,MATCH(SUBSTITUTE(C1548,""Sell_"",""""),Upgrades!$B$3:$B$13,0))*1.15^(COUNTIF(C$4:C1547,SUBSTITUTE(C1548,""Sell_"",""""))-COUNTIF(C$4"&amp;":C1547,""Sell_""&amp;SUBSTITUTE(C1548,""Sell_"",""""))))/2),ROUNDUP(INDEX(Upgrades!$C$3:$C$13,MATCH(C1548,Upgrades!$B$3:$B$13,0))*1.15^(COUNTIF(C$4:C1547,C1548)-COUNTIF(C$4:C1547,""Sell_""&amp;C1548))))))"),"")</f>
        <v/>
      </c>
      <c r="H1548" s="10" t="str">
        <f t="shared" si="3"/>
        <v/>
      </c>
      <c r="I1548" s="68" t="str">
        <f t="shared" si="4"/>
        <v/>
      </c>
      <c r="J1548" s="59" t="str">
        <f t="shared" si="5"/>
        <v/>
      </c>
      <c r="K1548" s="69" t="str">
        <f t="shared" si="6"/>
        <v/>
      </c>
      <c r="L1548" s="60" t="str">
        <f t="shared" si="7"/>
        <v/>
      </c>
      <c r="M1548" s="61" t="str">
        <f>IFERROR(__xludf.DUMMYFUNCTION("IFS(AND(COUNTA(C1548:C1673)=0,COUNTA(Q1548:Q1673)=0),"""",OR(AND(K1548&gt;=1000000000,OR(Y1548&gt;=1000000000,COUNTA(Q1548:Q1673)=0)),OR(Y1548&gt;=1000000000,AND(COUNTA(C1548:C1673)=0,P$3=TRUE))),
ROUNDDOWN((AB$1-AC$1)*MAX(INDEX(T$4:T1673,MATCH(LARGE(FILTER(Y$4:Y1"&amp;"673,Y$4:Y1673&lt;1000000000),1),Y$4:Y1673)),INDEX(F$4:F1673,MATCH(LARGE(FILTER(K$4:K1673,K$4:K1673&lt;1000000000),1),K$4:K1673)))),AND(K1548&lt;1000000000,COUNTA(C1548:C1673)&gt;0,P$3=FALSE),
ROUNDDOWN(INDEX(Y$4:Y1673,MATCH(LARGE(FILTER(W$4:W1673,W$4:W1673&lt;=I1548),1)"&amp;",W$4:W1673))+(I1548-LARGE(FILTER(W$4:W1673,W$4:W1673&lt;=I1548),1))*INDEX(T$4:T1673,MATCH(LARGE(FILTER(W$4:W1673,W$4:W1673&lt;=I1548),1),W$4:W1673))-K1548),1,
ROUNDDOWN(Y1548-INDEX(K$4:K1673,MATCH(LARGE(FILTER(I$4:I1673,I$4:I1673&lt;=W1548),1),I$4:I1673))-(W1548-L"&amp;"ARGE(FILTER(I$4:I1673,I$4:I1673&lt;=W1548),1))*INDEX(F$4:F1673,MATCH(LARGE(FILTER(I$4:I1673,I$4:I1673&lt;=W1548),1),I$4:I1673))))"),"")</f>
        <v/>
      </c>
      <c r="N1548" s="60" t="str">
        <f t="shared" si="8"/>
        <v/>
      </c>
      <c r="O1548" s="61" t="str">
        <f t="shared" si="9"/>
        <v/>
      </c>
      <c r="P1548" s="56" t="str">
        <f t="shared" si="10"/>
        <v/>
      </c>
      <c r="Q1548" s="67"/>
      <c r="R1548" s="10"/>
      <c r="S1548" s="59" t="str">
        <f t="array" ref="S1548">IF(COUNTA(Q1548:Q1673)=0,"",SUM((COUNTIF(Q$4:Q1548,Upgrades!$B$3:$B$13)-COUNTIF(Q$4:Q1548,"Sell_"&amp;Upgrades!$B$3:$B$13))*Upgrades!$D$3:$D$13))</f>
        <v/>
      </c>
      <c r="T1548" s="66" t="str">
        <f>IFERROR(__xludf.DUMMYFUNCTION("IF(COUNTA(Q1548:Q1673)=0,"""",IF(REGEXMATCH(INDEX(FILTER(Q$4:Q1548,Q$4:Q1548&lt;&gt;""""),ROWS(FILTER(Q$4:Q1548,Q$4:Q1548&lt;&gt;""""))),""^Sell_""),INDEX(FILTER(T$4:T1547,Q$4:Q1547&lt;&gt;""""),ROWS(FILTER(Q$4:Q1547,Q$4:Q1547&lt;&gt;""""))),$AD$5+S1548))"),"")</f>
        <v/>
      </c>
      <c r="U1548" s="10" t="str">
        <f>IFERROR(__xludf.DUMMYFUNCTION("IF(COUNTA(Q1548:Q1673)=0,"""",IF(Q1548="""",0,IF(REGEXMATCH(Q1548,""^Sell_""),-ROUNDDOWN(ROUNDUP(INDEX(Upgrades!$C$3:$C$13,MATCH(SUBSTITUTE(Q1548,""Sell_"",""""),Upgrades!$B$3:$B$13,0))*1.15^(COUNTIF(Q$4:Q1547,SUBSTITUTE(Q1548,""Sell_"",""""))-COUNTIF(Q$4"&amp;":Q1547,""Sell_""&amp;SUBSTITUTE(Q1548,""Sell_"",""""))))/2),ROUNDUP(INDEX(Upgrades!$C$3:$C$13,MATCH(Q1548,Upgrades!$B$3:$B$13,0))*1.15^(COUNTIF(Q$4:Q1547,Q1548)-COUNTIF(Q$4:Q1547,""Sell_""&amp;Q1548))))))"),"")</f>
        <v/>
      </c>
      <c r="V1548" s="10" t="str">
        <f t="shared" si="11"/>
        <v/>
      </c>
      <c r="W1548" s="68" t="str">
        <f t="shared" si="12"/>
        <v/>
      </c>
      <c r="X1548" s="59" t="str">
        <f t="shared" si="13"/>
        <v/>
      </c>
      <c r="Y1548" s="69" t="str">
        <f t="shared" si="14"/>
        <v/>
      </c>
      <c r="Z1548" s="11"/>
    </row>
    <row r="1549">
      <c r="A1549" s="8"/>
      <c r="B1549" s="56" t="str">
        <f t="shared" si="2"/>
        <v/>
      </c>
      <c r="C1549" s="105"/>
      <c r="D1549" s="10"/>
      <c r="E1549" s="59" t="str">
        <f t="array" ref="E1549">IF(COUNTA(C1549:C1673)=0,"",SUM((COUNTIF(C$4:C1549,Upgrades!$B$3:$B$13)-COUNTIF(C$4:C1549,"Sell_"&amp;Upgrades!$B$3:$B$13))*Upgrades!$D$3:$D$13))</f>
        <v/>
      </c>
      <c r="F1549" s="66" t="str">
        <f>IFERROR(__xludf.DUMMYFUNCTION("IF(COUNTA(C1549:C1673)=0,"""",IF(REGEXMATCH(INDEX(FILTER(C$4:C1549,C$4:C1549&lt;&gt;""""),ROWS(FILTER(C$4:C1549,C$4:C1549&lt;&gt;""""))),""^Sell_""),INDEX(FILTER(F$4:F1548,C$4:C1548&lt;&gt;""""),ROWS(FILTER(C$4:C1548,C$4:C1548&lt;&gt;""""))),$AC$5+E1549))"),"")</f>
        <v/>
      </c>
      <c r="G1549" s="10" t="str">
        <f>IFERROR(__xludf.DUMMYFUNCTION("IF(COUNTA(C1549:C1673)=0,"""",IF(C1549="""",0,IF(REGEXMATCH(C1549,""^Sell_""),-ROUNDDOWN(ROUNDUP(INDEX(Upgrades!$C$3:$C$13,MATCH(SUBSTITUTE(C1549,""Sell_"",""""),Upgrades!$B$3:$B$13,0))*1.15^(COUNTIF(C$4:C1548,SUBSTITUTE(C1549,""Sell_"",""""))-COUNTIF(C$4"&amp;":C1548,""Sell_""&amp;SUBSTITUTE(C1549,""Sell_"",""""))))/2),ROUNDUP(INDEX(Upgrades!$C$3:$C$13,MATCH(C1549,Upgrades!$B$3:$B$13,0))*1.15^(COUNTIF(C$4:C1548,C1549)-COUNTIF(C$4:C1548,""Sell_""&amp;C1549))))))"),"")</f>
        <v/>
      </c>
      <c r="H1549" s="10" t="str">
        <f t="shared" si="3"/>
        <v/>
      </c>
      <c r="I1549" s="68" t="str">
        <f t="shared" si="4"/>
        <v/>
      </c>
      <c r="J1549" s="59" t="str">
        <f t="shared" si="5"/>
        <v/>
      </c>
      <c r="K1549" s="69" t="str">
        <f t="shared" si="6"/>
        <v/>
      </c>
      <c r="L1549" s="60" t="str">
        <f t="shared" si="7"/>
        <v/>
      </c>
      <c r="M1549" s="61" t="str">
        <f>IFERROR(__xludf.DUMMYFUNCTION("IFS(AND(COUNTA(C1549:C1673)=0,COUNTA(Q1549:Q1673)=0),"""",OR(AND(K1549&gt;=1000000000,OR(Y1549&gt;=1000000000,COUNTA(Q1549:Q1673)=0)),OR(Y1549&gt;=1000000000,AND(COUNTA(C1549:C1673)=0,P$3=TRUE))),
ROUNDDOWN((AB$1-AC$1)*MAX(INDEX(T$4:T1673,MATCH(LARGE(FILTER(Y$4:Y1"&amp;"673,Y$4:Y1673&lt;1000000000),1),Y$4:Y1673)),INDEX(F$4:F1673,MATCH(LARGE(FILTER(K$4:K1673,K$4:K1673&lt;1000000000),1),K$4:K1673)))),AND(K1549&lt;1000000000,COUNTA(C1549:C1673)&gt;0,P$3=FALSE),
ROUNDDOWN(INDEX(Y$4:Y1673,MATCH(LARGE(FILTER(W$4:W1673,W$4:W1673&lt;=I1549),1)"&amp;",W$4:W1673))+(I1549-LARGE(FILTER(W$4:W1673,W$4:W1673&lt;=I1549),1))*INDEX(T$4:T1673,MATCH(LARGE(FILTER(W$4:W1673,W$4:W1673&lt;=I1549),1),W$4:W1673))-K1549),1,
ROUNDDOWN(Y1549-INDEX(K$4:K1673,MATCH(LARGE(FILTER(I$4:I1673,I$4:I1673&lt;=W1549),1),I$4:I1673))-(W1549-L"&amp;"ARGE(FILTER(I$4:I1673,I$4:I1673&lt;=W1549),1))*INDEX(F$4:F1673,MATCH(LARGE(FILTER(I$4:I1673,I$4:I1673&lt;=W1549),1),I$4:I1673))))"),"")</f>
        <v/>
      </c>
      <c r="N1549" s="60" t="str">
        <f t="shared" si="8"/>
        <v/>
      </c>
      <c r="O1549" s="61" t="str">
        <f t="shared" si="9"/>
        <v/>
      </c>
      <c r="P1549" s="56" t="str">
        <f t="shared" si="10"/>
        <v/>
      </c>
      <c r="Q1549" s="67"/>
      <c r="R1549" s="10"/>
      <c r="S1549" s="59" t="str">
        <f t="array" ref="S1549">IF(COUNTA(Q1549:Q1673)=0,"",SUM((COUNTIF(Q$4:Q1549,Upgrades!$B$3:$B$13)-COUNTIF(Q$4:Q1549,"Sell_"&amp;Upgrades!$B$3:$B$13))*Upgrades!$D$3:$D$13))</f>
        <v/>
      </c>
      <c r="T1549" s="66" t="str">
        <f>IFERROR(__xludf.DUMMYFUNCTION("IF(COUNTA(Q1549:Q1673)=0,"""",IF(REGEXMATCH(INDEX(FILTER(Q$4:Q1549,Q$4:Q1549&lt;&gt;""""),ROWS(FILTER(Q$4:Q1549,Q$4:Q1549&lt;&gt;""""))),""^Sell_""),INDEX(FILTER(T$4:T1548,Q$4:Q1548&lt;&gt;""""),ROWS(FILTER(Q$4:Q1548,Q$4:Q1548&lt;&gt;""""))),$AD$5+S1549))"),"")</f>
        <v/>
      </c>
      <c r="U1549" s="10" t="str">
        <f>IFERROR(__xludf.DUMMYFUNCTION("IF(COUNTA(Q1549:Q1673)=0,"""",IF(Q1549="""",0,IF(REGEXMATCH(Q1549,""^Sell_""),-ROUNDDOWN(ROUNDUP(INDEX(Upgrades!$C$3:$C$13,MATCH(SUBSTITUTE(Q1549,""Sell_"",""""),Upgrades!$B$3:$B$13,0))*1.15^(COUNTIF(Q$4:Q1548,SUBSTITUTE(Q1549,""Sell_"",""""))-COUNTIF(Q$4"&amp;":Q1548,""Sell_""&amp;SUBSTITUTE(Q1549,""Sell_"",""""))))/2),ROUNDUP(INDEX(Upgrades!$C$3:$C$13,MATCH(Q1549,Upgrades!$B$3:$B$13,0))*1.15^(COUNTIF(Q$4:Q1548,Q1549)-COUNTIF(Q$4:Q1548,""Sell_""&amp;Q1549))))))"),"")</f>
        <v/>
      </c>
      <c r="V1549" s="10" t="str">
        <f t="shared" si="11"/>
        <v/>
      </c>
      <c r="W1549" s="68" t="str">
        <f t="shared" si="12"/>
        <v/>
      </c>
      <c r="X1549" s="59" t="str">
        <f t="shared" si="13"/>
        <v/>
      </c>
      <c r="Y1549" s="69" t="str">
        <f t="shared" si="14"/>
        <v/>
      </c>
      <c r="Z1549" s="11"/>
    </row>
    <row r="1550">
      <c r="A1550" s="8"/>
      <c r="B1550" s="56" t="str">
        <f t="shared" si="2"/>
        <v/>
      </c>
      <c r="C1550" s="105"/>
      <c r="D1550" s="10"/>
      <c r="E1550" s="59" t="str">
        <f t="array" ref="E1550">IF(COUNTA(C1550:C1673)=0,"",SUM((COUNTIF(C$4:C1550,Upgrades!$B$3:$B$13)-COUNTIF(C$4:C1550,"Sell_"&amp;Upgrades!$B$3:$B$13))*Upgrades!$D$3:$D$13))</f>
        <v/>
      </c>
      <c r="F1550" s="66" t="str">
        <f>IFERROR(__xludf.DUMMYFUNCTION("IF(COUNTA(C1550:C1673)=0,"""",IF(REGEXMATCH(INDEX(FILTER(C$4:C1550,C$4:C1550&lt;&gt;""""),ROWS(FILTER(C$4:C1550,C$4:C1550&lt;&gt;""""))),""^Sell_""),INDEX(FILTER(F$4:F1549,C$4:C1549&lt;&gt;""""),ROWS(FILTER(C$4:C1549,C$4:C1549&lt;&gt;""""))),$AC$5+E1550))"),"")</f>
        <v/>
      </c>
      <c r="G1550" s="10" t="str">
        <f>IFERROR(__xludf.DUMMYFUNCTION("IF(COUNTA(C1550:C1673)=0,"""",IF(C1550="""",0,IF(REGEXMATCH(C1550,""^Sell_""),-ROUNDDOWN(ROUNDUP(INDEX(Upgrades!$C$3:$C$13,MATCH(SUBSTITUTE(C1550,""Sell_"",""""),Upgrades!$B$3:$B$13,0))*1.15^(COUNTIF(C$4:C1549,SUBSTITUTE(C1550,""Sell_"",""""))-COUNTIF(C$4"&amp;":C1549,""Sell_""&amp;SUBSTITUTE(C1550,""Sell_"",""""))))/2),ROUNDUP(INDEX(Upgrades!$C$3:$C$13,MATCH(C1550,Upgrades!$B$3:$B$13,0))*1.15^(COUNTIF(C$4:C1549,C1550)-COUNTIF(C$4:C1549,""Sell_""&amp;C1550))))))"),"")</f>
        <v/>
      </c>
      <c r="H1550" s="10" t="str">
        <f t="shared" si="3"/>
        <v/>
      </c>
      <c r="I1550" s="68" t="str">
        <f t="shared" si="4"/>
        <v/>
      </c>
      <c r="J1550" s="59" t="str">
        <f t="shared" si="5"/>
        <v/>
      </c>
      <c r="K1550" s="69" t="str">
        <f t="shared" si="6"/>
        <v/>
      </c>
      <c r="L1550" s="60" t="str">
        <f t="shared" si="7"/>
        <v/>
      </c>
      <c r="M1550" s="61" t="str">
        <f>IFERROR(__xludf.DUMMYFUNCTION("IFS(AND(COUNTA(C1550:C1673)=0,COUNTA(Q1550:Q1673)=0),"""",OR(AND(K1550&gt;=1000000000,OR(Y1550&gt;=1000000000,COUNTA(Q1550:Q1673)=0)),OR(Y1550&gt;=1000000000,AND(COUNTA(C1550:C1673)=0,P$3=TRUE))),
ROUNDDOWN((AB$1-AC$1)*MAX(INDEX(T$4:T1673,MATCH(LARGE(FILTER(Y$4:Y1"&amp;"673,Y$4:Y1673&lt;1000000000),1),Y$4:Y1673)),INDEX(F$4:F1673,MATCH(LARGE(FILTER(K$4:K1673,K$4:K1673&lt;1000000000),1),K$4:K1673)))),AND(K1550&lt;1000000000,COUNTA(C1550:C1673)&gt;0,P$3=FALSE),
ROUNDDOWN(INDEX(Y$4:Y1673,MATCH(LARGE(FILTER(W$4:W1673,W$4:W1673&lt;=I1550),1)"&amp;",W$4:W1673))+(I1550-LARGE(FILTER(W$4:W1673,W$4:W1673&lt;=I1550),1))*INDEX(T$4:T1673,MATCH(LARGE(FILTER(W$4:W1673,W$4:W1673&lt;=I1550),1),W$4:W1673))-K1550),1,
ROUNDDOWN(Y1550-INDEX(K$4:K1673,MATCH(LARGE(FILTER(I$4:I1673,I$4:I1673&lt;=W1550),1),I$4:I1673))-(W1550-L"&amp;"ARGE(FILTER(I$4:I1673,I$4:I1673&lt;=W1550),1))*INDEX(F$4:F1673,MATCH(LARGE(FILTER(I$4:I1673,I$4:I1673&lt;=W1550),1),I$4:I1673))))"),"")</f>
        <v/>
      </c>
      <c r="N1550" s="60" t="str">
        <f t="shared" si="8"/>
        <v/>
      </c>
      <c r="O1550" s="61" t="str">
        <f t="shared" si="9"/>
        <v/>
      </c>
      <c r="P1550" s="56" t="str">
        <f t="shared" si="10"/>
        <v/>
      </c>
      <c r="Q1550" s="67"/>
      <c r="R1550" s="10"/>
      <c r="S1550" s="59" t="str">
        <f t="array" ref="S1550">IF(COUNTA(Q1550:Q1673)=0,"",SUM((COUNTIF(Q$4:Q1550,Upgrades!$B$3:$B$13)-COUNTIF(Q$4:Q1550,"Sell_"&amp;Upgrades!$B$3:$B$13))*Upgrades!$D$3:$D$13))</f>
        <v/>
      </c>
      <c r="T1550" s="66" t="str">
        <f>IFERROR(__xludf.DUMMYFUNCTION("IF(COUNTA(Q1550:Q1673)=0,"""",IF(REGEXMATCH(INDEX(FILTER(Q$4:Q1550,Q$4:Q1550&lt;&gt;""""),ROWS(FILTER(Q$4:Q1550,Q$4:Q1550&lt;&gt;""""))),""^Sell_""),INDEX(FILTER(T$4:T1549,Q$4:Q1549&lt;&gt;""""),ROWS(FILTER(Q$4:Q1549,Q$4:Q1549&lt;&gt;""""))),$AD$5+S1550))"),"")</f>
        <v/>
      </c>
      <c r="U1550" s="10" t="str">
        <f>IFERROR(__xludf.DUMMYFUNCTION("IF(COUNTA(Q1550:Q1673)=0,"""",IF(Q1550="""",0,IF(REGEXMATCH(Q1550,""^Sell_""),-ROUNDDOWN(ROUNDUP(INDEX(Upgrades!$C$3:$C$13,MATCH(SUBSTITUTE(Q1550,""Sell_"",""""),Upgrades!$B$3:$B$13,0))*1.15^(COUNTIF(Q$4:Q1549,SUBSTITUTE(Q1550,""Sell_"",""""))-COUNTIF(Q$4"&amp;":Q1549,""Sell_""&amp;SUBSTITUTE(Q1550,""Sell_"",""""))))/2),ROUNDUP(INDEX(Upgrades!$C$3:$C$13,MATCH(Q1550,Upgrades!$B$3:$B$13,0))*1.15^(COUNTIF(Q$4:Q1549,Q1550)-COUNTIF(Q$4:Q1549,""Sell_""&amp;Q1550))))))"),"")</f>
        <v/>
      </c>
      <c r="V1550" s="10" t="str">
        <f t="shared" si="11"/>
        <v/>
      </c>
      <c r="W1550" s="68" t="str">
        <f t="shared" si="12"/>
        <v/>
      </c>
      <c r="X1550" s="59" t="str">
        <f t="shared" si="13"/>
        <v/>
      </c>
      <c r="Y1550" s="69" t="str">
        <f t="shared" si="14"/>
        <v/>
      </c>
      <c r="Z1550" s="11"/>
    </row>
    <row r="1551">
      <c r="A1551" s="8"/>
      <c r="B1551" s="56" t="str">
        <f t="shared" si="2"/>
        <v/>
      </c>
      <c r="C1551" s="105"/>
      <c r="D1551" s="10"/>
      <c r="E1551" s="59" t="str">
        <f t="array" ref="E1551">IF(COUNTA(C1551:C1673)=0,"",SUM((COUNTIF(C$4:C1551,Upgrades!$B$3:$B$13)-COUNTIF(C$4:C1551,"Sell_"&amp;Upgrades!$B$3:$B$13))*Upgrades!$D$3:$D$13))</f>
        <v/>
      </c>
      <c r="F1551" s="66" t="str">
        <f>IFERROR(__xludf.DUMMYFUNCTION("IF(COUNTA(C1551:C1673)=0,"""",IF(REGEXMATCH(INDEX(FILTER(C$4:C1551,C$4:C1551&lt;&gt;""""),ROWS(FILTER(C$4:C1551,C$4:C1551&lt;&gt;""""))),""^Sell_""),INDEX(FILTER(F$4:F1550,C$4:C1550&lt;&gt;""""),ROWS(FILTER(C$4:C1550,C$4:C1550&lt;&gt;""""))),$AC$5+E1551))"),"")</f>
        <v/>
      </c>
      <c r="G1551" s="10" t="str">
        <f>IFERROR(__xludf.DUMMYFUNCTION("IF(COUNTA(C1551:C1673)=0,"""",IF(C1551="""",0,IF(REGEXMATCH(C1551,""^Sell_""),-ROUNDDOWN(ROUNDUP(INDEX(Upgrades!$C$3:$C$13,MATCH(SUBSTITUTE(C1551,""Sell_"",""""),Upgrades!$B$3:$B$13,0))*1.15^(COUNTIF(C$4:C1550,SUBSTITUTE(C1551,""Sell_"",""""))-COUNTIF(C$4"&amp;":C1550,""Sell_""&amp;SUBSTITUTE(C1551,""Sell_"",""""))))/2),ROUNDUP(INDEX(Upgrades!$C$3:$C$13,MATCH(C1551,Upgrades!$B$3:$B$13,0))*1.15^(COUNTIF(C$4:C1550,C1551)-COUNTIF(C$4:C1550,""Sell_""&amp;C1551))))))"),"")</f>
        <v/>
      </c>
      <c r="H1551" s="10" t="str">
        <f t="shared" si="3"/>
        <v/>
      </c>
      <c r="I1551" s="68" t="str">
        <f t="shared" si="4"/>
        <v/>
      </c>
      <c r="J1551" s="59" t="str">
        <f t="shared" si="5"/>
        <v/>
      </c>
      <c r="K1551" s="69" t="str">
        <f t="shared" si="6"/>
        <v/>
      </c>
      <c r="L1551" s="60" t="str">
        <f t="shared" si="7"/>
        <v/>
      </c>
      <c r="M1551" s="61" t="str">
        <f>IFERROR(__xludf.DUMMYFUNCTION("IFS(AND(COUNTA(C1551:C1673)=0,COUNTA(Q1551:Q1673)=0),"""",OR(AND(K1551&gt;=1000000000,OR(Y1551&gt;=1000000000,COUNTA(Q1551:Q1673)=0)),OR(Y1551&gt;=1000000000,AND(COUNTA(C1551:C1673)=0,P$3=TRUE))),
ROUNDDOWN((AB$1-AC$1)*MAX(INDEX(T$4:T1673,MATCH(LARGE(FILTER(Y$4:Y1"&amp;"673,Y$4:Y1673&lt;1000000000),1),Y$4:Y1673)),INDEX(F$4:F1673,MATCH(LARGE(FILTER(K$4:K1673,K$4:K1673&lt;1000000000),1),K$4:K1673)))),AND(K1551&lt;1000000000,COUNTA(C1551:C1673)&gt;0,P$3=FALSE),
ROUNDDOWN(INDEX(Y$4:Y1673,MATCH(LARGE(FILTER(W$4:W1673,W$4:W1673&lt;=I1551),1)"&amp;",W$4:W1673))+(I1551-LARGE(FILTER(W$4:W1673,W$4:W1673&lt;=I1551),1))*INDEX(T$4:T1673,MATCH(LARGE(FILTER(W$4:W1673,W$4:W1673&lt;=I1551),1),W$4:W1673))-K1551),1,
ROUNDDOWN(Y1551-INDEX(K$4:K1673,MATCH(LARGE(FILTER(I$4:I1673,I$4:I1673&lt;=W1551),1),I$4:I1673))-(W1551-L"&amp;"ARGE(FILTER(I$4:I1673,I$4:I1673&lt;=W1551),1))*INDEX(F$4:F1673,MATCH(LARGE(FILTER(I$4:I1673,I$4:I1673&lt;=W1551),1),I$4:I1673))))"),"")</f>
        <v/>
      </c>
      <c r="N1551" s="60" t="str">
        <f t="shared" si="8"/>
        <v/>
      </c>
      <c r="O1551" s="61" t="str">
        <f t="shared" si="9"/>
        <v/>
      </c>
      <c r="P1551" s="56" t="str">
        <f t="shared" si="10"/>
        <v/>
      </c>
      <c r="Q1551" s="67"/>
      <c r="R1551" s="10"/>
      <c r="S1551" s="59" t="str">
        <f t="array" ref="S1551">IF(COUNTA(Q1551:Q1673)=0,"",SUM((COUNTIF(Q$4:Q1551,Upgrades!$B$3:$B$13)-COUNTIF(Q$4:Q1551,"Sell_"&amp;Upgrades!$B$3:$B$13))*Upgrades!$D$3:$D$13))</f>
        <v/>
      </c>
      <c r="T1551" s="66" t="str">
        <f>IFERROR(__xludf.DUMMYFUNCTION("IF(COUNTA(Q1551:Q1673)=0,"""",IF(REGEXMATCH(INDEX(FILTER(Q$4:Q1551,Q$4:Q1551&lt;&gt;""""),ROWS(FILTER(Q$4:Q1551,Q$4:Q1551&lt;&gt;""""))),""^Sell_""),INDEX(FILTER(T$4:T1550,Q$4:Q1550&lt;&gt;""""),ROWS(FILTER(Q$4:Q1550,Q$4:Q1550&lt;&gt;""""))),$AD$5+S1551))"),"")</f>
        <v/>
      </c>
      <c r="U1551" s="10" t="str">
        <f>IFERROR(__xludf.DUMMYFUNCTION("IF(COUNTA(Q1551:Q1673)=0,"""",IF(Q1551="""",0,IF(REGEXMATCH(Q1551,""^Sell_""),-ROUNDDOWN(ROUNDUP(INDEX(Upgrades!$C$3:$C$13,MATCH(SUBSTITUTE(Q1551,""Sell_"",""""),Upgrades!$B$3:$B$13,0))*1.15^(COUNTIF(Q$4:Q1550,SUBSTITUTE(Q1551,""Sell_"",""""))-COUNTIF(Q$4"&amp;":Q1550,""Sell_""&amp;SUBSTITUTE(Q1551,""Sell_"",""""))))/2),ROUNDUP(INDEX(Upgrades!$C$3:$C$13,MATCH(Q1551,Upgrades!$B$3:$B$13,0))*1.15^(COUNTIF(Q$4:Q1550,Q1551)-COUNTIF(Q$4:Q1550,""Sell_""&amp;Q1551))))))"),"")</f>
        <v/>
      </c>
      <c r="V1551" s="10" t="str">
        <f t="shared" si="11"/>
        <v/>
      </c>
      <c r="W1551" s="68" t="str">
        <f t="shared" si="12"/>
        <v/>
      </c>
      <c r="X1551" s="59" t="str">
        <f t="shared" si="13"/>
        <v/>
      </c>
      <c r="Y1551" s="69" t="str">
        <f t="shared" si="14"/>
        <v/>
      </c>
      <c r="Z1551" s="11"/>
    </row>
    <row r="1552">
      <c r="A1552" s="8"/>
      <c r="B1552" s="56" t="str">
        <f t="shared" si="2"/>
        <v/>
      </c>
      <c r="C1552" s="105"/>
      <c r="D1552" s="10"/>
      <c r="E1552" s="59" t="str">
        <f t="array" ref="E1552">IF(COUNTA(C1552:C1673)=0,"",SUM((COUNTIF(C$4:C1552,Upgrades!$B$3:$B$13)-COUNTIF(C$4:C1552,"Sell_"&amp;Upgrades!$B$3:$B$13))*Upgrades!$D$3:$D$13))</f>
        <v/>
      </c>
      <c r="F1552" s="66" t="str">
        <f>IFERROR(__xludf.DUMMYFUNCTION("IF(COUNTA(C1552:C1673)=0,"""",IF(REGEXMATCH(INDEX(FILTER(C$4:C1552,C$4:C1552&lt;&gt;""""),ROWS(FILTER(C$4:C1552,C$4:C1552&lt;&gt;""""))),""^Sell_""),INDEX(FILTER(F$4:F1551,C$4:C1551&lt;&gt;""""),ROWS(FILTER(C$4:C1551,C$4:C1551&lt;&gt;""""))),$AC$5+E1552))"),"")</f>
        <v/>
      </c>
      <c r="G1552" s="10" t="str">
        <f>IFERROR(__xludf.DUMMYFUNCTION("IF(COUNTA(C1552:C1673)=0,"""",IF(C1552="""",0,IF(REGEXMATCH(C1552,""^Sell_""),-ROUNDDOWN(ROUNDUP(INDEX(Upgrades!$C$3:$C$13,MATCH(SUBSTITUTE(C1552,""Sell_"",""""),Upgrades!$B$3:$B$13,0))*1.15^(COUNTIF(C$4:C1551,SUBSTITUTE(C1552,""Sell_"",""""))-COUNTIF(C$4"&amp;":C1551,""Sell_""&amp;SUBSTITUTE(C1552,""Sell_"",""""))))/2),ROUNDUP(INDEX(Upgrades!$C$3:$C$13,MATCH(C1552,Upgrades!$B$3:$B$13,0))*1.15^(COUNTIF(C$4:C1551,C1552)-COUNTIF(C$4:C1551,""Sell_""&amp;C1552))))))"),"")</f>
        <v/>
      </c>
      <c r="H1552" s="10" t="str">
        <f t="shared" si="3"/>
        <v/>
      </c>
      <c r="I1552" s="68" t="str">
        <f t="shared" si="4"/>
        <v/>
      </c>
      <c r="J1552" s="59" t="str">
        <f t="shared" si="5"/>
        <v/>
      </c>
      <c r="K1552" s="69" t="str">
        <f t="shared" si="6"/>
        <v/>
      </c>
      <c r="L1552" s="60" t="str">
        <f t="shared" si="7"/>
        <v/>
      </c>
      <c r="M1552" s="61" t="str">
        <f>IFERROR(__xludf.DUMMYFUNCTION("IFS(AND(COUNTA(C1552:C1673)=0,COUNTA(Q1552:Q1673)=0),"""",OR(AND(K1552&gt;=1000000000,OR(Y1552&gt;=1000000000,COUNTA(Q1552:Q1673)=0)),OR(Y1552&gt;=1000000000,AND(COUNTA(C1552:C1673)=0,P$3=TRUE))),
ROUNDDOWN((AB$1-AC$1)*MAX(INDEX(T$4:T1673,MATCH(LARGE(FILTER(Y$4:Y1"&amp;"673,Y$4:Y1673&lt;1000000000),1),Y$4:Y1673)),INDEX(F$4:F1673,MATCH(LARGE(FILTER(K$4:K1673,K$4:K1673&lt;1000000000),1),K$4:K1673)))),AND(K1552&lt;1000000000,COUNTA(C1552:C1673)&gt;0,P$3=FALSE),
ROUNDDOWN(INDEX(Y$4:Y1673,MATCH(LARGE(FILTER(W$4:W1673,W$4:W1673&lt;=I1552),1)"&amp;",W$4:W1673))+(I1552-LARGE(FILTER(W$4:W1673,W$4:W1673&lt;=I1552),1))*INDEX(T$4:T1673,MATCH(LARGE(FILTER(W$4:W1673,W$4:W1673&lt;=I1552),1),W$4:W1673))-K1552),1,
ROUNDDOWN(Y1552-INDEX(K$4:K1673,MATCH(LARGE(FILTER(I$4:I1673,I$4:I1673&lt;=W1552),1),I$4:I1673))-(W1552-L"&amp;"ARGE(FILTER(I$4:I1673,I$4:I1673&lt;=W1552),1))*INDEX(F$4:F1673,MATCH(LARGE(FILTER(I$4:I1673,I$4:I1673&lt;=W1552),1),I$4:I1673))))"),"")</f>
        <v/>
      </c>
      <c r="N1552" s="60" t="str">
        <f t="shared" si="8"/>
        <v/>
      </c>
      <c r="O1552" s="61" t="str">
        <f t="shared" si="9"/>
        <v/>
      </c>
      <c r="P1552" s="56" t="str">
        <f t="shared" si="10"/>
        <v/>
      </c>
      <c r="Q1552" s="67"/>
      <c r="R1552" s="10"/>
      <c r="S1552" s="59" t="str">
        <f t="array" ref="S1552">IF(COUNTA(Q1552:Q1673)=0,"",SUM((COUNTIF(Q$4:Q1552,Upgrades!$B$3:$B$13)-COUNTIF(Q$4:Q1552,"Sell_"&amp;Upgrades!$B$3:$B$13))*Upgrades!$D$3:$D$13))</f>
        <v/>
      </c>
      <c r="T1552" s="66" t="str">
        <f>IFERROR(__xludf.DUMMYFUNCTION("IF(COUNTA(Q1552:Q1673)=0,"""",IF(REGEXMATCH(INDEX(FILTER(Q$4:Q1552,Q$4:Q1552&lt;&gt;""""),ROWS(FILTER(Q$4:Q1552,Q$4:Q1552&lt;&gt;""""))),""^Sell_""),INDEX(FILTER(T$4:T1551,Q$4:Q1551&lt;&gt;""""),ROWS(FILTER(Q$4:Q1551,Q$4:Q1551&lt;&gt;""""))),$AD$5+S1552))"),"")</f>
        <v/>
      </c>
      <c r="U1552" s="10" t="str">
        <f>IFERROR(__xludf.DUMMYFUNCTION("IF(COUNTA(Q1552:Q1673)=0,"""",IF(Q1552="""",0,IF(REGEXMATCH(Q1552,""^Sell_""),-ROUNDDOWN(ROUNDUP(INDEX(Upgrades!$C$3:$C$13,MATCH(SUBSTITUTE(Q1552,""Sell_"",""""),Upgrades!$B$3:$B$13,0))*1.15^(COUNTIF(Q$4:Q1551,SUBSTITUTE(Q1552,""Sell_"",""""))-COUNTIF(Q$4"&amp;":Q1551,""Sell_""&amp;SUBSTITUTE(Q1552,""Sell_"",""""))))/2),ROUNDUP(INDEX(Upgrades!$C$3:$C$13,MATCH(Q1552,Upgrades!$B$3:$B$13,0))*1.15^(COUNTIF(Q$4:Q1551,Q1552)-COUNTIF(Q$4:Q1551,""Sell_""&amp;Q1552))))))"),"")</f>
        <v/>
      </c>
      <c r="V1552" s="10" t="str">
        <f t="shared" si="11"/>
        <v/>
      </c>
      <c r="W1552" s="68" t="str">
        <f t="shared" si="12"/>
        <v/>
      </c>
      <c r="X1552" s="59" t="str">
        <f t="shared" si="13"/>
        <v/>
      </c>
      <c r="Y1552" s="69" t="str">
        <f t="shared" si="14"/>
        <v/>
      </c>
      <c r="Z1552" s="11"/>
    </row>
    <row r="1553">
      <c r="A1553" s="8"/>
      <c r="B1553" s="56" t="str">
        <f t="shared" si="2"/>
        <v/>
      </c>
      <c r="C1553" s="105"/>
      <c r="D1553" s="10"/>
      <c r="E1553" s="59" t="str">
        <f t="array" ref="E1553">IF(COUNTA(C1553:C1673)=0,"",SUM((COUNTIF(C$4:C1553,Upgrades!$B$3:$B$13)-COUNTIF(C$4:C1553,"Sell_"&amp;Upgrades!$B$3:$B$13))*Upgrades!$D$3:$D$13))</f>
        <v/>
      </c>
      <c r="F1553" s="66" t="str">
        <f>IFERROR(__xludf.DUMMYFUNCTION("IF(COUNTA(C1553:C1673)=0,"""",IF(REGEXMATCH(INDEX(FILTER(C$4:C1553,C$4:C1553&lt;&gt;""""),ROWS(FILTER(C$4:C1553,C$4:C1553&lt;&gt;""""))),""^Sell_""),INDEX(FILTER(F$4:F1552,C$4:C1552&lt;&gt;""""),ROWS(FILTER(C$4:C1552,C$4:C1552&lt;&gt;""""))),$AC$5+E1553))"),"")</f>
        <v/>
      </c>
      <c r="G1553" s="10" t="str">
        <f>IFERROR(__xludf.DUMMYFUNCTION("IF(COUNTA(C1553:C1673)=0,"""",IF(C1553="""",0,IF(REGEXMATCH(C1553,""^Sell_""),-ROUNDDOWN(ROUNDUP(INDEX(Upgrades!$C$3:$C$13,MATCH(SUBSTITUTE(C1553,""Sell_"",""""),Upgrades!$B$3:$B$13,0))*1.15^(COUNTIF(C$4:C1552,SUBSTITUTE(C1553,""Sell_"",""""))-COUNTIF(C$4"&amp;":C1552,""Sell_""&amp;SUBSTITUTE(C1553,""Sell_"",""""))))/2),ROUNDUP(INDEX(Upgrades!$C$3:$C$13,MATCH(C1553,Upgrades!$B$3:$B$13,0))*1.15^(COUNTIF(C$4:C1552,C1553)-COUNTIF(C$4:C1552,""Sell_""&amp;C1553))))))"),"")</f>
        <v/>
      </c>
      <c r="H1553" s="10" t="str">
        <f t="shared" si="3"/>
        <v/>
      </c>
      <c r="I1553" s="68" t="str">
        <f t="shared" si="4"/>
        <v/>
      </c>
      <c r="J1553" s="59" t="str">
        <f t="shared" si="5"/>
        <v/>
      </c>
      <c r="K1553" s="69" t="str">
        <f t="shared" si="6"/>
        <v/>
      </c>
      <c r="L1553" s="60" t="str">
        <f t="shared" si="7"/>
        <v/>
      </c>
      <c r="M1553" s="61" t="str">
        <f>IFERROR(__xludf.DUMMYFUNCTION("IFS(AND(COUNTA(C1553:C1673)=0,COUNTA(Q1553:Q1673)=0),"""",OR(AND(K1553&gt;=1000000000,OR(Y1553&gt;=1000000000,COUNTA(Q1553:Q1673)=0)),OR(Y1553&gt;=1000000000,AND(COUNTA(C1553:C1673)=0,P$3=TRUE))),
ROUNDDOWN((AB$1-AC$1)*MAX(INDEX(T$4:T1673,MATCH(LARGE(FILTER(Y$4:Y1"&amp;"673,Y$4:Y1673&lt;1000000000),1),Y$4:Y1673)),INDEX(F$4:F1673,MATCH(LARGE(FILTER(K$4:K1673,K$4:K1673&lt;1000000000),1),K$4:K1673)))),AND(K1553&lt;1000000000,COUNTA(C1553:C1673)&gt;0,P$3=FALSE),
ROUNDDOWN(INDEX(Y$4:Y1673,MATCH(LARGE(FILTER(W$4:W1673,W$4:W1673&lt;=I1553),1)"&amp;",W$4:W1673))+(I1553-LARGE(FILTER(W$4:W1673,W$4:W1673&lt;=I1553),1))*INDEX(T$4:T1673,MATCH(LARGE(FILTER(W$4:W1673,W$4:W1673&lt;=I1553),1),W$4:W1673))-K1553),1,
ROUNDDOWN(Y1553-INDEX(K$4:K1673,MATCH(LARGE(FILTER(I$4:I1673,I$4:I1673&lt;=W1553),1),I$4:I1673))-(W1553-L"&amp;"ARGE(FILTER(I$4:I1673,I$4:I1673&lt;=W1553),1))*INDEX(F$4:F1673,MATCH(LARGE(FILTER(I$4:I1673,I$4:I1673&lt;=W1553),1),I$4:I1673))))"),"")</f>
        <v/>
      </c>
      <c r="N1553" s="60" t="str">
        <f t="shared" si="8"/>
        <v/>
      </c>
      <c r="O1553" s="61" t="str">
        <f t="shared" si="9"/>
        <v/>
      </c>
      <c r="P1553" s="56" t="str">
        <f t="shared" si="10"/>
        <v/>
      </c>
      <c r="Q1553" s="67"/>
      <c r="R1553" s="10"/>
      <c r="S1553" s="59" t="str">
        <f t="array" ref="S1553">IF(COUNTA(Q1553:Q1673)=0,"",SUM((COUNTIF(Q$4:Q1553,Upgrades!$B$3:$B$13)-COUNTIF(Q$4:Q1553,"Sell_"&amp;Upgrades!$B$3:$B$13))*Upgrades!$D$3:$D$13))</f>
        <v/>
      </c>
      <c r="T1553" s="66" t="str">
        <f>IFERROR(__xludf.DUMMYFUNCTION("IF(COUNTA(Q1553:Q1673)=0,"""",IF(REGEXMATCH(INDEX(FILTER(Q$4:Q1553,Q$4:Q1553&lt;&gt;""""),ROWS(FILTER(Q$4:Q1553,Q$4:Q1553&lt;&gt;""""))),""^Sell_""),INDEX(FILTER(T$4:T1552,Q$4:Q1552&lt;&gt;""""),ROWS(FILTER(Q$4:Q1552,Q$4:Q1552&lt;&gt;""""))),$AD$5+S1553))"),"")</f>
        <v/>
      </c>
      <c r="U1553" s="10" t="str">
        <f>IFERROR(__xludf.DUMMYFUNCTION("IF(COUNTA(Q1553:Q1673)=0,"""",IF(Q1553="""",0,IF(REGEXMATCH(Q1553,""^Sell_""),-ROUNDDOWN(ROUNDUP(INDEX(Upgrades!$C$3:$C$13,MATCH(SUBSTITUTE(Q1553,""Sell_"",""""),Upgrades!$B$3:$B$13,0))*1.15^(COUNTIF(Q$4:Q1552,SUBSTITUTE(Q1553,""Sell_"",""""))-COUNTIF(Q$4"&amp;":Q1552,""Sell_""&amp;SUBSTITUTE(Q1553,""Sell_"",""""))))/2),ROUNDUP(INDEX(Upgrades!$C$3:$C$13,MATCH(Q1553,Upgrades!$B$3:$B$13,0))*1.15^(COUNTIF(Q$4:Q1552,Q1553)-COUNTIF(Q$4:Q1552,""Sell_""&amp;Q1553))))))"),"")</f>
        <v/>
      </c>
      <c r="V1553" s="10" t="str">
        <f t="shared" si="11"/>
        <v/>
      </c>
      <c r="W1553" s="68" t="str">
        <f t="shared" si="12"/>
        <v/>
      </c>
      <c r="X1553" s="59" t="str">
        <f t="shared" si="13"/>
        <v/>
      </c>
      <c r="Y1553" s="69" t="str">
        <f t="shared" si="14"/>
        <v/>
      </c>
      <c r="Z1553" s="11"/>
    </row>
    <row r="1554">
      <c r="A1554" s="8"/>
      <c r="B1554" s="56" t="str">
        <f t="shared" si="2"/>
        <v/>
      </c>
      <c r="C1554" s="105"/>
      <c r="D1554" s="10"/>
      <c r="E1554" s="59" t="str">
        <f t="array" ref="E1554">IF(COUNTA(C1554:C1673)=0,"",SUM((COUNTIF(C$4:C1554,Upgrades!$B$3:$B$13)-COUNTIF(C$4:C1554,"Sell_"&amp;Upgrades!$B$3:$B$13))*Upgrades!$D$3:$D$13))</f>
        <v/>
      </c>
      <c r="F1554" s="66" t="str">
        <f>IFERROR(__xludf.DUMMYFUNCTION("IF(COUNTA(C1554:C1673)=0,"""",IF(REGEXMATCH(INDEX(FILTER(C$4:C1554,C$4:C1554&lt;&gt;""""),ROWS(FILTER(C$4:C1554,C$4:C1554&lt;&gt;""""))),""^Sell_""),INDEX(FILTER(F$4:F1553,C$4:C1553&lt;&gt;""""),ROWS(FILTER(C$4:C1553,C$4:C1553&lt;&gt;""""))),$AC$5+E1554))"),"")</f>
        <v/>
      </c>
      <c r="G1554" s="10" t="str">
        <f>IFERROR(__xludf.DUMMYFUNCTION("IF(COUNTA(C1554:C1673)=0,"""",IF(C1554="""",0,IF(REGEXMATCH(C1554,""^Sell_""),-ROUNDDOWN(ROUNDUP(INDEX(Upgrades!$C$3:$C$13,MATCH(SUBSTITUTE(C1554,""Sell_"",""""),Upgrades!$B$3:$B$13,0))*1.15^(COUNTIF(C$4:C1553,SUBSTITUTE(C1554,""Sell_"",""""))-COUNTIF(C$4"&amp;":C1553,""Sell_""&amp;SUBSTITUTE(C1554,""Sell_"",""""))))/2),ROUNDUP(INDEX(Upgrades!$C$3:$C$13,MATCH(C1554,Upgrades!$B$3:$B$13,0))*1.15^(COUNTIF(C$4:C1553,C1554)-COUNTIF(C$4:C1553,""Sell_""&amp;C1554))))))"),"")</f>
        <v/>
      </c>
      <c r="H1554" s="10" t="str">
        <f t="shared" si="3"/>
        <v/>
      </c>
      <c r="I1554" s="68" t="str">
        <f t="shared" si="4"/>
        <v/>
      </c>
      <c r="J1554" s="59" t="str">
        <f t="shared" si="5"/>
        <v/>
      </c>
      <c r="K1554" s="69" t="str">
        <f t="shared" si="6"/>
        <v/>
      </c>
      <c r="L1554" s="60" t="str">
        <f t="shared" si="7"/>
        <v/>
      </c>
      <c r="M1554" s="61" t="str">
        <f>IFERROR(__xludf.DUMMYFUNCTION("IFS(AND(COUNTA(C1554:C1673)=0,COUNTA(Q1554:Q1673)=0),"""",OR(AND(K1554&gt;=1000000000,OR(Y1554&gt;=1000000000,COUNTA(Q1554:Q1673)=0)),OR(Y1554&gt;=1000000000,AND(COUNTA(C1554:C1673)=0,P$3=TRUE))),
ROUNDDOWN((AB$1-AC$1)*MAX(INDEX(T$4:T1673,MATCH(LARGE(FILTER(Y$4:Y1"&amp;"673,Y$4:Y1673&lt;1000000000),1),Y$4:Y1673)),INDEX(F$4:F1673,MATCH(LARGE(FILTER(K$4:K1673,K$4:K1673&lt;1000000000),1),K$4:K1673)))),AND(K1554&lt;1000000000,COUNTA(C1554:C1673)&gt;0,P$3=FALSE),
ROUNDDOWN(INDEX(Y$4:Y1673,MATCH(LARGE(FILTER(W$4:W1673,W$4:W1673&lt;=I1554),1)"&amp;",W$4:W1673))+(I1554-LARGE(FILTER(W$4:W1673,W$4:W1673&lt;=I1554),1))*INDEX(T$4:T1673,MATCH(LARGE(FILTER(W$4:W1673,W$4:W1673&lt;=I1554),1),W$4:W1673))-K1554),1,
ROUNDDOWN(Y1554-INDEX(K$4:K1673,MATCH(LARGE(FILTER(I$4:I1673,I$4:I1673&lt;=W1554),1),I$4:I1673))-(W1554-L"&amp;"ARGE(FILTER(I$4:I1673,I$4:I1673&lt;=W1554),1))*INDEX(F$4:F1673,MATCH(LARGE(FILTER(I$4:I1673,I$4:I1673&lt;=W1554),1),I$4:I1673))))"),"")</f>
        <v/>
      </c>
      <c r="N1554" s="60" t="str">
        <f t="shared" si="8"/>
        <v/>
      </c>
      <c r="O1554" s="61" t="str">
        <f t="shared" si="9"/>
        <v/>
      </c>
      <c r="P1554" s="56" t="str">
        <f t="shared" si="10"/>
        <v/>
      </c>
      <c r="Q1554" s="67"/>
      <c r="R1554" s="10"/>
      <c r="S1554" s="59" t="str">
        <f t="array" ref="S1554">IF(COUNTA(Q1554:Q1673)=0,"",SUM((COUNTIF(Q$4:Q1554,Upgrades!$B$3:$B$13)-COUNTIF(Q$4:Q1554,"Sell_"&amp;Upgrades!$B$3:$B$13))*Upgrades!$D$3:$D$13))</f>
        <v/>
      </c>
      <c r="T1554" s="66" t="str">
        <f>IFERROR(__xludf.DUMMYFUNCTION("IF(COUNTA(Q1554:Q1673)=0,"""",IF(REGEXMATCH(INDEX(FILTER(Q$4:Q1554,Q$4:Q1554&lt;&gt;""""),ROWS(FILTER(Q$4:Q1554,Q$4:Q1554&lt;&gt;""""))),""^Sell_""),INDEX(FILTER(T$4:T1553,Q$4:Q1553&lt;&gt;""""),ROWS(FILTER(Q$4:Q1553,Q$4:Q1553&lt;&gt;""""))),$AD$5+S1554))"),"")</f>
        <v/>
      </c>
      <c r="U1554" s="10" t="str">
        <f>IFERROR(__xludf.DUMMYFUNCTION("IF(COUNTA(Q1554:Q1673)=0,"""",IF(Q1554="""",0,IF(REGEXMATCH(Q1554,""^Sell_""),-ROUNDDOWN(ROUNDUP(INDEX(Upgrades!$C$3:$C$13,MATCH(SUBSTITUTE(Q1554,""Sell_"",""""),Upgrades!$B$3:$B$13,0))*1.15^(COUNTIF(Q$4:Q1553,SUBSTITUTE(Q1554,""Sell_"",""""))-COUNTIF(Q$4"&amp;":Q1553,""Sell_""&amp;SUBSTITUTE(Q1554,""Sell_"",""""))))/2),ROUNDUP(INDEX(Upgrades!$C$3:$C$13,MATCH(Q1554,Upgrades!$B$3:$B$13,0))*1.15^(COUNTIF(Q$4:Q1553,Q1554)-COUNTIF(Q$4:Q1553,""Sell_""&amp;Q1554))))))"),"")</f>
        <v/>
      </c>
      <c r="V1554" s="10" t="str">
        <f t="shared" si="11"/>
        <v/>
      </c>
      <c r="W1554" s="68" t="str">
        <f t="shared" si="12"/>
        <v/>
      </c>
      <c r="X1554" s="59" t="str">
        <f t="shared" si="13"/>
        <v/>
      </c>
      <c r="Y1554" s="69" t="str">
        <f t="shared" si="14"/>
        <v/>
      </c>
      <c r="Z1554" s="11"/>
    </row>
    <row r="1555">
      <c r="A1555" s="8"/>
      <c r="B1555" s="56" t="str">
        <f t="shared" si="2"/>
        <v/>
      </c>
      <c r="C1555" s="105"/>
      <c r="D1555" s="10"/>
      <c r="E1555" s="59" t="str">
        <f t="array" ref="E1555">IF(COUNTA(C1555:C1673)=0,"",SUM((COUNTIF(C$4:C1555,Upgrades!$B$3:$B$13)-COUNTIF(C$4:C1555,"Sell_"&amp;Upgrades!$B$3:$B$13))*Upgrades!$D$3:$D$13))</f>
        <v/>
      </c>
      <c r="F1555" s="66" t="str">
        <f>IFERROR(__xludf.DUMMYFUNCTION("IF(COUNTA(C1555:C1673)=0,"""",IF(REGEXMATCH(INDEX(FILTER(C$4:C1555,C$4:C1555&lt;&gt;""""),ROWS(FILTER(C$4:C1555,C$4:C1555&lt;&gt;""""))),""^Sell_""),INDEX(FILTER(F$4:F1554,C$4:C1554&lt;&gt;""""),ROWS(FILTER(C$4:C1554,C$4:C1554&lt;&gt;""""))),$AC$5+E1555))"),"")</f>
        <v/>
      </c>
      <c r="G1555" s="10" t="str">
        <f>IFERROR(__xludf.DUMMYFUNCTION("IF(COUNTA(C1555:C1673)=0,"""",IF(C1555="""",0,IF(REGEXMATCH(C1555,""^Sell_""),-ROUNDDOWN(ROUNDUP(INDEX(Upgrades!$C$3:$C$13,MATCH(SUBSTITUTE(C1555,""Sell_"",""""),Upgrades!$B$3:$B$13,0))*1.15^(COUNTIF(C$4:C1554,SUBSTITUTE(C1555,""Sell_"",""""))-COUNTIF(C$4"&amp;":C1554,""Sell_""&amp;SUBSTITUTE(C1555,""Sell_"",""""))))/2),ROUNDUP(INDEX(Upgrades!$C$3:$C$13,MATCH(C1555,Upgrades!$B$3:$B$13,0))*1.15^(COUNTIF(C$4:C1554,C1555)-COUNTIF(C$4:C1554,""Sell_""&amp;C1555))))))"),"")</f>
        <v/>
      </c>
      <c r="H1555" s="10" t="str">
        <f t="shared" si="3"/>
        <v/>
      </c>
      <c r="I1555" s="68" t="str">
        <f t="shared" si="4"/>
        <v/>
      </c>
      <c r="J1555" s="59" t="str">
        <f t="shared" si="5"/>
        <v/>
      </c>
      <c r="K1555" s="69" t="str">
        <f t="shared" si="6"/>
        <v/>
      </c>
      <c r="L1555" s="60" t="str">
        <f t="shared" si="7"/>
        <v/>
      </c>
      <c r="M1555" s="61" t="str">
        <f>IFERROR(__xludf.DUMMYFUNCTION("IFS(AND(COUNTA(C1555:C1673)=0,COUNTA(Q1555:Q1673)=0),"""",OR(AND(K1555&gt;=1000000000,OR(Y1555&gt;=1000000000,COUNTA(Q1555:Q1673)=0)),OR(Y1555&gt;=1000000000,AND(COUNTA(C1555:C1673)=0,P$3=TRUE))),
ROUNDDOWN((AB$1-AC$1)*MAX(INDEX(T$4:T1673,MATCH(LARGE(FILTER(Y$4:Y1"&amp;"673,Y$4:Y1673&lt;1000000000),1),Y$4:Y1673)),INDEX(F$4:F1673,MATCH(LARGE(FILTER(K$4:K1673,K$4:K1673&lt;1000000000),1),K$4:K1673)))),AND(K1555&lt;1000000000,COUNTA(C1555:C1673)&gt;0,P$3=FALSE),
ROUNDDOWN(INDEX(Y$4:Y1673,MATCH(LARGE(FILTER(W$4:W1673,W$4:W1673&lt;=I1555),1)"&amp;",W$4:W1673))+(I1555-LARGE(FILTER(W$4:W1673,W$4:W1673&lt;=I1555),1))*INDEX(T$4:T1673,MATCH(LARGE(FILTER(W$4:W1673,W$4:W1673&lt;=I1555),1),W$4:W1673))-K1555),1,
ROUNDDOWN(Y1555-INDEX(K$4:K1673,MATCH(LARGE(FILTER(I$4:I1673,I$4:I1673&lt;=W1555),1),I$4:I1673))-(W1555-L"&amp;"ARGE(FILTER(I$4:I1673,I$4:I1673&lt;=W1555),1))*INDEX(F$4:F1673,MATCH(LARGE(FILTER(I$4:I1673,I$4:I1673&lt;=W1555),1),I$4:I1673))))"),"")</f>
        <v/>
      </c>
      <c r="N1555" s="60" t="str">
        <f t="shared" si="8"/>
        <v/>
      </c>
      <c r="O1555" s="61" t="str">
        <f t="shared" si="9"/>
        <v/>
      </c>
      <c r="P1555" s="56" t="str">
        <f t="shared" si="10"/>
        <v/>
      </c>
      <c r="Q1555" s="67"/>
      <c r="R1555" s="10"/>
      <c r="S1555" s="59" t="str">
        <f t="array" ref="S1555">IF(COUNTA(Q1555:Q1673)=0,"",SUM((COUNTIF(Q$4:Q1555,Upgrades!$B$3:$B$13)-COUNTIF(Q$4:Q1555,"Sell_"&amp;Upgrades!$B$3:$B$13))*Upgrades!$D$3:$D$13))</f>
        <v/>
      </c>
      <c r="T1555" s="66" t="str">
        <f>IFERROR(__xludf.DUMMYFUNCTION("IF(COUNTA(Q1555:Q1673)=0,"""",IF(REGEXMATCH(INDEX(FILTER(Q$4:Q1555,Q$4:Q1555&lt;&gt;""""),ROWS(FILTER(Q$4:Q1555,Q$4:Q1555&lt;&gt;""""))),""^Sell_""),INDEX(FILTER(T$4:T1554,Q$4:Q1554&lt;&gt;""""),ROWS(FILTER(Q$4:Q1554,Q$4:Q1554&lt;&gt;""""))),$AD$5+S1555))"),"")</f>
        <v/>
      </c>
      <c r="U1555" s="10" t="str">
        <f>IFERROR(__xludf.DUMMYFUNCTION("IF(COUNTA(Q1555:Q1673)=0,"""",IF(Q1555="""",0,IF(REGEXMATCH(Q1555,""^Sell_""),-ROUNDDOWN(ROUNDUP(INDEX(Upgrades!$C$3:$C$13,MATCH(SUBSTITUTE(Q1555,""Sell_"",""""),Upgrades!$B$3:$B$13,0))*1.15^(COUNTIF(Q$4:Q1554,SUBSTITUTE(Q1555,""Sell_"",""""))-COUNTIF(Q$4"&amp;":Q1554,""Sell_""&amp;SUBSTITUTE(Q1555,""Sell_"",""""))))/2),ROUNDUP(INDEX(Upgrades!$C$3:$C$13,MATCH(Q1555,Upgrades!$B$3:$B$13,0))*1.15^(COUNTIF(Q$4:Q1554,Q1555)-COUNTIF(Q$4:Q1554,""Sell_""&amp;Q1555))))))"),"")</f>
        <v/>
      </c>
      <c r="V1555" s="10" t="str">
        <f t="shared" si="11"/>
        <v/>
      </c>
      <c r="W1555" s="68" t="str">
        <f t="shared" si="12"/>
        <v/>
      </c>
      <c r="X1555" s="59" t="str">
        <f t="shared" si="13"/>
        <v/>
      </c>
      <c r="Y1555" s="69" t="str">
        <f t="shared" si="14"/>
        <v/>
      </c>
      <c r="Z1555" s="11"/>
    </row>
    <row r="1556">
      <c r="A1556" s="8"/>
      <c r="B1556" s="56" t="str">
        <f t="shared" si="2"/>
        <v/>
      </c>
      <c r="C1556" s="105"/>
      <c r="D1556" s="10"/>
      <c r="E1556" s="59" t="str">
        <f t="array" ref="E1556">IF(COUNTA(C1556:C1673)=0,"",SUM((COUNTIF(C$4:C1556,Upgrades!$B$3:$B$13)-COUNTIF(C$4:C1556,"Sell_"&amp;Upgrades!$B$3:$B$13))*Upgrades!$D$3:$D$13))</f>
        <v/>
      </c>
      <c r="F1556" s="66" t="str">
        <f>IFERROR(__xludf.DUMMYFUNCTION("IF(COUNTA(C1556:C1673)=0,"""",IF(REGEXMATCH(INDEX(FILTER(C$4:C1556,C$4:C1556&lt;&gt;""""),ROWS(FILTER(C$4:C1556,C$4:C1556&lt;&gt;""""))),""^Sell_""),INDEX(FILTER(F$4:F1555,C$4:C1555&lt;&gt;""""),ROWS(FILTER(C$4:C1555,C$4:C1555&lt;&gt;""""))),$AC$5+E1556))"),"")</f>
        <v/>
      </c>
      <c r="G1556" s="10" t="str">
        <f>IFERROR(__xludf.DUMMYFUNCTION("IF(COUNTA(C1556:C1673)=0,"""",IF(C1556="""",0,IF(REGEXMATCH(C1556,""^Sell_""),-ROUNDDOWN(ROUNDUP(INDEX(Upgrades!$C$3:$C$13,MATCH(SUBSTITUTE(C1556,""Sell_"",""""),Upgrades!$B$3:$B$13,0))*1.15^(COUNTIF(C$4:C1555,SUBSTITUTE(C1556,""Sell_"",""""))-COUNTIF(C$4"&amp;":C1555,""Sell_""&amp;SUBSTITUTE(C1556,""Sell_"",""""))))/2),ROUNDUP(INDEX(Upgrades!$C$3:$C$13,MATCH(C1556,Upgrades!$B$3:$B$13,0))*1.15^(COUNTIF(C$4:C1555,C1556)-COUNTIF(C$4:C1555,""Sell_""&amp;C1556))))))"),"")</f>
        <v/>
      </c>
      <c r="H1556" s="10" t="str">
        <f t="shared" si="3"/>
        <v/>
      </c>
      <c r="I1556" s="68" t="str">
        <f t="shared" si="4"/>
        <v/>
      </c>
      <c r="J1556" s="59" t="str">
        <f t="shared" si="5"/>
        <v/>
      </c>
      <c r="K1556" s="69" t="str">
        <f t="shared" si="6"/>
        <v/>
      </c>
      <c r="L1556" s="60" t="str">
        <f t="shared" si="7"/>
        <v/>
      </c>
      <c r="M1556" s="61" t="str">
        <f>IFERROR(__xludf.DUMMYFUNCTION("IFS(AND(COUNTA(C1556:C1673)=0,COUNTA(Q1556:Q1673)=0),"""",OR(AND(K1556&gt;=1000000000,OR(Y1556&gt;=1000000000,COUNTA(Q1556:Q1673)=0)),OR(Y1556&gt;=1000000000,AND(COUNTA(C1556:C1673)=0,P$3=TRUE))),
ROUNDDOWN((AB$1-AC$1)*MAX(INDEX(T$4:T1673,MATCH(LARGE(FILTER(Y$4:Y1"&amp;"673,Y$4:Y1673&lt;1000000000),1),Y$4:Y1673)),INDEX(F$4:F1673,MATCH(LARGE(FILTER(K$4:K1673,K$4:K1673&lt;1000000000),1),K$4:K1673)))),AND(K1556&lt;1000000000,COUNTA(C1556:C1673)&gt;0,P$3=FALSE),
ROUNDDOWN(INDEX(Y$4:Y1673,MATCH(LARGE(FILTER(W$4:W1673,W$4:W1673&lt;=I1556),1)"&amp;",W$4:W1673))+(I1556-LARGE(FILTER(W$4:W1673,W$4:W1673&lt;=I1556),1))*INDEX(T$4:T1673,MATCH(LARGE(FILTER(W$4:W1673,W$4:W1673&lt;=I1556),1),W$4:W1673))-K1556),1,
ROUNDDOWN(Y1556-INDEX(K$4:K1673,MATCH(LARGE(FILTER(I$4:I1673,I$4:I1673&lt;=W1556),1),I$4:I1673))-(W1556-L"&amp;"ARGE(FILTER(I$4:I1673,I$4:I1673&lt;=W1556),1))*INDEX(F$4:F1673,MATCH(LARGE(FILTER(I$4:I1673,I$4:I1673&lt;=W1556),1),I$4:I1673))))"),"")</f>
        <v/>
      </c>
      <c r="N1556" s="60" t="str">
        <f t="shared" si="8"/>
        <v/>
      </c>
      <c r="O1556" s="61" t="str">
        <f t="shared" si="9"/>
        <v/>
      </c>
      <c r="P1556" s="56" t="str">
        <f t="shared" si="10"/>
        <v/>
      </c>
      <c r="Q1556" s="67"/>
      <c r="R1556" s="10"/>
      <c r="S1556" s="59" t="str">
        <f t="array" ref="S1556">IF(COUNTA(Q1556:Q1673)=0,"",SUM((COUNTIF(Q$4:Q1556,Upgrades!$B$3:$B$13)-COUNTIF(Q$4:Q1556,"Sell_"&amp;Upgrades!$B$3:$B$13))*Upgrades!$D$3:$D$13))</f>
        <v/>
      </c>
      <c r="T1556" s="66" t="str">
        <f>IFERROR(__xludf.DUMMYFUNCTION("IF(COUNTA(Q1556:Q1673)=0,"""",IF(REGEXMATCH(INDEX(FILTER(Q$4:Q1556,Q$4:Q1556&lt;&gt;""""),ROWS(FILTER(Q$4:Q1556,Q$4:Q1556&lt;&gt;""""))),""^Sell_""),INDEX(FILTER(T$4:T1555,Q$4:Q1555&lt;&gt;""""),ROWS(FILTER(Q$4:Q1555,Q$4:Q1555&lt;&gt;""""))),$AD$5+S1556))"),"")</f>
        <v/>
      </c>
      <c r="U1556" s="10" t="str">
        <f>IFERROR(__xludf.DUMMYFUNCTION("IF(COUNTA(Q1556:Q1673)=0,"""",IF(Q1556="""",0,IF(REGEXMATCH(Q1556,""^Sell_""),-ROUNDDOWN(ROUNDUP(INDEX(Upgrades!$C$3:$C$13,MATCH(SUBSTITUTE(Q1556,""Sell_"",""""),Upgrades!$B$3:$B$13,0))*1.15^(COUNTIF(Q$4:Q1555,SUBSTITUTE(Q1556,""Sell_"",""""))-COUNTIF(Q$4"&amp;":Q1555,""Sell_""&amp;SUBSTITUTE(Q1556,""Sell_"",""""))))/2),ROUNDUP(INDEX(Upgrades!$C$3:$C$13,MATCH(Q1556,Upgrades!$B$3:$B$13,0))*1.15^(COUNTIF(Q$4:Q1555,Q1556)-COUNTIF(Q$4:Q1555,""Sell_""&amp;Q1556))))))"),"")</f>
        <v/>
      </c>
      <c r="V1556" s="10" t="str">
        <f t="shared" si="11"/>
        <v/>
      </c>
      <c r="W1556" s="68" t="str">
        <f t="shared" si="12"/>
        <v/>
      </c>
      <c r="X1556" s="59" t="str">
        <f t="shared" si="13"/>
        <v/>
      </c>
      <c r="Y1556" s="69" t="str">
        <f t="shared" si="14"/>
        <v/>
      </c>
      <c r="Z1556" s="11"/>
    </row>
    <row r="1557">
      <c r="A1557" s="8"/>
      <c r="B1557" s="56" t="str">
        <f t="shared" si="2"/>
        <v/>
      </c>
      <c r="C1557" s="105"/>
      <c r="D1557" s="10"/>
      <c r="E1557" s="59" t="str">
        <f t="array" ref="E1557">IF(COUNTA(C1557:C1673)=0,"",SUM((COUNTIF(C$4:C1557,Upgrades!$B$3:$B$13)-COUNTIF(C$4:C1557,"Sell_"&amp;Upgrades!$B$3:$B$13))*Upgrades!$D$3:$D$13))</f>
        <v/>
      </c>
      <c r="F1557" s="66" t="str">
        <f>IFERROR(__xludf.DUMMYFUNCTION("IF(COUNTA(C1557:C1673)=0,"""",IF(REGEXMATCH(INDEX(FILTER(C$4:C1557,C$4:C1557&lt;&gt;""""),ROWS(FILTER(C$4:C1557,C$4:C1557&lt;&gt;""""))),""^Sell_""),INDEX(FILTER(F$4:F1556,C$4:C1556&lt;&gt;""""),ROWS(FILTER(C$4:C1556,C$4:C1556&lt;&gt;""""))),$AC$5+E1557))"),"")</f>
        <v/>
      </c>
      <c r="G1557" s="10" t="str">
        <f>IFERROR(__xludf.DUMMYFUNCTION("IF(COUNTA(C1557:C1673)=0,"""",IF(C1557="""",0,IF(REGEXMATCH(C1557,""^Sell_""),-ROUNDDOWN(ROUNDUP(INDEX(Upgrades!$C$3:$C$13,MATCH(SUBSTITUTE(C1557,""Sell_"",""""),Upgrades!$B$3:$B$13,0))*1.15^(COUNTIF(C$4:C1556,SUBSTITUTE(C1557,""Sell_"",""""))-COUNTIF(C$4"&amp;":C1556,""Sell_""&amp;SUBSTITUTE(C1557,""Sell_"",""""))))/2),ROUNDUP(INDEX(Upgrades!$C$3:$C$13,MATCH(C1557,Upgrades!$B$3:$B$13,0))*1.15^(COUNTIF(C$4:C1556,C1557)-COUNTIF(C$4:C1556,""Sell_""&amp;C1557))))))"),"")</f>
        <v/>
      </c>
      <c r="H1557" s="10" t="str">
        <f t="shared" si="3"/>
        <v/>
      </c>
      <c r="I1557" s="68" t="str">
        <f t="shared" si="4"/>
        <v/>
      </c>
      <c r="J1557" s="59" t="str">
        <f t="shared" si="5"/>
        <v/>
      </c>
      <c r="K1557" s="69" t="str">
        <f t="shared" si="6"/>
        <v/>
      </c>
      <c r="L1557" s="60" t="str">
        <f t="shared" si="7"/>
        <v/>
      </c>
      <c r="M1557" s="61" t="str">
        <f>IFERROR(__xludf.DUMMYFUNCTION("IFS(AND(COUNTA(C1557:C1673)=0,COUNTA(Q1557:Q1673)=0),"""",OR(AND(K1557&gt;=1000000000,OR(Y1557&gt;=1000000000,COUNTA(Q1557:Q1673)=0)),OR(Y1557&gt;=1000000000,AND(COUNTA(C1557:C1673)=0,P$3=TRUE))),
ROUNDDOWN((AB$1-AC$1)*MAX(INDEX(T$4:T1673,MATCH(LARGE(FILTER(Y$4:Y1"&amp;"673,Y$4:Y1673&lt;1000000000),1),Y$4:Y1673)),INDEX(F$4:F1673,MATCH(LARGE(FILTER(K$4:K1673,K$4:K1673&lt;1000000000),1),K$4:K1673)))),AND(K1557&lt;1000000000,COUNTA(C1557:C1673)&gt;0,P$3=FALSE),
ROUNDDOWN(INDEX(Y$4:Y1673,MATCH(LARGE(FILTER(W$4:W1673,W$4:W1673&lt;=I1557),1)"&amp;",W$4:W1673))+(I1557-LARGE(FILTER(W$4:W1673,W$4:W1673&lt;=I1557),1))*INDEX(T$4:T1673,MATCH(LARGE(FILTER(W$4:W1673,W$4:W1673&lt;=I1557),1),W$4:W1673))-K1557),1,
ROUNDDOWN(Y1557-INDEX(K$4:K1673,MATCH(LARGE(FILTER(I$4:I1673,I$4:I1673&lt;=W1557),1),I$4:I1673))-(W1557-L"&amp;"ARGE(FILTER(I$4:I1673,I$4:I1673&lt;=W1557),1))*INDEX(F$4:F1673,MATCH(LARGE(FILTER(I$4:I1673,I$4:I1673&lt;=W1557),1),I$4:I1673))))"),"")</f>
        <v/>
      </c>
      <c r="N1557" s="60" t="str">
        <f t="shared" si="8"/>
        <v/>
      </c>
      <c r="O1557" s="61" t="str">
        <f t="shared" si="9"/>
        <v/>
      </c>
      <c r="P1557" s="56" t="str">
        <f t="shared" si="10"/>
        <v/>
      </c>
      <c r="Q1557" s="67"/>
      <c r="R1557" s="10"/>
      <c r="S1557" s="59" t="str">
        <f t="array" ref="S1557">IF(COUNTA(Q1557:Q1673)=0,"",SUM((COUNTIF(Q$4:Q1557,Upgrades!$B$3:$B$13)-COUNTIF(Q$4:Q1557,"Sell_"&amp;Upgrades!$B$3:$B$13))*Upgrades!$D$3:$D$13))</f>
        <v/>
      </c>
      <c r="T1557" s="66" t="str">
        <f>IFERROR(__xludf.DUMMYFUNCTION("IF(COUNTA(Q1557:Q1673)=0,"""",IF(REGEXMATCH(INDEX(FILTER(Q$4:Q1557,Q$4:Q1557&lt;&gt;""""),ROWS(FILTER(Q$4:Q1557,Q$4:Q1557&lt;&gt;""""))),""^Sell_""),INDEX(FILTER(T$4:T1556,Q$4:Q1556&lt;&gt;""""),ROWS(FILTER(Q$4:Q1556,Q$4:Q1556&lt;&gt;""""))),$AD$5+S1557))"),"")</f>
        <v/>
      </c>
      <c r="U1557" s="10" t="str">
        <f>IFERROR(__xludf.DUMMYFUNCTION("IF(COUNTA(Q1557:Q1673)=0,"""",IF(Q1557="""",0,IF(REGEXMATCH(Q1557,""^Sell_""),-ROUNDDOWN(ROUNDUP(INDEX(Upgrades!$C$3:$C$13,MATCH(SUBSTITUTE(Q1557,""Sell_"",""""),Upgrades!$B$3:$B$13,0))*1.15^(COUNTIF(Q$4:Q1556,SUBSTITUTE(Q1557,""Sell_"",""""))-COUNTIF(Q$4"&amp;":Q1556,""Sell_""&amp;SUBSTITUTE(Q1557,""Sell_"",""""))))/2),ROUNDUP(INDEX(Upgrades!$C$3:$C$13,MATCH(Q1557,Upgrades!$B$3:$B$13,0))*1.15^(COUNTIF(Q$4:Q1556,Q1557)-COUNTIF(Q$4:Q1556,""Sell_""&amp;Q1557))))))"),"")</f>
        <v/>
      </c>
      <c r="V1557" s="10" t="str">
        <f t="shared" si="11"/>
        <v/>
      </c>
      <c r="W1557" s="68" t="str">
        <f t="shared" si="12"/>
        <v/>
      </c>
      <c r="X1557" s="59" t="str">
        <f t="shared" si="13"/>
        <v/>
      </c>
      <c r="Y1557" s="69" t="str">
        <f t="shared" si="14"/>
        <v/>
      </c>
      <c r="Z1557" s="11"/>
    </row>
    <row r="1558">
      <c r="A1558" s="8"/>
      <c r="B1558" s="56" t="str">
        <f t="shared" si="2"/>
        <v/>
      </c>
      <c r="C1558" s="105"/>
      <c r="D1558" s="10"/>
      <c r="E1558" s="59" t="str">
        <f t="array" ref="E1558">IF(COUNTA(C1558:C1673)=0,"",SUM((COUNTIF(C$4:C1558,Upgrades!$B$3:$B$13)-COUNTIF(C$4:C1558,"Sell_"&amp;Upgrades!$B$3:$B$13))*Upgrades!$D$3:$D$13))</f>
        <v/>
      </c>
      <c r="F1558" s="66" t="str">
        <f>IFERROR(__xludf.DUMMYFUNCTION("IF(COUNTA(C1558:C1673)=0,"""",IF(REGEXMATCH(INDEX(FILTER(C$4:C1558,C$4:C1558&lt;&gt;""""),ROWS(FILTER(C$4:C1558,C$4:C1558&lt;&gt;""""))),""^Sell_""),INDEX(FILTER(F$4:F1557,C$4:C1557&lt;&gt;""""),ROWS(FILTER(C$4:C1557,C$4:C1557&lt;&gt;""""))),$AC$5+E1558))"),"")</f>
        <v/>
      </c>
      <c r="G1558" s="10" t="str">
        <f>IFERROR(__xludf.DUMMYFUNCTION("IF(COUNTA(C1558:C1673)=0,"""",IF(C1558="""",0,IF(REGEXMATCH(C1558,""^Sell_""),-ROUNDDOWN(ROUNDUP(INDEX(Upgrades!$C$3:$C$13,MATCH(SUBSTITUTE(C1558,""Sell_"",""""),Upgrades!$B$3:$B$13,0))*1.15^(COUNTIF(C$4:C1557,SUBSTITUTE(C1558,""Sell_"",""""))-COUNTIF(C$4"&amp;":C1557,""Sell_""&amp;SUBSTITUTE(C1558,""Sell_"",""""))))/2),ROUNDUP(INDEX(Upgrades!$C$3:$C$13,MATCH(C1558,Upgrades!$B$3:$B$13,0))*1.15^(COUNTIF(C$4:C1557,C1558)-COUNTIF(C$4:C1557,""Sell_""&amp;C1558))))))"),"")</f>
        <v/>
      </c>
      <c r="H1558" s="10" t="str">
        <f t="shared" si="3"/>
        <v/>
      </c>
      <c r="I1558" s="68" t="str">
        <f t="shared" si="4"/>
        <v/>
      </c>
      <c r="J1558" s="59" t="str">
        <f t="shared" si="5"/>
        <v/>
      </c>
      <c r="K1558" s="69" t="str">
        <f t="shared" si="6"/>
        <v/>
      </c>
      <c r="L1558" s="60" t="str">
        <f t="shared" si="7"/>
        <v/>
      </c>
      <c r="M1558" s="61" t="str">
        <f>IFERROR(__xludf.DUMMYFUNCTION("IFS(AND(COUNTA(C1558:C1673)=0,COUNTA(Q1558:Q1673)=0),"""",OR(AND(K1558&gt;=1000000000,OR(Y1558&gt;=1000000000,COUNTA(Q1558:Q1673)=0)),OR(Y1558&gt;=1000000000,AND(COUNTA(C1558:C1673)=0,P$3=TRUE))),
ROUNDDOWN((AB$1-AC$1)*MAX(INDEX(T$4:T1673,MATCH(LARGE(FILTER(Y$4:Y1"&amp;"673,Y$4:Y1673&lt;1000000000),1),Y$4:Y1673)),INDEX(F$4:F1673,MATCH(LARGE(FILTER(K$4:K1673,K$4:K1673&lt;1000000000),1),K$4:K1673)))),AND(K1558&lt;1000000000,COUNTA(C1558:C1673)&gt;0,P$3=FALSE),
ROUNDDOWN(INDEX(Y$4:Y1673,MATCH(LARGE(FILTER(W$4:W1673,W$4:W1673&lt;=I1558),1)"&amp;",W$4:W1673))+(I1558-LARGE(FILTER(W$4:W1673,W$4:W1673&lt;=I1558),1))*INDEX(T$4:T1673,MATCH(LARGE(FILTER(W$4:W1673,W$4:W1673&lt;=I1558),1),W$4:W1673))-K1558),1,
ROUNDDOWN(Y1558-INDEX(K$4:K1673,MATCH(LARGE(FILTER(I$4:I1673,I$4:I1673&lt;=W1558),1),I$4:I1673))-(W1558-L"&amp;"ARGE(FILTER(I$4:I1673,I$4:I1673&lt;=W1558),1))*INDEX(F$4:F1673,MATCH(LARGE(FILTER(I$4:I1673,I$4:I1673&lt;=W1558),1),I$4:I1673))))"),"")</f>
        <v/>
      </c>
      <c r="N1558" s="60" t="str">
        <f t="shared" si="8"/>
        <v/>
      </c>
      <c r="O1558" s="61" t="str">
        <f t="shared" si="9"/>
        <v/>
      </c>
      <c r="P1558" s="56" t="str">
        <f t="shared" si="10"/>
        <v/>
      </c>
      <c r="Q1558" s="67"/>
      <c r="R1558" s="10"/>
      <c r="S1558" s="59" t="str">
        <f t="array" ref="S1558">IF(COUNTA(Q1558:Q1673)=0,"",SUM((COUNTIF(Q$4:Q1558,Upgrades!$B$3:$B$13)-COUNTIF(Q$4:Q1558,"Sell_"&amp;Upgrades!$B$3:$B$13))*Upgrades!$D$3:$D$13))</f>
        <v/>
      </c>
      <c r="T1558" s="66" t="str">
        <f>IFERROR(__xludf.DUMMYFUNCTION("IF(COUNTA(Q1558:Q1673)=0,"""",IF(REGEXMATCH(INDEX(FILTER(Q$4:Q1558,Q$4:Q1558&lt;&gt;""""),ROWS(FILTER(Q$4:Q1558,Q$4:Q1558&lt;&gt;""""))),""^Sell_""),INDEX(FILTER(T$4:T1557,Q$4:Q1557&lt;&gt;""""),ROWS(FILTER(Q$4:Q1557,Q$4:Q1557&lt;&gt;""""))),$AD$5+S1558))"),"")</f>
        <v/>
      </c>
      <c r="U1558" s="10" t="str">
        <f>IFERROR(__xludf.DUMMYFUNCTION("IF(COUNTA(Q1558:Q1673)=0,"""",IF(Q1558="""",0,IF(REGEXMATCH(Q1558,""^Sell_""),-ROUNDDOWN(ROUNDUP(INDEX(Upgrades!$C$3:$C$13,MATCH(SUBSTITUTE(Q1558,""Sell_"",""""),Upgrades!$B$3:$B$13,0))*1.15^(COUNTIF(Q$4:Q1557,SUBSTITUTE(Q1558,""Sell_"",""""))-COUNTIF(Q$4"&amp;":Q1557,""Sell_""&amp;SUBSTITUTE(Q1558,""Sell_"",""""))))/2),ROUNDUP(INDEX(Upgrades!$C$3:$C$13,MATCH(Q1558,Upgrades!$B$3:$B$13,0))*1.15^(COUNTIF(Q$4:Q1557,Q1558)-COUNTIF(Q$4:Q1557,""Sell_""&amp;Q1558))))))"),"")</f>
        <v/>
      </c>
      <c r="V1558" s="10" t="str">
        <f t="shared" si="11"/>
        <v/>
      </c>
      <c r="W1558" s="68" t="str">
        <f t="shared" si="12"/>
        <v/>
      </c>
      <c r="X1558" s="59" t="str">
        <f t="shared" si="13"/>
        <v/>
      </c>
      <c r="Y1558" s="69" t="str">
        <f t="shared" si="14"/>
        <v/>
      </c>
      <c r="Z1558" s="11"/>
    </row>
    <row r="1559">
      <c r="A1559" s="8"/>
      <c r="B1559" s="56" t="str">
        <f t="shared" si="2"/>
        <v/>
      </c>
      <c r="C1559" s="105"/>
      <c r="D1559" s="10"/>
      <c r="E1559" s="59" t="str">
        <f t="array" ref="E1559">IF(COUNTA(C1559:C1673)=0,"",SUM((COUNTIF(C$4:C1559,Upgrades!$B$3:$B$13)-COUNTIF(C$4:C1559,"Sell_"&amp;Upgrades!$B$3:$B$13))*Upgrades!$D$3:$D$13))</f>
        <v/>
      </c>
      <c r="F1559" s="66" t="str">
        <f>IFERROR(__xludf.DUMMYFUNCTION("IF(COUNTA(C1559:C1673)=0,"""",IF(REGEXMATCH(INDEX(FILTER(C$4:C1559,C$4:C1559&lt;&gt;""""),ROWS(FILTER(C$4:C1559,C$4:C1559&lt;&gt;""""))),""^Sell_""),INDEX(FILTER(F$4:F1558,C$4:C1558&lt;&gt;""""),ROWS(FILTER(C$4:C1558,C$4:C1558&lt;&gt;""""))),$AC$5+E1559))"),"")</f>
        <v/>
      </c>
      <c r="G1559" s="10" t="str">
        <f>IFERROR(__xludf.DUMMYFUNCTION("IF(COUNTA(C1559:C1673)=0,"""",IF(C1559="""",0,IF(REGEXMATCH(C1559,""^Sell_""),-ROUNDDOWN(ROUNDUP(INDEX(Upgrades!$C$3:$C$13,MATCH(SUBSTITUTE(C1559,""Sell_"",""""),Upgrades!$B$3:$B$13,0))*1.15^(COUNTIF(C$4:C1558,SUBSTITUTE(C1559,""Sell_"",""""))-COUNTIF(C$4"&amp;":C1558,""Sell_""&amp;SUBSTITUTE(C1559,""Sell_"",""""))))/2),ROUNDUP(INDEX(Upgrades!$C$3:$C$13,MATCH(C1559,Upgrades!$B$3:$B$13,0))*1.15^(COUNTIF(C$4:C1558,C1559)-COUNTIF(C$4:C1558,""Sell_""&amp;C1559))))))"),"")</f>
        <v/>
      </c>
      <c r="H1559" s="10" t="str">
        <f t="shared" si="3"/>
        <v/>
      </c>
      <c r="I1559" s="68" t="str">
        <f t="shared" si="4"/>
        <v/>
      </c>
      <c r="J1559" s="59" t="str">
        <f t="shared" si="5"/>
        <v/>
      </c>
      <c r="K1559" s="69" t="str">
        <f t="shared" si="6"/>
        <v/>
      </c>
      <c r="L1559" s="60" t="str">
        <f t="shared" si="7"/>
        <v/>
      </c>
      <c r="M1559" s="61" t="str">
        <f>IFERROR(__xludf.DUMMYFUNCTION("IFS(AND(COUNTA(C1559:C1673)=0,COUNTA(Q1559:Q1673)=0),"""",OR(AND(K1559&gt;=1000000000,OR(Y1559&gt;=1000000000,COUNTA(Q1559:Q1673)=0)),OR(Y1559&gt;=1000000000,AND(COUNTA(C1559:C1673)=0,P$3=TRUE))),
ROUNDDOWN((AB$1-AC$1)*MAX(INDEX(T$4:T1673,MATCH(LARGE(FILTER(Y$4:Y1"&amp;"673,Y$4:Y1673&lt;1000000000),1),Y$4:Y1673)),INDEX(F$4:F1673,MATCH(LARGE(FILTER(K$4:K1673,K$4:K1673&lt;1000000000),1),K$4:K1673)))),AND(K1559&lt;1000000000,COUNTA(C1559:C1673)&gt;0,P$3=FALSE),
ROUNDDOWN(INDEX(Y$4:Y1673,MATCH(LARGE(FILTER(W$4:W1673,W$4:W1673&lt;=I1559),1)"&amp;",W$4:W1673))+(I1559-LARGE(FILTER(W$4:W1673,W$4:W1673&lt;=I1559),1))*INDEX(T$4:T1673,MATCH(LARGE(FILTER(W$4:W1673,W$4:W1673&lt;=I1559),1),W$4:W1673))-K1559),1,
ROUNDDOWN(Y1559-INDEX(K$4:K1673,MATCH(LARGE(FILTER(I$4:I1673,I$4:I1673&lt;=W1559),1),I$4:I1673))-(W1559-L"&amp;"ARGE(FILTER(I$4:I1673,I$4:I1673&lt;=W1559),1))*INDEX(F$4:F1673,MATCH(LARGE(FILTER(I$4:I1673,I$4:I1673&lt;=W1559),1),I$4:I1673))))"),"")</f>
        <v/>
      </c>
      <c r="N1559" s="60" t="str">
        <f t="shared" si="8"/>
        <v/>
      </c>
      <c r="O1559" s="61" t="str">
        <f t="shared" si="9"/>
        <v/>
      </c>
      <c r="P1559" s="56" t="str">
        <f t="shared" si="10"/>
        <v/>
      </c>
      <c r="Q1559" s="67"/>
      <c r="R1559" s="10"/>
      <c r="S1559" s="59" t="str">
        <f t="array" ref="S1559">IF(COUNTA(Q1559:Q1673)=0,"",SUM((COUNTIF(Q$4:Q1559,Upgrades!$B$3:$B$13)-COUNTIF(Q$4:Q1559,"Sell_"&amp;Upgrades!$B$3:$B$13))*Upgrades!$D$3:$D$13))</f>
        <v/>
      </c>
      <c r="T1559" s="66" t="str">
        <f>IFERROR(__xludf.DUMMYFUNCTION("IF(COUNTA(Q1559:Q1673)=0,"""",IF(REGEXMATCH(INDEX(FILTER(Q$4:Q1559,Q$4:Q1559&lt;&gt;""""),ROWS(FILTER(Q$4:Q1559,Q$4:Q1559&lt;&gt;""""))),""^Sell_""),INDEX(FILTER(T$4:T1558,Q$4:Q1558&lt;&gt;""""),ROWS(FILTER(Q$4:Q1558,Q$4:Q1558&lt;&gt;""""))),$AD$5+S1559))"),"")</f>
        <v/>
      </c>
      <c r="U1559" s="10" t="str">
        <f>IFERROR(__xludf.DUMMYFUNCTION("IF(COUNTA(Q1559:Q1673)=0,"""",IF(Q1559="""",0,IF(REGEXMATCH(Q1559,""^Sell_""),-ROUNDDOWN(ROUNDUP(INDEX(Upgrades!$C$3:$C$13,MATCH(SUBSTITUTE(Q1559,""Sell_"",""""),Upgrades!$B$3:$B$13,0))*1.15^(COUNTIF(Q$4:Q1558,SUBSTITUTE(Q1559,""Sell_"",""""))-COUNTIF(Q$4"&amp;":Q1558,""Sell_""&amp;SUBSTITUTE(Q1559,""Sell_"",""""))))/2),ROUNDUP(INDEX(Upgrades!$C$3:$C$13,MATCH(Q1559,Upgrades!$B$3:$B$13,0))*1.15^(COUNTIF(Q$4:Q1558,Q1559)-COUNTIF(Q$4:Q1558,""Sell_""&amp;Q1559))))))"),"")</f>
        <v/>
      </c>
      <c r="V1559" s="10" t="str">
        <f t="shared" si="11"/>
        <v/>
      </c>
      <c r="W1559" s="68" t="str">
        <f t="shared" si="12"/>
        <v/>
      </c>
      <c r="X1559" s="59" t="str">
        <f t="shared" si="13"/>
        <v/>
      </c>
      <c r="Y1559" s="69" t="str">
        <f t="shared" si="14"/>
        <v/>
      </c>
      <c r="Z1559" s="11"/>
    </row>
    <row r="1560">
      <c r="A1560" s="8"/>
      <c r="B1560" s="56" t="str">
        <f t="shared" si="2"/>
        <v/>
      </c>
      <c r="C1560" s="105"/>
      <c r="D1560" s="10"/>
      <c r="E1560" s="59" t="str">
        <f t="array" ref="E1560">IF(COUNTA(C1560:C1673)=0,"",SUM((COUNTIF(C$4:C1560,Upgrades!$B$3:$B$13)-COUNTIF(C$4:C1560,"Sell_"&amp;Upgrades!$B$3:$B$13))*Upgrades!$D$3:$D$13))</f>
        <v/>
      </c>
      <c r="F1560" s="66" t="str">
        <f>IFERROR(__xludf.DUMMYFUNCTION("IF(COUNTA(C1560:C1673)=0,"""",IF(REGEXMATCH(INDEX(FILTER(C$4:C1560,C$4:C1560&lt;&gt;""""),ROWS(FILTER(C$4:C1560,C$4:C1560&lt;&gt;""""))),""^Sell_""),INDEX(FILTER(F$4:F1559,C$4:C1559&lt;&gt;""""),ROWS(FILTER(C$4:C1559,C$4:C1559&lt;&gt;""""))),$AC$5+E1560))"),"")</f>
        <v/>
      </c>
      <c r="G1560" s="10" t="str">
        <f>IFERROR(__xludf.DUMMYFUNCTION("IF(COUNTA(C1560:C1673)=0,"""",IF(C1560="""",0,IF(REGEXMATCH(C1560,""^Sell_""),-ROUNDDOWN(ROUNDUP(INDEX(Upgrades!$C$3:$C$13,MATCH(SUBSTITUTE(C1560,""Sell_"",""""),Upgrades!$B$3:$B$13,0))*1.15^(COUNTIF(C$4:C1559,SUBSTITUTE(C1560,""Sell_"",""""))-COUNTIF(C$4"&amp;":C1559,""Sell_""&amp;SUBSTITUTE(C1560,""Sell_"",""""))))/2),ROUNDUP(INDEX(Upgrades!$C$3:$C$13,MATCH(C1560,Upgrades!$B$3:$B$13,0))*1.15^(COUNTIF(C$4:C1559,C1560)-COUNTIF(C$4:C1559,""Sell_""&amp;C1560))))))"),"")</f>
        <v/>
      </c>
      <c r="H1560" s="10" t="str">
        <f t="shared" si="3"/>
        <v/>
      </c>
      <c r="I1560" s="68" t="str">
        <f t="shared" si="4"/>
        <v/>
      </c>
      <c r="J1560" s="59" t="str">
        <f t="shared" si="5"/>
        <v/>
      </c>
      <c r="K1560" s="69" t="str">
        <f t="shared" si="6"/>
        <v/>
      </c>
      <c r="L1560" s="60" t="str">
        <f t="shared" si="7"/>
        <v/>
      </c>
      <c r="M1560" s="61" t="str">
        <f>IFERROR(__xludf.DUMMYFUNCTION("IFS(AND(COUNTA(C1560:C1673)=0,COUNTA(Q1560:Q1673)=0),"""",OR(AND(K1560&gt;=1000000000,OR(Y1560&gt;=1000000000,COUNTA(Q1560:Q1673)=0)),OR(Y1560&gt;=1000000000,AND(COUNTA(C1560:C1673)=0,P$3=TRUE))),
ROUNDDOWN((AB$1-AC$1)*MAX(INDEX(T$4:T1673,MATCH(LARGE(FILTER(Y$4:Y1"&amp;"673,Y$4:Y1673&lt;1000000000),1),Y$4:Y1673)),INDEX(F$4:F1673,MATCH(LARGE(FILTER(K$4:K1673,K$4:K1673&lt;1000000000),1),K$4:K1673)))),AND(K1560&lt;1000000000,COUNTA(C1560:C1673)&gt;0,P$3=FALSE),
ROUNDDOWN(INDEX(Y$4:Y1673,MATCH(LARGE(FILTER(W$4:W1673,W$4:W1673&lt;=I1560),1)"&amp;",W$4:W1673))+(I1560-LARGE(FILTER(W$4:W1673,W$4:W1673&lt;=I1560),1))*INDEX(T$4:T1673,MATCH(LARGE(FILTER(W$4:W1673,W$4:W1673&lt;=I1560),1),W$4:W1673))-K1560),1,
ROUNDDOWN(Y1560-INDEX(K$4:K1673,MATCH(LARGE(FILTER(I$4:I1673,I$4:I1673&lt;=W1560),1),I$4:I1673))-(W1560-L"&amp;"ARGE(FILTER(I$4:I1673,I$4:I1673&lt;=W1560),1))*INDEX(F$4:F1673,MATCH(LARGE(FILTER(I$4:I1673,I$4:I1673&lt;=W1560),1),I$4:I1673))))"),"")</f>
        <v/>
      </c>
      <c r="N1560" s="60" t="str">
        <f t="shared" si="8"/>
        <v/>
      </c>
      <c r="O1560" s="61" t="str">
        <f t="shared" si="9"/>
        <v/>
      </c>
      <c r="P1560" s="56" t="str">
        <f t="shared" si="10"/>
        <v/>
      </c>
      <c r="Q1560" s="67"/>
      <c r="R1560" s="10"/>
      <c r="S1560" s="59" t="str">
        <f t="array" ref="S1560">IF(COUNTA(Q1560:Q1673)=0,"",SUM((COUNTIF(Q$4:Q1560,Upgrades!$B$3:$B$13)-COUNTIF(Q$4:Q1560,"Sell_"&amp;Upgrades!$B$3:$B$13))*Upgrades!$D$3:$D$13))</f>
        <v/>
      </c>
      <c r="T1560" s="66" t="str">
        <f>IFERROR(__xludf.DUMMYFUNCTION("IF(COUNTA(Q1560:Q1673)=0,"""",IF(REGEXMATCH(INDEX(FILTER(Q$4:Q1560,Q$4:Q1560&lt;&gt;""""),ROWS(FILTER(Q$4:Q1560,Q$4:Q1560&lt;&gt;""""))),""^Sell_""),INDEX(FILTER(T$4:T1559,Q$4:Q1559&lt;&gt;""""),ROWS(FILTER(Q$4:Q1559,Q$4:Q1559&lt;&gt;""""))),$AD$5+S1560))"),"")</f>
        <v/>
      </c>
      <c r="U1560" s="10" t="str">
        <f>IFERROR(__xludf.DUMMYFUNCTION("IF(COUNTA(Q1560:Q1673)=0,"""",IF(Q1560="""",0,IF(REGEXMATCH(Q1560,""^Sell_""),-ROUNDDOWN(ROUNDUP(INDEX(Upgrades!$C$3:$C$13,MATCH(SUBSTITUTE(Q1560,""Sell_"",""""),Upgrades!$B$3:$B$13,0))*1.15^(COUNTIF(Q$4:Q1559,SUBSTITUTE(Q1560,""Sell_"",""""))-COUNTIF(Q$4"&amp;":Q1559,""Sell_""&amp;SUBSTITUTE(Q1560,""Sell_"",""""))))/2),ROUNDUP(INDEX(Upgrades!$C$3:$C$13,MATCH(Q1560,Upgrades!$B$3:$B$13,0))*1.15^(COUNTIF(Q$4:Q1559,Q1560)-COUNTIF(Q$4:Q1559,""Sell_""&amp;Q1560))))))"),"")</f>
        <v/>
      </c>
      <c r="V1560" s="10" t="str">
        <f t="shared" si="11"/>
        <v/>
      </c>
      <c r="W1560" s="68" t="str">
        <f t="shared" si="12"/>
        <v/>
      </c>
      <c r="X1560" s="59" t="str">
        <f t="shared" si="13"/>
        <v/>
      </c>
      <c r="Y1560" s="69" t="str">
        <f t="shared" si="14"/>
        <v/>
      </c>
      <c r="Z1560" s="11"/>
    </row>
    <row r="1561">
      <c r="A1561" s="8"/>
      <c r="B1561" s="56" t="str">
        <f t="shared" si="2"/>
        <v/>
      </c>
      <c r="C1561" s="105"/>
      <c r="D1561" s="10"/>
      <c r="E1561" s="59" t="str">
        <f t="array" ref="E1561">IF(COUNTA(C1561:C1673)=0,"",SUM((COUNTIF(C$4:C1561,Upgrades!$B$3:$B$13)-COUNTIF(C$4:C1561,"Sell_"&amp;Upgrades!$B$3:$B$13))*Upgrades!$D$3:$D$13))</f>
        <v/>
      </c>
      <c r="F1561" s="66" t="str">
        <f>IFERROR(__xludf.DUMMYFUNCTION("IF(COUNTA(C1561:C1673)=0,"""",IF(REGEXMATCH(INDEX(FILTER(C$4:C1561,C$4:C1561&lt;&gt;""""),ROWS(FILTER(C$4:C1561,C$4:C1561&lt;&gt;""""))),""^Sell_""),INDEX(FILTER(F$4:F1560,C$4:C1560&lt;&gt;""""),ROWS(FILTER(C$4:C1560,C$4:C1560&lt;&gt;""""))),$AC$5+E1561))"),"")</f>
        <v/>
      </c>
      <c r="G1561" s="10" t="str">
        <f>IFERROR(__xludf.DUMMYFUNCTION("IF(COUNTA(C1561:C1673)=0,"""",IF(C1561="""",0,IF(REGEXMATCH(C1561,""^Sell_""),-ROUNDDOWN(ROUNDUP(INDEX(Upgrades!$C$3:$C$13,MATCH(SUBSTITUTE(C1561,""Sell_"",""""),Upgrades!$B$3:$B$13,0))*1.15^(COUNTIF(C$4:C1560,SUBSTITUTE(C1561,""Sell_"",""""))-COUNTIF(C$4"&amp;":C1560,""Sell_""&amp;SUBSTITUTE(C1561,""Sell_"",""""))))/2),ROUNDUP(INDEX(Upgrades!$C$3:$C$13,MATCH(C1561,Upgrades!$B$3:$B$13,0))*1.15^(COUNTIF(C$4:C1560,C1561)-COUNTIF(C$4:C1560,""Sell_""&amp;C1561))))))"),"")</f>
        <v/>
      </c>
      <c r="H1561" s="10" t="str">
        <f t="shared" si="3"/>
        <v/>
      </c>
      <c r="I1561" s="68" t="str">
        <f t="shared" si="4"/>
        <v/>
      </c>
      <c r="J1561" s="59" t="str">
        <f t="shared" si="5"/>
        <v/>
      </c>
      <c r="K1561" s="69" t="str">
        <f t="shared" si="6"/>
        <v/>
      </c>
      <c r="L1561" s="60" t="str">
        <f t="shared" si="7"/>
        <v/>
      </c>
      <c r="M1561" s="61" t="str">
        <f>IFERROR(__xludf.DUMMYFUNCTION("IFS(AND(COUNTA(C1561:C1673)=0,COUNTA(Q1561:Q1673)=0),"""",OR(AND(K1561&gt;=1000000000,OR(Y1561&gt;=1000000000,COUNTA(Q1561:Q1673)=0)),OR(Y1561&gt;=1000000000,AND(COUNTA(C1561:C1673)=0,P$3=TRUE))),
ROUNDDOWN((AB$1-AC$1)*MAX(INDEX(T$4:T1673,MATCH(LARGE(FILTER(Y$4:Y1"&amp;"673,Y$4:Y1673&lt;1000000000),1),Y$4:Y1673)),INDEX(F$4:F1673,MATCH(LARGE(FILTER(K$4:K1673,K$4:K1673&lt;1000000000),1),K$4:K1673)))),AND(K1561&lt;1000000000,COUNTA(C1561:C1673)&gt;0,P$3=FALSE),
ROUNDDOWN(INDEX(Y$4:Y1673,MATCH(LARGE(FILTER(W$4:W1673,W$4:W1673&lt;=I1561),1)"&amp;",W$4:W1673))+(I1561-LARGE(FILTER(W$4:W1673,W$4:W1673&lt;=I1561),1))*INDEX(T$4:T1673,MATCH(LARGE(FILTER(W$4:W1673,W$4:W1673&lt;=I1561),1),W$4:W1673))-K1561),1,
ROUNDDOWN(Y1561-INDEX(K$4:K1673,MATCH(LARGE(FILTER(I$4:I1673,I$4:I1673&lt;=W1561),1),I$4:I1673))-(W1561-L"&amp;"ARGE(FILTER(I$4:I1673,I$4:I1673&lt;=W1561),1))*INDEX(F$4:F1673,MATCH(LARGE(FILTER(I$4:I1673,I$4:I1673&lt;=W1561),1),I$4:I1673))))"),"")</f>
        <v/>
      </c>
      <c r="N1561" s="60" t="str">
        <f t="shared" si="8"/>
        <v/>
      </c>
      <c r="O1561" s="61" t="str">
        <f t="shared" si="9"/>
        <v/>
      </c>
      <c r="P1561" s="56" t="str">
        <f t="shared" si="10"/>
        <v/>
      </c>
      <c r="Q1561" s="67"/>
      <c r="R1561" s="10"/>
      <c r="S1561" s="59" t="str">
        <f t="array" ref="S1561">IF(COUNTA(Q1561:Q1673)=0,"",SUM((COUNTIF(Q$4:Q1561,Upgrades!$B$3:$B$13)-COUNTIF(Q$4:Q1561,"Sell_"&amp;Upgrades!$B$3:$B$13))*Upgrades!$D$3:$D$13))</f>
        <v/>
      </c>
      <c r="T1561" s="66" t="str">
        <f>IFERROR(__xludf.DUMMYFUNCTION("IF(COUNTA(Q1561:Q1673)=0,"""",IF(REGEXMATCH(INDEX(FILTER(Q$4:Q1561,Q$4:Q1561&lt;&gt;""""),ROWS(FILTER(Q$4:Q1561,Q$4:Q1561&lt;&gt;""""))),""^Sell_""),INDEX(FILTER(T$4:T1560,Q$4:Q1560&lt;&gt;""""),ROWS(FILTER(Q$4:Q1560,Q$4:Q1560&lt;&gt;""""))),$AD$5+S1561))"),"")</f>
        <v/>
      </c>
      <c r="U1561" s="10" t="str">
        <f>IFERROR(__xludf.DUMMYFUNCTION("IF(COUNTA(Q1561:Q1673)=0,"""",IF(Q1561="""",0,IF(REGEXMATCH(Q1561,""^Sell_""),-ROUNDDOWN(ROUNDUP(INDEX(Upgrades!$C$3:$C$13,MATCH(SUBSTITUTE(Q1561,""Sell_"",""""),Upgrades!$B$3:$B$13,0))*1.15^(COUNTIF(Q$4:Q1560,SUBSTITUTE(Q1561,""Sell_"",""""))-COUNTIF(Q$4"&amp;":Q1560,""Sell_""&amp;SUBSTITUTE(Q1561,""Sell_"",""""))))/2),ROUNDUP(INDEX(Upgrades!$C$3:$C$13,MATCH(Q1561,Upgrades!$B$3:$B$13,0))*1.15^(COUNTIF(Q$4:Q1560,Q1561)-COUNTIF(Q$4:Q1560,""Sell_""&amp;Q1561))))))"),"")</f>
        <v/>
      </c>
      <c r="V1561" s="10" t="str">
        <f t="shared" si="11"/>
        <v/>
      </c>
      <c r="W1561" s="68" t="str">
        <f t="shared" si="12"/>
        <v/>
      </c>
      <c r="X1561" s="59" t="str">
        <f t="shared" si="13"/>
        <v/>
      </c>
      <c r="Y1561" s="69" t="str">
        <f t="shared" si="14"/>
        <v/>
      </c>
      <c r="Z1561" s="11"/>
    </row>
    <row r="1562">
      <c r="A1562" s="8"/>
      <c r="B1562" s="56" t="str">
        <f t="shared" si="2"/>
        <v/>
      </c>
      <c r="C1562" s="105"/>
      <c r="D1562" s="10"/>
      <c r="E1562" s="59" t="str">
        <f t="array" ref="E1562">IF(COUNTA(C1562:C1673)=0,"",SUM((COUNTIF(C$4:C1562,Upgrades!$B$3:$B$13)-COUNTIF(C$4:C1562,"Sell_"&amp;Upgrades!$B$3:$B$13))*Upgrades!$D$3:$D$13))</f>
        <v/>
      </c>
      <c r="F1562" s="66" t="str">
        <f>IFERROR(__xludf.DUMMYFUNCTION("IF(COUNTA(C1562:C1673)=0,"""",IF(REGEXMATCH(INDEX(FILTER(C$4:C1562,C$4:C1562&lt;&gt;""""),ROWS(FILTER(C$4:C1562,C$4:C1562&lt;&gt;""""))),""^Sell_""),INDEX(FILTER(F$4:F1561,C$4:C1561&lt;&gt;""""),ROWS(FILTER(C$4:C1561,C$4:C1561&lt;&gt;""""))),$AC$5+E1562))"),"")</f>
        <v/>
      </c>
      <c r="G1562" s="10" t="str">
        <f>IFERROR(__xludf.DUMMYFUNCTION("IF(COUNTA(C1562:C1673)=0,"""",IF(C1562="""",0,IF(REGEXMATCH(C1562,""^Sell_""),-ROUNDDOWN(ROUNDUP(INDEX(Upgrades!$C$3:$C$13,MATCH(SUBSTITUTE(C1562,""Sell_"",""""),Upgrades!$B$3:$B$13,0))*1.15^(COUNTIF(C$4:C1561,SUBSTITUTE(C1562,""Sell_"",""""))-COUNTIF(C$4"&amp;":C1561,""Sell_""&amp;SUBSTITUTE(C1562,""Sell_"",""""))))/2),ROUNDUP(INDEX(Upgrades!$C$3:$C$13,MATCH(C1562,Upgrades!$B$3:$B$13,0))*1.15^(COUNTIF(C$4:C1561,C1562)-COUNTIF(C$4:C1561,""Sell_""&amp;C1562))))))"),"")</f>
        <v/>
      </c>
      <c r="H1562" s="10" t="str">
        <f t="shared" si="3"/>
        <v/>
      </c>
      <c r="I1562" s="68" t="str">
        <f t="shared" si="4"/>
        <v/>
      </c>
      <c r="J1562" s="59" t="str">
        <f t="shared" si="5"/>
        <v/>
      </c>
      <c r="K1562" s="69" t="str">
        <f t="shared" si="6"/>
        <v/>
      </c>
      <c r="L1562" s="60" t="str">
        <f t="shared" si="7"/>
        <v/>
      </c>
      <c r="M1562" s="61" t="str">
        <f>IFERROR(__xludf.DUMMYFUNCTION("IFS(AND(COUNTA(C1562:C1673)=0,COUNTA(Q1562:Q1673)=0),"""",OR(AND(K1562&gt;=1000000000,OR(Y1562&gt;=1000000000,COUNTA(Q1562:Q1673)=0)),OR(Y1562&gt;=1000000000,AND(COUNTA(C1562:C1673)=0,P$3=TRUE))),
ROUNDDOWN((AB$1-AC$1)*MAX(INDEX(T$4:T1673,MATCH(LARGE(FILTER(Y$4:Y1"&amp;"673,Y$4:Y1673&lt;1000000000),1),Y$4:Y1673)),INDEX(F$4:F1673,MATCH(LARGE(FILTER(K$4:K1673,K$4:K1673&lt;1000000000),1),K$4:K1673)))),AND(K1562&lt;1000000000,COUNTA(C1562:C1673)&gt;0,P$3=FALSE),
ROUNDDOWN(INDEX(Y$4:Y1673,MATCH(LARGE(FILTER(W$4:W1673,W$4:W1673&lt;=I1562),1)"&amp;",W$4:W1673))+(I1562-LARGE(FILTER(W$4:W1673,W$4:W1673&lt;=I1562),1))*INDEX(T$4:T1673,MATCH(LARGE(FILTER(W$4:W1673,W$4:W1673&lt;=I1562),1),W$4:W1673))-K1562),1,
ROUNDDOWN(Y1562-INDEX(K$4:K1673,MATCH(LARGE(FILTER(I$4:I1673,I$4:I1673&lt;=W1562),1),I$4:I1673))-(W1562-L"&amp;"ARGE(FILTER(I$4:I1673,I$4:I1673&lt;=W1562),1))*INDEX(F$4:F1673,MATCH(LARGE(FILTER(I$4:I1673,I$4:I1673&lt;=W1562),1),I$4:I1673))))"),"")</f>
        <v/>
      </c>
      <c r="N1562" s="60" t="str">
        <f t="shared" si="8"/>
        <v/>
      </c>
      <c r="O1562" s="61" t="str">
        <f t="shared" si="9"/>
        <v/>
      </c>
      <c r="P1562" s="56" t="str">
        <f t="shared" si="10"/>
        <v/>
      </c>
      <c r="Q1562" s="67"/>
      <c r="R1562" s="10"/>
      <c r="S1562" s="59" t="str">
        <f t="array" ref="S1562">IF(COUNTA(Q1562:Q1673)=0,"",SUM((COUNTIF(Q$4:Q1562,Upgrades!$B$3:$B$13)-COUNTIF(Q$4:Q1562,"Sell_"&amp;Upgrades!$B$3:$B$13))*Upgrades!$D$3:$D$13))</f>
        <v/>
      </c>
      <c r="T1562" s="66" t="str">
        <f>IFERROR(__xludf.DUMMYFUNCTION("IF(COUNTA(Q1562:Q1673)=0,"""",IF(REGEXMATCH(INDEX(FILTER(Q$4:Q1562,Q$4:Q1562&lt;&gt;""""),ROWS(FILTER(Q$4:Q1562,Q$4:Q1562&lt;&gt;""""))),""^Sell_""),INDEX(FILTER(T$4:T1561,Q$4:Q1561&lt;&gt;""""),ROWS(FILTER(Q$4:Q1561,Q$4:Q1561&lt;&gt;""""))),$AD$5+S1562))"),"")</f>
        <v/>
      </c>
      <c r="U1562" s="10" t="str">
        <f>IFERROR(__xludf.DUMMYFUNCTION("IF(COUNTA(Q1562:Q1673)=0,"""",IF(Q1562="""",0,IF(REGEXMATCH(Q1562,""^Sell_""),-ROUNDDOWN(ROUNDUP(INDEX(Upgrades!$C$3:$C$13,MATCH(SUBSTITUTE(Q1562,""Sell_"",""""),Upgrades!$B$3:$B$13,0))*1.15^(COUNTIF(Q$4:Q1561,SUBSTITUTE(Q1562,""Sell_"",""""))-COUNTIF(Q$4"&amp;":Q1561,""Sell_""&amp;SUBSTITUTE(Q1562,""Sell_"",""""))))/2),ROUNDUP(INDEX(Upgrades!$C$3:$C$13,MATCH(Q1562,Upgrades!$B$3:$B$13,0))*1.15^(COUNTIF(Q$4:Q1561,Q1562)-COUNTIF(Q$4:Q1561,""Sell_""&amp;Q1562))))))"),"")</f>
        <v/>
      </c>
      <c r="V1562" s="10" t="str">
        <f t="shared" si="11"/>
        <v/>
      </c>
      <c r="W1562" s="68" t="str">
        <f t="shared" si="12"/>
        <v/>
      </c>
      <c r="X1562" s="59" t="str">
        <f t="shared" si="13"/>
        <v/>
      </c>
      <c r="Y1562" s="69" t="str">
        <f t="shared" si="14"/>
        <v/>
      </c>
      <c r="Z1562" s="11"/>
    </row>
    <row r="1563">
      <c r="A1563" s="8"/>
      <c r="B1563" s="56" t="str">
        <f t="shared" si="2"/>
        <v/>
      </c>
      <c r="C1563" s="105"/>
      <c r="D1563" s="10"/>
      <c r="E1563" s="59" t="str">
        <f t="array" ref="E1563">IF(COUNTA(C1563:C1673)=0,"",SUM((COUNTIF(C$4:C1563,Upgrades!$B$3:$B$13)-COUNTIF(C$4:C1563,"Sell_"&amp;Upgrades!$B$3:$B$13))*Upgrades!$D$3:$D$13))</f>
        <v/>
      </c>
      <c r="F1563" s="66" t="str">
        <f>IFERROR(__xludf.DUMMYFUNCTION("IF(COUNTA(C1563:C1673)=0,"""",IF(REGEXMATCH(INDEX(FILTER(C$4:C1563,C$4:C1563&lt;&gt;""""),ROWS(FILTER(C$4:C1563,C$4:C1563&lt;&gt;""""))),""^Sell_""),INDEX(FILTER(F$4:F1562,C$4:C1562&lt;&gt;""""),ROWS(FILTER(C$4:C1562,C$4:C1562&lt;&gt;""""))),$AC$5+E1563))"),"")</f>
        <v/>
      </c>
      <c r="G1563" s="10" t="str">
        <f>IFERROR(__xludf.DUMMYFUNCTION("IF(COUNTA(C1563:C1673)=0,"""",IF(C1563="""",0,IF(REGEXMATCH(C1563,""^Sell_""),-ROUNDDOWN(ROUNDUP(INDEX(Upgrades!$C$3:$C$13,MATCH(SUBSTITUTE(C1563,""Sell_"",""""),Upgrades!$B$3:$B$13,0))*1.15^(COUNTIF(C$4:C1562,SUBSTITUTE(C1563,""Sell_"",""""))-COUNTIF(C$4"&amp;":C1562,""Sell_""&amp;SUBSTITUTE(C1563,""Sell_"",""""))))/2),ROUNDUP(INDEX(Upgrades!$C$3:$C$13,MATCH(C1563,Upgrades!$B$3:$B$13,0))*1.15^(COUNTIF(C$4:C1562,C1563)-COUNTIF(C$4:C1562,""Sell_""&amp;C1563))))))"),"")</f>
        <v/>
      </c>
      <c r="H1563" s="10" t="str">
        <f t="shared" si="3"/>
        <v/>
      </c>
      <c r="I1563" s="68" t="str">
        <f t="shared" si="4"/>
        <v/>
      </c>
      <c r="J1563" s="59" t="str">
        <f t="shared" si="5"/>
        <v/>
      </c>
      <c r="K1563" s="69" t="str">
        <f t="shared" si="6"/>
        <v/>
      </c>
      <c r="L1563" s="60" t="str">
        <f t="shared" si="7"/>
        <v/>
      </c>
      <c r="M1563" s="61" t="str">
        <f>IFERROR(__xludf.DUMMYFUNCTION("IFS(AND(COUNTA(C1563:C1673)=0,COUNTA(Q1563:Q1673)=0),"""",OR(AND(K1563&gt;=1000000000,OR(Y1563&gt;=1000000000,COUNTA(Q1563:Q1673)=0)),OR(Y1563&gt;=1000000000,AND(COUNTA(C1563:C1673)=0,P$3=TRUE))),
ROUNDDOWN((AB$1-AC$1)*MAX(INDEX(T$4:T1673,MATCH(LARGE(FILTER(Y$4:Y1"&amp;"673,Y$4:Y1673&lt;1000000000),1),Y$4:Y1673)),INDEX(F$4:F1673,MATCH(LARGE(FILTER(K$4:K1673,K$4:K1673&lt;1000000000),1),K$4:K1673)))),AND(K1563&lt;1000000000,COUNTA(C1563:C1673)&gt;0,P$3=FALSE),
ROUNDDOWN(INDEX(Y$4:Y1673,MATCH(LARGE(FILTER(W$4:W1673,W$4:W1673&lt;=I1563),1)"&amp;",W$4:W1673))+(I1563-LARGE(FILTER(W$4:W1673,W$4:W1673&lt;=I1563),1))*INDEX(T$4:T1673,MATCH(LARGE(FILTER(W$4:W1673,W$4:W1673&lt;=I1563),1),W$4:W1673))-K1563),1,
ROUNDDOWN(Y1563-INDEX(K$4:K1673,MATCH(LARGE(FILTER(I$4:I1673,I$4:I1673&lt;=W1563),1),I$4:I1673))-(W1563-L"&amp;"ARGE(FILTER(I$4:I1673,I$4:I1673&lt;=W1563),1))*INDEX(F$4:F1673,MATCH(LARGE(FILTER(I$4:I1673,I$4:I1673&lt;=W1563),1),I$4:I1673))))"),"")</f>
        <v/>
      </c>
      <c r="N1563" s="60" t="str">
        <f t="shared" si="8"/>
        <v/>
      </c>
      <c r="O1563" s="61" t="str">
        <f t="shared" si="9"/>
        <v/>
      </c>
      <c r="P1563" s="56" t="str">
        <f t="shared" si="10"/>
        <v/>
      </c>
      <c r="Q1563" s="67"/>
      <c r="R1563" s="10"/>
      <c r="S1563" s="59" t="str">
        <f t="array" ref="S1563">IF(COUNTA(Q1563:Q1673)=0,"",SUM((COUNTIF(Q$4:Q1563,Upgrades!$B$3:$B$13)-COUNTIF(Q$4:Q1563,"Sell_"&amp;Upgrades!$B$3:$B$13))*Upgrades!$D$3:$D$13))</f>
        <v/>
      </c>
      <c r="T1563" s="66" t="str">
        <f>IFERROR(__xludf.DUMMYFUNCTION("IF(COUNTA(Q1563:Q1673)=0,"""",IF(REGEXMATCH(INDEX(FILTER(Q$4:Q1563,Q$4:Q1563&lt;&gt;""""),ROWS(FILTER(Q$4:Q1563,Q$4:Q1563&lt;&gt;""""))),""^Sell_""),INDEX(FILTER(T$4:T1562,Q$4:Q1562&lt;&gt;""""),ROWS(FILTER(Q$4:Q1562,Q$4:Q1562&lt;&gt;""""))),$AD$5+S1563))"),"")</f>
        <v/>
      </c>
      <c r="U1563" s="10" t="str">
        <f>IFERROR(__xludf.DUMMYFUNCTION("IF(COUNTA(Q1563:Q1673)=0,"""",IF(Q1563="""",0,IF(REGEXMATCH(Q1563,""^Sell_""),-ROUNDDOWN(ROUNDUP(INDEX(Upgrades!$C$3:$C$13,MATCH(SUBSTITUTE(Q1563,""Sell_"",""""),Upgrades!$B$3:$B$13,0))*1.15^(COUNTIF(Q$4:Q1562,SUBSTITUTE(Q1563,""Sell_"",""""))-COUNTIF(Q$4"&amp;":Q1562,""Sell_""&amp;SUBSTITUTE(Q1563,""Sell_"",""""))))/2),ROUNDUP(INDEX(Upgrades!$C$3:$C$13,MATCH(Q1563,Upgrades!$B$3:$B$13,0))*1.15^(COUNTIF(Q$4:Q1562,Q1563)-COUNTIF(Q$4:Q1562,""Sell_""&amp;Q1563))))))"),"")</f>
        <v/>
      </c>
      <c r="V1563" s="10" t="str">
        <f t="shared" si="11"/>
        <v/>
      </c>
      <c r="W1563" s="68" t="str">
        <f t="shared" si="12"/>
        <v/>
      </c>
      <c r="X1563" s="59" t="str">
        <f t="shared" si="13"/>
        <v/>
      </c>
      <c r="Y1563" s="69" t="str">
        <f t="shared" si="14"/>
        <v/>
      </c>
      <c r="Z1563" s="11"/>
    </row>
    <row r="1564">
      <c r="A1564" s="8"/>
      <c r="B1564" s="56" t="str">
        <f t="shared" si="2"/>
        <v/>
      </c>
      <c r="C1564" s="105"/>
      <c r="D1564" s="10"/>
      <c r="E1564" s="59" t="str">
        <f t="array" ref="E1564">IF(COUNTA(C1564:C1673)=0,"",SUM((COUNTIF(C$4:C1564,Upgrades!$B$3:$B$13)-COUNTIF(C$4:C1564,"Sell_"&amp;Upgrades!$B$3:$B$13))*Upgrades!$D$3:$D$13))</f>
        <v/>
      </c>
      <c r="F1564" s="66" t="str">
        <f>IFERROR(__xludf.DUMMYFUNCTION("IF(COUNTA(C1564:C1673)=0,"""",IF(REGEXMATCH(INDEX(FILTER(C$4:C1564,C$4:C1564&lt;&gt;""""),ROWS(FILTER(C$4:C1564,C$4:C1564&lt;&gt;""""))),""^Sell_""),INDEX(FILTER(F$4:F1563,C$4:C1563&lt;&gt;""""),ROWS(FILTER(C$4:C1563,C$4:C1563&lt;&gt;""""))),$AC$5+E1564))"),"")</f>
        <v/>
      </c>
      <c r="G1564" s="10" t="str">
        <f>IFERROR(__xludf.DUMMYFUNCTION("IF(COUNTA(C1564:C1673)=0,"""",IF(C1564="""",0,IF(REGEXMATCH(C1564,""^Sell_""),-ROUNDDOWN(ROUNDUP(INDEX(Upgrades!$C$3:$C$13,MATCH(SUBSTITUTE(C1564,""Sell_"",""""),Upgrades!$B$3:$B$13,0))*1.15^(COUNTIF(C$4:C1563,SUBSTITUTE(C1564,""Sell_"",""""))-COUNTIF(C$4"&amp;":C1563,""Sell_""&amp;SUBSTITUTE(C1564,""Sell_"",""""))))/2),ROUNDUP(INDEX(Upgrades!$C$3:$C$13,MATCH(C1564,Upgrades!$B$3:$B$13,0))*1.15^(COUNTIF(C$4:C1563,C1564)-COUNTIF(C$4:C1563,""Sell_""&amp;C1564))))))"),"")</f>
        <v/>
      </c>
      <c r="H1564" s="10" t="str">
        <f t="shared" si="3"/>
        <v/>
      </c>
      <c r="I1564" s="68" t="str">
        <f t="shared" si="4"/>
        <v/>
      </c>
      <c r="J1564" s="59" t="str">
        <f t="shared" si="5"/>
        <v/>
      </c>
      <c r="K1564" s="69" t="str">
        <f t="shared" si="6"/>
        <v/>
      </c>
      <c r="L1564" s="60" t="str">
        <f t="shared" si="7"/>
        <v/>
      </c>
      <c r="M1564" s="61" t="str">
        <f>IFERROR(__xludf.DUMMYFUNCTION("IFS(AND(COUNTA(C1564:C1673)=0,COUNTA(Q1564:Q1673)=0),"""",OR(AND(K1564&gt;=1000000000,OR(Y1564&gt;=1000000000,COUNTA(Q1564:Q1673)=0)),OR(Y1564&gt;=1000000000,AND(COUNTA(C1564:C1673)=0,P$3=TRUE))),
ROUNDDOWN((AB$1-AC$1)*MAX(INDEX(T$4:T1673,MATCH(LARGE(FILTER(Y$4:Y1"&amp;"673,Y$4:Y1673&lt;1000000000),1),Y$4:Y1673)),INDEX(F$4:F1673,MATCH(LARGE(FILTER(K$4:K1673,K$4:K1673&lt;1000000000),1),K$4:K1673)))),AND(K1564&lt;1000000000,COUNTA(C1564:C1673)&gt;0,P$3=FALSE),
ROUNDDOWN(INDEX(Y$4:Y1673,MATCH(LARGE(FILTER(W$4:W1673,W$4:W1673&lt;=I1564),1)"&amp;",W$4:W1673))+(I1564-LARGE(FILTER(W$4:W1673,W$4:W1673&lt;=I1564),1))*INDEX(T$4:T1673,MATCH(LARGE(FILTER(W$4:W1673,W$4:W1673&lt;=I1564),1),W$4:W1673))-K1564),1,
ROUNDDOWN(Y1564-INDEX(K$4:K1673,MATCH(LARGE(FILTER(I$4:I1673,I$4:I1673&lt;=W1564),1),I$4:I1673))-(W1564-L"&amp;"ARGE(FILTER(I$4:I1673,I$4:I1673&lt;=W1564),1))*INDEX(F$4:F1673,MATCH(LARGE(FILTER(I$4:I1673,I$4:I1673&lt;=W1564),1),I$4:I1673))))"),"")</f>
        <v/>
      </c>
      <c r="N1564" s="60" t="str">
        <f t="shared" si="8"/>
        <v/>
      </c>
      <c r="O1564" s="61" t="str">
        <f t="shared" si="9"/>
        <v/>
      </c>
      <c r="P1564" s="56" t="str">
        <f t="shared" si="10"/>
        <v/>
      </c>
      <c r="Q1564" s="67"/>
      <c r="R1564" s="10"/>
      <c r="S1564" s="59" t="str">
        <f t="array" ref="S1564">IF(COUNTA(Q1564:Q1673)=0,"",SUM((COUNTIF(Q$4:Q1564,Upgrades!$B$3:$B$13)-COUNTIF(Q$4:Q1564,"Sell_"&amp;Upgrades!$B$3:$B$13))*Upgrades!$D$3:$D$13))</f>
        <v/>
      </c>
      <c r="T1564" s="66" t="str">
        <f>IFERROR(__xludf.DUMMYFUNCTION("IF(COUNTA(Q1564:Q1673)=0,"""",IF(REGEXMATCH(INDEX(FILTER(Q$4:Q1564,Q$4:Q1564&lt;&gt;""""),ROWS(FILTER(Q$4:Q1564,Q$4:Q1564&lt;&gt;""""))),""^Sell_""),INDEX(FILTER(T$4:T1563,Q$4:Q1563&lt;&gt;""""),ROWS(FILTER(Q$4:Q1563,Q$4:Q1563&lt;&gt;""""))),$AD$5+S1564))"),"")</f>
        <v/>
      </c>
      <c r="U1564" s="10" t="str">
        <f>IFERROR(__xludf.DUMMYFUNCTION("IF(COUNTA(Q1564:Q1673)=0,"""",IF(Q1564="""",0,IF(REGEXMATCH(Q1564,""^Sell_""),-ROUNDDOWN(ROUNDUP(INDEX(Upgrades!$C$3:$C$13,MATCH(SUBSTITUTE(Q1564,""Sell_"",""""),Upgrades!$B$3:$B$13,0))*1.15^(COUNTIF(Q$4:Q1563,SUBSTITUTE(Q1564,""Sell_"",""""))-COUNTIF(Q$4"&amp;":Q1563,""Sell_""&amp;SUBSTITUTE(Q1564,""Sell_"",""""))))/2),ROUNDUP(INDEX(Upgrades!$C$3:$C$13,MATCH(Q1564,Upgrades!$B$3:$B$13,0))*1.15^(COUNTIF(Q$4:Q1563,Q1564)-COUNTIF(Q$4:Q1563,""Sell_""&amp;Q1564))))))"),"")</f>
        <v/>
      </c>
      <c r="V1564" s="10" t="str">
        <f t="shared" si="11"/>
        <v/>
      </c>
      <c r="W1564" s="68" t="str">
        <f t="shared" si="12"/>
        <v/>
      </c>
      <c r="X1564" s="59" t="str">
        <f t="shared" si="13"/>
        <v/>
      </c>
      <c r="Y1564" s="69" t="str">
        <f t="shared" si="14"/>
        <v/>
      </c>
      <c r="Z1564" s="11"/>
    </row>
    <row r="1565">
      <c r="A1565" s="8"/>
      <c r="B1565" s="56" t="str">
        <f t="shared" si="2"/>
        <v/>
      </c>
      <c r="C1565" s="105"/>
      <c r="D1565" s="10"/>
      <c r="E1565" s="59" t="str">
        <f t="array" ref="E1565">IF(COUNTA(C1565:C1673)=0,"",SUM((COUNTIF(C$4:C1565,Upgrades!$B$3:$B$13)-COUNTIF(C$4:C1565,"Sell_"&amp;Upgrades!$B$3:$B$13))*Upgrades!$D$3:$D$13))</f>
        <v/>
      </c>
      <c r="F1565" s="66" t="str">
        <f>IFERROR(__xludf.DUMMYFUNCTION("IF(COUNTA(C1565:C1673)=0,"""",IF(REGEXMATCH(INDEX(FILTER(C$4:C1565,C$4:C1565&lt;&gt;""""),ROWS(FILTER(C$4:C1565,C$4:C1565&lt;&gt;""""))),""^Sell_""),INDEX(FILTER(F$4:F1564,C$4:C1564&lt;&gt;""""),ROWS(FILTER(C$4:C1564,C$4:C1564&lt;&gt;""""))),$AC$5+E1565))"),"")</f>
        <v/>
      </c>
      <c r="G1565" s="10" t="str">
        <f>IFERROR(__xludf.DUMMYFUNCTION("IF(COUNTA(C1565:C1673)=0,"""",IF(C1565="""",0,IF(REGEXMATCH(C1565,""^Sell_""),-ROUNDDOWN(ROUNDUP(INDEX(Upgrades!$C$3:$C$13,MATCH(SUBSTITUTE(C1565,""Sell_"",""""),Upgrades!$B$3:$B$13,0))*1.15^(COUNTIF(C$4:C1564,SUBSTITUTE(C1565,""Sell_"",""""))-COUNTIF(C$4"&amp;":C1564,""Sell_""&amp;SUBSTITUTE(C1565,""Sell_"",""""))))/2),ROUNDUP(INDEX(Upgrades!$C$3:$C$13,MATCH(C1565,Upgrades!$B$3:$B$13,0))*1.15^(COUNTIF(C$4:C1564,C1565)-COUNTIF(C$4:C1564,""Sell_""&amp;C1565))))))"),"")</f>
        <v/>
      </c>
      <c r="H1565" s="10" t="str">
        <f t="shared" si="3"/>
        <v/>
      </c>
      <c r="I1565" s="68" t="str">
        <f t="shared" si="4"/>
        <v/>
      </c>
      <c r="J1565" s="59" t="str">
        <f t="shared" si="5"/>
        <v/>
      </c>
      <c r="K1565" s="69" t="str">
        <f t="shared" si="6"/>
        <v/>
      </c>
      <c r="L1565" s="60" t="str">
        <f t="shared" si="7"/>
        <v/>
      </c>
      <c r="M1565" s="61" t="str">
        <f>IFERROR(__xludf.DUMMYFUNCTION("IFS(AND(COUNTA(C1565:C1673)=0,COUNTA(Q1565:Q1673)=0),"""",OR(AND(K1565&gt;=1000000000,OR(Y1565&gt;=1000000000,COUNTA(Q1565:Q1673)=0)),OR(Y1565&gt;=1000000000,AND(COUNTA(C1565:C1673)=0,P$3=TRUE))),
ROUNDDOWN((AB$1-AC$1)*MAX(INDEX(T$4:T1673,MATCH(LARGE(FILTER(Y$4:Y1"&amp;"673,Y$4:Y1673&lt;1000000000),1),Y$4:Y1673)),INDEX(F$4:F1673,MATCH(LARGE(FILTER(K$4:K1673,K$4:K1673&lt;1000000000),1),K$4:K1673)))),AND(K1565&lt;1000000000,COUNTA(C1565:C1673)&gt;0,P$3=FALSE),
ROUNDDOWN(INDEX(Y$4:Y1673,MATCH(LARGE(FILTER(W$4:W1673,W$4:W1673&lt;=I1565),1)"&amp;",W$4:W1673))+(I1565-LARGE(FILTER(W$4:W1673,W$4:W1673&lt;=I1565),1))*INDEX(T$4:T1673,MATCH(LARGE(FILTER(W$4:W1673,W$4:W1673&lt;=I1565),1),W$4:W1673))-K1565),1,
ROUNDDOWN(Y1565-INDEX(K$4:K1673,MATCH(LARGE(FILTER(I$4:I1673,I$4:I1673&lt;=W1565),1),I$4:I1673))-(W1565-L"&amp;"ARGE(FILTER(I$4:I1673,I$4:I1673&lt;=W1565),1))*INDEX(F$4:F1673,MATCH(LARGE(FILTER(I$4:I1673,I$4:I1673&lt;=W1565),1),I$4:I1673))))"),"")</f>
        <v/>
      </c>
      <c r="N1565" s="60" t="str">
        <f t="shared" si="8"/>
        <v/>
      </c>
      <c r="O1565" s="61" t="str">
        <f t="shared" si="9"/>
        <v/>
      </c>
      <c r="P1565" s="56" t="str">
        <f t="shared" si="10"/>
        <v/>
      </c>
      <c r="Q1565" s="67"/>
      <c r="R1565" s="10"/>
      <c r="S1565" s="59" t="str">
        <f t="array" ref="S1565">IF(COUNTA(Q1565:Q1673)=0,"",SUM((COUNTIF(Q$4:Q1565,Upgrades!$B$3:$B$13)-COUNTIF(Q$4:Q1565,"Sell_"&amp;Upgrades!$B$3:$B$13))*Upgrades!$D$3:$D$13))</f>
        <v/>
      </c>
      <c r="T1565" s="66" t="str">
        <f>IFERROR(__xludf.DUMMYFUNCTION("IF(COUNTA(Q1565:Q1673)=0,"""",IF(REGEXMATCH(INDEX(FILTER(Q$4:Q1565,Q$4:Q1565&lt;&gt;""""),ROWS(FILTER(Q$4:Q1565,Q$4:Q1565&lt;&gt;""""))),""^Sell_""),INDEX(FILTER(T$4:T1564,Q$4:Q1564&lt;&gt;""""),ROWS(FILTER(Q$4:Q1564,Q$4:Q1564&lt;&gt;""""))),$AD$5+S1565))"),"")</f>
        <v/>
      </c>
      <c r="U1565" s="10" t="str">
        <f>IFERROR(__xludf.DUMMYFUNCTION("IF(COUNTA(Q1565:Q1673)=0,"""",IF(Q1565="""",0,IF(REGEXMATCH(Q1565,""^Sell_""),-ROUNDDOWN(ROUNDUP(INDEX(Upgrades!$C$3:$C$13,MATCH(SUBSTITUTE(Q1565,""Sell_"",""""),Upgrades!$B$3:$B$13,0))*1.15^(COUNTIF(Q$4:Q1564,SUBSTITUTE(Q1565,""Sell_"",""""))-COUNTIF(Q$4"&amp;":Q1564,""Sell_""&amp;SUBSTITUTE(Q1565,""Sell_"",""""))))/2),ROUNDUP(INDEX(Upgrades!$C$3:$C$13,MATCH(Q1565,Upgrades!$B$3:$B$13,0))*1.15^(COUNTIF(Q$4:Q1564,Q1565)-COUNTIF(Q$4:Q1564,""Sell_""&amp;Q1565))))))"),"")</f>
        <v/>
      </c>
      <c r="V1565" s="10" t="str">
        <f t="shared" si="11"/>
        <v/>
      </c>
      <c r="W1565" s="68" t="str">
        <f t="shared" si="12"/>
        <v/>
      </c>
      <c r="X1565" s="59" t="str">
        <f t="shared" si="13"/>
        <v/>
      </c>
      <c r="Y1565" s="69" t="str">
        <f t="shared" si="14"/>
        <v/>
      </c>
      <c r="Z1565" s="11"/>
    </row>
    <row r="1566">
      <c r="A1566" s="8"/>
      <c r="B1566" s="56" t="str">
        <f t="shared" si="2"/>
        <v/>
      </c>
      <c r="C1566" s="105"/>
      <c r="D1566" s="10"/>
      <c r="E1566" s="59" t="str">
        <f t="array" ref="E1566">IF(COUNTA(C1566:C1673)=0,"",SUM((COUNTIF(C$4:C1566,Upgrades!$B$3:$B$13)-COUNTIF(C$4:C1566,"Sell_"&amp;Upgrades!$B$3:$B$13))*Upgrades!$D$3:$D$13))</f>
        <v/>
      </c>
      <c r="F1566" s="66" t="str">
        <f>IFERROR(__xludf.DUMMYFUNCTION("IF(COUNTA(C1566:C1673)=0,"""",IF(REGEXMATCH(INDEX(FILTER(C$4:C1566,C$4:C1566&lt;&gt;""""),ROWS(FILTER(C$4:C1566,C$4:C1566&lt;&gt;""""))),""^Sell_""),INDEX(FILTER(F$4:F1565,C$4:C1565&lt;&gt;""""),ROWS(FILTER(C$4:C1565,C$4:C1565&lt;&gt;""""))),$AC$5+E1566))"),"")</f>
        <v/>
      </c>
      <c r="G1566" s="10" t="str">
        <f>IFERROR(__xludf.DUMMYFUNCTION("IF(COUNTA(C1566:C1673)=0,"""",IF(C1566="""",0,IF(REGEXMATCH(C1566,""^Sell_""),-ROUNDDOWN(ROUNDUP(INDEX(Upgrades!$C$3:$C$13,MATCH(SUBSTITUTE(C1566,""Sell_"",""""),Upgrades!$B$3:$B$13,0))*1.15^(COUNTIF(C$4:C1565,SUBSTITUTE(C1566,""Sell_"",""""))-COUNTIF(C$4"&amp;":C1565,""Sell_""&amp;SUBSTITUTE(C1566,""Sell_"",""""))))/2),ROUNDUP(INDEX(Upgrades!$C$3:$C$13,MATCH(C1566,Upgrades!$B$3:$B$13,0))*1.15^(COUNTIF(C$4:C1565,C1566)-COUNTIF(C$4:C1565,""Sell_""&amp;C1566))))))"),"")</f>
        <v/>
      </c>
      <c r="H1566" s="10" t="str">
        <f t="shared" si="3"/>
        <v/>
      </c>
      <c r="I1566" s="68" t="str">
        <f t="shared" si="4"/>
        <v/>
      </c>
      <c r="J1566" s="59" t="str">
        <f t="shared" si="5"/>
        <v/>
      </c>
      <c r="K1566" s="69" t="str">
        <f t="shared" si="6"/>
        <v/>
      </c>
      <c r="L1566" s="60" t="str">
        <f t="shared" si="7"/>
        <v/>
      </c>
      <c r="M1566" s="61" t="str">
        <f>IFERROR(__xludf.DUMMYFUNCTION("IFS(AND(COUNTA(C1566:C1673)=0,COUNTA(Q1566:Q1673)=0),"""",OR(AND(K1566&gt;=1000000000,OR(Y1566&gt;=1000000000,COUNTA(Q1566:Q1673)=0)),OR(Y1566&gt;=1000000000,AND(COUNTA(C1566:C1673)=0,P$3=TRUE))),
ROUNDDOWN((AB$1-AC$1)*MAX(INDEX(T$4:T1673,MATCH(LARGE(FILTER(Y$4:Y1"&amp;"673,Y$4:Y1673&lt;1000000000),1),Y$4:Y1673)),INDEX(F$4:F1673,MATCH(LARGE(FILTER(K$4:K1673,K$4:K1673&lt;1000000000),1),K$4:K1673)))),AND(K1566&lt;1000000000,COUNTA(C1566:C1673)&gt;0,P$3=FALSE),
ROUNDDOWN(INDEX(Y$4:Y1673,MATCH(LARGE(FILTER(W$4:W1673,W$4:W1673&lt;=I1566),1)"&amp;",W$4:W1673))+(I1566-LARGE(FILTER(W$4:W1673,W$4:W1673&lt;=I1566),1))*INDEX(T$4:T1673,MATCH(LARGE(FILTER(W$4:W1673,W$4:W1673&lt;=I1566),1),W$4:W1673))-K1566),1,
ROUNDDOWN(Y1566-INDEX(K$4:K1673,MATCH(LARGE(FILTER(I$4:I1673,I$4:I1673&lt;=W1566),1),I$4:I1673))-(W1566-L"&amp;"ARGE(FILTER(I$4:I1673,I$4:I1673&lt;=W1566),1))*INDEX(F$4:F1673,MATCH(LARGE(FILTER(I$4:I1673,I$4:I1673&lt;=W1566),1),I$4:I1673))))"),"")</f>
        <v/>
      </c>
      <c r="N1566" s="60" t="str">
        <f t="shared" si="8"/>
        <v/>
      </c>
      <c r="O1566" s="61" t="str">
        <f t="shared" si="9"/>
        <v/>
      </c>
      <c r="P1566" s="56" t="str">
        <f t="shared" si="10"/>
        <v/>
      </c>
      <c r="Q1566" s="67"/>
      <c r="R1566" s="10"/>
      <c r="S1566" s="59" t="str">
        <f t="array" ref="S1566">IF(COUNTA(Q1566:Q1673)=0,"",SUM((COUNTIF(Q$4:Q1566,Upgrades!$B$3:$B$13)-COUNTIF(Q$4:Q1566,"Sell_"&amp;Upgrades!$B$3:$B$13))*Upgrades!$D$3:$D$13))</f>
        <v/>
      </c>
      <c r="T1566" s="66" t="str">
        <f>IFERROR(__xludf.DUMMYFUNCTION("IF(COUNTA(Q1566:Q1673)=0,"""",IF(REGEXMATCH(INDEX(FILTER(Q$4:Q1566,Q$4:Q1566&lt;&gt;""""),ROWS(FILTER(Q$4:Q1566,Q$4:Q1566&lt;&gt;""""))),""^Sell_""),INDEX(FILTER(T$4:T1565,Q$4:Q1565&lt;&gt;""""),ROWS(FILTER(Q$4:Q1565,Q$4:Q1565&lt;&gt;""""))),$AD$5+S1566))"),"")</f>
        <v/>
      </c>
      <c r="U1566" s="10" t="str">
        <f>IFERROR(__xludf.DUMMYFUNCTION("IF(COUNTA(Q1566:Q1673)=0,"""",IF(Q1566="""",0,IF(REGEXMATCH(Q1566,""^Sell_""),-ROUNDDOWN(ROUNDUP(INDEX(Upgrades!$C$3:$C$13,MATCH(SUBSTITUTE(Q1566,""Sell_"",""""),Upgrades!$B$3:$B$13,0))*1.15^(COUNTIF(Q$4:Q1565,SUBSTITUTE(Q1566,""Sell_"",""""))-COUNTIF(Q$4"&amp;":Q1565,""Sell_""&amp;SUBSTITUTE(Q1566,""Sell_"",""""))))/2),ROUNDUP(INDEX(Upgrades!$C$3:$C$13,MATCH(Q1566,Upgrades!$B$3:$B$13,0))*1.15^(COUNTIF(Q$4:Q1565,Q1566)-COUNTIF(Q$4:Q1565,""Sell_""&amp;Q1566))))))"),"")</f>
        <v/>
      </c>
      <c r="V1566" s="10" t="str">
        <f t="shared" si="11"/>
        <v/>
      </c>
      <c r="W1566" s="68" t="str">
        <f t="shared" si="12"/>
        <v/>
      </c>
      <c r="X1566" s="59" t="str">
        <f t="shared" si="13"/>
        <v/>
      </c>
      <c r="Y1566" s="69" t="str">
        <f t="shared" si="14"/>
        <v/>
      </c>
      <c r="Z1566" s="11"/>
    </row>
    <row r="1567">
      <c r="A1567" s="8"/>
      <c r="B1567" s="56" t="str">
        <f t="shared" si="2"/>
        <v/>
      </c>
      <c r="C1567" s="105"/>
      <c r="D1567" s="10"/>
      <c r="E1567" s="59" t="str">
        <f t="array" ref="E1567">IF(COUNTA(C1567:C1673)=0,"",SUM((COUNTIF(C$4:C1567,Upgrades!$B$3:$B$13)-COUNTIF(C$4:C1567,"Sell_"&amp;Upgrades!$B$3:$B$13))*Upgrades!$D$3:$D$13))</f>
        <v/>
      </c>
      <c r="F1567" s="66" t="str">
        <f>IFERROR(__xludf.DUMMYFUNCTION("IF(COUNTA(C1567:C1673)=0,"""",IF(REGEXMATCH(INDEX(FILTER(C$4:C1567,C$4:C1567&lt;&gt;""""),ROWS(FILTER(C$4:C1567,C$4:C1567&lt;&gt;""""))),""^Sell_""),INDEX(FILTER(F$4:F1566,C$4:C1566&lt;&gt;""""),ROWS(FILTER(C$4:C1566,C$4:C1566&lt;&gt;""""))),$AC$5+E1567))"),"")</f>
        <v/>
      </c>
      <c r="G1567" s="10" t="str">
        <f>IFERROR(__xludf.DUMMYFUNCTION("IF(COUNTA(C1567:C1673)=0,"""",IF(C1567="""",0,IF(REGEXMATCH(C1567,""^Sell_""),-ROUNDDOWN(ROUNDUP(INDEX(Upgrades!$C$3:$C$13,MATCH(SUBSTITUTE(C1567,""Sell_"",""""),Upgrades!$B$3:$B$13,0))*1.15^(COUNTIF(C$4:C1566,SUBSTITUTE(C1567,""Sell_"",""""))-COUNTIF(C$4"&amp;":C1566,""Sell_""&amp;SUBSTITUTE(C1567,""Sell_"",""""))))/2),ROUNDUP(INDEX(Upgrades!$C$3:$C$13,MATCH(C1567,Upgrades!$B$3:$B$13,0))*1.15^(COUNTIF(C$4:C1566,C1567)-COUNTIF(C$4:C1566,""Sell_""&amp;C1567))))))"),"")</f>
        <v/>
      </c>
      <c r="H1567" s="10" t="str">
        <f t="shared" si="3"/>
        <v/>
      </c>
      <c r="I1567" s="68" t="str">
        <f t="shared" si="4"/>
        <v/>
      </c>
      <c r="J1567" s="59" t="str">
        <f t="shared" si="5"/>
        <v/>
      </c>
      <c r="K1567" s="69" t="str">
        <f t="shared" si="6"/>
        <v/>
      </c>
      <c r="L1567" s="60" t="str">
        <f t="shared" si="7"/>
        <v/>
      </c>
      <c r="M1567" s="61" t="str">
        <f>IFERROR(__xludf.DUMMYFUNCTION("IFS(AND(COUNTA(C1567:C1673)=0,COUNTA(Q1567:Q1673)=0),"""",OR(AND(K1567&gt;=1000000000,OR(Y1567&gt;=1000000000,COUNTA(Q1567:Q1673)=0)),OR(Y1567&gt;=1000000000,AND(COUNTA(C1567:C1673)=0,P$3=TRUE))),
ROUNDDOWN((AB$1-AC$1)*MAX(INDEX(T$4:T1673,MATCH(LARGE(FILTER(Y$4:Y1"&amp;"673,Y$4:Y1673&lt;1000000000),1),Y$4:Y1673)),INDEX(F$4:F1673,MATCH(LARGE(FILTER(K$4:K1673,K$4:K1673&lt;1000000000),1),K$4:K1673)))),AND(K1567&lt;1000000000,COUNTA(C1567:C1673)&gt;0,P$3=FALSE),
ROUNDDOWN(INDEX(Y$4:Y1673,MATCH(LARGE(FILTER(W$4:W1673,W$4:W1673&lt;=I1567),1)"&amp;",W$4:W1673))+(I1567-LARGE(FILTER(W$4:W1673,W$4:W1673&lt;=I1567),1))*INDEX(T$4:T1673,MATCH(LARGE(FILTER(W$4:W1673,W$4:W1673&lt;=I1567),1),W$4:W1673))-K1567),1,
ROUNDDOWN(Y1567-INDEX(K$4:K1673,MATCH(LARGE(FILTER(I$4:I1673,I$4:I1673&lt;=W1567),1),I$4:I1673))-(W1567-L"&amp;"ARGE(FILTER(I$4:I1673,I$4:I1673&lt;=W1567),1))*INDEX(F$4:F1673,MATCH(LARGE(FILTER(I$4:I1673,I$4:I1673&lt;=W1567),1),I$4:I1673))))"),"")</f>
        <v/>
      </c>
      <c r="N1567" s="60" t="str">
        <f t="shared" si="8"/>
        <v/>
      </c>
      <c r="O1567" s="61" t="str">
        <f t="shared" si="9"/>
        <v/>
      </c>
      <c r="P1567" s="56" t="str">
        <f t="shared" si="10"/>
        <v/>
      </c>
      <c r="Q1567" s="67"/>
      <c r="R1567" s="10"/>
      <c r="S1567" s="59" t="str">
        <f t="array" ref="S1567">IF(COUNTA(Q1567:Q1673)=0,"",SUM((COUNTIF(Q$4:Q1567,Upgrades!$B$3:$B$13)-COUNTIF(Q$4:Q1567,"Sell_"&amp;Upgrades!$B$3:$B$13))*Upgrades!$D$3:$D$13))</f>
        <v/>
      </c>
      <c r="T1567" s="66" t="str">
        <f>IFERROR(__xludf.DUMMYFUNCTION("IF(COUNTA(Q1567:Q1673)=0,"""",IF(REGEXMATCH(INDEX(FILTER(Q$4:Q1567,Q$4:Q1567&lt;&gt;""""),ROWS(FILTER(Q$4:Q1567,Q$4:Q1567&lt;&gt;""""))),""^Sell_""),INDEX(FILTER(T$4:T1566,Q$4:Q1566&lt;&gt;""""),ROWS(FILTER(Q$4:Q1566,Q$4:Q1566&lt;&gt;""""))),$AD$5+S1567))"),"")</f>
        <v/>
      </c>
      <c r="U1567" s="10" t="str">
        <f>IFERROR(__xludf.DUMMYFUNCTION("IF(COUNTA(Q1567:Q1673)=0,"""",IF(Q1567="""",0,IF(REGEXMATCH(Q1567,""^Sell_""),-ROUNDDOWN(ROUNDUP(INDEX(Upgrades!$C$3:$C$13,MATCH(SUBSTITUTE(Q1567,""Sell_"",""""),Upgrades!$B$3:$B$13,0))*1.15^(COUNTIF(Q$4:Q1566,SUBSTITUTE(Q1567,""Sell_"",""""))-COUNTIF(Q$4"&amp;":Q1566,""Sell_""&amp;SUBSTITUTE(Q1567,""Sell_"",""""))))/2),ROUNDUP(INDEX(Upgrades!$C$3:$C$13,MATCH(Q1567,Upgrades!$B$3:$B$13,0))*1.15^(COUNTIF(Q$4:Q1566,Q1567)-COUNTIF(Q$4:Q1566,""Sell_""&amp;Q1567))))))"),"")</f>
        <v/>
      </c>
      <c r="V1567" s="10" t="str">
        <f t="shared" si="11"/>
        <v/>
      </c>
      <c r="W1567" s="68" t="str">
        <f t="shared" si="12"/>
        <v/>
      </c>
      <c r="X1567" s="59" t="str">
        <f t="shared" si="13"/>
        <v/>
      </c>
      <c r="Y1567" s="69" t="str">
        <f t="shared" si="14"/>
        <v/>
      </c>
      <c r="Z1567" s="11"/>
    </row>
    <row r="1568">
      <c r="A1568" s="8"/>
      <c r="B1568" s="56" t="str">
        <f t="shared" si="2"/>
        <v/>
      </c>
      <c r="C1568" s="105"/>
      <c r="D1568" s="10"/>
      <c r="E1568" s="59" t="str">
        <f t="array" ref="E1568">IF(COUNTA(C1568:C1673)=0,"",SUM((COUNTIF(C$4:C1568,Upgrades!$B$3:$B$13)-COUNTIF(C$4:C1568,"Sell_"&amp;Upgrades!$B$3:$B$13))*Upgrades!$D$3:$D$13))</f>
        <v/>
      </c>
      <c r="F1568" s="66" t="str">
        <f>IFERROR(__xludf.DUMMYFUNCTION("IF(COUNTA(C1568:C1673)=0,"""",IF(REGEXMATCH(INDEX(FILTER(C$4:C1568,C$4:C1568&lt;&gt;""""),ROWS(FILTER(C$4:C1568,C$4:C1568&lt;&gt;""""))),""^Sell_""),INDEX(FILTER(F$4:F1567,C$4:C1567&lt;&gt;""""),ROWS(FILTER(C$4:C1567,C$4:C1567&lt;&gt;""""))),$AC$5+E1568))"),"")</f>
        <v/>
      </c>
      <c r="G1568" s="10" t="str">
        <f>IFERROR(__xludf.DUMMYFUNCTION("IF(COUNTA(C1568:C1673)=0,"""",IF(C1568="""",0,IF(REGEXMATCH(C1568,""^Sell_""),-ROUNDDOWN(ROUNDUP(INDEX(Upgrades!$C$3:$C$13,MATCH(SUBSTITUTE(C1568,""Sell_"",""""),Upgrades!$B$3:$B$13,0))*1.15^(COUNTIF(C$4:C1567,SUBSTITUTE(C1568,""Sell_"",""""))-COUNTIF(C$4"&amp;":C1567,""Sell_""&amp;SUBSTITUTE(C1568,""Sell_"",""""))))/2),ROUNDUP(INDEX(Upgrades!$C$3:$C$13,MATCH(C1568,Upgrades!$B$3:$B$13,0))*1.15^(COUNTIF(C$4:C1567,C1568)-COUNTIF(C$4:C1567,""Sell_""&amp;C1568))))))"),"")</f>
        <v/>
      </c>
      <c r="H1568" s="10" t="str">
        <f t="shared" si="3"/>
        <v/>
      </c>
      <c r="I1568" s="68" t="str">
        <f t="shared" si="4"/>
        <v/>
      </c>
      <c r="J1568" s="59" t="str">
        <f t="shared" si="5"/>
        <v/>
      </c>
      <c r="K1568" s="69" t="str">
        <f t="shared" si="6"/>
        <v/>
      </c>
      <c r="L1568" s="60" t="str">
        <f t="shared" si="7"/>
        <v/>
      </c>
      <c r="M1568" s="61" t="str">
        <f>IFERROR(__xludf.DUMMYFUNCTION("IFS(AND(COUNTA(C1568:C1673)=0,COUNTA(Q1568:Q1673)=0),"""",OR(AND(K1568&gt;=1000000000,OR(Y1568&gt;=1000000000,COUNTA(Q1568:Q1673)=0)),OR(Y1568&gt;=1000000000,AND(COUNTA(C1568:C1673)=0,P$3=TRUE))),
ROUNDDOWN((AB$1-AC$1)*MAX(INDEX(T$4:T1673,MATCH(LARGE(FILTER(Y$4:Y1"&amp;"673,Y$4:Y1673&lt;1000000000),1),Y$4:Y1673)),INDEX(F$4:F1673,MATCH(LARGE(FILTER(K$4:K1673,K$4:K1673&lt;1000000000),1),K$4:K1673)))),AND(K1568&lt;1000000000,COUNTA(C1568:C1673)&gt;0,P$3=FALSE),
ROUNDDOWN(INDEX(Y$4:Y1673,MATCH(LARGE(FILTER(W$4:W1673,W$4:W1673&lt;=I1568),1)"&amp;",W$4:W1673))+(I1568-LARGE(FILTER(W$4:W1673,W$4:W1673&lt;=I1568),1))*INDEX(T$4:T1673,MATCH(LARGE(FILTER(W$4:W1673,W$4:W1673&lt;=I1568),1),W$4:W1673))-K1568),1,
ROUNDDOWN(Y1568-INDEX(K$4:K1673,MATCH(LARGE(FILTER(I$4:I1673,I$4:I1673&lt;=W1568),1),I$4:I1673))-(W1568-L"&amp;"ARGE(FILTER(I$4:I1673,I$4:I1673&lt;=W1568),1))*INDEX(F$4:F1673,MATCH(LARGE(FILTER(I$4:I1673,I$4:I1673&lt;=W1568),1),I$4:I1673))))"),"")</f>
        <v/>
      </c>
      <c r="N1568" s="60" t="str">
        <f t="shared" si="8"/>
        <v/>
      </c>
      <c r="O1568" s="61" t="str">
        <f t="shared" si="9"/>
        <v/>
      </c>
      <c r="P1568" s="56" t="str">
        <f t="shared" si="10"/>
        <v/>
      </c>
      <c r="Q1568" s="67"/>
      <c r="R1568" s="10"/>
      <c r="S1568" s="59" t="str">
        <f t="array" ref="S1568">IF(COUNTA(Q1568:Q1673)=0,"",SUM((COUNTIF(Q$4:Q1568,Upgrades!$B$3:$B$13)-COUNTIF(Q$4:Q1568,"Sell_"&amp;Upgrades!$B$3:$B$13))*Upgrades!$D$3:$D$13))</f>
        <v/>
      </c>
      <c r="T1568" s="66" t="str">
        <f>IFERROR(__xludf.DUMMYFUNCTION("IF(COUNTA(Q1568:Q1673)=0,"""",IF(REGEXMATCH(INDEX(FILTER(Q$4:Q1568,Q$4:Q1568&lt;&gt;""""),ROWS(FILTER(Q$4:Q1568,Q$4:Q1568&lt;&gt;""""))),""^Sell_""),INDEX(FILTER(T$4:T1567,Q$4:Q1567&lt;&gt;""""),ROWS(FILTER(Q$4:Q1567,Q$4:Q1567&lt;&gt;""""))),$AD$5+S1568))"),"")</f>
        <v/>
      </c>
      <c r="U1568" s="10" t="str">
        <f>IFERROR(__xludf.DUMMYFUNCTION("IF(COUNTA(Q1568:Q1673)=0,"""",IF(Q1568="""",0,IF(REGEXMATCH(Q1568,""^Sell_""),-ROUNDDOWN(ROUNDUP(INDEX(Upgrades!$C$3:$C$13,MATCH(SUBSTITUTE(Q1568,""Sell_"",""""),Upgrades!$B$3:$B$13,0))*1.15^(COUNTIF(Q$4:Q1567,SUBSTITUTE(Q1568,""Sell_"",""""))-COUNTIF(Q$4"&amp;":Q1567,""Sell_""&amp;SUBSTITUTE(Q1568,""Sell_"",""""))))/2),ROUNDUP(INDEX(Upgrades!$C$3:$C$13,MATCH(Q1568,Upgrades!$B$3:$B$13,0))*1.15^(COUNTIF(Q$4:Q1567,Q1568)-COUNTIF(Q$4:Q1567,""Sell_""&amp;Q1568))))))"),"")</f>
        <v/>
      </c>
      <c r="V1568" s="10" t="str">
        <f t="shared" si="11"/>
        <v/>
      </c>
      <c r="W1568" s="68" t="str">
        <f t="shared" si="12"/>
        <v/>
      </c>
      <c r="X1568" s="59" t="str">
        <f t="shared" si="13"/>
        <v/>
      </c>
      <c r="Y1568" s="69" t="str">
        <f t="shared" si="14"/>
        <v/>
      </c>
      <c r="Z1568" s="11"/>
    </row>
    <row r="1569">
      <c r="A1569" s="8"/>
      <c r="B1569" s="56" t="str">
        <f t="shared" si="2"/>
        <v/>
      </c>
      <c r="C1569" s="105"/>
      <c r="D1569" s="10"/>
      <c r="E1569" s="59" t="str">
        <f t="array" ref="E1569">IF(COUNTA(C1569:C1673)=0,"",SUM((COUNTIF(C$4:C1569,Upgrades!$B$3:$B$13)-COUNTIF(C$4:C1569,"Sell_"&amp;Upgrades!$B$3:$B$13))*Upgrades!$D$3:$D$13))</f>
        <v/>
      </c>
      <c r="F1569" s="66" t="str">
        <f>IFERROR(__xludf.DUMMYFUNCTION("IF(COUNTA(C1569:C1673)=0,"""",IF(REGEXMATCH(INDEX(FILTER(C$4:C1569,C$4:C1569&lt;&gt;""""),ROWS(FILTER(C$4:C1569,C$4:C1569&lt;&gt;""""))),""^Sell_""),INDEX(FILTER(F$4:F1568,C$4:C1568&lt;&gt;""""),ROWS(FILTER(C$4:C1568,C$4:C1568&lt;&gt;""""))),$AC$5+E1569))"),"")</f>
        <v/>
      </c>
      <c r="G1569" s="10" t="str">
        <f>IFERROR(__xludf.DUMMYFUNCTION("IF(COUNTA(C1569:C1673)=0,"""",IF(C1569="""",0,IF(REGEXMATCH(C1569,""^Sell_""),-ROUNDDOWN(ROUNDUP(INDEX(Upgrades!$C$3:$C$13,MATCH(SUBSTITUTE(C1569,""Sell_"",""""),Upgrades!$B$3:$B$13,0))*1.15^(COUNTIF(C$4:C1568,SUBSTITUTE(C1569,""Sell_"",""""))-COUNTIF(C$4"&amp;":C1568,""Sell_""&amp;SUBSTITUTE(C1569,""Sell_"",""""))))/2),ROUNDUP(INDEX(Upgrades!$C$3:$C$13,MATCH(C1569,Upgrades!$B$3:$B$13,0))*1.15^(COUNTIF(C$4:C1568,C1569)-COUNTIF(C$4:C1568,""Sell_""&amp;C1569))))))"),"")</f>
        <v/>
      </c>
      <c r="H1569" s="10" t="str">
        <f t="shared" si="3"/>
        <v/>
      </c>
      <c r="I1569" s="68" t="str">
        <f t="shared" si="4"/>
        <v/>
      </c>
      <c r="J1569" s="59" t="str">
        <f t="shared" si="5"/>
        <v/>
      </c>
      <c r="K1569" s="69" t="str">
        <f t="shared" si="6"/>
        <v/>
      </c>
      <c r="L1569" s="60" t="str">
        <f t="shared" si="7"/>
        <v/>
      </c>
      <c r="M1569" s="61" t="str">
        <f>IFERROR(__xludf.DUMMYFUNCTION("IFS(AND(COUNTA(C1569:C1673)=0,COUNTA(Q1569:Q1673)=0),"""",OR(AND(K1569&gt;=1000000000,OR(Y1569&gt;=1000000000,COUNTA(Q1569:Q1673)=0)),OR(Y1569&gt;=1000000000,AND(COUNTA(C1569:C1673)=0,P$3=TRUE))),
ROUNDDOWN((AB$1-AC$1)*MAX(INDEX(T$4:T1673,MATCH(LARGE(FILTER(Y$4:Y1"&amp;"673,Y$4:Y1673&lt;1000000000),1),Y$4:Y1673)),INDEX(F$4:F1673,MATCH(LARGE(FILTER(K$4:K1673,K$4:K1673&lt;1000000000),1),K$4:K1673)))),AND(K1569&lt;1000000000,COUNTA(C1569:C1673)&gt;0,P$3=FALSE),
ROUNDDOWN(INDEX(Y$4:Y1673,MATCH(LARGE(FILTER(W$4:W1673,W$4:W1673&lt;=I1569),1)"&amp;",W$4:W1673))+(I1569-LARGE(FILTER(W$4:W1673,W$4:W1673&lt;=I1569),1))*INDEX(T$4:T1673,MATCH(LARGE(FILTER(W$4:W1673,W$4:W1673&lt;=I1569),1),W$4:W1673))-K1569),1,
ROUNDDOWN(Y1569-INDEX(K$4:K1673,MATCH(LARGE(FILTER(I$4:I1673,I$4:I1673&lt;=W1569),1),I$4:I1673))-(W1569-L"&amp;"ARGE(FILTER(I$4:I1673,I$4:I1673&lt;=W1569),1))*INDEX(F$4:F1673,MATCH(LARGE(FILTER(I$4:I1673,I$4:I1673&lt;=W1569),1),I$4:I1673))))"),"")</f>
        <v/>
      </c>
      <c r="N1569" s="60" t="str">
        <f t="shared" si="8"/>
        <v/>
      </c>
      <c r="O1569" s="61" t="str">
        <f t="shared" si="9"/>
        <v/>
      </c>
      <c r="P1569" s="56" t="str">
        <f t="shared" si="10"/>
        <v/>
      </c>
      <c r="Q1569" s="67"/>
      <c r="R1569" s="10"/>
      <c r="S1569" s="59" t="str">
        <f t="array" ref="S1569">IF(COUNTA(Q1569:Q1673)=0,"",SUM((COUNTIF(Q$4:Q1569,Upgrades!$B$3:$B$13)-COUNTIF(Q$4:Q1569,"Sell_"&amp;Upgrades!$B$3:$B$13))*Upgrades!$D$3:$D$13))</f>
        <v/>
      </c>
      <c r="T1569" s="66" t="str">
        <f>IFERROR(__xludf.DUMMYFUNCTION("IF(COUNTA(Q1569:Q1673)=0,"""",IF(REGEXMATCH(INDEX(FILTER(Q$4:Q1569,Q$4:Q1569&lt;&gt;""""),ROWS(FILTER(Q$4:Q1569,Q$4:Q1569&lt;&gt;""""))),""^Sell_""),INDEX(FILTER(T$4:T1568,Q$4:Q1568&lt;&gt;""""),ROWS(FILTER(Q$4:Q1568,Q$4:Q1568&lt;&gt;""""))),$AD$5+S1569))"),"")</f>
        <v/>
      </c>
      <c r="U1569" s="10" t="str">
        <f>IFERROR(__xludf.DUMMYFUNCTION("IF(COUNTA(Q1569:Q1673)=0,"""",IF(Q1569="""",0,IF(REGEXMATCH(Q1569,""^Sell_""),-ROUNDDOWN(ROUNDUP(INDEX(Upgrades!$C$3:$C$13,MATCH(SUBSTITUTE(Q1569,""Sell_"",""""),Upgrades!$B$3:$B$13,0))*1.15^(COUNTIF(Q$4:Q1568,SUBSTITUTE(Q1569,""Sell_"",""""))-COUNTIF(Q$4"&amp;":Q1568,""Sell_""&amp;SUBSTITUTE(Q1569,""Sell_"",""""))))/2),ROUNDUP(INDEX(Upgrades!$C$3:$C$13,MATCH(Q1569,Upgrades!$B$3:$B$13,0))*1.15^(COUNTIF(Q$4:Q1568,Q1569)-COUNTIF(Q$4:Q1568,""Sell_""&amp;Q1569))))))"),"")</f>
        <v/>
      </c>
      <c r="V1569" s="10" t="str">
        <f t="shared" si="11"/>
        <v/>
      </c>
      <c r="W1569" s="68" t="str">
        <f t="shared" si="12"/>
        <v/>
      </c>
      <c r="X1569" s="59" t="str">
        <f t="shared" si="13"/>
        <v/>
      </c>
      <c r="Y1569" s="69" t="str">
        <f t="shared" si="14"/>
        <v/>
      </c>
      <c r="Z1569" s="11"/>
    </row>
    <row r="1570">
      <c r="A1570" s="8"/>
      <c r="B1570" s="56" t="str">
        <f t="shared" si="2"/>
        <v/>
      </c>
      <c r="C1570" s="105"/>
      <c r="D1570" s="10"/>
      <c r="E1570" s="59" t="str">
        <f t="array" ref="E1570">IF(COUNTA(C1570:C1673)=0,"",SUM((COUNTIF(C$4:C1570,Upgrades!$B$3:$B$13)-COUNTIF(C$4:C1570,"Sell_"&amp;Upgrades!$B$3:$B$13))*Upgrades!$D$3:$D$13))</f>
        <v/>
      </c>
      <c r="F1570" s="66" t="str">
        <f>IFERROR(__xludf.DUMMYFUNCTION("IF(COUNTA(C1570:C1673)=0,"""",IF(REGEXMATCH(INDEX(FILTER(C$4:C1570,C$4:C1570&lt;&gt;""""),ROWS(FILTER(C$4:C1570,C$4:C1570&lt;&gt;""""))),""^Sell_""),INDEX(FILTER(F$4:F1569,C$4:C1569&lt;&gt;""""),ROWS(FILTER(C$4:C1569,C$4:C1569&lt;&gt;""""))),$AC$5+E1570))"),"")</f>
        <v/>
      </c>
      <c r="G1570" s="10" t="str">
        <f>IFERROR(__xludf.DUMMYFUNCTION("IF(COUNTA(C1570:C1673)=0,"""",IF(C1570="""",0,IF(REGEXMATCH(C1570,""^Sell_""),-ROUNDDOWN(ROUNDUP(INDEX(Upgrades!$C$3:$C$13,MATCH(SUBSTITUTE(C1570,""Sell_"",""""),Upgrades!$B$3:$B$13,0))*1.15^(COUNTIF(C$4:C1569,SUBSTITUTE(C1570,""Sell_"",""""))-COUNTIF(C$4"&amp;":C1569,""Sell_""&amp;SUBSTITUTE(C1570,""Sell_"",""""))))/2),ROUNDUP(INDEX(Upgrades!$C$3:$C$13,MATCH(C1570,Upgrades!$B$3:$B$13,0))*1.15^(COUNTIF(C$4:C1569,C1570)-COUNTIF(C$4:C1569,""Sell_""&amp;C1570))))))"),"")</f>
        <v/>
      </c>
      <c r="H1570" s="10" t="str">
        <f t="shared" si="3"/>
        <v/>
      </c>
      <c r="I1570" s="68" t="str">
        <f t="shared" si="4"/>
        <v/>
      </c>
      <c r="J1570" s="59" t="str">
        <f t="shared" si="5"/>
        <v/>
      </c>
      <c r="K1570" s="69" t="str">
        <f t="shared" si="6"/>
        <v/>
      </c>
      <c r="L1570" s="60" t="str">
        <f t="shared" si="7"/>
        <v/>
      </c>
      <c r="M1570" s="61" t="str">
        <f>IFERROR(__xludf.DUMMYFUNCTION("IFS(AND(COUNTA(C1570:C1673)=0,COUNTA(Q1570:Q1673)=0),"""",OR(AND(K1570&gt;=1000000000,OR(Y1570&gt;=1000000000,COUNTA(Q1570:Q1673)=0)),OR(Y1570&gt;=1000000000,AND(COUNTA(C1570:C1673)=0,P$3=TRUE))),
ROUNDDOWN((AB$1-AC$1)*MAX(INDEX(T$4:T1673,MATCH(LARGE(FILTER(Y$4:Y1"&amp;"673,Y$4:Y1673&lt;1000000000),1),Y$4:Y1673)),INDEX(F$4:F1673,MATCH(LARGE(FILTER(K$4:K1673,K$4:K1673&lt;1000000000),1),K$4:K1673)))),AND(K1570&lt;1000000000,COUNTA(C1570:C1673)&gt;0,P$3=FALSE),
ROUNDDOWN(INDEX(Y$4:Y1673,MATCH(LARGE(FILTER(W$4:W1673,W$4:W1673&lt;=I1570),1)"&amp;",W$4:W1673))+(I1570-LARGE(FILTER(W$4:W1673,W$4:W1673&lt;=I1570),1))*INDEX(T$4:T1673,MATCH(LARGE(FILTER(W$4:W1673,W$4:W1673&lt;=I1570),1),W$4:W1673))-K1570),1,
ROUNDDOWN(Y1570-INDEX(K$4:K1673,MATCH(LARGE(FILTER(I$4:I1673,I$4:I1673&lt;=W1570),1),I$4:I1673))-(W1570-L"&amp;"ARGE(FILTER(I$4:I1673,I$4:I1673&lt;=W1570),1))*INDEX(F$4:F1673,MATCH(LARGE(FILTER(I$4:I1673,I$4:I1673&lt;=W1570),1),I$4:I1673))))"),"")</f>
        <v/>
      </c>
      <c r="N1570" s="60" t="str">
        <f t="shared" si="8"/>
        <v/>
      </c>
      <c r="O1570" s="61" t="str">
        <f t="shared" si="9"/>
        <v/>
      </c>
      <c r="P1570" s="56" t="str">
        <f t="shared" si="10"/>
        <v/>
      </c>
      <c r="Q1570" s="67"/>
      <c r="R1570" s="10"/>
      <c r="S1570" s="59" t="str">
        <f t="array" ref="S1570">IF(COUNTA(Q1570:Q1673)=0,"",SUM((COUNTIF(Q$4:Q1570,Upgrades!$B$3:$B$13)-COUNTIF(Q$4:Q1570,"Sell_"&amp;Upgrades!$B$3:$B$13))*Upgrades!$D$3:$D$13))</f>
        <v/>
      </c>
      <c r="T1570" s="66" t="str">
        <f>IFERROR(__xludf.DUMMYFUNCTION("IF(COUNTA(Q1570:Q1673)=0,"""",IF(REGEXMATCH(INDEX(FILTER(Q$4:Q1570,Q$4:Q1570&lt;&gt;""""),ROWS(FILTER(Q$4:Q1570,Q$4:Q1570&lt;&gt;""""))),""^Sell_""),INDEX(FILTER(T$4:T1569,Q$4:Q1569&lt;&gt;""""),ROWS(FILTER(Q$4:Q1569,Q$4:Q1569&lt;&gt;""""))),$AD$5+S1570))"),"")</f>
        <v/>
      </c>
      <c r="U1570" s="10" t="str">
        <f>IFERROR(__xludf.DUMMYFUNCTION("IF(COUNTA(Q1570:Q1673)=0,"""",IF(Q1570="""",0,IF(REGEXMATCH(Q1570,""^Sell_""),-ROUNDDOWN(ROUNDUP(INDEX(Upgrades!$C$3:$C$13,MATCH(SUBSTITUTE(Q1570,""Sell_"",""""),Upgrades!$B$3:$B$13,0))*1.15^(COUNTIF(Q$4:Q1569,SUBSTITUTE(Q1570,""Sell_"",""""))-COUNTIF(Q$4"&amp;":Q1569,""Sell_""&amp;SUBSTITUTE(Q1570,""Sell_"",""""))))/2),ROUNDUP(INDEX(Upgrades!$C$3:$C$13,MATCH(Q1570,Upgrades!$B$3:$B$13,0))*1.15^(COUNTIF(Q$4:Q1569,Q1570)-COUNTIF(Q$4:Q1569,""Sell_""&amp;Q1570))))))"),"")</f>
        <v/>
      </c>
      <c r="V1570" s="10" t="str">
        <f t="shared" si="11"/>
        <v/>
      </c>
      <c r="W1570" s="68" t="str">
        <f t="shared" si="12"/>
        <v/>
      </c>
      <c r="X1570" s="59" t="str">
        <f t="shared" si="13"/>
        <v/>
      </c>
      <c r="Y1570" s="69" t="str">
        <f t="shared" si="14"/>
        <v/>
      </c>
      <c r="Z1570" s="11"/>
    </row>
    <row r="1571">
      <c r="A1571" s="8"/>
      <c r="B1571" s="56" t="str">
        <f t="shared" si="2"/>
        <v/>
      </c>
      <c r="C1571" s="105"/>
      <c r="D1571" s="10"/>
      <c r="E1571" s="59" t="str">
        <f t="array" ref="E1571">IF(COUNTA(C1571:C1673)=0,"",SUM((COUNTIF(C$4:C1571,Upgrades!$B$3:$B$13)-COUNTIF(C$4:C1571,"Sell_"&amp;Upgrades!$B$3:$B$13))*Upgrades!$D$3:$D$13))</f>
        <v/>
      </c>
      <c r="F1571" s="66" t="str">
        <f>IFERROR(__xludf.DUMMYFUNCTION("IF(COUNTA(C1571:C1673)=0,"""",IF(REGEXMATCH(INDEX(FILTER(C$4:C1571,C$4:C1571&lt;&gt;""""),ROWS(FILTER(C$4:C1571,C$4:C1571&lt;&gt;""""))),""^Sell_""),INDEX(FILTER(F$4:F1570,C$4:C1570&lt;&gt;""""),ROWS(FILTER(C$4:C1570,C$4:C1570&lt;&gt;""""))),$AC$5+E1571))"),"")</f>
        <v/>
      </c>
      <c r="G1571" s="10" t="str">
        <f>IFERROR(__xludf.DUMMYFUNCTION("IF(COUNTA(C1571:C1673)=0,"""",IF(C1571="""",0,IF(REGEXMATCH(C1571,""^Sell_""),-ROUNDDOWN(ROUNDUP(INDEX(Upgrades!$C$3:$C$13,MATCH(SUBSTITUTE(C1571,""Sell_"",""""),Upgrades!$B$3:$B$13,0))*1.15^(COUNTIF(C$4:C1570,SUBSTITUTE(C1571,""Sell_"",""""))-COUNTIF(C$4"&amp;":C1570,""Sell_""&amp;SUBSTITUTE(C1571,""Sell_"",""""))))/2),ROUNDUP(INDEX(Upgrades!$C$3:$C$13,MATCH(C1571,Upgrades!$B$3:$B$13,0))*1.15^(COUNTIF(C$4:C1570,C1571)-COUNTIF(C$4:C1570,""Sell_""&amp;C1571))))))"),"")</f>
        <v/>
      </c>
      <c r="H1571" s="10" t="str">
        <f t="shared" si="3"/>
        <v/>
      </c>
      <c r="I1571" s="68" t="str">
        <f t="shared" si="4"/>
        <v/>
      </c>
      <c r="J1571" s="59" t="str">
        <f t="shared" si="5"/>
        <v/>
      </c>
      <c r="K1571" s="69" t="str">
        <f t="shared" si="6"/>
        <v/>
      </c>
      <c r="L1571" s="60" t="str">
        <f t="shared" si="7"/>
        <v/>
      </c>
      <c r="M1571" s="61" t="str">
        <f>IFERROR(__xludf.DUMMYFUNCTION("IFS(AND(COUNTA(C1571:C1673)=0,COUNTA(Q1571:Q1673)=0),"""",OR(AND(K1571&gt;=1000000000,OR(Y1571&gt;=1000000000,COUNTA(Q1571:Q1673)=0)),OR(Y1571&gt;=1000000000,AND(COUNTA(C1571:C1673)=0,P$3=TRUE))),
ROUNDDOWN((AB$1-AC$1)*MAX(INDEX(T$4:T1673,MATCH(LARGE(FILTER(Y$4:Y1"&amp;"673,Y$4:Y1673&lt;1000000000),1),Y$4:Y1673)),INDEX(F$4:F1673,MATCH(LARGE(FILTER(K$4:K1673,K$4:K1673&lt;1000000000),1),K$4:K1673)))),AND(K1571&lt;1000000000,COUNTA(C1571:C1673)&gt;0,P$3=FALSE),
ROUNDDOWN(INDEX(Y$4:Y1673,MATCH(LARGE(FILTER(W$4:W1673,W$4:W1673&lt;=I1571),1)"&amp;",W$4:W1673))+(I1571-LARGE(FILTER(W$4:W1673,W$4:W1673&lt;=I1571),1))*INDEX(T$4:T1673,MATCH(LARGE(FILTER(W$4:W1673,W$4:W1673&lt;=I1571),1),W$4:W1673))-K1571),1,
ROUNDDOWN(Y1571-INDEX(K$4:K1673,MATCH(LARGE(FILTER(I$4:I1673,I$4:I1673&lt;=W1571),1),I$4:I1673))-(W1571-L"&amp;"ARGE(FILTER(I$4:I1673,I$4:I1673&lt;=W1571),1))*INDEX(F$4:F1673,MATCH(LARGE(FILTER(I$4:I1673,I$4:I1673&lt;=W1571),1),I$4:I1673))))"),"")</f>
        <v/>
      </c>
      <c r="N1571" s="60" t="str">
        <f t="shared" si="8"/>
        <v/>
      </c>
      <c r="O1571" s="61" t="str">
        <f t="shared" si="9"/>
        <v/>
      </c>
      <c r="P1571" s="56" t="str">
        <f t="shared" si="10"/>
        <v/>
      </c>
      <c r="Q1571" s="67"/>
      <c r="R1571" s="10"/>
      <c r="S1571" s="59" t="str">
        <f t="array" ref="S1571">IF(COUNTA(Q1571:Q1673)=0,"",SUM((COUNTIF(Q$4:Q1571,Upgrades!$B$3:$B$13)-COUNTIF(Q$4:Q1571,"Sell_"&amp;Upgrades!$B$3:$B$13))*Upgrades!$D$3:$D$13))</f>
        <v/>
      </c>
      <c r="T1571" s="66" t="str">
        <f>IFERROR(__xludf.DUMMYFUNCTION("IF(COUNTA(Q1571:Q1673)=0,"""",IF(REGEXMATCH(INDEX(FILTER(Q$4:Q1571,Q$4:Q1571&lt;&gt;""""),ROWS(FILTER(Q$4:Q1571,Q$4:Q1571&lt;&gt;""""))),""^Sell_""),INDEX(FILTER(T$4:T1570,Q$4:Q1570&lt;&gt;""""),ROWS(FILTER(Q$4:Q1570,Q$4:Q1570&lt;&gt;""""))),$AD$5+S1571))"),"")</f>
        <v/>
      </c>
      <c r="U1571" s="10" t="str">
        <f>IFERROR(__xludf.DUMMYFUNCTION("IF(COUNTA(Q1571:Q1673)=0,"""",IF(Q1571="""",0,IF(REGEXMATCH(Q1571,""^Sell_""),-ROUNDDOWN(ROUNDUP(INDEX(Upgrades!$C$3:$C$13,MATCH(SUBSTITUTE(Q1571,""Sell_"",""""),Upgrades!$B$3:$B$13,0))*1.15^(COUNTIF(Q$4:Q1570,SUBSTITUTE(Q1571,""Sell_"",""""))-COUNTIF(Q$4"&amp;":Q1570,""Sell_""&amp;SUBSTITUTE(Q1571,""Sell_"",""""))))/2),ROUNDUP(INDEX(Upgrades!$C$3:$C$13,MATCH(Q1571,Upgrades!$B$3:$B$13,0))*1.15^(COUNTIF(Q$4:Q1570,Q1571)-COUNTIF(Q$4:Q1570,""Sell_""&amp;Q1571))))))"),"")</f>
        <v/>
      </c>
      <c r="V1571" s="10" t="str">
        <f t="shared" si="11"/>
        <v/>
      </c>
      <c r="W1571" s="68" t="str">
        <f t="shared" si="12"/>
        <v/>
      </c>
      <c r="X1571" s="59" t="str">
        <f t="shared" si="13"/>
        <v/>
      </c>
      <c r="Y1571" s="69" t="str">
        <f t="shared" si="14"/>
        <v/>
      </c>
      <c r="Z1571" s="11"/>
    </row>
    <row r="1572">
      <c r="A1572" s="8"/>
      <c r="B1572" s="56" t="str">
        <f t="shared" si="2"/>
        <v/>
      </c>
      <c r="C1572" s="105"/>
      <c r="D1572" s="10"/>
      <c r="E1572" s="59" t="str">
        <f t="array" ref="E1572">IF(COUNTA(C1572:C1673)=0,"",SUM((COUNTIF(C$4:C1572,Upgrades!$B$3:$B$13)-COUNTIF(C$4:C1572,"Sell_"&amp;Upgrades!$B$3:$B$13))*Upgrades!$D$3:$D$13))</f>
        <v/>
      </c>
      <c r="F1572" s="66" t="str">
        <f>IFERROR(__xludf.DUMMYFUNCTION("IF(COUNTA(C1572:C1673)=0,"""",IF(REGEXMATCH(INDEX(FILTER(C$4:C1572,C$4:C1572&lt;&gt;""""),ROWS(FILTER(C$4:C1572,C$4:C1572&lt;&gt;""""))),""^Sell_""),INDEX(FILTER(F$4:F1571,C$4:C1571&lt;&gt;""""),ROWS(FILTER(C$4:C1571,C$4:C1571&lt;&gt;""""))),$AC$5+E1572))"),"")</f>
        <v/>
      </c>
      <c r="G1572" s="10" t="str">
        <f>IFERROR(__xludf.DUMMYFUNCTION("IF(COUNTA(C1572:C1673)=0,"""",IF(C1572="""",0,IF(REGEXMATCH(C1572,""^Sell_""),-ROUNDDOWN(ROUNDUP(INDEX(Upgrades!$C$3:$C$13,MATCH(SUBSTITUTE(C1572,""Sell_"",""""),Upgrades!$B$3:$B$13,0))*1.15^(COUNTIF(C$4:C1571,SUBSTITUTE(C1572,""Sell_"",""""))-COUNTIF(C$4"&amp;":C1571,""Sell_""&amp;SUBSTITUTE(C1572,""Sell_"",""""))))/2),ROUNDUP(INDEX(Upgrades!$C$3:$C$13,MATCH(C1572,Upgrades!$B$3:$B$13,0))*1.15^(COUNTIF(C$4:C1571,C1572)-COUNTIF(C$4:C1571,""Sell_""&amp;C1572))))))"),"")</f>
        <v/>
      </c>
      <c r="H1572" s="10" t="str">
        <f t="shared" si="3"/>
        <v/>
      </c>
      <c r="I1572" s="68" t="str">
        <f t="shared" si="4"/>
        <v/>
      </c>
      <c r="J1572" s="59" t="str">
        <f t="shared" si="5"/>
        <v/>
      </c>
      <c r="K1572" s="69" t="str">
        <f t="shared" si="6"/>
        <v/>
      </c>
      <c r="L1572" s="60" t="str">
        <f t="shared" si="7"/>
        <v/>
      </c>
      <c r="M1572" s="61" t="str">
        <f>IFERROR(__xludf.DUMMYFUNCTION("IFS(AND(COUNTA(C1572:C1673)=0,COUNTA(Q1572:Q1673)=0),"""",OR(AND(K1572&gt;=1000000000,OR(Y1572&gt;=1000000000,COUNTA(Q1572:Q1673)=0)),OR(Y1572&gt;=1000000000,AND(COUNTA(C1572:C1673)=0,P$3=TRUE))),
ROUNDDOWN((AB$1-AC$1)*MAX(INDEX(T$4:T1673,MATCH(LARGE(FILTER(Y$4:Y1"&amp;"673,Y$4:Y1673&lt;1000000000),1),Y$4:Y1673)),INDEX(F$4:F1673,MATCH(LARGE(FILTER(K$4:K1673,K$4:K1673&lt;1000000000),1),K$4:K1673)))),AND(K1572&lt;1000000000,COUNTA(C1572:C1673)&gt;0,P$3=FALSE),
ROUNDDOWN(INDEX(Y$4:Y1673,MATCH(LARGE(FILTER(W$4:W1673,W$4:W1673&lt;=I1572),1)"&amp;",W$4:W1673))+(I1572-LARGE(FILTER(W$4:W1673,W$4:W1673&lt;=I1572),1))*INDEX(T$4:T1673,MATCH(LARGE(FILTER(W$4:W1673,W$4:W1673&lt;=I1572),1),W$4:W1673))-K1572),1,
ROUNDDOWN(Y1572-INDEX(K$4:K1673,MATCH(LARGE(FILTER(I$4:I1673,I$4:I1673&lt;=W1572),1),I$4:I1673))-(W1572-L"&amp;"ARGE(FILTER(I$4:I1673,I$4:I1673&lt;=W1572),1))*INDEX(F$4:F1673,MATCH(LARGE(FILTER(I$4:I1673,I$4:I1673&lt;=W1572),1),I$4:I1673))))"),"")</f>
        <v/>
      </c>
      <c r="N1572" s="60" t="str">
        <f t="shared" si="8"/>
        <v/>
      </c>
      <c r="O1572" s="61" t="str">
        <f t="shared" si="9"/>
        <v/>
      </c>
      <c r="P1572" s="56" t="str">
        <f t="shared" si="10"/>
        <v/>
      </c>
      <c r="Q1572" s="67"/>
      <c r="R1572" s="10"/>
      <c r="S1572" s="59" t="str">
        <f t="array" ref="S1572">IF(COUNTA(Q1572:Q1673)=0,"",SUM((COUNTIF(Q$4:Q1572,Upgrades!$B$3:$B$13)-COUNTIF(Q$4:Q1572,"Sell_"&amp;Upgrades!$B$3:$B$13))*Upgrades!$D$3:$D$13))</f>
        <v/>
      </c>
      <c r="T1572" s="66" t="str">
        <f>IFERROR(__xludf.DUMMYFUNCTION("IF(COUNTA(Q1572:Q1673)=0,"""",IF(REGEXMATCH(INDEX(FILTER(Q$4:Q1572,Q$4:Q1572&lt;&gt;""""),ROWS(FILTER(Q$4:Q1572,Q$4:Q1572&lt;&gt;""""))),""^Sell_""),INDEX(FILTER(T$4:T1571,Q$4:Q1571&lt;&gt;""""),ROWS(FILTER(Q$4:Q1571,Q$4:Q1571&lt;&gt;""""))),$AD$5+S1572))"),"")</f>
        <v/>
      </c>
      <c r="U1572" s="10" t="str">
        <f>IFERROR(__xludf.DUMMYFUNCTION("IF(COUNTA(Q1572:Q1673)=0,"""",IF(Q1572="""",0,IF(REGEXMATCH(Q1572,""^Sell_""),-ROUNDDOWN(ROUNDUP(INDEX(Upgrades!$C$3:$C$13,MATCH(SUBSTITUTE(Q1572,""Sell_"",""""),Upgrades!$B$3:$B$13,0))*1.15^(COUNTIF(Q$4:Q1571,SUBSTITUTE(Q1572,""Sell_"",""""))-COUNTIF(Q$4"&amp;":Q1571,""Sell_""&amp;SUBSTITUTE(Q1572,""Sell_"",""""))))/2),ROUNDUP(INDEX(Upgrades!$C$3:$C$13,MATCH(Q1572,Upgrades!$B$3:$B$13,0))*1.15^(COUNTIF(Q$4:Q1571,Q1572)-COUNTIF(Q$4:Q1571,""Sell_""&amp;Q1572))))))"),"")</f>
        <v/>
      </c>
      <c r="V1572" s="10" t="str">
        <f t="shared" si="11"/>
        <v/>
      </c>
      <c r="W1572" s="68" t="str">
        <f t="shared" si="12"/>
        <v/>
      </c>
      <c r="X1572" s="59" t="str">
        <f t="shared" si="13"/>
        <v/>
      </c>
      <c r="Y1572" s="69" t="str">
        <f t="shared" si="14"/>
        <v/>
      </c>
      <c r="Z1572" s="11"/>
    </row>
    <row r="1573">
      <c r="A1573" s="8"/>
      <c r="B1573" s="56" t="str">
        <f t="shared" si="2"/>
        <v/>
      </c>
      <c r="C1573" s="105"/>
      <c r="D1573" s="10"/>
      <c r="E1573" s="59" t="str">
        <f t="array" ref="E1573">IF(COUNTA(C1573:C1673)=0,"",SUM((COUNTIF(C$4:C1573,Upgrades!$B$3:$B$13)-COUNTIF(C$4:C1573,"Sell_"&amp;Upgrades!$B$3:$B$13))*Upgrades!$D$3:$D$13))</f>
        <v/>
      </c>
      <c r="F1573" s="66" t="str">
        <f>IFERROR(__xludf.DUMMYFUNCTION("IF(COUNTA(C1573:C1673)=0,"""",IF(REGEXMATCH(INDEX(FILTER(C$4:C1573,C$4:C1573&lt;&gt;""""),ROWS(FILTER(C$4:C1573,C$4:C1573&lt;&gt;""""))),""^Sell_""),INDEX(FILTER(F$4:F1572,C$4:C1572&lt;&gt;""""),ROWS(FILTER(C$4:C1572,C$4:C1572&lt;&gt;""""))),$AC$5+E1573))"),"")</f>
        <v/>
      </c>
      <c r="G1573" s="10" t="str">
        <f>IFERROR(__xludf.DUMMYFUNCTION("IF(COUNTA(C1573:C1673)=0,"""",IF(C1573="""",0,IF(REGEXMATCH(C1573,""^Sell_""),-ROUNDDOWN(ROUNDUP(INDEX(Upgrades!$C$3:$C$13,MATCH(SUBSTITUTE(C1573,""Sell_"",""""),Upgrades!$B$3:$B$13,0))*1.15^(COUNTIF(C$4:C1572,SUBSTITUTE(C1573,""Sell_"",""""))-COUNTIF(C$4"&amp;":C1572,""Sell_""&amp;SUBSTITUTE(C1573,""Sell_"",""""))))/2),ROUNDUP(INDEX(Upgrades!$C$3:$C$13,MATCH(C1573,Upgrades!$B$3:$B$13,0))*1.15^(COUNTIF(C$4:C1572,C1573)-COUNTIF(C$4:C1572,""Sell_""&amp;C1573))))))"),"")</f>
        <v/>
      </c>
      <c r="H1573" s="10" t="str">
        <f t="shared" si="3"/>
        <v/>
      </c>
      <c r="I1573" s="68" t="str">
        <f t="shared" si="4"/>
        <v/>
      </c>
      <c r="J1573" s="59" t="str">
        <f t="shared" si="5"/>
        <v/>
      </c>
      <c r="K1573" s="69" t="str">
        <f t="shared" si="6"/>
        <v/>
      </c>
      <c r="L1573" s="60" t="str">
        <f t="shared" si="7"/>
        <v/>
      </c>
      <c r="M1573" s="61" t="str">
        <f>IFERROR(__xludf.DUMMYFUNCTION("IFS(AND(COUNTA(C1573:C1673)=0,COUNTA(Q1573:Q1673)=0),"""",OR(AND(K1573&gt;=1000000000,OR(Y1573&gt;=1000000000,COUNTA(Q1573:Q1673)=0)),OR(Y1573&gt;=1000000000,AND(COUNTA(C1573:C1673)=0,P$3=TRUE))),
ROUNDDOWN((AB$1-AC$1)*MAX(INDEX(T$4:T1673,MATCH(LARGE(FILTER(Y$4:Y1"&amp;"673,Y$4:Y1673&lt;1000000000),1),Y$4:Y1673)),INDEX(F$4:F1673,MATCH(LARGE(FILTER(K$4:K1673,K$4:K1673&lt;1000000000),1),K$4:K1673)))),AND(K1573&lt;1000000000,COUNTA(C1573:C1673)&gt;0,P$3=FALSE),
ROUNDDOWN(INDEX(Y$4:Y1673,MATCH(LARGE(FILTER(W$4:W1673,W$4:W1673&lt;=I1573),1)"&amp;",W$4:W1673))+(I1573-LARGE(FILTER(W$4:W1673,W$4:W1673&lt;=I1573),1))*INDEX(T$4:T1673,MATCH(LARGE(FILTER(W$4:W1673,W$4:W1673&lt;=I1573),1),W$4:W1673))-K1573),1,
ROUNDDOWN(Y1573-INDEX(K$4:K1673,MATCH(LARGE(FILTER(I$4:I1673,I$4:I1673&lt;=W1573),1),I$4:I1673))-(W1573-L"&amp;"ARGE(FILTER(I$4:I1673,I$4:I1673&lt;=W1573),1))*INDEX(F$4:F1673,MATCH(LARGE(FILTER(I$4:I1673,I$4:I1673&lt;=W1573),1),I$4:I1673))))"),"")</f>
        <v/>
      </c>
      <c r="N1573" s="60" t="str">
        <f t="shared" si="8"/>
        <v/>
      </c>
      <c r="O1573" s="61" t="str">
        <f t="shared" si="9"/>
        <v/>
      </c>
      <c r="P1573" s="56" t="str">
        <f t="shared" si="10"/>
        <v/>
      </c>
      <c r="Q1573" s="67"/>
      <c r="R1573" s="10"/>
      <c r="S1573" s="59" t="str">
        <f t="array" ref="S1573">IF(COUNTA(Q1573:Q1673)=0,"",SUM((COUNTIF(Q$4:Q1573,Upgrades!$B$3:$B$13)-COUNTIF(Q$4:Q1573,"Sell_"&amp;Upgrades!$B$3:$B$13))*Upgrades!$D$3:$D$13))</f>
        <v/>
      </c>
      <c r="T1573" s="66" t="str">
        <f>IFERROR(__xludf.DUMMYFUNCTION("IF(COUNTA(Q1573:Q1673)=0,"""",IF(REGEXMATCH(INDEX(FILTER(Q$4:Q1573,Q$4:Q1573&lt;&gt;""""),ROWS(FILTER(Q$4:Q1573,Q$4:Q1573&lt;&gt;""""))),""^Sell_""),INDEX(FILTER(T$4:T1572,Q$4:Q1572&lt;&gt;""""),ROWS(FILTER(Q$4:Q1572,Q$4:Q1572&lt;&gt;""""))),$AD$5+S1573))"),"")</f>
        <v/>
      </c>
      <c r="U1573" s="10" t="str">
        <f>IFERROR(__xludf.DUMMYFUNCTION("IF(COUNTA(Q1573:Q1673)=0,"""",IF(Q1573="""",0,IF(REGEXMATCH(Q1573,""^Sell_""),-ROUNDDOWN(ROUNDUP(INDEX(Upgrades!$C$3:$C$13,MATCH(SUBSTITUTE(Q1573,""Sell_"",""""),Upgrades!$B$3:$B$13,0))*1.15^(COUNTIF(Q$4:Q1572,SUBSTITUTE(Q1573,""Sell_"",""""))-COUNTIF(Q$4"&amp;":Q1572,""Sell_""&amp;SUBSTITUTE(Q1573,""Sell_"",""""))))/2),ROUNDUP(INDEX(Upgrades!$C$3:$C$13,MATCH(Q1573,Upgrades!$B$3:$B$13,0))*1.15^(COUNTIF(Q$4:Q1572,Q1573)-COUNTIF(Q$4:Q1572,""Sell_""&amp;Q1573))))))"),"")</f>
        <v/>
      </c>
      <c r="V1573" s="10" t="str">
        <f t="shared" si="11"/>
        <v/>
      </c>
      <c r="W1573" s="68" t="str">
        <f t="shared" si="12"/>
        <v/>
      </c>
      <c r="X1573" s="59" t="str">
        <f t="shared" si="13"/>
        <v/>
      </c>
      <c r="Y1573" s="69" t="str">
        <f t="shared" si="14"/>
        <v/>
      </c>
      <c r="Z1573" s="11"/>
    </row>
    <row r="1574">
      <c r="A1574" s="8"/>
      <c r="B1574" s="56" t="str">
        <f t="shared" si="2"/>
        <v/>
      </c>
      <c r="C1574" s="105"/>
      <c r="D1574" s="10"/>
      <c r="E1574" s="59" t="str">
        <f t="array" ref="E1574">IF(COUNTA(C1574:C1673)=0,"",SUM((COUNTIF(C$4:C1574,Upgrades!$B$3:$B$13)-COUNTIF(C$4:C1574,"Sell_"&amp;Upgrades!$B$3:$B$13))*Upgrades!$D$3:$D$13))</f>
        <v/>
      </c>
      <c r="F1574" s="66" t="str">
        <f>IFERROR(__xludf.DUMMYFUNCTION("IF(COUNTA(C1574:C1673)=0,"""",IF(REGEXMATCH(INDEX(FILTER(C$4:C1574,C$4:C1574&lt;&gt;""""),ROWS(FILTER(C$4:C1574,C$4:C1574&lt;&gt;""""))),""^Sell_""),INDEX(FILTER(F$4:F1573,C$4:C1573&lt;&gt;""""),ROWS(FILTER(C$4:C1573,C$4:C1573&lt;&gt;""""))),$AC$5+E1574))"),"")</f>
        <v/>
      </c>
      <c r="G1574" s="10" t="str">
        <f>IFERROR(__xludf.DUMMYFUNCTION("IF(COUNTA(C1574:C1673)=0,"""",IF(C1574="""",0,IF(REGEXMATCH(C1574,""^Sell_""),-ROUNDDOWN(ROUNDUP(INDEX(Upgrades!$C$3:$C$13,MATCH(SUBSTITUTE(C1574,""Sell_"",""""),Upgrades!$B$3:$B$13,0))*1.15^(COUNTIF(C$4:C1573,SUBSTITUTE(C1574,""Sell_"",""""))-COUNTIF(C$4"&amp;":C1573,""Sell_""&amp;SUBSTITUTE(C1574,""Sell_"",""""))))/2),ROUNDUP(INDEX(Upgrades!$C$3:$C$13,MATCH(C1574,Upgrades!$B$3:$B$13,0))*1.15^(COUNTIF(C$4:C1573,C1574)-COUNTIF(C$4:C1573,""Sell_""&amp;C1574))))))"),"")</f>
        <v/>
      </c>
      <c r="H1574" s="10" t="str">
        <f t="shared" si="3"/>
        <v/>
      </c>
      <c r="I1574" s="68" t="str">
        <f t="shared" si="4"/>
        <v/>
      </c>
      <c r="J1574" s="59" t="str">
        <f t="shared" si="5"/>
        <v/>
      </c>
      <c r="K1574" s="69" t="str">
        <f t="shared" si="6"/>
        <v/>
      </c>
      <c r="L1574" s="60" t="str">
        <f t="shared" si="7"/>
        <v/>
      </c>
      <c r="M1574" s="61" t="str">
        <f>IFERROR(__xludf.DUMMYFUNCTION("IFS(AND(COUNTA(C1574:C1673)=0,COUNTA(Q1574:Q1673)=0),"""",OR(AND(K1574&gt;=1000000000,OR(Y1574&gt;=1000000000,COUNTA(Q1574:Q1673)=0)),OR(Y1574&gt;=1000000000,AND(COUNTA(C1574:C1673)=0,P$3=TRUE))),
ROUNDDOWN((AB$1-AC$1)*MAX(INDEX(T$4:T1673,MATCH(LARGE(FILTER(Y$4:Y1"&amp;"673,Y$4:Y1673&lt;1000000000),1),Y$4:Y1673)),INDEX(F$4:F1673,MATCH(LARGE(FILTER(K$4:K1673,K$4:K1673&lt;1000000000),1),K$4:K1673)))),AND(K1574&lt;1000000000,COUNTA(C1574:C1673)&gt;0,P$3=FALSE),
ROUNDDOWN(INDEX(Y$4:Y1673,MATCH(LARGE(FILTER(W$4:W1673,W$4:W1673&lt;=I1574),1)"&amp;",W$4:W1673))+(I1574-LARGE(FILTER(W$4:W1673,W$4:W1673&lt;=I1574),1))*INDEX(T$4:T1673,MATCH(LARGE(FILTER(W$4:W1673,W$4:W1673&lt;=I1574),1),W$4:W1673))-K1574),1,
ROUNDDOWN(Y1574-INDEX(K$4:K1673,MATCH(LARGE(FILTER(I$4:I1673,I$4:I1673&lt;=W1574),1),I$4:I1673))-(W1574-L"&amp;"ARGE(FILTER(I$4:I1673,I$4:I1673&lt;=W1574),1))*INDEX(F$4:F1673,MATCH(LARGE(FILTER(I$4:I1673,I$4:I1673&lt;=W1574),1),I$4:I1673))))"),"")</f>
        <v/>
      </c>
      <c r="N1574" s="60" t="str">
        <f t="shared" si="8"/>
        <v/>
      </c>
      <c r="O1574" s="61" t="str">
        <f t="shared" si="9"/>
        <v/>
      </c>
      <c r="P1574" s="56" t="str">
        <f t="shared" si="10"/>
        <v/>
      </c>
      <c r="Q1574" s="67"/>
      <c r="R1574" s="10"/>
      <c r="S1574" s="59" t="str">
        <f t="array" ref="S1574">IF(COUNTA(Q1574:Q1673)=0,"",SUM((COUNTIF(Q$4:Q1574,Upgrades!$B$3:$B$13)-COUNTIF(Q$4:Q1574,"Sell_"&amp;Upgrades!$B$3:$B$13))*Upgrades!$D$3:$D$13))</f>
        <v/>
      </c>
      <c r="T1574" s="66" t="str">
        <f>IFERROR(__xludf.DUMMYFUNCTION("IF(COUNTA(Q1574:Q1673)=0,"""",IF(REGEXMATCH(INDEX(FILTER(Q$4:Q1574,Q$4:Q1574&lt;&gt;""""),ROWS(FILTER(Q$4:Q1574,Q$4:Q1574&lt;&gt;""""))),""^Sell_""),INDEX(FILTER(T$4:T1573,Q$4:Q1573&lt;&gt;""""),ROWS(FILTER(Q$4:Q1573,Q$4:Q1573&lt;&gt;""""))),$AD$5+S1574))"),"")</f>
        <v/>
      </c>
      <c r="U1574" s="10" t="str">
        <f>IFERROR(__xludf.DUMMYFUNCTION("IF(COUNTA(Q1574:Q1673)=0,"""",IF(Q1574="""",0,IF(REGEXMATCH(Q1574,""^Sell_""),-ROUNDDOWN(ROUNDUP(INDEX(Upgrades!$C$3:$C$13,MATCH(SUBSTITUTE(Q1574,""Sell_"",""""),Upgrades!$B$3:$B$13,0))*1.15^(COUNTIF(Q$4:Q1573,SUBSTITUTE(Q1574,""Sell_"",""""))-COUNTIF(Q$4"&amp;":Q1573,""Sell_""&amp;SUBSTITUTE(Q1574,""Sell_"",""""))))/2),ROUNDUP(INDEX(Upgrades!$C$3:$C$13,MATCH(Q1574,Upgrades!$B$3:$B$13,0))*1.15^(COUNTIF(Q$4:Q1573,Q1574)-COUNTIF(Q$4:Q1573,""Sell_""&amp;Q1574))))))"),"")</f>
        <v/>
      </c>
      <c r="V1574" s="10" t="str">
        <f t="shared" si="11"/>
        <v/>
      </c>
      <c r="W1574" s="68" t="str">
        <f t="shared" si="12"/>
        <v/>
      </c>
      <c r="X1574" s="59" t="str">
        <f t="shared" si="13"/>
        <v/>
      </c>
      <c r="Y1574" s="69" t="str">
        <f t="shared" si="14"/>
        <v/>
      </c>
      <c r="Z1574" s="11"/>
    </row>
    <row r="1575">
      <c r="A1575" s="8"/>
      <c r="B1575" s="56" t="str">
        <f t="shared" si="2"/>
        <v/>
      </c>
      <c r="C1575" s="105"/>
      <c r="D1575" s="10"/>
      <c r="E1575" s="59" t="str">
        <f t="array" ref="E1575">IF(COUNTA(C1575:C1673)=0,"",SUM((COUNTIF(C$4:C1575,Upgrades!$B$3:$B$13)-COUNTIF(C$4:C1575,"Sell_"&amp;Upgrades!$B$3:$B$13))*Upgrades!$D$3:$D$13))</f>
        <v/>
      </c>
      <c r="F1575" s="66" t="str">
        <f>IFERROR(__xludf.DUMMYFUNCTION("IF(COUNTA(C1575:C1673)=0,"""",IF(REGEXMATCH(INDEX(FILTER(C$4:C1575,C$4:C1575&lt;&gt;""""),ROWS(FILTER(C$4:C1575,C$4:C1575&lt;&gt;""""))),""^Sell_""),INDEX(FILTER(F$4:F1574,C$4:C1574&lt;&gt;""""),ROWS(FILTER(C$4:C1574,C$4:C1574&lt;&gt;""""))),$AC$5+E1575))"),"")</f>
        <v/>
      </c>
      <c r="G1575" s="10" t="str">
        <f>IFERROR(__xludf.DUMMYFUNCTION("IF(COUNTA(C1575:C1673)=0,"""",IF(C1575="""",0,IF(REGEXMATCH(C1575,""^Sell_""),-ROUNDDOWN(ROUNDUP(INDEX(Upgrades!$C$3:$C$13,MATCH(SUBSTITUTE(C1575,""Sell_"",""""),Upgrades!$B$3:$B$13,0))*1.15^(COUNTIF(C$4:C1574,SUBSTITUTE(C1575,""Sell_"",""""))-COUNTIF(C$4"&amp;":C1574,""Sell_""&amp;SUBSTITUTE(C1575,""Sell_"",""""))))/2),ROUNDUP(INDEX(Upgrades!$C$3:$C$13,MATCH(C1575,Upgrades!$B$3:$B$13,0))*1.15^(COUNTIF(C$4:C1574,C1575)-COUNTIF(C$4:C1574,""Sell_""&amp;C1575))))))"),"")</f>
        <v/>
      </c>
      <c r="H1575" s="10" t="str">
        <f t="shared" si="3"/>
        <v/>
      </c>
      <c r="I1575" s="68" t="str">
        <f t="shared" si="4"/>
        <v/>
      </c>
      <c r="J1575" s="59" t="str">
        <f t="shared" si="5"/>
        <v/>
      </c>
      <c r="K1575" s="69" t="str">
        <f t="shared" si="6"/>
        <v/>
      </c>
      <c r="L1575" s="60" t="str">
        <f t="shared" si="7"/>
        <v/>
      </c>
      <c r="M1575" s="61" t="str">
        <f>IFERROR(__xludf.DUMMYFUNCTION("IFS(AND(COUNTA(C1575:C1673)=0,COUNTA(Q1575:Q1673)=0),"""",OR(AND(K1575&gt;=1000000000,OR(Y1575&gt;=1000000000,COUNTA(Q1575:Q1673)=0)),OR(Y1575&gt;=1000000000,AND(COUNTA(C1575:C1673)=0,P$3=TRUE))),
ROUNDDOWN((AB$1-AC$1)*MAX(INDEX(T$4:T1673,MATCH(LARGE(FILTER(Y$4:Y1"&amp;"673,Y$4:Y1673&lt;1000000000),1),Y$4:Y1673)),INDEX(F$4:F1673,MATCH(LARGE(FILTER(K$4:K1673,K$4:K1673&lt;1000000000),1),K$4:K1673)))),AND(K1575&lt;1000000000,COUNTA(C1575:C1673)&gt;0,P$3=FALSE),
ROUNDDOWN(INDEX(Y$4:Y1673,MATCH(LARGE(FILTER(W$4:W1673,W$4:W1673&lt;=I1575),1)"&amp;",W$4:W1673))+(I1575-LARGE(FILTER(W$4:W1673,W$4:W1673&lt;=I1575),1))*INDEX(T$4:T1673,MATCH(LARGE(FILTER(W$4:W1673,W$4:W1673&lt;=I1575),1),W$4:W1673))-K1575),1,
ROUNDDOWN(Y1575-INDEX(K$4:K1673,MATCH(LARGE(FILTER(I$4:I1673,I$4:I1673&lt;=W1575),1),I$4:I1673))-(W1575-L"&amp;"ARGE(FILTER(I$4:I1673,I$4:I1673&lt;=W1575),1))*INDEX(F$4:F1673,MATCH(LARGE(FILTER(I$4:I1673,I$4:I1673&lt;=W1575),1),I$4:I1673))))"),"")</f>
        <v/>
      </c>
      <c r="N1575" s="60" t="str">
        <f t="shared" si="8"/>
        <v/>
      </c>
      <c r="O1575" s="61" t="str">
        <f t="shared" si="9"/>
        <v/>
      </c>
      <c r="P1575" s="56" t="str">
        <f t="shared" si="10"/>
        <v/>
      </c>
      <c r="Q1575" s="67"/>
      <c r="R1575" s="10"/>
      <c r="S1575" s="59" t="str">
        <f t="array" ref="S1575">IF(COUNTA(Q1575:Q1673)=0,"",SUM((COUNTIF(Q$4:Q1575,Upgrades!$B$3:$B$13)-COUNTIF(Q$4:Q1575,"Sell_"&amp;Upgrades!$B$3:$B$13))*Upgrades!$D$3:$D$13))</f>
        <v/>
      </c>
      <c r="T1575" s="66" t="str">
        <f>IFERROR(__xludf.DUMMYFUNCTION("IF(COUNTA(Q1575:Q1673)=0,"""",IF(REGEXMATCH(INDEX(FILTER(Q$4:Q1575,Q$4:Q1575&lt;&gt;""""),ROWS(FILTER(Q$4:Q1575,Q$4:Q1575&lt;&gt;""""))),""^Sell_""),INDEX(FILTER(T$4:T1574,Q$4:Q1574&lt;&gt;""""),ROWS(FILTER(Q$4:Q1574,Q$4:Q1574&lt;&gt;""""))),$AD$5+S1575))"),"")</f>
        <v/>
      </c>
      <c r="U1575" s="10" t="str">
        <f>IFERROR(__xludf.DUMMYFUNCTION("IF(COUNTA(Q1575:Q1673)=0,"""",IF(Q1575="""",0,IF(REGEXMATCH(Q1575,""^Sell_""),-ROUNDDOWN(ROUNDUP(INDEX(Upgrades!$C$3:$C$13,MATCH(SUBSTITUTE(Q1575,""Sell_"",""""),Upgrades!$B$3:$B$13,0))*1.15^(COUNTIF(Q$4:Q1574,SUBSTITUTE(Q1575,""Sell_"",""""))-COUNTIF(Q$4"&amp;":Q1574,""Sell_""&amp;SUBSTITUTE(Q1575,""Sell_"",""""))))/2),ROUNDUP(INDEX(Upgrades!$C$3:$C$13,MATCH(Q1575,Upgrades!$B$3:$B$13,0))*1.15^(COUNTIF(Q$4:Q1574,Q1575)-COUNTIF(Q$4:Q1574,""Sell_""&amp;Q1575))))))"),"")</f>
        <v/>
      </c>
      <c r="V1575" s="10" t="str">
        <f t="shared" si="11"/>
        <v/>
      </c>
      <c r="W1575" s="68" t="str">
        <f t="shared" si="12"/>
        <v/>
      </c>
      <c r="X1575" s="59" t="str">
        <f t="shared" si="13"/>
        <v/>
      </c>
      <c r="Y1575" s="69" t="str">
        <f t="shared" si="14"/>
        <v/>
      </c>
      <c r="Z1575" s="11"/>
    </row>
    <row r="1576">
      <c r="A1576" s="8"/>
      <c r="B1576" s="56" t="str">
        <f t="shared" si="2"/>
        <v/>
      </c>
      <c r="C1576" s="105"/>
      <c r="D1576" s="10"/>
      <c r="E1576" s="59" t="str">
        <f t="array" ref="E1576">IF(COUNTA(C1576:C1673)=0,"",SUM((COUNTIF(C$4:C1576,Upgrades!$B$3:$B$13)-COUNTIF(C$4:C1576,"Sell_"&amp;Upgrades!$B$3:$B$13))*Upgrades!$D$3:$D$13))</f>
        <v/>
      </c>
      <c r="F1576" s="66" t="str">
        <f>IFERROR(__xludf.DUMMYFUNCTION("IF(COUNTA(C1576:C1673)=0,"""",IF(REGEXMATCH(INDEX(FILTER(C$4:C1576,C$4:C1576&lt;&gt;""""),ROWS(FILTER(C$4:C1576,C$4:C1576&lt;&gt;""""))),""^Sell_""),INDEX(FILTER(F$4:F1575,C$4:C1575&lt;&gt;""""),ROWS(FILTER(C$4:C1575,C$4:C1575&lt;&gt;""""))),$AC$5+E1576))"),"")</f>
        <v/>
      </c>
      <c r="G1576" s="10" t="str">
        <f>IFERROR(__xludf.DUMMYFUNCTION("IF(COUNTA(C1576:C1673)=0,"""",IF(C1576="""",0,IF(REGEXMATCH(C1576,""^Sell_""),-ROUNDDOWN(ROUNDUP(INDEX(Upgrades!$C$3:$C$13,MATCH(SUBSTITUTE(C1576,""Sell_"",""""),Upgrades!$B$3:$B$13,0))*1.15^(COUNTIF(C$4:C1575,SUBSTITUTE(C1576,""Sell_"",""""))-COUNTIF(C$4"&amp;":C1575,""Sell_""&amp;SUBSTITUTE(C1576,""Sell_"",""""))))/2),ROUNDUP(INDEX(Upgrades!$C$3:$C$13,MATCH(C1576,Upgrades!$B$3:$B$13,0))*1.15^(COUNTIF(C$4:C1575,C1576)-COUNTIF(C$4:C1575,""Sell_""&amp;C1576))))))"),"")</f>
        <v/>
      </c>
      <c r="H1576" s="10" t="str">
        <f t="shared" si="3"/>
        <v/>
      </c>
      <c r="I1576" s="68" t="str">
        <f t="shared" si="4"/>
        <v/>
      </c>
      <c r="J1576" s="59" t="str">
        <f t="shared" si="5"/>
        <v/>
      </c>
      <c r="K1576" s="69" t="str">
        <f t="shared" si="6"/>
        <v/>
      </c>
      <c r="L1576" s="60" t="str">
        <f t="shared" si="7"/>
        <v/>
      </c>
      <c r="M1576" s="61" t="str">
        <f>IFERROR(__xludf.DUMMYFUNCTION("IFS(AND(COUNTA(C1576:C1673)=0,COUNTA(Q1576:Q1673)=0),"""",OR(AND(K1576&gt;=1000000000,OR(Y1576&gt;=1000000000,COUNTA(Q1576:Q1673)=0)),OR(Y1576&gt;=1000000000,AND(COUNTA(C1576:C1673)=0,P$3=TRUE))),
ROUNDDOWN((AB$1-AC$1)*MAX(INDEX(T$4:T1673,MATCH(LARGE(FILTER(Y$4:Y1"&amp;"673,Y$4:Y1673&lt;1000000000),1),Y$4:Y1673)),INDEX(F$4:F1673,MATCH(LARGE(FILTER(K$4:K1673,K$4:K1673&lt;1000000000),1),K$4:K1673)))),AND(K1576&lt;1000000000,COUNTA(C1576:C1673)&gt;0,P$3=FALSE),
ROUNDDOWN(INDEX(Y$4:Y1673,MATCH(LARGE(FILTER(W$4:W1673,W$4:W1673&lt;=I1576),1)"&amp;",W$4:W1673))+(I1576-LARGE(FILTER(W$4:W1673,W$4:W1673&lt;=I1576),1))*INDEX(T$4:T1673,MATCH(LARGE(FILTER(W$4:W1673,W$4:W1673&lt;=I1576),1),W$4:W1673))-K1576),1,
ROUNDDOWN(Y1576-INDEX(K$4:K1673,MATCH(LARGE(FILTER(I$4:I1673,I$4:I1673&lt;=W1576),1),I$4:I1673))-(W1576-L"&amp;"ARGE(FILTER(I$4:I1673,I$4:I1673&lt;=W1576),1))*INDEX(F$4:F1673,MATCH(LARGE(FILTER(I$4:I1673,I$4:I1673&lt;=W1576),1),I$4:I1673))))"),"")</f>
        <v/>
      </c>
      <c r="N1576" s="60" t="str">
        <f t="shared" si="8"/>
        <v/>
      </c>
      <c r="O1576" s="61" t="str">
        <f t="shared" si="9"/>
        <v/>
      </c>
      <c r="P1576" s="56" t="str">
        <f t="shared" si="10"/>
        <v/>
      </c>
      <c r="Q1576" s="67"/>
      <c r="R1576" s="10"/>
      <c r="S1576" s="59" t="str">
        <f t="array" ref="S1576">IF(COUNTA(Q1576:Q1673)=0,"",SUM((COUNTIF(Q$4:Q1576,Upgrades!$B$3:$B$13)-COUNTIF(Q$4:Q1576,"Sell_"&amp;Upgrades!$B$3:$B$13))*Upgrades!$D$3:$D$13))</f>
        <v/>
      </c>
      <c r="T1576" s="66" t="str">
        <f>IFERROR(__xludf.DUMMYFUNCTION("IF(COUNTA(Q1576:Q1673)=0,"""",IF(REGEXMATCH(INDEX(FILTER(Q$4:Q1576,Q$4:Q1576&lt;&gt;""""),ROWS(FILTER(Q$4:Q1576,Q$4:Q1576&lt;&gt;""""))),""^Sell_""),INDEX(FILTER(T$4:T1575,Q$4:Q1575&lt;&gt;""""),ROWS(FILTER(Q$4:Q1575,Q$4:Q1575&lt;&gt;""""))),$AD$5+S1576))"),"")</f>
        <v/>
      </c>
      <c r="U1576" s="10" t="str">
        <f>IFERROR(__xludf.DUMMYFUNCTION("IF(COUNTA(Q1576:Q1673)=0,"""",IF(Q1576="""",0,IF(REGEXMATCH(Q1576,""^Sell_""),-ROUNDDOWN(ROUNDUP(INDEX(Upgrades!$C$3:$C$13,MATCH(SUBSTITUTE(Q1576,""Sell_"",""""),Upgrades!$B$3:$B$13,0))*1.15^(COUNTIF(Q$4:Q1575,SUBSTITUTE(Q1576,""Sell_"",""""))-COUNTIF(Q$4"&amp;":Q1575,""Sell_""&amp;SUBSTITUTE(Q1576,""Sell_"",""""))))/2),ROUNDUP(INDEX(Upgrades!$C$3:$C$13,MATCH(Q1576,Upgrades!$B$3:$B$13,0))*1.15^(COUNTIF(Q$4:Q1575,Q1576)-COUNTIF(Q$4:Q1575,""Sell_""&amp;Q1576))))))"),"")</f>
        <v/>
      </c>
      <c r="V1576" s="10" t="str">
        <f t="shared" si="11"/>
        <v/>
      </c>
      <c r="W1576" s="68" t="str">
        <f t="shared" si="12"/>
        <v/>
      </c>
      <c r="X1576" s="59" t="str">
        <f t="shared" si="13"/>
        <v/>
      </c>
      <c r="Y1576" s="69" t="str">
        <f t="shared" si="14"/>
        <v/>
      </c>
      <c r="Z1576" s="11"/>
    </row>
    <row r="1577">
      <c r="A1577" s="8"/>
      <c r="B1577" s="56" t="str">
        <f t="shared" si="2"/>
        <v/>
      </c>
      <c r="C1577" s="105"/>
      <c r="D1577" s="10"/>
      <c r="E1577" s="59" t="str">
        <f t="array" ref="E1577">IF(COUNTA(C1577:C1673)=0,"",SUM((COUNTIF(C$4:C1577,Upgrades!$B$3:$B$13)-COUNTIF(C$4:C1577,"Sell_"&amp;Upgrades!$B$3:$B$13))*Upgrades!$D$3:$D$13))</f>
        <v/>
      </c>
      <c r="F1577" s="66" t="str">
        <f>IFERROR(__xludf.DUMMYFUNCTION("IF(COUNTA(C1577:C1673)=0,"""",IF(REGEXMATCH(INDEX(FILTER(C$4:C1577,C$4:C1577&lt;&gt;""""),ROWS(FILTER(C$4:C1577,C$4:C1577&lt;&gt;""""))),""^Sell_""),INDEX(FILTER(F$4:F1576,C$4:C1576&lt;&gt;""""),ROWS(FILTER(C$4:C1576,C$4:C1576&lt;&gt;""""))),$AC$5+E1577))"),"")</f>
        <v/>
      </c>
      <c r="G1577" s="10" t="str">
        <f>IFERROR(__xludf.DUMMYFUNCTION("IF(COUNTA(C1577:C1673)=0,"""",IF(C1577="""",0,IF(REGEXMATCH(C1577,""^Sell_""),-ROUNDDOWN(ROUNDUP(INDEX(Upgrades!$C$3:$C$13,MATCH(SUBSTITUTE(C1577,""Sell_"",""""),Upgrades!$B$3:$B$13,0))*1.15^(COUNTIF(C$4:C1576,SUBSTITUTE(C1577,""Sell_"",""""))-COUNTIF(C$4"&amp;":C1576,""Sell_""&amp;SUBSTITUTE(C1577,""Sell_"",""""))))/2),ROUNDUP(INDEX(Upgrades!$C$3:$C$13,MATCH(C1577,Upgrades!$B$3:$B$13,0))*1.15^(COUNTIF(C$4:C1576,C1577)-COUNTIF(C$4:C1576,""Sell_""&amp;C1577))))))"),"")</f>
        <v/>
      </c>
      <c r="H1577" s="10" t="str">
        <f t="shared" si="3"/>
        <v/>
      </c>
      <c r="I1577" s="68" t="str">
        <f t="shared" si="4"/>
        <v/>
      </c>
      <c r="J1577" s="59" t="str">
        <f t="shared" si="5"/>
        <v/>
      </c>
      <c r="K1577" s="69" t="str">
        <f t="shared" si="6"/>
        <v/>
      </c>
      <c r="L1577" s="60" t="str">
        <f t="shared" si="7"/>
        <v/>
      </c>
      <c r="M1577" s="61" t="str">
        <f>IFERROR(__xludf.DUMMYFUNCTION("IFS(AND(COUNTA(C1577:C1673)=0,COUNTA(Q1577:Q1673)=0),"""",OR(AND(K1577&gt;=1000000000,OR(Y1577&gt;=1000000000,COUNTA(Q1577:Q1673)=0)),OR(Y1577&gt;=1000000000,AND(COUNTA(C1577:C1673)=0,P$3=TRUE))),
ROUNDDOWN((AB$1-AC$1)*MAX(INDEX(T$4:T1673,MATCH(LARGE(FILTER(Y$4:Y1"&amp;"673,Y$4:Y1673&lt;1000000000),1),Y$4:Y1673)),INDEX(F$4:F1673,MATCH(LARGE(FILTER(K$4:K1673,K$4:K1673&lt;1000000000),1),K$4:K1673)))),AND(K1577&lt;1000000000,COUNTA(C1577:C1673)&gt;0,P$3=FALSE),
ROUNDDOWN(INDEX(Y$4:Y1673,MATCH(LARGE(FILTER(W$4:W1673,W$4:W1673&lt;=I1577),1)"&amp;",W$4:W1673))+(I1577-LARGE(FILTER(W$4:W1673,W$4:W1673&lt;=I1577),1))*INDEX(T$4:T1673,MATCH(LARGE(FILTER(W$4:W1673,W$4:W1673&lt;=I1577),1),W$4:W1673))-K1577),1,
ROUNDDOWN(Y1577-INDEX(K$4:K1673,MATCH(LARGE(FILTER(I$4:I1673,I$4:I1673&lt;=W1577),1),I$4:I1673))-(W1577-L"&amp;"ARGE(FILTER(I$4:I1673,I$4:I1673&lt;=W1577),1))*INDEX(F$4:F1673,MATCH(LARGE(FILTER(I$4:I1673,I$4:I1673&lt;=W1577),1),I$4:I1673))))"),"")</f>
        <v/>
      </c>
      <c r="N1577" s="60" t="str">
        <f t="shared" si="8"/>
        <v/>
      </c>
      <c r="O1577" s="61" t="str">
        <f t="shared" si="9"/>
        <v/>
      </c>
      <c r="P1577" s="56" t="str">
        <f t="shared" si="10"/>
        <v/>
      </c>
      <c r="Q1577" s="67"/>
      <c r="R1577" s="10"/>
      <c r="S1577" s="59" t="str">
        <f t="array" ref="S1577">IF(COUNTA(Q1577:Q1673)=0,"",SUM((COUNTIF(Q$4:Q1577,Upgrades!$B$3:$B$13)-COUNTIF(Q$4:Q1577,"Sell_"&amp;Upgrades!$B$3:$B$13))*Upgrades!$D$3:$D$13))</f>
        <v/>
      </c>
      <c r="T1577" s="66" t="str">
        <f>IFERROR(__xludf.DUMMYFUNCTION("IF(COUNTA(Q1577:Q1673)=0,"""",IF(REGEXMATCH(INDEX(FILTER(Q$4:Q1577,Q$4:Q1577&lt;&gt;""""),ROWS(FILTER(Q$4:Q1577,Q$4:Q1577&lt;&gt;""""))),""^Sell_""),INDEX(FILTER(T$4:T1576,Q$4:Q1576&lt;&gt;""""),ROWS(FILTER(Q$4:Q1576,Q$4:Q1576&lt;&gt;""""))),$AD$5+S1577))"),"")</f>
        <v/>
      </c>
      <c r="U1577" s="10" t="str">
        <f>IFERROR(__xludf.DUMMYFUNCTION("IF(COUNTA(Q1577:Q1673)=0,"""",IF(Q1577="""",0,IF(REGEXMATCH(Q1577,""^Sell_""),-ROUNDDOWN(ROUNDUP(INDEX(Upgrades!$C$3:$C$13,MATCH(SUBSTITUTE(Q1577,""Sell_"",""""),Upgrades!$B$3:$B$13,0))*1.15^(COUNTIF(Q$4:Q1576,SUBSTITUTE(Q1577,""Sell_"",""""))-COUNTIF(Q$4"&amp;":Q1576,""Sell_""&amp;SUBSTITUTE(Q1577,""Sell_"",""""))))/2),ROUNDUP(INDEX(Upgrades!$C$3:$C$13,MATCH(Q1577,Upgrades!$B$3:$B$13,0))*1.15^(COUNTIF(Q$4:Q1576,Q1577)-COUNTIF(Q$4:Q1576,""Sell_""&amp;Q1577))))))"),"")</f>
        <v/>
      </c>
      <c r="V1577" s="10" t="str">
        <f t="shared" si="11"/>
        <v/>
      </c>
      <c r="W1577" s="68" t="str">
        <f t="shared" si="12"/>
        <v/>
      </c>
      <c r="X1577" s="59" t="str">
        <f t="shared" si="13"/>
        <v/>
      </c>
      <c r="Y1577" s="69" t="str">
        <f t="shared" si="14"/>
        <v/>
      </c>
      <c r="Z1577" s="11"/>
    </row>
    <row r="1578">
      <c r="A1578" s="8"/>
      <c r="B1578" s="56" t="str">
        <f t="shared" si="2"/>
        <v/>
      </c>
      <c r="C1578" s="105"/>
      <c r="D1578" s="10"/>
      <c r="E1578" s="59" t="str">
        <f t="array" ref="E1578">IF(COUNTA(C1578:C1673)=0,"",SUM((COUNTIF(C$4:C1578,Upgrades!$B$3:$B$13)-COUNTIF(C$4:C1578,"Sell_"&amp;Upgrades!$B$3:$B$13))*Upgrades!$D$3:$D$13))</f>
        <v/>
      </c>
      <c r="F1578" s="66" t="str">
        <f>IFERROR(__xludf.DUMMYFUNCTION("IF(COUNTA(C1578:C1673)=0,"""",IF(REGEXMATCH(INDEX(FILTER(C$4:C1578,C$4:C1578&lt;&gt;""""),ROWS(FILTER(C$4:C1578,C$4:C1578&lt;&gt;""""))),""^Sell_""),INDEX(FILTER(F$4:F1577,C$4:C1577&lt;&gt;""""),ROWS(FILTER(C$4:C1577,C$4:C1577&lt;&gt;""""))),$AC$5+E1578))"),"")</f>
        <v/>
      </c>
      <c r="G1578" s="10" t="str">
        <f>IFERROR(__xludf.DUMMYFUNCTION("IF(COUNTA(C1578:C1673)=0,"""",IF(C1578="""",0,IF(REGEXMATCH(C1578,""^Sell_""),-ROUNDDOWN(ROUNDUP(INDEX(Upgrades!$C$3:$C$13,MATCH(SUBSTITUTE(C1578,""Sell_"",""""),Upgrades!$B$3:$B$13,0))*1.15^(COUNTIF(C$4:C1577,SUBSTITUTE(C1578,""Sell_"",""""))-COUNTIF(C$4"&amp;":C1577,""Sell_""&amp;SUBSTITUTE(C1578,""Sell_"",""""))))/2),ROUNDUP(INDEX(Upgrades!$C$3:$C$13,MATCH(C1578,Upgrades!$B$3:$B$13,0))*1.15^(COUNTIF(C$4:C1577,C1578)-COUNTIF(C$4:C1577,""Sell_""&amp;C1578))))))"),"")</f>
        <v/>
      </c>
      <c r="H1578" s="10" t="str">
        <f t="shared" si="3"/>
        <v/>
      </c>
      <c r="I1578" s="68" t="str">
        <f t="shared" si="4"/>
        <v/>
      </c>
      <c r="J1578" s="59" t="str">
        <f t="shared" si="5"/>
        <v/>
      </c>
      <c r="K1578" s="69" t="str">
        <f t="shared" si="6"/>
        <v/>
      </c>
      <c r="L1578" s="60" t="str">
        <f t="shared" si="7"/>
        <v/>
      </c>
      <c r="M1578" s="61" t="str">
        <f>IFERROR(__xludf.DUMMYFUNCTION("IFS(AND(COUNTA(C1578:C1673)=0,COUNTA(Q1578:Q1673)=0),"""",OR(AND(K1578&gt;=1000000000,OR(Y1578&gt;=1000000000,COUNTA(Q1578:Q1673)=0)),OR(Y1578&gt;=1000000000,AND(COUNTA(C1578:C1673)=0,P$3=TRUE))),
ROUNDDOWN((AB$1-AC$1)*MAX(INDEX(T$4:T1673,MATCH(LARGE(FILTER(Y$4:Y1"&amp;"673,Y$4:Y1673&lt;1000000000),1),Y$4:Y1673)),INDEX(F$4:F1673,MATCH(LARGE(FILTER(K$4:K1673,K$4:K1673&lt;1000000000),1),K$4:K1673)))),AND(K1578&lt;1000000000,COUNTA(C1578:C1673)&gt;0,P$3=FALSE),
ROUNDDOWN(INDEX(Y$4:Y1673,MATCH(LARGE(FILTER(W$4:W1673,W$4:W1673&lt;=I1578),1)"&amp;",W$4:W1673))+(I1578-LARGE(FILTER(W$4:W1673,W$4:W1673&lt;=I1578),1))*INDEX(T$4:T1673,MATCH(LARGE(FILTER(W$4:W1673,W$4:W1673&lt;=I1578),1),W$4:W1673))-K1578),1,
ROUNDDOWN(Y1578-INDEX(K$4:K1673,MATCH(LARGE(FILTER(I$4:I1673,I$4:I1673&lt;=W1578),1),I$4:I1673))-(W1578-L"&amp;"ARGE(FILTER(I$4:I1673,I$4:I1673&lt;=W1578),1))*INDEX(F$4:F1673,MATCH(LARGE(FILTER(I$4:I1673,I$4:I1673&lt;=W1578),1),I$4:I1673))))"),"")</f>
        <v/>
      </c>
      <c r="N1578" s="60" t="str">
        <f t="shared" si="8"/>
        <v/>
      </c>
      <c r="O1578" s="61" t="str">
        <f t="shared" si="9"/>
        <v/>
      </c>
      <c r="P1578" s="56" t="str">
        <f t="shared" si="10"/>
        <v/>
      </c>
      <c r="Q1578" s="67"/>
      <c r="R1578" s="10"/>
      <c r="S1578" s="59" t="str">
        <f t="array" ref="S1578">IF(COUNTA(Q1578:Q1673)=0,"",SUM((COUNTIF(Q$4:Q1578,Upgrades!$B$3:$B$13)-COUNTIF(Q$4:Q1578,"Sell_"&amp;Upgrades!$B$3:$B$13))*Upgrades!$D$3:$D$13))</f>
        <v/>
      </c>
      <c r="T1578" s="66" t="str">
        <f>IFERROR(__xludf.DUMMYFUNCTION("IF(COUNTA(Q1578:Q1673)=0,"""",IF(REGEXMATCH(INDEX(FILTER(Q$4:Q1578,Q$4:Q1578&lt;&gt;""""),ROWS(FILTER(Q$4:Q1578,Q$4:Q1578&lt;&gt;""""))),""^Sell_""),INDEX(FILTER(T$4:T1577,Q$4:Q1577&lt;&gt;""""),ROWS(FILTER(Q$4:Q1577,Q$4:Q1577&lt;&gt;""""))),$AD$5+S1578))"),"")</f>
        <v/>
      </c>
      <c r="U1578" s="10" t="str">
        <f>IFERROR(__xludf.DUMMYFUNCTION("IF(COUNTA(Q1578:Q1673)=0,"""",IF(Q1578="""",0,IF(REGEXMATCH(Q1578,""^Sell_""),-ROUNDDOWN(ROUNDUP(INDEX(Upgrades!$C$3:$C$13,MATCH(SUBSTITUTE(Q1578,""Sell_"",""""),Upgrades!$B$3:$B$13,0))*1.15^(COUNTIF(Q$4:Q1577,SUBSTITUTE(Q1578,""Sell_"",""""))-COUNTIF(Q$4"&amp;":Q1577,""Sell_""&amp;SUBSTITUTE(Q1578,""Sell_"",""""))))/2),ROUNDUP(INDEX(Upgrades!$C$3:$C$13,MATCH(Q1578,Upgrades!$B$3:$B$13,0))*1.15^(COUNTIF(Q$4:Q1577,Q1578)-COUNTIF(Q$4:Q1577,""Sell_""&amp;Q1578))))))"),"")</f>
        <v/>
      </c>
      <c r="V1578" s="10" t="str">
        <f t="shared" si="11"/>
        <v/>
      </c>
      <c r="W1578" s="68" t="str">
        <f t="shared" si="12"/>
        <v/>
      </c>
      <c r="X1578" s="59" t="str">
        <f t="shared" si="13"/>
        <v/>
      </c>
      <c r="Y1578" s="69" t="str">
        <f t="shared" si="14"/>
        <v/>
      </c>
      <c r="Z1578" s="11"/>
    </row>
    <row r="1579">
      <c r="A1579" s="8"/>
      <c r="B1579" s="56" t="str">
        <f t="shared" si="2"/>
        <v/>
      </c>
      <c r="C1579" s="105"/>
      <c r="D1579" s="10"/>
      <c r="E1579" s="59" t="str">
        <f t="array" ref="E1579">IF(COUNTA(C1579:C1673)=0,"",SUM((COUNTIF(C$4:C1579,Upgrades!$B$3:$B$13)-COUNTIF(C$4:C1579,"Sell_"&amp;Upgrades!$B$3:$B$13))*Upgrades!$D$3:$D$13))</f>
        <v/>
      </c>
      <c r="F1579" s="66" t="str">
        <f>IFERROR(__xludf.DUMMYFUNCTION("IF(COUNTA(C1579:C1673)=0,"""",IF(REGEXMATCH(INDEX(FILTER(C$4:C1579,C$4:C1579&lt;&gt;""""),ROWS(FILTER(C$4:C1579,C$4:C1579&lt;&gt;""""))),""^Sell_""),INDEX(FILTER(F$4:F1578,C$4:C1578&lt;&gt;""""),ROWS(FILTER(C$4:C1578,C$4:C1578&lt;&gt;""""))),$AC$5+E1579))"),"")</f>
        <v/>
      </c>
      <c r="G1579" s="10" t="str">
        <f>IFERROR(__xludf.DUMMYFUNCTION("IF(COUNTA(C1579:C1673)=0,"""",IF(C1579="""",0,IF(REGEXMATCH(C1579,""^Sell_""),-ROUNDDOWN(ROUNDUP(INDEX(Upgrades!$C$3:$C$13,MATCH(SUBSTITUTE(C1579,""Sell_"",""""),Upgrades!$B$3:$B$13,0))*1.15^(COUNTIF(C$4:C1578,SUBSTITUTE(C1579,""Sell_"",""""))-COUNTIF(C$4"&amp;":C1578,""Sell_""&amp;SUBSTITUTE(C1579,""Sell_"",""""))))/2),ROUNDUP(INDEX(Upgrades!$C$3:$C$13,MATCH(C1579,Upgrades!$B$3:$B$13,0))*1.15^(COUNTIF(C$4:C1578,C1579)-COUNTIF(C$4:C1578,""Sell_""&amp;C1579))))))"),"")</f>
        <v/>
      </c>
      <c r="H1579" s="10" t="str">
        <f t="shared" si="3"/>
        <v/>
      </c>
      <c r="I1579" s="68" t="str">
        <f t="shared" si="4"/>
        <v/>
      </c>
      <c r="J1579" s="59" t="str">
        <f t="shared" si="5"/>
        <v/>
      </c>
      <c r="K1579" s="69" t="str">
        <f t="shared" si="6"/>
        <v/>
      </c>
      <c r="L1579" s="60" t="str">
        <f t="shared" si="7"/>
        <v/>
      </c>
      <c r="M1579" s="61" t="str">
        <f>IFERROR(__xludf.DUMMYFUNCTION("IFS(AND(COUNTA(C1579:C1673)=0,COUNTA(Q1579:Q1673)=0),"""",OR(AND(K1579&gt;=1000000000,OR(Y1579&gt;=1000000000,COUNTA(Q1579:Q1673)=0)),OR(Y1579&gt;=1000000000,AND(COUNTA(C1579:C1673)=0,P$3=TRUE))),
ROUNDDOWN((AB$1-AC$1)*MAX(INDEX(T$4:T1673,MATCH(LARGE(FILTER(Y$4:Y1"&amp;"673,Y$4:Y1673&lt;1000000000),1),Y$4:Y1673)),INDEX(F$4:F1673,MATCH(LARGE(FILTER(K$4:K1673,K$4:K1673&lt;1000000000),1),K$4:K1673)))),AND(K1579&lt;1000000000,COUNTA(C1579:C1673)&gt;0,P$3=FALSE),
ROUNDDOWN(INDEX(Y$4:Y1673,MATCH(LARGE(FILTER(W$4:W1673,W$4:W1673&lt;=I1579),1)"&amp;",W$4:W1673))+(I1579-LARGE(FILTER(W$4:W1673,W$4:W1673&lt;=I1579),1))*INDEX(T$4:T1673,MATCH(LARGE(FILTER(W$4:W1673,W$4:W1673&lt;=I1579),1),W$4:W1673))-K1579),1,
ROUNDDOWN(Y1579-INDEX(K$4:K1673,MATCH(LARGE(FILTER(I$4:I1673,I$4:I1673&lt;=W1579),1),I$4:I1673))-(W1579-L"&amp;"ARGE(FILTER(I$4:I1673,I$4:I1673&lt;=W1579),1))*INDEX(F$4:F1673,MATCH(LARGE(FILTER(I$4:I1673,I$4:I1673&lt;=W1579),1),I$4:I1673))))"),"")</f>
        <v/>
      </c>
      <c r="N1579" s="60" t="str">
        <f t="shared" si="8"/>
        <v/>
      </c>
      <c r="O1579" s="61" t="str">
        <f t="shared" si="9"/>
        <v/>
      </c>
      <c r="P1579" s="56" t="str">
        <f t="shared" si="10"/>
        <v/>
      </c>
      <c r="Q1579" s="67"/>
      <c r="R1579" s="10"/>
      <c r="S1579" s="59" t="str">
        <f t="array" ref="S1579">IF(COUNTA(Q1579:Q1673)=0,"",SUM((COUNTIF(Q$4:Q1579,Upgrades!$B$3:$B$13)-COUNTIF(Q$4:Q1579,"Sell_"&amp;Upgrades!$B$3:$B$13))*Upgrades!$D$3:$D$13))</f>
        <v/>
      </c>
      <c r="T1579" s="66" t="str">
        <f>IFERROR(__xludf.DUMMYFUNCTION("IF(COUNTA(Q1579:Q1673)=0,"""",IF(REGEXMATCH(INDEX(FILTER(Q$4:Q1579,Q$4:Q1579&lt;&gt;""""),ROWS(FILTER(Q$4:Q1579,Q$4:Q1579&lt;&gt;""""))),""^Sell_""),INDEX(FILTER(T$4:T1578,Q$4:Q1578&lt;&gt;""""),ROWS(FILTER(Q$4:Q1578,Q$4:Q1578&lt;&gt;""""))),$AD$5+S1579))"),"")</f>
        <v/>
      </c>
      <c r="U1579" s="10" t="str">
        <f>IFERROR(__xludf.DUMMYFUNCTION("IF(COUNTA(Q1579:Q1673)=0,"""",IF(Q1579="""",0,IF(REGEXMATCH(Q1579,""^Sell_""),-ROUNDDOWN(ROUNDUP(INDEX(Upgrades!$C$3:$C$13,MATCH(SUBSTITUTE(Q1579,""Sell_"",""""),Upgrades!$B$3:$B$13,0))*1.15^(COUNTIF(Q$4:Q1578,SUBSTITUTE(Q1579,""Sell_"",""""))-COUNTIF(Q$4"&amp;":Q1578,""Sell_""&amp;SUBSTITUTE(Q1579,""Sell_"",""""))))/2),ROUNDUP(INDEX(Upgrades!$C$3:$C$13,MATCH(Q1579,Upgrades!$B$3:$B$13,0))*1.15^(COUNTIF(Q$4:Q1578,Q1579)-COUNTIF(Q$4:Q1578,""Sell_""&amp;Q1579))))))"),"")</f>
        <v/>
      </c>
      <c r="V1579" s="10" t="str">
        <f t="shared" si="11"/>
        <v/>
      </c>
      <c r="W1579" s="68" t="str">
        <f t="shared" si="12"/>
        <v/>
      </c>
      <c r="X1579" s="59" t="str">
        <f t="shared" si="13"/>
        <v/>
      </c>
      <c r="Y1579" s="69" t="str">
        <f t="shared" si="14"/>
        <v/>
      </c>
      <c r="Z1579" s="11"/>
    </row>
    <row r="1580">
      <c r="A1580" s="8"/>
      <c r="B1580" s="56" t="str">
        <f t="shared" si="2"/>
        <v/>
      </c>
      <c r="C1580" s="105"/>
      <c r="D1580" s="10"/>
      <c r="E1580" s="59" t="str">
        <f t="array" ref="E1580">IF(COUNTA(C1580:C1673)=0,"",SUM((COUNTIF(C$4:C1580,Upgrades!$B$3:$B$13)-COUNTIF(C$4:C1580,"Sell_"&amp;Upgrades!$B$3:$B$13))*Upgrades!$D$3:$D$13))</f>
        <v/>
      </c>
      <c r="F1580" s="66" t="str">
        <f>IFERROR(__xludf.DUMMYFUNCTION("IF(COUNTA(C1580:C1673)=0,"""",IF(REGEXMATCH(INDEX(FILTER(C$4:C1580,C$4:C1580&lt;&gt;""""),ROWS(FILTER(C$4:C1580,C$4:C1580&lt;&gt;""""))),""^Sell_""),INDEX(FILTER(F$4:F1579,C$4:C1579&lt;&gt;""""),ROWS(FILTER(C$4:C1579,C$4:C1579&lt;&gt;""""))),$AC$5+E1580))"),"")</f>
        <v/>
      </c>
      <c r="G1580" s="10" t="str">
        <f>IFERROR(__xludf.DUMMYFUNCTION("IF(COUNTA(C1580:C1673)=0,"""",IF(C1580="""",0,IF(REGEXMATCH(C1580,""^Sell_""),-ROUNDDOWN(ROUNDUP(INDEX(Upgrades!$C$3:$C$13,MATCH(SUBSTITUTE(C1580,""Sell_"",""""),Upgrades!$B$3:$B$13,0))*1.15^(COUNTIF(C$4:C1579,SUBSTITUTE(C1580,""Sell_"",""""))-COUNTIF(C$4"&amp;":C1579,""Sell_""&amp;SUBSTITUTE(C1580,""Sell_"",""""))))/2),ROUNDUP(INDEX(Upgrades!$C$3:$C$13,MATCH(C1580,Upgrades!$B$3:$B$13,0))*1.15^(COUNTIF(C$4:C1579,C1580)-COUNTIF(C$4:C1579,""Sell_""&amp;C1580))))))"),"")</f>
        <v/>
      </c>
      <c r="H1580" s="10" t="str">
        <f t="shared" si="3"/>
        <v/>
      </c>
      <c r="I1580" s="68" t="str">
        <f t="shared" si="4"/>
        <v/>
      </c>
      <c r="J1580" s="59" t="str">
        <f t="shared" si="5"/>
        <v/>
      </c>
      <c r="K1580" s="69" t="str">
        <f t="shared" si="6"/>
        <v/>
      </c>
      <c r="L1580" s="60" t="str">
        <f t="shared" si="7"/>
        <v/>
      </c>
      <c r="M1580" s="61" t="str">
        <f>IFERROR(__xludf.DUMMYFUNCTION("IFS(AND(COUNTA(C1580:C1673)=0,COUNTA(Q1580:Q1673)=0),"""",OR(AND(K1580&gt;=1000000000,OR(Y1580&gt;=1000000000,COUNTA(Q1580:Q1673)=0)),OR(Y1580&gt;=1000000000,AND(COUNTA(C1580:C1673)=0,P$3=TRUE))),
ROUNDDOWN((AB$1-AC$1)*MAX(INDEX(T$4:T1673,MATCH(LARGE(FILTER(Y$4:Y1"&amp;"673,Y$4:Y1673&lt;1000000000),1),Y$4:Y1673)),INDEX(F$4:F1673,MATCH(LARGE(FILTER(K$4:K1673,K$4:K1673&lt;1000000000),1),K$4:K1673)))),AND(K1580&lt;1000000000,COUNTA(C1580:C1673)&gt;0,P$3=FALSE),
ROUNDDOWN(INDEX(Y$4:Y1673,MATCH(LARGE(FILTER(W$4:W1673,W$4:W1673&lt;=I1580),1)"&amp;",W$4:W1673))+(I1580-LARGE(FILTER(W$4:W1673,W$4:W1673&lt;=I1580),1))*INDEX(T$4:T1673,MATCH(LARGE(FILTER(W$4:W1673,W$4:W1673&lt;=I1580),1),W$4:W1673))-K1580),1,
ROUNDDOWN(Y1580-INDEX(K$4:K1673,MATCH(LARGE(FILTER(I$4:I1673,I$4:I1673&lt;=W1580),1),I$4:I1673))-(W1580-L"&amp;"ARGE(FILTER(I$4:I1673,I$4:I1673&lt;=W1580),1))*INDEX(F$4:F1673,MATCH(LARGE(FILTER(I$4:I1673,I$4:I1673&lt;=W1580),1),I$4:I1673))))"),"")</f>
        <v/>
      </c>
      <c r="N1580" s="60" t="str">
        <f t="shared" si="8"/>
        <v/>
      </c>
      <c r="O1580" s="61" t="str">
        <f t="shared" si="9"/>
        <v/>
      </c>
      <c r="P1580" s="56" t="str">
        <f t="shared" si="10"/>
        <v/>
      </c>
      <c r="Q1580" s="67"/>
      <c r="R1580" s="10"/>
      <c r="S1580" s="59" t="str">
        <f t="array" ref="S1580">IF(COUNTA(Q1580:Q1673)=0,"",SUM((COUNTIF(Q$4:Q1580,Upgrades!$B$3:$B$13)-COUNTIF(Q$4:Q1580,"Sell_"&amp;Upgrades!$B$3:$B$13))*Upgrades!$D$3:$D$13))</f>
        <v/>
      </c>
      <c r="T1580" s="66" t="str">
        <f>IFERROR(__xludf.DUMMYFUNCTION("IF(COUNTA(Q1580:Q1673)=0,"""",IF(REGEXMATCH(INDEX(FILTER(Q$4:Q1580,Q$4:Q1580&lt;&gt;""""),ROWS(FILTER(Q$4:Q1580,Q$4:Q1580&lt;&gt;""""))),""^Sell_""),INDEX(FILTER(T$4:T1579,Q$4:Q1579&lt;&gt;""""),ROWS(FILTER(Q$4:Q1579,Q$4:Q1579&lt;&gt;""""))),$AD$5+S1580))"),"")</f>
        <v/>
      </c>
      <c r="U1580" s="10" t="str">
        <f>IFERROR(__xludf.DUMMYFUNCTION("IF(COUNTA(Q1580:Q1673)=0,"""",IF(Q1580="""",0,IF(REGEXMATCH(Q1580,""^Sell_""),-ROUNDDOWN(ROUNDUP(INDEX(Upgrades!$C$3:$C$13,MATCH(SUBSTITUTE(Q1580,""Sell_"",""""),Upgrades!$B$3:$B$13,0))*1.15^(COUNTIF(Q$4:Q1579,SUBSTITUTE(Q1580,""Sell_"",""""))-COUNTIF(Q$4"&amp;":Q1579,""Sell_""&amp;SUBSTITUTE(Q1580,""Sell_"",""""))))/2),ROUNDUP(INDEX(Upgrades!$C$3:$C$13,MATCH(Q1580,Upgrades!$B$3:$B$13,0))*1.15^(COUNTIF(Q$4:Q1579,Q1580)-COUNTIF(Q$4:Q1579,""Sell_""&amp;Q1580))))))"),"")</f>
        <v/>
      </c>
      <c r="V1580" s="10" t="str">
        <f t="shared" si="11"/>
        <v/>
      </c>
      <c r="W1580" s="68" t="str">
        <f t="shared" si="12"/>
        <v/>
      </c>
      <c r="X1580" s="59" t="str">
        <f t="shared" si="13"/>
        <v/>
      </c>
      <c r="Y1580" s="69" t="str">
        <f t="shared" si="14"/>
        <v/>
      </c>
      <c r="Z1580" s="11"/>
    </row>
    <row r="1581">
      <c r="A1581" s="8"/>
      <c r="B1581" s="56" t="str">
        <f t="shared" si="2"/>
        <v/>
      </c>
      <c r="C1581" s="105"/>
      <c r="D1581" s="10"/>
      <c r="E1581" s="59" t="str">
        <f t="array" ref="E1581">IF(COUNTA(C1581:C1673)=0,"",SUM((COUNTIF(C$4:C1581,Upgrades!$B$3:$B$13)-COUNTIF(C$4:C1581,"Sell_"&amp;Upgrades!$B$3:$B$13))*Upgrades!$D$3:$D$13))</f>
        <v/>
      </c>
      <c r="F1581" s="66" t="str">
        <f>IFERROR(__xludf.DUMMYFUNCTION("IF(COUNTA(C1581:C1673)=0,"""",IF(REGEXMATCH(INDEX(FILTER(C$4:C1581,C$4:C1581&lt;&gt;""""),ROWS(FILTER(C$4:C1581,C$4:C1581&lt;&gt;""""))),""^Sell_""),INDEX(FILTER(F$4:F1580,C$4:C1580&lt;&gt;""""),ROWS(FILTER(C$4:C1580,C$4:C1580&lt;&gt;""""))),$AC$5+E1581))"),"")</f>
        <v/>
      </c>
      <c r="G1581" s="10" t="str">
        <f>IFERROR(__xludf.DUMMYFUNCTION("IF(COUNTA(C1581:C1673)=0,"""",IF(C1581="""",0,IF(REGEXMATCH(C1581,""^Sell_""),-ROUNDDOWN(ROUNDUP(INDEX(Upgrades!$C$3:$C$13,MATCH(SUBSTITUTE(C1581,""Sell_"",""""),Upgrades!$B$3:$B$13,0))*1.15^(COUNTIF(C$4:C1580,SUBSTITUTE(C1581,""Sell_"",""""))-COUNTIF(C$4"&amp;":C1580,""Sell_""&amp;SUBSTITUTE(C1581,""Sell_"",""""))))/2),ROUNDUP(INDEX(Upgrades!$C$3:$C$13,MATCH(C1581,Upgrades!$B$3:$B$13,0))*1.15^(COUNTIF(C$4:C1580,C1581)-COUNTIF(C$4:C1580,""Sell_""&amp;C1581))))))"),"")</f>
        <v/>
      </c>
      <c r="H1581" s="10" t="str">
        <f t="shared" si="3"/>
        <v/>
      </c>
      <c r="I1581" s="68" t="str">
        <f t="shared" si="4"/>
        <v/>
      </c>
      <c r="J1581" s="59" t="str">
        <f t="shared" si="5"/>
        <v/>
      </c>
      <c r="K1581" s="69" t="str">
        <f t="shared" si="6"/>
        <v/>
      </c>
      <c r="L1581" s="60" t="str">
        <f t="shared" si="7"/>
        <v/>
      </c>
      <c r="M1581" s="61" t="str">
        <f>IFERROR(__xludf.DUMMYFUNCTION("IFS(AND(COUNTA(C1581:C1673)=0,COUNTA(Q1581:Q1673)=0),"""",OR(AND(K1581&gt;=1000000000,OR(Y1581&gt;=1000000000,COUNTA(Q1581:Q1673)=0)),OR(Y1581&gt;=1000000000,AND(COUNTA(C1581:C1673)=0,P$3=TRUE))),
ROUNDDOWN((AB$1-AC$1)*MAX(INDEX(T$4:T1673,MATCH(LARGE(FILTER(Y$4:Y1"&amp;"673,Y$4:Y1673&lt;1000000000),1),Y$4:Y1673)),INDEX(F$4:F1673,MATCH(LARGE(FILTER(K$4:K1673,K$4:K1673&lt;1000000000),1),K$4:K1673)))),AND(K1581&lt;1000000000,COUNTA(C1581:C1673)&gt;0,P$3=FALSE),
ROUNDDOWN(INDEX(Y$4:Y1673,MATCH(LARGE(FILTER(W$4:W1673,W$4:W1673&lt;=I1581),1)"&amp;",W$4:W1673))+(I1581-LARGE(FILTER(W$4:W1673,W$4:W1673&lt;=I1581),1))*INDEX(T$4:T1673,MATCH(LARGE(FILTER(W$4:W1673,W$4:W1673&lt;=I1581),1),W$4:W1673))-K1581),1,
ROUNDDOWN(Y1581-INDEX(K$4:K1673,MATCH(LARGE(FILTER(I$4:I1673,I$4:I1673&lt;=W1581),1),I$4:I1673))-(W1581-L"&amp;"ARGE(FILTER(I$4:I1673,I$4:I1673&lt;=W1581),1))*INDEX(F$4:F1673,MATCH(LARGE(FILTER(I$4:I1673,I$4:I1673&lt;=W1581),1),I$4:I1673))))"),"")</f>
        <v/>
      </c>
      <c r="N1581" s="60" t="str">
        <f t="shared" si="8"/>
        <v/>
      </c>
      <c r="O1581" s="61" t="str">
        <f t="shared" si="9"/>
        <v/>
      </c>
      <c r="P1581" s="56" t="str">
        <f t="shared" si="10"/>
        <v/>
      </c>
      <c r="Q1581" s="67"/>
      <c r="R1581" s="10"/>
      <c r="S1581" s="59" t="str">
        <f t="array" ref="S1581">IF(COUNTA(Q1581:Q1673)=0,"",SUM((COUNTIF(Q$4:Q1581,Upgrades!$B$3:$B$13)-COUNTIF(Q$4:Q1581,"Sell_"&amp;Upgrades!$B$3:$B$13))*Upgrades!$D$3:$D$13))</f>
        <v/>
      </c>
      <c r="T1581" s="66" t="str">
        <f>IFERROR(__xludf.DUMMYFUNCTION("IF(COUNTA(Q1581:Q1673)=0,"""",IF(REGEXMATCH(INDEX(FILTER(Q$4:Q1581,Q$4:Q1581&lt;&gt;""""),ROWS(FILTER(Q$4:Q1581,Q$4:Q1581&lt;&gt;""""))),""^Sell_""),INDEX(FILTER(T$4:T1580,Q$4:Q1580&lt;&gt;""""),ROWS(FILTER(Q$4:Q1580,Q$4:Q1580&lt;&gt;""""))),$AD$5+S1581))"),"")</f>
        <v/>
      </c>
      <c r="U1581" s="10" t="str">
        <f>IFERROR(__xludf.DUMMYFUNCTION("IF(COUNTA(Q1581:Q1673)=0,"""",IF(Q1581="""",0,IF(REGEXMATCH(Q1581,""^Sell_""),-ROUNDDOWN(ROUNDUP(INDEX(Upgrades!$C$3:$C$13,MATCH(SUBSTITUTE(Q1581,""Sell_"",""""),Upgrades!$B$3:$B$13,0))*1.15^(COUNTIF(Q$4:Q1580,SUBSTITUTE(Q1581,""Sell_"",""""))-COUNTIF(Q$4"&amp;":Q1580,""Sell_""&amp;SUBSTITUTE(Q1581,""Sell_"",""""))))/2),ROUNDUP(INDEX(Upgrades!$C$3:$C$13,MATCH(Q1581,Upgrades!$B$3:$B$13,0))*1.15^(COUNTIF(Q$4:Q1580,Q1581)-COUNTIF(Q$4:Q1580,""Sell_""&amp;Q1581))))))"),"")</f>
        <v/>
      </c>
      <c r="V1581" s="10" t="str">
        <f t="shared" si="11"/>
        <v/>
      </c>
      <c r="W1581" s="68" t="str">
        <f t="shared" si="12"/>
        <v/>
      </c>
      <c r="X1581" s="59" t="str">
        <f t="shared" si="13"/>
        <v/>
      </c>
      <c r="Y1581" s="69" t="str">
        <f t="shared" si="14"/>
        <v/>
      </c>
      <c r="Z1581" s="11"/>
    </row>
    <row r="1582">
      <c r="A1582" s="8"/>
      <c r="B1582" s="56" t="str">
        <f t="shared" si="2"/>
        <v/>
      </c>
      <c r="C1582" s="105"/>
      <c r="D1582" s="10"/>
      <c r="E1582" s="59" t="str">
        <f t="array" ref="E1582">IF(COUNTA(C1582:C1673)=0,"",SUM((COUNTIF(C$4:C1582,Upgrades!$B$3:$B$13)-COUNTIF(C$4:C1582,"Sell_"&amp;Upgrades!$B$3:$B$13))*Upgrades!$D$3:$D$13))</f>
        <v/>
      </c>
      <c r="F1582" s="66" t="str">
        <f>IFERROR(__xludf.DUMMYFUNCTION("IF(COUNTA(C1582:C1673)=0,"""",IF(REGEXMATCH(INDEX(FILTER(C$4:C1582,C$4:C1582&lt;&gt;""""),ROWS(FILTER(C$4:C1582,C$4:C1582&lt;&gt;""""))),""^Sell_""),INDEX(FILTER(F$4:F1581,C$4:C1581&lt;&gt;""""),ROWS(FILTER(C$4:C1581,C$4:C1581&lt;&gt;""""))),$AC$5+E1582))"),"")</f>
        <v/>
      </c>
      <c r="G1582" s="10" t="str">
        <f>IFERROR(__xludf.DUMMYFUNCTION("IF(COUNTA(C1582:C1673)=0,"""",IF(C1582="""",0,IF(REGEXMATCH(C1582,""^Sell_""),-ROUNDDOWN(ROUNDUP(INDEX(Upgrades!$C$3:$C$13,MATCH(SUBSTITUTE(C1582,""Sell_"",""""),Upgrades!$B$3:$B$13,0))*1.15^(COUNTIF(C$4:C1581,SUBSTITUTE(C1582,""Sell_"",""""))-COUNTIF(C$4"&amp;":C1581,""Sell_""&amp;SUBSTITUTE(C1582,""Sell_"",""""))))/2),ROUNDUP(INDEX(Upgrades!$C$3:$C$13,MATCH(C1582,Upgrades!$B$3:$B$13,0))*1.15^(COUNTIF(C$4:C1581,C1582)-COUNTIF(C$4:C1581,""Sell_""&amp;C1582))))))"),"")</f>
        <v/>
      </c>
      <c r="H1582" s="10" t="str">
        <f t="shared" si="3"/>
        <v/>
      </c>
      <c r="I1582" s="68" t="str">
        <f t="shared" si="4"/>
        <v/>
      </c>
      <c r="J1582" s="59" t="str">
        <f t="shared" si="5"/>
        <v/>
      </c>
      <c r="K1582" s="69" t="str">
        <f t="shared" si="6"/>
        <v/>
      </c>
      <c r="L1582" s="60" t="str">
        <f t="shared" si="7"/>
        <v/>
      </c>
      <c r="M1582" s="61" t="str">
        <f>IFERROR(__xludf.DUMMYFUNCTION("IFS(AND(COUNTA(C1582:C1673)=0,COUNTA(Q1582:Q1673)=0),"""",OR(AND(K1582&gt;=1000000000,OR(Y1582&gt;=1000000000,COUNTA(Q1582:Q1673)=0)),OR(Y1582&gt;=1000000000,AND(COUNTA(C1582:C1673)=0,P$3=TRUE))),
ROUNDDOWN((AB$1-AC$1)*MAX(INDEX(T$4:T1673,MATCH(LARGE(FILTER(Y$4:Y1"&amp;"673,Y$4:Y1673&lt;1000000000),1),Y$4:Y1673)),INDEX(F$4:F1673,MATCH(LARGE(FILTER(K$4:K1673,K$4:K1673&lt;1000000000),1),K$4:K1673)))),AND(K1582&lt;1000000000,COUNTA(C1582:C1673)&gt;0,P$3=FALSE),
ROUNDDOWN(INDEX(Y$4:Y1673,MATCH(LARGE(FILTER(W$4:W1673,W$4:W1673&lt;=I1582),1)"&amp;",W$4:W1673))+(I1582-LARGE(FILTER(W$4:W1673,W$4:W1673&lt;=I1582),1))*INDEX(T$4:T1673,MATCH(LARGE(FILTER(W$4:W1673,W$4:W1673&lt;=I1582),1),W$4:W1673))-K1582),1,
ROUNDDOWN(Y1582-INDEX(K$4:K1673,MATCH(LARGE(FILTER(I$4:I1673,I$4:I1673&lt;=W1582),1),I$4:I1673))-(W1582-L"&amp;"ARGE(FILTER(I$4:I1673,I$4:I1673&lt;=W1582),1))*INDEX(F$4:F1673,MATCH(LARGE(FILTER(I$4:I1673,I$4:I1673&lt;=W1582),1),I$4:I1673))))"),"")</f>
        <v/>
      </c>
      <c r="N1582" s="60" t="str">
        <f t="shared" si="8"/>
        <v/>
      </c>
      <c r="O1582" s="61" t="str">
        <f t="shared" si="9"/>
        <v/>
      </c>
      <c r="P1582" s="56" t="str">
        <f t="shared" si="10"/>
        <v/>
      </c>
      <c r="Q1582" s="67"/>
      <c r="R1582" s="10"/>
      <c r="S1582" s="59" t="str">
        <f t="array" ref="S1582">IF(COUNTA(Q1582:Q1673)=0,"",SUM((COUNTIF(Q$4:Q1582,Upgrades!$B$3:$B$13)-COUNTIF(Q$4:Q1582,"Sell_"&amp;Upgrades!$B$3:$B$13))*Upgrades!$D$3:$D$13))</f>
        <v/>
      </c>
      <c r="T1582" s="66" t="str">
        <f>IFERROR(__xludf.DUMMYFUNCTION("IF(COUNTA(Q1582:Q1673)=0,"""",IF(REGEXMATCH(INDEX(FILTER(Q$4:Q1582,Q$4:Q1582&lt;&gt;""""),ROWS(FILTER(Q$4:Q1582,Q$4:Q1582&lt;&gt;""""))),""^Sell_""),INDEX(FILTER(T$4:T1581,Q$4:Q1581&lt;&gt;""""),ROWS(FILTER(Q$4:Q1581,Q$4:Q1581&lt;&gt;""""))),$AD$5+S1582))"),"")</f>
        <v/>
      </c>
      <c r="U1582" s="10" t="str">
        <f>IFERROR(__xludf.DUMMYFUNCTION("IF(COUNTA(Q1582:Q1673)=0,"""",IF(Q1582="""",0,IF(REGEXMATCH(Q1582,""^Sell_""),-ROUNDDOWN(ROUNDUP(INDEX(Upgrades!$C$3:$C$13,MATCH(SUBSTITUTE(Q1582,""Sell_"",""""),Upgrades!$B$3:$B$13,0))*1.15^(COUNTIF(Q$4:Q1581,SUBSTITUTE(Q1582,""Sell_"",""""))-COUNTIF(Q$4"&amp;":Q1581,""Sell_""&amp;SUBSTITUTE(Q1582,""Sell_"",""""))))/2),ROUNDUP(INDEX(Upgrades!$C$3:$C$13,MATCH(Q1582,Upgrades!$B$3:$B$13,0))*1.15^(COUNTIF(Q$4:Q1581,Q1582)-COUNTIF(Q$4:Q1581,""Sell_""&amp;Q1582))))))"),"")</f>
        <v/>
      </c>
      <c r="V1582" s="10" t="str">
        <f t="shared" si="11"/>
        <v/>
      </c>
      <c r="W1582" s="68" t="str">
        <f t="shared" si="12"/>
        <v/>
      </c>
      <c r="X1582" s="59" t="str">
        <f t="shared" si="13"/>
        <v/>
      </c>
      <c r="Y1582" s="69" t="str">
        <f t="shared" si="14"/>
        <v/>
      </c>
      <c r="Z1582" s="11"/>
    </row>
    <row r="1583">
      <c r="A1583" s="8"/>
      <c r="B1583" s="56" t="str">
        <f t="shared" si="2"/>
        <v/>
      </c>
      <c r="C1583" s="105"/>
      <c r="D1583" s="10"/>
      <c r="E1583" s="59" t="str">
        <f t="array" ref="E1583">IF(COUNTA(C1583:C1673)=0,"",SUM((COUNTIF(C$4:C1583,Upgrades!$B$3:$B$13)-COUNTIF(C$4:C1583,"Sell_"&amp;Upgrades!$B$3:$B$13))*Upgrades!$D$3:$D$13))</f>
        <v/>
      </c>
      <c r="F1583" s="66" t="str">
        <f>IFERROR(__xludf.DUMMYFUNCTION("IF(COUNTA(C1583:C1673)=0,"""",IF(REGEXMATCH(INDEX(FILTER(C$4:C1583,C$4:C1583&lt;&gt;""""),ROWS(FILTER(C$4:C1583,C$4:C1583&lt;&gt;""""))),""^Sell_""),INDEX(FILTER(F$4:F1582,C$4:C1582&lt;&gt;""""),ROWS(FILTER(C$4:C1582,C$4:C1582&lt;&gt;""""))),$AC$5+E1583))"),"")</f>
        <v/>
      </c>
      <c r="G1583" s="10" t="str">
        <f>IFERROR(__xludf.DUMMYFUNCTION("IF(COUNTA(C1583:C1673)=0,"""",IF(C1583="""",0,IF(REGEXMATCH(C1583,""^Sell_""),-ROUNDDOWN(ROUNDUP(INDEX(Upgrades!$C$3:$C$13,MATCH(SUBSTITUTE(C1583,""Sell_"",""""),Upgrades!$B$3:$B$13,0))*1.15^(COUNTIF(C$4:C1582,SUBSTITUTE(C1583,""Sell_"",""""))-COUNTIF(C$4"&amp;":C1582,""Sell_""&amp;SUBSTITUTE(C1583,""Sell_"",""""))))/2),ROUNDUP(INDEX(Upgrades!$C$3:$C$13,MATCH(C1583,Upgrades!$B$3:$B$13,0))*1.15^(COUNTIF(C$4:C1582,C1583)-COUNTIF(C$4:C1582,""Sell_""&amp;C1583))))))"),"")</f>
        <v/>
      </c>
      <c r="H1583" s="10" t="str">
        <f t="shared" si="3"/>
        <v/>
      </c>
      <c r="I1583" s="68" t="str">
        <f t="shared" si="4"/>
        <v/>
      </c>
      <c r="J1583" s="59" t="str">
        <f t="shared" si="5"/>
        <v/>
      </c>
      <c r="K1583" s="69" t="str">
        <f t="shared" si="6"/>
        <v/>
      </c>
      <c r="L1583" s="60" t="str">
        <f t="shared" si="7"/>
        <v/>
      </c>
      <c r="M1583" s="61" t="str">
        <f>IFERROR(__xludf.DUMMYFUNCTION("IFS(AND(COUNTA(C1583:C1673)=0,COUNTA(Q1583:Q1673)=0),"""",OR(AND(K1583&gt;=1000000000,OR(Y1583&gt;=1000000000,COUNTA(Q1583:Q1673)=0)),OR(Y1583&gt;=1000000000,AND(COUNTA(C1583:C1673)=0,P$3=TRUE))),
ROUNDDOWN((AB$1-AC$1)*MAX(INDEX(T$4:T1673,MATCH(LARGE(FILTER(Y$4:Y1"&amp;"673,Y$4:Y1673&lt;1000000000),1),Y$4:Y1673)),INDEX(F$4:F1673,MATCH(LARGE(FILTER(K$4:K1673,K$4:K1673&lt;1000000000),1),K$4:K1673)))),AND(K1583&lt;1000000000,COUNTA(C1583:C1673)&gt;0,P$3=FALSE),
ROUNDDOWN(INDEX(Y$4:Y1673,MATCH(LARGE(FILTER(W$4:W1673,W$4:W1673&lt;=I1583),1)"&amp;",W$4:W1673))+(I1583-LARGE(FILTER(W$4:W1673,W$4:W1673&lt;=I1583),1))*INDEX(T$4:T1673,MATCH(LARGE(FILTER(W$4:W1673,W$4:W1673&lt;=I1583),1),W$4:W1673))-K1583),1,
ROUNDDOWN(Y1583-INDEX(K$4:K1673,MATCH(LARGE(FILTER(I$4:I1673,I$4:I1673&lt;=W1583),1),I$4:I1673))-(W1583-L"&amp;"ARGE(FILTER(I$4:I1673,I$4:I1673&lt;=W1583),1))*INDEX(F$4:F1673,MATCH(LARGE(FILTER(I$4:I1673,I$4:I1673&lt;=W1583),1),I$4:I1673))))"),"")</f>
        <v/>
      </c>
      <c r="N1583" s="60" t="str">
        <f t="shared" si="8"/>
        <v/>
      </c>
      <c r="O1583" s="61" t="str">
        <f t="shared" si="9"/>
        <v/>
      </c>
      <c r="P1583" s="56" t="str">
        <f t="shared" si="10"/>
        <v/>
      </c>
      <c r="Q1583" s="57"/>
      <c r="R1583" s="10"/>
      <c r="S1583" s="59" t="str">
        <f t="array" ref="S1583">IF(COUNTA(Q1583:Q1673)=0,"",SUM((COUNTIF(Q$4:Q1583,Upgrades!$B$3:$B$13)-COUNTIF(Q$4:Q1583,"Sell_"&amp;Upgrades!$B$3:$B$13))*Upgrades!$D$3:$D$13))</f>
        <v/>
      </c>
      <c r="T1583" s="66" t="str">
        <f>IFERROR(__xludf.DUMMYFUNCTION("IF(COUNTA(Q1583:Q1673)=0,"""",IF(REGEXMATCH(INDEX(FILTER(Q$4:Q1583,Q$4:Q1583&lt;&gt;""""),ROWS(FILTER(Q$4:Q1583,Q$4:Q1583&lt;&gt;""""))),""^Sell_""),INDEX(FILTER(T$4:T1582,Q$4:Q1582&lt;&gt;""""),ROWS(FILTER(Q$4:Q1582,Q$4:Q1582&lt;&gt;""""))),$AD$5+S1583))"),"")</f>
        <v/>
      </c>
      <c r="U1583" s="10" t="str">
        <f>IFERROR(__xludf.DUMMYFUNCTION("IF(COUNTA(Q1583:Q1673)=0,"""",IF(Q1583="""",0,IF(REGEXMATCH(Q1583,""^Sell_""),-ROUNDDOWN(ROUNDUP(INDEX(Upgrades!$C$3:$C$13,MATCH(SUBSTITUTE(Q1583,""Sell_"",""""),Upgrades!$B$3:$B$13,0))*1.15^(COUNTIF(Q$4:Q1582,SUBSTITUTE(Q1583,""Sell_"",""""))-COUNTIF(Q$4"&amp;":Q1582,""Sell_""&amp;SUBSTITUTE(Q1583,""Sell_"",""""))))/2),ROUNDUP(INDEX(Upgrades!$C$3:$C$13,MATCH(Q1583,Upgrades!$B$3:$B$13,0))*1.15^(COUNTIF(Q$4:Q1582,Q1583)-COUNTIF(Q$4:Q1582,""Sell_""&amp;Q1583))))))"),"")</f>
        <v/>
      </c>
      <c r="V1583" s="10" t="str">
        <f t="shared" si="11"/>
        <v/>
      </c>
      <c r="W1583" s="68" t="str">
        <f t="shared" si="12"/>
        <v/>
      </c>
      <c r="X1583" s="59" t="str">
        <f t="shared" si="13"/>
        <v/>
      </c>
      <c r="Y1583" s="69" t="str">
        <f t="shared" si="14"/>
        <v/>
      </c>
      <c r="Z1583" s="11"/>
    </row>
    <row r="1584">
      <c r="A1584" s="8"/>
      <c r="B1584" s="56" t="str">
        <f t="shared" si="2"/>
        <v/>
      </c>
      <c r="C1584" s="105"/>
      <c r="D1584" s="10"/>
      <c r="E1584" s="59" t="str">
        <f t="array" ref="E1584">IF(COUNTA(C1584:C1673)=0,"",SUM((COUNTIF(C$4:C1584,Upgrades!$B$3:$B$13)-COUNTIF(C$4:C1584,"Sell_"&amp;Upgrades!$B$3:$B$13))*Upgrades!$D$3:$D$13))</f>
        <v/>
      </c>
      <c r="F1584" s="66" t="str">
        <f>IFERROR(__xludf.DUMMYFUNCTION("IF(COUNTA(C1584:C1673)=0,"""",IF(REGEXMATCH(INDEX(FILTER(C$4:C1584,C$4:C1584&lt;&gt;""""),ROWS(FILTER(C$4:C1584,C$4:C1584&lt;&gt;""""))),""^Sell_""),INDEX(FILTER(F$4:F1583,C$4:C1583&lt;&gt;""""),ROWS(FILTER(C$4:C1583,C$4:C1583&lt;&gt;""""))),$AC$5+E1584))"),"")</f>
        <v/>
      </c>
      <c r="G1584" s="10" t="str">
        <f>IFERROR(__xludf.DUMMYFUNCTION("IF(COUNTA(C1584:C1673)=0,"""",IF(C1584="""",0,IF(REGEXMATCH(C1584,""^Sell_""),-ROUNDDOWN(ROUNDUP(INDEX(Upgrades!$C$3:$C$13,MATCH(SUBSTITUTE(C1584,""Sell_"",""""),Upgrades!$B$3:$B$13,0))*1.15^(COUNTIF(C$4:C1583,SUBSTITUTE(C1584,""Sell_"",""""))-COUNTIF(C$4"&amp;":C1583,""Sell_""&amp;SUBSTITUTE(C1584,""Sell_"",""""))))/2),ROUNDUP(INDEX(Upgrades!$C$3:$C$13,MATCH(C1584,Upgrades!$B$3:$B$13,0))*1.15^(COUNTIF(C$4:C1583,C1584)-COUNTIF(C$4:C1583,""Sell_""&amp;C1584))))))"),"")</f>
        <v/>
      </c>
      <c r="H1584" s="10" t="str">
        <f t="shared" si="3"/>
        <v/>
      </c>
      <c r="I1584" s="68" t="str">
        <f t="shared" si="4"/>
        <v/>
      </c>
      <c r="J1584" s="59" t="str">
        <f t="shared" si="5"/>
        <v/>
      </c>
      <c r="K1584" s="69" t="str">
        <f t="shared" si="6"/>
        <v/>
      </c>
      <c r="L1584" s="60" t="str">
        <f t="shared" si="7"/>
        <v/>
      </c>
      <c r="M1584" s="61" t="str">
        <f>IFERROR(__xludf.DUMMYFUNCTION("IFS(AND(COUNTA(C1584:C1673)=0,COUNTA(Q1584:Q1673)=0),"""",OR(AND(K1584&gt;=1000000000,OR(Y1584&gt;=1000000000,COUNTA(Q1584:Q1673)=0)),OR(Y1584&gt;=1000000000,AND(COUNTA(C1584:C1673)=0,P$3=TRUE))),
ROUNDDOWN((AB$1-AC$1)*MAX(INDEX(T$4:T1673,MATCH(LARGE(FILTER(Y$4:Y1"&amp;"673,Y$4:Y1673&lt;1000000000),1),Y$4:Y1673)),INDEX(F$4:F1673,MATCH(LARGE(FILTER(K$4:K1673,K$4:K1673&lt;1000000000),1),K$4:K1673)))),AND(K1584&lt;1000000000,COUNTA(C1584:C1673)&gt;0,P$3=FALSE),
ROUNDDOWN(INDEX(Y$4:Y1673,MATCH(LARGE(FILTER(W$4:W1673,W$4:W1673&lt;=I1584),1)"&amp;",W$4:W1673))+(I1584-LARGE(FILTER(W$4:W1673,W$4:W1673&lt;=I1584),1))*INDEX(T$4:T1673,MATCH(LARGE(FILTER(W$4:W1673,W$4:W1673&lt;=I1584),1),W$4:W1673))-K1584),1,
ROUNDDOWN(Y1584-INDEX(K$4:K1673,MATCH(LARGE(FILTER(I$4:I1673,I$4:I1673&lt;=W1584),1),I$4:I1673))-(W1584-L"&amp;"ARGE(FILTER(I$4:I1673,I$4:I1673&lt;=W1584),1))*INDEX(F$4:F1673,MATCH(LARGE(FILTER(I$4:I1673,I$4:I1673&lt;=W1584),1),I$4:I1673))))"),"")</f>
        <v/>
      </c>
      <c r="N1584" s="60" t="str">
        <f t="shared" si="8"/>
        <v/>
      </c>
      <c r="O1584" s="61" t="str">
        <f t="shared" si="9"/>
        <v/>
      </c>
      <c r="P1584" s="56" t="str">
        <f t="shared" si="10"/>
        <v/>
      </c>
      <c r="Q1584" s="57"/>
      <c r="R1584" s="10"/>
      <c r="S1584" s="59" t="str">
        <f t="array" ref="S1584">IF(COUNTA(Q1584:Q1673)=0,"",SUM((COUNTIF(Q$4:Q1584,Upgrades!$B$3:$B$13)-COUNTIF(Q$4:Q1584,"Sell_"&amp;Upgrades!$B$3:$B$13))*Upgrades!$D$3:$D$13))</f>
        <v/>
      </c>
      <c r="T1584" s="66" t="str">
        <f>IFERROR(__xludf.DUMMYFUNCTION("IF(COUNTA(Q1584:Q1673)=0,"""",IF(REGEXMATCH(INDEX(FILTER(Q$4:Q1584,Q$4:Q1584&lt;&gt;""""),ROWS(FILTER(Q$4:Q1584,Q$4:Q1584&lt;&gt;""""))),""^Sell_""),INDEX(FILTER(T$4:T1583,Q$4:Q1583&lt;&gt;""""),ROWS(FILTER(Q$4:Q1583,Q$4:Q1583&lt;&gt;""""))),$AD$5+S1584))"),"")</f>
        <v/>
      </c>
      <c r="U1584" s="10" t="str">
        <f>IFERROR(__xludf.DUMMYFUNCTION("IF(COUNTA(Q1584:Q1673)=0,"""",IF(Q1584="""",0,IF(REGEXMATCH(Q1584,""^Sell_""),-ROUNDDOWN(ROUNDUP(INDEX(Upgrades!$C$3:$C$13,MATCH(SUBSTITUTE(Q1584,""Sell_"",""""),Upgrades!$B$3:$B$13,0))*1.15^(COUNTIF(Q$4:Q1583,SUBSTITUTE(Q1584,""Sell_"",""""))-COUNTIF(Q$4"&amp;":Q1583,""Sell_""&amp;SUBSTITUTE(Q1584,""Sell_"",""""))))/2),ROUNDUP(INDEX(Upgrades!$C$3:$C$13,MATCH(Q1584,Upgrades!$B$3:$B$13,0))*1.15^(COUNTIF(Q$4:Q1583,Q1584)-COUNTIF(Q$4:Q1583,""Sell_""&amp;Q1584))))))"),"")</f>
        <v/>
      </c>
      <c r="V1584" s="10" t="str">
        <f t="shared" si="11"/>
        <v/>
      </c>
      <c r="W1584" s="68" t="str">
        <f t="shared" si="12"/>
        <v/>
      </c>
      <c r="X1584" s="59" t="str">
        <f t="shared" si="13"/>
        <v/>
      </c>
      <c r="Y1584" s="69" t="str">
        <f t="shared" si="14"/>
        <v/>
      </c>
      <c r="Z1584" s="11"/>
    </row>
    <row r="1585">
      <c r="A1585" s="8"/>
      <c r="B1585" s="56" t="str">
        <f t="shared" si="2"/>
        <v/>
      </c>
      <c r="C1585" s="105"/>
      <c r="D1585" s="10"/>
      <c r="E1585" s="59" t="str">
        <f t="array" ref="E1585">IF(COUNTA(C1585:C1673)=0,"",SUM((COUNTIF(C$4:C1585,Upgrades!$B$3:$B$13)-COUNTIF(C$4:C1585,"Sell_"&amp;Upgrades!$B$3:$B$13))*Upgrades!$D$3:$D$13))</f>
        <v/>
      </c>
      <c r="F1585" s="66" t="str">
        <f>IFERROR(__xludf.DUMMYFUNCTION("IF(COUNTA(C1585:C1673)=0,"""",IF(REGEXMATCH(INDEX(FILTER(C$4:C1585,C$4:C1585&lt;&gt;""""),ROWS(FILTER(C$4:C1585,C$4:C1585&lt;&gt;""""))),""^Sell_""),INDEX(FILTER(F$4:F1584,C$4:C1584&lt;&gt;""""),ROWS(FILTER(C$4:C1584,C$4:C1584&lt;&gt;""""))),$AC$5+E1585))"),"")</f>
        <v/>
      </c>
      <c r="G1585" s="10" t="str">
        <f>IFERROR(__xludf.DUMMYFUNCTION("IF(COUNTA(C1585:C1673)=0,"""",IF(C1585="""",0,IF(REGEXMATCH(C1585,""^Sell_""),-ROUNDDOWN(ROUNDUP(INDEX(Upgrades!$C$3:$C$13,MATCH(SUBSTITUTE(C1585,""Sell_"",""""),Upgrades!$B$3:$B$13,0))*1.15^(COUNTIF(C$4:C1584,SUBSTITUTE(C1585,""Sell_"",""""))-COUNTIF(C$4"&amp;":C1584,""Sell_""&amp;SUBSTITUTE(C1585,""Sell_"",""""))))/2),ROUNDUP(INDEX(Upgrades!$C$3:$C$13,MATCH(C1585,Upgrades!$B$3:$B$13,0))*1.15^(COUNTIF(C$4:C1584,C1585)-COUNTIF(C$4:C1584,""Sell_""&amp;C1585))))))"),"")</f>
        <v/>
      </c>
      <c r="H1585" s="10" t="str">
        <f t="shared" si="3"/>
        <v/>
      </c>
      <c r="I1585" s="68" t="str">
        <f t="shared" si="4"/>
        <v/>
      </c>
      <c r="J1585" s="59" t="str">
        <f t="shared" si="5"/>
        <v/>
      </c>
      <c r="K1585" s="69" t="str">
        <f t="shared" si="6"/>
        <v/>
      </c>
      <c r="L1585" s="60" t="str">
        <f t="shared" si="7"/>
        <v/>
      </c>
      <c r="M1585" s="61" t="str">
        <f>IFERROR(__xludf.DUMMYFUNCTION("IFS(AND(COUNTA(C1585:C1673)=0,COUNTA(Q1585:Q1673)=0),"""",OR(AND(K1585&gt;=1000000000,OR(Y1585&gt;=1000000000,COUNTA(Q1585:Q1673)=0)),OR(Y1585&gt;=1000000000,AND(COUNTA(C1585:C1673)=0,P$3=TRUE))),
ROUNDDOWN((AB$1-AC$1)*MAX(INDEX(T$4:T1673,MATCH(LARGE(FILTER(Y$4:Y1"&amp;"673,Y$4:Y1673&lt;1000000000),1),Y$4:Y1673)),INDEX(F$4:F1673,MATCH(LARGE(FILTER(K$4:K1673,K$4:K1673&lt;1000000000),1),K$4:K1673)))),AND(K1585&lt;1000000000,COUNTA(C1585:C1673)&gt;0,P$3=FALSE),
ROUNDDOWN(INDEX(Y$4:Y1673,MATCH(LARGE(FILTER(W$4:W1673,W$4:W1673&lt;=I1585),1)"&amp;",W$4:W1673))+(I1585-LARGE(FILTER(W$4:W1673,W$4:W1673&lt;=I1585),1))*INDEX(T$4:T1673,MATCH(LARGE(FILTER(W$4:W1673,W$4:W1673&lt;=I1585),1),W$4:W1673))-K1585),1,
ROUNDDOWN(Y1585-INDEX(K$4:K1673,MATCH(LARGE(FILTER(I$4:I1673,I$4:I1673&lt;=W1585),1),I$4:I1673))-(W1585-L"&amp;"ARGE(FILTER(I$4:I1673,I$4:I1673&lt;=W1585),1))*INDEX(F$4:F1673,MATCH(LARGE(FILTER(I$4:I1673,I$4:I1673&lt;=W1585),1),I$4:I1673))))"),"")</f>
        <v/>
      </c>
      <c r="N1585" s="60" t="str">
        <f t="shared" si="8"/>
        <v/>
      </c>
      <c r="O1585" s="61" t="str">
        <f t="shared" si="9"/>
        <v/>
      </c>
      <c r="P1585" s="56" t="str">
        <f t="shared" si="10"/>
        <v/>
      </c>
      <c r="Q1585" s="57"/>
      <c r="R1585" s="10"/>
      <c r="S1585" s="59" t="str">
        <f t="array" ref="S1585">IF(COUNTA(Q1585:Q1673)=0,"",SUM((COUNTIF(Q$4:Q1585,Upgrades!$B$3:$B$13)-COUNTIF(Q$4:Q1585,"Sell_"&amp;Upgrades!$B$3:$B$13))*Upgrades!$D$3:$D$13))</f>
        <v/>
      </c>
      <c r="T1585" s="66" t="str">
        <f>IFERROR(__xludf.DUMMYFUNCTION("IF(COUNTA(Q1585:Q1673)=0,"""",IF(REGEXMATCH(INDEX(FILTER(Q$4:Q1585,Q$4:Q1585&lt;&gt;""""),ROWS(FILTER(Q$4:Q1585,Q$4:Q1585&lt;&gt;""""))),""^Sell_""),INDEX(FILTER(T$4:T1584,Q$4:Q1584&lt;&gt;""""),ROWS(FILTER(Q$4:Q1584,Q$4:Q1584&lt;&gt;""""))),$AD$5+S1585))"),"")</f>
        <v/>
      </c>
      <c r="U1585" s="10" t="str">
        <f>IFERROR(__xludf.DUMMYFUNCTION("IF(COUNTA(Q1585:Q1673)=0,"""",IF(Q1585="""",0,IF(REGEXMATCH(Q1585,""^Sell_""),-ROUNDDOWN(ROUNDUP(INDEX(Upgrades!$C$3:$C$13,MATCH(SUBSTITUTE(Q1585,""Sell_"",""""),Upgrades!$B$3:$B$13,0))*1.15^(COUNTIF(Q$4:Q1584,SUBSTITUTE(Q1585,""Sell_"",""""))-COUNTIF(Q$4"&amp;":Q1584,""Sell_""&amp;SUBSTITUTE(Q1585,""Sell_"",""""))))/2),ROUNDUP(INDEX(Upgrades!$C$3:$C$13,MATCH(Q1585,Upgrades!$B$3:$B$13,0))*1.15^(COUNTIF(Q$4:Q1584,Q1585)-COUNTIF(Q$4:Q1584,""Sell_""&amp;Q1585))))))"),"")</f>
        <v/>
      </c>
      <c r="V1585" s="10" t="str">
        <f t="shared" si="11"/>
        <v/>
      </c>
      <c r="W1585" s="68" t="str">
        <f t="shared" si="12"/>
        <v/>
      </c>
      <c r="X1585" s="59" t="str">
        <f t="shared" si="13"/>
        <v/>
      </c>
      <c r="Y1585" s="69" t="str">
        <f t="shared" si="14"/>
        <v/>
      </c>
      <c r="Z1585" s="11"/>
    </row>
    <row r="1586">
      <c r="A1586" s="8"/>
      <c r="B1586" s="56" t="str">
        <f t="shared" si="2"/>
        <v/>
      </c>
      <c r="C1586" s="105"/>
      <c r="D1586" s="10"/>
      <c r="E1586" s="59" t="str">
        <f t="array" ref="E1586">IF(COUNTA(C1586:C1673)=0,"",SUM((COUNTIF(C$4:C1586,Upgrades!$B$3:$B$13)-COUNTIF(C$4:C1586,"Sell_"&amp;Upgrades!$B$3:$B$13))*Upgrades!$D$3:$D$13))</f>
        <v/>
      </c>
      <c r="F1586" s="66" t="str">
        <f>IFERROR(__xludf.DUMMYFUNCTION("IF(COUNTA(C1586:C1673)=0,"""",IF(REGEXMATCH(INDEX(FILTER(C$4:C1586,C$4:C1586&lt;&gt;""""),ROWS(FILTER(C$4:C1586,C$4:C1586&lt;&gt;""""))),""^Sell_""),INDEX(FILTER(F$4:F1585,C$4:C1585&lt;&gt;""""),ROWS(FILTER(C$4:C1585,C$4:C1585&lt;&gt;""""))),$AC$5+E1586))"),"")</f>
        <v/>
      </c>
      <c r="G1586" s="10" t="str">
        <f>IFERROR(__xludf.DUMMYFUNCTION("IF(COUNTA(C1586:C1673)=0,"""",IF(C1586="""",0,IF(REGEXMATCH(C1586,""^Sell_""),-ROUNDDOWN(ROUNDUP(INDEX(Upgrades!$C$3:$C$13,MATCH(SUBSTITUTE(C1586,""Sell_"",""""),Upgrades!$B$3:$B$13,0))*1.15^(COUNTIF(C$4:C1585,SUBSTITUTE(C1586,""Sell_"",""""))-COUNTIF(C$4"&amp;":C1585,""Sell_""&amp;SUBSTITUTE(C1586,""Sell_"",""""))))/2),ROUNDUP(INDEX(Upgrades!$C$3:$C$13,MATCH(C1586,Upgrades!$B$3:$B$13,0))*1.15^(COUNTIF(C$4:C1585,C1586)-COUNTIF(C$4:C1585,""Sell_""&amp;C1586))))))"),"")</f>
        <v/>
      </c>
      <c r="H1586" s="10" t="str">
        <f t="shared" si="3"/>
        <v/>
      </c>
      <c r="I1586" s="68" t="str">
        <f t="shared" si="4"/>
        <v/>
      </c>
      <c r="J1586" s="59" t="str">
        <f t="shared" si="5"/>
        <v/>
      </c>
      <c r="K1586" s="69" t="str">
        <f t="shared" si="6"/>
        <v/>
      </c>
      <c r="L1586" s="60" t="str">
        <f t="shared" si="7"/>
        <v/>
      </c>
      <c r="M1586" s="61" t="str">
        <f>IFERROR(__xludf.DUMMYFUNCTION("IFS(AND(COUNTA(C1586:C1673)=0,COUNTA(Q1586:Q1673)=0),"""",OR(AND(K1586&gt;=1000000000,OR(Y1586&gt;=1000000000,COUNTA(Q1586:Q1673)=0)),OR(Y1586&gt;=1000000000,AND(COUNTA(C1586:C1673)=0,P$3=TRUE))),
ROUNDDOWN((AB$1-AC$1)*MAX(INDEX(T$4:T1673,MATCH(LARGE(FILTER(Y$4:Y1"&amp;"673,Y$4:Y1673&lt;1000000000),1),Y$4:Y1673)),INDEX(F$4:F1673,MATCH(LARGE(FILTER(K$4:K1673,K$4:K1673&lt;1000000000),1),K$4:K1673)))),AND(K1586&lt;1000000000,COUNTA(C1586:C1673)&gt;0,P$3=FALSE),
ROUNDDOWN(INDEX(Y$4:Y1673,MATCH(LARGE(FILTER(W$4:W1673,W$4:W1673&lt;=I1586),1)"&amp;",W$4:W1673))+(I1586-LARGE(FILTER(W$4:W1673,W$4:W1673&lt;=I1586),1))*INDEX(T$4:T1673,MATCH(LARGE(FILTER(W$4:W1673,W$4:W1673&lt;=I1586),1),W$4:W1673))-K1586),1,
ROUNDDOWN(Y1586-INDEX(K$4:K1673,MATCH(LARGE(FILTER(I$4:I1673,I$4:I1673&lt;=W1586),1),I$4:I1673))-(W1586-L"&amp;"ARGE(FILTER(I$4:I1673,I$4:I1673&lt;=W1586),1))*INDEX(F$4:F1673,MATCH(LARGE(FILTER(I$4:I1673,I$4:I1673&lt;=W1586),1),I$4:I1673))))"),"")</f>
        <v/>
      </c>
      <c r="N1586" s="60" t="str">
        <f t="shared" si="8"/>
        <v/>
      </c>
      <c r="O1586" s="61" t="str">
        <f t="shared" si="9"/>
        <v/>
      </c>
      <c r="P1586" s="56" t="str">
        <f t="shared" si="10"/>
        <v/>
      </c>
      <c r="Q1586" s="57"/>
      <c r="R1586" s="10"/>
      <c r="S1586" s="59" t="str">
        <f t="array" ref="S1586">IF(COUNTA(Q1586:Q1673)=0,"",SUM((COUNTIF(Q$4:Q1586,Upgrades!$B$3:$B$13)-COUNTIF(Q$4:Q1586,"Sell_"&amp;Upgrades!$B$3:$B$13))*Upgrades!$D$3:$D$13))</f>
        <v/>
      </c>
      <c r="T1586" s="66" t="str">
        <f>IFERROR(__xludf.DUMMYFUNCTION("IF(COUNTA(Q1586:Q1673)=0,"""",IF(REGEXMATCH(INDEX(FILTER(Q$4:Q1586,Q$4:Q1586&lt;&gt;""""),ROWS(FILTER(Q$4:Q1586,Q$4:Q1586&lt;&gt;""""))),""^Sell_""),INDEX(FILTER(T$4:T1585,Q$4:Q1585&lt;&gt;""""),ROWS(FILTER(Q$4:Q1585,Q$4:Q1585&lt;&gt;""""))),$AD$5+S1586))"),"")</f>
        <v/>
      </c>
      <c r="U1586" s="10" t="str">
        <f>IFERROR(__xludf.DUMMYFUNCTION("IF(COUNTA(Q1586:Q1673)=0,"""",IF(Q1586="""",0,IF(REGEXMATCH(Q1586,""^Sell_""),-ROUNDDOWN(ROUNDUP(INDEX(Upgrades!$C$3:$C$13,MATCH(SUBSTITUTE(Q1586,""Sell_"",""""),Upgrades!$B$3:$B$13,0))*1.15^(COUNTIF(Q$4:Q1585,SUBSTITUTE(Q1586,""Sell_"",""""))-COUNTIF(Q$4"&amp;":Q1585,""Sell_""&amp;SUBSTITUTE(Q1586,""Sell_"",""""))))/2),ROUNDUP(INDEX(Upgrades!$C$3:$C$13,MATCH(Q1586,Upgrades!$B$3:$B$13,0))*1.15^(COUNTIF(Q$4:Q1585,Q1586)-COUNTIF(Q$4:Q1585,""Sell_""&amp;Q1586))))))"),"")</f>
        <v/>
      </c>
      <c r="V1586" s="10" t="str">
        <f t="shared" si="11"/>
        <v/>
      </c>
      <c r="W1586" s="68" t="str">
        <f t="shared" si="12"/>
        <v/>
      </c>
      <c r="X1586" s="59" t="str">
        <f t="shared" si="13"/>
        <v/>
      </c>
      <c r="Y1586" s="69" t="str">
        <f t="shared" si="14"/>
        <v/>
      </c>
      <c r="Z1586" s="11"/>
    </row>
    <row r="1587">
      <c r="A1587" s="8"/>
      <c r="B1587" s="56" t="str">
        <f t="shared" si="2"/>
        <v/>
      </c>
      <c r="C1587" s="105"/>
      <c r="D1587" s="10"/>
      <c r="E1587" s="59" t="str">
        <f t="array" ref="E1587">IF(COUNTA(C1587:C1673)=0,"",SUM((COUNTIF(C$4:C1587,Upgrades!$B$3:$B$13)-COUNTIF(C$4:C1587,"Sell_"&amp;Upgrades!$B$3:$B$13))*Upgrades!$D$3:$D$13))</f>
        <v/>
      </c>
      <c r="F1587" s="66" t="str">
        <f>IFERROR(__xludf.DUMMYFUNCTION("IF(COUNTA(C1587:C1673)=0,"""",IF(REGEXMATCH(INDEX(FILTER(C$4:C1587,C$4:C1587&lt;&gt;""""),ROWS(FILTER(C$4:C1587,C$4:C1587&lt;&gt;""""))),""^Sell_""),INDEX(FILTER(F$4:F1586,C$4:C1586&lt;&gt;""""),ROWS(FILTER(C$4:C1586,C$4:C1586&lt;&gt;""""))),$AC$5+E1587))"),"")</f>
        <v/>
      </c>
      <c r="G1587" s="10" t="str">
        <f>IFERROR(__xludf.DUMMYFUNCTION("IF(COUNTA(C1587:C1673)=0,"""",IF(C1587="""",0,IF(REGEXMATCH(C1587,""^Sell_""),-ROUNDDOWN(ROUNDUP(INDEX(Upgrades!$C$3:$C$13,MATCH(SUBSTITUTE(C1587,""Sell_"",""""),Upgrades!$B$3:$B$13,0))*1.15^(COUNTIF(C$4:C1586,SUBSTITUTE(C1587,""Sell_"",""""))-COUNTIF(C$4"&amp;":C1586,""Sell_""&amp;SUBSTITUTE(C1587,""Sell_"",""""))))/2),ROUNDUP(INDEX(Upgrades!$C$3:$C$13,MATCH(C1587,Upgrades!$B$3:$B$13,0))*1.15^(COUNTIF(C$4:C1586,C1587)-COUNTIF(C$4:C1586,""Sell_""&amp;C1587))))))"),"")</f>
        <v/>
      </c>
      <c r="H1587" s="10" t="str">
        <f t="shared" si="3"/>
        <v/>
      </c>
      <c r="I1587" s="68" t="str">
        <f t="shared" si="4"/>
        <v/>
      </c>
      <c r="J1587" s="59" t="str">
        <f t="shared" si="5"/>
        <v/>
      </c>
      <c r="K1587" s="69" t="str">
        <f t="shared" si="6"/>
        <v/>
      </c>
      <c r="L1587" s="60" t="str">
        <f t="shared" si="7"/>
        <v/>
      </c>
      <c r="M1587" s="61" t="str">
        <f>IFERROR(__xludf.DUMMYFUNCTION("IFS(AND(COUNTA(C1587:C1673)=0,COUNTA(Q1587:Q1673)=0),"""",OR(AND(K1587&gt;=1000000000,OR(Y1587&gt;=1000000000,COUNTA(Q1587:Q1673)=0)),OR(Y1587&gt;=1000000000,AND(COUNTA(C1587:C1673)=0,P$3=TRUE))),
ROUNDDOWN((AB$1-AC$1)*MAX(INDEX(T$4:T1673,MATCH(LARGE(FILTER(Y$4:Y1"&amp;"673,Y$4:Y1673&lt;1000000000),1),Y$4:Y1673)),INDEX(F$4:F1673,MATCH(LARGE(FILTER(K$4:K1673,K$4:K1673&lt;1000000000),1),K$4:K1673)))),AND(K1587&lt;1000000000,COUNTA(C1587:C1673)&gt;0,P$3=FALSE),
ROUNDDOWN(INDEX(Y$4:Y1673,MATCH(LARGE(FILTER(W$4:W1673,W$4:W1673&lt;=I1587),1)"&amp;",W$4:W1673))+(I1587-LARGE(FILTER(W$4:W1673,W$4:W1673&lt;=I1587),1))*INDEX(T$4:T1673,MATCH(LARGE(FILTER(W$4:W1673,W$4:W1673&lt;=I1587),1),W$4:W1673))-K1587),1,
ROUNDDOWN(Y1587-INDEX(K$4:K1673,MATCH(LARGE(FILTER(I$4:I1673,I$4:I1673&lt;=W1587),1),I$4:I1673))-(W1587-L"&amp;"ARGE(FILTER(I$4:I1673,I$4:I1673&lt;=W1587),1))*INDEX(F$4:F1673,MATCH(LARGE(FILTER(I$4:I1673,I$4:I1673&lt;=W1587),1),I$4:I1673))))"),"")</f>
        <v/>
      </c>
      <c r="N1587" s="60" t="str">
        <f t="shared" si="8"/>
        <v/>
      </c>
      <c r="O1587" s="61" t="str">
        <f t="shared" si="9"/>
        <v/>
      </c>
      <c r="P1587" s="56" t="str">
        <f t="shared" si="10"/>
        <v/>
      </c>
      <c r="Q1587" s="57"/>
      <c r="R1587" s="10"/>
      <c r="S1587" s="59" t="str">
        <f t="array" ref="S1587">IF(COUNTA(Q1587:Q1673)=0,"",SUM((COUNTIF(Q$4:Q1587,Upgrades!$B$3:$B$13)-COUNTIF(Q$4:Q1587,"Sell_"&amp;Upgrades!$B$3:$B$13))*Upgrades!$D$3:$D$13))</f>
        <v/>
      </c>
      <c r="T1587" s="66" t="str">
        <f>IFERROR(__xludf.DUMMYFUNCTION("IF(COUNTA(Q1587:Q1673)=0,"""",IF(REGEXMATCH(INDEX(FILTER(Q$4:Q1587,Q$4:Q1587&lt;&gt;""""),ROWS(FILTER(Q$4:Q1587,Q$4:Q1587&lt;&gt;""""))),""^Sell_""),INDEX(FILTER(T$4:T1586,Q$4:Q1586&lt;&gt;""""),ROWS(FILTER(Q$4:Q1586,Q$4:Q1586&lt;&gt;""""))),$AD$5+S1587))"),"")</f>
        <v/>
      </c>
      <c r="U1587" s="10" t="str">
        <f>IFERROR(__xludf.DUMMYFUNCTION("IF(COUNTA(Q1587:Q1673)=0,"""",IF(Q1587="""",0,IF(REGEXMATCH(Q1587,""^Sell_""),-ROUNDDOWN(ROUNDUP(INDEX(Upgrades!$C$3:$C$13,MATCH(SUBSTITUTE(Q1587,""Sell_"",""""),Upgrades!$B$3:$B$13,0))*1.15^(COUNTIF(Q$4:Q1586,SUBSTITUTE(Q1587,""Sell_"",""""))-COUNTIF(Q$4"&amp;":Q1586,""Sell_""&amp;SUBSTITUTE(Q1587,""Sell_"",""""))))/2),ROUNDUP(INDEX(Upgrades!$C$3:$C$13,MATCH(Q1587,Upgrades!$B$3:$B$13,0))*1.15^(COUNTIF(Q$4:Q1586,Q1587)-COUNTIF(Q$4:Q1586,""Sell_""&amp;Q1587))))))"),"")</f>
        <v/>
      </c>
      <c r="V1587" s="10" t="str">
        <f t="shared" si="11"/>
        <v/>
      </c>
      <c r="W1587" s="68" t="str">
        <f t="shared" si="12"/>
        <v/>
      </c>
      <c r="X1587" s="59" t="str">
        <f t="shared" si="13"/>
        <v/>
      </c>
      <c r="Y1587" s="69" t="str">
        <f t="shared" si="14"/>
        <v/>
      </c>
      <c r="Z1587" s="11"/>
    </row>
    <row r="1588">
      <c r="A1588" s="8"/>
      <c r="B1588" s="56" t="str">
        <f t="shared" si="2"/>
        <v/>
      </c>
      <c r="C1588" s="105"/>
      <c r="D1588" s="10"/>
      <c r="E1588" s="59" t="str">
        <f t="array" ref="E1588">IF(COUNTA(C1588:C1673)=0,"",SUM((COUNTIF(C$4:C1588,Upgrades!$B$3:$B$13)-COUNTIF(C$4:C1588,"Sell_"&amp;Upgrades!$B$3:$B$13))*Upgrades!$D$3:$D$13))</f>
        <v/>
      </c>
      <c r="F1588" s="66" t="str">
        <f>IFERROR(__xludf.DUMMYFUNCTION("IF(COUNTA(C1588:C1673)=0,"""",IF(REGEXMATCH(INDEX(FILTER(C$4:C1588,C$4:C1588&lt;&gt;""""),ROWS(FILTER(C$4:C1588,C$4:C1588&lt;&gt;""""))),""^Sell_""),INDEX(FILTER(F$4:F1587,C$4:C1587&lt;&gt;""""),ROWS(FILTER(C$4:C1587,C$4:C1587&lt;&gt;""""))),$AC$5+E1588))"),"")</f>
        <v/>
      </c>
      <c r="G1588" s="10" t="str">
        <f>IFERROR(__xludf.DUMMYFUNCTION("IF(COUNTA(C1588:C1673)=0,"""",IF(C1588="""",0,IF(REGEXMATCH(C1588,""^Sell_""),-ROUNDDOWN(ROUNDUP(INDEX(Upgrades!$C$3:$C$13,MATCH(SUBSTITUTE(C1588,""Sell_"",""""),Upgrades!$B$3:$B$13,0))*1.15^(COUNTIF(C$4:C1587,SUBSTITUTE(C1588,""Sell_"",""""))-COUNTIF(C$4"&amp;":C1587,""Sell_""&amp;SUBSTITUTE(C1588,""Sell_"",""""))))/2),ROUNDUP(INDEX(Upgrades!$C$3:$C$13,MATCH(C1588,Upgrades!$B$3:$B$13,0))*1.15^(COUNTIF(C$4:C1587,C1588)-COUNTIF(C$4:C1587,""Sell_""&amp;C1588))))))"),"")</f>
        <v/>
      </c>
      <c r="H1588" s="10" t="str">
        <f t="shared" si="3"/>
        <v/>
      </c>
      <c r="I1588" s="68" t="str">
        <f t="shared" si="4"/>
        <v/>
      </c>
      <c r="J1588" s="59" t="str">
        <f t="shared" si="5"/>
        <v/>
      </c>
      <c r="K1588" s="69" t="str">
        <f t="shared" si="6"/>
        <v/>
      </c>
      <c r="L1588" s="60" t="str">
        <f t="shared" si="7"/>
        <v/>
      </c>
      <c r="M1588" s="61" t="str">
        <f>IFERROR(__xludf.DUMMYFUNCTION("IFS(AND(COUNTA(C1588:C1673)=0,COUNTA(Q1588:Q1673)=0),"""",OR(AND(K1588&gt;=1000000000,OR(Y1588&gt;=1000000000,COUNTA(Q1588:Q1673)=0)),OR(Y1588&gt;=1000000000,AND(COUNTA(C1588:C1673)=0,P$3=TRUE))),
ROUNDDOWN((AB$1-AC$1)*MAX(INDEX(T$4:T1673,MATCH(LARGE(FILTER(Y$4:Y1"&amp;"673,Y$4:Y1673&lt;1000000000),1),Y$4:Y1673)),INDEX(F$4:F1673,MATCH(LARGE(FILTER(K$4:K1673,K$4:K1673&lt;1000000000),1),K$4:K1673)))),AND(K1588&lt;1000000000,COUNTA(C1588:C1673)&gt;0,P$3=FALSE),
ROUNDDOWN(INDEX(Y$4:Y1673,MATCH(LARGE(FILTER(W$4:W1673,W$4:W1673&lt;=I1588),1)"&amp;",W$4:W1673))+(I1588-LARGE(FILTER(W$4:W1673,W$4:W1673&lt;=I1588),1))*INDEX(T$4:T1673,MATCH(LARGE(FILTER(W$4:W1673,W$4:W1673&lt;=I1588),1),W$4:W1673))-K1588),1,
ROUNDDOWN(Y1588-INDEX(K$4:K1673,MATCH(LARGE(FILTER(I$4:I1673,I$4:I1673&lt;=W1588),1),I$4:I1673))-(W1588-L"&amp;"ARGE(FILTER(I$4:I1673,I$4:I1673&lt;=W1588),1))*INDEX(F$4:F1673,MATCH(LARGE(FILTER(I$4:I1673,I$4:I1673&lt;=W1588),1),I$4:I1673))))"),"")</f>
        <v/>
      </c>
      <c r="N1588" s="60" t="str">
        <f t="shared" si="8"/>
        <v/>
      </c>
      <c r="O1588" s="61" t="str">
        <f t="shared" si="9"/>
        <v/>
      </c>
      <c r="P1588" s="56" t="str">
        <f t="shared" si="10"/>
        <v/>
      </c>
      <c r="Q1588" s="57"/>
      <c r="R1588" s="10"/>
      <c r="S1588" s="59" t="str">
        <f t="array" ref="S1588">IF(COUNTA(Q1588:Q1673)=0,"",SUM((COUNTIF(Q$4:Q1588,Upgrades!$B$3:$B$13)-COUNTIF(Q$4:Q1588,"Sell_"&amp;Upgrades!$B$3:$B$13))*Upgrades!$D$3:$D$13))</f>
        <v/>
      </c>
      <c r="T1588" s="66" t="str">
        <f>IFERROR(__xludf.DUMMYFUNCTION("IF(COUNTA(Q1588:Q1673)=0,"""",IF(REGEXMATCH(INDEX(FILTER(Q$4:Q1588,Q$4:Q1588&lt;&gt;""""),ROWS(FILTER(Q$4:Q1588,Q$4:Q1588&lt;&gt;""""))),""^Sell_""),INDEX(FILTER(T$4:T1587,Q$4:Q1587&lt;&gt;""""),ROWS(FILTER(Q$4:Q1587,Q$4:Q1587&lt;&gt;""""))),$AD$5+S1588))"),"")</f>
        <v/>
      </c>
      <c r="U1588" s="10" t="str">
        <f>IFERROR(__xludf.DUMMYFUNCTION("IF(COUNTA(Q1588:Q1673)=0,"""",IF(Q1588="""",0,IF(REGEXMATCH(Q1588,""^Sell_""),-ROUNDDOWN(ROUNDUP(INDEX(Upgrades!$C$3:$C$13,MATCH(SUBSTITUTE(Q1588,""Sell_"",""""),Upgrades!$B$3:$B$13,0))*1.15^(COUNTIF(Q$4:Q1587,SUBSTITUTE(Q1588,""Sell_"",""""))-COUNTIF(Q$4"&amp;":Q1587,""Sell_""&amp;SUBSTITUTE(Q1588,""Sell_"",""""))))/2),ROUNDUP(INDEX(Upgrades!$C$3:$C$13,MATCH(Q1588,Upgrades!$B$3:$B$13,0))*1.15^(COUNTIF(Q$4:Q1587,Q1588)-COUNTIF(Q$4:Q1587,""Sell_""&amp;Q1588))))))"),"")</f>
        <v/>
      </c>
      <c r="V1588" s="10" t="str">
        <f t="shared" si="11"/>
        <v/>
      </c>
      <c r="W1588" s="68" t="str">
        <f t="shared" si="12"/>
        <v/>
      </c>
      <c r="X1588" s="59" t="str">
        <f t="shared" si="13"/>
        <v/>
      </c>
      <c r="Y1588" s="69" t="str">
        <f t="shared" si="14"/>
        <v/>
      </c>
      <c r="Z1588" s="11"/>
    </row>
    <row r="1589">
      <c r="A1589" s="8"/>
      <c r="B1589" s="56" t="str">
        <f t="shared" si="2"/>
        <v/>
      </c>
      <c r="C1589" s="105"/>
      <c r="D1589" s="10"/>
      <c r="E1589" s="59" t="str">
        <f t="array" ref="E1589">IF(COUNTA(C1589:C1673)=0,"",SUM((COUNTIF(C$4:C1589,Upgrades!$B$3:$B$13)-COUNTIF(C$4:C1589,"Sell_"&amp;Upgrades!$B$3:$B$13))*Upgrades!$D$3:$D$13))</f>
        <v/>
      </c>
      <c r="F1589" s="66" t="str">
        <f>IFERROR(__xludf.DUMMYFUNCTION("IF(COUNTA(C1589:C1673)=0,"""",IF(REGEXMATCH(INDEX(FILTER(C$4:C1589,C$4:C1589&lt;&gt;""""),ROWS(FILTER(C$4:C1589,C$4:C1589&lt;&gt;""""))),""^Sell_""),INDEX(FILTER(F$4:F1588,C$4:C1588&lt;&gt;""""),ROWS(FILTER(C$4:C1588,C$4:C1588&lt;&gt;""""))),$AC$5+E1589))"),"")</f>
        <v/>
      </c>
      <c r="G1589" s="10" t="str">
        <f>IFERROR(__xludf.DUMMYFUNCTION("IF(COUNTA(C1589:C1673)=0,"""",IF(C1589="""",0,IF(REGEXMATCH(C1589,""^Sell_""),-ROUNDDOWN(ROUNDUP(INDEX(Upgrades!$C$3:$C$13,MATCH(SUBSTITUTE(C1589,""Sell_"",""""),Upgrades!$B$3:$B$13,0))*1.15^(COUNTIF(C$4:C1588,SUBSTITUTE(C1589,""Sell_"",""""))-COUNTIF(C$4"&amp;":C1588,""Sell_""&amp;SUBSTITUTE(C1589,""Sell_"",""""))))/2),ROUNDUP(INDEX(Upgrades!$C$3:$C$13,MATCH(C1589,Upgrades!$B$3:$B$13,0))*1.15^(COUNTIF(C$4:C1588,C1589)-COUNTIF(C$4:C1588,""Sell_""&amp;C1589))))))"),"")</f>
        <v/>
      </c>
      <c r="H1589" s="10" t="str">
        <f t="shared" si="3"/>
        <v/>
      </c>
      <c r="I1589" s="68" t="str">
        <f t="shared" si="4"/>
        <v/>
      </c>
      <c r="J1589" s="59" t="str">
        <f t="shared" si="5"/>
        <v/>
      </c>
      <c r="K1589" s="69" t="str">
        <f t="shared" si="6"/>
        <v/>
      </c>
      <c r="L1589" s="60" t="str">
        <f t="shared" si="7"/>
        <v/>
      </c>
      <c r="M1589" s="61" t="str">
        <f>IFERROR(__xludf.DUMMYFUNCTION("IFS(AND(COUNTA(C1589:C1673)=0,COUNTA(Q1589:Q1673)=0),"""",OR(AND(K1589&gt;=1000000000,OR(Y1589&gt;=1000000000,COUNTA(Q1589:Q1673)=0)),OR(Y1589&gt;=1000000000,AND(COUNTA(C1589:C1673)=0,P$3=TRUE))),
ROUNDDOWN((AB$1-AC$1)*MAX(INDEX(T$4:T1673,MATCH(LARGE(FILTER(Y$4:Y1"&amp;"673,Y$4:Y1673&lt;1000000000),1),Y$4:Y1673)),INDEX(F$4:F1673,MATCH(LARGE(FILTER(K$4:K1673,K$4:K1673&lt;1000000000),1),K$4:K1673)))),AND(K1589&lt;1000000000,COUNTA(C1589:C1673)&gt;0,P$3=FALSE),
ROUNDDOWN(INDEX(Y$4:Y1673,MATCH(LARGE(FILTER(W$4:W1673,W$4:W1673&lt;=I1589),1)"&amp;",W$4:W1673))+(I1589-LARGE(FILTER(W$4:W1673,W$4:W1673&lt;=I1589),1))*INDEX(T$4:T1673,MATCH(LARGE(FILTER(W$4:W1673,W$4:W1673&lt;=I1589),1),W$4:W1673))-K1589),1,
ROUNDDOWN(Y1589-INDEX(K$4:K1673,MATCH(LARGE(FILTER(I$4:I1673,I$4:I1673&lt;=W1589),1),I$4:I1673))-(W1589-L"&amp;"ARGE(FILTER(I$4:I1673,I$4:I1673&lt;=W1589),1))*INDEX(F$4:F1673,MATCH(LARGE(FILTER(I$4:I1673,I$4:I1673&lt;=W1589),1),I$4:I1673))))"),"")</f>
        <v/>
      </c>
      <c r="N1589" s="60" t="str">
        <f t="shared" si="8"/>
        <v/>
      </c>
      <c r="O1589" s="61" t="str">
        <f t="shared" si="9"/>
        <v/>
      </c>
      <c r="P1589" s="56" t="str">
        <f t="shared" si="10"/>
        <v/>
      </c>
      <c r="Q1589" s="57"/>
      <c r="R1589" s="10"/>
      <c r="S1589" s="59" t="str">
        <f t="array" ref="S1589">IF(COUNTA(Q1589:Q1673)=0,"",SUM((COUNTIF(Q$4:Q1589,Upgrades!$B$3:$B$13)-COUNTIF(Q$4:Q1589,"Sell_"&amp;Upgrades!$B$3:$B$13))*Upgrades!$D$3:$D$13))</f>
        <v/>
      </c>
      <c r="T1589" s="66" t="str">
        <f>IFERROR(__xludf.DUMMYFUNCTION("IF(COUNTA(Q1589:Q1673)=0,"""",IF(REGEXMATCH(INDEX(FILTER(Q$4:Q1589,Q$4:Q1589&lt;&gt;""""),ROWS(FILTER(Q$4:Q1589,Q$4:Q1589&lt;&gt;""""))),""^Sell_""),INDEX(FILTER(T$4:T1588,Q$4:Q1588&lt;&gt;""""),ROWS(FILTER(Q$4:Q1588,Q$4:Q1588&lt;&gt;""""))),$AD$5+S1589))"),"")</f>
        <v/>
      </c>
      <c r="U1589" s="10" t="str">
        <f>IFERROR(__xludf.DUMMYFUNCTION("IF(COUNTA(Q1589:Q1673)=0,"""",IF(Q1589="""",0,IF(REGEXMATCH(Q1589,""^Sell_""),-ROUNDDOWN(ROUNDUP(INDEX(Upgrades!$C$3:$C$13,MATCH(SUBSTITUTE(Q1589,""Sell_"",""""),Upgrades!$B$3:$B$13,0))*1.15^(COUNTIF(Q$4:Q1588,SUBSTITUTE(Q1589,""Sell_"",""""))-COUNTIF(Q$4"&amp;":Q1588,""Sell_""&amp;SUBSTITUTE(Q1589,""Sell_"",""""))))/2),ROUNDUP(INDEX(Upgrades!$C$3:$C$13,MATCH(Q1589,Upgrades!$B$3:$B$13,0))*1.15^(COUNTIF(Q$4:Q1588,Q1589)-COUNTIF(Q$4:Q1588,""Sell_""&amp;Q1589))))))"),"")</f>
        <v/>
      </c>
      <c r="V1589" s="10" t="str">
        <f t="shared" si="11"/>
        <v/>
      </c>
      <c r="W1589" s="68" t="str">
        <f t="shared" si="12"/>
        <v/>
      </c>
      <c r="X1589" s="59" t="str">
        <f t="shared" si="13"/>
        <v/>
      </c>
      <c r="Y1589" s="69" t="str">
        <f t="shared" si="14"/>
        <v/>
      </c>
      <c r="Z1589" s="11"/>
    </row>
    <row r="1590">
      <c r="A1590" s="8"/>
      <c r="B1590" s="56" t="str">
        <f t="shared" si="2"/>
        <v/>
      </c>
      <c r="C1590" s="105"/>
      <c r="D1590" s="10"/>
      <c r="E1590" s="59" t="str">
        <f t="array" ref="E1590">IF(COUNTA(C1590:C1673)=0,"",SUM((COUNTIF(C$4:C1590,Upgrades!$B$3:$B$13)-COUNTIF(C$4:C1590,"Sell_"&amp;Upgrades!$B$3:$B$13))*Upgrades!$D$3:$D$13))</f>
        <v/>
      </c>
      <c r="F1590" s="66" t="str">
        <f>IFERROR(__xludf.DUMMYFUNCTION("IF(COUNTA(C1590:C1673)=0,"""",IF(REGEXMATCH(INDEX(FILTER(C$4:C1590,C$4:C1590&lt;&gt;""""),ROWS(FILTER(C$4:C1590,C$4:C1590&lt;&gt;""""))),""^Sell_""),INDEX(FILTER(F$4:F1589,C$4:C1589&lt;&gt;""""),ROWS(FILTER(C$4:C1589,C$4:C1589&lt;&gt;""""))),$AC$5+E1590))"),"")</f>
        <v/>
      </c>
      <c r="G1590" s="10" t="str">
        <f>IFERROR(__xludf.DUMMYFUNCTION("IF(COUNTA(C1590:C1673)=0,"""",IF(C1590="""",0,IF(REGEXMATCH(C1590,""^Sell_""),-ROUNDDOWN(ROUNDUP(INDEX(Upgrades!$C$3:$C$13,MATCH(SUBSTITUTE(C1590,""Sell_"",""""),Upgrades!$B$3:$B$13,0))*1.15^(COUNTIF(C$4:C1589,SUBSTITUTE(C1590,""Sell_"",""""))-COUNTIF(C$4"&amp;":C1589,""Sell_""&amp;SUBSTITUTE(C1590,""Sell_"",""""))))/2),ROUNDUP(INDEX(Upgrades!$C$3:$C$13,MATCH(C1590,Upgrades!$B$3:$B$13,0))*1.15^(COUNTIF(C$4:C1589,C1590)-COUNTIF(C$4:C1589,""Sell_""&amp;C1590))))))"),"")</f>
        <v/>
      </c>
      <c r="H1590" s="10" t="str">
        <f t="shared" si="3"/>
        <v/>
      </c>
      <c r="I1590" s="68" t="str">
        <f t="shared" si="4"/>
        <v/>
      </c>
      <c r="J1590" s="59" t="str">
        <f t="shared" si="5"/>
        <v/>
      </c>
      <c r="K1590" s="69" t="str">
        <f t="shared" si="6"/>
        <v/>
      </c>
      <c r="L1590" s="60" t="str">
        <f t="shared" si="7"/>
        <v/>
      </c>
      <c r="M1590" s="61" t="str">
        <f>IFERROR(__xludf.DUMMYFUNCTION("IFS(AND(COUNTA(C1590:C1673)=0,COUNTA(Q1590:Q1673)=0),"""",OR(AND(K1590&gt;=1000000000,OR(Y1590&gt;=1000000000,COUNTA(Q1590:Q1673)=0)),OR(Y1590&gt;=1000000000,AND(COUNTA(C1590:C1673)=0,P$3=TRUE))),
ROUNDDOWN((AB$1-AC$1)*MAX(INDEX(T$4:T1673,MATCH(LARGE(FILTER(Y$4:Y1"&amp;"673,Y$4:Y1673&lt;1000000000),1),Y$4:Y1673)),INDEX(F$4:F1673,MATCH(LARGE(FILTER(K$4:K1673,K$4:K1673&lt;1000000000),1),K$4:K1673)))),AND(K1590&lt;1000000000,COUNTA(C1590:C1673)&gt;0,P$3=FALSE),
ROUNDDOWN(INDEX(Y$4:Y1673,MATCH(LARGE(FILTER(W$4:W1673,W$4:W1673&lt;=I1590),1)"&amp;",W$4:W1673))+(I1590-LARGE(FILTER(W$4:W1673,W$4:W1673&lt;=I1590),1))*INDEX(T$4:T1673,MATCH(LARGE(FILTER(W$4:W1673,W$4:W1673&lt;=I1590),1),W$4:W1673))-K1590),1,
ROUNDDOWN(Y1590-INDEX(K$4:K1673,MATCH(LARGE(FILTER(I$4:I1673,I$4:I1673&lt;=W1590),1),I$4:I1673))-(W1590-L"&amp;"ARGE(FILTER(I$4:I1673,I$4:I1673&lt;=W1590),1))*INDEX(F$4:F1673,MATCH(LARGE(FILTER(I$4:I1673,I$4:I1673&lt;=W1590),1),I$4:I1673))))"),"")</f>
        <v/>
      </c>
      <c r="N1590" s="60" t="str">
        <f t="shared" si="8"/>
        <v/>
      </c>
      <c r="O1590" s="61" t="str">
        <f t="shared" si="9"/>
        <v/>
      </c>
      <c r="P1590" s="56" t="str">
        <f t="shared" si="10"/>
        <v/>
      </c>
      <c r="Q1590" s="57"/>
      <c r="R1590" s="10"/>
      <c r="S1590" s="59" t="str">
        <f t="array" ref="S1590">IF(COUNTA(Q1590:Q1673)=0,"",SUM((COUNTIF(Q$4:Q1590,Upgrades!$B$3:$B$13)-COUNTIF(Q$4:Q1590,"Sell_"&amp;Upgrades!$B$3:$B$13))*Upgrades!$D$3:$D$13))</f>
        <v/>
      </c>
      <c r="T1590" s="66" t="str">
        <f>IFERROR(__xludf.DUMMYFUNCTION("IF(COUNTA(Q1590:Q1673)=0,"""",IF(REGEXMATCH(INDEX(FILTER(Q$4:Q1590,Q$4:Q1590&lt;&gt;""""),ROWS(FILTER(Q$4:Q1590,Q$4:Q1590&lt;&gt;""""))),""^Sell_""),INDEX(FILTER(T$4:T1589,Q$4:Q1589&lt;&gt;""""),ROWS(FILTER(Q$4:Q1589,Q$4:Q1589&lt;&gt;""""))),$AD$5+S1590))"),"")</f>
        <v/>
      </c>
      <c r="U1590" s="10" t="str">
        <f>IFERROR(__xludf.DUMMYFUNCTION("IF(COUNTA(Q1590:Q1673)=0,"""",IF(Q1590="""",0,IF(REGEXMATCH(Q1590,""^Sell_""),-ROUNDDOWN(ROUNDUP(INDEX(Upgrades!$C$3:$C$13,MATCH(SUBSTITUTE(Q1590,""Sell_"",""""),Upgrades!$B$3:$B$13,0))*1.15^(COUNTIF(Q$4:Q1589,SUBSTITUTE(Q1590,""Sell_"",""""))-COUNTIF(Q$4"&amp;":Q1589,""Sell_""&amp;SUBSTITUTE(Q1590,""Sell_"",""""))))/2),ROUNDUP(INDEX(Upgrades!$C$3:$C$13,MATCH(Q1590,Upgrades!$B$3:$B$13,0))*1.15^(COUNTIF(Q$4:Q1589,Q1590)-COUNTIF(Q$4:Q1589,""Sell_""&amp;Q1590))))))"),"")</f>
        <v/>
      </c>
      <c r="V1590" s="10" t="str">
        <f t="shared" si="11"/>
        <v/>
      </c>
      <c r="W1590" s="68" t="str">
        <f t="shared" si="12"/>
        <v/>
      </c>
      <c r="X1590" s="59" t="str">
        <f t="shared" si="13"/>
        <v/>
      </c>
      <c r="Y1590" s="69" t="str">
        <f t="shared" si="14"/>
        <v/>
      </c>
      <c r="Z1590" s="11"/>
    </row>
    <row r="1591">
      <c r="A1591" s="8"/>
      <c r="B1591" s="56" t="str">
        <f t="shared" si="2"/>
        <v/>
      </c>
      <c r="C1591" s="105"/>
      <c r="D1591" s="10"/>
      <c r="E1591" s="59" t="str">
        <f t="array" ref="E1591">IF(COUNTA(C1591:C1673)=0,"",SUM((COUNTIF(C$4:C1591,Upgrades!$B$3:$B$13)-COUNTIF(C$4:C1591,"Sell_"&amp;Upgrades!$B$3:$B$13))*Upgrades!$D$3:$D$13))</f>
        <v/>
      </c>
      <c r="F1591" s="66" t="str">
        <f>IFERROR(__xludf.DUMMYFUNCTION("IF(COUNTA(C1591:C1673)=0,"""",IF(REGEXMATCH(INDEX(FILTER(C$4:C1591,C$4:C1591&lt;&gt;""""),ROWS(FILTER(C$4:C1591,C$4:C1591&lt;&gt;""""))),""^Sell_""),INDEX(FILTER(F$4:F1590,C$4:C1590&lt;&gt;""""),ROWS(FILTER(C$4:C1590,C$4:C1590&lt;&gt;""""))),$AC$5+E1591))"),"")</f>
        <v/>
      </c>
      <c r="G1591" s="10" t="str">
        <f>IFERROR(__xludf.DUMMYFUNCTION("IF(COUNTA(C1591:C1673)=0,"""",IF(C1591="""",0,IF(REGEXMATCH(C1591,""^Sell_""),-ROUNDDOWN(ROUNDUP(INDEX(Upgrades!$C$3:$C$13,MATCH(SUBSTITUTE(C1591,""Sell_"",""""),Upgrades!$B$3:$B$13,0))*1.15^(COUNTIF(C$4:C1590,SUBSTITUTE(C1591,""Sell_"",""""))-COUNTIF(C$4"&amp;":C1590,""Sell_""&amp;SUBSTITUTE(C1591,""Sell_"",""""))))/2),ROUNDUP(INDEX(Upgrades!$C$3:$C$13,MATCH(C1591,Upgrades!$B$3:$B$13,0))*1.15^(COUNTIF(C$4:C1590,C1591)-COUNTIF(C$4:C1590,""Sell_""&amp;C1591))))))"),"")</f>
        <v/>
      </c>
      <c r="H1591" s="10" t="str">
        <f t="shared" si="3"/>
        <v/>
      </c>
      <c r="I1591" s="68" t="str">
        <f t="shared" si="4"/>
        <v/>
      </c>
      <c r="J1591" s="59" t="str">
        <f t="shared" si="5"/>
        <v/>
      </c>
      <c r="K1591" s="69" t="str">
        <f t="shared" si="6"/>
        <v/>
      </c>
      <c r="L1591" s="60" t="str">
        <f t="shared" si="7"/>
        <v/>
      </c>
      <c r="M1591" s="61" t="str">
        <f>IFERROR(__xludf.DUMMYFUNCTION("IFS(AND(COUNTA(C1591:C1673)=0,COUNTA(Q1591:Q1673)=0),"""",OR(AND(K1591&gt;=1000000000,OR(Y1591&gt;=1000000000,COUNTA(Q1591:Q1673)=0)),OR(Y1591&gt;=1000000000,AND(COUNTA(C1591:C1673)=0,P$3=TRUE))),
ROUNDDOWN((AB$1-AC$1)*MAX(INDEX(T$4:T1673,MATCH(LARGE(FILTER(Y$4:Y1"&amp;"673,Y$4:Y1673&lt;1000000000),1),Y$4:Y1673)),INDEX(F$4:F1673,MATCH(LARGE(FILTER(K$4:K1673,K$4:K1673&lt;1000000000),1),K$4:K1673)))),AND(K1591&lt;1000000000,COUNTA(C1591:C1673)&gt;0,P$3=FALSE),
ROUNDDOWN(INDEX(Y$4:Y1673,MATCH(LARGE(FILTER(W$4:W1673,W$4:W1673&lt;=I1591),1)"&amp;",W$4:W1673))+(I1591-LARGE(FILTER(W$4:W1673,W$4:W1673&lt;=I1591),1))*INDEX(T$4:T1673,MATCH(LARGE(FILTER(W$4:W1673,W$4:W1673&lt;=I1591),1),W$4:W1673))-K1591),1,
ROUNDDOWN(Y1591-INDEX(K$4:K1673,MATCH(LARGE(FILTER(I$4:I1673,I$4:I1673&lt;=W1591),1),I$4:I1673))-(W1591-L"&amp;"ARGE(FILTER(I$4:I1673,I$4:I1673&lt;=W1591),1))*INDEX(F$4:F1673,MATCH(LARGE(FILTER(I$4:I1673,I$4:I1673&lt;=W1591),1),I$4:I1673))))"),"")</f>
        <v/>
      </c>
      <c r="N1591" s="60" t="str">
        <f t="shared" si="8"/>
        <v/>
      </c>
      <c r="O1591" s="61" t="str">
        <f t="shared" si="9"/>
        <v/>
      </c>
      <c r="P1591" s="56" t="str">
        <f t="shared" si="10"/>
        <v/>
      </c>
      <c r="Q1591" s="57"/>
      <c r="R1591" s="10"/>
      <c r="S1591" s="59" t="str">
        <f t="array" ref="S1591">IF(COUNTA(Q1591:Q1673)=0,"",SUM((COUNTIF(Q$4:Q1591,Upgrades!$B$3:$B$13)-COUNTIF(Q$4:Q1591,"Sell_"&amp;Upgrades!$B$3:$B$13))*Upgrades!$D$3:$D$13))</f>
        <v/>
      </c>
      <c r="T1591" s="66" t="str">
        <f>IFERROR(__xludf.DUMMYFUNCTION("IF(COUNTA(Q1591:Q1673)=0,"""",IF(REGEXMATCH(INDEX(FILTER(Q$4:Q1591,Q$4:Q1591&lt;&gt;""""),ROWS(FILTER(Q$4:Q1591,Q$4:Q1591&lt;&gt;""""))),""^Sell_""),INDEX(FILTER(T$4:T1590,Q$4:Q1590&lt;&gt;""""),ROWS(FILTER(Q$4:Q1590,Q$4:Q1590&lt;&gt;""""))),$AD$5+S1591))"),"")</f>
        <v/>
      </c>
      <c r="U1591" s="10" t="str">
        <f>IFERROR(__xludf.DUMMYFUNCTION("IF(COUNTA(Q1591:Q1673)=0,"""",IF(Q1591="""",0,IF(REGEXMATCH(Q1591,""^Sell_""),-ROUNDDOWN(ROUNDUP(INDEX(Upgrades!$C$3:$C$13,MATCH(SUBSTITUTE(Q1591,""Sell_"",""""),Upgrades!$B$3:$B$13,0))*1.15^(COUNTIF(Q$4:Q1590,SUBSTITUTE(Q1591,""Sell_"",""""))-COUNTIF(Q$4"&amp;":Q1590,""Sell_""&amp;SUBSTITUTE(Q1591,""Sell_"",""""))))/2),ROUNDUP(INDEX(Upgrades!$C$3:$C$13,MATCH(Q1591,Upgrades!$B$3:$B$13,0))*1.15^(COUNTIF(Q$4:Q1590,Q1591)-COUNTIF(Q$4:Q1590,""Sell_""&amp;Q1591))))))"),"")</f>
        <v/>
      </c>
      <c r="V1591" s="10" t="str">
        <f t="shared" si="11"/>
        <v/>
      </c>
      <c r="W1591" s="68" t="str">
        <f t="shared" si="12"/>
        <v/>
      </c>
      <c r="X1591" s="59" t="str">
        <f t="shared" si="13"/>
        <v/>
      </c>
      <c r="Y1591" s="69" t="str">
        <f t="shared" si="14"/>
        <v/>
      </c>
      <c r="Z1591" s="11"/>
    </row>
    <row r="1592">
      <c r="A1592" s="8"/>
      <c r="B1592" s="56" t="str">
        <f t="shared" si="2"/>
        <v/>
      </c>
      <c r="C1592" s="105"/>
      <c r="D1592" s="10"/>
      <c r="E1592" s="59" t="str">
        <f t="array" ref="E1592">IF(COUNTA(C1592:C1673)=0,"",SUM((COUNTIF(C$4:C1592,Upgrades!$B$3:$B$13)-COUNTIF(C$4:C1592,"Sell_"&amp;Upgrades!$B$3:$B$13))*Upgrades!$D$3:$D$13))</f>
        <v/>
      </c>
      <c r="F1592" s="66" t="str">
        <f>IFERROR(__xludf.DUMMYFUNCTION("IF(COUNTA(C1592:C1673)=0,"""",IF(REGEXMATCH(INDEX(FILTER(C$4:C1592,C$4:C1592&lt;&gt;""""),ROWS(FILTER(C$4:C1592,C$4:C1592&lt;&gt;""""))),""^Sell_""),INDEX(FILTER(F$4:F1591,C$4:C1591&lt;&gt;""""),ROWS(FILTER(C$4:C1591,C$4:C1591&lt;&gt;""""))),$AC$5+E1592))"),"")</f>
        <v/>
      </c>
      <c r="G1592" s="10" t="str">
        <f>IFERROR(__xludf.DUMMYFUNCTION("IF(COUNTA(C1592:C1673)=0,"""",IF(C1592="""",0,IF(REGEXMATCH(C1592,""^Sell_""),-ROUNDDOWN(ROUNDUP(INDEX(Upgrades!$C$3:$C$13,MATCH(SUBSTITUTE(C1592,""Sell_"",""""),Upgrades!$B$3:$B$13,0))*1.15^(COUNTIF(C$4:C1591,SUBSTITUTE(C1592,""Sell_"",""""))-COUNTIF(C$4"&amp;":C1591,""Sell_""&amp;SUBSTITUTE(C1592,""Sell_"",""""))))/2),ROUNDUP(INDEX(Upgrades!$C$3:$C$13,MATCH(C1592,Upgrades!$B$3:$B$13,0))*1.15^(COUNTIF(C$4:C1591,C1592)-COUNTIF(C$4:C1591,""Sell_""&amp;C1592))))))"),"")</f>
        <v/>
      </c>
      <c r="H1592" s="10" t="str">
        <f t="shared" si="3"/>
        <v/>
      </c>
      <c r="I1592" s="68" t="str">
        <f t="shared" si="4"/>
        <v/>
      </c>
      <c r="J1592" s="59" t="str">
        <f t="shared" si="5"/>
        <v/>
      </c>
      <c r="K1592" s="69" t="str">
        <f t="shared" si="6"/>
        <v/>
      </c>
      <c r="L1592" s="60" t="str">
        <f t="shared" si="7"/>
        <v/>
      </c>
      <c r="M1592" s="61" t="str">
        <f>IFERROR(__xludf.DUMMYFUNCTION("IFS(AND(COUNTA(C1592:C1673)=0,COUNTA(Q1592:Q1673)=0),"""",OR(AND(K1592&gt;=1000000000,OR(Y1592&gt;=1000000000,COUNTA(Q1592:Q1673)=0)),OR(Y1592&gt;=1000000000,AND(COUNTA(C1592:C1673)=0,P$3=TRUE))),
ROUNDDOWN((AB$1-AC$1)*MAX(INDEX(T$4:T1673,MATCH(LARGE(FILTER(Y$4:Y1"&amp;"673,Y$4:Y1673&lt;1000000000),1),Y$4:Y1673)),INDEX(F$4:F1673,MATCH(LARGE(FILTER(K$4:K1673,K$4:K1673&lt;1000000000),1),K$4:K1673)))),AND(K1592&lt;1000000000,COUNTA(C1592:C1673)&gt;0,P$3=FALSE),
ROUNDDOWN(INDEX(Y$4:Y1673,MATCH(LARGE(FILTER(W$4:W1673,W$4:W1673&lt;=I1592),1)"&amp;",W$4:W1673))+(I1592-LARGE(FILTER(W$4:W1673,W$4:W1673&lt;=I1592),1))*INDEX(T$4:T1673,MATCH(LARGE(FILTER(W$4:W1673,W$4:W1673&lt;=I1592),1),W$4:W1673))-K1592),1,
ROUNDDOWN(Y1592-INDEX(K$4:K1673,MATCH(LARGE(FILTER(I$4:I1673,I$4:I1673&lt;=W1592),1),I$4:I1673))-(W1592-L"&amp;"ARGE(FILTER(I$4:I1673,I$4:I1673&lt;=W1592),1))*INDEX(F$4:F1673,MATCH(LARGE(FILTER(I$4:I1673,I$4:I1673&lt;=W1592),1),I$4:I1673))))"),"")</f>
        <v/>
      </c>
      <c r="N1592" s="60" t="str">
        <f t="shared" si="8"/>
        <v/>
      </c>
      <c r="O1592" s="61" t="str">
        <f t="shared" si="9"/>
        <v/>
      </c>
      <c r="P1592" s="56" t="str">
        <f t="shared" si="10"/>
        <v/>
      </c>
      <c r="Q1592" s="57"/>
      <c r="R1592" s="10"/>
      <c r="S1592" s="59" t="str">
        <f t="array" ref="S1592">IF(COUNTA(Q1592:Q1673)=0,"",SUM((COUNTIF(Q$4:Q1592,Upgrades!$B$3:$B$13)-COUNTIF(Q$4:Q1592,"Sell_"&amp;Upgrades!$B$3:$B$13))*Upgrades!$D$3:$D$13))</f>
        <v/>
      </c>
      <c r="T1592" s="66" t="str">
        <f>IFERROR(__xludf.DUMMYFUNCTION("IF(COUNTA(Q1592:Q1673)=0,"""",IF(REGEXMATCH(INDEX(FILTER(Q$4:Q1592,Q$4:Q1592&lt;&gt;""""),ROWS(FILTER(Q$4:Q1592,Q$4:Q1592&lt;&gt;""""))),""^Sell_""),INDEX(FILTER(T$4:T1591,Q$4:Q1591&lt;&gt;""""),ROWS(FILTER(Q$4:Q1591,Q$4:Q1591&lt;&gt;""""))),$AD$5+S1592))"),"")</f>
        <v/>
      </c>
      <c r="U1592" s="10" t="str">
        <f>IFERROR(__xludf.DUMMYFUNCTION("IF(COUNTA(Q1592:Q1673)=0,"""",IF(Q1592="""",0,IF(REGEXMATCH(Q1592,""^Sell_""),-ROUNDDOWN(ROUNDUP(INDEX(Upgrades!$C$3:$C$13,MATCH(SUBSTITUTE(Q1592,""Sell_"",""""),Upgrades!$B$3:$B$13,0))*1.15^(COUNTIF(Q$4:Q1591,SUBSTITUTE(Q1592,""Sell_"",""""))-COUNTIF(Q$4"&amp;":Q1591,""Sell_""&amp;SUBSTITUTE(Q1592,""Sell_"",""""))))/2),ROUNDUP(INDEX(Upgrades!$C$3:$C$13,MATCH(Q1592,Upgrades!$B$3:$B$13,0))*1.15^(COUNTIF(Q$4:Q1591,Q1592)-COUNTIF(Q$4:Q1591,""Sell_""&amp;Q1592))))))"),"")</f>
        <v/>
      </c>
      <c r="V1592" s="10" t="str">
        <f t="shared" si="11"/>
        <v/>
      </c>
      <c r="W1592" s="68" t="str">
        <f t="shared" si="12"/>
        <v/>
      </c>
      <c r="X1592" s="59" t="str">
        <f t="shared" si="13"/>
        <v/>
      </c>
      <c r="Y1592" s="69" t="str">
        <f t="shared" si="14"/>
        <v/>
      </c>
      <c r="Z1592" s="11"/>
    </row>
    <row r="1593">
      <c r="A1593" s="8"/>
      <c r="B1593" s="56" t="str">
        <f t="shared" si="2"/>
        <v/>
      </c>
      <c r="C1593" s="105"/>
      <c r="D1593" s="10"/>
      <c r="E1593" s="59" t="str">
        <f t="array" ref="E1593">IF(COUNTA(C1593:C1673)=0,"",SUM((COUNTIF(C$4:C1593,Upgrades!$B$3:$B$13)-COUNTIF(C$4:C1593,"Sell_"&amp;Upgrades!$B$3:$B$13))*Upgrades!$D$3:$D$13))</f>
        <v/>
      </c>
      <c r="F1593" s="66" t="str">
        <f>IFERROR(__xludf.DUMMYFUNCTION("IF(COUNTA(C1593:C1673)=0,"""",IF(REGEXMATCH(INDEX(FILTER(C$4:C1593,C$4:C1593&lt;&gt;""""),ROWS(FILTER(C$4:C1593,C$4:C1593&lt;&gt;""""))),""^Sell_""),INDEX(FILTER(F$4:F1592,C$4:C1592&lt;&gt;""""),ROWS(FILTER(C$4:C1592,C$4:C1592&lt;&gt;""""))),$AC$5+E1593))"),"")</f>
        <v/>
      </c>
      <c r="G1593" s="10" t="str">
        <f>IFERROR(__xludf.DUMMYFUNCTION("IF(COUNTA(C1593:C1673)=0,"""",IF(C1593="""",0,IF(REGEXMATCH(C1593,""^Sell_""),-ROUNDDOWN(ROUNDUP(INDEX(Upgrades!$C$3:$C$13,MATCH(SUBSTITUTE(C1593,""Sell_"",""""),Upgrades!$B$3:$B$13,0))*1.15^(COUNTIF(C$4:C1592,SUBSTITUTE(C1593,""Sell_"",""""))-COUNTIF(C$4"&amp;":C1592,""Sell_""&amp;SUBSTITUTE(C1593,""Sell_"",""""))))/2),ROUNDUP(INDEX(Upgrades!$C$3:$C$13,MATCH(C1593,Upgrades!$B$3:$B$13,0))*1.15^(COUNTIF(C$4:C1592,C1593)-COUNTIF(C$4:C1592,""Sell_""&amp;C1593))))))"),"")</f>
        <v/>
      </c>
      <c r="H1593" s="10" t="str">
        <f t="shared" si="3"/>
        <v/>
      </c>
      <c r="I1593" s="68" t="str">
        <f t="shared" si="4"/>
        <v/>
      </c>
      <c r="J1593" s="59" t="str">
        <f t="shared" si="5"/>
        <v/>
      </c>
      <c r="K1593" s="69" t="str">
        <f t="shared" si="6"/>
        <v/>
      </c>
      <c r="L1593" s="60" t="str">
        <f t="shared" si="7"/>
        <v/>
      </c>
      <c r="M1593" s="61" t="str">
        <f>IFERROR(__xludf.DUMMYFUNCTION("IFS(AND(COUNTA(C1593:C1673)=0,COUNTA(Q1593:Q1673)=0),"""",OR(AND(K1593&gt;=1000000000,OR(Y1593&gt;=1000000000,COUNTA(Q1593:Q1673)=0)),OR(Y1593&gt;=1000000000,AND(COUNTA(C1593:C1673)=0,P$3=TRUE))),
ROUNDDOWN((AB$1-AC$1)*MAX(INDEX(T$4:T1673,MATCH(LARGE(FILTER(Y$4:Y1"&amp;"673,Y$4:Y1673&lt;1000000000),1),Y$4:Y1673)),INDEX(F$4:F1673,MATCH(LARGE(FILTER(K$4:K1673,K$4:K1673&lt;1000000000),1),K$4:K1673)))),AND(K1593&lt;1000000000,COUNTA(C1593:C1673)&gt;0,P$3=FALSE),
ROUNDDOWN(INDEX(Y$4:Y1673,MATCH(LARGE(FILTER(W$4:W1673,W$4:W1673&lt;=I1593),1)"&amp;",W$4:W1673))+(I1593-LARGE(FILTER(W$4:W1673,W$4:W1673&lt;=I1593),1))*INDEX(T$4:T1673,MATCH(LARGE(FILTER(W$4:W1673,W$4:W1673&lt;=I1593),1),W$4:W1673))-K1593),1,
ROUNDDOWN(Y1593-INDEX(K$4:K1673,MATCH(LARGE(FILTER(I$4:I1673,I$4:I1673&lt;=W1593),1),I$4:I1673))-(W1593-L"&amp;"ARGE(FILTER(I$4:I1673,I$4:I1673&lt;=W1593),1))*INDEX(F$4:F1673,MATCH(LARGE(FILTER(I$4:I1673,I$4:I1673&lt;=W1593),1),I$4:I1673))))"),"")</f>
        <v/>
      </c>
      <c r="N1593" s="60" t="str">
        <f t="shared" si="8"/>
        <v/>
      </c>
      <c r="O1593" s="61" t="str">
        <f t="shared" si="9"/>
        <v/>
      </c>
      <c r="P1593" s="56" t="str">
        <f t="shared" si="10"/>
        <v/>
      </c>
      <c r="Q1593" s="57"/>
      <c r="R1593" s="10"/>
      <c r="S1593" s="59" t="str">
        <f t="array" ref="S1593">IF(COUNTA(Q1593:Q1673)=0,"",SUM((COUNTIF(Q$4:Q1593,Upgrades!$B$3:$B$13)-COUNTIF(Q$4:Q1593,"Sell_"&amp;Upgrades!$B$3:$B$13))*Upgrades!$D$3:$D$13))</f>
        <v/>
      </c>
      <c r="T1593" s="66" t="str">
        <f>IFERROR(__xludf.DUMMYFUNCTION("IF(COUNTA(Q1593:Q1673)=0,"""",IF(REGEXMATCH(INDEX(FILTER(Q$4:Q1593,Q$4:Q1593&lt;&gt;""""),ROWS(FILTER(Q$4:Q1593,Q$4:Q1593&lt;&gt;""""))),""^Sell_""),INDEX(FILTER(T$4:T1592,Q$4:Q1592&lt;&gt;""""),ROWS(FILTER(Q$4:Q1592,Q$4:Q1592&lt;&gt;""""))),$AD$5+S1593))"),"")</f>
        <v/>
      </c>
      <c r="U1593" s="10" t="str">
        <f>IFERROR(__xludf.DUMMYFUNCTION("IF(COUNTA(Q1593:Q1673)=0,"""",IF(Q1593="""",0,IF(REGEXMATCH(Q1593,""^Sell_""),-ROUNDDOWN(ROUNDUP(INDEX(Upgrades!$C$3:$C$13,MATCH(SUBSTITUTE(Q1593,""Sell_"",""""),Upgrades!$B$3:$B$13,0))*1.15^(COUNTIF(Q$4:Q1592,SUBSTITUTE(Q1593,""Sell_"",""""))-COUNTIF(Q$4"&amp;":Q1592,""Sell_""&amp;SUBSTITUTE(Q1593,""Sell_"",""""))))/2),ROUNDUP(INDEX(Upgrades!$C$3:$C$13,MATCH(Q1593,Upgrades!$B$3:$B$13,0))*1.15^(COUNTIF(Q$4:Q1592,Q1593)-COUNTIF(Q$4:Q1592,""Sell_""&amp;Q1593))))))"),"")</f>
        <v/>
      </c>
      <c r="V1593" s="10" t="str">
        <f t="shared" si="11"/>
        <v/>
      </c>
      <c r="W1593" s="68" t="str">
        <f t="shared" si="12"/>
        <v/>
      </c>
      <c r="X1593" s="59" t="str">
        <f t="shared" si="13"/>
        <v/>
      </c>
      <c r="Y1593" s="69" t="str">
        <f t="shared" si="14"/>
        <v/>
      </c>
      <c r="Z1593" s="11"/>
    </row>
    <row r="1594">
      <c r="A1594" s="8"/>
      <c r="B1594" s="56" t="str">
        <f t="shared" si="2"/>
        <v/>
      </c>
      <c r="C1594" s="105"/>
      <c r="D1594" s="10"/>
      <c r="E1594" s="59" t="str">
        <f t="array" ref="E1594">IF(COUNTA(C1594:C1673)=0,"",SUM((COUNTIF(C$4:C1594,Upgrades!$B$3:$B$13)-COUNTIF(C$4:C1594,"Sell_"&amp;Upgrades!$B$3:$B$13))*Upgrades!$D$3:$D$13))</f>
        <v/>
      </c>
      <c r="F1594" s="66" t="str">
        <f>IFERROR(__xludf.DUMMYFUNCTION("IF(COUNTA(C1594:C1673)=0,"""",IF(REGEXMATCH(INDEX(FILTER(C$4:C1594,C$4:C1594&lt;&gt;""""),ROWS(FILTER(C$4:C1594,C$4:C1594&lt;&gt;""""))),""^Sell_""),INDEX(FILTER(F$4:F1593,C$4:C1593&lt;&gt;""""),ROWS(FILTER(C$4:C1593,C$4:C1593&lt;&gt;""""))),$AC$5+E1594))"),"")</f>
        <v/>
      </c>
      <c r="G1594" s="10" t="str">
        <f>IFERROR(__xludf.DUMMYFUNCTION("IF(COUNTA(C1594:C1673)=0,"""",IF(C1594="""",0,IF(REGEXMATCH(C1594,""^Sell_""),-ROUNDDOWN(ROUNDUP(INDEX(Upgrades!$C$3:$C$13,MATCH(SUBSTITUTE(C1594,""Sell_"",""""),Upgrades!$B$3:$B$13,0))*1.15^(COUNTIF(C$4:C1593,SUBSTITUTE(C1594,""Sell_"",""""))-COUNTIF(C$4"&amp;":C1593,""Sell_""&amp;SUBSTITUTE(C1594,""Sell_"",""""))))/2),ROUNDUP(INDEX(Upgrades!$C$3:$C$13,MATCH(C1594,Upgrades!$B$3:$B$13,0))*1.15^(COUNTIF(C$4:C1593,C1594)-COUNTIF(C$4:C1593,""Sell_""&amp;C1594))))))"),"")</f>
        <v/>
      </c>
      <c r="H1594" s="10" t="str">
        <f t="shared" si="3"/>
        <v/>
      </c>
      <c r="I1594" s="68" t="str">
        <f t="shared" si="4"/>
        <v/>
      </c>
      <c r="J1594" s="59" t="str">
        <f t="shared" si="5"/>
        <v/>
      </c>
      <c r="K1594" s="69" t="str">
        <f t="shared" si="6"/>
        <v/>
      </c>
      <c r="L1594" s="60" t="str">
        <f t="shared" si="7"/>
        <v/>
      </c>
      <c r="M1594" s="61" t="str">
        <f>IFERROR(__xludf.DUMMYFUNCTION("IFS(AND(COUNTA(C1594:C1673)=0,COUNTA(Q1594:Q1673)=0),"""",OR(AND(K1594&gt;=1000000000,OR(Y1594&gt;=1000000000,COUNTA(Q1594:Q1673)=0)),OR(Y1594&gt;=1000000000,AND(COUNTA(C1594:C1673)=0,P$3=TRUE))),
ROUNDDOWN((AB$1-AC$1)*MAX(INDEX(T$4:T1673,MATCH(LARGE(FILTER(Y$4:Y1"&amp;"673,Y$4:Y1673&lt;1000000000),1),Y$4:Y1673)),INDEX(F$4:F1673,MATCH(LARGE(FILTER(K$4:K1673,K$4:K1673&lt;1000000000),1),K$4:K1673)))),AND(K1594&lt;1000000000,COUNTA(C1594:C1673)&gt;0,P$3=FALSE),
ROUNDDOWN(INDEX(Y$4:Y1673,MATCH(LARGE(FILTER(W$4:W1673,W$4:W1673&lt;=I1594),1)"&amp;",W$4:W1673))+(I1594-LARGE(FILTER(W$4:W1673,W$4:W1673&lt;=I1594),1))*INDEX(T$4:T1673,MATCH(LARGE(FILTER(W$4:W1673,W$4:W1673&lt;=I1594),1),W$4:W1673))-K1594),1,
ROUNDDOWN(Y1594-INDEX(K$4:K1673,MATCH(LARGE(FILTER(I$4:I1673,I$4:I1673&lt;=W1594),1),I$4:I1673))-(W1594-L"&amp;"ARGE(FILTER(I$4:I1673,I$4:I1673&lt;=W1594),1))*INDEX(F$4:F1673,MATCH(LARGE(FILTER(I$4:I1673,I$4:I1673&lt;=W1594),1),I$4:I1673))))"),"")</f>
        <v/>
      </c>
      <c r="N1594" s="60" t="str">
        <f t="shared" si="8"/>
        <v/>
      </c>
      <c r="O1594" s="61" t="str">
        <f t="shared" si="9"/>
        <v/>
      </c>
      <c r="P1594" s="56" t="str">
        <f t="shared" si="10"/>
        <v/>
      </c>
      <c r="Q1594" s="57"/>
      <c r="R1594" s="10"/>
      <c r="S1594" s="59" t="str">
        <f t="array" ref="S1594">IF(COUNTA(Q1594:Q1673)=0,"",SUM((COUNTIF(Q$4:Q1594,Upgrades!$B$3:$B$13)-COUNTIF(Q$4:Q1594,"Sell_"&amp;Upgrades!$B$3:$B$13))*Upgrades!$D$3:$D$13))</f>
        <v/>
      </c>
      <c r="T1594" s="66" t="str">
        <f>IFERROR(__xludf.DUMMYFUNCTION("IF(COUNTA(Q1594:Q1673)=0,"""",IF(REGEXMATCH(INDEX(FILTER(Q$4:Q1594,Q$4:Q1594&lt;&gt;""""),ROWS(FILTER(Q$4:Q1594,Q$4:Q1594&lt;&gt;""""))),""^Sell_""),INDEX(FILTER(T$4:T1593,Q$4:Q1593&lt;&gt;""""),ROWS(FILTER(Q$4:Q1593,Q$4:Q1593&lt;&gt;""""))),$AD$5+S1594))"),"")</f>
        <v/>
      </c>
      <c r="U1594" s="10" t="str">
        <f>IFERROR(__xludf.DUMMYFUNCTION("IF(COUNTA(Q1594:Q1673)=0,"""",IF(Q1594="""",0,IF(REGEXMATCH(Q1594,""^Sell_""),-ROUNDDOWN(ROUNDUP(INDEX(Upgrades!$C$3:$C$13,MATCH(SUBSTITUTE(Q1594,""Sell_"",""""),Upgrades!$B$3:$B$13,0))*1.15^(COUNTIF(Q$4:Q1593,SUBSTITUTE(Q1594,""Sell_"",""""))-COUNTIF(Q$4"&amp;":Q1593,""Sell_""&amp;SUBSTITUTE(Q1594,""Sell_"",""""))))/2),ROUNDUP(INDEX(Upgrades!$C$3:$C$13,MATCH(Q1594,Upgrades!$B$3:$B$13,0))*1.15^(COUNTIF(Q$4:Q1593,Q1594)-COUNTIF(Q$4:Q1593,""Sell_""&amp;Q1594))))))"),"")</f>
        <v/>
      </c>
      <c r="V1594" s="10" t="str">
        <f t="shared" si="11"/>
        <v/>
      </c>
      <c r="W1594" s="68" t="str">
        <f t="shared" si="12"/>
        <v/>
      </c>
      <c r="X1594" s="59" t="str">
        <f t="shared" si="13"/>
        <v/>
      </c>
      <c r="Y1594" s="69" t="str">
        <f t="shared" si="14"/>
        <v/>
      </c>
      <c r="Z1594" s="11"/>
    </row>
    <row r="1595">
      <c r="A1595" s="8"/>
      <c r="B1595" s="56" t="str">
        <f t="shared" si="2"/>
        <v/>
      </c>
      <c r="C1595" s="105"/>
      <c r="D1595" s="10"/>
      <c r="E1595" s="59" t="str">
        <f t="array" ref="E1595">IF(COUNTA(C1595:C1673)=0,"",SUM((COUNTIF(C$4:C1595,Upgrades!$B$3:$B$13)-COUNTIF(C$4:C1595,"Sell_"&amp;Upgrades!$B$3:$B$13))*Upgrades!$D$3:$D$13))</f>
        <v/>
      </c>
      <c r="F1595" s="66" t="str">
        <f>IFERROR(__xludf.DUMMYFUNCTION("IF(COUNTA(C1595:C1673)=0,"""",IF(REGEXMATCH(INDEX(FILTER(C$4:C1595,C$4:C1595&lt;&gt;""""),ROWS(FILTER(C$4:C1595,C$4:C1595&lt;&gt;""""))),""^Sell_""),INDEX(FILTER(F$4:F1594,C$4:C1594&lt;&gt;""""),ROWS(FILTER(C$4:C1594,C$4:C1594&lt;&gt;""""))),$AC$5+E1595))"),"")</f>
        <v/>
      </c>
      <c r="G1595" s="10" t="str">
        <f>IFERROR(__xludf.DUMMYFUNCTION("IF(COUNTA(C1595:C1673)=0,"""",IF(C1595="""",0,IF(REGEXMATCH(C1595,""^Sell_""),-ROUNDDOWN(ROUNDUP(INDEX(Upgrades!$C$3:$C$13,MATCH(SUBSTITUTE(C1595,""Sell_"",""""),Upgrades!$B$3:$B$13,0))*1.15^(COUNTIF(C$4:C1594,SUBSTITUTE(C1595,""Sell_"",""""))-COUNTIF(C$4"&amp;":C1594,""Sell_""&amp;SUBSTITUTE(C1595,""Sell_"",""""))))/2),ROUNDUP(INDEX(Upgrades!$C$3:$C$13,MATCH(C1595,Upgrades!$B$3:$B$13,0))*1.15^(COUNTIF(C$4:C1594,C1595)-COUNTIF(C$4:C1594,""Sell_""&amp;C1595))))))"),"")</f>
        <v/>
      </c>
      <c r="H1595" s="10" t="str">
        <f t="shared" si="3"/>
        <v/>
      </c>
      <c r="I1595" s="68" t="str">
        <f t="shared" si="4"/>
        <v/>
      </c>
      <c r="J1595" s="59" t="str">
        <f t="shared" si="5"/>
        <v/>
      </c>
      <c r="K1595" s="69" t="str">
        <f t="shared" si="6"/>
        <v/>
      </c>
      <c r="L1595" s="60" t="str">
        <f t="shared" si="7"/>
        <v/>
      </c>
      <c r="M1595" s="61" t="str">
        <f>IFERROR(__xludf.DUMMYFUNCTION("IFS(AND(COUNTA(C1595:C1673)=0,COUNTA(Q1595:Q1673)=0),"""",OR(AND(K1595&gt;=1000000000,OR(Y1595&gt;=1000000000,COUNTA(Q1595:Q1673)=0)),OR(Y1595&gt;=1000000000,AND(COUNTA(C1595:C1673)=0,P$3=TRUE))),
ROUNDDOWN((AB$1-AC$1)*MAX(INDEX(T$4:T1673,MATCH(LARGE(FILTER(Y$4:Y1"&amp;"673,Y$4:Y1673&lt;1000000000),1),Y$4:Y1673)),INDEX(F$4:F1673,MATCH(LARGE(FILTER(K$4:K1673,K$4:K1673&lt;1000000000),1),K$4:K1673)))),AND(K1595&lt;1000000000,COUNTA(C1595:C1673)&gt;0,P$3=FALSE),
ROUNDDOWN(INDEX(Y$4:Y1673,MATCH(LARGE(FILTER(W$4:W1673,W$4:W1673&lt;=I1595),1)"&amp;",W$4:W1673))+(I1595-LARGE(FILTER(W$4:W1673,W$4:W1673&lt;=I1595),1))*INDEX(T$4:T1673,MATCH(LARGE(FILTER(W$4:W1673,W$4:W1673&lt;=I1595),1),W$4:W1673))-K1595),1,
ROUNDDOWN(Y1595-INDEX(K$4:K1673,MATCH(LARGE(FILTER(I$4:I1673,I$4:I1673&lt;=W1595),1),I$4:I1673))-(W1595-L"&amp;"ARGE(FILTER(I$4:I1673,I$4:I1673&lt;=W1595),1))*INDEX(F$4:F1673,MATCH(LARGE(FILTER(I$4:I1673,I$4:I1673&lt;=W1595),1),I$4:I1673))))"),"")</f>
        <v/>
      </c>
      <c r="N1595" s="60" t="str">
        <f t="shared" si="8"/>
        <v/>
      </c>
      <c r="O1595" s="61" t="str">
        <f t="shared" si="9"/>
        <v/>
      </c>
      <c r="P1595" s="56" t="str">
        <f t="shared" si="10"/>
        <v/>
      </c>
      <c r="Q1595" s="57"/>
      <c r="R1595" s="10"/>
      <c r="S1595" s="59" t="str">
        <f t="array" ref="S1595">IF(COUNTA(Q1595:Q1673)=0,"",SUM((COUNTIF(Q$4:Q1595,Upgrades!$B$3:$B$13)-COUNTIF(Q$4:Q1595,"Sell_"&amp;Upgrades!$B$3:$B$13))*Upgrades!$D$3:$D$13))</f>
        <v/>
      </c>
      <c r="T1595" s="66" t="str">
        <f>IFERROR(__xludf.DUMMYFUNCTION("IF(COUNTA(Q1595:Q1673)=0,"""",IF(REGEXMATCH(INDEX(FILTER(Q$4:Q1595,Q$4:Q1595&lt;&gt;""""),ROWS(FILTER(Q$4:Q1595,Q$4:Q1595&lt;&gt;""""))),""^Sell_""),INDEX(FILTER(T$4:T1594,Q$4:Q1594&lt;&gt;""""),ROWS(FILTER(Q$4:Q1594,Q$4:Q1594&lt;&gt;""""))),$AD$5+S1595))"),"")</f>
        <v/>
      </c>
      <c r="U1595" s="10" t="str">
        <f>IFERROR(__xludf.DUMMYFUNCTION("IF(COUNTA(Q1595:Q1673)=0,"""",IF(Q1595="""",0,IF(REGEXMATCH(Q1595,""^Sell_""),-ROUNDDOWN(ROUNDUP(INDEX(Upgrades!$C$3:$C$13,MATCH(SUBSTITUTE(Q1595,""Sell_"",""""),Upgrades!$B$3:$B$13,0))*1.15^(COUNTIF(Q$4:Q1594,SUBSTITUTE(Q1595,""Sell_"",""""))-COUNTIF(Q$4"&amp;":Q1594,""Sell_""&amp;SUBSTITUTE(Q1595,""Sell_"",""""))))/2),ROUNDUP(INDEX(Upgrades!$C$3:$C$13,MATCH(Q1595,Upgrades!$B$3:$B$13,0))*1.15^(COUNTIF(Q$4:Q1594,Q1595)-COUNTIF(Q$4:Q1594,""Sell_""&amp;Q1595))))))"),"")</f>
        <v/>
      </c>
      <c r="V1595" s="10" t="str">
        <f t="shared" si="11"/>
        <v/>
      </c>
      <c r="W1595" s="68" t="str">
        <f t="shared" si="12"/>
        <v/>
      </c>
      <c r="X1595" s="59" t="str">
        <f t="shared" si="13"/>
        <v/>
      </c>
      <c r="Y1595" s="69" t="str">
        <f t="shared" si="14"/>
        <v/>
      </c>
      <c r="Z1595" s="11"/>
    </row>
    <row r="1596">
      <c r="A1596" s="8"/>
      <c r="B1596" s="56" t="str">
        <f t="shared" si="2"/>
        <v/>
      </c>
      <c r="C1596" s="105"/>
      <c r="D1596" s="10"/>
      <c r="E1596" s="59" t="str">
        <f t="array" ref="E1596">IF(COUNTA(C1596:C1673)=0,"",SUM((COUNTIF(C$4:C1596,Upgrades!$B$3:$B$13)-COUNTIF(C$4:C1596,"Sell_"&amp;Upgrades!$B$3:$B$13))*Upgrades!$D$3:$D$13))</f>
        <v/>
      </c>
      <c r="F1596" s="66" t="str">
        <f>IFERROR(__xludf.DUMMYFUNCTION("IF(COUNTA(C1596:C1673)=0,"""",IF(REGEXMATCH(INDEX(FILTER(C$4:C1596,C$4:C1596&lt;&gt;""""),ROWS(FILTER(C$4:C1596,C$4:C1596&lt;&gt;""""))),""^Sell_""),INDEX(FILTER(F$4:F1595,C$4:C1595&lt;&gt;""""),ROWS(FILTER(C$4:C1595,C$4:C1595&lt;&gt;""""))),$AC$5+E1596))"),"")</f>
        <v/>
      </c>
      <c r="G1596" s="10" t="str">
        <f>IFERROR(__xludf.DUMMYFUNCTION("IF(COUNTA(C1596:C1673)=0,"""",IF(C1596="""",0,IF(REGEXMATCH(C1596,""^Sell_""),-ROUNDDOWN(ROUNDUP(INDEX(Upgrades!$C$3:$C$13,MATCH(SUBSTITUTE(C1596,""Sell_"",""""),Upgrades!$B$3:$B$13,0))*1.15^(COUNTIF(C$4:C1595,SUBSTITUTE(C1596,""Sell_"",""""))-COUNTIF(C$4"&amp;":C1595,""Sell_""&amp;SUBSTITUTE(C1596,""Sell_"",""""))))/2),ROUNDUP(INDEX(Upgrades!$C$3:$C$13,MATCH(C1596,Upgrades!$B$3:$B$13,0))*1.15^(COUNTIF(C$4:C1595,C1596)-COUNTIF(C$4:C1595,""Sell_""&amp;C1596))))))"),"")</f>
        <v/>
      </c>
      <c r="H1596" s="10" t="str">
        <f t="shared" si="3"/>
        <v/>
      </c>
      <c r="I1596" s="68" t="str">
        <f t="shared" si="4"/>
        <v/>
      </c>
      <c r="J1596" s="59" t="str">
        <f t="shared" si="5"/>
        <v/>
      </c>
      <c r="K1596" s="69" t="str">
        <f t="shared" si="6"/>
        <v/>
      </c>
      <c r="L1596" s="60" t="str">
        <f t="shared" si="7"/>
        <v/>
      </c>
      <c r="M1596" s="61" t="str">
        <f>IFERROR(__xludf.DUMMYFUNCTION("IFS(AND(COUNTA(C1596:C1673)=0,COUNTA(Q1596:Q1673)=0),"""",OR(AND(K1596&gt;=1000000000,OR(Y1596&gt;=1000000000,COUNTA(Q1596:Q1673)=0)),OR(Y1596&gt;=1000000000,AND(COUNTA(C1596:C1673)=0,P$3=TRUE))),
ROUNDDOWN((AB$1-AC$1)*MAX(INDEX(T$4:T1673,MATCH(LARGE(FILTER(Y$4:Y1"&amp;"673,Y$4:Y1673&lt;1000000000),1),Y$4:Y1673)),INDEX(F$4:F1673,MATCH(LARGE(FILTER(K$4:K1673,K$4:K1673&lt;1000000000),1),K$4:K1673)))),AND(K1596&lt;1000000000,COUNTA(C1596:C1673)&gt;0,P$3=FALSE),
ROUNDDOWN(INDEX(Y$4:Y1673,MATCH(LARGE(FILTER(W$4:W1673,W$4:W1673&lt;=I1596),1)"&amp;",W$4:W1673))+(I1596-LARGE(FILTER(W$4:W1673,W$4:W1673&lt;=I1596),1))*INDEX(T$4:T1673,MATCH(LARGE(FILTER(W$4:W1673,W$4:W1673&lt;=I1596),1),W$4:W1673))-K1596),1,
ROUNDDOWN(Y1596-INDEX(K$4:K1673,MATCH(LARGE(FILTER(I$4:I1673,I$4:I1673&lt;=W1596),1),I$4:I1673))-(W1596-L"&amp;"ARGE(FILTER(I$4:I1673,I$4:I1673&lt;=W1596),1))*INDEX(F$4:F1673,MATCH(LARGE(FILTER(I$4:I1673,I$4:I1673&lt;=W1596),1),I$4:I1673))))"),"")</f>
        <v/>
      </c>
      <c r="N1596" s="60" t="str">
        <f t="shared" si="8"/>
        <v/>
      </c>
      <c r="O1596" s="61" t="str">
        <f t="shared" si="9"/>
        <v/>
      </c>
      <c r="P1596" s="56" t="str">
        <f t="shared" si="10"/>
        <v/>
      </c>
      <c r="Q1596" s="57"/>
      <c r="R1596" s="10"/>
      <c r="S1596" s="59" t="str">
        <f t="array" ref="S1596">IF(COUNTA(Q1596:Q1673)=0,"",SUM((COUNTIF(Q$4:Q1596,Upgrades!$B$3:$B$13)-COUNTIF(Q$4:Q1596,"Sell_"&amp;Upgrades!$B$3:$B$13))*Upgrades!$D$3:$D$13))</f>
        <v/>
      </c>
      <c r="T1596" s="66" t="str">
        <f>IFERROR(__xludf.DUMMYFUNCTION("IF(COUNTA(Q1596:Q1673)=0,"""",IF(REGEXMATCH(INDEX(FILTER(Q$4:Q1596,Q$4:Q1596&lt;&gt;""""),ROWS(FILTER(Q$4:Q1596,Q$4:Q1596&lt;&gt;""""))),""^Sell_""),INDEX(FILTER(T$4:T1595,Q$4:Q1595&lt;&gt;""""),ROWS(FILTER(Q$4:Q1595,Q$4:Q1595&lt;&gt;""""))),$AD$5+S1596))"),"")</f>
        <v/>
      </c>
      <c r="U1596" s="10" t="str">
        <f>IFERROR(__xludf.DUMMYFUNCTION("IF(COUNTA(Q1596:Q1673)=0,"""",IF(Q1596="""",0,IF(REGEXMATCH(Q1596,""^Sell_""),-ROUNDDOWN(ROUNDUP(INDEX(Upgrades!$C$3:$C$13,MATCH(SUBSTITUTE(Q1596,""Sell_"",""""),Upgrades!$B$3:$B$13,0))*1.15^(COUNTIF(Q$4:Q1595,SUBSTITUTE(Q1596,""Sell_"",""""))-COUNTIF(Q$4"&amp;":Q1595,""Sell_""&amp;SUBSTITUTE(Q1596,""Sell_"",""""))))/2),ROUNDUP(INDEX(Upgrades!$C$3:$C$13,MATCH(Q1596,Upgrades!$B$3:$B$13,0))*1.15^(COUNTIF(Q$4:Q1595,Q1596)-COUNTIF(Q$4:Q1595,""Sell_""&amp;Q1596))))))"),"")</f>
        <v/>
      </c>
      <c r="V1596" s="10" t="str">
        <f t="shared" si="11"/>
        <v/>
      </c>
      <c r="W1596" s="68" t="str">
        <f t="shared" si="12"/>
        <v/>
      </c>
      <c r="X1596" s="59" t="str">
        <f t="shared" si="13"/>
        <v/>
      </c>
      <c r="Y1596" s="69" t="str">
        <f t="shared" si="14"/>
        <v/>
      </c>
      <c r="Z1596" s="11"/>
    </row>
    <row r="1597">
      <c r="A1597" s="8"/>
      <c r="B1597" s="56" t="str">
        <f t="shared" si="2"/>
        <v/>
      </c>
      <c r="C1597" s="105"/>
      <c r="D1597" s="10"/>
      <c r="E1597" s="59" t="str">
        <f t="array" ref="E1597">IF(COUNTA(C1597:C1673)=0,"",SUM((COUNTIF(C$4:C1597,Upgrades!$B$3:$B$13)-COUNTIF(C$4:C1597,"Sell_"&amp;Upgrades!$B$3:$B$13))*Upgrades!$D$3:$D$13))</f>
        <v/>
      </c>
      <c r="F1597" s="66" t="str">
        <f>IFERROR(__xludf.DUMMYFUNCTION("IF(COUNTA(C1597:C1673)=0,"""",IF(REGEXMATCH(INDEX(FILTER(C$4:C1597,C$4:C1597&lt;&gt;""""),ROWS(FILTER(C$4:C1597,C$4:C1597&lt;&gt;""""))),""^Sell_""),INDEX(FILTER(F$4:F1596,C$4:C1596&lt;&gt;""""),ROWS(FILTER(C$4:C1596,C$4:C1596&lt;&gt;""""))),$AC$5+E1597))"),"")</f>
        <v/>
      </c>
      <c r="G1597" s="10" t="str">
        <f>IFERROR(__xludf.DUMMYFUNCTION("IF(COUNTA(C1597:C1673)=0,"""",IF(C1597="""",0,IF(REGEXMATCH(C1597,""^Sell_""),-ROUNDDOWN(ROUNDUP(INDEX(Upgrades!$C$3:$C$13,MATCH(SUBSTITUTE(C1597,""Sell_"",""""),Upgrades!$B$3:$B$13,0))*1.15^(COUNTIF(C$4:C1596,SUBSTITUTE(C1597,""Sell_"",""""))-COUNTIF(C$4"&amp;":C1596,""Sell_""&amp;SUBSTITUTE(C1597,""Sell_"",""""))))/2),ROUNDUP(INDEX(Upgrades!$C$3:$C$13,MATCH(C1597,Upgrades!$B$3:$B$13,0))*1.15^(COUNTIF(C$4:C1596,C1597)-COUNTIF(C$4:C1596,""Sell_""&amp;C1597))))))"),"")</f>
        <v/>
      </c>
      <c r="H1597" s="10" t="str">
        <f t="shared" si="3"/>
        <v/>
      </c>
      <c r="I1597" s="68" t="str">
        <f t="shared" si="4"/>
        <v/>
      </c>
      <c r="J1597" s="59" t="str">
        <f t="shared" si="5"/>
        <v/>
      </c>
      <c r="K1597" s="69" t="str">
        <f t="shared" si="6"/>
        <v/>
      </c>
      <c r="L1597" s="60" t="str">
        <f t="shared" si="7"/>
        <v/>
      </c>
      <c r="M1597" s="61" t="str">
        <f>IFERROR(__xludf.DUMMYFUNCTION("IFS(AND(COUNTA(C1597:C1673)=0,COUNTA(Q1597:Q1673)=0),"""",OR(AND(K1597&gt;=1000000000,OR(Y1597&gt;=1000000000,COUNTA(Q1597:Q1673)=0)),OR(Y1597&gt;=1000000000,AND(COUNTA(C1597:C1673)=0,P$3=TRUE))),
ROUNDDOWN((AB$1-AC$1)*MAX(INDEX(T$4:T1673,MATCH(LARGE(FILTER(Y$4:Y1"&amp;"673,Y$4:Y1673&lt;1000000000),1),Y$4:Y1673)),INDEX(F$4:F1673,MATCH(LARGE(FILTER(K$4:K1673,K$4:K1673&lt;1000000000),1),K$4:K1673)))),AND(K1597&lt;1000000000,COUNTA(C1597:C1673)&gt;0,P$3=FALSE),
ROUNDDOWN(INDEX(Y$4:Y1673,MATCH(LARGE(FILTER(W$4:W1673,W$4:W1673&lt;=I1597),1)"&amp;",W$4:W1673))+(I1597-LARGE(FILTER(W$4:W1673,W$4:W1673&lt;=I1597),1))*INDEX(T$4:T1673,MATCH(LARGE(FILTER(W$4:W1673,W$4:W1673&lt;=I1597),1),W$4:W1673))-K1597),1,
ROUNDDOWN(Y1597-INDEX(K$4:K1673,MATCH(LARGE(FILTER(I$4:I1673,I$4:I1673&lt;=W1597),1),I$4:I1673))-(W1597-L"&amp;"ARGE(FILTER(I$4:I1673,I$4:I1673&lt;=W1597),1))*INDEX(F$4:F1673,MATCH(LARGE(FILTER(I$4:I1673,I$4:I1673&lt;=W1597),1),I$4:I1673))))"),"")</f>
        <v/>
      </c>
      <c r="N1597" s="60" t="str">
        <f t="shared" si="8"/>
        <v/>
      </c>
      <c r="O1597" s="61" t="str">
        <f t="shared" si="9"/>
        <v/>
      </c>
      <c r="P1597" s="56" t="str">
        <f t="shared" si="10"/>
        <v/>
      </c>
      <c r="Q1597" s="57"/>
      <c r="R1597" s="10"/>
      <c r="S1597" s="59" t="str">
        <f t="array" ref="S1597">IF(COUNTA(Q1597:Q1673)=0,"",SUM((COUNTIF(Q$4:Q1597,Upgrades!$B$3:$B$13)-COUNTIF(Q$4:Q1597,"Sell_"&amp;Upgrades!$B$3:$B$13))*Upgrades!$D$3:$D$13))</f>
        <v/>
      </c>
      <c r="T1597" s="66" t="str">
        <f>IFERROR(__xludf.DUMMYFUNCTION("IF(COUNTA(Q1597:Q1673)=0,"""",IF(REGEXMATCH(INDEX(FILTER(Q$4:Q1597,Q$4:Q1597&lt;&gt;""""),ROWS(FILTER(Q$4:Q1597,Q$4:Q1597&lt;&gt;""""))),""^Sell_""),INDEX(FILTER(T$4:T1596,Q$4:Q1596&lt;&gt;""""),ROWS(FILTER(Q$4:Q1596,Q$4:Q1596&lt;&gt;""""))),$AD$5+S1597))"),"")</f>
        <v/>
      </c>
      <c r="U1597" s="10" t="str">
        <f>IFERROR(__xludf.DUMMYFUNCTION("IF(COUNTA(Q1597:Q1673)=0,"""",IF(Q1597="""",0,IF(REGEXMATCH(Q1597,""^Sell_""),-ROUNDDOWN(ROUNDUP(INDEX(Upgrades!$C$3:$C$13,MATCH(SUBSTITUTE(Q1597,""Sell_"",""""),Upgrades!$B$3:$B$13,0))*1.15^(COUNTIF(Q$4:Q1596,SUBSTITUTE(Q1597,""Sell_"",""""))-COUNTIF(Q$4"&amp;":Q1596,""Sell_""&amp;SUBSTITUTE(Q1597,""Sell_"",""""))))/2),ROUNDUP(INDEX(Upgrades!$C$3:$C$13,MATCH(Q1597,Upgrades!$B$3:$B$13,0))*1.15^(COUNTIF(Q$4:Q1596,Q1597)-COUNTIF(Q$4:Q1596,""Sell_""&amp;Q1597))))))"),"")</f>
        <v/>
      </c>
      <c r="V1597" s="10" t="str">
        <f t="shared" si="11"/>
        <v/>
      </c>
      <c r="W1597" s="68" t="str">
        <f t="shared" si="12"/>
        <v/>
      </c>
      <c r="X1597" s="59" t="str">
        <f t="shared" si="13"/>
        <v/>
      </c>
      <c r="Y1597" s="69" t="str">
        <f t="shared" si="14"/>
        <v/>
      </c>
      <c r="Z1597" s="11"/>
    </row>
    <row r="1598">
      <c r="A1598" s="8"/>
      <c r="B1598" s="56" t="str">
        <f t="shared" si="2"/>
        <v/>
      </c>
      <c r="C1598" s="105"/>
      <c r="D1598" s="10"/>
      <c r="E1598" s="59" t="str">
        <f t="array" ref="E1598">IF(COUNTA(C1598:C1673)=0,"",SUM((COUNTIF(C$4:C1598,Upgrades!$B$3:$B$13)-COUNTIF(C$4:C1598,"Sell_"&amp;Upgrades!$B$3:$B$13))*Upgrades!$D$3:$D$13))</f>
        <v/>
      </c>
      <c r="F1598" s="66" t="str">
        <f>IFERROR(__xludf.DUMMYFUNCTION("IF(COUNTA(C1598:C1673)=0,"""",IF(REGEXMATCH(INDEX(FILTER(C$4:C1598,C$4:C1598&lt;&gt;""""),ROWS(FILTER(C$4:C1598,C$4:C1598&lt;&gt;""""))),""^Sell_""),INDEX(FILTER(F$4:F1597,C$4:C1597&lt;&gt;""""),ROWS(FILTER(C$4:C1597,C$4:C1597&lt;&gt;""""))),$AC$5+E1598))"),"")</f>
        <v/>
      </c>
      <c r="G1598" s="10" t="str">
        <f>IFERROR(__xludf.DUMMYFUNCTION("IF(COUNTA(C1598:C1673)=0,"""",IF(C1598="""",0,IF(REGEXMATCH(C1598,""^Sell_""),-ROUNDDOWN(ROUNDUP(INDEX(Upgrades!$C$3:$C$13,MATCH(SUBSTITUTE(C1598,""Sell_"",""""),Upgrades!$B$3:$B$13,0))*1.15^(COUNTIF(C$4:C1597,SUBSTITUTE(C1598,""Sell_"",""""))-COUNTIF(C$4"&amp;":C1597,""Sell_""&amp;SUBSTITUTE(C1598,""Sell_"",""""))))/2),ROUNDUP(INDEX(Upgrades!$C$3:$C$13,MATCH(C1598,Upgrades!$B$3:$B$13,0))*1.15^(COUNTIF(C$4:C1597,C1598)-COUNTIF(C$4:C1597,""Sell_""&amp;C1598))))))"),"")</f>
        <v/>
      </c>
      <c r="H1598" s="10" t="str">
        <f t="shared" si="3"/>
        <v/>
      </c>
      <c r="I1598" s="68" t="str">
        <f t="shared" si="4"/>
        <v/>
      </c>
      <c r="J1598" s="59" t="str">
        <f t="shared" si="5"/>
        <v/>
      </c>
      <c r="K1598" s="69" t="str">
        <f t="shared" si="6"/>
        <v/>
      </c>
      <c r="L1598" s="60" t="str">
        <f t="shared" si="7"/>
        <v/>
      </c>
      <c r="M1598" s="61" t="str">
        <f>IFERROR(__xludf.DUMMYFUNCTION("IFS(AND(COUNTA(C1598:C1673)=0,COUNTA(Q1598:Q1673)=0),"""",OR(AND(K1598&gt;=1000000000,OR(Y1598&gt;=1000000000,COUNTA(Q1598:Q1673)=0)),OR(Y1598&gt;=1000000000,AND(COUNTA(C1598:C1673)=0,P$3=TRUE))),
ROUNDDOWN((AB$1-AC$1)*MAX(INDEX(T$4:T1673,MATCH(LARGE(FILTER(Y$4:Y1"&amp;"673,Y$4:Y1673&lt;1000000000),1),Y$4:Y1673)),INDEX(F$4:F1673,MATCH(LARGE(FILTER(K$4:K1673,K$4:K1673&lt;1000000000),1),K$4:K1673)))),AND(K1598&lt;1000000000,COUNTA(C1598:C1673)&gt;0,P$3=FALSE),
ROUNDDOWN(INDEX(Y$4:Y1673,MATCH(LARGE(FILTER(W$4:W1673,W$4:W1673&lt;=I1598),1)"&amp;",W$4:W1673))+(I1598-LARGE(FILTER(W$4:W1673,W$4:W1673&lt;=I1598),1))*INDEX(T$4:T1673,MATCH(LARGE(FILTER(W$4:W1673,W$4:W1673&lt;=I1598),1),W$4:W1673))-K1598),1,
ROUNDDOWN(Y1598-INDEX(K$4:K1673,MATCH(LARGE(FILTER(I$4:I1673,I$4:I1673&lt;=W1598),1),I$4:I1673))-(W1598-L"&amp;"ARGE(FILTER(I$4:I1673,I$4:I1673&lt;=W1598),1))*INDEX(F$4:F1673,MATCH(LARGE(FILTER(I$4:I1673,I$4:I1673&lt;=W1598),1),I$4:I1673))))"),"")</f>
        <v/>
      </c>
      <c r="N1598" s="60" t="str">
        <f t="shared" si="8"/>
        <v/>
      </c>
      <c r="O1598" s="61" t="str">
        <f t="shared" si="9"/>
        <v/>
      </c>
      <c r="P1598" s="56" t="str">
        <f t="shared" si="10"/>
        <v/>
      </c>
      <c r="Q1598" s="57"/>
      <c r="R1598" s="10"/>
      <c r="S1598" s="59" t="str">
        <f t="array" ref="S1598">IF(COUNTA(Q1598:Q1673)=0,"",SUM((COUNTIF(Q$4:Q1598,Upgrades!$B$3:$B$13)-COUNTIF(Q$4:Q1598,"Sell_"&amp;Upgrades!$B$3:$B$13))*Upgrades!$D$3:$D$13))</f>
        <v/>
      </c>
      <c r="T1598" s="66" t="str">
        <f>IFERROR(__xludf.DUMMYFUNCTION("IF(COUNTA(Q1598:Q1673)=0,"""",IF(REGEXMATCH(INDEX(FILTER(Q$4:Q1598,Q$4:Q1598&lt;&gt;""""),ROWS(FILTER(Q$4:Q1598,Q$4:Q1598&lt;&gt;""""))),""^Sell_""),INDEX(FILTER(T$4:T1597,Q$4:Q1597&lt;&gt;""""),ROWS(FILTER(Q$4:Q1597,Q$4:Q1597&lt;&gt;""""))),$AD$5+S1598))"),"")</f>
        <v/>
      </c>
      <c r="U1598" s="10" t="str">
        <f>IFERROR(__xludf.DUMMYFUNCTION("IF(COUNTA(Q1598:Q1673)=0,"""",IF(Q1598="""",0,IF(REGEXMATCH(Q1598,""^Sell_""),-ROUNDDOWN(ROUNDUP(INDEX(Upgrades!$C$3:$C$13,MATCH(SUBSTITUTE(Q1598,""Sell_"",""""),Upgrades!$B$3:$B$13,0))*1.15^(COUNTIF(Q$4:Q1597,SUBSTITUTE(Q1598,""Sell_"",""""))-COUNTIF(Q$4"&amp;":Q1597,""Sell_""&amp;SUBSTITUTE(Q1598,""Sell_"",""""))))/2),ROUNDUP(INDEX(Upgrades!$C$3:$C$13,MATCH(Q1598,Upgrades!$B$3:$B$13,0))*1.15^(COUNTIF(Q$4:Q1597,Q1598)-COUNTIF(Q$4:Q1597,""Sell_""&amp;Q1598))))))"),"")</f>
        <v/>
      </c>
      <c r="V1598" s="10" t="str">
        <f t="shared" si="11"/>
        <v/>
      </c>
      <c r="W1598" s="68" t="str">
        <f t="shared" si="12"/>
        <v/>
      </c>
      <c r="X1598" s="59" t="str">
        <f t="shared" si="13"/>
        <v/>
      </c>
      <c r="Y1598" s="69" t="str">
        <f t="shared" si="14"/>
        <v/>
      </c>
      <c r="Z1598" s="11"/>
    </row>
    <row r="1599">
      <c r="A1599" s="8"/>
      <c r="B1599" s="56" t="str">
        <f t="shared" si="2"/>
        <v/>
      </c>
      <c r="C1599" s="105"/>
      <c r="D1599" s="10"/>
      <c r="E1599" s="59" t="str">
        <f t="array" ref="E1599">IF(COUNTA(C1599:C1673)=0,"",SUM((COUNTIF(C$4:C1599,Upgrades!$B$3:$B$13)-COUNTIF(C$4:C1599,"Sell_"&amp;Upgrades!$B$3:$B$13))*Upgrades!$D$3:$D$13))</f>
        <v/>
      </c>
      <c r="F1599" s="66" t="str">
        <f>IFERROR(__xludf.DUMMYFUNCTION("IF(COUNTA(C1599:C1673)=0,"""",IF(REGEXMATCH(INDEX(FILTER(C$4:C1599,C$4:C1599&lt;&gt;""""),ROWS(FILTER(C$4:C1599,C$4:C1599&lt;&gt;""""))),""^Sell_""),INDEX(FILTER(F$4:F1598,C$4:C1598&lt;&gt;""""),ROWS(FILTER(C$4:C1598,C$4:C1598&lt;&gt;""""))),$AC$5+E1599))"),"")</f>
        <v/>
      </c>
      <c r="G1599" s="10" t="str">
        <f>IFERROR(__xludf.DUMMYFUNCTION("IF(COUNTA(C1599:C1673)=0,"""",IF(C1599="""",0,IF(REGEXMATCH(C1599,""^Sell_""),-ROUNDDOWN(ROUNDUP(INDEX(Upgrades!$C$3:$C$13,MATCH(SUBSTITUTE(C1599,""Sell_"",""""),Upgrades!$B$3:$B$13,0))*1.15^(COUNTIF(C$4:C1598,SUBSTITUTE(C1599,""Sell_"",""""))-COUNTIF(C$4"&amp;":C1598,""Sell_""&amp;SUBSTITUTE(C1599,""Sell_"",""""))))/2),ROUNDUP(INDEX(Upgrades!$C$3:$C$13,MATCH(C1599,Upgrades!$B$3:$B$13,0))*1.15^(COUNTIF(C$4:C1598,C1599)-COUNTIF(C$4:C1598,""Sell_""&amp;C1599))))))"),"")</f>
        <v/>
      </c>
      <c r="H1599" s="10" t="str">
        <f t="shared" si="3"/>
        <v/>
      </c>
      <c r="I1599" s="68" t="str">
        <f t="shared" si="4"/>
        <v/>
      </c>
      <c r="J1599" s="59" t="str">
        <f t="shared" si="5"/>
        <v/>
      </c>
      <c r="K1599" s="69" t="str">
        <f t="shared" si="6"/>
        <v/>
      </c>
      <c r="L1599" s="60" t="str">
        <f t="shared" si="7"/>
        <v/>
      </c>
      <c r="M1599" s="61" t="str">
        <f>IFERROR(__xludf.DUMMYFUNCTION("IFS(AND(COUNTA(C1599:C1673)=0,COUNTA(Q1599:Q1673)=0),"""",OR(AND(K1599&gt;=1000000000,OR(Y1599&gt;=1000000000,COUNTA(Q1599:Q1673)=0)),OR(Y1599&gt;=1000000000,AND(COUNTA(C1599:C1673)=0,P$3=TRUE))),
ROUNDDOWN((AB$1-AC$1)*MAX(INDEX(T$4:T1673,MATCH(LARGE(FILTER(Y$4:Y1"&amp;"673,Y$4:Y1673&lt;1000000000),1),Y$4:Y1673)),INDEX(F$4:F1673,MATCH(LARGE(FILTER(K$4:K1673,K$4:K1673&lt;1000000000),1),K$4:K1673)))),AND(K1599&lt;1000000000,COUNTA(C1599:C1673)&gt;0,P$3=FALSE),
ROUNDDOWN(INDEX(Y$4:Y1673,MATCH(LARGE(FILTER(W$4:W1673,W$4:W1673&lt;=I1599),1)"&amp;",W$4:W1673))+(I1599-LARGE(FILTER(W$4:W1673,W$4:W1673&lt;=I1599),1))*INDEX(T$4:T1673,MATCH(LARGE(FILTER(W$4:W1673,W$4:W1673&lt;=I1599),1),W$4:W1673))-K1599),1,
ROUNDDOWN(Y1599-INDEX(K$4:K1673,MATCH(LARGE(FILTER(I$4:I1673,I$4:I1673&lt;=W1599),1),I$4:I1673))-(W1599-L"&amp;"ARGE(FILTER(I$4:I1673,I$4:I1673&lt;=W1599),1))*INDEX(F$4:F1673,MATCH(LARGE(FILTER(I$4:I1673,I$4:I1673&lt;=W1599),1),I$4:I1673))))"),"")</f>
        <v/>
      </c>
      <c r="N1599" s="60" t="str">
        <f t="shared" si="8"/>
        <v/>
      </c>
      <c r="O1599" s="61" t="str">
        <f t="shared" si="9"/>
        <v/>
      </c>
      <c r="P1599" s="56" t="str">
        <f t="shared" si="10"/>
        <v/>
      </c>
      <c r="Q1599" s="57"/>
      <c r="R1599" s="10"/>
      <c r="S1599" s="59" t="str">
        <f t="array" ref="S1599">IF(COUNTA(Q1599:Q1673)=0,"",SUM((COUNTIF(Q$4:Q1599,Upgrades!$B$3:$B$13)-COUNTIF(Q$4:Q1599,"Sell_"&amp;Upgrades!$B$3:$B$13))*Upgrades!$D$3:$D$13))</f>
        <v/>
      </c>
      <c r="T1599" s="66" t="str">
        <f>IFERROR(__xludf.DUMMYFUNCTION("IF(COUNTA(Q1599:Q1673)=0,"""",IF(REGEXMATCH(INDEX(FILTER(Q$4:Q1599,Q$4:Q1599&lt;&gt;""""),ROWS(FILTER(Q$4:Q1599,Q$4:Q1599&lt;&gt;""""))),""^Sell_""),INDEX(FILTER(T$4:T1598,Q$4:Q1598&lt;&gt;""""),ROWS(FILTER(Q$4:Q1598,Q$4:Q1598&lt;&gt;""""))),$AD$5+S1599))"),"")</f>
        <v/>
      </c>
      <c r="U1599" s="10" t="str">
        <f>IFERROR(__xludf.DUMMYFUNCTION("IF(COUNTA(Q1599:Q1673)=0,"""",IF(Q1599="""",0,IF(REGEXMATCH(Q1599,""^Sell_""),-ROUNDDOWN(ROUNDUP(INDEX(Upgrades!$C$3:$C$13,MATCH(SUBSTITUTE(Q1599,""Sell_"",""""),Upgrades!$B$3:$B$13,0))*1.15^(COUNTIF(Q$4:Q1598,SUBSTITUTE(Q1599,""Sell_"",""""))-COUNTIF(Q$4"&amp;":Q1598,""Sell_""&amp;SUBSTITUTE(Q1599,""Sell_"",""""))))/2),ROUNDUP(INDEX(Upgrades!$C$3:$C$13,MATCH(Q1599,Upgrades!$B$3:$B$13,0))*1.15^(COUNTIF(Q$4:Q1598,Q1599)-COUNTIF(Q$4:Q1598,""Sell_""&amp;Q1599))))))"),"")</f>
        <v/>
      </c>
      <c r="V1599" s="10" t="str">
        <f t="shared" si="11"/>
        <v/>
      </c>
      <c r="W1599" s="68" t="str">
        <f t="shared" si="12"/>
        <v/>
      </c>
      <c r="X1599" s="59" t="str">
        <f t="shared" si="13"/>
        <v/>
      </c>
      <c r="Y1599" s="69" t="str">
        <f t="shared" si="14"/>
        <v/>
      </c>
      <c r="Z1599" s="11"/>
    </row>
    <row r="1600">
      <c r="A1600" s="8"/>
      <c r="B1600" s="56" t="str">
        <f t="shared" si="2"/>
        <v/>
      </c>
      <c r="C1600" s="105"/>
      <c r="D1600" s="10"/>
      <c r="E1600" s="59" t="str">
        <f t="array" ref="E1600">IF(COUNTA(C1600:C1673)=0,"",SUM((COUNTIF(C$4:C1600,Upgrades!$B$3:$B$13)-COUNTIF(C$4:C1600,"Sell_"&amp;Upgrades!$B$3:$B$13))*Upgrades!$D$3:$D$13))</f>
        <v/>
      </c>
      <c r="F1600" s="66" t="str">
        <f>IFERROR(__xludf.DUMMYFUNCTION("IF(COUNTA(C1600:C1673)=0,"""",IF(REGEXMATCH(INDEX(FILTER(C$4:C1600,C$4:C1600&lt;&gt;""""),ROWS(FILTER(C$4:C1600,C$4:C1600&lt;&gt;""""))),""^Sell_""),INDEX(FILTER(F$4:F1599,C$4:C1599&lt;&gt;""""),ROWS(FILTER(C$4:C1599,C$4:C1599&lt;&gt;""""))),$AC$5+E1600))"),"")</f>
        <v/>
      </c>
      <c r="G1600" s="10" t="str">
        <f>IFERROR(__xludf.DUMMYFUNCTION("IF(COUNTA(C1600:C1673)=0,"""",IF(C1600="""",0,IF(REGEXMATCH(C1600,""^Sell_""),-ROUNDDOWN(ROUNDUP(INDEX(Upgrades!$C$3:$C$13,MATCH(SUBSTITUTE(C1600,""Sell_"",""""),Upgrades!$B$3:$B$13,0))*1.15^(COUNTIF(C$4:C1599,SUBSTITUTE(C1600,""Sell_"",""""))-COUNTIF(C$4"&amp;":C1599,""Sell_""&amp;SUBSTITUTE(C1600,""Sell_"",""""))))/2),ROUNDUP(INDEX(Upgrades!$C$3:$C$13,MATCH(C1600,Upgrades!$B$3:$B$13,0))*1.15^(COUNTIF(C$4:C1599,C1600)-COUNTIF(C$4:C1599,""Sell_""&amp;C1600))))))"),"")</f>
        <v/>
      </c>
      <c r="H1600" s="10" t="str">
        <f t="shared" si="3"/>
        <v/>
      </c>
      <c r="I1600" s="68" t="str">
        <f t="shared" si="4"/>
        <v/>
      </c>
      <c r="J1600" s="59" t="str">
        <f t="shared" si="5"/>
        <v/>
      </c>
      <c r="K1600" s="69" t="str">
        <f t="shared" si="6"/>
        <v/>
      </c>
      <c r="L1600" s="60" t="str">
        <f t="shared" si="7"/>
        <v/>
      </c>
      <c r="M1600" s="61" t="str">
        <f>IFERROR(__xludf.DUMMYFUNCTION("IFS(AND(COUNTA(C1600:C1673)=0,COUNTA(Q1600:Q1673)=0),"""",OR(AND(K1600&gt;=1000000000,OR(Y1600&gt;=1000000000,COUNTA(Q1600:Q1673)=0)),OR(Y1600&gt;=1000000000,AND(COUNTA(C1600:C1673)=0,P$3=TRUE))),
ROUNDDOWN((AB$1-AC$1)*MAX(INDEX(T$4:T1673,MATCH(LARGE(FILTER(Y$4:Y1"&amp;"673,Y$4:Y1673&lt;1000000000),1),Y$4:Y1673)),INDEX(F$4:F1673,MATCH(LARGE(FILTER(K$4:K1673,K$4:K1673&lt;1000000000),1),K$4:K1673)))),AND(K1600&lt;1000000000,COUNTA(C1600:C1673)&gt;0,P$3=FALSE),
ROUNDDOWN(INDEX(Y$4:Y1673,MATCH(LARGE(FILTER(W$4:W1673,W$4:W1673&lt;=I1600),1)"&amp;",W$4:W1673))+(I1600-LARGE(FILTER(W$4:W1673,W$4:W1673&lt;=I1600),1))*INDEX(T$4:T1673,MATCH(LARGE(FILTER(W$4:W1673,W$4:W1673&lt;=I1600),1),W$4:W1673))-K1600),1,
ROUNDDOWN(Y1600-INDEX(K$4:K1673,MATCH(LARGE(FILTER(I$4:I1673,I$4:I1673&lt;=W1600),1),I$4:I1673))-(W1600-L"&amp;"ARGE(FILTER(I$4:I1673,I$4:I1673&lt;=W1600),1))*INDEX(F$4:F1673,MATCH(LARGE(FILTER(I$4:I1673,I$4:I1673&lt;=W1600),1),I$4:I1673))))"),"")</f>
        <v/>
      </c>
      <c r="N1600" s="60" t="str">
        <f t="shared" si="8"/>
        <v/>
      </c>
      <c r="O1600" s="61" t="str">
        <f t="shared" si="9"/>
        <v/>
      </c>
      <c r="P1600" s="56" t="str">
        <f t="shared" si="10"/>
        <v/>
      </c>
      <c r="Q1600" s="57"/>
      <c r="R1600" s="10"/>
      <c r="S1600" s="59" t="str">
        <f t="array" ref="S1600">IF(COUNTA(Q1600:Q1673)=0,"",SUM((COUNTIF(Q$4:Q1600,Upgrades!$B$3:$B$13)-COUNTIF(Q$4:Q1600,"Sell_"&amp;Upgrades!$B$3:$B$13))*Upgrades!$D$3:$D$13))</f>
        <v/>
      </c>
      <c r="T1600" s="66" t="str">
        <f>IFERROR(__xludf.DUMMYFUNCTION("IF(COUNTA(Q1600:Q1673)=0,"""",IF(REGEXMATCH(INDEX(FILTER(Q$4:Q1600,Q$4:Q1600&lt;&gt;""""),ROWS(FILTER(Q$4:Q1600,Q$4:Q1600&lt;&gt;""""))),""^Sell_""),INDEX(FILTER(T$4:T1599,Q$4:Q1599&lt;&gt;""""),ROWS(FILTER(Q$4:Q1599,Q$4:Q1599&lt;&gt;""""))),$AD$5+S1600))"),"")</f>
        <v/>
      </c>
      <c r="U1600" s="10" t="str">
        <f>IFERROR(__xludf.DUMMYFUNCTION("IF(COUNTA(Q1600:Q1673)=0,"""",IF(Q1600="""",0,IF(REGEXMATCH(Q1600,""^Sell_""),-ROUNDDOWN(ROUNDUP(INDEX(Upgrades!$C$3:$C$13,MATCH(SUBSTITUTE(Q1600,""Sell_"",""""),Upgrades!$B$3:$B$13,0))*1.15^(COUNTIF(Q$4:Q1599,SUBSTITUTE(Q1600,""Sell_"",""""))-COUNTIF(Q$4"&amp;":Q1599,""Sell_""&amp;SUBSTITUTE(Q1600,""Sell_"",""""))))/2),ROUNDUP(INDEX(Upgrades!$C$3:$C$13,MATCH(Q1600,Upgrades!$B$3:$B$13,0))*1.15^(COUNTIF(Q$4:Q1599,Q1600)-COUNTIF(Q$4:Q1599,""Sell_""&amp;Q1600))))))"),"")</f>
        <v/>
      </c>
      <c r="V1600" s="10" t="str">
        <f t="shared" si="11"/>
        <v/>
      </c>
      <c r="W1600" s="68" t="str">
        <f t="shared" si="12"/>
        <v/>
      </c>
      <c r="X1600" s="59" t="str">
        <f t="shared" si="13"/>
        <v/>
      </c>
      <c r="Y1600" s="69" t="str">
        <f t="shared" si="14"/>
        <v/>
      </c>
      <c r="Z1600" s="11"/>
    </row>
    <row r="1601">
      <c r="A1601" s="8"/>
      <c r="B1601" s="56" t="str">
        <f t="shared" si="2"/>
        <v/>
      </c>
      <c r="C1601" s="105"/>
      <c r="D1601" s="10"/>
      <c r="E1601" s="59" t="str">
        <f t="array" ref="E1601">IF(COUNTA(C1601:C1673)=0,"",SUM((COUNTIF(C$4:C1601,Upgrades!$B$3:$B$13)-COUNTIF(C$4:C1601,"Sell_"&amp;Upgrades!$B$3:$B$13))*Upgrades!$D$3:$D$13))</f>
        <v/>
      </c>
      <c r="F1601" s="66" t="str">
        <f>IFERROR(__xludf.DUMMYFUNCTION("IF(COUNTA(C1601:C1673)=0,"""",IF(REGEXMATCH(INDEX(FILTER(C$4:C1601,C$4:C1601&lt;&gt;""""),ROWS(FILTER(C$4:C1601,C$4:C1601&lt;&gt;""""))),""^Sell_""),INDEX(FILTER(F$4:F1600,C$4:C1600&lt;&gt;""""),ROWS(FILTER(C$4:C1600,C$4:C1600&lt;&gt;""""))),$AC$5+E1601))"),"")</f>
        <v/>
      </c>
      <c r="G1601" s="10" t="str">
        <f>IFERROR(__xludf.DUMMYFUNCTION("IF(COUNTA(C1601:C1673)=0,"""",IF(C1601="""",0,IF(REGEXMATCH(C1601,""^Sell_""),-ROUNDDOWN(ROUNDUP(INDEX(Upgrades!$C$3:$C$13,MATCH(SUBSTITUTE(C1601,""Sell_"",""""),Upgrades!$B$3:$B$13,0))*1.15^(COUNTIF(C$4:C1600,SUBSTITUTE(C1601,""Sell_"",""""))-COUNTIF(C$4"&amp;":C1600,""Sell_""&amp;SUBSTITUTE(C1601,""Sell_"",""""))))/2),ROUNDUP(INDEX(Upgrades!$C$3:$C$13,MATCH(C1601,Upgrades!$B$3:$B$13,0))*1.15^(COUNTIF(C$4:C1600,C1601)-COUNTIF(C$4:C1600,""Sell_""&amp;C1601))))))"),"")</f>
        <v/>
      </c>
      <c r="H1601" s="10" t="str">
        <f t="shared" si="3"/>
        <v/>
      </c>
      <c r="I1601" s="68" t="str">
        <f t="shared" si="4"/>
        <v/>
      </c>
      <c r="J1601" s="59" t="str">
        <f t="shared" si="5"/>
        <v/>
      </c>
      <c r="K1601" s="69" t="str">
        <f t="shared" si="6"/>
        <v/>
      </c>
      <c r="L1601" s="60" t="str">
        <f t="shared" si="7"/>
        <v/>
      </c>
      <c r="M1601" s="61" t="str">
        <f>IFERROR(__xludf.DUMMYFUNCTION("IFS(AND(COUNTA(C1601:C1673)=0,COUNTA(Q1601:Q1673)=0),"""",OR(AND(K1601&gt;=1000000000,OR(Y1601&gt;=1000000000,COUNTA(Q1601:Q1673)=0)),OR(Y1601&gt;=1000000000,AND(COUNTA(C1601:C1673)=0,P$3=TRUE))),
ROUNDDOWN((AB$1-AC$1)*MAX(INDEX(T$4:T1673,MATCH(LARGE(FILTER(Y$4:Y1"&amp;"673,Y$4:Y1673&lt;1000000000),1),Y$4:Y1673)),INDEX(F$4:F1673,MATCH(LARGE(FILTER(K$4:K1673,K$4:K1673&lt;1000000000),1),K$4:K1673)))),AND(K1601&lt;1000000000,COUNTA(C1601:C1673)&gt;0,P$3=FALSE),
ROUNDDOWN(INDEX(Y$4:Y1673,MATCH(LARGE(FILTER(W$4:W1673,W$4:W1673&lt;=I1601),1)"&amp;",W$4:W1673))+(I1601-LARGE(FILTER(W$4:W1673,W$4:W1673&lt;=I1601),1))*INDEX(T$4:T1673,MATCH(LARGE(FILTER(W$4:W1673,W$4:W1673&lt;=I1601),1),W$4:W1673))-K1601),1,
ROUNDDOWN(Y1601-INDEX(K$4:K1673,MATCH(LARGE(FILTER(I$4:I1673,I$4:I1673&lt;=W1601),1),I$4:I1673))-(W1601-L"&amp;"ARGE(FILTER(I$4:I1673,I$4:I1673&lt;=W1601),1))*INDEX(F$4:F1673,MATCH(LARGE(FILTER(I$4:I1673,I$4:I1673&lt;=W1601),1),I$4:I1673))))"),"")</f>
        <v/>
      </c>
      <c r="N1601" s="60" t="str">
        <f t="shared" si="8"/>
        <v/>
      </c>
      <c r="O1601" s="61" t="str">
        <f t="shared" si="9"/>
        <v/>
      </c>
      <c r="P1601" s="56" t="str">
        <f t="shared" si="10"/>
        <v/>
      </c>
      <c r="Q1601" s="57"/>
      <c r="R1601" s="10"/>
      <c r="S1601" s="59" t="str">
        <f t="array" ref="S1601">IF(COUNTA(Q1601:Q1673)=0,"",SUM((COUNTIF(Q$4:Q1601,Upgrades!$B$3:$B$13)-COUNTIF(Q$4:Q1601,"Sell_"&amp;Upgrades!$B$3:$B$13))*Upgrades!$D$3:$D$13))</f>
        <v/>
      </c>
      <c r="T1601" s="66" t="str">
        <f>IFERROR(__xludf.DUMMYFUNCTION("IF(COUNTA(Q1601:Q1673)=0,"""",IF(REGEXMATCH(INDEX(FILTER(Q$4:Q1601,Q$4:Q1601&lt;&gt;""""),ROWS(FILTER(Q$4:Q1601,Q$4:Q1601&lt;&gt;""""))),""^Sell_""),INDEX(FILTER(T$4:T1600,Q$4:Q1600&lt;&gt;""""),ROWS(FILTER(Q$4:Q1600,Q$4:Q1600&lt;&gt;""""))),$AD$5+S1601))"),"")</f>
        <v/>
      </c>
      <c r="U1601" s="10" t="str">
        <f>IFERROR(__xludf.DUMMYFUNCTION("IF(COUNTA(Q1601:Q1673)=0,"""",IF(Q1601="""",0,IF(REGEXMATCH(Q1601,""^Sell_""),-ROUNDDOWN(ROUNDUP(INDEX(Upgrades!$C$3:$C$13,MATCH(SUBSTITUTE(Q1601,""Sell_"",""""),Upgrades!$B$3:$B$13,0))*1.15^(COUNTIF(Q$4:Q1600,SUBSTITUTE(Q1601,""Sell_"",""""))-COUNTIF(Q$4"&amp;":Q1600,""Sell_""&amp;SUBSTITUTE(Q1601,""Sell_"",""""))))/2),ROUNDUP(INDEX(Upgrades!$C$3:$C$13,MATCH(Q1601,Upgrades!$B$3:$B$13,0))*1.15^(COUNTIF(Q$4:Q1600,Q1601)-COUNTIF(Q$4:Q1600,""Sell_""&amp;Q1601))))))"),"")</f>
        <v/>
      </c>
      <c r="V1601" s="10" t="str">
        <f t="shared" si="11"/>
        <v/>
      </c>
      <c r="W1601" s="68" t="str">
        <f t="shared" si="12"/>
        <v/>
      </c>
      <c r="X1601" s="59" t="str">
        <f t="shared" si="13"/>
        <v/>
      </c>
      <c r="Y1601" s="69" t="str">
        <f t="shared" si="14"/>
        <v/>
      </c>
      <c r="Z1601" s="11"/>
    </row>
    <row r="1602">
      <c r="A1602" s="8"/>
      <c r="B1602" s="56" t="str">
        <f t="shared" si="2"/>
        <v/>
      </c>
      <c r="C1602" s="105"/>
      <c r="D1602" s="10"/>
      <c r="E1602" s="59" t="str">
        <f t="array" ref="E1602">IF(COUNTA(C1602:C1673)=0,"",SUM((COUNTIF(C$4:C1602,Upgrades!$B$3:$B$13)-COUNTIF(C$4:C1602,"Sell_"&amp;Upgrades!$B$3:$B$13))*Upgrades!$D$3:$D$13))</f>
        <v/>
      </c>
      <c r="F1602" s="66" t="str">
        <f>IFERROR(__xludf.DUMMYFUNCTION("IF(COUNTA(C1602:C1673)=0,"""",IF(REGEXMATCH(INDEX(FILTER(C$4:C1602,C$4:C1602&lt;&gt;""""),ROWS(FILTER(C$4:C1602,C$4:C1602&lt;&gt;""""))),""^Sell_""),INDEX(FILTER(F$4:F1601,C$4:C1601&lt;&gt;""""),ROWS(FILTER(C$4:C1601,C$4:C1601&lt;&gt;""""))),$AC$5+E1602))"),"")</f>
        <v/>
      </c>
      <c r="G1602" s="10" t="str">
        <f>IFERROR(__xludf.DUMMYFUNCTION("IF(COUNTA(C1602:C1673)=0,"""",IF(C1602="""",0,IF(REGEXMATCH(C1602,""^Sell_""),-ROUNDDOWN(ROUNDUP(INDEX(Upgrades!$C$3:$C$13,MATCH(SUBSTITUTE(C1602,""Sell_"",""""),Upgrades!$B$3:$B$13,0))*1.15^(COUNTIF(C$4:C1601,SUBSTITUTE(C1602,""Sell_"",""""))-COUNTIF(C$4"&amp;":C1601,""Sell_""&amp;SUBSTITUTE(C1602,""Sell_"",""""))))/2),ROUNDUP(INDEX(Upgrades!$C$3:$C$13,MATCH(C1602,Upgrades!$B$3:$B$13,0))*1.15^(COUNTIF(C$4:C1601,C1602)-COUNTIF(C$4:C1601,""Sell_""&amp;C1602))))))"),"")</f>
        <v/>
      </c>
      <c r="H1602" s="10" t="str">
        <f t="shared" si="3"/>
        <v/>
      </c>
      <c r="I1602" s="68" t="str">
        <f t="shared" si="4"/>
        <v/>
      </c>
      <c r="J1602" s="59" t="str">
        <f t="shared" si="5"/>
        <v/>
      </c>
      <c r="K1602" s="69" t="str">
        <f t="shared" si="6"/>
        <v/>
      </c>
      <c r="L1602" s="60" t="str">
        <f t="shared" si="7"/>
        <v/>
      </c>
      <c r="M1602" s="61" t="str">
        <f>IFERROR(__xludf.DUMMYFUNCTION("IFS(AND(COUNTA(C1602:C1673)=0,COUNTA(Q1602:Q1673)=0),"""",OR(AND(K1602&gt;=1000000000,OR(Y1602&gt;=1000000000,COUNTA(Q1602:Q1673)=0)),OR(Y1602&gt;=1000000000,AND(COUNTA(C1602:C1673)=0,P$3=TRUE))),
ROUNDDOWN((AB$1-AC$1)*MAX(INDEX(T$4:T1673,MATCH(LARGE(FILTER(Y$4:Y1"&amp;"673,Y$4:Y1673&lt;1000000000),1),Y$4:Y1673)),INDEX(F$4:F1673,MATCH(LARGE(FILTER(K$4:K1673,K$4:K1673&lt;1000000000),1),K$4:K1673)))),AND(K1602&lt;1000000000,COUNTA(C1602:C1673)&gt;0,P$3=FALSE),
ROUNDDOWN(INDEX(Y$4:Y1673,MATCH(LARGE(FILTER(W$4:W1673,W$4:W1673&lt;=I1602),1)"&amp;",W$4:W1673))+(I1602-LARGE(FILTER(W$4:W1673,W$4:W1673&lt;=I1602),1))*INDEX(T$4:T1673,MATCH(LARGE(FILTER(W$4:W1673,W$4:W1673&lt;=I1602),1),W$4:W1673))-K1602),1,
ROUNDDOWN(Y1602-INDEX(K$4:K1673,MATCH(LARGE(FILTER(I$4:I1673,I$4:I1673&lt;=W1602),1),I$4:I1673))-(W1602-L"&amp;"ARGE(FILTER(I$4:I1673,I$4:I1673&lt;=W1602),1))*INDEX(F$4:F1673,MATCH(LARGE(FILTER(I$4:I1673,I$4:I1673&lt;=W1602),1),I$4:I1673))))"),"")</f>
        <v/>
      </c>
      <c r="N1602" s="60" t="str">
        <f t="shared" si="8"/>
        <v/>
      </c>
      <c r="O1602" s="61" t="str">
        <f t="shared" si="9"/>
        <v/>
      </c>
      <c r="P1602" s="56" t="str">
        <f t="shared" si="10"/>
        <v/>
      </c>
      <c r="Q1602" s="57"/>
      <c r="R1602" s="10"/>
      <c r="S1602" s="59" t="str">
        <f t="array" ref="S1602">IF(COUNTA(Q1602:Q1673)=0,"",SUM((COUNTIF(Q$4:Q1602,Upgrades!$B$3:$B$13)-COUNTIF(Q$4:Q1602,"Sell_"&amp;Upgrades!$B$3:$B$13))*Upgrades!$D$3:$D$13))</f>
        <v/>
      </c>
      <c r="T1602" s="66" t="str">
        <f>IFERROR(__xludf.DUMMYFUNCTION("IF(COUNTA(Q1602:Q1673)=0,"""",IF(REGEXMATCH(INDEX(FILTER(Q$4:Q1602,Q$4:Q1602&lt;&gt;""""),ROWS(FILTER(Q$4:Q1602,Q$4:Q1602&lt;&gt;""""))),""^Sell_""),INDEX(FILTER(T$4:T1601,Q$4:Q1601&lt;&gt;""""),ROWS(FILTER(Q$4:Q1601,Q$4:Q1601&lt;&gt;""""))),$AD$5+S1602))"),"")</f>
        <v/>
      </c>
      <c r="U1602" s="10" t="str">
        <f>IFERROR(__xludf.DUMMYFUNCTION("IF(COUNTA(Q1602:Q1673)=0,"""",IF(Q1602="""",0,IF(REGEXMATCH(Q1602,""^Sell_""),-ROUNDDOWN(ROUNDUP(INDEX(Upgrades!$C$3:$C$13,MATCH(SUBSTITUTE(Q1602,""Sell_"",""""),Upgrades!$B$3:$B$13,0))*1.15^(COUNTIF(Q$4:Q1601,SUBSTITUTE(Q1602,""Sell_"",""""))-COUNTIF(Q$4"&amp;":Q1601,""Sell_""&amp;SUBSTITUTE(Q1602,""Sell_"",""""))))/2),ROUNDUP(INDEX(Upgrades!$C$3:$C$13,MATCH(Q1602,Upgrades!$B$3:$B$13,0))*1.15^(COUNTIF(Q$4:Q1601,Q1602)-COUNTIF(Q$4:Q1601,""Sell_""&amp;Q1602))))))"),"")</f>
        <v/>
      </c>
      <c r="V1602" s="10" t="str">
        <f t="shared" si="11"/>
        <v/>
      </c>
      <c r="W1602" s="68" t="str">
        <f t="shared" si="12"/>
        <v/>
      </c>
      <c r="X1602" s="59" t="str">
        <f t="shared" si="13"/>
        <v/>
      </c>
      <c r="Y1602" s="69" t="str">
        <f t="shared" si="14"/>
        <v/>
      </c>
      <c r="Z1602" s="11"/>
    </row>
    <row r="1603">
      <c r="A1603" s="8"/>
      <c r="B1603" s="56" t="str">
        <f t="shared" si="2"/>
        <v/>
      </c>
      <c r="C1603" s="105"/>
      <c r="D1603" s="10"/>
      <c r="E1603" s="59" t="str">
        <f t="array" ref="E1603">IF(COUNTA(C1603:C1673)=0,"",SUM((COUNTIF(C$4:C1603,Upgrades!$B$3:$B$13)-COUNTIF(C$4:C1603,"Sell_"&amp;Upgrades!$B$3:$B$13))*Upgrades!$D$3:$D$13))</f>
        <v/>
      </c>
      <c r="F1603" s="66" t="str">
        <f>IFERROR(__xludf.DUMMYFUNCTION("IF(COUNTA(C1603:C1673)=0,"""",IF(REGEXMATCH(INDEX(FILTER(C$4:C1603,C$4:C1603&lt;&gt;""""),ROWS(FILTER(C$4:C1603,C$4:C1603&lt;&gt;""""))),""^Sell_""),INDEX(FILTER(F$4:F1602,C$4:C1602&lt;&gt;""""),ROWS(FILTER(C$4:C1602,C$4:C1602&lt;&gt;""""))),$AC$5+E1603))"),"")</f>
        <v/>
      </c>
      <c r="G1603" s="10" t="str">
        <f>IFERROR(__xludf.DUMMYFUNCTION("IF(COUNTA(C1603:C1673)=0,"""",IF(C1603="""",0,IF(REGEXMATCH(C1603,""^Sell_""),-ROUNDDOWN(ROUNDUP(INDEX(Upgrades!$C$3:$C$13,MATCH(SUBSTITUTE(C1603,""Sell_"",""""),Upgrades!$B$3:$B$13,0))*1.15^(COUNTIF(C$4:C1602,SUBSTITUTE(C1603,""Sell_"",""""))-COUNTIF(C$4"&amp;":C1602,""Sell_""&amp;SUBSTITUTE(C1603,""Sell_"",""""))))/2),ROUNDUP(INDEX(Upgrades!$C$3:$C$13,MATCH(C1603,Upgrades!$B$3:$B$13,0))*1.15^(COUNTIF(C$4:C1602,C1603)-COUNTIF(C$4:C1602,""Sell_""&amp;C1603))))))"),"")</f>
        <v/>
      </c>
      <c r="H1603" s="10" t="str">
        <f t="shared" si="3"/>
        <v/>
      </c>
      <c r="I1603" s="68" t="str">
        <f t="shared" si="4"/>
        <v/>
      </c>
      <c r="J1603" s="59" t="str">
        <f t="shared" si="5"/>
        <v/>
      </c>
      <c r="K1603" s="69" t="str">
        <f t="shared" si="6"/>
        <v/>
      </c>
      <c r="L1603" s="60" t="str">
        <f t="shared" si="7"/>
        <v/>
      </c>
      <c r="M1603" s="61" t="str">
        <f>IFERROR(__xludf.DUMMYFUNCTION("IFS(AND(COUNTA(C1603:C1673)=0,COUNTA(Q1603:Q1673)=0),"""",OR(AND(K1603&gt;=1000000000,OR(Y1603&gt;=1000000000,COUNTA(Q1603:Q1673)=0)),OR(Y1603&gt;=1000000000,AND(COUNTA(C1603:C1673)=0,P$3=TRUE))),
ROUNDDOWN((AB$1-AC$1)*MAX(INDEX(T$4:T1673,MATCH(LARGE(FILTER(Y$4:Y1"&amp;"673,Y$4:Y1673&lt;1000000000),1),Y$4:Y1673)),INDEX(F$4:F1673,MATCH(LARGE(FILTER(K$4:K1673,K$4:K1673&lt;1000000000),1),K$4:K1673)))),AND(K1603&lt;1000000000,COUNTA(C1603:C1673)&gt;0,P$3=FALSE),
ROUNDDOWN(INDEX(Y$4:Y1673,MATCH(LARGE(FILTER(W$4:W1673,W$4:W1673&lt;=I1603),1)"&amp;",W$4:W1673))+(I1603-LARGE(FILTER(W$4:W1673,W$4:W1673&lt;=I1603),1))*INDEX(T$4:T1673,MATCH(LARGE(FILTER(W$4:W1673,W$4:W1673&lt;=I1603),1),W$4:W1673))-K1603),1,
ROUNDDOWN(Y1603-INDEX(K$4:K1673,MATCH(LARGE(FILTER(I$4:I1673,I$4:I1673&lt;=W1603),1),I$4:I1673))-(W1603-L"&amp;"ARGE(FILTER(I$4:I1673,I$4:I1673&lt;=W1603),1))*INDEX(F$4:F1673,MATCH(LARGE(FILTER(I$4:I1673,I$4:I1673&lt;=W1603),1),I$4:I1673))))"),"")</f>
        <v/>
      </c>
      <c r="N1603" s="60" t="str">
        <f t="shared" si="8"/>
        <v/>
      </c>
      <c r="O1603" s="61" t="str">
        <f t="shared" si="9"/>
        <v/>
      </c>
      <c r="P1603" s="56" t="str">
        <f t="shared" si="10"/>
        <v/>
      </c>
      <c r="Q1603" s="57"/>
      <c r="R1603" s="10"/>
      <c r="S1603" s="59" t="str">
        <f t="array" ref="S1603">IF(COUNTA(Q1603:Q1673)=0,"",SUM((COUNTIF(Q$4:Q1603,Upgrades!$B$3:$B$13)-COUNTIF(Q$4:Q1603,"Sell_"&amp;Upgrades!$B$3:$B$13))*Upgrades!$D$3:$D$13))</f>
        <v/>
      </c>
      <c r="T1603" s="66" t="str">
        <f>IFERROR(__xludf.DUMMYFUNCTION("IF(COUNTA(Q1603:Q1673)=0,"""",IF(REGEXMATCH(INDEX(FILTER(Q$4:Q1603,Q$4:Q1603&lt;&gt;""""),ROWS(FILTER(Q$4:Q1603,Q$4:Q1603&lt;&gt;""""))),""^Sell_""),INDEX(FILTER(T$4:T1602,Q$4:Q1602&lt;&gt;""""),ROWS(FILTER(Q$4:Q1602,Q$4:Q1602&lt;&gt;""""))),$AD$5+S1603))"),"")</f>
        <v/>
      </c>
      <c r="U1603" s="10" t="str">
        <f>IFERROR(__xludf.DUMMYFUNCTION("IF(COUNTA(Q1603:Q1673)=0,"""",IF(Q1603="""",0,IF(REGEXMATCH(Q1603,""^Sell_""),-ROUNDDOWN(ROUNDUP(INDEX(Upgrades!$C$3:$C$13,MATCH(SUBSTITUTE(Q1603,""Sell_"",""""),Upgrades!$B$3:$B$13,0))*1.15^(COUNTIF(Q$4:Q1602,SUBSTITUTE(Q1603,""Sell_"",""""))-COUNTIF(Q$4"&amp;":Q1602,""Sell_""&amp;SUBSTITUTE(Q1603,""Sell_"",""""))))/2),ROUNDUP(INDEX(Upgrades!$C$3:$C$13,MATCH(Q1603,Upgrades!$B$3:$B$13,0))*1.15^(COUNTIF(Q$4:Q1602,Q1603)-COUNTIF(Q$4:Q1602,""Sell_""&amp;Q1603))))))"),"")</f>
        <v/>
      </c>
      <c r="V1603" s="10" t="str">
        <f t="shared" si="11"/>
        <v/>
      </c>
      <c r="W1603" s="68" t="str">
        <f t="shared" si="12"/>
        <v/>
      </c>
      <c r="X1603" s="59" t="str">
        <f t="shared" si="13"/>
        <v/>
      </c>
      <c r="Y1603" s="69" t="str">
        <f t="shared" si="14"/>
        <v/>
      </c>
      <c r="Z1603" s="11"/>
    </row>
    <row r="1604">
      <c r="A1604" s="8"/>
      <c r="B1604" s="56" t="str">
        <f t="shared" si="2"/>
        <v/>
      </c>
      <c r="C1604" s="105"/>
      <c r="D1604" s="10"/>
      <c r="E1604" s="59" t="str">
        <f t="array" ref="E1604">IF(COUNTA(C1604:C1673)=0,"",SUM((COUNTIF(C$4:C1604,Upgrades!$B$3:$B$13)-COUNTIF(C$4:C1604,"Sell_"&amp;Upgrades!$B$3:$B$13))*Upgrades!$D$3:$D$13))</f>
        <v/>
      </c>
      <c r="F1604" s="66" t="str">
        <f>IFERROR(__xludf.DUMMYFUNCTION("IF(COUNTA(C1604:C1673)=0,"""",IF(REGEXMATCH(INDEX(FILTER(C$4:C1604,C$4:C1604&lt;&gt;""""),ROWS(FILTER(C$4:C1604,C$4:C1604&lt;&gt;""""))),""^Sell_""),INDEX(FILTER(F$4:F1603,C$4:C1603&lt;&gt;""""),ROWS(FILTER(C$4:C1603,C$4:C1603&lt;&gt;""""))),$AC$5+E1604))"),"")</f>
        <v/>
      </c>
      <c r="G1604" s="10" t="str">
        <f>IFERROR(__xludf.DUMMYFUNCTION("IF(COUNTA(C1604:C1673)=0,"""",IF(C1604="""",0,IF(REGEXMATCH(C1604,""^Sell_""),-ROUNDDOWN(ROUNDUP(INDEX(Upgrades!$C$3:$C$13,MATCH(SUBSTITUTE(C1604,""Sell_"",""""),Upgrades!$B$3:$B$13,0))*1.15^(COUNTIF(C$4:C1603,SUBSTITUTE(C1604,""Sell_"",""""))-COUNTIF(C$4"&amp;":C1603,""Sell_""&amp;SUBSTITUTE(C1604,""Sell_"",""""))))/2),ROUNDUP(INDEX(Upgrades!$C$3:$C$13,MATCH(C1604,Upgrades!$B$3:$B$13,0))*1.15^(COUNTIF(C$4:C1603,C1604)-COUNTIF(C$4:C1603,""Sell_""&amp;C1604))))))"),"")</f>
        <v/>
      </c>
      <c r="H1604" s="10" t="str">
        <f t="shared" si="3"/>
        <v/>
      </c>
      <c r="I1604" s="68" t="str">
        <f t="shared" si="4"/>
        <v/>
      </c>
      <c r="J1604" s="59" t="str">
        <f t="shared" si="5"/>
        <v/>
      </c>
      <c r="K1604" s="69" t="str">
        <f t="shared" si="6"/>
        <v/>
      </c>
      <c r="L1604" s="60" t="str">
        <f t="shared" si="7"/>
        <v/>
      </c>
      <c r="M1604" s="61" t="str">
        <f>IFERROR(__xludf.DUMMYFUNCTION("IFS(AND(COUNTA(C1604:C1673)=0,COUNTA(Q1604:Q1673)=0),"""",OR(AND(K1604&gt;=1000000000,OR(Y1604&gt;=1000000000,COUNTA(Q1604:Q1673)=0)),OR(Y1604&gt;=1000000000,AND(COUNTA(C1604:C1673)=0,P$3=TRUE))),
ROUNDDOWN((AB$1-AC$1)*MAX(INDEX(T$4:T1673,MATCH(LARGE(FILTER(Y$4:Y1"&amp;"673,Y$4:Y1673&lt;1000000000),1),Y$4:Y1673)),INDEX(F$4:F1673,MATCH(LARGE(FILTER(K$4:K1673,K$4:K1673&lt;1000000000),1),K$4:K1673)))),AND(K1604&lt;1000000000,COUNTA(C1604:C1673)&gt;0,P$3=FALSE),
ROUNDDOWN(INDEX(Y$4:Y1673,MATCH(LARGE(FILTER(W$4:W1673,W$4:W1673&lt;=I1604),1)"&amp;",W$4:W1673))+(I1604-LARGE(FILTER(W$4:W1673,W$4:W1673&lt;=I1604),1))*INDEX(T$4:T1673,MATCH(LARGE(FILTER(W$4:W1673,W$4:W1673&lt;=I1604),1),W$4:W1673))-K1604),1,
ROUNDDOWN(Y1604-INDEX(K$4:K1673,MATCH(LARGE(FILTER(I$4:I1673,I$4:I1673&lt;=W1604),1),I$4:I1673))-(W1604-L"&amp;"ARGE(FILTER(I$4:I1673,I$4:I1673&lt;=W1604),1))*INDEX(F$4:F1673,MATCH(LARGE(FILTER(I$4:I1673,I$4:I1673&lt;=W1604),1),I$4:I1673))))"),"")</f>
        <v/>
      </c>
      <c r="N1604" s="60" t="str">
        <f t="shared" si="8"/>
        <v/>
      </c>
      <c r="O1604" s="61" t="str">
        <f t="shared" si="9"/>
        <v/>
      </c>
      <c r="P1604" s="56" t="str">
        <f t="shared" si="10"/>
        <v/>
      </c>
      <c r="Q1604" s="57"/>
      <c r="R1604" s="10"/>
      <c r="S1604" s="59" t="str">
        <f t="array" ref="S1604">IF(COUNTA(Q1604:Q1673)=0,"",SUM((COUNTIF(Q$4:Q1604,Upgrades!$B$3:$B$13)-COUNTIF(Q$4:Q1604,"Sell_"&amp;Upgrades!$B$3:$B$13))*Upgrades!$D$3:$D$13))</f>
        <v/>
      </c>
      <c r="T1604" s="66" t="str">
        <f>IFERROR(__xludf.DUMMYFUNCTION("IF(COUNTA(Q1604:Q1673)=0,"""",IF(REGEXMATCH(INDEX(FILTER(Q$4:Q1604,Q$4:Q1604&lt;&gt;""""),ROWS(FILTER(Q$4:Q1604,Q$4:Q1604&lt;&gt;""""))),""^Sell_""),INDEX(FILTER(T$4:T1603,Q$4:Q1603&lt;&gt;""""),ROWS(FILTER(Q$4:Q1603,Q$4:Q1603&lt;&gt;""""))),$AD$5+S1604))"),"")</f>
        <v/>
      </c>
      <c r="U1604" s="10" t="str">
        <f>IFERROR(__xludf.DUMMYFUNCTION("IF(COUNTA(Q1604:Q1673)=0,"""",IF(Q1604="""",0,IF(REGEXMATCH(Q1604,""^Sell_""),-ROUNDDOWN(ROUNDUP(INDEX(Upgrades!$C$3:$C$13,MATCH(SUBSTITUTE(Q1604,""Sell_"",""""),Upgrades!$B$3:$B$13,0))*1.15^(COUNTIF(Q$4:Q1603,SUBSTITUTE(Q1604,""Sell_"",""""))-COUNTIF(Q$4"&amp;":Q1603,""Sell_""&amp;SUBSTITUTE(Q1604,""Sell_"",""""))))/2),ROUNDUP(INDEX(Upgrades!$C$3:$C$13,MATCH(Q1604,Upgrades!$B$3:$B$13,0))*1.15^(COUNTIF(Q$4:Q1603,Q1604)-COUNTIF(Q$4:Q1603,""Sell_""&amp;Q1604))))))"),"")</f>
        <v/>
      </c>
      <c r="V1604" s="10" t="str">
        <f t="shared" si="11"/>
        <v/>
      </c>
      <c r="W1604" s="68" t="str">
        <f t="shared" si="12"/>
        <v/>
      </c>
      <c r="X1604" s="59" t="str">
        <f t="shared" si="13"/>
        <v/>
      </c>
      <c r="Y1604" s="69" t="str">
        <f t="shared" si="14"/>
        <v/>
      </c>
      <c r="Z1604" s="11"/>
    </row>
    <row r="1605">
      <c r="A1605" s="8"/>
      <c r="B1605" s="56" t="str">
        <f t="shared" si="2"/>
        <v/>
      </c>
      <c r="C1605" s="105"/>
      <c r="D1605" s="10"/>
      <c r="E1605" s="59" t="str">
        <f t="array" ref="E1605">IF(COUNTA(C1605:C1673)=0,"",SUM((COUNTIF(C$4:C1605,Upgrades!$B$3:$B$13)-COUNTIF(C$4:C1605,"Sell_"&amp;Upgrades!$B$3:$B$13))*Upgrades!$D$3:$D$13))</f>
        <v/>
      </c>
      <c r="F1605" s="66" t="str">
        <f>IFERROR(__xludf.DUMMYFUNCTION("IF(COUNTA(C1605:C1673)=0,"""",IF(REGEXMATCH(INDEX(FILTER(C$4:C1605,C$4:C1605&lt;&gt;""""),ROWS(FILTER(C$4:C1605,C$4:C1605&lt;&gt;""""))),""^Sell_""),INDEX(FILTER(F$4:F1604,C$4:C1604&lt;&gt;""""),ROWS(FILTER(C$4:C1604,C$4:C1604&lt;&gt;""""))),$AC$5+E1605))"),"")</f>
        <v/>
      </c>
      <c r="G1605" s="10" t="str">
        <f>IFERROR(__xludf.DUMMYFUNCTION("IF(COUNTA(C1605:C1673)=0,"""",IF(C1605="""",0,IF(REGEXMATCH(C1605,""^Sell_""),-ROUNDDOWN(ROUNDUP(INDEX(Upgrades!$C$3:$C$13,MATCH(SUBSTITUTE(C1605,""Sell_"",""""),Upgrades!$B$3:$B$13,0))*1.15^(COUNTIF(C$4:C1604,SUBSTITUTE(C1605,""Sell_"",""""))-COUNTIF(C$4"&amp;":C1604,""Sell_""&amp;SUBSTITUTE(C1605,""Sell_"",""""))))/2),ROUNDUP(INDEX(Upgrades!$C$3:$C$13,MATCH(C1605,Upgrades!$B$3:$B$13,0))*1.15^(COUNTIF(C$4:C1604,C1605)-COUNTIF(C$4:C1604,""Sell_""&amp;C1605))))))"),"")</f>
        <v/>
      </c>
      <c r="H1605" s="10" t="str">
        <f t="shared" si="3"/>
        <v/>
      </c>
      <c r="I1605" s="68" t="str">
        <f t="shared" si="4"/>
        <v/>
      </c>
      <c r="J1605" s="59" t="str">
        <f t="shared" si="5"/>
        <v/>
      </c>
      <c r="K1605" s="69" t="str">
        <f t="shared" si="6"/>
        <v/>
      </c>
      <c r="L1605" s="60" t="str">
        <f t="shared" si="7"/>
        <v/>
      </c>
      <c r="M1605" s="61" t="str">
        <f>IFERROR(__xludf.DUMMYFUNCTION("IFS(AND(COUNTA(C1605:C1673)=0,COUNTA(Q1605:Q1673)=0),"""",OR(AND(K1605&gt;=1000000000,OR(Y1605&gt;=1000000000,COUNTA(Q1605:Q1673)=0)),OR(Y1605&gt;=1000000000,AND(COUNTA(C1605:C1673)=0,P$3=TRUE))),
ROUNDDOWN((AB$1-AC$1)*MAX(INDEX(T$4:T1673,MATCH(LARGE(FILTER(Y$4:Y1"&amp;"673,Y$4:Y1673&lt;1000000000),1),Y$4:Y1673)),INDEX(F$4:F1673,MATCH(LARGE(FILTER(K$4:K1673,K$4:K1673&lt;1000000000),1),K$4:K1673)))),AND(K1605&lt;1000000000,COUNTA(C1605:C1673)&gt;0,P$3=FALSE),
ROUNDDOWN(INDEX(Y$4:Y1673,MATCH(LARGE(FILTER(W$4:W1673,W$4:W1673&lt;=I1605),1)"&amp;",W$4:W1673))+(I1605-LARGE(FILTER(W$4:W1673,W$4:W1673&lt;=I1605),1))*INDEX(T$4:T1673,MATCH(LARGE(FILTER(W$4:W1673,W$4:W1673&lt;=I1605),1),W$4:W1673))-K1605),1,
ROUNDDOWN(Y1605-INDEX(K$4:K1673,MATCH(LARGE(FILTER(I$4:I1673,I$4:I1673&lt;=W1605),1),I$4:I1673))-(W1605-L"&amp;"ARGE(FILTER(I$4:I1673,I$4:I1673&lt;=W1605),1))*INDEX(F$4:F1673,MATCH(LARGE(FILTER(I$4:I1673,I$4:I1673&lt;=W1605),1),I$4:I1673))))"),"")</f>
        <v/>
      </c>
      <c r="N1605" s="60" t="str">
        <f t="shared" si="8"/>
        <v/>
      </c>
      <c r="O1605" s="61" t="str">
        <f t="shared" si="9"/>
        <v/>
      </c>
      <c r="P1605" s="56" t="str">
        <f t="shared" si="10"/>
        <v/>
      </c>
      <c r="Q1605" s="57"/>
      <c r="R1605" s="10"/>
      <c r="S1605" s="59" t="str">
        <f t="array" ref="S1605">IF(COUNTA(Q1605:Q1673)=0,"",SUM((COUNTIF(Q$4:Q1605,Upgrades!$B$3:$B$13)-COUNTIF(Q$4:Q1605,"Sell_"&amp;Upgrades!$B$3:$B$13))*Upgrades!$D$3:$D$13))</f>
        <v/>
      </c>
      <c r="T1605" s="66" t="str">
        <f>IFERROR(__xludf.DUMMYFUNCTION("IF(COUNTA(Q1605:Q1673)=0,"""",IF(REGEXMATCH(INDEX(FILTER(Q$4:Q1605,Q$4:Q1605&lt;&gt;""""),ROWS(FILTER(Q$4:Q1605,Q$4:Q1605&lt;&gt;""""))),""^Sell_""),INDEX(FILTER(T$4:T1604,Q$4:Q1604&lt;&gt;""""),ROWS(FILTER(Q$4:Q1604,Q$4:Q1604&lt;&gt;""""))),$AD$5+S1605))"),"")</f>
        <v/>
      </c>
      <c r="U1605" s="10" t="str">
        <f>IFERROR(__xludf.DUMMYFUNCTION("IF(COUNTA(Q1605:Q1673)=0,"""",IF(Q1605="""",0,IF(REGEXMATCH(Q1605,""^Sell_""),-ROUNDDOWN(ROUNDUP(INDEX(Upgrades!$C$3:$C$13,MATCH(SUBSTITUTE(Q1605,""Sell_"",""""),Upgrades!$B$3:$B$13,0))*1.15^(COUNTIF(Q$4:Q1604,SUBSTITUTE(Q1605,""Sell_"",""""))-COUNTIF(Q$4"&amp;":Q1604,""Sell_""&amp;SUBSTITUTE(Q1605,""Sell_"",""""))))/2),ROUNDUP(INDEX(Upgrades!$C$3:$C$13,MATCH(Q1605,Upgrades!$B$3:$B$13,0))*1.15^(COUNTIF(Q$4:Q1604,Q1605)-COUNTIF(Q$4:Q1604,""Sell_""&amp;Q1605))))))"),"")</f>
        <v/>
      </c>
      <c r="V1605" s="10" t="str">
        <f t="shared" si="11"/>
        <v/>
      </c>
      <c r="W1605" s="68" t="str">
        <f t="shared" si="12"/>
        <v/>
      </c>
      <c r="X1605" s="59" t="str">
        <f t="shared" si="13"/>
        <v/>
      </c>
      <c r="Y1605" s="69" t="str">
        <f t="shared" si="14"/>
        <v/>
      </c>
      <c r="Z1605" s="11"/>
    </row>
    <row r="1606">
      <c r="A1606" s="8"/>
      <c r="B1606" s="56" t="str">
        <f t="shared" si="2"/>
        <v/>
      </c>
      <c r="C1606" s="105"/>
      <c r="D1606" s="10"/>
      <c r="E1606" s="59" t="str">
        <f t="array" ref="E1606">IF(COUNTA(C1606:C1673)=0,"",SUM((COUNTIF(C$4:C1606,Upgrades!$B$3:$B$13)-COUNTIF(C$4:C1606,"Sell_"&amp;Upgrades!$B$3:$B$13))*Upgrades!$D$3:$D$13))</f>
        <v/>
      </c>
      <c r="F1606" s="66" t="str">
        <f>IFERROR(__xludf.DUMMYFUNCTION("IF(COUNTA(C1606:C1673)=0,"""",IF(REGEXMATCH(INDEX(FILTER(C$4:C1606,C$4:C1606&lt;&gt;""""),ROWS(FILTER(C$4:C1606,C$4:C1606&lt;&gt;""""))),""^Sell_""),INDEX(FILTER(F$4:F1605,C$4:C1605&lt;&gt;""""),ROWS(FILTER(C$4:C1605,C$4:C1605&lt;&gt;""""))),$AC$5+E1606))"),"")</f>
        <v/>
      </c>
      <c r="G1606" s="10" t="str">
        <f>IFERROR(__xludf.DUMMYFUNCTION("IF(COUNTA(C1606:C1673)=0,"""",IF(C1606="""",0,IF(REGEXMATCH(C1606,""^Sell_""),-ROUNDDOWN(ROUNDUP(INDEX(Upgrades!$C$3:$C$13,MATCH(SUBSTITUTE(C1606,""Sell_"",""""),Upgrades!$B$3:$B$13,0))*1.15^(COUNTIF(C$4:C1605,SUBSTITUTE(C1606,""Sell_"",""""))-COUNTIF(C$4"&amp;":C1605,""Sell_""&amp;SUBSTITUTE(C1606,""Sell_"",""""))))/2),ROUNDUP(INDEX(Upgrades!$C$3:$C$13,MATCH(C1606,Upgrades!$B$3:$B$13,0))*1.15^(COUNTIF(C$4:C1605,C1606)-COUNTIF(C$4:C1605,""Sell_""&amp;C1606))))))"),"")</f>
        <v/>
      </c>
      <c r="H1606" s="10" t="str">
        <f t="shared" si="3"/>
        <v/>
      </c>
      <c r="I1606" s="68" t="str">
        <f t="shared" si="4"/>
        <v/>
      </c>
      <c r="J1606" s="59" t="str">
        <f t="shared" si="5"/>
        <v/>
      </c>
      <c r="K1606" s="69" t="str">
        <f t="shared" si="6"/>
        <v/>
      </c>
      <c r="L1606" s="60" t="str">
        <f t="shared" si="7"/>
        <v/>
      </c>
      <c r="M1606" s="61" t="str">
        <f>IFERROR(__xludf.DUMMYFUNCTION("IFS(AND(COUNTA(C1606:C1673)=0,COUNTA(Q1606:Q1673)=0),"""",OR(AND(K1606&gt;=1000000000,OR(Y1606&gt;=1000000000,COUNTA(Q1606:Q1673)=0)),OR(Y1606&gt;=1000000000,AND(COUNTA(C1606:C1673)=0,P$3=TRUE))),
ROUNDDOWN((AB$1-AC$1)*MAX(INDEX(T$4:T1673,MATCH(LARGE(FILTER(Y$4:Y1"&amp;"673,Y$4:Y1673&lt;1000000000),1),Y$4:Y1673)),INDEX(F$4:F1673,MATCH(LARGE(FILTER(K$4:K1673,K$4:K1673&lt;1000000000),1),K$4:K1673)))),AND(K1606&lt;1000000000,COUNTA(C1606:C1673)&gt;0,P$3=FALSE),
ROUNDDOWN(INDEX(Y$4:Y1673,MATCH(LARGE(FILTER(W$4:W1673,W$4:W1673&lt;=I1606),1)"&amp;",W$4:W1673))+(I1606-LARGE(FILTER(W$4:W1673,W$4:W1673&lt;=I1606),1))*INDEX(T$4:T1673,MATCH(LARGE(FILTER(W$4:W1673,W$4:W1673&lt;=I1606),1),W$4:W1673))-K1606),1,
ROUNDDOWN(Y1606-INDEX(K$4:K1673,MATCH(LARGE(FILTER(I$4:I1673,I$4:I1673&lt;=W1606),1),I$4:I1673))-(W1606-L"&amp;"ARGE(FILTER(I$4:I1673,I$4:I1673&lt;=W1606),1))*INDEX(F$4:F1673,MATCH(LARGE(FILTER(I$4:I1673,I$4:I1673&lt;=W1606),1),I$4:I1673))))"),"")</f>
        <v/>
      </c>
      <c r="N1606" s="60" t="str">
        <f t="shared" si="8"/>
        <v/>
      </c>
      <c r="O1606" s="61" t="str">
        <f t="shared" si="9"/>
        <v/>
      </c>
      <c r="P1606" s="56" t="str">
        <f t="shared" si="10"/>
        <v/>
      </c>
      <c r="Q1606" s="57"/>
      <c r="R1606" s="10"/>
      <c r="S1606" s="59" t="str">
        <f t="array" ref="S1606">IF(COUNTA(Q1606:Q1673)=0,"",SUM((COUNTIF(Q$4:Q1606,Upgrades!$B$3:$B$13)-COUNTIF(Q$4:Q1606,"Sell_"&amp;Upgrades!$B$3:$B$13))*Upgrades!$D$3:$D$13))</f>
        <v/>
      </c>
      <c r="T1606" s="66" t="str">
        <f>IFERROR(__xludf.DUMMYFUNCTION("IF(COUNTA(Q1606:Q1673)=0,"""",IF(REGEXMATCH(INDEX(FILTER(Q$4:Q1606,Q$4:Q1606&lt;&gt;""""),ROWS(FILTER(Q$4:Q1606,Q$4:Q1606&lt;&gt;""""))),""^Sell_""),INDEX(FILTER(T$4:T1605,Q$4:Q1605&lt;&gt;""""),ROWS(FILTER(Q$4:Q1605,Q$4:Q1605&lt;&gt;""""))),$AD$5+S1606))"),"")</f>
        <v/>
      </c>
      <c r="U1606" s="10" t="str">
        <f>IFERROR(__xludf.DUMMYFUNCTION("IF(COUNTA(Q1606:Q1673)=0,"""",IF(Q1606="""",0,IF(REGEXMATCH(Q1606,""^Sell_""),-ROUNDDOWN(ROUNDUP(INDEX(Upgrades!$C$3:$C$13,MATCH(SUBSTITUTE(Q1606,""Sell_"",""""),Upgrades!$B$3:$B$13,0))*1.15^(COUNTIF(Q$4:Q1605,SUBSTITUTE(Q1606,""Sell_"",""""))-COUNTIF(Q$4"&amp;":Q1605,""Sell_""&amp;SUBSTITUTE(Q1606,""Sell_"",""""))))/2),ROUNDUP(INDEX(Upgrades!$C$3:$C$13,MATCH(Q1606,Upgrades!$B$3:$B$13,0))*1.15^(COUNTIF(Q$4:Q1605,Q1606)-COUNTIF(Q$4:Q1605,""Sell_""&amp;Q1606))))))"),"")</f>
        <v/>
      </c>
      <c r="V1606" s="10" t="str">
        <f t="shared" si="11"/>
        <v/>
      </c>
      <c r="W1606" s="68" t="str">
        <f t="shared" si="12"/>
        <v/>
      </c>
      <c r="X1606" s="59" t="str">
        <f t="shared" si="13"/>
        <v/>
      </c>
      <c r="Y1606" s="69" t="str">
        <f t="shared" si="14"/>
        <v/>
      </c>
      <c r="Z1606" s="11"/>
    </row>
    <row r="1607">
      <c r="A1607" s="8"/>
      <c r="B1607" s="56" t="str">
        <f t="shared" si="2"/>
        <v/>
      </c>
      <c r="C1607" s="105"/>
      <c r="D1607" s="10"/>
      <c r="E1607" s="59" t="str">
        <f t="array" ref="E1607">IF(COUNTA(C1607:C1673)=0,"",SUM((COUNTIF(C$4:C1607,Upgrades!$B$3:$B$13)-COUNTIF(C$4:C1607,"Sell_"&amp;Upgrades!$B$3:$B$13))*Upgrades!$D$3:$D$13))</f>
        <v/>
      </c>
      <c r="F1607" s="66" t="str">
        <f>IFERROR(__xludf.DUMMYFUNCTION("IF(COUNTA(C1607:C1673)=0,"""",IF(REGEXMATCH(INDEX(FILTER(C$4:C1607,C$4:C1607&lt;&gt;""""),ROWS(FILTER(C$4:C1607,C$4:C1607&lt;&gt;""""))),""^Sell_""),INDEX(FILTER(F$4:F1606,C$4:C1606&lt;&gt;""""),ROWS(FILTER(C$4:C1606,C$4:C1606&lt;&gt;""""))),$AC$5+E1607))"),"")</f>
        <v/>
      </c>
      <c r="G1607" s="10" t="str">
        <f>IFERROR(__xludf.DUMMYFUNCTION("IF(COUNTA(C1607:C1673)=0,"""",IF(C1607="""",0,IF(REGEXMATCH(C1607,""^Sell_""),-ROUNDDOWN(ROUNDUP(INDEX(Upgrades!$C$3:$C$13,MATCH(SUBSTITUTE(C1607,""Sell_"",""""),Upgrades!$B$3:$B$13,0))*1.15^(COUNTIF(C$4:C1606,SUBSTITUTE(C1607,""Sell_"",""""))-COUNTIF(C$4"&amp;":C1606,""Sell_""&amp;SUBSTITUTE(C1607,""Sell_"",""""))))/2),ROUNDUP(INDEX(Upgrades!$C$3:$C$13,MATCH(C1607,Upgrades!$B$3:$B$13,0))*1.15^(COUNTIF(C$4:C1606,C1607)-COUNTIF(C$4:C1606,""Sell_""&amp;C1607))))))"),"")</f>
        <v/>
      </c>
      <c r="H1607" s="10" t="str">
        <f t="shared" si="3"/>
        <v/>
      </c>
      <c r="I1607" s="68" t="str">
        <f t="shared" si="4"/>
        <v/>
      </c>
      <c r="J1607" s="59" t="str">
        <f t="shared" si="5"/>
        <v/>
      </c>
      <c r="K1607" s="69" t="str">
        <f t="shared" si="6"/>
        <v/>
      </c>
      <c r="L1607" s="60" t="str">
        <f t="shared" si="7"/>
        <v/>
      </c>
      <c r="M1607" s="61" t="str">
        <f>IFERROR(__xludf.DUMMYFUNCTION("IFS(AND(COUNTA(C1607:C1673)=0,COUNTA(Q1607:Q1673)=0),"""",OR(AND(K1607&gt;=1000000000,OR(Y1607&gt;=1000000000,COUNTA(Q1607:Q1673)=0)),OR(Y1607&gt;=1000000000,AND(COUNTA(C1607:C1673)=0,P$3=TRUE))),
ROUNDDOWN((AB$1-AC$1)*MAX(INDEX(T$4:T1673,MATCH(LARGE(FILTER(Y$4:Y1"&amp;"673,Y$4:Y1673&lt;1000000000),1),Y$4:Y1673)),INDEX(F$4:F1673,MATCH(LARGE(FILTER(K$4:K1673,K$4:K1673&lt;1000000000),1),K$4:K1673)))),AND(K1607&lt;1000000000,COUNTA(C1607:C1673)&gt;0,P$3=FALSE),
ROUNDDOWN(INDEX(Y$4:Y1673,MATCH(LARGE(FILTER(W$4:W1673,W$4:W1673&lt;=I1607),1)"&amp;",W$4:W1673))+(I1607-LARGE(FILTER(W$4:W1673,W$4:W1673&lt;=I1607),1))*INDEX(T$4:T1673,MATCH(LARGE(FILTER(W$4:W1673,W$4:W1673&lt;=I1607),1),W$4:W1673))-K1607),1,
ROUNDDOWN(Y1607-INDEX(K$4:K1673,MATCH(LARGE(FILTER(I$4:I1673,I$4:I1673&lt;=W1607),1),I$4:I1673))-(W1607-L"&amp;"ARGE(FILTER(I$4:I1673,I$4:I1673&lt;=W1607),1))*INDEX(F$4:F1673,MATCH(LARGE(FILTER(I$4:I1673,I$4:I1673&lt;=W1607),1),I$4:I1673))))"),"")</f>
        <v/>
      </c>
      <c r="N1607" s="60" t="str">
        <f t="shared" si="8"/>
        <v/>
      </c>
      <c r="O1607" s="61" t="str">
        <f t="shared" si="9"/>
        <v/>
      </c>
      <c r="P1607" s="56" t="str">
        <f t="shared" si="10"/>
        <v/>
      </c>
      <c r="Q1607" s="57"/>
      <c r="R1607" s="10"/>
      <c r="S1607" s="59" t="str">
        <f t="array" ref="S1607">IF(COUNTA(Q1607:Q1673)=0,"",SUM((COUNTIF(Q$4:Q1607,Upgrades!$B$3:$B$13)-COUNTIF(Q$4:Q1607,"Sell_"&amp;Upgrades!$B$3:$B$13))*Upgrades!$D$3:$D$13))</f>
        <v/>
      </c>
      <c r="T1607" s="66" t="str">
        <f>IFERROR(__xludf.DUMMYFUNCTION("IF(COUNTA(Q1607:Q1673)=0,"""",IF(REGEXMATCH(INDEX(FILTER(Q$4:Q1607,Q$4:Q1607&lt;&gt;""""),ROWS(FILTER(Q$4:Q1607,Q$4:Q1607&lt;&gt;""""))),""^Sell_""),INDEX(FILTER(T$4:T1606,Q$4:Q1606&lt;&gt;""""),ROWS(FILTER(Q$4:Q1606,Q$4:Q1606&lt;&gt;""""))),$AD$5+S1607))"),"")</f>
        <v/>
      </c>
      <c r="U1607" s="10" t="str">
        <f>IFERROR(__xludf.DUMMYFUNCTION("IF(COUNTA(Q1607:Q1673)=0,"""",IF(Q1607="""",0,IF(REGEXMATCH(Q1607,""^Sell_""),-ROUNDDOWN(ROUNDUP(INDEX(Upgrades!$C$3:$C$13,MATCH(SUBSTITUTE(Q1607,""Sell_"",""""),Upgrades!$B$3:$B$13,0))*1.15^(COUNTIF(Q$4:Q1606,SUBSTITUTE(Q1607,""Sell_"",""""))-COUNTIF(Q$4"&amp;":Q1606,""Sell_""&amp;SUBSTITUTE(Q1607,""Sell_"",""""))))/2),ROUNDUP(INDEX(Upgrades!$C$3:$C$13,MATCH(Q1607,Upgrades!$B$3:$B$13,0))*1.15^(COUNTIF(Q$4:Q1606,Q1607)-COUNTIF(Q$4:Q1606,""Sell_""&amp;Q1607))))))"),"")</f>
        <v/>
      </c>
      <c r="V1607" s="10" t="str">
        <f t="shared" si="11"/>
        <v/>
      </c>
      <c r="W1607" s="68" t="str">
        <f t="shared" si="12"/>
        <v/>
      </c>
      <c r="X1607" s="59" t="str">
        <f t="shared" si="13"/>
        <v/>
      </c>
      <c r="Y1607" s="69" t="str">
        <f t="shared" si="14"/>
        <v/>
      </c>
      <c r="Z1607" s="11"/>
    </row>
    <row r="1608">
      <c r="A1608" s="8"/>
      <c r="B1608" s="56" t="str">
        <f t="shared" si="2"/>
        <v/>
      </c>
      <c r="C1608" s="105"/>
      <c r="D1608" s="10"/>
      <c r="E1608" s="59" t="str">
        <f t="array" ref="E1608">IF(COUNTA(C1608:C1673)=0,"",SUM((COUNTIF(C$4:C1608,Upgrades!$B$3:$B$13)-COUNTIF(C$4:C1608,"Sell_"&amp;Upgrades!$B$3:$B$13))*Upgrades!$D$3:$D$13))</f>
        <v/>
      </c>
      <c r="F1608" s="66" t="str">
        <f>IFERROR(__xludf.DUMMYFUNCTION("IF(COUNTA(C1608:C1673)=0,"""",IF(REGEXMATCH(INDEX(FILTER(C$4:C1608,C$4:C1608&lt;&gt;""""),ROWS(FILTER(C$4:C1608,C$4:C1608&lt;&gt;""""))),""^Sell_""),INDEX(FILTER(F$4:F1607,C$4:C1607&lt;&gt;""""),ROWS(FILTER(C$4:C1607,C$4:C1607&lt;&gt;""""))),$AC$5+E1608))"),"")</f>
        <v/>
      </c>
      <c r="G1608" s="10" t="str">
        <f>IFERROR(__xludf.DUMMYFUNCTION("IF(COUNTA(C1608:C1673)=0,"""",IF(C1608="""",0,IF(REGEXMATCH(C1608,""^Sell_""),-ROUNDDOWN(ROUNDUP(INDEX(Upgrades!$C$3:$C$13,MATCH(SUBSTITUTE(C1608,""Sell_"",""""),Upgrades!$B$3:$B$13,0))*1.15^(COUNTIF(C$4:C1607,SUBSTITUTE(C1608,""Sell_"",""""))-COUNTIF(C$4"&amp;":C1607,""Sell_""&amp;SUBSTITUTE(C1608,""Sell_"",""""))))/2),ROUNDUP(INDEX(Upgrades!$C$3:$C$13,MATCH(C1608,Upgrades!$B$3:$B$13,0))*1.15^(COUNTIF(C$4:C1607,C1608)-COUNTIF(C$4:C1607,""Sell_""&amp;C1608))))))"),"")</f>
        <v/>
      </c>
      <c r="H1608" s="10" t="str">
        <f t="shared" si="3"/>
        <v/>
      </c>
      <c r="I1608" s="68" t="str">
        <f t="shared" si="4"/>
        <v/>
      </c>
      <c r="J1608" s="59" t="str">
        <f t="shared" si="5"/>
        <v/>
      </c>
      <c r="K1608" s="69" t="str">
        <f t="shared" si="6"/>
        <v/>
      </c>
      <c r="L1608" s="60" t="str">
        <f t="shared" si="7"/>
        <v/>
      </c>
      <c r="M1608" s="61" t="str">
        <f>IFERROR(__xludf.DUMMYFUNCTION("IFS(AND(COUNTA(C1608:C1673)=0,COUNTA(Q1608:Q1673)=0),"""",OR(AND(K1608&gt;=1000000000,OR(Y1608&gt;=1000000000,COUNTA(Q1608:Q1673)=0)),OR(Y1608&gt;=1000000000,AND(COUNTA(C1608:C1673)=0,P$3=TRUE))),
ROUNDDOWN((AB$1-AC$1)*MAX(INDEX(T$4:T1673,MATCH(LARGE(FILTER(Y$4:Y1"&amp;"673,Y$4:Y1673&lt;1000000000),1),Y$4:Y1673)),INDEX(F$4:F1673,MATCH(LARGE(FILTER(K$4:K1673,K$4:K1673&lt;1000000000),1),K$4:K1673)))),AND(K1608&lt;1000000000,COUNTA(C1608:C1673)&gt;0,P$3=FALSE),
ROUNDDOWN(INDEX(Y$4:Y1673,MATCH(LARGE(FILTER(W$4:W1673,W$4:W1673&lt;=I1608),1)"&amp;",W$4:W1673))+(I1608-LARGE(FILTER(W$4:W1673,W$4:W1673&lt;=I1608),1))*INDEX(T$4:T1673,MATCH(LARGE(FILTER(W$4:W1673,W$4:W1673&lt;=I1608),1),W$4:W1673))-K1608),1,
ROUNDDOWN(Y1608-INDEX(K$4:K1673,MATCH(LARGE(FILTER(I$4:I1673,I$4:I1673&lt;=W1608),1),I$4:I1673))-(W1608-L"&amp;"ARGE(FILTER(I$4:I1673,I$4:I1673&lt;=W1608),1))*INDEX(F$4:F1673,MATCH(LARGE(FILTER(I$4:I1673,I$4:I1673&lt;=W1608),1),I$4:I1673))))"),"")</f>
        <v/>
      </c>
      <c r="N1608" s="60" t="str">
        <f t="shared" si="8"/>
        <v/>
      </c>
      <c r="O1608" s="61" t="str">
        <f t="shared" si="9"/>
        <v/>
      </c>
      <c r="P1608" s="56" t="str">
        <f t="shared" si="10"/>
        <v/>
      </c>
      <c r="Q1608" s="57"/>
      <c r="R1608" s="10"/>
      <c r="S1608" s="59" t="str">
        <f t="array" ref="S1608">IF(COUNTA(Q1608:Q1673)=0,"",SUM((COUNTIF(Q$4:Q1608,Upgrades!$B$3:$B$13)-COUNTIF(Q$4:Q1608,"Sell_"&amp;Upgrades!$B$3:$B$13))*Upgrades!$D$3:$D$13))</f>
        <v/>
      </c>
      <c r="T1608" s="66" t="str">
        <f>IFERROR(__xludf.DUMMYFUNCTION("IF(COUNTA(Q1608:Q1673)=0,"""",IF(REGEXMATCH(INDEX(FILTER(Q$4:Q1608,Q$4:Q1608&lt;&gt;""""),ROWS(FILTER(Q$4:Q1608,Q$4:Q1608&lt;&gt;""""))),""^Sell_""),INDEX(FILTER(T$4:T1607,Q$4:Q1607&lt;&gt;""""),ROWS(FILTER(Q$4:Q1607,Q$4:Q1607&lt;&gt;""""))),$AD$5+S1608))"),"")</f>
        <v/>
      </c>
      <c r="U1608" s="10" t="str">
        <f>IFERROR(__xludf.DUMMYFUNCTION("IF(COUNTA(Q1608:Q1673)=0,"""",IF(Q1608="""",0,IF(REGEXMATCH(Q1608,""^Sell_""),-ROUNDDOWN(ROUNDUP(INDEX(Upgrades!$C$3:$C$13,MATCH(SUBSTITUTE(Q1608,""Sell_"",""""),Upgrades!$B$3:$B$13,0))*1.15^(COUNTIF(Q$4:Q1607,SUBSTITUTE(Q1608,""Sell_"",""""))-COUNTIF(Q$4"&amp;":Q1607,""Sell_""&amp;SUBSTITUTE(Q1608,""Sell_"",""""))))/2),ROUNDUP(INDEX(Upgrades!$C$3:$C$13,MATCH(Q1608,Upgrades!$B$3:$B$13,0))*1.15^(COUNTIF(Q$4:Q1607,Q1608)-COUNTIF(Q$4:Q1607,""Sell_""&amp;Q1608))))))"),"")</f>
        <v/>
      </c>
      <c r="V1608" s="10" t="str">
        <f t="shared" si="11"/>
        <v/>
      </c>
      <c r="W1608" s="68" t="str">
        <f t="shared" si="12"/>
        <v/>
      </c>
      <c r="X1608" s="59" t="str">
        <f t="shared" si="13"/>
        <v/>
      </c>
      <c r="Y1608" s="69" t="str">
        <f t="shared" si="14"/>
        <v/>
      </c>
      <c r="Z1608" s="11"/>
    </row>
    <row r="1609">
      <c r="A1609" s="8"/>
      <c r="B1609" s="56" t="str">
        <f t="shared" si="2"/>
        <v/>
      </c>
      <c r="C1609" s="105"/>
      <c r="D1609" s="10"/>
      <c r="E1609" s="59" t="str">
        <f t="array" ref="E1609">IF(COUNTA(C1609:C1673)=0,"",SUM((COUNTIF(C$4:C1609,Upgrades!$B$3:$B$13)-COUNTIF(C$4:C1609,"Sell_"&amp;Upgrades!$B$3:$B$13))*Upgrades!$D$3:$D$13))</f>
        <v/>
      </c>
      <c r="F1609" s="66" t="str">
        <f>IFERROR(__xludf.DUMMYFUNCTION("IF(COUNTA(C1609:C1673)=0,"""",IF(REGEXMATCH(INDEX(FILTER(C$4:C1609,C$4:C1609&lt;&gt;""""),ROWS(FILTER(C$4:C1609,C$4:C1609&lt;&gt;""""))),""^Sell_""),INDEX(FILTER(F$4:F1608,C$4:C1608&lt;&gt;""""),ROWS(FILTER(C$4:C1608,C$4:C1608&lt;&gt;""""))),$AC$5+E1609))"),"")</f>
        <v/>
      </c>
      <c r="G1609" s="10" t="str">
        <f>IFERROR(__xludf.DUMMYFUNCTION("IF(COUNTA(C1609:C1673)=0,"""",IF(C1609="""",0,IF(REGEXMATCH(C1609,""^Sell_""),-ROUNDDOWN(ROUNDUP(INDEX(Upgrades!$C$3:$C$13,MATCH(SUBSTITUTE(C1609,""Sell_"",""""),Upgrades!$B$3:$B$13,0))*1.15^(COUNTIF(C$4:C1608,SUBSTITUTE(C1609,""Sell_"",""""))-COUNTIF(C$4"&amp;":C1608,""Sell_""&amp;SUBSTITUTE(C1609,""Sell_"",""""))))/2),ROUNDUP(INDEX(Upgrades!$C$3:$C$13,MATCH(C1609,Upgrades!$B$3:$B$13,0))*1.15^(COUNTIF(C$4:C1608,C1609)-COUNTIF(C$4:C1608,""Sell_""&amp;C1609))))))"),"")</f>
        <v/>
      </c>
      <c r="H1609" s="10" t="str">
        <f t="shared" si="3"/>
        <v/>
      </c>
      <c r="I1609" s="68" t="str">
        <f t="shared" si="4"/>
        <v/>
      </c>
      <c r="J1609" s="59" t="str">
        <f t="shared" si="5"/>
        <v/>
      </c>
      <c r="K1609" s="69" t="str">
        <f t="shared" si="6"/>
        <v/>
      </c>
      <c r="L1609" s="60" t="str">
        <f t="shared" si="7"/>
        <v/>
      </c>
      <c r="M1609" s="61" t="str">
        <f>IFERROR(__xludf.DUMMYFUNCTION("IFS(AND(COUNTA(C1609:C1673)=0,COUNTA(Q1609:Q1673)=0),"""",OR(AND(K1609&gt;=1000000000,OR(Y1609&gt;=1000000000,COUNTA(Q1609:Q1673)=0)),OR(Y1609&gt;=1000000000,AND(COUNTA(C1609:C1673)=0,P$3=TRUE))),
ROUNDDOWN((AB$1-AC$1)*MAX(INDEX(T$4:T1673,MATCH(LARGE(FILTER(Y$4:Y1"&amp;"673,Y$4:Y1673&lt;1000000000),1),Y$4:Y1673)),INDEX(F$4:F1673,MATCH(LARGE(FILTER(K$4:K1673,K$4:K1673&lt;1000000000),1),K$4:K1673)))),AND(K1609&lt;1000000000,COUNTA(C1609:C1673)&gt;0,P$3=FALSE),
ROUNDDOWN(INDEX(Y$4:Y1673,MATCH(LARGE(FILTER(W$4:W1673,W$4:W1673&lt;=I1609),1)"&amp;",W$4:W1673))+(I1609-LARGE(FILTER(W$4:W1673,W$4:W1673&lt;=I1609),1))*INDEX(T$4:T1673,MATCH(LARGE(FILTER(W$4:W1673,W$4:W1673&lt;=I1609),1),W$4:W1673))-K1609),1,
ROUNDDOWN(Y1609-INDEX(K$4:K1673,MATCH(LARGE(FILTER(I$4:I1673,I$4:I1673&lt;=W1609),1),I$4:I1673))-(W1609-L"&amp;"ARGE(FILTER(I$4:I1673,I$4:I1673&lt;=W1609),1))*INDEX(F$4:F1673,MATCH(LARGE(FILTER(I$4:I1673,I$4:I1673&lt;=W1609),1),I$4:I1673))))"),"")</f>
        <v/>
      </c>
      <c r="N1609" s="60" t="str">
        <f t="shared" si="8"/>
        <v/>
      </c>
      <c r="O1609" s="61" t="str">
        <f t="shared" si="9"/>
        <v/>
      </c>
      <c r="P1609" s="56" t="str">
        <f t="shared" si="10"/>
        <v/>
      </c>
      <c r="Q1609" s="57"/>
      <c r="R1609" s="10"/>
      <c r="S1609" s="59" t="str">
        <f t="array" ref="S1609">IF(COUNTA(Q1609:Q1673)=0,"",SUM((COUNTIF(Q$4:Q1609,Upgrades!$B$3:$B$13)-COUNTIF(Q$4:Q1609,"Sell_"&amp;Upgrades!$B$3:$B$13))*Upgrades!$D$3:$D$13))</f>
        <v/>
      </c>
      <c r="T1609" s="66" t="str">
        <f>IFERROR(__xludf.DUMMYFUNCTION("IF(COUNTA(Q1609:Q1673)=0,"""",IF(REGEXMATCH(INDEX(FILTER(Q$4:Q1609,Q$4:Q1609&lt;&gt;""""),ROWS(FILTER(Q$4:Q1609,Q$4:Q1609&lt;&gt;""""))),""^Sell_""),INDEX(FILTER(T$4:T1608,Q$4:Q1608&lt;&gt;""""),ROWS(FILTER(Q$4:Q1608,Q$4:Q1608&lt;&gt;""""))),$AD$5+S1609))"),"")</f>
        <v/>
      </c>
      <c r="U1609" s="10" t="str">
        <f>IFERROR(__xludf.DUMMYFUNCTION("IF(COUNTA(Q1609:Q1673)=0,"""",IF(Q1609="""",0,IF(REGEXMATCH(Q1609,""^Sell_""),-ROUNDDOWN(ROUNDUP(INDEX(Upgrades!$C$3:$C$13,MATCH(SUBSTITUTE(Q1609,""Sell_"",""""),Upgrades!$B$3:$B$13,0))*1.15^(COUNTIF(Q$4:Q1608,SUBSTITUTE(Q1609,""Sell_"",""""))-COUNTIF(Q$4"&amp;":Q1608,""Sell_""&amp;SUBSTITUTE(Q1609,""Sell_"",""""))))/2),ROUNDUP(INDEX(Upgrades!$C$3:$C$13,MATCH(Q1609,Upgrades!$B$3:$B$13,0))*1.15^(COUNTIF(Q$4:Q1608,Q1609)-COUNTIF(Q$4:Q1608,""Sell_""&amp;Q1609))))))"),"")</f>
        <v/>
      </c>
      <c r="V1609" s="10" t="str">
        <f t="shared" si="11"/>
        <v/>
      </c>
      <c r="W1609" s="68" t="str">
        <f t="shared" si="12"/>
        <v/>
      </c>
      <c r="X1609" s="59" t="str">
        <f t="shared" si="13"/>
        <v/>
      </c>
      <c r="Y1609" s="69" t="str">
        <f t="shared" si="14"/>
        <v/>
      </c>
      <c r="Z1609" s="11"/>
    </row>
    <row r="1610">
      <c r="A1610" s="8"/>
      <c r="B1610" s="56" t="str">
        <f t="shared" si="2"/>
        <v/>
      </c>
      <c r="C1610" s="105"/>
      <c r="D1610" s="10"/>
      <c r="E1610" s="59" t="str">
        <f t="array" ref="E1610">IF(COUNTA(C1610:C1673)=0,"",SUM((COUNTIF(C$4:C1610,Upgrades!$B$3:$B$13)-COUNTIF(C$4:C1610,"Sell_"&amp;Upgrades!$B$3:$B$13))*Upgrades!$D$3:$D$13))</f>
        <v/>
      </c>
      <c r="F1610" s="66" t="str">
        <f>IFERROR(__xludf.DUMMYFUNCTION("IF(COUNTA(C1610:C1673)=0,"""",IF(REGEXMATCH(INDEX(FILTER(C$4:C1610,C$4:C1610&lt;&gt;""""),ROWS(FILTER(C$4:C1610,C$4:C1610&lt;&gt;""""))),""^Sell_""),INDEX(FILTER(F$4:F1609,C$4:C1609&lt;&gt;""""),ROWS(FILTER(C$4:C1609,C$4:C1609&lt;&gt;""""))),$AC$5+E1610))"),"")</f>
        <v/>
      </c>
      <c r="G1610" s="10" t="str">
        <f>IFERROR(__xludf.DUMMYFUNCTION("IF(COUNTA(C1610:C1673)=0,"""",IF(C1610="""",0,IF(REGEXMATCH(C1610,""^Sell_""),-ROUNDDOWN(ROUNDUP(INDEX(Upgrades!$C$3:$C$13,MATCH(SUBSTITUTE(C1610,""Sell_"",""""),Upgrades!$B$3:$B$13,0))*1.15^(COUNTIF(C$4:C1609,SUBSTITUTE(C1610,""Sell_"",""""))-COUNTIF(C$4"&amp;":C1609,""Sell_""&amp;SUBSTITUTE(C1610,""Sell_"",""""))))/2),ROUNDUP(INDEX(Upgrades!$C$3:$C$13,MATCH(C1610,Upgrades!$B$3:$B$13,0))*1.15^(COUNTIF(C$4:C1609,C1610)-COUNTIF(C$4:C1609,""Sell_""&amp;C1610))))))"),"")</f>
        <v/>
      </c>
      <c r="H1610" s="10" t="str">
        <f t="shared" si="3"/>
        <v/>
      </c>
      <c r="I1610" s="68" t="str">
        <f t="shared" si="4"/>
        <v/>
      </c>
      <c r="J1610" s="59" t="str">
        <f t="shared" si="5"/>
        <v/>
      </c>
      <c r="K1610" s="69" t="str">
        <f t="shared" si="6"/>
        <v/>
      </c>
      <c r="L1610" s="60" t="str">
        <f t="shared" si="7"/>
        <v/>
      </c>
      <c r="M1610" s="61" t="str">
        <f>IFERROR(__xludf.DUMMYFUNCTION("IFS(AND(COUNTA(C1610:C1673)=0,COUNTA(Q1610:Q1673)=0),"""",OR(AND(K1610&gt;=1000000000,OR(Y1610&gt;=1000000000,COUNTA(Q1610:Q1673)=0)),OR(Y1610&gt;=1000000000,AND(COUNTA(C1610:C1673)=0,P$3=TRUE))),
ROUNDDOWN((AB$1-AC$1)*MAX(INDEX(T$4:T1673,MATCH(LARGE(FILTER(Y$4:Y1"&amp;"673,Y$4:Y1673&lt;1000000000),1),Y$4:Y1673)),INDEX(F$4:F1673,MATCH(LARGE(FILTER(K$4:K1673,K$4:K1673&lt;1000000000),1),K$4:K1673)))),AND(K1610&lt;1000000000,COUNTA(C1610:C1673)&gt;0,P$3=FALSE),
ROUNDDOWN(INDEX(Y$4:Y1673,MATCH(LARGE(FILTER(W$4:W1673,W$4:W1673&lt;=I1610),1)"&amp;",W$4:W1673))+(I1610-LARGE(FILTER(W$4:W1673,W$4:W1673&lt;=I1610),1))*INDEX(T$4:T1673,MATCH(LARGE(FILTER(W$4:W1673,W$4:W1673&lt;=I1610),1),W$4:W1673))-K1610),1,
ROUNDDOWN(Y1610-INDEX(K$4:K1673,MATCH(LARGE(FILTER(I$4:I1673,I$4:I1673&lt;=W1610),1),I$4:I1673))-(W1610-L"&amp;"ARGE(FILTER(I$4:I1673,I$4:I1673&lt;=W1610),1))*INDEX(F$4:F1673,MATCH(LARGE(FILTER(I$4:I1673,I$4:I1673&lt;=W1610),1),I$4:I1673))))"),"")</f>
        <v/>
      </c>
      <c r="N1610" s="60" t="str">
        <f t="shared" si="8"/>
        <v/>
      </c>
      <c r="O1610" s="61" t="str">
        <f t="shared" si="9"/>
        <v/>
      </c>
      <c r="P1610" s="56" t="str">
        <f t="shared" si="10"/>
        <v/>
      </c>
      <c r="Q1610" s="57"/>
      <c r="R1610" s="10"/>
      <c r="S1610" s="59" t="str">
        <f t="array" ref="S1610">IF(COUNTA(Q1610:Q1673)=0,"",SUM((COUNTIF(Q$4:Q1610,Upgrades!$B$3:$B$13)-COUNTIF(Q$4:Q1610,"Sell_"&amp;Upgrades!$B$3:$B$13))*Upgrades!$D$3:$D$13))</f>
        <v/>
      </c>
      <c r="T1610" s="66" t="str">
        <f>IFERROR(__xludf.DUMMYFUNCTION("IF(COUNTA(Q1610:Q1673)=0,"""",IF(REGEXMATCH(INDEX(FILTER(Q$4:Q1610,Q$4:Q1610&lt;&gt;""""),ROWS(FILTER(Q$4:Q1610,Q$4:Q1610&lt;&gt;""""))),""^Sell_""),INDEX(FILTER(T$4:T1609,Q$4:Q1609&lt;&gt;""""),ROWS(FILTER(Q$4:Q1609,Q$4:Q1609&lt;&gt;""""))),$AD$5+S1610))"),"")</f>
        <v/>
      </c>
      <c r="U1610" s="10" t="str">
        <f>IFERROR(__xludf.DUMMYFUNCTION("IF(COUNTA(Q1610:Q1673)=0,"""",IF(Q1610="""",0,IF(REGEXMATCH(Q1610,""^Sell_""),-ROUNDDOWN(ROUNDUP(INDEX(Upgrades!$C$3:$C$13,MATCH(SUBSTITUTE(Q1610,""Sell_"",""""),Upgrades!$B$3:$B$13,0))*1.15^(COUNTIF(Q$4:Q1609,SUBSTITUTE(Q1610,""Sell_"",""""))-COUNTIF(Q$4"&amp;":Q1609,""Sell_""&amp;SUBSTITUTE(Q1610,""Sell_"",""""))))/2),ROUNDUP(INDEX(Upgrades!$C$3:$C$13,MATCH(Q1610,Upgrades!$B$3:$B$13,0))*1.15^(COUNTIF(Q$4:Q1609,Q1610)-COUNTIF(Q$4:Q1609,""Sell_""&amp;Q1610))))))"),"")</f>
        <v/>
      </c>
      <c r="V1610" s="10" t="str">
        <f t="shared" si="11"/>
        <v/>
      </c>
      <c r="W1610" s="68" t="str">
        <f t="shared" si="12"/>
        <v/>
      </c>
      <c r="X1610" s="59" t="str">
        <f t="shared" si="13"/>
        <v/>
      </c>
      <c r="Y1610" s="69" t="str">
        <f t="shared" si="14"/>
        <v/>
      </c>
      <c r="Z1610" s="11"/>
    </row>
    <row r="1611">
      <c r="A1611" s="8"/>
      <c r="B1611" s="56" t="str">
        <f t="shared" si="2"/>
        <v/>
      </c>
      <c r="C1611" s="105"/>
      <c r="D1611" s="10"/>
      <c r="E1611" s="59" t="str">
        <f t="array" ref="E1611">IF(COUNTA(C1611:C1673)=0,"",SUM((COUNTIF(C$4:C1611,Upgrades!$B$3:$B$13)-COUNTIF(C$4:C1611,"Sell_"&amp;Upgrades!$B$3:$B$13))*Upgrades!$D$3:$D$13))</f>
        <v/>
      </c>
      <c r="F1611" s="66" t="str">
        <f>IFERROR(__xludf.DUMMYFUNCTION("IF(COUNTA(C1611:C1673)=0,"""",IF(REGEXMATCH(INDEX(FILTER(C$4:C1611,C$4:C1611&lt;&gt;""""),ROWS(FILTER(C$4:C1611,C$4:C1611&lt;&gt;""""))),""^Sell_""),INDEX(FILTER(F$4:F1610,C$4:C1610&lt;&gt;""""),ROWS(FILTER(C$4:C1610,C$4:C1610&lt;&gt;""""))),$AC$5+E1611))"),"")</f>
        <v/>
      </c>
      <c r="G1611" s="10" t="str">
        <f>IFERROR(__xludf.DUMMYFUNCTION("IF(COUNTA(C1611:C1673)=0,"""",IF(C1611="""",0,IF(REGEXMATCH(C1611,""^Sell_""),-ROUNDDOWN(ROUNDUP(INDEX(Upgrades!$C$3:$C$13,MATCH(SUBSTITUTE(C1611,""Sell_"",""""),Upgrades!$B$3:$B$13,0))*1.15^(COUNTIF(C$4:C1610,SUBSTITUTE(C1611,""Sell_"",""""))-COUNTIF(C$4"&amp;":C1610,""Sell_""&amp;SUBSTITUTE(C1611,""Sell_"",""""))))/2),ROUNDUP(INDEX(Upgrades!$C$3:$C$13,MATCH(C1611,Upgrades!$B$3:$B$13,0))*1.15^(COUNTIF(C$4:C1610,C1611)-COUNTIF(C$4:C1610,""Sell_""&amp;C1611))))))"),"")</f>
        <v/>
      </c>
      <c r="H1611" s="10" t="str">
        <f t="shared" si="3"/>
        <v/>
      </c>
      <c r="I1611" s="68" t="str">
        <f t="shared" si="4"/>
        <v/>
      </c>
      <c r="J1611" s="59" t="str">
        <f t="shared" si="5"/>
        <v/>
      </c>
      <c r="K1611" s="69" t="str">
        <f t="shared" si="6"/>
        <v/>
      </c>
      <c r="L1611" s="60" t="str">
        <f t="shared" si="7"/>
        <v/>
      </c>
      <c r="M1611" s="61" t="str">
        <f>IFERROR(__xludf.DUMMYFUNCTION("IFS(AND(COUNTA(C1611:C1673)=0,COUNTA(Q1611:Q1673)=0),"""",OR(AND(K1611&gt;=1000000000,OR(Y1611&gt;=1000000000,COUNTA(Q1611:Q1673)=0)),OR(Y1611&gt;=1000000000,AND(COUNTA(C1611:C1673)=0,P$3=TRUE))),
ROUNDDOWN((AB$1-AC$1)*MAX(INDEX(T$4:T1673,MATCH(LARGE(FILTER(Y$4:Y1"&amp;"673,Y$4:Y1673&lt;1000000000),1),Y$4:Y1673)),INDEX(F$4:F1673,MATCH(LARGE(FILTER(K$4:K1673,K$4:K1673&lt;1000000000),1),K$4:K1673)))),AND(K1611&lt;1000000000,COUNTA(C1611:C1673)&gt;0,P$3=FALSE),
ROUNDDOWN(INDEX(Y$4:Y1673,MATCH(LARGE(FILTER(W$4:W1673,W$4:W1673&lt;=I1611),1)"&amp;",W$4:W1673))+(I1611-LARGE(FILTER(W$4:W1673,W$4:W1673&lt;=I1611),1))*INDEX(T$4:T1673,MATCH(LARGE(FILTER(W$4:W1673,W$4:W1673&lt;=I1611),1),W$4:W1673))-K1611),1,
ROUNDDOWN(Y1611-INDEX(K$4:K1673,MATCH(LARGE(FILTER(I$4:I1673,I$4:I1673&lt;=W1611),1),I$4:I1673))-(W1611-L"&amp;"ARGE(FILTER(I$4:I1673,I$4:I1673&lt;=W1611),1))*INDEX(F$4:F1673,MATCH(LARGE(FILTER(I$4:I1673,I$4:I1673&lt;=W1611),1),I$4:I1673))))"),"")</f>
        <v/>
      </c>
      <c r="N1611" s="60" t="str">
        <f t="shared" si="8"/>
        <v/>
      </c>
      <c r="O1611" s="61" t="str">
        <f t="shared" si="9"/>
        <v/>
      </c>
      <c r="P1611" s="56" t="str">
        <f t="shared" si="10"/>
        <v/>
      </c>
      <c r="Q1611" s="57"/>
      <c r="R1611" s="10"/>
      <c r="S1611" s="59" t="str">
        <f t="array" ref="S1611">IF(COUNTA(Q1611:Q1673)=0,"",SUM((COUNTIF(Q$4:Q1611,Upgrades!$B$3:$B$13)-COUNTIF(Q$4:Q1611,"Sell_"&amp;Upgrades!$B$3:$B$13))*Upgrades!$D$3:$D$13))</f>
        <v/>
      </c>
      <c r="T1611" s="66" t="str">
        <f>IFERROR(__xludf.DUMMYFUNCTION("IF(COUNTA(Q1611:Q1673)=0,"""",IF(REGEXMATCH(INDEX(FILTER(Q$4:Q1611,Q$4:Q1611&lt;&gt;""""),ROWS(FILTER(Q$4:Q1611,Q$4:Q1611&lt;&gt;""""))),""^Sell_""),INDEX(FILTER(T$4:T1610,Q$4:Q1610&lt;&gt;""""),ROWS(FILTER(Q$4:Q1610,Q$4:Q1610&lt;&gt;""""))),$AD$5+S1611))"),"")</f>
        <v/>
      </c>
      <c r="U1611" s="10" t="str">
        <f>IFERROR(__xludf.DUMMYFUNCTION("IF(COUNTA(Q1611:Q1673)=0,"""",IF(Q1611="""",0,IF(REGEXMATCH(Q1611,""^Sell_""),-ROUNDDOWN(ROUNDUP(INDEX(Upgrades!$C$3:$C$13,MATCH(SUBSTITUTE(Q1611,""Sell_"",""""),Upgrades!$B$3:$B$13,0))*1.15^(COUNTIF(Q$4:Q1610,SUBSTITUTE(Q1611,""Sell_"",""""))-COUNTIF(Q$4"&amp;":Q1610,""Sell_""&amp;SUBSTITUTE(Q1611,""Sell_"",""""))))/2),ROUNDUP(INDEX(Upgrades!$C$3:$C$13,MATCH(Q1611,Upgrades!$B$3:$B$13,0))*1.15^(COUNTIF(Q$4:Q1610,Q1611)-COUNTIF(Q$4:Q1610,""Sell_""&amp;Q1611))))))"),"")</f>
        <v/>
      </c>
      <c r="V1611" s="10" t="str">
        <f t="shared" si="11"/>
        <v/>
      </c>
      <c r="W1611" s="68" t="str">
        <f t="shared" si="12"/>
        <v/>
      </c>
      <c r="X1611" s="59" t="str">
        <f t="shared" si="13"/>
        <v/>
      </c>
      <c r="Y1611" s="69" t="str">
        <f t="shared" si="14"/>
        <v/>
      </c>
      <c r="Z1611" s="11"/>
    </row>
    <row r="1612">
      <c r="A1612" s="8"/>
      <c r="B1612" s="56" t="str">
        <f t="shared" si="2"/>
        <v/>
      </c>
      <c r="C1612" s="105"/>
      <c r="D1612" s="10"/>
      <c r="E1612" s="59" t="str">
        <f t="array" ref="E1612">IF(COUNTA(C1612:C1673)=0,"",SUM((COUNTIF(C$4:C1612,Upgrades!$B$3:$B$13)-COUNTIF(C$4:C1612,"Sell_"&amp;Upgrades!$B$3:$B$13))*Upgrades!$D$3:$D$13))</f>
        <v/>
      </c>
      <c r="F1612" s="66" t="str">
        <f>IFERROR(__xludf.DUMMYFUNCTION("IF(COUNTA(C1612:C1673)=0,"""",IF(REGEXMATCH(INDEX(FILTER(C$4:C1612,C$4:C1612&lt;&gt;""""),ROWS(FILTER(C$4:C1612,C$4:C1612&lt;&gt;""""))),""^Sell_""),INDEX(FILTER(F$4:F1611,C$4:C1611&lt;&gt;""""),ROWS(FILTER(C$4:C1611,C$4:C1611&lt;&gt;""""))),$AC$5+E1612))"),"")</f>
        <v/>
      </c>
      <c r="G1612" s="10" t="str">
        <f>IFERROR(__xludf.DUMMYFUNCTION("IF(COUNTA(C1612:C1673)=0,"""",IF(C1612="""",0,IF(REGEXMATCH(C1612,""^Sell_""),-ROUNDDOWN(ROUNDUP(INDEX(Upgrades!$C$3:$C$13,MATCH(SUBSTITUTE(C1612,""Sell_"",""""),Upgrades!$B$3:$B$13,0))*1.15^(COUNTIF(C$4:C1611,SUBSTITUTE(C1612,""Sell_"",""""))-COUNTIF(C$4"&amp;":C1611,""Sell_""&amp;SUBSTITUTE(C1612,""Sell_"",""""))))/2),ROUNDUP(INDEX(Upgrades!$C$3:$C$13,MATCH(C1612,Upgrades!$B$3:$B$13,0))*1.15^(COUNTIF(C$4:C1611,C1612)-COUNTIF(C$4:C1611,""Sell_""&amp;C1612))))))"),"")</f>
        <v/>
      </c>
      <c r="H1612" s="10" t="str">
        <f t="shared" si="3"/>
        <v/>
      </c>
      <c r="I1612" s="68" t="str">
        <f t="shared" si="4"/>
        <v/>
      </c>
      <c r="J1612" s="59" t="str">
        <f t="shared" si="5"/>
        <v/>
      </c>
      <c r="K1612" s="69" t="str">
        <f t="shared" si="6"/>
        <v/>
      </c>
      <c r="L1612" s="60" t="str">
        <f t="shared" si="7"/>
        <v/>
      </c>
      <c r="M1612" s="61" t="str">
        <f>IFERROR(__xludf.DUMMYFUNCTION("IFS(AND(COUNTA(C1612:C1673)=0,COUNTA(Q1612:Q1673)=0),"""",OR(AND(K1612&gt;=1000000000,OR(Y1612&gt;=1000000000,COUNTA(Q1612:Q1673)=0)),OR(Y1612&gt;=1000000000,AND(COUNTA(C1612:C1673)=0,P$3=TRUE))),
ROUNDDOWN((AB$1-AC$1)*MAX(INDEX(T$4:T1673,MATCH(LARGE(FILTER(Y$4:Y1"&amp;"673,Y$4:Y1673&lt;1000000000),1),Y$4:Y1673)),INDEX(F$4:F1673,MATCH(LARGE(FILTER(K$4:K1673,K$4:K1673&lt;1000000000),1),K$4:K1673)))),AND(K1612&lt;1000000000,COUNTA(C1612:C1673)&gt;0,P$3=FALSE),
ROUNDDOWN(INDEX(Y$4:Y1673,MATCH(LARGE(FILTER(W$4:W1673,W$4:W1673&lt;=I1612),1)"&amp;",W$4:W1673))+(I1612-LARGE(FILTER(W$4:W1673,W$4:W1673&lt;=I1612),1))*INDEX(T$4:T1673,MATCH(LARGE(FILTER(W$4:W1673,W$4:W1673&lt;=I1612),1),W$4:W1673))-K1612),1,
ROUNDDOWN(Y1612-INDEX(K$4:K1673,MATCH(LARGE(FILTER(I$4:I1673,I$4:I1673&lt;=W1612),1),I$4:I1673))-(W1612-L"&amp;"ARGE(FILTER(I$4:I1673,I$4:I1673&lt;=W1612),1))*INDEX(F$4:F1673,MATCH(LARGE(FILTER(I$4:I1673,I$4:I1673&lt;=W1612),1),I$4:I1673))))"),"")</f>
        <v/>
      </c>
      <c r="N1612" s="60" t="str">
        <f t="shared" si="8"/>
        <v/>
      </c>
      <c r="O1612" s="61" t="str">
        <f t="shared" si="9"/>
        <v/>
      </c>
      <c r="P1612" s="56" t="str">
        <f t="shared" si="10"/>
        <v/>
      </c>
      <c r="Q1612" s="57"/>
      <c r="R1612" s="10"/>
      <c r="S1612" s="59" t="str">
        <f t="array" ref="S1612">IF(COUNTA(Q1612:Q1673)=0,"",SUM((COUNTIF(Q$4:Q1612,Upgrades!$B$3:$B$13)-COUNTIF(Q$4:Q1612,"Sell_"&amp;Upgrades!$B$3:$B$13))*Upgrades!$D$3:$D$13))</f>
        <v/>
      </c>
      <c r="T1612" s="66" t="str">
        <f>IFERROR(__xludf.DUMMYFUNCTION("IF(COUNTA(Q1612:Q1673)=0,"""",IF(REGEXMATCH(INDEX(FILTER(Q$4:Q1612,Q$4:Q1612&lt;&gt;""""),ROWS(FILTER(Q$4:Q1612,Q$4:Q1612&lt;&gt;""""))),""^Sell_""),INDEX(FILTER(T$4:T1611,Q$4:Q1611&lt;&gt;""""),ROWS(FILTER(Q$4:Q1611,Q$4:Q1611&lt;&gt;""""))),$AD$5+S1612))"),"")</f>
        <v/>
      </c>
      <c r="U1612" s="10" t="str">
        <f>IFERROR(__xludf.DUMMYFUNCTION("IF(COUNTA(Q1612:Q1673)=0,"""",IF(Q1612="""",0,IF(REGEXMATCH(Q1612,""^Sell_""),-ROUNDDOWN(ROUNDUP(INDEX(Upgrades!$C$3:$C$13,MATCH(SUBSTITUTE(Q1612,""Sell_"",""""),Upgrades!$B$3:$B$13,0))*1.15^(COUNTIF(Q$4:Q1611,SUBSTITUTE(Q1612,""Sell_"",""""))-COUNTIF(Q$4"&amp;":Q1611,""Sell_""&amp;SUBSTITUTE(Q1612,""Sell_"",""""))))/2),ROUNDUP(INDEX(Upgrades!$C$3:$C$13,MATCH(Q1612,Upgrades!$B$3:$B$13,0))*1.15^(COUNTIF(Q$4:Q1611,Q1612)-COUNTIF(Q$4:Q1611,""Sell_""&amp;Q1612))))))"),"")</f>
        <v/>
      </c>
      <c r="V1612" s="10" t="str">
        <f t="shared" si="11"/>
        <v/>
      </c>
      <c r="W1612" s="68" t="str">
        <f t="shared" si="12"/>
        <v/>
      </c>
      <c r="X1612" s="59" t="str">
        <f t="shared" si="13"/>
        <v/>
      </c>
      <c r="Y1612" s="69" t="str">
        <f t="shared" si="14"/>
        <v/>
      </c>
      <c r="Z1612" s="11"/>
    </row>
    <row r="1613">
      <c r="A1613" s="8"/>
      <c r="B1613" s="56" t="str">
        <f t="shared" si="2"/>
        <v/>
      </c>
      <c r="C1613" s="105"/>
      <c r="D1613" s="10"/>
      <c r="E1613" s="59" t="str">
        <f t="array" ref="E1613">IF(COUNTA(C1613:C1673)=0,"",SUM((COUNTIF(C$4:C1613,Upgrades!$B$3:$B$13)-COUNTIF(C$4:C1613,"Sell_"&amp;Upgrades!$B$3:$B$13))*Upgrades!$D$3:$D$13))</f>
        <v/>
      </c>
      <c r="F1613" s="66" t="str">
        <f>IFERROR(__xludf.DUMMYFUNCTION("IF(COUNTA(C1613:C1673)=0,"""",IF(REGEXMATCH(INDEX(FILTER(C$4:C1613,C$4:C1613&lt;&gt;""""),ROWS(FILTER(C$4:C1613,C$4:C1613&lt;&gt;""""))),""^Sell_""),INDEX(FILTER(F$4:F1612,C$4:C1612&lt;&gt;""""),ROWS(FILTER(C$4:C1612,C$4:C1612&lt;&gt;""""))),$AC$5+E1613))"),"")</f>
        <v/>
      </c>
      <c r="G1613" s="10" t="str">
        <f>IFERROR(__xludf.DUMMYFUNCTION("IF(COUNTA(C1613:C1673)=0,"""",IF(C1613="""",0,IF(REGEXMATCH(C1613,""^Sell_""),-ROUNDDOWN(ROUNDUP(INDEX(Upgrades!$C$3:$C$13,MATCH(SUBSTITUTE(C1613,""Sell_"",""""),Upgrades!$B$3:$B$13,0))*1.15^(COUNTIF(C$4:C1612,SUBSTITUTE(C1613,""Sell_"",""""))-COUNTIF(C$4"&amp;":C1612,""Sell_""&amp;SUBSTITUTE(C1613,""Sell_"",""""))))/2),ROUNDUP(INDEX(Upgrades!$C$3:$C$13,MATCH(C1613,Upgrades!$B$3:$B$13,0))*1.15^(COUNTIF(C$4:C1612,C1613)-COUNTIF(C$4:C1612,""Sell_""&amp;C1613))))))"),"")</f>
        <v/>
      </c>
      <c r="H1613" s="10" t="str">
        <f t="shared" si="3"/>
        <v/>
      </c>
      <c r="I1613" s="68" t="str">
        <f t="shared" si="4"/>
        <v/>
      </c>
      <c r="J1613" s="59" t="str">
        <f t="shared" si="5"/>
        <v/>
      </c>
      <c r="K1613" s="69" t="str">
        <f t="shared" si="6"/>
        <v/>
      </c>
      <c r="L1613" s="60" t="str">
        <f t="shared" si="7"/>
        <v/>
      </c>
      <c r="M1613" s="61" t="str">
        <f>IFERROR(__xludf.DUMMYFUNCTION("IFS(AND(COUNTA(C1613:C1673)=0,COUNTA(Q1613:Q1673)=0),"""",OR(AND(K1613&gt;=1000000000,OR(Y1613&gt;=1000000000,COUNTA(Q1613:Q1673)=0)),OR(Y1613&gt;=1000000000,AND(COUNTA(C1613:C1673)=0,P$3=TRUE))),
ROUNDDOWN((AB$1-AC$1)*MAX(INDEX(T$4:T1673,MATCH(LARGE(FILTER(Y$4:Y1"&amp;"673,Y$4:Y1673&lt;1000000000),1),Y$4:Y1673)),INDEX(F$4:F1673,MATCH(LARGE(FILTER(K$4:K1673,K$4:K1673&lt;1000000000),1),K$4:K1673)))),AND(K1613&lt;1000000000,COUNTA(C1613:C1673)&gt;0,P$3=FALSE),
ROUNDDOWN(INDEX(Y$4:Y1673,MATCH(LARGE(FILTER(W$4:W1673,W$4:W1673&lt;=I1613),1)"&amp;",W$4:W1673))+(I1613-LARGE(FILTER(W$4:W1673,W$4:W1673&lt;=I1613),1))*INDEX(T$4:T1673,MATCH(LARGE(FILTER(W$4:W1673,W$4:W1673&lt;=I1613),1),W$4:W1673))-K1613),1,
ROUNDDOWN(Y1613-INDEX(K$4:K1673,MATCH(LARGE(FILTER(I$4:I1673,I$4:I1673&lt;=W1613),1),I$4:I1673))-(W1613-L"&amp;"ARGE(FILTER(I$4:I1673,I$4:I1673&lt;=W1613),1))*INDEX(F$4:F1673,MATCH(LARGE(FILTER(I$4:I1673,I$4:I1673&lt;=W1613),1),I$4:I1673))))"),"")</f>
        <v/>
      </c>
      <c r="N1613" s="60" t="str">
        <f t="shared" si="8"/>
        <v/>
      </c>
      <c r="O1613" s="61" t="str">
        <f t="shared" si="9"/>
        <v/>
      </c>
      <c r="P1613" s="56" t="str">
        <f t="shared" si="10"/>
        <v/>
      </c>
      <c r="Q1613" s="57"/>
      <c r="R1613" s="10"/>
      <c r="S1613" s="59" t="str">
        <f t="array" ref="S1613">IF(COUNTA(Q1613:Q1673)=0,"",SUM((COUNTIF(Q$4:Q1613,Upgrades!$B$3:$B$13)-COUNTIF(Q$4:Q1613,"Sell_"&amp;Upgrades!$B$3:$B$13))*Upgrades!$D$3:$D$13))</f>
        <v/>
      </c>
      <c r="T1613" s="66" t="str">
        <f>IFERROR(__xludf.DUMMYFUNCTION("IF(COUNTA(Q1613:Q1673)=0,"""",IF(REGEXMATCH(INDEX(FILTER(Q$4:Q1613,Q$4:Q1613&lt;&gt;""""),ROWS(FILTER(Q$4:Q1613,Q$4:Q1613&lt;&gt;""""))),""^Sell_""),INDEX(FILTER(T$4:T1612,Q$4:Q1612&lt;&gt;""""),ROWS(FILTER(Q$4:Q1612,Q$4:Q1612&lt;&gt;""""))),$AD$5+S1613))"),"")</f>
        <v/>
      </c>
      <c r="U1613" s="10" t="str">
        <f>IFERROR(__xludf.DUMMYFUNCTION("IF(COUNTA(Q1613:Q1673)=0,"""",IF(Q1613="""",0,IF(REGEXMATCH(Q1613,""^Sell_""),-ROUNDDOWN(ROUNDUP(INDEX(Upgrades!$C$3:$C$13,MATCH(SUBSTITUTE(Q1613,""Sell_"",""""),Upgrades!$B$3:$B$13,0))*1.15^(COUNTIF(Q$4:Q1612,SUBSTITUTE(Q1613,""Sell_"",""""))-COUNTIF(Q$4"&amp;":Q1612,""Sell_""&amp;SUBSTITUTE(Q1613,""Sell_"",""""))))/2),ROUNDUP(INDEX(Upgrades!$C$3:$C$13,MATCH(Q1613,Upgrades!$B$3:$B$13,0))*1.15^(COUNTIF(Q$4:Q1612,Q1613)-COUNTIF(Q$4:Q1612,""Sell_""&amp;Q1613))))))"),"")</f>
        <v/>
      </c>
      <c r="V1613" s="10" t="str">
        <f t="shared" si="11"/>
        <v/>
      </c>
      <c r="W1613" s="68" t="str">
        <f t="shared" si="12"/>
        <v/>
      </c>
      <c r="X1613" s="59" t="str">
        <f t="shared" si="13"/>
        <v/>
      </c>
      <c r="Y1613" s="69" t="str">
        <f t="shared" si="14"/>
        <v/>
      </c>
      <c r="Z1613" s="11"/>
    </row>
    <row r="1614">
      <c r="A1614" s="8"/>
      <c r="B1614" s="56" t="str">
        <f t="shared" si="2"/>
        <v/>
      </c>
      <c r="C1614" s="105"/>
      <c r="D1614" s="10"/>
      <c r="E1614" s="59" t="str">
        <f t="array" ref="E1614">IF(COUNTA(C1614:C1673)=0,"",SUM((COUNTIF(C$4:C1614,Upgrades!$B$3:$B$13)-COUNTIF(C$4:C1614,"Sell_"&amp;Upgrades!$B$3:$B$13))*Upgrades!$D$3:$D$13))</f>
        <v/>
      </c>
      <c r="F1614" s="66" t="str">
        <f>IFERROR(__xludf.DUMMYFUNCTION("IF(COUNTA(C1614:C1673)=0,"""",IF(REGEXMATCH(INDEX(FILTER(C$4:C1614,C$4:C1614&lt;&gt;""""),ROWS(FILTER(C$4:C1614,C$4:C1614&lt;&gt;""""))),""^Sell_""),INDEX(FILTER(F$4:F1613,C$4:C1613&lt;&gt;""""),ROWS(FILTER(C$4:C1613,C$4:C1613&lt;&gt;""""))),$AC$5+E1614))"),"")</f>
        <v/>
      </c>
      <c r="G1614" s="10" t="str">
        <f>IFERROR(__xludf.DUMMYFUNCTION("IF(COUNTA(C1614:C1673)=0,"""",IF(C1614="""",0,IF(REGEXMATCH(C1614,""^Sell_""),-ROUNDDOWN(ROUNDUP(INDEX(Upgrades!$C$3:$C$13,MATCH(SUBSTITUTE(C1614,""Sell_"",""""),Upgrades!$B$3:$B$13,0))*1.15^(COUNTIF(C$4:C1613,SUBSTITUTE(C1614,""Sell_"",""""))-COUNTIF(C$4"&amp;":C1613,""Sell_""&amp;SUBSTITUTE(C1614,""Sell_"",""""))))/2),ROUNDUP(INDEX(Upgrades!$C$3:$C$13,MATCH(C1614,Upgrades!$B$3:$B$13,0))*1.15^(COUNTIF(C$4:C1613,C1614)-COUNTIF(C$4:C1613,""Sell_""&amp;C1614))))))"),"")</f>
        <v/>
      </c>
      <c r="H1614" s="10" t="str">
        <f t="shared" si="3"/>
        <v/>
      </c>
      <c r="I1614" s="68" t="str">
        <f t="shared" si="4"/>
        <v/>
      </c>
      <c r="J1614" s="59" t="str">
        <f t="shared" si="5"/>
        <v/>
      </c>
      <c r="K1614" s="69" t="str">
        <f t="shared" si="6"/>
        <v/>
      </c>
      <c r="L1614" s="60" t="str">
        <f t="shared" si="7"/>
        <v/>
      </c>
      <c r="M1614" s="61" t="str">
        <f>IFERROR(__xludf.DUMMYFUNCTION("IFS(AND(COUNTA(C1614:C1673)=0,COUNTA(Q1614:Q1673)=0),"""",OR(AND(K1614&gt;=1000000000,OR(Y1614&gt;=1000000000,COUNTA(Q1614:Q1673)=0)),OR(Y1614&gt;=1000000000,AND(COUNTA(C1614:C1673)=0,P$3=TRUE))),
ROUNDDOWN((AB$1-AC$1)*MAX(INDEX(T$4:T1673,MATCH(LARGE(FILTER(Y$4:Y1"&amp;"673,Y$4:Y1673&lt;1000000000),1),Y$4:Y1673)),INDEX(F$4:F1673,MATCH(LARGE(FILTER(K$4:K1673,K$4:K1673&lt;1000000000),1),K$4:K1673)))),AND(K1614&lt;1000000000,COUNTA(C1614:C1673)&gt;0,P$3=FALSE),
ROUNDDOWN(INDEX(Y$4:Y1673,MATCH(LARGE(FILTER(W$4:W1673,W$4:W1673&lt;=I1614),1)"&amp;",W$4:W1673))+(I1614-LARGE(FILTER(W$4:W1673,W$4:W1673&lt;=I1614),1))*INDEX(T$4:T1673,MATCH(LARGE(FILTER(W$4:W1673,W$4:W1673&lt;=I1614),1),W$4:W1673))-K1614),1,
ROUNDDOWN(Y1614-INDEX(K$4:K1673,MATCH(LARGE(FILTER(I$4:I1673,I$4:I1673&lt;=W1614),1),I$4:I1673))-(W1614-L"&amp;"ARGE(FILTER(I$4:I1673,I$4:I1673&lt;=W1614),1))*INDEX(F$4:F1673,MATCH(LARGE(FILTER(I$4:I1673,I$4:I1673&lt;=W1614),1),I$4:I1673))))"),"")</f>
        <v/>
      </c>
      <c r="N1614" s="60" t="str">
        <f t="shared" si="8"/>
        <v/>
      </c>
      <c r="O1614" s="61" t="str">
        <f t="shared" si="9"/>
        <v/>
      </c>
      <c r="P1614" s="56" t="str">
        <f t="shared" si="10"/>
        <v/>
      </c>
      <c r="Q1614" s="57"/>
      <c r="R1614" s="10"/>
      <c r="S1614" s="59" t="str">
        <f t="array" ref="S1614">IF(COUNTA(Q1614:Q1673)=0,"",SUM((COUNTIF(Q$4:Q1614,Upgrades!$B$3:$B$13)-COUNTIF(Q$4:Q1614,"Sell_"&amp;Upgrades!$B$3:$B$13))*Upgrades!$D$3:$D$13))</f>
        <v/>
      </c>
      <c r="T1614" s="66" t="str">
        <f>IFERROR(__xludf.DUMMYFUNCTION("IF(COUNTA(Q1614:Q1673)=0,"""",IF(REGEXMATCH(INDEX(FILTER(Q$4:Q1614,Q$4:Q1614&lt;&gt;""""),ROWS(FILTER(Q$4:Q1614,Q$4:Q1614&lt;&gt;""""))),""^Sell_""),INDEX(FILTER(T$4:T1613,Q$4:Q1613&lt;&gt;""""),ROWS(FILTER(Q$4:Q1613,Q$4:Q1613&lt;&gt;""""))),$AD$5+S1614))"),"")</f>
        <v/>
      </c>
      <c r="U1614" s="10" t="str">
        <f>IFERROR(__xludf.DUMMYFUNCTION("IF(COUNTA(Q1614:Q1673)=0,"""",IF(Q1614="""",0,IF(REGEXMATCH(Q1614,""^Sell_""),-ROUNDDOWN(ROUNDUP(INDEX(Upgrades!$C$3:$C$13,MATCH(SUBSTITUTE(Q1614,""Sell_"",""""),Upgrades!$B$3:$B$13,0))*1.15^(COUNTIF(Q$4:Q1613,SUBSTITUTE(Q1614,""Sell_"",""""))-COUNTIF(Q$4"&amp;":Q1613,""Sell_""&amp;SUBSTITUTE(Q1614,""Sell_"",""""))))/2),ROUNDUP(INDEX(Upgrades!$C$3:$C$13,MATCH(Q1614,Upgrades!$B$3:$B$13,0))*1.15^(COUNTIF(Q$4:Q1613,Q1614)-COUNTIF(Q$4:Q1613,""Sell_""&amp;Q1614))))))"),"")</f>
        <v/>
      </c>
      <c r="V1614" s="10" t="str">
        <f t="shared" si="11"/>
        <v/>
      </c>
      <c r="W1614" s="68" t="str">
        <f t="shared" si="12"/>
        <v/>
      </c>
      <c r="X1614" s="59" t="str">
        <f t="shared" si="13"/>
        <v/>
      </c>
      <c r="Y1614" s="69" t="str">
        <f t="shared" si="14"/>
        <v/>
      </c>
      <c r="Z1614" s="11"/>
    </row>
    <row r="1615">
      <c r="A1615" s="8"/>
      <c r="B1615" s="56" t="str">
        <f t="shared" si="2"/>
        <v/>
      </c>
      <c r="C1615" s="105"/>
      <c r="D1615" s="10"/>
      <c r="E1615" s="59" t="str">
        <f t="array" ref="E1615">IF(COUNTA(C1615:C1673)=0,"",SUM((COUNTIF(C$4:C1615,Upgrades!$B$3:$B$13)-COUNTIF(C$4:C1615,"Sell_"&amp;Upgrades!$B$3:$B$13))*Upgrades!$D$3:$D$13))</f>
        <v/>
      </c>
      <c r="F1615" s="66" t="str">
        <f>IFERROR(__xludf.DUMMYFUNCTION("IF(COUNTA(C1615:C1673)=0,"""",IF(REGEXMATCH(INDEX(FILTER(C$4:C1615,C$4:C1615&lt;&gt;""""),ROWS(FILTER(C$4:C1615,C$4:C1615&lt;&gt;""""))),""^Sell_""),INDEX(FILTER(F$4:F1614,C$4:C1614&lt;&gt;""""),ROWS(FILTER(C$4:C1614,C$4:C1614&lt;&gt;""""))),$AC$5+E1615))"),"")</f>
        <v/>
      </c>
      <c r="G1615" s="10" t="str">
        <f>IFERROR(__xludf.DUMMYFUNCTION("IF(COUNTA(C1615:C1673)=0,"""",IF(C1615="""",0,IF(REGEXMATCH(C1615,""^Sell_""),-ROUNDDOWN(ROUNDUP(INDEX(Upgrades!$C$3:$C$13,MATCH(SUBSTITUTE(C1615,""Sell_"",""""),Upgrades!$B$3:$B$13,0))*1.15^(COUNTIF(C$4:C1614,SUBSTITUTE(C1615,""Sell_"",""""))-COUNTIF(C$4"&amp;":C1614,""Sell_""&amp;SUBSTITUTE(C1615,""Sell_"",""""))))/2),ROUNDUP(INDEX(Upgrades!$C$3:$C$13,MATCH(C1615,Upgrades!$B$3:$B$13,0))*1.15^(COUNTIF(C$4:C1614,C1615)-COUNTIF(C$4:C1614,""Sell_""&amp;C1615))))))"),"")</f>
        <v/>
      </c>
      <c r="H1615" s="10" t="str">
        <f t="shared" si="3"/>
        <v/>
      </c>
      <c r="I1615" s="68" t="str">
        <f t="shared" si="4"/>
        <v/>
      </c>
      <c r="J1615" s="59" t="str">
        <f t="shared" si="5"/>
        <v/>
      </c>
      <c r="K1615" s="69" t="str">
        <f t="shared" si="6"/>
        <v/>
      </c>
      <c r="L1615" s="60" t="str">
        <f t="shared" si="7"/>
        <v/>
      </c>
      <c r="M1615" s="61" t="str">
        <f>IFERROR(__xludf.DUMMYFUNCTION("IFS(AND(COUNTA(C1615:C1673)=0,COUNTA(Q1615:Q1673)=0),"""",OR(AND(K1615&gt;=1000000000,OR(Y1615&gt;=1000000000,COUNTA(Q1615:Q1673)=0)),OR(Y1615&gt;=1000000000,AND(COUNTA(C1615:C1673)=0,P$3=TRUE))),
ROUNDDOWN((AB$1-AC$1)*MAX(INDEX(T$4:T1673,MATCH(LARGE(FILTER(Y$4:Y1"&amp;"673,Y$4:Y1673&lt;1000000000),1),Y$4:Y1673)),INDEX(F$4:F1673,MATCH(LARGE(FILTER(K$4:K1673,K$4:K1673&lt;1000000000),1),K$4:K1673)))),AND(K1615&lt;1000000000,COUNTA(C1615:C1673)&gt;0,P$3=FALSE),
ROUNDDOWN(INDEX(Y$4:Y1673,MATCH(LARGE(FILTER(W$4:W1673,W$4:W1673&lt;=I1615),1)"&amp;",W$4:W1673))+(I1615-LARGE(FILTER(W$4:W1673,W$4:W1673&lt;=I1615),1))*INDEX(T$4:T1673,MATCH(LARGE(FILTER(W$4:W1673,W$4:W1673&lt;=I1615),1),W$4:W1673))-K1615),1,
ROUNDDOWN(Y1615-INDEX(K$4:K1673,MATCH(LARGE(FILTER(I$4:I1673,I$4:I1673&lt;=W1615),1),I$4:I1673))-(W1615-L"&amp;"ARGE(FILTER(I$4:I1673,I$4:I1673&lt;=W1615),1))*INDEX(F$4:F1673,MATCH(LARGE(FILTER(I$4:I1673,I$4:I1673&lt;=W1615),1),I$4:I1673))))"),"")</f>
        <v/>
      </c>
      <c r="N1615" s="60" t="str">
        <f t="shared" si="8"/>
        <v/>
      </c>
      <c r="O1615" s="61" t="str">
        <f t="shared" si="9"/>
        <v/>
      </c>
      <c r="P1615" s="56" t="str">
        <f t="shared" si="10"/>
        <v/>
      </c>
      <c r="Q1615" s="57"/>
      <c r="R1615" s="10"/>
      <c r="S1615" s="59" t="str">
        <f t="array" ref="S1615">IF(COUNTA(Q1615:Q1673)=0,"",SUM((COUNTIF(Q$4:Q1615,Upgrades!$B$3:$B$13)-COUNTIF(Q$4:Q1615,"Sell_"&amp;Upgrades!$B$3:$B$13))*Upgrades!$D$3:$D$13))</f>
        <v/>
      </c>
      <c r="T1615" s="66" t="str">
        <f>IFERROR(__xludf.DUMMYFUNCTION("IF(COUNTA(Q1615:Q1673)=0,"""",IF(REGEXMATCH(INDEX(FILTER(Q$4:Q1615,Q$4:Q1615&lt;&gt;""""),ROWS(FILTER(Q$4:Q1615,Q$4:Q1615&lt;&gt;""""))),""^Sell_""),INDEX(FILTER(T$4:T1614,Q$4:Q1614&lt;&gt;""""),ROWS(FILTER(Q$4:Q1614,Q$4:Q1614&lt;&gt;""""))),$AD$5+S1615))"),"")</f>
        <v/>
      </c>
      <c r="U1615" s="10" t="str">
        <f>IFERROR(__xludf.DUMMYFUNCTION("IF(COUNTA(Q1615:Q1673)=0,"""",IF(Q1615="""",0,IF(REGEXMATCH(Q1615,""^Sell_""),-ROUNDDOWN(ROUNDUP(INDEX(Upgrades!$C$3:$C$13,MATCH(SUBSTITUTE(Q1615,""Sell_"",""""),Upgrades!$B$3:$B$13,0))*1.15^(COUNTIF(Q$4:Q1614,SUBSTITUTE(Q1615,""Sell_"",""""))-COUNTIF(Q$4"&amp;":Q1614,""Sell_""&amp;SUBSTITUTE(Q1615,""Sell_"",""""))))/2),ROUNDUP(INDEX(Upgrades!$C$3:$C$13,MATCH(Q1615,Upgrades!$B$3:$B$13,0))*1.15^(COUNTIF(Q$4:Q1614,Q1615)-COUNTIF(Q$4:Q1614,""Sell_""&amp;Q1615))))))"),"")</f>
        <v/>
      </c>
      <c r="V1615" s="10" t="str">
        <f t="shared" si="11"/>
        <v/>
      </c>
      <c r="W1615" s="68" t="str">
        <f t="shared" si="12"/>
        <v/>
      </c>
      <c r="X1615" s="59" t="str">
        <f t="shared" si="13"/>
        <v/>
      </c>
      <c r="Y1615" s="69" t="str">
        <f t="shared" si="14"/>
        <v/>
      </c>
      <c r="Z1615" s="11"/>
    </row>
    <row r="1616">
      <c r="A1616" s="8"/>
      <c r="B1616" s="56" t="str">
        <f t="shared" si="2"/>
        <v/>
      </c>
      <c r="C1616" s="105"/>
      <c r="D1616" s="10"/>
      <c r="E1616" s="59" t="str">
        <f t="array" ref="E1616">IF(COUNTA(C1616:C1673)=0,"",SUM((COUNTIF(C$4:C1616,Upgrades!$B$3:$B$13)-COUNTIF(C$4:C1616,"Sell_"&amp;Upgrades!$B$3:$B$13))*Upgrades!$D$3:$D$13))</f>
        <v/>
      </c>
      <c r="F1616" s="66" t="str">
        <f>IFERROR(__xludf.DUMMYFUNCTION("IF(COUNTA(C1616:C1673)=0,"""",IF(REGEXMATCH(INDEX(FILTER(C$4:C1616,C$4:C1616&lt;&gt;""""),ROWS(FILTER(C$4:C1616,C$4:C1616&lt;&gt;""""))),""^Sell_""),INDEX(FILTER(F$4:F1615,C$4:C1615&lt;&gt;""""),ROWS(FILTER(C$4:C1615,C$4:C1615&lt;&gt;""""))),$AC$5+E1616))"),"")</f>
        <v/>
      </c>
      <c r="G1616" s="10" t="str">
        <f>IFERROR(__xludf.DUMMYFUNCTION("IF(COUNTA(C1616:C1673)=0,"""",IF(C1616="""",0,IF(REGEXMATCH(C1616,""^Sell_""),-ROUNDDOWN(ROUNDUP(INDEX(Upgrades!$C$3:$C$13,MATCH(SUBSTITUTE(C1616,""Sell_"",""""),Upgrades!$B$3:$B$13,0))*1.15^(COUNTIF(C$4:C1615,SUBSTITUTE(C1616,""Sell_"",""""))-COUNTIF(C$4"&amp;":C1615,""Sell_""&amp;SUBSTITUTE(C1616,""Sell_"",""""))))/2),ROUNDUP(INDEX(Upgrades!$C$3:$C$13,MATCH(C1616,Upgrades!$B$3:$B$13,0))*1.15^(COUNTIF(C$4:C1615,C1616)-COUNTIF(C$4:C1615,""Sell_""&amp;C1616))))))"),"")</f>
        <v/>
      </c>
      <c r="H1616" s="10" t="str">
        <f t="shared" si="3"/>
        <v/>
      </c>
      <c r="I1616" s="68" t="str">
        <f t="shared" si="4"/>
        <v/>
      </c>
      <c r="J1616" s="59" t="str">
        <f t="shared" si="5"/>
        <v/>
      </c>
      <c r="K1616" s="69" t="str">
        <f t="shared" si="6"/>
        <v/>
      </c>
      <c r="L1616" s="60" t="str">
        <f t="shared" si="7"/>
        <v/>
      </c>
      <c r="M1616" s="61" t="str">
        <f>IFERROR(__xludf.DUMMYFUNCTION("IFS(AND(COUNTA(C1616:C1673)=0,COUNTA(Q1616:Q1673)=0),"""",OR(AND(K1616&gt;=1000000000,OR(Y1616&gt;=1000000000,COUNTA(Q1616:Q1673)=0)),OR(Y1616&gt;=1000000000,AND(COUNTA(C1616:C1673)=0,P$3=TRUE))),
ROUNDDOWN((AB$1-AC$1)*MAX(INDEX(T$4:T1673,MATCH(LARGE(FILTER(Y$4:Y1"&amp;"673,Y$4:Y1673&lt;1000000000),1),Y$4:Y1673)),INDEX(F$4:F1673,MATCH(LARGE(FILTER(K$4:K1673,K$4:K1673&lt;1000000000),1),K$4:K1673)))),AND(K1616&lt;1000000000,COUNTA(C1616:C1673)&gt;0,P$3=FALSE),
ROUNDDOWN(INDEX(Y$4:Y1673,MATCH(LARGE(FILTER(W$4:W1673,W$4:W1673&lt;=I1616),1)"&amp;",W$4:W1673))+(I1616-LARGE(FILTER(W$4:W1673,W$4:W1673&lt;=I1616),1))*INDEX(T$4:T1673,MATCH(LARGE(FILTER(W$4:W1673,W$4:W1673&lt;=I1616),1),W$4:W1673))-K1616),1,
ROUNDDOWN(Y1616-INDEX(K$4:K1673,MATCH(LARGE(FILTER(I$4:I1673,I$4:I1673&lt;=W1616),1),I$4:I1673))-(W1616-L"&amp;"ARGE(FILTER(I$4:I1673,I$4:I1673&lt;=W1616),1))*INDEX(F$4:F1673,MATCH(LARGE(FILTER(I$4:I1673,I$4:I1673&lt;=W1616),1),I$4:I1673))))"),"")</f>
        <v/>
      </c>
      <c r="N1616" s="60" t="str">
        <f t="shared" si="8"/>
        <v/>
      </c>
      <c r="O1616" s="61" t="str">
        <f t="shared" si="9"/>
        <v/>
      </c>
      <c r="P1616" s="56" t="str">
        <f t="shared" si="10"/>
        <v/>
      </c>
      <c r="Q1616" s="57"/>
      <c r="R1616" s="10"/>
      <c r="S1616" s="59" t="str">
        <f t="array" ref="S1616">IF(COUNTA(Q1616:Q1673)=0,"",SUM((COUNTIF(Q$4:Q1616,Upgrades!$B$3:$B$13)-COUNTIF(Q$4:Q1616,"Sell_"&amp;Upgrades!$B$3:$B$13))*Upgrades!$D$3:$D$13))</f>
        <v/>
      </c>
      <c r="T1616" s="66" t="str">
        <f>IFERROR(__xludf.DUMMYFUNCTION("IF(COUNTA(Q1616:Q1673)=0,"""",IF(REGEXMATCH(INDEX(FILTER(Q$4:Q1616,Q$4:Q1616&lt;&gt;""""),ROWS(FILTER(Q$4:Q1616,Q$4:Q1616&lt;&gt;""""))),""^Sell_""),INDEX(FILTER(T$4:T1615,Q$4:Q1615&lt;&gt;""""),ROWS(FILTER(Q$4:Q1615,Q$4:Q1615&lt;&gt;""""))),$AD$5+S1616))"),"")</f>
        <v/>
      </c>
      <c r="U1616" s="10" t="str">
        <f>IFERROR(__xludf.DUMMYFUNCTION("IF(COUNTA(Q1616:Q1673)=0,"""",IF(Q1616="""",0,IF(REGEXMATCH(Q1616,""^Sell_""),-ROUNDDOWN(ROUNDUP(INDEX(Upgrades!$C$3:$C$13,MATCH(SUBSTITUTE(Q1616,""Sell_"",""""),Upgrades!$B$3:$B$13,0))*1.15^(COUNTIF(Q$4:Q1615,SUBSTITUTE(Q1616,""Sell_"",""""))-COUNTIF(Q$4"&amp;":Q1615,""Sell_""&amp;SUBSTITUTE(Q1616,""Sell_"",""""))))/2),ROUNDUP(INDEX(Upgrades!$C$3:$C$13,MATCH(Q1616,Upgrades!$B$3:$B$13,0))*1.15^(COUNTIF(Q$4:Q1615,Q1616)-COUNTIF(Q$4:Q1615,""Sell_""&amp;Q1616))))))"),"")</f>
        <v/>
      </c>
      <c r="V1616" s="10" t="str">
        <f t="shared" si="11"/>
        <v/>
      </c>
      <c r="W1616" s="68" t="str">
        <f t="shared" si="12"/>
        <v/>
      </c>
      <c r="X1616" s="59" t="str">
        <f t="shared" si="13"/>
        <v/>
      </c>
      <c r="Y1616" s="69" t="str">
        <f t="shared" si="14"/>
        <v/>
      </c>
      <c r="Z1616" s="11"/>
    </row>
    <row r="1617">
      <c r="A1617" s="8"/>
      <c r="B1617" s="56" t="str">
        <f t="shared" si="2"/>
        <v/>
      </c>
      <c r="C1617" s="105"/>
      <c r="D1617" s="10"/>
      <c r="E1617" s="59" t="str">
        <f t="array" ref="E1617">IF(COUNTA(C1617:C1673)=0,"",SUM((COUNTIF(C$4:C1617,Upgrades!$B$3:$B$13)-COUNTIF(C$4:C1617,"Sell_"&amp;Upgrades!$B$3:$B$13))*Upgrades!$D$3:$D$13))</f>
        <v/>
      </c>
      <c r="F1617" s="66" t="str">
        <f>IFERROR(__xludf.DUMMYFUNCTION("IF(COUNTA(C1617:C1673)=0,"""",IF(REGEXMATCH(INDEX(FILTER(C$4:C1617,C$4:C1617&lt;&gt;""""),ROWS(FILTER(C$4:C1617,C$4:C1617&lt;&gt;""""))),""^Sell_""),INDEX(FILTER(F$4:F1616,C$4:C1616&lt;&gt;""""),ROWS(FILTER(C$4:C1616,C$4:C1616&lt;&gt;""""))),$AC$5+E1617))"),"")</f>
        <v/>
      </c>
      <c r="G1617" s="10" t="str">
        <f>IFERROR(__xludf.DUMMYFUNCTION("IF(COUNTA(C1617:C1673)=0,"""",IF(C1617="""",0,IF(REGEXMATCH(C1617,""^Sell_""),-ROUNDDOWN(ROUNDUP(INDEX(Upgrades!$C$3:$C$13,MATCH(SUBSTITUTE(C1617,""Sell_"",""""),Upgrades!$B$3:$B$13,0))*1.15^(COUNTIF(C$4:C1616,SUBSTITUTE(C1617,""Sell_"",""""))-COUNTIF(C$4"&amp;":C1616,""Sell_""&amp;SUBSTITUTE(C1617,""Sell_"",""""))))/2),ROUNDUP(INDEX(Upgrades!$C$3:$C$13,MATCH(C1617,Upgrades!$B$3:$B$13,0))*1.15^(COUNTIF(C$4:C1616,C1617)-COUNTIF(C$4:C1616,""Sell_""&amp;C1617))))))"),"")</f>
        <v/>
      </c>
      <c r="H1617" s="10" t="str">
        <f t="shared" si="3"/>
        <v/>
      </c>
      <c r="I1617" s="68" t="str">
        <f t="shared" si="4"/>
        <v/>
      </c>
      <c r="J1617" s="59" t="str">
        <f t="shared" si="5"/>
        <v/>
      </c>
      <c r="K1617" s="69" t="str">
        <f t="shared" si="6"/>
        <v/>
      </c>
      <c r="L1617" s="60" t="str">
        <f t="shared" si="7"/>
        <v/>
      </c>
      <c r="M1617" s="61" t="str">
        <f>IFERROR(__xludf.DUMMYFUNCTION("IFS(AND(COUNTA(C1617:C1673)=0,COUNTA(Q1617:Q1673)=0),"""",OR(AND(K1617&gt;=1000000000,OR(Y1617&gt;=1000000000,COUNTA(Q1617:Q1673)=0)),OR(Y1617&gt;=1000000000,AND(COUNTA(C1617:C1673)=0,P$3=TRUE))),
ROUNDDOWN((AB$1-AC$1)*MAX(INDEX(T$4:T1673,MATCH(LARGE(FILTER(Y$4:Y1"&amp;"673,Y$4:Y1673&lt;1000000000),1),Y$4:Y1673)),INDEX(F$4:F1673,MATCH(LARGE(FILTER(K$4:K1673,K$4:K1673&lt;1000000000),1),K$4:K1673)))),AND(K1617&lt;1000000000,COUNTA(C1617:C1673)&gt;0,P$3=FALSE),
ROUNDDOWN(INDEX(Y$4:Y1673,MATCH(LARGE(FILTER(W$4:W1673,W$4:W1673&lt;=I1617),1)"&amp;",W$4:W1673))+(I1617-LARGE(FILTER(W$4:W1673,W$4:W1673&lt;=I1617),1))*INDEX(T$4:T1673,MATCH(LARGE(FILTER(W$4:W1673,W$4:W1673&lt;=I1617),1),W$4:W1673))-K1617),1,
ROUNDDOWN(Y1617-INDEX(K$4:K1673,MATCH(LARGE(FILTER(I$4:I1673,I$4:I1673&lt;=W1617),1),I$4:I1673))-(W1617-L"&amp;"ARGE(FILTER(I$4:I1673,I$4:I1673&lt;=W1617),1))*INDEX(F$4:F1673,MATCH(LARGE(FILTER(I$4:I1673,I$4:I1673&lt;=W1617),1),I$4:I1673))))"),"")</f>
        <v/>
      </c>
      <c r="N1617" s="60" t="str">
        <f t="shared" si="8"/>
        <v/>
      </c>
      <c r="O1617" s="61" t="str">
        <f t="shared" si="9"/>
        <v/>
      </c>
      <c r="P1617" s="56" t="str">
        <f t="shared" si="10"/>
        <v/>
      </c>
      <c r="Q1617" s="57"/>
      <c r="R1617" s="10"/>
      <c r="S1617" s="59" t="str">
        <f t="array" ref="S1617">IF(COUNTA(Q1617:Q1673)=0,"",SUM((COUNTIF(Q$4:Q1617,Upgrades!$B$3:$B$13)-COUNTIF(Q$4:Q1617,"Sell_"&amp;Upgrades!$B$3:$B$13))*Upgrades!$D$3:$D$13))</f>
        <v/>
      </c>
      <c r="T1617" s="66" t="str">
        <f>IFERROR(__xludf.DUMMYFUNCTION("IF(COUNTA(Q1617:Q1673)=0,"""",IF(REGEXMATCH(INDEX(FILTER(Q$4:Q1617,Q$4:Q1617&lt;&gt;""""),ROWS(FILTER(Q$4:Q1617,Q$4:Q1617&lt;&gt;""""))),""^Sell_""),INDEX(FILTER(T$4:T1616,Q$4:Q1616&lt;&gt;""""),ROWS(FILTER(Q$4:Q1616,Q$4:Q1616&lt;&gt;""""))),$AD$5+S1617))"),"")</f>
        <v/>
      </c>
      <c r="U1617" s="10" t="str">
        <f>IFERROR(__xludf.DUMMYFUNCTION("IF(COUNTA(Q1617:Q1673)=0,"""",IF(Q1617="""",0,IF(REGEXMATCH(Q1617,""^Sell_""),-ROUNDDOWN(ROUNDUP(INDEX(Upgrades!$C$3:$C$13,MATCH(SUBSTITUTE(Q1617,""Sell_"",""""),Upgrades!$B$3:$B$13,0))*1.15^(COUNTIF(Q$4:Q1616,SUBSTITUTE(Q1617,""Sell_"",""""))-COUNTIF(Q$4"&amp;":Q1616,""Sell_""&amp;SUBSTITUTE(Q1617,""Sell_"",""""))))/2),ROUNDUP(INDEX(Upgrades!$C$3:$C$13,MATCH(Q1617,Upgrades!$B$3:$B$13,0))*1.15^(COUNTIF(Q$4:Q1616,Q1617)-COUNTIF(Q$4:Q1616,""Sell_""&amp;Q1617))))))"),"")</f>
        <v/>
      </c>
      <c r="V1617" s="10" t="str">
        <f t="shared" si="11"/>
        <v/>
      </c>
      <c r="W1617" s="68" t="str">
        <f t="shared" si="12"/>
        <v/>
      </c>
      <c r="X1617" s="59" t="str">
        <f t="shared" si="13"/>
        <v/>
      </c>
      <c r="Y1617" s="69" t="str">
        <f t="shared" si="14"/>
        <v/>
      </c>
      <c r="Z1617" s="11"/>
    </row>
    <row r="1618">
      <c r="A1618" s="8"/>
      <c r="B1618" s="56" t="str">
        <f t="shared" si="2"/>
        <v/>
      </c>
      <c r="C1618" s="105"/>
      <c r="D1618" s="10"/>
      <c r="E1618" s="59" t="str">
        <f t="array" ref="E1618">IF(COUNTA(C1618:C1673)=0,"",SUM((COUNTIF(C$4:C1618,Upgrades!$B$3:$B$13)-COUNTIF(C$4:C1618,"Sell_"&amp;Upgrades!$B$3:$B$13))*Upgrades!$D$3:$D$13))</f>
        <v/>
      </c>
      <c r="F1618" s="66" t="str">
        <f>IFERROR(__xludf.DUMMYFUNCTION("IF(COUNTA(C1618:C1673)=0,"""",IF(REGEXMATCH(INDEX(FILTER(C$4:C1618,C$4:C1618&lt;&gt;""""),ROWS(FILTER(C$4:C1618,C$4:C1618&lt;&gt;""""))),""^Sell_""),INDEX(FILTER(F$4:F1617,C$4:C1617&lt;&gt;""""),ROWS(FILTER(C$4:C1617,C$4:C1617&lt;&gt;""""))),$AC$5+E1618))"),"")</f>
        <v/>
      </c>
      <c r="G1618" s="10" t="str">
        <f>IFERROR(__xludf.DUMMYFUNCTION("IF(COUNTA(C1618:C1673)=0,"""",IF(C1618="""",0,IF(REGEXMATCH(C1618,""^Sell_""),-ROUNDDOWN(ROUNDUP(INDEX(Upgrades!$C$3:$C$13,MATCH(SUBSTITUTE(C1618,""Sell_"",""""),Upgrades!$B$3:$B$13,0))*1.15^(COUNTIF(C$4:C1617,SUBSTITUTE(C1618,""Sell_"",""""))-COUNTIF(C$4"&amp;":C1617,""Sell_""&amp;SUBSTITUTE(C1618,""Sell_"",""""))))/2),ROUNDUP(INDEX(Upgrades!$C$3:$C$13,MATCH(C1618,Upgrades!$B$3:$B$13,0))*1.15^(COUNTIF(C$4:C1617,C1618)-COUNTIF(C$4:C1617,""Sell_""&amp;C1618))))))"),"")</f>
        <v/>
      </c>
      <c r="H1618" s="10" t="str">
        <f t="shared" si="3"/>
        <v/>
      </c>
      <c r="I1618" s="68" t="str">
        <f t="shared" si="4"/>
        <v/>
      </c>
      <c r="J1618" s="59" t="str">
        <f t="shared" si="5"/>
        <v/>
      </c>
      <c r="K1618" s="69" t="str">
        <f t="shared" si="6"/>
        <v/>
      </c>
      <c r="L1618" s="60" t="str">
        <f t="shared" si="7"/>
        <v/>
      </c>
      <c r="M1618" s="61" t="str">
        <f>IFERROR(__xludf.DUMMYFUNCTION("IFS(AND(COUNTA(C1618:C1673)=0,COUNTA(Q1618:Q1673)=0),"""",OR(AND(K1618&gt;=1000000000,OR(Y1618&gt;=1000000000,COUNTA(Q1618:Q1673)=0)),OR(Y1618&gt;=1000000000,AND(COUNTA(C1618:C1673)=0,P$3=TRUE))),
ROUNDDOWN((AB$1-AC$1)*MAX(INDEX(T$4:T1673,MATCH(LARGE(FILTER(Y$4:Y1"&amp;"673,Y$4:Y1673&lt;1000000000),1),Y$4:Y1673)),INDEX(F$4:F1673,MATCH(LARGE(FILTER(K$4:K1673,K$4:K1673&lt;1000000000),1),K$4:K1673)))),AND(K1618&lt;1000000000,COUNTA(C1618:C1673)&gt;0,P$3=FALSE),
ROUNDDOWN(INDEX(Y$4:Y1673,MATCH(LARGE(FILTER(W$4:W1673,W$4:W1673&lt;=I1618),1)"&amp;",W$4:W1673))+(I1618-LARGE(FILTER(W$4:W1673,W$4:W1673&lt;=I1618),1))*INDEX(T$4:T1673,MATCH(LARGE(FILTER(W$4:W1673,W$4:W1673&lt;=I1618),1),W$4:W1673))-K1618),1,
ROUNDDOWN(Y1618-INDEX(K$4:K1673,MATCH(LARGE(FILTER(I$4:I1673,I$4:I1673&lt;=W1618),1),I$4:I1673))-(W1618-L"&amp;"ARGE(FILTER(I$4:I1673,I$4:I1673&lt;=W1618),1))*INDEX(F$4:F1673,MATCH(LARGE(FILTER(I$4:I1673,I$4:I1673&lt;=W1618),1),I$4:I1673))))"),"")</f>
        <v/>
      </c>
      <c r="N1618" s="60" t="str">
        <f t="shared" si="8"/>
        <v/>
      </c>
      <c r="O1618" s="61" t="str">
        <f t="shared" si="9"/>
        <v/>
      </c>
      <c r="P1618" s="56" t="str">
        <f t="shared" si="10"/>
        <v/>
      </c>
      <c r="Q1618" s="57"/>
      <c r="R1618" s="10"/>
      <c r="S1618" s="59" t="str">
        <f t="array" ref="S1618">IF(COUNTA(Q1618:Q1673)=0,"",SUM((COUNTIF(Q$4:Q1618,Upgrades!$B$3:$B$13)-COUNTIF(Q$4:Q1618,"Sell_"&amp;Upgrades!$B$3:$B$13))*Upgrades!$D$3:$D$13))</f>
        <v/>
      </c>
      <c r="T1618" s="66" t="str">
        <f>IFERROR(__xludf.DUMMYFUNCTION("IF(COUNTA(Q1618:Q1673)=0,"""",IF(REGEXMATCH(INDEX(FILTER(Q$4:Q1618,Q$4:Q1618&lt;&gt;""""),ROWS(FILTER(Q$4:Q1618,Q$4:Q1618&lt;&gt;""""))),""^Sell_""),INDEX(FILTER(T$4:T1617,Q$4:Q1617&lt;&gt;""""),ROWS(FILTER(Q$4:Q1617,Q$4:Q1617&lt;&gt;""""))),$AD$5+S1618))"),"")</f>
        <v/>
      </c>
      <c r="U1618" s="10" t="str">
        <f>IFERROR(__xludf.DUMMYFUNCTION("IF(COUNTA(Q1618:Q1673)=0,"""",IF(Q1618="""",0,IF(REGEXMATCH(Q1618,""^Sell_""),-ROUNDDOWN(ROUNDUP(INDEX(Upgrades!$C$3:$C$13,MATCH(SUBSTITUTE(Q1618,""Sell_"",""""),Upgrades!$B$3:$B$13,0))*1.15^(COUNTIF(Q$4:Q1617,SUBSTITUTE(Q1618,""Sell_"",""""))-COUNTIF(Q$4"&amp;":Q1617,""Sell_""&amp;SUBSTITUTE(Q1618,""Sell_"",""""))))/2),ROUNDUP(INDEX(Upgrades!$C$3:$C$13,MATCH(Q1618,Upgrades!$B$3:$B$13,0))*1.15^(COUNTIF(Q$4:Q1617,Q1618)-COUNTIF(Q$4:Q1617,""Sell_""&amp;Q1618))))))"),"")</f>
        <v/>
      </c>
      <c r="V1618" s="10" t="str">
        <f t="shared" si="11"/>
        <v/>
      </c>
      <c r="W1618" s="68" t="str">
        <f t="shared" si="12"/>
        <v/>
      </c>
      <c r="X1618" s="59" t="str">
        <f t="shared" si="13"/>
        <v/>
      </c>
      <c r="Y1618" s="69" t="str">
        <f t="shared" si="14"/>
        <v/>
      </c>
      <c r="Z1618" s="11"/>
    </row>
    <row r="1619">
      <c r="A1619" s="8"/>
      <c r="B1619" s="56" t="str">
        <f t="shared" si="2"/>
        <v/>
      </c>
      <c r="C1619" s="105"/>
      <c r="D1619" s="10"/>
      <c r="E1619" s="59" t="str">
        <f t="array" ref="E1619">IF(COUNTA(C1619:C1673)=0,"",SUM((COUNTIF(C$4:C1619,Upgrades!$B$3:$B$13)-COUNTIF(C$4:C1619,"Sell_"&amp;Upgrades!$B$3:$B$13))*Upgrades!$D$3:$D$13))</f>
        <v/>
      </c>
      <c r="F1619" s="66" t="str">
        <f>IFERROR(__xludf.DUMMYFUNCTION("IF(COUNTA(C1619:C1673)=0,"""",IF(REGEXMATCH(INDEX(FILTER(C$4:C1619,C$4:C1619&lt;&gt;""""),ROWS(FILTER(C$4:C1619,C$4:C1619&lt;&gt;""""))),""^Sell_""),INDEX(FILTER(F$4:F1618,C$4:C1618&lt;&gt;""""),ROWS(FILTER(C$4:C1618,C$4:C1618&lt;&gt;""""))),$AC$5+E1619))"),"")</f>
        <v/>
      </c>
      <c r="G1619" s="10" t="str">
        <f>IFERROR(__xludf.DUMMYFUNCTION("IF(COUNTA(C1619:C1673)=0,"""",IF(C1619="""",0,IF(REGEXMATCH(C1619,""^Sell_""),-ROUNDDOWN(ROUNDUP(INDEX(Upgrades!$C$3:$C$13,MATCH(SUBSTITUTE(C1619,""Sell_"",""""),Upgrades!$B$3:$B$13,0))*1.15^(COUNTIF(C$4:C1618,SUBSTITUTE(C1619,""Sell_"",""""))-COUNTIF(C$4"&amp;":C1618,""Sell_""&amp;SUBSTITUTE(C1619,""Sell_"",""""))))/2),ROUNDUP(INDEX(Upgrades!$C$3:$C$13,MATCH(C1619,Upgrades!$B$3:$B$13,0))*1.15^(COUNTIF(C$4:C1618,C1619)-COUNTIF(C$4:C1618,""Sell_""&amp;C1619))))))"),"")</f>
        <v/>
      </c>
      <c r="H1619" s="10" t="str">
        <f t="shared" si="3"/>
        <v/>
      </c>
      <c r="I1619" s="68" t="str">
        <f t="shared" si="4"/>
        <v/>
      </c>
      <c r="J1619" s="59" t="str">
        <f t="shared" si="5"/>
        <v/>
      </c>
      <c r="K1619" s="69" t="str">
        <f t="shared" si="6"/>
        <v/>
      </c>
      <c r="L1619" s="60" t="str">
        <f t="shared" si="7"/>
        <v/>
      </c>
      <c r="M1619" s="61" t="str">
        <f>IFERROR(__xludf.DUMMYFUNCTION("IFS(AND(COUNTA(C1619:C1673)=0,COUNTA(Q1619:Q1673)=0),"""",OR(AND(K1619&gt;=1000000000,OR(Y1619&gt;=1000000000,COUNTA(Q1619:Q1673)=0)),OR(Y1619&gt;=1000000000,AND(COUNTA(C1619:C1673)=0,P$3=TRUE))),
ROUNDDOWN((AB$1-AC$1)*MAX(INDEX(T$4:T1673,MATCH(LARGE(FILTER(Y$4:Y1"&amp;"673,Y$4:Y1673&lt;1000000000),1),Y$4:Y1673)),INDEX(F$4:F1673,MATCH(LARGE(FILTER(K$4:K1673,K$4:K1673&lt;1000000000),1),K$4:K1673)))),AND(K1619&lt;1000000000,COUNTA(C1619:C1673)&gt;0,P$3=FALSE),
ROUNDDOWN(INDEX(Y$4:Y1673,MATCH(LARGE(FILTER(W$4:W1673,W$4:W1673&lt;=I1619),1)"&amp;",W$4:W1673))+(I1619-LARGE(FILTER(W$4:W1673,W$4:W1673&lt;=I1619),1))*INDEX(T$4:T1673,MATCH(LARGE(FILTER(W$4:W1673,W$4:W1673&lt;=I1619),1),W$4:W1673))-K1619),1,
ROUNDDOWN(Y1619-INDEX(K$4:K1673,MATCH(LARGE(FILTER(I$4:I1673,I$4:I1673&lt;=W1619),1),I$4:I1673))-(W1619-L"&amp;"ARGE(FILTER(I$4:I1673,I$4:I1673&lt;=W1619),1))*INDEX(F$4:F1673,MATCH(LARGE(FILTER(I$4:I1673,I$4:I1673&lt;=W1619),1),I$4:I1673))))"),"")</f>
        <v/>
      </c>
      <c r="N1619" s="60" t="str">
        <f t="shared" si="8"/>
        <v/>
      </c>
      <c r="O1619" s="61" t="str">
        <f t="shared" si="9"/>
        <v/>
      </c>
      <c r="P1619" s="56" t="str">
        <f t="shared" si="10"/>
        <v/>
      </c>
      <c r="Q1619" s="57"/>
      <c r="R1619" s="10"/>
      <c r="S1619" s="59" t="str">
        <f t="array" ref="S1619">IF(COUNTA(Q1619:Q1673)=0,"",SUM((COUNTIF(Q$4:Q1619,Upgrades!$B$3:$B$13)-COUNTIF(Q$4:Q1619,"Sell_"&amp;Upgrades!$B$3:$B$13))*Upgrades!$D$3:$D$13))</f>
        <v/>
      </c>
      <c r="T1619" s="66" t="str">
        <f>IFERROR(__xludf.DUMMYFUNCTION("IF(COUNTA(Q1619:Q1673)=0,"""",IF(REGEXMATCH(INDEX(FILTER(Q$4:Q1619,Q$4:Q1619&lt;&gt;""""),ROWS(FILTER(Q$4:Q1619,Q$4:Q1619&lt;&gt;""""))),""^Sell_""),INDEX(FILTER(T$4:T1618,Q$4:Q1618&lt;&gt;""""),ROWS(FILTER(Q$4:Q1618,Q$4:Q1618&lt;&gt;""""))),$AD$5+S1619))"),"")</f>
        <v/>
      </c>
      <c r="U1619" s="10" t="str">
        <f>IFERROR(__xludf.DUMMYFUNCTION("IF(COUNTA(Q1619:Q1673)=0,"""",IF(Q1619="""",0,IF(REGEXMATCH(Q1619,""^Sell_""),-ROUNDDOWN(ROUNDUP(INDEX(Upgrades!$C$3:$C$13,MATCH(SUBSTITUTE(Q1619,""Sell_"",""""),Upgrades!$B$3:$B$13,0))*1.15^(COUNTIF(Q$4:Q1618,SUBSTITUTE(Q1619,""Sell_"",""""))-COUNTIF(Q$4"&amp;":Q1618,""Sell_""&amp;SUBSTITUTE(Q1619,""Sell_"",""""))))/2),ROUNDUP(INDEX(Upgrades!$C$3:$C$13,MATCH(Q1619,Upgrades!$B$3:$B$13,0))*1.15^(COUNTIF(Q$4:Q1618,Q1619)-COUNTIF(Q$4:Q1618,""Sell_""&amp;Q1619))))))"),"")</f>
        <v/>
      </c>
      <c r="V1619" s="10" t="str">
        <f t="shared" si="11"/>
        <v/>
      </c>
      <c r="W1619" s="68" t="str">
        <f t="shared" si="12"/>
        <v/>
      </c>
      <c r="X1619" s="59" t="str">
        <f t="shared" si="13"/>
        <v/>
      </c>
      <c r="Y1619" s="69" t="str">
        <f t="shared" si="14"/>
        <v/>
      </c>
      <c r="Z1619" s="11"/>
    </row>
    <row r="1620">
      <c r="A1620" s="8"/>
      <c r="B1620" s="56" t="str">
        <f t="shared" si="2"/>
        <v/>
      </c>
      <c r="C1620" s="105"/>
      <c r="D1620" s="10"/>
      <c r="E1620" s="59" t="str">
        <f t="array" ref="E1620">IF(COUNTA(C1620:C1673)=0,"",SUM((COUNTIF(C$4:C1620,Upgrades!$B$3:$B$13)-COUNTIF(C$4:C1620,"Sell_"&amp;Upgrades!$B$3:$B$13))*Upgrades!$D$3:$D$13))</f>
        <v/>
      </c>
      <c r="F1620" s="66" t="str">
        <f>IFERROR(__xludf.DUMMYFUNCTION("IF(COUNTA(C1620:C1673)=0,"""",IF(REGEXMATCH(INDEX(FILTER(C$4:C1620,C$4:C1620&lt;&gt;""""),ROWS(FILTER(C$4:C1620,C$4:C1620&lt;&gt;""""))),""^Sell_""),INDEX(FILTER(F$4:F1619,C$4:C1619&lt;&gt;""""),ROWS(FILTER(C$4:C1619,C$4:C1619&lt;&gt;""""))),$AC$5+E1620))"),"")</f>
        <v/>
      </c>
      <c r="G1620" s="10" t="str">
        <f>IFERROR(__xludf.DUMMYFUNCTION("IF(COUNTA(C1620:C1673)=0,"""",IF(C1620="""",0,IF(REGEXMATCH(C1620,""^Sell_""),-ROUNDDOWN(ROUNDUP(INDEX(Upgrades!$C$3:$C$13,MATCH(SUBSTITUTE(C1620,""Sell_"",""""),Upgrades!$B$3:$B$13,0))*1.15^(COUNTIF(C$4:C1619,SUBSTITUTE(C1620,""Sell_"",""""))-COUNTIF(C$4"&amp;":C1619,""Sell_""&amp;SUBSTITUTE(C1620,""Sell_"",""""))))/2),ROUNDUP(INDEX(Upgrades!$C$3:$C$13,MATCH(C1620,Upgrades!$B$3:$B$13,0))*1.15^(COUNTIF(C$4:C1619,C1620)-COUNTIF(C$4:C1619,""Sell_""&amp;C1620))))))"),"")</f>
        <v/>
      </c>
      <c r="H1620" s="10" t="str">
        <f t="shared" si="3"/>
        <v/>
      </c>
      <c r="I1620" s="68" t="str">
        <f t="shared" si="4"/>
        <v/>
      </c>
      <c r="J1620" s="59" t="str">
        <f t="shared" si="5"/>
        <v/>
      </c>
      <c r="K1620" s="69" t="str">
        <f t="shared" si="6"/>
        <v/>
      </c>
      <c r="L1620" s="60" t="str">
        <f t="shared" si="7"/>
        <v/>
      </c>
      <c r="M1620" s="61" t="str">
        <f>IFERROR(__xludf.DUMMYFUNCTION("IFS(AND(COUNTA(C1620:C1673)=0,COUNTA(Q1620:Q1673)=0),"""",OR(AND(K1620&gt;=1000000000,OR(Y1620&gt;=1000000000,COUNTA(Q1620:Q1673)=0)),OR(Y1620&gt;=1000000000,AND(COUNTA(C1620:C1673)=0,P$3=TRUE))),
ROUNDDOWN((AB$1-AC$1)*MAX(INDEX(T$4:T1673,MATCH(LARGE(FILTER(Y$4:Y1"&amp;"673,Y$4:Y1673&lt;1000000000),1),Y$4:Y1673)),INDEX(F$4:F1673,MATCH(LARGE(FILTER(K$4:K1673,K$4:K1673&lt;1000000000),1),K$4:K1673)))),AND(K1620&lt;1000000000,COUNTA(C1620:C1673)&gt;0,P$3=FALSE),
ROUNDDOWN(INDEX(Y$4:Y1673,MATCH(LARGE(FILTER(W$4:W1673,W$4:W1673&lt;=I1620),1)"&amp;",W$4:W1673))+(I1620-LARGE(FILTER(W$4:W1673,W$4:W1673&lt;=I1620),1))*INDEX(T$4:T1673,MATCH(LARGE(FILTER(W$4:W1673,W$4:W1673&lt;=I1620),1),W$4:W1673))-K1620),1,
ROUNDDOWN(Y1620-INDEX(K$4:K1673,MATCH(LARGE(FILTER(I$4:I1673,I$4:I1673&lt;=W1620),1),I$4:I1673))-(W1620-L"&amp;"ARGE(FILTER(I$4:I1673,I$4:I1673&lt;=W1620),1))*INDEX(F$4:F1673,MATCH(LARGE(FILTER(I$4:I1673,I$4:I1673&lt;=W1620),1),I$4:I1673))))"),"")</f>
        <v/>
      </c>
      <c r="N1620" s="60" t="str">
        <f t="shared" si="8"/>
        <v/>
      </c>
      <c r="O1620" s="61" t="str">
        <f t="shared" si="9"/>
        <v/>
      </c>
      <c r="P1620" s="56" t="str">
        <f t="shared" si="10"/>
        <v/>
      </c>
      <c r="Q1620" s="57"/>
      <c r="R1620" s="10"/>
      <c r="S1620" s="59" t="str">
        <f t="array" ref="S1620">IF(COUNTA(Q1620:Q1673)=0,"",SUM((COUNTIF(Q$4:Q1620,Upgrades!$B$3:$B$13)-COUNTIF(Q$4:Q1620,"Sell_"&amp;Upgrades!$B$3:$B$13))*Upgrades!$D$3:$D$13))</f>
        <v/>
      </c>
      <c r="T1620" s="66" t="str">
        <f>IFERROR(__xludf.DUMMYFUNCTION("IF(COUNTA(Q1620:Q1673)=0,"""",IF(REGEXMATCH(INDEX(FILTER(Q$4:Q1620,Q$4:Q1620&lt;&gt;""""),ROWS(FILTER(Q$4:Q1620,Q$4:Q1620&lt;&gt;""""))),""^Sell_""),INDEX(FILTER(T$4:T1619,Q$4:Q1619&lt;&gt;""""),ROWS(FILTER(Q$4:Q1619,Q$4:Q1619&lt;&gt;""""))),$AD$5+S1620))"),"")</f>
        <v/>
      </c>
      <c r="U1620" s="10" t="str">
        <f>IFERROR(__xludf.DUMMYFUNCTION("IF(COUNTA(Q1620:Q1673)=0,"""",IF(Q1620="""",0,IF(REGEXMATCH(Q1620,""^Sell_""),-ROUNDDOWN(ROUNDUP(INDEX(Upgrades!$C$3:$C$13,MATCH(SUBSTITUTE(Q1620,""Sell_"",""""),Upgrades!$B$3:$B$13,0))*1.15^(COUNTIF(Q$4:Q1619,SUBSTITUTE(Q1620,""Sell_"",""""))-COUNTIF(Q$4"&amp;":Q1619,""Sell_""&amp;SUBSTITUTE(Q1620,""Sell_"",""""))))/2),ROUNDUP(INDEX(Upgrades!$C$3:$C$13,MATCH(Q1620,Upgrades!$B$3:$B$13,0))*1.15^(COUNTIF(Q$4:Q1619,Q1620)-COUNTIF(Q$4:Q1619,""Sell_""&amp;Q1620))))))"),"")</f>
        <v/>
      </c>
      <c r="V1620" s="10" t="str">
        <f t="shared" si="11"/>
        <v/>
      </c>
      <c r="W1620" s="68" t="str">
        <f t="shared" si="12"/>
        <v/>
      </c>
      <c r="X1620" s="59" t="str">
        <f t="shared" si="13"/>
        <v/>
      </c>
      <c r="Y1620" s="69" t="str">
        <f t="shared" si="14"/>
        <v/>
      </c>
      <c r="Z1620" s="11"/>
    </row>
    <row r="1621">
      <c r="A1621" s="8"/>
      <c r="B1621" s="56" t="str">
        <f t="shared" si="2"/>
        <v/>
      </c>
      <c r="C1621" s="105"/>
      <c r="D1621" s="10"/>
      <c r="E1621" s="59" t="str">
        <f t="array" ref="E1621">IF(COUNTA(C1621:C1673)=0,"",SUM((COUNTIF(C$4:C1621,Upgrades!$B$3:$B$13)-COUNTIF(C$4:C1621,"Sell_"&amp;Upgrades!$B$3:$B$13))*Upgrades!$D$3:$D$13))</f>
        <v/>
      </c>
      <c r="F1621" s="66" t="str">
        <f>IFERROR(__xludf.DUMMYFUNCTION("IF(COUNTA(C1621:C1673)=0,"""",IF(REGEXMATCH(INDEX(FILTER(C$4:C1621,C$4:C1621&lt;&gt;""""),ROWS(FILTER(C$4:C1621,C$4:C1621&lt;&gt;""""))),""^Sell_""),INDEX(FILTER(F$4:F1620,C$4:C1620&lt;&gt;""""),ROWS(FILTER(C$4:C1620,C$4:C1620&lt;&gt;""""))),$AC$5+E1621))"),"")</f>
        <v/>
      </c>
      <c r="G1621" s="10" t="str">
        <f>IFERROR(__xludf.DUMMYFUNCTION("IF(COUNTA(C1621:C1673)=0,"""",IF(C1621="""",0,IF(REGEXMATCH(C1621,""^Sell_""),-ROUNDDOWN(ROUNDUP(INDEX(Upgrades!$C$3:$C$13,MATCH(SUBSTITUTE(C1621,""Sell_"",""""),Upgrades!$B$3:$B$13,0))*1.15^(COUNTIF(C$4:C1620,SUBSTITUTE(C1621,""Sell_"",""""))-COUNTIF(C$4"&amp;":C1620,""Sell_""&amp;SUBSTITUTE(C1621,""Sell_"",""""))))/2),ROUNDUP(INDEX(Upgrades!$C$3:$C$13,MATCH(C1621,Upgrades!$B$3:$B$13,0))*1.15^(COUNTIF(C$4:C1620,C1621)-COUNTIF(C$4:C1620,""Sell_""&amp;C1621))))))"),"")</f>
        <v/>
      </c>
      <c r="H1621" s="10" t="str">
        <f t="shared" si="3"/>
        <v/>
      </c>
      <c r="I1621" s="68" t="str">
        <f t="shared" si="4"/>
        <v/>
      </c>
      <c r="J1621" s="59" t="str">
        <f t="shared" si="5"/>
        <v/>
      </c>
      <c r="K1621" s="69" t="str">
        <f t="shared" si="6"/>
        <v/>
      </c>
      <c r="L1621" s="60" t="str">
        <f t="shared" si="7"/>
        <v/>
      </c>
      <c r="M1621" s="61" t="str">
        <f>IFERROR(__xludf.DUMMYFUNCTION("IFS(AND(COUNTA(C1621:C1673)=0,COUNTA(Q1621:Q1673)=0),"""",OR(AND(K1621&gt;=1000000000,OR(Y1621&gt;=1000000000,COUNTA(Q1621:Q1673)=0)),OR(Y1621&gt;=1000000000,AND(COUNTA(C1621:C1673)=0,P$3=TRUE))),
ROUNDDOWN((AB$1-AC$1)*MAX(INDEX(T$4:T1673,MATCH(LARGE(FILTER(Y$4:Y1"&amp;"673,Y$4:Y1673&lt;1000000000),1),Y$4:Y1673)),INDEX(F$4:F1673,MATCH(LARGE(FILTER(K$4:K1673,K$4:K1673&lt;1000000000),1),K$4:K1673)))),AND(K1621&lt;1000000000,COUNTA(C1621:C1673)&gt;0,P$3=FALSE),
ROUNDDOWN(INDEX(Y$4:Y1673,MATCH(LARGE(FILTER(W$4:W1673,W$4:W1673&lt;=I1621),1)"&amp;",W$4:W1673))+(I1621-LARGE(FILTER(W$4:W1673,W$4:W1673&lt;=I1621),1))*INDEX(T$4:T1673,MATCH(LARGE(FILTER(W$4:W1673,W$4:W1673&lt;=I1621),1),W$4:W1673))-K1621),1,
ROUNDDOWN(Y1621-INDEX(K$4:K1673,MATCH(LARGE(FILTER(I$4:I1673,I$4:I1673&lt;=W1621),1),I$4:I1673))-(W1621-L"&amp;"ARGE(FILTER(I$4:I1673,I$4:I1673&lt;=W1621),1))*INDEX(F$4:F1673,MATCH(LARGE(FILTER(I$4:I1673,I$4:I1673&lt;=W1621),1),I$4:I1673))))"),"")</f>
        <v/>
      </c>
      <c r="N1621" s="60" t="str">
        <f t="shared" si="8"/>
        <v/>
      </c>
      <c r="O1621" s="61" t="str">
        <f t="shared" si="9"/>
        <v/>
      </c>
      <c r="P1621" s="56" t="str">
        <f t="shared" si="10"/>
        <v/>
      </c>
      <c r="Q1621" s="57"/>
      <c r="R1621" s="10"/>
      <c r="S1621" s="59" t="str">
        <f t="array" ref="S1621">IF(COUNTA(Q1621:Q1673)=0,"",SUM((COUNTIF(Q$4:Q1621,Upgrades!$B$3:$B$13)-COUNTIF(Q$4:Q1621,"Sell_"&amp;Upgrades!$B$3:$B$13))*Upgrades!$D$3:$D$13))</f>
        <v/>
      </c>
      <c r="T1621" s="66" t="str">
        <f>IFERROR(__xludf.DUMMYFUNCTION("IF(COUNTA(Q1621:Q1673)=0,"""",IF(REGEXMATCH(INDEX(FILTER(Q$4:Q1621,Q$4:Q1621&lt;&gt;""""),ROWS(FILTER(Q$4:Q1621,Q$4:Q1621&lt;&gt;""""))),""^Sell_""),INDEX(FILTER(T$4:T1620,Q$4:Q1620&lt;&gt;""""),ROWS(FILTER(Q$4:Q1620,Q$4:Q1620&lt;&gt;""""))),$AD$5+S1621))"),"")</f>
        <v/>
      </c>
      <c r="U1621" s="10" t="str">
        <f>IFERROR(__xludf.DUMMYFUNCTION("IF(COUNTA(Q1621:Q1673)=0,"""",IF(Q1621="""",0,IF(REGEXMATCH(Q1621,""^Sell_""),-ROUNDDOWN(ROUNDUP(INDEX(Upgrades!$C$3:$C$13,MATCH(SUBSTITUTE(Q1621,""Sell_"",""""),Upgrades!$B$3:$B$13,0))*1.15^(COUNTIF(Q$4:Q1620,SUBSTITUTE(Q1621,""Sell_"",""""))-COUNTIF(Q$4"&amp;":Q1620,""Sell_""&amp;SUBSTITUTE(Q1621,""Sell_"",""""))))/2),ROUNDUP(INDEX(Upgrades!$C$3:$C$13,MATCH(Q1621,Upgrades!$B$3:$B$13,0))*1.15^(COUNTIF(Q$4:Q1620,Q1621)-COUNTIF(Q$4:Q1620,""Sell_""&amp;Q1621))))))"),"")</f>
        <v/>
      </c>
      <c r="V1621" s="10" t="str">
        <f t="shared" si="11"/>
        <v/>
      </c>
      <c r="W1621" s="68" t="str">
        <f t="shared" si="12"/>
        <v/>
      </c>
      <c r="X1621" s="59" t="str">
        <f t="shared" si="13"/>
        <v/>
      </c>
      <c r="Y1621" s="69" t="str">
        <f t="shared" si="14"/>
        <v/>
      </c>
      <c r="Z1621" s="11"/>
    </row>
    <row r="1622">
      <c r="A1622" s="8"/>
      <c r="B1622" s="56" t="str">
        <f t="shared" si="2"/>
        <v/>
      </c>
      <c r="C1622" s="105"/>
      <c r="D1622" s="10"/>
      <c r="E1622" s="59" t="str">
        <f t="array" ref="E1622">IF(COUNTA(C1622:C1673)=0,"",SUM((COUNTIF(C$4:C1622,Upgrades!$B$3:$B$13)-COUNTIF(C$4:C1622,"Sell_"&amp;Upgrades!$B$3:$B$13))*Upgrades!$D$3:$D$13))</f>
        <v/>
      </c>
      <c r="F1622" s="66" t="str">
        <f>IFERROR(__xludf.DUMMYFUNCTION("IF(COUNTA(C1622:C1673)=0,"""",IF(REGEXMATCH(INDEX(FILTER(C$4:C1622,C$4:C1622&lt;&gt;""""),ROWS(FILTER(C$4:C1622,C$4:C1622&lt;&gt;""""))),""^Sell_""),INDEX(FILTER(F$4:F1621,C$4:C1621&lt;&gt;""""),ROWS(FILTER(C$4:C1621,C$4:C1621&lt;&gt;""""))),$AC$5+E1622))"),"")</f>
        <v/>
      </c>
      <c r="G1622" s="10" t="str">
        <f>IFERROR(__xludf.DUMMYFUNCTION("IF(COUNTA(C1622:C1673)=0,"""",IF(C1622="""",0,IF(REGEXMATCH(C1622,""^Sell_""),-ROUNDDOWN(ROUNDUP(INDEX(Upgrades!$C$3:$C$13,MATCH(SUBSTITUTE(C1622,""Sell_"",""""),Upgrades!$B$3:$B$13,0))*1.15^(COUNTIF(C$4:C1621,SUBSTITUTE(C1622,""Sell_"",""""))-COUNTIF(C$4"&amp;":C1621,""Sell_""&amp;SUBSTITUTE(C1622,""Sell_"",""""))))/2),ROUNDUP(INDEX(Upgrades!$C$3:$C$13,MATCH(C1622,Upgrades!$B$3:$B$13,0))*1.15^(COUNTIF(C$4:C1621,C1622)-COUNTIF(C$4:C1621,""Sell_""&amp;C1622))))))"),"")</f>
        <v/>
      </c>
      <c r="H1622" s="10" t="str">
        <f t="shared" si="3"/>
        <v/>
      </c>
      <c r="I1622" s="68" t="str">
        <f t="shared" si="4"/>
        <v/>
      </c>
      <c r="J1622" s="59" t="str">
        <f t="shared" si="5"/>
        <v/>
      </c>
      <c r="K1622" s="69" t="str">
        <f t="shared" si="6"/>
        <v/>
      </c>
      <c r="L1622" s="60" t="str">
        <f t="shared" si="7"/>
        <v/>
      </c>
      <c r="M1622" s="61" t="str">
        <f>IFERROR(__xludf.DUMMYFUNCTION("IFS(AND(COUNTA(C1622:C1673)=0,COUNTA(Q1622:Q1673)=0),"""",OR(AND(K1622&gt;=1000000000,OR(Y1622&gt;=1000000000,COUNTA(Q1622:Q1673)=0)),OR(Y1622&gt;=1000000000,AND(COUNTA(C1622:C1673)=0,P$3=TRUE))),
ROUNDDOWN((AB$1-AC$1)*MAX(INDEX(T$4:T1673,MATCH(LARGE(FILTER(Y$4:Y1"&amp;"673,Y$4:Y1673&lt;1000000000),1),Y$4:Y1673)),INDEX(F$4:F1673,MATCH(LARGE(FILTER(K$4:K1673,K$4:K1673&lt;1000000000),1),K$4:K1673)))),AND(K1622&lt;1000000000,COUNTA(C1622:C1673)&gt;0,P$3=FALSE),
ROUNDDOWN(INDEX(Y$4:Y1673,MATCH(LARGE(FILTER(W$4:W1673,W$4:W1673&lt;=I1622),1)"&amp;",W$4:W1673))+(I1622-LARGE(FILTER(W$4:W1673,W$4:W1673&lt;=I1622),1))*INDEX(T$4:T1673,MATCH(LARGE(FILTER(W$4:W1673,W$4:W1673&lt;=I1622),1),W$4:W1673))-K1622),1,
ROUNDDOWN(Y1622-INDEX(K$4:K1673,MATCH(LARGE(FILTER(I$4:I1673,I$4:I1673&lt;=W1622),1),I$4:I1673))-(W1622-L"&amp;"ARGE(FILTER(I$4:I1673,I$4:I1673&lt;=W1622),1))*INDEX(F$4:F1673,MATCH(LARGE(FILTER(I$4:I1673,I$4:I1673&lt;=W1622),1),I$4:I1673))))"),"")</f>
        <v/>
      </c>
      <c r="N1622" s="60" t="str">
        <f t="shared" si="8"/>
        <v/>
      </c>
      <c r="O1622" s="61" t="str">
        <f t="shared" si="9"/>
        <v/>
      </c>
      <c r="P1622" s="56" t="str">
        <f t="shared" si="10"/>
        <v/>
      </c>
      <c r="Q1622" s="57"/>
      <c r="R1622" s="10"/>
      <c r="S1622" s="59" t="str">
        <f t="array" ref="S1622">IF(COUNTA(Q1622:Q1673)=0,"",SUM((COUNTIF(Q$4:Q1622,Upgrades!$B$3:$B$13)-COUNTIF(Q$4:Q1622,"Sell_"&amp;Upgrades!$B$3:$B$13))*Upgrades!$D$3:$D$13))</f>
        <v/>
      </c>
      <c r="T1622" s="66" t="str">
        <f>IFERROR(__xludf.DUMMYFUNCTION("IF(COUNTA(Q1622:Q1673)=0,"""",IF(REGEXMATCH(INDEX(FILTER(Q$4:Q1622,Q$4:Q1622&lt;&gt;""""),ROWS(FILTER(Q$4:Q1622,Q$4:Q1622&lt;&gt;""""))),""^Sell_""),INDEX(FILTER(T$4:T1621,Q$4:Q1621&lt;&gt;""""),ROWS(FILTER(Q$4:Q1621,Q$4:Q1621&lt;&gt;""""))),$AD$5+S1622))"),"")</f>
        <v/>
      </c>
      <c r="U1622" s="10" t="str">
        <f>IFERROR(__xludf.DUMMYFUNCTION("IF(COUNTA(Q1622:Q1673)=0,"""",IF(Q1622="""",0,IF(REGEXMATCH(Q1622,""^Sell_""),-ROUNDDOWN(ROUNDUP(INDEX(Upgrades!$C$3:$C$13,MATCH(SUBSTITUTE(Q1622,""Sell_"",""""),Upgrades!$B$3:$B$13,0))*1.15^(COUNTIF(Q$4:Q1621,SUBSTITUTE(Q1622,""Sell_"",""""))-COUNTIF(Q$4"&amp;":Q1621,""Sell_""&amp;SUBSTITUTE(Q1622,""Sell_"",""""))))/2),ROUNDUP(INDEX(Upgrades!$C$3:$C$13,MATCH(Q1622,Upgrades!$B$3:$B$13,0))*1.15^(COUNTIF(Q$4:Q1621,Q1622)-COUNTIF(Q$4:Q1621,""Sell_""&amp;Q1622))))))"),"")</f>
        <v/>
      </c>
      <c r="V1622" s="10" t="str">
        <f t="shared" si="11"/>
        <v/>
      </c>
      <c r="W1622" s="68" t="str">
        <f t="shared" si="12"/>
        <v/>
      </c>
      <c r="X1622" s="59" t="str">
        <f t="shared" si="13"/>
        <v/>
      </c>
      <c r="Y1622" s="69" t="str">
        <f t="shared" si="14"/>
        <v/>
      </c>
      <c r="Z1622" s="11"/>
    </row>
    <row r="1623">
      <c r="A1623" s="8"/>
      <c r="B1623" s="56" t="str">
        <f t="shared" si="2"/>
        <v/>
      </c>
      <c r="C1623" s="105"/>
      <c r="D1623" s="10"/>
      <c r="E1623" s="59" t="str">
        <f t="array" ref="E1623">IF(COUNTA(C1623:C1673)=0,"",SUM((COUNTIF(C$4:C1623,Upgrades!$B$3:$B$13)-COUNTIF(C$4:C1623,"Sell_"&amp;Upgrades!$B$3:$B$13))*Upgrades!$D$3:$D$13))</f>
        <v/>
      </c>
      <c r="F1623" s="66" t="str">
        <f>IFERROR(__xludf.DUMMYFUNCTION("IF(COUNTA(C1623:C1673)=0,"""",IF(REGEXMATCH(INDEX(FILTER(C$4:C1623,C$4:C1623&lt;&gt;""""),ROWS(FILTER(C$4:C1623,C$4:C1623&lt;&gt;""""))),""^Sell_""),INDEX(FILTER(F$4:F1622,C$4:C1622&lt;&gt;""""),ROWS(FILTER(C$4:C1622,C$4:C1622&lt;&gt;""""))),$AC$5+E1623))"),"")</f>
        <v/>
      </c>
      <c r="G1623" s="10" t="str">
        <f>IFERROR(__xludf.DUMMYFUNCTION("IF(COUNTA(C1623:C1673)=0,"""",IF(C1623="""",0,IF(REGEXMATCH(C1623,""^Sell_""),-ROUNDDOWN(ROUNDUP(INDEX(Upgrades!$C$3:$C$13,MATCH(SUBSTITUTE(C1623,""Sell_"",""""),Upgrades!$B$3:$B$13,0))*1.15^(COUNTIF(C$4:C1622,SUBSTITUTE(C1623,""Sell_"",""""))-COUNTIF(C$4"&amp;":C1622,""Sell_""&amp;SUBSTITUTE(C1623,""Sell_"",""""))))/2),ROUNDUP(INDEX(Upgrades!$C$3:$C$13,MATCH(C1623,Upgrades!$B$3:$B$13,0))*1.15^(COUNTIF(C$4:C1622,C1623)-COUNTIF(C$4:C1622,""Sell_""&amp;C1623))))))"),"")</f>
        <v/>
      </c>
      <c r="H1623" s="10" t="str">
        <f t="shared" si="3"/>
        <v/>
      </c>
      <c r="I1623" s="68" t="str">
        <f t="shared" si="4"/>
        <v/>
      </c>
      <c r="J1623" s="59" t="str">
        <f t="shared" si="5"/>
        <v/>
      </c>
      <c r="K1623" s="69" t="str">
        <f t="shared" si="6"/>
        <v/>
      </c>
      <c r="L1623" s="60" t="str">
        <f t="shared" si="7"/>
        <v/>
      </c>
      <c r="M1623" s="61" t="str">
        <f>IFERROR(__xludf.DUMMYFUNCTION("IFS(AND(COUNTA(C1623:C1673)=0,COUNTA(Q1623:Q1673)=0),"""",OR(AND(K1623&gt;=1000000000,OR(Y1623&gt;=1000000000,COUNTA(Q1623:Q1673)=0)),OR(Y1623&gt;=1000000000,AND(COUNTA(C1623:C1673)=0,P$3=TRUE))),
ROUNDDOWN((AB$1-AC$1)*MAX(INDEX(T$4:T1673,MATCH(LARGE(FILTER(Y$4:Y1"&amp;"673,Y$4:Y1673&lt;1000000000),1),Y$4:Y1673)),INDEX(F$4:F1673,MATCH(LARGE(FILTER(K$4:K1673,K$4:K1673&lt;1000000000),1),K$4:K1673)))),AND(K1623&lt;1000000000,COUNTA(C1623:C1673)&gt;0,P$3=FALSE),
ROUNDDOWN(INDEX(Y$4:Y1673,MATCH(LARGE(FILTER(W$4:W1673,W$4:W1673&lt;=I1623),1)"&amp;",W$4:W1673))+(I1623-LARGE(FILTER(W$4:W1673,W$4:W1673&lt;=I1623),1))*INDEX(T$4:T1673,MATCH(LARGE(FILTER(W$4:W1673,W$4:W1673&lt;=I1623),1),W$4:W1673))-K1623),1,
ROUNDDOWN(Y1623-INDEX(K$4:K1673,MATCH(LARGE(FILTER(I$4:I1673,I$4:I1673&lt;=W1623),1),I$4:I1673))-(W1623-L"&amp;"ARGE(FILTER(I$4:I1673,I$4:I1673&lt;=W1623),1))*INDEX(F$4:F1673,MATCH(LARGE(FILTER(I$4:I1673,I$4:I1673&lt;=W1623),1),I$4:I1673))))"),"")</f>
        <v/>
      </c>
      <c r="N1623" s="60" t="str">
        <f t="shared" si="8"/>
        <v/>
      </c>
      <c r="O1623" s="61" t="str">
        <f t="shared" si="9"/>
        <v/>
      </c>
      <c r="P1623" s="56" t="str">
        <f t="shared" si="10"/>
        <v/>
      </c>
      <c r="Q1623" s="57"/>
      <c r="R1623" s="10"/>
      <c r="S1623" s="59" t="str">
        <f t="array" ref="S1623">IF(COUNTA(Q1623:Q1673)=0,"",SUM((COUNTIF(Q$4:Q1623,Upgrades!$B$3:$B$13)-COUNTIF(Q$4:Q1623,"Sell_"&amp;Upgrades!$B$3:$B$13))*Upgrades!$D$3:$D$13))</f>
        <v/>
      </c>
      <c r="T1623" s="66" t="str">
        <f>IFERROR(__xludf.DUMMYFUNCTION("IF(COUNTA(Q1623:Q1673)=0,"""",IF(REGEXMATCH(INDEX(FILTER(Q$4:Q1623,Q$4:Q1623&lt;&gt;""""),ROWS(FILTER(Q$4:Q1623,Q$4:Q1623&lt;&gt;""""))),""^Sell_""),INDEX(FILTER(T$4:T1622,Q$4:Q1622&lt;&gt;""""),ROWS(FILTER(Q$4:Q1622,Q$4:Q1622&lt;&gt;""""))),$AD$5+S1623))"),"")</f>
        <v/>
      </c>
      <c r="U1623" s="10" t="str">
        <f>IFERROR(__xludf.DUMMYFUNCTION("IF(COUNTA(Q1623:Q1673)=0,"""",IF(Q1623="""",0,IF(REGEXMATCH(Q1623,""^Sell_""),-ROUNDDOWN(ROUNDUP(INDEX(Upgrades!$C$3:$C$13,MATCH(SUBSTITUTE(Q1623,""Sell_"",""""),Upgrades!$B$3:$B$13,0))*1.15^(COUNTIF(Q$4:Q1622,SUBSTITUTE(Q1623,""Sell_"",""""))-COUNTIF(Q$4"&amp;":Q1622,""Sell_""&amp;SUBSTITUTE(Q1623,""Sell_"",""""))))/2),ROUNDUP(INDEX(Upgrades!$C$3:$C$13,MATCH(Q1623,Upgrades!$B$3:$B$13,0))*1.15^(COUNTIF(Q$4:Q1622,Q1623)-COUNTIF(Q$4:Q1622,""Sell_""&amp;Q1623))))))"),"")</f>
        <v/>
      </c>
      <c r="V1623" s="10" t="str">
        <f t="shared" si="11"/>
        <v/>
      </c>
      <c r="W1623" s="68" t="str">
        <f t="shared" si="12"/>
        <v/>
      </c>
      <c r="X1623" s="59" t="str">
        <f t="shared" si="13"/>
        <v/>
      </c>
      <c r="Y1623" s="69" t="str">
        <f t="shared" si="14"/>
        <v/>
      </c>
      <c r="Z1623" s="11"/>
    </row>
    <row r="1624">
      <c r="A1624" s="8"/>
      <c r="B1624" s="56" t="str">
        <f t="shared" si="2"/>
        <v/>
      </c>
      <c r="C1624" s="105"/>
      <c r="D1624" s="10"/>
      <c r="E1624" s="59" t="str">
        <f t="array" ref="E1624">IF(COUNTA(C1624:C1673)=0,"",SUM((COUNTIF(C$4:C1624,Upgrades!$B$3:$B$13)-COUNTIF(C$4:C1624,"Sell_"&amp;Upgrades!$B$3:$B$13))*Upgrades!$D$3:$D$13))</f>
        <v/>
      </c>
      <c r="F1624" s="66" t="str">
        <f>IFERROR(__xludf.DUMMYFUNCTION("IF(COUNTA(C1624:C1673)=0,"""",IF(REGEXMATCH(INDEX(FILTER(C$4:C1624,C$4:C1624&lt;&gt;""""),ROWS(FILTER(C$4:C1624,C$4:C1624&lt;&gt;""""))),""^Sell_""),INDEX(FILTER(F$4:F1623,C$4:C1623&lt;&gt;""""),ROWS(FILTER(C$4:C1623,C$4:C1623&lt;&gt;""""))),$AC$5+E1624))"),"")</f>
        <v/>
      </c>
      <c r="G1624" s="10" t="str">
        <f>IFERROR(__xludf.DUMMYFUNCTION("IF(COUNTA(C1624:C1673)=0,"""",IF(C1624="""",0,IF(REGEXMATCH(C1624,""^Sell_""),-ROUNDDOWN(ROUNDUP(INDEX(Upgrades!$C$3:$C$13,MATCH(SUBSTITUTE(C1624,""Sell_"",""""),Upgrades!$B$3:$B$13,0))*1.15^(COUNTIF(C$4:C1623,SUBSTITUTE(C1624,""Sell_"",""""))-COUNTIF(C$4"&amp;":C1623,""Sell_""&amp;SUBSTITUTE(C1624,""Sell_"",""""))))/2),ROUNDUP(INDEX(Upgrades!$C$3:$C$13,MATCH(C1624,Upgrades!$B$3:$B$13,0))*1.15^(COUNTIF(C$4:C1623,C1624)-COUNTIF(C$4:C1623,""Sell_""&amp;C1624))))))"),"")</f>
        <v/>
      </c>
      <c r="H1624" s="10" t="str">
        <f t="shared" si="3"/>
        <v/>
      </c>
      <c r="I1624" s="68" t="str">
        <f t="shared" si="4"/>
        <v/>
      </c>
      <c r="J1624" s="59" t="str">
        <f t="shared" si="5"/>
        <v/>
      </c>
      <c r="K1624" s="69" t="str">
        <f t="shared" si="6"/>
        <v/>
      </c>
      <c r="L1624" s="60" t="str">
        <f t="shared" si="7"/>
        <v/>
      </c>
      <c r="M1624" s="61" t="str">
        <f>IFERROR(__xludf.DUMMYFUNCTION("IFS(AND(COUNTA(C1624:C1673)=0,COUNTA(Q1624:Q1673)=0),"""",OR(AND(K1624&gt;=1000000000,OR(Y1624&gt;=1000000000,COUNTA(Q1624:Q1673)=0)),OR(Y1624&gt;=1000000000,AND(COUNTA(C1624:C1673)=0,P$3=TRUE))),
ROUNDDOWN((AB$1-AC$1)*MAX(INDEX(T$4:T1673,MATCH(LARGE(FILTER(Y$4:Y1"&amp;"673,Y$4:Y1673&lt;1000000000),1),Y$4:Y1673)),INDEX(F$4:F1673,MATCH(LARGE(FILTER(K$4:K1673,K$4:K1673&lt;1000000000),1),K$4:K1673)))),AND(K1624&lt;1000000000,COUNTA(C1624:C1673)&gt;0,P$3=FALSE),
ROUNDDOWN(INDEX(Y$4:Y1673,MATCH(LARGE(FILTER(W$4:W1673,W$4:W1673&lt;=I1624),1)"&amp;",W$4:W1673))+(I1624-LARGE(FILTER(W$4:W1673,W$4:W1673&lt;=I1624),1))*INDEX(T$4:T1673,MATCH(LARGE(FILTER(W$4:W1673,W$4:W1673&lt;=I1624),1),W$4:W1673))-K1624),1,
ROUNDDOWN(Y1624-INDEX(K$4:K1673,MATCH(LARGE(FILTER(I$4:I1673,I$4:I1673&lt;=W1624),1),I$4:I1673))-(W1624-L"&amp;"ARGE(FILTER(I$4:I1673,I$4:I1673&lt;=W1624),1))*INDEX(F$4:F1673,MATCH(LARGE(FILTER(I$4:I1673,I$4:I1673&lt;=W1624),1),I$4:I1673))))"),"")</f>
        <v/>
      </c>
      <c r="N1624" s="60" t="str">
        <f t="shared" si="8"/>
        <v/>
      </c>
      <c r="O1624" s="61" t="str">
        <f t="shared" si="9"/>
        <v/>
      </c>
      <c r="P1624" s="56" t="str">
        <f t="shared" si="10"/>
        <v/>
      </c>
      <c r="Q1624" s="57"/>
      <c r="R1624" s="10"/>
      <c r="S1624" s="59" t="str">
        <f t="array" ref="S1624">IF(COUNTA(Q1624:Q1673)=0,"",SUM((COUNTIF(Q$4:Q1624,Upgrades!$B$3:$B$13)-COUNTIF(Q$4:Q1624,"Sell_"&amp;Upgrades!$B$3:$B$13))*Upgrades!$D$3:$D$13))</f>
        <v/>
      </c>
      <c r="T1624" s="66" t="str">
        <f>IFERROR(__xludf.DUMMYFUNCTION("IF(COUNTA(Q1624:Q1673)=0,"""",IF(REGEXMATCH(INDEX(FILTER(Q$4:Q1624,Q$4:Q1624&lt;&gt;""""),ROWS(FILTER(Q$4:Q1624,Q$4:Q1624&lt;&gt;""""))),""^Sell_""),INDEX(FILTER(T$4:T1623,Q$4:Q1623&lt;&gt;""""),ROWS(FILTER(Q$4:Q1623,Q$4:Q1623&lt;&gt;""""))),$AD$5+S1624))"),"")</f>
        <v/>
      </c>
      <c r="U1624" s="10" t="str">
        <f>IFERROR(__xludf.DUMMYFUNCTION("IF(COUNTA(Q1624:Q1673)=0,"""",IF(Q1624="""",0,IF(REGEXMATCH(Q1624,""^Sell_""),-ROUNDDOWN(ROUNDUP(INDEX(Upgrades!$C$3:$C$13,MATCH(SUBSTITUTE(Q1624,""Sell_"",""""),Upgrades!$B$3:$B$13,0))*1.15^(COUNTIF(Q$4:Q1623,SUBSTITUTE(Q1624,""Sell_"",""""))-COUNTIF(Q$4"&amp;":Q1623,""Sell_""&amp;SUBSTITUTE(Q1624,""Sell_"",""""))))/2),ROUNDUP(INDEX(Upgrades!$C$3:$C$13,MATCH(Q1624,Upgrades!$B$3:$B$13,0))*1.15^(COUNTIF(Q$4:Q1623,Q1624)-COUNTIF(Q$4:Q1623,""Sell_""&amp;Q1624))))))"),"")</f>
        <v/>
      </c>
      <c r="V1624" s="10" t="str">
        <f t="shared" si="11"/>
        <v/>
      </c>
      <c r="W1624" s="68" t="str">
        <f t="shared" si="12"/>
        <v/>
      </c>
      <c r="X1624" s="59" t="str">
        <f t="shared" si="13"/>
        <v/>
      </c>
      <c r="Y1624" s="69" t="str">
        <f t="shared" si="14"/>
        <v/>
      </c>
      <c r="Z1624" s="11"/>
    </row>
    <row r="1625">
      <c r="A1625" s="8"/>
      <c r="B1625" s="56" t="str">
        <f t="shared" si="2"/>
        <v/>
      </c>
      <c r="C1625" s="105"/>
      <c r="D1625" s="10"/>
      <c r="E1625" s="59" t="str">
        <f t="array" ref="E1625">IF(COUNTA(C1625:C1673)=0,"",SUM((COUNTIF(C$4:C1625,Upgrades!$B$3:$B$13)-COUNTIF(C$4:C1625,"Sell_"&amp;Upgrades!$B$3:$B$13))*Upgrades!$D$3:$D$13))</f>
        <v/>
      </c>
      <c r="F1625" s="66" t="str">
        <f>IFERROR(__xludf.DUMMYFUNCTION("IF(COUNTA(C1625:C1673)=0,"""",IF(REGEXMATCH(INDEX(FILTER(C$4:C1625,C$4:C1625&lt;&gt;""""),ROWS(FILTER(C$4:C1625,C$4:C1625&lt;&gt;""""))),""^Sell_""),INDEX(FILTER(F$4:F1624,C$4:C1624&lt;&gt;""""),ROWS(FILTER(C$4:C1624,C$4:C1624&lt;&gt;""""))),$AC$5+E1625))"),"")</f>
        <v/>
      </c>
      <c r="G1625" s="10" t="str">
        <f>IFERROR(__xludf.DUMMYFUNCTION("IF(COUNTA(C1625:C1673)=0,"""",IF(C1625="""",0,IF(REGEXMATCH(C1625,""^Sell_""),-ROUNDDOWN(ROUNDUP(INDEX(Upgrades!$C$3:$C$13,MATCH(SUBSTITUTE(C1625,""Sell_"",""""),Upgrades!$B$3:$B$13,0))*1.15^(COUNTIF(C$4:C1624,SUBSTITUTE(C1625,""Sell_"",""""))-COUNTIF(C$4"&amp;":C1624,""Sell_""&amp;SUBSTITUTE(C1625,""Sell_"",""""))))/2),ROUNDUP(INDEX(Upgrades!$C$3:$C$13,MATCH(C1625,Upgrades!$B$3:$B$13,0))*1.15^(COUNTIF(C$4:C1624,C1625)-COUNTIF(C$4:C1624,""Sell_""&amp;C1625))))))"),"")</f>
        <v/>
      </c>
      <c r="H1625" s="10" t="str">
        <f t="shared" si="3"/>
        <v/>
      </c>
      <c r="I1625" s="68" t="str">
        <f t="shared" si="4"/>
        <v/>
      </c>
      <c r="J1625" s="59" t="str">
        <f t="shared" si="5"/>
        <v/>
      </c>
      <c r="K1625" s="69" t="str">
        <f t="shared" si="6"/>
        <v/>
      </c>
      <c r="L1625" s="60" t="str">
        <f t="shared" si="7"/>
        <v/>
      </c>
      <c r="M1625" s="61" t="str">
        <f>IFERROR(__xludf.DUMMYFUNCTION("IFS(AND(COUNTA(C1625:C1673)=0,COUNTA(Q1625:Q1673)=0),"""",OR(AND(K1625&gt;=1000000000,OR(Y1625&gt;=1000000000,COUNTA(Q1625:Q1673)=0)),OR(Y1625&gt;=1000000000,AND(COUNTA(C1625:C1673)=0,P$3=TRUE))),
ROUNDDOWN((AB$1-AC$1)*MAX(INDEX(T$4:T1673,MATCH(LARGE(FILTER(Y$4:Y1"&amp;"673,Y$4:Y1673&lt;1000000000),1),Y$4:Y1673)),INDEX(F$4:F1673,MATCH(LARGE(FILTER(K$4:K1673,K$4:K1673&lt;1000000000),1),K$4:K1673)))),AND(K1625&lt;1000000000,COUNTA(C1625:C1673)&gt;0,P$3=FALSE),
ROUNDDOWN(INDEX(Y$4:Y1673,MATCH(LARGE(FILTER(W$4:W1673,W$4:W1673&lt;=I1625),1)"&amp;",W$4:W1673))+(I1625-LARGE(FILTER(W$4:W1673,W$4:W1673&lt;=I1625),1))*INDEX(T$4:T1673,MATCH(LARGE(FILTER(W$4:W1673,W$4:W1673&lt;=I1625),1),W$4:W1673))-K1625),1,
ROUNDDOWN(Y1625-INDEX(K$4:K1673,MATCH(LARGE(FILTER(I$4:I1673,I$4:I1673&lt;=W1625),1),I$4:I1673))-(W1625-L"&amp;"ARGE(FILTER(I$4:I1673,I$4:I1673&lt;=W1625),1))*INDEX(F$4:F1673,MATCH(LARGE(FILTER(I$4:I1673,I$4:I1673&lt;=W1625),1),I$4:I1673))))"),"")</f>
        <v/>
      </c>
      <c r="N1625" s="60" t="str">
        <f t="shared" si="8"/>
        <v/>
      </c>
      <c r="O1625" s="61" t="str">
        <f t="shared" si="9"/>
        <v/>
      </c>
      <c r="P1625" s="56" t="str">
        <f t="shared" si="10"/>
        <v/>
      </c>
      <c r="Q1625" s="57"/>
      <c r="R1625" s="10"/>
      <c r="S1625" s="59" t="str">
        <f t="array" ref="S1625">IF(COUNTA(Q1625:Q1673)=0,"",SUM((COUNTIF(Q$4:Q1625,Upgrades!$B$3:$B$13)-COUNTIF(Q$4:Q1625,"Sell_"&amp;Upgrades!$B$3:$B$13))*Upgrades!$D$3:$D$13))</f>
        <v/>
      </c>
      <c r="T1625" s="66" t="str">
        <f>IFERROR(__xludf.DUMMYFUNCTION("IF(COUNTA(Q1625:Q1673)=0,"""",IF(REGEXMATCH(INDEX(FILTER(Q$4:Q1625,Q$4:Q1625&lt;&gt;""""),ROWS(FILTER(Q$4:Q1625,Q$4:Q1625&lt;&gt;""""))),""^Sell_""),INDEX(FILTER(T$4:T1624,Q$4:Q1624&lt;&gt;""""),ROWS(FILTER(Q$4:Q1624,Q$4:Q1624&lt;&gt;""""))),$AD$5+S1625))"),"")</f>
        <v/>
      </c>
      <c r="U1625" s="10" t="str">
        <f>IFERROR(__xludf.DUMMYFUNCTION("IF(COUNTA(Q1625:Q1673)=0,"""",IF(Q1625="""",0,IF(REGEXMATCH(Q1625,""^Sell_""),-ROUNDDOWN(ROUNDUP(INDEX(Upgrades!$C$3:$C$13,MATCH(SUBSTITUTE(Q1625,""Sell_"",""""),Upgrades!$B$3:$B$13,0))*1.15^(COUNTIF(Q$4:Q1624,SUBSTITUTE(Q1625,""Sell_"",""""))-COUNTIF(Q$4"&amp;":Q1624,""Sell_""&amp;SUBSTITUTE(Q1625,""Sell_"",""""))))/2),ROUNDUP(INDEX(Upgrades!$C$3:$C$13,MATCH(Q1625,Upgrades!$B$3:$B$13,0))*1.15^(COUNTIF(Q$4:Q1624,Q1625)-COUNTIF(Q$4:Q1624,""Sell_""&amp;Q1625))))))"),"")</f>
        <v/>
      </c>
      <c r="V1625" s="10" t="str">
        <f t="shared" si="11"/>
        <v/>
      </c>
      <c r="W1625" s="68" t="str">
        <f t="shared" si="12"/>
        <v/>
      </c>
      <c r="X1625" s="59" t="str">
        <f t="shared" si="13"/>
        <v/>
      </c>
      <c r="Y1625" s="69" t="str">
        <f t="shared" si="14"/>
        <v/>
      </c>
      <c r="Z1625" s="11"/>
    </row>
    <row r="1626">
      <c r="A1626" s="8"/>
      <c r="B1626" s="56" t="str">
        <f t="shared" si="2"/>
        <v/>
      </c>
      <c r="C1626" s="105"/>
      <c r="D1626" s="10"/>
      <c r="E1626" s="59" t="str">
        <f t="array" ref="E1626">IF(COUNTA(C1626:C1673)=0,"",SUM((COUNTIF(C$4:C1626,Upgrades!$B$3:$B$13)-COUNTIF(C$4:C1626,"Sell_"&amp;Upgrades!$B$3:$B$13))*Upgrades!$D$3:$D$13))</f>
        <v/>
      </c>
      <c r="F1626" s="66" t="str">
        <f>IFERROR(__xludf.DUMMYFUNCTION("IF(COUNTA(C1626:C1673)=0,"""",IF(REGEXMATCH(INDEX(FILTER(C$4:C1626,C$4:C1626&lt;&gt;""""),ROWS(FILTER(C$4:C1626,C$4:C1626&lt;&gt;""""))),""^Sell_""),INDEX(FILTER(F$4:F1625,C$4:C1625&lt;&gt;""""),ROWS(FILTER(C$4:C1625,C$4:C1625&lt;&gt;""""))),$AC$5+E1626))"),"")</f>
        <v/>
      </c>
      <c r="G1626" s="10" t="str">
        <f>IFERROR(__xludf.DUMMYFUNCTION("IF(COUNTA(C1626:C1673)=0,"""",IF(C1626="""",0,IF(REGEXMATCH(C1626,""^Sell_""),-ROUNDDOWN(ROUNDUP(INDEX(Upgrades!$C$3:$C$13,MATCH(SUBSTITUTE(C1626,""Sell_"",""""),Upgrades!$B$3:$B$13,0))*1.15^(COUNTIF(C$4:C1625,SUBSTITUTE(C1626,""Sell_"",""""))-COUNTIF(C$4"&amp;":C1625,""Sell_""&amp;SUBSTITUTE(C1626,""Sell_"",""""))))/2),ROUNDUP(INDEX(Upgrades!$C$3:$C$13,MATCH(C1626,Upgrades!$B$3:$B$13,0))*1.15^(COUNTIF(C$4:C1625,C1626)-COUNTIF(C$4:C1625,""Sell_""&amp;C1626))))))"),"")</f>
        <v/>
      </c>
      <c r="H1626" s="10" t="str">
        <f t="shared" si="3"/>
        <v/>
      </c>
      <c r="I1626" s="68" t="str">
        <f t="shared" si="4"/>
        <v/>
      </c>
      <c r="J1626" s="59" t="str">
        <f t="shared" si="5"/>
        <v/>
      </c>
      <c r="K1626" s="69" t="str">
        <f t="shared" si="6"/>
        <v/>
      </c>
      <c r="L1626" s="60" t="str">
        <f t="shared" si="7"/>
        <v/>
      </c>
      <c r="M1626" s="61" t="str">
        <f>IFERROR(__xludf.DUMMYFUNCTION("IFS(AND(COUNTA(C1626:C1673)=0,COUNTA(Q1626:Q1673)=0),"""",OR(AND(K1626&gt;=1000000000,OR(Y1626&gt;=1000000000,COUNTA(Q1626:Q1673)=0)),OR(Y1626&gt;=1000000000,AND(COUNTA(C1626:C1673)=0,P$3=TRUE))),
ROUNDDOWN((AB$1-AC$1)*MAX(INDEX(T$4:T1673,MATCH(LARGE(FILTER(Y$4:Y1"&amp;"673,Y$4:Y1673&lt;1000000000),1),Y$4:Y1673)),INDEX(F$4:F1673,MATCH(LARGE(FILTER(K$4:K1673,K$4:K1673&lt;1000000000),1),K$4:K1673)))),AND(K1626&lt;1000000000,COUNTA(C1626:C1673)&gt;0,P$3=FALSE),
ROUNDDOWN(INDEX(Y$4:Y1673,MATCH(LARGE(FILTER(W$4:W1673,W$4:W1673&lt;=I1626),1)"&amp;",W$4:W1673))+(I1626-LARGE(FILTER(W$4:W1673,W$4:W1673&lt;=I1626),1))*INDEX(T$4:T1673,MATCH(LARGE(FILTER(W$4:W1673,W$4:W1673&lt;=I1626),1),W$4:W1673))-K1626),1,
ROUNDDOWN(Y1626-INDEX(K$4:K1673,MATCH(LARGE(FILTER(I$4:I1673,I$4:I1673&lt;=W1626),1),I$4:I1673))-(W1626-L"&amp;"ARGE(FILTER(I$4:I1673,I$4:I1673&lt;=W1626),1))*INDEX(F$4:F1673,MATCH(LARGE(FILTER(I$4:I1673,I$4:I1673&lt;=W1626),1),I$4:I1673))))"),"")</f>
        <v/>
      </c>
      <c r="N1626" s="60" t="str">
        <f t="shared" si="8"/>
        <v/>
      </c>
      <c r="O1626" s="61" t="str">
        <f t="shared" si="9"/>
        <v/>
      </c>
      <c r="P1626" s="56" t="str">
        <f t="shared" si="10"/>
        <v/>
      </c>
      <c r="Q1626" s="57"/>
      <c r="R1626" s="10"/>
      <c r="S1626" s="59" t="str">
        <f t="array" ref="S1626">IF(COUNTA(Q1626:Q1673)=0,"",SUM((COUNTIF(Q$4:Q1626,Upgrades!$B$3:$B$13)-COUNTIF(Q$4:Q1626,"Sell_"&amp;Upgrades!$B$3:$B$13))*Upgrades!$D$3:$D$13))</f>
        <v/>
      </c>
      <c r="T1626" s="66" t="str">
        <f>IFERROR(__xludf.DUMMYFUNCTION("IF(COUNTA(Q1626:Q1673)=0,"""",IF(REGEXMATCH(INDEX(FILTER(Q$4:Q1626,Q$4:Q1626&lt;&gt;""""),ROWS(FILTER(Q$4:Q1626,Q$4:Q1626&lt;&gt;""""))),""^Sell_""),INDEX(FILTER(T$4:T1625,Q$4:Q1625&lt;&gt;""""),ROWS(FILTER(Q$4:Q1625,Q$4:Q1625&lt;&gt;""""))),$AD$5+S1626))"),"")</f>
        <v/>
      </c>
      <c r="U1626" s="10" t="str">
        <f>IFERROR(__xludf.DUMMYFUNCTION("IF(COUNTA(Q1626:Q1673)=0,"""",IF(Q1626="""",0,IF(REGEXMATCH(Q1626,""^Sell_""),-ROUNDDOWN(ROUNDUP(INDEX(Upgrades!$C$3:$C$13,MATCH(SUBSTITUTE(Q1626,""Sell_"",""""),Upgrades!$B$3:$B$13,0))*1.15^(COUNTIF(Q$4:Q1625,SUBSTITUTE(Q1626,""Sell_"",""""))-COUNTIF(Q$4"&amp;":Q1625,""Sell_""&amp;SUBSTITUTE(Q1626,""Sell_"",""""))))/2),ROUNDUP(INDEX(Upgrades!$C$3:$C$13,MATCH(Q1626,Upgrades!$B$3:$B$13,0))*1.15^(COUNTIF(Q$4:Q1625,Q1626)-COUNTIF(Q$4:Q1625,""Sell_""&amp;Q1626))))))"),"")</f>
        <v/>
      </c>
      <c r="V1626" s="10" t="str">
        <f t="shared" si="11"/>
        <v/>
      </c>
      <c r="W1626" s="68" t="str">
        <f t="shared" si="12"/>
        <v/>
      </c>
      <c r="X1626" s="59" t="str">
        <f t="shared" si="13"/>
        <v/>
      </c>
      <c r="Y1626" s="69" t="str">
        <f t="shared" si="14"/>
        <v/>
      </c>
      <c r="Z1626" s="11"/>
    </row>
    <row r="1627">
      <c r="A1627" s="8"/>
      <c r="B1627" s="56" t="str">
        <f t="shared" si="2"/>
        <v/>
      </c>
      <c r="C1627" s="105"/>
      <c r="D1627" s="10"/>
      <c r="E1627" s="59" t="str">
        <f t="array" ref="E1627">IF(COUNTA(C1627:C1673)=0,"",SUM((COUNTIF(C$4:C1627,Upgrades!$B$3:$B$13)-COUNTIF(C$4:C1627,"Sell_"&amp;Upgrades!$B$3:$B$13))*Upgrades!$D$3:$D$13))</f>
        <v/>
      </c>
      <c r="F1627" s="66" t="str">
        <f>IFERROR(__xludf.DUMMYFUNCTION("IF(COUNTA(C1627:C1673)=0,"""",IF(REGEXMATCH(INDEX(FILTER(C$4:C1627,C$4:C1627&lt;&gt;""""),ROWS(FILTER(C$4:C1627,C$4:C1627&lt;&gt;""""))),""^Sell_""),INDEX(FILTER(F$4:F1626,C$4:C1626&lt;&gt;""""),ROWS(FILTER(C$4:C1626,C$4:C1626&lt;&gt;""""))),$AC$5+E1627))"),"")</f>
        <v/>
      </c>
      <c r="G1627" s="10" t="str">
        <f>IFERROR(__xludf.DUMMYFUNCTION("IF(COUNTA(C1627:C1673)=0,"""",IF(C1627="""",0,IF(REGEXMATCH(C1627,""^Sell_""),-ROUNDDOWN(ROUNDUP(INDEX(Upgrades!$C$3:$C$13,MATCH(SUBSTITUTE(C1627,""Sell_"",""""),Upgrades!$B$3:$B$13,0))*1.15^(COUNTIF(C$4:C1626,SUBSTITUTE(C1627,""Sell_"",""""))-COUNTIF(C$4"&amp;":C1626,""Sell_""&amp;SUBSTITUTE(C1627,""Sell_"",""""))))/2),ROUNDUP(INDEX(Upgrades!$C$3:$C$13,MATCH(C1627,Upgrades!$B$3:$B$13,0))*1.15^(COUNTIF(C$4:C1626,C1627)-COUNTIF(C$4:C1626,""Sell_""&amp;C1627))))))"),"")</f>
        <v/>
      </c>
      <c r="H1627" s="10" t="str">
        <f t="shared" si="3"/>
        <v/>
      </c>
      <c r="I1627" s="68" t="str">
        <f t="shared" si="4"/>
        <v/>
      </c>
      <c r="J1627" s="59" t="str">
        <f t="shared" si="5"/>
        <v/>
      </c>
      <c r="K1627" s="69" t="str">
        <f t="shared" si="6"/>
        <v/>
      </c>
      <c r="L1627" s="60" t="str">
        <f t="shared" si="7"/>
        <v/>
      </c>
      <c r="M1627" s="61" t="str">
        <f>IFERROR(__xludf.DUMMYFUNCTION("IFS(AND(COUNTA(C1627:C1673)=0,COUNTA(Q1627:Q1673)=0),"""",OR(AND(K1627&gt;=1000000000,OR(Y1627&gt;=1000000000,COUNTA(Q1627:Q1673)=0)),OR(Y1627&gt;=1000000000,AND(COUNTA(C1627:C1673)=0,P$3=TRUE))),
ROUNDDOWN((AB$1-AC$1)*MAX(INDEX(T$4:T1673,MATCH(LARGE(FILTER(Y$4:Y1"&amp;"673,Y$4:Y1673&lt;1000000000),1),Y$4:Y1673)),INDEX(F$4:F1673,MATCH(LARGE(FILTER(K$4:K1673,K$4:K1673&lt;1000000000),1),K$4:K1673)))),AND(K1627&lt;1000000000,COUNTA(C1627:C1673)&gt;0,P$3=FALSE),
ROUNDDOWN(INDEX(Y$4:Y1673,MATCH(LARGE(FILTER(W$4:W1673,W$4:W1673&lt;=I1627),1)"&amp;",W$4:W1673))+(I1627-LARGE(FILTER(W$4:W1673,W$4:W1673&lt;=I1627),1))*INDEX(T$4:T1673,MATCH(LARGE(FILTER(W$4:W1673,W$4:W1673&lt;=I1627),1),W$4:W1673))-K1627),1,
ROUNDDOWN(Y1627-INDEX(K$4:K1673,MATCH(LARGE(FILTER(I$4:I1673,I$4:I1673&lt;=W1627),1),I$4:I1673))-(W1627-L"&amp;"ARGE(FILTER(I$4:I1673,I$4:I1673&lt;=W1627),1))*INDEX(F$4:F1673,MATCH(LARGE(FILTER(I$4:I1673,I$4:I1673&lt;=W1627),1),I$4:I1673))))"),"")</f>
        <v/>
      </c>
      <c r="N1627" s="60" t="str">
        <f t="shared" si="8"/>
        <v/>
      </c>
      <c r="O1627" s="61" t="str">
        <f t="shared" si="9"/>
        <v/>
      </c>
      <c r="P1627" s="56" t="str">
        <f t="shared" si="10"/>
        <v/>
      </c>
      <c r="Q1627" s="57"/>
      <c r="R1627" s="10"/>
      <c r="S1627" s="59" t="str">
        <f t="array" ref="S1627">IF(COUNTA(Q1627:Q1673)=0,"",SUM((COUNTIF(Q$4:Q1627,Upgrades!$B$3:$B$13)-COUNTIF(Q$4:Q1627,"Sell_"&amp;Upgrades!$B$3:$B$13))*Upgrades!$D$3:$D$13))</f>
        <v/>
      </c>
      <c r="T1627" s="66" t="str">
        <f>IFERROR(__xludf.DUMMYFUNCTION("IF(COUNTA(Q1627:Q1673)=0,"""",IF(REGEXMATCH(INDEX(FILTER(Q$4:Q1627,Q$4:Q1627&lt;&gt;""""),ROWS(FILTER(Q$4:Q1627,Q$4:Q1627&lt;&gt;""""))),""^Sell_""),INDEX(FILTER(T$4:T1626,Q$4:Q1626&lt;&gt;""""),ROWS(FILTER(Q$4:Q1626,Q$4:Q1626&lt;&gt;""""))),$AD$5+S1627))"),"")</f>
        <v/>
      </c>
      <c r="U1627" s="10" t="str">
        <f>IFERROR(__xludf.DUMMYFUNCTION("IF(COUNTA(Q1627:Q1673)=0,"""",IF(Q1627="""",0,IF(REGEXMATCH(Q1627,""^Sell_""),-ROUNDDOWN(ROUNDUP(INDEX(Upgrades!$C$3:$C$13,MATCH(SUBSTITUTE(Q1627,""Sell_"",""""),Upgrades!$B$3:$B$13,0))*1.15^(COUNTIF(Q$4:Q1626,SUBSTITUTE(Q1627,""Sell_"",""""))-COUNTIF(Q$4"&amp;":Q1626,""Sell_""&amp;SUBSTITUTE(Q1627,""Sell_"",""""))))/2),ROUNDUP(INDEX(Upgrades!$C$3:$C$13,MATCH(Q1627,Upgrades!$B$3:$B$13,0))*1.15^(COUNTIF(Q$4:Q1626,Q1627)-COUNTIF(Q$4:Q1626,""Sell_""&amp;Q1627))))))"),"")</f>
        <v/>
      </c>
      <c r="V1627" s="10" t="str">
        <f t="shared" si="11"/>
        <v/>
      </c>
      <c r="W1627" s="68" t="str">
        <f t="shared" si="12"/>
        <v/>
      </c>
      <c r="X1627" s="59" t="str">
        <f t="shared" si="13"/>
        <v/>
      </c>
      <c r="Y1627" s="69" t="str">
        <f t="shared" si="14"/>
        <v/>
      </c>
      <c r="Z1627" s="11"/>
    </row>
    <row r="1628">
      <c r="A1628" s="8"/>
      <c r="B1628" s="56" t="str">
        <f t="shared" si="2"/>
        <v/>
      </c>
      <c r="C1628" s="105"/>
      <c r="D1628" s="10"/>
      <c r="E1628" s="59" t="str">
        <f t="array" ref="E1628">IF(COUNTA(C1628:C1673)=0,"",SUM((COUNTIF(C$4:C1628,Upgrades!$B$3:$B$13)-COUNTIF(C$4:C1628,"Sell_"&amp;Upgrades!$B$3:$B$13))*Upgrades!$D$3:$D$13))</f>
        <v/>
      </c>
      <c r="F1628" s="66" t="str">
        <f>IFERROR(__xludf.DUMMYFUNCTION("IF(COUNTA(C1628:C1673)=0,"""",IF(REGEXMATCH(INDEX(FILTER(C$4:C1628,C$4:C1628&lt;&gt;""""),ROWS(FILTER(C$4:C1628,C$4:C1628&lt;&gt;""""))),""^Sell_""),INDEX(FILTER(F$4:F1627,C$4:C1627&lt;&gt;""""),ROWS(FILTER(C$4:C1627,C$4:C1627&lt;&gt;""""))),$AC$5+E1628))"),"")</f>
        <v/>
      </c>
      <c r="G1628" s="10" t="str">
        <f>IFERROR(__xludf.DUMMYFUNCTION("IF(COUNTA(C1628:C1673)=0,"""",IF(C1628="""",0,IF(REGEXMATCH(C1628,""^Sell_""),-ROUNDDOWN(ROUNDUP(INDEX(Upgrades!$C$3:$C$13,MATCH(SUBSTITUTE(C1628,""Sell_"",""""),Upgrades!$B$3:$B$13,0))*1.15^(COUNTIF(C$4:C1627,SUBSTITUTE(C1628,""Sell_"",""""))-COUNTIF(C$4"&amp;":C1627,""Sell_""&amp;SUBSTITUTE(C1628,""Sell_"",""""))))/2),ROUNDUP(INDEX(Upgrades!$C$3:$C$13,MATCH(C1628,Upgrades!$B$3:$B$13,0))*1.15^(COUNTIF(C$4:C1627,C1628)-COUNTIF(C$4:C1627,""Sell_""&amp;C1628))))))"),"")</f>
        <v/>
      </c>
      <c r="H1628" s="10" t="str">
        <f t="shared" si="3"/>
        <v/>
      </c>
      <c r="I1628" s="68" t="str">
        <f t="shared" si="4"/>
        <v/>
      </c>
      <c r="J1628" s="59" t="str">
        <f t="shared" si="5"/>
        <v/>
      </c>
      <c r="K1628" s="69" t="str">
        <f t="shared" si="6"/>
        <v/>
      </c>
      <c r="L1628" s="60" t="str">
        <f t="shared" si="7"/>
        <v/>
      </c>
      <c r="M1628" s="61" t="str">
        <f>IFERROR(__xludf.DUMMYFUNCTION("IFS(AND(COUNTA(C1628:C1673)=0,COUNTA(Q1628:Q1673)=0),"""",OR(AND(K1628&gt;=1000000000,OR(Y1628&gt;=1000000000,COUNTA(Q1628:Q1673)=0)),OR(Y1628&gt;=1000000000,AND(COUNTA(C1628:C1673)=0,P$3=TRUE))),
ROUNDDOWN((AB$1-AC$1)*MAX(INDEX(T$4:T1673,MATCH(LARGE(FILTER(Y$4:Y1"&amp;"673,Y$4:Y1673&lt;1000000000),1),Y$4:Y1673)),INDEX(F$4:F1673,MATCH(LARGE(FILTER(K$4:K1673,K$4:K1673&lt;1000000000),1),K$4:K1673)))),AND(K1628&lt;1000000000,COUNTA(C1628:C1673)&gt;0,P$3=FALSE),
ROUNDDOWN(INDEX(Y$4:Y1673,MATCH(LARGE(FILTER(W$4:W1673,W$4:W1673&lt;=I1628),1)"&amp;",W$4:W1673))+(I1628-LARGE(FILTER(W$4:W1673,W$4:W1673&lt;=I1628),1))*INDEX(T$4:T1673,MATCH(LARGE(FILTER(W$4:W1673,W$4:W1673&lt;=I1628),1),W$4:W1673))-K1628),1,
ROUNDDOWN(Y1628-INDEX(K$4:K1673,MATCH(LARGE(FILTER(I$4:I1673,I$4:I1673&lt;=W1628),1),I$4:I1673))-(W1628-L"&amp;"ARGE(FILTER(I$4:I1673,I$4:I1673&lt;=W1628),1))*INDEX(F$4:F1673,MATCH(LARGE(FILTER(I$4:I1673,I$4:I1673&lt;=W1628),1),I$4:I1673))))"),"")</f>
        <v/>
      </c>
      <c r="N1628" s="60" t="str">
        <f t="shared" si="8"/>
        <v/>
      </c>
      <c r="O1628" s="61" t="str">
        <f t="shared" si="9"/>
        <v/>
      </c>
      <c r="P1628" s="56" t="str">
        <f t="shared" si="10"/>
        <v/>
      </c>
      <c r="Q1628" s="57"/>
      <c r="R1628" s="10"/>
      <c r="S1628" s="59" t="str">
        <f t="array" ref="S1628">IF(COUNTA(Q1628:Q1673)=0,"",SUM((COUNTIF(Q$4:Q1628,Upgrades!$B$3:$B$13)-COUNTIF(Q$4:Q1628,"Sell_"&amp;Upgrades!$B$3:$B$13))*Upgrades!$D$3:$D$13))</f>
        <v/>
      </c>
      <c r="T1628" s="66" t="str">
        <f>IFERROR(__xludf.DUMMYFUNCTION("IF(COUNTA(Q1628:Q1673)=0,"""",IF(REGEXMATCH(INDEX(FILTER(Q$4:Q1628,Q$4:Q1628&lt;&gt;""""),ROWS(FILTER(Q$4:Q1628,Q$4:Q1628&lt;&gt;""""))),""^Sell_""),INDEX(FILTER(T$4:T1627,Q$4:Q1627&lt;&gt;""""),ROWS(FILTER(Q$4:Q1627,Q$4:Q1627&lt;&gt;""""))),$AD$5+S1628))"),"")</f>
        <v/>
      </c>
      <c r="U1628" s="10" t="str">
        <f>IFERROR(__xludf.DUMMYFUNCTION("IF(COUNTA(Q1628:Q1673)=0,"""",IF(Q1628="""",0,IF(REGEXMATCH(Q1628,""^Sell_""),-ROUNDDOWN(ROUNDUP(INDEX(Upgrades!$C$3:$C$13,MATCH(SUBSTITUTE(Q1628,""Sell_"",""""),Upgrades!$B$3:$B$13,0))*1.15^(COUNTIF(Q$4:Q1627,SUBSTITUTE(Q1628,""Sell_"",""""))-COUNTIF(Q$4"&amp;":Q1627,""Sell_""&amp;SUBSTITUTE(Q1628,""Sell_"",""""))))/2),ROUNDUP(INDEX(Upgrades!$C$3:$C$13,MATCH(Q1628,Upgrades!$B$3:$B$13,0))*1.15^(COUNTIF(Q$4:Q1627,Q1628)-COUNTIF(Q$4:Q1627,""Sell_""&amp;Q1628))))))"),"")</f>
        <v/>
      </c>
      <c r="V1628" s="10" t="str">
        <f t="shared" si="11"/>
        <v/>
      </c>
      <c r="W1628" s="68" t="str">
        <f t="shared" si="12"/>
        <v/>
      </c>
      <c r="X1628" s="59" t="str">
        <f t="shared" si="13"/>
        <v/>
      </c>
      <c r="Y1628" s="69" t="str">
        <f t="shared" si="14"/>
        <v/>
      </c>
      <c r="Z1628" s="11"/>
    </row>
    <row r="1629">
      <c r="A1629" s="8"/>
      <c r="B1629" s="56" t="str">
        <f t="shared" si="2"/>
        <v/>
      </c>
      <c r="C1629" s="105"/>
      <c r="D1629" s="10"/>
      <c r="E1629" s="59" t="str">
        <f t="array" ref="E1629">IF(COUNTA(C1629:C1673)=0,"",SUM((COUNTIF(C$4:C1629,Upgrades!$B$3:$B$13)-COUNTIF(C$4:C1629,"Sell_"&amp;Upgrades!$B$3:$B$13))*Upgrades!$D$3:$D$13))</f>
        <v/>
      </c>
      <c r="F1629" s="66" t="str">
        <f>IFERROR(__xludf.DUMMYFUNCTION("IF(COUNTA(C1629:C1673)=0,"""",IF(REGEXMATCH(INDEX(FILTER(C$4:C1629,C$4:C1629&lt;&gt;""""),ROWS(FILTER(C$4:C1629,C$4:C1629&lt;&gt;""""))),""^Sell_""),INDEX(FILTER(F$4:F1628,C$4:C1628&lt;&gt;""""),ROWS(FILTER(C$4:C1628,C$4:C1628&lt;&gt;""""))),$AC$5+E1629))"),"")</f>
        <v/>
      </c>
      <c r="G1629" s="10" t="str">
        <f>IFERROR(__xludf.DUMMYFUNCTION("IF(COUNTA(C1629:C1673)=0,"""",IF(C1629="""",0,IF(REGEXMATCH(C1629,""^Sell_""),-ROUNDDOWN(ROUNDUP(INDEX(Upgrades!$C$3:$C$13,MATCH(SUBSTITUTE(C1629,""Sell_"",""""),Upgrades!$B$3:$B$13,0))*1.15^(COUNTIF(C$4:C1628,SUBSTITUTE(C1629,""Sell_"",""""))-COUNTIF(C$4"&amp;":C1628,""Sell_""&amp;SUBSTITUTE(C1629,""Sell_"",""""))))/2),ROUNDUP(INDEX(Upgrades!$C$3:$C$13,MATCH(C1629,Upgrades!$B$3:$B$13,0))*1.15^(COUNTIF(C$4:C1628,C1629)-COUNTIF(C$4:C1628,""Sell_""&amp;C1629))))))"),"")</f>
        <v/>
      </c>
      <c r="H1629" s="10" t="str">
        <f t="shared" si="3"/>
        <v/>
      </c>
      <c r="I1629" s="68" t="str">
        <f t="shared" si="4"/>
        <v/>
      </c>
      <c r="J1629" s="59" t="str">
        <f t="shared" si="5"/>
        <v/>
      </c>
      <c r="K1629" s="69" t="str">
        <f t="shared" si="6"/>
        <v/>
      </c>
      <c r="L1629" s="60" t="str">
        <f t="shared" si="7"/>
        <v/>
      </c>
      <c r="M1629" s="61" t="str">
        <f>IFERROR(__xludf.DUMMYFUNCTION("IFS(AND(COUNTA(C1629:C1673)=0,COUNTA(Q1629:Q1673)=0),"""",OR(AND(K1629&gt;=1000000000,OR(Y1629&gt;=1000000000,COUNTA(Q1629:Q1673)=0)),OR(Y1629&gt;=1000000000,AND(COUNTA(C1629:C1673)=0,P$3=TRUE))),
ROUNDDOWN((AB$1-AC$1)*MAX(INDEX(T$4:T1673,MATCH(LARGE(FILTER(Y$4:Y1"&amp;"673,Y$4:Y1673&lt;1000000000),1),Y$4:Y1673)),INDEX(F$4:F1673,MATCH(LARGE(FILTER(K$4:K1673,K$4:K1673&lt;1000000000),1),K$4:K1673)))),AND(K1629&lt;1000000000,COUNTA(C1629:C1673)&gt;0,P$3=FALSE),
ROUNDDOWN(INDEX(Y$4:Y1673,MATCH(LARGE(FILTER(W$4:W1673,W$4:W1673&lt;=I1629),1)"&amp;",W$4:W1673))+(I1629-LARGE(FILTER(W$4:W1673,W$4:W1673&lt;=I1629),1))*INDEX(T$4:T1673,MATCH(LARGE(FILTER(W$4:W1673,W$4:W1673&lt;=I1629),1),W$4:W1673))-K1629),1,
ROUNDDOWN(Y1629-INDEX(K$4:K1673,MATCH(LARGE(FILTER(I$4:I1673,I$4:I1673&lt;=W1629),1),I$4:I1673))-(W1629-L"&amp;"ARGE(FILTER(I$4:I1673,I$4:I1673&lt;=W1629),1))*INDEX(F$4:F1673,MATCH(LARGE(FILTER(I$4:I1673,I$4:I1673&lt;=W1629),1),I$4:I1673))))"),"")</f>
        <v/>
      </c>
      <c r="N1629" s="60" t="str">
        <f t="shared" si="8"/>
        <v/>
      </c>
      <c r="O1629" s="61" t="str">
        <f t="shared" si="9"/>
        <v/>
      </c>
      <c r="P1629" s="56" t="str">
        <f t="shared" si="10"/>
        <v/>
      </c>
      <c r="Q1629" s="57"/>
      <c r="R1629" s="10"/>
      <c r="S1629" s="59" t="str">
        <f t="array" ref="S1629">IF(COUNTA(Q1629:Q1673)=0,"",SUM((COUNTIF(Q$4:Q1629,Upgrades!$B$3:$B$13)-COUNTIF(Q$4:Q1629,"Sell_"&amp;Upgrades!$B$3:$B$13))*Upgrades!$D$3:$D$13))</f>
        <v/>
      </c>
      <c r="T1629" s="66" t="str">
        <f>IFERROR(__xludf.DUMMYFUNCTION("IF(COUNTA(Q1629:Q1673)=0,"""",IF(REGEXMATCH(INDEX(FILTER(Q$4:Q1629,Q$4:Q1629&lt;&gt;""""),ROWS(FILTER(Q$4:Q1629,Q$4:Q1629&lt;&gt;""""))),""^Sell_""),INDEX(FILTER(T$4:T1628,Q$4:Q1628&lt;&gt;""""),ROWS(FILTER(Q$4:Q1628,Q$4:Q1628&lt;&gt;""""))),$AD$5+S1629))"),"")</f>
        <v/>
      </c>
      <c r="U1629" s="10" t="str">
        <f>IFERROR(__xludf.DUMMYFUNCTION("IF(COUNTA(Q1629:Q1673)=0,"""",IF(Q1629="""",0,IF(REGEXMATCH(Q1629,""^Sell_""),-ROUNDDOWN(ROUNDUP(INDEX(Upgrades!$C$3:$C$13,MATCH(SUBSTITUTE(Q1629,""Sell_"",""""),Upgrades!$B$3:$B$13,0))*1.15^(COUNTIF(Q$4:Q1628,SUBSTITUTE(Q1629,""Sell_"",""""))-COUNTIF(Q$4"&amp;":Q1628,""Sell_""&amp;SUBSTITUTE(Q1629,""Sell_"",""""))))/2),ROUNDUP(INDEX(Upgrades!$C$3:$C$13,MATCH(Q1629,Upgrades!$B$3:$B$13,0))*1.15^(COUNTIF(Q$4:Q1628,Q1629)-COUNTIF(Q$4:Q1628,""Sell_""&amp;Q1629))))))"),"")</f>
        <v/>
      </c>
      <c r="V1629" s="10" t="str">
        <f t="shared" si="11"/>
        <v/>
      </c>
      <c r="W1629" s="68" t="str">
        <f t="shared" si="12"/>
        <v/>
      </c>
      <c r="X1629" s="59" t="str">
        <f t="shared" si="13"/>
        <v/>
      </c>
      <c r="Y1629" s="69" t="str">
        <f t="shared" si="14"/>
        <v/>
      </c>
      <c r="Z1629" s="11"/>
    </row>
    <row r="1630">
      <c r="A1630" s="8"/>
      <c r="B1630" s="56" t="str">
        <f t="shared" si="2"/>
        <v/>
      </c>
      <c r="C1630" s="105"/>
      <c r="D1630" s="10"/>
      <c r="E1630" s="59" t="str">
        <f t="array" ref="E1630">IF(COUNTA(C1630:C1673)=0,"",SUM((COUNTIF(C$4:C1630,Upgrades!$B$3:$B$13)-COUNTIF(C$4:C1630,"Sell_"&amp;Upgrades!$B$3:$B$13))*Upgrades!$D$3:$D$13))</f>
        <v/>
      </c>
      <c r="F1630" s="66" t="str">
        <f>IFERROR(__xludf.DUMMYFUNCTION("IF(COUNTA(C1630:C1673)=0,"""",IF(REGEXMATCH(INDEX(FILTER(C$4:C1630,C$4:C1630&lt;&gt;""""),ROWS(FILTER(C$4:C1630,C$4:C1630&lt;&gt;""""))),""^Sell_""),INDEX(FILTER(F$4:F1629,C$4:C1629&lt;&gt;""""),ROWS(FILTER(C$4:C1629,C$4:C1629&lt;&gt;""""))),$AC$5+E1630))"),"")</f>
        <v/>
      </c>
      <c r="G1630" s="10" t="str">
        <f>IFERROR(__xludf.DUMMYFUNCTION("IF(COUNTA(C1630:C1673)=0,"""",IF(C1630="""",0,IF(REGEXMATCH(C1630,""^Sell_""),-ROUNDDOWN(ROUNDUP(INDEX(Upgrades!$C$3:$C$13,MATCH(SUBSTITUTE(C1630,""Sell_"",""""),Upgrades!$B$3:$B$13,0))*1.15^(COUNTIF(C$4:C1629,SUBSTITUTE(C1630,""Sell_"",""""))-COUNTIF(C$4"&amp;":C1629,""Sell_""&amp;SUBSTITUTE(C1630,""Sell_"",""""))))/2),ROUNDUP(INDEX(Upgrades!$C$3:$C$13,MATCH(C1630,Upgrades!$B$3:$B$13,0))*1.15^(COUNTIF(C$4:C1629,C1630)-COUNTIF(C$4:C1629,""Sell_""&amp;C1630))))))"),"")</f>
        <v/>
      </c>
      <c r="H1630" s="10" t="str">
        <f t="shared" si="3"/>
        <v/>
      </c>
      <c r="I1630" s="68" t="str">
        <f t="shared" si="4"/>
        <v/>
      </c>
      <c r="J1630" s="59" t="str">
        <f t="shared" si="5"/>
        <v/>
      </c>
      <c r="K1630" s="69" t="str">
        <f t="shared" si="6"/>
        <v/>
      </c>
      <c r="L1630" s="60" t="str">
        <f t="shared" si="7"/>
        <v/>
      </c>
      <c r="M1630" s="61" t="str">
        <f>IFERROR(__xludf.DUMMYFUNCTION("IFS(AND(COUNTA(C1630:C1673)=0,COUNTA(Q1630:Q1673)=0),"""",OR(AND(K1630&gt;=1000000000,OR(Y1630&gt;=1000000000,COUNTA(Q1630:Q1673)=0)),OR(Y1630&gt;=1000000000,AND(COUNTA(C1630:C1673)=0,P$3=TRUE))),
ROUNDDOWN((AB$1-AC$1)*MAX(INDEX(T$4:T1673,MATCH(LARGE(FILTER(Y$4:Y1"&amp;"673,Y$4:Y1673&lt;1000000000),1),Y$4:Y1673)),INDEX(F$4:F1673,MATCH(LARGE(FILTER(K$4:K1673,K$4:K1673&lt;1000000000),1),K$4:K1673)))),AND(K1630&lt;1000000000,COUNTA(C1630:C1673)&gt;0,P$3=FALSE),
ROUNDDOWN(INDEX(Y$4:Y1673,MATCH(LARGE(FILTER(W$4:W1673,W$4:W1673&lt;=I1630),1)"&amp;",W$4:W1673))+(I1630-LARGE(FILTER(W$4:W1673,W$4:W1673&lt;=I1630),1))*INDEX(T$4:T1673,MATCH(LARGE(FILTER(W$4:W1673,W$4:W1673&lt;=I1630),1),W$4:W1673))-K1630),1,
ROUNDDOWN(Y1630-INDEX(K$4:K1673,MATCH(LARGE(FILTER(I$4:I1673,I$4:I1673&lt;=W1630),1),I$4:I1673))-(W1630-L"&amp;"ARGE(FILTER(I$4:I1673,I$4:I1673&lt;=W1630),1))*INDEX(F$4:F1673,MATCH(LARGE(FILTER(I$4:I1673,I$4:I1673&lt;=W1630),1),I$4:I1673))))"),"")</f>
        <v/>
      </c>
      <c r="N1630" s="60" t="str">
        <f t="shared" si="8"/>
        <v/>
      </c>
      <c r="O1630" s="61" t="str">
        <f t="shared" si="9"/>
        <v/>
      </c>
      <c r="P1630" s="56" t="str">
        <f t="shared" si="10"/>
        <v/>
      </c>
      <c r="Q1630" s="57"/>
      <c r="R1630" s="10"/>
      <c r="S1630" s="59" t="str">
        <f t="array" ref="S1630">IF(COUNTA(Q1630:Q1673)=0,"",SUM((COUNTIF(Q$4:Q1630,Upgrades!$B$3:$B$13)-COUNTIF(Q$4:Q1630,"Sell_"&amp;Upgrades!$B$3:$B$13))*Upgrades!$D$3:$D$13))</f>
        <v/>
      </c>
      <c r="T1630" s="66" t="str">
        <f>IFERROR(__xludf.DUMMYFUNCTION("IF(COUNTA(Q1630:Q1673)=0,"""",IF(REGEXMATCH(INDEX(FILTER(Q$4:Q1630,Q$4:Q1630&lt;&gt;""""),ROWS(FILTER(Q$4:Q1630,Q$4:Q1630&lt;&gt;""""))),""^Sell_""),INDEX(FILTER(T$4:T1629,Q$4:Q1629&lt;&gt;""""),ROWS(FILTER(Q$4:Q1629,Q$4:Q1629&lt;&gt;""""))),$AD$5+S1630))"),"")</f>
        <v/>
      </c>
      <c r="U1630" s="10" t="str">
        <f>IFERROR(__xludf.DUMMYFUNCTION("IF(COUNTA(Q1630:Q1673)=0,"""",IF(Q1630="""",0,IF(REGEXMATCH(Q1630,""^Sell_""),-ROUNDDOWN(ROUNDUP(INDEX(Upgrades!$C$3:$C$13,MATCH(SUBSTITUTE(Q1630,""Sell_"",""""),Upgrades!$B$3:$B$13,0))*1.15^(COUNTIF(Q$4:Q1629,SUBSTITUTE(Q1630,""Sell_"",""""))-COUNTIF(Q$4"&amp;":Q1629,""Sell_""&amp;SUBSTITUTE(Q1630,""Sell_"",""""))))/2),ROUNDUP(INDEX(Upgrades!$C$3:$C$13,MATCH(Q1630,Upgrades!$B$3:$B$13,0))*1.15^(COUNTIF(Q$4:Q1629,Q1630)-COUNTIF(Q$4:Q1629,""Sell_""&amp;Q1630))))))"),"")</f>
        <v/>
      </c>
      <c r="V1630" s="10" t="str">
        <f t="shared" si="11"/>
        <v/>
      </c>
      <c r="W1630" s="68" t="str">
        <f t="shared" si="12"/>
        <v/>
      </c>
      <c r="X1630" s="59" t="str">
        <f t="shared" si="13"/>
        <v/>
      </c>
      <c r="Y1630" s="69" t="str">
        <f t="shared" si="14"/>
        <v/>
      </c>
      <c r="Z1630" s="11"/>
    </row>
    <row r="1631">
      <c r="A1631" s="8"/>
      <c r="B1631" s="56" t="str">
        <f t="shared" si="2"/>
        <v/>
      </c>
      <c r="C1631" s="105"/>
      <c r="D1631" s="10"/>
      <c r="E1631" s="59" t="str">
        <f t="array" ref="E1631">IF(COUNTA(C1631:C1673)=0,"",SUM((COUNTIF(C$4:C1631,Upgrades!$B$3:$B$13)-COUNTIF(C$4:C1631,"Sell_"&amp;Upgrades!$B$3:$B$13))*Upgrades!$D$3:$D$13))</f>
        <v/>
      </c>
      <c r="F1631" s="66" t="str">
        <f>IFERROR(__xludf.DUMMYFUNCTION("IF(COUNTA(C1631:C1673)=0,"""",IF(REGEXMATCH(INDEX(FILTER(C$4:C1631,C$4:C1631&lt;&gt;""""),ROWS(FILTER(C$4:C1631,C$4:C1631&lt;&gt;""""))),""^Sell_""),INDEX(FILTER(F$4:F1630,C$4:C1630&lt;&gt;""""),ROWS(FILTER(C$4:C1630,C$4:C1630&lt;&gt;""""))),$AC$5+E1631))"),"")</f>
        <v/>
      </c>
      <c r="G1631" s="10" t="str">
        <f>IFERROR(__xludf.DUMMYFUNCTION("IF(COUNTA(C1631:C1673)=0,"""",IF(C1631="""",0,IF(REGEXMATCH(C1631,""^Sell_""),-ROUNDDOWN(ROUNDUP(INDEX(Upgrades!$C$3:$C$13,MATCH(SUBSTITUTE(C1631,""Sell_"",""""),Upgrades!$B$3:$B$13,0))*1.15^(COUNTIF(C$4:C1630,SUBSTITUTE(C1631,""Sell_"",""""))-COUNTIF(C$4"&amp;":C1630,""Sell_""&amp;SUBSTITUTE(C1631,""Sell_"",""""))))/2),ROUNDUP(INDEX(Upgrades!$C$3:$C$13,MATCH(C1631,Upgrades!$B$3:$B$13,0))*1.15^(COUNTIF(C$4:C1630,C1631)-COUNTIF(C$4:C1630,""Sell_""&amp;C1631))))))"),"")</f>
        <v/>
      </c>
      <c r="H1631" s="10" t="str">
        <f t="shared" si="3"/>
        <v/>
      </c>
      <c r="I1631" s="68" t="str">
        <f t="shared" si="4"/>
        <v/>
      </c>
      <c r="J1631" s="59" t="str">
        <f t="shared" si="5"/>
        <v/>
      </c>
      <c r="K1631" s="69" t="str">
        <f t="shared" si="6"/>
        <v/>
      </c>
      <c r="L1631" s="60" t="str">
        <f t="shared" si="7"/>
        <v/>
      </c>
      <c r="M1631" s="61" t="str">
        <f>IFERROR(__xludf.DUMMYFUNCTION("IFS(AND(COUNTA(C1631:C1673)=0,COUNTA(Q1631:Q1673)=0),"""",OR(AND(K1631&gt;=1000000000,OR(Y1631&gt;=1000000000,COUNTA(Q1631:Q1673)=0)),OR(Y1631&gt;=1000000000,AND(COUNTA(C1631:C1673)=0,P$3=TRUE))),
ROUNDDOWN((AB$1-AC$1)*MAX(INDEX(T$4:T1673,MATCH(LARGE(FILTER(Y$4:Y1"&amp;"673,Y$4:Y1673&lt;1000000000),1),Y$4:Y1673)),INDEX(F$4:F1673,MATCH(LARGE(FILTER(K$4:K1673,K$4:K1673&lt;1000000000),1),K$4:K1673)))),AND(K1631&lt;1000000000,COUNTA(C1631:C1673)&gt;0,P$3=FALSE),
ROUNDDOWN(INDEX(Y$4:Y1673,MATCH(LARGE(FILTER(W$4:W1673,W$4:W1673&lt;=I1631),1)"&amp;",W$4:W1673))+(I1631-LARGE(FILTER(W$4:W1673,W$4:W1673&lt;=I1631),1))*INDEX(T$4:T1673,MATCH(LARGE(FILTER(W$4:W1673,W$4:W1673&lt;=I1631),1),W$4:W1673))-K1631),1,
ROUNDDOWN(Y1631-INDEX(K$4:K1673,MATCH(LARGE(FILTER(I$4:I1673,I$4:I1673&lt;=W1631),1),I$4:I1673))-(W1631-L"&amp;"ARGE(FILTER(I$4:I1673,I$4:I1673&lt;=W1631),1))*INDEX(F$4:F1673,MATCH(LARGE(FILTER(I$4:I1673,I$4:I1673&lt;=W1631),1),I$4:I1673))))"),"")</f>
        <v/>
      </c>
      <c r="N1631" s="60" t="str">
        <f t="shared" si="8"/>
        <v/>
      </c>
      <c r="O1631" s="61" t="str">
        <f t="shared" si="9"/>
        <v/>
      </c>
      <c r="P1631" s="56" t="str">
        <f t="shared" si="10"/>
        <v/>
      </c>
      <c r="Q1631" s="57"/>
      <c r="R1631" s="10"/>
      <c r="S1631" s="59" t="str">
        <f t="array" ref="S1631">IF(COUNTA(Q1631:Q1673)=0,"",SUM((COUNTIF(Q$4:Q1631,Upgrades!$B$3:$B$13)-COUNTIF(Q$4:Q1631,"Sell_"&amp;Upgrades!$B$3:$B$13))*Upgrades!$D$3:$D$13))</f>
        <v/>
      </c>
      <c r="T1631" s="66" t="str">
        <f>IFERROR(__xludf.DUMMYFUNCTION("IF(COUNTA(Q1631:Q1673)=0,"""",IF(REGEXMATCH(INDEX(FILTER(Q$4:Q1631,Q$4:Q1631&lt;&gt;""""),ROWS(FILTER(Q$4:Q1631,Q$4:Q1631&lt;&gt;""""))),""^Sell_""),INDEX(FILTER(T$4:T1630,Q$4:Q1630&lt;&gt;""""),ROWS(FILTER(Q$4:Q1630,Q$4:Q1630&lt;&gt;""""))),$AD$5+S1631))"),"")</f>
        <v/>
      </c>
      <c r="U1631" s="10" t="str">
        <f>IFERROR(__xludf.DUMMYFUNCTION("IF(COUNTA(Q1631:Q1673)=0,"""",IF(Q1631="""",0,IF(REGEXMATCH(Q1631,""^Sell_""),-ROUNDDOWN(ROUNDUP(INDEX(Upgrades!$C$3:$C$13,MATCH(SUBSTITUTE(Q1631,""Sell_"",""""),Upgrades!$B$3:$B$13,0))*1.15^(COUNTIF(Q$4:Q1630,SUBSTITUTE(Q1631,""Sell_"",""""))-COUNTIF(Q$4"&amp;":Q1630,""Sell_""&amp;SUBSTITUTE(Q1631,""Sell_"",""""))))/2),ROUNDUP(INDEX(Upgrades!$C$3:$C$13,MATCH(Q1631,Upgrades!$B$3:$B$13,0))*1.15^(COUNTIF(Q$4:Q1630,Q1631)-COUNTIF(Q$4:Q1630,""Sell_""&amp;Q1631))))))"),"")</f>
        <v/>
      </c>
      <c r="V1631" s="10" t="str">
        <f t="shared" si="11"/>
        <v/>
      </c>
      <c r="W1631" s="68" t="str">
        <f t="shared" si="12"/>
        <v/>
      </c>
      <c r="X1631" s="59" t="str">
        <f t="shared" si="13"/>
        <v/>
      </c>
      <c r="Y1631" s="69" t="str">
        <f t="shared" si="14"/>
        <v/>
      </c>
      <c r="Z1631" s="11"/>
    </row>
    <row r="1632">
      <c r="A1632" s="8"/>
      <c r="B1632" s="56" t="str">
        <f t="shared" si="2"/>
        <v/>
      </c>
      <c r="C1632" s="105"/>
      <c r="D1632" s="10"/>
      <c r="E1632" s="59" t="str">
        <f t="array" ref="E1632">IF(COUNTA(C1632:C1673)=0,"",SUM((COUNTIF(C$4:C1632,Upgrades!$B$3:$B$13)-COUNTIF(C$4:C1632,"Sell_"&amp;Upgrades!$B$3:$B$13))*Upgrades!$D$3:$D$13))</f>
        <v/>
      </c>
      <c r="F1632" s="66" t="str">
        <f>IFERROR(__xludf.DUMMYFUNCTION("IF(COUNTA(C1632:C1673)=0,"""",IF(REGEXMATCH(INDEX(FILTER(C$4:C1632,C$4:C1632&lt;&gt;""""),ROWS(FILTER(C$4:C1632,C$4:C1632&lt;&gt;""""))),""^Sell_""),INDEX(FILTER(F$4:F1631,C$4:C1631&lt;&gt;""""),ROWS(FILTER(C$4:C1631,C$4:C1631&lt;&gt;""""))),$AC$5+E1632))"),"")</f>
        <v/>
      </c>
      <c r="G1632" s="10" t="str">
        <f>IFERROR(__xludf.DUMMYFUNCTION("IF(COUNTA(C1632:C1673)=0,"""",IF(C1632="""",0,IF(REGEXMATCH(C1632,""^Sell_""),-ROUNDDOWN(ROUNDUP(INDEX(Upgrades!$C$3:$C$13,MATCH(SUBSTITUTE(C1632,""Sell_"",""""),Upgrades!$B$3:$B$13,0))*1.15^(COUNTIF(C$4:C1631,SUBSTITUTE(C1632,""Sell_"",""""))-COUNTIF(C$4"&amp;":C1631,""Sell_""&amp;SUBSTITUTE(C1632,""Sell_"",""""))))/2),ROUNDUP(INDEX(Upgrades!$C$3:$C$13,MATCH(C1632,Upgrades!$B$3:$B$13,0))*1.15^(COUNTIF(C$4:C1631,C1632)-COUNTIF(C$4:C1631,""Sell_""&amp;C1632))))))"),"")</f>
        <v/>
      </c>
      <c r="H1632" s="10" t="str">
        <f t="shared" si="3"/>
        <v/>
      </c>
      <c r="I1632" s="68" t="str">
        <f t="shared" si="4"/>
        <v/>
      </c>
      <c r="J1632" s="59" t="str">
        <f t="shared" si="5"/>
        <v/>
      </c>
      <c r="K1632" s="69" t="str">
        <f t="shared" si="6"/>
        <v/>
      </c>
      <c r="L1632" s="60" t="str">
        <f t="shared" si="7"/>
        <v/>
      </c>
      <c r="M1632" s="61" t="str">
        <f>IFERROR(__xludf.DUMMYFUNCTION("IFS(AND(COUNTA(C1632:C1673)=0,COUNTA(Q1632:Q1673)=0),"""",OR(AND(K1632&gt;=1000000000,OR(Y1632&gt;=1000000000,COUNTA(Q1632:Q1673)=0)),OR(Y1632&gt;=1000000000,AND(COUNTA(C1632:C1673)=0,P$3=TRUE))),
ROUNDDOWN((AB$1-AC$1)*MAX(INDEX(T$4:T1673,MATCH(LARGE(FILTER(Y$4:Y1"&amp;"673,Y$4:Y1673&lt;1000000000),1),Y$4:Y1673)),INDEX(F$4:F1673,MATCH(LARGE(FILTER(K$4:K1673,K$4:K1673&lt;1000000000),1),K$4:K1673)))),AND(K1632&lt;1000000000,COUNTA(C1632:C1673)&gt;0,P$3=FALSE),
ROUNDDOWN(INDEX(Y$4:Y1673,MATCH(LARGE(FILTER(W$4:W1673,W$4:W1673&lt;=I1632),1)"&amp;",W$4:W1673))+(I1632-LARGE(FILTER(W$4:W1673,W$4:W1673&lt;=I1632),1))*INDEX(T$4:T1673,MATCH(LARGE(FILTER(W$4:W1673,W$4:W1673&lt;=I1632),1),W$4:W1673))-K1632),1,
ROUNDDOWN(Y1632-INDEX(K$4:K1673,MATCH(LARGE(FILTER(I$4:I1673,I$4:I1673&lt;=W1632),1),I$4:I1673))-(W1632-L"&amp;"ARGE(FILTER(I$4:I1673,I$4:I1673&lt;=W1632),1))*INDEX(F$4:F1673,MATCH(LARGE(FILTER(I$4:I1673,I$4:I1673&lt;=W1632),1),I$4:I1673))))"),"")</f>
        <v/>
      </c>
      <c r="N1632" s="60" t="str">
        <f t="shared" si="8"/>
        <v/>
      </c>
      <c r="O1632" s="61" t="str">
        <f t="shared" si="9"/>
        <v/>
      </c>
      <c r="P1632" s="56" t="str">
        <f t="shared" si="10"/>
        <v/>
      </c>
      <c r="Q1632" s="57"/>
      <c r="R1632" s="10"/>
      <c r="S1632" s="59" t="str">
        <f t="array" ref="S1632">IF(COUNTA(Q1632:Q1673)=0,"",SUM((COUNTIF(Q$4:Q1632,Upgrades!$B$3:$B$13)-COUNTIF(Q$4:Q1632,"Sell_"&amp;Upgrades!$B$3:$B$13))*Upgrades!$D$3:$D$13))</f>
        <v/>
      </c>
      <c r="T1632" s="66" t="str">
        <f>IFERROR(__xludf.DUMMYFUNCTION("IF(COUNTA(Q1632:Q1673)=0,"""",IF(REGEXMATCH(INDEX(FILTER(Q$4:Q1632,Q$4:Q1632&lt;&gt;""""),ROWS(FILTER(Q$4:Q1632,Q$4:Q1632&lt;&gt;""""))),""^Sell_""),INDEX(FILTER(T$4:T1631,Q$4:Q1631&lt;&gt;""""),ROWS(FILTER(Q$4:Q1631,Q$4:Q1631&lt;&gt;""""))),$AD$5+S1632))"),"")</f>
        <v/>
      </c>
      <c r="U1632" s="10" t="str">
        <f>IFERROR(__xludf.DUMMYFUNCTION("IF(COUNTA(Q1632:Q1673)=0,"""",IF(Q1632="""",0,IF(REGEXMATCH(Q1632,""^Sell_""),-ROUNDDOWN(ROUNDUP(INDEX(Upgrades!$C$3:$C$13,MATCH(SUBSTITUTE(Q1632,""Sell_"",""""),Upgrades!$B$3:$B$13,0))*1.15^(COUNTIF(Q$4:Q1631,SUBSTITUTE(Q1632,""Sell_"",""""))-COUNTIF(Q$4"&amp;":Q1631,""Sell_""&amp;SUBSTITUTE(Q1632,""Sell_"",""""))))/2),ROUNDUP(INDEX(Upgrades!$C$3:$C$13,MATCH(Q1632,Upgrades!$B$3:$B$13,0))*1.15^(COUNTIF(Q$4:Q1631,Q1632)-COUNTIF(Q$4:Q1631,""Sell_""&amp;Q1632))))))"),"")</f>
        <v/>
      </c>
      <c r="V1632" s="10" t="str">
        <f t="shared" si="11"/>
        <v/>
      </c>
      <c r="W1632" s="68" t="str">
        <f t="shared" si="12"/>
        <v/>
      </c>
      <c r="X1632" s="59" t="str">
        <f t="shared" si="13"/>
        <v/>
      </c>
      <c r="Y1632" s="69" t="str">
        <f t="shared" si="14"/>
        <v/>
      </c>
      <c r="Z1632" s="11"/>
    </row>
    <row r="1633">
      <c r="A1633" s="8"/>
      <c r="B1633" s="56" t="str">
        <f t="shared" si="2"/>
        <v/>
      </c>
      <c r="C1633" s="105"/>
      <c r="D1633" s="10"/>
      <c r="E1633" s="59" t="str">
        <f t="array" ref="E1633">IF(COUNTA(C1633:C1673)=0,"",SUM((COUNTIF(C$4:C1633,Upgrades!$B$3:$B$13)-COUNTIF(C$4:C1633,"Sell_"&amp;Upgrades!$B$3:$B$13))*Upgrades!$D$3:$D$13))</f>
        <v/>
      </c>
      <c r="F1633" s="66" t="str">
        <f>IFERROR(__xludf.DUMMYFUNCTION("IF(COUNTA(C1633:C1673)=0,"""",IF(REGEXMATCH(INDEX(FILTER(C$4:C1633,C$4:C1633&lt;&gt;""""),ROWS(FILTER(C$4:C1633,C$4:C1633&lt;&gt;""""))),""^Sell_""),INDEX(FILTER(F$4:F1632,C$4:C1632&lt;&gt;""""),ROWS(FILTER(C$4:C1632,C$4:C1632&lt;&gt;""""))),$AC$5+E1633))"),"")</f>
        <v/>
      </c>
      <c r="G1633" s="10" t="str">
        <f>IFERROR(__xludf.DUMMYFUNCTION("IF(COUNTA(C1633:C1673)=0,"""",IF(C1633="""",0,IF(REGEXMATCH(C1633,""^Sell_""),-ROUNDDOWN(ROUNDUP(INDEX(Upgrades!$C$3:$C$13,MATCH(SUBSTITUTE(C1633,""Sell_"",""""),Upgrades!$B$3:$B$13,0))*1.15^(COUNTIF(C$4:C1632,SUBSTITUTE(C1633,""Sell_"",""""))-COUNTIF(C$4"&amp;":C1632,""Sell_""&amp;SUBSTITUTE(C1633,""Sell_"",""""))))/2),ROUNDUP(INDEX(Upgrades!$C$3:$C$13,MATCH(C1633,Upgrades!$B$3:$B$13,0))*1.15^(COUNTIF(C$4:C1632,C1633)-COUNTIF(C$4:C1632,""Sell_""&amp;C1633))))))"),"")</f>
        <v/>
      </c>
      <c r="H1633" s="10" t="str">
        <f t="shared" si="3"/>
        <v/>
      </c>
      <c r="I1633" s="68" t="str">
        <f t="shared" si="4"/>
        <v/>
      </c>
      <c r="J1633" s="59" t="str">
        <f t="shared" si="5"/>
        <v/>
      </c>
      <c r="K1633" s="69" t="str">
        <f t="shared" si="6"/>
        <v/>
      </c>
      <c r="L1633" s="60" t="str">
        <f t="shared" si="7"/>
        <v/>
      </c>
      <c r="M1633" s="61" t="str">
        <f>IFERROR(__xludf.DUMMYFUNCTION("IFS(AND(COUNTA(C1633:C1673)=0,COUNTA(Q1633:Q1673)=0),"""",OR(AND(K1633&gt;=1000000000,OR(Y1633&gt;=1000000000,COUNTA(Q1633:Q1673)=0)),OR(Y1633&gt;=1000000000,AND(COUNTA(C1633:C1673)=0,P$3=TRUE))),
ROUNDDOWN((AB$1-AC$1)*MAX(INDEX(T$4:T1673,MATCH(LARGE(FILTER(Y$4:Y1"&amp;"673,Y$4:Y1673&lt;1000000000),1),Y$4:Y1673)),INDEX(F$4:F1673,MATCH(LARGE(FILTER(K$4:K1673,K$4:K1673&lt;1000000000),1),K$4:K1673)))),AND(K1633&lt;1000000000,COUNTA(C1633:C1673)&gt;0,P$3=FALSE),
ROUNDDOWN(INDEX(Y$4:Y1673,MATCH(LARGE(FILTER(W$4:W1673,W$4:W1673&lt;=I1633),1)"&amp;",W$4:W1673))+(I1633-LARGE(FILTER(W$4:W1673,W$4:W1673&lt;=I1633),1))*INDEX(T$4:T1673,MATCH(LARGE(FILTER(W$4:W1673,W$4:W1673&lt;=I1633),1),W$4:W1673))-K1633),1,
ROUNDDOWN(Y1633-INDEX(K$4:K1673,MATCH(LARGE(FILTER(I$4:I1673,I$4:I1673&lt;=W1633),1),I$4:I1673))-(W1633-L"&amp;"ARGE(FILTER(I$4:I1673,I$4:I1673&lt;=W1633),1))*INDEX(F$4:F1673,MATCH(LARGE(FILTER(I$4:I1673,I$4:I1673&lt;=W1633),1),I$4:I1673))))"),"")</f>
        <v/>
      </c>
      <c r="N1633" s="60" t="str">
        <f t="shared" si="8"/>
        <v/>
      </c>
      <c r="O1633" s="61" t="str">
        <f t="shared" si="9"/>
        <v/>
      </c>
      <c r="P1633" s="56" t="str">
        <f t="shared" si="10"/>
        <v/>
      </c>
      <c r="Q1633" s="57"/>
      <c r="R1633" s="10"/>
      <c r="S1633" s="59" t="str">
        <f t="array" ref="S1633">IF(COUNTA(Q1633:Q1673)=0,"",SUM((COUNTIF(Q$4:Q1633,Upgrades!$B$3:$B$13)-COUNTIF(Q$4:Q1633,"Sell_"&amp;Upgrades!$B$3:$B$13))*Upgrades!$D$3:$D$13))</f>
        <v/>
      </c>
      <c r="T1633" s="66" t="str">
        <f>IFERROR(__xludf.DUMMYFUNCTION("IF(COUNTA(Q1633:Q1673)=0,"""",IF(REGEXMATCH(INDEX(FILTER(Q$4:Q1633,Q$4:Q1633&lt;&gt;""""),ROWS(FILTER(Q$4:Q1633,Q$4:Q1633&lt;&gt;""""))),""^Sell_""),INDEX(FILTER(T$4:T1632,Q$4:Q1632&lt;&gt;""""),ROWS(FILTER(Q$4:Q1632,Q$4:Q1632&lt;&gt;""""))),$AD$5+S1633))"),"")</f>
        <v/>
      </c>
      <c r="U1633" s="10" t="str">
        <f>IFERROR(__xludf.DUMMYFUNCTION("IF(COUNTA(Q1633:Q1673)=0,"""",IF(Q1633="""",0,IF(REGEXMATCH(Q1633,""^Sell_""),-ROUNDDOWN(ROUNDUP(INDEX(Upgrades!$C$3:$C$13,MATCH(SUBSTITUTE(Q1633,""Sell_"",""""),Upgrades!$B$3:$B$13,0))*1.15^(COUNTIF(Q$4:Q1632,SUBSTITUTE(Q1633,""Sell_"",""""))-COUNTIF(Q$4"&amp;":Q1632,""Sell_""&amp;SUBSTITUTE(Q1633,""Sell_"",""""))))/2),ROUNDUP(INDEX(Upgrades!$C$3:$C$13,MATCH(Q1633,Upgrades!$B$3:$B$13,0))*1.15^(COUNTIF(Q$4:Q1632,Q1633)-COUNTIF(Q$4:Q1632,""Sell_""&amp;Q1633))))))"),"")</f>
        <v/>
      </c>
      <c r="V1633" s="10" t="str">
        <f t="shared" si="11"/>
        <v/>
      </c>
      <c r="W1633" s="68" t="str">
        <f t="shared" si="12"/>
        <v/>
      </c>
      <c r="X1633" s="59" t="str">
        <f t="shared" si="13"/>
        <v/>
      </c>
      <c r="Y1633" s="69" t="str">
        <f t="shared" si="14"/>
        <v/>
      </c>
      <c r="Z1633" s="11"/>
    </row>
    <row r="1634">
      <c r="A1634" s="8"/>
      <c r="B1634" s="56" t="str">
        <f t="shared" si="2"/>
        <v/>
      </c>
      <c r="C1634" s="105"/>
      <c r="D1634" s="10"/>
      <c r="E1634" s="59" t="str">
        <f t="array" ref="E1634">IF(COUNTA(C1634:C1673)=0,"",SUM((COUNTIF(C$4:C1634,Upgrades!$B$3:$B$13)-COUNTIF(C$4:C1634,"Sell_"&amp;Upgrades!$B$3:$B$13))*Upgrades!$D$3:$D$13))</f>
        <v/>
      </c>
      <c r="F1634" s="66" t="str">
        <f>IFERROR(__xludf.DUMMYFUNCTION("IF(COUNTA(C1634:C1673)=0,"""",IF(REGEXMATCH(INDEX(FILTER(C$4:C1634,C$4:C1634&lt;&gt;""""),ROWS(FILTER(C$4:C1634,C$4:C1634&lt;&gt;""""))),""^Sell_""),INDEX(FILTER(F$4:F1633,C$4:C1633&lt;&gt;""""),ROWS(FILTER(C$4:C1633,C$4:C1633&lt;&gt;""""))),$AC$5+E1634))"),"")</f>
        <v/>
      </c>
      <c r="G1634" s="10" t="str">
        <f>IFERROR(__xludf.DUMMYFUNCTION("IF(COUNTA(C1634:C1673)=0,"""",IF(C1634="""",0,IF(REGEXMATCH(C1634,""^Sell_""),-ROUNDDOWN(ROUNDUP(INDEX(Upgrades!$C$3:$C$13,MATCH(SUBSTITUTE(C1634,""Sell_"",""""),Upgrades!$B$3:$B$13,0))*1.15^(COUNTIF(C$4:C1633,SUBSTITUTE(C1634,""Sell_"",""""))-COUNTIF(C$4"&amp;":C1633,""Sell_""&amp;SUBSTITUTE(C1634,""Sell_"",""""))))/2),ROUNDUP(INDEX(Upgrades!$C$3:$C$13,MATCH(C1634,Upgrades!$B$3:$B$13,0))*1.15^(COUNTIF(C$4:C1633,C1634)-COUNTIF(C$4:C1633,""Sell_""&amp;C1634))))))"),"")</f>
        <v/>
      </c>
      <c r="H1634" s="10" t="str">
        <f t="shared" si="3"/>
        <v/>
      </c>
      <c r="I1634" s="68" t="str">
        <f t="shared" si="4"/>
        <v/>
      </c>
      <c r="J1634" s="59" t="str">
        <f t="shared" si="5"/>
        <v/>
      </c>
      <c r="K1634" s="69" t="str">
        <f t="shared" si="6"/>
        <v/>
      </c>
      <c r="L1634" s="60" t="str">
        <f t="shared" si="7"/>
        <v/>
      </c>
      <c r="M1634" s="61" t="str">
        <f>IFERROR(__xludf.DUMMYFUNCTION("IFS(AND(COUNTA(C1634:C1673)=0,COUNTA(Q1634:Q1673)=0),"""",OR(AND(K1634&gt;=1000000000,OR(Y1634&gt;=1000000000,COUNTA(Q1634:Q1673)=0)),OR(Y1634&gt;=1000000000,AND(COUNTA(C1634:C1673)=0,P$3=TRUE))),
ROUNDDOWN((AB$1-AC$1)*MAX(INDEX(T$4:T1673,MATCH(LARGE(FILTER(Y$4:Y1"&amp;"673,Y$4:Y1673&lt;1000000000),1),Y$4:Y1673)),INDEX(F$4:F1673,MATCH(LARGE(FILTER(K$4:K1673,K$4:K1673&lt;1000000000),1),K$4:K1673)))),AND(K1634&lt;1000000000,COUNTA(C1634:C1673)&gt;0,P$3=FALSE),
ROUNDDOWN(INDEX(Y$4:Y1673,MATCH(LARGE(FILTER(W$4:W1673,W$4:W1673&lt;=I1634),1)"&amp;",W$4:W1673))+(I1634-LARGE(FILTER(W$4:W1673,W$4:W1673&lt;=I1634),1))*INDEX(T$4:T1673,MATCH(LARGE(FILTER(W$4:W1673,W$4:W1673&lt;=I1634),1),W$4:W1673))-K1634),1,
ROUNDDOWN(Y1634-INDEX(K$4:K1673,MATCH(LARGE(FILTER(I$4:I1673,I$4:I1673&lt;=W1634),1),I$4:I1673))-(W1634-L"&amp;"ARGE(FILTER(I$4:I1673,I$4:I1673&lt;=W1634),1))*INDEX(F$4:F1673,MATCH(LARGE(FILTER(I$4:I1673,I$4:I1673&lt;=W1634),1),I$4:I1673))))"),"")</f>
        <v/>
      </c>
      <c r="N1634" s="60" t="str">
        <f t="shared" si="8"/>
        <v/>
      </c>
      <c r="O1634" s="61" t="str">
        <f t="shared" si="9"/>
        <v/>
      </c>
      <c r="P1634" s="56" t="str">
        <f t="shared" si="10"/>
        <v/>
      </c>
      <c r="Q1634" s="57"/>
      <c r="R1634" s="10"/>
      <c r="S1634" s="59" t="str">
        <f t="array" ref="S1634">IF(COUNTA(Q1634:Q1673)=0,"",SUM((COUNTIF(Q$4:Q1634,Upgrades!$B$3:$B$13)-COUNTIF(Q$4:Q1634,"Sell_"&amp;Upgrades!$B$3:$B$13))*Upgrades!$D$3:$D$13))</f>
        <v/>
      </c>
      <c r="T1634" s="66" t="str">
        <f>IFERROR(__xludf.DUMMYFUNCTION("IF(COUNTA(Q1634:Q1673)=0,"""",IF(REGEXMATCH(INDEX(FILTER(Q$4:Q1634,Q$4:Q1634&lt;&gt;""""),ROWS(FILTER(Q$4:Q1634,Q$4:Q1634&lt;&gt;""""))),""^Sell_""),INDEX(FILTER(T$4:T1633,Q$4:Q1633&lt;&gt;""""),ROWS(FILTER(Q$4:Q1633,Q$4:Q1633&lt;&gt;""""))),$AD$5+S1634))"),"")</f>
        <v/>
      </c>
      <c r="U1634" s="10" t="str">
        <f>IFERROR(__xludf.DUMMYFUNCTION("IF(COUNTA(Q1634:Q1673)=0,"""",IF(Q1634="""",0,IF(REGEXMATCH(Q1634,""^Sell_""),-ROUNDDOWN(ROUNDUP(INDEX(Upgrades!$C$3:$C$13,MATCH(SUBSTITUTE(Q1634,""Sell_"",""""),Upgrades!$B$3:$B$13,0))*1.15^(COUNTIF(Q$4:Q1633,SUBSTITUTE(Q1634,""Sell_"",""""))-COUNTIF(Q$4"&amp;":Q1633,""Sell_""&amp;SUBSTITUTE(Q1634,""Sell_"",""""))))/2),ROUNDUP(INDEX(Upgrades!$C$3:$C$13,MATCH(Q1634,Upgrades!$B$3:$B$13,0))*1.15^(COUNTIF(Q$4:Q1633,Q1634)-COUNTIF(Q$4:Q1633,""Sell_""&amp;Q1634))))))"),"")</f>
        <v/>
      </c>
      <c r="V1634" s="10" t="str">
        <f t="shared" si="11"/>
        <v/>
      </c>
      <c r="W1634" s="68" t="str">
        <f t="shared" si="12"/>
        <v/>
      </c>
      <c r="X1634" s="59" t="str">
        <f t="shared" si="13"/>
        <v/>
      </c>
      <c r="Y1634" s="69" t="str">
        <f t="shared" si="14"/>
        <v/>
      </c>
      <c r="Z1634" s="11"/>
    </row>
    <row r="1635">
      <c r="A1635" s="8"/>
      <c r="B1635" s="56" t="str">
        <f t="shared" si="2"/>
        <v/>
      </c>
      <c r="C1635" s="105"/>
      <c r="D1635" s="10"/>
      <c r="E1635" s="59" t="str">
        <f t="array" ref="E1635">IF(COUNTA(C1635:C1673)=0,"",SUM((COUNTIF(C$4:C1635,Upgrades!$B$3:$B$13)-COUNTIF(C$4:C1635,"Sell_"&amp;Upgrades!$B$3:$B$13))*Upgrades!$D$3:$D$13))</f>
        <v/>
      </c>
      <c r="F1635" s="66" t="str">
        <f>IFERROR(__xludf.DUMMYFUNCTION("IF(COUNTA(C1635:C1673)=0,"""",IF(REGEXMATCH(INDEX(FILTER(C$4:C1635,C$4:C1635&lt;&gt;""""),ROWS(FILTER(C$4:C1635,C$4:C1635&lt;&gt;""""))),""^Sell_""),INDEX(FILTER(F$4:F1634,C$4:C1634&lt;&gt;""""),ROWS(FILTER(C$4:C1634,C$4:C1634&lt;&gt;""""))),$AC$5+E1635))"),"")</f>
        <v/>
      </c>
      <c r="G1635" s="10" t="str">
        <f>IFERROR(__xludf.DUMMYFUNCTION("IF(COUNTA(C1635:C1673)=0,"""",IF(C1635="""",0,IF(REGEXMATCH(C1635,""^Sell_""),-ROUNDDOWN(ROUNDUP(INDEX(Upgrades!$C$3:$C$13,MATCH(SUBSTITUTE(C1635,""Sell_"",""""),Upgrades!$B$3:$B$13,0))*1.15^(COUNTIF(C$4:C1634,SUBSTITUTE(C1635,""Sell_"",""""))-COUNTIF(C$4"&amp;":C1634,""Sell_""&amp;SUBSTITUTE(C1635,""Sell_"",""""))))/2),ROUNDUP(INDEX(Upgrades!$C$3:$C$13,MATCH(C1635,Upgrades!$B$3:$B$13,0))*1.15^(COUNTIF(C$4:C1634,C1635)-COUNTIF(C$4:C1634,""Sell_""&amp;C1635))))))"),"")</f>
        <v/>
      </c>
      <c r="H1635" s="10" t="str">
        <f t="shared" si="3"/>
        <v/>
      </c>
      <c r="I1635" s="68" t="str">
        <f t="shared" si="4"/>
        <v/>
      </c>
      <c r="J1635" s="59" t="str">
        <f t="shared" si="5"/>
        <v/>
      </c>
      <c r="K1635" s="69" t="str">
        <f t="shared" si="6"/>
        <v/>
      </c>
      <c r="L1635" s="60" t="str">
        <f t="shared" si="7"/>
        <v/>
      </c>
      <c r="M1635" s="61" t="str">
        <f>IFERROR(__xludf.DUMMYFUNCTION("IFS(AND(COUNTA(C1635:C1673)=0,COUNTA(Q1635:Q1673)=0),"""",OR(AND(K1635&gt;=1000000000,OR(Y1635&gt;=1000000000,COUNTA(Q1635:Q1673)=0)),OR(Y1635&gt;=1000000000,AND(COUNTA(C1635:C1673)=0,P$3=TRUE))),
ROUNDDOWN((AB$1-AC$1)*MAX(INDEX(T$4:T1673,MATCH(LARGE(FILTER(Y$4:Y1"&amp;"673,Y$4:Y1673&lt;1000000000),1),Y$4:Y1673)),INDEX(F$4:F1673,MATCH(LARGE(FILTER(K$4:K1673,K$4:K1673&lt;1000000000),1),K$4:K1673)))),AND(K1635&lt;1000000000,COUNTA(C1635:C1673)&gt;0,P$3=FALSE),
ROUNDDOWN(INDEX(Y$4:Y1673,MATCH(LARGE(FILTER(W$4:W1673,W$4:W1673&lt;=I1635),1)"&amp;",W$4:W1673))+(I1635-LARGE(FILTER(W$4:W1673,W$4:W1673&lt;=I1635),1))*INDEX(T$4:T1673,MATCH(LARGE(FILTER(W$4:W1673,W$4:W1673&lt;=I1635),1),W$4:W1673))-K1635),1,
ROUNDDOWN(Y1635-INDEX(K$4:K1673,MATCH(LARGE(FILTER(I$4:I1673,I$4:I1673&lt;=W1635),1),I$4:I1673))-(W1635-L"&amp;"ARGE(FILTER(I$4:I1673,I$4:I1673&lt;=W1635),1))*INDEX(F$4:F1673,MATCH(LARGE(FILTER(I$4:I1673,I$4:I1673&lt;=W1635),1),I$4:I1673))))"),"")</f>
        <v/>
      </c>
      <c r="N1635" s="60" t="str">
        <f t="shared" si="8"/>
        <v/>
      </c>
      <c r="O1635" s="61" t="str">
        <f t="shared" si="9"/>
        <v/>
      </c>
      <c r="P1635" s="56" t="str">
        <f t="shared" si="10"/>
        <v/>
      </c>
      <c r="Q1635" s="57"/>
      <c r="R1635" s="10"/>
      <c r="S1635" s="59" t="str">
        <f t="array" ref="S1635">IF(COUNTA(Q1635:Q1673)=0,"",SUM((COUNTIF(Q$4:Q1635,Upgrades!$B$3:$B$13)-COUNTIF(Q$4:Q1635,"Sell_"&amp;Upgrades!$B$3:$B$13))*Upgrades!$D$3:$D$13))</f>
        <v/>
      </c>
      <c r="T1635" s="66" t="str">
        <f>IFERROR(__xludf.DUMMYFUNCTION("IF(COUNTA(Q1635:Q1673)=0,"""",IF(REGEXMATCH(INDEX(FILTER(Q$4:Q1635,Q$4:Q1635&lt;&gt;""""),ROWS(FILTER(Q$4:Q1635,Q$4:Q1635&lt;&gt;""""))),""^Sell_""),INDEX(FILTER(T$4:T1634,Q$4:Q1634&lt;&gt;""""),ROWS(FILTER(Q$4:Q1634,Q$4:Q1634&lt;&gt;""""))),$AD$5+S1635))"),"")</f>
        <v/>
      </c>
      <c r="U1635" s="10" t="str">
        <f>IFERROR(__xludf.DUMMYFUNCTION("IF(COUNTA(Q1635:Q1673)=0,"""",IF(Q1635="""",0,IF(REGEXMATCH(Q1635,""^Sell_""),-ROUNDDOWN(ROUNDUP(INDEX(Upgrades!$C$3:$C$13,MATCH(SUBSTITUTE(Q1635,""Sell_"",""""),Upgrades!$B$3:$B$13,0))*1.15^(COUNTIF(Q$4:Q1634,SUBSTITUTE(Q1635,""Sell_"",""""))-COUNTIF(Q$4"&amp;":Q1634,""Sell_""&amp;SUBSTITUTE(Q1635,""Sell_"",""""))))/2),ROUNDUP(INDEX(Upgrades!$C$3:$C$13,MATCH(Q1635,Upgrades!$B$3:$B$13,0))*1.15^(COUNTIF(Q$4:Q1634,Q1635)-COUNTIF(Q$4:Q1634,""Sell_""&amp;Q1635))))))"),"")</f>
        <v/>
      </c>
      <c r="V1635" s="10" t="str">
        <f t="shared" si="11"/>
        <v/>
      </c>
      <c r="W1635" s="68" t="str">
        <f t="shared" si="12"/>
        <v/>
      </c>
      <c r="X1635" s="59" t="str">
        <f t="shared" si="13"/>
        <v/>
      </c>
      <c r="Y1635" s="69" t="str">
        <f t="shared" si="14"/>
        <v/>
      </c>
      <c r="Z1635" s="11"/>
    </row>
    <row r="1636">
      <c r="A1636" s="8"/>
      <c r="B1636" s="56" t="str">
        <f t="shared" si="2"/>
        <v/>
      </c>
      <c r="C1636" s="105"/>
      <c r="D1636" s="10"/>
      <c r="E1636" s="59" t="str">
        <f t="array" ref="E1636">IF(COUNTA(C1636:C1673)=0,"",SUM((COUNTIF(C$4:C1636,Upgrades!$B$3:$B$13)-COUNTIF(C$4:C1636,"Sell_"&amp;Upgrades!$B$3:$B$13))*Upgrades!$D$3:$D$13))</f>
        <v/>
      </c>
      <c r="F1636" s="66" t="str">
        <f>IFERROR(__xludf.DUMMYFUNCTION("IF(COUNTA(C1636:C1673)=0,"""",IF(REGEXMATCH(INDEX(FILTER(C$4:C1636,C$4:C1636&lt;&gt;""""),ROWS(FILTER(C$4:C1636,C$4:C1636&lt;&gt;""""))),""^Sell_""),INDEX(FILTER(F$4:F1635,C$4:C1635&lt;&gt;""""),ROWS(FILTER(C$4:C1635,C$4:C1635&lt;&gt;""""))),$AC$5+E1636))"),"")</f>
        <v/>
      </c>
      <c r="G1636" s="10" t="str">
        <f>IFERROR(__xludf.DUMMYFUNCTION("IF(COUNTA(C1636:C1673)=0,"""",IF(C1636="""",0,IF(REGEXMATCH(C1636,""^Sell_""),-ROUNDDOWN(ROUNDUP(INDEX(Upgrades!$C$3:$C$13,MATCH(SUBSTITUTE(C1636,""Sell_"",""""),Upgrades!$B$3:$B$13,0))*1.15^(COUNTIF(C$4:C1635,SUBSTITUTE(C1636,""Sell_"",""""))-COUNTIF(C$4"&amp;":C1635,""Sell_""&amp;SUBSTITUTE(C1636,""Sell_"",""""))))/2),ROUNDUP(INDEX(Upgrades!$C$3:$C$13,MATCH(C1636,Upgrades!$B$3:$B$13,0))*1.15^(COUNTIF(C$4:C1635,C1636)-COUNTIF(C$4:C1635,""Sell_""&amp;C1636))))))"),"")</f>
        <v/>
      </c>
      <c r="H1636" s="10" t="str">
        <f t="shared" si="3"/>
        <v/>
      </c>
      <c r="I1636" s="68" t="str">
        <f t="shared" si="4"/>
        <v/>
      </c>
      <c r="J1636" s="59" t="str">
        <f t="shared" si="5"/>
        <v/>
      </c>
      <c r="K1636" s="69" t="str">
        <f t="shared" si="6"/>
        <v/>
      </c>
      <c r="L1636" s="60" t="str">
        <f t="shared" si="7"/>
        <v/>
      </c>
      <c r="M1636" s="61" t="str">
        <f>IFERROR(__xludf.DUMMYFUNCTION("IFS(AND(COUNTA(C1636:C1673)=0,COUNTA(Q1636:Q1673)=0),"""",OR(AND(K1636&gt;=1000000000,OR(Y1636&gt;=1000000000,COUNTA(Q1636:Q1673)=0)),OR(Y1636&gt;=1000000000,AND(COUNTA(C1636:C1673)=0,P$3=TRUE))),
ROUNDDOWN((AB$1-AC$1)*MAX(INDEX(T$4:T1673,MATCH(LARGE(FILTER(Y$4:Y1"&amp;"673,Y$4:Y1673&lt;1000000000),1),Y$4:Y1673)),INDEX(F$4:F1673,MATCH(LARGE(FILTER(K$4:K1673,K$4:K1673&lt;1000000000),1),K$4:K1673)))),AND(K1636&lt;1000000000,COUNTA(C1636:C1673)&gt;0,P$3=FALSE),
ROUNDDOWN(INDEX(Y$4:Y1673,MATCH(LARGE(FILTER(W$4:W1673,W$4:W1673&lt;=I1636),1)"&amp;",W$4:W1673))+(I1636-LARGE(FILTER(W$4:W1673,W$4:W1673&lt;=I1636),1))*INDEX(T$4:T1673,MATCH(LARGE(FILTER(W$4:W1673,W$4:W1673&lt;=I1636),1),W$4:W1673))-K1636),1,
ROUNDDOWN(Y1636-INDEX(K$4:K1673,MATCH(LARGE(FILTER(I$4:I1673,I$4:I1673&lt;=W1636),1),I$4:I1673))-(W1636-L"&amp;"ARGE(FILTER(I$4:I1673,I$4:I1673&lt;=W1636),1))*INDEX(F$4:F1673,MATCH(LARGE(FILTER(I$4:I1673,I$4:I1673&lt;=W1636),1),I$4:I1673))))"),"")</f>
        <v/>
      </c>
      <c r="N1636" s="60" t="str">
        <f t="shared" si="8"/>
        <v/>
      </c>
      <c r="O1636" s="61" t="str">
        <f t="shared" si="9"/>
        <v/>
      </c>
      <c r="P1636" s="56" t="str">
        <f t="shared" si="10"/>
        <v/>
      </c>
      <c r="Q1636" s="57"/>
      <c r="R1636" s="10"/>
      <c r="S1636" s="59" t="str">
        <f t="array" ref="S1636">IF(COUNTA(Q1636:Q1673)=0,"",SUM((COUNTIF(Q$4:Q1636,Upgrades!$B$3:$B$13)-COUNTIF(Q$4:Q1636,"Sell_"&amp;Upgrades!$B$3:$B$13))*Upgrades!$D$3:$D$13))</f>
        <v/>
      </c>
      <c r="T1636" s="66" t="str">
        <f>IFERROR(__xludf.DUMMYFUNCTION("IF(COUNTA(Q1636:Q1673)=0,"""",IF(REGEXMATCH(INDEX(FILTER(Q$4:Q1636,Q$4:Q1636&lt;&gt;""""),ROWS(FILTER(Q$4:Q1636,Q$4:Q1636&lt;&gt;""""))),""^Sell_""),INDEX(FILTER(T$4:T1635,Q$4:Q1635&lt;&gt;""""),ROWS(FILTER(Q$4:Q1635,Q$4:Q1635&lt;&gt;""""))),$AD$5+S1636))"),"")</f>
        <v/>
      </c>
      <c r="U1636" s="10" t="str">
        <f>IFERROR(__xludf.DUMMYFUNCTION("IF(COUNTA(Q1636:Q1673)=0,"""",IF(Q1636="""",0,IF(REGEXMATCH(Q1636,""^Sell_""),-ROUNDDOWN(ROUNDUP(INDEX(Upgrades!$C$3:$C$13,MATCH(SUBSTITUTE(Q1636,""Sell_"",""""),Upgrades!$B$3:$B$13,0))*1.15^(COUNTIF(Q$4:Q1635,SUBSTITUTE(Q1636,""Sell_"",""""))-COUNTIF(Q$4"&amp;":Q1635,""Sell_""&amp;SUBSTITUTE(Q1636,""Sell_"",""""))))/2),ROUNDUP(INDEX(Upgrades!$C$3:$C$13,MATCH(Q1636,Upgrades!$B$3:$B$13,0))*1.15^(COUNTIF(Q$4:Q1635,Q1636)-COUNTIF(Q$4:Q1635,""Sell_""&amp;Q1636))))))"),"")</f>
        <v/>
      </c>
      <c r="V1636" s="10" t="str">
        <f t="shared" si="11"/>
        <v/>
      </c>
      <c r="W1636" s="68" t="str">
        <f t="shared" si="12"/>
        <v/>
      </c>
      <c r="X1636" s="59" t="str">
        <f t="shared" si="13"/>
        <v/>
      </c>
      <c r="Y1636" s="69" t="str">
        <f t="shared" si="14"/>
        <v/>
      </c>
      <c r="Z1636" s="11"/>
    </row>
    <row r="1637">
      <c r="A1637" s="8"/>
      <c r="B1637" s="56" t="str">
        <f t="shared" si="2"/>
        <v/>
      </c>
      <c r="C1637" s="105"/>
      <c r="D1637" s="10"/>
      <c r="E1637" s="59" t="str">
        <f t="array" ref="E1637">IF(COUNTA(C1637:C1673)=0,"",SUM((COUNTIF(C$4:C1637,Upgrades!$B$3:$B$13)-COUNTIF(C$4:C1637,"Sell_"&amp;Upgrades!$B$3:$B$13))*Upgrades!$D$3:$D$13))</f>
        <v/>
      </c>
      <c r="F1637" s="66" t="str">
        <f>IFERROR(__xludf.DUMMYFUNCTION("IF(COUNTA(C1637:C1673)=0,"""",IF(REGEXMATCH(INDEX(FILTER(C$4:C1637,C$4:C1637&lt;&gt;""""),ROWS(FILTER(C$4:C1637,C$4:C1637&lt;&gt;""""))),""^Sell_""),INDEX(FILTER(F$4:F1636,C$4:C1636&lt;&gt;""""),ROWS(FILTER(C$4:C1636,C$4:C1636&lt;&gt;""""))),$AC$5+E1637))"),"")</f>
        <v/>
      </c>
      <c r="G1637" s="10" t="str">
        <f>IFERROR(__xludf.DUMMYFUNCTION("IF(COUNTA(C1637:C1673)=0,"""",IF(C1637="""",0,IF(REGEXMATCH(C1637,""^Sell_""),-ROUNDDOWN(ROUNDUP(INDEX(Upgrades!$C$3:$C$13,MATCH(SUBSTITUTE(C1637,""Sell_"",""""),Upgrades!$B$3:$B$13,0))*1.15^(COUNTIF(C$4:C1636,SUBSTITUTE(C1637,""Sell_"",""""))-COUNTIF(C$4"&amp;":C1636,""Sell_""&amp;SUBSTITUTE(C1637,""Sell_"",""""))))/2),ROUNDUP(INDEX(Upgrades!$C$3:$C$13,MATCH(C1637,Upgrades!$B$3:$B$13,0))*1.15^(COUNTIF(C$4:C1636,C1637)-COUNTIF(C$4:C1636,""Sell_""&amp;C1637))))))"),"")</f>
        <v/>
      </c>
      <c r="H1637" s="10" t="str">
        <f t="shared" si="3"/>
        <v/>
      </c>
      <c r="I1637" s="68" t="str">
        <f t="shared" si="4"/>
        <v/>
      </c>
      <c r="J1637" s="59" t="str">
        <f t="shared" si="5"/>
        <v/>
      </c>
      <c r="K1637" s="69" t="str">
        <f t="shared" si="6"/>
        <v/>
      </c>
      <c r="L1637" s="60" t="str">
        <f t="shared" si="7"/>
        <v/>
      </c>
      <c r="M1637" s="61" t="str">
        <f>IFERROR(__xludf.DUMMYFUNCTION("IFS(AND(COUNTA(C1637:C1673)=0,COUNTA(Q1637:Q1673)=0),"""",OR(AND(K1637&gt;=1000000000,OR(Y1637&gt;=1000000000,COUNTA(Q1637:Q1673)=0)),OR(Y1637&gt;=1000000000,AND(COUNTA(C1637:C1673)=0,P$3=TRUE))),
ROUNDDOWN((AB$1-AC$1)*MAX(INDEX(T$4:T1673,MATCH(LARGE(FILTER(Y$4:Y1"&amp;"673,Y$4:Y1673&lt;1000000000),1),Y$4:Y1673)),INDEX(F$4:F1673,MATCH(LARGE(FILTER(K$4:K1673,K$4:K1673&lt;1000000000),1),K$4:K1673)))),AND(K1637&lt;1000000000,COUNTA(C1637:C1673)&gt;0,P$3=FALSE),
ROUNDDOWN(INDEX(Y$4:Y1673,MATCH(LARGE(FILTER(W$4:W1673,W$4:W1673&lt;=I1637),1)"&amp;",W$4:W1673))+(I1637-LARGE(FILTER(W$4:W1673,W$4:W1673&lt;=I1637),1))*INDEX(T$4:T1673,MATCH(LARGE(FILTER(W$4:W1673,W$4:W1673&lt;=I1637),1),W$4:W1673))-K1637),1,
ROUNDDOWN(Y1637-INDEX(K$4:K1673,MATCH(LARGE(FILTER(I$4:I1673,I$4:I1673&lt;=W1637),1),I$4:I1673))-(W1637-L"&amp;"ARGE(FILTER(I$4:I1673,I$4:I1673&lt;=W1637),1))*INDEX(F$4:F1673,MATCH(LARGE(FILTER(I$4:I1673,I$4:I1673&lt;=W1637),1),I$4:I1673))))"),"")</f>
        <v/>
      </c>
      <c r="N1637" s="60" t="str">
        <f t="shared" si="8"/>
        <v/>
      </c>
      <c r="O1637" s="61" t="str">
        <f t="shared" si="9"/>
        <v/>
      </c>
      <c r="P1637" s="56" t="str">
        <f t="shared" si="10"/>
        <v/>
      </c>
      <c r="Q1637" s="57"/>
      <c r="R1637" s="10"/>
      <c r="S1637" s="59" t="str">
        <f t="array" ref="S1637">IF(COUNTA(Q1637:Q1673)=0,"",SUM((COUNTIF(Q$4:Q1637,Upgrades!$B$3:$B$13)-COUNTIF(Q$4:Q1637,"Sell_"&amp;Upgrades!$B$3:$B$13))*Upgrades!$D$3:$D$13))</f>
        <v/>
      </c>
      <c r="T1637" s="66" t="str">
        <f>IFERROR(__xludf.DUMMYFUNCTION("IF(COUNTA(Q1637:Q1673)=0,"""",IF(REGEXMATCH(INDEX(FILTER(Q$4:Q1637,Q$4:Q1637&lt;&gt;""""),ROWS(FILTER(Q$4:Q1637,Q$4:Q1637&lt;&gt;""""))),""^Sell_""),INDEX(FILTER(T$4:T1636,Q$4:Q1636&lt;&gt;""""),ROWS(FILTER(Q$4:Q1636,Q$4:Q1636&lt;&gt;""""))),$AD$5+S1637))"),"")</f>
        <v/>
      </c>
      <c r="U1637" s="10" t="str">
        <f>IFERROR(__xludf.DUMMYFUNCTION("IF(COUNTA(Q1637:Q1673)=0,"""",IF(Q1637="""",0,IF(REGEXMATCH(Q1637,""^Sell_""),-ROUNDDOWN(ROUNDUP(INDEX(Upgrades!$C$3:$C$13,MATCH(SUBSTITUTE(Q1637,""Sell_"",""""),Upgrades!$B$3:$B$13,0))*1.15^(COUNTIF(Q$4:Q1636,SUBSTITUTE(Q1637,""Sell_"",""""))-COUNTIF(Q$4"&amp;":Q1636,""Sell_""&amp;SUBSTITUTE(Q1637,""Sell_"",""""))))/2),ROUNDUP(INDEX(Upgrades!$C$3:$C$13,MATCH(Q1637,Upgrades!$B$3:$B$13,0))*1.15^(COUNTIF(Q$4:Q1636,Q1637)-COUNTIF(Q$4:Q1636,""Sell_""&amp;Q1637))))))"),"")</f>
        <v/>
      </c>
      <c r="V1637" s="10" t="str">
        <f t="shared" si="11"/>
        <v/>
      </c>
      <c r="W1637" s="68" t="str">
        <f t="shared" si="12"/>
        <v/>
      </c>
      <c r="X1637" s="59" t="str">
        <f t="shared" si="13"/>
        <v/>
      </c>
      <c r="Y1637" s="69" t="str">
        <f t="shared" si="14"/>
        <v/>
      </c>
      <c r="Z1637" s="11"/>
    </row>
    <row r="1638">
      <c r="A1638" s="8"/>
      <c r="B1638" s="56" t="str">
        <f t="shared" si="2"/>
        <v/>
      </c>
      <c r="C1638" s="105"/>
      <c r="D1638" s="10"/>
      <c r="E1638" s="59" t="str">
        <f t="array" ref="E1638">IF(COUNTA(C1638:C1673)=0,"",SUM((COUNTIF(C$4:C1638,Upgrades!$B$3:$B$13)-COUNTIF(C$4:C1638,"Sell_"&amp;Upgrades!$B$3:$B$13))*Upgrades!$D$3:$D$13))</f>
        <v/>
      </c>
      <c r="F1638" s="66" t="str">
        <f>IFERROR(__xludf.DUMMYFUNCTION("IF(COUNTA(C1638:C1673)=0,"""",IF(REGEXMATCH(INDEX(FILTER(C$4:C1638,C$4:C1638&lt;&gt;""""),ROWS(FILTER(C$4:C1638,C$4:C1638&lt;&gt;""""))),""^Sell_""),INDEX(FILTER(F$4:F1637,C$4:C1637&lt;&gt;""""),ROWS(FILTER(C$4:C1637,C$4:C1637&lt;&gt;""""))),$AC$5+E1638))"),"")</f>
        <v/>
      </c>
      <c r="G1638" s="10" t="str">
        <f>IFERROR(__xludf.DUMMYFUNCTION("IF(COUNTA(C1638:C1673)=0,"""",IF(C1638="""",0,IF(REGEXMATCH(C1638,""^Sell_""),-ROUNDDOWN(ROUNDUP(INDEX(Upgrades!$C$3:$C$13,MATCH(SUBSTITUTE(C1638,""Sell_"",""""),Upgrades!$B$3:$B$13,0))*1.15^(COUNTIF(C$4:C1637,SUBSTITUTE(C1638,""Sell_"",""""))-COUNTIF(C$4"&amp;":C1637,""Sell_""&amp;SUBSTITUTE(C1638,""Sell_"",""""))))/2),ROUNDUP(INDEX(Upgrades!$C$3:$C$13,MATCH(C1638,Upgrades!$B$3:$B$13,0))*1.15^(COUNTIF(C$4:C1637,C1638)-COUNTIF(C$4:C1637,""Sell_""&amp;C1638))))))"),"")</f>
        <v/>
      </c>
      <c r="H1638" s="10" t="str">
        <f t="shared" si="3"/>
        <v/>
      </c>
      <c r="I1638" s="68" t="str">
        <f t="shared" si="4"/>
        <v/>
      </c>
      <c r="J1638" s="59" t="str">
        <f t="shared" si="5"/>
        <v/>
      </c>
      <c r="K1638" s="69" t="str">
        <f t="shared" si="6"/>
        <v/>
      </c>
      <c r="L1638" s="60" t="str">
        <f t="shared" si="7"/>
        <v/>
      </c>
      <c r="M1638" s="61" t="str">
        <f>IFERROR(__xludf.DUMMYFUNCTION("IFS(AND(COUNTA(C1638:C1673)=0,COUNTA(Q1638:Q1673)=0),"""",OR(AND(K1638&gt;=1000000000,OR(Y1638&gt;=1000000000,COUNTA(Q1638:Q1673)=0)),OR(Y1638&gt;=1000000000,AND(COUNTA(C1638:C1673)=0,P$3=TRUE))),
ROUNDDOWN((AB$1-AC$1)*MAX(INDEX(T$4:T1673,MATCH(LARGE(FILTER(Y$4:Y1"&amp;"673,Y$4:Y1673&lt;1000000000),1),Y$4:Y1673)),INDEX(F$4:F1673,MATCH(LARGE(FILTER(K$4:K1673,K$4:K1673&lt;1000000000),1),K$4:K1673)))),AND(K1638&lt;1000000000,COUNTA(C1638:C1673)&gt;0,P$3=FALSE),
ROUNDDOWN(INDEX(Y$4:Y1673,MATCH(LARGE(FILTER(W$4:W1673,W$4:W1673&lt;=I1638),1)"&amp;",W$4:W1673))+(I1638-LARGE(FILTER(W$4:W1673,W$4:W1673&lt;=I1638),1))*INDEX(T$4:T1673,MATCH(LARGE(FILTER(W$4:W1673,W$4:W1673&lt;=I1638),1),W$4:W1673))-K1638),1,
ROUNDDOWN(Y1638-INDEX(K$4:K1673,MATCH(LARGE(FILTER(I$4:I1673,I$4:I1673&lt;=W1638),1),I$4:I1673))-(W1638-L"&amp;"ARGE(FILTER(I$4:I1673,I$4:I1673&lt;=W1638),1))*INDEX(F$4:F1673,MATCH(LARGE(FILTER(I$4:I1673,I$4:I1673&lt;=W1638),1),I$4:I1673))))"),"")</f>
        <v/>
      </c>
      <c r="N1638" s="60" t="str">
        <f t="shared" si="8"/>
        <v/>
      </c>
      <c r="O1638" s="61" t="str">
        <f t="shared" si="9"/>
        <v/>
      </c>
      <c r="P1638" s="56" t="str">
        <f t="shared" si="10"/>
        <v/>
      </c>
      <c r="Q1638" s="57"/>
      <c r="R1638" s="10"/>
      <c r="S1638" s="59" t="str">
        <f t="array" ref="S1638">IF(COUNTA(Q1638:Q1673)=0,"",SUM((COUNTIF(Q$4:Q1638,Upgrades!$B$3:$B$13)-COUNTIF(Q$4:Q1638,"Sell_"&amp;Upgrades!$B$3:$B$13))*Upgrades!$D$3:$D$13))</f>
        <v/>
      </c>
      <c r="T1638" s="66" t="str">
        <f>IFERROR(__xludf.DUMMYFUNCTION("IF(COUNTA(Q1638:Q1673)=0,"""",IF(REGEXMATCH(INDEX(FILTER(Q$4:Q1638,Q$4:Q1638&lt;&gt;""""),ROWS(FILTER(Q$4:Q1638,Q$4:Q1638&lt;&gt;""""))),""^Sell_""),INDEX(FILTER(T$4:T1637,Q$4:Q1637&lt;&gt;""""),ROWS(FILTER(Q$4:Q1637,Q$4:Q1637&lt;&gt;""""))),$AD$5+S1638))"),"")</f>
        <v/>
      </c>
      <c r="U1638" s="10" t="str">
        <f>IFERROR(__xludf.DUMMYFUNCTION("IF(COUNTA(Q1638:Q1673)=0,"""",IF(Q1638="""",0,IF(REGEXMATCH(Q1638,""^Sell_""),-ROUNDDOWN(ROUNDUP(INDEX(Upgrades!$C$3:$C$13,MATCH(SUBSTITUTE(Q1638,""Sell_"",""""),Upgrades!$B$3:$B$13,0))*1.15^(COUNTIF(Q$4:Q1637,SUBSTITUTE(Q1638,""Sell_"",""""))-COUNTIF(Q$4"&amp;":Q1637,""Sell_""&amp;SUBSTITUTE(Q1638,""Sell_"",""""))))/2),ROUNDUP(INDEX(Upgrades!$C$3:$C$13,MATCH(Q1638,Upgrades!$B$3:$B$13,0))*1.15^(COUNTIF(Q$4:Q1637,Q1638)-COUNTIF(Q$4:Q1637,""Sell_""&amp;Q1638))))))"),"")</f>
        <v/>
      </c>
      <c r="V1638" s="10" t="str">
        <f t="shared" si="11"/>
        <v/>
      </c>
      <c r="W1638" s="68" t="str">
        <f t="shared" si="12"/>
        <v/>
      </c>
      <c r="X1638" s="59" t="str">
        <f t="shared" si="13"/>
        <v/>
      </c>
      <c r="Y1638" s="69" t="str">
        <f t="shared" si="14"/>
        <v/>
      </c>
      <c r="Z1638" s="11"/>
    </row>
    <row r="1639">
      <c r="A1639" s="8"/>
      <c r="B1639" s="56" t="str">
        <f t="shared" si="2"/>
        <v/>
      </c>
      <c r="C1639" s="105"/>
      <c r="D1639" s="10"/>
      <c r="E1639" s="59" t="str">
        <f t="array" ref="E1639">IF(COUNTA(C1639:C1673)=0,"",SUM((COUNTIF(C$4:C1639,Upgrades!$B$3:$B$13)-COUNTIF(C$4:C1639,"Sell_"&amp;Upgrades!$B$3:$B$13))*Upgrades!$D$3:$D$13))</f>
        <v/>
      </c>
      <c r="F1639" s="66" t="str">
        <f>IFERROR(__xludf.DUMMYFUNCTION("IF(COUNTA(C1639:C1673)=0,"""",IF(REGEXMATCH(INDEX(FILTER(C$4:C1639,C$4:C1639&lt;&gt;""""),ROWS(FILTER(C$4:C1639,C$4:C1639&lt;&gt;""""))),""^Sell_""),INDEX(FILTER(F$4:F1638,C$4:C1638&lt;&gt;""""),ROWS(FILTER(C$4:C1638,C$4:C1638&lt;&gt;""""))),$AC$5+E1639))"),"")</f>
        <v/>
      </c>
      <c r="G1639" s="10" t="str">
        <f>IFERROR(__xludf.DUMMYFUNCTION("IF(COUNTA(C1639:C1673)=0,"""",IF(C1639="""",0,IF(REGEXMATCH(C1639,""^Sell_""),-ROUNDDOWN(ROUNDUP(INDEX(Upgrades!$C$3:$C$13,MATCH(SUBSTITUTE(C1639,""Sell_"",""""),Upgrades!$B$3:$B$13,0))*1.15^(COUNTIF(C$4:C1638,SUBSTITUTE(C1639,""Sell_"",""""))-COUNTIF(C$4"&amp;":C1638,""Sell_""&amp;SUBSTITUTE(C1639,""Sell_"",""""))))/2),ROUNDUP(INDEX(Upgrades!$C$3:$C$13,MATCH(C1639,Upgrades!$B$3:$B$13,0))*1.15^(COUNTIF(C$4:C1638,C1639)-COUNTIF(C$4:C1638,""Sell_""&amp;C1639))))))"),"")</f>
        <v/>
      </c>
      <c r="H1639" s="10" t="str">
        <f t="shared" si="3"/>
        <v/>
      </c>
      <c r="I1639" s="68" t="str">
        <f t="shared" si="4"/>
        <v/>
      </c>
      <c r="J1639" s="59" t="str">
        <f t="shared" si="5"/>
        <v/>
      </c>
      <c r="K1639" s="69" t="str">
        <f t="shared" si="6"/>
        <v/>
      </c>
      <c r="L1639" s="60" t="str">
        <f t="shared" si="7"/>
        <v/>
      </c>
      <c r="M1639" s="61" t="str">
        <f>IFERROR(__xludf.DUMMYFUNCTION("IFS(AND(COUNTA(C1639:C1673)=0,COUNTA(Q1639:Q1673)=0),"""",OR(AND(K1639&gt;=1000000000,OR(Y1639&gt;=1000000000,COUNTA(Q1639:Q1673)=0)),OR(Y1639&gt;=1000000000,AND(COUNTA(C1639:C1673)=0,P$3=TRUE))),
ROUNDDOWN((AB$1-AC$1)*MAX(INDEX(T$4:T1673,MATCH(LARGE(FILTER(Y$4:Y1"&amp;"673,Y$4:Y1673&lt;1000000000),1),Y$4:Y1673)),INDEX(F$4:F1673,MATCH(LARGE(FILTER(K$4:K1673,K$4:K1673&lt;1000000000),1),K$4:K1673)))),AND(K1639&lt;1000000000,COUNTA(C1639:C1673)&gt;0,P$3=FALSE),
ROUNDDOWN(INDEX(Y$4:Y1673,MATCH(LARGE(FILTER(W$4:W1673,W$4:W1673&lt;=I1639),1)"&amp;",W$4:W1673))+(I1639-LARGE(FILTER(W$4:W1673,W$4:W1673&lt;=I1639),1))*INDEX(T$4:T1673,MATCH(LARGE(FILTER(W$4:W1673,W$4:W1673&lt;=I1639),1),W$4:W1673))-K1639),1,
ROUNDDOWN(Y1639-INDEX(K$4:K1673,MATCH(LARGE(FILTER(I$4:I1673,I$4:I1673&lt;=W1639),1),I$4:I1673))-(W1639-L"&amp;"ARGE(FILTER(I$4:I1673,I$4:I1673&lt;=W1639),1))*INDEX(F$4:F1673,MATCH(LARGE(FILTER(I$4:I1673,I$4:I1673&lt;=W1639),1),I$4:I1673))))"),"")</f>
        <v/>
      </c>
      <c r="N1639" s="60" t="str">
        <f t="shared" si="8"/>
        <v/>
      </c>
      <c r="O1639" s="61" t="str">
        <f t="shared" si="9"/>
        <v/>
      </c>
      <c r="P1639" s="56" t="str">
        <f t="shared" si="10"/>
        <v/>
      </c>
      <c r="Q1639" s="57"/>
      <c r="R1639" s="10"/>
      <c r="S1639" s="59" t="str">
        <f t="array" ref="S1639">IF(COUNTA(Q1639:Q1673)=0,"",SUM((COUNTIF(Q$4:Q1639,Upgrades!$B$3:$B$13)-COUNTIF(Q$4:Q1639,"Sell_"&amp;Upgrades!$B$3:$B$13))*Upgrades!$D$3:$D$13))</f>
        <v/>
      </c>
      <c r="T1639" s="66" t="str">
        <f>IFERROR(__xludf.DUMMYFUNCTION("IF(COUNTA(Q1639:Q1673)=0,"""",IF(REGEXMATCH(INDEX(FILTER(Q$4:Q1639,Q$4:Q1639&lt;&gt;""""),ROWS(FILTER(Q$4:Q1639,Q$4:Q1639&lt;&gt;""""))),""^Sell_""),INDEX(FILTER(T$4:T1638,Q$4:Q1638&lt;&gt;""""),ROWS(FILTER(Q$4:Q1638,Q$4:Q1638&lt;&gt;""""))),$AD$5+S1639))"),"")</f>
        <v/>
      </c>
      <c r="U1639" s="10" t="str">
        <f>IFERROR(__xludf.DUMMYFUNCTION("IF(COUNTA(Q1639:Q1673)=0,"""",IF(Q1639="""",0,IF(REGEXMATCH(Q1639,""^Sell_""),-ROUNDDOWN(ROUNDUP(INDEX(Upgrades!$C$3:$C$13,MATCH(SUBSTITUTE(Q1639,""Sell_"",""""),Upgrades!$B$3:$B$13,0))*1.15^(COUNTIF(Q$4:Q1638,SUBSTITUTE(Q1639,""Sell_"",""""))-COUNTIF(Q$4"&amp;":Q1638,""Sell_""&amp;SUBSTITUTE(Q1639,""Sell_"",""""))))/2),ROUNDUP(INDEX(Upgrades!$C$3:$C$13,MATCH(Q1639,Upgrades!$B$3:$B$13,0))*1.15^(COUNTIF(Q$4:Q1638,Q1639)-COUNTIF(Q$4:Q1638,""Sell_""&amp;Q1639))))))"),"")</f>
        <v/>
      </c>
      <c r="V1639" s="10" t="str">
        <f t="shared" si="11"/>
        <v/>
      </c>
      <c r="W1639" s="68" t="str">
        <f t="shared" si="12"/>
        <v/>
      </c>
      <c r="X1639" s="59" t="str">
        <f t="shared" si="13"/>
        <v/>
      </c>
      <c r="Y1639" s="69" t="str">
        <f t="shared" si="14"/>
        <v/>
      </c>
      <c r="Z1639" s="11"/>
    </row>
    <row r="1640">
      <c r="A1640" s="8"/>
      <c r="B1640" s="56" t="str">
        <f t="shared" si="2"/>
        <v/>
      </c>
      <c r="C1640" s="105"/>
      <c r="D1640" s="10"/>
      <c r="E1640" s="59" t="str">
        <f t="array" ref="E1640">IF(COUNTA(C1640:C1673)=0,"",SUM((COUNTIF(C$4:C1640,Upgrades!$B$3:$B$13)-COUNTIF(C$4:C1640,"Sell_"&amp;Upgrades!$B$3:$B$13))*Upgrades!$D$3:$D$13))</f>
        <v/>
      </c>
      <c r="F1640" s="66" t="str">
        <f>IFERROR(__xludf.DUMMYFUNCTION("IF(COUNTA(C1640:C1673)=0,"""",IF(REGEXMATCH(INDEX(FILTER(C$4:C1640,C$4:C1640&lt;&gt;""""),ROWS(FILTER(C$4:C1640,C$4:C1640&lt;&gt;""""))),""^Sell_""),INDEX(FILTER(F$4:F1639,C$4:C1639&lt;&gt;""""),ROWS(FILTER(C$4:C1639,C$4:C1639&lt;&gt;""""))),$AC$5+E1640))"),"")</f>
        <v/>
      </c>
      <c r="G1640" s="10" t="str">
        <f>IFERROR(__xludf.DUMMYFUNCTION("IF(COUNTA(C1640:C1673)=0,"""",IF(C1640="""",0,IF(REGEXMATCH(C1640,""^Sell_""),-ROUNDDOWN(ROUNDUP(INDEX(Upgrades!$C$3:$C$13,MATCH(SUBSTITUTE(C1640,""Sell_"",""""),Upgrades!$B$3:$B$13,0))*1.15^(COUNTIF(C$4:C1639,SUBSTITUTE(C1640,""Sell_"",""""))-COUNTIF(C$4"&amp;":C1639,""Sell_""&amp;SUBSTITUTE(C1640,""Sell_"",""""))))/2),ROUNDUP(INDEX(Upgrades!$C$3:$C$13,MATCH(C1640,Upgrades!$B$3:$B$13,0))*1.15^(COUNTIF(C$4:C1639,C1640)-COUNTIF(C$4:C1639,""Sell_""&amp;C1640))))))"),"")</f>
        <v/>
      </c>
      <c r="H1640" s="10" t="str">
        <f t="shared" si="3"/>
        <v/>
      </c>
      <c r="I1640" s="68" t="str">
        <f t="shared" si="4"/>
        <v/>
      </c>
      <c r="J1640" s="59" t="str">
        <f t="shared" si="5"/>
        <v/>
      </c>
      <c r="K1640" s="69" t="str">
        <f t="shared" si="6"/>
        <v/>
      </c>
      <c r="L1640" s="60" t="str">
        <f t="shared" si="7"/>
        <v/>
      </c>
      <c r="M1640" s="61" t="str">
        <f>IFERROR(__xludf.DUMMYFUNCTION("IFS(AND(COUNTA(C1640:C1673)=0,COUNTA(Q1640:Q1673)=0),"""",OR(AND(K1640&gt;=1000000000,OR(Y1640&gt;=1000000000,COUNTA(Q1640:Q1673)=0)),OR(Y1640&gt;=1000000000,AND(COUNTA(C1640:C1673)=0,P$3=TRUE))),
ROUNDDOWN((AB$1-AC$1)*MAX(INDEX(T$4:T1673,MATCH(LARGE(FILTER(Y$4:Y1"&amp;"673,Y$4:Y1673&lt;1000000000),1),Y$4:Y1673)),INDEX(F$4:F1673,MATCH(LARGE(FILTER(K$4:K1673,K$4:K1673&lt;1000000000),1),K$4:K1673)))),AND(K1640&lt;1000000000,COUNTA(C1640:C1673)&gt;0,P$3=FALSE),
ROUNDDOWN(INDEX(Y$4:Y1673,MATCH(LARGE(FILTER(W$4:W1673,W$4:W1673&lt;=I1640),1)"&amp;",W$4:W1673))+(I1640-LARGE(FILTER(W$4:W1673,W$4:W1673&lt;=I1640),1))*INDEX(T$4:T1673,MATCH(LARGE(FILTER(W$4:W1673,W$4:W1673&lt;=I1640),1),W$4:W1673))-K1640),1,
ROUNDDOWN(Y1640-INDEX(K$4:K1673,MATCH(LARGE(FILTER(I$4:I1673,I$4:I1673&lt;=W1640),1),I$4:I1673))-(W1640-L"&amp;"ARGE(FILTER(I$4:I1673,I$4:I1673&lt;=W1640),1))*INDEX(F$4:F1673,MATCH(LARGE(FILTER(I$4:I1673,I$4:I1673&lt;=W1640),1),I$4:I1673))))"),"")</f>
        <v/>
      </c>
      <c r="N1640" s="60" t="str">
        <f t="shared" si="8"/>
        <v/>
      </c>
      <c r="O1640" s="61" t="str">
        <f t="shared" si="9"/>
        <v/>
      </c>
      <c r="P1640" s="56" t="str">
        <f t="shared" si="10"/>
        <v/>
      </c>
      <c r="Q1640" s="57"/>
      <c r="R1640" s="10"/>
      <c r="S1640" s="59" t="str">
        <f t="array" ref="S1640">IF(COUNTA(Q1640:Q1673)=0,"",SUM((COUNTIF(Q$4:Q1640,Upgrades!$B$3:$B$13)-COUNTIF(Q$4:Q1640,"Sell_"&amp;Upgrades!$B$3:$B$13))*Upgrades!$D$3:$D$13))</f>
        <v/>
      </c>
      <c r="T1640" s="66" t="str">
        <f>IFERROR(__xludf.DUMMYFUNCTION("IF(COUNTA(Q1640:Q1673)=0,"""",IF(REGEXMATCH(INDEX(FILTER(Q$4:Q1640,Q$4:Q1640&lt;&gt;""""),ROWS(FILTER(Q$4:Q1640,Q$4:Q1640&lt;&gt;""""))),""^Sell_""),INDEX(FILTER(T$4:T1639,Q$4:Q1639&lt;&gt;""""),ROWS(FILTER(Q$4:Q1639,Q$4:Q1639&lt;&gt;""""))),$AD$5+S1640))"),"")</f>
        <v/>
      </c>
      <c r="U1640" s="10" t="str">
        <f>IFERROR(__xludf.DUMMYFUNCTION("IF(COUNTA(Q1640:Q1673)=0,"""",IF(Q1640="""",0,IF(REGEXMATCH(Q1640,""^Sell_""),-ROUNDDOWN(ROUNDUP(INDEX(Upgrades!$C$3:$C$13,MATCH(SUBSTITUTE(Q1640,""Sell_"",""""),Upgrades!$B$3:$B$13,0))*1.15^(COUNTIF(Q$4:Q1639,SUBSTITUTE(Q1640,""Sell_"",""""))-COUNTIF(Q$4"&amp;":Q1639,""Sell_""&amp;SUBSTITUTE(Q1640,""Sell_"",""""))))/2),ROUNDUP(INDEX(Upgrades!$C$3:$C$13,MATCH(Q1640,Upgrades!$B$3:$B$13,0))*1.15^(COUNTIF(Q$4:Q1639,Q1640)-COUNTIF(Q$4:Q1639,""Sell_""&amp;Q1640))))))"),"")</f>
        <v/>
      </c>
      <c r="V1640" s="10" t="str">
        <f t="shared" si="11"/>
        <v/>
      </c>
      <c r="W1640" s="68" t="str">
        <f t="shared" si="12"/>
        <v/>
      </c>
      <c r="X1640" s="59" t="str">
        <f t="shared" si="13"/>
        <v/>
      </c>
      <c r="Y1640" s="69" t="str">
        <f t="shared" si="14"/>
        <v/>
      </c>
      <c r="Z1640" s="11"/>
    </row>
    <row r="1641">
      <c r="A1641" s="8"/>
      <c r="B1641" s="56" t="str">
        <f t="shared" si="2"/>
        <v/>
      </c>
      <c r="C1641" s="105"/>
      <c r="D1641" s="10"/>
      <c r="E1641" s="59" t="str">
        <f t="array" ref="E1641">IF(COUNTA(C1641:C1673)=0,"",SUM((COUNTIF(C$4:C1641,Upgrades!$B$3:$B$13)-COUNTIF(C$4:C1641,"Sell_"&amp;Upgrades!$B$3:$B$13))*Upgrades!$D$3:$D$13))</f>
        <v/>
      </c>
      <c r="F1641" s="66" t="str">
        <f>IFERROR(__xludf.DUMMYFUNCTION("IF(COUNTA(C1641:C1673)=0,"""",IF(REGEXMATCH(INDEX(FILTER(C$4:C1641,C$4:C1641&lt;&gt;""""),ROWS(FILTER(C$4:C1641,C$4:C1641&lt;&gt;""""))),""^Sell_""),INDEX(FILTER(F$4:F1640,C$4:C1640&lt;&gt;""""),ROWS(FILTER(C$4:C1640,C$4:C1640&lt;&gt;""""))),$AC$5+E1641))"),"")</f>
        <v/>
      </c>
      <c r="G1641" s="10" t="str">
        <f>IFERROR(__xludf.DUMMYFUNCTION("IF(COUNTA(C1641:C1673)=0,"""",IF(C1641="""",0,IF(REGEXMATCH(C1641,""^Sell_""),-ROUNDDOWN(ROUNDUP(INDEX(Upgrades!$C$3:$C$13,MATCH(SUBSTITUTE(C1641,""Sell_"",""""),Upgrades!$B$3:$B$13,0))*1.15^(COUNTIF(C$4:C1640,SUBSTITUTE(C1641,""Sell_"",""""))-COUNTIF(C$4"&amp;":C1640,""Sell_""&amp;SUBSTITUTE(C1641,""Sell_"",""""))))/2),ROUNDUP(INDEX(Upgrades!$C$3:$C$13,MATCH(C1641,Upgrades!$B$3:$B$13,0))*1.15^(COUNTIF(C$4:C1640,C1641)-COUNTIF(C$4:C1640,""Sell_""&amp;C1641))))))"),"")</f>
        <v/>
      </c>
      <c r="H1641" s="10" t="str">
        <f t="shared" si="3"/>
        <v/>
      </c>
      <c r="I1641" s="68" t="str">
        <f t="shared" si="4"/>
        <v/>
      </c>
      <c r="J1641" s="59" t="str">
        <f t="shared" si="5"/>
        <v/>
      </c>
      <c r="K1641" s="69" t="str">
        <f t="shared" si="6"/>
        <v/>
      </c>
      <c r="L1641" s="60" t="str">
        <f t="shared" si="7"/>
        <v/>
      </c>
      <c r="M1641" s="61" t="str">
        <f>IFERROR(__xludf.DUMMYFUNCTION("IFS(AND(COUNTA(C1641:C1673)=0,COUNTA(Q1641:Q1673)=0),"""",OR(AND(K1641&gt;=1000000000,OR(Y1641&gt;=1000000000,COUNTA(Q1641:Q1673)=0)),OR(Y1641&gt;=1000000000,AND(COUNTA(C1641:C1673)=0,P$3=TRUE))),
ROUNDDOWN((AB$1-AC$1)*MAX(INDEX(T$4:T1673,MATCH(LARGE(FILTER(Y$4:Y1"&amp;"673,Y$4:Y1673&lt;1000000000),1),Y$4:Y1673)),INDEX(F$4:F1673,MATCH(LARGE(FILTER(K$4:K1673,K$4:K1673&lt;1000000000),1),K$4:K1673)))),AND(K1641&lt;1000000000,COUNTA(C1641:C1673)&gt;0,P$3=FALSE),
ROUNDDOWN(INDEX(Y$4:Y1673,MATCH(LARGE(FILTER(W$4:W1673,W$4:W1673&lt;=I1641),1)"&amp;",W$4:W1673))+(I1641-LARGE(FILTER(W$4:W1673,W$4:W1673&lt;=I1641),1))*INDEX(T$4:T1673,MATCH(LARGE(FILTER(W$4:W1673,W$4:W1673&lt;=I1641),1),W$4:W1673))-K1641),1,
ROUNDDOWN(Y1641-INDEX(K$4:K1673,MATCH(LARGE(FILTER(I$4:I1673,I$4:I1673&lt;=W1641),1),I$4:I1673))-(W1641-L"&amp;"ARGE(FILTER(I$4:I1673,I$4:I1673&lt;=W1641),1))*INDEX(F$4:F1673,MATCH(LARGE(FILTER(I$4:I1673,I$4:I1673&lt;=W1641),1),I$4:I1673))))"),"")</f>
        <v/>
      </c>
      <c r="N1641" s="60" t="str">
        <f t="shared" si="8"/>
        <v/>
      </c>
      <c r="O1641" s="61" t="str">
        <f t="shared" si="9"/>
        <v/>
      </c>
      <c r="P1641" s="56" t="str">
        <f t="shared" si="10"/>
        <v/>
      </c>
      <c r="Q1641" s="57"/>
      <c r="R1641" s="10"/>
      <c r="S1641" s="59" t="str">
        <f t="array" ref="S1641">IF(COUNTA(Q1641:Q1673)=0,"",SUM((COUNTIF(Q$4:Q1641,Upgrades!$B$3:$B$13)-COUNTIF(Q$4:Q1641,"Sell_"&amp;Upgrades!$B$3:$B$13))*Upgrades!$D$3:$D$13))</f>
        <v/>
      </c>
      <c r="T1641" s="66" t="str">
        <f>IFERROR(__xludf.DUMMYFUNCTION("IF(COUNTA(Q1641:Q1673)=0,"""",IF(REGEXMATCH(INDEX(FILTER(Q$4:Q1641,Q$4:Q1641&lt;&gt;""""),ROWS(FILTER(Q$4:Q1641,Q$4:Q1641&lt;&gt;""""))),""^Sell_""),INDEX(FILTER(T$4:T1640,Q$4:Q1640&lt;&gt;""""),ROWS(FILTER(Q$4:Q1640,Q$4:Q1640&lt;&gt;""""))),$AD$5+S1641))"),"")</f>
        <v/>
      </c>
      <c r="U1641" s="10" t="str">
        <f>IFERROR(__xludf.DUMMYFUNCTION("IF(COUNTA(Q1641:Q1673)=0,"""",IF(Q1641="""",0,IF(REGEXMATCH(Q1641,""^Sell_""),-ROUNDDOWN(ROUNDUP(INDEX(Upgrades!$C$3:$C$13,MATCH(SUBSTITUTE(Q1641,""Sell_"",""""),Upgrades!$B$3:$B$13,0))*1.15^(COUNTIF(Q$4:Q1640,SUBSTITUTE(Q1641,""Sell_"",""""))-COUNTIF(Q$4"&amp;":Q1640,""Sell_""&amp;SUBSTITUTE(Q1641,""Sell_"",""""))))/2),ROUNDUP(INDEX(Upgrades!$C$3:$C$13,MATCH(Q1641,Upgrades!$B$3:$B$13,0))*1.15^(COUNTIF(Q$4:Q1640,Q1641)-COUNTIF(Q$4:Q1640,""Sell_""&amp;Q1641))))))"),"")</f>
        <v/>
      </c>
      <c r="V1641" s="10" t="str">
        <f t="shared" si="11"/>
        <v/>
      </c>
      <c r="W1641" s="68" t="str">
        <f t="shared" si="12"/>
        <v/>
      </c>
      <c r="X1641" s="59" t="str">
        <f t="shared" si="13"/>
        <v/>
      </c>
      <c r="Y1641" s="69" t="str">
        <f t="shared" si="14"/>
        <v/>
      </c>
      <c r="Z1641" s="11"/>
    </row>
    <row r="1642">
      <c r="A1642" s="8"/>
      <c r="B1642" s="56" t="str">
        <f t="shared" si="2"/>
        <v/>
      </c>
      <c r="C1642" s="105"/>
      <c r="D1642" s="10"/>
      <c r="E1642" s="59" t="str">
        <f t="array" ref="E1642">IF(COUNTA(C1642:C1673)=0,"",SUM((COUNTIF(C$4:C1642,Upgrades!$B$3:$B$13)-COUNTIF(C$4:C1642,"Sell_"&amp;Upgrades!$B$3:$B$13))*Upgrades!$D$3:$D$13))</f>
        <v/>
      </c>
      <c r="F1642" s="66" t="str">
        <f>IFERROR(__xludf.DUMMYFUNCTION("IF(COUNTA(C1642:C1673)=0,"""",IF(REGEXMATCH(INDEX(FILTER(C$4:C1642,C$4:C1642&lt;&gt;""""),ROWS(FILTER(C$4:C1642,C$4:C1642&lt;&gt;""""))),""^Sell_""),INDEX(FILTER(F$4:F1641,C$4:C1641&lt;&gt;""""),ROWS(FILTER(C$4:C1641,C$4:C1641&lt;&gt;""""))),$AC$5+E1642))"),"")</f>
        <v/>
      </c>
      <c r="G1642" s="10" t="str">
        <f>IFERROR(__xludf.DUMMYFUNCTION("IF(COUNTA(C1642:C1673)=0,"""",IF(C1642="""",0,IF(REGEXMATCH(C1642,""^Sell_""),-ROUNDDOWN(ROUNDUP(INDEX(Upgrades!$C$3:$C$13,MATCH(SUBSTITUTE(C1642,""Sell_"",""""),Upgrades!$B$3:$B$13,0))*1.15^(COUNTIF(C$4:C1641,SUBSTITUTE(C1642,""Sell_"",""""))-COUNTIF(C$4"&amp;":C1641,""Sell_""&amp;SUBSTITUTE(C1642,""Sell_"",""""))))/2),ROUNDUP(INDEX(Upgrades!$C$3:$C$13,MATCH(C1642,Upgrades!$B$3:$B$13,0))*1.15^(COUNTIF(C$4:C1641,C1642)-COUNTIF(C$4:C1641,""Sell_""&amp;C1642))))))"),"")</f>
        <v/>
      </c>
      <c r="H1642" s="10" t="str">
        <f t="shared" si="3"/>
        <v/>
      </c>
      <c r="I1642" s="68" t="str">
        <f t="shared" si="4"/>
        <v/>
      </c>
      <c r="J1642" s="59" t="str">
        <f t="shared" si="5"/>
        <v/>
      </c>
      <c r="K1642" s="69" t="str">
        <f t="shared" si="6"/>
        <v/>
      </c>
      <c r="L1642" s="60" t="str">
        <f t="shared" si="7"/>
        <v/>
      </c>
      <c r="M1642" s="61" t="str">
        <f>IFERROR(__xludf.DUMMYFUNCTION("IFS(AND(COUNTA(C1642:C1673)=0,COUNTA(Q1642:Q1673)=0),"""",OR(AND(K1642&gt;=1000000000,OR(Y1642&gt;=1000000000,COUNTA(Q1642:Q1673)=0)),OR(Y1642&gt;=1000000000,AND(COUNTA(C1642:C1673)=0,P$3=TRUE))),
ROUNDDOWN((AB$1-AC$1)*MAX(INDEX(T$4:T1673,MATCH(LARGE(FILTER(Y$4:Y1"&amp;"673,Y$4:Y1673&lt;1000000000),1),Y$4:Y1673)),INDEX(F$4:F1673,MATCH(LARGE(FILTER(K$4:K1673,K$4:K1673&lt;1000000000),1),K$4:K1673)))),AND(K1642&lt;1000000000,COUNTA(C1642:C1673)&gt;0,P$3=FALSE),
ROUNDDOWN(INDEX(Y$4:Y1673,MATCH(LARGE(FILTER(W$4:W1673,W$4:W1673&lt;=I1642),1)"&amp;",W$4:W1673))+(I1642-LARGE(FILTER(W$4:W1673,W$4:W1673&lt;=I1642),1))*INDEX(T$4:T1673,MATCH(LARGE(FILTER(W$4:W1673,W$4:W1673&lt;=I1642),1),W$4:W1673))-K1642),1,
ROUNDDOWN(Y1642-INDEX(K$4:K1673,MATCH(LARGE(FILTER(I$4:I1673,I$4:I1673&lt;=W1642),1),I$4:I1673))-(W1642-L"&amp;"ARGE(FILTER(I$4:I1673,I$4:I1673&lt;=W1642),1))*INDEX(F$4:F1673,MATCH(LARGE(FILTER(I$4:I1673,I$4:I1673&lt;=W1642),1),I$4:I1673))))"),"")</f>
        <v/>
      </c>
      <c r="N1642" s="60" t="str">
        <f t="shared" si="8"/>
        <v/>
      </c>
      <c r="O1642" s="61" t="str">
        <f t="shared" si="9"/>
        <v/>
      </c>
      <c r="P1642" s="56" t="str">
        <f t="shared" si="10"/>
        <v/>
      </c>
      <c r="Q1642" s="57"/>
      <c r="R1642" s="10"/>
      <c r="S1642" s="59" t="str">
        <f t="array" ref="S1642">IF(COUNTA(Q1642:Q1673)=0,"",SUM((COUNTIF(Q$4:Q1642,Upgrades!$B$3:$B$13)-COUNTIF(Q$4:Q1642,"Sell_"&amp;Upgrades!$B$3:$B$13))*Upgrades!$D$3:$D$13))</f>
        <v/>
      </c>
      <c r="T1642" s="66" t="str">
        <f>IFERROR(__xludf.DUMMYFUNCTION("IF(COUNTA(Q1642:Q1673)=0,"""",IF(REGEXMATCH(INDEX(FILTER(Q$4:Q1642,Q$4:Q1642&lt;&gt;""""),ROWS(FILTER(Q$4:Q1642,Q$4:Q1642&lt;&gt;""""))),""^Sell_""),INDEX(FILTER(T$4:T1641,Q$4:Q1641&lt;&gt;""""),ROWS(FILTER(Q$4:Q1641,Q$4:Q1641&lt;&gt;""""))),$AD$5+S1642))"),"")</f>
        <v/>
      </c>
      <c r="U1642" s="10" t="str">
        <f>IFERROR(__xludf.DUMMYFUNCTION("IF(COUNTA(Q1642:Q1673)=0,"""",IF(Q1642="""",0,IF(REGEXMATCH(Q1642,""^Sell_""),-ROUNDDOWN(ROUNDUP(INDEX(Upgrades!$C$3:$C$13,MATCH(SUBSTITUTE(Q1642,""Sell_"",""""),Upgrades!$B$3:$B$13,0))*1.15^(COUNTIF(Q$4:Q1641,SUBSTITUTE(Q1642,""Sell_"",""""))-COUNTIF(Q$4"&amp;":Q1641,""Sell_""&amp;SUBSTITUTE(Q1642,""Sell_"",""""))))/2),ROUNDUP(INDEX(Upgrades!$C$3:$C$13,MATCH(Q1642,Upgrades!$B$3:$B$13,0))*1.15^(COUNTIF(Q$4:Q1641,Q1642)-COUNTIF(Q$4:Q1641,""Sell_""&amp;Q1642))))))"),"")</f>
        <v/>
      </c>
      <c r="V1642" s="10" t="str">
        <f t="shared" si="11"/>
        <v/>
      </c>
      <c r="W1642" s="68" t="str">
        <f t="shared" si="12"/>
        <v/>
      </c>
      <c r="X1642" s="59" t="str">
        <f t="shared" si="13"/>
        <v/>
      </c>
      <c r="Y1642" s="69" t="str">
        <f t="shared" si="14"/>
        <v/>
      </c>
      <c r="Z1642" s="11"/>
    </row>
    <row r="1643">
      <c r="A1643" s="8"/>
      <c r="B1643" s="56" t="str">
        <f t="shared" si="2"/>
        <v/>
      </c>
      <c r="C1643" s="105"/>
      <c r="D1643" s="10"/>
      <c r="E1643" s="59" t="str">
        <f t="array" ref="E1643">IF(COUNTA(C1643:C1673)=0,"",SUM((COUNTIF(C$4:C1643,Upgrades!$B$3:$B$13)-COUNTIF(C$4:C1643,"Sell_"&amp;Upgrades!$B$3:$B$13))*Upgrades!$D$3:$D$13))</f>
        <v/>
      </c>
      <c r="F1643" s="66" t="str">
        <f>IFERROR(__xludf.DUMMYFUNCTION("IF(COUNTA(C1643:C1673)=0,"""",IF(REGEXMATCH(INDEX(FILTER(C$4:C1643,C$4:C1643&lt;&gt;""""),ROWS(FILTER(C$4:C1643,C$4:C1643&lt;&gt;""""))),""^Sell_""),INDEX(FILTER(F$4:F1642,C$4:C1642&lt;&gt;""""),ROWS(FILTER(C$4:C1642,C$4:C1642&lt;&gt;""""))),$AC$5+E1643))"),"")</f>
        <v/>
      </c>
      <c r="G1643" s="10" t="str">
        <f>IFERROR(__xludf.DUMMYFUNCTION("IF(COUNTA(C1643:C1673)=0,"""",IF(C1643="""",0,IF(REGEXMATCH(C1643,""^Sell_""),-ROUNDDOWN(ROUNDUP(INDEX(Upgrades!$C$3:$C$13,MATCH(SUBSTITUTE(C1643,""Sell_"",""""),Upgrades!$B$3:$B$13,0))*1.15^(COUNTIF(C$4:C1642,SUBSTITUTE(C1643,""Sell_"",""""))-COUNTIF(C$4"&amp;":C1642,""Sell_""&amp;SUBSTITUTE(C1643,""Sell_"",""""))))/2),ROUNDUP(INDEX(Upgrades!$C$3:$C$13,MATCH(C1643,Upgrades!$B$3:$B$13,0))*1.15^(COUNTIF(C$4:C1642,C1643)-COUNTIF(C$4:C1642,""Sell_""&amp;C1643))))))"),"")</f>
        <v/>
      </c>
      <c r="H1643" s="10" t="str">
        <f t="shared" si="3"/>
        <v/>
      </c>
      <c r="I1643" s="68" t="str">
        <f t="shared" si="4"/>
        <v/>
      </c>
      <c r="J1643" s="59" t="str">
        <f t="shared" si="5"/>
        <v/>
      </c>
      <c r="K1643" s="69" t="str">
        <f t="shared" si="6"/>
        <v/>
      </c>
      <c r="L1643" s="60" t="str">
        <f t="shared" si="7"/>
        <v/>
      </c>
      <c r="M1643" s="61" t="str">
        <f>IFERROR(__xludf.DUMMYFUNCTION("IFS(AND(COUNTA(C1643:C1673)=0,COUNTA(Q1643:Q1673)=0),"""",OR(AND(K1643&gt;=1000000000,OR(Y1643&gt;=1000000000,COUNTA(Q1643:Q1673)=0)),OR(Y1643&gt;=1000000000,AND(COUNTA(C1643:C1673)=0,P$3=TRUE))),
ROUNDDOWN((AB$1-AC$1)*MAX(INDEX(T$4:T1673,MATCH(LARGE(FILTER(Y$4:Y1"&amp;"673,Y$4:Y1673&lt;1000000000),1),Y$4:Y1673)),INDEX(F$4:F1673,MATCH(LARGE(FILTER(K$4:K1673,K$4:K1673&lt;1000000000),1),K$4:K1673)))),AND(K1643&lt;1000000000,COUNTA(C1643:C1673)&gt;0,P$3=FALSE),
ROUNDDOWN(INDEX(Y$4:Y1673,MATCH(LARGE(FILTER(W$4:W1673,W$4:W1673&lt;=I1643),1)"&amp;",W$4:W1673))+(I1643-LARGE(FILTER(W$4:W1673,W$4:W1673&lt;=I1643),1))*INDEX(T$4:T1673,MATCH(LARGE(FILTER(W$4:W1673,W$4:W1673&lt;=I1643),1),W$4:W1673))-K1643),1,
ROUNDDOWN(Y1643-INDEX(K$4:K1673,MATCH(LARGE(FILTER(I$4:I1673,I$4:I1673&lt;=W1643),1),I$4:I1673))-(W1643-L"&amp;"ARGE(FILTER(I$4:I1673,I$4:I1673&lt;=W1643),1))*INDEX(F$4:F1673,MATCH(LARGE(FILTER(I$4:I1673,I$4:I1673&lt;=W1643),1),I$4:I1673))))"),"")</f>
        <v/>
      </c>
      <c r="N1643" s="60" t="str">
        <f t="shared" si="8"/>
        <v/>
      </c>
      <c r="O1643" s="61" t="str">
        <f t="shared" si="9"/>
        <v/>
      </c>
      <c r="P1643" s="56" t="str">
        <f t="shared" si="10"/>
        <v/>
      </c>
      <c r="Q1643" s="57"/>
      <c r="R1643" s="10"/>
      <c r="S1643" s="59" t="str">
        <f t="array" ref="S1643">IF(COUNTA(Q1643:Q1673)=0,"",SUM((COUNTIF(Q$4:Q1643,Upgrades!$B$3:$B$13)-COUNTIF(Q$4:Q1643,"Sell_"&amp;Upgrades!$B$3:$B$13))*Upgrades!$D$3:$D$13))</f>
        <v/>
      </c>
      <c r="T1643" s="66" t="str">
        <f>IFERROR(__xludf.DUMMYFUNCTION("IF(COUNTA(Q1643:Q1673)=0,"""",IF(REGEXMATCH(INDEX(FILTER(Q$4:Q1643,Q$4:Q1643&lt;&gt;""""),ROWS(FILTER(Q$4:Q1643,Q$4:Q1643&lt;&gt;""""))),""^Sell_""),INDEX(FILTER(T$4:T1642,Q$4:Q1642&lt;&gt;""""),ROWS(FILTER(Q$4:Q1642,Q$4:Q1642&lt;&gt;""""))),$AD$5+S1643))"),"")</f>
        <v/>
      </c>
      <c r="U1643" s="10" t="str">
        <f>IFERROR(__xludf.DUMMYFUNCTION("IF(COUNTA(Q1643:Q1673)=0,"""",IF(Q1643="""",0,IF(REGEXMATCH(Q1643,""^Sell_""),-ROUNDDOWN(ROUNDUP(INDEX(Upgrades!$C$3:$C$13,MATCH(SUBSTITUTE(Q1643,""Sell_"",""""),Upgrades!$B$3:$B$13,0))*1.15^(COUNTIF(Q$4:Q1642,SUBSTITUTE(Q1643,""Sell_"",""""))-COUNTIF(Q$4"&amp;":Q1642,""Sell_""&amp;SUBSTITUTE(Q1643,""Sell_"",""""))))/2),ROUNDUP(INDEX(Upgrades!$C$3:$C$13,MATCH(Q1643,Upgrades!$B$3:$B$13,0))*1.15^(COUNTIF(Q$4:Q1642,Q1643)-COUNTIF(Q$4:Q1642,""Sell_""&amp;Q1643))))))"),"")</f>
        <v/>
      </c>
      <c r="V1643" s="10" t="str">
        <f t="shared" si="11"/>
        <v/>
      </c>
      <c r="W1643" s="68" t="str">
        <f t="shared" si="12"/>
        <v/>
      </c>
      <c r="X1643" s="59" t="str">
        <f t="shared" si="13"/>
        <v/>
      </c>
      <c r="Y1643" s="69" t="str">
        <f t="shared" si="14"/>
        <v/>
      </c>
      <c r="Z1643" s="11"/>
    </row>
    <row r="1644">
      <c r="A1644" s="8"/>
      <c r="B1644" s="56" t="str">
        <f t="shared" si="2"/>
        <v/>
      </c>
      <c r="C1644" s="105"/>
      <c r="D1644" s="10"/>
      <c r="E1644" s="59" t="str">
        <f t="array" ref="E1644">IF(COUNTA(C1644:C1673)=0,"",SUM((COUNTIF(C$4:C1644,Upgrades!$B$3:$B$13)-COUNTIF(C$4:C1644,"Sell_"&amp;Upgrades!$B$3:$B$13))*Upgrades!$D$3:$D$13))</f>
        <v/>
      </c>
      <c r="F1644" s="66" t="str">
        <f>IFERROR(__xludf.DUMMYFUNCTION("IF(COUNTA(C1644:C1673)=0,"""",IF(REGEXMATCH(INDEX(FILTER(C$4:C1644,C$4:C1644&lt;&gt;""""),ROWS(FILTER(C$4:C1644,C$4:C1644&lt;&gt;""""))),""^Sell_""),INDEX(FILTER(F$4:F1643,C$4:C1643&lt;&gt;""""),ROWS(FILTER(C$4:C1643,C$4:C1643&lt;&gt;""""))),$AC$5+E1644))"),"")</f>
        <v/>
      </c>
      <c r="G1644" s="10" t="str">
        <f>IFERROR(__xludf.DUMMYFUNCTION("IF(COUNTA(C1644:C1673)=0,"""",IF(C1644="""",0,IF(REGEXMATCH(C1644,""^Sell_""),-ROUNDDOWN(ROUNDUP(INDEX(Upgrades!$C$3:$C$13,MATCH(SUBSTITUTE(C1644,""Sell_"",""""),Upgrades!$B$3:$B$13,0))*1.15^(COUNTIF(C$4:C1643,SUBSTITUTE(C1644,""Sell_"",""""))-COUNTIF(C$4"&amp;":C1643,""Sell_""&amp;SUBSTITUTE(C1644,""Sell_"",""""))))/2),ROUNDUP(INDEX(Upgrades!$C$3:$C$13,MATCH(C1644,Upgrades!$B$3:$B$13,0))*1.15^(COUNTIF(C$4:C1643,C1644)-COUNTIF(C$4:C1643,""Sell_""&amp;C1644))))))"),"")</f>
        <v/>
      </c>
      <c r="H1644" s="10" t="str">
        <f t="shared" si="3"/>
        <v/>
      </c>
      <c r="I1644" s="68" t="str">
        <f t="shared" si="4"/>
        <v/>
      </c>
      <c r="J1644" s="59" t="str">
        <f t="shared" si="5"/>
        <v/>
      </c>
      <c r="K1644" s="69" t="str">
        <f t="shared" si="6"/>
        <v/>
      </c>
      <c r="L1644" s="60" t="str">
        <f t="shared" si="7"/>
        <v/>
      </c>
      <c r="M1644" s="61" t="str">
        <f>IFERROR(__xludf.DUMMYFUNCTION("IFS(AND(COUNTA(C1644:C1673)=0,COUNTA(Q1644:Q1673)=0),"""",OR(AND(K1644&gt;=1000000000,OR(Y1644&gt;=1000000000,COUNTA(Q1644:Q1673)=0)),OR(Y1644&gt;=1000000000,AND(COUNTA(C1644:C1673)=0,P$3=TRUE))),
ROUNDDOWN((AB$1-AC$1)*MAX(INDEX(T$4:T1673,MATCH(LARGE(FILTER(Y$4:Y1"&amp;"673,Y$4:Y1673&lt;1000000000),1),Y$4:Y1673)),INDEX(F$4:F1673,MATCH(LARGE(FILTER(K$4:K1673,K$4:K1673&lt;1000000000),1),K$4:K1673)))),AND(K1644&lt;1000000000,COUNTA(C1644:C1673)&gt;0,P$3=FALSE),
ROUNDDOWN(INDEX(Y$4:Y1673,MATCH(LARGE(FILTER(W$4:W1673,W$4:W1673&lt;=I1644),1)"&amp;",W$4:W1673))+(I1644-LARGE(FILTER(W$4:W1673,W$4:W1673&lt;=I1644),1))*INDEX(T$4:T1673,MATCH(LARGE(FILTER(W$4:W1673,W$4:W1673&lt;=I1644),1),W$4:W1673))-K1644),1,
ROUNDDOWN(Y1644-INDEX(K$4:K1673,MATCH(LARGE(FILTER(I$4:I1673,I$4:I1673&lt;=W1644),1),I$4:I1673))-(W1644-L"&amp;"ARGE(FILTER(I$4:I1673,I$4:I1673&lt;=W1644),1))*INDEX(F$4:F1673,MATCH(LARGE(FILTER(I$4:I1673,I$4:I1673&lt;=W1644),1),I$4:I1673))))"),"")</f>
        <v/>
      </c>
      <c r="N1644" s="60" t="str">
        <f t="shared" si="8"/>
        <v/>
      </c>
      <c r="O1644" s="61" t="str">
        <f t="shared" si="9"/>
        <v/>
      </c>
      <c r="P1644" s="56" t="str">
        <f t="shared" si="10"/>
        <v/>
      </c>
      <c r="Q1644" s="57"/>
      <c r="R1644" s="10"/>
      <c r="S1644" s="59" t="str">
        <f t="array" ref="S1644">IF(COUNTA(Q1644:Q1673)=0,"",SUM((COUNTIF(Q$4:Q1644,Upgrades!$B$3:$B$13)-COUNTIF(Q$4:Q1644,"Sell_"&amp;Upgrades!$B$3:$B$13))*Upgrades!$D$3:$D$13))</f>
        <v/>
      </c>
      <c r="T1644" s="66" t="str">
        <f>IFERROR(__xludf.DUMMYFUNCTION("IF(COUNTA(Q1644:Q1673)=0,"""",IF(REGEXMATCH(INDEX(FILTER(Q$4:Q1644,Q$4:Q1644&lt;&gt;""""),ROWS(FILTER(Q$4:Q1644,Q$4:Q1644&lt;&gt;""""))),""^Sell_""),INDEX(FILTER(T$4:T1643,Q$4:Q1643&lt;&gt;""""),ROWS(FILTER(Q$4:Q1643,Q$4:Q1643&lt;&gt;""""))),$AD$5+S1644))"),"")</f>
        <v/>
      </c>
      <c r="U1644" s="10" t="str">
        <f>IFERROR(__xludf.DUMMYFUNCTION("IF(COUNTA(Q1644:Q1673)=0,"""",IF(Q1644="""",0,IF(REGEXMATCH(Q1644,""^Sell_""),-ROUNDDOWN(ROUNDUP(INDEX(Upgrades!$C$3:$C$13,MATCH(SUBSTITUTE(Q1644,""Sell_"",""""),Upgrades!$B$3:$B$13,0))*1.15^(COUNTIF(Q$4:Q1643,SUBSTITUTE(Q1644,""Sell_"",""""))-COUNTIF(Q$4"&amp;":Q1643,""Sell_""&amp;SUBSTITUTE(Q1644,""Sell_"",""""))))/2),ROUNDUP(INDEX(Upgrades!$C$3:$C$13,MATCH(Q1644,Upgrades!$B$3:$B$13,0))*1.15^(COUNTIF(Q$4:Q1643,Q1644)-COUNTIF(Q$4:Q1643,""Sell_""&amp;Q1644))))))"),"")</f>
        <v/>
      </c>
      <c r="V1644" s="10" t="str">
        <f t="shared" si="11"/>
        <v/>
      </c>
      <c r="W1644" s="68" t="str">
        <f t="shared" si="12"/>
        <v/>
      </c>
      <c r="X1644" s="59" t="str">
        <f t="shared" si="13"/>
        <v/>
      </c>
      <c r="Y1644" s="69" t="str">
        <f t="shared" si="14"/>
        <v/>
      </c>
      <c r="Z1644" s="11"/>
    </row>
    <row r="1645">
      <c r="A1645" s="8"/>
      <c r="B1645" s="56" t="str">
        <f t="shared" si="2"/>
        <v/>
      </c>
      <c r="C1645" s="105"/>
      <c r="D1645" s="10"/>
      <c r="E1645" s="59" t="str">
        <f t="array" ref="E1645">IF(COUNTA(C1645:C1673)=0,"",SUM((COUNTIF(C$4:C1645,Upgrades!$B$3:$B$13)-COUNTIF(C$4:C1645,"Sell_"&amp;Upgrades!$B$3:$B$13))*Upgrades!$D$3:$D$13))</f>
        <v/>
      </c>
      <c r="F1645" s="66" t="str">
        <f>IFERROR(__xludf.DUMMYFUNCTION("IF(COUNTA(C1645:C1673)=0,"""",IF(REGEXMATCH(INDEX(FILTER(C$4:C1645,C$4:C1645&lt;&gt;""""),ROWS(FILTER(C$4:C1645,C$4:C1645&lt;&gt;""""))),""^Sell_""),INDEX(FILTER(F$4:F1644,C$4:C1644&lt;&gt;""""),ROWS(FILTER(C$4:C1644,C$4:C1644&lt;&gt;""""))),$AC$5+E1645))"),"")</f>
        <v/>
      </c>
      <c r="G1645" s="10" t="str">
        <f>IFERROR(__xludf.DUMMYFUNCTION("IF(COUNTA(C1645:C1673)=0,"""",IF(C1645="""",0,IF(REGEXMATCH(C1645,""^Sell_""),-ROUNDDOWN(ROUNDUP(INDEX(Upgrades!$C$3:$C$13,MATCH(SUBSTITUTE(C1645,""Sell_"",""""),Upgrades!$B$3:$B$13,0))*1.15^(COUNTIF(C$4:C1644,SUBSTITUTE(C1645,""Sell_"",""""))-COUNTIF(C$4"&amp;":C1644,""Sell_""&amp;SUBSTITUTE(C1645,""Sell_"",""""))))/2),ROUNDUP(INDEX(Upgrades!$C$3:$C$13,MATCH(C1645,Upgrades!$B$3:$B$13,0))*1.15^(COUNTIF(C$4:C1644,C1645)-COUNTIF(C$4:C1644,""Sell_""&amp;C1645))))))"),"")</f>
        <v/>
      </c>
      <c r="H1645" s="10" t="str">
        <f t="shared" si="3"/>
        <v/>
      </c>
      <c r="I1645" s="68" t="str">
        <f t="shared" si="4"/>
        <v/>
      </c>
      <c r="J1645" s="59" t="str">
        <f t="shared" si="5"/>
        <v/>
      </c>
      <c r="K1645" s="69" t="str">
        <f t="shared" si="6"/>
        <v/>
      </c>
      <c r="L1645" s="60" t="str">
        <f t="shared" si="7"/>
        <v/>
      </c>
      <c r="M1645" s="61" t="str">
        <f>IFERROR(__xludf.DUMMYFUNCTION("IFS(AND(COUNTA(C1645:C1673)=0,COUNTA(Q1645:Q1673)=0),"""",OR(AND(K1645&gt;=1000000000,OR(Y1645&gt;=1000000000,COUNTA(Q1645:Q1673)=0)),OR(Y1645&gt;=1000000000,AND(COUNTA(C1645:C1673)=0,P$3=TRUE))),
ROUNDDOWN((AB$1-AC$1)*MAX(INDEX(T$4:T1673,MATCH(LARGE(FILTER(Y$4:Y1"&amp;"673,Y$4:Y1673&lt;1000000000),1),Y$4:Y1673)),INDEX(F$4:F1673,MATCH(LARGE(FILTER(K$4:K1673,K$4:K1673&lt;1000000000),1),K$4:K1673)))),AND(K1645&lt;1000000000,COUNTA(C1645:C1673)&gt;0,P$3=FALSE),
ROUNDDOWN(INDEX(Y$4:Y1673,MATCH(LARGE(FILTER(W$4:W1673,W$4:W1673&lt;=I1645),1)"&amp;",W$4:W1673))+(I1645-LARGE(FILTER(W$4:W1673,W$4:W1673&lt;=I1645),1))*INDEX(T$4:T1673,MATCH(LARGE(FILTER(W$4:W1673,W$4:W1673&lt;=I1645),1),W$4:W1673))-K1645),1,
ROUNDDOWN(Y1645-INDEX(K$4:K1673,MATCH(LARGE(FILTER(I$4:I1673,I$4:I1673&lt;=W1645),1),I$4:I1673))-(W1645-L"&amp;"ARGE(FILTER(I$4:I1673,I$4:I1673&lt;=W1645),1))*INDEX(F$4:F1673,MATCH(LARGE(FILTER(I$4:I1673,I$4:I1673&lt;=W1645),1),I$4:I1673))))"),"")</f>
        <v/>
      </c>
      <c r="N1645" s="60" t="str">
        <f t="shared" si="8"/>
        <v/>
      </c>
      <c r="O1645" s="61" t="str">
        <f t="shared" si="9"/>
        <v/>
      </c>
      <c r="P1645" s="56" t="str">
        <f t="shared" si="10"/>
        <v/>
      </c>
      <c r="Q1645" s="57"/>
      <c r="R1645" s="10"/>
      <c r="S1645" s="59" t="str">
        <f t="array" ref="S1645">IF(COUNTA(Q1645:Q1673)=0,"",SUM((COUNTIF(Q$4:Q1645,Upgrades!$B$3:$B$13)-COUNTIF(Q$4:Q1645,"Sell_"&amp;Upgrades!$B$3:$B$13))*Upgrades!$D$3:$D$13))</f>
        <v/>
      </c>
      <c r="T1645" s="66" t="str">
        <f>IFERROR(__xludf.DUMMYFUNCTION("IF(COUNTA(Q1645:Q1673)=0,"""",IF(REGEXMATCH(INDEX(FILTER(Q$4:Q1645,Q$4:Q1645&lt;&gt;""""),ROWS(FILTER(Q$4:Q1645,Q$4:Q1645&lt;&gt;""""))),""^Sell_""),INDEX(FILTER(T$4:T1644,Q$4:Q1644&lt;&gt;""""),ROWS(FILTER(Q$4:Q1644,Q$4:Q1644&lt;&gt;""""))),$AD$5+S1645))"),"")</f>
        <v/>
      </c>
      <c r="U1645" s="10" t="str">
        <f>IFERROR(__xludf.DUMMYFUNCTION("IF(COUNTA(Q1645:Q1673)=0,"""",IF(Q1645="""",0,IF(REGEXMATCH(Q1645,""^Sell_""),-ROUNDDOWN(ROUNDUP(INDEX(Upgrades!$C$3:$C$13,MATCH(SUBSTITUTE(Q1645,""Sell_"",""""),Upgrades!$B$3:$B$13,0))*1.15^(COUNTIF(Q$4:Q1644,SUBSTITUTE(Q1645,""Sell_"",""""))-COUNTIF(Q$4"&amp;":Q1644,""Sell_""&amp;SUBSTITUTE(Q1645,""Sell_"",""""))))/2),ROUNDUP(INDEX(Upgrades!$C$3:$C$13,MATCH(Q1645,Upgrades!$B$3:$B$13,0))*1.15^(COUNTIF(Q$4:Q1644,Q1645)-COUNTIF(Q$4:Q1644,""Sell_""&amp;Q1645))))))"),"")</f>
        <v/>
      </c>
      <c r="V1645" s="10" t="str">
        <f t="shared" si="11"/>
        <v/>
      </c>
      <c r="W1645" s="68" t="str">
        <f t="shared" si="12"/>
        <v/>
      </c>
      <c r="X1645" s="59" t="str">
        <f t="shared" si="13"/>
        <v/>
      </c>
      <c r="Y1645" s="69" t="str">
        <f t="shared" si="14"/>
        <v/>
      </c>
      <c r="Z1645" s="11"/>
    </row>
    <row r="1646">
      <c r="A1646" s="8"/>
      <c r="B1646" s="56" t="str">
        <f t="shared" si="2"/>
        <v/>
      </c>
      <c r="C1646" s="105"/>
      <c r="D1646" s="10"/>
      <c r="E1646" s="59" t="str">
        <f t="array" ref="E1646">IF(COUNTA(C1646:C1673)=0,"",SUM((COUNTIF(C$4:C1646,Upgrades!$B$3:$B$13)-COUNTIF(C$4:C1646,"Sell_"&amp;Upgrades!$B$3:$B$13))*Upgrades!$D$3:$D$13))</f>
        <v/>
      </c>
      <c r="F1646" s="66" t="str">
        <f>IFERROR(__xludf.DUMMYFUNCTION("IF(COUNTA(C1646:C1673)=0,"""",IF(REGEXMATCH(INDEX(FILTER(C$4:C1646,C$4:C1646&lt;&gt;""""),ROWS(FILTER(C$4:C1646,C$4:C1646&lt;&gt;""""))),""^Sell_""),INDEX(FILTER(F$4:F1645,C$4:C1645&lt;&gt;""""),ROWS(FILTER(C$4:C1645,C$4:C1645&lt;&gt;""""))),$AC$5+E1646))"),"")</f>
        <v/>
      </c>
      <c r="G1646" s="10" t="str">
        <f>IFERROR(__xludf.DUMMYFUNCTION("IF(COUNTA(C1646:C1673)=0,"""",IF(C1646="""",0,IF(REGEXMATCH(C1646,""^Sell_""),-ROUNDDOWN(ROUNDUP(INDEX(Upgrades!$C$3:$C$13,MATCH(SUBSTITUTE(C1646,""Sell_"",""""),Upgrades!$B$3:$B$13,0))*1.15^(COUNTIF(C$4:C1645,SUBSTITUTE(C1646,""Sell_"",""""))-COUNTIF(C$4"&amp;":C1645,""Sell_""&amp;SUBSTITUTE(C1646,""Sell_"",""""))))/2),ROUNDUP(INDEX(Upgrades!$C$3:$C$13,MATCH(C1646,Upgrades!$B$3:$B$13,0))*1.15^(COUNTIF(C$4:C1645,C1646)-COUNTIF(C$4:C1645,""Sell_""&amp;C1646))))))"),"")</f>
        <v/>
      </c>
      <c r="H1646" s="10" t="str">
        <f t="shared" si="3"/>
        <v/>
      </c>
      <c r="I1646" s="68" t="str">
        <f t="shared" si="4"/>
        <v/>
      </c>
      <c r="J1646" s="59" t="str">
        <f t="shared" si="5"/>
        <v/>
      </c>
      <c r="K1646" s="69" t="str">
        <f t="shared" si="6"/>
        <v/>
      </c>
      <c r="L1646" s="60" t="str">
        <f t="shared" si="7"/>
        <v/>
      </c>
      <c r="M1646" s="61" t="str">
        <f>IFERROR(__xludf.DUMMYFUNCTION("IFS(AND(COUNTA(C1646:C1673)=0,COUNTA(Q1646:Q1673)=0),"""",OR(AND(K1646&gt;=1000000000,OR(Y1646&gt;=1000000000,COUNTA(Q1646:Q1673)=0)),OR(Y1646&gt;=1000000000,AND(COUNTA(C1646:C1673)=0,P$3=TRUE))),
ROUNDDOWN((AB$1-AC$1)*MAX(INDEX(T$4:T1673,MATCH(LARGE(FILTER(Y$4:Y1"&amp;"673,Y$4:Y1673&lt;1000000000),1),Y$4:Y1673)),INDEX(F$4:F1673,MATCH(LARGE(FILTER(K$4:K1673,K$4:K1673&lt;1000000000),1),K$4:K1673)))),AND(K1646&lt;1000000000,COUNTA(C1646:C1673)&gt;0,P$3=FALSE),
ROUNDDOWN(INDEX(Y$4:Y1673,MATCH(LARGE(FILTER(W$4:W1673,W$4:W1673&lt;=I1646),1)"&amp;",W$4:W1673))+(I1646-LARGE(FILTER(W$4:W1673,W$4:W1673&lt;=I1646),1))*INDEX(T$4:T1673,MATCH(LARGE(FILTER(W$4:W1673,W$4:W1673&lt;=I1646),1),W$4:W1673))-K1646),1,
ROUNDDOWN(Y1646-INDEX(K$4:K1673,MATCH(LARGE(FILTER(I$4:I1673,I$4:I1673&lt;=W1646),1),I$4:I1673))-(W1646-L"&amp;"ARGE(FILTER(I$4:I1673,I$4:I1673&lt;=W1646),1))*INDEX(F$4:F1673,MATCH(LARGE(FILTER(I$4:I1673,I$4:I1673&lt;=W1646),1),I$4:I1673))))"),"")</f>
        <v/>
      </c>
      <c r="N1646" s="60" t="str">
        <f t="shared" si="8"/>
        <v/>
      </c>
      <c r="O1646" s="61" t="str">
        <f t="shared" si="9"/>
        <v/>
      </c>
      <c r="P1646" s="56" t="str">
        <f t="shared" si="10"/>
        <v/>
      </c>
      <c r="Q1646" s="57"/>
      <c r="R1646" s="10"/>
      <c r="S1646" s="59" t="str">
        <f t="array" ref="S1646">IF(COUNTA(Q1646:Q1673)=0,"",SUM((COUNTIF(Q$4:Q1646,Upgrades!$B$3:$B$13)-COUNTIF(Q$4:Q1646,"Sell_"&amp;Upgrades!$B$3:$B$13))*Upgrades!$D$3:$D$13))</f>
        <v/>
      </c>
      <c r="T1646" s="66" t="str">
        <f>IFERROR(__xludf.DUMMYFUNCTION("IF(COUNTA(Q1646:Q1673)=0,"""",IF(REGEXMATCH(INDEX(FILTER(Q$4:Q1646,Q$4:Q1646&lt;&gt;""""),ROWS(FILTER(Q$4:Q1646,Q$4:Q1646&lt;&gt;""""))),""^Sell_""),INDEX(FILTER(T$4:T1645,Q$4:Q1645&lt;&gt;""""),ROWS(FILTER(Q$4:Q1645,Q$4:Q1645&lt;&gt;""""))),$AD$5+S1646))"),"")</f>
        <v/>
      </c>
      <c r="U1646" s="10" t="str">
        <f>IFERROR(__xludf.DUMMYFUNCTION("IF(COUNTA(Q1646:Q1673)=0,"""",IF(Q1646="""",0,IF(REGEXMATCH(Q1646,""^Sell_""),-ROUNDDOWN(ROUNDUP(INDEX(Upgrades!$C$3:$C$13,MATCH(SUBSTITUTE(Q1646,""Sell_"",""""),Upgrades!$B$3:$B$13,0))*1.15^(COUNTIF(Q$4:Q1645,SUBSTITUTE(Q1646,""Sell_"",""""))-COUNTIF(Q$4"&amp;":Q1645,""Sell_""&amp;SUBSTITUTE(Q1646,""Sell_"",""""))))/2),ROUNDUP(INDEX(Upgrades!$C$3:$C$13,MATCH(Q1646,Upgrades!$B$3:$B$13,0))*1.15^(COUNTIF(Q$4:Q1645,Q1646)-COUNTIF(Q$4:Q1645,""Sell_""&amp;Q1646))))))"),"")</f>
        <v/>
      </c>
      <c r="V1646" s="10" t="str">
        <f t="shared" si="11"/>
        <v/>
      </c>
      <c r="W1646" s="68" t="str">
        <f t="shared" si="12"/>
        <v/>
      </c>
      <c r="X1646" s="59" t="str">
        <f t="shared" si="13"/>
        <v/>
      </c>
      <c r="Y1646" s="69" t="str">
        <f t="shared" si="14"/>
        <v/>
      </c>
      <c r="Z1646" s="11"/>
    </row>
    <row r="1647">
      <c r="A1647" s="8"/>
      <c r="B1647" s="56" t="str">
        <f t="shared" si="2"/>
        <v/>
      </c>
      <c r="C1647" s="105"/>
      <c r="D1647" s="10"/>
      <c r="E1647" s="59" t="str">
        <f t="array" ref="E1647">IF(COUNTA(C1647:C1673)=0,"",SUM((COUNTIF(C$4:C1647,Upgrades!$B$3:$B$13)-COUNTIF(C$4:C1647,"Sell_"&amp;Upgrades!$B$3:$B$13))*Upgrades!$D$3:$D$13))</f>
        <v/>
      </c>
      <c r="F1647" s="66" t="str">
        <f>IFERROR(__xludf.DUMMYFUNCTION("IF(COUNTA(C1647:C1673)=0,"""",IF(REGEXMATCH(INDEX(FILTER(C$4:C1647,C$4:C1647&lt;&gt;""""),ROWS(FILTER(C$4:C1647,C$4:C1647&lt;&gt;""""))),""^Sell_""),INDEX(FILTER(F$4:F1646,C$4:C1646&lt;&gt;""""),ROWS(FILTER(C$4:C1646,C$4:C1646&lt;&gt;""""))),$AC$5+E1647))"),"")</f>
        <v/>
      </c>
      <c r="G1647" s="10" t="str">
        <f>IFERROR(__xludf.DUMMYFUNCTION("IF(COUNTA(C1647:C1673)=0,"""",IF(C1647="""",0,IF(REGEXMATCH(C1647,""^Sell_""),-ROUNDDOWN(ROUNDUP(INDEX(Upgrades!$C$3:$C$13,MATCH(SUBSTITUTE(C1647,""Sell_"",""""),Upgrades!$B$3:$B$13,0))*1.15^(COUNTIF(C$4:C1646,SUBSTITUTE(C1647,""Sell_"",""""))-COUNTIF(C$4"&amp;":C1646,""Sell_""&amp;SUBSTITUTE(C1647,""Sell_"",""""))))/2),ROUNDUP(INDEX(Upgrades!$C$3:$C$13,MATCH(C1647,Upgrades!$B$3:$B$13,0))*1.15^(COUNTIF(C$4:C1646,C1647)-COUNTIF(C$4:C1646,""Sell_""&amp;C1647))))))"),"")</f>
        <v/>
      </c>
      <c r="H1647" s="10" t="str">
        <f t="shared" si="3"/>
        <v/>
      </c>
      <c r="I1647" s="68" t="str">
        <f t="shared" si="4"/>
        <v/>
      </c>
      <c r="J1647" s="59" t="str">
        <f t="shared" si="5"/>
        <v/>
      </c>
      <c r="K1647" s="69" t="str">
        <f t="shared" si="6"/>
        <v/>
      </c>
      <c r="L1647" s="60" t="str">
        <f t="shared" si="7"/>
        <v/>
      </c>
      <c r="M1647" s="61" t="str">
        <f>IFERROR(__xludf.DUMMYFUNCTION("IFS(AND(COUNTA(C1647:C1673)=0,COUNTA(Q1647:Q1673)=0),"""",OR(AND(K1647&gt;=1000000000,OR(Y1647&gt;=1000000000,COUNTA(Q1647:Q1673)=0)),OR(Y1647&gt;=1000000000,AND(COUNTA(C1647:C1673)=0,P$3=TRUE))),
ROUNDDOWN((AB$1-AC$1)*MAX(INDEX(T$4:T1673,MATCH(LARGE(FILTER(Y$4:Y1"&amp;"673,Y$4:Y1673&lt;1000000000),1),Y$4:Y1673)),INDEX(F$4:F1673,MATCH(LARGE(FILTER(K$4:K1673,K$4:K1673&lt;1000000000),1),K$4:K1673)))),AND(K1647&lt;1000000000,COUNTA(C1647:C1673)&gt;0,P$3=FALSE),
ROUNDDOWN(INDEX(Y$4:Y1673,MATCH(LARGE(FILTER(W$4:W1673,W$4:W1673&lt;=I1647),1)"&amp;",W$4:W1673))+(I1647-LARGE(FILTER(W$4:W1673,W$4:W1673&lt;=I1647),1))*INDEX(T$4:T1673,MATCH(LARGE(FILTER(W$4:W1673,W$4:W1673&lt;=I1647),1),W$4:W1673))-K1647),1,
ROUNDDOWN(Y1647-INDEX(K$4:K1673,MATCH(LARGE(FILTER(I$4:I1673,I$4:I1673&lt;=W1647),1),I$4:I1673))-(W1647-L"&amp;"ARGE(FILTER(I$4:I1673,I$4:I1673&lt;=W1647),1))*INDEX(F$4:F1673,MATCH(LARGE(FILTER(I$4:I1673,I$4:I1673&lt;=W1647),1),I$4:I1673))))"),"")</f>
        <v/>
      </c>
      <c r="N1647" s="60" t="str">
        <f t="shared" si="8"/>
        <v/>
      </c>
      <c r="O1647" s="61" t="str">
        <f t="shared" si="9"/>
        <v/>
      </c>
      <c r="P1647" s="56" t="str">
        <f t="shared" si="10"/>
        <v/>
      </c>
      <c r="Q1647" s="57"/>
      <c r="R1647" s="10"/>
      <c r="S1647" s="59" t="str">
        <f t="array" ref="S1647">IF(COUNTA(Q1647:Q1673)=0,"",SUM((COUNTIF(Q$4:Q1647,Upgrades!$B$3:$B$13)-COUNTIF(Q$4:Q1647,"Sell_"&amp;Upgrades!$B$3:$B$13))*Upgrades!$D$3:$D$13))</f>
        <v/>
      </c>
      <c r="T1647" s="66" t="str">
        <f>IFERROR(__xludf.DUMMYFUNCTION("IF(COUNTA(Q1647:Q1673)=0,"""",IF(REGEXMATCH(INDEX(FILTER(Q$4:Q1647,Q$4:Q1647&lt;&gt;""""),ROWS(FILTER(Q$4:Q1647,Q$4:Q1647&lt;&gt;""""))),""^Sell_""),INDEX(FILTER(T$4:T1646,Q$4:Q1646&lt;&gt;""""),ROWS(FILTER(Q$4:Q1646,Q$4:Q1646&lt;&gt;""""))),$AD$5+S1647))"),"")</f>
        <v/>
      </c>
      <c r="U1647" s="10" t="str">
        <f>IFERROR(__xludf.DUMMYFUNCTION("IF(COUNTA(Q1647:Q1673)=0,"""",IF(Q1647="""",0,IF(REGEXMATCH(Q1647,""^Sell_""),-ROUNDDOWN(ROUNDUP(INDEX(Upgrades!$C$3:$C$13,MATCH(SUBSTITUTE(Q1647,""Sell_"",""""),Upgrades!$B$3:$B$13,0))*1.15^(COUNTIF(Q$4:Q1646,SUBSTITUTE(Q1647,""Sell_"",""""))-COUNTIF(Q$4"&amp;":Q1646,""Sell_""&amp;SUBSTITUTE(Q1647,""Sell_"",""""))))/2),ROUNDUP(INDEX(Upgrades!$C$3:$C$13,MATCH(Q1647,Upgrades!$B$3:$B$13,0))*1.15^(COUNTIF(Q$4:Q1646,Q1647)-COUNTIF(Q$4:Q1646,""Sell_""&amp;Q1647))))))"),"")</f>
        <v/>
      </c>
      <c r="V1647" s="10" t="str">
        <f t="shared" si="11"/>
        <v/>
      </c>
      <c r="W1647" s="68" t="str">
        <f t="shared" si="12"/>
        <v/>
      </c>
      <c r="X1647" s="59" t="str">
        <f t="shared" si="13"/>
        <v/>
      </c>
      <c r="Y1647" s="69" t="str">
        <f t="shared" si="14"/>
        <v/>
      </c>
      <c r="Z1647" s="11"/>
    </row>
    <row r="1648">
      <c r="A1648" s="8"/>
      <c r="B1648" s="56" t="str">
        <f t="shared" si="2"/>
        <v/>
      </c>
      <c r="C1648" s="105"/>
      <c r="D1648" s="10"/>
      <c r="E1648" s="59" t="str">
        <f t="array" ref="E1648">IF(COUNTA(C1648:C1673)=0,"",SUM((COUNTIF(C$4:C1648,Upgrades!$B$3:$B$13)-COUNTIF(C$4:C1648,"Sell_"&amp;Upgrades!$B$3:$B$13))*Upgrades!$D$3:$D$13))</f>
        <v/>
      </c>
      <c r="F1648" s="66" t="str">
        <f>IFERROR(__xludf.DUMMYFUNCTION("IF(COUNTA(C1648:C1673)=0,"""",IF(REGEXMATCH(INDEX(FILTER(C$4:C1648,C$4:C1648&lt;&gt;""""),ROWS(FILTER(C$4:C1648,C$4:C1648&lt;&gt;""""))),""^Sell_""),INDEX(FILTER(F$4:F1647,C$4:C1647&lt;&gt;""""),ROWS(FILTER(C$4:C1647,C$4:C1647&lt;&gt;""""))),$AC$5+E1648))"),"")</f>
        <v/>
      </c>
      <c r="G1648" s="10" t="str">
        <f>IFERROR(__xludf.DUMMYFUNCTION("IF(COUNTA(C1648:C1673)=0,"""",IF(C1648="""",0,IF(REGEXMATCH(C1648,""^Sell_""),-ROUNDDOWN(ROUNDUP(INDEX(Upgrades!$C$3:$C$13,MATCH(SUBSTITUTE(C1648,""Sell_"",""""),Upgrades!$B$3:$B$13,0))*1.15^(COUNTIF(C$4:C1647,SUBSTITUTE(C1648,""Sell_"",""""))-COUNTIF(C$4"&amp;":C1647,""Sell_""&amp;SUBSTITUTE(C1648,""Sell_"",""""))))/2),ROUNDUP(INDEX(Upgrades!$C$3:$C$13,MATCH(C1648,Upgrades!$B$3:$B$13,0))*1.15^(COUNTIF(C$4:C1647,C1648)-COUNTIF(C$4:C1647,""Sell_""&amp;C1648))))))"),"")</f>
        <v/>
      </c>
      <c r="H1648" s="10" t="str">
        <f t="shared" si="3"/>
        <v/>
      </c>
      <c r="I1648" s="68" t="str">
        <f t="shared" si="4"/>
        <v/>
      </c>
      <c r="J1648" s="59" t="str">
        <f t="shared" si="5"/>
        <v/>
      </c>
      <c r="K1648" s="69" t="str">
        <f t="shared" si="6"/>
        <v/>
      </c>
      <c r="L1648" s="60" t="str">
        <f t="shared" si="7"/>
        <v/>
      </c>
      <c r="M1648" s="61" t="str">
        <f>IFERROR(__xludf.DUMMYFUNCTION("IFS(AND(COUNTA(C1648:C1673)=0,COUNTA(Q1648:Q1673)=0),"""",OR(AND(K1648&gt;=1000000000,OR(Y1648&gt;=1000000000,COUNTA(Q1648:Q1673)=0)),OR(Y1648&gt;=1000000000,AND(COUNTA(C1648:C1673)=0,P$3=TRUE))),
ROUNDDOWN((AB$1-AC$1)*MAX(INDEX(T$4:T1673,MATCH(LARGE(FILTER(Y$4:Y1"&amp;"673,Y$4:Y1673&lt;1000000000),1),Y$4:Y1673)),INDEX(F$4:F1673,MATCH(LARGE(FILTER(K$4:K1673,K$4:K1673&lt;1000000000),1),K$4:K1673)))),AND(K1648&lt;1000000000,COUNTA(C1648:C1673)&gt;0,P$3=FALSE),
ROUNDDOWN(INDEX(Y$4:Y1673,MATCH(LARGE(FILTER(W$4:W1673,W$4:W1673&lt;=I1648),1)"&amp;",W$4:W1673))+(I1648-LARGE(FILTER(W$4:W1673,W$4:W1673&lt;=I1648),1))*INDEX(T$4:T1673,MATCH(LARGE(FILTER(W$4:W1673,W$4:W1673&lt;=I1648),1),W$4:W1673))-K1648),1,
ROUNDDOWN(Y1648-INDEX(K$4:K1673,MATCH(LARGE(FILTER(I$4:I1673,I$4:I1673&lt;=W1648),1),I$4:I1673))-(W1648-L"&amp;"ARGE(FILTER(I$4:I1673,I$4:I1673&lt;=W1648),1))*INDEX(F$4:F1673,MATCH(LARGE(FILTER(I$4:I1673,I$4:I1673&lt;=W1648),1),I$4:I1673))))"),"")</f>
        <v/>
      </c>
      <c r="N1648" s="60" t="str">
        <f t="shared" si="8"/>
        <v/>
      </c>
      <c r="O1648" s="61" t="str">
        <f t="shared" si="9"/>
        <v/>
      </c>
      <c r="P1648" s="56" t="str">
        <f t="shared" si="10"/>
        <v/>
      </c>
      <c r="Q1648" s="57"/>
      <c r="R1648" s="10"/>
      <c r="S1648" s="59" t="str">
        <f t="array" ref="S1648">IF(COUNTA(Q1648:Q1673)=0,"",SUM((COUNTIF(Q$4:Q1648,Upgrades!$B$3:$B$13)-COUNTIF(Q$4:Q1648,"Sell_"&amp;Upgrades!$B$3:$B$13))*Upgrades!$D$3:$D$13))</f>
        <v/>
      </c>
      <c r="T1648" s="66" t="str">
        <f>IFERROR(__xludf.DUMMYFUNCTION("IF(COUNTA(Q1648:Q1673)=0,"""",IF(REGEXMATCH(INDEX(FILTER(Q$4:Q1648,Q$4:Q1648&lt;&gt;""""),ROWS(FILTER(Q$4:Q1648,Q$4:Q1648&lt;&gt;""""))),""^Sell_""),INDEX(FILTER(T$4:T1647,Q$4:Q1647&lt;&gt;""""),ROWS(FILTER(Q$4:Q1647,Q$4:Q1647&lt;&gt;""""))),$AD$5+S1648))"),"")</f>
        <v/>
      </c>
      <c r="U1648" s="10" t="str">
        <f>IFERROR(__xludf.DUMMYFUNCTION("IF(COUNTA(Q1648:Q1673)=0,"""",IF(Q1648="""",0,IF(REGEXMATCH(Q1648,""^Sell_""),-ROUNDDOWN(ROUNDUP(INDEX(Upgrades!$C$3:$C$13,MATCH(SUBSTITUTE(Q1648,""Sell_"",""""),Upgrades!$B$3:$B$13,0))*1.15^(COUNTIF(Q$4:Q1647,SUBSTITUTE(Q1648,""Sell_"",""""))-COUNTIF(Q$4"&amp;":Q1647,""Sell_""&amp;SUBSTITUTE(Q1648,""Sell_"",""""))))/2),ROUNDUP(INDEX(Upgrades!$C$3:$C$13,MATCH(Q1648,Upgrades!$B$3:$B$13,0))*1.15^(COUNTIF(Q$4:Q1647,Q1648)-COUNTIF(Q$4:Q1647,""Sell_""&amp;Q1648))))))"),"")</f>
        <v/>
      </c>
      <c r="V1648" s="10" t="str">
        <f t="shared" si="11"/>
        <v/>
      </c>
      <c r="W1648" s="68" t="str">
        <f t="shared" si="12"/>
        <v/>
      </c>
      <c r="X1648" s="59" t="str">
        <f t="shared" si="13"/>
        <v/>
      </c>
      <c r="Y1648" s="69" t="str">
        <f t="shared" si="14"/>
        <v/>
      </c>
      <c r="Z1648" s="11"/>
    </row>
    <row r="1649">
      <c r="A1649" s="8"/>
      <c r="B1649" s="56" t="str">
        <f t="shared" si="2"/>
        <v/>
      </c>
      <c r="C1649" s="105"/>
      <c r="D1649" s="10"/>
      <c r="E1649" s="59" t="str">
        <f t="array" ref="E1649">IF(COUNTA(C1649:C1673)=0,"",SUM((COUNTIF(C$4:C1649,Upgrades!$B$3:$B$13)-COUNTIF(C$4:C1649,"Sell_"&amp;Upgrades!$B$3:$B$13))*Upgrades!$D$3:$D$13))</f>
        <v/>
      </c>
      <c r="F1649" s="66" t="str">
        <f>IFERROR(__xludf.DUMMYFUNCTION("IF(COUNTA(C1649:C1673)=0,"""",IF(REGEXMATCH(INDEX(FILTER(C$4:C1649,C$4:C1649&lt;&gt;""""),ROWS(FILTER(C$4:C1649,C$4:C1649&lt;&gt;""""))),""^Sell_""),INDEX(FILTER(F$4:F1648,C$4:C1648&lt;&gt;""""),ROWS(FILTER(C$4:C1648,C$4:C1648&lt;&gt;""""))),$AC$5+E1649))"),"")</f>
        <v/>
      </c>
      <c r="G1649" s="10" t="str">
        <f>IFERROR(__xludf.DUMMYFUNCTION("IF(COUNTA(C1649:C1673)=0,"""",IF(C1649="""",0,IF(REGEXMATCH(C1649,""^Sell_""),-ROUNDDOWN(ROUNDUP(INDEX(Upgrades!$C$3:$C$13,MATCH(SUBSTITUTE(C1649,""Sell_"",""""),Upgrades!$B$3:$B$13,0))*1.15^(COUNTIF(C$4:C1648,SUBSTITUTE(C1649,""Sell_"",""""))-COUNTIF(C$4"&amp;":C1648,""Sell_""&amp;SUBSTITUTE(C1649,""Sell_"",""""))))/2),ROUNDUP(INDEX(Upgrades!$C$3:$C$13,MATCH(C1649,Upgrades!$B$3:$B$13,0))*1.15^(COUNTIF(C$4:C1648,C1649)-COUNTIF(C$4:C1648,""Sell_""&amp;C1649))))))"),"")</f>
        <v/>
      </c>
      <c r="H1649" s="10" t="str">
        <f t="shared" si="3"/>
        <v/>
      </c>
      <c r="I1649" s="68" t="str">
        <f t="shared" si="4"/>
        <v/>
      </c>
      <c r="J1649" s="59" t="str">
        <f t="shared" si="5"/>
        <v/>
      </c>
      <c r="K1649" s="69" t="str">
        <f t="shared" si="6"/>
        <v/>
      </c>
      <c r="L1649" s="60" t="str">
        <f t="shared" si="7"/>
        <v/>
      </c>
      <c r="M1649" s="61" t="str">
        <f>IFERROR(__xludf.DUMMYFUNCTION("IFS(AND(COUNTA(C1649:C1673)=0,COUNTA(Q1649:Q1673)=0),"""",OR(AND(K1649&gt;=1000000000,OR(Y1649&gt;=1000000000,COUNTA(Q1649:Q1673)=0)),OR(Y1649&gt;=1000000000,AND(COUNTA(C1649:C1673)=0,P$3=TRUE))),
ROUNDDOWN((AB$1-AC$1)*MAX(INDEX(T$4:T1673,MATCH(LARGE(FILTER(Y$4:Y1"&amp;"673,Y$4:Y1673&lt;1000000000),1),Y$4:Y1673)),INDEX(F$4:F1673,MATCH(LARGE(FILTER(K$4:K1673,K$4:K1673&lt;1000000000),1),K$4:K1673)))),AND(K1649&lt;1000000000,COUNTA(C1649:C1673)&gt;0,P$3=FALSE),
ROUNDDOWN(INDEX(Y$4:Y1673,MATCH(LARGE(FILTER(W$4:W1673,W$4:W1673&lt;=I1649),1)"&amp;",W$4:W1673))+(I1649-LARGE(FILTER(W$4:W1673,W$4:W1673&lt;=I1649),1))*INDEX(T$4:T1673,MATCH(LARGE(FILTER(W$4:W1673,W$4:W1673&lt;=I1649),1),W$4:W1673))-K1649),1,
ROUNDDOWN(Y1649-INDEX(K$4:K1673,MATCH(LARGE(FILTER(I$4:I1673,I$4:I1673&lt;=W1649),1),I$4:I1673))-(W1649-L"&amp;"ARGE(FILTER(I$4:I1673,I$4:I1673&lt;=W1649),1))*INDEX(F$4:F1673,MATCH(LARGE(FILTER(I$4:I1673,I$4:I1673&lt;=W1649),1),I$4:I1673))))"),"")</f>
        <v/>
      </c>
      <c r="N1649" s="60" t="str">
        <f t="shared" si="8"/>
        <v/>
      </c>
      <c r="O1649" s="61" t="str">
        <f t="shared" si="9"/>
        <v/>
      </c>
      <c r="P1649" s="56" t="str">
        <f t="shared" si="10"/>
        <v/>
      </c>
      <c r="Q1649" s="57"/>
      <c r="R1649" s="10"/>
      <c r="S1649" s="59" t="str">
        <f t="array" ref="S1649">IF(COUNTA(Q1649:Q1673)=0,"",SUM((COUNTIF(Q$4:Q1649,Upgrades!$B$3:$B$13)-COUNTIF(Q$4:Q1649,"Sell_"&amp;Upgrades!$B$3:$B$13))*Upgrades!$D$3:$D$13))</f>
        <v/>
      </c>
      <c r="T1649" s="66" t="str">
        <f>IFERROR(__xludf.DUMMYFUNCTION("IF(COUNTA(Q1649:Q1673)=0,"""",IF(REGEXMATCH(INDEX(FILTER(Q$4:Q1649,Q$4:Q1649&lt;&gt;""""),ROWS(FILTER(Q$4:Q1649,Q$4:Q1649&lt;&gt;""""))),""^Sell_""),INDEX(FILTER(T$4:T1648,Q$4:Q1648&lt;&gt;""""),ROWS(FILTER(Q$4:Q1648,Q$4:Q1648&lt;&gt;""""))),$AD$5+S1649))"),"")</f>
        <v/>
      </c>
      <c r="U1649" s="10" t="str">
        <f>IFERROR(__xludf.DUMMYFUNCTION("IF(COUNTA(Q1649:Q1673)=0,"""",IF(Q1649="""",0,IF(REGEXMATCH(Q1649,""^Sell_""),-ROUNDDOWN(ROUNDUP(INDEX(Upgrades!$C$3:$C$13,MATCH(SUBSTITUTE(Q1649,""Sell_"",""""),Upgrades!$B$3:$B$13,0))*1.15^(COUNTIF(Q$4:Q1648,SUBSTITUTE(Q1649,""Sell_"",""""))-COUNTIF(Q$4"&amp;":Q1648,""Sell_""&amp;SUBSTITUTE(Q1649,""Sell_"",""""))))/2),ROUNDUP(INDEX(Upgrades!$C$3:$C$13,MATCH(Q1649,Upgrades!$B$3:$B$13,0))*1.15^(COUNTIF(Q$4:Q1648,Q1649)-COUNTIF(Q$4:Q1648,""Sell_""&amp;Q1649))))))"),"")</f>
        <v/>
      </c>
      <c r="V1649" s="10" t="str">
        <f t="shared" si="11"/>
        <v/>
      </c>
      <c r="W1649" s="68" t="str">
        <f t="shared" si="12"/>
        <v/>
      </c>
      <c r="X1649" s="59" t="str">
        <f t="shared" si="13"/>
        <v/>
      </c>
      <c r="Y1649" s="69" t="str">
        <f t="shared" si="14"/>
        <v/>
      </c>
      <c r="Z1649" s="11"/>
    </row>
    <row r="1650">
      <c r="A1650" s="8"/>
      <c r="B1650" s="56" t="str">
        <f t="shared" si="2"/>
        <v/>
      </c>
      <c r="C1650" s="105"/>
      <c r="D1650" s="10"/>
      <c r="E1650" s="59" t="str">
        <f t="array" ref="E1650">IF(COUNTA(C1650:C1673)=0,"",SUM((COUNTIF(C$4:C1650,Upgrades!$B$3:$B$13)-COUNTIF(C$4:C1650,"Sell_"&amp;Upgrades!$B$3:$B$13))*Upgrades!$D$3:$D$13))</f>
        <v/>
      </c>
      <c r="F1650" s="66" t="str">
        <f>IFERROR(__xludf.DUMMYFUNCTION("IF(COUNTA(C1650:C1673)=0,"""",IF(REGEXMATCH(INDEX(FILTER(C$4:C1650,C$4:C1650&lt;&gt;""""),ROWS(FILTER(C$4:C1650,C$4:C1650&lt;&gt;""""))),""^Sell_""),INDEX(FILTER(F$4:F1649,C$4:C1649&lt;&gt;""""),ROWS(FILTER(C$4:C1649,C$4:C1649&lt;&gt;""""))),$AC$5+E1650))"),"")</f>
        <v/>
      </c>
      <c r="G1650" s="10" t="str">
        <f>IFERROR(__xludf.DUMMYFUNCTION("IF(COUNTA(C1650:C1673)=0,"""",IF(C1650="""",0,IF(REGEXMATCH(C1650,""^Sell_""),-ROUNDDOWN(ROUNDUP(INDEX(Upgrades!$C$3:$C$13,MATCH(SUBSTITUTE(C1650,""Sell_"",""""),Upgrades!$B$3:$B$13,0))*1.15^(COUNTIF(C$4:C1649,SUBSTITUTE(C1650,""Sell_"",""""))-COUNTIF(C$4"&amp;":C1649,""Sell_""&amp;SUBSTITUTE(C1650,""Sell_"",""""))))/2),ROUNDUP(INDEX(Upgrades!$C$3:$C$13,MATCH(C1650,Upgrades!$B$3:$B$13,0))*1.15^(COUNTIF(C$4:C1649,C1650)-COUNTIF(C$4:C1649,""Sell_""&amp;C1650))))))"),"")</f>
        <v/>
      </c>
      <c r="H1650" s="10" t="str">
        <f t="shared" si="3"/>
        <v/>
      </c>
      <c r="I1650" s="68" t="str">
        <f t="shared" si="4"/>
        <v/>
      </c>
      <c r="J1650" s="59" t="str">
        <f t="shared" si="5"/>
        <v/>
      </c>
      <c r="K1650" s="69" t="str">
        <f t="shared" si="6"/>
        <v/>
      </c>
      <c r="L1650" s="60" t="str">
        <f t="shared" si="7"/>
        <v/>
      </c>
      <c r="M1650" s="61" t="str">
        <f>IFERROR(__xludf.DUMMYFUNCTION("IFS(AND(COUNTA(C1650:C1673)=0,COUNTA(Q1650:Q1673)=0),"""",OR(AND(K1650&gt;=1000000000,OR(Y1650&gt;=1000000000,COUNTA(Q1650:Q1673)=0)),OR(Y1650&gt;=1000000000,AND(COUNTA(C1650:C1673)=0,P$3=TRUE))),
ROUNDDOWN((AB$1-AC$1)*MAX(INDEX(T$4:T1673,MATCH(LARGE(FILTER(Y$4:Y1"&amp;"673,Y$4:Y1673&lt;1000000000),1),Y$4:Y1673)),INDEX(F$4:F1673,MATCH(LARGE(FILTER(K$4:K1673,K$4:K1673&lt;1000000000),1),K$4:K1673)))),AND(K1650&lt;1000000000,COUNTA(C1650:C1673)&gt;0,P$3=FALSE),
ROUNDDOWN(INDEX(Y$4:Y1673,MATCH(LARGE(FILTER(W$4:W1673,W$4:W1673&lt;=I1650),1)"&amp;",W$4:W1673))+(I1650-LARGE(FILTER(W$4:W1673,W$4:W1673&lt;=I1650),1))*INDEX(T$4:T1673,MATCH(LARGE(FILTER(W$4:W1673,W$4:W1673&lt;=I1650),1),W$4:W1673))-K1650),1,
ROUNDDOWN(Y1650-INDEX(K$4:K1673,MATCH(LARGE(FILTER(I$4:I1673,I$4:I1673&lt;=W1650),1),I$4:I1673))-(W1650-L"&amp;"ARGE(FILTER(I$4:I1673,I$4:I1673&lt;=W1650),1))*INDEX(F$4:F1673,MATCH(LARGE(FILTER(I$4:I1673,I$4:I1673&lt;=W1650),1),I$4:I1673))))"),"")</f>
        <v/>
      </c>
      <c r="N1650" s="60" t="str">
        <f t="shared" si="8"/>
        <v/>
      </c>
      <c r="O1650" s="61" t="str">
        <f t="shared" si="9"/>
        <v/>
      </c>
      <c r="P1650" s="56" t="str">
        <f t="shared" si="10"/>
        <v/>
      </c>
      <c r="Q1650" s="57"/>
      <c r="R1650" s="10"/>
      <c r="S1650" s="59" t="str">
        <f t="array" ref="S1650">IF(COUNTA(Q1650:Q1673)=0,"",SUM((COUNTIF(Q$4:Q1650,Upgrades!$B$3:$B$13)-COUNTIF(Q$4:Q1650,"Sell_"&amp;Upgrades!$B$3:$B$13))*Upgrades!$D$3:$D$13))</f>
        <v/>
      </c>
      <c r="T1650" s="66" t="str">
        <f>IFERROR(__xludf.DUMMYFUNCTION("IF(COUNTA(Q1650:Q1673)=0,"""",IF(REGEXMATCH(INDEX(FILTER(Q$4:Q1650,Q$4:Q1650&lt;&gt;""""),ROWS(FILTER(Q$4:Q1650,Q$4:Q1650&lt;&gt;""""))),""^Sell_""),INDEX(FILTER(T$4:T1649,Q$4:Q1649&lt;&gt;""""),ROWS(FILTER(Q$4:Q1649,Q$4:Q1649&lt;&gt;""""))),$AD$5+S1650))"),"")</f>
        <v/>
      </c>
      <c r="U1650" s="10" t="str">
        <f>IFERROR(__xludf.DUMMYFUNCTION("IF(COUNTA(Q1650:Q1673)=0,"""",IF(Q1650="""",0,IF(REGEXMATCH(Q1650,""^Sell_""),-ROUNDDOWN(ROUNDUP(INDEX(Upgrades!$C$3:$C$13,MATCH(SUBSTITUTE(Q1650,""Sell_"",""""),Upgrades!$B$3:$B$13,0))*1.15^(COUNTIF(Q$4:Q1649,SUBSTITUTE(Q1650,""Sell_"",""""))-COUNTIF(Q$4"&amp;":Q1649,""Sell_""&amp;SUBSTITUTE(Q1650,""Sell_"",""""))))/2),ROUNDUP(INDEX(Upgrades!$C$3:$C$13,MATCH(Q1650,Upgrades!$B$3:$B$13,0))*1.15^(COUNTIF(Q$4:Q1649,Q1650)-COUNTIF(Q$4:Q1649,""Sell_""&amp;Q1650))))))"),"")</f>
        <v/>
      </c>
      <c r="V1650" s="10" t="str">
        <f t="shared" si="11"/>
        <v/>
      </c>
      <c r="W1650" s="68" t="str">
        <f t="shared" si="12"/>
        <v/>
      </c>
      <c r="X1650" s="59" t="str">
        <f t="shared" si="13"/>
        <v/>
      </c>
      <c r="Y1650" s="69" t="str">
        <f t="shared" si="14"/>
        <v/>
      </c>
      <c r="Z1650" s="11"/>
    </row>
    <row r="1651">
      <c r="A1651" s="8"/>
      <c r="B1651" s="56" t="str">
        <f t="shared" si="2"/>
        <v/>
      </c>
      <c r="C1651" s="105"/>
      <c r="D1651" s="10"/>
      <c r="E1651" s="59" t="str">
        <f t="array" ref="E1651">IF(COUNTA(C1651:C1673)=0,"",SUM((COUNTIF(C$4:C1651,Upgrades!$B$3:$B$13)-COUNTIF(C$4:C1651,"Sell_"&amp;Upgrades!$B$3:$B$13))*Upgrades!$D$3:$D$13))</f>
        <v/>
      </c>
      <c r="F1651" s="66" t="str">
        <f>IFERROR(__xludf.DUMMYFUNCTION("IF(COUNTA(C1651:C1673)=0,"""",IF(REGEXMATCH(INDEX(FILTER(C$4:C1651,C$4:C1651&lt;&gt;""""),ROWS(FILTER(C$4:C1651,C$4:C1651&lt;&gt;""""))),""^Sell_""),INDEX(FILTER(F$4:F1650,C$4:C1650&lt;&gt;""""),ROWS(FILTER(C$4:C1650,C$4:C1650&lt;&gt;""""))),$AC$5+E1651))"),"")</f>
        <v/>
      </c>
      <c r="G1651" s="10" t="str">
        <f>IFERROR(__xludf.DUMMYFUNCTION("IF(COUNTA(C1651:C1673)=0,"""",IF(C1651="""",0,IF(REGEXMATCH(C1651,""^Sell_""),-ROUNDDOWN(ROUNDUP(INDEX(Upgrades!$C$3:$C$13,MATCH(SUBSTITUTE(C1651,""Sell_"",""""),Upgrades!$B$3:$B$13,0))*1.15^(COUNTIF(C$4:C1650,SUBSTITUTE(C1651,""Sell_"",""""))-COUNTIF(C$4"&amp;":C1650,""Sell_""&amp;SUBSTITUTE(C1651,""Sell_"",""""))))/2),ROUNDUP(INDEX(Upgrades!$C$3:$C$13,MATCH(C1651,Upgrades!$B$3:$B$13,0))*1.15^(COUNTIF(C$4:C1650,C1651)-COUNTIF(C$4:C1650,""Sell_""&amp;C1651))))))"),"")</f>
        <v/>
      </c>
      <c r="H1651" s="10" t="str">
        <f t="shared" si="3"/>
        <v/>
      </c>
      <c r="I1651" s="68" t="str">
        <f t="shared" si="4"/>
        <v/>
      </c>
      <c r="J1651" s="59" t="str">
        <f t="shared" si="5"/>
        <v/>
      </c>
      <c r="K1651" s="69" t="str">
        <f t="shared" si="6"/>
        <v/>
      </c>
      <c r="L1651" s="60" t="str">
        <f t="shared" si="7"/>
        <v/>
      </c>
      <c r="M1651" s="61" t="str">
        <f>IFERROR(__xludf.DUMMYFUNCTION("IFS(AND(COUNTA(C1651:C1673)=0,COUNTA(Q1651:Q1673)=0),"""",OR(AND(K1651&gt;=1000000000,OR(Y1651&gt;=1000000000,COUNTA(Q1651:Q1673)=0)),OR(Y1651&gt;=1000000000,AND(COUNTA(C1651:C1673)=0,P$3=TRUE))),
ROUNDDOWN((AB$1-AC$1)*MAX(INDEX(T$4:T1673,MATCH(LARGE(FILTER(Y$4:Y1"&amp;"673,Y$4:Y1673&lt;1000000000),1),Y$4:Y1673)),INDEX(F$4:F1673,MATCH(LARGE(FILTER(K$4:K1673,K$4:K1673&lt;1000000000),1),K$4:K1673)))),AND(K1651&lt;1000000000,COUNTA(C1651:C1673)&gt;0,P$3=FALSE),
ROUNDDOWN(INDEX(Y$4:Y1673,MATCH(LARGE(FILTER(W$4:W1673,W$4:W1673&lt;=I1651),1)"&amp;",W$4:W1673))+(I1651-LARGE(FILTER(W$4:W1673,W$4:W1673&lt;=I1651),1))*INDEX(T$4:T1673,MATCH(LARGE(FILTER(W$4:W1673,W$4:W1673&lt;=I1651),1),W$4:W1673))-K1651),1,
ROUNDDOWN(Y1651-INDEX(K$4:K1673,MATCH(LARGE(FILTER(I$4:I1673,I$4:I1673&lt;=W1651),1),I$4:I1673))-(W1651-L"&amp;"ARGE(FILTER(I$4:I1673,I$4:I1673&lt;=W1651),1))*INDEX(F$4:F1673,MATCH(LARGE(FILTER(I$4:I1673,I$4:I1673&lt;=W1651),1),I$4:I1673))))"),"")</f>
        <v/>
      </c>
      <c r="N1651" s="60" t="str">
        <f t="shared" si="8"/>
        <v/>
      </c>
      <c r="O1651" s="61" t="str">
        <f t="shared" si="9"/>
        <v/>
      </c>
      <c r="P1651" s="56" t="str">
        <f t="shared" si="10"/>
        <v/>
      </c>
      <c r="Q1651" s="57"/>
      <c r="R1651" s="10"/>
      <c r="S1651" s="59" t="str">
        <f t="array" ref="S1651">IF(COUNTA(Q1651:Q1673)=0,"",SUM((COUNTIF(Q$4:Q1651,Upgrades!$B$3:$B$13)-COUNTIF(Q$4:Q1651,"Sell_"&amp;Upgrades!$B$3:$B$13))*Upgrades!$D$3:$D$13))</f>
        <v/>
      </c>
      <c r="T1651" s="66" t="str">
        <f>IFERROR(__xludf.DUMMYFUNCTION("IF(COUNTA(Q1651:Q1673)=0,"""",IF(REGEXMATCH(INDEX(FILTER(Q$4:Q1651,Q$4:Q1651&lt;&gt;""""),ROWS(FILTER(Q$4:Q1651,Q$4:Q1651&lt;&gt;""""))),""^Sell_""),INDEX(FILTER(T$4:T1650,Q$4:Q1650&lt;&gt;""""),ROWS(FILTER(Q$4:Q1650,Q$4:Q1650&lt;&gt;""""))),$AD$5+S1651))"),"")</f>
        <v/>
      </c>
      <c r="U1651" s="10" t="str">
        <f>IFERROR(__xludf.DUMMYFUNCTION("IF(COUNTA(Q1651:Q1673)=0,"""",IF(Q1651="""",0,IF(REGEXMATCH(Q1651,""^Sell_""),-ROUNDDOWN(ROUNDUP(INDEX(Upgrades!$C$3:$C$13,MATCH(SUBSTITUTE(Q1651,""Sell_"",""""),Upgrades!$B$3:$B$13,0))*1.15^(COUNTIF(Q$4:Q1650,SUBSTITUTE(Q1651,""Sell_"",""""))-COUNTIF(Q$4"&amp;":Q1650,""Sell_""&amp;SUBSTITUTE(Q1651,""Sell_"",""""))))/2),ROUNDUP(INDEX(Upgrades!$C$3:$C$13,MATCH(Q1651,Upgrades!$B$3:$B$13,0))*1.15^(COUNTIF(Q$4:Q1650,Q1651)-COUNTIF(Q$4:Q1650,""Sell_""&amp;Q1651))))))"),"")</f>
        <v/>
      </c>
      <c r="V1651" s="10" t="str">
        <f t="shared" si="11"/>
        <v/>
      </c>
      <c r="W1651" s="68" t="str">
        <f t="shared" si="12"/>
        <v/>
      </c>
      <c r="X1651" s="59" t="str">
        <f t="shared" si="13"/>
        <v/>
      </c>
      <c r="Y1651" s="69" t="str">
        <f t="shared" si="14"/>
        <v/>
      </c>
      <c r="Z1651" s="11"/>
    </row>
    <row r="1652">
      <c r="A1652" s="8"/>
      <c r="B1652" s="56" t="str">
        <f t="shared" si="2"/>
        <v/>
      </c>
      <c r="C1652" s="105"/>
      <c r="D1652" s="10"/>
      <c r="E1652" s="59" t="str">
        <f t="array" ref="E1652">IF(COUNTA(C1652:C1673)=0,"",SUM((COUNTIF(C$4:C1652,Upgrades!$B$3:$B$13)-COUNTIF(C$4:C1652,"Sell_"&amp;Upgrades!$B$3:$B$13))*Upgrades!$D$3:$D$13))</f>
        <v/>
      </c>
      <c r="F1652" s="66" t="str">
        <f>IFERROR(__xludf.DUMMYFUNCTION("IF(COUNTA(C1652:C1673)=0,"""",IF(REGEXMATCH(INDEX(FILTER(C$4:C1652,C$4:C1652&lt;&gt;""""),ROWS(FILTER(C$4:C1652,C$4:C1652&lt;&gt;""""))),""^Sell_""),INDEX(FILTER(F$4:F1651,C$4:C1651&lt;&gt;""""),ROWS(FILTER(C$4:C1651,C$4:C1651&lt;&gt;""""))),$AC$5+E1652))"),"")</f>
        <v/>
      </c>
      <c r="G1652" s="10" t="str">
        <f>IFERROR(__xludf.DUMMYFUNCTION("IF(COUNTA(C1652:C1673)=0,"""",IF(C1652="""",0,IF(REGEXMATCH(C1652,""^Sell_""),-ROUNDDOWN(ROUNDUP(INDEX(Upgrades!$C$3:$C$13,MATCH(SUBSTITUTE(C1652,""Sell_"",""""),Upgrades!$B$3:$B$13,0))*1.15^(COUNTIF(C$4:C1651,SUBSTITUTE(C1652,""Sell_"",""""))-COUNTIF(C$4"&amp;":C1651,""Sell_""&amp;SUBSTITUTE(C1652,""Sell_"",""""))))/2),ROUNDUP(INDEX(Upgrades!$C$3:$C$13,MATCH(C1652,Upgrades!$B$3:$B$13,0))*1.15^(COUNTIF(C$4:C1651,C1652)-COUNTIF(C$4:C1651,""Sell_""&amp;C1652))))))"),"")</f>
        <v/>
      </c>
      <c r="H1652" s="10" t="str">
        <f t="shared" si="3"/>
        <v/>
      </c>
      <c r="I1652" s="68" t="str">
        <f t="shared" si="4"/>
        <v/>
      </c>
      <c r="J1652" s="59" t="str">
        <f t="shared" si="5"/>
        <v/>
      </c>
      <c r="K1652" s="69" t="str">
        <f t="shared" si="6"/>
        <v/>
      </c>
      <c r="L1652" s="60" t="str">
        <f t="shared" si="7"/>
        <v/>
      </c>
      <c r="M1652" s="61" t="str">
        <f>IFERROR(__xludf.DUMMYFUNCTION("IFS(AND(COUNTA(C1652:C1673)=0,COUNTA(Q1652:Q1673)=0),"""",OR(AND(K1652&gt;=1000000000,OR(Y1652&gt;=1000000000,COUNTA(Q1652:Q1673)=0)),OR(Y1652&gt;=1000000000,AND(COUNTA(C1652:C1673)=0,P$3=TRUE))),
ROUNDDOWN((AB$1-AC$1)*MAX(INDEX(T$4:T1673,MATCH(LARGE(FILTER(Y$4:Y1"&amp;"673,Y$4:Y1673&lt;1000000000),1),Y$4:Y1673)),INDEX(F$4:F1673,MATCH(LARGE(FILTER(K$4:K1673,K$4:K1673&lt;1000000000),1),K$4:K1673)))),AND(K1652&lt;1000000000,COUNTA(C1652:C1673)&gt;0,P$3=FALSE),
ROUNDDOWN(INDEX(Y$4:Y1673,MATCH(LARGE(FILTER(W$4:W1673,W$4:W1673&lt;=I1652),1)"&amp;",W$4:W1673))+(I1652-LARGE(FILTER(W$4:W1673,W$4:W1673&lt;=I1652),1))*INDEX(T$4:T1673,MATCH(LARGE(FILTER(W$4:W1673,W$4:W1673&lt;=I1652),1),W$4:W1673))-K1652),1,
ROUNDDOWN(Y1652-INDEX(K$4:K1673,MATCH(LARGE(FILTER(I$4:I1673,I$4:I1673&lt;=W1652),1),I$4:I1673))-(W1652-L"&amp;"ARGE(FILTER(I$4:I1673,I$4:I1673&lt;=W1652),1))*INDEX(F$4:F1673,MATCH(LARGE(FILTER(I$4:I1673,I$4:I1673&lt;=W1652),1),I$4:I1673))))"),"")</f>
        <v/>
      </c>
      <c r="N1652" s="60" t="str">
        <f t="shared" si="8"/>
        <v/>
      </c>
      <c r="O1652" s="61" t="str">
        <f t="shared" si="9"/>
        <v/>
      </c>
      <c r="P1652" s="56" t="str">
        <f t="shared" si="10"/>
        <v/>
      </c>
      <c r="Q1652" s="57"/>
      <c r="R1652" s="10"/>
      <c r="S1652" s="59" t="str">
        <f t="array" ref="S1652">IF(COUNTA(Q1652:Q1673)=0,"",SUM((COUNTIF(Q$4:Q1652,Upgrades!$B$3:$B$13)-COUNTIF(Q$4:Q1652,"Sell_"&amp;Upgrades!$B$3:$B$13))*Upgrades!$D$3:$D$13))</f>
        <v/>
      </c>
      <c r="T1652" s="66" t="str">
        <f>IFERROR(__xludf.DUMMYFUNCTION("IF(COUNTA(Q1652:Q1673)=0,"""",IF(REGEXMATCH(INDEX(FILTER(Q$4:Q1652,Q$4:Q1652&lt;&gt;""""),ROWS(FILTER(Q$4:Q1652,Q$4:Q1652&lt;&gt;""""))),""^Sell_""),INDEX(FILTER(T$4:T1651,Q$4:Q1651&lt;&gt;""""),ROWS(FILTER(Q$4:Q1651,Q$4:Q1651&lt;&gt;""""))),$AD$5+S1652))"),"")</f>
        <v/>
      </c>
      <c r="U1652" s="10" t="str">
        <f>IFERROR(__xludf.DUMMYFUNCTION("IF(COUNTA(Q1652:Q1673)=0,"""",IF(Q1652="""",0,IF(REGEXMATCH(Q1652,""^Sell_""),-ROUNDDOWN(ROUNDUP(INDEX(Upgrades!$C$3:$C$13,MATCH(SUBSTITUTE(Q1652,""Sell_"",""""),Upgrades!$B$3:$B$13,0))*1.15^(COUNTIF(Q$4:Q1651,SUBSTITUTE(Q1652,""Sell_"",""""))-COUNTIF(Q$4"&amp;":Q1651,""Sell_""&amp;SUBSTITUTE(Q1652,""Sell_"",""""))))/2),ROUNDUP(INDEX(Upgrades!$C$3:$C$13,MATCH(Q1652,Upgrades!$B$3:$B$13,0))*1.15^(COUNTIF(Q$4:Q1651,Q1652)-COUNTIF(Q$4:Q1651,""Sell_""&amp;Q1652))))))"),"")</f>
        <v/>
      </c>
      <c r="V1652" s="10" t="str">
        <f t="shared" si="11"/>
        <v/>
      </c>
      <c r="W1652" s="68" t="str">
        <f t="shared" si="12"/>
        <v/>
      </c>
      <c r="X1652" s="59" t="str">
        <f t="shared" si="13"/>
        <v/>
      </c>
      <c r="Y1652" s="69" t="str">
        <f t="shared" si="14"/>
        <v/>
      </c>
      <c r="Z1652" s="11"/>
    </row>
    <row r="1653">
      <c r="A1653" s="8"/>
      <c r="B1653" s="56" t="str">
        <f t="shared" si="2"/>
        <v/>
      </c>
      <c r="C1653" s="105"/>
      <c r="D1653" s="10"/>
      <c r="E1653" s="59" t="str">
        <f t="array" ref="E1653">IF(COUNTA(C1653:C1673)=0,"",SUM((COUNTIF(C$4:C1653,Upgrades!$B$3:$B$13)-COUNTIF(C$4:C1653,"Sell_"&amp;Upgrades!$B$3:$B$13))*Upgrades!$D$3:$D$13))</f>
        <v/>
      </c>
      <c r="F1653" s="66" t="str">
        <f>IFERROR(__xludf.DUMMYFUNCTION("IF(COUNTA(C1653:C1673)=0,"""",IF(REGEXMATCH(INDEX(FILTER(C$4:C1653,C$4:C1653&lt;&gt;""""),ROWS(FILTER(C$4:C1653,C$4:C1653&lt;&gt;""""))),""^Sell_""),INDEX(FILTER(F$4:F1652,C$4:C1652&lt;&gt;""""),ROWS(FILTER(C$4:C1652,C$4:C1652&lt;&gt;""""))),$AC$5+E1653))"),"")</f>
        <v/>
      </c>
      <c r="G1653" s="10" t="str">
        <f>IFERROR(__xludf.DUMMYFUNCTION("IF(COUNTA(C1653:C1673)=0,"""",IF(C1653="""",0,IF(REGEXMATCH(C1653,""^Sell_""),-ROUNDDOWN(ROUNDUP(INDEX(Upgrades!$C$3:$C$13,MATCH(SUBSTITUTE(C1653,""Sell_"",""""),Upgrades!$B$3:$B$13,0))*1.15^(COUNTIF(C$4:C1652,SUBSTITUTE(C1653,""Sell_"",""""))-COUNTIF(C$4"&amp;":C1652,""Sell_""&amp;SUBSTITUTE(C1653,""Sell_"",""""))))/2),ROUNDUP(INDEX(Upgrades!$C$3:$C$13,MATCH(C1653,Upgrades!$B$3:$B$13,0))*1.15^(COUNTIF(C$4:C1652,C1653)-COUNTIF(C$4:C1652,""Sell_""&amp;C1653))))))"),"")</f>
        <v/>
      </c>
      <c r="H1653" s="10" t="str">
        <f t="shared" si="3"/>
        <v/>
      </c>
      <c r="I1653" s="68" t="str">
        <f t="shared" si="4"/>
        <v/>
      </c>
      <c r="J1653" s="59" t="str">
        <f t="shared" si="5"/>
        <v/>
      </c>
      <c r="K1653" s="69" t="str">
        <f t="shared" si="6"/>
        <v/>
      </c>
      <c r="L1653" s="60" t="str">
        <f t="shared" si="7"/>
        <v/>
      </c>
      <c r="M1653" s="61" t="str">
        <f>IFERROR(__xludf.DUMMYFUNCTION("IFS(AND(COUNTA(C1653:C1673)=0,COUNTA(Q1653:Q1673)=0),"""",OR(AND(K1653&gt;=1000000000,OR(Y1653&gt;=1000000000,COUNTA(Q1653:Q1673)=0)),OR(Y1653&gt;=1000000000,AND(COUNTA(C1653:C1673)=0,P$3=TRUE))),
ROUNDDOWN((AB$1-AC$1)*MAX(INDEX(T$4:T1673,MATCH(LARGE(FILTER(Y$4:Y1"&amp;"673,Y$4:Y1673&lt;1000000000),1),Y$4:Y1673)),INDEX(F$4:F1673,MATCH(LARGE(FILTER(K$4:K1673,K$4:K1673&lt;1000000000),1),K$4:K1673)))),AND(K1653&lt;1000000000,COUNTA(C1653:C1673)&gt;0,P$3=FALSE),
ROUNDDOWN(INDEX(Y$4:Y1673,MATCH(LARGE(FILTER(W$4:W1673,W$4:W1673&lt;=I1653),1)"&amp;",W$4:W1673))+(I1653-LARGE(FILTER(W$4:W1673,W$4:W1673&lt;=I1653),1))*INDEX(T$4:T1673,MATCH(LARGE(FILTER(W$4:W1673,W$4:W1673&lt;=I1653),1),W$4:W1673))-K1653),1,
ROUNDDOWN(Y1653-INDEX(K$4:K1673,MATCH(LARGE(FILTER(I$4:I1673,I$4:I1673&lt;=W1653),1),I$4:I1673))-(W1653-L"&amp;"ARGE(FILTER(I$4:I1673,I$4:I1673&lt;=W1653),1))*INDEX(F$4:F1673,MATCH(LARGE(FILTER(I$4:I1673,I$4:I1673&lt;=W1653),1),I$4:I1673))))"),"")</f>
        <v/>
      </c>
      <c r="N1653" s="60" t="str">
        <f t="shared" si="8"/>
        <v/>
      </c>
      <c r="O1653" s="61" t="str">
        <f t="shared" si="9"/>
        <v/>
      </c>
      <c r="P1653" s="56" t="str">
        <f t="shared" si="10"/>
        <v/>
      </c>
      <c r="Q1653" s="57"/>
      <c r="R1653" s="10"/>
      <c r="S1653" s="59" t="str">
        <f t="array" ref="S1653">IF(COUNTA(Q1653:Q1673)=0,"",SUM((COUNTIF(Q$4:Q1653,Upgrades!$B$3:$B$13)-COUNTIF(Q$4:Q1653,"Sell_"&amp;Upgrades!$B$3:$B$13))*Upgrades!$D$3:$D$13))</f>
        <v/>
      </c>
      <c r="T1653" s="66" t="str">
        <f>IFERROR(__xludf.DUMMYFUNCTION("IF(COUNTA(Q1653:Q1673)=0,"""",IF(REGEXMATCH(INDEX(FILTER(Q$4:Q1653,Q$4:Q1653&lt;&gt;""""),ROWS(FILTER(Q$4:Q1653,Q$4:Q1653&lt;&gt;""""))),""^Sell_""),INDEX(FILTER(T$4:T1652,Q$4:Q1652&lt;&gt;""""),ROWS(FILTER(Q$4:Q1652,Q$4:Q1652&lt;&gt;""""))),$AD$5+S1653))"),"")</f>
        <v/>
      </c>
      <c r="U1653" s="10" t="str">
        <f>IFERROR(__xludf.DUMMYFUNCTION("IF(COUNTA(Q1653:Q1673)=0,"""",IF(Q1653="""",0,IF(REGEXMATCH(Q1653,""^Sell_""),-ROUNDDOWN(ROUNDUP(INDEX(Upgrades!$C$3:$C$13,MATCH(SUBSTITUTE(Q1653,""Sell_"",""""),Upgrades!$B$3:$B$13,0))*1.15^(COUNTIF(Q$4:Q1652,SUBSTITUTE(Q1653,""Sell_"",""""))-COUNTIF(Q$4"&amp;":Q1652,""Sell_""&amp;SUBSTITUTE(Q1653,""Sell_"",""""))))/2),ROUNDUP(INDEX(Upgrades!$C$3:$C$13,MATCH(Q1653,Upgrades!$B$3:$B$13,0))*1.15^(COUNTIF(Q$4:Q1652,Q1653)-COUNTIF(Q$4:Q1652,""Sell_""&amp;Q1653))))))"),"")</f>
        <v/>
      </c>
      <c r="V1653" s="10" t="str">
        <f t="shared" si="11"/>
        <v/>
      </c>
      <c r="W1653" s="68" t="str">
        <f t="shared" si="12"/>
        <v/>
      </c>
      <c r="X1653" s="59" t="str">
        <f t="shared" si="13"/>
        <v/>
      </c>
      <c r="Y1653" s="69" t="str">
        <f t="shared" si="14"/>
        <v/>
      </c>
      <c r="Z1653" s="11"/>
    </row>
    <row r="1654">
      <c r="A1654" s="8"/>
      <c r="B1654" s="56" t="str">
        <f t="shared" si="2"/>
        <v/>
      </c>
      <c r="C1654" s="105"/>
      <c r="D1654" s="10"/>
      <c r="E1654" s="59" t="str">
        <f t="array" ref="E1654">IF(COUNTA(C1654:C1673)=0,"",SUM((COUNTIF(C$4:C1654,Upgrades!$B$3:$B$13)-COUNTIF(C$4:C1654,"Sell_"&amp;Upgrades!$B$3:$B$13))*Upgrades!$D$3:$D$13))</f>
        <v/>
      </c>
      <c r="F1654" s="66" t="str">
        <f>IFERROR(__xludf.DUMMYFUNCTION("IF(COUNTA(C1654:C1673)=0,"""",IF(REGEXMATCH(INDEX(FILTER(C$4:C1654,C$4:C1654&lt;&gt;""""),ROWS(FILTER(C$4:C1654,C$4:C1654&lt;&gt;""""))),""^Sell_""),INDEX(FILTER(F$4:F1653,C$4:C1653&lt;&gt;""""),ROWS(FILTER(C$4:C1653,C$4:C1653&lt;&gt;""""))),$AC$5+E1654))"),"")</f>
        <v/>
      </c>
      <c r="G1654" s="10" t="str">
        <f>IFERROR(__xludf.DUMMYFUNCTION("IF(COUNTA(C1654:C1673)=0,"""",IF(C1654="""",0,IF(REGEXMATCH(C1654,""^Sell_""),-ROUNDDOWN(ROUNDUP(INDEX(Upgrades!$C$3:$C$13,MATCH(SUBSTITUTE(C1654,""Sell_"",""""),Upgrades!$B$3:$B$13,0))*1.15^(COUNTIF(C$4:C1653,SUBSTITUTE(C1654,""Sell_"",""""))-COUNTIF(C$4"&amp;":C1653,""Sell_""&amp;SUBSTITUTE(C1654,""Sell_"",""""))))/2),ROUNDUP(INDEX(Upgrades!$C$3:$C$13,MATCH(C1654,Upgrades!$B$3:$B$13,0))*1.15^(COUNTIF(C$4:C1653,C1654)-COUNTIF(C$4:C1653,""Sell_""&amp;C1654))))))"),"")</f>
        <v/>
      </c>
      <c r="H1654" s="10" t="str">
        <f t="shared" si="3"/>
        <v/>
      </c>
      <c r="I1654" s="68" t="str">
        <f t="shared" si="4"/>
        <v/>
      </c>
      <c r="J1654" s="59" t="str">
        <f t="shared" si="5"/>
        <v/>
      </c>
      <c r="K1654" s="69" t="str">
        <f t="shared" si="6"/>
        <v/>
      </c>
      <c r="L1654" s="60" t="str">
        <f t="shared" si="7"/>
        <v/>
      </c>
      <c r="M1654" s="61" t="str">
        <f>IFERROR(__xludf.DUMMYFUNCTION("IFS(AND(COUNTA(C1654:C1673)=0,COUNTA(Q1654:Q1673)=0),"""",OR(AND(K1654&gt;=1000000000,OR(Y1654&gt;=1000000000,COUNTA(Q1654:Q1673)=0)),OR(Y1654&gt;=1000000000,AND(COUNTA(C1654:C1673)=0,P$3=TRUE))),
ROUNDDOWN((AB$1-AC$1)*MAX(INDEX(T$4:T1673,MATCH(LARGE(FILTER(Y$4:Y1"&amp;"673,Y$4:Y1673&lt;1000000000),1),Y$4:Y1673)),INDEX(F$4:F1673,MATCH(LARGE(FILTER(K$4:K1673,K$4:K1673&lt;1000000000),1),K$4:K1673)))),AND(K1654&lt;1000000000,COUNTA(C1654:C1673)&gt;0,P$3=FALSE),
ROUNDDOWN(INDEX(Y$4:Y1673,MATCH(LARGE(FILTER(W$4:W1673,W$4:W1673&lt;=I1654),1)"&amp;",W$4:W1673))+(I1654-LARGE(FILTER(W$4:W1673,W$4:W1673&lt;=I1654),1))*INDEX(T$4:T1673,MATCH(LARGE(FILTER(W$4:W1673,W$4:W1673&lt;=I1654),1),W$4:W1673))-K1654),1,
ROUNDDOWN(Y1654-INDEX(K$4:K1673,MATCH(LARGE(FILTER(I$4:I1673,I$4:I1673&lt;=W1654),1),I$4:I1673))-(W1654-L"&amp;"ARGE(FILTER(I$4:I1673,I$4:I1673&lt;=W1654),1))*INDEX(F$4:F1673,MATCH(LARGE(FILTER(I$4:I1673,I$4:I1673&lt;=W1654),1),I$4:I1673))))"),"")</f>
        <v/>
      </c>
      <c r="N1654" s="60" t="str">
        <f t="shared" si="8"/>
        <v/>
      </c>
      <c r="O1654" s="61" t="str">
        <f t="shared" si="9"/>
        <v/>
      </c>
      <c r="P1654" s="56" t="str">
        <f t="shared" si="10"/>
        <v/>
      </c>
      <c r="Q1654" s="57"/>
      <c r="R1654" s="10"/>
      <c r="S1654" s="59" t="str">
        <f t="array" ref="S1654">IF(COUNTA(Q1654:Q1673)=0,"",SUM((COUNTIF(Q$4:Q1654,Upgrades!$B$3:$B$13)-COUNTIF(Q$4:Q1654,"Sell_"&amp;Upgrades!$B$3:$B$13))*Upgrades!$D$3:$D$13))</f>
        <v/>
      </c>
      <c r="T1654" s="66" t="str">
        <f>IFERROR(__xludf.DUMMYFUNCTION("IF(COUNTA(Q1654:Q1673)=0,"""",IF(REGEXMATCH(INDEX(FILTER(Q$4:Q1654,Q$4:Q1654&lt;&gt;""""),ROWS(FILTER(Q$4:Q1654,Q$4:Q1654&lt;&gt;""""))),""^Sell_""),INDEX(FILTER(T$4:T1653,Q$4:Q1653&lt;&gt;""""),ROWS(FILTER(Q$4:Q1653,Q$4:Q1653&lt;&gt;""""))),$AD$5+S1654))"),"")</f>
        <v/>
      </c>
      <c r="U1654" s="10" t="str">
        <f>IFERROR(__xludf.DUMMYFUNCTION("IF(COUNTA(Q1654:Q1673)=0,"""",IF(Q1654="""",0,IF(REGEXMATCH(Q1654,""^Sell_""),-ROUNDDOWN(ROUNDUP(INDEX(Upgrades!$C$3:$C$13,MATCH(SUBSTITUTE(Q1654,""Sell_"",""""),Upgrades!$B$3:$B$13,0))*1.15^(COUNTIF(Q$4:Q1653,SUBSTITUTE(Q1654,""Sell_"",""""))-COUNTIF(Q$4"&amp;":Q1653,""Sell_""&amp;SUBSTITUTE(Q1654,""Sell_"",""""))))/2),ROUNDUP(INDEX(Upgrades!$C$3:$C$13,MATCH(Q1654,Upgrades!$B$3:$B$13,0))*1.15^(COUNTIF(Q$4:Q1653,Q1654)-COUNTIF(Q$4:Q1653,""Sell_""&amp;Q1654))))))"),"")</f>
        <v/>
      </c>
      <c r="V1654" s="10" t="str">
        <f t="shared" si="11"/>
        <v/>
      </c>
      <c r="W1654" s="68" t="str">
        <f t="shared" si="12"/>
        <v/>
      </c>
      <c r="X1654" s="59" t="str">
        <f t="shared" si="13"/>
        <v/>
      </c>
      <c r="Y1654" s="69" t="str">
        <f t="shared" si="14"/>
        <v/>
      </c>
      <c r="Z1654" s="11"/>
    </row>
    <row r="1655">
      <c r="A1655" s="8"/>
      <c r="B1655" s="56" t="str">
        <f t="shared" si="2"/>
        <v/>
      </c>
      <c r="C1655" s="105"/>
      <c r="D1655" s="10"/>
      <c r="E1655" s="59" t="str">
        <f t="array" ref="E1655">IF(COUNTA(C1655:C1673)=0,"",SUM((COUNTIF(C$4:C1655,Upgrades!$B$3:$B$13)-COUNTIF(C$4:C1655,"Sell_"&amp;Upgrades!$B$3:$B$13))*Upgrades!$D$3:$D$13))</f>
        <v/>
      </c>
      <c r="F1655" s="66" t="str">
        <f>IFERROR(__xludf.DUMMYFUNCTION("IF(COUNTA(C1655:C1673)=0,"""",IF(REGEXMATCH(INDEX(FILTER(C$4:C1655,C$4:C1655&lt;&gt;""""),ROWS(FILTER(C$4:C1655,C$4:C1655&lt;&gt;""""))),""^Sell_""),INDEX(FILTER(F$4:F1654,C$4:C1654&lt;&gt;""""),ROWS(FILTER(C$4:C1654,C$4:C1654&lt;&gt;""""))),$AC$5+E1655))"),"")</f>
        <v/>
      </c>
      <c r="G1655" s="10" t="str">
        <f>IFERROR(__xludf.DUMMYFUNCTION("IF(COUNTA(C1655:C1673)=0,"""",IF(C1655="""",0,IF(REGEXMATCH(C1655,""^Sell_""),-ROUNDDOWN(ROUNDUP(INDEX(Upgrades!$C$3:$C$13,MATCH(SUBSTITUTE(C1655,""Sell_"",""""),Upgrades!$B$3:$B$13,0))*1.15^(COUNTIF(C$4:C1654,SUBSTITUTE(C1655,""Sell_"",""""))-COUNTIF(C$4"&amp;":C1654,""Sell_""&amp;SUBSTITUTE(C1655,""Sell_"",""""))))/2),ROUNDUP(INDEX(Upgrades!$C$3:$C$13,MATCH(C1655,Upgrades!$B$3:$B$13,0))*1.15^(COUNTIF(C$4:C1654,C1655)-COUNTIF(C$4:C1654,""Sell_""&amp;C1655))))))"),"")</f>
        <v/>
      </c>
      <c r="H1655" s="10" t="str">
        <f t="shared" si="3"/>
        <v/>
      </c>
      <c r="I1655" s="68" t="str">
        <f t="shared" si="4"/>
        <v/>
      </c>
      <c r="J1655" s="59" t="str">
        <f t="shared" si="5"/>
        <v/>
      </c>
      <c r="K1655" s="69" t="str">
        <f t="shared" si="6"/>
        <v/>
      </c>
      <c r="L1655" s="60" t="str">
        <f t="shared" si="7"/>
        <v/>
      </c>
      <c r="M1655" s="61" t="str">
        <f>IFERROR(__xludf.DUMMYFUNCTION("IFS(AND(COUNTA(C1655:C1673)=0,COUNTA(Q1655:Q1673)=0),"""",OR(AND(K1655&gt;=1000000000,OR(Y1655&gt;=1000000000,COUNTA(Q1655:Q1673)=0)),OR(Y1655&gt;=1000000000,AND(COUNTA(C1655:C1673)=0,P$3=TRUE))),
ROUNDDOWN((AB$1-AC$1)*MAX(INDEX(T$4:T1673,MATCH(LARGE(FILTER(Y$4:Y1"&amp;"673,Y$4:Y1673&lt;1000000000),1),Y$4:Y1673)),INDEX(F$4:F1673,MATCH(LARGE(FILTER(K$4:K1673,K$4:K1673&lt;1000000000),1),K$4:K1673)))),AND(K1655&lt;1000000000,COUNTA(C1655:C1673)&gt;0,P$3=FALSE),
ROUNDDOWN(INDEX(Y$4:Y1673,MATCH(LARGE(FILTER(W$4:W1673,W$4:W1673&lt;=I1655),1)"&amp;",W$4:W1673))+(I1655-LARGE(FILTER(W$4:W1673,W$4:W1673&lt;=I1655),1))*INDEX(T$4:T1673,MATCH(LARGE(FILTER(W$4:W1673,W$4:W1673&lt;=I1655),1),W$4:W1673))-K1655),1,
ROUNDDOWN(Y1655-INDEX(K$4:K1673,MATCH(LARGE(FILTER(I$4:I1673,I$4:I1673&lt;=W1655),1),I$4:I1673))-(W1655-L"&amp;"ARGE(FILTER(I$4:I1673,I$4:I1673&lt;=W1655),1))*INDEX(F$4:F1673,MATCH(LARGE(FILTER(I$4:I1673,I$4:I1673&lt;=W1655),1),I$4:I1673))))"),"")</f>
        <v/>
      </c>
      <c r="N1655" s="60" t="str">
        <f t="shared" si="8"/>
        <v/>
      </c>
      <c r="O1655" s="61" t="str">
        <f t="shared" si="9"/>
        <v/>
      </c>
      <c r="P1655" s="56" t="str">
        <f t="shared" si="10"/>
        <v/>
      </c>
      <c r="Q1655" s="57"/>
      <c r="R1655" s="10"/>
      <c r="S1655" s="59" t="str">
        <f t="array" ref="S1655">IF(COUNTA(Q1655:Q1673)=0,"",SUM((COUNTIF(Q$4:Q1655,Upgrades!$B$3:$B$13)-COUNTIF(Q$4:Q1655,"Sell_"&amp;Upgrades!$B$3:$B$13))*Upgrades!$D$3:$D$13))</f>
        <v/>
      </c>
      <c r="T1655" s="66" t="str">
        <f>IFERROR(__xludf.DUMMYFUNCTION("IF(COUNTA(Q1655:Q1673)=0,"""",IF(REGEXMATCH(INDEX(FILTER(Q$4:Q1655,Q$4:Q1655&lt;&gt;""""),ROWS(FILTER(Q$4:Q1655,Q$4:Q1655&lt;&gt;""""))),""^Sell_""),INDEX(FILTER(T$4:T1654,Q$4:Q1654&lt;&gt;""""),ROWS(FILTER(Q$4:Q1654,Q$4:Q1654&lt;&gt;""""))),$AD$5+S1655))"),"")</f>
        <v/>
      </c>
      <c r="U1655" s="10" t="str">
        <f>IFERROR(__xludf.DUMMYFUNCTION("IF(COUNTA(Q1655:Q1673)=0,"""",IF(Q1655="""",0,IF(REGEXMATCH(Q1655,""^Sell_""),-ROUNDDOWN(ROUNDUP(INDEX(Upgrades!$C$3:$C$13,MATCH(SUBSTITUTE(Q1655,""Sell_"",""""),Upgrades!$B$3:$B$13,0))*1.15^(COUNTIF(Q$4:Q1654,SUBSTITUTE(Q1655,""Sell_"",""""))-COUNTIF(Q$4"&amp;":Q1654,""Sell_""&amp;SUBSTITUTE(Q1655,""Sell_"",""""))))/2),ROUNDUP(INDEX(Upgrades!$C$3:$C$13,MATCH(Q1655,Upgrades!$B$3:$B$13,0))*1.15^(COUNTIF(Q$4:Q1654,Q1655)-COUNTIF(Q$4:Q1654,""Sell_""&amp;Q1655))))))"),"")</f>
        <v/>
      </c>
      <c r="V1655" s="10" t="str">
        <f t="shared" si="11"/>
        <v/>
      </c>
      <c r="W1655" s="68" t="str">
        <f t="shared" si="12"/>
        <v/>
      </c>
      <c r="X1655" s="59" t="str">
        <f t="shared" si="13"/>
        <v/>
      </c>
      <c r="Y1655" s="69" t="str">
        <f t="shared" si="14"/>
        <v/>
      </c>
      <c r="Z1655" s="11"/>
    </row>
    <row r="1656">
      <c r="A1656" s="8"/>
      <c r="B1656" s="56" t="str">
        <f t="shared" si="2"/>
        <v/>
      </c>
      <c r="C1656" s="105"/>
      <c r="D1656" s="10"/>
      <c r="E1656" s="59" t="str">
        <f t="array" ref="E1656">IF(COUNTA(C1656:C1673)=0,"",SUM((COUNTIF(C$4:C1656,Upgrades!$B$3:$B$13)-COUNTIF(C$4:C1656,"Sell_"&amp;Upgrades!$B$3:$B$13))*Upgrades!$D$3:$D$13))</f>
        <v/>
      </c>
      <c r="F1656" s="66" t="str">
        <f>IFERROR(__xludf.DUMMYFUNCTION("IF(COUNTA(C1656:C1673)=0,"""",IF(REGEXMATCH(INDEX(FILTER(C$4:C1656,C$4:C1656&lt;&gt;""""),ROWS(FILTER(C$4:C1656,C$4:C1656&lt;&gt;""""))),""^Sell_""),INDEX(FILTER(F$4:F1655,C$4:C1655&lt;&gt;""""),ROWS(FILTER(C$4:C1655,C$4:C1655&lt;&gt;""""))),$AC$5+E1656))"),"")</f>
        <v/>
      </c>
      <c r="G1656" s="10" t="str">
        <f>IFERROR(__xludf.DUMMYFUNCTION("IF(COUNTA(C1656:C1673)=0,"""",IF(C1656="""",0,IF(REGEXMATCH(C1656,""^Sell_""),-ROUNDDOWN(ROUNDUP(INDEX(Upgrades!$C$3:$C$13,MATCH(SUBSTITUTE(C1656,""Sell_"",""""),Upgrades!$B$3:$B$13,0))*1.15^(COUNTIF(C$4:C1655,SUBSTITUTE(C1656,""Sell_"",""""))-COUNTIF(C$4"&amp;":C1655,""Sell_""&amp;SUBSTITUTE(C1656,""Sell_"",""""))))/2),ROUNDUP(INDEX(Upgrades!$C$3:$C$13,MATCH(C1656,Upgrades!$B$3:$B$13,0))*1.15^(COUNTIF(C$4:C1655,C1656)-COUNTIF(C$4:C1655,""Sell_""&amp;C1656))))))"),"")</f>
        <v/>
      </c>
      <c r="H1656" s="10" t="str">
        <f t="shared" si="3"/>
        <v/>
      </c>
      <c r="I1656" s="68" t="str">
        <f t="shared" si="4"/>
        <v/>
      </c>
      <c r="J1656" s="59" t="str">
        <f t="shared" si="5"/>
        <v/>
      </c>
      <c r="K1656" s="69" t="str">
        <f t="shared" si="6"/>
        <v/>
      </c>
      <c r="L1656" s="60" t="str">
        <f t="shared" si="7"/>
        <v/>
      </c>
      <c r="M1656" s="61" t="str">
        <f>IFERROR(__xludf.DUMMYFUNCTION("IFS(AND(COUNTA(C1656:C1673)=0,COUNTA(Q1656:Q1673)=0),"""",OR(AND(K1656&gt;=1000000000,OR(Y1656&gt;=1000000000,COUNTA(Q1656:Q1673)=0)),OR(Y1656&gt;=1000000000,AND(COUNTA(C1656:C1673)=0,P$3=TRUE))),
ROUNDDOWN((AB$1-AC$1)*MAX(INDEX(T$4:T1673,MATCH(LARGE(FILTER(Y$4:Y1"&amp;"673,Y$4:Y1673&lt;1000000000),1),Y$4:Y1673)),INDEX(F$4:F1673,MATCH(LARGE(FILTER(K$4:K1673,K$4:K1673&lt;1000000000),1),K$4:K1673)))),AND(K1656&lt;1000000000,COUNTA(C1656:C1673)&gt;0,P$3=FALSE),
ROUNDDOWN(INDEX(Y$4:Y1673,MATCH(LARGE(FILTER(W$4:W1673,W$4:W1673&lt;=I1656),1)"&amp;",W$4:W1673))+(I1656-LARGE(FILTER(W$4:W1673,W$4:W1673&lt;=I1656),1))*INDEX(T$4:T1673,MATCH(LARGE(FILTER(W$4:W1673,W$4:W1673&lt;=I1656),1),W$4:W1673))-K1656),1,
ROUNDDOWN(Y1656-INDEX(K$4:K1673,MATCH(LARGE(FILTER(I$4:I1673,I$4:I1673&lt;=W1656),1),I$4:I1673))-(W1656-L"&amp;"ARGE(FILTER(I$4:I1673,I$4:I1673&lt;=W1656),1))*INDEX(F$4:F1673,MATCH(LARGE(FILTER(I$4:I1673,I$4:I1673&lt;=W1656),1),I$4:I1673))))"),"")</f>
        <v/>
      </c>
      <c r="N1656" s="60" t="str">
        <f t="shared" si="8"/>
        <v/>
      </c>
      <c r="O1656" s="61" t="str">
        <f t="shared" si="9"/>
        <v/>
      </c>
      <c r="P1656" s="56" t="str">
        <f t="shared" si="10"/>
        <v/>
      </c>
      <c r="Q1656" s="57"/>
      <c r="R1656" s="10"/>
      <c r="S1656" s="59" t="str">
        <f t="array" ref="S1656">IF(COUNTA(Q1656:Q1673)=0,"",SUM((COUNTIF(Q$4:Q1656,Upgrades!$B$3:$B$13)-COUNTIF(Q$4:Q1656,"Sell_"&amp;Upgrades!$B$3:$B$13))*Upgrades!$D$3:$D$13))</f>
        <v/>
      </c>
      <c r="T1656" s="66" t="str">
        <f>IFERROR(__xludf.DUMMYFUNCTION("IF(COUNTA(Q1656:Q1673)=0,"""",IF(REGEXMATCH(INDEX(FILTER(Q$4:Q1656,Q$4:Q1656&lt;&gt;""""),ROWS(FILTER(Q$4:Q1656,Q$4:Q1656&lt;&gt;""""))),""^Sell_""),INDEX(FILTER(T$4:T1655,Q$4:Q1655&lt;&gt;""""),ROWS(FILTER(Q$4:Q1655,Q$4:Q1655&lt;&gt;""""))),$AD$5+S1656))"),"")</f>
        <v/>
      </c>
      <c r="U1656" s="10" t="str">
        <f>IFERROR(__xludf.DUMMYFUNCTION("IF(COUNTA(Q1656:Q1673)=0,"""",IF(Q1656="""",0,IF(REGEXMATCH(Q1656,""^Sell_""),-ROUNDDOWN(ROUNDUP(INDEX(Upgrades!$C$3:$C$13,MATCH(SUBSTITUTE(Q1656,""Sell_"",""""),Upgrades!$B$3:$B$13,0))*1.15^(COUNTIF(Q$4:Q1655,SUBSTITUTE(Q1656,""Sell_"",""""))-COUNTIF(Q$4"&amp;":Q1655,""Sell_""&amp;SUBSTITUTE(Q1656,""Sell_"",""""))))/2),ROUNDUP(INDEX(Upgrades!$C$3:$C$13,MATCH(Q1656,Upgrades!$B$3:$B$13,0))*1.15^(COUNTIF(Q$4:Q1655,Q1656)-COUNTIF(Q$4:Q1655,""Sell_""&amp;Q1656))))))"),"")</f>
        <v/>
      </c>
      <c r="V1656" s="10" t="str">
        <f t="shared" si="11"/>
        <v/>
      </c>
      <c r="W1656" s="68" t="str">
        <f t="shared" si="12"/>
        <v/>
      </c>
      <c r="X1656" s="59" t="str">
        <f t="shared" si="13"/>
        <v/>
      </c>
      <c r="Y1656" s="69" t="str">
        <f t="shared" si="14"/>
        <v/>
      </c>
      <c r="Z1656" s="11"/>
    </row>
    <row r="1657">
      <c r="A1657" s="8"/>
      <c r="B1657" s="56" t="str">
        <f t="shared" si="2"/>
        <v/>
      </c>
      <c r="C1657" s="105"/>
      <c r="D1657" s="10"/>
      <c r="E1657" s="59" t="str">
        <f t="array" ref="E1657">IF(COUNTA(C1657:C1673)=0,"",SUM((COUNTIF(C$4:C1657,Upgrades!$B$3:$B$13)-COUNTIF(C$4:C1657,"Sell_"&amp;Upgrades!$B$3:$B$13))*Upgrades!$D$3:$D$13))</f>
        <v/>
      </c>
      <c r="F1657" s="66" t="str">
        <f>IFERROR(__xludf.DUMMYFUNCTION("IF(COUNTA(C1657:C1673)=0,"""",IF(REGEXMATCH(INDEX(FILTER(C$4:C1657,C$4:C1657&lt;&gt;""""),ROWS(FILTER(C$4:C1657,C$4:C1657&lt;&gt;""""))),""^Sell_""),INDEX(FILTER(F$4:F1656,C$4:C1656&lt;&gt;""""),ROWS(FILTER(C$4:C1656,C$4:C1656&lt;&gt;""""))),$AC$5+E1657))"),"")</f>
        <v/>
      </c>
      <c r="G1657" s="10" t="str">
        <f>IFERROR(__xludf.DUMMYFUNCTION("IF(COUNTA(C1657:C1673)=0,"""",IF(C1657="""",0,IF(REGEXMATCH(C1657,""^Sell_""),-ROUNDDOWN(ROUNDUP(INDEX(Upgrades!$C$3:$C$13,MATCH(SUBSTITUTE(C1657,""Sell_"",""""),Upgrades!$B$3:$B$13,0))*1.15^(COUNTIF(C$4:C1656,SUBSTITUTE(C1657,""Sell_"",""""))-COUNTIF(C$4"&amp;":C1656,""Sell_""&amp;SUBSTITUTE(C1657,""Sell_"",""""))))/2),ROUNDUP(INDEX(Upgrades!$C$3:$C$13,MATCH(C1657,Upgrades!$B$3:$B$13,0))*1.15^(COUNTIF(C$4:C1656,C1657)-COUNTIF(C$4:C1656,""Sell_""&amp;C1657))))))"),"")</f>
        <v/>
      </c>
      <c r="H1657" s="10" t="str">
        <f t="shared" si="3"/>
        <v/>
      </c>
      <c r="I1657" s="68" t="str">
        <f t="shared" si="4"/>
        <v/>
      </c>
      <c r="J1657" s="59" t="str">
        <f t="shared" si="5"/>
        <v/>
      </c>
      <c r="K1657" s="69" t="str">
        <f t="shared" si="6"/>
        <v/>
      </c>
      <c r="L1657" s="60" t="str">
        <f t="shared" si="7"/>
        <v/>
      </c>
      <c r="M1657" s="61" t="str">
        <f>IFERROR(__xludf.DUMMYFUNCTION("IFS(AND(COUNTA(C1657:C1673)=0,COUNTA(Q1657:Q1673)=0),"""",OR(AND(K1657&gt;=1000000000,OR(Y1657&gt;=1000000000,COUNTA(Q1657:Q1673)=0)),OR(Y1657&gt;=1000000000,AND(COUNTA(C1657:C1673)=0,P$3=TRUE))),
ROUNDDOWN((AB$1-AC$1)*MAX(INDEX(T$4:T1673,MATCH(LARGE(FILTER(Y$4:Y1"&amp;"673,Y$4:Y1673&lt;1000000000),1),Y$4:Y1673)),INDEX(F$4:F1673,MATCH(LARGE(FILTER(K$4:K1673,K$4:K1673&lt;1000000000),1),K$4:K1673)))),AND(K1657&lt;1000000000,COUNTA(C1657:C1673)&gt;0,P$3=FALSE),
ROUNDDOWN(INDEX(Y$4:Y1673,MATCH(LARGE(FILTER(W$4:W1673,W$4:W1673&lt;=I1657),1)"&amp;",W$4:W1673))+(I1657-LARGE(FILTER(W$4:W1673,W$4:W1673&lt;=I1657),1))*INDEX(T$4:T1673,MATCH(LARGE(FILTER(W$4:W1673,W$4:W1673&lt;=I1657),1),W$4:W1673))-K1657),1,
ROUNDDOWN(Y1657-INDEX(K$4:K1673,MATCH(LARGE(FILTER(I$4:I1673,I$4:I1673&lt;=W1657),1),I$4:I1673))-(W1657-L"&amp;"ARGE(FILTER(I$4:I1673,I$4:I1673&lt;=W1657),1))*INDEX(F$4:F1673,MATCH(LARGE(FILTER(I$4:I1673,I$4:I1673&lt;=W1657),1),I$4:I1673))))"),"")</f>
        <v/>
      </c>
      <c r="N1657" s="60" t="str">
        <f t="shared" si="8"/>
        <v/>
      </c>
      <c r="O1657" s="61" t="str">
        <f t="shared" si="9"/>
        <v/>
      </c>
      <c r="P1657" s="56" t="str">
        <f t="shared" si="10"/>
        <v/>
      </c>
      <c r="Q1657" s="57"/>
      <c r="R1657" s="10"/>
      <c r="S1657" s="59" t="str">
        <f t="array" ref="S1657">IF(COUNTA(Q1657:Q1673)=0,"",SUM((COUNTIF(Q$4:Q1657,Upgrades!$B$3:$B$13)-COUNTIF(Q$4:Q1657,"Sell_"&amp;Upgrades!$B$3:$B$13))*Upgrades!$D$3:$D$13))</f>
        <v/>
      </c>
      <c r="T1657" s="66" t="str">
        <f>IFERROR(__xludf.DUMMYFUNCTION("IF(COUNTA(Q1657:Q1673)=0,"""",IF(REGEXMATCH(INDEX(FILTER(Q$4:Q1657,Q$4:Q1657&lt;&gt;""""),ROWS(FILTER(Q$4:Q1657,Q$4:Q1657&lt;&gt;""""))),""^Sell_""),INDEX(FILTER(T$4:T1656,Q$4:Q1656&lt;&gt;""""),ROWS(FILTER(Q$4:Q1656,Q$4:Q1656&lt;&gt;""""))),$AD$5+S1657))"),"")</f>
        <v/>
      </c>
      <c r="U1657" s="10" t="str">
        <f>IFERROR(__xludf.DUMMYFUNCTION("IF(COUNTA(Q1657:Q1673)=0,"""",IF(Q1657="""",0,IF(REGEXMATCH(Q1657,""^Sell_""),-ROUNDDOWN(ROUNDUP(INDEX(Upgrades!$C$3:$C$13,MATCH(SUBSTITUTE(Q1657,""Sell_"",""""),Upgrades!$B$3:$B$13,0))*1.15^(COUNTIF(Q$4:Q1656,SUBSTITUTE(Q1657,""Sell_"",""""))-COUNTIF(Q$4"&amp;":Q1656,""Sell_""&amp;SUBSTITUTE(Q1657,""Sell_"",""""))))/2),ROUNDUP(INDEX(Upgrades!$C$3:$C$13,MATCH(Q1657,Upgrades!$B$3:$B$13,0))*1.15^(COUNTIF(Q$4:Q1656,Q1657)-COUNTIF(Q$4:Q1656,""Sell_""&amp;Q1657))))))"),"")</f>
        <v/>
      </c>
      <c r="V1657" s="10" t="str">
        <f t="shared" si="11"/>
        <v/>
      </c>
      <c r="W1657" s="68" t="str">
        <f t="shared" si="12"/>
        <v/>
      </c>
      <c r="X1657" s="59" t="str">
        <f t="shared" si="13"/>
        <v/>
      </c>
      <c r="Y1657" s="69" t="str">
        <f t="shared" si="14"/>
        <v/>
      </c>
      <c r="Z1657" s="11"/>
    </row>
    <row r="1658">
      <c r="A1658" s="8"/>
      <c r="B1658" s="56" t="str">
        <f t="shared" si="2"/>
        <v/>
      </c>
      <c r="C1658" s="105"/>
      <c r="D1658" s="10"/>
      <c r="E1658" s="59" t="str">
        <f t="array" ref="E1658">IF(COUNTA(C1658:C1673)=0,"",SUM((COUNTIF(C$4:C1658,Upgrades!$B$3:$B$13)-COUNTIF(C$4:C1658,"Sell_"&amp;Upgrades!$B$3:$B$13))*Upgrades!$D$3:$D$13))</f>
        <v/>
      </c>
      <c r="F1658" s="66" t="str">
        <f>IFERROR(__xludf.DUMMYFUNCTION("IF(COUNTA(C1658:C1673)=0,"""",IF(REGEXMATCH(INDEX(FILTER(C$4:C1658,C$4:C1658&lt;&gt;""""),ROWS(FILTER(C$4:C1658,C$4:C1658&lt;&gt;""""))),""^Sell_""),INDEX(FILTER(F$4:F1657,C$4:C1657&lt;&gt;""""),ROWS(FILTER(C$4:C1657,C$4:C1657&lt;&gt;""""))),$AC$5+E1658))"),"")</f>
        <v/>
      </c>
      <c r="G1658" s="10" t="str">
        <f>IFERROR(__xludf.DUMMYFUNCTION("IF(COUNTA(C1658:C1673)=0,"""",IF(C1658="""",0,IF(REGEXMATCH(C1658,""^Sell_""),-ROUNDDOWN(ROUNDUP(INDEX(Upgrades!$C$3:$C$13,MATCH(SUBSTITUTE(C1658,""Sell_"",""""),Upgrades!$B$3:$B$13,0))*1.15^(COUNTIF(C$4:C1657,SUBSTITUTE(C1658,""Sell_"",""""))-COUNTIF(C$4"&amp;":C1657,""Sell_""&amp;SUBSTITUTE(C1658,""Sell_"",""""))))/2),ROUNDUP(INDEX(Upgrades!$C$3:$C$13,MATCH(C1658,Upgrades!$B$3:$B$13,0))*1.15^(COUNTIF(C$4:C1657,C1658)-COUNTIF(C$4:C1657,""Sell_""&amp;C1658))))))"),"")</f>
        <v/>
      </c>
      <c r="H1658" s="10" t="str">
        <f t="shared" si="3"/>
        <v/>
      </c>
      <c r="I1658" s="68" t="str">
        <f t="shared" si="4"/>
        <v/>
      </c>
      <c r="J1658" s="59" t="str">
        <f t="shared" si="5"/>
        <v/>
      </c>
      <c r="K1658" s="69" t="str">
        <f t="shared" si="6"/>
        <v/>
      </c>
      <c r="L1658" s="60" t="str">
        <f t="shared" si="7"/>
        <v/>
      </c>
      <c r="M1658" s="61" t="str">
        <f>IFERROR(__xludf.DUMMYFUNCTION("IFS(AND(COUNTA(C1658:C1673)=0,COUNTA(Q1658:Q1673)=0),"""",OR(AND(K1658&gt;=1000000000,OR(Y1658&gt;=1000000000,COUNTA(Q1658:Q1673)=0)),OR(Y1658&gt;=1000000000,AND(COUNTA(C1658:C1673)=0,P$3=TRUE))),
ROUNDDOWN((AB$1-AC$1)*MAX(INDEX(T$4:T1673,MATCH(LARGE(FILTER(Y$4:Y1"&amp;"673,Y$4:Y1673&lt;1000000000),1),Y$4:Y1673)),INDEX(F$4:F1673,MATCH(LARGE(FILTER(K$4:K1673,K$4:K1673&lt;1000000000),1),K$4:K1673)))),AND(K1658&lt;1000000000,COUNTA(C1658:C1673)&gt;0,P$3=FALSE),
ROUNDDOWN(INDEX(Y$4:Y1673,MATCH(LARGE(FILTER(W$4:W1673,W$4:W1673&lt;=I1658),1)"&amp;",W$4:W1673))+(I1658-LARGE(FILTER(W$4:W1673,W$4:W1673&lt;=I1658),1))*INDEX(T$4:T1673,MATCH(LARGE(FILTER(W$4:W1673,W$4:W1673&lt;=I1658),1),W$4:W1673))-K1658),1,
ROUNDDOWN(Y1658-INDEX(K$4:K1673,MATCH(LARGE(FILTER(I$4:I1673,I$4:I1673&lt;=W1658),1),I$4:I1673))-(W1658-L"&amp;"ARGE(FILTER(I$4:I1673,I$4:I1673&lt;=W1658),1))*INDEX(F$4:F1673,MATCH(LARGE(FILTER(I$4:I1673,I$4:I1673&lt;=W1658),1),I$4:I1673))))"),"")</f>
        <v/>
      </c>
      <c r="N1658" s="60" t="str">
        <f t="shared" si="8"/>
        <v/>
      </c>
      <c r="O1658" s="61" t="str">
        <f t="shared" si="9"/>
        <v/>
      </c>
      <c r="P1658" s="56" t="str">
        <f t="shared" si="10"/>
        <v/>
      </c>
      <c r="Q1658" s="57"/>
      <c r="R1658" s="10"/>
      <c r="S1658" s="59" t="str">
        <f t="array" ref="S1658">IF(COUNTA(Q1658:Q1673)=0,"",SUM((COUNTIF(Q$4:Q1658,Upgrades!$B$3:$B$13)-COUNTIF(Q$4:Q1658,"Sell_"&amp;Upgrades!$B$3:$B$13))*Upgrades!$D$3:$D$13))</f>
        <v/>
      </c>
      <c r="T1658" s="66" t="str">
        <f>IFERROR(__xludf.DUMMYFUNCTION("IF(COUNTA(Q1658:Q1673)=0,"""",IF(REGEXMATCH(INDEX(FILTER(Q$4:Q1658,Q$4:Q1658&lt;&gt;""""),ROWS(FILTER(Q$4:Q1658,Q$4:Q1658&lt;&gt;""""))),""^Sell_""),INDEX(FILTER(T$4:T1657,Q$4:Q1657&lt;&gt;""""),ROWS(FILTER(Q$4:Q1657,Q$4:Q1657&lt;&gt;""""))),$AD$5+S1658))"),"")</f>
        <v/>
      </c>
      <c r="U1658" s="10" t="str">
        <f>IFERROR(__xludf.DUMMYFUNCTION("IF(COUNTA(Q1658:Q1673)=0,"""",IF(Q1658="""",0,IF(REGEXMATCH(Q1658,""^Sell_""),-ROUNDDOWN(ROUNDUP(INDEX(Upgrades!$C$3:$C$13,MATCH(SUBSTITUTE(Q1658,""Sell_"",""""),Upgrades!$B$3:$B$13,0))*1.15^(COUNTIF(Q$4:Q1657,SUBSTITUTE(Q1658,""Sell_"",""""))-COUNTIF(Q$4"&amp;":Q1657,""Sell_""&amp;SUBSTITUTE(Q1658,""Sell_"",""""))))/2),ROUNDUP(INDEX(Upgrades!$C$3:$C$13,MATCH(Q1658,Upgrades!$B$3:$B$13,0))*1.15^(COUNTIF(Q$4:Q1657,Q1658)-COUNTIF(Q$4:Q1657,""Sell_""&amp;Q1658))))))"),"")</f>
        <v/>
      </c>
      <c r="V1658" s="10" t="str">
        <f t="shared" si="11"/>
        <v/>
      </c>
      <c r="W1658" s="68" t="str">
        <f t="shared" si="12"/>
        <v/>
      </c>
      <c r="X1658" s="59" t="str">
        <f t="shared" si="13"/>
        <v/>
      </c>
      <c r="Y1658" s="69" t="str">
        <f t="shared" si="14"/>
        <v/>
      </c>
      <c r="Z1658" s="11"/>
    </row>
    <row r="1659">
      <c r="A1659" s="8"/>
      <c r="B1659" s="56" t="str">
        <f t="shared" si="2"/>
        <v/>
      </c>
      <c r="C1659" s="105"/>
      <c r="D1659" s="10"/>
      <c r="E1659" s="59" t="str">
        <f t="array" ref="E1659">IF(COUNTA(C1659:C1673)=0,"",SUM((COUNTIF(C$4:C1659,Upgrades!$B$3:$B$13)-COUNTIF(C$4:C1659,"Sell_"&amp;Upgrades!$B$3:$B$13))*Upgrades!$D$3:$D$13))</f>
        <v/>
      </c>
      <c r="F1659" s="66" t="str">
        <f>IFERROR(__xludf.DUMMYFUNCTION("IF(COUNTA(C1659:C1673)=0,"""",IF(REGEXMATCH(INDEX(FILTER(C$4:C1659,C$4:C1659&lt;&gt;""""),ROWS(FILTER(C$4:C1659,C$4:C1659&lt;&gt;""""))),""^Sell_""),INDEX(FILTER(F$4:F1658,C$4:C1658&lt;&gt;""""),ROWS(FILTER(C$4:C1658,C$4:C1658&lt;&gt;""""))),$AC$5+E1659))"),"")</f>
        <v/>
      </c>
      <c r="G1659" s="10" t="str">
        <f>IFERROR(__xludf.DUMMYFUNCTION("IF(COUNTA(C1659:C1673)=0,"""",IF(C1659="""",0,IF(REGEXMATCH(C1659,""^Sell_""),-ROUNDDOWN(ROUNDUP(INDEX(Upgrades!$C$3:$C$13,MATCH(SUBSTITUTE(C1659,""Sell_"",""""),Upgrades!$B$3:$B$13,0))*1.15^(COUNTIF(C$4:C1658,SUBSTITUTE(C1659,""Sell_"",""""))-COUNTIF(C$4"&amp;":C1658,""Sell_""&amp;SUBSTITUTE(C1659,""Sell_"",""""))))/2),ROUNDUP(INDEX(Upgrades!$C$3:$C$13,MATCH(C1659,Upgrades!$B$3:$B$13,0))*1.15^(COUNTIF(C$4:C1658,C1659)-COUNTIF(C$4:C1658,""Sell_""&amp;C1659))))))"),"")</f>
        <v/>
      </c>
      <c r="H1659" s="10" t="str">
        <f t="shared" si="3"/>
        <v/>
      </c>
      <c r="I1659" s="68" t="str">
        <f t="shared" si="4"/>
        <v/>
      </c>
      <c r="J1659" s="59" t="str">
        <f t="shared" si="5"/>
        <v/>
      </c>
      <c r="K1659" s="69" t="str">
        <f t="shared" si="6"/>
        <v/>
      </c>
      <c r="L1659" s="60" t="str">
        <f t="shared" si="7"/>
        <v/>
      </c>
      <c r="M1659" s="61" t="str">
        <f>IFERROR(__xludf.DUMMYFUNCTION("IFS(AND(COUNTA(C1659:C1673)=0,COUNTA(Q1659:Q1673)=0),"""",OR(AND(K1659&gt;=1000000000,OR(Y1659&gt;=1000000000,COUNTA(Q1659:Q1673)=0)),OR(Y1659&gt;=1000000000,AND(COUNTA(C1659:C1673)=0,P$3=TRUE))),
ROUNDDOWN((AB$1-AC$1)*MAX(INDEX(T$4:T1673,MATCH(LARGE(FILTER(Y$4:Y1"&amp;"673,Y$4:Y1673&lt;1000000000),1),Y$4:Y1673)),INDEX(F$4:F1673,MATCH(LARGE(FILTER(K$4:K1673,K$4:K1673&lt;1000000000),1),K$4:K1673)))),AND(K1659&lt;1000000000,COUNTA(C1659:C1673)&gt;0,P$3=FALSE),
ROUNDDOWN(INDEX(Y$4:Y1673,MATCH(LARGE(FILTER(W$4:W1673,W$4:W1673&lt;=I1659),1)"&amp;",W$4:W1673))+(I1659-LARGE(FILTER(W$4:W1673,W$4:W1673&lt;=I1659),1))*INDEX(T$4:T1673,MATCH(LARGE(FILTER(W$4:W1673,W$4:W1673&lt;=I1659),1),W$4:W1673))-K1659),1,
ROUNDDOWN(Y1659-INDEX(K$4:K1673,MATCH(LARGE(FILTER(I$4:I1673,I$4:I1673&lt;=W1659),1),I$4:I1673))-(W1659-L"&amp;"ARGE(FILTER(I$4:I1673,I$4:I1673&lt;=W1659),1))*INDEX(F$4:F1673,MATCH(LARGE(FILTER(I$4:I1673,I$4:I1673&lt;=W1659),1),I$4:I1673))))"),"")</f>
        <v/>
      </c>
      <c r="N1659" s="60" t="str">
        <f t="shared" si="8"/>
        <v/>
      </c>
      <c r="O1659" s="61" t="str">
        <f t="shared" si="9"/>
        <v/>
      </c>
      <c r="P1659" s="56" t="str">
        <f t="shared" si="10"/>
        <v/>
      </c>
      <c r="Q1659" s="57"/>
      <c r="R1659" s="10"/>
      <c r="S1659" s="59" t="str">
        <f t="array" ref="S1659">IF(COUNTA(Q1659:Q1673)=0,"",SUM((COUNTIF(Q$4:Q1659,Upgrades!$B$3:$B$13)-COUNTIF(Q$4:Q1659,"Sell_"&amp;Upgrades!$B$3:$B$13))*Upgrades!$D$3:$D$13))</f>
        <v/>
      </c>
      <c r="T1659" s="66" t="str">
        <f>IFERROR(__xludf.DUMMYFUNCTION("IF(COUNTA(Q1659:Q1673)=0,"""",IF(REGEXMATCH(INDEX(FILTER(Q$4:Q1659,Q$4:Q1659&lt;&gt;""""),ROWS(FILTER(Q$4:Q1659,Q$4:Q1659&lt;&gt;""""))),""^Sell_""),INDEX(FILTER(T$4:T1658,Q$4:Q1658&lt;&gt;""""),ROWS(FILTER(Q$4:Q1658,Q$4:Q1658&lt;&gt;""""))),$AD$5+S1659))"),"")</f>
        <v/>
      </c>
      <c r="U1659" s="10" t="str">
        <f>IFERROR(__xludf.DUMMYFUNCTION("IF(COUNTA(Q1659:Q1673)=0,"""",IF(Q1659="""",0,IF(REGEXMATCH(Q1659,""^Sell_""),-ROUNDDOWN(ROUNDUP(INDEX(Upgrades!$C$3:$C$13,MATCH(SUBSTITUTE(Q1659,""Sell_"",""""),Upgrades!$B$3:$B$13,0))*1.15^(COUNTIF(Q$4:Q1658,SUBSTITUTE(Q1659,""Sell_"",""""))-COUNTIF(Q$4"&amp;":Q1658,""Sell_""&amp;SUBSTITUTE(Q1659,""Sell_"",""""))))/2),ROUNDUP(INDEX(Upgrades!$C$3:$C$13,MATCH(Q1659,Upgrades!$B$3:$B$13,0))*1.15^(COUNTIF(Q$4:Q1658,Q1659)-COUNTIF(Q$4:Q1658,""Sell_""&amp;Q1659))))))"),"")</f>
        <v/>
      </c>
      <c r="V1659" s="10" t="str">
        <f t="shared" si="11"/>
        <v/>
      </c>
      <c r="W1659" s="68" t="str">
        <f t="shared" si="12"/>
        <v/>
      </c>
      <c r="X1659" s="59" t="str">
        <f t="shared" si="13"/>
        <v/>
      </c>
      <c r="Y1659" s="69" t="str">
        <f t="shared" si="14"/>
        <v/>
      </c>
      <c r="Z1659" s="11"/>
    </row>
    <row r="1660">
      <c r="A1660" s="8"/>
      <c r="B1660" s="56" t="str">
        <f t="shared" si="2"/>
        <v/>
      </c>
      <c r="C1660" s="105"/>
      <c r="D1660" s="10"/>
      <c r="E1660" s="59" t="str">
        <f t="array" ref="E1660">IF(COUNTA(C1660:C1673)=0,"",SUM((COUNTIF(C$4:C1660,Upgrades!$B$3:$B$13)-COUNTIF(C$4:C1660,"Sell_"&amp;Upgrades!$B$3:$B$13))*Upgrades!$D$3:$D$13))</f>
        <v/>
      </c>
      <c r="F1660" s="66" t="str">
        <f>IFERROR(__xludf.DUMMYFUNCTION("IF(COUNTA(C1660:C1673)=0,"""",IF(REGEXMATCH(INDEX(FILTER(C$4:C1660,C$4:C1660&lt;&gt;""""),ROWS(FILTER(C$4:C1660,C$4:C1660&lt;&gt;""""))),""^Sell_""),INDEX(FILTER(F$4:F1659,C$4:C1659&lt;&gt;""""),ROWS(FILTER(C$4:C1659,C$4:C1659&lt;&gt;""""))),$AC$5+E1660))"),"")</f>
        <v/>
      </c>
      <c r="G1660" s="10" t="str">
        <f>IFERROR(__xludf.DUMMYFUNCTION("IF(COUNTA(C1660:C1673)=0,"""",IF(C1660="""",0,IF(REGEXMATCH(C1660,""^Sell_""),-ROUNDDOWN(ROUNDUP(INDEX(Upgrades!$C$3:$C$13,MATCH(SUBSTITUTE(C1660,""Sell_"",""""),Upgrades!$B$3:$B$13,0))*1.15^(COUNTIF(C$4:C1659,SUBSTITUTE(C1660,""Sell_"",""""))-COUNTIF(C$4"&amp;":C1659,""Sell_""&amp;SUBSTITUTE(C1660,""Sell_"",""""))))/2),ROUNDUP(INDEX(Upgrades!$C$3:$C$13,MATCH(C1660,Upgrades!$B$3:$B$13,0))*1.15^(COUNTIF(C$4:C1659,C1660)-COUNTIF(C$4:C1659,""Sell_""&amp;C1660))))))"),"")</f>
        <v/>
      </c>
      <c r="H1660" s="10" t="str">
        <f t="shared" si="3"/>
        <v/>
      </c>
      <c r="I1660" s="68" t="str">
        <f t="shared" si="4"/>
        <v/>
      </c>
      <c r="J1660" s="59" t="str">
        <f t="shared" si="5"/>
        <v/>
      </c>
      <c r="K1660" s="69" t="str">
        <f t="shared" si="6"/>
        <v/>
      </c>
      <c r="L1660" s="60" t="str">
        <f t="shared" si="7"/>
        <v/>
      </c>
      <c r="M1660" s="61" t="str">
        <f>IFERROR(__xludf.DUMMYFUNCTION("IFS(AND(COUNTA(C1660:C1673)=0,COUNTA(Q1660:Q1673)=0),"""",OR(AND(K1660&gt;=1000000000,OR(Y1660&gt;=1000000000,COUNTA(Q1660:Q1673)=0)),OR(Y1660&gt;=1000000000,AND(COUNTA(C1660:C1673)=0,P$3=TRUE))),
ROUNDDOWN((AB$1-AC$1)*MAX(INDEX(T$4:T1673,MATCH(LARGE(FILTER(Y$4:Y1"&amp;"673,Y$4:Y1673&lt;1000000000),1),Y$4:Y1673)),INDEX(F$4:F1673,MATCH(LARGE(FILTER(K$4:K1673,K$4:K1673&lt;1000000000),1),K$4:K1673)))),AND(K1660&lt;1000000000,COUNTA(C1660:C1673)&gt;0,P$3=FALSE),
ROUNDDOWN(INDEX(Y$4:Y1673,MATCH(LARGE(FILTER(W$4:W1673,W$4:W1673&lt;=I1660),1)"&amp;",W$4:W1673))+(I1660-LARGE(FILTER(W$4:W1673,W$4:W1673&lt;=I1660),1))*INDEX(T$4:T1673,MATCH(LARGE(FILTER(W$4:W1673,W$4:W1673&lt;=I1660),1),W$4:W1673))-K1660),1,
ROUNDDOWN(Y1660-INDEX(K$4:K1673,MATCH(LARGE(FILTER(I$4:I1673,I$4:I1673&lt;=W1660),1),I$4:I1673))-(W1660-L"&amp;"ARGE(FILTER(I$4:I1673,I$4:I1673&lt;=W1660),1))*INDEX(F$4:F1673,MATCH(LARGE(FILTER(I$4:I1673,I$4:I1673&lt;=W1660),1),I$4:I1673))))"),"")</f>
        <v/>
      </c>
      <c r="N1660" s="60" t="str">
        <f t="shared" si="8"/>
        <v/>
      </c>
      <c r="O1660" s="61" t="str">
        <f t="shared" si="9"/>
        <v/>
      </c>
      <c r="P1660" s="56" t="str">
        <f t="shared" si="10"/>
        <v/>
      </c>
      <c r="Q1660" s="57"/>
      <c r="R1660" s="10"/>
      <c r="S1660" s="59" t="str">
        <f t="array" ref="S1660">IF(COUNTA(Q1660:Q1673)=0,"",SUM((COUNTIF(Q$4:Q1660,Upgrades!$B$3:$B$13)-COUNTIF(Q$4:Q1660,"Sell_"&amp;Upgrades!$B$3:$B$13))*Upgrades!$D$3:$D$13))</f>
        <v/>
      </c>
      <c r="T1660" s="66" t="str">
        <f>IFERROR(__xludf.DUMMYFUNCTION("IF(COUNTA(Q1660:Q1673)=0,"""",IF(REGEXMATCH(INDEX(FILTER(Q$4:Q1660,Q$4:Q1660&lt;&gt;""""),ROWS(FILTER(Q$4:Q1660,Q$4:Q1660&lt;&gt;""""))),""^Sell_""),INDEX(FILTER(T$4:T1659,Q$4:Q1659&lt;&gt;""""),ROWS(FILTER(Q$4:Q1659,Q$4:Q1659&lt;&gt;""""))),$AD$5+S1660))"),"")</f>
        <v/>
      </c>
      <c r="U1660" s="10" t="str">
        <f>IFERROR(__xludf.DUMMYFUNCTION("IF(COUNTA(Q1660:Q1673)=0,"""",IF(Q1660="""",0,IF(REGEXMATCH(Q1660,""^Sell_""),-ROUNDDOWN(ROUNDUP(INDEX(Upgrades!$C$3:$C$13,MATCH(SUBSTITUTE(Q1660,""Sell_"",""""),Upgrades!$B$3:$B$13,0))*1.15^(COUNTIF(Q$4:Q1659,SUBSTITUTE(Q1660,""Sell_"",""""))-COUNTIF(Q$4"&amp;":Q1659,""Sell_""&amp;SUBSTITUTE(Q1660,""Sell_"",""""))))/2),ROUNDUP(INDEX(Upgrades!$C$3:$C$13,MATCH(Q1660,Upgrades!$B$3:$B$13,0))*1.15^(COUNTIF(Q$4:Q1659,Q1660)-COUNTIF(Q$4:Q1659,""Sell_""&amp;Q1660))))))"),"")</f>
        <v/>
      </c>
      <c r="V1660" s="10" t="str">
        <f t="shared" si="11"/>
        <v/>
      </c>
      <c r="W1660" s="68" t="str">
        <f t="shared" si="12"/>
        <v/>
      </c>
      <c r="X1660" s="59" t="str">
        <f t="shared" si="13"/>
        <v/>
      </c>
      <c r="Y1660" s="69" t="str">
        <f t="shared" si="14"/>
        <v/>
      </c>
      <c r="Z1660" s="11"/>
    </row>
    <row r="1661">
      <c r="A1661" s="8"/>
      <c r="B1661" s="56" t="str">
        <f t="shared" si="2"/>
        <v/>
      </c>
      <c r="C1661" s="105"/>
      <c r="D1661" s="10"/>
      <c r="E1661" s="59" t="str">
        <f t="array" ref="E1661">IF(COUNTA(C1661:C1673)=0,"",SUM((COUNTIF(C$4:C1661,Upgrades!$B$3:$B$13)-COUNTIF(C$4:C1661,"Sell_"&amp;Upgrades!$B$3:$B$13))*Upgrades!$D$3:$D$13))</f>
        <v/>
      </c>
      <c r="F1661" s="66" t="str">
        <f>IFERROR(__xludf.DUMMYFUNCTION("IF(COUNTA(C1661:C1673)=0,"""",IF(REGEXMATCH(INDEX(FILTER(C$4:C1661,C$4:C1661&lt;&gt;""""),ROWS(FILTER(C$4:C1661,C$4:C1661&lt;&gt;""""))),""^Sell_""),INDEX(FILTER(F$4:F1660,C$4:C1660&lt;&gt;""""),ROWS(FILTER(C$4:C1660,C$4:C1660&lt;&gt;""""))),$AC$5+E1661))"),"")</f>
        <v/>
      </c>
      <c r="G1661" s="10" t="str">
        <f>IFERROR(__xludf.DUMMYFUNCTION("IF(COUNTA(C1661:C1673)=0,"""",IF(C1661="""",0,IF(REGEXMATCH(C1661,""^Sell_""),-ROUNDDOWN(ROUNDUP(INDEX(Upgrades!$C$3:$C$13,MATCH(SUBSTITUTE(C1661,""Sell_"",""""),Upgrades!$B$3:$B$13,0))*1.15^(COUNTIF(C$4:C1660,SUBSTITUTE(C1661,""Sell_"",""""))-COUNTIF(C$4"&amp;":C1660,""Sell_""&amp;SUBSTITUTE(C1661,""Sell_"",""""))))/2),ROUNDUP(INDEX(Upgrades!$C$3:$C$13,MATCH(C1661,Upgrades!$B$3:$B$13,0))*1.15^(COUNTIF(C$4:C1660,C1661)-COUNTIF(C$4:C1660,""Sell_""&amp;C1661))))))"),"")</f>
        <v/>
      </c>
      <c r="H1661" s="10" t="str">
        <f t="shared" si="3"/>
        <v/>
      </c>
      <c r="I1661" s="68" t="str">
        <f t="shared" si="4"/>
        <v/>
      </c>
      <c r="J1661" s="59" t="str">
        <f t="shared" si="5"/>
        <v/>
      </c>
      <c r="K1661" s="69" t="str">
        <f t="shared" si="6"/>
        <v/>
      </c>
      <c r="L1661" s="60" t="str">
        <f t="shared" si="7"/>
        <v/>
      </c>
      <c r="M1661" s="61" t="str">
        <f>IFERROR(__xludf.DUMMYFUNCTION("IFS(AND(COUNTA(C1661:C1673)=0,COUNTA(Q1661:Q1673)=0),"""",OR(AND(K1661&gt;=1000000000,OR(Y1661&gt;=1000000000,COUNTA(Q1661:Q1673)=0)),OR(Y1661&gt;=1000000000,AND(COUNTA(C1661:C1673)=0,P$3=TRUE))),
ROUNDDOWN((AB$1-AC$1)*MAX(INDEX(T$4:T1673,MATCH(LARGE(FILTER(Y$4:Y1"&amp;"673,Y$4:Y1673&lt;1000000000),1),Y$4:Y1673)),INDEX(F$4:F1673,MATCH(LARGE(FILTER(K$4:K1673,K$4:K1673&lt;1000000000),1),K$4:K1673)))),AND(K1661&lt;1000000000,COUNTA(C1661:C1673)&gt;0,P$3=FALSE),
ROUNDDOWN(INDEX(Y$4:Y1673,MATCH(LARGE(FILTER(W$4:W1673,W$4:W1673&lt;=I1661),1)"&amp;",W$4:W1673))+(I1661-LARGE(FILTER(W$4:W1673,W$4:W1673&lt;=I1661),1))*INDEX(T$4:T1673,MATCH(LARGE(FILTER(W$4:W1673,W$4:W1673&lt;=I1661),1),W$4:W1673))-K1661),1,
ROUNDDOWN(Y1661-INDEX(K$4:K1673,MATCH(LARGE(FILTER(I$4:I1673,I$4:I1673&lt;=W1661),1),I$4:I1673))-(W1661-L"&amp;"ARGE(FILTER(I$4:I1673,I$4:I1673&lt;=W1661),1))*INDEX(F$4:F1673,MATCH(LARGE(FILTER(I$4:I1673,I$4:I1673&lt;=W1661),1),I$4:I1673))))"),"")</f>
        <v/>
      </c>
      <c r="N1661" s="60" t="str">
        <f t="shared" si="8"/>
        <v/>
      </c>
      <c r="O1661" s="61" t="str">
        <f t="shared" si="9"/>
        <v/>
      </c>
      <c r="P1661" s="56" t="str">
        <f t="shared" si="10"/>
        <v/>
      </c>
      <c r="Q1661" s="57"/>
      <c r="R1661" s="10"/>
      <c r="S1661" s="59" t="str">
        <f t="array" ref="S1661">IF(COUNTA(Q1661:Q1673)=0,"",SUM((COUNTIF(Q$4:Q1661,Upgrades!$B$3:$B$13)-COUNTIF(Q$4:Q1661,"Sell_"&amp;Upgrades!$B$3:$B$13))*Upgrades!$D$3:$D$13))</f>
        <v/>
      </c>
      <c r="T1661" s="66" t="str">
        <f>IFERROR(__xludf.DUMMYFUNCTION("IF(COUNTA(Q1661:Q1673)=0,"""",IF(REGEXMATCH(INDEX(FILTER(Q$4:Q1661,Q$4:Q1661&lt;&gt;""""),ROWS(FILTER(Q$4:Q1661,Q$4:Q1661&lt;&gt;""""))),""^Sell_""),INDEX(FILTER(T$4:T1660,Q$4:Q1660&lt;&gt;""""),ROWS(FILTER(Q$4:Q1660,Q$4:Q1660&lt;&gt;""""))),$AD$5+S1661))"),"")</f>
        <v/>
      </c>
      <c r="U1661" s="10" t="str">
        <f>IFERROR(__xludf.DUMMYFUNCTION("IF(COUNTA(Q1661:Q1673)=0,"""",IF(Q1661="""",0,IF(REGEXMATCH(Q1661,""^Sell_""),-ROUNDDOWN(ROUNDUP(INDEX(Upgrades!$C$3:$C$13,MATCH(SUBSTITUTE(Q1661,""Sell_"",""""),Upgrades!$B$3:$B$13,0))*1.15^(COUNTIF(Q$4:Q1660,SUBSTITUTE(Q1661,""Sell_"",""""))-COUNTIF(Q$4"&amp;":Q1660,""Sell_""&amp;SUBSTITUTE(Q1661,""Sell_"",""""))))/2),ROUNDUP(INDEX(Upgrades!$C$3:$C$13,MATCH(Q1661,Upgrades!$B$3:$B$13,0))*1.15^(COUNTIF(Q$4:Q1660,Q1661)-COUNTIF(Q$4:Q1660,""Sell_""&amp;Q1661))))))"),"")</f>
        <v/>
      </c>
      <c r="V1661" s="10" t="str">
        <f t="shared" si="11"/>
        <v/>
      </c>
      <c r="W1661" s="68" t="str">
        <f t="shared" si="12"/>
        <v/>
      </c>
      <c r="X1661" s="59" t="str">
        <f t="shared" si="13"/>
        <v/>
      </c>
      <c r="Y1661" s="69" t="str">
        <f t="shared" si="14"/>
        <v/>
      </c>
      <c r="Z1661" s="11"/>
    </row>
    <row r="1662">
      <c r="A1662" s="8"/>
      <c r="B1662" s="56" t="str">
        <f t="shared" si="2"/>
        <v/>
      </c>
      <c r="C1662" s="105"/>
      <c r="D1662" s="10"/>
      <c r="E1662" s="59" t="str">
        <f t="array" ref="E1662">IF(COUNTA(C1662:C1673)=0,"",SUM((COUNTIF(C$4:C1662,Upgrades!$B$3:$B$13)-COUNTIF(C$4:C1662,"Sell_"&amp;Upgrades!$B$3:$B$13))*Upgrades!$D$3:$D$13))</f>
        <v/>
      </c>
      <c r="F1662" s="66" t="str">
        <f>IFERROR(__xludf.DUMMYFUNCTION("IF(COUNTA(C1662:C1673)=0,"""",IF(REGEXMATCH(INDEX(FILTER(C$4:C1662,C$4:C1662&lt;&gt;""""),ROWS(FILTER(C$4:C1662,C$4:C1662&lt;&gt;""""))),""^Sell_""),INDEX(FILTER(F$4:F1661,C$4:C1661&lt;&gt;""""),ROWS(FILTER(C$4:C1661,C$4:C1661&lt;&gt;""""))),$AC$5+E1662))"),"")</f>
        <v/>
      </c>
      <c r="G1662" s="10" t="str">
        <f>IFERROR(__xludf.DUMMYFUNCTION("IF(COUNTA(C1662:C1673)=0,"""",IF(C1662="""",0,IF(REGEXMATCH(C1662,""^Sell_""),-ROUNDDOWN(ROUNDUP(INDEX(Upgrades!$C$3:$C$13,MATCH(SUBSTITUTE(C1662,""Sell_"",""""),Upgrades!$B$3:$B$13,0))*1.15^(COUNTIF(C$4:C1661,SUBSTITUTE(C1662,""Sell_"",""""))-COUNTIF(C$4"&amp;":C1661,""Sell_""&amp;SUBSTITUTE(C1662,""Sell_"",""""))))/2),ROUNDUP(INDEX(Upgrades!$C$3:$C$13,MATCH(C1662,Upgrades!$B$3:$B$13,0))*1.15^(COUNTIF(C$4:C1661,C1662)-COUNTIF(C$4:C1661,""Sell_""&amp;C1662))))))"),"")</f>
        <v/>
      </c>
      <c r="H1662" s="10" t="str">
        <f t="shared" si="3"/>
        <v/>
      </c>
      <c r="I1662" s="68" t="str">
        <f t="shared" si="4"/>
        <v/>
      </c>
      <c r="J1662" s="59" t="str">
        <f t="shared" si="5"/>
        <v/>
      </c>
      <c r="K1662" s="69" t="str">
        <f t="shared" si="6"/>
        <v/>
      </c>
      <c r="L1662" s="60" t="str">
        <f t="shared" si="7"/>
        <v/>
      </c>
      <c r="M1662" s="61" t="str">
        <f>IFERROR(__xludf.DUMMYFUNCTION("IFS(AND(COUNTA(C1662:C1673)=0,COUNTA(Q1662:Q1673)=0),"""",OR(AND(K1662&gt;=1000000000,OR(Y1662&gt;=1000000000,COUNTA(Q1662:Q1673)=0)),OR(Y1662&gt;=1000000000,AND(COUNTA(C1662:C1673)=0,P$3=TRUE))),
ROUNDDOWN((AB$1-AC$1)*MAX(INDEX(T$4:T1673,MATCH(LARGE(FILTER(Y$4:Y1"&amp;"673,Y$4:Y1673&lt;1000000000),1),Y$4:Y1673)),INDEX(F$4:F1673,MATCH(LARGE(FILTER(K$4:K1673,K$4:K1673&lt;1000000000),1),K$4:K1673)))),AND(K1662&lt;1000000000,COUNTA(C1662:C1673)&gt;0,P$3=FALSE),
ROUNDDOWN(INDEX(Y$4:Y1673,MATCH(LARGE(FILTER(W$4:W1673,W$4:W1673&lt;=I1662),1)"&amp;",W$4:W1673))+(I1662-LARGE(FILTER(W$4:W1673,W$4:W1673&lt;=I1662),1))*INDEX(T$4:T1673,MATCH(LARGE(FILTER(W$4:W1673,W$4:W1673&lt;=I1662),1),W$4:W1673))-K1662),1,
ROUNDDOWN(Y1662-INDEX(K$4:K1673,MATCH(LARGE(FILTER(I$4:I1673,I$4:I1673&lt;=W1662),1),I$4:I1673))-(W1662-L"&amp;"ARGE(FILTER(I$4:I1673,I$4:I1673&lt;=W1662),1))*INDEX(F$4:F1673,MATCH(LARGE(FILTER(I$4:I1673,I$4:I1673&lt;=W1662),1),I$4:I1673))))"),"")</f>
        <v/>
      </c>
      <c r="N1662" s="60" t="str">
        <f t="shared" si="8"/>
        <v/>
      </c>
      <c r="O1662" s="61" t="str">
        <f t="shared" si="9"/>
        <v/>
      </c>
      <c r="P1662" s="56" t="str">
        <f t="shared" si="10"/>
        <v/>
      </c>
      <c r="Q1662" s="57"/>
      <c r="R1662" s="10"/>
      <c r="S1662" s="59" t="str">
        <f t="array" ref="S1662">IF(COUNTA(Q1662:Q1673)=0,"",SUM((COUNTIF(Q$4:Q1662,Upgrades!$B$3:$B$13)-COUNTIF(Q$4:Q1662,"Sell_"&amp;Upgrades!$B$3:$B$13))*Upgrades!$D$3:$D$13))</f>
        <v/>
      </c>
      <c r="T1662" s="66" t="str">
        <f>IFERROR(__xludf.DUMMYFUNCTION("IF(COUNTA(Q1662:Q1673)=0,"""",IF(REGEXMATCH(INDEX(FILTER(Q$4:Q1662,Q$4:Q1662&lt;&gt;""""),ROWS(FILTER(Q$4:Q1662,Q$4:Q1662&lt;&gt;""""))),""^Sell_""),INDEX(FILTER(T$4:T1661,Q$4:Q1661&lt;&gt;""""),ROWS(FILTER(Q$4:Q1661,Q$4:Q1661&lt;&gt;""""))),$AD$5+S1662))"),"")</f>
        <v/>
      </c>
      <c r="U1662" s="10" t="str">
        <f>IFERROR(__xludf.DUMMYFUNCTION("IF(COUNTA(Q1662:Q1673)=0,"""",IF(Q1662="""",0,IF(REGEXMATCH(Q1662,""^Sell_""),-ROUNDDOWN(ROUNDUP(INDEX(Upgrades!$C$3:$C$13,MATCH(SUBSTITUTE(Q1662,""Sell_"",""""),Upgrades!$B$3:$B$13,0))*1.15^(COUNTIF(Q$4:Q1661,SUBSTITUTE(Q1662,""Sell_"",""""))-COUNTIF(Q$4"&amp;":Q1661,""Sell_""&amp;SUBSTITUTE(Q1662,""Sell_"",""""))))/2),ROUNDUP(INDEX(Upgrades!$C$3:$C$13,MATCH(Q1662,Upgrades!$B$3:$B$13,0))*1.15^(COUNTIF(Q$4:Q1661,Q1662)-COUNTIF(Q$4:Q1661,""Sell_""&amp;Q1662))))))"),"")</f>
        <v/>
      </c>
      <c r="V1662" s="10" t="str">
        <f t="shared" si="11"/>
        <v/>
      </c>
      <c r="W1662" s="68" t="str">
        <f t="shared" si="12"/>
        <v/>
      </c>
      <c r="X1662" s="59" t="str">
        <f t="shared" si="13"/>
        <v/>
      </c>
      <c r="Y1662" s="69" t="str">
        <f t="shared" si="14"/>
        <v/>
      </c>
      <c r="Z1662" s="11"/>
    </row>
    <row r="1663">
      <c r="A1663" s="8"/>
      <c r="B1663" s="56" t="str">
        <f t="shared" si="2"/>
        <v/>
      </c>
      <c r="C1663" s="105"/>
      <c r="D1663" s="10"/>
      <c r="E1663" s="59" t="str">
        <f t="array" ref="E1663">IF(COUNTA(C1663:C1673)=0,"",SUM((COUNTIF(C$4:C1663,Upgrades!$B$3:$B$13)-COUNTIF(C$4:C1663,"Sell_"&amp;Upgrades!$B$3:$B$13))*Upgrades!$D$3:$D$13))</f>
        <v/>
      </c>
      <c r="F1663" s="66" t="str">
        <f>IFERROR(__xludf.DUMMYFUNCTION("IF(COUNTA(C1663:C1673)=0,"""",IF(REGEXMATCH(INDEX(FILTER(C$4:C1663,C$4:C1663&lt;&gt;""""),ROWS(FILTER(C$4:C1663,C$4:C1663&lt;&gt;""""))),""^Sell_""),INDEX(FILTER(F$4:F1662,C$4:C1662&lt;&gt;""""),ROWS(FILTER(C$4:C1662,C$4:C1662&lt;&gt;""""))),$AC$5+E1663))"),"")</f>
        <v/>
      </c>
      <c r="G1663" s="10" t="str">
        <f>IFERROR(__xludf.DUMMYFUNCTION("IF(COUNTA(C1663:C1673)=0,"""",IF(C1663="""",0,IF(REGEXMATCH(C1663,""^Sell_""),-ROUNDDOWN(ROUNDUP(INDEX(Upgrades!$C$3:$C$13,MATCH(SUBSTITUTE(C1663,""Sell_"",""""),Upgrades!$B$3:$B$13,0))*1.15^(COUNTIF(C$4:C1662,SUBSTITUTE(C1663,""Sell_"",""""))-COUNTIF(C$4"&amp;":C1662,""Sell_""&amp;SUBSTITUTE(C1663,""Sell_"",""""))))/2),ROUNDUP(INDEX(Upgrades!$C$3:$C$13,MATCH(C1663,Upgrades!$B$3:$B$13,0))*1.15^(COUNTIF(C$4:C1662,C1663)-COUNTIF(C$4:C1662,""Sell_""&amp;C1663))))))"),"")</f>
        <v/>
      </c>
      <c r="H1663" s="10" t="str">
        <f t="shared" si="3"/>
        <v/>
      </c>
      <c r="I1663" s="68" t="str">
        <f t="shared" si="4"/>
        <v/>
      </c>
      <c r="J1663" s="59" t="str">
        <f t="shared" si="5"/>
        <v/>
      </c>
      <c r="K1663" s="69" t="str">
        <f t="shared" si="6"/>
        <v/>
      </c>
      <c r="L1663" s="60" t="str">
        <f t="shared" si="7"/>
        <v/>
      </c>
      <c r="M1663" s="61" t="str">
        <f>IFERROR(__xludf.DUMMYFUNCTION("IFS(AND(COUNTA(C1663:C1673)=0,COUNTA(Q1663:Q1673)=0),"""",OR(AND(K1663&gt;=1000000000,OR(Y1663&gt;=1000000000,COUNTA(Q1663:Q1673)=0)),OR(Y1663&gt;=1000000000,AND(COUNTA(C1663:C1673)=0,P$3=TRUE))),
ROUNDDOWN((AB$1-AC$1)*MAX(INDEX(T$4:T1673,MATCH(LARGE(FILTER(Y$4:Y1"&amp;"673,Y$4:Y1673&lt;1000000000),1),Y$4:Y1673)),INDEX(F$4:F1673,MATCH(LARGE(FILTER(K$4:K1673,K$4:K1673&lt;1000000000),1),K$4:K1673)))),AND(K1663&lt;1000000000,COUNTA(C1663:C1673)&gt;0,P$3=FALSE),
ROUNDDOWN(INDEX(Y$4:Y1673,MATCH(LARGE(FILTER(W$4:W1673,W$4:W1673&lt;=I1663),1)"&amp;",W$4:W1673))+(I1663-LARGE(FILTER(W$4:W1673,W$4:W1673&lt;=I1663),1))*INDEX(T$4:T1673,MATCH(LARGE(FILTER(W$4:W1673,W$4:W1673&lt;=I1663),1),W$4:W1673))-K1663),1,
ROUNDDOWN(Y1663-INDEX(K$4:K1673,MATCH(LARGE(FILTER(I$4:I1673,I$4:I1673&lt;=W1663),1),I$4:I1673))-(W1663-L"&amp;"ARGE(FILTER(I$4:I1673,I$4:I1673&lt;=W1663),1))*INDEX(F$4:F1673,MATCH(LARGE(FILTER(I$4:I1673,I$4:I1673&lt;=W1663),1),I$4:I1673))))"),"")</f>
        <v/>
      </c>
      <c r="N1663" s="60" t="str">
        <f t="shared" si="8"/>
        <v/>
      </c>
      <c r="O1663" s="61" t="str">
        <f t="shared" si="9"/>
        <v/>
      </c>
      <c r="P1663" s="56" t="str">
        <f t="shared" si="10"/>
        <v/>
      </c>
      <c r="Q1663" s="57"/>
      <c r="R1663" s="10"/>
      <c r="S1663" s="59" t="str">
        <f t="array" ref="S1663">IF(COUNTA(Q1663:Q1673)=0,"",SUM((COUNTIF(Q$4:Q1663,Upgrades!$B$3:$B$13)-COUNTIF(Q$4:Q1663,"Sell_"&amp;Upgrades!$B$3:$B$13))*Upgrades!$D$3:$D$13))</f>
        <v/>
      </c>
      <c r="T1663" s="66" t="str">
        <f>IFERROR(__xludf.DUMMYFUNCTION("IF(COUNTA(Q1663:Q1673)=0,"""",IF(REGEXMATCH(INDEX(FILTER(Q$4:Q1663,Q$4:Q1663&lt;&gt;""""),ROWS(FILTER(Q$4:Q1663,Q$4:Q1663&lt;&gt;""""))),""^Sell_""),INDEX(FILTER(T$4:T1662,Q$4:Q1662&lt;&gt;""""),ROWS(FILTER(Q$4:Q1662,Q$4:Q1662&lt;&gt;""""))),$AD$5+S1663))"),"")</f>
        <v/>
      </c>
      <c r="U1663" s="10" t="str">
        <f>IFERROR(__xludf.DUMMYFUNCTION("IF(COUNTA(Q1663:Q1673)=0,"""",IF(Q1663="""",0,IF(REGEXMATCH(Q1663,""^Sell_""),-ROUNDDOWN(ROUNDUP(INDEX(Upgrades!$C$3:$C$13,MATCH(SUBSTITUTE(Q1663,""Sell_"",""""),Upgrades!$B$3:$B$13,0))*1.15^(COUNTIF(Q$4:Q1662,SUBSTITUTE(Q1663,""Sell_"",""""))-COUNTIF(Q$4"&amp;":Q1662,""Sell_""&amp;SUBSTITUTE(Q1663,""Sell_"",""""))))/2),ROUNDUP(INDEX(Upgrades!$C$3:$C$13,MATCH(Q1663,Upgrades!$B$3:$B$13,0))*1.15^(COUNTIF(Q$4:Q1662,Q1663)-COUNTIF(Q$4:Q1662,""Sell_""&amp;Q1663))))))"),"")</f>
        <v/>
      </c>
      <c r="V1663" s="10" t="str">
        <f t="shared" si="11"/>
        <v/>
      </c>
      <c r="W1663" s="68" t="str">
        <f t="shared" si="12"/>
        <v/>
      </c>
      <c r="X1663" s="59" t="str">
        <f t="shared" si="13"/>
        <v/>
      </c>
      <c r="Y1663" s="69" t="str">
        <f t="shared" si="14"/>
        <v/>
      </c>
      <c r="Z1663" s="11"/>
    </row>
    <row r="1664">
      <c r="A1664" s="8"/>
      <c r="B1664" s="56" t="str">
        <f t="shared" si="2"/>
        <v/>
      </c>
      <c r="C1664" s="105"/>
      <c r="D1664" s="10"/>
      <c r="E1664" s="59" t="str">
        <f t="array" ref="E1664">IF(COUNTA(C1664:C1673)=0,"",SUM((COUNTIF(C$4:C1664,Upgrades!$B$3:$B$13)-COUNTIF(C$4:C1664,"Sell_"&amp;Upgrades!$B$3:$B$13))*Upgrades!$D$3:$D$13))</f>
        <v/>
      </c>
      <c r="F1664" s="66" t="str">
        <f>IFERROR(__xludf.DUMMYFUNCTION("IF(COUNTA(C1664:C1673)=0,"""",IF(REGEXMATCH(INDEX(FILTER(C$4:C1664,C$4:C1664&lt;&gt;""""),ROWS(FILTER(C$4:C1664,C$4:C1664&lt;&gt;""""))),""^Sell_""),INDEX(FILTER(F$4:F1663,C$4:C1663&lt;&gt;""""),ROWS(FILTER(C$4:C1663,C$4:C1663&lt;&gt;""""))),$AC$5+E1664))"),"")</f>
        <v/>
      </c>
      <c r="G1664" s="10" t="str">
        <f>IFERROR(__xludf.DUMMYFUNCTION("IF(COUNTA(C1664:C1673)=0,"""",IF(C1664="""",0,IF(REGEXMATCH(C1664,""^Sell_""),-ROUNDDOWN(ROUNDUP(INDEX(Upgrades!$C$3:$C$13,MATCH(SUBSTITUTE(C1664,""Sell_"",""""),Upgrades!$B$3:$B$13,0))*1.15^(COUNTIF(C$4:C1663,SUBSTITUTE(C1664,""Sell_"",""""))-COUNTIF(C$4"&amp;":C1663,""Sell_""&amp;SUBSTITUTE(C1664,""Sell_"",""""))))/2),ROUNDUP(INDEX(Upgrades!$C$3:$C$13,MATCH(C1664,Upgrades!$B$3:$B$13,0))*1.15^(COUNTIF(C$4:C1663,C1664)-COUNTIF(C$4:C1663,""Sell_""&amp;C1664))))))"),"")</f>
        <v/>
      </c>
      <c r="H1664" s="10" t="str">
        <f t="shared" si="3"/>
        <v/>
      </c>
      <c r="I1664" s="68" t="str">
        <f t="shared" si="4"/>
        <v/>
      </c>
      <c r="J1664" s="59" t="str">
        <f t="shared" si="5"/>
        <v/>
      </c>
      <c r="K1664" s="69" t="str">
        <f t="shared" si="6"/>
        <v/>
      </c>
      <c r="L1664" s="60" t="str">
        <f t="shared" si="7"/>
        <v/>
      </c>
      <c r="M1664" s="61" t="str">
        <f>IFERROR(__xludf.DUMMYFUNCTION("IFS(AND(COUNTA(C1664:C1673)=0,COUNTA(Q1664:Q1673)=0),"""",OR(AND(K1664&gt;=1000000000,OR(Y1664&gt;=1000000000,COUNTA(Q1664:Q1673)=0)),OR(Y1664&gt;=1000000000,AND(COUNTA(C1664:C1673)=0,P$3=TRUE))),
ROUNDDOWN((AB$1-AC$1)*MAX(INDEX(T$4:T1673,MATCH(LARGE(FILTER(Y$4:Y1"&amp;"673,Y$4:Y1673&lt;1000000000),1),Y$4:Y1673)),INDEX(F$4:F1673,MATCH(LARGE(FILTER(K$4:K1673,K$4:K1673&lt;1000000000),1),K$4:K1673)))),AND(K1664&lt;1000000000,COUNTA(C1664:C1673)&gt;0,P$3=FALSE),
ROUNDDOWN(INDEX(Y$4:Y1673,MATCH(LARGE(FILTER(W$4:W1673,W$4:W1673&lt;=I1664),1)"&amp;",W$4:W1673))+(I1664-LARGE(FILTER(W$4:W1673,W$4:W1673&lt;=I1664),1))*INDEX(T$4:T1673,MATCH(LARGE(FILTER(W$4:W1673,W$4:W1673&lt;=I1664),1),W$4:W1673))-K1664),1,
ROUNDDOWN(Y1664-INDEX(K$4:K1673,MATCH(LARGE(FILTER(I$4:I1673,I$4:I1673&lt;=W1664),1),I$4:I1673))-(W1664-L"&amp;"ARGE(FILTER(I$4:I1673,I$4:I1673&lt;=W1664),1))*INDEX(F$4:F1673,MATCH(LARGE(FILTER(I$4:I1673,I$4:I1673&lt;=W1664),1),I$4:I1673))))"),"")</f>
        <v/>
      </c>
      <c r="N1664" s="60" t="str">
        <f t="shared" si="8"/>
        <v/>
      </c>
      <c r="O1664" s="61" t="str">
        <f t="shared" si="9"/>
        <v/>
      </c>
      <c r="P1664" s="56" t="str">
        <f t="shared" si="10"/>
        <v/>
      </c>
      <c r="Q1664" s="57"/>
      <c r="R1664" s="10"/>
      <c r="S1664" s="59" t="str">
        <f t="array" ref="S1664">IF(COUNTA(Q1664:Q1673)=0,"",SUM((COUNTIF(Q$4:Q1664,Upgrades!$B$3:$B$13)-COUNTIF(Q$4:Q1664,"Sell_"&amp;Upgrades!$B$3:$B$13))*Upgrades!$D$3:$D$13))</f>
        <v/>
      </c>
      <c r="T1664" s="66" t="str">
        <f>IFERROR(__xludf.DUMMYFUNCTION("IF(COUNTA(Q1664:Q1673)=0,"""",IF(REGEXMATCH(INDEX(FILTER(Q$4:Q1664,Q$4:Q1664&lt;&gt;""""),ROWS(FILTER(Q$4:Q1664,Q$4:Q1664&lt;&gt;""""))),""^Sell_""),INDEX(FILTER(T$4:T1663,Q$4:Q1663&lt;&gt;""""),ROWS(FILTER(Q$4:Q1663,Q$4:Q1663&lt;&gt;""""))),$AD$5+S1664))"),"")</f>
        <v/>
      </c>
      <c r="U1664" s="10" t="str">
        <f>IFERROR(__xludf.DUMMYFUNCTION("IF(COUNTA(Q1664:Q1673)=0,"""",IF(Q1664="""",0,IF(REGEXMATCH(Q1664,""^Sell_""),-ROUNDDOWN(ROUNDUP(INDEX(Upgrades!$C$3:$C$13,MATCH(SUBSTITUTE(Q1664,""Sell_"",""""),Upgrades!$B$3:$B$13,0))*1.15^(COUNTIF(Q$4:Q1663,SUBSTITUTE(Q1664,""Sell_"",""""))-COUNTIF(Q$4"&amp;":Q1663,""Sell_""&amp;SUBSTITUTE(Q1664,""Sell_"",""""))))/2),ROUNDUP(INDEX(Upgrades!$C$3:$C$13,MATCH(Q1664,Upgrades!$B$3:$B$13,0))*1.15^(COUNTIF(Q$4:Q1663,Q1664)-COUNTIF(Q$4:Q1663,""Sell_""&amp;Q1664))))))"),"")</f>
        <v/>
      </c>
      <c r="V1664" s="10" t="str">
        <f t="shared" si="11"/>
        <v/>
      </c>
      <c r="W1664" s="68" t="str">
        <f t="shared" si="12"/>
        <v/>
      </c>
      <c r="X1664" s="59" t="str">
        <f t="shared" si="13"/>
        <v/>
      </c>
      <c r="Y1664" s="69" t="str">
        <f t="shared" si="14"/>
        <v/>
      </c>
      <c r="Z1664" s="11"/>
    </row>
    <row r="1665">
      <c r="A1665" s="8"/>
      <c r="B1665" s="56" t="str">
        <f t="shared" si="2"/>
        <v/>
      </c>
      <c r="C1665" s="105"/>
      <c r="D1665" s="10"/>
      <c r="E1665" s="59" t="str">
        <f t="array" ref="E1665">IF(COUNTA(C1665:C1673)=0,"",SUM((COUNTIF(C$4:C1665,Upgrades!$B$3:$B$13)-COUNTIF(C$4:C1665,"Sell_"&amp;Upgrades!$B$3:$B$13))*Upgrades!$D$3:$D$13))</f>
        <v/>
      </c>
      <c r="F1665" s="66" t="str">
        <f>IFERROR(__xludf.DUMMYFUNCTION("IF(COUNTA(C1665:C1673)=0,"""",IF(REGEXMATCH(INDEX(FILTER(C$4:C1665,C$4:C1665&lt;&gt;""""),ROWS(FILTER(C$4:C1665,C$4:C1665&lt;&gt;""""))),""^Sell_""),INDEX(FILTER(F$4:F1664,C$4:C1664&lt;&gt;""""),ROWS(FILTER(C$4:C1664,C$4:C1664&lt;&gt;""""))),$AC$5+E1665))"),"")</f>
        <v/>
      </c>
      <c r="G1665" s="10" t="str">
        <f>IFERROR(__xludf.DUMMYFUNCTION("IF(COUNTA(C1665:C1673)=0,"""",IF(C1665="""",0,IF(REGEXMATCH(C1665,""^Sell_""),-ROUNDDOWN(ROUNDUP(INDEX(Upgrades!$C$3:$C$13,MATCH(SUBSTITUTE(C1665,""Sell_"",""""),Upgrades!$B$3:$B$13,0))*1.15^(COUNTIF(C$4:C1664,SUBSTITUTE(C1665,""Sell_"",""""))-COUNTIF(C$4"&amp;":C1664,""Sell_""&amp;SUBSTITUTE(C1665,""Sell_"",""""))))/2),ROUNDUP(INDEX(Upgrades!$C$3:$C$13,MATCH(C1665,Upgrades!$B$3:$B$13,0))*1.15^(COUNTIF(C$4:C1664,C1665)-COUNTIF(C$4:C1664,""Sell_""&amp;C1665))))))"),"")</f>
        <v/>
      </c>
      <c r="H1665" s="10" t="str">
        <f t="shared" si="3"/>
        <v/>
      </c>
      <c r="I1665" s="68" t="str">
        <f t="shared" si="4"/>
        <v/>
      </c>
      <c r="J1665" s="59" t="str">
        <f t="shared" si="5"/>
        <v/>
      </c>
      <c r="K1665" s="69" t="str">
        <f t="shared" si="6"/>
        <v/>
      </c>
      <c r="L1665" s="60" t="str">
        <f t="shared" si="7"/>
        <v/>
      </c>
      <c r="M1665" s="61" t="str">
        <f>IFERROR(__xludf.DUMMYFUNCTION("IFS(AND(COUNTA(C1665:C1673)=0,COUNTA(Q1665:Q1673)=0),"""",OR(AND(K1665&gt;=1000000000,OR(Y1665&gt;=1000000000,COUNTA(Q1665:Q1673)=0)),OR(Y1665&gt;=1000000000,AND(COUNTA(C1665:C1673)=0,P$3=TRUE))),
ROUNDDOWN((AB$1-AC$1)*MAX(INDEX(T$4:T1673,MATCH(LARGE(FILTER(Y$4:Y1"&amp;"673,Y$4:Y1673&lt;1000000000),1),Y$4:Y1673)),INDEX(F$4:F1673,MATCH(LARGE(FILTER(K$4:K1673,K$4:K1673&lt;1000000000),1),K$4:K1673)))),AND(K1665&lt;1000000000,COUNTA(C1665:C1673)&gt;0,P$3=FALSE),
ROUNDDOWN(INDEX(Y$4:Y1673,MATCH(LARGE(FILTER(W$4:W1673,W$4:W1673&lt;=I1665),1)"&amp;",W$4:W1673))+(I1665-LARGE(FILTER(W$4:W1673,W$4:W1673&lt;=I1665),1))*INDEX(T$4:T1673,MATCH(LARGE(FILTER(W$4:W1673,W$4:W1673&lt;=I1665),1),W$4:W1673))-K1665),1,
ROUNDDOWN(Y1665-INDEX(K$4:K1673,MATCH(LARGE(FILTER(I$4:I1673,I$4:I1673&lt;=W1665),1),I$4:I1673))-(W1665-L"&amp;"ARGE(FILTER(I$4:I1673,I$4:I1673&lt;=W1665),1))*INDEX(F$4:F1673,MATCH(LARGE(FILTER(I$4:I1673,I$4:I1673&lt;=W1665),1),I$4:I1673))))"),"")</f>
        <v/>
      </c>
      <c r="N1665" s="60" t="str">
        <f t="shared" si="8"/>
        <v/>
      </c>
      <c r="O1665" s="61" t="str">
        <f t="shared" si="9"/>
        <v/>
      </c>
      <c r="P1665" s="56" t="str">
        <f t="shared" si="10"/>
        <v/>
      </c>
      <c r="Q1665" s="57"/>
      <c r="R1665" s="10"/>
      <c r="S1665" s="59" t="str">
        <f t="array" ref="S1665">IF(COUNTA(Q1665:Q1673)=0,"",SUM((COUNTIF(Q$4:Q1665,Upgrades!$B$3:$B$13)-COUNTIF(Q$4:Q1665,"Sell_"&amp;Upgrades!$B$3:$B$13))*Upgrades!$D$3:$D$13))</f>
        <v/>
      </c>
      <c r="T1665" s="66" t="str">
        <f>IFERROR(__xludf.DUMMYFUNCTION("IF(COUNTA(Q1665:Q1673)=0,"""",IF(REGEXMATCH(INDEX(FILTER(Q$4:Q1665,Q$4:Q1665&lt;&gt;""""),ROWS(FILTER(Q$4:Q1665,Q$4:Q1665&lt;&gt;""""))),""^Sell_""),INDEX(FILTER(T$4:T1664,Q$4:Q1664&lt;&gt;""""),ROWS(FILTER(Q$4:Q1664,Q$4:Q1664&lt;&gt;""""))),$AD$5+S1665))"),"")</f>
        <v/>
      </c>
      <c r="U1665" s="10" t="str">
        <f>IFERROR(__xludf.DUMMYFUNCTION("IF(COUNTA(Q1665:Q1673)=0,"""",IF(Q1665="""",0,IF(REGEXMATCH(Q1665,""^Sell_""),-ROUNDDOWN(ROUNDUP(INDEX(Upgrades!$C$3:$C$13,MATCH(SUBSTITUTE(Q1665,""Sell_"",""""),Upgrades!$B$3:$B$13,0))*1.15^(COUNTIF(Q$4:Q1664,SUBSTITUTE(Q1665,""Sell_"",""""))-COUNTIF(Q$4"&amp;":Q1664,""Sell_""&amp;SUBSTITUTE(Q1665,""Sell_"",""""))))/2),ROUNDUP(INDEX(Upgrades!$C$3:$C$13,MATCH(Q1665,Upgrades!$B$3:$B$13,0))*1.15^(COUNTIF(Q$4:Q1664,Q1665)-COUNTIF(Q$4:Q1664,""Sell_""&amp;Q1665))))))"),"")</f>
        <v/>
      </c>
      <c r="V1665" s="10" t="str">
        <f t="shared" si="11"/>
        <v/>
      </c>
      <c r="W1665" s="68" t="str">
        <f t="shared" si="12"/>
        <v/>
      </c>
      <c r="X1665" s="59" t="str">
        <f t="shared" si="13"/>
        <v/>
      </c>
      <c r="Y1665" s="69" t="str">
        <f t="shared" si="14"/>
        <v/>
      </c>
      <c r="Z1665" s="11"/>
    </row>
    <row r="1666">
      <c r="A1666" s="8"/>
      <c r="B1666" s="56" t="str">
        <f t="shared" si="2"/>
        <v/>
      </c>
      <c r="C1666" s="105"/>
      <c r="D1666" s="10"/>
      <c r="E1666" s="59" t="str">
        <f t="array" ref="E1666">IF(COUNTA(C1666:C1673)=0,"",SUM((COUNTIF(C$4:C1666,Upgrades!$B$3:$B$13)-COUNTIF(C$4:C1666,"Sell_"&amp;Upgrades!$B$3:$B$13))*Upgrades!$D$3:$D$13))</f>
        <v/>
      </c>
      <c r="F1666" s="66" t="str">
        <f>IFERROR(__xludf.DUMMYFUNCTION("IF(COUNTA(C1666:C1673)=0,"""",IF(REGEXMATCH(INDEX(FILTER(C$4:C1666,C$4:C1666&lt;&gt;""""),ROWS(FILTER(C$4:C1666,C$4:C1666&lt;&gt;""""))),""^Sell_""),INDEX(FILTER(F$4:F1665,C$4:C1665&lt;&gt;""""),ROWS(FILTER(C$4:C1665,C$4:C1665&lt;&gt;""""))),$AC$5+E1666))"),"")</f>
        <v/>
      </c>
      <c r="G1666" s="10" t="str">
        <f>IFERROR(__xludf.DUMMYFUNCTION("IF(COUNTA(C1666:C1673)=0,"""",IF(C1666="""",0,IF(REGEXMATCH(C1666,""^Sell_""),-ROUNDDOWN(ROUNDUP(INDEX(Upgrades!$C$3:$C$13,MATCH(SUBSTITUTE(C1666,""Sell_"",""""),Upgrades!$B$3:$B$13,0))*1.15^(COUNTIF(C$4:C1665,SUBSTITUTE(C1666,""Sell_"",""""))-COUNTIF(C$4"&amp;":C1665,""Sell_""&amp;SUBSTITUTE(C1666,""Sell_"",""""))))/2),ROUNDUP(INDEX(Upgrades!$C$3:$C$13,MATCH(C1666,Upgrades!$B$3:$B$13,0))*1.15^(COUNTIF(C$4:C1665,C1666)-COUNTIF(C$4:C1665,""Sell_""&amp;C1666))))))"),"")</f>
        <v/>
      </c>
      <c r="H1666" s="10" t="str">
        <f t="shared" si="3"/>
        <v/>
      </c>
      <c r="I1666" s="68" t="str">
        <f t="shared" si="4"/>
        <v/>
      </c>
      <c r="J1666" s="59" t="str">
        <f t="shared" si="5"/>
        <v/>
      </c>
      <c r="K1666" s="69" t="str">
        <f t="shared" si="6"/>
        <v/>
      </c>
      <c r="L1666" s="60" t="str">
        <f t="shared" si="7"/>
        <v/>
      </c>
      <c r="M1666" s="61" t="str">
        <f>IFERROR(__xludf.DUMMYFUNCTION("IFS(AND(COUNTA(C1666:C1673)=0,COUNTA(Q1666:Q1673)=0),"""",OR(AND(K1666&gt;=1000000000,OR(Y1666&gt;=1000000000,COUNTA(Q1666:Q1673)=0)),OR(Y1666&gt;=1000000000,AND(COUNTA(C1666:C1673)=0,P$3=TRUE))),
ROUNDDOWN((AB$1-AC$1)*MAX(INDEX(T$4:T1673,MATCH(LARGE(FILTER(Y$4:Y1"&amp;"673,Y$4:Y1673&lt;1000000000),1),Y$4:Y1673)),INDEX(F$4:F1673,MATCH(LARGE(FILTER(K$4:K1673,K$4:K1673&lt;1000000000),1),K$4:K1673)))),AND(K1666&lt;1000000000,COUNTA(C1666:C1673)&gt;0,P$3=FALSE),
ROUNDDOWN(INDEX(Y$4:Y1673,MATCH(LARGE(FILTER(W$4:W1673,W$4:W1673&lt;=I1666),1)"&amp;",W$4:W1673))+(I1666-LARGE(FILTER(W$4:W1673,W$4:W1673&lt;=I1666),1))*INDEX(T$4:T1673,MATCH(LARGE(FILTER(W$4:W1673,W$4:W1673&lt;=I1666),1),W$4:W1673))-K1666),1,
ROUNDDOWN(Y1666-INDEX(K$4:K1673,MATCH(LARGE(FILTER(I$4:I1673,I$4:I1673&lt;=W1666),1),I$4:I1673))-(W1666-L"&amp;"ARGE(FILTER(I$4:I1673,I$4:I1673&lt;=W1666),1))*INDEX(F$4:F1673,MATCH(LARGE(FILTER(I$4:I1673,I$4:I1673&lt;=W1666),1),I$4:I1673))))"),"")</f>
        <v/>
      </c>
      <c r="N1666" s="60" t="str">
        <f t="shared" si="8"/>
        <v/>
      </c>
      <c r="O1666" s="61" t="str">
        <f t="shared" si="9"/>
        <v/>
      </c>
      <c r="P1666" s="56" t="str">
        <f t="shared" si="10"/>
        <v/>
      </c>
      <c r="Q1666" s="57"/>
      <c r="R1666" s="10"/>
      <c r="S1666" s="59" t="str">
        <f t="array" ref="S1666">IF(COUNTA(Q1666:Q1673)=0,"",SUM((COUNTIF(Q$4:Q1666,Upgrades!$B$3:$B$13)-COUNTIF(Q$4:Q1666,"Sell_"&amp;Upgrades!$B$3:$B$13))*Upgrades!$D$3:$D$13))</f>
        <v/>
      </c>
      <c r="T1666" s="66" t="str">
        <f>IFERROR(__xludf.DUMMYFUNCTION("IF(COUNTA(Q1666:Q1673)=0,"""",IF(REGEXMATCH(INDEX(FILTER(Q$4:Q1666,Q$4:Q1666&lt;&gt;""""),ROWS(FILTER(Q$4:Q1666,Q$4:Q1666&lt;&gt;""""))),""^Sell_""),INDEX(FILTER(T$4:T1665,Q$4:Q1665&lt;&gt;""""),ROWS(FILTER(Q$4:Q1665,Q$4:Q1665&lt;&gt;""""))),$AD$5+S1666))"),"")</f>
        <v/>
      </c>
      <c r="U1666" s="10" t="str">
        <f>IFERROR(__xludf.DUMMYFUNCTION("IF(COUNTA(Q1666:Q1673)=0,"""",IF(Q1666="""",0,IF(REGEXMATCH(Q1666,""^Sell_""),-ROUNDDOWN(ROUNDUP(INDEX(Upgrades!$C$3:$C$13,MATCH(SUBSTITUTE(Q1666,""Sell_"",""""),Upgrades!$B$3:$B$13,0))*1.15^(COUNTIF(Q$4:Q1665,SUBSTITUTE(Q1666,""Sell_"",""""))-COUNTIF(Q$4"&amp;":Q1665,""Sell_""&amp;SUBSTITUTE(Q1666,""Sell_"",""""))))/2),ROUNDUP(INDEX(Upgrades!$C$3:$C$13,MATCH(Q1666,Upgrades!$B$3:$B$13,0))*1.15^(COUNTIF(Q$4:Q1665,Q1666)-COUNTIF(Q$4:Q1665,""Sell_""&amp;Q1666))))))"),"")</f>
        <v/>
      </c>
      <c r="V1666" s="10" t="str">
        <f t="shared" si="11"/>
        <v/>
      </c>
      <c r="W1666" s="68" t="str">
        <f t="shared" si="12"/>
        <v/>
      </c>
      <c r="X1666" s="59" t="str">
        <f t="shared" si="13"/>
        <v/>
      </c>
      <c r="Y1666" s="69" t="str">
        <f t="shared" si="14"/>
        <v/>
      </c>
      <c r="Z1666" s="11"/>
    </row>
    <row r="1667">
      <c r="A1667" s="8"/>
      <c r="B1667" s="56" t="str">
        <f t="shared" si="2"/>
        <v/>
      </c>
      <c r="C1667" s="105"/>
      <c r="D1667" s="10"/>
      <c r="E1667" s="59" t="str">
        <f t="array" ref="E1667">IF(COUNTA(C1667:C1673)=0,"",SUM((COUNTIF(C$4:C1667,Upgrades!$B$3:$B$13)-COUNTIF(C$4:C1667,"Sell_"&amp;Upgrades!$B$3:$B$13))*Upgrades!$D$3:$D$13))</f>
        <v/>
      </c>
      <c r="F1667" s="66" t="str">
        <f>IFERROR(__xludf.DUMMYFUNCTION("IF(COUNTA(C1667:C1673)=0,"""",IF(REGEXMATCH(INDEX(FILTER(C$4:C1667,C$4:C1667&lt;&gt;""""),ROWS(FILTER(C$4:C1667,C$4:C1667&lt;&gt;""""))),""^Sell_""),INDEX(FILTER(F$4:F1666,C$4:C1666&lt;&gt;""""),ROWS(FILTER(C$4:C1666,C$4:C1666&lt;&gt;""""))),$AC$5+E1667))"),"")</f>
        <v/>
      </c>
      <c r="G1667" s="10" t="str">
        <f>IFERROR(__xludf.DUMMYFUNCTION("IF(COUNTA(C1667:C1673)=0,"""",IF(C1667="""",0,IF(REGEXMATCH(C1667,""^Sell_""),-ROUNDDOWN(ROUNDUP(INDEX(Upgrades!$C$3:$C$13,MATCH(SUBSTITUTE(C1667,""Sell_"",""""),Upgrades!$B$3:$B$13,0))*1.15^(COUNTIF(C$4:C1666,SUBSTITUTE(C1667,""Sell_"",""""))-COUNTIF(C$4"&amp;":C1666,""Sell_""&amp;SUBSTITUTE(C1667,""Sell_"",""""))))/2),ROUNDUP(INDEX(Upgrades!$C$3:$C$13,MATCH(C1667,Upgrades!$B$3:$B$13,0))*1.15^(COUNTIF(C$4:C1666,C1667)-COUNTIF(C$4:C1666,""Sell_""&amp;C1667))))))"),"")</f>
        <v/>
      </c>
      <c r="H1667" s="10" t="str">
        <f t="shared" si="3"/>
        <v/>
      </c>
      <c r="I1667" s="68" t="str">
        <f t="shared" si="4"/>
        <v/>
      </c>
      <c r="J1667" s="59" t="str">
        <f t="shared" si="5"/>
        <v/>
      </c>
      <c r="K1667" s="69" t="str">
        <f t="shared" si="6"/>
        <v/>
      </c>
      <c r="L1667" s="60" t="str">
        <f t="shared" si="7"/>
        <v/>
      </c>
      <c r="M1667" s="61" t="str">
        <f>IFERROR(__xludf.DUMMYFUNCTION("IFS(AND(COUNTA(C1667:C1673)=0,COUNTA(Q1667:Q1673)=0),"""",OR(AND(K1667&gt;=1000000000,OR(Y1667&gt;=1000000000,COUNTA(Q1667:Q1673)=0)),OR(Y1667&gt;=1000000000,AND(COUNTA(C1667:C1673)=0,P$3=TRUE))),
ROUNDDOWN((AB$1-AC$1)*MAX(INDEX(T$4:T1673,MATCH(LARGE(FILTER(Y$4:Y1"&amp;"673,Y$4:Y1673&lt;1000000000),1),Y$4:Y1673)),INDEX(F$4:F1673,MATCH(LARGE(FILTER(K$4:K1673,K$4:K1673&lt;1000000000),1),K$4:K1673)))),AND(K1667&lt;1000000000,COUNTA(C1667:C1673)&gt;0,P$3=FALSE),
ROUNDDOWN(INDEX(Y$4:Y1673,MATCH(LARGE(FILTER(W$4:W1673,W$4:W1673&lt;=I1667),1)"&amp;",W$4:W1673))+(I1667-LARGE(FILTER(W$4:W1673,W$4:W1673&lt;=I1667),1))*INDEX(T$4:T1673,MATCH(LARGE(FILTER(W$4:W1673,W$4:W1673&lt;=I1667),1),W$4:W1673))-K1667),1,
ROUNDDOWN(Y1667-INDEX(K$4:K1673,MATCH(LARGE(FILTER(I$4:I1673,I$4:I1673&lt;=W1667),1),I$4:I1673))-(W1667-L"&amp;"ARGE(FILTER(I$4:I1673,I$4:I1673&lt;=W1667),1))*INDEX(F$4:F1673,MATCH(LARGE(FILTER(I$4:I1673,I$4:I1673&lt;=W1667),1),I$4:I1673))))"),"")</f>
        <v/>
      </c>
      <c r="N1667" s="60" t="str">
        <f t="shared" si="8"/>
        <v/>
      </c>
      <c r="O1667" s="61" t="str">
        <f t="shared" si="9"/>
        <v/>
      </c>
      <c r="P1667" s="56" t="str">
        <f t="shared" si="10"/>
        <v/>
      </c>
      <c r="Q1667" s="57"/>
      <c r="R1667" s="10"/>
      <c r="S1667" s="59" t="str">
        <f t="array" ref="S1667">IF(COUNTA(Q1667:Q1673)=0,"",SUM((COUNTIF(Q$4:Q1667,Upgrades!$B$3:$B$13)-COUNTIF(Q$4:Q1667,"Sell_"&amp;Upgrades!$B$3:$B$13))*Upgrades!$D$3:$D$13))</f>
        <v/>
      </c>
      <c r="T1667" s="66" t="str">
        <f>IFERROR(__xludf.DUMMYFUNCTION("IF(COUNTA(Q1667:Q1673)=0,"""",IF(REGEXMATCH(INDEX(FILTER(Q$4:Q1667,Q$4:Q1667&lt;&gt;""""),ROWS(FILTER(Q$4:Q1667,Q$4:Q1667&lt;&gt;""""))),""^Sell_""),INDEX(FILTER(T$4:T1666,Q$4:Q1666&lt;&gt;""""),ROWS(FILTER(Q$4:Q1666,Q$4:Q1666&lt;&gt;""""))),$AD$5+S1667))"),"")</f>
        <v/>
      </c>
      <c r="U1667" s="10" t="str">
        <f>IFERROR(__xludf.DUMMYFUNCTION("IF(COUNTA(Q1667:Q1673)=0,"""",IF(Q1667="""",0,IF(REGEXMATCH(Q1667,""^Sell_""),-ROUNDDOWN(ROUNDUP(INDEX(Upgrades!$C$3:$C$13,MATCH(SUBSTITUTE(Q1667,""Sell_"",""""),Upgrades!$B$3:$B$13,0))*1.15^(COUNTIF(Q$4:Q1666,SUBSTITUTE(Q1667,""Sell_"",""""))-COUNTIF(Q$4"&amp;":Q1666,""Sell_""&amp;SUBSTITUTE(Q1667,""Sell_"",""""))))/2),ROUNDUP(INDEX(Upgrades!$C$3:$C$13,MATCH(Q1667,Upgrades!$B$3:$B$13,0))*1.15^(COUNTIF(Q$4:Q1666,Q1667)-COUNTIF(Q$4:Q1666,""Sell_""&amp;Q1667))))))"),"")</f>
        <v/>
      </c>
      <c r="V1667" s="10" t="str">
        <f t="shared" si="11"/>
        <v/>
      </c>
      <c r="W1667" s="68" t="str">
        <f t="shared" si="12"/>
        <v/>
      </c>
      <c r="X1667" s="59" t="str">
        <f t="shared" si="13"/>
        <v/>
      </c>
      <c r="Y1667" s="69" t="str">
        <f t="shared" si="14"/>
        <v/>
      </c>
      <c r="Z1667" s="11"/>
    </row>
    <row r="1668">
      <c r="A1668" s="8"/>
      <c r="B1668" s="56" t="str">
        <f t="shared" si="2"/>
        <v/>
      </c>
      <c r="C1668" s="105"/>
      <c r="D1668" s="10"/>
      <c r="E1668" s="59" t="str">
        <f t="array" ref="E1668">IF(COUNTA(C1668:C1673)=0,"",SUM((COUNTIF(C$4:C1668,Upgrades!$B$3:$B$13)-COUNTIF(C$4:C1668,"Sell_"&amp;Upgrades!$B$3:$B$13))*Upgrades!$D$3:$D$13))</f>
        <v/>
      </c>
      <c r="F1668" s="66" t="str">
        <f>IFERROR(__xludf.DUMMYFUNCTION("IF(COUNTA(C1668:C1673)=0,"""",IF(REGEXMATCH(INDEX(FILTER(C$4:C1668,C$4:C1668&lt;&gt;""""),ROWS(FILTER(C$4:C1668,C$4:C1668&lt;&gt;""""))),""^Sell_""),INDEX(FILTER(F$4:F1667,C$4:C1667&lt;&gt;""""),ROWS(FILTER(C$4:C1667,C$4:C1667&lt;&gt;""""))),$AC$5+E1668))"),"")</f>
        <v/>
      </c>
      <c r="G1668" s="10" t="str">
        <f>IFERROR(__xludf.DUMMYFUNCTION("IF(COUNTA(C1668:C1673)=0,"""",IF(C1668="""",0,IF(REGEXMATCH(C1668,""^Sell_""),-ROUNDDOWN(ROUNDUP(INDEX(Upgrades!$C$3:$C$13,MATCH(SUBSTITUTE(C1668,""Sell_"",""""),Upgrades!$B$3:$B$13,0))*1.15^(COUNTIF(C$4:C1667,SUBSTITUTE(C1668,""Sell_"",""""))-COUNTIF(C$4"&amp;":C1667,""Sell_""&amp;SUBSTITUTE(C1668,""Sell_"",""""))))/2),ROUNDUP(INDEX(Upgrades!$C$3:$C$13,MATCH(C1668,Upgrades!$B$3:$B$13,0))*1.15^(COUNTIF(C$4:C1667,C1668)-COUNTIF(C$4:C1667,""Sell_""&amp;C1668))))))"),"")</f>
        <v/>
      </c>
      <c r="H1668" s="10" t="str">
        <f t="shared" si="3"/>
        <v/>
      </c>
      <c r="I1668" s="68" t="str">
        <f t="shared" si="4"/>
        <v/>
      </c>
      <c r="J1668" s="59" t="str">
        <f t="shared" si="5"/>
        <v/>
      </c>
      <c r="K1668" s="69" t="str">
        <f t="shared" si="6"/>
        <v/>
      </c>
      <c r="L1668" s="60" t="str">
        <f t="shared" si="7"/>
        <v/>
      </c>
      <c r="M1668" s="61" t="str">
        <f>IFERROR(__xludf.DUMMYFUNCTION("IFS(AND(COUNTA(C1668:C1673)=0,COUNTA(Q1668:Q1673)=0),"""",OR(AND(K1668&gt;=1000000000,OR(Y1668&gt;=1000000000,COUNTA(Q1668:Q1673)=0)),OR(Y1668&gt;=1000000000,AND(COUNTA(C1668:C1673)=0,P$3=TRUE))),
ROUNDDOWN((AB$1-AC$1)*MAX(INDEX(T$4:T1673,MATCH(LARGE(FILTER(Y$4:Y1"&amp;"673,Y$4:Y1673&lt;1000000000),1),Y$4:Y1673)),INDEX(F$4:F1673,MATCH(LARGE(FILTER(K$4:K1673,K$4:K1673&lt;1000000000),1),K$4:K1673)))),AND(K1668&lt;1000000000,COUNTA(C1668:C1673)&gt;0,P$3=FALSE),
ROUNDDOWN(INDEX(Y$4:Y1673,MATCH(LARGE(FILTER(W$4:W1673,W$4:W1673&lt;=I1668),1)"&amp;",W$4:W1673))+(I1668-LARGE(FILTER(W$4:W1673,W$4:W1673&lt;=I1668),1))*INDEX(T$4:T1673,MATCH(LARGE(FILTER(W$4:W1673,W$4:W1673&lt;=I1668),1),W$4:W1673))-K1668),1,
ROUNDDOWN(Y1668-INDEX(K$4:K1673,MATCH(LARGE(FILTER(I$4:I1673,I$4:I1673&lt;=W1668),1),I$4:I1673))-(W1668-L"&amp;"ARGE(FILTER(I$4:I1673,I$4:I1673&lt;=W1668),1))*INDEX(F$4:F1673,MATCH(LARGE(FILTER(I$4:I1673,I$4:I1673&lt;=W1668),1),I$4:I1673))))"),"")</f>
        <v/>
      </c>
      <c r="N1668" s="60" t="str">
        <f t="shared" si="8"/>
        <v/>
      </c>
      <c r="O1668" s="61" t="str">
        <f t="shared" si="9"/>
        <v/>
      </c>
      <c r="P1668" s="56" t="str">
        <f t="shared" si="10"/>
        <v/>
      </c>
      <c r="Q1668" s="57"/>
      <c r="R1668" s="10"/>
      <c r="S1668" s="59" t="str">
        <f t="array" ref="S1668">IF(COUNTA(Q1668:Q1673)=0,"",SUM((COUNTIF(Q$4:Q1668,Upgrades!$B$3:$B$13)-COUNTIF(Q$4:Q1668,"Sell_"&amp;Upgrades!$B$3:$B$13))*Upgrades!$D$3:$D$13))</f>
        <v/>
      </c>
      <c r="T1668" s="66" t="str">
        <f>IFERROR(__xludf.DUMMYFUNCTION("IF(COUNTA(Q1668:Q1673)=0,"""",IF(REGEXMATCH(INDEX(FILTER(Q$4:Q1668,Q$4:Q1668&lt;&gt;""""),ROWS(FILTER(Q$4:Q1668,Q$4:Q1668&lt;&gt;""""))),""^Sell_""),INDEX(FILTER(T$4:T1667,Q$4:Q1667&lt;&gt;""""),ROWS(FILTER(Q$4:Q1667,Q$4:Q1667&lt;&gt;""""))),$AD$5+S1668))"),"")</f>
        <v/>
      </c>
      <c r="U1668" s="10" t="str">
        <f>IFERROR(__xludf.DUMMYFUNCTION("IF(COUNTA(Q1668:Q1673)=0,"""",IF(Q1668="""",0,IF(REGEXMATCH(Q1668,""^Sell_""),-ROUNDDOWN(ROUNDUP(INDEX(Upgrades!$C$3:$C$13,MATCH(SUBSTITUTE(Q1668,""Sell_"",""""),Upgrades!$B$3:$B$13,0))*1.15^(COUNTIF(Q$4:Q1667,SUBSTITUTE(Q1668,""Sell_"",""""))-COUNTIF(Q$4"&amp;":Q1667,""Sell_""&amp;SUBSTITUTE(Q1668,""Sell_"",""""))))/2),ROUNDUP(INDEX(Upgrades!$C$3:$C$13,MATCH(Q1668,Upgrades!$B$3:$B$13,0))*1.15^(COUNTIF(Q$4:Q1667,Q1668)-COUNTIF(Q$4:Q1667,""Sell_""&amp;Q1668))))))"),"")</f>
        <v/>
      </c>
      <c r="V1668" s="10" t="str">
        <f t="shared" si="11"/>
        <v/>
      </c>
      <c r="W1668" s="68" t="str">
        <f t="shared" si="12"/>
        <v/>
      </c>
      <c r="X1668" s="59" t="str">
        <f t="shared" si="13"/>
        <v/>
      </c>
      <c r="Y1668" s="69" t="str">
        <f t="shared" si="14"/>
        <v/>
      </c>
      <c r="Z1668" s="11"/>
    </row>
    <row r="1669">
      <c r="A1669" s="8"/>
      <c r="B1669" s="56" t="str">
        <f t="shared" si="2"/>
        <v/>
      </c>
      <c r="C1669" s="105"/>
      <c r="D1669" s="10"/>
      <c r="E1669" s="59" t="str">
        <f t="array" ref="E1669">IF(COUNTA(C1669:C1673)=0,"",SUM((COUNTIF(C$4:C1669,Upgrades!$B$3:$B$13)-COUNTIF(C$4:C1669,"Sell_"&amp;Upgrades!$B$3:$B$13))*Upgrades!$D$3:$D$13))</f>
        <v/>
      </c>
      <c r="F1669" s="66" t="str">
        <f>IFERROR(__xludf.DUMMYFUNCTION("IF(COUNTA(C1669:C1673)=0,"""",IF(REGEXMATCH(INDEX(FILTER(C$4:C1669,C$4:C1669&lt;&gt;""""),ROWS(FILTER(C$4:C1669,C$4:C1669&lt;&gt;""""))),""^Sell_""),INDEX(FILTER(F$4:F1668,C$4:C1668&lt;&gt;""""),ROWS(FILTER(C$4:C1668,C$4:C1668&lt;&gt;""""))),$AC$5+E1669))"),"")</f>
        <v/>
      </c>
      <c r="G1669" s="10" t="str">
        <f>IFERROR(__xludf.DUMMYFUNCTION("IF(COUNTA(C1669:C1673)=0,"""",IF(C1669="""",0,IF(REGEXMATCH(C1669,""^Sell_""),-ROUNDDOWN(ROUNDUP(INDEX(Upgrades!$C$3:$C$13,MATCH(SUBSTITUTE(C1669,""Sell_"",""""),Upgrades!$B$3:$B$13,0))*1.15^(COUNTIF(C$4:C1668,SUBSTITUTE(C1669,""Sell_"",""""))-COUNTIF(C$4"&amp;":C1668,""Sell_""&amp;SUBSTITUTE(C1669,""Sell_"",""""))))/2),ROUNDUP(INDEX(Upgrades!$C$3:$C$13,MATCH(C1669,Upgrades!$B$3:$B$13,0))*1.15^(COUNTIF(C$4:C1668,C1669)-COUNTIF(C$4:C1668,""Sell_""&amp;C1669))))))"),"")</f>
        <v/>
      </c>
      <c r="H1669" s="10" t="str">
        <f t="shared" si="3"/>
        <v/>
      </c>
      <c r="I1669" s="68" t="str">
        <f t="shared" si="4"/>
        <v/>
      </c>
      <c r="J1669" s="59" t="str">
        <f t="shared" si="5"/>
        <v/>
      </c>
      <c r="K1669" s="69" t="str">
        <f t="shared" si="6"/>
        <v/>
      </c>
      <c r="L1669" s="60" t="str">
        <f t="shared" si="7"/>
        <v/>
      </c>
      <c r="M1669" s="61" t="str">
        <f>IFERROR(__xludf.DUMMYFUNCTION("IFS(AND(COUNTA(C1669:C1673)=0,COUNTA(Q1669:Q1673)=0),"""",OR(AND(K1669&gt;=1000000000,OR(Y1669&gt;=1000000000,COUNTA(Q1669:Q1673)=0)),OR(Y1669&gt;=1000000000,AND(COUNTA(C1669:C1673)=0,P$3=TRUE))),
ROUNDDOWN((AB$1-AC$1)*MAX(INDEX(T$4:T1673,MATCH(LARGE(FILTER(Y$4:Y1"&amp;"673,Y$4:Y1673&lt;1000000000),1),Y$4:Y1673)),INDEX(F$4:F1673,MATCH(LARGE(FILTER(K$4:K1673,K$4:K1673&lt;1000000000),1),K$4:K1673)))),AND(K1669&lt;1000000000,COUNTA(C1669:C1673)&gt;0,P$3=FALSE),
ROUNDDOWN(INDEX(Y$4:Y1673,MATCH(LARGE(FILTER(W$4:W1673,W$4:W1673&lt;=I1669),1)"&amp;",W$4:W1673))+(I1669-LARGE(FILTER(W$4:W1673,W$4:W1673&lt;=I1669),1))*INDEX(T$4:T1673,MATCH(LARGE(FILTER(W$4:W1673,W$4:W1673&lt;=I1669),1),W$4:W1673))-K1669),1,
ROUNDDOWN(Y1669-INDEX(K$4:K1673,MATCH(LARGE(FILTER(I$4:I1673,I$4:I1673&lt;=W1669),1),I$4:I1673))-(W1669-L"&amp;"ARGE(FILTER(I$4:I1673,I$4:I1673&lt;=W1669),1))*INDEX(F$4:F1673,MATCH(LARGE(FILTER(I$4:I1673,I$4:I1673&lt;=W1669),1),I$4:I1673))))"),"")</f>
        <v/>
      </c>
      <c r="N1669" s="60" t="str">
        <f t="shared" si="8"/>
        <v/>
      </c>
      <c r="O1669" s="61" t="str">
        <f t="shared" si="9"/>
        <v/>
      </c>
      <c r="P1669" s="56" t="str">
        <f t="shared" si="10"/>
        <v/>
      </c>
      <c r="Q1669" s="57"/>
      <c r="R1669" s="10"/>
      <c r="S1669" s="59" t="str">
        <f t="array" ref="S1669">IF(COUNTA(Q1669:Q1673)=0,"",SUM((COUNTIF(Q$4:Q1669,Upgrades!$B$3:$B$13)-COUNTIF(Q$4:Q1669,"Sell_"&amp;Upgrades!$B$3:$B$13))*Upgrades!$D$3:$D$13))</f>
        <v/>
      </c>
      <c r="T1669" s="66" t="str">
        <f>IFERROR(__xludf.DUMMYFUNCTION("IF(COUNTA(Q1669:Q1673)=0,"""",IF(REGEXMATCH(INDEX(FILTER(Q$4:Q1669,Q$4:Q1669&lt;&gt;""""),ROWS(FILTER(Q$4:Q1669,Q$4:Q1669&lt;&gt;""""))),""^Sell_""),INDEX(FILTER(T$4:T1668,Q$4:Q1668&lt;&gt;""""),ROWS(FILTER(Q$4:Q1668,Q$4:Q1668&lt;&gt;""""))),$AD$5+S1669))"),"")</f>
        <v/>
      </c>
      <c r="U1669" s="10" t="str">
        <f>IFERROR(__xludf.DUMMYFUNCTION("IF(COUNTA(Q1669:Q1673)=0,"""",IF(Q1669="""",0,IF(REGEXMATCH(Q1669,""^Sell_""),-ROUNDDOWN(ROUNDUP(INDEX(Upgrades!$C$3:$C$13,MATCH(SUBSTITUTE(Q1669,""Sell_"",""""),Upgrades!$B$3:$B$13,0))*1.15^(COUNTIF(Q$4:Q1668,SUBSTITUTE(Q1669,""Sell_"",""""))-COUNTIF(Q$4"&amp;":Q1668,""Sell_""&amp;SUBSTITUTE(Q1669,""Sell_"",""""))))/2),ROUNDUP(INDEX(Upgrades!$C$3:$C$13,MATCH(Q1669,Upgrades!$B$3:$B$13,0))*1.15^(COUNTIF(Q$4:Q1668,Q1669)-COUNTIF(Q$4:Q1668,""Sell_""&amp;Q1669))))))"),"")</f>
        <v/>
      </c>
      <c r="V1669" s="10" t="str">
        <f t="shared" si="11"/>
        <v/>
      </c>
      <c r="W1669" s="68" t="str">
        <f t="shared" si="12"/>
        <v/>
      </c>
      <c r="X1669" s="59" t="str">
        <f t="shared" si="13"/>
        <v/>
      </c>
      <c r="Y1669" s="69" t="str">
        <f t="shared" si="14"/>
        <v/>
      </c>
      <c r="Z1669" s="11"/>
    </row>
    <row r="1670">
      <c r="A1670" s="8"/>
      <c r="B1670" s="56" t="str">
        <f t="shared" si="2"/>
        <v/>
      </c>
      <c r="C1670" s="105"/>
      <c r="D1670" s="10"/>
      <c r="E1670" s="59" t="str">
        <f t="array" ref="E1670">IF(COUNTA(C1670:C1673)=0,"",SUM((COUNTIF(C$4:C1670,Upgrades!$B$3:$B$13)-COUNTIF(C$4:C1670,"Sell_"&amp;Upgrades!$B$3:$B$13))*Upgrades!$D$3:$D$13))</f>
        <v/>
      </c>
      <c r="F1670" s="66" t="str">
        <f>IFERROR(__xludf.DUMMYFUNCTION("IF(COUNTA(C1670:C1673)=0,"""",IF(REGEXMATCH(INDEX(FILTER(C$4:C1670,C$4:C1670&lt;&gt;""""),ROWS(FILTER(C$4:C1670,C$4:C1670&lt;&gt;""""))),""^Sell_""),INDEX(FILTER(F$4:F1669,C$4:C1669&lt;&gt;""""),ROWS(FILTER(C$4:C1669,C$4:C1669&lt;&gt;""""))),$AC$5+E1670))"),"")</f>
        <v/>
      </c>
      <c r="G1670" s="10" t="str">
        <f>IFERROR(__xludf.DUMMYFUNCTION("IF(COUNTA(C1670:C1673)=0,"""",IF(C1670="""",0,IF(REGEXMATCH(C1670,""^Sell_""),-ROUNDDOWN(ROUNDUP(INDEX(Upgrades!$C$3:$C$13,MATCH(SUBSTITUTE(C1670,""Sell_"",""""),Upgrades!$B$3:$B$13,0))*1.15^(COUNTIF(C$4:C1669,SUBSTITUTE(C1670,""Sell_"",""""))-COUNTIF(C$4"&amp;":C1669,""Sell_""&amp;SUBSTITUTE(C1670,""Sell_"",""""))))/2),ROUNDUP(INDEX(Upgrades!$C$3:$C$13,MATCH(C1670,Upgrades!$B$3:$B$13,0))*1.15^(COUNTIF(C$4:C1669,C1670)-COUNTIF(C$4:C1669,""Sell_""&amp;C1670))))))"),"")</f>
        <v/>
      </c>
      <c r="H1670" s="10" t="str">
        <f t="shared" si="3"/>
        <v/>
      </c>
      <c r="I1670" s="68" t="str">
        <f t="shared" si="4"/>
        <v/>
      </c>
      <c r="J1670" s="59" t="str">
        <f t="shared" si="5"/>
        <v/>
      </c>
      <c r="K1670" s="69" t="str">
        <f t="shared" si="6"/>
        <v/>
      </c>
      <c r="L1670" s="60" t="str">
        <f t="shared" si="7"/>
        <v/>
      </c>
      <c r="M1670" s="61" t="str">
        <f>IFERROR(__xludf.DUMMYFUNCTION("IFS(AND(COUNTA(C1670:C1673)=0,COUNTA(Q1670:Q1673)=0),"""",OR(AND(K1670&gt;=1000000000,OR(Y1670&gt;=1000000000,COUNTA(Q1670:Q1673)=0)),OR(Y1670&gt;=1000000000,AND(COUNTA(C1670:C1673)=0,P$3=TRUE))),
ROUNDDOWN((AB$1-AC$1)*MAX(INDEX(T$4:T1673,MATCH(LARGE(FILTER(Y$4:Y1"&amp;"673,Y$4:Y1673&lt;1000000000),1),Y$4:Y1673)),INDEX(F$4:F1673,MATCH(LARGE(FILTER(K$4:K1673,K$4:K1673&lt;1000000000),1),K$4:K1673)))),AND(K1670&lt;1000000000,COUNTA(C1670:C1673)&gt;0,P$3=FALSE),
ROUNDDOWN(INDEX(Y$4:Y1673,MATCH(LARGE(FILTER(W$4:W1673,W$4:W1673&lt;=I1670),1)"&amp;",W$4:W1673))+(I1670-LARGE(FILTER(W$4:W1673,W$4:W1673&lt;=I1670),1))*INDEX(T$4:T1673,MATCH(LARGE(FILTER(W$4:W1673,W$4:W1673&lt;=I1670),1),W$4:W1673))-K1670),1,
ROUNDDOWN(Y1670-INDEX(K$4:K1673,MATCH(LARGE(FILTER(I$4:I1673,I$4:I1673&lt;=W1670),1),I$4:I1673))-(W1670-L"&amp;"ARGE(FILTER(I$4:I1673,I$4:I1673&lt;=W1670),1))*INDEX(F$4:F1673,MATCH(LARGE(FILTER(I$4:I1673,I$4:I1673&lt;=W1670),1),I$4:I1673))))"),"")</f>
        <v/>
      </c>
      <c r="N1670" s="60" t="str">
        <f t="shared" si="8"/>
        <v/>
      </c>
      <c r="O1670" s="61" t="str">
        <f t="shared" si="9"/>
        <v/>
      </c>
      <c r="P1670" s="56" t="str">
        <f t="shared" si="10"/>
        <v/>
      </c>
      <c r="Q1670" s="57"/>
      <c r="R1670" s="10"/>
      <c r="S1670" s="59" t="str">
        <f t="array" ref="S1670">IF(COUNTA(Q1670:Q1673)=0,"",SUM((COUNTIF(Q$4:Q1670,Upgrades!$B$3:$B$13)-COUNTIF(Q$4:Q1670,"Sell_"&amp;Upgrades!$B$3:$B$13))*Upgrades!$D$3:$D$13))</f>
        <v/>
      </c>
      <c r="T1670" s="66" t="str">
        <f>IFERROR(__xludf.DUMMYFUNCTION("IF(COUNTA(Q1670:Q1673)=0,"""",IF(REGEXMATCH(INDEX(FILTER(Q$4:Q1670,Q$4:Q1670&lt;&gt;""""),ROWS(FILTER(Q$4:Q1670,Q$4:Q1670&lt;&gt;""""))),""^Sell_""),INDEX(FILTER(T$4:T1669,Q$4:Q1669&lt;&gt;""""),ROWS(FILTER(Q$4:Q1669,Q$4:Q1669&lt;&gt;""""))),$AD$5+S1670))"),"")</f>
        <v/>
      </c>
      <c r="U1670" s="10" t="str">
        <f>IFERROR(__xludf.DUMMYFUNCTION("IF(COUNTA(Q1670:Q1673)=0,"""",IF(Q1670="""",0,IF(REGEXMATCH(Q1670,""^Sell_""),-ROUNDDOWN(ROUNDUP(INDEX(Upgrades!$C$3:$C$13,MATCH(SUBSTITUTE(Q1670,""Sell_"",""""),Upgrades!$B$3:$B$13,0))*1.15^(COUNTIF(Q$4:Q1669,SUBSTITUTE(Q1670,""Sell_"",""""))-COUNTIF(Q$4"&amp;":Q1669,""Sell_""&amp;SUBSTITUTE(Q1670,""Sell_"",""""))))/2),ROUNDUP(INDEX(Upgrades!$C$3:$C$13,MATCH(Q1670,Upgrades!$B$3:$B$13,0))*1.15^(COUNTIF(Q$4:Q1669,Q1670)-COUNTIF(Q$4:Q1669,""Sell_""&amp;Q1670))))))"),"")</f>
        <v/>
      </c>
      <c r="V1670" s="10" t="str">
        <f t="shared" si="11"/>
        <v/>
      </c>
      <c r="W1670" s="68" t="str">
        <f t="shared" si="12"/>
        <v/>
      </c>
      <c r="X1670" s="59" t="str">
        <f t="shared" si="13"/>
        <v/>
      </c>
      <c r="Y1670" s="69" t="str">
        <f t="shared" si="14"/>
        <v/>
      </c>
      <c r="Z1670" s="11"/>
    </row>
    <row r="1671">
      <c r="A1671" s="8"/>
      <c r="B1671" s="56" t="str">
        <f t="shared" si="2"/>
        <v/>
      </c>
      <c r="C1671" s="105"/>
      <c r="D1671" s="10"/>
      <c r="E1671" s="59" t="str">
        <f t="array" ref="E1671">IF(COUNTA(C1671:C1673)=0,"",SUM((COUNTIF(C$4:C1671,Upgrades!$B$3:$B$13)-COUNTIF(C$4:C1671,"Sell_"&amp;Upgrades!$B$3:$B$13))*Upgrades!$D$3:$D$13))</f>
        <v/>
      </c>
      <c r="F1671" s="66" t="str">
        <f>IFERROR(__xludf.DUMMYFUNCTION("IF(COUNTA(C1671:C1673)=0,"""",IF(REGEXMATCH(INDEX(FILTER(C$4:C1671,C$4:C1671&lt;&gt;""""),ROWS(FILTER(C$4:C1671,C$4:C1671&lt;&gt;""""))),""^Sell_""),INDEX(FILTER(F$4:F1670,C$4:C1670&lt;&gt;""""),ROWS(FILTER(C$4:C1670,C$4:C1670&lt;&gt;""""))),$AC$5+E1671))"),"")</f>
        <v/>
      </c>
      <c r="G1671" s="10" t="str">
        <f>IFERROR(__xludf.DUMMYFUNCTION("IF(COUNTA(C1671:C1673)=0,"""",IF(C1671="""",0,IF(REGEXMATCH(C1671,""^Sell_""),-ROUNDDOWN(ROUNDUP(INDEX(Upgrades!$C$3:$C$13,MATCH(SUBSTITUTE(C1671,""Sell_"",""""),Upgrades!$B$3:$B$13,0))*1.15^(COUNTIF(C$4:C1670,SUBSTITUTE(C1671,""Sell_"",""""))-COUNTIF(C$4"&amp;":C1670,""Sell_""&amp;SUBSTITUTE(C1671,""Sell_"",""""))))/2),ROUNDUP(INDEX(Upgrades!$C$3:$C$13,MATCH(C1671,Upgrades!$B$3:$B$13,0))*1.15^(COUNTIF(C$4:C1670,C1671)-COUNTIF(C$4:C1670,""Sell_""&amp;C1671))))))"),"")</f>
        <v/>
      </c>
      <c r="H1671" s="10" t="str">
        <f t="shared" si="3"/>
        <v/>
      </c>
      <c r="I1671" s="68" t="str">
        <f t="shared" si="4"/>
        <v/>
      </c>
      <c r="J1671" s="59" t="str">
        <f t="shared" si="5"/>
        <v/>
      </c>
      <c r="K1671" s="69" t="str">
        <f t="shared" si="6"/>
        <v/>
      </c>
      <c r="L1671" s="60" t="str">
        <f t="shared" si="7"/>
        <v/>
      </c>
      <c r="M1671" s="61" t="str">
        <f>IFERROR(__xludf.DUMMYFUNCTION("IFS(AND(COUNTA(C1671:C1673)=0,COUNTA(Q1671:Q1673)=0),"""",OR(AND(K1671&gt;=1000000000,OR(Y1671&gt;=1000000000,COUNTA(Q1671:Q1673)=0)),OR(Y1671&gt;=1000000000,AND(COUNTA(C1671:C1673)=0,P$3=TRUE))),
ROUNDDOWN((AB$1-AC$1)*MAX(INDEX(T$4:T1673,MATCH(LARGE(FILTER(Y$4:Y1"&amp;"673,Y$4:Y1673&lt;1000000000),1),Y$4:Y1673)),INDEX(F$4:F1673,MATCH(LARGE(FILTER(K$4:K1673,K$4:K1673&lt;1000000000),1),K$4:K1673)))),AND(K1671&lt;1000000000,COUNTA(C1671:C1673)&gt;0,P$3=FALSE),
ROUNDDOWN(INDEX(Y$4:Y1673,MATCH(LARGE(FILTER(W$4:W1673,W$4:W1673&lt;=I1671),1)"&amp;",W$4:W1673))+(I1671-LARGE(FILTER(W$4:W1673,W$4:W1673&lt;=I1671),1))*INDEX(T$4:T1673,MATCH(LARGE(FILTER(W$4:W1673,W$4:W1673&lt;=I1671),1),W$4:W1673))-K1671),1,
ROUNDDOWN(Y1671-INDEX(K$4:K1673,MATCH(LARGE(FILTER(I$4:I1673,I$4:I1673&lt;=W1671),1),I$4:I1673))-(W1671-L"&amp;"ARGE(FILTER(I$4:I1673,I$4:I1673&lt;=W1671),1))*INDEX(F$4:F1673,MATCH(LARGE(FILTER(I$4:I1673,I$4:I1673&lt;=W1671),1),I$4:I1673))))"),"")</f>
        <v/>
      </c>
      <c r="N1671" s="60" t="str">
        <f t="shared" si="8"/>
        <v/>
      </c>
      <c r="O1671" s="61" t="str">
        <f t="shared" si="9"/>
        <v/>
      </c>
      <c r="P1671" s="56" t="str">
        <f t="shared" si="10"/>
        <v/>
      </c>
      <c r="Q1671" s="57"/>
      <c r="R1671" s="10"/>
      <c r="S1671" s="59" t="str">
        <f t="array" ref="S1671">IF(COUNTA(Q1671:Q1673)=0,"",SUM((COUNTIF(Q$4:Q1671,Upgrades!$B$3:$B$13)-COUNTIF(Q$4:Q1671,"Sell_"&amp;Upgrades!$B$3:$B$13))*Upgrades!$D$3:$D$13))</f>
        <v/>
      </c>
      <c r="T1671" s="66" t="str">
        <f>IFERROR(__xludf.DUMMYFUNCTION("IF(COUNTA(Q1671:Q1673)=0,"""",IF(REGEXMATCH(INDEX(FILTER(Q$4:Q1671,Q$4:Q1671&lt;&gt;""""),ROWS(FILTER(Q$4:Q1671,Q$4:Q1671&lt;&gt;""""))),""^Sell_""),INDEX(FILTER(T$4:T1670,Q$4:Q1670&lt;&gt;""""),ROWS(FILTER(Q$4:Q1670,Q$4:Q1670&lt;&gt;""""))),$AD$5+S1671))"),"")</f>
        <v/>
      </c>
      <c r="U1671" s="10" t="str">
        <f>IFERROR(__xludf.DUMMYFUNCTION("IF(COUNTA(Q1671:Q1673)=0,"""",IF(Q1671="""",0,IF(REGEXMATCH(Q1671,""^Sell_""),-ROUNDDOWN(ROUNDUP(INDEX(Upgrades!$C$3:$C$13,MATCH(SUBSTITUTE(Q1671,""Sell_"",""""),Upgrades!$B$3:$B$13,0))*1.15^(COUNTIF(Q$4:Q1670,SUBSTITUTE(Q1671,""Sell_"",""""))-COUNTIF(Q$4"&amp;":Q1670,""Sell_""&amp;SUBSTITUTE(Q1671,""Sell_"",""""))))/2),ROUNDUP(INDEX(Upgrades!$C$3:$C$13,MATCH(Q1671,Upgrades!$B$3:$B$13,0))*1.15^(COUNTIF(Q$4:Q1670,Q1671)-COUNTIF(Q$4:Q1670,""Sell_""&amp;Q1671))))))"),"")</f>
        <v/>
      </c>
      <c r="V1671" s="10" t="str">
        <f t="shared" si="11"/>
        <v/>
      </c>
      <c r="W1671" s="68" t="str">
        <f t="shared" si="12"/>
        <v/>
      </c>
      <c r="X1671" s="59" t="str">
        <f t="shared" si="13"/>
        <v/>
      </c>
      <c r="Y1671" s="69" t="str">
        <f t="shared" si="14"/>
        <v/>
      </c>
      <c r="Z1671" s="11"/>
    </row>
    <row r="1672">
      <c r="A1672" s="8"/>
      <c r="B1672" s="56" t="str">
        <f t="shared" si="2"/>
        <v/>
      </c>
      <c r="C1672" s="105"/>
      <c r="D1672" s="10"/>
      <c r="E1672" s="59" t="str">
        <f t="array" ref="E1672">IF(COUNTA(C1672:C1673)=0,"",SUM((COUNTIF(C$4:C1672,Upgrades!$B$3:$B$13)-COUNTIF(C$4:C1672,"Sell_"&amp;Upgrades!$B$3:$B$13))*Upgrades!$D$3:$D$13))</f>
        <v/>
      </c>
      <c r="F1672" s="66" t="str">
        <f>IFERROR(__xludf.DUMMYFUNCTION("IF(COUNTA(C1672:C1673)=0,"""",IF(REGEXMATCH(INDEX(FILTER(C$4:C1672,C$4:C1672&lt;&gt;""""),ROWS(FILTER(C$4:C1672,C$4:C1672&lt;&gt;""""))),""^Sell_""),INDEX(FILTER(F$4:F1671,C$4:C1671&lt;&gt;""""),ROWS(FILTER(C$4:C1671,C$4:C1671&lt;&gt;""""))),$AC$5+E1672))"),"")</f>
        <v/>
      </c>
      <c r="G1672" s="10" t="str">
        <f>IFERROR(__xludf.DUMMYFUNCTION("IF(COUNTA(C1672:C1673)=0,"""",IF(C1672="""",0,IF(REGEXMATCH(C1672,""^Sell_""),-ROUNDDOWN(ROUNDUP(INDEX(Upgrades!$C$3:$C$13,MATCH(SUBSTITUTE(C1672,""Sell_"",""""),Upgrades!$B$3:$B$13,0))*1.15^(COUNTIF(C$4:C1671,SUBSTITUTE(C1672,""Sell_"",""""))-COUNTIF(C$4"&amp;":C1671,""Sell_""&amp;SUBSTITUTE(C1672,""Sell_"",""""))))/2),ROUNDUP(INDEX(Upgrades!$C$3:$C$13,MATCH(C1672,Upgrades!$B$3:$B$13,0))*1.15^(COUNTIF(C$4:C1671,C1672)-COUNTIF(C$4:C1671,""Sell_""&amp;C1672))))))"),"")</f>
        <v/>
      </c>
      <c r="H1672" s="10" t="str">
        <f t="shared" si="3"/>
        <v/>
      </c>
      <c r="I1672" s="68" t="str">
        <f t="shared" si="4"/>
        <v/>
      </c>
      <c r="J1672" s="59" t="str">
        <f t="shared" si="5"/>
        <v/>
      </c>
      <c r="K1672" s="69" t="str">
        <f t="shared" si="6"/>
        <v/>
      </c>
      <c r="L1672" s="60" t="str">
        <f t="shared" si="7"/>
        <v/>
      </c>
      <c r="M1672" s="61" t="str">
        <f>IFERROR(__xludf.DUMMYFUNCTION("IFS(AND(COUNTA(C1672:C1673)=0,COUNTA(Q1672:Q1673)=0),"""",OR(AND(K1672&gt;=1000000000,OR(Y1672&gt;=1000000000,COUNTA(Q1672:Q1673)=0)),OR(Y1672&gt;=1000000000,AND(COUNTA(C1672:C1673)=0,P$3=TRUE))),
ROUNDDOWN((AB$1-AC$1)*MAX(INDEX(T$4:T1673,MATCH(LARGE(FILTER(Y$4:Y1"&amp;"673,Y$4:Y1673&lt;1000000000),1),Y$4:Y1673)),INDEX(F$4:F1673,MATCH(LARGE(FILTER(K$4:K1673,K$4:K1673&lt;1000000000),1),K$4:K1673)))),AND(K1672&lt;1000000000,COUNTA(C1672:C1673)&gt;0,P$3=FALSE),
ROUNDDOWN(INDEX(Y$4:Y1673,MATCH(LARGE(FILTER(W$4:W1673,W$4:W1673&lt;=I1672),1)"&amp;",W$4:W1673))+(I1672-LARGE(FILTER(W$4:W1673,W$4:W1673&lt;=I1672),1))*INDEX(T$4:T1673,MATCH(LARGE(FILTER(W$4:W1673,W$4:W1673&lt;=I1672),1),W$4:W1673))-K1672),1,
ROUNDDOWN(Y1672-INDEX(K$4:K1673,MATCH(LARGE(FILTER(I$4:I1673,I$4:I1673&lt;=W1672),1),I$4:I1673))-(W1672-L"&amp;"ARGE(FILTER(I$4:I1673,I$4:I1673&lt;=W1672),1))*INDEX(F$4:F1673,MATCH(LARGE(FILTER(I$4:I1673,I$4:I1673&lt;=W1672),1),I$4:I1673))))"),"")</f>
        <v/>
      </c>
      <c r="N1672" s="60" t="str">
        <f t="shared" si="8"/>
        <v/>
      </c>
      <c r="O1672" s="61" t="str">
        <f t="shared" si="9"/>
        <v/>
      </c>
      <c r="P1672" s="56" t="str">
        <f t="shared" si="10"/>
        <v/>
      </c>
      <c r="Q1672" s="57"/>
      <c r="R1672" s="10"/>
      <c r="S1672" s="59" t="str">
        <f t="array" ref="S1672">IF(COUNTA(Q1672:Q1673)=0,"",SUM((COUNTIF(Q$4:Q1672,Upgrades!$B$3:$B$13)-COUNTIF(Q$4:Q1672,"Sell_"&amp;Upgrades!$B$3:$B$13))*Upgrades!$D$3:$D$13))</f>
        <v/>
      </c>
      <c r="T1672" s="66" t="str">
        <f>IFERROR(__xludf.DUMMYFUNCTION("IF(COUNTA(Q1672:Q1673)=0,"""",IF(REGEXMATCH(INDEX(FILTER(Q$4:Q1672,Q$4:Q1672&lt;&gt;""""),ROWS(FILTER(Q$4:Q1672,Q$4:Q1672&lt;&gt;""""))),""^Sell_""),INDEX(FILTER(T$4:T1671,Q$4:Q1671&lt;&gt;""""),ROWS(FILTER(Q$4:Q1671,Q$4:Q1671&lt;&gt;""""))),$AD$5+S1672))"),"")</f>
        <v/>
      </c>
      <c r="U1672" s="10" t="str">
        <f>IFERROR(__xludf.DUMMYFUNCTION("IF(COUNTA(Q1672:Q1673)=0,"""",IF(Q1672="""",0,IF(REGEXMATCH(Q1672,""^Sell_""),-ROUNDDOWN(ROUNDUP(INDEX(Upgrades!$C$3:$C$13,MATCH(SUBSTITUTE(Q1672,""Sell_"",""""),Upgrades!$B$3:$B$13,0))*1.15^(COUNTIF(Q$4:Q1671,SUBSTITUTE(Q1672,""Sell_"",""""))-COUNTIF(Q$4"&amp;":Q1671,""Sell_""&amp;SUBSTITUTE(Q1672,""Sell_"",""""))))/2),ROUNDUP(INDEX(Upgrades!$C$3:$C$13,MATCH(Q1672,Upgrades!$B$3:$B$13,0))*1.15^(COUNTIF(Q$4:Q1671,Q1672)-COUNTIF(Q$4:Q1671,""Sell_""&amp;Q1672))))))"),"")</f>
        <v/>
      </c>
      <c r="V1672" s="10" t="str">
        <f t="shared" si="11"/>
        <v/>
      </c>
      <c r="W1672" s="68" t="str">
        <f t="shared" si="12"/>
        <v/>
      </c>
      <c r="X1672" s="59" t="str">
        <f t="shared" si="13"/>
        <v/>
      </c>
      <c r="Y1672" s="69" t="str">
        <f t="shared" si="14"/>
        <v/>
      </c>
      <c r="Z1672" s="11"/>
    </row>
    <row r="1673">
      <c r="A1673" s="8"/>
      <c r="B1673" s="56" t="str">
        <f t="shared" si="2"/>
        <v/>
      </c>
      <c r="C1673" s="105"/>
      <c r="D1673" s="10"/>
      <c r="E1673" s="59" t="str">
        <f t="array" ref="E1673">IF(COUNTA(C1673)=0,"",SUM((COUNTIF(C$4:C1673,Upgrades!$B$3:$B$13)-COUNTIF(C$4:C1673,"Sell_"&amp;Upgrades!$B$3:$B$13))*Upgrades!$D$3:$D$13))</f>
        <v/>
      </c>
      <c r="F1673" s="66" t="str">
        <f>IFERROR(__xludf.DUMMYFUNCTION("IF(COUNTA(C1673)=0,"""",IF(REGEXMATCH(INDEX(FILTER(C$4:C1673,C$4:C1673&lt;&gt;""""),ROWS(FILTER(C$4:C1673,C$4:C1673&lt;&gt;""""))),""^Sell_""),INDEX(FILTER(F$4:F1672,C$4:C1672&lt;&gt;""""),ROWS(FILTER(C$4:C1672,C$4:C1672&lt;&gt;""""))),$AC$5+E1673))"),"")</f>
        <v/>
      </c>
      <c r="G1673" s="10" t="str">
        <f>IFERROR(__xludf.DUMMYFUNCTION("IF(COUNTA(C1673)=0,"""",IF(C1673="""",0,IF(REGEXMATCH(C1673,""^Sell_""),-ROUNDDOWN(ROUNDUP(INDEX(Upgrades!$C$3:$C$13,MATCH(SUBSTITUTE(C1673,""Sell_"",""""),Upgrades!$B$3:$B$13,0))*1.15^(COUNTIF(C$4:C1672,SUBSTITUTE(C1673,""Sell_"",""""))-COUNTIF(C$4:C1672"&amp;",""Sell_""&amp;SUBSTITUTE(C1673,""Sell_"",""""))))/2),ROUNDUP(INDEX(Upgrades!$C$3:$C$13,MATCH(C1673,Upgrades!$B$3:$B$13,0))*1.15^(COUNTIF(C$4:C1672,C1673)-COUNTIF(C$4:C1672,""Sell_""&amp;C1673))))))"),"")</f>
        <v/>
      </c>
      <c r="H1673" s="10" t="str">
        <f t="shared" si="3"/>
        <v/>
      </c>
      <c r="I1673" s="68" t="str">
        <f t="shared" si="4"/>
        <v/>
      </c>
      <c r="J1673" s="59" t="str">
        <f t="shared" si="5"/>
        <v/>
      </c>
      <c r="K1673" s="69" t="str">
        <f t="shared" si="6"/>
        <v/>
      </c>
      <c r="L1673" s="60" t="str">
        <f t="shared" si="7"/>
        <v/>
      </c>
      <c r="M1673" s="61" t="str">
        <f>IFERROR(__xludf.DUMMYFUNCTION("IFS(AND(COUNTA(C1673)=0,COUNTA(Q1673)=0),"""",OR(AND(K1673&gt;=1000000000,OR(Y1673&gt;=1000000000,COUNTA(Q1673)=0)),OR(Y1673&gt;=1000000000,AND(COUNTA(C1673)=0,P$3=TRUE))),
ROUNDDOWN((AB$1-AC$1)*MAX(INDEX(T$4:T1673,MATCH(LARGE(FILTER(Y$4:Y1673,Y$4:Y1673&lt;1000000000"&amp;"),1),Y$4:Y1673)),INDEX(F$4:F1673,MATCH(LARGE(FILTER(K$4:K1673,K$4:K1673&lt;1000000000),1),K$4:K1673)))),AND(K1673&lt;1000000000,COUNTA(C1673)&gt;0,P$3=FALSE),
ROUNDDOWN(INDEX(Y$4:Y1673,MATCH(LARGE(FILTER(W$4:W1673,W$4:W1673&lt;=I1673),1),W$4:W1673))+(I1673-LARGE(FILT"&amp;"ER(W$4:W1673,W$4:W1673&lt;=I1673),1))*INDEX(T$4:T1673,MATCH(LARGE(FILTER(W$4:W1673,W$4:W1673&lt;=I1673),1),W$4:W1673))-K1673),1,
ROUNDDOWN(Y1673-INDEX(K$4:K1673,MATCH(LARGE(FILTER(I$4:I1673,I$4:I1673&lt;=W1673),1),I$4:I1673))-(W1673-LARGE(FILTER(I$4:I1673,I$4:I167"&amp;"3&lt;=W1673),1))*INDEX(F$4:F1673,MATCH(LARGE(FILTER(I$4:I1673,I$4:I1673&lt;=W1673),1),I$4:I1673))))"),"")</f>
        <v/>
      </c>
      <c r="N1673" s="60" t="str">
        <f t="shared" si="8"/>
        <v/>
      </c>
      <c r="O1673" s="61" t="str">
        <f t="shared" si="9"/>
        <v/>
      </c>
      <c r="P1673" s="56" t="str">
        <f t="shared" si="10"/>
        <v/>
      </c>
      <c r="Q1673" s="57"/>
      <c r="R1673" s="10"/>
      <c r="S1673" s="59" t="str">
        <f t="array" ref="S1673">IF(COUNTA(Q1673)=0,"",SUM((COUNTIF(Q$4:Q1673,Upgrades!$B$3:$B$13)-COUNTIF(Q$4:Q1673,"Sell_"&amp;Upgrades!$B$3:$B$13))*Upgrades!$D$3:$D$13))</f>
        <v/>
      </c>
      <c r="T1673" s="66" t="str">
        <f>IFERROR(__xludf.DUMMYFUNCTION("IF(COUNTA(Q1673)=0,"""",IF(REGEXMATCH(INDEX(FILTER(Q$4:Q1673,Q$4:Q1673&lt;&gt;""""),ROWS(FILTER(Q$4:Q1673,Q$4:Q1673&lt;&gt;""""))),""^Sell_""),INDEX(FILTER(T$4:T1672,Q$4:Q1672&lt;&gt;""""),ROWS(FILTER(Q$4:Q1672,Q$4:Q1672&lt;&gt;""""))),$AD$5+S1673))"),"")</f>
        <v/>
      </c>
      <c r="U1673" s="10" t="str">
        <f>IFERROR(__xludf.DUMMYFUNCTION("IF(COUNTA(Q1673)=0,"""",IF(Q1673="""",0,IF(REGEXMATCH(Q1673,""^Sell_""),-ROUNDDOWN(ROUNDUP(INDEX(Upgrades!$C$3:$C$13,MATCH(SUBSTITUTE(Q1673,""Sell_"",""""),Upgrades!$B$3:$B$13,0))*1.15^(COUNTIF(Q$4:Q1672,SUBSTITUTE(Q1673,""Sell_"",""""))-COUNTIF(Q$4:Q1672"&amp;",""Sell_""&amp;SUBSTITUTE(Q1673,""Sell_"",""""))))/2),ROUNDUP(INDEX(Upgrades!$C$3:$C$13,MATCH(Q1673,Upgrades!$B$3:$B$13,0))*1.15^(COUNTIF(Q$4:Q1672,Q1673)-COUNTIF(Q$4:Q1672,""Sell_""&amp;Q1673))))))"),"")</f>
        <v/>
      </c>
      <c r="V1673" s="10" t="str">
        <f t="shared" si="11"/>
        <v/>
      </c>
      <c r="W1673" s="68" t="str">
        <f t="shared" si="12"/>
        <v/>
      </c>
      <c r="X1673" s="59" t="str">
        <f t="shared" si="13"/>
        <v/>
      </c>
      <c r="Y1673" s="69" t="str">
        <f t="shared" si="14"/>
        <v/>
      </c>
      <c r="Z1673" s="11"/>
    </row>
  </sheetData>
  <mergeCells count="10">
    <mergeCell ref="AA7:AB7"/>
    <mergeCell ref="AA39:AB39"/>
    <mergeCell ref="AD39:AE39"/>
    <mergeCell ref="AC1:AD1"/>
    <mergeCell ref="AA2:AA3"/>
    <mergeCell ref="AB2:AB3"/>
    <mergeCell ref="AC2:AD3"/>
    <mergeCell ref="AE2:AE3"/>
    <mergeCell ref="AF2:AF3"/>
    <mergeCell ref="AA5:AB5"/>
  </mergeCells>
  <conditionalFormatting sqref="L4:L1673 N4:N1673">
    <cfRule type="containsText" dxfId="0" priority="1" operator="containsText" text="-">
      <formula>NOT(ISERROR(SEARCH(("-"),(L4))))</formula>
    </cfRule>
  </conditionalFormatting>
  <conditionalFormatting sqref="L4:L1673 N4:N1673">
    <cfRule type="cellIs" dxfId="1" priority="2" operator="greaterThan">
      <formula>0</formula>
    </cfRule>
  </conditionalFormatting>
  <conditionalFormatting sqref="L4:M1673">
    <cfRule type="cellIs" dxfId="0" priority="3" operator="greaterThan">
      <formula>0</formula>
    </cfRule>
  </conditionalFormatting>
  <conditionalFormatting sqref="L4:M1673">
    <cfRule type="containsText" dxfId="1" priority="4" operator="containsText" text="-">
      <formula>NOT(ISERROR(SEARCH(("-"),(L4))))</formula>
    </cfRule>
  </conditionalFormatting>
  <conditionalFormatting sqref="AC2 AC5:AD5 AC7:AD7 AC39">
    <cfRule type="cellIs" dxfId="1" priority="5" operator="equal">
      <formula>"NO"</formula>
    </cfRule>
  </conditionalFormatting>
  <conditionalFormatting sqref="AC2 AC5:AD5 AC7:AD7 AC39">
    <cfRule type="cellIs" dxfId="0" priority="6" operator="equal">
      <formula>"YES"</formula>
    </cfRule>
  </conditionalFormatting>
  <conditionalFormatting sqref="C4:C1673 Q5:Q728">
    <cfRule type="expression" dxfId="2" priority="7">
      <formula>D4=1</formula>
    </cfRule>
  </conditionalFormatting>
  <conditionalFormatting sqref="AC2 AC5:AD5 AC7:AD7 AC39">
    <cfRule type="cellIs" dxfId="2" priority="8" operator="lessThan">
      <formula>0</formula>
    </cfRule>
  </conditionalFormatting>
  <conditionalFormatting sqref="AF2 AD7:AE7">
    <cfRule type="containsText" dxfId="3" priority="9" operator="containsText" text="-">
      <formula>NOT(ISERROR(SEARCH(("-"),(AF2))))</formula>
    </cfRule>
  </conditionalFormatting>
  <conditionalFormatting sqref="AF2 AD7:AE7">
    <cfRule type="containsText" dxfId="4" priority="10" operator="containsText" text="+">
      <formula>NOT(ISERROR(SEARCH(("+"),(AF2))))</formula>
    </cfRule>
  </conditionalFormatting>
  <conditionalFormatting sqref="Q4:Q728 C5:C1673">
    <cfRule type="expression" dxfId="2" priority="11">
      <formula>R4=1</formula>
    </cfRule>
  </conditionalFormatting>
  <conditionalFormatting sqref="O4:O1673">
    <cfRule type="containsText" dxfId="4" priority="12" operator="containsText" text="-">
      <formula>NOT(ISERROR(SEARCH(("-"),(O4))))</formula>
    </cfRule>
  </conditionalFormatting>
  <conditionalFormatting sqref="O4:O1673">
    <cfRule type="cellIs" dxfId="3" priority="13" operator="notEqual">
      <formula>0</formula>
    </cfRule>
  </conditionalFormatting>
  <conditionalFormatting sqref="N4:N1673">
    <cfRule type="expression" dxfId="4" priority="14">
      <formula>VALUE(N4)&gt;10000</formula>
    </cfRule>
  </conditionalFormatting>
  <conditionalFormatting sqref="AC7 AC39">
    <cfRule type="cellIs" dxfId="3" priority="15" operator="equal">
      <formula>"YES"</formula>
    </cfRule>
  </conditionalFormatting>
  <conditionalFormatting sqref="K1:K1673 Y1:Y1673">
    <cfRule type="cellIs" dxfId="1" priority="16" operator="greaterThanOrEqual">
      <formula>1000000000</formula>
    </cfRule>
  </conditionalFormatting>
  <hyperlinks>
    <hyperlink r:id="rId1" ref="AD3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
    <col customWidth="1" min="2" max="2" width="3.0"/>
    <col customWidth="1" min="3" max="3" width="12.0"/>
    <col customWidth="1" hidden="1" min="4" max="4" width="10.63"/>
    <col customWidth="1" hidden="1" min="5" max="5" width="10.0"/>
    <col customWidth="1" min="6" max="6" width="8.63"/>
    <col customWidth="1" hidden="1" min="7" max="7" width="10.13"/>
    <col customWidth="1" hidden="1" min="8" max="8" width="12.5"/>
    <col customWidth="1" min="9" max="9" width="8.63"/>
    <col customWidth="1" hidden="1" min="10" max="10" width="11.38"/>
    <col customWidth="1" min="11" max="11" width="10.75"/>
    <col customWidth="1" hidden="1" min="12" max="12" width="8.38"/>
    <col customWidth="1" hidden="1" min="13" max="13" width="14.13"/>
    <col customWidth="1" min="14" max="14" width="8.25"/>
    <col customWidth="1" min="15" max="15" width="8.88"/>
    <col customWidth="1" min="16" max="16" width="3.0"/>
    <col customWidth="1" min="17" max="17" width="12.0"/>
    <col customWidth="1" hidden="1" min="18" max="18" width="10.63"/>
    <col customWidth="1" min="19" max="20" width="8.63"/>
    <col customWidth="1" min="21" max="21" width="10.13"/>
    <col customWidth="1" hidden="1" min="22" max="22" width="12.5"/>
    <col customWidth="1" min="23" max="23" width="8.38"/>
    <col customWidth="1" min="24" max="24" width="11.38"/>
    <col customWidth="1" min="25" max="25" width="10.75"/>
    <col customWidth="1" min="26" max="26" width="2.0"/>
    <col customWidth="1" min="27" max="27" width="11.88"/>
    <col customWidth="1" min="28" max="28" width="11.38"/>
    <col customWidth="1" min="29" max="30" width="5.75"/>
    <col customWidth="1" min="31" max="31" width="4.63"/>
    <col customWidth="1" min="32" max="32" width="9.25"/>
    <col customWidth="1" min="33" max="33" width="2.0"/>
  </cols>
  <sheetData>
    <row r="1" ht="15.0" hidden="1" customHeight="1">
      <c r="M1" s="1"/>
      <c r="N1" s="2"/>
      <c r="O1" s="1"/>
      <c r="AB1" s="12">
        <f t="array" ref="AB1">INDEX(I$4:I1350,MATCH(LARGE(K$4:K1350,COUNTIF(K$4:K1350,"&gt;"&amp;1000000000)+1),K$4:K1350,1))+(1000000000-LARGE(K$4:K1350,COUNTIF(K$4:K1350,"&gt;"&amp;1000000000)+1))/INDEX(F$4:F1350,MATCH(LARGE(K$4:K1350,COUNTIF(K$4:K1350,"&gt;"&amp;1000000000)+1),K$4:K1350,1))</f>
        <v>6953.752469</v>
      </c>
      <c r="AC1" s="12">
        <f t="array" ref="AC1">INDEX(W$4:W1350,MATCH(LARGE(Y$4:Y1350,COUNTIF(Y$4:Y1350,"&gt;"&amp;1000000000)+1),Y$4:Y1350,1))+(1000000000-LARGE(Y$4:Y1350,COUNTIF(Y$4:Y1350,"&gt;"&amp;1000000000)+1))/INDEX(T$4:T1350,MATCH(LARGE(Y$4:Y1350,COUNTIF(Y$4:Y1350,"&gt;"&amp;1000000000)+1),Y$4:Y1350,1))</f>
        <v>6766.711305</v>
      </c>
      <c r="AF1" s="12">
        <f>AC1-AB1</f>
        <v>-187.0411641</v>
      </c>
    </row>
    <row r="2" ht="11.25" customHeight="1">
      <c r="A2" s="8"/>
      <c r="B2" s="8"/>
      <c r="C2" s="17"/>
      <c r="D2" s="8"/>
      <c r="E2" s="18"/>
      <c r="F2" s="18"/>
      <c r="G2" s="18"/>
      <c r="H2" s="18"/>
      <c r="I2" s="18"/>
      <c r="J2" s="18"/>
      <c r="K2" s="11"/>
      <c r="L2" s="19"/>
      <c r="M2" s="20"/>
      <c r="N2" s="19"/>
      <c r="O2" s="20"/>
      <c r="P2" s="8"/>
      <c r="Q2" s="8"/>
      <c r="R2" s="8"/>
      <c r="S2" s="18"/>
      <c r="T2" s="18"/>
      <c r="U2" s="18"/>
      <c r="V2" s="18"/>
      <c r="W2" s="18"/>
      <c r="X2" s="18"/>
      <c r="Y2" s="11"/>
      <c r="Z2" s="11"/>
      <c r="AA2" s="22" t="s">
        <v>14</v>
      </c>
      <c r="AB2" s="25" t="str">
        <f t="shared" ref="AB2:AC2" si="1">IF(AB1&gt;3600,TRUNC(AB1/3600)&amp;"h ","")&amp;IF(AB1&gt;59,IF(AND(AB1&gt;3599,QUOTIENT(MOD(AB1,3600),60)&lt;10),"0","")&amp;QUOTIENT(MOD(AB1,3600),60)&amp;"m ","")&amp;IF(AND(AB1&gt;=10,MOD(AB1,60)&lt;10),"0","")&amp;ROUNDDOWN(MOD(AB1,60),0)&amp;"s"</f>
        <v>1h 55m 53s</v>
      </c>
      <c r="AC2" s="26" t="str">
        <f t="shared" si="1"/>
        <v>1h 52m 46s</v>
      </c>
      <c r="AD2" s="27"/>
      <c r="AE2" s="28" t="s">
        <v>15</v>
      </c>
      <c r="AF2" s="33" t="str">
        <f>IF(AF1&gt;0,"+","")&amp;IF(ABS(AF1)&gt;3600,TRUNC(AF1/3600)&amp;"h "&amp;IF(QUOTIENT(MOD(ABS(AF1),3600),60)&lt;10,"0","")&amp;QUOTIENT(MOD(ABS(AF1),3600),60)&amp;"m",TRUNC(AF1,3))</f>
        <v>-187,041</v>
      </c>
    </row>
    <row r="3" ht="15.0" customHeight="1">
      <c r="A3" s="34"/>
      <c r="B3" s="35" t="s">
        <v>16</v>
      </c>
      <c r="C3" s="36" t="s">
        <v>17</v>
      </c>
      <c r="D3" s="36" t="s">
        <v>18</v>
      </c>
      <c r="E3" s="36" t="s">
        <v>19</v>
      </c>
      <c r="F3" s="36" t="s">
        <v>20</v>
      </c>
      <c r="G3" s="36" t="s">
        <v>21</v>
      </c>
      <c r="H3" s="36" t="s">
        <v>22</v>
      </c>
      <c r="I3" s="37" t="s">
        <v>23</v>
      </c>
      <c r="J3" s="37" t="s">
        <v>24</v>
      </c>
      <c r="K3" s="37" t="s">
        <v>25</v>
      </c>
      <c r="L3" s="40" t="s">
        <v>26</v>
      </c>
      <c r="M3" s="41" t="s">
        <v>27</v>
      </c>
      <c r="N3" s="42" t="s">
        <v>26</v>
      </c>
      <c r="O3" s="43" t="s">
        <v>27</v>
      </c>
      <c r="P3" s="44" t="b">
        <v>0</v>
      </c>
      <c r="Q3" s="46" t="s">
        <v>28</v>
      </c>
      <c r="R3" s="46" t="s">
        <v>18</v>
      </c>
      <c r="S3" s="46" t="s">
        <v>19</v>
      </c>
      <c r="T3" s="48" t="s">
        <v>20</v>
      </c>
      <c r="U3" s="48" t="s">
        <v>21</v>
      </c>
      <c r="V3" s="48" t="s">
        <v>22</v>
      </c>
      <c r="W3" s="48" t="s">
        <v>23</v>
      </c>
      <c r="X3" s="48" t="s">
        <v>24</v>
      </c>
      <c r="Y3" s="48" t="s">
        <v>25</v>
      </c>
      <c r="Z3" s="11"/>
      <c r="AA3" s="50"/>
      <c r="AB3" s="51"/>
      <c r="AC3" s="53"/>
      <c r="AD3" s="50"/>
      <c r="AE3" s="54"/>
      <c r="AF3" s="54"/>
    </row>
    <row r="4">
      <c r="A4" s="8"/>
      <c r="B4" s="56">
        <f>COUNTIF(C$4:C4,C4)-COUNTIF(C$4:C4,"Sell_"&amp;C4)</f>
        <v>1</v>
      </c>
      <c r="C4" s="57" t="s">
        <v>29</v>
      </c>
      <c r="D4" s="10" t="b">
        <v>0</v>
      </c>
      <c r="E4" s="10">
        <v>0.0</v>
      </c>
      <c r="F4" s="10">
        <f>IF($AC$5&gt;0,$AC$5,15)</f>
        <v>200</v>
      </c>
      <c r="G4" s="10">
        <v>0.0</v>
      </c>
      <c r="H4" s="10">
        <v>0.0</v>
      </c>
      <c r="I4" s="58">
        <v>0.0</v>
      </c>
      <c r="J4" s="10" t="s">
        <v>30</v>
      </c>
      <c r="K4" s="59">
        <v>0.0</v>
      </c>
      <c r="L4" s="60">
        <v>0.0</v>
      </c>
      <c r="M4" s="61">
        <v>0.0</v>
      </c>
      <c r="N4" s="60">
        <v>0.0</v>
      </c>
      <c r="O4" s="61">
        <v>0.0</v>
      </c>
      <c r="P4" s="56">
        <f>COUNTIF(Q$4:Q4,Q4)-COUNTIF(Q$4:Q4,"Sell_"&amp;Q4)</f>
        <v>1</v>
      </c>
      <c r="Q4" s="62" t="s">
        <v>29</v>
      </c>
      <c r="R4" s="10" t="b">
        <v>0</v>
      </c>
      <c r="S4" s="10">
        <v>0.0</v>
      </c>
      <c r="T4" s="10">
        <f>IF($AD$5&gt;0,$AD$5,15)</f>
        <v>200</v>
      </c>
      <c r="U4" s="10">
        <v>0.0</v>
      </c>
      <c r="V4" s="10">
        <v>0.0</v>
      </c>
      <c r="W4" s="58">
        <v>0.0</v>
      </c>
      <c r="X4" s="10" t="s">
        <v>30</v>
      </c>
      <c r="Y4" s="59">
        <v>0.0</v>
      </c>
      <c r="Z4" s="11"/>
    </row>
    <row r="5">
      <c r="A5" s="8"/>
      <c r="B5" s="56">
        <f t="shared" ref="B5:B1350" si="2">IF(COUNTA(C5:C1350)=0,"",COUNTIF(C$4:C5,C5)-COUNTIF(C$4:C5,"Sell_"&amp;C5))</f>
        <v>1</v>
      </c>
      <c r="C5" s="57" t="s">
        <v>5</v>
      </c>
      <c r="D5" s="10" t="b">
        <f>IFERROR(__xludf.DUMMYFUNCTION("IF(COUNTA(C5:C1350)=0,"""",IF(ISBLANK(C5),FALSE,IF(NOT(COUNTIF($AA$24:$AA$34,SUBSTITUTE(C5,""Sell_"",""""))),1,IF(REGEXMATCH(C5,""Sell_""),IF(COUNTIF(C$4:C5,SUBSTITUTE(C5,""Sell_"",""""))-COUNTIF(C$4:C4,C5)&lt;1,1),FALSE))))"),FALSE)</f>
        <v>0</v>
      </c>
      <c r="E5" s="59">
        <f t="array" ref="E5">IF(COUNTA(C5:C1350)=0,"",SUM((COUNTIF(C$4:C5,Upgrades!$B$3:$B$13)-COUNTIF(C$4:C5,"Sell_"&amp;Upgrades!$B$3:$B$13))*Upgrades!$D$3:$D$13))</f>
        <v>4</v>
      </c>
      <c r="F5" s="66">
        <f>IFERROR(__xludf.DUMMYFUNCTION("IF(COUNTA(C5:C1350)=0,"""",IF(REGEXMATCH(INDEX(FILTER(C$4:C5,C$4:C5&lt;&gt;""""),ROWS(FILTER(C$4:C5,C$4:C5&lt;&gt;""""))),""^Sell_""),INDEX(FILTER(F$4:F4,C$4:C4&lt;&gt;""""),ROWS(FILTER(C$4:C4,C$4:C4&lt;&gt;""""))),$AC$5+E5))"),204.0)</f>
        <v>204</v>
      </c>
      <c r="G5" s="10">
        <f>IFERROR(__xludf.DUMMYFUNCTION("IF(COUNTA(C5:C1350)=0,"""",IF(C5="""",0,IF(REGEXMATCH(C5,""^Sell_""),-ROUNDDOWN(ROUNDUP(INDEX(Upgrades!$C$3:$C$13,MATCH(SUBSTITUTE(C5,""Sell_"",""""),Upgrades!$B$3:$B$13,0))*1.15^(COUNTIF(C$4:C4,SUBSTITUTE(C5,""Sell_"",""""))-COUNTIF(C$4:C4,""Sell_""&amp;SUBS"&amp;"TITUTE(C5,""Sell_"",""""))))/2),ROUNDUP(INDEX(Upgrades!$C$3:$C$13,MATCH(C5,Upgrades!$B$3:$B$13,0))*1.15^(COUNTIF(C$4:C4,C5)-COUNTIF(C$4:C4,""Sell_""&amp;C5))))))"),500.0)</f>
        <v>500</v>
      </c>
      <c r="H5" s="10">
        <f t="shared" ref="H5:H1350" si="3">IF(COUNTA(C5:C1350)=0,"",G5+IF(H4&lt;0,H4))</f>
        <v>500</v>
      </c>
      <c r="I5" s="68">
        <f t="shared" ref="I5:I1350" si="4">IF(COUNTA(C5:C1350)=0,"",I4+IF(H5&gt;0,H5,0)/F4)
</f>
        <v>2.5</v>
      </c>
      <c r="J5" s="59" t="str">
        <f t="shared" ref="J5:J1350" si="5">IF(COUNTA(C5:C1350)=0,"",IF(I5&gt;3600,TRUNC(I5/3600)&amp;"h ","")&amp;IF(I5&gt;59,IF(AND(I5&gt;3599,QUOTIENT(MOD(I5,3600),60)&lt;10),"0","")&amp;QUOTIENT(MOD(I5,3600),60)&amp;"m ","")&amp;IF(AND(I5&gt;=10,MOD(I5,60)&lt;10),"0","")&amp;ROUNDDOWN(MOD(I5,60),0)&amp;"s")</f>
        <v>2s</v>
      </c>
      <c r="K5" s="69">
        <f t="shared" ref="K5:K1350" si="6">IF(COUNTA(C5:C1350)=0,"",K4+IF(H5&gt;0,H5,0))</f>
        <v>500</v>
      </c>
      <c r="L5" s="60">
        <f t="shared" ref="L5:L1350" si="7">IFS(AND(COUNTA(C5:C1350)=0,COUNTA(Q5:Q1350)=0),"",OR(AND(K5&gt;=1000000000,OR(Y5&gt;=1000000000,COUNTA(Q5:Q1350)=0)),OR(Y5&gt;=1000000000,AND(COUNTA(C5:C1350)=0,P$3=TRUE))),AF$1,
AND(K5&lt;1000000000,COUNTA(C5:C1350)&gt;0,P$3=FALSE),TRUNC(LARGE(W$4:W1350,COUNTIF(Y$4:Y1350,"&gt;"&amp;K5)+1)+(K5-LARGE(Y$4:Y1350,COUNTIF(Y$4:Y1350,"&gt;"&amp;K5)+1))/LARGE(T$4:T1350,COUNTIF(Y$4:Y1350,"&gt;"&amp;K5)+1)-I5,5),1,
TRUNC(W5-LARGE(I$4:I1350,COUNTIF(K$4:K1350,"&gt;"&amp;Y5)+1)-(Y5-LARGE(K$4:K1350,COUNTIF(K$4:K1350,"&gt;"&amp;Y5)+1))/LARGE(F$4:F1350,COUNTIF(K$4:K1350,"&gt;"&amp;Y5)+1),5))</f>
        <v>0</v>
      </c>
      <c r="M5" s="61">
        <f>IFERROR(__xludf.DUMMYFUNCTION("IFS(AND(COUNTA(C5:C1350)=0,COUNTA(Q5:Q1350)=0),"""",OR(AND(K5&gt;=1000000000,OR(Y5&gt;=1000000000,COUNTA(Q5:Q1350)=0)),OR(Y5&gt;=1000000000,AND(COUNTA(C5:C1350)=0,P$3=TRUE))),
ROUNDDOWN((AB$1-AC$1)*MAX(INDEX(T$4:T1350,MATCH(LARGE(FILTER(Y$4:Y1350,Y$4:Y1350&lt;1000000"&amp;"000),1),Y$4:Y1350)),INDEX(F$4:F1350,MATCH(LARGE(FILTER(K$4:K1350,K$4:K1350&lt;1000000000),1),K$4:K1350)))),AND(K5&lt;1000000000,COUNTA(C5:C1350)&gt;0,P$3=FALSE),
ROUNDDOWN(INDEX(Y$4:Y1350,MATCH(LARGE(FILTER(W$4:W1350,W$4:W1350&lt;=I5),1),W$4:W1350))+(I5-LARGE(FILTER("&amp;"W$4:W1350,W$4:W1350&lt;=I5),1))*INDEX(T$4:T1350,MATCH(LARGE(FILTER(W$4:W1350,W$4:W1350&lt;=I5),1),W$4:W1350))-K5),1,
ROUNDDOWN(Y5-INDEX(K$4:K1350,MATCH(LARGE(FILTER(I$4:I1350,I$4:I1350&lt;=W5),1),I$4:I1350))-(W5-LARGE(FILTER(I$4:I1350,I$4:I1350&lt;=W5),1))*INDEX(F$4:"&amp;"F1350,MATCH(LARGE(FILTER(I$4:I1350,I$4:I1350&lt;=W5),1),I$4:I1350))))"),0.0)</f>
        <v>0</v>
      </c>
      <c r="N5" s="60">
        <f t="shared" ref="N5:N1350" si="8">IF(ABS(L5)&gt;=10000,TEXT(ROUND(L5,1),"#.#")&amp;IF(RIGHT(TEXT(ROUND(L5,1),"#.#"))=",","0",""),L5)</f>
        <v>0</v>
      </c>
      <c r="O5" s="61">
        <f t="shared" ref="O5:O1350" si="9">IF(ABS(M5)&lt;1000000,M5,IF(ABS(M5)&lt;1000000000,TEXT(ROUND(M5/1000000,1),"#.#")&amp;IF(RIGHT(TEXT(ROUND(M5/1000000,1),"#.#"))=",","0","")&amp;"M",TEXT(ROUND(M5/1000000000,1),"#.#")&amp;IF(RIGHT(TEXT(ROUND(M5/1000000000,1),"#.#"))=",","0","")&amp;"B"))</f>
        <v>0</v>
      </c>
      <c r="P5" s="56">
        <f t="shared" ref="P5:P1350" si="10">IF(COUNTA(Q5:Q1350)=0,"",COUNTIF(Q$4:Q5,Q5)-COUNTIF(Q$4:Q5,"Sell_"&amp;Q5))</f>
        <v>1</v>
      </c>
      <c r="Q5" s="67" t="s">
        <v>5</v>
      </c>
      <c r="R5" s="10" t="b">
        <f>IFERROR(__xludf.DUMMYFUNCTION("IF(COUNTA(Q5:Q1350)=0,"""",IF(ISBLANK(Q5),FALSE,IF(NOT(COUNTIF($AA$24:$AA$34,SUBSTITUTE(Q5,""Sell_"",""""))),1,IF(REGEXMATCH(Q5,""Sell_""),IF(COUNTIF(Q$4:Q5,SUBSTITUTE(Q5,""Sell_"",""""))-COUNTIF(Q$4:Q4,Q5)&lt;1,1),FALSE))))"),FALSE)</f>
        <v>0</v>
      </c>
      <c r="S5" s="59">
        <f t="array" ref="S5">IF(COUNTA(Q5:Q1350)=0,"",SUM((COUNTIF(Q$4:Q5,Upgrades!$B$3:$B$13)-COUNTIF(Q$4:Q5,"Sell_"&amp;Upgrades!$B$3:$B$13))*Upgrades!$D$3:$D$13))</f>
        <v>4</v>
      </c>
      <c r="T5" s="66">
        <f>IFERROR(__xludf.DUMMYFUNCTION("IF(COUNTA(Q5:Q1350)=0,"""",IF(REGEXMATCH(INDEX(FILTER(Q$4:Q5,Q$4:Q5&lt;&gt;""""),ROWS(FILTER(Q$4:Q5,Q$4:Q5&lt;&gt;""""))),""^Sell_""),INDEX(FILTER(T$4:T4,Q$4:Q4&lt;&gt;""""),ROWS(FILTER(Q$4:Q4,Q$4:Q4&lt;&gt;""""))),$AD$5+S5))"),204.0)</f>
        <v>204</v>
      </c>
      <c r="U5" s="10">
        <f>IFERROR(__xludf.DUMMYFUNCTION("IF(COUNTA(Q5:Q1350)=0,"""",IF(Q5="""",0,IF(REGEXMATCH(Q5,""^Sell_""),-ROUNDDOWN(ROUNDUP(INDEX(Upgrades!$C$3:$C$13,MATCH(SUBSTITUTE(Q5,""Sell_"",""""),Upgrades!$B$3:$B$13,0))*1.15^(COUNTIF(Q$4:Q4,SUBSTITUTE(Q5,""Sell_"",""""))-COUNTIF(Q$4:Q4,""Sell_""&amp;SUBS"&amp;"TITUTE(Q5,""Sell_"",""""))))/2),ROUNDUP(INDEX(Upgrades!$C$3:$C$13,MATCH(Q5,Upgrades!$B$3:$B$13,0))*1.15^(COUNTIF(Q$4:Q4,Q5)-COUNTIF(Q$4:Q4,""Sell_""&amp;Q5))))))"),500.0)</f>
        <v>500</v>
      </c>
      <c r="V5" s="10">
        <f t="shared" ref="V5:V1350" si="11">IF(COUNTA(Q5:Q1350)=0,"",U5+IF(V4&lt;0,V4))</f>
        <v>500</v>
      </c>
      <c r="W5" s="68">
        <f t="shared" ref="W5:W1350" si="12">IF(COUNTA(Q5:Q1350)=0,"",W4+IF(V5&gt;0,V5,0)/T4)
</f>
        <v>2.5</v>
      </c>
      <c r="X5" s="59" t="str">
        <f t="shared" ref="X5:X1350" si="13">IF(COUNTA(Q5:Q1350)=0,"",IF(W5&gt;3600,TRUNC(W5/3600)&amp;"h ","")&amp;IF(W5&gt;59,IF(AND(W5&gt;3599,QUOTIENT(MOD(W5,3600),60)&lt;10),"0","")&amp;QUOTIENT(MOD(W5,3600),60)&amp;"m ","")&amp;IF(AND(W5&gt;=10,MOD(W5,60)&lt;10),"0","")&amp;ROUNDDOWN(MOD(W5,60),0)&amp;"s")</f>
        <v>2s</v>
      </c>
      <c r="Y5" s="69">
        <f t="shared" ref="Y5:Y1350" si="14">IF(COUNTA(Q5:Q1350)=0,"",Y4+IF(V5&gt;0,V5,0))</f>
        <v>500</v>
      </c>
      <c r="Z5" s="11"/>
      <c r="AA5" s="73" t="s">
        <v>35</v>
      </c>
      <c r="AB5" s="74"/>
      <c r="AC5" s="77">
        <v>200.0</v>
      </c>
      <c r="AD5" s="77">
        <v>200.0</v>
      </c>
    </row>
    <row r="6">
      <c r="A6" s="8"/>
      <c r="B6" s="56">
        <f t="shared" si="2"/>
        <v>2</v>
      </c>
      <c r="C6" s="57" t="s">
        <v>5</v>
      </c>
      <c r="D6" s="10" t="b">
        <f>IFERROR(__xludf.DUMMYFUNCTION("IF(COUNTA(C6:C1350)=0,"""",IF(ISBLANK(C6),FALSE,IF(NOT(COUNTIF($AA$24:$AA$34,SUBSTITUTE(C6,""Sell_"",""""))),1,IF(REGEXMATCH(C6,""Sell_""),IF(COUNTIF(C$4:C6,SUBSTITUTE(C6,""Sell_"",""""))-COUNTIF(C$4:C5,C6)&lt;1,1),FALSE))))"),FALSE)</f>
        <v>0</v>
      </c>
      <c r="E6" s="59">
        <f t="array" ref="E6">IF(COUNTA(C6:C1350)=0,"",SUM((COUNTIF(C$4:C6,Upgrades!$B$3:$B$13)-COUNTIF(C$4:C6,"Sell_"&amp;Upgrades!$B$3:$B$13))*Upgrades!$D$3:$D$13))</f>
        <v>8</v>
      </c>
      <c r="F6" s="66">
        <f>IFERROR(__xludf.DUMMYFUNCTION("IF(COUNTA(C6:C1350)=0,"""",IF(REGEXMATCH(INDEX(FILTER(C$4:C6,C$4:C6&lt;&gt;""""),ROWS(FILTER(C$4:C6,C$4:C6&lt;&gt;""""))),""^Sell_""),INDEX(FILTER(F$4:F5,C$4:C5&lt;&gt;""""),ROWS(FILTER(C$4:C5,C$4:C5&lt;&gt;""""))),$AC$5+E6))"),208.0)</f>
        <v>208</v>
      </c>
      <c r="G6" s="10">
        <f>IFERROR(__xludf.DUMMYFUNCTION("IF(COUNTA(C6:C1350)=0,"""",IF(C6="""",0,IF(REGEXMATCH(C6,""^Sell_""),-ROUNDDOWN(ROUNDUP(INDEX(Upgrades!$C$3:$C$13,MATCH(SUBSTITUTE(C6,""Sell_"",""""),Upgrades!$B$3:$B$13,0))*1.15^(COUNTIF(C$4:C5,SUBSTITUTE(C6,""Sell_"",""""))-COUNTIF(C$4:C5,""Sell_""&amp;SUBS"&amp;"TITUTE(C6,""Sell_"",""""))))/2),ROUNDUP(INDEX(Upgrades!$C$3:$C$13,MATCH(C6,Upgrades!$B$3:$B$13,0))*1.15^(COUNTIF(C$4:C5,C6)-COUNTIF(C$4:C5,""Sell_""&amp;C6))))))"),575.0)</f>
        <v>575</v>
      </c>
      <c r="H6" s="10">
        <f t="shared" si="3"/>
        <v>575</v>
      </c>
      <c r="I6" s="68">
        <f t="shared" si="4"/>
        <v>5.318627451</v>
      </c>
      <c r="J6" s="59" t="str">
        <f t="shared" si="5"/>
        <v>5s</v>
      </c>
      <c r="K6" s="69">
        <f t="shared" si="6"/>
        <v>1075</v>
      </c>
      <c r="L6" s="60">
        <f t="shared" si="7"/>
        <v>0</v>
      </c>
      <c r="M6" s="61">
        <f>IFERROR(__xludf.DUMMYFUNCTION("IFS(AND(COUNTA(C6:C1350)=0,COUNTA(Q6:Q1350)=0),"""",OR(AND(K6&gt;=1000000000,OR(Y6&gt;=1000000000,COUNTA(Q6:Q1350)=0)),OR(Y6&gt;=1000000000,AND(COUNTA(C6:C1350)=0,P$3=TRUE))),
ROUNDDOWN((AB$1-AC$1)*MAX(INDEX(T$4:T1350,MATCH(LARGE(FILTER(Y$4:Y1350,Y$4:Y1350&lt;1000000"&amp;"000),1),Y$4:Y1350)),INDEX(F$4:F1350,MATCH(LARGE(FILTER(K$4:K1350,K$4:K1350&lt;1000000000),1),K$4:K1350)))),AND(K6&lt;1000000000,COUNTA(C6:C1350)&gt;0,P$3=FALSE),
ROUNDDOWN(INDEX(Y$4:Y1350,MATCH(LARGE(FILTER(W$4:W1350,W$4:W1350&lt;=I6),1),W$4:W1350))+(I6-LARGE(FILTER("&amp;"W$4:W1350,W$4:W1350&lt;=I6),1))*INDEX(T$4:T1350,MATCH(LARGE(FILTER(W$4:W1350,W$4:W1350&lt;=I6),1),W$4:W1350))-K6),1,
ROUNDDOWN(Y6-INDEX(K$4:K1350,MATCH(LARGE(FILTER(I$4:I1350,I$4:I1350&lt;=W6),1),I$4:I1350))-(W6-LARGE(FILTER(I$4:I1350,I$4:I1350&lt;=W6),1))*INDEX(F$4:"&amp;"F1350,MATCH(LARGE(FILTER(I$4:I1350,I$4:I1350&lt;=W6),1),I$4:I1350))))"),0.0)</f>
        <v>0</v>
      </c>
      <c r="N6" s="60">
        <f t="shared" si="8"/>
        <v>0</v>
      </c>
      <c r="O6" s="61">
        <f t="shared" si="9"/>
        <v>0</v>
      </c>
      <c r="P6" s="56">
        <f t="shared" si="10"/>
        <v>2</v>
      </c>
      <c r="Q6" s="67" t="s">
        <v>5</v>
      </c>
      <c r="R6" s="10" t="b">
        <f>IFERROR(__xludf.DUMMYFUNCTION("IF(COUNTA(Q6:Q1350)=0,"""",IF(ISBLANK(Q6),FALSE,IF(NOT(COUNTIF($AA$24:$AA$34,SUBSTITUTE(Q6,""Sell_"",""""))),1,IF(REGEXMATCH(Q6,""Sell_""),IF(COUNTIF(Q$4:Q6,SUBSTITUTE(Q6,""Sell_"",""""))-COUNTIF(Q$4:Q5,Q6)&lt;1,1),FALSE))))"),FALSE)</f>
        <v>0</v>
      </c>
      <c r="S6" s="59">
        <f t="array" ref="S6">IF(COUNTA(Q6:Q1350)=0,"",SUM((COUNTIF(Q$4:Q6,Upgrades!$B$3:$B$13)-COUNTIF(Q$4:Q6,"Sell_"&amp;Upgrades!$B$3:$B$13))*Upgrades!$D$3:$D$13))</f>
        <v>8</v>
      </c>
      <c r="T6" s="66">
        <f>IFERROR(__xludf.DUMMYFUNCTION("IF(COUNTA(Q6:Q1350)=0,"""",IF(REGEXMATCH(INDEX(FILTER(Q$4:Q6,Q$4:Q6&lt;&gt;""""),ROWS(FILTER(Q$4:Q6,Q$4:Q6&lt;&gt;""""))),""^Sell_""),INDEX(FILTER(T$4:T5,Q$4:Q5&lt;&gt;""""),ROWS(FILTER(Q$4:Q5,Q$4:Q5&lt;&gt;""""))),$AD$5+S6))"),208.0)</f>
        <v>208</v>
      </c>
      <c r="U6" s="10">
        <f>IFERROR(__xludf.DUMMYFUNCTION("IF(COUNTA(Q6:Q1350)=0,"""",IF(Q6="""",0,IF(REGEXMATCH(Q6,""^Sell_""),-ROUNDDOWN(ROUNDUP(INDEX(Upgrades!$C$3:$C$13,MATCH(SUBSTITUTE(Q6,""Sell_"",""""),Upgrades!$B$3:$B$13,0))*1.15^(COUNTIF(Q$4:Q5,SUBSTITUTE(Q6,""Sell_"",""""))-COUNTIF(Q$4:Q5,""Sell_""&amp;SUBS"&amp;"TITUTE(Q6,""Sell_"",""""))))/2),ROUNDUP(INDEX(Upgrades!$C$3:$C$13,MATCH(Q6,Upgrades!$B$3:$B$13,0))*1.15^(COUNTIF(Q$4:Q5,Q6)-COUNTIF(Q$4:Q5,""Sell_""&amp;Q6))))))"),575.0)</f>
        <v>575</v>
      </c>
      <c r="V6" s="10">
        <f t="shared" si="11"/>
        <v>575</v>
      </c>
      <c r="W6" s="68">
        <f t="shared" si="12"/>
        <v>5.318627451</v>
      </c>
      <c r="X6" s="59" t="str">
        <f t="shared" si="13"/>
        <v>5s</v>
      </c>
      <c r="Y6" s="69">
        <f t="shared" si="14"/>
        <v>1075</v>
      </c>
      <c r="Z6" s="11"/>
    </row>
    <row r="7">
      <c r="A7" s="8"/>
      <c r="B7" s="56">
        <f t="shared" si="2"/>
        <v>1</v>
      </c>
      <c r="C7" s="57" t="s">
        <v>3</v>
      </c>
      <c r="D7" s="10" t="b">
        <f>IFERROR(__xludf.DUMMYFUNCTION("IF(COUNTA(C7:C1350)=0,"""",IF(ISBLANK(C7),FALSE,IF(NOT(COUNTIF($AA$24:$AA$34,SUBSTITUTE(C7,""Sell_"",""""))),1,IF(REGEXMATCH(C7,""Sell_""),IF(COUNTIF(C$4:C7,SUBSTITUTE(C7,""Sell_"",""""))-COUNTIF(C$4:C6,C7)&lt;1,1),FALSE))))"),FALSE)</f>
        <v>0</v>
      </c>
      <c r="E7" s="59">
        <f t="array" ref="E7">IF(COUNTA(C7:C1350)=0,"",SUM((COUNTIF(C$4:C7,Upgrades!$B$3:$B$13)-COUNTIF(C$4:C7,"Sell_"&amp;Upgrades!$B$3:$B$13))*Upgrades!$D$3:$D$13))</f>
        <v>8.1</v>
      </c>
      <c r="F7" s="66">
        <f>IFERROR(__xludf.DUMMYFUNCTION("IF(COUNTA(C7:C1350)=0,"""",IF(REGEXMATCH(INDEX(FILTER(C$4:C7,C$4:C7&lt;&gt;""""),ROWS(FILTER(C$4:C7,C$4:C7&lt;&gt;""""))),""^Sell_""),INDEX(FILTER(F$4:F6,C$4:C6&lt;&gt;""""),ROWS(FILTER(C$4:C6,C$4:C6&lt;&gt;""""))),$AC$5+E7))"),208.1)</f>
        <v>208.1</v>
      </c>
      <c r="G7" s="10">
        <f>IFERROR(__xludf.DUMMYFUNCTION("IF(COUNTA(C7:C1350)=0,"""",IF(C7="""",0,IF(REGEXMATCH(C7,""^Sell_""),-ROUNDDOWN(ROUNDUP(INDEX(Upgrades!$C$3:$C$13,MATCH(SUBSTITUTE(C7,""Sell_"",""""),Upgrades!$B$3:$B$13,0))*1.15^(COUNTIF(C$4:C6,SUBSTITUTE(C7,""Sell_"",""""))-COUNTIF(C$4:C6,""Sell_""&amp;SUBS"&amp;"TITUTE(C7,""Sell_"",""""))))/2),ROUNDUP(INDEX(Upgrades!$C$3:$C$13,MATCH(C7,Upgrades!$B$3:$B$13,0))*1.15^(COUNTIF(C$4:C6,C7)-COUNTIF(C$4:C6,""Sell_""&amp;C7))))))"),15.0)</f>
        <v>15</v>
      </c>
      <c r="H7" s="10">
        <f t="shared" si="3"/>
        <v>15</v>
      </c>
      <c r="I7" s="68">
        <f t="shared" si="4"/>
        <v>5.390742836</v>
      </c>
      <c r="J7" s="59" t="str">
        <f t="shared" si="5"/>
        <v>5s</v>
      </c>
      <c r="K7" s="69">
        <f t="shared" si="6"/>
        <v>1090</v>
      </c>
      <c r="L7" s="60">
        <f t="shared" si="7"/>
        <v>0</v>
      </c>
      <c r="M7" s="61">
        <f>IFERROR(__xludf.DUMMYFUNCTION("IFS(AND(COUNTA(C7:C1350)=0,COUNTA(Q7:Q1350)=0),"""",OR(AND(K7&gt;=1000000000,OR(Y7&gt;=1000000000,COUNTA(Q7:Q1350)=0)),OR(Y7&gt;=1000000000,AND(COUNTA(C7:C1350)=0,P$3=TRUE))),
ROUNDDOWN((AB$1-AC$1)*MAX(INDEX(T$4:T1350,MATCH(LARGE(FILTER(Y$4:Y1350,Y$4:Y1350&lt;1000000"&amp;"000),1),Y$4:Y1350)),INDEX(F$4:F1350,MATCH(LARGE(FILTER(K$4:K1350,K$4:K1350&lt;1000000000),1),K$4:K1350)))),AND(K7&lt;1000000000,COUNTA(C7:C1350)&gt;0,P$3=FALSE),
ROUNDDOWN(INDEX(Y$4:Y1350,MATCH(LARGE(FILTER(W$4:W1350,W$4:W1350&lt;=I7),1),W$4:W1350))+(I7-LARGE(FILTER("&amp;"W$4:W1350,W$4:W1350&lt;=I7),1))*INDEX(T$4:T1350,MATCH(LARGE(FILTER(W$4:W1350,W$4:W1350&lt;=I7),1),W$4:W1350))-K7),1,
ROUNDDOWN(Y7-INDEX(K$4:K1350,MATCH(LARGE(FILTER(I$4:I1350,I$4:I1350&lt;=W7),1),I$4:I1350))-(W7-LARGE(FILTER(I$4:I1350,I$4:I1350&lt;=W7),1))*INDEX(F$4:"&amp;"F1350,MATCH(LARGE(FILTER(I$4:I1350,I$4:I1350&lt;=W7),1),I$4:I1350))))"),0.0)</f>
        <v>0</v>
      </c>
      <c r="N7" s="60">
        <f t="shared" si="8"/>
        <v>0</v>
      </c>
      <c r="O7" s="61">
        <f t="shared" si="9"/>
        <v>0</v>
      </c>
      <c r="P7" s="56">
        <f t="shared" si="10"/>
        <v>1</v>
      </c>
      <c r="Q7" s="67" t="s">
        <v>3</v>
      </c>
      <c r="R7" s="10" t="b">
        <f>IFERROR(__xludf.DUMMYFUNCTION("IF(COUNTA(Q7:Q1350)=0,"""",IF(ISBLANK(Q7),FALSE,IF(NOT(COUNTIF($AA$24:$AA$34,SUBSTITUTE(Q7,""Sell_"",""""))),1,IF(REGEXMATCH(Q7,""Sell_""),IF(COUNTIF(Q$4:Q7,SUBSTITUTE(Q7,""Sell_"",""""))-COUNTIF(Q$4:Q6,Q7)&lt;1,1),FALSE))))"),FALSE)</f>
        <v>0</v>
      </c>
      <c r="S7" s="59">
        <f t="array" ref="S7">IF(COUNTA(Q7:Q1350)=0,"",SUM((COUNTIF(Q$4:Q7,Upgrades!$B$3:$B$13)-COUNTIF(Q$4:Q7,"Sell_"&amp;Upgrades!$B$3:$B$13))*Upgrades!$D$3:$D$13))</f>
        <v>8.1</v>
      </c>
      <c r="T7" s="66">
        <f>IFERROR(__xludf.DUMMYFUNCTION("IF(COUNTA(Q7:Q1350)=0,"""",IF(REGEXMATCH(INDEX(FILTER(Q$4:Q7,Q$4:Q7&lt;&gt;""""),ROWS(FILTER(Q$4:Q7,Q$4:Q7&lt;&gt;""""))),""^Sell_""),INDEX(FILTER(T$4:T6,Q$4:Q6&lt;&gt;""""),ROWS(FILTER(Q$4:Q6,Q$4:Q6&lt;&gt;""""))),$AD$5+S7))"),208.1)</f>
        <v>208.1</v>
      </c>
      <c r="U7" s="10">
        <f>IFERROR(__xludf.DUMMYFUNCTION("IF(COUNTA(Q7:Q1350)=0,"""",IF(Q7="""",0,IF(REGEXMATCH(Q7,""^Sell_""),-ROUNDDOWN(ROUNDUP(INDEX(Upgrades!$C$3:$C$13,MATCH(SUBSTITUTE(Q7,""Sell_"",""""),Upgrades!$B$3:$B$13,0))*1.15^(COUNTIF(Q$4:Q6,SUBSTITUTE(Q7,""Sell_"",""""))-COUNTIF(Q$4:Q6,""Sell_""&amp;SUBS"&amp;"TITUTE(Q7,""Sell_"",""""))))/2),ROUNDUP(INDEX(Upgrades!$C$3:$C$13,MATCH(Q7,Upgrades!$B$3:$B$13,0))*1.15^(COUNTIF(Q$4:Q6,Q7)-COUNTIF(Q$4:Q6,""Sell_""&amp;Q7))))))"),15.0)</f>
        <v>15</v>
      </c>
      <c r="V7" s="10">
        <f t="shared" si="11"/>
        <v>15</v>
      </c>
      <c r="W7" s="68">
        <f t="shared" si="12"/>
        <v>5.390742836</v>
      </c>
      <c r="X7" s="59" t="str">
        <f t="shared" si="13"/>
        <v>5s</v>
      </c>
      <c r="Y7" s="69">
        <f t="shared" si="14"/>
        <v>1090</v>
      </c>
      <c r="Z7" s="11"/>
      <c r="AA7" s="73" t="s">
        <v>43</v>
      </c>
      <c r="AB7" s="74"/>
      <c r="AC7" s="77" t="str">
        <f>IF(AF1&lt;0,"YES","NO")</f>
        <v>YES</v>
      </c>
    </row>
    <row r="8">
      <c r="A8" s="8"/>
      <c r="B8" s="56">
        <f t="shared" si="2"/>
        <v>3</v>
      </c>
      <c r="C8" s="57" t="s">
        <v>5</v>
      </c>
      <c r="D8" s="10" t="b">
        <f>IFERROR(__xludf.DUMMYFUNCTION("IF(COUNTA(C8:C1350)=0,"""",IF(ISBLANK(C8),FALSE,IF(NOT(COUNTIF($AA$24:$AA$34,SUBSTITUTE(C8,""Sell_"",""""))),1,IF(REGEXMATCH(C8,""Sell_""),IF(COUNTIF(C$4:C8,SUBSTITUTE(C8,""Sell_"",""""))-COUNTIF(C$4:C7,C8)&lt;1,1),FALSE))))"),FALSE)</f>
        <v>0</v>
      </c>
      <c r="E8" s="59">
        <f t="array" ref="E8">IF(COUNTA(C8:C1350)=0,"",SUM((COUNTIF(C$4:C8,Upgrades!$B$3:$B$13)-COUNTIF(C$4:C8,"Sell_"&amp;Upgrades!$B$3:$B$13))*Upgrades!$D$3:$D$13))</f>
        <v>12.1</v>
      </c>
      <c r="F8" s="66">
        <f>IFERROR(__xludf.DUMMYFUNCTION("IF(COUNTA(C8:C1350)=0,"""",IF(REGEXMATCH(INDEX(FILTER(C$4:C8,C$4:C8&lt;&gt;""""),ROWS(FILTER(C$4:C8,C$4:C8&lt;&gt;""""))),""^Sell_""),INDEX(FILTER(F$4:F7,C$4:C7&lt;&gt;""""),ROWS(FILTER(C$4:C7,C$4:C7&lt;&gt;""""))),$AC$5+E8))"),212.1)</f>
        <v>212.1</v>
      </c>
      <c r="G8" s="10">
        <f>IFERROR(__xludf.DUMMYFUNCTION("IF(COUNTA(C8:C1350)=0,"""",IF(C8="""",0,IF(REGEXMATCH(C8,""^Sell_""),-ROUNDDOWN(ROUNDUP(INDEX(Upgrades!$C$3:$C$13,MATCH(SUBSTITUTE(C8,""Sell_"",""""),Upgrades!$B$3:$B$13,0))*1.15^(COUNTIF(C$4:C7,SUBSTITUTE(C8,""Sell_"",""""))-COUNTIF(C$4:C7,""Sell_""&amp;SUBS"&amp;"TITUTE(C8,""Sell_"",""""))))/2),ROUNDUP(INDEX(Upgrades!$C$3:$C$13,MATCH(C8,Upgrades!$B$3:$B$13,0))*1.15^(COUNTIF(C$4:C7,C8)-COUNTIF(C$4:C7,""Sell_""&amp;C8))))))"),662.0)</f>
        <v>662</v>
      </c>
      <c r="H8" s="10">
        <f t="shared" si="3"/>
        <v>662</v>
      </c>
      <c r="I8" s="68">
        <f t="shared" si="4"/>
        <v>8.571905738</v>
      </c>
      <c r="J8" s="59" t="str">
        <f t="shared" si="5"/>
        <v>8s</v>
      </c>
      <c r="K8" s="69">
        <f t="shared" si="6"/>
        <v>1752</v>
      </c>
      <c r="L8" s="60">
        <f t="shared" si="7"/>
        <v>0</v>
      </c>
      <c r="M8" s="61">
        <f>IFERROR(__xludf.DUMMYFUNCTION("IFS(AND(COUNTA(C8:C1350)=0,COUNTA(Q8:Q1350)=0),"""",OR(AND(K8&gt;=1000000000,OR(Y8&gt;=1000000000,COUNTA(Q8:Q1350)=0)),OR(Y8&gt;=1000000000,AND(COUNTA(C8:C1350)=0,P$3=TRUE))),
ROUNDDOWN((AB$1-AC$1)*MAX(INDEX(T$4:T1350,MATCH(LARGE(FILTER(Y$4:Y1350,Y$4:Y1350&lt;1000000"&amp;"000),1),Y$4:Y1350)),INDEX(F$4:F1350,MATCH(LARGE(FILTER(K$4:K1350,K$4:K1350&lt;1000000000),1),K$4:K1350)))),AND(K8&lt;1000000000,COUNTA(C8:C1350)&gt;0,P$3=FALSE),
ROUNDDOWN(INDEX(Y$4:Y1350,MATCH(LARGE(FILTER(W$4:W1350,W$4:W1350&lt;=I8),1),W$4:W1350))+(I8-LARGE(FILTER("&amp;"W$4:W1350,W$4:W1350&lt;=I8),1))*INDEX(T$4:T1350,MATCH(LARGE(FILTER(W$4:W1350,W$4:W1350&lt;=I8),1),W$4:W1350))-K8),1,
ROUNDDOWN(Y8-INDEX(K$4:K1350,MATCH(LARGE(FILTER(I$4:I1350,I$4:I1350&lt;=W8),1),I$4:I1350))-(W8-LARGE(FILTER(I$4:I1350,I$4:I1350&lt;=W8),1))*INDEX(F$4:"&amp;"F1350,MATCH(LARGE(FILTER(I$4:I1350,I$4:I1350&lt;=W8),1),I$4:I1350))))"),0.0)</f>
        <v>0</v>
      </c>
      <c r="N8" s="60">
        <f t="shared" si="8"/>
        <v>0</v>
      </c>
      <c r="O8" s="61">
        <f t="shared" si="9"/>
        <v>0</v>
      </c>
      <c r="P8" s="56">
        <f t="shared" si="10"/>
        <v>3</v>
      </c>
      <c r="Q8" s="67" t="s">
        <v>5</v>
      </c>
      <c r="R8" s="10" t="b">
        <f>IFERROR(__xludf.DUMMYFUNCTION("IF(COUNTA(Q8:Q1350)=0,"""",IF(ISBLANK(Q8),FALSE,IF(NOT(COUNTIF($AA$24:$AA$34,SUBSTITUTE(Q8,""Sell_"",""""))),1,IF(REGEXMATCH(Q8,""Sell_""),IF(COUNTIF(Q$4:Q8,SUBSTITUTE(Q8,""Sell_"",""""))-COUNTIF(Q$4:Q7,Q8)&lt;1,1),FALSE))))"),FALSE)</f>
        <v>0</v>
      </c>
      <c r="S8" s="59">
        <f t="array" ref="S8">IF(COUNTA(Q8:Q1350)=0,"",SUM((COUNTIF(Q$4:Q8,Upgrades!$B$3:$B$13)-COUNTIF(Q$4:Q8,"Sell_"&amp;Upgrades!$B$3:$B$13))*Upgrades!$D$3:$D$13))</f>
        <v>12.1</v>
      </c>
      <c r="T8" s="66">
        <f>IFERROR(__xludf.DUMMYFUNCTION("IF(COUNTA(Q8:Q1350)=0,"""",IF(REGEXMATCH(INDEX(FILTER(Q$4:Q8,Q$4:Q8&lt;&gt;""""),ROWS(FILTER(Q$4:Q8,Q$4:Q8&lt;&gt;""""))),""^Sell_""),INDEX(FILTER(T$4:T7,Q$4:Q7&lt;&gt;""""),ROWS(FILTER(Q$4:Q7,Q$4:Q7&lt;&gt;""""))),$AD$5+S8))"),212.1)</f>
        <v>212.1</v>
      </c>
      <c r="U8" s="10">
        <f>IFERROR(__xludf.DUMMYFUNCTION("IF(COUNTA(Q8:Q1350)=0,"""",IF(Q8="""",0,IF(REGEXMATCH(Q8,""^Sell_""),-ROUNDDOWN(ROUNDUP(INDEX(Upgrades!$C$3:$C$13,MATCH(SUBSTITUTE(Q8,""Sell_"",""""),Upgrades!$B$3:$B$13,0))*1.15^(COUNTIF(Q$4:Q7,SUBSTITUTE(Q8,""Sell_"",""""))-COUNTIF(Q$4:Q7,""Sell_""&amp;SUBS"&amp;"TITUTE(Q8,""Sell_"",""""))))/2),ROUNDUP(INDEX(Upgrades!$C$3:$C$13,MATCH(Q8,Upgrades!$B$3:$B$13,0))*1.15^(COUNTIF(Q$4:Q7,Q8)-COUNTIF(Q$4:Q7,""Sell_""&amp;Q8))))))"),662.0)</f>
        <v>662</v>
      </c>
      <c r="V8" s="10">
        <f t="shared" si="11"/>
        <v>662</v>
      </c>
      <c r="W8" s="68">
        <f t="shared" si="12"/>
        <v>8.571905738</v>
      </c>
      <c r="X8" s="59" t="str">
        <f t="shared" si="13"/>
        <v>8s</v>
      </c>
      <c r="Y8" s="69">
        <f t="shared" si="14"/>
        <v>1752</v>
      </c>
      <c r="Z8" s="11"/>
    </row>
    <row r="9">
      <c r="A9" s="8"/>
      <c r="B9" s="56">
        <f t="shared" si="2"/>
        <v>1</v>
      </c>
      <c r="C9" s="57" t="s">
        <v>4</v>
      </c>
      <c r="D9" s="10" t="b">
        <f>IFERROR(__xludf.DUMMYFUNCTION("IF(COUNTA(C9:C1350)=0,"""",IF(ISBLANK(C9),FALSE,IF(NOT(COUNTIF($AA$24:$AA$34,SUBSTITUTE(C9,""Sell_"",""""))),1,IF(REGEXMATCH(C9,""Sell_""),IF(COUNTIF(C$4:C9,SUBSTITUTE(C9,""Sell_"",""""))-COUNTIF(C$4:C8,C9)&lt;1,1),FALSE))))"),FALSE)</f>
        <v>0</v>
      </c>
      <c r="E9" s="59">
        <f t="array" ref="E9">IF(COUNTA(C9:C1350)=0,"",SUM((COUNTIF(C$4:C9,Upgrades!$B$3:$B$13)-COUNTIF(C$4:C9,"Sell_"&amp;Upgrades!$B$3:$B$13))*Upgrades!$D$3:$D$13))</f>
        <v>12.6</v>
      </c>
      <c r="F9" s="66">
        <f>IFERROR(__xludf.DUMMYFUNCTION("IF(COUNTA(C9:C1350)=0,"""",IF(REGEXMATCH(INDEX(FILTER(C$4:C9,C$4:C9&lt;&gt;""""),ROWS(FILTER(C$4:C9,C$4:C9&lt;&gt;""""))),""^Sell_""),INDEX(FILTER(F$4:F8,C$4:C8&lt;&gt;""""),ROWS(FILTER(C$4:C8,C$4:C8&lt;&gt;""""))),$AC$5+E9))"),212.6)</f>
        <v>212.6</v>
      </c>
      <c r="G9" s="10">
        <f>IFERROR(__xludf.DUMMYFUNCTION("IF(COUNTA(C9:C1350)=0,"""",IF(C9="""",0,IF(REGEXMATCH(C9,""^Sell_""),-ROUNDDOWN(ROUNDUP(INDEX(Upgrades!$C$3:$C$13,MATCH(SUBSTITUTE(C9,""Sell_"",""""),Upgrades!$B$3:$B$13,0))*1.15^(COUNTIF(C$4:C8,SUBSTITUTE(C9,""Sell_"",""""))-COUNTIF(C$4:C8,""Sell_""&amp;SUBS"&amp;"TITUTE(C9,""Sell_"",""""))))/2),ROUNDUP(INDEX(Upgrades!$C$3:$C$13,MATCH(C9,Upgrades!$B$3:$B$13,0))*1.15^(COUNTIF(C$4:C8,C9)-COUNTIF(C$4:C8,""Sell_""&amp;C9))))))"),100.0)</f>
        <v>100</v>
      </c>
      <c r="H9" s="10">
        <f t="shared" si="3"/>
        <v>100</v>
      </c>
      <c r="I9" s="68">
        <f t="shared" si="4"/>
        <v>9.043381457</v>
      </c>
      <c r="J9" s="59" t="str">
        <f t="shared" si="5"/>
        <v>9s</v>
      </c>
      <c r="K9" s="69">
        <f t="shared" si="6"/>
        <v>1852</v>
      </c>
      <c r="L9" s="60">
        <f t="shared" si="7"/>
        <v>-0.00018</v>
      </c>
      <c r="M9" s="61">
        <f>IFERROR(__xludf.DUMMYFUNCTION("IFS(AND(COUNTA(C9:C1350)=0,COUNTA(Q9:Q1350)=0),"""",OR(AND(K9&gt;=1000000000,OR(Y9&gt;=1000000000,COUNTA(Q9:Q1350)=0)),OR(Y9&gt;=1000000000,AND(COUNTA(C9:C1350)=0,P$3=TRUE))),
ROUNDDOWN((AB$1-AC$1)*MAX(INDEX(T$4:T1350,MATCH(LARGE(FILTER(Y$4:Y1350,Y$4:Y1350&lt;1000000"&amp;"000),1),Y$4:Y1350)),INDEX(F$4:F1350,MATCH(LARGE(FILTER(K$4:K1350,K$4:K1350&lt;1000000000),1),K$4:K1350)))),AND(K9&lt;1000000000,COUNTA(C9:C1350)&gt;0,P$3=FALSE),
ROUNDDOWN(INDEX(Y$4:Y1350,MATCH(LARGE(FILTER(W$4:W1350,W$4:W1350&lt;=I9),1),W$4:W1350))+(I9-LARGE(FILTER("&amp;"W$4:W1350,W$4:W1350&lt;=I9),1))*INDEX(T$4:T1350,MATCH(LARGE(FILTER(W$4:W1350,W$4:W1350&lt;=I9),1),W$4:W1350))-K9),1,
ROUNDDOWN(Y9-INDEX(K$4:K1350,MATCH(LARGE(FILTER(I$4:I1350,I$4:I1350&lt;=W9),1),I$4:I1350))-(W9-LARGE(FILTER(I$4:I1350,I$4:I1350&lt;=W9),1))*INDEX(F$4:"&amp;"F1350,MATCH(LARGE(FILTER(I$4:I1350,I$4:I1350&lt;=W9),1),I$4:I1350))))"),0.0)</f>
        <v>0</v>
      </c>
      <c r="N9" s="60">
        <f t="shared" si="8"/>
        <v>-0.00018</v>
      </c>
      <c r="O9" s="61">
        <f t="shared" si="9"/>
        <v>0</v>
      </c>
      <c r="P9" s="56">
        <f t="shared" si="10"/>
        <v>2</v>
      </c>
      <c r="Q9" s="67" t="s">
        <v>3</v>
      </c>
      <c r="R9" s="10" t="b">
        <f>IFERROR(__xludf.DUMMYFUNCTION("IF(COUNTA(Q9:Q1350)=0,"""",IF(ISBLANK(Q9),FALSE,IF(NOT(COUNTIF($AA$24:$AA$34,SUBSTITUTE(Q9,""Sell_"",""""))),1,IF(REGEXMATCH(Q9,""Sell_""),IF(COUNTIF(Q$4:Q9,SUBSTITUTE(Q9,""Sell_"",""""))-COUNTIF(Q$4:Q8,Q9)&lt;1,1),FALSE))))"),FALSE)</f>
        <v>0</v>
      </c>
      <c r="S9" s="59">
        <f t="array" ref="S9">IF(COUNTA(Q9:Q1350)=0,"",SUM((COUNTIF(Q$4:Q9,Upgrades!$B$3:$B$13)-COUNTIF(Q$4:Q9,"Sell_"&amp;Upgrades!$B$3:$B$13))*Upgrades!$D$3:$D$13))</f>
        <v>12.2</v>
      </c>
      <c r="T9" s="66">
        <f>IFERROR(__xludf.DUMMYFUNCTION("IF(COUNTA(Q9:Q1350)=0,"""",IF(REGEXMATCH(INDEX(FILTER(Q$4:Q9,Q$4:Q9&lt;&gt;""""),ROWS(FILTER(Q$4:Q9,Q$4:Q9&lt;&gt;""""))),""^Sell_""),INDEX(FILTER(T$4:T8,Q$4:Q8&lt;&gt;""""),ROWS(FILTER(Q$4:Q8,Q$4:Q8&lt;&gt;""""))),$AD$5+S9))"),212.2)</f>
        <v>212.2</v>
      </c>
      <c r="U9" s="10">
        <f>IFERROR(__xludf.DUMMYFUNCTION("IF(COUNTA(Q9:Q1350)=0,"""",IF(Q9="""",0,IF(REGEXMATCH(Q9,""^Sell_""),-ROUNDDOWN(ROUNDUP(INDEX(Upgrades!$C$3:$C$13,MATCH(SUBSTITUTE(Q9,""Sell_"",""""),Upgrades!$B$3:$B$13,0))*1.15^(COUNTIF(Q$4:Q8,SUBSTITUTE(Q9,""Sell_"",""""))-COUNTIF(Q$4:Q8,""Sell_""&amp;SUBS"&amp;"TITUTE(Q9,""Sell_"",""""))))/2),ROUNDUP(INDEX(Upgrades!$C$3:$C$13,MATCH(Q9,Upgrades!$B$3:$B$13,0))*1.15^(COUNTIF(Q$4:Q8,Q9)-COUNTIF(Q$4:Q8,""Sell_""&amp;Q9))))))"),18.0)</f>
        <v>18</v>
      </c>
      <c r="V9" s="10">
        <f t="shared" si="11"/>
        <v>18</v>
      </c>
      <c r="W9" s="68">
        <f t="shared" si="12"/>
        <v>8.656771367</v>
      </c>
      <c r="X9" s="59" t="str">
        <f t="shared" si="13"/>
        <v>8s</v>
      </c>
      <c r="Y9" s="69">
        <f t="shared" si="14"/>
        <v>1770</v>
      </c>
      <c r="Z9" s="11"/>
      <c r="AA9" s="80" t="s">
        <v>44</v>
      </c>
      <c r="AB9" s="81"/>
      <c r="AC9" s="81"/>
      <c r="AD9" s="81"/>
      <c r="AE9" s="81"/>
      <c r="AF9" s="82"/>
    </row>
    <row r="10">
      <c r="A10" s="8"/>
      <c r="B10" s="56">
        <f t="shared" si="2"/>
        <v>2</v>
      </c>
      <c r="C10" s="57" t="s">
        <v>3</v>
      </c>
      <c r="D10" s="10" t="b">
        <f>IFERROR(__xludf.DUMMYFUNCTION("IF(COUNTA(C10:C1350)=0,"""",IF(ISBLANK(C10),FALSE,IF(NOT(COUNTIF($AA$24:$AA$34,SUBSTITUTE(C10,""Sell_"",""""))),1,IF(REGEXMATCH(C10,""Sell_""),IF(COUNTIF(C$4:C10,SUBSTITUTE(C10,""Sell_"",""""))-COUNTIF(C$4:C9,C10)&lt;1,1),FALSE))))"),FALSE)</f>
        <v>0</v>
      </c>
      <c r="E10" s="59">
        <f t="array" ref="E10">IF(COUNTA(C10:C1350)=0,"",SUM((COUNTIF(C$4:C10,Upgrades!$B$3:$B$13)-COUNTIF(C$4:C10,"Sell_"&amp;Upgrades!$B$3:$B$13))*Upgrades!$D$3:$D$13))</f>
        <v>12.7</v>
      </c>
      <c r="F10" s="66">
        <f>IFERROR(__xludf.DUMMYFUNCTION("IF(COUNTA(C10:C1350)=0,"""",IF(REGEXMATCH(INDEX(FILTER(C$4:C10,C$4:C10&lt;&gt;""""),ROWS(FILTER(C$4:C10,C$4:C10&lt;&gt;""""))),""^Sell_""),INDEX(FILTER(F$4:F9,C$4:C9&lt;&gt;""""),ROWS(FILTER(C$4:C9,C$4:C9&lt;&gt;""""))),$AC$5+E10))"),212.7)</f>
        <v>212.7</v>
      </c>
      <c r="G10" s="10">
        <f>IFERROR(__xludf.DUMMYFUNCTION("IF(COUNTA(C10:C1350)=0,"""",IF(C10="""",0,IF(REGEXMATCH(C10,""^Sell_""),-ROUNDDOWN(ROUNDUP(INDEX(Upgrades!$C$3:$C$13,MATCH(SUBSTITUTE(C10,""Sell_"",""""),Upgrades!$B$3:$B$13,0))*1.15^(COUNTIF(C$4:C9,SUBSTITUTE(C10,""Sell_"",""""))-COUNTIF(C$4:C9,""Sell_"""&amp;"&amp;SUBSTITUTE(C10,""Sell_"",""""))))/2),ROUNDUP(INDEX(Upgrades!$C$3:$C$13,MATCH(C10,Upgrades!$B$3:$B$13,0))*1.15^(COUNTIF(C$4:C9,C10)-COUNTIF(C$4:C9,""Sell_""&amp;C10))))))"),18.0)</f>
        <v>18</v>
      </c>
      <c r="H10" s="10">
        <f t="shared" si="3"/>
        <v>18</v>
      </c>
      <c r="I10" s="68">
        <f t="shared" si="4"/>
        <v>9.128047497</v>
      </c>
      <c r="J10" s="59" t="str">
        <f t="shared" si="5"/>
        <v>9s</v>
      </c>
      <c r="K10" s="69">
        <f t="shared" si="6"/>
        <v>1870</v>
      </c>
      <c r="L10" s="60">
        <f t="shared" si="7"/>
        <v>-0.00002</v>
      </c>
      <c r="M10" s="61">
        <f>IFERROR(__xludf.DUMMYFUNCTION("IFS(AND(COUNTA(C10:C1350)=0,COUNTA(Q10:Q1350)=0),"""",OR(AND(K10&gt;=1000000000,OR(Y10&gt;=1000000000,COUNTA(Q10:Q1350)=0)),OR(Y10&gt;=1000000000,AND(COUNTA(C10:C1350)=0,P$3=TRUE))),
ROUNDDOWN((AB$1-AC$1)*MAX(INDEX(T$4:T1350,MATCH(LARGE(FILTER(Y$4:Y1350,Y$4:Y1350&lt;"&amp;"1000000000),1),Y$4:Y1350)),INDEX(F$4:F1350,MATCH(LARGE(FILTER(K$4:K1350,K$4:K1350&lt;1000000000),1),K$4:K1350)))),AND(K10&lt;1000000000,COUNTA(C10:C1350)&gt;0,P$3=FALSE),
ROUNDDOWN(INDEX(Y$4:Y1350,MATCH(LARGE(FILTER(W$4:W1350,W$4:W1350&lt;=I10),1),W$4:W1350))+(I10-LA"&amp;"RGE(FILTER(W$4:W1350,W$4:W1350&lt;=I10),1))*INDEX(T$4:T1350,MATCH(LARGE(FILTER(W$4:W1350,W$4:W1350&lt;=I10),1),W$4:W1350))-K10),1,
ROUNDDOWN(Y10-INDEX(K$4:K1350,MATCH(LARGE(FILTER(I$4:I1350,I$4:I1350&lt;=W10),1),I$4:I1350))-(W10-LARGE(FILTER(I$4:I1350,I$4:I1350&lt;=W"&amp;"10),1))*INDEX(F$4:F1350,MATCH(LARGE(FILTER(I$4:I1350,I$4:I1350&lt;=W10),1),I$4:I1350))))"),0.0)</f>
        <v>0</v>
      </c>
      <c r="N10" s="60">
        <f t="shared" si="8"/>
        <v>-0.00002</v>
      </c>
      <c r="O10" s="61">
        <f t="shared" si="9"/>
        <v>0</v>
      </c>
      <c r="P10" s="56">
        <f t="shared" si="10"/>
        <v>4</v>
      </c>
      <c r="Q10" s="67" t="s">
        <v>5</v>
      </c>
      <c r="R10" s="10" t="b">
        <f>IFERROR(__xludf.DUMMYFUNCTION("IF(COUNTA(Q10:Q1350)=0,"""",IF(ISBLANK(Q10),FALSE,IF(NOT(COUNTIF($AA$24:$AA$34,SUBSTITUTE(Q10,""Sell_"",""""))),1,IF(REGEXMATCH(Q10,""Sell_""),IF(COUNTIF(Q$4:Q10,SUBSTITUTE(Q10,""Sell_"",""""))-COUNTIF(Q$4:Q9,Q10)&lt;1,1),FALSE))))"),FALSE)</f>
        <v>0</v>
      </c>
      <c r="S10" s="59">
        <f t="array" ref="S10">IF(COUNTA(Q10:Q1350)=0,"",SUM((COUNTIF(Q$4:Q10,Upgrades!$B$3:$B$13)-COUNTIF(Q$4:Q10,"Sell_"&amp;Upgrades!$B$3:$B$13))*Upgrades!$D$3:$D$13))</f>
        <v>16.2</v>
      </c>
      <c r="T10" s="66">
        <f>IFERROR(__xludf.DUMMYFUNCTION("IF(COUNTA(Q10:Q1350)=0,"""",IF(REGEXMATCH(INDEX(FILTER(Q$4:Q10,Q$4:Q10&lt;&gt;""""),ROWS(FILTER(Q$4:Q10,Q$4:Q10&lt;&gt;""""))),""^Sell_""),INDEX(FILTER(T$4:T9,Q$4:Q9&lt;&gt;""""),ROWS(FILTER(Q$4:Q9,Q$4:Q9&lt;&gt;""""))),$AD$5+S10))"),216.2)</f>
        <v>216.2</v>
      </c>
      <c r="U10" s="10">
        <f>IFERROR(__xludf.DUMMYFUNCTION("IF(COUNTA(Q10:Q1350)=0,"""",IF(Q10="""",0,IF(REGEXMATCH(Q10,""^Sell_""),-ROUNDDOWN(ROUNDUP(INDEX(Upgrades!$C$3:$C$13,MATCH(SUBSTITUTE(Q10,""Sell_"",""""),Upgrades!$B$3:$B$13,0))*1.15^(COUNTIF(Q$4:Q9,SUBSTITUTE(Q10,""Sell_"",""""))-COUNTIF(Q$4:Q9,""Sell_"""&amp;"&amp;SUBSTITUTE(Q10,""Sell_"",""""))))/2),ROUNDUP(INDEX(Upgrades!$C$3:$C$13,MATCH(Q10,Upgrades!$B$3:$B$13,0))*1.15^(COUNTIF(Q$4:Q9,Q10)-COUNTIF(Q$4:Q9,""Sell_""&amp;Q10))))))"),761.0)</f>
        <v>761</v>
      </c>
      <c r="V10" s="10">
        <f t="shared" si="11"/>
        <v>761</v>
      </c>
      <c r="W10" s="68">
        <f t="shared" si="12"/>
        <v>12.24301076</v>
      </c>
      <c r="X10" s="59" t="str">
        <f t="shared" si="13"/>
        <v>12s</v>
      </c>
      <c r="Y10" s="69">
        <f t="shared" si="14"/>
        <v>2531</v>
      </c>
      <c r="Z10" s="11"/>
      <c r="AA10" s="83" t="s">
        <v>45</v>
      </c>
      <c r="AB10" s="84"/>
      <c r="AC10" s="84"/>
      <c r="AD10" s="84"/>
      <c r="AE10" s="84"/>
      <c r="AF10" s="85"/>
    </row>
    <row r="11">
      <c r="A11" s="8"/>
      <c r="B11" s="56">
        <f t="shared" si="2"/>
        <v>3</v>
      </c>
      <c r="C11" s="57" t="s">
        <v>3</v>
      </c>
      <c r="D11" s="10" t="b">
        <f>IFERROR(__xludf.DUMMYFUNCTION("IF(COUNTA(C11:C1350)=0,"""",IF(ISBLANK(C11),FALSE,IF(NOT(COUNTIF($AA$24:$AA$34,SUBSTITUTE(C11,""Sell_"",""""))),1,IF(REGEXMATCH(C11,""Sell_""),IF(COUNTIF(C$4:C11,SUBSTITUTE(C11,""Sell_"",""""))-COUNTIF(C$4:C10,C11)&lt;1,1),FALSE))))"),FALSE)</f>
        <v>0</v>
      </c>
      <c r="E11" s="59">
        <f t="array" ref="E11">IF(COUNTA(C11:C1350)=0,"",SUM((COUNTIF(C$4:C11,Upgrades!$B$3:$B$13)-COUNTIF(C$4:C11,"Sell_"&amp;Upgrades!$B$3:$B$13))*Upgrades!$D$3:$D$13))</f>
        <v>12.8</v>
      </c>
      <c r="F11" s="66">
        <f>IFERROR(__xludf.DUMMYFUNCTION("IF(COUNTA(C11:C1350)=0,"""",IF(REGEXMATCH(INDEX(FILTER(C$4:C11,C$4:C11&lt;&gt;""""),ROWS(FILTER(C$4:C11,C$4:C11&lt;&gt;""""))),""^Sell_""),INDEX(FILTER(F$4:F10,C$4:C10&lt;&gt;""""),ROWS(FILTER(C$4:C10,C$4:C10&lt;&gt;""""))),$AC$5+E11))"),212.8)</f>
        <v>212.8</v>
      </c>
      <c r="G11" s="10">
        <f>IFERROR(__xludf.DUMMYFUNCTION("IF(COUNTA(C11:C1350)=0,"""",IF(C11="""",0,IF(REGEXMATCH(C11,""^Sell_""),-ROUNDDOWN(ROUNDUP(INDEX(Upgrades!$C$3:$C$13,MATCH(SUBSTITUTE(C11,""Sell_"",""""),Upgrades!$B$3:$B$13,0))*1.15^(COUNTIF(C$4:C10,SUBSTITUTE(C11,""Sell_"",""""))-COUNTIF(C$4:C10,""Sell_"&amp;"""&amp;SUBSTITUTE(C11,""Sell_"",""""))))/2),ROUNDUP(INDEX(Upgrades!$C$3:$C$13,MATCH(C11,Upgrades!$B$3:$B$13,0))*1.15^(COUNTIF(C$4:C10,C11)-COUNTIF(C$4:C10,""Sell_""&amp;C11))))))"),20.0)</f>
        <v>20</v>
      </c>
      <c r="H11" s="10">
        <f t="shared" si="3"/>
        <v>20</v>
      </c>
      <c r="I11" s="68">
        <f t="shared" si="4"/>
        <v>9.222076646</v>
      </c>
      <c r="J11" s="59" t="str">
        <f t="shared" si="5"/>
        <v>9s</v>
      </c>
      <c r="K11" s="69">
        <f t="shared" si="6"/>
        <v>1890</v>
      </c>
      <c r="L11" s="60">
        <f t="shared" si="7"/>
        <v>0.00019</v>
      </c>
      <c r="M11" s="61">
        <f>IFERROR(__xludf.DUMMYFUNCTION("IFS(AND(COUNTA(C11:C1350)=0,COUNTA(Q11:Q1350)=0),"""",OR(AND(K11&gt;=1000000000,OR(Y11&gt;=1000000000,COUNTA(Q11:Q1350)=0)),OR(Y11&gt;=1000000000,AND(COUNTA(C11:C1350)=0,P$3=TRUE))),
ROUNDDOWN((AB$1-AC$1)*MAX(INDEX(T$4:T1350,MATCH(LARGE(FILTER(Y$4:Y1350,Y$4:Y1350&lt;"&amp;"1000000000),1),Y$4:Y1350)),INDEX(F$4:F1350,MATCH(LARGE(FILTER(K$4:K1350,K$4:K1350&lt;1000000000),1),K$4:K1350)))),AND(K11&lt;1000000000,COUNTA(C11:C1350)&gt;0,P$3=FALSE),
ROUNDDOWN(INDEX(Y$4:Y1350,MATCH(LARGE(FILTER(W$4:W1350,W$4:W1350&lt;=I11),1),W$4:W1350))+(I11-LA"&amp;"RGE(FILTER(W$4:W1350,W$4:W1350&lt;=I11),1))*INDEX(T$4:T1350,MATCH(LARGE(FILTER(W$4:W1350,W$4:W1350&lt;=I11),1),W$4:W1350))-K11),1,
ROUNDDOWN(Y11-INDEX(K$4:K1350,MATCH(LARGE(FILTER(I$4:I1350,I$4:I1350&lt;=W11),1),I$4:I1350))-(W11-LARGE(FILTER(I$4:I1350,I$4:I1350&lt;=W"&amp;"11),1))*INDEX(F$4:F1350,MATCH(LARGE(FILTER(I$4:I1350,I$4:I1350&lt;=W11),1),I$4:I1350))))"),0.0)</f>
        <v>0</v>
      </c>
      <c r="N11" s="60">
        <f t="shared" si="8"/>
        <v>0.00019</v>
      </c>
      <c r="O11" s="61">
        <f t="shared" si="9"/>
        <v>0</v>
      </c>
      <c r="P11" s="56">
        <f t="shared" si="10"/>
        <v>3</v>
      </c>
      <c r="Q11" s="67" t="s">
        <v>3</v>
      </c>
      <c r="R11" s="10" t="b">
        <f>IFERROR(__xludf.DUMMYFUNCTION("IF(COUNTA(Q11:Q1350)=0,"""",IF(ISBLANK(Q11),FALSE,IF(NOT(COUNTIF($AA$24:$AA$34,SUBSTITUTE(Q11,""Sell_"",""""))),1,IF(REGEXMATCH(Q11,""Sell_""),IF(COUNTIF(Q$4:Q11,SUBSTITUTE(Q11,""Sell_"",""""))-COUNTIF(Q$4:Q10,Q11)&lt;1,1),FALSE))))"),FALSE)</f>
        <v>0</v>
      </c>
      <c r="S11" s="59">
        <f t="array" ref="S11">IF(COUNTA(Q11:Q1350)=0,"",SUM((COUNTIF(Q$4:Q11,Upgrades!$B$3:$B$13)-COUNTIF(Q$4:Q11,"Sell_"&amp;Upgrades!$B$3:$B$13))*Upgrades!$D$3:$D$13))</f>
        <v>16.3</v>
      </c>
      <c r="T11" s="66">
        <f>IFERROR(__xludf.DUMMYFUNCTION("IF(COUNTA(Q11:Q1350)=0,"""",IF(REGEXMATCH(INDEX(FILTER(Q$4:Q11,Q$4:Q11&lt;&gt;""""),ROWS(FILTER(Q$4:Q11,Q$4:Q11&lt;&gt;""""))),""^Sell_""),INDEX(FILTER(T$4:T10,Q$4:Q10&lt;&gt;""""),ROWS(FILTER(Q$4:Q10,Q$4:Q10&lt;&gt;""""))),$AD$5+S11))"),216.3)</f>
        <v>216.3</v>
      </c>
      <c r="U11" s="10">
        <f>IFERROR(__xludf.DUMMYFUNCTION("IF(COUNTA(Q11:Q1350)=0,"""",IF(Q11="""",0,IF(REGEXMATCH(Q11,""^Sell_""),-ROUNDDOWN(ROUNDUP(INDEX(Upgrades!$C$3:$C$13,MATCH(SUBSTITUTE(Q11,""Sell_"",""""),Upgrades!$B$3:$B$13,0))*1.15^(COUNTIF(Q$4:Q10,SUBSTITUTE(Q11,""Sell_"",""""))-COUNTIF(Q$4:Q10,""Sell_"&amp;"""&amp;SUBSTITUTE(Q11,""Sell_"",""""))))/2),ROUNDUP(INDEX(Upgrades!$C$3:$C$13,MATCH(Q11,Upgrades!$B$3:$B$13,0))*1.15^(COUNTIF(Q$4:Q10,Q11)-COUNTIF(Q$4:Q10,""Sell_""&amp;Q11))))))"),20.0)</f>
        <v>20</v>
      </c>
      <c r="V11" s="10">
        <f t="shared" si="11"/>
        <v>20</v>
      </c>
      <c r="W11" s="68">
        <f t="shared" si="12"/>
        <v>12.3355177</v>
      </c>
      <c r="X11" s="59" t="str">
        <f t="shared" si="13"/>
        <v>12s</v>
      </c>
      <c r="Y11" s="69">
        <f t="shared" si="14"/>
        <v>2551</v>
      </c>
      <c r="Z11" s="11"/>
      <c r="AA11" s="83" t="s">
        <v>46</v>
      </c>
      <c r="AB11" s="84"/>
      <c r="AC11" s="84"/>
      <c r="AD11" s="84"/>
      <c r="AE11" s="84"/>
      <c r="AF11" s="85"/>
    </row>
    <row r="12">
      <c r="A12" s="8"/>
      <c r="B12" s="56">
        <f t="shared" si="2"/>
        <v>4</v>
      </c>
      <c r="C12" s="57" t="s">
        <v>5</v>
      </c>
      <c r="D12" s="10" t="b">
        <f>IFERROR(__xludf.DUMMYFUNCTION("IF(COUNTA(C12:C1350)=0,"""",IF(ISBLANK(C12),FALSE,IF(NOT(COUNTIF($AA$24:$AA$34,SUBSTITUTE(C12,""Sell_"",""""))),1,IF(REGEXMATCH(C12,""Sell_""),IF(COUNTIF(C$4:C12,SUBSTITUTE(C12,""Sell_"",""""))-COUNTIF(C$4:C11,C12)&lt;1,1),FALSE))))"),FALSE)</f>
        <v>0</v>
      </c>
      <c r="E12" s="59">
        <f t="array" ref="E12">IF(COUNTA(C12:C1350)=0,"",SUM((COUNTIF(C$4:C12,Upgrades!$B$3:$B$13)-COUNTIF(C$4:C12,"Sell_"&amp;Upgrades!$B$3:$B$13))*Upgrades!$D$3:$D$13))</f>
        <v>16.8</v>
      </c>
      <c r="F12" s="66">
        <f>IFERROR(__xludf.DUMMYFUNCTION("IF(COUNTA(C12:C1350)=0,"""",IF(REGEXMATCH(INDEX(FILTER(C$4:C12,C$4:C12&lt;&gt;""""),ROWS(FILTER(C$4:C12,C$4:C12&lt;&gt;""""))),""^Sell_""),INDEX(FILTER(F$4:F11,C$4:C11&lt;&gt;""""),ROWS(FILTER(C$4:C11,C$4:C11&lt;&gt;""""))),$AC$5+E12))"),216.8)</f>
        <v>216.8</v>
      </c>
      <c r="G12" s="10">
        <f>IFERROR(__xludf.DUMMYFUNCTION("IF(COUNTA(C12:C1350)=0,"""",IF(C12="""",0,IF(REGEXMATCH(C12,""^Sell_""),-ROUNDDOWN(ROUNDUP(INDEX(Upgrades!$C$3:$C$13,MATCH(SUBSTITUTE(C12,""Sell_"",""""),Upgrades!$B$3:$B$13,0))*1.15^(COUNTIF(C$4:C11,SUBSTITUTE(C12,""Sell_"",""""))-COUNTIF(C$4:C11,""Sell_"&amp;"""&amp;SUBSTITUTE(C12,""Sell_"",""""))))/2),ROUNDUP(INDEX(Upgrades!$C$3:$C$13,MATCH(C12,Upgrades!$B$3:$B$13,0))*1.15^(COUNTIF(C$4:C11,C12)-COUNTIF(C$4:C11,""Sell_""&amp;C12))))))"),761.0)</f>
        <v>761</v>
      </c>
      <c r="H12" s="10">
        <f t="shared" si="3"/>
        <v>761</v>
      </c>
      <c r="I12" s="68">
        <f t="shared" si="4"/>
        <v>12.79820447</v>
      </c>
      <c r="J12" s="59" t="str">
        <f t="shared" si="5"/>
        <v>12s</v>
      </c>
      <c r="K12" s="69">
        <f t="shared" si="6"/>
        <v>2651</v>
      </c>
      <c r="L12" s="60">
        <f t="shared" si="7"/>
        <v>-0.00036</v>
      </c>
      <c r="M12" s="61">
        <f>IFERROR(__xludf.DUMMYFUNCTION("IFS(AND(COUNTA(C12:C1350)=0,COUNTA(Q12:Q1350)=0),"""",OR(AND(K12&gt;=1000000000,OR(Y12&gt;=1000000000,COUNTA(Q12:Q1350)=0)),OR(Y12&gt;=1000000000,AND(COUNTA(C12:C1350)=0,P$3=TRUE))),
ROUNDDOWN((AB$1-AC$1)*MAX(INDEX(T$4:T1350,MATCH(LARGE(FILTER(Y$4:Y1350,Y$4:Y1350&lt;"&amp;"1000000000),1),Y$4:Y1350)),INDEX(F$4:F1350,MATCH(LARGE(FILTER(K$4:K1350,K$4:K1350&lt;1000000000),1),K$4:K1350)))),AND(K12&lt;1000000000,COUNTA(C12:C1350)&gt;0,P$3=FALSE),
ROUNDDOWN(INDEX(Y$4:Y1350,MATCH(LARGE(FILTER(W$4:W1350,W$4:W1350&lt;=I12),1),W$4:W1350))+(I12-LA"&amp;"RGE(FILTER(W$4:W1350,W$4:W1350&lt;=I12),1))*INDEX(T$4:T1350,MATCH(LARGE(FILTER(W$4:W1350,W$4:W1350&lt;=I12),1),W$4:W1350))-K12),1,
ROUNDDOWN(Y12-INDEX(K$4:K1350,MATCH(LARGE(FILTER(I$4:I1350,I$4:I1350&lt;=W12),1),I$4:I1350))-(W12-LARGE(FILTER(I$4:I1350,I$4:I1350&lt;=W"&amp;"12),1))*INDEX(F$4:F1350,MATCH(LARGE(FILTER(I$4:I1350,I$4:I1350&lt;=W12),1),I$4:I1350))))"),0.0)</f>
        <v>0</v>
      </c>
      <c r="N12" s="60">
        <f t="shared" si="8"/>
        <v>-0.00036</v>
      </c>
      <c r="O12" s="61">
        <f t="shared" si="9"/>
        <v>0</v>
      </c>
      <c r="P12" s="56">
        <f t="shared" si="10"/>
        <v>1</v>
      </c>
      <c r="Q12" s="67" t="s">
        <v>4</v>
      </c>
      <c r="R12" s="10" t="b">
        <f>IFERROR(__xludf.DUMMYFUNCTION("IF(COUNTA(Q12:Q1350)=0,"""",IF(ISBLANK(Q12),FALSE,IF(NOT(COUNTIF($AA$24:$AA$34,SUBSTITUTE(Q12,""Sell_"",""""))),1,IF(REGEXMATCH(Q12,""Sell_""),IF(COUNTIF(Q$4:Q12,SUBSTITUTE(Q12,""Sell_"",""""))-COUNTIF(Q$4:Q11,Q12)&lt;1,1),FALSE))))"),FALSE)</f>
        <v>0</v>
      </c>
      <c r="S12" s="59">
        <f t="array" ref="S12">IF(COUNTA(Q12:Q1350)=0,"",SUM((COUNTIF(Q$4:Q12,Upgrades!$B$3:$B$13)-COUNTIF(Q$4:Q12,"Sell_"&amp;Upgrades!$B$3:$B$13))*Upgrades!$D$3:$D$13))</f>
        <v>16.8</v>
      </c>
      <c r="T12" s="66">
        <f>IFERROR(__xludf.DUMMYFUNCTION("IF(COUNTA(Q12:Q1350)=0,"""",IF(REGEXMATCH(INDEX(FILTER(Q$4:Q12,Q$4:Q12&lt;&gt;""""),ROWS(FILTER(Q$4:Q12,Q$4:Q12&lt;&gt;""""))),""^Sell_""),INDEX(FILTER(T$4:T11,Q$4:Q11&lt;&gt;""""),ROWS(FILTER(Q$4:Q11,Q$4:Q11&lt;&gt;""""))),$AD$5+S12))"),216.8)</f>
        <v>216.8</v>
      </c>
      <c r="U12" s="10">
        <f>IFERROR(__xludf.DUMMYFUNCTION("IF(COUNTA(Q12:Q1350)=0,"""",IF(Q12="""",0,IF(REGEXMATCH(Q12,""^Sell_""),-ROUNDDOWN(ROUNDUP(INDEX(Upgrades!$C$3:$C$13,MATCH(SUBSTITUTE(Q12,""Sell_"",""""),Upgrades!$B$3:$B$13,0))*1.15^(COUNTIF(Q$4:Q11,SUBSTITUTE(Q12,""Sell_"",""""))-COUNTIF(Q$4:Q11,""Sell_"&amp;"""&amp;SUBSTITUTE(Q12,""Sell_"",""""))))/2),ROUNDUP(INDEX(Upgrades!$C$3:$C$13,MATCH(Q12,Upgrades!$B$3:$B$13,0))*1.15^(COUNTIF(Q$4:Q11,Q12)-COUNTIF(Q$4:Q11,""Sell_""&amp;Q12))))))"),100.0)</f>
        <v>100</v>
      </c>
      <c r="V12" s="10">
        <f t="shared" si="11"/>
        <v>100</v>
      </c>
      <c r="W12" s="68">
        <f t="shared" si="12"/>
        <v>12.79783855</v>
      </c>
      <c r="X12" s="59" t="str">
        <f t="shared" si="13"/>
        <v>12s</v>
      </c>
      <c r="Y12" s="69">
        <f t="shared" si="14"/>
        <v>2651</v>
      </c>
      <c r="Z12" s="11"/>
      <c r="AA12" s="86" t="s">
        <v>47</v>
      </c>
      <c r="AB12" s="87"/>
      <c r="AC12" s="87"/>
      <c r="AD12" s="87"/>
      <c r="AE12" s="87"/>
      <c r="AF12" s="88"/>
    </row>
    <row r="13">
      <c r="A13" s="8"/>
      <c r="B13" s="56">
        <f t="shared" si="2"/>
        <v>2</v>
      </c>
      <c r="C13" s="57" t="s">
        <v>4</v>
      </c>
      <c r="D13" s="10" t="b">
        <f>IFERROR(__xludf.DUMMYFUNCTION("IF(COUNTA(C13:C1350)=0,"""",IF(ISBLANK(C13),FALSE,IF(NOT(COUNTIF($AA$24:$AA$34,SUBSTITUTE(C13,""Sell_"",""""))),1,IF(REGEXMATCH(C13,""Sell_""),IF(COUNTIF(C$4:C13,SUBSTITUTE(C13,""Sell_"",""""))-COUNTIF(C$4:C12,C13)&lt;1,1),FALSE))))"),FALSE)</f>
        <v>0</v>
      </c>
      <c r="E13" s="59">
        <f t="array" ref="E13">IF(COUNTA(C13:C1350)=0,"",SUM((COUNTIF(C$4:C13,Upgrades!$B$3:$B$13)-COUNTIF(C$4:C13,"Sell_"&amp;Upgrades!$B$3:$B$13))*Upgrades!$D$3:$D$13))</f>
        <v>17.3</v>
      </c>
      <c r="F13" s="66">
        <f>IFERROR(__xludf.DUMMYFUNCTION("IF(COUNTA(C13:C1350)=0,"""",IF(REGEXMATCH(INDEX(FILTER(C$4:C13,C$4:C13&lt;&gt;""""),ROWS(FILTER(C$4:C13,C$4:C13&lt;&gt;""""))),""^Sell_""),INDEX(FILTER(F$4:F12,C$4:C12&lt;&gt;""""),ROWS(FILTER(C$4:C12,C$4:C12&lt;&gt;""""))),$AC$5+E13))"),217.3)</f>
        <v>217.3</v>
      </c>
      <c r="G13" s="10">
        <f>IFERROR(__xludf.DUMMYFUNCTION("IF(COUNTA(C13:C1350)=0,"""",IF(C13="""",0,IF(REGEXMATCH(C13,""^Sell_""),-ROUNDDOWN(ROUNDUP(INDEX(Upgrades!$C$3:$C$13,MATCH(SUBSTITUTE(C13,""Sell_"",""""),Upgrades!$B$3:$B$13,0))*1.15^(COUNTIF(C$4:C12,SUBSTITUTE(C13,""Sell_"",""""))-COUNTIF(C$4:C12,""Sell_"&amp;"""&amp;SUBSTITUTE(C13,""Sell_"",""""))))/2),ROUNDUP(INDEX(Upgrades!$C$3:$C$13,MATCH(C13,Upgrades!$B$3:$B$13,0))*1.15^(COUNTIF(C$4:C12,C13)-COUNTIF(C$4:C12,""Sell_""&amp;C13))))))"),115.0)</f>
        <v>115</v>
      </c>
      <c r="H13" s="10">
        <f t="shared" si="3"/>
        <v>115</v>
      </c>
      <c r="I13" s="68">
        <f t="shared" si="4"/>
        <v>13.32864727</v>
      </c>
      <c r="J13" s="59" t="str">
        <f t="shared" si="5"/>
        <v>13s</v>
      </c>
      <c r="K13" s="69">
        <f t="shared" si="6"/>
        <v>2766</v>
      </c>
      <c r="L13" s="60">
        <f t="shared" si="7"/>
        <v>-0.00036</v>
      </c>
      <c r="M13" s="61">
        <f>IFERROR(__xludf.DUMMYFUNCTION("IFS(AND(COUNTA(C13:C1350)=0,COUNTA(Q13:Q1350)=0),"""",OR(AND(K13&gt;=1000000000,OR(Y13&gt;=1000000000,COUNTA(Q13:Q1350)=0)),OR(Y13&gt;=1000000000,AND(COUNTA(C13:C1350)=0,P$3=TRUE))),
ROUNDDOWN((AB$1-AC$1)*MAX(INDEX(T$4:T1350,MATCH(LARGE(FILTER(Y$4:Y1350,Y$4:Y1350&lt;"&amp;"1000000000),1),Y$4:Y1350)),INDEX(F$4:F1350,MATCH(LARGE(FILTER(K$4:K1350,K$4:K1350&lt;1000000000),1),K$4:K1350)))),AND(K13&lt;1000000000,COUNTA(C13:C1350)&gt;0,P$3=FALSE),
ROUNDDOWN(INDEX(Y$4:Y1350,MATCH(LARGE(FILTER(W$4:W1350,W$4:W1350&lt;=I13),1),W$4:W1350))+(I13-LA"&amp;"RGE(FILTER(W$4:W1350,W$4:W1350&lt;=I13),1))*INDEX(T$4:T1350,MATCH(LARGE(FILTER(W$4:W1350,W$4:W1350&lt;=I13),1),W$4:W1350))-K13),1,
ROUNDDOWN(Y13-INDEX(K$4:K1350,MATCH(LARGE(FILTER(I$4:I1350,I$4:I1350&lt;=W13),1),I$4:I1350))-(W13-LARGE(FILTER(I$4:I1350,I$4:I1350&lt;=W"&amp;"13),1))*INDEX(F$4:F1350,MATCH(LARGE(FILTER(I$4:I1350,I$4:I1350&lt;=W13),1),I$4:I1350))))"),0.0)</f>
        <v>0</v>
      </c>
      <c r="N13" s="60">
        <f t="shared" si="8"/>
        <v>-0.00036</v>
      </c>
      <c r="O13" s="61">
        <f t="shared" si="9"/>
        <v>0</v>
      </c>
      <c r="P13" s="56">
        <f t="shared" si="10"/>
        <v>5</v>
      </c>
      <c r="Q13" s="67" t="s">
        <v>5</v>
      </c>
      <c r="R13" s="10" t="b">
        <f>IFERROR(__xludf.DUMMYFUNCTION("IF(COUNTA(Q13:Q1350)=0,"""",IF(ISBLANK(Q13),FALSE,IF(NOT(COUNTIF($AA$24:$AA$34,SUBSTITUTE(Q13,""Sell_"",""""))),1,IF(REGEXMATCH(Q13,""Sell_""),IF(COUNTIF(Q$4:Q13,SUBSTITUTE(Q13,""Sell_"",""""))-COUNTIF(Q$4:Q12,Q13)&lt;1,1),FALSE))))"),FALSE)</f>
        <v>0</v>
      </c>
      <c r="S13" s="59">
        <f t="array" ref="S13">IF(COUNTA(Q13:Q1350)=0,"",SUM((COUNTIF(Q$4:Q13,Upgrades!$B$3:$B$13)-COUNTIF(Q$4:Q13,"Sell_"&amp;Upgrades!$B$3:$B$13))*Upgrades!$D$3:$D$13))</f>
        <v>20.8</v>
      </c>
      <c r="T13" s="66">
        <f>IFERROR(__xludf.DUMMYFUNCTION("IF(COUNTA(Q13:Q1350)=0,"""",IF(REGEXMATCH(INDEX(FILTER(Q$4:Q13,Q$4:Q13&lt;&gt;""""),ROWS(FILTER(Q$4:Q13,Q$4:Q13&lt;&gt;""""))),""^Sell_""),INDEX(FILTER(T$4:T12,Q$4:Q12&lt;&gt;""""),ROWS(FILTER(Q$4:Q12,Q$4:Q12&lt;&gt;""""))),$AD$5+S13))"),220.8)</f>
        <v>220.8</v>
      </c>
      <c r="U13" s="10">
        <f>IFERROR(__xludf.DUMMYFUNCTION("IF(COUNTA(Q13:Q1350)=0,"""",IF(Q13="""",0,IF(REGEXMATCH(Q13,""^Sell_""),-ROUNDDOWN(ROUNDUP(INDEX(Upgrades!$C$3:$C$13,MATCH(SUBSTITUTE(Q13,""Sell_"",""""),Upgrades!$B$3:$B$13,0))*1.15^(COUNTIF(Q$4:Q12,SUBSTITUTE(Q13,""Sell_"",""""))-COUNTIF(Q$4:Q12,""Sell_"&amp;"""&amp;SUBSTITUTE(Q13,""Sell_"",""""))))/2),ROUNDUP(INDEX(Upgrades!$C$3:$C$13,MATCH(Q13,Upgrades!$B$3:$B$13,0))*1.15^(COUNTIF(Q$4:Q12,Q13)-COUNTIF(Q$4:Q12,""Sell_""&amp;Q13))))))"),875.0)</f>
        <v>875</v>
      </c>
      <c r="V13" s="10">
        <f t="shared" si="11"/>
        <v>875</v>
      </c>
      <c r="W13" s="68">
        <f t="shared" si="12"/>
        <v>16.83381641</v>
      </c>
      <c r="X13" s="59" t="str">
        <f t="shared" si="13"/>
        <v>16s</v>
      </c>
      <c r="Y13" s="69">
        <f t="shared" si="14"/>
        <v>3526</v>
      </c>
      <c r="Z13" s="11"/>
    </row>
    <row r="14">
      <c r="A14" s="8"/>
      <c r="B14" s="56">
        <f t="shared" si="2"/>
        <v>4</v>
      </c>
      <c r="C14" s="57" t="s">
        <v>3</v>
      </c>
      <c r="D14" s="10" t="b">
        <f>IFERROR(__xludf.DUMMYFUNCTION("IF(COUNTA(C14:C1350)=0,"""",IF(ISBLANK(C14),FALSE,IF(NOT(COUNTIF($AA$24:$AA$34,SUBSTITUTE(C14,""Sell_"",""""))),1,IF(REGEXMATCH(C14,""Sell_""),IF(COUNTIF(C$4:C14,SUBSTITUTE(C14,""Sell_"",""""))-COUNTIF(C$4:C13,C14)&lt;1,1),FALSE))))"),FALSE)</f>
        <v>0</v>
      </c>
      <c r="E14" s="59">
        <f t="array" ref="E14">IF(COUNTA(C14:C1350)=0,"",SUM((COUNTIF(C$4:C14,Upgrades!$B$3:$B$13)-COUNTIF(C$4:C14,"Sell_"&amp;Upgrades!$B$3:$B$13))*Upgrades!$D$3:$D$13))</f>
        <v>17.4</v>
      </c>
      <c r="F14" s="66">
        <f>IFERROR(__xludf.DUMMYFUNCTION("IF(COUNTA(C14:C1350)=0,"""",IF(REGEXMATCH(INDEX(FILTER(C$4:C14,C$4:C14&lt;&gt;""""),ROWS(FILTER(C$4:C14,C$4:C14&lt;&gt;""""))),""^Sell_""),INDEX(FILTER(F$4:F13,C$4:C13&lt;&gt;""""),ROWS(FILTER(C$4:C13,C$4:C13&lt;&gt;""""))),$AC$5+E14))"),217.4)</f>
        <v>217.4</v>
      </c>
      <c r="G14" s="10">
        <f>IFERROR(__xludf.DUMMYFUNCTION("IF(COUNTA(C14:C1350)=0,"""",IF(C14="""",0,IF(REGEXMATCH(C14,""^Sell_""),-ROUNDDOWN(ROUNDUP(INDEX(Upgrades!$C$3:$C$13,MATCH(SUBSTITUTE(C14,""Sell_"",""""),Upgrades!$B$3:$B$13,0))*1.15^(COUNTIF(C$4:C13,SUBSTITUTE(C14,""Sell_"",""""))-COUNTIF(C$4:C13,""Sell_"&amp;"""&amp;SUBSTITUTE(C14,""Sell_"",""""))))/2),ROUNDUP(INDEX(Upgrades!$C$3:$C$13,MATCH(C14,Upgrades!$B$3:$B$13,0))*1.15^(COUNTIF(C$4:C13,C14)-COUNTIF(C$4:C13,""Sell_""&amp;C14))))))"),23.0)</f>
        <v>23</v>
      </c>
      <c r="H14" s="10">
        <f t="shared" si="3"/>
        <v>23</v>
      </c>
      <c r="I14" s="68">
        <f t="shared" si="4"/>
        <v>13.43449172</v>
      </c>
      <c r="J14" s="59" t="str">
        <f t="shared" si="5"/>
        <v>13s</v>
      </c>
      <c r="K14" s="69">
        <f t="shared" si="6"/>
        <v>2789</v>
      </c>
      <c r="L14" s="60">
        <f t="shared" si="7"/>
        <v>-0.00012</v>
      </c>
      <c r="M14" s="61">
        <f>IFERROR(__xludf.DUMMYFUNCTION("IFS(AND(COUNTA(C14:C1350)=0,COUNTA(Q14:Q1350)=0),"""",OR(AND(K14&gt;=1000000000,OR(Y14&gt;=1000000000,COUNTA(Q14:Q1350)=0)),OR(Y14&gt;=1000000000,AND(COUNTA(C14:C1350)=0,P$3=TRUE))),
ROUNDDOWN((AB$1-AC$1)*MAX(INDEX(T$4:T1350,MATCH(LARGE(FILTER(Y$4:Y1350,Y$4:Y1350&lt;"&amp;"1000000000),1),Y$4:Y1350)),INDEX(F$4:F1350,MATCH(LARGE(FILTER(K$4:K1350,K$4:K1350&lt;1000000000),1),K$4:K1350)))),AND(K14&lt;1000000000,COUNTA(C14:C1350)&gt;0,P$3=FALSE),
ROUNDDOWN(INDEX(Y$4:Y1350,MATCH(LARGE(FILTER(W$4:W1350,W$4:W1350&lt;=I14),1),W$4:W1350))+(I14-LA"&amp;"RGE(FILTER(W$4:W1350,W$4:W1350&lt;=I14),1))*INDEX(T$4:T1350,MATCH(LARGE(FILTER(W$4:W1350,W$4:W1350&lt;=I14),1),W$4:W1350))-K14),1,
ROUNDDOWN(Y14-INDEX(K$4:K1350,MATCH(LARGE(FILTER(I$4:I1350,I$4:I1350&lt;=W14),1),I$4:I1350))-(W14-LARGE(FILTER(I$4:I1350,I$4:I1350&lt;=W"&amp;"14),1))*INDEX(F$4:F1350,MATCH(LARGE(FILTER(I$4:I1350,I$4:I1350&lt;=W14),1),I$4:I1350))))"),0.0)</f>
        <v>0</v>
      </c>
      <c r="N14" s="60">
        <f t="shared" si="8"/>
        <v>-0.00012</v>
      </c>
      <c r="O14" s="61">
        <f t="shared" si="9"/>
        <v>0</v>
      </c>
      <c r="P14" s="56">
        <f t="shared" si="10"/>
        <v>4</v>
      </c>
      <c r="Q14" s="67" t="s">
        <v>3</v>
      </c>
      <c r="R14" s="10" t="b">
        <f>IFERROR(__xludf.DUMMYFUNCTION("IF(COUNTA(Q14:Q1350)=0,"""",IF(ISBLANK(Q14),FALSE,IF(NOT(COUNTIF($AA$24:$AA$34,SUBSTITUTE(Q14,""Sell_"",""""))),1,IF(REGEXMATCH(Q14,""Sell_""),IF(COUNTIF(Q$4:Q14,SUBSTITUTE(Q14,""Sell_"",""""))-COUNTIF(Q$4:Q13,Q14)&lt;1,1),FALSE))))"),FALSE)</f>
        <v>0</v>
      </c>
      <c r="S14" s="59">
        <f t="array" ref="S14">IF(COUNTA(Q14:Q1350)=0,"",SUM((COUNTIF(Q$4:Q14,Upgrades!$B$3:$B$13)-COUNTIF(Q$4:Q14,"Sell_"&amp;Upgrades!$B$3:$B$13))*Upgrades!$D$3:$D$13))</f>
        <v>20.9</v>
      </c>
      <c r="T14" s="66">
        <f>IFERROR(__xludf.DUMMYFUNCTION("IF(COUNTA(Q14:Q1350)=0,"""",IF(REGEXMATCH(INDEX(FILTER(Q$4:Q14,Q$4:Q14&lt;&gt;""""),ROWS(FILTER(Q$4:Q14,Q$4:Q14&lt;&gt;""""))),""^Sell_""),INDEX(FILTER(T$4:T13,Q$4:Q13&lt;&gt;""""),ROWS(FILTER(Q$4:Q13,Q$4:Q13&lt;&gt;""""))),$AD$5+S14))"),220.9)</f>
        <v>220.9</v>
      </c>
      <c r="U14" s="10">
        <f>IFERROR(__xludf.DUMMYFUNCTION("IF(COUNTA(Q14:Q1350)=0,"""",IF(Q14="""",0,IF(REGEXMATCH(Q14,""^Sell_""),-ROUNDDOWN(ROUNDUP(INDEX(Upgrades!$C$3:$C$13,MATCH(SUBSTITUTE(Q14,""Sell_"",""""),Upgrades!$B$3:$B$13,0))*1.15^(COUNTIF(Q$4:Q13,SUBSTITUTE(Q14,""Sell_"",""""))-COUNTIF(Q$4:Q13,""Sell_"&amp;"""&amp;SUBSTITUTE(Q14,""Sell_"",""""))))/2),ROUNDUP(INDEX(Upgrades!$C$3:$C$13,MATCH(Q14,Upgrades!$B$3:$B$13,0))*1.15^(COUNTIF(Q$4:Q13,Q14)-COUNTIF(Q$4:Q13,""Sell_""&amp;Q14))))))"),23.0)</f>
        <v>23</v>
      </c>
      <c r="V14" s="10">
        <f t="shared" si="11"/>
        <v>23</v>
      </c>
      <c r="W14" s="68">
        <f t="shared" si="12"/>
        <v>16.93798308</v>
      </c>
      <c r="X14" s="59" t="str">
        <f t="shared" si="13"/>
        <v>16s</v>
      </c>
      <c r="Y14" s="69">
        <f t="shared" si="14"/>
        <v>3549</v>
      </c>
      <c r="Z14" s="11"/>
      <c r="AA14" s="80" t="s">
        <v>48</v>
      </c>
      <c r="AB14" s="81"/>
      <c r="AC14" s="81"/>
      <c r="AD14" s="81"/>
      <c r="AE14" s="81"/>
      <c r="AF14" s="82"/>
    </row>
    <row r="15">
      <c r="A15" s="8"/>
      <c r="B15" s="56">
        <f t="shared" si="2"/>
        <v>5</v>
      </c>
      <c r="C15" s="57" t="s">
        <v>5</v>
      </c>
      <c r="D15" s="10" t="b">
        <f>IFERROR(__xludf.DUMMYFUNCTION("IF(COUNTA(C15:C1350)=0,"""",IF(ISBLANK(C15),FALSE,IF(NOT(COUNTIF($AA$24:$AA$34,SUBSTITUTE(C15,""Sell_"",""""))),1,IF(REGEXMATCH(C15,""Sell_""),IF(COUNTIF(C$4:C15,SUBSTITUTE(C15,""Sell_"",""""))-COUNTIF(C$4:C14,C15)&lt;1,1),FALSE))))"),FALSE)</f>
        <v>0</v>
      </c>
      <c r="E15" s="59">
        <f t="array" ref="E15">IF(COUNTA(C15:C1350)=0,"",SUM((COUNTIF(C$4:C15,Upgrades!$B$3:$B$13)-COUNTIF(C$4:C15,"Sell_"&amp;Upgrades!$B$3:$B$13))*Upgrades!$D$3:$D$13))</f>
        <v>21.4</v>
      </c>
      <c r="F15" s="66">
        <f>IFERROR(__xludf.DUMMYFUNCTION("IF(COUNTA(C15:C1350)=0,"""",IF(REGEXMATCH(INDEX(FILTER(C$4:C15,C$4:C15&lt;&gt;""""),ROWS(FILTER(C$4:C15,C$4:C15&lt;&gt;""""))),""^Sell_""),INDEX(FILTER(F$4:F14,C$4:C14&lt;&gt;""""),ROWS(FILTER(C$4:C14,C$4:C14&lt;&gt;""""))),$AC$5+E15))"),221.4)</f>
        <v>221.4</v>
      </c>
      <c r="G15" s="10">
        <f>IFERROR(__xludf.DUMMYFUNCTION("IF(COUNTA(C15:C1350)=0,"""",IF(C15="""",0,IF(REGEXMATCH(C15,""^Sell_""),-ROUNDDOWN(ROUNDUP(INDEX(Upgrades!$C$3:$C$13,MATCH(SUBSTITUTE(C15,""Sell_"",""""),Upgrades!$B$3:$B$13,0))*1.15^(COUNTIF(C$4:C14,SUBSTITUTE(C15,""Sell_"",""""))-COUNTIF(C$4:C14,""Sell_"&amp;"""&amp;SUBSTITUTE(C15,""Sell_"",""""))))/2),ROUNDUP(INDEX(Upgrades!$C$3:$C$13,MATCH(C15,Upgrades!$B$3:$B$13,0))*1.15^(COUNTIF(C$4:C14,C15)-COUNTIF(C$4:C14,""Sell_""&amp;C15))))))"),875.0)</f>
        <v>875</v>
      </c>
      <c r="H15" s="10">
        <f t="shared" si="3"/>
        <v>875</v>
      </c>
      <c r="I15" s="68">
        <f t="shared" si="4"/>
        <v>17.45933073</v>
      </c>
      <c r="J15" s="59" t="str">
        <f t="shared" si="5"/>
        <v>17s</v>
      </c>
      <c r="K15" s="69">
        <f t="shared" si="6"/>
        <v>3664</v>
      </c>
      <c r="L15" s="60">
        <f t="shared" si="7"/>
        <v>-0.00075</v>
      </c>
      <c r="M15" s="61">
        <f>IFERROR(__xludf.DUMMYFUNCTION("IFS(AND(COUNTA(C15:C1350)=0,COUNTA(Q15:Q1350)=0),"""",OR(AND(K15&gt;=1000000000,OR(Y15&gt;=1000000000,COUNTA(Q15:Q1350)=0)),OR(Y15&gt;=1000000000,AND(COUNTA(C15:C1350)=0,P$3=TRUE))),
ROUNDDOWN((AB$1-AC$1)*MAX(INDEX(T$4:T1350,MATCH(LARGE(FILTER(Y$4:Y1350,Y$4:Y1350&lt;"&amp;"1000000000),1),Y$4:Y1350)),INDEX(F$4:F1350,MATCH(LARGE(FILTER(K$4:K1350,K$4:K1350&lt;1000000000),1),K$4:K1350)))),AND(K15&lt;1000000000,COUNTA(C15:C1350)&gt;0,P$3=FALSE),
ROUNDDOWN(INDEX(Y$4:Y1350,MATCH(LARGE(FILTER(W$4:W1350,W$4:W1350&lt;=I15),1),W$4:W1350))+(I15-LA"&amp;"RGE(FILTER(W$4:W1350,W$4:W1350&lt;=I15),1))*INDEX(T$4:T1350,MATCH(LARGE(FILTER(W$4:W1350,W$4:W1350&lt;=I15),1),W$4:W1350))-K15),1,
ROUNDDOWN(Y15-INDEX(K$4:K1350,MATCH(LARGE(FILTER(I$4:I1350,I$4:I1350&lt;=W15),1),I$4:I1350))-(W15-LARGE(FILTER(I$4:I1350,I$4:I1350&lt;=W"&amp;"15),1))*INDEX(F$4:F1350,MATCH(LARGE(FILTER(I$4:I1350,I$4:I1350&lt;=W15),1),I$4:I1350))))"),0.0)</f>
        <v>0</v>
      </c>
      <c r="N15" s="60">
        <f t="shared" si="8"/>
        <v>-0.00075</v>
      </c>
      <c r="O15" s="61">
        <f t="shared" si="9"/>
        <v>0</v>
      </c>
      <c r="P15" s="56">
        <f t="shared" si="10"/>
        <v>2</v>
      </c>
      <c r="Q15" s="67" t="s">
        <v>4</v>
      </c>
      <c r="R15" s="10" t="b">
        <f>IFERROR(__xludf.DUMMYFUNCTION("IF(COUNTA(Q15:Q1350)=0,"""",IF(ISBLANK(Q15),FALSE,IF(NOT(COUNTIF($AA$24:$AA$34,SUBSTITUTE(Q15,""Sell_"",""""))),1,IF(REGEXMATCH(Q15,""Sell_""),IF(COUNTIF(Q$4:Q15,SUBSTITUTE(Q15,""Sell_"",""""))-COUNTIF(Q$4:Q14,Q15)&lt;1,1),FALSE))))"),FALSE)</f>
        <v>0</v>
      </c>
      <c r="S15" s="59">
        <f t="array" ref="S15">IF(COUNTA(Q15:Q1350)=0,"",SUM((COUNTIF(Q$4:Q15,Upgrades!$B$3:$B$13)-COUNTIF(Q$4:Q15,"Sell_"&amp;Upgrades!$B$3:$B$13))*Upgrades!$D$3:$D$13))</f>
        <v>21.4</v>
      </c>
      <c r="T15" s="66">
        <f>IFERROR(__xludf.DUMMYFUNCTION("IF(COUNTA(Q15:Q1350)=0,"""",IF(REGEXMATCH(INDEX(FILTER(Q$4:Q15,Q$4:Q15&lt;&gt;""""),ROWS(FILTER(Q$4:Q15,Q$4:Q15&lt;&gt;""""))),""^Sell_""),INDEX(FILTER(T$4:T14,Q$4:Q14&lt;&gt;""""),ROWS(FILTER(Q$4:Q14,Q$4:Q14&lt;&gt;""""))),$AD$5+S15))"),221.4)</f>
        <v>221.4</v>
      </c>
      <c r="U15" s="10">
        <f>IFERROR(__xludf.DUMMYFUNCTION("IF(COUNTA(Q15:Q1350)=0,"""",IF(Q15="""",0,IF(REGEXMATCH(Q15,""^Sell_""),-ROUNDDOWN(ROUNDUP(INDEX(Upgrades!$C$3:$C$13,MATCH(SUBSTITUTE(Q15,""Sell_"",""""),Upgrades!$B$3:$B$13,0))*1.15^(COUNTIF(Q$4:Q14,SUBSTITUTE(Q15,""Sell_"",""""))-COUNTIF(Q$4:Q14,""Sell_"&amp;"""&amp;SUBSTITUTE(Q15,""Sell_"",""""))))/2),ROUNDUP(INDEX(Upgrades!$C$3:$C$13,MATCH(Q15,Upgrades!$B$3:$B$13,0))*1.15^(COUNTIF(Q$4:Q14,Q15)-COUNTIF(Q$4:Q14,""Sell_""&amp;Q15))))))"),115.0)</f>
        <v>115</v>
      </c>
      <c r="V15" s="10">
        <f t="shared" si="11"/>
        <v>115</v>
      </c>
      <c r="W15" s="68">
        <f t="shared" si="12"/>
        <v>17.45858063</v>
      </c>
      <c r="X15" s="59" t="str">
        <f t="shared" si="13"/>
        <v>17s</v>
      </c>
      <c r="Y15" s="69">
        <f t="shared" si="14"/>
        <v>3664</v>
      </c>
      <c r="Z15" s="11"/>
      <c r="AA15" s="83" t="s">
        <v>49</v>
      </c>
      <c r="AB15" s="84"/>
      <c r="AC15" s="84"/>
      <c r="AD15" s="84"/>
      <c r="AE15" s="84"/>
      <c r="AF15" s="85"/>
    </row>
    <row r="16">
      <c r="A16" s="8"/>
      <c r="B16" s="56">
        <f t="shared" si="2"/>
        <v>5</v>
      </c>
      <c r="C16" s="57" t="s">
        <v>3</v>
      </c>
      <c r="D16" s="10" t="b">
        <f>IFERROR(__xludf.DUMMYFUNCTION("IF(COUNTA(C16:C1350)=0,"""",IF(ISBLANK(C16),FALSE,IF(NOT(COUNTIF($AA$24:$AA$34,SUBSTITUTE(C16,""Sell_"",""""))),1,IF(REGEXMATCH(C16,""Sell_""),IF(COUNTIF(C$4:C16,SUBSTITUTE(C16,""Sell_"",""""))-COUNTIF(C$4:C15,C16)&lt;1,1),FALSE))))"),FALSE)</f>
        <v>0</v>
      </c>
      <c r="E16" s="59">
        <f t="array" ref="E16">IF(COUNTA(C16:C1350)=0,"",SUM((COUNTIF(C$4:C16,Upgrades!$B$3:$B$13)-COUNTIF(C$4:C16,"Sell_"&amp;Upgrades!$B$3:$B$13))*Upgrades!$D$3:$D$13))</f>
        <v>21.5</v>
      </c>
      <c r="F16" s="66">
        <f>IFERROR(__xludf.DUMMYFUNCTION("IF(COUNTA(C16:C1350)=0,"""",IF(REGEXMATCH(INDEX(FILTER(C$4:C16,C$4:C16&lt;&gt;""""),ROWS(FILTER(C$4:C16,C$4:C16&lt;&gt;""""))),""^Sell_""),INDEX(FILTER(F$4:F15,C$4:C15&lt;&gt;""""),ROWS(FILTER(C$4:C15,C$4:C15&lt;&gt;""""))),$AC$5+E16))"),221.5)</f>
        <v>221.5</v>
      </c>
      <c r="G16" s="10">
        <f>IFERROR(__xludf.DUMMYFUNCTION("IF(COUNTA(C16:C1350)=0,"""",IF(C16="""",0,IF(REGEXMATCH(C16,""^Sell_""),-ROUNDDOWN(ROUNDUP(INDEX(Upgrades!$C$3:$C$13,MATCH(SUBSTITUTE(C16,""Sell_"",""""),Upgrades!$B$3:$B$13,0))*1.15^(COUNTIF(C$4:C15,SUBSTITUTE(C16,""Sell_"",""""))-COUNTIF(C$4:C15,""Sell_"&amp;"""&amp;SUBSTITUTE(C16,""Sell_"",""""))))/2),ROUNDUP(INDEX(Upgrades!$C$3:$C$13,MATCH(C16,Upgrades!$B$3:$B$13,0))*1.15^(COUNTIF(C$4:C15,C16)-COUNTIF(C$4:C15,""Sell_""&amp;C16))))))"),27.0)</f>
        <v>27</v>
      </c>
      <c r="H16" s="10">
        <f t="shared" si="3"/>
        <v>27</v>
      </c>
      <c r="I16" s="68">
        <f t="shared" si="4"/>
        <v>17.58128195</v>
      </c>
      <c r="J16" s="59" t="str">
        <f t="shared" si="5"/>
        <v>17s</v>
      </c>
      <c r="K16" s="69">
        <f t="shared" si="6"/>
        <v>3691</v>
      </c>
      <c r="L16" s="60">
        <f t="shared" si="7"/>
        <v>-0.00075</v>
      </c>
      <c r="M16" s="61">
        <f>IFERROR(__xludf.DUMMYFUNCTION("IFS(AND(COUNTA(C16:C1350)=0,COUNTA(Q16:Q1350)=0),"""",OR(AND(K16&gt;=1000000000,OR(Y16&gt;=1000000000,COUNTA(Q16:Q1350)=0)),OR(Y16&gt;=1000000000,AND(COUNTA(C16:C1350)=0,P$3=TRUE))),
ROUNDDOWN((AB$1-AC$1)*MAX(INDEX(T$4:T1350,MATCH(LARGE(FILTER(Y$4:Y1350,Y$4:Y1350&lt;"&amp;"1000000000),1),Y$4:Y1350)),INDEX(F$4:F1350,MATCH(LARGE(FILTER(K$4:K1350,K$4:K1350&lt;1000000000),1),K$4:K1350)))),AND(K16&lt;1000000000,COUNTA(C16:C1350)&gt;0,P$3=FALSE),
ROUNDDOWN(INDEX(Y$4:Y1350,MATCH(LARGE(FILTER(W$4:W1350,W$4:W1350&lt;=I16),1),W$4:W1350))+(I16-LA"&amp;"RGE(FILTER(W$4:W1350,W$4:W1350&lt;=I16),1))*INDEX(T$4:T1350,MATCH(LARGE(FILTER(W$4:W1350,W$4:W1350&lt;=I16),1),W$4:W1350))-K16),1,
ROUNDDOWN(Y16-INDEX(K$4:K1350,MATCH(LARGE(FILTER(I$4:I1350,I$4:I1350&lt;=W16),1),I$4:I1350))-(W16-LARGE(FILTER(I$4:I1350,I$4:I1350&lt;=W"&amp;"16),1))*INDEX(F$4:F1350,MATCH(LARGE(FILTER(I$4:I1350,I$4:I1350&lt;=W16),1),I$4:I1350))))"),0.0)</f>
        <v>0</v>
      </c>
      <c r="N16" s="60">
        <f t="shared" si="8"/>
        <v>-0.00075</v>
      </c>
      <c r="O16" s="61">
        <f t="shared" si="9"/>
        <v>0</v>
      </c>
      <c r="P16" s="56">
        <f t="shared" si="10"/>
        <v>6</v>
      </c>
      <c r="Q16" s="67" t="s">
        <v>5</v>
      </c>
      <c r="R16" s="10" t="b">
        <f>IFERROR(__xludf.DUMMYFUNCTION("IF(COUNTA(Q16:Q1350)=0,"""",IF(ISBLANK(Q16),FALSE,IF(NOT(COUNTIF($AA$24:$AA$34,SUBSTITUTE(Q16,""Sell_"",""""))),1,IF(REGEXMATCH(Q16,""Sell_""),IF(COUNTIF(Q$4:Q16,SUBSTITUTE(Q16,""Sell_"",""""))-COUNTIF(Q$4:Q15,Q16)&lt;1,1),FALSE))))"),FALSE)</f>
        <v>0</v>
      </c>
      <c r="S16" s="59">
        <f t="array" ref="S16">IF(COUNTA(Q16:Q1350)=0,"",SUM((COUNTIF(Q$4:Q16,Upgrades!$B$3:$B$13)-COUNTIF(Q$4:Q16,"Sell_"&amp;Upgrades!$B$3:$B$13))*Upgrades!$D$3:$D$13))</f>
        <v>25.4</v>
      </c>
      <c r="T16" s="66">
        <f>IFERROR(__xludf.DUMMYFUNCTION("IF(COUNTA(Q16:Q1350)=0,"""",IF(REGEXMATCH(INDEX(FILTER(Q$4:Q16,Q$4:Q16&lt;&gt;""""),ROWS(FILTER(Q$4:Q16,Q$4:Q16&lt;&gt;""""))),""^Sell_""),INDEX(FILTER(T$4:T15,Q$4:Q15&lt;&gt;""""),ROWS(FILTER(Q$4:Q15,Q$4:Q15&lt;&gt;""""))),$AD$5+S16))"),225.4)</f>
        <v>225.4</v>
      </c>
      <c r="U16" s="10">
        <f>IFERROR(__xludf.DUMMYFUNCTION("IF(COUNTA(Q16:Q1350)=0,"""",IF(Q16="""",0,IF(REGEXMATCH(Q16,""^Sell_""),-ROUNDDOWN(ROUNDUP(INDEX(Upgrades!$C$3:$C$13,MATCH(SUBSTITUTE(Q16,""Sell_"",""""),Upgrades!$B$3:$B$13,0))*1.15^(COUNTIF(Q$4:Q15,SUBSTITUTE(Q16,""Sell_"",""""))-COUNTIF(Q$4:Q15,""Sell_"&amp;"""&amp;SUBSTITUTE(Q16,""Sell_"",""""))))/2),ROUNDUP(INDEX(Upgrades!$C$3:$C$13,MATCH(Q16,Upgrades!$B$3:$B$13,0))*1.15^(COUNTIF(Q$4:Q15,Q16)-COUNTIF(Q$4:Q15,""Sell_""&amp;Q16))))))"),1006.0)</f>
        <v>1006</v>
      </c>
      <c r="V16" s="10">
        <f t="shared" si="11"/>
        <v>1006</v>
      </c>
      <c r="W16" s="68">
        <f t="shared" si="12"/>
        <v>22.00239274</v>
      </c>
      <c r="X16" s="59" t="str">
        <f t="shared" si="13"/>
        <v>22s</v>
      </c>
      <c r="Y16" s="69">
        <f t="shared" si="14"/>
        <v>4670</v>
      </c>
      <c r="Z16" s="11"/>
      <c r="AA16" s="86" t="s">
        <v>50</v>
      </c>
      <c r="AB16" s="87"/>
      <c r="AC16" s="87"/>
      <c r="AD16" s="87"/>
      <c r="AE16" s="87"/>
      <c r="AF16" s="88"/>
    </row>
    <row r="17">
      <c r="A17" s="8"/>
      <c r="B17" s="56">
        <f t="shared" si="2"/>
        <v>3</v>
      </c>
      <c r="C17" s="57" t="s">
        <v>4</v>
      </c>
      <c r="D17" s="10" t="b">
        <f>IFERROR(__xludf.DUMMYFUNCTION("IF(COUNTA(C17:C1350)=0,"""",IF(ISBLANK(C17),FALSE,IF(NOT(COUNTIF($AA$24:$AA$34,SUBSTITUTE(C17,""Sell_"",""""))),1,IF(REGEXMATCH(C17,""Sell_""),IF(COUNTIF(C$4:C17,SUBSTITUTE(C17,""Sell_"",""""))-COUNTIF(C$4:C16,C17)&lt;1,1),FALSE))))"),FALSE)</f>
        <v>0</v>
      </c>
      <c r="E17" s="59">
        <f t="array" ref="E17">IF(COUNTA(C17:C1350)=0,"",SUM((COUNTIF(C$4:C17,Upgrades!$B$3:$B$13)-COUNTIF(C$4:C17,"Sell_"&amp;Upgrades!$B$3:$B$13))*Upgrades!$D$3:$D$13))</f>
        <v>22</v>
      </c>
      <c r="F17" s="66">
        <f>IFERROR(__xludf.DUMMYFUNCTION("IF(COUNTA(C17:C1350)=0,"""",IF(REGEXMATCH(INDEX(FILTER(C$4:C17,C$4:C17&lt;&gt;""""),ROWS(FILTER(C$4:C17,C$4:C17&lt;&gt;""""))),""^Sell_""),INDEX(FILTER(F$4:F16,C$4:C16&lt;&gt;""""),ROWS(FILTER(C$4:C16,C$4:C16&lt;&gt;""""))),$AC$5+E17))"),222.0)</f>
        <v>222</v>
      </c>
      <c r="G17" s="10">
        <f>IFERROR(__xludf.DUMMYFUNCTION("IF(COUNTA(C17:C1350)=0,"""",IF(C17="""",0,IF(REGEXMATCH(C17,""^Sell_""),-ROUNDDOWN(ROUNDUP(INDEX(Upgrades!$C$3:$C$13,MATCH(SUBSTITUTE(C17,""Sell_"",""""),Upgrades!$B$3:$B$13,0))*1.15^(COUNTIF(C$4:C16,SUBSTITUTE(C17,""Sell_"",""""))-COUNTIF(C$4:C16,""Sell_"&amp;"""&amp;SUBSTITUTE(C17,""Sell_"",""""))))/2),ROUNDUP(INDEX(Upgrades!$C$3:$C$13,MATCH(C17,Upgrades!$B$3:$B$13,0))*1.15^(COUNTIF(C$4:C16,C17)-COUNTIF(C$4:C16,""Sell_""&amp;C17))))))"),133.0)</f>
        <v>133</v>
      </c>
      <c r="H17" s="10">
        <f t="shared" si="3"/>
        <v>133</v>
      </c>
      <c r="I17" s="68">
        <f t="shared" si="4"/>
        <v>18.18173342</v>
      </c>
      <c r="J17" s="59" t="str">
        <f t="shared" si="5"/>
        <v>18s</v>
      </c>
      <c r="K17" s="69">
        <f t="shared" si="6"/>
        <v>3824</v>
      </c>
      <c r="L17" s="60">
        <f t="shared" si="7"/>
        <v>-0.00047</v>
      </c>
      <c r="M17" s="61">
        <f>IFERROR(__xludf.DUMMYFUNCTION("IFS(AND(COUNTA(C17:C1350)=0,COUNTA(Q17:Q1350)=0),"""",OR(AND(K17&gt;=1000000000,OR(Y17&gt;=1000000000,COUNTA(Q17:Q1350)=0)),OR(Y17&gt;=1000000000,AND(COUNTA(C17:C1350)=0,P$3=TRUE))),
ROUNDDOWN((AB$1-AC$1)*MAX(INDEX(T$4:T1350,MATCH(LARGE(FILTER(Y$4:Y1350,Y$4:Y1350&lt;"&amp;"1000000000),1),Y$4:Y1350)),INDEX(F$4:F1350,MATCH(LARGE(FILTER(K$4:K1350,K$4:K1350&lt;1000000000),1),K$4:K1350)))),AND(K17&lt;1000000000,COUNTA(C17:C1350)&gt;0,P$3=FALSE),
ROUNDDOWN(INDEX(Y$4:Y1350,MATCH(LARGE(FILTER(W$4:W1350,W$4:W1350&lt;=I17),1),W$4:W1350))+(I17-LA"&amp;"RGE(FILTER(W$4:W1350,W$4:W1350&lt;=I17),1))*INDEX(T$4:T1350,MATCH(LARGE(FILTER(W$4:W1350,W$4:W1350&lt;=I17),1),W$4:W1350))-K17),1,
ROUNDDOWN(Y17-INDEX(K$4:K1350,MATCH(LARGE(FILTER(I$4:I1350,I$4:I1350&lt;=W17),1),I$4:I1350))-(W17-LARGE(FILTER(I$4:I1350,I$4:I1350&lt;=W"&amp;"17),1))*INDEX(F$4:F1350,MATCH(LARGE(FILTER(I$4:I1350,I$4:I1350&lt;=W17),1),I$4:I1350))))"),0.0)</f>
        <v>0</v>
      </c>
      <c r="N17" s="60">
        <f t="shared" si="8"/>
        <v>-0.00047</v>
      </c>
      <c r="O17" s="61">
        <f t="shared" si="9"/>
        <v>0</v>
      </c>
      <c r="P17" s="56">
        <f t="shared" si="10"/>
        <v>3</v>
      </c>
      <c r="Q17" s="67" t="s">
        <v>4</v>
      </c>
      <c r="R17" s="10" t="b">
        <f>IFERROR(__xludf.DUMMYFUNCTION("IF(COUNTA(Q17:Q1350)=0,"""",IF(ISBLANK(Q17),FALSE,IF(NOT(COUNTIF($AA$24:$AA$34,SUBSTITUTE(Q17,""Sell_"",""""))),1,IF(REGEXMATCH(Q17,""Sell_""),IF(COUNTIF(Q$4:Q17,SUBSTITUTE(Q17,""Sell_"",""""))-COUNTIF(Q$4:Q16,Q17)&lt;1,1),FALSE))))"),FALSE)</f>
        <v>0</v>
      </c>
      <c r="S17" s="59">
        <f t="array" ref="S17">IF(COUNTA(Q17:Q1350)=0,"",SUM((COUNTIF(Q$4:Q17,Upgrades!$B$3:$B$13)-COUNTIF(Q$4:Q17,"Sell_"&amp;Upgrades!$B$3:$B$13))*Upgrades!$D$3:$D$13))</f>
        <v>25.9</v>
      </c>
      <c r="T17" s="66">
        <f>IFERROR(__xludf.DUMMYFUNCTION("IF(COUNTA(Q17:Q1350)=0,"""",IF(REGEXMATCH(INDEX(FILTER(Q$4:Q17,Q$4:Q17&lt;&gt;""""),ROWS(FILTER(Q$4:Q17,Q$4:Q17&lt;&gt;""""))),""^Sell_""),INDEX(FILTER(T$4:T16,Q$4:Q16&lt;&gt;""""),ROWS(FILTER(Q$4:Q16,Q$4:Q16&lt;&gt;""""))),$AD$5+S17))"),225.9)</f>
        <v>225.9</v>
      </c>
      <c r="U17" s="10">
        <f>IFERROR(__xludf.DUMMYFUNCTION("IF(COUNTA(Q17:Q1350)=0,"""",IF(Q17="""",0,IF(REGEXMATCH(Q17,""^Sell_""),-ROUNDDOWN(ROUNDUP(INDEX(Upgrades!$C$3:$C$13,MATCH(SUBSTITUTE(Q17,""Sell_"",""""),Upgrades!$B$3:$B$13,0))*1.15^(COUNTIF(Q$4:Q16,SUBSTITUTE(Q17,""Sell_"",""""))-COUNTIF(Q$4:Q16,""Sell_"&amp;"""&amp;SUBSTITUTE(Q17,""Sell_"",""""))))/2),ROUNDUP(INDEX(Upgrades!$C$3:$C$13,MATCH(Q17,Upgrades!$B$3:$B$13,0))*1.15^(COUNTIF(Q$4:Q16,Q17)-COUNTIF(Q$4:Q16,""Sell_""&amp;Q17))))))"),133.0)</f>
        <v>133</v>
      </c>
      <c r="V17" s="10">
        <f t="shared" si="11"/>
        <v>133</v>
      </c>
      <c r="W17" s="68">
        <f t="shared" si="12"/>
        <v>22.59245485</v>
      </c>
      <c r="X17" s="59" t="str">
        <f t="shared" si="13"/>
        <v>22s</v>
      </c>
      <c r="Y17" s="69">
        <f t="shared" si="14"/>
        <v>4803</v>
      </c>
      <c r="Z17" s="11"/>
    </row>
    <row r="18">
      <c r="A18" s="8"/>
      <c r="B18" s="56">
        <f t="shared" si="2"/>
        <v>6</v>
      </c>
      <c r="C18" s="57" t="s">
        <v>5</v>
      </c>
      <c r="D18" s="10" t="b">
        <f>IFERROR(__xludf.DUMMYFUNCTION("IF(COUNTA(C18:C1350)=0,"""",IF(ISBLANK(C18),FALSE,IF(NOT(COUNTIF($AA$24:$AA$34,SUBSTITUTE(C18,""Sell_"",""""))),1,IF(REGEXMATCH(C18,""Sell_""),IF(COUNTIF(C$4:C18,SUBSTITUTE(C18,""Sell_"",""""))-COUNTIF(C$4:C17,C18)&lt;1,1),FALSE))))"),FALSE)</f>
        <v>0</v>
      </c>
      <c r="E18" s="59">
        <f t="array" ref="E18">IF(COUNTA(C18:C1350)=0,"",SUM((COUNTIF(C$4:C18,Upgrades!$B$3:$B$13)-COUNTIF(C$4:C18,"Sell_"&amp;Upgrades!$B$3:$B$13))*Upgrades!$D$3:$D$13))</f>
        <v>26</v>
      </c>
      <c r="F18" s="66">
        <f>IFERROR(__xludf.DUMMYFUNCTION("IF(COUNTA(C18:C1350)=0,"""",IF(REGEXMATCH(INDEX(FILTER(C$4:C18,C$4:C18&lt;&gt;""""),ROWS(FILTER(C$4:C18,C$4:C18&lt;&gt;""""))),""^Sell_""),INDEX(FILTER(F$4:F17,C$4:C17&lt;&gt;""""),ROWS(FILTER(C$4:C17,C$4:C17&lt;&gt;""""))),$AC$5+E18))"),226.0)</f>
        <v>226</v>
      </c>
      <c r="G18" s="10">
        <f>IFERROR(__xludf.DUMMYFUNCTION("IF(COUNTA(C18:C1350)=0,"""",IF(C18="""",0,IF(REGEXMATCH(C18,""^Sell_""),-ROUNDDOWN(ROUNDUP(INDEX(Upgrades!$C$3:$C$13,MATCH(SUBSTITUTE(C18,""Sell_"",""""),Upgrades!$B$3:$B$13,0))*1.15^(COUNTIF(C$4:C17,SUBSTITUTE(C18,""Sell_"",""""))-COUNTIF(C$4:C17,""Sell_"&amp;"""&amp;SUBSTITUTE(C18,""Sell_"",""""))))/2),ROUNDUP(INDEX(Upgrades!$C$3:$C$13,MATCH(C18,Upgrades!$B$3:$B$13,0))*1.15^(COUNTIF(C$4:C17,C18)-COUNTIF(C$4:C17,""Sell_""&amp;C18))))))"),1006.0)</f>
        <v>1006</v>
      </c>
      <c r="H18" s="10">
        <f t="shared" si="3"/>
        <v>1006</v>
      </c>
      <c r="I18" s="68">
        <f t="shared" si="4"/>
        <v>22.71326495</v>
      </c>
      <c r="J18" s="59" t="str">
        <f t="shared" si="5"/>
        <v>22s</v>
      </c>
      <c r="K18" s="69">
        <f t="shared" si="6"/>
        <v>4830</v>
      </c>
      <c r="L18" s="60">
        <f t="shared" si="7"/>
        <v>-0.00128</v>
      </c>
      <c r="M18" s="61">
        <f>IFERROR(__xludf.DUMMYFUNCTION("IFS(AND(COUNTA(C18:C1350)=0,COUNTA(Q18:Q1350)=0),"""",OR(AND(K18&gt;=1000000000,OR(Y18&gt;=1000000000,COUNTA(Q18:Q1350)=0)),OR(Y18&gt;=1000000000,AND(COUNTA(C18:C1350)=0,P$3=TRUE))),
ROUNDDOWN((AB$1-AC$1)*MAX(INDEX(T$4:T1350,MATCH(LARGE(FILTER(Y$4:Y1350,Y$4:Y1350&lt;"&amp;"1000000000),1),Y$4:Y1350)),INDEX(F$4:F1350,MATCH(LARGE(FILTER(K$4:K1350,K$4:K1350&lt;1000000000),1),K$4:K1350)))),AND(K18&lt;1000000000,COUNTA(C18:C1350)&gt;0,P$3=FALSE),
ROUNDDOWN(INDEX(Y$4:Y1350,MATCH(LARGE(FILTER(W$4:W1350,W$4:W1350&lt;=I18),1),W$4:W1350))+(I18-LA"&amp;"RGE(FILTER(W$4:W1350,W$4:W1350&lt;=I18),1))*INDEX(T$4:T1350,MATCH(LARGE(FILTER(W$4:W1350,W$4:W1350&lt;=I18),1),W$4:W1350))-K18),1,
ROUNDDOWN(Y18-INDEX(K$4:K1350,MATCH(LARGE(FILTER(I$4:I1350,I$4:I1350&lt;=W18),1),I$4:I1350))-(W18-LARGE(FILTER(I$4:I1350,I$4:I1350&lt;=W"&amp;"18),1))*INDEX(F$4:F1350,MATCH(LARGE(FILTER(I$4:I1350,I$4:I1350&lt;=W18),1),I$4:I1350))))"),0.0)</f>
        <v>0</v>
      </c>
      <c r="N18" s="60">
        <f t="shared" si="8"/>
        <v>-0.00128</v>
      </c>
      <c r="O18" s="61">
        <f t="shared" si="9"/>
        <v>0</v>
      </c>
      <c r="P18" s="56">
        <f t="shared" si="10"/>
        <v>5</v>
      </c>
      <c r="Q18" s="67" t="s">
        <v>3</v>
      </c>
      <c r="R18" s="10" t="b">
        <f>IFERROR(__xludf.DUMMYFUNCTION("IF(COUNTA(Q18:Q1350)=0,"""",IF(ISBLANK(Q18),FALSE,IF(NOT(COUNTIF($AA$24:$AA$34,SUBSTITUTE(Q18,""Sell_"",""""))),1,IF(REGEXMATCH(Q18,""Sell_""),IF(COUNTIF(Q$4:Q18,SUBSTITUTE(Q18,""Sell_"",""""))-COUNTIF(Q$4:Q17,Q18)&lt;1,1),FALSE))))"),FALSE)</f>
        <v>0</v>
      </c>
      <c r="S18" s="59">
        <f t="array" ref="S18">IF(COUNTA(Q18:Q1350)=0,"",SUM((COUNTIF(Q$4:Q18,Upgrades!$B$3:$B$13)-COUNTIF(Q$4:Q18,"Sell_"&amp;Upgrades!$B$3:$B$13))*Upgrades!$D$3:$D$13))</f>
        <v>26</v>
      </c>
      <c r="T18" s="66">
        <f>IFERROR(__xludf.DUMMYFUNCTION("IF(COUNTA(Q18:Q1350)=0,"""",IF(REGEXMATCH(INDEX(FILTER(Q$4:Q18,Q$4:Q18&lt;&gt;""""),ROWS(FILTER(Q$4:Q18,Q$4:Q18&lt;&gt;""""))),""^Sell_""),INDEX(FILTER(T$4:T17,Q$4:Q17&lt;&gt;""""),ROWS(FILTER(Q$4:Q17,Q$4:Q17&lt;&gt;""""))),$AD$5+S18))"),226.0)</f>
        <v>226</v>
      </c>
      <c r="U18" s="10">
        <f>IFERROR(__xludf.DUMMYFUNCTION("IF(COUNTA(Q18:Q1350)=0,"""",IF(Q18="""",0,IF(REGEXMATCH(Q18,""^Sell_""),-ROUNDDOWN(ROUNDUP(INDEX(Upgrades!$C$3:$C$13,MATCH(SUBSTITUTE(Q18,""Sell_"",""""),Upgrades!$B$3:$B$13,0))*1.15^(COUNTIF(Q$4:Q17,SUBSTITUTE(Q18,""Sell_"",""""))-COUNTIF(Q$4:Q17,""Sell_"&amp;"""&amp;SUBSTITUTE(Q18,""Sell_"",""""))))/2),ROUNDUP(INDEX(Upgrades!$C$3:$C$13,MATCH(Q18,Upgrades!$B$3:$B$13,0))*1.15^(COUNTIF(Q$4:Q17,Q18)-COUNTIF(Q$4:Q17,""Sell_""&amp;Q18))))))"),27.0)</f>
        <v>27</v>
      </c>
      <c r="V18" s="10">
        <f t="shared" si="11"/>
        <v>27</v>
      </c>
      <c r="W18" s="68">
        <f t="shared" si="12"/>
        <v>22.71197676</v>
      </c>
      <c r="X18" s="59" t="str">
        <f t="shared" si="13"/>
        <v>22s</v>
      </c>
      <c r="Y18" s="69">
        <f t="shared" si="14"/>
        <v>4830</v>
      </c>
      <c r="Z18" s="11"/>
      <c r="AA18" s="89" t="s">
        <v>51</v>
      </c>
      <c r="AB18" s="90"/>
      <c r="AC18" s="90"/>
      <c r="AD18" s="90"/>
      <c r="AE18" s="90"/>
      <c r="AF18" s="91"/>
    </row>
    <row r="19">
      <c r="A19" s="8"/>
      <c r="B19" s="56">
        <f t="shared" si="2"/>
        <v>4</v>
      </c>
      <c r="C19" s="57" t="s">
        <v>4</v>
      </c>
      <c r="D19" s="10" t="b">
        <f>IFERROR(__xludf.DUMMYFUNCTION("IF(COUNTA(C19:C1350)=0,"""",IF(ISBLANK(C19),FALSE,IF(NOT(COUNTIF($AA$24:$AA$34,SUBSTITUTE(C19,""Sell_"",""""))),1,IF(REGEXMATCH(C19,""Sell_""),IF(COUNTIF(C$4:C19,SUBSTITUTE(C19,""Sell_"",""""))-COUNTIF(C$4:C18,C19)&lt;1,1),FALSE))))"),FALSE)</f>
        <v>0</v>
      </c>
      <c r="E19" s="59">
        <f t="array" ref="E19">IF(COUNTA(C19:C1350)=0,"",SUM((COUNTIF(C$4:C19,Upgrades!$B$3:$B$13)-COUNTIF(C$4:C19,"Sell_"&amp;Upgrades!$B$3:$B$13))*Upgrades!$D$3:$D$13))</f>
        <v>26.5</v>
      </c>
      <c r="F19" s="66">
        <f>IFERROR(__xludf.DUMMYFUNCTION("IF(COUNTA(C19:C1350)=0,"""",IF(REGEXMATCH(INDEX(FILTER(C$4:C19,C$4:C19&lt;&gt;""""),ROWS(FILTER(C$4:C19,C$4:C19&lt;&gt;""""))),""^Sell_""),INDEX(FILTER(F$4:F18,C$4:C18&lt;&gt;""""),ROWS(FILTER(C$4:C18,C$4:C18&lt;&gt;""""))),$AC$5+E19))"),226.5)</f>
        <v>226.5</v>
      </c>
      <c r="G19" s="10">
        <f>IFERROR(__xludf.DUMMYFUNCTION("IF(COUNTA(C19:C1350)=0,"""",IF(C19="""",0,IF(REGEXMATCH(C19,""^Sell_""),-ROUNDDOWN(ROUNDUP(INDEX(Upgrades!$C$3:$C$13,MATCH(SUBSTITUTE(C19,""Sell_"",""""),Upgrades!$B$3:$B$13,0))*1.15^(COUNTIF(C$4:C18,SUBSTITUTE(C19,""Sell_"",""""))-COUNTIF(C$4:C18,""Sell_"&amp;"""&amp;SUBSTITUTE(C19,""Sell_"",""""))))/2),ROUNDUP(INDEX(Upgrades!$C$3:$C$13,MATCH(C19,Upgrades!$B$3:$B$13,0))*1.15^(COUNTIF(C$4:C18,C19)-COUNTIF(C$4:C18,""Sell_""&amp;C19))))))"),153.0)</f>
        <v>153</v>
      </c>
      <c r="H19" s="10">
        <f t="shared" si="3"/>
        <v>153</v>
      </c>
      <c r="I19" s="68">
        <f t="shared" si="4"/>
        <v>23.3902561</v>
      </c>
      <c r="J19" s="59" t="str">
        <f t="shared" si="5"/>
        <v>23s</v>
      </c>
      <c r="K19" s="69">
        <f t="shared" si="6"/>
        <v>4983</v>
      </c>
      <c r="L19" s="60">
        <f t="shared" si="7"/>
        <v>-0.00128</v>
      </c>
      <c r="M19" s="61">
        <f>IFERROR(__xludf.DUMMYFUNCTION("IFS(AND(COUNTA(C19:C1350)=0,COUNTA(Q19:Q1350)=0),"""",OR(AND(K19&gt;=1000000000,OR(Y19&gt;=1000000000,COUNTA(Q19:Q1350)=0)),OR(Y19&gt;=1000000000,AND(COUNTA(C19:C1350)=0,P$3=TRUE))),
ROUNDDOWN((AB$1-AC$1)*MAX(INDEX(T$4:T1350,MATCH(LARGE(FILTER(Y$4:Y1350,Y$4:Y1350&lt;"&amp;"1000000000),1),Y$4:Y1350)),INDEX(F$4:F1350,MATCH(LARGE(FILTER(K$4:K1350,K$4:K1350&lt;1000000000),1),K$4:K1350)))),AND(K19&lt;1000000000,COUNTA(C19:C1350)&gt;0,P$3=FALSE),
ROUNDDOWN(INDEX(Y$4:Y1350,MATCH(LARGE(FILTER(W$4:W1350,W$4:W1350&lt;=I19),1),W$4:W1350))+(I19-LA"&amp;"RGE(FILTER(W$4:W1350,W$4:W1350&lt;=I19),1))*INDEX(T$4:T1350,MATCH(LARGE(FILTER(W$4:W1350,W$4:W1350&lt;=I19),1),W$4:W1350))-K19),1,
ROUNDDOWN(Y19-INDEX(K$4:K1350,MATCH(LARGE(FILTER(I$4:I1350,I$4:I1350&lt;=W19),1),I$4:I1350))-(W19-LARGE(FILTER(I$4:I1350,I$4:I1350&lt;=W"&amp;"19),1))*INDEX(F$4:F1350,MATCH(LARGE(FILTER(I$4:I1350,I$4:I1350&lt;=W19),1),I$4:I1350))))"),0.0)</f>
        <v>0</v>
      </c>
      <c r="N19" s="60">
        <f t="shared" si="8"/>
        <v>-0.00128</v>
      </c>
      <c r="O19" s="61">
        <f t="shared" si="9"/>
        <v>0</v>
      </c>
      <c r="P19" s="56">
        <f t="shared" si="10"/>
        <v>1</v>
      </c>
      <c r="Q19" s="67" t="s">
        <v>7</v>
      </c>
      <c r="R19" s="10" t="b">
        <f>IFERROR(__xludf.DUMMYFUNCTION("IF(COUNTA(Q19:Q1350)=0,"""",IF(ISBLANK(Q19),FALSE,IF(NOT(COUNTIF($AA$24:$AA$34,SUBSTITUTE(Q19,""Sell_"",""""))),1,IF(REGEXMATCH(Q19,""Sell_""),IF(COUNTIF(Q$4:Q19,SUBSTITUTE(Q19,""Sell_"",""""))-COUNTIF(Q$4:Q18,Q19)&lt;1,1),FALSE))))"),FALSE)</f>
        <v>0</v>
      </c>
      <c r="S19" s="59">
        <f t="array" ref="S19">IF(COUNTA(Q19:Q1350)=0,"",SUM((COUNTIF(Q$4:Q19,Upgrades!$B$3:$B$13)-COUNTIF(Q$4:Q19,"Sell_"&amp;Upgrades!$B$3:$B$13))*Upgrades!$D$3:$D$13))</f>
        <v>66</v>
      </c>
      <c r="T19" s="66">
        <f>IFERROR(__xludf.DUMMYFUNCTION("IF(COUNTA(Q19:Q1350)=0,"""",IF(REGEXMATCH(INDEX(FILTER(Q$4:Q19,Q$4:Q19&lt;&gt;""""),ROWS(FILTER(Q$4:Q19,Q$4:Q19&lt;&gt;""""))),""^Sell_""),INDEX(FILTER(T$4:T18,Q$4:Q18&lt;&gt;""""),ROWS(FILTER(Q$4:Q18,Q$4:Q18&lt;&gt;""""))),$AD$5+S19))"),266.0)</f>
        <v>266</v>
      </c>
      <c r="U19" s="10">
        <f>IFERROR(__xludf.DUMMYFUNCTION("IF(COUNTA(Q19:Q1350)=0,"""",IF(Q19="""",0,IF(REGEXMATCH(Q19,""^Sell_""),-ROUNDDOWN(ROUNDUP(INDEX(Upgrades!$C$3:$C$13,MATCH(SUBSTITUTE(Q19,""Sell_"",""""),Upgrades!$B$3:$B$13,0))*1.15^(COUNTIF(Q$4:Q18,SUBSTITUTE(Q19,""Sell_"",""""))-COUNTIF(Q$4:Q18,""Sell_"&amp;"""&amp;SUBSTITUTE(Q19,""Sell_"",""""))))/2),ROUNDUP(INDEX(Upgrades!$C$3:$C$13,MATCH(Q19,Upgrades!$B$3:$B$13,0))*1.15^(COUNTIF(Q$4:Q18,Q19)-COUNTIF(Q$4:Q18,""Sell_""&amp;Q19))))))"),10000.0)</f>
        <v>10000</v>
      </c>
      <c r="V19" s="10">
        <f t="shared" si="11"/>
        <v>10000</v>
      </c>
      <c r="W19" s="68">
        <f t="shared" si="12"/>
        <v>66.95976437</v>
      </c>
      <c r="X19" s="59" t="str">
        <f t="shared" si="13"/>
        <v>1m 06s</v>
      </c>
      <c r="Y19" s="69">
        <f t="shared" si="14"/>
        <v>14830</v>
      </c>
      <c r="Z19" s="11"/>
      <c r="AA19" s="86" t="s">
        <v>52</v>
      </c>
      <c r="AB19" s="87"/>
      <c r="AC19" s="87"/>
      <c r="AD19" s="87"/>
      <c r="AE19" s="87"/>
      <c r="AF19" s="88"/>
    </row>
    <row r="20">
      <c r="A20" s="8"/>
      <c r="B20" s="56">
        <f t="shared" si="2"/>
        <v>6</v>
      </c>
      <c r="C20" s="57" t="s">
        <v>3</v>
      </c>
      <c r="D20" s="10" t="b">
        <f>IFERROR(__xludf.DUMMYFUNCTION("IF(COUNTA(C20:C1350)=0,"""",IF(ISBLANK(C20),FALSE,IF(NOT(COUNTIF($AA$24:$AA$34,SUBSTITUTE(C20,""Sell_"",""""))),1,IF(REGEXMATCH(C20,""Sell_""),IF(COUNTIF(C$4:C20,SUBSTITUTE(C20,""Sell_"",""""))-COUNTIF(C$4:C19,C20)&lt;1,1),FALSE))))"),FALSE)</f>
        <v>0</v>
      </c>
      <c r="E20" s="59">
        <f t="array" ref="E20">IF(COUNTA(C20:C1350)=0,"",SUM((COUNTIF(C$4:C20,Upgrades!$B$3:$B$13)-COUNTIF(C$4:C20,"Sell_"&amp;Upgrades!$B$3:$B$13))*Upgrades!$D$3:$D$13))</f>
        <v>26.6</v>
      </c>
      <c r="F20" s="66">
        <f>IFERROR(__xludf.DUMMYFUNCTION("IF(COUNTA(C20:C1350)=0,"""",IF(REGEXMATCH(INDEX(FILTER(C$4:C20,C$4:C20&lt;&gt;""""),ROWS(FILTER(C$4:C20,C$4:C20&lt;&gt;""""))),""^Sell_""),INDEX(FILTER(F$4:F19,C$4:C19&lt;&gt;""""),ROWS(FILTER(C$4:C19,C$4:C19&lt;&gt;""""))),$AC$5+E20))"),226.6)</f>
        <v>226.6</v>
      </c>
      <c r="G20" s="10">
        <f>IFERROR(__xludf.DUMMYFUNCTION("IF(COUNTA(C20:C1350)=0,"""",IF(C20="""",0,IF(REGEXMATCH(C20,""^Sell_""),-ROUNDDOWN(ROUNDUP(INDEX(Upgrades!$C$3:$C$13,MATCH(SUBSTITUTE(C20,""Sell_"",""""),Upgrades!$B$3:$B$13,0))*1.15^(COUNTIF(C$4:C19,SUBSTITUTE(C20,""Sell_"",""""))-COUNTIF(C$4:C19,""Sell_"&amp;"""&amp;SUBSTITUTE(C20,""Sell_"",""""))))/2),ROUNDUP(INDEX(Upgrades!$C$3:$C$13,MATCH(C20,Upgrades!$B$3:$B$13,0))*1.15^(COUNTIF(C$4:C19,C20)-COUNTIF(C$4:C19,""Sell_""&amp;C20))))))"),31.0)</f>
        <v>31</v>
      </c>
      <c r="H20" s="10">
        <f t="shared" si="3"/>
        <v>31</v>
      </c>
      <c r="I20" s="68">
        <f t="shared" si="4"/>
        <v>23.52712144</v>
      </c>
      <c r="J20" s="59" t="str">
        <f t="shared" si="5"/>
        <v>23s</v>
      </c>
      <c r="K20" s="69">
        <f t="shared" si="6"/>
        <v>5014</v>
      </c>
      <c r="L20" s="60">
        <f t="shared" si="7"/>
        <v>-0.00098</v>
      </c>
      <c r="M20" s="61">
        <f>IFERROR(__xludf.DUMMYFUNCTION("IFS(AND(COUNTA(C20:C1350)=0,COUNTA(Q20:Q1350)=0),"""",OR(AND(K20&gt;=1000000000,OR(Y20&gt;=1000000000,COUNTA(Q20:Q1350)=0)),OR(Y20&gt;=1000000000,AND(COUNTA(C20:C1350)=0,P$3=TRUE))),
ROUNDDOWN((AB$1-AC$1)*MAX(INDEX(T$4:T1350,MATCH(LARGE(FILTER(Y$4:Y1350,Y$4:Y1350&lt;"&amp;"1000000000),1),Y$4:Y1350)),INDEX(F$4:F1350,MATCH(LARGE(FILTER(K$4:K1350,K$4:K1350&lt;1000000000),1),K$4:K1350)))),AND(K20&lt;1000000000,COUNTA(C20:C1350)&gt;0,P$3=FALSE),
ROUNDDOWN(INDEX(Y$4:Y1350,MATCH(LARGE(FILTER(W$4:W1350,W$4:W1350&lt;=I20),1),W$4:W1350))+(I20-LA"&amp;"RGE(FILTER(W$4:W1350,W$4:W1350&lt;=I20),1))*INDEX(T$4:T1350,MATCH(LARGE(FILTER(W$4:W1350,W$4:W1350&lt;=I20),1),W$4:W1350))-K20),1,
ROUNDDOWN(Y20-INDEX(K$4:K1350,MATCH(LARGE(FILTER(I$4:I1350,I$4:I1350&lt;=W20),1),I$4:I1350))-(W20-LARGE(FILTER(I$4:I1350,I$4:I1350&lt;=W"&amp;"20),1))*INDEX(F$4:F1350,MATCH(LARGE(FILTER(I$4:I1350,I$4:I1350&lt;=W20),1),I$4:I1350))))"),0.0)</f>
        <v>0</v>
      </c>
      <c r="N20" s="60">
        <f t="shared" si="8"/>
        <v>-0.00098</v>
      </c>
      <c r="O20" s="61">
        <f t="shared" si="9"/>
        <v>0</v>
      </c>
      <c r="P20" s="56">
        <f t="shared" si="10"/>
        <v>7</v>
      </c>
      <c r="Q20" s="67" t="s">
        <v>5</v>
      </c>
      <c r="R20" s="10" t="b">
        <f>IFERROR(__xludf.DUMMYFUNCTION("IF(COUNTA(Q20:Q1350)=0,"""",IF(ISBLANK(Q20),FALSE,IF(NOT(COUNTIF($AA$24:$AA$34,SUBSTITUTE(Q20,""Sell_"",""""))),1,IF(REGEXMATCH(Q20,""Sell_""),IF(COUNTIF(Q$4:Q20,SUBSTITUTE(Q20,""Sell_"",""""))-COUNTIF(Q$4:Q19,Q20)&lt;1,1),FALSE))))"),FALSE)</f>
        <v>0</v>
      </c>
      <c r="S20" s="59">
        <f t="array" ref="S20">IF(COUNTA(Q20:Q1350)=0,"",SUM((COUNTIF(Q$4:Q20,Upgrades!$B$3:$B$13)-COUNTIF(Q$4:Q20,"Sell_"&amp;Upgrades!$B$3:$B$13))*Upgrades!$D$3:$D$13))</f>
        <v>70</v>
      </c>
      <c r="T20" s="66">
        <f>IFERROR(__xludf.DUMMYFUNCTION("IF(COUNTA(Q20:Q1350)=0,"""",IF(REGEXMATCH(INDEX(FILTER(Q$4:Q20,Q$4:Q20&lt;&gt;""""),ROWS(FILTER(Q$4:Q20,Q$4:Q20&lt;&gt;""""))),""^Sell_""),INDEX(FILTER(T$4:T19,Q$4:Q19&lt;&gt;""""),ROWS(FILTER(Q$4:Q19,Q$4:Q19&lt;&gt;""""))),$AD$5+S20))"),270.0)</f>
        <v>270</v>
      </c>
      <c r="U20" s="10">
        <f>IFERROR(__xludf.DUMMYFUNCTION("IF(COUNTA(Q20:Q1350)=0,"""",IF(Q20="""",0,IF(REGEXMATCH(Q20,""^Sell_""),-ROUNDDOWN(ROUNDUP(INDEX(Upgrades!$C$3:$C$13,MATCH(SUBSTITUTE(Q20,""Sell_"",""""),Upgrades!$B$3:$B$13,0))*1.15^(COUNTIF(Q$4:Q19,SUBSTITUTE(Q20,""Sell_"",""""))-COUNTIF(Q$4:Q19,""Sell_"&amp;"""&amp;SUBSTITUTE(Q20,""Sell_"",""""))))/2),ROUNDUP(INDEX(Upgrades!$C$3:$C$13,MATCH(Q20,Upgrades!$B$3:$B$13,0))*1.15^(COUNTIF(Q$4:Q19,Q20)-COUNTIF(Q$4:Q19,""Sell_""&amp;Q20))))))"),1157.0)</f>
        <v>1157</v>
      </c>
      <c r="V20" s="10">
        <f t="shared" si="11"/>
        <v>1157</v>
      </c>
      <c r="W20" s="68">
        <f t="shared" si="12"/>
        <v>71.30938843</v>
      </c>
      <c r="X20" s="59" t="str">
        <f t="shared" si="13"/>
        <v>1m 11s</v>
      </c>
      <c r="Y20" s="69">
        <f t="shared" si="14"/>
        <v>15987</v>
      </c>
      <c r="Z20" s="11"/>
    </row>
    <row r="21">
      <c r="A21" s="8"/>
      <c r="B21" s="56">
        <f t="shared" si="2"/>
        <v>7</v>
      </c>
      <c r="C21" s="57" t="s">
        <v>5</v>
      </c>
      <c r="D21" s="10" t="b">
        <f>IFERROR(__xludf.DUMMYFUNCTION("IF(COUNTA(C21:C1350)=0,"""",IF(ISBLANK(C21),FALSE,IF(NOT(COUNTIF($AA$24:$AA$34,SUBSTITUTE(C21,""Sell_"",""""))),1,IF(REGEXMATCH(C21,""Sell_""),IF(COUNTIF(C$4:C21,SUBSTITUTE(C21,""Sell_"",""""))-COUNTIF(C$4:C20,C21)&lt;1,1),FALSE))))"),FALSE)</f>
        <v>0</v>
      </c>
      <c r="E21" s="59">
        <f t="array" ref="E21">IF(COUNTA(C21:C1350)=0,"",SUM((COUNTIF(C$4:C21,Upgrades!$B$3:$B$13)-COUNTIF(C$4:C21,"Sell_"&amp;Upgrades!$B$3:$B$13))*Upgrades!$D$3:$D$13))</f>
        <v>30.6</v>
      </c>
      <c r="F21" s="66">
        <f>IFERROR(__xludf.DUMMYFUNCTION("IF(COUNTA(C21:C1350)=0,"""",IF(REGEXMATCH(INDEX(FILTER(C$4:C21,C$4:C21&lt;&gt;""""),ROWS(FILTER(C$4:C21,C$4:C21&lt;&gt;""""))),""^Sell_""),INDEX(FILTER(F$4:F20,C$4:C20&lt;&gt;""""),ROWS(FILTER(C$4:C20,C$4:C20&lt;&gt;""""))),$AC$5+E21))"),230.6)</f>
        <v>230.6</v>
      </c>
      <c r="G21" s="10">
        <f>IFERROR(__xludf.DUMMYFUNCTION("IF(COUNTA(C21:C1350)=0,"""",IF(C21="""",0,IF(REGEXMATCH(C21,""^Sell_""),-ROUNDDOWN(ROUNDUP(INDEX(Upgrades!$C$3:$C$13,MATCH(SUBSTITUTE(C21,""Sell_"",""""),Upgrades!$B$3:$B$13,0))*1.15^(COUNTIF(C$4:C20,SUBSTITUTE(C21,""Sell_"",""""))-COUNTIF(C$4:C20,""Sell_"&amp;"""&amp;SUBSTITUTE(C21,""Sell_"",""""))))/2),ROUNDUP(INDEX(Upgrades!$C$3:$C$13,MATCH(C21,Upgrades!$B$3:$B$13,0))*1.15^(COUNTIF(C$4:C20,C21)-COUNTIF(C$4:C20,""Sell_""&amp;C21))))))"),1157.0)</f>
        <v>1157</v>
      </c>
      <c r="H21" s="10">
        <f t="shared" si="3"/>
        <v>1157</v>
      </c>
      <c r="I21" s="68">
        <f t="shared" si="4"/>
        <v>28.63303495</v>
      </c>
      <c r="J21" s="59" t="str">
        <f t="shared" si="5"/>
        <v>28s</v>
      </c>
      <c r="K21" s="69">
        <f t="shared" si="6"/>
        <v>6171</v>
      </c>
      <c r="L21" s="60">
        <f t="shared" si="7"/>
        <v>0.01257</v>
      </c>
      <c r="M21" s="61">
        <f>IFERROR(__xludf.DUMMYFUNCTION("IFS(AND(COUNTA(C21:C1350)=0,COUNTA(Q21:Q1350)=0),"""",OR(AND(K21&gt;=1000000000,OR(Y21&gt;=1000000000,COUNTA(Q21:Q1350)=0)),OR(Y21&gt;=1000000000,AND(COUNTA(C21:C1350)=0,P$3=TRUE))),
ROUNDDOWN((AB$1-AC$1)*MAX(INDEX(T$4:T1350,MATCH(LARGE(FILTER(Y$4:Y1350,Y$4:Y1350&lt;"&amp;"1000000000),1),Y$4:Y1350)),INDEX(F$4:F1350,MATCH(LARGE(FILTER(K$4:K1350,K$4:K1350&lt;1000000000),1),K$4:K1350)))),AND(K21&lt;1000000000,COUNTA(C21:C1350)&gt;0,P$3=FALSE),
ROUNDDOWN(INDEX(Y$4:Y1350,MATCH(LARGE(FILTER(W$4:W1350,W$4:W1350&lt;=I21),1),W$4:W1350))+(I21-LA"&amp;"RGE(FILTER(W$4:W1350,W$4:W1350&lt;=I21),1))*INDEX(T$4:T1350,MATCH(LARGE(FILTER(W$4:W1350,W$4:W1350&lt;=I21),1),W$4:W1350))-K21),1,
ROUNDDOWN(Y21-INDEX(K$4:K1350,MATCH(LARGE(FILTER(I$4:I1350,I$4:I1350&lt;=W21),1),I$4:I1350))-(W21-LARGE(FILTER(I$4:I1350,I$4:I1350&lt;=W"&amp;"21),1))*INDEX(F$4:F1350,MATCH(LARGE(FILTER(I$4:I1350,I$4:I1350&lt;=W21),1),I$4:I1350))))"),-2.0)</f>
        <v>-2</v>
      </c>
      <c r="N21" s="60">
        <f t="shared" si="8"/>
        <v>0.01257</v>
      </c>
      <c r="O21" s="61">
        <f t="shared" si="9"/>
        <v>-2</v>
      </c>
      <c r="P21" s="56">
        <f t="shared" si="10"/>
        <v>4</v>
      </c>
      <c r="Q21" s="67" t="s">
        <v>4</v>
      </c>
      <c r="R21" s="10" t="b">
        <f>IFERROR(__xludf.DUMMYFUNCTION("IF(COUNTA(Q21:Q1350)=0,"""",IF(ISBLANK(Q21),FALSE,IF(NOT(COUNTIF($AA$24:$AA$34,SUBSTITUTE(Q21,""Sell_"",""""))),1,IF(REGEXMATCH(Q21,""Sell_""),IF(COUNTIF(Q$4:Q21,SUBSTITUTE(Q21,""Sell_"",""""))-COUNTIF(Q$4:Q20,Q21)&lt;1,1),FALSE))))"),FALSE)</f>
        <v>0</v>
      </c>
      <c r="S21" s="59">
        <f t="array" ref="S21">IF(COUNTA(Q21:Q1350)=0,"",SUM((COUNTIF(Q$4:Q21,Upgrades!$B$3:$B$13)-COUNTIF(Q$4:Q21,"Sell_"&amp;Upgrades!$B$3:$B$13))*Upgrades!$D$3:$D$13))</f>
        <v>70.5</v>
      </c>
      <c r="T21" s="66">
        <f>IFERROR(__xludf.DUMMYFUNCTION("IF(COUNTA(Q21:Q1350)=0,"""",IF(REGEXMATCH(INDEX(FILTER(Q$4:Q21,Q$4:Q21&lt;&gt;""""),ROWS(FILTER(Q$4:Q21,Q$4:Q21&lt;&gt;""""))),""^Sell_""),INDEX(FILTER(T$4:T20,Q$4:Q20&lt;&gt;""""),ROWS(FILTER(Q$4:Q20,Q$4:Q20&lt;&gt;""""))),$AD$5+S21))"),270.5)</f>
        <v>270.5</v>
      </c>
      <c r="U21" s="10">
        <f>IFERROR(__xludf.DUMMYFUNCTION("IF(COUNTA(Q21:Q1350)=0,"""",IF(Q21="""",0,IF(REGEXMATCH(Q21,""^Sell_""),-ROUNDDOWN(ROUNDUP(INDEX(Upgrades!$C$3:$C$13,MATCH(SUBSTITUTE(Q21,""Sell_"",""""),Upgrades!$B$3:$B$13,0))*1.15^(COUNTIF(Q$4:Q20,SUBSTITUTE(Q21,""Sell_"",""""))-COUNTIF(Q$4:Q20,""Sell_"&amp;"""&amp;SUBSTITUTE(Q21,""Sell_"",""""))))/2),ROUNDUP(INDEX(Upgrades!$C$3:$C$13,MATCH(Q21,Upgrades!$B$3:$B$13,0))*1.15^(COUNTIF(Q$4:Q20,Q21)-COUNTIF(Q$4:Q20,""Sell_""&amp;Q21))))))"),153.0)</f>
        <v>153</v>
      </c>
      <c r="V21" s="10">
        <f t="shared" si="11"/>
        <v>153</v>
      </c>
      <c r="W21" s="68">
        <f t="shared" si="12"/>
        <v>71.8760551</v>
      </c>
      <c r="X21" s="59" t="str">
        <f t="shared" si="13"/>
        <v>1m 11s</v>
      </c>
      <c r="Y21" s="69">
        <f t="shared" si="14"/>
        <v>16140</v>
      </c>
      <c r="Z21" s="11"/>
      <c r="AA21" s="92" t="s">
        <v>53</v>
      </c>
      <c r="AB21" s="93"/>
      <c r="AC21" s="93"/>
      <c r="AD21" s="93"/>
      <c r="AE21" s="93"/>
      <c r="AF21" s="94"/>
    </row>
    <row r="22">
      <c r="A22" s="8"/>
      <c r="B22" s="56">
        <f t="shared" si="2"/>
        <v>5</v>
      </c>
      <c r="C22" s="57" t="s">
        <v>4</v>
      </c>
      <c r="D22" s="10" t="b">
        <f>IFERROR(__xludf.DUMMYFUNCTION("IF(COUNTA(C22:C1350)=0,"""",IF(ISBLANK(C22),FALSE,IF(NOT(COUNTIF($AA$24:$AA$34,SUBSTITUTE(C22,""Sell_"",""""))),1,IF(REGEXMATCH(C22,""Sell_""),IF(COUNTIF(C$4:C22,SUBSTITUTE(C22,""Sell_"",""""))-COUNTIF(C$4:C21,C22)&lt;1,1),FALSE))))"),FALSE)</f>
        <v>0</v>
      </c>
      <c r="E22" s="59">
        <f t="array" ref="E22">IF(COUNTA(C22:C1350)=0,"",SUM((COUNTIF(C$4:C22,Upgrades!$B$3:$B$13)-COUNTIF(C$4:C22,"Sell_"&amp;Upgrades!$B$3:$B$13))*Upgrades!$D$3:$D$13))</f>
        <v>31.1</v>
      </c>
      <c r="F22" s="66">
        <f>IFERROR(__xludf.DUMMYFUNCTION("IF(COUNTA(C22:C1350)=0,"""",IF(REGEXMATCH(INDEX(FILTER(C$4:C22,C$4:C22&lt;&gt;""""),ROWS(FILTER(C$4:C22,C$4:C22&lt;&gt;""""))),""^Sell_""),INDEX(FILTER(F$4:F21,C$4:C21&lt;&gt;""""),ROWS(FILTER(C$4:C21,C$4:C21&lt;&gt;""""))),$AC$5+E22))"),231.1)</f>
        <v>231.1</v>
      </c>
      <c r="G22" s="10">
        <f>IFERROR(__xludf.DUMMYFUNCTION("IF(COUNTA(C22:C1350)=0,"""",IF(C22="""",0,IF(REGEXMATCH(C22,""^Sell_""),-ROUNDDOWN(ROUNDUP(INDEX(Upgrades!$C$3:$C$13,MATCH(SUBSTITUTE(C22,""Sell_"",""""),Upgrades!$B$3:$B$13,0))*1.15^(COUNTIF(C$4:C21,SUBSTITUTE(C22,""Sell_"",""""))-COUNTIF(C$4:C21,""Sell_"&amp;"""&amp;SUBSTITUTE(C22,""Sell_"",""""))))/2),ROUNDUP(INDEX(Upgrades!$C$3:$C$13,MATCH(C22,Upgrades!$B$3:$B$13,0))*1.15^(COUNTIF(C$4:C21,C22)-COUNTIF(C$4:C21,""Sell_""&amp;C22))))))"),175.0)</f>
        <v>175</v>
      </c>
      <c r="H22" s="10">
        <f t="shared" si="3"/>
        <v>175</v>
      </c>
      <c r="I22" s="68">
        <f t="shared" si="4"/>
        <v>29.3919248</v>
      </c>
      <c r="J22" s="59" t="str">
        <f t="shared" si="5"/>
        <v>29s</v>
      </c>
      <c r="K22" s="69">
        <f t="shared" si="6"/>
        <v>6346</v>
      </c>
      <c r="L22" s="60">
        <f t="shared" si="7"/>
        <v>0.02801</v>
      </c>
      <c r="M22" s="61">
        <f>IFERROR(__xludf.DUMMYFUNCTION("IFS(AND(COUNTA(C22:C1350)=0,COUNTA(Q22:Q1350)=0),"""",OR(AND(K22&gt;=1000000000,OR(Y22&gt;=1000000000,COUNTA(Q22:Q1350)=0)),OR(Y22&gt;=1000000000,AND(COUNTA(C22:C1350)=0,P$3=TRUE))),
ROUNDDOWN((AB$1-AC$1)*MAX(INDEX(T$4:T1350,MATCH(LARGE(FILTER(Y$4:Y1350,Y$4:Y1350&lt;"&amp;"1000000000),1),Y$4:Y1350)),INDEX(F$4:F1350,MATCH(LARGE(FILTER(K$4:K1350,K$4:K1350&lt;1000000000),1),K$4:K1350)))),AND(K22&lt;1000000000,COUNTA(C22:C1350)&gt;0,P$3=FALSE),
ROUNDDOWN(INDEX(Y$4:Y1350,MATCH(LARGE(FILTER(W$4:W1350,W$4:W1350&lt;=I22),1),W$4:W1350))+(I22-LA"&amp;"RGE(FILTER(W$4:W1350,W$4:W1350&lt;=I22),1))*INDEX(T$4:T1350,MATCH(LARGE(FILTER(W$4:W1350,W$4:W1350&lt;=I22),1),W$4:W1350))-K22),1,
ROUNDDOWN(Y22-INDEX(K$4:K1350,MATCH(LARGE(FILTER(I$4:I1350,I$4:I1350&lt;=W22),1),I$4:I1350))-(W22-LARGE(FILTER(I$4:I1350,I$4:I1350&lt;=W"&amp;"22),1))*INDEX(F$4:F1350,MATCH(LARGE(FILTER(I$4:I1350,I$4:I1350&lt;=W22),1),I$4:I1350))))"),-6.0)</f>
        <v>-6</v>
      </c>
      <c r="N22" s="60">
        <f t="shared" si="8"/>
        <v>0.02801</v>
      </c>
      <c r="O22" s="61">
        <f t="shared" si="9"/>
        <v>-6</v>
      </c>
      <c r="P22" s="56">
        <f t="shared" si="10"/>
        <v>6</v>
      </c>
      <c r="Q22" s="67" t="s">
        <v>3</v>
      </c>
      <c r="R22" s="10" t="b">
        <f>IFERROR(__xludf.DUMMYFUNCTION("IF(COUNTA(Q22:Q1350)=0,"""",IF(ISBLANK(Q22),FALSE,IF(NOT(COUNTIF($AA$24:$AA$34,SUBSTITUTE(Q22,""Sell_"",""""))),1,IF(REGEXMATCH(Q22,""Sell_""),IF(COUNTIF(Q$4:Q22,SUBSTITUTE(Q22,""Sell_"",""""))-COUNTIF(Q$4:Q21,Q22)&lt;1,1),FALSE))))"),FALSE)</f>
        <v>0</v>
      </c>
      <c r="S22" s="59">
        <f t="array" ref="S22">IF(COUNTA(Q22:Q1350)=0,"",SUM((COUNTIF(Q$4:Q22,Upgrades!$B$3:$B$13)-COUNTIF(Q$4:Q22,"Sell_"&amp;Upgrades!$B$3:$B$13))*Upgrades!$D$3:$D$13))</f>
        <v>70.6</v>
      </c>
      <c r="T22" s="66">
        <f>IFERROR(__xludf.DUMMYFUNCTION("IF(COUNTA(Q22:Q1350)=0,"""",IF(REGEXMATCH(INDEX(FILTER(Q$4:Q22,Q$4:Q22&lt;&gt;""""),ROWS(FILTER(Q$4:Q22,Q$4:Q22&lt;&gt;""""))),""^Sell_""),INDEX(FILTER(T$4:T21,Q$4:Q21&lt;&gt;""""),ROWS(FILTER(Q$4:Q21,Q$4:Q21&lt;&gt;""""))),$AD$5+S22))"),270.6)</f>
        <v>270.6</v>
      </c>
      <c r="U22" s="10">
        <f>IFERROR(__xludf.DUMMYFUNCTION("IF(COUNTA(Q22:Q1350)=0,"""",IF(Q22="""",0,IF(REGEXMATCH(Q22,""^Sell_""),-ROUNDDOWN(ROUNDUP(INDEX(Upgrades!$C$3:$C$13,MATCH(SUBSTITUTE(Q22,""Sell_"",""""),Upgrades!$B$3:$B$13,0))*1.15^(COUNTIF(Q$4:Q21,SUBSTITUTE(Q22,""Sell_"",""""))-COUNTIF(Q$4:Q21,""Sell_"&amp;"""&amp;SUBSTITUTE(Q22,""Sell_"",""""))))/2),ROUNDUP(INDEX(Upgrades!$C$3:$C$13,MATCH(Q22,Upgrades!$B$3:$B$13,0))*1.15^(COUNTIF(Q$4:Q21,Q22)-COUNTIF(Q$4:Q21,""Sell_""&amp;Q22))))))"),31.0)</f>
        <v>31</v>
      </c>
      <c r="V22" s="10">
        <f t="shared" si="11"/>
        <v>31</v>
      </c>
      <c r="W22" s="68">
        <f t="shared" si="12"/>
        <v>71.99065769</v>
      </c>
      <c r="X22" s="59" t="str">
        <f t="shared" si="13"/>
        <v>1m 11s</v>
      </c>
      <c r="Y22" s="69">
        <f t="shared" si="14"/>
        <v>16171</v>
      </c>
      <c r="Z22" s="11"/>
    </row>
    <row r="23">
      <c r="A23" s="8"/>
      <c r="B23" s="56">
        <f t="shared" si="2"/>
        <v>7</v>
      </c>
      <c r="C23" s="57" t="s">
        <v>3</v>
      </c>
      <c r="D23" s="10" t="b">
        <f>IFERROR(__xludf.DUMMYFUNCTION("IF(COUNTA(C23:C1350)=0,"""",IF(ISBLANK(C23),FALSE,IF(NOT(COUNTIF($AA$24:$AA$34,SUBSTITUTE(C23,""Sell_"",""""))),1,IF(REGEXMATCH(C23,""Sell_""),IF(COUNTIF(C$4:C23,SUBSTITUTE(C23,""Sell_"",""""))-COUNTIF(C$4:C22,C23)&lt;1,1),FALSE))))"),FALSE)</f>
        <v>0</v>
      </c>
      <c r="E23" s="59">
        <f t="array" ref="E23">IF(COUNTA(C23:C1350)=0,"",SUM((COUNTIF(C$4:C23,Upgrades!$B$3:$B$13)-COUNTIF(C$4:C23,"Sell_"&amp;Upgrades!$B$3:$B$13))*Upgrades!$D$3:$D$13))</f>
        <v>31.2</v>
      </c>
      <c r="F23" s="66">
        <f>IFERROR(__xludf.DUMMYFUNCTION("IF(COUNTA(C23:C1350)=0,"""",IF(REGEXMATCH(INDEX(FILTER(C$4:C23,C$4:C23&lt;&gt;""""),ROWS(FILTER(C$4:C23,C$4:C23&lt;&gt;""""))),""^Sell_""),INDEX(FILTER(F$4:F22,C$4:C22&lt;&gt;""""),ROWS(FILTER(C$4:C22,C$4:C22&lt;&gt;""""))),$AC$5+E23))"),231.2)</f>
        <v>231.2</v>
      </c>
      <c r="G23" s="10">
        <f>IFERROR(__xludf.DUMMYFUNCTION("IF(COUNTA(C23:C1350)=0,"""",IF(C23="""",0,IF(REGEXMATCH(C23,""^Sell_""),-ROUNDDOWN(ROUNDUP(INDEX(Upgrades!$C$3:$C$13,MATCH(SUBSTITUTE(C23,""Sell_"",""""),Upgrades!$B$3:$B$13,0))*1.15^(COUNTIF(C$4:C22,SUBSTITUTE(C23,""Sell_"",""""))-COUNTIF(C$4:C22,""Sell_"&amp;"""&amp;SUBSTITUTE(C23,""Sell_"",""""))))/2),ROUNDUP(INDEX(Upgrades!$C$3:$C$13,MATCH(C23,Upgrades!$B$3:$B$13,0))*1.15^(COUNTIF(C$4:C22,C23)-COUNTIF(C$4:C22,""Sell_""&amp;C23))))))"),35.0)</f>
        <v>35</v>
      </c>
      <c r="H23" s="10">
        <f t="shared" si="3"/>
        <v>35</v>
      </c>
      <c r="I23" s="68">
        <f t="shared" si="4"/>
        <v>29.54337439</v>
      </c>
      <c r="J23" s="59" t="str">
        <f t="shared" si="5"/>
        <v>29s</v>
      </c>
      <c r="K23" s="69">
        <f t="shared" si="6"/>
        <v>6381</v>
      </c>
      <c r="L23" s="60">
        <f t="shared" si="7"/>
        <v>0.03143</v>
      </c>
      <c r="M23" s="61">
        <f>IFERROR(__xludf.DUMMYFUNCTION("IFS(AND(COUNTA(C23:C1350)=0,COUNTA(Q23:Q1350)=0),"""",OR(AND(K23&gt;=1000000000,OR(Y23&gt;=1000000000,COUNTA(Q23:Q1350)=0)),OR(Y23&gt;=1000000000,AND(COUNTA(C23:C1350)=0,P$3=TRUE))),
ROUNDDOWN((AB$1-AC$1)*MAX(INDEX(T$4:T1350,MATCH(LARGE(FILTER(Y$4:Y1350,Y$4:Y1350&lt;"&amp;"1000000000),1),Y$4:Y1350)),INDEX(F$4:F1350,MATCH(LARGE(FILTER(K$4:K1350,K$4:K1350&lt;1000000000),1),K$4:K1350)))),AND(K23&lt;1000000000,COUNTA(C23:C1350)&gt;0,P$3=FALSE),
ROUNDDOWN(INDEX(Y$4:Y1350,MATCH(LARGE(FILTER(W$4:W1350,W$4:W1350&lt;=I23),1),W$4:W1350))+(I23-LA"&amp;"RGE(FILTER(W$4:W1350,W$4:W1350&lt;=I23),1))*INDEX(T$4:T1350,MATCH(LARGE(FILTER(W$4:W1350,W$4:W1350&lt;=I23),1),W$4:W1350))-K23),1,
ROUNDDOWN(Y23-INDEX(K$4:K1350,MATCH(LARGE(FILTER(I$4:I1350,I$4:I1350&lt;=W23),1),I$4:I1350))-(W23-LARGE(FILTER(I$4:I1350,I$4:I1350&lt;=W"&amp;"23),1))*INDEX(F$4:F1350,MATCH(LARGE(FILTER(I$4:I1350,I$4:I1350&lt;=W23),1),I$4:I1350))))"),-7.0)</f>
        <v>-7</v>
      </c>
      <c r="N23" s="60">
        <f t="shared" si="8"/>
        <v>0.03143</v>
      </c>
      <c r="O23" s="61">
        <f t="shared" si="9"/>
        <v>-7</v>
      </c>
      <c r="P23" s="56">
        <f t="shared" si="10"/>
        <v>1</v>
      </c>
      <c r="Q23" s="67" t="s">
        <v>6</v>
      </c>
      <c r="R23" s="10" t="b">
        <f>IFERROR(__xludf.DUMMYFUNCTION("IF(COUNTA(Q23:Q1350)=0,"""",IF(ISBLANK(Q23),FALSE,IF(NOT(COUNTIF($AA$24:$AA$34,SUBSTITUTE(Q23,""Sell_"",""""))),1,IF(REGEXMATCH(Q23,""Sell_""),IF(COUNTIF(Q$4:Q23,SUBSTITUTE(Q23,""Sell_"",""""))-COUNTIF(Q$4:Q22,Q23)&lt;1,1),FALSE))))"),FALSE)</f>
        <v>0</v>
      </c>
      <c r="S23" s="59">
        <f t="array" ref="S23">IF(COUNTA(Q23:Q1350)=0,"",SUM((COUNTIF(Q$4:Q23,Upgrades!$B$3:$B$13)-COUNTIF(Q$4:Q23,"Sell_"&amp;Upgrades!$B$3:$B$13))*Upgrades!$D$3:$D$13))</f>
        <v>80.6</v>
      </c>
      <c r="T23" s="66">
        <f>IFERROR(__xludf.DUMMYFUNCTION("IF(COUNTA(Q23:Q1350)=0,"""",IF(REGEXMATCH(INDEX(FILTER(Q$4:Q23,Q$4:Q23&lt;&gt;""""),ROWS(FILTER(Q$4:Q23,Q$4:Q23&lt;&gt;""""))),""^Sell_""),INDEX(FILTER(T$4:T22,Q$4:Q22&lt;&gt;""""),ROWS(FILTER(Q$4:Q22,Q$4:Q22&lt;&gt;""""))),$AD$5+S23))"),280.6)</f>
        <v>280.6</v>
      </c>
      <c r="U23" s="10">
        <f>IFERROR(__xludf.DUMMYFUNCTION("IF(COUNTA(Q23:Q1350)=0,"""",IF(Q23="""",0,IF(REGEXMATCH(Q23,""^Sell_""),-ROUNDDOWN(ROUNDUP(INDEX(Upgrades!$C$3:$C$13,MATCH(SUBSTITUTE(Q23,""Sell_"",""""),Upgrades!$B$3:$B$13,0))*1.15^(COUNTIF(Q$4:Q22,SUBSTITUTE(Q23,""Sell_"",""""))-COUNTIF(Q$4:Q22,""Sell_"&amp;"""&amp;SUBSTITUTE(Q23,""Sell_"",""""))))/2),ROUNDUP(INDEX(Upgrades!$C$3:$C$13,MATCH(Q23,Upgrades!$B$3:$B$13,0))*1.15^(COUNTIF(Q$4:Q22,Q23)-COUNTIF(Q$4:Q22,""Sell_""&amp;Q23))))))"),3000.0)</f>
        <v>3000</v>
      </c>
      <c r="V23" s="10">
        <f t="shared" si="11"/>
        <v>3000</v>
      </c>
      <c r="W23" s="68">
        <f t="shared" si="12"/>
        <v>83.07713219</v>
      </c>
      <c r="X23" s="59" t="str">
        <f t="shared" si="13"/>
        <v>1m 23s</v>
      </c>
      <c r="Y23" s="69">
        <f t="shared" si="14"/>
        <v>19171</v>
      </c>
      <c r="Z23" s="11"/>
      <c r="AA23" s="95" t="s">
        <v>54</v>
      </c>
      <c r="AB23" s="96"/>
    </row>
    <row r="24">
      <c r="A24" s="8"/>
      <c r="B24" s="56">
        <f t="shared" si="2"/>
        <v>8</v>
      </c>
      <c r="C24" s="57" t="s">
        <v>5</v>
      </c>
      <c r="D24" s="10" t="b">
        <f>IFERROR(__xludf.DUMMYFUNCTION("IF(COUNTA(C24:C1350)=0,"""",IF(ISBLANK(C24),FALSE,IF(NOT(COUNTIF($AA$24:$AA$34,SUBSTITUTE(C24,""Sell_"",""""))),1,IF(REGEXMATCH(C24,""Sell_""),IF(COUNTIF(C$4:C24,SUBSTITUTE(C24,""Sell_"",""""))-COUNTIF(C$4:C23,C24)&lt;1,1),FALSE))))"),FALSE)</f>
        <v>0</v>
      </c>
      <c r="E24" s="59">
        <f t="array" ref="E24">IF(COUNTA(C24:C1350)=0,"",SUM((COUNTIF(C$4:C24,Upgrades!$B$3:$B$13)-COUNTIF(C$4:C24,"Sell_"&amp;Upgrades!$B$3:$B$13))*Upgrades!$D$3:$D$13))</f>
        <v>35.2</v>
      </c>
      <c r="F24" s="66">
        <f>IFERROR(__xludf.DUMMYFUNCTION("IF(COUNTA(C24:C1350)=0,"""",IF(REGEXMATCH(INDEX(FILTER(C$4:C24,C$4:C24&lt;&gt;""""),ROWS(FILTER(C$4:C24,C$4:C24&lt;&gt;""""))),""^Sell_""),INDEX(FILTER(F$4:F23,C$4:C23&lt;&gt;""""),ROWS(FILTER(C$4:C23,C$4:C23&lt;&gt;""""))),$AC$5+E24))"),235.2)</f>
        <v>235.2</v>
      </c>
      <c r="G24" s="10">
        <f>IFERROR(__xludf.DUMMYFUNCTION("IF(COUNTA(C24:C1350)=0,"""",IF(C24="""",0,IF(REGEXMATCH(C24,""^Sell_""),-ROUNDDOWN(ROUNDUP(INDEX(Upgrades!$C$3:$C$13,MATCH(SUBSTITUTE(C24,""Sell_"",""""),Upgrades!$B$3:$B$13,0))*1.15^(COUNTIF(C$4:C23,SUBSTITUTE(C24,""Sell_"",""""))-COUNTIF(C$4:C23,""Sell_"&amp;"""&amp;SUBSTITUTE(C24,""Sell_"",""""))))/2),ROUNDUP(INDEX(Upgrades!$C$3:$C$13,MATCH(C24,Upgrades!$B$3:$B$13,0))*1.15^(COUNTIF(C$4:C23,C24)-COUNTIF(C$4:C23,""Sell_""&amp;C24))))))"),1331.0)</f>
        <v>1331</v>
      </c>
      <c r="H24" s="10">
        <f t="shared" si="3"/>
        <v>1331</v>
      </c>
      <c r="I24" s="68">
        <f t="shared" si="4"/>
        <v>35.3002948</v>
      </c>
      <c r="J24" s="59" t="str">
        <f t="shared" si="5"/>
        <v>35s</v>
      </c>
      <c r="K24" s="69">
        <f t="shared" si="6"/>
        <v>7712</v>
      </c>
      <c r="L24" s="60">
        <f t="shared" si="7"/>
        <v>0.16389</v>
      </c>
      <c r="M24" s="61">
        <f>IFERROR(__xludf.DUMMYFUNCTION("IFS(AND(COUNTA(C24:C1350)=0,COUNTA(Q24:Q1350)=0),"""",OR(AND(K24&gt;=1000000000,OR(Y24&gt;=1000000000,COUNTA(Q24:Q1350)=0)),OR(Y24&gt;=1000000000,AND(COUNTA(C24:C1350)=0,P$3=TRUE))),
ROUNDDOWN((AB$1-AC$1)*MAX(INDEX(T$4:T1350,MATCH(LARGE(FILTER(Y$4:Y1350,Y$4:Y1350&lt;"&amp;"1000000000),1),Y$4:Y1350)),INDEX(F$4:F1350,MATCH(LARGE(FILTER(K$4:K1350,K$4:K1350&lt;1000000000),1),K$4:K1350)))),AND(K24&lt;1000000000,COUNTA(C24:C1350)&gt;0,P$3=FALSE),
ROUNDDOWN(INDEX(Y$4:Y1350,MATCH(LARGE(FILTER(W$4:W1350,W$4:W1350&lt;=I24),1),W$4:W1350))+(I24-LA"&amp;"RGE(FILTER(W$4:W1350,W$4:W1350&lt;=I24),1))*INDEX(T$4:T1350,MATCH(LARGE(FILTER(W$4:W1350,W$4:W1350&lt;=I24),1),W$4:W1350))-K24),1,
ROUNDDOWN(Y24-INDEX(K$4:K1350,MATCH(LARGE(FILTER(I$4:I1350,I$4:I1350&lt;=W24),1),I$4:I1350))-(W24-LARGE(FILTER(I$4:I1350,I$4:I1350&lt;=W"&amp;"24),1))*INDEX(F$4:F1350,MATCH(LARGE(FILTER(I$4:I1350,I$4:I1350&lt;=W24),1),I$4:I1350))))"),-37.0)</f>
        <v>-37</v>
      </c>
      <c r="N24" s="60">
        <f t="shared" si="8"/>
        <v>0.16389</v>
      </c>
      <c r="O24" s="61">
        <f t="shared" si="9"/>
        <v>-37</v>
      </c>
      <c r="P24" s="56">
        <f t="shared" si="10"/>
        <v>2</v>
      </c>
      <c r="Q24" s="67" t="s">
        <v>7</v>
      </c>
      <c r="R24" s="10" t="b">
        <f>IFERROR(__xludf.DUMMYFUNCTION("IF(COUNTA(Q24:Q1350)=0,"""",IF(ISBLANK(Q24),FALSE,IF(NOT(COUNTIF($AA$24:$AA$34,SUBSTITUTE(Q24,""Sell_"",""""))),1,IF(REGEXMATCH(Q24,""Sell_""),IF(COUNTIF(Q$4:Q24,SUBSTITUTE(Q24,""Sell_"",""""))-COUNTIF(Q$4:Q23,Q24)&lt;1,1),FALSE))))"),FALSE)</f>
        <v>0</v>
      </c>
      <c r="S24" s="59">
        <f t="array" ref="S24">IF(COUNTA(Q24:Q1350)=0,"",SUM((COUNTIF(Q$4:Q24,Upgrades!$B$3:$B$13)-COUNTIF(Q$4:Q24,"Sell_"&amp;Upgrades!$B$3:$B$13))*Upgrades!$D$3:$D$13))</f>
        <v>120.6</v>
      </c>
      <c r="T24" s="66">
        <f>IFERROR(__xludf.DUMMYFUNCTION("IF(COUNTA(Q24:Q1350)=0,"""",IF(REGEXMATCH(INDEX(FILTER(Q$4:Q24,Q$4:Q24&lt;&gt;""""),ROWS(FILTER(Q$4:Q24,Q$4:Q24&lt;&gt;""""))),""^Sell_""),INDEX(FILTER(T$4:T23,Q$4:Q23&lt;&gt;""""),ROWS(FILTER(Q$4:Q23,Q$4:Q23&lt;&gt;""""))),$AD$5+S24))"),320.6)</f>
        <v>320.6</v>
      </c>
      <c r="U24" s="10">
        <f>IFERROR(__xludf.DUMMYFUNCTION("IF(COUNTA(Q24:Q1350)=0,"""",IF(Q24="""",0,IF(REGEXMATCH(Q24,""^Sell_""),-ROUNDDOWN(ROUNDUP(INDEX(Upgrades!$C$3:$C$13,MATCH(SUBSTITUTE(Q24,""Sell_"",""""),Upgrades!$B$3:$B$13,0))*1.15^(COUNTIF(Q$4:Q23,SUBSTITUTE(Q24,""Sell_"",""""))-COUNTIF(Q$4:Q23,""Sell_"&amp;"""&amp;SUBSTITUTE(Q24,""Sell_"",""""))))/2),ROUNDUP(INDEX(Upgrades!$C$3:$C$13,MATCH(Q24,Upgrades!$B$3:$B$13,0))*1.15^(COUNTIF(Q$4:Q23,Q24)-COUNTIF(Q$4:Q23,""Sell_""&amp;Q24))))))"),11500.0)</f>
        <v>11500</v>
      </c>
      <c r="V24" s="10">
        <f t="shared" si="11"/>
        <v>11500</v>
      </c>
      <c r="W24" s="68">
        <f t="shared" si="12"/>
        <v>124.0607387</v>
      </c>
      <c r="X24" s="59" t="str">
        <f t="shared" si="13"/>
        <v>2m 04s</v>
      </c>
      <c r="Y24" s="69">
        <f t="shared" si="14"/>
        <v>30671</v>
      </c>
      <c r="Z24" s="11"/>
      <c r="AA24" s="15" t="s">
        <v>3</v>
      </c>
      <c r="AB24" s="97" t="s">
        <v>55</v>
      </c>
    </row>
    <row r="25">
      <c r="A25" s="8"/>
      <c r="B25" s="56">
        <f t="shared" si="2"/>
        <v>1</v>
      </c>
      <c r="C25" s="57" t="s">
        <v>6</v>
      </c>
      <c r="D25" s="10" t="b">
        <f>IFERROR(__xludf.DUMMYFUNCTION("IF(COUNTA(C25:C1350)=0,"""",IF(ISBLANK(C25),FALSE,IF(NOT(COUNTIF($AA$24:$AA$34,SUBSTITUTE(C25,""Sell_"",""""))),1,IF(REGEXMATCH(C25,""Sell_""),IF(COUNTIF(C$4:C25,SUBSTITUTE(C25,""Sell_"",""""))-COUNTIF(C$4:C24,C25)&lt;1,1),FALSE))))"),FALSE)</f>
        <v>0</v>
      </c>
      <c r="E25" s="59">
        <f t="array" ref="E25">IF(COUNTA(C25:C1350)=0,"",SUM((COUNTIF(C$4:C25,Upgrades!$B$3:$B$13)-COUNTIF(C$4:C25,"Sell_"&amp;Upgrades!$B$3:$B$13))*Upgrades!$D$3:$D$13))</f>
        <v>45.2</v>
      </c>
      <c r="F25" s="66">
        <f>IFERROR(__xludf.DUMMYFUNCTION("IF(COUNTA(C25:C1350)=0,"""",IF(REGEXMATCH(INDEX(FILTER(C$4:C25,C$4:C25&lt;&gt;""""),ROWS(FILTER(C$4:C25,C$4:C25&lt;&gt;""""))),""^Sell_""),INDEX(FILTER(F$4:F24,C$4:C24&lt;&gt;""""),ROWS(FILTER(C$4:C24,C$4:C24&lt;&gt;""""))),$AC$5+E25))"),245.2)</f>
        <v>245.2</v>
      </c>
      <c r="G25" s="10">
        <f>IFERROR(__xludf.DUMMYFUNCTION("IF(COUNTA(C25:C1350)=0,"""",IF(C25="""",0,IF(REGEXMATCH(C25,""^Sell_""),-ROUNDDOWN(ROUNDUP(INDEX(Upgrades!$C$3:$C$13,MATCH(SUBSTITUTE(C25,""Sell_"",""""),Upgrades!$B$3:$B$13,0))*1.15^(COUNTIF(C$4:C24,SUBSTITUTE(C25,""Sell_"",""""))-COUNTIF(C$4:C24,""Sell_"&amp;"""&amp;SUBSTITUTE(C25,""Sell_"",""""))))/2),ROUNDUP(INDEX(Upgrades!$C$3:$C$13,MATCH(C25,Upgrades!$B$3:$B$13,0))*1.15^(COUNTIF(C$4:C24,C25)-COUNTIF(C$4:C24,""Sell_""&amp;C25))))))"),3000.0)</f>
        <v>3000</v>
      </c>
      <c r="H25" s="10">
        <f t="shared" si="3"/>
        <v>3000</v>
      </c>
      <c r="I25" s="68">
        <f t="shared" si="4"/>
        <v>48.05539684</v>
      </c>
      <c r="J25" s="59" t="str">
        <f t="shared" si="5"/>
        <v>48s</v>
      </c>
      <c r="K25" s="69">
        <f t="shared" si="6"/>
        <v>10712</v>
      </c>
      <c r="L25" s="60">
        <f t="shared" si="7"/>
        <v>0.68312</v>
      </c>
      <c r="M25" s="61">
        <f>IFERROR(__xludf.DUMMYFUNCTION("IFS(AND(COUNTA(C25:C1350)=0,COUNTA(Q25:Q1350)=0),"""",OR(AND(K25&gt;=1000000000,OR(Y25&gt;=1000000000,COUNTA(Q25:Q1350)=0)),OR(Y25&gt;=1000000000,AND(COUNTA(C25:C1350)=0,P$3=TRUE))),
ROUNDDOWN((AB$1-AC$1)*MAX(INDEX(T$4:T1350,MATCH(LARGE(FILTER(Y$4:Y1350,Y$4:Y1350&lt;"&amp;"1000000000),1),Y$4:Y1350)),INDEX(F$4:F1350,MATCH(LARGE(FILTER(K$4:K1350,K$4:K1350&lt;1000000000),1),K$4:K1350)))),AND(K25&lt;1000000000,COUNTA(C25:C1350)&gt;0,P$3=FALSE),
ROUNDDOWN(INDEX(Y$4:Y1350,MATCH(LARGE(FILTER(W$4:W1350,W$4:W1350&lt;=I25),1),W$4:W1350))+(I25-LA"&amp;"RGE(FILTER(W$4:W1350,W$4:W1350&lt;=I25),1))*INDEX(T$4:T1350,MATCH(LARGE(FILTER(W$4:W1350,W$4:W1350&lt;=I25),1),W$4:W1350))-K25),1,
ROUNDDOWN(Y25-INDEX(K$4:K1350,MATCH(LARGE(FILTER(I$4:I1350,I$4:I1350&lt;=W25),1),I$4:I1350))-(W25-LARGE(FILTER(I$4:I1350,I$4:I1350&lt;=W"&amp;"25),1))*INDEX(F$4:F1350,MATCH(LARGE(FILTER(I$4:I1350,I$4:I1350&lt;=W25),1),I$4:I1350))))"),-154.0)</f>
        <v>-154</v>
      </c>
      <c r="N25" s="60">
        <f t="shared" si="8"/>
        <v>0.68312</v>
      </c>
      <c r="O25" s="61">
        <f t="shared" si="9"/>
        <v>-154</v>
      </c>
      <c r="P25" s="56">
        <f t="shared" si="10"/>
        <v>8</v>
      </c>
      <c r="Q25" s="67" t="s">
        <v>5</v>
      </c>
      <c r="R25" s="10" t="b">
        <f>IFERROR(__xludf.DUMMYFUNCTION("IF(COUNTA(Q25:Q1350)=0,"""",IF(ISBLANK(Q25),FALSE,IF(NOT(COUNTIF($AA$24:$AA$34,SUBSTITUTE(Q25,""Sell_"",""""))),1,IF(REGEXMATCH(Q25,""Sell_""),IF(COUNTIF(Q$4:Q25,SUBSTITUTE(Q25,""Sell_"",""""))-COUNTIF(Q$4:Q24,Q25)&lt;1,1),FALSE))))"),FALSE)</f>
        <v>0</v>
      </c>
      <c r="S25" s="59">
        <f t="array" ref="S25">IF(COUNTA(Q25:Q1350)=0,"",SUM((COUNTIF(Q$4:Q25,Upgrades!$B$3:$B$13)-COUNTIF(Q$4:Q25,"Sell_"&amp;Upgrades!$B$3:$B$13))*Upgrades!$D$3:$D$13))</f>
        <v>124.6</v>
      </c>
      <c r="T25" s="66">
        <f>IFERROR(__xludf.DUMMYFUNCTION("IF(COUNTA(Q25:Q1350)=0,"""",IF(REGEXMATCH(INDEX(FILTER(Q$4:Q25,Q$4:Q25&lt;&gt;""""),ROWS(FILTER(Q$4:Q25,Q$4:Q25&lt;&gt;""""))),""^Sell_""),INDEX(FILTER(T$4:T24,Q$4:Q24&lt;&gt;""""),ROWS(FILTER(Q$4:Q24,Q$4:Q24&lt;&gt;""""))),$AD$5+S25))"),324.6)</f>
        <v>324.6</v>
      </c>
      <c r="U25" s="10">
        <f>IFERROR(__xludf.DUMMYFUNCTION("IF(COUNTA(Q25:Q1350)=0,"""",IF(Q25="""",0,IF(REGEXMATCH(Q25,""^Sell_""),-ROUNDDOWN(ROUNDUP(INDEX(Upgrades!$C$3:$C$13,MATCH(SUBSTITUTE(Q25,""Sell_"",""""),Upgrades!$B$3:$B$13,0))*1.15^(COUNTIF(Q$4:Q24,SUBSTITUTE(Q25,""Sell_"",""""))-COUNTIF(Q$4:Q24,""Sell_"&amp;"""&amp;SUBSTITUTE(Q25,""Sell_"",""""))))/2),ROUNDUP(INDEX(Upgrades!$C$3:$C$13,MATCH(Q25,Upgrades!$B$3:$B$13,0))*1.15^(COUNTIF(Q$4:Q24,Q25)-COUNTIF(Q$4:Q24,""Sell_""&amp;Q25))))))"),1331.0)</f>
        <v>1331</v>
      </c>
      <c r="V25" s="10">
        <f t="shared" si="11"/>
        <v>1331</v>
      </c>
      <c r="W25" s="68">
        <f t="shared" si="12"/>
        <v>128.2123295</v>
      </c>
      <c r="X25" s="59" t="str">
        <f t="shared" si="13"/>
        <v>2m 08s</v>
      </c>
      <c r="Y25" s="69">
        <f t="shared" si="14"/>
        <v>32002</v>
      </c>
      <c r="Z25" s="11"/>
      <c r="AA25" s="15" t="s">
        <v>4</v>
      </c>
      <c r="AB25" s="97" t="s">
        <v>55</v>
      </c>
    </row>
    <row r="26">
      <c r="A26" s="8"/>
      <c r="B26" s="56">
        <f t="shared" si="2"/>
        <v>2</v>
      </c>
      <c r="C26" s="57" t="s">
        <v>6</v>
      </c>
      <c r="D26" s="10" t="b">
        <f>IFERROR(__xludf.DUMMYFUNCTION("IF(COUNTA(C26:C1350)=0,"""",IF(ISBLANK(C26),FALSE,IF(NOT(COUNTIF($AA$24:$AA$34,SUBSTITUTE(C26,""Sell_"",""""))),1,IF(REGEXMATCH(C26,""Sell_""),IF(COUNTIF(C$4:C26,SUBSTITUTE(C26,""Sell_"",""""))-COUNTIF(C$4:C25,C26)&lt;1,1),FALSE))))"),FALSE)</f>
        <v>0</v>
      </c>
      <c r="E26" s="59">
        <f t="array" ref="E26">IF(COUNTA(C26:C1350)=0,"",SUM((COUNTIF(C$4:C26,Upgrades!$B$3:$B$13)-COUNTIF(C$4:C26,"Sell_"&amp;Upgrades!$B$3:$B$13))*Upgrades!$D$3:$D$13))</f>
        <v>55.2</v>
      </c>
      <c r="F26" s="66">
        <f>IFERROR(__xludf.DUMMYFUNCTION("IF(COUNTA(C26:C1350)=0,"""",IF(REGEXMATCH(INDEX(FILTER(C$4:C26,C$4:C26&lt;&gt;""""),ROWS(FILTER(C$4:C26,C$4:C26&lt;&gt;""""))),""^Sell_""),INDEX(FILTER(F$4:F25,C$4:C25&lt;&gt;""""),ROWS(FILTER(C$4:C25,C$4:C25&lt;&gt;""""))),$AC$5+E26))"),255.2)</f>
        <v>255.2</v>
      </c>
      <c r="G26" s="10">
        <f>IFERROR(__xludf.DUMMYFUNCTION("IF(COUNTA(C26:C1350)=0,"""",IF(C26="""",0,IF(REGEXMATCH(C26,""^Sell_""),-ROUNDDOWN(ROUNDUP(INDEX(Upgrades!$C$3:$C$13,MATCH(SUBSTITUTE(C26,""Sell_"",""""),Upgrades!$B$3:$B$13,0))*1.15^(COUNTIF(C$4:C25,SUBSTITUTE(C26,""Sell_"",""""))-COUNTIF(C$4:C25,""Sell_"&amp;"""&amp;SUBSTITUTE(C26,""Sell_"",""""))))/2),ROUNDUP(INDEX(Upgrades!$C$3:$C$13,MATCH(C26,Upgrades!$B$3:$B$13,0))*1.15^(COUNTIF(C$4:C25,C26)-COUNTIF(C$4:C25,""Sell_""&amp;C26))))))"),3450.0)</f>
        <v>3450</v>
      </c>
      <c r="H26" s="10">
        <f t="shared" si="3"/>
        <v>3450</v>
      </c>
      <c r="I26" s="68">
        <f t="shared" si="4"/>
        <v>62.12554366</v>
      </c>
      <c r="J26" s="59" t="str">
        <f t="shared" si="5"/>
        <v>1m 02s</v>
      </c>
      <c r="K26" s="69">
        <f t="shared" si="6"/>
        <v>14162</v>
      </c>
      <c r="L26" s="60">
        <f t="shared" si="7"/>
        <v>1.87846</v>
      </c>
      <c r="M26" s="61">
        <f>IFERROR(__xludf.DUMMYFUNCTION("IFS(AND(COUNTA(C26:C1350)=0,COUNTA(Q26:Q1350)=0),"""",OR(AND(K26&gt;=1000000000,OR(Y26&gt;=1000000000,COUNTA(Q26:Q1350)=0)),OR(Y26&gt;=1000000000,AND(COUNTA(C26:C1350)=0,P$3=TRUE))),
ROUNDDOWN((AB$1-AC$1)*MAX(INDEX(T$4:T1350,MATCH(LARGE(FILTER(Y$4:Y1350,Y$4:Y1350&lt;"&amp;"1000000000),1),Y$4:Y1350)),INDEX(F$4:F1350,MATCH(LARGE(FILTER(K$4:K1350,K$4:K1350&lt;1000000000),1),K$4:K1350)))),AND(K26&lt;1000000000,COUNTA(C26:C1350)&gt;0,P$3=FALSE),
ROUNDDOWN(INDEX(Y$4:Y1350,MATCH(LARGE(FILTER(W$4:W1350,W$4:W1350&lt;=I26),1),W$4:W1350))+(I26-LA"&amp;"RGE(FILTER(W$4:W1350,W$4:W1350&lt;=I26),1))*INDEX(T$4:T1350,MATCH(LARGE(FILTER(W$4:W1350,W$4:W1350&lt;=I26),1),W$4:W1350))-K26),1,
ROUNDDOWN(Y26-INDEX(K$4:K1350,MATCH(LARGE(FILTER(I$4:I1350,I$4:I1350&lt;=W26),1),I$4:I1350))-(W26-LARGE(FILTER(I$4:I1350,I$4:I1350&lt;=W"&amp;"26),1))*INDEX(F$4:F1350,MATCH(LARGE(FILTER(I$4:I1350,I$4:I1350&lt;=W26),1),I$4:I1350))))"),-424.0)</f>
        <v>-424</v>
      </c>
      <c r="N26" s="60">
        <f t="shared" si="8"/>
        <v>1.87846</v>
      </c>
      <c r="O26" s="61">
        <f t="shared" si="9"/>
        <v>-424</v>
      </c>
      <c r="P26" s="56">
        <f t="shared" si="10"/>
        <v>7</v>
      </c>
      <c r="Q26" s="67" t="s">
        <v>3</v>
      </c>
      <c r="R26" s="10" t="b">
        <f>IFERROR(__xludf.DUMMYFUNCTION("IF(COUNTA(Q26:Q1350)=0,"""",IF(ISBLANK(Q26),FALSE,IF(NOT(COUNTIF($AA$24:$AA$34,SUBSTITUTE(Q26,""Sell_"",""""))),1,IF(REGEXMATCH(Q26,""Sell_""),IF(COUNTIF(Q$4:Q26,SUBSTITUTE(Q26,""Sell_"",""""))-COUNTIF(Q$4:Q25,Q26)&lt;1,1),FALSE))))"),FALSE)</f>
        <v>0</v>
      </c>
      <c r="S26" s="59">
        <f t="array" ref="S26">IF(COUNTA(Q26:Q1350)=0,"",SUM((COUNTIF(Q$4:Q26,Upgrades!$B$3:$B$13)-COUNTIF(Q$4:Q26,"Sell_"&amp;Upgrades!$B$3:$B$13))*Upgrades!$D$3:$D$13))</f>
        <v>124.7</v>
      </c>
      <c r="T26" s="66">
        <f>IFERROR(__xludf.DUMMYFUNCTION("IF(COUNTA(Q26:Q1350)=0,"""",IF(REGEXMATCH(INDEX(FILTER(Q$4:Q26,Q$4:Q26&lt;&gt;""""),ROWS(FILTER(Q$4:Q26,Q$4:Q26&lt;&gt;""""))),""^Sell_""),INDEX(FILTER(T$4:T25,Q$4:Q25&lt;&gt;""""),ROWS(FILTER(Q$4:Q25,Q$4:Q25&lt;&gt;""""))),$AD$5+S26))"),324.7)</f>
        <v>324.7</v>
      </c>
      <c r="U26" s="10">
        <f>IFERROR(__xludf.DUMMYFUNCTION("IF(COUNTA(Q26:Q1350)=0,"""",IF(Q26="""",0,IF(REGEXMATCH(Q26,""^Sell_""),-ROUNDDOWN(ROUNDUP(INDEX(Upgrades!$C$3:$C$13,MATCH(SUBSTITUTE(Q26,""Sell_"",""""),Upgrades!$B$3:$B$13,0))*1.15^(COUNTIF(Q$4:Q25,SUBSTITUTE(Q26,""Sell_"",""""))-COUNTIF(Q$4:Q25,""Sell_"&amp;"""&amp;SUBSTITUTE(Q26,""Sell_"",""""))))/2),ROUNDUP(INDEX(Upgrades!$C$3:$C$13,MATCH(Q26,Upgrades!$B$3:$B$13,0))*1.15^(COUNTIF(Q$4:Q25,Q26)-COUNTIF(Q$4:Q25,""Sell_""&amp;Q26))))))"),35.0)</f>
        <v>35</v>
      </c>
      <c r="V26" s="10">
        <f t="shared" si="11"/>
        <v>35</v>
      </c>
      <c r="W26" s="68">
        <f t="shared" si="12"/>
        <v>128.3201545</v>
      </c>
      <c r="X26" s="59" t="str">
        <f t="shared" si="13"/>
        <v>2m 08s</v>
      </c>
      <c r="Y26" s="69">
        <f t="shared" si="14"/>
        <v>32037</v>
      </c>
      <c r="Z26" s="11"/>
      <c r="AA26" s="15" t="s">
        <v>5</v>
      </c>
      <c r="AB26" s="97" t="s">
        <v>55</v>
      </c>
    </row>
    <row r="27">
      <c r="A27" s="8"/>
      <c r="B27" s="56">
        <f t="shared" si="2"/>
        <v>1</v>
      </c>
      <c r="C27" s="57" t="s">
        <v>7</v>
      </c>
      <c r="D27" s="10" t="b">
        <f>IFERROR(__xludf.DUMMYFUNCTION("IF(COUNTA(C27:C1350)=0,"""",IF(ISBLANK(C27),FALSE,IF(NOT(COUNTIF($AA$24:$AA$34,SUBSTITUTE(C27,""Sell_"",""""))),1,IF(REGEXMATCH(C27,""Sell_""),IF(COUNTIF(C$4:C27,SUBSTITUTE(C27,""Sell_"",""""))-COUNTIF(C$4:C26,C27)&lt;1,1),FALSE))))"),FALSE)</f>
        <v>0</v>
      </c>
      <c r="E27" s="59">
        <f t="array" ref="E27">IF(COUNTA(C27:C1350)=0,"",SUM((COUNTIF(C$4:C27,Upgrades!$B$3:$B$13)-COUNTIF(C$4:C27,"Sell_"&amp;Upgrades!$B$3:$B$13))*Upgrades!$D$3:$D$13))</f>
        <v>95.2</v>
      </c>
      <c r="F27" s="66">
        <f>IFERROR(__xludf.DUMMYFUNCTION("IF(COUNTA(C27:C1350)=0,"""",IF(REGEXMATCH(INDEX(FILTER(C$4:C27,C$4:C27&lt;&gt;""""),ROWS(FILTER(C$4:C27,C$4:C27&lt;&gt;""""))),""^Sell_""),INDEX(FILTER(F$4:F26,C$4:C26&lt;&gt;""""),ROWS(FILTER(C$4:C26,C$4:C26&lt;&gt;""""))),$AC$5+E27))"),295.2)</f>
        <v>295.2</v>
      </c>
      <c r="G27" s="10">
        <f>IFERROR(__xludf.DUMMYFUNCTION("IF(COUNTA(C27:C1350)=0,"""",IF(C27="""",0,IF(REGEXMATCH(C27,""^Sell_""),-ROUNDDOWN(ROUNDUP(INDEX(Upgrades!$C$3:$C$13,MATCH(SUBSTITUTE(C27,""Sell_"",""""),Upgrades!$B$3:$B$13,0))*1.15^(COUNTIF(C$4:C26,SUBSTITUTE(C27,""Sell_"",""""))-COUNTIF(C$4:C26,""Sell_"&amp;"""&amp;SUBSTITUTE(C27,""Sell_"",""""))))/2),ROUNDUP(INDEX(Upgrades!$C$3:$C$13,MATCH(C27,Upgrades!$B$3:$B$13,0))*1.15^(COUNTIF(C$4:C26,C27)-COUNTIF(C$4:C26,""Sell_""&amp;C27))))))"),10000.0)</f>
        <v>10000</v>
      </c>
      <c r="H27" s="10">
        <f t="shared" si="3"/>
        <v>10000</v>
      </c>
      <c r="I27" s="68">
        <f t="shared" si="4"/>
        <v>101.3104966</v>
      </c>
      <c r="J27" s="59" t="str">
        <f t="shared" si="5"/>
        <v>1m 41s</v>
      </c>
      <c r="K27" s="69">
        <f t="shared" si="6"/>
        <v>24162</v>
      </c>
      <c r="L27" s="60">
        <f t="shared" si="7"/>
        <v>-0.44647</v>
      </c>
      <c r="M27" s="61">
        <f>IFERROR(__xludf.DUMMYFUNCTION("IFS(AND(COUNTA(C27:C1350)=0,COUNTA(Q27:Q1350)=0),"""",OR(AND(K27&gt;=1000000000,OR(Y27&gt;=1000000000,COUNTA(Q27:Q1350)=0)),OR(Y27&gt;=1000000000,AND(COUNTA(C27:C1350)=0,P$3=TRUE))),
ROUNDDOWN((AB$1-AC$1)*MAX(INDEX(T$4:T1350,MATCH(LARGE(FILTER(Y$4:Y1350,Y$4:Y1350&lt;"&amp;"1000000000),1),Y$4:Y1350)),INDEX(F$4:F1350,MATCH(LARGE(FILTER(K$4:K1350,K$4:K1350&lt;1000000000),1),K$4:K1350)))),AND(K27&lt;1000000000,COUNTA(C27:C1350)&gt;0,P$3=FALSE),
ROUNDDOWN(INDEX(Y$4:Y1350,MATCH(LARGE(FILTER(W$4:W1350,W$4:W1350&lt;=I27),1),W$4:W1350))+(I27-LA"&amp;"RGE(FILTER(W$4:W1350,W$4:W1350&lt;=I27),1))*INDEX(T$4:T1350,MATCH(LARGE(FILTER(W$4:W1350,W$4:W1350&lt;=I27),1),W$4:W1350))-K27),1,
ROUNDDOWN(Y27-INDEX(K$4:K1350,MATCH(LARGE(FILTER(I$4:I1350,I$4:I1350&lt;=W27),1),I$4:I1350))-(W27-LARGE(FILTER(I$4:I1350,I$4:I1350&lt;=W"&amp;"27),1))*INDEX(F$4:F1350,MATCH(LARGE(FILTER(I$4:I1350,I$4:I1350&lt;=W27),1),I$4:I1350))))"),125.0)</f>
        <v>125</v>
      </c>
      <c r="N27" s="60">
        <f t="shared" si="8"/>
        <v>-0.44647</v>
      </c>
      <c r="O27" s="61">
        <f t="shared" si="9"/>
        <v>125</v>
      </c>
      <c r="P27" s="56">
        <f t="shared" si="10"/>
        <v>5</v>
      </c>
      <c r="Q27" s="67" t="s">
        <v>4</v>
      </c>
      <c r="R27" s="10" t="b">
        <f>IFERROR(__xludf.DUMMYFUNCTION("IF(COUNTA(Q27:Q1350)=0,"""",IF(ISBLANK(Q27),FALSE,IF(NOT(COUNTIF($AA$24:$AA$34,SUBSTITUTE(Q27,""Sell_"",""""))),1,IF(REGEXMATCH(Q27,""Sell_""),IF(COUNTIF(Q$4:Q27,SUBSTITUTE(Q27,""Sell_"",""""))-COUNTIF(Q$4:Q26,Q27)&lt;1,1),FALSE))))"),FALSE)</f>
        <v>0</v>
      </c>
      <c r="S27" s="59">
        <f t="array" ref="S27">IF(COUNTA(Q27:Q1350)=0,"",SUM((COUNTIF(Q$4:Q27,Upgrades!$B$3:$B$13)-COUNTIF(Q$4:Q27,"Sell_"&amp;Upgrades!$B$3:$B$13))*Upgrades!$D$3:$D$13))</f>
        <v>125.2</v>
      </c>
      <c r="T27" s="66">
        <f>IFERROR(__xludf.DUMMYFUNCTION("IF(COUNTA(Q27:Q1350)=0,"""",IF(REGEXMATCH(INDEX(FILTER(Q$4:Q27,Q$4:Q27&lt;&gt;""""),ROWS(FILTER(Q$4:Q27,Q$4:Q27&lt;&gt;""""))),""^Sell_""),INDEX(FILTER(T$4:T26,Q$4:Q26&lt;&gt;""""),ROWS(FILTER(Q$4:Q26,Q$4:Q26&lt;&gt;""""))),$AD$5+S27))"),325.2)</f>
        <v>325.2</v>
      </c>
      <c r="U27" s="10">
        <f>IFERROR(__xludf.DUMMYFUNCTION("IF(COUNTA(Q27:Q1350)=0,"""",IF(Q27="""",0,IF(REGEXMATCH(Q27,""^Sell_""),-ROUNDDOWN(ROUNDUP(INDEX(Upgrades!$C$3:$C$13,MATCH(SUBSTITUTE(Q27,""Sell_"",""""),Upgrades!$B$3:$B$13,0))*1.15^(COUNTIF(Q$4:Q26,SUBSTITUTE(Q27,""Sell_"",""""))-COUNTIF(Q$4:Q26,""Sell_"&amp;"""&amp;SUBSTITUTE(Q27,""Sell_"",""""))))/2),ROUNDUP(INDEX(Upgrades!$C$3:$C$13,MATCH(Q27,Upgrades!$B$3:$B$13,0))*1.15^(COUNTIF(Q$4:Q26,Q27)-COUNTIF(Q$4:Q26,""Sell_""&amp;Q27))))))"),175.0)</f>
        <v>175</v>
      </c>
      <c r="V27" s="10">
        <f t="shared" si="11"/>
        <v>175</v>
      </c>
      <c r="W27" s="68">
        <f t="shared" si="12"/>
        <v>128.8591136</v>
      </c>
      <c r="X27" s="59" t="str">
        <f t="shared" si="13"/>
        <v>2m 08s</v>
      </c>
      <c r="Y27" s="69">
        <f t="shared" si="14"/>
        <v>32212</v>
      </c>
      <c r="Z27" s="11"/>
      <c r="AA27" s="15" t="s">
        <v>6</v>
      </c>
      <c r="AB27" s="97" t="s">
        <v>55</v>
      </c>
    </row>
    <row r="28">
      <c r="A28" s="8"/>
      <c r="B28" s="56">
        <f t="shared" si="2"/>
        <v>2</v>
      </c>
      <c r="C28" s="57" t="s">
        <v>7</v>
      </c>
      <c r="D28" s="10" t="b">
        <f>IFERROR(__xludf.DUMMYFUNCTION("IF(COUNTA(C28:C1350)=0,"""",IF(ISBLANK(C28),FALSE,IF(NOT(COUNTIF($AA$24:$AA$34,SUBSTITUTE(C28,""Sell_"",""""))),1,IF(REGEXMATCH(C28,""Sell_""),IF(COUNTIF(C$4:C28,SUBSTITUTE(C28,""Sell_"",""""))-COUNTIF(C$4:C27,C28)&lt;1,1),FALSE))))"),FALSE)</f>
        <v>0</v>
      </c>
      <c r="E28" s="59">
        <f t="array" ref="E28">IF(COUNTA(C28:C1350)=0,"",SUM((COUNTIF(C$4:C28,Upgrades!$B$3:$B$13)-COUNTIF(C$4:C28,"Sell_"&amp;Upgrades!$B$3:$B$13))*Upgrades!$D$3:$D$13))</f>
        <v>135.2</v>
      </c>
      <c r="F28" s="66">
        <f>IFERROR(__xludf.DUMMYFUNCTION("IF(COUNTA(C28:C1350)=0,"""",IF(REGEXMATCH(INDEX(FILTER(C$4:C28,C$4:C28&lt;&gt;""""),ROWS(FILTER(C$4:C28,C$4:C28&lt;&gt;""""))),""^Sell_""),INDEX(FILTER(F$4:F27,C$4:C27&lt;&gt;""""),ROWS(FILTER(C$4:C27,C$4:C27&lt;&gt;""""))),$AC$5+E28))"),335.2)</f>
        <v>335.2</v>
      </c>
      <c r="G28" s="10">
        <f>IFERROR(__xludf.DUMMYFUNCTION("IF(COUNTA(C28:C1350)=0,"""",IF(C28="""",0,IF(REGEXMATCH(C28,""^Sell_""),-ROUNDDOWN(ROUNDUP(INDEX(Upgrades!$C$3:$C$13,MATCH(SUBSTITUTE(C28,""Sell_"",""""),Upgrades!$B$3:$B$13,0))*1.15^(COUNTIF(C$4:C27,SUBSTITUTE(C28,""Sell_"",""""))-COUNTIF(C$4:C27,""Sell_"&amp;"""&amp;SUBSTITUTE(C28,""Sell_"",""""))))/2),ROUNDUP(INDEX(Upgrades!$C$3:$C$13,MATCH(C28,Upgrades!$B$3:$B$13,0))*1.15^(COUNTIF(C$4:C27,C28)-COUNTIF(C$4:C27,""Sell_""&amp;C28))))))"),11500.0)</f>
        <v>11500</v>
      </c>
      <c r="H28" s="10">
        <f t="shared" si="3"/>
        <v>11500</v>
      </c>
      <c r="I28" s="68">
        <f t="shared" si="4"/>
        <v>140.2671362</v>
      </c>
      <c r="J28" s="59" t="str">
        <f t="shared" si="5"/>
        <v>2m 20s</v>
      </c>
      <c r="K28" s="69">
        <f t="shared" si="6"/>
        <v>35662</v>
      </c>
      <c r="L28" s="60">
        <f t="shared" si="7"/>
        <v>-0.79916</v>
      </c>
      <c r="M28" s="61">
        <f>IFERROR(__xludf.DUMMYFUNCTION("IFS(AND(COUNTA(C28:C1350)=0,COUNTA(Q28:Q1350)=0),"""",OR(AND(K28&gt;=1000000000,OR(Y28&gt;=1000000000,COUNTA(Q28:Q1350)=0)),OR(Y28&gt;=1000000000,AND(COUNTA(C28:C1350)=0,P$3=TRUE))),
ROUNDDOWN((AB$1-AC$1)*MAX(INDEX(T$4:T1350,MATCH(LARGE(FILTER(Y$4:Y1350,Y$4:Y1350&lt;"&amp;"1000000000),1),Y$4:Y1350)),INDEX(F$4:F1350,MATCH(LARGE(FILTER(K$4:K1350,K$4:K1350&lt;1000000000),1),K$4:K1350)))),AND(K28&lt;1000000000,COUNTA(C28:C1350)&gt;0,P$3=FALSE),
ROUNDDOWN(INDEX(Y$4:Y1350,MATCH(LARGE(FILTER(W$4:W1350,W$4:W1350&lt;=I28),1),W$4:W1350))+(I28-LA"&amp;"RGE(FILTER(W$4:W1350,W$4:W1350&lt;=I28),1))*INDEX(T$4:T1350,MATCH(LARGE(FILTER(W$4:W1350,W$4:W1350&lt;=I28),1),W$4:W1350))-K28),1,
ROUNDDOWN(Y28-INDEX(K$4:K1350,MATCH(LARGE(FILTER(I$4:I1350,I$4:I1350&lt;=W28),1),I$4:I1350))-(W28-LARGE(FILTER(I$4:I1350,I$4:I1350&lt;=W"&amp;"28),1))*INDEX(F$4:F1350,MATCH(LARGE(FILTER(I$4:I1350,I$4:I1350&lt;=W28),1),I$4:I1350))))"),267.0)</f>
        <v>267</v>
      </c>
      <c r="N28" s="60">
        <f t="shared" si="8"/>
        <v>-0.79916</v>
      </c>
      <c r="O28" s="61">
        <f t="shared" si="9"/>
        <v>267</v>
      </c>
      <c r="P28" s="56">
        <f t="shared" si="10"/>
        <v>2</v>
      </c>
      <c r="Q28" s="67" t="s">
        <v>6</v>
      </c>
      <c r="R28" s="10" t="b">
        <f>IFERROR(__xludf.DUMMYFUNCTION("IF(COUNTA(Q28:Q1350)=0,"""",IF(ISBLANK(Q28),FALSE,IF(NOT(COUNTIF($AA$24:$AA$34,SUBSTITUTE(Q28,""Sell_"",""""))),1,IF(REGEXMATCH(Q28,""Sell_""),IF(COUNTIF(Q$4:Q28,SUBSTITUTE(Q28,""Sell_"",""""))-COUNTIF(Q$4:Q27,Q28)&lt;1,1),FALSE))))"),FALSE)</f>
        <v>0</v>
      </c>
      <c r="S28" s="59">
        <f t="array" ref="S28">IF(COUNTA(Q28:Q1350)=0,"",SUM((COUNTIF(Q$4:Q28,Upgrades!$B$3:$B$13)-COUNTIF(Q$4:Q28,"Sell_"&amp;Upgrades!$B$3:$B$13))*Upgrades!$D$3:$D$13))</f>
        <v>135.2</v>
      </c>
      <c r="T28" s="66">
        <f>IFERROR(__xludf.DUMMYFUNCTION("IF(COUNTA(Q28:Q1350)=0,"""",IF(REGEXMATCH(INDEX(FILTER(Q$4:Q28,Q$4:Q28&lt;&gt;""""),ROWS(FILTER(Q$4:Q28,Q$4:Q28&lt;&gt;""""))),""^Sell_""),INDEX(FILTER(T$4:T27,Q$4:Q27&lt;&gt;""""),ROWS(FILTER(Q$4:Q27,Q$4:Q27&lt;&gt;""""))),$AD$5+S28))"),335.2)</f>
        <v>335.2</v>
      </c>
      <c r="U28" s="10">
        <f>IFERROR(__xludf.DUMMYFUNCTION("IF(COUNTA(Q28:Q1350)=0,"""",IF(Q28="""",0,IF(REGEXMATCH(Q28,""^Sell_""),-ROUNDDOWN(ROUNDUP(INDEX(Upgrades!$C$3:$C$13,MATCH(SUBSTITUTE(Q28,""Sell_"",""""),Upgrades!$B$3:$B$13,0))*1.15^(COUNTIF(Q$4:Q27,SUBSTITUTE(Q28,""Sell_"",""""))-COUNTIF(Q$4:Q27,""Sell_"&amp;"""&amp;SUBSTITUTE(Q28,""Sell_"",""""))))/2),ROUNDUP(INDEX(Upgrades!$C$3:$C$13,MATCH(Q28,Upgrades!$B$3:$B$13,0))*1.15^(COUNTIF(Q$4:Q27,Q28)-COUNTIF(Q$4:Q27,""Sell_""&amp;Q28))))))"),3450.0)</f>
        <v>3450</v>
      </c>
      <c r="V28" s="10">
        <f t="shared" si="11"/>
        <v>3450</v>
      </c>
      <c r="W28" s="68">
        <f t="shared" si="12"/>
        <v>139.4679697</v>
      </c>
      <c r="X28" s="59" t="str">
        <f t="shared" si="13"/>
        <v>2m 19s</v>
      </c>
      <c r="Y28" s="69">
        <f t="shared" si="14"/>
        <v>35662</v>
      </c>
      <c r="Z28" s="11"/>
      <c r="AA28" s="15" t="s">
        <v>7</v>
      </c>
      <c r="AB28" s="97" t="s">
        <v>55</v>
      </c>
    </row>
    <row r="29">
      <c r="A29" s="8"/>
      <c r="B29" s="56">
        <f t="shared" si="2"/>
        <v>3</v>
      </c>
      <c r="C29" s="57" t="s">
        <v>7</v>
      </c>
      <c r="D29" s="10" t="b">
        <f>IFERROR(__xludf.DUMMYFUNCTION("IF(COUNTA(C29:C1350)=0,"""",IF(ISBLANK(C29),FALSE,IF(NOT(COUNTIF($AA$24:$AA$34,SUBSTITUTE(C29,""Sell_"",""""))),1,IF(REGEXMATCH(C29,""Sell_""),IF(COUNTIF(C$4:C29,SUBSTITUTE(C29,""Sell_"",""""))-COUNTIF(C$4:C28,C29)&lt;1,1),FALSE))))"),FALSE)</f>
        <v>0</v>
      </c>
      <c r="E29" s="59">
        <f t="array" ref="E29">IF(COUNTA(C29:C1350)=0,"",SUM((COUNTIF(C$4:C29,Upgrades!$B$3:$B$13)-COUNTIF(C$4:C29,"Sell_"&amp;Upgrades!$B$3:$B$13))*Upgrades!$D$3:$D$13))</f>
        <v>175.2</v>
      </c>
      <c r="F29" s="66">
        <f>IFERROR(__xludf.DUMMYFUNCTION("IF(COUNTA(C29:C1350)=0,"""",IF(REGEXMATCH(INDEX(FILTER(C$4:C29,C$4:C29&lt;&gt;""""),ROWS(FILTER(C$4:C29,C$4:C29&lt;&gt;""""))),""^Sell_""),INDEX(FILTER(F$4:F28,C$4:C28&lt;&gt;""""),ROWS(FILTER(C$4:C28,C$4:C28&lt;&gt;""""))),$AC$5+E29))"),375.2)</f>
        <v>375.2</v>
      </c>
      <c r="G29" s="10">
        <f>IFERROR(__xludf.DUMMYFUNCTION("IF(COUNTA(C29:C1350)=0,"""",IF(C29="""",0,IF(REGEXMATCH(C29,""^Sell_""),-ROUNDDOWN(ROUNDUP(INDEX(Upgrades!$C$3:$C$13,MATCH(SUBSTITUTE(C29,""Sell_"",""""),Upgrades!$B$3:$B$13,0))*1.15^(COUNTIF(C$4:C28,SUBSTITUTE(C29,""Sell_"",""""))-COUNTIF(C$4:C28,""Sell_"&amp;"""&amp;SUBSTITUTE(C29,""Sell_"",""""))))/2),ROUNDUP(INDEX(Upgrades!$C$3:$C$13,MATCH(C29,Upgrades!$B$3:$B$13,0))*1.15^(COUNTIF(C$4:C28,C29)-COUNTIF(C$4:C28,""Sell_""&amp;C29))))))"),13225.0)</f>
        <v>13225</v>
      </c>
      <c r="H29" s="10">
        <f t="shared" si="3"/>
        <v>13225</v>
      </c>
      <c r="I29" s="68">
        <f t="shared" si="4"/>
        <v>179.7211935</v>
      </c>
      <c r="J29" s="59" t="str">
        <f t="shared" si="5"/>
        <v>2m 59s</v>
      </c>
      <c r="K29" s="69">
        <f t="shared" si="6"/>
        <v>48887</v>
      </c>
      <c r="L29" s="60">
        <f t="shared" si="7"/>
        <v>-0.79916</v>
      </c>
      <c r="M29" s="61">
        <f>IFERROR(__xludf.DUMMYFUNCTION("IFS(AND(COUNTA(C29:C1350)=0,COUNTA(Q29:Q1350)=0),"""",OR(AND(K29&gt;=1000000000,OR(Y29&gt;=1000000000,COUNTA(Q29:Q1350)=0)),OR(Y29&gt;=1000000000,AND(COUNTA(C29:C1350)=0,P$3=TRUE))),
ROUNDDOWN((AB$1-AC$1)*MAX(INDEX(T$4:T1350,MATCH(LARGE(FILTER(Y$4:Y1350,Y$4:Y1350&lt;"&amp;"1000000000),1),Y$4:Y1350)),INDEX(F$4:F1350,MATCH(LARGE(FILTER(K$4:K1350,K$4:K1350&lt;1000000000),1),K$4:K1350)))),AND(K29&lt;1000000000,COUNTA(C29:C1350)&gt;0,P$3=FALSE),
ROUNDDOWN(INDEX(Y$4:Y1350,MATCH(LARGE(FILTER(W$4:W1350,W$4:W1350&lt;=I29),1),W$4:W1350))+(I29-LA"&amp;"RGE(FILTER(W$4:W1350,W$4:W1350&lt;=I29),1))*INDEX(T$4:T1350,MATCH(LARGE(FILTER(W$4:W1350,W$4:W1350&lt;=I29),1),W$4:W1350))-K29),1,
ROUNDDOWN(Y29-INDEX(K$4:K1350,MATCH(LARGE(FILTER(I$4:I1350,I$4:I1350&lt;=W29),1),I$4:I1350))-(W29-LARGE(FILTER(I$4:I1350,I$4:I1350&lt;=W"&amp;"29),1))*INDEX(F$4:F1350,MATCH(LARGE(FILTER(I$4:I1350,I$4:I1350&lt;=W29),1),I$4:I1350))))"),299.0)</f>
        <v>299</v>
      </c>
      <c r="N29" s="60">
        <f t="shared" si="8"/>
        <v>-0.79916</v>
      </c>
      <c r="O29" s="61">
        <f t="shared" si="9"/>
        <v>299</v>
      </c>
      <c r="P29" s="56">
        <f t="shared" si="10"/>
        <v>3</v>
      </c>
      <c r="Q29" s="67" t="s">
        <v>7</v>
      </c>
      <c r="R29" s="10" t="b">
        <f>IFERROR(__xludf.DUMMYFUNCTION("IF(COUNTA(Q29:Q1350)=0,"""",IF(ISBLANK(Q29),FALSE,IF(NOT(COUNTIF($AA$24:$AA$34,SUBSTITUTE(Q29,""Sell_"",""""))),1,IF(REGEXMATCH(Q29,""Sell_""),IF(COUNTIF(Q$4:Q29,SUBSTITUTE(Q29,""Sell_"",""""))-COUNTIF(Q$4:Q28,Q29)&lt;1,1),FALSE))))"),FALSE)</f>
        <v>0</v>
      </c>
      <c r="S29" s="59">
        <f t="array" ref="S29">IF(COUNTA(Q29:Q1350)=0,"",SUM((COUNTIF(Q$4:Q29,Upgrades!$B$3:$B$13)-COUNTIF(Q$4:Q29,"Sell_"&amp;Upgrades!$B$3:$B$13))*Upgrades!$D$3:$D$13))</f>
        <v>175.2</v>
      </c>
      <c r="T29" s="66">
        <f>IFERROR(__xludf.DUMMYFUNCTION("IF(COUNTA(Q29:Q1350)=0,"""",IF(REGEXMATCH(INDEX(FILTER(Q$4:Q29,Q$4:Q29&lt;&gt;""""),ROWS(FILTER(Q$4:Q29,Q$4:Q29&lt;&gt;""""))),""^Sell_""),INDEX(FILTER(T$4:T28,Q$4:Q28&lt;&gt;""""),ROWS(FILTER(Q$4:Q28,Q$4:Q28&lt;&gt;""""))),$AD$5+S29))"),375.2)</f>
        <v>375.2</v>
      </c>
      <c r="U29" s="10">
        <f>IFERROR(__xludf.DUMMYFUNCTION("IF(COUNTA(Q29:Q1350)=0,"""",IF(Q29="""",0,IF(REGEXMATCH(Q29,""^Sell_""),-ROUNDDOWN(ROUNDUP(INDEX(Upgrades!$C$3:$C$13,MATCH(SUBSTITUTE(Q29,""Sell_"",""""),Upgrades!$B$3:$B$13,0))*1.15^(COUNTIF(Q$4:Q28,SUBSTITUTE(Q29,""Sell_"",""""))-COUNTIF(Q$4:Q28,""Sell_"&amp;"""&amp;SUBSTITUTE(Q29,""Sell_"",""""))))/2),ROUNDUP(INDEX(Upgrades!$C$3:$C$13,MATCH(Q29,Upgrades!$B$3:$B$13,0))*1.15^(COUNTIF(Q$4:Q28,Q29)-COUNTIF(Q$4:Q28,""Sell_""&amp;Q29))))))"),13225.0)</f>
        <v>13225</v>
      </c>
      <c r="V29" s="10">
        <f t="shared" si="11"/>
        <v>13225</v>
      </c>
      <c r="W29" s="68">
        <f t="shared" si="12"/>
        <v>178.9220269</v>
      </c>
      <c r="X29" s="59" t="str">
        <f t="shared" si="13"/>
        <v>2m 58s</v>
      </c>
      <c r="Y29" s="69">
        <f t="shared" si="14"/>
        <v>48887</v>
      </c>
      <c r="Z29" s="11"/>
      <c r="AA29" s="15" t="s">
        <v>8</v>
      </c>
      <c r="AB29" s="97" t="s">
        <v>55</v>
      </c>
    </row>
    <row r="30">
      <c r="A30" s="8"/>
      <c r="B30" s="56">
        <f t="shared" si="2"/>
        <v>9</v>
      </c>
      <c r="C30" s="57" t="s">
        <v>5</v>
      </c>
      <c r="D30" s="10" t="b">
        <f>IFERROR(__xludf.DUMMYFUNCTION("IF(COUNTA(C30:C1350)=0,"""",IF(ISBLANK(C30),FALSE,IF(NOT(COUNTIF($AA$24:$AA$34,SUBSTITUTE(C30,""Sell_"",""""))),1,IF(REGEXMATCH(C30,""Sell_""),IF(COUNTIF(C$4:C30,SUBSTITUTE(C30,""Sell_"",""""))-COUNTIF(C$4:C29,C30)&lt;1,1),FALSE))))"),FALSE)</f>
        <v>0</v>
      </c>
      <c r="E30" s="59">
        <f t="array" ref="E30">IF(COUNTA(C30:C1350)=0,"",SUM((COUNTIF(C$4:C30,Upgrades!$B$3:$B$13)-COUNTIF(C$4:C30,"Sell_"&amp;Upgrades!$B$3:$B$13))*Upgrades!$D$3:$D$13))</f>
        <v>179.2</v>
      </c>
      <c r="F30" s="66">
        <f>IFERROR(__xludf.DUMMYFUNCTION("IF(COUNTA(C30:C1350)=0,"""",IF(REGEXMATCH(INDEX(FILTER(C$4:C30,C$4:C30&lt;&gt;""""),ROWS(FILTER(C$4:C30,C$4:C30&lt;&gt;""""))),""^Sell_""),INDEX(FILTER(F$4:F29,C$4:C29&lt;&gt;""""),ROWS(FILTER(C$4:C29,C$4:C29&lt;&gt;""""))),$AC$5+E30))"),379.2)</f>
        <v>379.2</v>
      </c>
      <c r="G30" s="10">
        <f>IFERROR(__xludf.DUMMYFUNCTION("IF(COUNTA(C30:C1350)=0,"""",IF(C30="""",0,IF(REGEXMATCH(C30,""^Sell_""),-ROUNDDOWN(ROUNDUP(INDEX(Upgrades!$C$3:$C$13,MATCH(SUBSTITUTE(C30,""Sell_"",""""),Upgrades!$B$3:$B$13,0))*1.15^(COUNTIF(C$4:C29,SUBSTITUTE(C30,""Sell_"",""""))-COUNTIF(C$4:C29,""Sell_"&amp;"""&amp;SUBSTITUTE(C30,""Sell_"",""""))))/2),ROUNDUP(INDEX(Upgrades!$C$3:$C$13,MATCH(C30,Upgrades!$B$3:$B$13,0))*1.15^(COUNTIF(C$4:C29,C30)-COUNTIF(C$4:C29,""Sell_""&amp;C30))))))"),1530.0)</f>
        <v>1530</v>
      </c>
      <c r="H30" s="10">
        <f t="shared" si="3"/>
        <v>1530</v>
      </c>
      <c r="I30" s="68">
        <f t="shared" si="4"/>
        <v>183.7990186</v>
      </c>
      <c r="J30" s="59" t="str">
        <f t="shared" si="5"/>
        <v>3m 03s</v>
      </c>
      <c r="K30" s="69">
        <f t="shared" si="6"/>
        <v>50417</v>
      </c>
      <c r="L30" s="60">
        <f t="shared" si="7"/>
        <v>-0.79916</v>
      </c>
      <c r="M30" s="61">
        <f>IFERROR(__xludf.DUMMYFUNCTION("IFS(AND(COUNTA(C30:C1350)=0,COUNTA(Q30:Q1350)=0),"""",OR(AND(K30&gt;=1000000000,OR(Y30&gt;=1000000000,COUNTA(Q30:Q1350)=0)),OR(Y30&gt;=1000000000,AND(COUNTA(C30:C1350)=0,P$3=TRUE))),
ROUNDDOWN((AB$1-AC$1)*MAX(INDEX(T$4:T1350,MATCH(LARGE(FILTER(Y$4:Y1350,Y$4:Y1350&lt;"&amp;"1000000000),1),Y$4:Y1350)),INDEX(F$4:F1350,MATCH(LARGE(FILTER(K$4:K1350,K$4:K1350&lt;1000000000),1),K$4:K1350)))),AND(K30&lt;1000000000,COUNTA(C30:C1350)&gt;0,P$3=FALSE),
ROUNDDOWN(INDEX(Y$4:Y1350,MATCH(LARGE(FILTER(W$4:W1350,W$4:W1350&lt;=I30),1),W$4:W1350))+(I30-LA"&amp;"RGE(FILTER(W$4:W1350,W$4:W1350&lt;=I30),1))*INDEX(T$4:T1350,MATCH(LARGE(FILTER(W$4:W1350,W$4:W1350&lt;=I30),1),W$4:W1350))-K30),1,
ROUNDDOWN(Y30-INDEX(K$4:K1350,MATCH(LARGE(FILTER(I$4:I1350,I$4:I1350&lt;=W30),1),I$4:I1350))-(W30-LARGE(FILTER(I$4:I1350,I$4:I1350&lt;=W"&amp;"30),1))*INDEX(F$4:F1350,MATCH(LARGE(FILTER(I$4:I1350,I$4:I1350&lt;=W30),1),I$4:I1350))))"),303.0)</f>
        <v>303</v>
      </c>
      <c r="N30" s="60">
        <f t="shared" si="8"/>
        <v>-0.79916</v>
      </c>
      <c r="O30" s="61">
        <f t="shared" si="9"/>
        <v>303</v>
      </c>
      <c r="P30" s="56">
        <f t="shared" si="10"/>
        <v>9</v>
      </c>
      <c r="Q30" s="67" t="s">
        <v>5</v>
      </c>
      <c r="R30" s="10" t="b">
        <f>IFERROR(__xludf.DUMMYFUNCTION("IF(COUNTA(Q30:Q1350)=0,"""",IF(ISBLANK(Q30),FALSE,IF(NOT(COUNTIF($AA$24:$AA$34,SUBSTITUTE(Q30,""Sell_"",""""))),1,IF(REGEXMATCH(Q30,""Sell_""),IF(COUNTIF(Q$4:Q30,SUBSTITUTE(Q30,""Sell_"",""""))-COUNTIF(Q$4:Q29,Q30)&lt;1,1),FALSE))))"),FALSE)</f>
        <v>0</v>
      </c>
      <c r="S30" s="59">
        <f t="array" ref="S30">IF(COUNTA(Q30:Q1350)=0,"",SUM((COUNTIF(Q$4:Q30,Upgrades!$B$3:$B$13)-COUNTIF(Q$4:Q30,"Sell_"&amp;Upgrades!$B$3:$B$13))*Upgrades!$D$3:$D$13))</f>
        <v>179.2</v>
      </c>
      <c r="T30" s="66">
        <f>IFERROR(__xludf.DUMMYFUNCTION("IF(COUNTA(Q30:Q1350)=0,"""",IF(REGEXMATCH(INDEX(FILTER(Q$4:Q30,Q$4:Q30&lt;&gt;""""),ROWS(FILTER(Q$4:Q30,Q$4:Q30&lt;&gt;""""))),""^Sell_""),INDEX(FILTER(T$4:T29,Q$4:Q29&lt;&gt;""""),ROWS(FILTER(Q$4:Q29,Q$4:Q29&lt;&gt;""""))),$AD$5+S30))"),379.2)</f>
        <v>379.2</v>
      </c>
      <c r="U30" s="10">
        <f>IFERROR(__xludf.DUMMYFUNCTION("IF(COUNTA(Q30:Q1350)=0,"""",IF(Q30="""",0,IF(REGEXMATCH(Q30,""^Sell_""),-ROUNDDOWN(ROUNDUP(INDEX(Upgrades!$C$3:$C$13,MATCH(SUBSTITUTE(Q30,""Sell_"",""""),Upgrades!$B$3:$B$13,0))*1.15^(COUNTIF(Q$4:Q29,SUBSTITUTE(Q30,""Sell_"",""""))-COUNTIF(Q$4:Q29,""Sell_"&amp;"""&amp;SUBSTITUTE(Q30,""Sell_"",""""))))/2),ROUNDUP(INDEX(Upgrades!$C$3:$C$13,MATCH(Q30,Upgrades!$B$3:$B$13,0))*1.15^(COUNTIF(Q$4:Q29,Q30)-COUNTIF(Q$4:Q29,""Sell_""&amp;Q30))))))"),1530.0)</f>
        <v>1530</v>
      </c>
      <c r="V30" s="10">
        <f t="shared" si="11"/>
        <v>1530</v>
      </c>
      <c r="W30" s="68">
        <f t="shared" si="12"/>
        <v>182.9998521</v>
      </c>
      <c r="X30" s="59" t="str">
        <f t="shared" si="13"/>
        <v>3m 02s</v>
      </c>
      <c r="Y30" s="69">
        <f t="shared" si="14"/>
        <v>50417</v>
      </c>
      <c r="Z30" s="11"/>
      <c r="AA30" s="15" t="s">
        <v>9</v>
      </c>
      <c r="AB30" s="97" t="s">
        <v>55</v>
      </c>
    </row>
    <row r="31">
      <c r="A31" s="8"/>
      <c r="B31" s="56">
        <f t="shared" si="2"/>
        <v>6</v>
      </c>
      <c r="C31" s="57" t="s">
        <v>4</v>
      </c>
      <c r="D31" s="10" t="b">
        <f>IFERROR(__xludf.DUMMYFUNCTION("IF(COUNTA(C31:C1350)=0,"""",IF(ISBLANK(C31),FALSE,IF(NOT(COUNTIF($AA$24:$AA$34,SUBSTITUTE(C31,""Sell_"",""""))),1,IF(REGEXMATCH(C31,""Sell_""),IF(COUNTIF(C$4:C31,SUBSTITUTE(C31,""Sell_"",""""))-COUNTIF(C$4:C30,C31)&lt;1,1),FALSE))))"),FALSE)</f>
        <v>0</v>
      </c>
      <c r="E31" s="59">
        <f t="array" ref="E31">IF(COUNTA(C31:C1350)=0,"",SUM((COUNTIF(C$4:C31,Upgrades!$B$3:$B$13)-COUNTIF(C$4:C31,"Sell_"&amp;Upgrades!$B$3:$B$13))*Upgrades!$D$3:$D$13))</f>
        <v>179.7</v>
      </c>
      <c r="F31" s="66">
        <f>IFERROR(__xludf.DUMMYFUNCTION("IF(COUNTA(C31:C1350)=0,"""",IF(REGEXMATCH(INDEX(FILTER(C$4:C31,C$4:C31&lt;&gt;""""),ROWS(FILTER(C$4:C31,C$4:C31&lt;&gt;""""))),""^Sell_""),INDEX(FILTER(F$4:F30,C$4:C30&lt;&gt;""""),ROWS(FILTER(C$4:C30,C$4:C30&lt;&gt;""""))),$AC$5+E31))"),379.7)</f>
        <v>379.7</v>
      </c>
      <c r="G31" s="10">
        <f>IFERROR(__xludf.DUMMYFUNCTION("IF(COUNTA(C31:C1350)=0,"""",IF(C31="""",0,IF(REGEXMATCH(C31,""^Sell_""),-ROUNDDOWN(ROUNDUP(INDEX(Upgrades!$C$3:$C$13,MATCH(SUBSTITUTE(C31,""Sell_"",""""),Upgrades!$B$3:$B$13,0))*1.15^(COUNTIF(C$4:C30,SUBSTITUTE(C31,""Sell_"",""""))-COUNTIF(C$4:C30,""Sell_"&amp;"""&amp;SUBSTITUTE(C31,""Sell_"",""""))))/2),ROUNDUP(INDEX(Upgrades!$C$3:$C$13,MATCH(C31,Upgrades!$B$3:$B$13,0))*1.15^(COUNTIF(C$4:C30,C31)-COUNTIF(C$4:C30,""Sell_""&amp;C31))))))"),202.0)</f>
        <v>202</v>
      </c>
      <c r="H31" s="10">
        <f t="shared" si="3"/>
        <v>202</v>
      </c>
      <c r="I31" s="68">
        <f t="shared" si="4"/>
        <v>184.3317191</v>
      </c>
      <c r="J31" s="59" t="str">
        <f t="shared" si="5"/>
        <v>3m 04s</v>
      </c>
      <c r="K31" s="69">
        <f t="shared" si="6"/>
        <v>50619</v>
      </c>
      <c r="L31" s="60">
        <f t="shared" si="7"/>
        <v>-0.79927</v>
      </c>
      <c r="M31" s="61">
        <f>IFERROR(__xludf.DUMMYFUNCTION("IFS(AND(COUNTA(C31:C1350)=0,COUNTA(Q31:Q1350)=0),"""",OR(AND(K31&gt;=1000000000,OR(Y31&gt;=1000000000,COUNTA(Q31:Q1350)=0)),OR(Y31&gt;=1000000000,AND(COUNTA(C31:C1350)=0,P$3=TRUE))),
ROUNDDOWN((AB$1-AC$1)*MAX(INDEX(T$4:T1350,MATCH(LARGE(FILTER(Y$4:Y1350,Y$4:Y1350&lt;"&amp;"1000000000),1),Y$4:Y1350)),INDEX(F$4:F1350,MATCH(LARGE(FILTER(K$4:K1350,K$4:K1350&lt;1000000000),1),K$4:K1350)))),AND(K31&lt;1000000000,COUNTA(C31:C1350)&gt;0,P$3=FALSE),
ROUNDDOWN(INDEX(Y$4:Y1350,MATCH(LARGE(FILTER(W$4:W1350,W$4:W1350&lt;=I31),1),W$4:W1350))+(I31-LA"&amp;"RGE(FILTER(W$4:W1350,W$4:W1350&lt;=I31),1))*INDEX(T$4:T1350,MATCH(LARGE(FILTER(W$4:W1350,W$4:W1350&lt;=I31),1),W$4:W1350))-K31),1,
ROUNDDOWN(Y31-INDEX(K$4:K1350,MATCH(LARGE(FILTER(I$4:I1350,I$4:I1350&lt;=W31),1),I$4:I1350))-(W31-LARGE(FILTER(I$4:I1350,I$4:I1350&lt;=W"&amp;"31),1))*INDEX(F$4:F1350,MATCH(LARGE(FILTER(I$4:I1350,I$4:I1350&lt;=W31),1),I$4:I1350))))"),303.0)</f>
        <v>303</v>
      </c>
      <c r="N31" s="60">
        <f t="shared" si="8"/>
        <v>-0.79927</v>
      </c>
      <c r="O31" s="61">
        <f t="shared" si="9"/>
        <v>303</v>
      </c>
      <c r="P31" s="56">
        <f t="shared" si="10"/>
        <v>8</v>
      </c>
      <c r="Q31" s="67" t="s">
        <v>3</v>
      </c>
      <c r="R31" s="10" t="b">
        <f>IFERROR(__xludf.DUMMYFUNCTION("IF(COUNTA(Q31:Q1350)=0,"""",IF(ISBLANK(Q31),FALSE,IF(NOT(COUNTIF($AA$24:$AA$34,SUBSTITUTE(Q31,""Sell_"",""""))),1,IF(REGEXMATCH(Q31,""Sell_""),IF(COUNTIF(Q$4:Q31,SUBSTITUTE(Q31,""Sell_"",""""))-COUNTIF(Q$4:Q30,Q31)&lt;1,1),FALSE))))"),FALSE)</f>
        <v>0</v>
      </c>
      <c r="S31" s="59">
        <f t="array" ref="S31">IF(COUNTA(Q31:Q1350)=0,"",SUM((COUNTIF(Q$4:Q31,Upgrades!$B$3:$B$13)-COUNTIF(Q$4:Q31,"Sell_"&amp;Upgrades!$B$3:$B$13))*Upgrades!$D$3:$D$13))</f>
        <v>179.3</v>
      </c>
      <c r="T31" s="66">
        <f>IFERROR(__xludf.DUMMYFUNCTION("IF(COUNTA(Q31:Q1350)=0,"""",IF(REGEXMATCH(INDEX(FILTER(Q$4:Q31,Q$4:Q31&lt;&gt;""""),ROWS(FILTER(Q$4:Q31,Q$4:Q31&lt;&gt;""""))),""^Sell_""),INDEX(FILTER(T$4:T30,Q$4:Q30&lt;&gt;""""),ROWS(FILTER(Q$4:Q30,Q$4:Q30&lt;&gt;""""))),$AD$5+S31))"),379.3)</f>
        <v>379.3</v>
      </c>
      <c r="U31" s="10">
        <f>IFERROR(__xludf.DUMMYFUNCTION("IF(COUNTA(Q31:Q1350)=0,"""",IF(Q31="""",0,IF(REGEXMATCH(Q31,""^Sell_""),-ROUNDDOWN(ROUNDUP(INDEX(Upgrades!$C$3:$C$13,MATCH(SUBSTITUTE(Q31,""Sell_"",""""),Upgrades!$B$3:$B$13,0))*1.15^(COUNTIF(Q$4:Q30,SUBSTITUTE(Q31,""Sell_"",""""))-COUNTIF(Q$4:Q30,""Sell_"&amp;"""&amp;SUBSTITUTE(Q31,""Sell_"",""""))))/2),ROUNDUP(INDEX(Upgrades!$C$3:$C$13,MATCH(Q31,Upgrades!$B$3:$B$13,0))*1.15^(COUNTIF(Q$4:Q30,Q31)-COUNTIF(Q$4:Q30,""Sell_""&amp;Q31))))))"),40.0)</f>
        <v>40</v>
      </c>
      <c r="V31" s="10">
        <f t="shared" si="11"/>
        <v>40</v>
      </c>
      <c r="W31" s="68">
        <f t="shared" si="12"/>
        <v>183.1053373</v>
      </c>
      <c r="X31" s="59" t="str">
        <f t="shared" si="13"/>
        <v>3m 03s</v>
      </c>
      <c r="Y31" s="69">
        <f t="shared" si="14"/>
        <v>50457</v>
      </c>
      <c r="Z31" s="11"/>
      <c r="AA31" s="15" t="s">
        <v>10</v>
      </c>
      <c r="AB31" s="97" t="s">
        <v>55</v>
      </c>
    </row>
    <row r="32">
      <c r="A32" s="8"/>
      <c r="B32" s="56">
        <f t="shared" si="2"/>
        <v>8</v>
      </c>
      <c r="C32" s="57" t="s">
        <v>3</v>
      </c>
      <c r="D32" s="10" t="b">
        <f>IFERROR(__xludf.DUMMYFUNCTION("IF(COUNTA(C32:C1350)=0,"""",IF(ISBLANK(C32),FALSE,IF(NOT(COUNTIF($AA$24:$AA$34,SUBSTITUTE(C32,""Sell_"",""""))),1,IF(REGEXMATCH(C32,""Sell_""),IF(COUNTIF(C$4:C32,SUBSTITUTE(C32,""Sell_"",""""))-COUNTIF(C$4:C31,C32)&lt;1,1),FALSE))))"),FALSE)</f>
        <v>0</v>
      </c>
      <c r="E32" s="59">
        <f t="array" ref="E32">IF(COUNTA(C32:C1350)=0,"",SUM((COUNTIF(C$4:C32,Upgrades!$B$3:$B$13)-COUNTIF(C$4:C32,"Sell_"&amp;Upgrades!$B$3:$B$13))*Upgrades!$D$3:$D$13))</f>
        <v>179.8</v>
      </c>
      <c r="F32" s="66">
        <f>IFERROR(__xludf.DUMMYFUNCTION("IF(COUNTA(C32:C1350)=0,"""",IF(REGEXMATCH(INDEX(FILTER(C$4:C32,C$4:C32&lt;&gt;""""),ROWS(FILTER(C$4:C32,C$4:C32&lt;&gt;""""))),""^Sell_""),INDEX(FILTER(F$4:F31,C$4:C31&lt;&gt;""""),ROWS(FILTER(C$4:C31,C$4:C31&lt;&gt;""""))),$AC$5+E32))"),379.8)</f>
        <v>379.8</v>
      </c>
      <c r="G32" s="10">
        <f>IFERROR(__xludf.DUMMYFUNCTION("IF(COUNTA(C32:C1350)=0,"""",IF(C32="""",0,IF(REGEXMATCH(C32,""^Sell_""),-ROUNDDOWN(ROUNDUP(INDEX(Upgrades!$C$3:$C$13,MATCH(SUBSTITUTE(C32,""Sell_"",""""),Upgrades!$B$3:$B$13,0))*1.15^(COUNTIF(C$4:C31,SUBSTITUTE(C32,""Sell_"",""""))-COUNTIF(C$4:C31,""Sell_"&amp;"""&amp;SUBSTITUTE(C32,""Sell_"",""""))))/2),ROUNDUP(INDEX(Upgrades!$C$3:$C$13,MATCH(C32,Upgrades!$B$3:$B$13,0))*1.15^(COUNTIF(C$4:C31,C32)-COUNTIF(C$4:C31,""Sell_""&amp;C32))))))"),40.0)</f>
        <v>40</v>
      </c>
      <c r="H32" s="10">
        <f t="shared" si="3"/>
        <v>40</v>
      </c>
      <c r="I32" s="68">
        <f t="shared" si="4"/>
        <v>184.4370654</v>
      </c>
      <c r="J32" s="59" t="str">
        <f t="shared" si="5"/>
        <v>3m 04s</v>
      </c>
      <c r="K32" s="69">
        <f t="shared" si="6"/>
        <v>50659</v>
      </c>
      <c r="L32" s="60">
        <f t="shared" si="7"/>
        <v>-0.79916</v>
      </c>
      <c r="M32" s="61">
        <f>IFERROR(__xludf.DUMMYFUNCTION("IFS(AND(COUNTA(C32:C1350)=0,COUNTA(Q32:Q1350)=0),"""",OR(AND(K32&gt;=1000000000,OR(Y32&gt;=1000000000,COUNTA(Q32:Q1350)=0)),OR(Y32&gt;=1000000000,AND(COUNTA(C32:C1350)=0,P$3=TRUE))),
ROUNDDOWN((AB$1-AC$1)*MAX(INDEX(T$4:T1350,MATCH(LARGE(FILTER(Y$4:Y1350,Y$4:Y1350&lt;"&amp;"1000000000),1),Y$4:Y1350)),INDEX(F$4:F1350,MATCH(LARGE(FILTER(K$4:K1350,K$4:K1350&lt;1000000000),1),K$4:K1350)))),AND(K32&lt;1000000000,COUNTA(C32:C1350)&gt;0,P$3=FALSE),
ROUNDDOWN(INDEX(Y$4:Y1350,MATCH(LARGE(FILTER(W$4:W1350,W$4:W1350&lt;=I32),1),W$4:W1350))+(I32-LA"&amp;"RGE(FILTER(W$4:W1350,W$4:W1350&lt;=I32),1))*INDEX(T$4:T1350,MATCH(LARGE(FILTER(W$4:W1350,W$4:W1350&lt;=I32),1),W$4:W1350))-K32),1,
ROUNDDOWN(Y32-INDEX(K$4:K1350,MATCH(LARGE(FILTER(I$4:I1350,I$4:I1350&lt;=W32),1),I$4:I1350))-(W32-LARGE(FILTER(I$4:I1350,I$4:I1350&lt;=W"&amp;"32),1))*INDEX(F$4:F1350,MATCH(LARGE(FILTER(I$4:I1350,I$4:I1350&lt;=W32),1),I$4:I1350))))"),303.0)</f>
        <v>303</v>
      </c>
      <c r="N32" s="60">
        <f t="shared" si="8"/>
        <v>-0.79916</v>
      </c>
      <c r="O32" s="61">
        <f t="shared" si="9"/>
        <v>303</v>
      </c>
      <c r="P32" s="56">
        <f t="shared" si="10"/>
        <v>6</v>
      </c>
      <c r="Q32" s="67" t="s">
        <v>4</v>
      </c>
      <c r="R32" s="10" t="b">
        <f>IFERROR(__xludf.DUMMYFUNCTION("IF(COUNTA(Q32:Q1350)=0,"""",IF(ISBLANK(Q32),FALSE,IF(NOT(COUNTIF($AA$24:$AA$34,SUBSTITUTE(Q32,""Sell_"",""""))),1,IF(REGEXMATCH(Q32,""Sell_""),IF(COUNTIF(Q$4:Q32,SUBSTITUTE(Q32,""Sell_"",""""))-COUNTIF(Q$4:Q31,Q32)&lt;1,1),FALSE))))"),FALSE)</f>
        <v>0</v>
      </c>
      <c r="S32" s="59">
        <f t="array" ref="S32">IF(COUNTA(Q32:Q1350)=0,"",SUM((COUNTIF(Q$4:Q32,Upgrades!$B$3:$B$13)-COUNTIF(Q$4:Q32,"Sell_"&amp;Upgrades!$B$3:$B$13))*Upgrades!$D$3:$D$13))</f>
        <v>179.8</v>
      </c>
      <c r="T32" s="66">
        <f>IFERROR(__xludf.DUMMYFUNCTION("IF(COUNTA(Q32:Q1350)=0,"""",IF(REGEXMATCH(INDEX(FILTER(Q$4:Q32,Q$4:Q32&lt;&gt;""""),ROWS(FILTER(Q$4:Q32,Q$4:Q32&lt;&gt;""""))),""^Sell_""),INDEX(FILTER(T$4:T31,Q$4:Q31&lt;&gt;""""),ROWS(FILTER(Q$4:Q31,Q$4:Q31&lt;&gt;""""))),$AD$5+S32))"),379.8)</f>
        <v>379.8</v>
      </c>
      <c r="U32" s="10">
        <f>IFERROR(__xludf.DUMMYFUNCTION("IF(COUNTA(Q32:Q1350)=0,"""",IF(Q32="""",0,IF(REGEXMATCH(Q32,""^Sell_""),-ROUNDDOWN(ROUNDUP(INDEX(Upgrades!$C$3:$C$13,MATCH(SUBSTITUTE(Q32,""Sell_"",""""),Upgrades!$B$3:$B$13,0))*1.15^(COUNTIF(Q$4:Q31,SUBSTITUTE(Q32,""Sell_"",""""))-COUNTIF(Q$4:Q31,""Sell_"&amp;"""&amp;SUBSTITUTE(Q32,""Sell_"",""""))))/2),ROUNDUP(INDEX(Upgrades!$C$3:$C$13,MATCH(Q32,Upgrades!$B$3:$B$13,0))*1.15^(COUNTIF(Q$4:Q31,Q32)-COUNTIF(Q$4:Q31,""Sell_""&amp;Q32))))))"),202.0)</f>
        <v>202</v>
      </c>
      <c r="V32" s="10">
        <f t="shared" si="11"/>
        <v>202</v>
      </c>
      <c r="W32" s="68">
        <f t="shared" si="12"/>
        <v>183.6378973</v>
      </c>
      <c r="X32" s="59" t="str">
        <f t="shared" si="13"/>
        <v>3m 03s</v>
      </c>
      <c r="Y32" s="69">
        <f t="shared" si="14"/>
        <v>50659</v>
      </c>
      <c r="Z32" s="11"/>
      <c r="AA32" s="15" t="s">
        <v>11</v>
      </c>
      <c r="AB32" s="97" t="s">
        <v>55</v>
      </c>
    </row>
    <row r="33">
      <c r="A33" s="8"/>
      <c r="B33" s="56">
        <f t="shared" si="2"/>
        <v>3</v>
      </c>
      <c r="C33" s="57" t="s">
        <v>6</v>
      </c>
      <c r="D33" s="10" t="b">
        <f>IFERROR(__xludf.DUMMYFUNCTION("IF(COUNTA(C33:C1350)=0,"""",IF(ISBLANK(C33),FALSE,IF(NOT(COUNTIF($AA$24:$AA$34,SUBSTITUTE(C33,""Sell_"",""""))),1,IF(REGEXMATCH(C33,""Sell_""),IF(COUNTIF(C$4:C33,SUBSTITUTE(C33,""Sell_"",""""))-COUNTIF(C$4:C32,C33)&lt;1,1),FALSE))))"),FALSE)</f>
        <v>0</v>
      </c>
      <c r="E33" s="59">
        <f t="array" ref="E33">IF(COUNTA(C33:C1350)=0,"",SUM((COUNTIF(C$4:C33,Upgrades!$B$3:$B$13)-COUNTIF(C$4:C33,"Sell_"&amp;Upgrades!$B$3:$B$13))*Upgrades!$D$3:$D$13))</f>
        <v>189.8</v>
      </c>
      <c r="F33" s="66">
        <f>IFERROR(__xludf.DUMMYFUNCTION("IF(COUNTA(C33:C1350)=0,"""",IF(REGEXMATCH(INDEX(FILTER(C$4:C33,C$4:C33&lt;&gt;""""),ROWS(FILTER(C$4:C33,C$4:C33&lt;&gt;""""))),""^Sell_""),INDEX(FILTER(F$4:F32,C$4:C32&lt;&gt;""""),ROWS(FILTER(C$4:C32,C$4:C32&lt;&gt;""""))),$AC$5+E33))"),389.8)</f>
        <v>389.8</v>
      </c>
      <c r="G33" s="10">
        <f>IFERROR(__xludf.DUMMYFUNCTION("IF(COUNTA(C33:C1350)=0,"""",IF(C33="""",0,IF(REGEXMATCH(C33,""^Sell_""),-ROUNDDOWN(ROUNDUP(INDEX(Upgrades!$C$3:$C$13,MATCH(SUBSTITUTE(C33,""Sell_"",""""),Upgrades!$B$3:$B$13,0))*1.15^(COUNTIF(C$4:C32,SUBSTITUTE(C33,""Sell_"",""""))-COUNTIF(C$4:C32,""Sell_"&amp;"""&amp;SUBSTITUTE(C33,""Sell_"",""""))))/2),ROUNDUP(INDEX(Upgrades!$C$3:$C$13,MATCH(C33,Upgrades!$B$3:$B$13,0))*1.15^(COUNTIF(C$4:C32,C33)-COUNTIF(C$4:C32,""Sell_""&amp;C33))))))"),3968.0)</f>
        <v>3968</v>
      </c>
      <c r="H33" s="10">
        <f t="shared" si="3"/>
        <v>3968</v>
      </c>
      <c r="I33" s="68">
        <f t="shared" si="4"/>
        <v>194.8846694</v>
      </c>
      <c r="J33" s="59" t="str">
        <f t="shared" si="5"/>
        <v>3m 14s</v>
      </c>
      <c r="K33" s="69">
        <f t="shared" si="6"/>
        <v>54627</v>
      </c>
      <c r="L33" s="60">
        <f t="shared" si="7"/>
        <v>-0.79916</v>
      </c>
      <c r="M33" s="61">
        <f>IFERROR(__xludf.DUMMYFUNCTION("IFS(AND(COUNTA(C33:C1350)=0,COUNTA(Q33:Q1350)=0),"""",OR(AND(K33&gt;=1000000000,OR(Y33&gt;=1000000000,COUNTA(Q33:Q1350)=0)),OR(Y33&gt;=1000000000,AND(COUNTA(C33:C1350)=0,P$3=TRUE))),
ROUNDDOWN((AB$1-AC$1)*MAX(INDEX(T$4:T1350,MATCH(LARGE(FILTER(Y$4:Y1350,Y$4:Y1350&lt;"&amp;"1000000000),1),Y$4:Y1350)),INDEX(F$4:F1350,MATCH(LARGE(FILTER(K$4:K1350,K$4:K1350&lt;1000000000),1),K$4:K1350)))),AND(K33&lt;1000000000,COUNTA(C33:C1350)&gt;0,P$3=FALSE),
ROUNDDOWN(INDEX(Y$4:Y1350,MATCH(LARGE(FILTER(W$4:W1350,W$4:W1350&lt;=I33),1),W$4:W1350))+(I33-LA"&amp;"RGE(FILTER(W$4:W1350,W$4:W1350&lt;=I33),1))*INDEX(T$4:T1350,MATCH(LARGE(FILTER(W$4:W1350,W$4:W1350&lt;=I33),1),W$4:W1350))-K33),1,
ROUNDDOWN(Y33-INDEX(K$4:K1350,MATCH(LARGE(FILTER(I$4:I1350,I$4:I1350&lt;=W33),1),I$4:I1350))-(W33-LARGE(FILTER(I$4:I1350,I$4:I1350&lt;=W"&amp;"33),1))*INDEX(F$4:F1350,MATCH(LARGE(FILTER(I$4:I1350,I$4:I1350&lt;=W33),1),I$4:I1350))))"),311.0)</f>
        <v>311</v>
      </c>
      <c r="N33" s="60">
        <f t="shared" si="8"/>
        <v>-0.79916</v>
      </c>
      <c r="O33" s="61">
        <f t="shared" si="9"/>
        <v>311</v>
      </c>
      <c r="P33" s="56">
        <f t="shared" si="10"/>
        <v>3</v>
      </c>
      <c r="Q33" s="67" t="s">
        <v>6</v>
      </c>
      <c r="R33" s="10" t="b">
        <f>IFERROR(__xludf.DUMMYFUNCTION("IF(COUNTA(Q33:Q1350)=0,"""",IF(ISBLANK(Q33),FALSE,IF(NOT(COUNTIF($AA$24:$AA$34,SUBSTITUTE(Q33,""Sell_"",""""))),1,IF(REGEXMATCH(Q33,""Sell_""),IF(COUNTIF(Q$4:Q33,SUBSTITUTE(Q33,""Sell_"",""""))-COUNTIF(Q$4:Q32,Q33)&lt;1,1),FALSE))))"),FALSE)</f>
        <v>0</v>
      </c>
      <c r="S33" s="59">
        <f t="array" ref="S33">IF(COUNTA(Q33:Q1350)=0,"",SUM((COUNTIF(Q$4:Q33,Upgrades!$B$3:$B$13)-COUNTIF(Q$4:Q33,"Sell_"&amp;Upgrades!$B$3:$B$13))*Upgrades!$D$3:$D$13))</f>
        <v>189.8</v>
      </c>
      <c r="T33" s="66">
        <f>IFERROR(__xludf.DUMMYFUNCTION("IF(COUNTA(Q33:Q1350)=0,"""",IF(REGEXMATCH(INDEX(FILTER(Q$4:Q33,Q$4:Q33&lt;&gt;""""),ROWS(FILTER(Q$4:Q33,Q$4:Q33&lt;&gt;""""))),""^Sell_""),INDEX(FILTER(T$4:T32,Q$4:Q32&lt;&gt;""""),ROWS(FILTER(Q$4:Q32,Q$4:Q32&lt;&gt;""""))),$AD$5+S33))"),389.8)</f>
        <v>389.8</v>
      </c>
      <c r="U33" s="10">
        <f>IFERROR(__xludf.DUMMYFUNCTION("IF(COUNTA(Q33:Q1350)=0,"""",IF(Q33="""",0,IF(REGEXMATCH(Q33,""^Sell_""),-ROUNDDOWN(ROUNDUP(INDEX(Upgrades!$C$3:$C$13,MATCH(SUBSTITUTE(Q33,""Sell_"",""""),Upgrades!$B$3:$B$13,0))*1.15^(COUNTIF(Q$4:Q32,SUBSTITUTE(Q33,""Sell_"",""""))-COUNTIF(Q$4:Q32,""Sell_"&amp;"""&amp;SUBSTITUTE(Q33,""Sell_"",""""))))/2),ROUNDUP(INDEX(Upgrades!$C$3:$C$13,MATCH(Q33,Upgrades!$B$3:$B$13,0))*1.15^(COUNTIF(Q$4:Q32,Q33)-COUNTIF(Q$4:Q32,""Sell_""&amp;Q33))))))"),3968.0)</f>
        <v>3968</v>
      </c>
      <c r="V33" s="10">
        <f t="shared" si="11"/>
        <v>3968</v>
      </c>
      <c r="W33" s="68">
        <f t="shared" si="12"/>
        <v>194.0855013</v>
      </c>
      <c r="X33" s="59" t="str">
        <f t="shared" si="13"/>
        <v>3m 14s</v>
      </c>
      <c r="Y33" s="69">
        <f t="shared" si="14"/>
        <v>54627</v>
      </c>
      <c r="Z33" s="11"/>
      <c r="AA33" s="15" t="s">
        <v>12</v>
      </c>
      <c r="AB33" s="97" t="s">
        <v>55</v>
      </c>
    </row>
    <row r="34">
      <c r="A34" s="8"/>
      <c r="B34" s="56">
        <f t="shared" si="2"/>
        <v>4</v>
      </c>
      <c r="C34" s="57" t="s">
        <v>7</v>
      </c>
      <c r="D34" s="10" t="b">
        <f>IFERROR(__xludf.DUMMYFUNCTION("IF(COUNTA(C34:C1350)=0,"""",IF(ISBLANK(C34),FALSE,IF(NOT(COUNTIF($AA$24:$AA$34,SUBSTITUTE(C34,""Sell_"",""""))),1,IF(REGEXMATCH(C34,""Sell_""),IF(COUNTIF(C$4:C34,SUBSTITUTE(C34,""Sell_"",""""))-COUNTIF(C$4:C33,C34)&lt;1,1),FALSE))))"),FALSE)</f>
        <v>0</v>
      </c>
      <c r="E34" s="59">
        <f t="array" ref="E34">IF(COUNTA(C34:C1350)=0,"",SUM((COUNTIF(C$4:C34,Upgrades!$B$3:$B$13)-COUNTIF(C$4:C34,"Sell_"&amp;Upgrades!$B$3:$B$13))*Upgrades!$D$3:$D$13))</f>
        <v>229.8</v>
      </c>
      <c r="F34" s="66">
        <f>IFERROR(__xludf.DUMMYFUNCTION("IF(COUNTA(C34:C1350)=0,"""",IF(REGEXMATCH(INDEX(FILTER(C$4:C34,C$4:C34&lt;&gt;""""),ROWS(FILTER(C$4:C34,C$4:C34&lt;&gt;""""))),""^Sell_""),INDEX(FILTER(F$4:F33,C$4:C33&lt;&gt;""""),ROWS(FILTER(C$4:C33,C$4:C33&lt;&gt;""""))),$AC$5+E34))"),429.8)</f>
        <v>429.8</v>
      </c>
      <c r="G34" s="10">
        <f>IFERROR(__xludf.DUMMYFUNCTION("IF(COUNTA(C34:C1350)=0,"""",IF(C34="""",0,IF(REGEXMATCH(C34,""^Sell_""),-ROUNDDOWN(ROUNDUP(INDEX(Upgrades!$C$3:$C$13,MATCH(SUBSTITUTE(C34,""Sell_"",""""),Upgrades!$B$3:$B$13,0))*1.15^(COUNTIF(C$4:C33,SUBSTITUTE(C34,""Sell_"",""""))-COUNTIF(C$4:C33,""Sell_"&amp;"""&amp;SUBSTITUTE(C34,""Sell_"",""""))))/2),ROUNDUP(INDEX(Upgrades!$C$3:$C$13,MATCH(C34,Upgrades!$B$3:$B$13,0))*1.15^(COUNTIF(C$4:C33,C34)-COUNTIF(C$4:C33,""Sell_""&amp;C34))))))"),15209.0)</f>
        <v>15209</v>
      </c>
      <c r="H34" s="10">
        <f t="shared" si="3"/>
        <v>15209</v>
      </c>
      <c r="I34" s="68">
        <f t="shared" si="4"/>
        <v>233.9021142</v>
      </c>
      <c r="J34" s="59" t="str">
        <f t="shared" si="5"/>
        <v>3m 53s</v>
      </c>
      <c r="K34" s="69">
        <f t="shared" si="6"/>
        <v>69836</v>
      </c>
      <c r="L34" s="60">
        <f t="shared" si="7"/>
        <v>-0.79916</v>
      </c>
      <c r="M34" s="61">
        <f>IFERROR(__xludf.DUMMYFUNCTION("IFS(AND(COUNTA(C34:C1350)=0,COUNTA(Q34:Q1350)=0),"""",OR(AND(K34&gt;=1000000000,OR(Y34&gt;=1000000000,COUNTA(Q34:Q1350)=0)),OR(Y34&gt;=1000000000,AND(COUNTA(C34:C1350)=0,P$3=TRUE))),
ROUNDDOWN((AB$1-AC$1)*MAX(INDEX(T$4:T1350,MATCH(LARGE(FILTER(Y$4:Y1350,Y$4:Y1350&lt;"&amp;"1000000000),1),Y$4:Y1350)),INDEX(F$4:F1350,MATCH(LARGE(FILTER(K$4:K1350,K$4:K1350&lt;1000000000),1),K$4:K1350)))),AND(K34&lt;1000000000,COUNTA(C34:C1350)&gt;0,P$3=FALSE),
ROUNDDOWN(INDEX(Y$4:Y1350,MATCH(LARGE(FILTER(W$4:W1350,W$4:W1350&lt;=I34),1),W$4:W1350))+(I34-LA"&amp;"RGE(FILTER(W$4:W1350,W$4:W1350&lt;=I34),1))*INDEX(T$4:T1350,MATCH(LARGE(FILTER(W$4:W1350,W$4:W1350&lt;=I34),1),W$4:W1350))-K34),1,
ROUNDDOWN(Y34-INDEX(K$4:K1350,MATCH(LARGE(FILTER(I$4:I1350,I$4:I1350&lt;=W34),1),I$4:I1350))-(W34-LARGE(FILTER(I$4:I1350,I$4:I1350&lt;=W"&amp;"34),1))*INDEX(F$4:F1350,MATCH(LARGE(FILTER(I$4:I1350,I$4:I1350&lt;=W34),1),I$4:I1350))))"),343.0)</f>
        <v>343</v>
      </c>
      <c r="N34" s="60">
        <f t="shared" si="8"/>
        <v>-0.79916</v>
      </c>
      <c r="O34" s="61">
        <f t="shared" si="9"/>
        <v>343</v>
      </c>
      <c r="P34" s="56">
        <f t="shared" si="10"/>
        <v>4</v>
      </c>
      <c r="Q34" s="67" t="s">
        <v>7</v>
      </c>
      <c r="R34" s="10" t="b">
        <f>IFERROR(__xludf.DUMMYFUNCTION("IF(COUNTA(Q34:Q1350)=0,"""",IF(ISBLANK(Q34),FALSE,IF(NOT(COUNTIF($AA$24:$AA$34,SUBSTITUTE(Q34,""Sell_"",""""))),1,IF(REGEXMATCH(Q34,""Sell_""),IF(COUNTIF(Q$4:Q34,SUBSTITUTE(Q34,""Sell_"",""""))-COUNTIF(Q$4:Q33,Q34)&lt;1,1),FALSE))))"),FALSE)</f>
        <v>0</v>
      </c>
      <c r="S34" s="59">
        <f t="array" ref="S34">IF(COUNTA(Q34:Q1350)=0,"",SUM((COUNTIF(Q$4:Q34,Upgrades!$B$3:$B$13)-COUNTIF(Q$4:Q34,"Sell_"&amp;Upgrades!$B$3:$B$13))*Upgrades!$D$3:$D$13))</f>
        <v>229.8</v>
      </c>
      <c r="T34" s="66">
        <f>IFERROR(__xludf.DUMMYFUNCTION("IF(COUNTA(Q34:Q1350)=0,"""",IF(REGEXMATCH(INDEX(FILTER(Q$4:Q34,Q$4:Q34&lt;&gt;""""),ROWS(FILTER(Q$4:Q34,Q$4:Q34&lt;&gt;""""))),""^Sell_""),INDEX(FILTER(T$4:T33,Q$4:Q33&lt;&gt;""""),ROWS(FILTER(Q$4:Q33,Q$4:Q33&lt;&gt;""""))),$AD$5+S34))"),429.8)</f>
        <v>429.8</v>
      </c>
      <c r="U34" s="10">
        <f>IFERROR(__xludf.DUMMYFUNCTION("IF(COUNTA(Q34:Q1350)=0,"""",IF(Q34="""",0,IF(REGEXMATCH(Q34,""^Sell_""),-ROUNDDOWN(ROUNDUP(INDEX(Upgrades!$C$3:$C$13,MATCH(SUBSTITUTE(Q34,""Sell_"",""""),Upgrades!$B$3:$B$13,0))*1.15^(COUNTIF(Q$4:Q33,SUBSTITUTE(Q34,""Sell_"",""""))-COUNTIF(Q$4:Q33,""Sell_"&amp;"""&amp;SUBSTITUTE(Q34,""Sell_"",""""))))/2),ROUNDUP(INDEX(Upgrades!$C$3:$C$13,MATCH(Q34,Upgrades!$B$3:$B$13,0))*1.15^(COUNTIF(Q$4:Q33,Q34)-COUNTIF(Q$4:Q33,""Sell_""&amp;Q34))))))"),15209.0)</f>
        <v>15209</v>
      </c>
      <c r="V34" s="10">
        <f t="shared" si="11"/>
        <v>15209</v>
      </c>
      <c r="W34" s="68">
        <f t="shared" si="12"/>
        <v>233.1029462</v>
      </c>
      <c r="X34" s="59" t="str">
        <f t="shared" si="13"/>
        <v>3m 53s</v>
      </c>
      <c r="Y34" s="69">
        <f t="shared" si="14"/>
        <v>69836</v>
      </c>
      <c r="Z34" s="11"/>
      <c r="AA34" s="98" t="s">
        <v>13</v>
      </c>
      <c r="AB34" s="99" t="s">
        <v>55</v>
      </c>
    </row>
    <row r="35">
      <c r="A35" s="8"/>
      <c r="B35" s="56">
        <f t="shared" si="2"/>
        <v>9</v>
      </c>
      <c r="C35" s="57" t="s">
        <v>3</v>
      </c>
      <c r="D35" s="10" t="b">
        <f>IFERROR(__xludf.DUMMYFUNCTION("IF(COUNTA(C35:C1350)=0,"""",IF(ISBLANK(C35),FALSE,IF(NOT(COUNTIF($AA$24:$AA$34,SUBSTITUTE(C35,""Sell_"",""""))),1,IF(REGEXMATCH(C35,""Sell_""),IF(COUNTIF(C$4:C35,SUBSTITUTE(C35,""Sell_"",""""))-COUNTIF(C$4:C34,C35)&lt;1,1),FALSE))))"),FALSE)</f>
        <v>0</v>
      </c>
      <c r="E35" s="59">
        <f t="array" ref="E35">IF(COUNTA(C35:C1350)=0,"",SUM((COUNTIF(C$4:C35,Upgrades!$B$3:$B$13)-COUNTIF(C$4:C35,"Sell_"&amp;Upgrades!$B$3:$B$13))*Upgrades!$D$3:$D$13))</f>
        <v>229.9</v>
      </c>
      <c r="F35" s="66">
        <f>IFERROR(__xludf.DUMMYFUNCTION("IF(COUNTA(C35:C1350)=0,"""",IF(REGEXMATCH(INDEX(FILTER(C$4:C35,C$4:C35&lt;&gt;""""),ROWS(FILTER(C$4:C35,C$4:C35&lt;&gt;""""))),""^Sell_""),INDEX(FILTER(F$4:F34,C$4:C34&lt;&gt;""""),ROWS(FILTER(C$4:C34,C$4:C34&lt;&gt;""""))),$AC$5+E35))"),429.9)</f>
        <v>429.9</v>
      </c>
      <c r="G35" s="10">
        <f>IFERROR(__xludf.DUMMYFUNCTION("IF(COUNTA(C35:C1350)=0,"""",IF(C35="""",0,IF(REGEXMATCH(C35,""^Sell_""),-ROUNDDOWN(ROUNDUP(INDEX(Upgrades!$C$3:$C$13,MATCH(SUBSTITUTE(C35,""Sell_"",""""),Upgrades!$B$3:$B$13,0))*1.15^(COUNTIF(C$4:C34,SUBSTITUTE(C35,""Sell_"",""""))-COUNTIF(C$4:C34,""Sell_"&amp;"""&amp;SUBSTITUTE(C35,""Sell_"",""""))))/2),ROUNDUP(INDEX(Upgrades!$C$3:$C$13,MATCH(C35,Upgrades!$B$3:$B$13,0))*1.15^(COUNTIF(C$4:C34,C35)-COUNTIF(C$4:C34,""Sell_""&amp;C35))))))"),46.0)</f>
        <v>46</v>
      </c>
      <c r="H35" s="10">
        <f t="shared" si="3"/>
        <v>46</v>
      </c>
      <c r="I35" s="68">
        <f t="shared" si="4"/>
        <v>234.0091408</v>
      </c>
      <c r="J35" s="59" t="str">
        <f t="shared" si="5"/>
        <v>3m 54s</v>
      </c>
      <c r="K35" s="69">
        <f t="shared" si="6"/>
        <v>69882</v>
      </c>
      <c r="L35" s="60">
        <f t="shared" si="7"/>
        <v>-0.79916</v>
      </c>
      <c r="M35" s="61">
        <f>IFERROR(__xludf.DUMMYFUNCTION("IFS(AND(COUNTA(C35:C1350)=0,COUNTA(Q35:Q1350)=0),"""",OR(AND(K35&gt;=1000000000,OR(Y35&gt;=1000000000,COUNTA(Q35:Q1350)=0)),OR(Y35&gt;=1000000000,AND(COUNTA(C35:C1350)=0,P$3=TRUE))),
ROUNDDOWN((AB$1-AC$1)*MAX(INDEX(T$4:T1350,MATCH(LARGE(FILTER(Y$4:Y1350,Y$4:Y1350&lt;"&amp;"1000000000),1),Y$4:Y1350)),INDEX(F$4:F1350,MATCH(LARGE(FILTER(K$4:K1350,K$4:K1350&lt;1000000000),1),K$4:K1350)))),AND(K35&lt;1000000000,COUNTA(C35:C1350)&gt;0,P$3=FALSE),
ROUNDDOWN(INDEX(Y$4:Y1350,MATCH(LARGE(FILTER(W$4:W1350,W$4:W1350&lt;=I35),1),W$4:W1350))+(I35-LA"&amp;"RGE(FILTER(W$4:W1350,W$4:W1350&lt;=I35),1))*INDEX(T$4:T1350,MATCH(LARGE(FILTER(W$4:W1350,W$4:W1350&lt;=I35),1),W$4:W1350))-K35),1,
ROUNDDOWN(Y35-INDEX(K$4:K1350,MATCH(LARGE(FILTER(I$4:I1350,I$4:I1350&lt;=W35),1),I$4:I1350))-(W35-LARGE(FILTER(I$4:I1350,I$4:I1350&lt;=W"&amp;"35),1))*INDEX(F$4:F1350,MATCH(LARGE(FILTER(I$4:I1350,I$4:I1350&lt;=W35),1),I$4:I1350))))"),343.0)</f>
        <v>343</v>
      </c>
      <c r="N35" s="60">
        <f t="shared" si="8"/>
        <v>-0.79916</v>
      </c>
      <c r="O35" s="61">
        <f t="shared" si="9"/>
        <v>343</v>
      </c>
      <c r="P35" s="56">
        <f t="shared" si="10"/>
        <v>10</v>
      </c>
      <c r="Q35" s="67" t="s">
        <v>5</v>
      </c>
      <c r="R35" s="10" t="b">
        <f>IFERROR(__xludf.DUMMYFUNCTION("IF(COUNTA(Q35:Q1350)=0,"""",IF(ISBLANK(Q35),FALSE,IF(NOT(COUNTIF($AA$24:$AA$34,SUBSTITUTE(Q35,""Sell_"",""""))),1,IF(REGEXMATCH(Q35,""Sell_""),IF(COUNTIF(Q$4:Q35,SUBSTITUTE(Q35,""Sell_"",""""))-COUNTIF(Q$4:Q34,Q35)&lt;1,1),FALSE))))"),FALSE)</f>
        <v>0</v>
      </c>
      <c r="S35" s="59">
        <f t="array" ref="S35">IF(COUNTA(Q35:Q1350)=0,"",SUM((COUNTIF(Q$4:Q35,Upgrades!$B$3:$B$13)-COUNTIF(Q$4:Q35,"Sell_"&amp;Upgrades!$B$3:$B$13))*Upgrades!$D$3:$D$13))</f>
        <v>233.8</v>
      </c>
      <c r="T35" s="66">
        <f>IFERROR(__xludf.DUMMYFUNCTION("IF(COUNTA(Q35:Q1350)=0,"""",IF(REGEXMATCH(INDEX(FILTER(Q$4:Q35,Q$4:Q35&lt;&gt;""""),ROWS(FILTER(Q$4:Q35,Q$4:Q35&lt;&gt;""""))),""^Sell_""),INDEX(FILTER(T$4:T34,Q$4:Q34&lt;&gt;""""),ROWS(FILTER(Q$4:Q34,Q$4:Q34&lt;&gt;""""))),$AD$5+S35))"),433.8)</f>
        <v>433.8</v>
      </c>
      <c r="U35" s="10">
        <f>IFERROR(__xludf.DUMMYFUNCTION("IF(COUNTA(Q35:Q1350)=0,"""",IF(Q35="""",0,IF(REGEXMATCH(Q35,""^Sell_""),-ROUNDDOWN(ROUNDUP(INDEX(Upgrades!$C$3:$C$13,MATCH(SUBSTITUTE(Q35,""Sell_"",""""),Upgrades!$B$3:$B$13,0))*1.15^(COUNTIF(Q$4:Q34,SUBSTITUTE(Q35,""Sell_"",""""))-COUNTIF(Q$4:Q34,""Sell_"&amp;"""&amp;SUBSTITUTE(Q35,""Sell_"",""""))))/2),ROUNDUP(INDEX(Upgrades!$C$3:$C$13,MATCH(Q35,Upgrades!$B$3:$B$13,0))*1.15^(COUNTIF(Q$4:Q34,Q35)-COUNTIF(Q$4:Q34,""Sell_""&amp;Q35))))))"),1759.0)</f>
        <v>1759</v>
      </c>
      <c r="V35" s="10">
        <f t="shared" si="11"/>
        <v>1759</v>
      </c>
      <c r="W35" s="68">
        <f t="shared" si="12"/>
        <v>237.1955474</v>
      </c>
      <c r="X35" s="59" t="str">
        <f t="shared" si="13"/>
        <v>3m 57s</v>
      </c>
      <c r="Y35" s="69">
        <f t="shared" si="14"/>
        <v>71595</v>
      </c>
      <c r="Z35" s="11"/>
    </row>
    <row r="36">
      <c r="A36" s="8"/>
      <c r="B36" s="56">
        <f t="shared" si="2"/>
        <v>10</v>
      </c>
      <c r="C36" s="57" t="s">
        <v>5</v>
      </c>
      <c r="D36" s="10" t="b">
        <f>IFERROR(__xludf.DUMMYFUNCTION("IF(COUNTA(C36:C1350)=0,"""",IF(ISBLANK(C36),FALSE,IF(NOT(COUNTIF($AA$24:$AA$34,SUBSTITUTE(C36,""Sell_"",""""))),1,IF(REGEXMATCH(C36,""Sell_""),IF(COUNTIF(C$4:C36,SUBSTITUTE(C36,""Sell_"",""""))-COUNTIF(C$4:C35,C36)&lt;1,1),FALSE))))"),FALSE)</f>
        <v>0</v>
      </c>
      <c r="E36" s="59">
        <f t="array" ref="E36">IF(COUNTA(C36:C1350)=0,"",SUM((COUNTIF(C$4:C36,Upgrades!$B$3:$B$13)-COUNTIF(C$4:C36,"Sell_"&amp;Upgrades!$B$3:$B$13))*Upgrades!$D$3:$D$13))</f>
        <v>233.9</v>
      </c>
      <c r="F36" s="66">
        <f>IFERROR(__xludf.DUMMYFUNCTION("IF(COUNTA(C36:C1350)=0,"""",IF(REGEXMATCH(INDEX(FILTER(C$4:C36,C$4:C36&lt;&gt;""""),ROWS(FILTER(C$4:C36,C$4:C36&lt;&gt;""""))),""^Sell_""),INDEX(FILTER(F$4:F35,C$4:C35&lt;&gt;""""),ROWS(FILTER(C$4:C35,C$4:C35&lt;&gt;""""))),$AC$5+E36))"),433.9)</f>
        <v>433.9</v>
      </c>
      <c r="G36" s="10">
        <f>IFERROR(__xludf.DUMMYFUNCTION("IF(COUNTA(C36:C1350)=0,"""",IF(C36="""",0,IF(REGEXMATCH(C36,""^Sell_""),-ROUNDDOWN(ROUNDUP(INDEX(Upgrades!$C$3:$C$13,MATCH(SUBSTITUTE(C36,""Sell_"",""""),Upgrades!$B$3:$B$13,0))*1.15^(COUNTIF(C$4:C35,SUBSTITUTE(C36,""Sell_"",""""))-COUNTIF(C$4:C35,""Sell_"&amp;"""&amp;SUBSTITUTE(C36,""Sell_"",""""))))/2),ROUNDUP(INDEX(Upgrades!$C$3:$C$13,MATCH(C36,Upgrades!$B$3:$B$13,0))*1.15^(COUNTIF(C$4:C35,C36)-COUNTIF(C$4:C35,""Sell_""&amp;C36))))))"),1759.0)</f>
        <v>1759</v>
      </c>
      <c r="H36" s="10">
        <f t="shared" si="3"/>
        <v>1759</v>
      </c>
      <c r="I36" s="68">
        <f t="shared" si="4"/>
        <v>238.10079</v>
      </c>
      <c r="J36" s="59" t="str">
        <f t="shared" si="5"/>
        <v>3m 58s</v>
      </c>
      <c r="K36" s="69">
        <f t="shared" si="6"/>
        <v>71641</v>
      </c>
      <c r="L36" s="60">
        <f t="shared" si="7"/>
        <v>-0.7992</v>
      </c>
      <c r="M36" s="61">
        <f>IFERROR(__xludf.DUMMYFUNCTION("IFS(AND(COUNTA(C36:C1350)=0,COUNTA(Q36:Q1350)=0),"""",OR(AND(K36&gt;=1000000000,OR(Y36&gt;=1000000000,COUNTA(Q36:Q1350)=0)),OR(Y36&gt;=1000000000,AND(COUNTA(C36:C1350)=0,P$3=TRUE))),
ROUNDDOWN((AB$1-AC$1)*MAX(INDEX(T$4:T1350,MATCH(LARGE(FILTER(Y$4:Y1350,Y$4:Y1350&lt;"&amp;"1000000000),1),Y$4:Y1350)),INDEX(F$4:F1350,MATCH(LARGE(FILTER(K$4:K1350,K$4:K1350&lt;1000000000),1),K$4:K1350)))),AND(K36&lt;1000000000,COUNTA(C36:C1350)&gt;0,P$3=FALSE),
ROUNDDOWN(INDEX(Y$4:Y1350,MATCH(LARGE(FILTER(W$4:W1350,W$4:W1350&lt;=I36),1),W$4:W1350))+(I36-LA"&amp;"RGE(FILTER(W$4:W1350,W$4:W1350&lt;=I36),1))*INDEX(T$4:T1350,MATCH(LARGE(FILTER(W$4:W1350,W$4:W1350&lt;=I36),1),W$4:W1350))-K36),1,
ROUNDDOWN(Y36-INDEX(K$4:K1350,MATCH(LARGE(FILTER(I$4:I1350,I$4:I1350&lt;=W36),1),I$4:I1350))-(W36-LARGE(FILTER(I$4:I1350,I$4:I1350&lt;=W"&amp;"36),1))*INDEX(F$4:F1350,MATCH(LARGE(FILTER(I$4:I1350,I$4:I1350&lt;=W36),1),I$4:I1350))))"),346.0)</f>
        <v>346</v>
      </c>
      <c r="N36" s="60">
        <f t="shared" si="8"/>
        <v>-0.7992</v>
      </c>
      <c r="O36" s="61">
        <f t="shared" si="9"/>
        <v>346</v>
      </c>
      <c r="P36" s="56">
        <f t="shared" si="10"/>
        <v>9</v>
      </c>
      <c r="Q36" s="67" t="s">
        <v>3</v>
      </c>
      <c r="R36" s="10" t="b">
        <f>IFERROR(__xludf.DUMMYFUNCTION("IF(COUNTA(Q36:Q1350)=0,"""",IF(ISBLANK(Q36),FALSE,IF(NOT(COUNTIF($AA$24:$AA$34,SUBSTITUTE(Q36,""Sell_"",""""))),1,IF(REGEXMATCH(Q36,""Sell_""),IF(COUNTIF(Q$4:Q36,SUBSTITUTE(Q36,""Sell_"",""""))-COUNTIF(Q$4:Q35,Q36)&lt;1,1),FALSE))))"),FALSE)</f>
        <v>0</v>
      </c>
      <c r="S36" s="59">
        <f t="array" ref="S36">IF(COUNTA(Q36:Q1350)=0,"",SUM((COUNTIF(Q$4:Q36,Upgrades!$B$3:$B$13)-COUNTIF(Q$4:Q36,"Sell_"&amp;Upgrades!$B$3:$B$13))*Upgrades!$D$3:$D$13))</f>
        <v>233.9</v>
      </c>
      <c r="T36" s="66">
        <f>IFERROR(__xludf.DUMMYFUNCTION("IF(COUNTA(Q36:Q1350)=0,"""",IF(REGEXMATCH(INDEX(FILTER(Q$4:Q36,Q$4:Q36&lt;&gt;""""),ROWS(FILTER(Q$4:Q36,Q$4:Q36&lt;&gt;""""))),""^Sell_""),INDEX(FILTER(T$4:T35,Q$4:Q35&lt;&gt;""""),ROWS(FILTER(Q$4:Q35,Q$4:Q35&lt;&gt;""""))),$AD$5+S36))"),433.9)</f>
        <v>433.9</v>
      </c>
      <c r="U36" s="10">
        <f>IFERROR(__xludf.DUMMYFUNCTION("IF(COUNTA(Q36:Q1350)=0,"""",IF(Q36="""",0,IF(REGEXMATCH(Q36,""^Sell_""),-ROUNDDOWN(ROUNDUP(INDEX(Upgrades!$C$3:$C$13,MATCH(SUBSTITUTE(Q36,""Sell_"",""""),Upgrades!$B$3:$B$13,0))*1.15^(COUNTIF(Q$4:Q35,SUBSTITUTE(Q36,""Sell_"",""""))-COUNTIF(Q$4:Q35,""Sell_"&amp;"""&amp;SUBSTITUTE(Q36,""Sell_"",""""))))/2),ROUNDUP(INDEX(Upgrades!$C$3:$C$13,MATCH(Q36,Upgrades!$B$3:$B$13,0))*1.15^(COUNTIF(Q$4:Q35,Q36)-COUNTIF(Q$4:Q35,""Sell_""&amp;Q36))))))"),46.0)</f>
        <v>46</v>
      </c>
      <c r="V36" s="10">
        <f t="shared" si="11"/>
        <v>46</v>
      </c>
      <c r="W36" s="68">
        <f t="shared" si="12"/>
        <v>237.301587</v>
      </c>
      <c r="X36" s="59" t="str">
        <f t="shared" si="13"/>
        <v>3m 57s</v>
      </c>
      <c r="Y36" s="69">
        <f t="shared" si="14"/>
        <v>71641</v>
      </c>
      <c r="Z36" s="11"/>
      <c r="AA36" s="95" t="s">
        <v>56</v>
      </c>
      <c r="AB36" s="95"/>
      <c r="AC36" s="95"/>
      <c r="AD36" s="95"/>
      <c r="AE36" s="96"/>
    </row>
    <row r="37">
      <c r="A37" s="8"/>
      <c r="B37" s="56">
        <f t="shared" si="2"/>
        <v>4</v>
      </c>
      <c r="C37" s="57" t="s">
        <v>6</v>
      </c>
      <c r="D37" s="10" t="b">
        <f>IFERROR(__xludf.DUMMYFUNCTION("IF(COUNTA(C37:C1350)=0,"""",IF(ISBLANK(C37),FALSE,IF(NOT(COUNTIF($AA$24:$AA$34,SUBSTITUTE(C37,""Sell_"",""""))),1,IF(REGEXMATCH(C37,""Sell_""),IF(COUNTIF(C$4:C37,SUBSTITUTE(C37,""Sell_"",""""))-COUNTIF(C$4:C36,C37)&lt;1,1),FALSE))))"),FALSE)</f>
        <v>0</v>
      </c>
      <c r="E37" s="59">
        <f t="array" ref="E37">IF(COUNTA(C37:C1350)=0,"",SUM((COUNTIF(C$4:C37,Upgrades!$B$3:$B$13)-COUNTIF(C$4:C37,"Sell_"&amp;Upgrades!$B$3:$B$13))*Upgrades!$D$3:$D$13))</f>
        <v>243.9</v>
      </c>
      <c r="F37" s="66">
        <f>IFERROR(__xludf.DUMMYFUNCTION("IF(COUNTA(C37:C1350)=0,"""",IF(REGEXMATCH(INDEX(FILTER(C$4:C37,C$4:C37&lt;&gt;""""),ROWS(FILTER(C$4:C37,C$4:C37&lt;&gt;""""))),""^Sell_""),INDEX(FILTER(F$4:F36,C$4:C36&lt;&gt;""""),ROWS(FILTER(C$4:C36,C$4:C36&lt;&gt;""""))),$AC$5+E37))"),443.9)</f>
        <v>443.9</v>
      </c>
      <c r="G37" s="10">
        <f>IFERROR(__xludf.DUMMYFUNCTION("IF(COUNTA(C37:C1350)=0,"""",IF(C37="""",0,IF(REGEXMATCH(C37,""^Sell_""),-ROUNDDOWN(ROUNDUP(INDEX(Upgrades!$C$3:$C$13,MATCH(SUBSTITUTE(C37,""Sell_"",""""),Upgrades!$B$3:$B$13,0))*1.15^(COUNTIF(C$4:C36,SUBSTITUTE(C37,""Sell_"",""""))-COUNTIF(C$4:C36,""Sell_"&amp;"""&amp;SUBSTITUTE(C37,""Sell_"",""""))))/2),ROUNDUP(INDEX(Upgrades!$C$3:$C$13,MATCH(C37,Upgrades!$B$3:$B$13,0))*1.15^(COUNTIF(C$4:C36,C37)-COUNTIF(C$4:C36,""Sell_""&amp;C37))))))"),4563.0)</f>
        <v>4563</v>
      </c>
      <c r="H37" s="10">
        <f t="shared" si="3"/>
        <v>4563</v>
      </c>
      <c r="I37" s="68">
        <f t="shared" si="4"/>
        <v>248.617038</v>
      </c>
      <c r="J37" s="59" t="str">
        <f t="shared" si="5"/>
        <v>4m 08s</v>
      </c>
      <c r="K37" s="69">
        <f t="shared" si="6"/>
        <v>76204</v>
      </c>
      <c r="L37" s="60">
        <f t="shared" si="7"/>
        <v>-0.81069</v>
      </c>
      <c r="M37" s="61">
        <f>IFERROR(__xludf.DUMMYFUNCTION("IFS(AND(COUNTA(C37:C1350)=0,COUNTA(Q37:Q1350)=0),"""",OR(AND(K37&gt;=1000000000,OR(Y37&gt;=1000000000,COUNTA(Q37:Q1350)=0)),OR(Y37&gt;=1000000000,AND(COUNTA(C37:C1350)=0,P$3=TRUE))),
ROUNDDOWN((AB$1-AC$1)*MAX(INDEX(T$4:T1350,MATCH(LARGE(FILTER(Y$4:Y1350,Y$4:Y1350&lt;"&amp;"1000000000),1),Y$4:Y1350)),INDEX(F$4:F1350,MATCH(LARGE(FILTER(K$4:K1350,K$4:K1350&lt;1000000000),1),K$4:K1350)))),AND(K37&lt;1000000000,COUNTA(C37:C1350)&gt;0,P$3=FALSE),
ROUNDDOWN(INDEX(Y$4:Y1350,MATCH(LARGE(FILTER(W$4:W1350,W$4:W1350&lt;=I37),1),W$4:W1350))+(I37-LA"&amp;"RGE(FILTER(W$4:W1350,W$4:W1350&lt;=I37),1))*INDEX(T$4:T1350,MATCH(LARGE(FILTER(W$4:W1350,W$4:W1350&lt;=I37),1),W$4:W1350))-K37),1,
ROUNDDOWN(Y37-INDEX(K$4:K1350,MATCH(LARGE(FILTER(I$4:I1350,I$4:I1350&lt;=W37),1),I$4:I1350))-(W37-LARGE(FILTER(I$4:I1350,I$4:I1350&lt;=W"&amp;"37),1))*INDEX(F$4:F1350,MATCH(LARGE(FILTER(I$4:I1350,I$4:I1350&lt;=W37),1),I$4:I1350))))"),354.0)</f>
        <v>354</v>
      </c>
      <c r="N37" s="60">
        <f t="shared" si="8"/>
        <v>-0.81069</v>
      </c>
      <c r="O37" s="61">
        <f t="shared" si="9"/>
        <v>354</v>
      </c>
      <c r="P37" s="56">
        <f t="shared" si="10"/>
        <v>7</v>
      </c>
      <c r="Q37" s="67" t="s">
        <v>4</v>
      </c>
      <c r="R37" s="10" t="b">
        <f>IFERROR(__xludf.DUMMYFUNCTION("IF(COUNTA(Q37:Q1350)=0,"""",IF(ISBLANK(Q37),FALSE,IF(NOT(COUNTIF($AA$24:$AA$34,SUBSTITUTE(Q37,""Sell_"",""""))),1,IF(REGEXMATCH(Q37,""Sell_""),IF(COUNTIF(Q$4:Q37,SUBSTITUTE(Q37,""Sell_"",""""))-COUNTIF(Q$4:Q36,Q37)&lt;1,1),FALSE))))"),FALSE)</f>
        <v>0</v>
      </c>
      <c r="S37" s="59">
        <f t="array" ref="S37">IF(COUNTA(Q37:Q1350)=0,"",SUM((COUNTIF(Q$4:Q37,Upgrades!$B$3:$B$13)-COUNTIF(Q$4:Q37,"Sell_"&amp;Upgrades!$B$3:$B$13))*Upgrades!$D$3:$D$13))</f>
        <v>234.4</v>
      </c>
      <c r="T37" s="66">
        <f>IFERROR(__xludf.DUMMYFUNCTION("IF(COUNTA(Q37:Q1350)=0,"""",IF(REGEXMATCH(INDEX(FILTER(Q$4:Q37,Q$4:Q37&lt;&gt;""""),ROWS(FILTER(Q$4:Q37,Q$4:Q37&lt;&gt;""""))),""^Sell_""),INDEX(FILTER(T$4:T36,Q$4:Q36&lt;&gt;""""),ROWS(FILTER(Q$4:Q36,Q$4:Q36&lt;&gt;""""))),$AD$5+S37))"),434.4)</f>
        <v>434.4</v>
      </c>
      <c r="U37" s="10">
        <f>IFERROR(__xludf.DUMMYFUNCTION("IF(COUNTA(Q37:Q1350)=0,"""",IF(Q37="""",0,IF(REGEXMATCH(Q37,""^Sell_""),-ROUNDDOWN(ROUNDUP(INDEX(Upgrades!$C$3:$C$13,MATCH(SUBSTITUTE(Q37,""Sell_"",""""),Upgrades!$B$3:$B$13,0))*1.15^(COUNTIF(Q$4:Q36,SUBSTITUTE(Q37,""Sell_"",""""))-COUNTIF(Q$4:Q36,""Sell_"&amp;"""&amp;SUBSTITUTE(Q37,""Sell_"",""""))))/2),ROUNDUP(INDEX(Upgrades!$C$3:$C$13,MATCH(Q37,Upgrades!$B$3:$B$13,0))*1.15^(COUNTIF(Q$4:Q36,Q37)-COUNTIF(Q$4:Q36,""Sell_""&amp;Q37))))))"),232.0)</f>
        <v>232</v>
      </c>
      <c r="V37" s="10">
        <f t="shared" si="11"/>
        <v>232</v>
      </c>
      <c r="W37" s="68">
        <f t="shared" si="12"/>
        <v>237.8362724</v>
      </c>
      <c r="X37" s="59" t="str">
        <f t="shared" si="13"/>
        <v>3m 57s</v>
      </c>
      <c r="Y37" s="69">
        <f t="shared" si="14"/>
        <v>71873</v>
      </c>
      <c r="Z37" s="11"/>
      <c r="AA37" s="100" t="s">
        <v>57</v>
      </c>
      <c r="AB37" s="100"/>
      <c r="AC37" s="100"/>
      <c r="AD37" s="100"/>
      <c r="AE37" s="101"/>
    </row>
    <row r="38">
      <c r="A38" s="8"/>
      <c r="B38" s="56">
        <f t="shared" si="2"/>
        <v>7</v>
      </c>
      <c r="C38" s="57" t="s">
        <v>4</v>
      </c>
      <c r="D38" s="10" t="b">
        <f>IFERROR(__xludf.DUMMYFUNCTION("IF(COUNTA(C38:C1350)=0,"""",IF(ISBLANK(C38),FALSE,IF(NOT(COUNTIF($AA$24:$AA$34,SUBSTITUTE(C38,""Sell_"",""""))),1,IF(REGEXMATCH(C38,""Sell_""),IF(COUNTIF(C$4:C38,SUBSTITUTE(C38,""Sell_"",""""))-COUNTIF(C$4:C37,C38)&lt;1,1),FALSE))))"),FALSE)</f>
        <v>0</v>
      </c>
      <c r="E38" s="59">
        <f t="array" ref="E38">IF(COUNTA(C38:C1350)=0,"",SUM((COUNTIF(C$4:C38,Upgrades!$B$3:$B$13)-COUNTIF(C$4:C38,"Sell_"&amp;Upgrades!$B$3:$B$13))*Upgrades!$D$3:$D$13))</f>
        <v>244.4</v>
      </c>
      <c r="F38" s="66">
        <f>IFERROR(__xludf.DUMMYFUNCTION("IF(COUNTA(C38:C1350)=0,"""",IF(REGEXMATCH(INDEX(FILTER(C$4:C38,C$4:C38&lt;&gt;""""),ROWS(FILTER(C$4:C38,C$4:C38&lt;&gt;""""))),""^Sell_""),INDEX(FILTER(F$4:F37,C$4:C37&lt;&gt;""""),ROWS(FILTER(C$4:C37,C$4:C37&lt;&gt;""""))),$AC$5+E38))"),444.4)</f>
        <v>444.4</v>
      </c>
      <c r="G38" s="10">
        <f>IFERROR(__xludf.DUMMYFUNCTION("IF(COUNTA(C38:C1350)=0,"""",IF(C38="""",0,IF(REGEXMATCH(C38,""^Sell_""),-ROUNDDOWN(ROUNDUP(INDEX(Upgrades!$C$3:$C$13,MATCH(SUBSTITUTE(C38,""Sell_"",""""),Upgrades!$B$3:$B$13,0))*1.15^(COUNTIF(C$4:C37,SUBSTITUTE(C38,""Sell_"",""""))-COUNTIF(C$4:C37,""Sell_"&amp;"""&amp;SUBSTITUTE(C38,""Sell_"",""""))))/2),ROUNDUP(INDEX(Upgrades!$C$3:$C$13,MATCH(C38,Upgrades!$B$3:$B$13,0))*1.15^(COUNTIF(C$4:C37,C38)-COUNTIF(C$4:C37,""Sell_""&amp;C38))))))"),232.0)</f>
        <v>232</v>
      </c>
      <c r="H38" s="10">
        <f t="shared" si="3"/>
        <v>232</v>
      </c>
      <c r="I38" s="68">
        <f t="shared" si="4"/>
        <v>249.1396782</v>
      </c>
      <c r="J38" s="59" t="str">
        <f t="shared" si="5"/>
        <v>4m 09s</v>
      </c>
      <c r="K38" s="69">
        <f t="shared" si="6"/>
        <v>76436</v>
      </c>
      <c r="L38" s="60">
        <f t="shared" si="7"/>
        <v>-0.79926</v>
      </c>
      <c r="M38" s="61">
        <f>IFERROR(__xludf.DUMMYFUNCTION("IFS(AND(COUNTA(C38:C1350)=0,COUNTA(Q38:Q1350)=0),"""",OR(AND(K38&gt;=1000000000,OR(Y38&gt;=1000000000,COUNTA(Q38:Q1350)=0)),OR(Y38&gt;=1000000000,AND(COUNTA(C38:C1350)=0,P$3=TRUE))),
ROUNDDOWN((AB$1-AC$1)*MAX(INDEX(T$4:T1350,MATCH(LARGE(FILTER(Y$4:Y1350,Y$4:Y1350&lt;"&amp;"1000000000),1),Y$4:Y1350)),INDEX(F$4:F1350,MATCH(LARGE(FILTER(K$4:K1350,K$4:K1350&lt;1000000000),1),K$4:K1350)))),AND(K38&lt;1000000000,COUNTA(C38:C1350)&gt;0,P$3=FALSE),
ROUNDDOWN(INDEX(Y$4:Y1350,MATCH(LARGE(FILTER(W$4:W1350,W$4:W1350&lt;=I38),1),W$4:W1350))+(I38-LA"&amp;"RGE(FILTER(W$4:W1350,W$4:W1350&lt;=I38),1))*INDEX(T$4:T1350,MATCH(LARGE(FILTER(W$4:W1350,W$4:W1350&lt;=I38),1),W$4:W1350))-K38),1,
ROUNDDOWN(Y38-INDEX(K$4:K1350,MATCH(LARGE(FILTER(I$4:I1350,I$4:I1350&lt;=W38),1),I$4:I1350))-(W38-LARGE(FILTER(I$4:I1350,I$4:I1350&lt;=W"&amp;"38),1))*INDEX(F$4:F1350,MATCH(LARGE(FILTER(I$4:I1350,I$4:I1350&lt;=W38),1),I$4:I1350))))"),355.0)</f>
        <v>355</v>
      </c>
      <c r="N38" s="60">
        <f t="shared" si="8"/>
        <v>-0.79926</v>
      </c>
      <c r="O38" s="61">
        <f t="shared" si="9"/>
        <v>355</v>
      </c>
      <c r="P38" s="56">
        <f t="shared" si="10"/>
        <v>4</v>
      </c>
      <c r="Q38" s="67" t="s">
        <v>6</v>
      </c>
      <c r="R38" s="10" t="b">
        <f>IFERROR(__xludf.DUMMYFUNCTION("IF(COUNTA(Q38:Q1350)=0,"""",IF(ISBLANK(Q38),FALSE,IF(NOT(COUNTIF($AA$24:$AA$34,SUBSTITUTE(Q38,""Sell_"",""""))),1,IF(REGEXMATCH(Q38,""Sell_""),IF(COUNTIF(Q$4:Q38,SUBSTITUTE(Q38,""Sell_"",""""))-COUNTIF(Q$4:Q37,Q38)&lt;1,1),FALSE))))"),FALSE)</f>
        <v>0</v>
      </c>
      <c r="S38" s="59">
        <f t="array" ref="S38">IF(COUNTA(Q38:Q1350)=0,"",SUM((COUNTIF(Q$4:Q38,Upgrades!$B$3:$B$13)-COUNTIF(Q$4:Q38,"Sell_"&amp;Upgrades!$B$3:$B$13))*Upgrades!$D$3:$D$13))</f>
        <v>244.4</v>
      </c>
      <c r="T38" s="66">
        <f>IFERROR(__xludf.DUMMYFUNCTION("IF(COUNTA(Q38:Q1350)=0,"""",IF(REGEXMATCH(INDEX(FILTER(Q$4:Q38,Q$4:Q38&lt;&gt;""""),ROWS(FILTER(Q$4:Q38,Q$4:Q38&lt;&gt;""""))),""^Sell_""),INDEX(FILTER(T$4:T37,Q$4:Q37&lt;&gt;""""),ROWS(FILTER(Q$4:Q37,Q$4:Q37&lt;&gt;""""))),$AD$5+S38))"),444.4)</f>
        <v>444.4</v>
      </c>
      <c r="U38" s="10">
        <f>IFERROR(__xludf.DUMMYFUNCTION("IF(COUNTA(Q38:Q1350)=0,"""",IF(Q38="""",0,IF(REGEXMATCH(Q38,""^Sell_""),-ROUNDDOWN(ROUNDUP(INDEX(Upgrades!$C$3:$C$13,MATCH(SUBSTITUTE(Q38,""Sell_"",""""),Upgrades!$B$3:$B$13,0))*1.15^(COUNTIF(Q$4:Q37,SUBSTITUTE(Q38,""Sell_"",""""))-COUNTIF(Q$4:Q37,""Sell_"&amp;"""&amp;SUBSTITUTE(Q38,""Sell_"",""""))))/2),ROUNDUP(INDEX(Upgrades!$C$3:$C$13,MATCH(Q38,Upgrades!$B$3:$B$13,0))*1.15^(COUNTIF(Q$4:Q37,Q38)-COUNTIF(Q$4:Q37,""Sell_""&amp;Q38))))))"),4563.0)</f>
        <v>4563</v>
      </c>
      <c r="V38" s="10">
        <f t="shared" si="11"/>
        <v>4563</v>
      </c>
      <c r="W38" s="68">
        <f t="shared" si="12"/>
        <v>248.3404161</v>
      </c>
      <c r="X38" s="59" t="str">
        <f t="shared" si="13"/>
        <v>4m 08s</v>
      </c>
      <c r="Y38" s="69">
        <f t="shared" si="14"/>
        <v>76436</v>
      </c>
      <c r="Z38" s="11"/>
    </row>
    <row r="39">
      <c r="A39" s="8"/>
      <c r="B39" s="56">
        <f t="shared" si="2"/>
        <v>10</v>
      </c>
      <c r="C39" s="57" t="s">
        <v>3</v>
      </c>
      <c r="D39" s="10" t="b">
        <f>IFERROR(__xludf.DUMMYFUNCTION("IF(COUNTA(C39:C1350)=0,"""",IF(ISBLANK(C39),FALSE,IF(NOT(COUNTIF($AA$24:$AA$34,SUBSTITUTE(C39,""Sell_"",""""))),1,IF(REGEXMATCH(C39,""Sell_""),IF(COUNTIF(C$4:C39,SUBSTITUTE(C39,""Sell_"",""""))-COUNTIF(C$4:C38,C39)&lt;1,1),FALSE))))"),FALSE)</f>
        <v>0</v>
      </c>
      <c r="E39" s="59">
        <f t="array" ref="E39">IF(COUNTA(C39:C1350)=0,"",SUM((COUNTIF(C$4:C39,Upgrades!$B$3:$B$13)-COUNTIF(C$4:C39,"Sell_"&amp;Upgrades!$B$3:$B$13))*Upgrades!$D$3:$D$13))</f>
        <v>244.5</v>
      </c>
      <c r="F39" s="66">
        <f>IFERROR(__xludf.DUMMYFUNCTION("IF(COUNTA(C39:C1350)=0,"""",IF(REGEXMATCH(INDEX(FILTER(C$4:C39,C$4:C39&lt;&gt;""""),ROWS(FILTER(C$4:C39,C$4:C39&lt;&gt;""""))),""^Sell_""),INDEX(FILTER(F$4:F38,C$4:C38&lt;&gt;""""),ROWS(FILTER(C$4:C38,C$4:C38&lt;&gt;""""))),$AC$5+E39))"),444.5)</f>
        <v>444.5</v>
      </c>
      <c r="G39" s="10">
        <f>IFERROR(__xludf.DUMMYFUNCTION("IF(COUNTA(C39:C1350)=0,"""",IF(C39="""",0,IF(REGEXMATCH(C39,""^Sell_""),-ROUNDDOWN(ROUNDUP(INDEX(Upgrades!$C$3:$C$13,MATCH(SUBSTITUTE(C39,""Sell_"",""""),Upgrades!$B$3:$B$13,0))*1.15^(COUNTIF(C$4:C38,SUBSTITUTE(C39,""Sell_"",""""))-COUNTIF(C$4:C38,""Sell_"&amp;"""&amp;SUBSTITUTE(C39,""Sell_"",""""))))/2),ROUNDUP(INDEX(Upgrades!$C$3:$C$13,MATCH(C39,Upgrades!$B$3:$B$13,0))*1.15^(COUNTIF(C$4:C38,C39)-COUNTIF(C$4:C38,""Sell_""&amp;C39))))))"),53.0)</f>
        <v>53</v>
      </c>
      <c r="H39" s="10">
        <f t="shared" si="3"/>
        <v>53</v>
      </c>
      <c r="I39" s="68">
        <f t="shared" si="4"/>
        <v>249.2589401</v>
      </c>
      <c r="J39" s="59" t="str">
        <f t="shared" si="5"/>
        <v>4m 09s</v>
      </c>
      <c r="K39" s="69">
        <f t="shared" si="6"/>
        <v>76489</v>
      </c>
      <c r="L39" s="60">
        <f t="shared" si="7"/>
        <v>-0.79926</v>
      </c>
      <c r="M39" s="61">
        <f>IFERROR(__xludf.DUMMYFUNCTION("IFS(AND(COUNTA(C39:C1350)=0,COUNTA(Q39:Q1350)=0),"""",OR(AND(K39&gt;=1000000000,OR(Y39&gt;=1000000000,COUNTA(Q39:Q1350)=0)),OR(Y39&gt;=1000000000,AND(COUNTA(C39:C1350)=0,P$3=TRUE))),
ROUNDDOWN((AB$1-AC$1)*MAX(INDEX(T$4:T1350,MATCH(LARGE(FILTER(Y$4:Y1350,Y$4:Y1350&lt;"&amp;"1000000000),1),Y$4:Y1350)),INDEX(F$4:F1350,MATCH(LARGE(FILTER(K$4:K1350,K$4:K1350&lt;1000000000),1),K$4:K1350)))),AND(K39&lt;1000000000,COUNTA(C39:C1350)&gt;0,P$3=FALSE),
ROUNDDOWN(INDEX(Y$4:Y1350,MATCH(LARGE(FILTER(W$4:W1350,W$4:W1350&lt;=I39),1),W$4:W1350))+(I39-LA"&amp;"RGE(FILTER(W$4:W1350,W$4:W1350&lt;=I39),1))*INDEX(T$4:T1350,MATCH(LARGE(FILTER(W$4:W1350,W$4:W1350&lt;=I39),1),W$4:W1350))-K39),1,
ROUNDDOWN(Y39-INDEX(K$4:K1350,MATCH(LARGE(FILTER(I$4:I1350,I$4:I1350&lt;=W39),1),I$4:I1350))-(W39-LARGE(FILTER(I$4:I1350,I$4:I1350&lt;=W"&amp;"39),1))*INDEX(F$4:F1350,MATCH(LARGE(FILTER(I$4:I1350,I$4:I1350&lt;=W39),1),I$4:I1350))))"),355.0)</f>
        <v>355</v>
      </c>
      <c r="N39" s="60">
        <f t="shared" si="8"/>
        <v>-0.79926</v>
      </c>
      <c r="O39" s="61">
        <f t="shared" si="9"/>
        <v>355</v>
      </c>
      <c r="P39" s="56">
        <f t="shared" si="10"/>
        <v>5</v>
      </c>
      <c r="Q39" s="67" t="s">
        <v>7</v>
      </c>
      <c r="R39" s="10" t="b">
        <f>IFERROR(__xludf.DUMMYFUNCTION("IF(COUNTA(Q39:Q1350)=0,"""",IF(ISBLANK(Q39),FALSE,IF(NOT(COUNTIF($AA$24:$AA$34,SUBSTITUTE(Q39,""Sell_"",""""))),1,IF(REGEXMATCH(Q39,""Sell_""),IF(COUNTIF(Q$4:Q39,SUBSTITUTE(Q39,""Sell_"",""""))-COUNTIF(Q$4:Q38,Q39)&lt;1,1),FALSE))))"),FALSE)</f>
        <v>0</v>
      </c>
      <c r="S39" s="59">
        <f t="array" ref="S39">IF(COUNTA(Q39:Q1350)=0,"",SUM((COUNTIF(Q$4:Q39,Upgrades!$B$3:$B$13)-COUNTIF(Q$4:Q39,"Sell_"&amp;Upgrades!$B$3:$B$13))*Upgrades!$D$3:$D$13))</f>
        <v>284.4</v>
      </c>
      <c r="T39" s="66">
        <f>IFERROR(__xludf.DUMMYFUNCTION("IF(COUNTA(Q39:Q1350)=0,"""",IF(REGEXMATCH(INDEX(FILTER(Q$4:Q39,Q$4:Q39&lt;&gt;""""),ROWS(FILTER(Q$4:Q39,Q$4:Q39&lt;&gt;""""))),""^Sell_""),INDEX(FILTER(T$4:T38,Q$4:Q38&lt;&gt;""""),ROWS(FILTER(Q$4:Q38,Q$4:Q38&lt;&gt;""""))),$AD$5+S39))"),484.4)</f>
        <v>484.4</v>
      </c>
      <c r="U39" s="10">
        <f>IFERROR(__xludf.DUMMYFUNCTION("IF(COUNTA(Q39:Q1350)=0,"""",IF(Q39="""",0,IF(REGEXMATCH(Q39,""^Sell_""),-ROUNDDOWN(ROUNDUP(INDEX(Upgrades!$C$3:$C$13,MATCH(SUBSTITUTE(Q39,""Sell_"",""""),Upgrades!$B$3:$B$13,0))*1.15^(COUNTIF(Q$4:Q38,SUBSTITUTE(Q39,""Sell_"",""""))-COUNTIF(Q$4:Q38,""Sell_"&amp;"""&amp;SUBSTITUTE(Q39,""Sell_"",""""))))/2),ROUNDUP(INDEX(Upgrades!$C$3:$C$13,MATCH(Q39,Upgrades!$B$3:$B$13,0))*1.15^(COUNTIF(Q$4:Q38,Q39)-COUNTIF(Q$4:Q38,""Sell_""&amp;Q39))))))"),17491.0)</f>
        <v>17491</v>
      </c>
      <c r="V39" s="10">
        <f t="shared" si="11"/>
        <v>17491</v>
      </c>
      <c r="W39" s="68">
        <f t="shared" si="12"/>
        <v>287.6991019</v>
      </c>
      <c r="X39" s="59" t="str">
        <f t="shared" si="13"/>
        <v>4m 47s</v>
      </c>
      <c r="Y39" s="69">
        <f t="shared" si="14"/>
        <v>93927</v>
      </c>
      <c r="Z39" s="11"/>
      <c r="AA39" s="73" t="s">
        <v>43</v>
      </c>
      <c r="AB39" s="74"/>
      <c r="AC39" s="77" t="str">
        <f>IF(AF1&lt;0,"YES","NO")</f>
        <v>YES</v>
      </c>
      <c r="AD39" s="102" t="s">
        <v>58</v>
      </c>
      <c r="AE39" s="103"/>
    </row>
    <row r="40">
      <c r="A40" s="8"/>
      <c r="B40" s="56">
        <f t="shared" si="2"/>
        <v>5</v>
      </c>
      <c r="C40" s="57" t="s">
        <v>7</v>
      </c>
      <c r="D40" s="10" t="b">
        <f>IFERROR(__xludf.DUMMYFUNCTION("IF(COUNTA(C40:C1350)=0,"""",IF(ISBLANK(C40),FALSE,IF(NOT(COUNTIF($AA$24:$AA$34,SUBSTITUTE(C40,""Sell_"",""""))),1,IF(REGEXMATCH(C40,""Sell_""),IF(COUNTIF(C$4:C40,SUBSTITUTE(C40,""Sell_"",""""))-COUNTIF(C$4:C39,C40)&lt;1,1),FALSE))))"),FALSE)</f>
        <v>0</v>
      </c>
      <c r="E40" s="59">
        <f t="array" ref="E40">IF(COUNTA(C40:C1350)=0,"",SUM((COUNTIF(C$4:C40,Upgrades!$B$3:$B$13)-COUNTIF(C$4:C40,"Sell_"&amp;Upgrades!$B$3:$B$13))*Upgrades!$D$3:$D$13))</f>
        <v>284.5</v>
      </c>
      <c r="F40" s="66">
        <f>IFERROR(__xludf.DUMMYFUNCTION("IF(COUNTA(C40:C1350)=0,"""",IF(REGEXMATCH(INDEX(FILTER(C$4:C40,C$4:C40&lt;&gt;""""),ROWS(FILTER(C$4:C40,C$4:C40&lt;&gt;""""))),""^Sell_""),INDEX(FILTER(F$4:F39,C$4:C39&lt;&gt;""""),ROWS(FILTER(C$4:C39,C$4:C39&lt;&gt;""""))),$AC$5+E40))"),484.5)</f>
        <v>484.5</v>
      </c>
      <c r="G40" s="10">
        <f>IFERROR(__xludf.DUMMYFUNCTION("IF(COUNTA(C40:C1350)=0,"""",IF(C40="""",0,IF(REGEXMATCH(C40,""^Sell_""),-ROUNDDOWN(ROUNDUP(INDEX(Upgrades!$C$3:$C$13,MATCH(SUBSTITUTE(C40,""Sell_"",""""),Upgrades!$B$3:$B$13,0))*1.15^(COUNTIF(C$4:C39,SUBSTITUTE(C40,""Sell_"",""""))-COUNTIF(C$4:C39,""Sell_"&amp;"""&amp;SUBSTITUTE(C40,""Sell_"",""""))))/2),ROUNDUP(INDEX(Upgrades!$C$3:$C$13,MATCH(C40,Upgrades!$B$3:$B$13,0))*1.15^(COUNTIF(C$4:C39,C40)-COUNTIF(C$4:C39,""Sell_""&amp;C40))))))"),17491.0)</f>
        <v>17491</v>
      </c>
      <c r="H40" s="10">
        <f t="shared" si="3"/>
        <v>17491</v>
      </c>
      <c r="I40" s="68">
        <f t="shared" si="4"/>
        <v>288.6087714</v>
      </c>
      <c r="J40" s="59" t="str">
        <f t="shared" si="5"/>
        <v>4m 48s</v>
      </c>
      <c r="K40" s="69">
        <f t="shared" si="6"/>
        <v>93980</v>
      </c>
      <c r="L40" s="60">
        <f t="shared" si="7"/>
        <v>-0.80025</v>
      </c>
      <c r="M40" s="61">
        <f>IFERROR(__xludf.DUMMYFUNCTION("IFS(AND(COUNTA(C40:C1350)=0,COUNTA(Q40:Q1350)=0),"""",OR(AND(K40&gt;=1000000000,OR(Y40&gt;=1000000000,COUNTA(Q40:Q1350)=0)),OR(Y40&gt;=1000000000,AND(COUNTA(C40:C1350)=0,P$3=TRUE))),
ROUNDDOWN((AB$1-AC$1)*MAX(INDEX(T$4:T1350,MATCH(LARGE(FILTER(Y$4:Y1350,Y$4:Y1350&lt;"&amp;"1000000000),1),Y$4:Y1350)),INDEX(F$4:F1350,MATCH(LARGE(FILTER(K$4:K1350,K$4:K1350&lt;1000000000),1),K$4:K1350)))),AND(K40&lt;1000000000,COUNTA(C40:C1350)&gt;0,P$3=FALSE),
ROUNDDOWN(INDEX(Y$4:Y1350,MATCH(LARGE(FILTER(W$4:W1350,W$4:W1350&lt;=I40),1),W$4:W1350))+(I40-LA"&amp;"RGE(FILTER(W$4:W1350,W$4:W1350&lt;=I40),1))*INDEX(T$4:T1350,MATCH(LARGE(FILTER(W$4:W1350,W$4:W1350&lt;=I40),1),W$4:W1350))-K40),1,
ROUNDDOWN(Y40-INDEX(K$4:K1350,MATCH(LARGE(FILTER(I$4:I1350,I$4:I1350&lt;=W40),1),I$4:I1350))-(W40-LARGE(FILTER(I$4:I1350,I$4:I1350&lt;=W"&amp;"40),1))*INDEX(F$4:F1350,MATCH(LARGE(FILTER(I$4:I1350,I$4:I1350&lt;=W40),1),I$4:I1350))))"),387.0)</f>
        <v>387</v>
      </c>
      <c r="N40" s="60">
        <f t="shared" si="8"/>
        <v>-0.80025</v>
      </c>
      <c r="O40" s="61">
        <f t="shared" si="9"/>
        <v>387</v>
      </c>
      <c r="P40" s="56">
        <f t="shared" si="10"/>
        <v>1</v>
      </c>
      <c r="Q40" s="67" t="s">
        <v>8</v>
      </c>
      <c r="R40" s="10" t="b">
        <f>IFERROR(__xludf.DUMMYFUNCTION("IF(COUNTA(Q40:Q1350)=0,"""",IF(ISBLANK(Q40),FALSE,IF(NOT(COUNTIF($AA$24:$AA$34,SUBSTITUTE(Q40,""Sell_"",""""))),1,IF(REGEXMATCH(Q40,""Sell_""),IF(COUNTIF(Q$4:Q40,SUBSTITUTE(Q40,""Sell_"",""""))-COUNTIF(Q$4:Q39,Q40)&lt;1,1),FALSE))))"),FALSE)</f>
        <v>0</v>
      </c>
      <c r="S40" s="59">
        <f t="array" ref="S40">IF(COUNTA(Q40:Q1350)=0,"",SUM((COUNTIF(Q$4:Q40,Upgrades!$B$3:$B$13)-COUNTIF(Q$4:Q40,"Sell_"&amp;Upgrades!$B$3:$B$13))*Upgrades!$D$3:$D$13))</f>
        <v>384.4</v>
      </c>
      <c r="T40" s="66">
        <f>IFERROR(__xludf.DUMMYFUNCTION("IF(COUNTA(Q40:Q1350)=0,"""",IF(REGEXMATCH(INDEX(FILTER(Q$4:Q40,Q$4:Q40&lt;&gt;""""),ROWS(FILTER(Q$4:Q40,Q$4:Q40&lt;&gt;""""))),""^Sell_""),INDEX(FILTER(T$4:T39,Q$4:Q39&lt;&gt;""""),ROWS(FILTER(Q$4:Q39,Q$4:Q39&lt;&gt;""""))),$AD$5+S40))"),584.4)</f>
        <v>584.4</v>
      </c>
      <c r="U40" s="10">
        <f>IFERROR(__xludf.DUMMYFUNCTION("IF(COUNTA(Q40:Q1350)=0,"""",IF(Q40="""",0,IF(REGEXMATCH(Q40,""^Sell_""),-ROUNDDOWN(ROUNDUP(INDEX(Upgrades!$C$3:$C$13,MATCH(SUBSTITUTE(Q40,""Sell_"",""""),Upgrades!$B$3:$B$13,0))*1.15^(COUNTIF(Q$4:Q39,SUBSTITUTE(Q40,""Sell_"",""""))-COUNTIF(Q$4:Q39,""Sell_"&amp;"""&amp;SUBSTITUTE(Q40,""Sell_"",""""))))/2),ROUNDUP(INDEX(Upgrades!$C$3:$C$13,MATCH(Q40,Upgrades!$B$3:$B$13,0))*1.15^(COUNTIF(Q$4:Q39,Q40)-COUNTIF(Q$4:Q39,""Sell_""&amp;Q40))))))"),40000.0)</f>
        <v>40000</v>
      </c>
      <c r="V40" s="10">
        <f t="shared" si="11"/>
        <v>40000</v>
      </c>
      <c r="W40" s="68">
        <f t="shared" si="12"/>
        <v>370.2754851</v>
      </c>
      <c r="X40" s="59" t="str">
        <f t="shared" si="13"/>
        <v>6m 10s</v>
      </c>
      <c r="Y40" s="69">
        <f t="shared" si="14"/>
        <v>133927</v>
      </c>
      <c r="Z40" s="11"/>
    </row>
    <row r="41">
      <c r="A41" s="8"/>
      <c r="B41" s="56">
        <f t="shared" si="2"/>
        <v>1</v>
      </c>
      <c r="C41" s="57" t="s">
        <v>8</v>
      </c>
      <c r="D41" s="10" t="b">
        <f>IFERROR(__xludf.DUMMYFUNCTION("IF(COUNTA(C41:C1350)=0,"""",IF(ISBLANK(C41),FALSE,IF(NOT(COUNTIF($AA$24:$AA$34,SUBSTITUTE(C41,""Sell_"",""""))),1,IF(REGEXMATCH(C41,""Sell_""),IF(COUNTIF(C$4:C41,SUBSTITUTE(C41,""Sell_"",""""))-COUNTIF(C$4:C40,C41)&lt;1,1),FALSE))))"),FALSE)</f>
        <v>0</v>
      </c>
      <c r="E41" s="59">
        <f t="array" ref="E41">IF(COUNTA(C41:C1350)=0,"",SUM((COUNTIF(C$4:C41,Upgrades!$B$3:$B$13)-COUNTIF(C$4:C41,"Sell_"&amp;Upgrades!$B$3:$B$13))*Upgrades!$D$3:$D$13))</f>
        <v>384.5</v>
      </c>
      <c r="F41" s="66">
        <f>IFERROR(__xludf.DUMMYFUNCTION("IF(COUNTA(C41:C1350)=0,"""",IF(REGEXMATCH(INDEX(FILTER(C$4:C41,C$4:C41&lt;&gt;""""),ROWS(FILTER(C$4:C41,C$4:C41&lt;&gt;""""))),""^Sell_""),INDEX(FILTER(F$4:F40,C$4:C40&lt;&gt;""""),ROWS(FILTER(C$4:C40,C$4:C40&lt;&gt;""""))),$AC$5+E41))"),584.5)</f>
        <v>584.5</v>
      </c>
      <c r="G41" s="10">
        <f>IFERROR(__xludf.DUMMYFUNCTION("IF(COUNTA(C41:C1350)=0,"""",IF(C41="""",0,IF(REGEXMATCH(C41,""^Sell_""),-ROUNDDOWN(ROUNDUP(INDEX(Upgrades!$C$3:$C$13,MATCH(SUBSTITUTE(C41,""Sell_"",""""),Upgrades!$B$3:$B$13,0))*1.15^(COUNTIF(C$4:C40,SUBSTITUTE(C41,""Sell_"",""""))-COUNTIF(C$4:C40,""Sell_"&amp;"""&amp;SUBSTITUTE(C41,""Sell_"",""""))))/2),ROUNDUP(INDEX(Upgrades!$C$3:$C$13,MATCH(C41,Upgrades!$B$3:$B$13,0))*1.15^(COUNTIF(C$4:C40,C41)-COUNTIF(C$4:C40,""Sell_""&amp;C41))))))"),40000.0)</f>
        <v>40000</v>
      </c>
      <c r="H41" s="10">
        <f t="shared" si="3"/>
        <v>40000</v>
      </c>
      <c r="I41" s="68">
        <f t="shared" si="4"/>
        <v>371.1681109</v>
      </c>
      <c r="J41" s="59" t="str">
        <f t="shared" si="5"/>
        <v>6m 11s</v>
      </c>
      <c r="K41" s="69">
        <f t="shared" si="6"/>
        <v>133980</v>
      </c>
      <c r="L41" s="60">
        <f t="shared" si="7"/>
        <v>-0.80193</v>
      </c>
      <c r="M41" s="61">
        <f>IFERROR(__xludf.DUMMYFUNCTION("IFS(AND(COUNTA(C41:C1350)=0,COUNTA(Q41:Q1350)=0),"""",OR(AND(K41&gt;=1000000000,OR(Y41&gt;=1000000000,COUNTA(Q41:Q1350)=0)),OR(Y41&gt;=1000000000,AND(COUNTA(C41:C1350)=0,P$3=TRUE))),
ROUNDDOWN((AB$1-AC$1)*MAX(INDEX(T$4:T1350,MATCH(LARGE(FILTER(Y$4:Y1350,Y$4:Y1350&lt;"&amp;"1000000000),1),Y$4:Y1350)),INDEX(F$4:F1350,MATCH(LARGE(FILTER(K$4:K1350,K$4:K1350&lt;1000000000),1),K$4:K1350)))),AND(K41&lt;1000000000,COUNTA(C41:C1350)&gt;0,P$3=FALSE),
ROUNDDOWN(INDEX(Y$4:Y1350,MATCH(LARGE(FILTER(W$4:W1350,W$4:W1350&lt;=I41),1),W$4:W1350))+(I41-LA"&amp;"RGE(FILTER(W$4:W1350,W$4:W1350&lt;=I41),1))*INDEX(T$4:T1350,MATCH(LARGE(FILTER(W$4:W1350,W$4:W1350&lt;=I41),1),W$4:W1350))-K41),1,
ROUNDDOWN(Y41-INDEX(K$4:K1350,MATCH(LARGE(FILTER(I$4:I1350,I$4:I1350&lt;=W41),1),I$4:I1350))-(W41-LARGE(FILTER(I$4:I1350,I$4:I1350&lt;=W"&amp;"41),1))*INDEX(F$4:F1350,MATCH(LARGE(FILTER(I$4:I1350,I$4:I1350&lt;=W41),1),I$4:I1350))))"),468.0)</f>
        <v>468</v>
      </c>
      <c r="N41" s="60">
        <f t="shared" si="8"/>
        <v>-0.80193</v>
      </c>
      <c r="O41" s="61">
        <f t="shared" si="9"/>
        <v>468</v>
      </c>
      <c r="P41" s="56">
        <f t="shared" si="10"/>
        <v>11</v>
      </c>
      <c r="Q41" s="67" t="s">
        <v>5</v>
      </c>
      <c r="R41" s="10" t="b">
        <f>IFERROR(__xludf.DUMMYFUNCTION("IF(COUNTA(Q41:Q1350)=0,"""",IF(ISBLANK(Q41),FALSE,IF(NOT(COUNTIF($AA$24:$AA$34,SUBSTITUTE(Q41,""Sell_"",""""))),1,IF(REGEXMATCH(Q41,""Sell_""),IF(COUNTIF(Q$4:Q41,SUBSTITUTE(Q41,""Sell_"",""""))-COUNTIF(Q$4:Q40,Q41)&lt;1,1),FALSE))))"),FALSE)</f>
        <v>0</v>
      </c>
      <c r="S41" s="59">
        <f t="array" ref="S41">IF(COUNTA(Q41:Q1350)=0,"",SUM((COUNTIF(Q$4:Q41,Upgrades!$B$3:$B$13)-COUNTIF(Q$4:Q41,"Sell_"&amp;Upgrades!$B$3:$B$13))*Upgrades!$D$3:$D$13))</f>
        <v>388.4</v>
      </c>
      <c r="T41" s="66">
        <f>IFERROR(__xludf.DUMMYFUNCTION("IF(COUNTA(Q41:Q1350)=0,"""",IF(REGEXMATCH(INDEX(FILTER(Q$4:Q41,Q$4:Q41&lt;&gt;""""),ROWS(FILTER(Q$4:Q41,Q$4:Q41&lt;&gt;""""))),""^Sell_""),INDEX(FILTER(T$4:T40,Q$4:Q40&lt;&gt;""""),ROWS(FILTER(Q$4:Q40,Q$4:Q40&lt;&gt;""""))),$AD$5+S41))"),588.4)</f>
        <v>588.4</v>
      </c>
      <c r="U41" s="10">
        <f>IFERROR(__xludf.DUMMYFUNCTION("IF(COUNTA(Q41:Q1350)=0,"""",IF(Q41="""",0,IF(REGEXMATCH(Q41,""^Sell_""),-ROUNDDOWN(ROUNDUP(INDEX(Upgrades!$C$3:$C$13,MATCH(SUBSTITUTE(Q41,""Sell_"",""""),Upgrades!$B$3:$B$13,0))*1.15^(COUNTIF(Q$4:Q40,SUBSTITUTE(Q41,""Sell_"",""""))-COUNTIF(Q$4:Q40,""Sell_"&amp;"""&amp;SUBSTITUTE(Q41,""Sell_"",""""))))/2),ROUNDUP(INDEX(Upgrades!$C$3:$C$13,MATCH(Q41,Upgrades!$B$3:$B$13,0))*1.15^(COUNTIF(Q$4:Q40,Q41)-COUNTIF(Q$4:Q40,""Sell_""&amp;Q41))))))"),2023.0)</f>
        <v>2023</v>
      </c>
      <c r="V41" s="10">
        <f t="shared" si="11"/>
        <v>2023</v>
      </c>
      <c r="W41" s="68">
        <f t="shared" si="12"/>
        <v>373.7371552</v>
      </c>
      <c r="X41" s="59" t="str">
        <f t="shared" si="13"/>
        <v>6m 13s</v>
      </c>
      <c r="Y41" s="69">
        <f t="shared" si="14"/>
        <v>135950</v>
      </c>
      <c r="Z41" s="11"/>
    </row>
    <row r="42">
      <c r="A42" s="8"/>
      <c r="B42" s="56">
        <f t="shared" si="2"/>
        <v>5</v>
      </c>
      <c r="C42" s="57" t="s">
        <v>6</v>
      </c>
      <c r="D42" s="10" t="b">
        <f>IFERROR(__xludf.DUMMYFUNCTION("IF(COUNTA(C42:C1350)=0,"""",IF(ISBLANK(C42),FALSE,IF(NOT(COUNTIF($AA$24:$AA$34,SUBSTITUTE(C42,""Sell_"",""""))),1,IF(REGEXMATCH(C42,""Sell_""),IF(COUNTIF(C$4:C42,SUBSTITUTE(C42,""Sell_"",""""))-COUNTIF(C$4:C41,C42)&lt;1,1),FALSE))))"),FALSE)</f>
        <v>0</v>
      </c>
      <c r="E42" s="59">
        <f t="array" ref="E42">IF(COUNTA(C42:C1350)=0,"",SUM((COUNTIF(C$4:C42,Upgrades!$B$3:$B$13)-COUNTIF(C$4:C42,"Sell_"&amp;Upgrades!$B$3:$B$13))*Upgrades!$D$3:$D$13))</f>
        <v>394.5</v>
      </c>
      <c r="F42" s="66">
        <f>IFERROR(__xludf.DUMMYFUNCTION("IF(COUNTA(C42:C1350)=0,"""",IF(REGEXMATCH(INDEX(FILTER(C$4:C42,C$4:C42&lt;&gt;""""),ROWS(FILTER(C$4:C42,C$4:C42&lt;&gt;""""))),""^Sell_""),INDEX(FILTER(F$4:F41,C$4:C41&lt;&gt;""""),ROWS(FILTER(C$4:C41,C$4:C41&lt;&gt;""""))),$AC$5+E42))"),594.5)</f>
        <v>594.5</v>
      </c>
      <c r="G42" s="10">
        <f>IFERROR(__xludf.DUMMYFUNCTION("IF(COUNTA(C42:C1350)=0,"""",IF(C42="""",0,IF(REGEXMATCH(C42,""^Sell_""),-ROUNDDOWN(ROUNDUP(INDEX(Upgrades!$C$3:$C$13,MATCH(SUBSTITUTE(C42,""Sell_"",""""),Upgrades!$B$3:$B$13,0))*1.15^(COUNTIF(C$4:C41,SUBSTITUTE(C42,""Sell_"",""""))-COUNTIF(C$4:C41,""Sell_"&amp;"""&amp;SUBSTITUTE(C42,""Sell_"",""""))))/2),ROUNDUP(INDEX(Upgrades!$C$3:$C$13,MATCH(C42,Upgrades!$B$3:$B$13,0))*1.15^(COUNTIF(C$4:C41,C42)-COUNTIF(C$4:C41,""Sell_""&amp;C42))))))"),5248.0)</f>
        <v>5248</v>
      </c>
      <c r="H42" s="10">
        <f t="shared" si="3"/>
        <v>5248</v>
      </c>
      <c r="I42" s="68">
        <f t="shared" si="4"/>
        <v>380.1467251</v>
      </c>
      <c r="J42" s="59" t="str">
        <f t="shared" si="5"/>
        <v>6m 20s</v>
      </c>
      <c r="K42" s="69">
        <f t="shared" si="6"/>
        <v>139228</v>
      </c>
      <c r="L42" s="60">
        <f t="shared" si="7"/>
        <v>-0.83946</v>
      </c>
      <c r="M42" s="61">
        <f>IFERROR(__xludf.DUMMYFUNCTION("IFS(AND(COUNTA(C42:C1350)=0,COUNTA(Q42:Q1350)=0),"""",OR(AND(K42&gt;=1000000000,OR(Y42&gt;=1000000000,COUNTA(Q42:Q1350)=0)),OR(Y42&gt;=1000000000,AND(COUNTA(C42:C1350)=0,P$3=TRUE))),
ROUNDDOWN((AB$1-AC$1)*MAX(INDEX(T$4:T1350,MATCH(LARGE(FILTER(Y$4:Y1350,Y$4:Y1350&lt;"&amp;"1000000000),1),Y$4:Y1350)),INDEX(F$4:F1350,MATCH(LARGE(FILTER(K$4:K1350,K$4:K1350&lt;1000000000),1),K$4:K1350)))),AND(K42&lt;1000000000,COUNTA(C42:C1350)&gt;0,P$3=FALSE),
ROUNDDOWN(INDEX(Y$4:Y1350,MATCH(LARGE(FILTER(W$4:W1350,W$4:W1350&lt;=I42),1),W$4:W1350))+(I42-LA"&amp;"RGE(FILTER(W$4:W1350,W$4:W1350&lt;=I42),1))*INDEX(T$4:T1350,MATCH(LARGE(FILTER(W$4:W1350,W$4:W1350&lt;=I42),1),W$4:W1350))-K42),1,
ROUNDDOWN(Y42-INDEX(K$4:K1350,MATCH(LARGE(FILTER(I$4:I1350,I$4:I1350&lt;=W42),1),I$4:I1350))-(W42-LARGE(FILTER(I$4:I1350,I$4:I1350&lt;=W"&amp;"42),1))*INDEX(F$4:F1350,MATCH(LARGE(FILTER(I$4:I1350,I$4:I1350&lt;=W42),1),I$4:I1350))))"),494.0)</f>
        <v>494</v>
      </c>
      <c r="N42" s="60">
        <f t="shared" si="8"/>
        <v>-0.83946</v>
      </c>
      <c r="O42" s="61">
        <f t="shared" si="9"/>
        <v>494</v>
      </c>
      <c r="P42" s="56">
        <f t="shared" si="10"/>
        <v>10</v>
      </c>
      <c r="Q42" s="67" t="s">
        <v>3</v>
      </c>
      <c r="R42" s="10" t="b">
        <f>IFERROR(__xludf.DUMMYFUNCTION("IF(COUNTA(Q42:Q1350)=0,"""",IF(ISBLANK(Q42),FALSE,IF(NOT(COUNTIF($AA$24:$AA$34,SUBSTITUTE(Q42,""Sell_"",""""))),1,IF(REGEXMATCH(Q42,""Sell_""),IF(COUNTIF(Q$4:Q42,SUBSTITUTE(Q42,""Sell_"",""""))-COUNTIF(Q$4:Q41,Q42)&lt;1,1),FALSE))))"),FALSE)</f>
        <v>0</v>
      </c>
      <c r="S42" s="59">
        <f t="array" ref="S42">IF(COUNTA(Q42:Q1350)=0,"",SUM((COUNTIF(Q$4:Q42,Upgrades!$B$3:$B$13)-COUNTIF(Q$4:Q42,"Sell_"&amp;Upgrades!$B$3:$B$13))*Upgrades!$D$3:$D$13))</f>
        <v>388.5</v>
      </c>
      <c r="T42" s="66">
        <f>IFERROR(__xludf.DUMMYFUNCTION("IF(COUNTA(Q42:Q1350)=0,"""",IF(REGEXMATCH(INDEX(FILTER(Q$4:Q42,Q$4:Q42&lt;&gt;""""),ROWS(FILTER(Q$4:Q42,Q$4:Q42&lt;&gt;""""))),""^Sell_""),INDEX(FILTER(T$4:T41,Q$4:Q41&lt;&gt;""""),ROWS(FILTER(Q$4:Q41,Q$4:Q41&lt;&gt;""""))),$AD$5+S42))"),588.5)</f>
        <v>588.5</v>
      </c>
      <c r="U42" s="10">
        <f>IFERROR(__xludf.DUMMYFUNCTION("IF(COUNTA(Q42:Q1350)=0,"""",IF(Q42="""",0,IF(REGEXMATCH(Q42,""^Sell_""),-ROUNDDOWN(ROUNDUP(INDEX(Upgrades!$C$3:$C$13,MATCH(SUBSTITUTE(Q42,""Sell_"",""""),Upgrades!$B$3:$B$13,0))*1.15^(COUNTIF(Q$4:Q41,SUBSTITUTE(Q42,""Sell_"",""""))-COUNTIF(Q$4:Q41,""Sell_"&amp;"""&amp;SUBSTITUTE(Q42,""Sell_"",""""))))/2),ROUNDUP(INDEX(Upgrades!$C$3:$C$13,MATCH(Q42,Upgrades!$B$3:$B$13,0))*1.15^(COUNTIF(Q$4:Q41,Q42)-COUNTIF(Q$4:Q41,""Sell_""&amp;Q42))))))"),53.0)</f>
        <v>53</v>
      </c>
      <c r="V42" s="10">
        <f t="shared" si="11"/>
        <v>53</v>
      </c>
      <c r="W42" s="68">
        <f t="shared" si="12"/>
        <v>373.82723</v>
      </c>
      <c r="X42" s="59" t="str">
        <f t="shared" si="13"/>
        <v>6m 13s</v>
      </c>
      <c r="Y42" s="69">
        <f t="shared" si="14"/>
        <v>136003</v>
      </c>
      <c r="Z42" s="11"/>
    </row>
    <row r="43">
      <c r="A43" s="8"/>
      <c r="B43" s="56">
        <f t="shared" si="2"/>
        <v>6</v>
      </c>
      <c r="C43" s="57" t="s">
        <v>7</v>
      </c>
      <c r="D43" s="10" t="b">
        <f>IFERROR(__xludf.DUMMYFUNCTION("IF(COUNTA(C43:C1350)=0,"""",IF(ISBLANK(C43),FALSE,IF(NOT(COUNTIF($AA$24:$AA$34,SUBSTITUTE(C43,""Sell_"",""""))),1,IF(REGEXMATCH(C43,""Sell_""),IF(COUNTIF(C$4:C43,SUBSTITUTE(C43,""Sell_"",""""))-COUNTIF(C$4:C42,C43)&lt;1,1),FALSE))))"),FALSE)</f>
        <v>0</v>
      </c>
      <c r="E43" s="59">
        <f t="array" ref="E43">IF(COUNTA(C43:C1350)=0,"",SUM((COUNTIF(C$4:C43,Upgrades!$B$3:$B$13)-COUNTIF(C$4:C43,"Sell_"&amp;Upgrades!$B$3:$B$13))*Upgrades!$D$3:$D$13))</f>
        <v>434.5</v>
      </c>
      <c r="F43" s="66">
        <f>IFERROR(__xludf.DUMMYFUNCTION("IF(COUNTA(C43:C1350)=0,"""",IF(REGEXMATCH(INDEX(FILTER(C$4:C43,C$4:C43&lt;&gt;""""),ROWS(FILTER(C$4:C43,C$4:C43&lt;&gt;""""))),""^Sell_""),INDEX(FILTER(F$4:F42,C$4:C42&lt;&gt;""""),ROWS(FILTER(C$4:C42,C$4:C42&lt;&gt;""""))),$AC$5+E43))"),634.5)</f>
        <v>634.5</v>
      </c>
      <c r="G43" s="10">
        <f>IFERROR(__xludf.DUMMYFUNCTION("IF(COUNTA(C43:C1350)=0,"""",IF(C43="""",0,IF(REGEXMATCH(C43,""^Sell_""),-ROUNDDOWN(ROUNDUP(INDEX(Upgrades!$C$3:$C$13,MATCH(SUBSTITUTE(C43,""Sell_"",""""),Upgrades!$B$3:$B$13,0))*1.15^(COUNTIF(C$4:C42,SUBSTITUTE(C43,""Sell_"",""""))-COUNTIF(C$4:C42,""Sell_"&amp;"""&amp;SUBSTITUTE(C43,""Sell_"",""""))))/2),ROUNDUP(INDEX(Upgrades!$C$3:$C$13,MATCH(C43,Upgrades!$B$3:$B$13,0))*1.15^(COUNTIF(C$4:C42,C43)-COUNTIF(C$4:C42,""Sell_""&amp;C43))))))"),20114.0)</f>
        <v>20114</v>
      </c>
      <c r="H43" s="10">
        <f t="shared" si="3"/>
        <v>20114</v>
      </c>
      <c r="I43" s="68">
        <f t="shared" si="4"/>
        <v>413.9801986</v>
      </c>
      <c r="J43" s="59" t="str">
        <f t="shared" si="5"/>
        <v>6m 53s</v>
      </c>
      <c r="K43" s="69">
        <f t="shared" si="6"/>
        <v>159342</v>
      </c>
      <c r="L43" s="60">
        <f t="shared" si="7"/>
        <v>-1.033</v>
      </c>
      <c r="M43" s="61">
        <f>IFERROR(__xludf.DUMMYFUNCTION("IFS(AND(COUNTA(C43:C1350)=0,COUNTA(Q43:Q1350)=0),"""",OR(AND(K43&gt;=1000000000,OR(Y43&gt;=1000000000,COUNTA(Q43:Q1350)=0)),OR(Y43&gt;=1000000000,AND(COUNTA(C43:C1350)=0,P$3=TRUE))),
ROUNDDOWN((AB$1-AC$1)*MAX(INDEX(T$4:T1350,MATCH(LARGE(FILTER(Y$4:Y1350,Y$4:Y1350&lt;"&amp;"1000000000),1),Y$4:Y1350)),INDEX(F$4:F1350,MATCH(LARGE(FILTER(K$4:K1350,K$4:K1350&lt;1000000000),1),K$4:K1350)))),AND(K43&lt;1000000000,COUNTA(C43:C1350)&gt;0,P$3=FALSE),
ROUNDDOWN(INDEX(Y$4:Y1350,MATCH(LARGE(FILTER(W$4:W1350,W$4:W1350&lt;=I43),1),W$4:W1350))+(I43-LA"&amp;"RGE(FILTER(W$4:W1350,W$4:W1350&lt;=I43),1))*INDEX(T$4:T1350,MATCH(LARGE(FILTER(W$4:W1350,W$4:W1350&lt;=I43),1),W$4:W1350))-K43),1,
ROUNDDOWN(Y43-INDEX(K$4:K1350,MATCH(LARGE(FILTER(I$4:I1350,I$4:I1350&lt;=W43),1),I$4:I1350))-(W43-LARGE(FILTER(I$4:I1350,I$4:I1350&lt;=W"&amp;"43),1))*INDEX(F$4:F1350,MATCH(LARGE(FILTER(I$4:I1350,I$4:I1350&lt;=W43),1),I$4:I1350))))"),618.0)</f>
        <v>618</v>
      </c>
      <c r="N43" s="60">
        <f t="shared" si="8"/>
        <v>-1.033</v>
      </c>
      <c r="O43" s="61">
        <f t="shared" si="9"/>
        <v>618</v>
      </c>
      <c r="P43" s="56">
        <f t="shared" si="10"/>
        <v>5</v>
      </c>
      <c r="Q43" s="67" t="s">
        <v>6</v>
      </c>
      <c r="R43" s="10" t="b">
        <f>IFERROR(__xludf.DUMMYFUNCTION("IF(COUNTA(Q43:Q1350)=0,"""",IF(ISBLANK(Q43),FALSE,IF(NOT(COUNTIF($AA$24:$AA$34,SUBSTITUTE(Q43,""Sell_"",""""))),1,IF(REGEXMATCH(Q43,""Sell_""),IF(COUNTIF(Q$4:Q43,SUBSTITUTE(Q43,""Sell_"",""""))-COUNTIF(Q$4:Q42,Q43)&lt;1,1),FALSE))))"),FALSE)</f>
        <v>0</v>
      </c>
      <c r="S43" s="59">
        <f t="array" ref="S43">IF(COUNTA(Q43:Q1350)=0,"",SUM((COUNTIF(Q$4:Q43,Upgrades!$B$3:$B$13)-COUNTIF(Q$4:Q43,"Sell_"&amp;Upgrades!$B$3:$B$13))*Upgrades!$D$3:$D$13))</f>
        <v>398.5</v>
      </c>
      <c r="T43" s="66">
        <f>IFERROR(__xludf.DUMMYFUNCTION("IF(COUNTA(Q43:Q1350)=0,"""",IF(REGEXMATCH(INDEX(FILTER(Q$4:Q43,Q$4:Q43&lt;&gt;""""),ROWS(FILTER(Q$4:Q43,Q$4:Q43&lt;&gt;""""))),""^Sell_""),INDEX(FILTER(T$4:T42,Q$4:Q42&lt;&gt;""""),ROWS(FILTER(Q$4:Q42,Q$4:Q42&lt;&gt;""""))),$AD$5+S43))"),598.5)</f>
        <v>598.5</v>
      </c>
      <c r="U43" s="10">
        <f>IFERROR(__xludf.DUMMYFUNCTION("IF(COUNTA(Q43:Q1350)=0,"""",IF(Q43="""",0,IF(REGEXMATCH(Q43,""^Sell_""),-ROUNDDOWN(ROUNDUP(INDEX(Upgrades!$C$3:$C$13,MATCH(SUBSTITUTE(Q43,""Sell_"",""""),Upgrades!$B$3:$B$13,0))*1.15^(COUNTIF(Q$4:Q42,SUBSTITUTE(Q43,""Sell_"",""""))-COUNTIF(Q$4:Q42,""Sell_"&amp;"""&amp;SUBSTITUTE(Q43,""Sell_"",""""))))/2),ROUNDUP(INDEX(Upgrades!$C$3:$C$13,MATCH(Q43,Upgrades!$B$3:$B$13,0))*1.15^(COUNTIF(Q$4:Q42,Q43)-COUNTIF(Q$4:Q42,""Sell_""&amp;Q43))))))"),5248.0)</f>
        <v>5248</v>
      </c>
      <c r="V43" s="10">
        <f t="shared" si="11"/>
        <v>5248</v>
      </c>
      <c r="W43" s="68">
        <f t="shared" si="12"/>
        <v>382.744817</v>
      </c>
      <c r="X43" s="59" t="str">
        <f t="shared" si="13"/>
        <v>6m 22s</v>
      </c>
      <c r="Y43" s="69">
        <f t="shared" si="14"/>
        <v>141251</v>
      </c>
      <c r="Z43" s="11"/>
    </row>
    <row r="44">
      <c r="A44" s="8"/>
      <c r="B44" s="56">
        <f t="shared" si="2"/>
        <v>11</v>
      </c>
      <c r="C44" s="57" t="s">
        <v>5</v>
      </c>
      <c r="D44" s="10" t="b">
        <f>IFERROR(__xludf.DUMMYFUNCTION("IF(COUNTA(C44:C1350)=0,"""",IF(ISBLANK(C44),FALSE,IF(NOT(COUNTIF($AA$24:$AA$34,SUBSTITUTE(C44,""Sell_"",""""))),1,IF(REGEXMATCH(C44,""Sell_""),IF(COUNTIF(C$4:C44,SUBSTITUTE(C44,""Sell_"",""""))-COUNTIF(C$4:C43,C44)&lt;1,1),FALSE))))"),FALSE)</f>
        <v>0</v>
      </c>
      <c r="E44" s="59">
        <f t="array" ref="E44">IF(COUNTA(C44:C1350)=0,"",SUM((COUNTIF(C$4:C44,Upgrades!$B$3:$B$13)-COUNTIF(C$4:C44,"Sell_"&amp;Upgrades!$B$3:$B$13))*Upgrades!$D$3:$D$13))</f>
        <v>438.5</v>
      </c>
      <c r="F44" s="66">
        <f>IFERROR(__xludf.DUMMYFUNCTION("IF(COUNTA(C44:C1350)=0,"""",IF(REGEXMATCH(INDEX(FILTER(C$4:C44,C$4:C44&lt;&gt;""""),ROWS(FILTER(C$4:C44,C$4:C44&lt;&gt;""""))),""^Sell_""),INDEX(FILTER(F$4:F43,C$4:C43&lt;&gt;""""),ROWS(FILTER(C$4:C43,C$4:C43&lt;&gt;""""))),$AC$5+E44))"),638.5)</f>
        <v>638.5</v>
      </c>
      <c r="G44" s="10">
        <f>IFERROR(__xludf.DUMMYFUNCTION("IF(COUNTA(C44:C1350)=0,"""",IF(C44="""",0,IF(REGEXMATCH(C44,""^Sell_""),-ROUNDDOWN(ROUNDUP(INDEX(Upgrades!$C$3:$C$13,MATCH(SUBSTITUTE(C44,""Sell_"",""""),Upgrades!$B$3:$B$13,0))*1.15^(COUNTIF(C$4:C43,SUBSTITUTE(C44,""Sell_"",""""))-COUNTIF(C$4:C43,""Sell_"&amp;"""&amp;SUBSTITUTE(C44,""Sell_"",""""))))/2),ROUNDUP(INDEX(Upgrades!$C$3:$C$13,MATCH(C44,Upgrades!$B$3:$B$13,0))*1.15^(COUNTIF(C$4:C43,C44)-COUNTIF(C$4:C43,""Sell_""&amp;C44))))))"),2023.0)</f>
        <v>2023</v>
      </c>
      <c r="H44" s="10">
        <f t="shared" si="3"/>
        <v>2023</v>
      </c>
      <c r="I44" s="68">
        <f t="shared" si="4"/>
        <v>417.1685359</v>
      </c>
      <c r="J44" s="59" t="str">
        <f t="shared" si="5"/>
        <v>6m 57s</v>
      </c>
      <c r="K44" s="69">
        <f t="shared" si="6"/>
        <v>161365</v>
      </c>
      <c r="L44" s="60">
        <f t="shared" si="7"/>
        <v>-0.84404</v>
      </c>
      <c r="M44" s="61">
        <f>IFERROR(__xludf.DUMMYFUNCTION("IFS(AND(COUNTA(C44:C1350)=0,COUNTA(Q44:Q1350)=0),"""",OR(AND(K44&gt;=1000000000,OR(Y44&gt;=1000000000,COUNTA(Q44:Q1350)=0)),OR(Y44&gt;=1000000000,AND(COUNTA(C44:C1350)=0,P$3=TRUE))),
ROUNDDOWN((AB$1-AC$1)*MAX(INDEX(T$4:T1350,MATCH(LARGE(FILTER(Y$4:Y1350,Y$4:Y1350&lt;"&amp;"1000000000),1),Y$4:Y1350)),INDEX(F$4:F1350,MATCH(LARGE(FILTER(K$4:K1350,K$4:K1350&lt;1000000000),1),K$4:K1350)))),AND(K44&lt;1000000000,COUNTA(C44:C1350)&gt;0,P$3=FALSE),
ROUNDDOWN(INDEX(Y$4:Y1350,MATCH(LARGE(FILTER(W$4:W1350,W$4:W1350&lt;=I44),1),W$4:W1350))+(I44-LA"&amp;"RGE(FILTER(W$4:W1350,W$4:W1350&lt;=I44),1))*INDEX(T$4:T1350,MATCH(LARGE(FILTER(W$4:W1350,W$4:W1350&lt;=I44),1),W$4:W1350))-K44),1,
ROUNDDOWN(Y44-INDEX(K$4:K1350,MATCH(LARGE(FILTER(I$4:I1350,I$4:I1350&lt;=W44),1),I$4:I1350))-(W44-LARGE(FILTER(I$4:I1350,I$4:I1350&lt;=W"&amp;"44),1))*INDEX(F$4:F1350,MATCH(LARGE(FILTER(I$4:I1350,I$4:I1350&lt;=W44),1),I$4:I1350))))"),521.0)</f>
        <v>521</v>
      </c>
      <c r="N44" s="60">
        <f t="shared" si="8"/>
        <v>-0.84404</v>
      </c>
      <c r="O44" s="61">
        <f t="shared" si="9"/>
        <v>521</v>
      </c>
      <c r="P44" s="56">
        <f t="shared" si="10"/>
        <v>8</v>
      </c>
      <c r="Q44" s="67" t="s">
        <v>4</v>
      </c>
      <c r="R44" s="10" t="b">
        <f>IFERROR(__xludf.DUMMYFUNCTION("IF(COUNTA(Q44:Q1350)=0,"""",IF(ISBLANK(Q44),FALSE,IF(NOT(COUNTIF($AA$24:$AA$34,SUBSTITUTE(Q44,""Sell_"",""""))),1,IF(REGEXMATCH(Q44,""Sell_""),IF(COUNTIF(Q$4:Q44,SUBSTITUTE(Q44,""Sell_"",""""))-COUNTIF(Q$4:Q43,Q44)&lt;1,1),FALSE))))"),FALSE)</f>
        <v>0</v>
      </c>
      <c r="S44" s="59">
        <f t="array" ref="S44">IF(COUNTA(Q44:Q1350)=0,"",SUM((COUNTIF(Q$4:Q44,Upgrades!$B$3:$B$13)-COUNTIF(Q$4:Q44,"Sell_"&amp;Upgrades!$B$3:$B$13))*Upgrades!$D$3:$D$13))</f>
        <v>399</v>
      </c>
      <c r="T44" s="66">
        <f>IFERROR(__xludf.DUMMYFUNCTION("IF(COUNTA(Q44:Q1350)=0,"""",IF(REGEXMATCH(INDEX(FILTER(Q$4:Q44,Q$4:Q44&lt;&gt;""""),ROWS(FILTER(Q$4:Q44,Q$4:Q44&lt;&gt;""""))),""^Sell_""),INDEX(FILTER(T$4:T43,Q$4:Q43&lt;&gt;""""),ROWS(FILTER(Q$4:Q43,Q$4:Q43&lt;&gt;""""))),$AD$5+S44))"),599.0)</f>
        <v>599</v>
      </c>
      <c r="U44" s="10">
        <f>IFERROR(__xludf.DUMMYFUNCTION("IF(COUNTA(Q44:Q1350)=0,"""",IF(Q44="""",0,IF(REGEXMATCH(Q44,""^Sell_""),-ROUNDDOWN(ROUNDUP(INDEX(Upgrades!$C$3:$C$13,MATCH(SUBSTITUTE(Q44,""Sell_"",""""),Upgrades!$B$3:$B$13,0))*1.15^(COUNTIF(Q$4:Q43,SUBSTITUTE(Q44,""Sell_"",""""))-COUNTIF(Q$4:Q43,""Sell_"&amp;"""&amp;SUBSTITUTE(Q44,""Sell_"",""""))))/2),ROUNDUP(INDEX(Upgrades!$C$3:$C$13,MATCH(Q44,Upgrades!$B$3:$B$13,0))*1.15^(COUNTIF(Q$4:Q43,Q44)-COUNTIF(Q$4:Q43,""Sell_""&amp;Q44))))))"),267.0)</f>
        <v>267</v>
      </c>
      <c r="V44" s="10">
        <f t="shared" si="11"/>
        <v>267</v>
      </c>
      <c r="W44" s="68">
        <f t="shared" si="12"/>
        <v>383.1909323</v>
      </c>
      <c r="X44" s="59" t="str">
        <f t="shared" si="13"/>
        <v>6m 23s</v>
      </c>
      <c r="Y44" s="69">
        <f t="shared" si="14"/>
        <v>141518</v>
      </c>
      <c r="Z44" s="11"/>
    </row>
    <row r="45">
      <c r="A45" s="8"/>
      <c r="B45" s="56">
        <f t="shared" si="2"/>
        <v>8</v>
      </c>
      <c r="C45" s="57" t="s">
        <v>4</v>
      </c>
      <c r="D45" s="10" t="b">
        <f>IFERROR(__xludf.DUMMYFUNCTION("IF(COUNTA(C45:C1350)=0,"""",IF(ISBLANK(C45),FALSE,IF(NOT(COUNTIF($AA$24:$AA$34,SUBSTITUTE(C45,""Sell_"",""""))),1,IF(REGEXMATCH(C45,""Sell_""),IF(COUNTIF(C$4:C45,SUBSTITUTE(C45,""Sell_"",""""))-COUNTIF(C$4:C44,C45)&lt;1,1),FALSE))))"),FALSE)</f>
        <v>0</v>
      </c>
      <c r="E45" s="59">
        <f t="array" ref="E45">IF(COUNTA(C45:C1350)=0,"",SUM((COUNTIF(C$4:C45,Upgrades!$B$3:$B$13)-COUNTIF(C$4:C45,"Sell_"&amp;Upgrades!$B$3:$B$13))*Upgrades!$D$3:$D$13))</f>
        <v>439</v>
      </c>
      <c r="F45" s="66">
        <f>IFERROR(__xludf.DUMMYFUNCTION("IF(COUNTA(C45:C1350)=0,"""",IF(REGEXMATCH(INDEX(FILTER(C$4:C45,C$4:C45&lt;&gt;""""),ROWS(FILTER(C$4:C45,C$4:C45&lt;&gt;""""))),""^Sell_""),INDEX(FILTER(F$4:F44,C$4:C44&lt;&gt;""""),ROWS(FILTER(C$4:C44,C$4:C44&lt;&gt;""""))),$AC$5+E45))"),639.0)</f>
        <v>639</v>
      </c>
      <c r="G45" s="10">
        <f>IFERROR(__xludf.DUMMYFUNCTION("IF(COUNTA(C45:C1350)=0,"""",IF(C45="""",0,IF(REGEXMATCH(C45,""^Sell_""),-ROUNDDOWN(ROUNDUP(INDEX(Upgrades!$C$3:$C$13,MATCH(SUBSTITUTE(C45,""Sell_"",""""),Upgrades!$B$3:$B$13,0))*1.15^(COUNTIF(C$4:C44,SUBSTITUTE(C45,""Sell_"",""""))-COUNTIF(C$4:C44,""Sell_"&amp;"""&amp;SUBSTITUTE(C45,""Sell_"",""""))))/2),ROUNDUP(INDEX(Upgrades!$C$3:$C$13,MATCH(C45,Upgrades!$B$3:$B$13,0))*1.15^(COUNTIF(C$4:C44,C45)-COUNTIF(C$4:C44,""Sell_""&amp;C45))))))"),267.0)</f>
        <v>267</v>
      </c>
      <c r="H45" s="10">
        <f t="shared" si="3"/>
        <v>267</v>
      </c>
      <c r="I45" s="68">
        <f t="shared" si="4"/>
        <v>417.5867035</v>
      </c>
      <c r="J45" s="59" t="str">
        <f t="shared" si="5"/>
        <v>6m 57s</v>
      </c>
      <c r="K45" s="69">
        <f t="shared" si="6"/>
        <v>161632</v>
      </c>
      <c r="L45" s="60">
        <f t="shared" si="7"/>
        <v>-0.81647</v>
      </c>
      <c r="M45" s="61">
        <f>IFERROR(__xludf.DUMMYFUNCTION("IFS(AND(COUNTA(C45:C1350)=0,COUNTA(Q45:Q1350)=0),"""",OR(AND(K45&gt;=1000000000,OR(Y45&gt;=1000000000,COUNTA(Q45:Q1350)=0)),OR(Y45&gt;=1000000000,AND(COUNTA(C45:C1350)=0,P$3=TRUE))),
ROUNDDOWN((AB$1-AC$1)*MAX(INDEX(T$4:T1350,MATCH(LARGE(FILTER(Y$4:Y1350,Y$4:Y1350&lt;"&amp;"1000000000),1),Y$4:Y1350)),INDEX(F$4:F1350,MATCH(LARGE(FILTER(K$4:K1350,K$4:K1350&lt;1000000000),1),K$4:K1350)))),AND(K45&lt;1000000000,COUNTA(C45:C1350)&gt;0,P$3=FALSE),
ROUNDDOWN(INDEX(Y$4:Y1350,MATCH(LARGE(FILTER(W$4:W1350,W$4:W1350&lt;=I45),1),W$4:W1350))+(I45-LA"&amp;"RGE(FILTER(W$4:W1350,W$4:W1350&lt;=I45),1))*INDEX(T$4:T1350,MATCH(LARGE(FILTER(W$4:W1350,W$4:W1350&lt;=I45),1),W$4:W1350))-K45),1,
ROUNDDOWN(Y45-INDEX(K$4:K1350,MATCH(LARGE(FILTER(I$4:I1350,I$4:I1350&lt;=W45),1),I$4:I1350))-(W45-LARGE(FILTER(I$4:I1350,I$4:I1350&lt;=W"&amp;"45),1))*INDEX(F$4:F1350,MATCH(LARGE(FILTER(I$4:I1350,I$4:I1350&lt;=W45),1),I$4:I1350))))"),521.0)</f>
        <v>521</v>
      </c>
      <c r="N45" s="60">
        <f t="shared" si="8"/>
        <v>-0.81647</v>
      </c>
      <c r="O45" s="61">
        <f t="shared" si="9"/>
        <v>521</v>
      </c>
      <c r="P45" s="56">
        <f t="shared" si="10"/>
        <v>6</v>
      </c>
      <c r="Q45" s="67" t="s">
        <v>7</v>
      </c>
      <c r="R45" s="10" t="b">
        <f>IFERROR(__xludf.DUMMYFUNCTION("IF(COUNTA(Q45:Q1350)=0,"""",IF(ISBLANK(Q45),FALSE,IF(NOT(COUNTIF($AA$24:$AA$34,SUBSTITUTE(Q45,""Sell_"",""""))),1,IF(REGEXMATCH(Q45,""Sell_""),IF(COUNTIF(Q$4:Q45,SUBSTITUTE(Q45,""Sell_"",""""))-COUNTIF(Q$4:Q44,Q45)&lt;1,1),FALSE))))"),FALSE)</f>
        <v>0</v>
      </c>
      <c r="S45" s="59">
        <f t="array" ref="S45">IF(COUNTA(Q45:Q1350)=0,"",SUM((COUNTIF(Q$4:Q45,Upgrades!$B$3:$B$13)-COUNTIF(Q$4:Q45,"Sell_"&amp;Upgrades!$B$3:$B$13))*Upgrades!$D$3:$D$13))</f>
        <v>439</v>
      </c>
      <c r="T45" s="66">
        <f>IFERROR(__xludf.DUMMYFUNCTION("IF(COUNTA(Q45:Q1350)=0,"""",IF(REGEXMATCH(INDEX(FILTER(Q$4:Q45,Q$4:Q45&lt;&gt;""""),ROWS(FILTER(Q$4:Q45,Q$4:Q45&lt;&gt;""""))),""^Sell_""),INDEX(FILTER(T$4:T44,Q$4:Q44&lt;&gt;""""),ROWS(FILTER(Q$4:Q44,Q$4:Q44&lt;&gt;""""))),$AD$5+S45))"),639.0)</f>
        <v>639</v>
      </c>
      <c r="U45" s="10">
        <f>IFERROR(__xludf.DUMMYFUNCTION("IF(COUNTA(Q45:Q1350)=0,"""",IF(Q45="""",0,IF(REGEXMATCH(Q45,""^Sell_""),-ROUNDDOWN(ROUNDUP(INDEX(Upgrades!$C$3:$C$13,MATCH(SUBSTITUTE(Q45,""Sell_"",""""),Upgrades!$B$3:$B$13,0))*1.15^(COUNTIF(Q$4:Q44,SUBSTITUTE(Q45,""Sell_"",""""))-COUNTIF(Q$4:Q44,""Sell_"&amp;"""&amp;SUBSTITUTE(Q45,""Sell_"",""""))))/2),ROUNDUP(INDEX(Upgrades!$C$3:$C$13,MATCH(Q45,Upgrades!$B$3:$B$13,0))*1.15^(COUNTIF(Q$4:Q44,Q45)-COUNTIF(Q$4:Q44,""Sell_""&amp;Q45))))))"),20114.0)</f>
        <v>20114</v>
      </c>
      <c r="V45" s="10">
        <f t="shared" si="11"/>
        <v>20114</v>
      </c>
      <c r="W45" s="68">
        <f t="shared" si="12"/>
        <v>416.7702312</v>
      </c>
      <c r="X45" s="59" t="str">
        <f t="shared" si="13"/>
        <v>6m 56s</v>
      </c>
      <c r="Y45" s="69">
        <f t="shared" si="14"/>
        <v>161632</v>
      </c>
      <c r="Z45" s="11"/>
    </row>
    <row r="46">
      <c r="A46" s="8"/>
      <c r="B46" s="56">
        <f t="shared" si="2"/>
        <v>2</v>
      </c>
      <c r="C46" s="57" t="s">
        <v>8</v>
      </c>
      <c r="D46" s="10" t="b">
        <f>IFERROR(__xludf.DUMMYFUNCTION("IF(COUNTA(C46:C1350)=0,"""",IF(ISBLANK(C46),FALSE,IF(NOT(COUNTIF($AA$24:$AA$34,SUBSTITUTE(C46,""Sell_"",""""))),1,IF(REGEXMATCH(C46,""Sell_""),IF(COUNTIF(C$4:C46,SUBSTITUTE(C46,""Sell_"",""""))-COUNTIF(C$4:C45,C46)&lt;1,1),FALSE))))"),FALSE)</f>
        <v>0</v>
      </c>
      <c r="E46" s="59">
        <f t="array" ref="E46">IF(COUNTA(C46:C1350)=0,"",SUM((COUNTIF(C$4:C46,Upgrades!$B$3:$B$13)-COUNTIF(C$4:C46,"Sell_"&amp;Upgrades!$B$3:$B$13))*Upgrades!$D$3:$D$13))</f>
        <v>539</v>
      </c>
      <c r="F46" s="66">
        <f>IFERROR(__xludf.DUMMYFUNCTION("IF(COUNTA(C46:C1350)=0,"""",IF(REGEXMATCH(INDEX(FILTER(C$4:C46,C$4:C46&lt;&gt;""""),ROWS(FILTER(C$4:C46,C$4:C46&lt;&gt;""""))),""^Sell_""),INDEX(FILTER(F$4:F45,C$4:C45&lt;&gt;""""),ROWS(FILTER(C$4:C45,C$4:C45&lt;&gt;""""))),$AC$5+E46))"),739.0)</f>
        <v>739</v>
      </c>
      <c r="G46" s="10">
        <f>IFERROR(__xludf.DUMMYFUNCTION("IF(COUNTA(C46:C1350)=0,"""",IF(C46="""",0,IF(REGEXMATCH(C46,""^Sell_""),-ROUNDDOWN(ROUNDUP(INDEX(Upgrades!$C$3:$C$13,MATCH(SUBSTITUTE(C46,""Sell_"",""""),Upgrades!$B$3:$B$13,0))*1.15^(COUNTIF(C$4:C45,SUBSTITUTE(C46,""Sell_"",""""))-COUNTIF(C$4:C45,""Sell_"&amp;"""&amp;SUBSTITUTE(C46,""Sell_"",""""))))/2),ROUNDUP(INDEX(Upgrades!$C$3:$C$13,MATCH(C46,Upgrades!$B$3:$B$13,0))*1.15^(COUNTIF(C$4:C45,C46)-COUNTIF(C$4:C45,""Sell_""&amp;C46))))))"),46000.0)</f>
        <v>46000</v>
      </c>
      <c r="H46" s="10">
        <f t="shared" si="3"/>
        <v>46000</v>
      </c>
      <c r="I46" s="68">
        <f t="shared" si="4"/>
        <v>489.5741839</v>
      </c>
      <c r="J46" s="59" t="str">
        <f t="shared" si="5"/>
        <v>8m 09s</v>
      </c>
      <c r="K46" s="69">
        <f t="shared" si="6"/>
        <v>207632</v>
      </c>
      <c r="L46" s="60">
        <f t="shared" si="7"/>
        <v>-0.81647</v>
      </c>
      <c r="M46" s="61">
        <f>IFERROR(__xludf.DUMMYFUNCTION("IFS(AND(COUNTA(C46:C1350)=0,COUNTA(Q46:Q1350)=0),"""",OR(AND(K46&gt;=1000000000,OR(Y46&gt;=1000000000,COUNTA(Q46:Q1350)=0)),OR(Y46&gt;=1000000000,AND(COUNTA(C46:C1350)=0,P$3=TRUE))),
ROUNDDOWN((AB$1-AC$1)*MAX(INDEX(T$4:T1350,MATCH(LARGE(FILTER(Y$4:Y1350,Y$4:Y1350&lt;"&amp;"1000000000),1),Y$4:Y1350)),INDEX(F$4:F1350,MATCH(LARGE(FILTER(K$4:K1350,K$4:K1350&lt;1000000000),1),K$4:K1350)))),AND(K46&lt;1000000000,COUNTA(C46:C1350)&gt;0,P$3=FALSE),
ROUNDDOWN(INDEX(Y$4:Y1350,MATCH(LARGE(FILTER(W$4:W1350,W$4:W1350&lt;=I46),1),W$4:W1350))+(I46-LA"&amp;"RGE(FILTER(W$4:W1350,W$4:W1350&lt;=I46),1))*INDEX(T$4:T1350,MATCH(LARGE(FILTER(W$4:W1350,W$4:W1350&lt;=I46),1),W$4:W1350))-K46),1,
ROUNDDOWN(Y46-INDEX(K$4:K1350,MATCH(LARGE(FILTER(I$4:I1350,I$4:I1350&lt;=W46),1),I$4:I1350))-(W46-LARGE(FILTER(I$4:I1350,I$4:I1350&lt;=W"&amp;"46),1))*INDEX(F$4:F1350,MATCH(LARGE(FILTER(I$4:I1350,I$4:I1350&lt;=W46),1),I$4:I1350))))"),603.0)</f>
        <v>603</v>
      </c>
      <c r="N46" s="60">
        <f t="shared" si="8"/>
        <v>-0.81647</v>
      </c>
      <c r="O46" s="61">
        <f t="shared" si="9"/>
        <v>603</v>
      </c>
      <c r="P46" s="56">
        <f t="shared" si="10"/>
        <v>2</v>
      </c>
      <c r="Q46" s="67" t="s">
        <v>8</v>
      </c>
      <c r="R46" s="10" t="b">
        <f>IFERROR(__xludf.DUMMYFUNCTION("IF(COUNTA(Q46:Q1350)=0,"""",IF(ISBLANK(Q46),FALSE,IF(NOT(COUNTIF($AA$24:$AA$34,SUBSTITUTE(Q46,""Sell_"",""""))),1,IF(REGEXMATCH(Q46,""Sell_""),IF(COUNTIF(Q$4:Q46,SUBSTITUTE(Q46,""Sell_"",""""))-COUNTIF(Q$4:Q45,Q46)&lt;1,1),FALSE))))"),FALSE)</f>
        <v>0</v>
      </c>
      <c r="S46" s="59">
        <f t="array" ref="S46">IF(COUNTA(Q46:Q1350)=0,"",SUM((COUNTIF(Q$4:Q46,Upgrades!$B$3:$B$13)-COUNTIF(Q$4:Q46,"Sell_"&amp;Upgrades!$B$3:$B$13))*Upgrades!$D$3:$D$13))</f>
        <v>539</v>
      </c>
      <c r="T46" s="66">
        <f>IFERROR(__xludf.DUMMYFUNCTION("IF(COUNTA(Q46:Q1350)=0,"""",IF(REGEXMATCH(INDEX(FILTER(Q$4:Q46,Q$4:Q46&lt;&gt;""""),ROWS(FILTER(Q$4:Q46,Q$4:Q46&lt;&gt;""""))),""^Sell_""),INDEX(FILTER(T$4:T45,Q$4:Q45&lt;&gt;""""),ROWS(FILTER(Q$4:Q45,Q$4:Q45&lt;&gt;""""))),$AD$5+S46))"),739.0)</f>
        <v>739</v>
      </c>
      <c r="U46" s="10">
        <f>IFERROR(__xludf.DUMMYFUNCTION("IF(COUNTA(Q46:Q1350)=0,"""",IF(Q46="""",0,IF(REGEXMATCH(Q46,""^Sell_""),-ROUNDDOWN(ROUNDUP(INDEX(Upgrades!$C$3:$C$13,MATCH(SUBSTITUTE(Q46,""Sell_"",""""),Upgrades!$B$3:$B$13,0))*1.15^(COUNTIF(Q$4:Q45,SUBSTITUTE(Q46,""Sell_"",""""))-COUNTIF(Q$4:Q45,""Sell_"&amp;"""&amp;SUBSTITUTE(Q46,""Sell_"",""""))))/2),ROUNDUP(INDEX(Upgrades!$C$3:$C$13,MATCH(Q46,Upgrades!$B$3:$B$13,0))*1.15^(COUNTIF(Q$4:Q45,Q46)-COUNTIF(Q$4:Q45,""Sell_""&amp;Q46))))))"),46000.0)</f>
        <v>46000</v>
      </c>
      <c r="V46" s="10">
        <f t="shared" si="11"/>
        <v>46000</v>
      </c>
      <c r="W46" s="68">
        <f t="shared" si="12"/>
        <v>488.7577116</v>
      </c>
      <c r="X46" s="59" t="str">
        <f t="shared" si="13"/>
        <v>8m 08s</v>
      </c>
      <c r="Y46" s="69">
        <f t="shared" si="14"/>
        <v>207632</v>
      </c>
      <c r="Z46" s="11"/>
    </row>
    <row r="47">
      <c r="A47" s="8"/>
      <c r="B47" s="56">
        <f t="shared" si="2"/>
        <v>6</v>
      </c>
      <c r="C47" s="57" t="s">
        <v>6</v>
      </c>
      <c r="D47" s="10" t="b">
        <f>IFERROR(__xludf.DUMMYFUNCTION("IF(COUNTA(C47:C1350)=0,"""",IF(ISBLANK(C47),FALSE,IF(NOT(COUNTIF($AA$24:$AA$34,SUBSTITUTE(C47,""Sell_"",""""))),1,IF(REGEXMATCH(C47,""Sell_""),IF(COUNTIF(C$4:C47,SUBSTITUTE(C47,""Sell_"",""""))-COUNTIF(C$4:C46,C47)&lt;1,1),FALSE))))"),FALSE)</f>
        <v>0</v>
      </c>
      <c r="E47" s="59">
        <f t="array" ref="E47">IF(COUNTA(C47:C1350)=0,"",SUM((COUNTIF(C$4:C47,Upgrades!$B$3:$B$13)-COUNTIF(C$4:C47,"Sell_"&amp;Upgrades!$B$3:$B$13))*Upgrades!$D$3:$D$13))</f>
        <v>549</v>
      </c>
      <c r="F47" s="66">
        <f>IFERROR(__xludf.DUMMYFUNCTION("IF(COUNTA(C47:C1350)=0,"""",IF(REGEXMATCH(INDEX(FILTER(C$4:C47,C$4:C47&lt;&gt;""""),ROWS(FILTER(C$4:C47,C$4:C47&lt;&gt;""""))),""^Sell_""),INDEX(FILTER(F$4:F46,C$4:C46&lt;&gt;""""),ROWS(FILTER(C$4:C46,C$4:C46&lt;&gt;""""))),$AC$5+E47))"),749.0)</f>
        <v>749</v>
      </c>
      <c r="G47" s="10">
        <f>IFERROR(__xludf.DUMMYFUNCTION("IF(COUNTA(C47:C1350)=0,"""",IF(C47="""",0,IF(REGEXMATCH(C47,""^Sell_""),-ROUNDDOWN(ROUNDUP(INDEX(Upgrades!$C$3:$C$13,MATCH(SUBSTITUTE(C47,""Sell_"",""""),Upgrades!$B$3:$B$13,0))*1.15^(COUNTIF(C$4:C46,SUBSTITUTE(C47,""Sell_"",""""))-COUNTIF(C$4:C46,""Sell_"&amp;"""&amp;SUBSTITUTE(C47,""Sell_"",""""))))/2),ROUNDUP(INDEX(Upgrades!$C$3:$C$13,MATCH(C47,Upgrades!$B$3:$B$13,0))*1.15^(COUNTIF(C$4:C46,C47)-COUNTIF(C$4:C46,""Sell_""&amp;C47))))))"),6035.0)</f>
        <v>6035</v>
      </c>
      <c r="H47" s="10">
        <f t="shared" si="3"/>
        <v>6035</v>
      </c>
      <c r="I47" s="68">
        <f t="shared" si="4"/>
        <v>497.7406251</v>
      </c>
      <c r="J47" s="59" t="str">
        <f t="shared" si="5"/>
        <v>8m 17s</v>
      </c>
      <c r="K47" s="69">
        <f t="shared" si="6"/>
        <v>213667</v>
      </c>
      <c r="L47" s="60">
        <f t="shared" si="7"/>
        <v>-0.84348</v>
      </c>
      <c r="M47" s="61">
        <f>IFERROR(__xludf.DUMMYFUNCTION("IFS(AND(COUNTA(C47:C1350)=0,COUNTA(Q47:Q1350)=0),"""",OR(AND(K47&gt;=1000000000,OR(Y47&gt;=1000000000,COUNTA(Q47:Q1350)=0)),OR(Y47&gt;=1000000000,AND(COUNTA(C47:C1350)=0,P$3=TRUE))),
ROUNDDOWN((AB$1-AC$1)*MAX(INDEX(T$4:T1350,MATCH(LARGE(FILTER(Y$4:Y1350,Y$4:Y1350&lt;"&amp;"1000000000),1),Y$4:Y1350)),INDEX(F$4:F1350,MATCH(LARGE(FILTER(K$4:K1350,K$4:K1350&lt;1000000000),1),K$4:K1350)))),AND(K47&lt;1000000000,COUNTA(C47:C1350)&gt;0,P$3=FALSE),
ROUNDDOWN(INDEX(Y$4:Y1350,MATCH(LARGE(FILTER(W$4:W1350,W$4:W1350&lt;=I47),1),W$4:W1350))+(I47-LA"&amp;"RGE(FILTER(W$4:W1350,W$4:W1350&lt;=I47),1))*INDEX(T$4:T1350,MATCH(LARGE(FILTER(W$4:W1350,W$4:W1350&lt;=I47),1),W$4:W1350))-K47),1,
ROUNDDOWN(Y47-INDEX(K$4:K1350,MATCH(LARGE(FILTER(I$4:I1350,I$4:I1350&lt;=W47),1),I$4:I1350))-(W47-LARGE(FILTER(I$4:I1350,I$4:I1350&lt;=W"&amp;"47),1))*INDEX(F$4:F1350,MATCH(LARGE(FILTER(I$4:I1350,I$4:I1350&lt;=W47),1),I$4:I1350))))"),626.0)</f>
        <v>626</v>
      </c>
      <c r="N47" s="60">
        <f t="shared" si="8"/>
        <v>-0.84348</v>
      </c>
      <c r="O47" s="61">
        <f t="shared" si="9"/>
        <v>626</v>
      </c>
      <c r="P47" s="56">
        <f t="shared" si="10"/>
        <v>12</v>
      </c>
      <c r="Q47" s="67" t="s">
        <v>5</v>
      </c>
      <c r="R47" s="10" t="b">
        <f>IFERROR(__xludf.DUMMYFUNCTION("IF(COUNTA(Q47:Q1350)=0,"""",IF(ISBLANK(Q47),FALSE,IF(NOT(COUNTIF($AA$24:$AA$34,SUBSTITUTE(Q47,""Sell_"",""""))),1,IF(REGEXMATCH(Q47,""Sell_""),IF(COUNTIF(Q$4:Q47,SUBSTITUTE(Q47,""Sell_"",""""))-COUNTIF(Q$4:Q46,Q47)&lt;1,1),FALSE))))"),FALSE)</f>
        <v>0</v>
      </c>
      <c r="S47" s="59">
        <f t="array" ref="S47">IF(COUNTA(Q47:Q1350)=0,"",SUM((COUNTIF(Q$4:Q47,Upgrades!$B$3:$B$13)-COUNTIF(Q$4:Q47,"Sell_"&amp;Upgrades!$B$3:$B$13))*Upgrades!$D$3:$D$13))</f>
        <v>543</v>
      </c>
      <c r="T47" s="66">
        <f>IFERROR(__xludf.DUMMYFUNCTION("IF(COUNTA(Q47:Q1350)=0,"""",IF(REGEXMATCH(INDEX(FILTER(Q$4:Q47,Q$4:Q47&lt;&gt;""""),ROWS(FILTER(Q$4:Q47,Q$4:Q47&lt;&gt;""""))),""^Sell_""),INDEX(FILTER(T$4:T46,Q$4:Q46&lt;&gt;""""),ROWS(FILTER(Q$4:Q46,Q$4:Q46&lt;&gt;""""))),$AD$5+S47))"),743.0)</f>
        <v>743</v>
      </c>
      <c r="U47" s="10">
        <f>IFERROR(__xludf.DUMMYFUNCTION("IF(COUNTA(Q47:Q1350)=0,"""",IF(Q47="""",0,IF(REGEXMATCH(Q47,""^Sell_""),-ROUNDDOWN(ROUNDUP(INDEX(Upgrades!$C$3:$C$13,MATCH(SUBSTITUTE(Q47,""Sell_"",""""),Upgrades!$B$3:$B$13,0))*1.15^(COUNTIF(Q$4:Q46,SUBSTITUTE(Q47,""Sell_"",""""))-COUNTIF(Q$4:Q46,""Sell_"&amp;"""&amp;SUBSTITUTE(Q47,""Sell_"",""""))))/2),ROUNDUP(INDEX(Upgrades!$C$3:$C$13,MATCH(Q47,Upgrades!$B$3:$B$13,0))*1.15^(COUNTIF(Q$4:Q46,Q47)-COUNTIF(Q$4:Q46,""Sell_""&amp;Q47))))))"),2327.0)</f>
        <v>2327</v>
      </c>
      <c r="V47" s="10">
        <f t="shared" si="11"/>
        <v>2327</v>
      </c>
      <c r="W47" s="68">
        <f t="shared" si="12"/>
        <v>491.9065614</v>
      </c>
      <c r="X47" s="59" t="str">
        <f t="shared" si="13"/>
        <v>8m 11s</v>
      </c>
      <c r="Y47" s="69">
        <f t="shared" si="14"/>
        <v>209959</v>
      </c>
      <c r="Z47" s="11"/>
    </row>
    <row r="48">
      <c r="A48" s="8"/>
      <c r="B48" s="56">
        <f t="shared" si="2"/>
        <v>7</v>
      </c>
      <c r="C48" s="57" t="s">
        <v>7</v>
      </c>
      <c r="D48" s="10" t="b">
        <f>IFERROR(__xludf.DUMMYFUNCTION("IF(COUNTA(C48:C1350)=0,"""",IF(ISBLANK(C48),FALSE,IF(NOT(COUNTIF($AA$24:$AA$34,SUBSTITUTE(C48,""Sell_"",""""))),1,IF(REGEXMATCH(C48,""Sell_""),IF(COUNTIF(C$4:C48,SUBSTITUTE(C48,""Sell_"",""""))-COUNTIF(C$4:C47,C48)&lt;1,1),FALSE))))"),FALSE)</f>
        <v>0</v>
      </c>
      <c r="E48" s="59">
        <f t="array" ref="E48">IF(COUNTA(C48:C1350)=0,"",SUM((COUNTIF(C$4:C48,Upgrades!$B$3:$B$13)-COUNTIF(C$4:C48,"Sell_"&amp;Upgrades!$B$3:$B$13))*Upgrades!$D$3:$D$13))</f>
        <v>589</v>
      </c>
      <c r="F48" s="66">
        <f>IFERROR(__xludf.DUMMYFUNCTION("IF(COUNTA(C48:C1350)=0,"""",IF(REGEXMATCH(INDEX(FILTER(C$4:C48,C$4:C48&lt;&gt;""""),ROWS(FILTER(C$4:C48,C$4:C48&lt;&gt;""""))),""^Sell_""),INDEX(FILTER(F$4:F47,C$4:C47&lt;&gt;""""),ROWS(FILTER(C$4:C47,C$4:C47&lt;&gt;""""))),$AC$5+E48))"),789.0)</f>
        <v>789</v>
      </c>
      <c r="G48" s="10">
        <f>IFERROR(__xludf.DUMMYFUNCTION("IF(COUNTA(C48:C1350)=0,"""",IF(C48="""",0,IF(REGEXMATCH(C48,""^Sell_""),-ROUNDDOWN(ROUNDUP(INDEX(Upgrades!$C$3:$C$13,MATCH(SUBSTITUTE(C48,""Sell_"",""""),Upgrades!$B$3:$B$13,0))*1.15^(COUNTIF(C$4:C47,SUBSTITUTE(C48,""Sell_"",""""))-COUNTIF(C$4:C47,""Sell_"&amp;"""&amp;SUBSTITUTE(C48,""Sell_"",""""))))/2),ROUNDUP(INDEX(Upgrades!$C$3:$C$13,MATCH(C48,Upgrades!$B$3:$B$13,0))*1.15^(COUNTIF(C$4:C47,C48)-COUNTIF(C$4:C47,""Sell_""&amp;C48))))))"),23131.0)</f>
        <v>23131</v>
      </c>
      <c r="H48" s="10">
        <f t="shared" si="3"/>
        <v>23131</v>
      </c>
      <c r="I48" s="68">
        <f t="shared" si="4"/>
        <v>528.6231351</v>
      </c>
      <c r="J48" s="59" t="str">
        <f t="shared" si="5"/>
        <v>8m 48s</v>
      </c>
      <c r="K48" s="69">
        <f t="shared" si="6"/>
        <v>236798</v>
      </c>
      <c r="L48" s="60">
        <f t="shared" si="7"/>
        <v>-0.59409</v>
      </c>
      <c r="M48" s="61">
        <f>IFERROR(__xludf.DUMMYFUNCTION("IFS(AND(COUNTA(C48:C1350)=0,COUNTA(Q48:Q1350)=0),"""",OR(AND(K48&gt;=1000000000,OR(Y48&gt;=1000000000,COUNTA(Q48:Q1350)=0)),OR(Y48&gt;=1000000000,AND(COUNTA(C48:C1350)=0,P$3=TRUE))),
ROUNDDOWN((AB$1-AC$1)*MAX(INDEX(T$4:T1350,MATCH(LARGE(FILTER(Y$4:Y1350,Y$4:Y1350&lt;"&amp;"1000000000),1),Y$4:Y1350)),INDEX(F$4:F1350,MATCH(LARGE(FILTER(K$4:K1350,K$4:K1350&lt;1000000000),1),K$4:K1350)))),AND(K48&lt;1000000000,COUNTA(C48:C1350)&gt;0,P$3=FALSE),
ROUNDDOWN(INDEX(Y$4:Y1350,MATCH(LARGE(FILTER(W$4:W1350,W$4:W1350&lt;=I48),1),W$4:W1350))+(I48-LA"&amp;"RGE(FILTER(W$4:W1350,W$4:W1350&lt;=I48),1))*INDEX(T$4:T1350,MATCH(LARGE(FILTER(W$4:W1350,W$4:W1350&lt;=I48),1),W$4:W1350))-K48),1,
ROUNDDOWN(Y48-INDEX(K$4:K1350,MATCH(LARGE(FILTER(I$4:I1350,I$4:I1350&lt;=W48),1),I$4:I1350))-(W48-LARGE(FILTER(I$4:I1350,I$4:I1350&lt;=W"&amp;"48),1))*INDEX(F$4:F1350,MATCH(LARGE(FILTER(I$4:I1350,I$4:I1350&lt;=W48),1),I$4:I1350))))"),441.0)</f>
        <v>441</v>
      </c>
      <c r="N48" s="60">
        <f t="shared" si="8"/>
        <v>-0.59409</v>
      </c>
      <c r="O48" s="61">
        <f t="shared" si="9"/>
        <v>441</v>
      </c>
      <c r="P48" s="56">
        <f t="shared" si="10"/>
        <v>3</v>
      </c>
      <c r="Q48" s="67" t="s">
        <v>8</v>
      </c>
      <c r="R48" s="10" t="b">
        <f>IFERROR(__xludf.DUMMYFUNCTION("IF(COUNTA(Q48:Q1350)=0,"""",IF(ISBLANK(Q48),FALSE,IF(NOT(COUNTIF($AA$24:$AA$34,SUBSTITUTE(Q48,""Sell_"",""""))),1,IF(REGEXMATCH(Q48,""Sell_""),IF(COUNTIF(Q$4:Q48,SUBSTITUTE(Q48,""Sell_"",""""))-COUNTIF(Q$4:Q47,Q48)&lt;1,1),FALSE))))"),FALSE)</f>
        <v>0</v>
      </c>
      <c r="S48" s="59">
        <f t="array" ref="S48">IF(COUNTA(Q48:Q1350)=0,"",SUM((COUNTIF(Q$4:Q48,Upgrades!$B$3:$B$13)-COUNTIF(Q$4:Q48,"Sell_"&amp;Upgrades!$B$3:$B$13))*Upgrades!$D$3:$D$13))</f>
        <v>643</v>
      </c>
      <c r="T48" s="66">
        <f>IFERROR(__xludf.DUMMYFUNCTION("IF(COUNTA(Q48:Q1350)=0,"""",IF(REGEXMATCH(INDEX(FILTER(Q$4:Q48,Q$4:Q48&lt;&gt;""""),ROWS(FILTER(Q$4:Q48,Q$4:Q48&lt;&gt;""""))),""^Sell_""),INDEX(FILTER(T$4:T47,Q$4:Q47&lt;&gt;""""),ROWS(FILTER(Q$4:Q47,Q$4:Q47&lt;&gt;""""))),$AD$5+S48))"),843.0)</f>
        <v>843</v>
      </c>
      <c r="U48" s="10">
        <f>IFERROR(__xludf.DUMMYFUNCTION("IF(COUNTA(Q48:Q1350)=0,"""",IF(Q48="""",0,IF(REGEXMATCH(Q48,""^Sell_""),-ROUNDDOWN(ROUNDUP(INDEX(Upgrades!$C$3:$C$13,MATCH(SUBSTITUTE(Q48,""Sell_"",""""),Upgrades!$B$3:$B$13,0))*1.15^(COUNTIF(Q$4:Q47,SUBSTITUTE(Q48,""Sell_"",""""))-COUNTIF(Q$4:Q47,""Sell_"&amp;"""&amp;SUBSTITUTE(Q48,""Sell_"",""""))))/2),ROUNDUP(INDEX(Upgrades!$C$3:$C$13,MATCH(Q48,Upgrades!$B$3:$B$13,0))*1.15^(COUNTIF(Q$4:Q47,Q48)-COUNTIF(Q$4:Q47,""Sell_""&amp;Q48))))))"),52900.0)</f>
        <v>52900</v>
      </c>
      <c r="V48" s="10">
        <f t="shared" si="11"/>
        <v>52900</v>
      </c>
      <c r="W48" s="68">
        <f t="shared" si="12"/>
        <v>563.104408</v>
      </c>
      <c r="X48" s="59" t="str">
        <f t="shared" si="13"/>
        <v>9m 23s</v>
      </c>
      <c r="Y48" s="69">
        <f t="shared" si="14"/>
        <v>262859</v>
      </c>
      <c r="Z48" s="11"/>
    </row>
    <row r="49">
      <c r="A49" s="8"/>
      <c r="B49" s="56">
        <f t="shared" si="2"/>
        <v>12</v>
      </c>
      <c r="C49" s="57" t="s">
        <v>5</v>
      </c>
      <c r="D49" s="10" t="b">
        <f>IFERROR(__xludf.DUMMYFUNCTION("IF(COUNTA(C49:C1350)=0,"""",IF(ISBLANK(C49),FALSE,IF(NOT(COUNTIF($AA$24:$AA$34,SUBSTITUTE(C49,""Sell_"",""""))),1,IF(REGEXMATCH(C49,""Sell_""),IF(COUNTIF(C$4:C49,SUBSTITUTE(C49,""Sell_"",""""))-COUNTIF(C$4:C48,C49)&lt;1,1),FALSE))))"),FALSE)</f>
        <v>0</v>
      </c>
      <c r="E49" s="59">
        <f t="array" ref="E49">IF(COUNTA(C49:C1350)=0,"",SUM((COUNTIF(C$4:C49,Upgrades!$B$3:$B$13)-COUNTIF(C$4:C49,"Sell_"&amp;Upgrades!$B$3:$B$13))*Upgrades!$D$3:$D$13))</f>
        <v>593</v>
      </c>
      <c r="F49" s="66">
        <f>IFERROR(__xludf.DUMMYFUNCTION("IF(COUNTA(C49:C1350)=0,"""",IF(REGEXMATCH(INDEX(FILTER(C$4:C49,C$4:C49&lt;&gt;""""),ROWS(FILTER(C$4:C49,C$4:C49&lt;&gt;""""))),""^Sell_""),INDEX(FILTER(F$4:F48,C$4:C48&lt;&gt;""""),ROWS(FILTER(C$4:C48,C$4:C48&lt;&gt;""""))),$AC$5+E49))"),793.0)</f>
        <v>793</v>
      </c>
      <c r="G49" s="10">
        <f>IFERROR(__xludf.DUMMYFUNCTION("IF(COUNTA(C49:C1350)=0,"""",IF(C49="""",0,IF(REGEXMATCH(C49,""^Sell_""),-ROUNDDOWN(ROUNDUP(INDEX(Upgrades!$C$3:$C$13,MATCH(SUBSTITUTE(C49,""Sell_"",""""),Upgrades!$B$3:$B$13,0))*1.15^(COUNTIF(C$4:C48,SUBSTITUTE(C49,""Sell_"",""""))-COUNTIF(C$4:C48,""Sell_"&amp;"""&amp;SUBSTITUTE(C49,""Sell_"",""""))))/2),ROUNDUP(INDEX(Upgrades!$C$3:$C$13,MATCH(C49,Upgrades!$B$3:$B$13,0))*1.15^(COUNTIF(C$4:C48,C49)-COUNTIF(C$4:C48,""Sell_""&amp;C49))))))"),2327.0)</f>
        <v>2327</v>
      </c>
      <c r="H49" s="10">
        <f t="shared" si="3"/>
        <v>2327</v>
      </c>
      <c r="I49" s="68">
        <f t="shared" si="4"/>
        <v>531.572438</v>
      </c>
      <c r="J49" s="59" t="str">
        <f t="shared" si="5"/>
        <v>8m 51s</v>
      </c>
      <c r="K49" s="69">
        <f t="shared" si="6"/>
        <v>239125</v>
      </c>
      <c r="L49" s="60">
        <f t="shared" si="7"/>
        <v>-0.4115</v>
      </c>
      <c r="M49" s="61">
        <f>IFERROR(__xludf.DUMMYFUNCTION("IFS(AND(COUNTA(C49:C1350)=0,COUNTA(Q49:Q1350)=0),"""",OR(AND(K49&gt;=1000000000,OR(Y49&gt;=1000000000,COUNTA(Q49:Q1350)=0)),OR(Y49&gt;=1000000000,AND(COUNTA(C49:C1350)=0,P$3=TRUE))),
ROUNDDOWN((AB$1-AC$1)*MAX(INDEX(T$4:T1350,MATCH(LARGE(FILTER(Y$4:Y1350,Y$4:Y1350&lt;"&amp;"1000000000),1),Y$4:Y1350)),INDEX(F$4:F1350,MATCH(LARGE(FILTER(K$4:K1350,K$4:K1350&lt;1000000000),1),K$4:K1350)))),AND(K49&lt;1000000000,COUNTA(C49:C1350)&gt;0,P$3=FALSE),
ROUNDDOWN(INDEX(Y$4:Y1350,MATCH(LARGE(FILTER(W$4:W1350,W$4:W1350&lt;=I49),1),W$4:W1350))+(I49-LA"&amp;"RGE(FILTER(W$4:W1350,W$4:W1350&lt;=I49),1))*INDEX(T$4:T1350,MATCH(LARGE(FILTER(W$4:W1350,W$4:W1350&lt;=I49),1),W$4:W1350))-K49),1,
ROUNDDOWN(Y49-INDEX(K$4:K1350,MATCH(LARGE(FILTER(I$4:I1350,I$4:I1350&lt;=W49),1),I$4:I1350))-(W49-LARGE(FILTER(I$4:I1350,I$4:I1350&lt;=W"&amp;"49),1))*INDEX(F$4:F1350,MATCH(LARGE(FILTER(I$4:I1350,I$4:I1350&lt;=W49),1),I$4:I1350))))"),305.0)</f>
        <v>305</v>
      </c>
      <c r="N49" s="60">
        <f t="shared" si="8"/>
        <v>-0.4115</v>
      </c>
      <c r="O49" s="61">
        <f t="shared" si="9"/>
        <v>305</v>
      </c>
      <c r="P49" s="56">
        <f t="shared" si="10"/>
        <v>7</v>
      </c>
      <c r="Q49" s="67" t="s">
        <v>7</v>
      </c>
      <c r="R49" s="10" t="b">
        <f>IFERROR(__xludf.DUMMYFUNCTION("IF(COUNTA(Q49:Q1350)=0,"""",IF(ISBLANK(Q49),FALSE,IF(NOT(COUNTIF($AA$24:$AA$34,SUBSTITUTE(Q49,""Sell_"",""""))),1,IF(REGEXMATCH(Q49,""Sell_""),IF(COUNTIF(Q$4:Q49,SUBSTITUTE(Q49,""Sell_"",""""))-COUNTIF(Q$4:Q48,Q49)&lt;1,1),FALSE))))"),FALSE)</f>
        <v>0</v>
      </c>
      <c r="S49" s="59">
        <f t="array" ref="S49">IF(COUNTA(Q49:Q1350)=0,"",SUM((COUNTIF(Q$4:Q49,Upgrades!$B$3:$B$13)-COUNTIF(Q$4:Q49,"Sell_"&amp;Upgrades!$B$3:$B$13))*Upgrades!$D$3:$D$13))</f>
        <v>683</v>
      </c>
      <c r="T49" s="66">
        <f>IFERROR(__xludf.DUMMYFUNCTION("IF(COUNTA(Q49:Q1350)=0,"""",IF(REGEXMATCH(INDEX(FILTER(Q$4:Q49,Q$4:Q49&lt;&gt;""""),ROWS(FILTER(Q$4:Q49,Q$4:Q49&lt;&gt;""""))),""^Sell_""),INDEX(FILTER(T$4:T48,Q$4:Q48&lt;&gt;""""),ROWS(FILTER(Q$4:Q48,Q$4:Q48&lt;&gt;""""))),$AD$5+S49))"),883.0)</f>
        <v>883</v>
      </c>
      <c r="U49" s="10">
        <f>IFERROR(__xludf.DUMMYFUNCTION("IF(COUNTA(Q49:Q1350)=0,"""",IF(Q49="""",0,IF(REGEXMATCH(Q49,""^Sell_""),-ROUNDDOWN(ROUNDUP(INDEX(Upgrades!$C$3:$C$13,MATCH(SUBSTITUTE(Q49,""Sell_"",""""),Upgrades!$B$3:$B$13,0))*1.15^(COUNTIF(Q$4:Q48,SUBSTITUTE(Q49,""Sell_"",""""))-COUNTIF(Q$4:Q48,""Sell_"&amp;"""&amp;SUBSTITUTE(Q49,""Sell_"",""""))))/2),ROUNDUP(INDEX(Upgrades!$C$3:$C$13,MATCH(Q49,Upgrades!$B$3:$B$13,0))*1.15^(COUNTIF(Q$4:Q48,Q49)-COUNTIF(Q$4:Q48,""Sell_""&amp;Q49))))))"),23131.0)</f>
        <v>23131</v>
      </c>
      <c r="V49" s="10">
        <f t="shared" si="11"/>
        <v>23131</v>
      </c>
      <c r="W49" s="68">
        <f t="shared" si="12"/>
        <v>590.5433166</v>
      </c>
      <c r="X49" s="59" t="str">
        <f t="shared" si="13"/>
        <v>9m 50s</v>
      </c>
      <c r="Y49" s="69">
        <f t="shared" si="14"/>
        <v>285990</v>
      </c>
      <c r="Z49" s="11"/>
      <c r="AC49" s="104"/>
    </row>
    <row r="50">
      <c r="A50" s="8"/>
      <c r="B50" s="56">
        <f t="shared" si="2"/>
        <v>9</v>
      </c>
      <c r="C50" s="57" t="s">
        <v>4</v>
      </c>
      <c r="D50" s="10" t="b">
        <f>IFERROR(__xludf.DUMMYFUNCTION("IF(COUNTA(C50:C1350)=0,"""",IF(ISBLANK(C50),FALSE,IF(NOT(COUNTIF($AA$24:$AA$34,SUBSTITUTE(C50,""Sell_"",""""))),1,IF(REGEXMATCH(C50,""Sell_""),IF(COUNTIF(C$4:C50,SUBSTITUTE(C50,""Sell_"",""""))-COUNTIF(C$4:C49,C50)&lt;1,1),FALSE))))"),FALSE)</f>
        <v>0</v>
      </c>
      <c r="E50" s="59">
        <f t="array" ref="E50">IF(COUNTA(C50:C1350)=0,"",SUM((COUNTIF(C$4:C50,Upgrades!$B$3:$B$13)-COUNTIF(C$4:C50,"Sell_"&amp;Upgrades!$B$3:$B$13))*Upgrades!$D$3:$D$13))</f>
        <v>593.5</v>
      </c>
      <c r="F50" s="66">
        <f>IFERROR(__xludf.DUMMYFUNCTION("IF(COUNTA(C50:C1350)=0,"""",IF(REGEXMATCH(INDEX(FILTER(C$4:C50,C$4:C50&lt;&gt;""""),ROWS(FILTER(C$4:C50,C$4:C50&lt;&gt;""""))),""^Sell_""),INDEX(FILTER(F$4:F49,C$4:C49&lt;&gt;""""),ROWS(FILTER(C$4:C49,C$4:C49&lt;&gt;""""))),$AC$5+E50))"),793.5)</f>
        <v>793.5</v>
      </c>
      <c r="G50" s="10">
        <f>IFERROR(__xludf.DUMMYFUNCTION("IF(COUNTA(C50:C1350)=0,"""",IF(C50="""",0,IF(REGEXMATCH(C50,""^Sell_""),-ROUNDDOWN(ROUNDUP(INDEX(Upgrades!$C$3:$C$13,MATCH(SUBSTITUTE(C50,""Sell_"",""""),Upgrades!$B$3:$B$13,0))*1.15^(COUNTIF(C$4:C49,SUBSTITUTE(C50,""Sell_"",""""))-COUNTIF(C$4:C49,""Sell_"&amp;"""&amp;SUBSTITUTE(C50,""Sell_"",""""))))/2),ROUNDUP(INDEX(Upgrades!$C$3:$C$13,MATCH(C50,Upgrades!$B$3:$B$13,0))*1.15^(COUNTIF(C$4:C49,C50)-COUNTIF(C$4:C49,""Sell_""&amp;C50))))))"),306.0)</f>
        <v>306</v>
      </c>
      <c r="H50" s="10">
        <f t="shared" si="3"/>
        <v>306</v>
      </c>
      <c r="I50" s="68">
        <f t="shared" si="4"/>
        <v>531.9583144</v>
      </c>
      <c r="J50" s="59" t="str">
        <f t="shared" si="5"/>
        <v>8m 51s</v>
      </c>
      <c r="K50" s="69">
        <f t="shared" si="6"/>
        <v>239431</v>
      </c>
      <c r="L50" s="60">
        <f t="shared" si="7"/>
        <v>-0.38553</v>
      </c>
      <c r="M50" s="61">
        <f>IFERROR(__xludf.DUMMYFUNCTION("IFS(AND(COUNTA(C50:C1350)=0,COUNTA(Q50:Q1350)=0),"""",OR(AND(K50&gt;=1000000000,OR(Y50&gt;=1000000000,COUNTA(Q50:Q1350)=0)),OR(Y50&gt;=1000000000,AND(COUNTA(C50:C1350)=0,P$3=TRUE))),
ROUNDDOWN((AB$1-AC$1)*MAX(INDEX(T$4:T1350,MATCH(LARGE(FILTER(Y$4:Y1350,Y$4:Y1350&lt;"&amp;"1000000000),1),Y$4:Y1350)),INDEX(F$4:F1350,MATCH(LARGE(FILTER(K$4:K1350,K$4:K1350&lt;1000000000),1),K$4:K1350)))),AND(K50&lt;1000000000,COUNTA(C50:C1350)&gt;0,P$3=FALSE),
ROUNDDOWN(INDEX(Y$4:Y1350,MATCH(LARGE(FILTER(W$4:W1350,W$4:W1350&lt;=I50),1),W$4:W1350))+(I50-LA"&amp;"RGE(FILTER(W$4:W1350,W$4:W1350&lt;=I50),1))*INDEX(T$4:T1350,MATCH(LARGE(FILTER(W$4:W1350,W$4:W1350&lt;=I50),1),W$4:W1350))-K50),1,
ROUNDDOWN(Y50-INDEX(K$4:K1350,MATCH(LARGE(FILTER(I$4:I1350,I$4:I1350&lt;=W50),1),I$4:I1350))-(W50-LARGE(FILTER(I$4:I1350,I$4:I1350&lt;=W"&amp;"50),1))*INDEX(F$4:F1350,MATCH(LARGE(FILTER(I$4:I1350,I$4:I1350&lt;=W50),1),I$4:I1350))))"),286.0)</f>
        <v>286</v>
      </c>
      <c r="N50" s="60">
        <f t="shared" si="8"/>
        <v>-0.38553</v>
      </c>
      <c r="O50" s="61">
        <f t="shared" si="9"/>
        <v>286</v>
      </c>
      <c r="P50" s="56">
        <f t="shared" si="10"/>
        <v>11</v>
      </c>
      <c r="Q50" s="67" t="s">
        <v>3</v>
      </c>
      <c r="R50" s="10" t="b">
        <f>IFERROR(__xludf.DUMMYFUNCTION("IF(COUNTA(Q50:Q1350)=0,"""",IF(ISBLANK(Q50),FALSE,IF(NOT(COUNTIF($AA$24:$AA$34,SUBSTITUTE(Q50,""Sell_"",""""))),1,IF(REGEXMATCH(Q50,""Sell_""),IF(COUNTIF(Q$4:Q50,SUBSTITUTE(Q50,""Sell_"",""""))-COUNTIF(Q$4:Q49,Q50)&lt;1,1),FALSE))))"),FALSE)</f>
        <v>0</v>
      </c>
      <c r="S50" s="59">
        <f t="array" ref="S50">IF(COUNTA(Q50:Q1350)=0,"",SUM((COUNTIF(Q$4:Q50,Upgrades!$B$3:$B$13)-COUNTIF(Q$4:Q50,"Sell_"&amp;Upgrades!$B$3:$B$13))*Upgrades!$D$3:$D$13))</f>
        <v>683.1</v>
      </c>
      <c r="T50" s="66">
        <f>IFERROR(__xludf.DUMMYFUNCTION("IF(COUNTA(Q50:Q1350)=0,"""",IF(REGEXMATCH(INDEX(FILTER(Q$4:Q50,Q$4:Q50&lt;&gt;""""),ROWS(FILTER(Q$4:Q50,Q$4:Q50&lt;&gt;""""))),""^Sell_""),INDEX(FILTER(T$4:T49,Q$4:Q49&lt;&gt;""""),ROWS(FILTER(Q$4:Q49,Q$4:Q49&lt;&gt;""""))),$AD$5+S50))"),883.1)</f>
        <v>883.1</v>
      </c>
      <c r="U50" s="10">
        <f>IFERROR(__xludf.DUMMYFUNCTION("IF(COUNTA(Q50:Q1350)=0,"""",IF(Q50="""",0,IF(REGEXMATCH(Q50,""^Sell_""),-ROUNDDOWN(ROUNDUP(INDEX(Upgrades!$C$3:$C$13,MATCH(SUBSTITUTE(Q50,""Sell_"",""""),Upgrades!$B$3:$B$13,0))*1.15^(COUNTIF(Q$4:Q49,SUBSTITUTE(Q50,""Sell_"",""""))-COUNTIF(Q$4:Q49,""Sell_"&amp;"""&amp;SUBSTITUTE(Q50,""Sell_"",""""))))/2),ROUNDUP(INDEX(Upgrades!$C$3:$C$13,MATCH(Q50,Upgrades!$B$3:$B$13,0))*1.15^(COUNTIF(Q$4:Q49,Q50)-COUNTIF(Q$4:Q49,""Sell_""&amp;Q50))))))"),61.0)</f>
        <v>61</v>
      </c>
      <c r="V50" s="10">
        <f t="shared" si="11"/>
        <v>61</v>
      </c>
      <c r="W50" s="68">
        <f t="shared" si="12"/>
        <v>590.6123993</v>
      </c>
      <c r="X50" s="59" t="str">
        <f t="shared" si="13"/>
        <v>9m 50s</v>
      </c>
      <c r="Y50" s="69">
        <f t="shared" si="14"/>
        <v>286051</v>
      </c>
      <c r="Z50" s="11"/>
      <c r="AC50" s="104"/>
    </row>
    <row r="51">
      <c r="A51" s="8"/>
      <c r="B51" s="56">
        <f t="shared" si="2"/>
        <v>3</v>
      </c>
      <c r="C51" s="57" t="s">
        <v>8</v>
      </c>
      <c r="D51" s="10" t="b">
        <f>IFERROR(__xludf.DUMMYFUNCTION("IF(COUNTA(C51:C1350)=0,"""",IF(ISBLANK(C51),FALSE,IF(NOT(COUNTIF($AA$24:$AA$34,SUBSTITUTE(C51,""Sell_"",""""))),1,IF(REGEXMATCH(C51,""Sell_""),IF(COUNTIF(C$4:C51,SUBSTITUTE(C51,""Sell_"",""""))-COUNTIF(C$4:C50,C51)&lt;1,1),FALSE))))"),FALSE)</f>
        <v>0</v>
      </c>
      <c r="E51" s="59">
        <f t="array" ref="E51">IF(COUNTA(C51:C1350)=0,"",SUM((COUNTIF(C$4:C51,Upgrades!$B$3:$B$13)-COUNTIF(C$4:C51,"Sell_"&amp;Upgrades!$B$3:$B$13))*Upgrades!$D$3:$D$13))</f>
        <v>693.5</v>
      </c>
      <c r="F51" s="66">
        <f>IFERROR(__xludf.DUMMYFUNCTION("IF(COUNTA(C51:C1350)=0,"""",IF(REGEXMATCH(INDEX(FILTER(C$4:C51,C$4:C51&lt;&gt;""""),ROWS(FILTER(C$4:C51,C$4:C51&lt;&gt;""""))),""^Sell_""),INDEX(FILTER(F$4:F50,C$4:C50&lt;&gt;""""),ROWS(FILTER(C$4:C50,C$4:C50&lt;&gt;""""))),$AC$5+E51))"),893.5)</f>
        <v>893.5</v>
      </c>
      <c r="G51" s="10">
        <f>IFERROR(__xludf.DUMMYFUNCTION("IF(COUNTA(C51:C1350)=0,"""",IF(C51="""",0,IF(REGEXMATCH(C51,""^Sell_""),-ROUNDDOWN(ROUNDUP(INDEX(Upgrades!$C$3:$C$13,MATCH(SUBSTITUTE(C51,""Sell_"",""""),Upgrades!$B$3:$B$13,0))*1.15^(COUNTIF(C$4:C50,SUBSTITUTE(C51,""Sell_"",""""))-COUNTIF(C$4:C50,""Sell_"&amp;"""&amp;SUBSTITUTE(C51,""Sell_"",""""))))/2),ROUNDUP(INDEX(Upgrades!$C$3:$C$13,MATCH(C51,Upgrades!$B$3:$B$13,0))*1.15^(COUNTIF(C$4:C50,C51)-COUNTIF(C$4:C50,""Sell_""&amp;C51))))))"),52900.0)</f>
        <v>52900</v>
      </c>
      <c r="H51" s="10">
        <f t="shared" si="3"/>
        <v>52900</v>
      </c>
      <c r="I51" s="68">
        <f t="shared" si="4"/>
        <v>598.6249811</v>
      </c>
      <c r="J51" s="59" t="str">
        <f t="shared" si="5"/>
        <v>9m 58s</v>
      </c>
      <c r="K51" s="69">
        <f t="shared" si="6"/>
        <v>292331</v>
      </c>
      <c r="L51" s="60">
        <f t="shared" si="7"/>
        <v>-0.90437</v>
      </c>
      <c r="M51" s="61">
        <f>IFERROR(__xludf.DUMMYFUNCTION("IFS(AND(COUNTA(C51:C1350)=0,COUNTA(Q51:Q1350)=0),"""",OR(AND(K51&gt;=1000000000,OR(Y51&gt;=1000000000,COUNTA(Q51:Q1350)=0)),OR(Y51&gt;=1000000000,AND(COUNTA(C51:C1350)=0,P$3=TRUE))),
ROUNDDOWN((AB$1-AC$1)*MAX(INDEX(T$4:T1350,MATCH(LARGE(FILTER(Y$4:Y1350,Y$4:Y1350&lt;"&amp;"1000000000),1),Y$4:Y1350)),INDEX(F$4:F1350,MATCH(LARGE(FILTER(K$4:K1350,K$4:K1350&lt;1000000000),1),K$4:K1350)))),AND(K51&lt;1000000000,COUNTA(C51:C1350)&gt;0,P$3=FALSE),
ROUNDDOWN(INDEX(Y$4:Y1350,MATCH(LARGE(FILTER(W$4:W1350,W$4:W1350&lt;=I51),1),W$4:W1350))+(I51-LA"&amp;"RGE(FILTER(W$4:W1350,W$4:W1350&lt;=I51),1))*INDEX(T$4:T1350,MATCH(LARGE(FILTER(W$4:W1350,W$4:W1350&lt;=I51),1),W$4:W1350))-K51),1,
ROUNDDOWN(Y51-INDEX(K$4:K1350,MATCH(LARGE(FILTER(I$4:I1350,I$4:I1350&lt;=W51),1),I$4:I1350))-(W51-LARGE(FILTER(I$4:I1350,I$4:I1350&lt;=W"&amp;"51),1))*INDEX(F$4:F1350,MATCH(LARGE(FILTER(I$4:I1350,I$4:I1350&lt;=W51),1),I$4:I1350))))"),808.0)</f>
        <v>808</v>
      </c>
      <c r="N51" s="60">
        <f t="shared" si="8"/>
        <v>-0.90437</v>
      </c>
      <c r="O51" s="61">
        <f t="shared" si="9"/>
        <v>808</v>
      </c>
      <c r="P51" s="56">
        <f t="shared" si="10"/>
        <v>6</v>
      </c>
      <c r="Q51" s="67" t="s">
        <v>6</v>
      </c>
      <c r="R51" s="10" t="b">
        <f>IFERROR(__xludf.DUMMYFUNCTION("IF(COUNTA(Q51:Q1350)=0,"""",IF(ISBLANK(Q51),FALSE,IF(NOT(COUNTIF($AA$24:$AA$34,SUBSTITUTE(Q51,""Sell_"",""""))),1,IF(REGEXMATCH(Q51,""Sell_""),IF(COUNTIF(Q$4:Q51,SUBSTITUTE(Q51,""Sell_"",""""))-COUNTIF(Q$4:Q50,Q51)&lt;1,1),FALSE))))"),FALSE)</f>
        <v>0</v>
      </c>
      <c r="S51" s="59">
        <f t="array" ref="S51">IF(COUNTA(Q51:Q1350)=0,"",SUM((COUNTIF(Q$4:Q51,Upgrades!$B$3:$B$13)-COUNTIF(Q$4:Q51,"Sell_"&amp;Upgrades!$B$3:$B$13))*Upgrades!$D$3:$D$13))</f>
        <v>693.1</v>
      </c>
      <c r="T51" s="66">
        <f>IFERROR(__xludf.DUMMYFUNCTION("IF(COUNTA(Q51:Q1350)=0,"""",IF(REGEXMATCH(INDEX(FILTER(Q$4:Q51,Q$4:Q51&lt;&gt;""""),ROWS(FILTER(Q$4:Q51,Q$4:Q51&lt;&gt;""""))),""^Sell_""),INDEX(FILTER(T$4:T50,Q$4:Q50&lt;&gt;""""),ROWS(FILTER(Q$4:Q50,Q$4:Q50&lt;&gt;""""))),$AD$5+S51))"),893.1)</f>
        <v>893.1</v>
      </c>
      <c r="U51" s="10">
        <f>IFERROR(__xludf.DUMMYFUNCTION("IF(COUNTA(Q51:Q1350)=0,"""",IF(Q51="""",0,IF(REGEXMATCH(Q51,""^Sell_""),-ROUNDDOWN(ROUNDUP(INDEX(Upgrades!$C$3:$C$13,MATCH(SUBSTITUTE(Q51,""Sell_"",""""),Upgrades!$B$3:$B$13,0))*1.15^(COUNTIF(Q$4:Q50,SUBSTITUTE(Q51,""Sell_"",""""))-COUNTIF(Q$4:Q50,""Sell_"&amp;"""&amp;SUBSTITUTE(Q51,""Sell_"",""""))))/2),ROUNDUP(INDEX(Upgrades!$C$3:$C$13,MATCH(Q51,Upgrades!$B$3:$B$13,0))*1.15^(COUNTIF(Q$4:Q50,Q51)-COUNTIF(Q$4:Q50,""Sell_""&amp;Q51))))))"),6035.0)</f>
        <v>6035</v>
      </c>
      <c r="V51" s="10">
        <f t="shared" si="11"/>
        <v>6035</v>
      </c>
      <c r="W51" s="68">
        <f t="shared" si="12"/>
        <v>597.44628</v>
      </c>
      <c r="X51" s="59" t="str">
        <f t="shared" si="13"/>
        <v>9m 57s</v>
      </c>
      <c r="Y51" s="69">
        <f t="shared" si="14"/>
        <v>292086</v>
      </c>
      <c r="Z51" s="11"/>
      <c r="AC51" s="104"/>
    </row>
    <row r="52">
      <c r="A52" s="8"/>
      <c r="B52" s="56">
        <f t="shared" si="2"/>
        <v>7</v>
      </c>
      <c r="C52" s="57" t="s">
        <v>6</v>
      </c>
      <c r="D52" s="10" t="b">
        <f>IFERROR(__xludf.DUMMYFUNCTION("IF(COUNTA(C52:C1350)=0,"""",IF(ISBLANK(C52),FALSE,IF(NOT(COUNTIF($AA$24:$AA$34,SUBSTITUTE(C52,""Sell_"",""""))),1,IF(REGEXMATCH(C52,""Sell_""),IF(COUNTIF(C$4:C52,SUBSTITUTE(C52,""Sell_"",""""))-COUNTIF(C$4:C51,C52)&lt;1,1),FALSE))))"),FALSE)</f>
        <v>0</v>
      </c>
      <c r="E52" s="59">
        <f t="array" ref="E52">IF(COUNTA(C52:C1350)=0,"",SUM((COUNTIF(C$4:C52,Upgrades!$B$3:$B$13)-COUNTIF(C$4:C52,"Sell_"&amp;Upgrades!$B$3:$B$13))*Upgrades!$D$3:$D$13))</f>
        <v>703.5</v>
      </c>
      <c r="F52" s="66">
        <f>IFERROR(__xludf.DUMMYFUNCTION("IF(COUNTA(C52:C1350)=0,"""",IF(REGEXMATCH(INDEX(FILTER(C$4:C52,C$4:C52&lt;&gt;""""),ROWS(FILTER(C$4:C52,C$4:C52&lt;&gt;""""))),""^Sell_""),INDEX(FILTER(F$4:F51,C$4:C51&lt;&gt;""""),ROWS(FILTER(C$4:C51,C$4:C51&lt;&gt;""""))),$AC$5+E52))"),903.5)</f>
        <v>903.5</v>
      </c>
      <c r="G52" s="10">
        <f>IFERROR(__xludf.DUMMYFUNCTION("IF(COUNTA(C52:C1350)=0,"""",IF(C52="""",0,IF(REGEXMATCH(C52,""^Sell_""),-ROUNDDOWN(ROUNDUP(INDEX(Upgrades!$C$3:$C$13,MATCH(SUBSTITUTE(C52,""Sell_"",""""),Upgrades!$B$3:$B$13,0))*1.15^(COUNTIF(C$4:C51,SUBSTITUTE(C52,""Sell_"",""""))-COUNTIF(C$4:C51,""Sell_"&amp;"""&amp;SUBSTITUTE(C52,""Sell_"",""""))))/2),ROUNDUP(INDEX(Upgrades!$C$3:$C$13,MATCH(C52,Upgrades!$B$3:$B$13,0))*1.15^(COUNTIF(C$4:C51,C52)-COUNTIF(C$4:C51,""Sell_""&amp;C52))))))"),6940.0)</f>
        <v>6940</v>
      </c>
      <c r="H52" s="10">
        <f t="shared" si="3"/>
        <v>6940</v>
      </c>
      <c r="I52" s="68">
        <f t="shared" si="4"/>
        <v>606.3921887</v>
      </c>
      <c r="J52" s="59" t="str">
        <f t="shared" si="5"/>
        <v>10m 06s</v>
      </c>
      <c r="K52" s="69">
        <f t="shared" si="6"/>
        <v>299271</v>
      </c>
      <c r="L52" s="60">
        <f t="shared" si="7"/>
        <v>-0.92616</v>
      </c>
      <c r="M52" s="61">
        <f>IFERROR(__xludf.DUMMYFUNCTION("IFS(AND(COUNTA(C52:C1350)=0,COUNTA(Q52:Q1350)=0),"""",OR(AND(K52&gt;=1000000000,OR(Y52&gt;=1000000000,COUNTA(Q52:Q1350)=0)),OR(Y52&gt;=1000000000,AND(COUNTA(C52:C1350)=0,P$3=TRUE))),
ROUNDDOWN((AB$1-AC$1)*MAX(INDEX(T$4:T1350,MATCH(LARGE(FILTER(Y$4:Y1350,Y$4:Y1350&lt;"&amp;"1000000000),1),Y$4:Y1350)),INDEX(F$4:F1350,MATCH(LARGE(FILTER(K$4:K1350,K$4:K1350&lt;1000000000),1),K$4:K1350)))),AND(K52&lt;1000000000,COUNTA(C52:C1350)&gt;0,P$3=FALSE),
ROUNDDOWN(INDEX(Y$4:Y1350,MATCH(LARGE(FILTER(W$4:W1350,W$4:W1350&lt;=I52),1),W$4:W1350))+(I52-LA"&amp;"RGE(FILTER(W$4:W1350,W$4:W1350&lt;=I52),1))*INDEX(T$4:T1350,MATCH(LARGE(FILTER(W$4:W1350,W$4:W1350&lt;=I52),1),W$4:W1350))-K52),1,
ROUNDDOWN(Y52-INDEX(K$4:K1350,MATCH(LARGE(FILTER(I$4:I1350,I$4:I1350&lt;=W52),1),I$4:I1350))-(W52-LARGE(FILTER(I$4:I1350,I$4:I1350&lt;=W"&amp;"52),1))*INDEX(F$4:F1350,MATCH(LARGE(FILTER(I$4:I1350,I$4:I1350&lt;=W52),1),I$4:I1350))))"),831.0)</f>
        <v>831</v>
      </c>
      <c r="N52" s="60">
        <f t="shared" si="8"/>
        <v>-0.92616</v>
      </c>
      <c r="O52" s="61">
        <f t="shared" si="9"/>
        <v>831</v>
      </c>
      <c r="P52" s="56">
        <f t="shared" si="10"/>
        <v>9</v>
      </c>
      <c r="Q52" s="67" t="s">
        <v>4</v>
      </c>
      <c r="R52" s="10" t="b">
        <f>IFERROR(__xludf.DUMMYFUNCTION("IF(COUNTA(Q52:Q1350)=0,"""",IF(ISBLANK(Q52),FALSE,IF(NOT(COUNTIF($AA$24:$AA$34,SUBSTITUTE(Q52,""Sell_"",""""))),1,IF(REGEXMATCH(Q52,""Sell_""),IF(COUNTIF(Q$4:Q52,SUBSTITUTE(Q52,""Sell_"",""""))-COUNTIF(Q$4:Q51,Q52)&lt;1,1),FALSE))))"),FALSE)</f>
        <v>0</v>
      </c>
      <c r="S52" s="59">
        <f t="array" ref="S52">IF(COUNTA(Q52:Q1350)=0,"",SUM((COUNTIF(Q$4:Q52,Upgrades!$B$3:$B$13)-COUNTIF(Q$4:Q52,"Sell_"&amp;Upgrades!$B$3:$B$13))*Upgrades!$D$3:$D$13))</f>
        <v>693.6</v>
      </c>
      <c r="T52" s="66">
        <f>IFERROR(__xludf.DUMMYFUNCTION("IF(COUNTA(Q52:Q1350)=0,"""",IF(REGEXMATCH(INDEX(FILTER(Q$4:Q52,Q$4:Q52&lt;&gt;""""),ROWS(FILTER(Q$4:Q52,Q$4:Q52&lt;&gt;""""))),""^Sell_""),INDEX(FILTER(T$4:T51,Q$4:Q51&lt;&gt;""""),ROWS(FILTER(Q$4:Q51,Q$4:Q51&lt;&gt;""""))),$AD$5+S52))"),893.6)</f>
        <v>893.6</v>
      </c>
      <c r="U52" s="10">
        <f>IFERROR(__xludf.DUMMYFUNCTION("IF(COUNTA(Q52:Q1350)=0,"""",IF(Q52="""",0,IF(REGEXMATCH(Q52,""^Sell_""),-ROUNDDOWN(ROUNDUP(INDEX(Upgrades!$C$3:$C$13,MATCH(SUBSTITUTE(Q52,""Sell_"",""""),Upgrades!$B$3:$B$13,0))*1.15^(COUNTIF(Q$4:Q51,SUBSTITUTE(Q52,""Sell_"",""""))-COUNTIF(Q$4:Q51,""Sell_"&amp;"""&amp;SUBSTITUTE(Q52,""Sell_"",""""))))/2),ROUNDUP(INDEX(Upgrades!$C$3:$C$13,MATCH(Q52,Upgrades!$B$3:$B$13,0))*1.15^(COUNTIF(Q$4:Q51,Q52)-COUNTIF(Q$4:Q51,""Sell_""&amp;Q52))))))"),306.0)</f>
        <v>306</v>
      </c>
      <c r="V52" s="10">
        <f t="shared" si="11"/>
        <v>306</v>
      </c>
      <c r="W52" s="68">
        <f t="shared" si="12"/>
        <v>597.7889068</v>
      </c>
      <c r="X52" s="59" t="str">
        <f t="shared" si="13"/>
        <v>9m 57s</v>
      </c>
      <c r="Y52" s="69">
        <f t="shared" si="14"/>
        <v>292392</v>
      </c>
      <c r="Z52" s="11"/>
      <c r="AC52" s="104"/>
    </row>
    <row r="53">
      <c r="A53" s="8"/>
      <c r="B53" s="56">
        <f t="shared" si="2"/>
        <v>4</v>
      </c>
      <c r="C53" s="57" t="s">
        <v>8</v>
      </c>
      <c r="D53" s="10" t="b">
        <f>IFERROR(__xludf.DUMMYFUNCTION("IF(COUNTA(C53:C1350)=0,"""",IF(ISBLANK(C53),FALSE,IF(NOT(COUNTIF($AA$24:$AA$34,SUBSTITUTE(C53,""Sell_"",""""))),1,IF(REGEXMATCH(C53,""Sell_""),IF(COUNTIF(C$4:C53,SUBSTITUTE(C53,""Sell_"",""""))-COUNTIF(C$4:C52,C53)&lt;1,1),FALSE))))"),FALSE)</f>
        <v>0</v>
      </c>
      <c r="E53" s="59">
        <f t="array" ref="E53">IF(COUNTA(C53:C1350)=0,"",SUM((COUNTIF(C$4:C53,Upgrades!$B$3:$B$13)-COUNTIF(C$4:C53,"Sell_"&amp;Upgrades!$B$3:$B$13))*Upgrades!$D$3:$D$13))</f>
        <v>803.5</v>
      </c>
      <c r="F53" s="66">
        <f>IFERROR(__xludf.DUMMYFUNCTION("IF(COUNTA(C53:C1350)=0,"""",IF(REGEXMATCH(INDEX(FILTER(C$4:C53,C$4:C53&lt;&gt;""""),ROWS(FILTER(C$4:C53,C$4:C53&lt;&gt;""""))),""^Sell_""),INDEX(FILTER(F$4:F52,C$4:C52&lt;&gt;""""),ROWS(FILTER(C$4:C52,C$4:C52&lt;&gt;""""))),$AC$5+E53))"),1003.5)</f>
        <v>1003.5</v>
      </c>
      <c r="G53" s="10">
        <f>IFERROR(__xludf.DUMMYFUNCTION("IF(COUNTA(C53:C1350)=0,"""",IF(C53="""",0,IF(REGEXMATCH(C53,""^Sell_""),-ROUNDDOWN(ROUNDUP(INDEX(Upgrades!$C$3:$C$13,MATCH(SUBSTITUTE(C53,""Sell_"",""""),Upgrades!$B$3:$B$13,0))*1.15^(COUNTIF(C$4:C52,SUBSTITUTE(C53,""Sell_"",""""))-COUNTIF(C$4:C52,""Sell_"&amp;"""&amp;SUBSTITUTE(C53,""Sell_"",""""))))/2),ROUNDUP(INDEX(Upgrades!$C$3:$C$13,MATCH(C53,Upgrades!$B$3:$B$13,0))*1.15^(COUNTIF(C$4:C52,C53)-COUNTIF(C$4:C52,""Sell_""&amp;C53))))))"),60835.0)</f>
        <v>60835</v>
      </c>
      <c r="H53" s="10">
        <f t="shared" si="3"/>
        <v>60835</v>
      </c>
      <c r="I53" s="68">
        <f t="shared" si="4"/>
        <v>673.7247841</v>
      </c>
      <c r="J53" s="59" t="str">
        <f t="shared" si="5"/>
        <v>11m 13s</v>
      </c>
      <c r="K53" s="69">
        <f t="shared" si="6"/>
        <v>360106</v>
      </c>
      <c r="L53" s="60">
        <f t="shared" si="7"/>
        <v>-0.95295</v>
      </c>
      <c r="M53" s="61">
        <f>IFERROR(__xludf.DUMMYFUNCTION("IFS(AND(COUNTA(C53:C1350)=0,COUNTA(Q53:Q1350)=0),"""",OR(AND(K53&gt;=1000000000,OR(Y53&gt;=1000000000,COUNTA(Q53:Q1350)=0)),OR(Y53&gt;=1000000000,AND(COUNTA(C53:C1350)=0,P$3=TRUE))),
ROUNDDOWN((AB$1-AC$1)*MAX(INDEX(T$4:T1350,MATCH(LARGE(FILTER(Y$4:Y1350,Y$4:Y1350&lt;"&amp;"1000000000),1),Y$4:Y1350)),INDEX(F$4:F1350,MATCH(LARGE(FILTER(K$4:K1350,K$4:K1350&lt;1000000000),1),K$4:K1350)))),AND(K53&lt;1000000000,COUNTA(C53:C1350)&gt;0,P$3=FALSE),
ROUNDDOWN(INDEX(Y$4:Y1350,MATCH(LARGE(FILTER(W$4:W1350,W$4:W1350&lt;=I53),1),W$4:W1350))+(I53-LA"&amp;"RGE(FILTER(W$4:W1350,W$4:W1350&lt;=I53),1))*INDEX(T$4:T1350,MATCH(LARGE(FILTER(W$4:W1350,W$4:W1350&lt;=I53),1),W$4:W1350))-K53),1,
ROUNDDOWN(Y53-INDEX(K$4:K1350,MATCH(LARGE(FILTER(I$4:I1350,I$4:I1350&lt;=W53),1),I$4:I1350))-(W53-LARGE(FILTER(I$4:I1350,I$4:I1350&lt;=W"&amp;"53),1))*INDEX(F$4:F1350,MATCH(LARGE(FILTER(I$4:I1350,I$4:I1350&lt;=W53),1),I$4:I1350))))"),950.0)</f>
        <v>950</v>
      </c>
      <c r="N53" s="60">
        <f t="shared" si="8"/>
        <v>-0.95295</v>
      </c>
      <c r="O53" s="61">
        <f t="shared" si="9"/>
        <v>950</v>
      </c>
      <c r="P53" s="56">
        <f t="shared" si="10"/>
        <v>13</v>
      </c>
      <c r="Q53" s="67" t="s">
        <v>5</v>
      </c>
      <c r="R53" s="10" t="b">
        <f>IFERROR(__xludf.DUMMYFUNCTION("IF(COUNTA(Q53:Q1350)=0,"""",IF(ISBLANK(Q53),FALSE,IF(NOT(COUNTIF($AA$24:$AA$34,SUBSTITUTE(Q53,""Sell_"",""""))),1,IF(REGEXMATCH(Q53,""Sell_""),IF(COUNTIF(Q$4:Q53,SUBSTITUTE(Q53,""Sell_"",""""))-COUNTIF(Q$4:Q52,Q53)&lt;1,1),FALSE))))"),FALSE)</f>
        <v>0</v>
      </c>
      <c r="S53" s="59">
        <f t="array" ref="S53">IF(COUNTA(Q53:Q1350)=0,"",SUM((COUNTIF(Q$4:Q53,Upgrades!$B$3:$B$13)-COUNTIF(Q$4:Q53,"Sell_"&amp;Upgrades!$B$3:$B$13))*Upgrades!$D$3:$D$13))</f>
        <v>697.6</v>
      </c>
      <c r="T53" s="66">
        <f>IFERROR(__xludf.DUMMYFUNCTION("IF(COUNTA(Q53:Q1350)=0,"""",IF(REGEXMATCH(INDEX(FILTER(Q$4:Q53,Q$4:Q53&lt;&gt;""""),ROWS(FILTER(Q$4:Q53,Q$4:Q53&lt;&gt;""""))),""^Sell_""),INDEX(FILTER(T$4:T52,Q$4:Q52&lt;&gt;""""),ROWS(FILTER(Q$4:Q52,Q$4:Q52&lt;&gt;""""))),$AD$5+S53))"),897.6)</f>
        <v>897.6</v>
      </c>
      <c r="U53" s="10">
        <f>IFERROR(__xludf.DUMMYFUNCTION("IF(COUNTA(Q53:Q1350)=0,"""",IF(Q53="""",0,IF(REGEXMATCH(Q53,""^Sell_""),-ROUNDDOWN(ROUNDUP(INDEX(Upgrades!$C$3:$C$13,MATCH(SUBSTITUTE(Q53,""Sell_"",""""),Upgrades!$B$3:$B$13,0))*1.15^(COUNTIF(Q$4:Q52,SUBSTITUTE(Q53,""Sell_"",""""))-COUNTIF(Q$4:Q52,""Sell_"&amp;"""&amp;SUBSTITUTE(Q53,""Sell_"",""""))))/2),ROUNDUP(INDEX(Upgrades!$C$3:$C$13,MATCH(Q53,Upgrades!$B$3:$B$13,0))*1.15^(COUNTIF(Q$4:Q52,Q53)-COUNTIF(Q$4:Q52,""Sell_""&amp;Q53))))))"),2676.0)</f>
        <v>2676</v>
      </c>
      <c r="V53" s="10">
        <f t="shared" si="11"/>
        <v>2676</v>
      </c>
      <c r="W53" s="68">
        <f t="shared" si="12"/>
        <v>600.7835352</v>
      </c>
      <c r="X53" s="59" t="str">
        <f t="shared" si="13"/>
        <v>10m 00s</v>
      </c>
      <c r="Y53" s="69">
        <f t="shared" si="14"/>
        <v>295068</v>
      </c>
      <c r="Z53" s="11"/>
    </row>
    <row r="54">
      <c r="A54" s="8"/>
      <c r="B54" s="56">
        <f t="shared" si="2"/>
        <v>8</v>
      </c>
      <c r="C54" s="57" t="s">
        <v>7</v>
      </c>
      <c r="D54" s="10" t="b">
        <f>IFERROR(__xludf.DUMMYFUNCTION("IF(COUNTA(C54:C1350)=0,"""",IF(ISBLANK(C54),FALSE,IF(NOT(COUNTIF($AA$24:$AA$34,SUBSTITUTE(C54,""Sell_"",""""))),1,IF(REGEXMATCH(C54,""Sell_""),IF(COUNTIF(C$4:C54,SUBSTITUTE(C54,""Sell_"",""""))-COUNTIF(C$4:C53,C54)&lt;1,1),FALSE))))"),FALSE)</f>
        <v>0</v>
      </c>
      <c r="E54" s="59">
        <f t="array" ref="E54">IF(COUNTA(C54:C1350)=0,"",SUM((COUNTIF(C$4:C54,Upgrades!$B$3:$B$13)-COUNTIF(C$4:C54,"Sell_"&amp;Upgrades!$B$3:$B$13))*Upgrades!$D$3:$D$13))</f>
        <v>843.5</v>
      </c>
      <c r="F54" s="66">
        <f>IFERROR(__xludf.DUMMYFUNCTION("IF(COUNTA(C54:C1350)=0,"""",IF(REGEXMATCH(INDEX(FILTER(C$4:C54,C$4:C54&lt;&gt;""""),ROWS(FILTER(C$4:C54,C$4:C54&lt;&gt;""""))),""^Sell_""),INDEX(FILTER(F$4:F53,C$4:C53&lt;&gt;""""),ROWS(FILTER(C$4:C53,C$4:C53&lt;&gt;""""))),$AC$5+E54))"),1043.5)</f>
        <v>1043.5</v>
      </c>
      <c r="G54" s="10">
        <f>IFERROR(__xludf.DUMMYFUNCTION("IF(COUNTA(C54:C1350)=0,"""",IF(C54="""",0,IF(REGEXMATCH(C54,""^Sell_""),-ROUNDDOWN(ROUNDUP(INDEX(Upgrades!$C$3:$C$13,MATCH(SUBSTITUTE(C54,""Sell_"",""""),Upgrades!$B$3:$B$13,0))*1.15^(COUNTIF(C$4:C53,SUBSTITUTE(C54,""Sell_"",""""))-COUNTIF(C$4:C53,""Sell_"&amp;"""&amp;SUBSTITUTE(C54,""Sell_"",""""))))/2),ROUNDUP(INDEX(Upgrades!$C$3:$C$13,MATCH(C54,Upgrades!$B$3:$B$13,0))*1.15^(COUNTIF(C$4:C53,C54)-COUNTIF(C$4:C53,""Sell_""&amp;C54))))))"),26601.0)</f>
        <v>26601</v>
      </c>
      <c r="H54" s="10">
        <f t="shared" si="3"/>
        <v>26601</v>
      </c>
      <c r="I54" s="68">
        <f t="shared" si="4"/>
        <v>700.2330054</v>
      </c>
      <c r="J54" s="59" t="str">
        <f t="shared" si="5"/>
        <v>11m 40s</v>
      </c>
      <c r="K54" s="69">
        <f t="shared" si="6"/>
        <v>386707</v>
      </c>
      <c r="L54" s="60">
        <f t="shared" si="7"/>
        <v>-0.9586</v>
      </c>
      <c r="M54" s="61">
        <f>IFERROR(__xludf.DUMMYFUNCTION("IFS(AND(COUNTA(C54:C1350)=0,COUNTA(Q54:Q1350)=0),"""",OR(AND(K54&gt;=1000000000,OR(Y54&gt;=1000000000,COUNTA(Q54:Q1350)=0)),OR(Y54&gt;=1000000000,AND(COUNTA(C54:C1350)=0,P$3=TRUE))),
ROUNDDOWN((AB$1-AC$1)*MAX(INDEX(T$4:T1350,MATCH(LARGE(FILTER(Y$4:Y1350,Y$4:Y1350&lt;"&amp;"1000000000),1),Y$4:Y1350)),INDEX(F$4:F1350,MATCH(LARGE(FILTER(K$4:K1350,K$4:K1350&lt;1000000000),1),K$4:K1350)))),AND(K54&lt;1000000000,COUNTA(C54:C1350)&gt;0,P$3=FALSE),
ROUNDDOWN(INDEX(Y$4:Y1350,MATCH(LARGE(FILTER(W$4:W1350,W$4:W1350&lt;=I54),1),W$4:W1350))+(I54-LA"&amp;"RGE(FILTER(W$4:W1350,W$4:W1350&lt;=I54),1))*INDEX(T$4:T1350,MATCH(LARGE(FILTER(W$4:W1350,W$4:W1350&lt;=I54),1),W$4:W1350))-K54),1,
ROUNDDOWN(Y54-INDEX(K$4:K1350,MATCH(LARGE(FILTER(I$4:I1350,I$4:I1350&lt;=W54),1),I$4:I1350))-(W54-LARGE(FILTER(I$4:I1350,I$4:I1350&lt;=W"&amp;"54),1))*INDEX(F$4:F1350,MATCH(LARGE(FILTER(I$4:I1350,I$4:I1350&lt;=W54),1),I$4:I1350))))"),994.0)</f>
        <v>994</v>
      </c>
      <c r="N54" s="60">
        <f t="shared" si="8"/>
        <v>-0.9586</v>
      </c>
      <c r="O54" s="61">
        <f t="shared" si="9"/>
        <v>994</v>
      </c>
      <c r="P54" s="56">
        <f t="shared" si="10"/>
        <v>4</v>
      </c>
      <c r="Q54" s="67" t="s">
        <v>8</v>
      </c>
      <c r="R54" s="10" t="b">
        <f>IFERROR(__xludf.DUMMYFUNCTION("IF(COUNTA(Q54:Q1350)=0,"""",IF(ISBLANK(Q54),FALSE,IF(NOT(COUNTIF($AA$24:$AA$34,SUBSTITUTE(Q54,""Sell_"",""""))),1,IF(REGEXMATCH(Q54,""Sell_""),IF(COUNTIF(Q$4:Q54,SUBSTITUTE(Q54,""Sell_"",""""))-COUNTIF(Q$4:Q53,Q54)&lt;1,1),FALSE))))"),FALSE)</f>
        <v>0</v>
      </c>
      <c r="S54" s="59">
        <f t="array" ref="S54">IF(COUNTA(Q54:Q1350)=0,"",SUM((COUNTIF(Q$4:Q54,Upgrades!$B$3:$B$13)-COUNTIF(Q$4:Q54,"Sell_"&amp;Upgrades!$B$3:$B$13))*Upgrades!$D$3:$D$13))</f>
        <v>797.6</v>
      </c>
      <c r="T54" s="66">
        <f>IFERROR(__xludf.DUMMYFUNCTION("IF(COUNTA(Q54:Q1350)=0,"""",IF(REGEXMATCH(INDEX(FILTER(Q$4:Q54,Q$4:Q54&lt;&gt;""""),ROWS(FILTER(Q$4:Q54,Q$4:Q54&lt;&gt;""""))),""^Sell_""),INDEX(FILTER(T$4:T53,Q$4:Q53&lt;&gt;""""),ROWS(FILTER(Q$4:Q53,Q$4:Q53&lt;&gt;""""))),$AD$5+S54))"),997.6)</f>
        <v>997.6</v>
      </c>
      <c r="U54" s="10">
        <f>IFERROR(__xludf.DUMMYFUNCTION("IF(COUNTA(Q54:Q1350)=0,"""",IF(Q54="""",0,IF(REGEXMATCH(Q54,""^Sell_""),-ROUNDDOWN(ROUNDUP(INDEX(Upgrades!$C$3:$C$13,MATCH(SUBSTITUTE(Q54,""Sell_"",""""),Upgrades!$B$3:$B$13,0))*1.15^(COUNTIF(Q$4:Q53,SUBSTITUTE(Q54,""Sell_"",""""))-COUNTIF(Q$4:Q53,""Sell_"&amp;"""&amp;SUBSTITUTE(Q54,""Sell_"",""""))))/2),ROUNDUP(INDEX(Upgrades!$C$3:$C$13,MATCH(Q54,Upgrades!$B$3:$B$13,0))*1.15^(COUNTIF(Q$4:Q53,Q54)-COUNTIF(Q$4:Q53,""Sell_""&amp;Q54))))))"),60835.0)</f>
        <v>60835</v>
      </c>
      <c r="V54" s="10">
        <f t="shared" si="11"/>
        <v>60835</v>
      </c>
      <c r="W54" s="68">
        <f t="shared" si="12"/>
        <v>668.5587135</v>
      </c>
      <c r="X54" s="59" t="str">
        <f t="shared" si="13"/>
        <v>11m 08s</v>
      </c>
      <c r="Y54" s="69">
        <f t="shared" si="14"/>
        <v>355903</v>
      </c>
      <c r="Z54" s="11"/>
    </row>
    <row r="55">
      <c r="A55" s="8"/>
      <c r="B55" s="56">
        <f t="shared" si="2"/>
        <v>13</v>
      </c>
      <c r="C55" s="57" t="s">
        <v>5</v>
      </c>
      <c r="D55" s="10" t="b">
        <f>IFERROR(__xludf.DUMMYFUNCTION("IF(COUNTA(C55:C1350)=0,"""",IF(ISBLANK(C55),FALSE,IF(NOT(COUNTIF($AA$24:$AA$34,SUBSTITUTE(C55,""Sell_"",""""))),1,IF(REGEXMATCH(C55,""Sell_""),IF(COUNTIF(C$4:C55,SUBSTITUTE(C55,""Sell_"",""""))-COUNTIF(C$4:C54,C55)&lt;1,1),FALSE))))"),FALSE)</f>
        <v>0</v>
      </c>
      <c r="E55" s="59">
        <f t="array" ref="E55">IF(COUNTA(C55:C1350)=0,"",SUM((COUNTIF(C$4:C55,Upgrades!$B$3:$B$13)-COUNTIF(C$4:C55,"Sell_"&amp;Upgrades!$B$3:$B$13))*Upgrades!$D$3:$D$13))</f>
        <v>847.5</v>
      </c>
      <c r="F55" s="66">
        <f>IFERROR(__xludf.DUMMYFUNCTION("IF(COUNTA(C55:C1350)=0,"""",IF(REGEXMATCH(INDEX(FILTER(C$4:C55,C$4:C55&lt;&gt;""""),ROWS(FILTER(C$4:C55,C$4:C55&lt;&gt;""""))),""^Sell_""),INDEX(FILTER(F$4:F54,C$4:C54&lt;&gt;""""),ROWS(FILTER(C$4:C54,C$4:C54&lt;&gt;""""))),$AC$5+E55))"),1047.5)</f>
        <v>1047.5</v>
      </c>
      <c r="G55" s="10">
        <f>IFERROR(__xludf.DUMMYFUNCTION("IF(COUNTA(C55:C1350)=0,"""",IF(C55="""",0,IF(REGEXMATCH(C55,""^Sell_""),-ROUNDDOWN(ROUNDUP(INDEX(Upgrades!$C$3:$C$13,MATCH(SUBSTITUTE(C55,""Sell_"",""""),Upgrades!$B$3:$B$13,0))*1.15^(COUNTIF(C$4:C54,SUBSTITUTE(C55,""Sell_"",""""))-COUNTIF(C$4:C54,""Sell_"&amp;"""&amp;SUBSTITUTE(C55,""Sell_"",""""))))/2),ROUNDUP(INDEX(Upgrades!$C$3:$C$13,MATCH(C55,Upgrades!$B$3:$B$13,0))*1.15^(COUNTIF(C$4:C54,C55)-COUNTIF(C$4:C54,""Sell_""&amp;C55))))))"),2676.0)</f>
        <v>2676</v>
      </c>
      <c r="H55" s="10">
        <f t="shared" si="3"/>
        <v>2676</v>
      </c>
      <c r="I55" s="68">
        <f t="shared" si="4"/>
        <v>702.7974519</v>
      </c>
      <c r="J55" s="59" t="str">
        <f t="shared" si="5"/>
        <v>11m 42s</v>
      </c>
      <c r="K55" s="69">
        <f t="shared" si="6"/>
        <v>389383</v>
      </c>
      <c r="L55" s="60">
        <f t="shared" si="7"/>
        <v>-0.94402</v>
      </c>
      <c r="M55" s="61">
        <f>IFERROR(__xludf.DUMMYFUNCTION("IFS(AND(COUNTA(C55:C1350)=0,COUNTA(Q55:Q1350)=0),"""",OR(AND(K55&gt;=1000000000,OR(Y55&gt;=1000000000,COUNTA(Q55:Q1350)=0)),OR(Y55&gt;=1000000000,AND(COUNTA(C55:C1350)=0,P$3=TRUE))),
ROUNDDOWN((AB$1-AC$1)*MAX(INDEX(T$4:T1350,MATCH(LARGE(FILTER(Y$4:Y1350,Y$4:Y1350&lt;"&amp;"1000000000),1),Y$4:Y1350)),INDEX(F$4:F1350,MATCH(LARGE(FILTER(K$4:K1350,K$4:K1350&lt;1000000000),1),K$4:K1350)))),AND(K55&lt;1000000000,COUNTA(C55:C1350)&gt;0,P$3=FALSE),
ROUNDDOWN(INDEX(Y$4:Y1350,MATCH(LARGE(FILTER(W$4:W1350,W$4:W1350&lt;=I55),1),W$4:W1350))+(I55-LA"&amp;"RGE(FILTER(W$4:W1350,W$4:W1350&lt;=I55),1))*INDEX(T$4:T1350,MATCH(LARGE(FILTER(W$4:W1350,W$4:W1350&lt;=I55),1),W$4:W1350))-K55),1,
ROUNDDOWN(Y55-INDEX(K$4:K1350,MATCH(LARGE(FILTER(I$4:I1350,I$4:I1350&lt;=W55),1),I$4:I1350))-(W55-LARGE(FILTER(I$4:I1350,I$4:I1350&lt;=W"&amp;"55),1))*INDEX(F$4:F1350,MATCH(LARGE(FILTER(I$4:I1350,I$4:I1350&lt;=W55),1),I$4:I1350))))"),979.0)</f>
        <v>979</v>
      </c>
      <c r="N55" s="60">
        <f t="shared" si="8"/>
        <v>-0.94402</v>
      </c>
      <c r="O55" s="61">
        <f t="shared" si="9"/>
        <v>979</v>
      </c>
      <c r="P55" s="56">
        <f t="shared" si="10"/>
        <v>8</v>
      </c>
      <c r="Q55" s="67" t="s">
        <v>7</v>
      </c>
      <c r="R55" s="10" t="b">
        <f>IFERROR(__xludf.DUMMYFUNCTION("IF(COUNTA(Q55:Q1350)=0,"""",IF(ISBLANK(Q55),FALSE,IF(NOT(COUNTIF($AA$24:$AA$34,SUBSTITUTE(Q55,""Sell_"",""""))),1,IF(REGEXMATCH(Q55,""Sell_""),IF(COUNTIF(Q$4:Q55,SUBSTITUTE(Q55,""Sell_"",""""))-COUNTIF(Q$4:Q54,Q55)&lt;1,1),FALSE))))"),FALSE)</f>
        <v>0</v>
      </c>
      <c r="S55" s="59">
        <f t="array" ref="S55">IF(COUNTA(Q55:Q1350)=0,"",SUM((COUNTIF(Q$4:Q55,Upgrades!$B$3:$B$13)-COUNTIF(Q$4:Q55,"Sell_"&amp;Upgrades!$B$3:$B$13))*Upgrades!$D$3:$D$13))</f>
        <v>837.6</v>
      </c>
      <c r="T55" s="66">
        <f>IFERROR(__xludf.DUMMYFUNCTION("IF(COUNTA(Q55:Q1350)=0,"""",IF(REGEXMATCH(INDEX(FILTER(Q$4:Q55,Q$4:Q55&lt;&gt;""""),ROWS(FILTER(Q$4:Q55,Q$4:Q55&lt;&gt;""""))),""^Sell_""),INDEX(FILTER(T$4:T54,Q$4:Q54&lt;&gt;""""),ROWS(FILTER(Q$4:Q54,Q$4:Q54&lt;&gt;""""))),$AD$5+S55))"),1037.6)</f>
        <v>1037.6</v>
      </c>
      <c r="U55" s="10">
        <f>IFERROR(__xludf.DUMMYFUNCTION("IF(COUNTA(Q55:Q1350)=0,"""",IF(Q55="""",0,IF(REGEXMATCH(Q55,""^Sell_""),-ROUNDDOWN(ROUNDUP(INDEX(Upgrades!$C$3:$C$13,MATCH(SUBSTITUTE(Q55,""Sell_"",""""),Upgrades!$B$3:$B$13,0))*1.15^(COUNTIF(Q$4:Q54,SUBSTITUTE(Q55,""Sell_"",""""))-COUNTIF(Q$4:Q54,""Sell_"&amp;"""&amp;SUBSTITUTE(Q55,""Sell_"",""""))))/2),ROUNDUP(INDEX(Upgrades!$C$3:$C$13,MATCH(Q55,Upgrades!$B$3:$B$13,0))*1.15^(COUNTIF(Q$4:Q54,Q55)-COUNTIF(Q$4:Q54,""Sell_""&amp;Q55))))))"),26601.0)</f>
        <v>26601</v>
      </c>
      <c r="V55" s="10">
        <f t="shared" si="11"/>
        <v>26601</v>
      </c>
      <c r="W55" s="68">
        <f t="shared" si="12"/>
        <v>695.2237095</v>
      </c>
      <c r="X55" s="59" t="str">
        <f t="shared" si="13"/>
        <v>11m 35s</v>
      </c>
      <c r="Y55" s="69">
        <f t="shared" si="14"/>
        <v>382504</v>
      </c>
      <c r="Z55" s="11"/>
    </row>
    <row r="56">
      <c r="A56" s="8"/>
      <c r="B56" s="56">
        <f t="shared" si="2"/>
        <v>1</v>
      </c>
      <c r="C56" s="57" t="s">
        <v>9</v>
      </c>
      <c r="D56" s="10" t="b">
        <f>IFERROR(__xludf.DUMMYFUNCTION("IF(COUNTA(C56:C1350)=0,"""",IF(ISBLANK(C56),FALSE,IF(NOT(COUNTIF($AA$24:$AA$34,SUBSTITUTE(C56,""Sell_"",""""))),1,IF(REGEXMATCH(C56,""Sell_""),IF(COUNTIF(C$4:C56,SUBSTITUTE(C56,""Sell_"",""""))-COUNTIF(C$4:C55,C56)&lt;1,1),FALSE))))"),FALSE)</f>
        <v>0</v>
      </c>
      <c r="E56" s="59">
        <f t="array" ref="E56">IF(COUNTA(C56:C1350)=0,"",SUM((COUNTIF(C$4:C56,Upgrades!$B$3:$B$13)-COUNTIF(C$4:C56,"Sell_"&amp;Upgrades!$B$3:$B$13))*Upgrades!$D$3:$D$13))</f>
        <v>1247.5</v>
      </c>
      <c r="F56" s="66">
        <f>IFERROR(__xludf.DUMMYFUNCTION("IF(COUNTA(C56:C1350)=0,"""",IF(REGEXMATCH(INDEX(FILTER(C$4:C56,C$4:C56&lt;&gt;""""),ROWS(FILTER(C$4:C56,C$4:C56&lt;&gt;""""))),""^Sell_""),INDEX(FILTER(F$4:F55,C$4:C55&lt;&gt;""""),ROWS(FILTER(C$4:C55,C$4:C55&lt;&gt;""""))),$AC$5+E56))"),1447.5)</f>
        <v>1447.5</v>
      </c>
      <c r="G56" s="10">
        <f>IFERROR(__xludf.DUMMYFUNCTION("IF(COUNTA(C56:C1350)=0,"""",IF(C56="""",0,IF(REGEXMATCH(C56,""^Sell_""),-ROUNDDOWN(ROUNDUP(INDEX(Upgrades!$C$3:$C$13,MATCH(SUBSTITUTE(C56,""Sell_"",""""),Upgrades!$B$3:$B$13,0))*1.15^(COUNTIF(C$4:C55,SUBSTITUTE(C56,""Sell_"",""""))-COUNTIF(C$4:C55,""Sell_"&amp;"""&amp;SUBSTITUTE(C56,""Sell_"",""""))))/2),ROUNDUP(INDEX(Upgrades!$C$3:$C$13,MATCH(C56,Upgrades!$B$3:$B$13,0))*1.15^(COUNTIF(C$4:C55,C56)-COUNTIF(C$4:C55,""Sell_""&amp;C56))))))"),200000.0)</f>
        <v>200000</v>
      </c>
      <c r="H56" s="10">
        <f t="shared" si="3"/>
        <v>200000</v>
      </c>
      <c r="I56" s="68">
        <f t="shared" si="4"/>
        <v>893.7282395</v>
      </c>
      <c r="J56" s="59" t="str">
        <f t="shared" si="5"/>
        <v>14m 53s</v>
      </c>
      <c r="K56" s="69">
        <f t="shared" si="6"/>
        <v>589383</v>
      </c>
      <c r="L56" s="60">
        <f t="shared" si="7"/>
        <v>-4.627</v>
      </c>
      <c r="M56" s="61">
        <f>IFERROR(__xludf.DUMMYFUNCTION("IFS(AND(COUNTA(C56:C1350)=0,COUNTA(Q56:Q1350)=0),"""",OR(AND(K56&gt;=1000000000,OR(Y56&gt;=1000000000,COUNTA(Q56:Q1350)=0)),OR(Y56&gt;=1000000000,AND(COUNTA(C56:C1350)=0,P$3=TRUE))),
ROUNDDOWN((AB$1-AC$1)*MAX(INDEX(T$4:T1350,MATCH(LARGE(FILTER(Y$4:Y1350,Y$4:Y1350&lt;"&amp;"1000000000),1),Y$4:Y1350)),INDEX(F$4:F1350,MATCH(LARGE(FILTER(K$4:K1350,K$4:K1350&lt;1000000000),1),K$4:K1350)))),AND(K56&lt;1000000000,COUNTA(C56:C1350)&gt;0,P$3=FALSE),
ROUNDDOWN(INDEX(Y$4:Y1350,MATCH(LARGE(FILTER(W$4:W1350,W$4:W1350&lt;=I56),1),W$4:W1350))+(I56-LA"&amp;"RGE(FILTER(W$4:W1350,W$4:W1350&lt;=I56),1))*INDEX(T$4:T1350,MATCH(LARGE(FILTER(W$4:W1350,W$4:W1350&lt;=I56),1),W$4:W1350))-K56),1,
ROUNDDOWN(Y56-INDEX(K$4:K1350,MATCH(LARGE(FILTER(I$4:I1350,I$4:I1350&lt;=W56),1),I$4:I1350))-(W56-LARGE(FILTER(I$4:I1350,I$4:I1350&lt;=W"&amp;"56),1))*INDEX(F$4:F1350,MATCH(LARGE(FILTER(I$4:I1350,I$4:I1350&lt;=W56),1),I$4:I1350))))"),6525.0)</f>
        <v>6525</v>
      </c>
      <c r="N56" s="60">
        <f t="shared" si="8"/>
        <v>-4.627</v>
      </c>
      <c r="O56" s="61">
        <f t="shared" si="9"/>
        <v>6525</v>
      </c>
      <c r="P56" s="56">
        <f t="shared" si="10"/>
        <v>1</v>
      </c>
      <c r="Q56" s="67" t="s">
        <v>59</v>
      </c>
      <c r="R56" s="10" t="b">
        <f>IFERROR(__xludf.DUMMYFUNCTION("IF(COUNTA(Q56:Q1350)=0,"""",IF(ISBLANK(Q56),FALSE,IF(NOT(COUNTIF($AA$24:$AA$34,SUBSTITUTE(Q56,""Sell_"",""""))),1,IF(REGEXMATCH(Q56,""Sell_""),IF(COUNTIF(Q$4:Q56,SUBSTITUTE(Q56,""Sell_"",""""))-COUNTIF(Q$4:Q55,Q56)&lt;1,1),FALSE))))"),FALSE)</f>
        <v>0</v>
      </c>
      <c r="S56" s="59">
        <f t="array" ref="S56">IF(COUNTA(Q56:Q1350)=0,"",SUM((COUNTIF(Q$4:Q56,Upgrades!$B$3:$B$13)-COUNTIF(Q$4:Q56,"Sell_"&amp;Upgrades!$B$3:$B$13))*Upgrades!$D$3:$D$13))</f>
        <v>797.6</v>
      </c>
      <c r="T56" s="66">
        <f>IFERROR(__xludf.DUMMYFUNCTION("IF(COUNTA(Q56:Q1350)=0,"""",IF(REGEXMATCH(INDEX(FILTER(Q$4:Q56,Q$4:Q56&lt;&gt;""""),ROWS(FILTER(Q$4:Q56,Q$4:Q56&lt;&gt;""""))),""^Sell_""),INDEX(FILTER(T$4:T55,Q$4:Q55&lt;&gt;""""),ROWS(FILTER(Q$4:Q55,Q$4:Q55&lt;&gt;""""))),$AD$5+S56))"),1037.6)</f>
        <v>1037.6</v>
      </c>
      <c r="U56" s="10">
        <f>IFERROR(__xludf.DUMMYFUNCTION("IF(COUNTA(Q56:Q1350)=0,"""",IF(Q56="""",0,IF(REGEXMATCH(Q56,""^Sell_""),-ROUNDDOWN(ROUNDUP(INDEX(Upgrades!$C$3:$C$13,MATCH(SUBSTITUTE(Q56,""Sell_"",""""),Upgrades!$B$3:$B$13,0))*1.15^(COUNTIF(Q$4:Q55,SUBSTITUTE(Q56,""Sell_"",""""))-COUNTIF(Q$4:Q55,""Sell_"&amp;"""&amp;SUBSTITUTE(Q56,""Sell_"",""""))))/2),ROUNDUP(INDEX(Upgrades!$C$3:$C$13,MATCH(Q56,Upgrades!$B$3:$B$13,0))*1.15^(COUNTIF(Q$4:Q55,Q56)-COUNTIF(Q$4:Q55,""Sell_""&amp;Q56))))))"),-15295.0)</f>
        <v>-15295</v>
      </c>
      <c r="V56" s="10">
        <f t="shared" si="11"/>
        <v>-15295</v>
      </c>
      <c r="W56" s="68">
        <f t="shared" si="12"/>
        <v>695.2237095</v>
      </c>
      <c r="X56" s="59" t="str">
        <f t="shared" si="13"/>
        <v>11m 35s</v>
      </c>
      <c r="Y56" s="69">
        <f t="shared" si="14"/>
        <v>382504</v>
      </c>
      <c r="Z56" s="11"/>
    </row>
    <row r="57">
      <c r="A57" s="8"/>
      <c r="B57" s="56">
        <f t="shared" si="2"/>
        <v>5</v>
      </c>
      <c r="C57" s="57" t="s">
        <v>8</v>
      </c>
      <c r="D57" s="10" t="b">
        <f>IFERROR(__xludf.DUMMYFUNCTION("IF(COUNTA(C57:C1350)=0,"""",IF(ISBLANK(C57),FALSE,IF(NOT(COUNTIF($AA$24:$AA$34,SUBSTITUTE(C57,""Sell_"",""""))),1,IF(REGEXMATCH(C57,""Sell_""),IF(COUNTIF(C$4:C57,SUBSTITUTE(C57,""Sell_"",""""))-COUNTIF(C$4:C56,C57)&lt;1,1),FALSE))))"),FALSE)</f>
        <v>0</v>
      </c>
      <c r="E57" s="59">
        <f t="array" ref="E57">IF(COUNTA(C57:C1350)=0,"",SUM((COUNTIF(C$4:C57,Upgrades!$B$3:$B$13)-COUNTIF(C$4:C57,"Sell_"&amp;Upgrades!$B$3:$B$13))*Upgrades!$D$3:$D$13))</f>
        <v>1347.5</v>
      </c>
      <c r="F57" s="66">
        <f>IFERROR(__xludf.DUMMYFUNCTION("IF(COUNTA(C57:C1350)=0,"""",IF(REGEXMATCH(INDEX(FILTER(C$4:C57,C$4:C57&lt;&gt;""""),ROWS(FILTER(C$4:C57,C$4:C57&lt;&gt;""""))),""^Sell_""),INDEX(FILTER(F$4:F56,C$4:C56&lt;&gt;""""),ROWS(FILTER(C$4:C56,C$4:C56&lt;&gt;""""))),$AC$5+E57))"),1547.5)</f>
        <v>1547.5</v>
      </c>
      <c r="G57" s="10">
        <f>IFERROR(__xludf.DUMMYFUNCTION("IF(COUNTA(C57:C1350)=0,"""",IF(C57="""",0,IF(REGEXMATCH(C57,""^Sell_""),-ROUNDDOWN(ROUNDUP(INDEX(Upgrades!$C$3:$C$13,MATCH(SUBSTITUTE(C57,""Sell_"",""""),Upgrades!$B$3:$B$13,0))*1.15^(COUNTIF(C$4:C56,SUBSTITUTE(C57,""Sell_"",""""))-COUNTIF(C$4:C56,""Sell_"&amp;"""&amp;SUBSTITUTE(C57,""Sell_"",""""))))/2),ROUNDUP(INDEX(Upgrades!$C$3:$C$13,MATCH(C57,Upgrades!$B$3:$B$13,0))*1.15^(COUNTIF(C$4:C56,C57)-COUNTIF(C$4:C56,""Sell_""&amp;C57))))))"),69961.0)</f>
        <v>69961</v>
      </c>
      <c r="H57" s="10">
        <f t="shared" si="3"/>
        <v>69961</v>
      </c>
      <c r="I57" s="68">
        <f t="shared" si="4"/>
        <v>942.0605366</v>
      </c>
      <c r="J57" s="59" t="str">
        <f t="shared" si="5"/>
        <v>15m 42s</v>
      </c>
      <c r="K57" s="69">
        <f t="shared" si="6"/>
        <v>659344</v>
      </c>
      <c r="L57" s="60">
        <f t="shared" si="7"/>
        <v>-4.50425</v>
      </c>
      <c r="M57" s="61">
        <f>IFERROR(__xludf.DUMMYFUNCTION("IFS(AND(COUNTA(C57:C1350)=0,COUNTA(Q57:Q1350)=0),"""",OR(AND(K57&gt;=1000000000,OR(Y57&gt;=1000000000,COUNTA(Q57:Q1350)=0)),OR(Y57&gt;=1000000000,AND(COUNTA(C57:C1350)=0,P$3=TRUE))),
ROUNDDOWN((AB$1-AC$1)*MAX(INDEX(T$4:T1350,MATCH(LARGE(FILTER(Y$4:Y1350,Y$4:Y1350&lt;"&amp;"1000000000),1),Y$4:Y1350)),INDEX(F$4:F1350,MATCH(LARGE(FILTER(K$4:K1350,K$4:K1350&lt;1000000000),1),K$4:K1350)))),AND(K57&lt;1000000000,COUNTA(C57:C1350)&gt;0,P$3=FALSE),
ROUNDDOWN(INDEX(Y$4:Y1350,MATCH(LARGE(FILTER(W$4:W1350,W$4:W1350&lt;=I57),1),W$4:W1350))+(I57-LA"&amp;"RGE(FILTER(W$4:W1350,W$4:W1350&lt;=I57),1))*INDEX(T$4:T1350,MATCH(LARGE(FILTER(W$4:W1350,W$4:W1350&lt;=I57),1),W$4:W1350))-K57),1,
ROUNDDOWN(Y57-INDEX(K$4:K1350,MATCH(LARGE(FILTER(I$4:I1350,I$4:I1350&lt;=W57),1),I$4:I1350))-(W57-LARGE(FILTER(I$4:I1350,I$4:I1350&lt;=W"&amp;"57),1))*INDEX(F$4:F1350,MATCH(LARGE(FILTER(I$4:I1350,I$4:I1350&lt;=W57),1),I$4:I1350))))"),6523.0)</f>
        <v>6523</v>
      </c>
      <c r="N57" s="60">
        <f t="shared" si="8"/>
        <v>-4.50425</v>
      </c>
      <c r="O57" s="61">
        <f t="shared" si="9"/>
        <v>6523</v>
      </c>
      <c r="P57" s="56">
        <f t="shared" si="10"/>
        <v>1</v>
      </c>
      <c r="Q57" s="67" t="s">
        <v>9</v>
      </c>
      <c r="R57" s="10" t="b">
        <f>IFERROR(__xludf.DUMMYFUNCTION("IF(COUNTA(Q57:Q1350)=0,"""",IF(ISBLANK(Q57),FALSE,IF(NOT(COUNTIF($AA$24:$AA$34,SUBSTITUTE(Q57,""Sell_"",""""))),1,IF(REGEXMATCH(Q57,""Sell_""),IF(COUNTIF(Q$4:Q57,SUBSTITUTE(Q57,""Sell_"",""""))-COUNTIF(Q$4:Q56,Q57)&lt;1,1),FALSE))))"),FALSE)</f>
        <v>0</v>
      </c>
      <c r="S57" s="59">
        <f t="array" ref="S57">IF(COUNTA(Q57:Q1350)=0,"",SUM((COUNTIF(Q$4:Q57,Upgrades!$B$3:$B$13)-COUNTIF(Q$4:Q57,"Sell_"&amp;Upgrades!$B$3:$B$13))*Upgrades!$D$3:$D$13))</f>
        <v>1197.6</v>
      </c>
      <c r="T57" s="66">
        <f>IFERROR(__xludf.DUMMYFUNCTION("IF(COUNTA(Q57:Q1350)=0,"""",IF(REGEXMATCH(INDEX(FILTER(Q$4:Q57,Q$4:Q57&lt;&gt;""""),ROWS(FILTER(Q$4:Q57,Q$4:Q57&lt;&gt;""""))),""^Sell_""),INDEX(FILTER(T$4:T56,Q$4:Q56&lt;&gt;""""),ROWS(FILTER(Q$4:Q56,Q$4:Q56&lt;&gt;""""))),$AD$5+S57))"),1397.6)</f>
        <v>1397.6</v>
      </c>
      <c r="U57" s="10">
        <f>IFERROR(__xludf.DUMMYFUNCTION("IF(COUNTA(Q57:Q1350)=0,"""",IF(Q57="""",0,IF(REGEXMATCH(Q57,""^Sell_""),-ROUNDDOWN(ROUNDUP(INDEX(Upgrades!$C$3:$C$13,MATCH(SUBSTITUTE(Q57,""Sell_"",""""),Upgrades!$B$3:$B$13,0))*1.15^(COUNTIF(Q$4:Q56,SUBSTITUTE(Q57,""Sell_"",""""))-COUNTIF(Q$4:Q56,""Sell_"&amp;"""&amp;SUBSTITUTE(Q57,""Sell_"",""""))))/2),ROUNDUP(INDEX(Upgrades!$C$3:$C$13,MATCH(Q57,Upgrades!$B$3:$B$13,0))*1.15^(COUNTIF(Q$4:Q56,Q57)-COUNTIF(Q$4:Q56,""Sell_""&amp;Q57))))))"),200000.0)</f>
        <v>200000</v>
      </c>
      <c r="V57" s="10">
        <f t="shared" si="11"/>
        <v>184705</v>
      </c>
      <c r="W57" s="68">
        <f t="shared" si="12"/>
        <v>873.2354674</v>
      </c>
      <c r="X57" s="59" t="str">
        <f t="shared" si="13"/>
        <v>14m 33s</v>
      </c>
      <c r="Y57" s="69">
        <f t="shared" si="14"/>
        <v>567209</v>
      </c>
      <c r="Z57" s="11"/>
    </row>
    <row r="58">
      <c r="A58" s="8"/>
      <c r="B58" s="56">
        <f t="shared" si="2"/>
        <v>2</v>
      </c>
      <c r="C58" s="57" t="s">
        <v>9</v>
      </c>
      <c r="D58" s="10" t="b">
        <f>IFERROR(__xludf.DUMMYFUNCTION("IF(COUNTA(C58:C1350)=0,"""",IF(ISBLANK(C58),FALSE,IF(NOT(COUNTIF($AA$24:$AA$34,SUBSTITUTE(C58,""Sell_"",""""))),1,IF(REGEXMATCH(C58,""Sell_""),IF(COUNTIF(C$4:C58,SUBSTITUTE(C58,""Sell_"",""""))-COUNTIF(C$4:C57,C58)&lt;1,1),FALSE))))"),FALSE)</f>
        <v>0</v>
      </c>
      <c r="E58" s="59">
        <f t="array" ref="E58">IF(COUNTA(C58:C1350)=0,"",SUM((COUNTIF(C$4:C58,Upgrades!$B$3:$B$13)-COUNTIF(C$4:C58,"Sell_"&amp;Upgrades!$B$3:$B$13))*Upgrades!$D$3:$D$13))</f>
        <v>1747.5</v>
      </c>
      <c r="F58" s="66">
        <f>IFERROR(__xludf.DUMMYFUNCTION("IF(COUNTA(C58:C1350)=0,"""",IF(REGEXMATCH(INDEX(FILTER(C$4:C58,C$4:C58&lt;&gt;""""),ROWS(FILTER(C$4:C58,C$4:C58&lt;&gt;""""))),""^Sell_""),INDEX(FILTER(F$4:F57,C$4:C57&lt;&gt;""""),ROWS(FILTER(C$4:C57,C$4:C57&lt;&gt;""""))),$AC$5+E58))"),1947.5)</f>
        <v>1947.5</v>
      </c>
      <c r="G58" s="10">
        <f>IFERROR(__xludf.DUMMYFUNCTION("IF(COUNTA(C58:C1350)=0,"""",IF(C58="""",0,IF(REGEXMATCH(C58,""^Sell_""),-ROUNDDOWN(ROUNDUP(INDEX(Upgrades!$C$3:$C$13,MATCH(SUBSTITUTE(C58,""Sell_"",""""),Upgrades!$B$3:$B$13,0))*1.15^(COUNTIF(C$4:C57,SUBSTITUTE(C58,""Sell_"",""""))-COUNTIF(C$4:C57,""Sell_"&amp;"""&amp;SUBSTITUTE(C58,""Sell_"",""""))))/2),ROUNDUP(INDEX(Upgrades!$C$3:$C$13,MATCH(C58,Upgrades!$B$3:$B$13,0))*1.15^(COUNTIF(C$4:C57,C58)-COUNTIF(C$4:C57,""Sell_""&amp;C58))))))"),230000.0)</f>
        <v>230000</v>
      </c>
      <c r="H58" s="10">
        <f t="shared" si="3"/>
        <v>230000</v>
      </c>
      <c r="I58" s="68">
        <f t="shared" si="4"/>
        <v>1090.687354</v>
      </c>
      <c r="J58" s="59" t="str">
        <f t="shared" si="5"/>
        <v>18m 10s</v>
      </c>
      <c r="K58" s="69">
        <f t="shared" si="6"/>
        <v>889344</v>
      </c>
      <c r="L58" s="60">
        <f t="shared" si="7"/>
        <v>-3.00676</v>
      </c>
      <c r="M58" s="61">
        <f>IFERROR(__xludf.DUMMYFUNCTION("IFS(AND(COUNTA(C58:C1350)=0,COUNTA(Q58:Q1350)=0),"""",OR(AND(K58&gt;=1000000000,OR(Y58&gt;=1000000000,COUNTA(Q58:Q1350)=0)),OR(Y58&gt;=1000000000,AND(COUNTA(C58:C1350)=0,P$3=TRUE))),
ROUNDDOWN((AB$1-AC$1)*MAX(INDEX(T$4:T1350,MATCH(LARGE(FILTER(Y$4:Y1350,Y$4:Y1350&lt;"&amp;"1000000000),1),Y$4:Y1350)),INDEX(F$4:F1350,MATCH(LARGE(FILTER(K$4:K1350,K$4:K1350&lt;1000000000),1),K$4:K1350)))),AND(K58&lt;1000000000,COUNTA(C58:C1350)&gt;0,P$3=FALSE),
ROUNDDOWN(INDEX(Y$4:Y1350,MATCH(LARGE(FILTER(W$4:W1350,W$4:W1350&lt;=I58),1),W$4:W1350))+(I58-LA"&amp;"RGE(FILTER(W$4:W1350,W$4:W1350&lt;=I58),1))*INDEX(T$4:T1350,MATCH(LARGE(FILTER(W$4:W1350,W$4:W1350&lt;=I58),1),W$4:W1350))-K58),1,
ROUNDDOWN(Y58-INDEX(K$4:K1350,MATCH(LARGE(FILTER(I$4:I1350,I$4:I1350&lt;=W58),1),I$4:I1350))-(W58-LARGE(FILTER(I$4:I1350,I$4:I1350&lt;=W"&amp;"58),1))*INDEX(F$4:F1350,MATCH(LARGE(FILTER(I$4:I1350,I$4:I1350&lt;=W58),1),I$4:I1350))))"),5557.0)</f>
        <v>5557</v>
      </c>
      <c r="N58" s="60">
        <f t="shared" si="8"/>
        <v>-3.00676</v>
      </c>
      <c r="O58" s="61">
        <f t="shared" si="9"/>
        <v>5557</v>
      </c>
      <c r="P58" s="56">
        <f t="shared" si="10"/>
        <v>8</v>
      </c>
      <c r="Q58" s="67" t="s">
        <v>7</v>
      </c>
      <c r="R58" s="10" t="b">
        <f>IFERROR(__xludf.DUMMYFUNCTION("IF(COUNTA(Q58:Q1350)=0,"""",IF(ISBLANK(Q58),FALSE,IF(NOT(COUNTIF($AA$24:$AA$34,SUBSTITUTE(Q58,""Sell_"",""""))),1,IF(REGEXMATCH(Q58,""Sell_""),IF(COUNTIF(Q$4:Q58,SUBSTITUTE(Q58,""Sell_"",""""))-COUNTIF(Q$4:Q57,Q58)&lt;1,1),FALSE))))"),FALSE)</f>
        <v>0</v>
      </c>
      <c r="S58" s="59">
        <f t="array" ref="S58">IF(COUNTA(Q58:Q1350)=0,"",SUM((COUNTIF(Q$4:Q58,Upgrades!$B$3:$B$13)-COUNTIF(Q$4:Q58,"Sell_"&amp;Upgrades!$B$3:$B$13))*Upgrades!$D$3:$D$13))</f>
        <v>1237.6</v>
      </c>
      <c r="T58" s="66">
        <f>IFERROR(__xludf.DUMMYFUNCTION("IF(COUNTA(Q58:Q1350)=0,"""",IF(REGEXMATCH(INDEX(FILTER(Q$4:Q58,Q$4:Q58&lt;&gt;""""),ROWS(FILTER(Q$4:Q58,Q$4:Q58&lt;&gt;""""))),""^Sell_""),INDEX(FILTER(T$4:T57,Q$4:Q57&lt;&gt;""""),ROWS(FILTER(Q$4:Q57,Q$4:Q57&lt;&gt;""""))),$AD$5+S58))"),1437.6)</f>
        <v>1437.6</v>
      </c>
      <c r="U58" s="10">
        <f>IFERROR(__xludf.DUMMYFUNCTION("IF(COUNTA(Q58:Q1350)=0,"""",IF(Q58="""",0,IF(REGEXMATCH(Q58,""^Sell_""),-ROUNDDOWN(ROUNDUP(INDEX(Upgrades!$C$3:$C$13,MATCH(SUBSTITUTE(Q58,""Sell_"",""""),Upgrades!$B$3:$B$13,0))*1.15^(COUNTIF(Q$4:Q57,SUBSTITUTE(Q58,""Sell_"",""""))-COUNTIF(Q$4:Q57,""Sell_"&amp;"""&amp;SUBSTITUTE(Q58,""Sell_"",""""))))/2),ROUNDUP(INDEX(Upgrades!$C$3:$C$13,MATCH(Q58,Upgrades!$B$3:$B$13,0))*1.15^(COUNTIF(Q$4:Q57,Q58)-COUNTIF(Q$4:Q57,""Sell_""&amp;Q58))))))"),26601.0)</f>
        <v>26601</v>
      </c>
      <c r="V58" s="10">
        <f t="shared" si="11"/>
        <v>26601</v>
      </c>
      <c r="W58" s="68">
        <f t="shared" si="12"/>
        <v>892.2688102</v>
      </c>
      <c r="X58" s="59" t="str">
        <f t="shared" si="13"/>
        <v>14m 52s</v>
      </c>
      <c r="Y58" s="69">
        <f t="shared" si="14"/>
        <v>593810</v>
      </c>
      <c r="Z58" s="11"/>
    </row>
    <row r="59">
      <c r="A59" s="8"/>
      <c r="B59" s="56">
        <f t="shared" si="2"/>
        <v>3</v>
      </c>
      <c r="C59" s="57" t="s">
        <v>9</v>
      </c>
      <c r="D59" s="10" t="b">
        <f>IFERROR(__xludf.DUMMYFUNCTION("IF(COUNTA(C59:C1350)=0,"""",IF(ISBLANK(C59),FALSE,IF(NOT(COUNTIF($AA$24:$AA$34,SUBSTITUTE(C59,""Sell_"",""""))),1,IF(REGEXMATCH(C59,""Sell_""),IF(COUNTIF(C$4:C59,SUBSTITUTE(C59,""Sell_"",""""))-COUNTIF(C$4:C58,C59)&lt;1,1),FALSE))))"),FALSE)</f>
        <v>0</v>
      </c>
      <c r="E59" s="59">
        <f t="array" ref="E59">IF(COUNTA(C59:C1350)=0,"",SUM((COUNTIF(C$4:C59,Upgrades!$B$3:$B$13)-COUNTIF(C$4:C59,"Sell_"&amp;Upgrades!$B$3:$B$13))*Upgrades!$D$3:$D$13))</f>
        <v>2147.5</v>
      </c>
      <c r="F59" s="66">
        <f>IFERROR(__xludf.DUMMYFUNCTION("IF(COUNTA(C59:C1350)=0,"""",IF(REGEXMATCH(INDEX(FILTER(C$4:C59,C$4:C59&lt;&gt;""""),ROWS(FILTER(C$4:C59,C$4:C59&lt;&gt;""""))),""^Sell_""),INDEX(FILTER(F$4:F58,C$4:C58&lt;&gt;""""),ROWS(FILTER(C$4:C58,C$4:C58&lt;&gt;""""))),$AC$5+E59))"),2347.5)</f>
        <v>2347.5</v>
      </c>
      <c r="G59" s="10">
        <f>IFERROR(__xludf.DUMMYFUNCTION("IF(COUNTA(C59:C1350)=0,"""",IF(C59="""",0,IF(REGEXMATCH(C59,""^Sell_""),-ROUNDDOWN(ROUNDUP(INDEX(Upgrades!$C$3:$C$13,MATCH(SUBSTITUTE(C59,""Sell_"",""""),Upgrades!$B$3:$B$13,0))*1.15^(COUNTIF(C$4:C58,SUBSTITUTE(C59,""Sell_"",""""))-COUNTIF(C$4:C58,""Sell_"&amp;"""&amp;SUBSTITUTE(C59,""Sell_"",""""))))/2),ROUNDUP(INDEX(Upgrades!$C$3:$C$13,MATCH(C59,Upgrades!$B$3:$B$13,0))*1.15^(COUNTIF(C$4:C58,C59)-COUNTIF(C$4:C58,""Sell_""&amp;C59))))))"),264500.0)</f>
        <v>264500</v>
      </c>
      <c r="H59" s="10">
        <f t="shared" si="3"/>
        <v>264500</v>
      </c>
      <c r="I59" s="68">
        <f t="shared" si="4"/>
        <v>1226.502502</v>
      </c>
      <c r="J59" s="59" t="str">
        <f t="shared" si="5"/>
        <v>20m 26s</v>
      </c>
      <c r="K59" s="69">
        <f t="shared" si="6"/>
        <v>1153844</v>
      </c>
      <c r="L59" s="60">
        <f t="shared" si="7"/>
        <v>-5.24354</v>
      </c>
      <c r="M59" s="61">
        <f>IFERROR(__xludf.DUMMYFUNCTION("IFS(AND(COUNTA(C59:C1350)=0,COUNTA(Q59:Q1350)=0),"""",OR(AND(K59&gt;=1000000000,OR(Y59&gt;=1000000000,COUNTA(Q59:Q1350)=0)),OR(Y59&gt;=1000000000,AND(COUNTA(C59:C1350)=0,P$3=TRUE))),
ROUNDDOWN((AB$1-AC$1)*MAX(INDEX(T$4:T1350,MATCH(LARGE(FILTER(Y$4:Y1350,Y$4:Y1350&lt;"&amp;"1000000000),1),Y$4:Y1350)),INDEX(F$4:F1350,MATCH(LARGE(FILTER(K$4:K1350,K$4:K1350&lt;1000000000),1),K$4:K1350)))),AND(K59&lt;1000000000,COUNTA(C59:C1350)&gt;0,P$3=FALSE),
ROUNDDOWN(INDEX(Y$4:Y1350,MATCH(LARGE(FILTER(W$4:W1350,W$4:W1350&lt;=I59),1),W$4:W1350))+(I59-LA"&amp;"RGE(FILTER(W$4:W1350,W$4:W1350&lt;=I59),1))*INDEX(T$4:T1350,MATCH(LARGE(FILTER(W$4:W1350,W$4:W1350&lt;=I59),1),W$4:W1350))-K59),1,
ROUNDDOWN(Y59-INDEX(K$4:K1350,MATCH(LARGE(FILTER(I$4:I1350,I$4:I1350&lt;=W59),1),I$4:I1350))-(W59-LARGE(FILTER(I$4:I1350,I$4:I1350&lt;=W"&amp;"59),1))*INDEX(F$4:F1350,MATCH(LARGE(FILTER(I$4:I1350,I$4:I1350&lt;=W59),1),I$4:I1350))))"),10446.0)</f>
        <v>10446</v>
      </c>
      <c r="N59" s="60">
        <f t="shared" si="8"/>
        <v>-5.24354</v>
      </c>
      <c r="O59" s="61">
        <f t="shared" si="9"/>
        <v>10446</v>
      </c>
      <c r="P59" s="56">
        <f t="shared" si="10"/>
        <v>7</v>
      </c>
      <c r="Q59" s="67" t="s">
        <v>6</v>
      </c>
      <c r="R59" s="10" t="b">
        <f>IFERROR(__xludf.DUMMYFUNCTION("IF(COUNTA(Q59:Q1350)=0,"""",IF(ISBLANK(Q59),FALSE,IF(NOT(COUNTIF($AA$24:$AA$34,SUBSTITUTE(Q59,""Sell_"",""""))),1,IF(REGEXMATCH(Q59,""Sell_""),IF(COUNTIF(Q$4:Q59,SUBSTITUTE(Q59,""Sell_"",""""))-COUNTIF(Q$4:Q58,Q59)&lt;1,1),FALSE))))"),FALSE)</f>
        <v>0</v>
      </c>
      <c r="S59" s="59">
        <f t="array" ref="S59">IF(COUNTA(Q59:Q1350)=0,"",SUM((COUNTIF(Q$4:Q59,Upgrades!$B$3:$B$13)-COUNTIF(Q$4:Q59,"Sell_"&amp;Upgrades!$B$3:$B$13))*Upgrades!$D$3:$D$13))</f>
        <v>1247.6</v>
      </c>
      <c r="T59" s="66">
        <f>IFERROR(__xludf.DUMMYFUNCTION("IF(COUNTA(Q59:Q1350)=0,"""",IF(REGEXMATCH(INDEX(FILTER(Q$4:Q59,Q$4:Q59&lt;&gt;""""),ROWS(FILTER(Q$4:Q59,Q$4:Q59&lt;&gt;""""))),""^Sell_""),INDEX(FILTER(T$4:T58,Q$4:Q58&lt;&gt;""""),ROWS(FILTER(Q$4:Q58,Q$4:Q58&lt;&gt;""""))),$AD$5+S59))"),1447.6)</f>
        <v>1447.6</v>
      </c>
      <c r="U59" s="10">
        <f>IFERROR(__xludf.DUMMYFUNCTION("IF(COUNTA(Q59:Q1350)=0,"""",IF(Q59="""",0,IF(REGEXMATCH(Q59,""^Sell_""),-ROUNDDOWN(ROUNDUP(INDEX(Upgrades!$C$3:$C$13,MATCH(SUBSTITUTE(Q59,""Sell_"",""""),Upgrades!$B$3:$B$13,0))*1.15^(COUNTIF(Q$4:Q58,SUBSTITUTE(Q59,""Sell_"",""""))-COUNTIF(Q$4:Q58,""Sell_"&amp;"""&amp;SUBSTITUTE(Q59,""Sell_"",""""))))/2),ROUNDUP(INDEX(Upgrades!$C$3:$C$13,MATCH(Q59,Upgrades!$B$3:$B$13,0))*1.15^(COUNTIF(Q$4:Q58,Q59)-COUNTIF(Q$4:Q58,""Sell_""&amp;Q59))))))"),6940.0)</f>
        <v>6940</v>
      </c>
      <c r="V59" s="10">
        <f t="shared" si="11"/>
        <v>6940</v>
      </c>
      <c r="W59" s="68">
        <f t="shared" si="12"/>
        <v>897.0963005</v>
      </c>
      <c r="X59" s="59" t="str">
        <f t="shared" si="13"/>
        <v>14m 57s</v>
      </c>
      <c r="Y59" s="69">
        <f t="shared" si="14"/>
        <v>600750</v>
      </c>
      <c r="Z59" s="11"/>
    </row>
    <row r="60">
      <c r="A60" s="8"/>
      <c r="B60" s="56">
        <f t="shared" si="2"/>
        <v>8</v>
      </c>
      <c r="C60" s="57" t="s">
        <v>6</v>
      </c>
      <c r="D60" s="10" t="b">
        <f>IFERROR(__xludf.DUMMYFUNCTION("IF(COUNTA(C60:C1350)=0,"""",IF(ISBLANK(C60),FALSE,IF(NOT(COUNTIF($AA$24:$AA$34,SUBSTITUTE(C60,""Sell_"",""""))),1,IF(REGEXMATCH(C60,""Sell_""),IF(COUNTIF(C$4:C60,SUBSTITUTE(C60,""Sell_"",""""))-COUNTIF(C$4:C59,C60)&lt;1,1),FALSE))))"),FALSE)</f>
        <v>0</v>
      </c>
      <c r="E60" s="59">
        <f t="array" ref="E60">IF(COUNTA(C60:C1350)=0,"",SUM((COUNTIF(C$4:C60,Upgrades!$B$3:$B$13)-COUNTIF(C$4:C60,"Sell_"&amp;Upgrades!$B$3:$B$13))*Upgrades!$D$3:$D$13))</f>
        <v>2157.5</v>
      </c>
      <c r="F60" s="66">
        <f>IFERROR(__xludf.DUMMYFUNCTION("IF(COUNTA(C60:C1350)=0,"""",IF(REGEXMATCH(INDEX(FILTER(C$4:C60,C$4:C60&lt;&gt;""""),ROWS(FILTER(C$4:C60,C$4:C60&lt;&gt;""""))),""^Sell_""),INDEX(FILTER(F$4:F59,C$4:C59&lt;&gt;""""),ROWS(FILTER(C$4:C59,C$4:C59&lt;&gt;""""))),$AC$5+E60))"),2357.5)</f>
        <v>2357.5</v>
      </c>
      <c r="G60" s="10">
        <f>IFERROR(__xludf.DUMMYFUNCTION("IF(COUNTA(C60:C1350)=0,"""",IF(C60="""",0,IF(REGEXMATCH(C60,""^Sell_""),-ROUNDDOWN(ROUNDUP(INDEX(Upgrades!$C$3:$C$13,MATCH(SUBSTITUTE(C60,""Sell_"",""""),Upgrades!$B$3:$B$13,0))*1.15^(COUNTIF(C$4:C59,SUBSTITUTE(C60,""Sell_"",""""))-COUNTIF(C$4:C59,""Sell_"&amp;"""&amp;SUBSTITUTE(C60,""Sell_"",""""))))/2),ROUNDUP(INDEX(Upgrades!$C$3:$C$13,MATCH(C60,Upgrades!$B$3:$B$13,0))*1.15^(COUNTIF(C$4:C59,C60)-COUNTIF(C$4:C59,""Sell_""&amp;C60))))))"),7981.0)</f>
        <v>7981</v>
      </c>
      <c r="H60" s="10">
        <f t="shared" si="3"/>
        <v>7981</v>
      </c>
      <c r="I60" s="68">
        <f t="shared" si="4"/>
        <v>1229.902289</v>
      </c>
      <c r="J60" s="59" t="str">
        <f t="shared" si="5"/>
        <v>20m 29s</v>
      </c>
      <c r="K60" s="69">
        <f t="shared" si="6"/>
        <v>1161825</v>
      </c>
      <c r="L60" s="60">
        <f t="shared" si="7"/>
        <v>-4.6372</v>
      </c>
      <c r="M60" s="61">
        <f>IFERROR(__xludf.DUMMYFUNCTION("IFS(AND(COUNTA(C60:C1350)=0,COUNTA(Q60:Q1350)=0),"""",OR(AND(K60&gt;=1000000000,OR(Y60&gt;=1000000000,COUNTA(Q60:Q1350)=0)),OR(Y60&gt;=1000000000,AND(COUNTA(C60:C1350)=0,P$3=TRUE))),
ROUNDDOWN((AB$1-AC$1)*MAX(INDEX(T$4:T1350,MATCH(LARGE(FILTER(Y$4:Y1350,Y$4:Y1350&lt;"&amp;"1000000000),1),Y$4:Y1350)),INDEX(F$4:F1350,MATCH(LARGE(FILTER(K$4:K1350,K$4:K1350&lt;1000000000),1),K$4:K1350)))),AND(K60&lt;1000000000,COUNTA(C60:C1350)&gt;0,P$3=FALSE),
ROUNDDOWN(INDEX(Y$4:Y1350,MATCH(LARGE(FILTER(W$4:W1350,W$4:W1350&lt;=I60),1),W$4:W1350))+(I60-LA"&amp;"RGE(FILTER(W$4:W1350,W$4:W1350&lt;=I60),1))*INDEX(T$4:T1350,MATCH(LARGE(FILTER(W$4:W1350,W$4:W1350&lt;=I60),1),W$4:W1350))-K60),1,
ROUNDDOWN(Y60-INDEX(K$4:K1350,MATCH(LARGE(FILTER(I$4:I1350,I$4:I1350&lt;=W60),1),I$4:I1350))-(W60-LARGE(FILTER(I$4:I1350,I$4:I1350&lt;=W"&amp;"60),1))*INDEX(F$4:F1350,MATCH(LARGE(FILTER(I$4:I1350,I$4:I1350&lt;=W60),1),I$4:I1350))))"),9238.0)</f>
        <v>9238</v>
      </c>
      <c r="N60" s="60">
        <f t="shared" si="8"/>
        <v>-4.6372</v>
      </c>
      <c r="O60" s="61">
        <f t="shared" si="9"/>
        <v>9238</v>
      </c>
      <c r="P60" s="56">
        <f t="shared" si="10"/>
        <v>12</v>
      </c>
      <c r="Q60" s="67" t="s">
        <v>3</v>
      </c>
      <c r="R60" s="10" t="b">
        <f>IFERROR(__xludf.DUMMYFUNCTION("IF(COUNTA(Q60:Q1350)=0,"""",IF(ISBLANK(Q60),FALSE,IF(NOT(COUNTIF($AA$24:$AA$34,SUBSTITUTE(Q60,""Sell_"",""""))),1,IF(REGEXMATCH(Q60,""Sell_""),IF(COUNTIF(Q$4:Q60,SUBSTITUTE(Q60,""Sell_"",""""))-COUNTIF(Q$4:Q59,Q60)&lt;1,1),FALSE))))"),FALSE)</f>
        <v>0</v>
      </c>
      <c r="S60" s="59">
        <f t="array" ref="S60">IF(COUNTA(Q60:Q1350)=0,"",SUM((COUNTIF(Q$4:Q60,Upgrades!$B$3:$B$13)-COUNTIF(Q$4:Q60,"Sell_"&amp;Upgrades!$B$3:$B$13))*Upgrades!$D$3:$D$13))</f>
        <v>1247.7</v>
      </c>
      <c r="T60" s="66">
        <f>IFERROR(__xludf.DUMMYFUNCTION("IF(COUNTA(Q60:Q1350)=0,"""",IF(REGEXMATCH(INDEX(FILTER(Q$4:Q60,Q$4:Q60&lt;&gt;""""),ROWS(FILTER(Q$4:Q60,Q$4:Q60&lt;&gt;""""))),""^Sell_""),INDEX(FILTER(T$4:T59,Q$4:Q59&lt;&gt;""""),ROWS(FILTER(Q$4:Q59,Q$4:Q59&lt;&gt;""""))),$AD$5+S60))"),1447.7)</f>
        <v>1447.7</v>
      </c>
      <c r="U60" s="10">
        <f>IFERROR(__xludf.DUMMYFUNCTION("IF(COUNTA(Q60:Q1350)=0,"""",IF(Q60="""",0,IF(REGEXMATCH(Q60,""^Sell_""),-ROUNDDOWN(ROUNDUP(INDEX(Upgrades!$C$3:$C$13,MATCH(SUBSTITUTE(Q60,""Sell_"",""""),Upgrades!$B$3:$B$13,0))*1.15^(COUNTIF(Q$4:Q59,SUBSTITUTE(Q60,""Sell_"",""""))-COUNTIF(Q$4:Q59,""Sell_"&amp;"""&amp;SUBSTITUTE(Q60,""Sell_"",""""))))/2),ROUNDUP(INDEX(Upgrades!$C$3:$C$13,MATCH(Q60,Upgrades!$B$3:$B$13,0))*1.15^(COUNTIF(Q$4:Q59,Q60)-COUNTIF(Q$4:Q59,""Sell_""&amp;Q60))))))"),70.0)</f>
        <v>70</v>
      </c>
      <c r="V60" s="10">
        <f t="shared" si="11"/>
        <v>70</v>
      </c>
      <c r="W60" s="68">
        <f t="shared" si="12"/>
        <v>897.1446564</v>
      </c>
      <c r="X60" s="59" t="str">
        <f t="shared" si="13"/>
        <v>14m 57s</v>
      </c>
      <c r="Y60" s="69">
        <f t="shared" si="14"/>
        <v>600820</v>
      </c>
      <c r="Z60" s="11"/>
    </row>
    <row r="61">
      <c r="A61" s="8"/>
      <c r="B61" s="56">
        <f t="shared" si="2"/>
        <v>9</v>
      </c>
      <c r="C61" s="57" t="s">
        <v>7</v>
      </c>
      <c r="D61" s="10" t="b">
        <f>IFERROR(__xludf.DUMMYFUNCTION("IF(COUNTA(C61:C1350)=0,"""",IF(ISBLANK(C61),FALSE,IF(NOT(COUNTIF($AA$24:$AA$34,SUBSTITUTE(C61,""Sell_"",""""))),1,IF(REGEXMATCH(C61,""Sell_""),IF(COUNTIF(C$4:C61,SUBSTITUTE(C61,""Sell_"",""""))-COUNTIF(C$4:C60,C61)&lt;1,1),FALSE))))"),FALSE)</f>
        <v>0</v>
      </c>
      <c r="E61" s="59">
        <f t="array" ref="E61">IF(COUNTA(C61:C1350)=0,"",SUM((COUNTIF(C$4:C61,Upgrades!$B$3:$B$13)-COUNTIF(C$4:C61,"Sell_"&amp;Upgrades!$B$3:$B$13))*Upgrades!$D$3:$D$13))</f>
        <v>2197.5</v>
      </c>
      <c r="F61" s="66">
        <f>IFERROR(__xludf.DUMMYFUNCTION("IF(COUNTA(C61:C1350)=0,"""",IF(REGEXMATCH(INDEX(FILTER(C$4:C61,C$4:C61&lt;&gt;""""),ROWS(FILTER(C$4:C61,C$4:C61&lt;&gt;""""))),""^Sell_""),INDEX(FILTER(F$4:F60,C$4:C60&lt;&gt;""""),ROWS(FILTER(C$4:C60,C$4:C60&lt;&gt;""""))),$AC$5+E61))"),2397.5)</f>
        <v>2397.5</v>
      </c>
      <c r="G61" s="10">
        <f>IFERROR(__xludf.DUMMYFUNCTION("IF(COUNTA(C61:C1350)=0,"""",IF(C61="""",0,IF(REGEXMATCH(C61,""^Sell_""),-ROUNDDOWN(ROUNDUP(INDEX(Upgrades!$C$3:$C$13,MATCH(SUBSTITUTE(C61,""Sell_"",""""),Upgrades!$B$3:$B$13,0))*1.15^(COUNTIF(C$4:C60,SUBSTITUTE(C61,""Sell_"",""""))-COUNTIF(C$4:C60,""Sell_"&amp;"""&amp;SUBSTITUTE(C61,""Sell_"",""""))))/2),ROUNDUP(INDEX(Upgrades!$C$3:$C$13,MATCH(C61,Upgrades!$B$3:$B$13,0))*1.15^(COUNTIF(C$4:C60,C61)-COUNTIF(C$4:C60,""Sell_""&amp;C61))))))"),30591.0)</f>
        <v>30591</v>
      </c>
      <c r="H61" s="10">
        <f t="shared" si="3"/>
        <v>30591</v>
      </c>
      <c r="I61" s="68">
        <f t="shared" si="4"/>
        <v>1242.878323</v>
      </c>
      <c r="J61" s="59" t="str">
        <f t="shared" si="5"/>
        <v>20m 42s</v>
      </c>
      <c r="K61" s="69">
        <f t="shared" si="6"/>
        <v>1192416</v>
      </c>
      <c r="L61" s="60">
        <f t="shared" si="7"/>
        <v>-2.25785</v>
      </c>
      <c r="M61" s="61">
        <f>IFERROR(__xludf.DUMMYFUNCTION("IFS(AND(COUNTA(C61:C1350)=0,COUNTA(Q61:Q1350)=0),"""",OR(AND(K61&gt;=1000000000,OR(Y61&gt;=1000000000,COUNTA(Q61:Q1350)=0)),OR(Y61&gt;=1000000000,AND(COUNTA(C61:C1350)=0,P$3=TRUE))),
ROUNDDOWN((AB$1-AC$1)*MAX(INDEX(T$4:T1350,MATCH(LARGE(FILTER(Y$4:Y1350,Y$4:Y1350&lt;"&amp;"1000000000),1),Y$4:Y1350)),INDEX(F$4:F1350,MATCH(LARGE(FILTER(K$4:K1350,K$4:K1350&lt;1000000000),1),K$4:K1350)))),AND(K61&lt;1000000000,COUNTA(C61:C1350)&gt;0,P$3=FALSE),
ROUNDDOWN(INDEX(Y$4:Y1350,MATCH(LARGE(FILTER(W$4:W1350,W$4:W1350&lt;=I61),1),W$4:W1350))+(I61-LA"&amp;"RGE(FILTER(W$4:W1350,W$4:W1350&lt;=I61),1))*INDEX(T$4:T1350,MATCH(LARGE(FILTER(W$4:W1350,W$4:W1350&lt;=I61),1),W$4:W1350))-K61),1,
ROUNDDOWN(Y61-INDEX(K$4:K1350,MATCH(LARGE(FILTER(I$4:I1350,I$4:I1350&lt;=W61),1),I$4:I1350))-(W61-LARGE(FILTER(I$4:I1350,I$4:I1350&lt;=W"&amp;"61),1))*INDEX(F$4:F1350,MATCH(LARGE(FILTER(I$4:I1350,I$4:I1350&lt;=W61),1),I$4:I1350))))"),4498.0)</f>
        <v>4498</v>
      </c>
      <c r="N61" s="60">
        <f t="shared" si="8"/>
        <v>-2.25785</v>
      </c>
      <c r="O61" s="61">
        <f t="shared" si="9"/>
        <v>4498</v>
      </c>
      <c r="P61" s="56">
        <f t="shared" si="10"/>
        <v>10</v>
      </c>
      <c r="Q61" s="67" t="s">
        <v>4</v>
      </c>
      <c r="R61" s="10" t="b">
        <f>IFERROR(__xludf.DUMMYFUNCTION("IF(COUNTA(Q61:Q1350)=0,"""",IF(ISBLANK(Q61),FALSE,IF(NOT(COUNTIF($AA$24:$AA$34,SUBSTITUTE(Q61,""Sell_"",""""))),1,IF(REGEXMATCH(Q61,""Sell_""),IF(COUNTIF(Q$4:Q61,SUBSTITUTE(Q61,""Sell_"",""""))-COUNTIF(Q$4:Q60,Q61)&lt;1,1),FALSE))))"),FALSE)</f>
        <v>0</v>
      </c>
      <c r="S61" s="59">
        <f t="array" ref="S61">IF(COUNTA(Q61:Q1350)=0,"",SUM((COUNTIF(Q$4:Q61,Upgrades!$B$3:$B$13)-COUNTIF(Q$4:Q61,"Sell_"&amp;Upgrades!$B$3:$B$13))*Upgrades!$D$3:$D$13))</f>
        <v>1248.2</v>
      </c>
      <c r="T61" s="66">
        <f>IFERROR(__xludf.DUMMYFUNCTION("IF(COUNTA(Q61:Q1350)=0,"""",IF(REGEXMATCH(INDEX(FILTER(Q$4:Q61,Q$4:Q61&lt;&gt;""""),ROWS(FILTER(Q$4:Q61,Q$4:Q61&lt;&gt;""""))),""^Sell_""),INDEX(FILTER(T$4:T60,Q$4:Q60&lt;&gt;""""),ROWS(FILTER(Q$4:Q60,Q$4:Q60&lt;&gt;""""))),$AD$5+S61))"),1448.2)</f>
        <v>1448.2</v>
      </c>
      <c r="U61" s="10">
        <f>IFERROR(__xludf.DUMMYFUNCTION("IF(COUNTA(Q61:Q1350)=0,"""",IF(Q61="""",0,IF(REGEXMATCH(Q61,""^Sell_""),-ROUNDDOWN(ROUNDUP(INDEX(Upgrades!$C$3:$C$13,MATCH(SUBSTITUTE(Q61,""Sell_"",""""),Upgrades!$B$3:$B$13,0))*1.15^(COUNTIF(Q$4:Q60,SUBSTITUTE(Q61,""Sell_"",""""))-COUNTIF(Q$4:Q60,""Sell_"&amp;"""&amp;SUBSTITUTE(Q61,""Sell_"",""""))))/2),ROUNDUP(INDEX(Upgrades!$C$3:$C$13,MATCH(Q61,Upgrades!$B$3:$B$13,0))*1.15^(COUNTIF(Q$4:Q60,Q61)-COUNTIF(Q$4:Q60,""Sell_""&amp;Q61))))))"),352.0)</f>
        <v>352</v>
      </c>
      <c r="V61" s="10">
        <f t="shared" si="11"/>
        <v>352</v>
      </c>
      <c r="W61" s="68">
        <f t="shared" si="12"/>
        <v>897.3878007</v>
      </c>
      <c r="X61" s="59" t="str">
        <f t="shared" si="13"/>
        <v>14m 57s</v>
      </c>
      <c r="Y61" s="69">
        <f t="shared" si="14"/>
        <v>601172</v>
      </c>
      <c r="Z61" s="11"/>
    </row>
    <row r="62">
      <c r="A62" s="8"/>
      <c r="B62" s="56">
        <f t="shared" si="2"/>
        <v>14</v>
      </c>
      <c r="C62" s="57" t="s">
        <v>5</v>
      </c>
      <c r="D62" s="10" t="b">
        <f>IFERROR(__xludf.DUMMYFUNCTION("IF(COUNTA(C62:C1350)=0,"""",IF(ISBLANK(C62),FALSE,IF(NOT(COUNTIF($AA$24:$AA$34,SUBSTITUTE(C62,""Sell_"",""""))),1,IF(REGEXMATCH(C62,""Sell_""),IF(COUNTIF(C$4:C62,SUBSTITUTE(C62,""Sell_"",""""))-COUNTIF(C$4:C61,C62)&lt;1,1),FALSE))))"),FALSE)</f>
        <v>0</v>
      </c>
      <c r="E62" s="59">
        <f t="array" ref="E62">IF(COUNTA(C62:C1350)=0,"",SUM((COUNTIF(C$4:C62,Upgrades!$B$3:$B$13)-COUNTIF(C$4:C62,"Sell_"&amp;Upgrades!$B$3:$B$13))*Upgrades!$D$3:$D$13))</f>
        <v>2201.5</v>
      </c>
      <c r="F62" s="66">
        <f>IFERROR(__xludf.DUMMYFUNCTION("IF(COUNTA(C62:C1350)=0,"""",IF(REGEXMATCH(INDEX(FILTER(C$4:C62,C$4:C62&lt;&gt;""""),ROWS(FILTER(C$4:C62,C$4:C62&lt;&gt;""""))),""^Sell_""),INDEX(FILTER(F$4:F61,C$4:C61&lt;&gt;""""),ROWS(FILTER(C$4:C61,C$4:C61&lt;&gt;""""))),$AC$5+E62))"),2401.5)</f>
        <v>2401.5</v>
      </c>
      <c r="G62" s="10">
        <f>IFERROR(__xludf.DUMMYFUNCTION("IF(COUNTA(C62:C1350)=0,"""",IF(C62="""",0,IF(REGEXMATCH(C62,""^Sell_""),-ROUNDDOWN(ROUNDUP(INDEX(Upgrades!$C$3:$C$13,MATCH(SUBSTITUTE(C62,""Sell_"",""""),Upgrades!$B$3:$B$13,0))*1.15^(COUNTIF(C$4:C61,SUBSTITUTE(C62,""Sell_"",""""))-COUNTIF(C$4:C61,""Sell_"&amp;"""&amp;SUBSTITUTE(C62,""Sell_"",""""))))/2),ROUNDUP(INDEX(Upgrades!$C$3:$C$13,MATCH(C62,Upgrades!$B$3:$B$13,0))*1.15^(COUNTIF(C$4:C61,C62)-COUNTIF(C$4:C61,""Sell_""&amp;C62))))))"),3077.0)</f>
        <v>3077</v>
      </c>
      <c r="H62" s="10">
        <f t="shared" si="3"/>
        <v>3077</v>
      </c>
      <c r="I62" s="68">
        <f t="shared" si="4"/>
        <v>1244.161743</v>
      </c>
      <c r="J62" s="59" t="str">
        <f t="shared" si="5"/>
        <v>20m 44s</v>
      </c>
      <c r="K62" s="69">
        <f t="shared" si="6"/>
        <v>1195493</v>
      </c>
      <c r="L62" s="60">
        <f t="shared" si="7"/>
        <v>-1.99675</v>
      </c>
      <c r="M62" s="61">
        <f>IFERROR(__xludf.DUMMYFUNCTION("IFS(AND(COUNTA(C62:C1350)=0,COUNTA(Q62:Q1350)=0),"""",OR(AND(K62&gt;=1000000000,OR(Y62&gt;=1000000000,COUNTA(Q62:Q1350)=0)),OR(Y62&gt;=1000000000,AND(COUNTA(C62:C1350)=0,P$3=TRUE))),
ROUNDDOWN((AB$1-AC$1)*MAX(INDEX(T$4:T1350,MATCH(LARGE(FILTER(Y$4:Y1350,Y$4:Y1350&lt;"&amp;"1000000000),1),Y$4:Y1350)),INDEX(F$4:F1350,MATCH(LARGE(FILTER(K$4:K1350,K$4:K1350&lt;1000000000),1),K$4:K1350)))),AND(K62&lt;1000000000,COUNTA(C62:C1350)&gt;0,P$3=FALSE),
ROUNDDOWN(INDEX(Y$4:Y1350,MATCH(LARGE(FILTER(W$4:W1350,W$4:W1350&lt;=I62),1),W$4:W1350))+(I62-LA"&amp;"RGE(FILTER(W$4:W1350,W$4:W1350&lt;=I62),1))*INDEX(T$4:T1350,MATCH(LARGE(FILTER(W$4:W1350,W$4:W1350&lt;=I62),1),W$4:W1350))-K62),1,
ROUNDDOWN(Y62-INDEX(K$4:K1350,MATCH(LARGE(FILTER(I$4:I1350,I$4:I1350&lt;=W62),1),I$4:I1350))-(W62-LARGE(FILTER(I$4:I1350,I$4:I1350&lt;=W"&amp;"62),1))*INDEX(F$4:F1350,MATCH(LARGE(FILTER(I$4:I1350,I$4:I1350&lt;=W62),1),I$4:I1350))))"),4012.0)</f>
        <v>4012</v>
      </c>
      <c r="N62" s="60">
        <f t="shared" si="8"/>
        <v>-1.99675</v>
      </c>
      <c r="O62" s="61">
        <f t="shared" si="9"/>
        <v>4012</v>
      </c>
      <c r="P62" s="56">
        <f t="shared" si="10"/>
        <v>2</v>
      </c>
      <c r="Q62" s="67" t="s">
        <v>9</v>
      </c>
      <c r="R62" s="10" t="b">
        <f>IFERROR(__xludf.DUMMYFUNCTION("IF(COUNTA(Q62:Q1350)=0,"""",IF(ISBLANK(Q62),FALSE,IF(NOT(COUNTIF($AA$24:$AA$34,SUBSTITUTE(Q62,""Sell_"",""""))),1,IF(REGEXMATCH(Q62,""Sell_""),IF(COUNTIF(Q$4:Q62,SUBSTITUTE(Q62,""Sell_"",""""))-COUNTIF(Q$4:Q61,Q62)&lt;1,1),FALSE))))"),FALSE)</f>
        <v>0</v>
      </c>
      <c r="S62" s="59">
        <f t="array" ref="S62">IF(COUNTA(Q62:Q1350)=0,"",SUM((COUNTIF(Q$4:Q62,Upgrades!$B$3:$B$13)-COUNTIF(Q$4:Q62,"Sell_"&amp;Upgrades!$B$3:$B$13))*Upgrades!$D$3:$D$13))</f>
        <v>1648.2</v>
      </c>
      <c r="T62" s="66">
        <f>IFERROR(__xludf.DUMMYFUNCTION("IF(COUNTA(Q62:Q1350)=0,"""",IF(REGEXMATCH(INDEX(FILTER(Q$4:Q62,Q$4:Q62&lt;&gt;""""),ROWS(FILTER(Q$4:Q62,Q$4:Q62&lt;&gt;""""))),""^Sell_""),INDEX(FILTER(T$4:T61,Q$4:Q61&lt;&gt;""""),ROWS(FILTER(Q$4:Q61,Q$4:Q61&lt;&gt;""""))),$AD$5+S62))"),1848.2)</f>
        <v>1848.2</v>
      </c>
      <c r="U62" s="10">
        <f>IFERROR(__xludf.DUMMYFUNCTION("IF(COUNTA(Q62:Q1350)=0,"""",IF(Q62="""",0,IF(REGEXMATCH(Q62,""^Sell_""),-ROUNDDOWN(ROUNDUP(INDEX(Upgrades!$C$3:$C$13,MATCH(SUBSTITUTE(Q62,""Sell_"",""""),Upgrades!$B$3:$B$13,0))*1.15^(COUNTIF(Q$4:Q61,SUBSTITUTE(Q62,""Sell_"",""""))-COUNTIF(Q$4:Q61,""Sell_"&amp;"""&amp;SUBSTITUTE(Q62,""Sell_"",""""))))/2),ROUNDUP(INDEX(Upgrades!$C$3:$C$13,MATCH(Q62,Upgrades!$B$3:$B$13,0))*1.15^(COUNTIF(Q$4:Q61,Q62)-COUNTIF(Q$4:Q61,""Sell_""&amp;Q62))))))"),230000.0)</f>
        <v>230000</v>
      </c>
      <c r="V62" s="10">
        <f t="shared" si="11"/>
        <v>230000</v>
      </c>
      <c r="W62" s="68">
        <f t="shared" si="12"/>
        <v>1056.205644</v>
      </c>
      <c r="X62" s="59" t="str">
        <f t="shared" si="13"/>
        <v>17m 36s</v>
      </c>
      <c r="Y62" s="69">
        <f t="shared" si="14"/>
        <v>831172</v>
      </c>
      <c r="Z62" s="11"/>
    </row>
    <row r="63">
      <c r="A63" s="8"/>
      <c r="B63" s="56">
        <f t="shared" si="2"/>
        <v>4</v>
      </c>
      <c r="C63" s="57" t="s">
        <v>9</v>
      </c>
      <c r="D63" s="10" t="b">
        <f>IFERROR(__xludf.DUMMYFUNCTION("IF(COUNTA(C63:C1350)=0,"""",IF(ISBLANK(C63),FALSE,IF(NOT(COUNTIF($AA$24:$AA$34,SUBSTITUTE(C63,""Sell_"",""""))),1,IF(REGEXMATCH(C63,""Sell_""),IF(COUNTIF(C$4:C63,SUBSTITUTE(C63,""Sell_"",""""))-COUNTIF(C$4:C62,C63)&lt;1,1),FALSE))))"),FALSE)</f>
        <v>0</v>
      </c>
      <c r="E63" s="59">
        <f t="array" ref="E63">IF(COUNTA(C63:C1350)=0,"",SUM((COUNTIF(C$4:C63,Upgrades!$B$3:$B$13)-COUNTIF(C$4:C63,"Sell_"&amp;Upgrades!$B$3:$B$13))*Upgrades!$D$3:$D$13))</f>
        <v>2601.5</v>
      </c>
      <c r="F63" s="66">
        <f>IFERROR(__xludf.DUMMYFUNCTION("IF(COUNTA(C63:C1350)=0,"""",IF(REGEXMATCH(INDEX(FILTER(C$4:C63,C$4:C63&lt;&gt;""""),ROWS(FILTER(C$4:C63,C$4:C63&lt;&gt;""""))),""^Sell_""),INDEX(FILTER(F$4:F62,C$4:C62&lt;&gt;""""),ROWS(FILTER(C$4:C62,C$4:C62&lt;&gt;""""))),$AC$5+E63))"),2801.5)</f>
        <v>2801.5</v>
      </c>
      <c r="G63" s="10">
        <f>IFERROR(__xludf.DUMMYFUNCTION("IF(COUNTA(C63:C1350)=0,"""",IF(C63="""",0,IF(REGEXMATCH(C63,""^Sell_""),-ROUNDDOWN(ROUNDUP(INDEX(Upgrades!$C$3:$C$13,MATCH(SUBSTITUTE(C63,""Sell_"",""""),Upgrades!$B$3:$B$13,0))*1.15^(COUNTIF(C$4:C62,SUBSTITUTE(C63,""Sell_"",""""))-COUNTIF(C$4:C62,""Sell_"&amp;"""&amp;SUBSTITUTE(C63,""Sell_"",""""))))/2),ROUNDUP(INDEX(Upgrades!$C$3:$C$13,MATCH(C63,Upgrades!$B$3:$B$13,0))*1.15^(COUNTIF(C$4:C62,C63)-COUNTIF(C$4:C62,""Sell_""&amp;C63))))))"),304175.0)</f>
        <v>304175</v>
      </c>
      <c r="H63" s="10">
        <f t="shared" si="3"/>
        <v>304175</v>
      </c>
      <c r="I63" s="68">
        <f t="shared" si="4"/>
        <v>1370.822163</v>
      </c>
      <c r="J63" s="59" t="str">
        <f t="shared" si="5"/>
        <v>22m 50s</v>
      </c>
      <c r="K63" s="69">
        <f t="shared" si="6"/>
        <v>1499668</v>
      </c>
      <c r="L63" s="60">
        <f t="shared" si="7"/>
        <v>-5.23992</v>
      </c>
      <c r="M63" s="61">
        <f>IFERROR(__xludf.DUMMYFUNCTION("IFS(AND(COUNTA(C63:C1350)=0,COUNTA(Q63:Q1350)=0),"""",OR(AND(K63&gt;=1000000000,OR(Y63&gt;=1000000000,COUNTA(Q63:Q1350)=0)),OR(Y63&gt;=1000000000,AND(COUNTA(C63:C1350)=0,P$3=TRUE))),
ROUNDDOWN((AB$1-AC$1)*MAX(INDEX(T$4:T1350,MATCH(LARGE(FILTER(Y$4:Y1350,Y$4:Y1350&lt;"&amp;"1000000000),1),Y$4:Y1350)),INDEX(F$4:F1350,MATCH(LARGE(FILTER(K$4:K1350,K$4:K1350&lt;1000000000),1),K$4:K1350)))),AND(K63&lt;1000000000,COUNTA(C63:C1350)&gt;0,P$3=FALSE),
ROUNDDOWN(INDEX(Y$4:Y1350,MATCH(LARGE(FILTER(W$4:W1350,W$4:W1350&lt;=I63),1),W$4:W1350))+(I63-LA"&amp;"RGE(FILTER(W$4:W1350,W$4:W1350&lt;=I63),1))*INDEX(T$4:T1350,MATCH(LARGE(FILTER(W$4:W1350,W$4:W1350&lt;=I63),1),W$4:W1350))-K63),1,
ROUNDDOWN(Y63-INDEX(K$4:K1350,MATCH(LARGE(FILTER(I$4:I1350,I$4:I1350&lt;=W63),1),I$4:I1350))-(W63-LARGE(FILTER(I$4:I1350,I$4:I1350&lt;=W"&amp;"63),1))*INDEX(F$4:F1350,MATCH(LARGE(FILTER(I$4:I1350,I$4:I1350&lt;=W63),1),I$4:I1350))))"),13114.0)</f>
        <v>13114</v>
      </c>
      <c r="N63" s="60">
        <f t="shared" si="8"/>
        <v>-5.23992</v>
      </c>
      <c r="O63" s="61">
        <f t="shared" si="9"/>
        <v>13114</v>
      </c>
      <c r="P63" s="56">
        <f t="shared" si="10"/>
        <v>5</v>
      </c>
      <c r="Q63" s="67" t="s">
        <v>8</v>
      </c>
      <c r="R63" s="10" t="b">
        <f>IFERROR(__xludf.DUMMYFUNCTION("IF(COUNTA(Q63:Q1350)=0,"""",IF(ISBLANK(Q63),FALSE,IF(NOT(COUNTIF($AA$24:$AA$34,SUBSTITUTE(Q63,""Sell_"",""""))),1,IF(REGEXMATCH(Q63,""Sell_""),IF(COUNTIF(Q$4:Q63,SUBSTITUTE(Q63,""Sell_"",""""))-COUNTIF(Q$4:Q62,Q63)&lt;1,1),FALSE))))"),FALSE)</f>
        <v>0</v>
      </c>
      <c r="S63" s="59">
        <f t="array" ref="S63">IF(COUNTA(Q63:Q1350)=0,"",SUM((COUNTIF(Q$4:Q63,Upgrades!$B$3:$B$13)-COUNTIF(Q$4:Q63,"Sell_"&amp;Upgrades!$B$3:$B$13))*Upgrades!$D$3:$D$13))</f>
        <v>1748.2</v>
      </c>
      <c r="T63" s="66">
        <f>IFERROR(__xludf.DUMMYFUNCTION("IF(COUNTA(Q63:Q1350)=0,"""",IF(REGEXMATCH(INDEX(FILTER(Q$4:Q63,Q$4:Q63&lt;&gt;""""),ROWS(FILTER(Q$4:Q63,Q$4:Q63&lt;&gt;""""))),""^Sell_""),INDEX(FILTER(T$4:T62,Q$4:Q62&lt;&gt;""""),ROWS(FILTER(Q$4:Q62,Q$4:Q62&lt;&gt;""""))),$AD$5+S63))"),1948.2)</f>
        <v>1948.2</v>
      </c>
      <c r="U63" s="10">
        <f>IFERROR(__xludf.DUMMYFUNCTION("IF(COUNTA(Q63:Q1350)=0,"""",IF(Q63="""",0,IF(REGEXMATCH(Q63,""^Sell_""),-ROUNDDOWN(ROUNDUP(INDEX(Upgrades!$C$3:$C$13,MATCH(SUBSTITUTE(Q63,""Sell_"",""""),Upgrades!$B$3:$B$13,0))*1.15^(COUNTIF(Q$4:Q62,SUBSTITUTE(Q63,""Sell_"",""""))-COUNTIF(Q$4:Q62,""Sell_"&amp;"""&amp;SUBSTITUTE(Q63,""Sell_"",""""))))/2),ROUNDUP(INDEX(Upgrades!$C$3:$C$13,MATCH(Q63,Upgrades!$B$3:$B$13,0))*1.15^(COUNTIF(Q$4:Q62,Q63)-COUNTIF(Q$4:Q62,""Sell_""&amp;Q63))))))"),69961.0)</f>
        <v>69961</v>
      </c>
      <c r="V63" s="10">
        <f t="shared" si="11"/>
        <v>69961</v>
      </c>
      <c r="W63" s="68">
        <f t="shared" si="12"/>
        <v>1094.059231</v>
      </c>
      <c r="X63" s="59" t="str">
        <f t="shared" si="13"/>
        <v>18m 14s</v>
      </c>
      <c r="Y63" s="69">
        <f t="shared" si="14"/>
        <v>901133</v>
      </c>
      <c r="Z63" s="11"/>
    </row>
    <row r="64">
      <c r="A64" s="8"/>
      <c r="B64" s="56">
        <f t="shared" si="2"/>
        <v>1</v>
      </c>
      <c r="C64" s="57" t="s">
        <v>10</v>
      </c>
      <c r="D64" s="10" t="b">
        <f>IFERROR(__xludf.DUMMYFUNCTION("IF(COUNTA(C64:C1350)=0,"""",IF(ISBLANK(C64),FALSE,IF(NOT(COUNTIF($AA$24:$AA$34,SUBSTITUTE(C64,""Sell_"",""""))),1,IF(REGEXMATCH(C64,""Sell_""),IF(COUNTIF(C$4:C64,SUBSTITUTE(C64,""Sell_"",""""))-COUNTIF(C$4:C63,C64)&lt;1,1),FALSE))))"),FALSE)</f>
        <v>0</v>
      </c>
      <c r="E64" s="59">
        <f t="array" ref="E64">IF(COUNTA(C64:C1350)=0,"",SUM((COUNTIF(C$4:C64,Upgrades!$B$3:$B$13)-COUNTIF(C$4:C64,"Sell_"&amp;Upgrades!$B$3:$B$13))*Upgrades!$D$3:$D$13))</f>
        <v>9267.5</v>
      </c>
      <c r="F64" s="66">
        <f>IFERROR(__xludf.DUMMYFUNCTION("IF(COUNTA(C64:C1350)=0,"""",IF(REGEXMATCH(INDEX(FILTER(C$4:C64,C$4:C64&lt;&gt;""""),ROWS(FILTER(C$4:C64,C$4:C64&lt;&gt;""""))),""^Sell_""),INDEX(FILTER(F$4:F63,C$4:C63&lt;&gt;""""),ROWS(FILTER(C$4:C63,C$4:C63&lt;&gt;""""))),$AC$5+E64))"),9467.5)</f>
        <v>9467.5</v>
      </c>
      <c r="G64" s="10">
        <f>IFERROR(__xludf.DUMMYFUNCTION("IF(COUNTA(C64:C1350)=0,"""",IF(C64="""",0,IF(REGEXMATCH(C64,""^Sell_""),-ROUNDDOWN(ROUNDUP(INDEX(Upgrades!$C$3:$C$13,MATCH(SUBSTITUTE(C64,""Sell_"",""""),Upgrades!$B$3:$B$13,0))*1.15^(COUNTIF(C$4:C63,SUBSTITUTE(C64,""Sell_"",""""))-COUNTIF(C$4:C63,""Sell_"&amp;"""&amp;SUBSTITUTE(C64,""Sell_"",""""))))/2),ROUNDUP(INDEX(Upgrades!$C$3:$C$13,MATCH(C64,Upgrades!$B$3:$B$13,0))*1.15^(COUNTIF(C$4:C63,C64)-COUNTIF(C$4:C63,""Sell_""&amp;C64))))))"),1666666.0)</f>
        <v>1666666</v>
      </c>
      <c r="H64" s="10">
        <f t="shared" si="3"/>
        <v>1666666</v>
      </c>
      <c r="I64" s="68">
        <f t="shared" si="4"/>
        <v>1965.741314</v>
      </c>
      <c r="J64" s="59" t="str">
        <f t="shared" si="5"/>
        <v>32m 45s</v>
      </c>
      <c r="K64" s="69">
        <f t="shared" si="6"/>
        <v>3166334</v>
      </c>
      <c r="L64" s="60">
        <f t="shared" si="7"/>
        <v>-178.20808</v>
      </c>
      <c r="M64" s="61">
        <f>IFERROR(__xludf.DUMMYFUNCTION("IFS(AND(COUNTA(C64:C1350)=0,COUNTA(Q64:Q1350)=0),"""",OR(AND(K64&gt;=1000000000,OR(Y64&gt;=1000000000,COUNTA(Q64:Q1350)=0)),OR(Y64&gt;=1000000000,AND(COUNTA(C64:C1350)=0,P$3=TRUE))),
ROUNDDOWN((AB$1-AC$1)*MAX(INDEX(T$4:T1350,MATCH(LARGE(FILTER(Y$4:Y1350,Y$4:Y1350&lt;"&amp;"1000000000),1),Y$4:Y1350)),INDEX(F$4:F1350,MATCH(LARGE(FILTER(K$4:K1350,K$4:K1350&lt;1000000000),1),K$4:K1350)))),AND(K64&lt;1000000000,COUNTA(C64:C1350)&gt;0,P$3=FALSE),
ROUNDDOWN(INDEX(Y$4:Y1350,MATCH(LARGE(FILTER(W$4:W1350,W$4:W1350&lt;=I64),1),W$4:W1350))+(I64-LA"&amp;"RGE(FILTER(W$4:W1350,W$4:W1350&lt;=I64),1))*INDEX(T$4:T1350,MATCH(LARGE(FILTER(W$4:W1350,W$4:W1350&lt;=I64),1),W$4:W1350))-K64),1,
ROUNDDOWN(Y64-INDEX(K$4:K1350,MATCH(LARGE(FILTER(I$4:I1350,I$4:I1350&lt;=W64),1),I$4:I1350))-(W64-LARGE(FILTER(I$4:I1350,I$4:I1350&lt;=W"&amp;"64),1))*INDEX(F$4:F1350,MATCH(LARGE(FILTER(I$4:I1350,I$4:I1350&lt;=W64),1),I$4:I1350))))"),1580288.0)</f>
        <v>1580288</v>
      </c>
      <c r="N64" s="60">
        <f t="shared" si="8"/>
        <v>-178.20808</v>
      </c>
      <c r="O64" s="61" t="str">
        <f t="shared" si="9"/>
        <v>1,6M</v>
      </c>
      <c r="P64" s="56">
        <f t="shared" si="10"/>
        <v>14</v>
      </c>
      <c r="Q64" s="67" t="s">
        <v>5</v>
      </c>
      <c r="R64" s="10" t="b">
        <f>IFERROR(__xludf.DUMMYFUNCTION("IF(COUNTA(Q64:Q1350)=0,"""",IF(ISBLANK(Q64),FALSE,IF(NOT(COUNTIF($AA$24:$AA$34,SUBSTITUTE(Q64,""Sell_"",""""))),1,IF(REGEXMATCH(Q64,""Sell_""),IF(COUNTIF(Q$4:Q64,SUBSTITUTE(Q64,""Sell_"",""""))-COUNTIF(Q$4:Q63,Q64)&lt;1,1),FALSE))))"),FALSE)</f>
        <v>0</v>
      </c>
      <c r="S64" s="59">
        <f t="array" ref="S64">IF(COUNTA(Q64:Q1350)=0,"",SUM((COUNTIF(Q$4:Q64,Upgrades!$B$3:$B$13)-COUNTIF(Q$4:Q64,"Sell_"&amp;Upgrades!$B$3:$B$13))*Upgrades!$D$3:$D$13))</f>
        <v>1752.2</v>
      </c>
      <c r="T64" s="66">
        <f>IFERROR(__xludf.DUMMYFUNCTION("IF(COUNTA(Q64:Q1350)=0,"""",IF(REGEXMATCH(INDEX(FILTER(Q$4:Q64,Q$4:Q64&lt;&gt;""""),ROWS(FILTER(Q$4:Q64,Q$4:Q64&lt;&gt;""""))),""^Sell_""),INDEX(FILTER(T$4:T63,Q$4:Q63&lt;&gt;""""),ROWS(FILTER(Q$4:Q63,Q$4:Q63&lt;&gt;""""))),$AD$5+S64))"),1952.2)</f>
        <v>1952.2</v>
      </c>
      <c r="U64" s="10">
        <f>IFERROR(__xludf.DUMMYFUNCTION("IF(COUNTA(Q64:Q1350)=0,"""",IF(Q64="""",0,IF(REGEXMATCH(Q64,""^Sell_""),-ROUNDDOWN(ROUNDUP(INDEX(Upgrades!$C$3:$C$13,MATCH(SUBSTITUTE(Q64,""Sell_"",""""),Upgrades!$B$3:$B$13,0))*1.15^(COUNTIF(Q$4:Q63,SUBSTITUTE(Q64,""Sell_"",""""))-COUNTIF(Q$4:Q63,""Sell_"&amp;"""&amp;SUBSTITUTE(Q64,""Sell_"",""""))))/2),ROUNDUP(INDEX(Upgrades!$C$3:$C$13,MATCH(Q64,Upgrades!$B$3:$B$13,0))*1.15^(COUNTIF(Q$4:Q63,Q64)-COUNTIF(Q$4:Q63,""Sell_""&amp;Q64))))))"),3077.0)</f>
        <v>3077</v>
      </c>
      <c r="V64" s="10">
        <f t="shared" si="11"/>
        <v>3077</v>
      </c>
      <c r="W64" s="68">
        <f t="shared" si="12"/>
        <v>1095.638637</v>
      </c>
      <c r="X64" s="59" t="str">
        <f t="shared" si="13"/>
        <v>18m 15s</v>
      </c>
      <c r="Y64" s="69">
        <f t="shared" si="14"/>
        <v>904210</v>
      </c>
      <c r="Z64" s="11"/>
    </row>
    <row r="65">
      <c r="A65" s="8"/>
      <c r="B65" s="56">
        <f t="shared" si="2"/>
        <v>2</v>
      </c>
      <c r="C65" s="57" t="s">
        <v>10</v>
      </c>
      <c r="D65" s="10" t="b">
        <f>IFERROR(__xludf.DUMMYFUNCTION("IF(COUNTA(C65:C1350)=0,"""",IF(ISBLANK(C65),FALSE,IF(NOT(COUNTIF($AA$24:$AA$34,SUBSTITUTE(C65,""Sell_"",""""))),1,IF(REGEXMATCH(C65,""Sell_""),IF(COUNTIF(C$4:C65,SUBSTITUTE(C65,""Sell_"",""""))-COUNTIF(C$4:C64,C65)&lt;1,1),FALSE))))"),FALSE)</f>
        <v>0</v>
      </c>
      <c r="E65" s="59">
        <f t="array" ref="E65">IF(COUNTA(C65:C1350)=0,"",SUM((COUNTIF(C$4:C65,Upgrades!$B$3:$B$13)-COUNTIF(C$4:C65,"Sell_"&amp;Upgrades!$B$3:$B$13))*Upgrades!$D$3:$D$13))</f>
        <v>15933.5</v>
      </c>
      <c r="F65" s="66">
        <f>IFERROR(__xludf.DUMMYFUNCTION("IF(COUNTA(C65:C1350)=0,"""",IF(REGEXMATCH(INDEX(FILTER(C$4:C65,C$4:C65&lt;&gt;""""),ROWS(FILTER(C$4:C65,C$4:C65&lt;&gt;""""))),""^Sell_""),INDEX(FILTER(F$4:F64,C$4:C64&lt;&gt;""""),ROWS(FILTER(C$4:C64,C$4:C64&lt;&gt;""""))),$AC$5+E65))"),16133.5)</f>
        <v>16133.5</v>
      </c>
      <c r="G65" s="10">
        <f>IFERROR(__xludf.DUMMYFUNCTION("IF(COUNTA(C65:C1350)=0,"""",IF(C65="""",0,IF(REGEXMATCH(C65,""^Sell_""),-ROUNDDOWN(ROUNDUP(INDEX(Upgrades!$C$3:$C$13,MATCH(SUBSTITUTE(C65,""Sell_"",""""),Upgrades!$B$3:$B$13,0))*1.15^(COUNTIF(C$4:C64,SUBSTITUTE(C65,""Sell_"",""""))-COUNTIF(C$4:C64,""Sell_"&amp;"""&amp;SUBSTITUTE(C65,""Sell_"",""""))))/2),ROUNDUP(INDEX(Upgrades!$C$3:$C$13,MATCH(C65,Upgrades!$B$3:$B$13,0))*1.15^(COUNTIF(C$4:C64,C65)-COUNTIF(C$4:C64,""Sell_""&amp;C65))))))"),1916666.0)</f>
        <v>1916666</v>
      </c>
      <c r="H65" s="10">
        <f t="shared" si="3"/>
        <v>1916666</v>
      </c>
      <c r="I65" s="68">
        <f t="shared" si="4"/>
        <v>2168.188211</v>
      </c>
      <c r="J65" s="59" t="str">
        <f t="shared" si="5"/>
        <v>36m 08s</v>
      </c>
      <c r="K65" s="69">
        <f t="shared" si="6"/>
        <v>5083000</v>
      </c>
      <c r="L65" s="60">
        <f t="shared" si="7"/>
        <v>-178.54759</v>
      </c>
      <c r="M65" s="61">
        <f>IFERROR(__xludf.DUMMYFUNCTION("IFS(AND(COUNTA(C65:C1350)=0,COUNTA(Q65:Q1350)=0),"""",OR(AND(K65&gt;=1000000000,OR(Y65&gt;=1000000000,COUNTA(Q65:Q1350)=0)),OR(Y65&gt;=1000000000,AND(COUNTA(C65:C1350)=0,P$3=TRUE))),
ROUNDDOWN((AB$1-AC$1)*MAX(INDEX(T$4:T1350,MATCH(LARGE(FILTER(Y$4:Y1350,Y$4:Y1350&lt;"&amp;"1000000000),1),Y$4:Y1350)),INDEX(F$4:F1350,MATCH(LARGE(FILTER(K$4:K1350,K$4:K1350&lt;1000000000),1),K$4:K1350)))),AND(K65&lt;1000000000,COUNTA(C65:C1350)&gt;0,P$3=FALSE),
ROUNDDOWN(INDEX(Y$4:Y1350,MATCH(LARGE(FILTER(W$4:W1350,W$4:W1350&lt;=I65),1),W$4:W1350))+(I65-LA"&amp;"RGE(FILTER(W$4:W1350,W$4:W1350&lt;=I65),1))*INDEX(T$4:T1350,MATCH(LARGE(FILTER(W$4:W1350,W$4:W1350&lt;=I65),1),W$4:W1350))-K65),1,
ROUNDDOWN(Y65-INDEX(K$4:K1350,MATCH(LARGE(FILTER(I$4:I1350,I$4:I1350&lt;=W65),1),I$4:I1350))-(W65-LARGE(FILTER(I$4:I1350,I$4:I1350&lt;=W"&amp;"65),1))*INDEX(F$4:F1350,MATCH(LARGE(FILTER(I$4:I1350,I$4:I1350&lt;=W65),1),I$4:I1350))))"),2981943.0)</f>
        <v>2981943</v>
      </c>
      <c r="N65" s="60">
        <f t="shared" si="8"/>
        <v>-178.54759</v>
      </c>
      <c r="O65" s="61" t="str">
        <f t="shared" si="9"/>
        <v>3,0M</v>
      </c>
      <c r="P65" s="56">
        <f t="shared" si="10"/>
        <v>9</v>
      </c>
      <c r="Q65" s="67" t="s">
        <v>7</v>
      </c>
      <c r="R65" s="10" t="b">
        <f>IFERROR(__xludf.DUMMYFUNCTION("IF(COUNTA(Q65:Q1350)=0,"""",IF(ISBLANK(Q65),FALSE,IF(NOT(COUNTIF($AA$24:$AA$34,SUBSTITUTE(Q65,""Sell_"",""""))),1,IF(REGEXMATCH(Q65,""Sell_""),IF(COUNTIF(Q$4:Q65,SUBSTITUTE(Q65,""Sell_"",""""))-COUNTIF(Q$4:Q64,Q65)&lt;1,1),FALSE))))"),FALSE)</f>
        <v>0</v>
      </c>
      <c r="S65" s="59">
        <f t="array" ref="S65">IF(COUNTA(Q65:Q1350)=0,"",SUM((COUNTIF(Q$4:Q65,Upgrades!$B$3:$B$13)-COUNTIF(Q$4:Q65,"Sell_"&amp;Upgrades!$B$3:$B$13))*Upgrades!$D$3:$D$13))</f>
        <v>1792.2</v>
      </c>
      <c r="T65" s="66">
        <f>IFERROR(__xludf.DUMMYFUNCTION("IF(COUNTA(Q65:Q1350)=0,"""",IF(REGEXMATCH(INDEX(FILTER(Q$4:Q65,Q$4:Q65&lt;&gt;""""),ROWS(FILTER(Q$4:Q65,Q$4:Q65&lt;&gt;""""))),""^Sell_""),INDEX(FILTER(T$4:T64,Q$4:Q64&lt;&gt;""""),ROWS(FILTER(Q$4:Q64,Q$4:Q64&lt;&gt;""""))),$AD$5+S65))"),1992.2)</f>
        <v>1992.2</v>
      </c>
      <c r="U65" s="10">
        <f>IFERROR(__xludf.DUMMYFUNCTION("IF(COUNTA(Q65:Q1350)=0,"""",IF(Q65="""",0,IF(REGEXMATCH(Q65,""^Sell_""),-ROUNDDOWN(ROUNDUP(INDEX(Upgrades!$C$3:$C$13,MATCH(SUBSTITUTE(Q65,""Sell_"",""""),Upgrades!$B$3:$B$13,0))*1.15^(COUNTIF(Q$4:Q64,SUBSTITUTE(Q65,""Sell_"",""""))-COUNTIF(Q$4:Q64,""Sell_"&amp;"""&amp;SUBSTITUTE(Q65,""Sell_"",""""))))/2),ROUNDUP(INDEX(Upgrades!$C$3:$C$13,MATCH(Q65,Upgrades!$B$3:$B$13,0))*1.15^(COUNTIF(Q$4:Q64,Q65)-COUNTIF(Q$4:Q64,""Sell_""&amp;Q65))))))"),30591.0)</f>
        <v>30591</v>
      </c>
      <c r="V65" s="10">
        <f t="shared" si="11"/>
        <v>30591</v>
      </c>
      <c r="W65" s="68">
        <f t="shared" si="12"/>
        <v>1111.308651</v>
      </c>
      <c r="X65" s="59" t="str">
        <f t="shared" si="13"/>
        <v>18m 31s</v>
      </c>
      <c r="Y65" s="69">
        <f t="shared" si="14"/>
        <v>934801</v>
      </c>
      <c r="Z65" s="11"/>
    </row>
    <row r="66">
      <c r="A66" s="8"/>
      <c r="B66" s="56">
        <f t="shared" si="2"/>
        <v>3</v>
      </c>
      <c r="C66" s="57" t="s">
        <v>10</v>
      </c>
      <c r="D66" s="10" t="b">
        <f>IFERROR(__xludf.DUMMYFUNCTION("IF(COUNTA(C66:C1350)=0,"""",IF(ISBLANK(C66),FALSE,IF(NOT(COUNTIF($AA$24:$AA$34,SUBSTITUTE(C66,""Sell_"",""""))),1,IF(REGEXMATCH(C66,""Sell_""),IF(COUNTIF(C$4:C66,SUBSTITUTE(C66,""Sell_"",""""))-COUNTIF(C$4:C65,C66)&lt;1,1),FALSE))))"),FALSE)</f>
        <v>0</v>
      </c>
      <c r="E66" s="59">
        <f t="array" ref="E66">IF(COUNTA(C66:C1350)=0,"",SUM((COUNTIF(C$4:C66,Upgrades!$B$3:$B$13)-COUNTIF(C$4:C66,"Sell_"&amp;Upgrades!$B$3:$B$13))*Upgrades!$D$3:$D$13))</f>
        <v>22599.5</v>
      </c>
      <c r="F66" s="66">
        <f>IFERROR(__xludf.DUMMYFUNCTION("IF(COUNTA(C66:C1350)=0,"""",IF(REGEXMATCH(INDEX(FILTER(C$4:C66,C$4:C66&lt;&gt;""""),ROWS(FILTER(C$4:C66,C$4:C66&lt;&gt;""""))),""^Sell_""),INDEX(FILTER(F$4:F65,C$4:C65&lt;&gt;""""),ROWS(FILTER(C$4:C65,C$4:C65&lt;&gt;""""))),$AC$5+E66))"),22799.5)</f>
        <v>22799.5</v>
      </c>
      <c r="G66" s="10">
        <f>IFERROR(__xludf.DUMMYFUNCTION("IF(COUNTA(C66:C1350)=0,"""",IF(C66="""",0,IF(REGEXMATCH(C66,""^Sell_""),-ROUNDDOWN(ROUNDUP(INDEX(Upgrades!$C$3:$C$13,MATCH(SUBSTITUTE(C66,""Sell_"",""""),Upgrades!$B$3:$B$13,0))*1.15^(COUNTIF(C$4:C65,SUBSTITUTE(C66,""Sell_"",""""))-COUNTIF(C$4:C65,""Sell_"&amp;"""&amp;SUBSTITUTE(C66,""Sell_"",""""))))/2),ROUNDUP(INDEX(Upgrades!$C$3:$C$13,MATCH(C66,Upgrades!$B$3:$B$13,0))*1.15^(COUNTIF(C$4:C65,C66)-COUNTIF(C$4:C65,""Sell_""&amp;C66))))))"),2204166.0)</f>
        <v>2204166</v>
      </c>
      <c r="H66" s="10">
        <f t="shared" si="3"/>
        <v>2204166</v>
      </c>
      <c r="I66" s="68">
        <f t="shared" si="4"/>
        <v>2304.808659</v>
      </c>
      <c r="J66" s="59" t="str">
        <f t="shared" si="5"/>
        <v>38m 24s</v>
      </c>
      <c r="K66" s="69">
        <f t="shared" si="6"/>
        <v>7287166</v>
      </c>
      <c r="L66" s="60">
        <f t="shared" si="7"/>
        <v>-174.1203</v>
      </c>
      <c r="M66" s="61">
        <f>IFERROR(__xludf.DUMMYFUNCTION("IFS(AND(COUNTA(C66:C1350)=0,COUNTA(Q66:Q1350)=0),"""",OR(AND(K66&gt;=1000000000,OR(Y66&gt;=1000000000,COUNTA(Q66:Q1350)=0)),OR(Y66&gt;=1000000000,AND(COUNTA(C66:C1350)=0,P$3=TRUE))),
ROUNDDOWN((AB$1-AC$1)*MAX(INDEX(T$4:T1350,MATCH(LARGE(FILTER(Y$4:Y1350,Y$4:Y1350&lt;"&amp;"1000000000),1),Y$4:Y1350)),INDEX(F$4:F1350,MATCH(LARGE(FILTER(K$4:K1350,K$4:K1350&lt;1000000000),1),K$4:K1350)))),AND(K66&lt;1000000000,COUNTA(C66:C1350)&gt;0,P$3=FALSE),
ROUNDDOWN(INDEX(Y$4:Y1350,MATCH(LARGE(FILTER(W$4:W1350,W$4:W1350&lt;=I66),1),W$4:W1350))+(I66-LA"&amp;"RGE(FILTER(W$4:W1350,W$4:W1350&lt;=I66),1))*INDEX(T$4:T1350,MATCH(LARGE(FILTER(W$4:W1350,W$4:W1350&lt;=I66),1),W$4:W1350))-K66),1,
ROUNDDOWN(Y66-INDEX(K$4:K1350,MATCH(LARGE(FILTER(I$4:I1350,I$4:I1350&lt;=W66),1),I$4:I1350))-(W66-LARGE(FILTER(I$4:I1350,I$4:I1350&lt;=W"&amp;"66),1))*INDEX(F$4:F1350,MATCH(LARGE(FILTER(I$4:I1350,I$4:I1350&lt;=W66),1),I$4:I1350))))"),4165781.0)</f>
        <v>4165781</v>
      </c>
      <c r="N66" s="60">
        <f t="shared" si="8"/>
        <v>-174.1203</v>
      </c>
      <c r="O66" s="61" t="str">
        <f t="shared" si="9"/>
        <v>4,2M</v>
      </c>
      <c r="P66" s="56">
        <f t="shared" si="10"/>
        <v>3</v>
      </c>
      <c r="Q66" s="67" t="s">
        <v>9</v>
      </c>
      <c r="R66" s="10" t="b">
        <f>IFERROR(__xludf.DUMMYFUNCTION("IF(COUNTA(Q66:Q1350)=0,"""",IF(ISBLANK(Q66),FALSE,IF(NOT(COUNTIF($AA$24:$AA$34,SUBSTITUTE(Q66,""Sell_"",""""))),1,IF(REGEXMATCH(Q66,""Sell_""),IF(COUNTIF(Q$4:Q66,SUBSTITUTE(Q66,""Sell_"",""""))-COUNTIF(Q$4:Q65,Q66)&lt;1,1),FALSE))))"),FALSE)</f>
        <v>0</v>
      </c>
      <c r="S66" s="59">
        <f t="array" ref="S66">IF(COUNTA(Q66:Q1350)=0,"",SUM((COUNTIF(Q$4:Q66,Upgrades!$B$3:$B$13)-COUNTIF(Q$4:Q66,"Sell_"&amp;Upgrades!$B$3:$B$13))*Upgrades!$D$3:$D$13))</f>
        <v>2192.2</v>
      </c>
      <c r="T66" s="66">
        <f>IFERROR(__xludf.DUMMYFUNCTION("IF(COUNTA(Q66:Q1350)=0,"""",IF(REGEXMATCH(INDEX(FILTER(Q$4:Q66,Q$4:Q66&lt;&gt;""""),ROWS(FILTER(Q$4:Q66,Q$4:Q66&lt;&gt;""""))),""^Sell_""),INDEX(FILTER(T$4:T65,Q$4:Q65&lt;&gt;""""),ROWS(FILTER(Q$4:Q65,Q$4:Q65&lt;&gt;""""))),$AD$5+S66))"),2392.2)</f>
        <v>2392.2</v>
      </c>
      <c r="U66" s="10">
        <f>IFERROR(__xludf.DUMMYFUNCTION("IF(COUNTA(Q66:Q1350)=0,"""",IF(Q66="""",0,IF(REGEXMATCH(Q66,""^Sell_""),-ROUNDDOWN(ROUNDUP(INDEX(Upgrades!$C$3:$C$13,MATCH(SUBSTITUTE(Q66,""Sell_"",""""),Upgrades!$B$3:$B$13,0))*1.15^(COUNTIF(Q$4:Q65,SUBSTITUTE(Q66,""Sell_"",""""))-COUNTIF(Q$4:Q65,""Sell_"&amp;"""&amp;SUBSTITUTE(Q66,""Sell_"",""""))))/2),ROUNDUP(INDEX(Upgrades!$C$3:$C$13,MATCH(Q66,Upgrades!$B$3:$B$13,0))*1.15^(COUNTIF(Q$4:Q65,Q66)-COUNTIF(Q$4:Q65,""Sell_""&amp;Q66))))))"),264500.0)</f>
        <v>264500</v>
      </c>
      <c r="V66" s="10">
        <f t="shared" si="11"/>
        <v>264500</v>
      </c>
      <c r="W66" s="68">
        <f t="shared" si="12"/>
        <v>1244.076445</v>
      </c>
      <c r="X66" s="59" t="str">
        <f t="shared" si="13"/>
        <v>20m 44s</v>
      </c>
      <c r="Y66" s="69">
        <f t="shared" si="14"/>
        <v>1199301</v>
      </c>
      <c r="Z66" s="11"/>
    </row>
    <row r="67">
      <c r="A67" s="8"/>
      <c r="B67" s="56">
        <f t="shared" si="2"/>
        <v>4</v>
      </c>
      <c r="C67" s="57" t="s">
        <v>10</v>
      </c>
      <c r="D67" s="10" t="b">
        <f>IFERROR(__xludf.DUMMYFUNCTION("IF(COUNTA(C67:C1350)=0,"""",IF(ISBLANK(C67),FALSE,IF(NOT(COUNTIF($AA$24:$AA$34,SUBSTITUTE(C67,""Sell_"",""""))),1,IF(REGEXMATCH(C67,""Sell_""),IF(COUNTIF(C$4:C67,SUBSTITUTE(C67,""Sell_"",""""))-COUNTIF(C$4:C66,C67)&lt;1,1),FALSE))))"),FALSE)</f>
        <v>0</v>
      </c>
      <c r="E67" s="59">
        <f t="array" ref="E67">IF(COUNTA(C67:C1350)=0,"",SUM((COUNTIF(C$4:C67,Upgrades!$B$3:$B$13)-COUNTIF(C$4:C67,"Sell_"&amp;Upgrades!$B$3:$B$13))*Upgrades!$D$3:$D$13))</f>
        <v>29265.5</v>
      </c>
      <c r="F67" s="66">
        <f>IFERROR(__xludf.DUMMYFUNCTION("IF(COUNTA(C67:C1350)=0,"""",IF(REGEXMATCH(INDEX(FILTER(C$4:C67,C$4:C67&lt;&gt;""""),ROWS(FILTER(C$4:C67,C$4:C67&lt;&gt;""""))),""^Sell_""),INDEX(FILTER(F$4:F66,C$4:C66&lt;&gt;""""),ROWS(FILTER(C$4:C66,C$4:C66&lt;&gt;""""))),$AC$5+E67))"),29465.5)</f>
        <v>29465.5</v>
      </c>
      <c r="G67" s="10">
        <f>IFERROR(__xludf.DUMMYFUNCTION("IF(COUNTA(C67:C1350)=0,"""",IF(C67="""",0,IF(REGEXMATCH(C67,""^Sell_""),-ROUNDDOWN(ROUNDUP(INDEX(Upgrades!$C$3:$C$13,MATCH(SUBSTITUTE(C67,""Sell_"",""""),Upgrades!$B$3:$B$13,0))*1.15^(COUNTIF(C$4:C66,SUBSTITUTE(C67,""Sell_"",""""))-COUNTIF(C$4:C66,""Sell_"&amp;"""&amp;SUBSTITUTE(C67,""Sell_"",""""))))/2),ROUNDUP(INDEX(Upgrades!$C$3:$C$13,MATCH(C67,Upgrades!$B$3:$B$13,0))*1.15^(COUNTIF(C$4:C66,C67)-COUNTIF(C$4:C66,""Sell_""&amp;C67))))))"),2534791.0)</f>
        <v>2534791</v>
      </c>
      <c r="H67" s="10">
        <f t="shared" si="3"/>
        <v>2534791</v>
      </c>
      <c r="I67" s="68">
        <f t="shared" si="4"/>
        <v>2415.986141</v>
      </c>
      <c r="J67" s="59" t="str">
        <f t="shared" si="5"/>
        <v>40m 15s</v>
      </c>
      <c r="K67" s="69">
        <f t="shared" si="6"/>
        <v>9821957</v>
      </c>
      <c r="L67" s="60">
        <f t="shared" si="7"/>
        <v>-169.53803</v>
      </c>
      <c r="M67" s="61">
        <f>IFERROR(__xludf.DUMMYFUNCTION("IFS(AND(COUNTA(C67:C1350)=0,COUNTA(Q67:Q1350)=0),"""",OR(AND(K67&gt;=1000000000,OR(Y67&gt;=1000000000,COUNTA(Q67:Q1350)=0)),OR(Y67&gt;=1000000000,AND(COUNTA(C67:C1350)=0,P$3=TRUE))),
ROUNDDOWN((AB$1-AC$1)*MAX(INDEX(T$4:T1350,MATCH(LARGE(FILTER(Y$4:Y1350,Y$4:Y1350&lt;"&amp;"1000000000),1),Y$4:Y1350)),INDEX(F$4:F1350,MATCH(LARGE(FILTER(K$4:K1350,K$4:K1350&lt;1000000000),1),K$4:K1350)))),AND(K67&lt;1000000000,COUNTA(C67:C1350)&gt;0,P$3=FALSE),
ROUNDDOWN(INDEX(Y$4:Y1350,MATCH(LARGE(FILTER(W$4:W1350,W$4:W1350&lt;=I67),1),W$4:W1350))+(I67-LA"&amp;"RGE(FILTER(W$4:W1350,W$4:W1350&lt;=I67),1))*INDEX(T$4:T1350,MATCH(LARGE(FILTER(W$4:W1350,W$4:W1350&lt;=I67),1),W$4:W1350))-K67),1,
ROUNDDOWN(Y67-INDEX(K$4:K1350,MATCH(LARGE(FILTER(I$4:I1350,I$4:I1350&lt;=W67),1),I$4:I1350))-(W67-LARGE(FILTER(I$4:I1350,I$4:I1350&lt;=W"&amp;"67),1))*INDEX(F$4:F1350,MATCH(LARGE(FILTER(I$4:I1350,I$4:I1350&lt;=W67),1),I$4:I1350))))"),5264298.0)</f>
        <v>5264298</v>
      </c>
      <c r="N67" s="60">
        <f t="shared" si="8"/>
        <v>-169.53803</v>
      </c>
      <c r="O67" s="61" t="str">
        <f t="shared" si="9"/>
        <v>5,3M</v>
      </c>
      <c r="P67" s="56">
        <f t="shared" si="10"/>
        <v>8</v>
      </c>
      <c r="Q67" s="67" t="s">
        <v>6</v>
      </c>
      <c r="R67" s="10" t="b">
        <f>IFERROR(__xludf.DUMMYFUNCTION("IF(COUNTA(Q67:Q1350)=0,"""",IF(ISBLANK(Q67),FALSE,IF(NOT(COUNTIF($AA$24:$AA$34,SUBSTITUTE(Q67,""Sell_"",""""))),1,IF(REGEXMATCH(Q67,""Sell_""),IF(COUNTIF(Q$4:Q67,SUBSTITUTE(Q67,""Sell_"",""""))-COUNTIF(Q$4:Q66,Q67)&lt;1,1),FALSE))))"),FALSE)</f>
        <v>0</v>
      </c>
      <c r="S67" s="59">
        <f t="array" ref="S67">IF(COUNTA(Q67:Q1350)=0,"",SUM((COUNTIF(Q$4:Q67,Upgrades!$B$3:$B$13)-COUNTIF(Q$4:Q67,"Sell_"&amp;Upgrades!$B$3:$B$13))*Upgrades!$D$3:$D$13))</f>
        <v>2202.2</v>
      </c>
      <c r="T67" s="66">
        <f>IFERROR(__xludf.DUMMYFUNCTION("IF(COUNTA(Q67:Q1350)=0,"""",IF(REGEXMATCH(INDEX(FILTER(Q$4:Q67,Q$4:Q67&lt;&gt;""""),ROWS(FILTER(Q$4:Q67,Q$4:Q67&lt;&gt;""""))),""^Sell_""),INDEX(FILTER(T$4:T66,Q$4:Q66&lt;&gt;""""),ROWS(FILTER(Q$4:Q66,Q$4:Q66&lt;&gt;""""))),$AD$5+S67))"),2402.2)</f>
        <v>2402.2</v>
      </c>
      <c r="U67" s="10">
        <f>IFERROR(__xludf.DUMMYFUNCTION("IF(COUNTA(Q67:Q1350)=0,"""",IF(Q67="""",0,IF(REGEXMATCH(Q67,""^Sell_""),-ROUNDDOWN(ROUNDUP(INDEX(Upgrades!$C$3:$C$13,MATCH(SUBSTITUTE(Q67,""Sell_"",""""),Upgrades!$B$3:$B$13,0))*1.15^(COUNTIF(Q$4:Q66,SUBSTITUTE(Q67,""Sell_"",""""))-COUNTIF(Q$4:Q66,""Sell_"&amp;"""&amp;SUBSTITUTE(Q67,""Sell_"",""""))))/2),ROUNDUP(INDEX(Upgrades!$C$3:$C$13,MATCH(Q67,Upgrades!$B$3:$B$13,0))*1.15^(COUNTIF(Q$4:Q66,Q67)-COUNTIF(Q$4:Q66,""Sell_""&amp;Q67))))))"),7981.0)</f>
        <v>7981</v>
      </c>
      <c r="V67" s="10">
        <f t="shared" si="11"/>
        <v>7981</v>
      </c>
      <c r="W67" s="68">
        <f t="shared" si="12"/>
        <v>1247.412705</v>
      </c>
      <c r="X67" s="59" t="str">
        <f t="shared" si="13"/>
        <v>20m 47s</v>
      </c>
      <c r="Y67" s="69">
        <f t="shared" si="14"/>
        <v>1207282</v>
      </c>
      <c r="Z67" s="11"/>
    </row>
    <row r="68">
      <c r="A68" s="8"/>
      <c r="B68" s="56">
        <f t="shared" si="2"/>
        <v>5</v>
      </c>
      <c r="C68" s="57" t="s">
        <v>10</v>
      </c>
      <c r="D68" s="10" t="b">
        <f>IFERROR(__xludf.DUMMYFUNCTION("IF(COUNTA(C68:C1350)=0,"""",IF(ISBLANK(C68),FALSE,IF(NOT(COUNTIF($AA$24:$AA$34,SUBSTITUTE(C68,""Sell_"",""""))),1,IF(REGEXMATCH(C68,""Sell_""),IF(COUNTIF(C$4:C68,SUBSTITUTE(C68,""Sell_"",""""))-COUNTIF(C$4:C67,C68)&lt;1,1),FALSE))))"),FALSE)</f>
        <v>0</v>
      </c>
      <c r="E68" s="59">
        <f t="array" ref="E68">IF(COUNTA(C68:C1350)=0,"",SUM((COUNTIF(C$4:C68,Upgrades!$B$3:$B$13)-COUNTIF(C$4:C68,"Sell_"&amp;Upgrades!$B$3:$B$13))*Upgrades!$D$3:$D$13))</f>
        <v>35931.5</v>
      </c>
      <c r="F68" s="66">
        <f>IFERROR(__xludf.DUMMYFUNCTION("IF(COUNTA(C68:C1350)=0,"""",IF(REGEXMATCH(INDEX(FILTER(C$4:C68,C$4:C68&lt;&gt;""""),ROWS(FILTER(C$4:C68,C$4:C68&lt;&gt;""""))),""^Sell_""),INDEX(FILTER(F$4:F67,C$4:C67&lt;&gt;""""),ROWS(FILTER(C$4:C67,C$4:C67&lt;&gt;""""))),$AC$5+E68))"),36131.5)</f>
        <v>36131.5</v>
      </c>
      <c r="G68" s="10">
        <f>IFERROR(__xludf.DUMMYFUNCTION("IF(COUNTA(C68:C1350)=0,"""",IF(C68="""",0,IF(REGEXMATCH(C68,""^Sell_""),-ROUNDDOWN(ROUNDUP(INDEX(Upgrades!$C$3:$C$13,MATCH(SUBSTITUTE(C68,""Sell_"",""""),Upgrades!$B$3:$B$13,0))*1.15^(COUNTIF(C$4:C67,SUBSTITUTE(C68,""Sell_"",""""))-COUNTIF(C$4:C67,""Sell_"&amp;"""&amp;SUBSTITUTE(C68,""Sell_"",""""))))/2),ROUNDUP(INDEX(Upgrades!$C$3:$C$13,MATCH(C68,Upgrades!$B$3:$B$13,0))*1.15^(COUNTIF(C$4:C67,C68)-COUNTIF(C$4:C67,""Sell_""&amp;C68))))))"),2915010.0)</f>
        <v>2915010</v>
      </c>
      <c r="H68" s="10">
        <f t="shared" si="3"/>
        <v>2915010</v>
      </c>
      <c r="I68" s="68">
        <f t="shared" si="4"/>
        <v>2514.915737</v>
      </c>
      <c r="J68" s="59" t="str">
        <f t="shared" si="5"/>
        <v>41m 54s</v>
      </c>
      <c r="K68" s="69">
        <f t="shared" si="6"/>
        <v>12736967</v>
      </c>
      <c r="L68" s="60">
        <f t="shared" si="7"/>
        <v>-165.951</v>
      </c>
      <c r="M68" s="61">
        <f>IFERROR(__xludf.DUMMYFUNCTION("IFS(AND(COUNTA(C68:C1350)=0,COUNTA(Q68:Q1350)=0),"""",OR(AND(K68&gt;=1000000000,OR(Y68&gt;=1000000000,COUNTA(Q68:Q1350)=0)),OR(Y68&gt;=1000000000,AND(COUNTA(C68:C1350)=0,P$3=TRUE))),
ROUNDDOWN((AB$1-AC$1)*MAX(INDEX(T$4:T1350,MATCH(LARGE(FILTER(Y$4:Y1350,Y$4:Y1350&lt;"&amp;"1000000000),1),Y$4:Y1350)),INDEX(F$4:F1350,MATCH(LARGE(FILTER(K$4:K1350,K$4:K1350&lt;1000000000),1),K$4:K1350)))),AND(K68&lt;1000000000,COUNTA(C68:C1350)&gt;0,P$3=FALSE),
ROUNDDOWN(INDEX(Y$4:Y1350,MATCH(LARGE(FILTER(W$4:W1350,W$4:W1350&lt;=I68),1),W$4:W1350))+(I68-LA"&amp;"RGE(FILTER(W$4:W1350,W$4:W1350&lt;=I68),1))*INDEX(T$4:T1350,MATCH(LARGE(FILTER(W$4:W1350,W$4:W1350&lt;=I68),1),W$4:W1350))-K68),1,
ROUNDDOWN(Y68-INDEX(K$4:K1350,MATCH(LARGE(FILTER(I$4:I1350,I$4:I1350&lt;=W68),1),I$4:I1350))-(W68-LARGE(FILTER(I$4:I1350,I$4:I1350&lt;=W"&amp;"68),1))*INDEX(F$4:F1350,MATCH(LARGE(FILTER(I$4:I1350,I$4:I1350&lt;=W68),1),I$4:I1350))))"),6321201.0)</f>
        <v>6321201</v>
      </c>
      <c r="N68" s="60">
        <f t="shared" si="8"/>
        <v>-165.951</v>
      </c>
      <c r="O68" s="61" t="str">
        <f t="shared" si="9"/>
        <v>6,3M</v>
      </c>
      <c r="P68" s="56">
        <f t="shared" si="10"/>
        <v>13</v>
      </c>
      <c r="Q68" s="67" t="s">
        <v>3</v>
      </c>
      <c r="R68" s="10" t="b">
        <f>IFERROR(__xludf.DUMMYFUNCTION("IF(COUNTA(Q68:Q1350)=0,"""",IF(ISBLANK(Q68),FALSE,IF(NOT(COUNTIF($AA$24:$AA$34,SUBSTITUTE(Q68,""Sell_"",""""))),1,IF(REGEXMATCH(Q68,""Sell_""),IF(COUNTIF(Q$4:Q68,SUBSTITUTE(Q68,""Sell_"",""""))-COUNTIF(Q$4:Q67,Q68)&lt;1,1),FALSE))))"),FALSE)</f>
        <v>0</v>
      </c>
      <c r="S68" s="59">
        <f t="array" ref="S68">IF(COUNTA(Q68:Q1350)=0,"",SUM((COUNTIF(Q$4:Q68,Upgrades!$B$3:$B$13)-COUNTIF(Q$4:Q68,"Sell_"&amp;Upgrades!$B$3:$B$13))*Upgrades!$D$3:$D$13))</f>
        <v>2202.3</v>
      </c>
      <c r="T68" s="66">
        <f>IFERROR(__xludf.DUMMYFUNCTION("IF(COUNTA(Q68:Q1350)=0,"""",IF(REGEXMATCH(INDEX(FILTER(Q$4:Q68,Q$4:Q68&lt;&gt;""""),ROWS(FILTER(Q$4:Q68,Q$4:Q68&lt;&gt;""""))),""^Sell_""),INDEX(FILTER(T$4:T67,Q$4:Q67&lt;&gt;""""),ROWS(FILTER(Q$4:Q67,Q$4:Q67&lt;&gt;""""))),$AD$5+S68))"),2402.3)</f>
        <v>2402.3</v>
      </c>
      <c r="U68" s="10">
        <f>IFERROR(__xludf.DUMMYFUNCTION("IF(COUNTA(Q68:Q1350)=0,"""",IF(Q68="""",0,IF(REGEXMATCH(Q68,""^Sell_""),-ROUNDDOWN(ROUNDUP(INDEX(Upgrades!$C$3:$C$13,MATCH(SUBSTITUTE(Q68,""Sell_"",""""),Upgrades!$B$3:$B$13,0))*1.15^(COUNTIF(Q$4:Q67,SUBSTITUTE(Q68,""Sell_"",""""))-COUNTIF(Q$4:Q67,""Sell_"&amp;"""&amp;SUBSTITUTE(Q68,""Sell_"",""""))))/2),ROUNDUP(INDEX(Upgrades!$C$3:$C$13,MATCH(Q68,Upgrades!$B$3:$B$13,0))*1.15^(COUNTIF(Q$4:Q67,Q68)-COUNTIF(Q$4:Q67,""Sell_""&amp;Q68))))))"),81.0)</f>
        <v>81</v>
      </c>
      <c r="V68" s="10">
        <f t="shared" si="11"/>
        <v>81</v>
      </c>
      <c r="W68" s="68">
        <f t="shared" si="12"/>
        <v>1247.446424</v>
      </c>
      <c r="X68" s="59" t="str">
        <f t="shared" si="13"/>
        <v>20m 47s</v>
      </c>
      <c r="Y68" s="69">
        <f t="shared" si="14"/>
        <v>1207363</v>
      </c>
      <c r="Z68" s="11"/>
    </row>
    <row r="69">
      <c r="A69" s="8"/>
      <c r="B69" s="56">
        <f t="shared" si="2"/>
        <v>6</v>
      </c>
      <c r="C69" s="57" t="s">
        <v>10</v>
      </c>
      <c r="D69" s="10" t="b">
        <f>IFERROR(__xludf.DUMMYFUNCTION("IF(COUNTA(C69:C1350)=0,"""",IF(ISBLANK(C69),FALSE,IF(NOT(COUNTIF($AA$24:$AA$34,SUBSTITUTE(C69,""Sell_"",""""))),1,IF(REGEXMATCH(C69,""Sell_""),IF(COUNTIF(C$4:C69,SUBSTITUTE(C69,""Sell_"",""""))-COUNTIF(C$4:C68,C69)&lt;1,1),FALSE))))"),FALSE)</f>
        <v>0</v>
      </c>
      <c r="E69" s="59">
        <f t="array" ref="E69">IF(COUNTA(C69:C1350)=0,"",SUM((COUNTIF(C$4:C69,Upgrades!$B$3:$B$13)-COUNTIF(C$4:C69,"Sell_"&amp;Upgrades!$B$3:$B$13))*Upgrades!$D$3:$D$13))</f>
        <v>42597.5</v>
      </c>
      <c r="F69" s="66">
        <f>IFERROR(__xludf.DUMMYFUNCTION("IF(COUNTA(C69:C1350)=0,"""",IF(REGEXMATCH(INDEX(FILTER(C$4:C69,C$4:C69&lt;&gt;""""),ROWS(FILTER(C$4:C69,C$4:C69&lt;&gt;""""))),""^Sell_""),INDEX(FILTER(F$4:F68,C$4:C68&lt;&gt;""""),ROWS(FILTER(C$4:C68,C$4:C68&lt;&gt;""""))),$AC$5+E69))"),42797.5)</f>
        <v>42797.5</v>
      </c>
      <c r="G69" s="10">
        <f>IFERROR(__xludf.DUMMYFUNCTION("IF(COUNTA(C69:C1350)=0,"""",IF(C69="""",0,IF(REGEXMATCH(C69,""^Sell_""),-ROUNDDOWN(ROUNDUP(INDEX(Upgrades!$C$3:$C$13,MATCH(SUBSTITUTE(C69,""Sell_"",""""),Upgrades!$B$3:$B$13,0))*1.15^(COUNTIF(C$4:C68,SUBSTITUTE(C69,""Sell_"",""""))-COUNTIF(C$4:C68,""Sell_"&amp;"""&amp;SUBSTITUTE(C69,""Sell_"",""""))))/2),ROUNDUP(INDEX(Upgrades!$C$3:$C$13,MATCH(C69,Upgrades!$B$3:$B$13,0))*1.15^(COUNTIF(C$4:C68,C69)-COUNTIF(C$4:C68,""Sell_""&amp;C69))))))"),3352261.0)</f>
        <v>3352261</v>
      </c>
      <c r="H69" s="10">
        <f t="shared" si="3"/>
        <v>3352261</v>
      </c>
      <c r="I69" s="68">
        <f t="shared" si="4"/>
        <v>2607.695195</v>
      </c>
      <c r="J69" s="59" t="str">
        <f t="shared" si="5"/>
        <v>43m 27s</v>
      </c>
      <c r="K69" s="69">
        <f t="shared" si="6"/>
        <v>16089228</v>
      </c>
      <c r="L69" s="60">
        <f t="shared" si="7"/>
        <v>-163.1191</v>
      </c>
      <c r="M69" s="61">
        <f>IFERROR(__xludf.DUMMYFUNCTION("IFS(AND(COUNTA(C69:C1350)=0,COUNTA(Q69:Q1350)=0),"""",OR(AND(K69&gt;=1000000000,OR(Y69&gt;=1000000000,COUNTA(Q69:Q1350)=0)),OR(Y69&gt;=1000000000,AND(COUNTA(C69:C1350)=0,P$3=TRUE))),
ROUNDDOWN((AB$1-AC$1)*MAX(INDEX(T$4:T1350,MATCH(LARGE(FILTER(Y$4:Y1350,Y$4:Y1350&lt;"&amp;"1000000000),1),Y$4:Y1350)),INDEX(F$4:F1350,MATCH(LARGE(FILTER(K$4:K1350,K$4:K1350&lt;1000000000),1),K$4:K1350)))),AND(K69&lt;1000000000,COUNTA(C69:C1350)&gt;0,P$3=FALSE),
ROUNDDOWN(INDEX(Y$4:Y1350,MATCH(LARGE(FILTER(W$4:W1350,W$4:W1350&lt;=I69),1),W$4:W1350))+(I69-LA"&amp;"RGE(FILTER(W$4:W1350,W$4:W1350&lt;=I69),1))*INDEX(T$4:T1350,MATCH(LARGE(FILTER(W$4:W1350,W$4:W1350&lt;=I69),1),W$4:W1350))-K69),1,
ROUNDDOWN(Y69-INDEX(K$4:K1350,MATCH(LARGE(FILTER(I$4:I1350,I$4:I1350&lt;=W69),1),I$4:I1350))-(W69-LARGE(FILTER(I$4:I1350,I$4:I1350&lt;=W"&amp;"69),1))*INDEX(F$4:F1350,MATCH(LARGE(FILTER(I$4:I1350,I$4:I1350&lt;=W69),1),I$4:I1350))))"),7319878.0)</f>
        <v>7319878</v>
      </c>
      <c r="N69" s="60">
        <f t="shared" si="8"/>
        <v>-163.1191</v>
      </c>
      <c r="O69" s="61" t="str">
        <f t="shared" si="9"/>
        <v>7,3M</v>
      </c>
      <c r="P69" s="56">
        <f t="shared" si="10"/>
        <v>11</v>
      </c>
      <c r="Q69" s="67" t="s">
        <v>4</v>
      </c>
      <c r="R69" s="10" t="b">
        <f>IFERROR(__xludf.DUMMYFUNCTION("IF(COUNTA(Q69:Q1350)=0,"""",IF(ISBLANK(Q69),FALSE,IF(NOT(COUNTIF($AA$24:$AA$34,SUBSTITUTE(Q69,""Sell_"",""""))),1,IF(REGEXMATCH(Q69,""Sell_""),IF(COUNTIF(Q$4:Q69,SUBSTITUTE(Q69,""Sell_"",""""))-COUNTIF(Q$4:Q68,Q69)&lt;1,1),FALSE))))"),FALSE)</f>
        <v>0</v>
      </c>
      <c r="S69" s="59">
        <f t="array" ref="S69">IF(COUNTA(Q69:Q1350)=0,"",SUM((COUNTIF(Q$4:Q69,Upgrades!$B$3:$B$13)-COUNTIF(Q$4:Q69,"Sell_"&amp;Upgrades!$B$3:$B$13))*Upgrades!$D$3:$D$13))</f>
        <v>2202.8</v>
      </c>
      <c r="T69" s="66">
        <f>IFERROR(__xludf.DUMMYFUNCTION("IF(COUNTA(Q69:Q1350)=0,"""",IF(REGEXMATCH(INDEX(FILTER(Q$4:Q69,Q$4:Q69&lt;&gt;""""),ROWS(FILTER(Q$4:Q69,Q$4:Q69&lt;&gt;""""))),""^Sell_""),INDEX(FILTER(T$4:T68,Q$4:Q68&lt;&gt;""""),ROWS(FILTER(Q$4:Q68,Q$4:Q68&lt;&gt;""""))),$AD$5+S69))"),2402.8)</f>
        <v>2402.8</v>
      </c>
      <c r="U69" s="10">
        <f>IFERROR(__xludf.DUMMYFUNCTION("IF(COUNTA(Q69:Q1350)=0,"""",IF(Q69="""",0,IF(REGEXMATCH(Q69,""^Sell_""),-ROUNDDOWN(ROUNDUP(INDEX(Upgrades!$C$3:$C$13,MATCH(SUBSTITUTE(Q69,""Sell_"",""""),Upgrades!$B$3:$B$13,0))*1.15^(COUNTIF(Q$4:Q68,SUBSTITUTE(Q69,""Sell_"",""""))-COUNTIF(Q$4:Q68,""Sell_"&amp;"""&amp;SUBSTITUTE(Q69,""Sell_"",""""))))/2),ROUNDUP(INDEX(Upgrades!$C$3:$C$13,MATCH(Q69,Upgrades!$B$3:$B$13,0))*1.15^(COUNTIF(Q$4:Q68,Q69)-COUNTIF(Q$4:Q68,""Sell_""&amp;Q69))))))"),405.0)</f>
        <v>405</v>
      </c>
      <c r="V69" s="10">
        <f t="shared" si="11"/>
        <v>405</v>
      </c>
      <c r="W69" s="68">
        <f t="shared" si="12"/>
        <v>1247.615012</v>
      </c>
      <c r="X69" s="59" t="str">
        <f t="shared" si="13"/>
        <v>20m 47s</v>
      </c>
      <c r="Y69" s="69">
        <f t="shared" si="14"/>
        <v>1207768</v>
      </c>
      <c r="Z69" s="11"/>
    </row>
    <row r="70">
      <c r="A70" s="8"/>
      <c r="B70" s="56">
        <f t="shared" si="2"/>
        <v>7</v>
      </c>
      <c r="C70" s="57" t="s">
        <v>10</v>
      </c>
      <c r="D70" s="10" t="b">
        <f>IFERROR(__xludf.DUMMYFUNCTION("IF(COUNTA(C70:C1350)=0,"""",IF(ISBLANK(C70),FALSE,IF(NOT(COUNTIF($AA$24:$AA$34,SUBSTITUTE(C70,""Sell_"",""""))),1,IF(REGEXMATCH(C70,""Sell_""),IF(COUNTIF(C$4:C70,SUBSTITUTE(C70,""Sell_"",""""))-COUNTIF(C$4:C69,C70)&lt;1,1),FALSE))))"),FALSE)</f>
        <v>0</v>
      </c>
      <c r="E70" s="59">
        <f t="array" ref="E70">IF(COUNTA(C70:C1350)=0,"",SUM((COUNTIF(C$4:C70,Upgrades!$B$3:$B$13)-COUNTIF(C$4:C70,"Sell_"&amp;Upgrades!$B$3:$B$13))*Upgrades!$D$3:$D$13))</f>
        <v>49263.5</v>
      </c>
      <c r="F70" s="66">
        <f>IFERROR(__xludf.DUMMYFUNCTION("IF(COUNTA(C70:C1350)=0,"""",IF(REGEXMATCH(INDEX(FILTER(C$4:C70,C$4:C70&lt;&gt;""""),ROWS(FILTER(C$4:C70,C$4:C70&lt;&gt;""""))),""^Sell_""),INDEX(FILTER(F$4:F69,C$4:C69&lt;&gt;""""),ROWS(FILTER(C$4:C69,C$4:C69&lt;&gt;""""))),$AC$5+E70))"),49463.5)</f>
        <v>49463.5</v>
      </c>
      <c r="G70" s="10">
        <f>IFERROR(__xludf.DUMMYFUNCTION("IF(COUNTA(C70:C1350)=0,"""",IF(C70="""",0,IF(REGEXMATCH(C70,""^Sell_""),-ROUNDDOWN(ROUNDUP(INDEX(Upgrades!$C$3:$C$13,MATCH(SUBSTITUTE(C70,""Sell_"",""""),Upgrades!$B$3:$B$13,0))*1.15^(COUNTIF(C$4:C69,SUBSTITUTE(C70,""Sell_"",""""))-COUNTIF(C$4:C69,""Sell_"&amp;"""&amp;SUBSTITUTE(C70,""Sell_"",""""))))/2),ROUNDUP(INDEX(Upgrades!$C$3:$C$13,MATCH(C70,Upgrades!$B$3:$B$13,0))*1.15^(COUNTIF(C$4:C69,C70)-COUNTIF(C$4:C69,""Sell_""&amp;C70))))))"),3855100.0)</f>
        <v>3855100</v>
      </c>
      <c r="H70" s="10">
        <f t="shared" si="3"/>
        <v>3855100</v>
      </c>
      <c r="I70" s="68">
        <f t="shared" si="4"/>
        <v>2697.772887</v>
      </c>
      <c r="J70" s="59" t="str">
        <f t="shared" si="5"/>
        <v>44m 57s</v>
      </c>
      <c r="K70" s="69">
        <f t="shared" si="6"/>
        <v>19944328</v>
      </c>
      <c r="L70" s="60">
        <f t="shared" si="7"/>
        <v>-161.88732</v>
      </c>
      <c r="M70" s="61">
        <f>IFERROR(__xludf.DUMMYFUNCTION("IFS(AND(COUNTA(C70:C1350)=0,COUNTA(Q70:Q1350)=0),"""",OR(AND(K70&gt;=1000000000,OR(Y70&gt;=1000000000,COUNTA(Q70:Q1350)=0)),OR(Y70&gt;=1000000000,AND(COUNTA(C70:C1350)=0,P$3=TRUE))),
ROUNDDOWN((AB$1-AC$1)*MAX(INDEX(T$4:T1350,MATCH(LARGE(FILTER(Y$4:Y1350,Y$4:Y1350&lt;"&amp;"1000000000),1),Y$4:Y1350)),INDEX(F$4:F1350,MATCH(LARGE(FILTER(K$4:K1350,K$4:K1350&lt;1000000000),1),K$4:K1350)))),AND(K70&lt;1000000000,COUNTA(C70:C1350)&gt;0,P$3=FALSE),
ROUNDDOWN(INDEX(Y$4:Y1350,MATCH(LARGE(FILTER(W$4:W1350,W$4:W1350&lt;=I70),1),W$4:W1350))+(I70-LA"&amp;"RGE(FILTER(W$4:W1350,W$4:W1350&lt;=I70),1))*INDEX(T$4:T1350,MATCH(LARGE(FILTER(W$4:W1350,W$4:W1350&lt;=I70),1),W$4:W1350))-K70),1,
ROUNDDOWN(Y70-INDEX(K$4:K1350,MATCH(LARGE(FILTER(I$4:I1350,I$4:I1350&lt;=W70),1),I$4:I1350))-(W70-LARGE(FILTER(I$4:I1350,I$4:I1350&lt;=W"&amp;"70),1))*INDEX(F$4:F1350,MATCH(LARGE(FILTER(I$4:I1350,I$4:I1350&lt;=W70),1),I$4:I1350))))"),8323117.0)</f>
        <v>8323117</v>
      </c>
      <c r="N70" s="60">
        <f t="shared" si="8"/>
        <v>-161.88732</v>
      </c>
      <c r="O70" s="61" t="str">
        <f t="shared" si="9"/>
        <v>8,3M</v>
      </c>
      <c r="P70" s="56">
        <f t="shared" si="10"/>
        <v>6</v>
      </c>
      <c r="Q70" s="67" t="s">
        <v>8</v>
      </c>
      <c r="R70" s="10" t="b">
        <f>IFERROR(__xludf.DUMMYFUNCTION("IF(COUNTA(Q70:Q1350)=0,"""",IF(ISBLANK(Q70),FALSE,IF(NOT(COUNTIF($AA$24:$AA$34,SUBSTITUTE(Q70,""Sell_"",""""))),1,IF(REGEXMATCH(Q70,""Sell_""),IF(COUNTIF(Q$4:Q70,SUBSTITUTE(Q70,""Sell_"",""""))-COUNTIF(Q$4:Q69,Q70)&lt;1,1),FALSE))))"),FALSE)</f>
        <v>0</v>
      </c>
      <c r="S70" s="59">
        <f t="array" ref="S70">IF(COUNTA(Q70:Q1350)=0,"",SUM((COUNTIF(Q$4:Q70,Upgrades!$B$3:$B$13)-COUNTIF(Q$4:Q70,"Sell_"&amp;Upgrades!$B$3:$B$13))*Upgrades!$D$3:$D$13))</f>
        <v>2302.8</v>
      </c>
      <c r="T70" s="66">
        <f>IFERROR(__xludf.DUMMYFUNCTION("IF(COUNTA(Q70:Q1350)=0,"""",IF(REGEXMATCH(INDEX(FILTER(Q$4:Q70,Q$4:Q70&lt;&gt;""""),ROWS(FILTER(Q$4:Q70,Q$4:Q70&lt;&gt;""""))),""^Sell_""),INDEX(FILTER(T$4:T69,Q$4:Q69&lt;&gt;""""),ROWS(FILTER(Q$4:Q69,Q$4:Q69&lt;&gt;""""))),$AD$5+S70))"),2502.8)</f>
        <v>2502.8</v>
      </c>
      <c r="U70" s="10">
        <f>IFERROR(__xludf.DUMMYFUNCTION("IF(COUNTA(Q70:Q1350)=0,"""",IF(Q70="""",0,IF(REGEXMATCH(Q70,""^Sell_""),-ROUNDDOWN(ROUNDUP(INDEX(Upgrades!$C$3:$C$13,MATCH(SUBSTITUTE(Q70,""Sell_"",""""),Upgrades!$B$3:$B$13,0))*1.15^(COUNTIF(Q$4:Q69,SUBSTITUTE(Q70,""Sell_"",""""))-COUNTIF(Q$4:Q69,""Sell_"&amp;"""&amp;SUBSTITUTE(Q70,""Sell_"",""""))))/2),ROUNDUP(INDEX(Upgrades!$C$3:$C$13,MATCH(Q70,Upgrades!$B$3:$B$13,0))*1.15^(COUNTIF(Q$4:Q69,Q70)-COUNTIF(Q$4:Q69,""Sell_""&amp;Q70))))))"),80455.0)</f>
        <v>80455</v>
      </c>
      <c r="V70" s="10">
        <f t="shared" si="11"/>
        <v>80455</v>
      </c>
      <c r="W70" s="68">
        <f t="shared" si="12"/>
        <v>1281.098864</v>
      </c>
      <c r="X70" s="59" t="str">
        <f t="shared" si="13"/>
        <v>21m 21s</v>
      </c>
      <c r="Y70" s="69">
        <f t="shared" si="14"/>
        <v>1288223</v>
      </c>
      <c r="Z70" s="11"/>
    </row>
    <row r="71">
      <c r="A71" s="8"/>
      <c r="B71" s="56">
        <f t="shared" si="2"/>
        <v>8</v>
      </c>
      <c r="C71" s="57" t="s">
        <v>10</v>
      </c>
      <c r="D71" s="10" t="b">
        <f>IFERROR(__xludf.DUMMYFUNCTION("IF(COUNTA(C71:C1350)=0,"""",IF(ISBLANK(C71),FALSE,IF(NOT(COUNTIF($AA$24:$AA$34,SUBSTITUTE(C71,""Sell_"",""""))),1,IF(REGEXMATCH(C71,""Sell_""),IF(COUNTIF(C$4:C71,SUBSTITUTE(C71,""Sell_"",""""))-COUNTIF(C$4:C70,C71)&lt;1,1),FALSE))))"),FALSE)</f>
        <v>0</v>
      </c>
      <c r="E71" s="59">
        <f t="array" ref="E71">IF(COUNTA(C71:C1350)=0,"",SUM((COUNTIF(C$4:C71,Upgrades!$B$3:$B$13)-COUNTIF(C$4:C71,"Sell_"&amp;Upgrades!$B$3:$B$13))*Upgrades!$D$3:$D$13))</f>
        <v>55929.5</v>
      </c>
      <c r="F71" s="66">
        <f>IFERROR(__xludf.DUMMYFUNCTION("IF(COUNTA(C71:C1350)=0,"""",IF(REGEXMATCH(INDEX(FILTER(C$4:C71,C$4:C71&lt;&gt;""""),ROWS(FILTER(C$4:C71,C$4:C71&lt;&gt;""""))),""^Sell_""),INDEX(FILTER(F$4:F70,C$4:C70&lt;&gt;""""),ROWS(FILTER(C$4:C70,C$4:C70&lt;&gt;""""))),$AC$5+E71))"),56129.5)</f>
        <v>56129.5</v>
      </c>
      <c r="G71" s="10">
        <f>IFERROR(__xludf.DUMMYFUNCTION("IF(COUNTA(C71:C1350)=0,"""",IF(C71="""",0,IF(REGEXMATCH(C71,""^Sell_""),-ROUNDDOWN(ROUNDUP(INDEX(Upgrades!$C$3:$C$13,MATCH(SUBSTITUTE(C71,""Sell_"",""""),Upgrades!$B$3:$B$13,0))*1.15^(COUNTIF(C$4:C70,SUBSTITUTE(C71,""Sell_"",""""))-COUNTIF(C$4:C70,""Sell_"&amp;"""&amp;SUBSTITUTE(C71,""Sell_"",""""))))/2),ROUNDUP(INDEX(Upgrades!$C$3:$C$13,MATCH(C71,Upgrades!$B$3:$B$13,0))*1.15^(COUNTIF(C$4:C70,C71)-COUNTIF(C$4:C70,""Sell_""&amp;C71))))))"),4433365.0)</f>
        <v>4433365</v>
      </c>
      <c r="H71" s="10">
        <f t="shared" si="3"/>
        <v>4433365</v>
      </c>
      <c r="I71" s="68">
        <f t="shared" si="4"/>
        <v>2787.401906</v>
      </c>
      <c r="J71" s="59" t="str">
        <f t="shared" si="5"/>
        <v>46m 27s</v>
      </c>
      <c r="K71" s="69">
        <f t="shared" si="6"/>
        <v>24377693</v>
      </c>
      <c r="L71" s="60">
        <f t="shared" si="7"/>
        <v>-159.94963</v>
      </c>
      <c r="M71" s="61">
        <f>IFERROR(__xludf.DUMMYFUNCTION("IFS(AND(COUNTA(C71:C1350)=0,COUNTA(Q71:Q1350)=0),"""",OR(AND(K71&gt;=1000000000,OR(Y71&gt;=1000000000,COUNTA(Q71:Q1350)=0)),OR(Y71&gt;=1000000000,AND(COUNTA(C71:C1350)=0,P$3=TRUE))),
ROUNDDOWN((AB$1-AC$1)*MAX(INDEX(T$4:T1350,MATCH(LARGE(FILTER(Y$4:Y1350,Y$4:Y1350&lt;"&amp;"1000000000),1),Y$4:Y1350)),INDEX(F$4:F1350,MATCH(LARGE(FILTER(K$4:K1350,K$4:K1350&lt;1000000000),1),K$4:K1350)))),AND(K71&lt;1000000000,COUNTA(C71:C1350)&gt;0,P$3=FALSE),
ROUNDDOWN(INDEX(Y$4:Y1350,MATCH(LARGE(FILTER(W$4:W1350,W$4:W1350&lt;=I71),1),W$4:W1350))+(I71-LA"&amp;"RGE(FILTER(W$4:W1350,W$4:W1350&lt;=I71),1))*INDEX(T$4:T1350,MATCH(LARGE(FILTER(W$4:W1350,W$4:W1350&lt;=I71),1),W$4:W1350))-K71),1,
ROUNDDOWN(Y71-INDEX(K$4:K1350,MATCH(LARGE(FILTER(I$4:I1350,I$4:I1350&lt;=W71),1),I$4:I1350))-(W71-LARGE(FILTER(I$4:I1350,I$4:I1350&lt;=W"&amp;"71),1))*INDEX(F$4:F1350,MATCH(LARGE(FILTER(I$4:I1350,I$4:I1350&lt;=W71),1),I$4:I1350))))"),9311461.0)</f>
        <v>9311461</v>
      </c>
      <c r="N71" s="60">
        <f t="shared" si="8"/>
        <v>-159.94963</v>
      </c>
      <c r="O71" s="61" t="str">
        <f t="shared" si="9"/>
        <v>9,3M</v>
      </c>
      <c r="P71" s="56">
        <f t="shared" si="10"/>
        <v>1</v>
      </c>
      <c r="Q71" s="67" t="s">
        <v>60</v>
      </c>
      <c r="R71" s="10" t="b">
        <f>IFERROR(__xludf.DUMMYFUNCTION("IF(COUNTA(Q71:Q1350)=0,"""",IF(ISBLANK(Q71),FALSE,IF(NOT(COUNTIF($AA$24:$AA$34,SUBSTITUTE(Q71,""Sell_"",""""))),1,IF(REGEXMATCH(Q71,""Sell_""),IF(COUNTIF(Q$4:Q71,SUBSTITUTE(Q71,""Sell_"",""""))-COUNTIF(Q$4:Q70,Q71)&lt;1,1),FALSE))))"),FALSE)</f>
        <v>0</v>
      </c>
      <c r="S71" s="59">
        <f t="array" ref="S71">IF(COUNTA(Q71:Q1350)=0,"",SUM((COUNTIF(Q$4:Q71,Upgrades!$B$3:$B$13)-COUNTIF(Q$4:Q71,"Sell_"&amp;Upgrades!$B$3:$B$13))*Upgrades!$D$3:$D$13))</f>
        <v>1902.8</v>
      </c>
      <c r="T71" s="66">
        <f>IFERROR(__xludf.DUMMYFUNCTION("IF(COUNTA(Q71:Q1350)=0,"""",IF(REGEXMATCH(INDEX(FILTER(Q$4:Q71,Q$4:Q71&lt;&gt;""""),ROWS(FILTER(Q$4:Q71,Q$4:Q71&lt;&gt;""""))),""^Sell_""),INDEX(FILTER(T$4:T70,Q$4:Q70&lt;&gt;""""),ROWS(FILTER(Q$4:Q70,Q$4:Q70&lt;&gt;""""))),$AD$5+S71))"),2502.8)</f>
        <v>2502.8</v>
      </c>
      <c r="U71" s="10">
        <f>IFERROR(__xludf.DUMMYFUNCTION("IF(COUNTA(Q71:Q1350)=0,"""",IF(Q71="""",0,IF(REGEXMATCH(Q71,""^Sell_""),-ROUNDDOWN(ROUNDUP(INDEX(Upgrades!$C$3:$C$13,MATCH(SUBSTITUTE(Q71,""Sell_"",""""),Upgrades!$B$3:$B$13,0))*1.15^(COUNTIF(Q$4:Q70,SUBSTITUTE(Q71,""Sell_"",""""))-COUNTIF(Q$4:Q70,""Sell_"&amp;"""&amp;SUBSTITUTE(Q71,""Sell_"",""""))))/2),ROUNDUP(INDEX(Upgrades!$C$3:$C$13,MATCH(Q71,Upgrades!$B$3:$B$13,0))*1.15^(COUNTIF(Q$4:Q70,Q71)-COUNTIF(Q$4:Q70,""Sell_""&amp;Q71))))))"),-152087.0)</f>
        <v>-152087</v>
      </c>
      <c r="V71" s="10">
        <f t="shared" si="11"/>
        <v>-152087</v>
      </c>
      <c r="W71" s="68">
        <f t="shared" si="12"/>
        <v>1281.098864</v>
      </c>
      <c r="X71" s="59" t="str">
        <f t="shared" si="13"/>
        <v>21m 21s</v>
      </c>
      <c r="Y71" s="69">
        <f t="shared" si="14"/>
        <v>1288223</v>
      </c>
      <c r="Z71" s="11"/>
    </row>
    <row r="72">
      <c r="A72" s="8"/>
      <c r="B72" s="56">
        <f t="shared" si="2"/>
        <v>6</v>
      </c>
      <c r="C72" s="57" t="s">
        <v>8</v>
      </c>
      <c r="D72" s="10" t="b">
        <f>IFERROR(__xludf.DUMMYFUNCTION("IF(COUNTA(C72:C1350)=0,"""",IF(ISBLANK(C72),FALSE,IF(NOT(COUNTIF($AA$24:$AA$34,SUBSTITUTE(C72,""Sell_"",""""))),1,IF(REGEXMATCH(C72,""Sell_""),IF(COUNTIF(C$4:C72,SUBSTITUTE(C72,""Sell_"",""""))-COUNTIF(C$4:C71,C72)&lt;1,1),FALSE))))"),FALSE)</f>
        <v>0</v>
      </c>
      <c r="E72" s="59">
        <f t="array" ref="E72">IF(COUNTA(C72:C1350)=0,"",SUM((COUNTIF(C$4:C72,Upgrades!$B$3:$B$13)-COUNTIF(C$4:C72,"Sell_"&amp;Upgrades!$B$3:$B$13))*Upgrades!$D$3:$D$13))</f>
        <v>56029.5</v>
      </c>
      <c r="F72" s="66">
        <f>IFERROR(__xludf.DUMMYFUNCTION("IF(COUNTA(C72:C1350)=0,"""",IF(REGEXMATCH(INDEX(FILTER(C$4:C72,C$4:C72&lt;&gt;""""),ROWS(FILTER(C$4:C72,C$4:C72&lt;&gt;""""))),""^Sell_""),INDEX(FILTER(F$4:F71,C$4:C71&lt;&gt;""""),ROWS(FILTER(C$4:C71,C$4:C71&lt;&gt;""""))),$AC$5+E72))"),56229.5)</f>
        <v>56229.5</v>
      </c>
      <c r="G72" s="10">
        <f>IFERROR(__xludf.DUMMYFUNCTION("IF(COUNTA(C72:C1350)=0,"""",IF(C72="""",0,IF(REGEXMATCH(C72,""^Sell_""),-ROUNDDOWN(ROUNDUP(INDEX(Upgrades!$C$3:$C$13,MATCH(SUBSTITUTE(C72,""Sell_"",""""),Upgrades!$B$3:$B$13,0))*1.15^(COUNTIF(C$4:C71,SUBSTITUTE(C72,""Sell_"",""""))-COUNTIF(C$4:C71,""Sell_"&amp;"""&amp;SUBSTITUTE(C72,""Sell_"",""""))))/2),ROUNDUP(INDEX(Upgrades!$C$3:$C$13,MATCH(C72,Upgrades!$B$3:$B$13,0))*1.15^(COUNTIF(C$4:C71,C72)-COUNTIF(C$4:C71,""Sell_""&amp;C72))))))"),80455.0)</f>
        <v>80455</v>
      </c>
      <c r="H72" s="10">
        <f t="shared" si="3"/>
        <v>80455</v>
      </c>
      <c r="I72" s="68">
        <f t="shared" si="4"/>
        <v>2788.835288</v>
      </c>
      <c r="J72" s="59" t="str">
        <f t="shared" si="5"/>
        <v>46m 28s</v>
      </c>
      <c r="K72" s="69">
        <f t="shared" si="6"/>
        <v>24458148</v>
      </c>
      <c r="L72" s="60">
        <f t="shared" si="7"/>
        <v>-159.74191</v>
      </c>
      <c r="M72" s="61">
        <f>IFERROR(__xludf.DUMMYFUNCTION("IFS(AND(COUNTA(C72:C1350)=0,COUNTA(Q72:Q1350)=0),"""",OR(AND(K72&gt;=1000000000,OR(Y72&gt;=1000000000,COUNTA(Q72:Q1350)=0)),OR(Y72&gt;=1000000000,AND(COUNTA(C72:C1350)=0,P$3=TRUE))),
ROUNDDOWN((AB$1-AC$1)*MAX(INDEX(T$4:T1350,MATCH(LARGE(FILTER(Y$4:Y1350,Y$4:Y1350&lt;"&amp;"1000000000),1),Y$4:Y1350)),INDEX(F$4:F1350,MATCH(LARGE(FILTER(K$4:K1350,K$4:K1350&lt;1000000000),1),K$4:K1350)))),AND(K72&lt;1000000000,COUNTA(C72:C1350)&gt;0,P$3=FALSE),
ROUNDDOWN(INDEX(Y$4:Y1350,MATCH(LARGE(FILTER(W$4:W1350,W$4:W1350&lt;=I72),1),W$4:W1350))+(I72-LA"&amp;"RGE(FILTER(W$4:W1350,W$4:W1350&lt;=I72),1))*INDEX(T$4:T1350,MATCH(LARGE(FILTER(W$4:W1350,W$4:W1350&lt;=I72),1),W$4:W1350))-K72),1,
ROUNDDOWN(Y72-INDEX(K$4:K1350,MATCH(LARGE(FILTER(I$4:I1350,I$4:I1350&lt;=W72),1),I$4:I1350))-(W72-LARGE(FILTER(I$4:I1350,I$4:I1350&lt;=W"&amp;"72),1))*INDEX(F$4:F1350,MATCH(LARGE(FILTER(I$4:I1350,I$4:I1350&lt;=W72),1),I$4:I1350))))"),9321956.0)</f>
        <v>9321956</v>
      </c>
      <c r="N72" s="60">
        <f t="shared" si="8"/>
        <v>-159.74191</v>
      </c>
      <c r="O72" s="61" t="str">
        <f t="shared" si="9"/>
        <v>9,3M</v>
      </c>
      <c r="P72" s="56">
        <f t="shared" si="10"/>
        <v>2</v>
      </c>
      <c r="Q72" s="67" t="s">
        <v>60</v>
      </c>
      <c r="R72" s="10" t="b">
        <f>IFERROR(__xludf.DUMMYFUNCTION("IF(COUNTA(Q72:Q1350)=0,"""",IF(ISBLANK(Q72),FALSE,IF(NOT(COUNTIF($AA$24:$AA$34,SUBSTITUTE(Q72,""Sell_"",""""))),1,IF(REGEXMATCH(Q72,""Sell_""),IF(COUNTIF(Q$4:Q72,SUBSTITUTE(Q72,""Sell_"",""""))-COUNTIF(Q$4:Q71,Q72)&lt;1,1),FALSE))))"),FALSE)</f>
        <v>0</v>
      </c>
      <c r="S72" s="59">
        <f t="array" ref="S72">IF(COUNTA(Q72:Q1350)=0,"",SUM((COUNTIF(Q$4:Q72,Upgrades!$B$3:$B$13)-COUNTIF(Q$4:Q72,"Sell_"&amp;Upgrades!$B$3:$B$13))*Upgrades!$D$3:$D$13))</f>
        <v>1502.8</v>
      </c>
      <c r="T72" s="66">
        <f>IFERROR(__xludf.DUMMYFUNCTION("IF(COUNTA(Q72:Q1350)=0,"""",IF(REGEXMATCH(INDEX(FILTER(Q$4:Q72,Q$4:Q72&lt;&gt;""""),ROWS(FILTER(Q$4:Q72,Q$4:Q72&lt;&gt;""""))),""^Sell_""),INDEX(FILTER(T$4:T71,Q$4:Q71&lt;&gt;""""),ROWS(FILTER(Q$4:Q71,Q$4:Q71&lt;&gt;""""))),$AD$5+S72))"),2502.8)</f>
        <v>2502.8</v>
      </c>
      <c r="U72" s="10">
        <f>IFERROR(__xludf.DUMMYFUNCTION("IF(COUNTA(Q72:Q1350)=0,"""",IF(Q72="""",0,IF(REGEXMATCH(Q72,""^Sell_""),-ROUNDDOWN(ROUNDUP(INDEX(Upgrades!$C$3:$C$13,MATCH(SUBSTITUTE(Q72,""Sell_"",""""),Upgrades!$B$3:$B$13,0))*1.15^(COUNTIF(Q$4:Q71,SUBSTITUTE(Q72,""Sell_"",""""))-COUNTIF(Q$4:Q71,""Sell_"&amp;"""&amp;SUBSTITUTE(Q72,""Sell_"",""""))))/2),ROUNDUP(INDEX(Upgrades!$C$3:$C$13,MATCH(Q72,Upgrades!$B$3:$B$13,0))*1.15^(COUNTIF(Q$4:Q71,Q72)-COUNTIF(Q$4:Q71,""Sell_""&amp;Q72))))))"),-132250.0)</f>
        <v>-132250</v>
      </c>
      <c r="V72" s="10">
        <f t="shared" si="11"/>
        <v>-284337</v>
      </c>
      <c r="W72" s="68">
        <f t="shared" si="12"/>
        <v>1281.098864</v>
      </c>
      <c r="X72" s="59" t="str">
        <f t="shared" si="13"/>
        <v>21m 21s</v>
      </c>
      <c r="Y72" s="69">
        <f t="shared" si="14"/>
        <v>1288223</v>
      </c>
      <c r="Z72" s="11"/>
    </row>
    <row r="73">
      <c r="A73" s="8"/>
      <c r="B73" s="56">
        <f t="shared" si="2"/>
        <v>5</v>
      </c>
      <c r="C73" s="57" t="s">
        <v>9</v>
      </c>
      <c r="D73" s="10" t="b">
        <f>IFERROR(__xludf.DUMMYFUNCTION("IF(COUNTA(C73:C1350)=0,"""",IF(ISBLANK(C73),FALSE,IF(NOT(COUNTIF($AA$24:$AA$34,SUBSTITUTE(C73,""Sell_"",""""))),1,IF(REGEXMATCH(C73,""Sell_""),IF(COUNTIF(C$4:C73,SUBSTITUTE(C73,""Sell_"",""""))-COUNTIF(C$4:C72,C73)&lt;1,1),FALSE))))"),FALSE)</f>
        <v>0</v>
      </c>
      <c r="E73" s="59">
        <f t="array" ref="E73">IF(COUNTA(C73:C1350)=0,"",SUM((COUNTIF(C$4:C73,Upgrades!$B$3:$B$13)-COUNTIF(C$4:C73,"Sell_"&amp;Upgrades!$B$3:$B$13))*Upgrades!$D$3:$D$13))</f>
        <v>56429.5</v>
      </c>
      <c r="F73" s="66">
        <f>IFERROR(__xludf.DUMMYFUNCTION("IF(COUNTA(C73:C1350)=0,"""",IF(REGEXMATCH(INDEX(FILTER(C$4:C73,C$4:C73&lt;&gt;""""),ROWS(FILTER(C$4:C73,C$4:C73&lt;&gt;""""))),""^Sell_""),INDEX(FILTER(F$4:F72,C$4:C72&lt;&gt;""""),ROWS(FILTER(C$4:C72,C$4:C72&lt;&gt;""""))),$AC$5+E73))"),56629.5)</f>
        <v>56629.5</v>
      </c>
      <c r="G73" s="10">
        <f>IFERROR(__xludf.DUMMYFUNCTION("IF(COUNTA(C73:C1350)=0,"""",IF(C73="""",0,IF(REGEXMATCH(C73,""^Sell_""),-ROUNDDOWN(ROUNDUP(INDEX(Upgrades!$C$3:$C$13,MATCH(SUBSTITUTE(C73,""Sell_"",""""),Upgrades!$B$3:$B$13,0))*1.15^(COUNTIF(C$4:C72,SUBSTITUTE(C73,""Sell_"",""""))-COUNTIF(C$4:C72,""Sell_"&amp;"""&amp;SUBSTITUTE(C73,""Sell_"",""""))))/2),ROUNDUP(INDEX(Upgrades!$C$3:$C$13,MATCH(C73,Upgrades!$B$3:$B$13,0))*1.15^(COUNTIF(C$4:C72,C73)-COUNTIF(C$4:C72,""Sell_""&amp;C73))))))"),349802.0)</f>
        <v>349802</v>
      </c>
      <c r="H73" s="10">
        <f t="shared" si="3"/>
        <v>349802</v>
      </c>
      <c r="I73" s="68">
        <f t="shared" si="4"/>
        <v>2795.056257</v>
      </c>
      <c r="J73" s="59" t="str">
        <f t="shared" si="5"/>
        <v>46m 35s</v>
      </c>
      <c r="K73" s="69">
        <f t="shared" si="6"/>
        <v>24807950</v>
      </c>
      <c r="L73" s="60">
        <f t="shared" si="7"/>
        <v>-158.86054</v>
      </c>
      <c r="M73" s="61">
        <f>IFERROR(__xludf.DUMMYFUNCTION("IFS(AND(COUNTA(C73:C1350)=0,COUNTA(Q73:Q1350)=0),"""",OR(AND(K73&gt;=1000000000,OR(Y73&gt;=1000000000,COUNTA(Q73:Q1350)=0)),OR(Y73&gt;=1000000000,AND(COUNTA(C73:C1350)=0,P$3=TRUE))),
ROUNDDOWN((AB$1-AC$1)*MAX(INDEX(T$4:T1350,MATCH(LARGE(FILTER(Y$4:Y1350,Y$4:Y1350&lt;"&amp;"1000000000),1),Y$4:Y1350)),INDEX(F$4:F1350,MATCH(LARGE(FILTER(K$4:K1350,K$4:K1350&lt;1000000000),1),K$4:K1350)))),AND(K73&lt;1000000000,COUNTA(C73:C1350)&gt;0,P$3=FALSE),
ROUNDDOWN(INDEX(Y$4:Y1350,MATCH(LARGE(FILTER(W$4:W1350,W$4:W1350&lt;=I73),1),W$4:W1350))+(I73-LA"&amp;"RGE(FILTER(W$4:W1350,W$4:W1350&lt;=I73),1))*INDEX(T$4:T1350,MATCH(LARGE(FILTER(W$4:W1350,W$4:W1350&lt;=I73),1),W$4:W1350))-K73),1,
ROUNDDOWN(Y73-INDEX(K$4:K1350,MATCH(LARGE(FILTER(I$4:I1350,I$4:I1350&lt;=W73),1),I$4:I1350))-(W73-LARGE(FILTER(I$4:I1350,I$4:I1350&lt;=W"&amp;"73),1))*INDEX(F$4:F1350,MATCH(LARGE(FILTER(I$4:I1350,I$4:I1350&lt;=W73),1),I$4:I1350))))"),9366883.0)</f>
        <v>9366883</v>
      </c>
      <c r="N73" s="60">
        <f t="shared" si="8"/>
        <v>-158.86054</v>
      </c>
      <c r="O73" s="61" t="str">
        <f t="shared" si="9"/>
        <v>9,4M</v>
      </c>
      <c r="P73" s="56">
        <f t="shared" si="10"/>
        <v>3</v>
      </c>
      <c r="Q73" s="67" t="s">
        <v>60</v>
      </c>
      <c r="R73" s="10" t="b">
        <f>IFERROR(__xludf.DUMMYFUNCTION("IF(COUNTA(Q73:Q1350)=0,"""",IF(ISBLANK(Q73),FALSE,IF(NOT(COUNTIF($AA$24:$AA$34,SUBSTITUTE(Q73,""Sell_"",""""))),1,IF(REGEXMATCH(Q73,""Sell_""),IF(COUNTIF(Q$4:Q73,SUBSTITUTE(Q73,""Sell_"",""""))-COUNTIF(Q$4:Q72,Q73)&lt;1,1),FALSE))))"),FALSE)</f>
        <v>0</v>
      </c>
      <c r="S73" s="59">
        <f t="array" ref="S73">IF(COUNTA(Q73:Q1350)=0,"",SUM((COUNTIF(Q$4:Q73,Upgrades!$B$3:$B$13)-COUNTIF(Q$4:Q73,"Sell_"&amp;Upgrades!$B$3:$B$13))*Upgrades!$D$3:$D$13))</f>
        <v>1102.8</v>
      </c>
      <c r="T73" s="66">
        <f>IFERROR(__xludf.DUMMYFUNCTION("IF(COUNTA(Q73:Q1350)=0,"""",IF(REGEXMATCH(INDEX(FILTER(Q$4:Q73,Q$4:Q73&lt;&gt;""""),ROWS(FILTER(Q$4:Q73,Q$4:Q73&lt;&gt;""""))),""^Sell_""),INDEX(FILTER(T$4:T72,Q$4:Q72&lt;&gt;""""),ROWS(FILTER(Q$4:Q72,Q$4:Q72&lt;&gt;""""))),$AD$5+S73))"),2502.8)</f>
        <v>2502.8</v>
      </c>
      <c r="U73" s="10">
        <f>IFERROR(__xludf.DUMMYFUNCTION("IF(COUNTA(Q73:Q1350)=0,"""",IF(Q73="""",0,IF(REGEXMATCH(Q73,""^Sell_""),-ROUNDDOWN(ROUNDUP(INDEX(Upgrades!$C$3:$C$13,MATCH(SUBSTITUTE(Q73,""Sell_"",""""),Upgrades!$B$3:$B$13,0))*1.15^(COUNTIF(Q$4:Q72,SUBSTITUTE(Q73,""Sell_"",""""))-COUNTIF(Q$4:Q72,""Sell_"&amp;"""&amp;SUBSTITUTE(Q73,""Sell_"",""""))))/2),ROUNDUP(INDEX(Upgrades!$C$3:$C$13,MATCH(Q73,Upgrades!$B$3:$B$13,0))*1.15^(COUNTIF(Q$4:Q72,Q73)-COUNTIF(Q$4:Q72,""Sell_""&amp;Q73))))))"),-115000.0)</f>
        <v>-115000</v>
      </c>
      <c r="V73" s="10">
        <f t="shared" si="11"/>
        <v>-399337</v>
      </c>
      <c r="W73" s="68">
        <f t="shared" si="12"/>
        <v>1281.098864</v>
      </c>
      <c r="X73" s="59" t="str">
        <f t="shared" si="13"/>
        <v>21m 21s</v>
      </c>
      <c r="Y73" s="69">
        <f t="shared" si="14"/>
        <v>1288223</v>
      </c>
      <c r="Z73" s="11"/>
    </row>
    <row r="74">
      <c r="A74" s="8"/>
      <c r="B74" s="56">
        <f t="shared" si="2"/>
        <v>9</v>
      </c>
      <c r="C74" s="57" t="s">
        <v>10</v>
      </c>
      <c r="D74" s="10" t="b">
        <f>IFERROR(__xludf.DUMMYFUNCTION("IF(COUNTA(C74:C1350)=0,"""",IF(ISBLANK(C74),FALSE,IF(NOT(COUNTIF($AA$24:$AA$34,SUBSTITUTE(C74,""Sell_"",""""))),1,IF(REGEXMATCH(C74,""Sell_""),IF(COUNTIF(C$4:C74,SUBSTITUTE(C74,""Sell_"",""""))-COUNTIF(C$4:C73,C74)&lt;1,1),FALSE))))"),FALSE)</f>
        <v>0</v>
      </c>
      <c r="E74" s="59">
        <f t="array" ref="E74">IF(COUNTA(C74:C1350)=0,"",SUM((COUNTIF(C$4:C74,Upgrades!$B$3:$B$13)-COUNTIF(C$4:C74,"Sell_"&amp;Upgrades!$B$3:$B$13))*Upgrades!$D$3:$D$13))</f>
        <v>63095.5</v>
      </c>
      <c r="F74" s="66">
        <f>IFERROR(__xludf.DUMMYFUNCTION("IF(COUNTA(C74:C1350)=0,"""",IF(REGEXMATCH(INDEX(FILTER(C$4:C74,C$4:C74&lt;&gt;""""),ROWS(FILTER(C$4:C74,C$4:C74&lt;&gt;""""))),""^Sell_""),INDEX(FILTER(F$4:F73,C$4:C73&lt;&gt;""""),ROWS(FILTER(C$4:C73,C$4:C73&lt;&gt;""""))),$AC$5+E74))"),63295.5)</f>
        <v>63295.5</v>
      </c>
      <c r="G74" s="10">
        <f>IFERROR(__xludf.DUMMYFUNCTION("IF(COUNTA(C74:C1350)=0,"""",IF(C74="""",0,IF(REGEXMATCH(C74,""^Sell_""),-ROUNDDOWN(ROUNDUP(INDEX(Upgrades!$C$3:$C$13,MATCH(SUBSTITUTE(C74,""Sell_"",""""),Upgrades!$B$3:$B$13,0))*1.15^(COUNTIF(C$4:C73,SUBSTITUTE(C74,""Sell_"",""""))-COUNTIF(C$4:C73,""Sell_"&amp;"""&amp;SUBSTITUTE(C74,""Sell_"",""""))))/2),ROUNDUP(INDEX(Upgrades!$C$3:$C$13,MATCH(C74,Upgrades!$B$3:$B$13,0))*1.15^(COUNTIF(C$4:C73,C74)-COUNTIF(C$4:C73,""Sell_""&amp;C74))))))"),5098370.0)</f>
        <v>5098370</v>
      </c>
      <c r="H74" s="10">
        <f t="shared" si="3"/>
        <v>5098370</v>
      </c>
      <c r="I74" s="68">
        <f t="shared" si="4"/>
        <v>2885.086542</v>
      </c>
      <c r="J74" s="59" t="str">
        <f t="shared" si="5"/>
        <v>48m 05s</v>
      </c>
      <c r="K74" s="69">
        <f t="shared" si="6"/>
        <v>29906320</v>
      </c>
      <c r="L74" s="60">
        <f t="shared" si="7"/>
        <v>-158.16815</v>
      </c>
      <c r="M74" s="61">
        <f>IFERROR(__xludf.DUMMYFUNCTION("IFS(AND(COUNTA(C74:C1350)=0,COUNTA(Q74:Q1350)=0),"""",OR(AND(K74&gt;=1000000000,OR(Y74&gt;=1000000000,COUNTA(Q74:Q1350)=0)),OR(Y74&gt;=1000000000,AND(COUNTA(C74:C1350)=0,P$3=TRUE))),
ROUNDDOWN((AB$1-AC$1)*MAX(INDEX(T$4:T1350,MATCH(LARGE(FILTER(Y$4:Y1350,Y$4:Y1350&lt;"&amp;"1000000000),1),Y$4:Y1350)),INDEX(F$4:F1350,MATCH(LARGE(FILTER(K$4:K1350,K$4:K1350&lt;1000000000),1),K$4:K1350)))),AND(K74&lt;1000000000,COUNTA(C74:C1350)&gt;0,P$3=FALSE),
ROUNDDOWN(INDEX(Y$4:Y1350,MATCH(LARGE(FILTER(W$4:W1350,W$4:W1350&lt;=I74),1),W$4:W1350))+(I74-LA"&amp;"RGE(FILTER(W$4:W1350,W$4:W1350&lt;=I74),1))*INDEX(T$4:T1350,MATCH(LARGE(FILTER(W$4:W1350,W$4:W1350&lt;=I74),1),W$4:W1350))-K74),1,
ROUNDDOWN(Y74-INDEX(K$4:K1350,MATCH(LARGE(FILTER(I$4:I1350,I$4:I1350&lt;=W74),1),I$4:I1350))-(W74-LARGE(FILTER(I$4:I1350,I$4:I1350&lt;=W"&amp;"74),1))*INDEX(F$4:F1350,MATCH(LARGE(FILTER(I$4:I1350,I$4:I1350&lt;=W74),1),I$4:I1350))))"),1.0344657E7)</f>
        <v>10344657</v>
      </c>
      <c r="N74" s="60">
        <f t="shared" si="8"/>
        <v>-158.16815</v>
      </c>
      <c r="O74" s="61" t="str">
        <f t="shared" si="9"/>
        <v>10,3M</v>
      </c>
      <c r="P74" s="56">
        <f t="shared" si="10"/>
        <v>1</v>
      </c>
      <c r="Q74" s="67" t="s">
        <v>61</v>
      </c>
      <c r="R74" s="10" t="b">
        <f>IFERROR(__xludf.DUMMYFUNCTION("IF(COUNTA(Q74:Q1350)=0,"""",IF(ISBLANK(Q74),FALSE,IF(NOT(COUNTIF($AA$24:$AA$34,SUBSTITUTE(Q74,""Sell_"",""""))),1,IF(REGEXMATCH(Q74,""Sell_""),IF(COUNTIF(Q$4:Q74,SUBSTITUTE(Q74,""Sell_"",""""))-COUNTIF(Q$4:Q73,Q74)&lt;1,1),FALSE))))"),FALSE)</f>
        <v>0</v>
      </c>
      <c r="S74" s="59">
        <f t="array" ref="S74">IF(COUNTA(Q74:Q1350)=0,"",SUM((COUNTIF(Q$4:Q74,Upgrades!$B$3:$B$13)-COUNTIF(Q$4:Q74,"Sell_"&amp;Upgrades!$B$3:$B$13))*Upgrades!$D$3:$D$13))</f>
        <v>1002.8</v>
      </c>
      <c r="T74" s="66">
        <f>IFERROR(__xludf.DUMMYFUNCTION("IF(COUNTA(Q74:Q1350)=0,"""",IF(REGEXMATCH(INDEX(FILTER(Q$4:Q74,Q$4:Q74&lt;&gt;""""),ROWS(FILTER(Q$4:Q74,Q$4:Q74&lt;&gt;""""))),""^Sell_""),INDEX(FILTER(T$4:T73,Q$4:Q73&lt;&gt;""""),ROWS(FILTER(Q$4:Q73,Q$4:Q73&lt;&gt;""""))),$AD$5+S74))"),2502.8)</f>
        <v>2502.8</v>
      </c>
      <c r="U74" s="10">
        <f>IFERROR(__xludf.DUMMYFUNCTION("IF(COUNTA(Q74:Q1350)=0,"""",IF(Q74="""",0,IF(REGEXMATCH(Q74,""^Sell_""),-ROUNDDOWN(ROUNDUP(INDEX(Upgrades!$C$3:$C$13,MATCH(SUBSTITUTE(Q74,""Sell_"",""""),Upgrades!$B$3:$B$13,0))*1.15^(COUNTIF(Q$4:Q73,SUBSTITUTE(Q74,""Sell_"",""""))-COUNTIF(Q$4:Q73,""Sell_"&amp;"""&amp;SUBSTITUTE(Q74,""Sell_"",""""))))/2),ROUNDUP(INDEX(Upgrades!$C$3:$C$13,MATCH(Q74,Upgrades!$B$3:$B$13,0))*1.15^(COUNTIF(Q$4:Q73,Q74)-COUNTIF(Q$4:Q73,""Sell_""&amp;Q74))))))"),-46261.0)</f>
        <v>-46261</v>
      </c>
      <c r="V74" s="10">
        <f t="shared" si="11"/>
        <v>-445598</v>
      </c>
      <c r="W74" s="68">
        <f t="shared" si="12"/>
        <v>1281.098864</v>
      </c>
      <c r="X74" s="59" t="str">
        <f t="shared" si="13"/>
        <v>21m 21s</v>
      </c>
      <c r="Y74" s="69">
        <f t="shared" si="14"/>
        <v>1288223</v>
      </c>
      <c r="Z74" s="11"/>
    </row>
    <row r="75">
      <c r="A75" s="8"/>
      <c r="B75" s="56">
        <f t="shared" si="2"/>
        <v>6</v>
      </c>
      <c r="C75" s="57" t="s">
        <v>9</v>
      </c>
      <c r="D75" s="10" t="b">
        <f>IFERROR(__xludf.DUMMYFUNCTION("IF(COUNTA(C75:C1350)=0,"""",IF(ISBLANK(C75),FALSE,IF(NOT(COUNTIF($AA$24:$AA$34,SUBSTITUTE(C75,""Sell_"",""""))),1,IF(REGEXMATCH(C75,""Sell_""),IF(COUNTIF(C$4:C75,SUBSTITUTE(C75,""Sell_"",""""))-COUNTIF(C$4:C74,C75)&lt;1,1),FALSE))))"),FALSE)</f>
        <v>0</v>
      </c>
      <c r="E75" s="59">
        <f t="array" ref="E75">IF(COUNTA(C75:C1350)=0,"",SUM((COUNTIF(C$4:C75,Upgrades!$B$3:$B$13)-COUNTIF(C$4:C75,"Sell_"&amp;Upgrades!$B$3:$B$13))*Upgrades!$D$3:$D$13))</f>
        <v>63495.5</v>
      </c>
      <c r="F75" s="66">
        <f>IFERROR(__xludf.DUMMYFUNCTION("IF(COUNTA(C75:C1350)=0,"""",IF(REGEXMATCH(INDEX(FILTER(C$4:C75,C$4:C75&lt;&gt;""""),ROWS(FILTER(C$4:C75,C$4:C75&lt;&gt;""""))),""^Sell_""),INDEX(FILTER(F$4:F74,C$4:C74&lt;&gt;""""),ROWS(FILTER(C$4:C74,C$4:C74&lt;&gt;""""))),$AC$5+E75))"),63695.5)</f>
        <v>63695.5</v>
      </c>
      <c r="G75" s="10">
        <f>IFERROR(__xludf.DUMMYFUNCTION("IF(COUNTA(C75:C1350)=0,"""",IF(C75="""",0,IF(REGEXMATCH(C75,""^Sell_""),-ROUNDDOWN(ROUNDUP(INDEX(Upgrades!$C$3:$C$13,MATCH(SUBSTITUTE(C75,""Sell_"",""""),Upgrades!$B$3:$B$13,0))*1.15^(COUNTIF(C$4:C74,SUBSTITUTE(C75,""Sell_"",""""))-COUNTIF(C$4:C74,""Sell_"&amp;"""&amp;SUBSTITUTE(C75,""Sell_"",""""))))/2),ROUNDUP(INDEX(Upgrades!$C$3:$C$13,MATCH(C75,Upgrades!$B$3:$B$13,0))*1.15^(COUNTIF(C$4:C74,C75)-COUNTIF(C$4:C74,""Sell_""&amp;C75))))))"),402272.0)</f>
        <v>402272</v>
      </c>
      <c r="H75" s="10">
        <f t="shared" si="3"/>
        <v>402272</v>
      </c>
      <c r="I75" s="68">
        <f t="shared" si="4"/>
        <v>2891.442002</v>
      </c>
      <c r="J75" s="59" t="str">
        <f t="shared" si="5"/>
        <v>48m 11s</v>
      </c>
      <c r="K75" s="69">
        <f t="shared" si="6"/>
        <v>30308592</v>
      </c>
      <c r="L75" s="60">
        <f t="shared" si="7"/>
        <v>-157.37063</v>
      </c>
      <c r="M75" s="61">
        <f>IFERROR(__xludf.DUMMYFUNCTION("IFS(AND(COUNTA(C75:C1350)=0,COUNTA(Q75:Q1350)=0),"""",OR(AND(K75&gt;=1000000000,OR(Y75&gt;=1000000000,COUNTA(Q75:Q1350)=0)),OR(Y75&gt;=1000000000,AND(COUNTA(C75:C1350)=0,P$3=TRUE))),
ROUNDDOWN((AB$1-AC$1)*MAX(INDEX(T$4:T1350,MATCH(LARGE(FILTER(Y$4:Y1350,Y$4:Y1350&lt;"&amp;"1000000000),1),Y$4:Y1350)),INDEX(F$4:F1350,MATCH(LARGE(FILTER(K$4:K1350,K$4:K1350&lt;1000000000),1),K$4:K1350)))),AND(K75&lt;1000000000,COUNTA(C75:C1350)&gt;0,P$3=FALSE),
ROUNDDOWN(INDEX(Y$4:Y1350,MATCH(LARGE(FILTER(W$4:W1350,W$4:W1350&lt;=I75),1),W$4:W1350))+(I75-LA"&amp;"RGE(FILTER(W$4:W1350,W$4:W1350&lt;=I75),1))*INDEX(T$4:T1350,MATCH(LARGE(FILTER(W$4:W1350,W$4:W1350&lt;=I75),1),W$4:W1350))-K75),1,
ROUNDDOWN(Y75-INDEX(K$4:K1350,MATCH(LARGE(FILTER(I$4:I1350,I$4:I1350&lt;=W75),1),I$4:I1350))-(W75-LARGE(FILTER(I$4:I1350,I$4:I1350&lt;=W"&amp;"75),1))*INDEX(F$4:F1350,MATCH(LARGE(FILTER(I$4:I1350,I$4:I1350&lt;=W75),1),I$4:I1350))))"),1.0391538E7)</f>
        <v>10391538</v>
      </c>
      <c r="N75" s="60">
        <f t="shared" si="8"/>
        <v>-157.37063</v>
      </c>
      <c r="O75" s="61" t="str">
        <f t="shared" si="9"/>
        <v>10,4M</v>
      </c>
      <c r="P75" s="56">
        <f t="shared" si="10"/>
        <v>2</v>
      </c>
      <c r="Q75" s="67" t="s">
        <v>61</v>
      </c>
      <c r="R75" s="10" t="b">
        <f>IFERROR(__xludf.DUMMYFUNCTION("IF(COUNTA(Q75:Q1350)=0,"""",IF(ISBLANK(Q75),FALSE,IF(NOT(COUNTIF($AA$24:$AA$34,SUBSTITUTE(Q75,""Sell_"",""""))),1,IF(REGEXMATCH(Q75,""Sell_""),IF(COUNTIF(Q$4:Q75,SUBSTITUTE(Q75,""Sell_"",""""))-COUNTIF(Q$4:Q74,Q75)&lt;1,1),FALSE))))"),FALSE)</f>
        <v>0</v>
      </c>
      <c r="S75" s="59">
        <f t="array" ref="S75">IF(COUNTA(Q75:Q1350)=0,"",SUM((COUNTIF(Q$4:Q75,Upgrades!$B$3:$B$13)-COUNTIF(Q$4:Q75,"Sell_"&amp;Upgrades!$B$3:$B$13))*Upgrades!$D$3:$D$13))</f>
        <v>902.8</v>
      </c>
      <c r="T75" s="66">
        <f>IFERROR(__xludf.DUMMYFUNCTION("IF(COUNTA(Q75:Q1350)=0,"""",IF(REGEXMATCH(INDEX(FILTER(Q$4:Q75,Q$4:Q75&lt;&gt;""""),ROWS(FILTER(Q$4:Q75,Q$4:Q75&lt;&gt;""""))),""^Sell_""),INDEX(FILTER(T$4:T74,Q$4:Q74&lt;&gt;""""),ROWS(FILTER(Q$4:Q74,Q$4:Q74&lt;&gt;""""))),$AD$5+S75))"),2502.8)</f>
        <v>2502.8</v>
      </c>
      <c r="U75" s="10">
        <f>IFERROR(__xludf.DUMMYFUNCTION("IF(COUNTA(Q75:Q1350)=0,"""",IF(Q75="""",0,IF(REGEXMATCH(Q75,""^Sell_""),-ROUNDDOWN(ROUNDUP(INDEX(Upgrades!$C$3:$C$13,MATCH(SUBSTITUTE(Q75,""Sell_"",""""),Upgrades!$B$3:$B$13,0))*1.15^(COUNTIF(Q$4:Q74,SUBSTITUTE(Q75,""Sell_"",""""))-COUNTIF(Q$4:Q74,""Sell_"&amp;"""&amp;SUBSTITUTE(Q75,""Sell_"",""""))))/2),ROUNDUP(INDEX(Upgrades!$C$3:$C$13,MATCH(Q75,Upgrades!$B$3:$B$13,0))*1.15^(COUNTIF(Q$4:Q74,Q75)-COUNTIF(Q$4:Q74,""Sell_""&amp;Q75))))))"),-40227.0)</f>
        <v>-40227</v>
      </c>
      <c r="V75" s="10">
        <f t="shared" si="11"/>
        <v>-485825</v>
      </c>
      <c r="W75" s="68">
        <f t="shared" si="12"/>
        <v>1281.098864</v>
      </c>
      <c r="X75" s="59" t="str">
        <f t="shared" si="13"/>
        <v>21m 21s</v>
      </c>
      <c r="Y75" s="69">
        <f t="shared" si="14"/>
        <v>1288223</v>
      </c>
      <c r="Z75" s="11"/>
    </row>
    <row r="76">
      <c r="A76" s="8"/>
      <c r="B76" s="56">
        <f t="shared" si="2"/>
        <v>7</v>
      </c>
      <c r="C76" s="57" t="s">
        <v>8</v>
      </c>
      <c r="D76" s="10" t="b">
        <f>IFERROR(__xludf.DUMMYFUNCTION("IF(COUNTA(C76:C1350)=0,"""",IF(ISBLANK(C76),FALSE,IF(NOT(COUNTIF($AA$24:$AA$34,SUBSTITUTE(C76,""Sell_"",""""))),1,IF(REGEXMATCH(C76,""Sell_""),IF(COUNTIF(C$4:C76,SUBSTITUTE(C76,""Sell_"",""""))-COUNTIF(C$4:C75,C76)&lt;1,1),FALSE))))"),FALSE)</f>
        <v>0</v>
      </c>
      <c r="E76" s="59">
        <f t="array" ref="E76">IF(COUNTA(C76:C1350)=0,"",SUM((COUNTIF(C$4:C76,Upgrades!$B$3:$B$13)-COUNTIF(C$4:C76,"Sell_"&amp;Upgrades!$B$3:$B$13))*Upgrades!$D$3:$D$13))</f>
        <v>63595.5</v>
      </c>
      <c r="F76" s="66">
        <f>IFERROR(__xludf.DUMMYFUNCTION("IF(COUNTA(C76:C1350)=0,"""",IF(REGEXMATCH(INDEX(FILTER(C$4:C76,C$4:C76&lt;&gt;""""),ROWS(FILTER(C$4:C76,C$4:C76&lt;&gt;""""))),""^Sell_""),INDEX(FILTER(F$4:F75,C$4:C75&lt;&gt;""""),ROWS(FILTER(C$4:C75,C$4:C75&lt;&gt;""""))),$AC$5+E76))"),63795.5)</f>
        <v>63795.5</v>
      </c>
      <c r="G76" s="10">
        <f>IFERROR(__xludf.DUMMYFUNCTION("IF(COUNTA(C76:C1350)=0,"""",IF(C76="""",0,IF(REGEXMATCH(C76,""^Sell_""),-ROUNDDOWN(ROUNDUP(INDEX(Upgrades!$C$3:$C$13,MATCH(SUBSTITUTE(C76,""Sell_"",""""),Upgrades!$B$3:$B$13,0))*1.15^(COUNTIF(C$4:C75,SUBSTITUTE(C76,""Sell_"",""""))-COUNTIF(C$4:C75,""Sell_"&amp;"""&amp;SUBSTITUTE(C76,""Sell_"",""""))))/2),ROUNDUP(INDEX(Upgrades!$C$3:$C$13,MATCH(C76,Upgrades!$B$3:$B$13,0))*1.15^(COUNTIF(C$4:C75,C76)-COUNTIF(C$4:C75,""Sell_""&amp;C76))))))"),92523.0)</f>
        <v>92523</v>
      </c>
      <c r="H76" s="10">
        <f t="shared" si="3"/>
        <v>92523</v>
      </c>
      <c r="I76" s="68">
        <f t="shared" si="4"/>
        <v>2892.894584</v>
      </c>
      <c r="J76" s="59" t="str">
        <f t="shared" si="5"/>
        <v>48m 12s</v>
      </c>
      <c r="K76" s="69">
        <f t="shared" si="6"/>
        <v>30401115</v>
      </c>
      <c r="L76" s="60">
        <f t="shared" si="7"/>
        <v>-157.35277</v>
      </c>
      <c r="M76" s="61">
        <f>IFERROR(__xludf.DUMMYFUNCTION("IFS(AND(COUNTA(C76:C1350)=0,COUNTA(Q76:Q1350)=0),"""",OR(AND(K76&gt;=1000000000,OR(Y76&gt;=1000000000,COUNTA(Q76:Q1350)=0)),OR(Y76&gt;=1000000000,AND(COUNTA(C76:C1350)=0,P$3=TRUE))),
ROUNDDOWN((AB$1-AC$1)*MAX(INDEX(T$4:T1350,MATCH(LARGE(FILTER(Y$4:Y1350,Y$4:Y1350&lt;"&amp;"1000000000),1),Y$4:Y1350)),INDEX(F$4:F1350,MATCH(LARGE(FILTER(K$4:K1350,K$4:K1350&lt;1000000000),1),K$4:K1350)))),AND(K76&lt;1000000000,COUNTA(C76:C1350)&gt;0,P$3=FALSE),
ROUNDDOWN(INDEX(Y$4:Y1350,MATCH(LARGE(FILTER(W$4:W1350,W$4:W1350&lt;=I76),1),W$4:W1350))+(I76-LA"&amp;"RGE(FILTER(W$4:W1350,W$4:W1350&lt;=I76),1))*INDEX(T$4:T1350,MATCH(LARGE(FILTER(W$4:W1350,W$4:W1350&lt;=I76),1),W$4:W1350))-K76),1,
ROUNDDOWN(Y76-INDEX(K$4:K1350,MATCH(LARGE(FILTER(I$4:I1350,I$4:I1350&lt;=W76),1),I$4:I1350))-(W76-LARGE(FILTER(I$4:I1350,I$4:I1350&lt;=W"&amp;"76),1))*INDEX(F$4:F1350,MATCH(LARGE(FILTER(I$4:I1350,I$4:I1350&lt;=W76),1),I$4:I1350))))"),1.0401672E7)</f>
        <v>10401672</v>
      </c>
      <c r="N76" s="60">
        <f t="shared" si="8"/>
        <v>-157.35277</v>
      </c>
      <c r="O76" s="61" t="str">
        <f t="shared" si="9"/>
        <v>10,4M</v>
      </c>
      <c r="P76" s="56">
        <f t="shared" si="10"/>
        <v>2</v>
      </c>
      <c r="Q76" s="67" t="s">
        <v>59</v>
      </c>
      <c r="R76" s="10" t="b">
        <f>IFERROR(__xludf.DUMMYFUNCTION("IF(COUNTA(Q76:Q1350)=0,"""",IF(ISBLANK(Q76),FALSE,IF(NOT(COUNTIF($AA$24:$AA$34,SUBSTITUTE(Q76,""Sell_"",""""))),1,IF(REGEXMATCH(Q76,""Sell_""),IF(COUNTIF(Q$4:Q76,SUBSTITUTE(Q76,""Sell_"",""""))-COUNTIF(Q$4:Q75,Q76)&lt;1,1),FALSE))))"),FALSE)</f>
        <v>0</v>
      </c>
      <c r="S76" s="59">
        <f t="array" ref="S76">IF(COUNTA(Q76:Q1350)=0,"",SUM((COUNTIF(Q$4:Q76,Upgrades!$B$3:$B$13)-COUNTIF(Q$4:Q76,"Sell_"&amp;Upgrades!$B$3:$B$13))*Upgrades!$D$3:$D$13))</f>
        <v>862.8</v>
      </c>
      <c r="T76" s="66">
        <f>IFERROR(__xludf.DUMMYFUNCTION("IF(COUNTA(Q76:Q1350)=0,"""",IF(REGEXMATCH(INDEX(FILTER(Q$4:Q76,Q$4:Q76&lt;&gt;""""),ROWS(FILTER(Q$4:Q76,Q$4:Q76&lt;&gt;""""))),""^Sell_""),INDEX(FILTER(T$4:T75,Q$4:Q75&lt;&gt;""""),ROWS(FILTER(Q$4:Q75,Q$4:Q75&lt;&gt;""""))),$AD$5+S76))"),2502.8)</f>
        <v>2502.8</v>
      </c>
      <c r="U76" s="10">
        <f>IFERROR(__xludf.DUMMYFUNCTION("IF(COUNTA(Q76:Q1350)=0,"""",IF(Q76="""",0,IF(REGEXMATCH(Q76,""^Sell_""),-ROUNDDOWN(ROUNDUP(INDEX(Upgrades!$C$3:$C$13,MATCH(SUBSTITUTE(Q76,""Sell_"",""""),Upgrades!$B$3:$B$13,0))*1.15^(COUNTIF(Q$4:Q75,SUBSTITUTE(Q76,""Sell_"",""""))-COUNTIF(Q$4:Q75,""Sell_"&amp;"""&amp;SUBSTITUTE(Q76,""Sell_"",""""))))/2),ROUNDUP(INDEX(Upgrades!$C$3:$C$13,MATCH(Q76,Upgrades!$B$3:$B$13,0))*1.15^(COUNTIF(Q$4:Q75,Q76)-COUNTIF(Q$4:Q75,""Sell_""&amp;Q76))))))"),-17589.0)</f>
        <v>-17589</v>
      </c>
      <c r="V76" s="10">
        <f t="shared" si="11"/>
        <v>-503414</v>
      </c>
      <c r="W76" s="68">
        <f t="shared" si="12"/>
        <v>1281.098864</v>
      </c>
      <c r="X76" s="59" t="str">
        <f t="shared" si="13"/>
        <v>21m 21s</v>
      </c>
      <c r="Y76" s="69">
        <f t="shared" si="14"/>
        <v>1288223</v>
      </c>
      <c r="Z76" s="11"/>
    </row>
    <row r="77">
      <c r="A77" s="8"/>
      <c r="B77" s="56">
        <f t="shared" si="2"/>
        <v>10</v>
      </c>
      <c r="C77" s="57" t="s">
        <v>7</v>
      </c>
      <c r="D77" s="10" t="b">
        <f>IFERROR(__xludf.DUMMYFUNCTION("IF(COUNTA(C77:C1350)=0,"""",IF(ISBLANK(C77),FALSE,IF(NOT(COUNTIF($AA$24:$AA$34,SUBSTITUTE(C77,""Sell_"",""""))),1,IF(REGEXMATCH(C77,""Sell_""),IF(COUNTIF(C$4:C77,SUBSTITUTE(C77,""Sell_"",""""))-COUNTIF(C$4:C76,C77)&lt;1,1),FALSE))))"),FALSE)</f>
        <v>0</v>
      </c>
      <c r="E77" s="59">
        <f t="array" ref="E77">IF(COUNTA(C77:C1350)=0,"",SUM((COUNTIF(C$4:C77,Upgrades!$B$3:$B$13)-COUNTIF(C$4:C77,"Sell_"&amp;Upgrades!$B$3:$B$13))*Upgrades!$D$3:$D$13))</f>
        <v>63635.5</v>
      </c>
      <c r="F77" s="66">
        <f>IFERROR(__xludf.DUMMYFUNCTION("IF(COUNTA(C77:C1350)=0,"""",IF(REGEXMATCH(INDEX(FILTER(C$4:C77,C$4:C77&lt;&gt;""""),ROWS(FILTER(C$4:C77,C$4:C77&lt;&gt;""""))),""^Sell_""),INDEX(FILTER(F$4:F76,C$4:C76&lt;&gt;""""),ROWS(FILTER(C$4:C76,C$4:C76&lt;&gt;""""))),$AC$5+E77))"),63835.5)</f>
        <v>63835.5</v>
      </c>
      <c r="G77" s="10">
        <f>IFERROR(__xludf.DUMMYFUNCTION("IF(COUNTA(C77:C1350)=0,"""",IF(C77="""",0,IF(REGEXMATCH(C77,""^Sell_""),-ROUNDDOWN(ROUNDUP(INDEX(Upgrades!$C$3:$C$13,MATCH(SUBSTITUTE(C77,""Sell_"",""""),Upgrades!$B$3:$B$13,0))*1.15^(COUNTIF(C$4:C76,SUBSTITUTE(C77,""Sell_"",""""))-COUNTIF(C$4:C76,""Sell_"&amp;"""&amp;SUBSTITUTE(C77,""Sell_"",""""))))/2),ROUNDUP(INDEX(Upgrades!$C$3:$C$13,MATCH(C77,Upgrades!$B$3:$B$13,0))*1.15^(COUNTIF(C$4:C76,C77)-COUNTIF(C$4:C76,""Sell_""&amp;C77))))))"),35179.0)</f>
        <v>35179</v>
      </c>
      <c r="H77" s="10">
        <f t="shared" si="3"/>
        <v>35179</v>
      </c>
      <c r="I77" s="68">
        <f t="shared" si="4"/>
        <v>2893.446018</v>
      </c>
      <c r="J77" s="59" t="str">
        <f t="shared" si="5"/>
        <v>48m 13s</v>
      </c>
      <c r="K77" s="69">
        <f t="shared" si="6"/>
        <v>30436294</v>
      </c>
      <c r="L77" s="60">
        <f t="shared" si="7"/>
        <v>-157.34525</v>
      </c>
      <c r="M77" s="61">
        <f>IFERROR(__xludf.DUMMYFUNCTION("IFS(AND(COUNTA(C77:C1350)=0,COUNTA(Q77:Q1350)=0),"""",OR(AND(K77&gt;=1000000000,OR(Y77&gt;=1000000000,COUNTA(Q77:Q1350)=0)),OR(Y77&gt;=1000000000,AND(COUNTA(C77:C1350)=0,P$3=TRUE))),
ROUNDDOWN((AB$1-AC$1)*MAX(INDEX(T$4:T1350,MATCH(LARGE(FILTER(Y$4:Y1350,Y$4:Y1350&lt;"&amp;"1000000000),1),Y$4:Y1350)),INDEX(F$4:F1350,MATCH(LARGE(FILTER(K$4:K1350,K$4:K1350&lt;1000000000),1),K$4:K1350)))),AND(K77&lt;1000000000,COUNTA(C77:C1350)&gt;0,P$3=FALSE),
ROUNDDOWN(INDEX(Y$4:Y1350,MATCH(LARGE(FILTER(W$4:W1350,W$4:W1350&lt;=I77),1),W$4:W1350))+(I77-LA"&amp;"RGE(FILTER(W$4:W1350,W$4:W1350&lt;=I77),1))*INDEX(T$4:T1350,MATCH(LARGE(FILTER(W$4:W1350,W$4:W1350&lt;=I77),1),W$4:W1350))-K77),1,
ROUNDDOWN(Y77-INDEX(K$4:K1350,MATCH(LARGE(FILTER(I$4:I1350,I$4:I1350&lt;=W77),1),I$4:I1350))-(W77-LARGE(FILTER(I$4:I1350,I$4:I1350&lt;=W"&amp;"77),1))*INDEX(F$4:F1350,MATCH(LARGE(FILTER(I$4:I1350,I$4:I1350&lt;=W77),1),I$4:I1350))))"),1.0405464E7)</f>
        <v>10405464</v>
      </c>
      <c r="N77" s="60">
        <f t="shared" si="8"/>
        <v>-157.34525</v>
      </c>
      <c r="O77" s="61" t="str">
        <f t="shared" si="9"/>
        <v>10,4M</v>
      </c>
      <c r="P77" s="56">
        <f t="shared" si="10"/>
        <v>3</v>
      </c>
      <c r="Q77" s="67" t="s">
        <v>59</v>
      </c>
      <c r="R77" s="10" t="b">
        <f>IFERROR(__xludf.DUMMYFUNCTION("IF(COUNTA(Q77:Q1350)=0,"""",IF(ISBLANK(Q77),FALSE,IF(NOT(COUNTIF($AA$24:$AA$34,SUBSTITUTE(Q77,""Sell_"",""""))),1,IF(REGEXMATCH(Q77,""Sell_""),IF(COUNTIF(Q$4:Q77,SUBSTITUTE(Q77,""Sell_"",""""))-COUNTIF(Q$4:Q76,Q77)&lt;1,1),FALSE))))"),FALSE)</f>
        <v>0</v>
      </c>
      <c r="S77" s="59">
        <f t="array" ref="S77">IF(COUNTA(Q77:Q1350)=0,"",SUM((COUNTIF(Q$4:Q77,Upgrades!$B$3:$B$13)-COUNTIF(Q$4:Q77,"Sell_"&amp;Upgrades!$B$3:$B$13))*Upgrades!$D$3:$D$13))</f>
        <v>822.8</v>
      </c>
      <c r="T77" s="66">
        <f>IFERROR(__xludf.DUMMYFUNCTION("IF(COUNTA(Q77:Q1350)=0,"""",IF(REGEXMATCH(INDEX(FILTER(Q$4:Q77,Q$4:Q77&lt;&gt;""""),ROWS(FILTER(Q$4:Q77,Q$4:Q77&lt;&gt;""""))),""^Sell_""),INDEX(FILTER(T$4:T76,Q$4:Q76&lt;&gt;""""),ROWS(FILTER(Q$4:Q76,Q$4:Q76&lt;&gt;""""))),$AD$5+S77))"),2502.8)</f>
        <v>2502.8</v>
      </c>
      <c r="U77" s="10">
        <f>IFERROR(__xludf.DUMMYFUNCTION("IF(COUNTA(Q77:Q1350)=0,"""",IF(Q77="""",0,IF(REGEXMATCH(Q77,""^Sell_""),-ROUNDDOWN(ROUNDUP(INDEX(Upgrades!$C$3:$C$13,MATCH(SUBSTITUTE(Q77,""Sell_"",""""),Upgrades!$B$3:$B$13,0))*1.15^(COUNTIF(Q$4:Q76,SUBSTITUTE(Q77,""Sell_"",""""))-COUNTIF(Q$4:Q76,""Sell_"&amp;"""&amp;SUBSTITUTE(Q77,""Sell_"",""""))))/2),ROUNDUP(INDEX(Upgrades!$C$3:$C$13,MATCH(Q77,Upgrades!$B$3:$B$13,0))*1.15^(COUNTIF(Q$4:Q76,Q77)-COUNTIF(Q$4:Q76,""Sell_""&amp;Q77))))))"),-15295.0)</f>
        <v>-15295</v>
      </c>
      <c r="V77" s="10">
        <f t="shared" si="11"/>
        <v>-518709</v>
      </c>
      <c r="W77" s="68">
        <f t="shared" si="12"/>
        <v>1281.098864</v>
      </c>
      <c r="X77" s="59" t="str">
        <f t="shared" si="13"/>
        <v>21m 21s</v>
      </c>
      <c r="Y77" s="69">
        <f t="shared" si="14"/>
        <v>1288223</v>
      </c>
      <c r="Z77" s="11"/>
    </row>
    <row r="78">
      <c r="A78" s="8"/>
      <c r="B78" s="56">
        <f t="shared" si="2"/>
        <v>9</v>
      </c>
      <c r="C78" s="57" t="s">
        <v>6</v>
      </c>
      <c r="D78" s="10" t="b">
        <f>IFERROR(__xludf.DUMMYFUNCTION("IF(COUNTA(C78:C1350)=0,"""",IF(ISBLANK(C78),FALSE,IF(NOT(COUNTIF($AA$24:$AA$34,SUBSTITUTE(C78,""Sell_"",""""))),1,IF(REGEXMATCH(C78,""Sell_""),IF(COUNTIF(C$4:C78,SUBSTITUTE(C78,""Sell_"",""""))-COUNTIF(C$4:C77,C78)&lt;1,1),FALSE))))"),FALSE)</f>
        <v>0</v>
      </c>
      <c r="E78" s="59">
        <f t="array" ref="E78">IF(COUNTA(C78:C1350)=0,"",SUM((COUNTIF(C$4:C78,Upgrades!$B$3:$B$13)-COUNTIF(C$4:C78,"Sell_"&amp;Upgrades!$B$3:$B$13))*Upgrades!$D$3:$D$13))</f>
        <v>63645.5</v>
      </c>
      <c r="F78" s="66">
        <f>IFERROR(__xludf.DUMMYFUNCTION("IF(COUNTA(C78:C1350)=0,"""",IF(REGEXMATCH(INDEX(FILTER(C$4:C78,C$4:C78&lt;&gt;""""),ROWS(FILTER(C$4:C78,C$4:C78&lt;&gt;""""))),""^Sell_""),INDEX(FILTER(F$4:F77,C$4:C77&lt;&gt;""""),ROWS(FILTER(C$4:C77,C$4:C77&lt;&gt;""""))),$AC$5+E78))"),63845.5)</f>
        <v>63845.5</v>
      </c>
      <c r="G78" s="10">
        <f>IFERROR(__xludf.DUMMYFUNCTION("IF(COUNTA(C78:C1350)=0,"""",IF(C78="""",0,IF(REGEXMATCH(C78,""^Sell_""),-ROUNDDOWN(ROUNDUP(INDEX(Upgrades!$C$3:$C$13,MATCH(SUBSTITUTE(C78,""Sell_"",""""),Upgrades!$B$3:$B$13,0))*1.15^(COUNTIF(C$4:C77,SUBSTITUTE(C78,""Sell_"",""""))-COUNTIF(C$4:C77,""Sell_"&amp;"""&amp;SUBSTITUTE(C78,""Sell_"",""""))))/2),ROUNDUP(INDEX(Upgrades!$C$3:$C$13,MATCH(C78,Upgrades!$B$3:$B$13,0))*1.15^(COUNTIF(C$4:C77,C78)-COUNTIF(C$4:C77,""Sell_""&amp;C78))))))"),9178.0)</f>
        <v>9178</v>
      </c>
      <c r="H78" s="10">
        <f t="shared" si="3"/>
        <v>9178</v>
      </c>
      <c r="I78" s="68">
        <f t="shared" si="4"/>
        <v>2893.589794</v>
      </c>
      <c r="J78" s="59" t="str">
        <f t="shared" si="5"/>
        <v>48m 13s</v>
      </c>
      <c r="K78" s="69">
        <f t="shared" si="6"/>
        <v>30445472</v>
      </c>
      <c r="L78" s="60">
        <f t="shared" si="7"/>
        <v>-157.34319</v>
      </c>
      <c r="M78" s="61">
        <f>IFERROR(__xludf.DUMMYFUNCTION("IFS(AND(COUNTA(C78:C1350)=0,COUNTA(Q78:Q1350)=0),"""",OR(AND(K78&gt;=1000000000,OR(Y78&gt;=1000000000,COUNTA(Q78:Q1350)=0)),OR(Y78&gt;=1000000000,AND(COUNTA(C78:C1350)=0,P$3=TRUE))),
ROUNDDOWN((AB$1-AC$1)*MAX(INDEX(T$4:T1350,MATCH(LARGE(FILTER(Y$4:Y1350,Y$4:Y1350&lt;"&amp;"1000000000),1),Y$4:Y1350)),INDEX(F$4:F1350,MATCH(LARGE(FILTER(K$4:K1350,K$4:K1350&lt;1000000000),1),K$4:K1350)))),AND(K78&lt;1000000000,COUNTA(C78:C1350)&gt;0,P$3=FALSE),
ROUNDDOWN(INDEX(Y$4:Y1350,MATCH(LARGE(FILTER(W$4:W1350,W$4:W1350&lt;=I78),1),W$4:W1350))+(I78-LA"&amp;"RGE(FILTER(W$4:W1350,W$4:W1350&lt;=I78),1))*INDEX(T$4:T1350,MATCH(LARGE(FILTER(W$4:W1350,W$4:W1350&lt;=I78),1),W$4:W1350))-K78),1,
ROUNDDOWN(Y78-INDEX(K$4:K1350,MATCH(LARGE(FILTER(I$4:I1350,I$4:I1350&lt;=W78),1),I$4:I1350))-(W78-LARGE(FILTER(I$4:I1350,I$4:I1350&lt;=W"&amp;"78),1))*INDEX(F$4:F1350,MATCH(LARGE(FILTER(I$4:I1350,I$4:I1350&lt;=W78),1),I$4:I1350))))"),1.0406447E7)</f>
        <v>10406447</v>
      </c>
      <c r="N78" s="60">
        <f t="shared" si="8"/>
        <v>-157.34319</v>
      </c>
      <c r="O78" s="61" t="str">
        <f t="shared" si="9"/>
        <v>10,4M</v>
      </c>
      <c r="P78" s="56">
        <f t="shared" si="10"/>
        <v>4</v>
      </c>
      <c r="Q78" s="67" t="s">
        <v>59</v>
      </c>
      <c r="R78" s="10" t="b">
        <f>IFERROR(__xludf.DUMMYFUNCTION("IF(COUNTA(Q78:Q1350)=0,"""",IF(ISBLANK(Q78),FALSE,IF(NOT(COUNTIF($AA$24:$AA$34,SUBSTITUTE(Q78,""Sell_"",""""))),1,IF(REGEXMATCH(Q78,""Sell_""),IF(COUNTIF(Q$4:Q78,SUBSTITUTE(Q78,""Sell_"",""""))-COUNTIF(Q$4:Q77,Q78)&lt;1,1),FALSE))))"),FALSE)</f>
        <v>0</v>
      </c>
      <c r="S78" s="59">
        <f t="array" ref="S78">IF(COUNTA(Q78:Q1350)=0,"",SUM((COUNTIF(Q$4:Q78,Upgrades!$B$3:$B$13)-COUNTIF(Q$4:Q78,"Sell_"&amp;Upgrades!$B$3:$B$13))*Upgrades!$D$3:$D$13))</f>
        <v>782.8</v>
      </c>
      <c r="T78" s="66">
        <f>IFERROR(__xludf.DUMMYFUNCTION("IF(COUNTA(Q78:Q1350)=0,"""",IF(REGEXMATCH(INDEX(FILTER(Q$4:Q78,Q$4:Q78&lt;&gt;""""),ROWS(FILTER(Q$4:Q78,Q$4:Q78&lt;&gt;""""))),""^Sell_""),INDEX(FILTER(T$4:T77,Q$4:Q77&lt;&gt;""""),ROWS(FILTER(Q$4:Q77,Q$4:Q77&lt;&gt;""""))),$AD$5+S78))"),2502.8)</f>
        <v>2502.8</v>
      </c>
      <c r="U78" s="10">
        <f>IFERROR(__xludf.DUMMYFUNCTION("IF(COUNTA(Q78:Q1350)=0,"""",IF(Q78="""",0,IF(REGEXMATCH(Q78,""^Sell_""),-ROUNDDOWN(ROUNDUP(INDEX(Upgrades!$C$3:$C$13,MATCH(SUBSTITUTE(Q78,""Sell_"",""""),Upgrades!$B$3:$B$13,0))*1.15^(COUNTIF(Q$4:Q77,SUBSTITUTE(Q78,""Sell_"",""""))-COUNTIF(Q$4:Q77,""Sell_"&amp;"""&amp;SUBSTITUTE(Q78,""Sell_"",""""))))/2),ROUNDUP(INDEX(Upgrades!$C$3:$C$13,MATCH(Q78,Upgrades!$B$3:$B$13,0))*1.15^(COUNTIF(Q$4:Q77,Q78)-COUNTIF(Q$4:Q77,""Sell_""&amp;Q78))))))"),-13300.0)</f>
        <v>-13300</v>
      </c>
      <c r="V78" s="10">
        <f t="shared" si="11"/>
        <v>-532009</v>
      </c>
      <c r="W78" s="68">
        <f t="shared" si="12"/>
        <v>1281.098864</v>
      </c>
      <c r="X78" s="59" t="str">
        <f t="shared" si="13"/>
        <v>21m 21s</v>
      </c>
      <c r="Y78" s="69">
        <f t="shared" si="14"/>
        <v>1288223</v>
      </c>
      <c r="Z78" s="11"/>
    </row>
    <row r="79">
      <c r="A79" s="8"/>
      <c r="B79" s="56">
        <f t="shared" si="2"/>
        <v>15</v>
      </c>
      <c r="C79" s="57" t="s">
        <v>5</v>
      </c>
      <c r="D79" s="10" t="b">
        <f>IFERROR(__xludf.DUMMYFUNCTION("IF(COUNTA(C79:C1350)=0,"""",IF(ISBLANK(C79),FALSE,IF(NOT(COUNTIF($AA$24:$AA$34,SUBSTITUTE(C79,""Sell_"",""""))),1,IF(REGEXMATCH(C79,""Sell_""),IF(COUNTIF(C$4:C79,SUBSTITUTE(C79,""Sell_"",""""))-COUNTIF(C$4:C78,C79)&lt;1,1),FALSE))))"),FALSE)</f>
        <v>0</v>
      </c>
      <c r="E79" s="59">
        <f t="array" ref="E79">IF(COUNTA(C79:C1350)=0,"",SUM((COUNTIF(C$4:C79,Upgrades!$B$3:$B$13)-COUNTIF(C$4:C79,"Sell_"&amp;Upgrades!$B$3:$B$13))*Upgrades!$D$3:$D$13))</f>
        <v>63649.5</v>
      </c>
      <c r="F79" s="66">
        <f>IFERROR(__xludf.DUMMYFUNCTION("IF(COUNTA(C79:C1350)=0,"""",IF(REGEXMATCH(INDEX(FILTER(C$4:C79,C$4:C79&lt;&gt;""""),ROWS(FILTER(C$4:C79,C$4:C79&lt;&gt;""""))),""^Sell_""),INDEX(FILTER(F$4:F78,C$4:C78&lt;&gt;""""),ROWS(FILTER(C$4:C78,C$4:C78&lt;&gt;""""))),$AC$5+E79))"),63849.5)</f>
        <v>63849.5</v>
      </c>
      <c r="G79" s="10">
        <f>IFERROR(__xludf.DUMMYFUNCTION("IF(COUNTA(C79:C1350)=0,"""",IF(C79="""",0,IF(REGEXMATCH(C79,""^Sell_""),-ROUNDDOWN(ROUNDUP(INDEX(Upgrades!$C$3:$C$13,MATCH(SUBSTITUTE(C79,""Sell_"",""""),Upgrades!$B$3:$B$13,0))*1.15^(COUNTIF(C$4:C78,SUBSTITUTE(C79,""Sell_"",""""))-COUNTIF(C$4:C78,""Sell_"&amp;"""&amp;SUBSTITUTE(C79,""Sell_"",""""))))/2),ROUNDUP(INDEX(Upgrades!$C$3:$C$13,MATCH(C79,Upgrades!$B$3:$B$13,0))*1.15^(COUNTIF(C$4:C78,C79)-COUNTIF(C$4:C78,""Sell_""&amp;C79))))))"),3538.0)</f>
        <v>3538</v>
      </c>
      <c r="H79" s="10">
        <f t="shared" si="3"/>
        <v>3538</v>
      </c>
      <c r="I79" s="68">
        <f t="shared" si="4"/>
        <v>2893.645209</v>
      </c>
      <c r="J79" s="59" t="str">
        <f t="shared" si="5"/>
        <v>48m 13s</v>
      </c>
      <c r="K79" s="69">
        <f t="shared" si="6"/>
        <v>30449010</v>
      </c>
      <c r="L79" s="60">
        <f t="shared" si="7"/>
        <v>-157.34239</v>
      </c>
      <c r="M79" s="61">
        <f>IFERROR(__xludf.DUMMYFUNCTION("IFS(AND(COUNTA(C79:C1350)=0,COUNTA(Q79:Q1350)=0),"""",OR(AND(K79&gt;=1000000000,OR(Y79&gt;=1000000000,COUNTA(Q79:Q1350)=0)),OR(Y79&gt;=1000000000,AND(COUNTA(C79:C1350)=0,P$3=TRUE))),
ROUNDDOWN((AB$1-AC$1)*MAX(INDEX(T$4:T1350,MATCH(LARGE(FILTER(Y$4:Y1350,Y$4:Y1350&lt;"&amp;"1000000000),1),Y$4:Y1350)),INDEX(F$4:F1350,MATCH(LARGE(FILTER(K$4:K1350,K$4:K1350&lt;1000000000),1),K$4:K1350)))),AND(K79&lt;1000000000,COUNTA(C79:C1350)&gt;0,P$3=FALSE),
ROUNDDOWN(INDEX(Y$4:Y1350,MATCH(LARGE(FILTER(W$4:W1350,W$4:W1350&lt;=I79),1),W$4:W1350))+(I79-LA"&amp;"RGE(FILTER(W$4:W1350,W$4:W1350&lt;=I79),1))*INDEX(T$4:T1350,MATCH(LARGE(FILTER(W$4:W1350,W$4:W1350&lt;=I79),1),W$4:W1350))-K79),1,
ROUNDDOWN(Y79-INDEX(K$4:K1350,MATCH(LARGE(FILTER(I$4:I1350,I$4:I1350&lt;=W79),1),I$4:I1350))-(W79-LARGE(FILTER(I$4:I1350,I$4:I1350&lt;=W"&amp;"79),1))*INDEX(F$4:F1350,MATCH(LARGE(FILTER(I$4:I1350,I$4:I1350&lt;=W79),1),I$4:I1350))))"),1.0406825E7)</f>
        <v>10406825</v>
      </c>
      <c r="N79" s="60">
        <f t="shared" si="8"/>
        <v>-157.34239</v>
      </c>
      <c r="O79" s="61" t="str">
        <f t="shared" si="9"/>
        <v>10,4M</v>
      </c>
      <c r="P79" s="56">
        <f t="shared" si="10"/>
        <v>3</v>
      </c>
      <c r="Q79" s="67" t="s">
        <v>61</v>
      </c>
      <c r="R79" s="10" t="b">
        <f>IFERROR(__xludf.DUMMYFUNCTION("IF(COUNTA(Q79:Q1350)=0,"""",IF(ISBLANK(Q79),FALSE,IF(NOT(COUNTIF($AA$24:$AA$34,SUBSTITUTE(Q79,""Sell_"",""""))),1,IF(REGEXMATCH(Q79,""Sell_""),IF(COUNTIF(Q$4:Q79,SUBSTITUTE(Q79,""Sell_"",""""))-COUNTIF(Q$4:Q78,Q79)&lt;1,1),FALSE))))"),FALSE)</f>
        <v>0</v>
      </c>
      <c r="S79" s="59">
        <f t="array" ref="S79">IF(COUNTA(Q79:Q1350)=0,"",SUM((COUNTIF(Q$4:Q79,Upgrades!$B$3:$B$13)-COUNTIF(Q$4:Q79,"Sell_"&amp;Upgrades!$B$3:$B$13))*Upgrades!$D$3:$D$13))</f>
        <v>682.8</v>
      </c>
      <c r="T79" s="66">
        <f>IFERROR(__xludf.DUMMYFUNCTION("IF(COUNTA(Q79:Q1350)=0,"""",IF(REGEXMATCH(INDEX(FILTER(Q$4:Q79,Q$4:Q79&lt;&gt;""""),ROWS(FILTER(Q$4:Q79,Q$4:Q79&lt;&gt;""""))),""^Sell_""),INDEX(FILTER(T$4:T78,Q$4:Q78&lt;&gt;""""),ROWS(FILTER(Q$4:Q78,Q$4:Q78&lt;&gt;""""))),$AD$5+S79))"),2502.8)</f>
        <v>2502.8</v>
      </c>
      <c r="U79" s="10">
        <f>IFERROR(__xludf.DUMMYFUNCTION("IF(COUNTA(Q79:Q1350)=0,"""",IF(Q79="""",0,IF(REGEXMATCH(Q79,""^Sell_""),-ROUNDDOWN(ROUNDUP(INDEX(Upgrades!$C$3:$C$13,MATCH(SUBSTITUTE(Q79,""Sell_"",""""),Upgrades!$B$3:$B$13,0))*1.15^(COUNTIF(Q$4:Q78,SUBSTITUTE(Q79,""Sell_"",""""))-COUNTIF(Q$4:Q78,""Sell_"&amp;"""&amp;SUBSTITUTE(Q79,""Sell_"",""""))))/2),ROUNDUP(INDEX(Upgrades!$C$3:$C$13,MATCH(Q79,Upgrades!$B$3:$B$13,0))*1.15^(COUNTIF(Q$4:Q78,Q79)-COUNTIF(Q$4:Q78,""Sell_""&amp;Q79))))))"),-34980.0)</f>
        <v>-34980</v>
      </c>
      <c r="V79" s="10">
        <f t="shared" si="11"/>
        <v>-566989</v>
      </c>
      <c r="W79" s="68">
        <f t="shared" si="12"/>
        <v>1281.098864</v>
      </c>
      <c r="X79" s="59" t="str">
        <f t="shared" si="13"/>
        <v>21m 21s</v>
      </c>
      <c r="Y79" s="69">
        <f t="shared" si="14"/>
        <v>1288223</v>
      </c>
      <c r="Z79" s="11"/>
    </row>
    <row r="80">
      <c r="A80" s="8"/>
      <c r="B80" s="56">
        <f t="shared" si="2"/>
        <v>10</v>
      </c>
      <c r="C80" s="57" t="s">
        <v>10</v>
      </c>
      <c r="D80" s="10" t="b">
        <f>IFERROR(__xludf.DUMMYFUNCTION("IF(COUNTA(C80:C1350)=0,"""",IF(ISBLANK(C80),FALSE,IF(NOT(COUNTIF($AA$24:$AA$34,SUBSTITUTE(C80,""Sell_"",""""))),1,IF(REGEXMATCH(C80,""Sell_""),IF(COUNTIF(C$4:C80,SUBSTITUTE(C80,""Sell_"",""""))-COUNTIF(C$4:C79,C80)&lt;1,1),FALSE))))"),FALSE)</f>
        <v>0</v>
      </c>
      <c r="E80" s="59">
        <f t="array" ref="E80">IF(COUNTA(C80:C1350)=0,"",SUM((COUNTIF(C$4:C80,Upgrades!$B$3:$B$13)-COUNTIF(C$4:C80,"Sell_"&amp;Upgrades!$B$3:$B$13))*Upgrades!$D$3:$D$13))</f>
        <v>70315.5</v>
      </c>
      <c r="F80" s="66">
        <f>IFERROR(__xludf.DUMMYFUNCTION("IF(COUNTA(C80:C1350)=0,"""",IF(REGEXMATCH(INDEX(FILTER(C$4:C80,C$4:C80&lt;&gt;""""),ROWS(FILTER(C$4:C80,C$4:C80&lt;&gt;""""))),""^Sell_""),INDEX(FILTER(F$4:F79,C$4:C79&lt;&gt;""""),ROWS(FILTER(C$4:C79,C$4:C79&lt;&gt;""""))),$AC$5+E80))"),70515.5)</f>
        <v>70515.5</v>
      </c>
      <c r="G80" s="10">
        <f>IFERROR(__xludf.DUMMYFUNCTION("IF(COUNTA(C80:C1350)=0,"""",IF(C80="""",0,IF(REGEXMATCH(C80,""^Sell_""),-ROUNDDOWN(ROUNDUP(INDEX(Upgrades!$C$3:$C$13,MATCH(SUBSTITUTE(C80,""Sell_"",""""),Upgrades!$B$3:$B$13,0))*1.15^(COUNTIF(C$4:C79,SUBSTITUTE(C80,""Sell_"",""""))-COUNTIF(C$4:C79,""Sell_"&amp;"""&amp;SUBSTITUTE(C80,""Sell_"",""""))))/2),ROUNDUP(INDEX(Upgrades!$C$3:$C$13,MATCH(C80,Upgrades!$B$3:$B$13,0))*1.15^(COUNTIF(C$4:C79,C80)-COUNTIF(C$4:C79,""Sell_""&amp;C80))))))"),5863125.0)</f>
        <v>5863125</v>
      </c>
      <c r="H80" s="10">
        <f t="shared" si="3"/>
        <v>5863125</v>
      </c>
      <c r="I80" s="68">
        <f t="shared" si="4"/>
        <v>2985.472475</v>
      </c>
      <c r="J80" s="59" t="str">
        <f t="shared" si="5"/>
        <v>49m 45s</v>
      </c>
      <c r="K80" s="69">
        <f t="shared" si="6"/>
        <v>36312135</v>
      </c>
      <c r="L80" s="60">
        <f t="shared" si="7"/>
        <v>-156.73214</v>
      </c>
      <c r="M80" s="61">
        <f>IFERROR(__xludf.DUMMYFUNCTION("IFS(AND(COUNTA(C80:C1350)=0,COUNTA(Q80:Q1350)=0),"""",OR(AND(K80&gt;=1000000000,OR(Y80&gt;=1000000000,COUNTA(Q80:Q1350)=0)),OR(Y80&gt;=1000000000,AND(COUNTA(C80:C1350)=0,P$3=TRUE))),
ROUNDDOWN((AB$1-AC$1)*MAX(INDEX(T$4:T1350,MATCH(LARGE(FILTER(Y$4:Y1350,Y$4:Y1350&lt;"&amp;"1000000000),1),Y$4:Y1350)),INDEX(F$4:F1350,MATCH(LARGE(FILTER(K$4:K1350,K$4:K1350&lt;1000000000),1),K$4:K1350)))),AND(K80&lt;1000000000,COUNTA(C80:C1350)&gt;0,P$3=FALSE),
ROUNDDOWN(INDEX(Y$4:Y1350,MATCH(LARGE(FILTER(W$4:W1350,W$4:W1350&lt;=I80),1),W$4:W1350))+(I80-LA"&amp;"RGE(FILTER(W$4:W1350,W$4:W1350&lt;=I80),1))*INDEX(T$4:T1350,MATCH(LARGE(FILTER(W$4:W1350,W$4:W1350&lt;=I80),1),W$4:W1350))-K80),1,
ROUNDDOWN(Y80-INDEX(K$4:K1350,MATCH(LARGE(FILTER(I$4:I1350,I$4:I1350&lt;=W80),1),I$4:I1350))-(W80-LARGE(FILTER(I$4:I1350,I$4:I1350&lt;=W"&amp;"80),1))*INDEX(F$4:F1350,MATCH(LARGE(FILTER(I$4:I1350,I$4:I1350&lt;=W80),1),I$4:I1350))))"),1.1374701E7)</f>
        <v>11374701</v>
      </c>
      <c r="N80" s="60">
        <f t="shared" si="8"/>
        <v>-156.73214</v>
      </c>
      <c r="O80" s="61" t="str">
        <f t="shared" si="9"/>
        <v>11,4M</v>
      </c>
      <c r="P80" s="56">
        <f t="shared" si="10"/>
        <v>5</v>
      </c>
      <c r="Q80" s="67" t="s">
        <v>59</v>
      </c>
      <c r="R80" s="10" t="b">
        <f>IFERROR(__xludf.DUMMYFUNCTION("IF(COUNTA(Q80:Q1350)=0,"""",IF(ISBLANK(Q80),FALSE,IF(NOT(COUNTIF($AA$24:$AA$34,SUBSTITUTE(Q80,""Sell_"",""""))),1,IF(REGEXMATCH(Q80,""Sell_""),IF(COUNTIF(Q$4:Q80,SUBSTITUTE(Q80,""Sell_"",""""))-COUNTIF(Q$4:Q79,Q80)&lt;1,1),FALSE))))"),FALSE)</f>
        <v>0</v>
      </c>
      <c r="S80" s="59">
        <f t="array" ref="S80">IF(COUNTA(Q80:Q1350)=0,"",SUM((COUNTIF(Q$4:Q80,Upgrades!$B$3:$B$13)-COUNTIF(Q$4:Q80,"Sell_"&amp;Upgrades!$B$3:$B$13))*Upgrades!$D$3:$D$13))</f>
        <v>642.8</v>
      </c>
      <c r="T80" s="66">
        <f>IFERROR(__xludf.DUMMYFUNCTION("IF(COUNTA(Q80:Q1350)=0,"""",IF(REGEXMATCH(INDEX(FILTER(Q$4:Q80,Q$4:Q80&lt;&gt;""""),ROWS(FILTER(Q$4:Q80,Q$4:Q80&lt;&gt;""""))),""^Sell_""),INDEX(FILTER(T$4:T79,Q$4:Q79&lt;&gt;""""),ROWS(FILTER(Q$4:Q79,Q$4:Q79&lt;&gt;""""))),$AD$5+S80))"),2502.8)</f>
        <v>2502.8</v>
      </c>
      <c r="U80" s="10">
        <f>IFERROR(__xludf.DUMMYFUNCTION("IF(COUNTA(Q80:Q1350)=0,"""",IF(Q80="""",0,IF(REGEXMATCH(Q80,""^Sell_""),-ROUNDDOWN(ROUNDUP(INDEX(Upgrades!$C$3:$C$13,MATCH(SUBSTITUTE(Q80,""Sell_"",""""),Upgrades!$B$3:$B$13,0))*1.15^(COUNTIF(Q$4:Q79,SUBSTITUTE(Q80,""Sell_"",""""))-COUNTIF(Q$4:Q79,""Sell_"&amp;"""&amp;SUBSTITUTE(Q80,""Sell_"",""""))))/2),ROUNDUP(INDEX(Upgrades!$C$3:$C$13,MATCH(Q80,Upgrades!$B$3:$B$13,0))*1.15^(COUNTIF(Q$4:Q79,Q80)-COUNTIF(Q$4:Q79,""Sell_""&amp;Q80))))))"),-11565.0)</f>
        <v>-11565</v>
      </c>
      <c r="V80" s="10">
        <f t="shared" si="11"/>
        <v>-578554</v>
      </c>
      <c r="W80" s="68">
        <f t="shared" si="12"/>
        <v>1281.098864</v>
      </c>
      <c r="X80" s="59" t="str">
        <f t="shared" si="13"/>
        <v>21m 21s</v>
      </c>
      <c r="Y80" s="69">
        <f t="shared" si="14"/>
        <v>1288223</v>
      </c>
      <c r="Z80" s="11"/>
    </row>
    <row r="81">
      <c r="A81" s="8"/>
      <c r="B81" s="56">
        <f t="shared" si="2"/>
        <v>7</v>
      </c>
      <c r="C81" s="57" t="s">
        <v>9</v>
      </c>
      <c r="D81" s="10" t="b">
        <f>IFERROR(__xludf.DUMMYFUNCTION("IF(COUNTA(C81:C1350)=0,"""",IF(ISBLANK(C81),FALSE,IF(NOT(COUNTIF($AA$24:$AA$34,SUBSTITUTE(C81,""Sell_"",""""))),1,IF(REGEXMATCH(C81,""Sell_""),IF(COUNTIF(C$4:C81,SUBSTITUTE(C81,""Sell_"",""""))-COUNTIF(C$4:C80,C81)&lt;1,1),FALSE))))"),FALSE)</f>
        <v>0</v>
      </c>
      <c r="E81" s="59">
        <f t="array" ref="E81">IF(COUNTA(C81:C1350)=0,"",SUM((COUNTIF(C$4:C81,Upgrades!$B$3:$B$13)-COUNTIF(C$4:C81,"Sell_"&amp;Upgrades!$B$3:$B$13))*Upgrades!$D$3:$D$13))</f>
        <v>70715.5</v>
      </c>
      <c r="F81" s="66">
        <f>IFERROR(__xludf.DUMMYFUNCTION("IF(COUNTA(C81:C1350)=0,"""",IF(REGEXMATCH(INDEX(FILTER(C$4:C81,C$4:C81&lt;&gt;""""),ROWS(FILTER(C$4:C81,C$4:C81&lt;&gt;""""))),""^Sell_""),INDEX(FILTER(F$4:F80,C$4:C80&lt;&gt;""""),ROWS(FILTER(C$4:C80,C$4:C80&lt;&gt;""""))),$AC$5+E81))"),70915.5)</f>
        <v>70915.5</v>
      </c>
      <c r="G81" s="10">
        <f>IFERROR(__xludf.DUMMYFUNCTION("IF(COUNTA(C81:C1350)=0,"""",IF(C81="""",0,IF(REGEXMATCH(C81,""^Sell_""),-ROUNDDOWN(ROUNDUP(INDEX(Upgrades!$C$3:$C$13,MATCH(SUBSTITUTE(C81,""Sell_"",""""),Upgrades!$B$3:$B$13,0))*1.15^(COUNTIF(C$4:C80,SUBSTITUTE(C81,""Sell_"",""""))-COUNTIF(C$4:C80,""Sell_"&amp;"""&amp;SUBSTITUTE(C81,""Sell_"",""""))))/2),ROUNDUP(INDEX(Upgrades!$C$3:$C$13,MATCH(C81,Upgrades!$B$3:$B$13,0))*1.15^(COUNTIF(C$4:C80,C81)-COUNTIF(C$4:C80,""Sell_""&amp;C81))))))"),462613.0)</f>
        <v>462613</v>
      </c>
      <c r="H81" s="10">
        <f t="shared" si="3"/>
        <v>462613</v>
      </c>
      <c r="I81" s="68">
        <f t="shared" si="4"/>
        <v>2992.032919</v>
      </c>
      <c r="J81" s="59" t="str">
        <f t="shared" si="5"/>
        <v>49m 52s</v>
      </c>
      <c r="K81" s="69">
        <f t="shared" si="6"/>
        <v>36774748</v>
      </c>
      <c r="L81" s="60">
        <f t="shared" si="7"/>
        <v>-156.17072</v>
      </c>
      <c r="M81" s="61">
        <f>IFERROR(__xludf.DUMMYFUNCTION("IFS(AND(COUNTA(C81:C1350)=0,COUNTA(Q81:Q1350)=0),"""",OR(AND(K81&gt;=1000000000,OR(Y81&gt;=1000000000,COUNTA(Q81:Q1350)=0)),OR(Y81&gt;=1000000000,AND(COUNTA(C81:C1350)=0,P$3=TRUE))),
ROUNDDOWN((AB$1-AC$1)*MAX(INDEX(T$4:T1350,MATCH(LARGE(FILTER(Y$4:Y1350,Y$4:Y1350&lt;"&amp;"1000000000),1),Y$4:Y1350)),INDEX(F$4:F1350,MATCH(LARGE(FILTER(K$4:K1350,K$4:K1350&lt;1000000000),1),K$4:K1350)))),AND(K81&lt;1000000000,COUNTA(C81:C1350)&gt;0,P$3=FALSE),
ROUNDDOWN(INDEX(Y$4:Y1350,MATCH(LARGE(FILTER(W$4:W1350,W$4:W1350&lt;=I81),1),W$4:W1350))+(I81-LA"&amp;"RGE(FILTER(W$4:W1350,W$4:W1350&lt;=I81),1))*INDEX(T$4:T1350,MATCH(LARGE(FILTER(W$4:W1350,W$4:W1350&lt;=I81),1),W$4:W1350))-K81),1,
ROUNDDOWN(Y81-INDEX(K$4:K1350,MATCH(LARGE(FILTER(I$4:I1350,I$4:I1350&lt;=W81),1),I$4:I1350))-(W81-LARGE(FILTER(I$4:I1350,I$4:I1350&lt;=W"&amp;"81),1))*INDEX(F$4:F1350,MATCH(LARGE(FILTER(I$4:I1350,I$4:I1350&lt;=W81),1),I$4:I1350))))"),1.1423098E7)</f>
        <v>11423098</v>
      </c>
      <c r="N81" s="60">
        <f t="shared" si="8"/>
        <v>-156.17072</v>
      </c>
      <c r="O81" s="61" t="str">
        <f t="shared" si="9"/>
        <v>11,4M</v>
      </c>
      <c r="P81" s="56">
        <f t="shared" si="10"/>
        <v>6</v>
      </c>
      <c r="Q81" s="67" t="s">
        <v>59</v>
      </c>
      <c r="R81" s="10" t="b">
        <f>IFERROR(__xludf.DUMMYFUNCTION("IF(COUNTA(Q81:Q1350)=0,"""",IF(ISBLANK(Q81),FALSE,IF(NOT(COUNTIF($AA$24:$AA$34,SUBSTITUTE(Q81,""Sell_"",""""))),1,IF(REGEXMATCH(Q81,""Sell_""),IF(COUNTIF(Q$4:Q81,SUBSTITUTE(Q81,""Sell_"",""""))-COUNTIF(Q$4:Q80,Q81)&lt;1,1),FALSE))))"),FALSE)</f>
        <v>0</v>
      </c>
      <c r="S81" s="59">
        <f t="array" ref="S81">IF(COUNTA(Q81:Q1350)=0,"",SUM((COUNTIF(Q$4:Q81,Upgrades!$B$3:$B$13)-COUNTIF(Q$4:Q81,"Sell_"&amp;Upgrades!$B$3:$B$13))*Upgrades!$D$3:$D$13))</f>
        <v>602.8</v>
      </c>
      <c r="T81" s="66">
        <f>IFERROR(__xludf.DUMMYFUNCTION("IF(COUNTA(Q81:Q1350)=0,"""",IF(REGEXMATCH(INDEX(FILTER(Q$4:Q81,Q$4:Q81&lt;&gt;""""),ROWS(FILTER(Q$4:Q81,Q$4:Q81&lt;&gt;""""))),""^Sell_""),INDEX(FILTER(T$4:T80,Q$4:Q80&lt;&gt;""""),ROWS(FILTER(Q$4:Q80,Q$4:Q80&lt;&gt;""""))),$AD$5+S81))"),2502.8)</f>
        <v>2502.8</v>
      </c>
      <c r="U81" s="10">
        <f>IFERROR(__xludf.DUMMYFUNCTION("IF(COUNTA(Q81:Q1350)=0,"""",IF(Q81="""",0,IF(REGEXMATCH(Q81,""^Sell_""),-ROUNDDOWN(ROUNDUP(INDEX(Upgrades!$C$3:$C$13,MATCH(SUBSTITUTE(Q81,""Sell_"",""""),Upgrades!$B$3:$B$13,0))*1.15^(COUNTIF(Q$4:Q80,SUBSTITUTE(Q81,""Sell_"",""""))-COUNTIF(Q$4:Q80,""Sell_"&amp;"""&amp;SUBSTITUTE(Q81,""Sell_"",""""))))/2),ROUNDUP(INDEX(Upgrades!$C$3:$C$13,MATCH(Q81,Upgrades!$B$3:$B$13,0))*1.15^(COUNTIF(Q$4:Q80,Q81)-COUNTIF(Q$4:Q80,""Sell_""&amp;Q81))))))"),-10057.0)</f>
        <v>-10057</v>
      </c>
      <c r="V81" s="10">
        <f t="shared" si="11"/>
        <v>-588611</v>
      </c>
      <c r="W81" s="68">
        <f t="shared" si="12"/>
        <v>1281.098864</v>
      </c>
      <c r="X81" s="59" t="str">
        <f t="shared" si="13"/>
        <v>21m 21s</v>
      </c>
      <c r="Y81" s="69">
        <f t="shared" si="14"/>
        <v>1288223</v>
      </c>
      <c r="Z81" s="11"/>
    </row>
    <row r="82">
      <c r="A82" s="8"/>
      <c r="B82" s="56">
        <f t="shared" si="2"/>
        <v>8</v>
      </c>
      <c r="C82" s="57" t="s">
        <v>8</v>
      </c>
      <c r="D82" s="10" t="b">
        <f>IFERROR(__xludf.DUMMYFUNCTION("IF(COUNTA(C82:C1350)=0,"""",IF(ISBLANK(C82),FALSE,IF(NOT(COUNTIF($AA$24:$AA$34,SUBSTITUTE(C82,""Sell_"",""""))),1,IF(REGEXMATCH(C82,""Sell_""),IF(COUNTIF(C$4:C82,SUBSTITUTE(C82,""Sell_"",""""))-COUNTIF(C$4:C81,C82)&lt;1,1),FALSE))))"),FALSE)</f>
        <v>0</v>
      </c>
      <c r="E82" s="59">
        <f t="array" ref="E82">IF(COUNTA(C82:C1350)=0,"",SUM((COUNTIF(C$4:C82,Upgrades!$B$3:$B$13)-COUNTIF(C$4:C82,"Sell_"&amp;Upgrades!$B$3:$B$13))*Upgrades!$D$3:$D$13))</f>
        <v>70815.5</v>
      </c>
      <c r="F82" s="66">
        <f>IFERROR(__xludf.DUMMYFUNCTION("IF(COUNTA(C82:C1350)=0,"""",IF(REGEXMATCH(INDEX(FILTER(C$4:C82,C$4:C82&lt;&gt;""""),ROWS(FILTER(C$4:C82,C$4:C82&lt;&gt;""""))),""^Sell_""),INDEX(FILTER(F$4:F81,C$4:C81&lt;&gt;""""),ROWS(FILTER(C$4:C81,C$4:C81&lt;&gt;""""))),$AC$5+E82))"),71015.5)</f>
        <v>71015.5</v>
      </c>
      <c r="G82" s="10">
        <f>IFERROR(__xludf.DUMMYFUNCTION("IF(COUNTA(C82:C1350)=0,"""",IF(C82="""",0,IF(REGEXMATCH(C82,""^Sell_""),-ROUNDDOWN(ROUNDUP(INDEX(Upgrades!$C$3:$C$13,MATCH(SUBSTITUTE(C82,""Sell_"",""""),Upgrades!$B$3:$B$13,0))*1.15^(COUNTIF(C$4:C81,SUBSTITUTE(C82,""Sell_"",""""))-COUNTIF(C$4:C81,""Sell_"&amp;"""&amp;SUBSTITUTE(C82,""Sell_"",""""))))/2),ROUNDUP(INDEX(Upgrades!$C$3:$C$13,MATCH(C82,Upgrades!$B$3:$B$13,0))*1.15^(COUNTIF(C$4:C81,C82)-COUNTIF(C$4:C81,""Sell_""&amp;C82))))))"),106401.0)</f>
        <v>106401</v>
      </c>
      <c r="H82" s="10">
        <f t="shared" si="3"/>
        <v>106401</v>
      </c>
      <c r="I82" s="68">
        <f t="shared" si="4"/>
        <v>2993.53331</v>
      </c>
      <c r="J82" s="59" t="str">
        <f t="shared" si="5"/>
        <v>49m 53s</v>
      </c>
      <c r="K82" s="69">
        <f t="shared" si="6"/>
        <v>36881149</v>
      </c>
      <c r="L82" s="60">
        <f t="shared" si="7"/>
        <v>-156.15364</v>
      </c>
      <c r="M82" s="61">
        <f>IFERROR(__xludf.DUMMYFUNCTION("IFS(AND(COUNTA(C82:C1350)=0,COUNTA(Q82:Q1350)=0),"""",OR(AND(K82&gt;=1000000000,OR(Y82&gt;=1000000000,COUNTA(Q82:Q1350)=0)),OR(Y82&gt;=1000000000,AND(COUNTA(C82:C1350)=0,P$3=TRUE))),
ROUNDDOWN((AB$1-AC$1)*MAX(INDEX(T$4:T1350,MATCH(LARGE(FILTER(Y$4:Y1350,Y$4:Y1350&lt;"&amp;"1000000000),1),Y$4:Y1350)),INDEX(F$4:F1350,MATCH(LARGE(FILTER(K$4:K1350,K$4:K1350&lt;1000000000),1),K$4:K1350)))),AND(K82&lt;1000000000,COUNTA(C82:C1350)&gt;0,P$3=FALSE),
ROUNDDOWN(INDEX(Y$4:Y1350,MATCH(LARGE(FILTER(W$4:W1350,W$4:W1350&lt;=I82),1),W$4:W1350))+(I82-LA"&amp;"RGE(FILTER(W$4:W1350,W$4:W1350&lt;=I82),1))*INDEX(T$4:T1350,MATCH(LARGE(FILTER(W$4:W1350,W$4:W1350&lt;=I82),1),W$4:W1350))-K82),1,
ROUNDDOWN(Y82-INDEX(K$4:K1350,MATCH(LARGE(FILTER(I$4:I1350,I$4:I1350&lt;=W82),1),I$4:I1350))-(W82-LARGE(FILTER(I$4:I1350,I$4:I1350&lt;=W"&amp;"82),1))*INDEX(F$4:F1350,MATCH(LARGE(FILTER(I$4:I1350,I$4:I1350&lt;=W82),1),I$4:I1350))))"),1.1433567E7)</f>
        <v>11433567</v>
      </c>
      <c r="N82" s="60">
        <f t="shared" si="8"/>
        <v>-156.15364</v>
      </c>
      <c r="O82" s="61" t="str">
        <f t="shared" si="9"/>
        <v>11,4M</v>
      </c>
      <c r="P82" s="56">
        <f t="shared" si="10"/>
        <v>7</v>
      </c>
      <c r="Q82" s="67" t="s">
        <v>59</v>
      </c>
      <c r="R82" s="10" t="b">
        <f>IFERROR(__xludf.DUMMYFUNCTION("IF(COUNTA(Q82:Q1350)=0,"""",IF(ISBLANK(Q82),FALSE,IF(NOT(COUNTIF($AA$24:$AA$34,SUBSTITUTE(Q82,""Sell_"",""""))),1,IF(REGEXMATCH(Q82,""Sell_""),IF(COUNTIF(Q$4:Q82,SUBSTITUTE(Q82,""Sell_"",""""))-COUNTIF(Q$4:Q81,Q82)&lt;1,1),FALSE))))"),FALSE)</f>
        <v>0</v>
      </c>
      <c r="S82" s="59">
        <f t="array" ref="S82">IF(COUNTA(Q82:Q1350)=0,"",SUM((COUNTIF(Q$4:Q82,Upgrades!$B$3:$B$13)-COUNTIF(Q$4:Q82,"Sell_"&amp;Upgrades!$B$3:$B$13))*Upgrades!$D$3:$D$13))</f>
        <v>562.8</v>
      </c>
      <c r="T82" s="66">
        <f>IFERROR(__xludf.DUMMYFUNCTION("IF(COUNTA(Q82:Q1350)=0,"""",IF(REGEXMATCH(INDEX(FILTER(Q$4:Q82,Q$4:Q82&lt;&gt;""""),ROWS(FILTER(Q$4:Q82,Q$4:Q82&lt;&gt;""""))),""^Sell_""),INDEX(FILTER(T$4:T81,Q$4:Q81&lt;&gt;""""),ROWS(FILTER(Q$4:Q81,Q$4:Q81&lt;&gt;""""))),$AD$5+S82))"),2502.8)</f>
        <v>2502.8</v>
      </c>
      <c r="U82" s="10">
        <f>IFERROR(__xludf.DUMMYFUNCTION("IF(COUNTA(Q82:Q1350)=0,"""",IF(Q82="""",0,IF(REGEXMATCH(Q82,""^Sell_""),-ROUNDDOWN(ROUNDUP(INDEX(Upgrades!$C$3:$C$13,MATCH(SUBSTITUTE(Q82,""Sell_"",""""),Upgrades!$B$3:$B$13,0))*1.15^(COUNTIF(Q$4:Q81,SUBSTITUTE(Q82,""Sell_"",""""))-COUNTIF(Q$4:Q81,""Sell_"&amp;"""&amp;SUBSTITUTE(Q82,""Sell_"",""""))))/2),ROUNDUP(INDEX(Upgrades!$C$3:$C$13,MATCH(Q82,Upgrades!$B$3:$B$13,0))*1.15^(COUNTIF(Q$4:Q81,Q82)-COUNTIF(Q$4:Q81,""Sell_""&amp;Q82))))))"),-8745.0)</f>
        <v>-8745</v>
      </c>
      <c r="V82" s="10">
        <f t="shared" si="11"/>
        <v>-597356</v>
      </c>
      <c r="W82" s="68">
        <f t="shared" si="12"/>
        <v>1281.098864</v>
      </c>
      <c r="X82" s="59" t="str">
        <f t="shared" si="13"/>
        <v>21m 21s</v>
      </c>
      <c r="Y82" s="69">
        <f t="shared" si="14"/>
        <v>1288223</v>
      </c>
      <c r="Z82" s="11"/>
    </row>
    <row r="83">
      <c r="A83" s="8"/>
      <c r="B83" s="56">
        <f t="shared" si="2"/>
        <v>11</v>
      </c>
      <c r="C83" s="57" t="s">
        <v>7</v>
      </c>
      <c r="D83" s="10" t="b">
        <f>IFERROR(__xludf.DUMMYFUNCTION("IF(COUNTA(C83:C1350)=0,"""",IF(ISBLANK(C83),FALSE,IF(NOT(COUNTIF($AA$24:$AA$34,SUBSTITUTE(C83,""Sell_"",""""))),1,IF(REGEXMATCH(C83,""Sell_""),IF(COUNTIF(C$4:C83,SUBSTITUTE(C83,""Sell_"",""""))-COUNTIF(C$4:C82,C83)&lt;1,1),FALSE))))"),FALSE)</f>
        <v>0</v>
      </c>
      <c r="E83" s="59">
        <f t="array" ref="E83">IF(COUNTA(C83:C1350)=0,"",SUM((COUNTIF(C$4:C83,Upgrades!$B$3:$B$13)-COUNTIF(C$4:C83,"Sell_"&amp;Upgrades!$B$3:$B$13))*Upgrades!$D$3:$D$13))</f>
        <v>70855.5</v>
      </c>
      <c r="F83" s="66">
        <f>IFERROR(__xludf.DUMMYFUNCTION("IF(COUNTA(C83:C1350)=0,"""",IF(REGEXMATCH(INDEX(FILTER(C$4:C83,C$4:C83&lt;&gt;""""),ROWS(FILTER(C$4:C83,C$4:C83&lt;&gt;""""))),""^Sell_""),INDEX(FILTER(F$4:F82,C$4:C82&lt;&gt;""""),ROWS(FILTER(C$4:C82,C$4:C82&lt;&gt;""""))),$AC$5+E83))"),71055.5)</f>
        <v>71055.5</v>
      </c>
      <c r="G83" s="10">
        <f>IFERROR(__xludf.DUMMYFUNCTION("IF(COUNTA(C83:C1350)=0,"""",IF(C83="""",0,IF(REGEXMATCH(C83,""^Sell_""),-ROUNDDOWN(ROUNDUP(INDEX(Upgrades!$C$3:$C$13,MATCH(SUBSTITUTE(C83,""Sell_"",""""),Upgrades!$B$3:$B$13,0))*1.15^(COUNTIF(C$4:C82,SUBSTITUTE(C83,""Sell_"",""""))-COUNTIF(C$4:C82,""Sell_"&amp;"""&amp;SUBSTITUTE(C83,""Sell_"",""""))))/2),ROUNDUP(INDEX(Upgrades!$C$3:$C$13,MATCH(C83,Upgrades!$B$3:$B$13,0))*1.15^(COUNTIF(C$4:C82,C83)-COUNTIF(C$4:C82,""Sell_""&amp;C83))))))"),40456.0)</f>
        <v>40456</v>
      </c>
      <c r="H83" s="10">
        <f t="shared" si="3"/>
        <v>40456</v>
      </c>
      <c r="I83" s="68">
        <f t="shared" si="4"/>
        <v>2994.102989</v>
      </c>
      <c r="J83" s="59" t="str">
        <f t="shared" si="5"/>
        <v>49m 54s</v>
      </c>
      <c r="K83" s="69">
        <f t="shared" si="6"/>
        <v>36921605</v>
      </c>
      <c r="L83" s="60">
        <f t="shared" si="7"/>
        <v>-156.14634</v>
      </c>
      <c r="M83" s="61">
        <f>IFERROR(__xludf.DUMMYFUNCTION("IFS(AND(COUNTA(C83:C1350)=0,COUNTA(Q83:Q1350)=0),"""",OR(AND(K83&gt;=1000000000,OR(Y83&gt;=1000000000,COUNTA(Q83:Q1350)=0)),OR(Y83&gt;=1000000000,AND(COUNTA(C83:C1350)=0,P$3=TRUE))),
ROUNDDOWN((AB$1-AC$1)*MAX(INDEX(T$4:T1350,MATCH(LARGE(FILTER(Y$4:Y1350,Y$4:Y1350&lt;"&amp;"1000000000),1),Y$4:Y1350)),INDEX(F$4:F1350,MATCH(LARGE(FILTER(K$4:K1350,K$4:K1350&lt;1000000000),1),K$4:K1350)))),AND(K83&lt;1000000000,COUNTA(C83:C1350)&gt;0,P$3=FALSE),
ROUNDDOWN(INDEX(Y$4:Y1350,MATCH(LARGE(FILTER(W$4:W1350,W$4:W1350&lt;=I83),1),W$4:W1350))+(I83-LA"&amp;"RGE(FILTER(W$4:W1350,W$4:W1350&lt;=I83),1))*INDEX(T$4:T1350,MATCH(LARGE(FILTER(W$4:W1350,W$4:W1350&lt;=I83),1),W$4:W1350))-K83),1,
ROUNDDOWN(Y83-INDEX(K$4:K1350,MATCH(LARGE(FILTER(I$4:I1350,I$4:I1350&lt;=W83),1),I$4:I1350))-(W83-LARGE(FILTER(I$4:I1350,I$4:I1350&lt;=W"&amp;"83),1))*INDEX(F$4:F1350,MATCH(LARGE(FILTER(I$4:I1350,I$4:I1350&lt;=W83),1),I$4:I1350))))"),1.1437484E7)</f>
        <v>11437484</v>
      </c>
      <c r="N83" s="60">
        <f t="shared" si="8"/>
        <v>-156.14634</v>
      </c>
      <c r="O83" s="61" t="str">
        <f t="shared" si="9"/>
        <v>11,4M</v>
      </c>
      <c r="P83" s="56">
        <f t="shared" si="10"/>
        <v>8</v>
      </c>
      <c r="Q83" s="67" t="s">
        <v>59</v>
      </c>
      <c r="R83" s="10" t="b">
        <f>IFERROR(__xludf.DUMMYFUNCTION("IF(COUNTA(Q83:Q1350)=0,"""",IF(ISBLANK(Q83),FALSE,IF(NOT(COUNTIF($AA$24:$AA$34,SUBSTITUTE(Q83,""Sell_"",""""))),1,IF(REGEXMATCH(Q83,""Sell_""),IF(COUNTIF(Q$4:Q83,SUBSTITUTE(Q83,""Sell_"",""""))-COUNTIF(Q$4:Q82,Q83)&lt;1,1),FALSE))))"),FALSE)</f>
        <v>0</v>
      </c>
      <c r="S83" s="59">
        <f t="array" ref="S83">IF(COUNTA(Q83:Q1350)=0,"",SUM((COUNTIF(Q$4:Q83,Upgrades!$B$3:$B$13)-COUNTIF(Q$4:Q83,"Sell_"&amp;Upgrades!$B$3:$B$13))*Upgrades!$D$3:$D$13))</f>
        <v>522.8</v>
      </c>
      <c r="T83" s="66">
        <f>IFERROR(__xludf.DUMMYFUNCTION("IF(COUNTA(Q83:Q1350)=0,"""",IF(REGEXMATCH(INDEX(FILTER(Q$4:Q83,Q$4:Q83&lt;&gt;""""),ROWS(FILTER(Q$4:Q83,Q$4:Q83&lt;&gt;""""))),""^Sell_""),INDEX(FILTER(T$4:T82,Q$4:Q82&lt;&gt;""""),ROWS(FILTER(Q$4:Q82,Q$4:Q82&lt;&gt;""""))),$AD$5+S83))"),2502.8)</f>
        <v>2502.8</v>
      </c>
      <c r="U83" s="10">
        <f>IFERROR(__xludf.DUMMYFUNCTION("IF(COUNTA(Q83:Q1350)=0,"""",IF(Q83="""",0,IF(REGEXMATCH(Q83,""^Sell_""),-ROUNDDOWN(ROUNDUP(INDEX(Upgrades!$C$3:$C$13,MATCH(SUBSTITUTE(Q83,""Sell_"",""""),Upgrades!$B$3:$B$13,0))*1.15^(COUNTIF(Q$4:Q82,SUBSTITUTE(Q83,""Sell_"",""""))-COUNTIF(Q$4:Q82,""Sell_"&amp;"""&amp;SUBSTITUTE(Q83,""Sell_"",""""))))/2),ROUNDUP(INDEX(Upgrades!$C$3:$C$13,MATCH(Q83,Upgrades!$B$3:$B$13,0))*1.15^(COUNTIF(Q$4:Q82,Q83)-COUNTIF(Q$4:Q82,""Sell_""&amp;Q83))))))"),-7604.0)</f>
        <v>-7604</v>
      </c>
      <c r="V83" s="10">
        <f t="shared" si="11"/>
        <v>-604960</v>
      </c>
      <c r="W83" s="68">
        <f t="shared" si="12"/>
        <v>1281.098864</v>
      </c>
      <c r="X83" s="59" t="str">
        <f t="shared" si="13"/>
        <v>21m 21s</v>
      </c>
      <c r="Y83" s="69">
        <f t="shared" si="14"/>
        <v>1288223</v>
      </c>
      <c r="Z83" s="11"/>
    </row>
    <row r="84">
      <c r="A84" s="8"/>
      <c r="B84" s="56">
        <f t="shared" si="2"/>
        <v>10</v>
      </c>
      <c r="C84" s="57" t="s">
        <v>6</v>
      </c>
      <c r="D84" s="10" t="b">
        <f>IFERROR(__xludf.DUMMYFUNCTION("IF(COUNTA(C84:C1350)=0,"""",IF(ISBLANK(C84),FALSE,IF(NOT(COUNTIF($AA$24:$AA$34,SUBSTITUTE(C84,""Sell_"",""""))),1,IF(REGEXMATCH(C84,""Sell_""),IF(COUNTIF(C$4:C84,SUBSTITUTE(C84,""Sell_"",""""))-COUNTIF(C$4:C83,C84)&lt;1,1),FALSE))))"),FALSE)</f>
        <v>0</v>
      </c>
      <c r="E84" s="59">
        <f t="array" ref="E84">IF(COUNTA(C84:C1350)=0,"",SUM((COUNTIF(C$4:C84,Upgrades!$B$3:$B$13)-COUNTIF(C$4:C84,"Sell_"&amp;Upgrades!$B$3:$B$13))*Upgrades!$D$3:$D$13))</f>
        <v>70865.5</v>
      </c>
      <c r="F84" s="66">
        <f>IFERROR(__xludf.DUMMYFUNCTION("IF(COUNTA(C84:C1350)=0,"""",IF(REGEXMATCH(INDEX(FILTER(C$4:C84,C$4:C84&lt;&gt;""""),ROWS(FILTER(C$4:C84,C$4:C84&lt;&gt;""""))),""^Sell_""),INDEX(FILTER(F$4:F83,C$4:C83&lt;&gt;""""),ROWS(FILTER(C$4:C83,C$4:C83&lt;&gt;""""))),$AC$5+E84))"),71065.5)</f>
        <v>71065.5</v>
      </c>
      <c r="G84" s="10">
        <f>IFERROR(__xludf.DUMMYFUNCTION("IF(COUNTA(C84:C1350)=0,"""",IF(C84="""",0,IF(REGEXMATCH(C84,""^Sell_""),-ROUNDDOWN(ROUNDUP(INDEX(Upgrades!$C$3:$C$13,MATCH(SUBSTITUTE(C84,""Sell_"",""""),Upgrades!$B$3:$B$13,0))*1.15^(COUNTIF(C$4:C83,SUBSTITUTE(C84,""Sell_"",""""))-COUNTIF(C$4:C83,""Sell_"&amp;"""&amp;SUBSTITUTE(C84,""Sell_"",""""))))/2),ROUNDUP(INDEX(Upgrades!$C$3:$C$13,MATCH(C84,Upgrades!$B$3:$B$13,0))*1.15^(COUNTIF(C$4:C83,C84)-COUNTIF(C$4:C83,""Sell_""&amp;C84))))))"),10554.0)</f>
        <v>10554</v>
      </c>
      <c r="H84" s="10">
        <f t="shared" si="3"/>
        <v>10554</v>
      </c>
      <c r="I84" s="68">
        <f t="shared" si="4"/>
        <v>2994.251521</v>
      </c>
      <c r="J84" s="59" t="str">
        <f t="shared" si="5"/>
        <v>49m 54s</v>
      </c>
      <c r="K84" s="69">
        <f t="shared" si="6"/>
        <v>36932159</v>
      </c>
      <c r="L84" s="60">
        <f t="shared" si="7"/>
        <v>-156.14435</v>
      </c>
      <c r="M84" s="61">
        <f>IFERROR(__xludf.DUMMYFUNCTION("IFS(AND(COUNTA(C84:C1350)=0,COUNTA(Q84:Q1350)=0),"""",OR(AND(K84&gt;=1000000000,OR(Y84&gt;=1000000000,COUNTA(Q84:Q1350)=0)),OR(Y84&gt;=1000000000,AND(COUNTA(C84:C1350)=0,P$3=TRUE))),
ROUNDDOWN((AB$1-AC$1)*MAX(INDEX(T$4:T1350,MATCH(LARGE(FILTER(Y$4:Y1350,Y$4:Y1350&lt;"&amp;"1000000000),1),Y$4:Y1350)),INDEX(F$4:F1350,MATCH(LARGE(FILTER(K$4:K1350,K$4:K1350&lt;1000000000),1),K$4:K1350)))),AND(K84&lt;1000000000,COUNTA(C84:C1350)&gt;0,P$3=FALSE),
ROUNDDOWN(INDEX(Y$4:Y1350,MATCH(LARGE(FILTER(W$4:W1350,W$4:W1350&lt;=I84),1),W$4:W1350))+(I84-LA"&amp;"RGE(FILTER(W$4:W1350,W$4:W1350&lt;=I84),1))*INDEX(T$4:T1350,MATCH(LARGE(FILTER(W$4:W1350,W$4:W1350&lt;=I84),1),W$4:W1350))-K84),1,
ROUNDDOWN(Y84-INDEX(K$4:K1350,MATCH(LARGE(FILTER(I$4:I1350,I$4:I1350&lt;=W84),1),I$4:I1350))-(W84-LARGE(FILTER(I$4:I1350,I$4:I1350&lt;=W"&amp;"84),1))*INDEX(F$4:F1350,MATCH(LARGE(FILTER(I$4:I1350,I$4:I1350&lt;=W84),1),I$4:I1350))))"),1.14385E7)</f>
        <v>11438500</v>
      </c>
      <c r="N84" s="60">
        <f t="shared" si="8"/>
        <v>-156.14435</v>
      </c>
      <c r="O84" s="61" t="str">
        <f t="shared" si="9"/>
        <v>11,4M</v>
      </c>
      <c r="P84" s="56">
        <f t="shared" si="10"/>
        <v>9</v>
      </c>
      <c r="Q84" s="67" t="s">
        <v>59</v>
      </c>
      <c r="R84" s="10" t="b">
        <f>IFERROR(__xludf.DUMMYFUNCTION("IF(COUNTA(Q84:Q1350)=0,"""",IF(ISBLANK(Q84),FALSE,IF(NOT(COUNTIF($AA$24:$AA$34,SUBSTITUTE(Q84,""Sell_"",""""))),1,IF(REGEXMATCH(Q84,""Sell_""),IF(COUNTIF(Q$4:Q84,SUBSTITUTE(Q84,""Sell_"",""""))-COUNTIF(Q$4:Q83,Q84)&lt;1,1),FALSE))))"),FALSE)</f>
        <v>0</v>
      </c>
      <c r="S84" s="59">
        <f t="array" ref="S84">IF(COUNTA(Q84:Q1350)=0,"",SUM((COUNTIF(Q$4:Q84,Upgrades!$B$3:$B$13)-COUNTIF(Q$4:Q84,"Sell_"&amp;Upgrades!$B$3:$B$13))*Upgrades!$D$3:$D$13))</f>
        <v>482.8</v>
      </c>
      <c r="T84" s="66">
        <f>IFERROR(__xludf.DUMMYFUNCTION("IF(COUNTA(Q84:Q1350)=0,"""",IF(REGEXMATCH(INDEX(FILTER(Q$4:Q84,Q$4:Q84&lt;&gt;""""),ROWS(FILTER(Q$4:Q84,Q$4:Q84&lt;&gt;""""))),""^Sell_""),INDEX(FILTER(T$4:T83,Q$4:Q83&lt;&gt;""""),ROWS(FILTER(Q$4:Q83,Q$4:Q83&lt;&gt;""""))),$AD$5+S84))"),2502.8)</f>
        <v>2502.8</v>
      </c>
      <c r="U84" s="10">
        <f>IFERROR(__xludf.DUMMYFUNCTION("IF(COUNTA(Q84:Q1350)=0,"""",IF(Q84="""",0,IF(REGEXMATCH(Q84,""^Sell_""),-ROUNDDOWN(ROUNDUP(INDEX(Upgrades!$C$3:$C$13,MATCH(SUBSTITUTE(Q84,""Sell_"",""""),Upgrades!$B$3:$B$13,0))*1.15^(COUNTIF(Q$4:Q83,SUBSTITUTE(Q84,""Sell_"",""""))-COUNTIF(Q$4:Q83,""Sell_"&amp;"""&amp;SUBSTITUTE(Q84,""Sell_"",""""))))/2),ROUNDUP(INDEX(Upgrades!$C$3:$C$13,MATCH(Q84,Upgrades!$B$3:$B$13,0))*1.15^(COUNTIF(Q$4:Q83,Q84)-COUNTIF(Q$4:Q83,""Sell_""&amp;Q84))))))"),-6612.0)</f>
        <v>-6612</v>
      </c>
      <c r="V84" s="10">
        <f t="shared" si="11"/>
        <v>-611572</v>
      </c>
      <c r="W84" s="68">
        <f t="shared" si="12"/>
        <v>1281.098864</v>
      </c>
      <c r="X84" s="59" t="str">
        <f t="shared" si="13"/>
        <v>21m 21s</v>
      </c>
      <c r="Y84" s="69">
        <f t="shared" si="14"/>
        <v>1288223</v>
      </c>
      <c r="Z84" s="11"/>
    </row>
    <row r="85">
      <c r="A85" s="8"/>
      <c r="B85" s="56">
        <f t="shared" si="2"/>
        <v>16</v>
      </c>
      <c r="C85" s="57" t="s">
        <v>5</v>
      </c>
      <c r="D85" s="10" t="b">
        <f>IFERROR(__xludf.DUMMYFUNCTION("IF(COUNTA(C85:C1350)=0,"""",IF(ISBLANK(C85),FALSE,IF(NOT(COUNTIF($AA$24:$AA$34,SUBSTITUTE(C85,""Sell_"",""""))),1,IF(REGEXMATCH(C85,""Sell_""),IF(COUNTIF(C$4:C85,SUBSTITUTE(C85,""Sell_"",""""))-COUNTIF(C$4:C84,C85)&lt;1,1),FALSE))))"),FALSE)</f>
        <v>0</v>
      </c>
      <c r="E85" s="59">
        <f t="array" ref="E85">IF(COUNTA(C85:C1350)=0,"",SUM((COUNTIF(C$4:C85,Upgrades!$B$3:$B$13)-COUNTIF(C$4:C85,"Sell_"&amp;Upgrades!$B$3:$B$13))*Upgrades!$D$3:$D$13))</f>
        <v>70869.5</v>
      </c>
      <c r="F85" s="66">
        <f>IFERROR(__xludf.DUMMYFUNCTION("IF(COUNTA(C85:C1350)=0,"""",IF(REGEXMATCH(INDEX(FILTER(C$4:C85,C$4:C85&lt;&gt;""""),ROWS(FILTER(C$4:C85,C$4:C85&lt;&gt;""""))),""^Sell_""),INDEX(FILTER(F$4:F84,C$4:C84&lt;&gt;""""),ROWS(FILTER(C$4:C84,C$4:C84&lt;&gt;""""))),$AC$5+E85))"),71069.5)</f>
        <v>71069.5</v>
      </c>
      <c r="G85" s="10">
        <f>IFERROR(__xludf.DUMMYFUNCTION("IF(COUNTA(C85:C1350)=0,"""",IF(C85="""",0,IF(REGEXMATCH(C85,""^Sell_""),-ROUNDDOWN(ROUNDUP(INDEX(Upgrades!$C$3:$C$13,MATCH(SUBSTITUTE(C85,""Sell_"",""""),Upgrades!$B$3:$B$13,0))*1.15^(COUNTIF(C$4:C84,SUBSTITUTE(C85,""Sell_"",""""))-COUNTIF(C$4:C84,""Sell_"&amp;"""&amp;SUBSTITUTE(C85,""Sell_"",""""))))/2),ROUNDUP(INDEX(Upgrades!$C$3:$C$13,MATCH(C85,Upgrades!$B$3:$B$13,0))*1.15^(COUNTIF(C$4:C84,C85)-COUNTIF(C$4:C84,""Sell_""&amp;C85))))))"),4069.0)</f>
        <v>4069</v>
      </c>
      <c r="H85" s="10">
        <f t="shared" si="3"/>
        <v>4069</v>
      </c>
      <c r="I85" s="68">
        <f t="shared" si="4"/>
        <v>2994.308778</v>
      </c>
      <c r="J85" s="59" t="str">
        <f t="shared" si="5"/>
        <v>49m 54s</v>
      </c>
      <c r="K85" s="69">
        <f t="shared" si="6"/>
        <v>36936228</v>
      </c>
      <c r="L85" s="60">
        <f t="shared" si="7"/>
        <v>-156.14358</v>
      </c>
      <c r="M85" s="61">
        <f>IFERROR(__xludf.DUMMYFUNCTION("IFS(AND(COUNTA(C85:C1350)=0,COUNTA(Q85:Q1350)=0),"""",OR(AND(K85&gt;=1000000000,OR(Y85&gt;=1000000000,COUNTA(Q85:Q1350)=0)),OR(Y85&gt;=1000000000,AND(COUNTA(C85:C1350)=0,P$3=TRUE))),
ROUNDDOWN((AB$1-AC$1)*MAX(INDEX(T$4:T1350,MATCH(LARGE(FILTER(Y$4:Y1350,Y$4:Y1350&lt;"&amp;"1000000000),1),Y$4:Y1350)),INDEX(F$4:F1350,MATCH(LARGE(FILTER(K$4:K1350,K$4:K1350&lt;1000000000),1),K$4:K1350)))),AND(K85&lt;1000000000,COUNTA(C85:C1350)&gt;0,P$3=FALSE),
ROUNDDOWN(INDEX(Y$4:Y1350,MATCH(LARGE(FILTER(W$4:W1350,W$4:W1350&lt;=I85),1),W$4:W1350))+(I85-LA"&amp;"RGE(FILTER(W$4:W1350,W$4:W1350&lt;=I85),1))*INDEX(T$4:T1350,MATCH(LARGE(FILTER(W$4:W1350,W$4:W1350&lt;=I85),1),W$4:W1350))-K85),1,
ROUNDDOWN(Y85-INDEX(K$4:K1350,MATCH(LARGE(FILTER(I$4:I1350,I$4:I1350&lt;=W85),1),I$4:I1350))-(W85-LARGE(FILTER(I$4:I1350,I$4:I1350&lt;=W"&amp;"85),1))*INDEX(F$4:F1350,MATCH(LARGE(FILTER(I$4:I1350,I$4:I1350&lt;=W85),1),I$4:I1350))))"),1.1438891E7)</f>
        <v>11438891</v>
      </c>
      <c r="N85" s="60">
        <f t="shared" si="8"/>
        <v>-156.14358</v>
      </c>
      <c r="O85" s="61" t="str">
        <f t="shared" si="9"/>
        <v>11,4M</v>
      </c>
      <c r="P85" s="56">
        <f t="shared" si="10"/>
        <v>10</v>
      </c>
      <c r="Q85" s="67" t="s">
        <v>59</v>
      </c>
      <c r="R85" s="10" t="b">
        <f>IFERROR(__xludf.DUMMYFUNCTION("IF(COUNTA(Q85:Q1350)=0,"""",IF(ISBLANK(Q85),FALSE,IF(NOT(COUNTIF($AA$24:$AA$34,SUBSTITUTE(Q85,""Sell_"",""""))),1,IF(REGEXMATCH(Q85,""Sell_""),IF(COUNTIF(Q$4:Q85,SUBSTITUTE(Q85,""Sell_"",""""))-COUNTIF(Q$4:Q84,Q85)&lt;1,1),FALSE))))"),FALSE)</f>
        <v>0</v>
      </c>
      <c r="S85" s="59">
        <f t="array" ref="S85">IF(COUNTA(Q85:Q1350)=0,"",SUM((COUNTIF(Q$4:Q85,Upgrades!$B$3:$B$13)-COUNTIF(Q$4:Q85,"Sell_"&amp;Upgrades!$B$3:$B$13))*Upgrades!$D$3:$D$13))</f>
        <v>442.8</v>
      </c>
      <c r="T85" s="66">
        <f>IFERROR(__xludf.DUMMYFUNCTION("IF(COUNTA(Q85:Q1350)=0,"""",IF(REGEXMATCH(INDEX(FILTER(Q$4:Q85,Q$4:Q85&lt;&gt;""""),ROWS(FILTER(Q$4:Q85,Q$4:Q85&lt;&gt;""""))),""^Sell_""),INDEX(FILTER(T$4:T84,Q$4:Q84&lt;&gt;""""),ROWS(FILTER(Q$4:Q84,Q$4:Q84&lt;&gt;""""))),$AD$5+S85))"),2502.8)</f>
        <v>2502.8</v>
      </c>
      <c r="U85" s="10">
        <f>IFERROR(__xludf.DUMMYFUNCTION("IF(COUNTA(Q85:Q1350)=0,"""",IF(Q85="""",0,IF(REGEXMATCH(Q85,""^Sell_""),-ROUNDDOWN(ROUNDUP(INDEX(Upgrades!$C$3:$C$13,MATCH(SUBSTITUTE(Q85,""Sell_"",""""),Upgrades!$B$3:$B$13,0))*1.15^(COUNTIF(Q$4:Q84,SUBSTITUTE(Q85,""Sell_"",""""))-COUNTIF(Q$4:Q84,""Sell_"&amp;"""&amp;SUBSTITUTE(Q85,""Sell_"",""""))))/2),ROUNDUP(INDEX(Upgrades!$C$3:$C$13,MATCH(Q85,Upgrades!$B$3:$B$13,0))*1.15^(COUNTIF(Q$4:Q84,Q85)-COUNTIF(Q$4:Q84,""Sell_""&amp;Q85))))))"),-5750.0)</f>
        <v>-5750</v>
      </c>
      <c r="V85" s="10">
        <f t="shared" si="11"/>
        <v>-617322</v>
      </c>
      <c r="W85" s="68">
        <f t="shared" si="12"/>
        <v>1281.098864</v>
      </c>
      <c r="X85" s="59" t="str">
        <f t="shared" si="13"/>
        <v>21m 21s</v>
      </c>
      <c r="Y85" s="69">
        <f t="shared" si="14"/>
        <v>1288223</v>
      </c>
      <c r="Z85" s="11"/>
    </row>
    <row r="86">
      <c r="A86" s="8"/>
      <c r="B86" s="56">
        <f t="shared" si="2"/>
        <v>11</v>
      </c>
      <c r="C86" s="57" t="s">
        <v>10</v>
      </c>
      <c r="D86" s="10" t="b">
        <f>IFERROR(__xludf.DUMMYFUNCTION("IF(COUNTA(C86:C1350)=0,"""",IF(ISBLANK(C86),FALSE,IF(NOT(COUNTIF($AA$24:$AA$34,SUBSTITUTE(C86,""Sell_"",""""))),1,IF(REGEXMATCH(C86,""Sell_""),IF(COUNTIF(C$4:C86,SUBSTITUTE(C86,""Sell_"",""""))-COUNTIF(C$4:C85,C86)&lt;1,1),FALSE))))"),FALSE)</f>
        <v>0</v>
      </c>
      <c r="E86" s="59">
        <f t="array" ref="E86">IF(COUNTA(C86:C1350)=0,"",SUM((COUNTIF(C$4:C86,Upgrades!$B$3:$B$13)-COUNTIF(C$4:C86,"Sell_"&amp;Upgrades!$B$3:$B$13))*Upgrades!$D$3:$D$13))</f>
        <v>77535.5</v>
      </c>
      <c r="F86" s="66">
        <f>IFERROR(__xludf.DUMMYFUNCTION("IF(COUNTA(C86:C1350)=0,"""",IF(REGEXMATCH(INDEX(FILTER(C$4:C86,C$4:C86&lt;&gt;""""),ROWS(FILTER(C$4:C86,C$4:C86&lt;&gt;""""))),""^Sell_""),INDEX(FILTER(F$4:F85,C$4:C85&lt;&gt;""""),ROWS(FILTER(C$4:C85,C$4:C85&lt;&gt;""""))),$AC$5+E86))"),77735.5)</f>
        <v>77735.5</v>
      </c>
      <c r="G86" s="10">
        <f>IFERROR(__xludf.DUMMYFUNCTION("IF(COUNTA(C86:C1350)=0,"""",IF(C86="""",0,IF(REGEXMATCH(C86,""^Sell_""),-ROUNDDOWN(ROUNDUP(INDEX(Upgrades!$C$3:$C$13,MATCH(SUBSTITUTE(C86,""Sell_"",""""),Upgrades!$B$3:$B$13,0))*1.15^(COUNTIF(C$4:C85,SUBSTITUTE(C86,""Sell_"",""""))-COUNTIF(C$4:C85,""Sell_"&amp;"""&amp;SUBSTITUTE(C86,""Sell_"",""""))))/2),ROUNDUP(INDEX(Upgrades!$C$3:$C$13,MATCH(C86,Upgrades!$B$3:$B$13,0))*1.15^(COUNTIF(C$4:C85,C86)-COUNTIF(C$4:C85,""Sell_""&amp;C86))))))"),6742594.0)</f>
        <v>6742594</v>
      </c>
      <c r="H86" s="10">
        <f t="shared" si="3"/>
        <v>6742594</v>
      </c>
      <c r="I86" s="68">
        <f t="shared" si="4"/>
        <v>3089.182021</v>
      </c>
      <c r="J86" s="59" t="str">
        <f t="shared" si="5"/>
        <v>51m 29s</v>
      </c>
      <c r="K86" s="69">
        <f t="shared" si="6"/>
        <v>43678822</v>
      </c>
      <c r="L86" s="60">
        <f t="shared" si="7"/>
        <v>-155.5919</v>
      </c>
      <c r="M86" s="61">
        <f>IFERROR(__xludf.DUMMYFUNCTION("IFS(AND(COUNTA(C86:C1350)=0,COUNTA(Q86:Q1350)=0),"""",OR(AND(K86&gt;=1000000000,OR(Y86&gt;=1000000000,COUNTA(Q86:Q1350)=0)),OR(Y86&gt;=1000000000,AND(COUNTA(C86:C1350)=0,P$3=TRUE))),
ROUNDDOWN((AB$1-AC$1)*MAX(INDEX(T$4:T1350,MATCH(LARGE(FILTER(Y$4:Y1350,Y$4:Y1350&lt;"&amp;"1000000000),1),Y$4:Y1350)),INDEX(F$4:F1350,MATCH(LARGE(FILTER(K$4:K1350,K$4:K1350&lt;1000000000),1),K$4:K1350)))),AND(K86&lt;1000000000,COUNTA(C86:C1350)&gt;0,P$3=FALSE),
ROUNDDOWN(INDEX(Y$4:Y1350,MATCH(LARGE(FILTER(W$4:W1350,W$4:W1350&lt;=I86),1),W$4:W1350))+(I86-LA"&amp;"RGE(FILTER(W$4:W1350,W$4:W1350&lt;=I86),1))*INDEX(T$4:T1350,MATCH(LARGE(FILTER(W$4:W1350,W$4:W1350&lt;=I86),1),W$4:W1350))-K86),1,
ROUNDDOWN(Y86-INDEX(K$4:K1350,MATCH(LARGE(FILTER(I$4:I1350,I$4:I1350&lt;=W86),1),I$4:I1350))-(W86-LARGE(FILTER(I$4:I1350,I$4:I1350&lt;=W"&amp;"86),1))*INDEX(F$4:F1350,MATCH(LARGE(FILTER(I$4:I1350,I$4:I1350&lt;=W86),1),I$4:I1350))))"),1.2396974E7)</f>
        <v>12396974</v>
      </c>
      <c r="N86" s="60">
        <f t="shared" si="8"/>
        <v>-155.5919</v>
      </c>
      <c r="O86" s="61" t="str">
        <f t="shared" si="9"/>
        <v>12,4M</v>
      </c>
      <c r="P86" s="56">
        <f t="shared" si="10"/>
        <v>4</v>
      </c>
      <c r="Q86" s="67" t="s">
        <v>61</v>
      </c>
      <c r="R86" s="10" t="b">
        <f>IFERROR(__xludf.DUMMYFUNCTION("IF(COUNTA(Q86:Q1350)=0,"""",IF(ISBLANK(Q86),FALSE,IF(NOT(COUNTIF($AA$24:$AA$34,SUBSTITUTE(Q86,""Sell_"",""""))),1,IF(REGEXMATCH(Q86,""Sell_""),IF(COUNTIF(Q$4:Q86,SUBSTITUTE(Q86,""Sell_"",""""))-COUNTIF(Q$4:Q85,Q86)&lt;1,1),FALSE))))"),FALSE)</f>
        <v>0</v>
      </c>
      <c r="S86" s="59">
        <f t="array" ref="S86">IF(COUNTA(Q86:Q1350)=0,"",SUM((COUNTIF(Q$4:Q86,Upgrades!$B$3:$B$13)-COUNTIF(Q$4:Q86,"Sell_"&amp;Upgrades!$B$3:$B$13))*Upgrades!$D$3:$D$13))</f>
        <v>342.8</v>
      </c>
      <c r="T86" s="66">
        <f>IFERROR(__xludf.DUMMYFUNCTION("IF(COUNTA(Q86:Q1350)=0,"""",IF(REGEXMATCH(INDEX(FILTER(Q$4:Q86,Q$4:Q86&lt;&gt;""""),ROWS(FILTER(Q$4:Q86,Q$4:Q86&lt;&gt;""""))),""^Sell_""),INDEX(FILTER(T$4:T85,Q$4:Q85&lt;&gt;""""),ROWS(FILTER(Q$4:Q85,Q$4:Q85&lt;&gt;""""))),$AD$5+S86))"),2502.8)</f>
        <v>2502.8</v>
      </c>
      <c r="U86" s="10">
        <f>IFERROR(__xludf.DUMMYFUNCTION("IF(COUNTA(Q86:Q1350)=0,"""",IF(Q86="""",0,IF(REGEXMATCH(Q86,""^Sell_""),-ROUNDDOWN(ROUNDUP(INDEX(Upgrades!$C$3:$C$13,MATCH(SUBSTITUTE(Q86,""Sell_"",""""),Upgrades!$B$3:$B$13,0))*1.15^(COUNTIF(Q$4:Q85,SUBSTITUTE(Q86,""Sell_"",""""))-COUNTIF(Q$4:Q85,""Sell_"&amp;"""&amp;SUBSTITUTE(Q86,""Sell_"",""""))))/2),ROUNDUP(INDEX(Upgrades!$C$3:$C$13,MATCH(Q86,Upgrades!$B$3:$B$13,0))*1.15^(COUNTIF(Q$4:Q85,Q86)-COUNTIF(Q$4:Q85,""Sell_""&amp;Q86))))))"),-30417.0)</f>
        <v>-30417</v>
      </c>
      <c r="V86" s="10">
        <f t="shared" si="11"/>
        <v>-647739</v>
      </c>
      <c r="W86" s="68">
        <f t="shared" si="12"/>
        <v>1281.098864</v>
      </c>
      <c r="X86" s="59" t="str">
        <f t="shared" si="13"/>
        <v>21m 21s</v>
      </c>
      <c r="Y86" s="69">
        <f t="shared" si="14"/>
        <v>1288223</v>
      </c>
      <c r="Z86" s="11"/>
    </row>
    <row r="87">
      <c r="A87" s="8"/>
      <c r="B87" s="56">
        <f t="shared" si="2"/>
        <v>8</v>
      </c>
      <c r="C87" s="57" t="s">
        <v>9</v>
      </c>
      <c r="D87" s="10" t="b">
        <f>IFERROR(__xludf.DUMMYFUNCTION("IF(COUNTA(C87:C1350)=0,"""",IF(ISBLANK(C87),FALSE,IF(NOT(COUNTIF($AA$24:$AA$34,SUBSTITUTE(C87,""Sell_"",""""))),1,IF(REGEXMATCH(C87,""Sell_""),IF(COUNTIF(C$4:C87,SUBSTITUTE(C87,""Sell_"",""""))-COUNTIF(C$4:C86,C87)&lt;1,1),FALSE))))"),FALSE)</f>
        <v>0</v>
      </c>
      <c r="E87" s="59">
        <f t="array" ref="E87">IF(COUNTA(C87:C1350)=0,"",SUM((COUNTIF(C$4:C87,Upgrades!$B$3:$B$13)-COUNTIF(C$4:C87,"Sell_"&amp;Upgrades!$B$3:$B$13))*Upgrades!$D$3:$D$13))</f>
        <v>77935.5</v>
      </c>
      <c r="F87" s="66">
        <f>IFERROR(__xludf.DUMMYFUNCTION("IF(COUNTA(C87:C1350)=0,"""",IF(REGEXMATCH(INDEX(FILTER(C$4:C87,C$4:C87&lt;&gt;""""),ROWS(FILTER(C$4:C87,C$4:C87&lt;&gt;""""))),""^Sell_""),INDEX(FILTER(F$4:F86,C$4:C86&lt;&gt;""""),ROWS(FILTER(C$4:C86,C$4:C86&lt;&gt;""""))),$AC$5+E87))"),78135.5)</f>
        <v>78135.5</v>
      </c>
      <c r="G87" s="10">
        <f>IFERROR(__xludf.DUMMYFUNCTION("IF(COUNTA(C87:C1350)=0,"""",IF(C87="""",0,IF(REGEXMATCH(C87,""^Sell_""),-ROUNDDOWN(ROUNDUP(INDEX(Upgrades!$C$3:$C$13,MATCH(SUBSTITUTE(C87,""Sell_"",""""),Upgrades!$B$3:$B$13,0))*1.15^(COUNTIF(C$4:C86,SUBSTITUTE(C87,""Sell_"",""""))-COUNTIF(C$4:C86,""Sell_"&amp;"""&amp;SUBSTITUTE(C87,""Sell_"",""""))))/2),ROUNDUP(INDEX(Upgrades!$C$3:$C$13,MATCH(C87,Upgrades!$B$3:$B$13,0))*1.15^(COUNTIF(C$4:C86,C87)-COUNTIF(C$4:C86,""Sell_""&amp;C87))))))"),532004.0)</f>
        <v>532004</v>
      </c>
      <c r="H87" s="10">
        <f t="shared" si="3"/>
        <v>532004</v>
      </c>
      <c r="I87" s="68">
        <f t="shared" si="4"/>
        <v>3096.025793</v>
      </c>
      <c r="J87" s="59" t="str">
        <f t="shared" si="5"/>
        <v>51m 36s</v>
      </c>
      <c r="K87" s="69">
        <f t="shared" si="6"/>
        <v>44210826</v>
      </c>
      <c r="L87" s="60">
        <f t="shared" si="7"/>
        <v>-155.20285</v>
      </c>
      <c r="M87" s="61">
        <f>IFERROR(__xludf.DUMMYFUNCTION("IFS(AND(COUNTA(C87:C1350)=0,COUNTA(Q87:Q1350)=0),"""",OR(AND(K87&gt;=1000000000,OR(Y87&gt;=1000000000,COUNTA(Q87:Q1350)=0)),OR(Y87&gt;=1000000000,AND(COUNTA(C87:C1350)=0,P$3=TRUE))),
ROUNDDOWN((AB$1-AC$1)*MAX(INDEX(T$4:T1350,MATCH(LARGE(FILTER(Y$4:Y1350,Y$4:Y1350&lt;"&amp;"1000000000),1),Y$4:Y1350)),INDEX(F$4:F1350,MATCH(LARGE(FILTER(K$4:K1350,K$4:K1350&lt;1000000000),1),K$4:K1350)))),AND(K87&lt;1000000000,COUNTA(C87:C1350)&gt;0,P$3=FALSE),
ROUNDDOWN(INDEX(Y$4:Y1350,MATCH(LARGE(FILTER(W$4:W1350,W$4:W1350&lt;=I87),1),W$4:W1350))+(I87-LA"&amp;"RGE(FILTER(W$4:W1350,W$4:W1350&lt;=I87),1))*INDEX(T$4:T1350,MATCH(LARGE(FILTER(W$4:W1350,W$4:W1350&lt;=I87),1),W$4:W1350))-K87),1,
ROUNDDOWN(Y87-INDEX(K$4:K1350,MATCH(LARGE(FILTER(I$4:I1350,I$4:I1350&lt;=W87),1),I$4:I1350))-(W87-LARGE(FILTER(I$4:I1350,I$4:I1350&lt;=W"&amp;"87),1))*INDEX(F$4:F1350,MATCH(LARGE(FILTER(I$4:I1350,I$4:I1350&lt;=W87),1),I$4:I1350))))"),1.2447465E7)</f>
        <v>12447465</v>
      </c>
      <c r="N87" s="60">
        <f t="shared" si="8"/>
        <v>-155.20285</v>
      </c>
      <c r="O87" s="61" t="str">
        <f t="shared" si="9"/>
        <v>12,4M</v>
      </c>
      <c r="P87" s="56">
        <f t="shared" si="10"/>
        <v>5</v>
      </c>
      <c r="Q87" s="67" t="s">
        <v>61</v>
      </c>
      <c r="R87" s="10" t="b">
        <f>IFERROR(__xludf.DUMMYFUNCTION("IF(COUNTA(Q87:Q1350)=0,"""",IF(ISBLANK(Q87),FALSE,IF(NOT(COUNTIF($AA$24:$AA$34,SUBSTITUTE(Q87,""Sell_"",""""))),1,IF(REGEXMATCH(Q87,""Sell_""),IF(COUNTIF(Q$4:Q87,SUBSTITUTE(Q87,""Sell_"",""""))-COUNTIF(Q$4:Q86,Q87)&lt;1,1),FALSE))))"),FALSE)</f>
        <v>0</v>
      </c>
      <c r="S87" s="59">
        <f t="array" ref="S87">IF(COUNTA(Q87:Q1350)=0,"",SUM((COUNTIF(Q$4:Q87,Upgrades!$B$3:$B$13)-COUNTIF(Q$4:Q87,"Sell_"&amp;Upgrades!$B$3:$B$13))*Upgrades!$D$3:$D$13))</f>
        <v>242.8</v>
      </c>
      <c r="T87" s="66">
        <f>IFERROR(__xludf.DUMMYFUNCTION("IF(COUNTA(Q87:Q1350)=0,"""",IF(REGEXMATCH(INDEX(FILTER(Q$4:Q87,Q$4:Q87&lt;&gt;""""),ROWS(FILTER(Q$4:Q87,Q$4:Q87&lt;&gt;""""))),""^Sell_""),INDEX(FILTER(T$4:T86,Q$4:Q86&lt;&gt;""""),ROWS(FILTER(Q$4:Q86,Q$4:Q86&lt;&gt;""""))),$AD$5+S87))"),2502.8)</f>
        <v>2502.8</v>
      </c>
      <c r="U87" s="10">
        <f>IFERROR(__xludf.DUMMYFUNCTION("IF(COUNTA(Q87:Q1350)=0,"""",IF(Q87="""",0,IF(REGEXMATCH(Q87,""^Sell_""),-ROUNDDOWN(ROUNDUP(INDEX(Upgrades!$C$3:$C$13,MATCH(SUBSTITUTE(Q87,""Sell_"",""""),Upgrades!$B$3:$B$13,0))*1.15^(COUNTIF(Q$4:Q86,SUBSTITUTE(Q87,""Sell_"",""""))-COUNTIF(Q$4:Q86,""Sell_"&amp;"""&amp;SUBSTITUTE(Q87,""Sell_"",""""))))/2),ROUNDUP(INDEX(Upgrades!$C$3:$C$13,MATCH(Q87,Upgrades!$B$3:$B$13,0))*1.15^(COUNTIF(Q$4:Q86,Q87)-COUNTIF(Q$4:Q86,""Sell_""&amp;Q87))))))"),-26450.0)</f>
        <v>-26450</v>
      </c>
      <c r="V87" s="10">
        <f t="shared" si="11"/>
        <v>-674189</v>
      </c>
      <c r="W87" s="68">
        <f t="shared" si="12"/>
        <v>1281.098864</v>
      </c>
      <c r="X87" s="59" t="str">
        <f t="shared" si="13"/>
        <v>21m 21s</v>
      </c>
      <c r="Y87" s="69">
        <f t="shared" si="14"/>
        <v>1288223</v>
      </c>
      <c r="Z87" s="11"/>
    </row>
    <row r="88">
      <c r="A88" s="8"/>
      <c r="B88" s="56">
        <f t="shared" si="2"/>
        <v>9</v>
      </c>
      <c r="C88" s="57" t="s">
        <v>8</v>
      </c>
      <c r="D88" s="10" t="b">
        <f>IFERROR(__xludf.DUMMYFUNCTION("IF(COUNTA(C88:C1350)=0,"""",IF(ISBLANK(C88),FALSE,IF(NOT(COUNTIF($AA$24:$AA$34,SUBSTITUTE(C88,""Sell_"",""""))),1,IF(REGEXMATCH(C88,""Sell_""),IF(COUNTIF(C$4:C88,SUBSTITUTE(C88,""Sell_"",""""))-COUNTIF(C$4:C87,C88)&lt;1,1),FALSE))))"),FALSE)</f>
        <v>0</v>
      </c>
      <c r="E88" s="59">
        <f t="array" ref="E88">IF(COUNTA(C88:C1350)=0,"",SUM((COUNTIF(C$4:C88,Upgrades!$B$3:$B$13)-COUNTIF(C$4:C88,"Sell_"&amp;Upgrades!$B$3:$B$13))*Upgrades!$D$3:$D$13))</f>
        <v>78035.5</v>
      </c>
      <c r="F88" s="66">
        <f>IFERROR(__xludf.DUMMYFUNCTION("IF(COUNTA(C88:C1350)=0,"""",IF(REGEXMATCH(INDEX(FILTER(C$4:C88,C$4:C88&lt;&gt;""""),ROWS(FILTER(C$4:C88,C$4:C88&lt;&gt;""""))),""^Sell_""),INDEX(FILTER(F$4:F87,C$4:C87&lt;&gt;""""),ROWS(FILTER(C$4:C87,C$4:C87&lt;&gt;""""))),$AC$5+E88))"),78235.5)</f>
        <v>78235.5</v>
      </c>
      <c r="G88" s="10">
        <f>IFERROR(__xludf.DUMMYFUNCTION("IF(COUNTA(C88:C1350)=0,"""",IF(C88="""",0,IF(REGEXMATCH(C88,""^Sell_""),-ROUNDDOWN(ROUNDUP(INDEX(Upgrades!$C$3:$C$13,MATCH(SUBSTITUTE(C88,""Sell_"",""""),Upgrades!$B$3:$B$13,0))*1.15^(COUNTIF(C$4:C87,SUBSTITUTE(C88,""Sell_"",""""))-COUNTIF(C$4:C87,""Sell_"&amp;"""&amp;SUBSTITUTE(C88,""Sell_"",""""))))/2),ROUNDUP(INDEX(Upgrades!$C$3:$C$13,MATCH(C88,Upgrades!$B$3:$B$13,0))*1.15^(COUNTIF(C$4:C87,C88)-COUNTIF(C$4:C87,""Sell_""&amp;C88))))))"),122361.0)</f>
        <v>122361</v>
      </c>
      <c r="H88" s="10">
        <f t="shared" si="3"/>
        <v>122361</v>
      </c>
      <c r="I88" s="68">
        <f t="shared" si="4"/>
        <v>3097.591803</v>
      </c>
      <c r="J88" s="59" t="str">
        <f t="shared" si="5"/>
        <v>51m 37s</v>
      </c>
      <c r="K88" s="69">
        <f t="shared" si="6"/>
        <v>44333187</v>
      </c>
      <c r="L88" s="60">
        <f t="shared" si="7"/>
        <v>-155.1867</v>
      </c>
      <c r="M88" s="61">
        <f>IFERROR(__xludf.DUMMYFUNCTION("IFS(AND(COUNTA(C88:C1350)=0,COUNTA(Q88:Q1350)=0),"""",OR(AND(K88&gt;=1000000000,OR(Y88&gt;=1000000000,COUNTA(Q88:Q1350)=0)),OR(Y88&gt;=1000000000,AND(COUNTA(C88:C1350)=0,P$3=TRUE))),
ROUNDDOWN((AB$1-AC$1)*MAX(INDEX(T$4:T1350,MATCH(LARGE(FILTER(Y$4:Y1350,Y$4:Y1350&lt;"&amp;"1000000000),1),Y$4:Y1350)),INDEX(F$4:F1350,MATCH(LARGE(FILTER(K$4:K1350,K$4:K1350&lt;1000000000),1),K$4:K1350)))),AND(K88&lt;1000000000,COUNTA(C88:C1350)&gt;0,P$3=FALSE),
ROUNDDOWN(INDEX(Y$4:Y1350,MATCH(LARGE(FILTER(W$4:W1350,W$4:W1350&lt;=I88),1),W$4:W1350))+(I88-LA"&amp;"RGE(FILTER(W$4:W1350,W$4:W1350&lt;=I88),1))*INDEX(T$4:T1350,MATCH(LARGE(FILTER(W$4:W1350,W$4:W1350&lt;=I88),1),W$4:W1350))-K88),1,
ROUNDDOWN(Y88-INDEX(K$4:K1350,MATCH(LARGE(FILTER(I$4:I1350,I$4:I1350&lt;=W88),1),I$4:I1350))-(W88-LARGE(FILTER(I$4:I1350,I$4:I1350&lt;=W"&amp;"88),1))*INDEX(F$4:F1350,MATCH(LARGE(FILTER(I$4:I1350,I$4:I1350&lt;=W88),1),I$4:I1350))))"),1.2458393E7)</f>
        <v>12458393</v>
      </c>
      <c r="N88" s="60">
        <f t="shared" si="8"/>
        <v>-155.1867</v>
      </c>
      <c r="O88" s="61" t="str">
        <f t="shared" si="9"/>
        <v>12,5M</v>
      </c>
      <c r="P88" s="56">
        <f t="shared" si="10"/>
        <v>6</v>
      </c>
      <c r="Q88" s="67" t="s">
        <v>61</v>
      </c>
      <c r="R88" s="10" t="b">
        <f>IFERROR(__xludf.DUMMYFUNCTION("IF(COUNTA(Q88:Q1350)=0,"""",IF(ISBLANK(Q88),FALSE,IF(NOT(COUNTIF($AA$24:$AA$34,SUBSTITUTE(Q88,""Sell_"",""""))),1,IF(REGEXMATCH(Q88,""Sell_""),IF(COUNTIF(Q$4:Q88,SUBSTITUTE(Q88,""Sell_"",""""))-COUNTIF(Q$4:Q87,Q88)&lt;1,1),FALSE))))"),FALSE)</f>
        <v>0</v>
      </c>
      <c r="S88" s="59">
        <f t="array" ref="S88">IF(COUNTA(Q88:Q1350)=0,"",SUM((COUNTIF(Q$4:Q88,Upgrades!$B$3:$B$13)-COUNTIF(Q$4:Q88,"Sell_"&amp;Upgrades!$B$3:$B$13))*Upgrades!$D$3:$D$13))</f>
        <v>142.8</v>
      </c>
      <c r="T88" s="66">
        <f>IFERROR(__xludf.DUMMYFUNCTION("IF(COUNTA(Q88:Q1350)=0,"""",IF(REGEXMATCH(INDEX(FILTER(Q$4:Q88,Q$4:Q88&lt;&gt;""""),ROWS(FILTER(Q$4:Q88,Q$4:Q88&lt;&gt;""""))),""^Sell_""),INDEX(FILTER(T$4:T87,Q$4:Q87&lt;&gt;""""),ROWS(FILTER(Q$4:Q87,Q$4:Q87&lt;&gt;""""))),$AD$5+S88))"),2502.8)</f>
        <v>2502.8</v>
      </c>
      <c r="U88" s="10">
        <f>IFERROR(__xludf.DUMMYFUNCTION("IF(COUNTA(Q88:Q1350)=0,"""",IF(Q88="""",0,IF(REGEXMATCH(Q88,""^Sell_""),-ROUNDDOWN(ROUNDUP(INDEX(Upgrades!$C$3:$C$13,MATCH(SUBSTITUTE(Q88,""Sell_"",""""),Upgrades!$B$3:$B$13,0))*1.15^(COUNTIF(Q$4:Q87,SUBSTITUTE(Q88,""Sell_"",""""))-COUNTIF(Q$4:Q87,""Sell_"&amp;"""&amp;SUBSTITUTE(Q88,""Sell_"",""""))))/2),ROUNDUP(INDEX(Upgrades!$C$3:$C$13,MATCH(Q88,Upgrades!$B$3:$B$13,0))*1.15^(COUNTIF(Q$4:Q87,Q88)-COUNTIF(Q$4:Q87,""Sell_""&amp;Q88))))))"),-23000.0)</f>
        <v>-23000</v>
      </c>
      <c r="V88" s="10">
        <f t="shared" si="11"/>
        <v>-697189</v>
      </c>
      <c r="W88" s="68">
        <f t="shared" si="12"/>
        <v>1281.098864</v>
      </c>
      <c r="X88" s="59" t="str">
        <f t="shared" si="13"/>
        <v>21m 21s</v>
      </c>
      <c r="Y88" s="69">
        <f t="shared" si="14"/>
        <v>1288223</v>
      </c>
      <c r="Z88" s="11"/>
    </row>
    <row r="89">
      <c r="A89" s="8"/>
      <c r="B89" s="56">
        <f t="shared" si="2"/>
        <v>12</v>
      </c>
      <c r="C89" s="57" t="s">
        <v>7</v>
      </c>
      <c r="D89" s="10" t="b">
        <f>IFERROR(__xludf.DUMMYFUNCTION("IF(COUNTA(C89:C1350)=0,"""",IF(ISBLANK(C89),FALSE,IF(NOT(COUNTIF($AA$24:$AA$34,SUBSTITUTE(C89,""Sell_"",""""))),1,IF(REGEXMATCH(C89,""Sell_""),IF(COUNTIF(C$4:C89,SUBSTITUTE(C89,""Sell_"",""""))-COUNTIF(C$4:C88,C89)&lt;1,1),FALSE))))"),FALSE)</f>
        <v>0</v>
      </c>
      <c r="E89" s="59">
        <f t="array" ref="E89">IF(COUNTA(C89:C1350)=0,"",SUM((COUNTIF(C$4:C89,Upgrades!$B$3:$B$13)-COUNTIF(C$4:C89,"Sell_"&amp;Upgrades!$B$3:$B$13))*Upgrades!$D$3:$D$13))</f>
        <v>78075.5</v>
      </c>
      <c r="F89" s="66">
        <f>IFERROR(__xludf.DUMMYFUNCTION("IF(COUNTA(C89:C1350)=0,"""",IF(REGEXMATCH(INDEX(FILTER(C$4:C89,C$4:C89&lt;&gt;""""),ROWS(FILTER(C$4:C89,C$4:C89&lt;&gt;""""))),""^Sell_""),INDEX(FILTER(F$4:F88,C$4:C88&lt;&gt;""""),ROWS(FILTER(C$4:C88,C$4:C88&lt;&gt;""""))),$AC$5+E89))"),78275.5)</f>
        <v>78275.5</v>
      </c>
      <c r="G89" s="10">
        <f>IFERROR(__xludf.DUMMYFUNCTION("IF(COUNTA(C89:C1350)=0,"""",IF(C89="""",0,IF(REGEXMATCH(C89,""^Sell_""),-ROUNDDOWN(ROUNDUP(INDEX(Upgrades!$C$3:$C$13,MATCH(SUBSTITUTE(C89,""Sell_"",""""),Upgrades!$B$3:$B$13,0))*1.15^(COUNTIF(C$4:C88,SUBSTITUTE(C89,""Sell_"",""""))-COUNTIF(C$4:C88,""Sell_"&amp;"""&amp;SUBSTITUTE(C89,""Sell_"",""""))))/2),ROUNDUP(INDEX(Upgrades!$C$3:$C$13,MATCH(C89,Upgrades!$B$3:$B$13,0))*1.15^(COUNTIF(C$4:C88,C89)-COUNTIF(C$4:C88,""Sell_""&amp;C89))))))"),46524.0)</f>
        <v>46524</v>
      </c>
      <c r="H89" s="10">
        <f t="shared" si="3"/>
        <v>46524</v>
      </c>
      <c r="I89" s="68">
        <f t="shared" si="4"/>
        <v>3098.186469</v>
      </c>
      <c r="J89" s="59" t="str">
        <f t="shared" si="5"/>
        <v>51m 38s</v>
      </c>
      <c r="K89" s="69">
        <f t="shared" si="6"/>
        <v>44379711</v>
      </c>
      <c r="L89" s="60">
        <f t="shared" si="7"/>
        <v>-155.1798</v>
      </c>
      <c r="M89" s="61">
        <f>IFERROR(__xludf.DUMMYFUNCTION("IFS(AND(COUNTA(C89:C1350)=0,COUNTA(Q89:Q1350)=0),"""",OR(AND(K89&gt;=1000000000,OR(Y89&gt;=1000000000,COUNTA(Q89:Q1350)=0)),OR(Y89&gt;=1000000000,AND(COUNTA(C89:C1350)=0,P$3=TRUE))),
ROUNDDOWN((AB$1-AC$1)*MAX(INDEX(T$4:T1350,MATCH(LARGE(FILTER(Y$4:Y1350,Y$4:Y1350&lt;"&amp;"1000000000),1),Y$4:Y1350)),INDEX(F$4:F1350,MATCH(LARGE(FILTER(K$4:K1350,K$4:K1350&lt;1000000000),1),K$4:K1350)))),AND(K89&lt;1000000000,COUNTA(C89:C1350)&gt;0,P$3=FALSE),
ROUNDDOWN(INDEX(Y$4:Y1350,MATCH(LARGE(FILTER(W$4:W1350,W$4:W1350&lt;=I89),1),W$4:W1350))+(I89-LA"&amp;"RGE(FILTER(W$4:W1350,W$4:W1350&lt;=I89),1))*INDEX(T$4:T1350,MATCH(LARGE(FILTER(W$4:W1350,W$4:W1350&lt;=I89),1),W$4:W1350))-K89),1,
ROUNDDOWN(Y89-INDEX(K$4:K1350,MATCH(LARGE(FILTER(I$4:I1350,I$4:I1350&lt;=W89),1),I$4:I1350))-(W89-LARGE(FILTER(I$4:I1350,I$4:I1350&lt;=W"&amp;"89),1))*INDEX(F$4:F1350,MATCH(LARGE(FILTER(I$4:I1350,I$4:I1350&lt;=W89),1),I$4:I1350))))"),1.2462482E7)</f>
        <v>12462482</v>
      </c>
      <c r="N89" s="60">
        <f t="shared" si="8"/>
        <v>-155.1798</v>
      </c>
      <c r="O89" s="61" t="str">
        <f t="shared" si="9"/>
        <v>12,5M</v>
      </c>
      <c r="P89" s="56">
        <f t="shared" si="10"/>
        <v>1</v>
      </c>
      <c r="Q89" s="67" t="s">
        <v>10</v>
      </c>
      <c r="R89" s="10" t="b">
        <f>IFERROR(__xludf.DUMMYFUNCTION("IF(COUNTA(Q89:Q1350)=0,"""",IF(ISBLANK(Q89),FALSE,IF(NOT(COUNTIF($AA$24:$AA$34,SUBSTITUTE(Q89,""Sell_"",""""))),1,IF(REGEXMATCH(Q89,""Sell_""),IF(COUNTIF(Q$4:Q89,SUBSTITUTE(Q89,""Sell_"",""""))-COUNTIF(Q$4:Q88,Q89)&lt;1,1),FALSE))))"),FALSE)</f>
        <v>0</v>
      </c>
      <c r="S89" s="59">
        <f t="array" ref="S89">IF(COUNTA(Q89:Q1350)=0,"",SUM((COUNTIF(Q$4:Q89,Upgrades!$B$3:$B$13)-COUNTIF(Q$4:Q89,"Sell_"&amp;Upgrades!$B$3:$B$13))*Upgrades!$D$3:$D$13))</f>
        <v>6808.8</v>
      </c>
      <c r="T89" s="66">
        <f>IFERROR(__xludf.DUMMYFUNCTION("IF(COUNTA(Q89:Q1350)=0,"""",IF(REGEXMATCH(INDEX(FILTER(Q$4:Q89,Q$4:Q89&lt;&gt;""""),ROWS(FILTER(Q$4:Q89,Q$4:Q89&lt;&gt;""""))),""^Sell_""),INDEX(FILTER(T$4:T88,Q$4:Q88&lt;&gt;""""),ROWS(FILTER(Q$4:Q88,Q$4:Q88&lt;&gt;""""))),$AD$5+S89))"),7008.8)</f>
        <v>7008.8</v>
      </c>
      <c r="U89" s="10">
        <f>IFERROR(__xludf.DUMMYFUNCTION("IF(COUNTA(Q89:Q1350)=0,"""",IF(Q89="""",0,IF(REGEXMATCH(Q89,""^Sell_""),-ROUNDDOWN(ROUNDUP(INDEX(Upgrades!$C$3:$C$13,MATCH(SUBSTITUTE(Q89,""Sell_"",""""),Upgrades!$B$3:$B$13,0))*1.15^(COUNTIF(Q$4:Q88,SUBSTITUTE(Q89,""Sell_"",""""))-COUNTIF(Q$4:Q88,""Sell_"&amp;"""&amp;SUBSTITUTE(Q89,""Sell_"",""""))))/2),ROUNDUP(INDEX(Upgrades!$C$3:$C$13,MATCH(Q89,Upgrades!$B$3:$B$13,0))*1.15^(COUNTIF(Q$4:Q88,Q89)-COUNTIF(Q$4:Q88,""Sell_""&amp;Q89))))))"),1666666.0)</f>
        <v>1666666</v>
      </c>
      <c r="V89" s="10">
        <f t="shared" si="11"/>
        <v>969477</v>
      </c>
      <c r="W89" s="68">
        <f t="shared" si="12"/>
        <v>1668.455825</v>
      </c>
      <c r="X89" s="59" t="str">
        <f t="shared" si="13"/>
        <v>27m 48s</v>
      </c>
      <c r="Y89" s="69">
        <f t="shared" si="14"/>
        <v>2257700</v>
      </c>
      <c r="Z89" s="11"/>
    </row>
    <row r="90">
      <c r="A90" s="8"/>
      <c r="B90" s="56">
        <f t="shared" si="2"/>
        <v>11</v>
      </c>
      <c r="C90" s="57" t="s">
        <v>6</v>
      </c>
      <c r="D90" s="10" t="b">
        <f>IFERROR(__xludf.DUMMYFUNCTION("IF(COUNTA(C90:C1350)=0,"""",IF(ISBLANK(C90),FALSE,IF(NOT(COUNTIF($AA$24:$AA$34,SUBSTITUTE(C90,""Sell_"",""""))),1,IF(REGEXMATCH(C90,""Sell_""),IF(COUNTIF(C$4:C90,SUBSTITUTE(C90,""Sell_"",""""))-COUNTIF(C$4:C89,C90)&lt;1,1),FALSE))))"),FALSE)</f>
        <v>0</v>
      </c>
      <c r="E90" s="59">
        <f t="array" ref="E90">IF(COUNTA(C90:C1350)=0,"",SUM((COUNTIF(C$4:C90,Upgrades!$B$3:$B$13)-COUNTIF(C$4:C90,"Sell_"&amp;Upgrades!$B$3:$B$13))*Upgrades!$D$3:$D$13))</f>
        <v>78085.5</v>
      </c>
      <c r="F90" s="66">
        <f>IFERROR(__xludf.DUMMYFUNCTION("IF(COUNTA(C90:C1350)=0,"""",IF(REGEXMATCH(INDEX(FILTER(C$4:C90,C$4:C90&lt;&gt;""""),ROWS(FILTER(C$4:C90,C$4:C90&lt;&gt;""""))),""^Sell_""),INDEX(FILTER(F$4:F89,C$4:C89&lt;&gt;""""),ROWS(FILTER(C$4:C89,C$4:C89&lt;&gt;""""))),$AC$5+E90))"),78285.5)</f>
        <v>78285.5</v>
      </c>
      <c r="G90" s="10">
        <f>IFERROR(__xludf.DUMMYFUNCTION("IF(COUNTA(C90:C1350)=0,"""",IF(C90="""",0,IF(REGEXMATCH(C90,""^Sell_""),-ROUNDDOWN(ROUNDUP(INDEX(Upgrades!$C$3:$C$13,MATCH(SUBSTITUTE(C90,""Sell_"",""""),Upgrades!$B$3:$B$13,0))*1.15^(COUNTIF(C$4:C89,SUBSTITUTE(C90,""Sell_"",""""))-COUNTIF(C$4:C89,""Sell_"&amp;"""&amp;SUBSTITUTE(C90,""Sell_"",""""))))/2),ROUNDUP(INDEX(Upgrades!$C$3:$C$13,MATCH(C90,Upgrades!$B$3:$B$13,0))*1.15^(COUNTIF(C$4:C89,C90)-COUNTIF(C$4:C89,""Sell_""&amp;C90))))))"),12137.0)</f>
        <v>12137</v>
      </c>
      <c r="H90" s="10">
        <f t="shared" si="3"/>
        <v>12137</v>
      </c>
      <c r="I90" s="68">
        <f t="shared" si="4"/>
        <v>3098.341524</v>
      </c>
      <c r="J90" s="59" t="str">
        <f t="shared" si="5"/>
        <v>51m 38s</v>
      </c>
      <c r="K90" s="69">
        <f t="shared" si="6"/>
        <v>44391848</v>
      </c>
      <c r="L90" s="60">
        <f t="shared" si="7"/>
        <v>-155.17792</v>
      </c>
      <c r="M90" s="61">
        <f>IFERROR(__xludf.DUMMYFUNCTION("IFS(AND(COUNTA(C90:C1350)=0,COUNTA(Q90:Q1350)=0),"""",OR(AND(K90&gt;=1000000000,OR(Y90&gt;=1000000000,COUNTA(Q90:Q1350)=0)),OR(Y90&gt;=1000000000,AND(COUNTA(C90:C1350)=0,P$3=TRUE))),
ROUNDDOWN((AB$1-AC$1)*MAX(INDEX(T$4:T1350,MATCH(LARGE(FILTER(Y$4:Y1350,Y$4:Y1350&lt;"&amp;"1000000000),1),Y$4:Y1350)),INDEX(F$4:F1350,MATCH(LARGE(FILTER(K$4:K1350,K$4:K1350&lt;1000000000),1),K$4:K1350)))),AND(K90&lt;1000000000,COUNTA(C90:C1350)&gt;0,P$3=FALSE),
ROUNDDOWN(INDEX(Y$4:Y1350,MATCH(LARGE(FILTER(W$4:W1350,W$4:W1350&lt;=I90),1),W$4:W1350))+(I90-LA"&amp;"RGE(FILTER(W$4:W1350,W$4:W1350&lt;=I90),1))*INDEX(T$4:T1350,MATCH(LARGE(FILTER(W$4:W1350,W$4:W1350&lt;=I90),1),W$4:W1350))-K90),1,
ROUNDDOWN(Y90-INDEX(K$4:K1350,MATCH(LARGE(FILTER(I$4:I1350,I$4:I1350&lt;=W90),1),I$4:I1350))-(W90-LARGE(FILTER(I$4:I1350,I$4:I1350&lt;=W"&amp;"90),1))*INDEX(F$4:F1350,MATCH(LARGE(FILTER(I$4:I1350,I$4:I1350&lt;=W90),1),I$4:I1350))))"),1.2463543E7)</f>
        <v>12463543</v>
      </c>
      <c r="N90" s="60">
        <f t="shared" si="8"/>
        <v>-155.17792</v>
      </c>
      <c r="O90" s="61" t="str">
        <f t="shared" si="9"/>
        <v>12,5M</v>
      </c>
      <c r="P90" s="56">
        <f t="shared" si="10"/>
        <v>1</v>
      </c>
      <c r="Q90" s="67" t="s">
        <v>7</v>
      </c>
      <c r="R90" s="10" t="b">
        <f>IFERROR(__xludf.DUMMYFUNCTION("IF(COUNTA(Q90:Q1350)=0,"""",IF(ISBLANK(Q90),FALSE,IF(NOT(COUNTIF($AA$24:$AA$34,SUBSTITUTE(Q90,""Sell_"",""""))),1,IF(REGEXMATCH(Q90,""Sell_""),IF(COUNTIF(Q$4:Q90,SUBSTITUTE(Q90,""Sell_"",""""))-COUNTIF(Q$4:Q89,Q90)&lt;1,1),FALSE))))"),FALSE)</f>
        <v>0</v>
      </c>
      <c r="S90" s="59">
        <f t="array" ref="S90">IF(COUNTA(Q90:Q1350)=0,"",SUM((COUNTIF(Q$4:Q90,Upgrades!$B$3:$B$13)-COUNTIF(Q$4:Q90,"Sell_"&amp;Upgrades!$B$3:$B$13))*Upgrades!$D$3:$D$13))</f>
        <v>6848.8</v>
      </c>
      <c r="T90" s="66">
        <f>IFERROR(__xludf.DUMMYFUNCTION("IF(COUNTA(Q90:Q1350)=0,"""",IF(REGEXMATCH(INDEX(FILTER(Q$4:Q90,Q$4:Q90&lt;&gt;""""),ROWS(FILTER(Q$4:Q90,Q$4:Q90&lt;&gt;""""))),""^Sell_""),INDEX(FILTER(T$4:T89,Q$4:Q89&lt;&gt;""""),ROWS(FILTER(Q$4:Q89,Q$4:Q89&lt;&gt;""""))),$AD$5+S90))"),7048.8)</f>
        <v>7048.8</v>
      </c>
      <c r="U90" s="10">
        <f>IFERROR(__xludf.DUMMYFUNCTION("IF(COUNTA(Q90:Q1350)=0,"""",IF(Q90="""",0,IF(REGEXMATCH(Q90,""^Sell_""),-ROUNDDOWN(ROUNDUP(INDEX(Upgrades!$C$3:$C$13,MATCH(SUBSTITUTE(Q90,""Sell_"",""""),Upgrades!$B$3:$B$13,0))*1.15^(COUNTIF(Q$4:Q89,SUBSTITUTE(Q90,""Sell_"",""""))-COUNTIF(Q$4:Q89,""Sell_"&amp;"""&amp;SUBSTITUTE(Q90,""Sell_"",""""))))/2),ROUNDUP(INDEX(Upgrades!$C$3:$C$13,MATCH(Q90,Upgrades!$B$3:$B$13,0))*1.15^(COUNTIF(Q$4:Q89,Q90)-COUNTIF(Q$4:Q89,""Sell_""&amp;Q90))))))"),10000.0)</f>
        <v>10000</v>
      </c>
      <c r="V90" s="10">
        <f t="shared" si="11"/>
        <v>10000</v>
      </c>
      <c r="W90" s="68">
        <f t="shared" si="12"/>
        <v>1669.882602</v>
      </c>
      <c r="X90" s="59" t="str">
        <f t="shared" si="13"/>
        <v>27m 49s</v>
      </c>
      <c r="Y90" s="69">
        <f t="shared" si="14"/>
        <v>2267700</v>
      </c>
      <c r="Z90" s="11"/>
    </row>
    <row r="91">
      <c r="A91" s="8"/>
      <c r="B91" s="56">
        <f t="shared" si="2"/>
        <v>17</v>
      </c>
      <c r="C91" s="57" t="s">
        <v>5</v>
      </c>
      <c r="D91" s="10" t="b">
        <f>IFERROR(__xludf.DUMMYFUNCTION("IF(COUNTA(C91:C1350)=0,"""",IF(ISBLANK(C91),FALSE,IF(NOT(COUNTIF($AA$24:$AA$34,SUBSTITUTE(C91,""Sell_"",""""))),1,IF(REGEXMATCH(C91,""Sell_""),IF(COUNTIF(C$4:C91,SUBSTITUTE(C91,""Sell_"",""""))-COUNTIF(C$4:C90,C91)&lt;1,1),FALSE))))"),FALSE)</f>
        <v>0</v>
      </c>
      <c r="E91" s="59">
        <f t="array" ref="E91">IF(COUNTA(C91:C1350)=0,"",SUM((COUNTIF(C$4:C91,Upgrades!$B$3:$B$13)-COUNTIF(C$4:C91,"Sell_"&amp;Upgrades!$B$3:$B$13))*Upgrades!$D$3:$D$13))</f>
        <v>78089.5</v>
      </c>
      <c r="F91" s="66">
        <f>IFERROR(__xludf.DUMMYFUNCTION("IF(COUNTA(C91:C1350)=0,"""",IF(REGEXMATCH(INDEX(FILTER(C$4:C91,C$4:C91&lt;&gt;""""),ROWS(FILTER(C$4:C91,C$4:C91&lt;&gt;""""))),""^Sell_""),INDEX(FILTER(F$4:F90,C$4:C90&lt;&gt;""""),ROWS(FILTER(C$4:C90,C$4:C90&lt;&gt;""""))),$AC$5+E91))"),78289.5)</f>
        <v>78289.5</v>
      </c>
      <c r="G91" s="10">
        <f>IFERROR(__xludf.DUMMYFUNCTION("IF(COUNTA(C91:C1350)=0,"""",IF(C91="""",0,IF(REGEXMATCH(C91,""^Sell_""),-ROUNDDOWN(ROUNDUP(INDEX(Upgrades!$C$3:$C$13,MATCH(SUBSTITUTE(C91,""Sell_"",""""),Upgrades!$B$3:$B$13,0))*1.15^(COUNTIF(C$4:C90,SUBSTITUTE(C91,""Sell_"",""""))-COUNTIF(C$4:C90,""Sell_"&amp;"""&amp;SUBSTITUTE(C91,""Sell_"",""""))))/2),ROUNDUP(INDEX(Upgrades!$C$3:$C$13,MATCH(C91,Upgrades!$B$3:$B$13,0))*1.15^(COUNTIF(C$4:C90,C91)-COUNTIF(C$4:C90,""Sell_""&amp;C91))))))"),4679.0)</f>
        <v>4679</v>
      </c>
      <c r="H91" s="10">
        <f t="shared" si="3"/>
        <v>4679</v>
      </c>
      <c r="I91" s="68">
        <f t="shared" si="4"/>
        <v>3098.401293</v>
      </c>
      <c r="J91" s="59" t="str">
        <f t="shared" si="5"/>
        <v>51m 38s</v>
      </c>
      <c r="K91" s="69">
        <f t="shared" si="6"/>
        <v>44396527</v>
      </c>
      <c r="L91" s="60">
        <f t="shared" si="7"/>
        <v>-155.17719</v>
      </c>
      <c r="M91" s="61">
        <f>IFERROR(__xludf.DUMMYFUNCTION("IFS(AND(COUNTA(C91:C1350)=0,COUNTA(Q91:Q1350)=0),"""",OR(AND(K91&gt;=1000000000,OR(Y91&gt;=1000000000,COUNTA(Q91:Q1350)=0)),OR(Y91&gt;=1000000000,AND(COUNTA(C91:C1350)=0,P$3=TRUE))),
ROUNDDOWN((AB$1-AC$1)*MAX(INDEX(T$4:T1350,MATCH(LARGE(FILTER(Y$4:Y1350,Y$4:Y1350&lt;"&amp;"1000000000),1),Y$4:Y1350)),INDEX(F$4:F1350,MATCH(LARGE(FILTER(K$4:K1350,K$4:K1350&lt;1000000000),1),K$4:K1350)))),AND(K91&lt;1000000000,COUNTA(C91:C1350)&gt;0,P$3=FALSE),
ROUNDDOWN(INDEX(Y$4:Y1350,MATCH(LARGE(FILTER(W$4:W1350,W$4:W1350&lt;=I91),1),W$4:W1350))+(I91-LA"&amp;"RGE(FILTER(W$4:W1350,W$4:W1350&lt;=I91),1))*INDEX(T$4:T1350,MATCH(LARGE(FILTER(W$4:W1350,W$4:W1350&lt;=I91),1),W$4:W1350))-K91),1,
ROUNDDOWN(Y91-INDEX(K$4:K1350,MATCH(LARGE(FILTER(I$4:I1350,I$4:I1350&lt;=W91),1),I$4:I1350))-(W91-LARGE(FILTER(I$4:I1350,I$4:I1350&lt;=W"&amp;"91),1))*INDEX(F$4:F1350,MATCH(LARGE(FILTER(I$4:I1350,I$4:I1350&lt;=W91),1),I$4:I1350))))"),1.2463951E7)</f>
        <v>12463951</v>
      </c>
      <c r="N91" s="60">
        <f t="shared" si="8"/>
        <v>-155.17719</v>
      </c>
      <c r="O91" s="61" t="str">
        <f t="shared" si="9"/>
        <v>12,5M</v>
      </c>
      <c r="P91" s="56">
        <f t="shared" si="10"/>
        <v>2</v>
      </c>
      <c r="Q91" s="67" t="s">
        <v>7</v>
      </c>
      <c r="R91" s="10" t="b">
        <f>IFERROR(__xludf.DUMMYFUNCTION("IF(COUNTA(Q91:Q1350)=0,"""",IF(ISBLANK(Q91),FALSE,IF(NOT(COUNTIF($AA$24:$AA$34,SUBSTITUTE(Q91,""Sell_"",""""))),1,IF(REGEXMATCH(Q91,""Sell_""),IF(COUNTIF(Q$4:Q91,SUBSTITUTE(Q91,""Sell_"",""""))-COUNTIF(Q$4:Q90,Q91)&lt;1,1),FALSE))))"),FALSE)</f>
        <v>0</v>
      </c>
      <c r="S91" s="59">
        <f t="array" ref="S91">IF(COUNTA(Q91:Q1350)=0,"",SUM((COUNTIF(Q$4:Q91,Upgrades!$B$3:$B$13)-COUNTIF(Q$4:Q91,"Sell_"&amp;Upgrades!$B$3:$B$13))*Upgrades!$D$3:$D$13))</f>
        <v>6888.8</v>
      </c>
      <c r="T91" s="66">
        <f>IFERROR(__xludf.DUMMYFUNCTION("IF(COUNTA(Q91:Q1350)=0,"""",IF(REGEXMATCH(INDEX(FILTER(Q$4:Q91,Q$4:Q91&lt;&gt;""""),ROWS(FILTER(Q$4:Q91,Q$4:Q91&lt;&gt;""""))),""^Sell_""),INDEX(FILTER(T$4:T90,Q$4:Q90&lt;&gt;""""),ROWS(FILTER(Q$4:Q90,Q$4:Q90&lt;&gt;""""))),$AD$5+S91))"),7088.8)</f>
        <v>7088.8</v>
      </c>
      <c r="U91" s="10">
        <f>IFERROR(__xludf.DUMMYFUNCTION("IF(COUNTA(Q91:Q1350)=0,"""",IF(Q91="""",0,IF(REGEXMATCH(Q91,""^Sell_""),-ROUNDDOWN(ROUNDUP(INDEX(Upgrades!$C$3:$C$13,MATCH(SUBSTITUTE(Q91,""Sell_"",""""),Upgrades!$B$3:$B$13,0))*1.15^(COUNTIF(Q$4:Q90,SUBSTITUTE(Q91,""Sell_"",""""))-COUNTIF(Q$4:Q90,""Sell_"&amp;"""&amp;SUBSTITUTE(Q91,""Sell_"",""""))))/2),ROUNDUP(INDEX(Upgrades!$C$3:$C$13,MATCH(Q91,Upgrades!$B$3:$B$13,0))*1.15^(COUNTIF(Q$4:Q90,Q91)-COUNTIF(Q$4:Q90,""Sell_""&amp;Q91))))))"),11500.0)</f>
        <v>11500</v>
      </c>
      <c r="V91" s="10">
        <f t="shared" si="11"/>
        <v>11500</v>
      </c>
      <c r="W91" s="68">
        <f t="shared" si="12"/>
        <v>1671.514086</v>
      </c>
      <c r="X91" s="59" t="str">
        <f t="shared" si="13"/>
        <v>27m 51s</v>
      </c>
      <c r="Y91" s="69">
        <f t="shared" si="14"/>
        <v>2279200</v>
      </c>
      <c r="Z91" s="11"/>
    </row>
    <row r="92">
      <c r="A92" s="8"/>
      <c r="B92" s="56">
        <f t="shared" si="2"/>
        <v>12</v>
      </c>
      <c r="C92" s="57" t="s">
        <v>10</v>
      </c>
      <c r="D92" s="10" t="b">
        <f>IFERROR(__xludf.DUMMYFUNCTION("IF(COUNTA(C92:C1350)=0,"""",IF(ISBLANK(C92),FALSE,IF(NOT(COUNTIF($AA$24:$AA$34,SUBSTITUTE(C92,""Sell_"",""""))),1,IF(REGEXMATCH(C92,""Sell_""),IF(COUNTIF(C$4:C92,SUBSTITUTE(C92,""Sell_"",""""))-COUNTIF(C$4:C91,C92)&lt;1,1),FALSE))))"),FALSE)</f>
        <v>0</v>
      </c>
      <c r="E92" s="59">
        <f t="array" ref="E92">IF(COUNTA(C92:C1350)=0,"",SUM((COUNTIF(C$4:C92,Upgrades!$B$3:$B$13)-COUNTIF(C$4:C92,"Sell_"&amp;Upgrades!$B$3:$B$13))*Upgrades!$D$3:$D$13))</f>
        <v>84755.5</v>
      </c>
      <c r="F92" s="66">
        <f>IFERROR(__xludf.DUMMYFUNCTION("IF(COUNTA(C92:C1350)=0,"""",IF(REGEXMATCH(INDEX(FILTER(C$4:C92,C$4:C92&lt;&gt;""""),ROWS(FILTER(C$4:C92,C$4:C92&lt;&gt;""""))),""^Sell_""),INDEX(FILTER(F$4:F91,C$4:C91&lt;&gt;""""),ROWS(FILTER(C$4:C91,C$4:C91&lt;&gt;""""))),$AC$5+E92))"),84955.5)</f>
        <v>84955.5</v>
      </c>
      <c r="G92" s="10">
        <f>IFERROR(__xludf.DUMMYFUNCTION("IF(COUNTA(C92:C1350)=0,"""",IF(C92="""",0,IF(REGEXMATCH(C92,""^Sell_""),-ROUNDDOWN(ROUNDUP(INDEX(Upgrades!$C$3:$C$13,MATCH(SUBSTITUTE(C92,""Sell_"",""""),Upgrades!$B$3:$B$13,0))*1.15^(COUNTIF(C$4:C91,SUBSTITUTE(C92,""Sell_"",""""))-COUNTIF(C$4:C91,""Sell_"&amp;"""&amp;SUBSTITUTE(C92,""Sell_"",""""))))/2),ROUNDUP(INDEX(Upgrades!$C$3:$C$13,MATCH(C92,Upgrades!$B$3:$B$13,0))*1.15^(COUNTIF(C$4:C91,C92)-COUNTIF(C$4:C91,""Sell_""&amp;C92))))))"),7753983.0)</f>
        <v>7753983</v>
      </c>
      <c r="H92" s="10">
        <f t="shared" si="3"/>
        <v>7753983</v>
      </c>
      <c r="I92" s="68">
        <f t="shared" si="4"/>
        <v>3197.443731</v>
      </c>
      <c r="J92" s="59" t="str">
        <f t="shared" si="5"/>
        <v>53m 17s</v>
      </c>
      <c r="K92" s="69">
        <f t="shared" si="6"/>
        <v>52150510</v>
      </c>
      <c r="L92" s="60">
        <f t="shared" si="7"/>
        <v>-154.66576</v>
      </c>
      <c r="M92" s="61">
        <f>IFERROR(__xludf.DUMMYFUNCTION("IFS(AND(COUNTA(C92:C1350)=0,COUNTA(Q92:Q1350)=0),"""",OR(AND(K92&gt;=1000000000,OR(Y92&gt;=1000000000,COUNTA(Q92:Q1350)=0)),OR(Y92&gt;=1000000000,AND(COUNTA(C92:C1350)=0,P$3=TRUE))),
ROUNDDOWN((AB$1-AC$1)*MAX(INDEX(T$4:T1350,MATCH(LARGE(FILTER(Y$4:Y1350,Y$4:Y1350&lt;"&amp;"1000000000),1),Y$4:Y1350)),INDEX(F$4:F1350,MATCH(LARGE(FILTER(K$4:K1350,K$4:K1350&lt;1000000000),1),K$4:K1350)))),AND(K92&lt;1000000000,COUNTA(C92:C1350)&gt;0,P$3=FALSE),
ROUNDDOWN(INDEX(Y$4:Y1350,MATCH(LARGE(FILTER(W$4:W1350,W$4:W1350&lt;=I92),1),W$4:W1350))+(I92-LA"&amp;"RGE(FILTER(W$4:W1350,W$4:W1350&lt;=I92),1))*INDEX(T$4:T1350,MATCH(LARGE(FILTER(W$4:W1350,W$4:W1350&lt;=I92),1),W$4:W1350))-K92),1,
ROUNDDOWN(Y92-INDEX(K$4:K1350,MATCH(LARGE(FILTER(I$4:I1350,I$4:I1350&lt;=W92),1),I$4:I1350))-(W92-LARGE(FILTER(I$4:I1350,I$4:I1350&lt;=W"&amp;"92),1))*INDEX(F$4:F1350,MATCH(LARGE(FILTER(I$4:I1350,I$4:I1350&lt;=W92),1),I$4:I1350))))"),1.3411905E7)</f>
        <v>13411905</v>
      </c>
      <c r="N92" s="60">
        <f t="shared" si="8"/>
        <v>-154.66576</v>
      </c>
      <c r="O92" s="61" t="str">
        <f t="shared" si="9"/>
        <v>13,4M</v>
      </c>
      <c r="P92" s="56">
        <f t="shared" si="10"/>
        <v>3</v>
      </c>
      <c r="Q92" s="67" t="s">
        <v>7</v>
      </c>
      <c r="R92" s="10" t="b">
        <f>IFERROR(__xludf.DUMMYFUNCTION("IF(COUNTA(Q92:Q1350)=0,"""",IF(ISBLANK(Q92),FALSE,IF(NOT(COUNTIF($AA$24:$AA$34,SUBSTITUTE(Q92,""Sell_"",""""))),1,IF(REGEXMATCH(Q92,""Sell_""),IF(COUNTIF(Q$4:Q92,SUBSTITUTE(Q92,""Sell_"",""""))-COUNTIF(Q$4:Q91,Q92)&lt;1,1),FALSE))))"),FALSE)</f>
        <v>0</v>
      </c>
      <c r="S92" s="59">
        <f t="array" ref="S92">IF(COUNTA(Q92:Q1350)=0,"",SUM((COUNTIF(Q$4:Q92,Upgrades!$B$3:$B$13)-COUNTIF(Q$4:Q92,"Sell_"&amp;Upgrades!$B$3:$B$13))*Upgrades!$D$3:$D$13))</f>
        <v>6928.8</v>
      </c>
      <c r="T92" s="66">
        <f>IFERROR(__xludf.DUMMYFUNCTION("IF(COUNTA(Q92:Q1350)=0,"""",IF(REGEXMATCH(INDEX(FILTER(Q$4:Q92,Q$4:Q92&lt;&gt;""""),ROWS(FILTER(Q$4:Q92,Q$4:Q92&lt;&gt;""""))),""^Sell_""),INDEX(FILTER(T$4:T91,Q$4:Q91&lt;&gt;""""),ROWS(FILTER(Q$4:Q91,Q$4:Q91&lt;&gt;""""))),$AD$5+S92))"),7128.8)</f>
        <v>7128.8</v>
      </c>
      <c r="U92" s="10">
        <f>IFERROR(__xludf.DUMMYFUNCTION("IF(COUNTA(Q92:Q1350)=0,"""",IF(Q92="""",0,IF(REGEXMATCH(Q92,""^Sell_""),-ROUNDDOWN(ROUNDUP(INDEX(Upgrades!$C$3:$C$13,MATCH(SUBSTITUTE(Q92,""Sell_"",""""),Upgrades!$B$3:$B$13,0))*1.15^(COUNTIF(Q$4:Q91,SUBSTITUTE(Q92,""Sell_"",""""))-COUNTIF(Q$4:Q91,""Sell_"&amp;"""&amp;SUBSTITUTE(Q92,""Sell_"",""""))))/2),ROUNDUP(INDEX(Upgrades!$C$3:$C$13,MATCH(Q92,Upgrades!$B$3:$B$13,0))*1.15^(COUNTIF(Q$4:Q91,Q92)-COUNTIF(Q$4:Q91,""Sell_""&amp;Q92))))))"),13225.0)</f>
        <v>13225</v>
      </c>
      <c r="V92" s="10">
        <f t="shared" si="11"/>
        <v>13225</v>
      </c>
      <c r="W92" s="68">
        <f t="shared" si="12"/>
        <v>1673.379705</v>
      </c>
      <c r="X92" s="59" t="str">
        <f t="shared" si="13"/>
        <v>27m 53s</v>
      </c>
      <c r="Y92" s="69">
        <f t="shared" si="14"/>
        <v>2292425</v>
      </c>
      <c r="Z92" s="11"/>
    </row>
    <row r="93">
      <c r="A93" s="8"/>
      <c r="B93" s="56">
        <f t="shared" si="2"/>
        <v>9</v>
      </c>
      <c r="C93" s="57" t="s">
        <v>9</v>
      </c>
      <c r="D93" s="10" t="b">
        <f>IFERROR(__xludf.DUMMYFUNCTION("IF(COUNTA(C93:C1350)=0,"""",IF(ISBLANK(C93),FALSE,IF(NOT(COUNTIF($AA$24:$AA$34,SUBSTITUTE(C93,""Sell_"",""""))),1,IF(REGEXMATCH(C93,""Sell_""),IF(COUNTIF(C$4:C93,SUBSTITUTE(C93,""Sell_"",""""))-COUNTIF(C$4:C92,C93)&lt;1,1),FALSE))))"),FALSE)</f>
        <v>0</v>
      </c>
      <c r="E93" s="59">
        <f t="array" ref="E93">IF(COUNTA(C93:C1350)=0,"",SUM((COUNTIF(C$4:C93,Upgrades!$B$3:$B$13)-COUNTIF(C$4:C93,"Sell_"&amp;Upgrades!$B$3:$B$13))*Upgrades!$D$3:$D$13))</f>
        <v>85155.5</v>
      </c>
      <c r="F93" s="66">
        <f>IFERROR(__xludf.DUMMYFUNCTION("IF(COUNTA(C93:C1350)=0,"""",IF(REGEXMATCH(INDEX(FILTER(C$4:C93,C$4:C93&lt;&gt;""""),ROWS(FILTER(C$4:C93,C$4:C93&lt;&gt;""""))),""^Sell_""),INDEX(FILTER(F$4:F92,C$4:C92&lt;&gt;""""),ROWS(FILTER(C$4:C92,C$4:C92&lt;&gt;""""))),$AC$5+E93))"),85355.5)</f>
        <v>85355.5</v>
      </c>
      <c r="G93" s="10">
        <f>IFERROR(__xludf.DUMMYFUNCTION("IF(COUNTA(C93:C1350)=0,"""",IF(C93="""",0,IF(REGEXMATCH(C93,""^Sell_""),-ROUNDDOWN(ROUNDUP(INDEX(Upgrades!$C$3:$C$13,MATCH(SUBSTITUTE(C93,""Sell_"",""""),Upgrades!$B$3:$B$13,0))*1.15^(COUNTIF(C$4:C92,SUBSTITUTE(C93,""Sell_"",""""))-COUNTIF(C$4:C92,""Sell_"&amp;"""&amp;SUBSTITUTE(C93,""Sell_"",""""))))/2),ROUNDUP(INDEX(Upgrades!$C$3:$C$13,MATCH(C93,Upgrades!$B$3:$B$13,0))*1.15^(COUNTIF(C$4:C92,C93)-COUNTIF(C$4:C92,""Sell_""&amp;C93))))))"),611805.0)</f>
        <v>611805</v>
      </c>
      <c r="H93" s="10">
        <f t="shared" si="3"/>
        <v>611805</v>
      </c>
      <c r="I93" s="68">
        <f t="shared" si="4"/>
        <v>3204.645207</v>
      </c>
      <c r="J93" s="59" t="str">
        <f t="shared" si="5"/>
        <v>53m 24s</v>
      </c>
      <c r="K93" s="69">
        <f t="shared" si="6"/>
        <v>52762315</v>
      </c>
      <c r="L93" s="60">
        <f t="shared" si="7"/>
        <v>-154.40779</v>
      </c>
      <c r="M93" s="61">
        <f>IFERROR(__xludf.DUMMYFUNCTION("IFS(AND(COUNTA(C93:C1350)=0,COUNTA(Q93:Q1350)=0),"""",OR(AND(K93&gt;=1000000000,OR(Y93&gt;=1000000000,COUNTA(Q93:Q1350)=0)),OR(Y93&gt;=1000000000,AND(COUNTA(C93:C1350)=0,P$3=TRUE))),
ROUNDDOWN((AB$1-AC$1)*MAX(INDEX(T$4:T1350,MATCH(LARGE(FILTER(Y$4:Y1350,Y$4:Y1350&lt;"&amp;"1000000000),1),Y$4:Y1350)),INDEX(F$4:F1350,MATCH(LARGE(FILTER(K$4:K1350,K$4:K1350&lt;1000000000),1),K$4:K1350)))),AND(K93&lt;1000000000,COUNTA(C93:C1350)&gt;0,P$3=FALSE),
ROUNDDOWN(INDEX(Y$4:Y1350,MATCH(LARGE(FILTER(W$4:W1350,W$4:W1350&lt;=I93),1),W$4:W1350))+(I93-LA"&amp;"RGE(FILTER(W$4:W1350,W$4:W1350&lt;=I93),1))*INDEX(T$4:T1350,MATCH(LARGE(FILTER(W$4:W1350,W$4:W1350&lt;=I93),1),W$4:W1350))-K93),1,
ROUNDDOWN(Y93-INDEX(K$4:K1350,MATCH(LARGE(FILTER(I$4:I1350,I$4:I1350&lt;=W93),1),I$4:I1350))-(W93-LARGE(FILTER(I$4:I1350,I$4:I1350&lt;=W"&amp;"93),1))*INDEX(F$4:F1350,MATCH(LARGE(FILTER(I$4:I1350,I$4:I1350&lt;=W93),1),I$4:I1350))))"),1.3465039E7)</f>
        <v>13465039</v>
      </c>
      <c r="N93" s="60">
        <f t="shared" si="8"/>
        <v>-154.40779</v>
      </c>
      <c r="O93" s="61" t="str">
        <f t="shared" si="9"/>
        <v>13,5M</v>
      </c>
      <c r="P93" s="56">
        <f t="shared" si="10"/>
        <v>4</v>
      </c>
      <c r="Q93" s="67" t="s">
        <v>7</v>
      </c>
      <c r="R93" s="10" t="b">
        <f>IFERROR(__xludf.DUMMYFUNCTION("IF(COUNTA(Q93:Q1350)=0,"""",IF(ISBLANK(Q93),FALSE,IF(NOT(COUNTIF($AA$24:$AA$34,SUBSTITUTE(Q93,""Sell_"",""""))),1,IF(REGEXMATCH(Q93,""Sell_""),IF(COUNTIF(Q$4:Q93,SUBSTITUTE(Q93,""Sell_"",""""))-COUNTIF(Q$4:Q92,Q93)&lt;1,1),FALSE))))"),FALSE)</f>
        <v>0</v>
      </c>
      <c r="S93" s="59">
        <f t="array" ref="S93">IF(COUNTA(Q93:Q1350)=0,"",SUM((COUNTIF(Q$4:Q93,Upgrades!$B$3:$B$13)-COUNTIF(Q$4:Q93,"Sell_"&amp;Upgrades!$B$3:$B$13))*Upgrades!$D$3:$D$13))</f>
        <v>6968.8</v>
      </c>
      <c r="T93" s="66">
        <f>IFERROR(__xludf.DUMMYFUNCTION("IF(COUNTA(Q93:Q1350)=0,"""",IF(REGEXMATCH(INDEX(FILTER(Q$4:Q93,Q$4:Q93&lt;&gt;""""),ROWS(FILTER(Q$4:Q93,Q$4:Q93&lt;&gt;""""))),""^Sell_""),INDEX(FILTER(T$4:T92,Q$4:Q92&lt;&gt;""""),ROWS(FILTER(Q$4:Q92,Q$4:Q92&lt;&gt;""""))),$AD$5+S93))"),7168.8)</f>
        <v>7168.8</v>
      </c>
      <c r="U93" s="10">
        <f>IFERROR(__xludf.DUMMYFUNCTION("IF(COUNTA(Q93:Q1350)=0,"""",IF(Q93="""",0,IF(REGEXMATCH(Q93,""^Sell_""),-ROUNDDOWN(ROUNDUP(INDEX(Upgrades!$C$3:$C$13,MATCH(SUBSTITUTE(Q93,""Sell_"",""""),Upgrades!$B$3:$B$13,0))*1.15^(COUNTIF(Q$4:Q92,SUBSTITUTE(Q93,""Sell_"",""""))-COUNTIF(Q$4:Q92,""Sell_"&amp;"""&amp;SUBSTITUTE(Q93,""Sell_"",""""))))/2),ROUNDUP(INDEX(Upgrades!$C$3:$C$13,MATCH(Q93,Upgrades!$B$3:$B$13,0))*1.15^(COUNTIF(Q$4:Q92,Q93)-COUNTIF(Q$4:Q92,""Sell_""&amp;Q93))))))"),15209.0)</f>
        <v>15209</v>
      </c>
      <c r="V93" s="10">
        <f t="shared" si="11"/>
        <v>15209</v>
      </c>
      <c r="W93" s="68">
        <f t="shared" si="12"/>
        <v>1675.513163</v>
      </c>
      <c r="X93" s="59" t="str">
        <f t="shared" si="13"/>
        <v>27m 55s</v>
      </c>
      <c r="Y93" s="69">
        <f t="shared" si="14"/>
        <v>2307634</v>
      </c>
      <c r="Z93" s="11"/>
    </row>
    <row r="94">
      <c r="A94" s="8"/>
      <c r="B94" s="56">
        <f t="shared" si="2"/>
        <v>10</v>
      </c>
      <c r="C94" s="57" t="s">
        <v>8</v>
      </c>
      <c r="D94" s="10" t="b">
        <f>IFERROR(__xludf.DUMMYFUNCTION("IF(COUNTA(C94:C1350)=0,"""",IF(ISBLANK(C94),FALSE,IF(NOT(COUNTIF($AA$24:$AA$34,SUBSTITUTE(C94,""Sell_"",""""))),1,IF(REGEXMATCH(C94,""Sell_""),IF(COUNTIF(C$4:C94,SUBSTITUTE(C94,""Sell_"",""""))-COUNTIF(C$4:C93,C94)&lt;1,1),FALSE))))"),FALSE)</f>
        <v>0</v>
      </c>
      <c r="E94" s="59">
        <f t="array" ref="E94">IF(COUNTA(C94:C1350)=0,"",SUM((COUNTIF(C$4:C94,Upgrades!$B$3:$B$13)-COUNTIF(C$4:C94,"Sell_"&amp;Upgrades!$B$3:$B$13))*Upgrades!$D$3:$D$13))</f>
        <v>85255.5</v>
      </c>
      <c r="F94" s="66">
        <f>IFERROR(__xludf.DUMMYFUNCTION("IF(COUNTA(C94:C1350)=0,"""",IF(REGEXMATCH(INDEX(FILTER(C$4:C94,C$4:C94&lt;&gt;""""),ROWS(FILTER(C$4:C94,C$4:C94&lt;&gt;""""))),""^Sell_""),INDEX(FILTER(F$4:F93,C$4:C93&lt;&gt;""""),ROWS(FILTER(C$4:C93,C$4:C93&lt;&gt;""""))),$AC$5+E94))"),85455.5)</f>
        <v>85455.5</v>
      </c>
      <c r="G94" s="10">
        <f>IFERROR(__xludf.DUMMYFUNCTION("IF(COUNTA(C94:C1350)=0,"""",IF(C94="""",0,IF(REGEXMATCH(C94,""^Sell_""),-ROUNDDOWN(ROUNDUP(INDEX(Upgrades!$C$3:$C$13,MATCH(SUBSTITUTE(C94,""Sell_"",""""),Upgrades!$B$3:$B$13,0))*1.15^(COUNTIF(C$4:C93,SUBSTITUTE(C94,""Sell_"",""""))-COUNTIF(C$4:C93,""Sell_"&amp;"""&amp;SUBSTITUTE(C94,""Sell_"",""""))))/2),ROUNDUP(INDEX(Upgrades!$C$3:$C$13,MATCH(C94,Upgrades!$B$3:$B$13,0))*1.15^(COUNTIF(C$4:C93,C94)-COUNTIF(C$4:C93,""Sell_""&amp;C94))))))"),140716.0)</f>
        <v>140716</v>
      </c>
      <c r="H94" s="10">
        <f t="shared" si="3"/>
        <v>140716</v>
      </c>
      <c r="I94" s="68">
        <f t="shared" si="4"/>
        <v>3206.293795</v>
      </c>
      <c r="J94" s="59" t="str">
        <f t="shared" si="5"/>
        <v>53m 26s</v>
      </c>
      <c r="K94" s="69">
        <f t="shared" si="6"/>
        <v>52903031</v>
      </c>
      <c r="L94" s="60">
        <f t="shared" si="7"/>
        <v>-154.39225</v>
      </c>
      <c r="M94" s="61">
        <f>IFERROR(__xludf.DUMMYFUNCTION("IFS(AND(COUNTA(C94:C1350)=0,COUNTA(Q94:Q1350)=0),"""",OR(AND(K94&gt;=1000000000,OR(Y94&gt;=1000000000,COUNTA(Q94:Q1350)=0)),OR(Y94&gt;=1000000000,AND(COUNTA(C94:C1350)=0,P$3=TRUE))),
ROUNDDOWN((AB$1-AC$1)*MAX(INDEX(T$4:T1350,MATCH(LARGE(FILTER(Y$4:Y1350,Y$4:Y1350&lt;"&amp;"1000000000),1),Y$4:Y1350)),INDEX(F$4:F1350,MATCH(LARGE(FILTER(K$4:K1350,K$4:K1350&lt;1000000000),1),K$4:K1350)))),AND(K94&lt;1000000000,COUNTA(C94:C1350)&gt;0,P$3=FALSE),
ROUNDDOWN(INDEX(Y$4:Y1350,MATCH(LARGE(FILTER(W$4:W1350,W$4:W1350&lt;=I94),1),W$4:W1350))+(I94-LA"&amp;"RGE(FILTER(W$4:W1350,W$4:W1350&lt;=I94),1))*INDEX(T$4:T1350,MATCH(LARGE(FILTER(W$4:W1350,W$4:W1350&lt;=I94),1),W$4:W1350))-K94),1,
ROUNDDOWN(Y94-INDEX(K$4:K1350,MATCH(LARGE(FILTER(I$4:I1350,I$4:I1350&lt;=W94),1),I$4:I1350))-(W94-LARGE(FILTER(I$4:I1350,I$4:I1350&lt;=W"&amp;"94),1))*INDEX(F$4:F1350,MATCH(LARGE(FILTER(I$4:I1350,I$4:I1350&lt;=W94),1),I$4:I1350))))"),1.3476544E7)</f>
        <v>13476544</v>
      </c>
      <c r="N94" s="60">
        <f t="shared" si="8"/>
        <v>-154.39225</v>
      </c>
      <c r="O94" s="61" t="str">
        <f t="shared" si="9"/>
        <v>13,5M</v>
      </c>
      <c r="P94" s="56">
        <f t="shared" si="10"/>
        <v>1</v>
      </c>
      <c r="Q94" s="67" t="s">
        <v>8</v>
      </c>
      <c r="R94" s="10" t="b">
        <f>IFERROR(__xludf.DUMMYFUNCTION("IF(COUNTA(Q94:Q1350)=0,"""",IF(ISBLANK(Q94),FALSE,IF(NOT(COUNTIF($AA$24:$AA$34,SUBSTITUTE(Q94,""Sell_"",""""))),1,IF(REGEXMATCH(Q94,""Sell_""),IF(COUNTIF(Q$4:Q94,SUBSTITUTE(Q94,""Sell_"",""""))-COUNTIF(Q$4:Q93,Q94)&lt;1,1),FALSE))))"),FALSE)</f>
        <v>0</v>
      </c>
      <c r="S94" s="59">
        <f t="array" ref="S94">IF(COUNTA(Q94:Q1350)=0,"",SUM((COUNTIF(Q$4:Q94,Upgrades!$B$3:$B$13)-COUNTIF(Q$4:Q94,"Sell_"&amp;Upgrades!$B$3:$B$13))*Upgrades!$D$3:$D$13))</f>
        <v>7068.8</v>
      </c>
      <c r="T94" s="66">
        <f>IFERROR(__xludf.DUMMYFUNCTION("IF(COUNTA(Q94:Q1350)=0,"""",IF(REGEXMATCH(INDEX(FILTER(Q$4:Q94,Q$4:Q94&lt;&gt;""""),ROWS(FILTER(Q$4:Q94,Q$4:Q94&lt;&gt;""""))),""^Sell_""),INDEX(FILTER(T$4:T93,Q$4:Q93&lt;&gt;""""),ROWS(FILTER(Q$4:Q93,Q$4:Q93&lt;&gt;""""))),$AD$5+S94))"),7268.8)</f>
        <v>7268.8</v>
      </c>
      <c r="U94" s="10">
        <f>IFERROR(__xludf.DUMMYFUNCTION("IF(COUNTA(Q94:Q1350)=0,"""",IF(Q94="""",0,IF(REGEXMATCH(Q94,""^Sell_""),-ROUNDDOWN(ROUNDUP(INDEX(Upgrades!$C$3:$C$13,MATCH(SUBSTITUTE(Q94,""Sell_"",""""),Upgrades!$B$3:$B$13,0))*1.15^(COUNTIF(Q$4:Q93,SUBSTITUTE(Q94,""Sell_"",""""))-COUNTIF(Q$4:Q93,""Sell_"&amp;"""&amp;SUBSTITUTE(Q94,""Sell_"",""""))))/2),ROUNDUP(INDEX(Upgrades!$C$3:$C$13,MATCH(Q94,Upgrades!$B$3:$B$13,0))*1.15^(COUNTIF(Q$4:Q93,Q94)-COUNTIF(Q$4:Q93,""Sell_""&amp;Q94))))))"),40000.0)</f>
        <v>40000</v>
      </c>
      <c r="V94" s="10">
        <f t="shared" si="11"/>
        <v>40000</v>
      </c>
      <c r="W94" s="68">
        <f t="shared" si="12"/>
        <v>1681.092898</v>
      </c>
      <c r="X94" s="59" t="str">
        <f t="shared" si="13"/>
        <v>28m 01s</v>
      </c>
      <c r="Y94" s="69">
        <f t="shared" si="14"/>
        <v>2347634</v>
      </c>
      <c r="Z94" s="11"/>
    </row>
    <row r="95">
      <c r="A95" s="8"/>
      <c r="B95" s="56">
        <f t="shared" si="2"/>
        <v>13</v>
      </c>
      <c r="C95" s="57" t="s">
        <v>7</v>
      </c>
      <c r="D95" s="10" t="b">
        <f>IFERROR(__xludf.DUMMYFUNCTION("IF(COUNTA(C95:C1350)=0,"""",IF(ISBLANK(C95),FALSE,IF(NOT(COUNTIF($AA$24:$AA$34,SUBSTITUTE(C95,""Sell_"",""""))),1,IF(REGEXMATCH(C95,""Sell_""),IF(COUNTIF(C$4:C95,SUBSTITUTE(C95,""Sell_"",""""))-COUNTIF(C$4:C94,C95)&lt;1,1),FALSE))))"),FALSE)</f>
        <v>0</v>
      </c>
      <c r="E95" s="59">
        <f t="array" ref="E95">IF(COUNTA(C95:C1350)=0,"",SUM((COUNTIF(C$4:C95,Upgrades!$B$3:$B$13)-COUNTIF(C$4:C95,"Sell_"&amp;Upgrades!$B$3:$B$13))*Upgrades!$D$3:$D$13))</f>
        <v>85295.5</v>
      </c>
      <c r="F95" s="66">
        <f>IFERROR(__xludf.DUMMYFUNCTION("IF(COUNTA(C95:C1350)=0,"""",IF(REGEXMATCH(INDEX(FILTER(C$4:C95,C$4:C95&lt;&gt;""""),ROWS(FILTER(C$4:C95,C$4:C95&lt;&gt;""""))),""^Sell_""),INDEX(FILTER(F$4:F94,C$4:C94&lt;&gt;""""),ROWS(FILTER(C$4:C94,C$4:C94&lt;&gt;""""))),$AC$5+E95))"),85495.5)</f>
        <v>85495.5</v>
      </c>
      <c r="G95" s="10">
        <f>IFERROR(__xludf.DUMMYFUNCTION("IF(COUNTA(C95:C1350)=0,"""",IF(C95="""",0,IF(REGEXMATCH(C95,""^Sell_""),-ROUNDDOWN(ROUNDUP(INDEX(Upgrades!$C$3:$C$13,MATCH(SUBSTITUTE(C95,""Sell_"",""""),Upgrades!$B$3:$B$13,0))*1.15^(COUNTIF(C$4:C94,SUBSTITUTE(C95,""Sell_"",""""))-COUNTIF(C$4:C94,""Sell_"&amp;"""&amp;SUBSTITUTE(C95,""Sell_"",""""))))/2),ROUNDUP(INDEX(Upgrades!$C$3:$C$13,MATCH(C95,Upgrades!$B$3:$B$13,0))*1.15^(COUNTIF(C$4:C94,C95)-COUNTIF(C$4:C94,""Sell_""&amp;C95))))))"),53503.0)</f>
        <v>53503</v>
      </c>
      <c r="H95" s="10">
        <f t="shared" si="3"/>
        <v>53503</v>
      </c>
      <c r="I95" s="68">
        <f t="shared" si="4"/>
        <v>3206.919887</v>
      </c>
      <c r="J95" s="59" t="str">
        <f t="shared" si="5"/>
        <v>53m 26s</v>
      </c>
      <c r="K95" s="69">
        <f t="shared" si="6"/>
        <v>52956534</v>
      </c>
      <c r="L95" s="60">
        <f t="shared" si="7"/>
        <v>-154.38854</v>
      </c>
      <c r="M95" s="61">
        <f>IFERROR(__xludf.DUMMYFUNCTION("IFS(AND(COUNTA(C95:C1350)=0,COUNTA(Q95:Q1350)=0),"""",OR(AND(K95&gt;=1000000000,OR(Y95&gt;=1000000000,COUNTA(Q95:Q1350)=0)),OR(Y95&gt;=1000000000,AND(COUNTA(C95:C1350)=0,P$3=TRUE))),
ROUNDDOWN((AB$1-AC$1)*MAX(INDEX(T$4:T1350,MATCH(LARGE(FILTER(Y$4:Y1350,Y$4:Y1350&lt;"&amp;"1000000000),1),Y$4:Y1350)),INDEX(F$4:F1350,MATCH(LARGE(FILTER(K$4:K1350,K$4:K1350&lt;1000000000),1),K$4:K1350)))),AND(K95&lt;1000000000,COUNTA(C95:C1350)&gt;0,P$3=FALSE),
ROUNDDOWN(INDEX(Y$4:Y1350,MATCH(LARGE(FILTER(W$4:W1350,W$4:W1350&lt;=I95),1),W$4:W1350))+(I95-LA"&amp;"RGE(FILTER(W$4:W1350,W$4:W1350&lt;=I95),1))*INDEX(T$4:T1350,MATCH(LARGE(FILTER(W$4:W1350,W$4:W1350&lt;=I95),1),W$4:W1350))-K95),1,
ROUNDDOWN(Y95-INDEX(K$4:K1350,MATCH(LARGE(FILTER(I$4:I1350,I$4:I1350&lt;=W95),1),I$4:I1350))-(W95-LARGE(FILTER(I$4:I1350,I$4:I1350&lt;=W"&amp;"95),1))*INDEX(F$4:F1350,MATCH(LARGE(FILTER(I$4:I1350,I$4:I1350&lt;=W95),1),I$4:I1350))))"),1.348085E7)</f>
        <v>13480850</v>
      </c>
      <c r="N95" s="60">
        <f t="shared" si="8"/>
        <v>-154.38854</v>
      </c>
      <c r="O95" s="61" t="str">
        <f t="shared" si="9"/>
        <v>13,5M</v>
      </c>
      <c r="P95" s="56">
        <f t="shared" si="10"/>
        <v>5</v>
      </c>
      <c r="Q95" s="67" t="s">
        <v>7</v>
      </c>
      <c r="R95" s="10" t="b">
        <f>IFERROR(__xludf.DUMMYFUNCTION("IF(COUNTA(Q95:Q1350)=0,"""",IF(ISBLANK(Q95),FALSE,IF(NOT(COUNTIF($AA$24:$AA$34,SUBSTITUTE(Q95,""Sell_"",""""))),1,IF(REGEXMATCH(Q95,""Sell_""),IF(COUNTIF(Q$4:Q95,SUBSTITUTE(Q95,""Sell_"",""""))-COUNTIF(Q$4:Q94,Q95)&lt;1,1),FALSE))))"),FALSE)</f>
        <v>0</v>
      </c>
      <c r="S95" s="59">
        <f t="array" ref="S95">IF(COUNTA(Q95:Q1350)=0,"",SUM((COUNTIF(Q$4:Q95,Upgrades!$B$3:$B$13)-COUNTIF(Q$4:Q95,"Sell_"&amp;Upgrades!$B$3:$B$13))*Upgrades!$D$3:$D$13))</f>
        <v>7108.8</v>
      </c>
      <c r="T95" s="66">
        <f>IFERROR(__xludf.DUMMYFUNCTION("IF(COUNTA(Q95:Q1350)=0,"""",IF(REGEXMATCH(INDEX(FILTER(Q$4:Q95,Q$4:Q95&lt;&gt;""""),ROWS(FILTER(Q$4:Q95,Q$4:Q95&lt;&gt;""""))),""^Sell_""),INDEX(FILTER(T$4:T94,Q$4:Q94&lt;&gt;""""),ROWS(FILTER(Q$4:Q94,Q$4:Q94&lt;&gt;""""))),$AD$5+S95))"),7308.8)</f>
        <v>7308.8</v>
      </c>
      <c r="U95" s="10">
        <f>IFERROR(__xludf.DUMMYFUNCTION("IF(COUNTA(Q95:Q1350)=0,"""",IF(Q95="""",0,IF(REGEXMATCH(Q95,""^Sell_""),-ROUNDDOWN(ROUNDUP(INDEX(Upgrades!$C$3:$C$13,MATCH(SUBSTITUTE(Q95,""Sell_"",""""),Upgrades!$B$3:$B$13,0))*1.15^(COUNTIF(Q$4:Q94,SUBSTITUTE(Q95,""Sell_"",""""))-COUNTIF(Q$4:Q94,""Sell_"&amp;"""&amp;SUBSTITUTE(Q95,""Sell_"",""""))))/2),ROUNDUP(INDEX(Upgrades!$C$3:$C$13,MATCH(Q95,Upgrades!$B$3:$B$13,0))*1.15^(COUNTIF(Q$4:Q94,Q95)-COUNTIF(Q$4:Q94,""Sell_""&amp;Q95))))))"),17491.0)</f>
        <v>17491</v>
      </c>
      <c r="V95" s="10">
        <f t="shared" si="11"/>
        <v>17491</v>
      </c>
      <c r="W95" s="68">
        <f t="shared" si="12"/>
        <v>1683.49921</v>
      </c>
      <c r="X95" s="59" t="str">
        <f t="shared" si="13"/>
        <v>28m 03s</v>
      </c>
      <c r="Y95" s="69">
        <f t="shared" si="14"/>
        <v>2365125</v>
      </c>
      <c r="Z95" s="11"/>
    </row>
    <row r="96">
      <c r="A96" s="8"/>
      <c r="B96" s="56">
        <f t="shared" si="2"/>
        <v>18</v>
      </c>
      <c r="C96" s="57" t="s">
        <v>5</v>
      </c>
      <c r="D96" s="10" t="b">
        <f>IFERROR(__xludf.DUMMYFUNCTION("IF(COUNTA(C96:C1350)=0,"""",IF(ISBLANK(C96),FALSE,IF(NOT(COUNTIF($AA$24:$AA$34,SUBSTITUTE(C96,""Sell_"",""""))),1,IF(REGEXMATCH(C96,""Sell_""),IF(COUNTIF(C$4:C96,SUBSTITUTE(C96,""Sell_"",""""))-COUNTIF(C$4:C95,C96)&lt;1,1),FALSE))))"),FALSE)</f>
        <v>0</v>
      </c>
      <c r="E96" s="59">
        <f t="array" ref="E96">IF(COUNTA(C96:C1350)=0,"",SUM((COUNTIF(C$4:C96,Upgrades!$B$3:$B$13)-COUNTIF(C$4:C96,"Sell_"&amp;Upgrades!$B$3:$B$13))*Upgrades!$D$3:$D$13))</f>
        <v>85299.5</v>
      </c>
      <c r="F96" s="66">
        <f>IFERROR(__xludf.DUMMYFUNCTION("IF(COUNTA(C96:C1350)=0,"""",IF(REGEXMATCH(INDEX(FILTER(C$4:C96,C$4:C96&lt;&gt;""""),ROWS(FILTER(C$4:C96,C$4:C96&lt;&gt;""""))),""^Sell_""),INDEX(FILTER(F$4:F95,C$4:C95&lt;&gt;""""),ROWS(FILTER(C$4:C95,C$4:C95&lt;&gt;""""))),$AC$5+E96))"),85499.5)</f>
        <v>85499.5</v>
      </c>
      <c r="G96" s="10">
        <f>IFERROR(__xludf.DUMMYFUNCTION("IF(COUNTA(C96:C1350)=0,"""",IF(C96="""",0,IF(REGEXMATCH(C96,""^Sell_""),-ROUNDDOWN(ROUNDUP(INDEX(Upgrades!$C$3:$C$13,MATCH(SUBSTITUTE(C96,""Sell_"",""""),Upgrades!$B$3:$B$13,0))*1.15^(COUNTIF(C$4:C95,SUBSTITUTE(C96,""Sell_"",""""))-COUNTIF(C$4:C95,""Sell_"&amp;"""&amp;SUBSTITUTE(C96,""Sell_"",""""))))/2),ROUNDUP(INDEX(Upgrades!$C$3:$C$13,MATCH(C96,Upgrades!$B$3:$B$13,0))*1.15^(COUNTIF(C$4:C95,C96)-COUNTIF(C$4:C95,""Sell_""&amp;C96))))))"),5381.0)</f>
        <v>5381</v>
      </c>
      <c r="H96" s="10">
        <f t="shared" si="3"/>
        <v>5381</v>
      </c>
      <c r="I96" s="68">
        <f t="shared" si="4"/>
        <v>3206.982826</v>
      </c>
      <c r="J96" s="59" t="str">
        <f t="shared" si="5"/>
        <v>53m 26s</v>
      </c>
      <c r="K96" s="69">
        <f t="shared" si="6"/>
        <v>52961915</v>
      </c>
      <c r="L96" s="60">
        <f t="shared" si="7"/>
        <v>-154.38816</v>
      </c>
      <c r="M96" s="61">
        <f>IFERROR(__xludf.DUMMYFUNCTION("IFS(AND(COUNTA(C96:C1350)=0,COUNTA(Q96:Q1350)=0),"""",OR(AND(K96&gt;=1000000000,OR(Y96&gt;=1000000000,COUNTA(Q96:Q1350)=0)),OR(Y96&gt;=1000000000,AND(COUNTA(C96:C1350)=0,P$3=TRUE))),
ROUNDDOWN((AB$1-AC$1)*MAX(INDEX(T$4:T1350,MATCH(LARGE(FILTER(Y$4:Y1350,Y$4:Y1350&lt;"&amp;"1000000000),1),Y$4:Y1350)),INDEX(F$4:F1350,MATCH(LARGE(FILTER(K$4:K1350,K$4:K1350&lt;1000000000),1),K$4:K1350)))),AND(K96&lt;1000000000,COUNTA(C96:C1350)&gt;0,P$3=FALSE),
ROUNDDOWN(INDEX(Y$4:Y1350,MATCH(LARGE(FILTER(W$4:W1350,W$4:W1350&lt;=I96),1),W$4:W1350))+(I96-LA"&amp;"RGE(FILTER(W$4:W1350,W$4:W1350&lt;=I96),1))*INDEX(T$4:T1350,MATCH(LARGE(FILTER(W$4:W1350,W$4:W1350&lt;=I96),1),W$4:W1350))-K96),1,
ROUNDDOWN(Y96-INDEX(K$4:K1350,MATCH(LARGE(FILTER(I$4:I1350,I$4:I1350&lt;=W96),1),I$4:I1350))-(W96-LARGE(FILTER(I$4:I1350,I$4:I1350&lt;=W"&amp;"96),1))*INDEX(F$4:F1350,MATCH(LARGE(FILTER(I$4:I1350,I$4:I1350&lt;=W96),1),I$4:I1350))))"),1.348128E7)</f>
        <v>13481280</v>
      </c>
      <c r="N96" s="60">
        <f t="shared" si="8"/>
        <v>-154.38816</v>
      </c>
      <c r="O96" s="61" t="str">
        <f t="shared" si="9"/>
        <v>13,5M</v>
      </c>
      <c r="P96" s="56">
        <f t="shared" si="10"/>
        <v>2</v>
      </c>
      <c r="Q96" s="67" t="s">
        <v>8</v>
      </c>
      <c r="R96" s="10" t="b">
        <f>IFERROR(__xludf.DUMMYFUNCTION("IF(COUNTA(Q96:Q1350)=0,"""",IF(ISBLANK(Q96),FALSE,IF(NOT(COUNTIF($AA$24:$AA$34,SUBSTITUTE(Q96,""Sell_"",""""))),1,IF(REGEXMATCH(Q96,""Sell_""),IF(COUNTIF(Q$4:Q96,SUBSTITUTE(Q96,""Sell_"",""""))-COUNTIF(Q$4:Q95,Q96)&lt;1,1),FALSE))))"),FALSE)</f>
        <v>0</v>
      </c>
      <c r="S96" s="59">
        <f t="array" ref="S96">IF(COUNTA(Q96:Q1350)=0,"",SUM((COUNTIF(Q$4:Q96,Upgrades!$B$3:$B$13)-COUNTIF(Q$4:Q96,"Sell_"&amp;Upgrades!$B$3:$B$13))*Upgrades!$D$3:$D$13))</f>
        <v>7208.8</v>
      </c>
      <c r="T96" s="66">
        <f>IFERROR(__xludf.DUMMYFUNCTION("IF(COUNTA(Q96:Q1350)=0,"""",IF(REGEXMATCH(INDEX(FILTER(Q$4:Q96,Q$4:Q96&lt;&gt;""""),ROWS(FILTER(Q$4:Q96,Q$4:Q96&lt;&gt;""""))),""^Sell_""),INDEX(FILTER(T$4:T95,Q$4:Q95&lt;&gt;""""),ROWS(FILTER(Q$4:Q95,Q$4:Q95&lt;&gt;""""))),$AD$5+S96))"),7408.8)</f>
        <v>7408.8</v>
      </c>
      <c r="U96" s="10">
        <f>IFERROR(__xludf.DUMMYFUNCTION("IF(COUNTA(Q96:Q1350)=0,"""",IF(Q96="""",0,IF(REGEXMATCH(Q96,""^Sell_""),-ROUNDDOWN(ROUNDUP(INDEX(Upgrades!$C$3:$C$13,MATCH(SUBSTITUTE(Q96,""Sell_"",""""),Upgrades!$B$3:$B$13,0))*1.15^(COUNTIF(Q$4:Q95,SUBSTITUTE(Q96,""Sell_"",""""))-COUNTIF(Q$4:Q95,""Sell_"&amp;"""&amp;SUBSTITUTE(Q96,""Sell_"",""""))))/2),ROUNDUP(INDEX(Upgrades!$C$3:$C$13,MATCH(Q96,Upgrades!$B$3:$B$13,0))*1.15^(COUNTIF(Q$4:Q95,Q96)-COUNTIF(Q$4:Q95,""Sell_""&amp;Q96))))))"),46000.0)</f>
        <v>46000</v>
      </c>
      <c r="V96" s="10">
        <f t="shared" si="11"/>
        <v>46000</v>
      </c>
      <c r="W96" s="68">
        <f t="shared" si="12"/>
        <v>1689.792993</v>
      </c>
      <c r="X96" s="59" t="str">
        <f t="shared" si="13"/>
        <v>28m 09s</v>
      </c>
      <c r="Y96" s="69">
        <f t="shared" si="14"/>
        <v>2411125</v>
      </c>
      <c r="Z96" s="11"/>
    </row>
    <row r="97">
      <c r="A97" s="8"/>
      <c r="B97" s="56">
        <f t="shared" si="2"/>
        <v>12</v>
      </c>
      <c r="C97" s="57" t="s">
        <v>6</v>
      </c>
      <c r="D97" s="10" t="b">
        <f>IFERROR(__xludf.DUMMYFUNCTION("IF(COUNTA(C97:C1350)=0,"""",IF(ISBLANK(C97),FALSE,IF(NOT(COUNTIF($AA$24:$AA$34,SUBSTITUTE(C97,""Sell_"",""""))),1,IF(REGEXMATCH(C97,""Sell_""),IF(COUNTIF(C$4:C97,SUBSTITUTE(C97,""Sell_"",""""))-COUNTIF(C$4:C96,C97)&lt;1,1),FALSE))))"),FALSE)</f>
        <v>0</v>
      </c>
      <c r="E97" s="59">
        <f t="array" ref="E97">IF(COUNTA(C97:C1350)=0,"",SUM((COUNTIF(C$4:C97,Upgrades!$B$3:$B$13)-COUNTIF(C$4:C97,"Sell_"&amp;Upgrades!$B$3:$B$13))*Upgrades!$D$3:$D$13))</f>
        <v>85309.5</v>
      </c>
      <c r="F97" s="66">
        <f>IFERROR(__xludf.DUMMYFUNCTION("IF(COUNTA(C97:C1350)=0,"""",IF(REGEXMATCH(INDEX(FILTER(C$4:C97,C$4:C97&lt;&gt;""""),ROWS(FILTER(C$4:C97,C$4:C97&lt;&gt;""""))),""^Sell_""),INDEX(FILTER(F$4:F96,C$4:C96&lt;&gt;""""),ROWS(FILTER(C$4:C96,C$4:C96&lt;&gt;""""))),$AC$5+E97))"),85509.5)</f>
        <v>85509.5</v>
      </c>
      <c r="G97" s="10">
        <f>IFERROR(__xludf.DUMMYFUNCTION("IF(COUNTA(C97:C1350)=0,"""",IF(C97="""",0,IF(REGEXMATCH(C97,""^Sell_""),-ROUNDDOWN(ROUNDUP(INDEX(Upgrades!$C$3:$C$13,MATCH(SUBSTITUTE(C97,""Sell_"",""""),Upgrades!$B$3:$B$13,0))*1.15^(COUNTIF(C$4:C96,SUBSTITUTE(C97,""Sell_"",""""))-COUNTIF(C$4:C96,""Sell_"&amp;"""&amp;SUBSTITUTE(C97,""Sell_"",""""))))/2),ROUNDUP(INDEX(Upgrades!$C$3:$C$13,MATCH(C97,Upgrades!$B$3:$B$13,0))*1.15^(COUNTIF(C$4:C96,C97)-COUNTIF(C$4:C96,""Sell_""&amp;C97))))))"),13958.0)</f>
        <v>13958</v>
      </c>
      <c r="H97" s="10">
        <f t="shared" si="3"/>
        <v>13958</v>
      </c>
      <c r="I97" s="68">
        <f t="shared" si="4"/>
        <v>3207.146078</v>
      </c>
      <c r="J97" s="59" t="str">
        <f t="shared" si="5"/>
        <v>53m 27s</v>
      </c>
      <c r="K97" s="69">
        <f t="shared" si="6"/>
        <v>52975873</v>
      </c>
      <c r="L97" s="60">
        <f t="shared" si="7"/>
        <v>-154.38721</v>
      </c>
      <c r="M97" s="61">
        <f>IFERROR(__xludf.DUMMYFUNCTION("IFS(AND(COUNTA(C97:C1350)=0,COUNTA(Q97:Q1350)=0),"""",OR(AND(K97&gt;=1000000000,OR(Y97&gt;=1000000000,COUNTA(Q97:Q1350)=0)),OR(Y97&gt;=1000000000,AND(COUNTA(C97:C1350)=0,P$3=TRUE))),
ROUNDDOWN((AB$1-AC$1)*MAX(INDEX(T$4:T1350,MATCH(LARGE(FILTER(Y$4:Y1350,Y$4:Y1350&lt;"&amp;"1000000000),1),Y$4:Y1350)),INDEX(F$4:F1350,MATCH(LARGE(FILTER(K$4:K1350,K$4:K1350&lt;1000000000),1),K$4:K1350)))),AND(K97&lt;1000000000,COUNTA(C97:C1350)&gt;0,P$3=FALSE),
ROUNDDOWN(INDEX(Y$4:Y1350,MATCH(LARGE(FILTER(W$4:W1350,W$4:W1350&lt;=I97),1),W$4:W1350))+(I97-LA"&amp;"RGE(FILTER(W$4:W1350,W$4:W1350&lt;=I97),1))*INDEX(T$4:T1350,MATCH(LARGE(FILTER(W$4:W1350,W$4:W1350&lt;=I97),1),W$4:W1350))-K97),1,
ROUNDDOWN(Y97-INDEX(K$4:K1350,MATCH(LARGE(FILTER(I$4:I1350,I$4:I1350&lt;=W97),1),I$4:I1350))-(W97-LARGE(FILTER(I$4:I1350,I$4:I1350&lt;=W"&amp;"97),1))*INDEX(F$4:F1350,MATCH(LARGE(FILTER(I$4:I1350,I$4:I1350&lt;=W97),1),I$4:I1350))))"),1.3482396E7)</f>
        <v>13482396</v>
      </c>
      <c r="N97" s="60">
        <f t="shared" si="8"/>
        <v>-154.38721</v>
      </c>
      <c r="O97" s="61" t="str">
        <f t="shared" si="9"/>
        <v>13,5M</v>
      </c>
      <c r="P97" s="56">
        <f t="shared" si="10"/>
        <v>6</v>
      </c>
      <c r="Q97" s="67" t="s">
        <v>7</v>
      </c>
      <c r="R97" s="10" t="b">
        <f>IFERROR(__xludf.DUMMYFUNCTION("IF(COUNTA(Q97:Q1350)=0,"""",IF(ISBLANK(Q97),FALSE,IF(NOT(COUNTIF($AA$24:$AA$34,SUBSTITUTE(Q97,""Sell_"",""""))),1,IF(REGEXMATCH(Q97,""Sell_""),IF(COUNTIF(Q$4:Q97,SUBSTITUTE(Q97,""Sell_"",""""))-COUNTIF(Q$4:Q96,Q97)&lt;1,1),FALSE))))"),FALSE)</f>
        <v>0</v>
      </c>
      <c r="S97" s="59">
        <f t="array" ref="S97">IF(COUNTA(Q97:Q1350)=0,"",SUM((COUNTIF(Q$4:Q97,Upgrades!$B$3:$B$13)-COUNTIF(Q$4:Q97,"Sell_"&amp;Upgrades!$B$3:$B$13))*Upgrades!$D$3:$D$13))</f>
        <v>7248.8</v>
      </c>
      <c r="T97" s="66">
        <f>IFERROR(__xludf.DUMMYFUNCTION("IF(COUNTA(Q97:Q1350)=0,"""",IF(REGEXMATCH(INDEX(FILTER(Q$4:Q97,Q$4:Q97&lt;&gt;""""),ROWS(FILTER(Q$4:Q97,Q$4:Q97&lt;&gt;""""))),""^Sell_""),INDEX(FILTER(T$4:T96,Q$4:Q96&lt;&gt;""""),ROWS(FILTER(Q$4:Q96,Q$4:Q96&lt;&gt;""""))),$AD$5+S97))"),7448.8)</f>
        <v>7448.8</v>
      </c>
      <c r="U97" s="10">
        <f>IFERROR(__xludf.DUMMYFUNCTION("IF(COUNTA(Q97:Q1350)=0,"""",IF(Q97="""",0,IF(REGEXMATCH(Q97,""^Sell_""),-ROUNDDOWN(ROUNDUP(INDEX(Upgrades!$C$3:$C$13,MATCH(SUBSTITUTE(Q97,""Sell_"",""""),Upgrades!$B$3:$B$13,0))*1.15^(COUNTIF(Q$4:Q96,SUBSTITUTE(Q97,""Sell_"",""""))-COUNTIF(Q$4:Q96,""Sell_"&amp;"""&amp;SUBSTITUTE(Q97,""Sell_"",""""))))/2),ROUNDUP(INDEX(Upgrades!$C$3:$C$13,MATCH(Q97,Upgrades!$B$3:$B$13,0))*1.15^(COUNTIF(Q$4:Q96,Q97)-COUNTIF(Q$4:Q96,""Sell_""&amp;Q97))))))"),20114.0)</f>
        <v>20114</v>
      </c>
      <c r="V97" s="10">
        <f t="shared" si="11"/>
        <v>20114</v>
      </c>
      <c r="W97" s="68">
        <f t="shared" si="12"/>
        <v>1692.507872</v>
      </c>
      <c r="X97" s="59" t="str">
        <f t="shared" si="13"/>
        <v>28m 12s</v>
      </c>
      <c r="Y97" s="69">
        <f t="shared" si="14"/>
        <v>2431239</v>
      </c>
      <c r="Z97" s="11"/>
    </row>
    <row r="98">
      <c r="A98" s="8"/>
      <c r="B98" s="56">
        <f t="shared" si="2"/>
        <v>13</v>
      </c>
      <c r="C98" s="57" t="s">
        <v>10</v>
      </c>
      <c r="D98" s="10" t="b">
        <f>IFERROR(__xludf.DUMMYFUNCTION("IF(COUNTA(C98:C1350)=0,"""",IF(ISBLANK(C98),FALSE,IF(NOT(COUNTIF($AA$24:$AA$34,SUBSTITUTE(C98,""Sell_"",""""))),1,IF(REGEXMATCH(C98,""Sell_""),IF(COUNTIF(C$4:C98,SUBSTITUTE(C98,""Sell_"",""""))-COUNTIF(C$4:C97,C98)&lt;1,1),FALSE))))"),FALSE)</f>
        <v>0</v>
      </c>
      <c r="E98" s="59">
        <f t="array" ref="E98">IF(COUNTA(C98:C1350)=0,"",SUM((COUNTIF(C$4:C98,Upgrades!$B$3:$B$13)-COUNTIF(C$4:C98,"Sell_"&amp;Upgrades!$B$3:$B$13))*Upgrades!$D$3:$D$13))</f>
        <v>91975.5</v>
      </c>
      <c r="F98" s="66">
        <f>IFERROR(__xludf.DUMMYFUNCTION("IF(COUNTA(C98:C1350)=0,"""",IF(REGEXMATCH(INDEX(FILTER(C$4:C98,C$4:C98&lt;&gt;""""),ROWS(FILTER(C$4:C98,C$4:C98&lt;&gt;""""))),""^Sell_""),INDEX(FILTER(F$4:F97,C$4:C97&lt;&gt;""""),ROWS(FILTER(C$4:C97,C$4:C97&lt;&gt;""""))),$AC$5+E98))"),92175.5)</f>
        <v>92175.5</v>
      </c>
      <c r="G98" s="10">
        <f>IFERROR(__xludf.DUMMYFUNCTION("IF(COUNTA(C98:C1350)=0,"""",IF(C98="""",0,IF(REGEXMATCH(C98,""^Sell_""),-ROUNDDOWN(ROUNDUP(INDEX(Upgrades!$C$3:$C$13,MATCH(SUBSTITUTE(C98,""Sell_"",""""),Upgrades!$B$3:$B$13,0))*1.15^(COUNTIF(C$4:C97,SUBSTITUTE(C98,""Sell_"",""""))-COUNTIF(C$4:C97,""Sell_"&amp;"""&amp;SUBSTITUTE(C98,""Sell_"",""""))))/2),ROUNDUP(INDEX(Upgrades!$C$3:$C$13,MATCH(C98,Upgrades!$B$3:$B$13,0))*1.15^(COUNTIF(C$4:C97,C98)-COUNTIF(C$4:C97,""Sell_""&amp;C98))))))"),8917080.0)</f>
        <v>8917080</v>
      </c>
      <c r="H98" s="10">
        <f t="shared" si="3"/>
        <v>8917080</v>
      </c>
      <c r="I98" s="68">
        <f t="shared" si="4"/>
        <v>3311.427825</v>
      </c>
      <c r="J98" s="59" t="str">
        <f t="shared" si="5"/>
        <v>55m 11s</v>
      </c>
      <c r="K98" s="69">
        <f t="shared" si="6"/>
        <v>61892953</v>
      </c>
      <c r="L98" s="60">
        <f t="shared" si="7"/>
        <v>-153.89968</v>
      </c>
      <c r="M98" s="61">
        <f>IFERROR(__xludf.DUMMYFUNCTION("IFS(AND(COUNTA(C98:C1350)=0,COUNTA(Q98:Q1350)=0),"""",OR(AND(K98&gt;=1000000000,OR(Y98&gt;=1000000000,COUNTA(Q98:Q1350)=0)),OR(Y98&gt;=1000000000,AND(COUNTA(C98:C1350)=0,P$3=TRUE))),
ROUNDDOWN((AB$1-AC$1)*MAX(INDEX(T$4:T1350,MATCH(LARGE(FILTER(Y$4:Y1350,Y$4:Y1350&lt;"&amp;"1000000000),1),Y$4:Y1350)),INDEX(F$4:F1350,MATCH(LARGE(FILTER(K$4:K1350,K$4:K1350&lt;1000000000),1),K$4:K1350)))),AND(K98&lt;1000000000,COUNTA(C98:C1350)&gt;0,P$3=FALSE),
ROUNDDOWN(INDEX(Y$4:Y1350,MATCH(LARGE(FILTER(W$4:W1350,W$4:W1350&lt;=I98),1),W$4:W1350))+(I98-LA"&amp;"RGE(FILTER(W$4:W1350,W$4:W1350&lt;=I98),1))*INDEX(T$4:T1350,MATCH(LARGE(FILTER(W$4:W1350,W$4:W1350&lt;=I98),1),W$4:W1350))-K98),1,
ROUNDDOWN(Y98-INDEX(K$4:K1350,MATCH(LARGE(FILTER(I$4:I1350,I$4:I1350&lt;=W98),1),I$4:I1350))-(W98-LARGE(FILTER(I$4:I1350,I$4:I1350&lt;=W"&amp;"98),1))*INDEX(F$4:F1350,MATCH(LARGE(FILTER(I$4:I1350,I$4:I1350&lt;=W98),1),I$4:I1350))))"),1.441957E7)</f>
        <v>14419570</v>
      </c>
      <c r="N98" s="60">
        <f t="shared" si="8"/>
        <v>-153.89968</v>
      </c>
      <c r="O98" s="61" t="str">
        <f t="shared" si="9"/>
        <v>14,4M</v>
      </c>
      <c r="P98" s="56">
        <f t="shared" si="10"/>
        <v>1</v>
      </c>
      <c r="Q98" s="67" t="s">
        <v>9</v>
      </c>
      <c r="R98" s="10" t="b">
        <f>IFERROR(__xludf.DUMMYFUNCTION("IF(COUNTA(Q98:Q1350)=0,"""",IF(ISBLANK(Q98),FALSE,IF(NOT(COUNTIF($AA$24:$AA$34,SUBSTITUTE(Q98,""Sell_"",""""))),1,IF(REGEXMATCH(Q98,""Sell_""),IF(COUNTIF(Q$4:Q98,SUBSTITUTE(Q98,""Sell_"",""""))-COUNTIF(Q$4:Q97,Q98)&lt;1,1),FALSE))))"),FALSE)</f>
        <v>0</v>
      </c>
      <c r="S98" s="59">
        <f t="array" ref="S98">IF(COUNTA(Q98:Q1350)=0,"",SUM((COUNTIF(Q$4:Q98,Upgrades!$B$3:$B$13)-COUNTIF(Q$4:Q98,"Sell_"&amp;Upgrades!$B$3:$B$13))*Upgrades!$D$3:$D$13))</f>
        <v>7648.8</v>
      </c>
      <c r="T98" s="66">
        <f>IFERROR(__xludf.DUMMYFUNCTION("IF(COUNTA(Q98:Q1350)=0,"""",IF(REGEXMATCH(INDEX(FILTER(Q$4:Q98,Q$4:Q98&lt;&gt;""""),ROWS(FILTER(Q$4:Q98,Q$4:Q98&lt;&gt;""""))),""^Sell_""),INDEX(FILTER(T$4:T97,Q$4:Q97&lt;&gt;""""),ROWS(FILTER(Q$4:Q97,Q$4:Q97&lt;&gt;""""))),$AD$5+S98))"),7848.8)</f>
        <v>7848.8</v>
      </c>
      <c r="U98" s="10">
        <f>IFERROR(__xludf.DUMMYFUNCTION("IF(COUNTA(Q98:Q1350)=0,"""",IF(Q98="""",0,IF(REGEXMATCH(Q98,""^Sell_""),-ROUNDDOWN(ROUNDUP(INDEX(Upgrades!$C$3:$C$13,MATCH(SUBSTITUTE(Q98,""Sell_"",""""),Upgrades!$B$3:$B$13,0))*1.15^(COUNTIF(Q$4:Q97,SUBSTITUTE(Q98,""Sell_"",""""))-COUNTIF(Q$4:Q97,""Sell_"&amp;"""&amp;SUBSTITUTE(Q98,""Sell_"",""""))))/2),ROUNDUP(INDEX(Upgrades!$C$3:$C$13,MATCH(Q98,Upgrades!$B$3:$B$13,0))*1.15^(COUNTIF(Q$4:Q97,Q98)-COUNTIF(Q$4:Q97,""Sell_""&amp;Q98))))))"),200000.0)</f>
        <v>200000</v>
      </c>
      <c r="V98" s="10">
        <f t="shared" si="11"/>
        <v>200000</v>
      </c>
      <c r="W98" s="68">
        <f t="shared" si="12"/>
        <v>1719.357835</v>
      </c>
      <c r="X98" s="59" t="str">
        <f t="shared" si="13"/>
        <v>28m 39s</v>
      </c>
      <c r="Y98" s="69">
        <f t="shared" si="14"/>
        <v>2631239</v>
      </c>
      <c r="Z98" s="11"/>
    </row>
    <row r="99">
      <c r="A99" s="8"/>
      <c r="B99" s="56">
        <f t="shared" si="2"/>
        <v>10</v>
      </c>
      <c r="C99" s="57" t="s">
        <v>9</v>
      </c>
      <c r="D99" s="10" t="b">
        <f>IFERROR(__xludf.DUMMYFUNCTION("IF(COUNTA(C99:C1350)=0,"""",IF(ISBLANK(C99),FALSE,IF(NOT(COUNTIF($AA$24:$AA$34,SUBSTITUTE(C99,""Sell_"",""""))),1,IF(REGEXMATCH(C99,""Sell_""),IF(COUNTIF(C$4:C99,SUBSTITUTE(C99,""Sell_"",""""))-COUNTIF(C$4:C98,C99)&lt;1,1),FALSE))))"),FALSE)</f>
        <v>0</v>
      </c>
      <c r="E99" s="59">
        <f t="array" ref="E99">IF(COUNTA(C99:C1350)=0,"",SUM((COUNTIF(C$4:C99,Upgrades!$B$3:$B$13)-COUNTIF(C$4:C99,"Sell_"&amp;Upgrades!$B$3:$B$13))*Upgrades!$D$3:$D$13))</f>
        <v>92375.5</v>
      </c>
      <c r="F99" s="66">
        <f>IFERROR(__xludf.DUMMYFUNCTION("IF(COUNTA(C99:C1350)=0,"""",IF(REGEXMATCH(INDEX(FILTER(C$4:C99,C$4:C99&lt;&gt;""""),ROWS(FILTER(C$4:C99,C$4:C99&lt;&gt;""""))),""^Sell_""),INDEX(FILTER(F$4:F98,C$4:C98&lt;&gt;""""),ROWS(FILTER(C$4:C98,C$4:C98&lt;&gt;""""))),$AC$5+E99))"),92575.5)</f>
        <v>92575.5</v>
      </c>
      <c r="G99" s="10">
        <f>IFERROR(__xludf.DUMMYFUNCTION("IF(COUNTA(C99:C1350)=0,"""",IF(C99="""",0,IF(REGEXMATCH(C99,""^Sell_""),-ROUNDDOWN(ROUNDUP(INDEX(Upgrades!$C$3:$C$13,MATCH(SUBSTITUTE(C99,""Sell_"",""""),Upgrades!$B$3:$B$13,0))*1.15^(COUNTIF(C$4:C98,SUBSTITUTE(C99,""Sell_"",""""))-COUNTIF(C$4:C98,""Sell_"&amp;"""&amp;SUBSTITUTE(C99,""Sell_"",""""))))/2),ROUNDUP(INDEX(Upgrades!$C$3:$C$13,MATCH(C99,Upgrades!$B$3:$B$13,0))*1.15^(COUNTIF(C$4:C98,C99)-COUNTIF(C$4:C98,""Sell_""&amp;C99))))))"),703576.0)</f>
        <v>703576</v>
      </c>
      <c r="H99" s="10">
        <f t="shared" si="3"/>
        <v>703576</v>
      </c>
      <c r="I99" s="68">
        <f t="shared" si="4"/>
        <v>3319.060829</v>
      </c>
      <c r="J99" s="59" t="str">
        <f t="shared" si="5"/>
        <v>55m 19s</v>
      </c>
      <c r="K99" s="69">
        <f t="shared" si="6"/>
        <v>62596529</v>
      </c>
      <c r="L99" s="60">
        <f t="shared" si="7"/>
        <v>-153.74508</v>
      </c>
      <c r="M99" s="61">
        <f>IFERROR(__xludf.DUMMYFUNCTION("IFS(AND(COUNTA(C99:C1350)=0,COUNTA(Q99:Q1350)=0),"""",OR(AND(K99&gt;=1000000000,OR(Y99&gt;=1000000000,COUNTA(Q99:Q1350)=0)),OR(Y99&gt;=1000000000,AND(COUNTA(C99:C1350)=0,P$3=TRUE))),
ROUNDDOWN((AB$1-AC$1)*MAX(INDEX(T$4:T1350,MATCH(LARGE(FILTER(Y$4:Y1350,Y$4:Y1350&lt;"&amp;"1000000000),1),Y$4:Y1350)),INDEX(F$4:F1350,MATCH(LARGE(FILTER(K$4:K1350,K$4:K1350&lt;1000000000),1),K$4:K1350)))),AND(K99&lt;1000000000,COUNTA(C99:C1350)&gt;0,P$3=FALSE),
ROUNDDOWN(INDEX(Y$4:Y1350,MATCH(LARGE(FILTER(W$4:W1350,W$4:W1350&lt;=I99),1),W$4:W1350))+(I99-LA"&amp;"RGE(FILTER(W$4:W1350,W$4:W1350&lt;=I99),1))*INDEX(T$4:T1350,MATCH(LARGE(FILTER(W$4:W1350,W$4:W1350&lt;=I99),1),W$4:W1350))-K99),1,
ROUNDDOWN(Y99-INDEX(K$4:K1350,MATCH(LARGE(FILTER(I$4:I1350,I$4:I1350&lt;=W99),1),I$4:I1350))-(W99-LARGE(FILTER(I$4:I1350,I$4:I1350&lt;=W"&amp;"99),1))*INDEX(F$4:F1350,MATCH(LARGE(FILTER(I$4:I1350,I$4:I1350&lt;=W99),1),I$4:I1350))))"),1.4475893E7)</f>
        <v>14475893</v>
      </c>
      <c r="N99" s="60">
        <f t="shared" si="8"/>
        <v>-153.74508</v>
      </c>
      <c r="O99" s="61" t="str">
        <f t="shared" si="9"/>
        <v>14,5M</v>
      </c>
      <c r="P99" s="56">
        <f t="shared" si="10"/>
        <v>4</v>
      </c>
      <c r="Q99" s="67" t="s">
        <v>60</v>
      </c>
      <c r="R99" s="10" t="b">
        <f>IFERROR(__xludf.DUMMYFUNCTION("IF(COUNTA(Q99:Q1350)=0,"""",IF(ISBLANK(Q99),FALSE,IF(NOT(COUNTIF($AA$24:$AA$34,SUBSTITUTE(Q99,""Sell_"",""""))),1,IF(REGEXMATCH(Q99,""Sell_""),IF(COUNTIF(Q$4:Q99,SUBSTITUTE(Q99,""Sell_"",""""))-COUNTIF(Q$4:Q98,Q99)&lt;1,1),FALSE))))"),FALSE)</f>
        <v>0</v>
      </c>
      <c r="S99" s="59">
        <f t="array" ref="S99">IF(COUNTA(Q99:Q1350)=0,"",SUM((COUNTIF(Q$4:Q99,Upgrades!$B$3:$B$13)-COUNTIF(Q$4:Q99,"Sell_"&amp;Upgrades!$B$3:$B$13))*Upgrades!$D$3:$D$13))</f>
        <v>7248.8</v>
      </c>
      <c r="T99" s="66">
        <f>IFERROR(__xludf.DUMMYFUNCTION("IF(COUNTA(Q99:Q1350)=0,"""",IF(REGEXMATCH(INDEX(FILTER(Q$4:Q99,Q$4:Q99&lt;&gt;""""),ROWS(FILTER(Q$4:Q99,Q$4:Q99&lt;&gt;""""))),""^Sell_""),INDEX(FILTER(T$4:T98,Q$4:Q98&lt;&gt;""""),ROWS(FILTER(Q$4:Q98,Q$4:Q98&lt;&gt;""""))),$AD$5+S99))"),7848.8)</f>
        <v>7848.8</v>
      </c>
      <c r="U99" s="10">
        <f>IFERROR(__xludf.DUMMYFUNCTION("IF(COUNTA(Q99:Q1350)=0,"""",IF(Q99="""",0,IF(REGEXMATCH(Q99,""^Sell_""),-ROUNDDOWN(ROUNDUP(INDEX(Upgrades!$C$3:$C$13,MATCH(SUBSTITUTE(Q99,""Sell_"",""""),Upgrades!$B$3:$B$13,0))*1.15^(COUNTIF(Q$4:Q98,SUBSTITUTE(Q99,""Sell_"",""""))-COUNTIF(Q$4:Q98,""Sell_"&amp;"""&amp;SUBSTITUTE(Q99,""Sell_"",""""))))/2),ROUNDUP(INDEX(Upgrades!$C$3:$C$13,MATCH(Q99,Upgrades!$B$3:$B$13,0))*1.15^(COUNTIF(Q$4:Q98,Q99)-COUNTIF(Q$4:Q98,""Sell_""&amp;Q99))))))"),-115000.0)</f>
        <v>-115000</v>
      </c>
      <c r="V99" s="10">
        <f t="shared" si="11"/>
        <v>-115000</v>
      </c>
      <c r="W99" s="68">
        <f t="shared" si="12"/>
        <v>1719.357835</v>
      </c>
      <c r="X99" s="59" t="str">
        <f t="shared" si="13"/>
        <v>28m 39s</v>
      </c>
      <c r="Y99" s="69">
        <f t="shared" si="14"/>
        <v>2631239</v>
      </c>
      <c r="Z99" s="11"/>
    </row>
    <row r="100">
      <c r="A100" s="8"/>
      <c r="B100" s="56">
        <f t="shared" si="2"/>
        <v>11</v>
      </c>
      <c r="C100" s="57" t="s">
        <v>8</v>
      </c>
      <c r="D100" s="10" t="b">
        <f>IFERROR(__xludf.DUMMYFUNCTION("IF(COUNTA(C100:C1350)=0,"""",IF(ISBLANK(C100),FALSE,IF(NOT(COUNTIF($AA$24:$AA$34,SUBSTITUTE(C100,""Sell_"",""""))),1,IF(REGEXMATCH(C100,""Sell_""),IF(COUNTIF(C$4:C100,SUBSTITUTE(C100,""Sell_"",""""))-COUNTIF(C$4:C99,C100)&lt;1,1),FALSE))))"),FALSE)</f>
        <v>0</v>
      </c>
      <c r="E100" s="59">
        <f t="array" ref="E100">IF(COUNTA(C100:C1350)=0,"",SUM((COUNTIF(C$4:C100,Upgrades!$B$3:$B$13)-COUNTIF(C$4:C100,"Sell_"&amp;Upgrades!$B$3:$B$13))*Upgrades!$D$3:$D$13))</f>
        <v>92475.5</v>
      </c>
      <c r="F100" s="66">
        <f>IFERROR(__xludf.DUMMYFUNCTION("IF(COUNTA(C100:C1350)=0,"""",IF(REGEXMATCH(INDEX(FILTER(C$4:C100,C$4:C100&lt;&gt;""""),ROWS(FILTER(C$4:C100,C$4:C100&lt;&gt;""""))),""^Sell_""),INDEX(FILTER(F$4:F99,C$4:C99&lt;&gt;""""),ROWS(FILTER(C$4:C99,C$4:C99&lt;&gt;""""))),$AC$5+E100))"),92675.5)</f>
        <v>92675.5</v>
      </c>
      <c r="G100" s="10">
        <f>IFERROR(__xludf.DUMMYFUNCTION("IF(COUNTA(C100:C1350)=0,"""",IF(C100="""",0,IF(REGEXMATCH(C100,""^Sell_""),-ROUNDDOWN(ROUNDUP(INDEX(Upgrades!$C$3:$C$13,MATCH(SUBSTITUTE(C100,""Sell_"",""""),Upgrades!$B$3:$B$13,0))*1.15^(COUNTIF(C$4:C99,SUBSTITUTE(C100,""Sell_"",""""))-COUNTIF(C$4:C99,"""&amp;"Sell_""&amp;SUBSTITUTE(C100,""Sell_"",""""))))/2),ROUNDUP(INDEX(Upgrades!$C$3:$C$13,MATCH(C100,Upgrades!$B$3:$B$13,0))*1.15^(COUNTIF(C$4:C99,C100)-COUNTIF(C$4:C99,""Sell_""&amp;C100))))))"),161823.0)</f>
        <v>161823</v>
      </c>
      <c r="H100" s="10">
        <f t="shared" si="3"/>
        <v>161823</v>
      </c>
      <c r="I100" s="68">
        <f t="shared" si="4"/>
        <v>3320.80884</v>
      </c>
      <c r="J100" s="59" t="str">
        <f t="shared" si="5"/>
        <v>55m 20s</v>
      </c>
      <c r="K100" s="69">
        <f t="shared" si="6"/>
        <v>62758352</v>
      </c>
      <c r="L100" s="60">
        <f t="shared" si="7"/>
        <v>-153.73545</v>
      </c>
      <c r="M100" s="61">
        <f>IFERROR(__xludf.DUMMYFUNCTION("IFS(AND(COUNTA(C100:C1350)=0,COUNTA(Q100:Q1350)=0),"""",OR(AND(K100&gt;=1000000000,OR(Y100&gt;=1000000000,COUNTA(Q100:Q1350)=0)),OR(Y100&gt;=1000000000,AND(COUNTA(C100:C1350)=0,P$3=TRUE))),
ROUNDDOWN((AB$1-AC$1)*MAX(INDEX(T$4:T1350,MATCH(LARGE(FILTER(Y$4:Y1350,Y$4"&amp;":Y1350&lt;1000000000),1),Y$4:Y1350)),INDEX(F$4:F1350,MATCH(LARGE(FILTER(K$4:K1350,K$4:K1350&lt;1000000000),1),K$4:K1350)))),AND(K100&lt;1000000000,COUNTA(C100:C1350)&gt;0,P$3=FALSE),
ROUNDDOWN(INDEX(Y$4:Y1350,MATCH(LARGE(FILTER(W$4:W1350,W$4:W1350&lt;=I100),1),W$4:W1350"&amp;"))+(I100-LARGE(FILTER(W$4:W1350,W$4:W1350&lt;=I100),1))*INDEX(T$4:T1350,MATCH(LARGE(FILTER(W$4:W1350,W$4:W1350&lt;=I100),1),W$4:W1350))-K100),1,
ROUNDDOWN(Y100-INDEX(K$4:K1350,MATCH(LARGE(FILTER(I$4:I1350,I$4:I1350&lt;=W100),1),I$4:I1350))-(W100-LARGE(FILTER(I$4:I"&amp;"1350,I$4:I1350&lt;=W100),1))*INDEX(F$4:F1350,MATCH(LARGE(FILTER(I$4:I1350,I$4:I1350&lt;=W100),1),I$4:I1350))))"),1.4488093E7)</f>
        <v>14488093</v>
      </c>
      <c r="N100" s="60">
        <f t="shared" si="8"/>
        <v>-153.73545</v>
      </c>
      <c r="O100" s="61" t="str">
        <f t="shared" si="9"/>
        <v>14,5M</v>
      </c>
      <c r="P100" s="56">
        <f t="shared" si="10"/>
        <v>11</v>
      </c>
      <c r="Q100" s="67" t="s">
        <v>59</v>
      </c>
      <c r="R100" s="10" t="b">
        <f>IFERROR(__xludf.DUMMYFUNCTION("IF(COUNTA(Q100:Q1350)=0,"""",IF(ISBLANK(Q100),FALSE,IF(NOT(COUNTIF($AA$24:$AA$34,SUBSTITUTE(Q100,""Sell_"",""""))),1,IF(REGEXMATCH(Q100,""Sell_""),IF(COUNTIF(Q$4:Q100,SUBSTITUTE(Q100,""Sell_"",""""))-COUNTIF(Q$4:Q99,Q100)&lt;1,1),FALSE))))"),FALSE)</f>
        <v>0</v>
      </c>
      <c r="S100" s="59">
        <f t="array" ref="S100">IF(COUNTA(Q100:Q1350)=0,"",SUM((COUNTIF(Q$4:Q100,Upgrades!$B$3:$B$13)-COUNTIF(Q$4:Q100,"Sell_"&amp;Upgrades!$B$3:$B$13))*Upgrades!$D$3:$D$13))</f>
        <v>7208.8</v>
      </c>
      <c r="T100" s="66">
        <f>IFERROR(__xludf.DUMMYFUNCTION("IF(COUNTA(Q100:Q1350)=0,"""",IF(REGEXMATCH(INDEX(FILTER(Q$4:Q100,Q$4:Q100&lt;&gt;""""),ROWS(FILTER(Q$4:Q100,Q$4:Q100&lt;&gt;""""))),""^Sell_""),INDEX(FILTER(T$4:T99,Q$4:Q99&lt;&gt;""""),ROWS(FILTER(Q$4:Q99,Q$4:Q99&lt;&gt;""""))),$AD$5+S100))"),7848.8)</f>
        <v>7848.8</v>
      </c>
      <c r="U100" s="10">
        <f>IFERROR(__xludf.DUMMYFUNCTION("IF(COUNTA(Q100:Q1350)=0,"""",IF(Q100="""",0,IF(REGEXMATCH(Q100,""^Sell_""),-ROUNDDOWN(ROUNDUP(INDEX(Upgrades!$C$3:$C$13,MATCH(SUBSTITUTE(Q100,""Sell_"",""""),Upgrades!$B$3:$B$13,0))*1.15^(COUNTIF(Q$4:Q99,SUBSTITUTE(Q100,""Sell_"",""""))-COUNTIF(Q$4:Q99,"""&amp;"Sell_""&amp;SUBSTITUTE(Q100,""Sell_"",""""))))/2),ROUNDUP(INDEX(Upgrades!$C$3:$C$13,MATCH(Q100,Upgrades!$B$3:$B$13,0))*1.15^(COUNTIF(Q$4:Q99,Q100)-COUNTIF(Q$4:Q99,""Sell_""&amp;Q100))))))"),-11565.0)</f>
        <v>-11565</v>
      </c>
      <c r="V100" s="10">
        <f t="shared" si="11"/>
        <v>-126565</v>
      </c>
      <c r="W100" s="68">
        <f t="shared" si="12"/>
        <v>1719.357835</v>
      </c>
      <c r="X100" s="59" t="str">
        <f t="shared" si="13"/>
        <v>28m 39s</v>
      </c>
      <c r="Y100" s="69">
        <f t="shared" si="14"/>
        <v>2631239</v>
      </c>
      <c r="Z100" s="11"/>
    </row>
    <row r="101">
      <c r="A101" s="8"/>
      <c r="B101" s="56">
        <f t="shared" si="2"/>
        <v>14</v>
      </c>
      <c r="C101" s="57" t="s">
        <v>7</v>
      </c>
      <c r="D101" s="10" t="b">
        <f>IFERROR(__xludf.DUMMYFUNCTION("IF(COUNTA(C101:C1350)=0,"""",IF(ISBLANK(C101),FALSE,IF(NOT(COUNTIF($AA$24:$AA$34,SUBSTITUTE(C101,""Sell_"",""""))),1,IF(REGEXMATCH(C101,""Sell_""),IF(COUNTIF(C$4:C101,SUBSTITUTE(C101,""Sell_"",""""))-COUNTIF(C$4:C100,C101)&lt;1,1),FALSE))))"),FALSE)</f>
        <v>0</v>
      </c>
      <c r="E101" s="59">
        <f t="array" ref="E101">IF(COUNTA(C101:C1350)=0,"",SUM((COUNTIF(C$4:C101,Upgrades!$B$3:$B$13)-COUNTIF(C$4:C101,"Sell_"&amp;Upgrades!$B$3:$B$13))*Upgrades!$D$3:$D$13))</f>
        <v>92515.5</v>
      </c>
      <c r="F101" s="66">
        <f>IFERROR(__xludf.DUMMYFUNCTION("IF(COUNTA(C101:C1350)=0,"""",IF(REGEXMATCH(INDEX(FILTER(C$4:C101,C$4:C101&lt;&gt;""""),ROWS(FILTER(C$4:C101,C$4:C101&lt;&gt;""""))),""^Sell_""),INDEX(FILTER(F$4:F100,C$4:C100&lt;&gt;""""),ROWS(FILTER(C$4:C100,C$4:C100&lt;&gt;""""))),$AC$5+E101))"),92715.5)</f>
        <v>92715.5</v>
      </c>
      <c r="G101" s="10">
        <f>IFERROR(__xludf.DUMMYFUNCTION("IF(COUNTA(C101:C1350)=0,"""",IF(C101="""",0,IF(REGEXMATCH(C101,""^Sell_""),-ROUNDDOWN(ROUNDUP(INDEX(Upgrades!$C$3:$C$13,MATCH(SUBSTITUTE(C101,""Sell_"",""""),Upgrades!$B$3:$B$13,0))*1.15^(COUNTIF(C$4:C100,SUBSTITUTE(C101,""Sell_"",""""))-COUNTIF(C$4:C100,"&amp;"""Sell_""&amp;SUBSTITUTE(C101,""Sell_"",""""))))/2),ROUNDUP(INDEX(Upgrades!$C$3:$C$13,MATCH(C101,Upgrades!$B$3:$B$13,0))*1.15^(COUNTIF(C$4:C100,C101)-COUNTIF(C$4:C100,""Sell_""&amp;C101))))))"),61528.0)</f>
        <v>61528</v>
      </c>
      <c r="H101" s="10">
        <f t="shared" si="3"/>
        <v>61528</v>
      </c>
      <c r="I101" s="68">
        <f t="shared" si="4"/>
        <v>3321.472748</v>
      </c>
      <c r="J101" s="59" t="str">
        <f t="shared" si="5"/>
        <v>55m 21s</v>
      </c>
      <c r="K101" s="69">
        <f t="shared" si="6"/>
        <v>62819880</v>
      </c>
      <c r="L101" s="60">
        <f t="shared" si="7"/>
        <v>-153.73227</v>
      </c>
      <c r="M101" s="61">
        <f>IFERROR(__xludf.DUMMYFUNCTION("IFS(AND(COUNTA(C101:C1350)=0,COUNTA(Q101:Q1350)=0),"""",OR(AND(K101&gt;=1000000000,OR(Y101&gt;=1000000000,COUNTA(Q101:Q1350)=0)),OR(Y101&gt;=1000000000,AND(COUNTA(C101:C1350)=0,P$3=TRUE))),
ROUNDDOWN((AB$1-AC$1)*MAX(INDEX(T$4:T1350,MATCH(LARGE(FILTER(Y$4:Y1350,Y$4"&amp;":Y1350&lt;1000000000),1),Y$4:Y1350)),INDEX(F$4:F1350,MATCH(LARGE(FILTER(K$4:K1350,K$4:K1350&lt;1000000000),1),K$4:K1350)))),AND(K101&lt;1000000000,COUNTA(C101:C1350)&gt;0,P$3=FALSE),
ROUNDDOWN(INDEX(Y$4:Y1350,MATCH(LARGE(FILTER(W$4:W1350,W$4:W1350&lt;=I101),1),W$4:W1350"&amp;"))+(I101-LARGE(FILTER(W$4:W1350,W$4:W1350&lt;=I101),1))*INDEX(T$4:T1350,MATCH(LARGE(FILTER(W$4:W1350,W$4:W1350&lt;=I101),1),W$4:W1350))-K101),1,
ROUNDDOWN(Y101-INDEX(K$4:K1350,MATCH(LARGE(FILTER(I$4:I1350,I$4:I1350&lt;=W101),1),I$4:I1350))-(W101-LARGE(FILTER(I$4:I"&amp;"1350,I$4:I1350&lt;=W101),1))*INDEX(F$4:F1350,MATCH(LARGE(FILTER(I$4:I1350,I$4:I1350&lt;=W101),1),I$4:I1350))))"),1.449266E7)</f>
        <v>14492660</v>
      </c>
      <c r="N101" s="60">
        <f t="shared" si="8"/>
        <v>-153.73227</v>
      </c>
      <c r="O101" s="61" t="str">
        <f t="shared" si="9"/>
        <v>14,5M</v>
      </c>
      <c r="P101" s="56">
        <f t="shared" si="10"/>
        <v>7</v>
      </c>
      <c r="Q101" s="67" t="s">
        <v>61</v>
      </c>
      <c r="R101" s="10" t="b">
        <f>IFERROR(__xludf.DUMMYFUNCTION("IF(COUNTA(Q101:Q1350)=0,"""",IF(ISBLANK(Q101),FALSE,IF(NOT(COUNTIF($AA$24:$AA$34,SUBSTITUTE(Q101,""Sell_"",""""))),1,IF(REGEXMATCH(Q101,""Sell_""),IF(COUNTIF(Q$4:Q101,SUBSTITUTE(Q101,""Sell_"",""""))-COUNTIF(Q$4:Q100,Q101)&lt;1,1),FALSE))))"),FALSE)</f>
        <v>0</v>
      </c>
      <c r="S101" s="59">
        <f t="array" ref="S101">IF(COUNTA(Q101:Q1350)=0,"",SUM((COUNTIF(Q$4:Q101,Upgrades!$B$3:$B$13)-COUNTIF(Q$4:Q101,"Sell_"&amp;Upgrades!$B$3:$B$13))*Upgrades!$D$3:$D$13))</f>
        <v>7108.8</v>
      </c>
      <c r="T101" s="66">
        <f>IFERROR(__xludf.DUMMYFUNCTION("IF(COUNTA(Q101:Q1350)=0,"""",IF(REGEXMATCH(INDEX(FILTER(Q$4:Q101,Q$4:Q101&lt;&gt;""""),ROWS(FILTER(Q$4:Q101,Q$4:Q101&lt;&gt;""""))),""^Sell_""),INDEX(FILTER(T$4:T100,Q$4:Q100&lt;&gt;""""),ROWS(FILTER(Q$4:Q100,Q$4:Q100&lt;&gt;""""))),$AD$5+S101))"),7848.8)</f>
        <v>7848.8</v>
      </c>
      <c r="U101" s="10">
        <f>IFERROR(__xludf.DUMMYFUNCTION("IF(COUNTA(Q101:Q1350)=0,"""",IF(Q101="""",0,IF(REGEXMATCH(Q101,""^Sell_""),-ROUNDDOWN(ROUNDUP(INDEX(Upgrades!$C$3:$C$13,MATCH(SUBSTITUTE(Q101,""Sell_"",""""),Upgrades!$B$3:$B$13,0))*1.15^(COUNTIF(Q$4:Q100,SUBSTITUTE(Q101,""Sell_"",""""))-COUNTIF(Q$4:Q100,"&amp;"""Sell_""&amp;SUBSTITUTE(Q101,""Sell_"",""""))))/2),ROUNDUP(INDEX(Upgrades!$C$3:$C$13,MATCH(Q101,Upgrades!$B$3:$B$13,0))*1.15^(COUNTIF(Q$4:Q100,Q101)-COUNTIF(Q$4:Q100,""Sell_""&amp;Q101))))))"),-26450.0)</f>
        <v>-26450</v>
      </c>
      <c r="V101" s="10">
        <f t="shared" si="11"/>
        <v>-153015</v>
      </c>
      <c r="W101" s="68">
        <f t="shared" si="12"/>
        <v>1719.357835</v>
      </c>
      <c r="X101" s="59" t="str">
        <f t="shared" si="13"/>
        <v>28m 39s</v>
      </c>
      <c r="Y101" s="69">
        <f t="shared" si="14"/>
        <v>2631239</v>
      </c>
      <c r="Z101" s="11"/>
    </row>
    <row r="102">
      <c r="A102" s="8"/>
      <c r="B102" s="56">
        <f t="shared" si="2"/>
        <v>13</v>
      </c>
      <c r="C102" s="57" t="s">
        <v>6</v>
      </c>
      <c r="D102" s="10" t="b">
        <f>IFERROR(__xludf.DUMMYFUNCTION("IF(COUNTA(C102:C1350)=0,"""",IF(ISBLANK(C102),FALSE,IF(NOT(COUNTIF($AA$24:$AA$34,SUBSTITUTE(C102,""Sell_"",""""))),1,IF(REGEXMATCH(C102,""Sell_""),IF(COUNTIF(C$4:C102,SUBSTITUTE(C102,""Sell_"",""""))-COUNTIF(C$4:C101,C102)&lt;1,1),FALSE))))"),FALSE)</f>
        <v>0</v>
      </c>
      <c r="E102" s="59">
        <f t="array" ref="E102">IF(COUNTA(C102:C1350)=0,"",SUM((COUNTIF(C$4:C102,Upgrades!$B$3:$B$13)-COUNTIF(C$4:C102,"Sell_"&amp;Upgrades!$B$3:$B$13))*Upgrades!$D$3:$D$13))</f>
        <v>92525.5</v>
      </c>
      <c r="F102" s="66">
        <f>IFERROR(__xludf.DUMMYFUNCTION("IF(COUNTA(C102:C1350)=0,"""",IF(REGEXMATCH(INDEX(FILTER(C$4:C102,C$4:C102&lt;&gt;""""),ROWS(FILTER(C$4:C102,C$4:C102&lt;&gt;""""))),""^Sell_""),INDEX(FILTER(F$4:F101,C$4:C101&lt;&gt;""""),ROWS(FILTER(C$4:C101,C$4:C101&lt;&gt;""""))),$AC$5+E102))"),92725.5)</f>
        <v>92725.5</v>
      </c>
      <c r="G102" s="10">
        <f>IFERROR(__xludf.DUMMYFUNCTION("IF(COUNTA(C102:C1350)=0,"""",IF(C102="""",0,IF(REGEXMATCH(C102,""^Sell_""),-ROUNDDOWN(ROUNDUP(INDEX(Upgrades!$C$3:$C$13,MATCH(SUBSTITUTE(C102,""Sell_"",""""),Upgrades!$B$3:$B$13,0))*1.15^(COUNTIF(C$4:C101,SUBSTITUTE(C102,""Sell_"",""""))-COUNTIF(C$4:C101,"&amp;"""Sell_""&amp;SUBSTITUTE(C102,""Sell_"",""""))))/2),ROUNDUP(INDEX(Upgrades!$C$3:$C$13,MATCH(C102,Upgrades!$B$3:$B$13,0))*1.15^(COUNTIF(C$4:C101,C102)-COUNTIF(C$4:C101,""Sell_""&amp;C102))))))"),16051.0)</f>
        <v>16051</v>
      </c>
      <c r="H102" s="10">
        <f t="shared" si="3"/>
        <v>16051</v>
      </c>
      <c r="I102" s="68">
        <f t="shared" si="4"/>
        <v>3321.645869</v>
      </c>
      <c r="J102" s="59" t="str">
        <f t="shared" si="5"/>
        <v>55m 21s</v>
      </c>
      <c r="K102" s="69">
        <f t="shared" si="6"/>
        <v>62835931</v>
      </c>
      <c r="L102" s="60">
        <f t="shared" si="7"/>
        <v>-153.73136</v>
      </c>
      <c r="M102" s="61">
        <f>IFERROR(__xludf.DUMMYFUNCTION("IFS(AND(COUNTA(C102:C1350)=0,COUNTA(Q102:Q1350)=0),"""",OR(AND(K102&gt;=1000000000,OR(Y102&gt;=1000000000,COUNTA(Q102:Q1350)=0)),OR(Y102&gt;=1000000000,AND(COUNTA(C102:C1350)=0,P$3=TRUE))),
ROUNDDOWN((AB$1-AC$1)*MAX(INDEX(T$4:T1350,MATCH(LARGE(FILTER(Y$4:Y1350,Y$4"&amp;":Y1350&lt;1000000000),1),Y$4:Y1350)),INDEX(F$4:F1350,MATCH(LARGE(FILTER(K$4:K1350,K$4:K1350&lt;1000000000),1),K$4:K1350)))),AND(K102&lt;1000000000,COUNTA(C102:C1350)&gt;0,P$3=FALSE),
ROUNDDOWN(INDEX(Y$4:Y1350,MATCH(LARGE(FILTER(W$4:W1350,W$4:W1350&lt;=I102),1),W$4:W1350"&amp;"))+(I102-LARGE(FILTER(W$4:W1350,W$4:W1350&lt;=I102),1))*INDEX(T$4:T1350,MATCH(LARGE(FILTER(W$4:W1350,W$4:W1350&lt;=I102),1),W$4:W1350))-K102),1,
ROUNDDOWN(Y102-INDEX(K$4:K1350,MATCH(LARGE(FILTER(I$4:I1350,I$4:I1350&lt;=W102),1),I$4:I1350))-(W102-LARGE(FILTER(I$4:I"&amp;"1350,I$4:I1350&lt;=W102),1))*INDEX(F$4:F1350,MATCH(LARGE(FILTER(I$4:I1350,I$4:I1350&lt;=W102),1),I$4:I1350))))"),1.4493844E7)</f>
        <v>14493844</v>
      </c>
      <c r="N102" s="60">
        <f t="shared" si="8"/>
        <v>-153.73136</v>
      </c>
      <c r="O102" s="61" t="str">
        <f t="shared" si="9"/>
        <v>14,5M</v>
      </c>
      <c r="P102" s="56">
        <f t="shared" si="10"/>
        <v>12</v>
      </c>
      <c r="Q102" s="67" t="s">
        <v>59</v>
      </c>
      <c r="R102" s="10" t="b">
        <f>IFERROR(__xludf.DUMMYFUNCTION("IF(COUNTA(Q102:Q1350)=0,"""",IF(ISBLANK(Q102),FALSE,IF(NOT(COUNTIF($AA$24:$AA$34,SUBSTITUTE(Q102,""Sell_"",""""))),1,IF(REGEXMATCH(Q102,""Sell_""),IF(COUNTIF(Q$4:Q102,SUBSTITUTE(Q102,""Sell_"",""""))-COUNTIF(Q$4:Q101,Q102)&lt;1,1),FALSE))))"),FALSE)</f>
        <v>0</v>
      </c>
      <c r="S102" s="59">
        <f t="array" ref="S102">IF(COUNTA(Q102:Q1350)=0,"",SUM((COUNTIF(Q$4:Q102,Upgrades!$B$3:$B$13)-COUNTIF(Q$4:Q102,"Sell_"&amp;Upgrades!$B$3:$B$13))*Upgrades!$D$3:$D$13))</f>
        <v>7068.8</v>
      </c>
      <c r="T102" s="66">
        <f>IFERROR(__xludf.DUMMYFUNCTION("IF(COUNTA(Q102:Q1350)=0,"""",IF(REGEXMATCH(INDEX(FILTER(Q$4:Q102,Q$4:Q102&lt;&gt;""""),ROWS(FILTER(Q$4:Q102,Q$4:Q102&lt;&gt;""""))),""^Sell_""),INDEX(FILTER(T$4:T101,Q$4:Q101&lt;&gt;""""),ROWS(FILTER(Q$4:Q101,Q$4:Q101&lt;&gt;""""))),$AD$5+S102))"),7848.8)</f>
        <v>7848.8</v>
      </c>
      <c r="U102" s="10">
        <f>IFERROR(__xludf.DUMMYFUNCTION("IF(COUNTA(Q102:Q1350)=0,"""",IF(Q102="""",0,IF(REGEXMATCH(Q102,""^Sell_""),-ROUNDDOWN(ROUNDUP(INDEX(Upgrades!$C$3:$C$13,MATCH(SUBSTITUTE(Q102,""Sell_"",""""),Upgrades!$B$3:$B$13,0))*1.15^(COUNTIF(Q$4:Q101,SUBSTITUTE(Q102,""Sell_"",""""))-COUNTIF(Q$4:Q101,"&amp;"""Sell_""&amp;SUBSTITUTE(Q102,""Sell_"",""""))))/2),ROUNDUP(INDEX(Upgrades!$C$3:$C$13,MATCH(Q102,Upgrades!$B$3:$B$13,0))*1.15^(COUNTIF(Q$4:Q101,Q102)-COUNTIF(Q$4:Q101,""Sell_""&amp;Q102))))))"),-10057.0)</f>
        <v>-10057</v>
      </c>
      <c r="V102" s="10">
        <f t="shared" si="11"/>
        <v>-163072</v>
      </c>
      <c r="W102" s="68">
        <f t="shared" si="12"/>
        <v>1719.357835</v>
      </c>
      <c r="X102" s="59" t="str">
        <f t="shared" si="13"/>
        <v>28m 39s</v>
      </c>
      <c r="Y102" s="69">
        <f t="shared" si="14"/>
        <v>2631239</v>
      </c>
      <c r="Z102" s="11"/>
    </row>
    <row r="103">
      <c r="A103" s="8"/>
      <c r="B103" s="56">
        <f t="shared" si="2"/>
        <v>19</v>
      </c>
      <c r="C103" s="57" t="s">
        <v>5</v>
      </c>
      <c r="D103" s="10" t="b">
        <f>IFERROR(__xludf.DUMMYFUNCTION("IF(COUNTA(C103:C1350)=0,"""",IF(ISBLANK(C103),FALSE,IF(NOT(COUNTIF($AA$24:$AA$34,SUBSTITUTE(C103,""Sell_"",""""))),1,IF(REGEXMATCH(C103,""Sell_""),IF(COUNTIF(C$4:C103,SUBSTITUTE(C103,""Sell_"",""""))-COUNTIF(C$4:C102,C103)&lt;1,1),FALSE))))"),FALSE)</f>
        <v>0</v>
      </c>
      <c r="E103" s="59">
        <f t="array" ref="E103">IF(COUNTA(C103:C1350)=0,"",SUM((COUNTIF(C$4:C103,Upgrades!$B$3:$B$13)-COUNTIF(C$4:C103,"Sell_"&amp;Upgrades!$B$3:$B$13))*Upgrades!$D$3:$D$13))</f>
        <v>92529.5</v>
      </c>
      <c r="F103" s="66">
        <f>IFERROR(__xludf.DUMMYFUNCTION("IF(COUNTA(C103:C1350)=0,"""",IF(REGEXMATCH(INDEX(FILTER(C$4:C103,C$4:C103&lt;&gt;""""),ROWS(FILTER(C$4:C103,C$4:C103&lt;&gt;""""))),""^Sell_""),INDEX(FILTER(F$4:F102,C$4:C102&lt;&gt;""""),ROWS(FILTER(C$4:C102,C$4:C102&lt;&gt;""""))),$AC$5+E103))"),92729.5)</f>
        <v>92729.5</v>
      </c>
      <c r="G103" s="10">
        <f>IFERROR(__xludf.DUMMYFUNCTION("IF(COUNTA(C103:C1350)=0,"""",IF(C103="""",0,IF(REGEXMATCH(C103,""^Sell_""),-ROUNDDOWN(ROUNDUP(INDEX(Upgrades!$C$3:$C$13,MATCH(SUBSTITUTE(C103,""Sell_"",""""),Upgrades!$B$3:$B$13,0))*1.15^(COUNTIF(C$4:C102,SUBSTITUTE(C103,""Sell_"",""""))-COUNTIF(C$4:C102,"&amp;"""Sell_""&amp;SUBSTITUTE(C103,""Sell_"",""""))))/2),ROUNDUP(INDEX(Upgrades!$C$3:$C$13,MATCH(C103,Upgrades!$B$3:$B$13,0))*1.15^(COUNTIF(C$4:C102,C103)-COUNTIF(C$4:C102,""Sell_""&amp;C103))))))"),6188.0)</f>
        <v>6188</v>
      </c>
      <c r="H103" s="10">
        <f t="shared" si="3"/>
        <v>6188</v>
      </c>
      <c r="I103" s="68">
        <f t="shared" si="4"/>
        <v>3321.712604</v>
      </c>
      <c r="J103" s="59" t="str">
        <f t="shared" si="5"/>
        <v>55m 21s</v>
      </c>
      <c r="K103" s="69">
        <f t="shared" si="6"/>
        <v>62842119</v>
      </c>
      <c r="L103" s="60">
        <f t="shared" si="7"/>
        <v>-153.73101</v>
      </c>
      <c r="M103" s="61">
        <f>IFERROR(__xludf.DUMMYFUNCTION("IFS(AND(COUNTA(C103:C1350)=0,COUNTA(Q103:Q1350)=0),"""",OR(AND(K103&gt;=1000000000,OR(Y103&gt;=1000000000,COUNTA(Q103:Q1350)=0)),OR(Y103&gt;=1000000000,AND(COUNTA(C103:C1350)=0,P$3=TRUE))),
ROUNDDOWN((AB$1-AC$1)*MAX(INDEX(T$4:T1350,MATCH(LARGE(FILTER(Y$4:Y1350,Y$4"&amp;":Y1350&lt;1000000000),1),Y$4:Y1350)),INDEX(F$4:F1350,MATCH(LARGE(FILTER(K$4:K1350,K$4:K1350&lt;1000000000),1),K$4:K1350)))),AND(K103&lt;1000000000,COUNTA(C103:C1350)&gt;0,P$3=FALSE),
ROUNDDOWN(INDEX(Y$4:Y1350,MATCH(LARGE(FILTER(W$4:W1350,W$4:W1350&lt;=I103),1),W$4:W1350"&amp;"))+(I103-LARGE(FILTER(W$4:W1350,W$4:W1350&lt;=I103),1))*INDEX(T$4:T1350,MATCH(LARGE(FILTER(W$4:W1350,W$4:W1350&lt;=I103),1),W$4:W1350))-K103),1,
ROUNDDOWN(Y103-INDEX(K$4:K1350,MATCH(LARGE(FILTER(I$4:I1350,I$4:I1350&lt;=W103),1),I$4:I1350))-(W103-LARGE(FILTER(I$4:I"&amp;"1350,I$4:I1350&lt;=W103),1))*INDEX(F$4:F1350,MATCH(LARGE(FILTER(I$4:I1350,I$4:I1350&lt;=W103),1),I$4:I1350))))"),1.4494299E7)</f>
        <v>14494299</v>
      </c>
      <c r="N103" s="60">
        <f t="shared" si="8"/>
        <v>-153.73101</v>
      </c>
      <c r="O103" s="61" t="str">
        <f t="shared" si="9"/>
        <v>14,5M</v>
      </c>
      <c r="P103" s="56">
        <f t="shared" si="10"/>
        <v>13</v>
      </c>
      <c r="Q103" s="67" t="s">
        <v>59</v>
      </c>
      <c r="R103" s="10" t="b">
        <f>IFERROR(__xludf.DUMMYFUNCTION("IF(COUNTA(Q103:Q1350)=0,"""",IF(ISBLANK(Q103),FALSE,IF(NOT(COUNTIF($AA$24:$AA$34,SUBSTITUTE(Q103,""Sell_"",""""))),1,IF(REGEXMATCH(Q103,""Sell_""),IF(COUNTIF(Q$4:Q103,SUBSTITUTE(Q103,""Sell_"",""""))-COUNTIF(Q$4:Q102,Q103)&lt;1,1),FALSE))))"),FALSE)</f>
        <v>0</v>
      </c>
      <c r="S103" s="59">
        <f t="array" ref="S103">IF(COUNTA(Q103:Q1350)=0,"",SUM((COUNTIF(Q$4:Q103,Upgrades!$B$3:$B$13)-COUNTIF(Q$4:Q103,"Sell_"&amp;Upgrades!$B$3:$B$13))*Upgrades!$D$3:$D$13))</f>
        <v>7028.8</v>
      </c>
      <c r="T103" s="66">
        <f>IFERROR(__xludf.DUMMYFUNCTION("IF(COUNTA(Q103:Q1350)=0,"""",IF(REGEXMATCH(INDEX(FILTER(Q$4:Q103,Q$4:Q103&lt;&gt;""""),ROWS(FILTER(Q$4:Q103,Q$4:Q103&lt;&gt;""""))),""^Sell_""),INDEX(FILTER(T$4:T102,Q$4:Q102&lt;&gt;""""),ROWS(FILTER(Q$4:Q102,Q$4:Q102&lt;&gt;""""))),$AD$5+S103))"),7848.8)</f>
        <v>7848.8</v>
      </c>
      <c r="U103" s="10">
        <f>IFERROR(__xludf.DUMMYFUNCTION("IF(COUNTA(Q103:Q1350)=0,"""",IF(Q103="""",0,IF(REGEXMATCH(Q103,""^Sell_""),-ROUNDDOWN(ROUNDUP(INDEX(Upgrades!$C$3:$C$13,MATCH(SUBSTITUTE(Q103,""Sell_"",""""),Upgrades!$B$3:$B$13,0))*1.15^(COUNTIF(Q$4:Q102,SUBSTITUTE(Q103,""Sell_"",""""))-COUNTIF(Q$4:Q102,"&amp;"""Sell_""&amp;SUBSTITUTE(Q103,""Sell_"",""""))))/2),ROUNDUP(INDEX(Upgrades!$C$3:$C$13,MATCH(Q103,Upgrades!$B$3:$B$13,0))*1.15^(COUNTIF(Q$4:Q102,Q103)-COUNTIF(Q$4:Q102,""Sell_""&amp;Q103))))))"),-8745.0)</f>
        <v>-8745</v>
      </c>
      <c r="V103" s="10">
        <f t="shared" si="11"/>
        <v>-171817</v>
      </c>
      <c r="W103" s="68">
        <f t="shared" si="12"/>
        <v>1719.357835</v>
      </c>
      <c r="X103" s="59" t="str">
        <f t="shared" si="13"/>
        <v>28m 39s</v>
      </c>
      <c r="Y103" s="69">
        <f t="shared" si="14"/>
        <v>2631239</v>
      </c>
      <c r="Z103" s="11"/>
    </row>
    <row r="104">
      <c r="A104" s="8"/>
      <c r="B104" s="56">
        <f t="shared" si="2"/>
        <v>14</v>
      </c>
      <c r="C104" s="57" t="s">
        <v>10</v>
      </c>
      <c r="D104" s="10" t="b">
        <f>IFERROR(__xludf.DUMMYFUNCTION("IF(COUNTA(C104:C1350)=0,"""",IF(ISBLANK(C104),FALSE,IF(NOT(COUNTIF($AA$24:$AA$34,SUBSTITUTE(C104,""Sell_"",""""))),1,IF(REGEXMATCH(C104,""Sell_""),IF(COUNTIF(C$4:C104,SUBSTITUTE(C104,""Sell_"",""""))-COUNTIF(C$4:C103,C104)&lt;1,1),FALSE))))"),FALSE)</f>
        <v>0</v>
      </c>
      <c r="E104" s="59">
        <f t="array" ref="E104">IF(COUNTA(C104:C1350)=0,"",SUM((COUNTIF(C$4:C104,Upgrades!$B$3:$B$13)-COUNTIF(C$4:C104,"Sell_"&amp;Upgrades!$B$3:$B$13))*Upgrades!$D$3:$D$13))</f>
        <v>99195.5</v>
      </c>
      <c r="F104" s="66">
        <f>IFERROR(__xludf.DUMMYFUNCTION("IF(COUNTA(C104:C1350)=0,"""",IF(REGEXMATCH(INDEX(FILTER(C$4:C104,C$4:C104&lt;&gt;""""),ROWS(FILTER(C$4:C104,C$4:C104&lt;&gt;""""))),""^Sell_""),INDEX(FILTER(F$4:F103,C$4:C103&lt;&gt;""""),ROWS(FILTER(C$4:C103,C$4:C103&lt;&gt;""""))),$AC$5+E104))"),99395.5)</f>
        <v>99395.5</v>
      </c>
      <c r="G104" s="10">
        <f>IFERROR(__xludf.DUMMYFUNCTION("IF(COUNTA(C104:C1350)=0,"""",IF(C104="""",0,IF(REGEXMATCH(C104,""^Sell_""),-ROUNDDOWN(ROUNDUP(INDEX(Upgrades!$C$3:$C$13,MATCH(SUBSTITUTE(C104,""Sell_"",""""),Upgrades!$B$3:$B$13,0))*1.15^(COUNTIF(C$4:C103,SUBSTITUTE(C104,""Sell_"",""""))-COUNTIF(C$4:C103,"&amp;"""Sell_""&amp;SUBSTITUTE(C104,""Sell_"",""""))))/2),ROUNDUP(INDEX(Upgrades!$C$3:$C$13,MATCH(C104,Upgrades!$B$3:$B$13,0))*1.15^(COUNTIF(C$4:C103,C104)-COUNTIF(C$4:C103,""Sell_""&amp;C104))))))"),1.0254642E7)</f>
        <v>10254642</v>
      </c>
      <c r="H104" s="10">
        <f t="shared" si="3"/>
        <v>10254642</v>
      </c>
      <c r="I104" s="68">
        <f t="shared" si="4"/>
        <v>3432.299224</v>
      </c>
      <c r="J104" s="59" t="str">
        <f t="shared" si="5"/>
        <v>57m 12s</v>
      </c>
      <c r="K104" s="69">
        <f t="shared" si="6"/>
        <v>73096761</v>
      </c>
      <c r="L104" s="60">
        <f t="shared" si="7"/>
        <v>-153.25649</v>
      </c>
      <c r="M104" s="61">
        <f>IFERROR(__xludf.DUMMYFUNCTION("IFS(AND(COUNTA(C104:C1350)=0,COUNTA(Q104:Q1350)=0),"""",OR(AND(K104&gt;=1000000000,OR(Y104&gt;=1000000000,COUNTA(Q104:Q1350)=0)),OR(Y104&gt;=1000000000,AND(COUNTA(C104:C1350)=0,P$3=TRUE))),
ROUNDDOWN((AB$1-AC$1)*MAX(INDEX(T$4:T1350,MATCH(LARGE(FILTER(Y$4:Y1350,Y$4"&amp;":Y1350&lt;1000000000),1),Y$4:Y1350)),INDEX(F$4:F1350,MATCH(LARGE(FILTER(K$4:K1350,K$4:K1350&lt;1000000000),1),K$4:K1350)))),AND(K104&lt;1000000000,COUNTA(C104:C1350)&gt;0,P$3=FALSE),
ROUNDDOWN(INDEX(Y$4:Y1350,MATCH(LARGE(FILTER(W$4:W1350,W$4:W1350&lt;=I104),1),W$4:W1350"&amp;"))+(I104-LARGE(FILTER(W$4:W1350,W$4:W1350&lt;=I104),1))*INDEX(T$4:T1350,MATCH(LARGE(FILTER(W$4:W1350,W$4:W1350&lt;=I104),1),W$4:W1350))-K104),1,
ROUNDDOWN(Y104-INDEX(K$4:K1350,MATCH(LARGE(FILTER(I$4:I1350,I$4:I1350&lt;=W104),1),I$4:I1350))-(W104-LARGE(FILTER(I$4:I"&amp;"1350,I$4:I1350&lt;=W104),1))*INDEX(F$4:F1350,MATCH(LARGE(FILTER(I$4:I1350,I$4:I1350&lt;=W104),1),I$4:I1350))))"),1.5419793E7)</f>
        <v>15419793</v>
      </c>
      <c r="N104" s="60">
        <f t="shared" si="8"/>
        <v>-153.25649</v>
      </c>
      <c r="O104" s="61" t="str">
        <f t="shared" si="9"/>
        <v>15,4M</v>
      </c>
      <c r="P104" s="56">
        <f t="shared" si="10"/>
        <v>14</v>
      </c>
      <c r="Q104" s="67" t="s">
        <v>59</v>
      </c>
      <c r="R104" s="10" t="b">
        <f>IFERROR(__xludf.DUMMYFUNCTION("IF(COUNTA(Q104:Q1350)=0,"""",IF(ISBLANK(Q104),FALSE,IF(NOT(COUNTIF($AA$24:$AA$34,SUBSTITUTE(Q104,""Sell_"",""""))),1,IF(REGEXMATCH(Q104,""Sell_""),IF(COUNTIF(Q$4:Q104,SUBSTITUTE(Q104,""Sell_"",""""))-COUNTIF(Q$4:Q103,Q104)&lt;1,1),FALSE))))"),FALSE)</f>
        <v>0</v>
      </c>
      <c r="S104" s="59">
        <f t="array" ref="S104">IF(COUNTA(Q104:Q1350)=0,"",SUM((COUNTIF(Q$4:Q104,Upgrades!$B$3:$B$13)-COUNTIF(Q$4:Q104,"Sell_"&amp;Upgrades!$B$3:$B$13))*Upgrades!$D$3:$D$13))</f>
        <v>6988.8</v>
      </c>
      <c r="T104" s="66">
        <f>IFERROR(__xludf.DUMMYFUNCTION("IF(COUNTA(Q104:Q1350)=0,"""",IF(REGEXMATCH(INDEX(FILTER(Q$4:Q104,Q$4:Q104&lt;&gt;""""),ROWS(FILTER(Q$4:Q104,Q$4:Q104&lt;&gt;""""))),""^Sell_""),INDEX(FILTER(T$4:T103,Q$4:Q103&lt;&gt;""""),ROWS(FILTER(Q$4:Q103,Q$4:Q103&lt;&gt;""""))),$AD$5+S104))"),7848.8)</f>
        <v>7848.8</v>
      </c>
      <c r="U104" s="10">
        <f>IFERROR(__xludf.DUMMYFUNCTION("IF(COUNTA(Q104:Q1350)=0,"""",IF(Q104="""",0,IF(REGEXMATCH(Q104,""^Sell_""),-ROUNDDOWN(ROUNDUP(INDEX(Upgrades!$C$3:$C$13,MATCH(SUBSTITUTE(Q104,""Sell_"",""""),Upgrades!$B$3:$B$13,0))*1.15^(COUNTIF(Q$4:Q103,SUBSTITUTE(Q104,""Sell_"",""""))-COUNTIF(Q$4:Q103,"&amp;"""Sell_""&amp;SUBSTITUTE(Q104,""Sell_"",""""))))/2),ROUNDUP(INDEX(Upgrades!$C$3:$C$13,MATCH(Q104,Upgrades!$B$3:$B$13,0))*1.15^(COUNTIF(Q$4:Q103,Q104)-COUNTIF(Q$4:Q103,""Sell_""&amp;Q104))))))"),-7604.0)</f>
        <v>-7604</v>
      </c>
      <c r="V104" s="10">
        <f t="shared" si="11"/>
        <v>-179421</v>
      </c>
      <c r="W104" s="68">
        <f t="shared" si="12"/>
        <v>1719.357835</v>
      </c>
      <c r="X104" s="59" t="str">
        <f t="shared" si="13"/>
        <v>28m 39s</v>
      </c>
      <c r="Y104" s="69">
        <f t="shared" si="14"/>
        <v>2631239</v>
      </c>
      <c r="Z104" s="11"/>
    </row>
    <row r="105">
      <c r="A105" s="8"/>
      <c r="B105" s="56">
        <f t="shared" si="2"/>
        <v>11</v>
      </c>
      <c r="C105" s="57" t="s">
        <v>9</v>
      </c>
      <c r="D105" s="10" t="b">
        <f>IFERROR(__xludf.DUMMYFUNCTION("IF(COUNTA(C105:C1350)=0,"""",IF(ISBLANK(C105),FALSE,IF(NOT(COUNTIF($AA$24:$AA$34,SUBSTITUTE(C105,""Sell_"",""""))),1,IF(REGEXMATCH(C105,""Sell_""),IF(COUNTIF(C$4:C105,SUBSTITUTE(C105,""Sell_"",""""))-COUNTIF(C$4:C104,C105)&lt;1,1),FALSE))))"),FALSE)</f>
        <v>0</v>
      </c>
      <c r="E105" s="59">
        <f t="array" ref="E105">IF(COUNTA(C105:C1350)=0,"",SUM((COUNTIF(C$4:C105,Upgrades!$B$3:$B$13)-COUNTIF(C$4:C105,"Sell_"&amp;Upgrades!$B$3:$B$13))*Upgrades!$D$3:$D$13))</f>
        <v>99595.5</v>
      </c>
      <c r="F105" s="66">
        <f>IFERROR(__xludf.DUMMYFUNCTION("IF(COUNTA(C105:C1350)=0,"""",IF(REGEXMATCH(INDEX(FILTER(C$4:C105,C$4:C105&lt;&gt;""""),ROWS(FILTER(C$4:C105,C$4:C105&lt;&gt;""""))),""^Sell_""),INDEX(FILTER(F$4:F104,C$4:C104&lt;&gt;""""),ROWS(FILTER(C$4:C104,C$4:C104&lt;&gt;""""))),$AC$5+E105))"),99795.5)</f>
        <v>99795.5</v>
      </c>
      <c r="G105" s="10">
        <f>IFERROR(__xludf.DUMMYFUNCTION("IF(COUNTA(C105:C1350)=0,"""",IF(C105="""",0,IF(REGEXMATCH(C105,""^Sell_""),-ROUNDDOWN(ROUNDUP(INDEX(Upgrades!$C$3:$C$13,MATCH(SUBSTITUTE(C105,""Sell_"",""""),Upgrades!$B$3:$B$13,0))*1.15^(COUNTIF(C$4:C104,SUBSTITUTE(C105,""Sell_"",""""))-COUNTIF(C$4:C104,"&amp;"""Sell_""&amp;SUBSTITUTE(C105,""Sell_"",""""))))/2),ROUNDUP(INDEX(Upgrades!$C$3:$C$13,MATCH(C105,Upgrades!$B$3:$B$13,0))*1.15^(COUNTIF(C$4:C104,C105)-COUNTIF(C$4:C104,""Sell_""&amp;C105))))))"),809112.0)</f>
        <v>809112</v>
      </c>
      <c r="H105" s="10">
        <f t="shared" si="3"/>
        <v>809112</v>
      </c>
      <c r="I105" s="68">
        <f t="shared" si="4"/>
        <v>3440.439552</v>
      </c>
      <c r="J105" s="59" t="str">
        <f t="shared" si="5"/>
        <v>57m 20s</v>
      </c>
      <c r="K105" s="69">
        <f t="shared" si="6"/>
        <v>73905873</v>
      </c>
      <c r="L105" s="60">
        <f t="shared" si="7"/>
        <v>-153.1884</v>
      </c>
      <c r="M105" s="61">
        <f>IFERROR(__xludf.DUMMYFUNCTION("IFS(AND(COUNTA(C105:C1350)=0,COUNTA(Q105:Q1350)=0),"""",OR(AND(K105&gt;=1000000000,OR(Y105&gt;=1000000000,COUNTA(Q105:Q1350)=0)),OR(Y105&gt;=1000000000,AND(COUNTA(C105:C1350)=0,P$3=TRUE))),
ROUNDDOWN((AB$1-AC$1)*MAX(INDEX(T$4:T1350,MATCH(LARGE(FILTER(Y$4:Y1350,Y$4"&amp;":Y1350&lt;1000000000),1),Y$4:Y1350)),INDEX(F$4:F1350,MATCH(LARGE(FILTER(K$4:K1350,K$4:K1350&lt;1000000000),1),K$4:K1350)))),AND(K105&lt;1000000000,COUNTA(C105:C1350)&gt;0,P$3=FALSE),
ROUNDDOWN(INDEX(Y$4:Y1350,MATCH(LARGE(FILTER(W$4:W1350,W$4:W1350&lt;=I105),1),W$4:W1350"&amp;"))+(I105-LARGE(FILTER(W$4:W1350,W$4:W1350&lt;=I105),1))*INDEX(T$4:T1350,MATCH(LARGE(FILTER(W$4:W1350,W$4:W1350&lt;=I105),1),W$4:W1350))-K105),1,
ROUNDDOWN(Y105-INDEX(K$4:K1350,MATCH(LARGE(FILTER(I$4:I1350,I$4:I1350&lt;=W105),1),I$4:I1350))-(W105-LARGE(FILTER(I$4:I"&amp;"1350,I$4:I1350&lt;=W105),1))*INDEX(F$4:F1350,MATCH(LARGE(FILTER(I$4:I1350,I$4:I1350&lt;=W105),1),I$4:I1350))))"),1.5479865E7)</f>
        <v>15479865</v>
      </c>
      <c r="N105" s="60">
        <f t="shared" si="8"/>
        <v>-153.1884</v>
      </c>
      <c r="O105" s="61" t="str">
        <f t="shared" si="9"/>
        <v>15,5M</v>
      </c>
      <c r="P105" s="56">
        <f t="shared" si="10"/>
        <v>15</v>
      </c>
      <c r="Q105" s="67" t="s">
        <v>59</v>
      </c>
      <c r="R105" s="10" t="b">
        <f>IFERROR(__xludf.DUMMYFUNCTION("IF(COUNTA(Q105:Q1350)=0,"""",IF(ISBLANK(Q105),FALSE,IF(NOT(COUNTIF($AA$24:$AA$34,SUBSTITUTE(Q105,""Sell_"",""""))),1,IF(REGEXMATCH(Q105,""Sell_""),IF(COUNTIF(Q$4:Q105,SUBSTITUTE(Q105,""Sell_"",""""))-COUNTIF(Q$4:Q104,Q105)&lt;1,1),FALSE))))"),FALSE)</f>
        <v>0</v>
      </c>
      <c r="S105" s="59">
        <f t="array" ref="S105">IF(COUNTA(Q105:Q1350)=0,"",SUM((COUNTIF(Q$4:Q105,Upgrades!$B$3:$B$13)-COUNTIF(Q$4:Q105,"Sell_"&amp;Upgrades!$B$3:$B$13))*Upgrades!$D$3:$D$13))</f>
        <v>6948.8</v>
      </c>
      <c r="T105" s="66">
        <f>IFERROR(__xludf.DUMMYFUNCTION("IF(COUNTA(Q105:Q1350)=0,"""",IF(REGEXMATCH(INDEX(FILTER(Q$4:Q105,Q$4:Q105&lt;&gt;""""),ROWS(FILTER(Q$4:Q105,Q$4:Q105&lt;&gt;""""))),""^Sell_""),INDEX(FILTER(T$4:T104,Q$4:Q104&lt;&gt;""""),ROWS(FILTER(Q$4:Q104,Q$4:Q104&lt;&gt;""""))),$AD$5+S105))"),7848.8)</f>
        <v>7848.8</v>
      </c>
      <c r="U105" s="10">
        <f>IFERROR(__xludf.DUMMYFUNCTION("IF(COUNTA(Q105:Q1350)=0,"""",IF(Q105="""",0,IF(REGEXMATCH(Q105,""^Sell_""),-ROUNDDOWN(ROUNDUP(INDEX(Upgrades!$C$3:$C$13,MATCH(SUBSTITUTE(Q105,""Sell_"",""""),Upgrades!$B$3:$B$13,0))*1.15^(COUNTIF(Q$4:Q104,SUBSTITUTE(Q105,""Sell_"",""""))-COUNTIF(Q$4:Q104,"&amp;"""Sell_""&amp;SUBSTITUTE(Q105,""Sell_"",""""))))/2),ROUNDUP(INDEX(Upgrades!$C$3:$C$13,MATCH(Q105,Upgrades!$B$3:$B$13,0))*1.15^(COUNTIF(Q$4:Q104,Q105)-COUNTIF(Q$4:Q104,""Sell_""&amp;Q105))))))"),-6612.0)</f>
        <v>-6612</v>
      </c>
      <c r="V105" s="10">
        <f t="shared" si="11"/>
        <v>-186033</v>
      </c>
      <c r="W105" s="68">
        <f t="shared" si="12"/>
        <v>1719.357835</v>
      </c>
      <c r="X105" s="59" t="str">
        <f t="shared" si="13"/>
        <v>28m 39s</v>
      </c>
      <c r="Y105" s="69">
        <f t="shared" si="14"/>
        <v>2631239</v>
      </c>
      <c r="Z105" s="11"/>
    </row>
    <row r="106">
      <c r="A106" s="8"/>
      <c r="B106" s="56">
        <f t="shared" si="2"/>
        <v>12</v>
      </c>
      <c r="C106" s="57" t="s">
        <v>8</v>
      </c>
      <c r="D106" s="10" t="b">
        <f>IFERROR(__xludf.DUMMYFUNCTION("IF(COUNTA(C106:C1350)=0,"""",IF(ISBLANK(C106),FALSE,IF(NOT(COUNTIF($AA$24:$AA$34,SUBSTITUTE(C106,""Sell_"",""""))),1,IF(REGEXMATCH(C106,""Sell_""),IF(COUNTIF(C$4:C106,SUBSTITUTE(C106,""Sell_"",""""))-COUNTIF(C$4:C105,C106)&lt;1,1),FALSE))))"),FALSE)</f>
        <v>0</v>
      </c>
      <c r="E106" s="59">
        <f t="array" ref="E106">IF(COUNTA(C106:C1350)=0,"",SUM((COUNTIF(C$4:C106,Upgrades!$B$3:$B$13)-COUNTIF(C$4:C106,"Sell_"&amp;Upgrades!$B$3:$B$13))*Upgrades!$D$3:$D$13))</f>
        <v>99695.5</v>
      </c>
      <c r="F106" s="66">
        <f>IFERROR(__xludf.DUMMYFUNCTION("IF(COUNTA(C106:C1350)=0,"""",IF(REGEXMATCH(INDEX(FILTER(C$4:C106,C$4:C106&lt;&gt;""""),ROWS(FILTER(C$4:C106,C$4:C106&lt;&gt;""""))),""^Sell_""),INDEX(FILTER(F$4:F105,C$4:C105&lt;&gt;""""),ROWS(FILTER(C$4:C105,C$4:C105&lt;&gt;""""))),$AC$5+E106))"),99895.5)</f>
        <v>99895.5</v>
      </c>
      <c r="G106" s="10">
        <f>IFERROR(__xludf.DUMMYFUNCTION("IF(COUNTA(C106:C1350)=0,"""",IF(C106="""",0,IF(REGEXMATCH(C106,""^Sell_""),-ROUNDDOWN(ROUNDUP(INDEX(Upgrades!$C$3:$C$13,MATCH(SUBSTITUTE(C106,""Sell_"",""""),Upgrades!$B$3:$B$13,0))*1.15^(COUNTIF(C$4:C105,SUBSTITUTE(C106,""Sell_"",""""))-COUNTIF(C$4:C105,"&amp;"""Sell_""&amp;SUBSTITUTE(C106,""Sell_"",""""))))/2),ROUNDUP(INDEX(Upgrades!$C$3:$C$13,MATCH(C106,Upgrades!$B$3:$B$13,0))*1.15^(COUNTIF(C$4:C105,C106)-COUNTIF(C$4:C105,""Sell_""&amp;C106))))))"),186096.0)</f>
        <v>186096</v>
      </c>
      <c r="H106" s="10">
        <f t="shared" si="3"/>
        <v>186096</v>
      </c>
      <c r="I106" s="68">
        <f t="shared" si="4"/>
        <v>3442.304326</v>
      </c>
      <c r="J106" s="59" t="str">
        <f t="shared" si="5"/>
        <v>57m 22s</v>
      </c>
      <c r="K106" s="69">
        <f t="shared" si="6"/>
        <v>74091969</v>
      </c>
      <c r="L106" s="60">
        <f t="shared" si="7"/>
        <v>-153.18187</v>
      </c>
      <c r="M106" s="61">
        <f>IFERROR(__xludf.DUMMYFUNCTION("IFS(AND(COUNTA(C106:C1350)=0,COUNTA(Q106:Q1350)=0),"""",OR(AND(K106&gt;=1000000000,OR(Y106&gt;=1000000000,COUNTA(Q106:Q1350)=0)),OR(Y106&gt;=1000000000,AND(COUNTA(C106:C1350)=0,P$3=TRUE))),
ROUNDDOWN((AB$1-AC$1)*MAX(INDEX(T$4:T1350,MATCH(LARGE(FILTER(Y$4:Y1350,Y$4"&amp;":Y1350&lt;1000000000),1),Y$4:Y1350)),INDEX(F$4:F1350,MATCH(LARGE(FILTER(K$4:K1350,K$4:K1350&lt;1000000000),1),K$4:K1350)))),AND(K106&lt;1000000000,COUNTA(C106:C1350)&gt;0,P$3=FALSE),
ROUNDDOWN(INDEX(Y$4:Y1350,MATCH(LARGE(FILTER(W$4:W1350,W$4:W1350&lt;=I106),1),W$4:W1350"&amp;"))+(I106-LARGE(FILTER(W$4:W1350,W$4:W1350&lt;=I106),1))*INDEX(T$4:T1350,MATCH(LARGE(FILTER(W$4:W1350,W$4:W1350&lt;=I106),1),W$4:W1350))-K106),1,
ROUNDDOWN(Y106-INDEX(K$4:K1350,MATCH(LARGE(FILTER(I$4:I1350,I$4:I1350&lt;=W106),1),I$4:I1350))-(W106-LARGE(FILTER(I$4:I"&amp;"1350,I$4:I1350&lt;=W106),1))*INDEX(F$4:F1350,MATCH(LARGE(FILTER(I$4:I1350,I$4:I1350&lt;=W106),1),I$4:I1350))))"),1.549288E7)</f>
        <v>15492880</v>
      </c>
      <c r="N106" s="60">
        <f t="shared" si="8"/>
        <v>-153.18187</v>
      </c>
      <c r="O106" s="61" t="str">
        <f t="shared" si="9"/>
        <v>15,5M</v>
      </c>
      <c r="P106" s="56">
        <f t="shared" si="10"/>
        <v>16</v>
      </c>
      <c r="Q106" s="67" t="s">
        <v>59</v>
      </c>
      <c r="R106" s="10" t="b">
        <f>IFERROR(__xludf.DUMMYFUNCTION("IF(COUNTA(Q106:Q1350)=0,"""",IF(ISBLANK(Q106),FALSE,IF(NOT(COUNTIF($AA$24:$AA$34,SUBSTITUTE(Q106,""Sell_"",""""))),1,IF(REGEXMATCH(Q106,""Sell_""),IF(COUNTIF(Q$4:Q106,SUBSTITUTE(Q106,""Sell_"",""""))-COUNTIF(Q$4:Q105,Q106)&lt;1,1),FALSE))))"),FALSE)</f>
        <v>0</v>
      </c>
      <c r="S106" s="59">
        <f t="array" ref="S106">IF(COUNTA(Q106:Q1350)=0,"",SUM((COUNTIF(Q$4:Q106,Upgrades!$B$3:$B$13)-COUNTIF(Q$4:Q106,"Sell_"&amp;Upgrades!$B$3:$B$13))*Upgrades!$D$3:$D$13))</f>
        <v>6908.8</v>
      </c>
      <c r="T106" s="66">
        <f>IFERROR(__xludf.DUMMYFUNCTION("IF(COUNTA(Q106:Q1350)=0,"""",IF(REGEXMATCH(INDEX(FILTER(Q$4:Q106,Q$4:Q106&lt;&gt;""""),ROWS(FILTER(Q$4:Q106,Q$4:Q106&lt;&gt;""""))),""^Sell_""),INDEX(FILTER(T$4:T105,Q$4:Q105&lt;&gt;""""),ROWS(FILTER(Q$4:Q105,Q$4:Q105&lt;&gt;""""))),$AD$5+S106))"),7848.8)</f>
        <v>7848.8</v>
      </c>
      <c r="U106" s="10">
        <f>IFERROR(__xludf.DUMMYFUNCTION("IF(COUNTA(Q106:Q1350)=0,"""",IF(Q106="""",0,IF(REGEXMATCH(Q106,""^Sell_""),-ROUNDDOWN(ROUNDUP(INDEX(Upgrades!$C$3:$C$13,MATCH(SUBSTITUTE(Q106,""Sell_"",""""),Upgrades!$B$3:$B$13,0))*1.15^(COUNTIF(Q$4:Q105,SUBSTITUTE(Q106,""Sell_"",""""))-COUNTIF(Q$4:Q105,"&amp;"""Sell_""&amp;SUBSTITUTE(Q106,""Sell_"",""""))))/2),ROUNDUP(INDEX(Upgrades!$C$3:$C$13,MATCH(Q106,Upgrades!$B$3:$B$13,0))*1.15^(COUNTIF(Q$4:Q105,Q106)-COUNTIF(Q$4:Q105,""Sell_""&amp;Q106))))))"),-5750.0)</f>
        <v>-5750</v>
      </c>
      <c r="V106" s="10">
        <f t="shared" si="11"/>
        <v>-191783</v>
      </c>
      <c r="W106" s="68">
        <f t="shared" si="12"/>
        <v>1719.357835</v>
      </c>
      <c r="X106" s="59" t="str">
        <f t="shared" si="13"/>
        <v>28m 39s</v>
      </c>
      <c r="Y106" s="69">
        <f t="shared" si="14"/>
        <v>2631239</v>
      </c>
      <c r="Z106" s="11"/>
    </row>
    <row r="107">
      <c r="A107" s="8"/>
      <c r="B107" s="56">
        <f t="shared" si="2"/>
        <v>15</v>
      </c>
      <c r="C107" s="57" t="s">
        <v>7</v>
      </c>
      <c r="D107" s="10" t="b">
        <f>IFERROR(__xludf.DUMMYFUNCTION("IF(COUNTA(C107:C1350)=0,"""",IF(ISBLANK(C107),FALSE,IF(NOT(COUNTIF($AA$24:$AA$34,SUBSTITUTE(C107,""Sell_"",""""))),1,IF(REGEXMATCH(C107,""Sell_""),IF(COUNTIF(C$4:C107,SUBSTITUTE(C107,""Sell_"",""""))-COUNTIF(C$4:C106,C107)&lt;1,1),FALSE))))"),FALSE)</f>
        <v>0</v>
      </c>
      <c r="E107" s="59">
        <f t="array" ref="E107">IF(COUNTA(C107:C1350)=0,"",SUM((COUNTIF(C$4:C107,Upgrades!$B$3:$B$13)-COUNTIF(C$4:C107,"Sell_"&amp;Upgrades!$B$3:$B$13))*Upgrades!$D$3:$D$13))</f>
        <v>99735.5</v>
      </c>
      <c r="F107" s="66">
        <f>IFERROR(__xludf.DUMMYFUNCTION("IF(COUNTA(C107:C1350)=0,"""",IF(REGEXMATCH(INDEX(FILTER(C$4:C107,C$4:C107&lt;&gt;""""),ROWS(FILTER(C$4:C107,C$4:C107&lt;&gt;""""))),""^Sell_""),INDEX(FILTER(F$4:F106,C$4:C106&lt;&gt;""""),ROWS(FILTER(C$4:C106,C$4:C106&lt;&gt;""""))),$AC$5+E107))"),99935.5)</f>
        <v>99935.5</v>
      </c>
      <c r="G107" s="10">
        <f>IFERROR(__xludf.DUMMYFUNCTION("IF(COUNTA(C107:C1350)=0,"""",IF(C107="""",0,IF(REGEXMATCH(C107,""^Sell_""),-ROUNDDOWN(ROUNDUP(INDEX(Upgrades!$C$3:$C$13,MATCH(SUBSTITUTE(C107,""Sell_"",""""),Upgrades!$B$3:$B$13,0))*1.15^(COUNTIF(C$4:C106,SUBSTITUTE(C107,""Sell_"",""""))-COUNTIF(C$4:C106,"&amp;"""Sell_""&amp;SUBSTITUTE(C107,""Sell_"",""""))))/2),ROUNDUP(INDEX(Upgrades!$C$3:$C$13,MATCH(C107,Upgrades!$B$3:$B$13,0))*1.15^(COUNTIF(C$4:C106,C107)-COUNTIF(C$4:C106,""Sell_""&amp;C107))))))"),70758.0)</f>
        <v>70758</v>
      </c>
      <c r="H107" s="10">
        <f t="shared" si="3"/>
        <v>70758</v>
      </c>
      <c r="I107" s="68">
        <f t="shared" si="4"/>
        <v>3443.012646</v>
      </c>
      <c r="J107" s="59" t="str">
        <f t="shared" si="5"/>
        <v>57m 23s</v>
      </c>
      <c r="K107" s="69">
        <f t="shared" si="6"/>
        <v>74162727</v>
      </c>
      <c r="L107" s="60">
        <f t="shared" si="7"/>
        <v>-153.17901</v>
      </c>
      <c r="M107" s="61">
        <f>IFERROR(__xludf.DUMMYFUNCTION("IFS(AND(COUNTA(C107:C1350)=0,COUNTA(Q107:Q1350)=0),"""",OR(AND(K107&gt;=1000000000,OR(Y107&gt;=1000000000,COUNTA(Q107:Q1350)=0)),OR(Y107&gt;=1000000000,AND(COUNTA(C107:C1350)=0,P$3=TRUE))),
ROUNDDOWN((AB$1-AC$1)*MAX(INDEX(T$4:T1350,MATCH(LARGE(FILTER(Y$4:Y1350,Y$4"&amp;":Y1350&lt;1000000000),1),Y$4:Y1350)),INDEX(F$4:F1350,MATCH(LARGE(FILTER(K$4:K1350,K$4:K1350&lt;1000000000),1),K$4:K1350)))),AND(K107&lt;1000000000,COUNTA(C107:C1350)&gt;0,P$3=FALSE),
ROUNDDOWN(INDEX(Y$4:Y1350,MATCH(LARGE(FILTER(W$4:W1350,W$4:W1350&lt;=I107),1),W$4:W1350"&amp;"))+(I107-LARGE(FILTER(W$4:W1350,W$4:W1350&lt;=I107),1))*INDEX(T$4:T1350,MATCH(LARGE(FILTER(W$4:W1350,W$4:W1350&lt;=I107),1),W$4:W1350))-K107),1,
ROUNDDOWN(Y107-INDEX(K$4:K1350,MATCH(LARGE(FILTER(I$4:I1350,I$4:I1350&lt;=W107),1),I$4:I1350))-(W107-LARGE(FILTER(I$4:I"&amp;"1350,I$4:I1350&lt;=W107),1))*INDEX(F$4:F1350,MATCH(LARGE(FILTER(I$4:I1350,I$4:I1350&lt;=W107),1),I$4:I1350))))"),1.5497753E7)</f>
        <v>15497753</v>
      </c>
      <c r="N107" s="60">
        <f t="shared" si="8"/>
        <v>-153.17901</v>
      </c>
      <c r="O107" s="61" t="str">
        <f t="shared" si="9"/>
        <v>15,5M</v>
      </c>
      <c r="P107" s="56">
        <f t="shared" si="10"/>
        <v>8</v>
      </c>
      <c r="Q107" s="67" t="s">
        <v>61</v>
      </c>
      <c r="R107" s="10" t="b">
        <f>IFERROR(__xludf.DUMMYFUNCTION("IF(COUNTA(Q107:Q1350)=0,"""",IF(ISBLANK(Q107),FALSE,IF(NOT(COUNTIF($AA$24:$AA$34,SUBSTITUTE(Q107,""Sell_"",""""))),1,IF(REGEXMATCH(Q107,""Sell_""),IF(COUNTIF(Q$4:Q107,SUBSTITUTE(Q107,""Sell_"",""""))-COUNTIF(Q$4:Q106,Q107)&lt;1,1),FALSE))))"),FALSE)</f>
        <v>0</v>
      </c>
      <c r="S107" s="59">
        <f t="array" ref="S107">IF(COUNTA(Q107:Q1350)=0,"",SUM((COUNTIF(Q$4:Q107,Upgrades!$B$3:$B$13)-COUNTIF(Q$4:Q107,"Sell_"&amp;Upgrades!$B$3:$B$13))*Upgrades!$D$3:$D$13))</f>
        <v>6808.8</v>
      </c>
      <c r="T107" s="66">
        <f>IFERROR(__xludf.DUMMYFUNCTION("IF(COUNTA(Q107:Q1350)=0,"""",IF(REGEXMATCH(INDEX(FILTER(Q$4:Q107,Q$4:Q107&lt;&gt;""""),ROWS(FILTER(Q$4:Q107,Q$4:Q107&lt;&gt;""""))),""^Sell_""),INDEX(FILTER(T$4:T106,Q$4:Q106&lt;&gt;""""),ROWS(FILTER(Q$4:Q106,Q$4:Q106&lt;&gt;""""))),$AD$5+S107))"),7848.8)</f>
        <v>7848.8</v>
      </c>
      <c r="U107" s="10">
        <f>IFERROR(__xludf.DUMMYFUNCTION("IF(COUNTA(Q107:Q1350)=0,"""",IF(Q107="""",0,IF(REGEXMATCH(Q107,""^Sell_""),-ROUNDDOWN(ROUNDUP(INDEX(Upgrades!$C$3:$C$13,MATCH(SUBSTITUTE(Q107,""Sell_"",""""),Upgrades!$B$3:$B$13,0))*1.15^(COUNTIF(Q$4:Q106,SUBSTITUTE(Q107,""Sell_"",""""))-COUNTIF(Q$4:Q106,"&amp;"""Sell_""&amp;SUBSTITUTE(Q107,""Sell_"",""""))))/2),ROUNDUP(INDEX(Upgrades!$C$3:$C$13,MATCH(Q107,Upgrades!$B$3:$B$13,0))*1.15^(COUNTIF(Q$4:Q106,Q107)-COUNTIF(Q$4:Q106,""Sell_""&amp;Q107))))))"),-23000.0)</f>
        <v>-23000</v>
      </c>
      <c r="V107" s="10">
        <f t="shared" si="11"/>
        <v>-214783</v>
      </c>
      <c r="W107" s="68">
        <f t="shared" si="12"/>
        <v>1719.357835</v>
      </c>
      <c r="X107" s="59" t="str">
        <f t="shared" si="13"/>
        <v>28m 39s</v>
      </c>
      <c r="Y107" s="69">
        <f t="shared" si="14"/>
        <v>2631239</v>
      </c>
      <c r="Z107" s="11"/>
    </row>
    <row r="108">
      <c r="A108" s="8"/>
      <c r="B108" s="56">
        <f t="shared" si="2"/>
        <v>14</v>
      </c>
      <c r="C108" s="57" t="s">
        <v>6</v>
      </c>
      <c r="D108" s="10" t="b">
        <f>IFERROR(__xludf.DUMMYFUNCTION("IF(COUNTA(C108:C1350)=0,"""",IF(ISBLANK(C108),FALSE,IF(NOT(COUNTIF($AA$24:$AA$34,SUBSTITUTE(C108,""Sell_"",""""))),1,IF(REGEXMATCH(C108,""Sell_""),IF(COUNTIF(C$4:C108,SUBSTITUTE(C108,""Sell_"",""""))-COUNTIF(C$4:C107,C108)&lt;1,1),FALSE))))"),FALSE)</f>
        <v>0</v>
      </c>
      <c r="E108" s="59">
        <f t="array" ref="E108">IF(COUNTA(C108:C1350)=0,"",SUM((COUNTIF(C$4:C108,Upgrades!$B$3:$B$13)-COUNTIF(C$4:C108,"Sell_"&amp;Upgrades!$B$3:$B$13))*Upgrades!$D$3:$D$13))</f>
        <v>99745.5</v>
      </c>
      <c r="F108" s="66">
        <f>IFERROR(__xludf.DUMMYFUNCTION("IF(COUNTA(C108:C1350)=0,"""",IF(REGEXMATCH(INDEX(FILTER(C$4:C108,C$4:C108&lt;&gt;""""),ROWS(FILTER(C$4:C108,C$4:C108&lt;&gt;""""))),""^Sell_""),INDEX(FILTER(F$4:F107,C$4:C107&lt;&gt;""""),ROWS(FILTER(C$4:C107,C$4:C107&lt;&gt;""""))),$AC$5+E108))"),99945.5)</f>
        <v>99945.5</v>
      </c>
      <c r="G108" s="10">
        <f>IFERROR(__xludf.DUMMYFUNCTION("IF(COUNTA(C108:C1350)=0,"""",IF(C108="""",0,IF(REGEXMATCH(C108,""^Sell_""),-ROUNDDOWN(ROUNDUP(INDEX(Upgrades!$C$3:$C$13,MATCH(SUBSTITUTE(C108,""Sell_"",""""),Upgrades!$B$3:$B$13,0))*1.15^(COUNTIF(C$4:C107,SUBSTITUTE(C108,""Sell_"",""""))-COUNTIF(C$4:C107,"&amp;"""Sell_""&amp;SUBSTITUTE(C108,""Sell_"",""""))))/2),ROUNDUP(INDEX(Upgrades!$C$3:$C$13,MATCH(C108,Upgrades!$B$3:$B$13,0))*1.15^(COUNTIF(C$4:C107,C108)-COUNTIF(C$4:C107,""Sell_""&amp;C108))))))"),18459.0)</f>
        <v>18459</v>
      </c>
      <c r="H108" s="10">
        <f t="shared" si="3"/>
        <v>18459</v>
      </c>
      <c r="I108" s="68">
        <f t="shared" si="4"/>
        <v>3443.197355</v>
      </c>
      <c r="J108" s="59" t="str">
        <f t="shared" si="5"/>
        <v>57m 23s</v>
      </c>
      <c r="K108" s="69">
        <f t="shared" si="6"/>
        <v>74181186</v>
      </c>
      <c r="L108" s="60">
        <f t="shared" si="7"/>
        <v>-153.1783</v>
      </c>
      <c r="M108" s="61">
        <f>IFERROR(__xludf.DUMMYFUNCTION("IFS(AND(COUNTA(C108:C1350)=0,COUNTA(Q108:Q1350)=0),"""",OR(AND(K108&gt;=1000000000,OR(Y108&gt;=1000000000,COUNTA(Q108:Q1350)=0)),OR(Y108&gt;=1000000000,AND(COUNTA(C108:C1350)=0,P$3=TRUE))),
ROUNDDOWN((AB$1-AC$1)*MAX(INDEX(T$4:T1350,MATCH(LARGE(FILTER(Y$4:Y1350,Y$4"&amp;":Y1350&lt;1000000000),1),Y$4:Y1350)),INDEX(F$4:F1350,MATCH(LARGE(FILTER(K$4:K1350,K$4:K1350&lt;1000000000),1),K$4:K1350)))),AND(K108&lt;1000000000,COUNTA(C108:C1350)&gt;0,P$3=FALSE),
ROUNDDOWN(INDEX(Y$4:Y1350,MATCH(LARGE(FILTER(W$4:W1350,W$4:W1350&lt;=I108),1),W$4:W1350"&amp;"))+(I108-LARGE(FILTER(W$4:W1350,W$4:W1350&lt;=I108),1))*INDEX(T$4:T1350,MATCH(LARGE(FILTER(W$4:W1350,W$4:W1350&lt;=I108),1),W$4:W1350))-K108),1,
ROUNDDOWN(Y108-INDEX(K$4:K1350,MATCH(LARGE(FILTER(I$4:I1350,I$4:I1350&lt;=W108),1),I$4:I1350))-(W108-LARGE(FILTER(I$4:I"&amp;"1350,I$4:I1350&lt;=W108),1))*INDEX(F$4:F1350,MATCH(LARGE(FILTER(I$4:I1350,I$4:I1350&lt;=W108),1),I$4:I1350))))"),1.5499016E7)</f>
        <v>15499016</v>
      </c>
      <c r="N108" s="60">
        <f t="shared" si="8"/>
        <v>-153.1783</v>
      </c>
      <c r="O108" s="61" t="str">
        <f t="shared" si="9"/>
        <v>15,5M</v>
      </c>
      <c r="P108" s="56">
        <f t="shared" si="10"/>
        <v>2</v>
      </c>
      <c r="Q108" s="67" t="s">
        <v>10</v>
      </c>
      <c r="R108" s="10" t="b">
        <f>IFERROR(__xludf.DUMMYFUNCTION("IF(COUNTA(Q108:Q1350)=0,"""",IF(ISBLANK(Q108),FALSE,IF(NOT(COUNTIF($AA$24:$AA$34,SUBSTITUTE(Q108,""Sell_"",""""))),1,IF(REGEXMATCH(Q108,""Sell_""),IF(COUNTIF(Q$4:Q108,SUBSTITUTE(Q108,""Sell_"",""""))-COUNTIF(Q$4:Q107,Q108)&lt;1,1),FALSE))))"),FALSE)</f>
        <v>0</v>
      </c>
      <c r="S108" s="59">
        <f t="array" ref="S108">IF(COUNTA(Q108:Q1350)=0,"",SUM((COUNTIF(Q$4:Q108,Upgrades!$B$3:$B$13)-COUNTIF(Q$4:Q108,"Sell_"&amp;Upgrades!$B$3:$B$13))*Upgrades!$D$3:$D$13))</f>
        <v>13474.8</v>
      </c>
      <c r="T108" s="66">
        <f>IFERROR(__xludf.DUMMYFUNCTION("IF(COUNTA(Q108:Q1350)=0,"""",IF(REGEXMATCH(INDEX(FILTER(Q$4:Q108,Q$4:Q108&lt;&gt;""""),ROWS(FILTER(Q$4:Q108,Q$4:Q108&lt;&gt;""""))),""^Sell_""),INDEX(FILTER(T$4:T107,Q$4:Q107&lt;&gt;""""),ROWS(FILTER(Q$4:Q107,Q$4:Q107&lt;&gt;""""))),$AD$5+S108))"),13674.8)</f>
        <v>13674.8</v>
      </c>
      <c r="U108" s="10">
        <f>IFERROR(__xludf.DUMMYFUNCTION("IF(COUNTA(Q108:Q1350)=0,"""",IF(Q108="""",0,IF(REGEXMATCH(Q108,""^Sell_""),-ROUNDDOWN(ROUNDUP(INDEX(Upgrades!$C$3:$C$13,MATCH(SUBSTITUTE(Q108,""Sell_"",""""),Upgrades!$B$3:$B$13,0))*1.15^(COUNTIF(Q$4:Q107,SUBSTITUTE(Q108,""Sell_"",""""))-COUNTIF(Q$4:Q107,"&amp;"""Sell_""&amp;SUBSTITUTE(Q108,""Sell_"",""""))))/2),ROUNDUP(INDEX(Upgrades!$C$3:$C$13,MATCH(Q108,Upgrades!$B$3:$B$13,0))*1.15^(COUNTIF(Q$4:Q107,Q108)-COUNTIF(Q$4:Q107,""Sell_""&amp;Q108))))))"),1916666.0)</f>
        <v>1916666</v>
      </c>
      <c r="V108" s="10">
        <f t="shared" si="11"/>
        <v>1701883</v>
      </c>
      <c r="W108" s="68">
        <f t="shared" si="12"/>
        <v>1936.191363</v>
      </c>
      <c r="X108" s="59" t="str">
        <f t="shared" si="13"/>
        <v>32m 16s</v>
      </c>
      <c r="Y108" s="69">
        <f t="shared" si="14"/>
        <v>4333122</v>
      </c>
      <c r="Z108" s="11"/>
    </row>
    <row r="109">
      <c r="A109" s="8"/>
      <c r="B109" s="56">
        <f t="shared" si="2"/>
        <v>20</v>
      </c>
      <c r="C109" s="57" t="s">
        <v>5</v>
      </c>
      <c r="D109" s="10" t="b">
        <f>IFERROR(__xludf.DUMMYFUNCTION("IF(COUNTA(C109:C1350)=0,"""",IF(ISBLANK(C109),FALSE,IF(NOT(COUNTIF($AA$24:$AA$34,SUBSTITUTE(C109,""Sell_"",""""))),1,IF(REGEXMATCH(C109,""Sell_""),IF(COUNTIF(C$4:C109,SUBSTITUTE(C109,""Sell_"",""""))-COUNTIF(C$4:C108,C109)&lt;1,1),FALSE))))"),FALSE)</f>
        <v>0</v>
      </c>
      <c r="E109" s="59">
        <f t="array" ref="E109">IF(COUNTA(C109:C1350)=0,"",SUM((COUNTIF(C$4:C109,Upgrades!$B$3:$B$13)-COUNTIF(C$4:C109,"Sell_"&amp;Upgrades!$B$3:$B$13))*Upgrades!$D$3:$D$13))</f>
        <v>99749.5</v>
      </c>
      <c r="F109" s="66">
        <f>IFERROR(__xludf.DUMMYFUNCTION("IF(COUNTA(C109:C1350)=0,"""",IF(REGEXMATCH(INDEX(FILTER(C$4:C109,C$4:C109&lt;&gt;""""),ROWS(FILTER(C$4:C109,C$4:C109&lt;&gt;""""))),""^Sell_""),INDEX(FILTER(F$4:F108,C$4:C108&lt;&gt;""""),ROWS(FILTER(C$4:C108,C$4:C108&lt;&gt;""""))),$AC$5+E109))"),99949.5)</f>
        <v>99949.5</v>
      </c>
      <c r="G109" s="10">
        <f>IFERROR(__xludf.DUMMYFUNCTION("IF(COUNTA(C109:C1350)=0,"""",IF(C109="""",0,IF(REGEXMATCH(C109,""^Sell_""),-ROUNDDOWN(ROUNDUP(INDEX(Upgrades!$C$3:$C$13,MATCH(SUBSTITUTE(C109,""Sell_"",""""),Upgrades!$B$3:$B$13,0))*1.15^(COUNTIF(C$4:C108,SUBSTITUTE(C109,""Sell_"",""""))-COUNTIF(C$4:C108,"&amp;"""Sell_""&amp;SUBSTITUTE(C109,""Sell_"",""""))))/2),ROUNDUP(INDEX(Upgrades!$C$3:$C$13,MATCH(C109,Upgrades!$B$3:$B$13,0))*1.15^(COUNTIF(C$4:C108,C109)-COUNTIF(C$4:C108,""Sell_""&amp;C109))))))"),7116.0)</f>
        <v>7116</v>
      </c>
      <c r="H109" s="10">
        <f t="shared" si="3"/>
        <v>7116</v>
      </c>
      <c r="I109" s="68">
        <f t="shared" si="4"/>
        <v>3443.268554</v>
      </c>
      <c r="J109" s="59" t="str">
        <f t="shared" si="5"/>
        <v>57m 23s</v>
      </c>
      <c r="K109" s="69">
        <f t="shared" si="6"/>
        <v>74188302</v>
      </c>
      <c r="L109" s="60">
        <f t="shared" si="7"/>
        <v>-153.17802</v>
      </c>
      <c r="M109" s="61">
        <f>IFERROR(__xludf.DUMMYFUNCTION("IFS(AND(COUNTA(C109:C1350)=0,COUNTA(Q109:Q1350)=0),"""",OR(AND(K109&gt;=1000000000,OR(Y109&gt;=1000000000,COUNTA(Q109:Q1350)=0)),OR(Y109&gt;=1000000000,AND(COUNTA(C109:C1350)=0,P$3=TRUE))),
ROUNDDOWN((AB$1-AC$1)*MAX(INDEX(T$4:T1350,MATCH(LARGE(FILTER(Y$4:Y1350,Y$4"&amp;":Y1350&lt;1000000000),1),Y$4:Y1350)),INDEX(F$4:F1350,MATCH(LARGE(FILTER(K$4:K1350,K$4:K1350&lt;1000000000),1),K$4:K1350)))),AND(K109&lt;1000000000,COUNTA(C109:C1350)&gt;0,P$3=FALSE),
ROUNDDOWN(INDEX(Y$4:Y1350,MATCH(LARGE(FILTER(W$4:W1350,W$4:W1350&lt;=I109),1),W$4:W1350"&amp;"))+(I109-LARGE(FILTER(W$4:W1350,W$4:W1350&lt;=I109),1))*INDEX(T$4:T1350,MATCH(LARGE(FILTER(W$4:W1350,W$4:W1350&lt;=I109),1),W$4:W1350))-K109),1,
ROUNDDOWN(Y109-INDEX(K$4:K1350,MATCH(LARGE(FILTER(I$4:I1350,I$4:I1350&lt;=W109),1),I$4:I1350))-(W109-LARGE(FILTER(I$4:I"&amp;"1350,I$4:I1350&lt;=W109),1))*INDEX(F$4:F1350,MATCH(LARGE(FILTER(I$4:I1350,I$4:I1350&lt;=W109),1),I$4:I1350))))"),1.5499502E7)</f>
        <v>15499502</v>
      </c>
      <c r="N109" s="60">
        <f t="shared" si="8"/>
        <v>-153.17802</v>
      </c>
      <c r="O109" s="61" t="str">
        <f t="shared" si="9"/>
        <v>15,5M</v>
      </c>
      <c r="P109" s="56">
        <f t="shared" si="10"/>
        <v>1</v>
      </c>
      <c r="Q109" s="67" t="s">
        <v>7</v>
      </c>
      <c r="R109" s="10" t="b">
        <f>IFERROR(__xludf.DUMMYFUNCTION("IF(COUNTA(Q109:Q1350)=0,"""",IF(ISBLANK(Q109),FALSE,IF(NOT(COUNTIF($AA$24:$AA$34,SUBSTITUTE(Q109,""Sell_"",""""))),1,IF(REGEXMATCH(Q109,""Sell_""),IF(COUNTIF(Q$4:Q109,SUBSTITUTE(Q109,""Sell_"",""""))-COUNTIF(Q$4:Q108,Q109)&lt;1,1),FALSE))))"),FALSE)</f>
        <v>0</v>
      </c>
      <c r="S109" s="59">
        <f t="array" ref="S109">IF(COUNTA(Q109:Q1350)=0,"",SUM((COUNTIF(Q$4:Q109,Upgrades!$B$3:$B$13)-COUNTIF(Q$4:Q109,"Sell_"&amp;Upgrades!$B$3:$B$13))*Upgrades!$D$3:$D$13))</f>
        <v>13514.8</v>
      </c>
      <c r="T109" s="66">
        <f>IFERROR(__xludf.DUMMYFUNCTION("IF(COUNTA(Q109:Q1350)=0,"""",IF(REGEXMATCH(INDEX(FILTER(Q$4:Q109,Q$4:Q109&lt;&gt;""""),ROWS(FILTER(Q$4:Q109,Q$4:Q109&lt;&gt;""""))),""^Sell_""),INDEX(FILTER(T$4:T108,Q$4:Q108&lt;&gt;""""),ROWS(FILTER(Q$4:Q108,Q$4:Q108&lt;&gt;""""))),$AD$5+S109))"),13714.8)</f>
        <v>13714.8</v>
      </c>
      <c r="U109" s="10">
        <f>IFERROR(__xludf.DUMMYFUNCTION("IF(COUNTA(Q109:Q1350)=0,"""",IF(Q109="""",0,IF(REGEXMATCH(Q109,""^Sell_""),-ROUNDDOWN(ROUNDUP(INDEX(Upgrades!$C$3:$C$13,MATCH(SUBSTITUTE(Q109,""Sell_"",""""),Upgrades!$B$3:$B$13,0))*1.15^(COUNTIF(Q$4:Q108,SUBSTITUTE(Q109,""Sell_"",""""))-COUNTIF(Q$4:Q108,"&amp;"""Sell_""&amp;SUBSTITUTE(Q109,""Sell_"",""""))))/2),ROUNDUP(INDEX(Upgrades!$C$3:$C$13,MATCH(Q109,Upgrades!$B$3:$B$13,0))*1.15^(COUNTIF(Q$4:Q108,Q109)-COUNTIF(Q$4:Q108,""Sell_""&amp;Q109))))))"),10000.0)</f>
        <v>10000</v>
      </c>
      <c r="V109" s="10">
        <f t="shared" si="11"/>
        <v>10000</v>
      </c>
      <c r="W109" s="68">
        <f t="shared" si="12"/>
        <v>1936.922635</v>
      </c>
      <c r="X109" s="59" t="str">
        <f t="shared" si="13"/>
        <v>32m 16s</v>
      </c>
      <c r="Y109" s="69">
        <f t="shared" si="14"/>
        <v>4343122</v>
      </c>
      <c r="Z109" s="11"/>
    </row>
    <row r="110">
      <c r="A110" s="8"/>
      <c r="B110" s="56">
        <f t="shared" si="2"/>
        <v>15</v>
      </c>
      <c r="C110" s="57" t="s">
        <v>10</v>
      </c>
      <c r="D110" s="10" t="b">
        <f>IFERROR(__xludf.DUMMYFUNCTION("IF(COUNTA(C110:C1350)=0,"""",IF(ISBLANK(C110),FALSE,IF(NOT(COUNTIF($AA$24:$AA$34,SUBSTITUTE(C110,""Sell_"",""""))),1,IF(REGEXMATCH(C110,""Sell_""),IF(COUNTIF(C$4:C110,SUBSTITUTE(C110,""Sell_"",""""))-COUNTIF(C$4:C109,C110)&lt;1,1),FALSE))))"),FALSE)</f>
        <v>0</v>
      </c>
      <c r="E110" s="59">
        <f t="array" ref="E110">IF(COUNTA(C110:C1350)=0,"",SUM((COUNTIF(C$4:C110,Upgrades!$B$3:$B$13)-COUNTIF(C$4:C110,"Sell_"&amp;Upgrades!$B$3:$B$13))*Upgrades!$D$3:$D$13))</f>
        <v>106415.5</v>
      </c>
      <c r="F110" s="66">
        <f>IFERROR(__xludf.DUMMYFUNCTION("IF(COUNTA(C110:C1350)=0,"""",IF(REGEXMATCH(INDEX(FILTER(C$4:C110,C$4:C110&lt;&gt;""""),ROWS(FILTER(C$4:C110,C$4:C110&lt;&gt;""""))),""^Sell_""),INDEX(FILTER(F$4:F109,C$4:C109&lt;&gt;""""),ROWS(FILTER(C$4:C109,C$4:C109&lt;&gt;""""))),$AC$5+E110))"),106615.5)</f>
        <v>106615.5</v>
      </c>
      <c r="G110" s="10">
        <f>IFERROR(__xludf.DUMMYFUNCTION("IF(COUNTA(C110:C1350)=0,"""",IF(C110="""",0,IF(REGEXMATCH(C110,""^Sell_""),-ROUNDDOWN(ROUNDUP(INDEX(Upgrades!$C$3:$C$13,MATCH(SUBSTITUTE(C110,""Sell_"",""""),Upgrades!$B$3:$B$13,0))*1.15^(COUNTIF(C$4:C109,SUBSTITUTE(C110,""Sell_"",""""))-COUNTIF(C$4:C109,"&amp;"""Sell_""&amp;SUBSTITUTE(C110,""Sell_"",""""))))/2),ROUNDUP(INDEX(Upgrades!$C$3:$C$13,MATCH(C110,Upgrades!$B$3:$B$13,0))*1.15^(COUNTIF(C$4:C109,C110)-COUNTIF(C$4:C109,""Sell_""&amp;C110))))))"),1.1792839E7)</f>
        <v>11792839</v>
      </c>
      <c r="H110" s="10">
        <f t="shared" si="3"/>
        <v>11792839</v>
      </c>
      <c r="I110" s="68">
        <f t="shared" si="4"/>
        <v>3561.256528</v>
      </c>
      <c r="J110" s="59" t="str">
        <f t="shared" si="5"/>
        <v>59m 21s</v>
      </c>
      <c r="K110" s="69">
        <f t="shared" si="6"/>
        <v>85981141</v>
      </c>
      <c r="L110" s="60">
        <f t="shared" si="7"/>
        <v>-152.74296</v>
      </c>
      <c r="M110" s="61">
        <f>IFERROR(__xludf.DUMMYFUNCTION("IFS(AND(COUNTA(C110:C1350)=0,COUNTA(Q110:Q1350)=0),"""",OR(AND(K110&gt;=1000000000,OR(Y110&gt;=1000000000,COUNTA(Q110:Q1350)=0)),OR(Y110&gt;=1000000000,AND(COUNTA(C110:C1350)=0,P$3=TRUE))),
ROUNDDOWN((AB$1-AC$1)*MAX(INDEX(T$4:T1350,MATCH(LARGE(FILTER(Y$4:Y1350,Y$4"&amp;":Y1350&lt;1000000000),1),Y$4:Y1350)),INDEX(F$4:F1350,MATCH(LARGE(FILTER(K$4:K1350,K$4:K1350&lt;1000000000),1),K$4:K1350)))),AND(K110&lt;1000000000,COUNTA(C110:C1350)&gt;0,P$3=FALSE),
ROUNDDOWN(INDEX(Y$4:Y1350,MATCH(LARGE(FILTER(W$4:W1350,W$4:W1350&lt;=I110),1),W$4:W1350"&amp;"))+(I110-LARGE(FILTER(W$4:W1350,W$4:W1350&lt;=I110),1))*INDEX(T$4:T1350,MATCH(LARGE(FILTER(W$4:W1350,W$4:W1350&lt;=I110),1),W$4:W1350))-K110),1,
ROUNDDOWN(Y110-INDEX(K$4:K1350,MATCH(LARGE(FILTER(I$4:I1350,I$4:I1350&lt;=W110),1),I$4:I1350))-(W110-LARGE(FILTER(I$4:I"&amp;"1350,I$4:I1350&lt;=W110),1))*INDEX(F$4:F1350,MATCH(LARGE(FILTER(I$4:I1350,I$4:I1350&lt;=W110),1),I$4:I1350))))"),1.6408497E7)</f>
        <v>16408497</v>
      </c>
      <c r="N110" s="60">
        <f t="shared" si="8"/>
        <v>-152.74296</v>
      </c>
      <c r="O110" s="61" t="str">
        <f t="shared" si="9"/>
        <v>16,4M</v>
      </c>
      <c r="P110" s="56">
        <f t="shared" si="10"/>
        <v>2</v>
      </c>
      <c r="Q110" s="67" t="s">
        <v>7</v>
      </c>
      <c r="R110" s="10" t="b">
        <f>IFERROR(__xludf.DUMMYFUNCTION("IF(COUNTA(Q110:Q1350)=0,"""",IF(ISBLANK(Q110),FALSE,IF(NOT(COUNTIF($AA$24:$AA$34,SUBSTITUTE(Q110,""Sell_"",""""))),1,IF(REGEXMATCH(Q110,""Sell_""),IF(COUNTIF(Q$4:Q110,SUBSTITUTE(Q110,""Sell_"",""""))-COUNTIF(Q$4:Q109,Q110)&lt;1,1),FALSE))))"),FALSE)</f>
        <v>0</v>
      </c>
      <c r="S110" s="59">
        <f t="array" ref="S110">IF(COUNTA(Q110:Q1350)=0,"",SUM((COUNTIF(Q$4:Q110,Upgrades!$B$3:$B$13)-COUNTIF(Q$4:Q110,"Sell_"&amp;Upgrades!$B$3:$B$13))*Upgrades!$D$3:$D$13))</f>
        <v>13554.8</v>
      </c>
      <c r="T110" s="66">
        <f>IFERROR(__xludf.DUMMYFUNCTION("IF(COUNTA(Q110:Q1350)=0,"""",IF(REGEXMATCH(INDEX(FILTER(Q$4:Q110,Q$4:Q110&lt;&gt;""""),ROWS(FILTER(Q$4:Q110,Q$4:Q110&lt;&gt;""""))),""^Sell_""),INDEX(FILTER(T$4:T109,Q$4:Q109&lt;&gt;""""),ROWS(FILTER(Q$4:Q109,Q$4:Q109&lt;&gt;""""))),$AD$5+S110))"),13754.8)</f>
        <v>13754.8</v>
      </c>
      <c r="U110" s="10">
        <f>IFERROR(__xludf.DUMMYFUNCTION("IF(COUNTA(Q110:Q1350)=0,"""",IF(Q110="""",0,IF(REGEXMATCH(Q110,""^Sell_""),-ROUNDDOWN(ROUNDUP(INDEX(Upgrades!$C$3:$C$13,MATCH(SUBSTITUTE(Q110,""Sell_"",""""),Upgrades!$B$3:$B$13,0))*1.15^(COUNTIF(Q$4:Q109,SUBSTITUTE(Q110,""Sell_"",""""))-COUNTIF(Q$4:Q109,"&amp;"""Sell_""&amp;SUBSTITUTE(Q110,""Sell_"",""""))))/2),ROUNDUP(INDEX(Upgrades!$C$3:$C$13,MATCH(Q110,Upgrades!$B$3:$B$13,0))*1.15^(COUNTIF(Q$4:Q109,Q110)-COUNTIF(Q$4:Q109,""Sell_""&amp;Q110))))))"),11500.0)</f>
        <v>11500</v>
      </c>
      <c r="V110" s="10">
        <f t="shared" si="11"/>
        <v>11500</v>
      </c>
      <c r="W110" s="68">
        <f t="shared" si="12"/>
        <v>1937.761146</v>
      </c>
      <c r="X110" s="59" t="str">
        <f t="shared" si="13"/>
        <v>32m 17s</v>
      </c>
      <c r="Y110" s="69">
        <f t="shared" si="14"/>
        <v>4354622</v>
      </c>
      <c r="Z110" s="11"/>
    </row>
    <row r="111">
      <c r="A111" s="8"/>
      <c r="B111" s="56">
        <f t="shared" si="2"/>
        <v>12</v>
      </c>
      <c r="C111" s="57" t="s">
        <v>9</v>
      </c>
      <c r="D111" s="10" t="b">
        <f>IFERROR(__xludf.DUMMYFUNCTION("IF(COUNTA(C111:C1350)=0,"""",IF(ISBLANK(C111),FALSE,IF(NOT(COUNTIF($AA$24:$AA$34,SUBSTITUTE(C111,""Sell_"",""""))),1,IF(REGEXMATCH(C111,""Sell_""),IF(COUNTIF(C$4:C111,SUBSTITUTE(C111,""Sell_"",""""))-COUNTIF(C$4:C110,C111)&lt;1,1),FALSE))))"),FALSE)</f>
        <v>0</v>
      </c>
      <c r="E111" s="59">
        <f t="array" ref="E111">IF(COUNTA(C111:C1350)=0,"",SUM((COUNTIF(C$4:C111,Upgrades!$B$3:$B$13)-COUNTIF(C$4:C111,"Sell_"&amp;Upgrades!$B$3:$B$13))*Upgrades!$D$3:$D$13))</f>
        <v>106815.5</v>
      </c>
      <c r="F111" s="66">
        <f>IFERROR(__xludf.DUMMYFUNCTION("IF(COUNTA(C111:C1350)=0,"""",IF(REGEXMATCH(INDEX(FILTER(C$4:C111,C$4:C111&lt;&gt;""""),ROWS(FILTER(C$4:C111,C$4:C111&lt;&gt;""""))),""^Sell_""),INDEX(FILTER(F$4:F110,C$4:C110&lt;&gt;""""),ROWS(FILTER(C$4:C110,C$4:C110&lt;&gt;""""))),$AC$5+E111))"),107015.5)</f>
        <v>107015.5</v>
      </c>
      <c r="G111" s="10">
        <f>IFERROR(__xludf.DUMMYFUNCTION("IF(COUNTA(C111:C1350)=0,"""",IF(C111="""",0,IF(REGEXMATCH(C111,""^Sell_""),-ROUNDDOWN(ROUNDUP(INDEX(Upgrades!$C$3:$C$13,MATCH(SUBSTITUTE(C111,""Sell_"",""""),Upgrades!$B$3:$B$13,0))*1.15^(COUNTIF(C$4:C110,SUBSTITUTE(C111,""Sell_"",""""))-COUNTIF(C$4:C110,"&amp;"""Sell_""&amp;SUBSTITUTE(C111,""Sell_"",""""))))/2),ROUNDUP(INDEX(Upgrades!$C$3:$C$13,MATCH(C111,Upgrades!$B$3:$B$13,0))*1.15^(COUNTIF(C$4:C110,C111)-COUNTIF(C$4:C110,""Sell_""&amp;C111))))))"),930479.0)</f>
        <v>930479</v>
      </c>
      <c r="H111" s="10">
        <f t="shared" si="3"/>
        <v>930479</v>
      </c>
      <c r="I111" s="68">
        <f t="shared" si="4"/>
        <v>3569.983955</v>
      </c>
      <c r="J111" s="59" t="str">
        <f t="shared" si="5"/>
        <v>59m 29s</v>
      </c>
      <c r="K111" s="69">
        <f t="shared" si="6"/>
        <v>86911620</v>
      </c>
      <c r="L111" s="60">
        <f t="shared" si="7"/>
        <v>-152.71706</v>
      </c>
      <c r="M111" s="61">
        <f>IFERROR(__xludf.DUMMYFUNCTION("IFS(AND(COUNTA(C111:C1350)=0,COUNTA(Q111:Q1350)=0),"""",OR(AND(K111&gt;=1000000000,OR(Y111&gt;=1000000000,COUNTA(Q111:Q1350)=0)),OR(Y111&gt;=1000000000,AND(COUNTA(C111:C1350)=0,P$3=TRUE))),
ROUNDDOWN((AB$1-AC$1)*MAX(INDEX(T$4:T1350,MATCH(LARGE(FILTER(Y$4:Y1350,Y$4"&amp;":Y1350&lt;1000000000),1),Y$4:Y1350)),INDEX(F$4:F1350,MATCH(LARGE(FILTER(K$4:K1350,K$4:K1350&lt;1000000000),1),K$4:K1350)))),AND(K111&lt;1000000000,COUNTA(C111:C1350)&gt;0,P$3=FALSE),
ROUNDDOWN(INDEX(Y$4:Y1350,MATCH(LARGE(FILTER(W$4:W1350,W$4:W1350&lt;=I111),1),W$4:W1350"&amp;"))+(I111-LARGE(FILTER(W$4:W1350,W$4:W1350&lt;=I111),1))*INDEX(T$4:T1350,MATCH(LARGE(FILTER(W$4:W1350,W$4:W1350&lt;=I111),1),W$4:W1350))-K111),1,
ROUNDDOWN(Y111-INDEX(K$4:K1350,MATCH(LARGE(FILTER(I$4:I1350,I$4:I1350&lt;=W111),1),I$4:I1350))-(W111-LARGE(FILTER(I$4:I"&amp;"1350,I$4:I1350&lt;=W111),1))*INDEX(F$4:F1350,MATCH(LARGE(FILTER(I$4:I1350,I$4:I1350&lt;=W111),1),I$4:I1350))))"),1.6468066E7)</f>
        <v>16468066</v>
      </c>
      <c r="N111" s="60">
        <f t="shared" si="8"/>
        <v>-152.71706</v>
      </c>
      <c r="O111" s="61" t="str">
        <f t="shared" si="9"/>
        <v>16,5M</v>
      </c>
      <c r="P111" s="56">
        <f t="shared" si="10"/>
        <v>3</v>
      </c>
      <c r="Q111" s="67" t="s">
        <v>7</v>
      </c>
      <c r="R111" s="10" t="b">
        <f>IFERROR(__xludf.DUMMYFUNCTION("IF(COUNTA(Q111:Q1350)=0,"""",IF(ISBLANK(Q111),FALSE,IF(NOT(COUNTIF($AA$24:$AA$34,SUBSTITUTE(Q111,""Sell_"",""""))),1,IF(REGEXMATCH(Q111,""Sell_""),IF(COUNTIF(Q$4:Q111,SUBSTITUTE(Q111,""Sell_"",""""))-COUNTIF(Q$4:Q110,Q111)&lt;1,1),FALSE))))"),FALSE)</f>
        <v>0</v>
      </c>
      <c r="S111" s="59">
        <f t="array" ref="S111">IF(COUNTA(Q111:Q1350)=0,"",SUM((COUNTIF(Q$4:Q111,Upgrades!$B$3:$B$13)-COUNTIF(Q$4:Q111,"Sell_"&amp;Upgrades!$B$3:$B$13))*Upgrades!$D$3:$D$13))</f>
        <v>13594.8</v>
      </c>
      <c r="T111" s="66">
        <f>IFERROR(__xludf.DUMMYFUNCTION("IF(COUNTA(Q111:Q1350)=0,"""",IF(REGEXMATCH(INDEX(FILTER(Q$4:Q111,Q$4:Q111&lt;&gt;""""),ROWS(FILTER(Q$4:Q111,Q$4:Q111&lt;&gt;""""))),""^Sell_""),INDEX(FILTER(T$4:T110,Q$4:Q110&lt;&gt;""""),ROWS(FILTER(Q$4:Q110,Q$4:Q110&lt;&gt;""""))),$AD$5+S111))"),13794.8)</f>
        <v>13794.8</v>
      </c>
      <c r="U111" s="10">
        <f>IFERROR(__xludf.DUMMYFUNCTION("IF(COUNTA(Q111:Q1350)=0,"""",IF(Q111="""",0,IF(REGEXMATCH(Q111,""^Sell_""),-ROUNDDOWN(ROUNDUP(INDEX(Upgrades!$C$3:$C$13,MATCH(SUBSTITUTE(Q111,""Sell_"",""""),Upgrades!$B$3:$B$13,0))*1.15^(COUNTIF(Q$4:Q110,SUBSTITUTE(Q111,""Sell_"",""""))-COUNTIF(Q$4:Q110,"&amp;"""Sell_""&amp;SUBSTITUTE(Q111,""Sell_"",""""))))/2),ROUNDUP(INDEX(Upgrades!$C$3:$C$13,MATCH(Q111,Upgrades!$B$3:$B$13,0))*1.15^(COUNTIF(Q$4:Q110,Q111)-COUNTIF(Q$4:Q110,""Sell_""&amp;Q111))))))"),13225.0)</f>
        <v>13225</v>
      </c>
      <c r="V111" s="10">
        <f t="shared" si="11"/>
        <v>13225</v>
      </c>
      <c r="W111" s="68">
        <f t="shared" si="12"/>
        <v>1938.722628</v>
      </c>
      <c r="X111" s="59" t="str">
        <f t="shared" si="13"/>
        <v>32m 18s</v>
      </c>
      <c r="Y111" s="69">
        <f t="shared" si="14"/>
        <v>4367847</v>
      </c>
      <c r="Z111" s="11"/>
    </row>
    <row r="112">
      <c r="A112" s="8"/>
      <c r="B112" s="56">
        <f t="shared" si="2"/>
        <v>13</v>
      </c>
      <c r="C112" s="57" t="s">
        <v>8</v>
      </c>
      <c r="D112" s="10" t="b">
        <f>IFERROR(__xludf.DUMMYFUNCTION("IF(COUNTA(C112:C1350)=0,"""",IF(ISBLANK(C112),FALSE,IF(NOT(COUNTIF($AA$24:$AA$34,SUBSTITUTE(C112,""Sell_"",""""))),1,IF(REGEXMATCH(C112,""Sell_""),IF(COUNTIF(C$4:C112,SUBSTITUTE(C112,""Sell_"",""""))-COUNTIF(C$4:C111,C112)&lt;1,1),FALSE))))"),FALSE)</f>
        <v>0</v>
      </c>
      <c r="E112" s="59">
        <f t="array" ref="E112">IF(COUNTA(C112:C1350)=0,"",SUM((COUNTIF(C$4:C112,Upgrades!$B$3:$B$13)-COUNTIF(C$4:C112,"Sell_"&amp;Upgrades!$B$3:$B$13))*Upgrades!$D$3:$D$13))</f>
        <v>106915.5</v>
      </c>
      <c r="F112" s="66">
        <f>IFERROR(__xludf.DUMMYFUNCTION("IF(COUNTA(C112:C1350)=0,"""",IF(REGEXMATCH(INDEX(FILTER(C$4:C112,C$4:C112&lt;&gt;""""),ROWS(FILTER(C$4:C112,C$4:C112&lt;&gt;""""))),""^Sell_""),INDEX(FILTER(F$4:F111,C$4:C111&lt;&gt;""""),ROWS(FILTER(C$4:C111,C$4:C111&lt;&gt;""""))),$AC$5+E112))"),107115.5)</f>
        <v>107115.5</v>
      </c>
      <c r="G112" s="10">
        <f>IFERROR(__xludf.DUMMYFUNCTION("IF(COUNTA(C112:C1350)=0,"""",IF(C112="""",0,IF(REGEXMATCH(C112,""^Sell_""),-ROUNDDOWN(ROUNDUP(INDEX(Upgrades!$C$3:$C$13,MATCH(SUBSTITUTE(C112,""Sell_"",""""),Upgrades!$B$3:$B$13,0))*1.15^(COUNTIF(C$4:C111,SUBSTITUTE(C112,""Sell_"",""""))-COUNTIF(C$4:C111,"&amp;"""Sell_""&amp;SUBSTITUTE(C112,""Sell_"",""""))))/2),ROUNDUP(INDEX(Upgrades!$C$3:$C$13,MATCH(C112,Upgrades!$B$3:$B$13,0))*1.15^(COUNTIF(C$4:C111,C112)-COUNTIF(C$4:C111,""Sell_""&amp;C112))))))"),214011.0)</f>
        <v>214011</v>
      </c>
      <c r="H112" s="10">
        <f t="shared" si="3"/>
        <v>214011</v>
      </c>
      <c r="I112" s="68">
        <f t="shared" si="4"/>
        <v>3571.983768</v>
      </c>
      <c r="J112" s="59" t="str">
        <f t="shared" si="5"/>
        <v>59m 31s</v>
      </c>
      <c r="K112" s="69">
        <f t="shared" si="6"/>
        <v>87125631</v>
      </c>
      <c r="L112" s="60">
        <f t="shared" si="7"/>
        <v>-152.71122</v>
      </c>
      <c r="M112" s="61">
        <f>IFERROR(__xludf.DUMMYFUNCTION("IFS(AND(COUNTA(C112:C1350)=0,COUNTA(Q112:Q1350)=0),"""",OR(AND(K112&gt;=1000000000,OR(Y112&gt;=1000000000,COUNTA(Q112:Q1350)=0)),OR(Y112&gt;=1000000000,AND(COUNTA(C112:C1350)=0,P$3=TRUE))),
ROUNDDOWN((AB$1-AC$1)*MAX(INDEX(T$4:T1350,MATCH(LARGE(FILTER(Y$4:Y1350,Y$4"&amp;":Y1350&lt;1000000000),1),Y$4:Y1350)),INDEX(F$4:F1350,MATCH(LARGE(FILTER(K$4:K1350,K$4:K1350&lt;1000000000),1),K$4:K1350)))),AND(K112&lt;1000000000,COUNTA(C112:C1350)&gt;0,P$3=FALSE),
ROUNDDOWN(INDEX(Y$4:Y1350,MATCH(LARGE(FILTER(W$4:W1350,W$4:W1350&lt;=I112),1),W$4:W1350"&amp;"))+(I112-LARGE(FILTER(W$4:W1350,W$4:W1350&lt;=I112),1))*INDEX(T$4:T1350,MATCH(LARGE(FILTER(W$4:W1350,W$4:W1350&lt;=I112),1),W$4:W1350))-K112),1,
ROUNDDOWN(Y112-INDEX(K$4:K1350,MATCH(LARGE(FILTER(I$4:I1350,I$4:I1350&lt;=W112),1),I$4:I1350))-(W112-LARGE(FILTER(I$4:I"&amp;"1350,I$4:I1350&lt;=W112),1))*INDEX(F$4:F1350,MATCH(LARGE(FILTER(I$4:I1350,I$4:I1350&lt;=W112),1),I$4:I1350))))"),1.6480916E7)</f>
        <v>16480916</v>
      </c>
      <c r="N112" s="60">
        <f t="shared" si="8"/>
        <v>-152.71122</v>
      </c>
      <c r="O112" s="61" t="str">
        <f t="shared" si="9"/>
        <v>16,5M</v>
      </c>
      <c r="P112" s="56">
        <f t="shared" si="10"/>
        <v>4</v>
      </c>
      <c r="Q112" s="67" t="s">
        <v>7</v>
      </c>
      <c r="R112" s="10" t="b">
        <f>IFERROR(__xludf.DUMMYFUNCTION("IF(COUNTA(Q112:Q1350)=0,"""",IF(ISBLANK(Q112),FALSE,IF(NOT(COUNTIF($AA$24:$AA$34,SUBSTITUTE(Q112,""Sell_"",""""))),1,IF(REGEXMATCH(Q112,""Sell_""),IF(COUNTIF(Q$4:Q112,SUBSTITUTE(Q112,""Sell_"",""""))-COUNTIF(Q$4:Q111,Q112)&lt;1,1),FALSE))))"),FALSE)</f>
        <v>0</v>
      </c>
      <c r="S112" s="59">
        <f t="array" ref="S112">IF(COUNTA(Q112:Q1350)=0,"",SUM((COUNTIF(Q$4:Q112,Upgrades!$B$3:$B$13)-COUNTIF(Q$4:Q112,"Sell_"&amp;Upgrades!$B$3:$B$13))*Upgrades!$D$3:$D$13))</f>
        <v>13634.8</v>
      </c>
      <c r="T112" s="66">
        <f>IFERROR(__xludf.DUMMYFUNCTION("IF(COUNTA(Q112:Q1350)=0,"""",IF(REGEXMATCH(INDEX(FILTER(Q$4:Q112,Q$4:Q112&lt;&gt;""""),ROWS(FILTER(Q$4:Q112,Q$4:Q112&lt;&gt;""""))),""^Sell_""),INDEX(FILTER(T$4:T111,Q$4:Q111&lt;&gt;""""),ROWS(FILTER(Q$4:Q111,Q$4:Q111&lt;&gt;""""))),$AD$5+S112))"),13834.8)</f>
        <v>13834.8</v>
      </c>
      <c r="U112" s="10">
        <f>IFERROR(__xludf.DUMMYFUNCTION("IF(COUNTA(Q112:Q1350)=0,"""",IF(Q112="""",0,IF(REGEXMATCH(Q112,""^Sell_""),-ROUNDDOWN(ROUNDUP(INDEX(Upgrades!$C$3:$C$13,MATCH(SUBSTITUTE(Q112,""Sell_"",""""),Upgrades!$B$3:$B$13,0))*1.15^(COUNTIF(Q$4:Q111,SUBSTITUTE(Q112,""Sell_"",""""))-COUNTIF(Q$4:Q111,"&amp;"""Sell_""&amp;SUBSTITUTE(Q112,""Sell_"",""""))))/2),ROUNDUP(INDEX(Upgrades!$C$3:$C$13,MATCH(Q112,Upgrades!$B$3:$B$13,0))*1.15^(COUNTIF(Q$4:Q111,Q112)-COUNTIF(Q$4:Q111,""Sell_""&amp;Q112))))))"),15209.0)</f>
        <v>15209</v>
      </c>
      <c r="V112" s="10">
        <f t="shared" si="11"/>
        <v>15209</v>
      </c>
      <c r="W112" s="68">
        <f t="shared" si="12"/>
        <v>1939.825145</v>
      </c>
      <c r="X112" s="59" t="str">
        <f t="shared" si="13"/>
        <v>32m 19s</v>
      </c>
      <c r="Y112" s="69">
        <f t="shared" si="14"/>
        <v>4383056</v>
      </c>
      <c r="Z112" s="11"/>
    </row>
    <row r="113">
      <c r="A113" s="8"/>
      <c r="B113" s="56">
        <f t="shared" si="2"/>
        <v>15</v>
      </c>
      <c r="C113" s="57" t="s">
        <v>6</v>
      </c>
      <c r="D113" s="10" t="b">
        <f>IFERROR(__xludf.DUMMYFUNCTION("IF(COUNTA(C113:C1350)=0,"""",IF(ISBLANK(C113),FALSE,IF(NOT(COUNTIF($AA$24:$AA$34,SUBSTITUTE(C113,""Sell_"",""""))),1,IF(REGEXMATCH(C113,""Sell_""),IF(COUNTIF(C$4:C113,SUBSTITUTE(C113,""Sell_"",""""))-COUNTIF(C$4:C112,C113)&lt;1,1),FALSE))))"),FALSE)</f>
        <v>0</v>
      </c>
      <c r="E113" s="59">
        <f t="array" ref="E113">IF(COUNTA(C113:C1350)=0,"",SUM((COUNTIF(C$4:C113,Upgrades!$B$3:$B$13)-COUNTIF(C$4:C113,"Sell_"&amp;Upgrades!$B$3:$B$13))*Upgrades!$D$3:$D$13))</f>
        <v>106925.5</v>
      </c>
      <c r="F113" s="66">
        <f>IFERROR(__xludf.DUMMYFUNCTION("IF(COUNTA(C113:C1350)=0,"""",IF(REGEXMATCH(INDEX(FILTER(C$4:C113,C$4:C113&lt;&gt;""""),ROWS(FILTER(C$4:C113,C$4:C113&lt;&gt;""""))),""^Sell_""),INDEX(FILTER(F$4:F112,C$4:C112&lt;&gt;""""),ROWS(FILTER(C$4:C112,C$4:C112&lt;&gt;""""))),$AC$5+E113))"),107125.5)</f>
        <v>107125.5</v>
      </c>
      <c r="G113" s="10">
        <f>IFERROR(__xludf.DUMMYFUNCTION("IF(COUNTA(C113:C1350)=0,"""",IF(C113="""",0,IF(REGEXMATCH(C113,""^Sell_""),-ROUNDDOWN(ROUNDUP(INDEX(Upgrades!$C$3:$C$13,MATCH(SUBSTITUTE(C113,""Sell_"",""""),Upgrades!$B$3:$B$13,0))*1.15^(COUNTIF(C$4:C112,SUBSTITUTE(C113,""Sell_"",""""))-COUNTIF(C$4:C112,"&amp;"""Sell_""&amp;SUBSTITUTE(C113,""Sell_"",""""))))/2),ROUNDUP(INDEX(Upgrades!$C$3:$C$13,MATCH(C113,Upgrades!$B$3:$B$13,0))*1.15^(COUNTIF(C$4:C112,C113)-COUNTIF(C$4:C112,""Sell_""&amp;C113))))))"),21228.0)</f>
        <v>21228</v>
      </c>
      <c r="H113" s="10">
        <f t="shared" si="3"/>
        <v>21228</v>
      </c>
      <c r="I113" s="68">
        <f t="shared" si="4"/>
        <v>3572.181946</v>
      </c>
      <c r="J113" s="59" t="str">
        <f t="shared" si="5"/>
        <v>59m 32s</v>
      </c>
      <c r="K113" s="69">
        <f t="shared" si="6"/>
        <v>87146859</v>
      </c>
      <c r="L113" s="60">
        <f t="shared" si="7"/>
        <v>-152.71059</v>
      </c>
      <c r="M113" s="61">
        <f>IFERROR(__xludf.DUMMYFUNCTION("IFS(AND(COUNTA(C113:C1350)=0,COUNTA(Q113:Q1350)=0),"""",OR(AND(K113&gt;=1000000000,OR(Y113&gt;=1000000000,COUNTA(Q113:Q1350)=0)),OR(Y113&gt;=1000000000,AND(COUNTA(C113:C1350)=0,P$3=TRUE))),
ROUNDDOWN((AB$1-AC$1)*MAX(INDEX(T$4:T1350,MATCH(LARGE(FILTER(Y$4:Y1350,Y$4"&amp;":Y1350&lt;1000000000),1),Y$4:Y1350)),INDEX(F$4:F1350,MATCH(LARGE(FILTER(K$4:K1350,K$4:K1350&lt;1000000000),1),K$4:K1350)))),AND(K113&lt;1000000000,COUNTA(C113:C1350)&gt;0,P$3=FALSE),
ROUNDDOWN(INDEX(Y$4:Y1350,MATCH(LARGE(FILTER(W$4:W1350,W$4:W1350&lt;=I113),1),W$4:W1350"&amp;"))+(I113-LARGE(FILTER(W$4:W1350,W$4:W1350&lt;=I113),1))*INDEX(T$4:T1350,MATCH(LARGE(FILTER(W$4:W1350,W$4:W1350&lt;=I113),1),W$4:W1350))-K113),1,
ROUNDDOWN(Y113-INDEX(K$4:K1350,MATCH(LARGE(FILTER(I$4:I1350,I$4:I1350&lt;=W113),1),I$4:I1350))-(W113-LARGE(FILTER(I$4:I"&amp;"1350,I$4:I1350&lt;=W113),1))*INDEX(F$4:F1350,MATCH(LARGE(FILTER(I$4:I1350,I$4:I1350&lt;=W113),1),I$4:I1350))))"),1.6482169E7)</f>
        <v>16482169</v>
      </c>
      <c r="N113" s="60">
        <f t="shared" si="8"/>
        <v>-152.71059</v>
      </c>
      <c r="O113" s="61" t="str">
        <f t="shared" si="9"/>
        <v>16,5M</v>
      </c>
      <c r="P113" s="56">
        <f t="shared" si="10"/>
        <v>1</v>
      </c>
      <c r="Q113" s="67" t="s">
        <v>8</v>
      </c>
      <c r="R113" s="10" t="b">
        <f>IFERROR(__xludf.DUMMYFUNCTION("IF(COUNTA(Q113:Q1350)=0,"""",IF(ISBLANK(Q113),FALSE,IF(NOT(COUNTIF($AA$24:$AA$34,SUBSTITUTE(Q113,""Sell_"",""""))),1,IF(REGEXMATCH(Q113,""Sell_""),IF(COUNTIF(Q$4:Q113,SUBSTITUTE(Q113,""Sell_"",""""))-COUNTIF(Q$4:Q112,Q113)&lt;1,1),FALSE))))"),FALSE)</f>
        <v>0</v>
      </c>
      <c r="S113" s="59">
        <f t="array" ref="S113">IF(COUNTA(Q113:Q1350)=0,"",SUM((COUNTIF(Q$4:Q113,Upgrades!$B$3:$B$13)-COUNTIF(Q$4:Q113,"Sell_"&amp;Upgrades!$B$3:$B$13))*Upgrades!$D$3:$D$13))</f>
        <v>13734.8</v>
      </c>
      <c r="T113" s="66">
        <f>IFERROR(__xludf.DUMMYFUNCTION("IF(COUNTA(Q113:Q1350)=0,"""",IF(REGEXMATCH(INDEX(FILTER(Q$4:Q113,Q$4:Q113&lt;&gt;""""),ROWS(FILTER(Q$4:Q113,Q$4:Q113&lt;&gt;""""))),""^Sell_""),INDEX(FILTER(T$4:T112,Q$4:Q112&lt;&gt;""""),ROWS(FILTER(Q$4:Q112,Q$4:Q112&lt;&gt;""""))),$AD$5+S113))"),13934.8)</f>
        <v>13934.8</v>
      </c>
      <c r="U113" s="10">
        <f>IFERROR(__xludf.DUMMYFUNCTION("IF(COUNTA(Q113:Q1350)=0,"""",IF(Q113="""",0,IF(REGEXMATCH(Q113,""^Sell_""),-ROUNDDOWN(ROUNDUP(INDEX(Upgrades!$C$3:$C$13,MATCH(SUBSTITUTE(Q113,""Sell_"",""""),Upgrades!$B$3:$B$13,0))*1.15^(COUNTIF(Q$4:Q112,SUBSTITUTE(Q113,""Sell_"",""""))-COUNTIF(Q$4:Q112,"&amp;"""Sell_""&amp;SUBSTITUTE(Q113,""Sell_"",""""))))/2),ROUNDUP(INDEX(Upgrades!$C$3:$C$13,MATCH(Q113,Upgrades!$B$3:$B$13,0))*1.15^(COUNTIF(Q$4:Q112,Q113)-COUNTIF(Q$4:Q112,""Sell_""&amp;Q113))))))"),40000.0)</f>
        <v>40000</v>
      </c>
      <c r="V113" s="10">
        <f t="shared" si="11"/>
        <v>40000</v>
      </c>
      <c r="W113" s="68">
        <f t="shared" si="12"/>
        <v>1942.716405</v>
      </c>
      <c r="X113" s="59" t="str">
        <f t="shared" si="13"/>
        <v>32m 22s</v>
      </c>
      <c r="Y113" s="69">
        <f t="shared" si="14"/>
        <v>4423056</v>
      </c>
      <c r="Z113" s="11"/>
    </row>
    <row r="114">
      <c r="A114" s="8"/>
      <c r="B114" s="56">
        <f t="shared" si="2"/>
        <v>16</v>
      </c>
      <c r="C114" s="57" t="s">
        <v>7</v>
      </c>
      <c r="D114" s="10" t="b">
        <f>IFERROR(__xludf.DUMMYFUNCTION("IF(COUNTA(C114:C1350)=0,"""",IF(ISBLANK(C114),FALSE,IF(NOT(COUNTIF($AA$24:$AA$34,SUBSTITUTE(C114,""Sell_"",""""))),1,IF(REGEXMATCH(C114,""Sell_""),IF(COUNTIF(C$4:C114,SUBSTITUTE(C114,""Sell_"",""""))-COUNTIF(C$4:C113,C114)&lt;1,1),FALSE))))"),FALSE)</f>
        <v>0</v>
      </c>
      <c r="E114" s="59">
        <f t="array" ref="E114">IF(COUNTA(C114:C1350)=0,"",SUM((COUNTIF(C$4:C114,Upgrades!$B$3:$B$13)-COUNTIF(C$4:C114,"Sell_"&amp;Upgrades!$B$3:$B$13))*Upgrades!$D$3:$D$13))</f>
        <v>106965.5</v>
      </c>
      <c r="F114" s="66">
        <f>IFERROR(__xludf.DUMMYFUNCTION("IF(COUNTA(C114:C1350)=0,"""",IF(REGEXMATCH(INDEX(FILTER(C$4:C114,C$4:C114&lt;&gt;""""),ROWS(FILTER(C$4:C114,C$4:C114&lt;&gt;""""))),""^Sell_""),INDEX(FILTER(F$4:F113,C$4:C113&lt;&gt;""""),ROWS(FILTER(C$4:C113,C$4:C113&lt;&gt;""""))),$AC$5+E114))"),107165.5)</f>
        <v>107165.5</v>
      </c>
      <c r="G114" s="10">
        <f>IFERROR(__xludf.DUMMYFUNCTION("IF(COUNTA(C114:C1350)=0,"""",IF(C114="""",0,IF(REGEXMATCH(C114,""^Sell_""),-ROUNDDOWN(ROUNDUP(INDEX(Upgrades!$C$3:$C$13,MATCH(SUBSTITUTE(C114,""Sell_"",""""),Upgrades!$B$3:$B$13,0))*1.15^(COUNTIF(C$4:C113,SUBSTITUTE(C114,""Sell_"",""""))-COUNTIF(C$4:C113,"&amp;"""Sell_""&amp;SUBSTITUTE(C114,""Sell_"",""""))))/2),ROUNDUP(INDEX(Upgrades!$C$3:$C$13,MATCH(C114,Upgrades!$B$3:$B$13,0))*1.15^(COUNTIF(C$4:C113,C114)-COUNTIF(C$4:C113,""Sell_""&amp;C114))))))"),81371.0)</f>
        <v>81371</v>
      </c>
      <c r="H114" s="10">
        <f t="shared" si="3"/>
        <v>81371</v>
      </c>
      <c r="I114" s="68">
        <f t="shared" si="4"/>
        <v>3572.941532</v>
      </c>
      <c r="J114" s="59" t="str">
        <f t="shared" si="5"/>
        <v>59m 32s</v>
      </c>
      <c r="K114" s="69">
        <f t="shared" si="6"/>
        <v>87228230</v>
      </c>
      <c r="L114" s="60">
        <f t="shared" si="7"/>
        <v>-152.70809</v>
      </c>
      <c r="M114" s="61">
        <f>IFERROR(__xludf.DUMMYFUNCTION("IFS(AND(COUNTA(C114:C1350)=0,COUNTA(Q114:Q1350)=0),"""",OR(AND(K114&gt;=1000000000,OR(Y114&gt;=1000000000,COUNTA(Q114:Q1350)=0)),OR(Y114&gt;=1000000000,AND(COUNTA(C114:C1350)=0,P$3=TRUE))),
ROUNDDOWN((AB$1-AC$1)*MAX(INDEX(T$4:T1350,MATCH(LARGE(FILTER(Y$4:Y1350,Y$4"&amp;":Y1350&lt;1000000000),1),Y$4:Y1350)),INDEX(F$4:F1350,MATCH(LARGE(FILTER(K$4:K1350,K$4:K1350&lt;1000000000),1),K$4:K1350)))),AND(K114&lt;1000000000,COUNTA(C114:C1350)&gt;0,P$3=FALSE),
ROUNDDOWN(INDEX(Y$4:Y1350,MATCH(LARGE(FILTER(W$4:W1350,W$4:W1350&lt;=I114),1),W$4:W1350"&amp;"))+(I114-LARGE(FILTER(W$4:W1350,W$4:W1350&lt;=I114),1))*INDEX(T$4:T1350,MATCH(LARGE(FILTER(W$4:W1350,W$4:W1350&lt;=I114),1),W$4:W1350))-K114),1,
ROUNDDOWN(Y114-INDEX(K$4:K1350,MATCH(LARGE(FILTER(I$4:I1350,I$4:I1350&lt;=W114),1),I$4:I1350))-(W114-LARGE(FILTER(I$4:I"&amp;"1350,I$4:I1350&lt;=W114),1))*INDEX(F$4:F1350,MATCH(LARGE(FILTER(I$4:I1350,I$4:I1350&lt;=W114),1),I$4:I1350))))"),1.6486967E7)</f>
        <v>16486967</v>
      </c>
      <c r="N114" s="60">
        <f t="shared" si="8"/>
        <v>-152.70809</v>
      </c>
      <c r="O114" s="61" t="str">
        <f t="shared" si="9"/>
        <v>16,5M</v>
      </c>
      <c r="P114" s="56">
        <f t="shared" si="10"/>
        <v>5</v>
      </c>
      <c r="Q114" s="67" t="s">
        <v>7</v>
      </c>
      <c r="R114" s="10" t="b">
        <f>IFERROR(__xludf.DUMMYFUNCTION("IF(COUNTA(Q114:Q1350)=0,"""",IF(ISBLANK(Q114),FALSE,IF(NOT(COUNTIF($AA$24:$AA$34,SUBSTITUTE(Q114,""Sell_"",""""))),1,IF(REGEXMATCH(Q114,""Sell_""),IF(COUNTIF(Q$4:Q114,SUBSTITUTE(Q114,""Sell_"",""""))-COUNTIF(Q$4:Q113,Q114)&lt;1,1),FALSE))))"),FALSE)</f>
        <v>0</v>
      </c>
      <c r="S114" s="59">
        <f t="array" ref="S114">IF(COUNTA(Q114:Q1350)=0,"",SUM((COUNTIF(Q$4:Q114,Upgrades!$B$3:$B$13)-COUNTIF(Q$4:Q114,"Sell_"&amp;Upgrades!$B$3:$B$13))*Upgrades!$D$3:$D$13))</f>
        <v>13774.8</v>
      </c>
      <c r="T114" s="66">
        <f>IFERROR(__xludf.DUMMYFUNCTION("IF(COUNTA(Q114:Q1350)=0,"""",IF(REGEXMATCH(INDEX(FILTER(Q$4:Q114,Q$4:Q114&lt;&gt;""""),ROWS(FILTER(Q$4:Q114,Q$4:Q114&lt;&gt;""""))),""^Sell_""),INDEX(FILTER(T$4:T113,Q$4:Q113&lt;&gt;""""),ROWS(FILTER(Q$4:Q113,Q$4:Q113&lt;&gt;""""))),$AD$5+S114))"),13974.8)</f>
        <v>13974.8</v>
      </c>
      <c r="U114" s="10">
        <f>IFERROR(__xludf.DUMMYFUNCTION("IF(COUNTA(Q114:Q1350)=0,"""",IF(Q114="""",0,IF(REGEXMATCH(Q114,""^Sell_""),-ROUNDDOWN(ROUNDUP(INDEX(Upgrades!$C$3:$C$13,MATCH(SUBSTITUTE(Q114,""Sell_"",""""),Upgrades!$B$3:$B$13,0))*1.15^(COUNTIF(Q$4:Q113,SUBSTITUTE(Q114,""Sell_"",""""))-COUNTIF(Q$4:Q113,"&amp;"""Sell_""&amp;SUBSTITUTE(Q114,""Sell_"",""""))))/2),ROUNDUP(INDEX(Upgrades!$C$3:$C$13,MATCH(Q114,Upgrades!$B$3:$B$13,0))*1.15^(COUNTIF(Q$4:Q113,Q114)-COUNTIF(Q$4:Q113,""Sell_""&amp;Q114))))))"),17491.0)</f>
        <v>17491</v>
      </c>
      <c r="V114" s="10">
        <f t="shared" si="11"/>
        <v>17491</v>
      </c>
      <c r="W114" s="68">
        <f t="shared" si="12"/>
        <v>1943.971608</v>
      </c>
      <c r="X114" s="59" t="str">
        <f t="shared" si="13"/>
        <v>32m 23s</v>
      </c>
      <c r="Y114" s="69">
        <f t="shared" si="14"/>
        <v>4440547</v>
      </c>
      <c r="Z114" s="11"/>
    </row>
    <row r="115">
      <c r="A115" s="8"/>
      <c r="B115" s="56">
        <f t="shared" si="2"/>
        <v>21</v>
      </c>
      <c r="C115" s="57" t="s">
        <v>5</v>
      </c>
      <c r="D115" s="10" t="b">
        <f>IFERROR(__xludf.DUMMYFUNCTION("IF(COUNTA(C115:C1350)=0,"""",IF(ISBLANK(C115),FALSE,IF(NOT(COUNTIF($AA$24:$AA$34,SUBSTITUTE(C115,""Sell_"",""""))),1,IF(REGEXMATCH(C115,""Sell_""),IF(COUNTIF(C$4:C115,SUBSTITUTE(C115,""Sell_"",""""))-COUNTIF(C$4:C114,C115)&lt;1,1),FALSE))))"),FALSE)</f>
        <v>0</v>
      </c>
      <c r="E115" s="59">
        <f t="array" ref="E115">IF(COUNTA(C115:C1350)=0,"",SUM((COUNTIF(C$4:C115,Upgrades!$B$3:$B$13)-COUNTIF(C$4:C115,"Sell_"&amp;Upgrades!$B$3:$B$13))*Upgrades!$D$3:$D$13))</f>
        <v>106969.5</v>
      </c>
      <c r="F115" s="66">
        <f>IFERROR(__xludf.DUMMYFUNCTION("IF(COUNTA(C115:C1350)=0,"""",IF(REGEXMATCH(INDEX(FILTER(C$4:C115,C$4:C115&lt;&gt;""""),ROWS(FILTER(C$4:C115,C$4:C115&lt;&gt;""""))),""^Sell_""),INDEX(FILTER(F$4:F114,C$4:C114&lt;&gt;""""),ROWS(FILTER(C$4:C114,C$4:C114&lt;&gt;""""))),$AC$5+E115))"),107169.5)</f>
        <v>107169.5</v>
      </c>
      <c r="G115" s="10">
        <f>IFERROR(__xludf.DUMMYFUNCTION("IF(COUNTA(C115:C1350)=0,"""",IF(C115="""",0,IF(REGEXMATCH(C115,""^Sell_""),-ROUNDDOWN(ROUNDUP(INDEX(Upgrades!$C$3:$C$13,MATCH(SUBSTITUTE(C115,""Sell_"",""""),Upgrades!$B$3:$B$13,0))*1.15^(COUNTIF(C$4:C114,SUBSTITUTE(C115,""Sell_"",""""))-COUNTIF(C$4:C114,"&amp;"""Sell_""&amp;SUBSTITUTE(C115,""Sell_"",""""))))/2),ROUNDUP(INDEX(Upgrades!$C$3:$C$13,MATCH(C115,Upgrades!$B$3:$B$13,0))*1.15^(COUNTIF(C$4:C114,C115)-COUNTIF(C$4:C114,""Sell_""&amp;C115))))))"),8184.0)</f>
        <v>8184</v>
      </c>
      <c r="H115" s="10">
        <f t="shared" si="3"/>
        <v>8184</v>
      </c>
      <c r="I115" s="68">
        <f t="shared" si="4"/>
        <v>3573.0179</v>
      </c>
      <c r="J115" s="59" t="str">
        <f t="shared" si="5"/>
        <v>59m 33s</v>
      </c>
      <c r="K115" s="69">
        <f t="shared" si="6"/>
        <v>87236414</v>
      </c>
      <c r="L115" s="60">
        <f t="shared" si="7"/>
        <v>-152.70781</v>
      </c>
      <c r="M115" s="61">
        <f>IFERROR(__xludf.DUMMYFUNCTION("IFS(AND(COUNTA(C115:C1350)=0,COUNTA(Q115:Q1350)=0),"""",OR(AND(K115&gt;=1000000000,OR(Y115&gt;=1000000000,COUNTA(Q115:Q1350)=0)),OR(Y115&gt;=1000000000,AND(COUNTA(C115:C1350)=0,P$3=TRUE))),
ROUNDDOWN((AB$1-AC$1)*MAX(INDEX(T$4:T1350,MATCH(LARGE(FILTER(Y$4:Y1350,Y$4"&amp;":Y1350&lt;1000000000),1),Y$4:Y1350)),INDEX(F$4:F1350,MATCH(LARGE(FILTER(K$4:K1350,K$4:K1350&lt;1000000000),1),K$4:K1350)))),AND(K115&lt;1000000000,COUNTA(C115:C1350)&gt;0,P$3=FALSE),
ROUNDDOWN(INDEX(Y$4:Y1350,MATCH(LARGE(FILTER(W$4:W1350,W$4:W1350&lt;=I115),1),W$4:W1350"&amp;"))+(I115-LARGE(FILTER(W$4:W1350,W$4:W1350&lt;=I115),1))*INDEX(T$4:T1350,MATCH(LARGE(FILTER(W$4:W1350,W$4:W1350&lt;=I115),1),W$4:W1350))-K115),1,
ROUNDDOWN(Y115-INDEX(K$4:K1350,MATCH(LARGE(FILTER(I$4:I1350,I$4:I1350&lt;=W115),1),I$4:I1350))-(W115-LARGE(FILTER(I$4:I"&amp;"1350,I$4:I1350&lt;=W115),1))*INDEX(F$4:F1350,MATCH(LARGE(FILTER(I$4:I1350,I$4:I1350&lt;=W115),1),I$4:I1350))))"),1.6487446E7)</f>
        <v>16487446</v>
      </c>
      <c r="N115" s="60">
        <f t="shared" si="8"/>
        <v>-152.70781</v>
      </c>
      <c r="O115" s="61" t="str">
        <f t="shared" si="9"/>
        <v>16,5M</v>
      </c>
      <c r="P115" s="56">
        <f t="shared" si="10"/>
        <v>2</v>
      </c>
      <c r="Q115" s="67" t="s">
        <v>8</v>
      </c>
      <c r="R115" s="10" t="b">
        <f>IFERROR(__xludf.DUMMYFUNCTION("IF(COUNTA(Q115:Q1350)=0,"""",IF(ISBLANK(Q115),FALSE,IF(NOT(COUNTIF($AA$24:$AA$34,SUBSTITUTE(Q115,""Sell_"",""""))),1,IF(REGEXMATCH(Q115,""Sell_""),IF(COUNTIF(Q$4:Q115,SUBSTITUTE(Q115,""Sell_"",""""))-COUNTIF(Q$4:Q114,Q115)&lt;1,1),FALSE))))"),FALSE)</f>
        <v>0</v>
      </c>
      <c r="S115" s="59">
        <f t="array" ref="S115">IF(COUNTA(Q115:Q1350)=0,"",SUM((COUNTIF(Q$4:Q115,Upgrades!$B$3:$B$13)-COUNTIF(Q$4:Q115,"Sell_"&amp;Upgrades!$B$3:$B$13))*Upgrades!$D$3:$D$13))</f>
        <v>13874.8</v>
      </c>
      <c r="T115" s="66">
        <f>IFERROR(__xludf.DUMMYFUNCTION("IF(COUNTA(Q115:Q1350)=0,"""",IF(REGEXMATCH(INDEX(FILTER(Q$4:Q115,Q$4:Q115&lt;&gt;""""),ROWS(FILTER(Q$4:Q115,Q$4:Q115&lt;&gt;""""))),""^Sell_""),INDEX(FILTER(T$4:T114,Q$4:Q114&lt;&gt;""""),ROWS(FILTER(Q$4:Q114,Q$4:Q114&lt;&gt;""""))),$AD$5+S115))"),14074.8)</f>
        <v>14074.8</v>
      </c>
      <c r="U115" s="10">
        <f>IFERROR(__xludf.DUMMYFUNCTION("IF(COUNTA(Q115:Q1350)=0,"""",IF(Q115="""",0,IF(REGEXMATCH(Q115,""^Sell_""),-ROUNDDOWN(ROUNDUP(INDEX(Upgrades!$C$3:$C$13,MATCH(SUBSTITUTE(Q115,""Sell_"",""""),Upgrades!$B$3:$B$13,0))*1.15^(COUNTIF(Q$4:Q114,SUBSTITUTE(Q115,""Sell_"",""""))-COUNTIF(Q$4:Q114,"&amp;"""Sell_""&amp;SUBSTITUTE(Q115,""Sell_"",""""))))/2),ROUNDUP(INDEX(Upgrades!$C$3:$C$13,MATCH(Q115,Upgrades!$B$3:$B$13,0))*1.15^(COUNTIF(Q$4:Q114,Q115)-COUNTIF(Q$4:Q114,""Sell_""&amp;Q115))))))"),46000.0)</f>
        <v>46000</v>
      </c>
      <c r="V115" s="10">
        <f t="shared" si="11"/>
        <v>46000</v>
      </c>
      <c r="W115" s="68">
        <f t="shared" si="12"/>
        <v>1947.263247</v>
      </c>
      <c r="X115" s="59" t="str">
        <f t="shared" si="13"/>
        <v>32m 27s</v>
      </c>
      <c r="Y115" s="69">
        <f t="shared" si="14"/>
        <v>4486547</v>
      </c>
      <c r="Z115" s="11"/>
    </row>
    <row r="116">
      <c r="A116" s="8"/>
      <c r="B116" s="56">
        <f t="shared" si="2"/>
        <v>16</v>
      </c>
      <c r="C116" s="57" t="s">
        <v>10</v>
      </c>
      <c r="D116" s="10" t="b">
        <f>IFERROR(__xludf.DUMMYFUNCTION("IF(COUNTA(C116:C1350)=0,"""",IF(ISBLANK(C116),FALSE,IF(NOT(COUNTIF($AA$24:$AA$34,SUBSTITUTE(C116,""Sell_"",""""))),1,IF(REGEXMATCH(C116,""Sell_""),IF(COUNTIF(C$4:C116,SUBSTITUTE(C116,""Sell_"",""""))-COUNTIF(C$4:C115,C116)&lt;1,1),FALSE))))"),FALSE)</f>
        <v>0</v>
      </c>
      <c r="E116" s="59">
        <f t="array" ref="E116">IF(COUNTA(C116:C1350)=0,"",SUM((COUNTIF(C$4:C116,Upgrades!$B$3:$B$13)-COUNTIF(C$4:C116,"Sell_"&amp;Upgrades!$B$3:$B$13))*Upgrades!$D$3:$D$13))</f>
        <v>113635.5</v>
      </c>
      <c r="F116" s="66">
        <f>IFERROR(__xludf.DUMMYFUNCTION("IF(COUNTA(C116:C1350)=0,"""",IF(REGEXMATCH(INDEX(FILTER(C$4:C116,C$4:C116&lt;&gt;""""),ROWS(FILTER(C$4:C116,C$4:C116&lt;&gt;""""))),""^Sell_""),INDEX(FILTER(F$4:F115,C$4:C115&lt;&gt;""""),ROWS(FILTER(C$4:C115,C$4:C115&lt;&gt;""""))),$AC$5+E116))"),113835.5)</f>
        <v>113835.5</v>
      </c>
      <c r="G116" s="10">
        <f>IFERROR(__xludf.DUMMYFUNCTION("IF(COUNTA(C116:C1350)=0,"""",IF(C116="""",0,IF(REGEXMATCH(C116,""^Sell_""),-ROUNDDOWN(ROUNDUP(INDEX(Upgrades!$C$3:$C$13,MATCH(SUBSTITUTE(C116,""Sell_"",""""),Upgrades!$B$3:$B$13,0))*1.15^(COUNTIF(C$4:C115,SUBSTITUTE(C116,""Sell_"",""""))-COUNTIF(C$4:C115,"&amp;"""Sell_""&amp;SUBSTITUTE(C116,""Sell_"",""""))))/2),ROUNDUP(INDEX(Upgrades!$C$3:$C$13,MATCH(C116,Upgrades!$B$3:$B$13,0))*1.15^(COUNTIF(C$4:C115,C116)-COUNTIF(C$4:C115,""Sell_""&amp;C116))))))"),1.3561764E7)</f>
        <v>13561764</v>
      </c>
      <c r="H116" s="10">
        <f t="shared" si="3"/>
        <v>13561764</v>
      </c>
      <c r="I116" s="68">
        <f t="shared" si="4"/>
        <v>3699.562896</v>
      </c>
      <c r="J116" s="59" t="str">
        <f t="shared" si="5"/>
        <v>1h 01m 39s</v>
      </c>
      <c r="K116" s="69">
        <f t="shared" si="6"/>
        <v>100798178</v>
      </c>
      <c r="L116" s="60">
        <f t="shared" si="7"/>
        <v>-152.33533</v>
      </c>
      <c r="M116" s="61">
        <f>IFERROR(__xludf.DUMMYFUNCTION("IFS(AND(COUNTA(C116:C1350)=0,COUNTA(Q116:Q1350)=0),"""",OR(AND(K116&gt;=1000000000,OR(Y116&gt;=1000000000,COUNTA(Q116:Q1350)=0)),OR(Y116&gt;=1000000000,AND(COUNTA(C116:C1350)=0,P$3=TRUE))),
ROUNDDOWN((AB$1-AC$1)*MAX(INDEX(T$4:T1350,MATCH(LARGE(FILTER(Y$4:Y1350,Y$4"&amp;":Y1350&lt;1000000000),1),Y$4:Y1350)),INDEX(F$4:F1350,MATCH(LARGE(FILTER(K$4:K1350,K$4:K1350&lt;1000000000),1),K$4:K1350)))),AND(K116&lt;1000000000,COUNTA(C116:C1350)&gt;0,P$3=FALSE),
ROUNDDOWN(INDEX(Y$4:Y1350,MATCH(LARGE(FILTER(W$4:W1350,W$4:W1350&lt;=I116),1),W$4:W1350"&amp;"))+(I116-LARGE(FILTER(W$4:W1350,W$4:W1350&lt;=I116),1))*INDEX(T$4:T1350,MATCH(LARGE(FILTER(W$4:W1350,W$4:W1350&lt;=I116),1),W$4:W1350))-K116),1,
ROUNDDOWN(Y116-INDEX(K$4:K1350,MATCH(LARGE(FILTER(I$4:I1350,I$4:I1350&lt;=W116),1),I$4:I1350))-(W116-LARGE(FILTER(I$4:I"&amp;"1350,I$4:I1350&lt;=W116),1))*INDEX(F$4:F1350,MATCH(LARGE(FILTER(I$4:I1350,I$4:I1350&lt;=W116),1),I$4:I1350))))"),1.7281073E7)</f>
        <v>17281073</v>
      </c>
      <c r="N116" s="60">
        <f t="shared" si="8"/>
        <v>-152.33533</v>
      </c>
      <c r="O116" s="61" t="str">
        <f t="shared" si="9"/>
        <v>17,3M</v>
      </c>
      <c r="P116" s="56">
        <f t="shared" si="10"/>
        <v>9</v>
      </c>
      <c r="Q116" s="67" t="s">
        <v>61</v>
      </c>
      <c r="R116" s="10" t="b">
        <f>IFERROR(__xludf.DUMMYFUNCTION("IF(COUNTA(Q116:Q1350)=0,"""",IF(ISBLANK(Q116),FALSE,IF(NOT(COUNTIF($AA$24:$AA$34,SUBSTITUTE(Q116,""Sell_"",""""))),1,IF(REGEXMATCH(Q116,""Sell_""),IF(COUNTIF(Q$4:Q116,SUBSTITUTE(Q116,""Sell_"",""""))-COUNTIF(Q$4:Q115,Q116)&lt;1,1),FALSE))))"),FALSE)</f>
        <v>0</v>
      </c>
      <c r="S116" s="59">
        <f t="array" ref="S116">IF(COUNTA(Q116:Q1350)=0,"",SUM((COUNTIF(Q$4:Q116,Upgrades!$B$3:$B$13)-COUNTIF(Q$4:Q116,"Sell_"&amp;Upgrades!$B$3:$B$13))*Upgrades!$D$3:$D$13))</f>
        <v>13774.8</v>
      </c>
      <c r="T116" s="66">
        <f>IFERROR(__xludf.DUMMYFUNCTION("IF(COUNTA(Q116:Q1350)=0,"""",IF(REGEXMATCH(INDEX(FILTER(Q$4:Q116,Q$4:Q116&lt;&gt;""""),ROWS(FILTER(Q$4:Q116,Q$4:Q116&lt;&gt;""""))),""^Sell_""),INDEX(FILTER(T$4:T115,Q$4:Q115&lt;&gt;""""),ROWS(FILTER(Q$4:Q115,Q$4:Q115&lt;&gt;""""))),$AD$5+S116))"),14074.8)</f>
        <v>14074.8</v>
      </c>
      <c r="U116" s="10">
        <f>IFERROR(__xludf.DUMMYFUNCTION("IF(COUNTA(Q116:Q1350)=0,"""",IF(Q116="""",0,IF(REGEXMATCH(Q116,""^Sell_""),-ROUNDDOWN(ROUNDUP(INDEX(Upgrades!$C$3:$C$13,MATCH(SUBSTITUTE(Q116,""Sell_"",""""),Upgrades!$B$3:$B$13,0))*1.15^(COUNTIF(Q$4:Q115,SUBSTITUTE(Q116,""Sell_"",""""))-COUNTIF(Q$4:Q115,"&amp;"""Sell_""&amp;SUBSTITUTE(Q116,""Sell_"",""""))))/2),ROUNDUP(INDEX(Upgrades!$C$3:$C$13,MATCH(Q116,Upgrades!$B$3:$B$13,0))*1.15^(COUNTIF(Q$4:Q115,Q116)-COUNTIF(Q$4:Q115,""Sell_""&amp;Q116))))))"),-26450.0)</f>
        <v>-26450</v>
      </c>
      <c r="V116" s="10">
        <f t="shared" si="11"/>
        <v>-26450</v>
      </c>
      <c r="W116" s="68">
        <f t="shared" si="12"/>
        <v>1947.263247</v>
      </c>
      <c r="X116" s="59" t="str">
        <f t="shared" si="13"/>
        <v>32m 27s</v>
      </c>
      <c r="Y116" s="69">
        <f t="shared" si="14"/>
        <v>4486547</v>
      </c>
      <c r="Z116" s="11"/>
    </row>
    <row r="117">
      <c r="A117" s="8"/>
      <c r="B117" s="56">
        <f t="shared" si="2"/>
        <v>1</v>
      </c>
      <c r="C117" s="67" t="s">
        <v>11</v>
      </c>
      <c r="D117" s="10" t="b">
        <f>IFERROR(__xludf.DUMMYFUNCTION("IF(COUNTA(C117:C1350)=0,"""",IF(ISBLANK(C117),FALSE,IF(NOT(COUNTIF($AA$24:$AA$34,SUBSTITUTE(C117,""Sell_"",""""))),1,IF(REGEXMATCH(C117,""Sell_""),IF(COUNTIF(C$4:C117,SUBSTITUTE(C117,""Sell_"",""""))-COUNTIF(C$4:C116,C117)&lt;1,1),FALSE))))"),FALSE)</f>
        <v>0</v>
      </c>
      <c r="E117" s="59">
        <f t="array" ref="E117">IF(COUNTA(C117:C1350)=0,"",SUM((COUNTIF(C$4:C117,Upgrades!$B$3:$B$13)-COUNTIF(C$4:C117,"Sell_"&amp;Upgrades!$B$3:$B$13))*Upgrades!$D$3:$D$13))</f>
        <v>212400.5</v>
      </c>
      <c r="F117" s="66">
        <f>IFERROR(__xludf.DUMMYFUNCTION("IF(COUNTA(C117:C1350)=0,"""",IF(REGEXMATCH(INDEX(FILTER(C$4:C117,C$4:C117&lt;&gt;""""),ROWS(FILTER(C$4:C117,C$4:C117&lt;&gt;""""))),""^Sell_""),INDEX(FILTER(F$4:F116,C$4:C116&lt;&gt;""""),ROWS(FILTER(C$4:C116,C$4:C116&lt;&gt;""""))),$AC$5+E117))"),212600.5)</f>
        <v>212600.5</v>
      </c>
      <c r="G117" s="10">
        <f>IFERROR(__xludf.DUMMYFUNCTION("IF(COUNTA(C117:C1350)=0,"""",IF(C117="""",0,IF(REGEXMATCH(C117,""^Sell_""),-ROUNDDOWN(ROUNDUP(INDEX(Upgrades!$C$3:$C$13,MATCH(SUBSTITUTE(C117,""Sell_"",""""),Upgrades!$B$3:$B$13,0))*1.15^(COUNTIF(C$4:C116,SUBSTITUTE(C117,""Sell_"",""""))-COUNTIF(C$4:C116,"&amp;"""Sell_""&amp;SUBSTITUTE(C117,""Sell_"",""""))))/2),ROUNDUP(INDEX(Upgrades!$C$3:$C$13,MATCH(C117,Upgrades!$B$3:$B$13,0))*1.15^(COUNTIF(C$4:C116,C117)-COUNTIF(C$4:C116,""Sell_""&amp;C117))))))"),1.23456789E8)</f>
        <v>123456789</v>
      </c>
      <c r="H117" s="10">
        <f t="shared" si="3"/>
        <v>123456789</v>
      </c>
      <c r="I117" s="68">
        <f t="shared" si="4"/>
        <v>4784.082128</v>
      </c>
      <c r="J117" s="59" t="str">
        <f t="shared" si="5"/>
        <v>1h 19m 44s</v>
      </c>
      <c r="K117" s="69">
        <f t="shared" si="6"/>
        <v>224254967</v>
      </c>
      <c r="L117" s="60">
        <f t="shared" si="7"/>
        <v>-272.84269</v>
      </c>
      <c r="M117" s="61">
        <f>IFERROR(__xludf.DUMMYFUNCTION("IFS(AND(COUNTA(C117:C1350)=0,COUNTA(Q117:Q1350)=0),"""",OR(AND(K117&gt;=1000000000,OR(Y117&gt;=1000000000,COUNTA(Q117:Q1350)=0)),OR(Y117&gt;=1000000000,AND(COUNTA(C117:C1350)=0,P$3=TRUE))),
ROUNDDOWN((AB$1-AC$1)*MAX(INDEX(T$4:T1350,MATCH(LARGE(FILTER(Y$4:Y1350,Y$4"&amp;":Y1350&lt;1000000000),1),Y$4:Y1350)),INDEX(F$4:F1350,MATCH(LARGE(FILTER(K$4:K1350,K$4:K1350&lt;1000000000),1),K$4:K1350)))),AND(K117&lt;1000000000,COUNTA(C117:C1350)&gt;0,P$3=FALSE),
ROUNDDOWN(INDEX(Y$4:Y1350,MATCH(LARGE(FILTER(W$4:W1350,W$4:W1350&lt;=I117),1),W$4:W1350"&amp;"))+(I117-LARGE(FILTER(W$4:W1350,W$4:W1350&lt;=I117),1))*INDEX(T$4:T1350,MATCH(LARGE(FILTER(W$4:W1350,W$4:W1350&lt;=I117),1),W$4:W1350))-K117),1,
ROUNDDOWN(Y117-INDEX(K$4:K1350,MATCH(LARGE(FILTER(I$4:I1350,I$4:I1350&lt;=W117),1),I$4:I1350))-(W117-LARGE(FILTER(I$4:I"&amp;"1350,I$4:I1350&lt;=W117),1))*INDEX(F$4:F1350,MATCH(LARGE(FILTER(I$4:I1350,I$4:I1350&lt;=W117),1),I$4:I1350))))"),5.6476969E7)</f>
        <v>56476969</v>
      </c>
      <c r="N117" s="60">
        <f t="shared" si="8"/>
        <v>-272.84269</v>
      </c>
      <c r="O117" s="61" t="str">
        <f t="shared" si="9"/>
        <v>56,5M</v>
      </c>
      <c r="P117" s="56">
        <f t="shared" si="10"/>
        <v>17</v>
      </c>
      <c r="Q117" s="67" t="s">
        <v>59</v>
      </c>
      <c r="R117" s="10" t="b">
        <f>IFERROR(__xludf.DUMMYFUNCTION("IF(COUNTA(Q117:Q1350)=0,"""",IF(ISBLANK(Q117),FALSE,IF(NOT(COUNTIF($AA$24:$AA$34,SUBSTITUTE(Q117,""Sell_"",""""))),1,IF(REGEXMATCH(Q117,""Sell_""),IF(COUNTIF(Q$4:Q117,SUBSTITUTE(Q117,""Sell_"",""""))-COUNTIF(Q$4:Q116,Q117)&lt;1,1),FALSE))))"),FALSE)</f>
        <v>0</v>
      </c>
      <c r="S117" s="59">
        <f t="array" ref="S117">IF(COUNTA(Q117:Q1350)=0,"",SUM((COUNTIF(Q$4:Q117,Upgrades!$B$3:$B$13)-COUNTIF(Q$4:Q117,"Sell_"&amp;Upgrades!$B$3:$B$13))*Upgrades!$D$3:$D$13))</f>
        <v>13734.8</v>
      </c>
      <c r="T117" s="66">
        <f>IFERROR(__xludf.DUMMYFUNCTION("IF(COUNTA(Q117:Q1350)=0,"""",IF(REGEXMATCH(INDEX(FILTER(Q$4:Q117,Q$4:Q117&lt;&gt;""""),ROWS(FILTER(Q$4:Q117,Q$4:Q117&lt;&gt;""""))),""^Sell_""),INDEX(FILTER(T$4:T116,Q$4:Q116&lt;&gt;""""),ROWS(FILTER(Q$4:Q116,Q$4:Q116&lt;&gt;""""))),$AD$5+S117))"),14074.8)</f>
        <v>14074.8</v>
      </c>
      <c r="U117" s="10">
        <f>IFERROR(__xludf.DUMMYFUNCTION("IF(COUNTA(Q117:Q1350)=0,"""",IF(Q117="""",0,IF(REGEXMATCH(Q117,""^Sell_""),-ROUNDDOWN(ROUNDUP(INDEX(Upgrades!$C$3:$C$13,MATCH(SUBSTITUTE(Q117,""Sell_"",""""),Upgrades!$B$3:$B$13,0))*1.15^(COUNTIF(Q$4:Q116,SUBSTITUTE(Q117,""Sell_"",""""))-COUNTIF(Q$4:Q116,"&amp;"""Sell_""&amp;SUBSTITUTE(Q117,""Sell_"",""""))))/2),ROUNDUP(INDEX(Upgrades!$C$3:$C$13,MATCH(Q117,Upgrades!$B$3:$B$13,0))*1.15^(COUNTIF(Q$4:Q116,Q117)-COUNTIF(Q$4:Q116,""Sell_""&amp;Q117))))))"),-10057.0)</f>
        <v>-10057</v>
      </c>
      <c r="V117" s="10">
        <f t="shared" si="11"/>
        <v>-36507</v>
      </c>
      <c r="W117" s="68">
        <f t="shared" si="12"/>
        <v>1947.263247</v>
      </c>
      <c r="X117" s="59" t="str">
        <f t="shared" si="13"/>
        <v>32m 27s</v>
      </c>
      <c r="Y117" s="69">
        <f t="shared" si="14"/>
        <v>4486547</v>
      </c>
      <c r="Z117" s="11"/>
    </row>
    <row r="118">
      <c r="A118" s="8"/>
      <c r="B118" s="56">
        <f t="shared" si="2"/>
        <v>2</v>
      </c>
      <c r="C118" s="67" t="s">
        <v>11</v>
      </c>
      <c r="D118" s="10" t="b">
        <f>IFERROR(__xludf.DUMMYFUNCTION("IF(COUNTA(C118:C1350)=0,"""",IF(ISBLANK(C118),FALSE,IF(NOT(COUNTIF($AA$24:$AA$34,SUBSTITUTE(C118,""Sell_"",""""))),1,IF(REGEXMATCH(C118,""Sell_""),IF(COUNTIF(C$4:C118,SUBSTITUTE(C118,""Sell_"",""""))-COUNTIF(C$4:C117,C118)&lt;1,1),FALSE))))"),FALSE)</f>
        <v>0</v>
      </c>
      <c r="E118" s="59">
        <f t="array" ref="E118">IF(COUNTA(C118:C1350)=0,"",SUM((COUNTIF(C$4:C118,Upgrades!$B$3:$B$13)-COUNTIF(C$4:C118,"Sell_"&amp;Upgrades!$B$3:$B$13))*Upgrades!$D$3:$D$13))</f>
        <v>311165.5</v>
      </c>
      <c r="F118" s="66">
        <f>IFERROR(__xludf.DUMMYFUNCTION("IF(COUNTA(C118:C1350)=0,"""",IF(REGEXMATCH(INDEX(FILTER(C$4:C118,C$4:C118&lt;&gt;""""),ROWS(FILTER(C$4:C118,C$4:C118&lt;&gt;""""))),""^Sell_""),INDEX(FILTER(F$4:F117,C$4:C117&lt;&gt;""""),ROWS(FILTER(C$4:C117,C$4:C117&lt;&gt;""""))),$AC$5+E118))"),311365.5)</f>
        <v>311365.5</v>
      </c>
      <c r="G118" s="10">
        <f>IFERROR(__xludf.DUMMYFUNCTION("IF(COUNTA(C118:C1350)=0,"""",IF(C118="""",0,IF(REGEXMATCH(C118,""^Sell_""),-ROUNDDOWN(ROUNDUP(INDEX(Upgrades!$C$3:$C$13,MATCH(SUBSTITUTE(C118,""Sell_"",""""),Upgrades!$B$3:$B$13,0))*1.15^(COUNTIF(C$4:C117,SUBSTITUTE(C118,""Sell_"",""""))-COUNTIF(C$4:C117,"&amp;"""Sell_""&amp;SUBSTITUTE(C118,""Sell_"",""""))))/2),ROUNDUP(INDEX(Upgrades!$C$3:$C$13,MATCH(C118,Upgrades!$B$3:$B$13,0))*1.15^(COUNTIF(C$4:C117,C118)-COUNTIF(C$4:C117,""Sell_""&amp;C118))))))"),1.41975308E8)</f>
        <v>141975308</v>
      </c>
      <c r="H118" s="10">
        <f t="shared" si="3"/>
        <v>141975308</v>
      </c>
      <c r="I118" s="68">
        <f t="shared" si="4"/>
        <v>5451.885393</v>
      </c>
      <c r="J118" s="59" t="str">
        <f t="shared" si="5"/>
        <v>1h 30m 51s</v>
      </c>
      <c r="K118" s="69">
        <f t="shared" si="6"/>
        <v>366230275</v>
      </c>
      <c r="L118" s="60">
        <f t="shared" si="7"/>
        <v>-271.41823</v>
      </c>
      <c r="M118" s="61">
        <f>IFERROR(__xludf.DUMMYFUNCTION("IFS(AND(COUNTA(C118:C1350)=0,COUNTA(Q118:Q1350)=0),"""",OR(AND(K118&gt;=1000000000,OR(Y118&gt;=1000000000,COUNTA(Q118:Q1350)=0)),OR(Y118&gt;=1000000000,AND(COUNTA(C118:C1350)=0,P$3=TRUE))),
ROUNDDOWN((AB$1-AC$1)*MAX(INDEX(T$4:T1350,MATCH(LARGE(FILTER(Y$4:Y1350,Y$4"&amp;":Y1350&lt;1000000000),1),Y$4:Y1350)),INDEX(F$4:F1350,MATCH(LARGE(FILTER(K$4:K1350,K$4:K1350&lt;1000000000),1),K$4:K1350)))),AND(K118&lt;1000000000,COUNTA(C118:C1350)&gt;0,P$3=FALSE),
ROUNDDOWN(INDEX(Y$4:Y1350,MATCH(LARGE(FILTER(W$4:W1350,W$4:W1350&lt;=I118),1),W$4:W1350"&amp;"))+(I118-LARGE(FILTER(W$4:W1350,W$4:W1350&lt;=I118),1))*INDEX(T$4:T1350,MATCH(LARGE(FILTER(W$4:W1350,W$4:W1350&lt;=I118),1),W$4:W1350))-K118),1,
ROUNDDOWN(Y118-INDEX(K$4:K1350,MATCH(LARGE(FILTER(I$4:I1350,I$4:I1350&lt;=W118),1),I$4:I1350))-(W118-LARGE(FILTER(I$4:I"&amp;"1350,I$4:I1350&lt;=W118),1))*INDEX(F$4:F1350,MATCH(LARGE(FILTER(I$4:I1350,I$4:I1350&lt;=W118),1),I$4:I1350))))"),8.1110101E7)</f>
        <v>81110101</v>
      </c>
      <c r="N118" s="60">
        <f t="shared" si="8"/>
        <v>-271.41823</v>
      </c>
      <c r="O118" s="61" t="str">
        <f t="shared" si="9"/>
        <v>81,1M</v>
      </c>
      <c r="P118" s="56">
        <f t="shared" si="10"/>
        <v>18</v>
      </c>
      <c r="Q118" s="67" t="s">
        <v>59</v>
      </c>
      <c r="R118" s="10" t="b">
        <f>IFERROR(__xludf.DUMMYFUNCTION("IF(COUNTA(Q118:Q1350)=0,"""",IF(ISBLANK(Q118),FALSE,IF(NOT(COUNTIF($AA$24:$AA$34,SUBSTITUTE(Q118,""Sell_"",""""))),1,IF(REGEXMATCH(Q118,""Sell_""),IF(COUNTIF(Q$4:Q118,SUBSTITUTE(Q118,""Sell_"",""""))-COUNTIF(Q$4:Q117,Q118)&lt;1,1),FALSE))))"),FALSE)</f>
        <v>0</v>
      </c>
      <c r="S118" s="59">
        <f t="array" ref="S118">IF(COUNTA(Q118:Q1350)=0,"",SUM((COUNTIF(Q$4:Q118,Upgrades!$B$3:$B$13)-COUNTIF(Q$4:Q118,"Sell_"&amp;Upgrades!$B$3:$B$13))*Upgrades!$D$3:$D$13))</f>
        <v>13694.8</v>
      </c>
      <c r="T118" s="66">
        <f>IFERROR(__xludf.DUMMYFUNCTION("IF(COUNTA(Q118:Q1350)=0,"""",IF(REGEXMATCH(INDEX(FILTER(Q$4:Q118,Q$4:Q118&lt;&gt;""""),ROWS(FILTER(Q$4:Q118,Q$4:Q118&lt;&gt;""""))),""^Sell_""),INDEX(FILTER(T$4:T117,Q$4:Q117&lt;&gt;""""),ROWS(FILTER(Q$4:Q117,Q$4:Q117&lt;&gt;""""))),$AD$5+S118))"),14074.8)</f>
        <v>14074.8</v>
      </c>
      <c r="U118" s="10">
        <f>IFERROR(__xludf.DUMMYFUNCTION("IF(COUNTA(Q118:Q1350)=0,"""",IF(Q118="""",0,IF(REGEXMATCH(Q118,""^Sell_""),-ROUNDDOWN(ROUNDUP(INDEX(Upgrades!$C$3:$C$13,MATCH(SUBSTITUTE(Q118,""Sell_"",""""),Upgrades!$B$3:$B$13,0))*1.15^(COUNTIF(Q$4:Q117,SUBSTITUTE(Q118,""Sell_"",""""))-COUNTIF(Q$4:Q117,"&amp;"""Sell_""&amp;SUBSTITUTE(Q118,""Sell_"",""""))))/2),ROUNDUP(INDEX(Upgrades!$C$3:$C$13,MATCH(Q118,Upgrades!$B$3:$B$13,0))*1.15^(COUNTIF(Q$4:Q117,Q118)-COUNTIF(Q$4:Q117,""Sell_""&amp;Q118))))))"),-8745.0)</f>
        <v>-8745</v>
      </c>
      <c r="V118" s="10">
        <f t="shared" si="11"/>
        <v>-45252</v>
      </c>
      <c r="W118" s="68">
        <f t="shared" si="12"/>
        <v>1947.263247</v>
      </c>
      <c r="X118" s="59" t="str">
        <f t="shared" si="13"/>
        <v>32m 27s</v>
      </c>
      <c r="Y118" s="69">
        <f t="shared" si="14"/>
        <v>4486547</v>
      </c>
      <c r="Z118" s="11"/>
    </row>
    <row r="119">
      <c r="A119" s="8"/>
      <c r="B119" s="56">
        <f t="shared" si="2"/>
        <v>3</v>
      </c>
      <c r="C119" s="67" t="s">
        <v>11</v>
      </c>
      <c r="D119" s="10" t="b">
        <f>IFERROR(__xludf.DUMMYFUNCTION("IF(COUNTA(C119:C1350)=0,"""",IF(ISBLANK(C119),FALSE,IF(NOT(COUNTIF($AA$24:$AA$34,SUBSTITUTE(C119,""Sell_"",""""))),1,IF(REGEXMATCH(C119,""Sell_""),IF(COUNTIF(C$4:C119,SUBSTITUTE(C119,""Sell_"",""""))-COUNTIF(C$4:C118,C119)&lt;1,1),FALSE))))"),FALSE)</f>
        <v>0</v>
      </c>
      <c r="E119" s="59">
        <f t="array" ref="E119">IF(COUNTA(C119:C1350)=0,"",SUM((COUNTIF(C$4:C119,Upgrades!$B$3:$B$13)-COUNTIF(C$4:C119,"Sell_"&amp;Upgrades!$B$3:$B$13))*Upgrades!$D$3:$D$13))</f>
        <v>409930.5</v>
      </c>
      <c r="F119" s="66">
        <f>IFERROR(__xludf.DUMMYFUNCTION("IF(COUNTA(C119:C1350)=0,"""",IF(REGEXMATCH(INDEX(FILTER(C$4:C119,C$4:C119&lt;&gt;""""),ROWS(FILTER(C$4:C119,C$4:C119&lt;&gt;""""))),""^Sell_""),INDEX(FILTER(F$4:F118,C$4:C118&lt;&gt;""""),ROWS(FILTER(C$4:C118,C$4:C118&lt;&gt;""""))),$AC$5+E119))"),410130.5)</f>
        <v>410130.5</v>
      </c>
      <c r="G119" s="10">
        <f>IFERROR(__xludf.DUMMYFUNCTION("IF(COUNTA(C119:C1350)=0,"""",IF(C119="""",0,IF(REGEXMATCH(C119,""^Sell_""),-ROUNDDOWN(ROUNDUP(INDEX(Upgrades!$C$3:$C$13,MATCH(SUBSTITUTE(C119,""Sell_"",""""),Upgrades!$B$3:$B$13,0))*1.15^(COUNTIF(C$4:C118,SUBSTITUTE(C119,""Sell_"",""""))-COUNTIF(C$4:C118,"&amp;"""Sell_""&amp;SUBSTITUTE(C119,""Sell_"",""""))))/2),ROUNDUP(INDEX(Upgrades!$C$3:$C$13,MATCH(C119,Upgrades!$B$3:$B$13,0))*1.15^(COUNTIF(C$4:C118,C119)-COUNTIF(C$4:C118,""Sell_""&amp;C119))))))"),1.63271604E8)</f>
        <v>163271604</v>
      </c>
      <c r="H119" s="10">
        <f t="shared" si="3"/>
        <v>163271604</v>
      </c>
      <c r="I119" s="68">
        <f t="shared" si="4"/>
        <v>5976.258209</v>
      </c>
      <c r="J119" s="59" t="str">
        <f t="shared" si="5"/>
        <v>1h 39m 36s</v>
      </c>
      <c r="K119" s="69">
        <f t="shared" si="6"/>
        <v>529501879</v>
      </c>
      <c r="L119" s="60">
        <f t="shared" si="7"/>
        <v>-260.16328</v>
      </c>
      <c r="M119" s="61">
        <f>IFERROR(__xludf.DUMMYFUNCTION("IFS(AND(COUNTA(C119:C1350)=0,COUNTA(Q119:Q1350)=0),"""",OR(AND(K119&gt;=1000000000,OR(Y119&gt;=1000000000,COUNTA(Q119:Q1350)=0)),OR(Y119&gt;=1000000000,AND(COUNTA(C119:C1350)=0,P$3=TRUE))),
ROUNDDOWN((AB$1-AC$1)*MAX(INDEX(T$4:T1350,MATCH(LARGE(FILTER(Y$4:Y1350,Y$4"&amp;":Y1350&lt;1000000000),1),Y$4:Y1350)),INDEX(F$4:F1350,MATCH(LARGE(FILTER(K$4:K1350,K$4:K1350&lt;1000000000),1),K$4:K1350)))),AND(K119&lt;1000000000,COUNTA(C119:C1350)&gt;0,P$3=FALSE),
ROUNDDOWN(INDEX(Y$4:Y1350,MATCH(LARGE(FILTER(W$4:W1350,W$4:W1350&lt;=I119),1),W$4:W1350"&amp;"))+(I119-LARGE(FILTER(W$4:W1350,W$4:W1350&lt;=I119),1))*INDEX(T$4:T1350,MATCH(LARGE(FILTER(W$4:W1350,W$4:W1350&lt;=I119),1),W$4:W1350))-K119),1,
ROUNDDOWN(Y119-INDEX(K$4:K1350,MATCH(LARGE(FILTER(I$4:I1350,I$4:I1350&lt;=W119),1),I$4:I1350))-(W119-LARGE(FILTER(I$4:I"&amp;"1350,I$4:I1350&lt;=W119),1))*INDEX(F$4:F1350,MATCH(LARGE(FILTER(I$4:I1350,I$4:I1350&lt;=W119),1),I$4:I1350))))"),9.0241237E7)</f>
        <v>90241237</v>
      </c>
      <c r="N119" s="60">
        <f t="shared" si="8"/>
        <v>-260.16328</v>
      </c>
      <c r="O119" s="61" t="str">
        <f t="shared" si="9"/>
        <v>90,2M</v>
      </c>
      <c r="P119" s="56">
        <f t="shared" si="10"/>
        <v>19</v>
      </c>
      <c r="Q119" s="67" t="s">
        <v>59</v>
      </c>
      <c r="R119" s="10" t="b">
        <f>IFERROR(__xludf.DUMMYFUNCTION("IF(COUNTA(Q119:Q1350)=0,"""",IF(ISBLANK(Q119),FALSE,IF(NOT(COUNTIF($AA$24:$AA$34,SUBSTITUTE(Q119,""Sell_"",""""))),1,IF(REGEXMATCH(Q119,""Sell_""),IF(COUNTIF(Q$4:Q119,SUBSTITUTE(Q119,""Sell_"",""""))-COUNTIF(Q$4:Q118,Q119)&lt;1,1),FALSE))))"),FALSE)</f>
        <v>0</v>
      </c>
      <c r="S119" s="59">
        <f t="array" ref="S119">IF(COUNTA(Q119:Q1350)=0,"",SUM((COUNTIF(Q$4:Q119,Upgrades!$B$3:$B$13)-COUNTIF(Q$4:Q119,"Sell_"&amp;Upgrades!$B$3:$B$13))*Upgrades!$D$3:$D$13))</f>
        <v>13654.8</v>
      </c>
      <c r="T119" s="66">
        <f>IFERROR(__xludf.DUMMYFUNCTION("IF(COUNTA(Q119:Q1350)=0,"""",IF(REGEXMATCH(INDEX(FILTER(Q$4:Q119,Q$4:Q119&lt;&gt;""""),ROWS(FILTER(Q$4:Q119,Q$4:Q119&lt;&gt;""""))),""^Sell_""),INDEX(FILTER(T$4:T118,Q$4:Q118&lt;&gt;""""),ROWS(FILTER(Q$4:Q118,Q$4:Q118&lt;&gt;""""))),$AD$5+S119))"),14074.8)</f>
        <v>14074.8</v>
      </c>
      <c r="U119" s="10">
        <f>IFERROR(__xludf.DUMMYFUNCTION("IF(COUNTA(Q119:Q1350)=0,"""",IF(Q119="""",0,IF(REGEXMATCH(Q119,""^Sell_""),-ROUNDDOWN(ROUNDUP(INDEX(Upgrades!$C$3:$C$13,MATCH(SUBSTITUTE(Q119,""Sell_"",""""),Upgrades!$B$3:$B$13,0))*1.15^(COUNTIF(Q$4:Q118,SUBSTITUTE(Q119,""Sell_"",""""))-COUNTIF(Q$4:Q118,"&amp;"""Sell_""&amp;SUBSTITUTE(Q119,""Sell_"",""""))))/2),ROUNDUP(INDEX(Upgrades!$C$3:$C$13,MATCH(Q119,Upgrades!$B$3:$B$13,0))*1.15^(COUNTIF(Q$4:Q118,Q119)-COUNTIF(Q$4:Q118,""Sell_""&amp;Q119))))))"),-7604.0)</f>
        <v>-7604</v>
      </c>
      <c r="V119" s="10">
        <f t="shared" si="11"/>
        <v>-52856</v>
      </c>
      <c r="W119" s="68">
        <f t="shared" si="12"/>
        <v>1947.263247</v>
      </c>
      <c r="X119" s="59" t="str">
        <f t="shared" si="13"/>
        <v>32m 27s</v>
      </c>
      <c r="Y119" s="69">
        <f t="shared" si="14"/>
        <v>4486547</v>
      </c>
      <c r="Z119" s="11"/>
    </row>
    <row r="120">
      <c r="A120" s="8"/>
      <c r="B120" s="56">
        <f t="shared" si="2"/>
        <v>13</v>
      </c>
      <c r="C120" s="57" t="s">
        <v>9</v>
      </c>
      <c r="D120" s="10" t="b">
        <f>IFERROR(__xludf.DUMMYFUNCTION("IF(COUNTA(C120:C1350)=0,"""",IF(ISBLANK(C120),FALSE,IF(NOT(COUNTIF($AA$24:$AA$34,SUBSTITUTE(C120,""Sell_"",""""))),1,IF(REGEXMATCH(C120,""Sell_""),IF(COUNTIF(C$4:C120,SUBSTITUTE(C120,""Sell_"",""""))-COUNTIF(C$4:C119,C120)&lt;1,1),FALSE))))"),FALSE)</f>
        <v>0</v>
      </c>
      <c r="E120" s="59">
        <f t="array" ref="E120">IF(COUNTA(C120:C1350)=0,"",SUM((COUNTIF(C$4:C120,Upgrades!$B$3:$B$13)-COUNTIF(C$4:C120,"Sell_"&amp;Upgrades!$B$3:$B$13))*Upgrades!$D$3:$D$13))</f>
        <v>410330.5</v>
      </c>
      <c r="F120" s="66">
        <f>IFERROR(__xludf.DUMMYFUNCTION("IF(COUNTA(C120:C1350)=0,"""",IF(REGEXMATCH(INDEX(FILTER(C$4:C120,C$4:C120&lt;&gt;""""),ROWS(FILTER(C$4:C120,C$4:C120&lt;&gt;""""))),""^Sell_""),INDEX(FILTER(F$4:F119,C$4:C119&lt;&gt;""""),ROWS(FILTER(C$4:C119,C$4:C119&lt;&gt;""""))),$AC$5+E120))"),410530.5)</f>
        <v>410530.5</v>
      </c>
      <c r="G120" s="10">
        <f>IFERROR(__xludf.DUMMYFUNCTION("IF(COUNTA(C120:C1350)=0,"""",IF(C120="""",0,IF(REGEXMATCH(C120,""^Sell_""),-ROUNDDOWN(ROUNDUP(INDEX(Upgrades!$C$3:$C$13,MATCH(SUBSTITUTE(C120,""Sell_"",""""),Upgrades!$B$3:$B$13,0))*1.15^(COUNTIF(C$4:C119,SUBSTITUTE(C120,""Sell_"",""""))-COUNTIF(C$4:C119,"&amp;"""Sell_""&amp;SUBSTITUTE(C120,""Sell_"",""""))))/2),ROUNDUP(INDEX(Upgrades!$C$3:$C$13,MATCH(C120,Upgrades!$B$3:$B$13,0))*1.15^(COUNTIF(C$4:C119,C120)-COUNTIF(C$4:C119,""Sell_""&amp;C120))))))"),1070051.0)</f>
        <v>1070051</v>
      </c>
      <c r="H120" s="10">
        <f t="shared" si="3"/>
        <v>1070051</v>
      </c>
      <c r="I120" s="68">
        <f t="shared" si="4"/>
        <v>5978.867259</v>
      </c>
      <c r="J120" s="59" t="str">
        <f t="shared" si="5"/>
        <v>1h 39m 38s</v>
      </c>
      <c r="K120" s="69">
        <f t="shared" si="6"/>
        <v>530571930</v>
      </c>
      <c r="L120" s="60">
        <f t="shared" si="7"/>
        <v>-259.33133</v>
      </c>
      <c r="M120" s="61">
        <f>IFERROR(__xludf.DUMMYFUNCTION("IFS(AND(COUNTA(C120:C1350)=0,COUNTA(Q120:Q1350)=0),"""",OR(AND(K120&gt;=1000000000,OR(Y120&gt;=1000000000,COUNTA(Q120:Q1350)=0)),OR(Y120&gt;=1000000000,AND(COUNTA(C120:C1350)=0,P$3=TRUE))),
ROUNDDOWN((AB$1-AC$1)*MAX(INDEX(T$4:T1350,MATCH(LARGE(FILTER(Y$4:Y1350,Y$4"&amp;":Y1350&lt;1000000000),1),Y$4:Y1350)),INDEX(F$4:F1350,MATCH(LARGE(FILTER(K$4:K1350,K$4:K1350&lt;1000000000),1),K$4:K1350)))),AND(K120&lt;1000000000,COUNTA(C120:C1350)&gt;0,P$3=FALSE),
ROUNDDOWN(INDEX(Y$4:Y1350,MATCH(LARGE(FILTER(W$4:W1350,W$4:W1350&lt;=I120),1),W$4:W1350"&amp;"))+(I120-LARGE(FILTER(W$4:W1350,W$4:W1350&lt;=I120),1))*INDEX(T$4:T1350,MATCH(LARGE(FILTER(W$4:W1350,W$4:W1350&lt;=I120),1),W$4:W1350))-K120),1,
ROUNDDOWN(Y120-INDEX(K$4:K1350,MATCH(LARGE(FILTER(I$4:I1350,I$4:I1350&lt;=W120),1),I$4:I1350))-(W120-LARGE(FILTER(I$4:I"&amp;"1350,I$4:I1350&lt;=W120),1))*INDEX(F$4:F1350,MATCH(LARGE(FILTER(I$4:I1350,I$4:I1350&lt;=W120),1),I$4:I1350))))"),9.0278875E7)</f>
        <v>90278875</v>
      </c>
      <c r="N120" s="60">
        <f t="shared" si="8"/>
        <v>-259.33133</v>
      </c>
      <c r="O120" s="61" t="str">
        <f t="shared" si="9"/>
        <v>90,3M</v>
      </c>
      <c r="P120" s="56">
        <f t="shared" si="10"/>
        <v>20</v>
      </c>
      <c r="Q120" s="67" t="s">
        <v>59</v>
      </c>
      <c r="R120" s="10" t="b">
        <f>IFERROR(__xludf.DUMMYFUNCTION("IF(COUNTA(Q120:Q1350)=0,"""",IF(ISBLANK(Q120),FALSE,IF(NOT(COUNTIF($AA$24:$AA$34,SUBSTITUTE(Q120,""Sell_"",""""))),1,IF(REGEXMATCH(Q120,""Sell_""),IF(COUNTIF(Q$4:Q120,SUBSTITUTE(Q120,""Sell_"",""""))-COUNTIF(Q$4:Q119,Q120)&lt;1,1),FALSE))))"),FALSE)</f>
        <v>0</v>
      </c>
      <c r="S120" s="59">
        <f t="array" ref="S120">IF(COUNTA(Q120:Q1350)=0,"",SUM((COUNTIF(Q$4:Q120,Upgrades!$B$3:$B$13)-COUNTIF(Q$4:Q120,"Sell_"&amp;Upgrades!$B$3:$B$13))*Upgrades!$D$3:$D$13))</f>
        <v>13614.8</v>
      </c>
      <c r="T120" s="66">
        <f>IFERROR(__xludf.DUMMYFUNCTION("IF(COUNTA(Q120:Q1350)=0,"""",IF(REGEXMATCH(INDEX(FILTER(Q$4:Q120,Q$4:Q120&lt;&gt;""""),ROWS(FILTER(Q$4:Q120,Q$4:Q120&lt;&gt;""""))),""^Sell_""),INDEX(FILTER(T$4:T119,Q$4:Q119&lt;&gt;""""),ROWS(FILTER(Q$4:Q119,Q$4:Q119&lt;&gt;""""))),$AD$5+S120))"),14074.8)</f>
        <v>14074.8</v>
      </c>
      <c r="U120" s="10">
        <f>IFERROR(__xludf.DUMMYFUNCTION("IF(COUNTA(Q120:Q1350)=0,"""",IF(Q120="""",0,IF(REGEXMATCH(Q120,""^Sell_""),-ROUNDDOWN(ROUNDUP(INDEX(Upgrades!$C$3:$C$13,MATCH(SUBSTITUTE(Q120,""Sell_"",""""),Upgrades!$B$3:$B$13,0))*1.15^(COUNTIF(Q$4:Q119,SUBSTITUTE(Q120,""Sell_"",""""))-COUNTIF(Q$4:Q119,"&amp;"""Sell_""&amp;SUBSTITUTE(Q120,""Sell_"",""""))))/2),ROUNDUP(INDEX(Upgrades!$C$3:$C$13,MATCH(Q120,Upgrades!$B$3:$B$13,0))*1.15^(COUNTIF(Q$4:Q119,Q120)-COUNTIF(Q$4:Q119,""Sell_""&amp;Q120))))))"),-6612.0)</f>
        <v>-6612</v>
      </c>
      <c r="V120" s="10">
        <f t="shared" si="11"/>
        <v>-59468</v>
      </c>
      <c r="W120" s="68">
        <f t="shared" si="12"/>
        <v>1947.263247</v>
      </c>
      <c r="X120" s="59" t="str">
        <f t="shared" si="13"/>
        <v>32m 27s</v>
      </c>
      <c r="Y120" s="69">
        <f t="shared" si="14"/>
        <v>4486547</v>
      </c>
      <c r="Z120" s="11"/>
    </row>
    <row r="121">
      <c r="A121" s="8"/>
      <c r="B121" s="56">
        <f t="shared" si="2"/>
        <v>4</v>
      </c>
      <c r="C121" s="67" t="s">
        <v>11</v>
      </c>
      <c r="D121" s="10" t="b">
        <f>IFERROR(__xludf.DUMMYFUNCTION("IF(COUNTA(C121:C1350)=0,"""",IF(ISBLANK(C121),FALSE,IF(NOT(COUNTIF($AA$24:$AA$34,SUBSTITUTE(C121,""Sell_"",""""))),1,IF(REGEXMATCH(C121,""Sell_""),IF(COUNTIF(C$4:C121,SUBSTITUTE(C121,""Sell_"",""""))-COUNTIF(C$4:C120,C121)&lt;1,1),FALSE))))"),FALSE)</f>
        <v>0</v>
      </c>
      <c r="E121" s="59">
        <f t="array" ref="E121">IF(COUNTA(C121:C1350)=0,"",SUM((COUNTIF(C$4:C121,Upgrades!$B$3:$B$13)-COUNTIF(C$4:C121,"Sell_"&amp;Upgrades!$B$3:$B$13))*Upgrades!$D$3:$D$13))</f>
        <v>509095.5</v>
      </c>
      <c r="F121" s="66">
        <f>IFERROR(__xludf.DUMMYFUNCTION("IF(COUNTA(C121:C1350)=0,"""",IF(REGEXMATCH(INDEX(FILTER(C$4:C121,C$4:C121&lt;&gt;""""),ROWS(FILTER(C$4:C121,C$4:C121&lt;&gt;""""))),""^Sell_""),INDEX(FILTER(F$4:F120,C$4:C120&lt;&gt;""""),ROWS(FILTER(C$4:C120,C$4:C120&lt;&gt;""""))),$AC$5+E121))"),509295.5)</f>
        <v>509295.5</v>
      </c>
      <c r="G121" s="10">
        <f>IFERROR(__xludf.DUMMYFUNCTION("IF(COUNTA(C121:C1350)=0,"""",IF(C121="""",0,IF(REGEXMATCH(C121,""^Sell_""),-ROUNDDOWN(ROUNDUP(INDEX(Upgrades!$C$3:$C$13,MATCH(SUBSTITUTE(C121,""Sell_"",""""),Upgrades!$B$3:$B$13,0))*1.15^(COUNTIF(C$4:C120,SUBSTITUTE(C121,""Sell_"",""""))-COUNTIF(C$4:C120,"&amp;"""Sell_""&amp;SUBSTITUTE(C121,""Sell_"",""""))))/2),ROUNDUP(INDEX(Upgrades!$C$3:$C$13,MATCH(C121,Upgrades!$B$3:$B$13,0))*1.15^(COUNTIF(C$4:C120,C121)-COUNTIF(C$4:C120,""Sell_""&amp;C121))))))"),1.87762344E8)</f>
        <v>187762344</v>
      </c>
      <c r="H121" s="10">
        <f t="shared" si="3"/>
        <v>187762344</v>
      </c>
      <c r="I121" s="68">
        <f t="shared" si="4"/>
        <v>6436.23241</v>
      </c>
      <c r="J121" s="59" t="str">
        <f t="shared" si="5"/>
        <v>1h 47m 16s</v>
      </c>
      <c r="K121" s="69">
        <f t="shared" si="6"/>
        <v>718334274</v>
      </c>
      <c r="L121" s="60">
        <f t="shared" si="7"/>
        <v>-232.70328</v>
      </c>
      <c r="M121" s="61">
        <f>IFERROR(__xludf.DUMMYFUNCTION("IFS(AND(COUNTA(C121:C1350)=0,COUNTA(Q121:Q1350)=0),"""",OR(AND(K121&gt;=1000000000,OR(Y121&gt;=1000000000,COUNTA(Q121:Q1350)=0)),OR(Y121&gt;=1000000000,AND(COUNTA(C121:C1350)=0,P$3=TRUE))),
ROUNDDOWN((AB$1-AC$1)*MAX(INDEX(T$4:T1350,MATCH(LARGE(FILTER(Y$4:Y1350,Y$4"&amp;":Y1350&lt;1000000000),1),Y$4:Y1350)),INDEX(F$4:F1350,MATCH(LARGE(FILTER(K$4:K1350,K$4:K1350&lt;1000000000),1),K$4:K1350)))),AND(K121&lt;1000000000,COUNTA(C121:C1350)&gt;0,P$3=FALSE),
ROUNDDOWN(INDEX(Y$4:Y1350,MATCH(LARGE(FILTER(W$4:W1350,W$4:W1350&lt;=I121),1),W$4:W1350"&amp;"))+(I121-LARGE(FILTER(W$4:W1350,W$4:W1350&lt;=I121),1))*INDEX(T$4:T1350,MATCH(LARGE(FILTER(W$4:W1350,W$4:W1350&lt;=I121),1),W$4:W1350))-K121),1,
ROUNDDOWN(Y121-INDEX(K$4:K1350,MATCH(LARGE(FILTER(I$4:I1350,I$4:I1350&lt;=W121),1),I$4:I1350))-(W121-LARGE(FILTER(I$4:I"&amp;"1350,I$4:I1350&lt;=W121),1))*INDEX(F$4:F1350,MATCH(LARGE(FILTER(I$4:I1350,I$4:I1350&lt;=W121),1),I$4:I1350))))"),1.03662221E8)</f>
        <v>103662221</v>
      </c>
      <c r="N121" s="60">
        <f t="shared" si="8"/>
        <v>-232.70328</v>
      </c>
      <c r="O121" s="61" t="str">
        <f t="shared" si="9"/>
        <v>103,7M</v>
      </c>
      <c r="P121" s="56">
        <f t="shared" si="10"/>
        <v>21</v>
      </c>
      <c r="Q121" s="67" t="s">
        <v>59</v>
      </c>
      <c r="R121" s="10" t="b">
        <f>IFERROR(__xludf.DUMMYFUNCTION("IF(COUNTA(Q121:Q1350)=0,"""",IF(ISBLANK(Q121),FALSE,IF(NOT(COUNTIF($AA$24:$AA$34,SUBSTITUTE(Q121,""Sell_"",""""))),1,IF(REGEXMATCH(Q121,""Sell_""),IF(COUNTIF(Q$4:Q121,SUBSTITUTE(Q121,""Sell_"",""""))-COUNTIF(Q$4:Q120,Q121)&lt;1,1),FALSE))))"),FALSE)</f>
        <v>0</v>
      </c>
      <c r="S121" s="59">
        <f t="array" ref="S121">IF(COUNTA(Q121:Q1350)=0,"",SUM((COUNTIF(Q$4:Q121,Upgrades!$B$3:$B$13)-COUNTIF(Q$4:Q121,"Sell_"&amp;Upgrades!$B$3:$B$13))*Upgrades!$D$3:$D$13))</f>
        <v>13574.8</v>
      </c>
      <c r="T121" s="66">
        <f>IFERROR(__xludf.DUMMYFUNCTION("IF(COUNTA(Q121:Q1350)=0,"""",IF(REGEXMATCH(INDEX(FILTER(Q$4:Q121,Q$4:Q121&lt;&gt;""""),ROWS(FILTER(Q$4:Q121,Q$4:Q121&lt;&gt;""""))),""^Sell_""),INDEX(FILTER(T$4:T120,Q$4:Q120&lt;&gt;""""),ROWS(FILTER(Q$4:Q120,Q$4:Q120&lt;&gt;""""))),$AD$5+S121))"),14074.8)</f>
        <v>14074.8</v>
      </c>
      <c r="U121" s="10">
        <f>IFERROR(__xludf.DUMMYFUNCTION("IF(COUNTA(Q121:Q1350)=0,"""",IF(Q121="""",0,IF(REGEXMATCH(Q121,""^Sell_""),-ROUNDDOWN(ROUNDUP(INDEX(Upgrades!$C$3:$C$13,MATCH(SUBSTITUTE(Q121,""Sell_"",""""),Upgrades!$B$3:$B$13,0))*1.15^(COUNTIF(Q$4:Q120,SUBSTITUTE(Q121,""Sell_"",""""))-COUNTIF(Q$4:Q120,"&amp;"""Sell_""&amp;SUBSTITUTE(Q121,""Sell_"",""""))))/2),ROUNDUP(INDEX(Upgrades!$C$3:$C$13,MATCH(Q121,Upgrades!$B$3:$B$13,0))*1.15^(COUNTIF(Q$4:Q120,Q121)-COUNTIF(Q$4:Q120,""Sell_""&amp;Q121))))))"),-5750.0)</f>
        <v>-5750</v>
      </c>
      <c r="V121" s="10">
        <f t="shared" si="11"/>
        <v>-65218</v>
      </c>
      <c r="W121" s="68">
        <f t="shared" si="12"/>
        <v>1947.263247</v>
      </c>
      <c r="X121" s="59" t="str">
        <f t="shared" si="13"/>
        <v>32m 27s</v>
      </c>
      <c r="Y121" s="69">
        <f t="shared" si="14"/>
        <v>4486547</v>
      </c>
      <c r="Z121" s="11"/>
    </row>
    <row r="122">
      <c r="A122" s="8"/>
      <c r="B122" s="56">
        <f t="shared" si="2"/>
        <v>17</v>
      </c>
      <c r="C122" s="57" t="s">
        <v>10</v>
      </c>
      <c r="D122" s="10" t="b">
        <f>IFERROR(__xludf.DUMMYFUNCTION("IF(COUNTA(C122:C1350)=0,"""",IF(ISBLANK(C122),FALSE,IF(NOT(COUNTIF($AA$24:$AA$34,SUBSTITUTE(C122,""Sell_"",""""))),1,IF(REGEXMATCH(C122,""Sell_""),IF(COUNTIF(C$4:C122,SUBSTITUTE(C122,""Sell_"",""""))-COUNTIF(C$4:C121,C122)&lt;1,1),FALSE))))"),FALSE)</f>
        <v>0</v>
      </c>
      <c r="E122" s="59">
        <f t="array" ref="E122">IF(COUNTA(C122:C1350)=0,"",SUM((COUNTIF(C$4:C122,Upgrades!$B$3:$B$13)-COUNTIF(C$4:C122,"Sell_"&amp;Upgrades!$B$3:$B$13))*Upgrades!$D$3:$D$13))</f>
        <v>515761.5</v>
      </c>
      <c r="F122" s="66">
        <f>IFERROR(__xludf.DUMMYFUNCTION("IF(COUNTA(C122:C1350)=0,"""",IF(REGEXMATCH(INDEX(FILTER(C$4:C122,C$4:C122&lt;&gt;""""),ROWS(FILTER(C$4:C122,C$4:C122&lt;&gt;""""))),""^Sell_""),INDEX(FILTER(F$4:F121,C$4:C121&lt;&gt;""""),ROWS(FILTER(C$4:C121,C$4:C121&lt;&gt;""""))),$AC$5+E122))"),515961.5)</f>
        <v>515961.5</v>
      </c>
      <c r="G122" s="10">
        <f>IFERROR(__xludf.DUMMYFUNCTION("IF(COUNTA(C122:C1350)=0,"""",IF(C122="""",0,IF(REGEXMATCH(C122,""^Sell_""),-ROUNDDOWN(ROUNDUP(INDEX(Upgrades!$C$3:$C$13,MATCH(SUBSTITUTE(C122,""Sell_"",""""),Upgrades!$B$3:$B$13,0))*1.15^(COUNTIF(C$4:C121,SUBSTITUTE(C122,""Sell_"",""""))-COUNTIF(C$4:C121,"&amp;"""Sell_""&amp;SUBSTITUTE(C122,""Sell_"",""""))))/2),ROUNDUP(INDEX(Upgrades!$C$3:$C$13,MATCH(C122,Upgrades!$B$3:$B$13,0))*1.15^(COUNTIF(C$4:C121,C122)-COUNTIF(C$4:C121,""Sell_""&amp;C122))))))"),1.5596029E7)</f>
        <v>15596029</v>
      </c>
      <c r="H122" s="10">
        <f t="shared" si="3"/>
        <v>15596029</v>
      </c>
      <c r="I122" s="68">
        <f t="shared" si="4"/>
        <v>6466.85516</v>
      </c>
      <c r="J122" s="59" t="str">
        <f t="shared" si="5"/>
        <v>1h 47m 46s</v>
      </c>
      <c r="K122" s="69">
        <f t="shared" si="6"/>
        <v>733930303</v>
      </c>
      <c r="L122" s="60">
        <f t="shared" si="7"/>
        <v>-227.76886</v>
      </c>
      <c r="M122" s="61">
        <f>IFERROR(__xludf.DUMMYFUNCTION("IFS(AND(COUNTA(C122:C1350)=0,COUNTA(Q122:Q1350)=0),"""",OR(AND(K122&gt;=1000000000,OR(Y122&gt;=1000000000,COUNTA(Q122:Q1350)=0)),OR(Y122&gt;=1000000000,AND(COUNTA(C122:C1350)=0,P$3=TRUE))),
ROUNDDOWN((AB$1-AC$1)*MAX(INDEX(T$4:T1350,MATCH(LARGE(FILTER(Y$4:Y1350,Y$4"&amp;":Y1350&lt;1000000000),1),Y$4:Y1350)),INDEX(F$4:F1350,MATCH(LARGE(FILTER(K$4:K1350,K$4:K1350&lt;1000000000),1),K$4:K1350)))),AND(K122&lt;1000000000,COUNTA(C122:C1350)&gt;0,P$3=FALSE),
ROUNDDOWN(INDEX(Y$4:Y1350,MATCH(LARGE(FILTER(W$4:W1350,W$4:W1350&lt;=I122),1),W$4:W1350"&amp;"))+(I122-LARGE(FILTER(W$4:W1350,W$4:W1350&lt;=I122),1))*INDEX(T$4:T1350,MATCH(LARGE(FILTER(W$4:W1350,W$4:W1350&lt;=I122),1),W$4:W1350))-K122),1,
ROUNDDOWN(Y122-INDEX(K$4:K1350,MATCH(LARGE(FILTER(I$4:I1350,I$4:I1350&lt;=W122),1),I$4:I1350))-(W122-LARGE(FILTER(I$4:I"&amp;"1350,I$4:I1350&lt;=W122),1))*INDEX(F$4:F1350,MATCH(LARGE(FILTER(I$4:I1350,I$4:I1350&lt;=W122),1),I$4:I1350))))"),1.03873821E8)</f>
        <v>103873821</v>
      </c>
      <c r="N122" s="60">
        <f t="shared" si="8"/>
        <v>-227.76886</v>
      </c>
      <c r="O122" s="61" t="str">
        <f t="shared" si="9"/>
        <v>103,9M</v>
      </c>
      <c r="P122" s="56">
        <f t="shared" si="10"/>
        <v>10</v>
      </c>
      <c r="Q122" s="67" t="s">
        <v>61</v>
      </c>
      <c r="R122" s="10" t="b">
        <f>IFERROR(__xludf.DUMMYFUNCTION("IF(COUNTA(Q122:Q1350)=0,"""",IF(ISBLANK(Q122),FALSE,IF(NOT(COUNTIF($AA$24:$AA$34,SUBSTITUTE(Q122,""Sell_"",""""))),1,IF(REGEXMATCH(Q122,""Sell_""),IF(COUNTIF(Q$4:Q122,SUBSTITUTE(Q122,""Sell_"",""""))-COUNTIF(Q$4:Q121,Q122)&lt;1,1),FALSE))))"),FALSE)</f>
        <v>0</v>
      </c>
      <c r="S122" s="59">
        <f t="array" ref="S122">IF(COUNTA(Q122:Q1350)=0,"",SUM((COUNTIF(Q$4:Q122,Upgrades!$B$3:$B$13)-COUNTIF(Q$4:Q122,"Sell_"&amp;Upgrades!$B$3:$B$13))*Upgrades!$D$3:$D$13))</f>
        <v>13474.8</v>
      </c>
      <c r="T122" s="66">
        <f>IFERROR(__xludf.DUMMYFUNCTION("IF(COUNTA(Q122:Q1350)=0,"""",IF(REGEXMATCH(INDEX(FILTER(Q$4:Q122,Q$4:Q122&lt;&gt;""""),ROWS(FILTER(Q$4:Q122,Q$4:Q122&lt;&gt;""""))),""^Sell_""),INDEX(FILTER(T$4:T121,Q$4:Q121&lt;&gt;""""),ROWS(FILTER(Q$4:Q121,Q$4:Q121&lt;&gt;""""))),$AD$5+S122))"),14074.8)</f>
        <v>14074.8</v>
      </c>
      <c r="U122" s="10">
        <f>IFERROR(__xludf.DUMMYFUNCTION("IF(COUNTA(Q122:Q1350)=0,"""",IF(Q122="""",0,IF(REGEXMATCH(Q122,""^Sell_""),-ROUNDDOWN(ROUNDUP(INDEX(Upgrades!$C$3:$C$13,MATCH(SUBSTITUTE(Q122,""Sell_"",""""),Upgrades!$B$3:$B$13,0))*1.15^(COUNTIF(Q$4:Q121,SUBSTITUTE(Q122,""Sell_"",""""))-COUNTIF(Q$4:Q121,"&amp;"""Sell_""&amp;SUBSTITUTE(Q122,""Sell_"",""""))))/2),ROUNDUP(INDEX(Upgrades!$C$3:$C$13,MATCH(Q122,Upgrades!$B$3:$B$13,0))*1.15^(COUNTIF(Q$4:Q121,Q122)-COUNTIF(Q$4:Q121,""Sell_""&amp;Q122))))))"),-23000.0)</f>
        <v>-23000</v>
      </c>
      <c r="V122" s="10">
        <f t="shared" si="11"/>
        <v>-88218</v>
      </c>
      <c r="W122" s="68">
        <f t="shared" si="12"/>
        <v>1947.263247</v>
      </c>
      <c r="X122" s="59" t="str">
        <f t="shared" si="13"/>
        <v>32m 27s</v>
      </c>
      <c r="Y122" s="69">
        <f t="shared" si="14"/>
        <v>4486547</v>
      </c>
      <c r="Z122" s="11"/>
    </row>
    <row r="123">
      <c r="A123" s="8"/>
      <c r="B123" s="56">
        <f t="shared" si="2"/>
        <v>14</v>
      </c>
      <c r="C123" s="57" t="s">
        <v>8</v>
      </c>
      <c r="D123" s="10" t="b">
        <f>IFERROR(__xludf.DUMMYFUNCTION("IF(COUNTA(C123:C1350)=0,"""",IF(ISBLANK(C123),FALSE,IF(NOT(COUNTIF($AA$24:$AA$34,SUBSTITUTE(C123,""Sell_"",""""))),1,IF(REGEXMATCH(C123,""Sell_""),IF(COUNTIF(C$4:C123,SUBSTITUTE(C123,""Sell_"",""""))-COUNTIF(C$4:C122,C123)&lt;1,1),FALSE))))"),FALSE)</f>
        <v>0</v>
      </c>
      <c r="E123" s="59">
        <f t="array" ref="E123">IF(COUNTA(C123:C1350)=0,"",SUM((COUNTIF(C$4:C123,Upgrades!$B$3:$B$13)-COUNTIF(C$4:C123,"Sell_"&amp;Upgrades!$B$3:$B$13))*Upgrades!$D$3:$D$13))</f>
        <v>515861.5</v>
      </c>
      <c r="F123" s="66">
        <f>IFERROR(__xludf.DUMMYFUNCTION("IF(COUNTA(C123:C1350)=0,"""",IF(REGEXMATCH(INDEX(FILTER(C$4:C123,C$4:C123&lt;&gt;""""),ROWS(FILTER(C$4:C123,C$4:C123&lt;&gt;""""))),""^Sell_""),INDEX(FILTER(F$4:F122,C$4:C122&lt;&gt;""""),ROWS(FILTER(C$4:C122,C$4:C122&lt;&gt;""""))),$AC$5+E123))"),516061.5)</f>
        <v>516061.5</v>
      </c>
      <c r="G123" s="10">
        <f>IFERROR(__xludf.DUMMYFUNCTION("IF(COUNTA(C123:C1350)=0,"""",IF(C123="""",0,IF(REGEXMATCH(C123,""^Sell_""),-ROUNDDOWN(ROUNDUP(INDEX(Upgrades!$C$3:$C$13,MATCH(SUBSTITUTE(C123,""Sell_"",""""),Upgrades!$B$3:$B$13,0))*1.15^(COUNTIF(C$4:C122,SUBSTITUTE(C123,""Sell_"",""""))-COUNTIF(C$4:C122,"&amp;"""Sell_""&amp;SUBSTITUTE(C123,""Sell_"",""""))))/2),ROUNDUP(INDEX(Upgrades!$C$3:$C$13,MATCH(C123,Upgrades!$B$3:$B$13,0))*1.15^(COUNTIF(C$4:C122,C123)-COUNTIF(C$4:C122,""Sell_""&amp;C123))))))"),246112.0)</f>
        <v>246112</v>
      </c>
      <c r="H123" s="10">
        <f t="shared" si="3"/>
        <v>246112</v>
      </c>
      <c r="I123" s="68">
        <f t="shared" si="4"/>
        <v>6467.332157</v>
      </c>
      <c r="J123" s="59" t="str">
        <f t="shared" si="5"/>
        <v>1h 47m 47s</v>
      </c>
      <c r="K123" s="69">
        <f t="shared" si="6"/>
        <v>734176415</v>
      </c>
      <c r="L123" s="60">
        <f t="shared" si="7"/>
        <v>-227.68475</v>
      </c>
      <c r="M123" s="61">
        <f>IFERROR(__xludf.DUMMYFUNCTION("IFS(AND(COUNTA(C123:C1350)=0,COUNTA(Q123:Q1350)=0),"""",OR(AND(K123&gt;=1000000000,OR(Y123&gt;=1000000000,COUNTA(Q123:Q1350)=0)),OR(Y123&gt;=1000000000,AND(COUNTA(C123:C1350)=0,P$3=TRUE))),
ROUNDDOWN((AB$1-AC$1)*MAX(INDEX(T$4:T1350,MATCH(LARGE(FILTER(Y$4:Y1350,Y$4"&amp;":Y1350&lt;1000000000),1),Y$4:Y1350)),INDEX(F$4:F1350,MATCH(LARGE(FILTER(K$4:K1350,K$4:K1350&lt;1000000000),1),K$4:K1350)))),AND(K123&lt;1000000000,COUNTA(C123:C1350)&gt;0,P$3=FALSE),
ROUNDDOWN(INDEX(Y$4:Y1350,MATCH(LARGE(FILTER(W$4:W1350,W$4:W1350&lt;=I123),1),W$4:W1350"&amp;"))+(I123-LARGE(FILTER(W$4:W1350,W$4:W1350&lt;=I123),1))*INDEX(T$4:T1350,MATCH(LARGE(FILTER(W$4:W1350,W$4:W1350&lt;=I123),1),W$4:W1350))-K123),1,
ROUNDDOWN(Y123-INDEX(K$4:K1350,MATCH(LARGE(FILTER(I$4:I1350,I$4:I1350&lt;=W123),1),I$4:I1350))-(W123-LARGE(FILTER(I$4:I"&amp;"1350,I$4:I1350&lt;=W123),1))*INDEX(F$4:F1350,MATCH(LARGE(FILTER(I$4:I1350,I$4:I1350&lt;=W123),1),I$4:I1350))))"),1.03873938E8)</f>
        <v>103873938</v>
      </c>
      <c r="N123" s="60">
        <f t="shared" si="8"/>
        <v>-227.68475</v>
      </c>
      <c r="O123" s="61" t="str">
        <f t="shared" si="9"/>
        <v>103,9M</v>
      </c>
      <c r="P123" s="56">
        <f t="shared" si="10"/>
        <v>3</v>
      </c>
      <c r="Q123" s="67" t="s">
        <v>10</v>
      </c>
      <c r="R123" s="10" t="b">
        <f>IFERROR(__xludf.DUMMYFUNCTION("IF(COUNTA(Q123:Q1350)=0,"""",IF(ISBLANK(Q123),FALSE,IF(NOT(COUNTIF($AA$24:$AA$34,SUBSTITUTE(Q123,""Sell_"",""""))),1,IF(REGEXMATCH(Q123,""Sell_""),IF(COUNTIF(Q$4:Q123,SUBSTITUTE(Q123,""Sell_"",""""))-COUNTIF(Q$4:Q122,Q123)&lt;1,1),FALSE))))"),FALSE)</f>
        <v>0</v>
      </c>
      <c r="S123" s="59">
        <f t="array" ref="S123">IF(COUNTA(Q123:Q1350)=0,"",SUM((COUNTIF(Q$4:Q123,Upgrades!$B$3:$B$13)-COUNTIF(Q$4:Q123,"Sell_"&amp;Upgrades!$B$3:$B$13))*Upgrades!$D$3:$D$13))</f>
        <v>20140.8</v>
      </c>
      <c r="T123" s="66">
        <f>IFERROR(__xludf.DUMMYFUNCTION("IF(COUNTA(Q123:Q1350)=0,"""",IF(REGEXMATCH(INDEX(FILTER(Q$4:Q123,Q$4:Q123&lt;&gt;""""),ROWS(FILTER(Q$4:Q123,Q$4:Q123&lt;&gt;""""))),""^Sell_""),INDEX(FILTER(T$4:T122,Q$4:Q122&lt;&gt;""""),ROWS(FILTER(Q$4:Q122,Q$4:Q122&lt;&gt;""""))),$AD$5+S123))"),20340.8)</f>
        <v>20340.8</v>
      </c>
      <c r="U123" s="10">
        <f>IFERROR(__xludf.DUMMYFUNCTION("IF(COUNTA(Q123:Q1350)=0,"""",IF(Q123="""",0,IF(REGEXMATCH(Q123,""^Sell_""),-ROUNDDOWN(ROUNDUP(INDEX(Upgrades!$C$3:$C$13,MATCH(SUBSTITUTE(Q123,""Sell_"",""""),Upgrades!$B$3:$B$13,0))*1.15^(COUNTIF(Q$4:Q122,SUBSTITUTE(Q123,""Sell_"",""""))-COUNTIF(Q$4:Q122,"&amp;"""Sell_""&amp;SUBSTITUTE(Q123,""Sell_"",""""))))/2),ROUNDUP(INDEX(Upgrades!$C$3:$C$13,MATCH(Q123,Upgrades!$B$3:$B$13,0))*1.15^(COUNTIF(Q$4:Q122,Q123)-COUNTIF(Q$4:Q122,""Sell_""&amp;Q123))))))"),2204166.0)</f>
        <v>2204166</v>
      </c>
      <c r="V123" s="10">
        <f t="shared" si="11"/>
        <v>2115948</v>
      </c>
      <c r="W123" s="68">
        <f t="shared" si="12"/>
        <v>2097.599166</v>
      </c>
      <c r="X123" s="59" t="str">
        <f t="shared" si="13"/>
        <v>34m 57s</v>
      </c>
      <c r="Y123" s="69">
        <f t="shared" si="14"/>
        <v>6602495</v>
      </c>
      <c r="Z123" s="11"/>
    </row>
    <row r="124">
      <c r="A124" s="8"/>
      <c r="B124" s="56">
        <f t="shared" si="2"/>
        <v>14</v>
      </c>
      <c r="C124" s="57" t="s">
        <v>9</v>
      </c>
      <c r="D124" s="10" t="b">
        <f>IFERROR(__xludf.DUMMYFUNCTION("IF(COUNTA(C124:C1350)=0,"""",IF(ISBLANK(C124),FALSE,IF(NOT(COUNTIF($AA$24:$AA$34,SUBSTITUTE(C124,""Sell_"",""""))),1,IF(REGEXMATCH(C124,""Sell_""),IF(COUNTIF(C$4:C124,SUBSTITUTE(C124,""Sell_"",""""))-COUNTIF(C$4:C123,C124)&lt;1,1),FALSE))))"),FALSE)</f>
        <v>0</v>
      </c>
      <c r="E124" s="59">
        <f t="array" ref="E124">IF(COUNTA(C124:C1350)=0,"",SUM((COUNTIF(C$4:C124,Upgrades!$B$3:$B$13)-COUNTIF(C$4:C124,"Sell_"&amp;Upgrades!$B$3:$B$13))*Upgrades!$D$3:$D$13))</f>
        <v>516261.5</v>
      </c>
      <c r="F124" s="66">
        <f>IFERROR(__xludf.DUMMYFUNCTION("IF(COUNTA(C124:C1350)=0,"""",IF(REGEXMATCH(INDEX(FILTER(C$4:C124,C$4:C124&lt;&gt;""""),ROWS(FILTER(C$4:C124,C$4:C124&lt;&gt;""""))),""^Sell_""),INDEX(FILTER(F$4:F123,C$4:C123&lt;&gt;""""),ROWS(FILTER(C$4:C123,C$4:C123&lt;&gt;""""))),$AC$5+E124))"),516461.5)</f>
        <v>516461.5</v>
      </c>
      <c r="G124" s="10">
        <f>IFERROR(__xludf.DUMMYFUNCTION("IF(COUNTA(C124:C1350)=0,"""",IF(C124="""",0,IF(REGEXMATCH(C124,""^Sell_""),-ROUNDDOWN(ROUNDUP(INDEX(Upgrades!$C$3:$C$13,MATCH(SUBSTITUTE(C124,""Sell_"",""""),Upgrades!$B$3:$B$13,0))*1.15^(COUNTIF(C$4:C123,SUBSTITUTE(C124,""Sell_"",""""))-COUNTIF(C$4:C123,"&amp;"""Sell_""&amp;SUBSTITUTE(C124,""Sell_"",""""))))/2),ROUNDUP(INDEX(Upgrades!$C$3:$C$13,MATCH(C124,Upgrades!$B$3:$B$13,0))*1.15^(COUNTIF(C$4:C123,C124)-COUNTIF(C$4:C123,""Sell_""&amp;C124))))))"),1230558.0)</f>
        <v>1230558</v>
      </c>
      <c r="H124" s="10">
        <f t="shared" si="3"/>
        <v>1230558</v>
      </c>
      <c r="I124" s="68">
        <f t="shared" si="4"/>
        <v>6469.716675</v>
      </c>
      <c r="J124" s="59" t="str">
        <f t="shared" si="5"/>
        <v>1h 47m 49s</v>
      </c>
      <c r="K124" s="69">
        <f t="shared" si="6"/>
        <v>735406973</v>
      </c>
      <c r="L124" s="60">
        <f t="shared" si="7"/>
        <v>-227.26373</v>
      </c>
      <c r="M124" s="61">
        <f>IFERROR(__xludf.DUMMYFUNCTION("IFS(AND(COUNTA(C124:C1350)=0,COUNTA(Q124:Q1350)=0),"""",OR(AND(K124&gt;=1000000000,OR(Y124&gt;=1000000000,COUNTA(Q124:Q1350)=0)),OR(Y124&gt;=1000000000,AND(COUNTA(C124:C1350)=0,P$3=TRUE))),
ROUNDDOWN((AB$1-AC$1)*MAX(INDEX(T$4:T1350,MATCH(LARGE(FILTER(Y$4:Y1350,Y$4"&amp;":Y1350&lt;1000000000),1),Y$4:Y1350)),INDEX(F$4:F1350,MATCH(LARGE(FILTER(K$4:K1350,K$4:K1350&lt;1000000000),1),K$4:K1350)))),AND(K124&lt;1000000000,COUNTA(C124:C1350)&gt;0,P$3=FALSE),
ROUNDDOWN(INDEX(Y$4:Y1350,MATCH(LARGE(FILTER(W$4:W1350,W$4:W1350&lt;=I124),1),W$4:W1350"&amp;"))+(I124-LARGE(FILTER(W$4:W1350,W$4:W1350&lt;=I124),1))*INDEX(T$4:T1350,MATCH(LARGE(FILTER(W$4:W1350,W$4:W1350&lt;=I124),1),W$4:W1350))-K124),1,
ROUNDDOWN(Y124-INDEX(K$4:K1350,MATCH(LARGE(FILTER(I$4:I1350,I$4:I1350&lt;=W124),1),I$4:I1350))-(W124-LARGE(FILTER(I$4:I"&amp;"1350,I$4:I1350&lt;=W124),1))*INDEX(F$4:F1350,MATCH(LARGE(FILTER(I$4:I1350,I$4:I1350&lt;=W124),1),I$4:I1350))))"),1.03887136E8)</f>
        <v>103887136</v>
      </c>
      <c r="N124" s="60">
        <f t="shared" si="8"/>
        <v>-227.26373</v>
      </c>
      <c r="O124" s="61" t="str">
        <f t="shared" si="9"/>
        <v>103,9M</v>
      </c>
      <c r="P124" s="56">
        <f t="shared" si="10"/>
        <v>1</v>
      </c>
      <c r="Q124" s="67" t="s">
        <v>7</v>
      </c>
      <c r="R124" s="10" t="b">
        <f>IFERROR(__xludf.DUMMYFUNCTION("IF(COUNTA(Q124:Q1350)=0,"""",IF(ISBLANK(Q124),FALSE,IF(NOT(COUNTIF($AA$24:$AA$34,SUBSTITUTE(Q124,""Sell_"",""""))),1,IF(REGEXMATCH(Q124,""Sell_""),IF(COUNTIF(Q$4:Q124,SUBSTITUTE(Q124,""Sell_"",""""))-COUNTIF(Q$4:Q123,Q124)&lt;1,1),FALSE))))"),FALSE)</f>
        <v>0</v>
      </c>
      <c r="S124" s="59">
        <f t="array" ref="S124">IF(COUNTA(Q124:Q1350)=0,"",SUM((COUNTIF(Q$4:Q124,Upgrades!$B$3:$B$13)-COUNTIF(Q$4:Q124,"Sell_"&amp;Upgrades!$B$3:$B$13))*Upgrades!$D$3:$D$13))</f>
        <v>20180.8</v>
      </c>
      <c r="T124" s="66">
        <f>IFERROR(__xludf.DUMMYFUNCTION("IF(COUNTA(Q124:Q1350)=0,"""",IF(REGEXMATCH(INDEX(FILTER(Q$4:Q124,Q$4:Q124&lt;&gt;""""),ROWS(FILTER(Q$4:Q124,Q$4:Q124&lt;&gt;""""))),""^Sell_""),INDEX(FILTER(T$4:T123,Q$4:Q123&lt;&gt;""""),ROWS(FILTER(Q$4:Q123,Q$4:Q123&lt;&gt;""""))),$AD$5+S124))"),20380.8)</f>
        <v>20380.8</v>
      </c>
      <c r="U124" s="10">
        <f>IFERROR(__xludf.DUMMYFUNCTION("IF(COUNTA(Q124:Q1350)=0,"""",IF(Q124="""",0,IF(REGEXMATCH(Q124,""^Sell_""),-ROUNDDOWN(ROUNDUP(INDEX(Upgrades!$C$3:$C$13,MATCH(SUBSTITUTE(Q124,""Sell_"",""""),Upgrades!$B$3:$B$13,0))*1.15^(COUNTIF(Q$4:Q123,SUBSTITUTE(Q124,""Sell_"",""""))-COUNTIF(Q$4:Q123,"&amp;"""Sell_""&amp;SUBSTITUTE(Q124,""Sell_"",""""))))/2),ROUNDUP(INDEX(Upgrades!$C$3:$C$13,MATCH(Q124,Upgrades!$B$3:$B$13,0))*1.15^(COUNTIF(Q$4:Q123,Q124)-COUNTIF(Q$4:Q123,""Sell_""&amp;Q124))))))"),10000.0)</f>
        <v>10000</v>
      </c>
      <c r="V124" s="10">
        <f t="shared" si="11"/>
        <v>10000</v>
      </c>
      <c r="W124" s="68">
        <f t="shared" si="12"/>
        <v>2098.090789</v>
      </c>
      <c r="X124" s="59" t="str">
        <f t="shared" si="13"/>
        <v>34m 58s</v>
      </c>
      <c r="Y124" s="69">
        <f t="shared" si="14"/>
        <v>6612495</v>
      </c>
      <c r="Z124" s="11"/>
    </row>
    <row r="125">
      <c r="A125" s="8"/>
      <c r="B125" s="56">
        <f t="shared" si="2"/>
        <v>18</v>
      </c>
      <c r="C125" s="57" t="s">
        <v>10</v>
      </c>
      <c r="D125" s="10" t="b">
        <f>IFERROR(__xludf.DUMMYFUNCTION("IF(COUNTA(C125:C1350)=0,"""",IF(ISBLANK(C125),FALSE,IF(NOT(COUNTIF($AA$24:$AA$34,SUBSTITUTE(C125,""Sell_"",""""))),1,IF(REGEXMATCH(C125,""Sell_""),IF(COUNTIF(C$4:C125,SUBSTITUTE(C125,""Sell_"",""""))-COUNTIF(C$4:C124,C125)&lt;1,1),FALSE))))"),FALSE)</f>
        <v>0</v>
      </c>
      <c r="E125" s="59">
        <f t="array" ref="E125">IF(COUNTA(C125:C1350)=0,"",SUM((COUNTIF(C$4:C125,Upgrades!$B$3:$B$13)-COUNTIF(C$4:C125,"Sell_"&amp;Upgrades!$B$3:$B$13))*Upgrades!$D$3:$D$13))</f>
        <v>522927.5</v>
      </c>
      <c r="F125" s="66">
        <f>IFERROR(__xludf.DUMMYFUNCTION("IF(COUNTA(C125:C1350)=0,"""",IF(REGEXMATCH(INDEX(FILTER(C$4:C125,C$4:C125&lt;&gt;""""),ROWS(FILTER(C$4:C125,C$4:C125&lt;&gt;""""))),""^Sell_""),INDEX(FILTER(F$4:F124,C$4:C124&lt;&gt;""""),ROWS(FILTER(C$4:C124,C$4:C124&lt;&gt;""""))),$AC$5+E125))"),523127.5)</f>
        <v>523127.5</v>
      </c>
      <c r="G125" s="10">
        <f>IFERROR(__xludf.DUMMYFUNCTION("IF(COUNTA(C125:C1350)=0,"""",IF(C125="""",0,IF(REGEXMATCH(C125,""^Sell_""),-ROUNDDOWN(ROUNDUP(INDEX(Upgrades!$C$3:$C$13,MATCH(SUBSTITUTE(C125,""Sell_"",""""),Upgrades!$B$3:$B$13,0))*1.15^(COUNTIF(C$4:C124,SUBSTITUTE(C125,""Sell_"",""""))-COUNTIF(C$4:C124,"&amp;"""Sell_""&amp;SUBSTITUTE(C125,""Sell_"",""""))))/2),ROUNDUP(INDEX(Upgrades!$C$3:$C$13,MATCH(C125,Upgrades!$B$3:$B$13,0))*1.15^(COUNTIF(C$4:C124,C125)-COUNTIF(C$4:C124,""Sell_""&amp;C125))))))"),1.7935433E7)</f>
        <v>17935433</v>
      </c>
      <c r="H125" s="10">
        <f t="shared" si="3"/>
        <v>17935433</v>
      </c>
      <c r="I125" s="68">
        <f t="shared" si="4"/>
        <v>6504.444207</v>
      </c>
      <c r="J125" s="59" t="str">
        <f t="shared" si="5"/>
        <v>1h 48m 24s</v>
      </c>
      <c r="K125" s="69">
        <f t="shared" si="6"/>
        <v>753342406</v>
      </c>
      <c r="L125" s="60">
        <f t="shared" si="7"/>
        <v>-221.10052</v>
      </c>
      <c r="M125" s="61">
        <f>IFERROR(__xludf.DUMMYFUNCTION("IFS(AND(COUNTA(C125:C1350)=0,COUNTA(Q125:Q1350)=0),"""",OR(AND(K125&gt;=1000000000,OR(Y125&gt;=1000000000,COUNTA(Q125:Q1350)=0)),OR(Y125&gt;=1000000000,AND(COUNTA(C125:C1350)=0,P$3=TRUE))),
ROUNDDOWN((AB$1-AC$1)*MAX(INDEX(T$4:T1350,MATCH(LARGE(FILTER(Y$4:Y1350,Y$4"&amp;":Y1350&lt;1000000000),1),Y$4:Y1350)),INDEX(F$4:F1350,MATCH(LARGE(FILTER(K$4:K1350,K$4:K1350&lt;1000000000),1),K$4:K1350)))),AND(K125&lt;1000000000,COUNTA(C125:C1350)&gt;0,P$3=FALSE),
ROUNDDOWN(INDEX(Y$4:Y1350,MATCH(LARGE(FILTER(W$4:W1350,W$4:W1350&lt;=I125),1),W$4:W1350"&amp;"))+(I125-LARGE(FILTER(W$4:W1350,W$4:W1350&lt;=I125),1))*INDEX(T$4:T1350,MATCH(LARGE(FILTER(W$4:W1350,W$4:W1350&lt;=I125),1),W$4:W1350))-K125),1,
ROUNDDOWN(Y125-INDEX(K$4:K1350,MATCH(LARGE(FILTER(I$4:I1350,I$4:I1350&lt;=W125),1),I$4:I1350))-(W125-LARGE(FILTER(I$4:I"&amp;"1350,I$4:I1350&lt;=W125),1))*INDEX(F$4:F1350,MATCH(LARGE(FILTER(I$4:I1350,I$4:I1350&lt;=W125),1),I$4:I1350))))"),1.04128046E8)</f>
        <v>104128046</v>
      </c>
      <c r="N125" s="60">
        <f t="shared" si="8"/>
        <v>-221.10052</v>
      </c>
      <c r="O125" s="61" t="str">
        <f t="shared" si="9"/>
        <v>104,1M</v>
      </c>
      <c r="P125" s="56">
        <f t="shared" si="10"/>
        <v>2</v>
      </c>
      <c r="Q125" s="67" t="s">
        <v>7</v>
      </c>
      <c r="R125" s="10" t="b">
        <f>IFERROR(__xludf.DUMMYFUNCTION("IF(COUNTA(Q125:Q1350)=0,"""",IF(ISBLANK(Q125),FALSE,IF(NOT(COUNTIF($AA$24:$AA$34,SUBSTITUTE(Q125,""Sell_"",""""))),1,IF(REGEXMATCH(Q125,""Sell_""),IF(COUNTIF(Q$4:Q125,SUBSTITUTE(Q125,""Sell_"",""""))-COUNTIF(Q$4:Q124,Q125)&lt;1,1),FALSE))))"),FALSE)</f>
        <v>0</v>
      </c>
      <c r="S125" s="59">
        <f t="array" ref="S125">IF(COUNTA(Q125:Q1350)=0,"",SUM((COUNTIF(Q$4:Q125,Upgrades!$B$3:$B$13)-COUNTIF(Q$4:Q125,"Sell_"&amp;Upgrades!$B$3:$B$13))*Upgrades!$D$3:$D$13))</f>
        <v>20220.8</v>
      </c>
      <c r="T125" s="66">
        <f>IFERROR(__xludf.DUMMYFUNCTION("IF(COUNTA(Q125:Q1350)=0,"""",IF(REGEXMATCH(INDEX(FILTER(Q$4:Q125,Q$4:Q125&lt;&gt;""""),ROWS(FILTER(Q$4:Q125,Q$4:Q125&lt;&gt;""""))),""^Sell_""),INDEX(FILTER(T$4:T124,Q$4:Q124&lt;&gt;""""),ROWS(FILTER(Q$4:Q124,Q$4:Q124&lt;&gt;""""))),$AD$5+S125))"),20420.8)</f>
        <v>20420.8</v>
      </c>
      <c r="U125" s="10">
        <f>IFERROR(__xludf.DUMMYFUNCTION("IF(COUNTA(Q125:Q1350)=0,"""",IF(Q125="""",0,IF(REGEXMATCH(Q125,""^Sell_""),-ROUNDDOWN(ROUNDUP(INDEX(Upgrades!$C$3:$C$13,MATCH(SUBSTITUTE(Q125,""Sell_"",""""),Upgrades!$B$3:$B$13,0))*1.15^(COUNTIF(Q$4:Q124,SUBSTITUTE(Q125,""Sell_"",""""))-COUNTIF(Q$4:Q124,"&amp;"""Sell_""&amp;SUBSTITUTE(Q125,""Sell_"",""""))))/2),ROUNDUP(INDEX(Upgrades!$C$3:$C$13,MATCH(Q125,Upgrades!$B$3:$B$13,0))*1.15^(COUNTIF(Q$4:Q124,Q125)-COUNTIF(Q$4:Q124,""Sell_""&amp;Q125))))))"),11500.0)</f>
        <v>11500</v>
      </c>
      <c r="V125" s="10">
        <f t="shared" si="11"/>
        <v>11500</v>
      </c>
      <c r="W125" s="68">
        <f t="shared" si="12"/>
        <v>2098.655046</v>
      </c>
      <c r="X125" s="59" t="str">
        <f t="shared" si="13"/>
        <v>34m 58s</v>
      </c>
      <c r="Y125" s="69">
        <f t="shared" si="14"/>
        <v>6623995</v>
      </c>
      <c r="Z125" s="11"/>
    </row>
    <row r="126">
      <c r="A126" s="8"/>
      <c r="B126" s="56">
        <f t="shared" si="2"/>
        <v>15</v>
      </c>
      <c r="C126" s="57" t="s">
        <v>8</v>
      </c>
      <c r="D126" s="10" t="b">
        <f>IFERROR(__xludf.DUMMYFUNCTION("IF(COUNTA(C126:C1350)=0,"""",IF(ISBLANK(C126),FALSE,IF(NOT(COUNTIF($AA$24:$AA$34,SUBSTITUTE(C126,""Sell_"",""""))),1,IF(REGEXMATCH(C126,""Sell_""),IF(COUNTIF(C$4:C126,SUBSTITUTE(C126,""Sell_"",""""))-COUNTIF(C$4:C125,C126)&lt;1,1),FALSE))))"),FALSE)</f>
        <v>0</v>
      </c>
      <c r="E126" s="59">
        <f t="array" ref="E126">IF(COUNTA(C126:C1350)=0,"",SUM((COUNTIF(C$4:C126,Upgrades!$B$3:$B$13)-COUNTIF(C$4:C126,"Sell_"&amp;Upgrades!$B$3:$B$13))*Upgrades!$D$3:$D$13))</f>
        <v>523027.5</v>
      </c>
      <c r="F126" s="66">
        <f>IFERROR(__xludf.DUMMYFUNCTION("IF(COUNTA(C126:C1350)=0,"""",IF(REGEXMATCH(INDEX(FILTER(C$4:C126,C$4:C126&lt;&gt;""""),ROWS(FILTER(C$4:C126,C$4:C126&lt;&gt;""""))),""^Sell_""),INDEX(FILTER(F$4:F125,C$4:C125&lt;&gt;""""),ROWS(FILTER(C$4:C125,C$4:C125&lt;&gt;""""))),$AC$5+E126))"),523227.5)</f>
        <v>523227.5</v>
      </c>
      <c r="G126" s="10">
        <f>IFERROR(__xludf.DUMMYFUNCTION("IF(COUNTA(C126:C1350)=0,"""",IF(C126="""",0,IF(REGEXMATCH(C126,""^Sell_""),-ROUNDDOWN(ROUNDUP(INDEX(Upgrades!$C$3:$C$13,MATCH(SUBSTITUTE(C126,""Sell_"",""""),Upgrades!$B$3:$B$13,0))*1.15^(COUNTIF(C$4:C125,SUBSTITUTE(C126,""Sell_"",""""))-COUNTIF(C$4:C125,"&amp;"""Sell_""&amp;SUBSTITUTE(C126,""Sell_"",""""))))/2),ROUNDUP(INDEX(Upgrades!$C$3:$C$13,MATCH(C126,Upgrades!$B$3:$B$13,0))*1.15^(COUNTIF(C$4:C125,C126)-COUNTIF(C$4:C125,""Sell_""&amp;C126))))))"),283029.0)</f>
        <v>283029</v>
      </c>
      <c r="H126" s="10">
        <f t="shared" si="3"/>
        <v>283029</v>
      </c>
      <c r="I126" s="68">
        <f t="shared" si="4"/>
        <v>6504.985239</v>
      </c>
      <c r="J126" s="59" t="str">
        <f t="shared" si="5"/>
        <v>1h 48m 24s</v>
      </c>
      <c r="K126" s="69">
        <f t="shared" si="6"/>
        <v>753625435</v>
      </c>
      <c r="L126" s="60">
        <f t="shared" si="7"/>
        <v>-220.99628</v>
      </c>
      <c r="M126" s="61">
        <f>IFERROR(__xludf.DUMMYFUNCTION("IFS(AND(COUNTA(C126:C1350)=0,COUNTA(Q126:Q1350)=0),"""",OR(AND(K126&gt;=1000000000,OR(Y126&gt;=1000000000,COUNTA(Q126:Q1350)=0)),OR(Y126&gt;=1000000000,AND(COUNTA(C126:C1350)=0,P$3=TRUE))),
ROUNDDOWN((AB$1-AC$1)*MAX(INDEX(T$4:T1350,MATCH(LARGE(FILTER(Y$4:Y1350,Y$4"&amp;":Y1350&lt;1000000000),1),Y$4:Y1350)),INDEX(F$4:F1350,MATCH(LARGE(FILTER(K$4:K1350,K$4:K1350&lt;1000000000),1),K$4:K1350)))),AND(K126&lt;1000000000,COUNTA(C126:C1350)&gt;0,P$3=FALSE),
ROUNDDOWN(INDEX(Y$4:Y1350,MATCH(LARGE(FILTER(W$4:W1350,W$4:W1350&lt;=I126),1),W$4:W1350"&amp;"))+(I126-LARGE(FILTER(W$4:W1350,W$4:W1350&lt;=I126),1))*INDEX(T$4:T1350,MATCH(LARGE(FILTER(W$4:W1350,W$4:W1350&lt;=I126),1),W$4:W1350))-K126),1,
ROUNDDOWN(Y126-INDEX(K$4:K1350,MATCH(LARGE(FILTER(I$4:I1350,I$4:I1350&lt;=W126),1),I$4:I1350))-(W126-LARGE(FILTER(I$4:I"&amp;"1350,I$4:I1350&lt;=W126),1))*INDEX(F$4:F1350,MATCH(LARGE(FILTER(I$4:I1350,I$4:I1350&lt;=W126),1),I$4:I1350))))"),1.041282E8)</f>
        <v>104128200</v>
      </c>
      <c r="N126" s="60">
        <f t="shared" si="8"/>
        <v>-220.99628</v>
      </c>
      <c r="O126" s="61" t="str">
        <f t="shared" si="9"/>
        <v>104,1M</v>
      </c>
      <c r="P126" s="56">
        <f t="shared" si="10"/>
        <v>3</v>
      </c>
      <c r="Q126" s="67" t="s">
        <v>7</v>
      </c>
      <c r="R126" s="10" t="b">
        <f>IFERROR(__xludf.DUMMYFUNCTION("IF(COUNTA(Q126:Q1350)=0,"""",IF(ISBLANK(Q126),FALSE,IF(NOT(COUNTIF($AA$24:$AA$34,SUBSTITUTE(Q126,""Sell_"",""""))),1,IF(REGEXMATCH(Q126,""Sell_""),IF(COUNTIF(Q$4:Q126,SUBSTITUTE(Q126,""Sell_"",""""))-COUNTIF(Q$4:Q125,Q126)&lt;1,1),FALSE))))"),FALSE)</f>
        <v>0</v>
      </c>
      <c r="S126" s="59">
        <f t="array" ref="S126">IF(COUNTA(Q126:Q1350)=0,"",SUM((COUNTIF(Q$4:Q126,Upgrades!$B$3:$B$13)-COUNTIF(Q$4:Q126,"Sell_"&amp;Upgrades!$B$3:$B$13))*Upgrades!$D$3:$D$13))</f>
        <v>20260.8</v>
      </c>
      <c r="T126" s="66">
        <f>IFERROR(__xludf.DUMMYFUNCTION("IF(COUNTA(Q126:Q1350)=0,"""",IF(REGEXMATCH(INDEX(FILTER(Q$4:Q126,Q$4:Q126&lt;&gt;""""),ROWS(FILTER(Q$4:Q126,Q$4:Q126&lt;&gt;""""))),""^Sell_""),INDEX(FILTER(T$4:T125,Q$4:Q125&lt;&gt;""""),ROWS(FILTER(Q$4:Q125,Q$4:Q125&lt;&gt;""""))),$AD$5+S126))"),20460.8)</f>
        <v>20460.8</v>
      </c>
      <c r="U126" s="10">
        <f>IFERROR(__xludf.DUMMYFUNCTION("IF(COUNTA(Q126:Q1350)=0,"""",IF(Q126="""",0,IF(REGEXMATCH(Q126,""^Sell_""),-ROUNDDOWN(ROUNDUP(INDEX(Upgrades!$C$3:$C$13,MATCH(SUBSTITUTE(Q126,""Sell_"",""""),Upgrades!$B$3:$B$13,0))*1.15^(COUNTIF(Q$4:Q125,SUBSTITUTE(Q126,""Sell_"",""""))-COUNTIF(Q$4:Q125,"&amp;"""Sell_""&amp;SUBSTITUTE(Q126,""Sell_"",""""))))/2),ROUNDUP(INDEX(Upgrades!$C$3:$C$13,MATCH(Q126,Upgrades!$B$3:$B$13,0))*1.15^(COUNTIF(Q$4:Q125,Q126)-COUNTIF(Q$4:Q125,""Sell_""&amp;Q126))))))"),13225.0)</f>
        <v>13225</v>
      </c>
      <c r="V126" s="10">
        <f t="shared" si="11"/>
        <v>13225</v>
      </c>
      <c r="W126" s="68">
        <f t="shared" si="12"/>
        <v>2099.30267</v>
      </c>
      <c r="X126" s="59" t="str">
        <f t="shared" si="13"/>
        <v>34m 59s</v>
      </c>
      <c r="Y126" s="69">
        <f t="shared" si="14"/>
        <v>6637220</v>
      </c>
      <c r="Z126" s="11"/>
    </row>
    <row r="127">
      <c r="A127" s="8"/>
      <c r="B127" s="56">
        <f t="shared" si="2"/>
        <v>15</v>
      </c>
      <c r="C127" s="57" t="s">
        <v>9</v>
      </c>
      <c r="D127" s="10" t="b">
        <f>IFERROR(__xludf.DUMMYFUNCTION("IF(COUNTA(C127:C1350)=0,"""",IF(ISBLANK(C127),FALSE,IF(NOT(COUNTIF($AA$24:$AA$34,SUBSTITUTE(C127,""Sell_"",""""))),1,IF(REGEXMATCH(C127,""Sell_""),IF(COUNTIF(C$4:C127,SUBSTITUTE(C127,""Sell_"",""""))-COUNTIF(C$4:C126,C127)&lt;1,1),FALSE))))"),FALSE)</f>
        <v>0</v>
      </c>
      <c r="E127" s="59">
        <f t="array" ref="E127">IF(COUNTA(C127:C1350)=0,"",SUM((COUNTIF(C$4:C127,Upgrades!$B$3:$B$13)-COUNTIF(C$4:C127,"Sell_"&amp;Upgrades!$B$3:$B$13))*Upgrades!$D$3:$D$13))</f>
        <v>523427.5</v>
      </c>
      <c r="F127" s="66">
        <f>IFERROR(__xludf.DUMMYFUNCTION("IF(COUNTA(C127:C1350)=0,"""",IF(REGEXMATCH(INDEX(FILTER(C$4:C127,C$4:C127&lt;&gt;""""),ROWS(FILTER(C$4:C127,C$4:C127&lt;&gt;""""))),""^Sell_""),INDEX(FILTER(F$4:F126,C$4:C126&lt;&gt;""""),ROWS(FILTER(C$4:C126,C$4:C126&lt;&gt;""""))),$AC$5+E127))"),523627.5)</f>
        <v>523627.5</v>
      </c>
      <c r="G127" s="10">
        <f>IFERROR(__xludf.DUMMYFUNCTION("IF(COUNTA(C127:C1350)=0,"""",IF(C127="""",0,IF(REGEXMATCH(C127,""^Sell_""),-ROUNDDOWN(ROUNDUP(INDEX(Upgrades!$C$3:$C$13,MATCH(SUBSTITUTE(C127,""Sell_"",""""),Upgrades!$B$3:$B$13,0))*1.15^(COUNTIF(C$4:C126,SUBSTITUTE(C127,""Sell_"",""""))-COUNTIF(C$4:C126,"&amp;"""Sell_""&amp;SUBSTITUTE(C127,""Sell_"",""""))))/2),ROUNDUP(INDEX(Upgrades!$C$3:$C$13,MATCH(C127,Upgrades!$B$3:$B$13,0))*1.15^(COUNTIF(C$4:C126,C127)-COUNTIF(C$4:C126,""Sell_""&amp;C127))))))"),1415142.0)</f>
        <v>1415142</v>
      </c>
      <c r="H127" s="10">
        <f t="shared" si="3"/>
        <v>1415142</v>
      </c>
      <c r="I127" s="68">
        <f t="shared" si="4"/>
        <v>6507.689879</v>
      </c>
      <c r="J127" s="59" t="str">
        <f t="shared" si="5"/>
        <v>1h 48m 27s</v>
      </c>
      <c r="K127" s="69">
        <f t="shared" si="6"/>
        <v>755040577</v>
      </c>
      <c r="L127" s="60">
        <f t="shared" si="7"/>
        <v>-220.47456</v>
      </c>
      <c r="M127" s="61">
        <f>IFERROR(__xludf.DUMMYFUNCTION("IFS(AND(COUNTA(C127:C1350)=0,COUNTA(Q127:Q1350)=0),"""",OR(AND(K127&gt;=1000000000,OR(Y127&gt;=1000000000,COUNTA(Q127:Q1350)=0)),OR(Y127&gt;=1000000000,AND(COUNTA(C127:C1350)=0,P$3=TRUE))),
ROUNDDOWN((AB$1-AC$1)*MAX(INDEX(T$4:T1350,MATCH(LARGE(FILTER(Y$4:Y1350,Y$4"&amp;":Y1350&lt;1000000000),1),Y$4:Y1350)),INDEX(F$4:F1350,MATCH(LARGE(FILTER(K$4:K1350,K$4:K1350&lt;1000000000),1),K$4:K1350)))),AND(K127&lt;1000000000,COUNTA(C127:C1350)&gt;0,P$3=FALSE),
ROUNDDOWN(INDEX(Y$4:Y1350,MATCH(LARGE(FILTER(W$4:W1350,W$4:W1350&lt;=I127),1),W$4:W1350"&amp;"))+(I127-LARGE(FILTER(W$4:W1350,W$4:W1350&lt;=I127),1))*INDEX(T$4:T1350,MATCH(LARGE(FILTER(W$4:W1350,W$4:W1350&lt;=I127),1),W$4:W1350))-K127),1,
ROUNDDOWN(Y127-INDEX(K$4:K1350,MATCH(LARGE(FILTER(I$4:I1350,I$4:I1350&lt;=W127),1),I$4:I1350))-(W127-LARGE(FILTER(I$4:I"&amp;"1350,I$4:I1350&lt;=W127),1))*INDEX(F$4:F1350,MATCH(LARGE(FILTER(I$4:I1350,I$4:I1350&lt;=W127),1),I$4:I1350))))"),1.04128697E8)</f>
        <v>104128697</v>
      </c>
      <c r="N127" s="60">
        <f t="shared" si="8"/>
        <v>-220.47456</v>
      </c>
      <c r="O127" s="61" t="str">
        <f t="shared" si="9"/>
        <v>104,1M</v>
      </c>
      <c r="P127" s="56">
        <f t="shared" si="10"/>
        <v>4</v>
      </c>
      <c r="Q127" s="67" t="s">
        <v>7</v>
      </c>
      <c r="R127" s="10" t="b">
        <f>IFERROR(__xludf.DUMMYFUNCTION("IF(COUNTA(Q127:Q1350)=0,"""",IF(ISBLANK(Q127),FALSE,IF(NOT(COUNTIF($AA$24:$AA$34,SUBSTITUTE(Q127,""Sell_"",""""))),1,IF(REGEXMATCH(Q127,""Sell_""),IF(COUNTIF(Q$4:Q127,SUBSTITUTE(Q127,""Sell_"",""""))-COUNTIF(Q$4:Q126,Q127)&lt;1,1),FALSE))))"),FALSE)</f>
        <v>0</v>
      </c>
      <c r="S127" s="59">
        <f t="array" ref="S127">IF(COUNTA(Q127:Q1350)=0,"",SUM((COUNTIF(Q$4:Q127,Upgrades!$B$3:$B$13)-COUNTIF(Q$4:Q127,"Sell_"&amp;Upgrades!$B$3:$B$13))*Upgrades!$D$3:$D$13))</f>
        <v>20300.8</v>
      </c>
      <c r="T127" s="66">
        <f>IFERROR(__xludf.DUMMYFUNCTION("IF(COUNTA(Q127:Q1350)=0,"""",IF(REGEXMATCH(INDEX(FILTER(Q$4:Q127,Q$4:Q127&lt;&gt;""""),ROWS(FILTER(Q$4:Q127,Q$4:Q127&lt;&gt;""""))),""^Sell_""),INDEX(FILTER(T$4:T126,Q$4:Q126&lt;&gt;""""),ROWS(FILTER(Q$4:Q126,Q$4:Q126&lt;&gt;""""))),$AD$5+S127))"),20500.8)</f>
        <v>20500.8</v>
      </c>
      <c r="U127" s="10">
        <f>IFERROR(__xludf.DUMMYFUNCTION("IF(COUNTA(Q127:Q1350)=0,"""",IF(Q127="""",0,IF(REGEXMATCH(Q127,""^Sell_""),-ROUNDDOWN(ROUNDUP(INDEX(Upgrades!$C$3:$C$13,MATCH(SUBSTITUTE(Q127,""Sell_"",""""),Upgrades!$B$3:$B$13,0))*1.15^(COUNTIF(Q$4:Q126,SUBSTITUTE(Q127,""Sell_"",""""))-COUNTIF(Q$4:Q126,"&amp;"""Sell_""&amp;SUBSTITUTE(Q127,""Sell_"",""""))))/2),ROUNDUP(INDEX(Upgrades!$C$3:$C$13,MATCH(Q127,Upgrades!$B$3:$B$13,0))*1.15^(COUNTIF(Q$4:Q126,Q127)-COUNTIF(Q$4:Q126,""Sell_""&amp;Q127))))))"),15209.0)</f>
        <v>15209</v>
      </c>
      <c r="V127" s="10">
        <f t="shared" si="11"/>
        <v>15209</v>
      </c>
      <c r="W127" s="68">
        <f t="shared" si="12"/>
        <v>2100.045993</v>
      </c>
      <c r="X127" s="59" t="str">
        <f t="shared" si="13"/>
        <v>35m 00s</v>
      </c>
      <c r="Y127" s="69">
        <f t="shared" si="14"/>
        <v>6652429</v>
      </c>
      <c r="Z127" s="11"/>
    </row>
    <row r="128">
      <c r="A128" s="8"/>
      <c r="B128" s="56">
        <f t="shared" si="2"/>
        <v>19</v>
      </c>
      <c r="C128" s="57" t="s">
        <v>10</v>
      </c>
      <c r="D128" s="10" t="b">
        <f>IFERROR(__xludf.DUMMYFUNCTION("IF(COUNTA(C128:C1350)=0,"""",IF(ISBLANK(C128),FALSE,IF(NOT(COUNTIF($AA$24:$AA$34,SUBSTITUTE(C128,""Sell_"",""""))),1,IF(REGEXMATCH(C128,""Sell_""),IF(COUNTIF(C$4:C128,SUBSTITUTE(C128,""Sell_"",""""))-COUNTIF(C$4:C127,C128)&lt;1,1),FALSE))))"),FALSE)</f>
        <v>0</v>
      </c>
      <c r="E128" s="59">
        <f t="array" ref="E128">IF(COUNTA(C128:C1350)=0,"",SUM((COUNTIF(C$4:C128,Upgrades!$B$3:$B$13)-COUNTIF(C$4:C128,"Sell_"&amp;Upgrades!$B$3:$B$13))*Upgrades!$D$3:$D$13))</f>
        <v>530093.5</v>
      </c>
      <c r="F128" s="66">
        <f>IFERROR(__xludf.DUMMYFUNCTION("IF(COUNTA(C128:C1350)=0,"""",IF(REGEXMATCH(INDEX(FILTER(C$4:C128,C$4:C128&lt;&gt;""""),ROWS(FILTER(C$4:C128,C$4:C128&lt;&gt;""""))),""^Sell_""),INDEX(FILTER(F$4:F127,C$4:C127&lt;&gt;""""),ROWS(FILTER(C$4:C127,C$4:C127&lt;&gt;""""))),$AC$5+E128))"),530293.5)</f>
        <v>530293.5</v>
      </c>
      <c r="G128" s="10">
        <f>IFERROR(__xludf.DUMMYFUNCTION("IF(COUNTA(C128:C1350)=0,"""",IF(C128="""",0,IF(REGEXMATCH(C128,""^Sell_""),-ROUNDDOWN(ROUNDUP(INDEX(Upgrades!$C$3:$C$13,MATCH(SUBSTITUTE(C128,""Sell_"",""""),Upgrades!$B$3:$B$13,0))*1.15^(COUNTIF(C$4:C127,SUBSTITUTE(C128,""Sell_"",""""))-COUNTIF(C$4:C127,"&amp;"""Sell_""&amp;SUBSTITUTE(C128,""Sell_"",""""))))/2),ROUNDUP(INDEX(Upgrades!$C$3:$C$13,MATCH(C128,Upgrades!$B$3:$B$13,0))*1.15^(COUNTIF(C$4:C127,C128)-COUNTIF(C$4:C127,""Sell_""&amp;C128))))))"),2.0625748E7)</f>
        <v>20625748</v>
      </c>
      <c r="H128" s="10">
        <f t="shared" si="3"/>
        <v>20625748</v>
      </c>
      <c r="I128" s="68">
        <f t="shared" si="4"/>
        <v>6547.079995</v>
      </c>
      <c r="J128" s="59" t="str">
        <f t="shared" si="5"/>
        <v>1h 49m 07s</v>
      </c>
      <c r="K128" s="69">
        <f t="shared" si="6"/>
        <v>775666325</v>
      </c>
      <c r="L128" s="60">
        <f t="shared" si="7"/>
        <v>-212.84032</v>
      </c>
      <c r="M128" s="61">
        <f>IFERROR(__xludf.DUMMYFUNCTION("IFS(AND(COUNTA(C128:C1350)=0,COUNTA(Q128:Q1350)=0),"""",OR(AND(K128&gt;=1000000000,OR(Y128&gt;=1000000000,COUNTA(Q128:Q1350)=0)),OR(Y128&gt;=1000000000,AND(COUNTA(C128:C1350)=0,P$3=TRUE))),
ROUNDDOWN((AB$1-AC$1)*MAX(INDEX(T$4:T1350,MATCH(LARGE(FILTER(Y$4:Y1350,Y$4"&amp;":Y1350&lt;1000000000),1),Y$4:Y1350)),INDEX(F$4:F1350,MATCH(LARGE(FILTER(K$4:K1350,K$4:K1350&lt;1000000000),1),K$4:K1350)))),AND(K128&lt;1000000000,COUNTA(C128:C1350)&gt;0,P$3=FALSE),
ROUNDDOWN(INDEX(Y$4:Y1350,MATCH(LARGE(FILTER(W$4:W1350,W$4:W1350&lt;=I128),1),W$4:W1350"&amp;"))+(I128-LARGE(FILTER(W$4:W1350,W$4:W1350&lt;=I128),1))*INDEX(T$4:T1350,MATCH(LARGE(FILTER(W$4:W1350,W$4:W1350&lt;=I128),1),W$4:W1350))-K128),1,
ROUNDDOWN(Y128-INDEX(K$4:K1350,MATCH(LARGE(FILTER(I$4:I1350,I$4:I1350&lt;=W128),1),I$4:I1350))-(W128-LARGE(FILTER(I$4:I"&amp;"1350,I$4:I1350&lt;=W128),1))*INDEX(F$4:F1350,MATCH(LARGE(FILTER(I$4:I1350,I$4:I1350&lt;=W128),1),I$4:I1350))))"),1.04383375E8)</f>
        <v>104383375</v>
      </c>
      <c r="N128" s="60">
        <f t="shared" si="8"/>
        <v>-212.84032</v>
      </c>
      <c r="O128" s="61" t="str">
        <f t="shared" si="9"/>
        <v>104,4M</v>
      </c>
      <c r="P128" s="56">
        <f t="shared" si="10"/>
        <v>1</v>
      </c>
      <c r="Q128" s="67" t="s">
        <v>8</v>
      </c>
      <c r="R128" s="10" t="b">
        <f>IFERROR(__xludf.DUMMYFUNCTION("IF(COUNTA(Q128:Q1350)=0,"""",IF(ISBLANK(Q128),FALSE,IF(NOT(COUNTIF($AA$24:$AA$34,SUBSTITUTE(Q128,""Sell_"",""""))),1,IF(REGEXMATCH(Q128,""Sell_""),IF(COUNTIF(Q$4:Q128,SUBSTITUTE(Q128,""Sell_"",""""))-COUNTIF(Q$4:Q127,Q128)&lt;1,1),FALSE))))"),FALSE)</f>
        <v>0</v>
      </c>
      <c r="S128" s="59">
        <f t="array" ref="S128">IF(COUNTA(Q128:Q1350)=0,"",SUM((COUNTIF(Q$4:Q128,Upgrades!$B$3:$B$13)-COUNTIF(Q$4:Q128,"Sell_"&amp;Upgrades!$B$3:$B$13))*Upgrades!$D$3:$D$13))</f>
        <v>20400.8</v>
      </c>
      <c r="T128" s="66">
        <f>IFERROR(__xludf.DUMMYFUNCTION("IF(COUNTA(Q128:Q1350)=0,"""",IF(REGEXMATCH(INDEX(FILTER(Q$4:Q128,Q$4:Q128&lt;&gt;""""),ROWS(FILTER(Q$4:Q128,Q$4:Q128&lt;&gt;""""))),""^Sell_""),INDEX(FILTER(T$4:T127,Q$4:Q127&lt;&gt;""""),ROWS(FILTER(Q$4:Q127,Q$4:Q127&lt;&gt;""""))),$AD$5+S128))"),20600.8)</f>
        <v>20600.8</v>
      </c>
      <c r="U128" s="10">
        <f>IFERROR(__xludf.DUMMYFUNCTION("IF(COUNTA(Q128:Q1350)=0,"""",IF(Q128="""",0,IF(REGEXMATCH(Q128,""^Sell_""),-ROUNDDOWN(ROUNDUP(INDEX(Upgrades!$C$3:$C$13,MATCH(SUBSTITUTE(Q128,""Sell_"",""""),Upgrades!$B$3:$B$13,0))*1.15^(COUNTIF(Q$4:Q127,SUBSTITUTE(Q128,""Sell_"",""""))-COUNTIF(Q$4:Q127,"&amp;"""Sell_""&amp;SUBSTITUTE(Q128,""Sell_"",""""))))/2),ROUNDUP(INDEX(Upgrades!$C$3:$C$13,MATCH(Q128,Upgrades!$B$3:$B$13,0))*1.15^(COUNTIF(Q$4:Q127,Q128)-COUNTIF(Q$4:Q127,""Sell_""&amp;Q128))))))"),40000.0)</f>
        <v>40000</v>
      </c>
      <c r="V128" s="10">
        <f t="shared" si="11"/>
        <v>40000</v>
      </c>
      <c r="W128" s="68">
        <f t="shared" si="12"/>
        <v>2101.997137</v>
      </c>
      <c r="X128" s="59" t="str">
        <f t="shared" si="13"/>
        <v>35m 01s</v>
      </c>
      <c r="Y128" s="69">
        <f t="shared" si="14"/>
        <v>6692429</v>
      </c>
      <c r="Z128" s="11"/>
    </row>
    <row r="129">
      <c r="A129" s="8"/>
      <c r="B129" s="56">
        <f t="shared" si="2"/>
        <v>16</v>
      </c>
      <c r="C129" s="57" t="s">
        <v>8</v>
      </c>
      <c r="D129" s="10" t="b">
        <f>IFERROR(__xludf.DUMMYFUNCTION("IF(COUNTA(C129:C1350)=0,"""",IF(ISBLANK(C129),FALSE,IF(NOT(COUNTIF($AA$24:$AA$34,SUBSTITUTE(C129,""Sell_"",""""))),1,IF(REGEXMATCH(C129,""Sell_""),IF(COUNTIF(C$4:C129,SUBSTITUTE(C129,""Sell_"",""""))-COUNTIF(C$4:C128,C129)&lt;1,1),FALSE))))"),FALSE)</f>
        <v>0</v>
      </c>
      <c r="E129" s="59">
        <f t="array" ref="E129">IF(COUNTA(C129:C1350)=0,"",SUM((COUNTIF(C$4:C129,Upgrades!$B$3:$B$13)-COUNTIF(C$4:C129,"Sell_"&amp;Upgrades!$B$3:$B$13))*Upgrades!$D$3:$D$13))</f>
        <v>530193.5</v>
      </c>
      <c r="F129" s="66">
        <f>IFERROR(__xludf.DUMMYFUNCTION("IF(COUNTA(C129:C1350)=0,"""",IF(REGEXMATCH(INDEX(FILTER(C$4:C129,C$4:C129&lt;&gt;""""),ROWS(FILTER(C$4:C129,C$4:C129&lt;&gt;""""))),""^Sell_""),INDEX(FILTER(F$4:F128,C$4:C128&lt;&gt;""""),ROWS(FILTER(C$4:C128,C$4:C128&lt;&gt;""""))),$AC$5+E129))"),530393.5)</f>
        <v>530393.5</v>
      </c>
      <c r="G129" s="10">
        <f>IFERROR(__xludf.DUMMYFUNCTION("IF(COUNTA(C129:C1350)=0,"""",IF(C129="""",0,IF(REGEXMATCH(C129,""^Sell_""),-ROUNDDOWN(ROUNDUP(INDEX(Upgrades!$C$3:$C$13,MATCH(SUBSTITUTE(C129,""Sell_"",""""),Upgrades!$B$3:$B$13,0))*1.15^(COUNTIF(C$4:C128,SUBSTITUTE(C129,""Sell_"",""""))-COUNTIF(C$4:C128,"&amp;"""Sell_""&amp;SUBSTITUTE(C129,""Sell_"",""""))))/2),ROUNDUP(INDEX(Upgrades!$C$3:$C$13,MATCH(C129,Upgrades!$B$3:$B$13,0))*1.15^(COUNTIF(C$4:C128,C129)-COUNTIF(C$4:C128,""Sell_""&amp;C129))))))"),325483.0)</f>
        <v>325483</v>
      </c>
      <c r="H129" s="10">
        <f t="shared" si="3"/>
        <v>325483</v>
      </c>
      <c r="I129" s="68">
        <f t="shared" si="4"/>
        <v>6547.693774</v>
      </c>
      <c r="J129" s="59" t="str">
        <f t="shared" si="5"/>
        <v>1h 49m 07s</v>
      </c>
      <c r="K129" s="69">
        <f t="shared" si="6"/>
        <v>775991808</v>
      </c>
      <c r="L129" s="60">
        <f t="shared" si="7"/>
        <v>-212.71203</v>
      </c>
      <c r="M129" s="61">
        <f>IFERROR(__xludf.DUMMYFUNCTION("IFS(AND(COUNTA(C129:C1350)=0,COUNTA(Q129:Q1350)=0),"""",OR(AND(K129&gt;=1000000000,OR(Y129&gt;=1000000000,COUNTA(Q129:Q1350)=0)),OR(Y129&gt;=1000000000,AND(COUNTA(C129:C1350)=0,P$3=TRUE))),
ROUNDDOWN((AB$1-AC$1)*MAX(INDEX(T$4:T1350,MATCH(LARGE(FILTER(Y$4:Y1350,Y$4"&amp;":Y1350&lt;1000000000),1),Y$4:Y1350)),INDEX(F$4:F1350,MATCH(LARGE(FILTER(K$4:K1350,K$4:K1350&lt;1000000000),1),K$4:K1350)))),AND(K129&lt;1000000000,COUNTA(C129:C1350)&gt;0,P$3=FALSE),
ROUNDDOWN(INDEX(Y$4:Y1350,MATCH(LARGE(FILTER(W$4:W1350,W$4:W1350&lt;=I129),1),W$4:W1350"&amp;"))+(I129-LARGE(FILTER(W$4:W1350,W$4:W1350&lt;=I129),1))*INDEX(T$4:T1350,MATCH(LARGE(FILTER(W$4:W1350,W$4:W1350&lt;=I129),1),W$4:W1350))-K129),1,
ROUNDDOWN(Y129-INDEX(K$4:K1350,MATCH(LARGE(FILTER(I$4:I1350,I$4:I1350&lt;=W129),1),I$4:I1350))-(W129-LARGE(FILTER(I$4:I"&amp;"1350,I$4:I1350&lt;=W129),1))*INDEX(F$4:F1350,MATCH(LARGE(FILTER(I$4:I1350,I$4:I1350&lt;=W129),1),I$4:I1350))))"),1.04383573E8)</f>
        <v>104383573</v>
      </c>
      <c r="N129" s="60">
        <f t="shared" si="8"/>
        <v>-212.71203</v>
      </c>
      <c r="O129" s="61" t="str">
        <f t="shared" si="9"/>
        <v>104,4M</v>
      </c>
      <c r="P129" s="56">
        <f t="shared" si="10"/>
        <v>5</v>
      </c>
      <c r="Q129" s="67" t="s">
        <v>7</v>
      </c>
      <c r="R129" s="10" t="b">
        <f>IFERROR(__xludf.DUMMYFUNCTION("IF(COUNTA(Q129:Q1350)=0,"""",IF(ISBLANK(Q129),FALSE,IF(NOT(COUNTIF($AA$24:$AA$34,SUBSTITUTE(Q129,""Sell_"",""""))),1,IF(REGEXMATCH(Q129,""Sell_""),IF(COUNTIF(Q$4:Q129,SUBSTITUTE(Q129,""Sell_"",""""))-COUNTIF(Q$4:Q128,Q129)&lt;1,1),FALSE))))"),FALSE)</f>
        <v>0</v>
      </c>
      <c r="S129" s="59">
        <f t="array" ref="S129">IF(COUNTA(Q129:Q1350)=0,"",SUM((COUNTIF(Q$4:Q129,Upgrades!$B$3:$B$13)-COUNTIF(Q$4:Q129,"Sell_"&amp;Upgrades!$B$3:$B$13))*Upgrades!$D$3:$D$13))</f>
        <v>20440.8</v>
      </c>
      <c r="T129" s="66">
        <f>IFERROR(__xludf.DUMMYFUNCTION("IF(COUNTA(Q129:Q1350)=0,"""",IF(REGEXMATCH(INDEX(FILTER(Q$4:Q129,Q$4:Q129&lt;&gt;""""),ROWS(FILTER(Q$4:Q129,Q$4:Q129&lt;&gt;""""))),""^Sell_""),INDEX(FILTER(T$4:T128,Q$4:Q128&lt;&gt;""""),ROWS(FILTER(Q$4:Q128,Q$4:Q128&lt;&gt;""""))),$AD$5+S129))"),20640.8)</f>
        <v>20640.8</v>
      </c>
      <c r="U129" s="10">
        <f>IFERROR(__xludf.DUMMYFUNCTION("IF(COUNTA(Q129:Q1350)=0,"""",IF(Q129="""",0,IF(REGEXMATCH(Q129,""^Sell_""),-ROUNDDOWN(ROUNDUP(INDEX(Upgrades!$C$3:$C$13,MATCH(SUBSTITUTE(Q129,""Sell_"",""""),Upgrades!$B$3:$B$13,0))*1.15^(COUNTIF(Q$4:Q128,SUBSTITUTE(Q129,""Sell_"",""""))-COUNTIF(Q$4:Q128,"&amp;"""Sell_""&amp;SUBSTITUTE(Q129,""Sell_"",""""))))/2),ROUNDUP(INDEX(Upgrades!$C$3:$C$13,MATCH(Q129,Upgrades!$B$3:$B$13,0))*1.15^(COUNTIF(Q$4:Q128,Q129)-COUNTIF(Q$4:Q128,""Sell_""&amp;Q129))))))"),17491.0)</f>
        <v>17491</v>
      </c>
      <c r="V129" s="10">
        <f t="shared" si="11"/>
        <v>17491</v>
      </c>
      <c r="W129" s="68">
        <f t="shared" si="12"/>
        <v>2102.846181</v>
      </c>
      <c r="X129" s="59" t="str">
        <f t="shared" si="13"/>
        <v>35m 02s</v>
      </c>
      <c r="Y129" s="69">
        <f t="shared" si="14"/>
        <v>6709920</v>
      </c>
      <c r="Z129" s="11"/>
    </row>
    <row r="130">
      <c r="A130" s="8"/>
      <c r="B130" s="56">
        <f t="shared" si="2"/>
        <v>16</v>
      </c>
      <c r="C130" s="57" t="s">
        <v>9</v>
      </c>
      <c r="D130" s="10" t="b">
        <f>IFERROR(__xludf.DUMMYFUNCTION("IF(COUNTA(C130:C1350)=0,"""",IF(ISBLANK(C130),FALSE,IF(NOT(COUNTIF($AA$24:$AA$34,SUBSTITUTE(C130,""Sell_"",""""))),1,IF(REGEXMATCH(C130,""Sell_""),IF(COUNTIF(C$4:C130,SUBSTITUTE(C130,""Sell_"",""""))-COUNTIF(C$4:C129,C130)&lt;1,1),FALSE))))"),FALSE)</f>
        <v>0</v>
      </c>
      <c r="E130" s="59">
        <f t="array" ref="E130">IF(COUNTA(C130:C1350)=0,"",SUM((COUNTIF(C$4:C130,Upgrades!$B$3:$B$13)-COUNTIF(C$4:C130,"Sell_"&amp;Upgrades!$B$3:$B$13))*Upgrades!$D$3:$D$13))</f>
        <v>530593.5</v>
      </c>
      <c r="F130" s="66">
        <f>IFERROR(__xludf.DUMMYFUNCTION("IF(COUNTA(C130:C1350)=0,"""",IF(REGEXMATCH(INDEX(FILTER(C$4:C130,C$4:C130&lt;&gt;""""),ROWS(FILTER(C$4:C130,C$4:C130&lt;&gt;""""))),""^Sell_""),INDEX(FILTER(F$4:F129,C$4:C129&lt;&gt;""""),ROWS(FILTER(C$4:C129,C$4:C129&lt;&gt;""""))),$AC$5+E130))"),530793.5)</f>
        <v>530793.5</v>
      </c>
      <c r="G130" s="10">
        <f>IFERROR(__xludf.DUMMYFUNCTION("IF(COUNTA(C130:C1350)=0,"""",IF(C130="""",0,IF(REGEXMATCH(C130,""^Sell_""),-ROUNDDOWN(ROUNDUP(INDEX(Upgrades!$C$3:$C$13,MATCH(SUBSTITUTE(C130,""Sell_"",""""),Upgrades!$B$3:$B$13,0))*1.15^(COUNTIF(C$4:C129,SUBSTITUTE(C130,""Sell_"",""""))-COUNTIF(C$4:C129,"&amp;"""Sell_""&amp;SUBSTITUTE(C130,""Sell_"",""""))))/2),ROUNDUP(INDEX(Upgrades!$C$3:$C$13,MATCH(C130,Upgrades!$B$3:$B$13,0))*1.15^(COUNTIF(C$4:C129,C130)-COUNTIF(C$4:C129,""Sell_""&amp;C130))))))"),1627413.0)</f>
        <v>1627413</v>
      </c>
      <c r="H130" s="10">
        <f t="shared" si="3"/>
        <v>1627413</v>
      </c>
      <c r="I130" s="68">
        <f t="shared" si="4"/>
        <v>6550.762087</v>
      </c>
      <c r="J130" s="59" t="str">
        <f t="shared" si="5"/>
        <v>1h 49m 10s</v>
      </c>
      <c r="K130" s="69">
        <f t="shared" si="6"/>
        <v>777619221</v>
      </c>
      <c r="L130" s="60">
        <f t="shared" si="7"/>
        <v>-212.07003</v>
      </c>
      <c r="M130" s="61">
        <f>IFERROR(__xludf.DUMMYFUNCTION("IFS(AND(COUNTA(C130:C1350)=0,COUNTA(Q130:Q1350)=0),"""",OR(AND(K130&gt;=1000000000,OR(Y130&gt;=1000000000,COUNTA(Q130:Q1350)=0)),OR(Y130&gt;=1000000000,AND(COUNTA(C130:C1350)=0,P$3=TRUE))),
ROUNDDOWN((AB$1-AC$1)*MAX(INDEX(T$4:T1350,MATCH(LARGE(FILTER(Y$4:Y1350,Y$4"&amp;":Y1350&lt;1000000000),1),Y$4:Y1350)),INDEX(F$4:F1350,MATCH(LARGE(FILTER(K$4:K1350,K$4:K1350&lt;1000000000),1),K$4:K1350)))),AND(K130&lt;1000000000,COUNTA(C130:C1350)&gt;0,P$3=FALSE),
ROUNDDOWN(INDEX(Y$4:Y1350,MATCH(LARGE(FILTER(W$4:W1350,W$4:W1350&lt;=I130),1),W$4:W1350"&amp;"))+(I130-LARGE(FILTER(W$4:W1350,W$4:W1350&lt;=I130),1))*INDEX(T$4:T1350,MATCH(LARGE(FILTER(W$4:W1350,W$4:W1350&lt;=I130),1),W$4:W1350))-K130),1,
ROUNDDOWN(Y130-INDEX(K$4:K1350,MATCH(LARGE(FILTER(I$4:I1350,I$4:I1350&lt;=W130),1),I$4:I1350))-(W130-LARGE(FILTER(I$4:I"&amp;"1350,I$4:I1350&lt;=W130),1))*INDEX(F$4:F1350,MATCH(LARGE(FILTER(I$4:I1350,I$4:I1350&lt;=W130),1),I$4:I1350))))"),1.0438426E8)</f>
        <v>104384260</v>
      </c>
      <c r="N130" s="60">
        <f t="shared" si="8"/>
        <v>-212.07003</v>
      </c>
      <c r="O130" s="61" t="str">
        <f t="shared" si="9"/>
        <v>104,4M</v>
      </c>
      <c r="P130" s="56">
        <f t="shared" si="10"/>
        <v>2</v>
      </c>
      <c r="Q130" s="67" t="s">
        <v>8</v>
      </c>
      <c r="R130" s="10" t="b">
        <f>IFERROR(__xludf.DUMMYFUNCTION("IF(COUNTA(Q130:Q1350)=0,"""",IF(ISBLANK(Q130),FALSE,IF(NOT(COUNTIF($AA$24:$AA$34,SUBSTITUTE(Q130,""Sell_"",""""))),1,IF(REGEXMATCH(Q130,""Sell_""),IF(COUNTIF(Q$4:Q130,SUBSTITUTE(Q130,""Sell_"",""""))-COUNTIF(Q$4:Q129,Q130)&lt;1,1),FALSE))))"),FALSE)</f>
        <v>0</v>
      </c>
      <c r="S130" s="59">
        <f t="array" ref="S130">IF(COUNTA(Q130:Q1350)=0,"",SUM((COUNTIF(Q$4:Q130,Upgrades!$B$3:$B$13)-COUNTIF(Q$4:Q130,"Sell_"&amp;Upgrades!$B$3:$B$13))*Upgrades!$D$3:$D$13))</f>
        <v>20540.8</v>
      </c>
      <c r="T130" s="66">
        <f>IFERROR(__xludf.DUMMYFUNCTION("IF(COUNTA(Q130:Q1350)=0,"""",IF(REGEXMATCH(INDEX(FILTER(Q$4:Q130,Q$4:Q130&lt;&gt;""""),ROWS(FILTER(Q$4:Q130,Q$4:Q130&lt;&gt;""""))),""^Sell_""),INDEX(FILTER(T$4:T129,Q$4:Q129&lt;&gt;""""),ROWS(FILTER(Q$4:Q129,Q$4:Q129&lt;&gt;""""))),$AD$5+S130))"),20740.8)</f>
        <v>20740.8</v>
      </c>
      <c r="U130" s="10">
        <f>IFERROR(__xludf.DUMMYFUNCTION("IF(COUNTA(Q130:Q1350)=0,"""",IF(Q130="""",0,IF(REGEXMATCH(Q130,""^Sell_""),-ROUNDDOWN(ROUNDUP(INDEX(Upgrades!$C$3:$C$13,MATCH(SUBSTITUTE(Q130,""Sell_"",""""),Upgrades!$B$3:$B$13,0))*1.15^(COUNTIF(Q$4:Q129,SUBSTITUTE(Q130,""Sell_"",""""))-COUNTIF(Q$4:Q129,"&amp;"""Sell_""&amp;SUBSTITUTE(Q130,""Sell_"",""""))))/2),ROUNDUP(INDEX(Upgrades!$C$3:$C$13,MATCH(Q130,Upgrades!$B$3:$B$13,0))*1.15^(COUNTIF(Q$4:Q129,Q130)-COUNTIF(Q$4:Q129,""Sell_""&amp;Q130))))))"),46000.0)</f>
        <v>46000</v>
      </c>
      <c r="V130" s="10">
        <f t="shared" si="11"/>
        <v>46000</v>
      </c>
      <c r="W130" s="68">
        <f t="shared" si="12"/>
        <v>2105.074777</v>
      </c>
      <c r="X130" s="59" t="str">
        <f t="shared" si="13"/>
        <v>35m 05s</v>
      </c>
      <c r="Y130" s="69">
        <f t="shared" si="14"/>
        <v>6755920</v>
      </c>
      <c r="Z130" s="11"/>
    </row>
    <row r="131">
      <c r="A131" s="8"/>
      <c r="B131" s="56">
        <f t="shared" si="2"/>
        <v>20</v>
      </c>
      <c r="C131" s="57" t="s">
        <v>10</v>
      </c>
      <c r="D131" s="10" t="b">
        <f>IFERROR(__xludf.DUMMYFUNCTION("IF(COUNTA(C131:C1350)=0,"""",IF(ISBLANK(C131),FALSE,IF(NOT(COUNTIF($AA$24:$AA$34,SUBSTITUTE(C131,""Sell_"",""""))),1,IF(REGEXMATCH(C131,""Sell_""),IF(COUNTIF(C$4:C131,SUBSTITUTE(C131,""Sell_"",""""))-COUNTIF(C$4:C130,C131)&lt;1,1),FALSE))))"),FALSE)</f>
        <v>0</v>
      </c>
      <c r="E131" s="59">
        <f t="array" ref="E131">IF(COUNTA(C131:C1350)=0,"",SUM((COUNTIF(C$4:C131,Upgrades!$B$3:$B$13)-COUNTIF(C$4:C131,"Sell_"&amp;Upgrades!$B$3:$B$13))*Upgrades!$D$3:$D$13))</f>
        <v>537259.5</v>
      </c>
      <c r="F131" s="66">
        <f>IFERROR(__xludf.DUMMYFUNCTION("IF(COUNTA(C131:C1350)=0,"""",IF(REGEXMATCH(INDEX(FILTER(C$4:C131,C$4:C131&lt;&gt;""""),ROWS(FILTER(C$4:C131,C$4:C131&lt;&gt;""""))),""^Sell_""),INDEX(FILTER(F$4:F130,C$4:C130&lt;&gt;""""),ROWS(FILTER(C$4:C130,C$4:C130&lt;&gt;""""))),$AC$5+E131))"),537459.5)</f>
        <v>537459.5</v>
      </c>
      <c r="G131" s="10">
        <f>IFERROR(__xludf.DUMMYFUNCTION("IF(COUNTA(C131:C1350)=0,"""",IF(C131="""",0,IF(REGEXMATCH(C131,""^Sell_""),-ROUNDDOWN(ROUNDUP(INDEX(Upgrades!$C$3:$C$13,MATCH(SUBSTITUTE(C131,""Sell_"",""""),Upgrades!$B$3:$B$13,0))*1.15^(COUNTIF(C$4:C130,SUBSTITUTE(C131,""Sell_"",""""))-COUNTIF(C$4:C130,"&amp;"""Sell_""&amp;SUBSTITUTE(C131,""Sell_"",""""))))/2),ROUNDUP(INDEX(Upgrades!$C$3:$C$13,MATCH(C131,Upgrades!$B$3:$B$13,0))*1.15^(COUNTIF(C$4:C130,C131)-COUNTIF(C$4:C130,""Sell_""&amp;C131))))))"),2.371961E7)</f>
        <v>23719610</v>
      </c>
      <c r="H131" s="10">
        <f t="shared" si="3"/>
        <v>23719610</v>
      </c>
      <c r="I131" s="68">
        <f t="shared" si="4"/>
        <v>6595.449164</v>
      </c>
      <c r="J131" s="59" t="str">
        <f t="shared" si="5"/>
        <v>1h 49m 55s</v>
      </c>
      <c r="K131" s="69">
        <f t="shared" si="6"/>
        <v>801338831</v>
      </c>
      <c r="L131" s="60">
        <f t="shared" si="7"/>
        <v>-202.6791</v>
      </c>
      <c r="M131" s="61">
        <f>IFERROR(__xludf.DUMMYFUNCTION("IFS(AND(COUNTA(C131:C1350)=0,COUNTA(Q131:Q1350)=0),"""",OR(AND(K131&gt;=1000000000,OR(Y131&gt;=1000000000,COUNTA(Q131:Q1350)=0)),OR(Y131&gt;=1000000000,AND(COUNTA(C131:C1350)=0,P$3=TRUE))),
ROUNDDOWN((AB$1-AC$1)*MAX(INDEX(T$4:T1350,MATCH(LARGE(FILTER(Y$4:Y1350,Y$4"&amp;":Y1350&lt;1000000000),1),Y$4:Y1350)),INDEX(F$4:F1350,MATCH(LARGE(FILTER(K$4:K1350,K$4:K1350&lt;1000000000),1),K$4:K1350)))),AND(K131&lt;1000000000,COUNTA(C131:C1350)&gt;0,P$3=FALSE),
ROUNDDOWN(INDEX(Y$4:Y1350,MATCH(LARGE(FILTER(W$4:W1350,W$4:W1350&lt;=I131),1),W$4:W1350"&amp;"))+(I131-LARGE(FILTER(W$4:W1350,W$4:W1350&lt;=I131),1))*INDEX(T$4:T1350,MATCH(LARGE(FILTER(W$4:W1350,W$4:W1350&lt;=I131),1),W$4:W1350))-K131),1,
ROUNDDOWN(Y131-INDEX(K$4:K1350,MATCH(LARGE(FILTER(I$4:I1350,I$4:I1350&lt;=W131),1),I$4:I1350))-(W131-LARGE(FILTER(I$4:I"&amp;"1350,I$4:I1350&lt;=W131),1))*INDEX(F$4:F1350,MATCH(LARGE(FILTER(I$4:I1350,I$4:I1350&lt;=W131),1),I$4:I1350))))"),1.04640211E8)</f>
        <v>104640211</v>
      </c>
      <c r="N131" s="60">
        <f t="shared" si="8"/>
        <v>-202.6791</v>
      </c>
      <c r="O131" s="61" t="str">
        <f t="shared" si="9"/>
        <v>104,6M</v>
      </c>
      <c r="P131" s="56">
        <f t="shared" si="10"/>
        <v>4</v>
      </c>
      <c r="Q131" s="67" t="s">
        <v>10</v>
      </c>
      <c r="R131" s="10" t="b">
        <f>IFERROR(__xludf.DUMMYFUNCTION("IF(COUNTA(Q131:Q1350)=0,"""",IF(ISBLANK(Q131),FALSE,IF(NOT(COUNTIF($AA$24:$AA$34,SUBSTITUTE(Q131,""Sell_"",""""))),1,IF(REGEXMATCH(Q131,""Sell_""),IF(COUNTIF(Q$4:Q131,SUBSTITUTE(Q131,""Sell_"",""""))-COUNTIF(Q$4:Q130,Q131)&lt;1,1),FALSE))))"),FALSE)</f>
        <v>0</v>
      </c>
      <c r="S131" s="59">
        <f t="array" ref="S131">IF(COUNTA(Q131:Q1350)=0,"",SUM((COUNTIF(Q$4:Q131,Upgrades!$B$3:$B$13)-COUNTIF(Q$4:Q131,"Sell_"&amp;Upgrades!$B$3:$B$13))*Upgrades!$D$3:$D$13))</f>
        <v>27206.8</v>
      </c>
      <c r="T131" s="66">
        <f>IFERROR(__xludf.DUMMYFUNCTION("IF(COUNTA(Q131:Q1350)=0,"""",IF(REGEXMATCH(INDEX(FILTER(Q$4:Q131,Q$4:Q131&lt;&gt;""""),ROWS(FILTER(Q$4:Q131,Q$4:Q131&lt;&gt;""""))),""^Sell_""),INDEX(FILTER(T$4:T130,Q$4:Q130&lt;&gt;""""),ROWS(FILTER(Q$4:Q130,Q$4:Q130&lt;&gt;""""))),$AD$5+S131))"),27406.8)</f>
        <v>27406.8</v>
      </c>
      <c r="U131" s="10">
        <f>IFERROR(__xludf.DUMMYFUNCTION("IF(COUNTA(Q131:Q1350)=0,"""",IF(Q131="""",0,IF(REGEXMATCH(Q131,""^Sell_""),-ROUNDDOWN(ROUNDUP(INDEX(Upgrades!$C$3:$C$13,MATCH(SUBSTITUTE(Q131,""Sell_"",""""),Upgrades!$B$3:$B$13,0))*1.15^(COUNTIF(Q$4:Q130,SUBSTITUTE(Q131,""Sell_"",""""))-COUNTIF(Q$4:Q130,"&amp;"""Sell_""&amp;SUBSTITUTE(Q131,""Sell_"",""""))))/2),ROUNDUP(INDEX(Upgrades!$C$3:$C$13,MATCH(Q131,Upgrades!$B$3:$B$13,0))*1.15^(COUNTIF(Q$4:Q130,Q131)-COUNTIF(Q$4:Q130,""Sell_""&amp;Q131))))))"),2534791.0)</f>
        <v>2534791</v>
      </c>
      <c r="V131" s="10">
        <f t="shared" si="11"/>
        <v>2534791</v>
      </c>
      <c r="W131" s="68">
        <f t="shared" si="12"/>
        <v>2227.287566</v>
      </c>
      <c r="X131" s="59" t="str">
        <f t="shared" si="13"/>
        <v>37m 07s</v>
      </c>
      <c r="Y131" s="69">
        <f t="shared" si="14"/>
        <v>9290711</v>
      </c>
      <c r="Z131" s="11"/>
    </row>
    <row r="132">
      <c r="A132" s="8"/>
      <c r="B132" s="56">
        <f t="shared" si="2"/>
        <v>17</v>
      </c>
      <c r="C132" s="57" t="s">
        <v>8</v>
      </c>
      <c r="D132" s="10" t="b">
        <f>IFERROR(__xludf.DUMMYFUNCTION("IF(COUNTA(C132:C1350)=0,"""",IF(ISBLANK(C132),FALSE,IF(NOT(COUNTIF($AA$24:$AA$34,SUBSTITUTE(C132,""Sell_"",""""))),1,IF(REGEXMATCH(C132,""Sell_""),IF(COUNTIF(C$4:C132,SUBSTITUTE(C132,""Sell_"",""""))-COUNTIF(C$4:C131,C132)&lt;1,1),FALSE))))"),FALSE)</f>
        <v>0</v>
      </c>
      <c r="E132" s="59">
        <f t="array" ref="E132">IF(COUNTA(C132:C1350)=0,"",SUM((COUNTIF(C$4:C132,Upgrades!$B$3:$B$13)-COUNTIF(C$4:C132,"Sell_"&amp;Upgrades!$B$3:$B$13))*Upgrades!$D$3:$D$13))</f>
        <v>537359.5</v>
      </c>
      <c r="F132" s="66">
        <f>IFERROR(__xludf.DUMMYFUNCTION("IF(COUNTA(C132:C1350)=0,"""",IF(REGEXMATCH(INDEX(FILTER(C$4:C132,C$4:C132&lt;&gt;""""),ROWS(FILTER(C$4:C132,C$4:C132&lt;&gt;""""))),""^Sell_""),INDEX(FILTER(F$4:F131,C$4:C131&lt;&gt;""""),ROWS(FILTER(C$4:C131,C$4:C131&lt;&gt;""""))),$AC$5+E132))"),537559.5)</f>
        <v>537559.5</v>
      </c>
      <c r="G132" s="10">
        <f>IFERROR(__xludf.DUMMYFUNCTION("IF(COUNTA(C132:C1350)=0,"""",IF(C132="""",0,IF(REGEXMATCH(C132,""^Sell_""),-ROUNDDOWN(ROUNDUP(INDEX(Upgrades!$C$3:$C$13,MATCH(SUBSTITUTE(C132,""Sell_"",""""),Upgrades!$B$3:$B$13,0))*1.15^(COUNTIF(C$4:C131,SUBSTITUTE(C132,""Sell_"",""""))-COUNTIF(C$4:C131,"&amp;"""Sell_""&amp;SUBSTITUTE(C132,""Sell_"",""""))))/2),ROUNDUP(INDEX(Upgrades!$C$3:$C$13,MATCH(C132,Upgrades!$B$3:$B$13,0))*1.15^(COUNTIF(C$4:C131,C132)-COUNTIF(C$4:C131,""Sell_""&amp;C132))))))"),374305.0)</f>
        <v>374305</v>
      </c>
      <c r="H132" s="10">
        <f t="shared" si="3"/>
        <v>374305</v>
      </c>
      <c r="I132" s="68">
        <f t="shared" si="4"/>
        <v>6596.145597</v>
      </c>
      <c r="J132" s="59" t="str">
        <f t="shared" si="5"/>
        <v>1h 49m 56s</v>
      </c>
      <c r="K132" s="69">
        <f t="shared" si="6"/>
        <v>801713136</v>
      </c>
      <c r="L132" s="60">
        <f t="shared" si="7"/>
        <v>-202.52216</v>
      </c>
      <c r="M132" s="61">
        <f>IFERROR(__xludf.DUMMYFUNCTION("IFS(AND(COUNTA(C132:C1350)=0,COUNTA(Q132:Q1350)=0),"""",OR(AND(K132&gt;=1000000000,OR(Y132&gt;=1000000000,COUNTA(Q132:Q1350)=0)),OR(Y132&gt;=1000000000,AND(COUNTA(C132:C1350)=0,P$3=TRUE))),
ROUNDDOWN((AB$1-AC$1)*MAX(INDEX(T$4:T1350,MATCH(LARGE(FILTER(Y$4:Y1350,Y$4"&amp;":Y1350&lt;1000000000),1),Y$4:Y1350)),INDEX(F$4:F1350,MATCH(LARGE(FILTER(K$4:K1350,K$4:K1350&lt;1000000000),1),K$4:K1350)))),AND(K132&lt;1000000000,COUNTA(C132:C1350)&gt;0,P$3=FALSE),
ROUNDDOWN(INDEX(Y$4:Y1350,MATCH(LARGE(FILTER(W$4:W1350,W$4:W1350&lt;=I132),1),W$4:W1350"&amp;"))+(I132-LARGE(FILTER(W$4:W1350,W$4:W1350&lt;=I132),1))*INDEX(T$4:T1350,MATCH(LARGE(FILTER(W$4:W1350,W$4:W1350&lt;=I132),1),W$4:W1350))-K132),1,
ROUNDDOWN(Y132-INDEX(K$4:K1350,MATCH(LARGE(FILTER(I$4:I1350,I$4:I1350&lt;=W132),1),I$4:I1350))-(W132-LARGE(FILTER(I$4:I"&amp;"1350,I$4:I1350&lt;=W132),1))*INDEX(F$4:F1350,MATCH(LARGE(FILTER(I$4:I1350,I$4:I1350&lt;=W132),1),I$4:I1350))))"),1.04640465E8)</f>
        <v>104640465</v>
      </c>
      <c r="N132" s="60">
        <f t="shared" si="8"/>
        <v>-202.52216</v>
      </c>
      <c r="O132" s="61" t="str">
        <f t="shared" si="9"/>
        <v>104,6M</v>
      </c>
      <c r="P132" s="56">
        <f t="shared" si="10"/>
        <v>6</v>
      </c>
      <c r="Q132" s="67" t="s">
        <v>7</v>
      </c>
      <c r="R132" s="10" t="b">
        <f>IFERROR(__xludf.DUMMYFUNCTION("IF(COUNTA(Q132:Q1350)=0,"""",IF(ISBLANK(Q132),FALSE,IF(NOT(COUNTIF($AA$24:$AA$34,SUBSTITUTE(Q132,""Sell_"",""""))),1,IF(REGEXMATCH(Q132,""Sell_""),IF(COUNTIF(Q$4:Q132,SUBSTITUTE(Q132,""Sell_"",""""))-COUNTIF(Q$4:Q131,Q132)&lt;1,1),FALSE))))"),FALSE)</f>
        <v>0</v>
      </c>
      <c r="S132" s="59">
        <f t="array" ref="S132">IF(COUNTA(Q132:Q1350)=0,"",SUM((COUNTIF(Q$4:Q132,Upgrades!$B$3:$B$13)-COUNTIF(Q$4:Q132,"Sell_"&amp;Upgrades!$B$3:$B$13))*Upgrades!$D$3:$D$13))</f>
        <v>27246.8</v>
      </c>
      <c r="T132" s="66">
        <f>IFERROR(__xludf.DUMMYFUNCTION("IF(COUNTA(Q132:Q1350)=0,"""",IF(REGEXMATCH(INDEX(FILTER(Q$4:Q132,Q$4:Q132&lt;&gt;""""),ROWS(FILTER(Q$4:Q132,Q$4:Q132&lt;&gt;""""))),""^Sell_""),INDEX(FILTER(T$4:T131,Q$4:Q131&lt;&gt;""""),ROWS(FILTER(Q$4:Q131,Q$4:Q131&lt;&gt;""""))),$AD$5+S132))"),27446.8)</f>
        <v>27446.8</v>
      </c>
      <c r="U132" s="10">
        <f>IFERROR(__xludf.DUMMYFUNCTION("IF(COUNTA(Q132:Q1350)=0,"""",IF(Q132="""",0,IF(REGEXMATCH(Q132,""^Sell_""),-ROUNDDOWN(ROUNDUP(INDEX(Upgrades!$C$3:$C$13,MATCH(SUBSTITUTE(Q132,""Sell_"",""""),Upgrades!$B$3:$B$13,0))*1.15^(COUNTIF(Q$4:Q131,SUBSTITUTE(Q132,""Sell_"",""""))-COUNTIF(Q$4:Q131,"&amp;"""Sell_""&amp;SUBSTITUTE(Q132,""Sell_"",""""))))/2),ROUNDUP(INDEX(Upgrades!$C$3:$C$13,MATCH(Q132,Upgrades!$B$3:$B$13,0))*1.15^(COUNTIF(Q$4:Q131,Q132)-COUNTIF(Q$4:Q131,""Sell_""&amp;Q132))))))"),20114.0)</f>
        <v>20114</v>
      </c>
      <c r="V132" s="10">
        <f t="shared" si="11"/>
        <v>20114</v>
      </c>
      <c r="W132" s="68">
        <f t="shared" si="12"/>
        <v>2228.021471</v>
      </c>
      <c r="X132" s="59" t="str">
        <f t="shared" si="13"/>
        <v>37m 08s</v>
      </c>
      <c r="Y132" s="69">
        <f t="shared" si="14"/>
        <v>9310825</v>
      </c>
      <c r="Z132" s="11"/>
    </row>
    <row r="133">
      <c r="A133" s="8"/>
      <c r="B133" s="56">
        <f t="shared" si="2"/>
        <v>17</v>
      </c>
      <c r="C133" s="57" t="s">
        <v>9</v>
      </c>
      <c r="D133" s="10" t="b">
        <f>IFERROR(__xludf.DUMMYFUNCTION("IF(COUNTA(C133:C1350)=0,"""",IF(ISBLANK(C133),FALSE,IF(NOT(COUNTIF($AA$24:$AA$34,SUBSTITUTE(C133,""Sell_"",""""))),1,IF(REGEXMATCH(C133,""Sell_""),IF(COUNTIF(C$4:C133,SUBSTITUTE(C133,""Sell_"",""""))-COUNTIF(C$4:C132,C133)&lt;1,1),FALSE))))"),FALSE)</f>
        <v>0</v>
      </c>
      <c r="E133" s="59">
        <f t="array" ref="E133">IF(COUNTA(C133:C1350)=0,"",SUM((COUNTIF(C$4:C133,Upgrades!$B$3:$B$13)-COUNTIF(C$4:C133,"Sell_"&amp;Upgrades!$B$3:$B$13))*Upgrades!$D$3:$D$13))</f>
        <v>537759.5</v>
      </c>
      <c r="F133" s="66">
        <f>IFERROR(__xludf.DUMMYFUNCTION("IF(COUNTA(C133:C1350)=0,"""",IF(REGEXMATCH(INDEX(FILTER(C$4:C133,C$4:C133&lt;&gt;""""),ROWS(FILTER(C$4:C133,C$4:C133&lt;&gt;""""))),""^Sell_""),INDEX(FILTER(F$4:F132,C$4:C132&lt;&gt;""""),ROWS(FILTER(C$4:C132,C$4:C132&lt;&gt;""""))),$AC$5+E133))"),537959.5)</f>
        <v>537959.5</v>
      </c>
      <c r="G133" s="10">
        <f>IFERROR(__xludf.DUMMYFUNCTION("IF(COUNTA(C133:C1350)=0,"""",IF(C133="""",0,IF(REGEXMATCH(C133,""^Sell_""),-ROUNDDOWN(ROUNDUP(INDEX(Upgrades!$C$3:$C$13,MATCH(SUBSTITUTE(C133,""Sell_"",""""),Upgrades!$B$3:$B$13,0))*1.15^(COUNTIF(C$4:C132,SUBSTITUTE(C133,""Sell_"",""""))-COUNTIF(C$4:C132,"&amp;"""Sell_""&amp;SUBSTITUTE(C133,""Sell_"",""""))))/2),ROUNDUP(INDEX(Upgrades!$C$3:$C$13,MATCH(C133,Upgrades!$B$3:$B$13,0))*1.15^(COUNTIF(C$4:C132,C133)-COUNTIF(C$4:C132,""Sell_""&amp;C133))))))"),1871525.0)</f>
        <v>1871525</v>
      </c>
      <c r="H133" s="10">
        <f t="shared" si="3"/>
        <v>1871525</v>
      </c>
      <c r="I133" s="68">
        <f t="shared" si="4"/>
        <v>6599.627119</v>
      </c>
      <c r="J133" s="59" t="str">
        <f t="shared" si="5"/>
        <v>1h 49m 59s</v>
      </c>
      <c r="K133" s="69">
        <f t="shared" si="6"/>
        <v>803584661</v>
      </c>
      <c r="L133" s="60">
        <f t="shared" si="7"/>
        <v>-201.73681</v>
      </c>
      <c r="M133" s="61">
        <f>IFERROR(__xludf.DUMMYFUNCTION("IFS(AND(COUNTA(C133:C1350)=0,COUNTA(Q133:Q1350)=0),"""",OR(AND(K133&gt;=1000000000,OR(Y133&gt;=1000000000,COUNTA(Q133:Q1350)=0)),OR(Y133&gt;=1000000000,AND(COUNTA(C133:C1350)=0,P$3=TRUE))),
ROUNDDOWN((AB$1-AC$1)*MAX(INDEX(T$4:T1350,MATCH(LARGE(FILTER(Y$4:Y1350,Y$4"&amp;":Y1350&lt;1000000000),1),Y$4:Y1350)),INDEX(F$4:F1350,MATCH(LARGE(FILTER(K$4:K1350,K$4:K1350&lt;1000000000),1),K$4:K1350)))),AND(K133&lt;1000000000,COUNTA(C133:C1350)&gt;0,P$3=FALSE),
ROUNDDOWN(INDEX(Y$4:Y1350,MATCH(LARGE(FILTER(W$4:W1350,W$4:W1350&lt;=I133),1),W$4:W1350"&amp;"))+(I133-LARGE(FILTER(W$4:W1350,W$4:W1350&lt;=I133),1))*INDEX(T$4:T1350,MATCH(LARGE(FILTER(W$4:W1350,W$4:W1350&lt;=I133),1),W$4:W1350))-K133),1,
ROUNDDOWN(Y133-INDEX(K$4:K1350,MATCH(LARGE(FILTER(I$4:I1350,I$4:I1350&lt;=W133),1),I$4:I1350))-(W133-LARGE(FILTER(I$4:I"&amp;"1350,I$4:I1350&lt;=W133),1))*INDEX(F$4:F1350,MATCH(LARGE(FILTER(I$4:I1350,I$4:I1350&lt;=W133),1),I$4:I1350))))"),1.04641383E8)</f>
        <v>104641383</v>
      </c>
      <c r="N133" s="60">
        <f t="shared" si="8"/>
        <v>-201.73681</v>
      </c>
      <c r="O133" s="61" t="str">
        <f t="shared" si="9"/>
        <v>104,6M</v>
      </c>
      <c r="P133" s="56">
        <f t="shared" si="10"/>
        <v>1</v>
      </c>
      <c r="Q133" s="67" t="s">
        <v>9</v>
      </c>
      <c r="R133" s="10" t="b">
        <f>IFERROR(__xludf.DUMMYFUNCTION("IF(COUNTA(Q133:Q1350)=0,"""",IF(ISBLANK(Q133),FALSE,IF(NOT(COUNTIF($AA$24:$AA$34,SUBSTITUTE(Q133,""Sell_"",""""))),1,IF(REGEXMATCH(Q133,""Sell_""),IF(COUNTIF(Q$4:Q133,SUBSTITUTE(Q133,""Sell_"",""""))-COUNTIF(Q$4:Q132,Q133)&lt;1,1),FALSE))))"),FALSE)</f>
        <v>0</v>
      </c>
      <c r="S133" s="59">
        <f t="array" ref="S133">IF(COUNTA(Q133:Q1350)=0,"",SUM((COUNTIF(Q$4:Q133,Upgrades!$B$3:$B$13)-COUNTIF(Q$4:Q133,"Sell_"&amp;Upgrades!$B$3:$B$13))*Upgrades!$D$3:$D$13))</f>
        <v>27646.8</v>
      </c>
      <c r="T133" s="66">
        <f>IFERROR(__xludf.DUMMYFUNCTION("IF(COUNTA(Q133:Q1350)=0,"""",IF(REGEXMATCH(INDEX(FILTER(Q$4:Q133,Q$4:Q133&lt;&gt;""""),ROWS(FILTER(Q$4:Q133,Q$4:Q133&lt;&gt;""""))),""^Sell_""),INDEX(FILTER(T$4:T132,Q$4:Q132&lt;&gt;""""),ROWS(FILTER(Q$4:Q132,Q$4:Q132&lt;&gt;""""))),$AD$5+S133))"),27846.8)</f>
        <v>27846.8</v>
      </c>
      <c r="U133" s="10">
        <f>IFERROR(__xludf.DUMMYFUNCTION("IF(COUNTA(Q133:Q1350)=0,"""",IF(Q133="""",0,IF(REGEXMATCH(Q133,""^Sell_""),-ROUNDDOWN(ROUNDUP(INDEX(Upgrades!$C$3:$C$13,MATCH(SUBSTITUTE(Q133,""Sell_"",""""),Upgrades!$B$3:$B$13,0))*1.15^(COUNTIF(Q$4:Q132,SUBSTITUTE(Q133,""Sell_"",""""))-COUNTIF(Q$4:Q132,"&amp;"""Sell_""&amp;SUBSTITUTE(Q133,""Sell_"",""""))))/2),ROUNDUP(INDEX(Upgrades!$C$3:$C$13,MATCH(Q133,Upgrades!$B$3:$B$13,0))*1.15^(COUNTIF(Q$4:Q132,Q133)-COUNTIF(Q$4:Q132,""Sell_""&amp;Q133))))))"),200000.0)</f>
        <v>200000</v>
      </c>
      <c r="V133" s="10">
        <f t="shared" si="11"/>
        <v>200000</v>
      </c>
      <c r="W133" s="68">
        <f t="shared" si="12"/>
        <v>2235.308295</v>
      </c>
      <c r="X133" s="59" t="str">
        <f t="shared" si="13"/>
        <v>37m 15s</v>
      </c>
      <c r="Y133" s="69">
        <f t="shared" si="14"/>
        <v>9510825</v>
      </c>
      <c r="Z133" s="11"/>
    </row>
    <row r="134">
      <c r="A134" s="8"/>
      <c r="B134" s="56">
        <f t="shared" si="2"/>
        <v>21</v>
      </c>
      <c r="C134" s="57" t="s">
        <v>10</v>
      </c>
      <c r="D134" s="10" t="b">
        <f>IFERROR(__xludf.DUMMYFUNCTION("IF(COUNTA(C134:C1350)=0,"""",IF(ISBLANK(C134),FALSE,IF(NOT(COUNTIF($AA$24:$AA$34,SUBSTITUTE(C134,""Sell_"",""""))),1,IF(REGEXMATCH(C134,""Sell_""),IF(COUNTIF(C$4:C134,SUBSTITUTE(C134,""Sell_"",""""))-COUNTIF(C$4:C133,C134)&lt;1,1),FALSE))))"),FALSE)</f>
        <v>0</v>
      </c>
      <c r="E134" s="59">
        <f t="array" ref="E134">IF(COUNTA(C134:C1350)=0,"",SUM((COUNTIF(C$4:C134,Upgrades!$B$3:$B$13)-COUNTIF(C$4:C134,"Sell_"&amp;Upgrades!$B$3:$B$13))*Upgrades!$D$3:$D$13))</f>
        <v>544425.5</v>
      </c>
      <c r="F134" s="66">
        <f>IFERROR(__xludf.DUMMYFUNCTION("IF(COUNTA(C134:C1350)=0,"""",IF(REGEXMATCH(INDEX(FILTER(C$4:C134,C$4:C134&lt;&gt;""""),ROWS(FILTER(C$4:C134,C$4:C134&lt;&gt;""""))),""^Sell_""),INDEX(FILTER(F$4:F133,C$4:C133&lt;&gt;""""),ROWS(FILTER(C$4:C133,C$4:C133&lt;&gt;""""))),$AC$5+E134))"),544625.5)</f>
        <v>544625.5</v>
      </c>
      <c r="G134" s="10">
        <f>IFERROR(__xludf.DUMMYFUNCTION("IF(COUNTA(C134:C1350)=0,"""",IF(C134="""",0,IF(REGEXMATCH(C134,""^Sell_""),-ROUNDDOWN(ROUNDUP(INDEX(Upgrades!$C$3:$C$13,MATCH(SUBSTITUTE(C134,""Sell_"",""""),Upgrades!$B$3:$B$13,0))*1.15^(COUNTIF(C$4:C133,SUBSTITUTE(C134,""Sell_"",""""))-COUNTIF(C$4:C133,"&amp;"""Sell_""&amp;SUBSTITUTE(C134,""Sell_"",""""))))/2),ROUNDUP(INDEX(Upgrades!$C$3:$C$13,MATCH(C134,Upgrades!$B$3:$B$13,0))*1.15^(COUNTIF(C$4:C133,C134)-COUNTIF(C$4:C133,""Sell_""&amp;C134))))))"),2.7277552E7)</f>
        <v>27277552</v>
      </c>
      <c r="H134" s="10">
        <f t="shared" si="3"/>
        <v>27277552</v>
      </c>
      <c r="I134" s="68">
        <f t="shared" si="4"/>
        <v>6650.332706</v>
      </c>
      <c r="J134" s="59" t="str">
        <f t="shared" si="5"/>
        <v>1h 50m 50s</v>
      </c>
      <c r="K134" s="69">
        <f t="shared" si="6"/>
        <v>830862213</v>
      </c>
      <c r="L134" s="60">
        <f t="shared" si="7"/>
        <v>-196.92551</v>
      </c>
      <c r="M134" s="61">
        <f>IFERROR(__xludf.DUMMYFUNCTION("IFS(AND(COUNTA(C134:C1350)=0,COUNTA(Q134:Q1350)=0),"""",OR(AND(K134&gt;=1000000000,OR(Y134&gt;=1000000000,COUNTA(Q134:Q1350)=0)),OR(Y134&gt;=1000000000,AND(COUNTA(C134:C1350)=0,P$3=TRUE))),
ROUNDDOWN((AB$1-AC$1)*MAX(INDEX(T$4:T1350,MATCH(LARGE(FILTER(Y$4:Y1350,Y$4"&amp;":Y1350&lt;1000000000),1),Y$4:Y1350)),INDEX(F$4:F1350,MATCH(LARGE(FILTER(K$4:K1350,K$4:K1350&lt;1000000000),1),K$4:K1350)))),AND(K134&lt;1000000000,COUNTA(C134:C1350)&gt;0,P$3=FALSE),
ROUNDDOWN(INDEX(Y$4:Y1350,MATCH(LARGE(FILTER(W$4:W1350,W$4:W1350&lt;=I134),1),W$4:W1350"&amp;"))+(I134-LARGE(FILTER(W$4:W1350,W$4:W1350&lt;=I134),1))*INDEX(T$4:T1350,MATCH(LARGE(FILTER(W$4:W1350,W$4:W1350&lt;=I134),1),W$4:W1350))-K134),1,
ROUNDDOWN(Y134-INDEX(K$4:K1350,MATCH(LARGE(FILTER(I$4:I1350,I$4:I1350&lt;=W134),1),I$4:I1350))-(W134-LARGE(FILTER(I$4:I"&amp;"1350,I$4:I1350&lt;=W134),1))*INDEX(F$4:F1350,MATCH(LARGE(FILTER(I$4:I1350,I$4:I1350&lt;=W134),1),I$4:I1350))))"),1.04899526E8)</f>
        <v>104899526</v>
      </c>
      <c r="N134" s="60">
        <f t="shared" si="8"/>
        <v>-196.92551</v>
      </c>
      <c r="O134" s="61" t="str">
        <f t="shared" si="9"/>
        <v>104,9M</v>
      </c>
      <c r="P134" s="56">
        <f t="shared" si="10"/>
        <v>3</v>
      </c>
      <c r="Q134" s="67" t="s">
        <v>8</v>
      </c>
      <c r="R134" s="10" t="b">
        <f>IFERROR(__xludf.DUMMYFUNCTION("IF(COUNTA(Q134:Q1350)=0,"""",IF(ISBLANK(Q134),FALSE,IF(NOT(COUNTIF($AA$24:$AA$34,SUBSTITUTE(Q134,""Sell_"",""""))),1,IF(REGEXMATCH(Q134,""Sell_""),IF(COUNTIF(Q$4:Q134,SUBSTITUTE(Q134,""Sell_"",""""))-COUNTIF(Q$4:Q133,Q134)&lt;1,1),FALSE))))"),FALSE)</f>
        <v>0</v>
      </c>
      <c r="S134" s="59">
        <f t="array" ref="S134">IF(COUNTA(Q134:Q1350)=0,"",SUM((COUNTIF(Q$4:Q134,Upgrades!$B$3:$B$13)-COUNTIF(Q$4:Q134,"Sell_"&amp;Upgrades!$B$3:$B$13))*Upgrades!$D$3:$D$13))</f>
        <v>27746.8</v>
      </c>
      <c r="T134" s="66">
        <f>IFERROR(__xludf.DUMMYFUNCTION("IF(COUNTA(Q134:Q1350)=0,"""",IF(REGEXMATCH(INDEX(FILTER(Q$4:Q134,Q$4:Q134&lt;&gt;""""),ROWS(FILTER(Q$4:Q134,Q$4:Q134&lt;&gt;""""))),""^Sell_""),INDEX(FILTER(T$4:T133,Q$4:Q133&lt;&gt;""""),ROWS(FILTER(Q$4:Q133,Q$4:Q133&lt;&gt;""""))),$AD$5+S134))"),27946.8)</f>
        <v>27946.8</v>
      </c>
      <c r="U134" s="10">
        <f>IFERROR(__xludf.DUMMYFUNCTION("IF(COUNTA(Q134:Q1350)=0,"""",IF(Q134="""",0,IF(REGEXMATCH(Q134,""^Sell_""),-ROUNDDOWN(ROUNDUP(INDEX(Upgrades!$C$3:$C$13,MATCH(SUBSTITUTE(Q134,""Sell_"",""""),Upgrades!$B$3:$B$13,0))*1.15^(COUNTIF(Q$4:Q133,SUBSTITUTE(Q134,""Sell_"",""""))-COUNTIF(Q$4:Q133,"&amp;"""Sell_""&amp;SUBSTITUTE(Q134,""Sell_"",""""))))/2),ROUNDUP(INDEX(Upgrades!$C$3:$C$13,MATCH(Q134,Upgrades!$B$3:$B$13,0))*1.15^(COUNTIF(Q$4:Q133,Q134)-COUNTIF(Q$4:Q133,""Sell_""&amp;Q134))))))"),52900.0)</f>
        <v>52900</v>
      </c>
      <c r="V134" s="10">
        <f t="shared" si="11"/>
        <v>52900</v>
      </c>
      <c r="W134" s="68">
        <f t="shared" si="12"/>
        <v>2237.207975</v>
      </c>
      <c r="X134" s="59" t="str">
        <f t="shared" si="13"/>
        <v>37m 17s</v>
      </c>
      <c r="Y134" s="69">
        <f t="shared" si="14"/>
        <v>9563725</v>
      </c>
      <c r="Z134" s="11"/>
    </row>
    <row r="135">
      <c r="A135" s="8"/>
      <c r="B135" s="56">
        <f t="shared" si="2"/>
        <v>18</v>
      </c>
      <c r="C135" s="57" t="s">
        <v>8</v>
      </c>
      <c r="D135" s="10" t="b">
        <f>IFERROR(__xludf.DUMMYFUNCTION("IF(COUNTA(C135:C1350)=0,"""",IF(ISBLANK(C135),FALSE,IF(NOT(COUNTIF($AA$24:$AA$34,SUBSTITUTE(C135,""Sell_"",""""))),1,IF(REGEXMATCH(C135,""Sell_""),IF(COUNTIF(C$4:C135,SUBSTITUTE(C135,""Sell_"",""""))-COUNTIF(C$4:C134,C135)&lt;1,1),FALSE))))"),FALSE)</f>
        <v>0</v>
      </c>
      <c r="E135" s="59">
        <f t="array" ref="E135">IF(COUNTA(C135:C1350)=0,"",SUM((COUNTIF(C$4:C135,Upgrades!$B$3:$B$13)-COUNTIF(C$4:C135,"Sell_"&amp;Upgrades!$B$3:$B$13))*Upgrades!$D$3:$D$13))</f>
        <v>544525.5</v>
      </c>
      <c r="F135" s="66">
        <f>IFERROR(__xludf.DUMMYFUNCTION("IF(COUNTA(C135:C1350)=0,"""",IF(REGEXMATCH(INDEX(FILTER(C$4:C135,C$4:C135&lt;&gt;""""),ROWS(FILTER(C$4:C135,C$4:C135&lt;&gt;""""))),""^Sell_""),INDEX(FILTER(F$4:F134,C$4:C134&lt;&gt;""""),ROWS(FILTER(C$4:C134,C$4:C134&lt;&gt;""""))),$AC$5+E135))"),544725.5)</f>
        <v>544725.5</v>
      </c>
      <c r="G135" s="10">
        <f>IFERROR(__xludf.DUMMYFUNCTION("IF(COUNTA(C135:C1350)=0,"""",IF(C135="""",0,IF(REGEXMATCH(C135,""^Sell_""),-ROUNDDOWN(ROUNDUP(INDEX(Upgrades!$C$3:$C$13,MATCH(SUBSTITUTE(C135,""Sell_"",""""),Upgrades!$B$3:$B$13,0))*1.15^(COUNTIF(C$4:C134,SUBSTITUTE(C135,""Sell_"",""""))-COUNTIF(C$4:C134,"&amp;"""Sell_""&amp;SUBSTITUTE(C135,""Sell_"",""""))))/2),ROUNDUP(INDEX(Upgrades!$C$3:$C$13,MATCH(C135,Upgrades!$B$3:$B$13,0))*1.15^(COUNTIF(C$4:C134,C135)-COUNTIF(C$4:C134,""Sell_""&amp;C135))))))"),430451.0)</f>
        <v>430451</v>
      </c>
      <c r="H135" s="10">
        <f t="shared" si="3"/>
        <v>430451</v>
      </c>
      <c r="I135" s="68">
        <f t="shared" si="4"/>
        <v>6651.123067</v>
      </c>
      <c r="J135" s="59" t="str">
        <f t="shared" si="5"/>
        <v>1h 50m 51s</v>
      </c>
      <c r="K135" s="69">
        <f t="shared" si="6"/>
        <v>831292664</v>
      </c>
      <c r="L135" s="60">
        <f t="shared" si="7"/>
        <v>-196.88199</v>
      </c>
      <c r="M135" s="61">
        <f>IFERROR(__xludf.DUMMYFUNCTION("IFS(AND(COUNTA(C135:C1350)=0,COUNTA(Q135:Q1350)=0),"""",OR(AND(K135&gt;=1000000000,OR(Y135&gt;=1000000000,COUNTA(Q135:Q1350)=0)),OR(Y135&gt;=1000000000,AND(COUNTA(C135:C1350)=0,P$3=TRUE))),
ROUNDDOWN((AB$1-AC$1)*MAX(INDEX(T$4:T1350,MATCH(LARGE(FILTER(Y$4:Y1350,Y$4"&amp;":Y1350&lt;1000000000),1),Y$4:Y1350)),INDEX(F$4:F1350,MATCH(LARGE(FILTER(K$4:K1350,K$4:K1350&lt;1000000000),1),K$4:K1350)))),AND(K135&lt;1000000000,COUNTA(C135:C1350)&gt;0,P$3=FALSE),
ROUNDDOWN(INDEX(Y$4:Y1350,MATCH(LARGE(FILTER(W$4:W1350,W$4:W1350&lt;=I135),1),W$4:W1350"&amp;"))+(I135-LARGE(FILTER(W$4:W1350,W$4:W1350&lt;=I135),1))*INDEX(T$4:T1350,MATCH(LARGE(FILTER(W$4:W1350,W$4:W1350&lt;=I135),1),W$4:W1350))-K135),1,
ROUNDDOWN(Y135-INDEX(K$4:K1350,MATCH(LARGE(FILTER(I$4:I1350,I$4:I1350&lt;=W135),1),I$4:I1350))-(W135-LARGE(FILTER(I$4:I"&amp;"1350,I$4:I1350&lt;=W135),1))*INDEX(F$4:F1350,MATCH(LARGE(FILTER(I$4:I1350,I$4:I1350&lt;=W135),1),I$4:I1350))))"),1.04899857E8)</f>
        <v>104899857</v>
      </c>
      <c r="N135" s="60">
        <f t="shared" si="8"/>
        <v>-196.88199</v>
      </c>
      <c r="O135" s="61" t="str">
        <f t="shared" si="9"/>
        <v>104,9M</v>
      </c>
      <c r="P135" s="56">
        <f t="shared" si="10"/>
        <v>5</v>
      </c>
      <c r="Q135" s="67" t="s">
        <v>10</v>
      </c>
      <c r="R135" s="10" t="b">
        <f>IFERROR(__xludf.DUMMYFUNCTION("IF(COUNTA(Q135:Q1350)=0,"""",IF(ISBLANK(Q135),FALSE,IF(NOT(COUNTIF($AA$24:$AA$34,SUBSTITUTE(Q135,""Sell_"",""""))),1,IF(REGEXMATCH(Q135,""Sell_""),IF(COUNTIF(Q$4:Q135,SUBSTITUTE(Q135,""Sell_"",""""))-COUNTIF(Q$4:Q134,Q135)&lt;1,1),FALSE))))"),FALSE)</f>
        <v>0</v>
      </c>
      <c r="S135" s="59">
        <f t="array" ref="S135">IF(COUNTA(Q135:Q1350)=0,"",SUM((COUNTIF(Q$4:Q135,Upgrades!$B$3:$B$13)-COUNTIF(Q$4:Q135,"Sell_"&amp;Upgrades!$B$3:$B$13))*Upgrades!$D$3:$D$13))</f>
        <v>34412.8</v>
      </c>
      <c r="T135" s="66">
        <f>IFERROR(__xludf.DUMMYFUNCTION("IF(COUNTA(Q135:Q1350)=0,"""",IF(REGEXMATCH(INDEX(FILTER(Q$4:Q135,Q$4:Q135&lt;&gt;""""),ROWS(FILTER(Q$4:Q135,Q$4:Q135&lt;&gt;""""))),""^Sell_""),INDEX(FILTER(T$4:T134,Q$4:Q134&lt;&gt;""""),ROWS(FILTER(Q$4:Q134,Q$4:Q134&lt;&gt;""""))),$AD$5+S135))"),34612.8)</f>
        <v>34612.8</v>
      </c>
      <c r="U135" s="10">
        <f>IFERROR(__xludf.DUMMYFUNCTION("IF(COUNTA(Q135:Q1350)=0,"""",IF(Q135="""",0,IF(REGEXMATCH(Q135,""^Sell_""),-ROUNDDOWN(ROUNDUP(INDEX(Upgrades!$C$3:$C$13,MATCH(SUBSTITUTE(Q135,""Sell_"",""""),Upgrades!$B$3:$B$13,0))*1.15^(COUNTIF(Q$4:Q134,SUBSTITUTE(Q135,""Sell_"",""""))-COUNTIF(Q$4:Q134,"&amp;"""Sell_""&amp;SUBSTITUTE(Q135,""Sell_"",""""))))/2),ROUNDUP(INDEX(Upgrades!$C$3:$C$13,MATCH(Q135,Upgrades!$B$3:$B$13,0))*1.15^(COUNTIF(Q$4:Q134,Q135)-COUNTIF(Q$4:Q134,""Sell_""&amp;Q135))))))"),2915010.0)</f>
        <v>2915010</v>
      </c>
      <c r="V135" s="10">
        <f t="shared" si="11"/>
        <v>2915010</v>
      </c>
      <c r="W135" s="68">
        <f t="shared" si="12"/>
        <v>2341.513655</v>
      </c>
      <c r="X135" s="59" t="str">
        <f t="shared" si="13"/>
        <v>39m 01s</v>
      </c>
      <c r="Y135" s="69">
        <f t="shared" si="14"/>
        <v>12478735</v>
      </c>
      <c r="Z135" s="11"/>
    </row>
    <row r="136">
      <c r="A136" s="8"/>
      <c r="B136" s="56">
        <f t="shared" si="2"/>
        <v>18</v>
      </c>
      <c r="C136" s="57" t="s">
        <v>9</v>
      </c>
      <c r="D136" s="10" t="b">
        <f>IFERROR(__xludf.DUMMYFUNCTION("IF(COUNTA(C136:C1350)=0,"""",IF(ISBLANK(C136),FALSE,IF(NOT(COUNTIF($AA$24:$AA$34,SUBSTITUTE(C136,""Sell_"",""""))),1,IF(REGEXMATCH(C136,""Sell_""),IF(COUNTIF(C$4:C136,SUBSTITUTE(C136,""Sell_"",""""))-COUNTIF(C$4:C135,C136)&lt;1,1),FALSE))))"),FALSE)</f>
        <v>0</v>
      </c>
      <c r="E136" s="59">
        <f t="array" ref="E136">IF(COUNTA(C136:C1350)=0,"",SUM((COUNTIF(C$4:C136,Upgrades!$B$3:$B$13)-COUNTIF(C$4:C136,"Sell_"&amp;Upgrades!$B$3:$B$13))*Upgrades!$D$3:$D$13))</f>
        <v>544925.5</v>
      </c>
      <c r="F136" s="66">
        <f>IFERROR(__xludf.DUMMYFUNCTION("IF(COUNTA(C136:C1350)=0,"""",IF(REGEXMATCH(INDEX(FILTER(C$4:C136,C$4:C136&lt;&gt;""""),ROWS(FILTER(C$4:C136,C$4:C136&lt;&gt;""""))),""^Sell_""),INDEX(FILTER(F$4:F135,C$4:C135&lt;&gt;""""),ROWS(FILTER(C$4:C135,C$4:C135&lt;&gt;""""))),$AC$5+E136))"),545125.5)</f>
        <v>545125.5</v>
      </c>
      <c r="G136" s="10">
        <f>IFERROR(__xludf.DUMMYFUNCTION("IF(COUNTA(C136:C1350)=0,"""",IF(C136="""",0,IF(REGEXMATCH(C136,""^Sell_""),-ROUNDDOWN(ROUNDUP(INDEX(Upgrades!$C$3:$C$13,MATCH(SUBSTITUTE(C136,""Sell_"",""""),Upgrades!$B$3:$B$13,0))*1.15^(COUNTIF(C$4:C135,SUBSTITUTE(C136,""Sell_"",""""))-COUNTIF(C$4:C135,"&amp;"""Sell_""&amp;SUBSTITUTE(C136,""Sell_"",""""))))/2),ROUNDUP(INDEX(Upgrades!$C$3:$C$13,MATCH(C136,Upgrades!$B$3:$B$13,0))*1.15^(COUNTIF(C$4:C135,C136)-COUNTIF(C$4:C135,""Sell_""&amp;C136))))))"),2152253.0)</f>
        <v>2152253</v>
      </c>
      <c r="H136" s="10">
        <f t="shared" si="3"/>
        <v>2152253</v>
      </c>
      <c r="I136" s="68">
        <f t="shared" si="4"/>
        <v>6655.074145</v>
      </c>
      <c r="J136" s="59" t="str">
        <f t="shared" si="5"/>
        <v>1h 50m 55s</v>
      </c>
      <c r="K136" s="69">
        <f t="shared" si="6"/>
        <v>833444917</v>
      </c>
      <c r="L136" s="60">
        <f t="shared" si="7"/>
        <v>-196.6637</v>
      </c>
      <c r="M136" s="61">
        <f>IFERROR(__xludf.DUMMYFUNCTION("IFS(AND(COUNTA(C136:C1350)=0,COUNTA(Q136:Q1350)=0),"""",OR(AND(K136&gt;=1000000000,OR(Y136&gt;=1000000000,COUNTA(Q136:Q1350)=0)),OR(Y136&gt;=1000000000,AND(COUNTA(C136:C1350)=0,P$3=TRUE))),
ROUNDDOWN((AB$1-AC$1)*MAX(INDEX(T$4:T1350,MATCH(LARGE(FILTER(Y$4:Y1350,Y$4"&amp;":Y1350&lt;1000000000),1),Y$4:Y1350)),INDEX(F$4:F1350,MATCH(LARGE(FILTER(K$4:K1350,K$4:K1350&lt;1000000000),1),K$4:K1350)))),AND(K136&lt;1000000000,COUNTA(C136:C1350)&gt;0,P$3=FALSE),
ROUNDDOWN(INDEX(Y$4:Y1350,MATCH(LARGE(FILTER(W$4:W1350,W$4:W1350&lt;=I136),1),W$4:W1350"&amp;"))+(I136-LARGE(FILTER(W$4:W1350,W$4:W1350&lt;=I136),1))*INDEX(T$4:T1350,MATCH(LARGE(FILTER(W$4:W1350,W$4:W1350&lt;=I136),1),W$4:W1350))-K136),1,
ROUNDDOWN(Y136-INDEX(K$4:K1350,MATCH(LARGE(FILTER(I$4:I1350,I$4:I1350&lt;=W136),1),I$4:I1350))-(W136-LARGE(FILTER(I$4:I"&amp;"1350,I$4:I1350&lt;=W136),1))*INDEX(F$4:F1350,MATCH(LARGE(FILTER(I$4:I1350,I$4:I1350&lt;=W136),1),I$4:I1350))))"),1.04901116E8)</f>
        <v>104901116</v>
      </c>
      <c r="N136" s="60">
        <f t="shared" si="8"/>
        <v>-196.6637</v>
      </c>
      <c r="O136" s="61" t="str">
        <f t="shared" si="9"/>
        <v>104,9M</v>
      </c>
      <c r="P136" s="56">
        <f t="shared" si="10"/>
        <v>7</v>
      </c>
      <c r="Q136" s="67" t="s">
        <v>7</v>
      </c>
      <c r="R136" s="10" t="b">
        <f>IFERROR(__xludf.DUMMYFUNCTION("IF(COUNTA(Q136:Q1350)=0,"""",IF(ISBLANK(Q136),FALSE,IF(NOT(COUNTIF($AA$24:$AA$34,SUBSTITUTE(Q136,""Sell_"",""""))),1,IF(REGEXMATCH(Q136,""Sell_""),IF(COUNTIF(Q$4:Q136,SUBSTITUTE(Q136,""Sell_"",""""))-COUNTIF(Q$4:Q135,Q136)&lt;1,1),FALSE))))"),FALSE)</f>
        <v>0</v>
      </c>
      <c r="S136" s="59">
        <f t="array" ref="S136">IF(COUNTA(Q136:Q1350)=0,"",SUM((COUNTIF(Q$4:Q136,Upgrades!$B$3:$B$13)-COUNTIF(Q$4:Q136,"Sell_"&amp;Upgrades!$B$3:$B$13))*Upgrades!$D$3:$D$13))</f>
        <v>34452.8</v>
      </c>
      <c r="T136" s="66">
        <f>IFERROR(__xludf.DUMMYFUNCTION("IF(COUNTA(Q136:Q1350)=0,"""",IF(REGEXMATCH(INDEX(FILTER(Q$4:Q136,Q$4:Q136&lt;&gt;""""),ROWS(FILTER(Q$4:Q136,Q$4:Q136&lt;&gt;""""))),""^Sell_""),INDEX(FILTER(T$4:T135,Q$4:Q135&lt;&gt;""""),ROWS(FILTER(Q$4:Q135,Q$4:Q135&lt;&gt;""""))),$AD$5+S136))"),34652.8)</f>
        <v>34652.8</v>
      </c>
      <c r="U136" s="10">
        <f>IFERROR(__xludf.DUMMYFUNCTION("IF(COUNTA(Q136:Q1350)=0,"""",IF(Q136="""",0,IF(REGEXMATCH(Q136,""^Sell_""),-ROUNDDOWN(ROUNDUP(INDEX(Upgrades!$C$3:$C$13,MATCH(SUBSTITUTE(Q136,""Sell_"",""""),Upgrades!$B$3:$B$13,0))*1.15^(COUNTIF(Q$4:Q135,SUBSTITUTE(Q136,""Sell_"",""""))-COUNTIF(Q$4:Q135,"&amp;"""Sell_""&amp;SUBSTITUTE(Q136,""Sell_"",""""))))/2),ROUNDUP(INDEX(Upgrades!$C$3:$C$13,MATCH(Q136,Upgrades!$B$3:$B$13,0))*1.15^(COUNTIF(Q$4:Q135,Q136)-COUNTIF(Q$4:Q135,""Sell_""&amp;Q136))))))"),23131.0)</f>
        <v>23131</v>
      </c>
      <c r="V136" s="10">
        <f t="shared" si="11"/>
        <v>23131</v>
      </c>
      <c r="W136" s="68">
        <f t="shared" si="12"/>
        <v>2342.181934</v>
      </c>
      <c r="X136" s="59" t="str">
        <f t="shared" si="13"/>
        <v>39m 02s</v>
      </c>
      <c r="Y136" s="69">
        <f t="shared" si="14"/>
        <v>12501866</v>
      </c>
      <c r="Z136" s="11"/>
    </row>
    <row r="137">
      <c r="A137" s="8"/>
      <c r="B137" s="56">
        <f t="shared" si="2"/>
        <v>22</v>
      </c>
      <c r="C137" s="57" t="s">
        <v>10</v>
      </c>
      <c r="D137" s="10" t="b">
        <f>IFERROR(__xludf.DUMMYFUNCTION("IF(COUNTA(C137:C1350)=0,"""",IF(ISBLANK(C137),FALSE,IF(NOT(COUNTIF($AA$24:$AA$34,SUBSTITUTE(C137,""Sell_"",""""))),1,IF(REGEXMATCH(C137,""Sell_""),IF(COUNTIF(C$4:C137,SUBSTITUTE(C137,""Sell_"",""""))-COUNTIF(C$4:C136,C137)&lt;1,1),FALSE))))"),FALSE)</f>
        <v>0</v>
      </c>
      <c r="E137" s="59">
        <f t="array" ref="E137">IF(COUNTA(C137:C1350)=0,"",SUM((COUNTIF(C$4:C137,Upgrades!$B$3:$B$13)-COUNTIF(C$4:C137,"Sell_"&amp;Upgrades!$B$3:$B$13))*Upgrades!$D$3:$D$13))</f>
        <v>551591.5</v>
      </c>
      <c r="F137" s="66">
        <f>IFERROR(__xludf.DUMMYFUNCTION("IF(COUNTA(C137:C1350)=0,"""",IF(REGEXMATCH(INDEX(FILTER(C$4:C137,C$4:C137&lt;&gt;""""),ROWS(FILTER(C$4:C137,C$4:C137&lt;&gt;""""))),""^Sell_""),INDEX(FILTER(F$4:F136,C$4:C136&lt;&gt;""""),ROWS(FILTER(C$4:C136,C$4:C136&lt;&gt;""""))),$AC$5+E137))"),551791.5)</f>
        <v>551791.5</v>
      </c>
      <c r="G137" s="10">
        <f>IFERROR(__xludf.DUMMYFUNCTION("IF(COUNTA(C137:C1350)=0,"""",IF(C137="""",0,IF(REGEXMATCH(C137,""^Sell_""),-ROUNDDOWN(ROUNDUP(INDEX(Upgrades!$C$3:$C$13,MATCH(SUBSTITUTE(C137,""Sell_"",""""),Upgrades!$B$3:$B$13,0))*1.15^(COUNTIF(C$4:C136,SUBSTITUTE(C137,""Sell_"",""""))-COUNTIF(C$4:C136,"&amp;"""Sell_""&amp;SUBSTITUTE(C137,""Sell_"",""""))))/2),ROUNDUP(INDEX(Upgrades!$C$3:$C$13,MATCH(C137,Upgrades!$B$3:$B$13,0))*1.15^(COUNTIF(C$4:C136,C137)-COUNTIF(C$4:C136,""Sell_""&amp;C137))))))"),3.1369185E7)</f>
        <v>31369185</v>
      </c>
      <c r="H137" s="10">
        <f t="shared" si="3"/>
        <v>31369185</v>
      </c>
      <c r="I137" s="68">
        <f t="shared" si="4"/>
        <v>6712.619032</v>
      </c>
      <c r="J137" s="59" t="str">
        <f t="shared" si="5"/>
        <v>1h 51m 52s</v>
      </c>
      <c r="K137" s="69">
        <f t="shared" si="6"/>
        <v>864814102</v>
      </c>
      <c r="L137" s="60">
        <f t="shared" si="7"/>
        <v>-194.252</v>
      </c>
      <c r="M137" s="61">
        <f>IFERROR(__xludf.DUMMYFUNCTION("IFS(AND(COUNTA(C137:C1350)=0,COUNTA(Q137:Q1350)=0),"""",OR(AND(K137&gt;=1000000000,OR(Y137&gt;=1000000000,COUNTA(Q137:Q1350)=0)),OR(Y137&gt;=1000000000,AND(COUNTA(C137:C1350)=0,P$3=TRUE))),
ROUNDDOWN((AB$1-AC$1)*MAX(INDEX(T$4:T1350,MATCH(LARGE(FILTER(Y$4:Y1350,Y$4"&amp;":Y1350&lt;1000000000),1),Y$4:Y1350)),INDEX(F$4:F1350,MATCH(LARGE(FILTER(K$4:K1350,K$4:K1350&lt;1000000000),1),K$4:K1350)))),AND(K137&lt;1000000000,COUNTA(C137:C1350)&gt;0,P$3=FALSE),
ROUNDDOWN(INDEX(Y$4:Y1350,MATCH(LARGE(FILTER(W$4:W1350,W$4:W1350&lt;=I137),1),W$4:W1350"&amp;"))+(I137-LARGE(FILTER(W$4:W1350,W$4:W1350&lt;=I137),1))*INDEX(T$4:T1350,MATCH(LARGE(FILTER(W$4:W1350,W$4:W1350&lt;=I137),1),W$4:W1350))-K137),1,
ROUNDDOWN(Y137-INDEX(K$4:K1350,MATCH(LARGE(FILTER(I$4:I1350,I$4:I1350&lt;=W137),1),I$4:I1350))-(W137-LARGE(FILTER(I$4:I"&amp;"1350,I$4:I1350&lt;=W137),1))*INDEX(F$4:F1350,MATCH(LARGE(FILTER(I$4:I1350,I$4:I1350&lt;=W137),1),I$4:I1350))))"),1.05161537E8)</f>
        <v>105161537</v>
      </c>
      <c r="N137" s="60">
        <f t="shared" si="8"/>
        <v>-194.252</v>
      </c>
      <c r="O137" s="61" t="str">
        <f t="shared" si="9"/>
        <v>105,2M</v>
      </c>
      <c r="P137" s="56">
        <f t="shared" si="10"/>
        <v>2</v>
      </c>
      <c r="Q137" s="67" t="s">
        <v>9</v>
      </c>
      <c r="R137" s="10" t="b">
        <f>IFERROR(__xludf.DUMMYFUNCTION("IF(COUNTA(Q137:Q1350)=0,"""",IF(ISBLANK(Q137),FALSE,IF(NOT(COUNTIF($AA$24:$AA$34,SUBSTITUTE(Q137,""Sell_"",""""))),1,IF(REGEXMATCH(Q137,""Sell_""),IF(COUNTIF(Q$4:Q137,SUBSTITUTE(Q137,""Sell_"",""""))-COUNTIF(Q$4:Q136,Q137)&lt;1,1),FALSE))))"),FALSE)</f>
        <v>0</v>
      </c>
      <c r="S137" s="59">
        <f t="array" ref="S137">IF(COUNTA(Q137:Q1350)=0,"",SUM((COUNTIF(Q$4:Q137,Upgrades!$B$3:$B$13)-COUNTIF(Q$4:Q137,"Sell_"&amp;Upgrades!$B$3:$B$13))*Upgrades!$D$3:$D$13))</f>
        <v>34852.8</v>
      </c>
      <c r="T137" s="66">
        <f>IFERROR(__xludf.DUMMYFUNCTION("IF(COUNTA(Q137:Q1350)=0,"""",IF(REGEXMATCH(INDEX(FILTER(Q$4:Q137,Q$4:Q137&lt;&gt;""""),ROWS(FILTER(Q$4:Q137,Q$4:Q137&lt;&gt;""""))),""^Sell_""),INDEX(FILTER(T$4:T136,Q$4:Q136&lt;&gt;""""),ROWS(FILTER(Q$4:Q136,Q$4:Q136&lt;&gt;""""))),$AD$5+S137))"),35052.8)</f>
        <v>35052.8</v>
      </c>
      <c r="U137" s="10">
        <f>IFERROR(__xludf.DUMMYFUNCTION("IF(COUNTA(Q137:Q1350)=0,"""",IF(Q137="""",0,IF(REGEXMATCH(Q137,""^Sell_""),-ROUNDDOWN(ROUNDUP(INDEX(Upgrades!$C$3:$C$13,MATCH(SUBSTITUTE(Q137,""Sell_"",""""),Upgrades!$B$3:$B$13,0))*1.15^(COUNTIF(Q$4:Q136,SUBSTITUTE(Q137,""Sell_"",""""))-COUNTIF(Q$4:Q136,"&amp;"""Sell_""&amp;SUBSTITUTE(Q137,""Sell_"",""""))))/2),ROUNDUP(INDEX(Upgrades!$C$3:$C$13,MATCH(Q137,Upgrades!$B$3:$B$13,0))*1.15^(COUNTIF(Q$4:Q136,Q137)-COUNTIF(Q$4:Q136,""Sell_""&amp;Q137))))))"),230000.0)</f>
        <v>230000</v>
      </c>
      <c r="V137" s="10">
        <f t="shared" si="11"/>
        <v>230000</v>
      </c>
      <c r="W137" s="68">
        <f t="shared" si="12"/>
        <v>2348.819205</v>
      </c>
      <c r="X137" s="59" t="str">
        <f t="shared" si="13"/>
        <v>39m 08s</v>
      </c>
      <c r="Y137" s="69">
        <f t="shared" si="14"/>
        <v>12731866</v>
      </c>
      <c r="Z137" s="11"/>
    </row>
    <row r="138">
      <c r="A138" s="8"/>
      <c r="B138" s="56">
        <f t="shared" si="2"/>
        <v>19</v>
      </c>
      <c r="C138" s="57" t="s">
        <v>8</v>
      </c>
      <c r="D138" s="10" t="b">
        <f>IFERROR(__xludf.DUMMYFUNCTION("IF(COUNTA(C138:C1350)=0,"""",IF(ISBLANK(C138),FALSE,IF(NOT(COUNTIF($AA$24:$AA$34,SUBSTITUTE(C138,""Sell_"",""""))),1,IF(REGEXMATCH(C138,""Sell_""),IF(COUNTIF(C$4:C138,SUBSTITUTE(C138,""Sell_"",""""))-COUNTIF(C$4:C137,C138)&lt;1,1),FALSE))))"),FALSE)</f>
        <v>0</v>
      </c>
      <c r="E138" s="59">
        <f t="array" ref="E138">IF(COUNTA(C138:C1350)=0,"",SUM((COUNTIF(C$4:C138,Upgrades!$B$3:$B$13)-COUNTIF(C$4:C138,"Sell_"&amp;Upgrades!$B$3:$B$13))*Upgrades!$D$3:$D$13))</f>
        <v>551691.5</v>
      </c>
      <c r="F138" s="66">
        <f>IFERROR(__xludf.DUMMYFUNCTION("IF(COUNTA(C138:C1350)=0,"""",IF(REGEXMATCH(INDEX(FILTER(C$4:C138,C$4:C138&lt;&gt;""""),ROWS(FILTER(C$4:C138,C$4:C138&lt;&gt;""""))),""^Sell_""),INDEX(FILTER(F$4:F137,C$4:C137&lt;&gt;""""),ROWS(FILTER(C$4:C137,C$4:C137&lt;&gt;""""))),$AC$5+E138))"),551891.5)</f>
        <v>551891.5</v>
      </c>
      <c r="G138" s="10">
        <f>IFERROR(__xludf.DUMMYFUNCTION("IF(COUNTA(C138:C1350)=0,"""",IF(C138="""",0,IF(REGEXMATCH(C138,""^Sell_""),-ROUNDDOWN(ROUNDUP(INDEX(Upgrades!$C$3:$C$13,MATCH(SUBSTITUTE(C138,""Sell_"",""""),Upgrades!$B$3:$B$13,0))*1.15^(COUNTIF(C$4:C137,SUBSTITUTE(C138,""Sell_"",""""))-COUNTIF(C$4:C137,"&amp;"""Sell_""&amp;SUBSTITUTE(C138,""Sell_"",""""))))/2),ROUNDUP(INDEX(Upgrades!$C$3:$C$13,MATCH(C138,Upgrades!$B$3:$B$13,0))*1.15^(COUNTIF(C$4:C137,C138)-COUNTIF(C$4:C137,""Sell_""&amp;C138))))))"),495019.0)</f>
        <v>495019</v>
      </c>
      <c r="H138" s="10">
        <f t="shared" si="3"/>
        <v>495019</v>
      </c>
      <c r="I138" s="68">
        <f t="shared" si="4"/>
        <v>6713.516144</v>
      </c>
      <c r="J138" s="59" t="str">
        <f t="shared" si="5"/>
        <v>1h 51m 53s</v>
      </c>
      <c r="K138" s="69">
        <f t="shared" si="6"/>
        <v>865309121</v>
      </c>
      <c r="L138" s="60">
        <f t="shared" si="7"/>
        <v>-194.2162</v>
      </c>
      <c r="M138" s="61">
        <f>IFERROR(__xludf.DUMMYFUNCTION("IFS(AND(COUNTA(C138:C1350)=0,COUNTA(Q138:Q1350)=0),"""",OR(AND(K138&gt;=1000000000,OR(Y138&gt;=1000000000,COUNTA(Q138:Q1350)=0)),OR(Y138&gt;=1000000000,AND(COUNTA(C138:C1350)=0,P$3=TRUE))),
ROUNDDOWN((AB$1-AC$1)*MAX(INDEX(T$4:T1350,MATCH(LARGE(FILTER(Y$4:Y1350,Y$4"&amp;":Y1350&lt;1000000000),1),Y$4:Y1350)),INDEX(F$4:F1350,MATCH(LARGE(FILTER(K$4:K1350,K$4:K1350&lt;1000000000),1),K$4:K1350)))),AND(K138&lt;1000000000,COUNTA(C138:C1350)&gt;0,P$3=FALSE),
ROUNDDOWN(INDEX(Y$4:Y1350,MATCH(LARGE(FILTER(W$4:W1350,W$4:W1350&lt;=I138),1),W$4:W1350"&amp;"))+(I138-LARGE(FILTER(W$4:W1350,W$4:W1350&lt;=I138),1))*INDEX(T$4:T1350,MATCH(LARGE(FILTER(W$4:W1350,W$4:W1350&lt;=I138),1),W$4:W1350))-K138),1,
ROUNDDOWN(Y138-INDEX(K$4:K1350,MATCH(LARGE(FILTER(I$4:I1350,I$4:I1350&lt;=W138),1),I$4:I1350))-(W138-LARGE(FILTER(I$4:I"&amp;"1350,I$4:I1350&lt;=W138),1))*INDEX(F$4:F1350,MATCH(LARGE(FILTER(I$4:I1350,I$4:I1350&lt;=W138),1),I$4:I1350))))"),1.05161962E8)</f>
        <v>105161962</v>
      </c>
      <c r="N138" s="60">
        <f t="shared" si="8"/>
        <v>-194.2162</v>
      </c>
      <c r="O138" s="61" t="str">
        <f t="shared" si="9"/>
        <v>105,2M</v>
      </c>
      <c r="P138" s="56">
        <f t="shared" si="10"/>
        <v>6</v>
      </c>
      <c r="Q138" s="67" t="s">
        <v>10</v>
      </c>
      <c r="R138" s="10" t="b">
        <f>IFERROR(__xludf.DUMMYFUNCTION("IF(COUNTA(Q138:Q1350)=0,"""",IF(ISBLANK(Q138),FALSE,IF(NOT(COUNTIF($AA$24:$AA$34,SUBSTITUTE(Q138,""Sell_"",""""))),1,IF(REGEXMATCH(Q138,""Sell_""),IF(COUNTIF(Q$4:Q138,SUBSTITUTE(Q138,""Sell_"",""""))-COUNTIF(Q$4:Q137,Q138)&lt;1,1),FALSE))))"),FALSE)</f>
        <v>0</v>
      </c>
      <c r="S138" s="59">
        <f t="array" ref="S138">IF(COUNTA(Q138:Q1350)=0,"",SUM((COUNTIF(Q$4:Q138,Upgrades!$B$3:$B$13)-COUNTIF(Q$4:Q138,"Sell_"&amp;Upgrades!$B$3:$B$13))*Upgrades!$D$3:$D$13))</f>
        <v>41518.8</v>
      </c>
      <c r="T138" s="66">
        <f>IFERROR(__xludf.DUMMYFUNCTION("IF(COUNTA(Q138:Q1350)=0,"""",IF(REGEXMATCH(INDEX(FILTER(Q$4:Q138,Q$4:Q138&lt;&gt;""""),ROWS(FILTER(Q$4:Q138,Q$4:Q138&lt;&gt;""""))),""^Sell_""),INDEX(FILTER(T$4:T137,Q$4:Q137&lt;&gt;""""),ROWS(FILTER(Q$4:Q137,Q$4:Q137&lt;&gt;""""))),$AD$5+S138))"),41718.8)</f>
        <v>41718.8</v>
      </c>
      <c r="U138" s="10">
        <f>IFERROR(__xludf.DUMMYFUNCTION("IF(COUNTA(Q138:Q1350)=0,"""",IF(Q138="""",0,IF(REGEXMATCH(Q138,""^Sell_""),-ROUNDDOWN(ROUNDUP(INDEX(Upgrades!$C$3:$C$13,MATCH(SUBSTITUTE(Q138,""Sell_"",""""),Upgrades!$B$3:$B$13,0))*1.15^(COUNTIF(Q$4:Q137,SUBSTITUTE(Q138,""Sell_"",""""))-COUNTIF(Q$4:Q137,"&amp;"""Sell_""&amp;SUBSTITUTE(Q138,""Sell_"",""""))))/2),ROUNDUP(INDEX(Upgrades!$C$3:$C$13,MATCH(Q138,Upgrades!$B$3:$B$13,0))*1.15^(COUNTIF(Q$4:Q137,Q138)-COUNTIF(Q$4:Q137,""Sell_""&amp;Q138))))))"),3352261.0)</f>
        <v>3352261</v>
      </c>
      <c r="V138" s="10">
        <f t="shared" si="11"/>
        <v>3352261</v>
      </c>
      <c r="W138" s="68">
        <f t="shared" si="12"/>
        <v>2444.453819</v>
      </c>
      <c r="X138" s="59" t="str">
        <f t="shared" si="13"/>
        <v>40m 44s</v>
      </c>
      <c r="Y138" s="69">
        <f t="shared" si="14"/>
        <v>16084127</v>
      </c>
      <c r="Z138" s="11"/>
    </row>
    <row r="139">
      <c r="A139" s="8"/>
      <c r="B139" s="56">
        <f t="shared" si="2"/>
        <v>19</v>
      </c>
      <c r="C139" s="57" t="s">
        <v>9</v>
      </c>
      <c r="D139" s="10" t="b">
        <f>IFERROR(__xludf.DUMMYFUNCTION("IF(COUNTA(C139:C1350)=0,"""",IF(ISBLANK(C139),FALSE,IF(NOT(COUNTIF($AA$24:$AA$34,SUBSTITUTE(C139,""Sell_"",""""))),1,IF(REGEXMATCH(C139,""Sell_""),IF(COUNTIF(C$4:C139,SUBSTITUTE(C139,""Sell_"",""""))-COUNTIF(C$4:C138,C139)&lt;1,1),FALSE))))"),FALSE)</f>
        <v>0</v>
      </c>
      <c r="E139" s="59">
        <f t="array" ref="E139">IF(COUNTA(C139:C1350)=0,"",SUM((COUNTIF(C$4:C139,Upgrades!$B$3:$B$13)-COUNTIF(C$4:C139,"Sell_"&amp;Upgrades!$B$3:$B$13))*Upgrades!$D$3:$D$13))</f>
        <v>552091.5</v>
      </c>
      <c r="F139" s="66">
        <f>IFERROR(__xludf.DUMMYFUNCTION("IF(COUNTA(C139:C1350)=0,"""",IF(REGEXMATCH(INDEX(FILTER(C$4:C139,C$4:C139&lt;&gt;""""),ROWS(FILTER(C$4:C139,C$4:C139&lt;&gt;""""))),""^Sell_""),INDEX(FILTER(F$4:F138,C$4:C138&lt;&gt;""""),ROWS(FILTER(C$4:C138,C$4:C138&lt;&gt;""""))),$AC$5+E139))"),552291.5)</f>
        <v>552291.5</v>
      </c>
      <c r="G139" s="10">
        <f>IFERROR(__xludf.DUMMYFUNCTION("IF(COUNTA(C139:C1350)=0,"""",IF(C139="""",0,IF(REGEXMATCH(C139,""^Sell_""),-ROUNDDOWN(ROUNDUP(INDEX(Upgrades!$C$3:$C$13,MATCH(SUBSTITUTE(C139,""Sell_"",""""),Upgrades!$B$3:$B$13,0))*1.15^(COUNTIF(C$4:C138,SUBSTITUTE(C139,""Sell_"",""""))-COUNTIF(C$4:C138,"&amp;"""Sell_""&amp;SUBSTITUTE(C139,""Sell_"",""""))))/2),ROUNDUP(INDEX(Upgrades!$C$3:$C$13,MATCH(C139,Upgrades!$B$3:$B$13,0))*1.15^(COUNTIF(C$4:C138,C139)-COUNTIF(C$4:C138,""Sell_""&amp;C139))))))"),2475091.0)</f>
        <v>2475091</v>
      </c>
      <c r="H139" s="10">
        <f t="shared" si="3"/>
        <v>2475091</v>
      </c>
      <c r="I139" s="68">
        <f t="shared" si="4"/>
        <v>6718.000886</v>
      </c>
      <c r="J139" s="59" t="str">
        <f t="shared" si="5"/>
        <v>1h 51m 58s</v>
      </c>
      <c r="K139" s="69">
        <f t="shared" si="6"/>
        <v>867784212</v>
      </c>
      <c r="L139" s="60">
        <f t="shared" si="7"/>
        <v>-194.03639</v>
      </c>
      <c r="M139" s="61">
        <f>IFERROR(__xludf.DUMMYFUNCTION("IFS(AND(COUNTA(C139:C1350)=0,COUNTA(Q139:Q1350)=0),"""",OR(AND(K139&gt;=1000000000,OR(Y139&gt;=1000000000,COUNTA(Q139:Q1350)=0)),OR(Y139&gt;=1000000000,AND(COUNTA(C139:C1350)=0,P$3=TRUE))),
ROUNDDOWN((AB$1-AC$1)*MAX(INDEX(T$4:T1350,MATCH(LARGE(FILTER(Y$4:Y1350,Y$4"&amp;":Y1350&lt;1000000000),1),Y$4:Y1350)),INDEX(F$4:F1350,MATCH(LARGE(FILTER(K$4:K1350,K$4:K1350&lt;1000000000),1),K$4:K1350)))),AND(K139&lt;1000000000,COUNTA(C139:C1350)&gt;0,P$3=FALSE),
ROUNDDOWN(INDEX(Y$4:Y1350,MATCH(LARGE(FILTER(W$4:W1350,W$4:W1350&lt;=I139),1),W$4:W1350"&amp;"))+(I139-LARGE(FILTER(W$4:W1350,W$4:W1350&lt;=I139),1))*INDEX(T$4:T1350,MATCH(LARGE(FILTER(W$4:W1350,W$4:W1350&lt;=I139),1),W$4:W1350))-K139),1,
ROUNDDOWN(Y139-INDEX(K$4:K1350,MATCH(LARGE(FILTER(I$4:I1350,I$4:I1350&lt;=W139),1),I$4:I1350))-(W139-LARGE(FILTER(I$4:I"&amp;"1350,I$4:I1350&lt;=W139),1))*INDEX(F$4:F1350,MATCH(LARGE(FILTER(I$4:I1350,I$4:I1350&lt;=W139),1),I$4:I1350))))"),1.05163635E8)</f>
        <v>105163635</v>
      </c>
      <c r="N139" s="60">
        <f t="shared" si="8"/>
        <v>-194.03639</v>
      </c>
      <c r="O139" s="61" t="str">
        <f t="shared" si="9"/>
        <v>105,2M</v>
      </c>
      <c r="P139" s="56">
        <f t="shared" si="10"/>
        <v>4</v>
      </c>
      <c r="Q139" s="67" t="s">
        <v>8</v>
      </c>
      <c r="R139" s="10" t="b">
        <f>IFERROR(__xludf.DUMMYFUNCTION("IF(COUNTA(Q139:Q1350)=0,"""",IF(ISBLANK(Q139),FALSE,IF(NOT(COUNTIF($AA$24:$AA$34,SUBSTITUTE(Q139,""Sell_"",""""))),1,IF(REGEXMATCH(Q139,""Sell_""),IF(COUNTIF(Q$4:Q139,SUBSTITUTE(Q139,""Sell_"",""""))-COUNTIF(Q$4:Q138,Q139)&lt;1,1),FALSE))))"),FALSE)</f>
        <v>0</v>
      </c>
      <c r="S139" s="59">
        <f t="array" ref="S139">IF(COUNTA(Q139:Q1350)=0,"",SUM((COUNTIF(Q$4:Q139,Upgrades!$B$3:$B$13)-COUNTIF(Q$4:Q139,"Sell_"&amp;Upgrades!$B$3:$B$13))*Upgrades!$D$3:$D$13))</f>
        <v>41618.8</v>
      </c>
      <c r="T139" s="66">
        <f>IFERROR(__xludf.DUMMYFUNCTION("IF(COUNTA(Q139:Q1350)=0,"""",IF(REGEXMATCH(INDEX(FILTER(Q$4:Q139,Q$4:Q139&lt;&gt;""""),ROWS(FILTER(Q$4:Q139,Q$4:Q139&lt;&gt;""""))),""^Sell_""),INDEX(FILTER(T$4:T138,Q$4:Q138&lt;&gt;""""),ROWS(FILTER(Q$4:Q138,Q$4:Q138&lt;&gt;""""))),$AD$5+S139))"),41818.8)</f>
        <v>41818.8</v>
      </c>
      <c r="U139" s="10">
        <f>IFERROR(__xludf.DUMMYFUNCTION("IF(COUNTA(Q139:Q1350)=0,"""",IF(Q139="""",0,IF(REGEXMATCH(Q139,""^Sell_""),-ROUNDDOWN(ROUNDUP(INDEX(Upgrades!$C$3:$C$13,MATCH(SUBSTITUTE(Q139,""Sell_"",""""),Upgrades!$B$3:$B$13,0))*1.15^(COUNTIF(Q$4:Q138,SUBSTITUTE(Q139,""Sell_"",""""))-COUNTIF(Q$4:Q138,"&amp;"""Sell_""&amp;SUBSTITUTE(Q139,""Sell_"",""""))))/2),ROUNDUP(INDEX(Upgrades!$C$3:$C$13,MATCH(Q139,Upgrades!$B$3:$B$13,0))*1.15^(COUNTIF(Q$4:Q138,Q139)-COUNTIF(Q$4:Q138,""Sell_""&amp;Q139))))))"),60835.0)</f>
        <v>60835</v>
      </c>
      <c r="V139" s="10">
        <f t="shared" si="11"/>
        <v>60835</v>
      </c>
      <c r="W139" s="68">
        <f t="shared" si="12"/>
        <v>2445.912034</v>
      </c>
      <c r="X139" s="59" t="str">
        <f t="shared" si="13"/>
        <v>40m 45s</v>
      </c>
      <c r="Y139" s="69">
        <f t="shared" si="14"/>
        <v>16144962</v>
      </c>
      <c r="Z139" s="11"/>
    </row>
    <row r="140">
      <c r="A140" s="8"/>
      <c r="B140" s="56">
        <f t="shared" si="2"/>
        <v>23</v>
      </c>
      <c r="C140" s="57" t="s">
        <v>10</v>
      </c>
      <c r="D140" s="10" t="b">
        <f>IFERROR(__xludf.DUMMYFUNCTION("IF(COUNTA(C140:C1350)=0,"""",IF(ISBLANK(C140),FALSE,IF(NOT(COUNTIF($AA$24:$AA$34,SUBSTITUTE(C140,""Sell_"",""""))),1,IF(REGEXMATCH(C140,""Sell_""),IF(COUNTIF(C$4:C140,SUBSTITUTE(C140,""Sell_"",""""))-COUNTIF(C$4:C139,C140)&lt;1,1),FALSE))))"),FALSE)</f>
        <v>0</v>
      </c>
      <c r="E140" s="59">
        <f t="array" ref="E140">IF(COUNTA(C140:C1350)=0,"",SUM((COUNTIF(C$4:C140,Upgrades!$B$3:$B$13)-COUNTIF(C$4:C140,"Sell_"&amp;Upgrades!$B$3:$B$13))*Upgrades!$D$3:$D$13))</f>
        <v>558757.5</v>
      </c>
      <c r="F140" s="66">
        <f>IFERROR(__xludf.DUMMYFUNCTION("IF(COUNTA(C140:C1350)=0,"""",IF(REGEXMATCH(INDEX(FILTER(C$4:C140,C$4:C140&lt;&gt;""""),ROWS(FILTER(C$4:C140,C$4:C140&lt;&gt;""""))),""^Sell_""),INDEX(FILTER(F$4:F139,C$4:C139&lt;&gt;""""),ROWS(FILTER(C$4:C139,C$4:C139&lt;&gt;""""))),$AC$5+E140))"),558957.5)</f>
        <v>558957.5</v>
      </c>
      <c r="G140" s="10">
        <f>IFERROR(__xludf.DUMMYFUNCTION("IF(COUNTA(C140:C1350)=0,"""",IF(C140="""",0,IF(REGEXMATCH(C140,""^Sell_""),-ROUNDDOWN(ROUNDUP(INDEX(Upgrades!$C$3:$C$13,MATCH(SUBSTITUTE(C140,""Sell_"",""""),Upgrades!$B$3:$B$13,0))*1.15^(COUNTIF(C$4:C139,SUBSTITUTE(C140,""Sell_"",""""))-COUNTIF(C$4:C139,"&amp;"""Sell_""&amp;SUBSTITUTE(C140,""Sell_"",""""))))/2),ROUNDUP(INDEX(Upgrades!$C$3:$C$13,MATCH(C140,Upgrades!$B$3:$B$13,0))*1.15^(COUNTIF(C$4:C139,C140)-COUNTIF(C$4:C139,""Sell_""&amp;C140))))))"),3.6074562E7)</f>
        <v>36074562</v>
      </c>
      <c r="H140" s="10">
        <f t="shared" si="3"/>
        <v>36074562</v>
      </c>
      <c r="I140" s="68">
        <f t="shared" si="4"/>
        <v>6783.31886</v>
      </c>
      <c r="J140" s="59" t="str">
        <f t="shared" si="5"/>
        <v>1h 53m 03s</v>
      </c>
      <c r="K140" s="69">
        <f t="shared" si="6"/>
        <v>903858774</v>
      </c>
      <c r="L140" s="60">
        <f t="shared" si="7"/>
        <v>-191.81201</v>
      </c>
      <c r="M140" s="61">
        <f>IFERROR(__xludf.DUMMYFUNCTION("IFS(AND(COUNTA(C140:C1350)=0,COUNTA(Q140:Q1350)=0),"""",OR(AND(K140&gt;=1000000000,OR(Y140&gt;=1000000000,COUNTA(Q140:Q1350)=0)),OR(Y140&gt;=1000000000,AND(COUNTA(C140:C1350)=0,P$3=TRUE))),
ROUNDDOWN((AB$1-AC$1)*MAX(INDEX(T$4:T1350,MATCH(LARGE(FILTER(Y$4:Y1350,Y$4"&amp;":Y1350&lt;1000000000),1),Y$4:Y1350)),INDEX(F$4:F1350,MATCH(LARGE(FILTER(K$4:K1350,K$4:K1350&lt;1000000000),1),K$4:K1350)))),AND(K140&lt;1000000000,COUNTA(C140:C1350)&gt;0,P$3=FALSE),
ROUNDDOWN(INDEX(Y$4:Y1350,MATCH(LARGE(FILTER(W$4:W1350,W$4:W1350&lt;=I140),1),W$4:W1350"&amp;"))+(I140-LARGE(FILTER(W$4:W1350,W$4:W1350&lt;=I140),1))*INDEX(T$4:T1350,MATCH(LARGE(FILTER(W$4:W1350,W$4:W1350&lt;=I140),1),W$4:W1350))-K140),1,
ROUNDDOWN(Y140-INDEX(K$4:K1350,MATCH(LARGE(FILTER(I$4:I1350,I$4:I1350&lt;=W140),1),I$4:I1350))-(W140-LARGE(FILTER(I$4:I"&amp;"1350,I$4:I1350&lt;=W140),1))*INDEX(F$4:F1350,MATCH(LARGE(FILTER(I$4:I1350,I$4:I1350&lt;=W140),1),I$4:I1350))))"),1.05450785E8)</f>
        <v>105450785</v>
      </c>
      <c r="N140" s="60">
        <f t="shared" si="8"/>
        <v>-191.81201</v>
      </c>
      <c r="O140" s="61" t="str">
        <f t="shared" si="9"/>
        <v>105,5M</v>
      </c>
      <c r="P140" s="56">
        <f t="shared" si="10"/>
        <v>8</v>
      </c>
      <c r="Q140" s="67" t="s">
        <v>7</v>
      </c>
      <c r="R140" s="10" t="b">
        <f>IFERROR(__xludf.DUMMYFUNCTION("IF(COUNTA(Q140:Q1350)=0,"""",IF(ISBLANK(Q140),FALSE,IF(NOT(COUNTIF($AA$24:$AA$34,SUBSTITUTE(Q140,""Sell_"",""""))),1,IF(REGEXMATCH(Q140,""Sell_""),IF(COUNTIF(Q$4:Q140,SUBSTITUTE(Q140,""Sell_"",""""))-COUNTIF(Q$4:Q139,Q140)&lt;1,1),FALSE))))"),FALSE)</f>
        <v>0</v>
      </c>
      <c r="S140" s="59">
        <f t="array" ref="S140">IF(COUNTA(Q140:Q1350)=0,"",SUM((COUNTIF(Q$4:Q140,Upgrades!$B$3:$B$13)-COUNTIF(Q$4:Q140,"Sell_"&amp;Upgrades!$B$3:$B$13))*Upgrades!$D$3:$D$13))</f>
        <v>41658.8</v>
      </c>
      <c r="T140" s="66">
        <f>IFERROR(__xludf.DUMMYFUNCTION("IF(COUNTA(Q140:Q1350)=0,"""",IF(REGEXMATCH(INDEX(FILTER(Q$4:Q140,Q$4:Q140&lt;&gt;""""),ROWS(FILTER(Q$4:Q140,Q$4:Q140&lt;&gt;""""))),""^Sell_""),INDEX(FILTER(T$4:T139,Q$4:Q139&lt;&gt;""""),ROWS(FILTER(Q$4:Q139,Q$4:Q139&lt;&gt;""""))),$AD$5+S140))"),41858.8)</f>
        <v>41858.8</v>
      </c>
      <c r="U140" s="10">
        <f>IFERROR(__xludf.DUMMYFUNCTION("IF(COUNTA(Q140:Q1350)=0,"""",IF(Q140="""",0,IF(REGEXMATCH(Q140,""^Sell_""),-ROUNDDOWN(ROUNDUP(INDEX(Upgrades!$C$3:$C$13,MATCH(SUBSTITUTE(Q140,""Sell_"",""""),Upgrades!$B$3:$B$13,0))*1.15^(COUNTIF(Q$4:Q139,SUBSTITUTE(Q140,""Sell_"",""""))-COUNTIF(Q$4:Q139,"&amp;"""Sell_""&amp;SUBSTITUTE(Q140,""Sell_"",""""))))/2),ROUNDUP(INDEX(Upgrades!$C$3:$C$13,MATCH(Q140,Upgrades!$B$3:$B$13,0))*1.15^(COUNTIF(Q$4:Q139,Q140)-COUNTIF(Q$4:Q139,""Sell_""&amp;Q140))))))"),26601.0)</f>
        <v>26601</v>
      </c>
      <c r="V140" s="10">
        <f t="shared" si="11"/>
        <v>26601</v>
      </c>
      <c r="W140" s="68">
        <f t="shared" si="12"/>
        <v>2446.548136</v>
      </c>
      <c r="X140" s="59" t="str">
        <f t="shared" si="13"/>
        <v>40m 46s</v>
      </c>
      <c r="Y140" s="69">
        <f t="shared" si="14"/>
        <v>16171563</v>
      </c>
      <c r="Z140" s="11"/>
    </row>
    <row r="141">
      <c r="A141" s="8"/>
      <c r="B141" s="56">
        <f t="shared" si="2"/>
        <v>20</v>
      </c>
      <c r="C141" s="57" t="s">
        <v>8</v>
      </c>
      <c r="D141" s="10" t="b">
        <f>IFERROR(__xludf.DUMMYFUNCTION("IF(COUNTA(C141:C1350)=0,"""",IF(ISBLANK(C141),FALSE,IF(NOT(COUNTIF($AA$24:$AA$34,SUBSTITUTE(C141,""Sell_"",""""))),1,IF(REGEXMATCH(C141,""Sell_""),IF(COUNTIF(C$4:C141,SUBSTITUTE(C141,""Sell_"",""""))-COUNTIF(C$4:C140,C141)&lt;1,1),FALSE))))"),FALSE)</f>
        <v>0</v>
      </c>
      <c r="E141" s="59">
        <f t="array" ref="E141">IF(COUNTA(C141:C1350)=0,"",SUM((COUNTIF(C$4:C141,Upgrades!$B$3:$B$13)-COUNTIF(C$4:C141,"Sell_"&amp;Upgrades!$B$3:$B$13))*Upgrades!$D$3:$D$13))</f>
        <v>558857.5</v>
      </c>
      <c r="F141" s="66">
        <f>IFERROR(__xludf.DUMMYFUNCTION("IF(COUNTA(C141:C1350)=0,"""",IF(REGEXMATCH(INDEX(FILTER(C$4:C141,C$4:C141&lt;&gt;""""),ROWS(FILTER(C$4:C141,C$4:C141&lt;&gt;""""))),""^Sell_""),INDEX(FILTER(F$4:F140,C$4:C140&lt;&gt;""""),ROWS(FILTER(C$4:C140,C$4:C140&lt;&gt;""""))),$AC$5+E141))"),559057.5)</f>
        <v>559057.5</v>
      </c>
      <c r="G141" s="10">
        <f>IFERROR(__xludf.DUMMYFUNCTION("IF(COUNTA(C141:C1350)=0,"""",IF(C141="""",0,IF(REGEXMATCH(C141,""^Sell_""),-ROUNDDOWN(ROUNDUP(INDEX(Upgrades!$C$3:$C$13,MATCH(SUBSTITUTE(C141,""Sell_"",""""),Upgrades!$B$3:$B$13,0))*1.15^(COUNTIF(C$4:C140,SUBSTITUTE(C141,""Sell_"",""""))-COUNTIF(C$4:C140,"&amp;"""Sell_""&amp;SUBSTITUTE(C141,""Sell_"",""""))))/2),ROUNDUP(INDEX(Upgrades!$C$3:$C$13,MATCH(C141,Upgrades!$B$3:$B$13,0))*1.15^(COUNTIF(C$4:C140,C141)-COUNTIF(C$4:C140,""Sell_""&amp;C141))))))"),569271.0)</f>
        <v>569271</v>
      </c>
      <c r="H141" s="10">
        <f t="shared" si="3"/>
        <v>569271</v>
      </c>
      <c r="I141" s="68">
        <f t="shared" si="4"/>
        <v>6784.337312</v>
      </c>
      <c r="J141" s="59" t="str">
        <f t="shared" si="5"/>
        <v>1h 53m 04s</v>
      </c>
      <c r="K141" s="69">
        <f t="shared" si="6"/>
        <v>904428045</v>
      </c>
      <c r="L141" s="60">
        <f t="shared" si="7"/>
        <v>-191.77199</v>
      </c>
      <c r="M141" s="61">
        <f>IFERROR(__xludf.DUMMYFUNCTION("IFS(AND(COUNTA(C141:C1350)=0,COUNTA(Q141:Q1350)=0),"""",OR(AND(K141&gt;=1000000000,OR(Y141&gt;=1000000000,COUNTA(Q141:Q1350)=0)),OR(Y141&gt;=1000000000,AND(COUNTA(C141:C1350)=0,P$3=TRUE))),
ROUNDDOWN((AB$1-AC$1)*MAX(INDEX(T$4:T1350,MATCH(LARGE(FILTER(Y$4:Y1350,Y$4"&amp;":Y1350&lt;1000000000),1),Y$4:Y1350)),INDEX(F$4:F1350,MATCH(LARGE(FILTER(K$4:K1350,K$4:K1350&lt;1000000000),1),K$4:K1350)))),AND(K141&lt;1000000000,COUNTA(C141:C1350)&gt;0,P$3=FALSE),
ROUNDDOWN(INDEX(Y$4:Y1350,MATCH(LARGE(FILTER(W$4:W1350,W$4:W1350&lt;=I141),1),W$4:W1350"&amp;"))+(I141-LARGE(FILTER(W$4:W1350,W$4:W1350&lt;=I141),1))*INDEX(T$4:T1350,MATCH(LARGE(FILTER(W$4:W1350,W$4:W1350&lt;=I141),1),W$4:W1350))-K141),1,
ROUNDDOWN(Y141-INDEX(K$4:K1350,MATCH(LARGE(FILTER(I$4:I1350,I$4:I1350&lt;=W141),1),I$4:I1350))-(W141-LARGE(FILTER(I$4:I"&amp;"1350,I$4:I1350&lt;=W141),1))*INDEX(F$4:F1350,MATCH(LARGE(FILTER(I$4:I1350,I$4:I1350&lt;=W141),1),I$4:I1350))))"),1.05452419E8)</f>
        <v>105452419</v>
      </c>
      <c r="N141" s="60">
        <f t="shared" si="8"/>
        <v>-191.77199</v>
      </c>
      <c r="O141" s="61" t="str">
        <f t="shared" si="9"/>
        <v>105,5M</v>
      </c>
      <c r="P141" s="56">
        <f t="shared" si="10"/>
        <v>3</v>
      </c>
      <c r="Q141" s="67" t="s">
        <v>9</v>
      </c>
      <c r="R141" s="10" t="b">
        <f>IFERROR(__xludf.DUMMYFUNCTION("IF(COUNTA(Q141:Q1350)=0,"""",IF(ISBLANK(Q141),FALSE,IF(NOT(COUNTIF($AA$24:$AA$34,SUBSTITUTE(Q141,""Sell_"",""""))),1,IF(REGEXMATCH(Q141,""Sell_""),IF(COUNTIF(Q$4:Q141,SUBSTITUTE(Q141,""Sell_"",""""))-COUNTIF(Q$4:Q140,Q141)&lt;1,1),FALSE))))"),FALSE)</f>
        <v>0</v>
      </c>
      <c r="S141" s="59">
        <f t="array" ref="S141">IF(COUNTA(Q141:Q1350)=0,"",SUM((COUNTIF(Q$4:Q141,Upgrades!$B$3:$B$13)-COUNTIF(Q$4:Q141,"Sell_"&amp;Upgrades!$B$3:$B$13))*Upgrades!$D$3:$D$13))</f>
        <v>42058.8</v>
      </c>
      <c r="T141" s="66">
        <f>IFERROR(__xludf.DUMMYFUNCTION("IF(COUNTA(Q141:Q1350)=0,"""",IF(REGEXMATCH(INDEX(FILTER(Q$4:Q141,Q$4:Q141&lt;&gt;""""),ROWS(FILTER(Q$4:Q141,Q$4:Q141&lt;&gt;""""))),""^Sell_""),INDEX(FILTER(T$4:T140,Q$4:Q140&lt;&gt;""""),ROWS(FILTER(Q$4:Q140,Q$4:Q140&lt;&gt;""""))),$AD$5+S141))"),42258.8)</f>
        <v>42258.8</v>
      </c>
      <c r="U141" s="10">
        <f>IFERROR(__xludf.DUMMYFUNCTION("IF(COUNTA(Q141:Q1350)=0,"""",IF(Q141="""",0,IF(REGEXMATCH(Q141,""^Sell_""),-ROUNDDOWN(ROUNDUP(INDEX(Upgrades!$C$3:$C$13,MATCH(SUBSTITUTE(Q141,""Sell_"",""""),Upgrades!$B$3:$B$13,0))*1.15^(COUNTIF(Q$4:Q140,SUBSTITUTE(Q141,""Sell_"",""""))-COUNTIF(Q$4:Q140,"&amp;"""Sell_""&amp;SUBSTITUTE(Q141,""Sell_"",""""))))/2),ROUNDUP(INDEX(Upgrades!$C$3:$C$13,MATCH(Q141,Upgrades!$B$3:$B$13,0))*1.15^(COUNTIF(Q$4:Q140,Q141)-COUNTIF(Q$4:Q140,""Sell_""&amp;Q141))))))"),264500.0)</f>
        <v>264500</v>
      </c>
      <c r="V141" s="10">
        <f t="shared" si="11"/>
        <v>264500</v>
      </c>
      <c r="W141" s="68">
        <f t="shared" si="12"/>
        <v>2452.866998</v>
      </c>
      <c r="X141" s="59" t="str">
        <f t="shared" si="13"/>
        <v>40m 52s</v>
      </c>
      <c r="Y141" s="69">
        <f t="shared" si="14"/>
        <v>16436063</v>
      </c>
      <c r="Z141" s="11"/>
    </row>
    <row r="142">
      <c r="A142" s="8"/>
      <c r="B142" s="56">
        <f t="shared" si="2"/>
        <v>20</v>
      </c>
      <c r="C142" s="57" t="s">
        <v>9</v>
      </c>
      <c r="D142" s="10" t="b">
        <f>IFERROR(__xludf.DUMMYFUNCTION("IF(COUNTA(C142:C1350)=0,"""",IF(ISBLANK(C142),FALSE,IF(NOT(COUNTIF($AA$24:$AA$34,SUBSTITUTE(C142,""Sell_"",""""))),1,IF(REGEXMATCH(C142,""Sell_""),IF(COUNTIF(C$4:C142,SUBSTITUTE(C142,""Sell_"",""""))-COUNTIF(C$4:C141,C142)&lt;1,1),FALSE))))"),FALSE)</f>
        <v>0</v>
      </c>
      <c r="E142" s="59">
        <f t="array" ref="E142">IF(COUNTA(C142:C1350)=0,"",SUM((COUNTIF(C$4:C142,Upgrades!$B$3:$B$13)-COUNTIF(C$4:C142,"Sell_"&amp;Upgrades!$B$3:$B$13))*Upgrades!$D$3:$D$13))</f>
        <v>559257.5</v>
      </c>
      <c r="F142" s="66">
        <f>IFERROR(__xludf.DUMMYFUNCTION("IF(COUNTA(C142:C1350)=0,"""",IF(REGEXMATCH(INDEX(FILTER(C$4:C142,C$4:C142&lt;&gt;""""),ROWS(FILTER(C$4:C142,C$4:C142&lt;&gt;""""))),""^Sell_""),INDEX(FILTER(F$4:F141,C$4:C141&lt;&gt;""""),ROWS(FILTER(C$4:C141,C$4:C141&lt;&gt;""""))),$AC$5+E142))"),559457.5)</f>
        <v>559457.5</v>
      </c>
      <c r="G142" s="10">
        <f>IFERROR(__xludf.DUMMYFUNCTION("IF(COUNTA(C142:C1350)=0,"""",IF(C142="""",0,IF(REGEXMATCH(C142,""^Sell_""),-ROUNDDOWN(ROUNDUP(INDEX(Upgrades!$C$3:$C$13,MATCH(SUBSTITUTE(C142,""Sell_"",""""),Upgrades!$B$3:$B$13,0))*1.15^(COUNTIF(C$4:C141,SUBSTITUTE(C142,""Sell_"",""""))-COUNTIF(C$4:C141,"&amp;"""Sell_""&amp;SUBSTITUTE(C142,""Sell_"",""""))))/2),ROUNDUP(INDEX(Upgrades!$C$3:$C$13,MATCH(C142,Upgrades!$B$3:$B$13,0))*1.15^(COUNTIF(C$4:C141,C142)-COUNTIF(C$4:C141,""Sell_""&amp;C142))))))"),2846355.0)</f>
        <v>2846355</v>
      </c>
      <c r="H142" s="10">
        <f t="shared" si="3"/>
        <v>2846355</v>
      </c>
      <c r="I142" s="68">
        <f t="shared" si="4"/>
        <v>6789.428657</v>
      </c>
      <c r="J142" s="59" t="str">
        <f t="shared" si="5"/>
        <v>1h 53m 09s</v>
      </c>
      <c r="K142" s="69">
        <f t="shared" si="6"/>
        <v>907274400</v>
      </c>
      <c r="L142" s="60">
        <f t="shared" si="7"/>
        <v>-191.57097</v>
      </c>
      <c r="M142" s="61">
        <f>IFERROR(__xludf.DUMMYFUNCTION("IFS(AND(COUNTA(C142:C1350)=0,COUNTA(Q142:Q1350)=0),"""",OR(AND(K142&gt;=1000000000,OR(Y142&gt;=1000000000,COUNTA(Q142:Q1350)=0)),OR(Y142&gt;=1000000000,AND(COUNTA(C142:C1350)=0,P$3=TRUE))),
ROUNDDOWN((AB$1-AC$1)*MAX(INDEX(T$4:T1350,MATCH(LARGE(FILTER(Y$4:Y1350,Y$4"&amp;":Y1350&lt;1000000000),1),Y$4:Y1350)),INDEX(F$4:F1350,MATCH(LARGE(FILTER(K$4:K1350,K$4:K1350&lt;1000000000),1),K$4:K1350)))),AND(K142&lt;1000000000,COUNTA(C142:C1350)&gt;0,P$3=FALSE),
ROUNDDOWN(INDEX(Y$4:Y1350,MATCH(LARGE(FILTER(W$4:W1350,W$4:W1350&lt;=I142),1),W$4:W1350"&amp;"))+(I142-LARGE(FILTER(W$4:W1350,W$4:W1350&lt;=I142),1))*INDEX(T$4:T1350,MATCH(LARGE(FILTER(W$4:W1350,W$4:W1350&lt;=I142),1),W$4:W1350))-K142),1,
ROUNDDOWN(Y142-INDEX(K$4:K1350,MATCH(LARGE(FILTER(I$4:I1350,I$4:I1350&lt;=W142),1),I$4:I1350))-(W142-LARGE(FILTER(I$4:I"&amp;"1350,I$4:I1350&lt;=W142),1))*INDEX(F$4:F1350,MATCH(LARGE(FILTER(I$4:I1350,I$4:I1350&lt;=W142),1),I$4:I1350))))"),1.05460077E8)</f>
        <v>105460077</v>
      </c>
      <c r="N142" s="60">
        <f t="shared" si="8"/>
        <v>-191.57097</v>
      </c>
      <c r="O142" s="61" t="str">
        <f t="shared" si="9"/>
        <v>105,5M</v>
      </c>
      <c r="P142" s="56">
        <f t="shared" si="10"/>
        <v>7</v>
      </c>
      <c r="Q142" s="67" t="s">
        <v>10</v>
      </c>
      <c r="R142" s="10" t="b">
        <f>IFERROR(__xludf.DUMMYFUNCTION("IF(COUNTA(Q142:Q1350)=0,"""",IF(ISBLANK(Q142),FALSE,IF(NOT(COUNTIF($AA$24:$AA$34,SUBSTITUTE(Q142,""Sell_"",""""))),1,IF(REGEXMATCH(Q142,""Sell_""),IF(COUNTIF(Q$4:Q142,SUBSTITUTE(Q142,""Sell_"",""""))-COUNTIF(Q$4:Q141,Q142)&lt;1,1),FALSE))))"),FALSE)</f>
        <v>0</v>
      </c>
      <c r="S142" s="59">
        <f t="array" ref="S142">IF(COUNTA(Q142:Q1350)=0,"",SUM((COUNTIF(Q$4:Q142,Upgrades!$B$3:$B$13)-COUNTIF(Q$4:Q142,"Sell_"&amp;Upgrades!$B$3:$B$13))*Upgrades!$D$3:$D$13))</f>
        <v>48724.8</v>
      </c>
      <c r="T142" s="66">
        <f>IFERROR(__xludf.DUMMYFUNCTION("IF(COUNTA(Q142:Q1350)=0,"""",IF(REGEXMATCH(INDEX(FILTER(Q$4:Q142,Q$4:Q142&lt;&gt;""""),ROWS(FILTER(Q$4:Q142,Q$4:Q142&lt;&gt;""""))),""^Sell_""),INDEX(FILTER(T$4:T141,Q$4:Q141&lt;&gt;""""),ROWS(FILTER(Q$4:Q141,Q$4:Q141&lt;&gt;""""))),$AD$5+S142))"),48924.8)</f>
        <v>48924.8</v>
      </c>
      <c r="U142" s="10">
        <f>IFERROR(__xludf.DUMMYFUNCTION("IF(COUNTA(Q142:Q1350)=0,"""",IF(Q142="""",0,IF(REGEXMATCH(Q142,""^Sell_""),-ROUNDDOWN(ROUNDUP(INDEX(Upgrades!$C$3:$C$13,MATCH(SUBSTITUTE(Q142,""Sell_"",""""),Upgrades!$B$3:$B$13,0))*1.15^(COUNTIF(Q$4:Q141,SUBSTITUTE(Q142,""Sell_"",""""))-COUNTIF(Q$4:Q141,"&amp;"""Sell_""&amp;SUBSTITUTE(Q142,""Sell_"",""""))))/2),ROUNDUP(INDEX(Upgrades!$C$3:$C$13,MATCH(Q142,Upgrades!$B$3:$B$13,0))*1.15^(COUNTIF(Q$4:Q141,Q142)-COUNTIF(Q$4:Q141,""Sell_""&amp;Q142))))))"),3855100.0)</f>
        <v>3855100</v>
      </c>
      <c r="V142" s="10">
        <f t="shared" si="11"/>
        <v>3855100</v>
      </c>
      <c r="W142" s="68">
        <f t="shared" si="12"/>
        <v>2544.092968</v>
      </c>
      <c r="X142" s="59" t="str">
        <f t="shared" si="13"/>
        <v>42m 24s</v>
      </c>
      <c r="Y142" s="69">
        <f t="shared" si="14"/>
        <v>20291163</v>
      </c>
      <c r="Z142" s="11"/>
    </row>
    <row r="143">
      <c r="A143" s="8"/>
      <c r="B143" s="56">
        <f t="shared" si="2"/>
        <v>24</v>
      </c>
      <c r="C143" s="57" t="s">
        <v>10</v>
      </c>
      <c r="D143" s="10" t="b">
        <f>IFERROR(__xludf.DUMMYFUNCTION("IF(COUNTA(C143:C1350)=0,"""",IF(ISBLANK(C143),FALSE,IF(NOT(COUNTIF($AA$24:$AA$34,SUBSTITUTE(C143,""Sell_"",""""))),1,IF(REGEXMATCH(C143,""Sell_""),IF(COUNTIF(C$4:C143,SUBSTITUTE(C143,""Sell_"",""""))-COUNTIF(C$4:C142,C143)&lt;1,1),FALSE))))"),FALSE)</f>
        <v>0</v>
      </c>
      <c r="E143" s="59">
        <f t="array" ref="E143">IF(COUNTA(C143:C1350)=0,"",SUM((COUNTIF(C$4:C143,Upgrades!$B$3:$B$13)-COUNTIF(C$4:C143,"Sell_"&amp;Upgrades!$B$3:$B$13))*Upgrades!$D$3:$D$13))</f>
        <v>565923.5</v>
      </c>
      <c r="F143" s="66">
        <f>IFERROR(__xludf.DUMMYFUNCTION("IF(COUNTA(C143:C1350)=0,"""",IF(REGEXMATCH(INDEX(FILTER(C$4:C143,C$4:C143&lt;&gt;""""),ROWS(FILTER(C$4:C143,C$4:C143&lt;&gt;""""))),""^Sell_""),INDEX(FILTER(F$4:F142,C$4:C142&lt;&gt;""""),ROWS(FILTER(C$4:C142,C$4:C142&lt;&gt;""""))),$AC$5+E143))"),566123.5)</f>
        <v>566123.5</v>
      </c>
      <c r="G143" s="10">
        <f>IFERROR(__xludf.DUMMYFUNCTION("IF(COUNTA(C143:C1350)=0,"""",IF(C143="""",0,IF(REGEXMATCH(C143,""^Sell_""),-ROUNDDOWN(ROUNDUP(INDEX(Upgrades!$C$3:$C$13,MATCH(SUBSTITUTE(C143,""Sell_"",""""),Upgrades!$B$3:$B$13,0))*1.15^(COUNTIF(C$4:C142,SUBSTITUTE(C143,""Sell_"",""""))-COUNTIF(C$4:C142,"&amp;"""Sell_""&amp;SUBSTITUTE(C143,""Sell_"",""""))))/2),ROUNDUP(INDEX(Upgrades!$C$3:$C$13,MATCH(C143,Upgrades!$B$3:$B$13,0))*1.15^(COUNTIF(C$4:C142,C143)-COUNTIF(C$4:C142,""Sell_""&amp;C143))))))"),4.1485747E7)</f>
        <v>41485747</v>
      </c>
      <c r="H143" s="10">
        <f t="shared" si="3"/>
        <v>41485747</v>
      </c>
      <c r="I143" s="68">
        <f t="shared" si="4"/>
        <v>6863.582185</v>
      </c>
      <c r="J143" s="59" t="str">
        <f t="shared" si="5"/>
        <v>1h 54m 23s</v>
      </c>
      <c r="K143" s="69">
        <f t="shared" si="6"/>
        <v>948760147</v>
      </c>
      <c r="L143" s="60">
        <f t="shared" si="7"/>
        <v>-189.40111</v>
      </c>
      <c r="M143" s="61">
        <f>IFERROR(__xludf.DUMMYFUNCTION("IFS(AND(COUNTA(C143:C1350)=0,COUNTA(Q143:Q1350)=0),"""",OR(AND(K143&gt;=1000000000,OR(Y143&gt;=1000000000,COUNTA(Q143:Q1350)=0)),OR(Y143&gt;=1000000000,AND(COUNTA(C143:C1350)=0,P$3=TRUE))),
ROUNDDOWN((AB$1-AC$1)*MAX(INDEX(T$4:T1350,MATCH(LARGE(FILTER(Y$4:Y1350,Y$4"&amp;":Y1350&lt;1000000000),1),Y$4:Y1350)),INDEX(F$4:F1350,MATCH(LARGE(FILTER(K$4:K1350,K$4:K1350&lt;1000000000),1),K$4:K1350)))),AND(K143&lt;1000000000,COUNTA(C143:C1350)&gt;0,P$3=FALSE),
ROUNDDOWN(INDEX(Y$4:Y1350,MATCH(LARGE(FILTER(W$4:W1350,W$4:W1350&lt;=I143),1),W$4:W1350"&amp;"))+(I143-LARGE(FILTER(W$4:W1350,W$4:W1350&lt;=I143),1))*INDEX(T$4:T1350,MATCH(LARGE(FILTER(W$4:W1350,W$4:W1350&lt;=I143),1),W$4:W1350))-K143),1,
ROUNDDOWN(Y143-INDEX(K$4:K1350,MATCH(LARGE(FILTER(I$4:I1350,I$4:I1350&lt;=W143),1),I$4:I1350))-(W143-LARGE(FILTER(I$4:I"&amp;"1350,I$4:I1350&lt;=W143),1))*INDEX(F$4:F1350,MATCH(LARGE(FILTER(I$4:I1350,I$4:I1350&lt;=W143),1),I$4:I1350))))"),1.05541957E8)</f>
        <v>105541957</v>
      </c>
      <c r="N143" s="60">
        <f t="shared" si="8"/>
        <v>-189.40111</v>
      </c>
      <c r="O143" s="61" t="str">
        <f t="shared" si="9"/>
        <v>105,5M</v>
      </c>
      <c r="P143" s="56">
        <f t="shared" si="10"/>
        <v>5</v>
      </c>
      <c r="Q143" s="67" t="s">
        <v>8</v>
      </c>
      <c r="R143" s="10" t="b">
        <f>IFERROR(__xludf.DUMMYFUNCTION("IF(COUNTA(Q143:Q1350)=0,"""",IF(ISBLANK(Q143),FALSE,IF(NOT(COUNTIF($AA$24:$AA$34,SUBSTITUTE(Q143,""Sell_"",""""))),1,IF(REGEXMATCH(Q143,""Sell_""),IF(COUNTIF(Q$4:Q143,SUBSTITUTE(Q143,""Sell_"",""""))-COUNTIF(Q$4:Q142,Q143)&lt;1,1),FALSE))))"),FALSE)</f>
        <v>0</v>
      </c>
      <c r="S143" s="59">
        <f t="array" ref="S143">IF(COUNTA(Q143:Q1350)=0,"",SUM((COUNTIF(Q$4:Q143,Upgrades!$B$3:$B$13)-COUNTIF(Q$4:Q143,"Sell_"&amp;Upgrades!$B$3:$B$13))*Upgrades!$D$3:$D$13))</f>
        <v>48824.8</v>
      </c>
      <c r="T143" s="66">
        <f>IFERROR(__xludf.DUMMYFUNCTION("IF(COUNTA(Q143:Q1350)=0,"""",IF(REGEXMATCH(INDEX(FILTER(Q$4:Q143,Q$4:Q143&lt;&gt;""""),ROWS(FILTER(Q$4:Q143,Q$4:Q143&lt;&gt;""""))),""^Sell_""),INDEX(FILTER(T$4:T142,Q$4:Q142&lt;&gt;""""),ROWS(FILTER(Q$4:Q142,Q$4:Q142&lt;&gt;""""))),$AD$5+S143))"),49024.8)</f>
        <v>49024.8</v>
      </c>
      <c r="U143" s="10">
        <f>IFERROR(__xludf.DUMMYFUNCTION("IF(COUNTA(Q143:Q1350)=0,"""",IF(Q143="""",0,IF(REGEXMATCH(Q143,""^Sell_""),-ROUNDDOWN(ROUNDUP(INDEX(Upgrades!$C$3:$C$13,MATCH(SUBSTITUTE(Q143,""Sell_"",""""),Upgrades!$B$3:$B$13,0))*1.15^(COUNTIF(Q$4:Q142,SUBSTITUTE(Q143,""Sell_"",""""))-COUNTIF(Q$4:Q142,"&amp;"""Sell_""&amp;SUBSTITUTE(Q143,""Sell_"",""""))))/2),ROUNDUP(INDEX(Upgrades!$C$3:$C$13,MATCH(Q143,Upgrades!$B$3:$B$13,0))*1.15^(COUNTIF(Q$4:Q142,Q143)-COUNTIF(Q$4:Q142,""Sell_""&amp;Q143))))))"),69961.0)</f>
        <v>69961</v>
      </c>
      <c r="V143" s="10">
        <f t="shared" si="11"/>
        <v>69961</v>
      </c>
      <c r="W143" s="68">
        <f t="shared" si="12"/>
        <v>2545.522938</v>
      </c>
      <c r="X143" s="59" t="str">
        <f t="shared" si="13"/>
        <v>42m 25s</v>
      </c>
      <c r="Y143" s="69">
        <f t="shared" si="14"/>
        <v>20361124</v>
      </c>
      <c r="Z143" s="11"/>
    </row>
    <row r="144">
      <c r="A144" s="8"/>
      <c r="B144" s="56">
        <f t="shared" si="2"/>
        <v>21</v>
      </c>
      <c r="C144" s="57" t="s">
        <v>8</v>
      </c>
      <c r="D144" s="10" t="b">
        <f>IFERROR(__xludf.DUMMYFUNCTION("IF(COUNTA(C144:C1350)=0,"""",IF(ISBLANK(C144),FALSE,IF(NOT(COUNTIF($AA$24:$AA$34,SUBSTITUTE(C144,""Sell_"",""""))),1,IF(REGEXMATCH(C144,""Sell_""),IF(COUNTIF(C$4:C144,SUBSTITUTE(C144,""Sell_"",""""))-COUNTIF(C$4:C143,C144)&lt;1,1),FALSE))))"),FALSE)</f>
        <v>0</v>
      </c>
      <c r="E144" s="59">
        <f t="array" ref="E144">IF(COUNTA(C144:C1350)=0,"",SUM((COUNTIF(C$4:C144,Upgrades!$B$3:$B$13)-COUNTIF(C$4:C144,"Sell_"&amp;Upgrades!$B$3:$B$13))*Upgrades!$D$3:$D$13))</f>
        <v>566023.5</v>
      </c>
      <c r="F144" s="66">
        <f>IFERROR(__xludf.DUMMYFUNCTION("IF(COUNTA(C144:C1350)=0,"""",IF(REGEXMATCH(INDEX(FILTER(C$4:C144,C$4:C144&lt;&gt;""""),ROWS(FILTER(C$4:C144,C$4:C144&lt;&gt;""""))),""^Sell_""),INDEX(FILTER(F$4:F143,C$4:C143&lt;&gt;""""),ROWS(FILTER(C$4:C143,C$4:C143&lt;&gt;""""))),$AC$5+E144))"),566223.5)</f>
        <v>566223.5</v>
      </c>
      <c r="G144" s="10">
        <f>IFERROR(__xludf.DUMMYFUNCTION("IF(COUNTA(C144:C1350)=0,"""",IF(C144="""",0,IF(REGEXMATCH(C144,""^Sell_""),-ROUNDDOWN(ROUNDUP(INDEX(Upgrades!$C$3:$C$13,MATCH(SUBSTITUTE(C144,""Sell_"",""""),Upgrades!$B$3:$B$13,0))*1.15^(COUNTIF(C$4:C143,SUBSTITUTE(C144,""Sell_"",""""))-COUNTIF(C$4:C143,"&amp;"""Sell_""&amp;SUBSTITUTE(C144,""Sell_"",""""))))/2),ROUNDUP(INDEX(Upgrades!$C$3:$C$13,MATCH(C144,Upgrades!$B$3:$B$13,0))*1.15^(COUNTIF(C$4:C143,C144)-COUNTIF(C$4:C143,""Sell_""&amp;C144))))))"),654662.0)</f>
        <v>654662</v>
      </c>
      <c r="H144" s="10">
        <f t="shared" si="3"/>
        <v>654662</v>
      </c>
      <c r="I144" s="68">
        <f t="shared" si="4"/>
        <v>6864.738579</v>
      </c>
      <c r="J144" s="59" t="str">
        <f t="shared" si="5"/>
        <v>1h 54m 24s</v>
      </c>
      <c r="K144" s="69">
        <f t="shared" si="6"/>
        <v>949414809</v>
      </c>
      <c r="L144" s="60">
        <f t="shared" si="7"/>
        <v>-189.35639</v>
      </c>
      <c r="M144" s="61">
        <f>IFERROR(__xludf.DUMMYFUNCTION("IFS(AND(COUNTA(C144:C1350)=0,COUNTA(Q144:Q1350)=0),"""",OR(AND(K144&gt;=1000000000,OR(Y144&gt;=1000000000,COUNTA(Q144:Q1350)=0)),OR(Y144&gt;=1000000000,AND(COUNTA(C144:C1350)=0,P$3=TRUE))),
ROUNDDOWN((AB$1-AC$1)*MAX(INDEX(T$4:T1350,MATCH(LARGE(FILTER(Y$4:Y1350,Y$4"&amp;":Y1350&lt;1000000000),1),Y$4:Y1350)),INDEX(F$4:F1350,MATCH(LARGE(FILTER(K$4:K1350,K$4:K1350&lt;1000000000),1),K$4:K1350)))),AND(K144&lt;1000000000,COUNTA(C144:C1350)&gt;0,P$3=FALSE),
ROUNDDOWN(INDEX(Y$4:Y1350,MATCH(LARGE(FILTER(W$4:W1350,W$4:W1350&lt;=I144),1),W$4:W1350"&amp;"))+(I144-LARGE(FILTER(W$4:W1350,W$4:W1350&lt;=I144),1))*INDEX(T$4:T1350,MATCH(LARGE(FILTER(W$4:W1350,W$4:W1350&lt;=I144),1),W$4:W1350))-K144),1,
ROUNDDOWN(Y144-INDEX(K$4:K1350,MATCH(LARGE(FILTER(I$4:I1350,I$4:I1350&lt;=W144),1),I$4:I1350))-(W144-LARGE(FILTER(I$4:I"&amp;"1350,I$4:I1350&lt;=W144),1))*INDEX(F$4:F1350,MATCH(LARGE(FILTER(I$4:I1350,I$4:I1350&lt;=W144),1),I$4:I1350))))"),1.05535526E8)</f>
        <v>105535526</v>
      </c>
      <c r="N144" s="60">
        <f t="shared" si="8"/>
        <v>-189.35639</v>
      </c>
      <c r="O144" s="61" t="str">
        <f t="shared" si="9"/>
        <v>105,5M</v>
      </c>
      <c r="P144" s="56">
        <f t="shared" si="10"/>
        <v>8</v>
      </c>
      <c r="Q144" s="67" t="s">
        <v>10</v>
      </c>
      <c r="R144" s="10" t="b">
        <f>IFERROR(__xludf.DUMMYFUNCTION("IF(COUNTA(Q144:Q1350)=0,"""",IF(ISBLANK(Q144),FALSE,IF(NOT(COUNTIF($AA$24:$AA$34,SUBSTITUTE(Q144,""Sell_"",""""))),1,IF(REGEXMATCH(Q144,""Sell_""),IF(COUNTIF(Q$4:Q144,SUBSTITUTE(Q144,""Sell_"",""""))-COUNTIF(Q$4:Q143,Q144)&lt;1,1),FALSE))))"),FALSE)</f>
        <v>0</v>
      </c>
      <c r="S144" s="59">
        <f t="array" ref="S144">IF(COUNTA(Q144:Q1350)=0,"",SUM((COUNTIF(Q$4:Q144,Upgrades!$B$3:$B$13)-COUNTIF(Q$4:Q144,"Sell_"&amp;Upgrades!$B$3:$B$13))*Upgrades!$D$3:$D$13))</f>
        <v>55490.8</v>
      </c>
      <c r="T144" s="66">
        <f>IFERROR(__xludf.DUMMYFUNCTION("IF(COUNTA(Q144:Q1350)=0,"""",IF(REGEXMATCH(INDEX(FILTER(Q$4:Q144,Q$4:Q144&lt;&gt;""""),ROWS(FILTER(Q$4:Q144,Q$4:Q144&lt;&gt;""""))),""^Sell_""),INDEX(FILTER(T$4:T143,Q$4:Q143&lt;&gt;""""),ROWS(FILTER(Q$4:Q143,Q$4:Q143&lt;&gt;""""))),$AD$5+S144))"),55690.8)</f>
        <v>55690.8</v>
      </c>
      <c r="U144" s="10">
        <f>IFERROR(__xludf.DUMMYFUNCTION("IF(COUNTA(Q144:Q1350)=0,"""",IF(Q144="""",0,IF(REGEXMATCH(Q144,""^Sell_""),-ROUNDDOWN(ROUNDUP(INDEX(Upgrades!$C$3:$C$13,MATCH(SUBSTITUTE(Q144,""Sell_"",""""),Upgrades!$B$3:$B$13,0))*1.15^(COUNTIF(Q$4:Q143,SUBSTITUTE(Q144,""Sell_"",""""))-COUNTIF(Q$4:Q143,"&amp;"""Sell_""&amp;SUBSTITUTE(Q144,""Sell_"",""""))))/2),ROUNDUP(INDEX(Upgrades!$C$3:$C$13,MATCH(Q144,Upgrades!$B$3:$B$13,0))*1.15^(COUNTIF(Q$4:Q143,Q144)-COUNTIF(Q$4:Q143,""Sell_""&amp;Q144))))))"),4433365.0)</f>
        <v>4433365</v>
      </c>
      <c r="V144" s="10">
        <f t="shared" si="11"/>
        <v>4433365</v>
      </c>
      <c r="W144" s="68">
        <f t="shared" si="12"/>
        <v>2635.954005</v>
      </c>
      <c r="X144" s="59" t="str">
        <f t="shared" si="13"/>
        <v>43m 55s</v>
      </c>
      <c r="Y144" s="69">
        <f t="shared" si="14"/>
        <v>24794489</v>
      </c>
      <c r="Z144" s="11"/>
    </row>
    <row r="145">
      <c r="A145" s="8"/>
      <c r="B145" s="56">
        <f t="shared" si="2"/>
        <v>21</v>
      </c>
      <c r="C145" s="57" t="s">
        <v>9</v>
      </c>
      <c r="D145" s="10" t="b">
        <f>IFERROR(__xludf.DUMMYFUNCTION("IF(COUNTA(C145:C1350)=0,"""",IF(ISBLANK(C145),FALSE,IF(NOT(COUNTIF($AA$24:$AA$34,SUBSTITUTE(C145,""Sell_"",""""))),1,IF(REGEXMATCH(C145,""Sell_""),IF(COUNTIF(C$4:C145,SUBSTITUTE(C145,""Sell_"",""""))-COUNTIF(C$4:C144,C145)&lt;1,1),FALSE))))"),FALSE)</f>
        <v>0</v>
      </c>
      <c r="E145" s="59">
        <f t="array" ref="E145">IF(COUNTA(C145:C1350)=0,"",SUM((COUNTIF(C$4:C145,Upgrades!$B$3:$B$13)-COUNTIF(C$4:C145,"Sell_"&amp;Upgrades!$B$3:$B$13))*Upgrades!$D$3:$D$13))</f>
        <v>566423.5</v>
      </c>
      <c r="F145" s="66">
        <f>IFERROR(__xludf.DUMMYFUNCTION("IF(COUNTA(C145:C1350)=0,"""",IF(REGEXMATCH(INDEX(FILTER(C$4:C145,C$4:C145&lt;&gt;""""),ROWS(FILTER(C$4:C145,C$4:C145&lt;&gt;""""))),""^Sell_""),INDEX(FILTER(F$4:F144,C$4:C144&lt;&gt;""""),ROWS(FILTER(C$4:C144,C$4:C144&lt;&gt;""""))),$AC$5+E145))"),566623.5)</f>
        <v>566623.5</v>
      </c>
      <c r="G145" s="10">
        <f>IFERROR(__xludf.DUMMYFUNCTION("IF(COUNTA(C145:C1350)=0,"""",IF(C145="""",0,IF(REGEXMATCH(C145,""^Sell_""),-ROUNDDOWN(ROUNDUP(INDEX(Upgrades!$C$3:$C$13,MATCH(SUBSTITUTE(C145,""Sell_"",""""),Upgrades!$B$3:$B$13,0))*1.15^(COUNTIF(C$4:C144,SUBSTITUTE(C145,""Sell_"",""""))-COUNTIF(C$4:C144,"&amp;"""Sell_""&amp;SUBSTITUTE(C145,""Sell_"",""""))))/2),ROUNDUP(INDEX(Upgrades!$C$3:$C$13,MATCH(C145,Upgrades!$B$3:$B$13,0))*1.15^(COUNTIF(C$4:C144,C145)-COUNTIF(C$4:C144,""Sell_""&amp;C145))))))"),3273308.0)</f>
        <v>3273308</v>
      </c>
      <c r="H145" s="10">
        <f t="shared" si="3"/>
        <v>3273308</v>
      </c>
      <c r="I145" s="68">
        <f t="shared" si="4"/>
        <v>6870.519526</v>
      </c>
      <c r="J145" s="59" t="str">
        <f t="shared" si="5"/>
        <v>1h 54m 30s</v>
      </c>
      <c r="K145" s="69">
        <f t="shared" si="6"/>
        <v>952688117</v>
      </c>
      <c r="L145" s="60">
        <f t="shared" si="7"/>
        <v>-189.20346</v>
      </c>
      <c r="M145" s="61">
        <f>IFERROR(__xludf.DUMMYFUNCTION("IFS(AND(COUNTA(C145:C1350)=0,COUNTA(Q145:Q1350)=0),"""",OR(AND(K145&gt;=1000000000,OR(Y145&gt;=1000000000,COUNTA(Q145:Q1350)=0)),OR(Y145&gt;=1000000000,AND(COUNTA(C145:C1350)=0,P$3=TRUE))),
ROUNDDOWN((AB$1-AC$1)*MAX(INDEX(T$4:T1350,MATCH(LARGE(FILTER(Y$4:Y1350,Y$4"&amp;":Y1350&lt;1000000000),1),Y$4:Y1350)),INDEX(F$4:F1350,MATCH(LARGE(FILTER(K$4:K1350,K$4:K1350&lt;1000000000),1),K$4:K1350)))),AND(K145&lt;1000000000,COUNTA(C145:C1350)&gt;0,P$3=FALSE),
ROUNDDOWN(INDEX(Y$4:Y1350,MATCH(LARGE(FILTER(W$4:W1350,W$4:W1350&lt;=I145),1),W$4:W1350"&amp;"))+(I145-LARGE(FILTER(W$4:W1350,W$4:W1350&lt;=I145),1))*INDEX(T$4:T1350,MATCH(LARGE(FILTER(W$4:W1350,W$4:W1350&lt;=I145),1),W$4:W1350))-K145),1,
ROUNDDOWN(Y145-INDEX(K$4:K1350,MATCH(LARGE(FILTER(I$4:I1350,I$4:I1350&lt;=W145),1),I$4:I1350))-(W145-LARGE(FILTER(I$4:I"&amp;"1350,I$4:I1350&lt;=W145),1))*INDEX(F$4:F1350,MATCH(LARGE(FILTER(I$4:I1350,I$4:I1350&lt;=W145),1),I$4:I1350))))"),1.05502795E8)</f>
        <v>105502795</v>
      </c>
      <c r="N145" s="60">
        <f t="shared" si="8"/>
        <v>-189.20346</v>
      </c>
      <c r="O145" s="61" t="str">
        <f t="shared" si="9"/>
        <v>105,5M</v>
      </c>
      <c r="P145" s="56">
        <f t="shared" si="10"/>
        <v>9</v>
      </c>
      <c r="Q145" s="67" t="s">
        <v>7</v>
      </c>
      <c r="R145" s="10" t="b">
        <f>IFERROR(__xludf.DUMMYFUNCTION("IF(COUNTA(Q145:Q1350)=0,"""",IF(ISBLANK(Q145),FALSE,IF(NOT(COUNTIF($AA$24:$AA$34,SUBSTITUTE(Q145,""Sell_"",""""))),1,IF(REGEXMATCH(Q145,""Sell_""),IF(COUNTIF(Q$4:Q145,SUBSTITUTE(Q145,""Sell_"",""""))-COUNTIF(Q$4:Q144,Q145)&lt;1,1),FALSE))))"),FALSE)</f>
        <v>0</v>
      </c>
      <c r="S145" s="59">
        <f t="array" ref="S145">IF(COUNTA(Q145:Q1350)=0,"",SUM((COUNTIF(Q$4:Q145,Upgrades!$B$3:$B$13)-COUNTIF(Q$4:Q145,"Sell_"&amp;Upgrades!$B$3:$B$13))*Upgrades!$D$3:$D$13))</f>
        <v>55530.8</v>
      </c>
      <c r="T145" s="66">
        <f>IFERROR(__xludf.DUMMYFUNCTION("IF(COUNTA(Q145:Q1350)=0,"""",IF(REGEXMATCH(INDEX(FILTER(Q$4:Q145,Q$4:Q145&lt;&gt;""""),ROWS(FILTER(Q$4:Q145,Q$4:Q145&lt;&gt;""""))),""^Sell_""),INDEX(FILTER(T$4:T144,Q$4:Q144&lt;&gt;""""),ROWS(FILTER(Q$4:Q144,Q$4:Q144&lt;&gt;""""))),$AD$5+S145))"),55730.8)</f>
        <v>55730.8</v>
      </c>
      <c r="U145" s="10">
        <f>IFERROR(__xludf.DUMMYFUNCTION("IF(COUNTA(Q145:Q1350)=0,"""",IF(Q145="""",0,IF(REGEXMATCH(Q145,""^Sell_""),-ROUNDDOWN(ROUNDUP(INDEX(Upgrades!$C$3:$C$13,MATCH(SUBSTITUTE(Q145,""Sell_"",""""),Upgrades!$B$3:$B$13,0))*1.15^(COUNTIF(Q$4:Q144,SUBSTITUTE(Q145,""Sell_"",""""))-COUNTIF(Q$4:Q144,"&amp;"""Sell_""&amp;SUBSTITUTE(Q145,""Sell_"",""""))))/2),ROUNDUP(INDEX(Upgrades!$C$3:$C$13,MATCH(Q145,Upgrades!$B$3:$B$13,0))*1.15^(COUNTIF(Q$4:Q144,Q145)-COUNTIF(Q$4:Q144,""Sell_""&amp;Q145))))))"),30591.0)</f>
        <v>30591</v>
      </c>
      <c r="V145" s="10">
        <f t="shared" si="11"/>
        <v>30591</v>
      </c>
      <c r="W145" s="68">
        <f t="shared" si="12"/>
        <v>2636.503306</v>
      </c>
      <c r="X145" s="59" t="str">
        <f t="shared" si="13"/>
        <v>43m 56s</v>
      </c>
      <c r="Y145" s="69">
        <f t="shared" si="14"/>
        <v>24825080</v>
      </c>
      <c r="Z145" s="11"/>
    </row>
    <row r="146">
      <c r="A146" s="8"/>
      <c r="B146" s="56">
        <f t="shared" si="2"/>
        <v>22</v>
      </c>
      <c r="C146" s="57" t="s">
        <v>8</v>
      </c>
      <c r="D146" s="10" t="b">
        <f>IFERROR(__xludf.DUMMYFUNCTION("IF(COUNTA(C146:C1350)=0,"""",IF(ISBLANK(C146),FALSE,IF(NOT(COUNTIF($AA$24:$AA$34,SUBSTITUTE(C146,""Sell_"",""""))),1,IF(REGEXMATCH(C146,""Sell_""),IF(COUNTIF(C$4:C146,SUBSTITUTE(C146,""Sell_"",""""))-COUNTIF(C$4:C145,C146)&lt;1,1),FALSE))))"),FALSE)</f>
        <v>0</v>
      </c>
      <c r="E146" s="59">
        <f t="array" ref="E146">IF(COUNTA(C146:C1350)=0,"",SUM((COUNTIF(C$4:C146,Upgrades!$B$3:$B$13)-COUNTIF(C$4:C146,"Sell_"&amp;Upgrades!$B$3:$B$13))*Upgrades!$D$3:$D$13))</f>
        <v>566523.5</v>
      </c>
      <c r="F146" s="66">
        <f>IFERROR(__xludf.DUMMYFUNCTION("IF(COUNTA(C146:C1350)=0,"""",IF(REGEXMATCH(INDEX(FILTER(C$4:C146,C$4:C146&lt;&gt;""""),ROWS(FILTER(C$4:C146,C$4:C146&lt;&gt;""""))),""^Sell_""),INDEX(FILTER(F$4:F145,C$4:C145&lt;&gt;""""),ROWS(FILTER(C$4:C145,C$4:C145&lt;&gt;""""))),$AC$5+E146))"),566723.5)</f>
        <v>566723.5</v>
      </c>
      <c r="G146" s="10">
        <f>IFERROR(__xludf.DUMMYFUNCTION("IF(COUNTA(C146:C1350)=0,"""",IF(C146="""",0,IF(REGEXMATCH(C146,""^Sell_""),-ROUNDDOWN(ROUNDUP(INDEX(Upgrades!$C$3:$C$13,MATCH(SUBSTITUTE(C146,""Sell_"",""""),Upgrades!$B$3:$B$13,0))*1.15^(COUNTIF(C$4:C145,SUBSTITUTE(C146,""Sell_"",""""))-COUNTIF(C$4:C145,"&amp;"""Sell_""&amp;SUBSTITUTE(C146,""Sell_"",""""))))/2),ROUNDUP(INDEX(Upgrades!$C$3:$C$13,MATCH(C146,Upgrades!$B$3:$B$13,0))*1.15^(COUNTIF(C$4:C145,C146)-COUNTIF(C$4:C145,""Sell_""&amp;C146))))))"),752861.0)</f>
        <v>752861</v>
      </c>
      <c r="H146" s="10">
        <f t="shared" si="3"/>
        <v>752861</v>
      </c>
      <c r="I146" s="68">
        <f t="shared" si="4"/>
        <v>6871.848205</v>
      </c>
      <c r="J146" s="59" t="str">
        <f t="shared" si="5"/>
        <v>1h 54m 31s</v>
      </c>
      <c r="K146" s="69">
        <f t="shared" si="6"/>
        <v>953440978</v>
      </c>
      <c r="L146" s="60">
        <f t="shared" si="7"/>
        <v>-189.16891</v>
      </c>
      <c r="M146" s="61">
        <f>IFERROR(__xludf.DUMMYFUNCTION("IFS(AND(COUNTA(C146:C1350)=0,COUNTA(Q146:Q1350)=0),"""",OR(AND(K146&gt;=1000000000,OR(Y146&gt;=1000000000,COUNTA(Q146:Q1350)=0)),OR(Y146&gt;=1000000000,AND(COUNTA(C146:C1350)=0,P$3=TRUE))),
ROUNDDOWN((AB$1-AC$1)*MAX(INDEX(T$4:T1350,MATCH(LARGE(FILTER(Y$4:Y1350,Y$4"&amp;":Y1350&lt;1000000000),1),Y$4:Y1350)),INDEX(F$4:F1350,MATCH(LARGE(FILTER(K$4:K1350,K$4:K1350&lt;1000000000),1),K$4:K1350)))),AND(K146&lt;1000000000,COUNTA(C146:C1350)&gt;0,P$3=FALSE),
ROUNDDOWN(INDEX(Y$4:Y1350,MATCH(LARGE(FILTER(W$4:W1350,W$4:W1350&lt;=I146),1),W$4:W1350"&amp;"))+(I146-LARGE(FILTER(W$4:W1350,W$4:W1350&lt;=I146),1))*INDEX(T$4:T1350,MATCH(LARGE(FILTER(W$4:W1350,W$4:W1350&lt;=I146),1),W$4:W1350))-K146),1,
ROUNDDOWN(Y146-INDEX(K$4:K1350,MATCH(LARGE(FILTER(I$4:I1350,I$4:I1350&lt;=W146),1),I$4:I1350))-(W146-LARGE(FILTER(I$4:I"&amp;"1350,I$4:I1350&lt;=W146),1))*INDEX(F$4:F1350,MATCH(LARGE(FILTER(I$4:I1350,I$4:I1350&lt;=W146),1),I$4:I1350))))"),1.05494741E8)</f>
        <v>105494741</v>
      </c>
      <c r="N146" s="60">
        <f t="shared" si="8"/>
        <v>-189.16891</v>
      </c>
      <c r="O146" s="61" t="str">
        <f t="shared" si="9"/>
        <v>105,5M</v>
      </c>
      <c r="P146" s="56">
        <f t="shared" si="10"/>
        <v>4</v>
      </c>
      <c r="Q146" s="67" t="s">
        <v>9</v>
      </c>
      <c r="R146" s="10" t="b">
        <f>IFERROR(__xludf.DUMMYFUNCTION("IF(COUNTA(Q146:Q1350)=0,"""",IF(ISBLANK(Q146),FALSE,IF(NOT(COUNTIF($AA$24:$AA$34,SUBSTITUTE(Q146,""Sell_"",""""))),1,IF(REGEXMATCH(Q146,""Sell_""),IF(COUNTIF(Q$4:Q146,SUBSTITUTE(Q146,""Sell_"",""""))-COUNTIF(Q$4:Q145,Q146)&lt;1,1),FALSE))))"),FALSE)</f>
        <v>0</v>
      </c>
      <c r="S146" s="59">
        <f t="array" ref="S146">IF(COUNTA(Q146:Q1350)=0,"",SUM((COUNTIF(Q$4:Q146,Upgrades!$B$3:$B$13)-COUNTIF(Q$4:Q146,"Sell_"&amp;Upgrades!$B$3:$B$13))*Upgrades!$D$3:$D$13))</f>
        <v>55930.8</v>
      </c>
      <c r="T146" s="66">
        <f>IFERROR(__xludf.DUMMYFUNCTION("IF(COUNTA(Q146:Q1350)=0,"""",IF(REGEXMATCH(INDEX(FILTER(Q$4:Q146,Q$4:Q146&lt;&gt;""""),ROWS(FILTER(Q$4:Q146,Q$4:Q146&lt;&gt;""""))),""^Sell_""),INDEX(FILTER(T$4:T145,Q$4:Q145&lt;&gt;""""),ROWS(FILTER(Q$4:Q145,Q$4:Q145&lt;&gt;""""))),$AD$5+S146))"),56130.8)</f>
        <v>56130.8</v>
      </c>
      <c r="U146" s="10">
        <f>IFERROR(__xludf.DUMMYFUNCTION("IF(COUNTA(Q146:Q1350)=0,"""",IF(Q146="""",0,IF(REGEXMATCH(Q146,""^Sell_""),-ROUNDDOWN(ROUNDUP(INDEX(Upgrades!$C$3:$C$13,MATCH(SUBSTITUTE(Q146,""Sell_"",""""),Upgrades!$B$3:$B$13,0))*1.15^(COUNTIF(Q$4:Q145,SUBSTITUTE(Q146,""Sell_"",""""))-COUNTIF(Q$4:Q145,"&amp;"""Sell_""&amp;SUBSTITUTE(Q146,""Sell_"",""""))))/2),ROUNDUP(INDEX(Upgrades!$C$3:$C$13,MATCH(Q146,Upgrades!$B$3:$B$13,0))*1.15^(COUNTIF(Q$4:Q145,Q146)-COUNTIF(Q$4:Q145,""Sell_""&amp;Q146))))))"),304175.0)</f>
        <v>304175</v>
      </c>
      <c r="V146" s="10">
        <f t="shared" si="11"/>
        <v>304175</v>
      </c>
      <c r="W146" s="68">
        <f t="shared" si="12"/>
        <v>2641.961239</v>
      </c>
      <c r="X146" s="59" t="str">
        <f t="shared" si="13"/>
        <v>44m 01s</v>
      </c>
      <c r="Y146" s="69">
        <f t="shared" si="14"/>
        <v>25129255</v>
      </c>
      <c r="Z146" s="11"/>
    </row>
    <row r="147">
      <c r="A147" s="8"/>
      <c r="B147" s="56">
        <f t="shared" si="2"/>
        <v>22</v>
      </c>
      <c r="C147" s="57" t="s">
        <v>9</v>
      </c>
      <c r="D147" s="10" t="b">
        <f>IFERROR(__xludf.DUMMYFUNCTION("IF(COUNTA(C147:C1350)=0,"""",IF(ISBLANK(C147),FALSE,IF(NOT(COUNTIF($AA$24:$AA$34,SUBSTITUTE(C147,""Sell_"",""""))),1,IF(REGEXMATCH(C147,""Sell_""),IF(COUNTIF(C$4:C147,SUBSTITUTE(C147,""Sell_"",""""))-COUNTIF(C$4:C146,C147)&lt;1,1),FALSE))))"),FALSE)</f>
        <v>0</v>
      </c>
      <c r="E147" s="59">
        <f t="array" ref="E147">IF(COUNTA(C147:C1350)=0,"",SUM((COUNTIF(C$4:C147,Upgrades!$B$3:$B$13)-COUNTIF(C$4:C147,"Sell_"&amp;Upgrades!$B$3:$B$13))*Upgrades!$D$3:$D$13))</f>
        <v>566923.5</v>
      </c>
      <c r="F147" s="66">
        <f>IFERROR(__xludf.DUMMYFUNCTION("IF(COUNTA(C147:C1350)=0,"""",IF(REGEXMATCH(INDEX(FILTER(C$4:C147,C$4:C147&lt;&gt;""""),ROWS(FILTER(C$4:C147,C$4:C147&lt;&gt;""""))),""^Sell_""),INDEX(FILTER(F$4:F146,C$4:C146&lt;&gt;""""),ROWS(FILTER(C$4:C146,C$4:C146&lt;&gt;""""))),$AC$5+E147))"),567123.5)</f>
        <v>567123.5</v>
      </c>
      <c r="G147" s="10">
        <f>IFERROR(__xludf.DUMMYFUNCTION("IF(COUNTA(C147:C1350)=0,"""",IF(C147="""",0,IF(REGEXMATCH(C147,""^Sell_""),-ROUNDDOWN(ROUNDUP(INDEX(Upgrades!$C$3:$C$13,MATCH(SUBSTITUTE(C147,""Sell_"",""""),Upgrades!$B$3:$B$13,0))*1.15^(COUNTIF(C$4:C146,SUBSTITUTE(C147,""Sell_"",""""))-COUNTIF(C$4:C146,"&amp;"""Sell_""&amp;SUBSTITUTE(C147,""Sell_"",""""))))/2),ROUNDUP(INDEX(Upgrades!$C$3:$C$13,MATCH(C147,Upgrades!$B$3:$B$13,0))*1.15^(COUNTIF(C$4:C146,C147)-COUNTIF(C$4:C146,""Sell_""&amp;C147))))))"),3764304.0)</f>
        <v>3764304</v>
      </c>
      <c r="H147" s="10">
        <f t="shared" si="3"/>
        <v>3764304</v>
      </c>
      <c r="I147" s="68">
        <f t="shared" si="4"/>
        <v>6878.490429</v>
      </c>
      <c r="J147" s="59" t="str">
        <f t="shared" si="5"/>
        <v>1h 54m 38s</v>
      </c>
      <c r="K147" s="69">
        <f t="shared" si="6"/>
        <v>957205282</v>
      </c>
      <c r="L147" s="60">
        <f t="shared" si="7"/>
        <v>-188.99501</v>
      </c>
      <c r="M147" s="61">
        <f>IFERROR(__xludf.DUMMYFUNCTION("IFS(AND(COUNTA(C147:C1350)=0,COUNTA(Q147:Q1350)=0),"""",OR(AND(K147&gt;=1000000000,OR(Y147&gt;=1000000000,COUNTA(Q147:Q1350)=0)),OR(Y147&gt;=1000000000,AND(COUNTA(C147:C1350)=0,P$3=TRUE))),
ROUNDDOWN((AB$1-AC$1)*MAX(INDEX(T$4:T1350,MATCH(LARGE(FILTER(Y$4:Y1350,Y$4"&amp;":Y1350&lt;1000000000),1),Y$4:Y1350)),INDEX(F$4:F1350,MATCH(LARGE(FILTER(K$4:K1350,K$4:K1350&lt;1000000000),1),K$4:K1350)))),AND(K147&lt;1000000000,COUNTA(C147:C1350)&gt;0,P$3=FALSE),
ROUNDDOWN(INDEX(Y$4:Y1350,MATCH(LARGE(FILTER(W$4:W1350,W$4:W1350&lt;=I147),1),W$4:W1350"&amp;"))+(I147-LARGE(FILTER(W$4:W1350,W$4:W1350&lt;=I147),1))*INDEX(T$4:T1350,MATCH(LARGE(FILTER(W$4:W1350,W$4:W1350&lt;=I147),1),W$4:W1350))-K147),1,
ROUNDDOWN(Y147-INDEX(K$4:K1350,MATCH(LARGE(FILTER(I$4:I1350,I$4:I1350&lt;=W147),1),I$4:I1350))-(W147-LARGE(FILTER(I$4:I"&amp;"1350,I$4:I1350&lt;=W147),1))*INDEX(F$4:F1350,MATCH(LARGE(FILTER(I$4:I1350,I$4:I1350&lt;=W147),1),I$4:I1350))))"),1.05453813E8)</f>
        <v>105453813</v>
      </c>
      <c r="N147" s="60">
        <f t="shared" si="8"/>
        <v>-188.99501</v>
      </c>
      <c r="O147" s="61" t="str">
        <f t="shared" si="9"/>
        <v>105,5M</v>
      </c>
      <c r="P147" s="56">
        <f t="shared" si="10"/>
        <v>6</v>
      </c>
      <c r="Q147" s="67" t="s">
        <v>8</v>
      </c>
      <c r="R147" s="10" t="b">
        <f>IFERROR(__xludf.DUMMYFUNCTION("IF(COUNTA(Q147:Q1350)=0,"""",IF(ISBLANK(Q147),FALSE,IF(NOT(COUNTIF($AA$24:$AA$34,SUBSTITUTE(Q147,""Sell_"",""""))),1,IF(REGEXMATCH(Q147,""Sell_""),IF(COUNTIF(Q$4:Q147,SUBSTITUTE(Q147,""Sell_"",""""))-COUNTIF(Q$4:Q146,Q147)&lt;1,1),FALSE))))"),FALSE)</f>
        <v>0</v>
      </c>
      <c r="S147" s="59">
        <f t="array" ref="S147">IF(COUNTA(Q147:Q1350)=0,"",SUM((COUNTIF(Q$4:Q147,Upgrades!$B$3:$B$13)-COUNTIF(Q$4:Q147,"Sell_"&amp;Upgrades!$B$3:$B$13))*Upgrades!$D$3:$D$13))</f>
        <v>56030.8</v>
      </c>
      <c r="T147" s="66">
        <f>IFERROR(__xludf.DUMMYFUNCTION("IF(COUNTA(Q147:Q1350)=0,"""",IF(REGEXMATCH(INDEX(FILTER(Q$4:Q147,Q$4:Q147&lt;&gt;""""),ROWS(FILTER(Q$4:Q147,Q$4:Q147&lt;&gt;""""))),""^Sell_""),INDEX(FILTER(T$4:T146,Q$4:Q146&lt;&gt;""""),ROWS(FILTER(Q$4:Q146,Q$4:Q146&lt;&gt;""""))),$AD$5+S147))"),56230.8)</f>
        <v>56230.8</v>
      </c>
      <c r="U147" s="10">
        <f>IFERROR(__xludf.DUMMYFUNCTION("IF(COUNTA(Q147:Q1350)=0,"""",IF(Q147="""",0,IF(REGEXMATCH(Q147,""^Sell_""),-ROUNDDOWN(ROUNDUP(INDEX(Upgrades!$C$3:$C$13,MATCH(SUBSTITUTE(Q147,""Sell_"",""""),Upgrades!$B$3:$B$13,0))*1.15^(COUNTIF(Q$4:Q146,SUBSTITUTE(Q147,""Sell_"",""""))-COUNTIF(Q$4:Q146,"&amp;"""Sell_""&amp;SUBSTITUTE(Q147,""Sell_"",""""))))/2),ROUNDUP(INDEX(Upgrades!$C$3:$C$13,MATCH(Q147,Upgrades!$B$3:$B$13,0))*1.15^(COUNTIF(Q$4:Q146,Q147)-COUNTIF(Q$4:Q146,""Sell_""&amp;Q147))))))"),80455.0)</f>
        <v>80455</v>
      </c>
      <c r="V147" s="10">
        <f t="shared" si="11"/>
        <v>80455</v>
      </c>
      <c r="W147" s="68">
        <f t="shared" si="12"/>
        <v>2643.394588</v>
      </c>
      <c r="X147" s="59" t="str">
        <f t="shared" si="13"/>
        <v>44m 03s</v>
      </c>
      <c r="Y147" s="69">
        <f t="shared" si="14"/>
        <v>25209710</v>
      </c>
      <c r="Z147" s="11"/>
    </row>
    <row r="148">
      <c r="A148" s="8"/>
      <c r="B148" s="56">
        <f t="shared" si="2"/>
        <v>23</v>
      </c>
      <c r="C148" s="57" t="s">
        <v>8</v>
      </c>
      <c r="D148" s="10" t="b">
        <f>IFERROR(__xludf.DUMMYFUNCTION("IF(COUNTA(C148:C1350)=0,"""",IF(ISBLANK(C148),FALSE,IF(NOT(COUNTIF($AA$24:$AA$34,SUBSTITUTE(C148,""Sell_"",""""))),1,IF(REGEXMATCH(C148,""Sell_""),IF(COUNTIF(C$4:C148,SUBSTITUTE(C148,""Sell_"",""""))-COUNTIF(C$4:C147,C148)&lt;1,1),FALSE))))"),FALSE)</f>
        <v>0</v>
      </c>
      <c r="E148" s="59">
        <f t="array" ref="E148">IF(COUNTA(C148:C1350)=0,"",SUM((COUNTIF(C$4:C148,Upgrades!$B$3:$B$13)-COUNTIF(C$4:C148,"Sell_"&amp;Upgrades!$B$3:$B$13))*Upgrades!$D$3:$D$13))</f>
        <v>567023.5</v>
      </c>
      <c r="F148" s="66">
        <f>IFERROR(__xludf.DUMMYFUNCTION("IF(COUNTA(C148:C1350)=0,"""",IF(REGEXMATCH(INDEX(FILTER(C$4:C148,C$4:C148&lt;&gt;""""),ROWS(FILTER(C$4:C148,C$4:C148&lt;&gt;""""))),""^Sell_""),INDEX(FILTER(F$4:F147,C$4:C147&lt;&gt;""""),ROWS(FILTER(C$4:C147,C$4:C147&lt;&gt;""""))),$AC$5+E148))"),567223.5)</f>
        <v>567223.5</v>
      </c>
      <c r="G148" s="10">
        <f>IFERROR(__xludf.DUMMYFUNCTION("IF(COUNTA(C148:C1350)=0,"""",IF(C148="""",0,IF(REGEXMATCH(C148,""^Sell_""),-ROUNDDOWN(ROUNDUP(INDEX(Upgrades!$C$3:$C$13,MATCH(SUBSTITUTE(C148,""Sell_"",""""),Upgrades!$B$3:$B$13,0))*1.15^(COUNTIF(C$4:C147,SUBSTITUTE(C148,""Sell_"",""""))-COUNTIF(C$4:C147,"&amp;"""Sell_""&amp;SUBSTITUTE(C148,""Sell_"",""""))))/2),ROUNDUP(INDEX(Upgrades!$C$3:$C$13,MATCH(C148,Upgrades!$B$3:$B$13,0))*1.15^(COUNTIF(C$4:C147,C148)-COUNTIF(C$4:C147,""Sell_""&amp;C148))))))"),865790.0)</f>
        <v>865790</v>
      </c>
      <c r="H148" s="10">
        <f t="shared" si="3"/>
        <v>865790</v>
      </c>
      <c r="I148" s="68">
        <f t="shared" si="4"/>
        <v>6880.017062</v>
      </c>
      <c r="J148" s="59" t="str">
        <f t="shared" si="5"/>
        <v>1h 54m 40s</v>
      </c>
      <c r="K148" s="69">
        <f t="shared" si="6"/>
        <v>958071072</v>
      </c>
      <c r="L148" s="60">
        <f t="shared" si="7"/>
        <v>-188.95394</v>
      </c>
      <c r="M148" s="61">
        <f>IFERROR(__xludf.DUMMYFUNCTION("IFS(AND(COUNTA(C148:C1350)=0,COUNTA(Q148:Q1350)=0),"""",OR(AND(K148&gt;=1000000000,OR(Y148&gt;=1000000000,COUNTA(Q148:Q1350)=0)),OR(Y148&gt;=1000000000,AND(COUNTA(C148:C1350)=0,P$3=TRUE))),
ROUNDDOWN((AB$1-AC$1)*MAX(INDEX(T$4:T1350,MATCH(LARGE(FILTER(Y$4:Y1350,Y$4"&amp;":Y1350&lt;1000000000),1),Y$4:Y1350)),INDEX(F$4:F1350,MATCH(LARGE(FILTER(K$4:K1350,K$4:K1350&lt;1000000000),1),K$4:K1350)))),AND(K148&lt;1000000000,COUNTA(C148:C1350)&gt;0,P$3=FALSE),
ROUNDDOWN(INDEX(Y$4:Y1350,MATCH(LARGE(FILTER(W$4:W1350,W$4:W1350&lt;=I148),1),W$4:W1350"&amp;"))+(I148-LARGE(FILTER(W$4:W1350,W$4:W1350&lt;=I148),1))*INDEX(T$4:T1350,MATCH(LARGE(FILTER(W$4:W1350,W$4:W1350&lt;=I148),1),W$4:W1350))-K148),1,
ROUNDDOWN(Y148-INDEX(K$4:K1350,MATCH(LARGE(FILTER(I$4:I1350,I$4:I1350&lt;=W148),1),I$4:I1350))-(W148-LARGE(FILTER(I$4:I"&amp;"1350,I$4:I1350&lt;=W148),1))*INDEX(F$4:F1350,MATCH(LARGE(FILTER(I$4:I1350,I$4:I1350&lt;=W148),1),I$4:I1350))))"),1.05443795E8)</f>
        <v>105443795</v>
      </c>
      <c r="N148" s="60">
        <f t="shared" si="8"/>
        <v>-188.95394</v>
      </c>
      <c r="O148" s="61" t="str">
        <f t="shared" si="9"/>
        <v>105,4M</v>
      </c>
      <c r="P148" s="56">
        <f t="shared" si="10"/>
        <v>9</v>
      </c>
      <c r="Q148" s="67" t="s">
        <v>10</v>
      </c>
      <c r="R148" s="10" t="b">
        <f>IFERROR(__xludf.DUMMYFUNCTION("IF(COUNTA(Q148:Q1350)=0,"""",IF(ISBLANK(Q148),FALSE,IF(NOT(COUNTIF($AA$24:$AA$34,SUBSTITUTE(Q148,""Sell_"",""""))),1,IF(REGEXMATCH(Q148,""Sell_""),IF(COUNTIF(Q$4:Q148,SUBSTITUTE(Q148,""Sell_"",""""))-COUNTIF(Q$4:Q147,Q148)&lt;1,1),FALSE))))"),FALSE)</f>
        <v>0</v>
      </c>
      <c r="S148" s="59">
        <f t="array" ref="S148">IF(COUNTA(Q148:Q1350)=0,"",SUM((COUNTIF(Q$4:Q148,Upgrades!$B$3:$B$13)-COUNTIF(Q$4:Q148,"Sell_"&amp;Upgrades!$B$3:$B$13))*Upgrades!$D$3:$D$13))</f>
        <v>62696.8</v>
      </c>
      <c r="T148" s="66">
        <f>IFERROR(__xludf.DUMMYFUNCTION("IF(COUNTA(Q148:Q1350)=0,"""",IF(REGEXMATCH(INDEX(FILTER(Q$4:Q148,Q$4:Q148&lt;&gt;""""),ROWS(FILTER(Q$4:Q148,Q$4:Q148&lt;&gt;""""))),""^Sell_""),INDEX(FILTER(T$4:T147,Q$4:Q147&lt;&gt;""""),ROWS(FILTER(Q$4:Q147,Q$4:Q147&lt;&gt;""""))),$AD$5+S148))"),62896.8)</f>
        <v>62896.8</v>
      </c>
      <c r="U148" s="10">
        <f>IFERROR(__xludf.DUMMYFUNCTION("IF(COUNTA(Q148:Q1350)=0,"""",IF(Q148="""",0,IF(REGEXMATCH(Q148,""^Sell_""),-ROUNDDOWN(ROUNDUP(INDEX(Upgrades!$C$3:$C$13,MATCH(SUBSTITUTE(Q148,""Sell_"",""""),Upgrades!$B$3:$B$13,0))*1.15^(COUNTIF(Q$4:Q147,SUBSTITUTE(Q148,""Sell_"",""""))-COUNTIF(Q$4:Q147,"&amp;"""Sell_""&amp;SUBSTITUTE(Q148,""Sell_"",""""))))/2),ROUNDUP(INDEX(Upgrades!$C$3:$C$13,MATCH(Q148,Upgrades!$B$3:$B$13,0))*1.15^(COUNTIF(Q$4:Q147,Q148)-COUNTIF(Q$4:Q147,""Sell_""&amp;Q148))))))"),5098370.0)</f>
        <v>5098370</v>
      </c>
      <c r="V148" s="10">
        <f t="shared" si="11"/>
        <v>5098370</v>
      </c>
      <c r="W148" s="68">
        <f t="shared" si="12"/>
        <v>2734.063225</v>
      </c>
      <c r="X148" s="59" t="str">
        <f t="shared" si="13"/>
        <v>45m 34s</v>
      </c>
      <c r="Y148" s="69">
        <f t="shared" si="14"/>
        <v>30308080</v>
      </c>
      <c r="Z148" s="11"/>
    </row>
    <row r="149">
      <c r="A149" s="8"/>
      <c r="B149" s="56">
        <f t="shared" si="2"/>
        <v>24</v>
      </c>
      <c r="C149" s="57" t="s">
        <v>8</v>
      </c>
      <c r="D149" s="10" t="b">
        <f>IFERROR(__xludf.DUMMYFUNCTION("IF(COUNTA(C149:C1350)=0,"""",IF(ISBLANK(C149),FALSE,IF(NOT(COUNTIF($AA$24:$AA$34,SUBSTITUTE(C149,""Sell_"",""""))),1,IF(REGEXMATCH(C149,""Sell_""),IF(COUNTIF(C$4:C149,SUBSTITUTE(C149,""Sell_"",""""))-COUNTIF(C$4:C148,C149)&lt;1,1),FALSE))))"),FALSE)</f>
        <v>0</v>
      </c>
      <c r="E149" s="59">
        <f t="array" ref="E149">IF(COUNTA(C149:C1350)=0,"",SUM((COUNTIF(C$4:C149,Upgrades!$B$3:$B$13)-COUNTIF(C$4:C149,"Sell_"&amp;Upgrades!$B$3:$B$13))*Upgrades!$D$3:$D$13))</f>
        <v>567123.5</v>
      </c>
      <c r="F149" s="66">
        <f>IFERROR(__xludf.DUMMYFUNCTION("IF(COUNTA(C149:C1350)=0,"""",IF(REGEXMATCH(INDEX(FILTER(C$4:C149,C$4:C149&lt;&gt;""""),ROWS(FILTER(C$4:C149,C$4:C149&lt;&gt;""""))),""^Sell_""),INDEX(FILTER(F$4:F148,C$4:C148&lt;&gt;""""),ROWS(FILTER(C$4:C148,C$4:C148&lt;&gt;""""))),$AC$5+E149))"),567323.5)</f>
        <v>567323.5</v>
      </c>
      <c r="G149" s="10">
        <f>IFERROR(__xludf.DUMMYFUNCTION("IF(COUNTA(C149:C1350)=0,"""",IF(C149="""",0,IF(REGEXMATCH(C149,""^Sell_""),-ROUNDDOWN(ROUNDUP(INDEX(Upgrades!$C$3:$C$13,MATCH(SUBSTITUTE(C149,""Sell_"",""""),Upgrades!$B$3:$B$13,0))*1.15^(COUNTIF(C$4:C148,SUBSTITUTE(C149,""Sell_"",""""))-COUNTIF(C$4:C148,"&amp;"""Sell_""&amp;SUBSTITUTE(C149,""Sell_"",""""))))/2),ROUNDUP(INDEX(Upgrades!$C$3:$C$13,MATCH(C149,Upgrades!$B$3:$B$13,0))*1.15^(COUNTIF(C$4:C148,C149)-COUNTIF(C$4:C148,""Sell_""&amp;C149))))))"),995659.0)</f>
        <v>995659</v>
      </c>
      <c r="H149" s="10">
        <f t="shared" si="3"/>
        <v>995659</v>
      </c>
      <c r="I149" s="68">
        <f t="shared" si="4"/>
        <v>6881.772383</v>
      </c>
      <c r="J149" s="59" t="str">
        <f t="shared" si="5"/>
        <v>1h 54m 41s</v>
      </c>
      <c r="K149" s="69">
        <f t="shared" si="6"/>
        <v>959066731</v>
      </c>
      <c r="L149" s="60">
        <f t="shared" si="7"/>
        <v>-188.90639</v>
      </c>
      <c r="M149" s="61">
        <f>IFERROR(__xludf.DUMMYFUNCTION("IFS(AND(COUNTA(C149:C1350)=0,COUNTA(Q149:Q1350)=0),"""",OR(AND(K149&gt;=1000000000,OR(Y149&gt;=1000000000,COUNTA(Q149:Q1350)=0)),OR(Y149&gt;=1000000000,AND(COUNTA(C149:C1350)=0,P$3=TRUE))),
ROUNDDOWN((AB$1-AC$1)*MAX(INDEX(T$4:T1350,MATCH(LARGE(FILTER(Y$4:Y1350,Y$4"&amp;":Y1350&lt;1000000000),1),Y$4:Y1350)),INDEX(F$4:F1350,MATCH(LARGE(FILTER(K$4:K1350,K$4:K1350&lt;1000000000),1),K$4:K1350)))),AND(K149&lt;1000000000,COUNTA(C149:C1350)&gt;0,P$3=FALSE),
ROUNDDOWN(INDEX(Y$4:Y1350,MATCH(LARGE(FILTER(W$4:W1350,W$4:W1350&lt;=I149),1),W$4:W1350"&amp;"))+(I149-LARGE(FILTER(W$4:W1350,W$4:W1350&lt;=I149),1))*INDEX(T$4:T1350,MATCH(LARGE(FILTER(W$4:W1350,W$4:W1350&lt;=I149),1),W$4:W1350))-K149),1,
ROUNDDOWN(Y149-INDEX(K$4:K1350,MATCH(LARGE(FILTER(I$4:I1350,I$4:I1350&lt;=W149),1),I$4:I1350))-(W149-LARGE(FILTER(I$4:I"&amp;"1350,I$4:I1350&lt;=W149),1))*INDEX(F$4:F1350,MATCH(LARGE(FILTER(I$4:I1350,I$4:I1350&lt;=W149),1),I$4:I1350))))"),1.05432102E8)</f>
        <v>105432102</v>
      </c>
      <c r="N149" s="60">
        <f t="shared" si="8"/>
        <v>-188.90639</v>
      </c>
      <c r="O149" s="61" t="str">
        <f t="shared" si="9"/>
        <v>105,4M</v>
      </c>
      <c r="P149" s="56">
        <f t="shared" si="10"/>
        <v>10</v>
      </c>
      <c r="Q149" s="67" t="s">
        <v>7</v>
      </c>
      <c r="R149" s="10" t="b">
        <f>IFERROR(__xludf.DUMMYFUNCTION("IF(COUNTA(Q149:Q1350)=0,"""",IF(ISBLANK(Q149),FALSE,IF(NOT(COUNTIF($AA$24:$AA$34,SUBSTITUTE(Q149,""Sell_"",""""))),1,IF(REGEXMATCH(Q149,""Sell_""),IF(COUNTIF(Q$4:Q149,SUBSTITUTE(Q149,""Sell_"",""""))-COUNTIF(Q$4:Q148,Q149)&lt;1,1),FALSE))))"),FALSE)</f>
        <v>0</v>
      </c>
      <c r="S149" s="59">
        <f t="array" ref="S149">IF(COUNTA(Q149:Q1350)=0,"",SUM((COUNTIF(Q$4:Q149,Upgrades!$B$3:$B$13)-COUNTIF(Q$4:Q149,"Sell_"&amp;Upgrades!$B$3:$B$13))*Upgrades!$D$3:$D$13))</f>
        <v>62736.8</v>
      </c>
      <c r="T149" s="66">
        <f>IFERROR(__xludf.DUMMYFUNCTION("IF(COUNTA(Q149:Q1350)=0,"""",IF(REGEXMATCH(INDEX(FILTER(Q$4:Q149,Q$4:Q149&lt;&gt;""""),ROWS(FILTER(Q$4:Q149,Q$4:Q149&lt;&gt;""""))),""^Sell_""),INDEX(FILTER(T$4:T148,Q$4:Q148&lt;&gt;""""),ROWS(FILTER(Q$4:Q148,Q$4:Q148&lt;&gt;""""))),$AD$5+S149))"),62936.8)</f>
        <v>62936.8</v>
      </c>
      <c r="U149" s="10">
        <f>IFERROR(__xludf.DUMMYFUNCTION("IF(COUNTA(Q149:Q1350)=0,"""",IF(Q149="""",0,IF(REGEXMATCH(Q149,""^Sell_""),-ROUNDDOWN(ROUNDUP(INDEX(Upgrades!$C$3:$C$13,MATCH(SUBSTITUTE(Q149,""Sell_"",""""),Upgrades!$B$3:$B$13,0))*1.15^(COUNTIF(Q$4:Q148,SUBSTITUTE(Q149,""Sell_"",""""))-COUNTIF(Q$4:Q148,"&amp;"""Sell_""&amp;SUBSTITUTE(Q149,""Sell_"",""""))))/2),ROUNDUP(INDEX(Upgrades!$C$3:$C$13,MATCH(Q149,Upgrades!$B$3:$B$13,0))*1.15^(COUNTIF(Q$4:Q148,Q149)-COUNTIF(Q$4:Q148,""Sell_""&amp;Q149))))))"),35179.0)</f>
        <v>35179</v>
      </c>
      <c r="V149" s="10">
        <f t="shared" si="11"/>
        <v>35179</v>
      </c>
      <c r="W149" s="68">
        <f t="shared" si="12"/>
        <v>2734.622538</v>
      </c>
      <c r="X149" s="59" t="str">
        <f t="shared" si="13"/>
        <v>45m 34s</v>
      </c>
      <c r="Y149" s="69">
        <f t="shared" si="14"/>
        <v>30343259</v>
      </c>
      <c r="Z149" s="11"/>
    </row>
    <row r="150">
      <c r="A150" s="8"/>
      <c r="B150" s="56">
        <f t="shared" si="2"/>
        <v>25</v>
      </c>
      <c r="C150" s="57" t="s">
        <v>8</v>
      </c>
      <c r="D150" s="10" t="b">
        <f>IFERROR(__xludf.DUMMYFUNCTION("IF(COUNTA(C150:C1350)=0,"""",IF(ISBLANK(C150),FALSE,IF(NOT(COUNTIF($AA$24:$AA$34,SUBSTITUTE(C150,""Sell_"",""""))),1,IF(REGEXMATCH(C150,""Sell_""),IF(COUNTIF(C$4:C150,SUBSTITUTE(C150,""Sell_"",""""))-COUNTIF(C$4:C149,C150)&lt;1,1),FALSE))))"),FALSE)</f>
        <v>0</v>
      </c>
      <c r="E150" s="59">
        <f t="array" ref="E150">IF(COUNTA(C150:C1350)=0,"",SUM((COUNTIF(C$4:C150,Upgrades!$B$3:$B$13)-COUNTIF(C$4:C150,"Sell_"&amp;Upgrades!$B$3:$B$13))*Upgrades!$D$3:$D$13))</f>
        <v>567223.5</v>
      </c>
      <c r="F150" s="66">
        <f>IFERROR(__xludf.DUMMYFUNCTION("IF(COUNTA(C150:C1350)=0,"""",IF(REGEXMATCH(INDEX(FILTER(C$4:C150,C$4:C150&lt;&gt;""""),ROWS(FILTER(C$4:C150,C$4:C150&lt;&gt;""""))),""^Sell_""),INDEX(FILTER(F$4:F149,C$4:C149&lt;&gt;""""),ROWS(FILTER(C$4:C149,C$4:C149&lt;&gt;""""))),$AC$5+E150))"),567423.5)</f>
        <v>567423.5</v>
      </c>
      <c r="G150" s="10">
        <f>IFERROR(__xludf.DUMMYFUNCTION("IF(COUNTA(C150:C1350)=0,"""",IF(C150="""",0,IF(REGEXMATCH(C150,""^Sell_""),-ROUNDDOWN(ROUNDUP(INDEX(Upgrades!$C$3:$C$13,MATCH(SUBSTITUTE(C150,""Sell_"",""""),Upgrades!$B$3:$B$13,0))*1.15^(COUNTIF(C$4:C149,SUBSTITUTE(C150,""Sell_"",""""))-COUNTIF(C$4:C149,"&amp;"""Sell_""&amp;SUBSTITUTE(C150,""Sell_"",""""))))/2),ROUNDUP(INDEX(Upgrades!$C$3:$C$13,MATCH(C150,Upgrades!$B$3:$B$13,0))*1.15^(COUNTIF(C$4:C149,C150)-COUNTIF(C$4:C149,""Sell_""&amp;C150))))))"),1145008.0)</f>
        <v>1145008</v>
      </c>
      <c r="H150" s="10">
        <f t="shared" si="3"/>
        <v>1145008</v>
      </c>
      <c r="I150" s="68">
        <f t="shared" si="4"/>
        <v>6883.790646</v>
      </c>
      <c r="J150" s="59" t="str">
        <f t="shared" si="5"/>
        <v>1h 54m 43s</v>
      </c>
      <c r="K150" s="69">
        <f t="shared" si="6"/>
        <v>960211739</v>
      </c>
      <c r="L150" s="60">
        <f t="shared" si="7"/>
        <v>-188.85136</v>
      </c>
      <c r="M150" s="61">
        <f>IFERROR(__xludf.DUMMYFUNCTION("IFS(AND(COUNTA(C150:C1350)=0,COUNTA(Q150:Q1350)=0),"""",OR(AND(K150&gt;=1000000000,OR(Y150&gt;=1000000000,COUNTA(Q150:Q1350)=0)),OR(Y150&gt;=1000000000,AND(COUNTA(C150:C1350)=0,P$3=TRUE))),
ROUNDDOWN((AB$1-AC$1)*MAX(INDEX(T$4:T1350,MATCH(LARGE(FILTER(Y$4:Y1350,Y$4"&amp;":Y1350&lt;1000000000),1),Y$4:Y1350)),INDEX(F$4:F1350,MATCH(LARGE(FILTER(K$4:K1350,K$4:K1350&lt;1000000000),1),K$4:K1350)))),AND(K150&lt;1000000000,COUNTA(C150:C1350)&gt;0,P$3=FALSE),
ROUNDDOWN(INDEX(Y$4:Y1350,MATCH(LARGE(FILTER(W$4:W1350,W$4:W1350&lt;=I150),1),W$4:W1350"&amp;"))+(I150-LARGE(FILTER(W$4:W1350,W$4:W1350&lt;=I150),1))*INDEX(T$4:T1350,MATCH(LARGE(FILTER(W$4:W1350,W$4:W1350&lt;=I150),1),W$4:W1350))-K150),1,
ROUNDDOWN(Y150-INDEX(K$4:K1350,MATCH(LARGE(FILTER(I$4:I1350,I$4:I1350&lt;=W150),1),I$4:I1350))-(W150-LARGE(FILTER(I$4:I"&amp;"1350,I$4:I1350&lt;=W150),1))*INDEX(F$4:F1350,MATCH(LARGE(FILTER(I$4:I1350,I$4:I1350&lt;=W150),1),I$4:I1350))))"),1.05418455E8)</f>
        <v>105418455</v>
      </c>
      <c r="N150" s="60">
        <f t="shared" si="8"/>
        <v>-188.85136</v>
      </c>
      <c r="O150" s="61" t="str">
        <f t="shared" si="9"/>
        <v>105,4M</v>
      </c>
      <c r="P150" s="56">
        <f t="shared" si="10"/>
        <v>5</v>
      </c>
      <c r="Q150" s="67" t="s">
        <v>9</v>
      </c>
      <c r="R150" s="10" t="b">
        <f>IFERROR(__xludf.DUMMYFUNCTION("IF(COUNTA(Q150:Q1350)=0,"""",IF(ISBLANK(Q150),FALSE,IF(NOT(COUNTIF($AA$24:$AA$34,SUBSTITUTE(Q150,""Sell_"",""""))),1,IF(REGEXMATCH(Q150,""Sell_""),IF(COUNTIF(Q$4:Q150,SUBSTITUTE(Q150,""Sell_"",""""))-COUNTIF(Q$4:Q149,Q150)&lt;1,1),FALSE))))"),FALSE)</f>
        <v>0</v>
      </c>
      <c r="S150" s="59">
        <f t="array" ref="S150">IF(COUNTA(Q150:Q1350)=0,"",SUM((COUNTIF(Q$4:Q150,Upgrades!$B$3:$B$13)-COUNTIF(Q$4:Q150,"Sell_"&amp;Upgrades!$B$3:$B$13))*Upgrades!$D$3:$D$13))</f>
        <v>63136.8</v>
      </c>
      <c r="T150" s="66">
        <f>IFERROR(__xludf.DUMMYFUNCTION("IF(COUNTA(Q150:Q1350)=0,"""",IF(REGEXMATCH(INDEX(FILTER(Q$4:Q150,Q$4:Q150&lt;&gt;""""),ROWS(FILTER(Q$4:Q150,Q$4:Q150&lt;&gt;""""))),""^Sell_""),INDEX(FILTER(T$4:T149,Q$4:Q149&lt;&gt;""""),ROWS(FILTER(Q$4:Q149,Q$4:Q149&lt;&gt;""""))),$AD$5+S150))"),63336.8)</f>
        <v>63336.8</v>
      </c>
      <c r="U150" s="10">
        <f>IFERROR(__xludf.DUMMYFUNCTION("IF(COUNTA(Q150:Q1350)=0,"""",IF(Q150="""",0,IF(REGEXMATCH(Q150,""^Sell_""),-ROUNDDOWN(ROUNDUP(INDEX(Upgrades!$C$3:$C$13,MATCH(SUBSTITUTE(Q150,""Sell_"",""""),Upgrades!$B$3:$B$13,0))*1.15^(COUNTIF(Q$4:Q149,SUBSTITUTE(Q150,""Sell_"",""""))-COUNTIF(Q$4:Q149,"&amp;"""Sell_""&amp;SUBSTITUTE(Q150,""Sell_"",""""))))/2),ROUNDUP(INDEX(Upgrades!$C$3:$C$13,MATCH(Q150,Upgrades!$B$3:$B$13,0))*1.15^(COUNTIF(Q$4:Q149,Q150)-COUNTIF(Q$4:Q149,""Sell_""&amp;Q150))))))"),349802.0)</f>
        <v>349802</v>
      </c>
      <c r="V150" s="10">
        <f t="shared" si="11"/>
        <v>349802</v>
      </c>
      <c r="W150" s="68">
        <f t="shared" si="12"/>
        <v>2740.180526</v>
      </c>
      <c r="X150" s="59" t="str">
        <f t="shared" si="13"/>
        <v>45m 40s</v>
      </c>
      <c r="Y150" s="69">
        <f t="shared" si="14"/>
        <v>30693061</v>
      </c>
      <c r="Z150" s="11"/>
    </row>
    <row r="151">
      <c r="A151" s="8"/>
      <c r="B151" s="56">
        <f t="shared" si="2"/>
        <v>23</v>
      </c>
      <c r="C151" s="57" t="s">
        <v>9</v>
      </c>
      <c r="D151" s="10" t="b">
        <f>IFERROR(__xludf.DUMMYFUNCTION("IF(COUNTA(C151:C1350)=0,"""",IF(ISBLANK(C151),FALSE,IF(NOT(COUNTIF($AA$24:$AA$34,SUBSTITUTE(C151,""Sell_"",""""))),1,IF(REGEXMATCH(C151,""Sell_""),IF(COUNTIF(C$4:C151,SUBSTITUTE(C151,""Sell_"",""""))-COUNTIF(C$4:C150,C151)&lt;1,1),FALSE))))"),FALSE)</f>
        <v>0</v>
      </c>
      <c r="E151" s="59">
        <f t="array" ref="E151">IF(COUNTA(C151:C1350)=0,"",SUM((COUNTIF(C$4:C151,Upgrades!$B$3:$B$13)-COUNTIF(C$4:C151,"Sell_"&amp;Upgrades!$B$3:$B$13))*Upgrades!$D$3:$D$13))</f>
        <v>567623.5</v>
      </c>
      <c r="F151" s="66">
        <f>IFERROR(__xludf.DUMMYFUNCTION("IF(COUNTA(C151:C1350)=0,"""",IF(REGEXMATCH(INDEX(FILTER(C$4:C151,C$4:C151&lt;&gt;""""),ROWS(FILTER(C$4:C151,C$4:C151&lt;&gt;""""))),""^Sell_""),INDEX(FILTER(F$4:F150,C$4:C150&lt;&gt;""""),ROWS(FILTER(C$4:C150,C$4:C150&lt;&gt;""""))),$AC$5+E151))"),567823.5)</f>
        <v>567823.5</v>
      </c>
      <c r="G151" s="10">
        <f>IFERROR(__xludf.DUMMYFUNCTION("IF(COUNTA(C151:C1350)=0,"""",IF(C151="""",0,IF(REGEXMATCH(C151,""^Sell_""),-ROUNDDOWN(ROUNDUP(INDEX(Upgrades!$C$3:$C$13,MATCH(SUBSTITUTE(C151,""Sell_"",""""),Upgrades!$B$3:$B$13,0))*1.15^(COUNTIF(C$4:C150,SUBSTITUTE(C151,""Sell_"",""""))-COUNTIF(C$4:C150,"&amp;"""Sell_""&amp;SUBSTITUTE(C151,""Sell_"",""""))))/2),ROUNDUP(INDEX(Upgrades!$C$3:$C$13,MATCH(C151,Upgrades!$B$3:$B$13,0))*1.15^(COUNTIF(C$4:C150,C151)-COUNTIF(C$4:C150,""Sell_""&amp;C151))))))"),4328950.0)</f>
        <v>4328950</v>
      </c>
      <c r="H151" s="10">
        <f t="shared" si="3"/>
        <v>4328950</v>
      </c>
      <c r="I151" s="68">
        <f t="shared" si="4"/>
        <v>6891.41978</v>
      </c>
      <c r="J151" s="59" t="str">
        <f t="shared" si="5"/>
        <v>1h 54m 51s</v>
      </c>
      <c r="K151" s="69">
        <f t="shared" si="6"/>
        <v>964540689</v>
      </c>
      <c r="L151" s="60">
        <f t="shared" si="7"/>
        <v>-188.64195</v>
      </c>
      <c r="M151" s="61">
        <f>IFERROR(__xludf.DUMMYFUNCTION("IFS(AND(COUNTA(C151:C1350)=0,COUNTA(Q151:Q1350)=0),"""",OR(AND(K151&gt;=1000000000,OR(Y151&gt;=1000000000,COUNTA(Q151:Q1350)=0)),OR(Y151&gt;=1000000000,AND(COUNTA(C151:C1350)=0,P$3=TRUE))),
ROUNDDOWN((AB$1-AC$1)*MAX(INDEX(T$4:T1350,MATCH(LARGE(FILTER(Y$4:Y1350,Y$4"&amp;":Y1350&lt;1000000000),1),Y$4:Y1350)),INDEX(F$4:F1350,MATCH(LARGE(FILTER(K$4:K1350,K$4:K1350&lt;1000000000),1),K$4:K1350)))),AND(K151&lt;1000000000,COUNTA(C151:C1350)&gt;0,P$3=FALSE),
ROUNDDOWN(INDEX(Y$4:Y1350,MATCH(LARGE(FILTER(W$4:W1350,W$4:W1350&lt;=I151),1),W$4:W1350"&amp;"))+(I151-LARGE(FILTER(W$4:W1350,W$4:W1350&lt;=I151),1))*INDEX(T$4:T1350,MATCH(LARGE(FILTER(W$4:W1350,W$4:W1350&lt;=I151),1),W$4:W1350))-K151),1,
ROUNDDOWN(Y151-INDEX(K$4:K1350,MATCH(LARGE(FILTER(I$4:I1350,I$4:I1350&lt;=W151),1),I$4:I1350))-(W151-LARGE(FILTER(I$4:I"&amp;"1350,I$4:I1350&lt;=W151),1))*INDEX(F$4:F1350,MATCH(LARGE(FILTER(I$4:I1350,I$4:I1350&lt;=W151),1),I$4:I1350))))"),1.05366105E8)</f>
        <v>105366105</v>
      </c>
      <c r="N151" s="60">
        <f t="shared" si="8"/>
        <v>-188.64195</v>
      </c>
      <c r="O151" s="61" t="str">
        <f t="shared" si="9"/>
        <v>105,4M</v>
      </c>
      <c r="P151" s="56">
        <f t="shared" si="10"/>
        <v>15</v>
      </c>
      <c r="Q151" s="67" t="s">
        <v>5</v>
      </c>
      <c r="R151" s="10" t="b">
        <f>IFERROR(__xludf.DUMMYFUNCTION("IF(COUNTA(Q151:Q1350)=0,"""",IF(ISBLANK(Q151),FALSE,IF(NOT(COUNTIF($AA$24:$AA$34,SUBSTITUTE(Q151,""Sell_"",""""))),1,IF(REGEXMATCH(Q151,""Sell_""),IF(COUNTIF(Q$4:Q151,SUBSTITUTE(Q151,""Sell_"",""""))-COUNTIF(Q$4:Q150,Q151)&lt;1,1),FALSE))))"),FALSE)</f>
        <v>0</v>
      </c>
      <c r="S151" s="59">
        <f t="array" ref="S151">IF(COUNTA(Q151:Q1350)=0,"",SUM((COUNTIF(Q$4:Q151,Upgrades!$B$3:$B$13)-COUNTIF(Q$4:Q151,"Sell_"&amp;Upgrades!$B$3:$B$13))*Upgrades!$D$3:$D$13))</f>
        <v>63140.8</v>
      </c>
      <c r="T151" s="66">
        <f>IFERROR(__xludf.DUMMYFUNCTION("IF(COUNTA(Q151:Q1350)=0,"""",IF(REGEXMATCH(INDEX(FILTER(Q$4:Q151,Q$4:Q151&lt;&gt;""""),ROWS(FILTER(Q$4:Q151,Q$4:Q151&lt;&gt;""""))),""^Sell_""),INDEX(FILTER(T$4:T150,Q$4:Q150&lt;&gt;""""),ROWS(FILTER(Q$4:Q150,Q$4:Q150&lt;&gt;""""))),$AD$5+S151))"),63340.8)</f>
        <v>63340.8</v>
      </c>
      <c r="U151" s="10">
        <f>IFERROR(__xludf.DUMMYFUNCTION("IF(COUNTA(Q151:Q1350)=0,"""",IF(Q151="""",0,IF(REGEXMATCH(Q151,""^Sell_""),-ROUNDDOWN(ROUNDUP(INDEX(Upgrades!$C$3:$C$13,MATCH(SUBSTITUTE(Q151,""Sell_"",""""),Upgrades!$B$3:$B$13,0))*1.15^(COUNTIF(Q$4:Q150,SUBSTITUTE(Q151,""Sell_"",""""))-COUNTIF(Q$4:Q150,"&amp;"""Sell_""&amp;SUBSTITUTE(Q151,""Sell_"",""""))))/2),ROUNDUP(INDEX(Upgrades!$C$3:$C$13,MATCH(Q151,Upgrades!$B$3:$B$13,0))*1.15^(COUNTIF(Q$4:Q150,Q151)-COUNTIF(Q$4:Q150,""Sell_""&amp;Q151))))))"),3538.0)</f>
        <v>3538</v>
      </c>
      <c r="V151" s="10">
        <f t="shared" si="11"/>
        <v>3538</v>
      </c>
      <c r="W151" s="68">
        <f t="shared" si="12"/>
        <v>2740.236387</v>
      </c>
      <c r="X151" s="59" t="str">
        <f t="shared" si="13"/>
        <v>45m 40s</v>
      </c>
      <c r="Y151" s="69">
        <f t="shared" si="14"/>
        <v>30696599</v>
      </c>
      <c r="Z151" s="11"/>
    </row>
    <row r="152">
      <c r="A152" s="8"/>
      <c r="B152" s="56">
        <f t="shared" si="2"/>
        <v>26</v>
      </c>
      <c r="C152" s="57" t="s">
        <v>8</v>
      </c>
      <c r="D152" s="10" t="b">
        <f>IFERROR(__xludf.DUMMYFUNCTION("IF(COUNTA(C152:C1350)=0,"""",IF(ISBLANK(C152),FALSE,IF(NOT(COUNTIF($AA$24:$AA$34,SUBSTITUTE(C152,""Sell_"",""""))),1,IF(REGEXMATCH(C152,""Sell_""),IF(COUNTIF(C$4:C152,SUBSTITUTE(C152,""Sell_"",""""))-COUNTIF(C$4:C151,C152)&lt;1,1),FALSE))))"),FALSE)</f>
        <v>0</v>
      </c>
      <c r="E152" s="59">
        <f t="array" ref="E152">IF(COUNTA(C152:C1350)=0,"",SUM((COUNTIF(C$4:C152,Upgrades!$B$3:$B$13)-COUNTIF(C$4:C152,"Sell_"&amp;Upgrades!$B$3:$B$13))*Upgrades!$D$3:$D$13))</f>
        <v>567723.5</v>
      </c>
      <c r="F152" s="66">
        <f>IFERROR(__xludf.DUMMYFUNCTION("IF(COUNTA(C152:C1350)=0,"""",IF(REGEXMATCH(INDEX(FILTER(C$4:C152,C$4:C152&lt;&gt;""""),ROWS(FILTER(C$4:C152,C$4:C152&lt;&gt;""""))),""^Sell_""),INDEX(FILTER(F$4:F151,C$4:C151&lt;&gt;""""),ROWS(FILTER(C$4:C151,C$4:C151&lt;&gt;""""))),$AC$5+E152))"),567923.5)</f>
        <v>567923.5</v>
      </c>
      <c r="G152" s="10">
        <f>IFERROR(__xludf.DUMMYFUNCTION("IF(COUNTA(C152:C1350)=0,"""",IF(C152="""",0,IF(REGEXMATCH(C152,""^Sell_""),-ROUNDDOWN(ROUNDUP(INDEX(Upgrades!$C$3:$C$13,MATCH(SUBSTITUTE(C152,""Sell_"",""""),Upgrades!$B$3:$B$13,0))*1.15^(COUNTIF(C$4:C151,SUBSTITUTE(C152,""Sell_"",""""))-COUNTIF(C$4:C151,"&amp;"""Sell_""&amp;SUBSTITUTE(C152,""Sell_"",""""))))/2),ROUNDUP(INDEX(Upgrades!$C$3:$C$13,MATCH(C152,Upgrades!$B$3:$B$13,0))*1.15^(COUNTIF(C$4:C151,C152)-COUNTIF(C$4:C151,""Sell_""&amp;C152))))))"),1316759.0)</f>
        <v>1316759</v>
      </c>
      <c r="H152" s="10">
        <f t="shared" si="3"/>
        <v>1316759</v>
      </c>
      <c r="I152" s="68">
        <f t="shared" si="4"/>
        <v>6893.738738</v>
      </c>
      <c r="J152" s="59" t="str">
        <f t="shared" si="5"/>
        <v>1h 54m 53s</v>
      </c>
      <c r="K152" s="69">
        <f t="shared" si="6"/>
        <v>965857448</v>
      </c>
      <c r="L152" s="60">
        <f t="shared" si="7"/>
        <v>-188.57662</v>
      </c>
      <c r="M152" s="61">
        <f>IFERROR(__xludf.DUMMYFUNCTION("IFS(AND(COUNTA(C152:C1350)=0,COUNTA(Q152:Q1350)=0),"""",OR(AND(K152&gt;=1000000000,OR(Y152&gt;=1000000000,COUNTA(Q152:Q1350)=0)),OR(Y152&gt;=1000000000,AND(COUNTA(C152:C1350)=0,P$3=TRUE))),
ROUNDDOWN((AB$1-AC$1)*MAX(INDEX(T$4:T1350,MATCH(LARGE(FILTER(Y$4:Y1350,Y$4"&amp;":Y1350&lt;1000000000),1),Y$4:Y1350)),INDEX(F$4:F1350,MATCH(LARGE(FILTER(K$4:K1350,K$4:K1350&lt;1000000000),1),K$4:K1350)))),AND(K152&lt;1000000000,COUNTA(C152:C1350)&gt;0,P$3=FALSE),
ROUNDDOWN(INDEX(Y$4:Y1350,MATCH(LARGE(FILTER(W$4:W1350,W$4:W1350&lt;=I152),1),W$4:W1350"&amp;"))+(I152-LARGE(FILTER(W$4:W1350,W$4:W1350&lt;=I152),1))*INDEX(T$4:T1350,MATCH(LARGE(FILTER(W$4:W1350,W$4:W1350&lt;=I152),1),W$4:W1350))-K152),1,
ROUNDDOWN(Y152-INDEX(K$4:K1350,MATCH(LARGE(FILTER(I$4:I1350,I$4:I1350&lt;=W152),1),I$4:I1350))-(W152-LARGE(FILTER(I$4:I"&amp;"1350,I$4:I1350&lt;=W152),1))*INDEX(F$4:F1350,MATCH(LARGE(FILTER(I$4:I1350,I$4:I1350&lt;=W152),1),I$4:I1350))))"),1.05349265E8)</f>
        <v>105349265</v>
      </c>
      <c r="N152" s="60">
        <f t="shared" si="8"/>
        <v>-188.57662</v>
      </c>
      <c r="O152" s="61" t="str">
        <f t="shared" si="9"/>
        <v>105,3M</v>
      </c>
      <c r="P152" s="56">
        <f t="shared" si="10"/>
        <v>9</v>
      </c>
      <c r="Q152" s="67" t="s">
        <v>6</v>
      </c>
      <c r="R152" s="10" t="b">
        <f>IFERROR(__xludf.DUMMYFUNCTION("IF(COUNTA(Q152:Q1350)=0,"""",IF(ISBLANK(Q152),FALSE,IF(NOT(COUNTIF($AA$24:$AA$34,SUBSTITUTE(Q152,""Sell_"",""""))),1,IF(REGEXMATCH(Q152,""Sell_""),IF(COUNTIF(Q$4:Q152,SUBSTITUTE(Q152,""Sell_"",""""))-COUNTIF(Q$4:Q151,Q152)&lt;1,1),FALSE))))"),FALSE)</f>
        <v>0</v>
      </c>
      <c r="S152" s="59">
        <f t="array" ref="S152">IF(COUNTA(Q152:Q1350)=0,"",SUM((COUNTIF(Q$4:Q152,Upgrades!$B$3:$B$13)-COUNTIF(Q$4:Q152,"Sell_"&amp;Upgrades!$B$3:$B$13))*Upgrades!$D$3:$D$13))</f>
        <v>63150.8</v>
      </c>
      <c r="T152" s="66">
        <f>IFERROR(__xludf.DUMMYFUNCTION("IF(COUNTA(Q152:Q1350)=0,"""",IF(REGEXMATCH(INDEX(FILTER(Q$4:Q152,Q$4:Q152&lt;&gt;""""),ROWS(FILTER(Q$4:Q152,Q$4:Q152&lt;&gt;""""))),""^Sell_""),INDEX(FILTER(T$4:T151,Q$4:Q151&lt;&gt;""""),ROWS(FILTER(Q$4:Q151,Q$4:Q151&lt;&gt;""""))),$AD$5+S152))"),63350.8)</f>
        <v>63350.8</v>
      </c>
      <c r="U152" s="10">
        <f>IFERROR(__xludf.DUMMYFUNCTION("IF(COUNTA(Q152:Q1350)=0,"""",IF(Q152="""",0,IF(REGEXMATCH(Q152,""^Sell_""),-ROUNDDOWN(ROUNDUP(INDEX(Upgrades!$C$3:$C$13,MATCH(SUBSTITUTE(Q152,""Sell_"",""""),Upgrades!$B$3:$B$13,0))*1.15^(COUNTIF(Q$4:Q151,SUBSTITUTE(Q152,""Sell_"",""""))-COUNTIF(Q$4:Q151,"&amp;"""Sell_""&amp;SUBSTITUTE(Q152,""Sell_"",""""))))/2),ROUNDUP(INDEX(Upgrades!$C$3:$C$13,MATCH(Q152,Upgrades!$B$3:$B$13,0))*1.15^(COUNTIF(Q$4:Q151,Q152)-COUNTIF(Q$4:Q151,""Sell_""&amp;Q152))))))"),9178.0)</f>
        <v>9178</v>
      </c>
      <c r="V152" s="10">
        <f t="shared" si="11"/>
        <v>9178</v>
      </c>
      <c r="W152" s="68">
        <f t="shared" si="12"/>
        <v>2740.381285</v>
      </c>
      <c r="X152" s="59" t="str">
        <f t="shared" si="13"/>
        <v>45m 40s</v>
      </c>
      <c r="Y152" s="69">
        <f t="shared" si="14"/>
        <v>30705777</v>
      </c>
      <c r="Z152" s="11"/>
    </row>
    <row r="153">
      <c r="A153" s="8"/>
      <c r="B153" s="56">
        <f t="shared" si="2"/>
        <v>24</v>
      </c>
      <c r="C153" s="57" t="s">
        <v>9</v>
      </c>
      <c r="D153" s="10" t="b">
        <f>IFERROR(__xludf.DUMMYFUNCTION("IF(COUNTA(C153:C1350)=0,"""",IF(ISBLANK(C153),FALSE,IF(NOT(COUNTIF($AA$24:$AA$34,SUBSTITUTE(C153,""Sell_"",""""))),1,IF(REGEXMATCH(C153,""Sell_""),IF(COUNTIF(C$4:C153,SUBSTITUTE(C153,""Sell_"",""""))-COUNTIF(C$4:C152,C153)&lt;1,1),FALSE))))"),FALSE)</f>
        <v>0</v>
      </c>
      <c r="E153" s="59">
        <f t="array" ref="E153">IF(COUNTA(C153:C1350)=0,"",SUM((COUNTIF(C$4:C153,Upgrades!$B$3:$B$13)-COUNTIF(C$4:C153,"Sell_"&amp;Upgrades!$B$3:$B$13))*Upgrades!$D$3:$D$13))</f>
        <v>568123.5</v>
      </c>
      <c r="F153" s="66">
        <f>IFERROR(__xludf.DUMMYFUNCTION("IF(COUNTA(C153:C1350)=0,"""",IF(REGEXMATCH(INDEX(FILTER(C$4:C153,C$4:C153&lt;&gt;""""),ROWS(FILTER(C$4:C153,C$4:C153&lt;&gt;""""))),""^Sell_""),INDEX(FILTER(F$4:F152,C$4:C152&lt;&gt;""""),ROWS(FILTER(C$4:C152,C$4:C152&lt;&gt;""""))),$AC$5+E153))"),568323.5)</f>
        <v>568323.5</v>
      </c>
      <c r="G153" s="10">
        <f>IFERROR(__xludf.DUMMYFUNCTION("IF(COUNTA(C153:C1350)=0,"""",IF(C153="""",0,IF(REGEXMATCH(C153,""^Sell_""),-ROUNDDOWN(ROUNDUP(INDEX(Upgrades!$C$3:$C$13,MATCH(SUBSTITUTE(C153,""Sell_"",""""),Upgrades!$B$3:$B$13,0))*1.15^(COUNTIF(C$4:C152,SUBSTITUTE(C153,""Sell_"",""""))-COUNTIF(C$4:C152,"&amp;"""Sell_""&amp;SUBSTITUTE(C153,""Sell_"",""""))))/2),ROUNDUP(INDEX(Upgrades!$C$3:$C$13,MATCH(C153,Upgrades!$B$3:$B$13,0))*1.15^(COUNTIF(C$4:C152,C153)-COUNTIF(C$4:C152,""Sell_""&amp;C153))))))"),4978292.0)</f>
        <v>4978292</v>
      </c>
      <c r="H153" s="10">
        <f t="shared" si="3"/>
        <v>4978292</v>
      </c>
      <c r="I153" s="68">
        <f t="shared" si="4"/>
        <v>6902.504517</v>
      </c>
      <c r="J153" s="59" t="str">
        <f t="shared" si="5"/>
        <v>1h 55m 02s</v>
      </c>
      <c r="K153" s="69">
        <f t="shared" si="6"/>
        <v>970835740</v>
      </c>
      <c r="L153" s="60">
        <f t="shared" si="7"/>
        <v>-188.32807</v>
      </c>
      <c r="M153" s="61">
        <f>IFERROR(__xludf.DUMMYFUNCTION("IFS(AND(COUNTA(C153:C1350)=0,COUNTA(Q153:Q1350)=0),"""",OR(AND(K153&gt;=1000000000,OR(Y153&gt;=1000000000,COUNTA(Q153:Q1350)=0)),OR(Y153&gt;=1000000000,AND(COUNTA(C153:C1350)=0,P$3=TRUE))),
ROUNDDOWN((AB$1-AC$1)*MAX(INDEX(T$4:T1350,MATCH(LARGE(FILTER(Y$4:Y1350,Y$4"&amp;":Y1350&lt;1000000000),1),Y$4:Y1350)),INDEX(F$4:F1350,MATCH(LARGE(FILTER(K$4:K1350,K$4:K1350&lt;1000000000),1),K$4:K1350)))),AND(K153&lt;1000000000,COUNTA(C153:C1350)&gt;0,P$3=FALSE),
ROUNDDOWN(INDEX(Y$4:Y1350,MATCH(LARGE(FILTER(W$4:W1350,W$4:W1350&lt;=I153),1),W$4:W1350"&amp;"))+(I153-LARGE(FILTER(W$4:W1350,W$4:W1350&lt;=I153),1))*INDEX(T$4:T1350,MATCH(LARGE(FILTER(W$4:W1350,W$4:W1350&lt;=I153),1),W$4:W1350))-K153),1,
ROUNDDOWN(Y153-INDEX(K$4:K1350,MATCH(LARGE(FILTER(I$4:I1350,I$4:I1350&lt;=W153),1),I$4:I1350))-(W153-LARGE(FILTER(I$4:I"&amp;"1350,I$4:I1350&lt;=W153),1))*INDEX(F$4:F1350,MATCH(LARGE(FILTER(I$4:I1350,I$4:I1350&lt;=W153),1),I$4:I1350))))"),1.05284733E8)</f>
        <v>105284733</v>
      </c>
      <c r="N153" s="60">
        <f t="shared" si="8"/>
        <v>-188.32807</v>
      </c>
      <c r="O153" s="61" t="str">
        <f t="shared" si="9"/>
        <v>105,3M</v>
      </c>
      <c r="P153" s="56">
        <f t="shared" si="10"/>
        <v>7</v>
      </c>
      <c r="Q153" s="67" t="s">
        <v>8</v>
      </c>
      <c r="R153" s="10" t="b">
        <f>IFERROR(__xludf.DUMMYFUNCTION("IF(COUNTA(Q153:Q1350)=0,"""",IF(ISBLANK(Q153),FALSE,IF(NOT(COUNTIF($AA$24:$AA$34,SUBSTITUTE(Q153,""Sell_"",""""))),1,IF(REGEXMATCH(Q153,""Sell_""),IF(COUNTIF(Q$4:Q153,SUBSTITUTE(Q153,""Sell_"",""""))-COUNTIF(Q$4:Q152,Q153)&lt;1,1),FALSE))))"),FALSE)</f>
        <v>0</v>
      </c>
      <c r="S153" s="59">
        <f t="array" ref="S153">IF(COUNTA(Q153:Q1350)=0,"",SUM((COUNTIF(Q$4:Q153,Upgrades!$B$3:$B$13)-COUNTIF(Q$4:Q153,"Sell_"&amp;Upgrades!$B$3:$B$13))*Upgrades!$D$3:$D$13))</f>
        <v>63250.8</v>
      </c>
      <c r="T153" s="66">
        <f>IFERROR(__xludf.DUMMYFUNCTION("IF(COUNTA(Q153:Q1350)=0,"""",IF(REGEXMATCH(INDEX(FILTER(Q$4:Q153,Q$4:Q153&lt;&gt;""""),ROWS(FILTER(Q$4:Q153,Q$4:Q153&lt;&gt;""""))),""^Sell_""),INDEX(FILTER(T$4:T152,Q$4:Q152&lt;&gt;""""),ROWS(FILTER(Q$4:Q152,Q$4:Q152&lt;&gt;""""))),$AD$5+S153))"),63450.8)</f>
        <v>63450.8</v>
      </c>
      <c r="U153" s="10">
        <f>IFERROR(__xludf.DUMMYFUNCTION("IF(COUNTA(Q153:Q1350)=0,"""",IF(Q153="""",0,IF(REGEXMATCH(Q153,""^Sell_""),-ROUNDDOWN(ROUNDUP(INDEX(Upgrades!$C$3:$C$13,MATCH(SUBSTITUTE(Q153,""Sell_"",""""),Upgrades!$B$3:$B$13,0))*1.15^(COUNTIF(Q$4:Q152,SUBSTITUTE(Q153,""Sell_"",""""))-COUNTIF(Q$4:Q152,"&amp;"""Sell_""&amp;SUBSTITUTE(Q153,""Sell_"",""""))))/2),ROUNDUP(INDEX(Upgrades!$C$3:$C$13,MATCH(Q153,Upgrades!$B$3:$B$13,0))*1.15^(COUNTIF(Q$4:Q152,Q153)-COUNTIF(Q$4:Q152,""Sell_""&amp;Q153))))))"),92523.0)</f>
        <v>92523</v>
      </c>
      <c r="V153" s="10">
        <f t="shared" si="11"/>
        <v>92523</v>
      </c>
      <c r="W153" s="68">
        <f t="shared" si="12"/>
        <v>2741.841772</v>
      </c>
      <c r="X153" s="59" t="str">
        <f t="shared" si="13"/>
        <v>45m 41s</v>
      </c>
      <c r="Y153" s="69">
        <f t="shared" si="14"/>
        <v>30798300</v>
      </c>
      <c r="Z153" s="11"/>
    </row>
    <row r="154">
      <c r="A154" s="8"/>
      <c r="B154" s="56">
        <f t="shared" si="2"/>
        <v>27</v>
      </c>
      <c r="C154" s="57" t="s">
        <v>8</v>
      </c>
      <c r="D154" s="10" t="b">
        <f>IFERROR(__xludf.DUMMYFUNCTION("IF(COUNTA(C154:C1350)=0,"""",IF(ISBLANK(C154),FALSE,IF(NOT(COUNTIF($AA$24:$AA$34,SUBSTITUTE(C154,""Sell_"",""""))),1,IF(REGEXMATCH(C154,""Sell_""),IF(COUNTIF(C$4:C154,SUBSTITUTE(C154,""Sell_"",""""))-COUNTIF(C$4:C153,C154)&lt;1,1),FALSE))))"),FALSE)</f>
        <v>0</v>
      </c>
      <c r="E154" s="59">
        <f t="array" ref="E154">IF(COUNTA(C154:C1350)=0,"",SUM((COUNTIF(C$4:C154,Upgrades!$B$3:$B$13)-COUNTIF(C$4:C154,"Sell_"&amp;Upgrades!$B$3:$B$13))*Upgrades!$D$3:$D$13))</f>
        <v>568223.5</v>
      </c>
      <c r="F154" s="66">
        <f>IFERROR(__xludf.DUMMYFUNCTION("IF(COUNTA(C154:C1350)=0,"""",IF(REGEXMATCH(INDEX(FILTER(C$4:C154,C$4:C154&lt;&gt;""""),ROWS(FILTER(C$4:C154,C$4:C154&lt;&gt;""""))),""^Sell_""),INDEX(FILTER(F$4:F153,C$4:C153&lt;&gt;""""),ROWS(FILTER(C$4:C153,C$4:C153&lt;&gt;""""))),$AC$5+E154))"),568423.5)</f>
        <v>568423.5</v>
      </c>
      <c r="G154" s="10">
        <f>IFERROR(__xludf.DUMMYFUNCTION("IF(COUNTA(C154:C1350)=0,"""",IF(C154="""",0,IF(REGEXMATCH(C154,""^Sell_""),-ROUNDDOWN(ROUNDUP(INDEX(Upgrades!$C$3:$C$13,MATCH(SUBSTITUTE(C154,""Sell_"",""""),Upgrades!$B$3:$B$13,0))*1.15^(COUNTIF(C$4:C153,SUBSTITUTE(C154,""Sell_"",""""))-COUNTIF(C$4:C153,"&amp;"""Sell_""&amp;SUBSTITUTE(C154,""Sell_"",""""))))/2),ROUNDUP(INDEX(Upgrades!$C$3:$C$13,MATCH(C154,Upgrades!$B$3:$B$13,0))*1.15^(COUNTIF(C$4:C153,C154)-COUNTIF(C$4:C153,""Sell_""&amp;C154))))))"),1514272.0)</f>
        <v>1514272</v>
      </c>
      <c r="H154" s="10">
        <f t="shared" si="3"/>
        <v>1514272</v>
      </c>
      <c r="I154" s="68">
        <f t="shared" si="4"/>
        <v>6905.168972</v>
      </c>
      <c r="J154" s="59" t="str">
        <f t="shared" si="5"/>
        <v>1h 55m 05s</v>
      </c>
      <c r="K154" s="69">
        <f t="shared" si="6"/>
        <v>972350012</v>
      </c>
      <c r="L154" s="60">
        <f t="shared" si="7"/>
        <v>-188.2506</v>
      </c>
      <c r="M154" s="61">
        <f>IFERROR(__xludf.DUMMYFUNCTION("IFS(AND(COUNTA(C154:C1350)=0,COUNTA(Q154:Q1350)=0),"""",OR(AND(K154&gt;=1000000000,OR(Y154&gt;=1000000000,COUNTA(Q154:Q1350)=0)),OR(Y154&gt;=1000000000,AND(COUNTA(C154:C1350)=0,P$3=TRUE))),
ROUNDDOWN((AB$1-AC$1)*MAX(INDEX(T$4:T1350,MATCH(LARGE(FILTER(Y$4:Y1350,Y$4"&amp;":Y1350&lt;1000000000),1),Y$4:Y1350)),INDEX(F$4:F1350,MATCH(LARGE(FILTER(K$4:K1350,K$4:K1350&lt;1000000000),1),K$4:K1350)))),AND(K154&lt;1000000000,COUNTA(C154:C1350)&gt;0,P$3=FALSE),
ROUNDDOWN(INDEX(Y$4:Y1350,MATCH(LARGE(FILTER(W$4:W1350,W$4:W1350&lt;=I154),1),W$4:W1350"&amp;"))+(I154-LARGE(FILTER(W$4:W1350,W$4:W1350&lt;=I154),1))*INDEX(T$4:T1350,MATCH(LARGE(FILTER(W$4:W1350,W$4:W1350&lt;=I154),1),W$4:W1350))-K154),1,
ROUNDDOWN(Y154-INDEX(K$4:K1350,MATCH(LARGE(FILTER(I$4:I1350,I$4:I1350&lt;=W154),1),I$4:I1350))-(W154-LARGE(FILTER(I$4:I"&amp;"1350,I$4:I1350&lt;=W154),1))*INDEX(F$4:F1350,MATCH(LARGE(FILTER(I$4:I1350,I$4:I1350&lt;=W154),1),I$4:I1350))))"),1.05264052E8)</f>
        <v>105264052</v>
      </c>
      <c r="N154" s="60">
        <f t="shared" si="8"/>
        <v>-188.2506</v>
      </c>
      <c r="O154" s="61" t="str">
        <f t="shared" si="9"/>
        <v>105,3M</v>
      </c>
      <c r="P154" s="56">
        <f t="shared" si="10"/>
        <v>14</v>
      </c>
      <c r="Q154" s="67" t="s">
        <v>3</v>
      </c>
      <c r="R154" s="10" t="b">
        <f>IFERROR(__xludf.DUMMYFUNCTION("IF(COUNTA(Q154:Q1350)=0,"""",IF(ISBLANK(Q154),FALSE,IF(NOT(COUNTIF($AA$24:$AA$34,SUBSTITUTE(Q154,""Sell_"",""""))),1,IF(REGEXMATCH(Q154,""Sell_""),IF(COUNTIF(Q$4:Q154,SUBSTITUTE(Q154,""Sell_"",""""))-COUNTIF(Q$4:Q153,Q154)&lt;1,1),FALSE))))"),FALSE)</f>
        <v>0</v>
      </c>
      <c r="S154" s="59">
        <f t="array" ref="S154">IF(COUNTA(Q154:Q1350)=0,"",SUM((COUNTIF(Q$4:Q154,Upgrades!$B$3:$B$13)-COUNTIF(Q$4:Q154,"Sell_"&amp;Upgrades!$B$3:$B$13))*Upgrades!$D$3:$D$13))</f>
        <v>63250.9</v>
      </c>
      <c r="T154" s="66">
        <f>IFERROR(__xludf.DUMMYFUNCTION("IF(COUNTA(Q154:Q1350)=0,"""",IF(REGEXMATCH(INDEX(FILTER(Q$4:Q154,Q$4:Q154&lt;&gt;""""),ROWS(FILTER(Q$4:Q154,Q$4:Q154&lt;&gt;""""))),""^Sell_""),INDEX(FILTER(T$4:T153,Q$4:Q153&lt;&gt;""""),ROWS(FILTER(Q$4:Q153,Q$4:Q153&lt;&gt;""""))),$AD$5+S154))"),63450.9)</f>
        <v>63450.9</v>
      </c>
      <c r="U154" s="10">
        <f>IFERROR(__xludf.DUMMYFUNCTION("IF(COUNTA(Q154:Q1350)=0,"""",IF(Q154="""",0,IF(REGEXMATCH(Q154,""^Sell_""),-ROUNDDOWN(ROUNDUP(INDEX(Upgrades!$C$3:$C$13,MATCH(SUBSTITUTE(Q154,""Sell_"",""""),Upgrades!$B$3:$B$13,0))*1.15^(COUNTIF(Q$4:Q153,SUBSTITUTE(Q154,""Sell_"",""""))-COUNTIF(Q$4:Q153,"&amp;"""Sell_""&amp;SUBSTITUTE(Q154,""Sell_"",""""))))/2),ROUNDUP(INDEX(Upgrades!$C$3:$C$13,MATCH(Q154,Upgrades!$B$3:$B$13,0))*1.15^(COUNTIF(Q$4:Q153,Q154)-COUNTIF(Q$4:Q153,""Sell_""&amp;Q154))))))"),93.0)</f>
        <v>93</v>
      </c>
      <c r="V154" s="10">
        <f t="shared" si="11"/>
        <v>93</v>
      </c>
      <c r="W154" s="68">
        <f t="shared" si="12"/>
        <v>2741.843238</v>
      </c>
      <c r="X154" s="59" t="str">
        <f t="shared" si="13"/>
        <v>45m 41s</v>
      </c>
      <c r="Y154" s="69">
        <f t="shared" si="14"/>
        <v>30798393</v>
      </c>
      <c r="Z154" s="11"/>
    </row>
    <row r="155">
      <c r="A155" s="8"/>
      <c r="B155" s="56">
        <f t="shared" si="2"/>
        <v>25</v>
      </c>
      <c r="C155" s="57" t="s">
        <v>9</v>
      </c>
      <c r="D155" s="10" t="b">
        <f>IFERROR(__xludf.DUMMYFUNCTION("IF(COUNTA(C155:C1350)=0,"""",IF(ISBLANK(C155),FALSE,IF(NOT(COUNTIF($AA$24:$AA$34,SUBSTITUTE(C155,""Sell_"",""""))),1,IF(REGEXMATCH(C155,""Sell_""),IF(COUNTIF(C$4:C155,SUBSTITUTE(C155,""Sell_"",""""))-COUNTIF(C$4:C154,C155)&lt;1,1),FALSE))))"),FALSE)</f>
        <v>0</v>
      </c>
      <c r="E155" s="59">
        <f t="array" ref="E155">IF(COUNTA(C155:C1350)=0,"",SUM((COUNTIF(C$4:C155,Upgrades!$B$3:$B$13)-COUNTIF(C$4:C155,"Sell_"&amp;Upgrades!$B$3:$B$13))*Upgrades!$D$3:$D$13))</f>
        <v>568623.5</v>
      </c>
      <c r="F155" s="66">
        <f>IFERROR(__xludf.DUMMYFUNCTION("IF(COUNTA(C155:C1350)=0,"""",IF(REGEXMATCH(INDEX(FILTER(C$4:C155,C$4:C155&lt;&gt;""""),ROWS(FILTER(C$4:C155,C$4:C155&lt;&gt;""""))),""^Sell_""),INDEX(FILTER(F$4:F154,C$4:C154&lt;&gt;""""),ROWS(FILTER(C$4:C154,C$4:C154&lt;&gt;""""))),$AC$5+E155))"),568823.5)</f>
        <v>568823.5</v>
      </c>
      <c r="G155" s="10">
        <f>IFERROR(__xludf.DUMMYFUNCTION("IF(COUNTA(C155:C1350)=0,"""",IF(C155="""",0,IF(REGEXMATCH(C155,""^Sell_""),-ROUNDDOWN(ROUNDUP(INDEX(Upgrades!$C$3:$C$13,MATCH(SUBSTITUTE(C155,""Sell_"",""""),Upgrades!$B$3:$B$13,0))*1.15^(COUNTIF(C$4:C154,SUBSTITUTE(C155,""Sell_"",""""))-COUNTIF(C$4:C154,"&amp;"""Sell_""&amp;SUBSTITUTE(C155,""Sell_"",""""))))/2),ROUNDUP(INDEX(Upgrades!$C$3:$C$13,MATCH(C155,Upgrades!$B$3:$B$13,0))*1.15^(COUNTIF(C$4:C154,C155)-COUNTIF(C$4:C154,""Sell_""&amp;C155))))))"),5725036.0)</f>
        <v>5725036</v>
      </c>
      <c r="H155" s="10">
        <f t="shared" si="3"/>
        <v>5725036</v>
      </c>
      <c r="I155" s="68">
        <f t="shared" si="4"/>
        <v>6915.240751</v>
      </c>
      <c r="J155" s="59" t="str">
        <f t="shared" si="5"/>
        <v>1h 55m 15s</v>
      </c>
      <c r="K155" s="69">
        <f t="shared" si="6"/>
        <v>978075048</v>
      </c>
      <c r="L155" s="60">
        <f t="shared" si="7"/>
        <v>-187.9559</v>
      </c>
      <c r="M155" s="61">
        <f>IFERROR(__xludf.DUMMYFUNCTION("IFS(AND(COUNTA(C155:C1350)=0,COUNTA(Q155:Q1350)=0),"""",OR(AND(K155&gt;=1000000000,OR(Y155&gt;=1000000000,COUNTA(Q155:Q1350)=0)),OR(Y155&gt;=1000000000,AND(COUNTA(C155:C1350)=0,P$3=TRUE))),
ROUNDDOWN((AB$1-AC$1)*MAX(INDEX(T$4:T1350,MATCH(LARGE(FILTER(Y$4:Y1350,Y$4"&amp;":Y1350&lt;1000000000),1),Y$4:Y1350)),INDEX(F$4:F1350,MATCH(LARGE(FILTER(K$4:K1350,K$4:K1350&lt;1000000000),1),K$4:K1350)))),AND(K155&lt;1000000000,COUNTA(C155:C1350)&gt;0,P$3=FALSE),
ROUNDDOWN(INDEX(Y$4:Y1350,MATCH(LARGE(FILTER(W$4:W1350,W$4:W1350&lt;=I155),1),W$4:W1350"&amp;"))+(I155-LARGE(FILTER(W$4:W1350,W$4:W1350&lt;=I155),1))*INDEX(T$4:T1350,MATCH(LARGE(FILTER(W$4:W1350,W$4:W1350&lt;=I155),1),W$4:W1350))-K155),1,
ROUNDDOWN(Y155-INDEX(K$4:K1350,MATCH(LARGE(FILTER(I$4:I1350,I$4:I1350&lt;=W155),1),I$4:I1350))-(W155-LARGE(FILTER(I$4:I"&amp;"1350,I$4:I1350&lt;=W155),1))*INDEX(F$4:F1350,MATCH(LARGE(FILTER(I$4:I1350,I$4:I1350&lt;=W155),1),I$4:I1350))))"),1.0518487E8)</f>
        <v>105184870</v>
      </c>
      <c r="N155" s="60">
        <f t="shared" si="8"/>
        <v>-187.9559</v>
      </c>
      <c r="O155" s="61" t="str">
        <f t="shared" si="9"/>
        <v>105,2M</v>
      </c>
      <c r="P155" s="56">
        <f t="shared" si="10"/>
        <v>12</v>
      </c>
      <c r="Q155" s="67" t="s">
        <v>4</v>
      </c>
      <c r="R155" s="10" t="b">
        <f>IFERROR(__xludf.DUMMYFUNCTION("IF(COUNTA(Q155:Q1350)=0,"""",IF(ISBLANK(Q155),FALSE,IF(NOT(COUNTIF($AA$24:$AA$34,SUBSTITUTE(Q155,""Sell_"",""""))),1,IF(REGEXMATCH(Q155,""Sell_""),IF(COUNTIF(Q$4:Q155,SUBSTITUTE(Q155,""Sell_"",""""))-COUNTIF(Q$4:Q154,Q155)&lt;1,1),FALSE))))"),FALSE)</f>
        <v>0</v>
      </c>
      <c r="S155" s="59">
        <f t="array" ref="S155">IF(COUNTA(Q155:Q1350)=0,"",SUM((COUNTIF(Q$4:Q155,Upgrades!$B$3:$B$13)-COUNTIF(Q$4:Q155,"Sell_"&amp;Upgrades!$B$3:$B$13))*Upgrades!$D$3:$D$13))</f>
        <v>63251.4</v>
      </c>
      <c r="T155" s="66">
        <f>IFERROR(__xludf.DUMMYFUNCTION("IF(COUNTA(Q155:Q1350)=0,"""",IF(REGEXMATCH(INDEX(FILTER(Q$4:Q155,Q$4:Q155&lt;&gt;""""),ROWS(FILTER(Q$4:Q155,Q$4:Q155&lt;&gt;""""))),""^Sell_""),INDEX(FILTER(T$4:T154,Q$4:Q154&lt;&gt;""""),ROWS(FILTER(Q$4:Q154,Q$4:Q154&lt;&gt;""""))),$AD$5+S155))"),63451.4)</f>
        <v>63451.4</v>
      </c>
      <c r="U155" s="10">
        <f>IFERROR(__xludf.DUMMYFUNCTION("IF(COUNTA(Q155:Q1350)=0,"""",IF(Q155="""",0,IF(REGEXMATCH(Q155,""^Sell_""),-ROUNDDOWN(ROUNDUP(INDEX(Upgrades!$C$3:$C$13,MATCH(SUBSTITUTE(Q155,""Sell_"",""""),Upgrades!$B$3:$B$13,0))*1.15^(COUNTIF(Q$4:Q154,SUBSTITUTE(Q155,""Sell_"",""""))-COUNTIF(Q$4:Q154,"&amp;"""Sell_""&amp;SUBSTITUTE(Q155,""Sell_"",""""))))/2),ROUNDUP(INDEX(Upgrades!$C$3:$C$13,MATCH(Q155,Upgrades!$B$3:$B$13,0))*1.15^(COUNTIF(Q$4:Q154,Q155)-COUNTIF(Q$4:Q154,""Sell_""&amp;Q155))))))"),466.0)</f>
        <v>466</v>
      </c>
      <c r="V155" s="10">
        <f t="shared" si="11"/>
        <v>466</v>
      </c>
      <c r="W155" s="68">
        <f t="shared" si="12"/>
        <v>2741.850582</v>
      </c>
      <c r="X155" s="59" t="str">
        <f t="shared" si="13"/>
        <v>45m 41s</v>
      </c>
      <c r="Y155" s="69">
        <f t="shared" si="14"/>
        <v>30798859</v>
      </c>
      <c r="Z155" s="11"/>
    </row>
    <row r="156">
      <c r="A156" s="8"/>
      <c r="B156" s="56">
        <f t="shared" si="2"/>
        <v>28</v>
      </c>
      <c r="C156" s="57" t="s">
        <v>8</v>
      </c>
      <c r="D156" s="10" t="b">
        <f>IFERROR(__xludf.DUMMYFUNCTION("IF(COUNTA(C156:C1350)=0,"""",IF(ISBLANK(C156),FALSE,IF(NOT(COUNTIF($AA$24:$AA$34,SUBSTITUTE(C156,""Sell_"",""""))),1,IF(REGEXMATCH(C156,""Sell_""),IF(COUNTIF(C$4:C156,SUBSTITUTE(C156,""Sell_"",""""))-COUNTIF(C$4:C155,C156)&lt;1,1),FALSE))))"),FALSE)</f>
        <v>0</v>
      </c>
      <c r="E156" s="59">
        <f t="array" ref="E156">IF(COUNTA(C156:C1350)=0,"",SUM((COUNTIF(C$4:C156,Upgrades!$B$3:$B$13)-COUNTIF(C$4:C156,"Sell_"&amp;Upgrades!$B$3:$B$13))*Upgrades!$D$3:$D$13))</f>
        <v>568723.5</v>
      </c>
      <c r="F156" s="66">
        <f>IFERROR(__xludf.DUMMYFUNCTION("IF(COUNTA(C156:C1350)=0,"""",IF(REGEXMATCH(INDEX(FILTER(C$4:C156,C$4:C156&lt;&gt;""""),ROWS(FILTER(C$4:C156,C$4:C156&lt;&gt;""""))),""^Sell_""),INDEX(FILTER(F$4:F155,C$4:C155&lt;&gt;""""),ROWS(FILTER(C$4:C155,C$4:C155&lt;&gt;""""))),$AC$5+E156))"),568923.5)</f>
        <v>568923.5</v>
      </c>
      <c r="G156" s="10">
        <f>IFERROR(__xludf.DUMMYFUNCTION("IF(COUNTA(C156:C1350)=0,"""",IF(C156="""",0,IF(REGEXMATCH(C156,""^Sell_""),-ROUNDDOWN(ROUNDUP(INDEX(Upgrades!$C$3:$C$13,MATCH(SUBSTITUTE(C156,""Sell_"",""""),Upgrades!$B$3:$B$13,0))*1.15^(COUNTIF(C$4:C155,SUBSTITUTE(C156,""Sell_"",""""))-COUNTIF(C$4:C155,"&amp;"""Sell_""&amp;SUBSTITUTE(C156,""Sell_"",""""))))/2),ROUNDUP(INDEX(Upgrades!$C$3:$C$13,MATCH(C156,Upgrades!$B$3:$B$13,0))*1.15^(COUNTIF(C$4:C155,C156)-COUNTIF(C$4:C155,""Sell_""&amp;C156))))))"),1741413.0)</f>
        <v>1741413</v>
      </c>
      <c r="H156" s="10">
        <f t="shared" si="3"/>
        <v>1741413</v>
      </c>
      <c r="I156" s="68">
        <f t="shared" si="4"/>
        <v>6918.30218</v>
      </c>
      <c r="J156" s="59" t="str">
        <f t="shared" si="5"/>
        <v>1h 55m 18s</v>
      </c>
      <c r="K156" s="69">
        <f t="shared" si="6"/>
        <v>979816461</v>
      </c>
      <c r="L156" s="60">
        <f t="shared" si="7"/>
        <v>-187.86411</v>
      </c>
      <c r="M156" s="61">
        <f>IFERROR(__xludf.DUMMYFUNCTION("IFS(AND(COUNTA(C156:C1350)=0,COUNTA(Q156:Q1350)=0),"""",OR(AND(K156&gt;=1000000000,OR(Y156&gt;=1000000000,COUNTA(Q156:Q1350)=0)),OR(Y156&gt;=1000000000,AND(COUNTA(C156:C1350)=0,P$3=TRUE))),
ROUNDDOWN((AB$1-AC$1)*MAX(INDEX(T$4:T1350,MATCH(LARGE(FILTER(Y$4:Y1350,Y$4"&amp;":Y1350&lt;1000000000),1),Y$4:Y1350)),INDEX(F$4:F1350,MATCH(LARGE(FILTER(K$4:K1350,K$4:K1350&lt;1000000000),1),K$4:K1350)))),AND(K156&lt;1000000000,COUNTA(C156:C1350)&gt;0,P$3=FALSE),
ROUNDDOWN(INDEX(Y$4:Y1350,MATCH(LARGE(FILTER(W$4:W1350,W$4:W1350&lt;=I156),1),W$4:W1350"&amp;"))+(I156-LARGE(FILTER(W$4:W1350,W$4:W1350&lt;=I156),1))*INDEX(T$4:T1350,MATCH(LARGE(FILTER(W$4:W1350,W$4:W1350&lt;=I156),1),W$4:W1350))-K156),1,
ROUNDDOWN(Y156-INDEX(K$4:K1350,MATCH(LARGE(FILTER(I$4:I1350,I$4:I1350&lt;=W156),1),I$4:I1350))-(W156-LARGE(FILTER(I$4:I"&amp;"1350,I$4:I1350&lt;=W156),1))*INDEX(F$4:F1350,MATCH(LARGE(FILTER(I$4:I1350,I$4:I1350&lt;=W156),1),I$4:I1350))))"),1.05159577E8)</f>
        <v>105159577</v>
      </c>
      <c r="N156" s="60">
        <f t="shared" si="8"/>
        <v>-187.86411</v>
      </c>
      <c r="O156" s="61" t="str">
        <f t="shared" si="9"/>
        <v>105,2M</v>
      </c>
      <c r="P156" s="56">
        <f t="shared" si="10"/>
        <v>10</v>
      </c>
      <c r="Q156" s="67" t="s">
        <v>10</v>
      </c>
      <c r="R156" s="10" t="b">
        <f>IFERROR(__xludf.DUMMYFUNCTION("IF(COUNTA(Q156:Q1350)=0,"""",IF(ISBLANK(Q156),FALSE,IF(NOT(COUNTIF($AA$24:$AA$34,SUBSTITUTE(Q156,""Sell_"",""""))),1,IF(REGEXMATCH(Q156,""Sell_""),IF(COUNTIF(Q$4:Q156,SUBSTITUTE(Q156,""Sell_"",""""))-COUNTIF(Q$4:Q155,Q156)&lt;1,1),FALSE))))"),FALSE)</f>
        <v>0</v>
      </c>
      <c r="S156" s="59">
        <f t="array" ref="S156">IF(COUNTA(Q156:Q1350)=0,"",SUM((COUNTIF(Q$4:Q156,Upgrades!$B$3:$B$13)-COUNTIF(Q$4:Q156,"Sell_"&amp;Upgrades!$B$3:$B$13))*Upgrades!$D$3:$D$13))</f>
        <v>69917.4</v>
      </c>
      <c r="T156" s="66">
        <f>IFERROR(__xludf.DUMMYFUNCTION("IF(COUNTA(Q156:Q1350)=0,"""",IF(REGEXMATCH(INDEX(FILTER(Q$4:Q156,Q$4:Q156&lt;&gt;""""),ROWS(FILTER(Q$4:Q156,Q$4:Q156&lt;&gt;""""))),""^Sell_""),INDEX(FILTER(T$4:T155,Q$4:Q155&lt;&gt;""""),ROWS(FILTER(Q$4:Q155,Q$4:Q155&lt;&gt;""""))),$AD$5+S156))"),70117.4)</f>
        <v>70117.4</v>
      </c>
      <c r="U156" s="10">
        <f>IFERROR(__xludf.DUMMYFUNCTION("IF(COUNTA(Q156:Q1350)=0,"""",IF(Q156="""",0,IF(REGEXMATCH(Q156,""^Sell_""),-ROUNDDOWN(ROUNDUP(INDEX(Upgrades!$C$3:$C$13,MATCH(SUBSTITUTE(Q156,""Sell_"",""""),Upgrades!$B$3:$B$13,0))*1.15^(COUNTIF(Q$4:Q155,SUBSTITUTE(Q156,""Sell_"",""""))-COUNTIF(Q$4:Q155,"&amp;"""Sell_""&amp;SUBSTITUTE(Q156,""Sell_"",""""))))/2),ROUNDUP(INDEX(Upgrades!$C$3:$C$13,MATCH(Q156,Upgrades!$B$3:$B$13,0))*1.15^(COUNTIF(Q$4:Q155,Q156)-COUNTIF(Q$4:Q155,""Sell_""&amp;Q156))))))"),5863125.0)</f>
        <v>5863125</v>
      </c>
      <c r="V156" s="10">
        <f t="shared" si="11"/>
        <v>5863125</v>
      </c>
      <c r="W156" s="68">
        <f t="shared" si="12"/>
        <v>2834.25398</v>
      </c>
      <c r="X156" s="59" t="str">
        <f t="shared" si="13"/>
        <v>47m 14s</v>
      </c>
      <c r="Y156" s="69">
        <f t="shared" si="14"/>
        <v>36661984</v>
      </c>
      <c r="Z156" s="11"/>
    </row>
    <row r="157">
      <c r="A157" s="8"/>
      <c r="B157" s="56">
        <f t="shared" si="2"/>
        <v>26</v>
      </c>
      <c r="C157" s="57" t="s">
        <v>9</v>
      </c>
      <c r="D157" s="10" t="b">
        <f>IFERROR(__xludf.DUMMYFUNCTION("IF(COUNTA(C157:C1350)=0,"""",IF(ISBLANK(C157),FALSE,IF(NOT(COUNTIF($AA$24:$AA$34,SUBSTITUTE(C157,""Sell_"",""""))),1,IF(REGEXMATCH(C157,""Sell_""),IF(COUNTIF(C$4:C157,SUBSTITUTE(C157,""Sell_"",""""))-COUNTIF(C$4:C156,C157)&lt;1,1),FALSE))))"),FALSE)</f>
        <v>0</v>
      </c>
      <c r="E157" s="59">
        <f t="array" ref="E157">IF(COUNTA(C157:C1350)=0,"",SUM((COUNTIF(C$4:C157,Upgrades!$B$3:$B$13)-COUNTIF(C$4:C157,"Sell_"&amp;Upgrades!$B$3:$B$13))*Upgrades!$D$3:$D$13))</f>
        <v>569123.5</v>
      </c>
      <c r="F157" s="66">
        <f>IFERROR(__xludf.DUMMYFUNCTION("IF(COUNTA(C157:C1350)=0,"""",IF(REGEXMATCH(INDEX(FILTER(C$4:C157,C$4:C157&lt;&gt;""""),ROWS(FILTER(C$4:C157,C$4:C157&lt;&gt;""""))),""^Sell_""),INDEX(FILTER(F$4:F156,C$4:C156&lt;&gt;""""),ROWS(FILTER(C$4:C156,C$4:C156&lt;&gt;""""))),$AC$5+E157))"),569323.5)</f>
        <v>569323.5</v>
      </c>
      <c r="G157" s="10">
        <f>IFERROR(__xludf.DUMMYFUNCTION("IF(COUNTA(C157:C1350)=0,"""",IF(C157="""",0,IF(REGEXMATCH(C157,""^Sell_""),-ROUNDDOWN(ROUNDUP(INDEX(Upgrades!$C$3:$C$13,MATCH(SUBSTITUTE(C157,""Sell_"",""""),Upgrades!$B$3:$B$13,0))*1.15^(COUNTIF(C$4:C156,SUBSTITUTE(C157,""Sell_"",""""))-COUNTIF(C$4:C156,"&amp;"""Sell_""&amp;SUBSTITUTE(C157,""Sell_"",""""))))/2),ROUNDUP(INDEX(Upgrades!$C$3:$C$13,MATCH(C157,Upgrades!$B$3:$B$13,0))*1.15^(COUNTIF(C$4:C156,C157)-COUNTIF(C$4:C156,""Sell_""&amp;C157))))))"),6583791.0)</f>
        <v>6583791</v>
      </c>
      <c r="H157" s="10">
        <f t="shared" si="3"/>
        <v>6583791</v>
      </c>
      <c r="I157" s="68">
        <f t="shared" si="4"/>
        <v>6929.874546</v>
      </c>
      <c r="J157" s="59" t="str">
        <f t="shared" si="5"/>
        <v>1h 55m 29s</v>
      </c>
      <c r="K157" s="69">
        <f t="shared" si="6"/>
        <v>986400252</v>
      </c>
      <c r="L157" s="60">
        <f t="shared" si="7"/>
        <v>-187.51503</v>
      </c>
      <c r="M157" s="61">
        <f>IFERROR(__xludf.DUMMYFUNCTION("IFS(AND(COUNTA(C157:C1350)=0,COUNTA(Q157:Q1350)=0),"""",OR(AND(K157&gt;=1000000000,OR(Y157&gt;=1000000000,COUNTA(Q157:Q1350)=0)),OR(Y157&gt;=1000000000,AND(COUNTA(C157:C1350)=0,P$3=TRUE))),
ROUNDDOWN((AB$1-AC$1)*MAX(INDEX(T$4:T1350,MATCH(LARGE(FILTER(Y$4:Y1350,Y$4"&amp;":Y1350&lt;1000000000),1),Y$4:Y1350)),INDEX(F$4:F1350,MATCH(LARGE(FILTER(K$4:K1350,K$4:K1350&lt;1000000000),1),K$4:K1350)))),AND(K157&lt;1000000000,COUNTA(C157:C1350)&gt;0,P$3=FALSE),
ROUNDDOWN(INDEX(Y$4:Y1350,MATCH(LARGE(FILTER(W$4:W1350,W$4:W1350&lt;=I157),1),W$4:W1350"&amp;"))+(I157-LARGE(FILTER(W$4:W1350,W$4:W1350&lt;=I157),1))*INDEX(T$4:T1350,MATCH(LARGE(FILTER(W$4:W1350,W$4:W1350&lt;=I157),1),W$4:W1350))-K157),1,
ROUNDDOWN(Y157-INDEX(K$4:K1350,MATCH(LARGE(FILTER(I$4:I1350,I$4:I1350&lt;=W157),1),I$4:I1350))-(W157-LARGE(FILTER(I$4:I"&amp;"1350,I$4:I1350&lt;=W157),1))*INDEX(F$4:F1350,MATCH(LARGE(FILTER(I$4:I1350,I$4:I1350&lt;=W157),1),I$4:I1350))))"),1.05062811E8)</f>
        <v>105062811</v>
      </c>
      <c r="N157" s="60">
        <f t="shared" si="8"/>
        <v>-187.51503</v>
      </c>
      <c r="O157" s="61" t="str">
        <f t="shared" si="9"/>
        <v>105,1M</v>
      </c>
      <c r="P157" s="56">
        <f t="shared" si="10"/>
        <v>6</v>
      </c>
      <c r="Q157" s="67" t="s">
        <v>9</v>
      </c>
      <c r="R157" s="10" t="b">
        <f>IFERROR(__xludf.DUMMYFUNCTION("IF(COUNTA(Q157:Q1350)=0,"""",IF(ISBLANK(Q157),FALSE,IF(NOT(COUNTIF($AA$24:$AA$34,SUBSTITUTE(Q157,""Sell_"",""""))),1,IF(REGEXMATCH(Q157,""Sell_""),IF(COUNTIF(Q$4:Q157,SUBSTITUTE(Q157,""Sell_"",""""))-COUNTIF(Q$4:Q156,Q157)&lt;1,1),FALSE))))"),FALSE)</f>
        <v>0</v>
      </c>
      <c r="S157" s="59">
        <f t="array" ref="S157">IF(COUNTA(Q157:Q1350)=0,"",SUM((COUNTIF(Q$4:Q157,Upgrades!$B$3:$B$13)-COUNTIF(Q$4:Q157,"Sell_"&amp;Upgrades!$B$3:$B$13))*Upgrades!$D$3:$D$13))</f>
        <v>70317.4</v>
      </c>
      <c r="T157" s="66">
        <f>IFERROR(__xludf.DUMMYFUNCTION("IF(COUNTA(Q157:Q1350)=0,"""",IF(REGEXMATCH(INDEX(FILTER(Q$4:Q157,Q$4:Q157&lt;&gt;""""),ROWS(FILTER(Q$4:Q157,Q$4:Q157&lt;&gt;""""))),""^Sell_""),INDEX(FILTER(T$4:T156,Q$4:Q156&lt;&gt;""""),ROWS(FILTER(Q$4:Q156,Q$4:Q156&lt;&gt;""""))),$AD$5+S157))"),70517.4)</f>
        <v>70517.4</v>
      </c>
      <c r="U157" s="10">
        <f>IFERROR(__xludf.DUMMYFUNCTION("IF(COUNTA(Q157:Q1350)=0,"""",IF(Q157="""",0,IF(REGEXMATCH(Q157,""^Sell_""),-ROUNDDOWN(ROUNDUP(INDEX(Upgrades!$C$3:$C$13,MATCH(SUBSTITUTE(Q157,""Sell_"",""""),Upgrades!$B$3:$B$13,0))*1.15^(COUNTIF(Q$4:Q156,SUBSTITUTE(Q157,""Sell_"",""""))-COUNTIF(Q$4:Q156,"&amp;"""Sell_""&amp;SUBSTITUTE(Q157,""Sell_"",""""))))/2),ROUNDUP(INDEX(Upgrades!$C$3:$C$13,MATCH(Q157,Upgrades!$B$3:$B$13,0))*1.15^(COUNTIF(Q$4:Q156,Q157)-COUNTIF(Q$4:Q156,""Sell_""&amp;Q157))))))"),402272.0)</f>
        <v>402272</v>
      </c>
      <c r="V157" s="10">
        <f t="shared" si="11"/>
        <v>402272</v>
      </c>
      <c r="W157" s="68">
        <f t="shared" si="12"/>
        <v>2839.991101</v>
      </c>
      <c r="X157" s="59" t="str">
        <f t="shared" si="13"/>
        <v>47m 19s</v>
      </c>
      <c r="Y157" s="69">
        <f t="shared" si="14"/>
        <v>37064256</v>
      </c>
      <c r="Z157" s="11"/>
    </row>
    <row r="158">
      <c r="A158" s="8"/>
      <c r="B158" s="56">
        <f t="shared" si="2"/>
        <v>29</v>
      </c>
      <c r="C158" s="57" t="s">
        <v>8</v>
      </c>
      <c r="D158" s="10" t="b">
        <f>IFERROR(__xludf.DUMMYFUNCTION("IF(COUNTA(C158:C1350)=0,"""",IF(ISBLANK(C158),FALSE,IF(NOT(COUNTIF($AA$24:$AA$34,SUBSTITUTE(C158,""Sell_"",""""))),1,IF(REGEXMATCH(C158,""Sell_""),IF(COUNTIF(C$4:C158,SUBSTITUTE(C158,""Sell_"",""""))-COUNTIF(C$4:C157,C158)&lt;1,1),FALSE))))"),FALSE)</f>
        <v>0</v>
      </c>
      <c r="E158" s="59">
        <f t="array" ref="E158">IF(COUNTA(C158:C1350)=0,"",SUM((COUNTIF(C$4:C158,Upgrades!$B$3:$B$13)-COUNTIF(C$4:C158,"Sell_"&amp;Upgrades!$B$3:$B$13))*Upgrades!$D$3:$D$13))</f>
        <v>569223.5</v>
      </c>
      <c r="F158" s="66">
        <f>IFERROR(__xludf.DUMMYFUNCTION("IF(COUNTA(C158:C1350)=0,"""",IF(REGEXMATCH(INDEX(FILTER(C$4:C158,C$4:C158&lt;&gt;""""),ROWS(FILTER(C$4:C158,C$4:C158&lt;&gt;""""))),""^Sell_""),INDEX(FILTER(F$4:F157,C$4:C157&lt;&gt;""""),ROWS(FILTER(C$4:C157,C$4:C157&lt;&gt;""""))),$AC$5+E158))"),569423.5)</f>
        <v>569423.5</v>
      </c>
      <c r="G158" s="10">
        <f>IFERROR(__xludf.DUMMYFUNCTION("IF(COUNTA(C158:C1350)=0,"""",IF(C158="""",0,IF(REGEXMATCH(C158,""^Sell_""),-ROUNDDOWN(ROUNDUP(INDEX(Upgrades!$C$3:$C$13,MATCH(SUBSTITUTE(C158,""Sell_"",""""),Upgrades!$B$3:$B$13,0))*1.15^(COUNTIF(C$4:C157,SUBSTITUTE(C158,""Sell_"",""""))-COUNTIF(C$4:C157,"&amp;"""Sell_""&amp;SUBSTITUTE(C158,""Sell_"",""""))))/2),ROUNDUP(INDEX(Upgrades!$C$3:$C$13,MATCH(C158,Upgrades!$B$3:$B$13,0))*1.15^(COUNTIF(C$4:C157,C158)-COUNTIF(C$4:C157,""Sell_""&amp;C158))))))"),2002625.0)</f>
        <v>2002625</v>
      </c>
      <c r="H158" s="10">
        <f t="shared" si="3"/>
        <v>2002625</v>
      </c>
      <c r="I158" s="68">
        <f t="shared" si="4"/>
        <v>6933.392098</v>
      </c>
      <c r="J158" s="59" t="str">
        <f t="shared" si="5"/>
        <v>1h 55m 33s</v>
      </c>
      <c r="K158" s="69">
        <f t="shared" si="6"/>
        <v>988402877</v>
      </c>
      <c r="L158" s="60">
        <f t="shared" si="7"/>
        <v>-187.40638</v>
      </c>
      <c r="M158" s="61">
        <f>IFERROR(__xludf.DUMMYFUNCTION("IFS(AND(COUNTA(C158:C1350)=0,COUNTA(Q158:Q1350)=0),"""",OR(AND(K158&gt;=1000000000,OR(Y158&gt;=1000000000,COUNTA(Q158:Q1350)=0)),OR(Y158&gt;=1000000000,AND(COUNTA(C158:C1350)=0,P$3=TRUE))),
ROUNDDOWN((AB$1-AC$1)*MAX(INDEX(T$4:T1350,MATCH(LARGE(FILTER(Y$4:Y1350,Y$4"&amp;":Y1350&lt;1000000000),1),Y$4:Y1350)),INDEX(F$4:F1350,MATCH(LARGE(FILTER(K$4:K1350,K$4:K1350&lt;1000000000),1),K$4:K1350)))),AND(K158&lt;1000000000,COUNTA(C158:C1350)&gt;0,P$3=FALSE),
ROUNDDOWN(INDEX(Y$4:Y1350,MATCH(LARGE(FILTER(W$4:W1350,W$4:W1350&lt;=I158),1),W$4:W1350"&amp;"))+(I158-LARGE(FILTER(W$4:W1350,W$4:W1350&lt;=I158),1))*INDEX(T$4:T1350,MATCH(LARGE(FILTER(W$4:W1350,W$4:W1350&lt;=I158),1),W$4:W1350))-K158),1,
ROUNDDOWN(Y158-INDEX(K$4:K1350,MATCH(LARGE(FILTER(I$4:I1350,I$4:I1350&lt;=W158),1),I$4:I1350))-(W158-LARGE(FILTER(I$4:I"&amp;"1350,I$4:I1350&lt;=W158),1))*INDEX(F$4:F1350,MATCH(LARGE(FILTER(I$4:I1350,I$4:I1350&lt;=W158),1),I$4:I1350))))"),1.05031991E8)</f>
        <v>105031991</v>
      </c>
      <c r="N158" s="60">
        <f t="shared" si="8"/>
        <v>-187.40638</v>
      </c>
      <c r="O158" s="61" t="str">
        <f t="shared" si="9"/>
        <v>105,0M</v>
      </c>
      <c r="P158" s="56">
        <f t="shared" si="10"/>
        <v>11</v>
      </c>
      <c r="Q158" s="67" t="s">
        <v>7</v>
      </c>
      <c r="R158" s="10" t="b">
        <f>IFERROR(__xludf.DUMMYFUNCTION("IF(COUNTA(Q158:Q1350)=0,"""",IF(ISBLANK(Q158),FALSE,IF(NOT(COUNTIF($AA$24:$AA$34,SUBSTITUTE(Q158,""Sell_"",""""))),1,IF(REGEXMATCH(Q158,""Sell_""),IF(COUNTIF(Q$4:Q158,SUBSTITUTE(Q158,""Sell_"",""""))-COUNTIF(Q$4:Q157,Q158)&lt;1,1),FALSE))))"),FALSE)</f>
        <v>0</v>
      </c>
      <c r="S158" s="59">
        <f t="array" ref="S158">IF(COUNTA(Q158:Q1350)=0,"",SUM((COUNTIF(Q$4:Q158,Upgrades!$B$3:$B$13)-COUNTIF(Q$4:Q158,"Sell_"&amp;Upgrades!$B$3:$B$13))*Upgrades!$D$3:$D$13))</f>
        <v>70357.4</v>
      </c>
      <c r="T158" s="66">
        <f>IFERROR(__xludf.DUMMYFUNCTION("IF(COUNTA(Q158:Q1350)=0,"""",IF(REGEXMATCH(INDEX(FILTER(Q$4:Q158,Q$4:Q158&lt;&gt;""""),ROWS(FILTER(Q$4:Q158,Q$4:Q158&lt;&gt;""""))),""^Sell_""),INDEX(FILTER(T$4:T157,Q$4:Q157&lt;&gt;""""),ROWS(FILTER(Q$4:Q157,Q$4:Q157&lt;&gt;""""))),$AD$5+S158))"),70557.4)</f>
        <v>70557.4</v>
      </c>
      <c r="U158" s="10">
        <f>IFERROR(__xludf.DUMMYFUNCTION("IF(COUNTA(Q158:Q1350)=0,"""",IF(Q158="""",0,IF(REGEXMATCH(Q158,""^Sell_""),-ROUNDDOWN(ROUNDUP(INDEX(Upgrades!$C$3:$C$13,MATCH(SUBSTITUTE(Q158,""Sell_"",""""),Upgrades!$B$3:$B$13,0))*1.15^(COUNTIF(Q$4:Q157,SUBSTITUTE(Q158,""Sell_"",""""))-COUNTIF(Q$4:Q157,"&amp;"""Sell_""&amp;SUBSTITUTE(Q158,""Sell_"",""""))))/2),ROUNDUP(INDEX(Upgrades!$C$3:$C$13,MATCH(Q158,Upgrades!$B$3:$B$13,0))*1.15^(COUNTIF(Q$4:Q157,Q158)-COUNTIF(Q$4:Q157,""Sell_""&amp;Q158))))))"),40456.0)</f>
        <v>40456</v>
      </c>
      <c r="V158" s="10">
        <f t="shared" si="11"/>
        <v>40456</v>
      </c>
      <c r="W158" s="68">
        <f t="shared" si="12"/>
        <v>2840.564804</v>
      </c>
      <c r="X158" s="59" t="str">
        <f t="shared" si="13"/>
        <v>47m 20s</v>
      </c>
      <c r="Y158" s="69">
        <f t="shared" si="14"/>
        <v>37104712</v>
      </c>
      <c r="Z158" s="11"/>
    </row>
    <row r="159">
      <c r="A159" s="8"/>
      <c r="B159" s="56">
        <f t="shared" si="2"/>
        <v>30</v>
      </c>
      <c r="C159" s="57" t="s">
        <v>8</v>
      </c>
      <c r="D159" s="10" t="b">
        <f>IFERROR(__xludf.DUMMYFUNCTION("IF(COUNTA(C159:C1350)=0,"""",IF(ISBLANK(C159),FALSE,IF(NOT(COUNTIF($AA$24:$AA$34,SUBSTITUTE(C159,""Sell_"",""""))),1,IF(REGEXMATCH(C159,""Sell_""),IF(COUNTIF(C$4:C159,SUBSTITUTE(C159,""Sell_"",""""))-COUNTIF(C$4:C158,C159)&lt;1,1),FALSE))))"),FALSE)</f>
        <v>0</v>
      </c>
      <c r="E159" s="59">
        <f t="array" ref="E159">IF(COUNTA(C159:C1350)=0,"",SUM((COUNTIF(C$4:C159,Upgrades!$B$3:$B$13)-COUNTIF(C$4:C159,"Sell_"&amp;Upgrades!$B$3:$B$13))*Upgrades!$D$3:$D$13))</f>
        <v>569323.5</v>
      </c>
      <c r="F159" s="66">
        <f>IFERROR(__xludf.DUMMYFUNCTION("IF(COUNTA(C159:C1350)=0,"""",IF(REGEXMATCH(INDEX(FILTER(C$4:C159,C$4:C159&lt;&gt;""""),ROWS(FILTER(C$4:C159,C$4:C159&lt;&gt;""""))),""^Sell_""),INDEX(FILTER(F$4:F158,C$4:C158&lt;&gt;""""),ROWS(FILTER(C$4:C158,C$4:C158&lt;&gt;""""))),$AC$5+E159))"),569523.5)</f>
        <v>569523.5</v>
      </c>
      <c r="G159" s="10">
        <f>IFERROR(__xludf.DUMMYFUNCTION("IF(COUNTA(C159:C1350)=0,"""",IF(C159="""",0,IF(REGEXMATCH(C159,""^Sell_""),-ROUNDDOWN(ROUNDUP(INDEX(Upgrades!$C$3:$C$13,MATCH(SUBSTITUTE(C159,""Sell_"",""""),Upgrades!$B$3:$B$13,0))*1.15^(COUNTIF(C$4:C158,SUBSTITUTE(C159,""Sell_"",""""))-COUNTIF(C$4:C158,"&amp;"""Sell_""&amp;SUBSTITUTE(C159,""Sell_"",""""))))/2),ROUNDUP(INDEX(Upgrades!$C$3:$C$13,MATCH(C159,Upgrades!$B$3:$B$13,0))*1.15^(COUNTIF(C$4:C158,C159)-COUNTIF(C$4:C158,""Sell_""&amp;C159))))))"),2303019.0)</f>
        <v>2303019</v>
      </c>
      <c r="H159" s="10">
        <f t="shared" si="3"/>
        <v>2303019</v>
      </c>
      <c r="I159" s="68">
        <f t="shared" si="4"/>
        <v>6937.436573</v>
      </c>
      <c r="J159" s="59" t="str">
        <f t="shared" si="5"/>
        <v>1h 55m 37s</v>
      </c>
      <c r="K159" s="69">
        <f t="shared" si="6"/>
        <v>990705896</v>
      </c>
      <c r="L159" s="60">
        <f t="shared" si="7"/>
        <v>-187.32818</v>
      </c>
      <c r="M159" s="61">
        <f>IFERROR(__xludf.DUMMYFUNCTION("IFS(AND(COUNTA(C159:C1350)=0,COUNTA(Q159:Q1350)=0),"""",OR(AND(K159&gt;=1000000000,OR(Y159&gt;=1000000000,COUNTA(Q159:Q1350)=0)),OR(Y159&gt;=1000000000,AND(COUNTA(C159:C1350)=0,P$3=TRUE))),
ROUNDDOWN((AB$1-AC$1)*MAX(INDEX(T$4:T1350,MATCH(LARGE(FILTER(Y$4:Y1350,Y$4"&amp;":Y1350&lt;1000000000),1),Y$4:Y1350)),INDEX(F$4:F1350,MATCH(LARGE(FILTER(K$4:K1350,K$4:K1350&lt;1000000000),1),K$4:K1350)))),AND(K159&lt;1000000000,COUNTA(C159:C1350)&gt;0,P$3=FALSE),
ROUNDDOWN(INDEX(Y$4:Y1350,MATCH(LARGE(FILTER(W$4:W1350,W$4:W1350&lt;=I159),1),W$4:W1350"&amp;"))+(I159-LARGE(FILTER(W$4:W1350,W$4:W1350&lt;=I159),1))*INDEX(T$4:T1350,MATCH(LARGE(FILTER(W$4:W1350,W$4:W1350&lt;=I159),1),W$4:W1350))-K159),1,
ROUNDDOWN(Y159-INDEX(K$4:K1350,MATCH(LARGE(FILTER(I$4:I1350,I$4:I1350&lt;=W159),1),I$4:I1350))-(W159-LARGE(FILTER(I$4:I"&amp;"1350,I$4:I1350&lt;=W159),1))*INDEX(F$4:F1350,MATCH(LARGE(FILTER(I$4:I1350,I$4:I1350&lt;=W159),1),I$4:I1350))))"),1.0499615E8)</f>
        <v>104996150</v>
      </c>
      <c r="N159" s="60">
        <f t="shared" si="8"/>
        <v>-187.32818</v>
      </c>
      <c r="O159" s="61" t="str">
        <f t="shared" si="9"/>
        <v>105,0M</v>
      </c>
      <c r="P159" s="56">
        <f t="shared" si="10"/>
        <v>16</v>
      </c>
      <c r="Q159" s="67" t="s">
        <v>5</v>
      </c>
      <c r="R159" s="10" t="b">
        <f>IFERROR(__xludf.DUMMYFUNCTION("IF(COUNTA(Q159:Q1350)=0,"""",IF(ISBLANK(Q159),FALSE,IF(NOT(COUNTIF($AA$24:$AA$34,SUBSTITUTE(Q159,""Sell_"",""""))),1,IF(REGEXMATCH(Q159,""Sell_""),IF(COUNTIF(Q$4:Q159,SUBSTITUTE(Q159,""Sell_"",""""))-COUNTIF(Q$4:Q158,Q159)&lt;1,1),FALSE))))"),FALSE)</f>
        <v>0</v>
      </c>
      <c r="S159" s="59">
        <f t="array" ref="S159">IF(COUNTA(Q159:Q1350)=0,"",SUM((COUNTIF(Q$4:Q159,Upgrades!$B$3:$B$13)-COUNTIF(Q$4:Q159,"Sell_"&amp;Upgrades!$B$3:$B$13))*Upgrades!$D$3:$D$13))</f>
        <v>70361.4</v>
      </c>
      <c r="T159" s="66">
        <f>IFERROR(__xludf.DUMMYFUNCTION("IF(COUNTA(Q159:Q1350)=0,"""",IF(REGEXMATCH(INDEX(FILTER(Q$4:Q159,Q$4:Q159&lt;&gt;""""),ROWS(FILTER(Q$4:Q159,Q$4:Q159&lt;&gt;""""))),""^Sell_""),INDEX(FILTER(T$4:T158,Q$4:Q158&lt;&gt;""""),ROWS(FILTER(Q$4:Q158,Q$4:Q158&lt;&gt;""""))),$AD$5+S159))"),70561.4)</f>
        <v>70561.4</v>
      </c>
      <c r="U159" s="10">
        <f>IFERROR(__xludf.DUMMYFUNCTION("IF(COUNTA(Q159:Q1350)=0,"""",IF(Q159="""",0,IF(REGEXMATCH(Q159,""^Sell_""),-ROUNDDOWN(ROUNDUP(INDEX(Upgrades!$C$3:$C$13,MATCH(SUBSTITUTE(Q159,""Sell_"",""""),Upgrades!$B$3:$B$13,0))*1.15^(COUNTIF(Q$4:Q158,SUBSTITUTE(Q159,""Sell_"",""""))-COUNTIF(Q$4:Q158,"&amp;"""Sell_""&amp;SUBSTITUTE(Q159,""Sell_"",""""))))/2),ROUNDUP(INDEX(Upgrades!$C$3:$C$13,MATCH(Q159,Upgrades!$B$3:$B$13,0))*1.15^(COUNTIF(Q$4:Q158,Q159)-COUNTIF(Q$4:Q158,""Sell_""&amp;Q159))))))"),4069.0)</f>
        <v>4069</v>
      </c>
      <c r="V159" s="10">
        <f t="shared" si="11"/>
        <v>4069</v>
      </c>
      <c r="W159" s="68">
        <f t="shared" si="12"/>
        <v>2840.622473</v>
      </c>
      <c r="X159" s="59" t="str">
        <f t="shared" si="13"/>
        <v>47m 20s</v>
      </c>
      <c r="Y159" s="69">
        <f t="shared" si="14"/>
        <v>37108781</v>
      </c>
      <c r="Z159" s="11"/>
    </row>
    <row r="160">
      <c r="A160" s="8"/>
      <c r="B160" s="56">
        <f t="shared" si="2"/>
        <v>31</v>
      </c>
      <c r="C160" s="57" t="s">
        <v>8</v>
      </c>
      <c r="D160" s="10" t="b">
        <f>IFERROR(__xludf.DUMMYFUNCTION("IF(COUNTA(C160:C1350)=0,"""",IF(ISBLANK(C160),FALSE,IF(NOT(COUNTIF($AA$24:$AA$34,SUBSTITUTE(C160,""Sell_"",""""))),1,IF(REGEXMATCH(C160,""Sell_""),IF(COUNTIF(C$4:C160,SUBSTITUTE(C160,""Sell_"",""""))-COUNTIF(C$4:C159,C160)&lt;1,1),FALSE))))"),FALSE)</f>
        <v>0</v>
      </c>
      <c r="E160" s="59">
        <f t="array" ref="E160">IF(COUNTA(C160:C1350)=0,"",SUM((COUNTIF(C$4:C160,Upgrades!$B$3:$B$13)-COUNTIF(C$4:C160,"Sell_"&amp;Upgrades!$B$3:$B$13))*Upgrades!$D$3:$D$13))</f>
        <v>569423.5</v>
      </c>
      <c r="F160" s="66">
        <f>IFERROR(__xludf.DUMMYFUNCTION("IF(COUNTA(C160:C1350)=0,"""",IF(REGEXMATCH(INDEX(FILTER(C$4:C160,C$4:C160&lt;&gt;""""),ROWS(FILTER(C$4:C160,C$4:C160&lt;&gt;""""))),""^Sell_""),INDEX(FILTER(F$4:F159,C$4:C159&lt;&gt;""""),ROWS(FILTER(C$4:C159,C$4:C159&lt;&gt;""""))),$AC$5+E160))"),569623.5)</f>
        <v>569623.5</v>
      </c>
      <c r="G160" s="10">
        <f>IFERROR(__xludf.DUMMYFUNCTION("IF(COUNTA(C160:C1350)=0,"""",IF(C160="""",0,IF(REGEXMATCH(C160,""^Sell_""),-ROUNDDOWN(ROUNDUP(INDEX(Upgrades!$C$3:$C$13,MATCH(SUBSTITUTE(C160,""Sell_"",""""),Upgrades!$B$3:$B$13,0))*1.15^(COUNTIF(C$4:C159,SUBSTITUTE(C160,""Sell_"",""""))-COUNTIF(C$4:C159,"&amp;"""Sell_""&amp;SUBSTITUTE(C160,""Sell_"",""""))))/2),ROUNDUP(INDEX(Upgrades!$C$3:$C$13,MATCH(C160,Upgrades!$B$3:$B$13,0))*1.15^(COUNTIF(C$4:C159,C160)-COUNTIF(C$4:C159,""Sell_""&amp;C160))))))"),2648471.0)</f>
        <v>2648471</v>
      </c>
      <c r="H160" s="10">
        <f t="shared" si="3"/>
        <v>2648471</v>
      </c>
      <c r="I160" s="68">
        <f t="shared" si="4"/>
        <v>6942.086901</v>
      </c>
      <c r="J160" s="59" t="str">
        <f t="shared" si="5"/>
        <v>1h 55m 42s</v>
      </c>
      <c r="K160" s="69">
        <f t="shared" si="6"/>
        <v>993354367</v>
      </c>
      <c r="L160" s="60">
        <f t="shared" si="7"/>
        <v>-187.24365</v>
      </c>
      <c r="M160" s="61">
        <f>IFERROR(__xludf.DUMMYFUNCTION("IFS(AND(COUNTA(C160:C1350)=0,COUNTA(Q160:Q1350)=0),"""",OR(AND(K160&gt;=1000000000,OR(Y160&gt;=1000000000,COUNTA(Q160:Q1350)=0)),OR(Y160&gt;=1000000000,AND(COUNTA(C160:C1350)=0,P$3=TRUE))),
ROUNDDOWN((AB$1-AC$1)*MAX(INDEX(T$4:T1350,MATCH(LARGE(FILTER(Y$4:Y1350,Y$4"&amp;":Y1350&lt;1000000000),1),Y$4:Y1350)),INDEX(F$4:F1350,MATCH(LARGE(FILTER(K$4:K1350,K$4:K1350&lt;1000000000),1),K$4:K1350)))),AND(K160&lt;1000000000,COUNTA(C160:C1350)&gt;0,P$3=FALSE),
ROUNDDOWN(INDEX(Y$4:Y1350,MATCH(LARGE(FILTER(W$4:W1350,W$4:W1350&lt;=I160),1),W$4:W1350"&amp;"))+(I160-LARGE(FILTER(W$4:W1350,W$4:W1350&lt;=I160),1))*INDEX(T$4:T1350,MATCH(LARGE(FILTER(W$4:W1350,W$4:W1350&lt;=I160),1),W$4:W1350))-K160),1,
ROUNDDOWN(Y160-INDEX(K$4:K1350,MATCH(LARGE(FILTER(I$4:I1350,I$4:I1350&lt;=W160),1),I$4:I1350))-(W160-LARGE(FILTER(I$4:I"&amp;"1350,I$4:I1350&lt;=W160),1))*INDEX(F$4:F1350,MATCH(LARGE(FILTER(I$4:I1350,I$4:I1350&lt;=W160),1),I$4:I1350))))"),1.04954475E8)</f>
        <v>104954475</v>
      </c>
      <c r="N160" s="60">
        <f t="shared" si="8"/>
        <v>-187.24365</v>
      </c>
      <c r="O160" s="61" t="str">
        <f t="shared" si="9"/>
        <v>105,0M</v>
      </c>
      <c r="P160" s="56">
        <f t="shared" si="10"/>
        <v>10</v>
      </c>
      <c r="Q160" s="67" t="s">
        <v>6</v>
      </c>
      <c r="R160" s="10" t="b">
        <f>IFERROR(__xludf.DUMMYFUNCTION("IF(COUNTA(Q160:Q1350)=0,"""",IF(ISBLANK(Q160),FALSE,IF(NOT(COUNTIF($AA$24:$AA$34,SUBSTITUTE(Q160,""Sell_"",""""))),1,IF(REGEXMATCH(Q160,""Sell_""),IF(COUNTIF(Q$4:Q160,SUBSTITUTE(Q160,""Sell_"",""""))-COUNTIF(Q$4:Q159,Q160)&lt;1,1),FALSE))))"),FALSE)</f>
        <v>0</v>
      </c>
      <c r="S160" s="59">
        <f t="array" ref="S160">IF(COUNTA(Q160:Q1350)=0,"",SUM((COUNTIF(Q$4:Q160,Upgrades!$B$3:$B$13)-COUNTIF(Q$4:Q160,"Sell_"&amp;Upgrades!$B$3:$B$13))*Upgrades!$D$3:$D$13))</f>
        <v>70371.4</v>
      </c>
      <c r="T160" s="66">
        <f>IFERROR(__xludf.DUMMYFUNCTION("IF(COUNTA(Q160:Q1350)=0,"""",IF(REGEXMATCH(INDEX(FILTER(Q$4:Q160,Q$4:Q160&lt;&gt;""""),ROWS(FILTER(Q$4:Q160,Q$4:Q160&lt;&gt;""""))),""^Sell_""),INDEX(FILTER(T$4:T159,Q$4:Q159&lt;&gt;""""),ROWS(FILTER(Q$4:Q159,Q$4:Q159&lt;&gt;""""))),$AD$5+S160))"),70571.4)</f>
        <v>70571.4</v>
      </c>
      <c r="U160" s="10">
        <f>IFERROR(__xludf.DUMMYFUNCTION("IF(COUNTA(Q160:Q1350)=0,"""",IF(Q160="""",0,IF(REGEXMATCH(Q160,""^Sell_""),-ROUNDDOWN(ROUNDUP(INDEX(Upgrades!$C$3:$C$13,MATCH(SUBSTITUTE(Q160,""Sell_"",""""),Upgrades!$B$3:$B$13,0))*1.15^(COUNTIF(Q$4:Q159,SUBSTITUTE(Q160,""Sell_"",""""))-COUNTIF(Q$4:Q159,"&amp;"""Sell_""&amp;SUBSTITUTE(Q160,""Sell_"",""""))))/2),ROUNDUP(INDEX(Upgrades!$C$3:$C$13,MATCH(Q160,Upgrades!$B$3:$B$13,0))*1.15^(COUNTIF(Q$4:Q159,Q160)-COUNTIF(Q$4:Q159,""Sell_""&amp;Q160))))))"),10554.0)</f>
        <v>10554</v>
      </c>
      <c r="V160" s="10">
        <f t="shared" si="11"/>
        <v>10554</v>
      </c>
      <c r="W160" s="68">
        <f t="shared" si="12"/>
        <v>2840.772045</v>
      </c>
      <c r="X160" s="59" t="str">
        <f t="shared" si="13"/>
        <v>47m 20s</v>
      </c>
      <c r="Y160" s="69">
        <f t="shared" si="14"/>
        <v>37119335</v>
      </c>
      <c r="Z160" s="11"/>
    </row>
    <row r="161">
      <c r="A161" s="8"/>
      <c r="B161" s="56">
        <f t="shared" si="2"/>
        <v>32</v>
      </c>
      <c r="C161" s="57" t="s">
        <v>8</v>
      </c>
      <c r="D161" s="10" t="b">
        <f>IFERROR(__xludf.DUMMYFUNCTION("IF(COUNTA(C161:C1350)=0,"""",IF(ISBLANK(C161),FALSE,IF(NOT(COUNTIF($AA$24:$AA$34,SUBSTITUTE(C161,""Sell_"",""""))),1,IF(REGEXMATCH(C161,""Sell_""),IF(COUNTIF(C$4:C161,SUBSTITUTE(C161,""Sell_"",""""))-COUNTIF(C$4:C160,C161)&lt;1,1),FALSE))))"),FALSE)</f>
        <v>0</v>
      </c>
      <c r="E161" s="59">
        <f t="array" ref="E161">IF(COUNTA(C161:C1350)=0,"",SUM((COUNTIF(C$4:C161,Upgrades!$B$3:$B$13)-COUNTIF(C$4:C161,"Sell_"&amp;Upgrades!$B$3:$B$13))*Upgrades!$D$3:$D$13))</f>
        <v>569523.5</v>
      </c>
      <c r="F161" s="66">
        <f>IFERROR(__xludf.DUMMYFUNCTION("IF(COUNTA(C161:C1350)=0,"""",IF(REGEXMATCH(INDEX(FILTER(C$4:C161,C$4:C161&lt;&gt;""""),ROWS(FILTER(C$4:C161,C$4:C161&lt;&gt;""""))),""^Sell_""),INDEX(FILTER(F$4:F160,C$4:C160&lt;&gt;""""),ROWS(FILTER(C$4:C160,C$4:C160&lt;&gt;""""))),$AC$5+E161))"),569723.5)</f>
        <v>569723.5</v>
      </c>
      <c r="G161" s="10">
        <f>IFERROR(__xludf.DUMMYFUNCTION("IF(COUNTA(C161:C1350)=0,"""",IF(C161="""",0,IF(REGEXMATCH(C161,""^Sell_""),-ROUNDDOWN(ROUNDUP(INDEX(Upgrades!$C$3:$C$13,MATCH(SUBSTITUTE(C161,""Sell_"",""""),Upgrades!$B$3:$B$13,0))*1.15^(COUNTIF(C$4:C160,SUBSTITUTE(C161,""Sell_"",""""))-COUNTIF(C$4:C160,"&amp;"""Sell_""&amp;SUBSTITUTE(C161,""Sell_"",""""))))/2),ROUNDUP(INDEX(Upgrades!$C$3:$C$13,MATCH(C161,Upgrades!$B$3:$B$13,0))*1.15^(COUNTIF(C$4:C160,C161)-COUNTIF(C$4:C160,""Sell_""&amp;C161))))))"),3045742.0)</f>
        <v>3045742</v>
      </c>
      <c r="H161" s="10">
        <f t="shared" si="3"/>
        <v>3045742</v>
      </c>
      <c r="I161" s="68">
        <f t="shared" si="4"/>
        <v>6947.43384</v>
      </c>
      <c r="J161" s="59" t="str">
        <f t="shared" si="5"/>
        <v>1h 55m 47s</v>
      </c>
      <c r="K161" s="69">
        <f t="shared" si="6"/>
        <v>996400109</v>
      </c>
      <c r="L161" s="60">
        <f t="shared" si="7"/>
        <v>-187.14912</v>
      </c>
      <c r="M161" s="61">
        <f>IFERROR(__xludf.DUMMYFUNCTION("IFS(AND(COUNTA(C161:C1350)=0,COUNTA(Q161:Q1350)=0),"""",OR(AND(K161&gt;=1000000000,OR(Y161&gt;=1000000000,COUNTA(Q161:Q1350)=0)),OR(Y161&gt;=1000000000,AND(COUNTA(C161:C1350)=0,P$3=TRUE))),
ROUNDDOWN((AB$1-AC$1)*MAX(INDEX(T$4:T1350,MATCH(LARGE(FILTER(Y$4:Y1350,Y$4"&amp;":Y1350&lt;1000000000),1),Y$4:Y1350)),INDEX(F$4:F1350,MATCH(LARGE(FILTER(K$4:K1350,K$4:K1350&lt;1000000000),1),K$4:K1350)))),AND(K161&lt;1000000000,COUNTA(C161:C1350)&gt;0,P$3=FALSE),
ROUNDDOWN(INDEX(Y$4:Y1350,MATCH(LARGE(FILTER(W$4:W1350,W$4:W1350&lt;=I161),1),W$4:W1350"&amp;"))+(I161-LARGE(FILTER(W$4:W1350,W$4:W1350&lt;=I161),1))*INDEX(T$4:T1350,MATCH(LARGE(FILTER(W$4:W1350,W$4:W1350&lt;=I161),1),W$4:W1350))-K161),1,
ROUNDDOWN(Y161-INDEX(K$4:K1350,MATCH(LARGE(FILTER(I$4:I1350,I$4:I1350&lt;=W161),1),I$4:I1350))-(W161-LARGE(FILTER(I$4:I"&amp;"1350,I$4:I1350&lt;=W161),1))*INDEX(F$4:F1350,MATCH(LARGE(FILTER(I$4:I1350,I$4:I1350&lt;=W161),1),I$4:I1350))))"),1.04906022E8)</f>
        <v>104906022</v>
      </c>
      <c r="N161" s="60">
        <f t="shared" si="8"/>
        <v>-187.14912</v>
      </c>
      <c r="O161" s="61" t="str">
        <f t="shared" si="9"/>
        <v>104,9M</v>
      </c>
      <c r="P161" s="56">
        <f t="shared" si="10"/>
        <v>8</v>
      </c>
      <c r="Q161" s="67" t="s">
        <v>8</v>
      </c>
      <c r="R161" s="10" t="b">
        <f>IFERROR(__xludf.DUMMYFUNCTION("IF(COUNTA(Q161:Q1350)=0,"""",IF(ISBLANK(Q161),FALSE,IF(NOT(COUNTIF($AA$24:$AA$34,SUBSTITUTE(Q161,""Sell_"",""""))),1,IF(REGEXMATCH(Q161,""Sell_""),IF(COUNTIF(Q$4:Q161,SUBSTITUTE(Q161,""Sell_"",""""))-COUNTIF(Q$4:Q160,Q161)&lt;1,1),FALSE))))"),FALSE)</f>
        <v>0</v>
      </c>
      <c r="S161" s="59">
        <f t="array" ref="S161">IF(COUNTA(Q161:Q1350)=0,"",SUM((COUNTIF(Q$4:Q161,Upgrades!$B$3:$B$13)-COUNTIF(Q$4:Q161,"Sell_"&amp;Upgrades!$B$3:$B$13))*Upgrades!$D$3:$D$13))</f>
        <v>70471.4</v>
      </c>
      <c r="T161" s="66">
        <f>IFERROR(__xludf.DUMMYFUNCTION("IF(COUNTA(Q161:Q1350)=0,"""",IF(REGEXMATCH(INDEX(FILTER(Q$4:Q161,Q$4:Q161&lt;&gt;""""),ROWS(FILTER(Q$4:Q161,Q$4:Q161&lt;&gt;""""))),""^Sell_""),INDEX(FILTER(T$4:T160,Q$4:Q160&lt;&gt;""""),ROWS(FILTER(Q$4:Q160,Q$4:Q160&lt;&gt;""""))),$AD$5+S161))"),70671.4)</f>
        <v>70671.4</v>
      </c>
      <c r="U161" s="10">
        <f>IFERROR(__xludf.DUMMYFUNCTION("IF(COUNTA(Q161:Q1350)=0,"""",IF(Q161="""",0,IF(REGEXMATCH(Q161,""^Sell_""),-ROUNDDOWN(ROUNDUP(INDEX(Upgrades!$C$3:$C$13,MATCH(SUBSTITUTE(Q161,""Sell_"",""""),Upgrades!$B$3:$B$13,0))*1.15^(COUNTIF(Q$4:Q160,SUBSTITUTE(Q161,""Sell_"",""""))-COUNTIF(Q$4:Q160,"&amp;"""Sell_""&amp;SUBSTITUTE(Q161,""Sell_"",""""))))/2),ROUNDUP(INDEX(Upgrades!$C$3:$C$13,MATCH(Q161,Upgrades!$B$3:$B$13,0))*1.15^(COUNTIF(Q$4:Q160,Q161)-COUNTIF(Q$4:Q160,""Sell_""&amp;Q161))))))"),106401.0)</f>
        <v>106401</v>
      </c>
      <c r="V161" s="10">
        <f t="shared" si="11"/>
        <v>106401</v>
      </c>
      <c r="W161" s="68">
        <f t="shared" si="12"/>
        <v>2842.279752</v>
      </c>
      <c r="X161" s="59" t="str">
        <f t="shared" si="13"/>
        <v>47m 22s</v>
      </c>
      <c r="Y161" s="69">
        <f t="shared" si="14"/>
        <v>37225736</v>
      </c>
      <c r="Z161" s="11"/>
    </row>
    <row r="162">
      <c r="A162" s="8"/>
      <c r="B162" s="56">
        <f t="shared" si="2"/>
        <v>33</v>
      </c>
      <c r="C162" s="57" t="s">
        <v>8</v>
      </c>
      <c r="D162" s="10" t="b">
        <f>IFERROR(__xludf.DUMMYFUNCTION("IF(COUNTA(C162:C1350)=0,"""",IF(ISBLANK(C162),FALSE,IF(NOT(COUNTIF($AA$24:$AA$34,SUBSTITUTE(C162,""Sell_"",""""))),1,IF(REGEXMATCH(C162,""Sell_""),IF(COUNTIF(C$4:C162,SUBSTITUTE(C162,""Sell_"",""""))-COUNTIF(C$4:C161,C162)&lt;1,1),FALSE))))"),FALSE)</f>
        <v>0</v>
      </c>
      <c r="E162" s="59">
        <f t="array" ref="E162">IF(COUNTA(C162:C1350)=0,"",SUM((COUNTIF(C$4:C162,Upgrades!$B$3:$B$13)-COUNTIF(C$4:C162,"Sell_"&amp;Upgrades!$B$3:$B$13))*Upgrades!$D$3:$D$13))</f>
        <v>569623.5</v>
      </c>
      <c r="F162" s="66">
        <f>IFERROR(__xludf.DUMMYFUNCTION("IF(COUNTA(C162:C1350)=0,"""",IF(REGEXMATCH(INDEX(FILTER(C$4:C162,C$4:C162&lt;&gt;""""),ROWS(FILTER(C$4:C162,C$4:C162&lt;&gt;""""))),""^Sell_""),INDEX(FILTER(F$4:F161,C$4:C161&lt;&gt;""""),ROWS(FILTER(C$4:C161,C$4:C161&lt;&gt;""""))),$AC$5+E162))"),569823.5)</f>
        <v>569823.5</v>
      </c>
      <c r="G162" s="10">
        <f>IFERROR(__xludf.DUMMYFUNCTION("IF(COUNTA(C162:C1350)=0,"""",IF(C162="""",0,IF(REGEXMATCH(C162,""^Sell_""),-ROUNDDOWN(ROUNDUP(INDEX(Upgrades!$C$3:$C$13,MATCH(SUBSTITUTE(C162,""Sell_"",""""),Upgrades!$B$3:$B$13,0))*1.15^(COUNTIF(C$4:C161,SUBSTITUTE(C162,""Sell_"",""""))-COUNTIF(C$4:C161,"&amp;"""Sell_""&amp;SUBSTITUTE(C162,""Sell_"",""""))))/2),ROUNDUP(INDEX(Upgrades!$C$3:$C$13,MATCH(C162,Upgrades!$B$3:$B$13,0))*1.15^(COUNTIF(C$4:C161,C162)-COUNTIF(C$4:C161,""Sell_""&amp;C162))))))"),3502603.0)</f>
        <v>3502603</v>
      </c>
      <c r="H162" s="10">
        <f t="shared" si="3"/>
        <v>3502603</v>
      </c>
      <c r="I162" s="68">
        <f t="shared" si="4"/>
        <v>6953.58174</v>
      </c>
      <c r="J162" s="59" t="str">
        <f t="shared" si="5"/>
        <v>1h 55m 53s</v>
      </c>
      <c r="K162" s="69">
        <f t="shared" si="6"/>
        <v>999902712</v>
      </c>
      <c r="L162" s="60">
        <f t="shared" si="7"/>
        <v>-187.04401</v>
      </c>
      <c r="M162" s="61">
        <f>IFERROR(__xludf.DUMMYFUNCTION("IFS(AND(COUNTA(C162:C1350)=0,COUNTA(Q162:Q1350)=0),"""",OR(AND(K162&gt;=1000000000,OR(Y162&gt;=1000000000,COUNTA(Q162:Q1350)=0)),OR(Y162&gt;=1000000000,AND(COUNTA(C162:C1350)=0,P$3=TRUE))),
ROUNDDOWN((AB$1-AC$1)*MAX(INDEX(T$4:T1350,MATCH(LARGE(FILTER(Y$4:Y1350,Y$4"&amp;":Y1350&lt;1000000000),1),Y$4:Y1350)),INDEX(F$4:F1350,MATCH(LARGE(FILTER(K$4:K1350,K$4:K1350&lt;1000000000),1),K$4:K1350)))),AND(K162&lt;1000000000,COUNTA(C162:C1350)&gt;0,P$3=FALSE),
ROUNDDOWN(INDEX(Y$4:Y1350,MATCH(LARGE(FILTER(W$4:W1350,W$4:W1350&lt;=I162),1),W$4:W1350"&amp;"))+(I162-LARGE(FILTER(W$4:W1350,W$4:W1350&lt;=I162),1))*INDEX(T$4:T1350,MATCH(LARGE(FILTER(W$4:W1350,W$4:W1350&lt;=I162),1),W$4:W1350))-K162),1,
ROUNDDOWN(Y162-INDEX(K$4:K1350,MATCH(LARGE(FILTER(I$4:I1350,I$4:I1350&lt;=W162),1),I$4:I1350))-(W162-LARGE(FILTER(I$4:I"&amp;"1350,I$4:I1350&lt;=W162),1))*INDEX(F$4:F1350,MATCH(LARGE(FILTER(I$4:I1350,I$4:I1350&lt;=W162),1),I$4:I1350))))"),1.04849696E8)</f>
        <v>104849696</v>
      </c>
      <c r="N162" s="60">
        <f t="shared" si="8"/>
        <v>-187.04401</v>
      </c>
      <c r="O162" s="61" t="str">
        <f t="shared" si="9"/>
        <v>104,8M</v>
      </c>
      <c r="P162" s="56">
        <f t="shared" si="10"/>
        <v>15</v>
      </c>
      <c r="Q162" s="67" t="s">
        <v>3</v>
      </c>
      <c r="R162" s="10" t="b">
        <f>IFERROR(__xludf.DUMMYFUNCTION("IF(COUNTA(Q162:Q1350)=0,"""",IF(ISBLANK(Q162),FALSE,IF(NOT(COUNTIF($AA$24:$AA$34,SUBSTITUTE(Q162,""Sell_"",""""))),1,IF(REGEXMATCH(Q162,""Sell_""),IF(COUNTIF(Q$4:Q162,SUBSTITUTE(Q162,""Sell_"",""""))-COUNTIF(Q$4:Q161,Q162)&lt;1,1),FALSE))))"),FALSE)</f>
        <v>0</v>
      </c>
      <c r="S162" s="59">
        <f t="array" ref="S162">IF(COUNTA(Q162:Q1350)=0,"",SUM((COUNTIF(Q$4:Q162,Upgrades!$B$3:$B$13)-COUNTIF(Q$4:Q162,"Sell_"&amp;Upgrades!$B$3:$B$13))*Upgrades!$D$3:$D$13))</f>
        <v>70471.5</v>
      </c>
      <c r="T162" s="66">
        <f>IFERROR(__xludf.DUMMYFUNCTION("IF(COUNTA(Q162:Q1350)=0,"""",IF(REGEXMATCH(INDEX(FILTER(Q$4:Q162,Q$4:Q162&lt;&gt;""""),ROWS(FILTER(Q$4:Q162,Q$4:Q162&lt;&gt;""""))),""^Sell_""),INDEX(FILTER(T$4:T161,Q$4:Q161&lt;&gt;""""),ROWS(FILTER(Q$4:Q161,Q$4:Q161&lt;&gt;""""))),$AD$5+S162))"),70671.5)</f>
        <v>70671.5</v>
      </c>
      <c r="U162" s="10">
        <f>IFERROR(__xludf.DUMMYFUNCTION("IF(COUNTA(Q162:Q1350)=0,"""",IF(Q162="""",0,IF(REGEXMATCH(Q162,""^Sell_""),-ROUNDDOWN(ROUNDUP(INDEX(Upgrades!$C$3:$C$13,MATCH(SUBSTITUTE(Q162,""Sell_"",""""),Upgrades!$B$3:$B$13,0))*1.15^(COUNTIF(Q$4:Q161,SUBSTITUTE(Q162,""Sell_"",""""))-COUNTIF(Q$4:Q161,"&amp;"""Sell_""&amp;SUBSTITUTE(Q162,""Sell_"",""""))))/2),ROUNDUP(INDEX(Upgrades!$C$3:$C$13,MATCH(Q162,Upgrades!$B$3:$B$13,0))*1.15^(COUNTIF(Q$4:Q161,Q162)-COUNTIF(Q$4:Q161,""Sell_""&amp;Q162))))))"),107.0)</f>
        <v>107</v>
      </c>
      <c r="V162" s="10">
        <f t="shared" si="11"/>
        <v>107</v>
      </c>
      <c r="W162" s="68">
        <f t="shared" si="12"/>
        <v>2842.281266</v>
      </c>
      <c r="X162" s="59" t="str">
        <f t="shared" si="13"/>
        <v>47m 22s</v>
      </c>
      <c r="Y162" s="69">
        <f t="shared" si="14"/>
        <v>37225843</v>
      </c>
      <c r="Z162" s="11"/>
    </row>
    <row r="163">
      <c r="A163" s="8"/>
      <c r="B163" s="56">
        <f t="shared" si="2"/>
        <v>16</v>
      </c>
      <c r="C163" s="57" t="s">
        <v>6</v>
      </c>
      <c r="D163" s="10" t="b">
        <f>IFERROR(__xludf.DUMMYFUNCTION("IF(COUNTA(C163:C1350)=0,"""",IF(ISBLANK(C163),FALSE,IF(NOT(COUNTIF($AA$24:$AA$34,SUBSTITUTE(C163,""Sell_"",""""))),1,IF(REGEXMATCH(C163,""Sell_""),IF(COUNTIF(C$4:C163,SUBSTITUTE(C163,""Sell_"",""""))-COUNTIF(C$4:C162,C163)&lt;1,1),FALSE))))"),FALSE)</f>
        <v>0</v>
      </c>
      <c r="E163" s="59">
        <f t="array" ref="E163">IF(COUNTA(C163:C1350)=0,"",SUM((COUNTIF(C$4:C163,Upgrades!$B$3:$B$13)-COUNTIF(C$4:C163,"Sell_"&amp;Upgrades!$B$3:$B$13))*Upgrades!$D$3:$D$13))</f>
        <v>569633.5</v>
      </c>
      <c r="F163" s="66">
        <f>IFERROR(__xludf.DUMMYFUNCTION("IF(COUNTA(C163:C1350)=0,"""",IF(REGEXMATCH(INDEX(FILTER(C$4:C163,C$4:C163&lt;&gt;""""),ROWS(FILTER(C$4:C163,C$4:C163&lt;&gt;""""))),""^Sell_""),INDEX(FILTER(F$4:F162,C$4:C162&lt;&gt;""""),ROWS(FILTER(C$4:C162,C$4:C162&lt;&gt;""""))),$AC$5+E163))"),569833.5)</f>
        <v>569833.5</v>
      </c>
      <c r="G163" s="10">
        <f>IFERROR(__xludf.DUMMYFUNCTION("IF(COUNTA(C163:C1350)=0,"""",IF(C163="""",0,IF(REGEXMATCH(C163,""^Sell_""),-ROUNDDOWN(ROUNDUP(INDEX(Upgrades!$C$3:$C$13,MATCH(SUBSTITUTE(C163,""Sell_"",""""),Upgrades!$B$3:$B$13,0))*1.15^(COUNTIF(C$4:C162,SUBSTITUTE(C163,""Sell_"",""""))-COUNTIF(C$4:C162,"&amp;"""Sell_""&amp;SUBSTITUTE(C163,""Sell_"",""""))))/2),ROUNDUP(INDEX(Upgrades!$C$3:$C$13,MATCH(C163,Upgrades!$B$3:$B$13,0))*1.15^(COUNTIF(C$4:C162,C163)-COUNTIF(C$4:C162,""Sell_""&amp;C163))))))"),24412.0)</f>
        <v>24412</v>
      </c>
      <c r="H163" s="10">
        <f t="shared" si="3"/>
        <v>24412</v>
      </c>
      <c r="I163" s="68">
        <f t="shared" si="4"/>
        <v>6953.624581</v>
      </c>
      <c r="J163" s="59" t="str">
        <f t="shared" si="5"/>
        <v>1h 55m 53s</v>
      </c>
      <c r="K163" s="69">
        <f t="shared" si="6"/>
        <v>999927124</v>
      </c>
      <c r="L163" s="60">
        <f t="shared" si="7"/>
        <v>-187.04328</v>
      </c>
      <c r="M163" s="61">
        <f>IFERROR(__xludf.DUMMYFUNCTION("IFS(AND(COUNTA(C163:C1350)=0,COUNTA(Q163:Q1350)=0),"""",OR(AND(K163&gt;=1000000000,OR(Y163&gt;=1000000000,COUNTA(Q163:Q1350)=0)),OR(Y163&gt;=1000000000,AND(COUNTA(C163:C1350)=0,P$3=TRUE))),
ROUNDDOWN((AB$1-AC$1)*MAX(INDEX(T$4:T1350,MATCH(LARGE(FILTER(Y$4:Y1350,Y$4"&amp;":Y1350&lt;1000000000),1),Y$4:Y1350)),INDEX(F$4:F1350,MATCH(LARGE(FILTER(K$4:K1350,K$4:K1350&lt;1000000000),1),K$4:K1350)))),AND(K163&lt;1000000000,COUNTA(C163:C1350)&gt;0,P$3=FALSE),
ROUNDDOWN(INDEX(Y$4:Y1350,MATCH(LARGE(FILTER(W$4:W1350,W$4:W1350&lt;=I163),1),W$4:W1350"&amp;"))+(I163-LARGE(FILTER(W$4:W1350,W$4:W1350&lt;=I163),1))*INDEX(T$4:T1350,MATCH(LARGE(FILTER(W$4:W1350,W$4:W1350&lt;=I163),1),W$4:W1350))-K163),1,
ROUNDDOWN(Y163-INDEX(K$4:K1350,MATCH(LARGE(FILTER(I$4:I1350,I$4:I1350&lt;=W163),1),I$4:I1350))-(W163-LARGE(FILTER(I$4:I"&amp;"1350,I$4:I1350&lt;=W163),1))*INDEX(F$4:F1350,MATCH(LARGE(FILTER(I$4:I1350,I$4:I1350&lt;=W163),1),I$4:I1350))))"),1.04849299E8)</f>
        <v>104849299</v>
      </c>
      <c r="N163" s="60">
        <f t="shared" si="8"/>
        <v>-187.04328</v>
      </c>
      <c r="O163" s="61" t="str">
        <f t="shared" si="9"/>
        <v>104,8M</v>
      </c>
      <c r="P163" s="56">
        <f t="shared" si="10"/>
        <v>13</v>
      </c>
      <c r="Q163" s="67" t="s">
        <v>4</v>
      </c>
      <c r="R163" s="10" t="b">
        <f>IFERROR(__xludf.DUMMYFUNCTION("IF(COUNTA(Q163:Q1350)=0,"""",IF(ISBLANK(Q163),FALSE,IF(NOT(COUNTIF($AA$24:$AA$34,SUBSTITUTE(Q163,""Sell_"",""""))),1,IF(REGEXMATCH(Q163,""Sell_""),IF(COUNTIF(Q$4:Q163,SUBSTITUTE(Q163,""Sell_"",""""))-COUNTIF(Q$4:Q162,Q163)&lt;1,1),FALSE))))"),FALSE)</f>
        <v>0</v>
      </c>
      <c r="S163" s="59">
        <f t="array" ref="S163">IF(COUNTA(Q163:Q1350)=0,"",SUM((COUNTIF(Q$4:Q163,Upgrades!$B$3:$B$13)-COUNTIF(Q$4:Q163,"Sell_"&amp;Upgrades!$B$3:$B$13))*Upgrades!$D$3:$D$13))</f>
        <v>70472</v>
      </c>
      <c r="T163" s="66">
        <f>IFERROR(__xludf.DUMMYFUNCTION("IF(COUNTA(Q163:Q1350)=0,"""",IF(REGEXMATCH(INDEX(FILTER(Q$4:Q163,Q$4:Q163&lt;&gt;""""),ROWS(FILTER(Q$4:Q163,Q$4:Q163&lt;&gt;""""))),""^Sell_""),INDEX(FILTER(T$4:T162,Q$4:Q162&lt;&gt;""""),ROWS(FILTER(Q$4:Q162,Q$4:Q162&lt;&gt;""""))),$AD$5+S163))"),70672.0)</f>
        <v>70672</v>
      </c>
      <c r="U163" s="10">
        <f>IFERROR(__xludf.DUMMYFUNCTION("IF(COUNTA(Q163:Q1350)=0,"""",IF(Q163="""",0,IF(REGEXMATCH(Q163,""^Sell_""),-ROUNDDOWN(ROUNDUP(INDEX(Upgrades!$C$3:$C$13,MATCH(SUBSTITUTE(Q163,""Sell_"",""""),Upgrades!$B$3:$B$13,0))*1.15^(COUNTIF(Q$4:Q162,SUBSTITUTE(Q163,""Sell_"",""""))-COUNTIF(Q$4:Q162,"&amp;"""Sell_""&amp;SUBSTITUTE(Q163,""Sell_"",""""))))/2),ROUNDUP(INDEX(Upgrades!$C$3:$C$13,MATCH(Q163,Upgrades!$B$3:$B$13,0))*1.15^(COUNTIF(Q$4:Q162,Q163)-COUNTIF(Q$4:Q162,""Sell_""&amp;Q163))))))"),536.0)</f>
        <v>536</v>
      </c>
      <c r="V163" s="10">
        <f t="shared" si="11"/>
        <v>536</v>
      </c>
      <c r="W163" s="68">
        <f t="shared" si="12"/>
        <v>2842.28885</v>
      </c>
      <c r="X163" s="59" t="str">
        <f t="shared" si="13"/>
        <v>47m 22s</v>
      </c>
      <c r="Y163" s="69">
        <f t="shared" si="14"/>
        <v>37226379</v>
      </c>
      <c r="Z163" s="11"/>
    </row>
    <row r="164">
      <c r="A164" s="8"/>
      <c r="B164" s="56">
        <f t="shared" si="2"/>
        <v>17</v>
      </c>
      <c r="C164" s="57" t="s">
        <v>6</v>
      </c>
      <c r="D164" s="10" t="b">
        <f>IFERROR(__xludf.DUMMYFUNCTION("IF(COUNTA(C164:C1350)=0,"""",IF(ISBLANK(C164),FALSE,IF(NOT(COUNTIF($AA$24:$AA$34,SUBSTITUTE(C164,""Sell_"",""""))),1,IF(REGEXMATCH(C164,""Sell_""),IF(COUNTIF(C$4:C164,SUBSTITUTE(C164,""Sell_"",""""))-COUNTIF(C$4:C163,C164)&lt;1,1),FALSE))))"),FALSE)</f>
        <v>0</v>
      </c>
      <c r="E164" s="59">
        <f t="array" ref="E164">IF(COUNTA(C164:C1350)=0,"",SUM((COUNTIF(C$4:C164,Upgrades!$B$3:$B$13)-COUNTIF(C$4:C164,"Sell_"&amp;Upgrades!$B$3:$B$13))*Upgrades!$D$3:$D$13))</f>
        <v>569643.5</v>
      </c>
      <c r="F164" s="66">
        <f>IFERROR(__xludf.DUMMYFUNCTION("IF(COUNTA(C164:C1350)=0,"""",IF(REGEXMATCH(INDEX(FILTER(C$4:C164,C$4:C164&lt;&gt;""""),ROWS(FILTER(C$4:C164,C$4:C164&lt;&gt;""""))),""^Sell_""),INDEX(FILTER(F$4:F163,C$4:C163&lt;&gt;""""),ROWS(FILTER(C$4:C163,C$4:C163&lt;&gt;""""))),$AC$5+E164))"),569843.5)</f>
        <v>569843.5</v>
      </c>
      <c r="G164" s="10">
        <f>IFERROR(__xludf.DUMMYFUNCTION("IF(COUNTA(C164:C1350)=0,"""",IF(C164="""",0,IF(REGEXMATCH(C164,""^Sell_""),-ROUNDDOWN(ROUNDUP(INDEX(Upgrades!$C$3:$C$13,MATCH(SUBSTITUTE(C164,""Sell_"",""""),Upgrades!$B$3:$B$13,0))*1.15^(COUNTIF(C$4:C163,SUBSTITUTE(C164,""Sell_"",""""))-COUNTIF(C$4:C163,"&amp;"""Sell_""&amp;SUBSTITUTE(C164,""Sell_"",""""))))/2),ROUNDUP(INDEX(Upgrades!$C$3:$C$13,MATCH(C164,Upgrades!$B$3:$B$13,0))*1.15^(COUNTIF(C$4:C163,C164)-COUNTIF(C$4:C163,""Sell_""&amp;C164))))))"),28073.0)</f>
        <v>28073</v>
      </c>
      <c r="H164" s="10">
        <f t="shared" si="3"/>
        <v>28073</v>
      </c>
      <c r="I164" s="68">
        <f t="shared" si="4"/>
        <v>6953.673846</v>
      </c>
      <c r="J164" s="59" t="str">
        <f t="shared" si="5"/>
        <v>1h 55m 53s</v>
      </c>
      <c r="K164" s="69">
        <f t="shared" si="6"/>
        <v>999955197</v>
      </c>
      <c r="L164" s="60">
        <f t="shared" si="7"/>
        <v>-187.04246</v>
      </c>
      <c r="M164" s="61">
        <f>IFERROR(__xludf.DUMMYFUNCTION("IFS(AND(COUNTA(C164:C1350)=0,COUNTA(Q164:Q1350)=0),"""",OR(AND(K164&gt;=1000000000,OR(Y164&gt;=1000000000,COUNTA(Q164:Q1350)=0)),OR(Y164&gt;=1000000000,AND(COUNTA(C164:C1350)=0,P$3=TRUE))),
ROUNDDOWN((AB$1-AC$1)*MAX(INDEX(T$4:T1350,MATCH(LARGE(FILTER(Y$4:Y1350,Y$4"&amp;":Y1350&lt;1000000000),1),Y$4:Y1350)),INDEX(F$4:F1350,MATCH(LARGE(FILTER(K$4:K1350,K$4:K1350&lt;1000000000),1),K$4:K1350)))),AND(K164&lt;1000000000,COUNTA(C164:C1350)&gt;0,P$3=FALSE),
ROUNDDOWN(INDEX(Y$4:Y1350,MATCH(LARGE(FILTER(W$4:W1350,W$4:W1350&lt;=I164),1),W$4:W1350"&amp;"))+(I164-LARGE(FILTER(W$4:W1350,W$4:W1350&lt;=I164),1))*INDEX(T$4:T1350,MATCH(LARGE(FILTER(W$4:W1350,W$4:W1350&lt;=I164),1),W$4:W1350))-K164),1,
ROUNDDOWN(Y164-INDEX(K$4:K1350,MATCH(LARGE(FILTER(I$4:I1350,I$4:I1350&lt;=W164),1),I$4:I1350))-(W164-LARGE(FILTER(I$4:I"&amp;"1350,I$4:I1350&lt;=W164),1))*INDEX(F$4:F1350,MATCH(LARGE(FILTER(I$4:I1350,I$4:I1350&lt;=W164),1),I$4:I1350))))"),1.04848842E8)</f>
        <v>104848842</v>
      </c>
      <c r="N164" s="60">
        <f t="shared" si="8"/>
        <v>-187.04246</v>
      </c>
      <c r="O164" s="61" t="str">
        <f t="shared" si="9"/>
        <v>104,8M</v>
      </c>
      <c r="P164" s="56">
        <f t="shared" si="10"/>
        <v>11</v>
      </c>
      <c r="Q164" s="67" t="s">
        <v>10</v>
      </c>
      <c r="R164" s="10" t="b">
        <f>IFERROR(__xludf.DUMMYFUNCTION("IF(COUNTA(Q164:Q1350)=0,"""",IF(ISBLANK(Q164),FALSE,IF(NOT(COUNTIF($AA$24:$AA$34,SUBSTITUTE(Q164,""Sell_"",""""))),1,IF(REGEXMATCH(Q164,""Sell_""),IF(COUNTIF(Q$4:Q164,SUBSTITUTE(Q164,""Sell_"",""""))-COUNTIF(Q$4:Q163,Q164)&lt;1,1),FALSE))))"),FALSE)</f>
        <v>0</v>
      </c>
      <c r="S164" s="59">
        <f t="array" ref="S164">IF(COUNTA(Q164:Q1350)=0,"",SUM((COUNTIF(Q$4:Q164,Upgrades!$B$3:$B$13)-COUNTIF(Q$4:Q164,"Sell_"&amp;Upgrades!$B$3:$B$13))*Upgrades!$D$3:$D$13))</f>
        <v>77138</v>
      </c>
      <c r="T164" s="66">
        <f>IFERROR(__xludf.DUMMYFUNCTION("IF(COUNTA(Q164:Q1350)=0,"""",IF(REGEXMATCH(INDEX(FILTER(Q$4:Q164,Q$4:Q164&lt;&gt;""""),ROWS(FILTER(Q$4:Q164,Q$4:Q164&lt;&gt;""""))),""^Sell_""),INDEX(FILTER(T$4:T163,Q$4:Q163&lt;&gt;""""),ROWS(FILTER(Q$4:Q163,Q$4:Q163&lt;&gt;""""))),$AD$5+S164))"),77338.0)</f>
        <v>77338</v>
      </c>
      <c r="U164" s="10">
        <f>IFERROR(__xludf.DUMMYFUNCTION("IF(COUNTA(Q164:Q1350)=0,"""",IF(Q164="""",0,IF(REGEXMATCH(Q164,""^Sell_""),-ROUNDDOWN(ROUNDUP(INDEX(Upgrades!$C$3:$C$13,MATCH(SUBSTITUTE(Q164,""Sell_"",""""),Upgrades!$B$3:$B$13,0))*1.15^(COUNTIF(Q$4:Q163,SUBSTITUTE(Q164,""Sell_"",""""))-COUNTIF(Q$4:Q163,"&amp;"""Sell_""&amp;SUBSTITUTE(Q164,""Sell_"",""""))))/2),ROUNDUP(INDEX(Upgrades!$C$3:$C$13,MATCH(Q164,Upgrades!$B$3:$B$13,0))*1.15^(COUNTIF(Q$4:Q163,Q164)-COUNTIF(Q$4:Q163,""Sell_""&amp;Q164))))))"),6742594.0)</f>
        <v>6742594</v>
      </c>
      <c r="V164" s="10">
        <f t="shared" si="11"/>
        <v>6742594</v>
      </c>
      <c r="W164" s="68">
        <f t="shared" si="12"/>
        <v>2937.695716</v>
      </c>
      <c r="X164" s="59" t="str">
        <f t="shared" si="13"/>
        <v>48m 57s</v>
      </c>
      <c r="Y164" s="69">
        <f t="shared" si="14"/>
        <v>43968973</v>
      </c>
      <c r="Z164" s="11"/>
    </row>
    <row r="165">
      <c r="A165" s="8"/>
      <c r="B165" s="56">
        <f t="shared" si="2"/>
        <v>18</v>
      </c>
      <c r="C165" s="57" t="s">
        <v>6</v>
      </c>
      <c r="D165" s="10" t="b">
        <f>IFERROR(__xludf.DUMMYFUNCTION("IF(COUNTA(C165:C1350)=0,"""",IF(ISBLANK(C165),FALSE,IF(NOT(COUNTIF($AA$24:$AA$34,SUBSTITUTE(C165,""Sell_"",""""))),1,IF(REGEXMATCH(C165,""Sell_""),IF(COUNTIF(C$4:C165,SUBSTITUTE(C165,""Sell_"",""""))-COUNTIF(C$4:C164,C165)&lt;1,1),FALSE))))"),FALSE)</f>
        <v>0</v>
      </c>
      <c r="E165" s="59">
        <f t="array" ref="E165">IF(COUNTA(C165:C1350)=0,"",SUM((COUNTIF(C$4:C165,Upgrades!$B$3:$B$13)-COUNTIF(C$4:C165,"Sell_"&amp;Upgrades!$B$3:$B$13))*Upgrades!$D$3:$D$13))</f>
        <v>569653.5</v>
      </c>
      <c r="F165" s="66">
        <f>IFERROR(__xludf.DUMMYFUNCTION("IF(COUNTA(C165:C1350)=0,"""",IF(REGEXMATCH(INDEX(FILTER(C$4:C165,C$4:C165&lt;&gt;""""),ROWS(FILTER(C$4:C165,C$4:C165&lt;&gt;""""))),""^Sell_""),INDEX(FILTER(F$4:F164,C$4:C164&lt;&gt;""""),ROWS(FILTER(C$4:C164,C$4:C164&lt;&gt;""""))),$AC$5+E165))"),569853.5)</f>
        <v>569853.5</v>
      </c>
      <c r="G165" s="10">
        <f>IFERROR(__xludf.DUMMYFUNCTION("IF(COUNTA(C165:C1350)=0,"""",IF(C165="""",0,IF(REGEXMATCH(C165,""^Sell_""),-ROUNDDOWN(ROUNDUP(INDEX(Upgrades!$C$3:$C$13,MATCH(SUBSTITUTE(C165,""Sell_"",""""),Upgrades!$B$3:$B$13,0))*1.15^(COUNTIF(C$4:C164,SUBSTITUTE(C165,""Sell_"",""""))-COUNTIF(C$4:C164,"&amp;"""Sell_""&amp;SUBSTITUTE(C165,""Sell_"",""""))))/2),ROUNDUP(INDEX(Upgrades!$C$3:$C$13,MATCH(C165,Upgrades!$B$3:$B$13,0))*1.15^(COUNTIF(C$4:C164,C165)-COUNTIF(C$4:C164,""Sell_""&amp;C165))))))"),32284.0)</f>
        <v>32284</v>
      </c>
      <c r="H165" s="10">
        <f t="shared" si="3"/>
        <v>32284</v>
      </c>
      <c r="I165" s="68">
        <f t="shared" si="4"/>
        <v>6953.730501</v>
      </c>
      <c r="J165" s="59" t="str">
        <f t="shared" si="5"/>
        <v>1h 55m 53s</v>
      </c>
      <c r="K165" s="69">
        <f t="shared" si="6"/>
        <v>999987481</v>
      </c>
      <c r="L165" s="60">
        <f t="shared" si="7"/>
        <v>-187.04152</v>
      </c>
      <c r="M165" s="61">
        <f>IFERROR(__xludf.DUMMYFUNCTION("IFS(AND(COUNTA(C165:C1350)=0,COUNTA(Q165:Q1350)=0),"""",OR(AND(K165&gt;=1000000000,OR(Y165&gt;=1000000000,COUNTA(Q165:Q1350)=0)),OR(Y165&gt;=1000000000,AND(COUNTA(C165:C1350)=0,P$3=TRUE))),
ROUNDDOWN((AB$1-AC$1)*MAX(INDEX(T$4:T1350,MATCH(LARGE(FILTER(Y$4:Y1350,Y$4"&amp;":Y1350&lt;1000000000),1),Y$4:Y1350)),INDEX(F$4:F1350,MATCH(LARGE(FILTER(K$4:K1350,K$4:K1350&lt;1000000000),1),K$4:K1350)))),AND(K165&lt;1000000000,COUNTA(C165:C1350)&gt;0,P$3=FALSE),
ROUNDDOWN(INDEX(Y$4:Y1350,MATCH(LARGE(FILTER(W$4:W1350,W$4:W1350&lt;=I165),1),W$4:W1350"&amp;"))+(I165-LARGE(FILTER(W$4:W1350,W$4:W1350&lt;=I165),1))*INDEX(T$4:T1350,MATCH(LARGE(FILTER(W$4:W1350,W$4:W1350&lt;=I165),1),W$4:W1350))-K165),1,
ROUNDDOWN(Y165-INDEX(K$4:K1350,MATCH(LARGE(FILTER(I$4:I1350,I$4:I1350&lt;=W165),1),I$4:I1350))-(W165-LARGE(FILTER(I$4:I"&amp;"1350,I$4:I1350&lt;=W165),1))*INDEX(F$4:F1350,MATCH(LARGE(FILTER(I$4:I1350,I$4:I1350&lt;=W165),1),I$4:I1350))))"),1.04848317E8)</f>
        <v>104848317</v>
      </c>
      <c r="N165" s="60">
        <f t="shared" si="8"/>
        <v>-187.04152</v>
      </c>
      <c r="O165" s="61" t="str">
        <f t="shared" si="9"/>
        <v>104,8M</v>
      </c>
      <c r="P165" s="56">
        <f t="shared" si="10"/>
        <v>7</v>
      </c>
      <c r="Q165" s="67" t="s">
        <v>9</v>
      </c>
      <c r="R165" s="10" t="b">
        <f>IFERROR(__xludf.DUMMYFUNCTION("IF(COUNTA(Q165:Q1350)=0,"""",IF(ISBLANK(Q165),FALSE,IF(NOT(COUNTIF($AA$24:$AA$34,SUBSTITUTE(Q165,""Sell_"",""""))),1,IF(REGEXMATCH(Q165,""Sell_""),IF(COUNTIF(Q$4:Q165,SUBSTITUTE(Q165,""Sell_"",""""))-COUNTIF(Q$4:Q164,Q165)&lt;1,1),FALSE))))"),FALSE)</f>
        <v>0</v>
      </c>
      <c r="S165" s="59">
        <f t="array" ref="S165">IF(COUNTA(Q165:Q1350)=0,"",SUM((COUNTIF(Q$4:Q165,Upgrades!$B$3:$B$13)-COUNTIF(Q$4:Q165,"Sell_"&amp;Upgrades!$B$3:$B$13))*Upgrades!$D$3:$D$13))</f>
        <v>77538</v>
      </c>
      <c r="T165" s="66">
        <f>IFERROR(__xludf.DUMMYFUNCTION("IF(COUNTA(Q165:Q1350)=0,"""",IF(REGEXMATCH(INDEX(FILTER(Q$4:Q165,Q$4:Q165&lt;&gt;""""),ROWS(FILTER(Q$4:Q165,Q$4:Q165&lt;&gt;""""))),""^Sell_""),INDEX(FILTER(T$4:T164,Q$4:Q164&lt;&gt;""""),ROWS(FILTER(Q$4:Q164,Q$4:Q164&lt;&gt;""""))),$AD$5+S165))"),77738.0)</f>
        <v>77738</v>
      </c>
      <c r="U165" s="10">
        <f>IFERROR(__xludf.DUMMYFUNCTION("IF(COUNTA(Q165:Q1350)=0,"""",IF(Q165="""",0,IF(REGEXMATCH(Q165,""^Sell_""),-ROUNDDOWN(ROUNDUP(INDEX(Upgrades!$C$3:$C$13,MATCH(SUBSTITUTE(Q165,""Sell_"",""""),Upgrades!$B$3:$B$13,0))*1.15^(COUNTIF(Q$4:Q164,SUBSTITUTE(Q165,""Sell_"",""""))-COUNTIF(Q$4:Q164,"&amp;"""Sell_""&amp;SUBSTITUTE(Q165,""Sell_"",""""))))/2),ROUNDUP(INDEX(Upgrades!$C$3:$C$13,MATCH(Q165,Upgrades!$B$3:$B$13,0))*1.15^(COUNTIF(Q$4:Q164,Q165)-COUNTIF(Q$4:Q164,""Sell_""&amp;Q165))))))"),462613.0)</f>
        <v>462613</v>
      </c>
      <c r="V165" s="10">
        <f t="shared" si="11"/>
        <v>462613</v>
      </c>
      <c r="W165" s="68">
        <f t="shared" si="12"/>
        <v>2943.67742</v>
      </c>
      <c r="X165" s="59" t="str">
        <f t="shared" si="13"/>
        <v>49m 03s</v>
      </c>
      <c r="Y165" s="69">
        <f t="shared" si="14"/>
        <v>44431586</v>
      </c>
      <c r="Z165" s="11"/>
    </row>
    <row r="166">
      <c r="A166" s="8"/>
      <c r="B166" s="56" t="str">
        <f t="shared" si="2"/>
        <v/>
      </c>
      <c r="C166" s="57"/>
      <c r="D166" s="10" t="str">
        <f>IFERROR(__xludf.DUMMYFUNCTION("IF(COUNTA(C166:C1350)=0,"""",IF(ISBLANK(C166),FALSE,IF(NOT(COUNTIF($AA$24:$AA$34,SUBSTITUTE(C166,""Sell_"",""""))),1,IF(REGEXMATCH(C166,""Sell_""),IF(COUNTIF(C$4:C166,SUBSTITUTE(C166,""Sell_"",""""))-COUNTIF(C$4:C165,C166)&lt;1,1),FALSE))))"),"")</f>
        <v/>
      </c>
      <c r="E166" s="59" t="str">
        <f t="array" ref="E166">IF(COUNTA(C166:C1350)=0,"",SUM((COUNTIF(C$4:C166,Upgrades!$B$3:$B$13)-COUNTIF(C$4:C166,"Sell_"&amp;Upgrades!$B$3:$B$13))*Upgrades!$D$3:$D$13))</f>
        <v/>
      </c>
      <c r="F166" s="66" t="str">
        <f>IFERROR(__xludf.DUMMYFUNCTION("IF(COUNTA(C166:C1350)=0,"""",IF(REGEXMATCH(INDEX(FILTER(C$4:C166,C$4:C166&lt;&gt;""""),ROWS(FILTER(C$4:C166,C$4:C166&lt;&gt;""""))),""^Sell_""),INDEX(FILTER(F$4:F165,C$4:C165&lt;&gt;""""),ROWS(FILTER(C$4:C165,C$4:C165&lt;&gt;""""))),$AC$5+E166))"),"")</f>
        <v/>
      </c>
      <c r="G166" s="10" t="str">
        <f>IFERROR(__xludf.DUMMYFUNCTION("IF(COUNTA(C166:C1350)=0,"""",IF(C166="""",0,IF(REGEXMATCH(C166,""^Sell_""),-ROUNDDOWN(ROUNDUP(INDEX(Upgrades!$C$3:$C$13,MATCH(SUBSTITUTE(C166,""Sell_"",""""),Upgrades!$B$3:$B$13,0))*1.15^(COUNTIF(C$4:C165,SUBSTITUTE(C166,""Sell_"",""""))-COUNTIF(C$4:C165,"&amp;"""Sell_""&amp;SUBSTITUTE(C166,""Sell_"",""""))))/2),ROUNDUP(INDEX(Upgrades!$C$3:$C$13,MATCH(C166,Upgrades!$B$3:$B$13,0))*1.15^(COUNTIF(C$4:C165,C166)-COUNTIF(C$4:C165,""Sell_""&amp;C166))))))"),"")</f>
        <v/>
      </c>
      <c r="H166" s="10" t="str">
        <f t="shared" si="3"/>
        <v/>
      </c>
      <c r="I166" s="68" t="str">
        <f t="shared" si="4"/>
        <v/>
      </c>
      <c r="J166" s="59" t="str">
        <f t="shared" si="5"/>
        <v/>
      </c>
      <c r="K166" s="69" t="str">
        <f t="shared" si="6"/>
        <v/>
      </c>
      <c r="L166" s="60">
        <f t="shared" si="7"/>
        <v>-155.16746</v>
      </c>
      <c r="M166" s="61">
        <f>IFERROR(__xludf.DUMMYFUNCTION("IFS(AND(COUNTA(C166:C1350)=0,COUNTA(Q166:Q1350)=0),"""",OR(AND(K166&gt;=1000000000,OR(Y166&gt;=1000000000,COUNTA(Q166:Q1350)=0)),OR(Y166&gt;=1000000000,AND(COUNTA(C166:C1350)=0,P$3=TRUE))),
ROUNDDOWN((AB$1-AC$1)*MAX(INDEX(T$4:T1350,MATCH(LARGE(FILTER(Y$4:Y1350,Y$4"&amp;":Y1350&lt;1000000000),1),Y$4:Y1350)),INDEX(F$4:F1350,MATCH(LARGE(FILTER(K$4:K1350,K$4:K1350&lt;1000000000),1),K$4:K1350)))),AND(K166&lt;1000000000,COUNTA(C166:C1350)&gt;0,P$3=FALSE),
ROUNDDOWN(INDEX(Y$4:Y1350,MATCH(LARGE(FILTER(W$4:W1350,W$4:W1350&lt;=I166),1),W$4:W1350"&amp;"))+(I166-LARGE(FILTER(W$4:W1350,W$4:W1350&lt;=I166),1))*INDEX(T$4:T1350,MATCH(LARGE(FILTER(W$4:W1350,W$4:W1350&lt;=I166),1),W$4:W1350))-K166),1,
ROUNDDOWN(Y166-INDEX(K$4:K1350,MATCH(LARGE(FILTER(I$4:I1350,I$4:I1350&lt;=W166),1),I$4:I1350))-(W166-LARGE(FILTER(I$4:I"&amp;"1350,I$4:I1350&lt;=W166),1))*INDEX(F$4:F1350,MATCH(LARGE(FILTER(I$4:I1350,I$4:I1350&lt;=W166),1),I$4:I1350))))"),1.0796356E7)</f>
        <v>10796356</v>
      </c>
      <c r="N166" s="60">
        <f t="shared" si="8"/>
        <v>-155.16746</v>
      </c>
      <c r="O166" s="61" t="str">
        <f t="shared" si="9"/>
        <v>10,8M</v>
      </c>
      <c r="P166" s="56">
        <f t="shared" si="10"/>
        <v>12</v>
      </c>
      <c r="Q166" s="67" t="s">
        <v>7</v>
      </c>
      <c r="R166" s="10" t="b">
        <f>IFERROR(__xludf.DUMMYFUNCTION("IF(COUNTA(Q166:Q1350)=0,"""",IF(ISBLANK(Q166),FALSE,IF(NOT(COUNTIF($AA$24:$AA$34,SUBSTITUTE(Q166,""Sell_"",""""))),1,IF(REGEXMATCH(Q166,""Sell_""),IF(COUNTIF(Q$4:Q166,SUBSTITUTE(Q166,""Sell_"",""""))-COUNTIF(Q$4:Q165,Q166)&lt;1,1),FALSE))))"),FALSE)</f>
        <v>0</v>
      </c>
      <c r="S166" s="59">
        <f t="array" ref="S166">IF(COUNTA(Q166:Q1350)=0,"",SUM((COUNTIF(Q$4:Q166,Upgrades!$B$3:$B$13)-COUNTIF(Q$4:Q166,"Sell_"&amp;Upgrades!$B$3:$B$13))*Upgrades!$D$3:$D$13))</f>
        <v>77578</v>
      </c>
      <c r="T166" s="66">
        <f>IFERROR(__xludf.DUMMYFUNCTION("IF(COUNTA(Q166:Q1350)=0,"""",IF(REGEXMATCH(INDEX(FILTER(Q$4:Q166,Q$4:Q166&lt;&gt;""""),ROWS(FILTER(Q$4:Q166,Q$4:Q166&lt;&gt;""""))),""^Sell_""),INDEX(FILTER(T$4:T165,Q$4:Q165&lt;&gt;""""),ROWS(FILTER(Q$4:Q165,Q$4:Q165&lt;&gt;""""))),$AD$5+S166))"),77778.0)</f>
        <v>77778</v>
      </c>
      <c r="U166" s="10">
        <f>IFERROR(__xludf.DUMMYFUNCTION("IF(COUNTA(Q166:Q1350)=0,"""",IF(Q166="""",0,IF(REGEXMATCH(Q166,""^Sell_""),-ROUNDDOWN(ROUNDUP(INDEX(Upgrades!$C$3:$C$13,MATCH(SUBSTITUTE(Q166,""Sell_"",""""),Upgrades!$B$3:$B$13,0))*1.15^(COUNTIF(Q$4:Q165,SUBSTITUTE(Q166,""Sell_"",""""))-COUNTIF(Q$4:Q165,"&amp;"""Sell_""&amp;SUBSTITUTE(Q166,""Sell_"",""""))))/2),ROUNDUP(INDEX(Upgrades!$C$3:$C$13,MATCH(Q166,Upgrades!$B$3:$B$13,0))*1.15^(COUNTIF(Q$4:Q165,Q166)-COUNTIF(Q$4:Q165,""Sell_""&amp;Q166))))))"),46524.0)</f>
        <v>46524</v>
      </c>
      <c r="V166" s="10">
        <f t="shared" si="11"/>
        <v>46524</v>
      </c>
      <c r="W166" s="68">
        <f t="shared" si="12"/>
        <v>2944.275891</v>
      </c>
      <c r="X166" s="59" t="str">
        <f t="shared" si="13"/>
        <v>49m 04s</v>
      </c>
      <c r="Y166" s="69">
        <f t="shared" si="14"/>
        <v>44478110</v>
      </c>
      <c r="Z166" s="11"/>
    </row>
    <row r="167">
      <c r="A167" s="8"/>
      <c r="B167" s="56" t="str">
        <f t="shared" si="2"/>
        <v/>
      </c>
      <c r="C167" s="57"/>
      <c r="D167" s="10" t="str">
        <f>IFERROR(__xludf.DUMMYFUNCTION("IF(COUNTA(C167:C1350)=0,"""",IF(ISBLANK(C167),FALSE,IF(NOT(COUNTIF($AA$24:$AA$34,SUBSTITUTE(C167,""Sell_"",""""))),1,IF(REGEXMATCH(C167,""Sell_""),IF(COUNTIF(C$4:C167,SUBSTITUTE(C167,""Sell_"",""""))-COUNTIF(C$4:C166,C167)&lt;1,1),FALSE))))"),"")</f>
        <v/>
      </c>
      <c r="E167" s="59" t="str">
        <f t="array" ref="E167">IF(COUNTA(C167:C1350)=0,"",SUM((COUNTIF(C$4:C167,Upgrades!$B$3:$B$13)-COUNTIF(C$4:C167,"Sell_"&amp;Upgrades!$B$3:$B$13))*Upgrades!$D$3:$D$13))</f>
        <v/>
      </c>
      <c r="F167" s="66" t="str">
        <f>IFERROR(__xludf.DUMMYFUNCTION("IF(COUNTA(C167:C1350)=0,"""",IF(REGEXMATCH(INDEX(FILTER(C$4:C167,C$4:C167&lt;&gt;""""),ROWS(FILTER(C$4:C167,C$4:C167&lt;&gt;""""))),""^Sell_""),INDEX(FILTER(F$4:F166,C$4:C166&lt;&gt;""""),ROWS(FILTER(C$4:C166,C$4:C166&lt;&gt;""""))),$AC$5+E167))"),"")</f>
        <v/>
      </c>
      <c r="G167" s="10" t="str">
        <f>IFERROR(__xludf.DUMMYFUNCTION("IF(COUNTA(C167:C1350)=0,"""",IF(C167="""",0,IF(REGEXMATCH(C167,""^Sell_""),-ROUNDDOWN(ROUNDUP(INDEX(Upgrades!$C$3:$C$13,MATCH(SUBSTITUTE(C167,""Sell_"",""""),Upgrades!$B$3:$B$13,0))*1.15^(COUNTIF(C$4:C166,SUBSTITUTE(C167,""Sell_"",""""))-COUNTIF(C$4:C166,"&amp;"""Sell_""&amp;SUBSTITUTE(C167,""Sell_"",""""))))/2),ROUNDUP(INDEX(Upgrades!$C$3:$C$13,MATCH(C167,Upgrades!$B$3:$B$13,0))*1.15^(COUNTIF(C$4:C166,C167)-COUNTIF(C$4:C166,""Sell_""&amp;C167))))))"),"")</f>
        <v/>
      </c>
      <c r="H167" s="10" t="str">
        <f t="shared" si="3"/>
        <v/>
      </c>
      <c r="I167" s="68" t="str">
        <f t="shared" si="4"/>
        <v/>
      </c>
      <c r="J167" s="59" t="str">
        <f t="shared" si="5"/>
        <v/>
      </c>
      <c r="K167" s="69" t="str">
        <f t="shared" si="6"/>
        <v/>
      </c>
      <c r="L167" s="60">
        <f t="shared" si="7"/>
        <v>-155.16707</v>
      </c>
      <c r="M167" s="61">
        <f>IFERROR(__xludf.DUMMYFUNCTION("IFS(AND(COUNTA(C167:C1350)=0,COUNTA(Q167:Q1350)=0),"""",OR(AND(K167&gt;=1000000000,OR(Y167&gt;=1000000000,COUNTA(Q167:Q1350)=0)),OR(Y167&gt;=1000000000,AND(COUNTA(C167:C1350)=0,P$3=TRUE))),
ROUNDDOWN((AB$1-AC$1)*MAX(INDEX(T$4:T1350,MATCH(LARGE(FILTER(Y$4:Y1350,Y$4"&amp;":Y1350&lt;1000000000),1),Y$4:Y1350)),INDEX(F$4:F1350,MATCH(LARGE(FILTER(K$4:K1350,K$4:K1350&lt;1000000000),1),K$4:K1350)))),AND(K167&lt;1000000000,COUNTA(C167:C1350)&gt;0,P$3=FALSE),
ROUNDDOWN(INDEX(Y$4:Y1350,MATCH(LARGE(FILTER(W$4:W1350,W$4:W1350&lt;=I167),1),W$4:W1350"&amp;"))+(I167-LARGE(FILTER(W$4:W1350,W$4:W1350&lt;=I167),1))*INDEX(T$4:T1350,MATCH(LARGE(FILTER(W$4:W1350,W$4:W1350&lt;=I167),1),W$4:W1350))-K167),1,
ROUNDDOWN(Y167-INDEX(K$4:K1350,MATCH(LARGE(FILTER(I$4:I1350,I$4:I1350&lt;=W167),1),I$4:I1350))-(W167-LARGE(FILTER(I$4:I"&amp;"1350,I$4:I1350&lt;=W167),1))*INDEX(F$4:F1350,MATCH(LARGE(FILTER(I$4:I1350,I$4:I1350&lt;=W167),1),I$4:I1350))))"),1.0797194E7)</f>
        <v>10797194</v>
      </c>
      <c r="N167" s="60">
        <f t="shared" si="8"/>
        <v>-155.16707</v>
      </c>
      <c r="O167" s="61" t="str">
        <f t="shared" si="9"/>
        <v>10,8M</v>
      </c>
      <c r="P167" s="56">
        <f t="shared" si="10"/>
        <v>17</v>
      </c>
      <c r="Q167" s="105" t="s">
        <v>5</v>
      </c>
      <c r="R167" s="10" t="b">
        <f>IFERROR(__xludf.DUMMYFUNCTION("IF(COUNTA(Q167:Q1350)=0,"""",IF(ISBLANK(Q167),FALSE,IF(NOT(COUNTIF($AA$24:$AA$34,SUBSTITUTE(Q167,""Sell_"",""""))),1,IF(REGEXMATCH(Q167,""Sell_""),IF(COUNTIF(Q$4:Q167,SUBSTITUTE(Q167,""Sell_"",""""))-COUNTIF(Q$4:Q166,Q167)&lt;1,1),FALSE))))"),FALSE)</f>
        <v>0</v>
      </c>
      <c r="S167" s="59">
        <f t="array" ref="S167">IF(COUNTA(Q167:Q1350)=0,"",SUM((COUNTIF(Q$4:Q167,Upgrades!$B$3:$B$13)-COUNTIF(Q$4:Q167,"Sell_"&amp;Upgrades!$B$3:$B$13))*Upgrades!$D$3:$D$13))</f>
        <v>77582</v>
      </c>
      <c r="T167" s="66">
        <f>IFERROR(__xludf.DUMMYFUNCTION("IF(COUNTA(Q167:Q1350)=0,"""",IF(REGEXMATCH(INDEX(FILTER(Q$4:Q167,Q$4:Q167&lt;&gt;""""),ROWS(FILTER(Q$4:Q167,Q$4:Q167&lt;&gt;""""))),""^Sell_""),INDEX(FILTER(T$4:T166,Q$4:Q166&lt;&gt;""""),ROWS(FILTER(Q$4:Q166,Q$4:Q166&lt;&gt;""""))),$AD$5+S167))"),77782.0)</f>
        <v>77782</v>
      </c>
      <c r="U167" s="10">
        <f>IFERROR(__xludf.DUMMYFUNCTION("IF(COUNTA(Q167:Q1350)=0,"""",IF(Q167="""",0,IF(REGEXMATCH(Q167,""^Sell_""),-ROUNDDOWN(ROUNDUP(INDEX(Upgrades!$C$3:$C$13,MATCH(SUBSTITUTE(Q167,""Sell_"",""""),Upgrades!$B$3:$B$13,0))*1.15^(COUNTIF(Q$4:Q166,SUBSTITUTE(Q167,""Sell_"",""""))-COUNTIF(Q$4:Q166,"&amp;"""Sell_""&amp;SUBSTITUTE(Q167,""Sell_"",""""))))/2),ROUNDUP(INDEX(Upgrades!$C$3:$C$13,MATCH(Q167,Upgrades!$B$3:$B$13,0))*1.15^(COUNTIF(Q$4:Q166,Q167)-COUNTIF(Q$4:Q166,""Sell_""&amp;Q167))))))"),4679.0)</f>
        <v>4679</v>
      </c>
      <c r="V167" s="10">
        <f t="shared" si="11"/>
        <v>4679</v>
      </c>
      <c r="W167" s="68">
        <f t="shared" si="12"/>
        <v>2944.33605</v>
      </c>
      <c r="X167" s="59" t="str">
        <f t="shared" si="13"/>
        <v>49m 04s</v>
      </c>
      <c r="Y167" s="69">
        <f t="shared" si="14"/>
        <v>44482789</v>
      </c>
      <c r="Z167" s="11"/>
    </row>
    <row r="168">
      <c r="A168" s="8"/>
      <c r="B168" s="56" t="str">
        <f t="shared" si="2"/>
        <v/>
      </c>
      <c r="C168" s="57"/>
      <c r="D168" s="10" t="str">
        <f>IFERROR(__xludf.DUMMYFUNCTION("IF(COUNTA(C168:C1350)=0,"""",IF(ISBLANK(C168),FALSE,IF(NOT(COUNTIF($AA$24:$AA$34,SUBSTITUTE(C168,""Sell_"",""""))),1,IF(REGEXMATCH(C168,""Sell_""),IF(COUNTIF(C$4:C168,SUBSTITUTE(C168,""Sell_"",""""))-COUNTIF(C$4:C167,C168)&lt;1,1),FALSE))))"),"")</f>
        <v/>
      </c>
      <c r="E168" s="59" t="str">
        <f t="array" ref="E168">IF(COUNTA(C168:C1350)=0,"",SUM((COUNTIF(C$4:C168,Upgrades!$B$3:$B$13)-COUNTIF(C$4:C168,"Sell_"&amp;Upgrades!$B$3:$B$13))*Upgrades!$D$3:$D$13))</f>
        <v/>
      </c>
      <c r="F168" s="66" t="str">
        <f>IFERROR(__xludf.DUMMYFUNCTION("IF(COUNTA(C168:C1350)=0,"""",IF(REGEXMATCH(INDEX(FILTER(C$4:C168,C$4:C168&lt;&gt;""""),ROWS(FILTER(C$4:C168,C$4:C168&lt;&gt;""""))),""^Sell_""),INDEX(FILTER(F$4:F167,C$4:C167&lt;&gt;""""),ROWS(FILTER(C$4:C167,C$4:C167&lt;&gt;""""))),$AC$5+E168))"),"")</f>
        <v/>
      </c>
      <c r="G168" s="10" t="str">
        <f>IFERROR(__xludf.DUMMYFUNCTION("IF(COUNTA(C168:C1350)=0,"""",IF(C168="""",0,IF(REGEXMATCH(C168,""^Sell_""),-ROUNDDOWN(ROUNDUP(INDEX(Upgrades!$C$3:$C$13,MATCH(SUBSTITUTE(C168,""Sell_"",""""),Upgrades!$B$3:$B$13,0))*1.15^(COUNTIF(C$4:C167,SUBSTITUTE(C168,""Sell_"",""""))-COUNTIF(C$4:C167,"&amp;"""Sell_""&amp;SUBSTITUTE(C168,""Sell_"",""""))))/2),ROUNDUP(INDEX(Upgrades!$C$3:$C$13,MATCH(C168,Upgrades!$B$3:$B$13,0))*1.15^(COUNTIF(C$4:C167,C168)-COUNTIF(C$4:C167,""Sell_""&amp;C168))))))"),"")</f>
        <v/>
      </c>
      <c r="H168" s="10" t="str">
        <f t="shared" si="3"/>
        <v/>
      </c>
      <c r="I168" s="68" t="str">
        <f t="shared" si="4"/>
        <v/>
      </c>
      <c r="J168" s="59" t="str">
        <f t="shared" si="5"/>
        <v/>
      </c>
      <c r="K168" s="69" t="str">
        <f t="shared" si="6"/>
        <v/>
      </c>
      <c r="L168" s="60">
        <f t="shared" si="7"/>
        <v>-155.16606</v>
      </c>
      <c r="M168" s="61">
        <f>IFERROR(__xludf.DUMMYFUNCTION("IFS(AND(COUNTA(C168:C1350)=0,COUNTA(Q168:Q1350)=0),"""",OR(AND(K168&gt;=1000000000,OR(Y168&gt;=1000000000,COUNTA(Q168:Q1350)=0)),OR(Y168&gt;=1000000000,AND(COUNTA(C168:C1350)=0,P$3=TRUE))),
ROUNDDOWN((AB$1-AC$1)*MAX(INDEX(T$4:T1350,MATCH(LARGE(FILTER(Y$4:Y1350,Y$4"&amp;":Y1350&lt;1000000000),1),Y$4:Y1350)),INDEX(F$4:F1350,MATCH(LARGE(FILTER(K$4:K1350,K$4:K1350&lt;1000000000),1),K$4:K1350)))),AND(K168&lt;1000000000,COUNTA(C168:C1350)&gt;0,P$3=FALSE),
ROUNDDOWN(INDEX(Y$4:Y1350,MATCH(LARGE(FILTER(W$4:W1350,W$4:W1350&lt;=I168),1),W$4:W1350"&amp;"))+(I168-LARGE(FILTER(W$4:W1350,W$4:W1350&lt;=I168),1))*INDEX(T$4:T1350,MATCH(LARGE(FILTER(W$4:W1350,W$4:W1350&lt;=I168),1),W$4:W1350))-K168),1,
ROUNDDOWN(Y168-INDEX(K$4:K1350,MATCH(LARGE(FILTER(I$4:I1350,I$4:I1350&lt;=W168),1),I$4:I1350))-(W168-LARGE(FILTER(I$4:I"&amp;"1350,I$4:I1350&lt;=W168),1))*INDEX(F$4:F1350,MATCH(LARGE(FILTER(I$4:I1350,I$4:I1350&lt;=W168),1),I$4:I1350))))"),1.0799368E7)</f>
        <v>10799368</v>
      </c>
      <c r="N168" s="60">
        <f t="shared" si="8"/>
        <v>-155.16606</v>
      </c>
      <c r="O168" s="61" t="str">
        <f t="shared" si="9"/>
        <v>10,8M</v>
      </c>
      <c r="P168" s="56">
        <f t="shared" si="10"/>
        <v>11</v>
      </c>
      <c r="Q168" s="105" t="s">
        <v>6</v>
      </c>
      <c r="R168" s="10" t="b">
        <f>IFERROR(__xludf.DUMMYFUNCTION("IF(COUNTA(Q168:Q1350)=0,"""",IF(ISBLANK(Q168),FALSE,IF(NOT(COUNTIF($AA$24:$AA$34,SUBSTITUTE(Q168,""Sell_"",""""))),1,IF(REGEXMATCH(Q168,""Sell_""),IF(COUNTIF(Q$4:Q168,SUBSTITUTE(Q168,""Sell_"",""""))-COUNTIF(Q$4:Q167,Q168)&lt;1,1),FALSE))))"),FALSE)</f>
        <v>0</v>
      </c>
      <c r="S168" s="59">
        <f t="array" ref="S168">IF(COUNTA(Q168:Q1350)=0,"",SUM((COUNTIF(Q$4:Q168,Upgrades!$B$3:$B$13)-COUNTIF(Q$4:Q168,"Sell_"&amp;Upgrades!$B$3:$B$13))*Upgrades!$D$3:$D$13))</f>
        <v>77592</v>
      </c>
      <c r="T168" s="66">
        <f>IFERROR(__xludf.DUMMYFUNCTION("IF(COUNTA(Q168:Q1350)=0,"""",IF(REGEXMATCH(INDEX(FILTER(Q$4:Q168,Q$4:Q168&lt;&gt;""""),ROWS(FILTER(Q$4:Q168,Q$4:Q168&lt;&gt;""""))),""^Sell_""),INDEX(FILTER(T$4:T167,Q$4:Q167&lt;&gt;""""),ROWS(FILTER(Q$4:Q167,Q$4:Q167&lt;&gt;""""))),$AD$5+S168))"),77792.0)</f>
        <v>77792</v>
      </c>
      <c r="U168" s="10">
        <f>IFERROR(__xludf.DUMMYFUNCTION("IF(COUNTA(Q168:Q1350)=0,"""",IF(Q168="""",0,IF(REGEXMATCH(Q168,""^Sell_""),-ROUNDDOWN(ROUNDUP(INDEX(Upgrades!$C$3:$C$13,MATCH(SUBSTITUTE(Q168,""Sell_"",""""),Upgrades!$B$3:$B$13,0))*1.15^(COUNTIF(Q$4:Q167,SUBSTITUTE(Q168,""Sell_"",""""))-COUNTIF(Q$4:Q167,"&amp;"""Sell_""&amp;SUBSTITUTE(Q168,""Sell_"",""""))))/2),ROUNDUP(INDEX(Upgrades!$C$3:$C$13,MATCH(Q168,Upgrades!$B$3:$B$13,0))*1.15^(COUNTIF(Q$4:Q167,Q168)-COUNTIF(Q$4:Q167,""Sell_""&amp;Q168))))))"),12137.0)</f>
        <v>12137</v>
      </c>
      <c r="V168" s="10">
        <f t="shared" si="11"/>
        <v>12137</v>
      </c>
      <c r="W168" s="68">
        <f t="shared" si="12"/>
        <v>2944.492088</v>
      </c>
      <c r="X168" s="59" t="str">
        <f t="shared" si="13"/>
        <v>49m 04s</v>
      </c>
      <c r="Y168" s="69">
        <f t="shared" si="14"/>
        <v>44494926</v>
      </c>
      <c r="Z168" s="11"/>
    </row>
    <row r="169">
      <c r="A169" s="8"/>
      <c r="B169" s="56" t="str">
        <f t="shared" si="2"/>
        <v/>
      </c>
      <c r="C169" s="57"/>
      <c r="D169" s="10" t="str">
        <f>IFERROR(__xludf.DUMMYFUNCTION("IF(COUNTA(C169:C1350)=0,"""",IF(ISBLANK(C169),FALSE,IF(NOT(COUNTIF($AA$24:$AA$34,SUBSTITUTE(C169,""Sell_"",""""))),1,IF(REGEXMATCH(C169,""Sell_""),IF(COUNTIF(C$4:C169,SUBSTITUTE(C169,""Sell_"",""""))-COUNTIF(C$4:C168,C169)&lt;1,1),FALSE))))"),"")</f>
        <v/>
      </c>
      <c r="E169" s="59" t="str">
        <f t="array" ref="E169">IF(COUNTA(C169:C1350)=0,"",SUM((COUNTIF(C$4:C169,Upgrades!$B$3:$B$13)-COUNTIF(C$4:C169,"Sell_"&amp;Upgrades!$B$3:$B$13))*Upgrades!$D$3:$D$13))</f>
        <v/>
      </c>
      <c r="F169" s="66" t="str">
        <f>IFERROR(__xludf.DUMMYFUNCTION("IF(COUNTA(C169:C1350)=0,"""",IF(REGEXMATCH(INDEX(FILTER(C$4:C169,C$4:C169&lt;&gt;""""),ROWS(FILTER(C$4:C169,C$4:C169&lt;&gt;""""))),""^Sell_""),INDEX(FILTER(F$4:F168,C$4:C168&lt;&gt;""""),ROWS(FILTER(C$4:C168,C$4:C168&lt;&gt;""""))),$AC$5+E169))"),"")</f>
        <v/>
      </c>
      <c r="G169" s="10" t="str">
        <f>IFERROR(__xludf.DUMMYFUNCTION("IF(COUNTA(C169:C1350)=0,"""",IF(C169="""",0,IF(REGEXMATCH(C169,""^Sell_""),-ROUNDDOWN(ROUNDUP(INDEX(Upgrades!$C$3:$C$13,MATCH(SUBSTITUTE(C169,""Sell_"",""""),Upgrades!$B$3:$B$13,0))*1.15^(COUNTIF(C$4:C168,SUBSTITUTE(C169,""Sell_"",""""))-COUNTIF(C$4:C168,"&amp;"""Sell_""&amp;SUBSTITUTE(C169,""Sell_"",""""))))/2),ROUNDUP(INDEX(Upgrades!$C$3:$C$13,MATCH(C169,Upgrades!$B$3:$B$13,0))*1.15^(COUNTIF(C$4:C168,C169)-COUNTIF(C$4:C168,""Sell_""&amp;C169))))))"),"")</f>
        <v/>
      </c>
      <c r="H169" s="10" t="str">
        <f t="shared" si="3"/>
        <v/>
      </c>
      <c r="I169" s="68" t="str">
        <f t="shared" si="4"/>
        <v/>
      </c>
      <c r="J169" s="59" t="str">
        <f t="shared" si="5"/>
        <v/>
      </c>
      <c r="K169" s="69" t="str">
        <f t="shared" si="6"/>
        <v/>
      </c>
      <c r="L169" s="60">
        <f t="shared" si="7"/>
        <v>-155.15606</v>
      </c>
      <c r="M169" s="61">
        <f>IFERROR(__xludf.DUMMYFUNCTION("IFS(AND(COUNTA(C169:C1350)=0,COUNTA(Q169:Q1350)=0),"""",OR(AND(K169&gt;=1000000000,OR(Y169&gt;=1000000000,COUNTA(Q169:Q1350)=0)),OR(Y169&gt;=1000000000,AND(COUNTA(C169:C1350)=0,P$3=TRUE))),
ROUNDDOWN((AB$1-AC$1)*MAX(INDEX(T$4:T1350,MATCH(LARGE(FILTER(Y$4:Y1350,Y$4"&amp;":Y1350&lt;1000000000),1),Y$4:Y1350)),INDEX(F$4:F1350,MATCH(LARGE(FILTER(K$4:K1350,K$4:K1350&lt;1000000000),1),K$4:K1350)))),AND(K169&lt;1000000000,COUNTA(C169:C1350)&gt;0,P$3=FALSE),
ROUNDDOWN(INDEX(Y$4:Y1350,MATCH(LARGE(FILTER(W$4:W1350,W$4:W1350&lt;=I169),1),W$4:W1350"&amp;"))+(I169-LARGE(FILTER(W$4:W1350,W$4:W1350&lt;=I169),1))*INDEX(T$4:T1350,MATCH(LARGE(FILTER(W$4:W1350,W$4:W1350&lt;=I169),1),W$4:W1350))-K169),1,
ROUNDDOWN(Y169-INDEX(K$4:K1350,MATCH(LARGE(FILTER(I$4:I1350,I$4:I1350&lt;=W169),1),I$4:I1350))-(W169-LARGE(FILTER(I$4:I"&amp;"1350,I$4:I1350&lt;=W169),1))*INDEX(F$4:F1350,MATCH(LARGE(FILTER(I$4:I1350,I$4:I1350&lt;=W169),1),I$4:I1350))))"),1.0821298E7)</f>
        <v>10821298</v>
      </c>
      <c r="N169" s="60">
        <f t="shared" si="8"/>
        <v>-155.15606</v>
      </c>
      <c r="O169" s="61" t="str">
        <f t="shared" si="9"/>
        <v>10,8M</v>
      </c>
      <c r="P169" s="56">
        <f t="shared" si="10"/>
        <v>9</v>
      </c>
      <c r="Q169" s="105" t="s">
        <v>8</v>
      </c>
      <c r="R169" s="10" t="b">
        <f>IFERROR(__xludf.DUMMYFUNCTION("IF(COUNTA(Q169:Q1350)=0,"""",IF(ISBLANK(Q169),FALSE,IF(NOT(COUNTIF($AA$24:$AA$34,SUBSTITUTE(Q169,""Sell_"",""""))),1,IF(REGEXMATCH(Q169,""Sell_""),IF(COUNTIF(Q$4:Q169,SUBSTITUTE(Q169,""Sell_"",""""))-COUNTIF(Q$4:Q168,Q169)&lt;1,1),FALSE))))"),FALSE)</f>
        <v>0</v>
      </c>
      <c r="S169" s="59">
        <f t="array" ref="S169">IF(COUNTA(Q169:Q1350)=0,"",SUM((COUNTIF(Q$4:Q169,Upgrades!$B$3:$B$13)-COUNTIF(Q$4:Q169,"Sell_"&amp;Upgrades!$B$3:$B$13))*Upgrades!$D$3:$D$13))</f>
        <v>77692</v>
      </c>
      <c r="T169" s="66">
        <f>IFERROR(__xludf.DUMMYFUNCTION("IF(COUNTA(Q169:Q1350)=0,"""",IF(REGEXMATCH(INDEX(FILTER(Q$4:Q169,Q$4:Q169&lt;&gt;""""),ROWS(FILTER(Q$4:Q169,Q$4:Q169&lt;&gt;""""))),""^Sell_""),INDEX(FILTER(T$4:T168,Q$4:Q168&lt;&gt;""""),ROWS(FILTER(Q$4:Q168,Q$4:Q168&lt;&gt;""""))),$AD$5+S169))"),77892.0)</f>
        <v>77892</v>
      </c>
      <c r="U169" s="10">
        <f>IFERROR(__xludf.DUMMYFUNCTION("IF(COUNTA(Q169:Q1350)=0,"""",IF(Q169="""",0,IF(REGEXMATCH(Q169,""^Sell_""),-ROUNDDOWN(ROUNDUP(INDEX(Upgrades!$C$3:$C$13,MATCH(SUBSTITUTE(Q169,""Sell_"",""""),Upgrades!$B$3:$B$13,0))*1.15^(COUNTIF(Q$4:Q168,SUBSTITUTE(Q169,""Sell_"",""""))-COUNTIF(Q$4:Q168,"&amp;"""Sell_""&amp;SUBSTITUTE(Q169,""Sell_"",""""))))/2),ROUNDUP(INDEX(Upgrades!$C$3:$C$13,MATCH(Q169,Upgrades!$B$3:$B$13,0))*1.15^(COUNTIF(Q$4:Q168,Q169)-COUNTIF(Q$4:Q168,""Sell_""&amp;Q169))))))"),122361.0)</f>
        <v>122361</v>
      </c>
      <c r="V169" s="10">
        <f t="shared" si="11"/>
        <v>122361</v>
      </c>
      <c r="W169" s="68">
        <f t="shared" si="12"/>
        <v>2946.065014</v>
      </c>
      <c r="X169" s="59" t="str">
        <f t="shared" si="13"/>
        <v>49m 06s</v>
      </c>
      <c r="Y169" s="69">
        <f t="shared" si="14"/>
        <v>44617287</v>
      </c>
      <c r="Z169" s="11"/>
    </row>
    <row r="170">
      <c r="A170" s="8"/>
      <c r="B170" s="56" t="str">
        <f t="shared" si="2"/>
        <v/>
      </c>
      <c r="C170" s="57"/>
      <c r="D170" s="10" t="str">
        <f>IFERROR(__xludf.DUMMYFUNCTION("IF(COUNTA(C170:C1350)=0,"""",IF(ISBLANK(C170),FALSE,IF(NOT(COUNTIF($AA$24:$AA$34,SUBSTITUTE(C170,""Sell_"",""""))),1,IF(REGEXMATCH(C170,""Sell_""),IF(COUNTIF(C$4:C170,SUBSTITUTE(C170,""Sell_"",""""))-COUNTIF(C$4:C169,C170)&lt;1,1),FALSE))))"),"")</f>
        <v/>
      </c>
      <c r="E170" s="59" t="str">
        <f t="array" ref="E170">IF(COUNTA(C170:C1350)=0,"",SUM((COUNTIF(C$4:C170,Upgrades!$B$3:$B$13)-COUNTIF(C$4:C170,"Sell_"&amp;Upgrades!$B$3:$B$13))*Upgrades!$D$3:$D$13))</f>
        <v/>
      </c>
      <c r="F170" s="66" t="str">
        <f>IFERROR(__xludf.DUMMYFUNCTION("IF(COUNTA(C170:C1350)=0,"""",IF(REGEXMATCH(INDEX(FILTER(C$4:C170,C$4:C170&lt;&gt;""""),ROWS(FILTER(C$4:C170,C$4:C170&lt;&gt;""""))),""^Sell_""),INDEX(FILTER(F$4:F169,C$4:C169&lt;&gt;""""),ROWS(FILTER(C$4:C169,C$4:C169&lt;&gt;""""))),$AC$5+E170))"),"")</f>
        <v/>
      </c>
      <c r="G170" s="10" t="str">
        <f>IFERROR(__xludf.DUMMYFUNCTION("IF(COUNTA(C170:C1350)=0,"""",IF(C170="""",0,IF(REGEXMATCH(C170,""^Sell_""),-ROUNDDOWN(ROUNDUP(INDEX(Upgrades!$C$3:$C$13,MATCH(SUBSTITUTE(C170,""Sell_"",""""),Upgrades!$B$3:$B$13,0))*1.15^(COUNTIF(C$4:C169,SUBSTITUTE(C170,""Sell_"",""""))-COUNTIF(C$4:C169,"&amp;"""Sell_""&amp;SUBSTITUTE(C170,""Sell_"",""""))))/2),ROUNDUP(INDEX(Upgrades!$C$3:$C$13,MATCH(C170,Upgrades!$B$3:$B$13,0))*1.15^(COUNTIF(C$4:C169,C170)-COUNTIF(C$4:C169,""Sell_""&amp;C170))))))"),"")</f>
        <v/>
      </c>
      <c r="H170" s="10" t="str">
        <f t="shared" si="3"/>
        <v/>
      </c>
      <c r="I170" s="68" t="str">
        <f t="shared" si="4"/>
        <v/>
      </c>
      <c r="J170" s="59" t="str">
        <f t="shared" si="5"/>
        <v/>
      </c>
      <c r="K170" s="69" t="str">
        <f t="shared" si="6"/>
        <v/>
      </c>
      <c r="L170" s="60">
        <f t="shared" si="7"/>
        <v>-155.15606</v>
      </c>
      <c r="M170" s="61">
        <f>IFERROR(__xludf.DUMMYFUNCTION("IFS(AND(COUNTA(C170:C1350)=0,COUNTA(Q170:Q1350)=0),"""",OR(AND(K170&gt;=1000000000,OR(Y170&gt;=1000000000,COUNTA(Q170:Q1350)=0)),OR(Y170&gt;=1000000000,AND(COUNTA(C170:C1350)=0,P$3=TRUE))),
ROUNDDOWN((AB$1-AC$1)*MAX(INDEX(T$4:T1350,MATCH(LARGE(FILTER(Y$4:Y1350,Y$4"&amp;":Y1350&lt;1000000000),1),Y$4:Y1350)),INDEX(F$4:F1350,MATCH(LARGE(FILTER(K$4:K1350,K$4:K1350&lt;1000000000),1),K$4:K1350)))),AND(K170&lt;1000000000,COUNTA(C170:C1350)&gt;0,P$3=FALSE),
ROUNDDOWN(INDEX(Y$4:Y1350,MATCH(LARGE(FILTER(W$4:W1350,W$4:W1350&lt;=I170),1),W$4:W1350"&amp;"))+(I170-LARGE(FILTER(W$4:W1350,W$4:W1350&lt;=I170),1))*INDEX(T$4:T1350,MATCH(LARGE(FILTER(W$4:W1350,W$4:W1350&lt;=I170),1),W$4:W1350))-K170),1,
ROUNDDOWN(Y170-INDEX(K$4:K1350,MATCH(LARGE(FILTER(I$4:I1350,I$4:I1350&lt;=W170),1),I$4:I1350))-(W170-LARGE(FILTER(I$4:I"&amp;"1350,I$4:I1350&lt;=W170),1))*INDEX(F$4:F1350,MATCH(LARGE(FILTER(I$4:I1350,I$4:I1350&lt;=W170),1),I$4:I1350))))"),1.082132E7)</f>
        <v>10821320</v>
      </c>
      <c r="N170" s="60">
        <f t="shared" si="8"/>
        <v>-155.15606</v>
      </c>
      <c r="O170" s="61" t="str">
        <f t="shared" si="9"/>
        <v>10,8M</v>
      </c>
      <c r="P170" s="56">
        <f t="shared" si="10"/>
        <v>16</v>
      </c>
      <c r="Q170" s="105" t="s">
        <v>3</v>
      </c>
      <c r="R170" s="10" t="b">
        <f>IFERROR(__xludf.DUMMYFUNCTION("IF(COUNTA(Q170:Q1350)=0,"""",IF(ISBLANK(Q170),FALSE,IF(NOT(COUNTIF($AA$24:$AA$34,SUBSTITUTE(Q170,""Sell_"",""""))),1,IF(REGEXMATCH(Q170,""Sell_""),IF(COUNTIF(Q$4:Q170,SUBSTITUTE(Q170,""Sell_"",""""))-COUNTIF(Q$4:Q169,Q170)&lt;1,1),FALSE))))"),FALSE)</f>
        <v>0</v>
      </c>
      <c r="S170" s="59">
        <f t="array" ref="S170">IF(COUNTA(Q170:Q1350)=0,"",SUM((COUNTIF(Q$4:Q170,Upgrades!$B$3:$B$13)-COUNTIF(Q$4:Q170,"Sell_"&amp;Upgrades!$B$3:$B$13))*Upgrades!$D$3:$D$13))</f>
        <v>77692.1</v>
      </c>
      <c r="T170" s="66">
        <f>IFERROR(__xludf.DUMMYFUNCTION("IF(COUNTA(Q170:Q1350)=0,"""",IF(REGEXMATCH(INDEX(FILTER(Q$4:Q170,Q$4:Q170&lt;&gt;""""),ROWS(FILTER(Q$4:Q170,Q$4:Q170&lt;&gt;""""))),""^Sell_""),INDEX(FILTER(T$4:T169,Q$4:Q169&lt;&gt;""""),ROWS(FILTER(Q$4:Q169,Q$4:Q169&lt;&gt;""""))),$AD$5+S170))"),77892.1)</f>
        <v>77892.1</v>
      </c>
      <c r="U170" s="10">
        <f>IFERROR(__xludf.DUMMYFUNCTION("IF(COUNTA(Q170:Q1350)=0,"""",IF(Q170="""",0,IF(REGEXMATCH(Q170,""^Sell_""),-ROUNDDOWN(ROUNDUP(INDEX(Upgrades!$C$3:$C$13,MATCH(SUBSTITUTE(Q170,""Sell_"",""""),Upgrades!$B$3:$B$13,0))*1.15^(COUNTIF(Q$4:Q169,SUBSTITUTE(Q170,""Sell_"",""""))-COUNTIF(Q$4:Q169,"&amp;"""Sell_""&amp;SUBSTITUTE(Q170,""Sell_"",""""))))/2),ROUNDUP(INDEX(Upgrades!$C$3:$C$13,MATCH(Q170,Upgrades!$B$3:$B$13,0))*1.15^(COUNTIF(Q$4:Q169,Q170)-COUNTIF(Q$4:Q169,""Sell_""&amp;Q170))))))"),123.0)</f>
        <v>123</v>
      </c>
      <c r="V170" s="10">
        <f t="shared" si="11"/>
        <v>123</v>
      </c>
      <c r="W170" s="68">
        <f t="shared" si="12"/>
        <v>2946.066593</v>
      </c>
      <c r="X170" s="59" t="str">
        <f t="shared" si="13"/>
        <v>49m 06s</v>
      </c>
      <c r="Y170" s="69">
        <f t="shared" si="14"/>
        <v>44617410</v>
      </c>
      <c r="Z170" s="11"/>
    </row>
    <row r="171">
      <c r="A171" s="8"/>
      <c r="B171" s="56" t="str">
        <f t="shared" si="2"/>
        <v/>
      </c>
      <c r="C171" s="57"/>
      <c r="D171" s="10" t="str">
        <f>IFERROR(__xludf.DUMMYFUNCTION("IF(COUNTA(C171:C1350)=0,"""",IF(ISBLANK(C171),FALSE,IF(NOT(COUNTIF($AA$24:$AA$34,SUBSTITUTE(C171,""Sell_"",""""))),1,IF(REGEXMATCH(C171,""Sell_""),IF(COUNTIF(C$4:C171,SUBSTITUTE(C171,""Sell_"",""""))-COUNTIF(C$4:C170,C171)&lt;1,1),FALSE))))"),"")</f>
        <v/>
      </c>
      <c r="E171" s="59" t="str">
        <f t="array" ref="E171">IF(COUNTA(C171:C1350)=0,"",SUM((COUNTIF(C$4:C171,Upgrades!$B$3:$B$13)-COUNTIF(C$4:C171,"Sell_"&amp;Upgrades!$B$3:$B$13))*Upgrades!$D$3:$D$13))</f>
        <v/>
      </c>
      <c r="F171" s="66" t="str">
        <f>IFERROR(__xludf.DUMMYFUNCTION("IF(COUNTA(C171:C1350)=0,"""",IF(REGEXMATCH(INDEX(FILTER(C$4:C171,C$4:C171&lt;&gt;""""),ROWS(FILTER(C$4:C171,C$4:C171&lt;&gt;""""))),""^Sell_""),INDEX(FILTER(F$4:F170,C$4:C170&lt;&gt;""""),ROWS(FILTER(C$4:C170,C$4:C170&lt;&gt;""""))),$AC$5+E171))"),"")</f>
        <v/>
      </c>
      <c r="G171" s="10" t="str">
        <f>IFERROR(__xludf.DUMMYFUNCTION("IF(COUNTA(C171:C1350)=0,"""",IF(C171="""",0,IF(REGEXMATCH(C171,""^Sell_""),-ROUNDDOWN(ROUNDUP(INDEX(Upgrades!$C$3:$C$13,MATCH(SUBSTITUTE(C171,""Sell_"",""""),Upgrades!$B$3:$B$13,0))*1.15^(COUNTIF(C$4:C170,SUBSTITUTE(C171,""Sell_"",""""))-COUNTIF(C$4:C170,"&amp;"""Sell_""&amp;SUBSTITUTE(C171,""Sell_"",""""))))/2),ROUNDUP(INDEX(Upgrades!$C$3:$C$13,MATCH(C171,Upgrades!$B$3:$B$13,0))*1.15^(COUNTIF(C$4:C170,C171)-COUNTIF(C$4:C170,""Sell_""&amp;C171))))))"),"")</f>
        <v/>
      </c>
      <c r="H171" s="10" t="str">
        <f t="shared" si="3"/>
        <v/>
      </c>
      <c r="I171" s="68" t="str">
        <f t="shared" si="4"/>
        <v/>
      </c>
      <c r="J171" s="59" t="str">
        <f t="shared" si="5"/>
        <v/>
      </c>
      <c r="K171" s="69" t="str">
        <f t="shared" si="6"/>
        <v/>
      </c>
      <c r="L171" s="60">
        <f t="shared" si="7"/>
        <v>-155.15602</v>
      </c>
      <c r="M171" s="61">
        <f>IFERROR(__xludf.DUMMYFUNCTION("IFS(AND(COUNTA(C171:C1350)=0,COUNTA(Q171:Q1350)=0),"""",OR(AND(K171&gt;=1000000000,OR(Y171&gt;=1000000000,COUNTA(Q171:Q1350)=0)),OR(Y171&gt;=1000000000,AND(COUNTA(C171:C1350)=0,P$3=TRUE))),
ROUNDDOWN((AB$1-AC$1)*MAX(INDEX(T$4:T1350,MATCH(LARGE(FILTER(Y$4:Y1350,Y$4"&amp;":Y1350&lt;1000000000),1),Y$4:Y1350)),INDEX(F$4:F1350,MATCH(LARGE(FILTER(K$4:K1350,K$4:K1350&lt;1000000000),1),K$4:K1350)))),AND(K171&lt;1000000000,COUNTA(C171:C1350)&gt;0,P$3=FALSE),
ROUNDDOWN(INDEX(Y$4:Y1350,MATCH(LARGE(FILTER(W$4:W1350,W$4:W1350&lt;=I171),1),W$4:W1350"&amp;"))+(I171-LARGE(FILTER(W$4:W1350,W$4:W1350&lt;=I171),1))*INDEX(T$4:T1350,MATCH(LARGE(FILTER(W$4:W1350,W$4:W1350&lt;=I171),1),W$4:W1350))-K171),1,
ROUNDDOWN(Y171-INDEX(K$4:K1350,MATCH(LARGE(FILTER(I$4:I1350,I$4:I1350&lt;=W171),1),I$4:I1350))-(W171-LARGE(FILTER(I$4:I"&amp;"1350,I$4:I1350&lt;=W171),1))*INDEX(F$4:F1350,MATCH(LARGE(FILTER(I$4:I1350,I$4:I1350&lt;=W171),1),I$4:I1350))))"),1.0821431E7)</f>
        <v>10821431</v>
      </c>
      <c r="N171" s="60">
        <f t="shared" si="8"/>
        <v>-155.15602</v>
      </c>
      <c r="O171" s="61" t="str">
        <f t="shared" si="9"/>
        <v>10,8M</v>
      </c>
      <c r="P171" s="56">
        <f t="shared" si="10"/>
        <v>14</v>
      </c>
      <c r="Q171" s="105" t="s">
        <v>4</v>
      </c>
      <c r="R171" s="10" t="b">
        <f>IFERROR(__xludf.DUMMYFUNCTION("IF(COUNTA(Q171:Q1350)=0,"""",IF(ISBLANK(Q171),FALSE,IF(NOT(COUNTIF($AA$24:$AA$34,SUBSTITUTE(Q171,""Sell_"",""""))),1,IF(REGEXMATCH(Q171,""Sell_""),IF(COUNTIF(Q$4:Q171,SUBSTITUTE(Q171,""Sell_"",""""))-COUNTIF(Q$4:Q170,Q171)&lt;1,1),FALSE))))"),FALSE)</f>
        <v>0</v>
      </c>
      <c r="S171" s="59">
        <f t="array" ref="S171">IF(COUNTA(Q171:Q1350)=0,"",SUM((COUNTIF(Q$4:Q171,Upgrades!$B$3:$B$13)-COUNTIF(Q$4:Q171,"Sell_"&amp;Upgrades!$B$3:$B$13))*Upgrades!$D$3:$D$13))</f>
        <v>77692.6</v>
      </c>
      <c r="T171" s="66">
        <f>IFERROR(__xludf.DUMMYFUNCTION("IF(COUNTA(Q171:Q1350)=0,"""",IF(REGEXMATCH(INDEX(FILTER(Q$4:Q171,Q$4:Q171&lt;&gt;""""),ROWS(FILTER(Q$4:Q171,Q$4:Q171&lt;&gt;""""))),""^Sell_""),INDEX(FILTER(T$4:T170,Q$4:Q170&lt;&gt;""""),ROWS(FILTER(Q$4:Q170,Q$4:Q170&lt;&gt;""""))),$AD$5+S171))"),77892.6)</f>
        <v>77892.6</v>
      </c>
      <c r="U171" s="10">
        <f>IFERROR(__xludf.DUMMYFUNCTION("IF(COUNTA(Q171:Q1350)=0,"""",IF(Q171="""",0,IF(REGEXMATCH(Q171,""^Sell_""),-ROUNDDOWN(ROUNDUP(INDEX(Upgrades!$C$3:$C$13,MATCH(SUBSTITUTE(Q171,""Sell_"",""""),Upgrades!$B$3:$B$13,0))*1.15^(COUNTIF(Q$4:Q170,SUBSTITUTE(Q171,""Sell_"",""""))-COUNTIF(Q$4:Q170,"&amp;"""Sell_""&amp;SUBSTITUTE(Q171,""Sell_"",""""))))/2),ROUNDUP(INDEX(Upgrades!$C$3:$C$13,MATCH(Q171,Upgrades!$B$3:$B$13,0))*1.15^(COUNTIF(Q$4:Q170,Q171)-COUNTIF(Q$4:Q170,""Sell_""&amp;Q171))))))"),616.0)</f>
        <v>616</v>
      </c>
      <c r="V171" s="10">
        <f t="shared" si="11"/>
        <v>616</v>
      </c>
      <c r="W171" s="68">
        <f t="shared" si="12"/>
        <v>2946.074501</v>
      </c>
      <c r="X171" s="59" t="str">
        <f t="shared" si="13"/>
        <v>49m 06s</v>
      </c>
      <c r="Y171" s="69">
        <f t="shared" si="14"/>
        <v>44618026</v>
      </c>
      <c r="Z171" s="11"/>
    </row>
    <row r="172">
      <c r="A172" s="8"/>
      <c r="B172" s="56" t="str">
        <f t="shared" si="2"/>
        <v/>
      </c>
      <c r="C172" s="57"/>
      <c r="D172" s="10" t="str">
        <f>IFERROR(__xludf.DUMMYFUNCTION("IF(COUNTA(C172:C1350)=0,"""",IF(ISBLANK(C172),FALSE,IF(NOT(COUNTIF($AA$24:$AA$34,SUBSTITUTE(C172,""Sell_"",""""))),1,IF(REGEXMATCH(C172,""Sell_""),IF(COUNTIF(C$4:C172,SUBSTITUTE(C172,""Sell_"",""""))-COUNTIF(C$4:C171,C172)&lt;1,1),FALSE))))"),"")</f>
        <v/>
      </c>
      <c r="E172" s="59" t="str">
        <f t="array" ref="E172">IF(COUNTA(C172:C1350)=0,"",SUM((COUNTIF(C$4:C172,Upgrades!$B$3:$B$13)-COUNTIF(C$4:C172,"Sell_"&amp;Upgrades!$B$3:$B$13))*Upgrades!$D$3:$D$13))</f>
        <v/>
      </c>
      <c r="F172" s="66" t="str">
        <f>IFERROR(__xludf.DUMMYFUNCTION("IF(COUNTA(C172:C1350)=0,"""",IF(REGEXMATCH(INDEX(FILTER(C$4:C172,C$4:C172&lt;&gt;""""),ROWS(FILTER(C$4:C172,C$4:C172&lt;&gt;""""))),""^Sell_""),INDEX(FILTER(F$4:F171,C$4:C171&lt;&gt;""""),ROWS(FILTER(C$4:C171,C$4:C171&lt;&gt;""""))),$AC$5+E172))"),"")</f>
        <v/>
      </c>
      <c r="G172" s="10" t="str">
        <f>IFERROR(__xludf.DUMMYFUNCTION("IF(COUNTA(C172:C1350)=0,"""",IF(C172="""",0,IF(REGEXMATCH(C172,""^Sell_""),-ROUNDDOWN(ROUNDUP(INDEX(Upgrades!$C$3:$C$13,MATCH(SUBSTITUTE(C172,""Sell_"",""""),Upgrades!$B$3:$B$13,0))*1.15^(COUNTIF(C$4:C171,SUBSTITUTE(C172,""Sell_"",""""))-COUNTIF(C$4:C171,"&amp;"""Sell_""&amp;SUBSTITUTE(C172,""Sell_"",""""))))/2),ROUNDUP(INDEX(Upgrades!$C$3:$C$13,MATCH(C172,Upgrades!$B$3:$B$13,0))*1.15^(COUNTIF(C$4:C171,C172)-COUNTIF(C$4:C171,""Sell_""&amp;C172))))))"),"")</f>
        <v/>
      </c>
      <c r="H172" s="10" t="str">
        <f t="shared" si="3"/>
        <v/>
      </c>
      <c r="I172" s="68" t="str">
        <f t="shared" si="4"/>
        <v/>
      </c>
      <c r="J172" s="59" t="str">
        <f t="shared" si="5"/>
        <v/>
      </c>
      <c r="K172" s="69" t="str">
        <f t="shared" si="6"/>
        <v/>
      </c>
      <c r="L172" s="60">
        <f t="shared" si="7"/>
        <v>-154.42935</v>
      </c>
      <c r="M172" s="61">
        <f>IFERROR(__xludf.DUMMYFUNCTION("IFS(AND(COUNTA(C172:C1350)=0,COUNTA(Q172:Q1350)=0),"""",OR(AND(K172&gt;=1000000000,OR(Y172&gt;=1000000000,COUNTA(Q172:Q1350)=0)),OR(Y172&gt;=1000000000,AND(COUNTA(C172:C1350)=0,P$3=TRUE))),
ROUNDDOWN((AB$1-AC$1)*MAX(INDEX(T$4:T1350,MATCH(LARGE(FILTER(Y$4:Y1350,Y$4"&amp;":Y1350&lt;1000000000),1),Y$4:Y1350)),INDEX(F$4:F1350,MATCH(LARGE(FILTER(K$4:K1350,K$4:K1350&lt;1000000000),1),K$4:K1350)))),AND(K172&lt;1000000000,COUNTA(C172:C1350)&gt;0,P$3=FALSE),
ROUNDDOWN(INDEX(Y$4:Y1350,MATCH(LARGE(FILTER(W$4:W1350,W$4:W1350&lt;=I172),1),W$4:W1350"&amp;"))+(I172-LARGE(FILTER(W$4:W1350,W$4:W1350&lt;=I172),1))*INDEX(T$4:T1350,MATCH(LARGE(FILTER(W$4:W1350,W$4:W1350&lt;=I172),1),W$4:W1350))-K172),1,
ROUNDDOWN(Y172-INDEX(K$4:K1350,MATCH(LARGE(FILTER(I$4:I1350,I$4:I1350&lt;=W172),1),I$4:I1350))-(W172-LARGE(FILTER(I$4:I"&amp;"1350,I$4:I1350&lt;=W172),1))*INDEX(F$4:F1350,MATCH(LARGE(FILTER(I$4:I1350,I$4:I1350&lt;=W172),1),I$4:I1350))))"),1.1789003E7)</f>
        <v>11789003</v>
      </c>
      <c r="N172" s="60">
        <f t="shared" si="8"/>
        <v>-154.42935</v>
      </c>
      <c r="O172" s="61" t="str">
        <f t="shared" si="9"/>
        <v>11,8M</v>
      </c>
      <c r="P172" s="56">
        <f t="shared" si="10"/>
        <v>12</v>
      </c>
      <c r="Q172" s="105" t="s">
        <v>10</v>
      </c>
      <c r="R172" s="10" t="b">
        <f>IFERROR(__xludf.DUMMYFUNCTION("IF(COUNTA(Q172:Q1350)=0,"""",IF(ISBLANK(Q172),FALSE,IF(NOT(COUNTIF($AA$24:$AA$34,SUBSTITUTE(Q172,""Sell_"",""""))),1,IF(REGEXMATCH(Q172,""Sell_""),IF(COUNTIF(Q$4:Q172,SUBSTITUTE(Q172,""Sell_"",""""))-COUNTIF(Q$4:Q171,Q172)&lt;1,1),FALSE))))"),FALSE)</f>
        <v>0</v>
      </c>
      <c r="S172" s="59">
        <f t="array" ref="S172">IF(COUNTA(Q172:Q1350)=0,"",SUM((COUNTIF(Q$4:Q172,Upgrades!$B$3:$B$13)-COUNTIF(Q$4:Q172,"Sell_"&amp;Upgrades!$B$3:$B$13))*Upgrades!$D$3:$D$13))</f>
        <v>84358.6</v>
      </c>
      <c r="T172" s="66">
        <f>IFERROR(__xludf.DUMMYFUNCTION("IF(COUNTA(Q172:Q1350)=0,"""",IF(REGEXMATCH(INDEX(FILTER(Q$4:Q172,Q$4:Q172&lt;&gt;""""),ROWS(FILTER(Q$4:Q172,Q$4:Q172&lt;&gt;""""))),""^Sell_""),INDEX(FILTER(T$4:T171,Q$4:Q171&lt;&gt;""""),ROWS(FILTER(Q$4:Q171,Q$4:Q171&lt;&gt;""""))),$AD$5+S172))"),84558.6)</f>
        <v>84558.6</v>
      </c>
      <c r="U172" s="10">
        <f>IFERROR(__xludf.DUMMYFUNCTION("IF(COUNTA(Q172:Q1350)=0,"""",IF(Q172="""",0,IF(REGEXMATCH(Q172,""^Sell_""),-ROUNDDOWN(ROUNDUP(INDEX(Upgrades!$C$3:$C$13,MATCH(SUBSTITUTE(Q172,""Sell_"",""""),Upgrades!$B$3:$B$13,0))*1.15^(COUNTIF(Q$4:Q171,SUBSTITUTE(Q172,""Sell_"",""""))-COUNTIF(Q$4:Q171,"&amp;"""Sell_""&amp;SUBSTITUTE(Q172,""Sell_"",""""))))/2),ROUNDUP(INDEX(Upgrades!$C$3:$C$13,MATCH(Q172,Upgrades!$B$3:$B$13,0))*1.15^(COUNTIF(Q$4:Q171,Q172)-COUNTIF(Q$4:Q171,""Sell_""&amp;Q172))))))"),7753983.0)</f>
        <v>7753983</v>
      </c>
      <c r="V172" s="10">
        <f t="shared" si="11"/>
        <v>7753983</v>
      </c>
      <c r="W172" s="68">
        <f t="shared" si="12"/>
        <v>3045.621608</v>
      </c>
      <c r="X172" s="59" t="str">
        <f t="shared" si="13"/>
        <v>50m 45s</v>
      </c>
      <c r="Y172" s="69">
        <f t="shared" si="14"/>
        <v>52372009</v>
      </c>
      <c r="Z172" s="11"/>
    </row>
    <row r="173">
      <c r="A173" s="8"/>
      <c r="B173" s="56" t="str">
        <f t="shared" si="2"/>
        <v/>
      </c>
      <c r="C173" s="57"/>
      <c r="D173" s="10" t="str">
        <f>IFERROR(__xludf.DUMMYFUNCTION("IF(COUNTA(C173:C1350)=0,"""",IF(ISBLANK(C173),FALSE,IF(NOT(COUNTIF($AA$24:$AA$34,SUBSTITUTE(C173,""Sell_"",""""))),1,IF(REGEXMATCH(C173,""Sell_""),IF(COUNTIF(C$4:C173,SUBSTITUTE(C173,""Sell_"",""""))-COUNTIF(C$4:C172,C173)&lt;1,1),FALSE))))"),"")</f>
        <v/>
      </c>
      <c r="E173" s="59" t="str">
        <f t="array" ref="E173">IF(COUNTA(C173:C1350)=0,"",SUM((COUNTIF(C$4:C173,Upgrades!$B$3:$B$13)-COUNTIF(C$4:C173,"Sell_"&amp;Upgrades!$B$3:$B$13))*Upgrades!$D$3:$D$13))</f>
        <v/>
      </c>
      <c r="F173" s="66" t="str">
        <f>IFERROR(__xludf.DUMMYFUNCTION("IF(COUNTA(C173:C1350)=0,"""",IF(REGEXMATCH(INDEX(FILTER(C$4:C173,C$4:C173&lt;&gt;""""),ROWS(FILTER(C$4:C173,C$4:C173&lt;&gt;""""))),""^Sell_""),INDEX(FILTER(F$4:F172,C$4:C172&lt;&gt;""""),ROWS(FILTER(C$4:C172,C$4:C172&lt;&gt;""""))),$AC$5+E173))"),"")</f>
        <v/>
      </c>
      <c r="G173" s="10" t="str">
        <f>IFERROR(__xludf.DUMMYFUNCTION("IF(COUNTA(C173:C1350)=0,"""",IF(C173="""",0,IF(REGEXMATCH(C173,""^Sell_""),-ROUNDDOWN(ROUNDUP(INDEX(Upgrades!$C$3:$C$13,MATCH(SUBSTITUTE(C173,""Sell_"",""""),Upgrades!$B$3:$B$13,0))*1.15^(COUNTIF(C$4:C172,SUBSTITUTE(C173,""Sell_"",""""))-COUNTIF(C$4:C172,"&amp;"""Sell_""&amp;SUBSTITUTE(C173,""Sell_"",""""))))/2),ROUNDUP(INDEX(Upgrades!$C$3:$C$13,MATCH(C173,Upgrades!$B$3:$B$13,0))*1.15^(COUNTIF(C$4:C172,C173)-COUNTIF(C$4:C172,""Sell_""&amp;C173))))))"),"")</f>
        <v/>
      </c>
      <c r="H173" s="10" t="str">
        <f t="shared" si="3"/>
        <v/>
      </c>
      <c r="I173" s="68" t="str">
        <f t="shared" si="4"/>
        <v/>
      </c>
      <c r="J173" s="59" t="str">
        <f t="shared" si="5"/>
        <v/>
      </c>
      <c r="K173" s="69" t="str">
        <f t="shared" si="6"/>
        <v/>
      </c>
      <c r="L173" s="60">
        <f t="shared" si="7"/>
        <v>-154.39213</v>
      </c>
      <c r="M173" s="61">
        <f>IFERROR(__xludf.DUMMYFUNCTION("IFS(AND(COUNTA(C173:C1350)=0,COUNTA(Q173:Q1350)=0),"""",OR(AND(K173&gt;=1000000000,OR(Y173&gt;=1000000000,COUNTA(Q173:Q1350)=0)),OR(Y173&gt;=1000000000,AND(COUNTA(C173:C1350)=0,P$3=TRUE))),
ROUNDDOWN((AB$1-AC$1)*MAX(INDEX(T$4:T1350,MATCH(LARGE(FILTER(Y$4:Y1350,Y$4"&amp;":Y1350&lt;1000000000),1),Y$4:Y1350)),INDEX(F$4:F1350,MATCH(LARGE(FILTER(K$4:K1350,K$4:K1350&lt;1000000000),1),K$4:K1350)))),AND(K173&lt;1000000000,COUNTA(C173:C1350)&gt;0,P$3=FALSE),
ROUNDDOWN(INDEX(Y$4:Y1350,MATCH(LARGE(FILTER(W$4:W1350,W$4:W1350&lt;=I173),1),W$4:W1350"&amp;"))+(I173-LARGE(FILTER(W$4:W1350,W$4:W1350&lt;=I173),1))*INDEX(T$4:T1350,MATCH(LARGE(FILTER(W$4:W1350,W$4:W1350&lt;=I173),1),W$4:W1350))-K173),1,
ROUNDDOWN(Y173-INDEX(K$4:K1350,MATCH(LARGE(FILTER(I$4:I1350,I$4:I1350&lt;=W173),1),I$4:I1350))-(W173-LARGE(FILTER(I$4:I"&amp;"1350,I$4:I1350&lt;=W173),1))*INDEX(F$4:F1350,MATCH(LARGE(FILTER(I$4:I1350,I$4:I1350&lt;=W173),1),I$4:I1350))))"),1.1873871E7)</f>
        <v>11873871</v>
      </c>
      <c r="N173" s="60">
        <f t="shared" si="8"/>
        <v>-154.39213</v>
      </c>
      <c r="O173" s="61" t="str">
        <f t="shared" si="9"/>
        <v>11,9M</v>
      </c>
      <c r="P173" s="56">
        <f t="shared" si="10"/>
        <v>8</v>
      </c>
      <c r="Q173" s="105" t="s">
        <v>9</v>
      </c>
      <c r="R173" s="10" t="b">
        <f>IFERROR(__xludf.DUMMYFUNCTION("IF(COUNTA(Q173:Q1350)=0,"""",IF(ISBLANK(Q173),FALSE,IF(NOT(COUNTIF($AA$24:$AA$34,SUBSTITUTE(Q173,""Sell_"",""""))),1,IF(REGEXMATCH(Q173,""Sell_""),IF(COUNTIF(Q$4:Q173,SUBSTITUTE(Q173,""Sell_"",""""))-COUNTIF(Q$4:Q172,Q173)&lt;1,1),FALSE))))"),FALSE)</f>
        <v>0</v>
      </c>
      <c r="S173" s="59">
        <f t="array" ref="S173">IF(COUNTA(Q173:Q1350)=0,"",SUM((COUNTIF(Q$4:Q173,Upgrades!$B$3:$B$13)-COUNTIF(Q$4:Q173,"Sell_"&amp;Upgrades!$B$3:$B$13))*Upgrades!$D$3:$D$13))</f>
        <v>84758.6</v>
      </c>
      <c r="T173" s="66">
        <f>IFERROR(__xludf.DUMMYFUNCTION("IF(COUNTA(Q173:Q1350)=0,"""",IF(REGEXMATCH(INDEX(FILTER(Q$4:Q173,Q$4:Q173&lt;&gt;""""),ROWS(FILTER(Q$4:Q173,Q$4:Q173&lt;&gt;""""))),""^Sell_""),INDEX(FILTER(T$4:T172,Q$4:Q172&lt;&gt;""""),ROWS(FILTER(Q$4:Q172,Q$4:Q172&lt;&gt;""""))),$AD$5+S173))"),84958.6)</f>
        <v>84958.6</v>
      </c>
      <c r="U173" s="10">
        <f>IFERROR(__xludf.DUMMYFUNCTION("IF(COUNTA(Q173:Q1350)=0,"""",IF(Q173="""",0,IF(REGEXMATCH(Q173,""^Sell_""),-ROUNDDOWN(ROUNDUP(INDEX(Upgrades!$C$3:$C$13,MATCH(SUBSTITUTE(Q173,""Sell_"",""""),Upgrades!$B$3:$B$13,0))*1.15^(COUNTIF(Q$4:Q172,SUBSTITUTE(Q173,""Sell_"",""""))-COUNTIF(Q$4:Q172,"&amp;"""Sell_""&amp;SUBSTITUTE(Q173,""Sell_"",""""))))/2),ROUNDUP(INDEX(Upgrades!$C$3:$C$13,MATCH(Q173,Upgrades!$B$3:$B$13,0))*1.15^(COUNTIF(Q$4:Q172,Q173)-COUNTIF(Q$4:Q172,""Sell_""&amp;Q173))))))"),532004.0)</f>
        <v>532004</v>
      </c>
      <c r="V173" s="10">
        <f t="shared" si="11"/>
        <v>532004</v>
      </c>
      <c r="W173" s="68">
        <f t="shared" si="12"/>
        <v>3051.913151</v>
      </c>
      <c r="X173" s="59" t="str">
        <f t="shared" si="13"/>
        <v>50m 51s</v>
      </c>
      <c r="Y173" s="69">
        <f t="shared" si="14"/>
        <v>52904013</v>
      </c>
      <c r="Z173" s="11"/>
    </row>
    <row r="174">
      <c r="A174" s="8"/>
      <c r="B174" s="56" t="str">
        <f t="shared" si="2"/>
        <v/>
      </c>
      <c r="C174" s="57"/>
      <c r="D174" s="10" t="str">
        <f>IFERROR(__xludf.DUMMYFUNCTION("IF(COUNTA(C174:C1350)=0,"""",IF(ISBLANK(C174),FALSE,IF(NOT(COUNTIF($AA$24:$AA$34,SUBSTITUTE(C174,""Sell_"",""""))),1,IF(REGEXMATCH(C174,""Sell_""),IF(COUNTIF(C$4:C174,SUBSTITUTE(C174,""Sell_"",""""))-COUNTIF(C$4:C173,C174)&lt;1,1),FALSE))))"),"")</f>
        <v/>
      </c>
      <c r="E174" s="59" t="str">
        <f t="array" ref="E174">IF(COUNTA(C174:C1350)=0,"",SUM((COUNTIF(C$4:C174,Upgrades!$B$3:$B$13)-COUNTIF(C$4:C174,"Sell_"&amp;Upgrades!$B$3:$B$13))*Upgrades!$D$3:$D$13))</f>
        <v/>
      </c>
      <c r="F174" s="66" t="str">
        <f>IFERROR(__xludf.DUMMYFUNCTION("IF(COUNTA(C174:C1350)=0,"""",IF(REGEXMATCH(INDEX(FILTER(C$4:C174,C$4:C174&lt;&gt;""""),ROWS(FILTER(C$4:C174,C$4:C174&lt;&gt;""""))),""^Sell_""),INDEX(FILTER(F$4:F173,C$4:C173&lt;&gt;""""),ROWS(FILTER(C$4:C173,C$4:C173&lt;&gt;""""))),$AC$5+E174))"),"")</f>
        <v/>
      </c>
      <c r="G174" s="10" t="str">
        <f>IFERROR(__xludf.DUMMYFUNCTION("IF(COUNTA(C174:C1350)=0,"""",IF(C174="""",0,IF(REGEXMATCH(C174,""^Sell_""),-ROUNDDOWN(ROUNDUP(INDEX(Upgrades!$C$3:$C$13,MATCH(SUBSTITUTE(C174,""Sell_"",""""),Upgrades!$B$3:$B$13,0))*1.15^(COUNTIF(C$4:C173,SUBSTITUTE(C174,""Sell_"",""""))-COUNTIF(C$4:C173,"&amp;"""Sell_""&amp;SUBSTITUTE(C174,""Sell_"",""""))))/2),ROUNDUP(INDEX(Upgrades!$C$3:$C$13,MATCH(C174,Upgrades!$B$3:$B$13,0))*1.15^(COUNTIF(C$4:C173,C174)-COUNTIF(C$4:C173,""Sell_""&amp;C174))))))"),"")</f>
        <v/>
      </c>
      <c r="H174" s="10" t="str">
        <f t="shared" si="3"/>
        <v/>
      </c>
      <c r="I174" s="68" t="str">
        <f t="shared" si="4"/>
        <v/>
      </c>
      <c r="J174" s="59" t="str">
        <f t="shared" si="5"/>
        <v/>
      </c>
      <c r="K174" s="69" t="str">
        <f t="shared" si="6"/>
        <v/>
      </c>
      <c r="L174" s="60">
        <f t="shared" si="7"/>
        <v>-154.38846</v>
      </c>
      <c r="M174" s="61">
        <f>IFERROR(__xludf.DUMMYFUNCTION("IFS(AND(COUNTA(C174:C1350)=0,COUNTA(Q174:Q1350)=0),"""",OR(AND(K174&gt;=1000000000,OR(Y174&gt;=1000000000,COUNTA(Q174:Q1350)=0)),OR(Y174&gt;=1000000000,AND(COUNTA(C174:C1350)=0,P$3=TRUE))),
ROUNDDOWN((AB$1-AC$1)*MAX(INDEX(T$4:T1350,MATCH(LARGE(FILTER(Y$4:Y1350,Y$4"&amp;":Y1350&lt;1000000000),1),Y$4:Y1350)),INDEX(F$4:F1350,MATCH(LARGE(FILTER(K$4:K1350,K$4:K1350&lt;1000000000),1),K$4:K1350)))),AND(K174&lt;1000000000,COUNTA(C174:C1350)&gt;0,P$3=FALSE),
ROUNDDOWN(INDEX(Y$4:Y1350,MATCH(LARGE(FILTER(W$4:W1350,W$4:W1350&lt;=I174),1),W$4:W1350"&amp;"))+(I174-LARGE(FILTER(W$4:W1350,W$4:W1350&lt;=I174),1))*INDEX(T$4:T1350,MATCH(LARGE(FILTER(W$4:W1350,W$4:W1350&lt;=I174),1),W$4:W1350))-K174),1,
ROUNDDOWN(Y174-INDEX(K$4:K1350,MATCH(LARGE(FILTER(I$4:I1350,I$4:I1350&lt;=W174),1),I$4:I1350))-(W174-LARGE(FILTER(I$4:I"&amp;"1350,I$4:I1350&lt;=W174),1))*INDEX(F$4:F1350,MATCH(LARGE(FILTER(I$4:I1350,I$4:I1350&lt;=W174),1),I$4:I1350))))"),1.1882617E7)</f>
        <v>11882617</v>
      </c>
      <c r="N174" s="60">
        <f t="shared" si="8"/>
        <v>-154.38846</v>
      </c>
      <c r="O174" s="61" t="str">
        <f t="shared" si="9"/>
        <v>11,9M</v>
      </c>
      <c r="P174" s="56">
        <f t="shared" si="10"/>
        <v>13</v>
      </c>
      <c r="Q174" s="105" t="s">
        <v>7</v>
      </c>
      <c r="R174" s="10" t="b">
        <f>IFERROR(__xludf.DUMMYFUNCTION("IF(COUNTA(Q174:Q1350)=0,"""",IF(ISBLANK(Q174),FALSE,IF(NOT(COUNTIF($AA$24:$AA$34,SUBSTITUTE(Q174,""Sell_"",""""))),1,IF(REGEXMATCH(Q174,""Sell_""),IF(COUNTIF(Q$4:Q174,SUBSTITUTE(Q174,""Sell_"",""""))-COUNTIF(Q$4:Q173,Q174)&lt;1,1),FALSE))))"),FALSE)</f>
        <v>0</v>
      </c>
      <c r="S174" s="59">
        <f t="array" ref="S174">IF(COUNTA(Q174:Q1350)=0,"",SUM((COUNTIF(Q$4:Q174,Upgrades!$B$3:$B$13)-COUNTIF(Q$4:Q174,"Sell_"&amp;Upgrades!$B$3:$B$13))*Upgrades!$D$3:$D$13))</f>
        <v>84798.6</v>
      </c>
      <c r="T174" s="66">
        <f>IFERROR(__xludf.DUMMYFUNCTION("IF(COUNTA(Q174:Q1350)=0,"""",IF(REGEXMATCH(INDEX(FILTER(Q$4:Q174,Q$4:Q174&lt;&gt;""""),ROWS(FILTER(Q$4:Q174,Q$4:Q174&lt;&gt;""""))),""^Sell_""),INDEX(FILTER(T$4:T173,Q$4:Q173&lt;&gt;""""),ROWS(FILTER(Q$4:Q173,Q$4:Q173&lt;&gt;""""))),$AD$5+S174))"),84998.6)</f>
        <v>84998.6</v>
      </c>
      <c r="U174" s="10">
        <f>IFERROR(__xludf.DUMMYFUNCTION("IF(COUNTA(Q174:Q1350)=0,"""",IF(Q174="""",0,IF(REGEXMATCH(Q174,""^Sell_""),-ROUNDDOWN(ROUNDUP(INDEX(Upgrades!$C$3:$C$13,MATCH(SUBSTITUTE(Q174,""Sell_"",""""),Upgrades!$B$3:$B$13,0))*1.15^(COUNTIF(Q$4:Q173,SUBSTITUTE(Q174,""Sell_"",""""))-COUNTIF(Q$4:Q173,"&amp;"""Sell_""&amp;SUBSTITUTE(Q174,""Sell_"",""""))))/2),ROUNDUP(INDEX(Upgrades!$C$3:$C$13,MATCH(Q174,Upgrades!$B$3:$B$13,0))*1.15^(COUNTIF(Q$4:Q173,Q174)-COUNTIF(Q$4:Q173,""Sell_""&amp;Q174))))))"),53503.0)</f>
        <v>53503</v>
      </c>
      <c r="V174" s="10">
        <f t="shared" si="11"/>
        <v>53503</v>
      </c>
      <c r="W174" s="68">
        <f t="shared" si="12"/>
        <v>3052.542904</v>
      </c>
      <c r="X174" s="59" t="str">
        <f t="shared" si="13"/>
        <v>50m 52s</v>
      </c>
      <c r="Y174" s="69">
        <f t="shared" si="14"/>
        <v>52957516</v>
      </c>
      <c r="Z174" s="11"/>
    </row>
    <row r="175">
      <c r="A175" s="8"/>
      <c r="B175" s="56" t="str">
        <f t="shared" si="2"/>
        <v/>
      </c>
      <c r="C175" s="57"/>
      <c r="D175" s="10" t="str">
        <f>IFERROR(__xludf.DUMMYFUNCTION("IF(COUNTA(C175:C1350)=0,"""",IF(ISBLANK(C175),FALSE,IF(NOT(COUNTIF($AA$24:$AA$34,SUBSTITUTE(C175,""Sell_"",""""))),1,IF(REGEXMATCH(C175,""Sell_""),IF(COUNTIF(C$4:C175,SUBSTITUTE(C175,""Sell_"",""""))-COUNTIF(C$4:C174,C175)&lt;1,1),FALSE))))"),"")</f>
        <v/>
      </c>
      <c r="E175" s="59" t="str">
        <f t="array" ref="E175">IF(COUNTA(C175:C1350)=0,"",SUM((COUNTIF(C$4:C175,Upgrades!$B$3:$B$13)-COUNTIF(C$4:C175,"Sell_"&amp;Upgrades!$B$3:$B$13))*Upgrades!$D$3:$D$13))</f>
        <v/>
      </c>
      <c r="F175" s="66" t="str">
        <f>IFERROR(__xludf.DUMMYFUNCTION("IF(COUNTA(C175:C1350)=0,"""",IF(REGEXMATCH(INDEX(FILTER(C$4:C175,C$4:C175&lt;&gt;""""),ROWS(FILTER(C$4:C175,C$4:C175&lt;&gt;""""))),""^Sell_""),INDEX(FILTER(F$4:F174,C$4:C174&lt;&gt;""""),ROWS(FILTER(C$4:C174,C$4:C174&lt;&gt;""""))),$AC$5+E175))"),"")</f>
        <v/>
      </c>
      <c r="G175" s="10" t="str">
        <f>IFERROR(__xludf.DUMMYFUNCTION("IF(COUNTA(C175:C1350)=0,"""",IF(C175="""",0,IF(REGEXMATCH(C175,""^Sell_""),-ROUNDDOWN(ROUNDUP(INDEX(Upgrades!$C$3:$C$13,MATCH(SUBSTITUTE(C175,""Sell_"",""""),Upgrades!$B$3:$B$13,0))*1.15^(COUNTIF(C$4:C174,SUBSTITUTE(C175,""Sell_"",""""))-COUNTIF(C$4:C174,"&amp;"""Sell_""&amp;SUBSTITUTE(C175,""Sell_"",""""))))/2),ROUNDUP(INDEX(Upgrades!$C$3:$C$13,MATCH(C175,Upgrades!$B$3:$B$13,0))*1.15^(COUNTIF(C$4:C174,C175)-COUNTIF(C$4:C174,""Sell_""&amp;C175))))))"),"")</f>
        <v/>
      </c>
      <c r="H175" s="10" t="str">
        <f t="shared" si="3"/>
        <v/>
      </c>
      <c r="I175" s="68" t="str">
        <f t="shared" si="4"/>
        <v/>
      </c>
      <c r="J175" s="59" t="str">
        <f t="shared" si="5"/>
        <v/>
      </c>
      <c r="K175" s="69" t="str">
        <f t="shared" si="6"/>
        <v/>
      </c>
      <c r="L175" s="60">
        <f t="shared" si="7"/>
        <v>-154.38809</v>
      </c>
      <c r="M175" s="61">
        <f>IFERROR(__xludf.DUMMYFUNCTION("IFS(AND(COUNTA(C175:C1350)=0,COUNTA(Q175:Q1350)=0),"""",OR(AND(K175&gt;=1000000000,OR(Y175&gt;=1000000000,COUNTA(Q175:Q1350)=0)),OR(Y175&gt;=1000000000,AND(COUNTA(C175:C1350)=0,P$3=TRUE))),
ROUNDDOWN((AB$1-AC$1)*MAX(INDEX(T$4:T1350,MATCH(LARGE(FILTER(Y$4:Y1350,Y$4"&amp;":Y1350&lt;1000000000),1),Y$4:Y1350)),INDEX(F$4:F1350,MATCH(LARGE(FILTER(K$4:K1350,K$4:K1350&lt;1000000000),1),K$4:K1350)))),AND(K175&lt;1000000000,COUNTA(C175:C1350)&gt;0,P$3=FALSE),
ROUNDDOWN(INDEX(Y$4:Y1350,MATCH(LARGE(FILTER(W$4:W1350,W$4:W1350&lt;=I175),1),W$4:W1350"&amp;"))+(I175-LARGE(FILTER(W$4:W1350,W$4:W1350&lt;=I175),1))*INDEX(T$4:T1350,MATCH(LARGE(FILTER(W$4:W1350,W$4:W1350&lt;=I175),1),W$4:W1350))-K175),1,
ROUNDDOWN(Y175-INDEX(K$4:K1350,MATCH(LARGE(FILTER(I$4:I1350,I$4:I1350&lt;=W175),1),I$4:I1350))-(W175-LARGE(FILTER(I$4:I"&amp;"1350,I$4:I1350&lt;=W175),1))*INDEX(F$4:F1350,MATCH(LARGE(FILTER(I$4:I1350,I$4:I1350&lt;=W175),1),I$4:I1350))))"),1.1883499E7)</f>
        <v>11883499</v>
      </c>
      <c r="N175" s="60">
        <f t="shared" si="8"/>
        <v>-154.38809</v>
      </c>
      <c r="O175" s="61" t="str">
        <f t="shared" si="9"/>
        <v>11,9M</v>
      </c>
      <c r="P175" s="56">
        <f t="shared" si="10"/>
        <v>18</v>
      </c>
      <c r="Q175" s="105" t="s">
        <v>5</v>
      </c>
      <c r="R175" s="10" t="b">
        <f>IFERROR(__xludf.DUMMYFUNCTION("IF(COUNTA(Q175:Q1350)=0,"""",IF(ISBLANK(Q175),FALSE,IF(NOT(COUNTIF($AA$24:$AA$34,SUBSTITUTE(Q175,""Sell_"",""""))),1,IF(REGEXMATCH(Q175,""Sell_""),IF(COUNTIF(Q$4:Q175,SUBSTITUTE(Q175,""Sell_"",""""))-COUNTIF(Q$4:Q174,Q175)&lt;1,1),FALSE))))"),FALSE)</f>
        <v>0</v>
      </c>
      <c r="S175" s="59">
        <f t="array" ref="S175">IF(COUNTA(Q175:Q1350)=0,"",SUM((COUNTIF(Q$4:Q175,Upgrades!$B$3:$B$13)-COUNTIF(Q$4:Q175,"Sell_"&amp;Upgrades!$B$3:$B$13))*Upgrades!$D$3:$D$13))</f>
        <v>84802.6</v>
      </c>
      <c r="T175" s="66">
        <f>IFERROR(__xludf.DUMMYFUNCTION("IF(COUNTA(Q175:Q1350)=0,"""",IF(REGEXMATCH(INDEX(FILTER(Q$4:Q175,Q$4:Q175&lt;&gt;""""),ROWS(FILTER(Q$4:Q175,Q$4:Q175&lt;&gt;""""))),""^Sell_""),INDEX(FILTER(T$4:T174,Q$4:Q174&lt;&gt;""""),ROWS(FILTER(Q$4:Q174,Q$4:Q174&lt;&gt;""""))),$AD$5+S175))"),85002.6)</f>
        <v>85002.6</v>
      </c>
      <c r="U175" s="10">
        <f>IFERROR(__xludf.DUMMYFUNCTION("IF(COUNTA(Q175:Q1350)=0,"""",IF(Q175="""",0,IF(REGEXMATCH(Q175,""^Sell_""),-ROUNDDOWN(ROUNDUP(INDEX(Upgrades!$C$3:$C$13,MATCH(SUBSTITUTE(Q175,""Sell_"",""""),Upgrades!$B$3:$B$13,0))*1.15^(COUNTIF(Q$4:Q174,SUBSTITUTE(Q175,""Sell_"",""""))-COUNTIF(Q$4:Q174,"&amp;"""Sell_""&amp;SUBSTITUTE(Q175,""Sell_"",""""))))/2),ROUNDUP(INDEX(Upgrades!$C$3:$C$13,MATCH(Q175,Upgrades!$B$3:$B$13,0))*1.15^(COUNTIF(Q$4:Q174,Q175)-COUNTIF(Q$4:Q174,""Sell_""&amp;Q175))))))"),5381.0)</f>
        <v>5381</v>
      </c>
      <c r="V175" s="10">
        <f t="shared" si="11"/>
        <v>5381</v>
      </c>
      <c r="W175" s="68">
        <f t="shared" si="12"/>
        <v>3052.606211</v>
      </c>
      <c r="X175" s="59" t="str">
        <f t="shared" si="13"/>
        <v>50m 52s</v>
      </c>
      <c r="Y175" s="69">
        <f t="shared" si="14"/>
        <v>52962897</v>
      </c>
      <c r="Z175" s="11"/>
    </row>
    <row r="176">
      <c r="A176" s="8"/>
      <c r="B176" s="56" t="str">
        <f t="shared" si="2"/>
        <v/>
      </c>
      <c r="C176" s="57"/>
      <c r="D176" s="10" t="str">
        <f>IFERROR(__xludf.DUMMYFUNCTION("IF(COUNTA(C176:C1350)=0,"""",IF(ISBLANK(C176),FALSE,IF(NOT(COUNTIF($AA$24:$AA$34,SUBSTITUTE(C176,""Sell_"",""""))),1,IF(REGEXMATCH(C176,""Sell_""),IF(COUNTIF(C$4:C176,SUBSTITUTE(C176,""Sell_"",""""))-COUNTIF(C$4:C175,C176)&lt;1,1),FALSE))))"),"")</f>
        <v/>
      </c>
      <c r="E176" s="59" t="str">
        <f t="array" ref="E176">IF(COUNTA(C176:C1350)=0,"",SUM((COUNTIF(C$4:C176,Upgrades!$B$3:$B$13)-COUNTIF(C$4:C176,"Sell_"&amp;Upgrades!$B$3:$B$13))*Upgrades!$D$3:$D$13))</f>
        <v/>
      </c>
      <c r="F176" s="66" t="str">
        <f>IFERROR(__xludf.DUMMYFUNCTION("IF(COUNTA(C176:C1350)=0,"""",IF(REGEXMATCH(INDEX(FILTER(C$4:C176,C$4:C176&lt;&gt;""""),ROWS(FILTER(C$4:C176,C$4:C176&lt;&gt;""""))),""^Sell_""),INDEX(FILTER(F$4:F175,C$4:C175&lt;&gt;""""),ROWS(FILTER(C$4:C175,C$4:C175&lt;&gt;""""))),$AC$5+E176))"),"")</f>
        <v/>
      </c>
      <c r="G176" s="10" t="str">
        <f>IFERROR(__xludf.DUMMYFUNCTION("IF(COUNTA(C176:C1350)=0,"""",IF(C176="""",0,IF(REGEXMATCH(C176,""^Sell_""),-ROUNDDOWN(ROUNDUP(INDEX(Upgrades!$C$3:$C$13,MATCH(SUBSTITUTE(C176,""Sell_"",""""),Upgrades!$B$3:$B$13,0))*1.15^(COUNTIF(C$4:C175,SUBSTITUTE(C176,""Sell_"",""""))-COUNTIF(C$4:C175,"&amp;"""Sell_""&amp;SUBSTITUTE(C176,""Sell_"",""""))))/2),ROUNDUP(INDEX(Upgrades!$C$3:$C$13,MATCH(C176,Upgrades!$B$3:$B$13,0))*1.15^(COUNTIF(C$4:C175,C176)-COUNTIF(C$4:C175,""Sell_""&amp;C176))))))"),"")</f>
        <v/>
      </c>
      <c r="H176" s="10" t="str">
        <f t="shared" si="3"/>
        <v/>
      </c>
      <c r="I176" s="68" t="str">
        <f t="shared" si="4"/>
        <v/>
      </c>
      <c r="J176" s="59" t="str">
        <f t="shared" si="5"/>
        <v/>
      </c>
      <c r="K176" s="69" t="str">
        <f t="shared" si="6"/>
        <v/>
      </c>
      <c r="L176" s="60">
        <f t="shared" si="7"/>
        <v>-154.38714</v>
      </c>
      <c r="M176" s="61">
        <f>IFERROR(__xludf.DUMMYFUNCTION("IFS(AND(COUNTA(C176:C1350)=0,COUNTA(Q176:Q1350)=0),"""",OR(AND(K176&gt;=1000000000,OR(Y176&gt;=1000000000,COUNTA(Q176:Q1350)=0)),OR(Y176&gt;=1000000000,AND(COUNTA(C176:C1350)=0,P$3=TRUE))),
ROUNDDOWN((AB$1-AC$1)*MAX(INDEX(T$4:T1350,MATCH(LARGE(FILTER(Y$4:Y1350,Y$4"&amp;":Y1350&lt;1000000000),1),Y$4:Y1350)),INDEX(F$4:F1350,MATCH(LARGE(FILTER(K$4:K1350,K$4:K1350&lt;1000000000),1),K$4:K1350)))),AND(K176&lt;1000000000,COUNTA(C176:C1350)&gt;0,P$3=FALSE),
ROUNDDOWN(INDEX(Y$4:Y1350,MATCH(LARGE(FILTER(W$4:W1350,W$4:W1350&lt;=I176),1),W$4:W1350"&amp;"))+(I176-LARGE(FILTER(W$4:W1350,W$4:W1350&lt;=I176),1))*INDEX(T$4:T1350,MATCH(LARGE(FILTER(W$4:W1350,W$4:W1350&lt;=I176),1),W$4:W1350))-K176),1,
ROUNDDOWN(Y176-INDEX(K$4:K1350,MATCH(LARGE(FILTER(I$4:I1350,I$4:I1350&lt;=W176),1),I$4:I1350))-(W176-LARGE(FILTER(I$4:I"&amp;"1350,I$4:I1350&lt;=W176),1))*INDEX(F$4:F1350,MATCH(LARGE(FILTER(I$4:I1350,I$4:I1350&lt;=W176),1),I$4:I1350))))"),1.1885787E7)</f>
        <v>11885787</v>
      </c>
      <c r="N176" s="60">
        <f t="shared" si="8"/>
        <v>-154.38714</v>
      </c>
      <c r="O176" s="61" t="str">
        <f t="shared" si="9"/>
        <v>11,9M</v>
      </c>
      <c r="P176" s="56">
        <f t="shared" si="10"/>
        <v>12</v>
      </c>
      <c r="Q176" s="105" t="s">
        <v>6</v>
      </c>
      <c r="R176" s="10" t="b">
        <f>IFERROR(__xludf.DUMMYFUNCTION("IF(COUNTA(Q176:Q1350)=0,"""",IF(ISBLANK(Q176),FALSE,IF(NOT(COUNTIF($AA$24:$AA$34,SUBSTITUTE(Q176,""Sell_"",""""))),1,IF(REGEXMATCH(Q176,""Sell_""),IF(COUNTIF(Q$4:Q176,SUBSTITUTE(Q176,""Sell_"",""""))-COUNTIF(Q$4:Q175,Q176)&lt;1,1),FALSE))))"),FALSE)</f>
        <v>0</v>
      </c>
      <c r="S176" s="59">
        <f t="array" ref="S176">IF(COUNTA(Q176:Q1350)=0,"",SUM((COUNTIF(Q$4:Q176,Upgrades!$B$3:$B$13)-COUNTIF(Q$4:Q176,"Sell_"&amp;Upgrades!$B$3:$B$13))*Upgrades!$D$3:$D$13))</f>
        <v>84812.6</v>
      </c>
      <c r="T176" s="66">
        <f>IFERROR(__xludf.DUMMYFUNCTION("IF(COUNTA(Q176:Q1350)=0,"""",IF(REGEXMATCH(INDEX(FILTER(Q$4:Q176,Q$4:Q176&lt;&gt;""""),ROWS(FILTER(Q$4:Q176,Q$4:Q176&lt;&gt;""""))),""^Sell_""),INDEX(FILTER(T$4:T175,Q$4:Q175&lt;&gt;""""),ROWS(FILTER(Q$4:Q175,Q$4:Q175&lt;&gt;""""))),$AD$5+S176))"),85012.6)</f>
        <v>85012.6</v>
      </c>
      <c r="U176" s="10">
        <f>IFERROR(__xludf.DUMMYFUNCTION("IF(COUNTA(Q176:Q1350)=0,"""",IF(Q176="""",0,IF(REGEXMATCH(Q176,""^Sell_""),-ROUNDDOWN(ROUNDUP(INDEX(Upgrades!$C$3:$C$13,MATCH(SUBSTITUTE(Q176,""Sell_"",""""),Upgrades!$B$3:$B$13,0))*1.15^(COUNTIF(Q$4:Q175,SUBSTITUTE(Q176,""Sell_"",""""))-COUNTIF(Q$4:Q175,"&amp;"""Sell_""&amp;SUBSTITUTE(Q176,""Sell_"",""""))))/2),ROUNDUP(INDEX(Upgrades!$C$3:$C$13,MATCH(Q176,Upgrades!$B$3:$B$13,0))*1.15^(COUNTIF(Q$4:Q175,Q176)-COUNTIF(Q$4:Q175,""Sell_""&amp;Q176))))))"),13958.0)</f>
        <v>13958</v>
      </c>
      <c r="V176" s="10">
        <f t="shared" si="11"/>
        <v>13958</v>
      </c>
      <c r="W176" s="68">
        <f t="shared" si="12"/>
        <v>3052.770418</v>
      </c>
      <c r="X176" s="59" t="str">
        <f t="shared" si="13"/>
        <v>50m 52s</v>
      </c>
      <c r="Y176" s="69">
        <f t="shared" si="14"/>
        <v>52976855</v>
      </c>
      <c r="Z176" s="11"/>
    </row>
    <row r="177">
      <c r="A177" s="8"/>
      <c r="B177" s="56" t="str">
        <f t="shared" si="2"/>
        <v/>
      </c>
      <c r="C177" s="57"/>
      <c r="D177" s="10" t="str">
        <f>IFERROR(__xludf.DUMMYFUNCTION("IF(COUNTA(C177:C1350)=0,"""",IF(ISBLANK(C177),FALSE,IF(NOT(COUNTIF($AA$24:$AA$34,SUBSTITUTE(C177,""Sell_"",""""))),1,IF(REGEXMATCH(C177,""Sell_""),IF(COUNTIF(C$4:C177,SUBSTITUTE(C177,""Sell_"",""""))-COUNTIF(C$4:C176,C177)&lt;1,1),FALSE))))"),"")</f>
        <v/>
      </c>
      <c r="E177" s="59" t="str">
        <f t="array" ref="E177">IF(COUNTA(C177:C1350)=0,"",SUM((COUNTIF(C$4:C177,Upgrades!$B$3:$B$13)-COUNTIF(C$4:C177,"Sell_"&amp;Upgrades!$B$3:$B$13))*Upgrades!$D$3:$D$13))</f>
        <v/>
      </c>
      <c r="F177" s="66" t="str">
        <f>IFERROR(__xludf.DUMMYFUNCTION("IF(COUNTA(C177:C1350)=0,"""",IF(REGEXMATCH(INDEX(FILTER(C$4:C177,C$4:C177&lt;&gt;""""),ROWS(FILTER(C$4:C177,C$4:C177&lt;&gt;""""))),""^Sell_""),INDEX(FILTER(F$4:F176,C$4:C176&lt;&gt;""""),ROWS(FILTER(C$4:C176,C$4:C176&lt;&gt;""""))),$AC$5+E177))"),"")</f>
        <v/>
      </c>
      <c r="G177" s="10" t="str">
        <f>IFERROR(__xludf.DUMMYFUNCTION("IF(COUNTA(C177:C1350)=0,"""",IF(C177="""",0,IF(REGEXMATCH(C177,""^Sell_""),-ROUNDDOWN(ROUNDUP(INDEX(Upgrades!$C$3:$C$13,MATCH(SUBSTITUTE(C177,""Sell_"",""""),Upgrades!$B$3:$B$13,0))*1.15^(COUNTIF(C$4:C176,SUBSTITUTE(C177,""Sell_"",""""))-COUNTIF(C$4:C176,"&amp;"""Sell_""&amp;SUBSTITUTE(C177,""Sell_"",""""))))/2),ROUNDUP(INDEX(Upgrades!$C$3:$C$13,MATCH(C177,Upgrades!$B$3:$B$13,0))*1.15^(COUNTIF(C$4:C176,C177)-COUNTIF(C$4:C176,""Sell_""&amp;C177))))))"),"")</f>
        <v/>
      </c>
      <c r="H177" s="10" t="str">
        <f t="shared" si="3"/>
        <v/>
      </c>
      <c r="I177" s="68" t="str">
        <f t="shared" si="4"/>
        <v/>
      </c>
      <c r="J177" s="59" t="str">
        <f t="shared" si="5"/>
        <v/>
      </c>
      <c r="K177" s="69" t="str">
        <f t="shared" si="6"/>
        <v/>
      </c>
      <c r="L177" s="60">
        <f t="shared" si="7"/>
        <v>-154.37752</v>
      </c>
      <c r="M177" s="61">
        <f>IFERROR(__xludf.DUMMYFUNCTION("IFS(AND(COUNTA(C177:C1350)=0,COUNTA(Q177:Q1350)=0),"""",OR(AND(K177&gt;=1000000000,OR(Y177&gt;=1000000000,COUNTA(Q177:Q1350)=0)),OR(Y177&gt;=1000000000,AND(COUNTA(C177:C1350)=0,P$3=TRUE))),
ROUNDDOWN((AB$1-AC$1)*MAX(INDEX(T$4:T1350,MATCH(LARGE(FILTER(Y$4:Y1350,Y$4"&amp;":Y1350&lt;1000000000),1),Y$4:Y1350)),INDEX(F$4:F1350,MATCH(LARGE(FILTER(K$4:K1350,K$4:K1350&lt;1000000000),1),K$4:K1350)))),AND(K177&lt;1000000000,COUNTA(C177:C1350)&gt;0,P$3=FALSE),
ROUNDDOWN(INDEX(Y$4:Y1350,MATCH(LARGE(FILTER(W$4:W1350,W$4:W1350&lt;=I177),1),W$4:W1350"&amp;"))+(I177-LARGE(FILTER(W$4:W1350,W$4:W1350&lt;=I177),1))*INDEX(T$4:T1350,MATCH(LARGE(FILTER(W$4:W1350,W$4:W1350&lt;=I177),1),W$4:W1350))-K177),1,
ROUNDDOWN(Y177-INDEX(K$4:K1350,MATCH(LARGE(FILTER(I$4:I1350,I$4:I1350&lt;=W177),1),I$4:I1350))-(W177-LARGE(FILTER(I$4:I"&amp;"1350,I$4:I1350&lt;=W177),1))*INDEX(F$4:F1350,MATCH(LARGE(FILTER(I$4:I1350,I$4:I1350&lt;=W177),1),I$4:I1350))))"),1.1908866E7)</f>
        <v>11908866</v>
      </c>
      <c r="N177" s="60">
        <f t="shared" si="8"/>
        <v>-154.37752</v>
      </c>
      <c r="O177" s="61" t="str">
        <f t="shared" si="9"/>
        <v>11,9M</v>
      </c>
      <c r="P177" s="56">
        <f t="shared" si="10"/>
        <v>10</v>
      </c>
      <c r="Q177" s="105" t="s">
        <v>8</v>
      </c>
      <c r="R177" s="10" t="b">
        <f>IFERROR(__xludf.DUMMYFUNCTION("IF(COUNTA(Q177:Q1350)=0,"""",IF(ISBLANK(Q177),FALSE,IF(NOT(COUNTIF($AA$24:$AA$34,SUBSTITUTE(Q177,""Sell_"",""""))),1,IF(REGEXMATCH(Q177,""Sell_""),IF(COUNTIF(Q$4:Q177,SUBSTITUTE(Q177,""Sell_"",""""))-COUNTIF(Q$4:Q176,Q177)&lt;1,1),FALSE))))"),FALSE)</f>
        <v>0</v>
      </c>
      <c r="S177" s="59">
        <f t="array" ref="S177">IF(COUNTA(Q177:Q1350)=0,"",SUM((COUNTIF(Q$4:Q177,Upgrades!$B$3:$B$13)-COUNTIF(Q$4:Q177,"Sell_"&amp;Upgrades!$B$3:$B$13))*Upgrades!$D$3:$D$13))</f>
        <v>84912.6</v>
      </c>
      <c r="T177" s="66">
        <f>IFERROR(__xludf.DUMMYFUNCTION("IF(COUNTA(Q177:Q1350)=0,"""",IF(REGEXMATCH(INDEX(FILTER(Q$4:Q177,Q$4:Q177&lt;&gt;""""),ROWS(FILTER(Q$4:Q177,Q$4:Q177&lt;&gt;""""))),""^Sell_""),INDEX(FILTER(T$4:T176,Q$4:Q176&lt;&gt;""""),ROWS(FILTER(Q$4:Q176,Q$4:Q176&lt;&gt;""""))),$AD$5+S177))"),85112.6)</f>
        <v>85112.6</v>
      </c>
      <c r="U177" s="10">
        <f>IFERROR(__xludf.DUMMYFUNCTION("IF(COUNTA(Q177:Q1350)=0,"""",IF(Q177="""",0,IF(REGEXMATCH(Q177,""^Sell_""),-ROUNDDOWN(ROUNDUP(INDEX(Upgrades!$C$3:$C$13,MATCH(SUBSTITUTE(Q177,""Sell_"",""""),Upgrades!$B$3:$B$13,0))*1.15^(COUNTIF(Q$4:Q176,SUBSTITUTE(Q177,""Sell_"",""""))-COUNTIF(Q$4:Q176,"&amp;"""Sell_""&amp;SUBSTITUTE(Q177,""Sell_"",""""))))/2),ROUNDUP(INDEX(Upgrades!$C$3:$C$13,MATCH(Q177,Upgrades!$B$3:$B$13,0))*1.15^(COUNTIF(Q$4:Q176,Q177)-COUNTIF(Q$4:Q176,""Sell_""&amp;Q177))))))"),140716.0)</f>
        <v>140716</v>
      </c>
      <c r="V177" s="10">
        <f t="shared" si="11"/>
        <v>140716</v>
      </c>
      <c r="W177" s="68">
        <f t="shared" si="12"/>
        <v>3054.425655</v>
      </c>
      <c r="X177" s="59" t="str">
        <f t="shared" si="13"/>
        <v>50m 54s</v>
      </c>
      <c r="Y177" s="69">
        <f t="shared" si="14"/>
        <v>53117571</v>
      </c>
      <c r="Z177" s="11"/>
    </row>
    <row r="178">
      <c r="A178" s="8"/>
      <c r="B178" s="56" t="str">
        <f t="shared" si="2"/>
        <v/>
      </c>
      <c r="C178" s="57"/>
      <c r="D178" s="10" t="str">
        <f>IFERROR(__xludf.DUMMYFUNCTION("IF(COUNTA(C178:C1350)=0,"""",IF(ISBLANK(C178),FALSE,IF(NOT(COUNTIF($AA$24:$AA$34,SUBSTITUTE(C178,""Sell_"",""""))),1,IF(REGEXMATCH(C178,""Sell_""),IF(COUNTIF(C$4:C178,SUBSTITUTE(C178,""Sell_"",""""))-COUNTIF(C$4:C177,C178)&lt;1,1),FALSE))))"),"")</f>
        <v/>
      </c>
      <c r="E178" s="59" t="str">
        <f t="array" ref="E178">IF(COUNTA(C178:C1350)=0,"",SUM((COUNTIF(C$4:C178,Upgrades!$B$3:$B$13)-COUNTIF(C$4:C178,"Sell_"&amp;Upgrades!$B$3:$B$13))*Upgrades!$D$3:$D$13))</f>
        <v/>
      </c>
      <c r="F178" s="66" t="str">
        <f>IFERROR(__xludf.DUMMYFUNCTION("IF(COUNTA(C178:C1350)=0,"""",IF(REGEXMATCH(INDEX(FILTER(C$4:C178,C$4:C178&lt;&gt;""""),ROWS(FILTER(C$4:C178,C$4:C178&lt;&gt;""""))),""^Sell_""),INDEX(FILTER(F$4:F177,C$4:C177&lt;&gt;""""),ROWS(FILTER(C$4:C177,C$4:C177&lt;&gt;""""))),$AC$5+E178))"),"")</f>
        <v/>
      </c>
      <c r="G178" s="10" t="str">
        <f>IFERROR(__xludf.DUMMYFUNCTION("IF(COUNTA(C178:C1350)=0,"""",IF(C178="""",0,IF(REGEXMATCH(C178,""^Sell_""),-ROUNDDOWN(ROUNDUP(INDEX(Upgrades!$C$3:$C$13,MATCH(SUBSTITUTE(C178,""Sell_"",""""),Upgrades!$B$3:$B$13,0))*1.15^(COUNTIF(C$4:C177,SUBSTITUTE(C178,""Sell_"",""""))-COUNTIF(C$4:C177,"&amp;"""Sell_""&amp;SUBSTITUTE(C178,""Sell_"",""""))))/2),ROUNDUP(INDEX(Upgrades!$C$3:$C$13,MATCH(C178,Upgrades!$B$3:$B$13,0))*1.15^(COUNTIF(C$4:C177,C178)-COUNTIF(C$4:C177,""Sell_""&amp;C178))))))"),"")</f>
        <v/>
      </c>
      <c r="H178" s="10" t="str">
        <f t="shared" si="3"/>
        <v/>
      </c>
      <c r="I178" s="68" t="str">
        <f t="shared" si="4"/>
        <v/>
      </c>
      <c r="J178" s="59" t="str">
        <f t="shared" si="5"/>
        <v/>
      </c>
      <c r="K178" s="69" t="str">
        <f t="shared" si="6"/>
        <v/>
      </c>
      <c r="L178" s="60">
        <f t="shared" si="7"/>
        <v>-154.37751</v>
      </c>
      <c r="M178" s="61">
        <f>IFERROR(__xludf.DUMMYFUNCTION("IFS(AND(COUNTA(C178:C1350)=0,COUNTA(Q178:Q1350)=0),"""",OR(AND(K178&gt;=1000000000,OR(Y178&gt;=1000000000,COUNTA(Q178:Q1350)=0)),OR(Y178&gt;=1000000000,AND(COUNTA(C178:C1350)=0,P$3=TRUE))),
ROUNDDOWN((AB$1-AC$1)*MAX(INDEX(T$4:T1350,MATCH(LARGE(FILTER(Y$4:Y1350,Y$4"&amp;":Y1350&lt;1000000000),1),Y$4:Y1350)),INDEX(F$4:F1350,MATCH(LARGE(FILTER(K$4:K1350,K$4:K1350&lt;1000000000),1),K$4:K1350)))),AND(K178&lt;1000000000,COUNTA(C178:C1350)&gt;0,P$3=FALSE),
ROUNDDOWN(INDEX(Y$4:Y1350,MATCH(LARGE(FILTER(W$4:W1350,W$4:W1350&lt;=I178),1),W$4:W1350"&amp;"))+(I178-LARGE(FILTER(W$4:W1350,W$4:W1350&lt;=I178),1))*INDEX(T$4:T1350,MATCH(LARGE(FILTER(W$4:W1350,W$4:W1350&lt;=I178),1),W$4:W1350))-K178),1,
ROUNDDOWN(Y178-INDEX(K$4:K1350,MATCH(LARGE(FILTER(I$4:I1350,I$4:I1350&lt;=W178),1),I$4:I1350))-(W178-LARGE(FILTER(I$4:I"&amp;"1350,I$4:I1350&lt;=W178),1))*INDEX(F$4:F1350,MATCH(LARGE(FILTER(I$4:I1350,I$4:I1350&lt;=W178),1),I$4:I1350))))"),1.1908889E7)</f>
        <v>11908889</v>
      </c>
      <c r="N178" s="60">
        <f t="shared" si="8"/>
        <v>-154.37751</v>
      </c>
      <c r="O178" s="61" t="str">
        <f t="shared" si="9"/>
        <v>11,9M</v>
      </c>
      <c r="P178" s="56">
        <f t="shared" si="10"/>
        <v>17</v>
      </c>
      <c r="Q178" s="105" t="s">
        <v>3</v>
      </c>
      <c r="R178" s="10" t="b">
        <f>IFERROR(__xludf.DUMMYFUNCTION("IF(COUNTA(Q178:Q1350)=0,"""",IF(ISBLANK(Q178),FALSE,IF(NOT(COUNTIF($AA$24:$AA$34,SUBSTITUTE(Q178,""Sell_"",""""))),1,IF(REGEXMATCH(Q178,""Sell_""),IF(COUNTIF(Q$4:Q178,SUBSTITUTE(Q178,""Sell_"",""""))-COUNTIF(Q$4:Q177,Q178)&lt;1,1),FALSE))))"),FALSE)</f>
        <v>0</v>
      </c>
      <c r="S178" s="59">
        <f t="array" ref="S178">IF(COUNTA(Q178:Q1350)=0,"",SUM((COUNTIF(Q$4:Q178,Upgrades!$B$3:$B$13)-COUNTIF(Q$4:Q178,"Sell_"&amp;Upgrades!$B$3:$B$13))*Upgrades!$D$3:$D$13))</f>
        <v>84912.7</v>
      </c>
      <c r="T178" s="66">
        <f>IFERROR(__xludf.DUMMYFUNCTION("IF(COUNTA(Q178:Q1350)=0,"""",IF(REGEXMATCH(INDEX(FILTER(Q$4:Q178,Q$4:Q178&lt;&gt;""""),ROWS(FILTER(Q$4:Q178,Q$4:Q178&lt;&gt;""""))),""^Sell_""),INDEX(FILTER(T$4:T177,Q$4:Q177&lt;&gt;""""),ROWS(FILTER(Q$4:Q177,Q$4:Q177&lt;&gt;""""))),$AD$5+S178))"),85112.7)</f>
        <v>85112.7</v>
      </c>
      <c r="U178" s="10">
        <f>IFERROR(__xludf.DUMMYFUNCTION("IF(COUNTA(Q178:Q1350)=0,"""",IF(Q178="""",0,IF(REGEXMATCH(Q178,""^Sell_""),-ROUNDDOWN(ROUNDUP(INDEX(Upgrades!$C$3:$C$13,MATCH(SUBSTITUTE(Q178,""Sell_"",""""),Upgrades!$B$3:$B$13,0))*1.15^(COUNTIF(Q$4:Q177,SUBSTITUTE(Q178,""Sell_"",""""))-COUNTIF(Q$4:Q177,"&amp;"""Sell_""&amp;SUBSTITUTE(Q178,""Sell_"",""""))))/2),ROUNDUP(INDEX(Upgrades!$C$3:$C$13,MATCH(Q178,Upgrades!$B$3:$B$13,0))*1.15^(COUNTIF(Q$4:Q177,Q178)-COUNTIF(Q$4:Q177,""Sell_""&amp;Q178))))))"),141.0)</f>
        <v>141</v>
      </c>
      <c r="V178" s="10">
        <f t="shared" si="11"/>
        <v>141</v>
      </c>
      <c r="W178" s="68">
        <f t="shared" si="12"/>
        <v>3054.427312</v>
      </c>
      <c r="X178" s="59" t="str">
        <f t="shared" si="13"/>
        <v>50m 54s</v>
      </c>
      <c r="Y178" s="69">
        <f t="shared" si="14"/>
        <v>53117712</v>
      </c>
      <c r="Z178" s="11"/>
    </row>
    <row r="179">
      <c r="A179" s="8"/>
      <c r="B179" s="56" t="str">
        <f t="shared" si="2"/>
        <v/>
      </c>
      <c r="C179" s="57"/>
      <c r="D179" s="10" t="str">
        <f>IFERROR(__xludf.DUMMYFUNCTION("IF(COUNTA(C179:C1350)=0,"""",IF(ISBLANK(C179),FALSE,IF(NOT(COUNTIF($AA$24:$AA$34,SUBSTITUTE(C179,""Sell_"",""""))),1,IF(REGEXMATCH(C179,""Sell_""),IF(COUNTIF(C$4:C179,SUBSTITUTE(C179,""Sell_"",""""))-COUNTIF(C$4:C178,C179)&lt;1,1),FALSE))))"),"")</f>
        <v/>
      </c>
      <c r="E179" s="59" t="str">
        <f t="array" ref="E179">IF(COUNTA(C179:C1350)=0,"",SUM((COUNTIF(C$4:C179,Upgrades!$B$3:$B$13)-COUNTIF(C$4:C179,"Sell_"&amp;Upgrades!$B$3:$B$13))*Upgrades!$D$3:$D$13))</f>
        <v/>
      </c>
      <c r="F179" s="66" t="str">
        <f>IFERROR(__xludf.DUMMYFUNCTION("IF(COUNTA(C179:C1350)=0,"""",IF(REGEXMATCH(INDEX(FILTER(C$4:C179,C$4:C179&lt;&gt;""""),ROWS(FILTER(C$4:C179,C$4:C179&lt;&gt;""""))),""^Sell_""),INDEX(FILTER(F$4:F178,C$4:C178&lt;&gt;""""),ROWS(FILTER(C$4:C178,C$4:C178&lt;&gt;""""))),$AC$5+E179))"),"")</f>
        <v/>
      </c>
      <c r="G179" s="10" t="str">
        <f>IFERROR(__xludf.DUMMYFUNCTION("IF(COUNTA(C179:C1350)=0,"""",IF(C179="""",0,IF(REGEXMATCH(C179,""^Sell_""),-ROUNDDOWN(ROUNDUP(INDEX(Upgrades!$C$3:$C$13,MATCH(SUBSTITUTE(C179,""Sell_"",""""),Upgrades!$B$3:$B$13,0))*1.15^(COUNTIF(C$4:C178,SUBSTITUTE(C179,""Sell_"",""""))-COUNTIF(C$4:C178,"&amp;"""Sell_""&amp;SUBSTITUTE(C179,""Sell_"",""""))))/2),ROUNDUP(INDEX(Upgrades!$C$3:$C$13,MATCH(C179,Upgrades!$B$3:$B$13,0))*1.15^(COUNTIF(C$4:C178,C179)-COUNTIF(C$4:C178,""Sell_""&amp;C179))))))"),"")</f>
        <v/>
      </c>
      <c r="H179" s="10" t="str">
        <f t="shared" si="3"/>
        <v/>
      </c>
      <c r="I179" s="68" t="str">
        <f t="shared" si="4"/>
        <v/>
      </c>
      <c r="J179" s="59" t="str">
        <f t="shared" si="5"/>
        <v/>
      </c>
      <c r="K179" s="69" t="str">
        <f t="shared" si="6"/>
        <v/>
      </c>
      <c r="L179" s="60">
        <f t="shared" si="7"/>
        <v>-154.37747</v>
      </c>
      <c r="M179" s="61">
        <f>IFERROR(__xludf.DUMMYFUNCTION("IFS(AND(COUNTA(C179:C1350)=0,COUNTA(Q179:Q1350)=0),"""",OR(AND(K179&gt;=1000000000,OR(Y179&gt;=1000000000,COUNTA(Q179:Q1350)=0)),OR(Y179&gt;=1000000000,AND(COUNTA(C179:C1350)=0,P$3=TRUE))),
ROUNDDOWN((AB$1-AC$1)*MAX(INDEX(T$4:T1350,MATCH(LARGE(FILTER(Y$4:Y1350,Y$4"&amp;":Y1350&lt;1000000000),1),Y$4:Y1350)),INDEX(F$4:F1350,MATCH(LARGE(FILTER(K$4:K1350,K$4:K1350&lt;1000000000),1),K$4:K1350)))),AND(K179&lt;1000000000,COUNTA(C179:C1350)&gt;0,P$3=FALSE),
ROUNDDOWN(INDEX(Y$4:Y1350,MATCH(LARGE(FILTER(W$4:W1350,W$4:W1350&lt;=I179),1),W$4:W1350"&amp;"))+(I179-LARGE(FILTER(W$4:W1350,W$4:W1350&lt;=I179),1))*INDEX(T$4:T1350,MATCH(LARGE(FILTER(W$4:W1350,W$4:W1350&lt;=I179),1),W$4:W1350))-K179),1,
ROUNDDOWN(Y179-INDEX(K$4:K1350,MATCH(LARGE(FILTER(I$4:I1350,I$4:I1350&lt;=W179),1),I$4:I1350))-(W179-LARGE(FILTER(I$4:I"&amp;"1350,I$4:I1350&lt;=W179),1))*INDEX(F$4:F1350,MATCH(LARGE(FILTER(I$4:I1350,I$4:I1350&lt;=W179),1),I$4:I1350))))"),1.1909006E7)</f>
        <v>11909006</v>
      </c>
      <c r="N179" s="60">
        <f t="shared" si="8"/>
        <v>-154.37747</v>
      </c>
      <c r="O179" s="61" t="str">
        <f t="shared" si="9"/>
        <v>11,9M</v>
      </c>
      <c r="P179" s="56">
        <f t="shared" si="10"/>
        <v>15</v>
      </c>
      <c r="Q179" s="105" t="s">
        <v>4</v>
      </c>
      <c r="R179" s="10" t="b">
        <f>IFERROR(__xludf.DUMMYFUNCTION("IF(COUNTA(Q179:Q1350)=0,"""",IF(ISBLANK(Q179),FALSE,IF(NOT(COUNTIF($AA$24:$AA$34,SUBSTITUTE(Q179,""Sell_"",""""))),1,IF(REGEXMATCH(Q179,""Sell_""),IF(COUNTIF(Q$4:Q179,SUBSTITUTE(Q179,""Sell_"",""""))-COUNTIF(Q$4:Q178,Q179)&lt;1,1),FALSE))))"),FALSE)</f>
        <v>0</v>
      </c>
      <c r="S179" s="59">
        <f t="array" ref="S179">IF(COUNTA(Q179:Q1350)=0,"",SUM((COUNTIF(Q$4:Q179,Upgrades!$B$3:$B$13)-COUNTIF(Q$4:Q179,"Sell_"&amp;Upgrades!$B$3:$B$13))*Upgrades!$D$3:$D$13))</f>
        <v>84913.2</v>
      </c>
      <c r="T179" s="66">
        <f>IFERROR(__xludf.DUMMYFUNCTION("IF(COUNTA(Q179:Q1350)=0,"""",IF(REGEXMATCH(INDEX(FILTER(Q$4:Q179,Q$4:Q179&lt;&gt;""""),ROWS(FILTER(Q$4:Q179,Q$4:Q179&lt;&gt;""""))),""^Sell_""),INDEX(FILTER(T$4:T178,Q$4:Q178&lt;&gt;""""),ROWS(FILTER(Q$4:Q178,Q$4:Q178&lt;&gt;""""))),$AD$5+S179))"),85113.2)</f>
        <v>85113.2</v>
      </c>
      <c r="U179" s="10">
        <f>IFERROR(__xludf.DUMMYFUNCTION("IF(COUNTA(Q179:Q1350)=0,"""",IF(Q179="""",0,IF(REGEXMATCH(Q179,""^Sell_""),-ROUNDDOWN(ROUNDUP(INDEX(Upgrades!$C$3:$C$13,MATCH(SUBSTITUTE(Q179,""Sell_"",""""),Upgrades!$B$3:$B$13,0))*1.15^(COUNTIF(Q$4:Q178,SUBSTITUTE(Q179,""Sell_"",""""))-COUNTIF(Q$4:Q178,"&amp;"""Sell_""&amp;SUBSTITUTE(Q179,""Sell_"",""""))))/2),ROUNDUP(INDEX(Upgrades!$C$3:$C$13,MATCH(Q179,Upgrades!$B$3:$B$13,0))*1.15^(COUNTIF(Q$4:Q178,Q179)-COUNTIF(Q$4:Q178,""Sell_""&amp;Q179))))))"),708.0)</f>
        <v>708</v>
      </c>
      <c r="V179" s="10">
        <f t="shared" si="11"/>
        <v>708</v>
      </c>
      <c r="W179" s="68">
        <f t="shared" si="12"/>
        <v>3054.43563</v>
      </c>
      <c r="X179" s="59" t="str">
        <f t="shared" si="13"/>
        <v>50m 54s</v>
      </c>
      <c r="Y179" s="69">
        <f t="shared" si="14"/>
        <v>53118420</v>
      </c>
      <c r="Z179" s="11"/>
    </row>
    <row r="180">
      <c r="A180" s="8"/>
      <c r="B180" s="56" t="str">
        <f t="shared" si="2"/>
        <v/>
      </c>
      <c r="C180" s="57"/>
      <c r="D180" s="10" t="str">
        <f>IFERROR(__xludf.DUMMYFUNCTION("IF(COUNTA(C180:C1350)=0,"""",IF(ISBLANK(C180),FALSE,IF(NOT(COUNTIF($AA$24:$AA$34,SUBSTITUTE(C180,""Sell_"",""""))),1,IF(REGEXMATCH(C180,""Sell_""),IF(COUNTIF(C$4:C180,SUBSTITUTE(C180,""Sell_"",""""))-COUNTIF(C$4:C179,C180)&lt;1,1),FALSE))))"),"")</f>
        <v/>
      </c>
      <c r="E180" s="59" t="str">
        <f t="array" ref="E180">IF(COUNTA(C180:C1350)=0,"",SUM((COUNTIF(C$4:C180,Upgrades!$B$3:$B$13)-COUNTIF(C$4:C180,"Sell_"&amp;Upgrades!$B$3:$B$13))*Upgrades!$D$3:$D$13))</f>
        <v/>
      </c>
      <c r="F180" s="66" t="str">
        <f>IFERROR(__xludf.DUMMYFUNCTION("IF(COUNTA(C180:C1350)=0,"""",IF(REGEXMATCH(INDEX(FILTER(C$4:C180,C$4:C180&lt;&gt;""""),ROWS(FILTER(C$4:C180,C$4:C180&lt;&gt;""""))),""^Sell_""),INDEX(FILTER(F$4:F179,C$4:C179&lt;&gt;""""),ROWS(FILTER(C$4:C179,C$4:C179&lt;&gt;""""))),$AC$5+E180))"),"")</f>
        <v/>
      </c>
      <c r="G180" s="10" t="str">
        <f>IFERROR(__xludf.DUMMYFUNCTION("IF(COUNTA(C180:C1350)=0,"""",IF(C180="""",0,IF(REGEXMATCH(C180,""^Sell_""),-ROUNDDOWN(ROUNDUP(INDEX(Upgrades!$C$3:$C$13,MATCH(SUBSTITUTE(C180,""Sell_"",""""),Upgrades!$B$3:$B$13,0))*1.15^(COUNTIF(C$4:C179,SUBSTITUTE(C180,""Sell_"",""""))-COUNTIF(C$4:C179,"&amp;"""Sell_""&amp;SUBSTITUTE(C180,""Sell_"",""""))))/2),ROUNDUP(INDEX(Upgrades!$C$3:$C$13,MATCH(C180,Upgrades!$B$3:$B$13,0))*1.15^(COUNTIF(C$4:C179,C180)-COUNTIF(C$4:C179,""Sell_""&amp;C180))))))"),"")</f>
        <v/>
      </c>
      <c r="H180" s="10" t="str">
        <f t="shared" si="3"/>
        <v/>
      </c>
      <c r="I180" s="68" t="str">
        <f t="shared" si="4"/>
        <v/>
      </c>
      <c r="J180" s="59" t="str">
        <f t="shared" si="5"/>
        <v/>
      </c>
      <c r="K180" s="69" t="str">
        <f t="shared" si="6"/>
        <v/>
      </c>
      <c r="L180" s="60">
        <f t="shared" si="7"/>
        <v>-153.77137</v>
      </c>
      <c r="M180" s="61">
        <f>IFERROR(__xludf.DUMMYFUNCTION("IFS(AND(COUNTA(C180:C1350)=0,COUNTA(Q180:Q1350)=0),"""",OR(AND(K180&gt;=1000000000,OR(Y180&gt;=1000000000,COUNTA(Q180:Q1350)=0)),OR(Y180&gt;=1000000000,AND(COUNTA(C180:C1350)=0,P$3=TRUE))),
ROUNDDOWN((AB$1-AC$1)*MAX(INDEX(T$4:T1350,MATCH(LARGE(FILTER(Y$4:Y1350,Y$4"&amp;":Y1350&lt;1000000000),1),Y$4:Y1350)),INDEX(F$4:F1350,MATCH(LARGE(FILTER(K$4:K1350,K$4:K1350&lt;1000000000),1),K$4:K1350)))),AND(K180&lt;1000000000,COUNTA(C180:C1350)&gt;0,P$3=FALSE),
ROUNDDOWN(INDEX(Y$4:Y1350,MATCH(LARGE(FILTER(W$4:W1350,W$4:W1350&lt;=I180),1),W$4:W1350"&amp;"))+(I180-LARGE(FILTER(W$4:W1350,W$4:W1350&lt;=I180),1))*INDEX(T$4:T1350,MATCH(LARGE(FILTER(W$4:W1350,W$4:W1350&lt;=I180),1),W$4:W1350))-K180),1,
ROUNDDOWN(Y180-INDEX(K$4:K1350,MATCH(LARGE(FILTER(I$4:I1350,I$4:I1350&lt;=W180),1),I$4:I1350))-(W180-LARGE(FILTER(I$4:I"&amp;"1350,I$4:I1350&lt;=W180),1))*INDEX(F$4:F1350,MATCH(LARGE(FILTER(I$4:I1350,I$4:I1350&lt;=W180),1),I$4:I1350))))"),1.2878843E7)</f>
        <v>12878843</v>
      </c>
      <c r="N180" s="60">
        <f t="shared" si="8"/>
        <v>-153.77137</v>
      </c>
      <c r="O180" s="61" t="str">
        <f t="shared" si="9"/>
        <v>12,9M</v>
      </c>
      <c r="P180" s="56">
        <f t="shared" si="10"/>
        <v>13</v>
      </c>
      <c r="Q180" s="105" t="s">
        <v>10</v>
      </c>
      <c r="R180" s="10" t="b">
        <f>IFERROR(__xludf.DUMMYFUNCTION("IF(COUNTA(Q180:Q1350)=0,"""",IF(ISBLANK(Q180),FALSE,IF(NOT(COUNTIF($AA$24:$AA$34,SUBSTITUTE(Q180,""Sell_"",""""))),1,IF(REGEXMATCH(Q180,""Sell_""),IF(COUNTIF(Q$4:Q180,SUBSTITUTE(Q180,""Sell_"",""""))-COUNTIF(Q$4:Q179,Q180)&lt;1,1),FALSE))))"),FALSE)</f>
        <v>0</v>
      </c>
      <c r="S180" s="59">
        <f t="array" ref="S180">IF(COUNTA(Q180:Q1350)=0,"",SUM((COUNTIF(Q$4:Q180,Upgrades!$B$3:$B$13)-COUNTIF(Q$4:Q180,"Sell_"&amp;Upgrades!$B$3:$B$13))*Upgrades!$D$3:$D$13))</f>
        <v>91579.2</v>
      </c>
      <c r="T180" s="66">
        <f>IFERROR(__xludf.DUMMYFUNCTION("IF(COUNTA(Q180:Q1350)=0,"""",IF(REGEXMATCH(INDEX(FILTER(Q$4:Q180,Q$4:Q180&lt;&gt;""""),ROWS(FILTER(Q$4:Q180,Q$4:Q180&lt;&gt;""""))),""^Sell_""),INDEX(FILTER(T$4:T179,Q$4:Q179&lt;&gt;""""),ROWS(FILTER(Q$4:Q179,Q$4:Q179&lt;&gt;""""))),$AD$5+S180))"),91779.2)</f>
        <v>91779.2</v>
      </c>
      <c r="U180" s="10">
        <f>IFERROR(__xludf.DUMMYFUNCTION("IF(COUNTA(Q180:Q1350)=0,"""",IF(Q180="""",0,IF(REGEXMATCH(Q180,""^Sell_""),-ROUNDDOWN(ROUNDUP(INDEX(Upgrades!$C$3:$C$13,MATCH(SUBSTITUTE(Q180,""Sell_"",""""),Upgrades!$B$3:$B$13,0))*1.15^(COUNTIF(Q$4:Q179,SUBSTITUTE(Q180,""Sell_"",""""))-COUNTIF(Q$4:Q179,"&amp;"""Sell_""&amp;SUBSTITUTE(Q180,""Sell_"",""""))))/2),ROUNDUP(INDEX(Upgrades!$C$3:$C$13,MATCH(Q180,Upgrades!$B$3:$B$13,0))*1.15^(COUNTIF(Q$4:Q179,Q180)-COUNTIF(Q$4:Q179,""Sell_""&amp;Q180))))))"),8917080.0)</f>
        <v>8917080</v>
      </c>
      <c r="V180" s="10">
        <f t="shared" si="11"/>
        <v>8917080</v>
      </c>
      <c r="W180" s="68">
        <f t="shared" si="12"/>
        <v>3159.202928</v>
      </c>
      <c r="X180" s="59" t="str">
        <f t="shared" si="13"/>
        <v>52m 39s</v>
      </c>
      <c r="Y180" s="69">
        <f t="shared" si="14"/>
        <v>62035500</v>
      </c>
      <c r="Z180" s="11"/>
    </row>
    <row r="181">
      <c r="A181" s="8"/>
      <c r="B181" s="56" t="str">
        <f t="shared" si="2"/>
        <v/>
      </c>
      <c r="C181" s="57"/>
      <c r="D181" s="10" t="str">
        <f>IFERROR(__xludf.DUMMYFUNCTION("IF(COUNTA(C181:C1350)=0,"""",IF(ISBLANK(C181),FALSE,IF(NOT(COUNTIF($AA$24:$AA$34,SUBSTITUTE(C181,""Sell_"",""""))),1,IF(REGEXMATCH(C181,""Sell_""),IF(COUNTIF(C$4:C181,SUBSTITUTE(C181,""Sell_"",""""))-COUNTIF(C$4:C180,C181)&lt;1,1),FALSE))))"),"")</f>
        <v/>
      </c>
      <c r="E181" s="59" t="str">
        <f t="array" ref="E181">IF(COUNTA(C181:C1350)=0,"",SUM((COUNTIF(C$4:C181,Upgrades!$B$3:$B$13)-COUNTIF(C$4:C181,"Sell_"&amp;Upgrades!$B$3:$B$13))*Upgrades!$D$3:$D$13))</f>
        <v/>
      </c>
      <c r="F181" s="66" t="str">
        <f>IFERROR(__xludf.DUMMYFUNCTION("IF(COUNTA(C181:C1350)=0,"""",IF(REGEXMATCH(INDEX(FILTER(C$4:C181,C$4:C181&lt;&gt;""""),ROWS(FILTER(C$4:C181,C$4:C181&lt;&gt;""""))),""^Sell_""),INDEX(FILTER(F$4:F180,C$4:C180&lt;&gt;""""),ROWS(FILTER(C$4:C180,C$4:C180&lt;&gt;""""))),$AC$5+E181))"),"")</f>
        <v/>
      </c>
      <c r="G181" s="10" t="str">
        <f>IFERROR(__xludf.DUMMYFUNCTION("IF(COUNTA(C181:C1350)=0,"""",IF(C181="""",0,IF(REGEXMATCH(C181,""^Sell_""),-ROUNDDOWN(ROUNDUP(INDEX(Upgrades!$C$3:$C$13,MATCH(SUBSTITUTE(C181,""Sell_"",""""),Upgrades!$B$3:$B$13,0))*1.15^(COUNTIF(C$4:C180,SUBSTITUTE(C181,""Sell_"",""""))-COUNTIF(C$4:C180,"&amp;"""Sell_""&amp;SUBSTITUTE(C181,""Sell_"",""""))))/2),ROUNDUP(INDEX(Upgrades!$C$3:$C$13,MATCH(C181,Upgrades!$B$3:$B$13,0))*1.15^(COUNTIF(C$4:C180,C181)-COUNTIF(C$4:C180,""Sell_""&amp;C181))))))"),"")</f>
        <v/>
      </c>
      <c r="H181" s="10" t="str">
        <f t="shared" si="3"/>
        <v/>
      </c>
      <c r="I181" s="68" t="str">
        <f t="shared" si="4"/>
        <v/>
      </c>
      <c r="J181" s="59" t="str">
        <f t="shared" si="5"/>
        <v/>
      </c>
      <c r="K181" s="69" t="str">
        <f t="shared" si="6"/>
        <v/>
      </c>
      <c r="L181" s="60">
        <f t="shared" si="7"/>
        <v>-153.74033</v>
      </c>
      <c r="M181" s="61">
        <f>IFERROR(__xludf.DUMMYFUNCTION("IFS(AND(COUNTA(C181:C1350)=0,COUNTA(Q181:Q1350)=0),"""",OR(AND(K181&gt;=1000000000,OR(Y181&gt;=1000000000,COUNTA(Q181:Q1350)=0)),OR(Y181&gt;=1000000000,AND(COUNTA(C181:C1350)=0,P$3=TRUE))),
ROUNDDOWN((AB$1-AC$1)*MAX(INDEX(T$4:T1350,MATCH(LARGE(FILTER(Y$4:Y1350,Y$4"&amp;":Y1350&lt;1000000000),1),Y$4:Y1350)),INDEX(F$4:F1350,MATCH(LARGE(FILTER(K$4:K1350,K$4:K1350&lt;1000000000),1),K$4:K1350)))),AND(K181&lt;1000000000,COUNTA(C181:C1350)&gt;0,P$3=FALSE),
ROUNDDOWN(INDEX(Y$4:Y1350,MATCH(LARGE(FILTER(W$4:W1350,W$4:W1350&lt;=I181),1),W$4:W1350"&amp;"))+(I181-LARGE(FILTER(W$4:W1350,W$4:W1350&lt;=I181),1))*INDEX(T$4:T1350,MATCH(LARGE(FILTER(W$4:W1350,W$4:W1350&lt;=I181),1),W$4:W1350))-K181),1,
ROUNDDOWN(Y181-INDEX(K$4:K1350,MATCH(LARGE(FILTER(I$4:I1350,I$4:I1350&lt;=W181),1),I$4:I1350))-(W181-LARGE(FILTER(I$4:I"&amp;"1350,I$4:I1350&lt;=W181),1))*INDEX(F$4:F1350,MATCH(LARGE(FILTER(I$4:I1350,I$4:I1350&lt;=W181),1),I$4:I1350))))"),1.2968766E7)</f>
        <v>12968766</v>
      </c>
      <c r="N181" s="60">
        <f t="shared" si="8"/>
        <v>-153.74033</v>
      </c>
      <c r="O181" s="61" t="str">
        <f t="shared" si="9"/>
        <v>13,0M</v>
      </c>
      <c r="P181" s="56">
        <f t="shared" si="10"/>
        <v>9</v>
      </c>
      <c r="Q181" s="105" t="s">
        <v>9</v>
      </c>
      <c r="R181" s="10" t="b">
        <f>IFERROR(__xludf.DUMMYFUNCTION("IF(COUNTA(Q181:Q1350)=0,"""",IF(ISBLANK(Q181),FALSE,IF(NOT(COUNTIF($AA$24:$AA$34,SUBSTITUTE(Q181,""Sell_"",""""))),1,IF(REGEXMATCH(Q181,""Sell_""),IF(COUNTIF(Q$4:Q181,SUBSTITUTE(Q181,""Sell_"",""""))-COUNTIF(Q$4:Q180,Q181)&lt;1,1),FALSE))))"),FALSE)</f>
        <v>0</v>
      </c>
      <c r="S181" s="59">
        <f t="array" ref="S181">IF(COUNTA(Q181:Q1350)=0,"",SUM((COUNTIF(Q$4:Q181,Upgrades!$B$3:$B$13)-COUNTIF(Q$4:Q181,"Sell_"&amp;Upgrades!$B$3:$B$13))*Upgrades!$D$3:$D$13))</f>
        <v>91979.2</v>
      </c>
      <c r="T181" s="66">
        <f>IFERROR(__xludf.DUMMYFUNCTION("IF(COUNTA(Q181:Q1350)=0,"""",IF(REGEXMATCH(INDEX(FILTER(Q$4:Q181,Q$4:Q181&lt;&gt;""""),ROWS(FILTER(Q$4:Q181,Q$4:Q181&lt;&gt;""""))),""^Sell_""),INDEX(FILTER(T$4:T180,Q$4:Q180&lt;&gt;""""),ROWS(FILTER(Q$4:Q180,Q$4:Q180&lt;&gt;""""))),$AD$5+S181))"),92179.2)</f>
        <v>92179.2</v>
      </c>
      <c r="U181" s="10">
        <f>IFERROR(__xludf.DUMMYFUNCTION("IF(COUNTA(Q181:Q1350)=0,"""",IF(Q181="""",0,IF(REGEXMATCH(Q181,""^Sell_""),-ROUNDDOWN(ROUNDUP(INDEX(Upgrades!$C$3:$C$13,MATCH(SUBSTITUTE(Q181,""Sell_"",""""),Upgrades!$B$3:$B$13,0))*1.15^(COUNTIF(Q$4:Q180,SUBSTITUTE(Q181,""Sell_"",""""))-COUNTIF(Q$4:Q180,"&amp;"""Sell_""&amp;SUBSTITUTE(Q181,""Sell_"",""""))))/2),ROUNDUP(INDEX(Upgrades!$C$3:$C$13,MATCH(Q181,Upgrades!$B$3:$B$13,0))*1.15^(COUNTIF(Q$4:Q180,Q181)-COUNTIF(Q$4:Q180,""Sell_""&amp;Q181))))))"),611805.0)</f>
        <v>611805</v>
      </c>
      <c r="V181" s="10">
        <f t="shared" si="11"/>
        <v>611805</v>
      </c>
      <c r="W181" s="68">
        <f t="shared" si="12"/>
        <v>3165.868981</v>
      </c>
      <c r="X181" s="59" t="str">
        <f t="shared" si="13"/>
        <v>52m 45s</v>
      </c>
      <c r="Y181" s="69">
        <f t="shared" si="14"/>
        <v>62647305</v>
      </c>
      <c r="Z181" s="11"/>
    </row>
    <row r="182">
      <c r="A182" s="8"/>
      <c r="B182" s="56" t="str">
        <f t="shared" si="2"/>
        <v/>
      </c>
      <c r="C182" s="57"/>
      <c r="D182" s="10" t="str">
        <f>IFERROR(__xludf.DUMMYFUNCTION("IF(COUNTA(C182:C1350)=0,"""",IF(ISBLANK(C182),FALSE,IF(NOT(COUNTIF($AA$24:$AA$34,SUBSTITUTE(C182,""Sell_"",""""))),1,IF(REGEXMATCH(C182,""Sell_""),IF(COUNTIF(C$4:C182,SUBSTITUTE(C182,""Sell_"",""""))-COUNTIF(C$4:C181,C182)&lt;1,1),FALSE))))"),"")</f>
        <v/>
      </c>
      <c r="E182" s="59" t="str">
        <f t="array" ref="E182">IF(COUNTA(C182:C1350)=0,"",SUM((COUNTIF(C$4:C182,Upgrades!$B$3:$B$13)-COUNTIF(C$4:C182,"Sell_"&amp;Upgrades!$B$3:$B$13))*Upgrades!$D$3:$D$13))</f>
        <v/>
      </c>
      <c r="F182" s="66" t="str">
        <f>IFERROR(__xludf.DUMMYFUNCTION("IF(COUNTA(C182:C1350)=0,"""",IF(REGEXMATCH(INDEX(FILTER(C$4:C182,C$4:C182&lt;&gt;""""),ROWS(FILTER(C$4:C182,C$4:C182&lt;&gt;""""))),""^Sell_""),INDEX(FILTER(F$4:F181,C$4:C181&lt;&gt;""""),ROWS(FILTER(C$4:C181,C$4:C181&lt;&gt;""""))),$AC$5+E182))"),"")</f>
        <v/>
      </c>
      <c r="G182" s="10" t="str">
        <f>IFERROR(__xludf.DUMMYFUNCTION("IF(COUNTA(C182:C1350)=0,"""",IF(C182="""",0,IF(REGEXMATCH(C182,""^Sell_""),-ROUNDDOWN(ROUNDUP(INDEX(Upgrades!$C$3:$C$13,MATCH(SUBSTITUTE(C182,""Sell_"",""""),Upgrades!$B$3:$B$13,0))*1.15^(COUNTIF(C$4:C181,SUBSTITUTE(C182,""Sell_"",""""))-COUNTIF(C$4:C181,"&amp;"""Sell_""&amp;SUBSTITUTE(C182,""Sell_"",""""))))/2),ROUNDUP(INDEX(Upgrades!$C$3:$C$13,MATCH(C182,Upgrades!$B$3:$B$13,0))*1.15^(COUNTIF(C$4:C181,C182)-COUNTIF(C$4:C181,""Sell_""&amp;C182))))))"),"")</f>
        <v/>
      </c>
      <c r="H182" s="10" t="str">
        <f t="shared" si="3"/>
        <v/>
      </c>
      <c r="I182" s="68" t="str">
        <f t="shared" si="4"/>
        <v/>
      </c>
      <c r="J182" s="59" t="str">
        <f t="shared" si="5"/>
        <v/>
      </c>
      <c r="K182" s="69" t="str">
        <f t="shared" si="6"/>
        <v/>
      </c>
      <c r="L182" s="60">
        <f t="shared" si="7"/>
        <v>-153.73747</v>
      </c>
      <c r="M182" s="61">
        <f>IFERROR(__xludf.DUMMYFUNCTION("IFS(AND(COUNTA(C182:C1350)=0,COUNTA(Q182:Q1350)=0),"""",OR(AND(K182&gt;=1000000000,OR(Y182&gt;=1000000000,COUNTA(Q182:Q1350)=0)),OR(Y182&gt;=1000000000,AND(COUNTA(C182:C1350)=0,P$3=TRUE))),
ROUNDDOWN((AB$1-AC$1)*MAX(INDEX(T$4:T1350,MATCH(LARGE(FILTER(Y$4:Y1350,Y$4"&amp;":Y1350&lt;1000000000),1),Y$4:Y1350)),INDEX(F$4:F1350,MATCH(LARGE(FILTER(K$4:K1350,K$4:K1350&lt;1000000000),1),K$4:K1350)))),AND(K182&lt;1000000000,COUNTA(C182:C1350)&gt;0,P$3=FALSE),
ROUNDDOWN(INDEX(Y$4:Y1350,MATCH(LARGE(FILTER(W$4:W1350,W$4:W1350&lt;=I182),1),W$4:W1350"&amp;"))+(I182-LARGE(FILTER(W$4:W1350,W$4:W1350&lt;=I182),1))*INDEX(T$4:T1350,MATCH(LARGE(FILTER(W$4:W1350,W$4:W1350&lt;=I182),1),W$4:W1350))-K182),1,
ROUNDDOWN(Y182-INDEX(K$4:K1350,MATCH(LARGE(FILTER(I$4:I1350,I$4:I1350&lt;=W182),1),I$4:I1350))-(W182-LARGE(FILTER(I$4:I"&amp;"1350,I$4:I1350&lt;=W182),1))*INDEX(F$4:F1350,MATCH(LARGE(FILTER(I$4:I1350,I$4:I1350&lt;=W182),1),I$4:I1350))))"),1.2978037E7)</f>
        <v>12978037</v>
      </c>
      <c r="N182" s="60">
        <f t="shared" si="8"/>
        <v>-153.73747</v>
      </c>
      <c r="O182" s="61" t="str">
        <f t="shared" si="9"/>
        <v>13,0M</v>
      </c>
      <c r="P182" s="56">
        <f t="shared" si="10"/>
        <v>14</v>
      </c>
      <c r="Q182" s="105" t="s">
        <v>7</v>
      </c>
      <c r="R182" s="10" t="b">
        <f>IFERROR(__xludf.DUMMYFUNCTION("IF(COUNTA(Q182:Q1350)=0,"""",IF(ISBLANK(Q182),FALSE,IF(NOT(COUNTIF($AA$24:$AA$34,SUBSTITUTE(Q182,""Sell_"",""""))),1,IF(REGEXMATCH(Q182,""Sell_""),IF(COUNTIF(Q$4:Q182,SUBSTITUTE(Q182,""Sell_"",""""))-COUNTIF(Q$4:Q181,Q182)&lt;1,1),FALSE))))"),FALSE)</f>
        <v>0</v>
      </c>
      <c r="S182" s="59">
        <f t="array" ref="S182">IF(COUNTA(Q182:Q1350)=0,"",SUM((COUNTIF(Q$4:Q182,Upgrades!$B$3:$B$13)-COUNTIF(Q$4:Q182,"Sell_"&amp;Upgrades!$B$3:$B$13))*Upgrades!$D$3:$D$13))</f>
        <v>92019.2</v>
      </c>
      <c r="T182" s="66">
        <f>IFERROR(__xludf.DUMMYFUNCTION("IF(COUNTA(Q182:Q1350)=0,"""",IF(REGEXMATCH(INDEX(FILTER(Q$4:Q182,Q$4:Q182&lt;&gt;""""),ROWS(FILTER(Q$4:Q182,Q$4:Q182&lt;&gt;""""))),""^Sell_""),INDEX(FILTER(T$4:T181,Q$4:Q181&lt;&gt;""""),ROWS(FILTER(Q$4:Q181,Q$4:Q181&lt;&gt;""""))),$AD$5+S182))"),92219.2)</f>
        <v>92219.2</v>
      </c>
      <c r="U182" s="10">
        <f>IFERROR(__xludf.DUMMYFUNCTION("IF(COUNTA(Q182:Q1350)=0,"""",IF(Q182="""",0,IF(REGEXMATCH(Q182,""^Sell_""),-ROUNDDOWN(ROUNDUP(INDEX(Upgrades!$C$3:$C$13,MATCH(SUBSTITUTE(Q182,""Sell_"",""""),Upgrades!$B$3:$B$13,0))*1.15^(COUNTIF(Q$4:Q181,SUBSTITUTE(Q182,""Sell_"",""""))-COUNTIF(Q$4:Q181,"&amp;"""Sell_""&amp;SUBSTITUTE(Q182,""Sell_"",""""))))/2),ROUNDUP(INDEX(Upgrades!$C$3:$C$13,MATCH(Q182,Upgrades!$B$3:$B$13,0))*1.15^(COUNTIF(Q$4:Q181,Q182)-COUNTIF(Q$4:Q181,""Sell_""&amp;Q182))))))"),61528.0)</f>
        <v>61528</v>
      </c>
      <c r="V182" s="10">
        <f t="shared" si="11"/>
        <v>61528</v>
      </c>
      <c r="W182" s="68">
        <f t="shared" si="12"/>
        <v>3166.536463</v>
      </c>
      <c r="X182" s="59" t="str">
        <f t="shared" si="13"/>
        <v>52m 46s</v>
      </c>
      <c r="Y182" s="69">
        <f t="shared" si="14"/>
        <v>62708833</v>
      </c>
      <c r="Z182" s="11"/>
    </row>
    <row r="183">
      <c r="A183" s="8"/>
      <c r="B183" s="56" t="str">
        <f t="shared" si="2"/>
        <v/>
      </c>
      <c r="C183" s="57"/>
      <c r="D183" s="10" t="str">
        <f>IFERROR(__xludf.DUMMYFUNCTION("IF(COUNTA(C183:C1350)=0,"""",IF(ISBLANK(C183),FALSE,IF(NOT(COUNTIF($AA$24:$AA$34,SUBSTITUTE(C183,""Sell_"",""""))),1,IF(REGEXMATCH(C183,""Sell_""),IF(COUNTIF(C$4:C183,SUBSTITUTE(C183,""Sell_"",""""))-COUNTIF(C$4:C182,C183)&lt;1,1),FALSE))))"),"")</f>
        <v/>
      </c>
      <c r="E183" s="59" t="str">
        <f t="array" ref="E183">IF(COUNTA(C183:C1350)=0,"",SUM((COUNTIF(C$4:C183,Upgrades!$B$3:$B$13)-COUNTIF(C$4:C183,"Sell_"&amp;Upgrades!$B$3:$B$13))*Upgrades!$D$3:$D$13))</f>
        <v/>
      </c>
      <c r="F183" s="66" t="str">
        <f>IFERROR(__xludf.DUMMYFUNCTION("IF(COUNTA(C183:C1350)=0,"""",IF(REGEXMATCH(INDEX(FILTER(C$4:C183,C$4:C183&lt;&gt;""""),ROWS(FILTER(C$4:C183,C$4:C183&lt;&gt;""""))),""^Sell_""),INDEX(FILTER(F$4:F182,C$4:C182&lt;&gt;""""),ROWS(FILTER(C$4:C182,C$4:C182&lt;&gt;""""))),$AC$5+E183))"),"")</f>
        <v/>
      </c>
      <c r="G183" s="10" t="str">
        <f>IFERROR(__xludf.DUMMYFUNCTION("IF(COUNTA(C183:C1350)=0,"""",IF(C183="""",0,IF(REGEXMATCH(C183,""^Sell_""),-ROUNDDOWN(ROUNDUP(INDEX(Upgrades!$C$3:$C$13,MATCH(SUBSTITUTE(C183,""Sell_"",""""),Upgrades!$B$3:$B$13,0))*1.15^(COUNTIF(C$4:C182,SUBSTITUTE(C183,""Sell_"",""""))-COUNTIF(C$4:C182,"&amp;"""Sell_""&amp;SUBSTITUTE(C183,""Sell_"",""""))))/2),ROUNDUP(INDEX(Upgrades!$C$3:$C$13,MATCH(C183,Upgrades!$B$3:$B$13,0))*1.15^(COUNTIF(C$4:C182,C183)-COUNTIF(C$4:C182,""Sell_""&amp;C183))))))"),"")</f>
        <v/>
      </c>
      <c r="H183" s="10" t="str">
        <f t="shared" si="3"/>
        <v/>
      </c>
      <c r="I183" s="68" t="str">
        <f t="shared" si="4"/>
        <v/>
      </c>
      <c r="J183" s="59" t="str">
        <f t="shared" si="5"/>
        <v/>
      </c>
      <c r="K183" s="69" t="str">
        <f t="shared" si="6"/>
        <v/>
      </c>
      <c r="L183" s="60">
        <f t="shared" si="7"/>
        <v>-153.73721</v>
      </c>
      <c r="M183" s="61">
        <f>IFERROR(__xludf.DUMMYFUNCTION("IFS(AND(COUNTA(C183:C1350)=0,COUNTA(Q183:Q1350)=0),"""",OR(AND(K183&gt;=1000000000,OR(Y183&gt;=1000000000,COUNTA(Q183:Q1350)=0)),OR(Y183&gt;=1000000000,AND(COUNTA(C183:C1350)=0,P$3=TRUE))),
ROUNDDOWN((AB$1-AC$1)*MAX(INDEX(T$4:T1350,MATCH(LARGE(FILTER(Y$4:Y1350,Y$4"&amp;":Y1350&lt;1000000000),1),Y$4:Y1350)),INDEX(F$4:F1350,MATCH(LARGE(FILTER(K$4:K1350,K$4:K1350&lt;1000000000),1),K$4:K1350)))),AND(K183&lt;1000000000,COUNTA(C183:C1350)&gt;0,P$3=FALSE),
ROUNDDOWN(INDEX(Y$4:Y1350,MATCH(LARGE(FILTER(W$4:W1350,W$4:W1350&lt;=I183),1),W$4:W1350"&amp;"))+(I183-LARGE(FILTER(W$4:W1350,W$4:W1350&lt;=I183),1))*INDEX(T$4:T1350,MATCH(LARGE(FILTER(W$4:W1350,W$4:W1350&lt;=I183),1),W$4:W1350))-K183),1,
ROUNDDOWN(Y183-INDEX(K$4:K1350,MATCH(LARGE(FILTER(I$4:I1350,I$4:I1350&lt;=W183),1),I$4:I1350))-(W183-LARGE(FILTER(I$4:I"&amp;"1350,I$4:I1350&lt;=W183),1))*INDEX(F$4:F1350,MATCH(LARGE(FILTER(I$4:I1350,I$4:I1350&lt;=W183),1),I$4:I1350))))"),1.2978972E7)</f>
        <v>12978972</v>
      </c>
      <c r="N183" s="60">
        <f t="shared" si="8"/>
        <v>-153.73721</v>
      </c>
      <c r="O183" s="61" t="str">
        <f t="shared" si="9"/>
        <v>13,0M</v>
      </c>
      <c r="P183" s="56">
        <f t="shared" si="10"/>
        <v>19</v>
      </c>
      <c r="Q183" s="105" t="s">
        <v>5</v>
      </c>
      <c r="R183" s="10" t="b">
        <f>IFERROR(__xludf.DUMMYFUNCTION("IF(COUNTA(Q183:Q1350)=0,"""",IF(ISBLANK(Q183),FALSE,IF(NOT(COUNTIF($AA$24:$AA$34,SUBSTITUTE(Q183,""Sell_"",""""))),1,IF(REGEXMATCH(Q183,""Sell_""),IF(COUNTIF(Q$4:Q183,SUBSTITUTE(Q183,""Sell_"",""""))-COUNTIF(Q$4:Q182,Q183)&lt;1,1),FALSE))))"),FALSE)</f>
        <v>0</v>
      </c>
      <c r="S183" s="59">
        <f t="array" ref="S183">IF(COUNTA(Q183:Q1350)=0,"",SUM((COUNTIF(Q$4:Q183,Upgrades!$B$3:$B$13)-COUNTIF(Q$4:Q183,"Sell_"&amp;Upgrades!$B$3:$B$13))*Upgrades!$D$3:$D$13))</f>
        <v>92023.2</v>
      </c>
      <c r="T183" s="66">
        <f>IFERROR(__xludf.DUMMYFUNCTION("IF(COUNTA(Q183:Q1350)=0,"""",IF(REGEXMATCH(INDEX(FILTER(Q$4:Q183,Q$4:Q183&lt;&gt;""""),ROWS(FILTER(Q$4:Q183,Q$4:Q183&lt;&gt;""""))),""^Sell_""),INDEX(FILTER(T$4:T182,Q$4:Q182&lt;&gt;""""),ROWS(FILTER(Q$4:Q182,Q$4:Q182&lt;&gt;""""))),$AD$5+S183))"),92223.2)</f>
        <v>92223.2</v>
      </c>
      <c r="U183" s="10">
        <f>IFERROR(__xludf.DUMMYFUNCTION("IF(COUNTA(Q183:Q1350)=0,"""",IF(Q183="""",0,IF(REGEXMATCH(Q183,""^Sell_""),-ROUNDDOWN(ROUNDUP(INDEX(Upgrades!$C$3:$C$13,MATCH(SUBSTITUTE(Q183,""Sell_"",""""),Upgrades!$B$3:$B$13,0))*1.15^(COUNTIF(Q$4:Q182,SUBSTITUTE(Q183,""Sell_"",""""))-COUNTIF(Q$4:Q182,"&amp;"""Sell_""&amp;SUBSTITUTE(Q183,""Sell_"",""""))))/2),ROUNDUP(INDEX(Upgrades!$C$3:$C$13,MATCH(Q183,Upgrades!$B$3:$B$13,0))*1.15^(COUNTIF(Q$4:Q182,Q183)-COUNTIF(Q$4:Q182,""Sell_""&amp;Q183))))))"),6188.0)</f>
        <v>6188</v>
      </c>
      <c r="V183" s="10">
        <f t="shared" si="11"/>
        <v>6188</v>
      </c>
      <c r="W183" s="68">
        <f t="shared" si="12"/>
        <v>3166.603564</v>
      </c>
      <c r="X183" s="59" t="str">
        <f t="shared" si="13"/>
        <v>52m 46s</v>
      </c>
      <c r="Y183" s="69">
        <f t="shared" si="14"/>
        <v>62715021</v>
      </c>
      <c r="Z183" s="11"/>
    </row>
    <row r="184">
      <c r="A184" s="8"/>
      <c r="B184" s="56" t="str">
        <f t="shared" si="2"/>
        <v/>
      </c>
      <c r="C184" s="57"/>
      <c r="D184" s="10" t="str">
        <f>IFERROR(__xludf.DUMMYFUNCTION("IF(COUNTA(C184:C1350)=0,"""",IF(ISBLANK(C184),FALSE,IF(NOT(COUNTIF($AA$24:$AA$34,SUBSTITUTE(C184,""Sell_"",""""))),1,IF(REGEXMATCH(C184,""Sell_""),IF(COUNTIF(C$4:C184,SUBSTITUTE(C184,""Sell_"",""""))-COUNTIF(C$4:C183,C184)&lt;1,1),FALSE))))"),"")</f>
        <v/>
      </c>
      <c r="E184" s="59" t="str">
        <f t="array" ref="E184">IF(COUNTA(C184:C1350)=0,"",SUM((COUNTIF(C$4:C184,Upgrades!$B$3:$B$13)-COUNTIF(C$4:C184,"Sell_"&amp;Upgrades!$B$3:$B$13))*Upgrades!$D$3:$D$13))</f>
        <v/>
      </c>
      <c r="F184" s="66" t="str">
        <f>IFERROR(__xludf.DUMMYFUNCTION("IF(COUNTA(C184:C1350)=0,"""",IF(REGEXMATCH(INDEX(FILTER(C$4:C184,C$4:C184&lt;&gt;""""),ROWS(FILTER(C$4:C184,C$4:C184&lt;&gt;""""))),""^Sell_""),INDEX(FILTER(F$4:F183,C$4:C183&lt;&gt;""""),ROWS(FILTER(C$4:C183,C$4:C183&lt;&gt;""""))),$AC$5+E184))"),"")</f>
        <v/>
      </c>
      <c r="G184" s="10" t="str">
        <f>IFERROR(__xludf.DUMMYFUNCTION("IF(COUNTA(C184:C1350)=0,"""",IF(C184="""",0,IF(REGEXMATCH(C184,""^Sell_""),-ROUNDDOWN(ROUNDUP(INDEX(Upgrades!$C$3:$C$13,MATCH(SUBSTITUTE(C184,""Sell_"",""""),Upgrades!$B$3:$B$13,0))*1.15^(COUNTIF(C$4:C183,SUBSTITUTE(C184,""Sell_"",""""))-COUNTIF(C$4:C183,"&amp;"""Sell_""&amp;SUBSTITUTE(C184,""Sell_"",""""))))/2),ROUNDUP(INDEX(Upgrades!$C$3:$C$13,MATCH(C184,Upgrades!$B$3:$B$13,0))*1.15^(COUNTIF(C$4:C183,C184)-COUNTIF(C$4:C183,""Sell_""&amp;C184))))))"),"")</f>
        <v/>
      </c>
      <c r="H184" s="10" t="str">
        <f t="shared" si="3"/>
        <v/>
      </c>
      <c r="I184" s="68" t="str">
        <f t="shared" si="4"/>
        <v/>
      </c>
      <c r="J184" s="59" t="str">
        <f t="shared" si="5"/>
        <v/>
      </c>
      <c r="K184" s="69" t="str">
        <f t="shared" si="6"/>
        <v/>
      </c>
      <c r="L184" s="60">
        <f t="shared" si="7"/>
        <v>-153.73655</v>
      </c>
      <c r="M184" s="61">
        <f>IFERROR(__xludf.DUMMYFUNCTION("IFS(AND(COUNTA(C184:C1350)=0,COUNTA(Q184:Q1350)=0),"""",OR(AND(K184&gt;=1000000000,OR(Y184&gt;=1000000000,COUNTA(Q184:Q1350)=0)),OR(Y184&gt;=1000000000,AND(COUNTA(C184:C1350)=0,P$3=TRUE))),
ROUNDDOWN((AB$1-AC$1)*MAX(INDEX(T$4:T1350,MATCH(LARGE(FILTER(Y$4:Y1350,Y$4"&amp;":Y1350&lt;1000000000),1),Y$4:Y1350)),INDEX(F$4:F1350,MATCH(LARGE(FILTER(K$4:K1350,K$4:K1350&lt;1000000000),1),K$4:K1350)))),AND(K184&lt;1000000000,COUNTA(C184:C1350)&gt;0,P$3=FALSE),
ROUNDDOWN(INDEX(Y$4:Y1350,MATCH(LARGE(FILTER(W$4:W1350,W$4:W1350&lt;=I184),1),W$4:W1350"&amp;"))+(I184-LARGE(FILTER(W$4:W1350,W$4:W1350&lt;=I184),1))*INDEX(T$4:T1350,MATCH(LARGE(FILTER(W$4:W1350,W$4:W1350&lt;=I184),1),W$4:W1350))-K184),1,
ROUNDDOWN(Y184-INDEX(K$4:K1350,MATCH(LARGE(FILTER(I$4:I1350,I$4:I1350&lt;=W184),1),I$4:I1350))-(W184-LARGE(FILTER(I$4:I"&amp;"1350,I$4:I1350&lt;=W184),1))*INDEX(F$4:F1350,MATCH(LARGE(FILTER(I$4:I1350,I$4:I1350&lt;=W184),1),I$4:I1350))))"),1.2981397E7)</f>
        <v>12981397</v>
      </c>
      <c r="N184" s="60">
        <f t="shared" si="8"/>
        <v>-153.73655</v>
      </c>
      <c r="O184" s="61" t="str">
        <f t="shared" si="9"/>
        <v>13,0M</v>
      </c>
      <c r="P184" s="56">
        <f t="shared" si="10"/>
        <v>13</v>
      </c>
      <c r="Q184" s="105" t="s">
        <v>6</v>
      </c>
      <c r="R184" s="10" t="b">
        <f>IFERROR(__xludf.DUMMYFUNCTION("IF(COUNTA(Q184:Q1350)=0,"""",IF(ISBLANK(Q184),FALSE,IF(NOT(COUNTIF($AA$24:$AA$34,SUBSTITUTE(Q184,""Sell_"",""""))),1,IF(REGEXMATCH(Q184,""Sell_""),IF(COUNTIF(Q$4:Q184,SUBSTITUTE(Q184,""Sell_"",""""))-COUNTIF(Q$4:Q183,Q184)&lt;1,1),FALSE))))"),FALSE)</f>
        <v>0</v>
      </c>
      <c r="S184" s="59">
        <f t="array" ref="S184">IF(COUNTA(Q184:Q1350)=0,"",SUM((COUNTIF(Q$4:Q184,Upgrades!$B$3:$B$13)-COUNTIF(Q$4:Q184,"Sell_"&amp;Upgrades!$B$3:$B$13))*Upgrades!$D$3:$D$13))</f>
        <v>92033.2</v>
      </c>
      <c r="T184" s="66">
        <f>IFERROR(__xludf.DUMMYFUNCTION("IF(COUNTA(Q184:Q1350)=0,"""",IF(REGEXMATCH(INDEX(FILTER(Q$4:Q184,Q$4:Q184&lt;&gt;""""),ROWS(FILTER(Q$4:Q184,Q$4:Q184&lt;&gt;""""))),""^Sell_""),INDEX(FILTER(T$4:T183,Q$4:Q183&lt;&gt;""""),ROWS(FILTER(Q$4:Q183,Q$4:Q183&lt;&gt;""""))),$AD$5+S184))"),92233.2)</f>
        <v>92233.2</v>
      </c>
      <c r="U184" s="10">
        <f>IFERROR(__xludf.DUMMYFUNCTION("IF(COUNTA(Q184:Q1350)=0,"""",IF(Q184="""",0,IF(REGEXMATCH(Q184,""^Sell_""),-ROUNDDOWN(ROUNDUP(INDEX(Upgrades!$C$3:$C$13,MATCH(SUBSTITUTE(Q184,""Sell_"",""""),Upgrades!$B$3:$B$13,0))*1.15^(COUNTIF(Q$4:Q183,SUBSTITUTE(Q184,""Sell_"",""""))-COUNTIF(Q$4:Q183,"&amp;"""Sell_""&amp;SUBSTITUTE(Q184,""Sell_"",""""))))/2),ROUNDUP(INDEX(Upgrades!$C$3:$C$13,MATCH(Q184,Upgrades!$B$3:$B$13,0))*1.15^(COUNTIF(Q$4:Q183,Q184)-COUNTIF(Q$4:Q183,""Sell_""&amp;Q184))))))"),16051.0)</f>
        <v>16051</v>
      </c>
      <c r="V184" s="10">
        <f t="shared" si="11"/>
        <v>16051</v>
      </c>
      <c r="W184" s="68">
        <f t="shared" si="12"/>
        <v>3166.77761</v>
      </c>
      <c r="X184" s="59" t="str">
        <f t="shared" si="13"/>
        <v>52m 46s</v>
      </c>
      <c r="Y184" s="69">
        <f t="shared" si="14"/>
        <v>62731072</v>
      </c>
      <c r="Z184" s="11"/>
    </row>
    <row r="185">
      <c r="A185" s="8"/>
      <c r="B185" s="56" t="str">
        <f t="shared" si="2"/>
        <v/>
      </c>
      <c r="C185" s="57"/>
      <c r="D185" s="10" t="str">
        <f>IFERROR(__xludf.DUMMYFUNCTION("IF(COUNTA(C185:C1350)=0,"""",IF(ISBLANK(C185),FALSE,IF(NOT(COUNTIF($AA$24:$AA$34,SUBSTITUTE(C185,""Sell_"",""""))),1,IF(REGEXMATCH(C185,""Sell_""),IF(COUNTIF(C$4:C185,SUBSTITUTE(C185,""Sell_"",""""))-COUNTIF(C$4:C184,C185)&lt;1,1),FALSE))))"),"")</f>
        <v/>
      </c>
      <c r="E185" s="59" t="str">
        <f t="array" ref="E185">IF(COUNTA(C185:C1350)=0,"",SUM((COUNTIF(C$4:C185,Upgrades!$B$3:$B$13)-COUNTIF(C$4:C185,"Sell_"&amp;Upgrades!$B$3:$B$13))*Upgrades!$D$3:$D$13))</f>
        <v/>
      </c>
      <c r="F185" s="66" t="str">
        <f>IFERROR(__xludf.DUMMYFUNCTION("IF(COUNTA(C185:C1350)=0,"""",IF(REGEXMATCH(INDEX(FILTER(C$4:C185,C$4:C185&lt;&gt;""""),ROWS(FILTER(C$4:C185,C$4:C185&lt;&gt;""""))),""^Sell_""),INDEX(FILTER(F$4:F184,C$4:C184&lt;&gt;""""),ROWS(FILTER(C$4:C184,C$4:C184&lt;&gt;""""))),$AC$5+E185))"),"")</f>
        <v/>
      </c>
      <c r="G185" s="10" t="str">
        <f>IFERROR(__xludf.DUMMYFUNCTION("IF(COUNTA(C185:C1350)=0,"""",IF(C185="""",0,IF(REGEXMATCH(C185,""^Sell_""),-ROUNDDOWN(ROUNDUP(INDEX(Upgrades!$C$3:$C$13,MATCH(SUBSTITUTE(C185,""Sell_"",""""),Upgrades!$B$3:$B$13,0))*1.15^(COUNTIF(C$4:C184,SUBSTITUTE(C185,""Sell_"",""""))-COUNTIF(C$4:C184,"&amp;"""Sell_""&amp;SUBSTITUTE(C185,""Sell_"",""""))))/2),ROUNDUP(INDEX(Upgrades!$C$3:$C$13,MATCH(C185,Upgrades!$B$3:$B$13,0))*1.15^(COUNTIF(C$4:C184,C185)-COUNTIF(C$4:C184,""Sell_""&amp;C185))))))"),"")</f>
        <v/>
      </c>
      <c r="H185" s="10" t="str">
        <f t="shared" si="3"/>
        <v/>
      </c>
      <c r="I185" s="68" t="str">
        <f t="shared" si="4"/>
        <v/>
      </c>
      <c r="J185" s="59" t="str">
        <f t="shared" si="5"/>
        <v/>
      </c>
      <c r="K185" s="69" t="str">
        <f t="shared" si="6"/>
        <v/>
      </c>
      <c r="L185" s="60">
        <f t="shared" si="7"/>
        <v>-153.72806</v>
      </c>
      <c r="M185" s="61">
        <f>IFERROR(__xludf.DUMMYFUNCTION("IFS(AND(COUNTA(C185:C1350)=0,COUNTA(Q185:Q1350)=0),"""",OR(AND(K185&gt;=1000000000,OR(Y185&gt;=1000000000,COUNTA(Q185:Q1350)=0)),OR(Y185&gt;=1000000000,AND(COUNTA(C185:C1350)=0,P$3=TRUE))),
ROUNDDOWN((AB$1-AC$1)*MAX(INDEX(T$4:T1350,MATCH(LARGE(FILTER(Y$4:Y1350,Y$4"&amp;":Y1350&lt;1000000000),1),Y$4:Y1350)),INDEX(F$4:F1350,MATCH(LARGE(FILTER(K$4:K1350,K$4:K1350&lt;1000000000),1),K$4:K1350)))),AND(K185&lt;1000000000,COUNTA(C185:C1350)&gt;0,P$3=FALSE),
ROUNDDOWN(INDEX(Y$4:Y1350,MATCH(LARGE(FILTER(W$4:W1350,W$4:W1350&lt;=I185),1),W$4:W1350"&amp;"))+(I185-LARGE(FILTER(W$4:W1350,W$4:W1350&lt;=I185),1))*INDEX(T$4:T1350,MATCH(LARGE(FILTER(W$4:W1350,W$4:W1350&lt;=I185),1),W$4:W1350))-K185),1,
ROUNDDOWN(Y185-INDEX(K$4:K1350,MATCH(LARGE(FILTER(I$4:I1350,I$4:I1350&lt;=W185),1),I$4:I1350))-(W185-LARGE(FILTER(I$4:I"&amp;"1350,I$4:I1350&lt;=W185),1))*INDEX(F$4:F1350,MATCH(LARGE(FILTER(I$4:I1350,I$4:I1350&lt;=W185),1),I$4:I1350))))"),1.3005861E7)</f>
        <v>13005861</v>
      </c>
      <c r="N185" s="60">
        <f t="shared" si="8"/>
        <v>-153.72806</v>
      </c>
      <c r="O185" s="61" t="str">
        <f t="shared" si="9"/>
        <v>13,0M</v>
      </c>
      <c r="P185" s="56">
        <f t="shared" si="10"/>
        <v>11</v>
      </c>
      <c r="Q185" s="105" t="s">
        <v>8</v>
      </c>
      <c r="R185" s="10" t="b">
        <f>IFERROR(__xludf.DUMMYFUNCTION("IF(COUNTA(Q185:Q1350)=0,"""",IF(ISBLANK(Q185),FALSE,IF(NOT(COUNTIF($AA$24:$AA$34,SUBSTITUTE(Q185,""Sell_"",""""))),1,IF(REGEXMATCH(Q185,""Sell_""),IF(COUNTIF(Q$4:Q185,SUBSTITUTE(Q185,""Sell_"",""""))-COUNTIF(Q$4:Q184,Q185)&lt;1,1),FALSE))))"),FALSE)</f>
        <v>0</v>
      </c>
      <c r="S185" s="59">
        <f t="array" ref="S185">IF(COUNTA(Q185:Q1350)=0,"",SUM((COUNTIF(Q$4:Q185,Upgrades!$B$3:$B$13)-COUNTIF(Q$4:Q185,"Sell_"&amp;Upgrades!$B$3:$B$13))*Upgrades!$D$3:$D$13))</f>
        <v>92133.2</v>
      </c>
      <c r="T185" s="66">
        <f>IFERROR(__xludf.DUMMYFUNCTION("IF(COUNTA(Q185:Q1350)=0,"""",IF(REGEXMATCH(INDEX(FILTER(Q$4:Q185,Q$4:Q185&lt;&gt;""""),ROWS(FILTER(Q$4:Q185,Q$4:Q185&lt;&gt;""""))),""^Sell_""),INDEX(FILTER(T$4:T184,Q$4:Q184&lt;&gt;""""),ROWS(FILTER(Q$4:Q184,Q$4:Q184&lt;&gt;""""))),$AD$5+S185))"),92333.2)</f>
        <v>92333.2</v>
      </c>
      <c r="U185" s="10">
        <f>IFERROR(__xludf.DUMMYFUNCTION("IF(COUNTA(Q185:Q1350)=0,"""",IF(Q185="""",0,IF(REGEXMATCH(Q185,""^Sell_""),-ROUNDDOWN(ROUNDUP(INDEX(Upgrades!$C$3:$C$13,MATCH(SUBSTITUTE(Q185,""Sell_"",""""),Upgrades!$B$3:$B$13,0))*1.15^(COUNTIF(Q$4:Q184,SUBSTITUTE(Q185,""Sell_"",""""))-COUNTIF(Q$4:Q184,"&amp;"""Sell_""&amp;SUBSTITUTE(Q185,""Sell_"",""""))))/2),ROUNDUP(INDEX(Upgrades!$C$3:$C$13,MATCH(Q185,Upgrades!$B$3:$B$13,0))*1.15^(COUNTIF(Q$4:Q184,Q185)-COUNTIF(Q$4:Q184,""Sell_""&amp;Q185))))))"),161823.0)</f>
        <v>161823</v>
      </c>
      <c r="V185" s="10">
        <f t="shared" si="11"/>
        <v>161823</v>
      </c>
      <c r="W185" s="68">
        <f t="shared" si="12"/>
        <v>3168.532108</v>
      </c>
      <c r="X185" s="59" t="str">
        <f t="shared" si="13"/>
        <v>52m 48s</v>
      </c>
      <c r="Y185" s="69">
        <f t="shared" si="14"/>
        <v>62892895</v>
      </c>
      <c r="Z185" s="11"/>
    </row>
    <row r="186">
      <c r="A186" s="8"/>
      <c r="B186" s="56" t="str">
        <f t="shared" si="2"/>
        <v/>
      </c>
      <c r="C186" s="57"/>
      <c r="D186" s="10" t="str">
        <f>IFERROR(__xludf.DUMMYFUNCTION("IF(COUNTA(C186:C1350)=0,"""",IF(ISBLANK(C186),FALSE,IF(NOT(COUNTIF($AA$24:$AA$34,SUBSTITUTE(C186,""Sell_"",""""))),1,IF(REGEXMATCH(C186,""Sell_""),IF(COUNTIF(C$4:C186,SUBSTITUTE(C186,""Sell_"",""""))-COUNTIF(C$4:C185,C186)&lt;1,1),FALSE))))"),"")</f>
        <v/>
      </c>
      <c r="E186" s="59" t="str">
        <f t="array" ref="E186">IF(COUNTA(C186:C1350)=0,"",SUM((COUNTIF(C$4:C186,Upgrades!$B$3:$B$13)-COUNTIF(C$4:C186,"Sell_"&amp;Upgrades!$B$3:$B$13))*Upgrades!$D$3:$D$13))</f>
        <v/>
      </c>
      <c r="F186" s="66" t="str">
        <f>IFERROR(__xludf.DUMMYFUNCTION("IF(COUNTA(C186:C1350)=0,"""",IF(REGEXMATCH(INDEX(FILTER(C$4:C186,C$4:C186&lt;&gt;""""),ROWS(FILTER(C$4:C186,C$4:C186&lt;&gt;""""))),""^Sell_""),INDEX(FILTER(F$4:F185,C$4:C185&lt;&gt;""""),ROWS(FILTER(C$4:C185,C$4:C185&lt;&gt;""""))),$AC$5+E186))"),"")</f>
        <v/>
      </c>
      <c r="G186" s="10" t="str">
        <f>IFERROR(__xludf.DUMMYFUNCTION("IF(COUNTA(C186:C1350)=0,"""",IF(C186="""",0,IF(REGEXMATCH(C186,""^Sell_""),-ROUNDDOWN(ROUNDUP(INDEX(Upgrades!$C$3:$C$13,MATCH(SUBSTITUTE(C186,""Sell_"",""""),Upgrades!$B$3:$B$13,0))*1.15^(COUNTIF(C$4:C185,SUBSTITUTE(C186,""Sell_"",""""))-COUNTIF(C$4:C185,"&amp;"""Sell_""&amp;SUBSTITUTE(C186,""Sell_"",""""))))/2),ROUNDUP(INDEX(Upgrades!$C$3:$C$13,MATCH(C186,Upgrades!$B$3:$B$13,0))*1.15^(COUNTIF(C$4:C185,C186)-COUNTIF(C$4:C185,""Sell_""&amp;C186))))))"),"")</f>
        <v/>
      </c>
      <c r="H186" s="10" t="str">
        <f t="shared" si="3"/>
        <v/>
      </c>
      <c r="I186" s="68" t="str">
        <f t="shared" si="4"/>
        <v/>
      </c>
      <c r="J186" s="59" t="str">
        <f t="shared" si="5"/>
        <v/>
      </c>
      <c r="K186" s="69" t="str">
        <f t="shared" si="6"/>
        <v/>
      </c>
      <c r="L186" s="60">
        <f t="shared" si="7"/>
        <v>-153.72805</v>
      </c>
      <c r="M186" s="61">
        <f>IFERROR(__xludf.DUMMYFUNCTION("IFS(AND(COUNTA(C186:C1350)=0,COUNTA(Q186:Q1350)=0),"""",OR(AND(K186&gt;=1000000000,OR(Y186&gt;=1000000000,COUNTA(Q186:Q1350)=0)),OR(Y186&gt;=1000000000,AND(COUNTA(C186:C1350)=0,P$3=TRUE))),
ROUNDDOWN((AB$1-AC$1)*MAX(INDEX(T$4:T1350,MATCH(LARGE(FILTER(Y$4:Y1350,Y$4"&amp;":Y1350&lt;1000000000),1),Y$4:Y1350)),INDEX(F$4:F1350,MATCH(LARGE(FILTER(K$4:K1350,K$4:K1350&lt;1000000000),1),K$4:K1350)))),AND(K186&lt;1000000000,COUNTA(C186:C1350)&gt;0,P$3=FALSE),
ROUNDDOWN(INDEX(Y$4:Y1350,MATCH(LARGE(FILTER(W$4:W1350,W$4:W1350&lt;=I186),1),W$4:W1350"&amp;"))+(I186-LARGE(FILTER(W$4:W1350,W$4:W1350&lt;=I186),1))*INDEX(T$4:T1350,MATCH(LARGE(FILTER(W$4:W1350,W$4:W1350&lt;=I186),1),W$4:W1350))-K186),1,
ROUNDDOWN(Y186-INDEX(K$4:K1350,MATCH(LARGE(FILTER(I$4:I1350,I$4:I1350&lt;=W186),1),I$4:I1350))-(W186-LARGE(FILTER(I$4:I"&amp;"1350,I$4:I1350&lt;=W186),1))*INDEX(F$4:F1350,MATCH(LARGE(FILTER(I$4:I1350,I$4:I1350&lt;=W186),1),I$4:I1350))))"),1.3005886E7)</f>
        <v>13005886</v>
      </c>
      <c r="N186" s="60">
        <f t="shared" si="8"/>
        <v>-153.72805</v>
      </c>
      <c r="O186" s="61" t="str">
        <f t="shared" si="9"/>
        <v>13,0M</v>
      </c>
      <c r="P186" s="56">
        <f t="shared" si="10"/>
        <v>18</v>
      </c>
      <c r="Q186" s="105" t="s">
        <v>3</v>
      </c>
      <c r="R186" s="10" t="b">
        <f>IFERROR(__xludf.DUMMYFUNCTION("IF(COUNTA(Q186:Q1350)=0,"""",IF(ISBLANK(Q186),FALSE,IF(NOT(COUNTIF($AA$24:$AA$34,SUBSTITUTE(Q186,""Sell_"",""""))),1,IF(REGEXMATCH(Q186,""Sell_""),IF(COUNTIF(Q$4:Q186,SUBSTITUTE(Q186,""Sell_"",""""))-COUNTIF(Q$4:Q185,Q186)&lt;1,1),FALSE))))"),FALSE)</f>
        <v>0</v>
      </c>
      <c r="S186" s="59">
        <f t="array" ref="S186">IF(COUNTA(Q186:Q1350)=0,"",SUM((COUNTIF(Q$4:Q186,Upgrades!$B$3:$B$13)-COUNTIF(Q$4:Q186,"Sell_"&amp;Upgrades!$B$3:$B$13))*Upgrades!$D$3:$D$13))</f>
        <v>92133.3</v>
      </c>
      <c r="T186" s="66">
        <f>IFERROR(__xludf.DUMMYFUNCTION("IF(COUNTA(Q186:Q1350)=0,"""",IF(REGEXMATCH(INDEX(FILTER(Q$4:Q186,Q$4:Q186&lt;&gt;""""),ROWS(FILTER(Q$4:Q186,Q$4:Q186&lt;&gt;""""))),""^Sell_""),INDEX(FILTER(T$4:T185,Q$4:Q185&lt;&gt;""""),ROWS(FILTER(Q$4:Q185,Q$4:Q185&lt;&gt;""""))),$AD$5+S186))"),92333.3)</f>
        <v>92333.3</v>
      </c>
      <c r="U186" s="10">
        <f>IFERROR(__xludf.DUMMYFUNCTION("IF(COUNTA(Q186:Q1350)=0,"""",IF(Q186="""",0,IF(REGEXMATCH(Q186,""^Sell_""),-ROUNDDOWN(ROUNDUP(INDEX(Upgrades!$C$3:$C$13,MATCH(SUBSTITUTE(Q186,""Sell_"",""""),Upgrades!$B$3:$B$13,0))*1.15^(COUNTIF(Q$4:Q185,SUBSTITUTE(Q186,""Sell_"",""""))-COUNTIF(Q$4:Q185,"&amp;"""Sell_""&amp;SUBSTITUTE(Q186,""Sell_"",""""))))/2),ROUNDUP(INDEX(Upgrades!$C$3:$C$13,MATCH(Q186,Upgrades!$B$3:$B$13,0))*1.15^(COUNTIF(Q$4:Q185,Q186)-COUNTIF(Q$4:Q185,""Sell_""&amp;Q186))))))"),162.0)</f>
        <v>162</v>
      </c>
      <c r="V186" s="10">
        <f t="shared" si="11"/>
        <v>162</v>
      </c>
      <c r="W186" s="68">
        <f t="shared" si="12"/>
        <v>3168.533863</v>
      </c>
      <c r="X186" s="59" t="str">
        <f t="shared" si="13"/>
        <v>52m 48s</v>
      </c>
      <c r="Y186" s="69">
        <f t="shared" si="14"/>
        <v>62893057</v>
      </c>
      <c r="Z186" s="11"/>
    </row>
    <row r="187">
      <c r="A187" s="8"/>
      <c r="B187" s="56" t="str">
        <f t="shared" si="2"/>
        <v/>
      </c>
      <c r="C187" s="57"/>
      <c r="D187" s="10" t="str">
        <f>IFERROR(__xludf.DUMMYFUNCTION("IF(COUNTA(C187:C1350)=0,"""",IF(ISBLANK(C187),FALSE,IF(NOT(COUNTIF($AA$24:$AA$34,SUBSTITUTE(C187,""Sell_"",""""))),1,IF(REGEXMATCH(C187,""Sell_""),IF(COUNTIF(C$4:C187,SUBSTITUTE(C187,""Sell_"",""""))-COUNTIF(C$4:C186,C187)&lt;1,1),FALSE))))"),"")</f>
        <v/>
      </c>
      <c r="E187" s="59" t="str">
        <f t="array" ref="E187">IF(COUNTA(C187:C1350)=0,"",SUM((COUNTIF(C$4:C187,Upgrades!$B$3:$B$13)-COUNTIF(C$4:C187,"Sell_"&amp;Upgrades!$B$3:$B$13))*Upgrades!$D$3:$D$13))</f>
        <v/>
      </c>
      <c r="F187" s="66" t="str">
        <f>IFERROR(__xludf.DUMMYFUNCTION("IF(COUNTA(C187:C1350)=0,"""",IF(REGEXMATCH(INDEX(FILTER(C$4:C187,C$4:C187&lt;&gt;""""),ROWS(FILTER(C$4:C187,C$4:C187&lt;&gt;""""))),""^Sell_""),INDEX(FILTER(F$4:F186,C$4:C186&lt;&gt;""""),ROWS(FILTER(C$4:C186,C$4:C186&lt;&gt;""""))),$AC$5+E187))"),"")</f>
        <v/>
      </c>
      <c r="G187" s="10" t="str">
        <f>IFERROR(__xludf.DUMMYFUNCTION("IF(COUNTA(C187:C1350)=0,"""",IF(C187="""",0,IF(REGEXMATCH(C187,""^Sell_""),-ROUNDDOWN(ROUNDUP(INDEX(Upgrades!$C$3:$C$13,MATCH(SUBSTITUTE(C187,""Sell_"",""""),Upgrades!$B$3:$B$13,0))*1.15^(COUNTIF(C$4:C186,SUBSTITUTE(C187,""Sell_"",""""))-COUNTIF(C$4:C186,"&amp;"""Sell_""&amp;SUBSTITUTE(C187,""Sell_"",""""))))/2),ROUNDUP(INDEX(Upgrades!$C$3:$C$13,MATCH(C187,Upgrades!$B$3:$B$13,0))*1.15^(COUNTIF(C$4:C186,C187)-COUNTIF(C$4:C186,""Sell_""&amp;C187))))))"),"")</f>
        <v/>
      </c>
      <c r="H187" s="10" t="str">
        <f t="shared" si="3"/>
        <v/>
      </c>
      <c r="I187" s="68" t="str">
        <f t="shared" si="4"/>
        <v/>
      </c>
      <c r="J187" s="59" t="str">
        <f t="shared" si="5"/>
        <v/>
      </c>
      <c r="K187" s="69" t="str">
        <f t="shared" si="6"/>
        <v/>
      </c>
      <c r="L187" s="60">
        <f t="shared" si="7"/>
        <v>-153.72802</v>
      </c>
      <c r="M187" s="61">
        <f>IFERROR(__xludf.DUMMYFUNCTION("IFS(AND(COUNTA(C187:C1350)=0,COUNTA(Q187:Q1350)=0),"""",OR(AND(K187&gt;=1000000000,OR(Y187&gt;=1000000000,COUNTA(Q187:Q1350)=0)),OR(Y187&gt;=1000000000,AND(COUNTA(C187:C1350)=0,P$3=TRUE))),
ROUNDDOWN((AB$1-AC$1)*MAX(INDEX(T$4:T1350,MATCH(LARGE(FILTER(Y$4:Y1350,Y$4"&amp;":Y1350&lt;1000000000),1),Y$4:Y1350)),INDEX(F$4:F1350,MATCH(LARGE(FILTER(K$4:K1350,K$4:K1350&lt;1000000000),1),K$4:K1350)))),AND(K187&lt;1000000000,COUNTA(C187:C1350)&gt;0,P$3=FALSE),
ROUNDDOWN(INDEX(Y$4:Y1350,MATCH(LARGE(FILTER(W$4:W1350,W$4:W1350&lt;=I187),1),W$4:W1350"&amp;"))+(I187-LARGE(FILTER(W$4:W1350,W$4:W1350&lt;=I187),1))*INDEX(T$4:T1350,MATCH(LARGE(FILTER(W$4:W1350,W$4:W1350&lt;=I187),1),W$4:W1350))-K187),1,
ROUNDDOWN(Y187-INDEX(K$4:K1350,MATCH(LARGE(FILTER(I$4:I1350,I$4:I1350&lt;=W187),1),I$4:I1350))-(W187-LARGE(FILTER(I$4:I"&amp;"1350,I$4:I1350&lt;=W187),1))*INDEX(F$4:F1350,MATCH(LARGE(FILTER(I$4:I1350,I$4:I1350&lt;=W187),1),I$4:I1350))))"),1.3006009E7)</f>
        <v>13006009</v>
      </c>
      <c r="N187" s="60">
        <f t="shared" si="8"/>
        <v>-153.72802</v>
      </c>
      <c r="O187" s="61" t="str">
        <f t="shared" si="9"/>
        <v>13,0M</v>
      </c>
      <c r="P187" s="56">
        <f t="shared" si="10"/>
        <v>16</v>
      </c>
      <c r="Q187" s="105" t="s">
        <v>4</v>
      </c>
      <c r="R187" s="10" t="b">
        <f>IFERROR(__xludf.DUMMYFUNCTION("IF(COUNTA(Q187:Q1350)=0,"""",IF(ISBLANK(Q187),FALSE,IF(NOT(COUNTIF($AA$24:$AA$34,SUBSTITUTE(Q187,""Sell_"",""""))),1,IF(REGEXMATCH(Q187,""Sell_""),IF(COUNTIF(Q$4:Q187,SUBSTITUTE(Q187,""Sell_"",""""))-COUNTIF(Q$4:Q186,Q187)&lt;1,1),FALSE))))"),FALSE)</f>
        <v>0</v>
      </c>
      <c r="S187" s="59">
        <f t="array" ref="S187">IF(COUNTA(Q187:Q1350)=0,"",SUM((COUNTIF(Q$4:Q187,Upgrades!$B$3:$B$13)-COUNTIF(Q$4:Q187,"Sell_"&amp;Upgrades!$B$3:$B$13))*Upgrades!$D$3:$D$13))</f>
        <v>92133.8</v>
      </c>
      <c r="T187" s="66">
        <f>IFERROR(__xludf.DUMMYFUNCTION("IF(COUNTA(Q187:Q1350)=0,"""",IF(REGEXMATCH(INDEX(FILTER(Q$4:Q187,Q$4:Q187&lt;&gt;""""),ROWS(FILTER(Q$4:Q187,Q$4:Q187&lt;&gt;""""))),""^Sell_""),INDEX(FILTER(T$4:T186,Q$4:Q186&lt;&gt;""""),ROWS(FILTER(Q$4:Q186,Q$4:Q186&lt;&gt;""""))),$AD$5+S187))"),92333.8)</f>
        <v>92333.8</v>
      </c>
      <c r="U187" s="10">
        <f>IFERROR(__xludf.DUMMYFUNCTION("IF(COUNTA(Q187:Q1350)=0,"""",IF(Q187="""",0,IF(REGEXMATCH(Q187,""^Sell_""),-ROUNDDOWN(ROUNDUP(INDEX(Upgrades!$C$3:$C$13,MATCH(SUBSTITUTE(Q187,""Sell_"",""""),Upgrades!$B$3:$B$13,0))*1.15^(COUNTIF(Q$4:Q186,SUBSTITUTE(Q187,""Sell_"",""""))-COUNTIF(Q$4:Q186,"&amp;"""Sell_""&amp;SUBSTITUTE(Q187,""Sell_"",""""))))/2),ROUNDUP(INDEX(Upgrades!$C$3:$C$13,MATCH(Q187,Upgrades!$B$3:$B$13,0))*1.15^(COUNTIF(Q$4:Q186,Q187)-COUNTIF(Q$4:Q186,""Sell_""&amp;Q187))))))"),814.0)</f>
        <v>814</v>
      </c>
      <c r="V187" s="10">
        <f t="shared" si="11"/>
        <v>814</v>
      </c>
      <c r="W187" s="68">
        <f t="shared" si="12"/>
        <v>3168.542678</v>
      </c>
      <c r="X187" s="59" t="str">
        <f t="shared" si="13"/>
        <v>52m 48s</v>
      </c>
      <c r="Y187" s="69">
        <f t="shared" si="14"/>
        <v>62893871</v>
      </c>
      <c r="Z187" s="11"/>
    </row>
    <row r="188">
      <c r="A188" s="8"/>
      <c r="B188" s="56" t="str">
        <f t="shared" si="2"/>
        <v/>
      </c>
      <c r="C188" s="57"/>
      <c r="D188" s="10" t="str">
        <f>IFERROR(__xludf.DUMMYFUNCTION("IF(COUNTA(C188:C1350)=0,"""",IF(ISBLANK(C188),FALSE,IF(NOT(COUNTIF($AA$24:$AA$34,SUBSTITUTE(C188,""Sell_"",""""))),1,IF(REGEXMATCH(C188,""Sell_""),IF(COUNTIF(C$4:C188,SUBSTITUTE(C188,""Sell_"",""""))-COUNTIF(C$4:C187,C188)&lt;1,1),FALSE))))"),"")</f>
        <v/>
      </c>
      <c r="E188" s="59" t="str">
        <f t="array" ref="E188">IF(COUNTA(C188:C1350)=0,"",SUM((COUNTIF(C$4:C188,Upgrades!$B$3:$B$13)-COUNTIF(C$4:C188,"Sell_"&amp;Upgrades!$B$3:$B$13))*Upgrades!$D$3:$D$13))</f>
        <v/>
      </c>
      <c r="F188" s="66" t="str">
        <f>IFERROR(__xludf.DUMMYFUNCTION("IF(COUNTA(C188:C1350)=0,"""",IF(REGEXMATCH(INDEX(FILTER(C$4:C188,C$4:C188&lt;&gt;""""),ROWS(FILTER(C$4:C188,C$4:C188&lt;&gt;""""))),""^Sell_""),INDEX(FILTER(F$4:F187,C$4:C187&lt;&gt;""""),ROWS(FILTER(C$4:C187,C$4:C187&lt;&gt;""""))),$AC$5+E188))"),"")</f>
        <v/>
      </c>
      <c r="G188" s="10" t="str">
        <f>IFERROR(__xludf.DUMMYFUNCTION("IF(COUNTA(C188:C1350)=0,"""",IF(C188="""",0,IF(REGEXMATCH(C188,""^Sell_""),-ROUNDDOWN(ROUNDUP(INDEX(Upgrades!$C$3:$C$13,MATCH(SUBSTITUTE(C188,""Sell_"",""""),Upgrades!$B$3:$B$13,0))*1.15^(COUNTIF(C$4:C187,SUBSTITUTE(C188,""Sell_"",""""))-COUNTIF(C$4:C187,"&amp;"""Sell_""&amp;SUBSTITUTE(C188,""Sell_"",""""))))/2),ROUNDUP(INDEX(Upgrades!$C$3:$C$13,MATCH(C188,Upgrades!$B$3:$B$13,0))*1.15^(COUNTIF(C$4:C187,C188)-COUNTIF(C$4:C187,""Sell_""&amp;C188))))))"),"")</f>
        <v/>
      </c>
      <c r="H188" s="10" t="str">
        <f t="shared" si="3"/>
        <v/>
      </c>
      <c r="I188" s="68" t="str">
        <f t="shared" si="4"/>
        <v/>
      </c>
      <c r="J188" s="59" t="str">
        <f t="shared" si="5"/>
        <v/>
      </c>
      <c r="K188" s="69" t="str">
        <f t="shared" si="6"/>
        <v/>
      </c>
      <c r="L188" s="60">
        <f t="shared" si="7"/>
        <v>-153.21666</v>
      </c>
      <c r="M188" s="61">
        <f>IFERROR(__xludf.DUMMYFUNCTION("IFS(AND(COUNTA(C188:C1350)=0,COUNTA(Q188:Q1350)=0),"""",OR(AND(K188&gt;=1000000000,OR(Y188&gt;=1000000000,COUNTA(Q188:Q1350)=0)),OR(Y188&gt;=1000000000,AND(COUNTA(C188:C1350)=0,P$3=TRUE))),
ROUNDDOWN((AB$1-AC$1)*MAX(INDEX(T$4:T1350,MATCH(LARGE(FILTER(Y$4:Y1350,Y$4"&amp;":Y1350&lt;1000000000),1),Y$4:Y1350)),INDEX(F$4:F1350,MATCH(LARGE(FILTER(K$4:K1350,K$4:K1350&lt;1000000000),1),K$4:K1350)))),AND(K188&lt;1000000000,COUNTA(C188:C1350)&gt;0,P$3=FALSE),
ROUNDDOWN(INDEX(Y$4:Y1350,MATCH(LARGE(FILTER(W$4:W1350,W$4:W1350&lt;=I188),1),W$4:W1350"&amp;"))+(I188-LARGE(FILTER(W$4:W1350,W$4:W1350&lt;=I188),1))*INDEX(T$4:T1350,MATCH(LARGE(FILTER(W$4:W1350,W$4:W1350&lt;=I188),1),W$4:W1350))-K188),1,
ROUNDDOWN(Y188-INDEX(K$4:K1350,MATCH(LARGE(FILTER(I$4:I1350,I$4:I1350&lt;=W188),1),I$4:I1350))-(W188-LARGE(FILTER(I$4:I"&amp;"1350,I$4:I1350&lt;=W188),1))*INDEX(F$4:F1350,MATCH(LARGE(FILTER(I$4:I1350,I$4:I1350&lt;=W188),1),I$4:I1350))))"),1.3976865E7)</f>
        <v>13976865</v>
      </c>
      <c r="N188" s="60">
        <f t="shared" si="8"/>
        <v>-153.21666</v>
      </c>
      <c r="O188" s="61" t="str">
        <f t="shared" si="9"/>
        <v>14,0M</v>
      </c>
      <c r="P188" s="56">
        <f t="shared" si="10"/>
        <v>14</v>
      </c>
      <c r="Q188" s="105" t="s">
        <v>10</v>
      </c>
      <c r="R188" s="10" t="b">
        <f>IFERROR(__xludf.DUMMYFUNCTION("IF(COUNTA(Q188:Q1350)=0,"""",IF(ISBLANK(Q188),FALSE,IF(NOT(COUNTIF($AA$24:$AA$34,SUBSTITUTE(Q188,""Sell_"",""""))),1,IF(REGEXMATCH(Q188,""Sell_""),IF(COUNTIF(Q$4:Q188,SUBSTITUTE(Q188,""Sell_"",""""))-COUNTIF(Q$4:Q187,Q188)&lt;1,1),FALSE))))"),FALSE)</f>
        <v>0</v>
      </c>
      <c r="S188" s="59">
        <f t="array" ref="S188">IF(COUNTA(Q188:Q1350)=0,"",SUM((COUNTIF(Q$4:Q188,Upgrades!$B$3:$B$13)-COUNTIF(Q$4:Q188,"Sell_"&amp;Upgrades!$B$3:$B$13))*Upgrades!$D$3:$D$13))</f>
        <v>98799.8</v>
      </c>
      <c r="T188" s="66">
        <f>IFERROR(__xludf.DUMMYFUNCTION("IF(COUNTA(Q188:Q1350)=0,"""",IF(REGEXMATCH(INDEX(FILTER(Q$4:Q188,Q$4:Q188&lt;&gt;""""),ROWS(FILTER(Q$4:Q188,Q$4:Q188&lt;&gt;""""))),""^Sell_""),INDEX(FILTER(T$4:T187,Q$4:Q187&lt;&gt;""""),ROWS(FILTER(Q$4:Q187,Q$4:Q187&lt;&gt;""""))),$AD$5+S188))"),98999.8)</f>
        <v>98999.8</v>
      </c>
      <c r="U188" s="10">
        <f>IFERROR(__xludf.DUMMYFUNCTION("IF(COUNTA(Q188:Q1350)=0,"""",IF(Q188="""",0,IF(REGEXMATCH(Q188,""^Sell_""),-ROUNDDOWN(ROUNDUP(INDEX(Upgrades!$C$3:$C$13,MATCH(SUBSTITUTE(Q188,""Sell_"",""""),Upgrades!$B$3:$B$13,0))*1.15^(COUNTIF(Q$4:Q187,SUBSTITUTE(Q188,""Sell_"",""""))-COUNTIF(Q$4:Q187,"&amp;"""Sell_""&amp;SUBSTITUTE(Q188,""Sell_"",""""))))/2),ROUNDUP(INDEX(Upgrades!$C$3:$C$13,MATCH(Q188,Upgrades!$B$3:$B$13,0))*1.15^(COUNTIF(Q$4:Q187,Q188)-COUNTIF(Q$4:Q187,""Sell_""&amp;Q188))))))"),1.0254642E7)</f>
        <v>10254642</v>
      </c>
      <c r="V188" s="10">
        <f t="shared" si="11"/>
        <v>10254642</v>
      </c>
      <c r="W188" s="68">
        <f t="shared" si="12"/>
        <v>3279.603222</v>
      </c>
      <c r="X188" s="59" t="str">
        <f t="shared" si="13"/>
        <v>54m 39s</v>
      </c>
      <c r="Y188" s="69">
        <f t="shared" si="14"/>
        <v>73148513</v>
      </c>
      <c r="Z188" s="11"/>
    </row>
    <row r="189">
      <c r="A189" s="8"/>
      <c r="B189" s="56" t="str">
        <f t="shared" si="2"/>
        <v/>
      </c>
      <c r="C189" s="57"/>
      <c r="D189" s="10" t="str">
        <f>IFERROR(__xludf.DUMMYFUNCTION("IF(COUNTA(C189:C1350)=0,"""",IF(ISBLANK(C189),FALSE,IF(NOT(COUNTIF($AA$24:$AA$34,SUBSTITUTE(C189,""Sell_"",""""))),1,IF(REGEXMATCH(C189,""Sell_""),IF(COUNTIF(C$4:C189,SUBSTITUTE(C189,""Sell_"",""""))-COUNTIF(C$4:C188,C189)&lt;1,1),FALSE))))"),"")</f>
        <v/>
      </c>
      <c r="E189" s="59" t="str">
        <f t="array" ref="E189">IF(COUNTA(C189:C1350)=0,"",SUM((COUNTIF(C$4:C189,Upgrades!$B$3:$B$13)-COUNTIF(C$4:C189,"Sell_"&amp;Upgrades!$B$3:$B$13))*Upgrades!$D$3:$D$13))</f>
        <v/>
      </c>
      <c r="F189" s="66" t="str">
        <f>IFERROR(__xludf.DUMMYFUNCTION("IF(COUNTA(C189:C1350)=0,"""",IF(REGEXMATCH(INDEX(FILTER(C$4:C189,C$4:C189&lt;&gt;""""),ROWS(FILTER(C$4:C189,C$4:C189&lt;&gt;""""))),""^Sell_""),INDEX(FILTER(F$4:F188,C$4:C188&lt;&gt;""""),ROWS(FILTER(C$4:C188,C$4:C188&lt;&gt;""""))),$AC$5+E189))"),"")</f>
        <v/>
      </c>
      <c r="G189" s="10" t="str">
        <f>IFERROR(__xludf.DUMMYFUNCTION("IF(COUNTA(C189:C1350)=0,"""",IF(C189="""",0,IF(REGEXMATCH(C189,""^Sell_""),-ROUNDDOWN(ROUNDUP(INDEX(Upgrades!$C$3:$C$13,MATCH(SUBSTITUTE(C189,""Sell_"",""""),Upgrades!$B$3:$B$13,0))*1.15^(COUNTIF(C$4:C188,SUBSTITUTE(C189,""Sell_"",""""))-COUNTIF(C$4:C188,"&amp;"""Sell_""&amp;SUBSTITUTE(C189,""Sell_"",""""))))/2),ROUNDUP(INDEX(Upgrades!$C$3:$C$13,MATCH(C189,Upgrades!$B$3:$B$13,0))*1.15^(COUNTIF(C$4:C188,C189)-COUNTIF(C$4:C188,""Sell_""&amp;C189))))))"),"")</f>
        <v/>
      </c>
      <c r="H189" s="10" t="str">
        <f t="shared" si="3"/>
        <v/>
      </c>
      <c r="I189" s="68" t="str">
        <f t="shared" si="4"/>
        <v/>
      </c>
      <c r="J189" s="59" t="str">
        <f t="shared" si="5"/>
        <v/>
      </c>
      <c r="K189" s="69" t="str">
        <f t="shared" si="6"/>
        <v/>
      </c>
      <c r="L189" s="60">
        <f t="shared" si="7"/>
        <v>-153.18837</v>
      </c>
      <c r="M189" s="61">
        <f>IFERROR(__xludf.DUMMYFUNCTION("IFS(AND(COUNTA(C189:C1350)=0,COUNTA(Q189:Q1350)=0),"""",OR(AND(K189&gt;=1000000000,OR(Y189&gt;=1000000000,COUNTA(Q189:Q1350)=0)),OR(Y189&gt;=1000000000,AND(COUNTA(C189:C1350)=0,P$3=TRUE))),
ROUNDDOWN((AB$1-AC$1)*MAX(INDEX(T$4:T1350,MATCH(LARGE(FILTER(Y$4:Y1350,Y$4"&amp;":Y1350&lt;1000000000),1),Y$4:Y1350)),INDEX(F$4:F1350,MATCH(LARGE(FILTER(K$4:K1350,K$4:K1350&lt;1000000000),1),K$4:K1350)))),AND(K189&lt;1000000000,COUNTA(C189:C1350)&gt;0,P$3=FALSE),
ROUNDDOWN(INDEX(Y$4:Y1350,MATCH(LARGE(FILTER(W$4:W1350,W$4:W1350&lt;=I189),1),W$4:W1350"&amp;"))+(I189-LARGE(FILTER(W$4:W1350,W$4:W1350&lt;=I189),1))*INDEX(T$4:T1350,MATCH(LARGE(FILTER(W$4:W1350,W$4:W1350&lt;=I189),1),W$4:W1350))-K189),1,
ROUNDDOWN(Y189-INDEX(K$4:K1350,MATCH(LARGE(FILTER(I$4:I1350,I$4:I1350&lt;=W189),1),I$4:I1350))-(W189-LARGE(FILTER(I$4:I"&amp;"1350,I$4:I1350&lt;=W189),1))*INDEX(F$4:F1350,MATCH(LARGE(FILTER(I$4:I1350,I$4:I1350&lt;=W189),1),I$4:I1350))))"),1.4072739E7)</f>
        <v>14072739</v>
      </c>
      <c r="N189" s="60">
        <f t="shared" si="8"/>
        <v>-153.18837</v>
      </c>
      <c r="O189" s="61" t="str">
        <f t="shared" si="9"/>
        <v>14,1M</v>
      </c>
      <c r="P189" s="56">
        <f t="shared" si="10"/>
        <v>10</v>
      </c>
      <c r="Q189" s="105" t="s">
        <v>9</v>
      </c>
      <c r="R189" s="10" t="b">
        <f>IFERROR(__xludf.DUMMYFUNCTION("IF(COUNTA(Q189:Q1350)=0,"""",IF(ISBLANK(Q189),FALSE,IF(NOT(COUNTIF($AA$24:$AA$34,SUBSTITUTE(Q189,""Sell_"",""""))),1,IF(REGEXMATCH(Q189,""Sell_""),IF(COUNTIF(Q$4:Q189,SUBSTITUTE(Q189,""Sell_"",""""))-COUNTIF(Q$4:Q188,Q189)&lt;1,1),FALSE))))"),FALSE)</f>
        <v>0</v>
      </c>
      <c r="S189" s="59">
        <f t="array" ref="S189">IF(COUNTA(Q189:Q1350)=0,"",SUM((COUNTIF(Q$4:Q189,Upgrades!$B$3:$B$13)-COUNTIF(Q$4:Q189,"Sell_"&amp;Upgrades!$B$3:$B$13))*Upgrades!$D$3:$D$13))</f>
        <v>99199.8</v>
      </c>
      <c r="T189" s="66">
        <f>IFERROR(__xludf.DUMMYFUNCTION("IF(COUNTA(Q189:Q1350)=0,"""",IF(REGEXMATCH(INDEX(FILTER(Q$4:Q189,Q$4:Q189&lt;&gt;""""),ROWS(FILTER(Q$4:Q189,Q$4:Q189&lt;&gt;""""))),""^Sell_""),INDEX(FILTER(T$4:T188,Q$4:Q188&lt;&gt;""""),ROWS(FILTER(Q$4:Q188,Q$4:Q188&lt;&gt;""""))),$AD$5+S189))"),99399.8)</f>
        <v>99399.8</v>
      </c>
      <c r="U189" s="10">
        <f>IFERROR(__xludf.DUMMYFUNCTION("IF(COUNTA(Q189:Q1350)=0,"""",IF(Q189="""",0,IF(REGEXMATCH(Q189,""^Sell_""),-ROUNDDOWN(ROUNDUP(INDEX(Upgrades!$C$3:$C$13,MATCH(SUBSTITUTE(Q189,""Sell_"",""""),Upgrades!$B$3:$B$13,0))*1.15^(COUNTIF(Q$4:Q188,SUBSTITUTE(Q189,""Sell_"",""""))-COUNTIF(Q$4:Q188,"&amp;"""Sell_""&amp;SUBSTITUTE(Q189,""Sell_"",""""))))/2),ROUNDUP(INDEX(Upgrades!$C$3:$C$13,MATCH(Q189,Upgrades!$B$3:$B$13,0))*1.15^(COUNTIF(Q$4:Q188,Q189)-COUNTIF(Q$4:Q188,""Sell_""&amp;Q189))))))"),703576.0)</f>
        <v>703576</v>
      </c>
      <c r="V189" s="10">
        <f t="shared" si="11"/>
        <v>703576</v>
      </c>
      <c r="W189" s="68">
        <f t="shared" si="12"/>
        <v>3286.710064</v>
      </c>
      <c r="X189" s="59" t="str">
        <f t="shared" si="13"/>
        <v>54m 46s</v>
      </c>
      <c r="Y189" s="69">
        <f t="shared" si="14"/>
        <v>73852089</v>
      </c>
      <c r="Z189" s="11"/>
    </row>
    <row r="190">
      <c r="A190" s="8"/>
      <c r="B190" s="56" t="str">
        <f t="shared" si="2"/>
        <v/>
      </c>
      <c r="C190" s="57"/>
      <c r="D190" s="10" t="str">
        <f>IFERROR(__xludf.DUMMYFUNCTION("IF(COUNTA(C190:C1350)=0,"""",IF(ISBLANK(C190),FALSE,IF(NOT(COUNTIF($AA$24:$AA$34,SUBSTITUTE(C190,""Sell_"",""""))),1,IF(REGEXMATCH(C190,""Sell_""),IF(COUNTIF(C$4:C190,SUBSTITUTE(C190,""Sell_"",""""))-COUNTIF(C$4:C189,C190)&lt;1,1),FALSE))))"),"")</f>
        <v/>
      </c>
      <c r="E190" s="59" t="str">
        <f t="array" ref="E190">IF(COUNTA(C190:C1350)=0,"",SUM((COUNTIF(C$4:C190,Upgrades!$B$3:$B$13)-COUNTIF(C$4:C190,"Sell_"&amp;Upgrades!$B$3:$B$13))*Upgrades!$D$3:$D$13))</f>
        <v/>
      </c>
      <c r="F190" s="66" t="str">
        <f>IFERROR(__xludf.DUMMYFUNCTION("IF(COUNTA(C190:C1350)=0,"""",IF(REGEXMATCH(INDEX(FILTER(C$4:C190,C$4:C190&lt;&gt;""""),ROWS(FILTER(C$4:C190,C$4:C190&lt;&gt;""""))),""^Sell_""),INDEX(FILTER(F$4:F189,C$4:C189&lt;&gt;""""),ROWS(FILTER(C$4:C189,C$4:C189&lt;&gt;""""))),$AC$5+E190))"),"")</f>
        <v/>
      </c>
      <c r="G190" s="10" t="str">
        <f>IFERROR(__xludf.DUMMYFUNCTION("IF(COUNTA(C190:C1350)=0,"""",IF(C190="""",0,IF(REGEXMATCH(C190,""^Sell_""),-ROUNDDOWN(ROUNDUP(INDEX(Upgrades!$C$3:$C$13,MATCH(SUBSTITUTE(C190,""Sell_"",""""),Upgrades!$B$3:$B$13,0))*1.15^(COUNTIF(C$4:C189,SUBSTITUTE(C190,""Sell_"",""""))-COUNTIF(C$4:C189,"&amp;"""Sell_""&amp;SUBSTITUTE(C190,""Sell_"",""""))))/2),ROUNDUP(INDEX(Upgrades!$C$3:$C$13,MATCH(C190,Upgrades!$B$3:$B$13,0))*1.15^(COUNTIF(C$4:C189,C190)-COUNTIF(C$4:C189,""Sell_""&amp;C190))))))"),"")</f>
        <v/>
      </c>
      <c r="H190" s="10" t="str">
        <f t="shared" si="3"/>
        <v/>
      </c>
      <c r="I190" s="68" t="str">
        <f t="shared" si="4"/>
        <v/>
      </c>
      <c r="J190" s="59" t="str">
        <f t="shared" si="5"/>
        <v/>
      </c>
      <c r="K190" s="69" t="str">
        <f t="shared" si="6"/>
        <v/>
      </c>
      <c r="L190" s="60">
        <f t="shared" si="7"/>
        <v>-153.18772</v>
      </c>
      <c r="M190" s="61">
        <f>IFERROR(__xludf.DUMMYFUNCTION("IFS(AND(COUNTA(C190:C1350)=0,COUNTA(Q190:Q1350)=0),"""",OR(AND(K190&gt;=1000000000,OR(Y190&gt;=1000000000,COUNTA(Q190:Q1350)=0)),OR(Y190&gt;=1000000000,AND(COUNTA(C190:C1350)=0,P$3=TRUE))),
ROUNDDOWN((AB$1-AC$1)*MAX(INDEX(T$4:T1350,MATCH(LARGE(FILTER(Y$4:Y1350,Y$4"&amp;":Y1350&lt;1000000000),1),Y$4:Y1350)),INDEX(F$4:F1350,MATCH(LARGE(FILTER(K$4:K1350,K$4:K1350&lt;1000000000),1),K$4:K1350)))),AND(K190&lt;1000000000,COUNTA(C190:C1350)&gt;0,P$3=FALSE),
ROUNDDOWN(INDEX(Y$4:Y1350,MATCH(LARGE(FILTER(W$4:W1350,W$4:W1350&lt;=I190),1),W$4:W1350"&amp;"))+(I190-LARGE(FILTER(W$4:W1350,W$4:W1350&lt;=I190),1))*INDEX(T$4:T1350,MATCH(LARGE(FILTER(W$4:W1350,W$4:W1350&lt;=I190),1),W$4:W1350))-K190),1,
ROUNDDOWN(Y190-INDEX(K$4:K1350,MATCH(LARGE(FILTER(I$4:I1350,I$4:I1350&lt;=W190),1),I$4:I1350))-(W190-LARGE(FILTER(I$4:I"&amp;"1350,I$4:I1350&lt;=W190),1))*INDEX(F$4:F1350,MATCH(LARGE(FILTER(I$4:I1350,I$4:I1350&lt;=W190),1),I$4:I1350))))"),1.4082627E7)</f>
        <v>14082627</v>
      </c>
      <c r="N190" s="60">
        <f t="shared" si="8"/>
        <v>-153.18772</v>
      </c>
      <c r="O190" s="61" t="str">
        <f t="shared" si="9"/>
        <v>14,1M</v>
      </c>
      <c r="P190" s="56">
        <f t="shared" si="10"/>
        <v>15</v>
      </c>
      <c r="Q190" s="105" t="s">
        <v>7</v>
      </c>
      <c r="R190" s="10" t="b">
        <f>IFERROR(__xludf.DUMMYFUNCTION("IF(COUNTA(Q190:Q1350)=0,"""",IF(ISBLANK(Q190),FALSE,IF(NOT(COUNTIF($AA$24:$AA$34,SUBSTITUTE(Q190,""Sell_"",""""))),1,IF(REGEXMATCH(Q190,""Sell_""),IF(COUNTIF(Q$4:Q190,SUBSTITUTE(Q190,""Sell_"",""""))-COUNTIF(Q$4:Q189,Q190)&lt;1,1),FALSE))))"),FALSE)</f>
        <v>0</v>
      </c>
      <c r="S190" s="59">
        <f t="array" ref="S190">IF(COUNTA(Q190:Q1350)=0,"",SUM((COUNTIF(Q$4:Q190,Upgrades!$B$3:$B$13)-COUNTIF(Q$4:Q190,"Sell_"&amp;Upgrades!$B$3:$B$13))*Upgrades!$D$3:$D$13))</f>
        <v>99239.8</v>
      </c>
      <c r="T190" s="66">
        <f>IFERROR(__xludf.DUMMYFUNCTION("IF(COUNTA(Q190:Q1350)=0,"""",IF(REGEXMATCH(INDEX(FILTER(Q$4:Q190,Q$4:Q190&lt;&gt;""""),ROWS(FILTER(Q$4:Q190,Q$4:Q190&lt;&gt;""""))),""^Sell_""),INDEX(FILTER(T$4:T189,Q$4:Q189&lt;&gt;""""),ROWS(FILTER(Q$4:Q189,Q$4:Q189&lt;&gt;""""))),$AD$5+S190))"),99439.8)</f>
        <v>99439.8</v>
      </c>
      <c r="U190" s="10">
        <f>IFERROR(__xludf.DUMMYFUNCTION("IF(COUNTA(Q190:Q1350)=0,"""",IF(Q190="""",0,IF(REGEXMATCH(Q190,""^Sell_""),-ROUNDDOWN(ROUNDUP(INDEX(Upgrades!$C$3:$C$13,MATCH(SUBSTITUTE(Q190,""Sell_"",""""),Upgrades!$B$3:$B$13,0))*1.15^(COUNTIF(Q$4:Q189,SUBSTITUTE(Q190,""Sell_"",""""))-COUNTIF(Q$4:Q189,"&amp;"""Sell_""&amp;SUBSTITUTE(Q190,""Sell_"",""""))))/2),ROUNDUP(INDEX(Upgrades!$C$3:$C$13,MATCH(Q190,Upgrades!$B$3:$B$13,0))*1.15^(COUNTIF(Q$4:Q189,Q190)-COUNTIF(Q$4:Q189,""Sell_""&amp;Q190))))))"),70758.0)</f>
        <v>70758</v>
      </c>
      <c r="V190" s="10">
        <f t="shared" si="11"/>
        <v>70758</v>
      </c>
      <c r="W190" s="68">
        <f t="shared" si="12"/>
        <v>3287.421917</v>
      </c>
      <c r="X190" s="59" t="str">
        <f t="shared" si="13"/>
        <v>54m 47s</v>
      </c>
      <c r="Y190" s="69">
        <f t="shared" si="14"/>
        <v>73922847</v>
      </c>
      <c r="Z190" s="11"/>
    </row>
    <row r="191">
      <c r="A191" s="8"/>
      <c r="B191" s="56" t="str">
        <f t="shared" si="2"/>
        <v/>
      </c>
      <c r="C191" s="57"/>
      <c r="D191" s="10" t="str">
        <f>IFERROR(__xludf.DUMMYFUNCTION("IF(COUNTA(C191:C1350)=0,"""",IF(ISBLANK(C191),FALSE,IF(NOT(COUNTIF($AA$24:$AA$34,SUBSTITUTE(C191,""Sell_"",""""))),1,IF(REGEXMATCH(C191,""Sell_""),IF(COUNTIF(C$4:C191,SUBSTITUTE(C191,""Sell_"",""""))-COUNTIF(C$4:C190,C191)&lt;1,1),FALSE))))"),"")</f>
        <v/>
      </c>
      <c r="E191" s="59" t="str">
        <f t="array" ref="E191">IF(COUNTA(C191:C1350)=0,"",SUM((COUNTIF(C$4:C191,Upgrades!$B$3:$B$13)-COUNTIF(C$4:C191,"Sell_"&amp;Upgrades!$B$3:$B$13))*Upgrades!$D$3:$D$13))</f>
        <v/>
      </c>
      <c r="F191" s="66" t="str">
        <f>IFERROR(__xludf.DUMMYFUNCTION("IF(COUNTA(C191:C1350)=0,"""",IF(REGEXMATCH(INDEX(FILTER(C$4:C191,C$4:C191&lt;&gt;""""),ROWS(FILTER(C$4:C191,C$4:C191&lt;&gt;""""))),""^Sell_""),INDEX(FILTER(F$4:F190,C$4:C190&lt;&gt;""""),ROWS(FILTER(C$4:C190,C$4:C190&lt;&gt;""""))),$AC$5+E191))"),"")</f>
        <v/>
      </c>
      <c r="G191" s="10" t="str">
        <f>IFERROR(__xludf.DUMMYFUNCTION("IF(COUNTA(C191:C1350)=0,"""",IF(C191="""",0,IF(REGEXMATCH(C191,""^Sell_""),-ROUNDDOWN(ROUNDUP(INDEX(Upgrades!$C$3:$C$13,MATCH(SUBSTITUTE(C191,""Sell_"",""""),Upgrades!$B$3:$B$13,0))*1.15^(COUNTIF(C$4:C190,SUBSTITUTE(C191,""Sell_"",""""))-COUNTIF(C$4:C190,"&amp;"""Sell_""&amp;SUBSTITUTE(C191,""Sell_"",""""))))/2),ROUNDUP(INDEX(Upgrades!$C$3:$C$13,MATCH(C191,Upgrades!$B$3:$B$13,0))*1.15^(COUNTIF(C$4:C190,C191)-COUNTIF(C$4:C190,""Sell_""&amp;C191))))))"),"")</f>
        <v/>
      </c>
      <c r="H191" s="10" t="str">
        <f t="shared" si="3"/>
        <v/>
      </c>
      <c r="I191" s="68" t="str">
        <f t="shared" si="4"/>
        <v/>
      </c>
      <c r="J191" s="59" t="str">
        <f t="shared" si="5"/>
        <v/>
      </c>
      <c r="K191" s="69" t="str">
        <f t="shared" si="6"/>
        <v/>
      </c>
      <c r="L191" s="60">
        <f t="shared" si="7"/>
        <v>-153.18746</v>
      </c>
      <c r="M191" s="61">
        <f>IFERROR(__xludf.DUMMYFUNCTION("IFS(AND(COUNTA(C191:C1350)=0,COUNTA(Q191:Q1350)=0),"""",OR(AND(K191&gt;=1000000000,OR(Y191&gt;=1000000000,COUNTA(Q191:Q1350)=0)),OR(Y191&gt;=1000000000,AND(COUNTA(C191:C1350)=0,P$3=TRUE))),
ROUNDDOWN((AB$1-AC$1)*MAX(INDEX(T$4:T1350,MATCH(LARGE(FILTER(Y$4:Y1350,Y$4"&amp;":Y1350&lt;1000000000),1),Y$4:Y1350)),INDEX(F$4:F1350,MATCH(LARGE(FILTER(K$4:K1350,K$4:K1350&lt;1000000000),1),K$4:K1350)))),AND(K191&lt;1000000000,COUNTA(C191:C1350)&gt;0,P$3=FALSE),
ROUNDDOWN(INDEX(Y$4:Y1350,MATCH(LARGE(FILTER(W$4:W1350,W$4:W1350&lt;=I191),1),W$4:W1350"&amp;"))+(I191-LARGE(FILTER(W$4:W1350,W$4:W1350&lt;=I191),1))*INDEX(T$4:T1350,MATCH(LARGE(FILTER(W$4:W1350,W$4:W1350&lt;=I191),1),W$4:W1350))-K191),1,
ROUNDDOWN(Y191-INDEX(K$4:K1350,MATCH(LARGE(FILTER(I$4:I1350,I$4:I1350&lt;=W191),1),I$4:I1350))-(W191-LARGE(FILTER(I$4:I"&amp;"1350,I$4:I1350&lt;=W191),1))*INDEX(F$4:F1350,MATCH(LARGE(FILTER(I$4:I1350,I$4:I1350&lt;=W191),1),I$4:I1350))))"),1.4083624E7)</f>
        <v>14083624</v>
      </c>
      <c r="N191" s="60">
        <f t="shared" si="8"/>
        <v>-153.18746</v>
      </c>
      <c r="O191" s="61" t="str">
        <f t="shared" si="9"/>
        <v>14,1M</v>
      </c>
      <c r="P191" s="56">
        <f t="shared" si="10"/>
        <v>20</v>
      </c>
      <c r="Q191" s="105" t="s">
        <v>5</v>
      </c>
      <c r="R191" s="10" t="b">
        <f>IFERROR(__xludf.DUMMYFUNCTION("IF(COUNTA(Q191:Q1350)=0,"""",IF(ISBLANK(Q191),FALSE,IF(NOT(COUNTIF($AA$24:$AA$34,SUBSTITUTE(Q191,""Sell_"",""""))),1,IF(REGEXMATCH(Q191,""Sell_""),IF(COUNTIF(Q$4:Q191,SUBSTITUTE(Q191,""Sell_"",""""))-COUNTIF(Q$4:Q190,Q191)&lt;1,1),FALSE))))"),FALSE)</f>
        <v>0</v>
      </c>
      <c r="S191" s="59">
        <f t="array" ref="S191">IF(COUNTA(Q191:Q1350)=0,"",SUM((COUNTIF(Q$4:Q191,Upgrades!$B$3:$B$13)-COUNTIF(Q$4:Q191,"Sell_"&amp;Upgrades!$B$3:$B$13))*Upgrades!$D$3:$D$13))</f>
        <v>99243.8</v>
      </c>
      <c r="T191" s="66">
        <f>IFERROR(__xludf.DUMMYFUNCTION("IF(COUNTA(Q191:Q1350)=0,"""",IF(REGEXMATCH(INDEX(FILTER(Q$4:Q191,Q$4:Q191&lt;&gt;""""),ROWS(FILTER(Q$4:Q191,Q$4:Q191&lt;&gt;""""))),""^Sell_""),INDEX(FILTER(T$4:T190,Q$4:Q190&lt;&gt;""""),ROWS(FILTER(Q$4:Q190,Q$4:Q190&lt;&gt;""""))),$AD$5+S191))"),99443.8)</f>
        <v>99443.8</v>
      </c>
      <c r="U191" s="10">
        <f>IFERROR(__xludf.DUMMYFUNCTION("IF(COUNTA(Q191:Q1350)=0,"""",IF(Q191="""",0,IF(REGEXMATCH(Q191,""^Sell_""),-ROUNDDOWN(ROUNDUP(INDEX(Upgrades!$C$3:$C$13,MATCH(SUBSTITUTE(Q191,""Sell_"",""""),Upgrades!$B$3:$B$13,0))*1.15^(COUNTIF(Q$4:Q190,SUBSTITUTE(Q191,""Sell_"",""""))-COUNTIF(Q$4:Q190,"&amp;"""Sell_""&amp;SUBSTITUTE(Q191,""Sell_"",""""))))/2),ROUNDUP(INDEX(Upgrades!$C$3:$C$13,MATCH(Q191,Upgrades!$B$3:$B$13,0))*1.15^(COUNTIF(Q$4:Q190,Q191)-COUNTIF(Q$4:Q190,""Sell_""&amp;Q191))))))"),7116.0)</f>
        <v>7116</v>
      </c>
      <c r="V191" s="10">
        <f t="shared" si="11"/>
        <v>7116</v>
      </c>
      <c r="W191" s="68">
        <f t="shared" si="12"/>
        <v>3287.493478</v>
      </c>
      <c r="X191" s="59" t="str">
        <f t="shared" si="13"/>
        <v>54m 47s</v>
      </c>
      <c r="Y191" s="69">
        <f t="shared" si="14"/>
        <v>73929963</v>
      </c>
      <c r="Z191" s="11"/>
    </row>
    <row r="192">
      <c r="A192" s="8"/>
      <c r="B192" s="56" t="str">
        <f t="shared" si="2"/>
        <v/>
      </c>
      <c r="C192" s="57"/>
      <c r="D192" s="10" t="str">
        <f>IFERROR(__xludf.DUMMYFUNCTION("IF(COUNTA(C192:C1350)=0,"""",IF(ISBLANK(C192),FALSE,IF(NOT(COUNTIF($AA$24:$AA$34,SUBSTITUTE(C192,""Sell_"",""""))),1,IF(REGEXMATCH(C192,""Sell_""),IF(COUNTIF(C$4:C192,SUBSTITUTE(C192,""Sell_"",""""))-COUNTIF(C$4:C191,C192)&lt;1,1),FALSE))))"),"")</f>
        <v/>
      </c>
      <c r="E192" s="59" t="str">
        <f t="array" ref="E192">IF(COUNTA(C192:C1350)=0,"",SUM((COUNTIF(C$4:C192,Upgrades!$B$3:$B$13)-COUNTIF(C$4:C192,"Sell_"&amp;Upgrades!$B$3:$B$13))*Upgrades!$D$3:$D$13))</f>
        <v/>
      </c>
      <c r="F192" s="66" t="str">
        <f>IFERROR(__xludf.DUMMYFUNCTION("IF(COUNTA(C192:C1350)=0,"""",IF(REGEXMATCH(INDEX(FILTER(C$4:C192,C$4:C192&lt;&gt;""""),ROWS(FILTER(C$4:C192,C$4:C192&lt;&gt;""""))),""^Sell_""),INDEX(FILTER(F$4:F191,C$4:C191&lt;&gt;""""),ROWS(FILTER(C$4:C191,C$4:C191&lt;&gt;""""))),$AC$5+E192))"),"")</f>
        <v/>
      </c>
      <c r="G192" s="10" t="str">
        <f>IFERROR(__xludf.DUMMYFUNCTION("IF(COUNTA(C192:C1350)=0,"""",IF(C192="""",0,IF(REGEXMATCH(C192,""^Sell_""),-ROUNDDOWN(ROUNDUP(INDEX(Upgrades!$C$3:$C$13,MATCH(SUBSTITUTE(C192,""Sell_"",""""),Upgrades!$B$3:$B$13,0))*1.15^(COUNTIF(C$4:C191,SUBSTITUTE(C192,""Sell_"",""""))-COUNTIF(C$4:C191,"&amp;"""Sell_""&amp;SUBSTITUTE(C192,""Sell_"",""""))))/2),ROUNDUP(INDEX(Upgrades!$C$3:$C$13,MATCH(C192,Upgrades!$B$3:$B$13,0))*1.15^(COUNTIF(C$4:C191,C192)-COUNTIF(C$4:C191,""Sell_""&amp;C192))))))"),"")</f>
        <v/>
      </c>
      <c r="H192" s="10" t="str">
        <f t="shared" si="3"/>
        <v/>
      </c>
      <c r="I192" s="68" t="str">
        <f t="shared" si="4"/>
        <v/>
      </c>
      <c r="J192" s="59" t="str">
        <f t="shared" si="5"/>
        <v/>
      </c>
      <c r="K192" s="69" t="str">
        <f t="shared" si="6"/>
        <v/>
      </c>
      <c r="L192" s="60">
        <f t="shared" si="7"/>
        <v>-153.18681</v>
      </c>
      <c r="M192" s="61">
        <f>IFERROR(__xludf.DUMMYFUNCTION("IFS(AND(COUNTA(C192:C1350)=0,COUNTA(Q192:Q1350)=0),"""",OR(AND(K192&gt;=1000000000,OR(Y192&gt;=1000000000,COUNTA(Q192:Q1350)=0)),OR(Y192&gt;=1000000000,AND(COUNTA(C192:C1350)=0,P$3=TRUE))),
ROUNDDOWN((AB$1-AC$1)*MAX(INDEX(T$4:T1350,MATCH(LARGE(FILTER(Y$4:Y1350,Y$4"&amp;":Y1350&lt;1000000000),1),Y$4:Y1350)),INDEX(F$4:F1350,MATCH(LARGE(FILTER(K$4:K1350,K$4:K1350&lt;1000000000),1),K$4:K1350)))),AND(K192&lt;1000000000,COUNTA(C192:C1350)&gt;0,P$3=FALSE),
ROUNDDOWN(INDEX(Y$4:Y1350,MATCH(LARGE(FILTER(W$4:W1350,W$4:W1350&lt;=I192),1),W$4:W1350"&amp;"))+(I192-LARGE(FILTER(W$4:W1350,W$4:W1350&lt;=I192),1))*INDEX(T$4:T1350,MATCH(LARGE(FILTER(W$4:W1350,W$4:W1350&lt;=I192),1),W$4:W1350))-K192),1,
ROUNDDOWN(Y192-INDEX(K$4:K1350,MATCH(LARGE(FILTER(I$4:I1350,I$4:I1350&lt;=W192),1),I$4:I1350))-(W192-LARGE(FILTER(I$4:I"&amp;"1350,I$4:I1350&lt;=W192),1))*INDEX(F$4:F1350,MATCH(LARGE(FILTER(I$4:I1350,I$4:I1350&lt;=W192),1),I$4:I1350))))"),1.408621E7)</f>
        <v>14086210</v>
      </c>
      <c r="N192" s="60">
        <f t="shared" si="8"/>
        <v>-153.18681</v>
      </c>
      <c r="O192" s="61" t="str">
        <f t="shared" si="9"/>
        <v>14,1M</v>
      </c>
      <c r="P192" s="56">
        <f t="shared" si="10"/>
        <v>14</v>
      </c>
      <c r="Q192" s="105" t="s">
        <v>6</v>
      </c>
      <c r="R192" s="10" t="b">
        <f>IFERROR(__xludf.DUMMYFUNCTION("IF(COUNTA(Q192:Q1350)=0,"""",IF(ISBLANK(Q192),FALSE,IF(NOT(COUNTIF($AA$24:$AA$34,SUBSTITUTE(Q192,""Sell_"",""""))),1,IF(REGEXMATCH(Q192,""Sell_""),IF(COUNTIF(Q$4:Q192,SUBSTITUTE(Q192,""Sell_"",""""))-COUNTIF(Q$4:Q191,Q192)&lt;1,1),FALSE))))"),FALSE)</f>
        <v>0</v>
      </c>
      <c r="S192" s="59">
        <f t="array" ref="S192">IF(COUNTA(Q192:Q1350)=0,"",SUM((COUNTIF(Q$4:Q192,Upgrades!$B$3:$B$13)-COUNTIF(Q$4:Q192,"Sell_"&amp;Upgrades!$B$3:$B$13))*Upgrades!$D$3:$D$13))</f>
        <v>99253.8</v>
      </c>
      <c r="T192" s="66">
        <f>IFERROR(__xludf.DUMMYFUNCTION("IF(COUNTA(Q192:Q1350)=0,"""",IF(REGEXMATCH(INDEX(FILTER(Q$4:Q192,Q$4:Q192&lt;&gt;""""),ROWS(FILTER(Q$4:Q192,Q$4:Q192&lt;&gt;""""))),""^Sell_""),INDEX(FILTER(T$4:T191,Q$4:Q191&lt;&gt;""""),ROWS(FILTER(Q$4:Q191,Q$4:Q191&lt;&gt;""""))),$AD$5+S192))"),99453.8)</f>
        <v>99453.8</v>
      </c>
      <c r="U192" s="10">
        <f>IFERROR(__xludf.DUMMYFUNCTION("IF(COUNTA(Q192:Q1350)=0,"""",IF(Q192="""",0,IF(REGEXMATCH(Q192,""^Sell_""),-ROUNDDOWN(ROUNDUP(INDEX(Upgrades!$C$3:$C$13,MATCH(SUBSTITUTE(Q192,""Sell_"",""""),Upgrades!$B$3:$B$13,0))*1.15^(COUNTIF(Q$4:Q191,SUBSTITUTE(Q192,""Sell_"",""""))-COUNTIF(Q$4:Q191,"&amp;"""Sell_""&amp;SUBSTITUTE(Q192,""Sell_"",""""))))/2),ROUNDUP(INDEX(Upgrades!$C$3:$C$13,MATCH(Q192,Upgrades!$B$3:$B$13,0))*1.15^(COUNTIF(Q$4:Q191,Q192)-COUNTIF(Q$4:Q191,""Sell_""&amp;Q192))))))"),18459.0)</f>
        <v>18459</v>
      </c>
      <c r="V192" s="10">
        <f t="shared" si="11"/>
        <v>18459</v>
      </c>
      <c r="W192" s="68">
        <f t="shared" si="12"/>
        <v>3287.6791</v>
      </c>
      <c r="X192" s="59" t="str">
        <f t="shared" si="13"/>
        <v>54m 47s</v>
      </c>
      <c r="Y192" s="69">
        <f t="shared" si="14"/>
        <v>73948422</v>
      </c>
      <c r="Z192" s="11"/>
    </row>
    <row r="193">
      <c r="A193" s="8"/>
      <c r="B193" s="56" t="str">
        <f t="shared" si="2"/>
        <v/>
      </c>
      <c r="C193" s="57"/>
      <c r="D193" s="10" t="str">
        <f>IFERROR(__xludf.DUMMYFUNCTION("IF(COUNTA(C193:C1350)=0,"""",IF(ISBLANK(C193),FALSE,IF(NOT(COUNTIF($AA$24:$AA$34,SUBSTITUTE(C193,""Sell_"",""""))),1,IF(REGEXMATCH(C193,""Sell_""),IF(COUNTIF(C$4:C193,SUBSTITUTE(C193,""Sell_"",""""))-COUNTIF(C$4:C192,C193)&lt;1,1),FALSE))))"),"")</f>
        <v/>
      </c>
      <c r="E193" s="59" t="str">
        <f t="array" ref="E193">IF(COUNTA(C193:C1350)=0,"",SUM((COUNTIF(C$4:C193,Upgrades!$B$3:$B$13)-COUNTIF(C$4:C193,"Sell_"&amp;Upgrades!$B$3:$B$13))*Upgrades!$D$3:$D$13))</f>
        <v/>
      </c>
      <c r="F193" s="66" t="str">
        <f>IFERROR(__xludf.DUMMYFUNCTION("IF(COUNTA(C193:C1350)=0,"""",IF(REGEXMATCH(INDEX(FILTER(C$4:C193,C$4:C193&lt;&gt;""""),ROWS(FILTER(C$4:C193,C$4:C193&lt;&gt;""""))),""^Sell_""),INDEX(FILTER(F$4:F192,C$4:C192&lt;&gt;""""),ROWS(FILTER(C$4:C192,C$4:C192&lt;&gt;""""))),$AC$5+E193))"),"")</f>
        <v/>
      </c>
      <c r="G193" s="10" t="str">
        <f>IFERROR(__xludf.DUMMYFUNCTION("IF(COUNTA(C193:C1350)=0,"""",IF(C193="""",0,IF(REGEXMATCH(C193,""^Sell_""),-ROUNDDOWN(ROUNDUP(INDEX(Upgrades!$C$3:$C$13,MATCH(SUBSTITUTE(C193,""Sell_"",""""),Upgrades!$B$3:$B$13,0))*1.15^(COUNTIF(C$4:C192,SUBSTITUTE(C193,""Sell_"",""""))-COUNTIF(C$4:C192,"&amp;"""Sell_""&amp;SUBSTITUTE(C193,""Sell_"",""""))))/2),ROUNDUP(INDEX(Upgrades!$C$3:$C$13,MATCH(C193,Upgrades!$B$3:$B$13,0))*1.15^(COUNTIF(C$4:C192,C193)-COUNTIF(C$4:C192,""Sell_""&amp;C193))))))"),"")</f>
        <v/>
      </c>
      <c r="H193" s="10" t="str">
        <f t="shared" si="3"/>
        <v/>
      </c>
      <c r="I193" s="68" t="str">
        <f t="shared" si="4"/>
        <v/>
      </c>
      <c r="J193" s="59" t="str">
        <f t="shared" si="5"/>
        <v/>
      </c>
      <c r="K193" s="69" t="str">
        <f t="shared" si="6"/>
        <v/>
      </c>
      <c r="L193" s="60">
        <f t="shared" si="7"/>
        <v>-153.1868</v>
      </c>
      <c r="M193" s="61">
        <f>IFERROR(__xludf.DUMMYFUNCTION("IFS(AND(COUNTA(C193:C1350)=0,COUNTA(Q193:Q1350)=0),"""",OR(AND(K193&gt;=1000000000,OR(Y193&gt;=1000000000,COUNTA(Q193:Q1350)=0)),OR(Y193&gt;=1000000000,AND(COUNTA(C193:C1350)=0,P$3=TRUE))),
ROUNDDOWN((AB$1-AC$1)*MAX(INDEX(T$4:T1350,MATCH(LARGE(FILTER(Y$4:Y1350,Y$4"&amp;":Y1350&lt;1000000000),1),Y$4:Y1350)),INDEX(F$4:F1350,MATCH(LARGE(FILTER(K$4:K1350,K$4:K1350&lt;1000000000),1),K$4:K1350)))),AND(K193&lt;1000000000,COUNTA(C193:C1350)&gt;0,P$3=FALSE),
ROUNDDOWN(INDEX(Y$4:Y1350,MATCH(LARGE(FILTER(W$4:W1350,W$4:W1350&lt;=I193),1),W$4:W1350"&amp;"))+(I193-LARGE(FILTER(W$4:W1350,W$4:W1350&lt;=I193),1))*INDEX(T$4:T1350,MATCH(LARGE(FILTER(W$4:W1350,W$4:W1350&lt;=I193),1),W$4:W1350))-K193),1,
ROUNDDOWN(Y193-INDEX(K$4:K1350,MATCH(LARGE(FILTER(I$4:I1350,I$4:I1350&lt;=W193),1),I$4:I1350))-(W193-LARGE(FILTER(I$4:I"&amp;"1350,I$4:I1350&lt;=W193),1))*INDEX(F$4:F1350,MATCH(LARGE(FILTER(I$4:I1350,I$4:I1350&lt;=W193),1),I$4:I1350))))"),1.4086236E7)</f>
        <v>14086236</v>
      </c>
      <c r="N193" s="60">
        <f t="shared" si="8"/>
        <v>-153.1868</v>
      </c>
      <c r="O193" s="61" t="str">
        <f t="shared" si="9"/>
        <v>14,1M</v>
      </c>
      <c r="P193" s="56">
        <f t="shared" si="10"/>
        <v>19</v>
      </c>
      <c r="Q193" s="105" t="s">
        <v>3</v>
      </c>
      <c r="R193" s="10" t="b">
        <f>IFERROR(__xludf.DUMMYFUNCTION("IF(COUNTA(Q193:Q1350)=0,"""",IF(ISBLANK(Q193),FALSE,IF(NOT(COUNTIF($AA$24:$AA$34,SUBSTITUTE(Q193,""Sell_"",""""))),1,IF(REGEXMATCH(Q193,""Sell_""),IF(COUNTIF(Q$4:Q193,SUBSTITUTE(Q193,""Sell_"",""""))-COUNTIF(Q$4:Q192,Q193)&lt;1,1),FALSE))))"),FALSE)</f>
        <v>0</v>
      </c>
      <c r="S193" s="59">
        <f t="array" ref="S193">IF(COUNTA(Q193:Q1350)=0,"",SUM((COUNTIF(Q$4:Q193,Upgrades!$B$3:$B$13)-COUNTIF(Q$4:Q193,"Sell_"&amp;Upgrades!$B$3:$B$13))*Upgrades!$D$3:$D$13))</f>
        <v>99253.9</v>
      </c>
      <c r="T193" s="66">
        <f>IFERROR(__xludf.DUMMYFUNCTION("IF(COUNTA(Q193:Q1350)=0,"""",IF(REGEXMATCH(INDEX(FILTER(Q$4:Q193,Q$4:Q193&lt;&gt;""""),ROWS(FILTER(Q$4:Q193,Q$4:Q193&lt;&gt;""""))),""^Sell_""),INDEX(FILTER(T$4:T192,Q$4:Q192&lt;&gt;""""),ROWS(FILTER(Q$4:Q192,Q$4:Q192&lt;&gt;""""))),$AD$5+S193))"),99453.9)</f>
        <v>99453.9</v>
      </c>
      <c r="U193" s="10">
        <f>IFERROR(__xludf.DUMMYFUNCTION("IF(COUNTA(Q193:Q1350)=0,"""",IF(Q193="""",0,IF(REGEXMATCH(Q193,""^Sell_""),-ROUNDDOWN(ROUNDUP(INDEX(Upgrades!$C$3:$C$13,MATCH(SUBSTITUTE(Q193,""Sell_"",""""),Upgrades!$B$3:$B$13,0))*1.15^(COUNTIF(Q$4:Q192,SUBSTITUTE(Q193,""Sell_"",""""))-COUNTIF(Q$4:Q192,"&amp;"""Sell_""&amp;SUBSTITUTE(Q193,""Sell_"",""""))))/2),ROUNDUP(INDEX(Upgrades!$C$3:$C$13,MATCH(Q193,Upgrades!$B$3:$B$13,0))*1.15^(COUNTIF(Q$4:Q192,Q193)-COUNTIF(Q$4:Q192,""Sell_""&amp;Q193))))))"),186.0)</f>
        <v>186</v>
      </c>
      <c r="V193" s="10">
        <f t="shared" si="11"/>
        <v>186</v>
      </c>
      <c r="W193" s="68">
        <f t="shared" si="12"/>
        <v>3287.68097</v>
      </c>
      <c r="X193" s="59" t="str">
        <f t="shared" si="13"/>
        <v>54m 47s</v>
      </c>
      <c r="Y193" s="69">
        <f t="shared" si="14"/>
        <v>73948608</v>
      </c>
      <c r="Z193" s="11"/>
    </row>
    <row r="194">
      <c r="A194" s="8"/>
      <c r="B194" s="56" t="str">
        <f t="shared" si="2"/>
        <v/>
      </c>
      <c r="C194" s="57"/>
      <c r="D194" s="10" t="str">
        <f>IFERROR(__xludf.DUMMYFUNCTION("IF(COUNTA(C194:C1350)=0,"""",IF(ISBLANK(C194),FALSE,IF(NOT(COUNTIF($AA$24:$AA$34,SUBSTITUTE(C194,""Sell_"",""""))),1,IF(REGEXMATCH(C194,""Sell_""),IF(COUNTIF(C$4:C194,SUBSTITUTE(C194,""Sell_"",""""))-COUNTIF(C$4:C193,C194)&lt;1,1),FALSE))))"),"")</f>
        <v/>
      </c>
      <c r="E194" s="59" t="str">
        <f t="array" ref="E194">IF(COUNTA(C194:C1350)=0,"",SUM((COUNTIF(C$4:C194,Upgrades!$B$3:$B$13)-COUNTIF(C$4:C194,"Sell_"&amp;Upgrades!$B$3:$B$13))*Upgrades!$D$3:$D$13))</f>
        <v/>
      </c>
      <c r="F194" s="66" t="str">
        <f>IFERROR(__xludf.DUMMYFUNCTION("IF(COUNTA(C194:C1350)=0,"""",IF(REGEXMATCH(INDEX(FILTER(C$4:C194,C$4:C194&lt;&gt;""""),ROWS(FILTER(C$4:C194,C$4:C194&lt;&gt;""""))),""^Sell_""),INDEX(FILTER(F$4:F193,C$4:C193&lt;&gt;""""),ROWS(FILTER(C$4:C193,C$4:C193&lt;&gt;""""))),$AC$5+E194))"),"")</f>
        <v/>
      </c>
      <c r="G194" s="10" t="str">
        <f>IFERROR(__xludf.DUMMYFUNCTION("IF(COUNTA(C194:C1350)=0,"""",IF(C194="""",0,IF(REGEXMATCH(C194,""^Sell_""),-ROUNDDOWN(ROUNDUP(INDEX(Upgrades!$C$3:$C$13,MATCH(SUBSTITUTE(C194,""Sell_"",""""),Upgrades!$B$3:$B$13,0))*1.15^(COUNTIF(C$4:C193,SUBSTITUTE(C194,""Sell_"",""""))-COUNTIF(C$4:C193,"&amp;"""Sell_""&amp;SUBSTITUTE(C194,""Sell_"",""""))))/2),ROUNDUP(INDEX(Upgrades!$C$3:$C$13,MATCH(C194,Upgrades!$B$3:$B$13,0))*1.15^(COUNTIF(C$4:C193,C194)-COUNTIF(C$4:C193,""Sell_""&amp;C194))))))"),"")</f>
        <v/>
      </c>
      <c r="H194" s="10" t="str">
        <f t="shared" si="3"/>
        <v/>
      </c>
      <c r="I194" s="68" t="str">
        <f t="shared" si="4"/>
        <v/>
      </c>
      <c r="J194" s="59" t="str">
        <f t="shared" si="5"/>
        <v/>
      </c>
      <c r="K194" s="69" t="str">
        <f t="shared" si="6"/>
        <v/>
      </c>
      <c r="L194" s="60">
        <f t="shared" si="7"/>
        <v>-153.17997</v>
      </c>
      <c r="M194" s="61">
        <f>IFERROR(__xludf.DUMMYFUNCTION("IFS(AND(COUNTA(C194:C1350)=0,COUNTA(Q194:Q1350)=0),"""",OR(AND(K194&gt;=1000000000,OR(Y194&gt;=1000000000,COUNTA(Q194:Q1350)=0)),OR(Y194&gt;=1000000000,AND(COUNTA(C194:C1350)=0,P$3=TRUE))),
ROUNDDOWN((AB$1-AC$1)*MAX(INDEX(T$4:T1350,MATCH(LARGE(FILTER(Y$4:Y1350,Y$4"&amp;":Y1350&lt;1000000000),1),Y$4:Y1350)),INDEX(F$4:F1350,MATCH(LARGE(FILTER(K$4:K1350,K$4:K1350&lt;1000000000),1),K$4:K1350)))),AND(K194&lt;1000000000,COUNTA(C194:C1350)&gt;0,P$3=FALSE),
ROUNDDOWN(INDEX(Y$4:Y1350,MATCH(LARGE(FILTER(W$4:W1350,W$4:W1350&lt;=I194),1),W$4:W1350"&amp;"))+(I194-LARGE(FILTER(W$4:W1350,W$4:W1350&lt;=I194),1))*INDEX(T$4:T1350,MATCH(LARGE(FILTER(W$4:W1350,W$4:W1350&lt;=I194),1),W$4:W1350))-K194),1,
ROUNDDOWN(Y194-INDEX(K$4:K1350,MATCH(LARGE(FILTER(I$4:I1350,I$4:I1350&lt;=W194),1),I$4:I1350))-(W194-LARGE(FILTER(I$4:I"&amp;"1350,I$4:I1350&lt;=W194),1))*INDEX(F$4:F1350,MATCH(LARGE(FILTER(I$4:I1350,I$4:I1350&lt;=W194),1),I$4:I1350))))"),1.4112329E7)</f>
        <v>14112329</v>
      </c>
      <c r="N194" s="60">
        <f t="shared" si="8"/>
        <v>-153.17997</v>
      </c>
      <c r="O194" s="61" t="str">
        <f t="shared" si="9"/>
        <v>14,1M</v>
      </c>
      <c r="P194" s="56">
        <f t="shared" si="10"/>
        <v>12</v>
      </c>
      <c r="Q194" s="105" t="s">
        <v>8</v>
      </c>
      <c r="R194" s="10" t="b">
        <f>IFERROR(__xludf.DUMMYFUNCTION("IF(COUNTA(Q194:Q1350)=0,"""",IF(ISBLANK(Q194),FALSE,IF(NOT(COUNTIF($AA$24:$AA$34,SUBSTITUTE(Q194,""Sell_"",""""))),1,IF(REGEXMATCH(Q194,""Sell_""),IF(COUNTIF(Q$4:Q194,SUBSTITUTE(Q194,""Sell_"",""""))-COUNTIF(Q$4:Q193,Q194)&lt;1,1),FALSE))))"),FALSE)</f>
        <v>0</v>
      </c>
      <c r="S194" s="59">
        <f t="array" ref="S194">IF(COUNTA(Q194:Q1350)=0,"",SUM((COUNTIF(Q$4:Q194,Upgrades!$B$3:$B$13)-COUNTIF(Q$4:Q194,"Sell_"&amp;Upgrades!$B$3:$B$13))*Upgrades!$D$3:$D$13))</f>
        <v>99353.9</v>
      </c>
      <c r="T194" s="66">
        <f>IFERROR(__xludf.DUMMYFUNCTION("IF(COUNTA(Q194:Q1350)=0,"""",IF(REGEXMATCH(INDEX(FILTER(Q$4:Q194,Q$4:Q194&lt;&gt;""""),ROWS(FILTER(Q$4:Q194,Q$4:Q194&lt;&gt;""""))),""^Sell_""),INDEX(FILTER(T$4:T193,Q$4:Q193&lt;&gt;""""),ROWS(FILTER(Q$4:Q193,Q$4:Q193&lt;&gt;""""))),$AD$5+S194))"),99553.9)</f>
        <v>99553.9</v>
      </c>
      <c r="U194" s="10">
        <f>IFERROR(__xludf.DUMMYFUNCTION("IF(COUNTA(Q194:Q1350)=0,"""",IF(Q194="""",0,IF(REGEXMATCH(Q194,""^Sell_""),-ROUNDDOWN(ROUNDUP(INDEX(Upgrades!$C$3:$C$13,MATCH(SUBSTITUTE(Q194,""Sell_"",""""),Upgrades!$B$3:$B$13,0))*1.15^(COUNTIF(Q$4:Q193,SUBSTITUTE(Q194,""Sell_"",""""))-COUNTIF(Q$4:Q193,"&amp;"""Sell_""&amp;SUBSTITUTE(Q194,""Sell_"",""""))))/2),ROUNDUP(INDEX(Upgrades!$C$3:$C$13,MATCH(Q194,Upgrades!$B$3:$B$13,0))*1.15^(COUNTIF(Q$4:Q193,Q194)-COUNTIF(Q$4:Q193,""Sell_""&amp;Q194))))))"),186096.0)</f>
        <v>186096</v>
      </c>
      <c r="V194" s="10">
        <f t="shared" si="11"/>
        <v>186096</v>
      </c>
      <c r="W194" s="68">
        <f t="shared" si="12"/>
        <v>3289.552149</v>
      </c>
      <c r="X194" s="59" t="str">
        <f t="shared" si="13"/>
        <v>54m 49s</v>
      </c>
      <c r="Y194" s="69">
        <f t="shared" si="14"/>
        <v>74134704</v>
      </c>
      <c r="Z194" s="11"/>
    </row>
    <row r="195">
      <c r="A195" s="8"/>
      <c r="B195" s="56" t="str">
        <f t="shared" si="2"/>
        <v/>
      </c>
      <c r="C195" s="57"/>
      <c r="D195" s="10" t="str">
        <f>IFERROR(__xludf.DUMMYFUNCTION("IF(COUNTA(C195:C1350)=0,"""",IF(ISBLANK(C195),FALSE,IF(NOT(COUNTIF($AA$24:$AA$34,SUBSTITUTE(C195,""Sell_"",""""))),1,IF(REGEXMATCH(C195,""Sell_""),IF(COUNTIF(C$4:C195,SUBSTITUTE(C195,""Sell_"",""""))-COUNTIF(C$4:C194,C195)&lt;1,1),FALSE))))"),"")</f>
        <v/>
      </c>
      <c r="E195" s="59" t="str">
        <f t="array" ref="E195">IF(COUNTA(C195:C1350)=0,"",SUM((COUNTIF(C$4:C195,Upgrades!$B$3:$B$13)-COUNTIF(C$4:C195,"Sell_"&amp;Upgrades!$B$3:$B$13))*Upgrades!$D$3:$D$13))</f>
        <v/>
      </c>
      <c r="F195" s="66" t="str">
        <f>IFERROR(__xludf.DUMMYFUNCTION("IF(COUNTA(C195:C1350)=0,"""",IF(REGEXMATCH(INDEX(FILTER(C$4:C195,C$4:C195&lt;&gt;""""),ROWS(FILTER(C$4:C195,C$4:C195&lt;&gt;""""))),""^Sell_""),INDEX(FILTER(F$4:F194,C$4:C194&lt;&gt;""""),ROWS(FILTER(C$4:C194,C$4:C194&lt;&gt;""""))),$AC$5+E195))"),"")</f>
        <v/>
      </c>
      <c r="G195" s="10" t="str">
        <f>IFERROR(__xludf.DUMMYFUNCTION("IF(COUNTA(C195:C1350)=0,"""",IF(C195="""",0,IF(REGEXMATCH(C195,""^Sell_""),-ROUNDDOWN(ROUNDUP(INDEX(Upgrades!$C$3:$C$13,MATCH(SUBSTITUTE(C195,""Sell_"",""""),Upgrades!$B$3:$B$13,0))*1.15^(COUNTIF(C$4:C194,SUBSTITUTE(C195,""Sell_"",""""))-COUNTIF(C$4:C194,"&amp;"""Sell_""&amp;SUBSTITUTE(C195,""Sell_"",""""))))/2),ROUNDUP(INDEX(Upgrades!$C$3:$C$13,MATCH(C195,Upgrades!$B$3:$B$13,0))*1.15^(COUNTIF(C$4:C194,C195)-COUNTIF(C$4:C194,""Sell_""&amp;C195))))))"),"")</f>
        <v/>
      </c>
      <c r="H195" s="10" t="str">
        <f t="shared" si="3"/>
        <v/>
      </c>
      <c r="I195" s="68" t="str">
        <f t="shared" si="4"/>
        <v/>
      </c>
      <c r="J195" s="59" t="str">
        <f t="shared" si="5"/>
        <v/>
      </c>
      <c r="K195" s="69" t="str">
        <f t="shared" si="6"/>
        <v/>
      </c>
      <c r="L195" s="60">
        <f t="shared" si="7"/>
        <v>-153.17994</v>
      </c>
      <c r="M195" s="61">
        <f>IFERROR(__xludf.DUMMYFUNCTION("IFS(AND(COUNTA(C195:C1350)=0,COUNTA(Q195:Q1350)=0),"""",OR(AND(K195&gt;=1000000000,OR(Y195&gt;=1000000000,COUNTA(Q195:Q1350)=0)),OR(Y195&gt;=1000000000,AND(COUNTA(C195:C1350)=0,P$3=TRUE))),
ROUNDDOWN((AB$1-AC$1)*MAX(INDEX(T$4:T1350,MATCH(LARGE(FILTER(Y$4:Y1350,Y$4"&amp;":Y1350&lt;1000000000),1),Y$4:Y1350)),INDEX(F$4:F1350,MATCH(LARGE(FILTER(K$4:K1350,K$4:K1350&lt;1000000000),1),K$4:K1350)))),AND(K195&lt;1000000000,COUNTA(C195:C1350)&gt;0,P$3=FALSE),
ROUNDDOWN(INDEX(Y$4:Y1350,MATCH(LARGE(FILTER(W$4:W1350,W$4:W1350&lt;=I195),1),W$4:W1350"&amp;"))+(I195-LARGE(FILTER(W$4:W1350,W$4:W1350&lt;=I195),1))*INDEX(T$4:T1350,MATCH(LARGE(FILTER(W$4:W1350,W$4:W1350&lt;=I195),1),W$4:W1350))-K195),1,
ROUNDDOWN(Y195-INDEX(K$4:K1350,MATCH(LARGE(FILTER(I$4:I1350,I$4:I1350&lt;=W195),1),I$4:I1350))-(W195-LARGE(FILTER(I$4:I"&amp;"1350,I$4:I1350&lt;=W195),1))*INDEX(F$4:F1350,MATCH(LARGE(FILTER(I$4:I1350,I$4:I1350&lt;=W195),1),I$4:I1350))))"),1.4112461E7)</f>
        <v>14112461</v>
      </c>
      <c r="N195" s="60">
        <f t="shared" si="8"/>
        <v>-153.17994</v>
      </c>
      <c r="O195" s="61" t="str">
        <f t="shared" si="9"/>
        <v>14,1M</v>
      </c>
      <c r="P195" s="56">
        <f t="shared" si="10"/>
        <v>17</v>
      </c>
      <c r="Q195" s="105" t="s">
        <v>4</v>
      </c>
      <c r="R195" s="10" t="b">
        <f>IFERROR(__xludf.DUMMYFUNCTION("IF(COUNTA(Q195:Q1350)=0,"""",IF(ISBLANK(Q195),FALSE,IF(NOT(COUNTIF($AA$24:$AA$34,SUBSTITUTE(Q195,""Sell_"",""""))),1,IF(REGEXMATCH(Q195,""Sell_""),IF(COUNTIF(Q$4:Q195,SUBSTITUTE(Q195,""Sell_"",""""))-COUNTIF(Q$4:Q194,Q195)&lt;1,1),FALSE))))"),FALSE)</f>
        <v>0</v>
      </c>
      <c r="S195" s="59">
        <f t="array" ref="S195">IF(COUNTA(Q195:Q1350)=0,"",SUM((COUNTIF(Q$4:Q195,Upgrades!$B$3:$B$13)-COUNTIF(Q$4:Q195,"Sell_"&amp;Upgrades!$B$3:$B$13))*Upgrades!$D$3:$D$13))</f>
        <v>99354.4</v>
      </c>
      <c r="T195" s="66">
        <f>IFERROR(__xludf.DUMMYFUNCTION("IF(COUNTA(Q195:Q1350)=0,"""",IF(REGEXMATCH(INDEX(FILTER(Q$4:Q195,Q$4:Q195&lt;&gt;""""),ROWS(FILTER(Q$4:Q195,Q$4:Q195&lt;&gt;""""))),""^Sell_""),INDEX(FILTER(T$4:T194,Q$4:Q194&lt;&gt;""""),ROWS(FILTER(Q$4:Q194,Q$4:Q194&lt;&gt;""""))),$AD$5+S195))"),99554.4)</f>
        <v>99554.4</v>
      </c>
      <c r="U195" s="10">
        <f>IFERROR(__xludf.DUMMYFUNCTION("IF(COUNTA(Q195:Q1350)=0,"""",IF(Q195="""",0,IF(REGEXMATCH(Q195,""^Sell_""),-ROUNDDOWN(ROUNDUP(INDEX(Upgrades!$C$3:$C$13,MATCH(SUBSTITUTE(Q195,""Sell_"",""""),Upgrades!$B$3:$B$13,0))*1.15^(COUNTIF(Q$4:Q194,SUBSTITUTE(Q195,""Sell_"",""""))-COUNTIF(Q$4:Q194,"&amp;"""Sell_""&amp;SUBSTITUTE(Q195,""Sell_"",""""))))/2),ROUNDUP(INDEX(Upgrades!$C$3:$C$13,MATCH(Q195,Upgrades!$B$3:$B$13,0))*1.15^(COUNTIF(Q$4:Q194,Q195)-COUNTIF(Q$4:Q194,""Sell_""&amp;Q195))))))"),936.0)</f>
        <v>936</v>
      </c>
      <c r="V195" s="10">
        <f t="shared" si="11"/>
        <v>936</v>
      </c>
      <c r="W195" s="68">
        <f t="shared" si="12"/>
        <v>3289.561551</v>
      </c>
      <c r="X195" s="59" t="str">
        <f t="shared" si="13"/>
        <v>54m 49s</v>
      </c>
      <c r="Y195" s="69">
        <f t="shared" si="14"/>
        <v>74135640</v>
      </c>
      <c r="Z195" s="11"/>
    </row>
    <row r="196">
      <c r="A196" s="8"/>
      <c r="B196" s="56" t="str">
        <f t="shared" si="2"/>
        <v/>
      </c>
      <c r="C196" s="57"/>
      <c r="D196" s="10" t="str">
        <f>IFERROR(__xludf.DUMMYFUNCTION("IF(COUNTA(C196:C1350)=0,"""",IF(ISBLANK(C196),FALSE,IF(NOT(COUNTIF($AA$24:$AA$34,SUBSTITUTE(C196,""Sell_"",""""))),1,IF(REGEXMATCH(C196,""Sell_""),IF(COUNTIF(C$4:C196,SUBSTITUTE(C196,""Sell_"",""""))-COUNTIF(C$4:C195,C196)&lt;1,1),FALSE))))"),"")</f>
        <v/>
      </c>
      <c r="E196" s="59" t="str">
        <f t="array" ref="E196">IF(COUNTA(C196:C1350)=0,"",SUM((COUNTIF(C$4:C196,Upgrades!$B$3:$B$13)-COUNTIF(C$4:C196,"Sell_"&amp;Upgrades!$B$3:$B$13))*Upgrades!$D$3:$D$13))</f>
        <v/>
      </c>
      <c r="F196" s="66" t="str">
        <f>IFERROR(__xludf.DUMMYFUNCTION("IF(COUNTA(C196:C1350)=0,"""",IF(REGEXMATCH(INDEX(FILTER(C$4:C196,C$4:C196&lt;&gt;""""),ROWS(FILTER(C$4:C196,C$4:C196&lt;&gt;""""))),""^Sell_""),INDEX(FILTER(F$4:F195,C$4:C195&lt;&gt;""""),ROWS(FILTER(C$4:C195,C$4:C195&lt;&gt;""""))),$AC$5+E196))"),"")</f>
        <v/>
      </c>
      <c r="G196" s="10" t="str">
        <f>IFERROR(__xludf.DUMMYFUNCTION("IF(COUNTA(C196:C1350)=0,"""",IF(C196="""",0,IF(REGEXMATCH(C196,""^Sell_""),-ROUNDDOWN(ROUNDUP(INDEX(Upgrades!$C$3:$C$13,MATCH(SUBSTITUTE(C196,""Sell_"",""""),Upgrades!$B$3:$B$13,0))*1.15^(COUNTIF(C$4:C195,SUBSTITUTE(C196,""Sell_"",""""))-COUNTIF(C$4:C195,"&amp;"""Sell_""&amp;SUBSTITUTE(C196,""Sell_"",""""))))/2),ROUNDUP(INDEX(Upgrades!$C$3:$C$13,MATCH(C196,Upgrades!$B$3:$B$13,0))*1.15^(COUNTIF(C$4:C195,C196)-COUNTIF(C$4:C195,""Sell_""&amp;C196))))))"),"")</f>
        <v/>
      </c>
      <c r="H196" s="10" t="str">
        <f t="shared" si="3"/>
        <v/>
      </c>
      <c r="I196" s="68" t="str">
        <f t="shared" si="4"/>
        <v/>
      </c>
      <c r="J196" s="59" t="str">
        <f t="shared" si="5"/>
        <v/>
      </c>
      <c r="K196" s="69" t="str">
        <f t="shared" si="6"/>
        <v/>
      </c>
      <c r="L196" s="60">
        <f t="shared" si="7"/>
        <v>-152.71185</v>
      </c>
      <c r="M196" s="61">
        <f>IFERROR(__xludf.DUMMYFUNCTION("IFS(AND(COUNTA(C196:C1350)=0,COUNTA(Q196:Q1350)=0),"""",OR(AND(K196&gt;=1000000000,OR(Y196&gt;=1000000000,COUNTA(Q196:Q1350)=0)),OR(Y196&gt;=1000000000,AND(COUNTA(C196:C1350)=0,P$3=TRUE))),
ROUNDDOWN((AB$1-AC$1)*MAX(INDEX(T$4:T1350,MATCH(LARGE(FILTER(Y$4:Y1350,Y$4"&amp;":Y1350&lt;1000000000),1),Y$4:Y1350)),INDEX(F$4:F1350,MATCH(LARGE(FILTER(K$4:K1350,K$4:K1350&lt;1000000000),1),K$4:K1350)))),AND(K196&lt;1000000000,COUNTA(C196:C1350)&gt;0,P$3=FALSE),
ROUNDDOWN(INDEX(Y$4:Y1350,MATCH(LARGE(FILTER(W$4:W1350,W$4:W1350&lt;=I196),1),W$4:W1350"&amp;"))+(I196-LARGE(FILTER(W$4:W1350,W$4:W1350&lt;=I196),1))*INDEX(T$4:T1350,MATCH(LARGE(FILTER(W$4:W1350,W$4:W1350&lt;=I196),1),W$4:W1350))-K196),1,
ROUNDDOWN(Y196-INDEX(K$4:K1350,MATCH(LARGE(FILTER(I$4:I1350,I$4:I1350&lt;=W196),1),I$4:I1350))-(W196-LARGE(FILTER(I$4:I"&amp;"1350,I$4:I1350&lt;=W196),1))*INDEX(F$4:F1350,MATCH(LARGE(FILTER(I$4:I1350,I$4:I1350&lt;=W196),1),I$4:I1350))))"),1.5083323E7)</f>
        <v>15083323</v>
      </c>
      <c r="N196" s="60">
        <f t="shared" si="8"/>
        <v>-152.71185</v>
      </c>
      <c r="O196" s="61" t="str">
        <f t="shared" si="9"/>
        <v>15,1M</v>
      </c>
      <c r="P196" s="56">
        <f t="shared" si="10"/>
        <v>15</v>
      </c>
      <c r="Q196" s="105" t="s">
        <v>10</v>
      </c>
      <c r="R196" s="10" t="b">
        <f>IFERROR(__xludf.DUMMYFUNCTION("IF(COUNTA(Q196:Q1350)=0,"""",IF(ISBLANK(Q196),FALSE,IF(NOT(COUNTIF($AA$24:$AA$34,SUBSTITUTE(Q196,""Sell_"",""""))),1,IF(REGEXMATCH(Q196,""Sell_""),IF(COUNTIF(Q$4:Q196,SUBSTITUTE(Q196,""Sell_"",""""))-COUNTIF(Q$4:Q195,Q196)&lt;1,1),FALSE))))"),FALSE)</f>
        <v>0</v>
      </c>
      <c r="S196" s="59">
        <f t="array" ref="S196">IF(COUNTA(Q196:Q1350)=0,"",SUM((COUNTIF(Q$4:Q196,Upgrades!$B$3:$B$13)-COUNTIF(Q$4:Q196,"Sell_"&amp;Upgrades!$B$3:$B$13))*Upgrades!$D$3:$D$13))</f>
        <v>106020.4</v>
      </c>
      <c r="T196" s="66">
        <f>IFERROR(__xludf.DUMMYFUNCTION("IF(COUNTA(Q196:Q1350)=0,"""",IF(REGEXMATCH(INDEX(FILTER(Q$4:Q196,Q$4:Q196&lt;&gt;""""),ROWS(FILTER(Q$4:Q196,Q$4:Q196&lt;&gt;""""))),""^Sell_""),INDEX(FILTER(T$4:T195,Q$4:Q195&lt;&gt;""""),ROWS(FILTER(Q$4:Q195,Q$4:Q195&lt;&gt;""""))),$AD$5+S196))"),106220.4)</f>
        <v>106220.4</v>
      </c>
      <c r="U196" s="10">
        <f>IFERROR(__xludf.DUMMYFUNCTION("IF(COUNTA(Q196:Q1350)=0,"""",IF(Q196="""",0,IF(REGEXMATCH(Q196,""^Sell_""),-ROUNDDOWN(ROUNDUP(INDEX(Upgrades!$C$3:$C$13,MATCH(SUBSTITUTE(Q196,""Sell_"",""""),Upgrades!$B$3:$B$13,0))*1.15^(COUNTIF(Q$4:Q195,SUBSTITUTE(Q196,""Sell_"",""""))-COUNTIF(Q$4:Q195,"&amp;"""Sell_""&amp;SUBSTITUTE(Q196,""Sell_"",""""))))/2),ROUNDUP(INDEX(Upgrades!$C$3:$C$13,MATCH(Q196,Upgrades!$B$3:$B$13,0))*1.15^(COUNTIF(Q$4:Q195,Q196)-COUNTIF(Q$4:Q195,""Sell_""&amp;Q196))))))"),1.1792839E7)</f>
        <v>11792839</v>
      </c>
      <c r="V196" s="10">
        <f t="shared" si="11"/>
        <v>11792839</v>
      </c>
      <c r="W196" s="68">
        <f t="shared" si="12"/>
        <v>3408.017782</v>
      </c>
      <c r="X196" s="59" t="str">
        <f t="shared" si="13"/>
        <v>56m 48s</v>
      </c>
      <c r="Y196" s="69">
        <f t="shared" si="14"/>
        <v>85928479</v>
      </c>
      <c r="Z196" s="11"/>
    </row>
    <row r="197">
      <c r="A197" s="8"/>
      <c r="B197" s="56" t="str">
        <f t="shared" si="2"/>
        <v/>
      </c>
      <c r="C197" s="57"/>
      <c r="D197" s="10" t="str">
        <f>IFERROR(__xludf.DUMMYFUNCTION("IF(COUNTA(C197:C1350)=0,"""",IF(ISBLANK(C197),FALSE,IF(NOT(COUNTIF($AA$24:$AA$34,SUBSTITUTE(C197,""Sell_"",""""))),1,IF(REGEXMATCH(C197,""Sell_""),IF(COUNTIF(C$4:C197,SUBSTITUTE(C197,""Sell_"",""""))-COUNTIF(C$4:C196,C197)&lt;1,1),FALSE))))"),"")</f>
        <v/>
      </c>
      <c r="E197" s="59" t="str">
        <f t="array" ref="E197">IF(COUNTA(C197:C1350)=0,"",SUM((COUNTIF(C$4:C197,Upgrades!$B$3:$B$13)-COUNTIF(C$4:C197,"Sell_"&amp;Upgrades!$B$3:$B$13))*Upgrades!$D$3:$D$13))</f>
        <v/>
      </c>
      <c r="F197" s="66" t="str">
        <f>IFERROR(__xludf.DUMMYFUNCTION("IF(COUNTA(C197:C1350)=0,"""",IF(REGEXMATCH(INDEX(FILTER(C$4:C197,C$4:C197&lt;&gt;""""),ROWS(FILTER(C$4:C197,C$4:C197&lt;&gt;""""))),""^Sell_""),INDEX(FILTER(F$4:F196,C$4:C196&lt;&gt;""""),ROWS(FILTER(C$4:C196,C$4:C196&lt;&gt;""""))),$AC$5+E197))"),"")</f>
        <v/>
      </c>
      <c r="G197" s="10" t="str">
        <f>IFERROR(__xludf.DUMMYFUNCTION("IF(COUNTA(C197:C1350)=0,"""",IF(C197="""",0,IF(REGEXMATCH(C197,""^Sell_""),-ROUNDDOWN(ROUNDUP(INDEX(Upgrades!$C$3:$C$13,MATCH(SUBSTITUTE(C197,""Sell_"",""""),Upgrades!$B$3:$B$13,0))*1.15^(COUNTIF(C$4:C196,SUBSTITUTE(C197,""Sell_"",""""))-COUNTIF(C$4:C196,"&amp;"""Sell_""&amp;SUBSTITUTE(C197,""Sell_"",""""))))/2),ROUNDUP(INDEX(Upgrades!$C$3:$C$13,MATCH(C197,Upgrades!$B$3:$B$13,0))*1.15^(COUNTIF(C$4:C196,C197)-COUNTIF(C$4:C196,""Sell_""&amp;C197))))))"),"")</f>
        <v/>
      </c>
      <c r="H197" s="10" t="str">
        <f t="shared" si="3"/>
        <v/>
      </c>
      <c r="I197" s="68" t="str">
        <f t="shared" si="4"/>
        <v/>
      </c>
      <c r="J197" s="59" t="str">
        <f t="shared" si="5"/>
        <v/>
      </c>
      <c r="K197" s="69" t="str">
        <f t="shared" si="6"/>
        <v/>
      </c>
      <c r="L197" s="60">
        <f t="shared" si="7"/>
        <v>-152.71657</v>
      </c>
      <c r="M197" s="61">
        <f>IFERROR(__xludf.DUMMYFUNCTION("IFS(AND(COUNTA(C197:C1350)=0,COUNTA(Q197:Q1350)=0),"""",OR(AND(K197&gt;=1000000000,OR(Y197&gt;=1000000000,COUNTA(Q197:Q1350)=0)),OR(Y197&gt;=1000000000,AND(COUNTA(C197:C1350)=0,P$3=TRUE))),
ROUNDDOWN((AB$1-AC$1)*MAX(INDEX(T$4:T1350,MATCH(LARGE(FILTER(Y$4:Y1350,Y$4"&amp;":Y1350&lt;1000000000),1),Y$4:Y1350)),INDEX(F$4:F1350,MATCH(LARGE(FILTER(K$4:K1350,K$4:K1350&lt;1000000000),1),K$4:K1350)))),AND(K197&lt;1000000000,COUNTA(C197:C1350)&gt;0,P$3=FALSE),
ROUNDDOWN(INDEX(Y$4:Y1350,MATCH(LARGE(FILTER(W$4:W1350,W$4:W1350&lt;=I197),1),W$4:W1350"&amp;"))+(I197-LARGE(FILTER(W$4:W1350,W$4:W1350&lt;=I197),1))*INDEX(T$4:T1350,MATCH(LARGE(FILTER(W$4:W1350,W$4:W1350&lt;=I197),1),W$4:W1350))-K197),1,
ROUNDDOWN(Y197-INDEX(K$4:K1350,MATCH(LARGE(FILTER(I$4:I1350,I$4:I1350&lt;=W197),1),I$4:I1350))-(W197-LARGE(FILTER(I$4:I"&amp;"1350,I$4:I1350&lt;=W197),1))*INDEX(F$4:F1350,MATCH(LARGE(FILTER(I$4:I1350,I$4:I1350&lt;=W197),1),I$4:I1350))))"),1.5186088E7)</f>
        <v>15186088</v>
      </c>
      <c r="N197" s="60">
        <f t="shared" si="8"/>
        <v>-152.71657</v>
      </c>
      <c r="O197" s="61" t="str">
        <f t="shared" si="9"/>
        <v>15,2M</v>
      </c>
      <c r="P197" s="56">
        <f t="shared" si="10"/>
        <v>11</v>
      </c>
      <c r="Q197" s="105" t="s">
        <v>9</v>
      </c>
      <c r="R197" s="10" t="b">
        <f>IFERROR(__xludf.DUMMYFUNCTION("IF(COUNTA(Q197:Q1350)=0,"""",IF(ISBLANK(Q197),FALSE,IF(NOT(COUNTIF($AA$24:$AA$34,SUBSTITUTE(Q197,""Sell_"",""""))),1,IF(REGEXMATCH(Q197,""Sell_""),IF(COUNTIF(Q$4:Q197,SUBSTITUTE(Q197,""Sell_"",""""))-COUNTIF(Q$4:Q196,Q197)&lt;1,1),FALSE))))"),FALSE)</f>
        <v>0</v>
      </c>
      <c r="S197" s="59">
        <f t="array" ref="S197">IF(COUNTA(Q197:Q1350)=0,"",SUM((COUNTIF(Q$4:Q197,Upgrades!$B$3:$B$13)-COUNTIF(Q$4:Q197,"Sell_"&amp;Upgrades!$B$3:$B$13))*Upgrades!$D$3:$D$13))</f>
        <v>106420.4</v>
      </c>
      <c r="T197" s="66">
        <f>IFERROR(__xludf.DUMMYFUNCTION("IF(COUNTA(Q197:Q1350)=0,"""",IF(REGEXMATCH(INDEX(FILTER(Q$4:Q197,Q$4:Q197&lt;&gt;""""),ROWS(FILTER(Q$4:Q197,Q$4:Q197&lt;&gt;""""))),""^Sell_""),INDEX(FILTER(T$4:T196,Q$4:Q196&lt;&gt;""""),ROWS(FILTER(Q$4:Q196,Q$4:Q196&lt;&gt;""""))),$AD$5+S197))"),106620.4)</f>
        <v>106620.4</v>
      </c>
      <c r="U197" s="10">
        <f>IFERROR(__xludf.DUMMYFUNCTION("IF(COUNTA(Q197:Q1350)=0,"""",IF(Q197="""",0,IF(REGEXMATCH(Q197,""^Sell_""),-ROUNDDOWN(ROUNDUP(INDEX(Upgrades!$C$3:$C$13,MATCH(SUBSTITUTE(Q197,""Sell_"",""""),Upgrades!$B$3:$B$13,0))*1.15^(COUNTIF(Q$4:Q196,SUBSTITUTE(Q197,""Sell_"",""""))-COUNTIF(Q$4:Q196,"&amp;"""Sell_""&amp;SUBSTITUTE(Q197,""Sell_"",""""))))/2),ROUNDUP(INDEX(Upgrades!$C$3:$C$13,MATCH(Q197,Upgrades!$B$3:$B$13,0))*1.15^(COUNTIF(Q$4:Q196,Q197)-COUNTIF(Q$4:Q196,""Sell_""&amp;Q197))))))"),809112.0)</f>
        <v>809112</v>
      </c>
      <c r="V197" s="10">
        <f t="shared" si="11"/>
        <v>809112</v>
      </c>
      <c r="W197" s="68">
        <f t="shared" si="12"/>
        <v>3415.635076</v>
      </c>
      <c r="X197" s="59" t="str">
        <f t="shared" si="13"/>
        <v>56m 55s</v>
      </c>
      <c r="Y197" s="69">
        <f t="shared" si="14"/>
        <v>86737591</v>
      </c>
      <c r="Z197" s="11"/>
    </row>
    <row r="198">
      <c r="A198" s="8"/>
      <c r="B198" s="56" t="str">
        <f t="shared" si="2"/>
        <v/>
      </c>
      <c r="C198" s="57"/>
      <c r="D198" s="10" t="str">
        <f>IFERROR(__xludf.DUMMYFUNCTION("IF(COUNTA(C198:C1350)=0,"""",IF(ISBLANK(C198),FALSE,IF(NOT(COUNTIF($AA$24:$AA$34,SUBSTITUTE(C198,""Sell_"",""""))),1,IF(REGEXMATCH(C198,""Sell_""),IF(COUNTIF(C$4:C198,SUBSTITUTE(C198,""Sell_"",""""))-COUNTIF(C$4:C197,C198)&lt;1,1),FALSE))))"),"")</f>
        <v/>
      </c>
      <c r="E198" s="59" t="str">
        <f t="array" ref="E198">IF(COUNTA(C198:C1350)=0,"",SUM((COUNTIF(C$4:C198,Upgrades!$B$3:$B$13)-COUNTIF(C$4:C198,"Sell_"&amp;Upgrades!$B$3:$B$13))*Upgrades!$D$3:$D$13))</f>
        <v/>
      </c>
      <c r="F198" s="66" t="str">
        <f>IFERROR(__xludf.DUMMYFUNCTION("IF(COUNTA(C198:C1350)=0,"""",IF(REGEXMATCH(INDEX(FILTER(C$4:C198,C$4:C198&lt;&gt;""""),ROWS(FILTER(C$4:C198,C$4:C198&lt;&gt;""""))),""^Sell_""),INDEX(FILTER(F$4:F197,C$4:C197&lt;&gt;""""),ROWS(FILTER(C$4:C197,C$4:C197&lt;&gt;""""))),$AC$5+E198))"),"")</f>
        <v/>
      </c>
      <c r="G198" s="10" t="str">
        <f>IFERROR(__xludf.DUMMYFUNCTION("IF(COUNTA(C198:C1350)=0,"""",IF(C198="""",0,IF(REGEXMATCH(C198,""^Sell_""),-ROUNDDOWN(ROUNDUP(INDEX(Upgrades!$C$3:$C$13,MATCH(SUBSTITUTE(C198,""Sell_"",""""),Upgrades!$B$3:$B$13,0))*1.15^(COUNTIF(C$4:C197,SUBSTITUTE(C198,""Sell_"",""""))-COUNTIF(C$4:C197,"&amp;"""Sell_""&amp;SUBSTITUTE(C198,""Sell_"",""""))))/2),ROUNDUP(INDEX(Upgrades!$C$3:$C$13,MATCH(C198,Upgrades!$B$3:$B$13,0))*1.15^(COUNTIF(C$4:C197,C198)-COUNTIF(C$4:C197,""Sell_""&amp;C198))))))"),"")</f>
        <v/>
      </c>
      <c r="H198" s="10" t="str">
        <f t="shared" si="3"/>
        <v/>
      </c>
      <c r="I198" s="68" t="str">
        <f t="shared" si="4"/>
        <v/>
      </c>
      <c r="J198" s="59" t="str">
        <f t="shared" si="5"/>
        <v/>
      </c>
      <c r="K198" s="69" t="str">
        <f t="shared" si="6"/>
        <v/>
      </c>
      <c r="L198" s="60">
        <f t="shared" si="7"/>
        <v>-152.7166</v>
      </c>
      <c r="M198" s="61">
        <f>IFERROR(__xludf.DUMMYFUNCTION("IFS(AND(COUNTA(C198:C1350)=0,COUNTA(Q198:Q1350)=0),"""",OR(AND(K198&gt;=1000000000,OR(Y198&gt;=1000000000,COUNTA(Q198:Q1350)=0)),OR(Y198&gt;=1000000000,AND(COUNTA(C198:C1350)=0,P$3=TRUE))),
ROUNDDOWN((AB$1-AC$1)*MAX(INDEX(T$4:T1350,MATCH(LARGE(FILTER(Y$4:Y1350,Y$4"&amp;":Y1350&lt;1000000000),1),Y$4:Y1350)),INDEX(F$4:F1350,MATCH(LARGE(FILTER(K$4:K1350,K$4:K1350&lt;1000000000),1),K$4:K1350)))),AND(K198&lt;1000000000,COUNTA(C198:C1350)&gt;0,P$3=FALSE),
ROUNDDOWN(INDEX(Y$4:Y1350,MATCH(LARGE(FILTER(W$4:W1350,W$4:W1350&lt;=I198),1),W$4:W1350"&amp;"))+(I198-LARGE(FILTER(W$4:W1350,W$4:W1350&lt;=I198),1))*INDEX(T$4:T1350,MATCH(LARGE(FILTER(W$4:W1350,W$4:W1350&lt;=I198),1),W$4:W1350))-K198),1,
ROUNDDOWN(Y198-INDEX(K$4:K1350,MATCH(LARGE(FILTER(I$4:I1350,I$4:I1350&lt;=W198),1),I$4:I1350))-(W198-LARGE(FILTER(I$4:I"&amp;"1350,I$4:I1350&lt;=W198),1))*INDEX(F$4:F1350,MATCH(LARGE(FILTER(I$4:I1350,I$4:I1350&lt;=W198),1),I$4:I1350))))"),1.5196689E7)</f>
        <v>15196689</v>
      </c>
      <c r="N198" s="60">
        <f t="shared" si="8"/>
        <v>-152.7166</v>
      </c>
      <c r="O198" s="61" t="str">
        <f t="shared" si="9"/>
        <v>15,2M</v>
      </c>
      <c r="P198" s="56">
        <f t="shared" si="10"/>
        <v>16</v>
      </c>
      <c r="Q198" s="105" t="s">
        <v>7</v>
      </c>
      <c r="R198" s="10" t="b">
        <f>IFERROR(__xludf.DUMMYFUNCTION("IF(COUNTA(Q198:Q1350)=0,"""",IF(ISBLANK(Q198),FALSE,IF(NOT(COUNTIF($AA$24:$AA$34,SUBSTITUTE(Q198,""Sell_"",""""))),1,IF(REGEXMATCH(Q198,""Sell_""),IF(COUNTIF(Q$4:Q198,SUBSTITUTE(Q198,""Sell_"",""""))-COUNTIF(Q$4:Q197,Q198)&lt;1,1),FALSE))))"),FALSE)</f>
        <v>0</v>
      </c>
      <c r="S198" s="59">
        <f t="array" ref="S198">IF(COUNTA(Q198:Q1350)=0,"",SUM((COUNTIF(Q$4:Q198,Upgrades!$B$3:$B$13)-COUNTIF(Q$4:Q198,"Sell_"&amp;Upgrades!$B$3:$B$13))*Upgrades!$D$3:$D$13))</f>
        <v>106460.4</v>
      </c>
      <c r="T198" s="66">
        <f>IFERROR(__xludf.DUMMYFUNCTION("IF(COUNTA(Q198:Q1350)=0,"""",IF(REGEXMATCH(INDEX(FILTER(Q$4:Q198,Q$4:Q198&lt;&gt;""""),ROWS(FILTER(Q$4:Q198,Q$4:Q198&lt;&gt;""""))),""^Sell_""),INDEX(FILTER(T$4:T197,Q$4:Q197&lt;&gt;""""),ROWS(FILTER(Q$4:Q197,Q$4:Q197&lt;&gt;""""))),$AD$5+S198))"),106660.4)</f>
        <v>106660.4</v>
      </c>
      <c r="U198" s="10">
        <f>IFERROR(__xludf.DUMMYFUNCTION("IF(COUNTA(Q198:Q1350)=0,"""",IF(Q198="""",0,IF(REGEXMATCH(Q198,""^Sell_""),-ROUNDDOWN(ROUNDUP(INDEX(Upgrades!$C$3:$C$13,MATCH(SUBSTITUTE(Q198,""Sell_"",""""),Upgrades!$B$3:$B$13,0))*1.15^(COUNTIF(Q$4:Q197,SUBSTITUTE(Q198,""Sell_"",""""))-COUNTIF(Q$4:Q197,"&amp;"""Sell_""&amp;SUBSTITUTE(Q198,""Sell_"",""""))))/2),ROUNDUP(INDEX(Upgrades!$C$3:$C$13,MATCH(Q198,Upgrades!$B$3:$B$13,0))*1.15^(COUNTIF(Q$4:Q197,Q198)-COUNTIF(Q$4:Q197,""Sell_""&amp;Q198))))))"),81371.0)</f>
        <v>81371</v>
      </c>
      <c r="V198" s="10">
        <f t="shared" si="11"/>
        <v>81371</v>
      </c>
      <c r="W198" s="68">
        <f t="shared" si="12"/>
        <v>3416.39826</v>
      </c>
      <c r="X198" s="59" t="str">
        <f t="shared" si="13"/>
        <v>56m 56s</v>
      </c>
      <c r="Y198" s="69">
        <f t="shared" si="14"/>
        <v>86818962</v>
      </c>
      <c r="Z198" s="11"/>
    </row>
    <row r="199">
      <c r="A199" s="8"/>
      <c r="B199" s="56" t="str">
        <f t="shared" si="2"/>
        <v/>
      </c>
      <c r="C199" s="57"/>
      <c r="D199" s="10" t="str">
        <f>IFERROR(__xludf.DUMMYFUNCTION("IF(COUNTA(C199:C1350)=0,"""",IF(ISBLANK(C199),FALSE,IF(NOT(COUNTIF($AA$24:$AA$34,SUBSTITUTE(C199,""Sell_"",""""))),1,IF(REGEXMATCH(C199,""Sell_""),IF(COUNTIF(C$4:C199,SUBSTITUTE(C199,""Sell_"",""""))-COUNTIF(C$4:C198,C199)&lt;1,1),FALSE))))"),"")</f>
        <v/>
      </c>
      <c r="E199" s="59" t="str">
        <f t="array" ref="E199">IF(COUNTA(C199:C1350)=0,"",SUM((COUNTIF(C$4:C199,Upgrades!$B$3:$B$13)-COUNTIF(C$4:C199,"Sell_"&amp;Upgrades!$B$3:$B$13))*Upgrades!$D$3:$D$13))</f>
        <v/>
      </c>
      <c r="F199" s="66" t="str">
        <f>IFERROR(__xludf.DUMMYFUNCTION("IF(COUNTA(C199:C1350)=0,"""",IF(REGEXMATCH(INDEX(FILTER(C$4:C199,C$4:C199&lt;&gt;""""),ROWS(FILTER(C$4:C199,C$4:C199&lt;&gt;""""))),""^Sell_""),INDEX(FILTER(F$4:F198,C$4:C198&lt;&gt;""""),ROWS(FILTER(C$4:C198,C$4:C198&lt;&gt;""""))),$AC$5+E199))"),"")</f>
        <v/>
      </c>
      <c r="G199" s="10" t="str">
        <f>IFERROR(__xludf.DUMMYFUNCTION("IF(COUNTA(C199:C1350)=0,"""",IF(C199="""",0,IF(REGEXMATCH(C199,""^Sell_""),-ROUNDDOWN(ROUNDUP(INDEX(Upgrades!$C$3:$C$13,MATCH(SUBSTITUTE(C199,""Sell_"",""""),Upgrades!$B$3:$B$13,0))*1.15^(COUNTIF(C$4:C198,SUBSTITUTE(C199,""Sell_"",""""))-COUNTIF(C$4:C198,"&amp;"""Sell_""&amp;SUBSTITUTE(C199,""Sell_"",""""))))/2),ROUNDUP(INDEX(Upgrades!$C$3:$C$13,MATCH(C199,Upgrades!$B$3:$B$13,0))*1.15^(COUNTIF(C$4:C198,C199)-COUNTIF(C$4:C198,""Sell_""&amp;C199))))))"),"")</f>
        <v/>
      </c>
      <c r="H199" s="10" t="str">
        <f t="shared" si="3"/>
        <v/>
      </c>
      <c r="I199" s="68" t="str">
        <f t="shared" si="4"/>
        <v/>
      </c>
      <c r="J199" s="59" t="str">
        <f t="shared" si="5"/>
        <v/>
      </c>
      <c r="K199" s="69" t="str">
        <f t="shared" si="6"/>
        <v/>
      </c>
      <c r="L199" s="60">
        <f t="shared" si="7"/>
        <v>-152.71664</v>
      </c>
      <c r="M199" s="61">
        <f>IFERROR(__xludf.DUMMYFUNCTION("IFS(AND(COUNTA(C199:C1350)=0,COUNTA(Q199:Q1350)=0),"""",OR(AND(K199&gt;=1000000000,OR(Y199&gt;=1000000000,COUNTA(Q199:Q1350)=0)),OR(Y199&gt;=1000000000,AND(COUNTA(C199:C1350)=0,P$3=TRUE))),
ROUNDDOWN((AB$1-AC$1)*MAX(INDEX(T$4:T1350,MATCH(LARGE(FILTER(Y$4:Y1350,Y$4"&amp;":Y1350&lt;1000000000),1),Y$4:Y1350)),INDEX(F$4:F1350,MATCH(LARGE(FILTER(K$4:K1350,K$4:K1350&lt;1000000000),1),K$4:K1350)))),AND(K199&lt;1000000000,COUNTA(C199:C1350)&gt;0,P$3=FALSE),
ROUNDDOWN(INDEX(Y$4:Y1350,MATCH(LARGE(FILTER(W$4:W1350,W$4:W1350&lt;=I199),1),W$4:W1350"&amp;"))+(I199-LARGE(FILTER(W$4:W1350,W$4:W1350&lt;=I199),1))*INDEX(T$4:T1350,MATCH(LARGE(FILTER(W$4:W1350,W$4:W1350&lt;=I199),1),W$4:W1350))-K199),1,
ROUNDDOWN(Y199-INDEX(K$4:K1350,MATCH(LARGE(FILTER(I$4:I1350,I$4:I1350&lt;=W199),1),I$4:I1350))-(W199-LARGE(FILTER(I$4:I"&amp;"1350,I$4:I1350&lt;=W199),1))*INDEX(F$4:F1350,MATCH(LARGE(FILTER(I$4:I1350,I$4:I1350&lt;=W199),1),I$4:I1350))))"),1.5197758E7)</f>
        <v>15197758</v>
      </c>
      <c r="N199" s="60">
        <f t="shared" si="8"/>
        <v>-152.71664</v>
      </c>
      <c r="O199" s="61" t="str">
        <f t="shared" si="9"/>
        <v>15,2M</v>
      </c>
      <c r="P199" s="56">
        <f t="shared" si="10"/>
        <v>21</v>
      </c>
      <c r="Q199" s="105" t="s">
        <v>5</v>
      </c>
      <c r="R199" s="10" t="b">
        <f>IFERROR(__xludf.DUMMYFUNCTION("IF(COUNTA(Q199:Q1350)=0,"""",IF(ISBLANK(Q199),FALSE,IF(NOT(COUNTIF($AA$24:$AA$34,SUBSTITUTE(Q199,""Sell_"",""""))),1,IF(REGEXMATCH(Q199,""Sell_""),IF(COUNTIF(Q$4:Q199,SUBSTITUTE(Q199,""Sell_"",""""))-COUNTIF(Q$4:Q198,Q199)&lt;1,1),FALSE))))"),FALSE)</f>
        <v>0</v>
      </c>
      <c r="S199" s="59">
        <f t="array" ref="S199">IF(COUNTA(Q199:Q1350)=0,"",SUM((COUNTIF(Q$4:Q199,Upgrades!$B$3:$B$13)-COUNTIF(Q$4:Q199,"Sell_"&amp;Upgrades!$B$3:$B$13))*Upgrades!$D$3:$D$13))</f>
        <v>106464.4</v>
      </c>
      <c r="T199" s="66">
        <f>IFERROR(__xludf.DUMMYFUNCTION("IF(COUNTA(Q199:Q1350)=0,"""",IF(REGEXMATCH(INDEX(FILTER(Q$4:Q199,Q$4:Q199&lt;&gt;""""),ROWS(FILTER(Q$4:Q199,Q$4:Q199&lt;&gt;""""))),""^Sell_""),INDEX(FILTER(T$4:T198,Q$4:Q198&lt;&gt;""""),ROWS(FILTER(Q$4:Q198,Q$4:Q198&lt;&gt;""""))),$AD$5+S199))"),106664.4)</f>
        <v>106664.4</v>
      </c>
      <c r="U199" s="10">
        <f>IFERROR(__xludf.DUMMYFUNCTION("IF(COUNTA(Q199:Q1350)=0,"""",IF(Q199="""",0,IF(REGEXMATCH(Q199,""^Sell_""),-ROUNDDOWN(ROUNDUP(INDEX(Upgrades!$C$3:$C$13,MATCH(SUBSTITUTE(Q199,""Sell_"",""""),Upgrades!$B$3:$B$13,0))*1.15^(COUNTIF(Q$4:Q198,SUBSTITUTE(Q199,""Sell_"",""""))-COUNTIF(Q$4:Q198,"&amp;"""Sell_""&amp;SUBSTITUTE(Q199,""Sell_"",""""))))/2),ROUNDUP(INDEX(Upgrades!$C$3:$C$13,MATCH(Q199,Upgrades!$B$3:$B$13,0))*1.15^(COUNTIF(Q$4:Q198,Q199)-COUNTIF(Q$4:Q198,""Sell_""&amp;Q199))))))"),8184.0)</f>
        <v>8184</v>
      </c>
      <c r="V199" s="10">
        <f t="shared" si="11"/>
        <v>8184</v>
      </c>
      <c r="W199" s="68">
        <f t="shared" si="12"/>
        <v>3416.474989</v>
      </c>
      <c r="X199" s="59" t="str">
        <f t="shared" si="13"/>
        <v>56m 56s</v>
      </c>
      <c r="Y199" s="69">
        <f t="shared" si="14"/>
        <v>86827146</v>
      </c>
      <c r="Z199" s="11"/>
    </row>
    <row r="200">
      <c r="A200" s="8"/>
      <c r="B200" s="56" t="str">
        <f t="shared" si="2"/>
        <v/>
      </c>
      <c r="C200" s="57"/>
      <c r="D200" s="10" t="str">
        <f>IFERROR(__xludf.DUMMYFUNCTION("IF(COUNTA(C200:C1350)=0,"""",IF(ISBLANK(C200),FALSE,IF(NOT(COUNTIF($AA$24:$AA$34,SUBSTITUTE(C200,""Sell_"",""""))),1,IF(REGEXMATCH(C200,""Sell_""),IF(COUNTIF(C$4:C200,SUBSTITUTE(C200,""Sell_"",""""))-COUNTIF(C$4:C199,C200)&lt;1,1),FALSE))))"),"")</f>
        <v/>
      </c>
      <c r="E200" s="59" t="str">
        <f t="array" ref="E200">IF(COUNTA(C200:C1350)=0,"",SUM((COUNTIF(C$4:C200,Upgrades!$B$3:$B$13)-COUNTIF(C$4:C200,"Sell_"&amp;Upgrades!$B$3:$B$13))*Upgrades!$D$3:$D$13))</f>
        <v/>
      </c>
      <c r="F200" s="66" t="str">
        <f>IFERROR(__xludf.DUMMYFUNCTION("IF(COUNTA(C200:C1350)=0,"""",IF(REGEXMATCH(INDEX(FILTER(C$4:C200,C$4:C200&lt;&gt;""""),ROWS(FILTER(C$4:C200,C$4:C200&lt;&gt;""""))),""^Sell_""),INDEX(FILTER(F$4:F199,C$4:C199&lt;&gt;""""),ROWS(FILTER(C$4:C199,C$4:C199&lt;&gt;""""))),$AC$5+E200))"),"")</f>
        <v/>
      </c>
      <c r="G200" s="10" t="str">
        <f>IFERROR(__xludf.DUMMYFUNCTION("IF(COUNTA(C200:C1350)=0,"""",IF(C200="""",0,IF(REGEXMATCH(C200,""^Sell_""),-ROUNDDOWN(ROUNDUP(INDEX(Upgrades!$C$3:$C$13,MATCH(SUBSTITUTE(C200,""Sell_"",""""),Upgrades!$B$3:$B$13,0))*1.15^(COUNTIF(C$4:C199,SUBSTITUTE(C200,""Sell_"",""""))-COUNTIF(C$4:C199,"&amp;"""Sell_""&amp;SUBSTITUTE(C200,""Sell_"",""""))))/2),ROUNDUP(INDEX(Upgrades!$C$3:$C$13,MATCH(C200,Upgrades!$B$3:$B$13,0))*1.15^(COUNTIF(C$4:C199,C200)-COUNTIF(C$4:C199,""Sell_""&amp;C200))))))"),"")</f>
        <v/>
      </c>
      <c r="H200" s="10" t="str">
        <f t="shared" si="3"/>
        <v/>
      </c>
      <c r="I200" s="68" t="str">
        <f t="shared" si="4"/>
        <v/>
      </c>
      <c r="J200" s="59" t="str">
        <f t="shared" si="5"/>
        <v/>
      </c>
      <c r="K200" s="69" t="str">
        <f t="shared" si="6"/>
        <v/>
      </c>
      <c r="L200" s="60">
        <f t="shared" si="7"/>
        <v>-152.71673</v>
      </c>
      <c r="M200" s="61">
        <f>IFERROR(__xludf.DUMMYFUNCTION("IFS(AND(COUNTA(C200:C1350)=0,COUNTA(Q200:Q1350)=0),"""",OR(AND(K200&gt;=1000000000,OR(Y200&gt;=1000000000,COUNTA(Q200:Q1350)=0)),OR(Y200&gt;=1000000000,AND(COUNTA(C200:C1350)=0,P$3=TRUE))),
ROUNDDOWN((AB$1-AC$1)*MAX(INDEX(T$4:T1350,MATCH(LARGE(FILTER(Y$4:Y1350,Y$4"&amp;":Y1350&lt;1000000000),1),Y$4:Y1350)),INDEX(F$4:F1350,MATCH(LARGE(FILTER(K$4:K1350,K$4:K1350&lt;1000000000),1),K$4:K1350)))),AND(K200&lt;1000000000,COUNTA(C200:C1350)&gt;0,P$3=FALSE),
ROUNDDOWN(INDEX(Y$4:Y1350,MATCH(LARGE(FILTER(W$4:W1350,W$4:W1350&lt;=I200),1),W$4:W1350"&amp;"))+(I200-LARGE(FILTER(W$4:W1350,W$4:W1350&lt;=I200),1))*INDEX(T$4:T1350,MATCH(LARGE(FILTER(W$4:W1350,W$4:W1350&lt;=I200),1),W$4:W1350))-K200),1,
ROUNDDOWN(Y200-INDEX(K$4:K1350,MATCH(LARGE(FILTER(I$4:I1350,I$4:I1350&lt;=W200),1),I$4:I1350))-(W200-LARGE(FILTER(I$4:I"&amp;"1350,I$4:I1350&lt;=W200),1))*INDEX(F$4:F1350,MATCH(LARGE(FILTER(I$4:I1350,I$4:I1350&lt;=W200),1),I$4:I1350))))"),1.5200531E7)</f>
        <v>15200531</v>
      </c>
      <c r="N200" s="60">
        <f t="shared" si="8"/>
        <v>-152.71673</v>
      </c>
      <c r="O200" s="61" t="str">
        <f t="shared" si="9"/>
        <v>15,2M</v>
      </c>
      <c r="P200" s="56">
        <f t="shared" si="10"/>
        <v>15</v>
      </c>
      <c r="Q200" s="105" t="s">
        <v>6</v>
      </c>
      <c r="R200" s="10" t="b">
        <f>IFERROR(__xludf.DUMMYFUNCTION("IF(COUNTA(Q200:Q1350)=0,"""",IF(ISBLANK(Q200),FALSE,IF(NOT(COUNTIF($AA$24:$AA$34,SUBSTITUTE(Q200,""Sell_"",""""))),1,IF(REGEXMATCH(Q200,""Sell_""),IF(COUNTIF(Q$4:Q200,SUBSTITUTE(Q200,""Sell_"",""""))-COUNTIF(Q$4:Q199,Q200)&lt;1,1),FALSE))))"),FALSE)</f>
        <v>0</v>
      </c>
      <c r="S200" s="59">
        <f t="array" ref="S200">IF(COUNTA(Q200:Q1350)=0,"",SUM((COUNTIF(Q$4:Q200,Upgrades!$B$3:$B$13)-COUNTIF(Q$4:Q200,"Sell_"&amp;Upgrades!$B$3:$B$13))*Upgrades!$D$3:$D$13))</f>
        <v>106474.4</v>
      </c>
      <c r="T200" s="66">
        <f>IFERROR(__xludf.DUMMYFUNCTION("IF(COUNTA(Q200:Q1350)=0,"""",IF(REGEXMATCH(INDEX(FILTER(Q$4:Q200,Q$4:Q200&lt;&gt;""""),ROWS(FILTER(Q$4:Q200,Q$4:Q200&lt;&gt;""""))),""^Sell_""),INDEX(FILTER(T$4:T199,Q$4:Q199&lt;&gt;""""),ROWS(FILTER(Q$4:Q199,Q$4:Q199&lt;&gt;""""))),$AD$5+S200))"),106674.4)</f>
        <v>106674.4</v>
      </c>
      <c r="U200" s="10">
        <f>IFERROR(__xludf.DUMMYFUNCTION("IF(COUNTA(Q200:Q1350)=0,"""",IF(Q200="""",0,IF(REGEXMATCH(Q200,""^Sell_""),-ROUNDDOWN(ROUNDUP(INDEX(Upgrades!$C$3:$C$13,MATCH(SUBSTITUTE(Q200,""Sell_"",""""),Upgrades!$B$3:$B$13,0))*1.15^(COUNTIF(Q$4:Q199,SUBSTITUTE(Q200,""Sell_"",""""))-COUNTIF(Q$4:Q199,"&amp;"""Sell_""&amp;SUBSTITUTE(Q200,""Sell_"",""""))))/2),ROUNDUP(INDEX(Upgrades!$C$3:$C$13,MATCH(Q200,Upgrades!$B$3:$B$13,0))*1.15^(COUNTIF(Q$4:Q199,Q200)-COUNTIF(Q$4:Q199,""Sell_""&amp;Q200))))))"),21228.0)</f>
        <v>21228</v>
      </c>
      <c r="V200" s="10">
        <f t="shared" si="11"/>
        <v>21228</v>
      </c>
      <c r="W200" s="68">
        <f t="shared" si="12"/>
        <v>3416.674006</v>
      </c>
      <c r="X200" s="59" t="str">
        <f t="shared" si="13"/>
        <v>56m 56s</v>
      </c>
      <c r="Y200" s="69">
        <f t="shared" si="14"/>
        <v>86848374</v>
      </c>
      <c r="Z200" s="11"/>
    </row>
    <row r="201">
      <c r="A201" s="8"/>
      <c r="B201" s="56" t="str">
        <f t="shared" si="2"/>
        <v/>
      </c>
      <c r="C201" s="57"/>
      <c r="D201" s="10" t="str">
        <f>IFERROR(__xludf.DUMMYFUNCTION("IF(COUNTA(C201:C1350)=0,"""",IF(ISBLANK(C201),FALSE,IF(NOT(COUNTIF($AA$24:$AA$34,SUBSTITUTE(C201,""Sell_"",""""))),1,IF(REGEXMATCH(C201,""Sell_""),IF(COUNTIF(C$4:C201,SUBSTITUTE(C201,""Sell_"",""""))-COUNTIF(C$4:C200,C201)&lt;1,1),FALSE))))"),"")</f>
        <v/>
      </c>
      <c r="E201" s="59" t="str">
        <f t="array" ref="E201">IF(COUNTA(C201:C1350)=0,"",SUM((COUNTIF(C$4:C201,Upgrades!$B$3:$B$13)-COUNTIF(C$4:C201,"Sell_"&amp;Upgrades!$B$3:$B$13))*Upgrades!$D$3:$D$13))</f>
        <v/>
      </c>
      <c r="F201" s="66" t="str">
        <f>IFERROR(__xludf.DUMMYFUNCTION("IF(COUNTA(C201:C1350)=0,"""",IF(REGEXMATCH(INDEX(FILTER(C$4:C201,C$4:C201&lt;&gt;""""),ROWS(FILTER(C$4:C201,C$4:C201&lt;&gt;""""))),""^Sell_""),INDEX(FILTER(F$4:F200,C$4:C200&lt;&gt;""""),ROWS(FILTER(C$4:C200,C$4:C200&lt;&gt;""""))),$AC$5+E201))"),"")</f>
        <v/>
      </c>
      <c r="G201" s="10" t="str">
        <f>IFERROR(__xludf.DUMMYFUNCTION("IF(COUNTA(C201:C1350)=0,"""",IF(C201="""",0,IF(REGEXMATCH(C201,""^Sell_""),-ROUNDDOWN(ROUNDUP(INDEX(Upgrades!$C$3:$C$13,MATCH(SUBSTITUTE(C201,""Sell_"",""""),Upgrades!$B$3:$B$13,0))*1.15^(COUNTIF(C$4:C200,SUBSTITUTE(C201,""Sell_"",""""))-COUNTIF(C$4:C200,"&amp;"""Sell_""&amp;SUBSTITUTE(C201,""Sell_"",""""))))/2),ROUNDUP(INDEX(Upgrades!$C$3:$C$13,MATCH(C201,Upgrades!$B$3:$B$13,0))*1.15^(COUNTIF(C$4:C200,C201)-COUNTIF(C$4:C200,""Sell_""&amp;C201))))))"),"")</f>
        <v/>
      </c>
      <c r="H201" s="10" t="str">
        <f t="shared" si="3"/>
        <v/>
      </c>
      <c r="I201" s="68" t="str">
        <f t="shared" si="4"/>
        <v/>
      </c>
      <c r="J201" s="59" t="str">
        <f t="shared" si="5"/>
        <v/>
      </c>
      <c r="K201" s="69" t="str">
        <f t="shared" si="6"/>
        <v/>
      </c>
      <c r="L201" s="60">
        <f t="shared" si="7"/>
        <v>-152.71673</v>
      </c>
      <c r="M201" s="61">
        <f>IFERROR(__xludf.DUMMYFUNCTION("IFS(AND(COUNTA(C201:C1350)=0,COUNTA(Q201:Q1350)=0),"""",OR(AND(K201&gt;=1000000000,OR(Y201&gt;=1000000000,COUNTA(Q201:Q1350)=0)),OR(Y201&gt;=1000000000,AND(COUNTA(C201:C1350)=0,P$3=TRUE))),
ROUNDDOWN((AB$1-AC$1)*MAX(INDEX(T$4:T1350,MATCH(LARGE(FILTER(Y$4:Y1350,Y$4"&amp;":Y1350&lt;1000000000),1),Y$4:Y1350)),INDEX(F$4:F1350,MATCH(LARGE(FILTER(K$4:K1350,K$4:K1350&lt;1000000000),1),K$4:K1350)))),AND(K201&lt;1000000000,COUNTA(C201:C1350)&gt;0,P$3=FALSE),
ROUNDDOWN(INDEX(Y$4:Y1350,MATCH(LARGE(FILTER(W$4:W1350,W$4:W1350&lt;=I201),1),W$4:W1350"&amp;"))+(I201-LARGE(FILTER(W$4:W1350,W$4:W1350&lt;=I201),1))*INDEX(T$4:T1350,MATCH(LARGE(FILTER(W$4:W1350,W$4:W1350&lt;=I201),1),W$4:W1350))-K201),1,
ROUNDDOWN(Y201-INDEX(K$4:K1350,MATCH(LARGE(FILTER(I$4:I1350,I$4:I1350&lt;=W201),1),I$4:I1350))-(W201-LARGE(FILTER(I$4:I"&amp;"1350,I$4:I1350&lt;=W201),1))*INDEX(F$4:F1350,MATCH(LARGE(FILTER(I$4:I1350,I$4:I1350&lt;=W201),1),I$4:I1350))))"),1.5200559E7)</f>
        <v>15200559</v>
      </c>
      <c r="N201" s="60">
        <f t="shared" si="8"/>
        <v>-152.71673</v>
      </c>
      <c r="O201" s="61" t="str">
        <f t="shared" si="9"/>
        <v>15,2M</v>
      </c>
      <c r="P201" s="56">
        <f t="shared" si="10"/>
        <v>20</v>
      </c>
      <c r="Q201" s="105" t="s">
        <v>3</v>
      </c>
      <c r="R201" s="10" t="b">
        <f>IFERROR(__xludf.DUMMYFUNCTION("IF(COUNTA(Q201:Q1350)=0,"""",IF(ISBLANK(Q201),FALSE,IF(NOT(COUNTIF($AA$24:$AA$34,SUBSTITUTE(Q201,""Sell_"",""""))),1,IF(REGEXMATCH(Q201,""Sell_""),IF(COUNTIF(Q$4:Q201,SUBSTITUTE(Q201,""Sell_"",""""))-COUNTIF(Q$4:Q200,Q201)&lt;1,1),FALSE))))"),FALSE)</f>
        <v>0</v>
      </c>
      <c r="S201" s="59">
        <f t="array" ref="S201">IF(COUNTA(Q201:Q1350)=0,"",SUM((COUNTIF(Q$4:Q201,Upgrades!$B$3:$B$13)-COUNTIF(Q$4:Q201,"Sell_"&amp;Upgrades!$B$3:$B$13))*Upgrades!$D$3:$D$13))</f>
        <v>106474.5</v>
      </c>
      <c r="T201" s="66">
        <f>IFERROR(__xludf.DUMMYFUNCTION("IF(COUNTA(Q201:Q1350)=0,"""",IF(REGEXMATCH(INDEX(FILTER(Q$4:Q201,Q$4:Q201&lt;&gt;""""),ROWS(FILTER(Q$4:Q201,Q$4:Q201&lt;&gt;""""))),""^Sell_""),INDEX(FILTER(T$4:T200,Q$4:Q200&lt;&gt;""""),ROWS(FILTER(Q$4:Q200,Q$4:Q200&lt;&gt;""""))),$AD$5+S201))"),106674.5)</f>
        <v>106674.5</v>
      </c>
      <c r="U201" s="10">
        <f>IFERROR(__xludf.DUMMYFUNCTION("IF(COUNTA(Q201:Q1350)=0,"""",IF(Q201="""",0,IF(REGEXMATCH(Q201,""^Sell_""),-ROUNDDOWN(ROUNDUP(INDEX(Upgrades!$C$3:$C$13,MATCH(SUBSTITUTE(Q201,""Sell_"",""""),Upgrades!$B$3:$B$13,0))*1.15^(COUNTIF(Q$4:Q200,SUBSTITUTE(Q201,""Sell_"",""""))-COUNTIF(Q$4:Q200,"&amp;"""Sell_""&amp;SUBSTITUTE(Q201,""Sell_"",""""))))/2),ROUNDUP(INDEX(Upgrades!$C$3:$C$13,MATCH(Q201,Upgrades!$B$3:$B$13,0))*1.15^(COUNTIF(Q$4:Q200,Q201)-COUNTIF(Q$4:Q200,""Sell_""&amp;Q201))))))"),214.0)</f>
        <v>214</v>
      </c>
      <c r="V201" s="10">
        <f t="shared" si="11"/>
        <v>214</v>
      </c>
      <c r="W201" s="68">
        <f t="shared" si="12"/>
        <v>3416.676012</v>
      </c>
      <c r="X201" s="59" t="str">
        <f t="shared" si="13"/>
        <v>56m 56s</v>
      </c>
      <c r="Y201" s="69">
        <f t="shared" si="14"/>
        <v>86848588</v>
      </c>
      <c r="Z201" s="11"/>
    </row>
    <row r="202">
      <c r="A202" s="8"/>
      <c r="B202" s="56" t="str">
        <f t="shared" si="2"/>
        <v/>
      </c>
      <c r="C202" s="57"/>
      <c r="D202" s="10" t="str">
        <f>IFERROR(__xludf.DUMMYFUNCTION("IF(COUNTA(C202:C1350)=0,"""",IF(ISBLANK(C202),FALSE,IF(NOT(COUNTIF($AA$24:$AA$34,SUBSTITUTE(C202,""Sell_"",""""))),1,IF(REGEXMATCH(C202,""Sell_""),IF(COUNTIF(C$4:C202,SUBSTITUTE(C202,""Sell_"",""""))-COUNTIF(C$4:C201,C202)&lt;1,1),FALSE))))"),"")</f>
        <v/>
      </c>
      <c r="E202" s="59" t="str">
        <f t="array" ref="E202">IF(COUNTA(C202:C1350)=0,"",SUM((COUNTIF(C$4:C202,Upgrades!$B$3:$B$13)-COUNTIF(C$4:C202,"Sell_"&amp;Upgrades!$B$3:$B$13))*Upgrades!$D$3:$D$13))</f>
        <v/>
      </c>
      <c r="F202" s="66" t="str">
        <f>IFERROR(__xludf.DUMMYFUNCTION("IF(COUNTA(C202:C1350)=0,"""",IF(REGEXMATCH(INDEX(FILTER(C$4:C202,C$4:C202&lt;&gt;""""),ROWS(FILTER(C$4:C202,C$4:C202&lt;&gt;""""))),""^Sell_""),INDEX(FILTER(F$4:F201,C$4:C201&lt;&gt;""""),ROWS(FILTER(C$4:C201,C$4:C201&lt;&gt;""""))),$AC$5+E202))"),"")</f>
        <v/>
      </c>
      <c r="G202" s="10" t="str">
        <f>IFERROR(__xludf.DUMMYFUNCTION("IF(COUNTA(C202:C1350)=0,"""",IF(C202="""",0,IF(REGEXMATCH(C202,""^Sell_""),-ROUNDDOWN(ROUNDUP(INDEX(Upgrades!$C$3:$C$13,MATCH(SUBSTITUTE(C202,""Sell_"",""""),Upgrades!$B$3:$B$13,0))*1.15^(COUNTIF(C$4:C201,SUBSTITUTE(C202,""Sell_"",""""))-COUNTIF(C$4:C201,"&amp;"""Sell_""&amp;SUBSTITUTE(C202,""Sell_"",""""))))/2),ROUNDUP(INDEX(Upgrades!$C$3:$C$13,MATCH(C202,Upgrades!$B$3:$B$13,0))*1.15^(COUNTIF(C$4:C201,C202)-COUNTIF(C$4:C201,""Sell_""&amp;C202))))))"),"")</f>
        <v/>
      </c>
      <c r="H202" s="10" t="str">
        <f t="shared" si="3"/>
        <v/>
      </c>
      <c r="I202" s="68" t="str">
        <f t="shared" si="4"/>
        <v/>
      </c>
      <c r="J202" s="59" t="str">
        <f t="shared" si="5"/>
        <v/>
      </c>
      <c r="K202" s="69" t="str">
        <f t="shared" si="6"/>
        <v/>
      </c>
      <c r="L202" s="60">
        <f t="shared" si="7"/>
        <v>-152.71255</v>
      </c>
      <c r="M202" s="61">
        <f>IFERROR(__xludf.DUMMYFUNCTION("IFS(AND(COUNTA(C202:C1350)=0,COUNTA(Q202:Q1350)=0),"""",OR(AND(K202&gt;=1000000000,OR(Y202&gt;=1000000000,COUNTA(Q202:Q1350)=0)),OR(Y202&gt;=1000000000,AND(COUNTA(C202:C1350)=0,P$3=TRUE))),
ROUNDDOWN((AB$1-AC$1)*MAX(INDEX(T$4:T1350,MATCH(LARGE(FILTER(Y$4:Y1350,Y$4"&amp;":Y1350&lt;1000000000),1),Y$4:Y1350)),INDEX(F$4:F1350,MATCH(LARGE(FILTER(K$4:K1350,K$4:K1350&lt;1000000000),1),K$4:K1350)))),AND(K202&lt;1000000000,COUNTA(C202:C1350)&gt;0,P$3=FALSE),
ROUNDDOWN(INDEX(Y$4:Y1350,MATCH(LARGE(FILTER(W$4:W1350,W$4:W1350&lt;=I202),1),W$4:W1350"&amp;"))+(I202-LARGE(FILTER(W$4:W1350,W$4:W1350&lt;=I202),1))*INDEX(T$4:T1350,MATCH(LARGE(FILTER(W$4:W1350,W$4:W1350&lt;=I202),1),W$4:W1350))-K202),1,
ROUNDDOWN(Y202-INDEX(K$4:K1350,MATCH(LARGE(FILTER(I$4:I1350,I$4:I1350&lt;=W202),1),I$4:I1350))-(W202-LARGE(FILTER(I$4:I"&amp;"1350,I$4:I1350&lt;=W202),1))*INDEX(F$4:F1350,MATCH(LARGE(FILTER(I$4:I1350,I$4:I1350&lt;=W202),1),I$4:I1350))))"),1.5228536E7)</f>
        <v>15228536</v>
      </c>
      <c r="N202" s="60">
        <f t="shared" si="8"/>
        <v>-152.71255</v>
      </c>
      <c r="O202" s="61" t="str">
        <f t="shared" si="9"/>
        <v>15,2M</v>
      </c>
      <c r="P202" s="56">
        <f t="shared" si="10"/>
        <v>13</v>
      </c>
      <c r="Q202" s="105" t="s">
        <v>8</v>
      </c>
      <c r="R202" s="10" t="b">
        <f>IFERROR(__xludf.DUMMYFUNCTION("IF(COUNTA(Q202:Q1350)=0,"""",IF(ISBLANK(Q202),FALSE,IF(NOT(COUNTIF($AA$24:$AA$34,SUBSTITUTE(Q202,""Sell_"",""""))),1,IF(REGEXMATCH(Q202,""Sell_""),IF(COUNTIF(Q$4:Q202,SUBSTITUTE(Q202,""Sell_"",""""))-COUNTIF(Q$4:Q201,Q202)&lt;1,1),FALSE))))"),FALSE)</f>
        <v>0</v>
      </c>
      <c r="S202" s="59">
        <f t="array" ref="S202">IF(COUNTA(Q202:Q1350)=0,"",SUM((COUNTIF(Q$4:Q202,Upgrades!$B$3:$B$13)-COUNTIF(Q$4:Q202,"Sell_"&amp;Upgrades!$B$3:$B$13))*Upgrades!$D$3:$D$13))</f>
        <v>106574.5</v>
      </c>
      <c r="T202" s="66">
        <f>IFERROR(__xludf.DUMMYFUNCTION("IF(COUNTA(Q202:Q1350)=0,"""",IF(REGEXMATCH(INDEX(FILTER(Q$4:Q202,Q$4:Q202&lt;&gt;""""),ROWS(FILTER(Q$4:Q202,Q$4:Q202&lt;&gt;""""))),""^Sell_""),INDEX(FILTER(T$4:T201,Q$4:Q201&lt;&gt;""""),ROWS(FILTER(Q$4:Q201,Q$4:Q201&lt;&gt;""""))),$AD$5+S202))"),106774.5)</f>
        <v>106774.5</v>
      </c>
      <c r="U202" s="10">
        <f>IFERROR(__xludf.DUMMYFUNCTION("IF(COUNTA(Q202:Q1350)=0,"""",IF(Q202="""",0,IF(REGEXMATCH(Q202,""^Sell_""),-ROUNDDOWN(ROUNDUP(INDEX(Upgrades!$C$3:$C$13,MATCH(SUBSTITUTE(Q202,""Sell_"",""""),Upgrades!$B$3:$B$13,0))*1.15^(COUNTIF(Q$4:Q201,SUBSTITUTE(Q202,""Sell_"",""""))-COUNTIF(Q$4:Q201,"&amp;"""Sell_""&amp;SUBSTITUTE(Q202,""Sell_"",""""))))/2),ROUNDUP(INDEX(Upgrades!$C$3:$C$13,MATCH(Q202,Upgrades!$B$3:$B$13,0))*1.15^(COUNTIF(Q$4:Q201,Q202)-COUNTIF(Q$4:Q201,""Sell_""&amp;Q202))))))"),214011.0)</f>
        <v>214011</v>
      </c>
      <c r="V202" s="10">
        <f t="shared" si="11"/>
        <v>214011</v>
      </c>
      <c r="W202" s="68">
        <f t="shared" si="12"/>
        <v>3418.682218</v>
      </c>
      <c r="X202" s="59" t="str">
        <f t="shared" si="13"/>
        <v>56m 58s</v>
      </c>
      <c r="Y202" s="69">
        <f t="shared" si="14"/>
        <v>87062599</v>
      </c>
      <c r="Z202" s="11"/>
    </row>
    <row r="203">
      <c r="A203" s="8"/>
      <c r="B203" s="56" t="str">
        <f t="shared" si="2"/>
        <v/>
      </c>
      <c r="C203" s="57"/>
      <c r="D203" s="10" t="str">
        <f>IFERROR(__xludf.DUMMYFUNCTION("IF(COUNTA(C203:C1350)=0,"""",IF(ISBLANK(C203),FALSE,IF(NOT(COUNTIF($AA$24:$AA$34,SUBSTITUTE(C203,""Sell_"",""""))),1,IF(REGEXMATCH(C203,""Sell_""),IF(COUNTIF(C$4:C203,SUBSTITUTE(C203,""Sell_"",""""))-COUNTIF(C$4:C202,C203)&lt;1,1),FALSE))))"),"")</f>
        <v/>
      </c>
      <c r="E203" s="59" t="str">
        <f t="array" ref="E203">IF(COUNTA(C203:C1350)=0,"",SUM((COUNTIF(C$4:C203,Upgrades!$B$3:$B$13)-COUNTIF(C$4:C203,"Sell_"&amp;Upgrades!$B$3:$B$13))*Upgrades!$D$3:$D$13))</f>
        <v/>
      </c>
      <c r="F203" s="66" t="str">
        <f>IFERROR(__xludf.DUMMYFUNCTION("IF(COUNTA(C203:C1350)=0,"""",IF(REGEXMATCH(INDEX(FILTER(C$4:C203,C$4:C203&lt;&gt;""""),ROWS(FILTER(C$4:C203,C$4:C203&lt;&gt;""""))),""^Sell_""),INDEX(FILTER(F$4:F202,C$4:C202&lt;&gt;""""),ROWS(FILTER(C$4:C202,C$4:C202&lt;&gt;""""))),$AC$5+E203))"),"")</f>
        <v/>
      </c>
      <c r="G203" s="10" t="str">
        <f>IFERROR(__xludf.DUMMYFUNCTION("IF(COUNTA(C203:C1350)=0,"""",IF(C203="""",0,IF(REGEXMATCH(C203,""^Sell_""),-ROUNDDOWN(ROUNDUP(INDEX(Upgrades!$C$3:$C$13,MATCH(SUBSTITUTE(C203,""Sell_"",""""),Upgrades!$B$3:$B$13,0))*1.15^(COUNTIF(C$4:C202,SUBSTITUTE(C203,""Sell_"",""""))-COUNTIF(C$4:C202,"&amp;"""Sell_""&amp;SUBSTITUTE(C203,""Sell_"",""""))))/2),ROUNDUP(INDEX(Upgrades!$C$3:$C$13,MATCH(C203,Upgrades!$B$3:$B$13,0))*1.15^(COUNTIF(C$4:C202,C203)-COUNTIF(C$4:C202,""Sell_""&amp;C203))))))"),"")</f>
        <v/>
      </c>
      <c r="H203" s="10" t="str">
        <f t="shared" si="3"/>
        <v/>
      </c>
      <c r="I203" s="68" t="str">
        <f t="shared" si="4"/>
        <v/>
      </c>
      <c r="J203" s="59" t="str">
        <f t="shared" si="5"/>
        <v/>
      </c>
      <c r="K203" s="69" t="str">
        <f t="shared" si="6"/>
        <v/>
      </c>
      <c r="L203" s="60">
        <f t="shared" si="7"/>
        <v>-152.71252</v>
      </c>
      <c r="M203" s="61">
        <f>IFERROR(__xludf.DUMMYFUNCTION("IFS(AND(COUNTA(C203:C1350)=0,COUNTA(Q203:Q1350)=0),"""",OR(AND(K203&gt;=1000000000,OR(Y203&gt;=1000000000,COUNTA(Q203:Q1350)=0)),OR(Y203&gt;=1000000000,AND(COUNTA(C203:C1350)=0,P$3=TRUE))),
ROUNDDOWN((AB$1-AC$1)*MAX(INDEX(T$4:T1350,MATCH(LARGE(FILTER(Y$4:Y1350,Y$4"&amp;":Y1350&lt;1000000000),1),Y$4:Y1350)),INDEX(F$4:F1350,MATCH(LARGE(FILTER(K$4:K1350,K$4:K1350&lt;1000000000),1),K$4:K1350)))),AND(K203&lt;1000000000,COUNTA(C203:C1350)&gt;0,P$3=FALSE),
ROUNDDOWN(INDEX(Y$4:Y1350,MATCH(LARGE(FILTER(W$4:W1350,W$4:W1350&lt;=I203),1),W$4:W1350"&amp;"))+(I203-LARGE(FILTER(W$4:W1350,W$4:W1350&lt;=I203),1))*INDEX(T$4:T1350,MATCH(LARGE(FILTER(W$4:W1350,W$4:W1350&lt;=I203),1),W$4:W1350))-K203),1,
ROUNDDOWN(Y203-INDEX(K$4:K1350,MATCH(LARGE(FILTER(I$4:I1350,I$4:I1350&lt;=W203),1),I$4:I1350))-(W203-LARGE(FILTER(I$4:I"&amp;"1350,I$4:I1350&lt;=W203),1))*INDEX(F$4:F1350,MATCH(LARGE(FILTER(I$4:I1350,I$4:I1350&lt;=W203),1),I$4:I1350))))"),1.5228677E7)</f>
        <v>15228677</v>
      </c>
      <c r="N203" s="60">
        <f t="shared" si="8"/>
        <v>-152.71252</v>
      </c>
      <c r="O203" s="61" t="str">
        <f t="shared" si="9"/>
        <v>15,2M</v>
      </c>
      <c r="P203" s="56">
        <f t="shared" si="10"/>
        <v>18</v>
      </c>
      <c r="Q203" s="105" t="s">
        <v>4</v>
      </c>
      <c r="R203" s="10" t="b">
        <f>IFERROR(__xludf.DUMMYFUNCTION("IF(COUNTA(Q203:Q1350)=0,"""",IF(ISBLANK(Q203),FALSE,IF(NOT(COUNTIF($AA$24:$AA$34,SUBSTITUTE(Q203,""Sell_"",""""))),1,IF(REGEXMATCH(Q203,""Sell_""),IF(COUNTIF(Q$4:Q203,SUBSTITUTE(Q203,""Sell_"",""""))-COUNTIF(Q$4:Q202,Q203)&lt;1,1),FALSE))))"),FALSE)</f>
        <v>0</v>
      </c>
      <c r="S203" s="59">
        <f t="array" ref="S203">IF(COUNTA(Q203:Q1350)=0,"",SUM((COUNTIF(Q$4:Q203,Upgrades!$B$3:$B$13)-COUNTIF(Q$4:Q203,"Sell_"&amp;Upgrades!$B$3:$B$13))*Upgrades!$D$3:$D$13))</f>
        <v>106575</v>
      </c>
      <c r="T203" s="66">
        <f>IFERROR(__xludf.DUMMYFUNCTION("IF(COUNTA(Q203:Q1350)=0,"""",IF(REGEXMATCH(INDEX(FILTER(Q$4:Q203,Q$4:Q203&lt;&gt;""""),ROWS(FILTER(Q$4:Q203,Q$4:Q203&lt;&gt;""""))),""^Sell_""),INDEX(FILTER(T$4:T202,Q$4:Q202&lt;&gt;""""),ROWS(FILTER(Q$4:Q202,Q$4:Q202&lt;&gt;""""))),$AD$5+S203))"),106775.0)</f>
        <v>106775</v>
      </c>
      <c r="U203" s="10">
        <f>IFERROR(__xludf.DUMMYFUNCTION("IF(COUNTA(Q203:Q1350)=0,"""",IF(Q203="""",0,IF(REGEXMATCH(Q203,""^Sell_""),-ROUNDDOWN(ROUNDUP(INDEX(Upgrades!$C$3:$C$13,MATCH(SUBSTITUTE(Q203,""Sell_"",""""),Upgrades!$B$3:$B$13,0))*1.15^(COUNTIF(Q$4:Q202,SUBSTITUTE(Q203,""Sell_"",""""))-COUNTIF(Q$4:Q202,"&amp;"""Sell_""&amp;SUBSTITUTE(Q203,""Sell_"",""""))))/2),ROUNDUP(INDEX(Upgrades!$C$3:$C$13,MATCH(Q203,Upgrades!$B$3:$B$13,0))*1.15^(COUNTIF(Q$4:Q202,Q203)-COUNTIF(Q$4:Q202,""Sell_""&amp;Q203))))))"),1077.0)</f>
        <v>1077</v>
      </c>
      <c r="V203" s="10">
        <f t="shared" si="11"/>
        <v>1077</v>
      </c>
      <c r="W203" s="68">
        <f t="shared" si="12"/>
        <v>3418.692305</v>
      </c>
      <c r="X203" s="59" t="str">
        <f t="shared" si="13"/>
        <v>56m 58s</v>
      </c>
      <c r="Y203" s="69">
        <f t="shared" si="14"/>
        <v>87063676</v>
      </c>
      <c r="Z203" s="11"/>
    </row>
    <row r="204">
      <c r="A204" s="8"/>
      <c r="B204" s="56" t="str">
        <f t="shared" si="2"/>
        <v/>
      </c>
      <c r="C204" s="57"/>
      <c r="D204" s="10" t="str">
        <f>IFERROR(__xludf.DUMMYFUNCTION("IF(COUNTA(C204:C1350)=0,"""",IF(ISBLANK(C204),FALSE,IF(NOT(COUNTIF($AA$24:$AA$34,SUBSTITUTE(C204,""Sell_"",""""))),1,IF(REGEXMATCH(C204,""Sell_""),IF(COUNTIF(C$4:C204,SUBSTITUTE(C204,""Sell_"",""""))-COUNTIF(C$4:C203,C204)&lt;1,1),FALSE))))"),"")</f>
        <v/>
      </c>
      <c r="E204" s="59" t="str">
        <f t="array" ref="E204">IF(COUNTA(C204:C1350)=0,"",SUM((COUNTIF(C$4:C204,Upgrades!$B$3:$B$13)-COUNTIF(C$4:C204,"Sell_"&amp;Upgrades!$B$3:$B$13))*Upgrades!$D$3:$D$13))</f>
        <v/>
      </c>
      <c r="F204" s="66" t="str">
        <f>IFERROR(__xludf.DUMMYFUNCTION("IF(COUNTA(C204:C1350)=0,"""",IF(REGEXMATCH(INDEX(FILTER(C$4:C204,C$4:C204&lt;&gt;""""),ROWS(FILTER(C$4:C204,C$4:C204&lt;&gt;""""))),""^Sell_""),INDEX(FILTER(F$4:F203,C$4:C203&lt;&gt;""""),ROWS(FILTER(C$4:C203,C$4:C203&lt;&gt;""""))),$AC$5+E204))"),"")</f>
        <v/>
      </c>
      <c r="G204" s="10" t="str">
        <f>IFERROR(__xludf.DUMMYFUNCTION("IF(COUNTA(C204:C1350)=0,"""",IF(C204="""",0,IF(REGEXMATCH(C204,""^Sell_""),-ROUNDDOWN(ROUNDUP(INDEX(Upgrades!$C$3:$C$13,MATCH(SUBSTITUTE(C204,""Sell_"",""""),Upgrades!$B$3:$B$13,0))*1.15^(COUNTIF(C$4:C203,SUBSTITUTE(C204,""Sell_"",""""))-COUNTIF(C$4:C203,"&amp;"""Sell_""&amp;SUBSTITUTE(C204,""Sell_"",""""))))/2),ROUNDUP(INDEX(Upgrades!$C$3:$C$13,MATCH(C204,Upgrades!$B$3:$B$13,0))*1.15^(COUNTIF(C$4:C203,C204)-COUNTIF(C$4:C203,""Sell_""&amp;C204))))))"),"")</f>
        <v/>
      </c>
      <c r="H204" s="10" t="str">
        <f t="shared" si="3"/>
        <v/>
      </c>
      <c r="I204" s="68" t="str">
        <f t="shared" si="4"/>
        <v/>
      </c>
      <c r="J204" s="59" t="str">
        <f t="shared" si="5"/>
        <v/>
      </c>
      <c r="K204" s="69" t="str">
        <f t="shared" si="6"/>
        <v/>
      </c>
      <c r="L204" s="60">
        <f t="shared" si="7"/>
        <v>-152.24623</v>
      </c>
      <c r="M204" s="61">
        <f>IFERROR(__xludf.DUMMYFUNCTION("IFS(AND(COUNTA(C204:C1350)=0,COUNTA(Q204:Q1350)=0),"""",OR(AND(K204&gt;=1000000000,OR(Y204&gt;=1000000000,COUNTA(Q204:Q1350)=0)),OR(Y204&gt;=1000000000,AND(COUNTA(C204:C1350)=0,P$3=TRUE))),
ROUNDDOWN((AB$1-AC$1)*MAX(INDEX(T$4:T1350,MATCH(LARGE(FILTER(Y$4:Y1350,Y$4"&amp;":Y1350&lt;1000000000),1),Y$4:Y1350)),INDEX(F$4:F1350,MATCH(LARGE(FILTER(K$4:K1350,K$4:K1350&lt;1000000000),1),K$4:K1350)))),AND(K204&lt;1000000000,COUNTA(C204:C1350)&gt;0,P$3=FALSE),
ROUNDDOWN(INDEX(Y$4:Y1350,MATCH(LARGE(FILTER(W$4:W1350,W$4:W1350&lt;=I204),1),W$4:W1350"&amp;"))+(I204-LARGE(FILTER(W$4:W1350,W$4:W1350&lt;=I204),1))*INDEX(T$4:T1350,MATCH(LARGE(FILTER(W$4:W1350,W$4:W1350&lt;=I204),1),W$4:W1350))-K204),1,
ROUNDDOWN(Y204-INDEX(K$4:K1350,MATCH(LARGE(FILTER(I$4:I1350,I$4:I1350&lt;=W204),1),I$4:I1350))-(W204-LARGE(FILTER(I$4:I"&amp;"1350,I$4:I1350&lt;=W204),1))*INDEX(F$4:F1350,MATCH(LARGE(FILTER(I$4:I1350,I$4:I1350&lt;=W204),1),I$4:I1350))))"),1.6198681E7)</f>
        <v>16198681</v>
      </c>
      <c r="N204" s="60">
        <f t="shared" si="8"/>
        <v>-152.24623</v>
      </c>
      <c r="O204" s="61" t="str">
        <f t="shared" si="9"/>
        <v>16,2M</v>
      </c>
      <c r="P204" s="56">
        <f t="shared" si="10"/>
        <v>16</v>
      </c>
      <c r="Q204" s="105" t="s">
        <v>10</v>
      </c>
      <c r="R204" s="10" t="b">
        <f>IFERROR(__xludf.DUMMYFUNCTION("IF(COUNTA(Q204:Q1350)=0,"""",IF(ISBLANK(Q204),FALSE,IF(NOT(COUNTIF($AA$24:$AA$34,SUBSTITUTE(Q204,""Sell_"",""""))),1,IF(REGEXMATCH(Q204,""Sell_""),IF(COUNTIF(Q$4:Q204,SUBSTITUTE(Q204,""Sell_"",""""))-COUNTIF(Q$4:Q203,Q204)&lt;1,1),FALSE))))"),FALSE)</f>
        <v>0</v>
      </c>
      <c r="S204" s="59">
        <f t="array" ref="S204">IF(COUNTA(Q204:Q1350)=0,"",SUM((COUNTIF(Q$4:Q204,Upgrades!$B$3:$B$13)-COUNTIF(Q$4:Q204,"Sell_"&amp;Upgrades!$B$3:$B$13))*Upgrades!$D$3:$D$13))</f>
        <v>113241</v>
      </c>
      <c r="T204" s="66">
        <f>IFERROR(__xludf.DUMMYFUNCTION("IF(COUNTA(Q204:Q1350)=0,"""",IF(REGEXMATCH(INDEX(FILTER(Q$4:Q204,Q$4:Q204&lt;&gt;""""),ROWS(FILTER(Q$4:Q204,Q$4:Q204&lt;&gt;""""))),""^Sell_""),INDEX(FILTER(T$4:T203,Q$4:Q203&lt;&gt;""""),ROWS(FILTER(Q$4:Q203,Q$4:Q203&lt;&gt;""""))),$AD$5+S204))"),113441.0)</f>
        <v>113441</v>
      </c>
      <c r="U204" s="10">
        <f>IFERROR(__xludf.DUMMYFUNCTION("IF(COUNTA(Q204:Q1350)=0,"""",IF(Q204="""",0,IF(REGEXMATCH(Q204,""^Sell_""),-ROUNDDOWN(ROUNDUP(INDEX(Upgrades!$C$3:$C$13,MATCH(SUBSTITUTE(Q204,""Sell_"",""""),Upgrades!$B$3:$B$13,0))*1.15^(COUNTIF(Q$4:Q203,SUBSTITUTE(Q204,""Sell_"",""""))-COUNTIF(Q$4:Q203,"&amp;"""Sell_""&amp;SUBSTITUTE(Q204,""Sell_"",""""))))/2),ROUNDUP(INDEX(Upgrades!$C$3:$C$13,MATCH(Q204,Upgrades!$B$3:$B$13,0))*1.15^(COUNTIF(Q$4:Q203,Q204)-COUNTIF(Q$4:Q203,""Sell_""&amp;Q204))))))"),1.3561764E7)</f>
        <v>13561764</v>
      </c>
      <c r="V204" s="10">
        <f t="shared" si="11"/>
        <v>13561764</v>
      </c>
      <c r="W204" s="68">
        <f t="shared" si="12"/>
        <v>3545.704845</v>
      </c>
      <c r="X204" s="59" t="str">
        <f t="shared" si="13"/>
        <v>59m 05s</v>
      </c>
      <c r="Y204" s="69">
        <f t="shared" si="14"/>
        <v>100625440</v>
      </c>
      <c r="Z204" s="11"/>
    </row>
    <row r="205">
      <c r="A205" s="8"/>
      <c r="B205" s="56" t="str">
        <f t="shared" si="2"/>
        <v/>
      </c>
      <c r="C205" s="57"/>
      <c r="D205" s="10" t="str">
        <f>IFERROR(__xludf.DUMMYFUNCTION("IF(COUNTA(C205:C1350)=0,"""",IF(ISBLANK(C205),FALSE,IF(NOT(COUNTIF($AA$24:$AA$34,SUBSTITUTE(C205,""Sell_"",""""))),1,IF(REGEXMATCH(C205,""Sell_""),IF(COUNTIF(C$4:C205,SUBSTITUTE(C205,""Sell_"",""""))-COUNTIF(C$4:C204,C205)&lt;1,1),FALSE))))"),"")</f>
        <v/>
      </c>
      <c r="E205" s="59" t="str">
        <f t="array" ref="E205">IF(COUNTA(C205:C1350)=0,"",SUM((COUNTIF(C$4:C205,Upgrades!$B$3:$B$13)-COUNTIF(C$4:C205,"Sell_"&amp;Upgrades!$B$3:$B$13))*Upgrades!$D$3:$D$13))</f>
        <v/>
      </c>
      <c r="F205" s="66" t="str">
        <f>IFERROR(__xludf.DUMMYFUNCTION("IF(COUNTA(C205:C1350)=0,"""",IF(REGEXMATCH(INDEX(FILTER(C$4:C205,C$4:C205&lt;&gt;""""),ROWS(FILTER(C$4:C205,C$4:C205&lt;&gt;""""))),""^Sell_""),INDEX(FILTER(F$4:F204,C$4:C204&lt;&gt;""""),ROWS(FILTER(C$4:C204,C$4:C204&lt;&gt;""""))),$AC$5+E205))"),"")</f>
        <v/>
      </c>
      <c r="G205" s="10" t="str">
        <f>IFERROR(__xludf.DUMMYFUNCTION("IF(COUNTA(C205:C1350)=0,"""",IF(C205="""",0,IF(REGEXMATCH(C205,""^Sell_""),-ROUNDDOWN(ROUNDUP(INDEX(Upgrades!$C$3:$C$13,MATCH(SUBSTITUTE(C205,""Sell_"",""""),Upgrades!$B$3:$B$13,0))*1.15^(COUNTIF(C$4:C204,SUBSTITUTE(C205,""Sell_"",""""))-COUNTIF(C$4:C204,"&amp;"""Sell_""&amp;SUBSTITUTE(C205,""Sell_"",""""))))/2),ROUNDUP(INDEX(Upgrades!$C$3:$C$13,MATCH(C205,Upgrades!$B$3:$B$13,0))*1.15^(COUNTIF(C$4:C204,C205)-COUNTIF(C$4:C204,""Sell_""&amp;C205))))))"),"")</f>
        <v/>
      </c>
      <c r="H205" s="10" t="str">
        <f t="shared" si="3"/>
        <v/>
      </c>
      <c r="I205" s="68" t="str">
        <f t="shared" si="4"/>
        <v/>
      </c>
      <c r="J205" s="59" t="str">
        <f t="shared" si="5"/>
        <v/>
      </c>
      <c r="K205" s="69" t="str">
        <f t="shared" si="6"/>
        <v/>
      </c>
      <c r="L205" s="60">
        <f t="shared" si="7"/>
        <v>-152.24623</v>
      </c>
      <c r="M205" s="61">
        <f>IFERROR(__xludf.DUMMYFUNCTION("IFS(AND(COUNTA(C205:C1350)=0,COUNTA(Q205:Q1350)=0),"""",OR(AND(K205&gt;=1000000000,OR(Y205&gt;=1000000000,COUNTA(Q205:Q1350)=0)),OR(Y205&gt;=1000000000,AND(COUNTA(C205:C1350)=0,P$3=TRUE))),
ROUNDDOWN((AB$1-AC$1)*MAX(INDEX(T$4:T1350,MATCH(LARGE(FILTER(Y$4:Y1350,Y$4"&amp;":Y1350&lt;1000000000),1),Y$4:Y1350)),INDEX(F$4:F1350,MATCH(LARGE(FILTER(K$4:K1350,K$4:K1350&lt;1000000000),1),K$4:K1350)))),AND(K205&lt;1000000000,COUNTA(C205:C1350)&gt;0,P$3=FALSE),
ROUNDDOWN(INDEX(Y$4:Y1350,MATCH(LARGE(FILTER(W$4:W1350,W$4:W1350&lt;=I205),1),W$4:W1350"&amp;"))+(I205-LARGE(FILTER(W$4:W1350,W$4:W1350&lt;=I205),1))*INDEX(T$4:T1350,MATCH(LARGE(FILTER(W$4:W1350,W$4:W1350&lt;=I205),1),W$4:W1350))-K205),1,
ROUNDDOWN(Y205-INDEX(K$4:K1350,MATCH(LARGE(FILTER(I$4:I1350,I$4:I1350&lt;=W205),1),I$4:I1350))-(W205-LARGE(FILTER(I$4:I"&amp;"1350,I$4:I1350&lt;=W205),1))*INDEX(F$4:F1350,MATCH(LARGE(FILTER(I$4:I1350,I$4:I1350&lt;=W205),1),I$4:I1350))))"),1.6198681E7)</f>
        <v>16198681</v>
      </c>
      <c r="N205" s="60">
        <f t="shared" si="8"/>
        <v>-152.24623</v>
      </c>
      <c r="O205" s="61" t="str">
        <f t="shared" si="9"/>
        <v>16,2M</v>
      </c>
      <c r="P205" s="56">
        <f t="shared" si="10"/>
        <v>1</v>
      </c>
      <c r="Q205" s="105" t="s">
        <v>64</v>
      </c>
      <c r="R205" s="10" t="b">
        <f>IFERROR(__xludf.DUMMYFUNCTION("IF(COUNTA(Q205:Q1350)=0,"""",IF(ISBLANK(Q205),FALSE,IF(NOT(COUNTIF($AA$24:$AA$34,SUBSTITUTE(Q205,""Sell_"",""""))),1,IF(REGEXMATCH(Q205,""Sell_""),IF(COUNTIF(Q$4:Q205,SUBSTITUTE(Q205,""Sell_"",""""))-COUNTIF(Q$4:Q204,Q205)&lt;1,1),FALSE))))"),FALSE)</f>
        <v>0</v>
      </c>
      <c r="S205" s="59">
        <f t="array" ref="S205">IF(COUNTA(Q205:Q1350)=0,"",SUM((COUNTIF(Q$4:Q205,Upgrades!$B$3:$B$13)-COUNTIF(Q$4:Q205,"Sell_"&amp;Upgrades!$B$3:$B$13))*Upgrades!$D$3:$D$13))</f>
        <v>106575</v>
      </c>
      <c r="T205" s="66">
        <f>IFERROR(__xludf.DUMMYFUNCTION("IF(COUNTA(Q205:Q1350)=0,"""",IF(REGEXMATCH(INDEX(FILTER(Q$4:Q205,Q$4:Q205&lt;&gt;""""),ROWS(FILTER(Q$4:Q205,Q$4:Q205&lt;&gt;""""))),""^Sell_""),INDEX(FILTER(T$4:T204,Q$4:Q204&lt;&gt;""""),ROWS(FILTER(Q$4:Q204,Q$4:Q204&lt;&gt;""""))),$AD$5+S205))"),113441.0)</f>
        <v>113441</v>
      </c>
      <c r="U205" s="10">
        <f>IFERROR(__xludf.DUMMYFUNCTION("IF(COUNTA(Q205:Q1350)=0,"""",IF(Q205="""",0,IF(REGEXMATCH(Q205,""^Sell_""),-ROUNDDOWN(ROUNDUP(INDEX(Upgrades!$C$3:$C$13,MATCH(SUBSTITUTE(Q205,""Sell_"",""""),Upgrades!$B$3:$B$13,0))*1.15^(COUNTIF(Q$4:Q204,SUBSTITUTE(Q205,""Sell_"",""""))-COUNTIF(Q$4:Q204,"&amp;"""Sell_""&amp;SUBSTITUTE(Q205,""Sell_"",""""))))/2),ROUNDUP(INDEX(Upgrades!$C$3:$C$13,MATCH(Q205,Upgrades!$B$3:$B$13,0))*1.15^(COUNTIF(Q$4:Q204,Q205)-COUNTIF(Q$4:Q204,""Sell_""&amp;Q205))))))"),-7798014.0)</f>
        <v>-7798014</v>
      </c>
      <c r="V205" s="10">
        <f t="shared" si="11"/>
        <v>-7798014</v>
      </c>
      <c r="W205" s="68">
        <f t="shared" si="12"/>
        <v>3545.704845</v>
      </c>
      <c r="X205" s="59" t="str">
        <f t="shared" si="13"/>
        <v>59m 05s</v>
      </c>
      <c r="Y205" s="69">
        <f t="shared" si="14"/>
        <v>100625440</v>
      </c>
      <c r="Z205" s="11"/>
    </row>
    <row r="206">
      <c r="A206" s="8"/>
      <c r="B206" s="56" t="str">
        <f t="shared" si="2"/>
        <v/>
      </c>
      <c r="C206" s="57"/>
      <c r="D206" s="10" t="str">
        <f>IFERROR(__xludf.DUMMYFUNCTION("IF(COUNTA(C206:C1350)=0,"""",IF(ISBLANK(C206),FALSE,IF(NOT(COUNTIF($AA$24:$AA$34,SUBSTITUTE(C206,""Sell_"",""""))),1,IF(REGEXMATCH(C206,""Sell_""),IF(COUNTIF(C$4:C206,SUBSTITUTE(C206,""Sell_"",""""))-COUNTIF(C$4:C205,C206)&lt;1,1),FALSE))))"),"")</f>
        <v/>
      </c>
      <c r="E206" s="59" t="str">
        <f t="array" ref="E206">IF(COUNTA(C206:C1350)=0,"",SUM((COUNTIF(C$4:C206,Upgrades!$B$3:$B$13)-COUNTIF(C$4:C206,"Sell_"&amp;Upgrades!$B$3:$B$13))*Upgrades!$D$3:$D$13))</f>
        <v/>
      </c>
      <c r="F206" s="66" t="str">
        <f>IFERROR(__xludf.DUMMYFUNCTION("IF(COUNTA(C206:C1350)=0,"""",IF(REGEXMATCH(INDEX(FILTER(C$4:C206,C$4:C206&lt;&gt;""""),ROWS(FILTER(C$4:C206,C$4:C206&lt;&gt;""""))),""^Sell_""),INDEX(FILTER(F$4:F205,C$4:C205&lt;&gt;""""),ROWS(FILTER(C$4:C205,C$4:C205&lt;&gt;""""))),$AC$5+E206))"),"")</f>
        <v/>
      </c>
      <c r="G206" s="10" t="str">
        <f>IFERROR(__xludf.DUMMYFUNCTION("IF(COUNTA(C206:C1350)=0,"""",IF(C206="""",0,IF(REGEXMATCH(C206,""^Sell_""),-ROUNDDOWN(ROUNDUP(INDEX(Upgrades!$C$3:$C$13,MATCH(SUBSTITUTE(C206,""Sell_"",""""),Upgrades!$B$3:$B$13,0))*1.15^(COUNTIF(C$4:C205,SUBSTITUTE(C206,""Sell_"",""""))-COUNTIF(C$4:C205,"&amp;"""Sell_""&amp;SUBSTITUTE(C206,""Sell_"",""""))))/2),ROUNDUP(INDEX(Upgrades!$C$3:$C$13,MATCH(C206,Upgrades!$B$3:$B$13,0))*1.15^(COUNTIF(C$4:C205,C206)-COUNTIF(C$4:C205,""Sell_""&amp;C206))))))"),"")</f>
        <v/>
      </c>
      <c r="H206" s="10" t="str">
        <f t="shared" si="3"/>
        <v/>
      </c>
      <c r="I206" s="68" t="str">
        <f t="shared" si="4"/>
        <v/>
      </c>
      <c r="J206" s="59" t="str">
        <f t="shared" si="5"/>
        <v/>
      </c>
      <c r="K206" s="69" t="str">
        <f t="shared" si="6"/>
        <v/>
      </c>
      <c r="L206" s="60">
        <f t="shared" si="7"/>
        <v>-152.24623</v>
      </c>
      <c r="M206" s="61">
        <f>IFERROR(__xludf.DUMMYFUNCTION("IFS(AND(COUNTA(C206:C1350)=0,COUNTA(Q206:Q1350)=0),"""",OR(AND(K206&gt;=1000000000,OR(Y206&gt;=1000000000,COUNTA(Q206:Q1350)=0)),OR(Y206&gt;=1000000000,AND(COUNTA(C206:C1350)=0,P$3=TRUE))),
ROUNDDOWN((AB$1-AC$1)*MAX(INDEX(T$4:T1350,MATCH(LARGE(FILTER(Y$4:Y1350,Y$4"&amp;":Y1350&lt;1000000000),1),Y$4:Y1350)),INDEX(F$4:F1350,MATCH(LARGE(FILTER(K$4:K1350,K$4:K1350&lt;1000000000),1),K$4:K1350)))),AND(K206&lt;1000000000,COUNTA(C206:C1350)&gt;0,P$3=FALSE),
ROUNDDOWN(INDEX(Y$4:Y1350,MATCH(LARGE(FILTER(W$4:W1350,W$4:W1350&lt;=I206),1),W$4:W1350"&amp;"))+(I206-LARGE(FILTER(W$4:W1350,W$4:W1350&lt;=I206),1))*INDEX(T$4:T1350,MATCH(LARGE(FILTER(W$4:W1350,W$4:W1350&lt;=I206),1),W$4:W1350))-K206),1,
ROUNDDOWN(Y206-INDEX(K$4:K1350,MATCH(LARGE(FILTER(I$4:I1350,I$4:I1350&lt;=W206),1),I$4:I1350))-(W206-LARGE(FILTER(I$4:I"&amp;"1350,I$4:I1350&lt;=W206),1))*INDEX(F$4:F1350,MATCH(LARGE(FILTER(I$4:I1350,I$4:I1350&lt;=W206),1),I$4:I1350))))"),1.6198681E7)</f>
        <v>16198681</v>
      </c>
      <c r="N206" s="60">
        <f t="shared" si="8"/>
        <v>-152.24623</v>
      </c>
      <c r="O206" s="61" t="str">
        <f t="shared" si="9"/>
        <v>16,2M</v>
      </c>
      <c r="P206" s="56">
        <f t="shared" si="10"/>
        <v>5</v>
      </c>
      <c r="Q206" s="105" t="s">
        <v>60</v>
      </c>
      <c r="R206" s="10" t="b">
        <f>IFERROR(__xludf.DUMMYFUNCTION("IF(COUNTA(Q206:Q1350)=0,"""",IF(ISBLANK(Q206),FALSE,IF(NOT(COUNTIF($AA$24:$AA$34,SUBSTITUTE(Q206,""Sell_"",""""))),1,IF(REGEXMATCH(Q206,""Sell_""),IF(COUNTIF(Q$4:Q206,SUBSTITUTE(Q206,""Sell_"",""""))-COUNTIF(Q$4:Q205,Q206)&lt;1,1),FALSE))))"),FALSE)</f>
        <v>0</v>
      </c>
      <c r="S206" s="59">
        <f t="array" ref="S206">IF(COUNTA(Q206:Q1350)=0,"",SUM((COUNTIF(Q$4:Q206,Upgrades!$B$3:$B$13)-COUNTIF(Q$4:Q206,"Sell_"&amp;Upgrades!$B$3:$B$13))*Upgrades!$D$3:$D$13))</f>
        <v>106175</v>
      </c>
      <c r="T206" s="66">
        <f>IFERROR(__xludf.DUMMYFUNCTION("IF(COUNTA(Q206:Q1350)=0,"""",IF(REGEXMATCH(INDEX(FILTER(Q$4:Q206,Q$4:Q206&lt;&gt;""""),ROWS(FILTER(Q$4:Q206,Q$4:Q206&lt;&gt;""""))),""^Sell_""),INDEX(FILTER(T$4:T205,Q$4:Q205&lt;&gt;""""),ROWS(FILTER(Q$4:Q205,Q$4:Q205&lt;&gt;""""))),$AD$5+S206))"),113441.0)</f>
        <v>113441</v>
      </c>
      <c r="U206" s="10">
        <f>IFERROR(__xludf.DUMMYFUNCTION("IF(COUNTA(Q206:Q1350)=0,"""",IF(Q206="""",0,IF(REGEXMATCH(Q206,""^Sell_""),-ROUNDDOWN(ROUNDUP(INDEX(Upgrades!$C$3:$C$13,MATCH(SUBSTITUTE(Q206,""Sell_"",""""),Upgrades!$B$3:$B$13,0))*1.15^(COUNTIF(Q$4:Q205,SUBSTITUTE(Q206,""Sell_"",""""))-COUNTIF(Q$4:Q205,"&amp;"""Sell_""&amp;SUBSTITUTE(Q206,""Sell_"",""""))))/2),ROUNDUP(INDEX(Upgrades!$C$3:$C$13,MATCH(Q206,Upgrades!$B$3:$B$13,0))*1.15^(COUNTIF(Q$4:Q205,Q206)-COUNTIF(Q$4:Q205,""Sell_""&amp;Q206))))))"),-465239.0)</f>
        <v>-465239</v>
      </c>
      <c r="V206" s="10">
        <f t="shared" si="11"/>
        <v>-8263253</v>
      </c>
      <c r="W206" s="68">
        <f t="shared" si="12"/>
        <v>3545.704845</v>
      </c>
      <c r="X206" s="59" t="str">
        <f t="shared" si="13"/>
        <v>59m 05s</v>
      </c>
      <c r="Y206" s="69">
        <f t="shared" si="14"/>
        <v>100625440</v>
      </c>
      <c r="Z206" s="11"/>
    </row>
    <row r="207">
      <c r="A207" s="8"/>
      <c r="B207" s="56" t="str">
        <f t="shared" si="2"/>
        <v/>
      </c>
      <c r="C207" s="57"/>
      <c r="D207" s="10" t="str">
        <f>IFERROR(__xludf.DUMMYFUNCTION("IF(COUNTA(C207:C1350)=0,"""",IF(ISBLANK(C207),FALSE,IF(NOT(COUNTIF($AA$24:$AA$34,SUBSTITUTE(C207,""Sell_"",""""))),1,IF(REGEXMATCH(C207,""Sell_""),IF(COUNTIF(C$4:C207,SUBSTITUTE(C207,""Sell_"",""""))-COUNTIF(C$4:C206,C207)&lt;1,1),FALSE))))"),"")</f>
        <v/>
      </c>
      <c r="E207" s="59" t="str">
        <f t="array" ref="E207">IF(COUNTA(C207:C1350)=0,"",SUM((COUNTIF(C$4:C207,Upgrades!$B$3:$B$13)-COUNTIF(C$4:C207,"Sell_"&amp;Upgrades!$B$3:$B$13))*Upgrades!$D$3:$D$13))</f>
        <v/>
      </c>
      <c r="F207" s="66" t="str">
        <f>IFERROR(__xludf.DUMMYFUNCTION("IF(COUNTA(C207:C1350)=0,"""",IF(REGEXMATCH(INDEX(FILTER(C$4:C207,C$4:C207&lt;&gt;""""),ROWS(FILTER(C$4:C207,C$4:C207&lt;&gt;""""))),""^Sell_""),INDEX(FILTER(F$4:F206,C$4:C206&lt;&gt;""""),ROWS(FILTER(C$4:C206,C$4:C206&lt;&gt;""""))),$AC$5+E207))"),"")</f>
        <v/>
      </c>
      <c r="G207" s="10" t="str">
        <f>IFERROR(__xludf.DUMMYFUNCTION("IF(COUNTA(C207:C1350)=0,"""",IF(C207="""",0,IF(REGEXMATCH(C207,""^Sell_""),-ROUNDDOWN(ROUNDUP(INDEX(Upgrades!$C$3:$C$13,MATCH(SUBSTITUTE(C207,""Sell_"",""""),Upgrades!$B$3:$B$13,0))*1.15^(COUNTIF(C$4:C206,SUBSTITUTE(C207,""Sell_"",""""))-COUNTIF(C$4:C206,"&amp;"""Sell_""&amp;SUBSTITUTE(C207,""Sell_"",""""))))/2),ROUNDUP(INDEX(Upgrades!$C$3:$C$13,MATCH(C207,Upgrades!$B$3:$B$13,0))*1.15^(COUNTIF(C$4:C206,C207)-COUNTIF(C$4:C206,""Sell_""&amp;C207))))))"),"")</f>
        <v/>
      </c>
      <c r="H207" s="10" t="str">
        <f t="shared" si="3"/>
        <v/>
      </c>
      <c r="I207" s="68" t="str">
        <f t="shared" si="4"/>
        <v/>
      </c>
      <c r="J207" s="59" t="str">
        <f t="shared" si="5"/>
        <v/>
      </c>
      <c r="K207" s="69" t="str">
        <f t="shared" si="6"/>
        <v/>
      </c>
      <c r="L207" s="60">
        <f t="shared" si="7"/>
        <v>-152.24623</v>
      </c>
      <c r="M207" s="61">
        <f>IFERROR(__xludf.DUMMYFUNCTION("IFS(AND(COUNTA(C207:C1350)=0,COUNTA(Q207:Q1350)=0),"""",OR(AND(K207&gt;=1000000000,OR(Y207&gt;=1000000000,COUNTA(Q207:Q1350)=0)),OR(Y207&gt;=1000000000,AND(COUNTA(C207:C1350)=0,P$3=TRUE))),
ROUNDDOWN((AB$1-AC$1)*MAX(INDEX(T$4:T1350,MATCH(LARGE(FILTER(Y$4:Y1350,Y$4"&amp;":Y1350&lt;1000000000),1),Y$4:Y1350)),INDEX(F$4:F1350,MATCH(LARGE(FILTER(K$4:K1350,K$4:K1350&lt;1000000000),1),K$4:K1350)))),AND(K207&lt;1000000000,COUNTA(C207:C1350)&gt;0,P$3=FALSE),
ROUNDDOWN(INDEX(Y$4:Y1350,MATCH(LARGE(FILTER(W$4:W1350,W$4:W1350&lt;=I207),1),W$4:W1350"&amp;"))+(I207-LARGE(FILTER(W$4:W1350,W$4:W1350&lt;=I207),1))*INDEX(T$4:T1350,MATCH(LARGE(FILTER(W$4:W1350,W$4:W1350&lt;=I207),1),W$4:W1350))-K207),1,
ROUNDDOWN(Y207-INDEX(K$4:K1350,MATCH(LARGE(FILTER(I$4:I1350,I$4:I1350&lt;=W207),1),I$4:I1350))-(W207-LARGE(FILTER(I$4:I"&amp;"1350,I$4:I1350&lt;=W207),1))*INDEX(F$4:F1350,MATCH(LARGE(FILTER(I$4:I1350,I$4:I1350&lt;=W207),1),I$4:I1350))))"),1.6198681E7)</f>
        <v>16198681</v>
      </c>
      <c r="N207" s="60">
        <f t="shared" si="8"/>
        <v>-152.24623</v>
      </c>
      <c r="O207" s="61" t="str">
        <f t="shared" si="9"/>
        <v>16,2M</v>
      </c>
      <c r="P207" s="56">
        <f t="shared" si="10"/>
        <v>11</v>
      </c>
      <c r="Q207" s="105" t="s">
        <v>61</v>
      </c>
      <c r="R207" s="10" t="b">
        <f>IFERROR(__xludf.DUMMYFUNCTION("IF(COUNTA(Q207:Q1350)=0,"""",IF(ISBLANK(Q207),FALSE,IF(NOT(COUNTIF($AA$24:$AA$34,SUBSTITUTE(Q207,""Sell_"",""""))),1,IF(REGEXMATCH(Q207,""Sell_""),IF(COUNTIF(Q$4:Q207,SUBSTITUTE(Q207,""Sell_"",""""))-COUNTIF(Q$4:Q206,Q207)&lt;1,1),FALSE))))"),FALSE)</f>
        <v>0</v>
      </c>
      <c r="S207" s="59">
        <f t="array" ref="S207">IF(COUNTA(Q207:Q1350)=0,"",SUM((COUNTIF(Q$4:Q207,Upgrades!$B$3:$B$13)-COUNTIF(Q$4:Q207,"Sell_"&amp;Upgrades!$B$3:$B$13))*Upgrades!$D$3:$D$13))</f>
        <v>106075</v>
      </c>
      <c r="T207" s="66">
        <f>IFERROR(__xludf.DUMMYFUNCTION("IF(COUNTA(Q207:Q1350)=0,"""",IF(REGEXMATCH(INDEX(FILTER(Q$4:Q207,Q$4:Q207&lt;&gt;""""),ROWS(FILTER(Q$4:Q207,Q$4:Q207&lt;&gt;""""))),""^Sell_""),INDEX(FILTER(T$4:T206,Q$4:Q206&lt;&gt;""""),ROWS(FILTER(Q$4:Q206,Q$4:Q206&lt;&gt;""""))),$AD$5+S207))"),113441.0)</f>
        <v>113441</v>
      </c>
      <c r="U207" s="10">
        <f>IFERROR(__xludf.DUMMYFUNCTION("IF(COUNTA(Q207:Q1350)=0,"""",IF(Q207="""",0,IF(REGEXMATCH(Q207,""^Sell_""),-ROUNDDOWN(ROUNDUP(INDEX(Upgrades!$C$3:$C$13,MATCH(SUBSTITUTE(Q207,""Sell_"",""""),Upgrades!$B$3:$B$13,0))*1.15^(COUNTIF(Q$4:Q206,SUBSTITUTE(Q207,""Sell_"",""""))-COUNTIF(Q$4:Q206,"&amp;"""Sell_""&amp;SUBSTITUTE(Q207,""Sell_"",""""))))/2),ROUNDUP(INDEX(Upgrades!$C$3:$C$13,MATCH(Q207,Upgrades!$B$3:$B$13,0))*1.15^(COUNTIF(Q$4:Q206,Q207)-COUNTIF(Q$4:Q206,""Sell_""&amp;Q207))))))"),-123056.0)</f>
        <v>-123056</v>
      </c>
      <c r="V207" s="10">
        <f t="shared" si="11"/>
        <v>-8386309</v>
      </c>
      <c r="W207" s="68">
        <f t="shared" si="12"/>
        <v>3545.704845</v>
      </c>
      <c r="X207" s="59" t="str">
        <f t="shared" si="13"/>
        <v>59m 05s</v>
      </c>
      <c r="Y207" s="69">
        <f t="shared" si="14"/>
        <v>100625440</v>
      </c>
      <c r="Z207" s="11"/>
    </row>
    <row r="208">
      <c r="A208" s="8"/>
      <c r="B208" s="56" t="str">
        <f t="shared" si="2"/>
        <v/>
      </c>
      <c r="C208" s="57"/>
      <c r="D208" s="10" t="str">
        <f>IFERROR(__xludf.DUMMYFUNCTION("IF(COUNTA(C208:C1350)=0,"""",IF(ISBLANK(C208),FALSE,IF(NOT(COUNTIF($AA$24:$AA$34,SUBSTITUTE(C208,""Sell_"",""""))),1,IF(REGEXMATCH(C208,""Sell_""),IF(COUNTIF(C$4:C208,SUBSTITUTE(C208,""Sell_"",""""))-COUNTIF(C$4:C207,C208)&lt;1,1),FALSE))))"),"")</f>
        <v/>
      </c>
      <c r="E208" s="59" t="str">
        <f t="array" ref="E208">IF(COUNTA(C208:C1350)=0,"",SUM((COUNTIF(C$4:C208,Upgrades!$B$3:$B$13)-COUNTIF(C$4:C208,"Sell_"&amp;Upgrades!$B$3:$B$13))*Upgrades!$D$3:$D$13))</f>
        <v/>
      </c>
      <c r="F208" s="66" t="str">
        <f>IFERROR(__xludf.DUMMYFUNCTION("IF(COUNTA(C208:C1350)=0,"""",IF(REGEXMATCH(INDEX(FILTER(C$4:C208,C$4:C208&lt;&gt;""""),ROWS(FILTER(C$4:C208,C$4:C208&lt;&gt;""""))),""^Sell_""),INDEX(FILTER(F$4:F207,C$4:C207&lt;&gt;""""),ROWS(FILTER(C$4:C207,C$4:C207&lt;&gt;""""))),$AC$5+E208))"),"")</f>
        <v/>
      </c>
      <c r="G208" s="10" t="str">
        <f>IFERROR(__xludf.DUMMYFUNCTION("IF(COUNTA(C208:C1350)=0,"""",IF(C208="""",0,IF(REGEXMATCH(C208,""^Sell_""),-ROUNDDOWN(ROUNDUP(INDEX(Upgrades!$C$3:$C$13,MATCH(SUBSTITUTE(C208,""Sell_"",""""),Upgrades!$B$3:$B$13,0))*1.15^(COUNTIF(C$4:C207,SUBSTITUTE(C208,""Sell_"",""""))-COUNTIF(C$4:C207,"&amp;"""Sell_""&amp;SUBSTITUTE(C208,""Sell_"",""""))))/2),ROUNDUP(INDEX(Upgrades!$C$3:$C$13,MATCH(C208,Upgrades!$B$3:$B$13,0))*1.15^(COUNTIF(C$4:C207,C208)-COUNTIF(C$4:C207,""Sell_""&amp;C208))))))"),"")</f>
        <v/>
      </c>
      <c r="H208" s="10" t="str">
        <f t="shared" si="3"/>
        <v/>
      </c>
      <c r="I208" s="68" t="str">
        <f t="shared" si="4"/>
        <v/>
      </c>
      <c r="J208" s="59" t="str">
        <f t="shared" si="5"/>
        <v/>
      </c>
      <c r="K208" s="69" t="str">
        <f t="shared" si="6"/>
        <v/>
      </c>
      <c r="L208" s="60">
        <f t="shared" si="7"/>
        <v>-152.24623</v>
      </c>
      <c r="M208" s="61">
        <f>IFERROR(__xludf.DUMMYFUNCTION("IFS(AND(COUNTA(C208:C1350)=0,COUNTA(Q208:Q1350)=0),"""",OR(AND(K208&gt;=1000000000,OR(Y208&gt;=1000000000,COUNTA(Q208:Q1350)=0)),OR(Y208&gt;=1000000000,AND(COUNTA(C208:C1350)=0,P$3=TRUE))),
ROUNDDOWN((AB$1-AC$1)*MAX(INDEX(T$4:T1350,MATCH(LARGE(FILTER(Y$4:Y1350,Y$4"&amp;":Y1350&lt;1000000000),1),Y$4:Y1350)),INDEX(F$4:F1350,MATCH(LARGE(FILTER(K$4:K1350,K$4:K1350&lt;1000000000),1),K$4:K1350)))),AND(K208&lt;1000000000,COUNTA(C208:C1350)&gt;0,P$3=FALSE),
ROUNDDOWN(INDEX(Y$4:Y1350,MATCH(LARGE(FILTER(W$4:W1350,W$4:W1350&lt;=I208),1),W$4:W1350"&amp;"))+(I208-LARGE(FILTER(W$4:W1350,W$4:W1350&lt;=I208),1))*INDEX(T$4:T1350,MATCH(LARGE(FILTER(W$4:W1350,W$4:W1350&lt;=I208),1),W$4:W1350))-K208),1,
ROUNDDOWN(Y208-INDEX(K$4:K1350,MATCH(LARGE(FILTER(I$4:I1350,I$4:I1350&lt;=W208),1),I$4:I1350))-(W208-LARGE(FILTER(I$4:I"&amp;"1350,I$4:I1350&lt;=W208),1))*INDEX(F$4:F1350,MATCH(LARGE(FILTER(I$4:I1350,I$4:I1350&lt;=W208),1),I$4:I1350))))"),1.6198681E7)</f>
        <v>16198681</v>
      </c>
      <c r="N208" s="60">
        <f t="shared" si="8"/>
        <v>-152.24623</v>
      </c>
      <c r="O208" s="61" t="str">
        <f t="shared" si="9"/>
        <v>16,2M</v>
      </c>
      <c r="P208" s="56">
        <f t="shared" si="10"/>
        <v>22</v>
      </c>
      <c r="Q208" s="105" t="s">
        <v>59</v>
      </c>
      <c r="R208" s="10" t="b">
        <f>IFERROR(__xludf.DUMMYFUNCTION("IF(COUNTA(Q208:Q1350)=0,"""",IF(ISBLANK(Q208),FALSE,IF(NOT(COUNTIF($AA$24:$AA$34,SUBSTITUTE(Q208,""Sell_"",""""))),1,IF(REGEXMATCH(Q208,""Sell_""),IF(COUNTIF(Q$4:Q208,SUBSTITUTE(Q208,""Sell_"",""""))-COUNTIF(Q$4:Q207,Q208)&lt;1,1),FALSE))))"),FALSE)</f>
        <v>0</v>
      </c>
      <c r="S208" s="59">
        <f t="array" ref="S208">IF(COUNTA(Q208:Q1350)=0,"",SUM((COUNTIF(Q$4:Q208,Upgrades!$B$3:$B$13)-COUNTIF(Q$4:Q208,"Sell_"&amp;Upgrades!$B$3:$B$13))*Upgrades!$D$3:$D$13))</f>
        <v>106035</v>
      </c>
      <c r="T208" s="66">
        <f>IFERROR(__xludf.DUMMYFUNCTION("IF(COUNTA(Q208:Q1350)=0,"""",IF(REGEXMATCH(INDEX(FILTER(Q$4:Q208,Q$4:Q208&lt;&gt;""""),ROWS(FILTER(Q$4:Q208,Q$4:Q208&lt;&gt;""""))),""^Sell_""),INDEX(FILTER(T$4:T207,Q$4:Q207&lt;&gt;""""),ROWS(FILTER(Q$4:Q207,Q$4:Q207&lt;&gt;""""))),$AD$5+S208))"),113441.0)</f>
        <v>113441</v>
      </c>
      <c r="U208" s="10">
        <f>IFERROR(__xludf.DUMMYFUNCTION("IF(COUNTA(Q208:Q1350)=0,"""",IF(Q208="""",0,IF(REGEXMATCH(Q208,""^Sell_""),-ROUNDDOWN(ROUNDUP(INDEX(Upgrades!$C$3:$C$13,MATCH(SUBSTITUTE(Q208,""Sell_"",""""),Upgrades!$B$3:$B$13,0))*1.15^(COUNTIF(Q$4:Q207,SUBSTITUTE(Q208,""Sell_"",""""))-COUNTIF(Q$4:Q207,"&amp;"""Sell_""&amp;SUBSTITUTE(Q208,""Sell_"",""""))))/2),ROUNDUP(INDEX(Upgrades!$C$3:$C$13,MATCH(Q208,Upgrades!$B$3:$B$13,0))*1.15^(COUNTIF(Q$4:Q207,Q208)-COUNTIF(Q$4:Q207,""Sell_""&amp;Q208))))))"),-46788.0)</f>
        <v>-46788</v>
      </c>
      <c r="V208" s="10">
        <f t="shared" si="11"/>
        <v>-8433097</v>
      </c>
      <c r="W208" s="68">
        <f t="shared" si="12"/>
        <v>3545.704845</v>
      </c>
      <c r="X208" s="59" t="str">
        <f t="shared" si="13"/>
        <v>59m 05s</v>
      </c>
      <c r="Y208" s="69">
        <f t="shared" si="14"/>
        <v>100625440</v>
      </c>
      <c r="Z208" s="11"/>
    </row>
    <row r="209">
      <c r="A209" s="8"/>
      <c r="B209" s="56" t="str">
        <f t="shared" si="2"/>
        <v/>
      </c>
      <c r="C209" s="57"/>
      <c r="D209" s="10" t="str">
        <f>IFERROR(__xludf.DUMMYFUNCTION("IF(COUNTA(C209:C1350)=0,"""",IF(ISBLANK(C209),FALSE,IF(NOT(COUNTIF($AA$24:$AA$34,SUBSTITUTE(C209,""Sell_"",""""))),1,IF(REGEXMATCH(C209,""Sell_""),IF(COUNTIF(C$4:C209,SUBSTITUTE(C209,""Sell_"",""""))-COUNTIF(C$4:C208,C209)&lt;1,1),FALSE))))"),"")</f>
        <v/>
      </c>
      <c r="E209" s="59" t="str">
        <f t="array" ref="E209">IF(COUNTA(C209:C1350)=0,"",SUM((COUNTIF(C$4:C209,Upgrades!$B$3:$B$13)-COUNTIF(C$4:C209,"Sell_"&amp;Upgrades!$B$3:$B$13))*Upgrades!$D$3:$D$13))</f>
        <v/>
      </c>
      <c r="F209" s="66" t="str">
        <f>IFERROR(__xludf.DUMMYFUNCTION("IF(COUNTA(C209:C1350)=0,"""",IF(REGEXMATCH(INDEX(FILTER(C$4:C209,C$4:C209&lt;&gt;""""),ROWS(FILTER(C$4:C209,C$4:C209&lt;&gt;""""))),""^Sell_""),INDEX(FILTER(F$4:F208,C$4:C208&lt;&gt;""""),ROWS(FILTER(C$4:C208,C$4:C208&lt;&gt;""""))),$AC$5+E209))"),"")</f>
        <v/>
      </c>
      <c r="G209" s="10" t="str">
        <f>IFERROR(__xludf.DUMMYFUNCTION("IF(COUNTA(C209:C1350)=0,"""",IF(C209="""",0,IF(REGEXMATCH(C209,""^Sell_""),-ROUNDDOWN(ROUNDUP(INDEX(Upgrades!$C$3:$C$13,MATCH(SUBSTITUTE(C209,""Sell_"",""""),Upgrades!$B$3:$B$13,0))*1.15^(COUNTIF(C$4:C208,SUBSTITUTE(C209,""Sell_"",""""))-COUNTIF(C$4:C208,"&amp;"""Sell_""&amp;SUBSTITUTE(C209,""Sell_"",""""))))/2),ROUNDUP(INDEX(Upgrades!$C$3:$C$13,MATCH(C209,Upgrades!$B$3:$B$13,0))*1.15^(COUNTIF(C$4:C208,C209)-COUNTIF(C$4:C208,""Sell_""&amp;C209))))))"),"")</f>
        <v/>
      </c>
      <c r="H209" s="10" t="str">
        <f t="shared" si="3"/>
        <v/>
      </c>
      <c r="I209" s="68" t="str">
        <f t="shared" si="4"/>
        <v/>
      </c>
      <c r="J209" s="59" t="str">
        <f t="shared" si="5"/>
        <v/>
      </c>
      <c r="K209" s="69" t="str">
        <f t="shared" si="6"/>
        <v/>
      </c>
      <c r="L209" s="60">
        <f t="shared" si="7"/>
        <v>-152.24623</v>
      </c>
      <c r="M209" s="61">
        <f>IFERROR(__xludf.DUMMYFUNCTION("IFS(AND(COUNTA(C209:C1350)=0,COUNTA(Q209:Q1350)=0),"""",OR(AND(K209&gt;=1000000000,OR(Y209&gt;=1000000000,COUNTA(Q209:Q1350)=0)),OR(Y209&gt;=1000000000,AND(COUNTA(C209:C1350)=0,P$3=TRUE))),
ROUNDDOWN((AB$1-AC$1)*MAX(INDEX(T$4:T1350,MATCH(LARGE(FILTER(Y$4:Y1350,Y$4"&amp;":Y1350&lt;1000000000),1),Y$4:Y1350)),INDEX(F$4:F1350,MATCH(LARGE(FILTER(K$4:K1350,K$4:K1350&lt;1000000000),1),K$4:K1350)))),AND(K209&lt;1000000000,COUNTA(C209:C1350)&gt;0,P$3=FALSE),
ROUNDDOWN(INDEX(Y$4:Y1350,MATCH(LARGE(FILTER(W$4:W1350,W$4:W1350&lt;=I209),1),W$4:W1350"&amp;"))+(I209-LARGE(FILTER(W$4:W1350,W$4:W1350&lt;=I209),1))*INDEX(T$4:T1350,MATCH(LARGE(FILTER(W$4:W1350,W$4:W1350&lt;=I209),1),W$4:W1350))-K209),1,
ROUNDDOWN(Y209-INDEX(K$4:K1350,MATCH(LARGE(FILTER(I$4:I1350,I$4:I1350&lt;=W209),1),I$4:I1350))-(W209-LARGE(FILTER(I$4:I"&amp;"1350,I$4:I1350&lt;=W209),1))*INDEX(F$4:F1350,MATCH(LARGE(FILTER(I$4:I1350,I$4:I1350&lt;=W209),1),I$4:I1350))))"),1.6198681E7)</f>
        <v>16198681</v>
      </c>
      <c r="N209" s="60">
        <f t="shared" si="8"/>
        <v>-152.24623</v>
      </c>
      <c r="O209" s="61" t="str">
        <f t="shared" si="9"/>
        <v>16,2M</v>
      </c>
      <c r="P209" s="56">
        <f t="shared" si="10"/>
        <v>23</v>
      </c>
      <c r="Q209" s="105" t="s">
        <v>59</v>
      </c>
      <c r="R209" s="10" t="b">
        <f>IFERROR(__xludf.DUMMYFUNCTION("IF(COUNTA(Q209:Q1350)=0,"""",IF(ISBLANK(Q209),FALSE,IF(NOT(COUNTIF($AA$24:$AA$34,SUBSTITUTE(Q209,""Sell_"",""""))),1,IF(REGEXMATCH(Q209,""Sell_""),IF(COUNTIF(Q$4:Q209,SUBSTITUTE(Q209,""Sell_"",""""))-COUNTIF(Q$4:Q208,Q209)&lt;1,1),FALSE))))"),FALSE)</f>
        <v>0</v>
      </c>
      <c r="S209" s="59">
        <f t="array" ref="S209">IF(COUNTA(Q209:Q1350)=0,"",SUM((COUNTIF(Q$4:Q209,Upgrades!$B$3:$B$13)-COUNTIF(Q$4:Q209,"Sell_"&amp;Upgrades!$B$3:$B$13))*Upgrades!$D$3:$D$13))</f>
        <v>105995</v>
      </c>
      <c r="T209" s="66">
        <f>IFERROR(__xludf.DUMMYFUNCTION("IF(COUNTA(Q209:Q1350)=0,"""",IF(REGEXMATCH(INDEX(FILTER(Q$4:Q209,Q$4:Q209&lt;&gt;""""),ROWS(FILTER(Q$4:Q209,Q$4:Q209&lt;&gt;""""))),""^Sell_""),INDEX(FILTER(T$4:T208,Q$4:Q208&lt;&gt;""""),ROWS(FILTER(Q$4:Q208,Q$4:Q208&lt;&gt;""""))),$AD$5+S209))"),113441.0)</f>
        <v>113441</v>
      </c>
      <c r="U209" s="10">
        <f>IFERROR(__xludf.DUMMYFUNCTION("IF(COUNTA(Q209:Q1350)=0,"""",IF(Q209="""",0,IF(REGEXMATCH(Q209,""^Sell_""),-ROUNDDOWN(ROUNDUP(INDEX(Upgrades!$C$3:$C$13,MATCH(SUBSTITUTE(Q209,""Sell_"",""""),Upgrades!$B$3:$B$13,0))*1.15^(COUNTIF(Q$4:Q208,SUBSTITUTE(Q209,""Sell_"",""""))-COUNTIF(Q$4:Q208,"&amp;"""Sell_""&amp;SUBSTITUTE(Q209,""Sell_"",""""))))/2),ROUNDUP(INDEX(Upgrades!$C$3:$C$13,MATCH(Q209,Upgrades!$B$3:$B$13,0))*1.15^(COUNTIF(Q$4:Q208,Q209)-COUNTIF(Q$4:Q208,""Sell_""&amp;Q209))))))"),-40685.0)</f>
        <v>-40685</v>
      </c>
      <c r="V209" s="10">
        <f t="shared" si="11"/>
        <v>-8473782</v>
      </c>
      <c r="W209" s="68">
        <f t="shared" si="12"/>
        <v>3545.704845</v>
      </c>
      <c r="X209" s="59" t="str">
        <f t="shared" si="13"/>
        <v>59m 05s</v>
      </c>
      <c r="Y209" s="69">
        <f t="shared" si="14"/>
        <v>100625440</v>
      </c>
      <c r="Z209" s="11"/>
    </row>
    <row r="210">
      <c r="A210" s="8"/>
      <c r="B210" s="56" t="str">
        <f t="shared" si="2"/>
        <v/>
      </c>
      <c r="C210" s="57"/>
      <c r="D210" s="10" t="str">
        <f>IFERROR(__xludf.DUMMYFUNCTION("IF(COUNTA(C210:C1350)=0,"""",IF(ISBLANK(C210),FALSE,IF(NOT(COUNTIF($AA$24:$AA$34,SUBSTITUTE(C210,""Sell_"",""""))),1,IF(REGEXMATCH(C210,""Sell_""),IF(COUNTIF(C$4:C210,SUBSTITUTE(C210,""Sell_"",""""))-COUNTIF(C$4:C209,C210)&lt;1,1),FALSE))))"),"")</f>
        <v/>
      </c>
      <c r="E210" s="59" t="str">
        <f t="array" ref="E210">IF(COUNTA(C210:C1350)=0,"",SUM((COUNTIF(C$4:C210,Upgrades!$B$3:$B$13)-COUNTIF(C$4:C210,"Sell_"&amp;Upgrades!$B$3:$B$13))*Upgrades!$D$3:$D$13))</f>
        <v/>
      </c>
      <c r="F210" s="66" t="str">
        <f>IFERROR(__xludf.DUMMYFUNCTION("IF(COUNTA(C210:C1350)=0,"""",IF(REGEXMATCH(INDEX(FILTER(C$4:C210,C$4:C210&lt;&gt;""""),ROWS(FILTER(C$4:C210,C$4:C210&lt;&gt;""""))),""^Sell_""),INDEX(FILTER(F$4:F209,C$4:C209&lt;&gt;""""),ROWS(FILTER(C$4:C209,C$4:C209&lt;&gt;""""))),$AC$5+E210))"),"")</f>
        <v/>
      </c>
      <c r="G210" s="10" t="str">
        <f>IFERROR(__xludf.DUMMYFUNCTION("IF(COUNTA(C210:C1350)=0,"""",IF(C210="""",0,IF(REGEXMATCH(C210,""^Sell_""),-ROUNDDOWN(ROUNDUP(INDEX(Upgrades!$C$3:$C$13,MATCH(SUBSTITUTE(C210,""Sell_"",""""),Upgrades!$B$3:$B$13,0))*1.15^(COUNTIF(C$4:C209,SUBSTITUTE(C210,""Sell_"",""""))-COUNTIF(C$4:C209,"&amp;"""Sell_""&amp;SUBSTITUTE(C210,""Sell_"",""""))))/2),ROUNDUP(INDEX(Upgrades!$C$3:$C$13,MATCH(C210,Upgrades!$B$3:$B$13,0))*1.15^(COUNTIF(C$4:C209,C210)-COUNTIF(C$4:C209,""Sell_""&amp;C210))))))"),"")</f>
        <v/>
      </c>
      <c r="H210" s="10" t="str">
        <f t="shared" si="3"/>
        <v/>
      </c>
      <c r="I210" s="68" t="str">
        <f t="shared" si="4"/>
        <v/>
      </c>
      <c r="J210" s="59" t="str">
        <f t="shared" si="5"/>
        <v/>
      </c>
      <c r="K210" s="69" t="str">
        <f t="shared" si="6"/>
        <v/>
      </c>
      <c r="L210" s="60">
        <f t="shared" si="7"/>
        <v>-152.24623</v>
      </c>
      <c r="M210" s="61">
        <f>IFERROR(__xludf.DUMMYFUNCTION("IFS(AND(COUNTA(C210:C1350)=0,COUNTA(Q210:Q1350)=0),"""",OR(AND(K210&gt;=1000000000,OR(Y210&gt;=1000000000,COUNTA(Q210:Q1350)=0)),OR(Y210&gt;=1000000000,AND(COUNTA(C210:C1350)=0,P$3=TRUE))),
ROUNDDOWN((AB$1-AC$1)*MAX(INDEX(T$4:T1350,MATCH(LARGE(FILTER(Y$4:Y1350,Y$4"&amp;":Y1350&lt;1000000000),1),Y$4:Y1350)),INDEX(F$4:F1350,MATCH(LARGE(FILTER(K$4:K1350,K$4:K1350&lt;1000000000),1),K$4:K1350)))),AND(K210&lt;1000000000,COUNTA(C210:C1350)&gt;0,P$3=FALSE),
ROUNDDOWN(INDEX(Y$4:Y1350,MATCH(LARGE(FILTER(W$4:W1350,W$4:W1350&lt;=I210),1),W$4:W1350"&amp;"))+(I210-LARGE(FILTER(W$4:W1350,W$4:W1350&lt;=I210),1))*INDEX(T$4:T1350,MATCH(LARGE(FILTER(W$4:W1350,W$4:W1350&lt;=I210),1),W$4:W1350))-K210),1,
ROUNDDOWN(Y210-INDEX(K$4:K1350,MATCH(LARGE(FILTER(I$4:I1350,I$4:I1350&lt;=W210),1),I$4:I1350))-(W210-LARGE(FILTER(I$4:I"&amp;"1350,I$4:I1350&lt;=W210),1))*INDEX(F$4:F1350,MATCH(LARGE(FILTER(I$4:I1350,I$4:I1350&lt;=W210),1),I$4:I1350))))"),1.6198681E7)</f>
        <v>16198681</v>
      </c>
      <c r="N210" s="60">
        <f t="shared" si="8"/>
        <v>-152.24623</v>
      </c>
      <c r="O210" s="61" t="str">
        <f t="shared" si="9"/>
        <v>16,2M</v>
      </c>
      <c r="P210" s="56">
        <f t="shared" si="10"/>
        <v>12</v>
      </c>
      <c r="Q210" s="105" t="s">
        <v>61</v>
      </c>
      <c r="R210" s="10" t="b">
        <f>IFERROR(__xludf.DUMMYFUNCTION("IF(COUNTA(Q210:Q1350)=0,"""",IF(ISBLANK(Q210),FALSE,IF(NOT(COUNTIF($AA$24:$AA$34,SUBSTITUTE(Q210,""Sell_"",""""))),1,IF(REGEXMATCH(Q210,""Sell_""),IF(COUNTIF(Q$4:Q210,SUBSTITUTE(Q210,""Sell_"",""""))-COUNTIF(Q$4:Q209,Q210)&lt;1,1),FALSE))))"),FALSE)</f>
        <v>0</v>
      </c>
      <c r="S210" s="59">
        <f t="array" ref="S210">IF(COUNTA(Q210:Q1350)=0,"",SUM((COUNTIF(Q$4:Q210,Upgrades!$B$3:$B$13)-COUNTIF(Q$4:Q210,"Sell_"&amp;Upgrades!$B$3:$B$13))*Upgrades!$D$3:$D$13))</f>
        <v>105895</v>
      </c>
      <c r="T210" s="66">
        <f>IFERROR(__xludf.DUMMYFUNCTION("IF(COUNTA(Q210:Q1350)=0,"""",IF(REGEXMATCH(INDEX(FILTER(Q$4:Q210,Q$4:Q210&lt;&gt;""""),ROWS(FILTER(Q$4:Q210,Q$4:Q210&lt;&gt;""""))),""^Sell_""),INDEX(FILTER(T$4:T209,Q$4:Q209&lt;&gt;""""),ROWS(FILTER(Q$4:Q209,Q$4:Q209&lt;&gt;""""))),$AD$5+S210))"),113441.0)</f>
        <v>113441</v>
      </c>
      <c r="U210" s="10">
        <f>IFERROR(__xludf.DUMMYFUNCTION("IF(COUNTA(Q210:Q1350)=0,"""",IF(Q210="""",0,IF(REGEXMATCH(Q210,""^Sell_""),-ROUNDDOWN(ROUNDUP(INDEX(Upgrades!$C$3:$C$13,MATCH(SUBSTITUTE(Q210,""Sell_"",""""),Upgrades!$B$3:$B$13,0))*1.15^(COUNTIF(Q$4:Q209,SUBSTITUTE(Q210,""Sell_"",""""))-COUNTIF(Q$4:Q209,"&amp;"""Sell_""&amp;SUBSTITUTE(Q210,""Sell_"",""""))))/2),ROUNDUP(INDEX(Upgrades!$C$3:$C$13,MATCH(Q210,Upgrades!$B$3:$B$13,0))*1.15^(COUNTIF(Q$4:Q209,Q210)-COUNTIF(Q$4:Q209,""Sell_""&amp;Q210))))))"),-107005.0)</f>
        <v>-107005</v>
      </c>
      <c r="V210" s="10">
        <f t="shared" si="11"/>
        <v>-8580787</v>
      </c>
      <c r="W210" s="68">
        <f t="shared" si="12"/>
        <v>3545.704845</v>
      </c>
      <c r="X210" s="59" t="str">
        <f t="shared" si="13"/>
        <v>59m 05s</v>
      </c>
      <c r="Y210" s="69">
        <f t="shared" si="14"/>
        <v>100625440</v>
      </c>
      <c r="Z210" s="11"/>
    </row>
    <row r="211">
      <c r="A211" s="8"/>
      <c r="B211" s="56" t="str">
        <f t="shared" si="2"/>
        <v/>
      </c>
      <c r="C211" s="57"/>
      <c r="D211" s="10" t="str">
        <f>IFERROR(__xludf.DUMMYFUNCTION("IF(COUNTA(C211:C1350)=0,"""",IF(ISBLANK(C211),FALSE,IF(NOT(COUNTIF($AA$24:$AA$34,SUBSTITUTE(C211,""Sell_"",""""))),1,IF(REGEXMATCH(C211,""Sell_""),IF(COUNTIF(C$4:C211,SUBSTITUTE(C211,""Sell_"",""""))-COUNTIF(C$4:C210,C211)&lt;1,1),FALSE))))"),"")</f>
        <v/>
      </c>
      <c r="E211" s="59" t="str">
        <f t="array" ref="E211">IF(COUNTA(C211:C1350)=0,"",SUM((COUNTIF(C$4:C211,Upgrades!$B$3:$B$13)-COUNTIF(C$4:C211,"Sell_"&amp;Upgrades!$B$3:$B$13))*Upgrades!$D$3:$D$13))</f>
        <v/>
      </c>
      <c r="F211" s="66" t="str">
        <f>IFERROR(__xludf.DUMMYFUNCTION("IF(COUNTA(C211:C1350)=0,"""",IF(REGEXMATCH(INDEX(FILTER(C$4:C211,C$4:C211&lt;&gt;""""),ROWS(FILTER(C$4:C211,C$4:C211&lt;&gt;""""))),""^Sell_""),INDEX(FILTER(F$4:F210,C$4:C210&lt;&gt;""""),ROWS(FILTER(C$4:C210,C$4:C210&lt;&gt;""""))),$AC$5+E211))"),"")</f>
        <v/>
      </c>
      <c r="G211" s="10" t="str">
        <f>IFERROR(__xludf.DUMMYFUNCTION("IF(COUNTA(C211:C1350)=0,"""",IF(C211="""",0,IF(REGEXMATCH(C211,""^Sell_""),-ROUNDDOWN(ROUNDUP(INDEX(Upgrades!$C$3:$C$13,MATCH(SUBSTITUTE(C211,""Sell_"",""""),Upgrades!$B$3:$B$13,0))*1.15^(COUNTIF(C$4:C210,SUBSTITUTE(C211,""Sell_"",""""))-COUNTIF(C$4:C210,"&amp;"""Sell_""&amp;SUBSTITUTE(C211,""Sell_"",""""))))/2),ROUNDUP(INDEX(Upgrades!$C$3:$C$13,MATCH(C211,Upgrades!$B$3:$B$13,0))*1.15^(COUNTIF(C$4:C210,C211)-COUNTIF(C$4:C210,""Sell_""&amp;C211))))))"),"")</f>
        <v/>
      </c>
      <c r="H211" s="10" t="str">
        <f t="shared" si="3"/>
        <v/>
      </c>
      <c r="I211" s="68" t="str">
        <f t="shared" si="4"/>
        <v/>
      </c>
      <c r="J211" s="59" t="str">
        <f t="shared" si="5"/>
        <v/>
      </c>
      <c r="K211" s="69" t="str">
        <f t="shared" si="6"/>
        <v/>
      </c>
      <c r="L211" s="60">
        <f t="shared" si="7"/>
        <v>-152.24623</v>
      </c>
      <c r="M211" s="61">
        <f>IFERROR(__xludf.DUMMYFUNCTION("IFS(AND(COUNTA(C211:C1350)=0,COUNTA(Q211:Q1350)=0),"""",OR(AND(K211&gt;=1000000000,OR(Y211&gt;=1000000000,COUNTA(Q211:Q1350)=0)),OR(Y211&gt;=1000000000,AND(COUNTA(C211:C1350)=0,P$3=TRUE))),
ROUNDDOWN((AB$1-AC$1)*MAX(INDEX(T$4:T1350,MATCH(LARGE(FILTER(Y$4:Y1350,Y$4"&amp;":Y1350&lt;1000000000),1),Y$4:Y1350)),INDEX(F$4:F1350,MATCH(LARGE(FILTER(K$4:K1350,K$4:K1350&lt;1000000000),1),K$4:K1350)))),AND(K211&lt;1000000000,COUNTA(C211:C1350)&gt;0,P$3=FALSE),
ROUNDDOWN(INDEX(Y$4:Y1350,MATCH(LARGE(FILTER(W$4:W1350,W$4:W1350&lt;=I211),1),W$4:W1350"&amp;"))+(I211-LARGE(FILTER(W$4:W1350,W$4:W1350&lt;=I211),1))*INDEX(T$4:T1350,MATCH(LARGE(FILTER(W$4:W1350,W$4:W1350&lt;=I211),1),W$4:W1350))-K211),1,
ROUNDDOWN(Y211-INDEX(K$4:K1350,MATCH(LARGE(FILTER(I$4:I1350,I$4:I1350&lt;=W211),1),I$4:I1350))-(W211-LARGE(FILTER(I$4:I"&amp;"1350,I$4:I1350&lt;=W211),1))*INDEX(F$4:F1350,MATCH(LARGE(FILTER(I$4:I1350,I$4:I1350&lt;=W211),1),I$4:I1350))))"),1.6198681E7)</f>
        <v>16198681</v>
      </c>
      <c r="N211" s="60">
        <f t="shared" si="8"/>
        <v>-152.24623</v>
      </c>
      <c r="O211" s="61" t="str">
        <f t="shared" si="9"/>
        <v>16,2M</v>
      </c>
      <c r="P211" s="56">
        <f t="shared" si="10"/>
        <v>24</v>
      </c>
      <c r="Q211" s="105" t="s">
        <v>59</v>
      </c>
      <c r="R211" s="10" t="b">
        <f>IFERROR(__xludf.DUMMYFUNCTION("IF(COUNTA(Q211:Q1350)=0,"""",IF(ISBLANK(Q211),FALSE,IF(NOT(COUNTIF($AA$24:$AA$34,SUBSTITUTE(Q211,""Sell_"",""""))),1,IF(REGEXMATCH(Q211,""Sell_""),IF(COUNTIF(Q$4:Q211,SUBSTITUTE(Q211,""Sell_"",""""))-COUNTIF(Q$4:Q210,Q211)&lt;1,1),FALSE))))"),FALSE)</f>
        <v>0</v>
      </c>
      <c r="S211" s="59">
        <f t="array" ref="S211">IF(COUNTA(Q211:Q1350)=0,"",SUM((COUNTIF(Q$4:Q211,Upgrades!$B$3:$B$13)-COUNTIF(Q$4:Q211,"Sell_"&amp;Upgrades!$B$3:$B$13))*Upgrades!$D$3:$D$13))</f>
        <v>105855</v>
      </c>
      <c r="T211" s="66">
        <f>IFERROR(__xludf.DUMMYFUNCTION("IF(COUNTA(Q211:Q1350)=0,"""",IF(REGEXMATCH(INDEX(FILTER(Q$4:Q211,Q$4:Q211&lt;&gt;""""),ROWS(FILTER(Q$4:Q211,Q$4:Q211&lt;&gt;""""))),""^Sell_""),INDEX(FILTER(T$4:T210,Q$4:Q210&lt;&gt;""""),ROWS(FILTER(Q$4:Q210,Q$4:Q210&lt;&gt;""""))),$AD$5+S211))"),113441.0)</f>
        <v>113441</v>
      </c>
      <c r="U211" s="10">
        <f>IFERROR(__xludf.DUMMYFUNCTION("IF(COUNTA(Q211:Q1350)=0,"""",IF(Q211="""",0,IF(REGEXMATCH(Q211,""^Sell_""),-ROUNDDOWN(ROUNDUP(INDEX(Upgrades!$C$3:$C$13,MATCH(SUBSTITUTE(Q211,""Sell_"",""""),Upgrades!$B$3:$B$13,0))*1.15^(COUNTIF(Q$4:Q210,SUBSTITUTE(Q211,""Sell_"",""""))-COUNTIF(Q$4:Q210,"&amp;"""Sell_""&amp;SUBSTITUTE(Q211,""Sell_"",""""))))/2),ROUNDUP(INDEX(Upgrades!$C$3:$C$13,MATCH(Q211,Upgrades!$B$3:$B$13,0))*1.15^(COUNTIF(Q$4:Q210,Q211)-COUNTIF(Q$4:Q210,""Sell_""&amp;Q211))))))"),-35379.0)</f>
        <v>-35379</v>
      </c>
      <c r="V211" s="10">
        <f t="shared" si="11"/>
        <v>-8616166</v>
      </c>
      <c r="W211" s="68">
        <f t="shared" si="12"/>
        <v>3545.704845</v>
      </c>
      <c r="X211" s="59" t="str">
        <f t="shared" si="13"/>
        <v>59m 05s</v>
      </c>
      <c r="Y211" s="69">
        <f t="shared" si="14"/>
        <v>100625440</v>
      </c>
      <c r="Z211" s="11"/>
    </row>
    <row r="212">
      <c r="A212" s="8"/>
      <c r="B212" s="56" t="str">
        <f t="shared" si="2"/>
        <v/>
      </c>
      <c r="C212" s="57"/>
      <c r="D212" s="10" t="str">
        <f>IFERROR(__xludf.DUMMYFUNCTION("IF(COUNTA(C212:C1350)=0,"""",IF(ISBLANK(C212),FALSE,IF(NOT(COUNTIF($AA$24:$AA$34,SUBSTITUTE(C212,""Sell_"",""""))),1,IF(REGEXMATCH(C212,""Sell_""),IF(COUNTIF(C$4:C212,SUBSTITUTE(C212,""Sell_"",""""))-COUNTIF(C$4:C211,C212)&lt;1,1),FALSE))))"),"")</f>
        <v/>
      </c>
      <c r="E212" s="59" t="str">
        <f t="array" ref="E212">IF(COUNTA(C212:C1350)=0,"",SUM((COUNTIF(C$4:C212,Upgrades!$B$3:$B$13)-COUNTIF(C$4:C212,"Sell_"&amp;Upgrades!$B$3:$B$13))*Upgrades!$D$3:$D$13))</f>
        <v/>
      </c>
      <c r="F212" s="66" t="str">
        <f>IFERROR(__xludf.DUMMYFUNCTION("IF(COUNTA(C212:C1350)=0,"""",IF(REGEXMATCH(INDEX(FILTER(C$4:C212,C$4:C212&lt;&gt;""""),ROWS(FILTER(C$4:C212,C$4:C212&lt;&gt;""""))),""^Sell_""),INDEX(FILTER(F$4:F211,C$4:C211&lt;&gt;""""),ROWS(FILTER(C$4:C211,C$4:C211&lt;&gt;""""))),$AC$5+E212))"),"")</f>
        <v/>
      </c>
      <c r="G212" s="10" t="str">
        <f>IFERROR(__xludf.DUMMYFUNCTION("IF(COUNTA(C212:C1350)=0,"""",IF(C212="""",0,IF(REGEXMATCH(C212,""^Sell_""),-ROUNDDOWN(ROUNDUP(INDEX(Upgrades!$C$3:$C$13,MATCH(SUBSTITUTE(C212,""Sell_"",""""),Upgrades!$B$3:$B$13,0))*1.15^(COUNTIF(C$4:C211,SUBSTITUTE(C212,""Sell_"",""""))-COUNTIF(C$4:C211,"&amp;"""Sell_""&amp;SUBSTITUTE(C212,""Sell_"",""""))))/2),ROUNDUP(INDEX(Upgrades!$C$3:$C$13,MATCH(C212,Upgrades!$B$3:$B$13,0))*1.15^(COUNTIF(C$4:C211,C212)-COUNTIF(C$4:C211,""Sell_""&amp;C212))))))"),"")</f>
        <v/>
      </c>
      <c r="H212" s="10" t="str">
        <f t="shared" si="3"/>
        <v/>
      </c>
      <c r="I212" s="68" t="str">
        <f t="shared" si="4"/>
        <v/>
      </c>
      <c r="J212" s="59" t="str">
        <f t="shared" si="5"/>
        <v/>
      </c>
      <c r="K212" s="69" t="str">
        <f t="shared" si="6"/>
        <v/>
      </c>
      <c r="L212" s="60">
        <f t="shared" si="7"/>
        <v>-152.24623</v>
      </c>
      <c r="M212" s="61">
        <f>IFERROR(__xludf.DUMMYFUNCTION("IFS(AND(COUNTA(C212:C1350)=0,COUNTA(Q212:Q1350)=0),"""",OR(AND(K212&gt;=1000000000,OR(Y212&gt;=1000000000,COUNTA(Q212:Q1350)=0)),OR(Y212&gt;=1000000000,AND(COUNTA(C212:C1350)=0,P$3=TRUE))),
ROUNDDOWN((AB$1-AC$1)*MAX(INDEX(T$4:T1350,MATCH(LARGE(FILTER(Y$4:Y1350,Y$4"&amp;":Y1350&lt;1000000000),1),Y$4:Y1350)),INDEX(F$4:F1350,MATCH(LARGE(FILTER(K$4:K1350,K$4:K1350&lt;1000000000),1),K$4:K1350)))),AND(K212&lt;1000000000,COUNTA(C212:C1350)&gt;0,P$3=FALSE),
ROUNDDOWN(INDEX(Y$4:Y1350,MATCH(LARGE(FILTER(W$4:W1350,W$4:W1350&lt;=I212),1),W$4:W1350"&amp;"))+(I212-LARGE(FILTER(W$4:W1350,W$4:W1350&lt;=I212),1))*INDEX(T$4:T1350,MATCH(LARGE(FILTER(W$4:W1350,W$4:W1350&lt;=I212),1),W$4:W1350))-K212),1,
ROUNDDOWN(Y212-INDEX(K$4:K1350,MATCH(LARGE(FILTER(I$4:I1350,I$4:I1350&lt;=W212),1),I$4:I1350))-(W212-LARGE(FILTER(I$4:I"&amp;"1350,I$4:I1350&lt;=W212),1))*INDEX(F$4:F1350,MATCH(LARGE(FILTER(I$4:I1350,I$4:I1350&lt;=W212),1),I$4:I1350))))"),1.6198681E7)</f>
        <v>16198681</v>
      </c>
      <c r="N212" s="60">
        <f t="shared" si="8"/>
        <v>-152.24623</v>
      </c>
      <c r="O212" s="61" t="str">
        <f t="shared" si="9"/>
        <v>16,2M</v>
      </c>
      <c r="P212" s="56">
        <f t="shared" si="10"/>
        <v>25</v>
      </c>
      <c r="Q212" s="105" t="s">
        <v>59</v>
      </c>
      <c r="R212" s="10" t="b">
        <f>IFERROR(__xludf.DUMMYFUNCTION("IF(COUNTA(Q212:Q1350)=0,"""",IF(ISBLANK(Q212),FALSE,IF(NOT(COUNTIF($AA$24:$AA$34,SUBSTITUTE(Q212,""Sell_"",""""))),1,IF(REGEXMATCH(Q212,""Sell_""),IF(COUNTIF(Q$4:Q212,SUBSTITUTE(Q212,""Sell_"",""""))-COUNTIF(Q$4:Q211,Q212)&lt;1,1),FALSE))))"),FALSE)</f>
        <v>0</v>
      </c>
      <c r="S212" s="59">
        <f t="array" ref="S212">IF(COUNTA(Q212:Q1350)=0,"",SUM((COUNTIF(Q$4:Q212,Upgrades!$B$3:$B$13)-COUNTIF(Q$4:Q212,"Sell_"&amp;Upgrades!$B$3:$B$13))*Upgrades!$D$3:$D$13))</f>
        <v>105815</v>
      </c>
      <c r="T212" s="66">
        <f>IFERROR(__xludf.DUMMYFUNCTION("IF(COUNTA(Q212:Q1350)=0,"""",IF(REGEXMATCH(INDEX(FILTER(Q$4:Q212,Q$4:Q212&lt;&gt;""""),ROWS(FILTER(Q$4:Q212,Q$4:Q212&lt;&gt;""""))),""^Sell_""),INDEX(FILTER(T$4:T211,Q$4:Q211&lt;&gt;""""),ROWS(FILTER(Q$4:Q211,Q$4:Q211&lt;&gt;""""))),$AD$5+S212))"),113441.0)</f>
        <v>113441</v>
      </c>
      <c r="U212" s="10">
        <f>IFERROR(__xludf.DUMMYFUNCTION("IF(COUNTA(Q212:Q1350)=0,"""",IF(Q212="""",0,IF(REGEXMATCH(Q212,""^Sell_""),-ROUNDDOWN(ROUNDUP(INDEX(Upgrades!$C$3:$C$13,MATCH(SUBSTITUTE(Q212,""Sell_"",""""),Upgrades!$B$3:$B$13,0))*1.15^(COUNTIF(Q$4:Q211,SUBSTITUTE(Q212,""Sell_"",""""))-COUNTIF(Q$4:Q211,"&amp;"""Sell_""&amp;SUBSTITUTE(Q212,""Sell_"",""""))))/2),ROUNDUP(INDEX(Upgrades!$C$3:$C$13,MATCH(Q212,Upgrades!$B$3:$B$13,0))*1.15^(COUNTIF(Q$4:Q211,Q212)-COUNTIF(Q$4:Q211,""Sell_""&amp;Q212))))))"),-30764.0)</f>
        <v>-30764</v>
      </c>
      <c r="V212" s="10">
        <f t="shared" si="11"/>
        <v>-8646930</v>
      </c>
      <c r="W212" s="68">
        <f t="shared" si="12"/>
        <v>3545.704845</v>
      </c>
      <c r="X212" s="59" t="str">
        <f t="shared" si="13"/>
        <v>59m 05s</v>
      </c>
      <c r="Y212" s="69">
        <f t="shared" si="14"/>
        <v>100625440</v>
      </c>
      <c r="Z212" s="11"/>
    </row>
    <row r="213">
      <c r="A213" s="8"/>
      <c r="B213" s="56" t="str">
        <f t="shared" si="2"/>
        <v/>
      </c>
      <c r="C213" s="57"/>
      <c r="D213" s="10" t="str">
        <f>IFERROR(__xludf.DUMMYFUNCTION("IF(COUNTA(C213:C1350)=0,"""",IF(ISBLANK(C213),FALSE,IF(NOT(COUNTIF($AA$24:$AA$34,SUBSTITUTE(C213,""Sell_"",""""))),1,IF(REGEXMATCH(C213,""Sell_""),IF(COUNTIF(C$4:C213,SUBSTITUTE(C213,""Sell_"",""""))-COUNTIF(C$4:C212,C213)&lt;1,1),FALSE))))"),"")</f>
        <v/>
      </c>
      <c r="E213" s="59" t="str">
        <f t="array" ref="E213">IF(COUNTA(C213:C1350)=0,"",SUM((COUNTIF(C$4:C213,Upgrades!$B$3:$B$13)-COUNTIF(C$4:C213,"Sell_"&amp;Upgrades!$B$3:$B$13))*Upgrades!$D$3:$D$13))</f>
        <v/>
      </c>
      <c r="F213" s="66" t="str">
        <f>IFERROR(__xludf.DUMMYFUNCTION("IF(COUNTA(C213:C1350)=0,"""",IF(REGEXMATCH(INDEX(FILTER(C$4:C213,C$4:C213&lt;&gt;""""),ROWS(FILTER(C$4:C213,C$4:C213&lt;&gt;""""))),""^Sell_""),INDEX(FILTER(F$4:F212,C$4:C212&lt;&gt;""""),ROWS(FILTER(C$4:C212,C$4:C212&lt;&gt;""""))),$AC$5+E213))"),"")</f>
        <v/>
      </c>
      <c r="G213" s="10" t="str">
        <f>IFERROR(__xludf.DUMMYFUNCTION("IF(COUNTA(C213:C1350)=0,"""",IF(C213="""",0,IF(REGEXMATCH(C213,""^Sell_""),-ROUNDDOWN(ROUNDUP(INDEX(Upgrades!$C$3:$C$13,MATCH(SUBSTITUTE(C213,""Sell_"",""""),Upgrades!$B$3:$B$13,0))*1.15^(COUNTIF(C$4:C212,SUBSTITUTE(C213,""Sell_"",""""))-COUNTIF(C$4:C212,"&amp;"""Sell_""&amp;SUBSTITUTE(C213,""Sell_"",""""))))/2),ROUNDUP(INDEX(Upgrades!$C$3:$C$13,MATCH(C213,Upgrades!$B$3:$B$13,0))*1.15^(COUNTIF(C$4:C212,C213)-COUNTIF(C$4:C212,""Sell_""&amp;C213))))))"),"")</f>
        <v/>
      </c>
      <c r="H213" s="10" t="str">
        <f t="shared" si="3"/>
        <v/>
      </c>
      <c r="I213" s="68" t="str">
        <f t="shared" si="4"/>
        <v/>
      </c>
      <c r="J213" s="59" t="str">
        <f t="shared" si="5"/>
        <v/>
      </c>
      <c r="K213" s="69" t="str">
        <f t="shared" si="6"/>
        <v/>
      </c>
      <c r="L213" s="60">
        <f t="shared" si="7"/>
        <v>-152.24623</v>
      </c>
      <c r="M213" s="61">
        <f>IFERROR(__xludf.DUMMYFUNCTION("IFS(AND(COUNTA(C213:C1350)=0,COUNTA(Q213:Q1350)=0),"""",OR(AND(K213&gt;=1000000000,OR(Y213&gt;=1000000000,COUNTA(Q213:Q1350)=0)),OR(Y213&gt;=1000000000,AND(COUNTA(C213:C1350)=0,P$3=TRUE))),
ROUNDDOWN((AB$1-AC$1)*MAX(INDEX(T$4:T1350,MATCH(LARGE(FILTER(Y$4:Y1350,Y$4"&amp;":Y1350&lt;1000000000),1),Y$4:Y1350)),INDEX(F$4:F1350,MATCH(LARGE(FILTER(K$4:K1350,K$4:K1350&lt;1000000000),1),K$4:K1350)))),AND(K213&lt;1000000000,COUNTA(C213:C1350)&gt;0,P$3=FALSE),
ROUNDDOWN(INDEX(Y$4:Y1350,MATCH(LARGE(FILTER(W$4:W1350,W$4:W1350&lt;=I213),1),W$4:W1350"&amp;"))+(I213-LARGE(FILTER(W$4:W1350,W$4:W1350&lt;=I213),1))*INDEX(T$4:T1350,MATCH(LARGE(FILTER(W$4:W1350,W$4:W1350&lt;=I213),1),W$4:W1350))-K213),1,
ROUNDDOWN(Y213-INDEX(K$4:K1350,MATCH(LARGE(FILTER(I$4:I1350,I$4:I1350&lt;=W213),1),I$4:I1350))-(W213-LARGE(FILTER(I$4:I"&amp;"1350,I$4:I1350&lt;=W213),1))*INDEX(F$4:F1350,MATCH(LARGE(FILTER(I$4:I1350,I$4:I1350&lt;=W213),1),I$4:I1350))))"),1.6198681E7)</f>
        <v>16198681</v>
      </c>
      <c r="N213" s="60">
        <f t="shared" si="8"/>
        <v>-152.24623</v>
      </c>
      <c r="O213" s="61" t="str">
        <f t="shared" si="9"/>
        <v>16,2M</v>
      </c>
      <c r="P213" s="56">
        <f t="shared" si="10"/>
        <v>26</v>
      </c>
      <c r="Q213" s="105" t="s">
        <v>59</v>
      </c>
      <c r="R213" s="10" t="b">
        <f>IFERROR(__xludf.DUMMYFUNCTION("IF(COUNTA(Q213:Q1350)=0,"""",IF(ISBLANK(Q213),FALSE,IF(NOT(COUNTIF($AA$24:$AA$34,SUBSTITUTE(Q213,""Sell_"",""""))),1,IF(REGEXMATCH(Q213,""Sell_""),IF(COUNTIF(Q$4:Q213,SUBSTITUTE(Q213,""Sell_"",""""))-COUNTIF(Q$4:Q212,Q213)&lt;1,1),FALSE))))"),FALSE)</f>
        <v>0</v>
      </c>
      <c r="S213" s="59">
        <f t="array" ref="S213">IF(COUNTA(Q213:Q1350)=0,"",SUM((COUNTIF(Q$4:Q213,Upgrades!$B$3:$B$13)-COUNTIF(Q$4:Q213,"Sell_"&amp;Upgrades!$B$3:$B$13))*Upgrades!$D$3:$D$13))</f>
        <v>105775</v>
      </c>
      <c r="T213" s="66">
        <f>IFERROR(__xludf.DUMMYFUNCTION("IF(COUNTA(Q213:Q1350)=0,"""",IF(REGEXMATCH(INDEX(FILTER(Q$4:Q213,Q$4:Q213&lt;&gt;""""),ROWS(FILTER(Q$4:Q213,Q$4:Q213&lt;&gt;""""))),""^Sell_""),INDEX(FILTER(T$4:T212,Q$4:Q212&lt;&gt;""""),ROWS(FILTER(Q$4:Q212,Q$4:Q212&lt;&gt;""""))),$AD$5+S213))"),113441.0)</f>
        <v>113441</v>
      </c>
      <c r="U213" s="10">
        <f>IFERROR(__xludf.DUMMYFUNCTION("IF(COUNTA(Q213:Q1350)=0,"""",IF(Q213="""",0,IF(REGEXMATCH(Q213,""^Sell_""),-ROUNDDOWN(ROUNDUP(INDEX(Upgrades!$C$3:$C$13,MATCH(SUBSTITUTE(Q213,""Sell_"",""""),Upgrades!$B$3:$B$13,0))*1.15^(COUNTIF(Q$4:Q212,SUBSTITUTE(Q213,""Sell_"",""""))-COUNTIF(Q$4:Q212,"&amp;"""Sell_""&amp;SUBSTITUTE(Q213,""Sell_"",""""))))/2),ROUNDUP(INDEX(Upgrades!$C$3:$C$13,MATCH(Q213,Upgrades!$B$3:$B$13,0))*1.15^(COUNTIF(Q$4:Q212,Q213)-COUNTIF(Q$4:Q212,""Sell_""&amp;Q213))))))"),-26751.0)</f>
        <v>-26751</v>
      </c>
      <c r="V213" s="10">
        <f t="shared" si="11"/>
        <v>-8673681</v>
      </c>
      <c r="W213" s="68">
        <f t="shared" si="12"/>
        <v>3545.704845</v>
      </c>
      <c r="X213" s="59" t="str">
        <f t="shared" si="13"/>
        <v>59m 05s</v>
      </c>
      <c r="Y213" s="69">
        <f t="shared" si="14"/>
        <v>100625440</v>
      </c>
      <c r="Z213" s="11"/>
    </row>
    <row r="214">
      <c r="A214" s="8"/>
      <c r="B214" s="56" t="str">
        <f t="shared" si="2"/>
        <v/>
      </c>
      <c r="C214" s="57"/>
      <c r="D214" s="10" t="str">
        <f>IFERROR(__xludf.DUMMYFUNCTION("IF(COUNTA(C214:C1350)=0,"""",IF(ISBLANK(C214),FALSE,IF(NOT(COUNTIF($AA$24:$AA$34,SUBSTITUTE(C214,""Sell_"",""""))),1,IF(REGEXMATCH(C214,""Sell_""),IF(COUNTIF(C$4:C214,SUBSTITUTE(C214,""Sell_"",""""))-COUNTIF(C$4:C213,C214)&lt;1,1),FALSE))))"),"")</f>
        <v/>
      </c>
      <c r="E214" s="59" t="str">
        <f t="array" ref="E214">IF(COUNTA(C214:C1350)=0,"",SUM((COUNTIF(C$4:C214,Upgrades!$B$3:$B$13)-COUNTIF(C$4:C214,"Sell_"&amp;Upgrades!$B$3:$B$13))*Upgrades!$D$3:$D$13))</f>
        <v/>
      </c>
      <c r="F214" s="66" t="str">
        <f>IFERROR(__xludf.DUMMYFUNCTION("IF(COUNTA(C214:C1350)=0,"""",IF(REGEXMATCH(INDEX(FILTER(C$4:C214,C$4:C214&lt;&gt;""""),ROWS(FILTER(C$4:C214,C$4:C214&lt;&gt;""""))),""^Sell_""),INDEX(FILTER(F$4:F213,C$4:C213&lt;&gt;""""),ROWS(FILTER(C$4:C213,C$4:C213&lt;&gt;""""))),$AC$5+E214))"),"")</f>
        <v/>
      </c>
      <c r="G214" s="10" t="str">
        <f>IFERROR(__xludf.DUMMYFUNCTION("IF(COUNTA(C214:C1350)=0,"""",IF(C214="""",0,IF(REGEXMATCH(C214,""^Sell_""),-ROUNDDOWN(ROUNDUP(INDEX(Upgrades!$C$3:$C$13,MATCH(SUBSTITUTE(C214,""Sell_"",""""),Upgrades!$B$3:$B$13,0))*1.15^(COUNTIF(C$4:C213,SUBSTITUTE(C214,""Sell_"",""""))-COUNTIF(C$4:C213,"&amp;"""Sell_""&amp;SUBSTITUTE(C214,""Sell_"",""""))))/2),ROUNDUP(INDEX(Upgrades!$C$3:$C$13,MATCH(C214,Upgrades!$B$3:$B$13,0))*1.15^(COUNTIF(C$4:C213,C214)-COUNTIF(C$4:C213,""Sell_""&amp;C214))))))"),"")</f>
        <v/>
      </c>
      <c r="H214" s="10" t="str">
        <f t="shared" si="3"/>
        <v/>
      </c>
      <c r="I214" s="68" t="str">
        <f t="shared" si="4"/>
        <v/>
      </c>
      <c r="J214" s="59" t="str">
        <f t="shared" si="5"/>
        <v/>
      </c>
      <c r="K214" s="69" t="str">
        <f t="shared" si="6"/>
        <v/>
      </c>
      <c r="L214" s="60">
        <f t="shared" si="7"/>
        <v>-152.24623</v>
      </c>
      <c r="M214" s="61">
        <f>IFERROR(__xludf.DUMMYFUNCTION("IFS(AND(COUNTA(C214:C1350)=0,COUNTA(Q214:Q1350)=0),"""",OR(AND(K214&gt;=1000000000,OR(Y214&gt;=1000000000,COUNTA(Q214:Q1350)=0)),OR(Y214&gt;=1000000000,AND(COUNTA(C214:C1350)=0,P$3=TRUE))),
ROUNDDOWN((AB$1-AC$1)*MAX(INDEX(T$4:T1350,MATCH(LARGE(FILTER(Y$4:Y1350,Y$4"&amp;":Y1350&lt;1000000000),1),Y$4:Y1350)),INDEX(F$4:F1350,MATCH(LARGE(FILTER(K$4:K1350,K$4:K1350&lt;1000000000),1),K$4:K1350)))),AND(K214&lt;1000000000,COUNTA(C214:C1350)&gt;0,P$3=FALSE),
ROUNDDOWN(INDEX(Y$4:Y1350,MATCH(LARGE(FILTER(W$4:W1350,W$4:W1350&lt;=I214),1),W$4:W1350"&amp;"))+(I214-LARGE(FILTER(W$4:W1350,W$4:W1350&lt;=I214),1))*INDEX(T$4:T1350,MATCH(LARGE(FILTER(W$4:W1350,W$4:W1350&lt;=I214),1),W$4:W1350))-K214),1,
ROUNDDOWN(Y214-INDEX(K$4:K1350,MATCH(LARGE(FILTER(I$4:I1350,I$4:I1350&lt;=W214),1),I$4:I1350))-(W214-LARGE(FILTER(I$4:I"&amp;"1350,I$4:I1350&lt;=W214),1))*INDEX(F$4:F1350,MATCH(LARGE(FILTER(I$4:I1350,I$4:I1350&lt;=W214),1),I$4:I1350))))"),1.6198681E7)</f>
        <v>16198681</v>
      </c>
      <c r="N214" s="60">
        <f t="shared" si="8"/>
        <v>-152.24623</v>
      </c>
      <c r="O214" s="61" t="str">
        <f t="shared" si="9"/>
        <v>16,2M</v>
      </c>
      <c r="P214" s="56">
        <f t="shared" si="10"/>
        <v>27</v>
      </c>
      <c r="Q214" s="105" t="s">
        <v>59</v>
      </c>
      <c r="R214" s="10" t="b">
        <f>IFERROR(__xludf.DUMMYFUNCTION("IF(COUNTA(Q214:Q1350)=0,"""",IF(ISBLANK(Q214),FALSE,IF(NOT(COUNTIF($AA$24:$AA$34,SUBSTITUTE(Q214,""Sell_"",""""))),1,IF(REGEXMATCH(Q214,""Sell_""),IF(COUNTIF(Q$4:Q214,SUBSTITUTE(Q214,""Sell_"",""""))-COUNTIF(Q$4:Q213,Q214)&lt;1,1),FALSE))))"),FALSE)</f>
        <v>0</v>
      </c>
      <c r="S214" s="59">
        <f t="array" ref="S214">IF(COUNTA(Q214:Q1350)=0,"",SUM((COUNTIF(Q$4:Q214,Upgrades!$B$3:$B$13)-COUNTIF(Q$4:Q214,"Sell_"&amp;Upgrades!$B$3:$B$13))*Upgrades!$D$3:$D$13))</f>
        <v>105735</v>
      </c>
      <c r="T214" s="66">
        <f>IFERROR(__xludf.DUMMYFUNCTION("IF(COUNTA(Q214:Q1350)=0,"""",IF(REGEXMATCH(INDEX(FILTER(Q$4:Q214,Q$4:Q214&lt;&gt;""""),ROWS(FILTER(Q$4:Q214,Q$4:Q214&lt;&gt;""""))),""^Sell_""),INDEX(FILTER(T$4:T213,Q$4:Q213&lt;&gt;""""),ROWS(FILTER(Q$4:Q213,Q$4:Q213&lt;&gt;""""))),$AD$5+S214))"),113441.0)</f>
        <v>113441</v>
      </c>
      <c r="U214" s="10">
        <f>IFERROR(__xludf.DUMMYFUNCTION("IF(COUNTA(Q214:Q1350)=0,"""",IF(Q214="""",0,IF(REGEXMATCH(Q214,""^Sell_""),-ROUNDDOWN(ROUNDUP(INDEX(Upgrades!$C$3:$C$13,MATCH(SUBSTITUTE(Q214,""Sell_"",""""),Upgrades!$B$3:$B$13,0))*1.15^(COUNTIF(Q$4:Q213,SUBSTITUTE(Q214,""Sell_"",""""))-COUNTIF(Q$4:Q213,"&amp;"""Sell_""&amp;SUBSTITUTE(Q214,""Sell_"",""""))))/2),ROUNDUP(INDEX(Upgrades!$C$3:$C$13,MATCH(Q214,Upgrades!$B$3:$B$13,0))*1.15^(COUNTIF(Q$4:Q213,Q214)-COUNTIF(Q$4:Q213,""Sell_""&amp;Q214))))))"),-23262.0)</f>
        <v>-23262</v>
      </c>
      <c r="V214" s="10">
        <f t="shared" si="11"/>
        <v>-8696943</v>
      </c>
      <c r="W214" s="68">
        <f t="shared" si="12"/>
        <v>3545.704845</v>
      </c>
      <c r="X214" s="59" t="str">
        <f t="shared" si="13"/>
        <v>59m 05s</v>
      </c>
      <c r="Y214" s="69">
        <f t="shared" si="14"/>
        <v>100625440</v>
      </c>
      <c r="Z214" s="11"/>
    </row>
    <row r="215">
      <c r="A215" s="8"/>
      <c r="B215" s="56" t="str">
        <f t="shared" si="2"/>
        <v/>
      </c>
      <c r="C215" s="57"/>
      <c r="D215" s="10" t="str">
        <f>IFERROR(__xludf.DUMMYFUNCTION("IF(COUNTA(C215:C1350)=0,"""",IF(ISBLANK(C215),FALSE,IF(NOT(COUNTIF($AA$24:$AA$34,SUBSTITUTE(C215,""Sell_"",""""))),1,IF(REGEXMATCH(C215,""Sell_""),IF(COUNTIF(C$4:C215,SUBSTITUTE(C215,""Sell_"",""""))-COUNTIF(C$4:C214,C215)&lt;1,1),FALSE))))"),"")</f>
        <v/>
      </c>
      <c r="E215" s="59" t="str">
        <f t="array" ref="E215">IF(COUNTA(C215:C1350)=0,"",SUM((COUNTIF(C$4:C215,Upgrades!$B$3:$B$13)-COUNTIF(C$4:C215,"Sell_"&amp;Upgrades!$B$3:$B$13))*Upgrades!$D$3:$D$13))</f>
        <v/>
      </c>
      <c r="F215" s="66" t="str">
        <f>IFERROR(__xludf.DUMMYFUNCTION("IF(COUNTA(C215:C1350)=0,"""",IF(REGEXMATCH(INDEX(FILTER(C$4:C215,C$4:C215&lt;&gt;""""),ROWS(FILTER(C$4:C215,C$4:C215&lt;&gt;""""))),""^Sell_""),INDEX(FILTER(F$4:F214,C$4:C214&lt;&gt;""""),ROWS(FILTER(C$4:C214,C$4:C214&lt;&gt;""""))),$AC$5+E215))"),"")</f>
        <v/>
      </c>
      <c r="G215" s="10" t="str">
        <f>IFERROR(__xludf.DUMMYFUNCTION("IF(COUNTA(C215:C1350)=0,"""",IF(C215="""",0,IF(REGEXMATCH(C215,""^Sell_""),-ROUNDDOWN(ROUNDUP(INDEX(Upgrades!$C$3:$C$13,MATCH(SUBSTITUTE(C215,""Sell_"",""""),Upgrades!$B$3:$B$13,0))*1.15^(COUNTIF(C$4:C214,SUBSTITUTE(C215,""Sell_"",""""))-COUNTIF(C$4:C214,"&amp;"""Sell_""&amp;SUBSTITUTE(C215,""Sell_"",""""))))/2),ROUNDUP(INDEX(Upgrades!$C$3:$C$13,MATCH(C215,Upgrades!$B$3:$B$13,0))*1.15^(COUNTIF(C$4:C214,C215)-COUNTIF(C$4:C214,""Sell_""&amp;C215))))))"),"")</f>
        <v/>
      </c>
      <c r="H215" s="10" t="str">
        <f t="shared" si="3"/>
        <v/>
      </c>
      <c r="I215" s="68" t="str">
        <f t="shared" si="4"/>
        <v/>
      </c>
      <c r="J215" s="59" t="str">
        <f t="shared" si="5"/>
        <v/>
      </c>
      <c r="K215" s="69" t="str">
        <f t="shared" si="6"/>
        <v/>
      </c>
      <c r="L215" s="60">
        <f t="shared" si="7"/>
        <v>-152.24623</v>
      </c>
      <c r="M215" s="61">
        <f>IFERROR(__xludf.DUMMYFUNCTION("IFS(AND(COUNTA(C215:C1350)=0,COUNTA(Q215:Q1350)=0),"""",OR(AND(K215&gt;=1000000000,OR(Y215&gt;=1000000000,COUNTA(Q215:Q1350)=0)),OR(Y215&gt;=1000000000,AND(COUNTA(C215:C1350)=0,P$3=TRUE))),
ROUNDDOWN((AB$1-AC$1)*MAX(INDEX(T$4:T1350,MATCH(LARGE(FILTER(Y$4:Y1350,Y$4"&amp;":Y1350&lt;1000000000),1),Y$4:Y1350)),INDEX(F$4:F1350,MATCH(LARGE(FILTER(K$4:K1350,K$4:K1350&lt;1000000000),1),K$4:K1350)))),AND(K215&lt;1000000000,COUNTA(C215:C1350)&gt;0,P$3=FALSE),
ROUNDDOWN(INDEX(Y$4:Y1350,MATCH(LARGE(FILTER(W$4:W1350,W$4:W1350&lt;=I215),1),W$4:W1350"&amp;"))+(I215-LARGE(FILTER(W$4:W1350,W$4:W1350&lt;=I215),1))*INDEX(T$4:T1350,MATCH(LARGE(FILTER(W$4:W1350,W$4:W1350&lt;=I215),1),W$4:W1350))-K215),1,
ROUNDDOWN(Y215-INDEX(K$4:K1350,MATCH(LARGE(FILTER(I$4:I1350,I$4:I1350&lt;=W215),1),I$4:I1350))-(W215-LARGE(FILTER(I$4:I"&amp;"1350,I$4:I1350&lt;=W215),1))*INDEX(F$4:F1350,MATCH(LARGE(FILTER(I$4:I1350,I$4:I1350&lt;=W215),1),I$4:I1350))))"),1.6198681E7)</f>
        <v>16198681</v>
      </c>
      <c r="N215" s="60">
        <f t="shared" si="8"/>
        <v>-152.24623</v>
      </c>
      <c r="O215" s="61" t="str">
        <f t="shared" si="9"/>
        <v>16,2M</v>
      </c>
      <c r="P215" s="56">
        <f t="shared" si="10"/>
        <v>13</v>
      </c>
      <c r="Q215" s="105" t="s">
        <v>61</v>
      </c>
      <c r="R215" s="10" t="b">
        <f>IFERROR(__xludf.DUMMYFUNCTION("IF(COUNTA(Q215:Q1350)=0,"""",IF(ISBLANK(Q215),FALSE,IF(NOT(COUNTIF($AA$24:$AA$34,SUBSTITUTE(Q215,""Sell_"",""""))),1,IF(REGEXMATCH(Q215,""Sell_""),IF(COUNTIF(Q$4:Q215,SUBSTITUTE(Q215,""Sell_"",""""))-COUNTIF(Q$4:Q214,Q215)&lt;1,1),FALSE))))"),FALSE)</f>
        <v>0</v>
      </c>
      <c r="S215" s="59">
        <f t="array" ref="S215">IF(COUNTA(Q215:Q1350)=0,"",SUM((COUNTIF(Q$4:Q215,Upgrades!$B$3:$B$13)-COUNTIF(Q$4:Q215,"Sell_"&amp;Upgrades!$B$3:$B$13))*Upgrades!$D$3:$D$13))</f>
        <v>105635</v>
      </c>
      <c r="T215" s="66">
        <f>IFERROR(__xludf.DUMMYFUNCTION("IF(COUNTA(Q215:Q1350)=0,"""",IF(REGEXMATCH(INDEX(FILTER(Q$4:Q215,Q$4:Q215&lt;&gt;""""),ROWS(FILTER(Q$4:Q215,Q$4:Q215&lt;&gt;""""))),""^Sell_""),INDEX(FILTER(T$4:T214,Q$4:Q214&lt;&gt;""""),ROWS(FILTER(Q$4:Q214,Q$4:Q214&lt;&gt;""""))),$AD$5+S215))"),113441.0)</f>
        <v>113441</v>
      </c>
      <c r="U215" s="10">
        <f>IFERROR(__xludf.DUMMYFUNCTION("IF(COUNTA(Q215:Q1350)=0,"""",IF(Q215="""",0,IF(REGEXMATCH(Q215,""^Sell_""),-ROUNDDOWN(ROUNDUP(INDEX(Upgrades!$C$3:$C$13,MATCH(SUBSTITUTE(Q215,""Sell_"",""""),Upgrades!$B$3:$B$13,0))*1.15^(COUNTIF(Q$4:Q214,SUBSTITUTE(Q215,""Sell_"",""""))-COUNTIF(Q$4:Q214,"&amp;"""Sell_""&amp;SUBSTITUTE(Q215,""Sell_"",""""))))/2),ROUNDUP(INDEX(Upgrades!$C$3:$C$13,MATCH(Q215,Upgrades!$B$3:$B$13,0))*1.15^(COUNTIF(Q$4:Q214,Q215)-COUNTIF(Q$4:Q214,""Sell_""&amp;Q215))))))"),-93048.0)</f>
        <v>-93048</v>
      </c>
      <c r="V215" s="10">
        <f t="shared" si="11"/>
        <v>-8789991</v>
      </c>
      <c r="W215" s="68">
        <f t="shared" si="12"/>
        <v>3545.704845</v>
      </c>
      <c r="X215" s="59" t="str">
        <f t="shared" si="13"/>
        <v>59m 05s</v>
      </c>
      <c r="Y215" s="69">
        <f t="shared" si="14"/>
        <v>100625440</v>
      </c>
      <c r="Z215" s="11"/>
    </row>
    <row r="216">
      <c r="A216" s="8"/>
      <c r="B216" s="56" t="str">
        <f t="shared" si="2"/>
        <v/>
      </c>
      <c r="C216" s="57"/>
      <c r="D216" s="10" t="str">
        <f>IFERROR(__xludf.DUMMYFUNCTION("IF(COUNTA(C216:C1350)=0,"""",IF(ISBLANK(C216),FALSE,IF(NOT(COUNTIF($AA$24:$AA$34,SUBSTITUTE(C216,""Sell_"",""""))),1,IF(REGEXMATCH(C216,""Sell_""),IF(COUNTIF(C$4:C216,SUBSTITUTE(C216,""Sell_"",""""))-COUNTIF(C$4:C215,C216)&lt;1,1),FALSE))))"),"")</f>
        <v/>
      </c>
      <c r="E216" s="59" t="str">
        <f t="array" ref="E216">IF(COUNTA(C216:C1350)=0,"",SUM((COUNTIF(C$4:C216,Upgrades!$B$3:$B$13)-COUNTIF(C$4:C216,"Sell_"&amp;Upgrades!$B$3:$B$13))*Upgrades!$D$3:$D$13))</f>
        <v/>
      </c>
      <c r="F216" s="66" t="str">
        <f>IFERROR(__xludf.DUMMYFUNCTION("IF(COUNTA(C216:C1350)=0,"""",IF(REGEXMATCH(INDEX(FILTER(C$4:C216,C$4:C216&lt;&gt;""""),ROWS(FILTER(C$4:C216,C$4:C216&lt;&gt;""""))),""^Sell_""),INDEX(FILTER(F$4:F215,C$4:C215&lt;&gt;""""),ROWS(FILTER(C$4:C215,C$4:C215&lt;&gt;""""))),$AC$5+E216))"),"")</f>
        <v/>
      </c>
      <c r="G216" s="10" t="str">
        <f>IFERROR(__xludf.DUMMYFUNCTION("IF(COUNTA(C216:C1350)=0,"""",IF(C216="""",0,IF(REGEXMATCH(C216,""^Sell_""),-ROUNDDOWN(ROUNDUP(INDEX(Upgrades!$C$3:$C$13,MATCH(SUBSTITUTE(C216,""Sell_"",""""),Upgrades!$B$3:$B$13,0))*1.15^(COUNTIF(C$4:C215,SUBSTITUTE(C216,""Sell_"",""""))-COUNTIF(C$4:C215,"&amp;"""Sell_""&amp;SUBSTITUTE(C216,""Sell_"",""""))))/2),ROUNDUP(INDEX(Upgrades!$C$3:$C$13,MATCH(C216,Upgrades!$B$3:$B$13,0))*1.15^(COUNTIF(C$4:C215,C216)-COUNTIF(C$4:C215,""Sell_""&amp;C216))))))"),"")</f>
        <v/>
      </c>
      <c r="H216" s="10" t="str">
        <f t="shared" si="3"/>
        <v/>
      </c>
      <c r="I216" s="68" t="str">
        <f t="shared" si="4"/>
        <v/>
      </c>
      <c r="J216" s="59" t="str">
        <f t="shared" si="5"/>
        <v/>
      </c>
      <c r="K216" s="69" t="str">
        <f t="shared" si="6"/>
        <v/>
      </c>
      <c r="L216" s="60">
        <f t="shared" si="7"/>
        <v>-152.24623</v>
      </c>
      <c r="M216" s="61">
        <f>IFERROR(__xludf.DUMMYFUNCTION("IFS(AND(COUNTA(C216:C1350)=0,COUNTA(Q216:Q1350)=0),"""",OR(AND(K216&gt;=1000000000,OR(Y216&gt;=1000000000,COUNTA(Q216:Q1350)=0)),OR(Y216&gt;=1000000000,AND(COUNTA(C216:C1350)=0,P$3=TRUE))),
ROUNDDOWN((AB$1-AC$1)*MAX(INDEX(T$4:T1350,MATCH(LARGE(FILTER(Y$4:Y1350,Y$4"&amp;":Y1350&lt;1000000000),1),Y$4:Y1350)),INDEX(F$4:F1350,MATCH(LARGE(FILTER(K$4:K1350,K$4:K1350&lt;1000000000),1),K$4:K1350)))),AND(K216&lt;1000000000,COUNTA(C216:C1350)&gt;0,P$3=FALSE),
ROUNDDOWN(INDEX(Y$4:Y1350,MATCH(LARGE(FILTER(W$4:W1350,W$4:W1350&lt;=I216),1),W$4:W1350"&amp;"))+(I216-LARGE(FILTER(W$4:W1350,W$4:W1350&lt;=I216),1))*INDEX(T$4:T1350,MATCH(LARGE(FILTER(W$4:W1350,W$4:W1350&lt;=I216),1),W$4:W1350))-K216),1,
ROUNDDOWN(Y216-INDEX(K$4:K1350,MATCH(LARGE(FILTER(I$4:I1350,I$4:I1350&lt;=W216),1),I$4:I1350))-(W216-LARGE(FILTER(I$4:I"&amp;"1350,I$4:I1350&lt;=W216),1))*INDEX(F$4:F1350,MATCH(LARGE(FILTER(I$4:I1350,I$4:I1350&lt;=W216),1),I$4:I1350))))"),1.6198681E7)</f>
        <v>16198681</v>
      </c>
      <c r="N216" s="60">
        <f t="shared" si="8"/>
        <v>-152.24623</v>
      </c>
      <c r="O216" s="61" t="str">
        <f t="shared" si="9"/>
        <v>16,2M</v>
      </c>
      <c r="P216" s="56">
        <f t="shared" si="10"/>
        <v>28</v>
      </c>
      <c r="Q216" s="105" t="s">
        <v>59</v>
      </c>
      <c r="R216" s="10" t="b">
        <f>IFERROR(__xludf.DUMMYFUNCTION("IF(COUNTA(Q216:Q1350)=0,"""",IF(ISBLANK(Q216),FALSE,IF(NOT(COUNTIF($AA$24:$AA$34,SUBSTITUTE(Q216,""Sell_"",""""))),1,IF(REGEXMATCH(Q216,""Sell_""),IF(COUNTIF(Q$4:Q216,SUBSTITUTE(Q216,""Sell_"",""""))-COUNTIF(Q$4:Q215,Q216)&lt;1,1),FALSE))))"),FALSE)</f>
        <v>0</v>
      </c>
      <c r="S216" s="59">
        <f t="array" ref="S216">IF(COUNTA(Q216:Q1350)=0,"",SUM((COUNTIF(Q$4:Q216,Upgrades!$B$3:$B$13)-COUNTIF(Q$4:Q216,"Sell_"&amp;Upgrades!$B$3:$B$13))*Upgrades!$D$3:$D$13))</f>
        <v>105595</v>
      </c>
      <c r="T216" s="66">
        <f>IFERROR(__xludf.DUMMYFUNCTION("IF(COUNTA(Q216:Q1350)=0,"""",IF(REGEXMATCH(INDEX(FILTER(Q$4:Q216,Q$4:Q216&lt;&gt;""""),ROWS(FILTER(Q$4:Q216,Q$4:Q216&lt;&gt;""""))),""^Sell_""),INDEX(FILTER(T$4:T215,Q$4:Q215&lt;&gt;""""),ROWS(FILTER(Q$4:Q215,Q$4:Q215&lt;&gt;""""))),$AD$5+S216))"),113441.0)</f>
        <v>113441</v>
      </c>
      <c r="U216" s="10">
        <f>IFERROR(__xludf.DUMMYFUNCTION("IF(COUNTA(Q216:Q1350)=0,"""",IF(Q216="""",0,IF(REGEXMATCH(Q216,""^Sell_""),-ROUNDDOWN(ROUNDUP(INDEX(Upgrades!$C$3:$C$13,MATCH(SUBSTITUTE(Q216,""Sell_"",""""),Upgrades!$B$3:$B$13,0))*1.15^(COUNTIF(Q$4:Q215,SUBSTITUTE(Q216,""Sell_"",""""))-COUNTIF(Q$4:Q215,"&amp;"""Sell_""&amp;SUBSTITUTE(Q216,""Sell_"",""""))))/2),ROUNDUP(INDEX(Upgrades!$C$3:$C$13,MATCH(Q216,Upgrades!$B$3:$B$13,0))*1.15^(COUNTIF(Q$4:Q215,Q216)-COUNTIF(Q$4:Q215,""Sell_""&amp;Q216))))))"),-20228.0)</f>
        <v>-20228</v>
      </c>
      <c r="V216" s="10">
        <f t="shared" si="11"/>
        <v>-8810219</v>
      </c>
      <c r="W216" s="68">
        <f t="shared" si="12"/>
        <v>3545.704845</v>
      </c>
      <c r="X216" s="59" t="str">
        <f t="shared" si="13"/>
        <v>59m 05s</v>
      </c>
      <c r="Y216" s="69">
        <f t="shared" si="14"/>
        <v>100625440</v>
      </c>
      <c r="Z216" s="11"/>
    </row>
    <row r="217">
      <c r="A217" s="8"/>
      <c r="B217" s="56" t="str">
        <f t="shared" si="2"/>
        <v/>
      </c>
      <c r="C217" s="57"/>
      <c r="D217" s="10" t="str">
        <f>IFERROR(__xludf.DUMMYFUNCTION("IF(COUNTA(C217:C1350)=0,"""",IF(ISBLANK(C217),FALSE,IF(NOT(COUNTIF($AA$24:$AA$34,SUBSTITUTE(C217,""Sell_"",""""))),1,IF(REGEXMATCH(C217,""Sell_""),IF(COUNTIF(C$4:C217,SUBSTITUTE(C217,""Sell_"",""""))-COUNTIF(C$4:C216,C217)&lt;1,1),FALSE))))"),"")</f>
        <v/>
      </c>
      <c r="E217" s="59" t="str">
        <f t="array" ref="E217">IF(COUNTA(C217:C1350)=0,"",SUM((COUNTIF(C$4:C217,Upgrades!$B$3:$B$13)-COUNTIF(C$4:C217,"Sell_"&amp;Upgrades!$B$3:$B$13))*Upgrades!$D$3:$D$13))</f>
        <v/>
      </c>
      <c r="F217" s="66" t="str">
        <f>IFERROR(__xludf.DUMMYFUNCTION("IF(COUNTA(C217:C1350)=0,"""",IF(REGEXMATCH(INDEX(FILTER(C$4:C217,C$4:C217&lt;&gt;""""),ROWS(FILTER(C$4:C217,C$4:C217&lt;&gt;""""))),""^Sell_""),INDEX(FILTER(F$4:F216,C$4:C216&lt;&gt;""""),ROWS(FILTER(C$4:C216,C$4:C216&lt;&gt;""""))),$AC$5+E217))"),"")</f>
        <v/>
      </c>
      <c r="G217" s="10" t="str">
        <f>IFERROR(__xludf.DUMMYFUNCTION("IF(COUNTA(C217:C1350)=0,"""",IF(C217="""",0,IF(REGEXMATCH(C217,""^Sell_""),-ROUNDDOWN(ROUNDUP(INDEX(Upgrades!$C$3:$C$13,MATCH(SUBSTITUTE(C217,""Sell_"",""""),Upgrades!$B$3:$B$13,0))*1.15^(COUNTIF(C$4:C216,SUBSTITUTE(C217,""Sell_"",""""))-COUNTIF(C$4:C216,"&amp;"""Sell_""&amp;SUBSTITUTE(C217,""Sell_"",""""))))/2),ROUNDUP(INDEX(Upgrades!$C$3:$C$13,MATCH(C217,Upgrades!$B$3:$B$13,0))*1.15^(COUNTIF(C$4:C216,C217)-COUNTIF(C$4:C216,""Sell_""&amp;C217))))))"),"")</f>
        <v/>
      </c>
      <c r="H217" s="10" t="str">
        <f t="shared" si="3"/>
        <v/>
      </c>
      <c r="I217" s="68" t="str">
        <f t="shared" si="4"/>
        <v/>
      </c>
      <c r="J217" s="59" t="str">
        <f t="shared" si="5"/>
        <v/>
      </c>
      <c r="K217" s="69" t="str">
        <f t="shared" si="6"/>
        <v/>
      </c>
      <c r="L217" s="60">
        <f t="shared" si="7"/>
        <v>-152.24623</v>
      </c>
      <c r="M217" s="61">
        <f>IFERROR(__xludf.DUMMYFUNCTION("IFS(AND(COUNTA(C217:C1350)=0,COUNTA(Q217:Q1350)=0),"""",OR(AND(K217&gt;=1000000000,OR(Y217&gt;=1000000000,COUNTA(Q217:Q1350)=0)),OR(Y217&gt;=1000000000,AND(COUNTA(C217:C1350)=0,P$3=TRUE))),
ROUNDDOWN((AB$1-AC$1)*MAX(INDEX(T$4:T1350,MATCH(LARGE(FILTER(Y$4:Y1350,Y$4"&amp;":Y1350&lt;1000000000),1),Y$4:Y1350)),INDEX(F$4:F1350,MATCH(LARGE(FILTER(K$4:K1350,K$4:K1350&lt;1000000000),1),K$4:K1350)))),AND(K217&lt;1000000000,COUNTA(C217:C1350)&gt;0,P$3=FALSE),
ROUNDDOWN(INDEX(Y$4:Y1350,MATCH(LARGE(FILTER(W$4:W1350,W$4:W1350&lt;=I217),1),W$4:W1350"&amp;"))+(I217-LARGE(FILTER(W$4:W1350,W$4:W1350&lt;=I217),1))*INDEX(T$4:T1350,MATCH(LARGE(FILTER(W$4:W1350,W$4:W1350&lt;=I217),1),W$4:W1350))-K217),1,
ROUNDDOWN(Y217-INDEX(K$4:K1350,MATCH(LARGE(FILTER(I$4:I1350,I$4:I1350&lt;=W217),1),I$4:I1350))-(W217-LARGE(FILTER(I$4:I"&amp;"1350,I$4:I1350&lt;=W217),1))*INDEX(F$4:F1350,MATCH(LARGE(FILTER(I$4:I1350,I$4:I1350&lt;=W217),1),I$4:I1350))))"),1.6198681E7)</f>
        <v>16198681</v>
      </c>
      <c r="N217" s="60">
        <f t="shared" si="8"/>
        <v>-152.24623</v>
      </c>
      <c r="O217" s="61" t="str">
        <f t="shared" si="9"/>
        <v>16,2M</v>
      </c>
      <c r="P217" s="56">
        <f t="shared" si="10"/>
        <v>29</v>
      </c>
      <c r="Q217" s="105" t="s">
        <v>59</v>
      </c>
      <c r="R217" s="10" t="b">
        <f>IFERROR(__xludf.DUMMYFUNCTION("IF(COUNTA(Q217:Q1350)=0,"""",IF(ISBLANK(Q217),FALSE,IF(NOT(COUNTIF($AA$24:$AA$34,SUBSTITUTE(Q217,""Sell_"",""""))),1,IF(REGEXMATCH(Q217,""Sell_""),IF(COUNTIF(Q$4:Q217,SUBSTITUTE(Q217,""Sell_"",""""))-COUNTIF(Q$4:Q216,Q217)&lt;1,1),FALSE))))"),FALSE)</f>
        <v>0</v>
      </c>
      <c r="S217" s="59">
        <f t="array" ref="S217">IF(COUNTA(Q217:Q1350)=0,"",SUM((COUNTIF(Q$4:Q217,Upgrades!$B$3:$B$13)-COUNTIF(Q$4:Q217,"Sell_"&amp;Upgrades!$B$3:$B$13))*Upgrades!$D$3:$D$13))</f>
        <v>105555</v>
      </c>
      <c r="T217" s="66">
        <f>IFERROR(__xludf.DUMMYFUNCTION("IF(COUNTA(Q217:Q1350)=0,"""",IF(REGEXMATCH(INDEX(FILTER(Q$4:Q217,Q$4:Q217&lt;&gt;""""),ROWS(FILTER(Q$4:Q217,Q$4:Q217&lt;&gt;""""))),""^Sell_""),INDEX(FILTER(T$4:T216,Q$4:Q216&lt;&gt;""""),ROWS(FILTER(Q$4:Q216,Q$4:Q216&lt;&gt;""""))),$AD$5+S217))"),113441.0)</f>
        <v>113441</v>
      </c>
      <c r="U217" s="10">
        <f>IFERROR(__xludf.DUMMYFUNCTION("IF(COUNTA(Q217:Q1350)=0,"""",IF(Q217="""",0,IF(REGEXMATCH(Q217,""^Sell_""),-ROUNDDOWN(ROUNDUP(INDEX(Upgrades!$C$3:$C$13,MATCH(SUBSTITUTE(Q217,""Sell_"",""""),Upgrades!$B$3:$B$13,0))*1.15^(COUNTIF(Q$4:Q216,SUBSTITUTE(Q217,""Sell_"",""""))-COUNTIF(Q$4:Q216,"&amp;"""Sell_""&amp;SUBSTITUTE(Q217,""Sell_"",""""))))/2),ROUNDUP(INDEX(Upgrades!$C$3:$C$13,MATCH(Q217,Upgrades!$B$3:$B$13,0))*1.15^(COUNTIF(Q$4:Q216,Q217)-COUNTIF(Q$4:Q216,""Sell_""&amp;Q217))))))"),-17589.0)</f>
        <v>-17589</v>
      </c>
      <c r="V217" s="10">
        <f t="shared" si="11"/>
        <v>-8827808</v>
      </c>
      <c r="W217" s="68">
        <f t="shared" si="12"/>
        <v>3545.704845</v>
      </c>
      <c r="X217" s="59" t="str">
        <f t="shared" si="13"/>
        <v>59m 05s</v>
      </c>
      <c r="Y217" s="69">
        <f t="shared" si="14"/>
        <v>100625440</v>
      </c>
      <c r="Z217" s="11"/>
    </row>
    <row r="218">
      <c r="A218" s="8"/>
      <c r="B218" s="56" t="str">
        <f t="shared" si="2"/>
        <v/>
      </c>
      <c r="C218" s="57"/>
      <c r="D218" s="10" t="str">
        <f>IFERROR(__xludf.DUMMYFUNCTION("IF(COUNTA(C218:C1350)=0,"""",IF(ISBLANK(C218),FALSE,IF(NOT(COUNTIF($AA$24:$AA$34,SUBSTITUTE(C218,""Sell_"",""""))),1,IF(REGEXMATCH(C218,""Sell_""),IF(COUNTIF(C$4:C218,SUBSTITUTE(C218,""Sell_"",""""))-COUNTIF(C$4:C217,C218)&lt;1,1),FALSE))))"),"")</f>
        <v/>
      </c>
      <c r="E218" s="59" t="str">
        <f t="array" ref="E218">IF(COUNTA(C218:C1350)=0,"",SUM((COUNTIF(C$4:C218,Upgrades!$B$3:$B$13)-COUNTIF(C$4:C218,"Sell_"&amp;Upgrades!$B$3:$B$13))*Upgrades!$D$3:$D$13))</f>
        <v/>
      </c>
      <c r="F218" s="66" t="str">
        <f>IFERROR(__xludf.DUMMYFUNCTION("IF(COUNTA(C218:C1350)=0,"""",IF(REGEXMATCH(INDEX(FILTER(C$4:C218,C$4:C218&lt;&gt;""""),ROWS(FILTER(C$4:C218,C$4:C218&lt;&gt;""""))),""^Sell_""),INDEX(FILTER(F$4:F217,C$4:C217&lt;&gt;""""),ROWS(FILTER(C$4:C217,C$4:C217&lt;&gt;""""))),$AC$5+E218))"),"")</f>
        <v/>
      </c>
      <c r="G218" s="10" t="str">
        <f>IFERROR(__xludf.DUMMYFUNCTION("IF(COUNTA(C218:C1350)=0,"""",IF(C218="""",0,IF(REGEXMATCH(C218,""^Sell_""),-ROUNDDOWN(ROUNDUP(INDEX(Upgrades!$C$3:$C$13,MATCH(SUBSTITUTE(C218,""Sell_"",""""),Upgrades!$B$3:$B$13,0))*1.15^(COUNTIF(C$4:C217,SUBSTITUTE(C218,""Sell_"",""""))-COUNTIF(C$4:C217,"&amp;"""Sell_""&amp;SUBSTITUTE(C218,""Sell_"",""""))))/2),ROUNDUP(INDEX(Upgrades!$C$3:$C$13,MATCH(C218,Upgrades!$B$3:$B$13,0))*1.15^(COUNTIF(C$4:C217,C218)-COUNTIF(C$4:C217,""Sell_""&amp;C218))))))"),"")</f>
        <v/>
      </c>
      <c r="H218" s="10" t="str">
        <f t="shared" si="3"/>
        <v/>
      </c>
      <c r="I218" s="68" t="str">
        <f t="shared" si="4"/>
        <v/>
      </c>
      <c r="J218" s="59" t="str">
        <f t="shared" si="5"/>
        <v/>
      </c>
      <c r="K218" s="69" t="str">
        <f t="shared" si="6"/>
        <v/>
      </c>
      <c r="L218" s="60">
        <f t="shared" si="7"/>
        <v>-152.24623</v>
      </c>
      <c r="M218" s="61">
        <f>IFERROR(__xludf.DUMMYFUNCTION("IFS(AND(COUNTA(C218:C1350)=0,COUNTA(Q218:Q1350)=0),"""",OR(AND(K218&gt;=1000000000,OR(Y218&gt;=1000000000,COUNTA(Q218:Q1350)=0)),OR(Y218&gt;=1000000000,AND(COUNTA(C218:C1350)=0,P$3=TRUE))),
ROUNDDOWN((AB$1-AC$1)*MAX(INDEX(T$4:T1350,MATCH(LARGE(FILTER(Y$4:Y1350,Y$4"&amp;":Y1350&lt;1000000000),1),Y$4:Y1350)),INDEX(F$4:F1350,MATCH(LARGE(FILTER(K$4:K1350,K$4:K1350&lt;1000000000),1),K$4:K1350)))),AND(K218&lt;1000000000,COUNTA(C218:C1350)&gt;0,P$3=FALSE),
ROUNDDOWN(INDEX(Y$4:Y1350,MATCH(LARGE(FILTER(W$4:W1350,W$4:W1350&lt;=I218),1),W$4:W1350"&amp;"))+(I218-LARGE(FILTER(W$4:W1350,W$4:W1350&lt;=I218),1))*INDEX(T$4:T1350,MATCH(LARGE(FILTER(W$4:W1350,W$4:W1350&lt;=I218),1),W$4:W1350))-K218),1,
ROUNDDOWN(Y218-INDEX(K$4:K1350,MATCH(LARGE(FILTER(I$4:I1350,I$4:I1350&lt;=W218),1),I$4:I1350))-(W218-LARGE(FILTER(I$4:I"&amp;"1350,I$4:I1350&lt;=W218),1))*INDEX(F$4:F1350,MATCH(LARGE(FILTER(I$4:I1350,I$4:I1350&lt;=W218),1),I$4:I1350))))"),1.6198681E7)</f>
        <v>16198681</v>
      </c>
      <c r="N218" s="60">
        <f t="shared" si="8"/>
        <v>-152.24623</v>
      </c>
      <c r="O218" s="61" t="str">
        <f t="shared" si="9"/>
        <v>16,2M</v>
      </c>
      <c r="P218" s="56">
        <f t="shared" si="10"/>
        <v>30</v>
      </c>
      <c r="Q218" s="105" t="s">
        <v>59</v>
      </c>
      <c r="R218" s="10" t="b">
        <f>IFERROR(__xludf.DUMMYFUNCTION("IF(COUNTA(Q218:Q1350)=0,"""",IF(ISBLANK(Q218),FALSE,IF(NOT(COUNTIF($AA$24:$AA$34,SUBSTITUTE(Q218,""Sell_"",""""))),1,IF(REGEXMATCH(Q218,""Sell_""),IF(COUNTIF(Q$4:Q218,SUBSTITUTE(Q218,""Sell_"",""""))-COUNTIF(Q$4:Q217,Q218)&lt;1,1),FALSE))))"),FALSE)</f>
        <v>0</v>
      </c>
      <c r="S218" s="59">
        <f t="array" ref="S218">IF(COUNTA(Q218:Q1350)=0,"",SUM((COUNTIF(Q$4:Q218,Upgrades!$B$3:$B$13)-COUNTIF(Q$4:Q218,"Sell_"&amp;Upgrades!$B$3:$B$13))*Upgrades!$D$3:$D$13))</f>
        <v>105515</v>
      </c>
      <c r="T218" s="66">
        <f>IFERROR(__xludf.DUMMYFUNCTION("IF(COUNTA(Q218:Q1350)=0,"""",IF(REGEXMATCH(INDEX(FILTER(Q$4:Q218,Q$4:Q218&lt;&gt;""""),ROWS(FILTER(Q$4:Q218,Q$4:Q218&lt;&gt;""""))),""^Sell_""),INDEX(FILTER(T$4:T217,Q$4:Q217&lt;&gt;""""),ROWS(FILTER(Q$4:Q217,Q$4:Q217&lt;&gt;""""))),$AD$5+S218))"),113441.0)</f>
        <v>113441</v>
      </c>
      <c r="U218" s="10">
        <f>IFERROR(__xludf.DUMMYFUNCTION("IF(COUNTA(Q218:Q1350)=0,"""",IF(Q218="""",0,IF(REGEXMATCH(Q218,""^Sell_""),-ROUNDDOWN(ROUNDUP(INDEX(Upgrades!$C$3:$C$13,MATCH(SUBSTITUTE(Q218,""Sell_"",""""),Upgrades!$B$3:$B$13,0))*1.15^(COUNTIF(Q$4:Q217,SUBSTITUTE(Q218,""Sell_"",""""))-COUNTIF(Q$4:Q217,"&amp;"""Sell_""&amp;SUBSTITUTE(Q218,""Sell_"",""""))))/2),ROUNDUP(INDEX(Upgrades!$C$3:$C$13,MATCH(Q218,Upgrades!$B$3:$B$13,0))*1.15^(COUNTIF(Q$4:Q217,Q218)-COUNTIF(Q$4:Q217,""Sell_""&amp;Q218))))))"),-15295.0)</f>
        <v>-15295</v>
      </c>
      <c r="V218" s="10">
        <f t="shared" si="11"/>
        <v>-8843103</v>
      </c>
      <c r="W218" s="68">
        <f t="shared" si="12"/>
        <v>3545.704845</v>
      </c>
      <c r="X218" s="59" t="str">
        <f t="shared" si="13"/>
        <v>59m 05s</v>
      </c>
      <c r="Y218" s="69">
        <f t="shared" si="14"/>
        <v>100625440</v>
      </c>
      <c r="Z218" s="11"/>
    </row>
    <row r="219">
      <c r="A219" s="8"/>
      <c r="B219" s="56" t="str">
        <f t="shared" si="2"/>
        <v/>
      </c>
      <c r="C219" s="57"/>
      <c r="D219" s="10" t="str">
        <f>IFERROR(__xludf.DUMMYFUNCTION("IF(COUNTA(C219:C1350)=0,"""",IF(ISBLANK(C219),FALSE,IF(NOT(COUNTIF($AA$24:$AA$34,SUBSTITUTE(C219,""Sell_"",""""))),1,IF(REGEXMATCH(C219,""Sell_""),IF(COUNTIF(C$4:C219,SUBSTITUTE(C219,""Sell_"",""""))-COUNTIF(C$4:C218,C219)&lt;1,1),FALSE))))"),"")</f>
        <v/>
      </c>
      <c r="E219" s="59" t="str">
        <f t="array" ref="E219">IF(COUNTA(C219:C1350)=0,"",SUM((COUNTIF(C$4:C219,Upgrades!$B$3:$B$13)-COUNTIF(C$4:C219,"Sell_"&amp;Upgrades!$B$3:$B$13))*Upgrades!$D$3:$D$13))</f>
        <v/>
      </c>
      <c r="F219" s="66" t="str">
        <f>IFERROR(__xludf.DUMMYFUNCTION("IF(COUNTA(C219:C1350)=0,"""",IF(REGEXMATCH(INDEX(FILTER(C$4:C219,C$4:C219&lt;&gt;""""),ROWS(FILTER(C$4:C219,C$4:C219&lt;&gt;""""))),""^Sell_""),INDEX(FILTER(F$4:F218,C$4:C218&lt;&gt;""""),ROWS(FILTER(C$4:C218,C$4:C218&lt;&gt;""""))),$AC$5+E219))"),"")</f>
        <v/>
      </c>
      <c r="G219" s="10" t="str">
        <f>IFERROR(__xludf.DUMMYFUNCTION("IF(COUNTA(C219:C1350)=0,"""",IF(C219="""",0,IF(REGEXMATCH(C219,""^Sell_""),-ROUNDDOWN(ROUNDUP(INDEX(Upgrades!$C$3:$C$13,MATCH(SUBSTITUTE(C219,""Sell_"",""""),Upgrades!$B$3:$B$13,0))*1.15^(COUNTIF(C$4:C218,SUBSTITUTE(C219,""Sell_"",""""))-COUNTIF(C$4:C218,"&amp;"""Sell_""&amp;SUBSTITUTE(C219,""Sell_"",""""))))/2),ROUNDUP(INDEX(Upgrades!$C$3:$C$13,MATCH(C219,Upgrades!$B$3:$B$13,0))*1.15^(COUNTIF(C$4:C218,C219)-COUNTIF(C$4:C218,""Sell_""&amp;C219))))))"),"")</f>
        <v/>
      </c>
      <c r="H219" s="10" t="str">
        <f t="shared" si="3"/>
        <v/>
      </c>
      <c r="I219" s="68" t="str">
        <f t="shared" si="4"/>
        <v/>
      </c>
      <c r="J219" s="59" t="str">
        <f t="shared" si="5"/>
        <v/>
      </c>
      <c r="K219" s="69" t="str">
        <f t="shared" si="6"/>
        <v/>
      </c>
      <c r="L219" s="60">
        <f t="shared" si="7"/>
        <v>-152.24623</v>
      </c>
      <c r="M219" s="61">
        <f>IFERROR(__xludf.DUMMYFUNCTION("IFS(AND(COUNTA(C219:C1350)=0,COUNTA(Q219:Q1350)=0),"""",OR(AND(K219&gt;=1000000000,OR(Y219&gt;=1000000000,COUNTA(Q219:Q1350)=0)),OR(Y219&gt;=1000000000,AND(COUNTA(C219:C1350)=0,P$3=TRUE))),
ROUNDDOWN((AB$1-AC$1)*MAX(INDEX(T$4:T1350,MATCH(LARGE(FILTER(Y$4:Y1350,Y$4"&amp;":Y1350&lt;1000000000),1),Y$4:Y1350)),INDEX(F$4:F1350,MATCH(LARGE(FILTER(K$4:K1350,K$4:K1350&lt;1000000000),1),K$4:K1350)))),AND(K219&lt;1000000000,COUNTA(C219:C1350)&gt;0,P$3=FALSE),
ROUNDDOWN(INDEX(Y$4:Y1350,MATCH(LARGE(FILTER(W$4:W1350,W$4:W1350&lt;=I219),1),W$4:W1350"&amp;"))+(I219-LARGE(FILTER(W$4:W1350,W$4:W1350&lt;=I219),1))*INDEX(T$4:T1350,MATCH(LARGE(FILTER(W$4:W1350,W$4:W1350&lt;=I219),1),W$4:W1350))-K219),1,
ROUNDDOWN(Y219-INDEX(K$4:K1350,MATCH(LARGE(FILTER(I$4:I1350,I$4:I1350&lt;=W219),1),I$4:I1350))-(W219-LARGE(FILTER(I$4:I"&amp;"1350,I$4:I1350&lt;=W219),1))*INDEX(F$4:F1350,MATCH(LARGE(FILTER(I$4:I1350,I$4:I1350&lt;=W219),1),I$4:I1350))))"),1.6198681E7)</f>
        <v>16198681</v>
      </c>
      <c r="N219" s="60">
        <f t="shared" si="8"/>
        <v>-152.24623</v>
      </c>
      <c r="O219" s="61" t="str">
        <f t="shared" si="9"/>
        <v>16,2M</v>
      </c>
      <c r="P219" s="56">
        <f t="shared" si="10"/>
        <v>31</v>
      </c>
      <c r="Q219" s="105" t="s">
        <v>59</v>
      </c>
      <c r="R219" s="10" t="b">
        <f>IFERROR(__xludf.DUMMYFUNCTION("IF(COUNTA(Q219:Q1350)=0,"""",IF(ISBLANK(Q219),FALSE,IF(NOT(COUNTIF($AA$24:$AA$34,SUBSTITUTE(Q219,""Sell_"",""""))),1,IF(REGEXMATCH(Q219,""Sell_""),IF(COUNTIF(Q$4:Q219,SUBSTITUTE(Q219,""Sell_"",""""))-COUNTIF(Q$4:Q218,Q219)&lt;1,1),FALSE))))"),FALSE)</f>
        <v>0</v>
      </c>
      <c r="S219" s="59">
        <f t="array" ref="S219">IF(COUNTA(Q219:Q1350)=0,"",SUM((COUNTIF(Q$4:Q219,Upgrades!$B$3:$B$13)-COUNTIF(Q$4:Q219,"Sell_"&amp;Upgrades!$B$3:$B$13))*Upgrades!$D$3:$D$13))</f>
        <v>105475</v>
      </c>
      <c r="T219" s="66">
        <f>IFERROR(__xludf.DUMMYFUNCTION("IF(COUNTA(Q219:Q1350)=0,"""",IF(REGEXMATCH(INDEX(FILTER(Q$4:Q219,Q$4:Q219&lt;&gt;""""),ROWS(FILTER(Q$4:Q219,Q$4:Q219&lt;&gt;""""))),""^Sell_""),INDEX(FILTER(T$4:T218,Q$4:Q218&lt;&gt;""""),ROWS(FILTER(Q$4:Q218,Q$4:Q218&lt;&gt;""""))),$AD$5+S219))"),113441.0)</f>
        <v>113441</v>
      </c>
      <c r="U219" s="10">
        <f>IFERROR(__xludf.DUMMYFUNCTION("IF(COUNTA(Q219:Q1350)=0,"""",IF(Q219="""",0,IF(REGEXMATCH(Q219,""^Sell_""),-ROUNDDOWN(ROUNDUP(INDEX(Upgrades!$C$3:$C$13,MATCH(SUBSTITUTE(Q219,""Sell_"",""""),Upgrades!$B$3:$B$13,0))*1.15^(COUNTIF(Q$4:Q218,SUBSTITUTE(Q219,""Sell_"",""""))-COUNTIF(Q$4:Q218,"&amp;"""Sell_""&amp;SUBSTITUTE(Q219,""Sell_"",""""))))/2),ROUNDUP(INDEX(Upgrades!$C$3:$C$13,MATCH(Q219,Upgrades!$B$3:$B$13,0))*1.15^(COUNTIF(Q$4:Q218,Q219)-COUNTIF(Q$4:Q218,""Sell_""&amp;Q219))))))"),-13300.0)</f>
        <v>-13300</v>
      </c>
      <c r="V219" s="10">
        <f t="shared" si="11"/>
        <v>-8856403</v>
      </c>
      <c r="W219" s="68">
        <f t="shared" si="12"/>
        <v>3545.704845</v>
      </c>
      <c r="X219" s="59" t="str">
        <f t="shared" si="13"/>
        <v>59m 05s</v>
      </c>
      <c r="Y219" s="69">
        <f t="shared" si="14"/>
        <v>100625440</v>
      </c>
      <c r="Z219" s="11"/>
    </row>
    <row r="220">
      <c r="A220" s="8"/>
      <c r="B220" s="56" t="str">
        <f t="shared" si="2"/>
        <v/>
      </c>
      <c r="C220" s="57"/>
      <c r="D220" s="10" t="str">
        <f>IFERROR(__xludf.DUMMYFUNCTION("IF(COUNTA(C220:C1350)=0,"""",IF(ISBLANK(C220),FALSE,IF(NOT(COUNTIF($AA$24:$AA$34,SUBSTITUTE(C220,""Sell_"",""""))),1,IF(REGEXMATCH(C220,""Sell_""),IF(COUNTIF(C$4:C220,SUBSTITUTE(C220,""Sell_"",""""))-COUNTIF(C$4:C219,C220)&lt;1,1),FALSE))))"),"")</f>
        <v/>
      </c>
      <c r="E220" s="59" t="str">
        <f t="array" ref="E220">IF(COUNTA(C220:C1350)=0,"",SUM((COUNTIF(C$4:C220,Upgrades!$B$3:$B$13)-COUNTIF(C$4:C220,"Sell_"&amp;Upgrades!$B$3:$B$13))*Upgrades!$D$3:$D$13))</f>
        <v/>
      </c>
      <c r="F220" s="66" t="str">
        <f>IFERROR(__xludf.DUMMYFUNCTION("IF(COUNTA(C220:C1350)=0,"""",IF(REGEXMATCH(INDEX(FILTER(C$4:C220,C$4:C220&lt;&gt;""""),ROWS(FILTER(C$4:C220,C$4:C220&lt;&gt;""""))),""^Sell_""),INDEX(FILTER(F$4:F219,C$4:C219&lt;&gt;""""),ROWS(FILTER(C$4:C219,C$4:C219&lt;&gt;""""))),$AC$5+E220))"),"")</f>
        <v/>
      </c>
      <c r="G220" s="10" t="str">
        <f>IFERROR(__xludf.DUMMYFUNCTION("IF(COUNTA(C220:C1350)=0,"""",IF(C220="""",0,IF(REGEXMATCH(C220,""^Sell_""),-ROUNDDOWN(ROUNDUP(INDEX(Upgrades!$C$3:$C$13,MATCH(SUBSTITUTE(C220,""Sell_"",""""),Upgrades!$B$3:$B$13,0))*1.15^(COUNTIF(C$4:C219,SUBSTITUTE(C220,""Sell_"",""""))-COUNTIF(C$4:C219,"&amp;"""Sell_""&amp;SUBSTITUTE(C220,""Sell_"",""""))))/2),ROUNDUP(INDEX(Upgrades!$C$3:$C$13,MATCH(C220,Upgrades!$B$3:$B$13,0))*1.15^(COUNTIF(C$4:C219,C220)-COUNTIF(C$4:C219,""Sell_""&amp;C220))))))"),"")</f>
        <v/>
      </c>
      <c r="H220" s="10" t="str">
        <f t="shared" si="3"/>
        <v/>
      </c>
      <c r="I220" s="68" t="str">
        <f t="shared" si="4"/>
        <v/>
      </c>
      <c r="J220" s="59" t="str">
        <f t="shared" si="5"/>
        <v/>
      </c>
      <c r="K220" s="69" t="str">
        <f t="shared" si="6"/>
        <v/>
      </c>
      <c r="L220" s="60">
        <f t="shared" si="7"/>
        <v>-152.24623</v>
      </c>
      <c r="M220" s="61">
        <f>IFERROR(__xludf.DUMMYFUNCTION("IFS(AND(COUNTA(C220:C1350)=0,COUNTA(Q220:Q1350)=0),"""",OR(AND(K220&gt;=1000000000,OR(Y220&gt;=1000000000,COUNTA(Q220:Q1350)=0)),OR(Y220&gt;=1000000000,AND(COUNTA(C220:C1350)=0,P$3=TRUE))),
ROUNDDOWN((AB$1-AC$1)*MAX(INDEX(T$4:T1350,MATCH(LARGE(FILTER(Y$4:Y1350,Y$4"&amp;":Y1350&lt;1000000000),1),Y$4:Y1350)),INDEX(F$4:F1350,MATCH(LARGE(FILTER(K$4:K1350,K$4:K1350&lt;1000000000),1),K$4:K1350)))),AND(K220&lt;1000000000,COUNTA(C220:C1350)&gt;0,P$3=FALSE),
ROUNDDOWN(INDEX(Y$4:Y1350,MATCH(LARGE(FILTER(W$4:W1350,W$4:W1350&lt;=I220),1),W$4:W1350"&amp;"))+(I220-LARGE(FILTER(W$4:W1350,W$4:W1350&lt;=I220),1))*INDEX(T$4:T1350,MATCH(LARGE(FILTER(W$4:W1350,W$4:W1350&lt;=I220),1),W$4:W1350))-K220),1,
ROUNDDOWN(Y220-INDEX(K$4:K1350,MATCH(LARGE(FILTER(I$4:I1350,I$4:I1350&lt;=W220),1),I$4:I1350))-(W220-LARGE(FILTER(I$4:I"&amp;"1350,I$4:I1350&lt;=W220),1))*INDEX(F$4:F1350,MATCH(LARGE(FILTER(I$4:I1350,I$4:I1350&lt;=W220),1),I$4:I1350))))"),1.6198681E7)</f>
        <v>16198681</v>
      </c>
      <c r="N220" s="60">
        <f t="shared" si="8"/>
        <v>-152.24623</v>
      </c>
      <c r="O220" s="61" t="str">
        <f t="shared" si="9"/>
        <v>16,2M</v>
      </c>
      <c r="P220" s="56">
        <f t="shared" si="10"/>
        <v>32</v>
      </c>
      <c r="Q220" s="105" t="s">
        <v>59</v>
      </c>
      <c r="R220" s="10" t="b">
        <f>IFERROR(__xludf.DUMMYFUNCTION("IF(COUNTA(Q220:Q1350)=0,"""",IF(ISBLANK(Q220),FALSE,IF(NOT(COUNTIF($AA$24:$AA$34,SUBSTITUTE(Q220,""Sell_"",""""))),1,IF(REGEXMATCH(Q220,""Sell_""),IF(COUNTIF(Q$4:Q220,SUBSTITUTE(Q220,""Sell_"",""""))-COUNTIF(Q$4:Q219,Q220)&lt;1,1),FALSE))))"),FALSE)</f>
        <v>0</v>
      </c>
      <c r="S220" s="59">
        <f t="array" ref="S220">IF(COUNTA(Q220:Q1350)=0,"",SUM((COUNTIF(Q$4:Q220,Upgrades!$B$3:$B$13)-COUNTIF(Q$4:Q220,"Sell_"&amp;Upgrades!$B$3:$B$13))*Upgrades!$D$3:$D$13))</f>
        <v>105435</v>
      </c>
      <c r="T220" s="66">
        <f>IFERROR(__xludf.DUMMYFUNCTION("IF(COUNTA(Q220:Q1350)=0,"""",IF(REGEXMATCH(INDEX(FILTER(Q$4:Q220,Q$4:Q220&lt;&gt;""""),ROWS(FILTER(Q$4:Q220,Q$4:Q220&lt;&gt;""""))),""^Sell_""),INDEX(FILTER(T$4:T219,Q$4:Q219&lt;&gt;""""),ROWS(FILTER(Q$4:Q219,Q$4:Q219&lt;&gt;""""))),$AD$5+S220))"),113441.0)</f>
        <v>113441</v>
      </c>
      <c r="U220" s="10">
        <f>IFERROR(__xludf.DUMMYFUNCTION("IF(COUNTA(Q220:Q1350)=0,"""",IF(Q220="""",0,IF(REGEXMATCH(Q220,""^Sell_""),-ROUNDDOWN(ROUNDUP(INDEX(Upgrades!$C$3:$C$13,MATCH(SUBSTITUTE(Q220,""Sell_"",""""),Upgrades!$B$3:$B$13,0))*1.15^(COUNTIF(Q$4:Q219,SUBSTITUTE(Q220,""Sell_"",""""))-COUNTIF(Q$4:Q219,"&amp;"""Sell_""&amp;SUBSTITUTE(Q220,""Sell_"",""""))))/2),ROUNDUP(INDEX(Upgrades!$C$3:$C$13,MATCH(Q220,Upgrades!$B$3:$B$13,0))*1.15^(COUNTIF(Q$4:Q219,Q220)-COUNTIF(Q$4:Q219,""Sell_""&amp;Q220))))))"),-11565.0)</f>
        <v>-11565</v>
      </c>
      <c r="V220" s="10">
        <f t="shared" si="11"/>
        <v>-8867968</v>
      </c>
      <c r="W220" s="68">
        <f t="shared" si="12"/>
        <v>3545.704845</v>
      </c>
      <c r="X220" s="59" t="str">
        <f t="shared" si="13"/>
        <v>59m 05s</v>
      </c>
      <c r="Y220" s="69">
        <f t="shared" si="14"/>
        <v>100625440</v>
      </c>
      <c r="Z220" s="11"/>
    </row>
    <row r="221">
      <c r="A221" s="8"/>
      <c r="B221" s="56" t="str">
        <f t="shared" si="2"/>
        <v/>
      </c>
      <c r="C221" s="57"/>
      <c r="D221" s="10" t="str">
        <f>IFERROR(__xludf.DUMMYFUNCTION("IF(COUNTA(C221:C1350)=0,"""",IF(ISBLANK(C221),FALSE,IF(NOT(COUNTIF($AA$24:$AA$34,SUBSTITUTE(C221,""Sell_"",""""))),1,IF(REGEXMATCH(C221,""Sell_""),IF(COUNTIF(C$4:C221,SUBSTITUTE(C221,""Sell_"",""""))-COUNTIF(C$4:C220,C221)&lt;1,1),FALSE))))"),"")</f>
        <v/>
      </c>
      <c r="E221" s="59" t="str">
        <f t="array" ref="E221">IF(COUNTA(C221:C1350)=0,"",SUM((COUNTIF(C$4:C221,Upgrades!$B$3:$B$13)-COUNTIF(C$4:C221,"Sell_"&amp;Upgrades!$B$3:$B$13))*Upgrades!$D$3:$D$13))</f>
        <v/>
      </c>
      <c r="F221" s="66" t="str">
        <f>IFERROR(__xludf.DUMMYFUNCTION("IF(COUNTA(C221:C1350)=0,"""",IF(REGEXMATCH(INDEX(FILTER(C$4:C221,C$4:C221&lt;&gt;""""),ROWS(FILTER(C$4:C221,C$4:C221&lt;&gt;""""))),""^Sell_""),INDEX(FILTER(F$4:F220,C$4:C220&lt;&gt;""""),ROWS(FILTER(C$4:C220,C$4:C220&lt;&gt;""""))),$AC$5+E221))"),"")</f>
        <v/>
      </c>
      <c r="G221" s="10" t="str">
        <f>IFERROR(__xludf.DUMMYFUNCTION("IF(COUNTA(C221:C1350)=0,"""",IF(C221="""",0,IF(REGEXMATCH(C221,""^Sell_""),-ROUNDDOWN(ROUNDUP(INDEX(Upgrades!$C$3:$C$13,MATCH(SUBSTITUTE(C221,""Sell_"",""""),Upgrades!$B$3:$B$13,0))*1.15^(COUNTIF(C$4:C220,SUBSTITUTE(C221,""Sell_"",""""))-COUNTIF(C$4:C220,"&amp;"""Sell_""&amp;SUBSTITUTE(C221,""Sell_"",""""))))/2),ROUNDUP(INDEX(Upgrades!$C$3:$C$13,MATCH(C221,Upgrades!$B$3:$B$13,0))*1.15^(COUNTIF(C$4:C220,C221)-COUNTIF(C$4:C220,""Sell_""&amp;C221))))))"),"")</f>
        <v/>
      </c>
      <c r="H221" s="10" t="str">
        <f t="shared" si="3"/>
        <v/>
      </c>
      <c r="I221" s="68" t="str">
        <f t="shared" si="4"/>
        <v/>
      </c>
      <c r="J221" s="59" t="str">
        <f t="shared" si="5"/>
        <v/>
      </c>
      <c r="K221" s="69" t="str">
        <f t="shared" si="6"/>
        <v/>
      </c>
      <c r="L221" s="60">
        <f t="shared" si="7"/>
        <v>-152.24623</v>
      </c>
      <c r="M221" s="61">
        <f>IFERROR(__xludf.DUMMYFUNCTION("IFS(AND(COUNTA(C221:C1350)=0,COUNTA(Q221:Q1350)=0),"""",OR(AND(K221&gt;=1000000000,OR(Y221&gt;=1000000000,COUNTA(Q221:Q1350)=0)),OR(Y221&gt;=1000000000,AND(COUNTA(C221:C1350)=0,P$3=TRUE))),
ROUNDDOWN((AB$1-AC$1)*MAX(INDEX(T$4:T1350,MATCH(LARGE(FILTER(Y$4:Y1350,Y$4"&amp;":Y1350&lt;1000000000),1),Y$4:Y1350)),INDEX(F$4:F1350,MATCH(LARGE(FILTER(K$4:K1350,K$4:K1350&lt;1000000000),1),K$4:K1350)))),AND(K221&lt;1000000000,COUNTA(C221:C1350)&gt;0,P$3=FALSE),
ROUNDDOWN(INDEX(Y$4:Y1350,MATCH(LARGE(FILTER(W$4:W1350,W$4:W1350&lt;=I221),1),W$4:W1350"&amp;"))+(I221-LARGE(FILTER(W$4:W1350,W$4:W1350&lt;=I221),1))*INDEX(T$4:T1350,MATCH(LARGE(FILTER(W$4:W1350,W$4:W1350&lt;=I221),1),W$4:W1350))-K221),1,
ROUNDDOWN(Y221-INDEX(K$4:K1350,MATCH(LARGE(FILTER(I$4:I1350,I$4:I1350&lt;=W221),1),I$4:I1350))-(W221-LARGE(FILTER(I$4:I"&amp;"1350,I$4:I1350&lt;=W221),1))*INDEX(F$4:F1350,MATCH(LARGE(FILTER(I$4:I1350,I$4:I1350&lt;=W221),1),I$4:I1350))))"),1.6198681E7)</f>
        <v>16198681</v>
      </c>
      <c r="N221" s="60">
        <f t="shared" si="8"/>
        <v>-152.24623</v>
      </c>
      <c r="O221" s="61" t="str">
        <f t="shared" si="9"/>
        <v>16,2M</v>
      </c>
      <c r="P221" s="56">
        <f t="shared" si="10"/>
        <v>33</v>
      </c>
      <c r="Q221" s="105" t="s">
        <v>59</v>
      </c>
      <c r="R221" s="10" t="b">
        <f>IFERROR(__xludf.DUMMYFUNCTION("IF(COUNTA(Q221:Q1350)=0,"""",IF(ISBLANK(Q221),FALSE,IF(NOT(COUNTIF($AA$24:$AA$34,SUBSTITUTE(Q221,""Sell_"",""""))),1,IF(REGEXMATCH(Q221,""Sell_""),IF(COUNTIF(Q$4:Q221,SUBSTITUTE(Q221,""Sell_"",""""))-COUNTIF(Q$4:Q220,Q221)&lt;1,1),FALSE))))"),FALSE)</f>
        <v>0</v>
      </c>
      <c r="S221" s="59">
        <f t="array" ref="S221">IF(COUNTA(Q221:Q1350)=0,"",SUM((COUNTIF(Q$4:Q221,Upgrades!$B$3:$B$13)-COUNTIF(Q$4:Q221,"Sell_"&amp;Upgrades!$B$3:$B$13))*Upgrades!$D$3:$D$13))</f>
        <v>105395</v>
      </c>
      <c r="T221" s="66">
        <f>IFERROR(__xludf.DUMMYFUNCTION("IF(COUNTA(Q221:Q1350)=0,"""",IF(REGEXMATCH(INDEX(FILTER(Q$4:Q221,Q$4:Q221&lt;&gt;""""),ROWS(FILTER(Q$4:Q221,Q$4:Q221&lt;&gt;""""))),""^Sell_""),INDEX(FILTER(T$4:T220,Q$4:Q220&lt;&gt;""""),ROWS(FILTER(Q$4:Q220,Q$4:Q220&lt;&gt;""""))),$AD$5+S221))"),113441.0)</f>
        <v>113441</v>
      </c>
      <c r="U221" s="10">
        <f>IFERROR(__xludf.DUMMYFUNCTION("IF(COUNTA(Q221:Q1350)=0,"""",IF(Q221="""",0,IF(REGEXMATCH(Q221,""^Sell_""),-ROUNDDOWN(ROUNDUP(INDEX(Upgrades!$C$3:$C$13,MATCH(SUBSTITUTE(Q221,""Sell_"",""""),Upgrades!$B$3:$B$13,0))*1.15^(COUNTIF(Q$4:Q220,SUBSTITUTE(Q221,""Sell_"",""""))-COUNTIF(Q$4:Q220,"&amp;"""Sell_""&amp;SUBSTITUTE(Q221,""Sell_"",""""))))/2),ROUNDUP(INDEX(Upgrades!$C$3:$C$13,MATCH(Q221,Upgrades!$B$3:$B$13,0))*1.15^(COUNTIF(Q$4:Q220,Q221)-COUNTIF(Q$4:Q220,""Sell_""&amp;Q221))))))"),-10057.0)</f>
        <v>-10057</v>
      </c>
      <c r="V221" s="10">
        <f t="shared" si="11"/>
        <v>-8878025</v>
      </c>
      <c r="W221" s="68">
        <f t="shared" si="12"/>
        <v>3545.704845</v>
      </c>
      <c r="X221" s="59" t="str">
        <f t="shared" si="13"/>
        <v>59m 05s</v>
      </c>
      <c r="Y221" s="69">
        <f t="shared" si="14"/>
        <v>100625440</v>
      </c>
      <c r="Z221" s="11"/>
    </row>
    <row r="222">
      <c r="A222" s="8"/>
      <c r="B222" s="56" t="str">
        <f t="shared" si="2"/>
        <v/>
      </c>
      <c r="C222" s="57"/>
      <c r="D222" s="10" t="str">
        <f>IFERROR(__xludf.DUMMYFUNCTION("IF(COUNTA(C222:C1350)=0,"""",IF(ISBLANK(C222),FALSE,IF(NOT(COUNTIF($AA$24:$AA$34,SUBSTITUTE(C222,""Sell_"",""""))),1,IF(REGEXMATCH(C222,""Sell_""),IF(COUNTIF(C$4:C222,SUBSTITUTE(C222,""Sell_"",""""))-COUNTIF(C$4:C221,C222)&lt;1,1),FALSE))))"),"")</f>
        <v/>
      </c>
      <c r="E222" s="59" t="str">
        <f t="array" ref="E222">IF(COUNTA(C222:C1350)=0,"",SUM((COUNTIF(C$4:C222,Upgrades!$B$3:$B$13)-COUNTIF(C$4:C222,"Sell_"&amp;Upgrades!$B$3:$B$13))*Upgrades!$D$3:$D$13))</f>
        <v/>
      </c>
      <c r="F222" s="66" t="str">
        <f>IFERROR(__xludf.DUMMYFUNCTION("IF(COUNTA(C222:C1350)=0,"""",IF(REGEXMATCH(INDEX(FILTER(C$4:C222,C$4:C222&lt;&gt;""""),ROWS(FILTER(C$4:C222,C$4:C222&lt;&gt;""""))),""^Sell_""),INDEX(FILTER(F$4:F221,C$4:C221&lt;&gt;""""),ROWS(FILTER(C$4:C221,C$4:C221&lt;&gt;""""))),$AC$5+E222))"),"")</f>
        <v/>
      </c>
      <c r="G222" s="10" t="str">
        <f>IFERROR(__xludf.DUMMYFUNCTION("IF(COUNTA(C222:C1350)=0,"""",IF(C222="""",0,IF(REGEXMATCH(C222,""^Sell_""),-ROUNDDOWN(ROUNDUP(INDEX(Upgrades!$C$3:$C$13,MATCH(SUBSTITUTE(C222,""Sell_"",""""),Upgrades!$B$3:$B$13,0))*1.15^(COUNTIF(C$4:C221,SUBSTITUTE(C222,""Sell_"",""""))-COUNTIF(C$4:C221,"&amp;"""Sell_""&amp;SUBSTITUTE(C222,""Sell_"",""""))))/2),ROUNDUP(INDEX(Upgrades!$C$3:$C$13,MATCH(C222,Upgrades!$B$3:$B$13,0))*1.15^(COUNTIF(C$4:C221,C222)-COUNTIF(C$4:C221,""Sell_""&amp;C222))))))"),"")</f>
        <v/>
      </c>
      <c r="H222" s="10" t="str">
        <f t="shared" si="3"/>
        <v/>
      </c>
      <c r="I222" s="68" t="str">
        <f t="shared" si="4"/>
        <v/>
      </c>
      <c r="J222" s="59" t="str">
        <f t="shared" si="5"/>
        <v/>
      </c>
      <c r="K222" s="69" t="str">
        <f t="shared" si="6"/>
        <v/>
      </c>
      <c r="L222" s="60">
        <f t="shared" si="7"/>
        <v>-152.24623</v>
      </c>
      <c r="M222" s="61">
        <f>IFERROR(__xludf.DUMMYFUNCTION("IFS(AND(COUNTA(C222:C1350)=0,COUNTA(Q222:Q1350)=0),"""",OR(AND(K222&gt;=1000000000,OR(Y222&gt;=1000000000,COUNTA(Q222:Q1350)=0)),OR(Y222&gt;=1000000000,AND(COUNTA(C222:C1350)=0,P$3=TRUE))),
ROUNDDOWN((AB$1-AC$1)*MAX(INDEX(T$4:T1350,MATCH(LARGE(FILTER(Y$4:Y1350,Y$4"&amp;":Y1350&lt;1000000000),1),Y$4:Y1350)),INDEX(F$4:F1350,MATCH(LARGE(FILTER(K$4:K1350,K$4:K1350&lt;1000000000),1),K$4:K1350)))),AND(K222&lt;1000000000,COUNTA(C222:C1350)&gt;0,P$3=FALSE),
ROUNDDOWN(INDEX(Y$4:Y1350,MATCH(LARGE(FILTER(W$4:W1350,W$4:W1350&lt;=I222),1),W$4:W1350"&amp;"))+(I222-LARGE(FILTER(W$4:W1350,W$4:W1350&lt;=I222),1))*INDEX(T$4:T1350,MATCH(LARGE(FILTER(W$4:W1350,W$4:W1350&lt;=I222),1),W$4:W1350))-K222),1,
ROUNDDOWN(Y222-INDEX(K$4:K1350,MATCH(LARGE(FILTER(I$4:I1350,I$4:I1350&lt;=W222),1),I$4:I1350))-(W222-LARGE(FILTER(I$4:I"&amp;"1350,I$4:I1350&lt;=W222),1))*INDEX(F$4:F1350,MATCH(LARGE(FILTER(I$4:I1350,I$4:I1350&lt;=W222),1),I$4:I1350))))"),1.6198681E7)</f>
        <v>16198681</v>
      </c>
      <c r="N222" s="60">
        <f t="shared" si="8"/>
        <v>-152.24623</v>
      </c>
      <c r="O222" s="61" t="str">
        <f t="shared" si="9"/>
        <v>16,2M</v>
      </c>
      <c r="P222" s="56">
        <f t="shared" si="10"/>
        <v>14</v>
      </c>
      <c r="Q222" s="105" t="s">
        <v>61</v>
      </c>
      <c r="R222" s="10" t="b">
        <f>IFERROR(__xludf.DUMMYFUNCTION("IF(COUNTA(Q222:Q1350)=0,"""",IF(ISBLANK(Q222),FALSE,IF(NOT(COUNTIF($AA$24:$AA$34,SUBSTITUTE(Q222,""Sell_"",""""))),1,IF(REGEXMATCH(Q222,""Sell_""),IF(COUNTIF(Q$4:Q222,SUBSTITUTE(Q222,""Sell_"",""""))-COUNTIF(Q$4:Q221,Q222)&lt;1,1),FALSE))))"),FALSE)</f>
        <v>0</v>
      </c>
      <c r="S222" s="59">
        <f t="array" ref="S222">IF(COUNTA(Q222:Q1350)=0,"",SUM((COUNTIF(Q$4:Q222,Upgrades!$B$3:$B$13)-COUNTIF(Q$4:Q222,"Sell_"&amp;Upgrades!$B$3:$B$13))*Upgrades!$D$3:$D$13))</f>
        <v>105295</v>
      </c>
      <c r="T222" s="66">
        <f>IFERROR(__xludf.DUMMYFUNCTION("IF(COUNTA(Q222:Q1350)=0,"""",IF(REGEXMATCH(INDEX(FILTER(Q$4:Q222,Q$4:Q222&lt;&gt;""""),ROWS(FILTER(Q$4:Q222,Q$4:Q222&lt;&gt;""""))),""^Sell_""),INDEX(FILTER(T$4:T221,Q$4:Q221&lt;&gt;""""),ROWS(FILTER(Q$4:Q221,Q$4:Q221&lt;&gt;""""))),$AD$5+S222))"),113441.0)</f>
        <v>113441</v>
      </c>
      <c r="U222" s="10">
        <f>IFERROR(__xludf.DUMMYFUNCTION("IF(COUNTA(Q222:Q1350)=0,"""",IF(Q222="""",0,IF(REGEXMATCH(Q222,""^Sell_""),-ROUNDDOWN(ROUNDUP(INDEX(Upgrades!$C$3:$C$13,MATCH(SUBSTITUTE(Q222,""Sell_"",""""),Upgrades!$B$3:$B$13,0))*1.15^(COUNTIF(Q$4:Q221,SUBSTITUTE(Q222,""Sell_"",""""))-COUNTIF(Q$4:Q221,"&amp;"""Sell_""&amp;SUBSTITUTE(Q222,""Sell_"",""""))))/2),ROUNDUP(INDEX(Upgrades!$C$3:$C$13,MATCH(Q222,Upgrades!$B$3:$B$13,0))*1.15^(COUNTIF(Q$4:Q221,Q222)-COUNTIF(Q$4:Q221,""Sell_""&amp;Q222))))))"),-80911.0)</f>
        <v>-80911</v>
      </c>
      <c r="V222" s="10">
        <f t="shared" si="11"/>
        <v>-8958936</v>
      </c>
      <c r="W222" s="68">
        <f t="shared" si="12"/>
        <v>3545.704845</v>
      </c>
      <c r="X222" s="59" t="str">
        <f t="shared" si="13"/>
        <v>59m 05s</v>
      </c>
      <c r="Y222" s="69">
        <f t="shared" si="14"/>
        <v>100625440</v>
      </c>
      <c r="Z222" s="11"/>
    </row>
    <row r="223">
      <c r="A223" s="8"/>
      <c r="B223" s="56" t="str">
        <f t="shared" si="2"/>
        <v/>
      </c>
      <c r="C223" s="57"/>
      <c r="D223" s="10" t="str">
        <f>IFERROR(__xludf.DUMMYFUNCTION("IF(COUNTA(C223:C1350)=0,"""",IF(ISBLANK(C223),FALSE,IF(NOT(COUNTIF($AA$24:$AA$34,SUBSTITUTE(C223,""Sell_"",""""))),1,IF(REGEXMATCH(C223,""Sell_""),IF(COUNTIF(C$4:C223,SUBSTITUTE(C223,""Sell_"",""""))-COUNTIF(C$4:C222,C223)&lt;1,1),FALSE))))"),"")</f>
        <v/>
      </c>
      <c r="E223" s="59" t="str">
        <f t="array" ref="E223">IF(COUNTA(C223:C1350)=0,"",SUM((COUNTIF(C$4:C223,Upgrades!$B$3:$B$13)-COUNTIF(C$4:C223,"Sell_"&amp;Upgrades!$B$3:$B$13))*Upgrades!$D$3:$D$13))</f>
        <v/>
      </c>
      <c r="F223" s="66" t="str">
        <f>IFERROR(__xludf.DUMMYFUNCTION("IF(COUNTA(C223:C1350)=0,"""",IF(REGEXMATCH(INDEX(FILTER(C$4:C223,C$4:C223&lt;&gt;""""),ROWS(FILTER(C$4:C223,C$4:C223&lt;&gt;""""))),""^Sell_""),INDEX(FILTER(F$4:F222,C$4:C222&lt;&gt;""""),ROWS(FILTER(C$4:C222,C$4:C222&lt;&gt;""""))),$AC$5+E223))"),"")</f>
        <v/>
      </c>
      <c r="G223" s="10" t="str">
        <f>IFERROR(__xludf.DUMMYFUNCTION("IF(COUNTA(C223:C1350)=0,"""",IF(C223="""",0,IF(REGEXMATCH(C223,""^Sell_""),-ROUNDDOWN(ROUNDUP(INDEX(Upgrades!$C$3:$C$13,MATCH(SUBSTITUTE(C223,""Sell_"",""""),Upgrades!$B$3:$B$13,0))*1.15^(COUNTIF(C$4:C222,SUBSTITUTE(C223,""Sell_"",""""))-COUNTIF(C$4:C222,"&amp;"""Sell_""&amp;SUBSTITUTE(C223,""Sell_"",""""))))/2),ROUNDUP(INDEX(Upgrades!$C$3:$C$13,MATCH(C223,Upgrades!$B$3:$B$13,0))*1.15^(COUNTIF(C$4:C222,C223)-COUNTIF(C$4:C222,""Sell_""&amp;C223))))))"),"")</f>
        <v/>
      </c>
      <c r="H223" s="10" t="str">
        <f t="shared" si="3"/>
        <v/>
      </c>
      <c r="I223" s="68" t="str">
        <f t="shared" si="4"/>
        <v/>
      </c>
      <c r="J223" s="59" t="str">
        <f t="shared" si="5"/>
        <v/>
      </c>
      <c r="K223" s="69" t="str">
        <f t="shared" si="6"/>
        <v/>
      </c>
      <c r="L223" s="60">
        <f t="shared" si="7"/>
        <v>-152.24623</v>
      </c>
      <c r="M223" s="61">
        <f>IFERROR(__xludf.DUMMYFUNCTION("IFS(AND(COUNTA(C223:C1350)=0,COUNTA(Q223:Q1350)=0),"""",OR(AND(K223&gt;=1000000000,OR(Y223&gt;=1000000000,COUNTA(Q223:Q1350)=0)),OR(Y223&gt;=1000000000,AND(COUNTA(C223:C1350)=0,P$3=TRUE))),
ROUNDDOWN((AB$1-AC$1)*MAX(INDEX(T$4:T1350,MATCH(LARGE(FILTER(Y$4:Y1350,Y$4"&amp;":Y1350&lt;1000000000),1),Y$4:Y1350)),INDEX(F$4:F1350,MATCH(LARGE(FILTER(K$4:K1350,K$4:K1350&lt;1000000000),1),K$4:K1350)))),AND(K223&lt;1000000000,COUNTA(C223:C1350)&gt;0,P$3=FALSE),
ROUNDDOWN(INDEX(Y$4:Y1350,MATCH(LARGE(FILTER(W$4:W1350,W$4:W1350&lt;=I223),1),W$4:W1350"&amp;"))+(I223-LARGE(FILTER(W$4:W1350,W$4:W1350&lt;=I223),1))*INDEX(T$4:T1350,MATCH(LARGE(FILTER(W$4:W1350,W$4:W1350&lt;=I223),1),W$4:W1350))-K223),1,
ROUNDDOWN(Y223-INDEX(K$4:K1350,MATCH(LARGE(FILTER(I$4:I1350,I$4:I1350&lt;=W223),1),I$4:I1350))-(W223-LARGE(FILTER(I$4:I"&amp;"1350,I$4:I1350&lt;=W223),1))*INDEX(F$4:F1350,MATCH(LARGE(FILTER(I$4:I1350,I$4:I1350&lt;=W223),1),I$4:I1350))))"),1.6198681E7)</f>
        <v>16198681</v>
      </c>
      <c r="N223" s="60">
        <f t="shared" si="8"/>
        <v>-152.24623</v>
      </c>
      <c r="O223" s="61" t="str">
        <f t="shared" si="9"/>
        <v>16,2M</v>
      </c>
      <c r="P223" s="56">
        <f t="shared" si="10"/>
        <v>34</v>
      </c>
      <c r="Q223" s="105" t="s">
        <v>59</v>
      </c>
      <c r="R223" s="10" t="b">
        <f>IFERROR(__xludf.DUMMYFUNCTION("IF(COUNTA(Q223:Q1350)=0,"""",IF(ISBLANK(Q223),FALSE,IF(NOT(COUNTIF($AA$24:$AA$34,SUBSTITUTE(Q223,""Sell_"",""""))),1,IF(REGEXMATCH(Q223,""Sell_""),IF(COUNTIF(Q$4:Q223,SUBSTITUTE(Q223,""Sell_"",""""))-COUNTIF(Q$4:Q222,Q223)&lt;1,1),FALSE))))"),FALSE)</f>
        <v>0</v>
      </c>
      <c r="S223" s="59">
        <f t="array" ref="S223">IF(COUNTA(Q223:Q1350)=0,"",SUM((COUNTIF(Q$4:Q223,Upgrades!$B$3:$B$13)-COUNTIF(Q$4:Q223,"Sell_"&amp;Upgrades!$B$3:$B$13))*Upgrades!$D$3:$D$13))</f>
        <v>105255</v>
      </c>
      <c r="T223" s="66">
        <f>IFERROR(__xludf.DUMMYFUNCTION("IF(COUNTA(Q223:Q1350)=0,"""",IF(REGEXMATCH(INDEX(FILTER(Q$4:Q223,Q$4:Q223&lt;&gt;""""),ROWS(FILTER(Q$4:Q223,Q$4:Q223&lt;&gt;""""))),""^Sell_""),INDEX(FILTER(T$4:T222,Q$4:Q222&lt;&gt;""""),ROWS(FILTER(Q$4:Q222,Q$4:Q222&lt;&gt;""""))),$AD$5+S223))"),113441.0)</f>
        <v>113441</v>
      </c>
      <c r="U223" s="10">
        <f>IFERROR(__xludf.DUMMYFUNCTION("IF(COUNTA(Q223:Q1350)=0,"""",IF(Q223="""",0,IF(REGEXMATCH(Q223,""^Sell_""),-ROUNDDOWN(ROUNDUP(INDEX(Upgrades!$C$3:$C$13,MATCH(SUBSTITUTE(Q223,""Sell_"",""""),Upgrades!$B$3:$B$13,0))*1.15^(COUNTIF(Q$4:Q222,SUBSTITUTE(Q223,""Sell_"",""""))-COUNTIF(Q$4:Q222,"&amp;"""Sell_""&amp;SUBSTITUTE(Q223,""Sell_"",""""))))/2),ROUNDUP(INDEX(Upgrades!$C$3:$C$13,MATCH(Q223,Upgrades!$B$3:$B$13,0))*1.15^(COUNTIF(Q$4:Q222,Q223)-COUNTIF(Q$4:Q222,""Sell_""&amp;Q223))))))"),-8745.0)</f>
        <v>-8745</v>
      </c>
      <c r="V223" s="10">
        <f t="shared" si="11"/>
        <v>-8967681</v>
      </c>
      <c r="W223" s="68">
        <f t="shared" si="12"/>
        <v>3545.704845</v>
      </c>
      <c r="X223" s="59" t="str">
        <f t="shared" si="13"/>
        <v>59m 05s</v>
      </c>
      <c r="Y223" s="69">
        <f t="shared" si="14"/>
        <v>100625440</v>
      </c>
      <c r="Z223" s="11"/>
    </row>
    <row r="224">
      <c r="A224" s="8"/>
      <c r="B224" s="56" t="str">
        <f t="shared" si="2"/>
        <v/>
      </c>
      <c r="C224" s="57"/>
      <c r="D224" s="10" t="str">
        <f>IFERROR(__xludf.DUMMYFUNCTION("IF(COUNTA(C224:C1350)=0,"""",IF(ISBLANK(C224),FALSE,IF(NOT(COUNTIF($AA$24:$AA$34,SUBSTITUTE(C224,""Sell_"",""""))),1,IF(REGEXMATCH(C224,""Sell_""),IF(COUNTIF(C$4:C224,SUBSTITUTE(C224,""Sell_"",""""))-COUNTIF(C$4:C223,C224)&lt;1,1),FALSE))))"),"")</f>
        <v/>
      </c>
      <c r="E224" s="59" t="str">
        <f t="array" ref="E224">IF(COUNTA(C224:C1350)=0,"",SUM((COUNTIF(C$4:C224,Upgrades!$B$3:$B$13)-COUNTIF(C$4:C224,"Sell_"&amp;Upgrades!$B$3:$B$13))*Upgrades!$D$3:$D$13))</f>
        <v/>
      </c>
      <c r="F224" s="66" t="str">
        <f>IFERROR(__xludf.DUMMYFUNCTION("IF(COUNTA(C224:C1350)=0,"""",IF(REGEXMATCH(INDEX(FILTER(C$4:C224,C$4:C224&lt;&gt;""""),ROWS(FILTER(C$4:C224,C$4:C224&lt;&gt;""""))),""^Sell_""),INDEX(FILTER(F$4:F223,C$4:C223&lt;&gt;""""),ROWS(FILTER(C$4:C223,C$4:C223&lt;&gt;""""))),$AC$5+E224))"),"")</f>
        <v/>
      </c>
      <c r="G224" s="10" t="str">
        <f>IFERROR(__xludf.DUMMYFUNCTION("IF(COUNTA(C224:C1350)=0,"""",IF(C224="""",0,IF(REGEXMATCH(C224,""^Sell_""),-ROUNDDOWN(ROUNDUP(INDEX(Upgrades!$C$3:$C$13,MATCH(SUBSTITUTE(C224,""Sell_"",""""),Upgrades!$B$3:$B$13,0))*1.15^(COUNTIF(C$4:C223,SUBSTITUTE(C224,""Sell_"",""""))-COUNTIF(C$4:C223,"&amp;"""Sell_""&amp;SUBSTITUTE(C224,""Sell_"",""""))))/2),ROUNDUP(INDEX(Upgrades!$C$3:$C$13,MATCH(C224,Upgrades!$B$3:$B$13,0))*1.15^(COUNTIF(C$4:C223,C224)-COUNTIF(C$4:C223,""Sell_""&amp;C224))))))"),"")</f>
        <v/>
      </c>
      <c r="H224" s="10" t="str">
        <f t="shared" si="3"/>
        <v/>
      </c>
      <c r="I224" s="68" t="str">
        <f t="shared" si="4"/>
        <v/>
      </c>
      <c r="J224" s="59" t="str">
        <f t="shared" si="5"/>
        <v/>
      </c>
      <c r="K224" s="69" t="str">
        <f t="shared" si="6"/>
        <v/>
      </c>
      <c r="L224" s="60">
        <f t="shared" si="7"/>
        <v>-152.24623</v>
      </c>
      <c r="M224" s="61">
        <f>IFERROR(__xludf.DUMMYFUNCTION("IFS(AND(COUNTA(C224:C1350)=0,COUNTA(Q224:Q1350)=0),"""",OR(AND(K224&gt;=1000000000,OR(Y224&gt;=1000000000,COUNTA(Q224:Q1350)=0)),OR(Y224&gt;=1000000000,AND(COUNTA(C224:C1350)=0,P$3=TRUE))),
ROUNDDOWN((AB$1-AC$1)*MAX(INDEX(T$4:T1350,MATCH(LARGE(FILTER(Y$4:Y1350,Y$4"&amp;":Y1350&lt;1000000000),1),Y$4:Y1350)),INDEX(F$4:F1350,MATCH(LARGE(FILTER(K$4:K1350,K$4:K1350&lt;1000000000),1),K$4:K1350)))),AND(K224&lt;1000000000,COUNTA(C224:C1350)&gt;0,P$3=FALSE),
ROUNDDOWN(INDEX(Y$4:Y1350,MATCH(LARGE(FILTER(W$4:W1350,W$4:W1350&lt;=I224),1),W$4:W1350"&amp;"))+(I224-LARGE(FILTER(W$4:W1350,W$4:W1350&lt;=I224),1))*INDEX(T$4:T1350,MATCH(LARGE(FILTER(W$4:W1350,W$4:W1350&lt;=I224),1),W$4:W1350))-K224),1,
ROUNDDOWN(Y224-INDEX(K$4:K1350,MATCH(LARGE(FILTER(I$4:I1350,I$4:I1350&lt;=W224),1),I$4:I1350))-(W224-LARGE(FILTER(I$4:I"&amp;"1350,I$4:I1350&lt;=W224),1))*INDEX(F$4:F1350,MATCH(LARGE(FILTER(I$4:I1350,I$4:I1350&lt;=W224),1),I$4:I1350))))"),1.6198681E7)</f>
        <v>16198681</v>
      </c>
      <c r="N224" s="60">
        <f t="shared" si="8"/>
        <v>-152.24623</v>
      </c>
      <c r="O224" s="61" t="str">
        <f t="shared" si="9"/>
        <v>16,2M</v>
      </c>
      <c r="P224" s="56">
        <f t="shared" si="10"/>
        <v>35</v>
      </c>
      <c r="Q224" s="105" t="s">
        <v>59</v>
      </c>
      <c r="R224" s="10" t="b">
        <f>IFERROR(__xludf.DUMMYFUNCTION("IF(COUNTA(Q224:Q1350)=0,"""",IF(ISBLANK(Q224),FALSE,IF(NOT(COUNTIF($AA$24:$AA$34,SUBSTITUTE(Q224,""Sell_"",""""))),1,IF(REGEXMATCH(Q224,""Sell_""),IF(COUNTIF(Q$4:Q224,SUBSTITUTE(Q224,""Sell_"",""""))-COUNTIF(Q$4:Q223,Q224)&lt;1,1),FALSE))))"),FALSE)</f>
        <v>0</v>
      </c>
      <c r="S224" s="59">
        <f t="array" ref="S224">IF(COUNTA(Q224:Q1350)=0,"",SUM((COUNTIF(Q$4:Q224,Upgrades!$B$3:$B$13)-COUNTIF(Q$4:Q224,"Sell_"&amp;Upgrades!$B$3:$B$13))*Upgrades!$D$3:$D$13))</f>
        <v>105215</v>
      </c>
      <c r="T224" s="66">
        <f>IFERROR(__xludf.DUMMYFUNCTION("IF(COUNTA(Q224:Q1350)=0,"""",IF(REGEXMATCH(INDEX(FILTER(Q$4:Q224,Q$4:Q224&lt;&gt;""""),ROWS(FILTER(Q$4:Q224,Q$4:Q224&lt;&gt;""""))),""^Sell_""),INDEX(FILTER(T$4:T223,Q$4:Q223&lt;&gt;""""),ROWS(FILTER(Q$4:Q223,Q$4:Q223&lt;&gt;""""))),$AD$5+S224))"),113441.0)</f>
        <v>113441</v>
      </c>
      <c r="U224" s="10">
        <f>IFERROR(__xludf.DUMMYFUNCTION("IF(COUNTA(Q224:Q1350)=0,"""",IF(Q224="""",0,IF(REGEXMATCH(Q224,""^Sell_""),-ROUNDDOWN(ROUNDUP(INDEX(Upgrades!$C$3:$C$13,MATCH(SUBSTITUTE(Q224,""Sell_"",""""),Upgrades!$B$3:$B$13,0))*1.15^(COUNTIF(Q$4:Q223,SUBSTITUTE(Q224,""Sell_"",""""))-COUNTIF(Q$4:Q223,"&amp;"""Sell_""&amp;SUBSTITUTE(Q224,""Sell_"",""""))))/2),ROUNDUP(INDEX(Upgrades!$C$3:$C$13,MATCH(Q224,Upgrades!$B$3:$B$13,0))*1.15^(COUNTIF(Q$4:Q223,Q224)-COUNTIF(Q$4:Q223,""Sell_""&amp;Q224))))))"),-7604.0)</f>
        <v>-7604</v>
      </c>
      <c r="V224" s="10">
        <f t="shared" si="11"/>
        <v>-8975285</v>
      </c>
      <c r="W224" s="68">
        <f t="shared" si="12"/>
        <v>3545.704845</v>
      </c>
      <c r="X224" s="59" t="str">
        <f t="shared" si="13"/>
        <v>59m 05s</v>
      </c>
      <c r="Y224" s="69">
        <f t="shared" si="14"/>
        <v>100625440</v>
      </c>
      <c r="Z224" s="11"/>
    </row>
    <row r="225">
      <c r="A225" s="8"/>
      <c r="B225" s="56" t="str">
        <f t="shared" si="2"/>
        <v/>
      </c>
      <c r="C225" s="57"/>
      <c r="D225" s="10" t="str">
        <f>IFERROR(__xludf.DUMMYFUNCTION("IF(COUNTA(C225:C1350)=0,"""",IF(ISBLANK(C225),FALSE,IF(NOT(COUNTIF($AA$24:$AA$34,SUBSTITUTE(C225,""Sell_"",""""))),1,IF(REGEXMATCH(C225,""Sell_""),IF(COUNTIF(C$4:C225,SUBSTITUTE(C225,""Sell_"",""""))-COUNTIF(C$4:C224,C225)&lt;1,1),FALSE))))"),"")</f>
        <v/>
      </c>
      <c r="E225" s="59" t="str">
        <f t="array" ref="E225">IF(COUNTA(C225:C1350)=0,"",SUM((COUNTIF(C$4:C225,Upgrades!$B$3:$B$13)-COUNTIF(C$4:C225,"Sell_"&amp;Upgrades!$B$3:$B$13))*Upgrades!$D$3:$D$13))</f>
        <v/>
      </c>
      <c r="F225" s="66" t="str">
        <f>IFERROR(__xludf.DUMMYFUNCTION("IF(COUNTA(C225:C1350)=0,"""",IF(REGEXMATCH(INDEX(FILTER(C$4:C225,C$4:C225&lt;&gt;""""),ROWS(FILTER(C$4:C225,C$4:C225&lt;&gt;""""))),""^Sell_""),INDEX(FILTER(F$4:F224,C$4:C224&lt;&gt;""""),ROWS(FILTER(C$4:C224,C$4:C224&lt;&gt;""""))),$AC$5+E225))"),"")</f>
        <v/>
      </c>
      <c r="G225" s="10" t="str">
        <f>IFERROR(__xludf.DUMMYFUNCTION("IF(COUNTA(C225:C1350)=0,"""",IF(C225="""",0,IF(REGEXMATCH(C225,""^Sell_""),-ROUNDDOWN(ROUNDUP(INDEX(Upgrades!$C$3:$C$13,MATCH(SUBSTITUTE(C225,""Sell_"",""""),Upgrades!$B$3:$B$13,0))*1.15^(COUNTIF(C$4:C224,SUBSTITUTE(C225,""Sell_"",""""))-COUNTIF(C$4:C224,"&amp;"""Sell_""&amp;SUBSTITUTE(C225,""Sell_"",""""))))/2),ROUNDUP(INDEX(Upgrades!$C$3:$C$13,MATCH(C225,Upgrades!$B$3:$B$13,0))*1.15^(COUNTIF(C$4:C224,C225)-COUNTIF(C$4:C224,""Sell_""&amp;C225))))))"),"")</f>
        <v/>
      </c>
      <c r="H225" s="10" t="str">
        <f t="shared" si="3"/>
        <v/>
      </c>
      <c r="I225" s="68" t="str">
        <f t="shared" si="4"/>
        <v/>
      </c>
      <c r="J225" s="59" t="str">
        <f t="shared" si="5"/>
        <v/>
      </c>
      <c r="K225" s="69" t="str">
        <f t="shared" si="6"/>
        <v/>
      </c>
      <c r="L225" s="60">
        <f t="shared" si="7"/>
        <v>-152.24623</v>
      </c>
      <c r="M225" s="61">
        <f>IFERROR(__xludf.DUMMYFUNCTION("IFS(AND(COUNTA(C225:C1350)=0,COUNTA(Q225:Q1350)=0),"""",OR(AND(K225&gt;=1000000000,OR(Y225&gt;=1000000000,COUNTA(Q225:Q1350)=0)),OR(Y225&gt;=1000000000,AND(COUNTA(C225:C1350)=0,P$3=TRUE))),
ROUNDDOWN((AB$1-AC$1)*MAX(INDEX(T$4:T1350,MATCH(LARGE(FILTER(Y$4:Y1350,Y$4"&amp;":Y1350&lt;1000000000),1),Y$4:Y1350)),INDEX(F$4:F1350,MATCH(LARGE(FILTER(K$4:K1350,K$4:K1350&lt;1000000000),1),K$4:K1350)))),AND(K225&lt;1000000000,COUNTA(C225:C1350)&gt;0,P$3=FALSE),
ROUNDDOWN(INDEX(Y$4:Y1350,MATCH(LARGE(FILTER(W$4:W1350,W$4:W1350&lt;=I225),1),W$4:W1350"&amp;"))+(I225-LARGE(FILTER(W$4:W1350,W$4:W1350&lt;=I225),1))*INDEX(T$4:T1350,MATCH(LARGE(FILTER(W$4:W1350,W$4:W1350&lt;=I225),1),W$4:W1350))-K225),1,
ROUNDDOWN(Y225-INDEX(K$4:K1350,MATCH(LARGE(FILTER(I$4:I1350,I$4:I1350&lt;=W225),1),I$4:I1350))-(W225-LARGE(FILTER(I$4:I"&amp;"1350,I$4:I1350&lt;=W225),1))*INDEX(F$4:F1350,MATCH(LARGE(FILTER(I$4:I1350,I$4:I1350&lt;=W225),1),I$4:I1350))))"),1.6198681E7)</f>
        <v>16198681</v>
      </c>
      <c r="N225" s="60">
        <f t="shared" si="8"/>
        <v>-152.24623</v>
      </c>
      <c r="O225" s="61" t="str">
        <f t="shared" si="9"/>
        <v>16,2M</v>
      </c>
      <c r="P225" s="56">
        <f t="shared" si="10"/>
        <v>36</v>
      </c>
      <c r="Q225" s="105" t="s">
        <v>59</v>
      </c>
      <c r="R225" s="10" t="b">
        <f>IFERROR(__xludf.DUMMYFUNCTION("IF(COUNTA(Q225:Q1350)=0,"""",IF(ISBLANK(Q225),FALSE,IF(NOT(COUNTIF($AA$24:$AA$34,SUBSTITUTE(Q225,""Sell_"",""""))),1,IF(REGEXMATCH(Q225,""Sell_""),IF(COUNTIF(Q$4:Q225,SUBSTITUTE(Q225,""Sell_"",""""))-COUNTIF(Q$4:Q224,Q225)&lt;1,1),FALSE))))"),FALSE)</f>
        <v>0</v>
      </c>
      <c r="S225" s="59">
        <f t="array" ref="S225">IF(COUNTA(Q225:Q1350)=0,"",SUM((COUNTIF(Q$4:Q225,Upgrades!$B$3:$B$13)-COUNTIF(Q$4:Q225,"Sell_"&amp;Upgrades!$B$3:$B$13))*Upgrades!$D$3:$D$13))</f>
        <v>105175</v>
      </c>
      <c r="T225" s="66">
        <f>IFERROR(__xludf.DUMMYFUNCTION("IF(COUNTA(Q225:Q1350)=0,"""",IF(REGEXMATCH(INDEX(FILTER(Q$4:Q225,Q$4:Q225&lt;&gt;""""),ROWS(FILTER(Q$4:Q225,Q$4:Q225&lt;&gt;""""))),""^Sell_""),INDEX(FILTER(T$4:T224,Q$4:Q224&lt;&gt;""""),ROWS(FILTER(Q$4:Q224,Q$4:Q224&lt;&gt;""""))),$AD$5+S225))"),113441.0)</f>
        <v>113441</v>
      </c>
      <c r="U225" s="10">
        <f>IFERROR(__xludf.DUMMYFUNCTION("IF(COUNTA(Q225:Q1350)=0,"""",IF(Q225="""",0,IF(REGEXMATCH(Q225,""^Sell_""),-ROUNDDOWN(ROUNDUP(INDEX(Upgrades!$C$3:$C$13,MATCH(SUBSTITUTE(Q225,""Sell_"",""""),Upgrades!$B$3:$B$13,0))*1.15^(COUNTIF(Q$4:Q224,SUBSTITUTE(Q225,""Sell_"",""""))-COUNTIF(Q$4:Q224,"&amp;"""Sell_""&amp;SUBSTITUTE(Q225,""Sell_"",""""))))/2),ROUNDUP(INDEX(Upgrades!$C$3:$C$13,MATCH(Q225,Upgrades!$B$3:$B$13,0))*1.15^(COUNTIF(Q$4:Q224,Q225)-COUNTIF(Q$4:Q224,""Sell_""&amp;Q225))))))"),-6612.0)</f>
        <v>-6612</v>
      </c>
      <c r="V225" s="10">
        <f t="shared" si="11"/>
        <v>-8981897</v>
      </c>
      <c r="W225" s="68">
        <f t="shared" si="12"/>
        <v>3545.704845</v>
      </c>
      <c r="X225" s="59" t="str">
        <f t="shared" si="13"/>
        <v>59m 05s</v>
      </c>
      <c r="Y225" s="69">
        <f t="shared" si="14"/>
        <v>100625440</v>
      </c>
      <c r="Z225" s="11"/>
    </row>
    <row r="226">
      <c r="A226" s="8"/>
      <c r="B226" s="56" t="str">
        <f t="shared" si="2"/>
        <v/>
      </c>
      <c r="C226" s="57"/>
      <c r="D226" s="10" t="str">
        <f>IFERROR(__xludf.DUMMYFUNCTION("IF(COUNTA(C226:C1350)=0,"""",IF(ISBLANK(C226),FALSE,IF(NOT(COUNTIF($AA$24:$AA$34,SUBSTITUTE(C226,""Sell_"",""""))),1,IF(REGEXMATCH(C226,""Sell_""),IF(COUNTIF(C$4:C226,SUBSTITUTE(C226,""Sell_"",""""))-COUNTIF(C$4:C225,C226)&lt;1,1),FALSE))))"),"")</f>
        <v/>
      </c>
      <c r="E226" s="59" t="str">
        <f t="array" ref="E226">IF(COUNTA(C226:C1350)=0,"",SUM((COUNTIF(C$4:C226,Upgrades!$B$3:$B$13)-COUNTIF(C$4:C226,"Sell_"&amp;Upgrades!$B$3:$B$13))*Upgrades!$D$3:$D$13))</f>
        <v/>
      </c>
      <c r="F226" s="66" t="str">
        <f>IFERROR(__xludf.DUMMYFUNCTION("IF(COUNTA(C226:C1350)=0,"""",IF(REGEXMATCH(INDEX(FILTER(C$4:C226,C$4:C226&lt;&gt;""""),ROWS(FILTER(C$4:C226,C$4:C226&lt;&gt;""""))),""^Sell_""),INDEX(FILTER(F$4:F225,C$4:C225&lt;&gt;""""),ROWS(FILTER(C$4:C225,C$4:C225&lt;&gt;""""))),$AC$5+E226))"),"")</f>
        <v/>
      </c>
      <c r="G226" s="10" t="str">
        <f>IFERROR(__xludf.DUMMYFUNCTION("IF(COUNTA(C226:C1350)=0,"""",IF(C226="""",0,IF(REGEXMATCH(C226,""^Sell_""),-ROUNDDOWN(ROUNDUP(INDEX(Upgrades!$C$3:$C$13,MATCH(SUBSTITUTE(C226,""Sell_"",""""),Upgrades!$B$3:$B$13,0))*1.15^(COUNTIF(C$4:C225,SUBSTITUTE(C226,""Sell_"",""""))-COUNTIF(C$4:C225,"&amp;"""Sell_""&amp;SUBSTITUTE(C226,""Sell_"",""""))))/2),ROUNDUP(INDEX(Upgrades!$C$3:$C$13,MATCH(C226,Upgrades!$B$3:$B$13,0))*1.15^(COUNTIF(C$4:C225,C226)-COUNTIF(C$4:C225,""Sell_""&amp;C226))))))"),"")</f>
        <v/>
      </c>
      <c r="H226" s="10" t="str">
        <f t="shared" si="3"/>
        <v/>
      </c>
      <c r="I226" s="68" t="str">
        <f t="shared" si="4"/>
        <v/>
      </c>
      <c r="J226" s="59" t="str">
        <f t="shared" si="5"/>
        <v/>
      </c>
      <c r="K226" s="69" t="str">
        <f t="shared" si="6"/>
        <v/>
      </c>
      <c r="L226" s="60">
        <f t="shared" si="7"/>
        <v>-152.24623</v>
      </c>
      <c r="M226" s="61">
        <f>IFERROR(__xludf.DUMMYFUNCTION("IFS(AND(COUNTA(C226:C1350)=0,COUNTA(Q226:Q1350)=0),"""",OR(AND(K226&gt;=1000000000,OR(Y226&gt;=1000000000,COUNTA(Q226:Q1350)=0)),OR(Y226&gt;=1000000000,AND(COUNTA(C226:C1350)=0,P$3=TRUE))),
ROUNDDOWN((AB$1-AC$1)*MAX(INDEX(T$4:T1350,MATCH(LARGE(FILTER(Y$4:Y1350,Y$4"&amp;":Y1350&lt;1000000000),1),Y$4:Y1350)),INDEX(F$4:F1350,MATCH(LARGE(FILTER(K$4:K1350,K$4:K1350&lt;1000000000),1),K$4:K1350)))),AND(K226&lt;1000000000,COUNTA(C226:C1350)&gt;0,P$3=FALSE),
ROUNDDOWN(INDEX(Y$4:Y1350,MATCH(LARGE(FILTER(W$4:W1350,W$4:W1350&lt;=I226),1),W$4:W1350"&amp;"))+(I226-LARGE(FILTER(W$4:W1350,W$4:W1350&lt;=I226),1))*INDEX(T$4:T1350,MATCH(LARGE(FILTER(W$4:W1350,W$4:W1350&lt;=I226),1),W$4:W1350))-K226),1,
ROUNDDOWN(Y226-INDEX(K$4:K1350,MATCH(LARGE(FILTER(I$4:I1350,I$4:I1350&lt;=W226),1),I$4:I1350))-(W226-LARGE(FILTER(I$4:I"&amp;"1350,I$4:I1350&lt;=W226),1))*INDEX(F$4:F1350,MATCH(LARGE(FILTER(I$4:I1350,I$4:I1350&lt;=W226),1),I$4:I1350))))"),1.6198681E7)</f>
        <v>16198681</v>
      </c>
      <c r="N226" s="60">
        <f t="shared" si="8"/>
        <v>-152.24623</v>
      </c>
      <c r="O226" s="61" t="str">
        <f t="shared" si="9"/>
        <v>16,2M</v>
      </c>
      <c r="P226" s="56">
        <f t="shared" si="10"/>
        <v>37</v>
      </c>
      <c r="Q226" s="105" t="s">
        <v>59</v>
      </c>
      <c r="R226" s="10" t="b">
        <f>IFERROR(__xludf.DUMMYFUNCTION("IF(COUNTA(Q226:Q1350)=0,"""",IF(ISBLANK(Q226),FALSE,IF(NOT(COUNTIF($AA$24:$AA$34,SUBSTITUTE(Q226,""Sell_"",""""))),1,IF(REGEXMATCH(Q226,""Sell_""),IF(COUNTIF(Q$4:Q226,SUBSTITUTE(Q226,""Sell_"",""""))-COUNTIF(Q$4:Q225,Q226)&lt;1,1),FALSE))))"),FALSE)</f>
        <v>0</v>
      </c>
      <c r="S226" s="59">
        <f t="array" ref="S226">IF(COUNTA(Q226:Q1350)=0,"",SUM((COUNTIF(Q$4:Q226,Upgrades!$B$3:$B$13)-COUNTIF(Q$4:Q226,"Sell_"&amp;Upgrades!$B$3:$B$13))*Upgrades!$D$3:$D$13))</f>
        <v>105135</v>
      </c>
      <c r="T226" s="66">
        <f>IFERROR(__xludf.DUMMYFUNCTION("IF(COUNTA(Q226:Q1350)=0,"""",IF(REGEXMATCH(INDEX(FILTER(Q$4:Q226,Q$4:Q226&lt;&gt;""""),ROWS(FILTER(Q$4:Q226,Q$4:Q226&lt;&gt;""""))),""^Sell_""),INDEX(FILTER(T$4:T225,Q$4:Q225&lt;&gt;""""),ROWS(FILTER(Q$4:Q225,Q$4:Q225&lt;&gt;""""))),$AD$5+S226))"),113441.0)</f>
        <v>113441</v>
      </c>
      <c r="U226" s="10">
        <f>IFERROR(__xludf.DUMMYFUNCTION("IF(COUNTA(Q226:Q1350)=0,"""",IF(Q226="""",0,IF(REGEXMATCH(Q226,""^Sell_""),-ROUNDDOWN(ROUNDUP(INDEX(Upgrades!$C$3:$C$13,MATCH(SUBSTITUTE(Q226,""Sell_"",""""),Upgrades!$B$3:$B$13,0))*1.15^(COUNTIF(Q$4:Q225,SUBSTITUTE(Q226,""Sell_"",""""))-COUNTIF(Q$4:Q225,"&amp;"""Sell_""&amp;SUBSTITUTE(Q226,""Sell_"",""""))))/2),ROUNDUP(INDEX(Upgrades!$C$3:$C$13,MATCH(Q226,Upgrades!$B$3:$B$13,0))*1.15^(COUNTIF(Q$4:Q225,Q226)-COUNTIF(Q$4:Q225,""Sell_""&amp;Q226))))))"),-5750.0)</f>
        <v>-5750</v>
      </c>
      <c r="V226" s="10">
        <f t="shared" si="11"/>
        <v>-8987647</v>
      </c>
      <c r="W226" s="68">
        <f t="shared" si="12"/>
        <v>3545.704845</v>
      </c>
      <c r="X226" s="59" t="str">
        <f t="shared" si="13"/>
        <v>59m 05s</v>
      </c>
      <c r="Y226" s="69">
        <f t="shared" si="14"/>
        <v>100625440</v>
      </c>
      <c r="Z226" s="11"/>
    </row>
    <row r="227">
      <c r="A227" s="8"/>
      <c r="B227" s="56" t="str">
        <f t="shared" si="2"/>
        <v/>
      </c>
      <c r="C227" s="57"/>
      <c r="D227" s="10" t="str">
        <f>IFERROR(__xludf.DUMMYFUNCTION("IF(COUNTA(C227:C1350)=0,"""",IF(ISBLANK(C227),FALSE,IF(NOT(COUNTIF($AA$24:$AA$34,SUBSTITUTE(C227,""Sell_"",""""))),1,IF(REGEXMATCH(C227,""Sell_""),IF(COUNTIF(C$4:C227,SUBSTITUTE(C227,""Sell_"",""""))-COUNTIF(C$4:C226,C227)&lt;1,1),FALSE))))"),"")</f>
        <v/>
      </c>
      <c r="E227" s="59" t="str">
        <f t="array" ref="E227">IF(COUNTA(C227:C1350)=0,"",SUM((COUNTIF(C$4:C227,Upgrades!$B$3:$B$13)-COUNTIF(C$4:C227,"Sell_"&amp;Upgrades!$B$3:$B$13))*Upgrades!$D$3:$D$13))</f>
        <v/>
      </c>
      <c r="F227" s="66" t="str">
        <f>IFERROR(__xludf.DUMMYFUNCTION("IF(COUNTA(C227:C1350)=0,"""",IF(REGEXMATCH(INDEX(FILTER(C$4:C227,C$4:C227&lt;&gt;""""),ROWS(FILTER(C$4:C227,C$4:C227&lt;&gt;""""))),""^Sell_""),INDEX(FILTER(F$4:F226,C$4:C226&lt;&gt;""""),ROWS(FILTER(C$4:C226,C$4:C226&lt;&gt;""""))),$AC$5+E227))"),"")</f>
        <v/>
      </c>
      <c r="G227" s="10" t="str">
        <f>IFERROR(__xludf.DUMMYFUNCTION("IF(COUNTA(C227:C1350)=0,"""",IF(C227="""",0,IF(REGEXMATCH(C227,""^Sell_""),-ROUNDDOWN(ROUNDUP(INDEX(Upgrades!$C$3:$C$13,MATCH(SUBSTITUTE(C227,""Sell_"",""""),Upgrades!$B$3:$B$13,0))*1.15^(COUNTIF(C$4:C226,SUBSTITUTE(C227,""Sell_"",""""))-COUNTIF(C$4:C226,"&amp;"""Sell_""&amp;SUBSTITUTE(C227,""Sell_"",""""))))/2),ROUNDUP(INDEX(Upgrades!$C$3:$C$13,MATCH(C227,Upgrades!$B$3:$B$13,0))*1.15^(COUNTIF(C$4:C226,C227)-COUNTIF(C$4:C226,""Sell_""&amp;C227))))))"),"")</f>
        <v/>
      </c>
      <c r="H227" s="10" t="str">
        <f t="shared" si="3"/>
        <v/>
      </c>
      <c r="I227" s="68" t="str">
        <f t="shared" si="4"/>
        <v/>
      </c>
      <c r="J227" s="59" t="str">
        <f t="shared" si="5"/>
        <v/>
      </c>
      <c r="K227" s="69" t="str">
        <f t="shared" si="6"/>
        <v/>
      </c>
      <c r="L227" s="60">
        <f t="shared" si="7"/>
        <v>-152.24623</v>
      </c>
      <c r="M227" s="61">
        <f>IFERROR(__xludf.DUMMYFUNCTION("IFS(AND(COUNTA(C227:C1350)=0,COUNTA(Q227:Q1350)=0),"""",OR(AND(K227&gt;=1000000000,OR(Y227&gt;=1000000000,COUNTA(Q227:Q1350)=0)),OR(Y227&gt;=1000000000,AND(COUNTA(C227:C1350)=0,P$3=TRUE))),
ROUNDDOWN((AB$1-AC$1)*MAX(INDEX(T$4:T1350,MATCH(LARGE(FILTER(Y$4:Y1350,Y$4"&amp;":Y1350&lt;1000000000),1),Y$4:Y1350)),INDEX(F$4:F1350,MATCH(LARGE(FILTER(K$4:K1350,K$4:K1350&lt;1000000000),1),K$4:K1350)))),AND(K227&lt;1000000000,COUNTA(C227:C1350)&gt;0,P$3=FALSE),
ROUNDDOWN(INDEX(Y$4:Y1350,MATCH(LARGE(FILTER(W$4:W1350,W$4:W1350&lt;=I227),1),W$4:W1350"&amp;"))+(I227-LARGE(FILTER(W$4:W1350,W$4:W1350&lt;=I227),1))*INDEX(T$4:T1350,MATCH(LARGE(FILTER(W$4:W1350,W$4:W1350&lt;=I227),1),W$4:W1350))-K227),1,
ROUNDDOWN(Y227-INDEX(K$4:K1350,MATCH(LARGE(FILTER(I$4:I1350,I$4:I1350&lt;=W227),1),I$4:I1350))-(W227-LARGE(FILTER(I$4:I"&amp;"1350,I$4:I1350&lt;=W227),1))*INDEX(F$4:F1350,MATCH(LARGE(FILTER(I$4:I1350,I$4:I1350&lt;=W227),1),I$4:I1350))))"),1.6198681E7)</f>
        <v>16198681</v>
      </c>
      <c r="N227" s="60">
        <f t="shared" si="8"/>
        <v>-152.24623</v>
      </c>
      <c r="O227" s="61" t="str">
        <f t="shared" si="9"/>
        <v>16,2M</v>
      </c>
      <c r="P227" s="56">
        <f t="shared" si="10"/>
        <v>15</v>
      </c>
      <c r="Q227" s="105" t="s">
        <v>61</v>
      </c>
      <c r="R227" s="10" t="b">
        <f>IFERROR(__xludf.DUMMYFUNCTION("IF(COUNTA(Q227:Q1350)=0,"""",IF(ISBLANK(Q227),FALSE,IF(NOT(COUNTIF($AA$24:$AA$34,SUBSTITUTE(Q227,""Sell_"",""""))),1,IF(REGEXMATCH(Q227,""Sell_""),IF(COUNTIF(Q$4:Q227,SUBSTITUTE(Q227,""Sell_"",""""))-COUNTIF(Q$4:Q226,Q227)&lt;1,1),FALSE))))"),FALSE)</f>
        <v>0</v>
      </c>
      <c r="S227" s="59">
        <f t="array" ref="S227">IF(COUNTA(Q227:Q1350)=0,"",SUM((COUNTIF(Q$4:Q227,Upgrades!$B$3:$B$13)-COUNTIF(Q$4:Q227,"Sell_"&amp;Upgrades!$B$3:$B$13))*Upgrades!$D$3:$D$13))</f>
        <v>105035</v>
      </c>
      <c r="T227" s="66">
        <f>IFERROR(__xludf.DUMMYFUNCTION("IF(COUNTA(Q227:Q1350)=0,"""",IF(REGEXMATCH(INDEX(FILTER(Q$4:Q227,Q$4:Q227&lt;&gt;""""),ROWS(FILTER(Q$4:Q227,Q$4:Q227&lt;&gt;""""))),""^Sell_""),INDEX(FILTER(T$4:T226,Q$4:Q226&lt;&gt;""""),ROWS(FILTER(Q$4:Q226,Q$4:Q226&lt;&gt;""""))),$AD$5+S227))"),113441.0)</f>
        <v>113441</v>
      </c>
      <c r="U227" s="10">
        <f>IFERROR(__xludf.DUMMYFUNCTION("IF(COUNTA(Q227:Q1350)=0,"""",IF(Q227="""",0,IF(REGEXMATCH(Q227,""^Sell_""),-ROUNDDOWN(ROUNDUP(INDEX(Upgrades!$C$3:$C$13,MATCH(SUBSTITUTE(Q227,""Sell_"",""""),Upgrades!$B$3:$B$13,0))*1.15^(COUNTIF(Q$4:Q226,SUBSTITUTE(Q227,""Sell_"",""""))-COUNTIF(Q$4:Q226,"&amp;"""Sell_""&amp;SUBSTITUTE(Q227,""Sell_"",""""))))/2),ROUNDUP(INDEX(Upgrades!$C$3:$C$13,MATCH(Q227,Upgrades!$B$3:$B$13,0))*1.15^(COUNTIF(Q$4:Q226,Q227)-COUNTIF(Q$4:Q226,""Sell_""&amp;Q227))))))"),-70358.0)</f>
        <v>-70358</v>
      </c>
      <c r="V227" s="10">
        <f t="shared" si="11"/>
        <v>-9058005</v>
      </c>
      <c r="W227" s="68">
        <f t="shared" si="12"/>
        <v>3545.704845</v>
      </c>
      <c r="X227" s="59" t="str">
        <f t="shared" si="13"/>
        <v>59m 05s</v>
      </c>
      <c r="Y227" s="69">
        <f t="shared" si="14"/>
        <v>100625440</v>
      </c>
      <c r="Z227" s="11"/>
    </row>
    <row r="228">
      <c r="A228" s="8"/>
      <c r="B228" s="56" t="str">
        <f t="shared" si="2"/>
        <v/>
      </c>
      <c r="C228" s="57"/>
      <c r="D228" s="10" t="str">
        <f>IFERROR(__xludf.DUMMYFUNCTION("IF(COUNTA(C228:C1350)=0,"""",IF(ISBLANK(C228),FALSE,IF(NOT(COUNTIF($AA$24:$AA$34,SUBSTITUTE(C228,""Sell_"",""""))),1,IF(REGEXMATCH(C228,""Sell_""),IF(COUNTIF(C$4:C228,SUBSTITUTE(C228,""Sell_"",""""))-COUNTIF(C$4:C227,C228)&lt;1,1),FALSE))))"),"")</f>
        <v/>
      </c>
      <c r="E228" s="59" t="str">
        <f t="array" ref="E228">IF(COUNTA(C228:C1350)=0,"",SUM((COUNTIF(C$4:C228,Upgrades!$B$3:$B$13)-COUNTIF(C$4:C228,"Sell_"&amp;Upgrades!$B$3:$B$13))*Upgrades!$D$3:$D$13))</f>
        <v/>
      </c>
      <c r="F228" s="66" t="str">
        <f>IFERROR(__xludf.DUMMYFUNCTION("IF(COUNTA(C228:C1350)=0,"""",IF(REGEXMATCH(INDEX(FILTER(C$4:C228,C$4:C228&lt;&gt;""""),ROWS(FILTER(C$4:C228,C$4:C228&lt;&gt;""""))),""^Sell_""),INDEX(FILTER(F$4:F227,C$4:C227&lt;&gt;""""),ROWS(FILTER(C$4:C227,C$4:C227&lt;&gt;""""))),$AC$5+E228))"),"")</f>
        <v/>
      </c>
      <c r="G228" s="10" t="str">
        <f>IFERROR(__xludf.DUMMYFUNCTION("IF(COUNTA(C228:C1350)=0,"""",IF(C228="""",0,IF(REGEXMATCH(C228,""^Sell_""),-ROUNDDOWN(ROUNDUP(INDEX(Upgrades!$C$3:$C$13,MATCH(SUBSTITUTE(C228,""Sell_"",""""),Upgrades!$B$3:$B$13,0))*1.15^(COUNTIF(C$4:C227,SUBSTITUTE(C228,""Sell_"",""""))-COUNTIF(C$4:C227,"&amp;"""Sell_""&amp;SUBSTITUTE(C228,""Sell_"",""""))))/2),ROUNDUP(INDEX(Upgrades!$C$3:$C$13,MATCH(C228,Upgrades!$B$3:$B$13,0))*1.15^(COUNTIF(C$4:C227,C228)-COUNTIF(C$4:C227,""Sell_""&amp;C228))))))"),"")</f>
        <v/>
      </c>
      <c r="H228" s="10" t="str">
        <f t="shared" si="3"/>
        <v/>
      </c>
      <c r="I228" s="68" t="str">
        <f t="shared" si="4"/>
        <v/>
      </c>
      <c r="J228" s="59" t="str">
        <f t="shared" si="5"/>
        <v/>
      </c>
      <c r="K228" s="69" t="str">
        <f t="shared" si="6"/>
        <v/>
      </c>
      <c r="L228" s="60">
        <f t="shared" si="7"/>
        <v>-152.24623</v>
      </c>
      <c r="M228" s="61">
        <f>IFERROR(__xludf.DUMMYFUNCTION("IFS(AND(COUNTA(C228:C1350)=0,COUNTA(Q228:Q1350)=0),"""",OR(AND(K228&gt;=1000000000,OR(Y228&gt;=1000000000,COUNTA(Q228:Q1350)=0)),OR(Y228&gt;=1000000000,AND(COUNTA(C228:C1350)=0,P$3=TRUE))),
ROUNDDOWN((AB$1-AC$1)*MAX(INDEX(T$4:T1350,MATCH(LARGE(FILTER(Y$4:Y1350,Y$4"&amp;":Y1350&lt;1000000000),1),Y$4:Y1350)),INDEX(F$4:F1350,MATCH(LARGE(FILTER(K$4:K1350,K$4:K1350&lt;1000000000),1),K$4:K1350)))),AND(K228&lt;1000000000,COUNTA(C228:C1350)&gt;0,P$3=FALSE),
ROUNDDOWN(INDEX(Y$4:Y1350,MATCH(LARGE(FILTER(W$4:W1350,W$4:W1350&lt;=I228),1),W$4:W1350"&amp;"))+(I228-LARGE(FILTER(W$4:W1350,W$4:W1350&lt;=I228),1))*INDEX(T$4:T1350,MATCH(LARGE(FILTER(W$4:W1350,W$4:W1350&lt;=I228),1),W$4:W1350))-K228),1,
ROUNDDOWN(Y228-INDEX(K$4:K1350,MATCH(LARGE(FILTER(I$4:I1350,I$4:I1350&lt;=W228),1),I$4:I1350))-(W228-LARGE(FILTER(I$4:I"&amp;"1350,I$4:I1350&lt;=W228),1))*INDEX(F$4:F1350,MATCH(LARGE(FILTER(I$4:I1350,I$4:I1350&lt;=W228),1),I$4:I1350))))"),1.6198681E7)</f>
        <v>16198681</v>
      </c>
      <c r="N228" s="60">
        <f t="shared" si="8"/>
        <v>-152.24623</v>
      </c>
      <c r="O228" s="61" t="str">
        <f t="shared" si="9"/>
        <v>16,2M</v>
      </c>
      <c r="P228" s="56">
        <f t="shared" si="10"/>
        <v>16</v>
      </c>
      <c r="Q228" s="105" t="s">
        <v>61</v>
      </c>
      <c r="R228" s="10" t="b">
        <f>IFERROR(__xludf.DUMMYFUNCTION("IF(COUNTA(Q228:Q1350)=0,"""",IF(ISBLANK(Q228),FALSE,IF(NOT(COUNTIF($AA$24:$AA$34,SUBSTITUTE(Q228,""Sell_"",""""))),1,IF(REGEXMATCH(Q228,""Sell_""),IF(COUNTIF(Q$4:Q228,SUBSTITUTE(Q228,""Sell_"",""""))-COUNTIF(Q$4:Q227,Q228)&lt;1,1),FALSE))))"),FALSE)</f>
        <v>0</v>
      </c>
      <c r="S228" s="59">
        <f t="array" ref="S228">IF(COUNTA(Q228:Q1350)=0,"",SUM((COUNTIF(Q$4:Q228,Upgrades!$B$3:$B$13)-COUNTIF(Q$4:Q228,"Sell_"&amp;Upgrades!$B$3:$B$13))*Upgrades!$D$3:$D$13))</f>
        <v>104935</v>
      </c>
      <c r="T228" s="66">
        <f>IFERROR(__xludf.DUMMYFUNCTION("IF(COUNTA(Q228:Q1350)=0,"""",IF(REGEXMATCH(INDEX(FILTER(Q$4:Q228,Q$4:Q228&lt;&gt;""""),ROWS(FILTER(Q$4:Q228,Q$4:Q228&lt;&gt;""""))),""^Sell_""),INDEX(FILTER(T$4:T227,Q$4:Q227&lt;&gt;""""),ROWS(FILTER(Q$4:Q227,Q$4:Q227&lt;&gt;""""))),$AD$5+S228))"),113441.0)</f>
        <v>113441</v>
      </c>
      <c r="U228" s="10">
        <f>IFERROR(__xludf.DUMMYFUNCTION("IF(COUNTA(Q228:Q1350)=0,"""",IF(Q228="""",0,IF(REGEXMATCH(Q228,""^Sell_""),-ROUNDDOWN(ROUNDUP(INDEX(Upgrades!$C$3:$C$13,MATCH(SUBSTITUTE(Q228,""Sell_"",""""),Upgrades!$B$3:$B$13,0))*1.15^(COUNTIF(Q$4:Q227,SUBSTITUTE(Q228,""Sell_"",""""))-COUNTIF(Q$4:Q227,"&amp;"""Sell_""&amp;SUBSTITUTE(Q228,""Sell_"",""""))))/2),ROUNDUP(INDEX(Upgrades!$C$3:$C$13,MATCH(Q228,Upgrades!$B$3:$B$13,0))*1.15^(COUNTIF(Q$4:Q227,Q228)-COUNTIF(Q$4:Q227,""Sell_""&amp;Q228))))))"),-61180.0)</f>
        <v>-61180</v>
      </c>
      <c r="V228" s="10">
        <f t="shared" si="11"/>
        <v>-9119185</v>
      </c>
      <c r="W228" s="68">
        <f t="shared" si="12"/>
        <v>3545.704845</v>
      </c>
      <c r="X228" s="59" t="str">
        <f t="shared" si="13"/>
        <v>59m 05s</v>
      </c>
      <c r="Y228" s="69">
        <f t="shared" si="14"/>
        <v>100625440</v>
      </c>
      <c r="Z228" s="11"/>
    </row>
    <row r="229">
      <c r="A229" s="8"/>
      <c r="B229" s="56" t="str">
        <f t="shared" si="2"/>
        <v/>
      </c>
      <c r="C229" s="57"/>
      <c r="D229" s="10" t="str">
        <f>IFERROR(__xludf.DUMMYFUNCTION("IF(COUNTA(C229:C1350)=0,"""",IF(ISBLANK(C229),FALSE,IF(NOT(COUNTIF($AA$24:$AA$34,SUBSTITUTE(C229,""Sell_"",""""))),1,IF(REGEXMATCH(C229,""Sell_""),IF(COUNTIF(C$4:C229,SUBSTITUTE(C229,""Sell_"",""""))-COUNTIF(C$4:C228,C229)&lt;1,1),FALSE))))"),"")</f>
        <v/>
      </c>
      <c r="E229" s="59" t="str">
        <f t="array" ref="E229">IF(COUNTA(C229:C1350)=0,"",SUM((COUNTIF(C$4:C229,Upgrades!$B$3:$B$13)-COUNTIF(C$4:C229,"Sell_"&amp;Upgrades!$B$3:$B$13))*Upgrades!$D$3:$D$13))</f>
        <v/>
      </c>
      <c r="F229" s="66" t="str">
        <f>IFERROR(__xludf.DUMMYFUNCTION("IF(COUNTA(C229:C1350)=0,"""",IF(REGEXMATCH(INDEX(FILTER(C$4:C229,C$4:C229&lt;&gt;""""),ROWS(FILTER(C$4:C229,C$4:C229&lt;&gt;""""))),""^Sell_""),INDEX(FILTER(F$4:F228,C$4:C228&lt;&gt;""""),ROWS(FILTER(C$4:C228,C$4:C228&lt;&gt;""""))),$AC$5+E229))"),"")</f>
        <v/>
      </c>
      <c r="G229" s="10" t="str">
        <f>IFERROR(__xludf.DUMMYFUNCTION("IF(COUNTA(C229:C1350)=0,"""",IF(C229="""",0,IF(REGEXMATCH(C229,""^Sell_""),-ROUNDDOWN(ROUNDUP(INDEX(Upgrades!$C$3:$C$13,MATCH(SUBSTITUTE(C229,""Sell_"",""""),Upgrades!$B$3:$B$13,0))*1.15^(COUNTIF(C$4:C228,SUBSTITUTE(C229,""Sell_"",""""))-COUNTIF(C$4:C228,"&amp;"""Sell_""&amp;SUBSTITUTE(C229,""Sell_"",""""))))/2),ROUNDUP(INDEX(Upgrades!$C$3:$C$13,MATCH(C229,Upgrades!$B$3:$B$13,0))*1.15^(COUNTIF(C$4:C228,C229)-COUNTIF(C$4:C228,""Sell_""&amp;C229))))))"),"")</f>
        <v/>
      </c>
      <c r="H229" s="10" t="str">
        <f t="shared" si="3"/>
        <v/>
      </c>
      <c r="I229" s="68" t="str">
        <f t="shared" si="4"/>
        <v/>
      </c>
      <c r="J229" s="59" t="str">
        <f t="shared" si="5"/>
        <v/>
      </c>
      <c r="K229" s="69" t="str">
        <f t="shared" si="6"/>
        <v/>
      </c>
      <c r="L229" s="60">
        <f t="shared" si="7"/>
        <v>-152.24623</v>
      </c>
      <c r="M229" s="61">
        <f>IFERROR(__xludf.DUMMYFUNCTION("IFS(AND(COUNTA(C229:C1350)=0,COUNTA(Q229:Q1350)=0),"""",OR(AND(K229&gt;=1000000000,OR(Y229&gt;=1000000000,COUNTA(Q229:Q1350)=0)),OR(Y229&gt;=1000000000,AND(COUNTA(C229:C1350)=0,P$3=TRUE))),
ROUNDDOWN((AB$1-AC$1)*MAX(INDEX(T$4:T1350,MATCH(LARGE(FILTER(Y$4:Y1350,Y$4"&amp;":Y1350&lt;1000000000),1),Y$4:Y1350)),INDEX(F$4:F1350,MATCH(LARGE(FILTER(K$4:K1350,K$4:K1350&lt;1000000000),1),K$4:K1350)))),AND(K229&lt;1000000000,COUNTA(C229:C1350)&gt;0,P$3=FALSE),
ROUNDDOWN(INDEX(Y$4:Y1350,MATCH(LARGE(FILTER(W$4:W1350,W$4:W1350&lt;=I229),1),W$4:W1350"&amp;"))+(I229-LARGE(FILTER(W$4:W1350,W$4:W1350&lt;=I229),1))*INDEX(T$4:T1350,MATCH(LARGE(FILTER(W$4:W1350,W$4:W1350&lt;=I229),1),W$4:W1350))-K229),1,
ROUNDDOWN(Y229-INDEX(K$4:K1350,MATCH(LARGE(FILTER(I$4:I1350,I$4:I1350&lt;=W229),1),I$4:I1350))-(W229-LARGE(FILTER(I$4:I"&amp;"1350,I$4:I1350&lt;=W229),1))*INDEX(F$4:F1350,MATCH(LARGE(FILTER(I$4:I1350,I$4:I1350&lt;=W229),1),I$4:I1350))))"),1.6198681E7)</f>
        <v>16198681</v>
      </c>
      <c r="N229" s="60">
        <f t="shared" si="8"/>
        <v>-152.24623</v>
      </c>
      <c r="O229" s="61" t="str">
        <f t="shared" si="9"/>
        <v>16,2M</v>
      </c>
      <c r="P229" s="56">
        <f t="shared" si="10"/>
        <v>17</v>
      </c>
      <c r="Q229" s="105" t="s">
        <v>61</v>
      </c>
      <c r="R229" s="10" t="b">
        <f>IFERROR(__xludf.DUMMYFUNCTION("IF(COUNTA(Q229:Q1350)=0,"""",IF(ISBLANK(Q229),FALSE,IF(NOT(COUNTIF($AA$24:$AA$34,SUBSTITUTE(Q229,""Sell_"",""""))),1,IF(REGEXMATCH(Q229,""Sell_""),IF(COUNTIF(Q$4:Q229,SUBSTITUTE(Q229,""Sell_"",""""))-COUNTIF(Q$4:Q228,Q229)&lt;1,1),FALSE))))"),FALSE)</f>
        <v>0</v>
      </c>
      <c r="S229" s="59">
        <f t="array" ref="S229">IF(COUNTA(Q229:Q1350)=0,"",SUM((COUNTIF(Q$4:Q229,Upgrades!$B$3:$B$13)-COUNTIF(Q$4:Q229,"Sell_"&amp;Upgrades!$B$3:$B$13))*Upgrades!$D$3:$D$13))</f>
        <v>104835</v>
      </c>
      <c r="T229" s="66">
        <f>IFERROR(__xludf.DUMMYFUNCTION("IF(COUNTA(Q229:Q1350)=0,"""",IF(REGEXMATCH(INDEX(FILTER(Q$4:Q229,Q$4:Q229&lt;&gt;""""),ROWS(FILTER(Q$4:Q229,Q$4:Q229&lt;&gt;""""))),""^Sell_""),INDEX(FILTER(T$4:T228,Q$4:Q228&lt;&gt;""""),ROWS(FILTER(Q$4:Q228,Q$4:Q228&lt;&gt;""""))),$AD$5+S229))"),113441.0)</f>
        <v>113441</v>
      </c>
      <c r="U229" s="10">
        <f>IFERROR(__xludf.DUMMYFUNCTION("IF(COUNTA(Q229:Q1350)=0,"""",IF(Q229="""",0,IF(REGEXMATCH(Q229,""^Sell_""),-ROUNDDOWN(ROUNDUP(INDEX(Upgrades!$C$3:$C$13,MATCH(SUBSTITUTE(Q229,""Sell_"",""""),Upgrades!$B$3:$B$13,0))*1.15^(COUNTIF(Q$4:Q228,SUBSTITUTE(Q229,""Sell_"",""""))-COUNTIF(Q$4:Q228,"&amp;"""Sell_""&amp;SUBSTITUTE(Q229,""Sell_"",""""))))/2),ROUNDUP(INDEX(Upgrades!$C$3:$C$13,MATCH(Q229,Upgrades!$B$3:$B$13,0))*1.15^(COUNTIF(Q$4:Q228,Q229)-COUNTIF(Q$4:Q228,""Sell_""&amp;Q229))))))"),-53200.0)</f>
        <v>-53200</v>
      </c>
      <c r="V229" s="10">
        <f t="shared" si="11"/>
        <v>-9172385</v>
      </c>
      <c r="W229" s="68">
        <f t="shared" si="12"/>
        <v>3545.704845</v>
      </c>
      <c r="X229" s="59" t="str">
        <f t="shared" si="13"/>
        <v>59m 05s</v>
      </c>
      <c r="Y229" s="69">
        <f t="shared" si="14"/>
        <v>100625440</v>
      </c>
      <c r="Z229" s="11"/>
    </row>
    <row r="230">
      <c r="A230" s="8"/>
      <c r="B230" s="56" t="str">
        <f t="shared" si="2"/>
        <v/>
      </c>
      <c r="C230" s="57"/>
      <c r="D230" s="10" t="str">
        <f>IFERROR(__xludf.DUMMYFUNCTION("IF(COUNTA(C230:C1350)=0,"""",IF(ISBLANK(C230),FALSE,IF(NOT(COUNTIF($AA$24:$AA$34,SUBSTITUTE(C230,""Sell_"",""""))),1,IF(REGEXMATCH(C230,""Sell_""),IF(COUNTIF(C$4:C230,SUBSTITUTE(C230,""Sell_"",""""))-COUNTIF(C$4:C229,C230)&lt;1,1),FALSE))))"),"")</f>
        <v/>
      </c>
      <c r="E230" s="59" t="str">
        <f t="array" ref="E230">IF(COUNTA(C230:C1350)=0,"",SUM((COUNTIF(C$4:C230,Upgrades!$B$3:$B$13)-COUNTIF(C$4:C230,"Sell_"&amp;Upgrades!$B$3:$B$13))*Upgrades!$D$3:$D$13))</f>
        <v/>
      </c>
      <c r="F230" s="66" t="str">
        <f>IFERROR(__xludf.DUMMYFUNCTION("IF(COUNTA(C230:C1350)=0,"""",IF(REGEXMATCH(INDEX(FILTER(C$4:C230,C$4:C230&lt;&gt;""""),ROWS(FILTER(C$4:C230,C$4:C230&lt;&gt;""""))),""^Sell_""),INDEX(FILTER(F$4:F229,C$4:C229&lt;&gt;""""),ROWS(FILTER(C$4:C229,C$4:C229&lt;&gt;""""))),$AC$5+E230))"),"")</f>
        <v/>
      </c>
      <c r="G230" s="10" t="str">
        <f>IFERROR(__xludf.DUMMYFUNCTION("IF(COUNTA(C230:C1350)=0,"""",IF(C230="""",0,IF(REGEXMATCH(C230,""^Sell_""),-ROUNDDOWN(ROUNDUP(INDEX(Upgrades!$C$3:$C$13,MATCH(SUBSTITUTE(C230,""Sell_"",""""),Upgrades!$B$3:$B$13,0))*1.15^(COUNTIF(C$4:C229,SUBSTITUTE(C230,""Sell_"",""""))-COUNTIF(C$4:C229,"&amp;"""Sell_""&amp;SUBSTITUTE(C230,""Sell_"",""""))))/2),ROUNDUP(INDEX(Upgrades!$C$3:$C$13,MATCH(C230,Upgrades!$B$3:$B$13,0))*1.15^(COUNTIF(C$4:C229,C230)-COUNTIF(C$4:C229,""Sell_""&amp;C230))))))"),"")</f>
        <v/>
      </c>
      <c r="H230" s="10" t="str">
        <f t="shared" si="3"/>
        <v/>
      </c>
      <c r="I230" s="68" t="str">
        <f t="shared" si="4"/>
        <v/>
      </c>
      <c r="J230" s="59" t="str">
        <f t="shared" si="5"/>
        <v/>
      </c>
      <c r="K230" s="69" t="str">
        <f t="shared" si="6"/>
        <v/>
      </c>
      <c r="L230" s="60">
        <f t="shared" si="7"/>
        <v>-152.24623</v>
      </c>
      <c r="M230" s="61">
        <f>IFERROR(__xludf.DUMMYFUNCTION("IFS(AND(COUNTA(C230:C1350)=0,COUNTA(Q230:Q1350)=0),"""",OR(AND(K230&gt;=1000000000,OR(Y230&gt;=1000000000,COUNTA(Q230:Q1350)=0)),OR(Y230&gt;=1000000000,AND(COUNTA(C230:C1350)=0,P$3=TRUE))),
ROUNDDOWN((AB$1-AC$1)*MAX(INDEX(T$4:T1350,MATCH(LARGE(FILTER(Y$4:Y1350,Y$4"&amp;":Y1350&lt;1000000000),1),Y$4:Y1350)),INDEX(F$4:F1350,MATCH(LARGE(FILTER(K$4:K1350,K$4:K1350&lt;1000000000),1),K$4:K1350)))),AND(K230&lt;1000000000,COUNTA(C230:C1350)&gt;0,P$3=FALSE),
ROUNDDOWN(INDEX(Y$4:Y1350,MATCH(LARGE(FILTER(W$4:W1350,W$4:W1350&lt;=I230),1),W$4:W1350"&amp;"))+(I230-LARGE(FILTER(W$4:W1350,W$4:W1350&lt;=I230),1))*INDEX(T$4:T1350,MATCH(LARGE(FILTER(W$4:W1350,W$4:W1350&lt;=I230),1),W$4:W1350))-K230),1,
ROUNDDOWN(Y230-INDEX(K$4:K1350,MATCH(LARGE(FILTER(I$4:I1350,I$4:I1350&lt;=W230),1),I$4:I1350))-(W230-LARGE(FILTER(I$4:I"&amp;"1350,I$4:I1350&lt;=W230),1))*INDEX(F$4:F1350,MATCH(LARGE(FILTER(I$4:I1350,I$4:I1350&lt;=W230),1),I$4:I1350))))"),1.6198681E7)</f>
        <v>16198681</v>
      </c>
      <c r="N230" s="60">
        <f t="shared" si="8"/>
        <v>-152.24623</v>
      </c>
      <c r="O230" s="61" t="str">
        <f t="shared" si="9"/>
        <v>16,2M</v>
      </c>
      <c r="P230" s="56">
        <f t="shared" si="10"/>
        <v>18</v>
      </c>
      <c r="Q230" s="105" t="s">
        <v>61</v>
      </c>
      <c r="R230" s="10" t="b">
        <f>IFERROR(__xludf.DUMMYFUNCTION("IF(COUNTA(Q230:Q1350)=0,"""",IF(ISBLANK(Q230),FALSE,IF(NOT(COUNTIF($AA$24:$AA$34,SUBSTITUTE(Q230,""Sell_"",""""))),1,IF(REGEXMATCH(Q230,""Sell_""),IF(COUNTIF(Q$4:Q230,SUBSTITUTE(Q230,""Sell_"",""""))-COUNTIF(Q$4:Q229,Q230)&lt;1,1),FALSE))))"),FALSE)</f>
        <v>0</v>
      </c>
      <c r="S230" s="59">
        <f t="array" ref="S230">IF(COUNTA(Q230:Q1350)=0,"",SUM((COUNTIF(Q$4:Q230,Upgrades!$B$3:$B$13)-COUNTIF(Q$4:Q230,"Sell_"&amp;Upgrades!$B$3:$B$13))*Upgrades!$D$3:$D$13))</f>
        <v>104735</v>
      </c>
      <c r="T230" s="66">
        <f>IFERROR(__xludf.DUMMYFUNCTION("IF(COUNTA(Q230:Q1350)=0,"""",IF(REGEXMATCH(INDEX(FILTER(Q$4:Q230,Q$4:Q230&lt;&gt;""""),ROWS(FILTER(Q$4:Q230,Q$4:Q230&lt;&gt;""""))),""^Sell_""),INDEX(FILTER(T$4:T229,Q$4:Q229&lt;&gt;""""),ROWS(FILTER(Q$4:Q229,Q$4:Q229&lt;&gt;""""))),$AD$5+S230))"),113441.0)</f>
        <v>113441</v>
      </c>
      <c r="U230" s="10">
        <f>IFERROR(__xludf.DUMMYFUNCTION("IF(COUNTA(Q230:Q1350)=0,"""",IF(Q230="""",0,IF(REGEXMATCH(Q230,""^Sell_""),-ROUNDDOWN(ROUNDUP(INDEX(Upgrades!$C$3:$C$13,MATCH(SUBSTITUTE(Q230,""Sell_"",""""),Upgrades!$B$3:$B$13,0))*1.15^(COUNTIF(Q$4:Q229,SUBSTITUTE(Q230,""Sell_"",""""))-COUNTIF(Q$4:Q229,"&amp;"""Sell_""&amp;SUBSTITUTE(Q230,""Sell_"",""""))))/2),ROUNDUP(INDEX(Upgrades!$C$3:$C$13,MATCH(Q230,Upgrades!$B$3:$B$13,0))*1.15^(COUNTIF(Q$4:Q229,Q230)-COUNTIF(Q$4:Q229,""Sell_""&amp;Q230))))))"),-46261.0)</f>
        <v>-46261</v>
      </c>
      <c r="V230" s="10">
        <f t="shared" si="11"/>
        <v>-9218646</v>
      </c>
      <c r="W230" s="68">
        <f t="shared" si="12"/>
        <v>3545.704845</v>
      </c>
      <c r="X230" s="59" t="str">
        <f t="shared" si="13"/>
        <v>59m 05s</v>
      </c>
      <c r="Y230" s="69">
        <f t="shared" si="14"/>
        <v>100625440</v>
      </c>
      <c r="Z230" s="11"/>
    </row>
    <row r="231">
      <c r="A231" s="8"/>
      <c r="B231" s="56" t="str">
        <f t="shared" si="2"/>
        <v/>
      </c>
      <c r="C231" s="57"/>
      <c r="D231" s="10" t="str">
        <f>IFERROR(__xludf.DUMMYFUNCTION("IF(COUNTA(C231:C1350)=0,"""",IF(ISBLANK(C231),FALSE,IF(NOT(COUNTIF($AA$24:$AA$34,SUBSTITUTE(C231,""Sell_"",""""))),1,IF(REGEXMATCH(C231,""Sell_""),IF(COUNTIF(C$4:C231,SUBSTITUTE(C231,""Sell_"",""""))-COUNTIF(C$4:C230,C231)&lt;1,1),FALSE))))"),"")</f>
        <v/>
      </c>
      <c r="E231" s="59" t="str">
        <f t="array" ref="E231">IF(COUNTA(C231:C1350)=0,"",SUM((COUNTIF(C$4:C231,Upgrades!$B$3:$B$13)-COUNTIF(C$4:C231,"Sell_"&amp;Upgrades!$B$3:$B$13))*Upgrades!$D$3:$D$13))</f>
        <v/>
      </c>
      <c r="F231" s="66" t="str">
        <f>IFERROR(__xludf.DUMMYFUNCTION("IF(COUNTA(C231:C1350)=0,"""",IF(REGEXMATCH(INDEX(FILTER(C$4:C231,C$4:C231&lt;&gt;""""),ROWS(FILTER(C$4:C231,C$4:C231&lt;&gt;""""))),""^Sell_""),INDEX(FILTER(F$4:F230,C$4:C230&lt;&gt;""""),ROWS(FILTER(C$4:C230,C$4:C230&lt;&gt;""""))),$AC$5+E231))"),"")</f>
        <v/>
      </c>
      <c r="G231" s="10" t="str">
        <f>IFERROR(__xludf.DUMMYFUNCTION("IF(COUNTA(C231:C1350)=0,"""",IF(C231="""",0,IF(REGEXMATCH(C231,""^Sell_""),-ROUNDDOWN(ROUNDUP(INDEX(Upgrades!$C$3:$C$13,MATCH(SUBSTITUTE(C231,""Sell_"",""""),Upgrades!$B$3:$B$13,0))*1.15^(COUNTIF(C$4:C230,SUBSTITUTE(C231,""Sell_"",""""))-COUNTIF(C$4:C230,"&amp;"""Sell_""&amp;SUBSTITUTE(C231,""Sell_"",""""))))/2),ROUNDUP(INDEX(Upgrades!$C$3:$C$13,MATCH(C231,Upgrades!$B$3:$B$13,0))*1.15^(COUNTIF(C$4:C230,C231)-COUNTIF(C$4:C230,""Sell_""&amp;C231))))))"),"")</f>
        <v/>
      </c>
      <c r="H231" s="10" t="str">
        <f t="shared" si="3"/>
        <v/>
      </c>
      <c r="I231" s="68" t="str">
        <f t="shared" si="4"/>
        <v/>
      </c>
      <c r="J231" s="59" t="str">
        <f t="shared" si="5"/>
        <v/>
      </c>
      <c r="K231" s="69" t="str">
        <f t="shared" si="6"/>
        <v/>
      </c>
      <c r="L231" s="60">
        <f t="shared" si="7"/>
        <v>-152.24623</v>
      </c>
      <c r="M231" s="61">
        <f>IFERROR(__xludf.DUMMYFUNCTION("IFS(AND(COUNTA(C231:C1350)=0,COUNTA(Q231:Q1350)=0),"""",OR(AND(K231&gt;=1000000000,OR(Y231&gt;=1000000000,COUNTA(Q231:Q1350)=0)),OR(Y231&gt;=1000000000,AND(COUNTA(C231:C1350)=0,P$3=TRUE))),
ROUNDDOWN((AB$1-AC$1)*MAX(INDEX(T$4:T1350,MATCH(LARGE(FILTER(Y$4:Y1350,Y$4"&amp;":Y1350&lt;1000000000),1),Y$4:Y1350)),INDEX(F$4:F1350,MATCH(LARGE(FILTER(K$4:K1350,K$4:K1350&lt;1000000000),1),K$4:K1350)))),AND(K231&lt;1000000000,COUNTA(C231:C1350)&gt;0,P$3=FALSE),
ROUNDDOWN(INDEX(Y$4:Y1350,MATCH(LARGE(FILTER(W$4:W1350,W$4:W1350&lt;=I231),1),W$4:W1350"&amp;"))+(I231-LARGE(FILTER(W$4:W1350,W$4:W1350&lt;=I231),1))*INDEX(T$4:T1350,MATCH(LARGE(FILTER(W$4:W1350,W$4:W1350&lt;=I231),1),W$4:W1350))-K231),1,
ROUNDDOWN(Y231-INDEX(K$4:K1350,MATCH(LARGE(FILTER(I$4:I1350,I$4:I1350&lt;=W231),1),I$4:I1350))-(W231-LARGE(FILTER(I$4:I"&amp;"1350,I$4:I1350&lt;=W231),1))*INDEX(F$4:F1350,MATCH(LARGE(FILTER(I$4:I1350,I$4:I1350&lt;=W231),1),I$4:I1350))))"),1.6198681E7)</f>
        <v>16198681</v>
      </c>
      <c r="N231" s="60">
        <f t="shared" si="8"/>
        <v>-152.24623</v>
      </c>
      <c r="O231" s="61" t="str">
        <f t="shared" si="9"/>
        <v>16,2M</v>
      </c>
      <c r="P231" s="56">
        <f t="shared" si="10"/>
        <v>19</v>
      </c>
      <c r="Q231" s="105" t="s">
        <v>61</v>
      </c>
      <c r="R231" s="10" t="b">
        <f>IFERROR(__xludf.DUMMYFUNCTION("IF(COUNTA(Q231:Q1350)=0,"""",IF(ISBLANK(Q231),FALSE,IF(NOT(COUNTIF($AA$24:$AA$34,SUBSTITUTE(Q231,""Sell_"",""""))),1,IF(REGEXMATCH(Q231,""Sell_""),IF(COUNTIF(Q$4:Q231,SUBSTITUTE(Q231,""Sell_"",""""))-COUNTIF(Q$4:Q230,Q231)&lt;1,1),FALSE))))"),FALSE)</f>
        <v>0</v>
      </c>
      <c r="S231" s="59">
        <f t="array" ref="S231">IF(COUNTA(Q231:Q1350)=0,"",SUM((COUNTIF(Q$4:Q231,Upgrades!$B$3:$B$13)-COUNTIF(Q$4:Q231,"Sell_"&amp;Upgrades!$B$3:$B$13))*Upgrades!$D$3:$D$13))</f>
        <v>104635</v>
      </c>
      <c r="T231" s="66">
        <f>IFERROR(__xludf.DUMMYFUNCTION("IF(COUNTA(Q231:Q1350)=0,"""",IF(REGEXMATCH(INDEX(FILTER(Q$4:Q231,Q$4:Q231&lt;&gt;""""),ROWS(FILTER(Q$4:Q231,Q$4:Q231&lt;&gt;""""))),""^Sell_""),INDEX(FILTER(T$4:T230,Q$4:Q230&lt;&gt;""""),ROWS(FILTER(Q$4:Q230,Q$4:Q230&lt;&gt;""""))),$AD$5+S231))"),113441.0)</f>
        <v>113441</v>
      </c>
      <c r="U231" s="10">
        <f>IFERROR(__xludf.DUMMYFUNCTION("IF(COUNTA(Q231:Q1350)=0,"""",IF(Q231="""",0,IF(REGEXMATCH(Q231,""^Sell_""),-ROUNDDOWN(ROUNDUP(INDEX(Upgrades!$C$3:$C$13,MATCH(SUBSTITUTE(Q231,""Sell_"",""""),Upgrades!$B$3:$B$13,0))*1.15^(COUNTIF(Q$4:Q230,SUBSTITUTE(Q231,""Sell_"",""""))-COUNTIF(Q$4:Q230,"&amp;"""Sell_""&amp;SUBSTITUTE(Q231,""Sell_"",""""))))/2),ROUNDUP(INDEX(Upgrades!$C$3:$C$13,MATCH(Q231,Upgrades!$B$3:$B$13,0))*1.15^(COUNTIF(Q$4:Q230,Q231)-COUNTIF(Q$4:Q230,""Sell_""&amp;Q231))))))"),-40227.0)</f>
        <v>-40227</v>
      </c>
      <c r="V231" s="10">
        <f t="shared" si="11"/>
        <v>-9258873</v>
      </c>
      <c r="W231" s="68">
        <f t="shared" si="12"/>
        <v>3545.704845</v>
      </c>
      <c r="X231" s="59" t="str">
        <f t="shared" si="13"/>
        <v>59m 05s</v>
      </c>
      <c r="Y231" s="69">
        <f t="shared" si="14"/>
        <v>100625440</v>
      </c>
      <c r="Z231" s="11"/>
    </row>
    <row r="232">
      <c r="A232" s="8"/>
      <c r="B232" s="56" t="str">
        <f t="shared" si="2"/>
        <v/>
      </c>
      <c r="C232" s="57"/>
      <c r="D232" s="10" t="str">
        <f>IFERROR(__xludf.DUMMYFUNCTION("IF(COUNTA(C232:C1350)=0,"""",IF(ISBLANK(C232),FALSE,IF(NOT(COUNTIF($AA$24:$AA$34,SUBSTITUTE(C232,""Sell_"",""""))),1,IF(REGEXMATCH(C232,""Sell_""),IF(COUNTIF(C$4:C232,SUBSTITUTE(C232,""Sell_"",""""))-COUNTIF(C$4:C231,C232)&lt;1,1),FALSE))))"),"")</f>
        <v/>
      </c>
      <c r="E232" s="59" t="str">
        <f t="array" ref="E232">IF(COUNTA(C232:C1350)=0,"",SUM((COUNTIF(C$4:C232,Upgrades!$B$3:$B$13)-COUNTIF(C$4:C232,"Sell_"&amp;Upgrades!$B$3:$B$13))*Upgrades!$D$3:$D$13))</f>
        <v/>
      </c>
      <c r="F232" s="66" t="str">
        <f>IFERROR(__xludf.DUMMYFUNCTION("IF(COUNTA(C232:C1350)=0,"""",IF(REGEXMATCH(INDEX(FILTER(C$4:C232,C$4:C232&lt;&gt;""""),ROWS(FILTER(C$4:C232,C$4:C232&lt;&gt;""""))),""^Sell_""),INDEX(FILTER(F$4:F231,C$4:C231&lt;&gt;""""),ROWS(FILTER(C$4:C231,C$4:C231&lt;&gt;""""))),$AC$5+E232))"),"")</f>
        <v/>
      </c>
      <c r="G232" s="10" t="str">
        <f>IFERROR(__xludf.DUMMYFUNCTION("IF(COUNTA(C232:C1350)=0,"""",IF(C232="""",0,IF(REGEXMATCH(C232,""^Sell_""),-ROUNDDOWN(ROUNDUP(INDEX(Upgrades!$C$3:$C$13,MATCH(SUBSTITUTE(C232,""Sell_"",""""),Upgrades!$B$3:$B$13,0))*1.15^(COUNTIF(C$4:C231,SUBSTITUTE(C232,""Sell_"",""""))-COUNTIF(C$4:C231,"&amp;"""Sell_""&amp;SUBSTITUTE(C232,""Sell_"",""""))))/2),ROUNDUP(INDEX(Upgrades!$C$3:$C$13,MATCH(C232,Upgrades!$B$3:$B$13,0))*1.15^(COUNTIF(C$4:C231,C232)-COUNTIF(C$4:C231,""Sell_""&amp;C232))))))"),"")</f>
        <v/>
      </c>
      <c r="H232" s="10" t="str">
        <f t="shared" si="3"/>
        <v/>
      </c>
      <c r="I232" s="68" t="str">
        <f t="shared" si="4"/>
        <v/>
      </c>
      <c r="J232" s="59" t="str">
        <f t="shared" si="5"/>
        <v/>
      </c>
      <c r="K232" s="69" t="str">
        <f t="shared" si="6"/>
        <v/>
      </c>
      <c r="L232" s="60">
        <f t="shared" si="7"/>
        <v>-152.24623</v>
      </c>
      <c r="M232" s="61">
        <f>IFERROR(__xludf.DUMMYFUNCTION("IFS(AND(COUNTA(C232:C1350)=0,COUNTA(Q232:Q1350)=0),"""",OR(AND(K232&gt;=1000000000,OR(Y232&gt;=1000000000,COUNTA(Q232:Q1350)=0)),OR(Y232&gt;=1000000000,AND(COUNTA(C232:C1350)=0,P$3=TRUE))),
ROUNDDOWN((AB$1-AC$1)*MAX(INDEX(T$4:T1350,MATCH(LARGE(FILTER(Y$4:Y1350,Y$4"&amp;":Y1350&lt;1000000000),1),Y$4:Y1350)),INDEX(F$4:F1350,MATCH(LARGE(FILTER(K$4:K1350,K$4:K1350&lt;1000000000),1),K$4:K1350)))),AND(K232&lt;1000000000,COUNTA(C232:C1350)&gt;0,P$3=FALSE),
ROUNDDOWN(INDEX(Y$4:Y1350,MATCH(LARGE(FILTER(W$4:W1350,W$4:W1350&lt;=I232),1),W$4:W1350"&amp;"))+(I232-LARGE(FILTER(W$4:W1350,W$4:W1350&lt;=I232),1))*INDEX(T$4:T1350,MATCH(LARGE(FILTER(W$4:W1350,W$4:W1350&lt;=I232),1),W$4:W1350))-K232),1,
ROUNDDOWN(Y232-INDEX(K$4:K1350,MATCH(LARGE(FILTER(I$4:I1350,I$4:I1350&lt;=W232),1),I$4:I1350))-(W232-LARGE(FILTER(I$4:I"&amp;"1350,I$4:I1350&lt;=W232),1))*INDEX(F$4:F1350,MATCH(LARGE(FILTER(I$4:I1350,I$4:I1350&lt;=W232),1),I$4:I1350))))"),1.6198681E7)</f>
        <v>16198681</v>
      </c>
      <c r="N232" s="60">
        <f t="shared" si="8"/>
        <v>-152.24623</v>
      </c>
      <c r="O232" s="61" t="str">
        <f t="shared" si="9"/>
        <v>16,2M</v>
      </c>
      <c r="P232" s="56">
        <f t="shared" si="10"/>
        <v>6</v>
      </c>
      <c r="Q232" s="105" t="s">
        <v>60</v>
      </c>
      <c r="R232" s="10" t="b">
        <f>IFERROR(__xludf.DUMMYFUNCTION("IF(COUNTA(Q232:Q1350)=0,"""",IF(ISBLANK(Q232),FALSE,IF(NOT(COUNTIF($AA$24:$AA$34,SUBSTITUTE(Q232,""Sell_"",""""))),1,IF(REGEXMATCH(Q232,""Sell_""),IF(COUNTIF(Q$4:Q232,SUBSTITUTE(Q232,""Sell_"",""""))-COUNTIF(Q$4:Q231,Q232)&lt;1,1),FALSE))))"),FALSE)</f>
        <v>0</v>
      </c>
      <c r="S232" s="59">
        <f t="array" ref="S232">IF(COUNTA(Q232:Q1350)=0,"",SUM((COUNTIF(Q$4:Q232,Upgrades!$B$3:$B$13)-COUNTIF(Q$4:Q232,"Sell_"&amp;Upgrades!$B$3:$B$13))*Upgrades!$D$3:$D$13))</f>
        <v>104235</v>
      </c>
      <c r="T232" s="66">
        <f>IFERROR(__xludf.DUMMYFUNCTION("IF(COUNTA(Q232:Q1350)=0,"""",IF(REGEXMATCH(INDEX(FILTER(Q$4:Q232,Q$4:Q232&lt;&gt;""""),ROWS(FILTER(Q$4:Q232,Q$4:Q232&lt;&gt;""""))),""^Sell_""),INDEX(FILTER(T$4:T231,Q$4:Q231&lt;&gt;""""),ROWS(FILTER(Q$4:Q231,Q$4:Q231&lt;&gt;""""))),$AD$5+S232))"),113441.0)</f>
        <v>113441</v>
      </c>
      <c r="U232" s="10">
        <f>IFERROR(__xludf.DUMMYFUNCTION("IF(COUNTA(Q232:Q1350)=0,"""",IF(Q232="""",0,IF(REGEXMATCH(Q232,""^Sell_""),-ROUNDDOWN(ROUNDUP(INDEX(Upgrades!$C$3:$C$13,MATCH(SUBSTITUTE(Q232,""Sell_"",""""),Upgrades!$B$3:$B$13,0))*1.15^(COUNTIF(Q$4:Q231,SUBSTITUTE(Q232,""Sell_"",""""))-COUNTIF(Q$4:Q231,"&amp;"""Sell_""&amp;SUBSTITUTE(Q232,""Sell_"",""""))))/2),ROUNDUP(INDEX(Upgrades!$C$3:$C$13,MATCH(Q232,Upgrades!$B$3:$B$13,0))*1.15^(COUNTIF(Q$4:Q231,Q232)-COUNTIF(Q$4:Q231,""Sell_""&amp;Q232))))))"),-404556.0)</f>
        <v>-404556</v>
      </c>
      <c r="V232" s="10">
        <f t="shared" si="11"/>
        <v>-9663429</v>
      </c>
      <c r="W232" s="68">
        <f t="shared" si="12"/>
        <v>3545.704845</v>
      </c>
      <c r="X232" s="59" t="str">
        <f t="shared" si="13"/>
        <v>59m 05s</v>
      </c>
      <c r="Y232" s="69">
        <f t="shared" si="14"/>
        <v>100625440</v>
      </c>
      <c r="Z232" s="11"/>
    </row>
    <row r="233">
      <c r="A233" s="8"/>
      <c r="B233" s="56" t="str">
        <f t="shared" si="2"/>
        <v/>
      </c>
      <c r="C233" s="57"/>
      <c r="D233" s="10" t="str">
        <f>IFERROR(__xludf.DUMMYFUNCTION("IF(COUNTA(C233:C1350)=0,"""",IF(ISBLANK(C233),FALSE,IF(NOT(COUNTIF($AA$24:$AA$34,SUBSTITUTE(C233,""Sell_"",""""))),1,IF(REGEXMATCH(C233,""Sell_""),IF(COUNTIF(C$4:C233,SUBSTITUTE(C233,""Sell_"",""""))-COUNTIF(C$4:C232,C233)&lt;1,1),FALSE))))"),"")</f>
        <v/>
      </c>
      <c r="E233" s="59" t="str">
        <f t="array" ref="E233">IF(COUNTA(C233:C1350)=0,"",SUM((COUNTIF(C$4:C233,Upgrades!$B$3:$B$13)-COUNTIF(C$4:C233,"Sell_"&amp;Upgrades!$B$3:$B$13))*Upgrades!$D$3:$D$13))</f>
        <v/>
      </c>
      <c r="F233" s="66" t="str">
        <f>IFERROR(__xludf.DUMMYFUNCTION("IF(COUNTA(C233:C1350)=0,"""",IF(REGEXMATCH(INDEX(FILTER(C$4:C233,C$4:C233&lt;&gt;""""),ROWS(FILTER(C$4:C233,C$4:C233&lt;&gt;""""))),""^Sell_""),INDEX(FILTER(F$4:F232,C$4:C232&lt;&gt;""""),ROWS(FILTER(C$4:C232,C$4:C232&lt;&gt;""""))),$AC$5+E233))"),"")</f>
        <v/>
      </c>
      <c r="G233" s="10" t="str">
        <f>IFERROR(__xludf.DUMMYFUNCTION("IF(COUNTA(C233:C1350)=0,"""",IF(C233="""",0,IF(REGEXMATCH(C233,""^Sell_""),-ROUNDDOWN(ROUNDUP(INDEX(Upgrades!$C$3:$C$13,MATCH(SUBSTITUTE(C233,""Sell_"",""""),Upgrades!$B$3:$B$13,0))*1.15^(COUNTIF(C$4:C232,SUBSTITUTE(C233,""Sell_"",""""))-COUNTIF(C$4:C232,"&amp;"""Sell_""&amp;SUBSTITUTE(C233,""Sell_"",""""))))/2),ROUNDUP(INDEX(Upgrades!$C$3:$C$13,MATCH(C233,Upgrades!$B$3:$B$13,0))*1.15^(COUNTIF(C$4:C232,C233)-COUNTIF(C$4:C232,""Sell_""&amp;C233))))))"),"")</f>
        <v/>
      </c>
      <c r="H233" s="10" t="str">
        <f t="shared" si="3"/>
        <v/>
      </c>
      <c r="I233" s="68" t="str">
        <f t="shared" si="4"/>
        <v/>
      </c>
      <c r="J233" s="59" t="str">
        <f t="shared" si="5"/>
        <v/>
      </c>
      <c r="K233" s="69" t="str">
        <f t="shared" si="6"/>
        <v/>
      </c>
      <c r="L233" s="60">
        <f t="shared" si="7"/>
        <v>-152.24623</v>
      </c>
      <c r="M233" s="61">
        <f>IFERROR(__xludf.DUMMYFUNCTION("IFS(AND(COUNTA(C233:C1350)=0,COUNTA(Q233:Q1350)=0),"""",OR(AND(K233&gt;=1000000000,OR(Y233&gt;=1000000000,COUNTA(Q233:Q1350)=0)),OR(Y233&gt;=1000000000,AND(COUNTA(C233:C1350)=0,P$3=TRUE))),
ROUNDDOWN((AB$1-AC$1)*MAX(INDEX(T$4:T1350,MATCH(LARGE(FILTER(Y$4:Y1350,Y$4"&amp;":Y1350&lt;1000000000),1),Y$4:Y1350)),INDEX(F$4:F1350,MATCH(LARGE(FILTER(K$4:K1350,K$4:K1350&lt;1000000000),1),K$4:K1350)))),AND(K233&lt;1000000000,COUNTA(C233:C1350)&gt;0,P$3=FALSE),
ROUNDDOWN(INDEX(Y$4:Y1350,MATCH(LARGE(FILTER(W$4:W1350,W$4:W1350&lt;=I233),1),W$4:W1350"&amp;"))+(I233-LARGE(FILTER(W$4:W1350,W$4:W1350&lt;=I233),1))*INDEX(T$4:T1350,MATCH(LARGE(FILTER(W$4:W1350,W$4:W1350&lt;=I233),1),W$4:W1350))-K233),1,
ROUNDDOWN(Y233-INDEX(K$4:K1350,MATCH(LARGE(FILTER(I$4:I1350,I$4:I1350&lt;=W233),1),I$4:I1350))-(W233-LARGE(FILTER(I$4:I"&amp;"1350,I$4:I1350&lt;=W233),1))*INDEX(F$4:F1350,MATCH(LARGE(FILTER(I$4:I1350,I$4:I1350&lt;=W233),1),I$4:I1350))))"),1.6198681E7)</f>
        <v>16198681</v>
      </c>
      <c r="N233" s="60">
        <f t="shared" si="8"/>
        <v>-152.24623</v>
      </c>
      <c r="O233" s="61" t="str">
        <f t="shared" si="9"/>
        <v>16,2M</v>
      </c>
      <c r="P233" s="56">
        <f t="shared" si="10"/>
        <v>20</v>
      </c>
      <c r="Q233" s="105" t="s">
        <v>61</v>
      </c>
      <c r="R233" s="10" t="b">
        <f>IFERROR(__xludf.DUMMYFUNCTION("IF(COUNTA(Q233:Q1350)=0,"""",IF(ISBLANK(Q233),FALSE,IF(NOT(COUNTIF($AA$24:$AA$34,SUBSTITUTE(Q233,""Sell_"",""""))),1,IF(REGEXMATCH(Q233,""Sell_""),IF(COUNTIF(Q$4:Q233,SUBSTITUTE(Q233,""Sell_"",""""))-COUNTIF(Q$4:Q232,Q233)&lt;1,1),FALSE))))"),FALSE)</f>
        <v>0</v>
      </c>
      <c r="S233" s="59">
        <f t="array" ref="S233">IF(COUNTA(Q233:Q1350)=0,"",SUM((COUNTIF(Q$4:Q233,Upgrades!$B$3:$B$13)-COUNTIF(Q$4:Q233,"Sell_"&amp;Upgrades!$B$3:$B$13))*Upgrades!$D$3:$D$13))</f>
        <v>104135</v>
      </c>
      <c r="T233" s="66">
        <f>IFERROR(__xludf.DUMMYFUNCTION("IF(COUNTA(Q233:Q1350)=0,"""",IF(REGEXMATCH(INDEX(FILTER(Q$4:Q233,Q$4:Q233&lt;&gt;""""),ROWS(FILTER(Q$4:Q233,Q$4:Q233&lt;&gt;""""))),""^Sell_""),INDEX(FILTER(T$4:T232,Q$4:Q232&lt;&gt;""""),ROWS(FILTER(Q$4:Q232,Q$4:Q232&lt;&gt;""""))),$AD$5+S233))"),113441.0)</f>
        <v>113441</v>
      </c>
      <c r="U233" s="10">
        <f>IFERROR(__xludf.DUMMYFUNCTION("IF(COUNTA(Q233:Q1350)=0,"""",IF(Q233="""",0,IF(REGEXMATCH(Q233,""^Sell_""),-ROUNDDOWN(ROUNDUP(INDEX(Upgrades!$C$3:$C$13,MATCH(SUBSTITUTE(Q233,""Sell_"",""""),Upgrades!$B$3:$B$13,0))*1.15^(COUNTIF(Q$4:Q232,SUBSTITUTE(Q233,""Sell_"",""""))-COUNTIF(Q$4:Q232,"&amp;"""Sell_""&amp;SUBSTITUTE(Q233,""Sell_"",""""))))/2),ROUNDUP(INDEX(Upgrades!$C$3:$C$13,MATCH(Q233,Upgrades!$B$3:$B$13,0))*1.15^(COUNTIF(Q$4:Q232,Q233)-COUNTIF(Q$4:Q232,""Sell_""&amp;Q233))))))"),-34980.0)</f>
        <v>-34980</v>
      </c>
      <c r="V233" s="10">
        <f t="shared" si="11"/>
        <v>-9698409</v>
      </c>
      <c r="W233" s="68">
        <f t="shared" si="12"/>
        <v>3545.704845</v>
      </c>
      <c r="X233" s="59" t="str">
        <f t="shared" si="13"/>
        <v>59m 05s</v>
      </c>
      <c r="Y233" s="69">
        <f t="shared" si="14"/>
        <v>100625440</v>
      </c>
      <c r="Z233" s="11"/>
    </row>
    <row r="234">
      <c r="A234" s="8"/>
      <c r="B234" s="56" t="str">
        <f t="shared" si="2"/>
        <v/>
      </c>
      <c r="C234" s="57"/>
      <c r="D234" s="10" t="str">
        <f>IFERROR(__xludf.DUMMYFUNCTION("IF(COUNTA(C234:C1350)=0,"""",IF(ISBLANK(C234),FALSE,IF(NOT(COUNTIF($AA$24:$AA$34,SUBSTITUTE(C234,""Sell_"",""""))),1,IF(REGEXMATCH(C234,""Sell_""),IF(COUNTIF(C$4:C234,SUBSTITUTE(C234,""Sell_"",""""))-COUNTIF(C$4:C233,C234)&lt;1,1),FALSE))))"),"")</f>
        <v/>
      </c>
      <c r="E234" s="59" t="str">
        <f t="array" ref="E234">IF(COUNTA(C234:C1350)=0,"",SUM((COUNTIF(C$4:C234,Upgrades!$B$3:$B$13)-COUNTIF(C$4:C234,"Sell_"&amp;Upgrades!$B$3:$B$13))*Upgrades!$D$3:$D$13))</f>
        <v/>
      </c>
      <c r="F234" s="66" t="str">
        <f>IFERROR(__xludf.DUMMYFUNCTION("IF(COUNTA(C234:C1350)=0,"""",IF(REGEXMATCH(INDEX(FILTER(C$4:C234,C$4:C234&lt;&gt;""""),ROWS(FILTER(C$4:C234,C$4:C234&lt;&gt;""""))),""^Sell_""),INDEX(FILTER(F$4:F233,C$4:C233&lt;&gt;""""),ROWS(FILTER(C$4:C233,C$4:C233&lt;&gt;""""))),$AC$5+E234))"),"")</f>
        <v/>
      </c>
      <c r="G234" s="10" t="str">
        <f>IFERROR(__xludf.DUMMYFUNCTION("IF(COUNTA(C234:C1350)=0,"""",IF(C234="""",0,IF(REGEXMATCH(C234,""^Sell_""),-ROUNDDOWN(ROUNDUP(INDEX(Upgrades!$C$3:$C$13,MATCH(SUBSTITUTE(C234,""Sell_"",""""),Upgrades!$B$3:$B$13,0))*1.15^(COUNTIF(C$4:C233,SUBSTITUTE(C234,""Sell_"",""""))-COUNTIF(C$4:C233,"&amp;"""Sell_""&amp;SUBSTITUTE(C234,""Sell_"",""""))))/2),ROUNDUP(INDEX(Upgrades!$C$3:$C$13,MATCH(C234,Upgrades!$B$3:$B$13,0))*1.15^(COUNTIF(C$4:C233,C234)-COUNTIF(C$4:C233,""Sell_""&amp;C234))))))"),"")</f>
        <v/>
      </c>
      <c r="H234" s="10" t="str">
        <f t="shared" si="3"/>
        <v/>
      </c>
      <c r="I234" s="68" t="str">
        <f t="shared" si="4"/>
        <v/>
      </c>
      <c r="J234" s="59" t="str">
        <f t="shared" si="5"/>
        <v/>
      </c>
      <c r="K234" s="69" t="str">
        <f t="shared" si="6"/>
        <v/>
      </c>
      <c r="L234" s="60">
        <f t="shared" si="7"/>
        <v>-152.24623</v>
      </c>
      <c r="M234" s="61">
        <f>IFERROR(__xludf.DUMMYFUNCTION("IFS(AND(COUNTA(C234:C1350)=0,COUNTA(Q234:Q1350)=0),"""",OR(AND(K234&gt;=1000000000,OR(Y234&gt;=1000000000,COUNTA(Q234:Q1350)=0)),OR(Y234&gt;=1000000000,AND(COUNTA(C234:C1350)=0,P$3=TRUE))),
ROUNDDOWN((AB$1-AC$1)*MAX(INDEX(T$4:T1350,MATCH(LARGE(FILTER(Y$4:Y1350,Y$4"&amp;":Y1350&lt;1000000000),1),Y$4:Y1350)),INDEX(F$4:F1350,MATCH(LARGE(FILTER(K$4:K1350,K$4:K1350&lt;1000000000),1),K$4:K1350)))),AND(K234&lt;1000000000,COUNTA(C234:C1350)&gt;0,P$3=FALSE),
ROUNDDOWN(INDEX(Y$4:Y1350,MATCH(LARGE(FILTER(W$4:W1350,W$4:W1350&lt;=I234),1),W$4:W1350"&amp;"))+(I234-LARGE(FILTER(W$4:W1350,W$4:W1350&lt;=I234),1))*INDEX(T$4:T1350,MATCH(LARGE(FILTER(W$4:W1350,W$4:W1350&lt;=I234),1),W$4:W1350))-K234),1,
ROUNDDOWN(Y234-INDEX(K$4:K1350,MATCH(LARGE(FILTER(I$4:I1350,I$4:I1350&lt;=W234),1),I$4:I1350))-(W234-LARGE(FILTER(I$4:I"&amp;"1350,I$4:I1350&lt;=W234),1))*INDEX(F$4:F1350,MATCH(LARGE(FILTER(I$4:I1350,I$4:I1350&lt;=W234),1),I$4:I1350))))"),1.6198681E7)</f>
        <v>16198681</v>
      </c>
      <c r="N234" s="60">
        <f t="shared" si="8"/>
        <v>-152.24623</v>
      </c>
      <c r="O234" s="61" t="str">
        <f t="shared" si="9"/>
        <v>16,2M</v>
      </c>
      <c r="P234" s="56">
        <f t="shared" si="10"/>
        <v>21</v>
      </c>
      <c r="Q234" s="105" t="s">
        <v>61</v>
      </c>
      <c r="R234" s="10" t="b">
        <f>IFERROR(__xludf.DUMMYFUNCTION("IF(COUNTA(Q234:Q1350)=0,"""",IF(ISBLANK(Q234),FALSE,IF(NOT(COUNTIF($AA$24:$AA$34,SUBSTITUTE(Q234,""Sell_"",""""))),1,IF(REGEXMATCH(Q234,""Sell_""),IF(COUNTIF(Q$4:Q234,SUBSTITUTE(Q234,""Sell_"",""""))-COUNTIF(Q$4:Q233,Q234)&lt;1,1),FALSE))))"),FALSE)</f>
        <v>0</v>
      </c>
      <c r="S234" s="59">
        <f t="array" ref="S234">IF(COUNTA(Q234:Q1350)=0,"",SUM((COUNTIF(Q$4:Q234,Upgrades!$B$3:$B$13)-COUNTIF(Q$4:Q234,"Sell_"&amp;Upgrades!$B$3:$B$13))*Upgrades!$D$3:$D$13))</f>
        <v>104035</v>
      </c>
      <c r="T234" s="66">
        <f>IFERROR(__xludf.DUMMYFUNCTION("IF(COUNTA(Q234:Q1350)=0,"""",IF(REGEXMATCH(INDEX(FILTER(Q$4:Q234,Q$4:Q234&lt;&gt;""""),ROWS(FILTER(Q$4:Q234,Q$4:Q234&lt;&gt;""""))),""^Sell_""),INDEX(FILTER(T$4:T233,Q$4:Q233&lt;&gt;""""),ROWS(FILTER(Q$4:Q233,Q$4:Q233&lt;&gt;""""))),$AD$5+S234))"),113441.0)</f>
        <v>113441</v>
      </c>
      <c r="U234" s="10">
        <f>IFERROR(__xludf.DUMMYFUNCTION("IF(COUNTA(Q234:Q1350)=0,"""",IF(Q234="""",0,IF(REGEXMATCH(Q234,""^Sell_""),-ROUNDDOWN(ROUNDUP(INDEX(Upgrades!$C$3:$C$13,MATCH(SUBSTITUTE(Q234,""Sell_"",""""),Upgrades!$B$3:$B$13,0))*1.15^(COUNTIF(Q$4:Q233,SUBSTITUTE(Q234,""Sell_"",""""))-COUNTIF(Q$4:Q233,"&amp;"""Sell_""&amp;SUBSTITUTE(Q234,""Sell_"",""""))))/2),ROUNDUP(INDEX(Upgrades!$C$3:$C$13,MATCH(Q234,Upgrades!$B$3:$B$13,0))*1.15^(COUNTIF(Q$4:Q233,Q234)-COUNTIF(Q$4:Q233,""Sell_""&amp;Q234))))))"),-30417.0)</f>
        <v>-30417</v>
      </c>
      <c r="V234" s="10">
        <f t="shared" si="11"/>
        <v>-9728826</v>
      </c>
      <c r="W234" s="68">
        <f t="shared" si="12"/>
        <v>3545.704845</v>
      </c>
      <c r="X234" s="59" t="str">
        <f t="shared" si="13"/>
        <v>59m 05s</v>
      </c>
      <c r="Y234" s="69">
        <f t="shared" si="14"/>
        <v>100625440</v>
      </c>
      <c r="Z234" s="11"/>
    </row>
    <row r="235">
      <c r="A235" s="8"/>
      <c r="B235" s="56" t="str">
        <f t="shared" si="2"/>
        <v/>
      </c>
      <c r="C235" s="57"/>
      <c r="D235" s="10" t="str">
        <f>IFERROR(__xludf.DUMMYFUNCTION("IF(COUNTA(C235:C1350)=0,"""",IF(ISBLANK(C235),FALSE,IF(NOT(COUNTIF($AA$24:$AA$34,SUBSTITUTE(C235,""Sell_"",""""))),1,IF(REGEXMATCH(C235,""Sell_""),IF(COUNTIF(C$4:C235,SUBSTITUTE(C235,""Sell_"",""""))-COUNTIF(C$4:C234,C235)&lt;1,1),FALSE))))"),"")</f>
        <v/>
      </c>
      <c r="E235" s="59" t="str">
        <f t="array" ref="E235">IF(COUNTA(C235:C1350)=0,"",SUM((COUNTIF(C$4:C235,Upgrades!$B$3:$B$13)-COUNTIF(C$4:C235,"Sell_"&amp;Upgrades!$B$3:$B$13))*Upgrades!$D$3:$D$13))</f>
        <v/>
      </c>
      <c r="F235" s="66" t="str">
        <f>IFERROR(__xludf.DUMMYFUNCTION("IF(COUNTA(C235:C1350)=0,"""",IF(REGEXMATCH(INDEX(FILTER(C$4:C235,C$4:C235&lt;&gt;""""),ROWS(FILTER(C$4:C235,C$4:C235&lt;&gt;""""))),""^Sell_""),INDEX(FILTER(F$4:F234,C$4:C234&lt;&gt;""""),ROWS(FILTER(C$4:C234,C$4:C234&lt;&gt;""""))),$AC$5+E235))"),"")</f>
        <v/>
      </c>
      <c r="G235" s="10" t="str">
        <f>IFERROR(__xludf.DUMMYFUNCTION("IF(COUNTA(C235:C1350)=0,"""",IF(C235="""",0,IF(REGEXMATCH(C235,""^Sell_""),-ROUNDDOWN(ROUNDUP(INDEX(Upgrades!$C$3:$C$13,MATCH(SUBSTITUTE(C235,""Sell_"",""""),Upgrades!$B$3:$B$13,0))*1.15^(COUNTIF(C$4:C234,SUBSTITUTE(C235,""Sell_"",""""))-COUNTIF(C$4:C234,"&amp;"""Sell_""&amp;SUBSTITUTE(C235,""Sell_"",""""))))/2),ROUNDUP(INDEX(Upgrades!$C$3:$C$13,MATCH(C235,Upgrades!$B$3:$B$13,0))*1.15^(COUNTIF(C$4:C234,C235)-COUNTIF(C$4:C234,""Sell_""&amp;C235))))))"),"")</f>
        <v/>
      </c>
      <c r="H235" s="10" t="str">
        <f t="shared" si="3"/>
        <v/>
      </c>
      <c r="I235" s="68" t="str">
        <f t="shared" si="4"/>
        <v/>
      </c>
      <c r="J235" s="59" t="str">
        <f t="shared" si="5"/>
        <v/>
      </c>
      <c r="K235" s="69" t="str">
        <f t="shared" si="6"/>
        <v/>
      </c>
      <c r="L235" s="60">
        <f t="shared" si="7"/>
        <v>-152.24623</v>
      </c>
      <c r="M235" s="61">
        <f>IFERROR(__xludf.DUMMYFUNCTION("IFS(AND(COUNTA(C235:C1350)=0,COUNTA(Q235:Q1350)=0),"""",OR(AND(K235&gt;=1000000000,OR(Y235&gt;=1000000000,COUNTA(Q235:Q1350)=0)),OR(Y235&gt;=1000000000,AND(COUNTA(C235:C1350)=0,P$3=TRUE))),
ROUNDDOWN((AB$1-AC$1)*MAX(INDEX(T$4:T1350,MATCH(LARGE(FILTER(Y$4:Y1350,Y$4"&amp;":Y1350&lt;1000000000),1),Y$4:Y1350)),INDEX(F$4:F1350,MATCH(LARGE(FILTER(K$4:K1350,K$4:K1350&lt;1000000000),1),K$4:K1350)))),AND(K235&lt;1000000000,COUNTA(C235:C1350)&gt;0,P$3=FALSE),
ROUNDDOWN(INDEX(Y$4:Y1350,MATCH(LARGE(FILTER(W$4:W1350,W$4:W1350&lt;=I235),1),W$4:W1350"&amp;"))+(I235-LARGE(FILTER(W$4:W1350,W$4:W1350&lt;=I235),1))*INDEX(T$4:T1350,MATCH(LARGE(FILTER(W$4:W1350,W$4:W1350&lt;=I235),1),W$4:W1350))-K235),1,
ROUNDDOWN(Y235-INDEX(K$4:K1350,MATCH(LARGE(FILTER(I$4:I1350,I$4:I1350&lt;=W235),1),I$4:I1350))-(W235-LARGE(FILTER(I$4:I"&amp;"1350,I$4:I1350&lt;=W235),1))*INDEX(F$4:F1350,MATCH(LARGE(FILTER(I$4:I1350,I$4:I1350&lt;=W235),1),I$4:I1350))))"),1.6198681E7)</f>
        <v>16198681</v>
      </c>
      <c r="N235" s="60">
        <f t="shared" si="8"/>
        <v>-152.24623</v>
      </c>
      <c r="O235" s="61" t="str">
        <f t="shared" si="9"/>
        <v>16,2M</v>
      </c>
      <c r="P235" s="56">
        <f t="shared" si="10"/>
        <v>22</v>
      </c>
      <c r="Q235" s="105" t="s">
        <v>61</v>
      </c>
      <c r="R235" s="10" t="b">
        <f>IFERROR(__xludf.DUMMYFUNCTION("IF(COUNTA(Q235:Q1350)=0,"""",IF(ISBLANK(Q235),FALSE,IF(NOT(COUNTIF($AA$24:$AA$34,SUBSTITUTE(Q235,""Sell_"",""""))),1,IF(REGEXMATCH(Q235,""Sell_""),IF(COUNTIF(Q$4:Q235,SUBSTITUTE(Q235,""Sell_"",""""))-COUNTIF(Q$4:Q234,Q235)&lt;1,1),FALSE))))"),FALSE)</f>
        <v>0</v>
      </c>
      <c r="S235" s="59">
        <f t="array" ref="S235">IF(COUNTA(Q235:Q1350)=0,"",SUM((COUNTIF(Q$4:Q235,Upgrades!$B$3:$B$13)-COUNTIF(Q$4:Q235,"Sell_"&amp;Upgrades!$B$3:$B$13))*Upgrades!$D$3:$D$13))</f>
        <v>103935</v>
      </c>
      <c r="T235" s="66">
        <f>IFERROR(__xludf.DUMMYFUNCTION("IF(COUNTA(Q235:Q1350)=0,"""",IF(REGEXMATCH(INDEX(FILTER(Q$4:Q235,Q$4:Q235&lt;&gt;""""),ROWS(FILTER(Q$4:Q235,Q$4:Q235&lt;&gt;""""))),""^Sell_""),INDEX(FILTER(T$4:T234,Q$4:Q234&lt;&gt;""""),ROWS(FILTER(Q$4:Q234,Q$4:Q234&lt;&gt;""""))),$AD$5+S235))"),113441.0)</f>
        <v>113441</v>
      </c>
      <c r="U235" s="10">
        <f>IFERROR(__xludf.DUMMYFUNCTION("IF(COUNTA(Q235:Q1350)=0,"""",IF(Q235="""",0,IF(REGEXMATCH(Q235,""^Sell_""),-ROUNDDOWN(ROUNDUP(INDEX(Upgrades!$C$3:$C$13,MATCH(SUBSTITUTE(Q235,""Sell_"",""""),Upgrades!$B$3:$B$13,0))*1.15^(COUNTIF(Q$4:Q234,SUBSTITUTE(Q235,""Sell_"",""""))-COUNTIF(Q$4:Q234,"&amp;"""Sell_""&amp;SUBSTITUTE(Q235,""Sell_"",""""))))/2),ROUNDUP(INDEX(Upgrades!$C$3:$C$13,MATCH(Q235,Upgrades!$B$3:$B$13,0))*1.15^(COUNTIF(Q$4:Q234,Q235)-COUNTIF(Q$4:Q234,""Sell_""&amp;Q235))))))"),-26450.0)</f>
        <v>-26450</v>
      </c>
      <c r="V235" s="10">
        <f t="shared" si="11"/>
        <v>-9755276</v>
      </c>
      <c r="W235" s="68">
        <f t="shared" si="12"/>
        <v>3545.704845</v>
      </c>
      <c r="X235" s="59" t="str">
        <f t="shared" si="13"/>
        <v>59m 05s</v>
      </c>
      <c r="Y235" s="69">
        <f t="shared" si="14"/>
        <v>100625440</v>
      </c>
      <c r="Z235" s="11"/>
    </row>
    <row r="236">
      <c r="A236" s="8"/>
      <c r="B236" s="56" t="str">
        <f t="shared" si="2"/>
        <v/>
      </c>
      <c r="C236" s="57"/>
      <c r="D236" s="10" t="str">
        <f>IFERROR(__xludf.DUMMYFUNCTION("IF(COUNTA(C236:C1350)=0,"""",IF(ISBLANK(C236),FALSE,IF(NOT(COUNTIF($AA$24:$AA$34,SUBSTITUTE(C236,""Sell_"",""""))),1,IF(REGEXMATCH(C236,""Sell_""),IF(COUNTIF(C$4:C236,SUBSTITUTE(C236,""Sell_"",""""))-COUNTIF(C$4:C235,C236)&lt;1,1),FALSE))))"),"")</f>
        <v/>
      </c>
      <c r="E236" s="59" t="str">
        <f t="array" ref="E236">IF(COUNTA(C236:C1350)=0,"",SUM((COUNTIF(C$4:C236,Upgrades!$B$3:$B$13)-COUNTIF(C$4:C236,"Sell_"&amp;Upgrades!$B$3:$B$13))*Upgrades!$D$3:$D$13))</f>
        <v/>
      </c>
      <c r="F236" s="66" t="str">
        <f>IFERROR(__xludf.DUMMYFUNCTION("IF(COUNTA(C236:C1350)=0,"""",IF(REGEXMATCH(INDEX(FILTER(C$4:C236,C$4:C236&lt;&gt;""""),ROWS(FILTER(C$4:C236,C$4:C236&lt;&gt;""""))),""^Sell_""),INDEX(FILTER(F$4:F235,C$4:C235&lt;&gt;""""),ROWS(FILTER(C$4:C235,C$4:C235&lt;&gt;""""))),$AC$5+E236))"),"")</f>
        <v/>
      </c>
      <c r="G236" s="10" t="str">
        <f>IFERROR(__xludf.DUMMYFUNCTION("IF(COUNTA(C236:C1350)=0,"""",IF(C236="""",0,IF(REGEXMATCH(C236,""^Sell_""),-ROUNDDOWN(ROUNDUP(INDEX(Upgrades!$C$3:$C$13,MATCH(SUBSTITUTE(C236,""Sell_"",""""),Upgrades!$B$3:$B$13,0))*1.15^(COUNTIF(C$4:C235,SUBSTITUTE(C236,""Sell_"",""""))-COUNTIF(C$4:C235,"&amp;"""Sell_""&amp;SUBSTITUTE(C236,""Sell_"",""""))))/2),ROUNDUP(INDEX(Upgrades!$C$3:$C$13,MATCH(C236,Upgrades!$B$3:$B$13,0))*1.15^(COUNTIF(C$4:C235,C236)-COUNTIF(C$4:C235,""Sell_""&amp;C236))))))"),"")</f>
        <v/>
      </c>
      <c r="H236" s="10" t="str">
        <f t="shared" si="3"/>
        <v/>
      </c>
      <c r="I236" s="68" t="str">
        <f t="shared" si="4"/>
        <v/>
      </c>
      <c r="J236" s="59" t="str">
        <f t="shared" si="5"/>
        <v/>
      </c>
      <c r="K236" s="69" t="str">
        <f t="shared" si="6"/>
        <v/>
      </c>
      <c r="L236" s="60">
        <f t="shared" si="7"/>
        <v>-152.24623</v>
      </c>
      <c r="M236" s="61">
        <f>IFERROR(__xludf.DUMMYFUNCTION("IFS(AND(COUNTA(C236:C1350)=0,COUNTA(Q236:Q1350)=0),"""",OR(AND(K236&gt;=1000000000,OR(Y236&gt;=1000000000,COUNTA(Q236:Q1350)=0)),OR(Y236&gt;=1000000000,AND(COUNTA(C236:C1350)=0,P$3=TRUE))),
ROUNDDOWN((AB$1-AC$1)*MAX(INDEX(T$4:T1350,MATCH(LARGE(FILTER(Y$4:Y1350,Y$4"&amp;":Y1350&lt;1000000000),1),Y$4:Y1350)),INDEX(F$4:F1350,MATCH(LARGE(FILTER(K$4:K1350,K$4:K1350&lt;1000000000),1),K$4:K1350)))),AND(K236&lt;1000000000,COUNTA(C236:C1350)&gt;0,P$3=FALSE),
ROUNDDOWN(INDEX(Y$4:Y1350,MATCH(LARGE(FILTER(W$4:W1350,W$4:W1350&lt;=I236),1),W$4:W1350"&amp;"))+(I236-LARGE(FILTER(W$4:W1350,W$4:W1350&lt;=I236),1))*INDEX(T$4:T1350,MATCH(LARGE(FILTER(W$4:W1350,W$4:W1350&lt;=I236),1),W$4:W1350))-K236),1,
ROUNDDOWN(Y236-INDEX(K$4:K1350,MATCH(LARGE(FILTER(I$4:I1350,I$4:I1350&lt;=W236),1),I$4:I1350))-(W236-LARGE(FILTER(I$4:I"&amp;"1350,I$4:I1350&lt;=W236),1))*INDEX(F$4:F1350,MATCH(LARGE(FILTER(I$4:I1350,I$4:I1350&lt;=W236),1),I$4:I1350))))"),1.6198681E7)</f>
        <v>16198681</v>
      </c>
      <c r="N236" s="60">
        <f t="shared" si="8"/>
        <v>-152.24623</v>
      </c>
      <c r="O236" s="61" t="str">
        <f t="shared" si="9"/>
        <v>16,2M</v>
      </c>
      <c r="P236" s="56">
        <f t="shared" si="10"/>
        <v>23</v>
      </c>
      <c r="Q236" s="105" t="s">
        <v>61</v>
      </c>
      <c r="R236" s="10" t="b">
        <f>IFERROR(__xludf.DUMMYFUNCTION("IF(COUNTA(Q236:Q1350)=0,"""",IF(ISBLANK(Q236),FALSE,IF(NOT(COUNTIF($AA$24:$AA$34,SUBSTITUTE(Q236,""Sell_"",""""))),1,IF(REGEXMATCH(Q236,""Sell_""),IF(COUNTIF(Q$4:Q236,SUBSTITUTE(Q236,""Sell_"",""""))-COUNTIF(Q$4:Q235,Q236)&lt;1,1),FALSE))))"),FALSE)</f>
        <v>0</v>
      </c>
      <c r="S236" s="59">
        <f t="array" ref="S236">IF(COUNTA(Q236:Q1350)=0,"",SUM((COUNTIF(Q$4:Q236,Upgrades!$B$3:$B$13)-COUNTIF(Q$4:Q236,"Sell_"&amp;Upgrades!$B$3:$B$13))*Upgrades!$D$3:$D$13))</f>
        <v>103835</v>
      </c>
      <c r="T236" s="66">
        <f>IFERROR(__xludf.DUMMYFUNCTION("IF(COUNTA(Q236:Q1350)=0,"""",IF(REGEXMATCH(INDEX(FILTER(Q$4:Q236,Q$4:Q236&lt;&gt;""""),ROWS(FILTER(Q$4:Q236,Q$4:Q236&lt;&gt;""""))),""^Sell_""),INDEX(FILTER(T$4:T235,Q$4:Q235&lt;&gt;""""),ROWS(FILTER(Q$4:Q235,Q$4:Q235&lt;&gt;""""))),$AD$5+S236))"),113441.0)</f>
        <v>113441</v>
      </c>
      <c r="U236" s="10">
        <f>IFERROR(__xludf.DUMMYFUNCTION("IF(COUNTA(Q236:Q1350)=0,"""",IF(Q236="""",0,IF(REGEXMATCH(Q236,""^Sell_""),-ROUNDDOWN(ROUNDUP(INDEX(Upgrades!$C$3:$C$13,MATCH(SUBSTITUTE(Q236,""Sell_"",""""),Upgrades!$B$3:$B$13,0))*1.15^(COUNTIF(Q$4:Q235,SUBSTITUTE(Q236,""Sell_"",""""))-COUNTIF(Q$4:Q235,"&amp;"""Sell_""&amp;SUBSTITUTE(Q236,""Sell_"",""""))))/2),ROUNDUP(INDEX(Upgrades!$C$3:$C$13,MATCH(Q236,Upgrades!$B$3:$B$13,0))*1.15^(COUNTIF(Q$4:Q235,Q236)-COUNTIF(Q$4:Q235,""Sell_""&amp;Q236))))))"),-23000.0)</f>
        <v>-23000</v>
      </c>
      <c r="V236" s="10">
        <f t="shared" si="11"/>
        <v>-9778276</v>
      </c>
      <c r="W236" s="68">
        <f t="shared" si="12"/>
        <v>3545.704845</v>
      </c>
      <c r="X236" s="59" t="str">
        <f t="shared" si="13"/>
        <v>59m 05s</v>
      </c>
      <c r="Y236" s="69">
        <f t="shared" si="14"/>
        <v>100625440</v>
      </c>
      <c r="Z236" s="11"/>
    </row>
    <row r="237">
      <c r="A237" s="8"/>
      <c r="B237" s="56" t="str">
        <f t="shared" si="2"/>
        <v/>
      </c>
      <c r="C237" s="57"/>
      <c r="D237" s="10" t="str">
        <f>IFERROR(__xludf.DUMMYFUNCTION("IF(COUNTA(C237:C1350)=0,"""",IF(ISBLANK(C237),FALSE,IF(NOT(COUNTIF($AA$24:$AA$34,SUBSTITUTE(C237,""Sell_"",""""))),1,IF(REGEXMATCH(C237,""Sell_""),IF(COUNTIF(C$4:C237,SUBSTITUTE(C237,""Sell_"",""""))-COUNTIF(C$4:C236,C237)&lt;1,1),FALSE))))"),"")</f>
        <v/>
      </c>
      <c r="E237" s="59" t="str">
        <f t="array" ref="E237">IF(COUNTA(C237:C1350)=0,"",SUM((COUNTIF(C$4:C237,Upgrades!$B$3:$B$13)-COUNTIF(C$4:C237,"Sell_"&amp;Upgrades!$B$3:$B$13))*Upgrades!$D$3:$D$13))</f>
        <v/>
      </c>
      <c r="F237" s="66" t="str">
        <f>IFERROR(__xludf.DUMMYFUNCTION("IF(COUNTA(C237:C1350)=0,"""",IF(REGEXMATCH(INDEX(FILTER(C$4:C237,C$4:C237&lt;&gt;""""),ROWS(FILTER(C$4:C237,C$4:C237&lt;&gt;""""))),""^Sell_""),INDEX(FILTER(F$4:F236,C$4:C236&lt;&gt;""""),ROWS(FILTER(C$4:C236,C$4:C236&lt;&gt;""""))),$AC$5+E237))"),"")</f>
        <v/>
      </c>
      <c r="G237" s="10" t="str">
        <f>IFERROR(__xludf.DUMMYFUNCTION("IF(COUNTA(C237:C1350)=0,"""",IF(C237="""",0,IF(REGEXMATCH(C237,""^Sell_""),-ROUNDDOWN(ROUNDUP(INDEX(Upgrades!$C$3:$C$13,MATCH(SUBSTITUTE(C237,""Sell_"",""""),Upgrades!$B$3:$B$13,0))*1.15^(COUNTIF(C$4:C236,SUBSTITUTE(C237,""Sell_"",""""))-COUNTIF(C$4:C236,"&amp;"""Sell_""&amp;SUBSTITUTE(C237,""Sell_"",""""))))/2),ROUNDUP(INDEX(Upgrades!$C$3:$C$13,MATCH(C237,Upgrades!$B$3:$B$13,0))*1.15^(COUNTIF(C$4:C236,C237)-COUNTIF(C$4:C236,""Sell_""&amp;C237))))))"),"")</f>
        <v/>
      </c>
      <c r="H237" s="10" t="str">
        <f t="shared" si="3"/>
        <v/>
      </c>
      <c r="I237" s="68" t="str">
        <f t="shared" si="4"/>
        <v/>
      </c>
      <c r="J237" s="59" t="str">
        <f t="shared" si="5"/>
        <v/>
      </c>
      <c r="K237" s="69" t="str">
        <f t="shared" si="6"/>
        <v/>
      </c>
      <c r="L237" s="60">
        <f t="shared" si="7"/>
        <v>-152.24623</v>
      </c>
      <c r="M237" s="61">
        <f>IFERROR(__xludf.DUMMYFUNCTION("IFS(AND(COUNTA(C237:C1350)=0,COUNTA(Q237:Q1350)=0),"""",OR(AND(K237&gt;=1000000000,OR(Y237&gt;=1000000000,COUNTA(Q237:Q1350)=0)),OR(Y237&gt;=1000000000,AND(COUNTA(C237:C1350)=0,P$3=TRUE))),
ROUNDDOWN((AB$1-AC$1)*MAX(INDEX(T$4:T1350,MATCH(LARGE(FILTER(Y$4:Y1350,Y$4"&amp;":Y1350&lt;1000000000),1),Y$4:Y1350)),INDEX(F$4:F1350,MATCH(LARGE(FILTER(K$4:K1350,K$4:K1350&lt;1000000000),1),K$4:K1350)))),AND(K237&lt;1000000000,COUNTA(C237:C1350)&gt;0,P$3=FALSE),
ROUNDDOWN(INDEX(Y$4:Y1350,MATCH(LARGE(FILTER(W$4:W1350,W$4:W1350&lt;=I237),1),W$4:W1350"&amp;"))+(I237-LARGE(FILTER(W$4:W1350,W$4:W1350&lt;=I237),1))*INDEX(T$4:T1350,MATCH(LARGE(FILTER(W$4:W1350,W$4:W1350&lt;=I237),1),W$4:W1350))-K237),1,
ROUNDDOWN(Y237-INDEX(K$4:K1350,MATCH(LARGE(FILTER(I$4:I1350,I$4:I1350&lt;=W237),1),I$4:I1350))-(W237-LARGE(FILTER(I$4:I"&amp;"1350,I$4:I1350&lt;=W237),1))*INDEX(F$4:F1350,MATCH(LARGE(FILTER(I$4:I1350,I$4:I1350&lt;=W237),1),I$4:I1350))))"),1.6198681E7)</f>
        <v>16198681</v>
      </c>
      <c r="N237" s="60">
        <f t="shared" si="8"/>
        <v>-152.24623</v>
      </c>
      <c r="O237" s="61" t="str">
        <f t="shared" si="9"/>
        <v>16,2M</v>
      </c>
      <c r="P237" s="56">
        <f t="shared" si="10"/>
        <v>7</v>
      </c>
      <c r="Q237" s="105" t="s">
        <v>60</v>
      </c>
      <c r="R237" s="10" t="b">
        <f>IFERROR(__xludf.DUMMYFUNCTION("IF(COUNTA(Q237:Q1350)=0,"""",IF(ISBLANK(Q237),FALSE,IF(NOT(COUNTIF($AA$24:$AA$34,SUBSTITUTE(Q237,""Sell_"",""""))),1,IF(REGEXMATCH(Q237,""Sell_""),IF(COUNTIF(Q$4:Q237,SUBSTITUTE(Q237,""Sell_"",""""))-COUNTIF(Q$4:Q236,Q237)&lt;1,1),FALSE))))"),FALSE)</f>
        <v>0</v>
      </c>
      <c r="S237" s="59">
        <f t="array" ref="S237">IF(COUNTA(Q237:Q1350)=0,"",SUM((COUNTIF(Q$4:Q237,Upgrades!$B$3:$B$13)-COUNTIF(Q$4:Q237,"Sell_"&amp;Upgrades!$B$3:$B$13))*Upgrades!$D$3:$D$13))</f>
        <v>103435</v>
      </c>
      <c r="T237" s="66">
        <f>IFERROR(__xludf.DUMMYFUNCTION("IF(COUNTA(Q237:Q1350)=0,"""",IF(REGEXMATCH(INDEX(FILTER(Q$4:Q237,Q$4:Q237&lt;&gt;""""),ROWS(FILTER(Q$4:Q237,Q$4:Q237&lt;&gt;""""))),""^Sell_""),INDEX(FILTER(T$4:T236,Q$4:Q236&lt;&gt;""""),ROWS(FILTER(Q$4:Q236,Q$4:Q236&lt;&gt;""""))),$AD$5+S237))"),113441.0)</f>
        <v>113441</v>
      </c>
      <c r="U237" s="10">
        <f>IFERROR(__xludf.DUMMYFUNCTION("IF(COUNTA(Q237:Q1350)=0,"""",IF(Q237="""",0,IF(REGEXMATCH(Q237,""^Sell_""),-ROUNDDOWN(ROUNDUP(INDEX(Upgrades!$C$3:$C$13,MATCH(SUBSTITUTE(Q237,""Sell_"",""""),Upgrades!$B$3:$B$13,0))*1.15^(COUNTIF(Q$4:Q236,SUBSTITUTE(Q237,""Sell_"",""""))-COUNTIF(Q$4:Q236,"&amp;"""Sell_""&amp;SUBSTITUTE(Q237,""Sell_"",""""))))/2),ROUNDUP(INDEX(Upgrades!$C$3:$C$13,MATCH(Q237,Upgrades!$B$3:$B$13,0))*1.15^(COUNTIF(Q$4:Q236,Q237)-COUNTIF(Q$4:Q236,""Sell_""&amp;Q237))))))"),-351788.0)</f>
        <v>-351788</v>
      </c>
      <c r="V237" s="10">
        <f t="shared" si="11"/>
        <v>-10130064</v>
      </c>
      <c r="W237" s="68">
        <f t="shared" si="12"/>
        <v>3545.704845</v>
      </c>
      <c r="X237" s="59" t="str">
        <f t="shared" si="13"/>
        <v>59m 05s</v>
      </c>
      <c r="Y237" s="69">
        <f t="shared" si="14"/>
        <v>100625440</v>
      </c>
      <c r="Z237" s="11"/>
    </row>
    <row r="238">
      <c r="A238" s="8"/>
      <c r="B238" s="56" t="str">
        <f t="shared" si="2"/>
        <v/>
      </c>
      <c r="C238" s="57"/>
      <c r="D238" s="10" t="str">
        <f>IFERROR(__xludf.DUMMYFUNCTION("IF(COUNTA(C238:C1350)=0,"""",IF(ISBLANK(C238),FALSE,IF(NOT(COUNTIF($AA$24:$AA$34,SUBSTITUTE(C238,""Sell_"",""""))),1,IF(REGEXMATCH(C238,""Sell_""),IF(COUNTIF(C$4:C238,SUBSTITUTE(C238,""Sell_"",""""))-COUNTIF(C$4:C237,C238)&lt;1,1),FALSE))))"),"")</f>
        <v/>
      </c>
      <c r="E238" s="59" t="str">
        <f t="array" ref="E238">IF(COUNTA(C238:C1350)=0,"",SUM((COUNTIF(C$4:C238,Upgrades!$B$3:$B$13)-COUNTIF(C$4:C238,"Sell_"&amp;Upgrades!$B$3:$B$13))*Upgrades!$D$3:$D$13))</f>
        <v/>
      </c>
      <c r="F238" s="66" t="str">
        <f>IFERROR(__xludf.DUMMYFUNCTION("IF(COUNTA(C238:C1350)=0,"""",IF(REGEXMATCH(INDEX(FILTER(C$4:C238,C$4:C238&lt;&gt;""""),ROWS(FILTER(C$4:C238,C$4:C238&lt;&gt;""""))),""^Sell_""),INDEX(FILTER(F$4:F237,C$4:C237&lt;&gt;""""),ROWS(FILTER(C$4:C237,C$4:C237&lt;&gt;""""))),$AC$5+E238))"),"")</f>
        <v/>
      </c>
      <c r="G238" s="10" t="str">
        <f>IFERROR(__xludf.DUMMYFUNCTION("IF(COUNTA(C238:C1350)=0,"""",IF(C238="""",0,IF(REGEXMATCH(C238,""^Sell_""),-ROUNDDOWN(ROUNDUP(INDEX(Upgrades!$C$3:$C$13,MATCH(SUBSTITUTE(C238,""Sell_"",""""),Upgrades!$B$3:$B$13,0))*1.15^(COUNTIF(C$4:C237,SUBSTITUTE(C238,""Sell_"",""""))-COUNTIF(C$4:C237,"&amp;"""Sell_""&amp;SUBSTITUTE(C238,""Sell_"",""""))))/2),ROUNDUP(INDEX(Upgrades!$C$3:$C$13,MATCH(C238,Upgrades!$B$3:$B$13,0))*1.15^(COUNTIF(C$4:C237,C238)-COUNTIF(C$4:C237,""Sell_""&amp;C238))))))"),"")</f>
        <v/>
      </c>
      <c r="H238" s="10" t="str">
        <f t="shared" si="3"/>
        <v/>
      </c>
      <c r="I238" s="68" t="str">
        <f t="shared" si="4"/>
        <v/>
      </c>
      <c r="J238" s="59" t="str">
        <f t="shared" si="5"/>
        <v/>
      </c>
      <c r="K238" s="69" t="str">
        <f t="shared" si="6"/>
        <v/>
      </c>
      <c r="L238" s="60">
        <f t="shared" si="7"/>
        <v>-152.24623</v>
      </c>
      <c r="M238" s="61">
        <f>IFERROR(__xludf.DUMMYFUNCTION("IFS(AND(COUNTA(C238:C1350)=0,COUNTA(Q238:Q1350)=0),"""",OR(AND(K238&gt;=1000000000,OR(Y238&gt;=1000000000,COUNTA(Q238:Q1350)=0)),OR(Y238&gt;=1000000000,AND(COUNTA(C238:C1350)=0,P$3=TRUE))),
ROUNDDOWN((AB$1-AC$1)*MAX(INDEX(T$4:T1350,MATCH(LARGE(FILTER(Y$4:Y1350,Y$4"&amp;":Y1350&lt;1000000000),1),Y$4:Y1350)),INDEX(F$4:F1350,MATCH(LARGE(FILTER(K$4:K1350,K$4:K1350&lt;1000000000),1),K$4:K1350)))),AND(K238&lt;1000000000,COUNTA(C238:C1350)&gt;0,P$3=FALSE),
ROUNDDOWN(INDEX(Y$4:Y1350,MATCH(LARGE(FILTER(W$4:W1350,W$4:W1350&lt;=I238),1),W$4:W1350"&amp;"))+(I238-LARGE(FILTER(W$4:W1350,W$4:W1350&lt;=I238),1))*INDEX(T$4:T1350,MATCH(LARGE(FILTER(W$4:W1350,W$4:W1350&lt;=I238),1),W$4:W1350))-K238),1,
ROUNDDOWN(Y238-INDEX(K$4:K1350,MATCH(LARGE(FILTER(I$4:I1350,I$4:I1350&lt;=W238),1),I$4:I1350))-(W238-LARGE(FILTER(I$4:I"&amp;"1350,I$4:I1350&lt;=W238),1))*INDEX(F$4:F1350,MATCH(LARGE(FILTER(I$4:I1350,I$4:I1350&lt;=W238),1),I$4:I1350))))"),1.6198681E7)</f>
        <v>16198681</v>
      </c>
      <c r="N238" s="60">
        <f t="shared" si="8"/>
        <v>-152.24623</v>
      </c>
      <c r="O238" s="61" t="str">
        <f t="shared" si="9"/>
        <v>16,2M</v>
      </c>
      <c r="P238" s="56">
        <f t="shared" si="10"/>
        <v>8</v>
      </c>
      <c r="Q238" s="105" t="s">
        <v>60</v>
      </c>
      <c r="R238" s="10" t="b">
        <f>IFERROR(__xludf.DUMMYFUNCTION("IF(COUNTA(Q238:Q1350)=0,"""",IF(ISBLANK(Q238),FALSE,IF(NOT(COUNTIF($AA$24:$AA$34,SUBSTITUTE(Q238,""Sell_"",""""))),1,IF(REGEXMATCH(Q238,""Sell_""),IF(COUNTIF(Q$4:Q238,SUBSTITUTE(Q238,""Sell_"",""""))-COUNTIF(Q$4:Q237,Q238)&lt;1,1),FALSE))))"),FALSE)</f>
        <v>0</v>
      </c>
      <c r="S238" s="59">
        <f t="array" ref="S238">IF(COUNTA(Q238:Q1350)=0,"",SUM((COUNTIF(Q$4:Q238,Upgrades!$B$3:$B$13)-COUNTIF(Q$4:Q238,"Sell_"&amp;Upgrades!$B$3:$B$13))*Upgrades!$D$3:$D$13))</f>
        <v>103035</v>
      </c>
      <c r="T238" s="66">
        <f>IFERROR(__xludf.DUMMYFUNCTION("IF(COUNTA(Q238:Q1350)=0,"""",IF(REGEXMATCH(INDEX(FILTER(Q$4:Q238,Q$4:Q238&lt;&gt;""""),ROWS(FILTER(Q$4:Q238,Q$4:Q238&lt;&gt;""""))),""^Sell_""),INDEX(FILTER(T$4:T237,Q$4:Q237&lt;&gt;""""),ROWS(FILTER(Q$4:Q237,Q$4:Q237&lt;&gt;""""))),$AD$5+S238))"),113441.0)</f>
        <v>113441</v>
      </c>
      <c r="U238" s="10">
        <f>IFERROR(__xludf.DUMMYFUNCTION("IF(COUNTA(Q238:Q1350)=0,"""",IF(Q238="""",0,IF(REGEXMATCH(Q238,""^Sell_""),-ROUNDDOWN(ROUNDUP(INDEX(Upgrades!$C$3:$C$13,MATCH(SUBSTITUTE(Q238,""Sell_"",""""),Upgrades!$B$3:$B$13,0))*1.15^(COUNTIF(Q$4:Q237,SUBSTITUTE(Q238,""Sell_"",""""))-COUNTIF(Q$4:Q237,"&amp;"""Sell_""&amp;SUBSTITUTE(Q238,""Sell_"",""""))))/2),ROUNDUP(INDEX(Upgrades!$C$3:$C$13,MATCH(Q238,Upgrades!$B$3:$B$13,0))*1.15^(COUNTIF(Q$4:Q237,Q238)-COUNTIF(Q$4:Q237,""Sell_""&amp;Q238))))))"),-305902.0)</f>
        <v>-305902</v>
      </c>
      <c r="V238" s="10">
        <f t="shared" si="11"/>
        <v>-10435966</v>
      </c>
      <c r="W238" s="68">
        <f t="shared" si="12"/>
        <v>3545.704845</v>
      </c>
      <c r="X238" s="59" t="str">
        <f t="shared" si="13"/>
        <v>59m 05s</v>
      </c>
      <c r="Y238" s="69">
        <f t="shared" si="14"/>
        <v>100625440</v>
      </c>
      <c r="Z238" s="11"/>
    </row>
    <row r="239">
      <c r="A239" s="8"/>
      <c r="B239" s="56" t="str">
        <f t="shared" si="2"/>
        <v/>
      </c>
      <c r="C239" s="57"/>
      <c r="D239" s="10" t="str">
        <f>IFERROR(__xludf.DUMMYFUNCTION("IF(COUNTA(C239:C1350)=0,"""",IF(ISBLANK(C239),FALSE,IF(NOT(COUNTIF($AA$24:$AA$34,SUBSTITUTE(C239,""Sell_"",""""))),1,IF(REGEXMATCH(C239,""Sell_""),IF(COUNTIF(C$4:C239,SUBSTITUTE(C239,""Sell_"",""""))-COUNTIF(C$4:C238,C239)&lt;1,1),FALSE))))"),"")</f>
        <v/>
      </c>
      <c r="E239" s="59" t="str">
        <f t="array" ref="E239">IF(COUNTA(C239:C1350)=0,"",SUM((COUNTIF(C$4:C239,Upgrades!$B$3:$B$13)-COUNTIF(C$4:C239,"Sell_"&amp;Upgrades!$B$3:$B$13))*Upgrades!$D$3:$D$13))</f>
        <v/>
      </c>
      <c r="F239" s="66" t="str">
        <f>IFERROR(__xludf.DUMMYFUNCTION("IF(COUNTA(C239:C1350)=0,"""",IF(REGEXMATCH(INDEX(FILTER(C$4:C239,C$4:C239&lt;&gt;""""),ROWS(FILTER(C$4:C239,C$4:C239&lt;&gt;""""))),""^Sell_""),INDEX(FILTER(F$4:F238,C$4:C238&lt;&gt;""""),ROWS(FILTER(C$4:C238,C$4:C238&lt;&gt;""""))),$AC$5+E239))"),"")</f>
        <v/>
      </c>
      <c r="G239" s="10" t="str">
        <f>IFERROR(__xludf.DUMMYFUNCTION("IF(COUNTA(C239:C1350)=0,"""",IF(C239="""",0,IF(REGEXMATCH(C239,""^Sell_""),-ROUNDDOWN(ROUNDUP(INDEX(Upgrades!$C$3:$C$13,MATCH(SUBSTITUTE(C239,""Sell_"",""""),Upgrades!$B$3:$B$13,0))*1.15^(COUNTIF(C$4:C238,SUBSTITUTE(C239,""Sell_"",""""))-COUNTIF(C$4:C238,"&amp;"""Sell_""&amp;SUBSTITUTE(C239,""Sell_"",""""))))/2),ROUNDUP(INDEX(Upgrades!$C$3:$C$13,MATCH(C239,Upgrades!$B$3:$B$13,0))*1.15^(COUNTIF(C$4:C238,C239)-COUNTIF(C$4:C238,""Sell_""&amp;C239))))))"),"")</f>
        <v/>
      </c>
      <c r="H239" s="10" t="str">
        <f t="shared" si="3"/>
        <v/>
      </c>
      <c r="I239" s="68" t="str">
        <f t="shared" si="4"/>
        <v/>
      </c>
      <c r="J239" s="59" t="str">
        <f t="shared" si="5"/>
        <v/>
      </c>
      <c r="K239" s="69" t="str">
        <f t="shared" si="6"/>
        <v/>
      </c>
      <c r="L239" s="60">
        <f t="shared" si="7"/>
        <v>-152.24623</v>
      </c>
      <c r="M239" s="61">
        <f>IFERROR(__xludf.DUMMYFUNCTION("IFS(AND(COUNTA(C239:C1350)=0,COUNTA(Q239:Q1350)=0),"""",OR(AND(K239&gt;=1000000000,OR(Y239&gt;=1000000000,COUNTA(Q239:Q1350)=0)),OR(Y239&gt;=1000000000,AND(COUNTA(C239:C1350)=0,P$3=TRUE))),
ROUNDDOWN((AB$1-AC$1)*MAX(INDEX(T$4:T1350,MATCH(LARGE(FILTER(Y$4:Y1350,Y$4"&amp;":Y1350&lt;1000000000),1),Y$4:Y1350)),INDEX(F$4:F1350,MATCH(LARGE(FILTER(K$4:K1350,K$4:K1350&lt;1000000000),1),K$4:K1350)))),AND(K239&lt;1000000000,COUNTA(C239:C1350)&gt;0,P$3=FALSE),
ROUNDDOWN(INDEX(Y$4:Y1350,MATCH(LARGE(FILTER(W$4:W1350,W$4:W1350&lt;=I239),1),W$4:W1350"&amp;"))+(I239-LARGE(FILTER(W$4:W1350,W$4:W1350&lt;=I239),1))*INDEX(T$4:T1350,MATCH(LARGE(FILTER(W$4:W1350,W$4:W1350&lt;=I239),1),W$4:W1350))-K239),1,
ROUNDDOWN(Y239-INDEX(K$4:K1350,MATCH(LARGE(FILTER(I$4:I1350,I$4:I1350&lt;=W239),1),I$4:I1350))-(W239-LARGE(FILTER(I$4:I"&amp;"1350,I$4:I1350&lt;=W239),1))*INDEX(F$4:F1350,MATCH(LARGE(FILTER(I$4:I1350,I$4:I1350&lt;=W239),1),I$4:I1350))))"),1.6198681E7)</f>
        <v>16198681</v>
      </c>
      <c r="N239" s="60">
        <f t="shared" si="8"/>
        <v>-152.24623</v>
      </c>
      <c r="O239" s="61" t="str">
        <f t="shared" si="9"/>
        <v>16,2M</v>
      </c>
      <c r="P239" s="56">
        <f t="shared" si="10"/>
        <v>9</v>
      </c>
      <c r="Q239" s="105" t="s">
        <v>60</v>
      </c>
      <c r="R239" s="10" t="b">
        <f>IFERROR(__xludf.DUMMYFUNCTION("IF(COUNTA(Q239:Q1350)=0,"""",IF(ISBLANK(Q239),FALSE,IF(NOT(COUNTIF($AA$24:$AA$34,SUBSTITUTE(Q239,""Sell_"",""""))),1,IF(REGEXMATCH(Q239,""Sell_""),IF(COUNTIF(Q$4:Q239,SUBSTITUTE(Q239,""Sell_"",""""))-COUNTIF(Q$4:Q238,Q239)&lt;1,1),FALSE))))"),FALSE)</f>
        <v>0</v>
      </c>
      <c r="S239" s="59">
        <f t="array" ref="S239">IF(COUNTA(Q239:Q1350)=0,"",SUM((COUNTIF(Q$4:Q239,Upgrades!$B$3:$B$13)-COUNTIF(Q$4:Q239,"Sell_"&amp;Upgrades!$B$3:$B$13))*Upgrades!$D$3:$D$13))</f>
        <v>102635</v>
      </c>
      <c r="T239" s="66">
        <f>IFERROR(__xludf.DUMMYFUNCTION("IF(COUNTA(Q239:Q1350)=0,"""",IF(REGEXMATCH(INDEX(FILTER(Q$4:Q239,Q$4:Q239&lt;&gt;""""),ROWS(FILTER(Q$4:Q239,Q$4:Q239&lt;&gt;""""))),""^Sell_""),INDEX(FILTER(T$4:T238,Q$4:Q238&lt;&gt;""""),ROWS(FILTER(Q$4:Q238,Q$4:Q238&lt;&gt;""""))),$AD$5+S239))"),113441.0)</f>
        <v>113441</v>
      </c>
      <c r="U239" s="10">
        <f>IFERROR(__xludf.DUMMYFUNCTION("IF(COUNTA(Q239:Q1350)=0,"""",IF(Q239="""",0,IF(REGEXMATCH(Q239,""^Sell_""),-ROUNDDOWN(ROUNDUP(INDEX(Upgrades!$C$3:$C$13,MATCH(SUBSTITUTE(Q239,""Sell_"",""""),Upgrades!$B$3:$B$13,0))*1.15^(COUNTIF(Q$4:Q238,SUBSTITUTE(Q239,""Sell_"",""""))-COUNTIF(Q$4:Q238,"&amp;"""Sell_""&amp;SUBSTITUTE(Q239,""Sell_"",""""))))/2),ROUNDUP(INDEX(Upgrades!$C$3:$C$13,MATCH(Q239,Upgrades!$B$3:$B$13,0))*1.15^(COUNTIF(Q$4:Q238,Q239)-COUNTIF(Q$4:Q238,""Sell_""&amp;Q239))))))"),-266002.0)</f>
        <v>-266002</v>
      </c>
      <c r="V239" s="10">
        <f t="shared" si="11"/>
        <v>-10701968</v>
      </c>
      <c r="W239" s="68">
        <f t="shared" si="12"/>
        <v>3545.704845</v>
      </c>
      <c r="X239" s="59" t="str">
        <f t="shared" si="13"/>
        <v>59m 05s</v>
      </c>
      <c r="Y239" s="69">
        <f t="shared" si="14"/>
        <v>100625440</v>
      </c>
      <c r="Z239" s="11"/>
    </row>
    <row r="240">
      <c r="A240" s="8"/>
      <c r="B240" s="56" t="str">
        <f t="shared" si="2"/>
        <v/>
      </c>
      <c r="C240" s="57"/>
      <c r="D240" s="10" t="str">
        <f>IFERROR(__xludf.DUMMYFUNCTION("IF(COUNTA(C240:C1350)=0,"""",IF(ISBLANK(C240),FALSE,IF(NOT(COUNTIF($AA$24:$AA$34,SUBSTITUTE(C240,""Sell_"",""""))),1,IF(REGEXMATCH(C240,""Sell_""),IF(COUNTIF(C$4:C240,SUBSTITUTE(C240,""Sell_"",""""))-COUNTIF(C$4:C239,C240)&lt;1,1),FALSE))))"),"")</f>
        <v/>
      </c>
      <c r="E240" s="59" t="str">
        <f t="array" ref="E240">IF(COUNTA(C240:C1350)=0,"",SUM((COUNTIF(C$4:C240,Upgrades!$B$3:$B$13)-COUNTIF(C$4:C240,"Sell_"&amp;Upgrades!$B$3:$B$13))*Upgrades!$D$3:$D$13))</f>
        <v/>
      </c>
      <c r="F240" s="66" t="str">
        <f>IFERROR(__xludf.DUMMYFUNCTION("IF(COUNTA(C240:C1350)=0,"""",IF(REGEXMATCH(INDEX(FILTER(C$4:C240,C$4:C240&lt;&gt;""""),ROWS(FILTER(C$4:C240,C$4:C240&lt;&gt;""""))),""^Sell_""),INDEX(FILTER(F$4:F239,C$4:C239&lt;&gt;""""),ROWS(FILTER(C$4:C239,C$4:C239&lt;&gt;""""))),$AC$5+E240))"),"")</f>
        <v/>
      </c>
      <c r="G240" s="10" t="str">
        <f>IFERROR(__xludf.DUMMYFUNCTION("IF(COUNTA(C240:C1350)=0,"""",IF(C240="""",0,IF(REGEXMATCH(C240,""^Sell_""),-ROUNDDOWN(ROUNDUP(INDEX(Upgrades!$C$3:$C$13,MATCH(SUBSTITUTE(C240,""Sell_"",""""),Upgrades!$B$3:$B$13,0))*1.15^(COUNTIF(C$4:C239,SUBSTITUTE(C240,""Sell_"",""""))-COUNTIF(C$4:C239,"&amp;"""Sell_""&amp;SUBSTITUTE(C240,""Sell_"",""""))))/2),ROUNDUP(INDEX(Upgrades!$C$3:$C$13,MATCH(C240,Upgrades!$B$3:$B$13,0))*1.15^(COUNTIF(C$4:C239,C240)-COUNTIF(C$4:C239,""Sell_""&amp;C240))))))"),"")</f>
        <v/>
      </c>
      <c r="H240" s="10" t="str">
        <f t="shared" si="3"/>
        <v/>
      </c>
      <c r="I240" s="68" t="str">
        <f t="shared" si="4"/>
        <v/>
      </c>
      <c r="J240" s="59" t="str">
        <f t="shared" si="5"/>
        <v/>
      </c>
      <c r="K240" s="69" t="str">
        <f t="shared" si="6"/>
        <v/>
      </c>
      <c r="L240" s="60">
        <f t="shared" si="7"/>
        <v>-152.24623</v>
      </c>
      <c r="M240" s="61">
        <f>IFERROR(__xludf.DUMMYFUNCTION("IFS(AND(COUNTA(C240:C1350)=0,COUNTA(Q240:Q1350)=0),"""",OR(AND(K240&gt;=1000000000,OR(Y240&gt;=1000000000,COUNTA(Q240:Q1350)=0)),OR(Y240&gt;=1000000000,AND(COUNTA(C240:C1350)=0,P$3=TRUE))),
ROUNDDOWN((AB$1-AC$1)*MAX(INDEX(T$4:T1350,MATCH(LARGE(FILTER(Y$4:Y1350,Y$4"&amp;":Y1350&lt;1000000000),1),Y$4:Y1350)),INDEX(F$4:F1350,MATCH(LARGE(FILTER(K$4:K1350,K$4:K1350&lt;1000000000),1),K$4:K1350)))),AND(K240&lt;1000000000,COUNTA(C240:C1350)&gt;0,P$3=FALSE),
ROUNDDOWN(INDEX(Y$4:Y1350,MATCH(LARGE(FILTER(W$4:W1350,W$4:W1350&lt;=I240),1),W$4:W1350"&amp;"))+(I240-LARGE(FILTER(W$4:W1350,W$4:W1350&lt;=I240),1))*INDEX(T$4:T1350,MATCH(LARGE(FILTER(W$4:W1350,W$4:W1350&lt;=I240),1),W$4:W1350))-K240),1,
ROUNDDOWN(Y240-INDEX(K$4:K1350,MATCH(LARGE(FILTER(I$4:I1350,I$4:I1350&lt;=W240),1),I$4:I1350))-(W240-LARGE(FILTER(I$4:I"&amp;"1350,I$4:I1350&lt;=W240),1))*INDEX(F$4:F1350,MATCH(LARGE(FILTER(I$4:I1350,I$4:I1350&lt;=W240),1),I$4:I1350))))"),1.6198681E7)</f>
        <v>16198681</v>
      </c>
      <c r="N240" s="60">
        <f t="shared" si="8"/>
        <v>-152.24623</v>
      </c>
      <c r="O240" s="61" t="str">
        <f t="shared" si="9"/>
        <v>16,2M</v>
      </c>
      <c r="P240" s="56">
        <f t="shared" si="10"/>
        <v>10</v>
      </c>
      <c r="Q240" s="105" t="s">
        <v>60</v>
      </c>
      <c r="R240" s="10" t="b">
        <f>IFERROR(__xludf.DUMMYFUNCTION("IF(COUNTA(Q240:Q1350)=0,"""",IF(ISBLANK(Q240),FALSE,IF(NOT(COUNTIF($AA$24:$AA$34,SUBSTITUTE(Q240,""Sell_"",""""))),1,IF(REGEXMATCH(Q240,""Sell_""),IF(COUNTIF(Q$4:Q240,SUBSTITUTE(Q240,""Sell_"",""""))-COUNTIF(Q$4:Q239,Q240)&lt;1,1),FALSE))))"),FALSE)</f>
        <v>0</v>
      </c>
      <c r="S240" s="59">
        <f t="array" ref="S240">IF(COUNTA(Q240:Q1350)=0,"",SUM((COUNTIF(Q$4:Q240,Upgrades!$B$3:$B$13)-COUNTIF(Q$4:Q240,"Sell_"&amp;Upgrades!$B$3:$B$13))*Upgrades!$D$3:$D$13))</f>
        <v>102235</v>
      </c>
      <c r="T240" s="66">
        <f>IFERROR(__xludf.DUMMYFUNCTION("IF(COUNTA(Q240:Q1350)=0,"""",IF(REGEXMATCH(INDEX(FILTER(Q$4:Q240,Q$4:Q240&lt;&gt;""""),ROWS(FILTER(Q$4:Q240,Q$4:Q240&lt;&gt;""""))),""^Sell_""),INDEX(FILTER(T$4:T239,Q$4:Q239&lt;&gt;""""),ROWS(FILTER(Q$4:Q239,Q$4:Q239&lt;&gt;""""))),$AD$5+S240))"),113441.0)</f>
        <v>113441</v>
      </c>
      <c r="U240" s="10">
        <f>IFERROR(__xludf.DUMMYFUNCTION("IF(COUNTA(Q240:Q1350)=0,"""",IF(Q240="""",0,IF(REGEXMATCH(Q240,""^Sell_""),-ROUNDDOWN(ROUNDUP(INDEX(Upgrades!$C$3:$C$13,MATCH(SUBSTITUTE(Q240,""Sell_"",""""),Upgrades!$B$3:$B$13,0))*1.15^(COUNTIF(Q$4:Q239,SUBSTITUTE(Q240,""Sell_"",""""))-COUNTIF(Q$4:Q239,"&amp;"""Sell_""&amp;SUBSTITUTE(Q240,""Sell_"",""""))))/2),ROUNDUP(INDEX(Upgrades!$C$3:$C$13,MATCH(Q240,Upgrades!$B$3:$B$13,0))*1.15^(COUNTIF(Q$4:Q239,Q240)-COUNTIF(Q$4:Q239,""Sell_""&amp;Q240))))))"),-231306.0)</f>
        <v>-231306</v>
      </c>
      <c r="V240" s="10">
        <f t="shared" si="11"/>
        <v>-10933274</v>
      </c>
      <c r="W240" s="68">
        <f t="shared" si="12"/>
        <v>3545.704845</v>
      </c>
      <c r="X240" s="59" t="str">
        <f t="shared" si="13"/>
        <v>59m 05s</v>
      </c>
      <c r="Y240" s="69">
        <f t="shared" si="14"/>
        <v>100625440</v>
      </c>
      <c r="Z240" s="11"/>
    </row>
    <row r="241">
      <c r="A241" s="8"/>
      <c r="B241" s="56" t="str">
        <f t="shared" si="2"/>
        <v/>
      </c>
      <c r="C241" s="57"/>
      <c r="D241" s="10" t="str">
        <f>IFERROR(__xludf.DUMMYFUNCTION("IF(COUNTA(C241:C1350)=0,"""",IF(ISBLANK(C241),FALSE,IF(NOT(COUNTIF($AA$24:$AA$34,SUBSTITUTE(C241,""Sell_"",""""))),1,IF(REGEXMATCH(C241,""Sell_""),IF(COUNTIF(C$4:C241,SUBSTITUTE(C241,""Sell_"",""""))-COUNTIF(C$4:C240,C241)&lt;1,1),FALSE))))"),"")</f>
        <v/>
      </c>
      <c r="E241" s="59" t="str">
        <f t="array" ref="E241">IF(COUNTA(C241:C1350)=0,"",SUM((COUNTIF(C$4:C241,Upgrades!$B$3:$B$13)-COUNTIF(C$4:C241,"Sell_"&amp;Upgrades!$B$3:$B$13))*Upgrades!$D$3:$D$13))</f>
        <v/>
      </c>
      <c r="F241" s="66" t="str">
        <f>IFERROR(__xludf.DUMMYFUNCTION("IF(COUNTA(C241:C1350)=0,"""",IF(REGEXMATCH(INDEX(FILTER(C$4:C241,C$4:C241&lt;&gt;""""),ROWS(FILTER(C$4:C241,C$4:C241&lt;&gt;""""))),""^Sell_""),INDEX(FILTER(F$4:F240,C$4:C240&lt;&gt;""""),ROWS(FILTER(C$4:C240,C$4:C240&lt;&gt;""""))),$AC$5+E241))"),"")</f>
        <v/>
      </c>
      <c r="G241" s="10" t="str">
        <f>IFERROR(__xludf.DUMMYFUNCTION("IF(COUNTA(C241:C1350)=0,"""",IF(C241="""",0,IF(REGEXMATCH(C241,""^Sell_""),-ROUNDDOWN(ROUNDUP(INDEX(Upgrades!$C$3:$C$13,MATCH(SUBSTITUTE(C241,""Sell_"",""""),Upgrades!$B$3:$B$13,0))*1.15^(COUNTIF(C$4:C240,SUBSTITUTE(C241,""Sell_"",""""))-COUNTIF(C$4:C240,"&amp;"""Sell_""&amp;SUBSTITUTE(C241,""Sell_"",""""))))/2),ROUNDUP(INDEX(Upgrades!$C$3:$C$13,MATCH(C241,Upgrades!$B$3:$B$13,0))*1.15^(COUNTIF(C$4:C240,C241)-COUNTIF(C$4:C240,""Sell_""&amp;C241))))))"),"")</f>
        <v/>
      </c>
      <c r="H241" s="10" t="str">
        <f t="shared" si="3"/>
        <v/>
      </c>
      <c r="I241" s="68" t="str">
        <f t="shared" si="4"/>
        <v/>
      </c>
      <c r="J241" s="59" t="str">
        <f t="shared" si="5"/>
        <v/>
      </c>
      <c r="K241" s="69" t="str">
        <f t="shared" si="6"/>
        <v/>
      </c>
      <c r="L241" s="60">
        <f t="shared" si="7"/>
        <v>-152.24623</v>
      </c>
      <c r="M241" s="61">
        <f>IFERROR(__xludf.DUMMYFUNCTION("IFS(AND(COUNTA(C241:C1350)=0,COUNTA(Q241:Q1350)=0),"""",OR(AND(K241&gt;=1000000000,OR(Y241&gt;=1000000000,COUNTA(Q241:Q1350)=0)),OR(Y241&gt;=1000000000,AND(COUNTA(C241:C1350)=0,P$3=TRUE))),
ROUNDDOWN((AB$1-AC$1)*MAX(INDEX(T$4:T1350,MATCH(LARGE(FILTER(Y$4:Y1350,Y$4"&amp;":Y1350&lt;1000000000),1),Y$4:Y1350)),INDEX(F$4:F1350,MATCH(LARGE(FILTER(K$4:K1350,K$4:K1350&lt;1000000000),1),K$4:K1350)))),AND(K241&lt;1000000000,COUNTA(C241:C1350)&gt;0,P$3=FALSE),
ROUNDDOWN(INDEX(Y$4:Y1350,MATCH(LARGE(FILTER(W$4:W1350,W$4:W1350&lt;=I241),1),W$4:W1350"&amp;"))+(I241-LARGE(FILTER(W$4:W1350,W$4:W1350&lt;=I241),1))*INDEX(T$4:T1350,MATCH(LARGE(FILTER(W$4:W1350,W$4:W1350&lt;=I241),1),W$4:W1350))-K241),1,
ROUNDDOWN(Y241-INDEX(K$4:K1350,MATCH(LARGE(FILTER(I$4:I1350,I$4:I1350&lt;=W241),1),I$4:I1350))-(W241-LARGE(FILTER(I$4:I"&amp;"1350,I$4:I1350&lt;=W241),1))*INDEX(F$4:F1350,MATCH(LARGE(FILTER(I$4:I1350,I$4:I1350&lt;=W241),1),I$4:I1350))))"),1.6198681E7)</f>
        <v>16198681</v>
      </c>
      <c r="N241" s="60">
        <f t="shared" si="8"/>
        <v>-152.24623</v>
      </c>
      <c r="O241" s="61" t="str">
        <f t="shared" si="9"/>
        <v>16,2M</v>
      </c>
      <c r="P241" s="56">
        <f t="shared" si="10"/>
        <v>11</v>
      </c>
      <c r="Q241" s="105" t="s">
        <v>60</v>
      </c>
      <c r="R241" s="10" t="b">
        <f>IFERROR(__xludf.DUMMYFUNCTION("IF(COUNTA(Q241:Q1350)=0,"""",IF(ISBLANK(Q241),FALSE,IF(NOT(COUNTIF($AA$24:$AA$34,SUBSTITUTE(Q241,""Sell_"",""""))),1,IF(REGEXMATCH(Q241,""Sell_""),IF(COUNTIF(Q$4:Q241,SUBSTITUTE(Q241,""Sell_"",""""))-COUNTIF(Q$4:Q240,Q241)&lt;1,1),FALSE))))"),FALSE)</f>
        <v>0</v>
      </c>
      <c r="S241" s="59">
        <f t="array" ref="S241">IF(COUNTA(Q241:Q1350)=0,"",SUM((COUNTIF(Q$4:Q241,Upgrades!$B$3:$B$13)-COUNTIF(Q$4:Q241,"Sell_"&amp;Upgrades!$B$3:$B$13))*Upgrades!$D$3:$D$13))</f>
        <v>101835</v>
      </c>
      <c r="T241" s="66">
        <f>IFERROR(__xludf.DUMMYFUNCTION("IF(COUNTA(Q241:Q1350)=0,"""",IF(REGEXMATCH(INDEX(FILTER(Q$4:Q241,Q$4:Q241&lt;&gt;""""),ROWS(FILTER(Q$4:Q241,Q$4:Q241&lt;&gt;""""))),""^Sell_""),INDEX(FILTER(T$4:T240,Q$4:Q240&lt;&gt;""""),ROWS(FILTER(Q$4:Q240,Q$4:Q240&lt;&gt;""""))),$AD$5+S241))"),113441.0)</f>
        <v>113441</v>
      </c>
      <c r="U241" s="10">
        <f>IFERROR(__xludf.DUMMYFUNCTION("IF(COUNTA(Q241:Q1350)=0,"""",IF(Q241="""",0,IF(REGEXMATCH(Q241,""^Sell_""),-ROUNDDOWN(ROUNDUP(INDEX(Upgrades!$C$3:$C$13,MATCH(SUBSTITUTE(Q241,""Sell_"",""""),Upgrades!$B$3:$B$13,0))*1.15^(COUNTIF(Q$4:Q240,SUBSTITUTE(Q241,""Sell_"",""""))-COUNTIF(Q$4:Q240,"&amp;"""Sell_""&amp;SUBSTITUTE(Q241,""Sell_"",""""))))/2),ROUNDUP(INDEX(Upgrades!$C$3:$C$13,MATCH(Q241,Upgrades!$B$3:$B$13,0))*1.15^(COUNTIF(Q$4:Q240,Q241)-COUNTIF(Q$4:Q240,""Sell_""&amp;Q241))))))"),-201136.0)</f>
        <v>-201136</v>
      </c>
      <c r="V241" s="10">
        <f t="shared" si="11"/>
        <v>-11134410</v>
      </c>
      <c r="W241" s="68">
        <f t="shared" si="12"/>
        <v>3545.704845</v>
      </c>
      <c r="X241" s="59" t="str">
        <f t="shared" si="13"/>
        <v>59m 05s</v>
      </c>
      <c r="Y241" s="69">
        <f t="shared" si="14"/>
        <v>100625440</v>
      </c>
      <c r="Z241" s="11"/>
    </row>
    <row r="242">
      <c r="A242" s="8"/>
      <c r="B242" s="56" t="str">
        <f t="shared" si="2"/>
        <v/>
      </c>
      <c r="C242" s="57"/>
      <c r="D242" s="10" t="str">
        <f>IFERROR(__xludf.DUMMYFUNCTION("IF(COUNTA(C242:C1350)=0,"""",IF(ISBLANK(C242),FALSE,IF(NOT(COUNTIF($AA$24:$AA$34,SUBSTITUTE(C242,""Sell_"",""""))),1,IF(REGEXMATCH(C242,""Sell_""),IF(COUNTIF(C$4:C242,SUBSTITUTE(C242,""Sell_"",""""))-COUNTIF(C$4:C241,C242)&lt;1,1),FALSE))))"),"")</f>
        <v/>
      </c>
      <c r="E242" s="59" t="str">
        <f t="array" ref="E242">IF(COUNTA(C242:C1350)=0,"",SUM((COUNTIF(C$4:C242,Upgrades!$B$3:$B$13)-COUNTIF(C$4:C242,"Sell_"&amp;Upgrades!$B$3:$B$13))*Upgrades!$D$3:$D$13))</f>
        <v/>
      </c>
      <c r="F242" s="66" t="str">
        <f>IFERROR(__xludf.DUMMYFUNCTION("IF(COUNTA(C242:C1350)=0,"""",IF(REGEXMATCH(INDEX(FILTER(C$4:C242,C$4:C242&lt;&gt;""""),ROWS(FILTER(C$4:C242,C$4:C242&lt;&gt;""""))),""^Sell_""),INDEX(FILTER(F$4:F241,C$4:C241&lt;&gt;""""),ROWS(FILTER(C$4:C241,C$4:C241&lt;&gt;""""))),$AC$5+E242))"),"")</f>
        <v/>
      </c>
      <c r="G242" s="10" t="str">
        <f>IFERROR(__xludf.DUMMYFUNCTION("IF(COUNTA(C242:C1350)=0,"""",IF(C242="""",0,IF(REGEXMATCH(C242,""^Sell_""),-ROUNDDOWN(ROUNDUP(INDEX(Upgrades!$C$3:$C$13,MATCH(SUBSTITUTE(C242,""Sell_"",""""),Upgrades!$B$3:$B$13,0))*1.15^(COUNTIF(C$4:C241,SUBSTITUTE(C242,""Sell_"",""""))-COUNTIF(C$4:C241,"&amp;"""Sell_""&amp;SUBSTITUTE(C242,""Sell_"",""""))))/2),ROUNDUP(INDEX(Upgrades!$C$3:$C$13,MATCH(C242,Upgrades!$B$3:$B$13,0))*1.15^(COUNTIF(C$4:C241,C242)-COUNTIF(C$4:C241,""Sell_""&amp;C242))))))"),"")</f>
        <v/>
      </c>
      <c r="H242" s="10" t="str">
        <f t="shared" si="3"/>
        <v/>
      </c>
      <c r="I242" s="68" t="str">
        <f t="shared" si="4"/>
        <v/>
      </c>
      <c r="J242" s="59" t="str">
        <f t="shared" si="5"/>
        <v/>
      </c>
      <c r="K242" s="69" t="str">
        <f t="shared" si="6"/>
        <v/>
      </c>
      <c r="L242" s="60">
        <f t="shared" si="7"/>
        <v>-152.24623</v>
      </c>
      <c r="M242" s="61">
        <f>IFERROR(__xludf.DUMMYFUNCTION("IFS(AND(COUNTA(C242:C1350)=0,COUNTA(Q242:Q1350)=0),"""",OR(AND(K242&gt;=1000000000,OR(Y242&gt;=1000000000,COUNTA(Q242:Q1350)=0)),OR(Y242&gt;=1000000000,AND(COUNTA(C242:C1350)=0,P$3=TRUE))),
ROUNDDOWN((AB$1-AC$1)*MAX(INDEX(T$4:T1350,MATCH(LARGE(FILTER(Y$4:Y1350,Y$4"&amp;":Y1350&lt;1000000000),1),Y$4:Y1350)),INDEX(F$4:F1350,MATCH(LARGE(FILTER(K$4:K1350,K$4:K1350&lt;1000000000),1),K$4:K1350)))),AND(K242&lt;1000000000,COUNTA(C242:C1350)&gt;0,P$3=FALSE),
ROUNDDOWN(INDEX(Y$4:Y1350,MATCH(LARGE(FILTER(W$4:W1350,W$4:W1350&lt;=I242),1),W$4:W1350"&amp;"))+(I242-LARGE(FILTER(W$4:W1350,W$4:W1350&lt;=I242),1))*INDEX(T$4:T1350,MATCH(LARGE(FILTER(W$4:W1350,W$4:W1350&lt;=I242),1),W$4:W1350))-K242),1,
ROUNDDOWN(Y242-INDEX(K$4:K1350,MATCH(LARGE(FILTER(I$4:I1350,I$4:I1350&lt;=W242),1),I$4:I1350))-(W242-LARGE(FILTER(I$4:I"&amp;"1350,I$4:I1350&lt;=W242),1))*INDEX(F$4:F1350,MATCH(LARGE(FILTER(I$4:I1350,I$4:I1350&lt;=W242),1),I$4:I1350))))"),1.6198681E7)</f>
        <v>16198681</v>
      </c>
      <c r="N242" s="60">
        <f t="shared" si="8"/>
        <v>-152.24623</v>
      </c>
      <c r="O242" s="61" t="str">
        <f t="shared" si="9"/>
        <v>16,2M</v>
      </c>
      <c r="P242" s="56">
        <f t="shared" si="10"/>
        <v>12</v>
      </c>
      <c r="Q242" s="105" t="s">
        <v>60</v>
      </c>
      <c r="R242" s="10" t="b">
        <f>IFERROR(__xludf.DUMMYFUNCTION("IF(COUNTA(Q242:Q1350)=0,"""",IF(ISBLANK(Q242),FALSE,IF(NOT(COUNTIF($AA$24:$AA$34,SUBSTITUTE(Q242,""Sell_"",""""))),1,IF(REGEXMATCH(Q242,""Sell_""),IF(COUNTIF(Q$4:Q242,SUBSTITUTE(Q242,""Sell_"",""""))-COUNTIF(Q$4:Q241,Q242)&lt;1,1),FALSE))))"),FALSE)</f>
        <v>0</v>
      </c>
      <c r="S242" s="59">
        <f t="array" ref="S242">IF(COUNTA(Q242:Q1350)=0,"",SUM((COUNTIF(Q$4:Q242,Upgrades!$B$3:$B$13)-COUNTIF(Q$4:Q242,"Sell_"&amp;Upgrades!$B$3:$B$13))*Upgrades!$D$3:$D$13))</f>
        <v>101435</v>
      </c>
      <c r="T242" s="66">
        <f>IFERROR(__xludf.DUMMYFUNCTION("IF(COUNTA(Q242:Q1350)=0,"""",IF(REGEXMATCH(INDEX(FILTER(Q$4:Q242,Q$4:Q242&lt;&gt;""""),ROWS(FILTER(Q$4:Q242,Q$4:Q242&lt;&gt;""""))),""^Sell_""),INDEX(FILTER(T$4:T241,Q$4:Q241&lt;&gt;""""),ROWS(FILTER(Q$4:Q241,Q$4:Q241&lt;&gt;""""))),$AD$5+S242))"),113441.0)</f>
        <v>113441</v>
      </c>
      <c r="U242" s="10">
        <f>IFERROR(__xludf.DUMMYFUNCTION("IF(COUNTA(Q242:Q1350)=0,"""",IF(Q242="""",0,IF(REGEXMATCH(Q242,""^Sell_""),-ROUNDDOWN(ROUNDUP(INDEX(Upgrades!$C$3:$C$13,MATCH(SUBSTITUTE(Q242,""Sell_"",""""),Upgrades!$B$3:$B$13,0))*1.15^(COUNTIF(Q$4:Q241,SUBSTITUTE(Q242,""Sell_"",""""))-COUNTIF(Q$4:Q241,"&amp;"""Sell_""&amp;SUBSTITUTE(Q242,""Sell_"",""""))))/2),ROUNDUP(INDEX(Upgrades!$C$3:$C$13,MATCH(Q242,Upgrades!$B$3:$B$13,0))*1.15^(COUNTIF(Q$4:Q241,Q242)-COUNTIF(Q$4:Q241,""Sell_""&amp;Q242))))))"),-174901.0)</f>
        <v>-174901</v>
      </c>
      <c r="V242" s="10">
        <f t="shared" si="11"/>
        <v>-11309311</v>
      </c>
      <c r="W242" s="68">
        <f t="shared" si="12"/>
        <v>3545.704845</v>
      </c>
      <c r="X242" s="59" t="str">
        <f t="shared" si="13"/>
        <v>59m 05s</v>
      </c>
      <c r="Y242" s="69">
        <f t="shared" si="14"/>
        <v>100625440</v>
      </c>
      <c r="Z242" s="11"/>
    </row>
    <row r="243">
      <c r="A243" s="8"/>
      <c r="B243" s="56" t="str">
        <f t="shared" si="2"/>
        <v/>
      </c>
      <c r="C243" s="57"/>
      <c r="D243" s="10" t="str">
        <f>IFERROR(__xludf.DUMMYFUNCTION("IF(COUNTA(C243:C1350)=0,"""",IF(ISBLANK(C243),FALSE,IF(NOT(COUNTIF($AA$24:$AA$34,SUBSTITUTE(C243,""Sell_"",""""))),1,IF(REGEXMATCH(C243,""Sell_""),IF(COUNTIF(C$4:C243,SUBSTITUTE(C243,""Sell_"",""""))-COUNTIF(C$4:C242,C243)&lt;1,1),FALSE))))"),"")</f>
        <v/>
      </c>
      <c r="E243" s="59" t="str">
        <f t="array" ref="E243">IF(COUNTA(C243:C1350)=0,"",SUM((COUNTIF(C$4:C243,Upgrades!$B$3:$B$13)-COUNTIF(C$4:C243,"Sell_"&amp;Upgrades!$B$3:$B$13))*Upgrades!$D$3:$D$13))</f>
        <v/>
      </c>
      <c r="F243" s="66" t="str">
        <f>IFERROR(__xludf.DUMMYFUNCTION("IF(COUNTA(C243:C1350)=0,"""",IF(REGEXMATCH(INDEX(FILTER(C$4:C243,C$4:C243&lt;&gt;""""),ROWS(FILTER(C$4:C243,C$4:C243&lt;&gt;""""))),""^Sell_""),INDEX(FILTER(F$4:F242,C$4:C242&lt;&gt;""""),ROWS(FILTER(C$4:C242,C$4:C242&lt;&gt;""""))),$AC$5+E243))"),"")</f>
        <v/>
      </c>
      <c r="G243" s="10" t="str">
        <f>IFERROR(__xludf.DUMMYFUNCTION("IF(COUNTA(C243:C1350)=0,"""",IF(C243="""",0,IF(REGEXMATCH(C243,""^Sell_""),-ROUNDDOWN(ROUNDUP(INDEX(Upgrades!$C$3:$C$13,MATCH(SUBSTITUTE(C243,""Sell_"",""""),Upgrades!$B$3:$B$13,0))*1.15^(COUNTIF(C$4:C242,SUBSTITUTE(C243,""Sell_"",""""))-COUNTIF(C$4:C242,"&amp;"""Sell_""&amp;SUBSTITUTE(C243,""Sell_"",""""))))/2),ROUNDUP(INDEX(Upgrades!$C$3:$C$13,MATCH(C243,Upgrades!$B$3:$B$13,0))*1.15^(COUNTIF(C$4:C242,C243)-COUNTIF(C$4:C242,""Sell_""&amp;C243))))))"),"")</f>
        <v/>
      </c>
      <c r="H243" s="10" t="str">
        <f t="shared" si="3"/>
        <v/>
      </c>
      <c r="I243" s="68" t="str">
        <f t="shared" si="4"/>
        <v/>
      </c>
      <c r="J243" s="59" t="str">
        <f t="shared" si="5"/>
        <v/>
      </c>
      <c r="K243" s="69" t="str">
        <f t="shared" si="6"/>
        <v/>
      </c>
      <c r="L243" s="60">
        <f t="shared" si="7"/>
        <v>-152.24623</v>
      </c>
      <c r="M243" s="61">
        <f>IFERROR(__xludf.DUMMYFUNCTION("IFS(AND(COUNTA(C243:C1350)=0,COUNTA(Q243:Q1350)=0),"""",OR(AND(K243&gt;=1000000000,OR(Y243&gt;=1000000000,COUNTA(Q243:Q1350)=0)),OR(Y243&gt;=1000000000,AND(COUNTA(C243:C1350)=0,P$3=TRUE))),
ROUNDDOWN((AB$1-AC$1)*MAX(INDEX(T$4:T1350,MATCH(LARGE(FILTER(Y$4:Y1350,Y$4"&amp;":Y1350&lt;1000000000),1),Y$4:Y1350)),INDEX(F$4:F1350,MATCH(LARGE(FILTER(K$4:K1350,K$4:K1350&lt;1000000000),1),K$4:K1350)))),AND(K243&lt;1000000000,COUNTA(C243:C1350)&gt;0,P$3=FALSE),
ROUNDDOWN(INDEX(Y$4:Y1350,MATCH(LARGE(FILTER(W$4:W1350,W$4:W1350&lt;=I243),1),W$4:W1350"&amp;"))+(I243-LARGE(FILTER(W$4:W1350,W$4:W1350&lt;=I243),1))*INDEX(T$4:T1350,MATCH(LARGE(FILTER(W$4:W1350,W$4:W1350&lt;=I243),1),W$4:W1350))-K243),1,
ROUNDDOWN(Y243-INDEX(K$4:K1350,MATCH(LARGE(FILTER(I$4:I1350,I$4:I1350&lt;=W243),1),I$4:I1350))-(W243-LARGE(FILTER(I$4:I"&amp;"1350,I$4:I1350&lt;=W243),1))*INDEX(F$4:F1350,MATCH(LARGE(FILTER(I$4:I1350,I$4:I1350&lt;=W243),1),I$4:I1350))))"),1.6198681E7)</f>
        <v>16198681</v>
      </c>
      <c r="N243" s="60">
        <f t="shared" si="8"/>
        <v>-152.24623</v>
      </c>
      <c r="O243" s="61" t="str">
        <f t="shared" si="9"/>
        <v>16,2M</v>
      </c>
      <c r="P243" s="56">
        <f t="shared" si="10"/>
        <v>13</v>
      </c>
      <c r="Q243" s="105" t="s">
        <v>60</v>
      </c>
      <c r="R243" s="10" t="b">
        <f>IFERROR(__xludf.DUMMYFUNCTION("IF(COUNTA(Q243:Q1350)=0,"""",IF(ISBLANK(Q243),FALSE,IF(NOT(COUNTIF($AA$24:$AA$34,SUBSTITUTE(Q243,""Sell_"",""""))),1,IF(REGEXMATCH(Q243,""Sell_""),IF(COUNTIF(Q$4:Q243,SUBSTITUTE(Q243,""Sell_"",""""))-COUNTIF(Q$4:Q242,Q243)&lt;1,1),FALSE))))"),FALSE)</f>
        <v>0</v>
      </c>
      <c r="S243" s="59">
        <f t="array" ref="S243">IF(COUNTA(Q243:Q1350)=0,"",SUM((COUNTIF(Q$4:Q243,Upgrades!$B$3:$B$13)-COUNTIF(Q$4:Q243,"Sell_"&amp;Upgrades!$B$3:$B$13))*Upgrades!$D$3:$D$13))</f>
        <v>101035</v>
      </c>
      <c r="T243" s="66">
        <f>IFERROR(__xludf.DUMMYFUNCTION("IF(COUNTA(Q243:Q1350)=0,"""",IF(REGEXMATCH(INDEX(FILTER(Q$4:Q243,Q$4:Q243&lt;&gt;""""),ROWS(FILTER(Q$4:Q243,Q$4:Q243&lt;&gt;""""))),""^Sell_""),INDEX(FILTER(T$4:T242,Q$4:Q242&lt;&gt;""""),ROWS(FILTER(Q$4:Q242,Q$4:Q242&lt;&gt;""""))),$AD$5+S243))"),113441.0)</f>
        <v>113441</v>
      </c>
      <c r="U243" s="10">
        <f>IFERROR(__xludf.DUMMYFUNCTION("IF(COUNTA(Q243:Q1350)=0,"""",IF(Q243="""",0,IF(REGEXMATCH(Q243,""^Sell_""),-ROUNDDOWN(ROUNDUP(INDEX(Upgrades!$C$3:$C$13,MATCH(SUBSTITUTE(Q243,""Sell_"",""""),Upgrades!$B$3:$B$13,0))*1.15^(COUNTIF(Q$4:Q242,SUBSTITUTE(Q243,""Sell_"",""""))-COUNTIF(Q$4:Q242,"&amp;"""Sell_""&amp;SUBSTITUTE(Q243,""Sell_"",""""))))/2),ROUNDUP(INDEX(Upgrades!$C$3:$C$13,MATCH(Q243,Upgrades!$B$3:$B$13,0))*1.15^(COUNTIF(Q$4:Q242,Q243)-COUNTIF(Q$4:Q242,""Sell_""&amp;Q243))))))"),-152087.0)</f>
        <v>-152087</v>
      </c>
      <c r="V243" s="10">
        <f t="shared" si="11"/>
        <v>-11461398</v>
      </c>
      <c r="W243" s="68">
        <f t="shared" si="12"/>
        <v>3545.704845</v>
      </c>
      <c r="X243" s="59" t="str">
        <f t="shared" si="13"/>
        <v>59m 05s</v>
      </c>
      <c r="Y243" s="69">
        <f t="shared" si="14"/>
        <v>100625440</v>
      </c>
      <c r="Z243" s="11"/>
    </row>
    <row r="244">
      <c r="A244" s="8"/>
      <c r="B244" s="56" t="str">
        <f t="shared" si="2"/>
        <v/>
      </c>
      <c r="C244" s="57"/>
      <c r="D244" s="10" t="str">
        <f>IFERROR(__xludf.DUMMYFUNCTION("IF(COUNTA(C244:C1350)=0,"""",IF(ISBLANK(C244),FALSE,IF(NOT(COUNTIF($AA$24:$AA$34,SUBSTITUTE(C244,""Sell_"",""""))),1,IF(REGEXMATCH(C244,""Sell_""),IF(COUNTIF(C$4:C244,SUBSTITUTE(C244,""Sell_"",""""))-COUNTIF(C$4:C243,C244)&lt;1,1),FALSE))))"),"")</f>
        <v/>
      </c>
      <c r="E244" s="59" t="str">
        <f t="array" ref="E244">IF(COUNTA(C244:C1350)=0,"",SUM((COUNTIF(C$4:C244,Upgrades!$B$3:$B$13)-COUNTIF(C$4:C244,"Sell_"&amp;Upgrades!$B$3:$B$13))*Upgrades!$D$3:$D$13))</f>
        <v/>
      </c>
      <c r="F244" s="66" t="str">
        <f>IFERROR(__xludf.DUMMYFUNCTION("IF(COUNTA(C244:C1350)=0,"""",IF(REGEXMATCH(INDEX(FILTER(C$4:C244,C$4:C244&lt;&gt;""""),ROWS(FILTER(C$4:C244,C$4:C244&lt;&gt;""""))),""^Sell_""),INDEX(FILTER(F$4:F243,C$4:C243&lt;&gt;""""),ROWS(FILTER(C$4:C243,C$4:C243&lt;&gt;""""))),$AC$5+E244))"),"")</f>
        <v/>
      </c>
      <c r="G244" s="10" t="str">
        <f>IFERROR(__xludf.DUMMYFUNCTION("IF(COUNTA(C244:C1350)=0,"""",IF(C244="""",0,IF(REGEXMATCH(C244,""^Sell_""),-ROUNDDOWN(ROUNDUP(INDEX(Upgrades!$C$3:$C$13,MATCH(SUBSTITUTE(C244,""Sell_"",""""),Upgrades!$B$3:$B$13,0))*1.15^(COUNTIF(C$4:C243,SUBSTITUTE(C244,""Sell_"",""""))-COUNTIF(C$4:C243,"&amp;"""Sell_""&amp;SUBSTITUTE(C244,""Sell_"",""""))))/2),ROUNDUP(INDEX(Upgrades!$C$3:$C$13,MATCH(C244,Upgrades!$B$3:$B$13,0))*1.15^(COUNTIF(C$4:C243,C244)-COUNTIF(C$4:C243,""Sell_""&amp;C244))))))"),"")</f>
        <v/>
      </c>
      <c r="H244" s="10" t="str">
        <f t="shared" si="3"/>
        <v/>
      </c>
      <c r="I244" s="68" t="str">
        <f t="shared" si="4"/>
        <v/>
      </c>
      <c r="J244" s="59" t="str">
        <f t="shared" si="5"/>
        <v/>
      </c>
      <c r="K244" s="69" t="str">
        <f t="shared" si="6"/>
        <v/>
      </c>
      <c r="L244" s="60">
        <f t="shared" si="7"/>
        <v>-152.24623</v>
      </c>
      <c r="M244" s="61">
        <f>IFERROR(__xludf.DUMMYFUNCTION("IFS(AND(COUNTA(C244:C1350)=0,COUNTA(Q244:Q1350)=0),"""",OR(AND(K244&gt;=1000000000,OR(Y244&gt;=1000000000,COUNTA(Q244:Q1350)=0)),OR(Y244&gt;=1000000000,AND(COUNTA(C244:C1350)=0,P$3=TRUE))),
ROUNDDOWN((AB$1-AC$1)*MAX(INDEX(T$4:T1350,MATCH(LARGE(FILTER(Y$4:Y1350,Y$4"&amp;":Y1350&lt;1000000000),1),Y$4:Y1350)),INDEX(F$4:F1350,MATCH(LARGE(FILTER(K$4:K1350,K$4:K1350&lt;1000000000),1),K$4:K1350)))),AND(K244&lt;1000000000,COUNTA(C244:C1350)&gt;0,P$3=FALSE),
ROUNDDOWN(INDEX(Y$4:Y1350,MATCH(LARGE(FILTER(W$4:W1350,W$4:W1350&lt;=I244),1),W$4:W1350"&amp;"))+(I244-LARGE(FILTER(W$4:W1350,W$4:W1350&lt;=I244),1))*INDEX(T$4:T1350,MATCH(LARGE(FILTER(W$4:W1350,W$4:W1350&lt;=I244),1),W$4:W1350))-K244),1,
ROUNDDOWN(Y244-INDEX(K$4:K1350,MATCH(LARGE(FILTER(I$4:I1350,I$4:I1350&lt;=W244),1),I$4:I1350))-(W244-LARGE(FILTER(I$4:I"&amp;"1350,I$4:I1350&lt;=W244),1))*INDEX(F$4:F1350,MATCH(LARGE(FILTER(I$4:I1350,I$4:I1350&lt;=W244),1),I$4:I1350))))"),1.6198681E7)</f>
        <v>16198681</v>
      </c>
      <c r="N244" s="60">
        <f t="shared" si="8"/>
        <v>-152.24623</v>
      </c>
      <c r="O244" s="61" t="str">
        <f t="shared" si="9"/>
        <v>16,2M</v>
      </c>
      <c r="P244" s="56">
        <f t="shared" si="10"/>
        <v>14</v>
      </c>
      <c r="Q244" s="105" t="s">
        <v>60</v>
      </c>
      <c r="R244" s="10" t="b">
        <f>IFERROR(__xludf.DUMMYFUNCTION("IF(COUNTA(Q244:Q1350)=0,"""",IF(ISBLANK(Q244),FALSE,IF(NOT(COUNTIF($AA$24:$AA$34,SUBSTITUTE(Q244,""Sell_"",""""))),1,IF(REGEXMATCH(Q244,""Sell_""),IF(COUNTIF(Q$4:Q244,SUBSTITUTE(Q244,""Sell_"",""""))-COUNTIF(Q$4:Q243,Q244)&lt;1,1),FALSE))))"),FALSE)</f>
        <v>0</v>
      </c>
      <c r="S244" s="59">
        <f t="array" ref="S244">IF(COUNTA(Q244:Q1350)=0,"",SUM((COUNTIF(Q$4:Q244,Upgrades!$B$3:$B$13)-COUNTIF(Q$4:Q244,"Sell_"&amp;Upgrades!$B$3:$B$13))*Upgrades!$D$3:$D$13))</f>
        <v>100635</v>
      </c>
      <c r="T244" s="66">
        <f>IFERROR(__xludf.DUMMYFUNCTION("IF(COUNTA(Q244:Q1350)=0,"""",IF(REGEXMATCH(INDEX(FILTER(Q$4:Q244,Q$4:Q244&lt;&gt;""""),ROWS(FILTER(Q$4:Q244,Q$4:Q244&lt;&gt;""""))),""^Sell_""),INDEX(FILTER(T$4:T243,Q$4:Q243&lt;&gt;""""),ROWS(FILTER(Q$4:Q243,Q$4:Q243&lt;&gt;""""))),$AD$5+S244))"),113441.0)</f>
        <v>113441</v>
      </c>
      <c r="U244" s="10">
        <f>IFERROR(__xludf.DUMMYFUNCTION("IF(COUNTA(Q244:Q1350)=0,"""",IF(Q244="""",0,IF(REGEXMATCH(Q244,""^Sell_""),-ROUNDDOWN(ROUNDUP(INDEX(Upgrades!$C$3:$C$13,MATCH(SUBSTITUTE(Q244,""Sell_"",""""),Upgrades!$B$3:$B$13,0))*1.15^(COUNTIF(Q$4:Q243,SUBSTITUTE(Q244,""Sell_"",""""))-COUNTIF(Q$4:Q243,"&amp;"""Sell_""&amp;SUBSTITUTE(Q244,""Sell_"",""""))))/2),ROUNDUP(INDEX(Upgrades!$C$3:$C$13,MATCH(Q244,Upgrades!$B$3:$B$13,0))*1.15^(COUNTIF(Q$4:Q243,Q244)-COUNTIF(Q$4:Q243,""Sell_""&amp;Q244))))))"),-132250.0)</f>
        <v>-132250</v>
      </c>
      <c r="V244" s="10">
        <f t="shared" si="11"/>
        <v>-11593648</v>
      </c>
      <c r="W244" s="68">
        <f t="shared" si="12"/>
        <v>3545.704845</v>
      </c>
      <c r="X244" s="59" t="str">
        <f t="shared" si="13"/>
        <v>59m 05s</v>
      </c>
      <c r="Y244" s="69">
        <f t="shared" si="14"/>
        <v>100625440</v>
      </c>
      <c r="Z244" s="11"/>
    </row>
    <row r="245">
      <c r="A245" s="8"/>
      <c r="B245" s="56" t="str">
        <f t="shared" si="2"/>
        <v/>
      </c>
      <c r="C245" s="57"/>
      <c r="D245" s="10" t="str">
        <f>IFERROR(__xludf.DUMMYFUNCTION("IF(COUNTA(C245:C1350)=0,"""",IF(ISBLANK(C245),FALSE,IF(NOT(COUNTIF($AA$24:$AA$34,SUBSTITUTE(C245,""Sell_"",""""))),1,IF(REGEXMATCH(C245,""Sell_""),IF(COUNTIF(C$4:C245,SUBSTITUTE(C245,""Sell_"",""""))-COUNTIF(C$4:C244,C245)&lt;1,1),FALSE))))"),"")</f>
        <v/>
      </c>
      <c r="E245" s="59" t="str">
        <f t="array" ref="E245">IF(COUNTA(C245:C1350)=0,"",SUM((COUNTIF(C$4:C245,Upgrades!$B$3:$B$13)-COUNTIF(C$4:C245,"Sell_"&amp;Upgrades!$B$3:$B$13))*Upgrades!$D$3:$D$13))</f>
        <v/>
      </c>
      <c r="F245" s="66" t="str">
        <f>IFERROR(__xludf.DUMMYFUNCTION("IF(COUNTA(C245:C1350)=0,"""",IF(REGEXMATCH(INDEX(FILTER(C$4:C245,C$4:C245&lt;&gt;""""),ROWS(FILTER(C$4:C245,C$4:C245&lt;&gt;""""))),""^Sell_""),INDEX(FILTER(F$4:F244,C$4:C244&lt;&gt;""""),ROWS(FILTER(C$4:C244,C$4:C244&lt;&gt;""""))),$AC$5+E245))"),"")</f>
        <v/>
      </c>
      <c r="G245" s="10" t="str">
        <f>IFERROR(__xludf.DUMMYFUNCTION("IF(COUNTA(C245:C1350)=0,"""",IF(C245="""",0,IF(REGEXMATCH(C245,""^Sell_""),-ROUNDDOWN(ROUNDUP(INDEX(Upgrades!$C$3:$C$13,MATCH(SUBSTITUTE(C245,""Sell_"",""""),Upgrades!$B$3:$B$13,0))*1.15^(COUNTIF(C$4:C244,SUBSTITUTE(C245,""Sell_"",""""))-COUNTIF(C$4:C244,"&amp;"""Sell_""&amp;SUBSTITUTE(C245,""Sell_"",""""))))/2),ROUNDUP(INDEX(Upgrades!$C$3:$C$13,MATCH(C245,Upgrades!$B$3:$B$13,0))*1.15^(COUNTIF(C$4:C244,C245)-COUNTIF(C$4:C244,""Sell_""&amp;C245))))))"),"")</f>
        <v/>
      </c>
      <c r="H245" s="10" t="str">
        <f t="shared" si="3"/>
        <v/>
      </c>
      <c r="I245" s="68" t="str">
        <f t="shared" si="4"/>
        <v/>
      </c>
      <c r="J245" s="59" t="str">
        <f t="shared" si="5"/>
        <v/>
      </c>
      <c r="K245" s="69" t="str">
        <f t="shared" si="6"/>
        <v/>
      </c>
      <c r="L245" s="60">
        <f t="shared" si="7"/>
        <v>-152.24623</v>
      </c>
      <c r="M245" s="61">
        <f>IFERROR(__xludf.DUMMYFUNCTION("IFS(AND(COUNTA(C245:C1350)=0,COUNTA(Q245:Q1350)=0),"""",OR(AND(K245&gt;=1000000000,OR(Y245&gt;=1000000000,COUNTA(Q245:Q1350)=0)),OR(Y245&gt;=1000000000,AND(COUNTA(C245:C1350)=0,P$3=TRUE))),
ROUNDDOWN((AB$1-AC$1)*MAX(INDEX(T$4:T1350,MATCH(LARGE(FILTER(Y$4:Y1350,Y$4"&amp;":Y1350&lt;1000000000),1),Y$4:Y1350)),INDEX(F$4:F1350,MATCH(LARGE(FILTER(K$4:K1350,K$4:K1350&lt;1000000000),1),K$4:K1350)))),AND(K245&lt;1000000000,COUNTA(C245:C1350)&gt;0,P$3=FALSE),
ROUNDDOWN(INDEX(Y$4:Y1350,MATCH(LARGE(FILTER(W$4:W1350,W$4:W1350&lt;=I245),1),W$4:W1350"&amp;"))+(I245-LARGE(FILTER(W$4:W1350,W$4:W1350&lt;=I245),1))*INDEX(T$4:T1350,MATCH(LARGE(FILTER(W$4:W1350,W$4:W1350&lt;=I245),1),W$4:W1350))-K245),1,
ROUNDDOWN(Y245-INDEX(K$4:K1350,MATCH(LARGE(FILTER(I$4:I1350,I$4:I1350&lt;=W245),1),I$4:I1350))-(W245-LARGE(FILTER(I$4:I"&amp;"1350,I$4:I1350&lt;=W245),1))*INDEX(F$4:F1350,MATCH(LARGE(FILTER(I$4:I1350,I$4:I1350&lt;=W245),1),I$4:I1350))))"),1.6198681E7)</f>
        <v>16198681</v>
      </c>
      <c r="N245" s="60">
        <f t="shared" si="8"/>
        <v>-152.24623</v>
      </c>
      <c r="O245" s="61" t="str">
        <f t="shared" si="9"/>
        <v>16,2M</v>
      </c>
      <c r="P245" s="56">
        <f t="shared" si="10"/>
        <v>15</v>
      </c>
      <c r="Q245" s="105" t="s">
        <v>60</v>
      </c>
      <c r="R245" s="10" t="b">
        <f>IFERROR(__xludf.DUMMYFUNCTION("IF(COUNTA(Q245:Q1350)=0,"""",IF(ISBLANK(Q245),FALSE,IF(NOT(COUNTIF($AA$24:$AA$34,SUBSTITUTE(Q245,""Sell_"",""""))),1,IF(REGEXMATCH(Q245,""Sell_""),IF(COUNTIF(Q$4:Q245,SUBSTITUTE(Q245,""Sell_"",""""))-COUNTIF(Q$4:Q244,Q245)&lt;1,1),FALSE))))"),FALSE)</f>
        <v>0</v>
      </c>
      <c r="S245" s="59">
        <f t="array" ref="S245">IF(COUNTA(Q245:Q1350)=0,"",SUM((COUNTIF(Q$4:Q245,Upgrades!$B$3:$B$13)-COUNTIF(Q$4:Q245,"Sell_"&amp;Upgrades!$B$3:$B$13))*Upgrades!$D$3:$D$13))</f>
        <v>100235</v>
      </c>
      <c r="T245" s="66">
        <f>IFERROR(__xludf.DUMMYFUNCTION("IF(COUNTA(Q245:Q1350)=0,"""",IF(REGEXMATCH(INDEX(FILTER(Q$4:Q245,Q$4:Q245&lt;&gt;""""),ROWS(FILTER(Q$4:Q245,Q$4:Q245&lt;&gt;""""))),""^Sell_""),INDEX(FILTER(T$4:T244,Q$4:Q244&lt;&gt;""""),ROWS(FILTER(Q$4:Q244,Q$4:Q244&lt;&gt;""""))),$AD$5+S245))"),113441.0)</f>
        <v>113441</v>
      </c>
      <c r="U245" s="10">
        <f>IFERROR(__xludf.DUMMYFUNCTION("IF(COUNTA(Q245:Q1350)=0,"""",IF(Q245="""",0,IF(REGEXMATCH(Q245,""^Sell_""),-ROUNDDOWN(ROUNDUP(INDEX(Upgrades!$C$3:$C$13,MATCH(SUBSTITUTE(Q245,""Sell_"",""""),Upgrades!$B$3:$B$13,0))*1.15^(COUNTIF(Q$4:Q244,SUBSTITUTE(Q245,""Sell_"",""""))-COUNTIF(Q$4:Q244,"&amp;"""Sell_""&amp;SUBSTITUTE(Q245,""Sell_"",""""))))/2),ROUNDUP(INDEX(Upgrades!$C$3:$C$13,MATCH(Q245,Upgrades!$B$3:$B$13,0))*1.15^(COUNTIF(Q$4:Q244,Q245)-COUNTIF(Q$4:Q244,""Sell_""&amp;Q245))))))"),-115000.0)</f>
        <v>-115000</v>
      </c>
      <c r="V245" s="10">
        <f t="shared" si="11"/>
        <v>-11708648</v>
      </c>
      <c r="W245" s="68">
        <f t="shared" si="12"/>
        <v>3545.704845</v>
      </c>
      <c r="X245" s="59" t="str">
        <f t="shared" si="13"/>
        <v>59m 05s</v>
      </c>
      <c r="Y245" s="69">
        <f t="shared" si="14"/>
        <v>100625440</v>
      </c>
      <c r="Z245" s="11"/>
    </row>
    <row r="246">
      <c r="A246" s="8"/>
      <c r="B246" s="56" t="str">
        <f t="shared" si="2"/>
        <v/>
      </c>
      <c r="C246" s="57"/>
      <c r="D246" s="10" t="str">
        <f>IFERROR(__xludf.DUMMYFUNCTION("IF(COUNTA(C246:C1350)=0,"""",IF(ISBLANK(C246),FALSE,IF(NOT(COUNTIF($AA$24:$AA$34,SUBSTITUTE(C246,""Sell_"",""""))),1,IF(REGEXMATCH(C246,""Sell_""),IF(COUNTIF(C$4:C246,SUBSTITUTE(C246,""Sell_"",""""))-COUNTIF(C$4:C245,C246)&lt;1,1),FALSE))))"),"")</f>
        <v/>
      </c>
      <c r="E246" s="59" t="str">
        <f t="array" ref="E246">IF(COUNTA(C246:C1350)=0,"",SUM((COUNTIF(C$4:C246,Upgrades!$B$3:$B$13)-COUNTIF(C$4:C246,"Sell_"&amp;Upgrades!$B$3:$B$13))*Upgrades!$D$3:$D$13))</f>
        <v/>
      </c>
      <c r="F246" s="66" t="str">
        <f>IFERROR(__xludf.DUMMYFUNCTION("IF(COUNTA(C246:C1350)=0,"""",IF(REGEXMATCH(INDEX(FILTER(C$4:C246,C$4:C246&lt;&gt;""""),ROWS(FILTER(C$4:C246,C$4:C246&lt;&gt;""""))),""^Sell_""),INDEX(FILTER(F$4:F245,C$4:C245&lt;&gt;""""),ROWS(FILTER(C$4:C245,C$4:C245&lt;&gt;""""))),$AC$5+E246))"),"")</f>
        <v/>
      </c>
      <c r="G246" s="10" t="str">
        <f>IFERROR(__xludf.DUMMYFUNCTION("IF(COUNTA(C246:C1350)=0,"""",IF(C246="""",0,IF(REGEXMATCH(C246,""^Sell_""),-ROUNDDOWN(ROUNDUP(INDEX(Upgrades!$C$3:$C$13,MATCH(SUBSTITUTE(C246,""Sell_"",""""),Upgrades!$B$3:$B$13,0))*1.15^(COUNTIF(C$4:C245,SUBSTITUTE(C246,""Sell_"",""""))-COUNTIF(C$4:C245,"&amp;"""Sell_""&amp;SUBSTITUTE(C246,""Sell_"",""""))))/2),ROUNDUP(INDEX(Upgrades!$C$3:$C$13,MATCH(C246,Upgrades!$B$3:$B$13,0))*1.15^(COUNTIF(C$4:C245,C246)-COUNTIF(C$4:C245,""Sell_""&amp;C246))))))"),"")</f>
        <v/>
      </c>
      <c r="H246" s="10" t="str">
        <f t="shared" si="3"/>
        <v/>
      </c>
      <c r="I246" s="68" t="str">
        <f t="shared" si="4"/>
        <v/>
      </c>
      <c r="J246" s="59" t="str">
        <f t="shared" si="5"/>
        <v/>
      </c>
      <c r="K246" s="69" t="str">
        <f t="shared" si="6"/>
        <v/>
      </c>
      <c r="L246" s="60">
        <f t="shared" si="7"/>
        <v>-152.24623</v>
      </c>
      <c r="M246" s="61">
        <f>IFERROR(__xludf.DUMMYFUNCTION("IFS(AND(COUNTA(C246:C1350)=0,COUNTA(Q246:Q1350)=0),"""",OR(AND(K246&gt;=1000000000,OR(Y246&gt;=1000000000,COUNTA(Q246:Q1350)=0)),OR(Y246&gt;=1000000000,AND(COUNTA(C246:C1350)=0,P$3=TRUE))),
ROUNDDOWN((AB$1-AC$1)*MAX(INDEX(T$4:T1350,MATCH(LARGE(FILTER(Y$4:Y1350,Y$4"&amp;":Y1350&lt;1000000000),1),Y$4:Y1350)),INDEX(F$4:F1350,MATCH(LARGE(FILTER(K$4:K1350,K$4:K1350&lt;1000000000),1),K$4:K1350)))),AND(K246&lt;1000000000,COUNTA(C246:C1350)&gt;0,P$3=FALSE),
ROUNDDOWN(INDEX(Y$4:Y1350,MATCH(LARGE(FILTER(W$4:W1350,W$4:W1350&lt;=I246),1),W$4:W1350"&amp;"))+(I246-LARGE(FILTER(W$4:W1350,W$4:W1350&lt;=I246),1))*INDEX(T$4:T1350,MATCH(LARGE(FILTER(W$4:W1350,W$4:W1350&lt;=I246),1),W$4:W1350))-K246),1,
ROUNDDOWN(Y246-INDEX(K$4:K1350,MATCH(LARGE(FILTER(I$4:I1350,I$4:I1350&lt;=W246),1),I$4:I1350))-(W246-LARGE(FILTER(I$4:I"&amp;"1350,I$4:I1350&lt;=W246),1))*INDEX(F$4:F1350,MATCH(LARGE(FILTER(I$4:I1350,I$4:I1350&lt;=W246),1),I$4:I1350))))"),1.6198681E7)</f>
        <v>16198681</v>
      </c>
      <c r="N246" s="60">
        <f t="shared" si="8"/>
        <v>-152.24623</v>
      </c>
      <c r="O246" s="61" t="str">
        <f t="shared" si="9"/>
        <v>16,2M</v>
      </c>
      <c r="P246" s="56">
        <f t="shared" si="10"/>
        <v>2</v>
      </c>
      <c r="Q246" s="105" t="s">
        <v>64</v>
      </c>
      <c r="R246" s="10" t="b">
        <f>IFERROR(__xludf.DUMMYFUNCTION("IF(COUNTA(Q246:Q1350)=0,"""",IF(ISBLANK(Q246),FALSE,IF(NOT(COUNTIF($AA$24:$AA$34,SUBSTITUTE(Q246,""Sell_"",""""))),1,IF(REGEXMATCH(Q246,""Sell_""),IF(COUNTIF(Q$4:Q246,SUBSTITUTE(Q246,""Sell_"",""""))-COUNTIF(Q$4:Q245,Q246)&lt;1,1),FALSE))))"),FALSE)</f>
        <v>0</v>
      </c>
      <c r="S246" s="59">
        <f t="array" ref="S246">IF(COUNTA(Q246:Q1350)=0,"",SUM((COUNTIF(Q$4:Q246,Upgrades!$B$3:$B$13)-COUNTIF(Q$4:Q246,"Sell_"&amp;Upgrades!$B$3:$B$13))*Upgrades!$D$3:$D$13))</f>
        <v>93569</v>
      </c>
      <c r="T246" s="66">
        <f>IFERROR(__xludf.DUMMYFUNCTION("IF(COUNTA(Q246:Q1350)=0,"""",IF(REGEXMATCH(INDEX(FILTER(Q$4:Q246,Q$4:Q246&lt;&gt;""""),ROWS(FILTER(Q$4:Q246,Q$4:Q246&lt;&gt;""""))),""^Sell_""),INDEX(FILTER(T$4:T245,Q$4:Q245&lt;&gt;""""),ROWS(FILTER(Q$4:Q245,Q$4:Q245&lt;&gt;""""))),$AD$5+S246))"),113441.0)</f>
        <v>113441</v>
      </c>
      <c r="U246" s="10">
        <f>IFERROR(__xludf.DUMMYFUNCTION("IF(COUNTA(Q246:Q1350)=0,"""",IF(Q246="""",0,IF(REGEXMATCH(Q246,""^Sell_""),-ROUNDDOWN(ROUNDUP(INDEX(Upgrades!$C$3:$C$13,MATCH(SUBSTITUTE(Q246,""Sell_"",""""),Upgrades!$B$3:$B$13,0))*1.15^(COUNTIF(Q$4:Q245,SUBSTITUTE(Q246,""Sell_"",""""))-COUNTIF(Q$4:Q245,"&amp;"""Sell_""&amp;SUBSTITUTE(Q246,""Sell_"",""""))))/2),ROUNDUP(INDEX(Upgrades!$C$3:$C$13,MATCH(Q246,Upgrades!$B$3:$B$13,0))*1.15^(COUNTIF(Q$4:Q245,Q246)-COUNTIF(Q$4:Q245,""Sell_""&amp;Q246))))))"),-6780882.0)</f>
        <v>-6780882</v>
      </c>
      <c r="V246" s="10">
        <f t="shared" si="11"/>
        <v>-18489530</v>
      </c>
      <c r="W246" s="68">
        <f t="shared" si="12"/>
        <v>3545.704845</v>
      </c>
      <c r="X246" s="59" t="str">
        <f t="shared" si="13"/>
        <v>59m 05s</v>
      </c>
      <c r="Y246" s="69">
        <f t="shared" si="14"/>
        <v>100625440</v>
      </c>
      <c r="Z246" s="11"/>
    </row>
    <row r="247">
      <c r="A247" s="8"/>
      <c r="B247" s="56" t="str">
        <f t="shared" si="2"/>
        <v/>
      </c>
      <c r="C247" s="57"/>
      <c r="D247" s="10" t="str">
        <f>IFERROR(__xludf.DUMMYFUNCTION("IF(COUNTA(C247:C1350)=0,"""",IF(ISBLANK(C247),FALSE,IF(NOT(COUNTIF($AA$24:$AA$34,SUBSTITUTE(C247,""Sell_"",""""))),1,IF(REGEXMATCH(C247,""Sell_""),IF(COUNTIF(C$4:C247,SUBSTITUTE(C247,""Sell_"",""""))-COUNTIF(C$4:C246,C247)&lt;1,1),FALSE))))"),"")</f>
        <v/>
      </c>
      <c r="E247" s="59" t="str">
        <f t="array" ref="E247">IF(COUNTA(C247:C1350)=0,"",SUM((COUNTIF(C$4:C247,Upgrades!$B$3:$B$13)-COUNTIF(C$4:C247,"Sell_"&amp;Upgrades!$B$3:$B$13))*Upgrades!$D$3:$D$13))</f>
        <v/>
      </c>
      <c r="F247" s="66" t="str">
        <f>IFERROR(__xludf.DUMMYFUNCTION("IF(COUNTA(C247:C1350)=0,"""",IF(REGEXMATCH(INDEX(FILTER(C$4:C247,C$4:C247&lt;&gt;""""),ROWS(FILTER(C$4:C247,C$4:C247&lt;&gt;""""))),""^Sell_""),INDEX(FILTER(F$4:F246,C$4:C246&lt;&gt;""""),ROWS(FILTER(C$4:C246,C$4:C246&lt;&gt;""""))),$AC$5+E247))"),"")</f>
        <v/>
      </c>
      <c r="G247" s="10" t="str">
        <f>IFERROR(__xludf.DUMMYFUNCTION("IF(COUNTA(C247:C1350)=0,"""",IF(C247="""",0,IF(REGEXMATCH(C247,""^Sell_""),-ROUNDDOWN(ROUNDUP(INDEX(Upgrades!$C$3:$C$13,MATCH(SUBSTITUTE(C247,""Sell_"",""""),Upgrades!$B$3:$B$13,0))*1.15^(COUNTIF(C$4:C246,SUBSTITUTE(C247,""Sell_"",""""))-COUNTIF(C$4:C246,"&amp;"""Sell_""&amp;SUBSTITUTE(C247,""Sell_"",""""))))/2),ROUNDUP(INDEX(Upgrades!$C$3:$C$13,MATCH(C247,Upgrades!$B$3:$B$13,0))*1.15^(COUNTIF(C$4:C246,C247)-COUNTIF(C$4:C246,""Sell_""&amp;C247))))))"),"")</f>
        <v/>
      </c>
      <c r="H247" s="10" t="str">
        <f t="shared" si="3"/>
        <v/>
      </c>
      <c r="I247" s="68" t="str">
        <f t="shared" si="4"/>
        <v/>
      </c>
      <c r="J247" s="59" t="str">
        <f t="shared" si="5"/>
        <v/>
      </c>
      <c r="K247" s="69" t="str">
        <f t="shared" si="6"/>
        <v/>
      </c>
      <c r="L247" s="60">
        <f t="shared" si="7"/>
        <v>-152.24623</v>
      </c>
      <c r="M247" s="61">
        <f>IFERROR(__xludf.DUMMYFUNCTION("IFS(AND(COUNTA(C247:C1350)=0,COUNTA(Q247:Q1350)=0),"""",OR(AND(K247&gt;=1000000000,OR(Y247&gt;=1000000000,COUNTA(Q247:Q1350)=0)),OR(Y247&gt;=1000000000,AND(COUNTA(C247:C1350)=0,P$3=TRUE))),
ROUNDDOWN((AB$1-AC$1)*MAX(INDEX(T$4:T1350,MATCH(LARGE(FILTER(Y$4:Y1350,Y$4"&amp;":Y1350&lt;1000000000),1),Y$4:Y1350)),INDEX(F$4:F1350,MATCH(LARGE(FILTER(K$4:K1350,K$4:K1350&lt;1000000000),1),K$4:K1350)))),AND(K247&lt;1000000000,COUNTA(C247:C1350)&gt;0,P$3=FALSE),
ROUNDDOWN(INDEX(Y$4:Y1350,MATCH(LARGE(FILTER(W$4:W1350,W$4:W1350&lt;=I247),1),W$4:W1350"&amp;"))+(I247-LARGE(FILTER(W$4:W1350,W$4:W1350&lt;=I247),1))*INDEX(T$4:T1350,MATCH(LARGE(FILTER(W$4:W1350,W$4:W1350&lt;=I247),1),W$4:W1350))-K247),1,
ROUNDDOWN(Y247-INDEX(K$4:K1350,MATCH(LARGE(FILTER(I$4:I1350,I$4:I1350&lt;=W247),1),I$4:I1350))-(W247-LARGE(FILTER(I$4:I"&amp;"1350,I$4:I1350&lt;=W247),1))*INDEX(F$4:F1350,MATCH(LARGE(FILTER(I$4:I1350,I$4:I1350&lt;=W247),1),I$4:I1350))))"),1.6198681E7)</f>
        <v>16198681</v>
      </c>
      <c r="N247" s="60">
        <f t="shared" si="8"/>
        <v>-152.24623</v>
      </c>
      <c r="O247" s="61" t="str">
        <f t="shared" si="9"/>
        <v>16,2M</v>
      </c>
      <c r="P247" s="56">
        <f t="shared" si="10"/>
        <v>3</v>
      </c>
      <c r="Q247" s="105" t="s">
        <v>64</v>
      </c>
      <c r="R247" s="10" t="b">
        <f>IFERROR(__xludf.DUMMYFUNCTION("IF(COUNTA(Q247:Q1350)=0,"""",IF(ISBLANK(Q247),FALSE,IF(NOT(COUNTIF($AA$24:$AA$34,SUBSTITUTE(Q247,""Sell_"",""""))),1,IF(REGEXMATCH(Q247,""Sell_""),IF(COUNTIF(Q$4:Q247,SUBSTITUTE(Q247,""Sell_"",""""))-COUNTIF(Q$4:Q246,Q247)&lt;1,1),FALSE))))"),FALSE)</f>
        <v>0</v>
      </c>
      <c r="S247" s="59">
        <f t="array" ref="S247">IF(COUNTA(Q247:Q1350)=0,"",SUM((COUNTIF(Q$4:Q247,Upgrades!$B$3:$B$13)-COUNTIF(Q$4:Q247,"Sell_"&amp;Upgrades!$B$3:$B$13))*Upgrades!$D$3:$D$13))</f>
        <v>86903</v>
      </c>
      <c r="T247" s="66">
        <f>IFERROR(__xludf.DUMMYFUNCTION("IF(COUNTA(Q247:Q1350)=0,"""",IF(REGEXMATCH(INDEX(FILTER(Q$4:Q247,Q$4:Q247&lt;&gt;""""),ROWS(FILTER(Q$4:Q247,Q$4:Q247&lt;&gt;""""))),""^Sell_""),INDEX(FILTER(T$4:T246,Q$4:Q246&lt;&gt;""""),ROWS(FILTER(Q$4:Q246,Q$4:Q246&lt;&gt;""""))),$AD$5+S247))"),113441.0)</f>
        <v>113441</v>
      </c>
      <c r="U247" s="10">
        <f>IFERROR(__xludf.DUMMYFUNCTION("IF(COUNTA(Q247:Q1350)=0,"""",IF(Q247="""",0,IF(REGEXMATCH(Q247,""^Sell_""),-ROUNDDOWN(ROUNDUP(INDEX(Upgrades!$C$3:$C$13,MATCH(SUBSTITUTE(Q247,""Sell_"",""""),Upgrades!$B$3:$B$13,0))*1.15^(COUNTIF(Q$4:Q246,SUBSTITUTE(Q247,""Sell_"",""""))-COUNTIF(Q$4:Q246,"&amp;"""Sell_""&amp;SUBSTITUTE(Q247,""Sell_"",""""))))/2),ROUNDUP(INDEX(Upgrades!$C$3:$C$13,MATCH(Q247,Upgrades!$B$3:$B$13,0))*1.15^(COUNTIF(Q$4:Q246,Q247)-COUNTIF(Q$4:Q246,""Sell_""&amp;Q247))))))"),-5896419.0)</f>
        <v>-5896419</v>
      </c>
      <c r="V247" s="10">
        <f t="shared" si="11"/>
        <v>-24385949</v>
      </c>
      <c r="W247" s="68">
        <f t="shared" si="12"/>
        <v>3545.704845</v>
      </c>
      <c r="X247" s="59" t="str">
        <f t="shared" si="13"/>
        <v>59m 05s</v>
      </c>
      <c r="Y247" s="69">
        <f t="shared" si="14"/>
        <v>100625440</v>
      </c>
      <c r="Z247" s="11"/>
    </row>
    <row r="248">
      <c r="A248" s="8"/>
      <c r="B248" s="56" t="str">
        <f t="shared" si="2"/>
        <v/>
      </c>
      <c r="C248" s="57"/>
      <c r="D248" s="10" t="str">
        <f>IFERROR(__xludf.DUMMYFUNCTION("IF(COUNTA(C248:C1350)=0,"""",IF(ISBLANK(C248),FALSE,IF(NOT(COUNTIF($AA$24:$AA$34,SUBSTITUTE(C248,""Sell_"",""""))),1,IF(REGEXMATCH(C248,""Sell_""),IF(COUNTIF(C$4:C248,SUBSTITUTE(C248,""Sell_"",""""))-COUNTIF(C$4:C247,C248)&lt;1,1),FALSE))))"),"")</f>
        <v/>
      </c>
      <c r="E248" s="59" t="str">
        <f t="array" ref="E248">IF(COUNTA(C248:C1350)=0,"",SUM((COUNTIF(C$4:C248,Upgrades!$B$3:$B$13)-COUNTIF(C$4:C248,"Sell_"&amp;Upgrades!$B$3:$B$13))*Upgrades!$D$3:$D$13))</f>
        <v/>
      </c>
      <c r="F248" s="66" t="str">
        <f>IFERROR(__xludf.DUMMYFUNCTION("IF(COUNTA(C248:C1350)=0,"""",IF(REGEXMATCH(INDEX(FILTER(C$4:C248,C$4:C248&lt;&gt;""""),ROWS(FILTER(C$4:C248,C$4:C248&lt;&gt;""""))),""^Sell_""),INDEX(FILTER(F$4:F247,C$4:C247&lt;&gt;""""),ROWS(FILTER(C$4:C247,C$4:C247&lt;&gt;""""))),$AC$5+E248))"),"")</f>
        <v/>
      </c>
      <c r="G248" s="10" t="str">
        <f>IFERROR(__xludf.DUMMYFUNCTION("IF(COUNTA(C248:C1350)=0,"""",IF(C248="""",0,IF(REGEXMATCH(C248,""^Sell_""),-ROUNDDOWN(ROUNDUP(INDEX(Upgrades!$C$3:$C$13,MATCH(SUBSTITUTE(C248,""Sell_"",""""),Upgrades!$B$3:$B$13,0))*1.15^(COUNTIF(C$4:C247,SUBSTITUTE(C248,""Sell_"",""""))-COUNTIF(C$4:C247,"&amp;"""Sell_""&amp;SUBSTITUTE(C248,""Sell_"",""""))))/2),ROUNDUP(INDEX(Upgrades!$C$3:$C$13,MATCH(C248,Upgrades!$B$3:$B$13,0))*1.15^(COUNTIF(C$4:C247,C248)-COUNTIF(C$4:C247,""Sell_""&amp;C248))))))"),"")</f>
        <v/>
      </c>
      <c r="H248" s="10" t="str">
        <f t="shared" si="3"/>
        <v/>
      </c>
      <c r="I248" s="68" t="str">
        <f t="shared" si="4"/>
        <v/>
      </c>
      <c r="J248" s="59" t="str">
        <f t="shared" si="5"/>
        <v/>
      </c>
      <c r="K248" s="69" t="str">
        <f t="shared" si="6"/>
        <v/>
      </c>
      <c r="L248" s="60">
        <f t="shared" si="7"/>
        <v>-152.24623</v>
      </c>
      <c r="M248" s="61">
        <f>IFERROR(__xludf.DUMMYFUNCTION("IFS(AND(COUNTA(C248:C1350)=0,COUNTA(Q248:Q1350)=0),"""",OR(AND(K248&gt;=1000000000,OR(Y248&gt;=1000000000,COUNTA(Q248:Q1350)=0)),OR(Y248&gt;=1000000000,AND(COUNTA(C248:C1350)=0,P$3=TRUE))),
ROUNDDOWN((AB$1-AC$1)*MAX(INDEX(T$4:T1350,MATCH(LARGE(FILTER(Y$4:Y1350,Y$4"&amp;":Y1350&lt;1000000000),1),Y$4:Y1350)),INDEX(F$4:F1350,MATCH(LARGE(FILTER(K$4:K1350,K$4:K1350&lt;1000000000),1),K$4:K1350)))),AND(K248&lt;1000000000,COUNTA(C248:C1350)&gt;0,P$3=FALSE),
ROUNDDOWN(INDEX(Y$4:Y1350,MATCH(LARGE(FILTER(W$4:W1350,W$4:W1350&lt;=I248),1),W$4:W1350"&amp;"))+(I248-LARGE(FILTER(W$4:W1350,W$4:W1350&lt;=I248),1))*INDEX(T$4:T1350,MATCH(LARGE(FILTER(W$4:W1350,W$4:W1350&lt;=I248),1),W$4:W1350))-K248),1,
ROUNDDOWN(Y248-INDEX(K$4:K1350,MATCH(LARGE(FILTER(I$4:I1350,I$4:I1350&lt;=W248),1),I$4:I1350))-(W248-LARGE(FILTER(I$4:I"&amp;"1350,I$4:I1350&lt;=W248),1))*INDEX(F$4:F1350,MATCH(LARGE(FILTER(I$4:I1350,I$4:I1350&lt;=W248),1),I$4:I1350))))"),1.6198681E7)</f>
        <v>16198681</v>
      </c>
      <c r="N248" s="60">
        <f t="shared" si="8"/>
        <v>-152.24623</v>
      </c>
      <c r="O248" s="61" t="str">
        <f t="shared" si="9"/>
        <v>16,2M</v>
      </c>
      <c r="P248" s="56">
        <f t="shared" si="10"/>
        <v>4</v>
      </c>
      <c r="Q248" s="105" t="s">
        <v>64</v>
      </c>
      <c r="R248" s="10" t="b">
        <f>IFERROR(__xludf.DUMMYFUNCTION("IF(COUNTA(Q248:Q1350)=0,"""",IF(ISBLANK(Q248),FALSE,IF(NOT(COUNTIF($AA$24:$AA$34,SUBSTITUTE(Q248,""Sell_"",""""))),1,IF(REGEXMATCH(Q248,""Sell_""),IF(COUNTIF(Q$4:Q248,SUBSTITUTE(Q248,""Sell_"",""""))-COUNTIF(Q$4:Q247,Q248)&lt;1,1),FALSE))))"),FALSE)</f>
        <v>0</v>
      </c>
      <c r="S248" s="59">
        <f t="array" ref="S248">IF(COUNTA(Q248:Q1350)=0,"",SUM((COUNTIF(Q$4:Q248,Upgrades!$B$3:$B$13)-COUNTIF(Q$4:Q248,"Sell_"&amp;Upgrades!$B$3:$B$13))*Upgrades!$D$3:$D$13))</f>
        <v>80237</v>
      </c>
      <c r="T248" s="66">
        <f>IFERROR(__xludf.DUMMYFUNCTION("IF(COUNTA(Q248:Q1350)=0,"""",IF(REGEXMATCH(INDEX(FILTER(Q$4:Q248,Q$4:Q248&lt;&gt;""""),ROWS(FILTER(Q$4:Q248,Q$4:Q248&lt;&gt;""""))),""^Sell_""),INDEX(FILTER(T$4:T247,Q$4:Q247&lt;&gt;""""),ROWS(FILTER(Q$4:Q247,Q$4:Q247&lt;&gt;""""))),$AD$5+S248))"),113441.0)</f>
        <v>113441</v>
      </c>
      <c r="U248" s="10">
        <f>IFERROR(__xludf.DUMMYFUNCTION("IF(COUNTA(Q248:Q1350)=0,"""",IF(Q248="""",0,IF(REGEXMATCH(Q248,""^Sell_""),-ROUNDDOWN(ROUNDUP(INDEX(Upgrades!$C$3:$C$13,MATCH(SUBSTITUTE(Q248,""Sell_"",""""),Upgrades!$B$3:$B$13,0))*1.15^(COUNTIF(Q$4:Q247,SUBSTITUTE(Q248,""Sell_"",""""))-COUNTIF(Q$4:Q247,"&amp;"""Sell_""&amp;SUBSTITUTE(Q248,""Sell_"",""""))))/2),ROUNDUP(INDEX(Upgrades!$C$3:$C$13,MATCH(Q248,Upgrades!$B$3:$B$13,0))*1.15^(COUNTIF(Q$4:Q247,Q248)-COUNTIF(Q$4:Q247,""Sell_""&amp;Q248))))))"),-5127321.0)</f>
        <v>-5127321</v>
      </c>
      <c r="V248" s="10">
        <f t="shared" si="11"/>
        <v>-29513270</v>
      </c>
      <c r="W248" s="68">
        <f t="shared" si="12"/>
        <v>3545.704845</v>
      </c>
      <c r="X248" s="59" t="str">
        <f t="shared" si="13"/>
        <v>59m 05s</v>
      </c>
      <c r="Y248" s="69">
        <f t="shared" si="14"/>
        <v>100625440</v>
      </c>
      <c r="Z248" s="11"/>
    </row>
    <row r="249">
      <c r="A249" s="8"/>
      <c r="B249" s="56" t="str">
        <f t="shared" si="2"/>
        <v/>
      </c>
      <c r="C249" s="57"/>
      <c r="D249" s="10" t="str">
        <f>IFERROR(__xludf.DUMMYFUNCTION("IF(COUNTA(C249:C1350)=0,"""",IF(ISBLANK(C249),FALSE,IF(NOT(COUNTIF($AA$24:$AA$34,SUBSTITUTE(C249,""Sell_"",""""))),1,IF(REGEXMATCH(C249,""Sell_""),IF(COUNTIF(C$4:C249,SUBSTITUTE(C249,""Sell_"",""""))-COUNTIF(C$4:C248,C249)&lt;1,1),FALSE))))"),"")</f>
        <v/>
      </c>
      <c r="E249" s="59" t="str">
        <f t="array" ref="E249">IF(COUNTA(C249:C1350)=0,"",SUM((COUNTIF(C$4:C249,Upgrades!$B$3:$B$13)-COUNTIF(C$4:C249,"Sell_"&amp;Upgrades!$B$3:$B$13))*Upgrades!$D$3:$D$13))</f>
        <v/>
      </c>
      <c r="F249" s="66" t="str">
        <f>IFERROR(__xludf.DUMMYFUNCTION("IF(COUNTA(C249:C1350)=0,"""",IF(REGEXMATCH(INDEX(FILTER(C$4:C249,C$4:C249&lt;&gt;""""),ROWS(FILTER(C$4:C249,C$4:C249&lt;&gt;""""))),""^Sell_""),INDEX(FILTER(F$4:F248,C$4:C248&lt;&gt;""""),ROWS(FILTER(C$4:C248,C$4:C248&lt;&gt;""""))),$AC$5+E249))"),"")</f>
        <v/>
      </c>
      <c r="G249" s="10" t="str">
        <f>IFERROR(__xludf.DUMMYFUNCTION("IF(COUNTA(C249:C1350)=0,"""",IF(C249="""",0,IF(REGEXMATCH(C249,""^Sell_""),-ROUNDDOWN(ROUNDUP(INDEX(Upgrades!$C$3:$C$13,MATCH(SUBSTITUTE(C249,""Sell_"",""""),Upgrades!$B$3:$B$13,0))*1.15^(COUNTIF(C$4:C248,SUBSTITUTE(C249,""Sell_"",""""))-COUNTIF(C$4:C248,"&amp;"""Sell_""&amp;SUBSTITUTE(C249,""Sell_"",""""))))/2),ROUNDUP(INDEX(Upgrades!$C$3:$C$13,MATCH(C249,Upgrades!$B$3:$B$13,0))*1.15^(COUNTIF(C$4:C248,C249)-COUNTIF(C$4:C248,""Sell_""&amp;C249))))))"),"")</f>
        <v/>
      </c>
      <c r="H249" s="10" t="str">
        <f t="shared" si="3"/>
        <v/>
      </c>
      <c r="I249" s="68" t="str">
        <f t="shared" si="4"/>
        <v/>
      </c>
      <c r="J249" s="59" t="str">
        <f t="shared" si="5"/>
        <v/>
      </c>
      <c r="K249" s="69" t="str">
        <f t="shared" si="6"/>
        <v/>
      </c>
      <c r="L249" s="60">
        <f t="shared" si="7"/>
        <v>-152.24623</v>
      </c>
      <c r="M249" s="61">
        <f>IFERROR(__xludf.DUMMYFUNCTION("IFS(AND(COUNTA(C249:C1350)=0,COUNTA(Q249:Q1350)=0),"""",OR(AND(K249&gt;=1000000000,OR(Y249&gt;=1000000000,COUNTA(Q249:Q1350)=0)),OR(Y249&gt;=1000000000,AND(COUNTA(C249:C1350)=0,P$3=TRUE))),
ROUNDDOWN((AB$1-AC$1)*MAX(INDEX(T$4:T1350,MATCH(LARGE(FILTER(Y$4:Y1350,Y$4"&amp;":Y1350&lt;1000000000),1),Y$4:Y1350)),INDEX(F$4:F1350,MATCH(LARGE(FILTER(K$4:K1350,K$4:K1350&lt;1000000000),1),K$4:K1350)))),AND(K249&lt;1000000000,COUNTA(C249:C1350)&gt;0,P$3=FALSE),
ROUNDDOWN(INDEX(Y$4:Y1350,MATCH(LARGE(FILTER(W$4:W1350,W$4:W1350&lt;=I249),1),W$4:W1350"&amp;"))+(I249-LARGE(FILTER(W$4:W1350,W$4:W1350&lt;=I249),1))*INDEX(T$4:T1350,MATCH(LARGE(FILTER(W$4:W1350,W$4:W1350&lt;=I249),1),W$4:W1350))-K249),1,
ROUNDDOWN(Y249-INDEX(K$4:K1350,MATCH(LARGE(FILTER(I$4:I1350,I$4:I1350&lt;=W249),1),I$4:I1350))-(W249-LARGE(FILTER(I$4:I"&amp;"1350,I$4:I1350&lt;=W249),1))*INDEX(F$4:F1350,MATCH(LARGE(FILTER(I$4:I1350,I$4:I1350&lt;=W249),1),I$4:I1350))))"),1.6198681E7)</f>
        <v>16198681</v>
      </c>
      <c r="N249" s="60">
        <f t="shared" si="8"/>
        <v>-152.24623</v>
      </c>
      <c r="O249" s="61" t="str">
        <f t="shared" si="9"/>
        <v>16,2M</v>
      </c>
      <c r="P249" s="56">
        <f t="shared" si="10"/>
        <v>5</v>
      </c>
      <c r="Q249" s="105" t="s">
        <v>64</v>
      </c>
      <c r="R249" s="10" t="b">
        <f>IFERROR(__xludf.DUMMYFUNCTION("IF(COUNTA(Q249:Q1350)=0,"""",IF(ISBLANK(Q249),FALSE,IF(NOT(COUNTIF($AA$24:$AA$34,SUBSTITUTE(Q249,""Sell_"",""""))),1,IF(REGEXMATCH(Q249,""Sell_""),IF(COUNTIF(Q$4:Q249,SUBSTITUTE(Q249,""Sell_"",""""))-COUNTIF(Q$4:Q248,Q249)&lt;1,1),FALSE))))"),FALSE)</f>
        <v>0</v>
      </c>
      <c r="S249" s="59">
        <f t="array" ref="S249">IF(COUNTA(Q249:Q1350)=0,"",SUM((COUNTIF(Q$4:Q249,Upgrades!$B$3:$B$13)-COUNTIF(Q$4:Q249,"Sell_"&amp;Upgrades!$B$3:$B$13))*Upgrades!$D$3:$D$13))</f>
        <v>73571</v>
      </c>
      <c r="T249" s="66">
        <f>IFERROR(__xludf.DUMMYFUNCTION("IF(COUNTA(Q249:Q1350)=0,"""",IF(REGEXMATCH(INDEX(FILTER(Q$4:Q249,Q$4:Q249&lt;&gt;""""),ROWS(FILTER(Q$4:Q249,Q$4:Q249&lt;&gt;""""))),""^Sell_""),INDEX(FILTER(T$4:T248,Q$4:Q248&lt;&gt;""""),ROWS(FILTER(Q$4:Q248,Q$4:Q248&lt;&gt;""""))),$AD$5+S249))"),113441.0)</f>
        <v>113441</v>
      </c>
      <c r="U249" s="10">
        <f>IFERROR(__xludf.DUMMYFUNCTION("IF(COUNTA(Q249:Q1350)=0,"""",IF(Q249="""",0,IF(REGEXMATCH(Q249,""^Sell_""),-ROUNDDOWN(ROUNDUP(INDEX(Upgrades!$C$3:$C$13,MATCH(SUBSTITUTE(Q249,""Sell_"",""""),Upgrades!$B$3:$B$13,0))*1.15^(COUNTIF(Q$4:Q248,SUBSTITUTE(Q249,""Sell_"",""""))-COUNTIF(Q$4:Q248,"&amp;"""Sell_""&amp;SUBSTITUTE(Q249,""Sell_"",""""))))/2),ROUNDUP(INDEX(Upgrades!$C$3:$C$13,MATCH(Q249,Upgrades!$B$3:$B$13,0))*1.15^(COUNTIF(Q$4:Q248,Q249)-COUNTIF(Q$4:Q248,""Sell_""&amp;Q249))))))"),-4458540.0)</f>
        <v>-4458540</v>
      </c>
      <c r="V249" s="10">
        <f t="shared" si="11"/>
        <v>-33971810</v>
      </c>
      <c r="W249" s="68">
        <f t="shared" si="12"/>
        <v>3545.704845</v>
      </c>
      <c r="X249" s="59" t="str">
        <f t="shared" si="13"/>
        <v>59m 05s</v>
      </c>
      <c r="Y249" s="69">
        <f t="shared" si="14"/>
        <v>100625440</v>
      </c>
      <c r="Z249" s="11"/>
    </row>
    <row r="250">
      <c r="A250" s="8"/>
      <c r="B250" s="56" t="str">
        <f t="shared" si="2"/>
        <v/>
      </c>
      <c r="C250" s="57"/>
      <c r="D250" s="10" t="str">
        <f>IFERROR(__xludf.DUMMYFUNCTION("IF(COUNTA(C250:C1350)=0,"""",IF(ISBLANK(C250),FALSE,IF(NOT(COUNTIF($AA$24:$AA$34,SUBSTITUTE(C250,""Sell_"",""""))),1,IF(REGEXMATCH(C250,""Sell_""),IF(COUNTIF(C$4:C250,SUBSTITUTE(C250,""Sell_"",""""))-COUNTIF(C$4:C249,C250)&lt;1,1),FALSE))))"),"")</f>
        <v/>
      </c>
      <c r="E250" s="59" t="str">
        <f t="array" ref="E250">IF(COUNTA(C250:C1350)=0,"",SUM((COUNTIF(C$4:C250,Upgrades!$B$3:$B$13)-COUNTIF(C$4:C250,"Sell_"&amp;Upgrades!$B$3:$B$13))*Upgrades!$D$3:$D$13))</f>
        <v/>
      </c>
      <c r="F250" s="66" t="str">
        <f>IFERROR(__xludf.DUMMYFUNCTION("IF(COUNTA(C250:C1350)=0,"""",IF(REGEXMATCH(INDEX(FILTER(C$4:C250,C$4:C250&lt;&gt;""""),ROWS(FILTER(C$4:C250,C$4:C250&lt;&gt;""""))),""^Sell_""),INDEX(FILTER(F$4:F249,C$4:C249&lt;&gt;""""),ROWS(FILTER(C$4:C249,C$4:C249&lt;&gt;""""))),$AC$5+E250))"),"")</f>
        <v/>
      </c>
      <c r="G250" s="10" t="str">
        <f>IFERROR(__xludf.DUMMYFUNCTION("IF(COUNTA(C250:C1350)=0,"""",IF(C250="""",0,IF(REGEXMATCH(C250,""^Sell_""),-ROUNDDOWN(ROUNDUP(INDEX(Upgrades!$C$3:$C$13,MATCH(SUBSTITUTE(C250,""Sell_"",""""),Upgrades!$B$3:$B$13,0))*1.15^(COUNTIF(C$4:C249,SUBSTITUTE(C250,""Sell_"",""""))-COUNTIF(C$4:C249,"&amp;"""Sell_""&amp;SUBSTITUTE(C250,""Sell_"",""""))))/2),ROUNDUP(INDEX(Upgrades!$C$3:$C$13,MATCH(C250,Upgrades!$B$3:$B$13,0))*1.15^(COUNTIF(C$4:C249,C250)-COUNTIF(C$4:C249,""Sell_""&amp;C250))))))"),"")</f>
        <v/>
      </c>
      <c r="H250" s="10" t="str">
        <f t="shared" si="3"/>
        <v/>
      </c>
      <c r="I250" s="68" t="str">
        <f t="shared" si="4"/>
        <v/>
      </c>
      <c r="J250" s="59" t="str">
        <f t="shared" si="5"/>
        <v/>
      </c>
      <c r="K250" s="69" t="str">
        <f t="shared" si="6"/>
        <v/>
      </c>
      <c r="L250" s="60">
        <f t="shared" si="7"/>
        <v>-152.24623</v>
      </c>
      <c r="M250" s="61">
        <f>IFERROR(__xludf.DUMMYFUNCTION("IFS(AND(COUNTA(C250:C1350)=0,COUNTA(Q250:Q1350)=0),"""",OR(AND(K250&gt;=1000000000,OR(Y250&gt;=1000000000,COUNTA(Q250:Q1350)=0)),OR(Y250&gt;=1000000000,AND(COUNTA(C250:C1350)=0,P$3=TRUE))),
ROUNDDOWN((AB$1-AC$1)*MAX(INDEX(T$4:T1350,MATCH(LARGE(FILTER(Y$4:Y1350,Y$4"&amp;":Y1350&lt;1000000000),1),Y$4:Y1350)),INDEX(F$4:F1350,MATCH(LARGE(FILTER(K$4:K1350,K$4:K1350&lt;1000000000),1),K$4:K1350)))),AND(K250&lt;1000000000,COUNTA(C250:C1350)&gt;0,P$3=FALSE),
ROUNDDOWN(INDEX(Y$4:Y1350,MATCH(LARGE(FILTER(W$4:W1350,W$4:W1350&lt;=I250),1),W$4:W1350"&amp;"))+(I250-LARGE(FILTER(W$4:W1350,W$4:W1350&lt;=I250),1))*INDEX(T$4:T1350,MATCH(LARGE(FILTER(W$4:W1350,W$4:W1350&lt;=I250),1),W$4:W1350))-K250),1,
ROUNDDOWN(Y250-INDEX(K$4:K1350,MATCH(LARGE(FILTER(I$4:I1350,I$4:I1350&lt;=W250),1),I$4:I1350))-(W250-LARGE(FILTER(I$4:I"&amp;"1350,I$4:I1350&lt;=W250),1))*INDEX(F$4:F1350,MATCH(LARGE(FILTER(I$4:I1350,I$4:I1350&lt;=W250),1),I$4:I1350))))"),1.6198681E7)</f>
        <v>16198681</v>
      </c>
      <c r="N250" s="60">
        <f t="shared" si="8"/>
        <v>-152.24623</v>
      </c>
      <c r="O250" s="61" t="str">
        <f t="shared" si="9"/>
        <v>16,2M</v>
      </c>
      <c r="P250" s="56">
        <f t="shared" si="10"/>
        <v>6</v>
      </c>
      <c r="Q250" s="105" t="s">
        <v>64</v>
      </c>
      <c r="R250" s="10" t="b">
        <f>IFERROR(__xludf.DUMMYFUNCTION("IF(COUNTA(Q250:Q1350)=0,"""",IF(ISBLANK(Q250),FALSE,IF(NOT(COUNTIF($AA$24:$AA$34,SUBSTITUTE(Q250,""Sell_"",""""))),1,IF(REGEXMATCH(Q250,""Sell_""),IF(COUNTIF(Q$4:Q250,SUBSTITUTE(Q250,""Sell_"",""""))-COUNTIF(Q$4:Q249,Q250)&lt;1,1),FALSE))))"),FALSE)</f>
        <v>0</v>
      </c>
      <c r="S250" s="59">
        <f t="array" ref="S250">IF(COUNTA(Q250:Q1350)=0,"",SUM((COUNTIF(Q$4:Q250,Upgrades!$B$3:$B$13)-COUNTIF(Q$4:Q250,"Sell_"&amp;Upgrades!$B$3:$B$13))*Upgrades!$D$3:$D$13))</f>
        <v>66905</v>
      </c>
      <c r="T250" s="66">
        <f>IFERROR(__xludf.DUMMYFUNCTION("IF(COUNTA(Q250:Q1350)=0,"""",IF(REGEXMATCH(INDEX(FILTER(Q$4:Q250,Q$4:Q250&lt;&gt;""""),ROWS(FILTER(Q$4:Q250,Q$4:Q250&lt;&gt;""""))),""^Sell_""),INDEX(FILTER(T$4:T249,Q$4:Q249&lt;&gt;""""),ROWS(FILTER(Q$4:Q249,Q$4:Q249&lt;&gt;""""))),$AD$5+S250))"),113441.0)</f>
        <v>113441</v>
      </c>
      <c r="U250" s="10">
        <f>IFERROR(__xludf.DUMMYFUNCTION("IF(COUNTA(Q250:Q1350)=0,"""",IF(Q250="""",0,IF(REGEXMATCH(Q250,""^Sell_""),-ROUNDDOWN(ROUNDUP(INDEX(Upgrades!$C$3:$C$13,MATCH(SUBSTITUTE(Q250,""Sell_"",""""),Upgrades!$B$3:$B$13,0))*1.15^(COUNTIF(Q$4:Q249,SUBSTITUTE(Q250,""Sell_"",""""))-COUNTIF(Q$4:Q249,"&amp;"""Sell_""&amp;SUBSTITUTE(Q250,""Sell_"",""""))))/2),ROUNDUP(INDEX(Upgrades!$C$3:$C$13,MATCH(Q250,Upgrades!$B$3:$B$13,0))*1.15^(COUNTIF(Q$4:Q249,Q250)-COUNTIF(Q$4:Q249,""Sell_""&amp;Q250))))))"),-3876991.0)</f>
        <v>-3876991</v>
      </c>
      <c r="V250" s="10">
        <f t="shared" si="11"/>
        <v>-37848801</v>
      </c>
      <c r="W250" s="68">
        <f t="shared" si="12"/>
        <v>3545.704845</v>
      </c>
      <c r="X250" s="59" t="str">
        <f t="shared" si="13"/>
        <v>59m 05s</v>
      </c>
      <c r="Y250" s="69">
        <f t="shared" si="14"/>
        <v>100625440</v>
      </c>
      <c r="Z250" s="11"/>
    </row>
    <row r="251">
      <c r="A251" s="8"/>
      <c r="B251" s="56" t="str">
        <f t="shared" si="2"/>
        <v/>
      </c>
      <c r="C251" s="57"/>
      <c r="D251" s="10" t="str">
        <f>IFERROR(__xludf.DUMMYFUNCTION("IF(COUNTA(C251:C1350)=0,"""",IF(ISBLANK(C251),FALSE,IF(NOT(COUNTIF($AA$24:$AA$34,SUBSTITUTE(C251,""Sell_"",""""))),1,IF(REGEXMATCH(C251,""Sell_""),IF(COUNTIF(C$4:C251,SUBSTITUTE(C251,""Sell_"",""""))-COUNTIF(C$4:C250,C251)&lt;1,1),FALSE))))"),"")</f>
        <v/>
      </c>
      <c r="E251" s="59" t="str">
        <f t="array" ref="E251">IF(COUNTA(C251:C1350)=0,"",SUM((COUNTIF(C$4:C251,Upgrades!$B$3:$B$13)-COUNTIF(C$4:C251,"Sell_"&amp;Upgrades!$B$3:$B$13))*Upgrades!$D$3:$D$13))</f>
        <v/>
      </c>
      <c r="F251" s="66" t="str">
        <f>IFERROR(__xludf.DUMMYFUNCTION("IF(COUNTA(C251:C1350)=0,"""",IF(REGEXMATCH(INDEX(FILTER(C$4:C251,C$4:C251&lt;&gt;""""),ROWS(FILTER(C$4:C251,C$4:C251&lt;&gt;""""))),""^Sell_""),INDEX(FILTER(F$4:F250,C$4:C250&lt;&gt;""""),ROWS(FILTER(C$4:C250,C$4:C250&lt;&gt;""""))),$AC$5+E251))"),"")</f>
        <v/>
      </c>
      <c r="G251" s="10" t="str">
        <f>IFERROR(__xludf.DUMMYFUNCTION("IF(COUNTA(C251:C1350)=0,"""",IF(C251="""",0,IF(REGEXMATCH(C251,""^Sell_""),-ROUNDDOWN(ROUNDUP(INDEX(Upgrades!$C$3:$C$13,MATCH(SUBSTITUTE(C251,""Sell_"",""""),Upgrades!$B$3:$B$13,0))*1.15^(COUNTIF(C$4:C250,SUBSTITUTE(C251,""Sell_"",""""))-COUNTIF(C$4:C250,"&amp;"""Sell_""&amp;SUBSTITUTE(C251,""Sell_"",""""))))/2),ROUNDUP(INDEX(Upgrades!$C$3:$C$13,MATCH(C251,Upgrades!$B$3:$B$13,0))*1.15^(COUNTIF(C$4:C250,C251)-COUNTIF(C$4:C250,""Sell_""&amp;C251))))))"),"")</f>
        <v/>
      </c>
      <c r="H251" s="10" t="str">
        <f t="shared" si="3"/>
        <v/>
      </c>
      <c r="I251" s="68" t="str">
        <f t="shared" si="4"/>
        <v/>
      </c>
      <c r="J251" s="59" t="str">
        <f t="shared" si="5"/>
        <v/>
      </c>
      <c r="K251" s="69" t="str">
        <f t="shared" si="6"/>
        <v/>
      </c>
      <c r="L251" s="60">
        <f t="shared" si="7"/>
        <v>-149.72536</v>
      </c>
      <c r="M251" s="61">
        <f>IFERROR(__xludf.DUMMYFUNCTION("IFS(AND(COUNTA(C251:C1350)=0,COUNTA(Q251:Q1350)=0),"""",OR(AND(K251&gt;=1000000000,OR(Y251&gt;=1000000000,COUNTA(Q251:Q1350)=0)),OR(Y251&gt;=1000000000,AND(COUNTA(C251:C1350)=0,P$3=TRUE))),
ROUNDDOWN((AB$1-AC$1)*MAX(INDEX(T$4:T1350,MATCH(LARGE(FILTER(Y$4:Y1350,Y$4"&amp;":Y1350&lt;1000000000),1),Y$4:Y1350)),INDEX(F$4:F1350,MATCH(LARGE(FILTER(K$4:K1350,K$4:K1350&lt;1000000000),1),K$4:K1350)))),AND(K251&lt;1000000000,COUNTA(C251:C1350)&gt;0,P$3=FALSE),
ROUNDDOWN(INDEX(Y$4:Y1350,MATCH(LARGE(FILTER(W$4:W1350,W$4:W1350&lt;=I251),1),W$4:W1350"&amp;"))+(I251-LARGE(FILTER(W$4:W1350,W$4:W1350&lt;=I251),1))*INDEX(T$4:T1350,MATCH(LARGE(FILTER(W$4:W1350,W$4:W1350&lt;=I251),1),W$4:W1350))-K251),1,
ROUNDDOWN(Y251-INDEX(K$4:K1350,MATCH(LARGE(FILTER(I$4:I1350,I$4:I1350&lt;=W251),1),I$4:I1350))-(W251-LARGE(FILTER(I$4:I"&amp;"1350,I$4:I1350&lt;=W251),1))*INDEX(F$4:F1350,MATCH(LARGE(FILTER(I$4:I1350,I$4:I1350&lt;=W251),1),I$4:I1350))))"),1.7044061E7)</f>
        <v>17044061</v>
      </c>
      <c r="N251" s="60">
        <f t="shared" si="8"/>
        <v>-149.72536</v>
      </c>
      <c r="O251" s="61" t="str">
        <f t="shared" si="9"/>
        <v>17,0M</v>
      </c>
      <c r="P251" s="56">
        <f t="shared" si="10"/>
        <v>1</v>
      </c>
      <c r="Q251" s="105" t="s">
        <v>11</v>
      </c>
      <c r="R251" s="10" t="b">
        <f>IFERROR(__xludf.DUMMYFUNCTION("IF(COUNTA(Q251:Q1350)=0,"""",IF(ISBLANK(Q251),FALSE,IF(NOT(COUNTIF($AA$24:$AA$34,SUBSTITUTE(Q251,""Sell_"",""""))),1,IF(REGEXMATCH(Q251,""Sell_""),IF(COUNTIF(Q$4:Q251,SUBSTITUTE(Q251,""Sell_"",""""))-COUNTIF(Q$4:Q250,Q251)&lt;1,1),FALSE))))"),FALSE)</f>
        <v>0</v>
      </c>
      <c r="S251" s="59">
        <f t="array" ref="S251">IF(COUNTA(Q251:Q1350)=0,"",SUM((COUNTIF(Q$4:Q251,Upgrades!$B$3:$B$13)-COUNTIF(Q$4:Q251,"Sell_"&amp;Upgrades!$B$3:$B$13))*Upgrades!$D$3:$D$13))</f>
        <v>165670</v>
      </c>
      <c r="T251" s="66">
        <f>IFERROR(__xludf.DUMMYFUNCTION("IF(COUNTA(Q251:Q1350)=0,"""",IF(REGEXMATCH(INDEX(FILTER(Q$4:Q251,Q$4:Q251&lt;&gt;""""),ROWS(FILTER(Q$4:Q251,Q$4:Q251&lt;&gt;""""))),""^Sell_""),INDEX(FILTER(T$4:T250,Q$4:Q250&lt;&gt;""""),ROWS(FILTER(Q$4:Q250,Q$4:Q250&lt;&gt;""""))),$AD$5+S251))"),165870.0)</f>
        <v>165870</v>
      </c>
      <c r="U251" s="10">
        <f>IFERROR(__xludf.DUMMYFUNCTION("IF(COUNTA(Q251:Q1350)=0,"""",IF(Q251="""",0,IF(REGEXMATCH(Q251,""^Sell_""),-ROUNDDOWN(ROUNDUP(INDEX(Upgrades!$C$3:$C$13,MATCH(SUBSTITUTE(Q251,""Sell_"",""""),Upgrades!$B$3:$B$13,0))*1.15^(COUNTIF(Q$4:Q250,SUBSTITUTE(Q251,""Sell_"",""""))-COUNTIF(Q$4:Q250,"&amp;"""Sell_""&amp;SUBSTITUTE(Q251,""Sell_"",""""))))/2),ROUNDUP(INDEX(Upgrades!$C$3:$C$13,MATCH(Q251,Upgrades!$B$3:$B$13,0))*1.15^(COUNTIF(Q$4:Q250,Q251)-COUNTIF(Q$4:Q250,""Sell_""&amp;Q251))))))"),1.23456789E8)</f>
        <v>123456789</v>
      </c>
      <c r="V251" s="10">
        <f t="shared" si="11"/>
        <v>85607988</v>
      </c>
      <c r="W251" s="68">
        <f t="shared" si="12"/>
        <v>4300.35253</v>
      </c>
      <c r="X251" s="59" t="str">
        <f t="shared" si="13"/>
        <v>1h 11m 40s</v>
      </c>
      <c r="Y251" s="69">
        <f t="shared" si="14"/>
        <v>186233428</v>
      </c>
      <c r="Z251" s="11"/>
    </row>
    <row r="252">
      <c r="A252" s="8"/>
      <c r="B252" s="56" t="str">
        <f t="shared" si="2"/>
        <v/>
      </c>
      <c r="C252" s="57"/>
      <c r="D252" s="10" t="str">
        <f>IFERROR(__xludf.DUMMYFUNCTION("IF(COUNTA(C252:C1350)=0,"""",IF(ISBLANK(C252),FALSE,IF(NOT(COUNTIF($AA$24:$AA$34,SUBSTITUTE(C252,""Sell_"",""""))),1,IF(REGEXMATCH(C252,""Sell_""),IF(COUNTIF(C$4:C252,SUBSTITUTE(C252,""Sell_"",""""))-COUNTIF(C$4:C251,C252)&lt;1,1),FALSE))))"),"")</f>
        <v/>
      </c>
      <c r="E252" s="59" t="str">
        <f t="array" ref="E252">IF(COUNTA(C252:C1350)=0,"",SUM((COUNTIF(C$4:C252,Upgrades!$B$3:$B$13)-COUNTIF(C$4:C252,"Sell_"&amp;Upgrades!$B$3:$B$13))*Upgrades!$D$3:$D$13))</f>
        <v/>
      </c>
      <c r="F252" s="66" t="str">
        <f>IFERROR(__xludf.DUMMYFUNCTION("IF(COUNTA(C252:C1350)=0,"""",IF(REGEXMATCH(INDEX(FILTER(C$4:C252,C$4:C252&lt;&gt;""""),ROWS(FILTER(C$4:C252,C$4:C252&lt;&gt;""""))),""^Sell_""),INDEX(FILTER(F$4:F251,C$4:C251&lt;&gt;""""),ROWS(FILTER(C$4:C251,C$4:C251&lt;&gt;""""))),$AC$5+E252))"),"")</f>
        <v/>
      </c>
      <c r="G252" s="10" t="str">
        <f>IFERROR(__xludf.DUMMYFUNCTION("IF(COUNTA(C252:C1350)=0,"""",IF(C252="""",0,IF(REGEXMATCH(C252,""^Sell_""),-ROUNDDOWN(ROUNDUP(INDEX(Upgrades!$C$3:$C$13,MATCH(SUBSTITUTE(C252,""Sell_"",""""),Upgrades!$B$3:$B$13,0))*1.15^(COUNTIF(C$4:C251,SUBSTITUTE(C252,""Sell_"",""""))-COUNTIF(C$4:C251,"&amp;"""Sell_""&amp;SUBSTITUTE(C252,""Sell_"",""""))))/2),ROUNDUP(INDEX(Upgrades!$C$3:$C$13,MATCH(C252,Upgrades!$B$3:$B$13,0))*1.15^(COUNTIF(C$4:C251,C252)-COUNTIF(C$4:C251,""Sell_""&amp;C252))))))"),"")</f>
        <v/>
      </c>
      <c r="H252" s="10" t="str">
        <f t="shared" si="3"/>
        <v/>
      </c>
      <c r="I252" s="68" t="str">
        <f t="shared" si="4"/>
        <v/>
      </c>
      <c r="J252" s="59" t="str">
        <f t="shared" si="5"/>
        <v/>
      </c>
      <c r="K252" s="69" t="str">
        <f t="shared" si="6"/>
        <v/>
      </c>
      <c r="L252" s="60">
        <f t="shared" si="7"/>
        <v>-149.75292</v>
      </c>
      <c r="M252" s="61">
        <f>IFERROR(__xludf.DUMMYFUNCTION("IFS(AND(COUNTA(C252:C1350)=0,COUNTA(Q252:Q1350)=0),"""",OR(AND(K252&gt;=1000000000,OR(Y252&gt;=1000000000,COUNTA(Q252:Q1350)=0)),OR(Y252&gt;=1000000000,AND(COUNTA(C252:C1350)=0,P$3=TRUE))),
ROUNDDOWN((AB$1-AC$1)*MAX(INDEX(T$4:T1350,MATCH(LARGE(FILTER(Y$4:Y1350,Y$4"&amp;":Y1350&lt;1000000000),1),Y$4:Y1350)),INDEX(F$4:F1350,MATCH(LARGE(FILTER(K$4:K1350,K$4:K1350&lt;1000000000),1),K$4:K1350)))),AND(K252&lt;1000000000,COUNTA(C252:C1350)&gt;0,P$3=FALSE),
ROUNDDOWN(INDEX(Y$4:Y1350,MATCH(LARGE(FILTER(W$4:W1350,W$4:W1350&lt;=I252),1),W$4:W1350"&amp;"))+(I252-LARGE(FILTER(W$4:W1350,W$4:W1350&lt;=I252),1))*INDEX(T$4:T1350,MATCH(LARGE(FILTER(W$4:W1350,W$4:W1350&lt;=I252),1),W$4:W1350))-K252),1,
ROUNDDOWN(Y252-INDEX(K$4:K1350,MATCH(LARGE(FILTER(I$4:I1350,I$4:I1350&lt;=W252),1),I$4:I1350))-(W252-LARGE(FILTER(I$4:I"&amp;"1350,I$4:I1350&lt;=W252),1))*INDEX(F$4:F1350,MATCH(LARGE(FILTER(I$4:I1350,I$4:I1350&lt;=W252),1),I$4:I1350))))"),1.7047198E7)</f>
        <v>17047198</v>
      </c>
      <c r="N252" s="60">
        <f t="shared" si="8"/>
        <v>-149.75292</v>
      </c>
      <c r="O252" s="61" t="str">
        <f t="shared" si="9"/>
        <v>17,0M</v>
      </c>
      <c r="P252" s="56">
        <f t="shared" si="10"/>
        <v>1</v>
      </c>
      <c r="Q252" s="105" t="s">
        <v>7</v>
      </c>
      <c r="R252" s="10" t="b">
        <f>IFERROR(__xludf.DUMMYFUNCTION("IF(COUNTA(Q252:Q1350)=0,"""",IF(ISBLANK(Q252),FALSE,IF(NOT(COUNTIF($AA$24:$AA$34,SUBSTITUTE(Q252,""Sell_"",""""))),1,IF(REGEXMATCH(Q252,""Sell_""),IF(COUNTIF(Q$4:Q252,SUBSTITUTE(Q252,""Sell_"",""""))-COUNTIF(Q$4:Q251,Q252)&lt;1,1),FALSE))))"),FALSE)</f>
        <v>0</v>
      </c>
      <c r="S252" s="59">
        <f t="array" ref="S252">IF(COUNTA(Q252:Q1350)=0,"",SUM((COUNTIF(Q$4:Q252,Upgrades!$B$3:$B$13)-COUNTIF(Q$4:Q252,"Sell_"&amp;Upgrades!$B$3:$B$13))*Upgrades!$D$3:$D$13))</f>
        <v>165710</v>
      </c>
      <c r="T252" s="66">
        <f>IFERROR(__xludf.DUMMYFUNCTION("IF(COUNTA(Q252:Q1350)=0,"""",IF(REGEXMATCH(INDEX(FILTER(Q$4:Q252,Q$4:Q252&lt;&gt;""""),ROWS(FILTER(Q$4:Q252,Q$4:Q252&lt;&gt;""""))),""^Sell_""),INDEX(FILTER(T$4:T251,Q$4:Q251&lt;&gt;""""),ROWS(FILTER(Q$4:Q251,Q$4:Q251&lt;&gt;""""))),$AD$5+S252))"),165910.0)</f>
        <v>165910</v>
      </c>
      <c r="U252" s="10">
        <f>IFERROR(__xludf.DUMMYFUNCTION("IF(COUNTA(Q252:Q1350)=0,"""",IF(Q252="""",0,IF(REGEXMATCH(Q252,""^Sell_""),-ROUNDDOWN(ROUNDUP(INDEX(Upgrades!$C$3:$C$13,MATCH(SUBSTITUTE(Q252,""Sell_"",""""),Upgrades!$B$3:$B$13,0))*1.15^(COUNTIF(Q$4:Q251,SUBSTITUTE(Q252,""Sell_"",""""))-COUNTIF(Q$4:Q251,"&amp;"""Sell_""&amp;SUBSTITUTE(Q252,""Sell_"",""""))))/2),ROUNDUP(INDEX(Upgrades!$C$3:$C$13,MATCH(Q252,Upgrades!$B$3:$B$13,0))*1.15^(COUNTIF(Q$4:Q251,Q252)-COUNTIF(Q$4:Q251,""Sell_""&amp;Q252))))))"),10000.0)</f>
        <v>10000</v>
      </c>
      <c r="V252" s="10">
        <f t="shared" si="11"/>
        <v>10000</v>
      </c>
      <c r="W252" s="68">
        <f t="shared" si="12"/>
        <v>4300.412818</v>
      </c>
      <c r="X252" s="59" t="str">
        <f t="shared" si="13"/>
        <v>1h 11m 40s</v>
      </c>
      <c r="Y252" s="69">
        <f t="shared" si="14"/>
        <v>186243428</v>
      </c>
      <c r="Z252" s="11"/>
    </row>
    <row r="253">
      <c r="A253" s="8"/>
      <c r="B253" s="56" t="str">
        <f t="shared" si="2"/>
        <v/>
      </c>
      <c r="C253" s="57"/>
      <c r="D253" s="10" t="str">
        <f>IFERROR(__xludf.DUMMYFUNCTION("IF(COUNTA(C253:C1350)=0,"""",IF(ISBLANK(C253),FALSE,IF(NOT(COUNTIF($AA$24:$AA$34,SUBSTITUTE(C253,""Sell_"",""""))),1,IF(REGEXMATCH(C253,""Sell_""),IF(COUNTIF(C$4:C253,SUBSTITUTE(C253,""Sell_"",""""))-COUNTIF(C$4:C252,C253)&lt;1,1),FALSE))))"),"")</f>
        <v/>
      </c>
      <c r="E253" s="59" t="str">
        <f t="array" ref="E253">IF(COUNTA(C253:C1350)=0,"",SUM((COUNTIF(C$4:C253,Upgrades!$B$3:$B$13)-COUNTIF(C$4:C253,"Sell_"&amp;Upgrades!$B$3:$B$13))*Upgrades!$D$3:$D$13))</f>
        <v/>
      </c>
      <c r="F253" s="66" t="str">
        <f>IFERROR(__xludf.DUMMYFUNCTION("IF(COUNTA(C253:C1350)=0,"""",IF(REGEXMATCH(INDEX(FILTER(C$4:C253,C$4:C253&lt;&gt;""""),ROWS(FILTER(C$4:C253,C$4:C253&lt;&gt;""""))),""^Sell_""),INDEX(FILTER(F$4:F252,C$4:C252&lt;&gt;""""),ROWS(FILTER(C$4:C252,C$4:C252&lt;&gt;""""))),$AC$5+E253))"),"")</f>
        <v/>
      </c>
      <c r="G253" s="10" t="str">
        <f>IFERROR(__xludf.DUMMYFUNCTION("IF(COUNTA(C253:C1350)=0,"""",IF(C253="""",0,IF(REGEXMATCH(C253,""^Sell_""),-ROUNDDOWN(ROUNDUP(INDEX(Upgrades!$C$3:$C$13,MATCH(SUBSTITUTE(C253,""Sell_"",""""),Upgrades!$B$3:$B$13,0))*1.15^(COUNTIF(C$4:C252,SUBSTITUTE(C253,""Sell_"",""""))-COUNTIF(C$4:C252,"&amp;"""Sell_""&amp;SUBSTITUTE(C253,""Sell_"",""""))))/2),ROUNDUP(INDEX(Upgrades!$C$3:$C$13,MATCH(C253,Upgrades!$B$3:$B$13,0))*1.15^(COUNTIF(C$4:C252,C253)-COUNTIF(C$4:C252,""Sell_""&amp;C253))))))"),"")</f>
        <v/>
      </c>
      <c r="H253" s="10" t="str">
        <f t="shared" si="3"/>
        <v/>
      </c>
      <c r="I253" s="68" t="str">
        <f t="shared" si="4"/>
        <v/>
      </c>
      <c r="J253" s="59" t="str">
        <f t="shared" si="5"/>
        <v/>
      </c>
      <c r="K253" s="69" t="str">
        <f t="shared" si="6"/>
        <v/>
      </c>
      <c r="L253" s="60">
        <f t="shared" si="7"/>
        <v>-149.78463</v>
      </c>
      <c r="M253" s="61">
        <f>IFERROR(__xludf.DUMMYFUNCTION("IFS(AND(COUNTA(C253:C1350)=0,COUNTA(Q253:Q1350)=0),"""",OR(AND(K253&gt;=1000000000,OR(Y253&gt;=1000000000,COUNTA(Q253:Q1350)=0)),OR(Y253&gt;=1000000000,AND(COUNTA(C253:C1350)=0,P$3=TRUE))),
ROUNDDOWN((AB$1-AC$1)*MAX(INDEX(T$4:T1350,MATCH(LARGE(FILTER(Y$4:Y1350,Y$4"&amp;":Y1350&lt;1000000000),1),Y$4:Y1350)),INDEX(F$4:F1350,MATCH(LARGE(FILTER(K$4:K1350,K$4:K1350&lt;1000000000),1),K$4:K1350)))),AND(K253&lt;1000000000,COUNTA(C253:C1350)&gt;0,P$3=FALSE),
ROUNDDOWN(INDEX(Y$4:Y1350,MATCH(LARGE(FILTER(W$4:W1350,W$4:W1350&lt;=I253),1),W$4:W1350"&amp;"))+(I253-LARGE(FILTER(W$4:W1350,W$4:W1350&lt;=I253),1))*INDEX(T$4:T1350,MATCH(LARGE(FILTER(W$4:W1350,W$4:W1350&lt;=I253),1),W$4:W1350))-K253),1,
ROUNDDOWN(Y253-INDEX(K$4:K1350,MATCH(LARGE(FILTER(I$4:I1350,I$4:I1350&lt;=W253),1),I$4:I1350))-(W253-LARGE(FILTER(I$4:I"&amp;"1350,I$4:I1350&lt;=W253),1))*INDEX(F$4:F1350,MATCH(LARGE(FILTER(I$4:I1350,I$4:I1350&lt;=W253),1),I$4:I1350))))"),1.7050808E7)</f>
        <v>17050808</v>
      </c>
      <c r="N253" s="60">
        <f t="shared" si="8"/>
        <v>-149.78463</v>
      </c>
      <c r="O253" s="61" t="str">
        <f t="shared" si="9"/>
        <v>17,1M</v>
      </c>
      <c r="P253" s="56">
        <f t="shared" si="10"/>
        <v>2</v>
      </c>
      <c r="Q253" s="105" t="s">
        <v>7</v>
      </c>
      <c r="R253" s="10" t="b">
        <f>IFERROR(__xludf.DUMMYFUNCTION("IF(COUNTA(Q253:Q1350)=0,"""",IF(ISBLANK(Q253),FALSE,IF(NOT(COUNTIF($AA$24:$AA$34,SUBSTITUTE(Q253,""Sell_"",""""))),1,IF(REGEXMATCH(Q253,""Sell_""),IF(COUNTIF(Q$4:Q253,SUBSTITUTE(Q253,""Sell_"",""""))-COUNTIF(Q$4:Q252,Q253)&lt;1,1),FALSE))))"),FALSE)</f>
        <v>0</v>
      </c>
      <c r="S253" s="59">
        <f t="array" ref="S253">IF(COUNTA(Q253:Q1350)=0,"",SUM((COUNTIF(Q$4:Q253,Upgrades!$B$3:$B$13)-COUNTIF(Q$4:Q253,"Sell_"&amp;Upgrades!$B$3:$B$13))*Upgrades!$D$3:$D$13))</f>
        <v>165750</v>
      </c>
      <c r="T253" s="66">
        <f>IFERROR(__xludf.DUMMYFUNCTION("IF(COUNTA(Q253:Q1350)=0,"""",IF(REGEXMATCH(INDEX(FILTER(Q$4:Q253,Q$4:Q253&lt;&gt;""""),ROWS(FILTER(Q$4:Q253,Q$4:Q253&lt;&gt;""""))),""^Sell_""),INDEX(FILTER(T$4:T252,Q$4:Q252&lt;&gt;""""),ROWS(FILTER(Q$4:Q252,Q$4:Q252&lt;&gt;""""))),$AD$5+S253))"),165950.0)</f>
        <v>165950</v>
      </c>
      <c r="U253" s="10">
        <f>IFERROR(__xludf.DUMMYFUNCTION("IF(COUNTA(Q253:Q1350)=0,"""",IF(Q253="""",0,IF(REGEXMATCH(Q253,""^Sell_""),-ROUNDDOWN(ROUNDUP(INDEX(Upgrades!$C$3:$C$13,MATCH(SUBSTITUTE(Q253,""Sell_"",""""),Upgrades!$B$3:$B$13,0))*1.15^(COUNTIF(Q$4:Q252,SUBSTITUTE(Q253,""Sell_"",""""))-COUNTIF(Q$4:Q252,"&amp;"""Sell_""&amp;SUBSTITUTE(Q253,""Sell_"",""""))))/2),ROUNDUP(INDEX(Upgrades!$C$3:$C$13,MATCH(Q253,Upgrades!$B$3:$B$13,0))*1.15^(COUNTIF(Q$4:Q252,Q253)-COUNTIF(Q$4:Q252,""Sell_""&amp;Q253))))))"),11500.0)</f>
        <v>11500</v>
      </c>
      <c r="V253" s="10">
        <f t="shared" si="11"/>
        <v>11500</v>
      </c>
      <c r="W253" s="68">
        <f t="shared" si="12"/>
        <v>4300.482133</v>
      </c>
      <c r="X253" s="59" t="str">
        <f t="shared" si="13"/>
        <v>1h 11m 40s</v>
      </c>
      <c r="Y253" s="69">
        <f t="shared" si="14"/>
        <v>186254928</v>
      </c>
      <c r="Z253" s="11"/>
    </row>
    <row r="254">
      <c r="A254" s="8"/>
      <c r="B254" s="56" t="str">
        <f t="shared" si="2"/>
        <v/>
      </c>
      <c r="C254" s="57"/>
      <c r="D254" s="10" t="str">
        <f>IFERROR(__xludf.DUMMYFUNCTION("IF(COUNTA(C254:C1350)=0,"""",IF(ISBLANK(C254),FALSE,IF(NOT(COUNTIF($AA$24:$AA$34,SUBSTITUTE(C254,""Sell_"",""""))),1,IF(REGEXMATCH(C254,""Sell_""),IF(COUNTIF(C$4:C254,SUBSTITUTE(C254,""Sell_"",""""))-COUNTIF(C$4:C253,C254)&lt;1,1),FALSE))))"),"")</f>
        <v/>
      </c>
      <c r="E254" s="59" t="str">
        <f t="array" ref="E254">IF(COUNTA(C254:C1350)=0,"",SUM((COUNTIF(C$4:C254,Upgrades!$B$3:$B$13)-COUNTIF(C$4:C254,"Sell_"&amp;Upgrades!$B$3:$B$13))*Upgrades!$D$3:$D$13))</f>
        <v/>
      </c>
      <c r="F254" s="66" t="str">
        <f>IFERROR(__xludf.DUMMYFUNCTION("IF(COUNTA(C254:C1350)=0,"""",IF(REGEXMATCH(INDEX(FILTER(C$4:C254,C$4:C254&lt;&gt;""""),ROWS(FILTER(C$4:C254,C$4:C254&lt;&gt;""""))),""^Sell_""),INDEX(FILTER(F$4:F253,C$4:C253&lt;&gt;""""),ROWS(FILTER(C$4:C253,C$4:C253&lt;&gt;""""))),$AC$5+E254))"),"")</f>
        <v/>
      </c>
      <c r="G254" s="10" t="str">
        <f>IFERROR(__xludf.DUMMYFUNCTION("IF(COUNTA(C254:C1350)=0,"""",IF(C254="""",0,IF(REGEXMATCH(C254,""^Sell_""),-ROUNDDOWN(ROUNDUP(INDEX(Upgrades!$C$3:$C$13,MATCH(SUBSTITUTE(C254,""Sell_"",""""),Upgrades!$B$3:$B$13,0))*1.15^(COUNTIF(C$4:C253,SUBSTITUTE(C254,""Sell_"",""""))-COUNTIF(C$4:C253,"&amp;"""Sell_""&amp;SUBSTITUTE(C254,""Sell_"",""""))))/2),ROUNDUP(INDEX(Upgrades!$C$3:$C$13,MATCH(C254,Upgrades!$B$3:$B$13,0))*1.15^(COUNTIF(C$4:C253,C254)-COUNTIF(C$4:C253,""Sell_""&amp;C254))))))"),"")</f>
        <v/>
      </c>
      <c r="H254" s="10" t="str">
        <f t="shared" si="3"/>
        <v/>
      </c>
      <c r="I254" s="68" t="str">
        <f t="shared" si="4"/>
        <v/>
      </c>
      <c r="J254" s="59" t="str">
        <f t="shared" si="5"/>
        <v/>
      </c>
      <c r="K254" s="69" t="str">
        <f t="shared" si="6"/>
        <v/>
      </c>
      <c r="L254" s="60">
        <f t="shared" si="7"/>
        <v>-149.82111</v>
      </c>
      <c r="M254" s="61">
        <f>IFERROR(__xludf.DUMMYFUNCTION("IFS(AND(COUNTA(C254:C1350)=0,COUNTA(Q254:Q1350)=0),"""",OR(AND(K254&gt;=1000000000,OR(Y254&gt;=1000000000,COUNTA(Q254:Q1350)=0)),OR(Y254&gt;=1000000000,AND(COUNTA(C254:C1350)=0,P$3=TRUE))),
ROUNDDOWN((AB$1-AC$1)*MAX(INDEX(T$4:T1350,MATCH(LARGE(FILTER(Y$4:Y1350,Y$4"&amp;":Y1350&lt;1000000000),1),Y$4:Y1350)),INDEX(F$4:F1350,MATCH(LARGE(FILTER(K$4:K1350,K$4:K1350&lt;1000000000),1),K$4:K1350)))),AND(K254&lt;1000000000,COUNTA(C254:C1350)&gt;0,P$3=FALSE),
ROUNDDOWN(INDEX(Y$4:Y1350,MATCH(LARGE(FILTER(W$4:W1350,W$4:W1350&lt;=I254),1),W$4:W1350"&amp;"))+(I254-LARGE(FILTER(W$4:W1350,W$4:W1350&lt;=I254),1))*INDEX(T$4:T1350,MATCH(LARGE(FILTER(W$4:W1350,W$4:W1350&lt;=I254),1),W$4:W1350))-K254),1,
ROUNDDOWN(Y254-INDEX(K$4:K1350,MATCH(LARGE(FILTER(I$4:I1350,I$4:I1350&lt;=W254),1),I$4:I1350))-(W254-LARGE(FILTER(I$4:I"&amp;"1350,I$4:I1350&lt;=W254),1))*INDEX(F$4:F1350,MATCH(LARGE(FILTER(I$4:I1350,I$4:I1350&lt;=W254),1),I$4:I1350))))"),1.7054961E7)</f>
        <v>17054961</v>
      </c>
      <c r="N254" s="60">
        <f t="shared" si="8"/>
        <v>-149.82111</v>
      </c>
      <c r="O254" s="61" t="str">
        <f t="shared" si="9"/>
        <v>17,1M</v>
      </c>
      <c r="P254" s="56">
        <f t="shared" si="10"/>
        <v>3</v>
      </c>
      <c r="Q254" s="105" t="s">
        <v>7</v>
      </c>
      <c r="R254" s="10" t="b">
        <f>IFERROR(__xludf.DUMMYFUNCTION("IF(COUNTA(Q254:Q1350)=0,"""",IF(ISBLANK(Q254),FALSE,IF(NOT(COUNTIF($AA$24:$AA$34,SUBSTITUTE(Q254,""Sell_"",""""))),1,IF(REGEXMATCH(Q254,""Sell_""),IF(COUNTIF(Q$4:Q254,SUBSTITUTE(Q254,""Sell_"",""""))-COUNTIF(Q$4:Q253,Q254)&lt;1,1),FALSE))))"),FALSE)</f>
        <v>0</v>
      </c>
      <c r="S254" s="59">
        <f t="array" ref="S254">IF(COUNTA(Q254:Q1350)=0,"",SUM((COUNTIF(Q$4:Q254,Upgrades!$B$3:$B$13)-COUNTIF(Q$4:Q254,"Sell_"&amp;Upgrades!$B$3:$B$13))*Upgrades!$D$3:$D$13))</f>
        <v>165790</v>
      </c>
      <c r="T254" s="66">
        <f>IFERROR(__xludf.DUMMYFUNCTION("IF(COUNTA(Q254:Q1350)=0,"""",IF(REGEXMATCH(INDEX(FILTER(Q$4:Q254,Q$4:Q254&lt;&gt;""""),ROWS(FILTER(Q$4:Q254,Q$4:Q254&lt;&gt;""""))),""^Sell_""),INDEX(FILTER(T$4:T253,Q$4:Q253&lt;&gt;""""),ROWS(FILTER(Q$4:Q253,Q$4:Q253&lt;&gt;""""))),$AD$5+S254))"),165990.0)</f>
        <v>165990</v>
      </c>
      <c r="U254" s="10">
        <f>IFERROR(__xludf.DUMMYFUNCTION("IF(COUNTA(Q254:Q1350)=0,"""",IF(Q254="""",0,IF(REGEXMATCH(Q254,""^Sell_""),-ROUNDDOWN(ROUNDUP(INDEX(Upgrades!$C$3:$C$13,MATCH(SUBSTITUTE(Q254,""Sell_"",""""),Upgrades!$B$3:$B$13,0))*1.15^(COUNTIF(Q$4:Q253,SUBSTITUTE(Q254,""Sell_"",""""))-COUNTIF(Q$4:Q253,"&amp;"""Sell_""&amp;SUBSTITUTE(Q254,""Sell_"",""""))))/2),ROUNDUP(INDEX(Upgrades!$C$3:$C$13,MATCH(Q254,Upgrades!$B$3:$B$13,0))*1.15^(COUNTIF(Q$4:Q253,Q254)-COUNTIF(Q$4:Q253,""Sell_""&amp;Q254))))))"),13225.0)</f>
        <v>13225</v>
      </c>
      <c r="V254" s="10">
        <f t="shared" si="11"/>
        <v>13225</v>
      </c>
      <c r="W254" s="68">
        <f t="shared" si="12"/>
        <v>4300.561825</v>
      </c>
      <c r="X254" s="59" t="str">
        <f t="shared" si="13"/>
        <v>1h 11m 40s</v>
      </c>
      <c r="Y254" s="69">
        <f t="shared" si="14"/>
        <v>186268153</v>
      </c>
      <c r="Z254" s="11"/>
    </row>
    <row r="255">
      <c r="A255" s="8"/>
      <c r="B255" s="56" t="str">
        <f t="shared" si="2"/>
        <v/>
      </c>
      <c r="C255" s="57"/>
      <c r="D255" s="10" t="str">
        <f>IFERROR(__xludf.DUMMYFUNCTION("IF(COUNTA(C255:C1350)=0,"""",IF(ISBLANK(C255),FALSE,IF(NOT(COUNTIF($AA$24:$AA$34,SUBSTITUTE(C255,""Sell_"",""""))),1,IF(REGEXMATCH(C255,""Sell_""),IF(COUNTIF(C$4:C255,SUBSTITUTE(C255,""Sell_"",""""))-COUNTIF(C$4:C254,C255)&lt;1,1),FALSE))))"),"")</f>
        <v/>
      </c>
      <c r="E255" s="59" t="str">
        <f t="array" ref="E255">IF(COUNTA(C255:C1350)=0,"",SUM((COUNTIF(C$4:C255,Upgrades!$B$3:$B$13)-COUNTIF(C$4:C255,"Sell_"&amp;Upgrades!$B$3:$B$13))*Upgrades!$D$3:$D$13))</f>
        <v/>
      </c>
      <c r="F255" s="66" t="str">
        <f>IFERROR(__xludf.DUMMYFUNCTION("IF(COUNTA(C255:C1350)=0,"""",IF(REGEXMATCH(INDEX(FILTER(C$4:C255,C$4:C255&lt;&gt;""""),ROWS(FILTER(C$4:C255,C$4:C255&lt;&gt;""""))),""^Sell_""),INDEX(FILTER(F$4:F254,C$4:C254&lt;&gt;""""),ROWS(FILTER(C$4:C254,C$4:C254&lt;&gt;""""))),$AC$5+E255))"),"")</f>
        <v/>
      </c>
      <c r="G255" s="10" t="str">
        <f>IFERROR(__xludf.DUMMYFUNCTION("IF(COUNTA(C255:C1350)=0,"""",IF(C255="""",0,IF(REGEXMATCH(C255,""^Sell_""),-ROUNDDOWN(ROUNDUP(INDEX(Upgrades!$C$3:$C$13,MATCH(SUBSTITUTE(C255,""Sell_"",""""),Upgrades!$B$3:$B$13,0))*1.15^(COUNTIF(C$4:C254,SUBSTITUTE(C255,""Sell_"",""""))-COUNTIF(C$4:C254,"&amp;"""Sell_""&amp;SUBSTITUTE(C255,""Sell_"",""""))))/2),ROUNDUP(INDEX(Upgrades!$C$3:$C$13,MATCH(C255,Upgrades!$B$3:$B$13,0))*1.15^(COUNTIF(C$4:C254,C255)-COUNTIF(C$4:C254,""Sell_""&amp;C255))))))"),"")</f>
        <v/>
      </c>
      <c r="H255" s="10" t="str">
        <f t="shared" si="3"/>
        <v/>
      </c>
      <c r="I255" s="68" t="str">
        <f t="shared" si="4"/>
        <v/>
      </c>
      <c r="J255" s="59" t="str">
        <f t="shared" si="5"/>
        <v/>
      </c>
      <c r="K255" s="69" t="str">
        <f t="shared" si="6"/>
        <v/>
      </c>
      <c r="L255" s="60">
        <f t="shared" si="7"/>
        <v>-149.86309</v>
      </c>
      <c r="M255" s="61">
        <f>IFERROR(__xludf.DUMMYFUNCTION("IFS(AND(COUNTA(C255:C1350)=0,COUNTA(Q255:Q1350)=0),"""",OR(AND(K255&gt;=1000000000,OR(Y255&gt;=1000000000,COUNTA(Q255:Q1350)=0)),OR(Y255&gt;=1000000000,AND(COUNTA(C255:C1350)=0,P$3=TRUE))),
ROUNDDOWN((AB$1-AC$1)*MAX(INDEX(T$4:T1350,MATCH(LARGE(FILTER(Y$4:Y1350,Y$4"&amp;":Y1350&lt;1000000000),1),Y$4:Y1350)),INDEX(F$4:F1350,MATCH(LARGE(FILTER(K$4:K1350,K$4:K1350&lt;1000000000),1),K$4:K1350)))),AND(K255&lt;1000000000,COUNTA(C255:C1350)&gt;0,P$3=FALSE),
ROUNDDOWN(INDEX(Y$4:Y1350,MATCH(LARGE(FILTER(W$4:W1350,W$4:W1350&lt;=I255),1),W$4:W1350"&amp;"))+(I255-LARGE(FILTER(W$4:W1350,W$4:W1350&lt;=I255),1))*INDEX(T$4:T1350,MATCH(LARGE(FILTER(W$4:W1350,W$4:W1350&lt;=I255),1),W$4:W1350))-K255),1,
ROUNDDOWN(Y255-INDEX(K$4:K1350,MATCH(LARGE(FILTER(I$4:I1350,I$4:I1350&lt;=W255),1),I$4:I1350))-(W255-LARGE(FILTER(I$4:I"&amp;"1350,I$4:I1350&lt;=W255),1))*INDEX(F$4:F1350,MATCH(LARGE(FILTER(I$4:I1350,I$4:I1350&lt;=W255),1),I$4:I1350))))"),1.705974E7)</f>
        <v>17059740</v>
      </c>
      <c r="N255" s="60">
        <f t="shared" si="8"/>
        <v>-149.86309</v>
      </c>
      <c r="O255" s="61" t="str">
        <f t="shared" si="9"/>
        <v>17,1M</v>
      </c>
      <c r="P255" s="56">
        <f t="shared" si="10"/>
        <v>4</v>
      </c>
      <c r="Q255" s="105" t="s">
        <v>7</v>
      </c>
      <c r="R255" s="10" t="b">
        <f>IFERROR(__xludf.DUMMYFUNCTION("IF(COUNTA(Q255:Q1350)=0,"""",IF(ISBLANK(Q255),FALSE,IF(NOT(COUNTIF($AA$24:$AA$34,SUBSTITUTE(Q255,""Sell_"",""""))),1,IF(REGEXMATCH(Q255,""Sell_""),IF(COUNTIF(Q$4:Q255,SUBSTITUTE(Q255,""Sell_"",""""))-COUNTIF(Q$4:Q254,Q255)&lt;1,1),FALSE))))"),FALSE)</f>
        <v>0</v>
      </c>
      <c r="S255" s="59">
        <f t="array" ref="S255">IF(COUNTA(Q255:Q1350)=0,"",SUM((COUNTIF(Q$4:Q255,Upgrades!$B$3:$B$13)-COUNTIF(Q$4:Q255,"Sell_"&amp;Upgrades!$B$3:$B$13))*Upgrades!$D$3:$D$13))</f>
        <v>165830</v>
      </c>
      <c r="T255" s="66">
        <f>IFERROR(__xludf.DUMMYFUNCTION("IF(COUNTA(Q255:Q1350)=0,"""",IF(REGEXMATCH(INDEX(FILTER(Q$4:Q255,Q$4:Q255&lt;&gt;""""),ROWS(FILTER(Q$4:Q255,Q$4:Q255&lt;&gt;""""))),""^Sell_""),INDEX(FILTER(T$4:T254,Q$4:Q254&lt;&gt;""""),ROWS(FILTER(Q$4:Q254,Q$4:Q254&lt;&gt;""""))),$AD$5+S255))"),166030.0)</f>
        <v>166030</v>
      </c>
      <c r="U255" s="10">
        <f>IFERROR(__xludf.DUMMYFUNCTION("IF(COUNTA(Q255:Q1350)=0,"""",IF(Q255="""",0,IF(REGEXMATCH(Q255,""^Sell_""),-ROUNDDOWN(ROUNDUP(INDEX(Upgrades!$C$3:$C$13,MATCH(SUBSTITUTE(Q255,""Sell_"",""""),Upgrades!$B$3:$B$13,0))*1.15^(COUNTIF(Q$4:Q254,SUBSTITUTE(Q255,""Sell_"",""""))-COUNTIF(Q$4:Q254,"&amp;"""Sell_""&amp;SUBSTITUTE(Q255,""Sell_"",""""))))/2),ROUNDUP(INDEX(Upgrades!$C$3:$C$13,MATCH(Q255,Upgrades!$B$3:$B$13,0))*1.15^(COUNTIF(Q$4:Q254,Q255)-COUNTIF(Q$4:Q254,""Sell_""&amp;Q255))))))"),15209.0)</f>
        <v>15209</v>
      </c>
      <c r="V255" s="10">
        <f t="shared" si="11"/>
        <v>15209</v>
      </c>
      <c r="W255" s="68">
        <f t="shared" si="12"/>
        <v>4300.653451</v>
      </c>
      <c r="X255" s="59" t="str">
        <f t="shared" si="13"/>
        <v>1h 11m 40s</v>
      </c>
      <c r="Y255" s="69">
        <f t="shared" si="14"/>
        <v>186283362</v>
      </c>
      <c r="Z255" s="11"/>
    </row>
    <row r="256">
      <c r="A256" s="8"/>
      <c r="B256" s="56" t="str">
        <f t="shared" si="2"/>
        <v/>
      </c>
      <c r="C256" s="57"/>
      <c r="D256" s="10" t="str">
        <f>IFERROR(__xludf.DUMMYFUNCTION("IF(COUNTA(C256:C1350)=0,"""",IF(ISBLANK(C256),FALSE,IF(NOT(COUNTIF($AA$24:$AA$34,SUBSTITUTE(C256,""Sell_"",""""))),1,IF(REGEXMATCH(C256,""Sell_""),IF(COUNTIF(C$4:C256,SUBSTITUTE(C256,""Sell_"",""""))-COUNTIF(C$4:C255,C256)&lt;1,1),FALSE))))"),"")</f>
        <v/>
      </c>
      <c r="E256" s="59" t="str">
        <f t="array" ref="E256">IF(COUNTA(C256:C1350)=0,"",SUM((COUNTIF(C$4:C256,Upgrades!$B$3:$B$13)-COUNTIF(C$4:C256,"Sell_"&amp;Upgrades!$B$3:$B$13))*Upgrades!$D$3:$D$13))</f>
        <v/>
      </c>
      <c r="F256" s="66" t="str">
        <f>IFERROR(__xludf.DUMMYFUNCTION("IF(COUNTA(C256:C1350)=0,"""",IF(REGEXMATCH(INDEX(FILTER(C$4:C256,C$4:C256&lt;&gt;""""),ROWS(FILTER(C$4:C256,C$4:C256&lt;&gt;""""))),""^Sell_""),INDEX(FILTER(F$4:F255,C$4:C255&lt;&gt;""""),ROWS(FILTER(C$4:C255,C$4:C255&lt;&gt;""""))),$AC$5+E256))"),"")</f>
        <v/>
      </c>
      <c r="G256" s="10" t="str">
        <f>IFERROR(__xludf.DUMMYFUNCTION("IF(COUNTA(C256:C1350)=0,"""",IF(C256="""",0,IF(REGEXMATCH(C256,""^Sell_""),-ROUNDDOWN(ROUNDUP(INDEX(Upgrades!$C$3:$C$13,MATCH(SUBSTITUTE(C256,""Sell_"",""""),Upgrades!$B$3:$B$13,0))*1.15^(COUNTIF(C$4:C255,SUBSTITUTE(C256,""Sell_"",""""))-COUNTIF(C$4:C255,"&amp;"""Sell_""&amp;SUBSTITUTE(C256,""Sell_"",""""))))/2),ROUNDUP(INDEX(Upgrades!$C$3:$C$13,MATCH(C256,Upgrades!$B$3:$B$13,0))*1.15^(COUNTIF(C$4:C255,C256)-COUNTIF(C$4:C255,""Sell_""&amp;C256))))))"),"")</f>
        <v/>
      </c>
      <c r="H256" s="10" t="str">
        <f t="shared" si="3"/>
        <v/>
      </c>
      <c r="I256" s="68" t="str">
        <f t="shared" si="4"/>
        <v/>
      </c>
      <c r="J256" s="59" t="str">
        <f t="shared" si="5"/>
        <v/>
      </c>
      <c r="K256" s="69" t="str">
        <f t="shared" si="6"/>
        <v/>
      </c>
      <c r="L256" s="60">
        <f t="shared" si="7"/>
        <v>-149.97355</v>
      </c>
      <c r="M256" s="61">
        <f>IFERROR(__xludf.DUMMYFUNCTION("IFS(AND(COUNTA(C256:C1350)=0,COUNTA(Q256:Q1350)=0),"""",OR(AND(K256&gt;=1000000000,OR(Y256&gt;=1000000000,COUNTA(Q256:Q1350)=0)),OR(Y256&gt;=1000000000,AND(COUNTA(C256:C1350)=0,P$3=TRUE))),
ROUNDDOWN((AB$1-AC$1)*MAX(INDEX(T$4:T1350,MATCH(LARGE(FILTER(Y$4:Y1350,Y$4"&amp;":Y1350&lt;1000000000),1),Y$4:Y1350)),INDEX(F$4:F1350,MATCH(LARGE(FILTER(K$4:K1350,K$4:K1350&lt;1000000000),1),K$4:K1350)))),AND(K256&lt;1000000000,COUNTA(C256:C1350)&gt;0,P$3=FALSE),
ROUNDDOWN(INDEX(Y$4:Y1350,MATCH(LARGE(FILTER(W$4:W1350,W$4:W1350&lt;=I256),1),W$4:W1350"&amp;"))+(I256-LARGE(FILTER(W$4:W1350,W$4:W1350&lt;=I256),1))*INDEX(T$4:T1350,MATCH(LARGE(FILTER(W$4:W1350,W$4:W1350&lt;=I256),1),W$4:W1350))-K256),1,
ROUNDDOWN(Y256-INDEX(K$4:K1350,MATCH(LARGE(FILTER(I$4:I1350,I$4:I1350&lt;=W256),1),I$4:I1350))-(W256-LARGE(FILTER(I$4:I"&amp;"1350,I$4:I1350&lt;=W256),1))*INDEX(F$4:F1350,MATCH(LARGE(FILTER(I$4:I1350,I$4:I1350&lt;=W256),1),I$4:I1350))))"),1.7072314E7)</f>
        <v>17072314</v>
      </c>
      <c r="N256" s="60">
        <f t="shared" si="8"/>
        <v>-149.97355</v>
      </c>
      <c r="O256" s="61" t="str">
        <f t="shared" si="9"/>
        <v>17,1M</v>
      </c>
      <c r="P256" s="56">
        <f t="shared" si="10"/>
        <v>1</v>
      </c>
      <c r="Q256" s="105" t="s">
        <v>8</v>
      </c>
      <c r="R256" s="10" t="b">
        <f>IFERROR(__xludf.DUMMYFUNCTION("IF(COUNTA(Q256:Q1350)=0,"""",IF(ISBLANK(Q256),FALSE,IF(NOT(COUNTIF($AA$24:$AA$34,SUBSTITUTE(Q256,""Sell_"",""""))),1,IF(REGEXMATCH(Q256,""Sell_""),IF(COUNTIF(Q$4:Q256,SUBSTITUTE(Q256,""Sell_"",""""))-COUNTIF(Q$4:Q255,Q256)&lt;1,1),FALSE))))"),FALSE)</f>
        <v>0</v>
      </c>
      <c r="S256" s="59">
        <f t="array" ref="S256">IF(COUNTA(Q256:Q1350)=0,"",SUM((COUNTIF(Q$4:Q256,Upgrades!$B$3:$B$13)-COUNTIF(Q$4:Q256,"Sell_"&amp;Upgrades!$B$3:$B$13))*Upgrades!$D$3:$D$13))</f>
        <v>165930</v>
      </c>
      <c r="T256" s="66">
        <f>IFERROR(__xludf.DUMMYFUNCTION("IF(COUNTA(Q256:Q1350)=0,"""",IF(REGEXMATCH(INDEX(FILTER(Q$4:Q256,Q$4:Q256&lt;&gt;""""),ROWS(FILTER(Q$4:Q256,Q$4:Q256&lt;&gt;""""))),""^Sell_""),INDEX(FILTER(T$4:T255,Q$4:Q255&lt;&gt;""""),ROWS(FILTER(Q$4:Q255,Q$4:Q255&lt;&gt;""""))),$AD$5+S256))"),166130.0)</f>
        <v>166130</v>
      </c>
      <c r="U256" s="10">
        <f>IFERROR(__xludf.DUMMYFUNCTION("IF(COUNTA(Q256:Q1350)=0,"""",IF(Q256="""",0,IF(REGEXMATCH(Q256,""^Sell_""),-ROUNDDOWN(ROUNDUP(INDEX(Upgrades!$C$3:$C$13,MATCH(SUBSTITUTE(Q256,""Sell_"",""""),Upgrades!$B$3:$B$13,0))*1.15^(COUNTIF(Q$4:Q255,SUBSTITUTE(Q256,""Sell_"",""""))-COUNTIF(Q$4:Q255,"&amp;"""Sell_""&amp;SUBSTITUTE(Q256,""Sell_"",""""))))/2),ROUNDUP(INDEX(Upgrades!$C$3:$C$13,MATCH(Q256,Upgrades!$B$3:$B$13,0))*1.15^(COUNTIF(Q$4:Q255,Q256)-COUNTIF(Q$4:Q255,""Sell_""&amp;Q256))))))"),40000.0)</f>
        <v>40000</v>
      </c>
      <c r="V256" s="10">
        <f t="shared" si="11"/>
        <v>40000</v>
      </c>
      <c r="W256" s="68">
        <f t="shared" si="12"/>
        <v>4300.894372</v>
      </c>
      <c r="X256" s="59" t="str">
        <f t="shared" si="13"/>
        <v>1h 11m 40s</v>
      </c>
      <c r="Y256" s="69">
        <f t="shared" si="14"/>
        <v>186323362</v>
      </c>
      <c r="Z256" s="11"/>
    </row>
    <row r="257">
      <c r="A257" s="8"/>
      <c r="B257" s="56" t="str">
        <f t="shared" si="2"/>
        <v/>
      </c>
      <c r="C257" s="57"/>
      <c r="D257" s="10" t="str">
        <f>IFERROR(__xludf.DUMMYFUNCTION("IF(COUNTA(C257:C1350)=0,"""",IF(ISBLANK(C257),FALSE,IF(NOT(COUNTIF($AA$24:$AA$34,SUBSTITUTE(C257,""Sell_"",""""))),1,IF(REGEXMATCH(C257,""Sell_""),IF(COUNTIF(C$4:C257,SUBSTITUTE(C257,""Sell_"",""""))-COUNTIF(C$4:C256,C257)&lt;1,1),FALSE))))"),"")</f>
        <v/>
      </c>
      <c r="E257" s="59" t="str">
        <f t="array" ref="E257">IF(COUNTA(C257:C1350)=0,"",SUM((COUNTIF(C$4:C257,Upgrades!$B$3:$B$13)-COUNTIF(C$4:C257,"Sell_"&amp;Upgrades!$B$3:$B$13))*Upgrades!$D$3:$D$13))</f>
        <v/>
      </c>
      <c r="F257" s="66" t="str">
        <f>IFERROR(__xludf.DUMMYFUNCTION("IF(COUNTA(C257:C1350)=0,"""",IF(REGEXMATCH(INDEX(FILTER(C$4:C257,C$4:C257&lt;&gt;""""),ROWS(FILTER(C$4:C257,C$4:C257&lt;&gt;""""))),""^Sell_""),INDEX(FILTER(F$4:F256,C$4:C256&lt;&gt;""""),ROWS(FILTER(C$4:C256,C$4:C256&lt;&gt;""""))),$AC$5+E257))"),"")</f>
        <v/>
      </c>
      <c r="G257" s="10" t="str">
        <f>IFERROR(__xludf.DUMMYFUNCTION("IF(COUNTA(C257:C1350)=0,"""",IF(C257="""",0,IF(REGEXMATCH(C257,""^Sell_""),-ROUNDDOWN(ROUNDUP(INDEX(Upgrades!$C$3:$C$13,MATCH(SUBSTITUTE(C257,""Sell_"",""""),Upgrades!$B$3:$B$13,0))*1.15^(COUNTIF(C$4:C256,SUBSTITUTE(C257,""Sell_"",""""))-COUNTIF(C$4:C256,"&amp;"""Sell_""&amp;SUBSTITUTE(C257,""Sell_"",""""))))/2),ROUNDUP(INDEX(Upgrades!$C$3:$C$13,MATCH(C257,Upgrades!$B$3:$B$13,0))*1.15^(COUNTIF(C$4:C256,C257)-COUNTIF(C$4:C256,""Sell_""&amp;C257))))))"),"")</f>
        <v/>
      </c>
      <c r="H257" s="10" t="str">
        <f t="shared" si="3"/>
        <v/>
      </c>
      <c r="I257" s="68" t="str">
        <f t="shared" si="4"/>
        <v/>
      </c>
      <c r="J257" s="59" t="str">
        <f t="shared" si="5"/>
        <v/>
      </c>
      <c r="K257" s="69" t="str">
        <f t="shared" si="6"/>
        <v/>
      </c>
      <c r="L257" s="60">
        <f t="shared" si="7"/>
        <v>-150.02192</v>
      </c>
      <c r="M257" s="61">
        <f>IFERROR(__xludf.DUMMYFUNCTION("IFS(AND(COUNTA(C257:C1350)=0,COUNTA(Q257:Q1350)=0),"""",OR(AND(K257&gt;=1000000000,OR(Y257&gt;=1000000000,COUNTA(Q257:Q1350)=0)),OR(Y257&gt;=1000000000,AND(COUNTA(C257:C1350)=0,P$3=TRUE))),
ROUNDDOWN((AB$1-AC$1)*MAX(INDEX(T$4:T1350,MATCH(LARGE(FILTER(Y$4:Y1350,Y$4"&amp;":Y1350&lt;1000000000),1),Y$4:Y1350)),INDEX(F$4:F1350,MATCH(LARGE(FILTER(K$4:K1350,K$4:K1350&lt;1000000000),1),K$4:K1350)))),AND(K257&lt;1000000000,COUNTA(C257:C1350)&gt;0,P$3=FALSE),
ROUNDDOWN(INDEX(Y$4:Y1350,MATCH(LARGE(FILTER(W$4:W1350,W$4:W1350&lt;=I257),1),W$4:W1350"&amp;"))+(I257-LARGE(FILTER(W$4:W1350,W$4:W1350&lt;=I257),1))*INDEX(T$4:T1350,MATCH(LARGE(FILTER(W$4:W1350,W$4:W1350&lt;=I257),1),W$4:W1350))-K257),1,
ROUNDDOWN(Y257-INDEX(K$4:K1350,MATCH(LARGE(FILTER(I$4:I1350,I$4:I1350&lt;=W257),1),I$4:I1350))-(W257-LARGE(FILTER(I$4:I"&amp;"1350,I$4:I1350&lt;=W257),1))*INDEX(F$4:F1350,MATCH(LARGE(FILTER(I$4:I1350,I$4:I1350&lt;=W257),1),I$4:I1350))))"),1.707782E7)</f>
        <v>17077820</v>
      </c>
      <c r="N257" s="60">
        <f t="shared" si="8"/>
        <v>-150.02192</v>
      </c>
      <c r="O257" s="61" t="str">
        <f t="shared" si="9"/>
        <v>17,1M</v>
      </c>
      <c r="P257" s="56">
        <f t="shared" si="10"/>
        <v>5</v>
      </c>
      <c r="Q257" s="105" t="s">
        <v>7</v>
      </c>
      <c r="R257" s="10" t="b">
        <f>IFERROR(__xludf.DUMMYFUNCTION("IF(COUNTA(Q257:Q1350)=0,"""",IF(ISBLANK(Q257),FALSE,IF(NOT(COUNTIF($AA$24:$AA$34,SUBSTITUTE(Q257,""Sell_"",""""))),1,IF(REGEXMATCH(Q257,""Sell_""),IF(COUNTIF(Q$4:Q257,SUBSTITUTE(Q257,""Sell_"",""""))-COUNTIF(Q$4:Q256,Q257)&lt;1,1),FALSE))))"),FALSE)</f>
        <v>0</v>
      </c>
      <c r="S257" s="59">
        <f t="array" ref="S257">IF(COUNTA(Q257:Q1350)=0,"",SUM((COUNTIF(Q$4:Q257,Upgrades!$B$3:$B$13)-COUNTIF(Q$4:Q257,"Sell_"&amp;Upgrades!$B$3:$B$13))*Upgrades!$D$3:$D$13))</f>
        <v>165970</v>
      </c>
      <c r="T257" s="66">
        <f>IFERROR(__xludf.DUMMYFUNCTION("IF(COUNTA(Q257:Q1350)=0,"""",IF(REGEXMATCH(INDEX(FILTER(Q$4:Q257,Q$4:Q257&lt;&gt;""""),ROWS(FILTER(Q$4:Q257,Q$4:Q257&lt;&gt;""""))),""^Sell_""),INDEX(FILTER(T$4:T256,Q$4:Q256&lt;&gt;""""),ROWS(FILTER(Q$4:Q256,Q$4:Q256&lt;&gt;""""))),$AD$5+S257))"),166170.0)</f>
        <v>166170</v>
      </c>
      <c r="U257" s="10">
        <f>IFERROR(__xludf.DUMMYFUNCTION("IF(COUNTA(Q257:Q1350)=0,"""",IF(Q257="""",0,IF(REGEXMATCH(Q257,""^Sell_""),-ROUNDDOWN(ROUNDUP(INDEX(Upgrades!$C$3:$C$13,MATCH(SUBSTITUTE(Q257,""Sell_"",""""),Upgrades!$B$3:$B$13,0))*1.15^(COUNTIF(Q$4:Q256,SUBSTITUTE(Q257,""Sell_"",""""))-COUNTIF(Q$4:Q256,"&amp;"""Sell_""&amp;SUBSTITUTE(Q257,""Sell_"",""""))))/2),ROUNDUP(INDEX(Upgrades!$C$3:$C$13,MATCH(Q257,Upgrades!$B$3:$B$13,0))*1.15^(COUNTIF(Q$4:Q256,Q257)-COUNTIF(Q$4:Q256,""Sell_""&amp;Q257))))))"),17491.0)</f>
        <v>17491</v>
      </c>
      <c r="V257" s="10">
        <f t="shared" si="11"/>
        <v>17491</v>
      </c>
      <c r="W257" s="68">
        <f t="shared" si="12"/>
        <v>4300.999657</v>
      </c>
      <c r="X257" s="59" t="str">
        <f t="shared" si="13"/>
        <v>1h 11m 40s</v>
      </c>
      <c r="Y257" s="69">
        <f t="shared" si="14"/>
        <v>186340853</v>
      </c>
      <c r="Z257" s="11"/>
    </row>
    <row r="258">
      <c r="A258" s="8"/>
      <c r="B258" s="56" t="str">
        <f t="shared" si="2"/>
        <v/>
      </c>
      <c r="C258" s="57"/>
      <c r="D258" s="10" t="str">
        <f>IFERROR(__xludf.DUMMYFUNCTION("IF(COUNTA(C258:C1350)=0,"""",IF(ISBLANK(C258),FALSE,IF(NOT(COUNTIF($AA$24:$AA$34,SUBSTITUTE(C258,""Sell_"",""""))),1,IF(REGEXMATCH(C258,""Sell_""),IF(COUNTIF(C$4:C258,SUBSTITUTE(C258,""Sell_"",""""))-COUNTIF(C$4:C257,C258)&lt;1,1),FALSE))))"),"")</f>
        <v/>
      </c>
      <c r="E258" s="59" t="str">
        <f t="array" ref="E258">IF(COUNTA(C258:C1350)=0,"",SUM((COUNTIF(C$4:C258,Upgrades!$B$3:$B$13)-COUNTIF(C$4:C258,"Sell_"&amp;Upgrades!$B$3:$B$13))*Upgrades!$D$3:$D$13))</f>
        <v/>
      </c>
      <c r="F258" s="66" t="str">
        <f>IFERROR(__xludf.DUMMYFUNCTION("IF(COUNTA(C258:C1350)=0,"""",IF(REGEXMATCH(INDEX(FILTER(C$4:C258,C$4:C258&lt;&gt;""""),ROWS(FILTER(C$4:C258,C$4:C258&lt;&gt;""""))),""^Sell_""),INDEX(FILTER(F$4:F257,C$4:C257&lt;&gt;""""),ROWS(FILTER(C$4:C257,C$4:C257&lt;&gt;""""))),$AC$5+E258))"),"")</f>
        <v/>
      </c>
      <c r="G258" s="10" t="str">
        <f>IFERROR(__xludf.DUMMYFUNCTION("IF(COUNTA(C258:C1350)=0,"""",IF(C258="""",0,IF(REGEXMATCH(C258,""^Sell_""),-ROUNDDOWN(ROUNDUP(INDEX(Upgrades!$C$3:$C$13,MATCH(SUBSTITUTE(C258,""Sell_"",""""),Upgrades!$B$3:$B$13,0))*1.15^(COUNTIF(C$4:C257,SUBSTITUTE(C258,""Sell_"",""""))-COUNTIF(C$4:C257,"&amp;"""Sell_""&amp;SUBSTITUTE(C258,""Sell_"",""""))))/2),ROUNDUP(INDEX(Upgrades!$C$3:$C$13,MATCH(C258,Upgrades!$B$3:$B$13,0))*1.15^(COUNTIF(C$4:C257,C258)-COUNTIF(C$4:C257,""Sell_""&amp;C258))))))"),"")</f>
        <v/>
      </c>
      <c r="H258" s="10" t="str">
        <f t="shared" si="3"/>
        <v/>
      </c>
      <c r="I258" s="68" t="str">
        <f t="shared" si="4"/>
        <v/>
      </c>
      <c r="J258" s="59" t="str">
        <f t="shared" si="5"/>
        <v/>
      </c>
      <c r="K258" s="69" t="str">
        <f t="shared" si="6"/>
        <v/>
      </c>
      <c r="L258" s="60">
        <f t="shared" si="7"/>
        <v>-150.14919</v>
      </c>
      <c r="M258" s="61">
        <f>IFERROR(__xludf.DUMMYFUNCTION("IFS(AND(COUNTA(C258:C1350)=0,COUNTA(Q258:Q1350)=0),"""",OR(AND(K258&gt;=1000000000,OR(Y258&gt;=1000000000,COUNTA(Q258:Q1350)=0)),OR(Y258&gt;=1000000000,AND(COUNTA(C258:C1350)=0,P$3=TRUE))),
ROUNDDOWN((AB$1-AC$1)*MAX(INDEX(T$4:T1350,MATCH(LARGE(FILTER(Y$4:Y1350,Y$4"&amp;":Y1350&lt;1000000000),1),Y$4:Y1350)),INDEX(F$4:F1350,MATCH(LARGE(FILTER(K$4:K1350,K$4:K1350&lt;1000000000),1),K$4:K1350)))),AND(K258&lt;1000000000,COUNTA(C258:C1350)&gt;0,P$3=FALSE),
ROUNDDOWN(INDEX(Y$4:Y1350,MATCH(LARGE(FILTER(W$4:W1350,W$4:W1350&lt;=I258),1),W$4:W1350"&amp;"))+(I258-LARGE(FILTER(W$4:W1350,W$4:W1350&lt;=I258),1))*INDEX(T$4:T1350,MATCH(LARGE(FILTER(W$4:W1350,W$4:W1350&lt;=I258),1),W$4:W1350))-K258),1,
ROUNDDOWN(Y258-INDEX(K$4:K1350,MATCH(LARGE(FILTER(I$4:I1350,I$4:I1350&lt;=W258),1),I$4:I1350))-(W258-LARGE(FILTER(I$4:I"&amp;"1350,I$4:I1350&lt;=W258),1))*INDEX(F$4:F1350,MATCH(LARGE(FILTER(I$4:I1350,I$4:I1350&lt;=W258),1),I$4:I1350))))"),1.7092308E7)</f>
        <v>17092308</v>
      </c>
      <c r="N258" s="60">
        <f t="shared" si="8"/>
        <v>-150.14919</v>
      </c>
      <c r="O258" s="61" t="str">
        <f t="shared" si="9"/>
        <v>17,1M</v>
      </c>
      <c r="P258" s="56">
        <f t="shared" si="10"/>
        <v>2</v>
      </c>
      <c r="Q258" s="105" t="s">
        <v>8</v>
      </c>
      <c r="R258" s="10" t="b">
        <f>IFERROR(__xludf.DUMMYFUNCTION("IF(COUNTA(Q258:Q1350)=0,"""",IF(ISBLANK(Q258),FALSE,IF(NOT(COUNTIF($AA$24:$AA$34,SUBSTITUTE(Q258,""Sell_"",""""))),1,IF(REGEXMATCH(Q258,""Sell_""),IF(COUNTIF(Q$4:Q258,SUBSTITUTE(Q258,""Sell_"",""""))-COUNTIF(Q$4:Q257,Q258)&lt;1,1),FALSE))))"),FALSE)</f>
        <v>0</v>
      </c>
      <c r="S258" s="59">
        <f t="array" ref="S258">IF(COUNTA(Q258:Q1350)=0,"",SUM((COUNTIF(Q$4:Q258,Upgrades!$B$3:$B$13)-COUNTIF(Q$4:Q258,"Sell_"&amp;Upgrades!$B$3:$B$13))*Upgrades!$D$3:$D$13))</f>
        <v>166070</v>
      </c>
      <c r="T258" s="66">
        <f>IFERROR(__xludf.DUMMYFUNCTION("IF(COUNTA(Q258:Q1350)=0,"""",IF(REGEXMATCH(INDEX(FILTER(Q$4:Q258,Q$4:Q258&lt;&gt;""""),ROWS(FILTER(Q$4:Q258,Q$4:Q258&lt;&gt;""""))),""^Sell_""),INDEX(FILTER(T$4:T257,Q$4:Q257&lt;&gt;""""),ROWS(FILTER(Q$4:Q257,Q$4:Q257&lt;&gt;""""))),$AD$5+S258))"),166270.0)</f>
        <v>166270</v>
      </c>
      <c r="U258" s="10">
        <f>IFERROR(__xludf.DUMMYFUNCTION("IF(COUNTA(Q258:Q1350)=0,"""",IF(Q258="""",0,IF(REGEXMATCH(Q258,""^Sell_""),-ROUNDDOWN(ROUNDUP(INDEX(Upgrades!$C$3:$C$13,MATCH(SUBSTITUTE(Q258,""Sell_"",""""),Upgrades!$B$3:$B$13,0))*1.15^(COUNTIF(Q$4:Q257,SUBSTITUTE(Q258,""Sell_"",""""))-COUNTIF(Q$4:Q257,"&amp;"""Sell_""&amp;SUBSTITUTE(Q258,""Sell_"",""""))))/2),ROUNDUP(INDEX(Upgrades!$C$3:$C$13,MATCH(Q258,Upgrades!$B$3:$B$13,0))*1.15^(COUNTIF(Q$4:Q257,Q258)-COUNTIF(Q$4:Q257,""Sell_""&amp;Q258))))))"),46000.0)</f>
        <v>46000</v>
      </c>
      <c r="V258" s="10">
        <f t="shared" si="11"/>
        <v>46000</v>
      </c>
      <c r="W258" s="68">
        <f t="shared" si="12"/>
        <v>4301.276482</v>
      </c>
      <c r="X258" s="59" t="str">
        <f t="shared" si="13"/>
        <v>1h 11m 41s</v>
      </c>
      <c r="Y258" s="69">
        <f t="shared" si="14"/>
        <v>186386853</v>
      </c>
      <c r="Z258" s="11"/>
    </row>
    <row r="259">
      <c r="A259" s="8"/>
      <c r="B259" s="56" t="str">
        <f t="shared" si="2"/>
        <v/>
      </c>
      <c r="C259" s="57"/>
      <c r="D259" s="10" t="str">
        <f>IFERROR(__xludf.DUMMYFUNCTION("IF(COUNTA(C259:C1350)=0,"""",IF(ISBLANK(C259),FALSE,IF(NOT(COUNTIF($AA$24:$AA$34,SUBSTITUTE(C259,""Sell_"",""""))),1,IF(REGEXMATCH(C259,""Sell_""),IF(COUNTIF(C$4:C259,SUBSTITUTE(C259,""Sell_"",""""))-COUNTIF(C$4:C258,C259)&lt;1,1),FALSE))))"),"")</f>
        <v/>
      </c>
      <c r="E259" s="59" t="str">
        <f t="array" ref="E259">IF(COUNTA(C259:C1350)=0,"",SUM((COUNTIF(C$4:C259,Upgrades!$B$3:$B$13)-COUNTIF(C$4:C259,"Sell_"&amp;Upgrades!$B$3:$B$13))*Upgrades!$D$3:$D$13))</f>
        <v/>
      </c>
      <c r="F259" s="66" t="str">
        <f>IFERROR(__xludf.DUMMYFUNCTION("IF(COUNTA(C259:C1350)=0,"""",IF(REGEXMATCH(INDEX(FILTER(C$4:C259,C$4:C259&lt;&gt;""""),ROWS(FILTER(C$4:C259,C$4:C259&lt;&gt;""""))),""^Sell_""),INDEX(FILTER(F$4:F258,C$4:C258&lt;&gt;""""),ROWS(FILTER(C$4:C258,C$4:C258&lt;&gt;""""))),$AC$5+E259))"),"")</f>
        <v/>
      </c>
      <c r="G259" s="10" t="str">
        <f>IFERROR(__xludf.DUMMYFUNCTION("IF(COUNTA(C259:C1350)=0,"""",IF(C259="""",0,IF(REGEXMATCH(C259,""^Sell_""),-ROUNDDOWN(ROUNDUP(INDEX(Upgrades!$C$3:$C$13,MATCH(SUBSTITUTE(C259,""Sell_"",""""),Upgrades!$B$3:$B$13,0))*1.15^(COUNTIF(C$4:C258,SUBSTITUTE(C259,""Sell_"",""""))-COUNTIF(C$4:C258,"&amp;"""Sell_""&amp;SUBSTITUTE(C259,""Sell_"",""""))))/2),ROUNDUP(INDEX(Upgrades!$C$3:$C$13,MATCH(C259,Upgrades!$B$3:$B$13,0))*1.15^(COUNTIF(C$4:C258,C259)-COUNTIF(C$4:C258,""Sell_""&amp;C259))))))"),"")</f>
        <v/>
      </c>
      <c r="H259" s="10" t="str">
        <f t="shared" si="3"/>
        <v/>
      </c>
      <c r="I259" s="68" t="str">
        <f t="shared" si="4"/>
        <v/>
      </c>
      <c r="J259" s="59" t="str">
        <f t="shared" si="5"/>
        <v/>
      </c>
      <c r="K259" s="69" t="str">
        <f t="shared" si="6"/>
        <v/>
      </c>
      <c r="L259" s="60">
        <f t="shared" si="7"/>
        <v>-150.70324</v>
      </c>
      <c r="M259" s="61">
        <f>IFERROR(__xludf.DUMMYFUNCTION("IFS(AND(COUNTA(C259:C1350)=0,COUNTA(Q259:Q1350)=0),"""",OR(AND(K259&gt;=1000000000,OR(Y259&gt;=1000000000,COUNTA(Q259:Q1350)=0)),OR(Y259&gt;=1000000000,AND(COUNTA(C259:C1350)=0,P$3=TRUE))),
ROUNDDOWN((AB$1-AC$1)*MAX(INDEX(T$4:T1350,MATCH(LARGE(FILTER(Y$4:Y1350,Y$4"&amp;":Y1350&lt;1000000000),1),Y$4:Y1350)),INDEX(F$4:F1350,MATCH(LARGE(FILTER(K$4:K1350,K$4:K1350&lt;1000000000),1),K$4:K1350)))),AND(K259&lt;1000000000,COUNTA(C259:C1350)&gt;0,P$3=FALSE),
ROUNDDOWN(INDEX(Y$4:Y1350,MATCH(LARGE(FILTER(W$4:W1350,W$4:W1350&lt;=I259),1),W$4:W1350"&amp;"))+(I259-LARGE(FILTER(W$4:W1350,W$4:W1350&lt;=I259),1))*INDEX(T$4:T1350,MATCH(LARGE(FILTER(W$4:W1350,W$4:W1350&lt;=I259),1),W$4:W1350))-K259),1,
ROUNDDOWN(Y259-INDEX(K$4:K1350,MATCH(LARGE(FILTER(I$4:I1350,I$4:I1350&lt;=W259),1),I$4:I1350))-(W259-LARGE(FILTER(I$4:I"&amp;"1350,I$4:I1350&lt;=W259),1))*INDEX(F$4:F1350,MATCH(LARGE(FILTER(I$4:I1350,I$4:I1350&lt;=W259),1),I$4:I1350))))"),1.7155379E7)</f>
        <v>17155379</v>
      </c>
      <c r="N259" s="60">
        <f t="shared" si="8"/>
        <v>-150.70324</v>
      </c>
      <c r="O259" s="61" t="str">
        <f t="shared" si="9"/>
        <v>17,2M</v>
      </c>
      <c r="P259" s="56">
        <f t="shared" si="10"/>
        <v>1</v>
      </c>
      <c r="Q259" s="105" t="s">
        <v>9</v>
      </c>
      <c r="R259" s="10" t="b">
        <f>IFERROR(__xludf.DUMMYFUNCTION("IF(COUNTA(Q259:Q1350)=0,"""",IF(ISBLANK(Q259),FALSE,IF(NOT(COUNTIF($AA$24:$AA$34,SUBSTITUTE(Q259,""Sell_"",""""))),1,IF(REGEXMATCH(Q259,""Sell_""),IF(COUNTIF(Q$4:Q259,SUBSTITUTE(Q259,""Sell_"",""""))-COUNTIF(Q$4:Q258,Q259)&lt;1,1),FALSE))))"),FALSE)</f>
        <v>0</v>
      </c>
      <c r="S259" s="59">
        <f t="array" ref="S259">IF(COUNTA(Q259:Q1350)=0,"",SUM((COUNTIF(Q$4:Q259,Upgrades!$B$3:$B$13)-COUNTIF(Q$4:Q259,"Sell_"&amp;Upgrades!$B$3:$B$13))*Upgrades!$D$3:$D$13))</f>
        <v>166470</v>
      </c>
      <c r="T259" s="66">
        <f>IFERROR(__xludf.DUMMYFUNCTION("IF(COUNTA(Q259:Q1350)=0,"""",IF(REGEXMATCH(INDEX(FILTER(Q$4:Q259,Q$4:Q259&lt;&gt;""""),ROWS(FILTER(Q$4:Q259,Q$4:Q259&lt;&gt;""""))),""^Sell_""),INDEX(FILTER(T$4:T258,Q$4:Q258&lt;&gt;""""),ROWS(FILTER(Q$4:Q258,Q$4:Q258&lt;&gt;""""))),$AD$5+S259))"),166670.0)</f>
        <v>166670</v>
      </c>
      <c r="U259" s="10">
        <f>IFERROR(__xludf.DUMMYFUNCTION("IF(COUNTA(Q259:Q1350)=0,"""",IF(Q259="""",0,IF(REGEXMATCH(Q259,""^Sell_""),-ROUNDDOWN(ROUNDUP(INDEX(Upgrades!$C$3:$C$13,MATCH(SUBSTITUTE(Q259,""Sell_"",""""),Upgrades!$B$3:$B$13,0))*1.15^(COUNTIF(Q$4:Q258,SUBSTITUTE(Q259,""Sell_"",""""))-COUNTIF(Q$4:Q258,"&amp;"""Sell_""&amp;SUBSTITUTE(Q259,""Sell_"",""""))))/2),ROUNDUP(INDEX(Upgrades!$C$3:$C$13,MATCH(Q259,Upgrades!$B$3:$B$13,0))*1.15^(COUNTIF(Q$4:Q258,Q259)-COUNTIF(Q$4:Q258,""Sell_""&amp;Q259))))))"),200000.0)</f>
        <v>200000</v>
      </c>
      <c r="V259" s="10">
        <f t="shared" si="11"/>
        <v>200000</v>
      </c>
      <c r="W259" s="68">
        <f t="shared" si="12"/>
        <v>4302.479344</v>
      </c>
      <c r="X259" s="59" t="str">
        <f t="shared" si="13"/>
        <v>1h 11m 42s</v>
      </c>
      <c r="Y259" s="69">
        <f t="shared" si="14"/>
        <v>186586853</v>
      </c>
      <c r="Z259" s="11"/>
    </row>
    <row r="260">
      <c r="A260" s="8"/>
      <c r="B260" s="56" t="str">
        <f t="shared" si="2"/>
        <v/>
      </c>
      <c r="C260" s="57"/>
      <c r="D260" s="10" t="str">
        <f>IFERROR(__xludf.DUMMYFUNCTION("IF(COUNTA(C260:C1350)=0,"""",IF(ISBLANK(C260),FALSE,IF(NOT(COUNTIF($AA$24:$AA$34,SUBSTITUTE(C260,""Sell_"",""""))),1,IF(REGEXMATCH(C260,""Sell_""),IF(COUNTIF(C$4:C260,SUBSTITUTE(C260,""Sell_"",""""))-COUNTIF(C$4:C259,C260)&lt;1,1),FALSE))))"),"")</f>
        <v/>
      </c>
      <c r="E260" s="59" t="str">
        <f t="array" ref="E260">IF(COUNTA(C260:C1350)=0,"",SUM((COUNTIF(C$4:C260,Upgrades!$B$3:$B$13)-COUNTIF(C$4:C260,"Sell_"&amp;Upgrades!$B$3:$B$13))*Upgrades!$D$3:$D$13))</f>
        <v/>
      </c>
      <c r="F260" s="66" t="str">
        <f>IFERROR(__xludf.DUMMYFUNCTION("IF(COUNTA(C260:C1350)=0,"""",IF(REGEXMATCH(INDEX(FILTER(C$4:C260,C$4:C260&lt;&gt;""""),ROWS(FILTER(C$4:C260,C$4:C260&lt;&gt;""""))),""^Sell_""),INDEX(FILTER(F$4:F259,C$4:C259&lt;&gt;""""),ROWS(FILTER(C$4:C259,C$4:C259&lt;&gt;""""))),$AC$5+E260))"),"")</f>
        <v/>
      </c>
      <c r="G260" s="10" t="str">
        <f>IFERROR(__xludf.DUMMYFUNCTION("IF(COUNTA(C260:C1350)=0,"""",IF(C260="""",0,IF(REGEXMATCH(C260,""^Sell_""),-ROUNDDOWN(ROUNDUP(INDEX(Upgrades!$C$3:$C$13,MATCH(SUBSTITUTE(C260,""Sell_"",""""),Upgrades!$B$3:$B$13,0))*1.15^(COUNTIF(C$4:C259,SUBSTITUTE(C260,""Sell_"",""""))-COUNTIF(C$4:C259,"&amp;"""Sell_""&amp;SUBSTITUTE(C260,""Sell_"",""""))))/2),ROUNDUP(INDEX(Upgrades!$C$3:$C$13,MATCH(C260,Upgrades!$B$3:$B$13,0))*1.15^(COUNTIF(C$4:C259,C260)-COUNTIF(C$4:C259,""Sell_""&amp;C260))))))"),"")</f>
        <v/>
      </c>
      <c r="H260" s="10" t="str">
        <f t="shared" si="3"/>
        <v/>
      </c>
      <c r="I260" s="68" t="str">
        <f t="shared" si="4"/>
        <v/>
      </c>
      <c r="J260" s="59" t="str">
        <f t="shared" si="5"/>
        <v/>
      </c>
      <c r="K260" s="69" t="str">
        <f t="shared" si="6"/>
        <v/>
      </c>
      <c r="L260" s="60">
        <f t="shared" si="7"/>
        <v>-150.75926</v>
      </c>
      <c r="M260" s="61">
        <f>IFERROR(__xludf.DUMMYFUNCTION("IFS(AND(COUNTA(C260:C1350)=0,COUNTA(Q260:Q1350)=0),"""",OR(AND(K260&gt;=1000000000,OR(Y260&gt;=1000000000,COUNTA(Q260:Q1350)=0)),OR(Y260&gt;=1000000000,AND(COUNTA(C260:C1350)=0,P$3=TRUE))),
ROUNDDOWN((AB$1-AC$1)*MAX(INDEX(T$4:T1350,MATCH(LARGE(FILTER(Y$4:Y1350,Y$4"&amp;":Y1350&lt;1000000000),1),Y$4:Y1350)),INDEX(F$4:F1350,MATCH(LARGE(FILTER(K$4:K1350,K$4:K1350&lt;1000000000),1),K$4:K1350)))),AND(K260&lt;1000000000,COUNTA(C260:C1350)&gt;0,P$3=FALSE),
ROUNDDOWN(INDEX(Y$4:Y1350,MATCH(LARGE(FILTER(W$4:W1350,W$4:W1350&lt;=I260),1),W$4:W1350"&amp;"))+(I260-LARGE(FILTER(W$4:W1350,W$4:W1350&lt;=I260),1))*INDEX(T$4:T1350,MATCH(LARGE(FILTER(W$4:W1350,W$4:W1350&lt;=I260),1),W$4:W1350))-K260),1,
ROUNDDOWN(Y260-INDEX(K$4:K1350,MATCH(LARGE(FILTER(I$4:I1350,I$4:I1350&lt;=W260),1),I$4:I1350))-(W260-LARGE(FILTER(I$4:I"&amp;"1350,I$4:I1350&lt;=W260),1))*INDEX(F$4:F1350,MATCH(LARGE(FILTER(I$4:I1350,I$4:I1350&lt;=W260),1),I$4:I1350))))"),1.7161755E7)</f>
        <v>17161755</v>
      </c>
      <c r="N260" s="60">
        <f t="shared" si="8"/>
        <v>-150.75926</v>
      </c>
      <c r="O260" s="61" t="str">
        <f t="shared" si="9"/>
        <v>17,2M</v>
      </c>
      <c r="P260" s="56">
        <f t="shared" si="10"/>
        <v>6</v>
      </c>
      <c r="Q260" s="105" t="s">
        <v>7</v>
      </c>
      <c r="R260" s="10" t="b">
        <f>IFERROR(__xludf.DUMMYFUNCTION("IF(COUNTA(Q260:Q1350)=0,"""",IF(ISBLANK(Q260),FALSE,IF(NOT(COUNTIF($AA$24:$AA$34,SUBSTITUTE(Q260,""Sell_"",""""))),1,IF(REGEXMATCH(Q260,""Sell_""),IF(COUNTIF(Q$4:Q260,SUBSTITUTE(Q260,""Sell_"",""""))-COUNTIF(Q$4:Q259,Q260)&lt;1,1),FALSE))))"),FALSE)</f>
        <v>0</v>
      </c>
      <c r="S260" s="59">
        <f t="array" ref="S260">IF(COUNTA(Q260:Q1350)=0,"",SUM((COUNTIF(Q$4:Q260,Upgrades!$B$3:$B$13)-COUNTIF(Q$4:Q260,"Sell_"&amp;Upgrades!$B$3:$B$13))*Upgrades!$D$3:$D$13))</f>
        <v>166510</v>
      </c>
      <c r="T260" s="66">
        <f>IFERROR(__xludf.DUMMYFUNCTION("IF(COUNTA(Q260:Q1350)=0,"""",IF(REGEXMATCH(INDEX(FILTER(Q$4:Q260,Q$4:Q260&lt;&gt;""""),ROWS(FILTER(Q$4:Q260,Q$4:Q260&lt;&gt;""""))),""^Sell_""),INDEX(FILTER(T$4:T259,Q$4:Q259&lt;&gt;""""),ROWS(FILTER(Q$4:Q259,Q$4:Q259&lt;&gt;""""))),$AD$5+S260))"),166710.0)</f>
        <v>166710</v>
      </c>
      <c r="U260" s="10">
        <f>IFERROR(__xludf.DUMMYFUNCTION("IF(COUNTA(Q260:Q1350)=0,"""",IF(Q260="""",0,IF(REGEXMATCH(Q260,""^Sell_""),-ROUNDDOWN(ROUNDUP(INDEX(Upgrades!$C$3:$C$13,MATCH(SUBSTITUTE(Q260,""Sell_"",""""),Upgrades!$B$3:$B$13,0))*1.15^(COUNTIF(Q$4:Q259,SUBSTITUTE(Q260,""Sell_"",""""))-COUNTIF(Q$4:Q259,"&amp;"""Sell_""&amp;SUBSTITUTE(Q260,""Sell_"",""""))))/2),ROUNDUP(INDEX(Upgrades!$C$3:$C$13,MATCH(Q260,Upgrades!$B$3:$B$13,0))*1.15^(COUNTIF(Q$4:Q259,Q260)-COUNTIF(Q$4:Q259,""Sell_""&amp;Q260))))))"),20114.0)</f>
        <v>20114</v>
      </c>
      <c r="V260" s="10">
        <f t="shared" si="11"/>
        <v>20114</v>
      </c>
      <c r="W260" s="68">
        <f t="shared" si="12"/>
        <v>4302.600026</v>
      </c>
      <c r="X260" s="59" t="str">
        <f t="shared" si="13"/>
        <v>1h 11m 42s</v>
      </c>
      <c r="Y260" s="69">
        <f t="shared" si="14"/>
        <v>186606967</v>
      </c>
      <c r="Z260" s="11"/>
    </row>
    <row r="261">
      <c r="A261" s="8"/>
      <c r="B261" s="56" t="str">
        <f t="shared" si="2"/>
        <v/>
      </c>
      <c r="C261" s="57"/>
      <c r="D261" s="10" t="str">
        <f>IFERROR(__xludf.DUMMYFUNCTION("IF(COUNTA(C261:C1350)=0,"""",IF(ISBLANK(C261),FALSE,IF(NOT(COUNTIF($AA$24:$AA$34,SUBSTITUTE(C261,""Sell_"",""""))),1,IF(REGEXMATCH(C261,""Sell_""),IF(COUNTIF(C$4:C261,SUBSTITUTE(C261,""Sell_"",""""))-COUNTIF(C$4:C260,C261)&lt;1,1),FALSE))))"),"")</f>
        <v/>
      </c>
      <c r="E261" s="59" t="str">
        <f t="array" ref="E261">IF(COUNTA(C261:C1350)=0,"",SUM((COUNTIF(C$4:C261,Upgrades!$B$3:$B$13)-COUNTIF(C$4:C261,"Sell_"&amp;Upgrades!$B$3:$B$13))*Upgrades!$D$3:$D$13))</f>
        <v/>
      </c>
      <c r="F261" s="66" t="str">
        <f>IFERROR(__xludf.DUMMYFUNCTION("IF(COUNTA(C261:C1350)=0,"""",IF(REGEXMATCH(INDEX(FILTER(C$4:C261,C$4:C261&lt;&gt;""""),ROWS(FILTER(C$4:C261,C$4:C261&lt;&gt;""""))),""^Sell_""),INDEX(FILTER(F$4:F260,C$4:C260&lt;&gt;""""),ROWS(FILTER(C$4:C260,C$4:C260&lt;&gt;""""))),$AC$5+E261))"),"")</f>
        <v/>
      </c>
      <c r="G261" s="10" t="str">
        <f>IFERROR(__xludf.DUMMYFUNCTION("IF(COUNTA(C261:C1350)=0,"""",IF(C261="""",0,IF(REGEXMATCH(C261,""^Sell_""),-ROUNDDOWN(ROUNDUP(INDEX(Upgrades!$C$3:$C$13,MATCH(SUBSTITUTE(C261,""Sell_"",""""),Upgrades!$B$3:$B$13,0))*1.15^(COUNTIF(C$4:C260,SUBSTITUTE(C261,""Sell_"",""""))-COUNTIF(C$4:C260,"&amp;"""Sell_""&amp;SUBSTITUTE(C261,""Sell_"",""""))))/2),ROUNDUP(INDEX(Upgrades!$C$3:$C$13,MATCH(C261,Upgrades!$B$3:$B$13,0))*1.15^(COUNTIF(C$4:C260,C261)-COUNTIF(C$4:C260,""Sell_""&amp;C261))))))"),"")</f>
        <v/>
      </c>
      <c r="H261" s="10" t="str">
        <f t="shared" si="3"/>
        <v/>
      </c>
      <c r="I261" s="68" t="str">
        <f t="shared" si="4"/>
        <v/>
      </c>
      <c r="J261" s="59" t="str">
        <f t="shared" si="5"/>
        <v/>
      </c>
      <c r="K261" s="69" t="str">
        <f t="shared" si="6"/>
        <v/>
      </c>
      <c r="L261" s="60">
        <f t="shared" si="7"/>
        <v>-150.90664</v>
      </c>
      <c r="M261" s="61">
        <f>IFERROR(__xludf.DUMMYFUNCTION("IFS(AND(COUNTA(C261:C1350)=0,COUNTA(Q261:Q1350)=0),"""",OR(AND(K261&gt;=1000000000,OR(Y261&gt;=1000000000,COUNTA(Q261:Q1350)=0)),OR(Y261&gt;=1000000000,AND(COUNTA(C261:C1350)=0,P$3=TRUE))),
ROUNDDOWN((AB$1-AC$1)*MAX(INDEX(T$4:T1350,MATCH(LARGE(FILTER(Y$4:Y1350,Y$4"&amp;":Y1350&lt;1000000000),1),Y$4:Y1350)),INDEX(F$4:F1350,MATCH(LARGE(FILTER(K$4:K1350,K$4:K1350&lt;1000000000),1),K$4:K1350)))),AND(K261&lt;1000000000,COUNTA(C261:C1350)&gt;0,P$3=FALSE),
ROUNDDOWN(INDEX(Y$4:Y1350,MATCH(LARGE(FILTER(W$4:W1350,W$4:W1350&lt;=I261),1),W$4:W1350"&amp;"))+(I261-LARGE(FILTER(W$4:W1350,W$4:W1350&lt;=I261),1))*INDEX(T$4:T1350,MATCH(LARGE(FILTER(W$4:W1350,W$4:W1350&lt;=I261),1),W$4:W1350))-K261),1,
ROUNDDOWN(Y261-INDEX(K$4:K1350,MATCH(LARGE(FILTER(I$4:I1350,I$4:I1350&lt;=W261),1),I$4:I1350))-(W261-LARGE(FILTER(I$4:I"&amp;"1350,I$4:I1350&lt;=W261),1))*INDEX(F$4:F1350,MATCH(LARGE(FILTER(I$4:I1350,I$4:I1350&lt;=W261),1),I$4:I1350))))"),1.7178533E7)</f>
        <v>17178533</v>
      </c>
      <c r="N261" s="60">
        <f t="shared" si="8"/>
        <v>-150.90664</v>
      </c>
      <c r="O261" s="61" t="str">
        <f t="shared" si="9"/>
        <v>17,2M</v>
      </c>
      <c r="P261" s="56">
        <f t="shared" si="10"/>
        <v>3</v>
      </c>
      <c r="Q261" s="105" t="s">
        <v>8</v>
      </c>
      <c r="R261" s="10" t="b">
        <f>IFERROR(__xludf.DUMMYFUNCTION("IF(COUNTA(Q261:Q1350)=0,"""",IF(ISBLANK(Q261),FALSE,IF(NOT(COUNTIF($AA$24:$AA$34,SUBSTITUTE(Q261,""Sell_"",""""))),1,IF(REGEXMATCH(Q261,""Sell_""),IF(COUNTIF(Q$4:Q261,SUBSTITUTE(Q261,""Sell_"",""""))-COUNTIF(Q$4:Q260,Q261)&lt;1,1),FALSE))))"),FALSE)</f>
        <v>0</v>
      </c>
      <c r="S261" s="59">
        <f t="array" ref="S261">IF(COUNTA(Q261:Q1350)=0,"",SUM((COUNTIF(Q$4:Q261,Upgrades!$B$3:$B$13)-COUNTIF(Q$4:Q261,"Sell_"&amp;Upgrades!$B$3:$B$13))*Upgrades!$D$3:$D$13))</f>
        <v>166610</v>
      </c>
      <c r="T261" s="66">
        <f>IFERROR(__xludf.DUMMYFUNCTION("IF(COUNTA(Q261:Q1350)=0,"""",IF(REGEXMATCH(INDEX(FILTER(Q$4:Q261,Q$4:Q261&lt;&gt;""""),ROWS(FILTER(Q$4:Q261,Q$4:Q261&lt;&gt;""""))),""^Sell_""),INDEX(FILTER(T$4:T260,Q$4:Q260&lt;&gt;""""),ROWS(FILTER(Q$4:Q260,Q$4:Q260&lt;&gt;""""))),$AD$5+S261))"),166810.0)</f>
        <v>166810</v>
      </c>
      <c r="U261" s="10">
        <f>IFERROR(__xludf.DUMMYFUNCTION("IF(COUNTA(Q261:Q1350)=0,"""",IF(Q261="""",0,IF(REGEXMATCH(Q261,""^Sell_""),-ROUNDDOWN(ROUNDUP(INDEX(Upgrades!$C$3:$C$13,MATCH(SUBSTITUTE(Q261,""Sell_"",""""),Upgrades!$B$3:$B$13,0))*1.15^(COUNTIF(Q$4:Q260,SUBSTITUTE(Q261,""Sell_"",""""))-COUNTIF(Q$4:Q260,"&amp;"""Sell_""&amp;SUBSTITUTE(Q261,""Sell_"",""""))))/2),ROUNDUP(INDEX(Upgrades!$C$3:$C$13,MATCH(Q261,Upgrades!$B$3:$B$13,0))*1.15^(COUNTIF(Q$4:Q260,Q261)-COUNTIF(Q$4:Q260,""Sell_""&amp;Q261))))))"),52900.0)</f>
        <v>52900</v>
      </c>
      <c r="V261" s="10">
        <f t="shared" si="11"/>
        <v>52900</v>
      </c>
      <c r="W261" s="68">
        <f t="shared" si="12"/>
        <v>4302.917344</v>
      </c>
      <c r="X261" s="59" t="str">
        <f t="shared" si="13"/>
        <v>1h 11m 42s</v>
      </c>
      <c r="Y261" s="69">
        <f t="shared" si="14"/>
        <v>186659867</v>
      </c>
      <c r="Z261" s="11"/>
    </row>
    <row r="262">
      <c r="A262" s="8"/>
      <c r="B262" s="56" t="str">
        <f t="shared" si="2"/>
        <v/>
      </c>
      <c r="C262" s="57"/>
      <c r="D262" s="10" t="str">
        <f>IFERROR(__xludf.DUMMYFUNCTION("IF(COUNTA(C262:C1350)=0,"""",IF(ISBLANK(C262),FALSE,IF(NOT(COUNTIF($AA$24:$AA$34,SUBSTITUTE(C262,""Sell_"",""""))),1,IF(REGEXMATCH(C262,""Sell_""),IF(COUNTIF(C$4:C262,SUBSTITUTE(C262,""Sell_"",""""))-COUNTIF(C$4:C261,C262)&lt;1,1),FALSE))))"),"")</f>
        <v/>
      </c>
      <c r="E262" s="59" t="str">
        <f t="array" ref="E262">IF(COUNTA(C262:C1350)=0,"",SUM((COUNTIF(C$4:C262,Upgrades!$B$3:$B$13)-COUNTIF(C$4:C262,"Sell_"&amp;Upgrades!$B$3:$B$13))*Upgrades!$D$3:$D$13))</f>
        <v/>
      </c>
      <c r="F262" s="66" t="str">
        <f>IFERROR(__xludf.DUMMYFUNCTION("IF(COUNTA(C262:C1350)=0,"""",IF(REGEXMATCH(INDEX(FILTER(C$4:C262,C$4:C262&lt;&gt;""""),ROWS(FILTER(C$4:C262,C$4:C262&lt;&gt;""""))),""^Sell_""),INDEX(FILTER(F$4:F261,C$4:C261&lt;&gt;""""),ROWS(FILTER(C$4:C261,C$4:C261&lt;&gt;""""))),$AC$5+E262))"),"")</f>
        <v/>
      </c>
      <c r="G262" s="10" t="str">
        <f>IFERROR(__xludf.DUMMYFUNCTION("IF(COUNTA(C262:C1350)=0,"""",IF(C262="""",0,IF(REGEXMATCH(C262,""^Sell_""),-ROUNDDOWN(ROUNDUP(INDEX(Upgrades!$C$3:$C$13,MATCH(SUBSTITUTE(C262,""Sell_"",""""),Upgrades!$B$3:$B$13,0))*1.15^(COUNTIF(C$4:C261,SUBSTITUTE(C262,""Sell_"",""""))-COUNTIF(C$4:C261,"&amp;"""Sell_""&amp;SUBSTITUTE(C262,""Sell_"",""""))))/2),ROUNDUP(INDEX(Upgrades!$C$3:$C$13,MATCH(C262,Upgrades!$B$3:$B$13,0))*1.15^(COUNTIF(C$4:C261,C262)-COUNTIF(C$4:C261,""Sell_""&amp;C262))))))"),"")</f>
        <v/>
      </c>
      <c r="H262" s="10" t="str">
        <f t="shared" si="3"/>
        <v/>
      </c>
      <c r="I262" s="68" t="str">
        <f t="shared" si="4"/>
        <v/>
      </c>
      <c r="J262" s="59" t="str">
        <f t="shared" si="5"/>
        <v/>
      </c>
      <c r="K262" s="69" t="str">
        <f t="shared" si="6"/>
        <v/>
      </c>
      <c r="L262" s="60">
        <f t="shared" si="7"/>
        <v>-151.54829</v>
      </c>
      <c r="M262" s="61">
        <f>IFERROR(__xludf.DUMMYFUNCTION("IFS(AND(COUNTA(C262:C1350)=0,COUNTA(Q262:Q1350)=0),"""",OR(AND(K262&gt;=1000000000,OR(Y262&gt;=1000000000,COUNTA(Q262:Q1350)=0)),OR(Y262&gt;=1000000000,AND(COUNTA(C262:C1350)=0,P$3=TRUE))),
ROUNDDOWN((AB$1-AC$1)*MAX(INDEX(T$4:T1350,MATCH(LARGE(FILTER(Y$4:Y1350,Y$4"&amp;":Y1350&lt;1000000000),1),Y$4:Y1350)),INDEX(F$4:F1350,MATCH(LARGE(FILTER(K$4:K1350,K$4:K1350&lt;1000000000),1),K$4:K1350)))),AND(K262&lt;1000000000,COUNTA(C262:C1350)&gt;0,P$3=FALSE),
ROUNDDOWN(INDEX(Y$4:Y1350,MATCH(LARGE(FILTER(W$4:W1350,W$4:W1350&lt;=I262),1),W$4:W1350"&amp;"))+(I262-LARGE(FILTER(W$4:W1350,W$4:W1350&lt;=I262),1))*INDEX(T$4:T1350,MATCH(LARGE(FILTER(W$4:W1350,W$4:W1350&lt;=I262),1),W$4:W1350))-K262),1,
ROUNDDOWN(Y262-INDEX(K$4:K1350,MATCH(LARGE(FILTER(I$4:I1350,I$4:I1350&lt;=W262),1),I$4:I1350))-(W262-LARGE(FILTER(I$4:I"&amp;"1350,I$4:I1350&lt;=W262),1))*INDEX(F$4:F1350,MATCH(LARGE(FILTER(I$4:I1350,I$4:I1350&lt;=W262),1),I$4:I1350))))"),1.7251575E7)</f>
        <v>17251575</v>
      </c>
      <c r="N262" s="60">
        <f t="shared" si="8"/>
        <v>-151.54829</v>
      </c>
      <c r="O262" s="61" t="str">
        <f t="shared" si="9"/>
        <v>17,3M</v>
      </c>
      <c r="P262" s="56">
        <f t="shared" si="10"/>
        <v>2</v>
      </c>
      <c r="Q262" s="105" t="s">
        <v>9</v>
      </c>
      <c r="R262" s="10" t="b">
        <f>IFERROR(__xludf.DUMMYFUNCTION("IF(COUNTA(Q262:Q1350)=0,"""",IF(ISBLANK(Q262),FALSE,IF(NOT(COUNTIF($AA$24:$AA$34,SUBSTITUTE(Q262,""Sell_"",""""))),1,IF(REGEXMATCH(Q262,""Sell_""),IF(COUNTIF(Q$4:Q262,SUBSTITUTE(Q262,""Sell_"",""""))-COUNTIF(Q$4:Q261,Q262)&lt;1,1),FALSE))))"),FALSE)</f>
        <v>0</v>
      </c>
      <c r="S262" s="59">
        <f t="array" ref="S262">IF(COUNTA(Q262:Q1350)=0,"",SUM((COUNTIF(Q$4:Q262,Upgrades!$B$3:$B$13)-COUNTIF(Q$4:Q262,"Sell_"&amp;Upgrades!$B$3:$B$13))*Upgrades!$D$3:$D$13))</f>
        <v>167010</v>
      </c>
      <c r="T262" s="66">
        <f>IFERROR(__xludf.DUMMYFUNCTION("IF(COUNTA(Q262:Q1350)=0,"""",IF(REGEXMATCH(INDEX(FILTER(Q$4:Q262,Q$4:Q262&lt;&gt;""""),ROWS(FILTER(Q$4:Q262,Q$4:Q262&lt;&gt;""""))),""^Sell_""),INDEX(FILTER(T$4:T261,Q$4:Q261&lt;&gt;""""),ROWS(FILTER(Q$4:Q261,Q$4:Q261&lt;&gt;""""))),$AD$5+S262))"),167210.0)</f>
        <v>167210</v>
      </c>
      <c r="U262" s="10">
        <f>IFERROR(__xludf.DUMMYFUNCTION("IF(COUNTA(Q262:Q1350)=0,"""",IF(Q262="""",0,IF(REGEXMATCH(Q262,""^Sell_""),-ROUNDDOWN(ROUNDUP(INDEX(Upgrades!$C$3:$C$13,MATCH(SUBSTITUTE(Q262,""Sell_"",""""),Upgrades!$B$3:$B$13,0))*1.15^(COUNTIF(Q$4:Q261,SUBSTITUTE(Q262,""Sell_"",""""))-COUNTIF(Q$4:Q261,"&amp;"""Sell_""&amp;SUBSTITUTE(Q262,""Sell_"",""""))))/2),ROUNDUP(INDEX(Upgrades!$C$3:$C$13,MATCH(Q262,Upgrades!$B$3:$B$13,0))*1.15^(COUNTIF(Q$4:Q261,Q262)-COUNTIF(Q$4:Q261,""Sell_""&amp;Q262))))))"),230000.0)</f>
        <v>230000</v>
      </c>
      <c r="V262" s="10">
        <f t="shared" si="11"/>
        <v>230000</v>
      </c>
      <c r="W262" s="68">
        <f t="shared" si="12"/>
        <v>4304.296158</v>
      </c>
      <c r="X262" s="59" t="str">
        <f t="shared" si="13"/>
        <v>1h 11m 44s</v>
      </c>
      <c r="Y262" s="69">
        <f t="shared" si="14"/>
        <v>186889867</v>
      </c>
      <c r="Z262" s="11"/>
    </row>
    <row r="263">
      <c r="A263" s="8"/>
      <c r="B263" s="56" t="str">
        <f t="shared" si="2"/>
        <v/>
      </c>
      <c r="C263" s="57"/>
      <c r="D263" s="10" t="str">
        <f>IFERROR(__xludf.DUMMYFUNCTION("IF(COUNTA(C263:C1350)=0,"""",IF(ISBLANK(C263),FALSE,IF(NOT(COUNTIF($AA$24:$AA$34,SUBSTITUTE(C263,""Sell_"",""""))),1,IF(REGEXMATCH(C263,""Sell_""),IF(COUNTIF(C$4:C263,SUBSTITUTE(C263,""Sell_"",""""))-COUNTIF(C$4:C262,C263)&lt;1,1),FALSE))))"),"")</f>
        <v/>
      </c>
      <c r="E263" s="59" t="str">
        <f t="array" ref="E263">IF(COUNTA(C263:C1350)=0,"",SUM((COUNTIF(C$4:C263,Upgrades!$B$3:$B$13)-COUNTIF(C$4:C263,"Sell_"&amp;Upgrades!$B$3:$B$13))*Upgrades!$D$3:$D$13))</f>
        <v/>
      </c>
      <c r="F263" s="66" t="str">
        <f>IFERROR(__xludf.DUMMYFUNCTION("IF(COUNTA(C263:C1350)=0,"""",IF(REGEXMATCH(INDEX(FILTER(C$4:C263,C$4:C263&lt;&gt;""""),ROWS(FILTER(C$4:C263,C$4:C263&lt;&gt;""""))),""^Sell_""),INDEX(FILTER(F$4:F262,C$4:C262&lt;&gt;""""),ROWS(FILTER(C$4:C262,C$4:C262&lt;&gt;""""))),$AC$5+E263))"),"")</f>
        <v/>
      </c>
      <c r="G263" s="10" t="str">
        <f>IFERROR(__xludf.DUMMYFUNCTION("IF(COUNTA(C263:C1350)=0,"""",IF(C263="""",0,IF(REGEXMATCH(C263,""^Sell_""),-ROUNDDOWN(ROUNDUP(INDEX(Upgrades!$C$3:$C$13,MATCH(SUBSTITUTE(C263,""Sell_"",""""),Upgrades!$B$3:$B$13,0))*1.15^(COUNTIF(C$4:C262,SUBSTITUTE(C263,""Sell_"",""""))-COUNTIF(C$4:C262,"&amp;"""Sell_""&amp;SUBSTITUTE(C263,""Sell_"",""""))))/2),ROUNDUP(INDEX(Upgrades!$C$3:$C$13,MATCH(C263,Upgrades!$B$3:$B$13,0))*1.15^(COUNTIF(C$4:C262,C263)-COUNTIF(C$4:C262,""Sell_""&amp;C263))))))"),"")</f>
        <v/>
      </c>
      <c r="H263" s="10" t="str">
        <f t="shared" si="3"/>
        <v/>
      </c>
      <c r="I263" s="68" t="str">
        <f t="shared" si="4"/>
        <v/>
      </c>
      <c r="J263" s="59" t="str">
        <f t="shared" si="5"/>
        <v/>
      </c>
      <c r="K263" s="69" t="str">
        <f t="shared" si="6"/>
        <v/>
      </c>
      <c r="L263" s="60">
        <f t="shared" si="7"/>
        <v>-151.61315</v>
      </c>
      <c r="M263" s="61">
        <f>IFERROR(__xludf.DUMMYFUNCTION("IFS(AND(COUNTA(C263:C1350)=0,COUNTA(Q263:Q1350)=0),"""",OR(AND(K263&gt;=1000000000,OR(Y263&gt;=1000000000,COUNTA(Q263:Q1350)=0)),OR(Y263&gt;=1000000000,AND(COUNTA(C263:C1350)=0,P$3=TRUE))),
ROUNDDOWN((AB$1-AC$1)*MAX(INDEX(T$4:T1350,MATCH(LARGE(FILTER(Y$4:Y1350,Y$4"&amp;":Y1350&lt;1000000000),1),Y$4:Y1350)),INDEX(F$4:F1350,MATCH(LARGE(FILTER(K$4:K1350,K$4:K1350&lt;1000000000),1),K$4:K1350)))),AND(K263&lt;1000000000,COUNTA(C263:C1350)&gt;0,P$3=FALSE),
ROUNDDOWN(INDEX(Y$4:Y1350,MATCH(LARGE(FILTER(W$4:W1350,W$4:W1350&lt;=I263),1),W$4:W1350"&amp;"))+(I263-LARGE(FILTER(W$4:W1350,W$4:W1350&lt;=I263),1))*INDEX(T$4:T1350,MATCH(LARGE(FILTER(W$4:W1350,W$4:W1350&lt;=I263),1),W$4:W1350))-K263),1,
ROUNDDOWN(Y263-INDEX(K$4:K1350,MATCH(LARGE(FILTER(I$4:I1350,I$4:I1350&lt;=W263),1),I$4:I1350))-(W263-LARGE(FILTER(I$4:I"&amp;"1350,I$4:I1350&lt;=W263),1))*INDEX(F$4:F1350,MATCH(LARGE(FILTER(I$4:I1350,I$4:I1350&lt;=W263),1),I$4:I1350))))"),1.7258959E7)</f>
        <v>17258959</v>
      </c>
      <c r="N263" s="60">
        <f t="shared" si="8"/>
        <v>-151.61315</v>
      </c>
      <c r="O263" s="61" t="str">
        <f t="shared" si="9"/>
        <v>17,3M</v>
      </c>
      <c r="P263" s="56">
        <f t="shared" si="10"/>
        <v>7</v>
      </c>
      <c r="Q263" s="105" t="s">
        <v>7</v>
      </c>
      <c r="R263" s="10" t="b">
        <f>IFERROR(__xludf.DUMMYFUNCTION("IF(COUNTA(Q263:Q1350)=0,"""",IF(ISBLANK(Q263),FALSE,IF(NOT(COUNTIF($AA$24:$AA$34,SUBSTITUTE(Q263,""Sell_"",""""))),1,IF(REGEXMATCH(Q263,""Sell_""),IF(COUNTIF(Q$4:Q263,SUBSTITUTE(Q263,""Sell_"",""""))-COUNTIF(Q$4:Q262,Q263)&lt;1,1),FALSE))))"),FALSE)</f>
        <v>0</v>
      </c>
      <c r="S263" s="59">
        <f t="array" ref="S263">IF(COUNTA(Q263:Q1350)=0,"",SUM((COUNTIF(Q$4:Q263,Upgrades!$B$3:$B$13)-COUNTIF(Q$4:Q263,"Sell_"&amp;Upgrades!$B$3:$B$13))*Upgrades!$D$3:$D$13))</f>
        <v>167050</v>
      </c>
      <c r="T263" s="66">
        <f>IFERROR(__xludf.DUMMYFUNCTION("IF(COUNTA(Q263:Q1350)=0,"""",IF(REGEXMATCH(INDEX(FILTER(Q$4:Q263,Q$4:Q263&lt;&gt;""""),ROWS(FILTER(Q$4:Q263,Q$4:Q263&lt;&gt;""""))),""^Sell_""),INDEX(FILTER(T$4:T262,Q$4:Q262&lt;&gt;""""),ROWS(FILTER(Q$4:Q262,Q$4:Q262&lt;&gt;""""))),$AD$5+S263))"),167250.0)</f>
        <v>167250</v>
      </c>
      <c r="U263" s="10">
        <f>IFERROR(__xludf.DUMMYFUNCTION("IF(COUNTA(Q263:Q1350)=0,"""",IF(Q263="""",0,IF(REGEXMATCH(Q263,""^Sell_""),-ROUNDDOWN(ROUNDUP(INDEX(Upgrades!$C$3:$C$13,MATCH(SUBSTITUTE(Q263,""Sell_"",""""),Upgrades!$B$3:$B$13,0))*1.15^(COUNTIF(Q$4:Q262,SUBSTITUTE(Q263,""Sell_"",""""))-COUNTIF(Q$4:Q262,"&amp;"""Sell_""&amp;SUBSTITUTE(Q263,""Sell_"",""""))))/2),ROUNDUP(INDEX(Upgrades!$C$3:$C$13,MATCH(Q263,Upgrades!$B$3:$B$13,0))*1.15^(COUNTIF(Q$4:Q262,Q263)-COUNTIF(Q$4:Q262,""Sell_""&amp;Q263))))))"),23131.0)</f>
        <v>23131</v>
      </c>
      <c r="V263" s="10">
        <f t="shared" si="11"/>
        <v>23131</v>
      </c>
      <c r="W263" s="68">
        <f t="shared" si="12"/>
        <v>4304.434493</v>
      </c>
      <c r="X263" s="59" t="str">
        <f t="shared" si="13"/>
        <v>1h 11m 44s</v>
      </c>
      <c r="Y263" s="69">
        <f t="shared" si="14"/>
        <v>186912998</v>
      </c>
      <c r="Z263" s="11"/>
    </row>
    <row r="264">
      <c r="A264" s="8"/>
      <c r="B264" s="56" t="str">
        <f t="shared" si="2"/>
        <v/>
      </c>
      <c r="C264" s="57"/>
      <c r="D264" s="10" t="str">
        <f>IFERROR(__xludf.DUMMYFUNCTION("IF(COUNTA(C264:C1350)=0,"""",IF(ISBLANK(C264),FALSE,IF(NOT(COUNTIF($AA$24:$AA$34,SUBSTITUTE(C264,""Sell_"",""""))),1,IF(REGEXMATCH(C264,""Sell_""),IF(COUNTIF(C$4:C264,SUBSTITUTE(C264,""Sell_"",""""))-COUNTIF(C$4:C263,C264)&lt;1,1),FALSE))))"),"")</f>
        <v/>
      </c>
      <c r="E264" s="59" t="str">
        <f t="array" ref="E264">IF(COUNTA(C264:C1350)=0,"",SUM((COUNTIF(C$4:C264,Upgrades!$B$3:$B$13)-COUNTIF(C$4:C264,"Sell_"&amp;Upgrades!$B$3:$B$13))*Upgrades!$D$3:$D$13))</f>
        <v/>
      </c>
      <c r="F264" s="66" t="str">
        <f>IFERROR(__xludf.DUMMYFUNCTION("IF(COUNTA(C264:C1350)=0,"""",IF(REGEXMATCH(INDEX(FILTER(C$4:C264,C$4:C264&lt;&gt;""""),ROWS(FILTER(C$4:C264,C$4:C264&lt;&gt;""""))),""^Sell_""),INDEX(FILTER(F$4:F263,C$4:C263&lt;&gt;""""),ROWS(FILTER(C$4:C263,C$4:C263&lt;&gt;""""))),$AC$5+E264))"),"")</f>
        <v/>
      </c>
      <c r="G264" s="10" t="str">
        <f>IFERROR(__xludf.DUMMYFUNCTION("IF(COUNTA(C264:C1350)=0,"""",IF(C264="""",0,IF(REGEXMATCH(C264,""^Sell_""),-ROUNDDOWN(ROUNDUP(INDEX(Upgrades!$C$3:$C$13,MATCH(SUBSTITUTE(C264,""Sell_"",""""),Upgrades!$B$3:$B$13,0))*1.15^(COUNTIF(C$4:C263,SUBSTITUTE(C264,""Sell_"",""""))-COUNTIF(C$4:C263,"&amp;"""Sell_""&amp;SUBSTITUTE(C264,""Sell_"",""""))))/2),ROUNDUP(INDEX(Upgrades!$C$3:$C$13,MATCH(C264,Upgrades!$B$3:$B$13,0))*1.15^(COUNTIF(C$4:C263,C264)-COUNTIF(C$4:C263,""Sell_""&amp;C264))))))"),"")</f>
        <v/>
      </c>
      <c r="H264" s="10" t="str">
        <f t="shared" si="3"/>
        <v/>
      </c>
      <c r="I264" s="68" t="str">
        <f t="shared" si="4"/>
        <v/>
      </c>
      <c r="J264" s="59" t="str">
        <f t="shared" si="5"/>
        <v/>
      </c>
      <c r="K264" s="69" t="str">
        <f t="shared" si="6"/>
        <v/>
      </c>
      <c r="L264" s="60">
        <f t="shared" si="7"/>
        <v>-151.78383</v>
      </c>
      <c r="M264" s="61">
        <f>IFERROR(__xludf.DUMMYFUNCTION("IFS(AND(COUNTA(C264:C1350)=0,COUNTA(Q264:Q1350)=0),"""",OR(AND(K264&gt;=1000000000,OR(Y264&gt;=1000000000,COUNTA(Q264:Q1350)=0)),OR(Y264&gt;=1000000000,AND(COUNTA(C264:C1350)=0,P$3=TRUE))),
ROUNDDOWN((AB$1-AC$1)*MAX(INDEX(T$4:T1350,MATCH(LARGE(FILTER(Y$4:Y1350,Y$4"&amp;":Y1350&lt;1000000000),1),Y$4:Y1350)),INDEX(F$4:F1350,MATCH(LARGE(FILTER(K$4:K1350,K$4:K1350&lt;1000000000),1),K$4:K1350)))),AND(K264&lt;1000000000,COUNTA(C264:C1350)&gt;0,P$3=FALSE),
ROUNDDOWN(INDEX(Y$4:Y1350,MATCH(LARGE(FILTER(W$4:W1350,W$4:W1350&lt;=I264),1),W$4:W1350"&amp;"))+(I264-LARGE(FILTER(W$4:W1350,W$4:W1350&lt;=I264),1))*INDEX(T$4:T1350,MATCH(LARGE(FILTER(W$4:W1350,W$4:W1350&lt;=I264),1),W$4:W1350))-K264),1,
ROUNDDOWN(Y264-INDEX(K$4:K1350,MATCH(LARGE(FILTER(I$4:I1350,I$4:I1350&lt;=W264),1),I$4:I1350))-(W264-LARGE(FILTER(I$4:I"&amp;"1350,I$4:I1350&lt;=W264),1))*INDEX(F$4:F1350,MATCH(LARGE(FILTER(I$4:I1350,I$4:I1350&lt;=W264),1),I$4:I1350))))"),1.7278388E7)</f>
        <v>17278388</v>
      </c>
      <c r="N264" s="60">
        <f t="shared" si="8"/>
        <v>-151.78383</v>
      </c>
      <c r="O264" s="61" t="str">
        <f t="shared" si="9"/>
        <v>17,3M</v>
      </c>
      <c r="P264" s="56">
        <f t="shared" si="10"/>
        <v>4</v>
      </c>
      <c r="Q264" s="105" t="s">
        <v>8</v>
      </c>
      <c r="R264" s="10" t="b">
        <f>IFERROR(__xludf.DUMMYFUNCTION("IF(COUNTA(Q264:Q1350)=0,"""",IF(ISBLANK(Q264),FALSE,IF(NOT(COUNTIF($AA$24:$AA$34,SUBSTITUTE(Q264,""Sell_"",""""))),1,IF(REGEXMATCH(Q264,""Sell_""),IF(COUNTIF(Q$4:Q264,SUBSTITUTE(Q264,""Sell_"",""""))-COUNTIF(Q$4:Q263,Q264)&lt;1,1),FALSE))))"),FALSE)</f>
        <v>0</v>
      </c>
      <c r="S264" s="59">
        <f t="array" ref="S264">IF(COUNTA(Q264:Q1350)=0,"",SUM((COUNTIF(Q$4:Q264,Upgrades!$B$3:$B$13)-COUNTIF(Q$4:Q264,"Sell_"&amp;Upgrades!$B$3:$B$13))*Upgrades!$D$3:$D$13))</f>
        <v>167150</v>
      </c>
      <c r="T264" s="66">
        <f>IFERROR(__xludf.DUMMYFUNCTION("IF(COUNTA(Q264:Q1350)=0,"""",IF(REGEXMATCH(INDEX(FILTER(Q$4:Q264,Q$4:Q264&lt;&gt;""""),ROWS(FILTER(Q$4:Q264,Q$4:Q264&lt;&gt;""""))),""^Sell_""),INDEX(FILTER(T$4:T263,Q$4:Q263&lt;&gt;""""),ROWS(FILTER(Q$4:Q263,Q$4:Q263&lt;&gt;""""))),$AD$5+S264))"),167350.0)</f>
        <v>167350</v>
      </c>
      <c r="U264" s="10">
        <f>IFERROR(__xludf.DUMMYFUNCTION("IF(COUNTA(Q264:Q1350)=0,"""",IF(Q264="""",0,IF(REGEXMATCH(Q264,""^Sell_""),-ROUNDDOWN(ROUNDUP(INDEX(Upgrades!$C$3:$C$13,MATCH(SUBSTITUTE(Q264,""Sell_"",""""),Upgrades!$B$3:$B$13,0))*1.15^(COUNTIF(Q$4:Q263,SUBSTITUTE(Q264,""Sell_"",""""))-COUNTIF(Q$4:Q263,"&amp;"""Sell_""&amp;SUBSTITUTE(Q264,""Sell_"",""""))))/2),ROUNDUP(INDEX(Upgrades!$C$3:$C$13,MATCH(Q264,Upgrades!$B$3:$B$13,0))*1.15^(COUNTIF(Q$4:Q263,Q264)-COUNTIF(Q$4:Q263,""Sell_""&amp;Q264))))))"),60835.0)</f>
        <v>60835</v>
      </c>
      <c r="V264" s="10">
        <f t="shared" si="11"/>
        <v>60835</v>
      </c>
      <c r="W264" s="68">
        <f t="shared" si="12"/>
        <v>4304.79823</v>
      </c>
      <c r="X264" s="59" t="str">
        <f t="shared" si="13"/>
        <v>1h 11m 44s</v>
      </c>
      <c r="Y264" s="69">
        <f t="shared" si="14"/>
        <v>186973833</v>
      </c>
      <c r="Z264" s="11"/>
    </row>
    <row r="265">
      <c r="A265" s="8"/>
      <c r="B265" s="56" t="str">
        <f t="shared" si="2"/>
        <v/>
      </c>
      <c r="C265" s="57"/>
      <c r="D265" s="10" t="str">
        <f>IFERROR(__xludf.DUMMYFUNCTION("IF(COUNTA(C265:C1350)=0,"""",IF(ISBLANK(C265),FALSE,IF(NOT(COUNTIF($AA$24:$AA$34,SUBSTITUTE(C265,""Sell_"",""""))),1,IF(REGEXMATCH(C265,""Sell_""),IF(COUNTIF(C$4:C265,SUBSTITUTE(C265,""Sell_"",""""))-COUNTIF(C$4:C264,C265)&lt;1,1),FALSE))))"),"")</f>
        <v/>
      </c>
      <c r="E265" s="59" t="str">
        <f t="array" ref="E265">IF(COUNTA(C265:C1350)=0,"",SUM((COUNTIF(C$4:C265,Upgrades!$B$3:$B$13)-COUNTIF(C$4:C265,"Sell_"&amp;Upgrades!$B$3:$B$13))*Upgrades!$D$3:$D$13))</f>
        <v/>
      </c>
      <c r="F265" s="66" t="str">
        <f>IFERROR(__xludf.DUMMYFUNCTION("IF(COUNTA(C265:C1350)=0,"""",IF(REGEXMATCH(INDEX(FILTER(C$4:C265,C$4:C265&lt;&gt;""""),ROWS(FILTER(C$4:C265,C$4:C265&lt;&gt;""""))),""^Sell_""),INDEX(FILTER(F$4:F264,C$4:C264&lt;&gt;""""),ROWS(FILTER(C$4:C264,C$4:C264&lt;&gt;""""))),$AC$5+E265))"),"")</f>
        <v/>
      </c>
      <c r="G265" s="10" t="str">
        <f>IFERROR(__xludf.DUMMYFUNCTION("IF(COUNTA(C265:C1350)=0,"""",IF(C265="""",0,IF(REGEXMATCH(C265,""^Sell_""),-ROUNDDOWN(ROUNDUP(INDEX(Upgrades!$C$3:$C$13,MATCH(SUBSTITUTE(C265,""Sell_"",""""),Upgrades!$B$3:$B$13,0))*1.15^(COUNTIF(C$4:C264,SUBSTITUTE(C265,""Sell_"",""""))-COUNTIF(C$4:C264,"&amp;"""Sell_""&amp;SUBSTITUTE(C265,""Sell_"",""""))))/2),ROUNDUP(INDEX(Upgrades!$C$3:$C$13,MATCH(C265,Upgrades!$B$3:$B$13,0))*1.15^(COUNTIF(C$4:C264,C265)-COUNTIF(C$4:C264,""Sell_""&amp;C265))))))"),"")</f>
        <v/>
      </c>
      <c r="H265" s="10" t="str">
        <f t="shared" si="3"/>
        <v/>
      </c>
      <c r="I265" s="68" t="str">
        <f t="shared" si="4"/>
        <v/>
      </c>
      <c r="J265" s="59" t="str">
        <f t="shared" si="5"/>
        <v/>
      </c>
      <c r="K265" s="69" t="str">
        <f t="shared" si="6"/>
        <v/>
      </c>
      <c r="L265" s="60">
        <f t="shared" si="7"/>
        <v>-152.52683</v>
      </c>
      <c r="M265" s="61">
        <f>IFERROR(__xludf.DUMMYFUNCTION("IFS(AND(COUNTA(C265:C1350)=0,COUNTA(Q265:Q1350)=0),"""",OR(AND(K265&gt;=1000000000,OR(Y265&gt;=1000000000,COUNTA(Q265:Q1350)=0)),OR(Y265&gt;=1000000000,AND(COUNTA(C265:C1350)=0,P$3=TRUE))),
ROUNDDOWN((AB$1-AC$1)*MAX(INDEX(T$4:T1350,MATCH(LARGE(FILTER(Y$4:Y1350,Y$4"&amp;":Y1350&lt;1000000000),1),Y$4:Y1350)),INDEX(F$4:F1350,MATCH(LARGE(FILTER(K$4:K1350,K$4:K1350&lt;1000000000),1),K$4:K1350)))),AND(K265&lt;1000000000,COUNTA(C265:C1350)&gt;0,P$3=FALSE),
ROUNDDOWN(INDEX(Y$4:Y1350,MATCH(LARGE(FILTER(W$4:W1350,W$4:W1350&lt;=I265),1),W$4:W1350"&amp;"))+(I265-LARGE(FILTER(W$4:W1350,W$4:W1350&lt;=I265),1))*INDEX(T$4:T1350,MATCH(LARGE(FILTER(W$4:W1350,W$4:W1350&lt;=I265),1),W$4:W1350))-K265),1,
ROUNDDOWN(Y265-INDEX(K$4:K1350,MATCH(LARGE(FILTER(I$4:I1350,I$4:I1350&lt;=W265),1),I$4:I1350))-(W265-LARGE(FILTER(I$4:I"&amp;"1350,I$4:I1350&lt;=W265),1))*INDEX(F$4:F1350,MATCH(LARGE(FILTER(I$4:I1350,I$4:I1350&lt;=W265),1),I$4:I1350))))"),1.7362968E7)</f>
        <v>17362968</v>
      </c>
      <c r="N265" s="60">
        <f t="shared" si="8"/>
        <v>-152.52683</v>
      </c>
      <c r="O265" s="61" t="str">
        <f t="shared" si="9"/>
        <v>17,4M</v>
      </c>
      <c r="P265" s="56">
        <f t="shared" si="10"/>
        <v>3</v>
      </c>
      <c r="Q265" s="105" t="s">
        <v>9</v>
      </c>
      <c r="R265" s="10" t="b">
        <f>IFERROR(__xludf.DUMMYFUNCTION("IF(COUNTA(Q265:Q1350)=0,"""",IF(ISBLANK(Q265),FALSE,IF(NOT(COUNTIF($AA$24:$AA$34,SUBSTITUTE(Q265,""Sell_"",""""))),1,IF(REGEXMATCH(Q265,""Sell_""),IF(COUNTIF(Q$4:Q265,SUBSTITUTE(Q265,""Sell_"",""""))-COUNTIF(Q$4:Q264,Q265)&lt;1,1),FALSE))))"),FALSE)</f>
        <v>0</v>
      </c>
      <c r="S265" s="59">
        <f t="array" ref="S265">IF(COUNTA(Q265:Q1350)=0,"",SUM((COUNTIF(Q$4:Q265,Upgrades!$B$3:$B$13)-COUNTIF(Q$4:Q265,"Sell_"&amp;Upgrades!$B$3:$B$13))*Upgrades!$D$3:$D$13))</f>
        <v>167550</v>
      </c>
      <c r="T265" s="66">
        <f>IFERROR(__xludf.DUMMYFUNCTION("IF(COUNTA(Q265:Q1350)=0,"""",IF(REGEXMATCH(INDEX(FILTER(Q$4:Q265,Q$4:Q265&lt;&gt;""""),ROWS(FILTER(Q$4:Q265,Q$4:Q265&lt;&gt;""""))),""^Sell_""),INDEX(FILTER(T$4:T264,Q$4:Q264&lt;&gt;""""),ROWS(FILTER(Q$4:Q264,Q$4:Q264&lt;&gt;""""))),$AD$5+S265))"),167750.0)</f>
        <v>167750</v>
      </c>
      <c r="U265" s="10">
        <f>IFERROR(__xludf.DUMMYFUNCTION("IF(COUNTA(Q265:Q1350)=0,"""",IF(Q265="""",0,IF(REGEXMATCH(Q265,""^Sell_""),-ROUNDDOWN(ROUNDUP(INDEX(Upgrades!$C$3:$C$13,MATCH(SUBSTITUTE(Q265,""Sell_"",""""),Upgrades!$B$3:$B$13,0))*1.15^(COUNTIF(Q$4:Q264,SUBSTITUTE(Q265,""Sell_"",""""))-COUNTIF(Q$4:Q264,"&amp;"""Sell_""&amp;SUBSTITUTE(Q265,""Sell_"",""""))))/2),ROUNDUP(INDEX(Upgrades!$C$3:$C$13,MATCH(Q265,Upgrades!$B$3:$B$13,0))*1.15^(COUNTIF(Q$4:Q264,Q265)-COUNTIF(Q$4:Q264,""Sell_""&amp;Q265))))))"),264500.0)</f>
        <v>264500</v>
      </c>
      <c r="V265" s="10">
        <f t="shared" si="11"/>
        <v>264500</v>
      </c>
      <c r="W265" s="68">
        <f t="shared" si="12"/>
        <v>4306.37875</v>
      </c>
      <c r="X265" s="59" t="str">
        <f t="shared" si="13"/>
        <v>1h 11m 46s</v>
      </c>
      <c r="Y265" s="69">
        <f t="shared" si="14"/>
        <v>187238333</v>
      </c>
      <c r="Z265" s="11"/>
    </row>
    <row r="266">
      <c r="A266" s="8"/>
      <c r="B266" s="56" t="str">
        <f t="shared" si="2"/>
        <v/>
      </c>
      <c r="C266" s="57"/>
      <c r="D266" s="10" t="str">
        <f>IFERROR(__xludf.DUMMYFUNCTION("IF(COUNTA(C266:C1350)=0,"""",IF(ISBLANK(C266),FALSE,IF(NOT(COUNTIF($AA$24:$AA$34,SUBSTITUTE(C266,""Sell_"",""""))),1,IF(REGEXMATCH(C266,""Sell_""),IF(COUNTIF(C$4:C266,SUBSTITUTE(C266,""Sell_"",""""))-COUNTIF(C$4:C265,C266)&lt;1,1),FALSE))))"),"")</f>
        <v/>
      </c>
      <c r="E266" s="59" t="str">
        <f t="array" ref="E266">IF(COUNTA(C266:C1350)=0,"",SUM((COUNTIF(C$4:C266,Upgrades!$B$3:$B$13)-COUNTIF(C$4:C266,"Sell_"&amp;Upgrades!$B$3:$B$13))*Upgrades!$D$3:$D$13))</f>
        <v/>
      </c>
      <c r="F266" s="66" t="str">
        <f>IFERROR(__xludf.DUMMYFUNCTION("IF(COUNTA(C266:C1350)=0,"""",IF(REGEXMATCH(INDEX(FILTER(C$4:C266,C$4:C266&lt;&gt;""""),ROWS(FILTER(C$4:C266,C$4:C266&lt;&gt;""""))),""^Sell_""),INDEX(FILTER(F$4:F265,C$4:C265&lt;&gt;""""),ROWS(FILTER(C$4:C265,C$4:C265&lt;&gt;""""))),$AC$5+E266))"),"")</f>
        <v/>
      </c>
      <c r="G266" s="10" t="str">
        <f>IFERROR(__xludf.DUMMYFUNCTION("IF(COUNTA(C266:C1350)=0,"""",IF(C266="""",0,IF(REGEXMATCH(C266,""^Sell_""),-ROUNDDOWN(ROUNDUP(INDEX(Upgrades!$C$3:$C$13,MATCH(SUBSTITUTE(C266,""Sell_"",""""),Upgrades!$B$3:$B$13,0))*1.15^(COUNTIF(C$4:C265,SUBSTITUTE(C266,""Sell_"",""""))-COUNTIF(C$4:C265,"&amp;"""Sell_""&amp;SUBSTITUTE(C266,""Sell_"",""""))))/2),ROUNDUP(INDEX(Upgrades!$C$3:$C$13,MATCH(C266,Upgrades!$B$3:$B$13,0))*1.15^(COUNTIF(C$4:C265,C266)-COUNTIF(C$4:C265,""Sell_""&amp;C266))))))"),"")</f>
        <v/>
      </c>
      <c r="H266" s="10" t="str">
        <f t="shared" si="3"/>
        <v/>
      </c>
      <c r="I266" s="68" t="str">
        <f t="shared" si="4"/>
        <v/>
      </c>
      <c r="J266" s="59" t="str">
        <f t="shared" si="5"/>
        <v/>
      </c>
      <c r="K266" s="69" t="str">
        <f t="shared" si="6"/>
        <v/>
      </c>
      <c r="L266" s="60">
        <f t="shared" si="7"/>
        <v>-152.60194</v>
      </c>
      <c r="M266" s="61">
        <f>IFERROR(__xludf.DUMMYFUNCTION("IFS(AND(COUNTA(C266:C1350)=0,COUNTA(Q266:Q1350)=0),"""",OR(AND(K266&gt;=1000000000,OR(Y266&gt;=1000000000,COUNTA(Q266:Q1350)=0)),OR(Y266&gt;=1000000000,AND(COUNTA(C266:C1350)=0,P$3=TRUE))),
ROUNDDOWN((AB$1-AC$1)*MAX(INDEX(T$4:T1350,MATCH(LARGE(FILTER(Y$4:Y1350,Y$4"&amp;":Y1350&lt;1000000000),1),Y$4:Y1350)),INDEX(F$4:F1350,MATCH(LARGE(FILTER(K$4:K1350,K$4:K1350&lt;1000000000),1),K$4:K1350)))),AND(K266&lt;1000000000,COUNTA(C266:C1350)&gt;0,P$3=FALSE),
ROUNDDOWN(INDEX(Y$4:Y1350,MATCH(LARGE(FILTER(W$4:W1350,W$4:W1350&lt;=I266),1),W$4:W1350"&amp;"))+(I266-LARGE(FILTER(W$4:W1350,W$4:W1350&lt;=I266),1))*INDEX(T$4:T1350,MATCH(LARGE(FILTER(W$4:W1350,W$4:W1350&lt;=I266),1),W$4:W1350))-K266),1,
ROUNDDOWN(Y266-INDEX(K$4:K1350,MATCH(LARGE(FILTER(I$4:I1350,I$4:I1350&lt;=W266),1),I$4:I1350))-(W266-LARGE(FILTER(I$4:I"&amp;"1350,I$4:I1350&lt;=W266),1))*INDEX(F$4:F1350,MATCH(LARGE(FILTER(I$4:I1350,I$4:I1350&lt;=W266),1),I$4:I1350))))"),1.7371518E7)</f>
        <v>17371518</v>
      </c>
      <c r="N266" s="60">
        <f t="shared" si="8"/>
        <v>-152.60194</v>
      </c>
      <c r="O266" s="61" t="str">
        <f t="shared" si="9"/>
        <v>17,4M</v>
      </c>
      <c r="P266" s="56">
        <f t="shared" si="10"/>
        <v>8</v>
      </c>
      <c r="Q266" s="105" t="s">
        <v>7</v>
      </c>
      <c r="R266" s="10" t="b">
        <f>IFERROR(__xludf.DUMMYFUNCTION("IF(COUNTA(Q266:Q1350)=0,"""",IF(ISBLANK(Q266),FALSE,IF(NOT(COUNTIF($AA$24:$AA$34,SUBSTITUTE(Q266,""Sell_"",""""))),1,IF(REGEXMATCH(Q266,""Sell_""),IF(COUNTIF(Q$4:Q266,SUBSTITUTE(Q266,""Sell_"",""""))-COUNTIF(Q$4:Q265,Q266)&lt;1,1),FALSE))))"),FALSE)</f>
        <v>0</v>
      </c>
      <c r="S266" s="59">
        <f t="array" ref="S266">IF(COUNTA(Q266:Q1350)=0,"",SUM((COUNTIF(Q$4:Q266,Upgrades!$B$3:$B$13)-COUNTIF(Q$4:Q266,"Sell_"&amp;Upgrades!$B$3:$B$13))*Upgrades!$D$3:$D$13))</f>
        <v>167590</v>
      </c>
      <c r="T266" s="66">
        <f>IFERROR(__xludf.DUMMYFUNCTION("IF(COUNTA(Q266:Q1350)=0,"""",IF(REGEXMATCH(INDEX(FILTER(Q$4:Q266,Q$4:Q266&lt;&gt;""""),ROWS(FILTER(Q$4:Q266,Q$4:Q266&lt;&gt;""""))),""^Sell_""),INDEX(FILTER(T$4:T265,Q$4:Q265&lt;&gt;""""),ROWS(FILTER(Q$4:Q265,Q$4:Q265&lt;&gt;""""))),$AD$5+S266))"),167790.0)</f>
        <v>167790</v>
      </c>
      <c r="U266" s="10">
        <f>IFERROR(__xludf.DUMMYFUNCTION("IF(COUNTA(Q266:Q1350)=0,"""",IF(Q266="""",0,IF(REGEXMATCH(Q266,""^Sell_""),-ROUNDDOWN(ROUNDUP(INDEX(Upgrades!$C$3:$C$13,MATCH(SUBSTITUTE(Q266,""Sell_"",""""),Upgrades!$B$3:$B$13,0))*1.15^(COUNTIF(Q$4:Q265,SUBSTITUTE(Q266,""Sell_"",""""))-COUNTIF(Q$4:Q265,"&amp;"""Sell_""&amp;SUBSTITUTE(Q266,""Sell_"",""""))))/2),ROUNDUP(INDEX(Upgrades!$C$3:$C$13,MATCH(Q266,Upgrades!$B$3:$B$13,0))*1.15^(COUNTIF(Q$4:Q265,Q266)-COUNTIF(Q$4:Q265,""Sell_""&amp;Q266))))))"),26601.0)</f>
        <v>26601</v>
      </c>
      <c r="V266" s="10">
        <f t="shared" si="11"/>
        <v>26601</v>
      </c>
      <c r="W266" s="68">
        <f t="shared" si="12"/>
        <v>4306.537325</v>
      </c>
      <c r="X266" s="59" t="str">
        <f t="shared" si="13"/>
        <v>1h 11m 46s</v>
      </c>
      <c r="Y266" s="69">
        <f t="shared" si="14"/>
        <v>187264934</v>
      </c>
      <c r="Z266" s="11"/>
    </row>
    <row r="267">
      <c r="A267" s="8"/>
      <c r="B267" s="56" t="str">
        <f t="shared" si="2"/>
        <v/>
      </c>
      <c r="C267" s="57"/>
      <c r="D267" s="10" t="str">
        <f>IFERROR(__xludf.DUMMYFUNCTION("IF(COUNTA(C267:C1350)=0,"""",IF(ISBLANK(C267),FALSE,IF(NOT(COUNTIF($AA$24:$AA$34,SUBSTITUTE(C267,""Sell_"",""""))),1,IF(REGEXMATCH(C267,""Sell_""),IF(COUNTIF(C$4:C267,SUBSTITUTE(C267,""Sell_"",""""))-COUNTIF(C$4:C266,C267)&lt;1,1),FALSE))))"),"")</f>
        <v/>
      </c>
      <c r="E267" s="59" t="str">
        <f t="array" ref="E267">IF(COUNTA(C267:C1350)=0,"",SUM((COUNTIF(C$4:C267,Upgrades!$B$3:$B$13)-COUNTIF(C$4:C267,"Sell_"&amp;Upgrades!$B$3:$B$13))*Upgrades!$D$3:$D$13))</f>
        <v/>
      </c>
      <c r="F267" s="66" t="str">
        <f>IFERROR(__xludf.DUMMYFUNCTION("IF(COUNTA(C267:C1350)=0,"""",IF(REGEXMATCH(INDEX(FILTER(C$4:C267,C$4:C267&lt;&gt;""""),ROWS(FILTER(C$4:C267,C$4:C267&lt;&gt;""""))),""^Sell_""),INDEX(FILTER(F$4:F266,C$4:C266&lt;&gt;""""),ROWS(FILTER(C$4:C266,C$4:C266&lt;&gt;""""))),$AC$5+E267))"),"")</f>
        <v/>
      </c>
      <c r="G267" s="10" t="str">
        <f>IFERROR(__xludf.DUMMYFUNCTION("IF(COUNTA(C267:C1350)=0,"""",IF(C267="""",0,IF(REGEXMATCH(C267,""^Sell_""),-ROUNDDOWN(ROUNDUP(INDEX(Upgrades!$C$3:$C$13,MATCH(SUBSTITUTE(C267,""Sell_"",""""),Upgrades!$B$3:$B$13,0))*1.15^(COUNTIF(C$4:C266,SUBSTITUTE(C267,""Sell_"",""""))-COUNTIF(C$4:C266,"&amp;"""Sell_""&amp;SUBSTITUTE(C267,""Sell_"",""""))))/2),ROUNDUP(INDEX(Upgrades!$C$3:$C$13,MATCH(C267,Upgrades!$B$3:$B$13,0))*1.15^(COUNTIF(C$4:C266,C267)-COUNTIF(C$4:C266,""Sell_""&amp;C267))))))"),"")</f>
        <v/>
      </c>
      <c r="H267" s="10" t="str">
        <f t="shared" si="3"/>
        <v/>
      </c>
      <c r="I267" s="68" t="str">
        <f t="shared" si="4"/>
        <v/>
      </c>
      <c r="J267" s="59" t="str">
        <f t="shared" si="5"/>
        <v/>
      </c>
      <c r="K267" s="69" t="str">
        <f t="shared" si="6"/>
        <v/>
      </c>
      <c r="L267" s="60">
        <f t="shared" si="7"/>
        <v>-152.79956</v>
      </c>
      <c r="M267" s="61">
        <f>IFERROR(__xludf.DUMMYFUNCTION("IFS(AND(COUNTA(C267:C1350)=0,COUNTA(Q267:Q1350)=0),"""",OR(AND(K267&gt;=1000000000,OR(Y267&gt;=1000000000,COUNTA(Q267:Q1350)=0)),OR(Y267&gt;=1000000000,AND(COUNTA(C267:C1350)=0,P$3=TRUE))),
ROUNDDOWN((AB$1-AC$1)*MAX(INDEX(T$4:T1350,MATCH(LARGE(FILTER(Y$4:Y1350,Y$4"&amp;":Y1350&lt;1000000000),1),Y$4:Y1350)),INDEX(F$4:F1350,MATCH(LARGE(FILTER(K$4:K1350,K$4:K1350&lt;1000000000),1),K$4:K1350)))),AND(K267&lt;1000000000,COUNTA(C267:C1350)&gt;0,P$3=FALSE),
ROUNDDOWN(INDEX(Y$4:Y1350,MATCH(LARGE(FILTER(W$4:W1350,W$4:W1350&lt;=I267),1),W$4:W1350"&amp;"))+(I267-LARGE(FILTER(W$4:W1350,W$4:W1350&lt;=I267),1))*INDEX(T$4:T1350,MATCH(LARGE(FILTER(W$4:W1350,W$4:W1350&lt;=I267),1),W$4:W1350))-K267),1,
ROUNDDOWN(Y267-INDEX(K$4:K1350,MATCH(LARGE(FILTER(I$4:I1350,I$4:I1350&lt;=W267),1),I$4:I1350))-(W267-LARGE(FILTER(I$4:I"&amp;"1350,I$4:I1350&lt;=W267),1))*INDEX(F$4:F1350,MATCH(LARGE(FILTER(I$4:I1350,I$4:I1350&lt;=W267),1),I$4:I1350))))"),1.7394015E7)</f>
        <v>17394015</v>
      </c>
      <c r="N267" s="60">
        <f t="shared" si="8"/>
        <v>-152.79956</v>
      </c>
      <c r="O267" s="61" t="str">
        <f t="shared" si="9"/>
        <v>17,4M</v>
      </c>
      <c r="P267" s="56">
        <f t="shared" si="10"/>
        <v>5</v>
      </c>
      <c r="Q267" s="105" t="s">
        <v>8</v>
      </c>
      <c r="R267" s="10" t="b">
        <f>IFERROR(__xludf.DUMMYFUNCTION("IF(COUNTA(Q267:Q1350)=0,"""",IF(ISBLANK(Q267),FALSE,IF(NOT(COUNTIF($AA$24:$AA$34,SUBSTITUTE(Q267,""Sell_"",""""))),1,IF(REGEXMATCH(Q267,""Sell_""),IF(COUNTIF(Q$4:Q267,SUBSTITUTE(Q267,""Sell_"",""""))-COUNTIF(Q$4:Q266,Q267)&lt;1,1),FALSE))))"),FALSE)</f>
        <v>0</v>
      </c>
      <c r="S267" s="59">
        <f t="array" ref="S267">IF(COUNTA(Q267:Q1350)=0,"",SUM((COUNTIF(Q$4:Q267,Upgrades!$B$3:$B$13)-COUNTIF(Q$4:Q267,"Sell_"&amp;Upgrades!$B$3:$B$13))*Upgrades!$D$3:$D$13))</f>
        <v>167690</v>
      </c>
      <c r="T267" s="66">
        <f>IFERROR(__xludf.DUMMYFUNCTION("IF(COUNTA(Q267:Q1350)=0,"""",IF(REGEXMATCH(INDEX(FILTER(Q$4:Q267,Q$4:Q267&lt;&gt;""""),ROWS(FILTER(Q$4:Q267,Q$4:Q267&lt;&gt;""""))),""^Sell_""),INDEX(FILTER(T$4:T266,Q$4:Q266&lt;&gt;""""),ROWS(FILTER(Q$4:Q266,Q$4:Q266&lt;&gt;""""))),$AD$5+S267))"),167890.0)</f>
        <v>167890</v>
      </c>
      <c r="U267" s="10">
        <f>IFERROR(__xludf.DUMMYFUNCTION("IF(COUNTA(Q267:Q1350)=0,"""",IF(Q267="""",0,IF(REGEXMATCH(Q267,""^Sell_""),-ROUNDDOWN(ROUNDUP(INDEX(Upgrades!$C$3:$C$13,MATCH(SUBSTITUTE(Q267,""Sell_"",""""),Upgrades!$B$3:$B$13,0))*1.15^(COUNTIF(Q$4:Q266,SUBSTITUTE(Q267,""Sell_"",""""))-COUNTIF(Q$4:Q266,"&amp;"""Sell_""&amp;SUBSTITUTE(Q267,""Sell_"",""""))))/2),ROUNDUP(INDEX(Upgrades!$C$3:$C$13,MATCH(Q267,Upgrades!$B$3:$B$13,0))*1.15^(COUNTIF(Q$4:Q266,Q267)-COUNTIF(Q$4:Q266,""Sell_""&amp;Q267))))))"),69961.0)</f>
        <v>69961</v>
      </c>
      <c r="V267" s="10">
        <f t="shared" si="11"/>
        <v>69961</v>
      </c>
      <c r="W267" s="68">
        <f t="shared" si="12"/>
        <v>4306.954281</v>
      </c>
      <c r="X267" s="59" t="str">
        <f t="shared" si="13"/>
        <v>1h 11m 46s</v>
      </c>
      <c r="Y267" s="69">
        <f t="shared" si="14"/>
        <v>187334895</v>
      </c>
      <c r="Z267" s="11"/>
    </row>
    <row r="268">
      <c r="A268" s="8"/>
      <c r="B268" s="56" t="str">
        <f t="shared" si="2"/>
        <v/>
      </c>
      <c r="C268" s="57"/>
      <c r="D268" s="10" t="str">
        <f>IFERROR(__xludf.DUMMYFUNCTION("IF(COUNTA(C268:C1350)=0,"""",IF(ISBLANK(C268),FALSE,IF(NOT(COUNTIF($AA$24:$AA$34,SUBSTITUTE(C268,""Sell_"",""""))),1,IF(REGEXMATCH(C268,""Sell_""),IF(COUNTIF(C$4:C268,SUBSTITUTE(C268,""Sell_"",""""))-COUNTIF(C$4:C267,C268)&lt;1,1),FALSE))))"),"")</f>
        <v/>
      </c>
      <c r="E268" s="59" t="str">
        <f t="array" ref="E268">IF(COUNTA(C268:C1350)=0,"",SUM((COUNTIF(C$4:C268,Upgrades!$B$3:$B$13)-COUNTIF(C$4:C268,"Sell_"&amp;Upgrades!$B$3:$B$13))*Upgrades!$D$3:$D$13))</f>
        <v/>
      </c>
      <c r="F268" s="66" t="str">
        <f>IFERROR(__xludf.DUMMYFUNCTION("IF(COUNTA(C268:C1350)=0,"""",IF(REGEXMATCH(INDEX(FILTER(C$4:C268,C$4:C268&lt;&gt;""""),ROWS(FILTER(C$4:C268,C$4:C268&lt;&gt;""""))),""^Sell_""),INDEX(FILTER(F$4:F267,C$4:C267&lt;&gt;""""),ROWS(FILTER(C$4:C267,C$4:C267&lt;&gt;""""))),$AC$5+E268))"),"")</f>
        <v/>
      </c>
      <c r="G268" s="10" t="str">
        <f>IFERROR(__xludf.DUMMYFUNCTION("IF(COUNTA(C268:C1350)=0,"""",IF(C268="""",0,IF(REGEXMATCH(C268,""^Sell_""),-ROUNDDOWN(ROUNDUP(INDEX(Upgrades!$C$3:$C$13,MATCH(SUBSTITUTE(C268,""Sell_"",""""),Upgrades!$B$3:$B$13,0))*1.15^(COUNTIF(C$4:C267,SUBSTITUTE(C268,""Sell_"",""""))-COUNTIF(C$4:C267,"&amp;"""Sell_""&amp;SUBSTITUTE(C268,""Sell_"",""""))))/2),ROUNDUP(INDEX(Upgrades!$C$3:$C$13,MATCH(C268,Upgrades!$B$3:$B$13,0))*1.15^(COUNTIF(C$4:C267,C268)-COUNTIF(C$4:C267,""Sell_""&amp;C268))))))"),"")</f>
        <v/>
      </c>
      <c r="H268" s="10" t="str">
        <f t="shared" si="3"/>
        <v/>
      </c>
      <c r="I268" s="68" t="str">
        <f t="shared" si="4"/>
        <v/>
      </c>
      <c r="J268" s="59" t="str">
        <f t="shared" si="5"/>
        <v/>
      </c>
      <c r="K268" s="69" t="str">
        <f t="shared" si="6"/>
        <v/>
      </c>
      <c r="L268" s="60">
        <f t="shared" si="7"/>
        <v>-153.65987</v>
      </c>
      <c r="M268" s="61">
        <f>IFERROR(__xludf.DUMMYFUNCTION("IFS(AND(COUNTA(C268:C1350)=0,COUNTA(Q268:Q1350)=0),"""",OR(AND(K268&gt;=1000000000,OR(Y268&gt;=1000000000,COUNTA(Q268:Q1350)=0)),OR(Y268&gt;=1000000000,AND(COUNTA(C268:C1350)=0,P$3=TRUE))),
ROUNDDOWN((AB$1-AC$1)*MAX(INDEX(T$4:T1350,MATCH(LARGE(FILTER(Y$4:Y1350,Y$4"&amp;":Y1350&lt;1000000000),1),Y$4:Y1350)),INDEX(F$4:F1350,MATCH(LARGE(FILTER(K$4:K1350,K$4:K1350&lt;1000000000),1),K$4:K1350)))),AND(K268&lt;1000000000,COUNTA(C268:C1350)&gt;0,P$3=FALSE),
ROUNDDOWN(INDEX(Y$4:Y1350,MATCH(LARGE(FILTER(W$4:W1350,W$4:W1350&lt;=I268),1),W$4:W1350"&amp;"))+(I268-LARGE(FILTER(W$4:W1350,W$4:W1350&lt;=I268),1))*INDEX(T$4:T1350,MATCH(LARGE(FILTER(W$4:W1350,W$4:W1350&lt;=I268),1),W$4:W1350))-K268),1,
ROUNDDOWN(Y268-INDEX(K$4:K1350,MATCH(LARGE(FILTER(I$4:I1350,I$4:I1350&lt;=W268),1),I$4:I1350))-(W268-LARGE(FILTER(I$4:I"&amp;"1350,I$4:I1350&lt;=W268),1))*INDEX(F$4:F1350,MATCH(LARGE(FILTER(I$4:I1350,I$4:I1350&lt;=W268),1),I$4:I1350))))"),1.7491948E7)</f>
        <v>17491948</v>
      </c>
      <c r="N268" s="60">
        <f t="shared" si="8"/>
        <v>-153.65987</v>
      </c>
      <c r="O268" s="61" t="str">
        <f t="shared" si="9"/>
        <v>17,5M</v>
      </c>
      <c r="P268" s="56">
        <f t="shared" si="10"/>
        <v>4</v>
      </c>
      <c r="Q268" s="105" t="s">
        <v>9</v>
      </c>
      <c r="R268" s="10" t="b">
        <f>IFERROR(__xludf.DUMMYFUNCTION("IF(COUNTA(Q268:Q1350)=0,"""",IF(ISBLANK(Q268),FALSE,IF(NOT(COUNTIF($AA$24:$AA$34,SUBSTITUTE(Q268,""Sell_"",""""))),1,IF(REGEXMATCH(Q268,""Sell_""),IF(COUNTIF(Q$4:Q268,SUBSTITUTE(Q268,""Sell_"",""""))-COUNTIF(Q$4:Q267,Q268)&lt;1,1),FALSE))))"),FALSE)</f>
        <v>0</v>
      </c>
      <c r="S268" s="59">
        <f t="array" ref="S268">IF(COUNTA(Q268:Q1350)=0,"",SUM((COUNTIF(Q$4:Q268,Upgrades!$B$3:$B$13)-COUNTIF(Q$4:Q268,"Sell_"&amp;Upgrades!$B$3:$B$13))*Upgrades!$D$3:$D$13))</f>
        <v>168090</v>
      </c>
      <c r="T268" s="66">
        <f>IFERROR(__xludf.DUMMYFUNCTION("IF(COUNTA(Q268:Q1350)=0,"""",IF(REGEXMATCH(INDEX(FILTER(Q$4:Q268,Q$4:Q268&lt;&gt;""""),ROWS(FILTER(Q$4:Q268,Q$4:Q268&lt;&gt;""""))),""^Sell_""),INDEX(FILTER(T$4:T267,Q$4:Q267&lt;&gt;""""),ROWS(FILTER(Q$4:Q267,Q$4:Q267&lt;&gt;""""))),$AD$5+S268))"),168290.0)</f>
        <v>168290</v>
      </c>
      <c r="U268" s="10">
        <f>IFERROR(__xludf.DUMMYFUNCTION("IF(COUNTA(Q268:Q1350)=0,"""",IF(Q268="""",0,IF(REGEXMATCH(Q268,""^Sell_""),-ROUNDDOWN(ROUNDUP(INDEX(Upgrades!$C$3:$C$13,MATCH(SUBSTITUTE(Q268,""Sell_"",""""),Upgrades!$B$3:$B$13,0))*1.15^(COUNTIF(Q$4:Q267,SUBSTITUTE(Q268,""Sell_"",""""))-COUNTIF(Q$4:Q267,"&amp;"""Sell_""&amp;SUBSTITUTE(Q268,""Sell_"",""""))))/2),ROUNDUP(INDEX(Upgrades!$C$3:$C$13,MATCH(Q268,Upgrades!$B$3:$B$13,0))*1.15^(COUNTIF(Q$4:Q267,Q268)-COUNTIF(Q$4:Q267,""Sell_""&amp;Q268))))))"),304175.0)</f>
        <v>304175</v>
      </c>
      <c r="V268" s="10">
        <f t="shared" si="11"/>
        <v>304175</v>
      </c>
      <c r="W268" s="68">
        <f t="shared" si="12"/>
        <v>4308.766032</v>
      </c>
      <c r="X268" s="59" t="str">
        <f t="shared" si="13"/>
        <v>1h 11m 48s</v>
      </c>
      <c r="Y268" s="69">
        <f t="shared" si="14"/>
        <v>187639070</v>
      </c>
      <c r="Z268" s="11"/>
    </row>
    <row r="269">
      <c r="A269" s="8"/>
      <c r="B269" s="56" t="str">
        <f t="shared" si="2"/>
        <v/>
      </c>
      <c r="C269" s="57"/>
      <c r="D269" s="10" t="str">
        <f>IFERROR(__xludf.DUMMYFUNCTION("IF(COUNTA(C269:C1350)=0,"""",IF(ISBLANK(C269),FALSE,IF(NOT(COUNTIF($AA$24:$AA$34,SUBSTITUTE(C269,""Sell_"",""""))),1,IF(REGEXMATCH(C269,""Sell_""),IF(COUNTIF(C$4:C269,SUBSTITUTE(C269,""Sell_"",""""))-COUNTIF(C$4:C268,C269)&lt;1,1),FALSE))))"),"")</f>
        <v/>
      </c>
      <c r="E269" s="59" t="str">
        <f t="array" ref="E269">IF(COUNTA(C269:C1350)=0,"",SUM((COUNTIF(C$4:C269,Upgrades!$B$3:$B$13)-COUNTIF(C$4:C269,"Sell_"&amp;Upgrades!$B$3:$B$13))*Upgrades!$D$3:$D$13))</f>
        <v/>
      </c>
      <c r="F269" s="66" t="str">
        <f>IFERROR(__xludf.DUMMYFUNCTION("IF(COUNTA(C269:C1350)=0,"""",IF(REGEXMATCH(INDEX(FILTER(C$4:C269,C$4:C269&lt;&gt;""""),ROWS(FILTER(C$4:C269,C$4:C269&lt;&gt;""""))),""^Sell_""),INDEX(FILTER(F$4:F268,C$4:C268&lt;&gt;""""),ROWS(FILTER(C$4:C268,C$4:C268&lt;&gt;""""))),$AC$5+E269))"),"")</f>
        <v/>
      </c>
      <c r="G269" s="10" t="str">
        <f>IFERROR(__xludf.DUMMYFUNCTION("IF(COUNTA(C269:C1350)=0,"""",IF(C269="""",0,IF(REGEXMATCH(C269,""^Sell_""),-ROUNDDOWN(ROUNDUP(INDEX(Upgrades!$C$3:$C$13,MATCH(SUBSTITUTE(C269,""Sell_"",""""),Upgrades!$B$3:$B$13,0))*1.15^(COUNTIF(C$4:C268,SUBSTITUTE(C269,""Sell_"",""""))-COUNTIF(C$4:C268,"&amp;"""Sell_""&amp;SUBSTITUTE(C269,""Sell_"",""""))))/2),ROUNDUP(INDEX(Upgrades!$C$3:$C$13,MATCH(C269,Upgrades!$B$3:$B$13,0))*1.15^(COUNTIF(C$4:C268,C269)-COUNTIF(C$4:C268,""Sell_""&amp;C269))))))"),"")</f>
        <v/>
      </c>
      <c r="H269" s="10" t="str">
        <f t="shared" si="3"/>
        <v/>
      </c>
      <c r="I269" s="68" t="str">
        <f t="shared" si="4"/>
        <v/>
      </c>
      <c r="J269" s="59" t="str">
        <f t="shared" si="5"/>
        <v/>
      </c>
      <c r="K269" s="69" t="str">
        <f t="shared" si="6"/>
        <v/>
      </c>
      <c r="L269" s="60">
        <f t="shared" si="7"/>
        <v>-153.74682</v>
      </c>
      <c r="M269" s="61">
        <f>IFERROR(__xludf.DUMMYFUNCTION("IFS(AND(COUNTA(C269:C1350)=0,COUNTA(Q269:Q1350)=0),"""",OR(AND(K269&gt;=1000000000,OR(Y269&gt;=1000000000,COUNTA(Q269:Q1350)=0)),OR(Y269&gt;=1000000000,AND(COUNTA(C269:C1350)=0,P$3=TRUE))),
ROUNDDOWN((AB$1-AC$1)*MAX(INDEX(T$4:T1350,MATCH(LARGE(FILTER(Y$4:Y1350,Y$4"&amp;":Y1350&lt;1000000000),1),Y$4:Y1350)),INDEX(F$4:F1350,MATCH(LARGE(FILTER(K$4:K1350,K$4:K1350&lt;1000000000),1),K$4:K1350)))),AND(K269&lt;1000000000,COUNTA(C269:C1350)&gt;0,P$3=FALSE),
ROUNDDOWN(INDEX(Y$4:Y1350,MATCH(LARGE(FILTER(W$4:W1350,W$4:W1350&lt;=I269),1),W$4:W1350"&amp;"))+(I269-LARGE(FILTER(W$4:W1350,W$4:W1350&lt;=I269),1))*INDEX(T$4:T1350,MATCH(LARGE(FILTER(W$4:W1350,W$4:W1350&lt;=I269),1),W$4:W1350))-K269),1,
ROUNDDOWN(Y269-INDEX(K$4:K1350,MATCH(LARGE(FILTER(I$4:I1350,I$4:I1350&lt;=W269),1),I$4:I1350))-(W269-LARGE(FILTER(I$4:I"&amp;"1350,I$4:I1350&lt;=W269),1))*INDEX(F$4:F1350,MATCH(LARGE(FILTER(I$4:I1350,I$4:I1350&lt;=W269),1),I$4:I1350))))"),1.7501846E7)</f>
        <v>17501846</v>
      </c>
      <c r="N269" s="60">
        <f t="shared" si="8"/>
        <v>-153.74682</v>
      </c>
      <c r="O269" s="61" t="str">
        <f t="shared" si="9"/>
        <v>17,5M</v>
      </c>
      <c r="P269" s="56">
        <f t="shared" si="10"/>
        <v>9</v>
      </c>
      <c r="Q269" s="105" t="s">
        <v>7</v>
      </c>
      <c r="R269" s="10" t="b">
        <f>IFERROR(__xludf.DUMMYFUNCTION("IF(COUNTA(Q269:Q1350)=0,"""",IF(ISBLANK(Q269),FALSE,IF(NOT(COUNTIF($AA$24:$AA$34,SUBSTITUTE(Q269,""Sell_"",""""))),1,IF(REGEXMATCH(Q269,""Sell_""),IF(COUNTIF(Q$4:Q269,SUBSTITUTE(Q269,""Sell_"",""""))-COUNTIF(Q$4:Q268,Q269)&lt;1,1),FALSE))))"),FALSE)</f>
        <v>0</v>
      </c>
      <c r="S269" s="59">
        <f t="array" ref="S269">IF(COUNTA(Q269:Q1350)=0,"",SUM((COUNTIF(Q$4:Q269,Upgrades!$B$3:$B$13)-COUNTIF(Q$4:Q269,"Sell_"&amp;Upgrades!$B$3:$B$13))*Upgrades!$D$3:$D$13))</f>
        <v>168130</v>
      </c>
      <c r="T269" s="66">
        <f>IFERROR(__xludf.DUMMYFUNCTION("IF(COUNTA(Q269:Q1350)=0,"""",IF(REGEXMATCH(INDEX(FILTER(Q$4:Q269,Q$4:Q269&lt;&gt;""""),ROWS(FILTER(Q$4:Q269,Q$4:Q269&lt;&gt;""""))),""^Sell_""),INDEX(FILTER(T$4:T268,Q$4:Q268&lt;&gt;""""),ROWS(FILTER(Q$4:Q268,Q$4:Q268&lt;&gt;""""))),$AD$5+S269))"),168330.0)</f>
        <v>168330</v>
      </c>
      <c r="U269" s="10">
        <f>IFERROR(__xludf.DUMMYFUNCTION("IF(COUNTA(Q269:Q1350)=0,"""",IF(Q269="""",0,IF(REGEXMATCH(Q269,""^Sell_""),-ROUNDDOWN(ROUNDUP(INDEX(Upgrades!$C$3:$C$13,MATCH(SUBSTITUTE(Q269,""Sell_"",""""),Upgrades!$B$3:$B$13,0))*1.15^(COUNTIF(Q$4:Q268,SUBSTITUTE(Q269,""Sell_"",""""))-COUNTIF(Q$4:Q268,"&amp;"""Sell_""&amp;SUBSTITUTE(Q269,""Sell_"",""""))))/2),ROUNDUP(INDEX(Upgrades!$C$3:$C$13,MATCH(Q269,Upgrades!$B$3:$B$13,0))*1.15^(COUNTIF(Q$4:Q268,Q269)-COUNTIF(Q$4:Q268,""Sell_""&amp;Q269))))))"),30591.0)</f>
        <v>30591</v>
      </c>
      <c r="V269" s="10">
        <f t="shared" si="11"/>
        <v>30591</v>
      </c>
      <c r="W269" s="68">
        <f t="shared" si="12"/>
        <v>4308.947808</v>
      </c>
      <c r="X269" s="59" t="str">
        <f t="shared" si="13"/>
        <v>1h 11m 48s</v>
      </c>
      <c r="Y269" s="69">
        <f t="shared" si="14"/>
        <v>187669661</v>
      </c>
      <c r="Z269" s="11"/>
    </row>
    <row r="270">
      <c r="A270" s="8"/>
      <c r="B270" s="56" t="str">
        <f t="shared" si="2"/>
        <v/>
      </c>
      <c r="C270" s="57"/>
      <c r="D270" s="10" t="str">
        <f>IFERROR(__xludf.DUMMYFUNCTION("IF(COUNTA(C270:C1350)=0,"""",IF(ISBLANK(C270),FALSE,IF(NOT(COUNTIF($AA$24:$AA$34,SUBSTITUTE(C270,""Sell_"",""""))),1,IF(REGEXMATCH(C270,""Sell_""),IF(COUNTIF(C$4:C270,SUBSTITUTE(C270,""Sell_"",""""))-COUNTIF(C$4:C269,C270)&lt;1,1),FALSE))))"),"")</f>
        <v/>
      </c>
      <c r="E270" s="59" t="str">
        <f t="array" ref="E270">IF(COUNTA(C270:C1350)=0,"",SUM((COUNTIF(C$4:C270,Upgrades!$B$3:$B$13)-COUNTIF(C$4:C270,"Sell_"&amp;Upgrades!$B$3:$B$13))*Upgrades!$D$3:$D$13))</f>
        <v/>
      </c>
      <c r="F270" s="66" t="str">
        <f>IFERROR(__xludf.DUMMYFUNCTION("IF(COUNTA(C270:C1350)=0,"""",IF(REGEXMATCH(INDEX(FILTER(C$4:C270,C$4:C270&lt;&gt;""""),ROWS(FILTER(C$4:C270,C$4:C270&lt;&gt;""""))),""^Sell_""),INDEX(FILTER(F$4:F269,C$4:C269&lt;&gt;""""),ROWS(FILTER(C$4:C269,C$4:C269&lt;&gt;""""))),$AC$5+E270))"),"")</f>
        <v/>
      </c>
      <c r="G270" s="10" t="str">
        <f>IFERROR(__xludf.DUMMYFUNCTION("IF(COUNTA(C270:C1350)=0,"""",IF(C270="""",0,IF(REGEXMATCH(C270,""^Sell_""),-ROUNDDOWN(ROUNDUP(INDEX(Upgrades!$C$3:$C$13,MATCH(SUBSTITUTE(C270,""Sell_"",""""),Upgrades!$B$3:$B$13,0))*1.15^(COUNTIF(C$4:C269,SUBSTITUTE(C270,""Sell_"",""""))-COUNTIF(C$4:C269,"&amp;"""Sell_""&amp;SUBSTITUTE(C270,""Sell_"",""""))))/2),ROUNDUP(INDEX(Upgrades!$C$3:$C$13,MATCH(C270,Upgrades!$B$3:$B$13,0))*1.15^(COUNTIF(C$4:C269,C270)-COUNTIF(C$4:C269,""Sell_""&amp;C270))))))"),"")</f>
        <v/>
      </c>
      <c r="H270" s="10" t="str">
        <f t="shared" si="3"/>
        <v/>
      </c>
      <c r="I270" s="68" t="str">
        <f t="shared" si="4"/>
        <v/>
      </c>
      <c r="J270" s="59" t="str">
        <f t="shared" si="5"/>
        <v/>
      </c>
      <c r="K270" s="69" t="str">
        <f t="shared" si="6"/>
        <v/>
      </c>
      <c r="L270" s="60">
        <f t="shared" si="7"/>
        <v>-153.97563</v>
      </c>
      <c r="M270" s="61">
        <f>IFERROR(__xludf.DUMMYFUNCTION("IFS(AND(COUNTA(C270:C1350)=0,COUNTA(Q270:Q1350)=0),"""",OR(AND(K270&gt;=1000000000,OR(Y270&gt;=1000000000,COUNTA(Q270:Q1350)=0)),OR(Y270&gt;=1000000000,AND(COUNTA(C270:C1350)=0,P$3=TRUE))),
ROUNDDOWN((AB$1-AC$1)*MAX(INDEX(T$4:T1350,MATCH(LARGE(FILTER(Y$4:Y1350,Y$4"&amp;":Y1350&lt;1000000000),1),Y$4:Y1350)),INDEX(F$4:F1350,MATCH(LARGE(FILTER(K$4:K1350,K$4:K1350&lt;1000000000),1),K$4:K1350)))),AND(K270&lt;1000000000,COUNTA(C270:C1350)&gt;0,P$3=FALSE),
ROUNDDOWN(INDEX(Y$4:Y1350,MATCH(LARGE(FILTER(W$4:W1350,W$4:W1350&lt;=I270),1),W$4:W1350"&amp;"))+(I270-LARGE(FILTER(W$4:W1350,W$4:W1350&lt;=I270),1))*INDEX(T$4:T1350,MATCH(LARGE(FILTER(W$4:W1350,W$4:W1350&lt;=I270),1),W$4:W1350))-K270),1,
ROUNDDOWN(Y270-INDEX(K$4:K1350,MATCH(LARGE(FILTER(I$4:I1350,I$4:I1350&lt;=W270),1),I$4:I1350))-(W270-LARGE(FILTER(I$4:I"&amp;"1350,I$4:I1350&lt;=W270),1))*INDEX(F$4:F1350,MATCH(LARGE(FILTER(I$4:I1350,I$4:I1350&lt;=W270),1),I$4:I1350))))"),1.7527893E7)</f>
        <v>17527893</v>
      </c>
      <c r="N270" s="60">
        <f t="shared" si="8"/>
        <v>-153.97563</v>
      </c>
      <c r="O270" s="61" t="str">
        <f t="shared" si="9"/>
        <v>17,5M</v>
      </c>
      <c r="P270" s="56">
        <f t="shared" si="10"/>
        <v>6</v>
      </c>
      <c r="Q270" s="105" t="s">
        <v>8</v>
      </c>
      <c r="R270" s="10" t="b">
        <f>IFERROR(__xludf.DUMMYFUNCTION("IF(COUNTA(Q270:Q1350)=0,"""",IF(ISBLANK(Q270),FALSE,IF(NOT(COUNTIF($AA$24:$AA$34,SUBSTITUTE(Q270,""Sell_"",""""))),1,IF(REGEXMATCH(Q270,""Sell_""),IF(COUNTIF(Q$4:Q270,SUBSTITUTE(Q270,""Sell_"",""""))-COUNTIF(Q$4:Q269,Q270)&lt;1,1),FALSE))))"),FALSE)</f>
        <v>0</v>
      </c>
      <c r="S270" s="59">
        <f t="array" ref="S270">IF(COUNTA(Q270:Q1350)=0,"",SUM((COUNTIF(Q$4:Q270,Upgrades!$B$3:$B$13)-COUNTIF(Q$4:Q270,"Sell_"&amp;Upgrades!$B$3:$B$13))*Upgrades!$D$3:$D$13))</f>
        <v>168230</v>
      </c>
      <c r="T270" s="66">
        <f>IFERROR(__xludf.DUMMYFUNCTION("IF(COUNTA(Q270:Q1350)=0,"""",IF(REGEXMATCH(INDEX(FILTER(Q$4:Q270,Q$4:Q270&lt;&gt;""""),ROWS(FILTER(Q$4:Q270,Q$4:Q270&lt;&gt;""""))),""^Sell_""),INDEX(FILTER(T$4:T269,Q$4:Q269&lt;&gt;""""),ROWS(FILTER(Q$4:Q269,Q$4:Q269&lt;&gt;""""))),$AD$5+S270))"),168430.0)</f>
        <v>168430</v>
      </c>
      <c r="U270" s="10">
        <f>IFERROR(__xludf.DUMMYFUNCTION("IF(COUNTA(Q270:Q1350)=0,"""",IF(Q270="""",0,IF(REGEXMATCH(Q270,""^Sell_""),-ROUNDDOWN(ROUNDUP(INDEX(Upgrades!$C$3:$C$13,MATCH(SUBSTITUTE(Q270,""Sell_"",""""),Upgrades!$B$3:$B$13,0))*1.15^(COUNTIF(Q$4:Q269,SUBSTITUTE(Q270,""Sell_"",""""))-COUNTIF(Q$4:Q269,"&amp;"""Sell_""&amp;SUBSTITUTE(Q270,""Sell_"",""""))))/2),ROUNDUP(INDEX(Upgrades!$C$3:$C$13,MATCH(Q270,Upgrades!$B$3:$B$13,0))*1.15^(COUNTIF(Q$4:Q269,Q270)-COUNTIF(Q$4:Q269,""Sell_""&amp;Q270))))))"),80455.0)</f>
        <v>80455</v>
      </c>
      <c r="V270" s="10">
        <f t="shared" si="11"/>
        <v>80455</v>
      </c>
      <c r="W270" s="68">
        <f t="shared" si="12"/>
        <v>4309.425768</v>
      </c>
      <c r="X270" s="59" t="str">
        <f t="shared" si="13"/>
        <v>1h 11m 49s</v>
      </c>
      <c r="Y270" s="69">
        <f t="shared" si="14"/>
        <v>187750116</v>
      </c>
      <c r="Z270" s="11"/>
    </row>
    <row r="271">
      <c r="A271" s="8"/>
      <c r="B271" s="56" t="str">
        <f t="shared" si="2"/>
        <v/>
      </c>
      <c r="C271" s="57"/>
      <c r="D271" s="10" t="str">
        <f>IFERROR(__xludf.DUMMYFUNCTION("IF(COUNTA(C271:C1350)=0,"""",IF(ISBLANK(C271),FALSE,IF(NOT(COUNTIF($AA$24:$AA$34,SUBSTITUTE(C271,""Sell_"",""""))),1,IF(REGEXMATCH(C271,""Sell_""),IF(COUNTIF(C$4:C271,SUBSTITUTE(C271,""Sell_"",""""))-COUNTIF(C$4:C270,C271)&lt;1,1),FALSE))))"),"")</f>
        <v/>
      </c>
      <c r="E271" s="59" t="str">
        <f t="array" ref="E271">IF(COUNTA(C271:C1350)=0,"",SUM((COUNTIF(C$4:C271,Upgrades!$B$3:$B$13)-COUNTIF(C$4:C271,"Sell_"&amp;Upgrades!$B$3:$B$13))*Upgrades!$D$3:$D$13))</f>
        <v/>
      </c>
      <c r="F271" s="66" t="str">
        <f>IFERROR(__xludf.DUMMYFUNCTION("IF(COUNTA(C271:C1350)=0,"""",IF(REGEXMATCH(INDEX(FILTER(C$4:C271,C$4:C271&lt;&gt;""""),ROWS(FILTER(C$4:C271,C$4:C271&lt;&gt;""""))),""^Sell_""),INDEX(FILTER(F$4:F270,C$4:C270&lt;&gt;""""),ROWS(FILTER(C$4:C270,C$4:C270&lt;&gt;""""))),$AC$5+E271))"),"")</f>
        <v/>
      </c>
      <c r="G271" s="10" t="str">
        <f>IFERROR(__xludf.DUMMYFUNCTION("IF(COUNTA(C271:C1350)=0,"""",IF(C271="""",0,IF(REGEXMATCH(C271,""^Sell_""),-ROUNDDOWN(ROUNDUP(INDEX(Upgrades!$C$3:$C$13,MATCH(SUBSTITUTE(C271,""Sell_"",""""),Upgrades!$B$3:$B$13,0))*1.15^(COUNTIF(C$4:C270,SUBSTITUTE(C271,""Sell_"",""""))-COUNTIF(C$4:C270,"&amp;"""Sell_""&amp;SUBSTITUTE(C271,""Sell_"",""""))))/2),ROUNDUP(INDEX(Upgrades!$C$3:$C$13,MATCH(C271,Upgrades!$B$3:$B$13,0))*1.15^(COUNTIF(C$4:C270,C271)-COUNTIF(C$4:C270,""Sell_""&amp;C271))))))"),"")</f>
        <v/>
      </c>
      <c r="H271" s="10" t="str">
        <f t="shared" si="3"/>
        <v/>
      </c>
      <c r="I271" s="68" t="str">
        <f t="shared" si="4"/>
        <v/>
      </c>
      <c r="J271" s="59" t="str">
        <f t="shared" si="5"/>
        <v/>
      </c>
      <c r="K271" s="69" t="str">
        <f t="shared" si="6"/>
        <v/>
      </c>
      <c r="L271" s="60">
        <f t="shared" si="7"/>
        <v>-154.97166</v>
      </c>
      <c r="M271" s="61">
        <f>IFERROR(__xludf.DUMMYFUNCTION("IFS(AND(COUNTA(C271:C1350)=0,COUNTA(Q271:Q1350)=0),"""",OR(AND(K271&gt;=1000000000,OR(Y271&gt;=1000000000,COUNTA(Q271:Q1350)=0)),OR(Y271&gt;=1000000000,AND(COUNTA(C271:C1350)=0,P$3=TRUE))),
ROUNDDOWN((AB$1-AC$1)*MAX(INDEX(T$4:T1350,MATCH(LARGE(FILTER(Y$4:Y1350,Y$4"&amp;":Y1350&lt;1000000000),1),Y$4:Y1350)),INDEX(F$4:F1350,MATCH(LARGE(FILTER(K$4:K1350,K$4:K1350&lt;1000000000),1),K$4:K1350)))),AND(K271&lt;1000000000,COUNTA(C271:C1350)&gt;0,P$3=FALSE),
ROUNDDOWN(INDEX(Y$4:Y1350,MATCH(LARGE(FILTER(W$4:W1350,W$4:W1350&lt;=I271),1),W$4:W1350"&amp;"))+(I271-LARGE(FILTER(W$4:W1350,W$4:W1350&lt;=I271),1))*INDEX(T$4:T1350,MATCH(LARGE(FILTER(W$4:W1350,W$4:W1350&lt;=I271),1),W$4:W1350))-K271),1,
ROUNDDOWN(Y271-INDEX(K$4:K1350,MATCH(LARGE(FILTER(I$4:I1350,I$4:I1350&lt;=W271),1),I$4:I1350))-(W271-LARGE(FILTER(I$4:I"&amp;"1350,I$4:I1350&lt;=W271),1))*INDEX(F$4:F1350,MATCH(LARGE(FILTER(I$4:I1350,I$4:I1350&lt;=W271),1),I$4:I1350))))"),1.7641277E7)</f>
        <v>17641277</v>
      </c>
      <c r="N271" s="60">
        <f t="shared" si="8"/>
        <v>-154.97166</v>
      </c>
      <c r="O271" s="61" t="str">
        <f t="shared" si="9"/>
        <v>17,6M</v>
      </c>
      <c r="P271" s="56">
        <f t="shared" si="10"/>
        <v>5</v>
      </c>
      <c r="Q271" s="105" t="s">
        <v>9</v>
      </c>
      <c r="R271" s="10" t="b">
        <f>IFERROR(__xludf.DUMMYFUNCTION("IF(COUNTA(Q271:Q1350)=0,"""",IF(ISBLANK(Q271),FALSE,IF(NOT(COUNTIF($AA$24:$AA$34,SUBSTITUTE(Q271,""Sell_"",""""))),1,IF(REGEXMATCH(Q271,""Sell_""),IF(COUNTIF(Q$4:Q271,SUBSTITUTE(Q271,""Sell_"",""""))-COUNTIF(Q$4:Q270,Q271)&lt;1,1),FALSE))))"),FALSE)</f>
        <v>0</v>
      </c>
      <c r="S271" s="59">
        <f t="array" ref="S271">IF(COUNTA(Q271:Q1350)=0,"",SUM((COUNTIF(Q$4:Q271,Upgrades!$B$3:$B$13)-COUNTIF(Q$4:Q271,"Sell_"&amp;Upgrades!$B$3:$B$13))*Upgrades!$D$3:$D$13))</f>
        <v>168630</v>
      </c>
      <c r="T271" s="66">
        <f>IFERROR(__xludf.DUMMYFUNCTION("IF(COUNTA(Q271:Q1350)=0,"""",IF(REGEXMATCH(INDEX(FILTER(Q$4:Q271,Q$4:Q271&lt;&gt;""""),ROWS(FILTER(Q$4:Q271,Q$4:Q271&lt;&gt;""""))),""^Sell_""),INDEX(FILTER(T$4:T270,Q$4:Q270&lt;&gt;""""),ROWS(FILTER(Q$4:Q270,Q$4:Q270&lt;&gt;""""))),$AD$5+S271))"),168830.0)</f>
        <v>168830</v>
      </c>
      <c r="U271" s="10">
        <f>IFERROR(__xludf.DUMMYFUNCTION("IF(COUNTA(Q271:Q1350)=0,"""",IF(Q271="""",0,IF(REGEXMATCH(Q271,""^Sell_""),-ROUNDDOWN(ROUNDUP(INDEX(Upgrades!$C$3:$C$13,MATCH(SUBSTITUTE(Q271,""Sell_"",""""),Upgrades!$B$3:$B$13,0))*1.15^(COUNTIF(Q$4:Q270,SUBSTITUTE(Q271,""Sell_"",""""))-COUNTIF(Q$4:Q270,"&amp;"""Sell_""&amp;SUBSTITUTE(Q271,""Sell_"",""""))))/2),ROUNDUP(INDEX(Upgrades!$C$3:$C$13,MATCH(Q271,Upgrades!$B$3:$B$13,0))*1.15^(COUNTIF(Q$4:Q270,Q271)-COUNTIF(Q$4:Q270,""Sell_""&amp;Q271))))))"),349802.0)</f>
        <v>349802</v>
      </c>
      <c r="V271" s="10">
        <f t="shared" si="11"/>
        <v>349802</v>
      </c>
      <c r="W271" s="68">
        <f t="shared" si="12"/>
        <v>4311.502607</v>
      </c>
      <c r="X271" s="59" t="str">
        <f t="shared" si="13"/>
        <v>1h 11m 51s</v>
      </c>
      <c r="Y271" s="69">
        <f t="shared" si="14"/>
        <v>188099918</v>
      </c>
      <c r="Z271" s="11"/>
    </row>
    <row r="272">
      <c r="A272" s="8"/>
      <c r="B272" s="56" t="str">
        <f t="shared" si="2"/>
        <v/>
      </c>
      <c r="C272" s="57"/>
      <c r="D272" s="10" t="str">
        <f>IFERROR(__xludf.DUMMYFUNCTION("IF(COUNTA(C272:C1350)=0,"""",IF(ISBLANK(C272),FALSE,IF(NOT(COUNTIF($AA$24:$AA$34,SUBSTITUTE(C272,""Sell_"",""""))),1,IF(REGEXMATCH(C272,""Sell_""),IF(COUNTIF(C$4:C272,SUBSTITUTE(C272,""Sell_"",""""))-COUNTIF(C$4:C271,C272)&lt;1,1),FALSE))))"),"")</f>
        <v/>
      </c>
      <c r="E272" s="59" t="str">
        <f t="array" ref="E272">IF(COUNTA(C272:C1350)=0,"",SUM((COUNTIF(C$4:C272,Upgrades!$B$3:$B$13)-COUNTIF(C$4:C272,"Sell_"&amp;Upgrades!$B$3:$B$13))*Upgrades!$D$3:$D$13))</f>
        <v/>
      </c>
      <c r="F272" s="66" t="str">
        <f>IFERROR(__xludf.DUMMYFUNCTION("IF(COUNTA(C272:C1350)=0,"""",IF(REGEXMATCH(INDEX(FILTER(C$4:C272,C$4:C272&lt;&gt;""""),ROWS(FILTER(C$4:C272,C$4:C272&lt;&gt;""""))),""^Sell_""),INDEX(FILTER(F$4:F271,C$4:C271&lt;&gt;""""),ROWS(FILTER(C$4:C271,C$4:C271&lt;&gt;""""))),$AC$5+E272))"),"")</f>
        <v/>
      </c>
      <c r="G272" s="10" t="str">
        <f>IFERROR(__xludf.DUMMYFUNCTION("IF(COUNTA(C272:C1350)=0,"""",IF(C272="""",0,IF(REGEXMATCH(C272,""^Sell_""),-ROUNDDOWN(ROUNDUP(INDEX(Upgrades!$C$3:$C$13,MATCH(SUBSTITUTE(C272,""Sell_"",""""),Upgrades!$B$3:$B$13,0))*1.15^(COUNTIF(C$4:C271,SUBSTITUTE(C272,""Sell_"",""""))-COUNTIF(C$4:C271,"&amp;"""Sell_""&amp;SUBSTITUTE(C272,""Sell_"",""""))))/2),ROUNDUP(INDEX(Upgrades!$C$3:$C$13,MATCH(C272,Upgrades!$B$3:$B$13,0))*1.15^(COUNTIF(C$4:C271,C272)-COUNTIF(C$4:C271,""Sell_""&amp;C272))))))"),"")</f>
        <v/>
      </c>
      <c r="H272" s="10" t="str">
        <f t="shared" si="3"/>
        <v/>
      </c>
      <c r="I272" s="68" t="str">
        <f t="shared" si="4"/>
        <v/>
      </c>
      <c r="J272" s="59" t="str">
        <f t="shared" si="5"/>
        <v/>
      </c>
      <c r="K272" s="69" t="str">
        <f t="shared" si="6"/>
        <v/>
      </c>
      <c r="L272" s="60">
        <f t="shared" si="7"/>
        <v>-155.07233</v>
      </c>
      <c r="M272" s="61">
        <f>IFERROR(__xludf.DUMMYFUNCTION("IFS(AND(COUNTA(C272:C1350)=0,COUNTA(Q272:Q1350)=0),"""",OR(AND(K272&gt;=1000000000,OR(Y272&gt;=1000000000,COUNTA(Q272:Q1350)=0)),OR(Y272&gt;=1000000000,AND(COUNTA(C272:C1350)=0,P$3=TRUE))),
ROUNDDOWN((AB$1-AC$1)*MAX(INDEX(T$4:T1350,MATCH(LARGE(FILTER(Y$4:Y1350,Y$4"&amp;":Y1350&lt;1000000000),1),Y$4:Y1350)),INDEX(F$4:F1350,MATCH(LARGE(FILTER(K$4:K1350,K$4:K1350&lt;1000000000),1),K$4:K1350)))),AND(K272&lt;1000000000,COUNTA(C272:C1350)&gt;0,P$3=FALSE),
ROUNDDOWN(INDEX(Y$4:Y1350,MATCH(LARGE(FILTER(W$4:W1350,W$4:W1350&lt;=I272),1),W$4:W1350"&amp;"))+(I272-LARGE(FILTER(W$4:W1350,W$4:W1350&lt;=I272),1))*INDEX(T$4:T1350,MATCH(LARGE(FILTER(W$4:W1350,W$4:W1350&lt;=I272),1),W$4:W1350))-K272),1,
ROUNDDOWN(Y272-INDEX(K$4:K1350,MATCH(LARGE(FILTER(I$4:I1350,I$4:I1350&lt;=W272),1),I$4:I1350))-(W272-LARGE(FILTER(I$4:I"&amp;"1350,I$4:I1350&lt;=W272),1))*INDEX(F$4:F1350,MATCH(LARGE(FILTER(I$4:I1350,I$4:I1350&lt;=W272),1),I$4:I1350))))"),1.7652736E7)</f>
        <v>17652736</v>
      </c>
      <c r="N272" s="60">
        <f t="shared" si="8"/>
        <v>-155.07233</v>
      </c>
      <c r="O272" s="61" t="str">
        <f t="shared" si="9"/>
        <v>17,7M</v>
      </c>
      <c r="P272" s="56">
        <f t="shared" si="10"/>
        <v>10</v>
      </c>
      <c r="Q272" s="105" t="s">
        <v>7</v>
      </c>
      <c r="R272" s="10" t="b">
        <f>IFERROR(__xludf.DUMMYFUNCTION("IF(COUNTA(Q272:Q1350)=0,"""",IF(ISBLANK(Q272),FALSE,IF(NOT(COUNTIF($AA$24:$AA$34,SUBSTITUTE(Q272,""Sell_"",""""))),1,IF(REGEXMATCH(Q272,""Sell_""),IF(COUNTIF(Q$4:Q272,SUBSTITUTE(Q272,""Sell_"",""""))-COUNTIF(Q$4:Q271,Q272)&lt;1,1),FALSE))))"),FALSE)</f>
        <v>0</v>
      </c>
      <c r="S272" s="59">
        <f t="array" ref="S272">IF(COUNTA(Q272:Q1350)=0,"",SUM((COUNTIF(Q$4:Q272,Upgrades!$B$3:$B$13)-COUNTIF(Q$4:Q272,"Sell_"&amp;Upgrades!$B$3:$B$13))*Upgrades!$D$3:$D$13))</f>
        <v>168670</v>
      </c>
      <c r="T272" s="66">
        <f>IFERROR(__xludf.DUMMYFUNCTION("IF(COUNTA(Q272:Q1350)=0,"""",IF(REGEXMATCH(INDEX(FILTER(Q$4:Q272,Q$4:Q272&lt;&gt;""""),ROWS(FILTER(Q$4:Q272,Q$4:Q272&lt;&gt;""""))),""^Sell_""),INDEX(FILTER(T$4:T271,Q$4:Q271&lt;&gt;""""),ROWS(FILTER(Q$4:Q271,Q$4:Q271&lt;&gt;""""))),$AD$5+S272))"),168870.0)</f>
        <v>168870</v>
      </c>
      <c r="U272" s="10">
        <f>IFERROR(__xludf.DUMMYFUNCTION("IF(COUNTA(Q272:Q1350)=0,"""",IF(Q272="""",0,IF(REGEXMATCH(Q272,""^Sell_""),-ROUNDDOWN(ROUNDUP(INDEX(Upgrades!$C$3:$C$13,MATCH(SUBSTITUTE(Q272,""Sell_"",""""),Upgrades!$B$3:$B$13,0))*1.15^(COUNTIF(Q$4:Q271,SUBSTITUTE(Q272,""Sell_"",""""))-COUNTIF(Q$4:Q271,"&amp;"""Sell_""&amp;SUBSTITUTE(Q272,""Sell_"",""""))))/2),ROUNDUP(INDEX(Upgrades!$C$3:$C$13,MATCH(Q272,Upgrades!$B$3:$B$13,0))*1.15^(COUNTIF(Q$4:Q271,Q272)-COUNTIF(Q$4:Q271,""Sell_""&amp;Q272))))))"),35179.0)</f>
        <v>35179</v>
      </c>
      <c r="V272" s="10">
        <f t="shared" si="11"/>
        <v>35179</v>
      </c>
      <c r="W272" s="68">
        <f t="shared" si="12"/>
        <v>4311.710976</v>
      </c>
      <c r="X272" s="59" t="str">
        <f t="shared" si="13"/>
        <v>1h 11m 51s</v>
      </c>
      <c r="Y272" s="69">
        <f t="shared" si="14"/>
        <v>188135097</v>
      </c>
      <c r="Z272" s="11"/>
    </row>
    <row r="273">
      <c r="A273" s="8"/>
      <c r="B273" s="56" t="str">
        <f t="shared" si="2"/>
        <v/>
      </c>
      <c r="C273" s="57"/>
      <c r="D273" s="10" t="str">
        <f>IFERROR(__xludf.DUMMYFUNCTION("IF(COUNTA(C273:C1350)=0,"""",IF(ISBLANK(C273),FALSE,IF(NOT(COUNTIF($AA$24:$AA$34,SUBSTITUTE(C273,""Sell_"",""""))),1,IF(REGEXMATCH(C273,""Sell_""),IF(COUNTIF(C$4:C273,SUBSTITUTE(C273,""Sell_"",""""))-COUNTIF(C$4:C272,C273)&lt;1,1),FALSE))))"),"")</f>
        <v/>
      </c>
      <c r="E273" s="59" t="str">
        <f t="array" ref="E273">IF(COUNTA(C273:C1350)=0,"",SUM((COUNTIF(C$4:C273,Upgrades!$B$3:$B$13)-COUNTIF(C$4:C273,"Sell_"&amp;Upgrades!$B$3:$B$13))*Upgrades!$D$3:$D$13))</f>
        <v/>
      </c>
      <c r="F273" s="66" t="str">
        <f>IFERROR(__xludf.DUMMYFUNCTION("IF(COUNTA(C273:C1350)=0,"""",IF(REGEXMATCH(INDEX(FILTER(C$4:C273,C$4:C273&lt;&gt;""""),ROWS(FILTER(C$4:C273,C$4:C273&lt;&gt;""""))),""^Sell_""),INDEX(FILTER(F$4:F272,C$4:C272&lt;&gt;""""),ROWS(FILTER(C$4:C272,C$4:C272&lt;&gt;""""))),$AC$5+E273))"),"")</f>
        <v/>
      </c>
      <c r="G273" s="10" t="str">
        <f>IFERROR(__xludf.DUMMYFUNCTION("IF(COUNTA(C273:C1350)=0,"""",IF(C273="""",0,IF(REGEXMATCH(C273,""^Sell_""),-ROUNDDOWN(ROUNDUP(INDEX(Upgrades!$C$3:$C$13,MATCH(SUBSTITUTE(C273,""Sell_"",""""),Upgrades!$B$3:$B$13,0))*1.15^(COUNTIF(C$4:C272,SUBSTITUTE(C273,""Sell_"",""""))-COUNTIF(C$4:C272,"&amp;"""Sell_""&amp;SUBSTITUTE(C273,""Sell_"",""""))))/2),ROUNDUP(INDEX(Upgrades!$C$3:$C$13,MATCH(C273,Upgrades!$B$3:$B$13,0))*1.15^(COUNTIF(C$4:C272,C273)-COUNTIF(C$4:C272,""Sell_""&amp;C273))))))"),"")</f>
        <v/>
      </c>
      <c r="H273" s="10" t="str">
        <f t="shared" si="3"/>
        <v/>
      </c>
      <c r="I273" s="68" t="str">
        <f t="shared" si="4"/>
        <v/>
      </c>
      <c r="J273" s="59" t="str">
        <f t="shared" si="5"/>
        <v/>
      </c>
      <c r="K273" s="69" t="str">
        <f t="shared" si="6"/>
        <v/>
      </c>
      <c r="L273" s="60">
        <f t="shared" si="7"/>
        <v>-155.33721</v>
      </c>
      <c r="M273" s="61">
        <f>IFERROR(__xludf.DUMMYFUNCTION("IFS(AND(COUNTA(C273:C1350)=0,COUNTA(Q273:Q1350)=0),"""",OR(AND(K273&gt;=1000000000,OR(Y273&gt;=1000000000,COUNTA(Q273:Q1350)=0)),OR(Y273&gt;=1000000000,AND(COUNTA(C273:C1350)=0,P$3=TRUE))),
ROUNDDOWN((AB$1-AC$1)*MAX(INDEX(T$4:T1350,MATCH(LARGE(FILTER(Y$4:Y1350,Y$4"&amp;":Y1350&lt;1000000000),1),Y$4:Y1350)),INDEX(F$4:F1350,MATCH(LARGE(FILTER(K$4:K1350,K$4:K1350&lt;1000000000),1),K$4:K1350)))),AND(K273&lt;1000000000,COUNTA(C273:C1350)&gt;0,P$3=FALSE),
ROUNDDOWN(INDEX(Y$4:Y1350,MATCH(LARGE(FILTER(W$4:W1350,W$4:W1350&lt;=I273),1),W$4:W1350"&amp;"))+(I273-LARGE(FILTER(W$4:W1350,W$4:W1350&lt;=I273),1))*INDEX(T$4:T1350,MATCH(LARGE(FILTER(W$4:W1350,W$4:W1350&lt;=I273),1),W$4:W1350))-K273),1,
ROUNDDOWN(Y273-INDEX(K$4:K1350,MATCH(LARGE(FILTER(I$4:I1350,I$4:I1350&lt;=W273),1),I$4:I1350))-(W273-LARGE(FILTER(I$4:I"&amp;"1350,I$4:I1350&lt;=W273),1))*INDEX(F$4:F1350,MATCH(LARGE(FILTER(I$4:I1350,I$4:I1350&lt;=W273),1),I$4:I1350))))"),1.7682889E7)</f>
        <v>17682889</v>
      </c>
      <c r="N273" s="60">
        <f t="shared" si="8"/>
        <v>-155.33721</v>
      </c>
      <c r="O273" s="61" t="str">
        <f t="shared" si="9"/>
        <v>17,7M</v>
      </c>
      <c r="P273" s="56">
        <f t="shared" si="10"/>
        <v>7</v>
      </c>
      <c r="Q273" s="105" t="s">
        <v>8</v>
      </c>
      <c r="R273" s="10" t="b">
        <f>IFERROR(__xludf.DUMMYFUNCTION("IF(COUNTA(Q273:Q1350)=0,"""",IF(ISBLANK(Q273),FALSE,IF(NOT(COUNTIF($AA$24:$AA$34,SUBSTITUTE(Q273,""Sell_"",""""))),1,IF(REGEXMATCH(Q273,""Sell_""),IF(COUNTIF(Q$4:Q273,SUBSTITUTE(Q273,""Sell_"",""""))-COUNTIF(Q$4:Q272,Q273)&lt;1,1),FALSE))))"),FALSE)</f>
        <v>0</v>
      </c>
      <c r="S273" s="59">
        <f t="array" ref="S273">IF(COUNTA(Q273:Q1350)=0,"",SUM((COUNTIF(Q$4:Q273,Upgrades!$B$3:$B$13)-COUNTIF(Q$4:Q273,"Sell_"&amp;Upgrades!$B$3:$B$13))*Upgrades!$D$3:$D$13))</f>
        <v>168770</v>
      </c>
      <c r="T273" s="66">
        <f>IFERROR(__xludf.DUMMYFUNCTION("IF(COUNTA(Q273:Q1350)=0,"""",IF(REGEXMATCH(INDEX(FILTER(Q$4:Q273,Q$4:Q273&lt;&gt;""""),ROWS(FILTER(Q$4:Q273,Q$4:Q273&lt;&gt;""""))),""^Sell_""),INDEX(FILTER(T$4:T272,Q$4:Q272&lt;&gt;""""),ROWS(FILTER(Q$4:Q272,Q$4:Q272&lt;&gt;""""))),$AD$5+S273))"),168970.0)</f>
        <v>168970</v>
      </c>
      <c r="U273" s="10">
        <f>IFERROR(__xludf.DUMMYFUNCTION("IF(COUNTA(Q273:Q1350)=0,"""",IF(Q273="""",0,IF(REGEXMATCH(Q273,""^Sell_""),-ROUNDDOWN(ROUNDUP(INDEX(Upgrades!$C$3:$C$13,MATCH(SUBSTITUTE(Q273,""Sell_"",""""),Upgrades!$B$3:$B$13,0))*1.15^(COUNTIF(Q$4:Q272,SUBSTITUTE(Q273,""Sell_"",""""))-COUNTIF(Q$4:Q272,"&amp;"""Sell_""&amp;SUBSTITUTE(Q273,""Sell_"",""""))))/2),ROUNDUP(INDEX(Upgrades!$C$3:$C$13,MATCH(Q273,Upgrades!$B$3:$B$13,0))*1.15^(COUNTIF(Q$4:Q272,Q273)-COUNTIF(Q$4:Q272,""Sell_""&amp;Q273))))))"),92523.0)</f>
        <v>92523</v>
      </c>
      <c r="V273" s="10">
        <f t="shared" si="11"/>
        <v>92523</v>
      </c>
      <c r="W273" s="68">
        <f t="shared" si="12"/>
        <v>4312.258871</v>
      </c>
      <c r="X273" s="59" t="str">
        <f t="shared" si="13"/>
        <v>1h 11m 52s</v>
      </c>
      <c r="Y273" s="69">
        <f t="shared" si="14"/>
        <v>188227620</v>
      </c>
      <c r="Z273" s="11"/>
    </row>
    <row r="274">
      <c r="A274" s="8"/>
      <c r="B274" s="56" t="str">
        <f t="shared" si="2"/>
        <v/>
      </c>
      <c r="C274" s="57"/>
      <c r="D274" s="10" t="str">
        <f>IFERROR(__xludf.DUMMYFUNCTION("IF(COUNTA(C274:C1350)=0,"""",IF(ISBLANK(C274),FALSE,IF(NOT(COUNTIF($AA$24:$AA$34,SUBSTITUTE(C274,""Sell_"",""""))),1,IF(REGEXMATCH(C274,""Sell_""),IF(COUNTIF(C$4:C274,SUBSTITUTE(C274,""Sell_"",""""))-COUNTIF(C$4:C273,C274)&lt;1,1),FALSE))))"),"")</f>
        <v/>
      </c>
      <c r="E274" s="59" t="str">
        <f t="array" ref="E274">IF(COUNTA(C274:C1350)=0,"",SUM((COUNTIF(C$4:C274,Upgrades!$B$3:$B$13)-COUNTIF(C$4:C274,"Sell_"&amp;Upgrades!$B$3:$B$13))*Upgrades!$D$3:$D$13))</f>
        <v/>
      </c>
      <c r="F274" s="66" t="str">
        <f>IFERROR(__xludf.DUMMYFUNCTION("IF(COUNTA(C274:C1350)=0,"""",IF(REGEXMATCH(INDEX(FILTER(C$4:C274,C$4:C274&lt;&gt;""""),ROWS(FILTER(C$4:C274,C$4:C274&lt;&gt;""""))),""^Sell_""),INDEX(FILTER(F$4:F273,C$4:C273&lt;&gt;""""),ROWS(FILTER(C$4:C273,C$4:C273&lt;&gt;""""))),$AC$5+E274))"),"")</f>
        <v/>
      </c>
      <c r="G274" s="10" t="str">
        <f>IFERROR(__xludf.DUMMYFUNCTION("IF(COUNTA(C274:C1350)=0,"""",IF(C274="""",0,IF(REGEXMATCH(C274,""^Sell_""),-ROUNDDOWN(ROUNDUP(INDEX(Upgrades!$C$3:$C$13,MATCH(SUBSTITUTE(C274,""Sell_"",""""),Upgrades!$B$3:$B$13,0))*1.15^(COUNTIF(C$4:C273,SUBSTITUTE(C274,""Sell_"",""""))-COUNTIF(C$4:C273,"&amp;"""Sell_""&amp;SUBSTITUTE(C274,""Sell_"",""""))))/2),ROUNDUP(INDEX(Upgrades!$C$3:$C$13,MATCH(C274,Upgrades!$B$3:$B$13,0))*1.15^(COUNTIF(C$4:C273,C274)-COUNTIF(C$4:C273,""Sell_""&amp;C274))))))"),"")</f>
        <v/>
      </c>
      <c r="H274" s="10" t="str">
        <f t="shared" si="3"/>
        <v/>
      </c>
      <c r="I274" s="68" t="str">
        <f t="shared" si="4"/>
        <v/>
      </c>
      <c r="J274" s="59" t="str">
        <f t="shared" si="5"/>
        <v/>
      </c>
      <c r="K274" s="69" t="str">
        <f t="shared" si="6"/>
        <v/>
      </c>
      <c r="L274" s="60">
        <f t="shared" si="7"/>
        <v>-156.49028</v>
      </c>
      <c r="M274" s="61">
        <f>IFERROR(__xludf.DUMMYFUNCTION("IFS(AND(COUNTA(C274:C1350)=0,COUNTA(Q274:Q1350)=0),"""",OR(AND(K274&gt;=1000000000,OR(Y274&gt;=1000000000,COUNTA(Q274:Q1350)=0)),OR(Y274&gt;=1000000000,AND(COUNTA(C274:C1350)=0,P$3=TRUE))),
ROUNDDOWN((AB$1-AC$1)*MAX(INDEX(T$4:T1350,MATCH(LARGE(FILTER(Y$4:Y1350,Y$4"&amp;":Y1350&lt;1000000000),1),Y$4:Y1350)),INDEX(F$4:F1350,MATCH(LARGE(FILTER(K$4:K1350,K$4:K1350&lt;1000000000),1),K$4:K1350)))),AND(K274&lt;1000000000,COUNTA(C274:C1350)&gt;0,P$3=FALSE),
ROUNDDOWN(INDEX(Y$4:Y1350,MATCH(LARGE(FILTER(W$4:W1350,W$4:W1350&lt;=I274),1),W$4:W1350"&amp;"))+(I274-LARGE(FILTER(W$4:W1350,W$4:W1350&lt;=I274),1))*INDEX(T$4:T1350,MATCH(LARGE(FILTER(W$4:W1350,W$4:W1350&lt;=I274),1),W$4:W1350))-K274),1,
ROUNDDOWN(Y274-INDEX(K$4:K1350,MATCH(LARGE(FILTER(I$4:I1350,I$4:I1350&lt;=W274),1),I$4:I1350))-(W274-LARGE(FILTER(I$4:I"&amp;"1350,I$4:I1350&lt;=W274),1))*INDEX(F$4:F1350,MATCH(LARGE(FILTER(I$4:I1350,I$4:I1350&lt;=W274),1),I$4:I1350))))"),1.7814149E7)</f>
        <v>17814149</v>
      </c>
      <c r="N274" s="60">
        <f t="shared" si="8"/>
        <v>-156.49028</v>
      </c>
      <c r="O274" s="61" t="str">
        <f t="shared" si="9"/>
        <v>17,8M</v>
      </c>
      <c r="P274" s="56">
        <f t="shared" si="10"/>
        <v>6</v>
      </c>
      <c r="Q274" s="105" t="s">
        <v>9</v>
      </c>
      <c r="R274" s="10" t="b">
        <f>IFERROR(__xludf.DUMMYFUNCTION("IF(COUNTA(Q274:Q1350)=0,"""",IF(ISBLANK(Q274),FALSE,IF(NOT(COUNTIF($AA$24:$AA$34,SUBSTITUTE(Q274,""Sell_"",""""))),1,IF(REGEXMATCH(Q274,""Sell_""),IF(COUNTIF(Q$4:Q274,SUBSTITUTE(Q274,""Sell_"",""""))-COUNTIF(Q$4:Q273,Q274)&lt;1,1),FALSE))))"),FALSE)</f>
        <v>0</v>
      </c>
      <c r="S274" s="59">
        <f t="array" ref="S274">IF(COUNTA(Q274:Q1350)=0,"",SUM((COUNTIF(Q$4:Q274,Upgrades!$B$3:$B$13)-COUNTIF(Q$4:Q274,"Sell_"&amp;Upgrades!$B$3:$B$13))*Upgrades!$D$3:$D$13))</f>
        <v>169170</v>
      </c>
      <c r="T274" s="66">
        <f>IFERROR(__xludf.DUMMYFUNCTION("IF(COUNTA(Q274:Q1350)=0,"""",IF(REGEXMATCH(INDEX(FILTER(Q$4:Q274,Q$4:Q274&lt;&gt;""""),ROWS(FILTER(Q$4:Q274,Q$4:Q274&lt;&gt;""""))),""^Sell_""),INDEX(FILTER(T$4:T273,Q$4:Q273&lt;&gt;""""),ROWS(FILTER(Q$4:Q273,Q$4:Q273&lt;&gt;""""))),$AD$5+S274))"),169370.0)</f>
        <v>169370</v>
      </c>
      <c r="U274" s="10">
        <f>IFERROR(__xludf.DUMMYFUNCTION("IF(COUNTA(Q274:Q1350)=0,"""",IF(Q274="""",0,IF(REGEXMATCH(Q274,""^Sell_""),-ROUNDDOWN(ROUNDUP(INDEX(Upgrades!$C$3:$C$13,MATCH(SUBSTITUTE(Q274,""Sell_"",""""),Upgrades!$B$3:$B$13,0))*1.15^(COUNTIF(Q$4:Q273,SUBSTITUTE(Q274,""Sell_"",""""))-COUNTIF(Q$4:Q273,"&amp;"""Sell_""&amp;SUBSTITUTE(Q274,""Sell_"",""""))))/2),ROUNDUP(INDEX(Upgrades!$C$3:$C$13,MATCH(Q274,Upgrades!$B$3:$B$13,0))*1.15^(COUNTIF(Q$4:Q273,Q274)-COUNTIF(Q$4:Q273,""Sell_""&amp;Q274))))))"),402272.0)</f>
        <v>402272</v>
      </c>
      <c r="V274" s="10">
        <f t="shared" si="11"/>
        <v>402272</v>
      </c>
      <c r="W274" s="68">
        <f t="shared" si="12"/>
        <v>4314.639601</v>
      </c>
      <c r="X274" s="59" t="str">
        <f t="shared" si="13"/>
        <v>1h 11m 54s</v>
      </c>
      <c r="Y274" s="69">
        <f t="shared" si="14"/>
        <v>188629892</v>
      </c>
      <c r="Z274" s="11"/>
    </row>
    <row r="275">
      <c r="A275" s="8"/>
      <c r="B275" s="56" t="str">
        <f t="shared" si="2"/>
        <v/>
      </c>
      <c r="C275" s="57"/>
      <c r="D275" s="10" t="str">
        <f>IFERROR(__xludf.DUMMYFUNCTION("IF(COUNTA(C275:C1350)=0,"""",IF(ISBLANK(C275),FALSE,IF(NOT(COUNTIF($AA$24:$AA$34,SUBSTITUTE(C275,""Sell_"",""""))),1,IF(REGEXMATCH(C275,""Sell_""),IF(COUNTIF(C$4:C275,SUBSTITUTE(C275,""Sell_"",""""))-COUNTIF(C$4:C274,C275)&lt;1,1),FALSE))))"),"")</f>
        <v/>
      </c>
      <c r="E275" s="59" t="str">
        <f t="array" ref="E275">IF(COUNTA(C275:C1350)=0,"",SUM((COUNTIF(C$4:C275,Upgrades!$B$3:$B$13)-COUNTIF(C$4:C275,"Sell_"&amp;Upgrades!$B$3:$B$13))*Upgrades!$D$3:$D$13))</f>
        <v/>
      </c>
      <c r="F275" s="66" t="str">
        <f>IFERROR(__xludf.DUMMYFUNCTION("IF(COUNTA(C275:C1350)=0,"""",IF(REGEXMATCH(INDEX(FILTER(C$4:C275,C$4:C275&lt;&gt;""""),ROWS(FILTER(C$4:C275,C$4:C275&lt;&gt;""""))),""^Sell_""),INDEX(FILTER(F$4:F274,C$4:C274&lt;&gt;""""),ROWS(FILTER(C$4:C274,C$4:C274&lt;&gt;""""))),$AC$5+E275))"),"")</f>
        <v/>
      </c>
      <c r="G275" s="10" t="str">
        <f>IFERROR(__xludf.DUMMYFUNCTION("IF(COUNTA(C275:C1350)=0,"""",IF(C275="""",0,IF(REGEXMATCH(C275,""^Sell_""),-ROUNDDOWN(ROUNDUP(INDEX(Upgrades!$C$3:$C$13,MATCH(SUBSTITUTE(C275,""Sell_"",""""),Upgrades!$B$3:$B$13,0))*1.15^(COUNTIF(C$4:C274,SUBSTITUTE(C275,""Sell_"",""""))-COUNTIF(C$4:C274,"&amp;"""Sell_""&amp;SUBSTITUTE(C275,""Sell_"",""""))))/2),ROUNDUP(INDEX(Upgrades!$C$3:$C$13,MATCH(C275,Upgrades!$B$3:$B$13,0))*1.15^(COUNTIF(C$4:C274,C275)-COUNTIF(C$4:C274,""Sell_""&amp;C275))))))"),"")</f>
        <v/>
      </c>
      <c r="H275" s="10" t="str">
        <f t="shared" si="3"/>
        <v/>
      </c>
      <c r="I275" s="68" t="str">
        <f t="shared" si="4"/>
        <v/>
      </c>
      <c r="J275" s="59" t="str">
        <f t="shared" si="5"/>
        <v/>
      </c>
      <c r="K275" s="69" t="str">
        <f t="shared" si="6"/>
        <v/>
      </c>
      <c r="L275" s="60">
        <f t="shared" si="7"/>
        <v>-156.60681</v>
      </c>
      <c r="M275" s="61">
        <f>IFERROR(__xludf.DUMMYFUNCTION("IFS(AND(COUNTA(C275:C1350)=0,COUNTA(Q275:Q1350)=0),"""",OR(AND(K275&gt;=1000000000,OR(Y275&gt;=1000000000,COUNTA(Q275:Q1350)=0)),OR(Y275&gt;=1000000000,AND(COUNTA(C275:C1350)=0,P$3=TRUE))),
ROUNDDOWN((AB$1-AC$1)*MAX(INDEX(T$4:T1350,MATCH(LARGE(FILTER(Y$4:Y1350,Y$4"&amp;":Y1350&lt;1000000000),1),Y$4:Y1350)),INDEX(F$4:F1350,MATCH(LARGE(FILTER(K$4:K1350,K$4:K1350&lt;1000000000),1),K$4:K1350)))),AND(K275&lt;1000000000,COUNTA(C275:C1350)&gt;0,P$3=FALSE),
ROUNDDOWN(INDEX(Y$4:Y1350,MATCH(LARGE(FILTER(W$4:W1350,W$4:W1350&lt;=I275),1),W$4:W1350"&amp;"))+(I275-LARGE(FILTER(W$4:W1350,W$4:W1350&lt;=I275),1))*INDEX(T$4:T1350,MATCH(LARGE(FILTER(W$4:W1350,W$4:W1350&lt;=I275),1),W$4:W1350))-K275),1,
ROUNDDOWN(Y275-INDEX(K$4:K1350,MATCH(LARGE(FILTER(I$4:I1350,I$4:I1350&lt;=W275),1),I$4:I1350))-(W275-LARGE(FILTER(I$4:I"&amp;"1350,I$4:I1350&lt;=W275),1))*INDEX(F$4:F1350,MATCH(LARGE(FILTER(I$4:I1350,I$4:I1350&lt;=W275),1),I$4:I1350))))"),1.7827414E7)</f>
        <v>17827414</v>
      </c>
      <c r="N275" s="60">
        <f t="shared" si="8"/>
        <v>-156.60681</v>
      </c>
      <c r="O275" s="61" t="str">
        <f t="shared" si="9"/>
        <v>17,8M</v>
      </c>
      <c r="P275" s="56">
        <f t="shared" si="10"/>
        <v>11</v>
      </c>
      <c r="Q275" s="105" t="s">
        <v>7</v>
      </c>
      <c r="R275" s="10" t="b">
        <f>IFERROR(__xludf.DUMMYFUNCTION("IF(COUNTA(Q275:Q1350)=0,"""",IF(ISBLANK(Q275),FALSE,IF(NOT(COUNTIF($AA$24:$AA$34,SUBSTITUTE(Q275,""Sell_"",""""))),1,IF(REGEXMATCH(Q275,""Sell_""),IF(COUNTIF(Q$4:Q275,SUBSTITUTE(Q275,""Sell_"",""""))-COUNTIF(Q$4:Q274,Q275)&lt;1,1),FALSE))))"),FALSE)</f>
        <v>0</v>
      </c>
      <c r="S275" s="59">
        <f t="array" ref="S275">IF(COUNTA(Q275:Q1350)=0,"",SUM((COUNTIF(Q$4:Q275,Upgrades!$B$3:$B$13)-COUNTIF(Q$4:Q275,"Sell_"&amp;Upgrades!$B$3:$B$13))*Upgrades!$D$3:$D$13))</f>
        <v>169210</v>
      </c>
      <c r="T275" s="66">
        <f>IFERROR(__xludf.DUMMYFUNCTION("IF(COUNTA(Q275:Q1350)=0,"""",IF(REGEXMATCH(INDEX(FILTER(Q$4:Q275,Q$4:Q275&lt;&gt;""""),ROWS(FILTER(Q$4:Q275,Q$4:Q275&lt;&gt;""""))),""^Sell_""),INDEX(FILTER(T$4:T274,Q$4:Q274&lt;&gt;""""),ROWS(FILTER(Q$4:Q274,Q$4:Q274&lt;&gt;""""))),$AD$5+S275))"),169410.0)</f>
        <v>169410</v>
      </c>
      <c r="U275" s="10">
        <f>IFERROR(__xludf.DUMMYFUNCTION("IF(COUNTA(Q275:Q1350)=0,"""",IF(Q275="""",0,IF(REGEXMATCH(Q275,""^Sell_""),-ROUNDDOWN(ROUNDUP(INDEX(Upgrades!$C$3:$C$13,MATCH(SUBSTITUTE(Q275,""Sell_"",""""),Upgrades!$B$3:$B$13,0))*1.15^(COUNTIF(Q$4:Q274,SUBSTITUTE(Q275,""Sell_"",""""))-COUNTIF(Q$4:Q274,"&amp;"""Sell_""&amp;SUBSTITUTE(Q275,""Sell_"",""""))))/2),ROUNDUP(INDEX(Upgrades!$C$3:$C$13,MATCH(Q275,Upgrades!$B$3:$B$13,0))*1.15^(COUNTIF(Q$4:Q274,Q275)-COUNTIF(Q$4:Q274,""Sell_""&amp;Q275))))))"),40456.0)</f>
        <v>40456</v>
      </c>
      <c r="V275" s="10">
        <f t="shared" si="11"/>
        <v>40456</v>
      </c>
      <c r="W275" s="68">
        <f t="shared" si="12"/>
        <v>4314.878463</v>
      </c>
      <c r="X275" s="59" t="str">
        <f t="shared" si="13"/>
        <v>1h 11m 54s</v>
      </c>
      <c r="Y275" s="69">
        <f t="shared" si="14"/>
        <v>188670348</v>
      </c>
      <c r="Z275" s="11"/>
    </row>
    <row r="276">
      <c r="A276" s="8"/>
      <c r="B276" s="56" t="str">
        <f t="shared" si="2"/>
        <v/>
      </c>
      <c r="C276" s="57"/>
      <c r="D276" s="10" t="str">
        <f>IFERROR(__xludf.DUMMYFUNCTION("IF(COUNTA(C276:C1350)=0,"""",IF(ISBLANK(C276),FALSE,IF(NOT(COUNTIF($AA$24:$AA$34,SUBSTITUTE(C276,""Sell_"",""""))),1,IF(REGEXMATCH(C276,""Sell_""),IF(COUNTIF(C$4:C276,SUBSTITUTE(C276,""Sell_"",""""))-COUNTIF(C$4:C275,C276)&lt;1,1),FALSE))))"),"")</f>
        <v/>
      </c>
      <c r="E276" s="59" t="str">
        <f t="array" ref="E276">IF(COUNTA(C276:C1350)=0,"",SUM((COUNTIF(C$4:C276,Upgrades!$B$3:$B$13)-COUNTIF(C$4:C276,"Sell_"&amp;Upgrades!$B$3:$B$13))*Upgrades!$D$3:$D$13))</f>
        <v/>
      </c>
      <c r="F276" s="66" t="str">
        <f>IFERROR(__xludf.DUMMYFUNCTION("IF(COUNTA(C276:C1350)=0,"""",IF(REGEXMATCH(INDEX(FILTER(C$4:C276,C$4:C276&lt;&gt;""""),ROWS(FILTER(C$4:C276,C$4:C276&lt;&gt;""""))),""^Sell_""),INDEX(FILTER(F$4:F275,C$4:C275&lt;&gt;""""),ROWS(FILTER(C$4:C275,C$4:C275&lt;&gt;""""))),$AC$5+E276))"),"")</f>
        <v/>
      </c>
      <c r="G276" s="10" t="str">
        <f>IFERROR(__xludf.DUMMYFUNCTION("IF(COUNTA(C276:C1350)=0,"""",IF(C276="""",0,IF(REGEXMATCH(C276,""^Sell_""),-ROUNDDOWN(ROUNDUP(INDEX(Upgrades!$C$3:$C$13,MATCH(SUBSTITUTE(C276,""Sell_"",""""),Upgrades!$B$3:$B$13,0))*1.15^(COUNTIF(C$4:C275,SUBSTITUTE(C276,""Sell_"",""""))-COUNTIF(C$4:C275,"&amp;"""Sell_""&amp;SUBSTITUTE(C276,""Sell_"",""""))))/2),ROUNDUP(INDEX(Upgrades!$C$3:$C$13,MATCH(C276,Upgrades!$B$3:$B$13,0))*1.15^(COUNTIF(C$4:C275,C276)-COUNTIF(C$4:C275,""Sell_""&amp;C276))))))"),"")</f>
        <v/>
      </c>
      <c r="H276" s="10" t="str">
        <f t="shared" si="3"/>
        <v/>
      </c>
      <c r="I276" s="68" t="str">
        <f t="shared" si="4"/>
        <v/>
      </c>
      <c r="J276" s="59" t="str">
        <f t="shared" si="5"/>
        <v/>
      </c>
      <c r="K276" s="69" t="str">
        <f t="shared" si="6"/>
        <v/>
      </c>
      <c r="L276" s="60">
        <f t="shared" si="7"/>
        <v>-176.03739</v>
      </c>
      <c r="M276" s="61">
        <f>IFERROR(__xludf.DUMMYFUNCTION("IFS(AND(COUNTA(C276:C1350)=0,COUNTA(Q276:Q1350)=0),"""",OR(AND(K276&gt;=1000000000,OR(Y276&gt;=1000000000,COUNTA(Q276:Q1350)=0)),OR(Y276&gt;=1000000000,AND(COUNTA(C276:C1350)=0,P$3=TRUE))),
ROUNDDOWN((AB$1-AC$1)*MAX(INDEX(T$4:T1350,MATCH(LARGE(FILTER(Y$4:Y1350,Y$4"&amp;":Y1350&lt;1000000000),1),Y$4:Y1350)),INDEX(F$4:F1350,MATCH(LARGE(FILTER(K$4:K1350,K$4:K1350&lt;1000000000),1),K$4:K1350)))),AND(K276&lt;1000000000,COUNTA(C276:C1350)&gt;0,P$3=FALSE),
ROUNDDOWN(INDEX(Y$4:Y1350,MATCH(LARGE(FILTER(W$4:W1350,W$4:W1350&lt;=I276),1),W$4:W1350"&amp;"))+(I276-LARGE(FILTER(W$4:W1350,W$4:W1350&lt;=I276),1))*INDEX(T$4:T1350,MATCH(LARGE(FILTER(W$4:W1350,W$4:W1350&lt;=I276),1),W$4:W1350))-K276),1,
ROUNDDOWN(Y276-INDEX(K$4:K1350,MATCH(LARGE(FILTER(I$4:I1350,I$4:I1350&lt;=W276),1),I$4:I1350))-(W276-LARGE(FILTER(I$4:I"&amp;"1350,I$4:I1350&lt;=W276),1))*INDEX(F$4:F1350,MATCH(LARGE(FILTER(I$4:I1350,I$4:I1350&lt;=W276),1),I$4:I1350))))"),2.0039304E7)</f>
        <v>20039304</v>
      </c>
      <c r="N276" s="60">
        <f t="shared" si="8"/>
        <v>-176.03739</v>
      </c>
      <c r="O276" s="61" t="str">
        <f t="shared" si="9"/>
        <v>20,0M</v>
      </c>
      <c r="P276" s="56">
        <f t="shared" si="10"/>
        <v>11</v>
      </c>
      <c r="Q276" s="105" t="s">
        <v>10</v>
      </c>
      <c r="R276" s="10" t="b">
        <f>IFERROR(__xludf.DUMMYFUNCTION("IF(COUNTA(Q276:Q1350)=0,"""",IF(ISBLANK(Q276),FALSE,IF(NOT(COUNTIF($AA$24:$AA$34,SUBSTITUTE(Q276,""Sell_"",""""))),1,IF(REGEXMATCH(Q276,""Sell_""),IF(COUNTIF(Q$4:Q276,SUBSTITUTE(Q276,""Sell_"",""""))-COUNTIF(Q$4:Q275,Q276)&lt;1,1),FALSE))))"),FALSE)</f>
        <v>0</v>
      </c>
      <c r="S276" s="59">
        <f t="array" ref="S276">IF(COUNTA(Q276:Q1350)=0,"",SUM((COUNTIF(Q$4:Q276,Upgrades!$B$3:$B$13)-COUNTIF(Q$4:Q276,"Sell_"&amp;Upgrades!$B$3:$B$13))*Upgrades!$D$3:$D$13))</f>
        <v>175876</v>
      </c>
      <c r="T276" s="66">
        <f>IFERROR(__xludf.DUMMYFUNCTION("IF(COUNTA(Q276:Q1350)=0,"""",IF(REGEXMATCH(INDEX(FILTER(Q$4:Q276,Q$4:Q276&lt;&gt;""""),ROWS(FILTER(Q$4:Q276,Q$4:Q276&lt;&gt;""""))),""^Sell_""),INDEX(FILTER(T$4:T275,Q$4:Q275&lt;&gt;""""),ROWS(FILTER(Q$4:Q275,Q$4:Q275&lt;&gt;""""))),$AD$5+S276))"),176076.0)</f>
        <v>176076</v>
      </c>
      <c r="U276" s="10">
        <f>IFERROR(__xludf.DUMMYFUNCTION("IF(COUNTA(Q276:Q1350)=0,"""",IF(Q276="""",0,IF(REGEXMATCH(Q276,""^Sell_""),-ROUNDDOWN(ROUNDUP(INDEX(Upgrades!$C$3:$C$13,MATCH(SUBSTITUTE(Q276,""Sell_"",""""),Upgrades!$B$3:$B$13,0))*1.15^(COUNTIF(Q$4:Q275,SUBSTITUTE(Q276,""Sell_"",""""))-COUNTIF(Q$4:Q275,"&amp;"""Sell_""&amp;SUBSTITUTE(Q276,""Sell_"",""""))))/2),ROUNDUP(INDEX(Upgrades!$C$3:$C$13,MATCH(Q276,Upgrades!$B$3:$B$13,0))*1.15^(COUNTIF(Q$4:Q275,Q276)-COUNTIF(Q$4:Q275,""Sell_""&amp;Q276))))))"),6742594.0)</f>
        <v>6742594</v>
      </c>
      <c r="V276" s="10">
        <f t="shared" si="11"/>
        <v>6742594</v>
      </c>
      <c r="W276" s="68">
        <f t="shared" si="12"/>
        <v>4354.678912</v>
      </c>
      <c r="X276" s="59" t="str">
        <f t="shared" si="13"/>
        <v>1h 12m 34s</v>
      </c>
      <c r="Y276" s="69">
        <f t="shared" si="14"/>
        <v>195412942</v>
      </c>
      <c r="Z276" s="11"/>
    </row>
    <row r="277">
      <c r="A277" s="8"/>
      <c r="B277" s="56" t="str">
        <f t="shared" si="2"/>
        <v/>
      </c>
      <c r="C277" s="57"/>
      <c r="D277" s="10" t="str">
        <f>IFERROR(__xludf.DUMMYFUNCTION("IF(COUNTA(C277:C1350)=0,"""",IF(ISBLANK(C277),FALSE,IF(NOT(COUNTIF($AA$24:$AA$34,SUBSTITUTE(C277,""Sell_"",""""))),1,IF(REGEXMATCH(C277,""Sell_""),IF(COUNTIF(C$4:C277,SUBSTITUTE(C277,""Sell_"",""""))-COUNTIF(C$4:C276,C277)&lt;1,1),FALSE))))"),"")</f>
        <v/>
      </c>
      <c r="E277" s="59" t="str">
        <f t="array" ref="E277">IF(COUNTA(C277:C1350)=0,"",SUM((COUNTIF(C$4:C277,Upgrades!$B$3:$B$13)-COUNTIF(C$4:C277,"Sell_"&amp;Upgrades!$B$3:$B$13))*Upgrades!$D$3:$D$13))</f>
        <v/>
      </c>
      <c r="F277" s="66" t="str">
        <f>IFERROR(__xludf.DUMMYFUNCTION("IF(COUNTA(C277:C1350)=0,"""",IF(REGEXMATCH(INDEX(FILTER(C$4:C277,C$4:C277&lt;&gt;""""),ROWS(FILTER(C$4:C277,C$4:C277&lt;&gt;""""))),""^Sell_""),INDEX(FILTER(F$4:F276,C$4:C276&lt;&gt;""""),ROWS(FILTER(C$4:C276,C$4:C276&lt;&gt;""""))),$AC$5+E277))"),"")</f>
        <v/>
      </c>
      <c r="G277" s="10" t="str">
        <f>IFERROR(__xludf.DUMMYFUNCTION("IF(COUNTA(C277:C1350)=0,"""",IF(C277="""",0,IF(REGEXMATCH(C277,""^Sell_""),-ROUNDDOWN(ROUNDUP(INDEX(Upgrades!$C$3:$C$13,MATCH(SUBSTITUTE(C277,""Sell_"",""""),Upgrades!$B$3:$B$13,0))*1.15^(COUNTIF(C$4:C276,SUBSTITUTE(C277,""Sell_"",""""))-COUNTIF(C$4:C276,"&amp;"""Sell_""&amp;SUBSTITUTE(C277,""Sell_"",""""))))/2),ROUNDUP(INDEX(Upgrades!$C$3:$C$13,MATCH(C277,Upgrades!$B$3:$B$13,0))*1.15^(COUNTIF(C$4:C276,C277)-COUNTIF(C$4:C276,""Sell_""&amp;C277))))))"),"")</f>
        <v/>
      </c>
      <c r="H277" s="10" t="str">
        <f t="shared" si="3"/>
        <v/>
      </c>
      <c r="I277" s="68" t="str">
        <f t="shared" si="4"/>
        <v/>
      </c>
      <c r="J277" s="59" t="str">
        <f t="shared" si="5"/>
        <v/>
      </c>
      <c r="K277" s="69" t="str">
        <f t="shared" si="6"/>
        <v/>
      </c>
      <c r="L277" s="60">
        <f t="shared" si="7"/>
        <v>-176.36779</v>
      </c>
      <c r="M277" s="61">
        <f>IFERROR(__xludf.DUMMYFUNCTION("IFS(AND(COUNTA(C277:C1350)=0,COUNTA(Q277:Q1350)=0),"""",OR(AND(K277&gt;=1000000000,OR(Y277&gt;=1000000000,COUNTA(Q277:Q1350)=0)),OR(Y277&gt;=1000000000,AND(COUNTA(C277:C1350)=0,P$3=TRUE))),
ROUNDDOWN((AB$1-AC$1)*MAX(INDEX(T$4:T1350,MATCH(LARGE(FILTER(Y$4:Y1350,Y$4"&amp;":Y1350&lt;1000000000),1),Y$4:Y1350)),INDEX(F$4:F1350,MATCH(LARGE(FILTER(K$4:K1350,K$4:K1350&lt;1000000000),1),K$4:K1350)))),AND(K277&lt;1000000000,COUNTA(C277:C1350)&gt;0,P$3=FALSE),
ROUNDDOWN(INDEX(Y$4:Y1350,MATCH(LARGE(FILTER(W$4:W1350,W$4:W1350&lt;=I277),1),W$4:W1350"&amp;"))+(I277-LARGE(FILTER(W$4:W1350,W$4:W1350&lt;=I277),1))*INDEX(T$4:T1350,MATCH(LARGE(FILTER(W$4:W1350,W$4:W1350&lt;=I277),1),W$4:W1350))-K277),1,
ROUNDDOWN(Y277-INDEX(K$4:K1350,MATCH(LARGE(FILTER(I$4:I1350,I$4:I1350&lt;=W277),1),I$4:I1350))-(W277-LARGE(FILTER(I$4:I"&amp;"1350,I$4:I1350&lt;=W277),1))*INDEX(F$4:F1350,MATCH(LARGE(FILTER(I$4:I1350,I$4:I1350&lt;=W277),1),I$4:I1350))))"),2.0076916E7)</f>
        <v>20076916</v>
      </c>
      <c r="N277" s="60">
        <f t="shared" si="8"/>
        <v>-176.36779</v>
      </c>
      <c r="O277" s="61" t="str">
        <f t="shared" si="9"/>
        <v>20,1M</v>
      </c>
      <c r="P277" s="56">
        <f t="shared" si="10"/>
        <v>8</v>
      </c>
      <c r="Q277" s="105" t="s">
        <v>8</v>
      </c>
      <c r="R277" s="10" t="b">
        <f>IFERROR(__xludf.DUMMYFUNCTION("IF(COUNTA(Q277:Q1350)=0,"""",IF(ISBLANK(Q277),FALSE,IF(NOT(COUNTIF($AA$24:$AA$34,SUBSTITUTE(Q277,""Sell_"",""""))),1,IF(REGEXMATCH(Q277,""Sell_""),IF(COUNTIF(Q$4:Q277,SUBSTITUTE(Q277,""Sell_"",""""))-COUNTIF(Q$4:Q276,Q277)&lt;1,1),FALSE))))"),FALSE)</f>
        <v>0</v>
      </c>
      <c r="S277" s="59">
        <f t="array" ref="S277">IF(COUNTA(Q277:Q1350)=0,"",SUM((COUNTIF(Q$4:Q277,Upgrades!$B$3:$B$13)-COUNTIF(Q$4:Q277,"Sell_"&amp;Upgrades!$B$3:$B$13))*Upgrades!$D$3:$D$13))</f>
        <v>175976</v>
      </c>
      <c r="T277" s="66">
        <f>IFERROR(__xludf.DUMMYFUNCTION("IF(COUNTA(Q277:Q1350)=0,"""",IF(REGEXMATCH(INDEX(FILTER(Q$4:Q277,Q$4:Q277&lt;&gt;""""),ROWS(FILTER(Q$4:Q277,Q$4:Q277&lt;&gt;""""))),""^Sell_""),INDEX(FILTER(T$4:T276,Q$4:Q276&lt;&gt;""""),ROWS(FILTER(Q$4:Q276,Q$4:Q276&lt;&gt;""""))),$AD$5+S277))"),176176.0)</f>
        <v>176176</v>
      </c>
      <c r="U277" s="10">
        <f>IFERROR(__xludf.DUMMYFUNCTION("IF(COUNTA(Q277:Q1350)=0,"""",IF(Q277="""",0,IF(REGEXMATCH(Q277,""^Sell_""),-ROUNDDOWN(ROUNDUP(INDEX(Upgrades!$C$3:$C$13,MATCH(SUBSTITUTE(Q277,""Sell_"",""""),Upgrades!$B$3:$B$13,0))*1.15^(COUNTIF(Q$4:Q276,SUBSTITUTE(Q277,""Sell_"",""""))-COUNTIF(Q$4:Q276,"&amp;"""Sell_""&amp;SUBSTITUTE(Q277,""Sell_"",""""))))/2),ROUNDUP(INDEX(Upgrades!$C$3:$C$13,MATCH(Q277,Upgrades!$B$3:$B$13,0))*1.15^(COUNTIF(Q$4:Q276,Q277)-COUNTIF(Q$4:Q276,""Sell_""&amp;Q277))))))"),106401.0)</f>
        <v>106401</v>
      </c>
      <c r="V277" s="10">
        <f t="shared" si="11"/>
        <v>106401</v>
      </c>
      <c r="W277" s="68">
        <f t="shared" si="12"/>
        <v>4355.283202</v>
      </c>
      <c r="X277" s="59" t="str">
        <f t="shared" si="13"/>
        <v>1h 12m 35s</v>
      </c>
      <c r="Y277" s="69">
        <f t="shared" si="14"/>
        <v>195519343</v>
      </c>
      <c r="Z277" s="11"/>
    </row>
    <row r="278">
      <c r="A278" s="8"/>
      <c r="B278" s="56" t="str">
        <f t="shared" si="2"/>
        <v/>
      </c>
      <c r="C278" s="57"/>
      <c r="D278" s="10" t="str">
        <f>IFERROR(__xludf.DUMMYFUNCTION("IF(COUNTA(C278:C1350)=0,"""",IF(ISBLANK(C278),FALSE,IF(NOT(COUNTIF($AA$24:$AA$34,SUBSTITUTE(C278,""Sell_"",""""))),1,IF(REGEXMATCH(C278,""Sell_""),IF(COUNTIF(C$4:C278,SUBSTITUTE(C278,""Sell_"",""""))-COUNTIF(C$4:C277,C278)&lt;1,1),FALSE))))"),"")</f>
        <v/>
      </c>
      <c r="E278" s="59" t="str">
        <f t="array" ref="E278">IF(COUNTA(C278:C1350)=0,"",SUM((COUNTIF(C$4:C278,Upgrades!$B$3:$B$13)-COUNTIF(C$4:C278,"Sell_"&amp;Upgrades!$B$3:$B$13))*Upgrades!$D$3:$D$13))</f>
        <v/>
      </c>
      <c r="F278" s="66" t="str">
        <f>IFERROR(__xludf.DUMMYFUNCTION("IF(COUNTA(C278:C1350)=0,"""",IF(REGEXMATCH(INDEX(FILTER(C$4:C278,C$4:C278&lt;&gt;""""),ROWS(FILTER(C$4:C278,C$4:C278&lt;&gt;""""))),""^Sell_""),INDEX(FILTER(F$4:F277,C$4:C277&lt;&gt;""""),ROWS(FILTER(C$4:C277,C$4:C277&lt;&gt;""""))),$AC$5+E278))"),"")</f>
        <v/>
      </c>
      <c r="G278" s="10" t="str">
        <f>IFERROR(__xludf.DUMMYFUNCTION("IF(COUNTA(C278:C1350)=0,"""",IF(C278="""",0,IF(REGEXMATCH(C278,""^Sell_""),-ROUNDDOWN(ROUNDUP(INDEX(Upgrades!$C$3:$C$13,MATCH(SUBSTITUTE(C278,""Sell_"",""""),Upgrades!$B$3:$B$13,0))*1.15^(COUNTIF(C$4:C277,SUBSTITUTE(C278,""Sell_"",""""))-COUNTIF(C$4:C277,"&amp;"""Sell_""&amp;SUBSTITUTE(C278,""Sell_"",""""))))/2),ROUNDUP(INDEX(Upgrades!$C$3:$C$13,MATCH(C278,Upgrades!$B$3:$B$13,0))*1.15^(COUNTIF(C$4:C277,C278)-COUNTIF(C$4:C277,""Sell_""&amp;C278))))))"),"")</f>
        <v/>
      </c>
      <c r="H278" s="10" t="str">
        <f t="shared" si="3"/>
        <v/>
      </c>
      <c r="I278" s="68" t="str">
        <f t="shared" si="4"/>
        <v/>
      </c>
      <c r="J278" s="59" t="str">
        <f t="shared" si="5"/>
        <v/>
      </c>
      <c r="K278" s="69" t="str">
        <f t="shared" si="6"/>
        <v/>
      </c>
      <c r="L278" s="60">
        <f t="shared" si="7"/>
        <v>-177.80581</v>
      </c>
      <c r="M278" s="61">
        <f>IFERROR(__xludf.DUMMYFUNCTION("IFS(AND(COUNTA(C278:C1350)=0,COUNTA(Q278:Q1350)=0),"""",OR(AND(K278&gt;=1000000000,OR(Y278&gt;=1000000000,COUNTA(Q278:Q1350)=0)),OR(Y278&gt;=1000000000,AND(COUNTA(C278:C1350)=0,P$3=TRUE))),
ROUNDDOWN((AB$1-AC$1)*MAX(INDEX(T$4:T1350,MATCH(LARGE(FILTER(Y$4:Y1350,Y$4"&amp;":Y1350&lt;1000000000),1),Y$4:Y1350)),INDEX(F$4:F1350,MATCH(LARGE(FILTER(K$4:K1350,K$4:K1350&lt;1000000000),1),K$4:K1350)))),AND(K278&lt;1000000000,COUNTA(C278:C1350)&gt;0,P$3=FALSE),
ROUNDDOWN(INDEX(Y$4:Y1350,MATCH(LARGE(FILTER(W$4:W1350,W$4:W1350&lt;=I278),1),W$4:W1350"&amp;"))+(I278-LARGE(FILTER(W$4:W1350,W$4:W1350&lt;=I278),1))*INDEX(T$4:T1350,MATCH(LARGE(FILTER(W$4:W1350,W$4:W1350&lt;=I278),1),W$4:W1350))-K278),1,
ROUNDDOWN(Y278-INDEX(K$4:K1350,MATCH(LARGE(FILTER(I$4:I1350,I$4:I1350&lt;=W278),1),I$4:I1350))-(W278-LARGE(FILTER(I$4:I"&amp;"1350,I$4:I1350&lt;=W278),1))*INDEX(F$4:F1350,MATCH(LARGE(FILTER(I$4:I1350,I$4:I1350&lt;=W278),1),I$4:I1350))))"),2.0240613E7)</f>
        <v>20240613</v>
      </c>
      <c r="N278" s="60">
        <f t="shared" si="8"/>
        <v>-177.80581</v>
      </c>
      <c r="O278" s="61" t="str">
        <f t="shared" si="9"/>
        <v>20,2M</v>
      </c>
      <c r="P278" s="56">
        <f t="shared" si="10"/>
        <v>7</v>
      </c>
      <c r="Q278" s="105" t="s">
        <v>9</v>
      </c>
      <c r="R278" s="10" t="b">
        <f>IFERROR(__xludf.DUMMYFUNCTION("IF(COUNTA(Q278:Q1350)=0,"""",IF(ISBLANK(Q278),FALSE,IF(NOT(COUNTIF($AA$24:$AA$34,SUBSTITUTE(Q278,""Sell_"",""""))),1,IF(REGEXMATCH(Q278,""Sell_""),IF(COUNTIF(Q$4:Q278,SUBSTITUTE(Q278,""Sell_"",""""))-COUNTIF(Q$4:Q277,Q278)&lt;1,1),FALSE))))"),FALSE)</f>
        <v>0</v>
      </c>
      <c r="S278" s="59">
        <f t="array" ref="S278">IF(COUNTA(Q278:Q1350)=0,"",SUM((COUNTIF(Q$4:Q278,Upgrades!$B$3:$B$13)-COUNTIF(Q$4:Q278,"Sell_"&amp;Upgrades!$B$3:$B$13))*Upgrades!$D$3:$D$13))</f>
        <v>176376</v>
      </c>
      <c r="T278" s="66">
        <f>IFERROR(__xludf.DUMMYFUNCTION("IF(COUNTA(Q278:Q1350)=0,"""",IF(REGEXMATCH(INDEX(FILTER(Q$4:Q278,Q$4:Q278&lt;&gt;""""),ROWS(FILTER(Q$4:Q278,Q$4:Q278&lt;&gt;""""))),""^Sell_""),INDEX(FILTER(T$4:T277,Q$4:Q277&lt;&gt;""""),ROWS(FILTER(Q$4:Q277,Q$4:Q277&lt;&gt;""""))),$AD$5+S278))"),176576.0)</f>
        <v>176576</v>
      </c>
      <c r="U278" s="10">
        <f>IFERROR(__xludf.DUMMYFUNCTION("IF(COUNTA(Q278:Q1350)=0,"""",IF(Q278="""",0,IF(REGEXMATCH(Q278,""^Sell_""),-ROUNDDOWN(ROUNDUP(INDEX(Upgrades!$C$3:$C$13,MATCH(SUBSTITUTE(Q278,""Sell_"",""""),Upgrades!$B$3:$B$13,0))*1.15^(COUNTIF(Q$4:Q277,SUBSTITUTE(Q278,""Sell_"",""""))-COUNTIF(Q$4:Q277,"&amp;"""Sell_""&amp;SUBSTITUTE(Q278,""Sell_"",""""))))/2),ROUNDUP(INDEX(Upgrades!$C$3:$C$13,MATCH(Q278,Upgrades!$B$3:$B$13,0))*1.15^(COUNTIF(Q$4:Q277,Q278)-COUNTIF(Q$4:Q277,""Sell_""&amp;Q278))))))"),462613.0)</f>
        <v>462613</v>
      </c>
      <c r="V278" s="10">
        <f t="shared" si="11"/>
        <v>462613</v>
      </c>
      <c r="W278" s="68">
        <f t="shared" si="12"/>
        <v>4357.909059</v>
      </c>
      <c r="X278" s="59" t="str">
        <f t="shared" si="13"/>
        <v>1h 12m 37s</v>
      </c>
      <c r="Y278" s="69">
        <f t="shared" si="14"/>
        <v>195981956</v>
      </c>
      <c r="Z278" s="11"/>
    </row>
    <row r="279">
      <c r="A279" s="8"/>
      <c r="B279" s="56" t="str">
        <f t="shared" si="2"/>
        <v/>
      </c>
      <c r="C279" s="57"/>
      <c r="D279" s="10" t="str">
        <f>IFERROR(__xludf.DUMMYFUNCTION("IF(COUNTA(C279:C1350)=0,"""",IF(ISBLANK(C279),FALSE,IF(NOT(COUNTIF($AA$24:$AA$34,SUBSTITUTE(C279,""Sell_"",""""))),1,IF(REGEXMATCH(C279,""Sell_""),IF(COUNTIF(C$4:C279,SUBSTITUTE(C279,""Sell_"",""""))-COUNTIF(C$4:C278,C279)&lt;1,1),FALSE))))"),"")</f>
        <v/>
      </c>
      <c r="E279" s="59" t="str">
        <f t="array" ref="E279">IF(COUNTA(C279:C1350)=0,"",SUM((COUNTIF(C$4:C279,Upgrades!$B$3:$B$13)-COUNTIF(C$4:C279,"Sell_"&amp;Upgrades!$B$3:$B$13))*Upgrades!$D$3:$D$13))</f>
        <v/>
      </c>
      <c r="F279" s="66" t="str">
        <f>IFERROR(__xludf.DUMMYFUNCTION("IF(COUNTA(C279:C1350)=0,"""",IF(REGEXMATCH(INDEX(FILTER(C$4:C279,C$4:C279&lt;&gt;""""),ROWS(FILTER(C$4:C279,C$4:C279&lt;&gt;""""))),""^Sell_""),INDEX(FILTER(F$4:F278,C$4:C278&lt;&gt;""""),ROWS(FILTER(C$4:C278,C$4:C278&lt;&gt;""""))),$AC$5+E279))"),"")</f>
        <v/>
      </c>
      <c r="G279" s="10" t="str">
        <f>IFERROR(__xludf.DUMMYFUNCTION("IF(COUNTA(C279:C1350)=0,"""",IF(C279="""",0,IF(REGEXMATCH(C279,""^Sell_""),-ROUNDDOWN(ROUNDUP(INDEX(Upgrades!$C$3:$C$13,MATCH(SUBSTITUTE(C279,""Sell_"",""""),Upgrades!$B$3:$B$13,0))*1.15^(COUNTIF(C$4:C278,SUBSTITUTE(C279,""Sell_"",""""))-COUNTIF(C$4:C278,"&amp;"""Sell_""&amp;SUBSTITUTE(C279,""Sell_"",""""))))/2),ROUNDUP(INDEX(Upgrades!$C$3:$C$13,MATCH(C279,Upgrades!$B$3:$B$13,0))*1.15^(COUNTIF(C$4:C278,C279)-COUNTIF(C$4:C278,""Sell_""&amp;C279))))))"),"")</f>
        <v/>
      </c>
      <c r="H279" s="10" t="str">
        <f t="shared" si="3"/>
        <v/>
      </c>
      <c r="I279" s="68" t="str">
        <f t="shared" si="4"/>
        <v/>
      </c>
      <c r="J279" s="59" t="str">
        <f t="shared" si="5"/>
        <v/>
      </c>
      <c r="K279" s="69" t="str">
        <f t="shared" si="6"/>
        <v/>
      </c>
      <c r="L279" s="60">
        <f t="shared" si="7"/>
        <v>-177.95102</v>
      </c>
      <c r="M279" s="61">
        <f>IFERROR(__xludf.DUMMYFUNCTION("IFS(AND(COUNTA(C279:C1350)=0,COUNTA(Q279:Q1350)=0),"""",OR(AND(K279&gt;=1000000000,OR(Y279&gt;=1000000000,COUNTA(Q279:Q1350)=0)),OR(Y279&gt;=1000000000,AND(COUNTA(C279:C1350)=0,P$3=TRUE))),
ROUNDDOWN((AB$1-AC$1)*MAX(INDEX(T$4:T1350,MATCH(LARGE(FILTER(Y$4:Y1350,Y$4"&amp;":Y1350&lt;1000000000),1),Y$4:Y1350)),INDEX(F$4:F1350,MATCH(LARGE(FILTER(K$4:K1350,K$4:K1350&lt;1000000000),1),K$4:K1350)))),AND(K279&lt;1000000000,COUNTA(C279:C1350)&gt;0,P$3=FALSE),
ROUNDDOWN(INDEX(Y$4:Y1350,MATCH(LARGE(FILTER(W$4:W1350,W$4:W1350&lt;=I279),1),W$4:W1350"&amp;"))+(I279-LARGE(FILTER(W$4:W1350,W$4:W1350&lt;=I279),1))*INDEX(T$4:T1350,MATCH(LARGE(FILTER(W$4:W1350,W$4:W1350&lt;=I279),1),W$4:W1350))-K279),1,
ROUNDDOWN(Y279-INDEX(K$4:K1350,MATCH(LARGE(FILTER(I$4:I1350,I$4:I1350&lt;=W279),1),I$4:I1350))-(W279-LARGE(FILTER(I$4:I"&amp;"1350,I$4:I1350&lt;=W279),1))*INDEX(F$4:F1350,MATCH(LARGE(FILTER(I$4:I1350,I$4:I1350&lt;=W279),1),I$4:I1350))))"),2.0257144E7)</f>
        <v>20257144</v>
      </c>
      <c r="N279" s="60">
        <f t="shared" si="8"/>
        <v>-177.95102</v>
      </c>
      <c r="O279" s="61" t="str">
        <f t="shared" si="9"/>
        <v>20,3M</v>
      </c>
      <c r="P279" s="56">
        <f t="shared" si="10"/>
        <v>12</v>
      </c>
      <c r="Q279" s="105" t="s">
        <v>7</v>
      </c>
      <c r="R279" s="10" t="b">
        <f>IFERROR(__xludf.DUMMYFUNCTION("IF(COUNTA(Q279:Q1350)=0,"""",IF(ISBLANK(Q279),FALSE,IF(NOT(COUNTIF($AA$24:$AA$34,SUBSTITUTE(Q279,""Sell_"",""""))),1,IF(REGEXMATCH(Q279,""Sell_""),IF(COUNTIF(Q$4:Q279,SUBSTITUTE(Q279,""Sell_"",""""))-COUNTIF(Q$4:Q278,Q279)&lt;1,1),FALSE))))"),FALSE)</f>
        <v>0</v>
      </c>
      <c r="S279" s="59">
        <f t="array" ref="S279">IF(COUNTA(Q279:Q1350)=0,"",SUM((COUNTIF(Q$4:Q279,Upgrades!$B$3:$B$13)-COUNTIF(Q$4:Q279,"Sell_"&amp;Upgrades!$B$3:$B$13))*Upgrades!$D$3:$D$13))</f>
        <v>176416</v>
      </c>
      <c r="T279" s="66">
        <f>IFERROR(__xludf.DUMMYFUNCTION("IF(COUNTA(Q279:Q1350)=0,"""",IF(REGEXMATCH(INDEX(FILTER(Q$4:Q279,Q$4:Q279&lt;&gt;""""),ROWS(FILTER(Q$4:Q279,Q$4:Q279&lt;&gt;""""))),""^Sell_""),INDEX(FILTER(T$4:T278,Q$4:Q278&lt;&gt;""""),ROWS(FILTER(Q$4:Q278,Q$4:Q278&lt;&gt;""""))),$AD$5+S279))"),176616.0)</f>
        <v>176616</v>
      </c>
      <c r="U279" s="10">
        <f>IFERROR(__xludf.DUMMYFUNCTION("IF(COUNTA(Q279:Q1350)=0,"""",IF(Q279="""",0,IF(REGEXMATCH(Q279,""^Sell_""),-ROUNDDOWN(ROUNDUP(INDEX(Upgrades!$C$3:$C$13,MATCH(SUBSTITUTE(Q279,""Sell_"",""""),Upgrades!$B$3:$B$13,0))*1.15^(COUNTIF(Q$4:Q278,SUBSTITUTE(Q279,""Sell_"",""""))-COUNTIF(Q$4:Q278,"&amp;"""Sell_""&amp;SUBSTITUTE(Q279,""Sell_"",""""))))/2),ROUNDUP(INDEX(Upgrades!$C$3:$C$13,MATCH(Q279,Upgrades!$B$3:$B$13,0))*1.15^(COUNTIF(Q$4:Q278,Q279)-COUNTIF(Q$4:Q278,""Sell_""&amp;Q279))))))"),46524.0)</f>
        <v>46524</v>
      </c>
      <c r="V279" s="10">
        <f t="shared" si="11"/>
        <v>46524</v>
      </c>
      <c r="W279" s="68">
        <f t="shared" si="12"/>
        <v>4358.172537</v>
      </c>
      <c r="X279" s="59" t="str">
        <f t="shared" si="13"/>
        <v>1h 12m 38s</v>
      </c>
      <c r="Y279" s="69">
        <f t="shared" si="14"/>
        <v>196028480</v>
      </c>
      <c r="Z279" s="11"/>
    </row>
    <row r="280">
      <c r="A280" s="8"/>
      <c r="B280" s="56" t="str">
        <f t="shared" si="2"/>
        <v/>
      </c>
      <c r="C280" s="57"/>
      <c r="D280" s="10" t="str">
        <f>IFERROR(__xludf.DUMMYFUNCTION("IF(COUNTA(C280:C1350)=0,"""",IF(ISBLANK(C280),FALSE,IF(NOT(COUNTIF($AA$24:$AA$34,SUBSTITUTE(C280,""Sell_"",""""))),1,IF(REGEXMATCH(C280,""Sell_""),IF(COUNTIF(C$4:C280,SUBSTITUTE(C280,""Sell_"",""""))-COUNTIF(C$4:C279,C280)&lt;1,1),FALSE))))"),"")</f>
        <v/>
      </c>
      <c r="E280" s="59" t="str">
        <f t="array" ref="E280">IF(COUNTA(C280:C1350)=0,"",SUM((COUNTIF(C$4:C280,Upgrades!$B$3:$B$13)-COUNTIF(C$4:C280,"Sell_"&amp;Upgrades!$B$3:$B$13))*Upgrades!$D$3:$D$13))</f>
        <v/>
      </c>
      <c r="F280" s="66" t="str">
        <f>IFERROR(__xludf.DUMMYFUNCTION("IF(COUNTA(C280:C1350)=0,"""",IF(REGEXMATCH(INDEX(FILTER(C$4:C280,C$4:C280&lt;&gt;""""),ROWS(FILTER(C$4:C280,C$4:C280&lt;&gt;""""))),""^Sell_""),INDEX(FILTER(F$4:F279,C$4:C279&lt;&gt;""""),ROWS(FILTER(C$4:C279,C$4:C279&lt;&gt;""""))),$AC$5+E280))"),"")</f>
        <v/>
      </c>
      <c r="G280" s="10" t="str">
        <f>IFERROR(__xludf.DUMMYFUNCTION("IF(COUNTA(C280:C1350)=0,"""",IF(C280="""",0,IF(REGEXMATCH(C280,""^Sell_""),-ROUNDDOWN(ROUNDUP(INDEX(Upgrades!$C$3:$C$13,MATCH(SUBSTITUTE(C280,""Sell_"",""""),Upgrades!$B$3:$B$13,0))*1.15^(COUNTIF(C$4:C279,SUBSTITUTE(C280,""Sell_"",""""))-COUNTIF(C$4:C279,"&amp;"""Sell_""&amp;SUBSTITUTE(C280,""Sell_"",""""))))/2),ROUNDUP(INDEX(Upgrades!$C$3:$C$13,MATCH(C280,Upgrades!$B$3:$B$13,0))*1.15^(COUNTIF(C$4:C279,C280)-COUNTIF(C$4:C279,""Sell_""&amp;C280))))))"),"")</f>
        <v/>
      </c>
      <c r="H280" s="10" t="str">
        <f t="shared" si="3"/>
        <v/>
      </c>
      <c r="I280" s="68" t="str">
        <f t="shared" si="4"/>
        <v/>
      </c>
      <c r="J280" s="59" t="str">
        <f t="shared" si="5"/>
        <v/>
      </c>
      <c r="K280" s="69" t="str">
        <f t="shared" si="6"/>
        <v/>
      </c>
      <c r="L280" s="60">
        <f t="shared" si="7"/>
        <v>-202.16365</v>
      </c>
      <c r="M280" s="61">
        <f>IFERROR(__xludf.DUMMYFUNCTION("IFS(AND(COUNTA(C280:C1350)=0,COUNTA(Q280:Q1350)=0),"""",OR(AND(K280&gt;=1000000000,OR(Y280&gt;=1000000000,COUNTA(Q280:Q1350)=0)),OR(Y280&gt;=1000000000,AND(COUNTA(C280:C1350)=0,P$3=TRUE))),
ROUNDDOWN((AB$1-AC$1)*MAX(INDEX(T$4:T1350,MATCH(LARGE(FILTER(Y$4:Y1350,Y$4"&amp;":Y1350&lt;1000000000),1),Y$4:Y1350)),INDEX(F$4:F1350,MATCH(LARGE(FILTER(K$4:K1350,K$4:K1350&lt;1000000000),1),K$4:K1350)))),AND(K280&lt;1000000000,COUNTA(C280:C1350)&gt;0,P$3=FALSE),
ROUNDDOWN(INDEX(Y$4:Y1350,MATCH(LARGE(FILTER(W$4:W1350,W$4:W1350&lt;=I280),1),W$4:W1350"&amp;"))+(I280-LARGE(FILTER(W$4:W1350,W$4:W1350&lt;=I280),1))*INDEX(T$4:T1350,MATCH(LARGE(FILTER(W$4:W1350,W$4:W1350&lt;=I280),1),W$4:W1350))-K280),1,
ROUNDDOWN(Y280-INDEX(K$4:K1350,MATCH(LARGE(FILTER(I$4:I1350,I$4:I1350&lt;=W280),1),I$4:I1350))-(W280-LARGE(FILTER(I$4:I"&amp;"1350,I$4:I1350&lt;=W280),1))*INDEX(F$4:F1350,MATCH(LARGE(FILTER(I$4:I1350,I$4:I1350&lt;=W280),1),I$4:I1350))))"),2.30134E7)</f>
        <v>23013400</v>
      </c>
      <c r="N280" s="60">
        <f t="shared" si="8"/>
        <v>-202.16365</v>
      </c>
      <c r="O280" s="61" t="str">
        <f t="shared" si="9"/>
        <v>23,0M</v>
      </c>
      <c r="P280" s="56">
        <f t="shared" si="10"/>
        <v>12</v>
      </c>
      <c r="Q280" s="105" t="s">
        <v>10</v>
      </c>
      <c r="R280" s="10" t="b">
        <f>IFERROR(__xludf.DUMMYFUNCTION("IF(COUNTA(Q280:Q1350)=0,"""",IF(ISBLANK(Q280),FALSE,IF(NOT(COUNTIF($AA$24:$AA$34,SUBSTITUTE(Q280,""Sell_"",""""))),1,IF(REGEXMATCH(Q280,""Sell_""),IF(COUNTIF(Q$4:Q280,SUBSTITUTE(Q280,""Sell_"",""""))-COUNTIF(Q$4:Q279,Q280)&lt;1,1),FALSE))))"),FALSE)</f>
        <v>0</v>
      </c>
      <c r="S280" s="59">
        <f t="array" ref="S280">IF(COUNTA(Q280:Q1350)=0,"",SUM((COUNTIF(Q$4:Q280,Upgrades!$B$3:$B$13)-COUNTIF(Q$4:Q280,"Sell_"&amp;Upgrades!$B$3:$B$13))*Upgrades!$D$3:$D$13))</f>
        <v>183082</v>
      </c>
      <c r="T280" s="66">
        <f>IFERROR(__xludf.DUMMYFUNCTION("IF(COUNTA(Q280:Q1350)=0,"""",IF(REGEXMATCH(INDEX(FILTER(Q$4:Q280,Q$4:Q280&lt;&gt;""""),ROWS(FILTER(Q$4:Q280,Q$4:Q280&lt;&gt;""""))),""^Sell_""),INDEX(FILTER(T$4:T279,Q$4:Q279&lt;&gt;""""),ROWS(FILTER(Q$4:Q279,Q$4:Q279&lt;&gt;""""))),$AD$5+S280))"),183282.0)</f>
        <v>183282</v>
      </c>
      <c r="U280" s="10">
        <f>IFERROR(__xludf.DUMMYFUNCTION("IF(COUNTA(Q280:Q1350)=0,"""",IF(Q280="""",0,IF(REGEXMATCH(Q280,""^Sell_""),-ROUNDDOWN(ROUNDUP(INDEX(Upgrades!$C$3:$C$13,MATCH(SUBSTITUTE(Q280,""Sell_"",""""),Upgrades!$B$3:$B$13,0))*1.15^(COUNTIF(Q$4:Q279,SUBSTITUTE(Q280,""Sell_"",""""))-COUNTIF(Q$4:Q279,"&amp;"""Sell_""&amp;SUBSTITUTE(Q280,""Sell_"",""""))))/2),ROUNDUP(INDEX(Upgrades!$C$3:$C$13,MATCH(Q280,Upgrades!$B$3:$B$13,0))*1.15^(COUNTIF(Q$4:Q279,Q280)-COUNTIF(Q$4:Q279,""Sell_""&amp;Q280))))))"),7753983.0)</f>
        <v>7753983</v>
      </c>
      <c r="V280" s="10">
        <f t="shared" si="11"/>
        <v>7753983</v>
      </c>
      <c r="W280" s="68">
        <f t="shared" si="12"/>
        <v>4402.075598</v>
      </c>
      <c r="X280" s="59" t="str">
        <f t="shared" si="13"/>
        <v>1h 13m 22s</v>
      </c>
      <c r="Y280" s="69">
        <f t="shared" si="14"/>
        <v>203782463</v>
      </c>
      <c r="Z280" s="11"/>
    </row>
    <row r="281">
      <c r="A281" s="8"/>
      <c r="B281" s="56" t="str">
        <f t="shared" si="2"/>
        <v/>
      </c>
      <c r="C281" s="57"/>
      <c r="D281" s="10" t="str">
        <f>IFERROR(__xludf.DUMMYFUNCTION("IF(COUNTA(C281:C1350)=0,"""",IF(ISBLANK(C281),FALSE,IF(NOT(COUNTIF($AA$24:$AA$34,SUBSTITUTE(C281,""Sell_"",""""))),1,IF(REGEXMATCH(C281,""Sell_""),IF(COUNTIF(C$4:C281,SUBSTITUTE(C281,""Sell_"",""""))-COUNTIF(C$4:C280,C281)&lt;1,1),FALSE))))"),"")</f>
        <v/>
      </c>
      <c r="E281" s="59" t="str">
        <f t="array" ref="E281">IF(COUNTA(C281:C1350)=0,"",SUM((COUNTIF(C$4:C281,Upgrades!$B$3:$B$13)-COUNTIF(C$4:C281,"Sell_"&amp;Upgrades!$B$3:$B$13))*Upgrades!$D$3:$D$13))</f>
        <v/>
      </c>
      <c r="F281" s="66" t="str">
        <f>IFERROR(__xludf.DUMMYFUNCTION("IF(COUNTA(C281:C1350)=0,"""",IF(REGEXMATCH(INDEX(FILTER(C$4:C281,C$4:C281&lt;&gt;""""),ROWS(FILTER(C$4:C281,C$4:C281&lt;&gt;""""))),""^Sell_""),INDEX(FILTER(F$4:F280,C$4:C280&lt;&gt;""""),ROWS(FILTER(C$4:C280,C$4:C280&lt;&gt;""""))),$AC$5+E281))"),"")</f>
        <v/>
      </c>
      <c r="G281" s="10" t="str">
        <f>IFERROR(__xludf.DUMMYFUNCTION("IF(COUNTA(C281:C1350)=0,"""",IF(C281="""",0,IF(REGEXMATCH(C281,""^Sell_""),-ROUNDDOWN(ROUNDUP(INDEX(Upgrades!$C$3:$C$13,MATCH(SUBSTITUTE(C281,""Sell_"",""""),Upgrades!$B$3:$B$13,0))*1.15^(COUNTIF(C$4:C280,SUBSTITUTE(C281,""Sell_"",""""))-COUNTIF(C$4:C280,"&amp;"""Sell_""&amp;SUBSTITUTE(C281,""Sell_"",""""))))/2),ROUNDUP(INDEX(Upgrades!$C$3:$C$13,MATCH(C281,Upgrades!$B$3:$B$13,0))*1.15^(COUNTIF(C$4:C280,C281)-COUNTIF(C$4:C280,""Sell_""&amp;C281))))))"),"")</f>
        <v/>
      </c>
      <c r="H281" s="10" t="str">
        <f t="shared" si="3"/>
        <v/>
      </c>
      <c r="I281" s="68" t="str">
        <f t="shared" si="4"/>
        <v/>
      </c>
      <c r="J281" s="59" t="str">
        <f t="shared" si="5"/>
        <v/>
      </c>
      <c r="K281" s="69" t="str">
        <f t="shared" si="6"/>
        <v/>
      </c>
      <c r="L281" s="60">
        <f t="shared" si="7"/>
        <v>-202.57093</v>
      </c>
      <c r="M281" s="61">
        <f>IFERROR(__xludf.DUMMYFUNCTION("IFS(AND(COUNTA(C281:C1350)=0,COUNTA(Q281:Q1350)=0),"""",OR(AND(K281&gt;=1000000000,OR(Y281&gt;=1000000000,COUNTA(Q281:Q1350)=0)),OR(Y281&gt;=1000000000,AND(COUNTA(C281:C1350)=0,P$3=TRUE))),
ROUNDDOWN((AB$1-AC$1)*MAX(INDEX(T$4:T1350,MATCH(LARGE(FILTER(Y$4:Y1350,Y$4"&amp;":Y1350&lt;1000000000),1),Y$4:Y1350)),INDEX(F$4:F1350,MATCH(LARGE(FILTER(K$4:K1350,K$4:K1350&lt;1000000000),1),K$4:K1350)))),AND(K281&lt;1000000000,COUNTA(C281:C1350)&gt;0,P$3=FALSE),
ROUNDDOWN(INDEX(Y$4:Y1350,MATCH(LARGE(FILTER(W$4:W1350,W$4:W1350&lt;=I281),1),W$4:W1350"&amp;"))+(I281-LARGE(FILTER(W$4:W1350,W$4:W1350&lt;=I281),1))*INDEX(T$4:T1350,MATCH(LARGE(FILTER(W$4:W1350,W$4:W1350&lt;=I281),1),W$4:W1350))-K281),1,
ROUNDDOWN(Y281-INDEX(K$4:K1350,MATCH(LARGE(FILTER(I$4:I1350,I$4:I1350&lt;=W281),1),I$4:I1350))-(W281-LARGE(FILTER(I$4:I"&amp;"1350,I$4:I1350&lt;=W281),1))*INDEX(F$4:F1350,MATCH(LARGE(FILTER(I$4:I1350,I$4:I1350&lt;=W281),1),I$4:I1350))))"),2.3059763E7)</f>
        <v>23059763</v>
      </c>
      <c r="N281" s="60">
        <f t="shared" si="8"/>
        <v>-202.57093</v>
      </c>
      <c r="O281" s="61" t="str">
        <f t="shared" si="9"/>
        <v>23,1M</v>
      </c>
      <c r="P281" s="56">
        <f t="shared" si="10"/>
        <v>9</v>
      </c>
      <c r="Q281" s="105" t="s">
        <v>8</v>
      </c>
      <c r="R281" s="10" t="b">
        <f>IFERROR(__xludf.DUMMYFUNCTION("IF(COUNTA(Q281:Q1350)=0,"""",IF(ISBLANK(Q281),FALSE,IF(NOT(COUNTIF($AA$24:$AA$34,SUBSTITUTE(Q281,""Sell_"",""""))),1,IF(REGEXMATCH(Q281,""Sell_""),IF(COUNTIF(Q$4:Q281,SUBSTITUTE(Q281,""Sell_"",""""))-COUNTIF(Q$4:Q280,Q281)&lt;1,1),FALSE))))"),FALSE)</f>
        <v>0</v>
      </c>
      <c r="S281" s="59">
        <f t="array" ref="S281">IF(COUNTA(Q281:Q1350)=0,"",SUM((COUNTIF(Q$4:Q281,Upgrades!$B$3:$B$13)-COUNTIF(Q$4:Q281,"Sell_"&amp;Upgrades!$B$3:$B$13))*Upgrades!$D$3:$D$13))</f>
        <v>183182</v>
      </c>
      <c r="T281" s="66">
        <f>IFERROR(__xludf.DUMMYFUNCTION("IF(COUNTA(Q281:Q1350)=0,"""",IF(REGEXMATCH(INDEX(FILTER(Q$4:Q281,Q$4:Q281&lt;&gt;""""),ROWS(FILTER(Q$4:Q281,Q$4:Q281&lt;&gt;""""))),""^Sell_""),INDEX(FILTER(T$4:T280,Q$4:Q280&lt;&gt;""""),ROWS(FILTER(Q$4:Q280,Q$4:Q280&lt;&gt;""""))),$AD$5+S281))"),183382.0)</f>
        <v>183382</v>
      </c>
      <c r="U281" s="10">
        <f>IFERROR(__xludf.DUMMYFUNCTION("IF(COUNTA(Q281:Q1350)=0,"""",IF(Q281="""",0,IF(REGEXMATCH(Q281,""^Sell_""),-ROUNDDOWN(ROUNDUP(INDEX(Upgrades!$C$3:$C$13,MATCH(SUBSTITUTE(Q281,""Sell_"",""""),Upgrades!$B$3:$B$13,0))*1.15^(COUNTIF(Q$4:Q280,SUBSTITUTE(Q281,""Sell_"",""""))-COUNTIF(Q$4:Q280,"&amp;"""Sell_""&amp;SUBSTITUTE(Q281,""Sell_"",""""))))/2),ROUNDUP(INDEX(Upgrades!$C$3:$C$13,MATCH(Q281,Upgrades!$B$3:$B$13,0))*1.15^(COUNTIF(Q$4:Q280,Q281)-COUNTIF(Q$4:Q280,""Sell_""&amp;Q281))))))"),122361.0)</f>
        <v>122361</v>
      </c>
      <c r="V281" s="10">
        <f t="shared" si="11"/>
        <v>122361</v>
      </c>
      <c r="W281" s="68">
        <f t="shared" si="12"/>
        <v>4402.743209</v>
      </c>
      <c r="X281" s="59" t="str">
        <f t="shared" si="13"/>
        <v>1h 13m 22s</v>
      </c>
      <c r="Y281" s="69">
        <f t="shared" si="14"/>
        <v>203904824</v>
      </c>
      <c r="Z281" s="11"/>
    </row>
    <row r="282">
      <c r="A282" s="8"/>
      <c r="B282" s="56" t="str">
        <f t="shared" si="2"/>
        <v/>
      </c>
      <c r="C282" s="57"/>
      <c r="D282" s="10" t="str">
        <f>IFERROR(__xludf.DUMMYFUNCTION("IF(COUNTA(C282:C1350)=0,"""",IF(ISBLANK(C282),FALSE,IF(NOT(COUNTIF($AA$24:$AA$34,SUBSTITUTE(C282,""Sell_"",""""))),1,IF(REGEXMATCH(C282,""Sell_""),IF(COUNTIF(C$4:C282,SUBSTITUTE(C282,""Sell_"",""""))-COUNTIF(C$4:C281,C282)&lt;1,1),FALSE))))"),"")</f>
        <v/>
      </c>
      <c r="E282" s="59" t="str">
        <f t="array" ref="E282">IF(COUNTA(C282:C1350)=0,"",SUM((COUNTIF(C$4:C282,Upgrades!$B$3:$B$13)-COUNTIF(C$4:C282,"Sell_"&amp;Upgrades!$B$3:$B$13))*Upgrades!$D$3:$D$13))</f>
        <v/>
      </c>
      <c r="F282" s="66" t="str">
        <f>IFERROR(__xludf.DUMMYFUNCTION("IF(COUNTA(C282:C1350)=0,"""",IF(REGEXMATCH(INDEX(FILTER(C$4:C282,C$4:C282&lt;&gt;""""),ROWS(FILTER(C$4:C282,C$4:C282&lt;&gt;""""))),""^Sell_""),INDEX(FILTER(F$4:F281,C$4:C281&lt;&gt;""""),ROWS(FILTER(C$4:C281,C$4:C281&lt;&gt;""""))),$AC$5+E282))"),"")</f>
        <v/>
      </c>
      <c r="G282" s="10" t="str">
        <f>IFERROR(__xludf.DUMMYFUNCTION("IF(COUNTA(C282:C1350)=0,"""",IF(C282="""",0,IF(REGEXMATCH(C282,""^Sell_""),-ROUNDDOWN(ROUNDUP(INDEX(Upgrades!$C$3:$C$13,MATCH(SUBSTITUTE(C282,""Sell_"",""""),Upgrades!$B$3:$B$13,0))*1.15^(COUNTIF(C$4:C281,SUBSTITUTE(C282,""Sell_"",""""))-COUNTIF(C$4:C281,"&amp;"""Sell_""&amp;SUBSTITUTE(C282,""Sell_"",""""))))/2),ROUNDUP(INDEX(Upgrades!$C$3:$C$13,MATCH(C282,Upgrades!$B$3:$B$13,0))*1.15^(COUNTIF(C$4:C281,C282)-COUNTIF(C$4:C281,""Sell_""&amp;C282))))))"),"")</f>
        <v/>
      </c>
      <c r="H282" s="10" t="str">
        <f t="shared" si="3"/>
        <v/>
      </c>
      <c r="I282" s="68" t="str">
        <f t="shared" si="4"/>
        <v/>
      </c>
      <c r="J282" s="59" t="str">
        <f t="shared" si="5"/>
        <v/>
      </c>
      <c r="K282" s="69" t="str">
        <f t="shared" si="6"/>
        <v/>
      </c>
      <c r="L282" s="60">
        <f t="shared" si="7"/>
        <v>-204.3433</v>
      </c>
      <c r="M282" s="61">
        <f>IFERROR(__xludf.DUMMYFUNCTION("IFS(AND(COUNTA(C282:C1350)=0,COUNTA(Q282:Q1350)=0),"""",OR(AND(K282&gt;=1000000000,OR(Y282&gt;=1000000000,COUNTA(Q282:Q1350)=0)),OR(Y282&gt;=1000000000,AND(COUNTA(C282:C1350)=0,P$3=TRUE))),
ROUNDDOWN((AB$1-AC$1)*MAX(INDEX(T$4:T1350,MATCH(LARGE(FILTER(Y$4:Y1350,Y$4"&amp;":Y1350&lt;1000000000),1),Y$4:Y1350)),INDEX(F$4:F1350,MATCH(LARGE(FILTER(K$4:K1350,K$4:K1350&lt;1000000000),1),K$4:K1350)))),AND(K282&lt;1000000000,COUNTA(C282:C1350)&gt;0,P$3=FALSE),
ROUNDDOWN(INDEX(Y$4:Y1350,MATCH(LARGE(FILTER(W$4:W1350,W$4:W1350&lt;=I282),1),W$4:W1350"&amp;"))+(I282-LARGE(FILTER(W$4:W1350,W$4:W1350&lt;=I282),1))*INDEX(T$4:T1350,MATCH(LARGE(FILTER(W$4:W1350,W$4:W1350&lt;=I282),1),W$4:W1350))-K282),1,
ROUNDDOWN(Y282-INDEX(K$4:K1350,MATCH(LARGE(FILTER(I$4:I1350,I$4:I1350&lt;=W282),1),I$4:I1350))-(W282-LARGE(FILTER(I$4:I"&amp;"1350,I$4:I1350&lt;=W282),1))*INDEX(F$4:F1350,MATCH(LARGE(FILTER(I$4:I1350,I$4:I1350&lt;=W282),1),I$4:I1350))))"),2.3261522E7)</f>
        <v>23261522</v>
      </c>
      <c r="N282" s="60">
        <f t="shared" si="8"/>
        <v>-204.3433</v>
      </c>
      <c r="O282" s="61" t="str">
        <f t="shared" si="9"/>
        <v>23,3M</v>
      </c>
      <c r="P282" s="56">
        <f t="shared" si="10"/>
        <v>8</v>
      </c>
      <c r="Q282" s="105" t="s">
        <v>9</v>
      </c>
      <c r="R282" s="10" t="b">
        <f>IFERROR(__xludf.DUMMYFUNCTION("IF(COUNTA(Q282:Q1350)=0,"""",IF(ISBLANK(Q282),FALSE,IF(NOT(COUNTIF($AA$24:$AA$34,SUBSTITUTE(Q282,""Sell_"",""""))),1,IF(REGEXMATCH(Q282,""Sell_""),IF(COUNTIF(Q$4:Q282,SUBSTITUTE(Q282,""Sell_"",""""))-COUNTIF(Q$4:Q281,Q282)&lt;1,1),FALSE))))"),FALSE)</f>
        <v>0</v>
      </c>
      <c r="S282" s="59">
        <f t="array" ref="S282">IF(COUNTA(Q282:Q1350)=0,"",SUM((COUNTIF(Q$4:Q282,Upgrades!$B$3:$B$13)-COUNTIF(Q$4:Q282,"Sell_"&amp;Upgrades!$B$3:$B$13))*Upgrades!$D$3:$D$13))</f>
        <v>183582</v>
      </c>
      <c r="T282" s="66">
        <f>IFERROR(__xludf.DUMMYFUNCTION("IF(COUNTA(Q282:Q1350)=0,"""",IF(REGEXMATCH(INDEX(FILTER(Q$4:Q282,Q$4:Q282&lt;&gt;""""),ROWS(FILTER(Q$4:Q282,Q$4:Q282&lt;&gt;""""))),""^Sell_""),INDEX(FILTER(T$4:T281,Q$4:Q281&lt;&gt;""""),ROWS(FILTER(Q$4:Q281,Q$4:Q281&lt;&gt;""""))),$AD$5+S282))"),183782.0)</f>
        <v>183782</v>
      </c>
      <c r="U282" s="10">
        <f>IFERROR(__xludf.DUMMYFUNCTION("IF(COUNTA(Q282:Q1350)=0,"""",IF(Q282="""",0,IF(REGEXMATCH(Q282,""^Sell_""),-ROUNDDOWN(ROUNDUP(INDEX(Upgrades!$C$3:$C$13,MATCH(SUBSTITUTE(Q282,""Sell_"",""""),Upgrades!$B$3:$B$13,0))*1.15^(COUNTIF(Q$4:Q281,SUBSTITUTE(Q282,""Sell_"",""""))-COUNTIF(Q$4:Q281,"&amp;"""Sell_""&amp;SUBSTITUTE(Q282,""Sell_"",""""))))/2),ROUNDUP(INDEX(Upgrades!$C$3:$C$13,MATCH(Q282,Upgrades!$B$3:$B$13,0))*1.15^(COUNTIF(Q$4:Q281,Q282)-COUNTIF(Q$4:Q281,""Sell_""&amp;Q282))))))"),532004.0)</f>
        <v>532004</v>
      </c>
      <c r="V282" s="10">
        <f t="shared" si="11"/>
        <v>532004</v>
      </c>
      <c r="W282" s="68">
        <f t="shared" si="12"/>
        <v>4405.644279</v>
      </c>
      <c r="X282" s="59" t="str">
        <f t="shared" si="13"/>
        <v>1h 13m 25s</v>
      </c>
      <c r="Y282" s="69">
        <f t="shared" si="14"/>
        <v>204436828</v>
      </c>
      <c r="Z282" s="11"/>
    </row>
    <row r="283">
      <c r="A283" s="8"/>
      <c r="B283" s="56" t="str">
        <f t="shared" si="2"/>
        <v/>
      </c>
      <c r="C283" s="57"/>
      <c r="D283" s="10" t="str">
        <f>IFERROR(__xludf.DUMMYFUNCTION("IF(COUNTA(C283:C1350)=0,"""",IF(ISBLANK(C283),FALSE,IF(NOT(COUNTIF($AA$24:$AA$34,SUBSTITUTE(C283,""Sell_"",""""))),1,IF(REGEXMATCH(C283,""Sell_""),IF(COUNTIF(C$4:C283,SUBSTITUTE(C283,""Sell_"",""""))-COUNTIF(C$4:C282,C283)&lt;1,1),FALSE))))"),"")</f>
        <v/>
      </c>
      <c r="E283" s="59" t="str">
        <f t="array" ref="E283">IF(COUNTA(C283:C1350)=0,"",SUM((COUNTIF(C$4:C283,Upgrades!$B$3:$B$13)-COUNTIF(C$4:C283,"Sell_"&amp;Upgrades!$B$3:$B$13))*Upgrades!$D$3:$D$13))</f>
        <v/>
      </c>
      <c r="F283" s="66" t="str">
        <f>IFERROR(__xludf.DUMMYFUNCTION("IF(COUNTA(C283:C1350)=0,"""",IF(REGEXMATCH(INDEX(FILTER(C$4:C283,C$4:C283&lt;&gt;""""),ROWS(FILTER(C$4:C283,C$4:C283&lt;&gt;""""))),""^Sell_""),INDEX(FILTER(F$4:F282,C$4:C282&lt;&gt;""""),ROWS(FILTER(C$4:C282,C$4:C282&lt;&gt;""""))),$AC$5+E283))"),"")</f>
        <v/>
      </c>
      <c r="G283" s="10" t="str">
        <f>IFERROR(__xludf.DUMMYFUNCTION("IF(COUNTA(C283:C1350)=0,"""",IF(C283="""",0,IF(REGEXMATCH(C283,""^Sell_""),-ROUNDDOWN(ROUNDUP(INDEX(Upgrades!$C$3:$C$13,MATCH(SUBSTITUTE(C283,""Sell_"",""""),Upgrades!$B$3:$B$13,0))*1.15^(COUNTIF(C$4:C282,SUBSTITUTE(C283,""Sell_"",""""))-COUNTIF(C$4:C282,"&amp;"""Sell_""&amp;SUBSTITUTE(C283,""Sell_"",""""))))/2),ROUNDUP(INDEX(Upgrades!$C$3:$C$13,MATCH(C283,Upgrades!$B$3:$B$13,0))*1.15^(COUNTIF(C$4:C282,C283)-COUNTIF(C$4:C282,""Sell_""&amp;C283))))))"),"")</f>
        <v/>
      </c>
      <c r="H283" s="10" t="str">
        <f t="shared" si="3"/>
        <v/>
      </c>
      <c r="I283" s="68" t="str">
        <f t="shared" si="4"/>
        <v/>
      </c>
      <c r="J283" s="59" t="str">
        <f t="shared" si="5"/>
        <v/>
      </c>
      <c r="K283" s="69" t="str">
        <f t="shared" si="6"/>
        <v/>
      </c>
      <c r="L283" s="60">
        <f t="shared" si="7"/>
        <v>-204.52219</v>
      </c>
      <c r="M283" s="61">
        <f>IFERROR(__xludf.DUMMYFUNCTION("IFS(AND(COUNTA(C283:C1350)=0,COUNTA(Q283:Q1350)=0),"""",OR(AND(K283&gt;=1000000000,OR(Y283&gt;=1000000000,COUNTA(Q283:Q1350)=0)),OR(Y283&gt;=1000000000,AND(COUNTA(C283:C1350)=0,P$3=TRUE))),
ROUNDDOWN((AB$1-AC$1)*MAX(INDEX(T$4:T1350,MATCH(LARGE(FILTER(Y$4:Y1350,Y$4"&amp;":Y1350&lt;1000000000),1),Y$4:Y1350)),INDEX(F$4:F1350,MATCH(LARGE(FILTER(K$4:K1350,K$4:K1350&lt;1000000000),1),K$4:K1350)))),AND(K283&lt;1000000000,COUNTA(C283:C1350)&gt;0,P$3=FALSE),
ROUNDDOWN(INDEX(Y$4:Y1350,MATCH(LARGE(FILTER(W$4:W1350,W$4:W1350&lt;=I283),1),W$4:W1350"&amp;"))+(I283-LARGE(FILTER(W$4:W1350,W$4:W1350&lt;=I283),1))*INDEX(T$4:T1350,MATCH(LARGE(FILTER(W$4:W1350,W$4:W1350&lt;=I283),1),W$4:W1350))-K283),1,
ROUNDDOWN(Y283-INDEX(K$4:K1350,MATCH(LARGE(FILTER(I$4:I1350,I$4:I1350&lt;=W283),1),I$4:I1350))-(W283-LARGE(FILTER(I$4:I"&amp;"1350,I$4:I1350&lt;=W283),1))*INDEX(F$4:F1350,MATCH(LARGE(FILTER(I$4:I1350,I$4:I1350&lt;=W283),1),I$4:I1350))))"),2.3281885E7)</f>
        <v>23281885</v>
      </c>
      <c r="N283" s="60">
        <f t="shared" si="8"/>
        <v>-204.52219</v>
      </c>
      <c r="O283" s="61" t="str">
        <f t="shared" si="9"/>
        <v>23,3M</v>
      </c>
      <c r="P283" s="56">
        <f t="shared" si="10"/>
        <v>13</v>
      </c>
      <c r="Q283" s="105" t="s">
        <v>7</v>
      </c>
      <c r="R283" s="10" t="b">
        <f>IFERROR(__xludf.DUMMYFUNCTION("IF(COUNTA(Q283:Q1350)=0,"""",IF(ISBLANK(Q283),FALSE,IF(NOT(COUNTIF($AA$24:$AA$34,SUBSTITUTE(Q283,""Sell_"",""""))),1,IF(REGEXMATCH(Q283,""Sell_""),IF(COUNTIF(Q$4:Q283,SUBSTITUTE(Q283,""Sell_"",""""))-COUNTIF(Q$4:Q282,Q283)&lt;1,1),FALSE))))"),FALSE)</f>
        <v>0</v>
      </c>
      <c r="S283" s="59">
        <f t="array" ref="S283">IF(COUNTA(Q283:Q1350)=0,"",SUM((COUNTIF(Q$4:Q283,Upgrades!$B$3:$B$13)-COUNTIF(Q$4:Q283,"Sell_"&amp;Upgrades!$B$3:$B$13))*Upgrades!$D$3:$D$13))</f>
        <v>183622</v>
      </c>
      <c r="T283" s="66">
        <f>IFERROR(__xludf.DUMMYFUNCTION("IF(COUNTA(Q283:Q1350)=0,"""",IF(REGEXMATCH(INDEX(FILTER(Q$4:Q283,Q$4:Q283&lt;&gt;""""),ROWS(FILTER(Q$4:Q283,Q$4:Q283&lt;&gt;""""))),""^Sell_""),INDEX(FILTER(T$4:T282,Q$4:Q282&lt;&gt;""""),ROWS(FILTER(Q$4:Q282,Q$4:Q282&lt;&gt;""""))),$AD$5+S283))"),183822.0)</f>
        <v>183822</v>
      </c>
      <c r="U283" s="10">
        <f>IFERROR(__xludf.DUMMYFUNCTION("IF(COUNTA(Q283:Q1350)=0,"""",IF(Q283="""",0,IF(REGEXMATCH(Q283,""^Sell_""),-ROUNDDOWN(ROUNDUP(INDEX(Upgrades!$C$3:$C$13,MATCH(SUBSTITUTE(Q283,""Sell_"",""""),Upgrades!$B$3:$B$13,0))*1.15^(COUNTIF(Q$4:Q282,SUBSTITUTE(Q283,""Sell_"",""""))-COUNTIF(Q$4:Q282,"&amp;"""Sell_""&amp;SUBSTITUTE(Q283,""Sell_"",""""))))/2),ROUNDUP(INDEX(Upgrades!$C$3:$C$13,MATCH(Q283,Upgrades!$B$3:$B$13,0))*1.15^(COUNTIF(Q$4:Q282,Q283)-COUNTIF(Q$4:Q282,""Sell_""&amp;Q283))))))"),53503.0)</f>
        <v>53503</v>
      </c>
      <c r="V283" s="10">
        <f t="shared" si="11"/>
        <v>53503</v>
      </c>
      <c r="W283" s="68">
        <f t="shared" si="12"/>
        <v>4405.935401</v>
      </c>
      <c r="X283" s="59" t="str">
        <f t="shared" si="13"/>
        <v>1h 13m 25s</v>
      </c>
      <c r="Y283" s="69">
        <f t="shared" si="14"/>
        <v>204490331</v>
      </c>
      <c r="Z283" s="11"/>
    </row>
    <row r="284">
      <c r="A284" s="8"/>
      <c r="B284" s="56" t="str">
        <f t="shared" si="2"/>
        <v/>
      </c>
      <c r="C284" s="57"/>
      <c r="D284" s="10" t="str">
        <f>IFERROR(__xludf.DUMMYFUNCTION("IF(COUNTA(C284:C1350)=0,"""",IF(ISBLANK(C284),FALSE,IF(NOT(COUNTIF($AA$24:$AA$34,SUBSTITUTE(C284,""Sell_"",""""))),1,IF(REGEXMATCH(C284,""Sell_""),IF(COUNTIF(C$4:C284,SUBSTITUTE(C284,""Sell_"",""""))-COUNTIF(C$4:C283,C284)&lt;1,1),FALSE))))"),"")</f>
        <v/>
      </c>
      <c r="E284" s="59" t="str">
        <f t="array" ref="E284">IF(COUNTA(C284:C1350)=0,"",SUM((COUNTIF(C$4:C284,Upgrades!$B$3:$B$13)-COUNTIF(C$4:C284,"Sell_"&amp;Upgrades!$B$3:$B$13))*Upgrades!$D$3:$D$13))</f>
        <v/>
      </c>
      <c r="F284" s="66" t="str">
        <f>IFERROR(__xludf.DUMMYFUNCTION("IF(COUNTA(C284:C1350)=0,"""",IF(REGEXMATCH(INDEX(FILTER(C$4:C284,C$4:C284&lt;&gt;""""),ROWS(FILTER(C$4:C284,C$4:C284&lt;&gt;""""))),""^Sell_""),INDEX(FILTER(F$4:F283,C$4:C283&lt;&gt;""""),ROWS(FILTER(C$4:C283,C$4:C283&lt;&gt;""""))),$AC$5+E284))"),"")</f>
        <v/>
      </c>
      <c r="G284" s="10" t="str">
        <f>IFERROR(__xludf.DUMMYFUNCTION("IF(COUNTA(C284:C1350)=0,"""",IF(C284="""",0,IF(REGEXMATCH(C284,""^Sell_""),-ROUNDDOWN(ROUNDUP(INDEX(Upgrades!$C$3:$C$13,MATCH(SUBSTITUTE(C284,""Sell_"",""""),Upgrades!$B$3:$B$13,0))*1.15^(COUNTIF(C$4:C283,SUBSTITUTE(C284,""Sell_"",""""))-COUNTIF(C$4:C283,"&amp;"""Sell_""&amp;SUBSTITUTE(C284,""Sell_"",""""))))/2),ROUNDUP(INDEX(Upgrades!$C$3:$C$13,MATCH(C284,Upgrades!$B$3:$B$13,0))*1.15^(COUNTIF(C$4:C283,C284)-COUNTIF(C$4:C283,""Sell_""&amp;C284))))))"),"")</f>
        <v/>
      </c>
      <c r="H284" s="10" t="str">
        <f t="shared" si="3"/>
        <v/>
      </c>
      <c r="I284" s="68" t="str">
        <f t="shared" si="4"/>
        <v/>
      </c>
      <c r="J284" s="59" t="str">
        <f t="shared" si="5"/>
        <v/>
      </c>
      <c r="K284" s="69" t="str">
        <f t="shared" si="6"/>
        <v/>
      </c>
      <c r="L284" s="60">
        <f t="shared" si="7"/>
        <v>-234.3459</v>
      </c>
      <c r="M284" s="61">
        <f>IFERROR(__xludf.DUMMYFUNCTION("IFS(AND(COUNTA(C284:C1350)=0,COUNTA(Q284:Q1350)=0),"""",OR(AND(K284&gt;=1000000000,OR(Y284&gt;=1000000000,COUNTA(Q284:Q1350)=0)),OR(Y284&gt;=1000000000,AND(COUNTA(C284:C1350)=0,P$3=TRUE))),
ROUNDDOWN((AB$1-AC$1)*MAX(INDEX(T$4:T1350,MATCH(LARGE(FILTER(Y$4:Y1350,Y$4"&amp;":Y1350&lt;1000000000),1),Y$4:Y1350)),INDEX(F$4:F1350,MATCH(LARGE(FILTER(K$4:K1350,K$4:K1350&lt;1000000000),1),K$4:K1350)))),AND(K284&lt;1000000000,COUNTA(C284:C1350)&gt;0,P$3=FALSE),
ROUNDDOWN(INDEX(Y$4:Y1350,MATCH(LARGE(FILTER(W$4:W1350,W$4:W1350&lt;=I284),1),W$4:W1350"&amp;"))+(I284-LARGE(FILTER(W$4:W1350,W$4:W1350&lt;=I284),1))*INDEX(T$4:T1350,MATCH(LARGE(FILTER(W$4:W1350,W$4:W1350&lt;=I284),1),W$4:W1350))-K284),1,
ROUNDDOWN(Y284-INDEX(K$4:K1350,MATCH(LARGE(FILTER(I$4:I1350,I$4:I1350&lt;=W284),1),I$4:I1350))-(W284-LARGE(FILTER(I$4:I"&amp;"1350,I$4:I1350&lt;=W284),1))*INDEX(F$4:F1350,MATCH(LARGE(FILTER(I$4:I1350,I$4:I1350&lt;=W284),1),I$4:I1350))))"),2.6676883E7)</f>
        <v>26676883</v>
      </c>
      <c r="N284" s="60">
        <f t="shared" si="8"/>
        <v>-234.3459</v>
      </c>
      <c r="O284" s="61" t="str">
        <f t="shared" si="9"/>
        <v>26,7M</v>
      </c>
      <c r="P284" s="56">
        <f t="shared" si="10"/>
        <v>13</v>
      </c>
      <c r="Q284" s="105" t="s">
        <v>10</v>
      </c>
      <c r="R284" s="10" t="b">
        <f>IFERROR(__xludf.DUMMYFUNCTION("IF(COUNTA(Q284:Q1350)=0,"""",IF(ISBLANK(Q284),FALSE,IF(NOT(COUNTIF($AA$24:$AA$34,SUBSTITUTE(Q284,""Sell_"",""""))),1,IF(REGEXMATCH(Q284,""Sell_""),IF(COUNTIF(Q$4:Q284,SUBSTITUTE(Q284,""Sell_"",""""))-COUNTIF(Q$4:Q283,Q284)&lt;1,1),FALSE))))"),FALSE)</f>
        <v>0</v>
      </c>
      <c r="S284" s="59">
        <f t="array" ref="S284">IF(COUNTA(Q284:Q1350)=0,"",SUM((COUNTIF(Q$4:Q284,Upgrades!$B$3:$B$13)-COUNTIF(Q$4:Q284,"Sell_"&amp;Upgrades!$B$3:$B$13))*Upgrades!$D$3:$D$13))</f>
        <v>190288</v>
      </c>
      <c r="T284" s="66">
        <f>IFERROR(__xludf.DUMMYFUNCTION("IF(COUNTA(Q284:Q1350)=0,"""",IF(REGEXMATCH(INDEX(FILTER(Q$4:Q284,Q$4:Q284&lt;&gt;""""),ROWS(FILTER(Q$4:Q284,Q$4:Q284&lt;&gt;""""))),""^Sell_""),INDEX(FILTER(T$4:T283,Q$4:Q283&lt;&gt;""""),ROWS(FILTER(Q$4:Q283,Q$4:Q283&lt;&gt;""""))),$AD$5+S284))"),190488.0)</f>
        <v>190488</v>
      </c>
      <c r="U284" s="10">
        <f>IFERROR(__xludf.DUMMYFUNCTION("IF(COUNTA(Q284:Q1350)=0,"""",IF(Q284="""",0,IF(REGEXMATCH(Q284,""^Sell_""),-ROUNDDOWN(ROUNDUP(INDEX(Upgrades!$C$3:$C$13,MATCH(SUBSTITUTE(Q284,""Sell_"",""""),Upgrades!$B$3:$B$13,0))*1.15^(COUNTIF(Q$4:Q283,SUBSTITUTE(Q284,""Sell_"",""""))-COUNTIF(Q$4:Q283,"&amp;"""Sell_""&amp;SUBSTITUTE(Q284,""Sell_"",""""))))/2),ROUNDUP(INDEX(Upgrades!$C$3:$C$13,MATCH(Q284,Upgrades!$B$3:$B$13,0))*1.15^(COUNTIF(Q$4:Q283,Q284)-COUNTIF(Q$4:Q283,""Sell_""&amp;Q284))))))"),8917080.0)</f>
        <v>8917080</v>
      </c>
      <c r="V284" s="10">
        <f t="shared" si="11"/>
        <v>8917080</v>
      </c>
      <c r="W284" s="68">
        <f t="shared" si="12"/>
        <v>4454.44472</v>
      </c>
      <c r="X284" s="59" t="str">
        <f t="shared" si="13"/>
        <v>1h 14m 14s</v>
      </c>
      <c r="Y284" s="69">
        <f t="shared" si="14"/>
        <v>213407411</v>
      </c>
      <c r="Z284" s="11"/>
    </row>
    <row r="285">
      <c r="A285" s="8"/>
      <c r="B285" s="56" t="str">
        <f t="shared" si="2"/>
        <v/>
      </c>
      <c r="C285" s="57"/>
      <c r="D285" s="10" t="str">
        <f>IFERROR(__xludf.DUMMYFUNCTION("IF(COUNTA(C285:C1350)=0,"""",IF(ISBLANK(C285),FALSE,IF(NOT(COUNTIF($AA$24:$AA$34,SUBSTITUTE(C285,""Sell_"",""""))),1,IF(REGEXMATCH(C285,""Sell_""),IF(COUNTIF(C$4:C285,SUBSTITUTE(C285,""Sell_"",""""))-COUNTIF(C$4:C284,C285)&lt;1,1),FALSE))))"),"")</f>
        <v/>
      </c>
      <c r="E285" s="59" t="str">
        <f t="array" ref="E285">IF(COUNTA(C285:C1350)=0,"",SUM((COUNTIF(C$4:C285,Upgrades!$B$3:$B$13)-COUNTIF(C$4:C285,"Sell_"&amp;Upgrades!$B$3:$B$13))*Upgrades!$D$3:$D$13))</f>
        <v/>
      </c>
      <c r="F285" s="66" t="str">
        <f>IFERROR(__xludf.DUMMYFUNCTION("IF(COUNTA(C285:C1350)=0,"""",IF(REGEXMATCH(INDEX(FILTER(C$4:C285,C$4:C285&lt;&gt;""""),ROWS(FILTER(C$4:C285,C$4:C285&lt;&gt;""""))),""^Sell_""),INDEX(FILTER(F$4:F284,C$4:C284&lt;&gt;""""),ROWS(FILTER(C$4:C284,C$4:C284&lt;&gt;""""))),$AC$5+E285))"),"")</f>
        <v/>
      </c>
      <c r="G285" s="10" t="str">
        <f>IFERROR(__xludf.DUMMYFUNCTION("IF(COUNTA(C285:C1350)=0,"""",IF(C285="""",0,IF(REGEXMATCH(C285,""^Sell_""),-ROUNDDOWN(ROUNDUP(INDEX(Upgrades!$C$3:$C$13,MATCH(SUBSTITUTE(C285,""Sell_"",""""),Upgrades!$B$3:$B$13,0))*1.15^(COUNTIF(C$4:C284,SUBSTITUTE(C285,""Sell_"",""""))-COUNTIF(C$4:C284,"&amp;"""Sell_""&amp;SUBSTITUTE(C285,""Sell_"",""""))))/2),ROUNDUP(INDEX(Upgrades!$C$3:$C$13,MATCH(C285,Upgrades!$B$3:$B$13,0))*1.15^(COUNTIF(C$4:C284,C285)-COUNTIF(C$4:C284,""Sell_""&amp;C285))))))"),"")</f>
        <v/>
      </c>
      <c r="H285" s="10" t="str">
        <f t="shared" si="3"/>
        <v/>
      </c>
      <c r="I285" s="68" t="str">
        <f t="shared" si="4"/>
        <v/>
      </c>
      <c r="J285" s="59" t="str">
        <f t="shared" si="5"/>
        <v/>
      </c>
      <c r="K285" s="69" t="str">
        <f t="shared" si="6"/>
        <v/>
      </c>
      <c r="L285" s="60">
        <f t="shared" si="7"/>
        <v>-234.84332</v>
      </c>
      <c r="M285" s="61">
        <f>IFERROR(__xludf.DUMMYFUNCTION("IFS(AND(COUNTA(C285:C1350)=0,COUNTA(Q285:Q1350)=0),"""",OR(AND(K285&gt;=1000000000,OR(Y285&gt;=1000000000,COUNTA(Q285:Q1350)=0)),OR(Y285&gt;=1000000000,AND(COUNTA(C285:C1350)=0,P$3=TRUE))),
ROUNDDOWN((AB$1-AC$1)*MAX(INDEX(T$4:T1350,MATCH(LARGE(FILTER(Y$4:Y1350,Y$4"&amp;":Y1350&lt;1000000000),1),Y$4:Y1350)),INDEX(F$4:F1350,MATCH(LARGE(FILTER(K$4:K1350,K$4:K1350&lt;1000000000),1),K$4:K1350)))),AND(K285&lt;1000000000,COUNTA(C285:C1350)&gt;0,P$3=FALSE),
ROUNDDOWN(INDEX(Y$4:Y1350,MATCH(LARGE(FILTER(W$4:W1350,W$4:W1350&lt;=I285),1),W$4:W1350"&amp;"))+(I285-LARGE(FILTER(W$4:W1350,W$4:W1350&lt;=I285),1))*INDEX(T$4:T1350,MATCH(LARGE(FILTER(W$4:W1350,W$4:W1350&lt;=I285),1),W$4:W1350))-K285),1,
ROUNDDOWN(Y285-INDEX(K$4:K1350,MATCH(LARGE(FILTER(I$4:I1350,I$4:I1350&lt;=W285),1),I$4:I1350))-(W285-LARGE(FILTER(I$4:I"&amp;"1350,I$4:I1350&lt;=W285),1))*INDEX(F$4:F1350,MATCH(LARGE(FILTER(I$4:I1350,I$4:I1350&lt;=W285),1),I$4:I1350))))"),2.6733507E7)</f>
        <v>26733507</v>
      </c>
      <c r="N285" s="60">
        <f t="shared" si="8"/>
        <v>-234.84332</v>
      </c>
      <c r="O285" s="61" t="str">
        <f t="shared" si="9"/>
        <v>26,7M</v>
      </c>
      <c r="P285" s="56">
        <f t="shared" si="10"/>
        <v>10</v>
      </c>
      <c r="Q285" s="105" t="s">
        <v>8</v>
      </c>
      <c r="R285" s="10" t="b">
        <f>IFERROR(__xludf.DUMMYFUNCTION("IF(COUNTA(Q285:Q1350)=0,"""",IF(ISBLANK(Q285),FALSE,IF(NOT(COUNTIF($AA$24:$AA$34,SUBSTITUTE(Q285,""Sell_"",""""))),1,IF(REGEXMATCH(Q285,""Sell_""),IF(COUNTIF(Q$4:Q285,SUBSTITUTE(Q285,""Sell_"",""""))-COUNTIF(Q$4:Q284,Q285)&lt;1,1),FALSE))))"),FALSE)</f>
        <v>0</v>
      </c>
      <c r="S285" s="59">
        <f t="array" ref="S285">IF(COUNTA(Q285:Q1350)=0,"",SUM((COUNTIF(Q$4:Q285,Upgrades!$B$3:$B$13)-COUNTIF(Q$4:Q285,"Sell_"&amp;Upgrades!$B$3:$B$13))*Upgrades!$D$3:$D$13))</f>
        <v>190388</v>
      </c>
      <c r="T285" s="66">
        <f>IFERROR(__xludf.DUMMYFUNCTION("IF(COUNTA(Q285:Q1350)=0,"""",IF(REGEXMATCH(INDEX(FILTER(Q$4:Q285,Q$4:Q285&lt;&gt;""""),ROWS(FILTER(Q$4:Q285,Q$4:Q285&lt;&gt;""""))),""^Sell_""),INDEX(FILTER(T$4:T284,Q$4:Q284&lt;&gt;""""),ROWS(FILTER(Q$4:Q284,Q$4:Q284&lt;&gt;""""))),$AD$5+S285))"),190588.0)</f>
        <v>190588</v>
      </c>
      <c r="U285" s="10">
        <f>IFERROR(__xludf.DUMMYFUNCTION("IF(COUNTA(Q285:Q1350)=0,"""",IF(Q285="""",0,IF(REGEXMATCH(Q285,""^Sell_""),-ROUNDDOWN(ROUNDUP(INDEX(Upgrades!$C$3:$C$13,MATCH(SUBSTITUTE(Q285,""Sell_"",""""),Upgrades!$B$3:$B$13,0))*1.15^(COUNTIF(Q$4:Q284,SUBSTITUTE(Q285,""Sell_"",""""))-COUNTIF(Q$4:Q284,"&amp;"""Sell_""&amp;SUBSTITUTE(Q285,""Sell_"",""""))))/2),ROUNDUP(INDEX(Upgrades!$C$3:$C$13,MATCH(Q285,Upgrades!$B$3:$B$13,0))*1.15^(COUNTIF(Q$4:Q284,Q285)-COUNTIF(Q$4:Q284,""Sell_""&amp;Q285))))))"),140716.0)</f>
        <v>140716</v>
      </c>
      <c r="V285" s="10">
        <f t="shared" si="11"/>
        <v>140716</v>
      </c>
      <c r="W285" s="68">
        <f t="shared" si="12"/>
        <v>4455.183433</v>
      </c>
      <c r="X285" s="59" t="str">
        <f t="shared" si="13"/>
        <v>1h 14m 15s</v>
      </c>
      <c r="Y285" s="69">
        <f t="shared" si="14"/>
        <v>213548127</v>
      </c>
      <c r="Z285" s="11"/>
    </row>
    <row r="286">
      <c r="A286" s="8"/>
      <c r="B286" s="56" t="str">
        <f t="shared" si="2"/>
        <v/>
      </c>
      <c r="C286" s="57"/>
      <c r="D286" s="10" t="str">
        <f>IFERROR(__xludf.DUMMYFUNCTION("IF(COUNTA(C286:C1350)=0,"""",IF(ISBLANK(C286),FALSE,IF(NOT(COUNTIF($AA$24:$AA$34,SUBSTITUTE(C286,""Sell_"",""""))),1,IF(REGEXMATCH(C286,""Sell_""),IF(COUNTIF(C$4:C286,SUBSTITUTE(C286,""Sell_"",""""))-COUNTIF(C$4:C285,C286)&lt;1,1),FALSE))))"),"")</f>
        <v/>
      </c>
      <c r="E286" s="59" t="str">
        <f t="array" ref="E286">IF(COUNTA(C286:C1350)=0,"",SUM((COUNTIF(C$4:C286,Upgrades!$B$3:$B$13)-COUNTIF(C$4:C286,"Sell_"&amp;Upgrades!$B$3:$B$13))*Upgrades!$D$3:$D$13))</f>
        <v/>
      </c>
      <c r="F286" s="66" t="str">
        <f>IFERROR(__xludf.DUMMYFUNCTION("IF(COUNTA(C286:C1350)=0,"""",IF(REGEXMATCH(INDEX(FILTER(C$4:C286,C$4:C286&lt;&gt;""""),ROWS(FILTER(C$4:C286,C$4:C286&lt;&gt;""""))),""^Sell_""),INDEX(FILTER(F$4:F285,C$4:C285&lt;&gt;""""),ROWS(FILTER(C$4:C285,C$4:C285&lt;&gt;""""))),$AC$5+E286))"),"")</f>
        <v/>
      </c>
      <c r="G286" s="10" t="str">
        <f>IFERROR(__xludf.DUMMYFUNCTION("IF(COUNTA(C286:C1350)=0,"""",IF(C286="""",0,IF(REGEXMATCH(C286,""^Sell_""),-ROUNDDOWN(ROUNDUP(INDEX(Upgrades!$C$3:$C$13,MATCH(SUBSTITUTE(C286,""Sell_"",""""),Upgrades!$B$3:$B$13,0))*1.15^(COUNTIF(C$4:C285,SUBSTITUTE(C286,""Sell_"",""""))-COUNTIF(C$4:C285,"&amp;"""Sell_""&amp;SUBSTITUTE(C286,""Sell_"",""""))))/2),ROUNDUP(INDEX(Upgrades!$C$3:$C$13,MATCH(C286,Upgrades!$B$3:$B$13,0))*1.15^(COUNTIF(C$4:C285,C286)-COUNTIF(C$4:C285,""Sell_""&amp;C286))))))"),"")</f>
        <v/>
      </c>
      <c r="H286" s="10" t="str">
        <f t="shared" si="3"/>
        <v/>
      </c>
      <c r="I286" s="68" t="str">
        <f t="shared" si="4"/>
        <v/>
      </c>
      <c r="J286" s="59" t="str">
        <f t="shared" si="5"/>
        <v/>
      </c>
      <c r="K286" s="69" t="str">
        <f t="shared" si="6"/>
        <v/>
      </c>
      <c r="L286" s="60">
        <f t="shared" si="7"/>
        <v>-237.00769</v>
      </c>
      <c r="M286" s="61">
        <f>IFERROR(__xludf.DUMMYFUNCTION("IFS(AND(COUNTA(C286:C1350)=0,COUNTA(Q286:Q1350)=0),"""",OR(AND(K286&gt;=1000000000,OR(Y286&gt;=1000000000,COUNTA(Q286:Q1350)=0)),OR(Y286&gt;=1000000000,AND(COUNTA(C286:C1350)=0,P$3=TRUE))),
ROUNDDOWN((AB$1-AC$1)*MAX(INDEX(T$4:T1350,MATCH(LARGE(FILTER(Y$4:Y1350,Y$4"&amp;":Y1350&lt;1000000000),1),Y$4:Y1350)),INDEX(F$4:F1350,MATCH(LARGE(FILTER(K$4:K1350,K$4:K1350&lt;1000000000),1),K$4:K1350)))),AND(K286&lt;1000000000,COUNTA(C286:C1350)&gt;0,P$3=FALSE),
ROUNDDOWN(INDEX(Y$4:Y1350,MATCH(LARGE(FILTER(W$4:W1350,W$4:W1350&lt;=I286),1),W$4:W1350"&amp;"))+(I286-LARGE(FILTER(W$4:W1350,W$4:W1350&lt;=I286),1))*INDEX(T$4:T1350,MATCH(LARGE(FILTER(W$4:W1350,W$4:W1350&lt;=I286),1),W$4:W1350))-K286),1,
ROUNDDOWN(Y286-INDEX(K$4:K1350,MATCH(LARGE(FILTER(I$4:I1350,I$4:I1350&lt;=W286),1),I$4:I1350))-(W286-LARGE(FILTER(I$4:I"&amp;"1350,I$4:I1350&lt;=W286),1))*INDEX(F$4:F1350,MATCH(LARGE(FILTER(I$4:I1350,I$4:I1350&lt;=W286),1),I$4:I1350))))"),2.697989E7)</f>
        <v>26979890</v>
      </c>
      <c r="N286" s="60">
        <f t="shared" si="8"/>
        <v>-237.00769</v>
      </c>
      <c r="O286" s="61" t="str">
        <f t="shared" si="9"/>
        <v>27,0M</v>
      </c>
      <c r="P286" s="56">
        <f t="shared" si="10"/>
        <v>9</v>
      </c>
      <c r="Q286" s="105" t="s">
        <v>9</v>
      </c>
      <c r="R286" s="10" t="b">
        <f>IFERROR(__xludf.DUMMYFUNCTION("IF(COUNTA(Q286:Q1350)=0,"""",IF(ISBLANK(Q286),FALSE,IF(NOT(COUNTIF($AA$24:$AA$34,SUBSTITUTE(Q286,""Sell_"",""""))),1,IF(REGEXMATCH(Q286,""Sell_""),IF(COUNTIF(Q$4:Q286,SUBSTITUTE(Q286,""Sell_"",""""))-COUNTIF(Q$4:Q285,Q286)&lt;1,1),FALSE))))"),FALSE)</f>
        <v>0</v>
      </c>
      <c r="S286" s="59">
        <f t="array" ref="S286">IF(COUNTA(Q286:Q1350)=0,"",SUM((COUNTIF(Q$4:Q286,Upgrades!$B$3:$B$13)-COUNTIF(Q$4:Q286,"Sell_"&amp;Upgrades!$B$3:$B$13))*Upgrades!$D$3:$D$13))</f>
        <v>190788</v>
      </c>
      <c r="T286" s="66">
        <f>IFERROR(__xludf.DUMMYFUNCTION("IF(COUNTA(Q286:Q1350)=0,"""",IF(REGEXMATCH(INDEX(FILTER(Q$4:Q286,Q$4:Q286&lt;&gt;""""),ROWS(FILTER(Q$4:Q286,Q$4:Q286&lt;&gt;""""))),""^Sell_""),INDEX(FILTER(T$4:T285,Q$4:Q285&lt;&gt;""""),ROWS(FILTER(Q$4:Q285,Q$4:Q285&lt;&gt;""""))),$AD$5+S286))"),190988.0)</f>
        <v>190988</v>
      </c>
      <c r="U286" s="10">
        <f>IFERROR(__xludf.DUMMYFUNCTION("IF(COUNTA(Q286:Q1350)=0,"""",IF(Q286="""",0,IF(REGEXMATCH(Q286,""^Sell_""),-ROUNDDOWN(ROUNDUP(INDEX(Upgrades!$C$3:$C$13,MATCH(SUBSTITUTE(Q286,""Sell_"",""""),Upgrades!$B$3:$B$13,0))*1.15^(COUNTIF(Q$4:Q285,SUBSTITUTE(Q286,""Sell_"",""""))-COUNTIF(Q$4:Q285,"&amp;"""Sell_""&amp;SUBSTITUTE(Q286,""Sell_"",""""))))/2),ROUNDUP(INDEX(Upgrades!$C$3:$C$13,MATCH(Q286,Upgrades!$B$3:$B$13,0))*1.15^(COUNTIF(Q$4:Q285,Q286)-COUNTIF(Q$4:Q285,""Sell_""&amp;Q286))))))"),611805.0)</f>
        <v>611805</v>
      </c>
      <c r="V286" s="10">
        <f t="shared" si="11"/>
        <v>611805</v>
      </c>
      <c r="W286" s="68">
        <f t="shared" si="12"/>
        <v>4458.393525</v>
      </c>
      <c r="X286" s="59" t="str">
        <f t="shared" si="13"/>
        <v>1h 14m 18s</v>
      </c>
      <c r="Y286" s="69">
        <f t="shared" si="14"/>
        <v>214159932</v>
      </c>
      <c r="Z286" s="11"/>
    </row>
    <row r="287">
      <c r="A287" s="8"/>
      <c r="B287" s="56" t="str">
        <f t="shared" si="2"/>
        <v/>
      </c>
      <c r="C287" s="57"/>
      <c r="D287" s="10" t="str">
        <f>IFERROR(__xludf.DUMMYFUNCTION("IF(COUNTA(C287:C1350)=0,"""",IF(ISBLANK(C287),FALSE,IF(NOT(COUNTIF($AA$24:$AA$34,SUBSTITUTE(C287,""Sell_"",""""))),1,IF(REGEXMATCH(C287,""Sell_""),IF(COUNTIF(C$4:C287,SUBSTITUTE(C287,""Sell_"",""""))-COUNTIF(C$4:C286,C287)&lt;1,1),FALSE))))"),"")</f>
        <v/>
      </c>
      <c r="E287" s="59" t="str">
        <f t="array" ref="E287">IF(COUNTA(C287:C1350)=0,"",SUM((COUNTIF(C$4:C287,Upgrades!$B$3:$B$13)-COUNTIF(C$4:C287,"Sell_"&amp;Upgrades!$B$3:$B$13))*Upgrades!$D$3:$D$13))</f>
        <v/>
      </c>
      <c r="F287" s="66" t="str">
        <f>IFERROR(__xludf.DUMMYFUNCTION("IF(COUNTA(C287:C1350)=0,"""",IF(REGEXMATCH(INDEX(FILTER(C$4:C287,C$4:C287&lt;&gt;""""),ROWS(FILTER(C$4:C287,C$4:C287&lt;&gt;""""))),""^Sell_""),INDEX(FILTER(F$4:F286,C$4:C286&lt;&gt;""""),ROWS(FILTER(C$4:C286,C$4:C286&lt;&gt;""""))),$AC$5+E287))"),"")</f>
        <v/>
      </c>
      <c r="G287" s="10" t="str">
        <f>IFERROR(__xludf.DUMMYFUNCTION("IF(COUNTA(C287:C1350)=0,"""",IF(C287="""",0,IF(REGEXMATCH(C287,""^Sell_""),-ROUNDDOWN(ROUNDUP(INDEX(Upgrades!$C$3:$C$13,MATCH(SUBSTITUTE(C287,""Sell_"",""""),Upgrades!$B$3:$B$13,0))*1.15^(COUNTIF(C$4:C286,SUBSTITUTE(C287,""Sell_"",""""))-COUNTIF(C$4:C286,"&amp;"""Sell_""&amp;SUBSTITUTE(C287,""Sell_"",""""))))/2),ROUNDUP(INDEX(Upgrades!$C$3:$C$13,MATCH(C287,Upgrades!$B$3:$B$13,0))*1.15^(COUNTIF(C$4:C286,C287)-COUNTIF(C$4:C286,""Sell_""&amp;C287))))))"),"")</f>
        <v/>
      </c>
      <c r="H287" s="10" t="str">
        <f t="shared" si="3"/>
        <v/>
      </c>
      <c r="I287" s="68" t="str">
        <f t="shared" si="4"/>
        <v/>
      </c>
      <c r="J287" s="59" t="str">
        <f t="shared" si="5"/>
        <v/>
      </c>
      <c r="K287" s="69" t="str">
        <f t="shared" si="6"/>
        <v/>
      </c>
      <c r="L287" s="60">
        <f t="shared" si="7"/>
        <v>-237.22604</v>
      </c>
      <c r="M287" s="61">
        <f>IFERROR(__xludf.DUMMYFUNCTION("IFS(AND(COUNTA(C287:C1350)=0,COUNTA(Q287:Q1350)=0),"""",OR(AND(K287&gt;=1000000000,OR(Y287&gt;=1000000000,COUNTA(Q287:Q1350)=0)),OR(Y287&gt;=1000000000,AND(COUNTA(C287:C1350)=0,P$3=TRUE))),
ROUNDDOWN((AB$1-AC$1)*MAX(INDEX(T$4:T1350,MATCH(LARGE(FILTER(Y$4:Y1350,Y$4"&amp;":Y1350&lt;1000000000),1),Y$4:Y1350)),INDEX(F$4:F1350,MATCH(LARGE(FILTER(K$4:K1350,K$4:K1350&lt;1000000000),1),K$4:K1350)))),AND(K287&lt;1000000000,COUNTA(C287:C1350)&gt;0,P$3=FALSE),
ROUNDDOWN(INDEX(Y$4:Y1350,MATCH(LARGE(FILTER(W$4:W1350,W$4:W1350&lt;=I287),1),W$4:W1350"&amp;"))+(I287-LARGE(FILTER(W$4:W1350,W$4:W1350&lt;=I287),1))*INDEX(T$4:T1350,MATCH(LARGE(FILTER(W$4:W1350,W$4:W1350&lt;=I287),1),W$4:W1350))-K287),1,
ROUNDDOWN(Y287-INDEX(K$4:K1350,MATCH(LARGE(FILTER(I$4:I1350,I$4:I1350&lt;=W287),1),I$4:I1350))-(W287-LARGE(FILTER(I$4:I"&amp;"1350,I$4:I1350&lt;=W287),1))*INDEX(F$4:F1350,MATCH(LARGE(FILTER(I$4:I1350,I$4:I1350&lt;=W287),1),I$4:I1350))))"),2.7004745E7)</f>
        <v>27004745</v>
      </c>
      <c r="N287" s="60">
        <f t="shared" si="8"/>
        <v>-237.22604</v>
      </c>
      <c r="O287" s="61" t="str">
        <f t="shared" si="9"/>
        <v>27,0M</v>
      </c>
      <c r="P287" s="56">
        <f t="shared" si="10"/>
        <v>14</v>
      </c>
      <c r="Q287" s="105" t="s">
        <v>7</v>
      </c>
      <c r="R287" s="10" t="b">
        <f>IFERROR(__xludf.DUMMYFUNCTION("IF(COUNTA(Q287:Q1350)=0,"""",IF(ISBLANK(Q287),FALSE,IF(NOT(COUNTIF($AA$24:$AA$34,SUBSTITUTE(Q287,""Sell_"",""""))),1,IF(REGEXMATCH(Q287,""Sell_""),IF(COUNTIF(Q$4:Q287,SUBSTITUTE(Q287,""Sell_"",""""))-COUNTIF(Q$4:Q286,Q287)&lt;1,1),FALSE))))"),FALSE)</f>
        <v>0</v>
      </c>
      <c r="S287" s="59">
        <f t="array" ref="S287">IF(COUNTA(Q287:Q1350)=0,"",SUM((COUNTIF(Q$4:Q287,Upgrades!$B$3:$B$13)-COUNTIF(Q$4:Q287,"Sell_"&amp;Upgrades!$B$3:$B$13))*Upgrades!$D$3:$D$13))</f>
        <v>190828</v>
      </c>
      <c r="T287" s="66">
        <f>IFERROR(__xludf.DUMMYFUNCTION("IF(COUNTA(Q287:Q1350)=0,"""",IF(REGEXMATCH(INDEX(FILTER(Q$4:Q287,Q$4:Q287&lt;&gt;""""),ROWS(FILTER(Q$4:Q287,Q$4:Q287&lt;&gt;""""))),""^Sell_""),INDEX(FILTER(T$4:T286,Q$4:Q286&lt;&gt;""""),ROWS(FILTER(Q$4:Q286,Q$4:Q286&lt;&gt;""""))),$AD$5+S287))"),191028.0)</f>
        <v>191028</v>
      </c>
      <c r="U287" s="10">
        <f>IFERROR(__xludf.DUMMYFUNCTION("IF(COUNTA(Q287:Q1350)=0,"""",IF(Q287="""",0,IF(REGEXMATCH(Q287,""^Sell_""),-ROUNDDOWN(ROUNDUP(INDEX(Upgrades!$C$3:$C$13,MATCH(SUBSTITUTE(Q287,""Sell_"",""""),Upgrades!$B$3:$B$13,0))*1.15^(COUNTIF(Q$4:Q286,SUBSTITUTE(Q287,""Sell_"",""""))-COUNTIF(Q$4:Q286,"&amp;"""Sell_""&amp;SUBSTITUTE(Q287,""Sell_"",""""))))/2),ROUNDUP(INDEX(Upgrades!$C$3:$C$13,MATCH(Q287,Upgrades!$B$3:$B$13,0))*1.15^(COUNTIF(Q$4:Q286,Q287)-COUNTIF(Q$4:Q286,""Sell_""&amp;Q287))))))"),61528.0)</f>
        <v>61528</v>
      </c>
      <c r="V287" s="10">
        <f t="shared" si="11"/>
        <v>61528</v>
      </c>
      <c r="W287" s="68">
        <f t="shared" si="12"/>
        <v>4458.715681</v>
      </c>
      <c r="X287" s="59" t="str">
        <f t="shared" si="13"/>
        <v>1h 14m 18s</v>
      </c>
      <c r="Y287" s="69">
        <f t="shared" si="14"/>
        <v>214221460</v>
      </c>
      <c r="Z287" s="11"/>
    </row>
    <row r="288">
      <c r="A288" s="8"/>
      <c r="B288" s="56" t="str">
        <f t="shared" si="2"/>
        <v/>
      </c>
      <c r="C288" s="57"/>
      <c r="D288" s="10" t="str">
        <f>IFERROR(__xludf.DUMMYFUNCTION("IF(COUNTA(C288:C1350)=0,"""",IF(ISBLANK(C288),FALSE,IF(NOT(COUNTIF($AA$24:$AA$34,SUBSTITUTE(C288,""Sell_"",""""))),1,IF(REGEXMATCH(C288,""Sell_""),IF(COUNTIF(C$4:C288,SUBSTITUTE(C288,""Sell_"",""""))-COUNTIF(C$4:C287,C288)&lt;1,1),FALSE))))"),"")</f>
        <v/>
      </c>
      <c r="E288" s="59" t="str">
        <f t="array" ref="E288">IF(COUNTA(C288:C1350)=0,"",SUM((COUNTIF(C$4:C288,Upgrades!$B$3:$B$13)-COUNTIF(C$4:C288,"Sell_"&amp;Upgrades!$B$3:$B$13))*Upgrades!$D$3:$D$13))</f>
        <v/>
      </c>
      <c r="F288" s="66" t="str">
        <f>IFERROR(__xludf.DUMMYFUNCTION("IF(COUNTA(C288:C1350)=0,"""",IF(REGEXMATCH(INDEX(FILTER(C$4:C288,C$4:C288&lt;&gt;""""),ROWS(FILTER(C$4:C288,C$4:C288&lt;&gt;""""))),""^Sell_""),INDEX(FILTER(F$4:F287,C$4:C287&lt;&gt;""""),ROWS(FILTER(C$4:C287,C$4:C287&lt;&gt;""""))),$AC$5+E288))"),"")</f>
        <v/>
      </c>
      <c r="G288" s="10" t="str">
        <f>IFERROR(__xludf.DUMMYFUNCTION("IF(COUNTA(C288:C1350)=0,"""",IF(C288="""",0,IF(REGEXMATCH(C288,""^Sell_""),-ROUNDDOWN(ROUNDUP(INDEX(Upgrades!$C$3:$C$13,MATCH(SUBSTITUTE(C288,""Sell_"",""""),Upgrades!$B$3:$B$13,0))*1.15^(COUNTIF(C$4:C287,SUBSTITUTE(C288,""Sell_"",""""))-COUNTIF(C$4:C287,"&amp;"""Sell_""&amp;SUBSTITUTE(C288,""Sell_"",""""))))/2),ROUNDUP(INDEX(Upgrades!$C$3:$C$13,MATCH(C288,Upgrades!$B$3:$B$13,0))*1.15^(COUNTIF(C$4:C287,C288)-COUNTIF(C$4:C287,""Sell_""&amp;C288))))))"),"")</f>
        <v/>
      </c>
      <c r="H288" s="10" t="str">
        <f t="shared" si="3"/>
        <v/>
      </c>
      <c r="I288" s="68" t="str">
        <f t="shared" si="4"/>
        <v/>
      </c>
      <c r="J288" s="59" t="str">
        <f t="shared" si="5"/>
        <v/>
      </c>
      <c r="K288" s="69" t="str">
        <f t="shared" si="6"/>
        <v/>
      </c>
      <c r="L288" s="60">
        <f t="shared" si="7"/>
        <v>-272.72523</v>
      </c>
      <c r="M288" s="61">
        <f>IFERROR(__xludf.DUMMYFUNCTION("IFS(AND(COUNTA(C288:C1350)=0,COUNTA(Q288:Q1350)=0),"""",OR(AND(K288&gt;=1000000000,OR(Y288&gt;=1000000000,COUNTA(Q288:Q1350)=0)),OR(Y288&gt;=1000000000,AND(COUNTA(C288:C1350)=0,P$3=TRUE))),
ROUNDDOWN((AB$1-AC$1)*MAX(INDEX(T$4:T1350,MATCH(LARGE(FILTER(Y$4:Y1350,Y$4"&amp;":Y1350&lt;1000000000),1),Y$4:Y1350)),INDEX(F$4:F1350,MATCH(LARGE(FILTER(K$4:K1350,K$4:K1350&lt;1000000000),1),K$4:K1350)))),AND(K288&lt;1000000000,COUNTA(C288:C1350)&gt;0,P$3=FALSE),
ROUNDDOWN(INDEX(Y$4:Y1350,MATCH(LARGE(FILTER(W$4:W1350,W$4:W1350&lt;=I288),1),W$4:W1350"&amp;"))+(I288-LARGE(FILTER(W$4:W1350,W$4:W1350&lt;=I288),1))*INDEX(T$4:T1350,MATCH(LARGE(FILTER(W$4:W1350,W$4:W1350&lt;=I288),1),W$4:W1350))-K288),1,
ROUNDDOWN(Y288-INDEX(K$4:K1350,MATCH(LARGE(FILTER(I$4:I1350,I$4:I1350&lt;=W288),1),I$4:I1350))-(W288-LARGE(FILTER(I$4:I"&amp;"1350,I$4:I1350&lt;=W288),1))*INDEX(F$4:F1350,MATCH(LARGE(FILTER(I$4:I1350,I$4:I1350&lt;=W288),1),I$4:I1350))))"),3.1148543E7)</f>
        <v>31148543</v>
      </c>
      <c r="N288" s="60">
        <f t="shared" si="8"/>
        <v>-272.72523</v>
      </c>
      <c r="O288" s="61" t="str">
        <f t="shared" si="9"/>
        <v>31,1M</v>
      </c>
      <c r="P288" s="56">
        <f t="shared" si="10"/>
        <v>14</v>
      </c>
      <c r="Q288" s="105" t="s">
        <v>10</v>
      </c>
      <c r="R288" s="10" t="b">
        <f>IFERROR(__xludf.DUMMYFUNCTION("IF(COUNTA(Q288:Q1350)=0,"""",IF(ISBLANK(Q288),FALSE,IF(NOT(COUNTIF($AA$24:$AA$34,SUBSTITUTE(Q288,""Sell_"",""""))),1,IF(REGEXMATCH(Q288,""Sell_""),IF(COUNTIF(Q$4:Q288,SUBSTITUTE(Q288,""Sell_"",""""))-COUNTIF(Q$4:Q287,Q288)&lt;1,1),FALSE))))"),FALSE)</f>
        <v>0</v>
      </c>
      <c r="S288" s="59">
        <f t="array" ref="S288">IF(COUNTA(Q288:Q1350)=0,"",SUM((COUNTIF(Q$4:Q288,Upgrades!$B$3:$B$13)-COUNTIF(Q$4:Q288,"Sell_"&amp;Upgrades!$B$3:$B$13))*Upgrades!$D$3:$D$13))</f>
        <v>197494</v>
      </c>
      <c r="T288" s="66">
        <f>IFERROR(__xludf.DUMMYFUNCTION("IF(COUNTA(Q288:Q1350)=0,"""",IF(REGEXMATCH(INDEX(FILTER(Q$4:Q288,Q$4:Q288&lt;&gt;""""),ROWS(FILTER(Q$4:Q288,Q$4:Q288&lt;&gt;""""))),""^Sell_""),INDEX(FILTER(T$4:T287,Q$4:Q287&lt;&gt;""""),ROWS(FILTER(Q$4:Q287,Q$4:Q287&lt;&gt;""""))),$AD$5+S288))"),197694.0)</f>
        <v>197694</v>
      </c>
      <c r="U288" s="10">
        <f>IFERROR(__xludf.DUMMYFUNCTION("IF(COUNTA(Q288:Q1350)=0,"""",IF(Q288="""",0,IF(REGEXMATCH(Q288,""^Sell_""),-ROUNDDOWN(ROUNDUP(INDEX(Upgrades!$C$3:$C$13,MATCH(SUBSTITUTE(Q288,""Sell_"",""""),Upgrades!$B$3:$B$13,0))*1.15^(COUNTIF(Q$4:Q287,SUBSTITUTE(Q288,""Sell_"",""""))-COUNTIF(Q$4:Q287,"&amp;"""Sell_""&amp;SUBSTITUTE(Q288,""Sell_"",""""))))/2),ROUNDUP(INDEX(Upgrades!$C$3:$C$13,MATCH(Q288,Upgrades!$B$3:$B$13,0))*1.15^(COUNTIF(Q$4:Q287,Q288)-COUNTIF(Q$4:Q287,""Sell_""&amp;Q288))))))"),1.0254642E7)</f>
        <v>10254642</v>
      </c>
      <c r="V288" s="10">
        <f t="shared" si="11"/>
        <v>10254642</v>
      </c>
      <c r="W288" s="68">
        <f t="shared" si="12"/>
        <v>4512.397037</v>
      </c>
      <c r="X288" s="59" t="str">
        <f t="shared" si="13"/>
        <v>1h 15m 12s</v>
      </c>
      <c r="Y288" s="69">
        <f t="shared" si="14"/>
        <v>224476102</v>
      </c>
      <c r="Z288" s="11"/>
    </row>
    <row r="289">
      <c r="A289" s="8"/>
      <c r="B289" s="56" t="str">
        <f t="shared" si="2"/>
        <v/>
      </c>
      <c r="C289" s="57"/>
      <c r="D289" s="10" t="str">
        <f>IFERROR(__xludf.DUMMYFUNCTION("IF(COUNTA(C289:C1350)=0,"""",IF(ISBLANK(C289),FALSE,IF(NOT(COUNTIF($AA$24:$AA$34,SUBSTITUTE(C289,""Sell_"",""""))),1,IF(REGEXMATCH(C289,""Sell_""),IF(COUNTIF(C$4:C289,SUBSTITUTE(C289,""Sell_"",""""))-COUNTIF(C$4:C288,C289)&lt;1,1),FALSE))))"),"")</f>
        <v/>
      </c>
      <c r="E289" s="59" t="str">
        <f t="array" ref="E289">IF(COUNTA(C289:C1350)=0,"",SUM((COUNTIF(C$4:C289,Upgrades!$B$3:$B$13)-COUNTIF(C$4:C289,"Sell_"&amp;Upgrades!$B$3:$B$13))*Upgrades!$D$3:$D$13))</f>
        <v/>
      </c>
      <c r="F289" s="66" t="str">
        <f>IFERROR(__xludf.DUMMYFUNCTION("IF(COUNTA(C289:C1350)=0,"""",IF(REGEXMATCH(INDEX(FILTER(C$4:C289,C$4:C289&lt;&gt;""""),ROWS(FILTER(C$4:C289,C$4:C289&lt;&gt;""""))),""^Sell_""),INDEX(FILTER(F$4:F288,C$4:C288&lt;&gt;""""),ROWS(FILTER(C$4:C288,C$4:C288&lt;&gt;""""))),$AC$5+E289))"),"")</f>
        <v/>
      </c>
      <c r="G289" s="10" t="str">
        <f>IFERROR(__xludf.DUMMYFUNCTION("IF(COUNTA(C289:C1350)=0,"""",IF(C289="""",0,IF(REGEXMATCH(C289,""^Sell_""),-ROUNDDOWN(ROUNDUP(INDEX(Upgrades!$C$3:$C$13,MATCH(SUBSTITUTE(C289,""Sell_"",""""),Upgrades!$B$3:$B$13,0))*1.15^(COUNTIF(C$4:C288,SUBSTITUTE(C289,""Sell_"",""""))-COUNTIF(C$4:C288,"&amp;"""Sell_""&amp;SUBSTITUTE(C289,""Sell_"",""""))))/2),ROUNDUP(INDEX(Upgrades!$C$3:$C$13,MATCH(C289,Upgrades!$B$3:$B$13,0))*1.15^(COUNTIF(C$4:C288,C289)-COUNTIF(C$4:C288,""Sell_""&amp;C289))))))"),"")</f>
        <v/>
      </c>
      <c r="H289" s="10" t="str">
        <f t="shared" si="3"/>
        <v/>
      </c>
      <c r="I289" s="68" t="str">
        <f t="shared" si="4"/>
        <v/>
      </c>
      <c r="J289" s="59" t="str">
        <f t="shared" si="5"/>
        <v/>
      </c>
      <c r="K289" s="69" t="str">
        <f t="shared" si="6"/>
        <v/>
      </c>
      <c r="L289" s="60">
        <f t="shared" si="7"/>
        <v>-272.66784</v>
      </c>
      <c r="M289" s="61">
        <f>IFERROR(__xludf.DUMMYFUNCTION("IFS(AND(COUNTA(C289:C1350)=0,COUNTA(Q289:Q1350)=0),"""",OR(AND(K289&gt;=1000000000,OR(Y289&gt;=1000000000,COUNTA(Q289:Q1350)=0)),OR(Y289&gt;=1000000000,AND(COUNTA(C289:C1350)=0,P$3=TRUE))),
ROUNDDOWN((AB$1-AC$1)*MAX(INDEX(T$4:T1350,MATCH(LARGE(FILTER(Y$4:Y1350,Y$4"&amp;":Y1350&lt;1000000000),1),Y$4:Y1350)),INDEX(F$4:F1350,MATCH(LARGE(FILTER(K$4:K1350,K$4:K1350&lt;1000000000),1),K$4:K1350)))),AND(K289&lt;1000000000,COUNTA(C289:C1350)&gt;0,P$3=FALSE),
ROUNDDOWN(INDEX(Y$4:Y1350,MATCH(LARGE(FILTER(W$4:W1350,W$4:W1350&lt;=I289),1),W$4:W1350"&amp;"))+(I289-LARGE(FILTER(W$4:W1350,W$4:W1350&lt;=I289),1))*INDEX(T$4:T1350,MATCH(LARGE(FILTER(W$4:W1350,W$4:W1350&lt;=I289),1),W$4:W1350))-K289),1,
ROUNDDOWN(Y289-INDEX(K$4:K1350,MATCH(LARGE(FILTER(I$4:I1350,I$4:I1350&lt;=W289),1),I$4:I1350))-(W289-LARGE(FILTER(I$4:I"&amp;"1350,I$4:I1350&lt;=W289),1))*INDEX(F$4:F1350,MATCH(LARGE(FILTER(I$4:I1350,I$4:I1350&lt;=W289),1),I$4:I1350))))"),3.1217185E7)</f>
        <v>31217185</v>
      </c>
      <c r="N289" s="60">
        <f t="shared" si="8"/>
        <v>-272.66784</v>
      </c>
      <c r="O289" s="61" t="str">
        <f t="shared" si="9"/>
        <v>31,2M</v>
      </c>
      <c r="P289" s="56">
        <f t="shared" si="10"/>
        <v>11</v>
      </c>
      <c r="Q289" s="105" t="s">
        <v>8</v>
      </c>
      <c r="R289" s="10" t="b">
        <f>IFERROR(__xludf.DUMMYFUNCTION("IF(COUNTA(Q289:Q1350)=0,"""",IF(ISBLANK(Q289),FALSE,IF(NOT(COUNTIF($AA$24:$AA$34,SUBSTITUTE(Q289,""Sell_"",""""))),1,IF(REGEXMATCH(Q289,""Sell_""),IF(COUNTIF(Q$4:Q289,SUBSTITUTE(Q289,""Sell_"",""""))-COUNTIF(Q$4:Q288,Q289)&lt;1,1),FALSE))))"),FALSE)</f>
        <v>0</v>
      </c>
      <c r="S289" s="59">
        <f t="array" ref="S289">IF(COUNTA(Q289:Q1350)=0,"",SUM((COUNTIF(Q$4:Q289,Upgrades!$B$3:$B$13)-COUNTIF(Q$4:Q289,"Sell_"&amp;Upgrades!$B$3:$B$13))*Upgrades!$D$3:$D$13))</f>
        <v>197594</v>
      </c>
      <c r="T289" s="66">
        <f>IFERROR(__xludf.DUMMYFUNCTION("IF(COUNTA(Q289:Q1350)=0,"""",IF(REGEXMATCH(INDEX(FILTER(Q$4:Q289,Q$4:Q289&lt;&gt;""""),ROWS(FILTER(Q$4:Q289,Q$4:Q289&lt;&gt;""""))),""^Sell_""),INDEX(FILTER(T$4:T288,Q$4:Q288&lt;&gt;""""),ROWS(FILTER(Q$4:Q288,Q$4:Q288&lt;&gt;""""))),$AD$5+S289))"),197794.0)</f>
        <v>197794</v>
      </c>
      <c r="U289" s="10">
        <f>IFERROR(__xludf.DUMMYFUNCTION("IF(COUNTA(Q289:Q1350)=0,"""",IF(Q289="""",0,IF(REGEXMATCH(Q289,""^Sell_""),-ROUNDDOWN(ROUNDUP(INDEX(Upgrades!$C$3:$C$13,MATCH(SUBSTITUTE(Q289,""Sell_"",""""),Upgrades!$B$3:$B$13,0))*1.15^(COUNTIF(Q$4:Q288,SUBSTITUTE(Q289,""Sell_"",""""))-COUNTIF(Q$4:Q288,"&amp;"""Sell_""&amp;SUBSTITUTE(Q289,""Sell_"",""""))))/2),ROUNDUP(INDEX(Upgrades!$C$3:$C$13,MATCH(Q289,Upgrades!$B$3:$B$13,0))*1.15^(COUNTIF(Q$4:Q288,Q289)-COUNTIF(Q$4:Q288,""Sell_""&amp;Q289))))))"),161823.0)</f>
        <v>161823</v>
      </c>
      <c r="V289" s="10">
        <f t="shared" si="11"/>
        <v>161823</v>
      </c>
      <c r="W289" s="68">
        <f t="shared" si="12"/>
        <v>4513.21559</v>
      </c>
      <c r="X289" s="59" t="str">
        <f t="shared" si="13"/>
        <v>1h 15m 13s</v>
      </c>
      <c r="Y289" s="69">
        <f t="shared" si="14"/>
        <v>224637925</v>
      </c>
      <c r="Z289" s="11"/>
    </row>
    <row r="290">
      <c r="A290" s="8"/>
      <c r="B290" s="56" t="str">
        <f t="shared" si="2"/>
        <v/>
      </c>
      <c r="C290" s="57"/>
      <c r="D290" s="10" t="str">
        <f>IFERROR(__xludf.DUMMYFUNCTION("IF(COUNTA(C290:C1350)=0,"""",IF(ISBLANK(C290),FALSE,IF(NOT(COUNTIF($AA$24:$AA$34,SUBSTITUTE(C290,""Sell_"",""""))),1,IF(REGEXMATCH(C290,""Sell_""),IF(COUNTIF(C$4:C290,SUBSTITUTE(C290,""Sell_"",""""))-COUNTIF(C$4:C289,C290)&lt;1,1),FALSE))))"),"")</f>
        <v/>
      </c>
      <c r="E290" s="59" t="str">
        <f t="array" ref="E290">IF(COUNTA(C290:C1350)=0,"",SUM((COUNTIF(C$4:C290,Upgrades!$B$3:$B$13)-COUNTIF(C$4:C290,"Sell_"&amp;Upgrades!$B$3:$B$13))*Upgrades!$D$3:$D$13))</f>
        <v/>
      </c>
      <c r="F290" s="66" t="str">
        <f>IFERROR(__xludf.DUMMYFUNCTION("IF(COUNTA(C290:C1350)=0,"""",IF(REGEXMATCH(INDEX(FILTER(C$4:C290,C$4:C290&lt;&gt;""""),ROWS(FILTER(C$4:C290,C$4:C290&lt;&gt;""""))),""^Sell_""),INDEX(FILTER(F$4:F289,C$4:C289&lt;&gt;""""),ROWS(FILTER(C$4:C289,C$4:C289&lt;&gt;""""))),$AC$5+E290))"),"")</f>
        <v/>
      </c>
      <c r="G290" s="10" t="str">
        <f>IFERROR(__xludf.DUMMYFUNCTION("IF(COUNTA(C290:C1350)=0,"""",IF(C290="""",0,IF(REGEXMATCH(C290,""^Sell_""),-ROUNDDOWN(ROUNDUP(INDEX(Upgrades!$C$3:$C$13,MATCH(SUBSTITUTE(C290,""Sell_"",""""),Upgrades!$B$3:$B$13,0))*1.15^(COUNTIF(C$4:C289,SUBSTITUTE(C290,""Sell_"",""""))-COUNTIF(C$4:C289,"&amp;"""Sell_""&amp;SUBSTITUTE(C290,""Sell_"",""""))))/2),ROUNDUP(INDEX(Upgrades!$C$3:$C$13,MATCH(C290,Upgrades!$B$3:$B$13,0))*1.15^(COUNTIF(C$4:C289,C290)-COUNTIF(C$4:C289,""Sell_""&amp;C290))))))"),"")</f>
        <v/>
      </c>
      <c r="H290" s="10" t="str">
        <f t="shared" si="3"/>
        <v/>
      </c>
      <c r="I290" s="68" t="str">
        <f t="shared" si="4"/>
        <v/>
      </c>
      <c r="J290" s="59" t="str">
        <f t="shared" si="5"/>
        <v/>
      </c>
      <c r="K290" s="69" t="str">
        <f t="shared" si="6"/>
        <v/>
      </c>
      <c r="L290" s="60">
        <f t="shared" si="7"/>
        <v>-272.4201</v>
      </c>
      <c r="M290" s="61">
        <f>IFERROR(__xludf.DUMMYFUNCTION("IFS(AND(COUNTA(C290:C1350)=0,COUNTA(Q290:Q1350)=0),"""",OR(AND(K290&gt;=1000000000,OR(Y290&gt;=1000000000,COUNTA(Q290:Q1350)=0)),OR(Y290&gt;=1000000000,AND(COUNTA(C290:C1350)=0,P$3=TRUE))),
ROUNDDOWN((AB$1-AC$1)*MAX(INDEX(T$4:T1350,MATCH(LARGE(FILTER(Y$4:Y1350,Y$4"&amp;":Y1350&lt;1000000000),1),Y$4:Y1350)),INDEX(F$4:F1350,MATCH(LARGE(FILTER(K$4:K1350,K$4:K1350&lt;1000000000),1),K$4:K1350)))),AND(K290&lt;1000000000,COUNTA(C290:C1350)&gt;0,P$3=FALSE),
ROUNDDOWN(INDEX(Y$4:Y1350,MATCH(LARGE(FILTER(W$4:W1350,W$4:W1350&lt;=I290),1),W$4:W1350"&amp;"))+(I290-LARGE(FILTER(W$4:W1350,W$4:W1350&lt;=I290),1))*INDEX(T$4:T1350,MATCH(LARGE(FILTER(W$4:W1350,W$4:W1350&lt;=I290),1),W$4:W1350))-K290),1,
ROUNDDOWN(Y290-INDEX(K$4:K1350,MATCH(LARGE(FILTER(I$4:I1350,I$4:I1350&lt;=W290),1),I$4:I1350))-(W290-LARGE(FILTER(I$4:I"&amp;"1350,I$4:I1350&lt;=W290),1))*INDEX(F$4:F1350,MATCH(LARGE(FILTER(I$4:I1350,I$4:I1350&lt;=W290),1),I$4:I1350))))"),3.1515835E7)</f>
        <v>31515835</v>
      </c>
      <c r="N290" s="60">
        <f t="shared" si="8"/>
        <v>-272.4201</v>
      </c>
      <c r="O290" s="61" t="str">
        <f t="shared" si="9"/>
        <v>31,5M</v>
      </c>
      <c r="P290" s="56">
        <f t="shared" si="10"/>
        <v>10</v>
      </c>
      <c r="Q290" s="105" t="s">
        <v>9</v>
      </c>
      <c r="R290" s="10" t="b">
        <f>IFERROR(__xludf.DUMMYFUNCTION("IF(COUNTA(Q290:Q1350)=0,"""",IF(ISBLANK(Q290),FALSE,IF(NOT(COUNTIF($AA$24:$AA$34,SUBSTITUTE(Q290,""Sell_"",""""))),1,IF(REGEXMATCH(Q290,""Sell_""),IF(COUNTIF(Q$4:Q290,SUBSTITUTE(Q290,""Sell_"",""""))-COUNTIF(Q$4:Q289,Q290)&lt;1,1),FALSE))))"),FALSE)</f>
        <v>0</v>
      </c>
      <c r="S290" s="59">
        <f t="array" ref="S290">IF(COUNTA(Q290:Q1350)=0,"",SUM((COUNTIF(Q$4:Q290,Upgrades!$B$3:$B$13)-COUNTIF(Q$4:Q290,"Sell_"&amp;Upgrades!$B$3:$B$13))*Upgrades!$D$3:$D$13))</f>
        <v>197994</v>
      </c>
      <c r="T290" s="66">
        <f>IFERROR(__xludf.DUMMYFUNCTION("IF(COUNTA(Q290:Q1350)=0,"""",IF(REGEXMATCH(INDEX(FILTER(Q$4:Q290,Q$4:Q290&lt;&gt;""""),ROWS(FILTER(Q$4:Q290,Q$4:Q290&lt;&gt;""""))),""^Sell_""),INDEX(FILTER(T$4:T289,Q$4:Q289&lt;&gt;""""),ROWS(FILTER(Q$4:Q289,Q$4:Q289&lt;&gt;""""))),$AD$5+S290))"),198194.0)</f>
        <v>198194</v>
      </c>
      <c r="U290" s="10">
        <f>IFERROR(__xludf.DUMMYFUNCTION("IF(COUNTA(Q290:Q1350)=0,"""",IF(Q290="""",0,IF(REGEXMATCH(Q290,""^Sell_""),-ROUNDDOWN(ROUNDUP(INDEX(Upgrades!$C$3:$C$13,MATCH(SUBSTITUTE(Q290,""Sell_"",""""),Upgrades!$B$3:$B$13,0))*1.15^(COUNTIF(Q$4:Q289,SUBSTITUTE(Q290,""Sell_"",""""))-COUNTIF(Q$4:Q289,"&amp;"""Sell_""&amp;SUBSTITUTE(Q290,""Sell_"",""""))))/2),ROUNDUP(INDEX(Upgrades!$C$3:$C$13,MATCH(Q290,Upgrades!$B$3:$B$13,0))*1.15^(COUNTIF(Q$4:Q289,Q290)-COUNTIF(Q$4:Q289,""Sell_""&amp;Q290))))))"),703576.0)</f>
        <v>703576</v>
      </c>
      <c r="V290" s="10">
        <f t="shared" si="11"/>
        <v>703576</v>
      </c>
      <c r="W290" s="68">
        <f t="shared" si="12"/>
        <v>4516.772705</v>
      </c>
      <c r="X290" s="59" t="str">
        <f t="shared" si="13"/>
        <v>1h 15m 16s</v>
      </c>
      <c r="Y290" s="69">
        <f t="shared" si="14"/>
        <v>225341501</v>
      </c>
      <c r="Z290" s="11"/>
    </row>
    <row r="291">
      <c r="A291" s="8"/>
      <c r="B291" s="56" t="str">
        <f t="shared" si="2"/>
        <v/>
      </c>
      <c r="C291" s="57"/>
      <c r="D291" s="10" t="str">
        <f>IFERROR(__xludf.DUMMYFUNCTION("IF(COUNTA(C291:C1350)=0,"""",IF(ISBLANK(C291),FALSE,IF(NOT(COUNTIF($AA$24:$AA$34,SUBSTITUTE(C291,""Sell_"",""""))),1,IF(REGEXMATCH(C291,""Sell_""),IF(COUNTIF(C$4:C291,SUBSTITUTE(C291,""Sell_"",""""))-COUNTIF(C$4:C290,C291)&lt;1,1),FALSE))))"),"")</f>
        <v/>
      </c>
      <c r="E291" s="59" t="str">
        <f t="array" ref="E291">IF(COUNTA(C291:C1350)=0,"",SUM((COUNTIF(C$4:C291,Upgrades!$B$3:$B$13)-COUNTIF(C$4:C291,"Sell_"&amp;Upgrades!$B$3:$B$13))*Upgrades!$D$3:$D$13))</f>
        <v/>
      </c>
      <c r="F291" s="66" t="str">
        <f>IFERROR(__xludf.DUMMYFUNCTION("IF(COUNTA(C291:C1350)=0,"""",IF(REGEXMATCH(INDEX(FILTER(C$4:C291,C$4:C291&lt;&gt;""""),ROWS(FILTER(C$4:C291,C$4:C291&lt;&gt;""""))),""^Sell_""),INDEX(FILTER(F$4:F290,C$4:C290&lt;&gt;""""),ROWS(FILTER(C$4:C290,C$4:C290&lt;&gt;""""))),$AC$5+E291))"),"")</f>
        <v/>
      </c>
      <c r="G291" s="10" t="str">
        <f>IFERROR(__xludf.DUMMYFUNCTION("IF(COUNTA(C291:C1350)=0,"""",IF(C291="""",0,IF(REGEXMATCH(C291,""^Sell_""),-ROUNDDOWN(ROUNDUP(INDEX(Upgrades!$C$3:$C$13,MATCH(SUBSTITUTE(C291,""Sell_"",""""),Upgrades!$B$3:$B$13,0))*1.15^(COUNTIF(C$4:C290,SUBSTITUTE(C291,""Sell_"",""""))-COUNTIF(C$4:C290,"&amp;"""Sell_""&amp;SUBSTITUTE(C291,""Sell_"",""""))))/2),ROUNDUP(INDEX(Upgrades!$C$3:$C$13,MATCH(C291,Upgrades!$B$3:$B$13,0))*1.15^(COUNTIF(C$4:C290,C291)-COUNTIF(C$4:C290,""Sell_""&amp;C291))))))"),"")</f>
        <v/>
      </c>
      <c r="H291" s="10" t="str">
        <f t="shared" si="3"/>
        <v/>
      </c>
      <c r="I291" s="68" t="str">
        <f t="shared" si="4"/>
        <v/>
      </c>
      <c r="J291" s="59" t="str">
        <f t="shared" si="5"/>
        <v/>
      </c>
      <c r="K291" s="69" t="str">
        <f t="shared" si="6"/>
        <v/>
      </c>
      <c r="L291" s="60">
        <f t="shared" si="7"/>
        <v>-272.39591</v>
      </c>
      <c r="M291" s="61">
        <f>IFERROR(__xludf.DUMMYFUNCTION("IFS(AND(COUNTA(C291:C1350)=0,COUNTA(Q291:Q1350)=0),"""",OR(AND(K291&gt;=1000000000,OR(Y291&gt;=1000000000,COUNTA(Q291:Q1350)=0)),OR(Y291&gt;=1000000000,AND(COUNTA(C291:C1350)=0,P$3=TRUE))),
ROUNDDOWN((AB$1-AC$1)*MAX(INDEX(T$4:T1350,MATCH(LARGE(FILTER(Y$4:Y1350,Y$4"&amp;":Y1350&lt;1000000000),1),Y$4:Y1350)),INDEX(F$4:F1350,MATCH(LARGE(FILTER(K$4:K1350,K$4:K1350&lt;1000000000),1),K$4:K1350)))),AND(K291&lt;1000000000,COUNTA(C291:C1350)&gt;0,P$3=FALSE),
ROUNDDOWN(INDEX(Y$4:Y1350,MATCH(LARGE(FILTER(W$4:W1350,W$4:W1350&lt;=I291),1),W$4:W1350"&amp;"))+(I291-LARGE(FILTER(W$4:W1350,W$4:W1350&lt;=I291),1))*INDEX(T$4:T1350,MATCH(LARGE(FILTER(W$4:W1350,W$4:W1350&lt;=I291),1),W$4:W1350))-K291),1,
ROUNDDOWN(Y291-INDEX(K$4:K1350,MATCH(LARGE(FILTER(I$4:I1350,I$4:I1350&lt;=W291),1),I$4:I1350))-(W291-LARGE(FILTER(I$4:I"&amp;"1350,I$4:I1350&lt;=W291),1))*INDEX(F$4:F1350,MATCH(LARGE(FILTER(I$4:I1350,I$4:I1350&lt;=W291),1),I$4:I1350))))"),3.1545953E7)</f>
        <v>31545953</v>
      </c>
      <c r="N291" s="60">
        <f t="shared" si="8"/>
        <v>-272.39591</v>
      </c>
      <c r="O291" s="61" t="str">
        <f t="shared" si="9"/>
        <v>31,5M</v>
      </c>
      <c r="P291" s="56">
        <f t="shared" si="10"/>
        <v>15</v>
      </c>
      <c r="Q291" s="105" t="s">
        <v>7</v>
      </c>
      <c r="R291" s="10" t="b">
        <f>IFERROR(__xludf.DUMMYFUNCTION("IF(COUNTA(Q291:Q1350)=0,"""",IF(ISBLANK(Q291),FALSE,IF(NOT(COUNTIF($AA$24:$AA$34,SUBSTITUTE(Q291,""Sell_"",""""))),1,IF(REGEXMATCH(Q291,""Sell_""),IF(COUNTIF(Q$4:Q291,SUBSTITUTE(Q291,""Sell_"",""""))-COUNTIF(Q$4:Q290,Q291)&lt;1,1),FALSE))))"),FALSE)</f>
        <v>0</v>
      </c>
      <c r="S291" s="59">
        <f t="array" ref="S291">IF(COUNTA(Q291:Q1350)=0,"",SUM((COUNTIF(Q$4:Q291,Upgrades!$B$3:$B$13)-COUNTIF(Q$4:Q291,"Sell_"&amp;Upgrades!$B$3:$B$13))*Upgrades!$D$3:$D$13))</f>
        <v>198034</v>
      </c>
      <c r="T291" s="66">
        <f>IFERROR(__xludf.DUMMYFUNCTION("IF(COUNTA(Q291:Q1350)=0,"""",IF(REGEXMATCH(INDEX(FILTER(Q$4:Q291,Q$4:Q291&lt;&gt;""""),ROWS(FILTER(Q$4:Q291,Q$4:Q291&lt;&gt;""""))),""^Sell_""),INDEX(FILTER(T$4:T290,Q$4:Q290&lt;&gt;""""),ROWS(FILTER(Q$4:Q290,Q$4:Q290&lt;&gt;""""))),$AD$5+S291))"),198234.0)</f>
        <v>198234</v>
      </c>
      <c r="U291" s="10">
        <f>IFERROR(__xludf.DUMMYFUNCTION("IF(COUNTA(Q291:Q1350)=0,"""",IF(Q291="""",0,IF(REGEXMATCH(Q291,""^Sell_""),-ROUNDDOWN(ROUNDUP(INDEX(Upgrades!$C$3:$C$13,MATCH(SUBSTITUTE(Q291,""Sell_"",""""),Upgrades!$B$3:$B$13,0))*1.15^(COUNTIF(Q$4:Q290,SUBSTITUTE(Q291,""Sell_"",""""))-COUNTIF(Q$4:Q290,"&amp;"""Sell_""&amp;SUBSTITUTE(Q291,""Sell_"",""""))))/2),ROUNDUP(INDEX(Upgrades!$C$3:$C$13,MATCH(Q291,Upgrades!$B$3:$B$13,0))*1.15^(COUNTIF(Q$4:Q290,Q291)-COUNTIF(Q$4:Q290,""Sell_""&amp;Q291))))))"),70758.0)</f>
        <v>70758</v>
      </c>
      <c r="V291" s="10">
        <f t="shared" si="11"/>
        <v>70758</v>
      </c>
      <c r="W291" s="68">
        <f t="shared" si="12"/>
        <v>4517.129719</v>
      </c>
      <c r="X291" s="59" t="str">
        <f t="shared" si="13"/>
        <v>1h 15m 17s</v>
      </c>
      <c r="Y291" s="69">
        <f t="shared" si="14"/>
        <v>225412259</v>
      </c>
      <c r="Z291" s="11"/>
    </row>
    <row r="292">
      <c r="A292" s="8"/>
      <c r="B292" s="56" t="str">
        <f t="shared" si="2"/>
        <v/>
      </c>
      <c r="C292" s="57"/>
      <c r="D292" s="10" t="str">
        <f>IFERROR(__xludf.DUMMYFUNCTION("IF(COUNTA(C292:C1350)=0,"""",IF(ISBLANK(C292),FALSE,IF(NOT(COUNTIF($AA$24:$AA$34,SUBSTITUTE(C292,""Sell_"",""""))),1,IF(REGEXMATCH(C292,""Sell_""),IF(COUNTIF(C$4:C292,SUBSTITUTE(C292,""Sell_"",""""))-COUNTIF(C$4:C291,C292)&lt;1,1),FALSE))))"),"")</f>
        <v/>
      </c>
      <c r="E292" s="59" t="str">
        <f t="array" ref="E292">IF(COUNTA(C292:C1350)=0,"",SUM((COUNTIF(C$4:C292,Upgrades!$B$3:$B$13)-COUNTIF(C$4:C292,"Sell_"&amp;Upgrades!$B$3:$B$13))*Upgrades!$D$3:$D$13))</f>
        <v/>
      </c>
      <c r="F292" s="66" t="str">
        <f>IFERROR(__xludf.DUMMYFUNCTION("IF(COUNTA(C292:C1350)=0,"""",IF(REGEXMATCH(INDEX(FILTER(C$4:C292,C$4:C292&lt;&gt;""""),ROWS(FILTER(C$4:C292,C$4:C292&lt;&gt;""""))),""^Sell_""),INDEX(FILTER(F$4:F291,C$4:C291&lt;&gt;""""),ROWS(FILTER(C$4:C291,C$4:C291&lt;&gt;""""))),$AC$5+E292))"),"")</f>
        <v/>
      </c>
      <c r="G292" s="10" t="str">
        <f>IFERROR(__xludf.DUMMYFUNCTION("IF(COUNTA(C292:C1350)=0,"""",IF(C292="""",0,IF(REGEXMATCH(C292,""^Sell_""),-ROUNDDOWN(ROUNDUP(INDEX(Upgrades!$C$3:$C$13,MATCH(SUBSTITUTE(C292,""Sell_"",""""),Upgrades!$B$3:$B$13,0))*1.15^(COUNTIF(C$4:C291,SUBSTITUTE(C292,""Sell_"",""""))-COUNTIF(C$4:C291,"&amp;"""Sell_""&amp;SUBSTITUTE(C292,""Sell_"",""""))))/2),ROUNDUP(INDEX(Upgrades!$C$3:$C$13,MATCH(C292,Upgrades!$B$3:$B$13,0))*1.15^(COUNTIF(C$4:C291,C292)-COUNTIF(C$4:C291,""Sell_""&amp;C292))))))"),"")</f>
        <v/>
      </c>
      <c r="H292" s="10" t="str">
        <f t="shared" si="3"/>
        <v/>
      </c>
      <c r="I292" s="68" t="str">
        <f t="shared" si="4"/>
        <v/>
      </c>
      <c r="J292" s="59" t="str">
        <f t="shared" si="5"/>
        <v/>
      </c>
      <c r="K292" s="69" t="str">
        <f t="shared" si="6"/>
        <v/>
      </c>
      <c r="L292" s="60">
        <f t="shared" si="7"/>
        <v>-268.3759</v>
      </c>
      <c r="M292" s="61">
        <f>IFERROR(__xludf.DUMMYFUNCTION("IFS(AND(COUNTA(C292:C1350)=0,COUNTA(Q292:Q1350)=0),"""",OR(AND(K292&gt;=1000000000,OR(Y292&gt;=1000000000,COUNTA(Q292:Q1350)=0)),OR(Y292&gt;=1000000000,AND(COUNTA(C292:C1350)=0,P$3=TRUE))),
ROUNDDOWN((AB$1-AC$1)*MAX(INDEX(T$4:T1350,MATCH(LARGE(FILTER(Y$4:Y1350,Y$4"&amp;":Y1350&lt;1000000000),1),Y$4:Y1350)),INDEX(F$4:F1350,MATCH(LARGE(FILTER(K$4:K1350,K$4:K1350&lt;1000000000),1),K$4:K1350)))),AND(K292&lt;1000000000,COUNTA(C292:C1350)&gt;0,P$3=FALSE),
ROUNDDOWN(INDEX(Y$4:Y1350,MATCH(LARGE(FILTER(W$4:W1350,W$4:W1350&lt;=I292),1),W$4:W1350"&amp;"))+(I292-LARGE(FILTER(W$4:W1350,W$4:W1350&lt;=I292),1))*INDEX(T$4:T1350,MATCH(LARGE(FILTER(W$4:W1350,W$4:W1350&lt;=I292),1),W$4:W1350))-K292),1,
ROUNDDOWN(Y292-INDEX(K$4:K1350,MATCH(LARGE(FILTER(I$4:I1350,I$4:I1350&lt;=W292),1),I$4:I1350))-(W292-LARGE(FILTER(I$4:I"&amp;"1350,I$4:I1350&lt;=W292),1))*INDEX(F$4:F1350,MATCH(LARGE(FILTER(I$4:I1350,I$4:I1350&lt;=W292),1),I$4:I1350))))"),3.6566776E7)</f>
        <v>36566776</v>
      </c>
      <c r="N292" s="60">
        <f t="shared" si="8"/>
        <v>-268.3759</v>
      </c>
      <c r="O292" s="61" t="str">
        <f t="shared" si="9"/>
        <v>36,6M</v>
      </c>
      <c r="P292" s="56">
        <f t="shared" si="10"/>
        <v>15</v>
      </c>
      <c r="Q292" s="105" t="s">
        <v>10</v>
      </c>
      <c r="R292" s="10" t="b">
        <f>IFERROR(__xludf.DUMMYFUNCTION("IF(COUNTA(Q292:Q1350)=0,"""",IF(ISBLANK(Q292),FALSE,IF(NOT(COUNTIF($AA$24:$AA$34,SUBSTITUTE(Q292,""Sell_"",""""))),1,IF(REGEXMATCH(Q292,""Sell_""),IF(COUNTIF(Q$4:Q292,SUBSTITUTE(Q292,""Sell_"",""""))-COUNTIF(Q$4:Q291,Q292)&lt;1,1),FALSE))))"),FALSE)</f>
        <v>0</v>
      </c>
      <c r="S292" s="59">
        <f t="array" ref="S292">IF(COUNTA(Q292:Q1350)=0,"",SUM((COUNTIF(Q$4:Q292,Upgrades!$B$3:$B$13)-COUNTIF(Q$4:Q292,"Sell_"&amp;Upgrades!$B$3:$B$13))*Upgrades!$D$3:$D$13))</f>
        <v>204700</v>
      </c>
      <c r="T292" s="66">
        <f>IFERROR(__xludf.DUMMYFUNCTION("IF(COUNTA(Q292:Q1350)=0,"""",IF(REGEXMATCH(INDEX(FILTER(Q$4:Q292,Q$4:Q292&lt;&gt;""""),ROWS(FILTER(Q$4:Q292,Q$4:Q292&lt;&gt;""""))),""^Sell_""),INDEX(FILTER(T$4:T291,Q$4:Q291&lt;&gt;""""),ROWS(FILTER(Q$4:Q291,Q$4:Q291&lt;&gt;""""))),$AD$5+S292))"),204900.0)</f>
        <v>204900</v>
      </c>
      <c r="U292" s="10">
        <f>IFERROR(__xludf.DUMMYFUNCTION("IF(COUNTA(Q292:Q1350)=0,"""",IF(Q292="""",0,IF(REGEXMATCH(Q292,""^Sell_""),-ROUNDDOWN(ROUNDUP(INDEX(Upgrades!$C$3:$C$13,MATCH(SUBSTITUTE(Q292,""Sell_"",""""),Upgrades!$B$3:$B$13,0))*1.15^(COUNTIF(Q$4:Q291,SUBSTITUTE(Q292,""Sell_"",""""))-COUNTIF(Q$4:Q291,"&amp;"""Sell_""&amp;SUBSTITUTE(Q292,""Sell_"",""""))))/2),ROUNDUP(INDEX(Upgrades!$C$3:$C$13,MATCH(Q292,Upgrades!$B$3:$B$13,0))*1.15^(COUNTIF(Q$4:Q291,Q292)-COUNTIF(Q$4:Q291,""Sell_""&amp;Q292))))))"),1.1792839E7)</f>
        <v>11792839</v>
      </c>
      <c r="V292" s="10">
        <f t="shared" si="11"/>
        <v>11792839</v>
      </c>
      <c r="W292" s="68">
        <f t="shared" si="12"/>
        <v>4576.619206</v>
      </c>
      <c r="X292" s="59" t="str">
        <f t="shared" si="13"/>
        <v>1h 16m 16s</v>
      </c>
      <c r="Y292" s="69">
        <f t="shared" si="14"/>
        <v>237205098</v>
      </c>
      <c r="Z292" s="11"/>
    </row>
    <row r="293">
      <c r="A293" s="8"/>
      <c r="B293" s="56" t="str">
        <f t="shared" si="2"/>
        <v/>
      </c>
      <c r="C293" s="57"/>
      <c r="D293" s="10" t="str">
        <f>IFERROR(__xludf.DUMMYFUNCTION("IF(COUNTA(C293:C1350)=0,"""",IF(ISBLANK(C293),FALSE,IF(NOT(COUNTIF($AA$24:$AA$34,SUBSTITUTE(C293,""Sell_"",""""))),1,IF(REGEXMATCH(C293,""Sell_""),IF(COUNTIF(C$4:C293,SUBSTITUTE(C293,""Sell_"",""""))-COUNTIF(C$4:C292,C293)&lt;1,1),FALSE))))"),"")</f>
        <v/>
      </c>
      <c r="E293" s="59" t="str">
        <f t="array" ref="E293">IF(COUNTA(C293:C1350)=0,"",SUM((COUNTIF(C$4:C293,Upgrades!$B$3:$B$13)-COUNTIF(C$4:C293,"Sell_"&amp;Upgrades!$B$3:$B$13))*Upgrades!$D$3:$D$13))</f>
        <v/>
      </c>
      <c r="F293" s="66" t="str">
        <f>IFERROR(__xludf.DUMMYFUNCTION("IF(COUNTA(C293:C1350)=0,"""",IF(REGEXMATCH(INDEX(FILTER(C$4:C293,C$4:C293&lt;&gt;""""),ROWS(FILTER(C$4:C293,C$4:C293&lt;&gt;""""))),""^Sell_""),INDEX(FILTER(F$4:F292,C$4:C292&lt;&gt;""""),ROWS(FILTER(C$4:C292,C$4:C292&lt;&gt;""""))),$AC$5+E293))"),"")</f>
        <v/>
      </c>
      <c r="G293" s="10" t="str">
        <f>IFERROR(__xludf.DUMMYFUNCTION("IF(COUNTA(C293:C1350)=0,"""",IF(C293="""",0,IF(REGEXMATCH(C293,""^Sell_""),-ROUNDDOWN(ROUNDUP(INDEX(Upgrades!$C$3:$C$13,MATCH(SUBSTITUTE(C293,""Sell_"",""""),Upgrades!$B$3:$B$13,0))*1.15^(COUNTIF(C$4:C292,SUBSTITUTE(C293,""Sell_"",""""))-COUNTIF(C$4:C292,"&amp;"""Sell_""&amp;SUBSTITUTE(C293,""Sell_"",""""))))/2),ROUNDUP(INDEX(Upgrades!$C$3:$C$13,MATCH(C293,Upgrades!$B$3:$B$13,0))*1.15^(COUNTIF(C$4:C292,C293)-COUNTIF(C$4:C292,""Sell_""&amp;C293))))))"),"")</f>
        <v/>
      </c>
      <c r="H293" s="10" t="str">
        <f t="shared" si="3"/>
        <v/>
      </c>
      <c r="I293" s="68" t="str">
        <f t="shared" si="4"/>
        <v/>
      </c>
      <c r="J293" s="59" t="str">
        <f t="shared" si="5"/>
        <v/>
      </c>
      <c r="K293" s="69" t="str">
        <f t="shared" si="6"/>
        <v/>
      </c>
      <c r="L293" s="60">
        <f t="shared" si="7"/>
        <v>-268.34301</v>
      </c>
      <c r="M293" s="61">
        <f>IFERROR(__xludf.DUMMYFUNCTION("IFS(AND(COUNTA(C293:C1350)=0,COUNTA(Q293:Q1350)=0),"""",OR(AND(K293&gt;=1000000000,OR(Y293&gt;=1000000000,COUNTA(Q293:Q1350)=0)),OR(Y293&gt;=1000000000,AND(COUNTA(C293:C1350)=0,P$3=TRUE))),
ROUNDDOWN((AB$1-AC$1)*MAX(INDEX(T$4:T1350,MATCH(LARGE(FILTER(Y$4:Y1350,Y$4"&amp;":Y1350&lt;1000000000),1),Y$4:Y1350)),INDEX(F$4:F1350,MATCH(LARGE(FILTER(K$4:K1350,K$4:K1350&lt;1000000000),1),K$4:K1350)))),AND(K293&lt;1000000000,COUNTA(C293:C1350)&gt;0,P$3=FALSE),
ROUNDDOWN(INDEX(Y$4:Y1350,MATCH(LARGE(FILTER(W$4:W1350,W$4:W1350&lt;=I293),1),W$4:W1350"&amp;"))+(I293-LARGE(FILTER(W$4:W1350,W$4:W1350&lt;=I293),1))*INDEX(T$4:T1350,MATCH(LARGE(FILTER(W$4:W1350,W$4:W1350&lt;=I293),1),W$4:W1350))-K293),1,
ROUNDDOWN(Y293-INDEX(K$4:K1350,MATCH(LARGE(FILTER(I$4:I1350,I$4:I1350&lt;=W293),1),I$4:I1350))-(W293-LARGE(FILTER(I$4:I"&amp;"1350,I$4:I1350&lt;=W293),1))*INDEX(F$4:F1350,MATCH(LARGE(FILTER(I$4:I1350,I$4:I1350&lt;=W293),1),I$4:I1350))))"),3.6649483E7)</f>
        <v>36649483</v>
      </c>
      <c r="N293" s="60">
        <f t="shared" si="8"/>
        <v>-268.34301</v>
      </c>
      <c r="O293" s="61" t="str">
        <f t="shared" si="9"/>
        <v>36,6M</v>
      </c>
      <c r="P293" s="56">
        <f t="shared" si="10"/>
        <v>12</v>
      </c>
      <c r="Q293" s="105" t="s">
        <v>8</v>
      </c>
      <c r="R293" s="10" t="b">
        <f>IFERROR(__xludf.DUMMYFUNCTION("IF(COUNTA(Q293:Q1350)=0,"""",IF(ISBLANK(Q293),FALSE,IF(NOT(COUNTIF($AA$24:$AA$34,SUBSTITUTE(Q293,""Sell_"",""""))),1,IF(REGEXMATCH(Q293,""Sell_""),IF(COUNTIF(Q$4:Q293,SUBSTITUTE(Q293,""Sell_"",""""))-COUNTIF(Q$4:Q292,Q293)&lt;1,1),FALSE))))"),FALSE)</f>
        <v>0</v>
      </c>
      <c r="S293" s="59">
        <f t="array" ref="S293">IF(COUNTA(Q293:Q1350)=0,"",SUM((COUNTIF(Q$4:Q293,Upgrades!$B$3:$B$13)-COUNTIF(Q$4:Q293,"Sell_"&amp;Upgrades!$B$3:$B$13))*Upgrades!$D$3:$D$13))</f>
        <v>204800</v>
      </c>
      <c r="T293" s="66">
        <f>IFERROR(__xludf.DUMMYFUNCTION("IF(COUNTA(Q293:Q1350)=0,"""",IF(REGEXMATCH(INDEX(FILTER(Q$4:Q293,Q$4:Q293&lt;&gt;""""),ROWS(FILTER(Q$4:Q293,Q$4:Q293&lt;&gt;""""))),""^Sell_""),INDEX(FILTER(T$4:T292,Q$4:Q292&lt;&gt;""""),ROWS(FILTER(Q$4:Q292,Q$4:Q292&lt;&gt;""""))),$AD$5+S293))"),205000.0)</f>
        <v>205000</v>
      </c>
      <c r="U293" s="10">
        <f>IFERROR(__xludf.DUMMYFUNCTION("IF(COUNTA(Q293:Q1350)=0,"""",IF(Q293="""",0,IF(REGEXMATCH(Q293,""^Sell_""),-ROUNDDOWN(ROUNDUP(INDEX(Upgrades!$C$3:$C$13,MATCH(SUBSTITUTE(Q293,""Sell_"",""""),Upgrades!$B$3:$B$13,0))*1.15^(COUNTIF(Q$4:Q292,SUBSTITUTE(Q293,""Sell_"",""""))-COUNTIF(Q$4:Q292,"&amp;"""Sell_""&amp;SUBSTITUTE(Q293,""Sell_"",""""))))/2),ROUNDUP(INDEX(Upgrades!$C$3:$C$13,MATCH(Q293,Upgrades!$B$3:$B$13,0))*1.15^(COUNTIF(Q$4:Q292,Q293)-COUNTIF(Q$4:Q292,""Sell_""&amp;Q293))))))"),186096.0)</f>
        <v>186096</v>
      </c>
      <c r="V293" s="10">
        <f t="shared" si="11"/>
        <v>186096</v>
      </c>
      <c r="W293" s="68">
        <f t="shared" si="12"/>
        <v>4577.527434</v>
      </c>
      <c r="X293" s="59" t="str">
        <f t="shared" si="13"/>
        <v>1h 16m 17s</v>
      </c>
      <c r="Y293" s="69">
        <f t="shared" si="14"/>
        <v>237391194</v>
      </c>
      <c r="Z293" s="11"/>
    </row>
    <row r="294">
      <c r="A294" s="8"/>
      <c r="B294" s="56" t="str">
        <f t="shared" si="2"/>
        <v/>
      </c>
      <c r="C294" s="57"/>
      <c r="D294" s="10" t="str">
        <f>IFERROR(__xludf.DUMMYFUNCTION("IF(COUNTA(C294:C1350)=0,"""",IF(ISBLANK(C294),FALSE,IF(NOT(COUNTIF($AA$24:$AA$34,SUBSTITUTE(C294,""Sell_"",""""))),1,IF(REGEXMATCH(C294,""Sell_""),IF(COUNTIF(C$4:C294,SUBSTITUTE(C294,""Sell_"",""""))-COUNTIF(C$4:C293,C294)&lt;1,1),FALSE))))"),"")</f>
        <v/>
      </c>
      <c r="E294" s="59" t="str">
        <f t="array" ref="E294">IF(COUNTA(C294:C1350)=0,"",SUM((COUNTIF(C$4:C294,Upgrades!$B$3:$B$13)-COUNTIF(C$4:C294,"Sell_"&amp;Upgrades!$B$3:$B$13))*Upgrades!$D$3:$D$13))</f>
        <v/>
      </c>
      <c r="F294" s="66" t="str">
        <f>IFERROR(__xludf.DUMMYFUNCTION("IF(COUNTA(C294:C1350)=0,"""",IF(REGEXMATCH(INDEX(FILTER(C$4:C294,C$4:C294&lt;&gt;""""),ROWS(FILTER(C$4:C294,C$4:C294&lt;&gt;""""))),""^Sell_""),INDEX(FILTER(F$4:F293,C$4:C293&lt;&gt;""""),ROWS(FILTER(C$4:C293,C$4:C293&lt;&gt;""""))),$AC$5+E294))"),"")</f>
        <v/>
      </c>
      <c r="G294" s="10" t="str">
        <f>IFERROR(__xludf.DUMMYFUNCTION("IF(COUNTA(C294:C1350)=0,"""",IF(C294="""",0,IF(REGEXMATCH(C294,""^Sell_""),-ROUNDDOWN(ROUNDUP(INDEX(Upgrades!$C$3:$C$13,MATCH(SUBSTITUTE(C294,""Sell_"",""""),Upgrades!$B$3:$B$13,0))*1.15^(COUNTIF(C$4:C293,SUBSTITUTE(C294,""Sell_"",""""))-COUNTIF(C$4:C293,"&amp;"""Sell_""&amp;SUBSTITUTE(C294,""Sell_"",""""))))/2),ROUNDUP(INDEX(Upgrades!$C$3:$C$13,MATCH(C294,Upgrades!$B$3:$B$13,0))*1.15^(COUNTIF(C$4:C293,C294)-COUNTIF(C$4:C293,""Sell_""&amp;C294))))))"),"")</f>
        <v/>
      </c>
      <c r="H294" s="10" t="str">
        <f t="shared" si="3"/>
        <v/>
      </c>
      <c r="I294" s="68" t="str">
        <f t="shared" si="4"/>
        <v/>
      </c>
      <c r="J294" s="59" t="str">
        <f t="shared" si="5"/>
        <v/>
      </c>
      <c r="K294" s="69" t="str">
        <f t="shared" si="6"/>
        <v/>
      </c>
      <c r="L294" s="60">
        <f t="shared" si="7"/>
        <v>-268.2019</v>
      </c>
      <c r="M294" s="61">
        <f>IFERROR(__xludf.DUMMYFUNCTION("IFS(AND(COUNTA(C294:C1350)=0,COUNTA(Q294:Q1350)=0),"""",OR(AND(K294&gt;=1000000000,OR(Y294&gt;=1000000000,COUNTA(Q294:Q1350)=0)),OR(Y294&gt;=1000000000,AND(COUNTA(C294:C1350)=0,P$3=TRUE))),
ROUNDDOWN((AB$1-AC$1)*MAX(INDEX(T$4:T1350,MATCH(LARGE(FILTER(Y$4:Y1350,Y$4"&amp;":Y1350&lt;1000000000),1),Y$4:Y1350)),INDEX(F$4:F1350,MATCH(LARGE(FILTER(K$4:K1350,K$4:K1350&lt;1000000000),1),K$4:K1350)))),AND(K294&lt;1000000000,COUNTA(C294:C1350)&gt;0,P$3=FALSE),
ROUNDDOWN(INDEX(Y$4:Y1350,MATCH(LARGE(FILTER(W$4:W1350,W$4:W1350&lt;=I294),1),W$4:W1350"&amp;"))+(I294-LARGE(FILTER(W$4:W1350,W$4:W1350&lt;=I294),1))*INDEX(T$4:T1350,MATCH(LARGE(FILTER(W$4:W1350,W$4:W1350&lt;=I294),1),W$4:W1350))-K294),1,
ROUNDDOWN(Y294-INDEX(K$4:K1350,MATCH(LARGE(FILTER(I$4:I1350,I$4:I1350&lt;=W294),1),I$4:I1350))-(W294-LARGE(FILTER(I$4:I"&amp;"1350,I$4:I1350&lt;=W294),1))*INDEX(F$4:F1350,MATCH(LARGE(FILTER(I$4:I1350,I$4:I1350&lt;=W294),1),I$4:I1350))))"),3.7009299E7)</f>
        <v>37009299</v>
      </c>
      <c r="N294" s="60">
        <f t="shared" si="8"/>
        <v>-268.2019</v>
      </c>
      <c r="O294" s="61" t="str">
        <f t="shared" si="9"/>
        <v>37,0M</v>
      </c>
      <c r="P294" s="56">
        <f t="shared" si="10"/>
        <v>11</v>
      </c>
      <c r="Q294" s="105" t="s">
        <v>9</v>
      </c>
      <c r="R294" s="10" t="b">
        <f>IFERROR(__xludf.DUMMYFUNCTION("IF(COUNTA(Q294:Q1350)=0,"""",IF(ISBLANK(Q294),FALSE,IF(NOT(COUNTIF($AA$24:$AA$34,SUBSTITUTE(Q294,""Sell_"",""""))),1,IF(REGEXMATCH(Q294,""Sell_""),IF(COUNTIF(Q$4:Q294,SUBSTITUTE(Q294,""Sell_"",""""))-COUNTIF(Q$4:Q293,Q294)&lt;1,1),FALSE))))"),FALSE)</f>
        <v>0</v>
      </c>
      <c r="S294" s="59">
        <f t="array" ref="S294">IF(COUNTA(Q294:Q1350)=0,"",SUM((COUNTIF(Q$4:Q294,Upgrades!$B$3:$B$13)-COUNTIF(Q$4:Q294,"Sell_"&amp;Upgrades!$B$3:$B$13))*Upgrades!$D$3:$D$13))</f>
        <v>205200</v>
      </c>
      <c r="T294" s="66">
        <f>IFERROR(__xludf.DUMMYFUNCTION("IF(COUNTA(Q294:Q1350)=0,"""",IF(REGEXMATCH(INDEX(FILTER(Q$4:Q294,Q$4:Q294&lt;&gt;""""),ROWS(FILTER(Q$4:Q294,Q$4:Q294&lt;&gt;""""))),""^Sell_""),INDEX(FILTER(T$4:T293,Q$4:Q293&lt;&gt;""""),ROWS(FILTER(Q$4:Q293,Q$4:Q293&lt;&gt;""""))),$AD$5+S294))"),205400.0)</f>
        <v>205400</v>
      </c>
      <c r="U294" s="10">
        <f>IFERROR(__xludf.DUMMYFUNCTION("IF(COUNTA(Q294:Q1350)=0,"""",IF(Q294="""",0,IF(REGEXMATCH(Q294,""^Sell_""),-ROUNDDOWN(ROUNDUP(INDEX(Upgrades!$C$3:$C$13,MATCH(SUBSTITUTE(Q294,""Sell_"",""""),Upgrades!$B$3:$B$13,0))*1.15^(COUNTIF(Q$4:Q293,SUBSTITUTE(Q294,""Sell_"",""""))-COUNTIF(Q$4:Q293,"&amp;"""Sell_""&amp;SUBSTITUTE(Q294,""Sell_"",""""))))/2),ROUNDUP(INDEX(Upgrades!$C$3:$C$13,MATCH(Q294,Upgrades!$B$3:$B$13,0))*1.15^(COUNTIF(Q$4:Q293,Q294)-COUNTIF(Q$4:Q293,""Sell_""&amp;Q294))))))"),809112.0)</f>
        <v>809112</v>
      </c>
      <c r="V294" s="10">
        <f t="shared" si="11"/>
        <v>809112</v>
      </c>
      <c r="W294" s="68">
        <f t="shared" si="12"/>
        <v>4581.474322</v>
      </c>
      <c r="X294" s="59" t="str">
        <f t="shared" si="13"/>
        <v>1h 16m 21s</v>
      </c>
      <c r="Y294" s="69">
        <f t="shared" si="14"/>
        <v>238200306</v>
      </c>
      <c r="Z294" s="11"/>
    </row>
    <row r="295">
      <c r="A295" s="8"/>
      <c r="B295" s="56" t="str">
        <f t="shared" si="2"/>
        <v/>
      </c>
      <c r="C295" s="57"/>
      <c r="D295" s="10" t="str">
        <f>IFERROR(__xludf.DUMMYFUNCTION("IF(COUNTA(C295:C1350)=0,"""",IF(ISBLANK(C295),FALSE,IF(NOT(COUNTIF($AA$24:$AA$34,SUBSTITUTE(C295,""Sell_"",""""))),1,IF(REGEXMATCH(C295,""Sell_""),IF(COUNTIF(C$4:C295,SUBSTITUTE(C295,""Sell_"",""""))-COUNTIF(C$4:C294,C295)&lt;1,1),FALSE))))"),"")</f>
        <v/>
      </c>
      <c r="E295" s="59" t="str">
        <f t="array" ref="E295">IF(COUNTA(C295:C1350)=0,"",SUM((COUNTIF(C$4:C295,Upgrades!$B$3:$B$13)-COUNTIF(C$4:C295,"Sell_"&amp;Upgrades!$B$3:$B$13))*Upgrades!$D$3:$D$13))</f>
        <v/>
      </c>
      <c r="F295" s="66" t="str">
        <f>IFERROR(__xludf.DUMMYFUNCTION("IF(COUNTA(C295:C1350)=0,"""",IF(REGEXMATCH(INDEX(FILTER(C$4:C295,C$4:C295&lt;&gt;""""),ROWS(FILTER(C$4:C295,C$4:C295&lt;&gt;""""))),""^Sell_""),INDEX(FILTER(F$4:F294,C$4:C294&lt;&gt;""""),ROWS(FILTER(C$4:C294,C$4:C294&lt;&gt;""""))),$AC$5+E295))"),"")</f>
        <v/>
      </c>
      <c r="G295" s="10" t="str">
        <f>IFERROR(__xludf.DUMMYFUNCTION("IF(COUNTA(C295:C1350)=0,"""",IF(C295="""",0,IF(REGEXMATCH(C295,""^Sell_""),-ROUNDDOWN(ROUNDUP(INDEX(Upgrades!$C$3:$C$13,MATCH(SUBSTITUTE(C295,""Sell_"",""""),Upgrades!$B$3:$B$13,0))*1.15^(COUNTIF(C$4:C294,SUBSTITUTE(C295,""Sell_"",""""))-COUNTIF(C$4:C294,"&amp;"""Sell_""&amp;SUBSTITUTE(C295,""Sell_"",""""))))/2),ROUNDUP(INDEX(Upgrades!$C$3:$C$13,MATCH(C295,Upgrades!$B$3:$B$13,0))*1.15^(COUNTIF(C$4:C294,C295)-COUNTIF(C$4:C294,""Sell_""&amp;C295))))))"),"")</f>
        <v/>
      </c>
      <c r="H295" s="10" t="str">
        <f t="shared" si="3"/>
        <v/>
      </c>
      <c r="I295" s="68" t="str">
        <f t="shared" si="4"/>
        <v/>
      </c>
      <c r="J295" s="59" t="str">
        <f t="shared" si="5"/>
        <v/>
      </c>
      <c r="K295" s="69" t="str">
        <f t="shared" si="6"/>
        <v/>
      </c>
      <c r="L295" s="60">
        <f t="shared" si="7"/>
        <v>-268.18849</v>
      </c>
      <c r="M295" s="61">
        <f>IFERROR(__xludf.DUMMYFUNCTION("IFS(AND(COUNTA(C295:C1350)=0,COUNTA(Q295:Q1350)=0),"""",OR(AND(K295&gt;=1000000000,OR(Y295&gt;=1000000000,COUNTA(Q295:Q1350)=0)),OR(Y295&gt;=1000000000,AND(COUNTA(C295:C1350)=0,P$3=TRUE))),
ROUNDDOWN((AB$1-AC$1)*MAX(INDEX(T$4:T1350,MATCH(LARGE(FILTER(Y$4:Y1350,Y$4"&amp;":Y1350&lt;1000000000),1),Y$4:Y1350)),INDEX(F$4:F1350,MATCH(LARGE(FILTER(K$4:K1350,K$4:K1350&lt;1000000000),1),K$4:K1350)))),AND(K295&lt;1000000000,COUNTA(C295:C1350)&gt;0,P$3=FALSE),
ROUNDDOWN(INDEX(Y$4:Y1350,MATCH(LARGE(FILTER(W$4:W1350,W$4:W1350&lt;=I295),1),W$4:W1350"&amp;"))+(I295-LARGE(FILTER(W$4:W1350,W$4:W1350&lt;=I295),1))*INDEX(T$4:T1350,MATCH(LARGE(FILTER(W$4:W1350,W$4:W1350&lt;=I295),1),W$4:W1350))-K295),1,
ROUNDDOWN(Y295-INDEX(K$4:K1350,MATCH(LARGE(FILTER(I$4:I1350,I$4:I1350&lt;=W295),1),I$4:I1350))-(W295-LARGE(FILTER(I$4:I"&amp;"1350,I$4:I1350&lt;=W295),1))*INDEX(F$4:F1350,MATCH(LARGE(FILTER(I$4:I1350,I$4:I1350&lt;=W295),1),I$4:I1350))))"),3.7045574E7)</f>
        <v>37045574</v>
      </c>
      <c r="N295" s="60">
        <f t="shared" si="8"/>
        <v>-268.18849</v>
      </c>
      <c r="O295" s="61" t="str">
        <f t="shared" si="9"/>
        <v>37,0M</v>
      </c>
      <c r="P295" s="56">
        <f t="shared" si="10"/>
        <v>16</v>
      </c>
      <c r="Q295" s="105" t="s">
        <v>7</v>
      </c>
      <c r="R295" s="10" t="b">
        <f>IFERROR(__xludf.DUMMYFUNCTION("IF(COUNTA(Q295:Q1350)=0,"""",IF(ISBLANK(Q295),FALSE,IF(NOT(COUNTIF($AA$24:$AA$34,SUBSTITUTE(Q295,""Sell_"",""""))),1,IF(REGEXMATCH(Q295,""Sell_""),IF(COUNTIF(Q$4:Q295,SUBSTITUTE(Q295,""Sell_"",""""))-COUNTIF(Q$4:Q294,Q295)&lt;1,1),FALSE))))"),FALSE)</f>
        <v>0</v>
      </c>
      <c r="S295" s="59">
        <f t="array" ref="S295">IF(COUNTA(Q295:Q1350)=0,"",SUM((COUNTIF(Q$4:Q295,Upgrades!$B$3:$B$13)-COUNTIF(Q$4:Q295,"Sell_"&amp;Upgrades!$B$3:$B$13))*Upgrades!$D$3:$D$13))</f>
        <v>205240</v>
      </c>
      <c r="T295" s="66">
        <f>IFERROR(__xludf.DUMMYFUNCTION("IF(COUNTA(Q295:Q1350)=0,"""",IF(REGEXMATCH(INDEX(FILTER(Q$4:Q295,Q$4:Q295&lt;&gt;""""),ROWS(FILTER(Q$4:Q295,Q$4:Q295&lt;&gt;""""))),""^Sell_""),INDEX(FILTER(T$4:T294,Q$4:Q294&lt;&gt;""""),ROWS(FILTER(Q$4:Q294,Q$4:Q294&lt;&gt;""""))),$AD$5+S295))"),205440.0)</f>
        <v>205440</v>
      </c>
      <c r="U295" s="10">
        <f>IFERROR(__xludf.DUMMYFUNCTION("IF(COUNTA(Q295:Q1350)=0,"""",IF(Q295="""",0,IF(REGEXMATCH(Q295,""^Sell_""),-ROUNDDOWN(ROUNDUP(INDEX(Upgrades!$C$3:$C$13,MATCH(SUBSTITUTE(Q295,""Sell_"",""""),Upgrades!$B$3:$B$13,0))*1.15^(COUNTIF(Q$4:Q294,SUBSTITUTE(Q295,""Sell_"",""""))-COUNTIF(Q$4:Q294,"&amp;"""Sell_""&amp;SUBSTITUTE(Q295,""Sell_"",""""))))/2),ROUNDUP(INDEX(Upgrades!$C$3:$C$13,MATCH(Q295,Upgrades!$B$3:$B$13,0))*1.15^(COUNTIF(Q$4:Q294,Q295)-COUNTIF(Q$4:Q294,""Sell_""&amp;Q295))))))"),81371.0)</f>
        <v>81371</v>
      </c>
      <c r="V295" s="10">
        <f t="shared" si="11"/>
        <v>81371</v>
      </c>
      <c r="W295" s="68">
        <f t="shared" si="12"/>
        <v>4581.870481</v>
      </c>
      <c r="X295" s="59" t="str">
        <f t="shared" si="13"/>
        <v>1h 16m 21s</v>
      </c>
      <c r="Y295" s="69">
        <f t="shared" si="14"/>
        <v>238281677</v>
      </c>
      <c r="Z295" s="11"/>
    </row>
    <row r="296">
      <c r="A296" s="8"/>
      <c r="B296" s="56" t="str">
        <f t="shared" si="2"/>
        <v/>
      </c>
      <c r="C296" s="57"/>
      <c r="D296" s="10" t="str">
        <f>IFERROR(__xludf.DUMMYFUNCTION("IF(COUNTA(C296:C1350)=0,"""",IF(ISBLANK(C296),FALSE,IF(NOT(COUNTIF($AA$24:$AA$34,SUBSTITUTE(C296,""Sell_"",""""))),1,IF(REGEXMATCH(C296,""Sell_""),IF(COUNTIF(C$4:C296,SUBSTITUTE(C296,""Sell_"",""""))-COUNTIF(C$4:C295,C296)&lt;1,1),FALSE))))"),"")</f>
        <v/>
      </c>
      <c r="E296" s="59" t="str">
        <f t="array" ref="E296">IF(COUNTA(C296:C1350)=0,"",SUM((COUNTIF(C$4:C296,Upgrades!$B$3:$B$13)-COUNTIF(C$4:C296,"Sell_"&amp;Upgrades!$B$3:$B$13))*Upgrades!$D$3:$D$13))</f>
        <v/>
      </c>
      <c r="F296" s="66" t="str">
        <f>IFERROR(__xludf.DUMMYFUNCTION("IF(COUNTA(C296:C1350)=0,"""",IF(REGEXMATCH(INDEX(FILTER(C$4:C296,C$4:C296&lt;&gt;""""),ROWS(FILTER(C$4:C296,C$4:C296&lt;&gt;""""))),""^Sell_""),INDEX(FILTER(F$4:F295,C$4:C295&lt;&gt;""""),ROWS(FILTER(C$4:C295,C$4:C295&lt;&gt;""""))),$AC$5+E296))"),"")</f>
        <v/>
      </c>
      <c r="G296" s="10" t="str">
        <f>IFERROR(__xludf.DUMMYFUNCTION("IF(COUNTA(C296:C1350)=0,"""",IF(C296="""",0,IF(REGEXMATCH(C296,""^Sell_""),-ROUNDDOWN(ROUNDUP(INDEX(Upgrades!$C$3:$C$13,MATCH(SUBSTITUTE(C296,""Sell_"",""""),Upgrades!$B$3:$B$13,0))*1.15^(COUNTIF(C$4:C295,SUBSTITUTE(C296,""Sell_"",""""))-COUNTIF(C$4:C295,"&amp;"""Sell_""&amp;SUBSTITUTE(C296,""Sell_"",""""))))/2),ROUNDUP(INDEX(Upgrades!$C$3:$C$13,MATCH(C296,Upgrades!$B$3:$B$13,0))*1.15^(COUNTIF(C$4:C295,C296)-COUNTIF(C$4:C295,""Sell_""&amp;C296))))))"),"")</f>
        <v/>
      </c>
      <c r="H296" s="10" t="str">
        <f t="shared" si="3"/>
        <v/>
      </c>
      <c r="I296" s="68" t="str">
        <f t="shared" si="4"/>
        <v/>
      </c>
      <c r="J296" s="59" t="str">
        <f t="shared" si="5"/>
        <v/>
      </c>
      <c r="K296" s="69" t="str">
        <f t="shared" si="6"/>
        <v/>
      </c>
      <c r="L296" s="60">
        <f t="shared" si="7"/>
        <v>-265.96512</v>
      </c>
      <c r="M296" s="61">
        <f>IFERROR(__xludf.DUMMYFUNCTION("IFS(AND(COUNTA(C296:C1350)=0,COUNTA(Q296:Q1350)=0),"""",OR(AND(K296&gt;=1000000000,OR(Y296&gt;=1000000000,COUNTA(Q296:Q1350)=0)),OR(Y296&gt;=1000000000,AND(COUNTA(C296:C1350)=0,P$3=TRUE))),
ROUNDDOWN((AB$1-AC$1)*MAX(INDEX(T$4:T1350,MATCH(LARGE(FILTER(Y$4:Y1350,Y$4"&amp;":Y1350&lt;1000000000),1),Y$4:Y1350)),INDEX(F$4:F1350,MATCH(LARGE(FILTER(K$4:K1350,K$4:K1350&lt;1000000000),1),K$4:K1350)))),AND(K296&lt;1000000000,COUNTA(C296:C1350)&gt;0,P$3=FALSE),
ROUNDDOWN(INDEX(Y$4:Y1350,MATCH(LARGE(FILTER(W$4:W1350,W$4:W1350&lt;=I296),1),W$4:W1350"&amp;"))+(I296-LARGE(FILTER(W$4:W1350,W$4:W1350&lt;=I296),1))*INDEX(T$4:T1350,MATCH(LARGE(FILTER(W$4:W1350,W$4:W1350&lt;=I296),1),W$4:W1350))-K296),1,
ROUNDDOWN(Y296-INDEX(K$4:K1350,MATCH(LARGE(FILTER(I$4:I1350,I$4:I1350&lt;=W296),1),I$4:I1350))-(W296-LARGE(FILTER(I$4:I"&amp;"1350,I$4:I1350&lt;=W296),1))*INDEX(F$4:F1350,MATCH(LARGE(FILTER(I$4:I1350,I$4:I1350&lt;=W296),1),I$4:I1350))))"),4.3092685E7)</f>
        <v>43092685</v>
      </c>
      <c r="N296" s="60">
        <f t="shared" si="8"/>
        <v>-265.96512</v>
      </c>
      <c r="O296" s="61" t="str">
        <f t="shared" si="9"/>
        <v>43,1M</v>
      </c>
      <c r="P296" s="56">
        <f t="shared" si="10"/>
        <v>16</v>
      </c>
      <c r="Q296" s="105" t="s">
        <v>10</v>
      </c>
      <c r="R296" s="10" t="b">
        <f>IFERROR(__xludf.DUMMYFUNCTION("IF(COUNTA(Q296:Q1350)=0,"""",IF(ISBLANK(Q296),FALSE,IF(NOT(COUNTIF($AA$24:$AA$34,SUBSTITUTE(Q296,""Sell_"",""""))),1,IF(REGEXMATCH(Q296,""Sell_""),IF(COUNTIF(Q$4:Q296,SUBSTITUTE(Q296,""Sell_"",""""))-COUNTIF(Q$4:Q295,Q296)&lt;1,1),FALSE))))"),FALSE)</f>
        <v>0</v>
      </c>
      <c r="S296" s="59">
        <f t="array" ref="S296">IF(COUNTA(Q296:Q1350)=0,"",SUM((COUNTIF(Q$4:Q296,Upgrades!$B$3:$B$13)-COUNTIF(Q$4:Q296,"Sell_"&amp;Upgrades!$B$3:$B$13))*Upgrades!$D$3:$D$13))</f>
        <v>211906</v>
      </c>
      <c r="T296" s="66">
        <f>IFERROR(__xludf.DUMMYFUNCTION("IF(COUNTA(Q296:Q1350)=0,"""",IF(REGEXMATCH(INDEX(FILTER(Q$4:Q296,Q$4:Q296&lt;&gt;""""),ROWS(FILTER(Q$4:Q296,Q$4:Q296&lt;&gt;""""))),""^Sell_""),INDEX(FILTER(T$4:T295,Q$4:Q295&lt;&gt;""""),ROWS(FILTER(Q$4:Q295,Q$4:Q295&lt;&gt;""""))),$AD$5+S296))"),212106.0)</f>
        <v>212106</v>
      </c>
      <c r="U296" s="10">
        <f>IFERROR(__xludf.DUMMYFUNCTION("IF(COUNTA(Q296:Q1350)=0,"""",IF(Q296="""",0,IF(REGEXMATCH(Q296,""^Sell_""),-ROUNDDOWN(ROUNDUP(INDEX(Upgrades!$C$3:$C$13,MATCH(SUBSTITUTE(Q296,""Sell_"",""""),Upgrades!$B$3:$B$13,0))*1.15^(COUNTIF(Q$4:Q295,SUBSTITUTE(Q296,""Sell_"",""""))-COUNTIF(Q$4:Q295,"&amp;"""Sell_""&amp;SUBSTITUTE(Q296,""Sell_"",""""))))/2),ROUNDUP(INDEX(Upgrades!$C$3:$C$13,MATCH(Q296,Upgrades!$B$3:$B$13,0))*1.15^(COUNTIF(Q$4:Q295,Q296)-COUNTIF(Q$4:Q295,""Sell_""&amp;Q296))))))"),1.3561764E7)</f>
        <v>13561764</v>
      </c>
      <c r="V296" s="10">
        <f t="shared" si="11"/>
        <v>13561764</v>
      </c>
      <c r="W296" s="68">
        <f t="shared" si="12"/>
        <v>4647.88374</v>
      </c>
      <c r="X296" s="59" t="str">
        <f t="shared" si="13"/>
        <v>1h 17m 27s</v>
      </c>
      <c r="Y296" s="69">
        <f t="shared" si="14"/>
        <v>251843441</v>
      </c>
      <c r="Z296" s="11"/>
    </row>
    <row r="297">
      <c r="A297" s="8"/>
      <c r="B297" s="56" t="str">
        <f t="shared" si="2"/>
        <v/>
      </c>
      <c r="C297" s="57"/>
      <c r="D297" s="10" t="str">
        <f>IFERROR(__xludf.DUMMYFUNCTION("IF(COUNTA(C297:C1350)=0,"""",IF(ISBLANK(C297),FALSE,IF(NOT(COUNTIF($AA$24:$AA$34,SUBSTITUTE(C297,""Sell_"",""""))),1,IF(REGEXMATCH(C297,""Sell_""),IF(COUNTIF(C$4:C297,SUBSTITUTE(C297,""Sell_"",""""))-COUNTIF(C$4:C296,C297)&lt;1,1),FALSE))))"),"")</f>
        <v/>
      </c>
      <c r="E297" s="59" t="str">
        <f t="array" ref="E297">IF(COUNTA(C297:C1350)=0,"",SUM((COUNTIF(C$4:C297,Upgrades!$B$3:$B$13)-COUNTIF(C$4:C297,"Sell_"&amp;Upgrades!$B$3:$B$13))*Upgrades!$D$3:$D$13))</f>
        <v/>
      </c>
      <c r="F297" s="66" t="str">
        <f>IFERROR(__xludf.DUMMYFUNCTION("IF(COUNTA(C297:C1350)=0,"""",IF(REGEXMATCH(INDEX(FILTER(C$4:C297,C$4:C297&lt;&gt;""""),ROWS(FILTER(C$4:C297,C$4:C297&lt;&gt;""""))),""^Sell_""),INDEX(FILTER(F$4:F296,C$4:C296&lt;&gt;""""),ROWS(FILTER(C$4:C296,C$4:C296&lt;&gt;""""))),$AC$5+E297))"),"")</f>
        <v/>
      </c>
      <c r="G297" s="10" t="str">
        <f>IFERROR(__xludf.DUMMYFUNCTION("IF(COUNTA(C297:C1350)=0,"""",IF(C297="""",0,IF(REGEXMATCH(C297,""^Sell_""),-ROUNDDOWN(ROUNDUP(INDEX(Upgrades!$C$3:$C$13,MATCH(SUBSTITUTE(C297,""Sell_"",""""),Upgrades!$B$3:$B$13,0))*1.15^(COUNTIF(C$4:C296,SUBSTITUTE(C297,""Sell_"",""""))-COUNTIF(C$4:C296,"&amp;"""Sell_""&amp;SUBSTITUTE(C297,""Sell_"",""""))))/2),ROUNDUP(INDEX(Upgrades!$C$3:$C$13,MATCH(C297,Upgrades!$B$3:$B$13,0))*1.15^(COUNTIF(C$4:C296,C297)-COUNTIF(C$4:C296,""Sell_""&amp;C297))))))"),"")</f>
        <v/>
      </c>
      <c r="H297" s="10" t="str">
        <f t="shared" si="3"/>
        <v/>
      </c>
      <c r="I297" s="68" t="str">
        <f t="shared" si="4"/>
        <v/>
      </c>
      <c r="J297" s="59" t="str">
        <f t="shared" si="5"/>
        <v/>
      </c>
      <c r="K297" s="69" t="str">
        <f t="shared" si="6"/>
        <v/>
      </c>
      <c r="L297" s="60">
        <f t="shared" si="7"/>
        <v>-265.96512</v>
      </c>
      <c r="M297" s="61">
        <f>IFERROR(__xludf.DUMMYFUNCTION("IFS(AND(COUNTA(C297:C1350)=0,COUNTA(Q297:Q1350)=0),"""",OR(AND(K297&gt;=1000000000,OR(Y297&gt;=1000000000,COUNTA(Q297:Q1350)=0)),OR(Y297&gt;=1000000000,AND(COUNTA(C297:C1350)=0,P$3=TRUE))),
ROUNDDOWN((AB$1-AC$1)*MAX(INDEX(T$4:T1350,MATCH(LARGE(FILTER(Y$4:Y1350,Y$4"&amp;":Y1350&lt;1000000000),1),Y$4:Y1350)),INDEX(F$4:F1350,MATCH(LARGE(FILTER(K$4:K1350,K$4:K1350&lt;1000000000),1),K$4:K1350)))),AND(K297&lt;1000000000,COUNTA(C297:C1350)&gt;0,P$3=FALSE),
ROUNDDOWN(INDEX(Y$4:Y1350,MATCH(LARGE(FILTER(W$4:W1350,W$4:W1350&lt;=I297),1),W$4:W1350"&amp;"))+(I297-LARGE(FILTER(W$4:W1350,W$4:W1350&lt;=I297),1))*INDEX(T$4:T1350,MATCH(LARGE(FILTER(W$4:W1350,W$4:W1350&lt;=I297),1),W$4:W1350))-K297),1,
ROUNDDOWN(Y297-INDEX(K$4:K1350,MATCH(LARGE(FILTER(I$4:I1350,I$4:I1350&lt;=W297),1),I$4:I1350))-(W297-LARGE(FILTER(I$4:I"&amp;"1350,I$4:I1350&lt;=W297),1))*INDEX(F$4:F1350,MATCH(LARGE(FILTER(I$4:I1350,I$4:I1350&lt;=W297),1),I$4:I1350))))"),4.3092685E7)</f>
        <v>43092685</v>
      </c>
      <c r="N297" s="60">
        <f t="shared" si="8"/>
        <v>-265.96512</v>
      </c>
      <c r="O297" s="61" t="str">
        <f t="shared" si="9"/>
        <v>43,1M</v>
      </c>
      <c r="P297" s="56">
        <f t="shared" si="10"/>
        <v>7</v>
      </c>
      <c r="Q297" s="105" t="s">
        <v>64</v>
      </c>
      <c r="R297" s="10" t="b">
        <f>IFERROR(__xludf.DUMMYFUNCTION("IF(COUNTA(Q297:Q1350)=0,"""",IF(ISBLANK(Q297),FALSE,IF(NOT(COUNTIF($AA$24:$AA$34,SUBSTITUTE(Q297,""Sell_"",""""))),1,IF(REGEXMATCH(Q297,""Sell_""),IF(COUNTIF(Q$4:Q297,SUBSTITUTE(Q297,""Sell_"",""""))-COUNTIF(Q$4:Q296,Q297)&lt;1,1),FALSE))))"),FALSE)</f>
        <v>0</v>
      </c>
      <c r="S297" s="59">
        <f t="array" ref="S297">IF(COUNTA(Q297:Q1350)=0,"",SUM((COUNTIF(Q$4:Q297,Upgrades!$B$3:$B$13)-COUNTIF(Q$4:Q297,"Sell_"&amp;Upgrades!$B$3:$B$13))*Upgrades!$D$3:$D$13))</f>
        <v>205240</v>
      </c>
      <c r="T297" s="66">
        <f>IFERROR(__xludf.DUMMYFUNCTION("IF(COUNTA(Q297:Q1350)=0,"""",IF(REGEXMATCH(INDEX(FILTER(Q$4:Q297,Q$4:Q297&lt;&gt;""""),ROWS(FILTER(Q$4:Q297,Q$4:Q297&lt;&gt;""""))),""^Sell_""),INDEX(FILTER(T$4:T296,Q$4:Q296&lt;&gt;""""),ROWS(FILTER(Q$4:Q296,Q$4:Q296&lt;&gt;""""))),$AD$5+S297))"),212106.0)</f>
        <v>212106</v>
      </c>
      <c r="U297" s="10">
        <f>IFERROR(__xludf.DUMMYFUNCTION("IF(COUNTA(Q297:Q1350)=0,"""",IF(Q297="""",0,IF(REGEXMATCH(Q297,""^Sell_""),-ROUNDDOWN(ROUNDUP(INDEX(Upgrades!$C$3:$C$13,MATCH(SUBSTITUTE(Q297,""Sell_"",""""),Upgrades!$B$3:$B$13,0))*1.15^(COUNTIF(Q$4:Q296,SUBSTITUTE(Q297,""Sell_"",""""))-COUNTIF(Q$4:Q296,"&amp;"""Sell_""&amp;SUBSTITUTE(Q297,""Sell_"",""""))))/2),ROUNDUP(INDEX(Upgrades!$C$3:$C$13,MATCH(Q297,Upgrades!$B$3:$B$13,0))*1.15^(COUNTIF(Q$4:Q296,Q297)-COUNTIF(Q$4:Q296,""Sell_""&amp;Q297))))))"),-7798014.0)</f>
        <v>-7798014</v>
      </c>
      <c r="V297" s="10">
        <f t="shared" si="11"/>
        <v>-7798014</v>
      </c>
      <c r="W297" s="68">
        <f t="shared" si="12"/>
        <v>4647.88374</v>
      </c>
      <c r="X297" s="59" t="str">
        <f t="shared" si="13"/>
        <v>1h 17m 27s</v>
      </c>
      <c r="Y297" s="69">
        <f t="shared" si="14"/>
        <v>251843441</v>
      </c>
      <c r="Z297" s="11"/>
    </row>
    <row r="298">
      <c r="A298" s="8"/>
      <c r="B298" s="56" t="str">
        <f t="shared" si="2"/>
        <v/>
      </c>
      <c r="C298" s="57"/>
      <c r="D298" s="10" t="str">
        <f>IFERROR(__xludf.DUMMYFUNCTION("IF(COUNTA(C298:C1350)=0,"""",IF(ISBLANK(C298),FALSE,IF(NOT(COUNTIF($AA$24:$AA$34,SUBSTITUTE(C298,""Sell_"",""""))),1,IF(REGEXMATCH(C298,""Sell_""),IF(COUNTIF(C$4:C298,SUBSTITUTE(C298,""Sell_"",""""))-COUNTIF(C$4:C297,C298)&lt;1,1),FALSE))))"),"")</f>
        <v/>
      </c>
      <c r="E298" s="59" t="str">
        <f t="array" ref="E298">IF(COUNTA(C298:C1350)=0,"",SUM((COUNTIF(C$4:C298,Upgrades!$B$3:$B$13)-COUNTIF(C$4:C298,"Sell_"&amp;Upgrades!$B$3:$B$13))*Upgrades!$D$3:$D$13))</f>
        <v/>
      </c>
      <c r="F298" s="66" t="str">
        <f>IFERROR(__xludf.DUMMYFUNCTION("IF(COUNTA(C298:C1350)=0,"""",IF(REGEXMATCH(INDEX(FILTER(C$4:C298,C$4:C298&lt;&gt;""""),ROWS(FILTER(C$4:C298,C$4:C298&lt;&gt;""""))),""^Sell_""),INDEX(FILTER(F$4:F297,C$4:C297&lt;&gt;""""),ROWS(FILTER(C$4:C297,C$4:C297&lt;&gt;""""))),$AC$5+E298))"),"")</f>
        <v/>
      </c>
      <c r="G298" s="10" t="str">
        <f>IFERROR(__xludf.DUMMYFUNCTION("IF(COUNTA(C298:C1350)=0,"""",IF(C298="""",0,IF(REGEXMATCH(C298,""^Sell_""),-ROUNDDOWN(ROUNDUP(INDEX(Upgrades!$C$3:$C$13,MATCH(SUBSTITUTE(C298,""Sell_"",""""),Upgrades!$B$3:$B$13,0))*1.15^(COUNTIF(C$4:C297,SUBSTITUTE(C298,""Sell_"",""""))-COUNTIF(C$4:C297,"&amp;"""Sell_""&amp;SUBSTITUTE(C298,""Sell_"",""""))))/2),ROUNDUP(INDEX(Upgrades!$C$3:$C$13,MATCH(C298,Upgrades!$B$3:$B$13,0))*1.15^(COUNTIF(C$4:C297,C298)-COUNTIF(C$4:C297,""Sell_""&amp;C298))))))"),"")</f>
        <v/>
      </c>
      <c r="H298" s="10" t="str">
        <f t="shared" si="3"/>
        <v/>
      </c>
      <c r="I298" s="68" t="str">
        <f t="shared" si="4"/>
        <v/>
      </c>
      <c r="J298" s="59" t="str">
        <f t="shared" si="5"/>
        <v/>
      </c>
      <c r="K298" s="69" t="str">
        <f t="shared" si="6"/>
        <v/>
      </c>
      <c r="L298" s="60">
        <f t="shared" si="7"/>
        <v>-265.96512</v>
      </c>
      <c r="M298" s="61">
        <f>IFERROR(__xludf.DUMMYFUNCTION("IFS(AND(COUNTA(C298:C1350)=0,COUNTA(Q298:Q1350)=0),"""",OR(AND(K298&gt;=1000000000,OR(Y298&gt;=1000000000,COUNTA(Q298:Q1350)=0)),OR(Y298&gt;=1000000000,AND(COUNTA(C298:C1350)=0,P$3=TRUE))),
ROUNDDOWN((AB$1-AC$1)*MAX(INDEX(T$4:T1350,MATCH(LARGE(FILTER(Y$4:Y1350,Y$4"&amp;":Y1350&lt;1000000000),1),Y$4:Y1350)),INDEX(F$4:F1350,MATCH(LARGE(FILTER(K$4:K1350,K$4:K1350&lt;1000000000),1),K$4:K1350)))),AND(K298&lt;1000000000,COUNTA(C298:C1350)&gt;0,P$3=FALSE),
ROUNDDOWN(INDEX(Y$4:Y1350,MATCH(LARGE(FILTER(W$4:W1350,W$4:W1350&lt;=I298),1),W$4:W1350"&amp;"))+(I298-LARGE(FILTER(W$4:W1350,W$4:W1350&lt;=I298),1))*INDEX(T$4:T1350,MATCH(LARGE(FILTER(W$4:W1350,W$4:W1350&lt;=I298),1),W$4:W1350))-K298),1,
ROUNDDOWN(Y298-INDEX(K$4:K1350,MATCH(LARGE(FILTER(I$4:I1350,I$4:I1350&lt;=W298),1),I$4:I1350))-(W298-LARGE(FILTER(I$4:I"&amp;"1350,I$4:I1350&lt;=W298),1))*INDEX(F$4:F1350,MATCH(LARGE(FILTER(I$4:I1350,I$4:I1350&lt;=W298),1),I$4:I1350))))"),4.3092685E7)</f>
        <v>43092685</v>
      </c>
      <c r="N298" s="60">
        <f t="shared" si="8"/>
        <v>-265.96512</v>
      </c>
      <c r="O298" s="61" t="str">
        <f t="shared" si="9"/>
        <v>43,1M</v>
      </c>
      <c r="P298" s="56">
        <f t="shared" si="10"/>
        <v>38</v>
      </c>
      <c r="Q298" s="105" t="s">
        <v>59</v>
      </c>
      <c r="R298" s="10" t="b">
        <f>IFERROR(__xludf.DUMMYFUNCTION("IF(COUNTA(Q298:Q1350)=0,"""",IF(ISBLANK(Q298),FALSE,IF(NOT(COUNTIF($AA$24:$AA$34,SUBSTITUTE(Q298,""Sell_"",""""))),1,IF(REGEXMATCH(Q298,""Sell_""),IF(COUNTIF(Q$4:Q298,SUBSTITUTE(Q298,""Sell_"",""""))-COUNTIF(Q$4:Q297,Q298)&lt;1,1),FALSE))))"),FALSE)</f>
        <v>0</v>
      </c>
      <c r="S298" s="59">
        <f t="array" ref="S298">IF(COUNTA(Q298:Q1350)=0,"",SUM((COUNTIF(Q$4:Q298,Upgrades!$B$3:$B$13)-COUNTIF(Q$4:Q298,"Sell_"&amp;Upgrades!$B$3:$B$13))*Upgrades!$D$3:$D$13))</f>
        <v>205200</v>
      </c>
      <c r="T298" s="66">
        <f>IFERROR(__xludf.DUMMYFUNCTION("IF(COUNTA(Q298:Q1350)=0,"""",IF(REGEXMATCH(INDEX(FILTER(Q$4:Q298,Q$4:Q298&lt;&gt;""""),ROWS(FILTER(Q$4:Q298,Q$4:Q298&lt;&gt;""""))),""^Sell_""),INDEX(FILTER(T$4:T297,Q$4:Q297&lt;&gt;""""),ROWS(FILTER(Q$4:Q297,Q$4:Q297&lt;&gt;""""))),$AD$5+S298))"),212106.0)</f>
        <v>212106</v>
      </c>
      <c r="U298" s="10">
        <f>IFERROR(__xludf.DUMMYFUNCTION("IF(COUNTA(Q298:Q1350)=0,"""",IF(Q298="""",0,IF(REGEXMATCH(Q298,""^Sell_""),-ROUNDDOWN(ROUNDUP(INDEX(Upgrades!$C$3:$C$13,MATCH(SUBSTITUTE(Q298,""Sell_"",""""),Upgrades!$B$3:$B$13,0))*1.15^(COUNTIF(Q$4:Q297,SUBSTITUTE(Q298,""Sell_"",""""))-COUNTIF(Q$4:Q297,"&amp;"""Sell_""&amp;SUBSTITUTE(Q298,""Sell_"",""""))))/2),ROUNDUP(INDEX(Upgrades!$C$3:$C$13,MATCH(Q298,Upgrades!$B$3:$B$13,0))*1.15^(COUNTIF(Q$4:Q297,Q298)-COUNTIF(Q$4:Q297,""Sell_""&amp;Q298))))))"),-46788.0)</f>
        <v>-46788</v>
      </c>
      <c r="V298" s="10">
        <f t="shared" si="11"/>
        <v>-7844802</v>
      </c>
      <c r="W298" s="68">
        <f t="shared" si="12"/>
        <v>4647.88374</v>
      </c>
      <c r="X298" s="59" t="str">
        <f t="shared" si="13"/>
        <v>1h 17m 27s</v>
      </c>
      <c r="Y298" s="69">
        <f t="shared" si="14"/>
        <v>251843441</v>
      </c>
      <c r="Z298" s="11"/>
    </row>
    <row r="299">
      <c r="A299" s="8"/>
      <c r="B299" s="56" t="str">
        <f t="shared" si="2"/>
        <v/>
      </c>
      <c r="C299" s="57"/>
      <c r="D299" s="10" t="str">
        <f>IFERROR(__xludf.DUMMYFUNCTION("IF(COUNTA(C299:C1350)=0,"""",IF(ISBLANK(C299),FALSE,IF(NOT(COUNTIF($AA$24:$AA$34,SUBSTITUTE(C299,""Sell_"",""""))),1,IF(REGEXMATCH(C299,""Sell_""),IF(COUNTIF(C$4:C299,SUBSTITUTE(C299,""Sell_"",""""))-COUNTIF(C$4:C298,C299)&lt;1,1),FALSE))))"),"")</f>
        <v/>
      </c>
      <c r="E299" s="59" t="str">
        <f t="array" ref="E299">IF(COUNTA(C299:C1350)=0,"",SUM((COUNTIF(C$4:C299,Upgrades!$B$3:$B$13)-COUNTIF(C$4:C299,"Sell_"&amp;Upgrades!$B$3:$B$13))*Upgrades!$D$3:$D$13))</f>
        <v/>
      </c>
      <c r="F299" s="66" t="str">
        <f>IFERROR(__xludf.DUMMYFUNCTION("IF(COUNTA(C299:C1350)=0,"""",IF(REGEXMATCH(INDEX(FILTER(C$4:C299,C$4:C299&lt;&gt;""""),ROWS(FILTER(C$4:C299,C$4:C299&lt;&gt;""""))),""^Sell_""),INDEX(FILTER(F$4:F298,C$4:C298&lt;&gt;""""),ROWS(FILTER(C$4:C298,C$4:C298&lt;&gt;""""))),$AC$5+E299))"),"")</f>
        <v/>
      </c>
      <c r="G299" s="10" t="str">
        <f>IFERROR(__xludf.DUMMYFUNCTION("IF(COUNTA(C299:C1350)=0,"""",IF(C299="""",0,IF(REGEXMATCH(C299,""^Sell_""),-ROUNDDOWN(ROUNDUP(INDEX(Upgrades!$C$3:$C$13,MATCH(SUBSTITUTE(C299,""Sell_"",""""),Upgrades!$B$3:$B$13,0))*1.15^(COUNTIF(C$4:C298,SUBSTITUTE(C299,""Sell_"",""""))-COUNTIF(C$4:C298,"&amp;"""Sell_""&amp;SUBSTITUTE(C299,""Sell_"",""""))))/2),ROUNDUP(INDEX(Upgrades!$C$3:$C$13,MATCH(C299,Upgrades!$B$3:$B$13,0))*1.15^(COUNTIF(C$4:C298,C299)-COUNTIF(C$4:C298,""Sell_""&amp;C299))))))"),"")</f>
        <v/>
      </c>
      <c r="H299" s="10" t="str">
        <f t="shared" si="3"/>
        <v/>
      </c>
      <c r="I299" s="68" t="str">
        <f t="shared" si="4"/>
        <v/>
      </c>
      <c r="J299" s="59" t="str">
        <f t="shared" si="5"/>
        <v/>
      </c>
      <c r="K299" s="69" t="str">
        <f t="shared" si="6"/>
        <v/>
      </c>
      <c r="L299" s="60">
        <f t="shared" si="7"/>
        <v>-265.96512</v>
      </c>
      <c r="M299" s="61">
        <f>IFERROR(__xludf.DUMMYFUNCTION("IFS(AND(COUNTA(C299:C1350)=0,COUNTA(Q299:Q1350)=0),"""",OR(AND(K299&gt;=1000000000,OR(Y299&gt;=1000000000,COUNTA(Q299:Q1350)=0)),OR(Y299&gt;=1000000000,AND(COUNTA(C299:C1350)=0,P$3=TRUE))),
ROUNDDOWN((AB$1-AC$1)*MAX(INDEX(T$4:T1350,MATCH(LARGE(FILTER(Y$4:Y1350,Y$4"&amp;":Y1350&lt;1000000000),1),Y$4:Y1350)),INDEX(F$4:F1350,MATCH(LARGE(FILTER(K$4:K1350,K$4:K1350&lt;1000000000),1),K$4:K1350)))),AND(K299&lt;1000000000,COUNTA(C299:C1350)&gt;0,P$3=FALSE),
ROUNDDOWN(INDEX(Y$4:Y1350,MATCH(LARGE(FILTER(W$4:W1350,W$4:W1350&lt;=I299),1),W$4:W1350"&amp;"))+(I299-LARGE(FILTER(W$4:W1350,W$4:W1350&lt;=I299),1))*INDEX(T$4:T1350,MATCH(LARGE(FILTER(W$4:W1350,W$4:W1350&lt;=I299),1),W$4:W1350))-K299),1,
ROUNDDOWN(Y299-INDEX(K$4:K1350,MATCH(LARGE(FILTER(I$4:I1350,I$4:I1350&lt;=W299),1),I$4:I1350))-(W299-LARGE(FILTER(I$4:I"&amp;"1350,I$4:I1350&lt;=W299),1))*INDEX(F$4:F1350,MATCH(LARGE(FILTER(I$4:I1350,I$4:I1350&lt;=W299),1),I$4:I1350))))"),4.3092685E7)</f>
        <v>43092685</v>
      </c>
      <c r="N299" s="60">
        <f t="shared" si="8"/>
        <v>-265.96512</v>
      </c>
      <c r="O299" s="61" t="str">
        <f t="shared" si="9"/>
        <v>43,1M</v>
      </c>
      <c r="P299" s="56">
        <f t="shared" si="10"/>
        <v>39</v>
      </c>
      <c r="Q299" s="105" t="s">
        <v>59</v>
      </c>
      <c r="R299" s="10" t="b">
        <f>IFERROR(__xludf.DUMMYFUNCTION("IF(COUNTA(Q299:Q1350)=0,"""",IF(ISBLANK(Q299),FALSE,IF(NOT(COUNTIF($AA$24:$AA$34,SUBSTITUTE(Q299,""Sell_"",""""))),1,IF(REGEXMATCH(Q299,""Sell_""),IF(COUNTIF(Q$4:Q299,SUBSTITUTE(Q299,""Sell_"",""""))-COUNTIF(Q$4:Q298,Q299)&lt;1,1),FALSE))))"),FALSE)</f>
        <v>0</v>
      </c>
      <c r="S299" s="59">
        <f t="array" ref="S299">IF(COUNTA(Q299:Q1350)=0,"",SUM((COUNTIF(Q$4:Q299,Upgrades!$B$3:$B$13)-COUNTIF(Q$4:Q299,"Sell_"&amp;Upgrades!$B$3:$B$13))*Upgrades!$D$3:$D$13))</f>
        <v>205160</v>
      </c>
      <c r="T299" s="66">
        <f>IFERROR(__xludf.DUMMYFUNCTION("IF(COUNTA(Q299:Q1350)=0,"""",IF(REGEXMATCH(INDEX(FILTER(Q$4:Q299,Q$4:Q299&lt;&gt;""""),ROWS(FILTER(Q$4:Q299,Q$4:Q299&lt;&gt;""""))),""^Sell_""),INDEX(FILTER(T$4:T298,Q$4:Q298&lt;&gt;""""),ROWS(FILTER(Q$4:Q298,Q$4:Q298&lt;&gt;""""))),$AD$5+S299))"),212106.0)</f>
        <v>212106</v>
      </c>
      <c r="U299" s="10">
        <f>IFERROR(__xludf.DUMMYFUNCTION("IF(COUNTA(Q299:Q1350)=0,"""",IF(Q299="""",0,IF(REGEXMATCH(Q299,""^Sell_""),-ROUNDDOWN(ROUNDUP(INDEX(Upgrades!$C$3:$C$13,MATCH(SUBSTITUTE(Q299,""Sell_"",""""),Upgrades!$B$3:$B$13,0))*1.15^(COUNTIF(Q$4:Q298,SUBSTITUTE(Q299,""Sell_"",""""))-COUNTIF(Q$4:Q298,"&amp;"""Sell_""&amp;SUBSTITUTE(Q299,""Sell_"",""""))))/2),ROUNDUP(INDEX(Upgrades!$C$3:$C$13,MATCH(Q299,Upgrades!$B$3:$B$13,0))*1.15^(COUNTIF(Q$4:Q298,Q299)-COUNTIF(Q$4:Q298,""Sell_""&amp;Q299))))))"),-40685.0)</f>
        <v>-40685</v>
      </c>
      <c r="V299" s="10">
        <f t="shared" si="11"/>
        <v>-7885487</v>
      </c>
      <c r="W299" s="68">
        <f t="shared" si="12"/>
        <v>4647.88374</v>
      </c>
      <c r="X299" s="59" t="str">
        <f t="shared" si="13"/>
        <v>1h 17m 27s</v>
      </c>
      <c r="Y299" s="69">
        <f t="shared" si="14"/>
        <v>251843441</v>
      </c>
      <c r="Z299" s="11"/>
    </row>
    <row r="300">
      <c r="A300" s="8"/>
      <c r="B300" s="56" t="str">
        <f t="shared" si="2"/>
        <v/>
      </c>
      <c r="C300" s="57"/>
      <c r="D300" s="10" t="str">
        <f>IFERROR(__xludf.DUMMYFUNCTION("IF(COUNTA(C300:C1350)=0,"""",IF(ISBLANK(C300),FALSE,IF(NOT(COUNTIF($AA$24:$AA$34,SUBSTITUTE(C300,""Sell_"",""""))),1,IF(REGEXMATCH(C300,""Sell_""),IF(COUNTIF(C$4:C300,SUBSTITUTE(C300,""Sell_"",""""))-COUNTIF(C$4:C299,C300)&lt;1,1),FALSE))))"),"")</f>
        <v/>
      </c>
      <c r="E300" s="59" t="str">
        <f t="array" ref="E300">IF(COUNTA(C300:C1350)=0,"",SUM((COUNTIF(C$4:C300,Upgrades!$B$3:$B$13)-COUNTIF(C$4:C300,"Sell_"&amp;Upgrades!$B$3:$B$13))*Upgrades!$D$3:$D$13))</f>
        <v/>
      </c>
      <c r="F300" s="66" t="str">
        <f>IFERROR(__xludf.DUMMYFUNCTION("IF(COUNTA(C300:C1350)=0,"""",IF(REGEXMATCH(INDEX(FILTER(C$4:C300,C$4:C300&lt;&gt;""""),ROWS(FILTER(C$4:C300,C$4:C300&lt;&gt;""""))),""^Sell_""),INDEX(FILTER(F$4:F299,C$4:C299&lt;&gt;""""),ROWS(FILTER(C$4:C299,C$4:C299&lt;&gt;""""))),$AC$5+E300))"),"")</f>
        <v/>
      </c>
      <c r="G300" s="10" t="str">
        <f>IFERROR(__xludf.DUMMYFUNCTION("IF(COUNTA(C300:C1350)=0,"""",IF(C300="""",0,IF(REGEXMATCH(C300,""^Sell_""),-ROUNDDOWN(ROUNDUP(INDEX(Upgrades!$C$3:$C$13,MATCH(SUBSTITUTE(C300,""Sell_"",""""),Upgrades!$B$3:$B$13,0))*1.15^(COUNTIF(C$4:C299,SUBSTITUTE(C300,""Sell_"",""""))-COUNTIF(C$4:C299,"&amp;"""Sell_""&amp;SUBSTITUTE(C300,""Sell_"",""""))))/2),ROUNDUP(INDEX(Upgrades!$C$3:$C$13,MATCH(C300,Upgrades!$B$3:$B$13,0))*1.15^(COUNTIF(C$4:C299,C300)-COUNTIF(C$4:C299,""Sell_""&amp;C300))))))"),"")</f>
        <v/>
      </c>
      <c r="H300" s="10" t="str">
        <f t="shared" si="3"/>
        <v/>
      </c>
      <c r="I300" s="68" t="str">
        <f t="shared" si="4"/>
        <v/>
      </c>
      <c r="J300" s="59" t="str">
        <f t="shared" si="5"/>
        <v/>
      </c>
      <c r="K300" s="69" t="str">
        <f t="shared" si="6"/>
        <v/>
      </c>
      <c r="L300" s="60">
        <f t="shared" si="7"/>
        <v>-265.96512</v>
      </c>
      <c r="M300" s="61">
        <f>IFERROR(__xludf.DUMMYFUNCTION("IFS(AND(COUNTA(C300:C1350)=0,COUNTA(Q300:Q1350)=0),"""",OR(AND(K300&gt;=1000000000,OR(Y300&gt;=1000000000,COUNTA(Q300:Q1350)=0)),OR(Y300&gt;=1000000000,AND(COUNTA(C300:C1350)=0,P$3=TRUE))),
ROUNDDOWN((AB$1-AC$1)*MAX(INDEX(T$4:T1350,MATCH(LARGE(FILTER(Y$4:Y1350,Y$4"&amp;":Y1350&lt;1000000000),1),Y$4:Y1350)),INDEX(F$4:F1350,MATCH(LARGE(FILTER(K$4:K1350,K$4:K1350&lt;1000000000),1),K$4:K1350)))),AND(K300&lt;1000000000,COUNTA(C300:C1350)&gt;0,P$3=FALSE),
ROUNDDOWN(INDEX(Y$4:Y1350,MATCH(LARGE(FILTER(W$4:W1350,W$4:W1350&lt;=I300),1),W$4:W1350"&amp;"))+(I300-LARGE(FILTER(W$4:W1350,W$4:W1350&lt;=I300),1))*INDEX(T$4:T1350,MATCH(LARGE(FILTER(W$4:W1350,W$4:W1350&lt;=I300),1),W$4:W1350))-K300),1,
ROUNDDOWN(Y300-INDEX(K$4:K1350,MATCH(LARGE(FILTER(I$4:I1350,I$4:I1350&lt;=W300),1),I$4:I1350))-(W300-LARGE(FILTER(I$4:I"&amp;"1350,I$4:I1350&lt;=W300),1))*INDEX(F$4:F1350,MATCH(LARGE(FILTER(I$4:I1350,I$4:I1350&lt;=W300),1),I$4:I1350))))"),4.3092685E7)</f>
        <v>43092685</v>
      </c>
      <c r="N300" s="60">
        <f t="shared" si="8"/>
        <v>-265.96512</v>
      </c>
      <c r="O300" s="61" t="str">
        <f t="shared" si="9"/>
        <v>43,1M</v>
      </c>
      <c r="P300" s="56">
        <f t="shared" si="10"/>
        <v>40</v>
      </c>
      <c r="Q300" s="105" t="s">
        <v>59</v>
      </c>
      <c r="R300" s="10" t="b">
        <f>IFERROR(__xludf.DUMMYFUNCTION("IF(COUNTA(Q300:Q1350)=0,"""",IF(ISBLANK(Q300),FALSE,IF(NOT(COUNTIF($AA$24:$AA$34,SUBSTITUTE(Q300,""Sell_"",""""))),1,IF(REGEXMATCH(Q300,""Sell_""),IF(COUNTIF(Q$4:Q300,SUBSTITUTE(Q300,""Sell_"",""""))-COUNTIF(Q$4:Q299,Q300)&lt;1,1),FALSE))))"),FALSE)</f>
        <v>0</v>
      </c>
      <c r="S300" s="59">
        <f t="array" ref="S300">IF(COUNTA(Q300:Q1350)=0,"",SUM((COUNTIF(Q$4:Q300,Upgrades!$B$3:$B$13)-COUNTIF(Q$4:Q300,"Sell_"&amp;Upgrades!$B$3:$B$13))*Upgrades!$D$3:$D$13))</f>
        <v>205120</v>
      </c>
      <c r="T300" s="66">
        <f>IFERROR(__xludf.DUMMYFUNCTION("IF(COUNTA(Q300:Q1350)=0,"""",IF(REGEXMATCH(INDEX(FILTER(Q$4:Q300,Q$4:Q300&lt;&gt;""""),ROWS(FILTER(Q$4:Q300,Q$4:Q300&lt;&gt;""""))),""^Sell_""),INDEX(FILTER(T$4:T299,Q$4:Q299&lt;&gt;""""),ROWS(FILTER(Q$4:Q299,Q$4:Q299&lt;&gt;""""))),$AD$5+S300))"),212106.0)</f>
        <v>212106</v>
      </c>
      <c r="U300" s="10">
        <f>IFERROR(__xludf.DUMMYFUNCTION("IF(COUNTA(Q300:Q1350)=0,"""",IF(Q300="""",0,IF(REGEXMATCH(Q300,""^Sell_""),-ROUNDDOWN(ROUNDUP(INDEX(Upgrades!$C$3:$C$13,MATCH(SUBSTITUTE(Q300,""Sell_"",""""),Upgrades!$B$3:$B$13,0))*1.15^(COUNTIF(Q$4:Q299,SUBSTITUTE(Q300,""Sell_"",""""))-COUNTIF(Q$4:Q299,"&amp;"""Sell_""&amp;SUBSTITUTE(Q300,""Sell_"",""""))))/2),ROUNDUP(INDEX(Upgrades!$C$3:$C$13,MATCH(Q300,Upgrades!$B$3:$B$13,0))*1.15^(COUNTIF(Q$4:Q299,Q300)-COUNTIF(Q$4:Q299,""Sell_""&amp;Q300))))))"),-35379.0)</f>
        <v>-35379</v>
      </c>
      <c r="V300" s="10">
        <f t="shared" si="11"/>
        <v>-7920866</v>
      </c>
      <c r="W300" s="68">
        <f t="shared" si="12"/>
        <v>4647.88374</v>
      </c>
      <c r="X300" s="59" t="str">
        <f t="shared" si="13"/>
        <v>1h 17m 27s</v>
      </c>
      <c r="Y300" s="69">
        <f t="shared" si="14"/>
        <v>251843441</v>
      </c>
      <c r="Z300" s="11"/>
    </row>
    <row r="301">
      <c r="A301" s="8"/>
      <c r="B301" s="56" t="str">
        <f t="shared" si="2"/>
        <v/>
      </c>
      <c r="C301" s="57"/>
      <c r="D301" s="10" t="str">
        <f>IFERROR(__xludf.DUMMYFUNCTION("IF(COUNTA(C301:C1350)=0,"""",IF(ISBLANK(C301),FALSE,IF(NOT(COUNTIF($AA$24:$AA$34,SUBSTITUTE(C301,""Sell_"",""""))),1,IF(REGEXMATCH(C301,""Sell_""),IF(COUNTIF(C$4:C301,SUBSTITUTE(C301,""Sell_"",""""))-COUNTIF(C$4:C300,C301)&lt;1,1),FALSE))))"),"")</f>
        <v/>
      </c>
      <c r="E301" s="59" t="str">
        <f t="array" ref="E301">IF(COUNTA(C301:C1350)=0,"",SUM((COUNTIF(C$4:C301,Upgrades!$B$3:$B$13)-COUNTIF(C$4:C301,"Sell_"&amp;Upgrades!$B$3:$B$13))*Upgrades!$D$3:$D$13))</f>
        <v/>
      </c>
      <c r="F301" s="66" t="str">
        <f>IFERROR(__xludf.DUMMYFUNCTION("IF(COUNTA(C301:C1350)=0,"""",IF(REGEXMATCH(INDEX(FILTER(C$4:C301,C$4:C301&lt;&gt;""""),ROWS(FILTER(C$4:C301,C$4:C301&lt;&gt;""""))),""^Sell_""),INDEX(FILTER(F$4:F300,C$4:C300&lt;&gt;""""),ROWS(FILTER(C$4:C300,C$4:C300&lt;&gt;""""))),$AC$5+E301))"),"")</f>
        <v/>
      </c>
      <c r="G301" s="10" t="str">
        <f>IFERROR(__xludf.DUMMYFUNCTION("IF(COUNTA(C301:C1350)=0,"""",IF(C301="""",0,IF(REGEXMATCH(C301,""^Sell_""),-ROUNDDOWN(ROUNDUP(INDEX(Upgrades!$C$3:$C$13,MATCH(SUBSTITUTE(C301,""Sell_"",""""),Upgrades!$B$3:$B$13,0))*1.15^(COUNTIF(C$4:C300,SUBSTITUTE(C301,""Sell_"",""""))-COUNTIF(C$4:C300,"&amp;"""Sell_""&amp;SUBSTITUTE(C301,""Sell_"",""""))))/2),ROUNDUP(INDEX(Upgrades!$C$3:$C$13,MATCH(C301,Upgrades!$B$3:$B$13,0))*1.15^(COUNTIF(C$4:C300,C301)-COUNTIF(C$4:C300,""Sell_""&amp;C301))))))"),"")</f>
        <v/>
      </c>
      <c r="H301" s="10" t="str">
        <f t="shared" si="3"/>
        <v/>
      </c>
      <c r="I301" s="68" t="str">
        <f t="shared" si="4"/>
        <v/>
      </c>
      <c r="J301" s="59" t="str">
        <f t="shared" si="5"/>
        <v/>
      </c>
      <c r="K301" s="69" t="str">
        <f t="shared" si="6"/>
        <v/>
      </c>
      <c r="L301" s="60">
        <f t="shared" si="7"/>
        <v>-265.96512</v>
      </c>
      <c r="M301" s="61">
        <f>IFERROR(__xludf.DUMMYFUNCTION("IFS(AND(COUNTA(C301:C1350)=0,COUNTA(Q301:Q1350)=0),"""",OR(AND(K301&gt;=1000000000,OR(Y301&gt;=1000000000,COUNTA(Q301:Q1350)=0)),OR(Y301&gt;=1000000000,AND(COUNTA(C301:C1350)=0,P$3=TRUE))),
ROUNDDOWN((AB$1-AC$1)*MAX(INDEX(T$4:T1350,MATCH(LARGE(FILTER(Y$4:Y1350,Y$4"&amp;":Y1350&lt;1000000000),1),Y$4:Y1350)),INDEX(F$4:F1350,MATCH(LARGE(FILTER(K$4:K1350,K$4:K1350&lt;1000000000),1),K$4:K1350)))),AND(K301&lt;1000000000,COUNTA(C301:C1350)&gt;0,P$3=FALSE),
ROUNDDOWN(INDEX(Y$4:Y1350,MATCH(LARGE(FILTER(W$4:W1350,W$4:W1350&lt;=I301),1),W$4:W1350"&amp;"))+(I301-LARGE(FILTER(W$4:W1350,W$4:W1350&lt;=I301),1))*INDEX(T$4:T1350,MATCH(LARGE(FILTER(W$4:W1350,W$4:W1350&lt;=I301),1),W$4:W1350))-K301),1,
ROUNDDOWN(Y301-INDEX(K$4:K1350,MATCH(LARGE(FILTER(I$4:I1350,I$4:I1350&lt;=W301),1),I$4:I1350))-(W301-LARGE(FILTER(I$4:I"&amp;"1350,I$4:I1350&lt;=W301),1))*INDEX(F$4:F1350,MATCH(LARGE(FILTER(I$4:I1350,I$4:I1350&lt;=W301),1),I$4:I1350))))"),4.3092685E7)</f>
        <v>43092685</v>
      </c>
      <c r="N301" s="60">
        <f t="shared" si="8"/>
        <v>-265.96512</v>
      </c>
      <c r="O301" s="61" t="str">
        <f t="shared" si="9"/>
        <v>43,1M</v>
      </c>
      <c r="P301" s="56">
        <f t="shared" si="10"/>
        <v>41</v>
      </c>
      <c r="Q301" s="105" t="s">
        <v>59</v>
      </c>
      <c r="R301" s="10" t="b">
        <f>IFERROR(__xludf.DUMMYFUNCTION("IF(COUNTA(Q301:Q1350)=0,"""",IF(ISBLANK(Q301),FALSE,IF(NOT(COUNTIF($AA$24:$AA$34,SUBSTITUTE(Q301,""Sell_"",""""))),1,IF(REGEXMATCH(Q301,""Sell_""),IF(COUNTIF(Q$4:Q301,SUBSTITUTE(Q301,""Sell_"",""""))-COUNTIF(Q$4:Q300,Q301)&lt;1,1),FALSE))))"),FALSE)</f>
        <v>0</v>
      </c>
      <c r="S301" s="59">
        <f t="array" ref="S301">IF(COUNTA(Q301:Q1350)=0,"",SUM((COUNTIF(Q$4:Q301,Upgrades!$B$3:$B$13)-COUNTIF(Q$4:Q301,"Sell_"&amp;Upgrades!$B$3:$B$13))*Upgrades!$D$3:$D$13))</f>
        <v>205080</v>
      </c>
      <c r="T301" s="66">
        <f>IFERROR(__xludf.DUMMYFUNCTION("IF(COUNTA(Q301:Q1350)=0,"""",IF(REGEXMATCH(INDEX(FILTER(Q$4:Q301,Q$4:Q301&lt;&gt;""""),ROWS(FILTER(Q$4:Q301,Q$4:Q301&lt;&gt;""""))),""^Sell_""),INDEX(FILTER(T$4:T300,Q$4:Q300&lt;&gt;""""),ROWS(FILTER(Q$4:Q300,Q$4:Q300&lt;&gt;""""))),$AD$5+S301))"),212106.0)</f>
        <v>212106</v>
      </c>
      <c r="U301" s="10">
        <f>IFERROR(__xludf.DUMMYFUNCTION("IF(COUNTA(Q301:Q1350)=0,"""",IF(Q301="""",0,IF(REGEXMATCH(Q301,""^Sell_""),-ROUNDDOWN(ROUNDUP(INDEX(Upgrades!$C$3:$C$13,MATCH(SUBSTITUTE(Q301,""Sell_"",""""),Upgrades!$B$3:$B$13,0))*1.15^(COUNTIF(Q$4:Q300,SUBSTITUTE(Q301,""Sell_"",""""))-COUNTIF(Q$4:Q300,"&amp;"""Sell_""&amp;SUBSTITUTE(Q301,""Sell_"",""""))))/2),ROUNDUP(INDEX(Upgrades!$C$3:$C$13,MATCH(Q301,Upgrades!$B$3:$B$13,0))*1.15^(COUNTIF(Q$4:Q300,Q301)-COUNTIF(Q$4:Q300,""Sell_""&amp;Q301))))))"),-30764.0)</f>
        <v>-30764</v>
      </c>
      <c r="V301" s="10">
        <f t="shared" si="11"/>
        <v>-7951630</v>
      </c>
      <c r="W301" s="68">
        <f t="shared" si="12"/>
        <v>4647.88374</v>
      </c>
      <c r="X301" s="59" t="str">
        <f t="shared" si="13"/>
        <v>1h 17m 27s</v>
      </c>
      <c r="Y301" s="69">
        <f t="shared" si="14"/>
        <v>251843441</v>
      </c>
      <c r="Z301" s="11"/>
    </row>
    <row r="302">
      <c r="A302" s="8"/>
      <c r="B302" s="56" t="str">
        <f t="shared" si="2"/>
        <v/>
      </c>
      <c r="C302" s="57"/>
      <c r="D302" s="10" t="str">
        <f>IFERROR(__xludf.DUMMYFUNCTION("IF(COUNTA(C302:C1350)=0,"""",IF(ISBLANK(C302),FALSE,IF(NOT(COUNTIF($AA$24:$AA$34,SUBSTITUTE(C302,""Sell_"",""""))),1,IF(REGEXMATCH(C302,""Sell_""),IF(COUNTIF(C$4:C302,SUBSTITUTE(C302,""Sell_"",""""))-COUNTIF(C$4:C301,C302)&lt;1,1),FALSE))))"),"")</f>
        <v/>
      </c>
      <c r="E302" s="59" t="str">
        <f t="array" ref="E302">IF(COUNTA(C302:C1350)=0,"",SUM((COUNTIF(C$4:C302,Upgrades!$B$3:$B$13)-COUNTIF(C$4:C302,"Sell_"&amp;Upgrades!$B$3:$B$13))*Upgrades!$D$3:$D$13))</f>
        <v/>
      </c>
      <c r="F302" s="66" t="str">
        <f>IFERROR(__xludf.DUMMYFUNCTION("IF(COUNTA(C302:C1350)=0,"""",IF(REGEXMATCH(INDEX(FILTER(C$4:C302,C$4:C302&lt;&gt;""""),ROWS(FILTER(C$4:C302,C$4:C302&lt;&gt;""""))),""^Sell_""),INDEX(FILTER(F$4:F301,C$4:C301&lt;&gt;""""),ROWS(FILTER(C$4:C301,C$4:C301&lt;&gt;""""))),$AC$5+E302))"),"")</f>
        <v/>
      </c>
      <c r="G302" s="10" t="str">
        <f>IFERROR(__xludf.DUMMYFUNCTION("IF(COUNTA(C302:C1350)=0,"""",IF(C302="""",0,IF(REGEXMATCH(C302,""^Sell_""),-ROUNDDOWN(ROUNDUP(INDEX(Upgrades!$C$3:$C$13,MATCH(SUBSTITUTE(C302,""Sell_"",""""),Upgrades!$B$3:$B$13,0))*1.15^(COUNTIF(C$4:C301,SUBSTITUTE(C302,""Sell_"",""""))-COUNTIF(C$4:C301,"&amp;"""Sell_""&amp;SUBSTITUTE(C302,""Sell_"",""""))))/2),ROUNDUP(INDEX(Upgrades!$C$3:$C$13,MATCH(C302,Upgrades!$B$3:$B$13,0))*1.15^(COUNTIF(C$4:C301,C302)-COUNTIF(C$4:C301,""Sell_""&amp;C302))))))"),"")</f>
        <v/>
      </c>
      <c r="H302" s="10" t="str">
        <f t="shared" si="3"/>
        <v/>
      </c>
      <c r="I302" s="68" t="str">
        <f t="shared" si="4"/>
        <v/>
      </c>
      <c r="J302" s="59" t="str">
        <f t="shared" si="5"/>
        <v/>
      </c>
      <c r="K302" s="69" t="str">
        <f t="shared" si="6"/>
        <v/>
      </c>
      <c r="L302" s="60">
        <f t="shared" si="7"/>
        <v>-265.96512</v>
      </c>
      <c r="M302" s="61">
        <f>IFERROR(__xludf.DUMMYFUNCTION("IFS(AND(COUNTA(C302:C1350)=0,COUNTA(Q302:Q1350)=0),"""",OR(AND(K302&gt;=1000000000,OR(Y302&gt;=1000000000,COUNTA(Q302:Q1350)=0)),OR(Y302&gt;=1000000000,AND(COUNTA(C302:C1350)=0,P$3=TRUE))),
ROUNDDOWN((AB$1-AC$1)*MAX(INDEX(T$4:T1350,MATCH(LARGE(FILTER(Y$4:Y1350,Y$4"&amp;":Y1350&lt;1000000000),1),Y$4:Y1350)),INDEX(F$4:F1350,MATCH(LARGE(FILTER(K$4:K1350,K$4:K1350&lt;1000000000),1),K$4:K1350)))),AND(K302&lt;1000000000,COUNTA(C302:C1350)&gt;0,P$3=FALSE),
ROUNDDOWN(INDEX(Y$4:Y1350,MATCH(LARGE(FILTER(W$4:W1350,W$4:W1350&lt;=I302),1),W$4:W1350"&amp;"))+(I302-LARGE(FILTER(W$4:W1350,W$4:W1350&lt;=I302),1))*INDEX(T$4:T1350,MATCH(LARGE(FILTER(W$4:W1350,W$4:W1350&lt;=I302),1),W$4:W1350))-K302),1,
ROUNDDOWN(Y302-INDEX(K$4:K1350,MATCH(LARGE(FILTER(I$4:I1350,I$4:I1350&lt;=W302),1),I$4:I1350))-(W302-LARGE(FILTER(I$4:I"&amp;"1350,I$4:I1350&lt;=W302),1))*INDEX(F$4:F1350,MATCH(LARGE(FILTER(I$4:I1350,I$4:I1350&lt;=W302),1),I$4:I1350))))"),4.3092685E7)</f>
        <v>43092685</v>
      </c>
      <c r="N302" s="60">
        <f t="shared" si="8"/>
        <v>-265.96512</v>
      </c>
      <c r="O302" s="61" t="str">
        <f t="shared" si="9"/>
        <v>43,1M</v>
      </c>
      <c r="P302" s="56">
        <f t="shared" si="10"/>
        <v>42</v>
      </c>
      <c r="Q302" s="105" t="s">
        <v>59</v>
      </c>
      <c r="R302" s="10" t="b">
        <f>IFERROR(__xludf.DUMMYFUNCTION("IF(COUNTA(Q302:Q1350)=0,"""",IF(ISBLANK(Q302),FALSE,IF(NOT(COUNTIF($AA$24:$AA$34,SUBSTITUTE(Q302,""Sell_"",""""))),1,IF(REGEXMATCH(Q302,""Sell_""),IF(COUNTIF(Q$4:Q302,SUBSTITUTE(Q302,""Sell_"",""""))-COUNTIF(Q$4:Q301,Q302)&lt;1,1),FALSE))))"),FALSE)</f>
        <v>0</v>
      </c>
      <c r="S302" s="59">
        <f t="array" ref="S302">IF(COUNTA(Q302:Q1350)=0,"",SUM((COUNTIF(Q$4:Q302,Upgrades!$B$3:$B$13)-COUNTIF(Q$4:Q302,"Sell_"&amp;Upgrades!$B$3:$B$13))*Upgrades!$D$3:$D$13))</f>
        <v>205040</v>
      </c>
      <c r="T302" s="66">
        <f>IFERROR(__xludf.DUMMYFUNCTION("IF(COUNTA(Q302:Q1350)=0,"""",IF(REGEXMATCH(INDEX(FILTER(Q$4:Q302,Q$4:Q302&lt;&gt;""""),ROWS(FILTER(Q$4:Q302,Q$4:Q302&lt;&gt;""""))),""^Sell_""),INDEX(FILTER(T$4:T301,Q$4:Q301&lt;&gt;""""),ROWS(FILTER(Q$4:Q301,Q$4:Q301&lt;&gt;""""))),$AD$5+S302))"),212106.0)</f>
        <v>212106</v>
      </c>
      <c r="U302" s="10">
        <f>IFERROR(__xludf.DUMMYFUNCTION("IF(COUNTA(Q302:Q1350)=0,"""",IF(Q302="""",0,IF(REGEXMATCH(Q302,""^Sell_""),-ROUNDDOWN(ROUNDUP(INDEX(Upgrades!$C$3:$C$13,MATCH(SUBSTITUTE(Q302,""Sell_"",""""),Upgrades!$B$3:$B$13,0))*1.15^(COUNTIF(Q$4:Q301,SUBSTITUTE(Q302,""Sell_"",""""))-COUNTIF(Q$4:Q301,"&amp;"""Sell_""&amp;SUBSTITUTE(Q302,""Sell_"",""""))))/2),ROUNDUP(INDEX(Upgrades!$C$3:$C$13,MATCH(Q302,Upgrades!$B$3:$B$13,0))*1.15^(COUNTIF(Q$4:Q301,Q302)-COUNTIF(Q$4:Q301,""Sell_""&amp;Q302))))))"),-26751.0)</f>
        <v>-26751</v>
      </c>
      <c r="V302" s="10">
        <f t="shared" si="11"/>
        <v>-7978381</v>
      </c>
      <c r="W302" s="68">
        <f t="shared" si="12"/>
        <v>4647.88374</v>
      </c>
      <c r="X302" s="59" t="str">
        <f t="shared" si="13"/>
        <v>1h 17m 27s</v>
      </c>
      <c r="Y302" s="69">
        <f t="shared" si="14"/>
        <v>251843441</v>
      </c>
      <c r="Z302" s="11"/>
    </row>
    <row r="303">
      <c r="A303" s="8"/>
      <c r="B303" s="56" t="str">
        <f t="shared" si="2"/>
        <v/>
      </c>
      <c r="C303" s="57"/>
      <c r="D303" s="10" t="str">
        <f>IFERROR(__xludf.DUMMYFUNCTION("IF(COUNTA(C303:C1350)=0,"""",IF(ISBLANK(C303),FALSE,IF(NOT(COUNTIF($AA$24:$AA$34,SUBSTITUTE(C303,""Sell_"",""""))),1,IF(REGEXMATCH(C303,""Sell_""),IF(COUNTIF(C$4:C303,SUBSTITUTE(C303,""Sell_"",""""))-COUNTIF(C$4:C302,C303)&lt;1,1),FALSE))))"),"")</f>
        <v/>
      </c>
      <c r="E303" s="59" t="str">
        <f t="array" ref="E303">IF(COUNTA(C303:C1350)=0,"",SUM((COUNTIF(C$4:C303,Upgrades!$B$3:$B$13)-COUNTIF(C$4:C303,"Sell_"&amp;Upgrades!$B$3:$B$13))*Upgrades!$D$3:$D$13))</f>
        <v/>
      </c>
      <c r="F303" s="66" t="str">
        <f>IFERROR(__xludf.DUMMYFUNCTION("IF(COUNTA(C303:C1350)=0,"""",IF(REGEXMATCH(INDEX(FILTER(C$4:C303,C$4:C303&lt;&gt;""""),ROWS(FILTER(C$4:C303,C$4:C303&lt;&gt;""""))),""^Sell_""),INDEX(FILTER(F$4:F302,C$4:C302&lt;&gt;""""),ROWS(FILTER(C$4:C302,C$4:C302&lt;&gt;""""))),$AC$5+E303))"),"")</f>
        <v/>
      </c>
      <c r="G303" s="10" t="str">
        <f>IFERROR(__xludf.DUMMYFUNCTION("IF(COUNTA(C303:C1350)=0,"""",IF(C303="""",0,IF(REGEXMATCH(C303,""^Sell_""),-ROUNDDOWN(ROUNDUP(INDEX(Upgrades!$C$3:$C$13,MATCH(SUBSTITUTE(C303,""Sell_"",""""),Upgrades!$B$3:$B$13,0))*1.15^(COUNTIF(C$4:C302,SUBSTITUTE(C303,""Sell_"",""""))-COUNTIF(C$4:C302,"&amp;"""Sell_""&amp;SUBSTITUTE(C303,""Sell_"",""""))))/2),ROUNDUP(INDEX(Upgrades!$C$3:$C$13,MATCH(C303,Upgrades!$B$3:$B$13,0))*1.15^(COUNTIF(C$4:C302,C303)-COUNTIF(C$4:C302,""Sell_""&amp;C303))))))"),"")</f>
        <v/>
      </c>
      <c r="H303" s="10" t="str">
        <f t="shared" si="3"/>
        <v/>
      </c>
      <c r="I303" s="68" t="str">
        <f t="shared" si="4"/>
        <v/>
      </c>
      <c r="J303" s="59" t="str">
        <f t="shared" si="5"/>
        <v/>
      </c>
      <c r="K303" s="69" t="str">
        <f t="shared" si="6"/>
        <v/>
      </c>
      <c r="L303" s="60">
        <f t="shared" si="7"/>
        <v>-265.96512</v>
      </c>
      <c r="M303" s="61">
        <f>IFERROR(__xludf.DUMMYFUNCTION("IFS(AND(COUNTA(C303:C1350)=0,COUNTA(Q303:Q1350)=0),"""",OR(AND(K303&gt;=1000000000,OR(Y303&gt;=1000000000,COUNTA(Q303:Q1350)=0)),OR(Y303&gt;=1000000000,AND(COUNTA(C303:C1350)=0,P$3=TRUE))),
ROUNDDOWN((AB$1-AC$1)*MAX(INDEX(T$4:T1350,MATCH(LARGE(FILTER(Y$4:Y1350,Y$4"&amp;":Y1350&lt;1000000000),1),Y$4:Y1350)),INDEX(F$4:F1350,MATCH(LARGE(FILTER(K$4:K1350,K$4:K1350&lt;1000000000),1),K$4:K1350)))),AND(K303&lt;1000000000,COUNTA(C303:C1350)&gt;0,P$3=FALSE),
ROUNDDOWN(INDEX(Y$4:Y1350,MATCH(LARGE(FILTER(W$4:W1350,W$4:W1350&lt;=I303),1),W$4:W1350"&amp;"))+(I303-LARGE(FILTER(W$4:W1350,W$4:W1350&lt;=I303),1))*INDEX(T$4:T1350,MATCH(LARGE(FILTER(W$4:W1350,W$4:W1350&lt;=I303),1),W$4:W1350))-K303),1,
ROUNDDOWN(Y303-INDEX(K$4:K1350,MATCH(LARGE(FILTER(I$4:I1350,I$4:I1350&lt;=W303),1),I$4:I1350))-(W303-LARGE(FILTER(I$4:I"&amp;"1350,I$4:I1350&lt;=W303),1))*INDEX(F$4:F1350,MATCH(LARGE(FILTER(I$4:I1350,I$4:I1350&lt;=W303),1),I$4:I1350))))"),4.3092685E7)</f>
        <v>43092685</v>
      </c>
      <c r="N303" s="60">
        <f t="shared" si="8"/>
        <v>-265.96512</v>
      </c>
      <c r="O303" s="61" t="str">
        <f t="shared" si="9"/>
        <v>43,1M</v>
      </c>
      <c r="P303" s="56">
        <f t="shared" si="10"/>
        <v>43</v>
      </c>
      <c r="Q303" s="105" t="s">
        <v>59</v>
      </c>
      <c r="R303" s="10" t="b">
        <f>IFERROR(__xludf.DUMMYFUNCTION("IF(COUNTA(Q303:Q1350)=0,"""",IF(ISBLANK(Q303),FALSE,IF(NOT(COUNTIF($AA$24:$AA$34,SUBSTITUTE(Q303,""Sell_"",""""))),1,IF(REGEXMATCH(Q303,""Sell_""),IF(COUNTIF(Q$4:Q303,SUBSTITUTE(Q303,""Sell_"",""""))-COUNTIF(Q$4:Q302,Q303)&lt;1,1),FALSE))))"),FALSE)</f>
        <v>0</v>
      </c>
      <c r="S303" s="59">
        <f t="array" ref="S303">IF(COUNTA(Q303:Q1350)=0,"",SUM((COUNTIF(Q$4:Q303,Upgrades!$B$3:$B$13)-COUNTIF(Q$4:Q303,"Sell_"&amp;Upgrades!$B$3:$B$13))*Upgrades!$D$3:$D$13))</f>
        <v>205000</v>
      </c>
      <c r="T303" s="66">
        <f>IFERROR(__xludf.DUMMYFUNCTION("IF(COUNTA(Q303:Q1350)=0,"""",IF(REGEXMATCH(INDEX(FILTER(Q$4:Q303,Q$4:Q303&lt;&gt;""""),ROWS(FILTER(Q$4:Q303,Q$4:Q303&lt;&gt;""""))),""^Sell_""),INDEX(FILTER(T$4:T302,Q$4:Q302&lt;&gt;""""),ROWS(FILTER(Q$4:Q302,Q$4:Q302&lt;&gt;""""))),$AD$5+S303))"),212106.0)</f>
        <v>212106</v>
      </c>
      <c r="U303" s="10">
        <f>IFERROR(__xludf.DUMMYFUNCTION("IF(COUNTA(Q303:Q1350)=0,"""",IF(Q303="""",0,IF(REGEXMATCH(Q303,""^Sell_""),-ROUNDDOWN(ROUNDUP(INDEX(Upgrades!$C$3:$C$13,MATCH(SUBSTITUTE(Q303,""Sell_"",""""),Upgrades!$B$3:$B$13,0))*1.15^(COUNTIF(Q$4:Q302,SUBSTITUTE(Q303,""Sell_"",""""))-COUNTIF(Q$4:Q302,"&amp;"""Sell_""&amp;SUBSTITUTE(Q303,""Sell_"",""""))))/2),ROUNDUP(INDEX(Upgrades!$C$3:$C$13,MATCH(Q303,Upgrades!$B$3:$B$13,0))*1.15^(COUNTIF(Q$4:Q302,Q303)-COUNTIF(Q$4:Q302,""Sell_""&amp;Q303))))))"),-23262.0)</f>
        <v>-23262</v>
      </c>
      <c r="V303" s="10">
        <f t="shared" si="11"/>
        <v>-8001643</v>
      </c>
      <c r="W303" s="68">
        <f t="shared" si="12"/>
        <v>4647.88374</v>
      </c>
      <c r="X303" s="59" t="str">
        <f t="shared" si="13"/>
        <v>1h 17m 27s</v>
      </c>
      <c r="Y303" s="69">
        <f t="shared" si="14"/>
        <v>251843441</v>
      </c>
      <c r="Z303" s="11"/>
    </row>
    <row r="304">
      <c r="A304" s="8"/>
      <c r="B304" s="56" t="str">
        <f t="shared" si="2"/>
        <v/>
      </c>
      <c r="C304" s="57"/>
      <c r="D304" s="10" t="str">
        <f>IFERROR(__xludf.DUMMYFUNCTION("IF(COUNTA(C304:C1350)=0,"""",IF(ISBLANK(C304),FALSE,IF(NOT(COUNTIF($AA$24:$AA$34,SUBSTITUTE(C304,""Sell_"",""""))),1,IF(REGEXMATCH(C304,""Sell_""),IF(COUNTIF(C$4:C304,SUBSTITUTE(C304,""Sell_"",""""))-COUNTIF(C$4:C303,C304)&lt;1,1),FALSE))))"),"")</f>
        <v/>
      </c>
      <c r="E304" s="59" t="str">
        <f t="array" ref="E304">IF(COUNTA(C304:C1350)=0,"",SUM((COUNTIF(C$4:C304,Upgrades!$B$3:$B$13)-COUNTIF(C$4:C304,"Sell_"&amp;Upgrades!$B$3:$B$13))*Upgrades!$D$3:$D$13))</f>
        <v/>
      </c>
      <c r="F304" s="66" t="str">
        <f>IFERROR(__xludf.DUMMYFUNCTION("IF(COUNTA(C304:C1350)=0,"""",IF(REGEXMATCH(INDEX(FILTER(C$4:C304,C$4:C304&lt;&gt;""""),ROWS(FILTER(C$4:C304,C$4:C304&lt;&gt;""""))),""^Sell_""),INDEX(FILTER(F$4:F303,C$4:C303&lt;&gt;""""),ROWS(FILTER(C$4:C303,C$4:C303&lt;&gt;""""))),$AC$5+E304))"),"")</f>
        <v/>
      </c>
      <c r="G304" s="10" t="str">
        <f>IFERROR(__xludf.DUMMYFUNCTION("IF(COUNTA(C304:C1350)=0,"""",IF(C304="""",0,IF(REGEXMATCH(C304,""^Sell_""),-ROUNDDOWN(ROUNDUP(INDEX(Upgrades!$C$3:$C$13,MATCH(SUBSTITUTE(C304,""Sell_"",""""),Upgrades!$B$3:$B$13,0))*1.15^(COUNTIF(C$4:C303,SUBSTITUTE(C304,""Sell_"",""""))-COUNTIF(C$4:C303,"&amp;"""Sell_""&amp;SUBSTITUTE(C304,""Sell_"",""""))))/2),ROUNDUP(INDEX(Upgrades!$C$3:$C$13,MATCH(C304,Upgrades!$B$3:$B$13,0))*1.15^(COUNTIF(C$4:C303,C304)-COUNTIF(C$4:C303,""Sell_""&amp;C304))))))"),"")</f>
        <v/>
      </c>
      <c r="H304" s="10" t="str">
        <f t="shared" si="3"/>
        <v/>
      </c>
      <c r="I304" s="68" t="str">
        <f t="shared" si="4"/>
        <v/>
      </c>
      <c r="J304" s="59" t="str">
        <f t="shared" si="5"/>
        <v/>
      </c>
      <c r="K304" s="69" t="str">
        <f t="shared" si="6"/>
        <v/>
      </c>
      <c r="L304" s="60">
        <f t="shared" si="7"/>
        <v>-265.96512</v>
      </c>
      <c r="M304" s="61">
        <f>IFERROR(__xludf.DUMMYFUNCTION("IFS(AND(COUNTA(C304:C1350)=0,COUNTA(Q304:Q1350)=0),"""",OR(AND(K304&gt;=1000000000,OR(Y304&gt;=1000000000,COUNTA(Q304:Q1350)=0)),OR(Y304&gt;=1000000000,AND(COUNTA(C304:C1350)=0,P$3=TRUE))),
ROUNDDOWN((AB$1-AC$1)*MAX(INDEX(T$4:T1350,MATCH(LARGE(FILTER(Y$4:Y1350,Y$4"&amp;":Y1350&lt;1000000000),1),Y$4:Y1350)),INDEX(F$4:F1350,MATCH(LARGE(FILTER(K$4:K1350,K$4:K1350&lt;1000000000),1),K$4:K1350)))),AND(K304&lt;1000000000,COUNTA(C304:C1350)&gt;0,P$3=FALSE),
ROUNDDOWN(INDEX(Y$4:Y1350,MATCH(LARGE(FILTER(W$4:W1350,W$4:W1350&lt;=I304),1),W$4:W1350"&amp;"))+(I304-LARGE(FILTER(W$4:W1350,W$4:W1350&lt;=I304),1))*INDEX(T$4:T1350,MATCH(LARGE(FILTER(W$4:W1350,W$4:W1350&lt;=I304),1),W$4:W1350))-K304),1,
ROUNDDOWN(Y304-INDEX(K$4:K1350,MATCH(LARGE(FILTER(I$4:I1350,I$4:I1350&lt;=W304),1),I$4:I1350))-(W304-LARGE(FILTER(I$4:I"&amp;"1350,I$4:I1350&lt;=W304),1))*INDEX(F$4:F1350,MATCH(LARGE(FILTER(I$4:I1350,I$4:I1350&lt;=W304),1),I$4:I1350))))"),4.3092685E7)</f>
        <v>43092685</v>
      </c>
      <c r="N304" s="60">
        <f t="shared" si="8"/>
        <v>-265.96512</v>
      </c>
      <c r="O304" s="61" t="str">
        <f t="shared" si="9"/>
        <v>43,1M</v>
      </c>
      <c r="P304" s="56">
        <f t="shared" si="10"/>
        <v>44</v>
      </c>
      <c r="Q304" s="105" t="s">
        <v>59</v>
      </c>
      <c r="R304" s="10" t="b">
        <f>IFERROR(__xludf.DUMMYFUNCTION("IF(COUNTA(Q304:Q1350)=0,"""",IF(ISBLANK(Q304),FALSE,IF(NOT(COUNTIF($AA$24:$AA$34,SUBSTITUTE(Q304,""Sell_"",""""))),1,IF(REGEXMATCH(Q304,""Sell_""),IF(COUNTIF(Q$4:Q304,SUBSTITUTE(Q304,""Sell_"",""""))-COUNTIF(Q$4:Q303,Q304)&lt;1,1),FALSE))))"),FALSE)</f>
        <v>0</v>
      </c>
      <c r="S304" s="59">
        <f t="array" ref="S304">IF(COUNTA(Q304:Q1350)=0,"",SUM((COUNTIF(Q$4:Q304,Upgrades!$B$3:$B$13)-COUNTIF(Q$4:Q304,"Sell_"&amp;Upgrades!$B$3:$B$13))*Upgrades!$D$3:$D$13))</f>
        <v>204960</v>
      </c>
      <c r="T304" s="66">
        <f>IFERROR(__xludf.DUMMYFUNCTION("IF(COUNTA(Q304:Q1350)=0,"""",IF(REGEXMATCH(INDEX(FILTER(Q$4:Q304,Q$4:Q304&lt;&gt;""""),ROWS(FILTER(Q$4:Q304,Q$4:Q304&lt;&gt;""""))),""^Sell_""),INDEX(FILTER(T$4:T303,Q$4:Q303&lt;&gt;""""),ROWS(FILTER(Q$4:Q303,Q$4:Q303&lt;&gt;""""))),$AD$5+S304))"),212106.0)</f>
        <v>212106</v>
      </c>
      <c r="U304" s="10">
        <f>IFERROR(__xludf.DUMMYFUNCTION("IF(COUNTA(Q304:Q1350)=0,"""",IF(Q304="""",0,IF(REGEXMATCH(Q304,""^Sell_""),-ROUNDDOWN(ROUNDUP(INDEX(Upgrades!$C$3:$C$13,MATCH(SUBSTITUTE(Q304,""Sell_"",""""),Upgrades!$B$3:$B$13,0))*1.15^(COUNTIF(Q$4:Q303,SUBSTITUTE(Q304,""Sell_"",""""))-COUNTIF(Q$4:Q303,"&amp;"""Sell_""&amp;SUBSTITUTE(Q304,""Sell_"",""""))))/2),ROUNDUP(INDEX(Upgrades!$C$3:$C$13,MATCH(Q304,Upgrades!$B$3:$B$13,0))*1.15^(COUNTIF(Q$4:Q303,Q304)-COUNTIF(Q$4:Q303,""Sell_""&amp;Q304))))))"),-20228.0)</f>
        <v>-20228</v>
      </c>
      <c r="V304" s="10">
        <f t="shared" si="11"/>
        <v>-8021871</v>
      </c>
      <c r="W304" s="68">
        <f t="shared" si="12"/>
        <v>4647.88374</v>
      </c>
      <c r="X304" s="59" t="str">
        <f t="shared" si="13"/>
        <v>1h 17m 27s</v>
      </c>
      <c r="Y304" s="69">
        <f t="shared" si="14"/>
        <v>251843441</v>
      </c>
      <c r="Z304" s="11"/>
    </row>
    <row r="305">
      <c r="A305" s="8"/>
      <c r="B305" s="56" t="str">
        <f t="shared" si="2"/>
        <v/>
      </c>
      <c r="C305" s="57"/>
      <c r="D305" s="10" t="str">
        <f>IFERROR(__xludf.DUMMYFUNCTION("IF(COUNTA(C305:C1350)=0,"""",IF(ISBLANK(C305),FALSE,IF(NOT(COUNTIF($AA$24:$AA$34,SUBSTITUTE(C305,""Sell_"",""""))),1,IF(REGEXMATCH(C305,""Sell_""),IF(COUNTIF(C$4:C305,SUBSTITUTE(C305,""Sell_"",""""))-COUNTIF(C$4:C304,C305)&lt;1,1),FALSE))))"),"")</f>
        <v/>
      </c>
      <c r="E305" s="59" t="str">
        <f t="array" ref="E305">IF(COUNTA(C305:C1350)=0,"",SUM((COUNTIF(C$4:C305,Upgrades!$B$3:$B$13)-COUNTIF(C$4:C305,"Sell_"&amp;Upgrades!$B$3:$B$13))*Upgrades!$D$3:$D$13))</f>
        <v/>
      </c>
      <c r="F305" s="66" t="str">
        <f>IFERROR(__xludf.DUMMYFUNCTION("IF(COUNTA(C305:C1350)=0,"""",IF(REGEXMATCH(INDEX(FILTER(C$4:C305,C$4:C305&lt;&gt;""""),ROWS(FILTER(C$4:C305,C$4:C305&lt;&gt;""""))),""^Sell_""),INDEX(FILTER(F$4:F304,C$4:C304&lt;&gt;""""),ROWS(FILTER(C$4:C304,C$4:C304&lt;&gt;""""))),$AC$5+E305))"),"")</f>
        <v/>
      </c>
      <c r="G305" s="10" t="str">
        <f>IFERROR(__xludf.DUMMYFUNCTION("IF(COUNTA(C305:C1350)=0,"""",IF(C305="""",0,IF(REGEXMATCH(C305,""^Sell_""),-ROUNDDOWN(ROUNDUP(INDEX(Upgrades!$C$3:$C$13,MATCH(SUBSTITUTE(C305,""Sell_"",""""),Upgrades!$B$3:$B$13,0))*1.15^(COUNTIF(C$4:C304,SUBSTITUTE(C305,""Sell_"",""""))-COUNTIF(C$4:C304,"&amp;"""Sell_""&amp;SUBSTITUTE(C305,""Sell_"",""""))))/2),ROUNDUP(INDEX(Upgrades!$C$3:$C$13,MATCH(C305,Upgrades!$B$3:$B$13,0))*1.15^(COUNTIF(C$4:C304,C305)-COUNTIF(C$4:C304,""Sell_""&amp;C305))))))"),"")</f>
        <v/>
      </c>
      <c r="H305" s="10" t="str">
        <f t="shared" si="3"/>
        <v/>
      </c>
      <c r="I305" s="68" t="str">
        <f t="shared" si="4"/>
        <v/>
      </c>
      <c r="J305" s="59" t="str">
        <f t="shared" si="5"/>
        <v/>
      </c>
      <c r="K305" s="69" t="str">
        <f t="shared" si="6"/>
        <v/>
      </c>
      <c r="L305" s="60">
        <f t="shared" si="7"/>
        <v>-265.96512</v>
      </c>
      <c r="M305" s="61">
        <f>IFERROR(__xludf.DUMMYFUNCTION("IFS(AND(COUNTA(C305:C1350)=0,COUNTA(Q305:Q1350)=0),"""",OR(AND(K305&gt;=1000000000,OR(Y305&gt;=1000000000,COUNTA(Q305:Q1350)=0)),OR(Y305&gt;=1000000000,AND(COUNTA(C305:C1350)=0,P$3=TRUE))),
ROUNDDOWN((AB$1-AC$1)*MAX(INDEX(T$4:T1350,MATCH(LARGE(FILTER(Y$4:Y1350,Y$4"&amp;":Y1350&lt;1000000000),1),Y$4:Y1350)),INDEX(F$4:F1350,MATCH(LARGE(FILTER(K$4:K1350,K$4:K1350&lt;1000000000),1),K$4:K1350)))),AND(K305&lt;1000000000,COUNTA(C305:C1350)&gt;0,P$3=FALSE),
ROUNDDOWN(INDEX(Y$4:Y1350,MATCH(LARGE(FILTER(W$4:W1350,W$4:W1350&lt;=I305),1),W$4:W1350"&amp;"))+(I305-LARGE(FILTER(W$4:W1350,W$4:W1350&lt;=I305),1))*INDEX(T$4:T1350,MATCH(LARGE(FILTER(W$4:W1350,W$4:W1350&lt;=I305),1),W$4:W1350))-K305),1,
ROUNDDOWN(Y305-INDEX(K$4:K1350,MATCH(LARGE(FILTER(I$4:I1350,I$4:I1350&lt;=W305),1),I$4:I1350))-(W305-LARGE(FILTER(I$4:I"&amp;"1350,I$4:I1350&lt;=W305),1))*INDEX(F$4:F1350,MATCH(LARGE(FILTER(I$4:I1350,I$4:I1350&lt;=W305),1),I$4:I1350))))"),4.3092685E7)</f>
        <v>43092685</v>
      </c>
      <c r="N305" s="60">
        <f t="shared" si="8"/>
        <v>-265.96512</v>
      </c>
      <c r="O305" s="61" t="str">
        <f t="shared" si="9"/>
        <v>43,1M</v>
      </c>
      <c r="P305" s="56">
        <f t="shared" si="10"/>
        <v>45</v>
      </c>
      <c r="Q305" s="105" t="s">
        <v>59</v>
      </c>
      <c r="R305" s="10" t="b">
        <f>IFERROR(__xludf.DUMMYFUNCTION("IF(COUNTA(Q305:Q1350)=0,"""",IF(ISBLANK(Q305),FALSE,IF(NOT(COUNTIF($AA$24:$AA$34,SUBSTITUTE(Q305,""Sell_"",""""))),1,IF(REGEXMATCH(Q305,""Sell_""),IF(COUNTIF(Q$4:Q305,SUBSTITUTE(Q305,""Sell_"",""""))-COUNTIF(Q$4:Q304,Q305)&lt;1,1),FALSE))))"),FALSE)</f>
        <v>0</v>
      </c>
      <c r="S305" s="59">
        <f t="array" ref="S305">IF(COUNTA(Q305:Q1350)=0,"",SUM((COUNTIF(Q$4:Q305,Upgrades!$B$3:$B$13)-COUNTIF(Q$4:Q305,"Sell_"&amp;Upgrades!$B$3:$B$13))*Upgrades!$D$3:$D$13))</f>
        <v>204920</v>
      </c>
      <c r="T305" s="66">
        <f>IFERROR(__xludf.DUMMYFUNCTION("IF(COUNTA(Q305:Q1350)=0,"""",IF(REGEXMATCH(INDEX(FILTER(Q$4:Q305,Q$4:Q305&lt;&gt;""""),ROWS(FILTER(Q$4:Q305,Q$4:Q305&lt;&gt;""""))),""^Sell_""),INDEX(FILTER(T$4:T304,Q$4:Q304&lt;&gt;""""),ROWS(FILTER(Q$4:Q304,Q$4:Q304&lt;&gt;""""))),$AD$5+S305))"),212106.0)</f>
        <v>212106</v>
      </c>
      <c r="U305" s="10">
        <f>IFERROR(__xludf.DUMMYFUNCTION("IF(COUNTA(Q305:Q1350)=0,"""",IF(Q305="""",0,IF(REGEXMATCH(Q305,""^Sell_""),-ROUNDDOWN(ROUNDUP(INDEX(Upgrades!$C$3:$C$13,MATCH(SUBSTITUTE(Q305,""Sell_"",""""),Upgrades!$B$3:$B$13,0))*1.15^(COUNTIF(Q$4:Q304,SUBSTITUTE(Q305,""Sell_"",""""))-COUNTIF(Q$4:Q304,"&amp;"""Sell_""&amp;SUBSTITUTE(Q305,""Sell_"",""""))))/2),ROUNDUP(INDEX(Upgrades!$C$3:$C$13,MATCH(Q305,Upgrades!$B$3:$B$13,0))*1.15^(COUNTIF(Q$4:Q304,Q305)-COUNTIF(Q$4:Q304,""Sell_""&amp;Q305))))))"),-17589.0)</f>
        <v>-17589</v>
      </c>
      <c r="V305" s="10">
        <f t="shared" si="11"/>
        <v>-8039460</v>
      </c>
      <c r="W305" s="68">
        <f t="shared" si="12"/>
        <v>4647.88374</v>
      </c>
      <c r="X305" s="59" t="str">
        <f t="shared" si="13"/>
        <v>1h 17m 27s</v>
      </c>
      <c r="Y305" s="69">
        <f t="shared" si="14"/>
        <v>251843441</v>
      </c>
      <c r="Z305" s="11"/>
    </row>
    <row r="306">
      <c r="A306" s="8"/>
      <c r="B306" s="56" t="str">
        <f t="shared" si="2"/>
        <v/>
      </c>
      <c r="C306" s="57"/>
      <c r="D306" s="10" t="str">
        <f>IFERROR(__xludf.DUMMYFUNCTION("IF(COUNTA(C306:C1350)=0,"""",IF(ISBLANK(C306),FALSE,IF(NOT(COUNTIF($AA$24:$AA$34,SUBSTITUTE(C306,""Sell_"",""""))),1,IF(REGEXMATCH(C306,""Sell_""),IF(COUNTIF(C$4:C306,SUBSTITUTE(C306,""Sell_"",""""))-COUNTIF(C$4:C305,C306)&lt;1,1),FALSE))))"),"")</f>
        <v/>
      </c>
      <c r="E306" s="59" t="str">
        <f t="array" ref="E306">IF(COUNTA(C306:C1350)=0,"",SUM((COUNTIF(C$4:C306,Upgrades!$B$3:$B$13)-COUNTIF(C$4:C306,"Sell_"&amp;Upgrades!$B$3:$B$13))*Upgrades!$D$3:$D$13))</f>
        <v/>
      </c>
      <c r="F306" s="66" t="str">
        <f>IFERROR(__xludf.DUMMYFUNCTION("IF(COUNTA(C306:C1350)=0,"""",IF(REGEXMATCH(INDEX(FILTER(C$4:C306,C$4:C306&lt;&gt;""""),ROWS(FILTER(C$4:C306,C$4:C306&lt;&gt;""""))),""^Sell_""),INDEX(FILTER(F$4:F305,C$4:C305&lt;&gt;""""),ROWS(FILTER(C$4:C305,C$4:C305&lt;&gt;""""))),$AC$5+E306))"),"")</f>
        <v/>
      </c>
      <c r="G306" s="10" t="str">
        <f>IFERROR(__xludf.DUMMYFUNCTION("IF(COUNTA(C306:C1350)=0,"""",IF(C306="""",0,IF(REGEXMATCH(C306,""^Sell_""),-ROUNDDOWN(ROUNDUP(INDEX(Upgrades!$C$3:$C$13,MATCH(SUBSTITUTE(C306,""Sell_"",""""),Upgrades!$B$3:$B$13,0))*1.15^(COUNTIF(C$4:C305,SUBSTITUTE(C306,""Sell_"",""""))-COUNTIF(C$4:C305,"&amp;"""Sell_""&amp;SUBSTITUTE(C306,""Sell_"",""""))))/2),ROUNDUP(INDEX(Upgrades!$C$3:$C$13,MATCH(C306,Upgrades!$B$3:$B$13,0))*1.15^(COUNTIF(C$4:C305,C306)-COUNTIF(C$4:C305,""Sell_""&amp;C306))))))"),"")</f>
        <v/>
      </c>
      <c r="H306" s="10" t="str">
        <f t="shared" si="3"/>
        <v/>
      </c>
      <c r="I306" s="68" t="str">
        <f t="shared" si="4"/>
        <v/>
      </c>
      <c r="J306" s="59" t="str">
        <f t="shared" si="5"/>
        <v/>
      </c>
      <c r="K306" s="69" t="str">
        <f t="shared" si="6"/>
        <v/>
      </c>
      <c r="L306" s="60">
        <f t="shared" si="7"/>
        <v>-265.96512</v>
      </c>
      <c r="M306" s="61">
        <f>IFERROR(__xludf.DUMMYFUNCTION("IFS(AND(COUNTA(C306:C1350)=0,COUNTA(Q306:Q1350)=0),"""",OR(AND(K306&gt;=1000000000,OR(Y306&gt;=1000000000,COUNTA(Q306:Q1350)=0)),OR(Y306&gt;=1000000000,AND(COUNTA(C306:C1350)=0,P$3=TRUE))),
ROUNDDOWN((AB$1-AC$1)*MAX(INDEX(T$4:T1350,MATCH(LARGE(FILTER(Y$4:Y1350,Y$4"&amp;":Y1350&lt;1000000000),1),Y$4:Y1350)),INDEX(F$4:F1350,MATCH(LARGE(FILTER(K$4:K1350,K$4:K1350&lt;1000000000),1),K$4:K1350)))),AND(K306&lt;1000000000,COUNTA(C306:C1350)&gt;0,P$3=FALSE),
ROUNDDOWN(INDEX(Y$4:Y1350,MATCH(LARGE(FILTER(W$4:W1350,W$4:W1350&lt;=I306),1),W$4:W1350"&amp;"))+(I306-LARGE(FILTER(W$4:W1350,W$4:W1350&lt;=I306),1))*INDEX(T$4:T1350,MATCH(LARGE(FILTER(W$4:W1350,W$4:W1350&lt;=I306),1),W$4:W1350))-K306),1,
ROUNDDOWN(Y306-INDEX(K$4:K1350,MATCH(LARGE(FILTER(I$4:I1350,I$4:I1350&lt;=W306),1),I$4:I1350))-(W306-LARGE(FILTER(I$4:I"&amp;"1350,I$4:I1350&lt;=W306),1))*INDEX(F$4:F1350,MATCH(LARGE(FILTER(I$4:I1350,I$4:I1350&lt;=W306),1),I$4:I1350))))"),4.3092685E7)</f>
        <v>43092685</v>
      </c>
      <c r="N306" s="60">
        <f t="shared" si="8"/>
        <v>-265.96512</v>
      </c>
      <c r="O306" s="61" t="str">
        <f t="shared" si="9"/>
        <v>43,1M</v>
      </c>
      <c r="P306" s="56">
        <f t="shared" si="10"/>
        <v>46</v>
      </c>
      <c r="Q306" s="105" t="s">
        <v>59</v>
      </c>
      <c r="R306" s="10" t="b">
        <f>IFERROR(__xludf.DUMMYFUNCTION("IF(COUNTA(Q306:Q1350)=0,"""",IF(ISBLANK(Q306),FALSE,IF(NOT(COUNTIF($AA$24:$AA$34,SUBSTITUTE(Q306,""Sell_"",""""))),1,IF(REGEXMATCH(Q306,""Sell_""),IF(COUNTIF(Q$4:Q306,SUBSTITUTE(Q306,""Sell_"",""""))-COUNTIF(Q$4:Q305,Q306)&lt;1,1),FALSE))))"),FALSE)</f>
        <v>0</v>
      </c>
      <c r="S306" s="59">
        <f t="array" ref="S306">IF(COUNTA(Q306:Q1350)=0,"",SUM((COUNTIF(Q$4:Q306,Upgrades!$B$3:$B$13)-COUNTIF(Q$4:Q306,"Sell_"&amp;Upgrades!$B$3:$B$13))*Upgrades!$D$3:$D$13))</f>
        <v>204880</v>
      </c>
      <c r="T306" s="66">
        <f>IFERROR(__xludf.DUMMYFUNCTION("IF(COUNTA(Q306:Q1350)=0,"""",IF(REGEXMATCH(INDEX(FILTER(Q$4:Q306,Q$4:Q306&lt;&gt;""""),ROWS(FILTER(Q$4:Q306,Q$4:Q306&lt;&gt;""""))),""^Sell_""),INDEX(FILTER(T$4:T305,Q$4:Q305&lt;&gt;""""),ROWS(FILTER(Q$4:Q305,Q$4:Q305&lt;&gt;""""))),$AD$5+S306))"),212106.0)</f>
        <v>212106</v>
      </c>
      <c r="U306" s="10">
        <f>IFERROR(__xludf.DUMMYFUNCTION("IF(COUNTA(Q306:Q1350)=0,"""",IF(Q306="""",0,IF(REGEXMATCH(Q306,""^Sell_""),-ROUNDDOWN(ROUNDUP(INDEX(Upgrades!$C$3:$C$13,MATCH(SUBSTITUTE(Q306,""Sell_"",""""),Upgrades!$B$3:$B$13,0))*1.15^(COUNTIF(Q$4:Q305,SUBSTITUTE(Q306,""Sell_"",""""))-COUNTIF(Q$4:Q305,"&amp;"""Sell_""&amp;SUBSTITUTE(Q306,""Sell_"",""""))))/2),ROUNDUP(INDEX(Upgrades!$C$3:$C$13,MATCH(Q306,Upgrades!$B$3:$B$13,0))*1.15^(COUNTIF(Q$4:Q305,Q306)-COUNTIF(Q$4:Q305,""Sell_""&amp;Q306))))))"),-15295.0)</f>
        <v>-15295</v>
      </c>
      <c r="V306" s="10">
        <f t="shared" si="11"/>
        <v>-8054755</v>
      </c>
      <c r="W306" s="68">
        <f t="shared" si="12"/>
        <v>4647.88374</v>
      </c>
      <c r="X306" s="59" t="str">
        <f t="shared" si="13"/>
        <v>1h 17m 27s</v>
      </c>
      <c r="Y306" s="69">
        <f t="shared" si="14"/>
        <v>251843441</v>
      </c>
      <c r="Z306" s="11"/>
    </row>
    <row r="307">
      <c r="A307" s="8"/>
      <c r="B307" s="56" t="str">
        <f t="shared" si="2"/>
        <v/>
      </c>
      <c r="C307" s="57"/>
      <c r="D307" s="10" t="str">
        <f>IFERROR(__xludf.DUMMYFUNCTION("IF(COUNTA(C307:C1350)=0,"""",IF(ISBLANK(C307),FALSE,IF(NOT(COUNTIF($AA$24:$AA$34,SUBSTITUTE(C307,""Sell_"",""""))),1,IF(REGEXMATCH(C307,""Sell_""),IF(COUNTIF(C$4:C307,SUBSTITUTE(C307,""Sell_"",""""))-COUNTIF(C$4:C306,C307)&lt;1,1),FALSE))))"),"")</f>
        <v/>
      </c>
      <c r="E307" s="59" t="str">
        <f t="array" ref="E307">IF(COUNTA(C307:C1350)=0,"",SUM((COUNTIF(C$4:C307,Upgrades!$B$3:$B$13)-COUNTIF(C$4:C307,"Sell_"&amp;Upgrades!$B$3:$B$13))*Upgrades!$D$3:$D$13))</f>
        <v/>
      </c>
      <c r="F307" s="66" t="str">
        <f>IFERROR(__xludf.DUMMYFUNCTION("IF(COUNTA(C307:C1350)=0,"""",IF(REGEXMATCH(INDEX(FILTER(C$4:C307,C$4:C307&lt;&gt;""""),ROWS(FILTER(C$4:C307,C$4:C307&lt;&gt;""""))),""^Sell_""),INDEX(FILTER(F$4:F306,C$4:C306&lt;&gt;""""),ROWS(FILTER(C$4:C306,C$4:C306&lt;&gt;""""))),$AC$5+E307))"),"")</f>
        <v/>
      </c>
      <c r="G307" s="10" t="str">
        <f>IFERROR(__xludf.DUMMYFUNCTION("IF(COUNTA(C307:C1350)=0,"""",IF(C307="""",0,IF(REGEXMATCH(C307,""^Sell_""),-ROUNDDOWN(ROUNDUP(INDEX(Upgrades!$C$3:$C$13,MATCH(SUBSTITUTE(C307,""Sell_"",""""),Upgrades!$B$3:$B$13,0))*1.15^(COUNTIF(C$4:C306,SUBSTITUTE(C307,""Sell_"",""""))-COUNTIF(C$4:C306,"&amp;"""Sell_""&amp;SUBSTITUTE(C307,""Sell_"",""""))))/2),ROUNDUP(INDEX(Upgrades!$C$3:$C$13,MATCH(C307,Upgrades!$B$3:$B$13,0))*1.15^(COUNTIF(C$4:C306,C307)-COUNTIF(C$4:C306,""Sell_""&amp;C307))))))"),"")</f>
        <v/>
      </c>
      <c r="H307" s="10" t="str">
        <f t="shared" si="3"/>
        <v/>
      </c>
      <c r="I307" s="68" t="str">
        <f t="shared" si="4"/>
        <v/>
      </c>
      <c r="J307" s="59" t="str">
        <f t="shared" si="5"/>
        <v/>
      </c>
      <c r="K307" s="69" t="str">
        <f t="shared" si="6"/>
        <v/>
      </c>
      <c r="L307" s="60">
        <f t="shared" si="7"/>
        <v>-265.96512</v>
      </c>
      <c r="M307" s="61">
        <f>IFERROR(__xludf.DUMMYFUNCTION("IFS(AND(COUNTA(C307:C1350)=0,COUNTA(Q307:Q1350)=0),"""",OR(AND(K307&gt;=1000000000,OR(Y307&gt;=1000000000,COUNTA(Q307:Q1350)=0)),OR(Y307&gt;=1000000000,AND(COUNTA(C307:C1350)=0,P$3=TRUE))),
ROUNDDOWN((AB$1-AC$1)*MAX(INDEX(T$4:T1350,MATCH(LARGE(FILTER(Y$4:Y1350,Y$4"&amp;":Y1350&lt;1000000000),1),Y$4:Y1350)),INDEX(F$4:F1350,MATCH(LARGE(FILTER(K$4:K1350,K$4:K1350&lt;1000000000),1),K$4:K1350)))),AND(K307&lt;1000000000,COUNTA(C307:C1350)&gt;0,P$3=FALSE),
ROUNDDOWN(INDEX(Y$4:Y1350,MATCH(LARGE(FILTER(W$4:W1350,W$4:W1350&lt;=I307),1),W$4:W1350"&amp;"))+(I307-LARGE(FILTER(W$4:W1350,W$4:W1350&lt;=I307),1))*INDEX(T$4:T1350,MATCH(LARGE(FILTER(W$4:W1350,W$4:W1350&lt;=I307),1),W$4:W1350))-K307),1,
ROUNDDOWN(Y307-INDEX(K$4:K1350,MATCH(LARGE(FILTER(I$4:I1350,I$4:I1350&lt;=W307),1),I$4:I1350))-(W307-LARGE(FILTER(I$4:I"&amp;"1350,I$4:I1350&lt;=W307),1))*INDEX(F$4:F1350,MATCH(LARGE(FILTER(I$4:I1350,I$4:I1350&lt;=W307),1),I$4:I1350))))"),4.3092685E7)</f>
        <v>43092685</v>
      </c>
      <c r="N307" s="60">
        <f t="shared" si="8"/>
        <v>-265.96512</v>
      </c>
      <c r="O307" s="61" t="str">
        <f t="shared" si="9"/>
        <v>43,1M</v>
      </c>
      <c r="P307" s="56">
        <f t="shared" si="10"/>
        <v>47</v>
      </c>
      <c r="Q307" s="105" t="s">
        <v>59</v>
      </c>
      <c r="R307" s="10" t="b">
        <f>IFERROR(__xludf.DUMMYFUNCTION("IF(COUNTA(Q307:Q1350)=0,"""",IF(ISBLANK(Q307),FALSE,IF(NOT(COUNTIF($AA$24:$AA$34,SUBSTITUTE(Q307,""Sell_"",""""))),1,IF(REGEXMATCH(Q307,""Sell_""),IF(COUNTIF(Q$4:Q307,SUBSTITUTE(Q307,""Sell_"",""""))-COUNTIF(Q$4:Q306,Q307)&lt;1,1),FALSE))))"),FALSE)</f>
        <v>0</v>
      </c>
      <c r="S307" s="59">
        <f t="array" ref="S307">IF(COUNTA(Q307:Q1350)=0,"",SUM((COUNTIF(Q$4:Q307,Upgrades!$B$3:$B$13)-COUNTIF(Q$4:Q307,"Sell_"&amp;Upgrades!$B$3:$B$13))*Upgrades!$D$3:$D$13))</f>
        <v>204840</v>
      </c>
      <c r="T307" s="66">
        <f>IFERROR(__xludf.DUMMYFUNCTION("IF(COUNTA(Q307:Q1350)=0,"""",IF(REGEXMATCH(INDEX(FILTER(Q$4:Q307,Q$4:Q307&lt;&gt;""""),ROWS(FILTER(Q$4:Q307,Q$4:Q307&lt;&gt;""""))),""^Sell_""),INDEX(FILTER(T$4:T306,Q$4:Q306&lt;&gt;""""),ROWS(FILTER(Q$4:Q306,Q$4:Q306&lt;&gt;""""))),$AD$5+S307))"),212106.0)</f>
        <v>212106</v>
      </c>
      <c r="U307" s="10">
        <f>IFERROR(__xludf.DUMMYFUNCTION("IF(COUNTA(Q307:Q1350)=0,"""",IF(Q307="""",0,IF(REGEXMATCH(Q307,""^Sell_""),-ROUNDDOWN(ROUNDUP(INDEX(Upgrades!$C$3:$C$13,MATCH(SUBSTITUTE(Q307,""Sell_"",""""),Upgrades!$B$3:$B$13,0))*1.15^(COUNTIF(Q$4:Q306,SUBSTITUTE(Q307,""Sell_"",""""))-COUNTIF(Q$4:Q306,"&amp;"""Sell_""&amp;SUBSTITUTE(Q307,""Sell_"",""""))))/2),ROUNDUP(INDEX(Upgrades!$C$3:$C$13,MATCH(Q307,Upgrades!$B$3:$B$13,0))*1.15^(COUNTIF(Q$4:Q306,Q307)-COUNTIF(Q$4:Q306,""Sell_""&amp;Q307))))))"),-13300.0)</f>
        <v>-13300</v>
      </c>
      <c r="V307" s="10">
        <f t="shared" si="11"/>
        <v>-8068055</v>
      </c>
      <c r="W307" s="68">
        <f t="shared" si="12"/>
        <v>4647.88374</v>
      </c>
      <c r="X307" s="59" t="str">
        <f t="shared" si="13"/>
        <v>1h 17m 27s</v>
      </c>
      <c r="Y307" s="69">
        <f t="shared" si="14"/>
        <v>251843441</v>
      </c>
      <c r="Z307" s="11"/>
    </row>
    <row r="308">
      <c r="A308" s="8"/>
      <c r="B308" s="56" t="str">
        <f t="shared" si="2"/>
        <v/>
      </c>
      <c r="C308" s="57"/>
      <c r="D308" s="10" t="str">
        <f>IFERROR(__xludf.DUMMYFUNCTION("IF(COUNTA(C308:C1350)=0,"""",IF(ISBLANK(C308),FALSE,IF(NOT(COUNTIF($AA$24:$AA$34,SUBSTITUTE(C308,""Sell_"",""""))),1,IF(REGEXMATCH(C308,""Sell_""),IF(COUNTIF(C$4:C308,SUBSTITUTE(C308,""Sell_"",""""))-COUNTIF(C$4:C307,C308)&lt;1,1),FALSE))))"),"")</f>
        <v/>
      </c>
      <c r="E308" s="59" t="str">
        <f t="array" ref="E308">IF(COUNTA(C308:C1350)=0,"",SUM((COUNTIF(C$4:C308,Upgrades!$B$3:$B$13)-COUNTIF(C$4:C308,"Sell_"&amp;Upgrades!$B$3:$B$13))*Upgrades!$D$3:$D$13))</f>
        <v/>
      </c>
      <c r="F308" s="66" t="str">
        <f>IFERROR(__xludf.DUMMYFUNCTION("IF(COUNTA(C308:C1350)=0,"""",IF(REGEXMATCH(INDEX(FILTER(C$4:C308,C$4:C308&lt;&gt;""""),ROWS(FILTER(C$4:C308,C$4:C308&lt;&gt;""""))),""^Sell_""),INDEX(FILTER(F$4:F307,C$4:C307&lt;&gt;""""),ROWS(FILTER(C$4:C307,C$4:C307&lt;&gt;""""))),$AC$5+E308))"),"")</f>
        <v/>
      </c>
      <c r="G308" s="10" t="str">
        <f>IFERROR(__xludf.DUMMYFUNCTION("IF(COUNTA(C308:C1350)=0,"""",IF(C308="""",0,IF(REGEXMATCH(C308,""^Sell_""),-ROUNDDOWN(ROUNDUP(INDEX(Upgrades!$C$3:$C$13,MATCH(SUBSTITUTE(C308,""Sell_"",""""),Upgrades!$B$3:$B$13,0))*1.15^(COUNTIF(C$4:C307,SUBSTITUTE(C308,""Sell_"",""""))-COUNTIF(C$4:C307,"&amp;"""Sell_""&amp;SUBSTITUTE(C308,""Sell_"",""""))))/2),ROUNDUP(INDEX(Upgrades!$C$3:$C$13,MATCH(C308,Upgrades!$B$3:$B$13,0))*1.15^(COUNTIF(C$4:C307,C308)-COUNTIF(C$4:C307,""Sell_""&amp;C308))))))"),"")</f>
        <v/>
      </c>
      <c r="H308" s="10" t="str">
        <f t="shared" si="3"/>
        <v/>
      </c>
      <c r="I308" s="68" t="str">
        <f t="shared" si="4"/>
        <v/>
      </c>
      <c r="J308" s="59" t="str">
        <f t="shared" si="5"/>
        <v/>
      </c>
      <c r="K308" s="69" t="str">
        <f t="shared" si="6"/>
        <v/>
      </c>
      <c r="L308" s="60">
        <f t="shared" si="7"/>
        <v>-265.96512</v>
      </c>
      <c r="M308" s="61">
        <f>IFERROR(__xludf.DUMMYFUNCTION("IFS(AND(COUNTA(C308:C1350)=0,COUNTA(Q308:Q1350)=0),"""",OR(AND(K308&gt;=1000000000,OR(Y308&gt;=1000000000,COUNTA(Q308:Q1350)=0)),OR(Y308&gt;=1000000000,AND(COUNTA(C308:C1350)=0,P$3=TRUE))),
ROUNDDOWN((AB$1-AC$1)*MAX(INDEX(T$4:T1350,MATCH(LARGE(FILTER(Y$4:Y1350,Y$4"&amp;":Y1350&lt;1000000000),1),Y$4:Y1350)),INDEX(F$4:F1350,MATCH(LARGE(FILTER(K$4:K1350,K$4:K1350&lt;1000000000),1),K$4:K1350)))),AND(K308&lt;1000000000,COUNTA(C308:C1350)&gt;0,P$3=FALSE),
ROUNDDOWN(INDEX(Y$4:Y1350,MATCH(LARGE(FILTER(W$4:W1350,W$4:W1350&lt;=I308),1),W$4:W1350"&amp;"))+(I308-LARGE(FILTER(W$4:W1350,W$4:W1350&lt;=I308),1))*INDEX(T$4:T1350,MATCH(LARGE(FILTER(W$4:W1350,W$4:W1350&lt;=I308),1),W$4:W1350))-K308),1,
ROUNDDOWN(Y308-INDEX(K$4:K1350,MATCH(LARGE(FILTER(I$4:I1350,I$4:I1350&lt;=W308),1),I$4:I1350))-(W308-LARGE(FILTER(I$4:I"&amp;"1350,I$4:I1350&lt;=W308),1))*INDEX(F$4:F1350,MATCH(LARGE(FILTER(I$4:I1350,I$4:I1350&lt;=W308),1),I$4:I1350))))"),4.3092685E7)</f>
        <v>43092685</v>
      </c>
      <c r="N308" s="60">
        <f t="shared" si="8"/>
        <v>-265.96512</v>
      </c>
      <c r="O308" s="61" t="str">
        <f t="shared" si="9"/>
        <v>43,1M</v>
      </c>
      <c r="P308" s="56">
        <f t="shared" si="10"/>
        <v>24</v>
      </c>
      <c r="Q308" s="105" t="s">
        <v>61</v>
      </c>
      <c r="R308" s="10" t="b">
        <f>IFERROR(__xludf.DUMMYFUNCTION("IF(COUNTA(Q308:Q1350)=0,"""",IF(ISBLANK(Q308),FALSE,IF(NOT(COUNTIF($AA$24:$AA$34,SUBSTITUTE(Q308,""Sell_"",""""))),1,IF(REGEXMATCH(Q308,""Sell_""),IF(COUNTIF(Q$4:Q308,SUBSTITUTE(Q308,""Sell_"",""""))-COUNTIF(Q$4:Q307,Q308)&lt;1,1),FALSE))))"),FALSE)</f>
        <v>0</v>
      </c>
      <c r="S308" s="59">
        <f t="array" ref="S308">IF(COUNTA(Q308:Q1350)=0,"",SUM((COUNTIF(Q$4:Q308,Upgrades!$B$3:$B$13)-COUNTIF(Q$4:Q308,"Sell_"&amp;Upgrades!$B$3:$B$13))*Upgrades!$D$3:$D$13))</f>
        <v>204740</v>
      </c>
      <c r="T308" s="66">
        <f>IFERROR(__xludf.DUMMYFUNCTION("IF(COUNTA(Q308:Q1350)=0,"""",IF(REGEXMATCH(INDEX(FILTER(Q$4:Q308,Q$4:Q308&lt;&gt;""""),ROWS(FILTER(Q$4:Q308,Q$4:Q308&lt;&gt;""""))),""^Sell_""),INDEX(FILTER(T$4:T307,Q$4:Q307&lt;&gt;""""),ROWS(FILTER(Q$4:Q307,Q$4:Q307&lt;&gt;""""))),$AD$5+S308))"),212106.0)</f>
        <v>212106</v>
      </c>
      <c r="U308" s="10">
        <f>IFERROR(__xludf.DUMMYFUNCTION("IF(COUNTA(Q308:Q1350)=0,"""",IF(Q308="""",0,IF(REGEXMATCH(Q308,""^Sell_""),-ROUNDDOWN(ROUNDUP(INDEX(Upgrades!$C$3:$C$13,MATCH(SUBSTITUTE(Q308,""Sell_"",""""),Upgrades!$B$3:$B$13,0))*1.15^(COUNTIF(Q$4:Q307,SUBSTITUTE(Q308,""Sell_"",""""))-COUNTIF(Q$4:Q307,"&amp;"""Sell_""&amp;SUBSTITUTE(Q308,""Sell_"",""""))))/2),ROUNDUP(INDEX(Upgrades!$C$3:$C$13,MATCH(Q308,Upgrades!$B$3:$B$13,0))*1.15^(COUNTIF(Q$4:Q307,Q308)-COUNTIF(Q$4:Q307,""Sell_""&amp;Q308))))))"),-107005.0)</f>
        <v>-107005</v>
      </c>
      <c r="V308" s="10">
        <f t="shared" si="11"/>
        <v>-8175060</v>
      </c>
      <c r="W308" s="68">
        <f t="shared" si="12"/>
        <v>4647.88374</v>
      </c>
      <c r="X308" s="59" t="str">
        <f t="shared" si="13"/>
        <v>1h 17m 27s</v>
      </c>
      <c r="Y308" s="69">
        <f t="shared" si="14"/>
        <v>251843441</v>
      </c>
      <c r="Z308" s="11"/>
    </row>
    <row r="309">
      <c r="A309" s="8"/>
      <c r="B309" s="56" t="str">
        <f t="shared" si="2"/>
        <v/>
      </c>
      <c r="C309" s="57"/>
      <c r="D309" s="10" t="str">
        <f>IFERROR(__xludf.DUMMYFUNCTION("IF(COUNTA(C309:C1350)=0,"""",IF(ISBLANK(C309),FALSE,IF(NOT(COUNTIF($AA$24:$AA$34,SUBSTITUTE(C309,""Sell_"",""""))),1,IF(REGEXMATCH(C309,""Sell_""),IF(COUNTIF(C$4:C309,SUBSTITUTE(C309,""Sell_"",""""))-COUNTIF(C$4:C308,C309)&lt;1,1),FALSE))))"),"")</f>
        <v/>
      </c>
      <c r="E309" s="59" t="str">
        <f t="array" ref="E309">IF(COUNTA(C309:C1350)=0,"",SUM((COUNTIF(C$4:C309,Upgrades!$B$3:$B$13)-COUNTIF(C$4:C309,"Sell_"&amp;Upgrades!$B$3:$B$13))*Upgrades!$D$3:$D$13))</f>
        <v/>
      </c>
      <c r="F309" s="66" t="str">
        <f>IFERROR(__xludf.DUMMYFUNCTION("IF(COUNTA(C309:C1350)=0,"""",IF(REGEXMATCH(INDEX(FILTER(C$4:C309,C$4:C309&lt;&gt;""""),ROWS(FILTER(C$4:C309,C$4:C309&lt;&gt;""""))),""^Sell_""),INDEX(FILTER(F$4:F308,C$4:C308&lt;&gt;""""),ROWS(FILTER(C$4:C308,C$4:C308&lt;&gt;""""))),$AC$5+E309))"),"")</f>
        <v/>
      </c>
      <c r="G309" s="10" t="str">
        <f>IFERROR(__xludf.DUMMYFUNCTION("IF(COUNTA(C309:C1350)=0,"""",IF(C309="""",0,IF(REGEXMATCH(C309,""^Sell_""),-ROUNDDOWN(ROUNDUP(INDEX(Upgrades!$C$3:$C$13,MATCH(SUBSTITUTE(C309,""Sell_"",""""),Upgrades!$B$3:$B$13,0))*1.15^(COUNTIF(C$4:C308,SUBSTITUTE(C309,""Sell_"",""""))-COUNTIF(C$4:C308,"&amp;"""Sell_""&amp;SUBSTITUTE(C309,""Sell_"",""""))))/2),ROUNDUP(INDEX(Upgrades!$C$3:$C$13,MATCH(C309,Upgrades!$B$3:$B$13,0))*1.15^(COUNTIF(C$4:C308,C309)-COUNTIF(C$4:C308,""Sell_""&amp;C309))))))"),"")</f>
        <v/>
      </c>
      <c r="H309" s="10" t="str">
        <f t="shared" si="3"/>
        <v/>
      </c>
      <c r="I309" s="68" t="str">
        <f t="shared" si="4"/>
        <v/>
      </c>
      <c r="J309" s="59" t="str">
        <f t="shared" si="5"/>
        <v/>
      </c>
      <c r="K309" s="69" t="str">
        <f t="shared" si="6"/>
        <v/>
      </c>
      <c r="L309" s="60">
        <f t="shared" si="7"/>
        <v>-265.96512</v>
      </c>
      <c r="M309" s="61">
        <f>IFERROR(__xludf.DUMMYFUNCTION("IFS(AND(COUNTA(C309:C1350)=0,COUNTA(Q309:Q1350)=0),"""",OR(AND(K309&gt;=1000000000,OR(Y309&gt;=1000000000,COUNTA(Q309:Q1350)=0)),OR(Y309&gt;=1000000000,AND(COUNTA(C309:C1350)=0,P$3=TRUE))),
ROUNDDOWN((AB$1-AC$1)*MAX(INDEX(T$4:T1350,MATCH(LARGE(FILTER(Y$4:Y1350,Y$4"&amp;":Y1350&lt;1000000000),1),Y$4:Y1350)),INDEX(F$4:F1350,MATCH(LARGE(FILTER(K$4:K1350,K$4:K1350&lt;1000000000),1),K$4:K1350)))),AND(K309&lt;1000000000,COUNTA(C309:C1350)&gt;0,P$3=FALSE),
ROUNDDOWN(INDEX(Y$4:Y1350,MATCH(LARGE(FILTER(W$4:W1350,W$4:W1350&lt;=I309),1),W$4:W1350"&amp;"))+(I309-LARGE(FILTER(W$4:W1350,W$4:W1350&lt;=I309),1))*INDEX(T$4:T1350,MATCH(LARGE(FILTER(W$4:W1350,W$4:W1350&lt;=I309),1),W$4:W1350))-K309),1,
ROUNDDOWN(Y309-INDEX(K$4:K1350,MATCH(LARGE(FILTER(I$4:I1350,I$4:I1350&lt;=W309),1),I$4:I1350))-(W309-LARGE(FILTER(I$4:I"&amp;"1350,I$4:I1350&lt;=W309),1))*INDEX(F$4:F1350,MATCH(LARGE(FILTER(I$4:I1350,I$4:I1350&lt;=W309),1),I$4:I1350))))"),4.3092685E7)</f>
        <v>43092685</v>
      </c>
      <c r="N309" s="60">
        <f t="shared" si="8"/>
        <v>-265.96512</v>
      </c>
      <c r="O309" s="61" t="str">
        <f t="shared" si="9"/>
        <v>43,1M</v>
      </c>
      <c r="P309" s="56">
        <f t="shared" si="10"/>
        <v>48</v>
      </c>
      <c r="Q309" s="105" t="s">
        <v>59</v>
      </c>
      <c r="R309" s="10" t="b">
        <f>IFERROR(__xludf.DUMMYFUNCTION("IF(COUNTA(Q309:Q1350)=0,"""",IF(ISBLANK(Q309),FALSE,IF(NOT(COUNTIF($AA$24:$AA$34,SUBSTITUTE(Q309,""Sell_"",""""))),1,IF(REGEXMATCH(Q309,""Sell_""),IF(COUNTIF(Q$4:Q309,SUBSTITUTE(Q309,""Sell_"",""""))-COUNTIF(Q$4:Q308,Q309)&lt;1,1),FALSE))))"),FALSE)</f>
        <v>0</v>
      </c>
      <c r="S309" s="59">
        <f t="array" ref="S309">IF(COUNTA(Q309:Q1350)=0,"",SUM((COUNTIF(Q$4:Q309,Upgrades!$B$3:$B$13)-COUNTIF(Q$4:Q309,"Sell_"&amp;Upgrades!$B$3:$B$13))*Upgrades!$D$3:$D$13))</f>
        <v>204700</v>
      </c>
      <c r="T309" s="66">
        <f>IFERROR(__xludf.DUMMYFUNCTION("IF(COUNTA(Q309:Q1350)=0,"""",IF(REGEXMATCH(INDEX(FILTER(Q$4:Q309,Q$4:Q309&lt;&gt;""""),ROWS(FILTER(Q$4:Q309,Q$4:Q309&lt;&gt;""""))),""^Sell_""),INDEX(FILTER(T$4:T308,Q$4:Q308&lt;&gt;""""),ROWS(FILTER(Q$4:Q308,Q$4:Q308&lt;&gt;""""))),$AD$5+S309))"),212106.0)</f>
        <v>212106</v>
      </c>
      <c r="U309" s="10">
        <f>IFERROR(__xludf.DUMMYFUNCTION("IF(COUNTA(Q309:Q1350)=0,"""",IF(Q309="""",0,IF(REGEXMATCH(Q309,""^Sell_""),-ROUNDDOWN(ROUNDUP(INDEX(Upgrades!$C$3:$C$13,MATCH(SUBSTITUTE(Q309,""Sell_"",""""),Upgrades!$B$3:$B$13,0))*1.15^(COUNTIF(Q$4:Q308,SUBSTITUTE(Q309,""Sell_"",""""))-COUNTIF(Q$4:Q308,"&amp;"""Sell_""&amp;SUBSTITUTE(Q309,""Sell_"",""""))))/2),ROUNDUP(INDEX(Upgrades!$C$3:$C$13,MATCH(Q309,Upgrades!$B$3:$B$13,0))*1.15^(COUNTIF(Q$4:Q308,Q309)-COUNTIF(Q$4:Q308,""Sell_""&amp;Q309))))))"),-11565.0)</f>
        <v>-11565</v>
      </c>
      <c r="V309" s="10">
        <f t="shared" si="11"/>
        <v>-8186625</v>
      </c>
      <c r="W309" s="68">
        <f t="shared" si="12"/>
        <v>4647.88374</v>
      </c>
      <c r="X309" s="59" t="str">
        <f t="shared" si="13"/>
        <v>1h 17m 27s</v>
      </c>
      <c r="Y309" s="69">
        <f t="shared" si="14"/>
        <v>251843441</v>
      </c>
      <c r="Z309" s="11"/>
    </row>
    <row r="310">
      <c r="A310" s="8"/>
      <c r="B310" s="56" t="str">
        <f t="shared" si="2"/>
        <v/>
      </c>
      <c r="C310" s="57"/>
      <c r="D310" s="10" t="str">
        <f>IFERROR(__xludf.DUMMYFUNCTION("IF(COUNTA(C310:C1350)=0,"""",IF(ISBLANK(C310),FALSE,IF(NOT(COUNTIF($AA$24:$AA$34,SUBSTITUTE(C310,""Sell_"",""""))),1,IF(REGEXMATCH(C310,""Sell_""),IF(COUNTIF(C$4:C310,SUBSTITUTE(C310,""Sell_"",""""))-COUNTIF(C$4:C309,C310)&lt;1,1),FALSE))))"),"")</f>
        <v/>
      </c>
      <c r="E310" s="59" t="str">
        <f t="array" ref="E310">IF(COUNTA(C310:C1350)=0,"",SUM((COUNTIF(C$4:C310,Upgrades!$B$3:$B$13)-COUNTIF(C$4:C310,"Sell_"&amp;Upgrades!$B$3:$B$13))*Upgrades!$D$3:$D$13))</f>
        <v/>
      </c>
      <c r="F310" s="66" t="str">
        <f>IFERROR(__xludf.DUMMYFUNCTION("IF(COUNTA(C310:C1350)=0,"""",IF(REGEXMATCH(INDEX(FILTER(C$4:C310,C$4:C310&lt;&gt;""""),ROWS(FILTER(C$4:C310,C$4:C310&lt;&gt;""""))),""^Sell_""),INDEX(FILTER(F$4:F309,C$4:C309&lt;&gt;""""),ROWS(FILTER(C$4:C309,C$4:C309&lt;&gt;""""))),$AC$5+E310))"),"")</f>
        <v/>
      </c>
      <c r="G310" s="10" t="str">
        <f>IFERROR(__xludf.DUMMYFUNCTION("IF(COUNTA(C310:C1350)=0,"""",IF(C310="""",0,IF(REGEXMATCH(C310,""^Sell_""),-ROUNDDOWN(ROUNDUP(INDEX(Upgrades!$C$3:$C$13,MATCH(SUBSTITUTE(C310,""Sell_"",""""),Upgrades!$B$3:$B$13,0))*1.15^(COUNTIF(C$4:C309,SUBSTITUTE(C310,""Sell_"",""""))-COUNTIF(C$4:C309,"&amp;"""Sell_""&amp;SUBSTITUTE(C310,""Sell_"",""""))))/2),ROUNDUP(INDEX(Upgrades!$C$3:$C$13,MATCH(C310,Upgrades!$B$3:$B$13,0))*1.15^(COUNTIF(C$4:C309,C310)-COUNTIF(C$4:C309,""Sell_""&amp;C310))))))"),"")</f>
        <v/>
      </c>
      <c r="H310" s="10" t="str">
        <f t="shared" si="3"/>
        <v/>
      </c>
      <c r="I310" s="68" t="str">
        <f t="shared" si="4"/>
        <v/>
      </c>
      <c r="J310" s="59" t="str">
        <f t="shared" si="5"/>
        <v/>
      </c>
      <c r="K310" s="69" t="str">
        <f t="shared" si="6"/>
        <v/>
      </c>
      <c r="L310" s="60">
        <f t="shared" si="7"/>
        <v>-265.96512</v>
      </c>
      <c r="M310" s="61">
        <f>IFERROR(__xludf.DUMMYFUNCTION("IFS(AND(COUNTA(C310:C1350)=0,COUNTA(Q310:Q1350)=0),"""",OR(AND(K310&gt;=1000000000,OR(Y310&gt;=1000000000,COUNTA(Q310:Q1350)=0)),OR(Y310&gt;=1000000000,AND(COUNTA(C310:C1350)=0,P$3=TRUE))),
ROUNDDOWN((AB$1-AC$1)*MAX(INDEX(T$4:T1350,MATCH(LARGE(FILTER(Y$4:Y1350,Y$4"&amp;":Y1350&lt;1000000000),1),Y$4:Y1350)),INDEX(F$4:F1350,MATCH(LARGE(FILTER(K$4:K1350,K$4:K1350&lt;1000000000),1),K$4:K1350)))),AND(K310&lt;1000000000,COUNTA(C310:C1350)&gt;0,P$3=FALSE),
ROUNDDOWN(INDEX(Y$4:Y1350,MATCH(LARGE(FILTER(W$4:W1350,W$4:W1350&lt;=I310),1),W$4:W1350"&amp;"))+(I310-LARGE(FILTER(W$4:W1350,W$4:W1350&lt;=I310),1))*INDEX(T$4:T1350,MATCH(LARGE(FILTER(W$4:W1350,W$4:W1350&lt;=I310),1),W$4:W1350))-K310),1,
ROUNDDOWN(Y310-INDEX(K$4:K1350,MATCH(LARGE(FILTER(I$4:I1350,I$4:I1350&lt;=W310),1),I$4:I1350))-(W310-LARGE(FILTER(I$4:I"&amp;"1350,I$4:I1350&lt;=W310),1))*INDEX(F$4:F1350,MATCH(LARGE(FILTER(I$4:I1350,I$4:I1350&lt;=W310),1),I$4:I1350))))"),4.3092685E7)</f>
        <v>43092685</v>
      </c>
      <c r="N310" s="60">
        <f t="shared" si="8"/>
        <v>-265.96512</v>
      </c>
      <c r="O310" s="61" t="str">
        <f t="shared" si="9"/>
        <v>43,1M</v>
      </c>
      <c r="P310" s="56">
        <f t="shared" si="10"/>
        <v>49</v>
      </c>
      <c r="Q310" s="105" t="s">
        <v>59</v>
      </c>
      <c r="R310" s="10" t="b">
        <f>IFERROR(__xludf.DUMMYFUNCTION("IF(COUNTA(Q310:Q1350)=0,"""",IF(ISBLANK(Q310),FALSE,IF(NOT(COUNTIF($AA$24:$AA$34,SUBSTITUTE(Q310,""Sell_"",""""))),1,IF(REGEXMATCH(Q310,""Sell_""),IF(COUNTIF(Q$4:Q310,SUBSTITUTE(Q310,""Sell_"",""""))-COUNTIF(Q$4:Q309,Q310)&lt;1,1),FALSE))))"),FALSE)</f>
        <v>0</v>
      </c>
      <c r="S310" s="59">
        <f t="array" ref="S310">IF(COUNTA(Q310:Q1350)=0,"",SUM((COUNTIF(Q$4:Q310,Upgrades!$B$3:$B$13)-COUNTIF(Q$4:Q310,"Sell_"&amp;Upgrades!$B$3:$B$13))*Upgrades!$D$3:$D$13))</f>
        <v>204660</v>
      </c>
      <c r="T310" s="66">
        <f>IFERROR(__xludf.DUMMYFUNCTION("IF(COUNTA(Q310:Q1350)=0,"""",IF(REGEXMATCH(INDEX(FILTER(Q$4:Q310,Q$4:Q310&lt;&gt;""""),ROWS(FILTER(Q$4:Q310,Q$4:Q310&lt;&gt;""""))),""^Sell_""),INDEX(FILTER(T$4:T309,Q$4:Q309&lt;&gt;""""),ROWS(FILTER(Q$4:Q309,Q$4:Q309&lt;&gt;""""))),$AD$5+S310))"),212106.0)</f>
        <v>212106</v>
      </c>
      <c r="U310" s="10">
        <f>IFERROR(__xludf.DUMMYFUNCTION("IF(COUNTA(Q310:Q1350)=0,"""",IF(Q310="""",0,IF(REGEXMATCH(Q310,""^Sell_""),-ROUNDDOWN(ROUNDUP(INDEX(Upgrades!$C$3:$C$13,MATCH(SUBSTITUTE(Q310,""Sell_"",""""),Upgrades!$B$3:$B$13,0))*1.15^(COUNTIF(Q$4:Q309,SUBSTITUTE(Q310,""Sell_"",""""))-COUNTIF(Q$4:Q309,"&amp;"""Sell_""&amp;SUBSTITUTE(Q310,""Sell_"",""""))))/2),ROUNDUP(INDEX(Upgrades!$C$3:$C$13,MATCH(Q310,Upgrades!$B$3:$B$13,0))*1.15^(COUNTIF(Q$4:Q309,Q310)-COUNTIF(Q$4:Q309,""Sell_""&amp;Q310))))))"),-10057.0)</f>
        <v>-10057</v>
      </c>
      <c r="V310" s="10">
        <f t="shared" si="11"/>
        <v>-8196682</v>
      </c>
      <c r="W310" s="68">
        <f t="shared" si="12"/>
        <v>4647.88374</v>
      </c>
      <c r="X310" s="59" t="str">
        <f t="shared" si="13"/>
        <v>1h 17m 27s</v>
      </c>
      <c r="Y310" s="69">
        <f t="shared" si="14"/>
        <v>251843441</v>
      </c>
      <c r="Z310" s="11"/>
    </row>
    <row r="311">
      <c r="A311" s="8"/>
      <c r="B311" s="56" t="str">
        <f t="shared" si="2"/>
        <v/>
      </c>
      <c r="C311" s="57"/>
      <c r="D311" s="10" t="str">
        <f>IFERROR(__xludf.DUMMYFUNCTION("IF(COUNTA(C311:C1350)=0,"""",IF(ISBLANK(C311),FALSE,IF(NOT(COUNTIF($AA$24:$AA$34,SUBSTITUTE(C311,""Sell_"",""""))),1,IF(REGEXMATCH(C311,""Sell_""),IF(COUNTIF(C$4:C311,SUBSTITUTE(C311,""Sell_"",""""))-COUNTIF(C$4:C310,C311)&lt;1,1),FALSE))))"),"")</f>
        <v/>
      </c>
      <c r="E311" s="59" t="str">
        <f t="array" ref="E311">IF(COUNTA(C311:C1350)=0,"",SUM((COUNTIF(C$4:C311,Upgrades!$B$3:$B$13)-COUNTIF(C$4:C311,"Sell_"&amp;Upgrades!$B$3:$B$13))*Upgrades!$D$3:$D$13))</f>
        <v/>
      </c>
      <c r="F311" s="66" t="str">
        <f>IFERROR(__xludf.DUMMYFUNCTION("IF(COUNTA(C311:C1350)=0,"""",IF(REGEXMATCH(INDEX(FILTER(C$4:C311,C$4:C311&lt;&gt;""""),ROWS(FILTER(C$4:C311,C$4:C311&lt;&gt;""""))),""^Sell_""),INDEX(FILTER(F$4:F310,C$4:C310&lt;&gt;""""),ROWS(FILTER(C$4:C310,C$4:C310&lt;&gt;""""))),$AC$5+E311))"),"")</f>
        <v/>
      </c>
      <c r="G311" s="10" t="str">
        <f>IFERROR(__xludf.DUMMYFUNCTION("IF(COUNTA(C311:C1350)=0,"""",IF(C311="""",0,IF(REGEXMATCH(C311,""^Sell_""),-ROUNDDOWN(ROUNDUP(INDEX(Upgrades!$C$3:$C$13,MATCH(SUBSTITUTE(C311,""Sell_"",""""),Upgrades!$B$3:$B$13,0))*1.15^(COUNTIF(C$4:C310,SUBSTITUTE(C311,""Sell_"",""""))-COUNTIF(C$4:C310,"&amp;"""Sell_""&amp;SUBSTITUTE(C311,""Sell_"",""""))))/2),ROUNDUP(INDEX(Upgrades!$C$3:$C$13,MATCH(C311,Upgrades!$B$3:$B$13,0))*1.15^(COUNTIF(C$4:C310,C311)-COUNTIF(C$4:C310,""Sell_""&amp;C311))))))"),"")</f>
        <v/>
      </c>
      <c r="H311" s="10" t="str">
        <f t="shared" si="3"/>
        <v/>
      </c>
      <c r="I311" s="68" t="str">
        <f t="shared" si="4"/>
        <v/>
      </c>
      <c r="J311" s="59" t="str">
        <f t="shared" si="5"/>
        <v/>
      </c>
      <c r="K311" s="69" t="str">
        <f t="shared" si="6"/>
        <v/>
      </c>
      <c r="L311" s="60">
        <f t="shared" si="7"/>
        <v>-265.96512</v>
      </c>
      <c r="M311" s="61">
        <f>IFERROR(__xludf.DUMMYFUNCTION("IFS(AND(COUNTA(C311:C1350)=0,COUNTA(Q311:Q1350)=0),"""",OR(AND(K311&gt;=1000000000,OR(Y311&gt;=1000000000,COUNTA(Q311:Q1350)=0)),OR(Y311&gt;=1000000000,AND(COUNTA(C311:C1350)=0,P$3=TRUE))),
ROUNDDOWN((AB$1-AC$1)*MAX(INDEX(T$4:T1350,MATCH(LARGE(FILTER(Y$4:Y1350,Y$4"&amp;":Y1350&lt;1000000000),1),Y$4:Y1350)),INDEX(F$4:F1350,MATCH(LARGE(FILTER(K$4:K1350,K$4:K1350&lt;1000000000),1),K$4:K1350)))),AND(K311&lt;1000000000,COUNTA(C311:C1350)&gt;0,P$3=FALSE),
ROUNDDOWN(INDEX(Y$4:Y1350,MATCH(LARGE(FILTER(W$4:W1350,W$4:W1350&lt;=I311),1),W$4:W1350"&amp;"))+(I311-LARGE(FILTER(W$4:W1350,W$4:W1350&lt;=I311),1))*INDEX(T$4:T1350,MATCH(LARGE(FILTER(W$4:W1350,W$4:W1350&lt;=I311),1),W$4:W1350))-K311),1,
ROUNDDOWN(Y311-INDEX(K$4:K1350,MATCH(LARGE(FILTER(I$4:I1350,I$4:I1350&lt;=W311),1),I$4:I1350))-(W311-LARGE(FILTER(I$4:I"&amp;"1350,I$4:I1350&lt;=W311),1))*INDEX(F$4:F1350,MATCH(LARGE(FILTER(I$4:I1350,I$4:I1350&lt;=W311),1),I$4:I1350))))"),4.3092685E7)</f>
        <v>43092685</v>
      </c>
      <c r="N311" s="60">
        <f t="shared" si="8"/>
        <v>-265.96512</v>
      </c>
      <c r="O311" s="61" t="str">
        <f t="shared" si="9"/>
        <v>43,1M</v>
      </c>
      <c r="P311" s="56">
        <f t="shared" si="10"/>
        <v>50</v>
      </c>
      <c r="Q311" s="105" t="s">
        <v>59</v>
      </c>
      <c r="R311" s="10" t="b">
        <f>IFERROR(__xludf.DUMMYFUNCTION("IF(COUNTA(Q311:Q1350)=0,"""",IF(ISBLANK(Q311),FALSE,IF(NOT(COUNTIF($AA$24:$AA$34,SUBSTITUTE(Q311,""Sell_"",""""))),1,IF(REGEXMATCH(Q311,""Sell_""),IF(COUNTIF(Q$4:Q311,SUBSTITUTE(Q311,""Sell_"",""""))-COUNTIF(Q$4:Q310,Q311)&lt;1,1),FALSE))))"),FALSE)</f>
        <v>0</v>
      </c>
      <c r="S311" s="59">
        <f t="array" ref="S311">IF(COUNTA(Q311:Q1350)=0,"",SUM((COUNTIF(Q$4:Q311,Upgrades!$B$3:$B$13)-COUNTIF(Q$4:Q311,"Sell_"&amp;Upgrades!$B$3:$B$13))*Upgrades!$D$3:$D$13))</f>
        <v>204620</v>
      </c>
      <c r="T311" s="66">
        <f>IFERROR(__xludf.DUMMYFUNCTION("IF(COUNTA(Q311:Q1350)=0,"""",IF(REGEXMATCH(INDEX(FILTER(Q$4:Q311,Q$4:Q311&lt;&gt;""""),ROWS(FILTER(Q$4:Q311,Q$4:Q311&lt;&gt;""""))),""^Sell_""),INDEX(FILTER(T$4:T310,Q$4:Q310&lt;&gt;""""),ROWS(FILTER(Q$4:Q310,Q$4:Q310&lt;&gt;""""))),$AD$5+S311))"),212106.0)</f>
        <v>212106</v>
      </c>
      <c r="U311" s="10">
        <f>IFERROR(__xludf.DUMMYFUNCTION("IF(COUNTA(Q311:Q1350)=0,"""",IF(Q311="""",0,IF(REGEXMATCH(Q311,""^Sell_""),-ROUNDDOWN(ROUNDUP(INDEX(Upgrades!$C$3:$C$13,MATCH(SUBSTITUTE(Q311,""Sell_"",""""),Upgrades!$B$3:$B$13,0))*1.15^(COUNTIF(Q$4:Q310,SUBSTITUTE(Q311,""Sell_"",""""))-COUNTIF(Q$4:Q310,"&amp;"""Sell_""&amp;SUBSTITUTE(Q311,""Sell_"",""""))))/2),ROUNDUP(INDEX(Upgrades!$C$3:$C$13,MATCH(Q311,Upgrades!$B$3:$B$13,0))*1.15^(COUNTIF(Q$4:Q310,Q311)-COUNTIF(Q$4:Q310,""Sell_""&amp;Q311))))))"),-8745.0)</f>
        <v>-8745</v>
      </c>
      <c r="V311" s="10">
        <f t="shared" si="11"/>
        <v>-8205427</v>
      </c>
      <c r="W311" s="68">
        <f t="shared" si="12"/>
        <v>4647.88374</v>
      </c>
      <c r="X311" s="59" t="str">
        <f t="shared" si="13"/>
        <v>1h 17m 27s</v>
      </c>
      <c r="Y311" s="69">
        <f t="shared" si="14"/>
        <v>251843441</v>
      </c>
      <c r="Z311" s="11"/>
    </row>
    <row r="312">
      <c r="A312" s="8"/>
      <c r="B312" s="56" t="str">
        <f t="shared" si="2"/>
        <v/>
      </c>
      <c r="C312" s="57"/>
      <c r="D312" s="10" t="str">
        <f>IFERROR(__xludf.DUMMYFUNCTION("IF(COUNTA(C312:C1350)=0,"""",IF(ISBLANK(C312),FALSE,IF(NOT(COUNTIF($AA$24:$AA$34,SUBSTITUTE(C312,""Sell_"",""""))),1,IF(REGEXMATCH(C312,""Sell_""),IF(COUNTIF(C$4:C312,SUBSTITUTE(C312,""Sell_"",""""))-COUNTIF(C$4:C311,C312)&lt;1,1),FALSE))))"),"")</f>
        <v/>
      </c>
      <c r="E312" s="59" t="str">
        <f t="array" ref="E312">IF(COUNTA(C312:C1350)=0,"",SUM((COUNTIF(C$4:C312,Upgrades!$B$3:$B$13)-COUNTIF(C$4:C312,"Sell_"&amp;Upgrades!$B$3:$B$13))*Upgrades!$D$3:$D$13))</f>
        <v/>
      </c>
      <c r="F312" s="66" t="str">
        <f>IFERROR(__xludf.DUMMYFUNCTION("IF(COUNTA(C312:C1350)=0,"""",IF(REGEXMATCH(INDEX(FILTER(C$4:C312,C$4:C312&lt;&gt;""""),ROWS(FILTER(C$4:C312,C$4:C312&lt;&gt;""""))),""^Sell_""),INDEX(FILTER(F$4:F311,C$4:C311&lt;&gt;""""),ROWS(FILTER(C$4:C311,C$4:C311&lt;&gt;""""))),$AC$5+E312))"),"")</f>
        <v/>
      </c>
      <c r="G312" s="10" t="str">
        <f>IFERROR(__xludf.DUMMYFUNCTION("IF(COUNTA(C312:C1350)=0,"""",IF(C312="""",0,IF(REGEXMATCH(C312,""^Sell_""),-ROUNDDOWN(ROUNDUP(INDEX(Upgrades!$C$3:$C$13,MATCH(SUBSTITUTE(C312,""Sell_"",""""),Upgrades!$B$3:$B$13,0))*1.15^(COUNTIF(C$4:C311,SUBSTITUTE(C312,""Sell_"",""""))-COUNTIF(C$4:C311,"&amp;"""Sell_""&amp;SUBSTITUTE(C312,""Sell_"",""""))))/2),ROUNDUP(INDEX(Upgrades!$C$3:$C$13,MATCH(C312,Upgrades!$B$3:$B$13,0))*1.15^(COUNTIF(C$4:C311,C312)-COUNTIF(C$4:C311,""Sell_""&amp;C312))))))"),"")</f>
        <v/>
      </c>
      <c r="H312" s="10" t="str">
        <f t="shared" si="3"/>
        <v/>
      </c>
      <c r="I312" s="68" t="str">
        <f t="shared" si="4"/>
        <v/>
      </c>
      <c r="J312" s="59" t="str">
        <f t="shared" si="5"/>
        <v/>
      </c>
      <c r="K312" s="69" t="str">
        <f t="shared" si="6"/>
        <v/>
      </c>
      <c r="L312" s="60">
        <f t="shared" si="7"/>
        <v>-265.96512</v>
      </c>
      <c r="M312" s="61">
        <f>IFERROR(__xludf.DUMMYFUNCTION("IFS(AND(COUNTA(C312:C1350)=0,COUNTA(Q312:Q1350)=0),"""",OR(AND(K312&gt;=1000000000,OR(Y312&gt;=1000000000,COUNTA(Q312:Q1350)=0)),OR(Y312&gt;=1000000000,AND(COUNTA(C312:C1350)=0,P$3=TRUE))),
ROUNDDOWN((AB$1-AC$1)*MAX(INDEX(T$4:T1350,MATCH(LARGE(FILTER(Y$4:Y1350,Y$4"&amp;":Y1350&lt;1000000000),1),Y$4:Y1350)),INDEX(F$4:F1350,MATCH(LARGE(FILTER(K$4:K1350,K$4:K1350&lt;1000000000),1),K$4:K1350)))),AND(K312&lt;1000000000,COUNTA(C312:C1350)&gt;0,P$3=FALSE),
ROUNDDOWN(INDEX(Y$4:Y1350,MATCH(LARGE(FILTER(W$4:W1350,W$4:W1350&lt;=I312),1),W$4:W1350"&amp;"))+(I312-LARGE(FILTER(W$4:W1350,W$4:W1350&lt;=I312),1))*INDEX(T$4:T1350,MATCH(LARGE(FILTER(W$4:W1350,W$4:W1350&lt;=I312),1),W$4:W1350))-K312),1,
ROUNDDOWN(Y312-INDEX(K$4:K1350,MATCH(LARGE(FILTER(I$4:I1350,I$4:I1350&lt;=W312),1),I$4:I1350))-(W312-LARGE(FILTER(I$4:I"&amp;"1350,I$4:I1350&lt;=W312),1))*INDEX(F$4:F1350,MATCH(LARGE(FILTER(I$4:I1350,I$4:I1350&lt;=W312),1),I$4:I1350))))"),4.3092685E7)</f>
        <v>43092685</v>
      </c>
      <c r="N312" s="60">
        <f t="shared" si="8"/>
        <v>-265.96512</v>
      </c>
      <c r="O312" s="61" t="str">
        <f t="shared" si="9"/>
        <v>43,1M</v>
      </c>
      <c r="P312" s="56">
        <f t="shared" si="10"/>
        <v>51</v>
      </c>
      <c r="Q312" s="105" t="s">
        <v>59</v>
      </c>
      <c r="R312" s="10" t="b">
        <f>IFERROR(__xludf.DUMMYFUNCTION("IF(COUNTA(Q312:Q1350)=0,"""",IF(ISBLANK(Q312),FALSE,IF(NOT(COUNTIF($AA$24:$AA$34,SUBSTITUTE(Q312,""Sell_"",""""))),1,IF(REGEXMATCH(Q312,""Sell_""),IF(COUNTIF(Q$4:Q312,SUBSTITUTE(Q312,""Sell_"",""""))-COUNTIF(Q$4:Q311,Q312)&lt;1,1),FALSE))))"),FALSE)</f>
        <v>0</v>
      </c>
      <c r="S312" s="59">
        <f t="array" ref="S312">IF(COUNTA(Q312:Q1350)=0,"",SUM((COUNTIF(Q$4:Q312,Upgrades!$B$3:$B$13)-COUNTIF(Q$4:Q312,"Sell_"&amp;Upgrades!$B$3:$B$13))*Upgrades!$D$3:$D$13))</f>
        <v>204580</v>
      </c>
      <c r="T312" s="66">
        <f>IFERROR(__xludf.DUMMYFUNCTION("IF(COUNTA(Q312:Q1350)=0,"""",IF(REGEXMATCH(INDEX(FILTER(Q$4:Q312,Q$4:Q312&lt;&gt;""""),ROWS(FILTER(Q$4:Q312,Q$4:Q312&lt;&gt;""""))),""^Sell_""),INDEX(FILTER(T$4:T311,Q$4:Q311&lt;&gt;""""),ROWS(FILTER(Q$4:Q311,Q$4:Q311&lt;&gt;""""))),$AD$5+S312))"),212106.0)</f>
        <v>212106</v>
      </c>
      <c r="U312" s="10">
        <f>IFERROR(__xludf.DUMMYFUNCTION("IF(COUNTA(Q312:Q1350)=0,"""",IF(Q312="""",0,IF(REGEXMATCH(Q312,""^Sell_""),-ROUNDDOWN(ROUNDUP(INDEX(Upgrades!$C$3:$C$13,MATCH(SUBSTITUTE(Q312,""Sell_"",""""),Upgrades!$B$3:$B$13,0))*1.15^(COUNTIF(Q$4:Q311,SUBSTITUTE(Q312,""Sell_"",""""))-COUNTIF(Q$4:Q311,"&amp;"""Sell_""&amp;SUBSTITUTE(Q312,""Sell_"",""""))))/2),ROUNDUP(INDEX(Upgrades!$C$3:$C$13,MATCH(Q312,Upgrades!$B$3:$B$13,0))*1.15^(COUNTIF(Q$4:Q311,Q312)-COUNTIF(Q$4:Q311,""Sell_""&amp;Q312))))))"),-7604.0)</f>
        <v>-7604</v>
      </c>
      <c r="V312" s="10">
        <f t="shared" si="11"/>
        <v>-8213031</v>
      </c>
      <c r="W312" s="68">
        <f t="shared" si="12"/>
        <v>4647.88374</v>
      </c>
      <c r="X312" s="59" t="str">
        <f t="shared" si="13"/>
        <v>1h 17m 27s</v>
      </c>
      <c r="Y312" s="69">
        <f t="shared" si="14"/>
        <v>251843441</v>
      </c>
      <c r="Z312" s="11"/>
    </row>
    <row r="313">
      <c r="A313" s="8"/>
      <c r="B313" s="56" t="str">
        <f t="shared" si="2"/>
        <v/>
      </c>
      <c r="C313" s="57"/>
      <c r="D313" s="10" t="str">
        <f>IFERROR(__xludf.DUMMYFUNCTION("IF(COUNTA(C313:C1350)=0,"""",IF(ISBLANK(C313),FALSE,IF(NOT(COUNTIF($AA$24:$AA$34,SUBSTITUTE(C313,""Sell_"",""""))),1,IF(REGEXMATCH(C313,""Sell_""),IF(COUNTIF(C$4:C313,SUBSTITUTE(C313,""Sell_"",""""))-COUNTIF(C$4:C312,C313)&lt;1,1),FALSE))))"),"")</f>
        <v/>
      </c>
      <c r="E313" s="59" t="str">
        <f t="array" ref="E313">IF(COUNTA(C313:C1350)=0,"",SUM((COUNTIF(C$4:C313,Upgrades!$B$3:$B$13)-COUNTIF(C$4:C313,"Sell_"&amp;Upgrades!$B$3:$B$13))*Upgrades!$D$3:$D$13))</f>
        <v/>
      </c>
      <c r="F313" s="66" t="str">
        <f>IFERROR(__xludf.DUMMYFUNCTION("IF(COUNTA(C313:C1350)=0,"""",IF(REGEXMATCH(INDEX(FILTER(C$4:C313,C$4:C313&lt;&gt;""""),ROWS(FILTER(C$4:C313,C$4:C313&lt;&gt;""""))),""^Sell_""),INDEX(FILTER(F$4:F312,C$4:C312&lt;&gt;""""),ROWS(FILTER(C$4:C312,C$4:C312&lt;&gt;""""))),$AC$5+E313))"),"")</f>
        <v/>
      </c>
      <c r="G313" s="10" t="str">
        <f>IFERROR(__xludf.DUMMYFUNCTION("IF(COUNTA(C313:C1350)=0,"""",IF(C313="""",0,IF(REGEXMATCH(C313,""^Sell_""),-ROUNDDOWN(ROUNDUP(INDEX(Upgrades!$C$3:$C$13,MATCH(SUBSTITUTE(C313,""Sell_"",""""),Upgrades!$B$3:$B$13,0))*1.15^(COUNTIF(C$4:C312,SUBSTITUTE(C313,""Sell_"",""""))-COUNTIF(C$4:C312,"&amp;"""Sell_""&amp;SUBSTITUTE(C313,""Sell_"",""""))))/2),ROUNDUP(INDEX(Upgrades!$C$3:$C$13,MATCH(C313,Upgrades!$B$3:$B$13,0))*1.15^(COUNTIF(C$4:C312,C313)-COUNTIF(C$4:C312,""Sell_""&amp;C313))))))"),"")</f>
        <v/>
      </c>
      <c r="H313" s="10" t="str">
        <f t="shared" si="3"/>
        <v/>
      </c>
      <c r="I313" s="68" t="str">
        <f t="shared" si="4"/>
        <v/>
      </c>
      <c r="J313" s="59" t="str">
        <f t="shared" si="5"/>
        <v/>
      </c>
      <c r="K313" s="69" t="str">
        <f t="shared" si="6"/>
        <v/>
      </c>
      <c r="L313" s="60">
        <f t="shared" si="7"/>
        <v>-265.96512</v>
      </c>
      <c r="M313" s="61">
        <f>IFERROR(__xludf.DUMMYFUNCTION("IFS(AND(COUNTA(C313:C1350)=0,COUNTA(Q313:Q1350)=0),"""",OR(AND(K313&gt;=1000000000,OR(Y313&gt;=1000000000,COUNTA(Q313:Q1350)=0)),OR(Y313&gt;=1000000000,AND(COUNTA(C313:C1350)=0,P$3=TRUE))),
ROUNDDOWN((AB$1-AC$1)*MAX(INDEX(T$4:T1350,MATCH(LARGE(FILTER(Y$4:Y1350,Y$4"&amp;":Y1350&lt;1000000000),1),Y$4:Y1350)),INDEX(F$4:F1350,MATCH(LARGE(FILTER(K$4:K1350,K$4:K1350&lt;1000000000),1),K$4:K1350)))),AND(K313&lt;1000000000,COUNTA(C313:C1350)&gt;0,P$3=FALSE),
ROUNDDOWN(INDEX(Y$4:Y1350,MATCH(LARGE(FILTER(W$4:W1350,W$4:W1350&lt;=I313),1),W$4:W1350"&amp;"))+(I313-LARGE(FILTER(W$4:W1350,W$4:W1350&lt;=I313),1))*INDEX(T$4:T1350,MATCH(LARGE(FILTER(W$4:W1350,W$4:W1350&lt;=I313),1),W$4:W1350))-K313),1,
ROUNDDOWN(Y313-INDEX(K$4:K1350,MATCH(LARGE(FILTER(I$4:I1350,I$4:I1350&lt;=W313),1),I$4:I1350))-(W313-LARGE(FILTER(I$4:I"&amp;"1350,I$4:I1350&lt;=W313),1))*INDEX(F$4:F1350,MATCH(LARGE(FILTER(I$4:I1350,I$4:I1350&lt;=W313),1),I$4:I1350))))"),4.3092685E7)</f>
        <v>43092685</v>
      </c>
      <c r="N313" s="60">
        <f t="shared" si="8"/>
        <v>-265.96512</v>
      </c>
      <c r="O313" s="61" t="str">
        <f t="shared" si="9"/>
        <v>43,1M</v>
      </c>
      <c r="P313" s="56">
        <f t="shared" si="10"/>
        <v>52</v>
      </c>
      <c r="Q313" s="105" t="s">
        <v>59</v>
      </c>
      <c r="R313" s="10" t="b">
        <f>IFERROR(__xludf.DUMMYFUNCTION("IF(COUNTA(Q313:Q1350)=0,"""",IF(ISBLANK(Q313),FALSE,IF(NOT(COUNTIF($AA$24:$AA$34,SUBSTITUTE(Q313,""Sell_"",""""))),1,IF(REGEXMATCH(Q313,""Sell_""),IF(COUNTIF(Q$4:Q313,SUBSTITUTE(Q313,""Sell_"",""""))-COUNTIF(Q$4:Q312,Q313)&lt;1,1),FALSE))))"),FALSE)</f>
        <v>0</v>
      </c>
      <c r="S313" s="59">
        <f t="array" ref="S313">IF(COUNTA(Q313:Q1350)=0,"",SUM((COUNTIF(Q$4:Q313,Upgrades!$B$3:$B$13)-COUNTIF(Q$4:Q313,"Sell_"&amp;Upgrades!$B$3:$B$13))*Upgrades!$D$3:$D$13))</f>
        <v>204540</v>
      </c>
      <c r="T313" s="66">
        <f>IFERROR(__xludf.DUMMYFUNCTION("IF(COUNTA(Q313:Q1350)=0,"""",IF(REGEXMATCH(INDEX(FILTER(Q$4:Q313,Q$4:Q313&lt;&gt;""""),ROWS(FILTER(Q$4:Q313,Q$4:Q313&lt;&gt;""""))),""^Sell_""),INDEX(FILTER(T$4:T312,Q$4:Q312&lt;&gt;""""),ROWS(FILTER(Q$4:Q312,Q$4:Q312&lt;&gt;""""))),$AD$5+S313))"),212106.0)</f>
        <v>212106</v>
      </c>
      <c r="U313" s="10">
        <f>IFERROR(__xludf.DUMMYFUNCTION("IF(COUNTA(Q313:Q1350)=0,"""",IF(Q313="""",0,IF(REGEXMATCH(Q313,""^Sell_""),-ROUNDDOWN(ROUNDUP(INDEX(Upgrades!$C$3:$C$13,MATCH(SUBSTITUTE(Q313,""Sell_"",""""),Upgrades!$B$3:$B$13,0))*1.15^(COUNTIF(Q$4:Q312,SUBSTITUTE(Q313,""Sell_"",""""))-COUNTIF(Q$4:Q312,"&amp;"""Sell_""&amp;SUBSTITUTE(Q313,""Sell_"",""""))))/2),ROUNDUP(INDEX(Upgrades!$C$3:$C$13,MATCH(Q313,Upgrades!$B$3:$B$13,0))*1.15^(COUNTIF(Q$4:Q312,Q313)-COUNTIF(Q$4:Q312,""Sell_""&amp;Q313))))))"),-6612.0)</f>
        <v>-6612</v>
      </c>
      <c r="V313" s="10">
        <f t="shared" si="11"/>
        <v>-8219643</v>
      </c>
      <c r="W313" s="68">
        <f t="shared" si="12"/>
        <v>4647.88374</v>
      </c>
      <c r="X313" s="59" t="str">
        <f t="shared" si="13"/>
        <v>1h 17m 27s</v>
      </c>
      <c r="Y313" s="69">
        <f t="shared" si="14"/>
        <v>251843441</v>
      </c>
      <c r="Z313" s="11"/>
    </row>
    <row r="314">
      <c r="A314" s="8"/>
      <c r="B314" s="56" t="str">
        <f t="shared" si="2"/>
        <v/>
      </c>
      <c r="C314" s="57"/>
      <c r="D314" s="10" t="str">
        <f>IFERROR(__xludf.DUMMYFUNCTION("IF(COUNTA(C314:C1350)=0,"""",IF(ISBLANK(C314),FALSE,IF(NOT(COUNTIF($AA$24:$AA$34,SUBSTITUTE(C314,""Sell_"",""""))),1,IF(REGEXMATCH(C314,""Sell_""),IF(COUNTIF(C$4:C314,SUBSTITUTE(C314,""Sell_"",""""))-COUNTIF(C$4:C313,C314)&lt;1,1),FALSE))))"),"")</f>
        <v/>
      </c>
      <c r="E314" s="59" t="str">
        <f t="array" ref="E314">IF(COUNTA(C314:C1350)=0,"",SUM((COUNTIF(C$4:C314,Upgrades!$B$3:$B$13)-COUNTIF(C$4:C314,"Sell_"&amp;Upgrades!$B$3:$B$13))*Upgrades!$D$3:$D$13))</f>
        <v/>
      </c>
      <c r="F314" s="66" t="str">
        <f>IFERROR(__xludf.DUMMYFUNCTION("IF(COUNTA(C314:C1350)=0,"""",IF(REGEXMATCH(INDEX(FILTER(C$4:C314,C$4:C314&lt;&gt;""""),ROWS(FILTER(C$4:C314,C$4:C314&lt;&gt;""""))),""^Sell_""),INDEX(FILTER(F$4:F313,C$4:C313&lt;&gt;""""),ROWS(FILTER(C$4:C313,C$4:C313&lt;&gt;""""))),$AC$5+E314))"),"")</f>
        <v/>
      </c>
      <c r="G314" s="10" t="str">
        <f>IFERROR(__xludf.DUMMYFUNCTION("IF(COUNTA(C314:C1350)=0,"""",IF(C314="""",0,IF(REGEXMATCH(C314,""^Sell_""),-ROUNDDOWN(ROUNDUP(INDEX(Upgrades!$C$3:$C$13,MATCH(SUBSTITUTE(C314,""Sell_"",""""),Upgrades!$B$3:$B$13,0))*1.15^(COUNTIF(C$4:C313,SUBSTITUTE(C314,""Sell_"",""""))-COUNTIF(C$4:C313,"&amp;"""Sell_""&amp;SUBSTITUTE(C314,""Sell_"",""""))))/2),ROUNDUP(INDEX(Upgrades!$C$3:$C$13,MATCH(C314,Upgrades!$B$3:$B$13,0))*1.15^(COUNTIF(C$4:C313,C314)-COUNTIF(C$4:C313,""Sell_""&amp;C314))))))"),"")</f>
        <v/>
      </c>
      <c r="H314" s="10" t="str">
        <f t="shared" si="3"/>
        <v/>
      </c>
      <c r="I314" s="68" t="str">
        <f t="shared" si="4"/>
        <v/>
      </c>
      <c r="J314" s="59" t="str">
        <f t="shared" si="5"/>
        <v/>
      </c>
      <c r="K314" s="69" t="str">
        <f t="shared" si="6"/>
        <v/>
      </c>
      <c r="L314" s="60">
        <f t="shared" si="7"/>
        <v>-265.96512</v>
      </c>
      <c r="M314" s="61">
        <f>IFERROR(__xludf.DUMMYFUNCTION("IFS(AND(COUNTA(C314:C1350)=0,COUNTA(Q314:Q1350)=0),"""",OR(AND(K314&gt;=1000000000,OR(Y314&gt;=1000000000,COUNTA(Q314:Q1350)=0)),OR(Y314&gt;=1000000000,AND(COUNTA(C314:C1350)=0,P$3=TRUE))),
ROUNDDOWN((AB$1-AC$1)*MAX(INDEX(T$4:T1350,MATCH(LARGE(FILTER(Y$4:Y1350,Y$4"&amp;":Y1350&lt;1000000000),1),Y$4:Y1350)),INDEX(F$4:F1350,MATCH(LARGE(FILTER(K$4:K1350,K$4:K1350&lt;1000000000),1),K$4:K1350)))),AND(K314&lt;1000000000,COUNTA(C314:C1350)&gt;0,P$3=FALSE),
ROUNDDOWN(INDEX(Y$4:Y1350,MATCH(LARGE(FILTER(W$4:W1350,W$4:W1350&lt;=I314),1),W$4:W1350"&amp;"))+(I314-LARGE(FILTER(W$4:W1350,W$4:W1350&lt;=I314),1))*INDEX(T$4:T1350,MATCH(LARGE(FILTER(W$4:W1350,W$4:W1350&lt;=I314),1),W$4:W1350))-K314),1,
ROUNDDOWN(Y314-INDEX(K$4:K1350,MATCH(LARGE(FILTER(I$4:I1350,I$4:I1350&lt;=W314),1),I$4:I1350))-(W314-LARGE(FILTER(I$4:I"&amp;"1350,I$4:I1350&lt;=W314),1))*INDEX(F$4:F1350,MATCH(LARGE(FILTER(I$4:I1350,I$4:I1350&lt;=W314),1),I$4:I1350))))"),4.3092685E7)</f>
        <v>43092685</v>
      </c>
      <c r="N314" s="60">
        <f t="shared" si="8"/>
        <v>-265.96512</v>
      </c>
      <c r="O314" s="61" t="str">
        <f t="shared" si="9"/>
        <v>43,1M</v>
      </c>
      <c r="P314" s="56">
        <f t="shared" si="10"/>
        <v>53</v>
      </c>
      <c r="Q314" s="105" t="s">
        <v>59</v>
      </c>
      <c r="R314" s="10" t="b">
        <f>IFERROR(__xludf.DUMMYFUNCTION("IF(COUNTA(Q314:Q1350)=0,"""",IF(ISBLANK(Q314),FALSE,IF(NOT(COUNTIF($AA$24:$AA$34,SUBSTITUTE(Q314,""Sell_"",""""))),1,IF(REGEXMATCH(Q314,""Sell_""),IF(COUNTIF(Q$4:Q314,SUBSTITUTE(Q314,""Sell_"",""""))-COUNTIF(Q$4:Q313,Q314)&lt;1,1),FALSE))))"),FALSE)</f>
        <v>0</v>
      </c>
      <c r="S314" s="59">
        <f t="array" ref="S314">IF(COUNTA(Q314:Q1350)=0,"",SUM((COUNTIF(Q$4:Q314,Upgrades!$B$3:$B$13)-COUNTIF(Q$4:Q314,"Sell_"&amp;Upgrades!$B$3:$B$13))*Upgrades!$D$3:$D$13))</f>
        <v>204500</v>
      </c>
      <c r="T314" s="66">
        <f>IFERROR(__xludf.DUMMYFUNCTION("IF(COUNTA(Q314:Q1350)=0,"""",IF(REGEXMATCH(INDEX(FILTER(Q$4:Q314,Q$4:Q314&lt;&gt;""""),ROWS(FILTER(Q$4:Q314,Q$4:Q314&lt;&gt;""""))),""^Sell_""),INDEX(FILTER(T$4:T313,Q$4:Q313&lt;&gt;""""),ROWS(FILTER(Q$4:Q313,Q$4:Q313&lt;&gt;""""))),$AD$5+S314))"),212106.0)</f>
        <v>212106</v>
      </c>
      <c r="U314" s="10">
        <f>IFERROR(__xludf.DUMMYFUNCTION("IF(COUNTA(Q314:Q1350)=0,"""",IF(Q314="""",0,IF(REGEXMATCH(Q314,""^Sell_""),-ROUNDDOWN(ROUNDUP(INDEX(Upgrades!$C$3:$C$13,MATCH(SUBSTITUTE(Q314,""Sell_"",""""),Upgrades!$B$3:$B$13,0))*1.15^(COUNTIF(Q$4:Q313,SUBSTITUTE(Q314,""Sell_"",""""))-COUNTIF(Q$4:Q313,"&amp;"""Sell_""&amp;SUBSTITUTE(Q314,""Sell_"",""""))))/2),ROUNDUP(INDEX(Upgrades!$C$3:$C$13,MATCH(Q314,Upgrades!$B$3:$B$13,0))*1.15^(COUNTIF(Q$4:Q313,Q314)-COUNTIF(Q$4:Q313,""Sell_""&amp;Q314))))))"),-5750.0)</f>
        <v>-5750</v>
      </c>
      <c r="V314" s="10">
        <f t="shared" si="11"/>
        <v>-8225393</v>
      </c>
      <c r="W314" s="68">
        <f t="shared" si="12"/>
        <v>4647.88374</v>
      </c>
      <c r="X314" s="59" t="str">
        <f t="shared" si="13"/>
        <v>1h 17m 27s</v>
      </c>
      <c r="Y314" s="69">
        <f t="shared" si="14"/>
        <v>251843441</v>
      </c>
      <c r="Z314" s="11"/>
    </row>
    <row r="315">
      <c r="A315" s="8"/>
      <c r="B315" s="56" t="str">
        <f t="shared" si="2"/>
        <v/>
      </c>
      <c r="C315" s="57"/>
      <c r="D315" s="10" t="str">
        <f>IFERROR(__xludf.DUMMYFUNCTION("IF(COUNTA(C315:C1350)=0,"""",IF(ISBLANK(C315),FALSE,IF(NOT(COUNTIF($AA$24:$AA$34,SUBSTITUTE(C315,""Sell_"",""""))),1,IF(REGEXMATCH(C315,""Sell_""),IF(COUNTIF(C$4:C315,SUBSTITUTE(C315,""Sell_"",""""))-COUNTIF(C$4:C314,C315)&lt;1,1),FALSE))))"),"")</f>
        <v/>
      </c>
      <c r="E315" s="59" t="str">
        <f t="array" ref="E315">IF(COUNTA(C315:C1350)=0,"",SUM((COUNTIF(C$4:C315,Upgrades!$B$3:$B$13)-COUNTIF(C$4:C315,"Sell_"&amp;Upgrades!$B$3:$B$13))*Upgrades!$D$3:$D$13))</f>
        <v/>
      </c>
      <c r="F315" s="66" t="str">
        <f>IFERROR(__xludf.DUMMYFUNCTION("IF(COUNTA(C315:C1350)=0,"""",IF(REGEXMATCH(INDEX(FILTER(C$4:C315,C$4:C315&lt;&gt;""""),ROWS(FILTER(C$4:C315,C$4:C315&lt;&gt;""""))),""^Sell_""),INDEX(FILTER(F$4:F314,C$4:C314&lt;&gt;""""),ROWS(FILTER(C$4:C314,C$4:C314&lt;&gt;""""))),$AC$5+E315))"),"")</f>
        <v/>
      </c>
      <c r="G315" s="10" t="str">
        <f>IFERROR(__xludf.DUMMYFUNCTION("IF(COUNTA(C315:C1350)=0,"""",IF(C315="""",0,IF(REGEXMATCH(C315,""^Sell_""),-ROUNDDOWN(ROUNDUP(INDEX(Upgrades!$C$3:$C$13,MATCH(SUBSTITUTE(C315,""Sell_"",""""),Upgrades!$B$3:$B$13,0))*1.15^(COUNTIF(C$4:C314,SUBSTITUTE(C315,""Sell_"",""""))-COUNTIF(C$4:C314,"&amp;"""Sell_""&amp;SUBSTITUTE(C315,""Sell_"",""""))))/2),ROUNDUP(INDEX(Upgrades!$C$3:$C$13,MATCH(C315,Upgrades!$B$3:$B$13,0))*1.15^(COUNTIF(C$4:C314,C315)-COUNTIF(C$4:C314,""Sell_""&amp;C315))))))"),"")</f>
        <v/>
      </c>
      <c r="H315" s="10" t="str">
        <f t="shared" si="3"/>
        <v/>
      </c>
      <c r="I315" s="68" t="str">
        <f t="shared" si="4"/>
        <v/>
      </c>
      <c r="J315" s="59" t="str">
        <f t="shared" si="5"/>
        <v/>
      </c>
      <c r="K315" s="69" t="str">
        <f t="shared" si="6"/>
        <v/>
      </c>
      <c r="L315" s="60">
        <f t="shared" si="7"/>
        <v>-265.96512</v>
      </c>
      <c r="M315" s="61">
        <f>IFERROR(__xludf.DUMMYFUNCTION("IFS(AND(COUNTA(C315:C1350)=0,COUNTA(Q315:Q1350)=0),"""",OR(AND(K315&gt;=1000000000,OR(Y315&gt;=1000000000,COUNTA(Q315:Q1350)=0)),OR(Y315&gt;=1000000000,AND(COUNTA(C315:C1350)=0,P$3=TRUE))),
ROUNDDOWN((AB$1-AC$1)*MAX(INDEX(T$4:T1350,MATCH(LARGE(FILTER(Y$4:Y1350,Y$4"&amp;":Y1350&lt;1000000000),1),Y$4:Y1350)),INDEX(F$4:F1350,MATCH(LARGE(FILTER(K$4:K1350,K$4:K1350&lt;1000000000),1),K$4:K1350)))),AND(K315&lt;1000000000,COUNTA(C315:C1350)&gt;0,P$3=FALSE),
ROUNDDOWN(INDEX(Y$4:Y1350,MATCH(LARGE(FILTER(W$4:W1350,W$4:W1350&lt;=I315),1),W$4:W1350"&amp;"))+(I315-LARGE(FILTER(W$4:W1350,W$4:W1350&lt;=I315),1))*INDEX(T$4:T1350,MATCH(LARGE(FILTER(W$4:W1350,W$4:W1350&lt;=I315),1),W$4:W1350))-K315),1,
ROUNDDOWN(Y315-INDEX(K$4:K1350,MATCH(LARGE(FILTER(I$4:I1350,I$4:I1350&lt;=W315),1),I$4:I1350))-(W315-LARGE(FILTER(I$4:I"&amp;"1350,I$4:I1350&lt;=W315),1))*INDEX(F$4:F1350,MATCH(LARGE(FILTER(I$4:I1350,I$4:I1350&lt;=W315),1),I$4:I1350))))"),4.3092685E7)</f>
        <v>43092685</v>
      </c>
      <c r="N315" s="60">
        <f t="shared" si="8"/>
        <v>-265.96512</v>
      </c>
      <c r="O315" s="61" t="str">
        <f t="shared" si="9"/>
        <v>43,1M</v>
      </c>
      <c r="P315" s="56">
        <f t="shared" si="10"/>
        <v>25</v>
      </c>
      <c r="Q315" s="105" t="s">
        <v>61</v>
      </c>
      <c r="R315" s="10" t="b">
        <f>IFERROR(__xludf.DUMMYFUNCTION("IF(COUNTA(Q315:Q1350)=0,"""",IF(ISBLANK(Q315),FALSE,IF(NOT(COUNTIF($AA$24:$AA$34,SUBSTITUTE(Q315,""Sell_"",""""))),1,IF(REGEXMATCH(Q315,""Sell_""),IF(COUNTIF(Q$4:Q315,SUBSTITUTE(Q315,""Sell_"",""""))-COUNTIF(Q$4:Q314,Q315)&lt;1,1),FALSE))))"),FALSE)</f>
        <v>0</v>
      </c>
      <c r="S315" s="59">
        <f t="array" ref="S315">IF(COUNTA(Q315:Q1350)=0,"",SUM((COUNTIF(Q$4:Q315,Upgrades!$B$3:$B$13)-COUNTIF(Q$4:Q315,"Sell_"&amp;Upgrades!$B$3:$B$13))*Upgrades!$D$3:$D$13))</f>
        <v>204400</v>
      </c>
      <c r="T315" s="66">
        <f>IFERROR(__xludf.DUMMYFUNCTION("IF(COUNTA(Q315:Q1350)=0,"""",IF(REGEXMATCH(INDEX(FILTER(Q$4:Q315,Q$4:Q315&lt;&gt;""""),ROWS(FILTER(Q$4:Q315,Q$4:Q315&lt;&gt;""""))),""^Sell_""),INDEX(FILTER(T$4:T314,Q$4:Q314&lt;&gt;""""),ROWS(FILTER(Q$4:Q314,Q$4:Q314&lt;&gt;""""))),$AD$5+S315))"),212106.0)</f>
        <v>212106</v>
      </c>
      <c r="U315" s="10">
        <f>IFERROR(__xludf.DUMMYFUNCTION("IF(COUNTA(Q315:Q1350)=0,"""",IF(Q315="""",0,IF(REGEXMATCH(Q315,""^Sell_""),-ROUNDDOWN(ROUNDUP(INDEX(Upgrades!$C$3:$C$13,MATCH(SUBSTITUTE(Q315,""Sell_"",""""),Upgrades!$B$3:$B$13,0))*1.15^(COUNTIF(Q$4:Q314,SUBSTITUTE(Q315,""Sell_"",""""))-COUNTIF(Q$4:Q314,"&amp;"""Sell_""&amp;SUBSTITUTE(Q315,""Sell_"",""""))))/2),ROUNDUP(INDEX(Upgrades!$C$3:$C$13,MATCH(Q315,Upgrades!$B$3:$B$13,0))*1.15^(COUNTIF(Q$4:Q314,Q315)-COUNTIF(Q$4:Q314,""Sell_""&amp;Q315))))))"),-93048.0)</f>
        <v>-93048</v>
      </c>
      <c r="V315" s="10">
        <f t="shared" si="11"/>
        <v>-8318441</v>
      </c>
      <c r="W315" s="68">
        <f t="shared" si="12"/>
        <v>4647.88374</v>
      </c>
      <c r="X315" s="59" t="str">
        <f t="shared" si="13"/>
        <v>1h 17m 27s</v>
      </c>
      <c r="Y315" s="69">
        <f t="shared" si="14"/>
        <v>251843441</v>
      </c>
      <c r="Z315" s="11"/>
    </row>
    <row r="316">
      <c r="A316" s="8"/>
      <c r="B316" s="56" t="str">
        <f t="shared" si="2"/>
        <v/>
      </c>
      <c r="C316" s="57"/>
      <c r="D316" s="10" t="str">
        <f>IFERROR(__xludf.DUMMYFUNCTION("IF(COUNTA(C316:C1350)=0,"""",IF(ISBLANK(C316),FALSE,IF(NOT(COUNTIF($AA$24:$AA$34,SUBSTITUTE(C316,""Sell_"",""""))),1,IF(REGEXMATCH(C316,""Sell_""),IF(COUNTIF(C$4:C316,SUBSTITUTE(C316,""Sell_"",""""))-COUNTIF(C$4:C315,C316)&lt;1,1),FALSE))))"),"")</f>
        <v/>
      </c>
      <c r="E316" s="59" t="str">
        <f t="array" ref="E316">IF(COUNTA(C316:C1350)=0,"",SUM((COUNTIF(C$4:C316,Upgrades!$B$3:$B$13)-COUNTIF(C$4:C316,"Sell_"&amp;Upgrades!$B$3:$B$13))*Upgrades!$D$3:$D$13))</f>
        <v/>
      </c>
      <c r="F316" s="66" t="str">
        <f>IFERROR(__xludf.DUMMYFUNCTION("IF(COUNTA(C316:C1350)=0,"""",IF(REGEXMATCH(INDEX(FILTER(C$4:C316,C$4:C316&lt;&gt;""""),ROWS(FILTER(C$4:C316,C$4:C316&lt;&gt;""""))),""^Sell_""),INDEX(FILTER(F$4:F315,C$4:C315&lt;&gt;""""),ROWS(FILTER(C$4:C315,C$4:C315&lt;&gt;""""))),$AC$5+E316))"),"")</f>
        <v/>
      </c>
      <c r="G316" s="10" t="str">
        <f>IFERROR(__xludf.DUMMYFUNCTION("IF(COUNTA(C316:C1350)=0,"""",IF(C316="""",0,IF(REGEXMATCH(C316,""^Sell_""),-ROUNDDOWN(ROUNDUP(INDEX(Upgrades!$C$3:$C$13,MATCH(SUBSTITUTE(C316,""Sell_"",""""),Upgrades!$B$3:$B$13,0))*1.15^(COUNTIF(C$4:C315,SUBSTITUTE(C316,""Sell_"",""""))-COUNTIF(C$4:C315,"&amp;"""Sell_""&amp;SUBSTITUTE(C316,""Sell_"",""""))))/2),ROUNDUP(INDEX(Upgrades!$C$3:$C$13,MATCH(C316,Upgrades!$B$3:$B$13,0))*1.15^(COUNTIF(C$4:C315,C316)-COUNTIF(C$4:C315,""Sell_""&amp;C316))))))"),"")</f>
        <v/>
      </c>
      <c r="H316" s="10" t="str">
        <f t="shared" si="3"/>
        <v/>
      </c>
      <c r="I316" s="68" t="str">
        <f t="shared" si="4"/>
        <v/>
      </c>
      <c r="J316" s="59" t="str">
        <f t="shared" si="5"/>
        <v/>
      </c>
      <c r="K316" s="69" t="str">
        <f t="shared" si="6"/>
        <v/>
      </c>
      <c r="L316" s="60">
        <f t="shared" si="7"/>
        <v>-265.96512</v>
      </c>
      <c r="M316" s="61">
        <f>IFERROR(__xludf.DUMMYFUNCTION("IFS(AND(COUNTA(C316:C1350)=0,COUNTA(Q316:Q1350)=0),"""",OR(AND(K316&gt;=1000000000,OR(Y316&gt;=1000000000,COUNTA(Q316:Q1350)=0)),OR(Y316&gt;=1000000000,AND(COUNTA(C316:C1350)=0,P$3=TRUE))),
ROUNDDOWN((AB$1-AC$1)*MAX(INDEX(T$4:T1350,MATCH(LARGE(FILTER(Y$4:Y1350,Y$4"&amp;":Y1350&lt;1000000000),1),Y$4:Y1350)),INDEX(F$4:F1350,MATCH(LARGE(FILTER(K$4:K1350,K$4:K1350&lt;1000000000),1),K$4:K1350)))),AND(K316&lt;1000000000,COUNTA(C316:C1350)&gt;0,P$3=FALSE),
ROUNDDOWN(INDEX(Y$4:Y1350,MATCH(LARGE(FILTER(W$4:W1350,W$4:W1350&lt;=I316),1),W$4:W1350"&amp;"))+(I316-LARGE(FILTER(W$4:W1350,W$4:W1350&lt;=I316),1))*INDEX(T$4:T1350,MATCH(LARGE(FILTER(W$4:W1350,W$4:W1350&lt;=I316),1),W$4:W1350))-K316),1,
ROUNDDOWN(Y316-INDEX(K$4:K1350,MATCH(LARGE(FILTER(I$4:I1350,I$4:I1350&lt;=W316),1),I$4:I1350))-(W316-LARGE(FILTER(I$4:I"&amp;"1350,I$4:I1350&lt;=W316),1))*INDEX(F$4:F1350,MATCH(LARGE(FILTER(I$4:I1350,I$4:I1350&lt;=W316),1),I$4:I1350))))"),4.3092685E7)</f>
        <v>43092685</v>
      </c>
      <c r="N316" s="60">
        <f t="shared" si="8"/>
        <v>-265.96512</v>
      </c>
      <c r="O316" s="61" t="str">
        <f t="shared" si="9"/>
        <v>43,1M</v>
      </c>
      <c r="P316" s="56">
        <f t="shared" si="10"/>
        <v>26</v>
      </c>
      <c r="Q316" s="105" t="s">
        <v>61</v>
      </c>
      <c r="R316" s="10" t="b">
        <f>IFERROR(__xludf.DUMMYFUNCTION("IF(COUNTA(Q316:Q1350)=0,"""",IF(ISBLANK(Q316),FALSE,IF(NOT(COUNTIF($AA$24:$AA$34,SUBSTITUTE(Q316,""Sell_"",""""))),1,IF(REGEXMATCH(Q316,""Sell_""),IF(COUNTIF(Q$4:Q316,SUBSTITUTE(Q316,""Sell_"",""""))-COUNTIF(Q$4:Q315,Q316)&lt;1,1),FALSE))))"),FALSE)</f>
        <v>0</v>
      </c>
      <c r="S316" s="59">
        <f t="array" ref="S316">IF(COUNTA(Q316:Q1350)=0,"",SUM((COUNTIF(Q$4:Q316,Upgrades!$B$3:$B$13)-COUNTIF(Q$4:Q316,"Sell_"&amp;Upgrades!$B$3:$B$13))*Upgrades!$D$3:$D$13))</f>
        <v>204300</v>
      </c>
      <c r="T316" s="66">
        <f>IFERROR(__xludf.DUMMYFUNCTION("IF(COUNTA(Q316:Q1350)=0,"""",IF(REGEXMATCH(INDEX(FILTER(Q$4:Q316,Q$4:Q316&lt;&gt;""""),ROWS(FILTER(Q$4:Q316,Q$4:Q316&lt;&gt;""""))),""^Sell_""),INDEX(FILTER(T$4:T315,Q$4:Q315&lt;&gt;""""),ROWS(FILTER(Q$4:Q315,Q$4:Q315&lt;&gt;""""))),$AD$5+S316))"),212106.0)</f>
        <v>212106</v>
      </c>
      <c r="U316" s="10">
        <f>IFERROR(__xludf.DUMMYFUNCTION("IF(COUNTA(Q316:Q1350)=0,"""",IF(Q316="""",0,IF(REGEXMATCH(Q316,""^Sell_""),-ROUNDDOWN(ROUNDUP(INDEX(Upgrades!$C$3:$C$13,MATCH(SUBSTITUTE(Q316,""Sell_"",""""),Upgrades!$B$3:$B$13,0))*1.15^(COUNTIF(Q$4:Q315,SUBSTITUTE(Q316,""Sell_"",""""))-COUNTIF(Q$4:Q315,"&amp;"""Sell_""&amp;SUBSTITUTE(Q316,""Sell_"",""""))))/2),ROUNDUP(INDEX(Upgrades!$C$3:$C$13,MATCH(Q316,Upgrades!$B$3:$B$13,0))*1.15^(COUNTIF(Q$4:Q315,Q316)-COUNTIF(Q$4:Q315,""Sell_""&amp;Q316))))))"),-80911.0)</f>
        <v>-80911</v>
      </c>
      <c r="V316" s="10">
        <f t="shared" si="11"/>
        <v>-8399352</v>
      </c>
      <c r="W316" s="68">
        <f t="shared" si="12"/>
        <v>4647.88374</v>
      </c>
      <c r="X316" s="59" t="str">
        <f t="shared" si="13"/>
        <v>1h 17m 27s</v>
      </c>
      <c r="Y316" s="69">
        <f t="shared" si="14"/>
        <v>251843441</v>
      </c>
      <c r="Z316" s="11"/>
    </row>
    <row r="317">
      <c r="A317" s="8"/>
      <c r="B317" s="56" t="str">
        <f t="shared" si="2"/>
        <v/>
      </c>
      <c r="C317" s="57"/>
      <c r="D317" s="10" t="str">
        <f>IFERROR(__xludf.DUMMYFUNCTION("IF(COUNTA(C317:C1350)=0,"""",IF(ISBLANK(C317),FALSE,IF(NOT(COUNTIF($AA$24:$AA$34,SUBSTITUTE(C317,""Sell_"",""""))),1,IF(REGEXMATCH(C317,""Sell_""),IF(COUNTIF(C$4:C317,SUBSTITUTE(C317,""Sell_"",""""))-COUNTIF(C$4:C316,C317)&lt;1,1),FALSE))))"),"")</f>
        <v/>
      </c>
      <c r="E317" s="59" t="str">
        <f t="array" ref="E317">IF(COUNTA(C317:C1350)=0,"",SUM((COUNTIF(C$4:C317,Upgrades!$B$3:$B$13)-COUNTIF(C$4:C317,"Sell_"&amp;Upgrades!$B$3:$B$13))*Upgrades!$D$3:$D$13))</f>
        <v/>
      </c>
      <c r="F317" s="66" t="str">
        <f>IFERROR(__xludf.DUMMYFUNCTION("IF(COUNTA(C317:C1350)=0,"""",IF(REGEXMATCH(INDEX(FILTER(C$4:C317,C$4:C317&lt;&gt;""""),ROWS(FILTER(C$4:C317,C$4:C317&lt;&gt;""""))),""^Sell_""),INDEX(FILTER(F$4:F316,C$4:C316&lt;&gt;""""),ROWS(FILTER(C$4:C316,C$4:C316&lt;&gt;""""))),$AC$5+E317))"),"")</f>
        <v/>
      </c>
      <c r="G317" s="10" t="str">
        <f>IFERROR(__xludf.DUMMYFUNCTION("IF(COUNTA(C317:C1350)=0,"""",IF(C317="""",0,IF(REGEXMATCH(C317,""^Sell_""),-ROUNDDOWN(ROUNDUP(INDEX(Upgrades!$C$3:$C$13,MATCH(SUBSTITUTE(C317,""Sell_"",""""),Upgrades!$B$3:$B$13,0))*1.15^(COUNTIF(C$4:C316,SUBSTITUTE(C317,""Sell_"",""""))-COUNTIF(C$4:C316,"&amp;"""Sell_""&amp;SUBSTITUTE(C317,""Sell_"",""""))))/2),ROUNDUP(INDEX(Upgrades!$C$3:$C$13,MATCH(C317,Upgrades!$B$3:$B$13,0))*1.15^(COUNTIF(C$4:C316,C317)-COUNTIF(C$4:C316,""Sell_""&amp;C317))))))"),"")</f>
        <v/>
      </c>
      <c r="H317" s="10" t="str">
        <f t="shared" si="3"/>
        <v/>
      </c>
      <c r="I317" s="68" t="str">
        <f t="shared" si="4"/>
        <v/>
      </c>
      <c r="J317" s="59" t="str">
        <f t="shared" si="5"/>
        <v/>
      </c>
      <c r="K317" s="69" t="str">
        <f t="shared" si="6"/>
        <v/>
      </c>
      <c r="L317" s="60">
        <f t="shared" si="7"/>
        <v>-265.96512</v>
      </c>
      <c r="M317" s="61">
        <f>IFERROR(__xludf.DUMMYFUNCTION("IFS(AND(COUNTA(C317:C1350)=0,COUNTA(Q317:Q1350)=0),"""",OR(AND(K317&gt;=1000000000,OR(Y317&gt;=1000000000,COUNTA(Q317:Q1350)=0)),OR(Y317&gt;=1000000000,AND(COUNTA(C317:C1350)=0,P$3=TRUE))),
ROUNDDOWN((AB$1-AC$1)*MAX(INDEX(T$4:T1350,MATCH(LARGE(FILTER(Y$4:Y1350,Y$4"&amp;":Y1350&lt;1000000000),1),Y$4:Y1350)),INDEX(F$4:F1350,MATCH(LARGE(FILTER(K$4:K1350,K$4:K1350&lt;1000000000),1),K$4:K1350)))),AND(K317&lt;1000000000,COUNTA(C317:C1350)&gt;0,P$3=FALSE),
ROUNDDOWN(INDEX(Y$4:Y1350,MATCH(LARGE(FILTER(W$4:W1350,W$4:W1350&lt;=I317),1),W$4:W1350"&amp;"))+(I317-LARGE(FILTER(W$4:W1350,W$4:W1350&lt;=I317),1))*INDEX(T$4:T1350,MATCH(LARGE(FILTER(W$4:W1350,W$4:W1350&lt;=I317),1),W$4:W1350))-K317),1,
ROUNDDOWN(Y317-INDEX(K$4:K1350,MATCH(LARGE(FILTER(I$4:I1350,I$4:I1350&lt;=W317),1),I$4:I1350))-(W317-LARGE(FILTER(I$4:I"&amp;"1350,I$4:I1350&lt;=W317),1))*INDEX(F$4:F1350,MATCH(LARGE(FILTER(I$4:I1350,I$4:I1350&lt;=W317),1),I$4:I1350))))"),4.3092685E7)</f>
        <v>43092685</v>
      </c>
      <c r="N317" s="60">
        <f t="shared" si="8"/>
        <v>-265.96512</v>
      </c>
      <c r="O317" s="61" t="str">
        <f t="shared" si="9"/>
        <v>43,1M</v>
      </c>
      <c r="P317" s="56">
        <f t="shared" si="10"/>
        <v>27</v>
      </c>
      <c r="Q317" s="105" t="s">
        <v>61</v>
      </c>
      <c r="R317" s="10" t="b">
        <f>IFERROR(__xludf.DUMMYFUNCTION("IF(COUNTA(Q317:Q1350)=0,"""",IF(ISBLANK(Q317),FALSE,IF(NOT(COUNTIF($AA$24:$AA$34,SUBSTITUTE(Q317,""Sell_"",""""))),1,IF(REGEXMATCH(Q317,""Sell_""),IF(COUNTIF(Q$4:Q317,SUBSTITUTE(Q317,""Sell_"",""""))-COUNTIF(Q$4:Q316,Q317)&lt;1,1),FALSE))))"),FALSE)</f>
        <v>0</v>
      </c>
      <c r="S317" s="59">
        <f t="array" ref="S317">IF(COUNTA(Q317:Q1350)=0,"",SUM((COUNTIF(Q$4:Q317,Upgrades!$B$3:$B$13)-COUNTIF(Q$4:Q317,"Sell_"&amp;Upgrades!$B$3:$B$13))*Upgrades!$D$3:$D$13))</f>
        <v>204200</v>
      </c>
      <c r="T317" s="66">
        <f>IFERROR(__xludf.DUMMYFUNCTION("IF(COUNTA(Q317:Q1350)=0,"""",IF(REGEXMATCH(INDEX(FILTER(Q$4:Q317,Q$4:Q317&lt;&gt;""""),ROWS(FILTER(Q$4:Q317,Q$4:Q317&lt;&gt;""""))),""^Sell_""),INDEX(FILTER(T$4:T316,Q$4:Q316&lt;&gt;""""),ROWS(FILTER(Q$4:Q316,Q$4:Q316&lt;&gt;""""))),$AD$5+S317))"),212106.0)</f>
        <v>212106</v>
      </c>
      <c r="U317" s="10">
        <f>IFERROR(__xludf.DUMMYFUNCTION("IF(COUNTA(Q317:Q1350)=0,"""",IF(Q317="""",0,IF(REGEXMATCH(Q317,""^Sell_""),-ROUNDDOWN(ROUNDUP(INDEX(Upgrades!$C$3:$C$13,MATCH(SUBSTITUTE(Q317,""Sell_"",""""),Upgrades!$B$3:$B$13,0))*1.15^(COUNTIF(Q$4:Q316,SUBSTITUTE(Q317,""Sell_"",""""))-COUNTIF(Q$4:Q316,"&amp;"""Sell_""&amp;SUBSTITUTE(Q317,""Sell_"",""""))))/2),ROUNDUP(INDEX(Upgrades!$C$3:$C$13,MATCH(Q317,Upgrades!$B$3:$B$13,0))*1.15^(COUNTIF(Q$4:Q316,Q317)-COUNTIF(Q$4:Q316,""Sell_""&amp;Q317))))))"),-70358.0)</f>
        <v>-70358</v>
      </c>
      <c r="V317" s="10">
        <f t="shared" si="11"/>
        <v>-8469710</v>
      </c>
      <c r="W317" s="68">
        <f t="shared" si="12"/>
        <v>4647.88374</v>
      </c>
      <c r="X317" s="59" t="str">
        <f t="shared" si="13"/>
        <v>1h 17m 27s</v>
      </c>
      <c r="Y317" s="69">
        <f t="shared" si="14"/>
        <v>251843441</v>
      </c>
      <c r="Z317" s="11"/>
    </row>
    <row r="318">
      <c r="A318" s="8"/>
      <c r="B318" s="56" t="str">
        <f t="shared" si="2"/>
        <v/>
      </c>
      <c r="C318" s="57"/>
      <c r="D318" s="10" t="str">
        <f>IFERROR(__xludf.DUMMYFUNCTION("IF(COUNTA(C318:C1350)=0,"""",IF(ISBLANK(C318),FALSE,IF(NOT(COUNTIF($AA$24:$AA$34,SUBSTITUTE(C318,""Sell_"",""""))),1,IF(REGEXMATCH(C318,""Sell_""),IF(COUNTIF(C$4:C318,SUBSTITUTE(C318,""Sell_"",""""))-COUNTIF(C$4:C317,C318)&lt;1,1),FALSE))))"),"")</f>
        <v/>
      </c>
      <c r="E318" s="59" t="str">
        <f t="array" ref="E318">IF(COUNTA(C318:C1350)=0,"",SUM((COUNTIF(C$4:C318,Upgrades!$B$3:$B$13)-COUNTIF(C$4:C318,"Sell_"&amp;Upgrades!$B$3:$B$13))*Upgrades!$D$3:$D$13))</f>
        <v/>
      </c>
      <c r="F318" s="66" t="str">
        <f>IFERROR(__xludf.DUMMYFUNCTION("IF(COUNTA(C318:C1350)=0,"""",IF(REGEXMATCH(INDEX(FILTER(C$4:C318,C$4:C318&lt;&gt;""""),ROWS(FILTER(C$4:C318,C$4:C318&lt;&gt;""""))),""^Sell_""),INDEX(FILTER(F$4:F317,C$4:C317&lt;&gt;""""),ROWS(FILTER(C$4:C317,C$4:C317&lt;&gt;""""))),$AC$5+E318))"),"")</f>
        <v/>
      </c>
      <c r="G318" s="10" t="str">
        <f>IFERROR(__xludf.DUMMYFUNCTION("IF(COUNTA(C318:C1350)=0,"""",IF(C318="""",0,IF(REGEXMATCH(C318,""^Sell_""),-ROUNDDOWN(ROUNDUP(INDEX(Upgrades!$C$3:$C$13,MATCH(SUBSTITUTE(C318,""Sell_"",""""),Upgrades!$B$3:$B$13,0))*1.15^(COUNTIF(C$4:C317,SUBSTITUTE(C318,""Sell_"",""""))-COUNTIF(C$4:C317,"&amp;"""Sell_""&amp;SUBSTITUTE(C318,""Sell_"",""""))))/2),ROUNDUP(INDEX(Upgrades!$C$3:$C$13,MATCH(C318,Upgrades!$B$3:$B$13,0))*1.15^(COUNTIF(C$4:C317,C318)-COUNTIF(C$4:C317,""Sell_""&amp;C318))))))"),"")</f>
        <v/>
      </c>
      <c r="H318" s="10" t="str">
        <f t="shared" si="3"/>
        <v/>
      </c>
      <c r="I318" s="68" t="str">
        <f t="shared" si="4"/>
        <v/>
      </c>
      <c r="J318" s="59" t="str">
        <f t="shared" si="5"/>
        <v/>
      </c>
      <c r="K318" s="69" t="str">
        <f t="shared" si="6"/>
        <v/>
      </c>
      <c r="L318" s="60">
        <f t="shared" si="7"/>
        <v>-265.96512</v>
      </c>
      <c r="M318" s="61">
        <f>IFERROR(__xludf.DUMMYFUNCTION("IFS(AND(COUNTA(C318:C1350)=0,COUNTA(Q318:Q1350)=0),"""",OR(AND(K318&gt;=1000000000,OR(Y318&gt;=1000000000,COUNTA(Q318:Q1350)=0)),OR(Y318&gt;=1000000000,AND(COUNTA(C318:C1350)=0,P$3=TRUE))),
ROUNDDOWN((AB$1-AC$1)*MAX(INDEX(T$4:T1350,MATCH(LARGE(FILTER(Y$4:Y1350,Y$4"&amp;":Y1350&lt;1000000000),1),Y$4:Y1350)),INDEX(F$4:F1350,MATCH(LARGE(FILTER(K$4:K1350,K$4:K1350&lt;1000000000),1),K$4:K1350)))),AND(K318&lt;1000000000,COUNTA(C318:C1350)&gt;0,P$3=FALSE),
ROUNDDOWN(INDEX(Y$4:Y1350,MATCH(LARGE(FILTER(W$4:W1350,W$4:W1350&lt;=I318),1),W$4:W1350"&amp;"))+(I318-LARGE(FILTER(W$4:W1350,W$4:W1350&lt;=I318),1))*INDEX(T$4:T1350,MATCH(LARGE(FILTER(W$4:W1350,W$4:W1350&lt;=I318),1),W$4:W1350))-K318),1,
ROUNDDOWN(Y318-INDEX(K$4:K1350,MATCH(LARGE(FILTER(I$4:I1350,I$4:I1350&lt;=W318),1),I$4:I1350))-(W318-LARGE(FILTER(I$4:I"&amp;"1350,I$4:I1350&lt;=W318),1))*INDEX(F$4:F1350,MATCH(LARGE(FILTER(I$4:I1350,I$4:I1350&lt;=W318),1),I$4:I1350))))"),4.3092685E7)</f>
        <v>43092685</v>
      </c>
      <c r="N318" s="60">
        <f t="shared" si="8"/>
        <v>-265.96512</v>
      </c>
      <c r="O318" s="61" t="str">
        <f t="shared" si="9"/>
        <v>43,1M</v>
      </c>
      <c r="P318" s="56">
        <f t="shared" si="10"/>
        <v>28</v>
      </c>
      <c r="Q318" s="105" t="s">
        <v>61</v>
      </c>
      <c r="R318" s="10" t="b">
        <f>IFERROR(__xludf.DUMMYFUNCTION("IF(COUNTA(Q318:Q1350)=0,"""",IF(ISBLANK(Q318),FALSE,IF(NOT(COUNTIF($AA$24:$AA$34,SUBSTITUTE(Q318,""Sell_"",""""))),1,IF(REGEXMATCH(Q318,""Sell_""),IF(COUNTIF(Q$4:Q318,SUBSTITUTE(Q318,""Sell_"",""""))-COUNTIF(Q$4:Q317,Q318)&lt;1,1),FALSE))))"),FALSE)</f>
        <v>0</v>
      </c>
      <c r="S318" s="59">
        <f t="array" ref="S318">IF(COUNTA(Q318:Q1350)=0,"",SUM((COUNTIF(Q$4:Q318,Upgrades!$B$3:$B$13)-COUNTIF(Q$4:Q318,"Sell_"&amp;Upgrades!$B$3:$B$13))*Upgrades!$D$3:$D$13))</f>
        <v>204100</v>
      </c>
      <c r="T318" s="66">
        <f>IFERROR(__xludf.DUMMYFUNCTION("IF(COUNTA(Q318:Q1350)=0,"""",IF(REGEXMATCH(INDEX(FILTER(Q$4:Q318,Q$4:Q318&lt;&gt;""""),ROWS(FILTER(Q$4:Q318,Q$4:Q318&lt;&gt;""""))),""^Sell_""),INDEX(FILTER(T$4:T317,Q$4:Q317&lt;&gt;""""),ROWS(FILTER(Q$4:Q317,Q$4:Q317&lt;&gt;""""))),$AD$5+S318))"),212106.0)</f>
        <v>212106</v>
      </c>
      <c r="U318" s="10">
        <f>IFERROR(__xludf.DUMMYFUNCTION("IF(COUNTA(Q318:Q1350)=0,"""",IF(Q318="""",0,IF(REGEXMATCH(Q318,""^Sell_""),-ROUNDDOWN(ROUNDUP(INDEX(Upgrades!$C$3:$C$13,MATCH(SUBSTITUTE(Q318,""Sell_"",""""),Upgrades!$B$3:$B$13,0))*1.15^(COUNTIF(Q$4:Q317,SUBSTITUTE(Q318,""Sell_"",""""))-COUNTIF(Q$4:Q317,"&amp;"""Sell_""&amp;SUBSTITUTE(Q318,""Sell_"",""""))))/2),ROUNDUP(INDEX(Upgrades!$C$3:$C$13,MATCH(Q318,Upgrades!$B$3:$B$13,0))*1.15^(COUNTIF(Q$4:Q317,Q318)-COUNTIF(Q$4:Q317,""Sell_""&amp;Q318))))))"),-61180.0)</f>
        <v>-61180</v>
      </c>
      <c r="V318" s="10">
        <f t="shared" si="11"/>
        <v>-8530890</v>
      </c>
      <c r="W318" s="68">
        <f t="shared" si="12"/>
        <v>4647.88374</v>
      </c>
      <c r="X318" s="59" t="str">
        <f t="shared" si="13"/>
        <v>1h 17m 27s</v>
      </c>
      <c r="Y318" s="69">
        <f t="shared" si="14"/>
        <v>251843441</v>
      </c>
      <c r="Z318" s="11"/>
    </row>
    <row r="319">
      <c r="A319" s="8"/>
      <c r="B319" s="56" t="str">
        <f t="shared" si="2"/>
        <v/>
      </c>
      <c r="C319" s="57"/>
      <c r="D319" s="10" t="str">
        <f>IFERROR(__xludf.DUMMYFUNCTION("IF(COUNTA(C319:C1350)=0,"""",IF(ISBLANK(C319),FALSE,IF(NOT(COUNTIF($AA$24:$AA$34,SUBSTITUTE(C319,""Sell_"",""""))),1,IF(REGEXMATCH(C319,""Sell_""),IF(COUNTIF(C$4:C319,SUBSTITUTE(C319,""Sell_"",""""))-COUNTIF(C$4:C318,C319)&lt;1,1),FALSE))))"),"")</f>
        <v/>
      </c>
      <c r="E319" s="59" t="str">
        <f t="array" ref="E319">IF(COUNTA(C319:C1350)=0,"",SUM((COUNTIF(C$4:C319,Upgrades!$B$3:$B$13)-COUNTIF(C$4:C319,"Sell_"&amp;Upgrades!$B$3:$B$13))*Upgrades!$D$3:$D$13))</f>
        <v/>
      </c>
      <c r="F319" s="66" t="str">
        <f>IFERROR(__xludf.DUMMYFUNCTION("IF(COUNTA(C319:C1350)=0,"""",IF(REGEXMATCH(INDEX(FILTER(C$4:C319,C$4:C319&lt;&gt;""""),ROWS(FILTER(C$4:C319,C$4:C319&lt;&gt;""""))),""^Sell_""),INDEX(FILTER(F$4:F318,C$4:C318&lt;&gt;""""),ROWS(FILTER(C$4:C318,C$4:C318&lt;&gt;""""))),$AC$5+E319))"),"")</f>
        <v/>
      </c>
      <c r="G319" s="10" t="str">
        <f>IFERROR(__xludf.DUMMYFUNCTION("IF(COUNTA(C319:C1350)=0,"""",IF(C319="""",0,IF(REGEXMATCH(C319,""^Sell_""),-ROUNDDOWN(ROUNDUP(INDEX(Upgrades!$C$3:$C$13,MATCH(SUBSTITUTE(C319,""Sell_"",""""),Upgrades!$B$3:$B$13,0))*1.15^(COUNTIF(C$4:C318,SUBSTITUTE(C319,""Sell_"",""""))-COUNTIF(C$4:C318,"&amp;"""Sell_""&amp;SUBSTITUTE(C319,""Sell_"",""""))))/2),ROUNDUP(INDEX(Upgrades!$C$3:$C$13,MATCH(C319,Upgrades!$B$3:$B$13,0))*1.15^(COUNTIF(C$4:C318,C319)-COUNTIF(C$4:C318,""Sell_""&amp;C319))))))"),"")</f>
        <v/>
      </c>
      <c r="H319" s="10" t="str">
        <f t="shared" si="3"/>
        <v/>
      </c>
      <c r="I319" s="68" t="str">
        <f t="shared" si="4"/>
        <v/>
      </c>
      <c r="J319" s="59" t="str">
        <f t="shared" si="5"/>
        <v/>
      </c>
      <c r="K319" s="69" t="str">
        <f t="shared" si="6"/>
        <v/>
      </c>
      <c r="L319" s="60">
        <f t="shared" si="7"/>
        <v>-265.96512</v>
      </c>
      <c r="M319" s="61">
        <f>IFERROR(__xludf.DUMMYFUNCTION("IFS(AND(COUNTA(C319:C1350)=0,COUNTA(Q319:Q1350)=0),"""",OR(AND(K319&gt;=1000000000,OR(Y319&gt;=1000000000,COUNTA(Q319:Q1350)=0)),OR(Y319&gt;=1000000000,AND(COUNTA(C319:C1350)=0,P$3=TRUE))),
ROUNDDOWN((AB$1-AC$1)*MAX(INDEX(T$4:T1350,MATCH(LARGE(FILTER(Y$4:Y1350,Y$4"&amp;":Y1350&lt;1000000000),1),Y$4:Y1350)),INDEX(F$4:F1350,MATCH(LARGE(FILTER(K$4:K1350,K$4:K1350&lt;1000000000),1),K$4:K1350)))),AND(K319&lt;1000000000,COUNTA(C319:C1350)&gt;0,P$3=FALSE),
ROUNDDOWN(INDEX(Y$4:Y1350,MATCH(LARGE(FILTER(W$4:W1350,W$4:W1350&lt;=I319),1),W$4:W1350"&amp;"))+(I319-LARGE(FILTER(W$4:W1350,W$4:W1350&lt;=I319),1))*INDEX(T$4:T1350,MATCH(LARGE(FILTER(W$4:W1350,W$4:W1350&lt;=I319),1),W$4:W1350))-K319),1,
ROUNDDOWN(Y319-INDEX(K$4:K1350,MATCH(LARGE(FILTER(I$4:I1350,I$4:I1350&lt;=W319),1),I$4:I1350))-(W319-LARGE(FILTER(I$4:I"&amp;"1350,I$4:I1350&lt;=W319),1))*INDEX(F$4:F1350,MATCH(LARGE(FILTER(I$4:I1350,I$4:I1350&lt;=W319),1),I$4:I1350))))"),4.3092685E7)</f>
        <v>43092685</v>
      </c>
      <c r="N319" s="60">
        <f t="shared" si="8"/>
        <v>-265.96512</v>
      </c>
      <c r="O319" s="61" t="str">
        <f t="shared" si="9"/>
        <v>43,1M</v>
      </c>
      <c r="P319" s="56">
        <f t="shared" si="10"/>
        <v>29</v>
      </c>
      <c r="Q319" s="105" t="s">
        <v>61</v>
      </c>
      <c r="R319" s="10" t="b">
        <f>IFERROR(__xludf.DUMMYFUNCTION("IF(COUNTA(Q319:Q1350)=0,"""",IF(ISBLANK(Q319),FALSE,IF(NOT(COUNTIF($AA$24:$AA$34,SUBSTITUTE(Q319,""Sell_"",""""))),1,IF(REGEXMATCH(Q319,""Sell_""),IF(COUNTIF(Q$4:Q319,SUBSTITUTE(Q319,""Sell_"",""""))-COUNTIF(Q$4:Q318,Q319)&lt;1,1),FALSE))))"),FALSE)</f>
        <v>0</v>
      </c>
      <c r="S319" s="59">
        <f t="array" ref="S319">IF(COUNTA(Q319:Q1350)=0,"",SUM((COUNTIF(Q$4:Q319,Upgrades!$B$3:$B$13)-COUNTIF(Q$4:Q319,"Sell_"&amp;Upgrades!$B$3:$B$13))*Upgrades!$D$3:$D$13))</f>
        <v>204000</v>
      </c>
      <c r="T319" s="66">
        <f>IFERROR(__xludf.DUMMYFUNCTION("IF(COUNTA(Q319:Q1350)=0,"""",IF(REGEXMATCH(INDEX(FILTER(Q$4:Q319,Q$4:Q319&lt;&gt;""""),ROWS(FILTER(Q$4:Q319,Q$4:Q319&lt;&gt;""""))),""^Sell_""),INDEX(FILTER(T$4:T318,Q$4:Q318&lt;&gt;""""),ROWS(FILTER(Q$4:Q318,Q$4:Q318&lt;&gt;""""))),$AD$5+S319))"),212106.0)</f>
        <v>212106</v>
      </c>
      <c r="U319" s="10">
        <f>IFERROR(__xludf.DUMMYFUNCTION("IF(COUNTA(Q319:Q1350)=0,"""",IF(Q319="""",0,IF(REGEXMATCH(Q319,""^Sell_""),-ROUNDDOWN(ROUNDUP(INDEX(Upgrades!$C$3:$C$13,MATCH(SUBSTITUTE(Q319,""Sell_"",""""),Upgrades!$B$3:$B$13,0))*1.15^(COUNTIF(Q$4:Q318,SUBSTITUTE(Q319,""Sell_"",""""))-COUNTIF(Q$4:Q318,"&amp;"""Sell_""&amp;SUBSTITUTE(Q319,""Sell_"",""""))))/2),ROUNDUP(INDEX(Upgrades!$C$3:$C$13,MATCH(Q319,Upgrades!$B$3:$B$13,0))*1.15^(COUNTIF(Q$4:Q318,Q319)-COUNTIF(Q$4:Q318,""Sell_""&amp;Q319))))))"),-53200.0)</f>
        <v>-53200</v>
      </c>
      <c r="V319" s="10">
        <f t="shared" si="11"/>
        <v>-8584090</v>
      </c>
      <c r="W319" s="68">
        <f t="shared" si="12"/>
        <v>4647.88374</v>
      </c>
      <c r="X319" s="59" t="str">
        <f t="shared" si="13"/>
        <v>1h 17m 27s</v>
      </c>
      <c r="Y319" s="69">
        <f t="shared" si="14"/>
        <v>251843441</v>
      </c>
      <c r="Z319" s="11"/>
    </row>
    <row r="320">
      <c r="A320" s="8"/>
      <c r="B320" s="56" t="str">
        <f t="shared" si="2"/>
        <v/>
      </c>
      <c r="C320" s="57"/>
      <c r="D320" s="10" t="str">
        <f>IFERROR(__xludf.DUMMYFUNCTION("IF(COUNTA(C320:C1350)=0,"""",IF(ISBLANK(C320),FALSE,IF(NOT(COUNTIF($AA$24:$AA$34,SUBSTITUTE(C320,""Sell_"",""""))),1,IF(REGEXMATCH(C320,""Sell_""),IF(COUNTIF(C$4:C320,SUBSTITUTE(C320,""Sell_"",""""))-COUNTIF(C$4:C319,C320)&lt;1,1),FALSE))))"),"")</f>
        <v/>
      </c>
      <c r="E320" s="59" t="str">
        <f t="array" ref="E320">IF(COUNTA(C320:C1350)=0,"",SUM((COUNTIF(C$4:C320,Upgrades!$B$3:$B$13)-COUNTIF(C$4:C320,"Sell_"&amp;Upgrades!$B$3:$B$13))*Upgrades!$D$3:$D$13))</f>
        <v/>
      </c>
      <c r="F320" s="66" t="str">
        <f>IFERROR(__xludf.DUMMYFUNCTION("IF(COUNTA(C320:C1350)=0,"""",IF(REGEXMATCH(INDEX(FILTER(C$4:C320,C$4:C320&lt;&gt;""""),ROWS(FILTER(C$4:C320,C$4:C320&lt;&gt;""""))),""^Sell_""),INDEX(FILTER(F$4:F319,C$4:C319&lt;&gt;""""),ROWS(FILTER(C$4:C319,C$4:C319&lt;&gt;""""))),$AC$5+E320))"),"")</f>
        <v/>
      </c>
      <c r="G320" s="10" t="str">
        <f>IFERROR(__xludf.DUMMYFUNCTION("IF(COUNTA(C320:C1350)=0,"""",IF(C320="""",0,IF(REGEXMATCH(C320,""^Sell_""),-ROUNDDOWN(ROUNDUP(INDEX(Upgrades!$C$3:$C$13,MATCH(SUBSTITUTE(C320,""Sell_"",""""),Upgrades!$B$3:$B$13,0))*1.15^(COUNTIF(C$4:C319,SUBSTITUTE(C320,""Sell_"",""""))-COUNTIF(C$4:C319,"&amp;"""Sell_""&amp;SUBSTITUTE(C320,""Sell_"",""""))))/2),ROUNDUP(INDEX(Upgrades!$C$3:$C$13,MATCH(C320,Upgrades!$B$3:$B$13,0))*1.15^(COUNTIF(C$4:C319,C320)-COUNTIF(C$4:C319,""Sell_""&amp;C320))))))"),"")</f>
        <v/>
      </c>
      <c r="H320" s="10" t="str">
        <f t="shared" si="3"/>
        <v/>
      </c>
      <c r="I320" s="68" t="str">
        <f t="shared" si="4"/>
        <v/>
      </c>
      <c r="J320" s="59" t="str">
        <f t="shared" si="5"/>
        <v/>
      </c>
      <c r="K320" s="69" t="str">
        <f t="shared" si="6"/>
        <v/>
      </c>
      <c r="L320" s="60">
        <f t="shared" si="7"/>
        <v>-265.96512</v>
      </c>
      <c r="M320" s="61">
        <f>IFERROR(__xludf.DUMMYFUNCTION("IFS(AND(COUNTA(C320:C1350)=0,COUNTA(Q320:Q1350)=0),"""",OR(AND(K320&gt;=1000000000,OR(Y320&gt;=1000000000,COUNTA(Q320:Q1350)=0)),OR(Y320&gt;=1000000000,AND(COUNTA(C320:C1350)=0,P$3=TRUE))),
ROUNDDOWN((AB$1-AC$1)*MAX(INDEX(T$4:T1350,MATCH(LARGE(FILTER(Y$4:Y1350,Y$4"&amp;":Y1350&lt;1000000000),1),Y$4:Y1350)),INDEX(F$4:F1350,MATCH(LARGE(FILTER(K$4:K1350,K$4:K1350&lt;1000000000),1),K$4:K1350)))),AND(K320&lt;1000000000,COUNTA(C320:C1350)&gt;0,P$3=FALSE),
ROUNDDOWN(INDEX(Y$4:Y1350,MATCH(LARGE(FILTER(W$4:W1350,W$4:W1350&lt;=I320),1),W$4:W1350"&amp;"))+(I320-LARGE(FILTER(W$4:W1350,W$4:W1350&lt;=I320),1))*INDEX(T$4:T1350,MATCH(LARGE(FILTER(W$4:W1350,W$4:W1350&lt;=I320),1),W$4:W1350))-K320),1,
ROUNDDOWN(Y320-INDEX(K$4:K1350,MATCH(LARGE(FILTER(I$4:I1350,I$4:I1350&lt;=W320),1),I$4:I1350))-(W320-LARGE(FILTER(I$4:I"&amp;"1350,I$4:I1350&lt;=W320),1))*INDEX(F$4:F1350,MATCH(LARGE(FILTER(I$4:I1350,I$4:I1350&lt;=W320),1),I$4:I1350))))"),4.3092685E7)</f>
        <v>43092685</v>
      </c>
      <c r="N320" s="60">
        <f t="shared" si="8"/>
        <v>-265.96512</v>
      </c>
      <c r="O320" s="61" t="str">
        <f t="shared" si="9"/>
        <v>43,1M</v>
      </c>
      <c r="P320" s="56">
        <f t="shared" si="10"/>
        <v>30</v>
      </c>
      <c r="Q320" s="105" t="s">
        <v>61</v>
      </c>
      <c r="R320" s="10" t="b">
        <f>IFERROR(__xludf.DUMMYFUNCTION("IF(COUNTA(Q320:Q1350)=0,"""",IF(ISBLANK(Q320),FALSE,IF(NOT(COUNTIF($AA$24:$AA$34,SUBSTITUTE(Q320,""Sell_"",""""))),1,IF(REGEXMATCH(Q320,""Sell_""),IF(COUNTIF(Q$4:Q320,SUBSTITUTE(Q320,""Sell_"",""""))-COUNTIF(Q$4:Q319,Q320)&lt;1,1),FALSE))))"),FALSE)</f>
        <v>0</v>
      </c>
      <c r="S320" s="59">
        <f t="array" ref="S320">IF(COUNTA(Q320:Q1350)=0,"",SUM((COUNTIF(Q$4:Q320,Upgrades!$B$3:$B$13)-COUNTIF(Q$4:Q320,"Sell_"&amp;Upgrades!$B$3:$B$13))*Upgrades!$D$3:$D$13))</f>
        <v>203900</v>
      </c>
      <c r="T320" s="66">
        <f>IFERROR(__xludf.DUMMYFUNCTION("IF(COUNTA(Q320:Q1350)=0,"""",IF(REGEXMATCH(INDEX(FILTER(Q$4:Q320,Q$4:Q320&lt;&gt;""""),ROWS(FILTER(Q$4:Q320,Q$4:Q320&lt;&gt;""""))),""^Sell_""),INDEX(FILTER(T$4:T319,Q$4:Q319&lt;&gt;""""),ROWS(FILTER(Q$4:Q319,Q$4:Q319&lt;&gt;""""))),$AD$5+S320))"),212106.0)</f>
        <v>212106</v>
      </c>
      <c r="U320" s="10">
        <f>IFERROR(__xludf.DUMMYFUNCTION("IF(COUNTA(Q320:Q1350)=0,"""",IF(Q320="""",0,IF(REGEXMATCH(Q320,""^Sell_""),-ROUNDDOWN(ROUNDUP(INDEX(Upgrades!$C$3:$C$13,MATCH(SUBSTITUTE(Q320,""Sell_"",""""),Upgrades!$B$3:$B$13,0))*1.15^(COUNTIF(Q$4:Q319,SUBSTITUTE(Q320,""Sell_"",""""))-COUNTIF(Q$4:Q319,"&amp;"""Sell_""&amp;SUBSTITUTE(Q320,""Sell_"",""""))))/2),ROUNDUP(INDEX(Upgrades!$C$3:$C$13,MATCH(Q320,Upgrades!$B$3:$B$13,0))*1.15^(COUNTIF(Q$4:Q319,Q320)-COUNTIF(Q$4:Q319,""Sell_""&amp;Q320))))))"),-46261.0)</f>
        <v>-46261</v>
      </c>
      <c r="V320" s="10">
        <f t="shared" si="11"/>
        <v>-8630351</v>
      </c>
      <c r="W320" s="68">
        <f t="shared" si="12"/>
        <v>4647.88374</v>
      </c>
      <c r="X320" s="59" t="str">
        <f t="shared" si="13"/>
        <v>1h 17m 27s</v>
      </c>
      <c r="Y320" s="69">
        <f t="shared" si="14"/>
        <v>251843441</v>
      </c>
      <c r="Z320" s="11"/>
    </row>
    <row r="321">
      <c r="A321" s="8"/>
      <c r="B321" s="56" t="str">
        <f t="shared" si="2"/>
        <v/>
      </c>
      <c r="C321" s="57"/>
      <c r="D321" s="10" t="str">
        <f>IFERROR(__xludf.DUMMYFUNCTION("IF(COUNTA(C321:C1350)=0,"""",IF(ISBLANK(C321),FALSE,IF(NOT(COUNTIF($AA$24:$AA$34,SUBSTITUTE(C321,""Sell_"",""""))),1,IF(REGEXMATCH(C321,""Sell_""),IF(COUNTIF(C$4:C321,SUBSTITUTE(C321,""Sell_"",""""))-COUNTIF(C$4:C320,C321)&lt;1,1),FALSE))))"),"")</f>
        <v/>
      </c>
      <c r="E321" s="59" t="str">
        <f t="array" ref="E321">IF(COUNTA(C321:C1350)=0,"",SUM((COUNTIF(C$4:C321,Upgrades!$B$3:$B$13)-COUNTIF(C$4:C321,"Sell_"&amp;Upgrades!$B$3:$B$13))*Upgrades!$D$3:$D$13))</f>
        <v/>
      </c>
      <c r="F321" s="66" t="str">
        <f>IFERROR(__xludf.DUMMYFUNCTION("IF(COUNTA(C321:C1350)=0,"""",IF(REGEXMATCH(INDEX(FILTER(C$4:C321,C$4:C321&lt;&gt;""""),ROWS(FILTER(C$4:C321,C$4:C321&lt;&gt;""""))),""^Sell_""),INDEX(FILTER(F$4:F320,C$4:C320&lt;&gt;""""),ROWS(FILTER(C$4:C320,C$4:C320&lt;&gt;""""))),$AC$5+E321))"),"")</f>
        <v/>
      </c>
      <c r="G321" s="10" t="str">
        <f>IFERROR(__xludf.DUMMYFUNCTION("IF(COUNTA(C321:C1350)=0,"""",IF(C321="""",0,IF(REGEXMATCH(C321,""^Sell_""),-ROUNDDOWN(ROUNDUP(INDEX(Upgrades!$C$3:$C$13,MATCH(SUBSTITUTE(C321,""Sell_"",""""),Upgrades!$B$3:$B$13,0))*1.15^(COUNTIF(C$4:C320,SUBSTITUTE(C321,""Sell_"",""""))-COUNTIF(C$4:C320,"&amp;"""Sell_""&amp;SUBSTITUTE(C321,""Sell_"",""""))))/2),ROUNDUP(INDEX(Upgrades!$C$3:$C$13,MATCH(C321,Upgrades!$B$3:$B$13,0))*1.15^(COUNTIF(C$4:C320,C321)-COUNTIF(C$4:C320,""Sell_""&amp;C321))))))"),"")</f>
        <v/>
      </c>
      <c r="H321" s="10" t="str">
        <f t="shared" si="3"/>
        <v/>
      </c>
      <c r="I321" s="68" t="str">
        <f t="shared" si="4"/>
        <v/>
      </c>
      <c r="J321" s="59" t="str">
        <f t="shared" si="5"/>
        <v/>
      </c>
      <c r="K321" s="69" t="str">
        <f t="shared" si="6"/>
        <v/>
      </c>
      <c r="L321" s="60">
        <f t="shared" si="7"/>
        <v>-265.96512</v>
      </c>
      <c r="M321" s="61">
        <f>IFERROR(__xludf.DUMMYFUNCTION("IFS(AND(COUNTA(C321:C1350)=0,COUNTA(Q321:Q1350)=0),"""",OR(AND(K321&gt;=1000000000,OR(Y321&gt;=1000000000,COUNTA(Q321:Q1350)=0)),OR(Y321&gt;=1000000000,AND(COUNTA(C321:C1350)=0,P$3=TRUE))),
ROUNDDOWN((AB$1-AC$1)*MAX(INDEX(T$4:T1350,MATCH(LARGE(FILTER(Y$4:Y1350,Y$4"&amp;":Y1350&lt;1000000000),1),Y$4:Y1350)),INDEX(F$4:F1350,MATCH(LARGE(FILTER(K$4:K1350,K$4:K1350&lt;1000000000),1),K$4:K1350)))),AND(K321&lt;1000000000,COUNTA(C321:C1350)&gt;0,P$3=FALSE),
ROUNDDOWN(INDEX(Y$4:Y1350,MATCH(LARGE(FILTER(W$4:W1350,W$4:W1350&lt;=I321),1),W$4:W1350"&amp;"))+(I321-LARGE(FILTER(W$4:W1350,W$4:W1350&lt;=I321),1))*INDEX(T$4:T1350,MATCH(LARGE(FILTER(W$4:W1350,W$4:W1350&lt;=I321),1),W$4:W1350))-K321),1,
ROUNDDOWN(Y321-INDEX(K$4:K1350,MATCH(LARGE(FILTER(I$4:I1350,I$4:I1350&lt;=W321),1),I$4:I1350))-(W321-LARGE(FILTER(I$4:I"&amp;"1350,I$4:I1350&lt;=W321),1))*INDEX(F$4:F1350,MATCH(LARGE(FILTER(I$4:I1350,I$4:I1350&lt;=W321),1),I$4:I1350))))"),4.3092685E7)</f>
        <v>43092685</v>
      </c>
      <c r="N321" s="60">
        <f t="shared" si="8"/>
        <v>-265.96512</v>
      </c>
      <c r="O321" s="61" t="str">
        <f t="shared" si="9"/>
        <v>43,1M</v>
      </c>
      <c r="P321" s="56">
        <f t="shared" si="10"/>
        <v>31</v>
      </c>
      <c r="Q321" s="105" t="s">
        <v>61</v>
      </c>
      <c r="R321" s="10" t="b">
        <f>IFERROR(__xludf.DUMMYFUNCTION("IF(COUNTA(Q321:Q1350)=0,"""",IF(ISBLANK(Q321),FALSE,IF(NOT(COUNTIF($AA$24:$AA$34,SUBSTITUTE(Q321,""Sell_"",""""))),1,IF(REGEXMATCH(Q321,""Sell_""),IF(COUNTIF(Q$4:Q321,SUBSTITUTE(Q321,""Sell_"",""""))-COUNTIF(Q$4:Q320,Q321)&lt;1,1),FALSE))))"),FALSE)</f>
        <v>0</v>
      </c>
      <c r="S321" s="59">
        <f t="array" ref="S321">IF(COUNTA(Q321:Q1350)=0,"",SUM((COUNTIF(Q$4:Q321,Upgrades!$B$3:$B$13)-COUNTIF(Q$4:Q321,"Sell_"&amp;Upgrades!$B$3:$B$13))*Upgrades!$D$3:$D$13))</f>
        <v>203800</v>
      </c>
      <c r="T321" s="66">
        <f>IFERROR(__xludf.DUMMYFUNCTION("IF(COUNTA(Q321:Q1350)=0,"""",IF(REGEXMATCH(INDEX(FILTER(Q$4:Q321,Q$4:Q321&lt;&gt;""""),ROWS(FILTER(Q$4:Q321,Q$4:Q321&lt;&gt;""""))),""^Sell_""),INDEX(FILTER(T$4:T320,Q$4:Q320&lt;&gt;""""),ROWS(FILTER(Q$4:Q320,Q$4:Q320&lt;&gt;""""))),$AD$5+S321))"),212106.0)</f>
        <v>212106</v>
      </c>
      <c r="U321" s="10">
        <f>IFERROR(__xludf.DUMMYFUNCTION("IF(COUNTA(Q321:Q1350)=0,"""",IF(Q321="""",0,IF(REGEXMATCH(Q321,""^Sell_""),-ROUNDDOWN(ROUNDUP(INDEX(Upgrades!$C$3:$C$13,MATCH(SUBSTITUTE(Q321,""Sell_"",""""),Upgrades!$B$3:$B$13,0))*1.15^(COUNTIF(Q$4:Q320,SUBSTITUTE(Q321,""Sell_"",""""))-COUNTIF(Q$4:Q320,"&amp;"""Sell_""&amp;SUBSTITUTE(Q321,""Sell_"",""""))))/2),ROUNDUP(INDEX(Upgrades!$C$3:$C$13,MATCH(Q321,Upgrades!$B$3:$B$13,0))*1.15^(COUNTIF(Q$4:Q320,Q321)-COUNTIF(Q$4:Q320,""Sell_""&amp;Q321))))))"),-40227.0)</f>
        <v>-40227</v>
      </c>
      <c r="V321" s="10">
        <f t="shared" si="11"/>
        <v>-8670578</v>
      </c>
      <c r="W321" s="68">
        <f t="shared" si="12"/>
        <v>4647.88374</v>
      </c>
      <c r="X321" s="59" t="str">
        <f t="shared" si="13"/>
        <v>1h 17m 27s</v>
      </c>
      <c r="Y321" s="69">
        <f t="shared" si="14"/>
        <v>251843441</v>
      </c>
      <c r="Z321" s="11"/>
    </row>
    <row r="322">
      <c r="A322" s="8"/>
      <c r="B322" s="56" t="str">
        <f t="shared" si="2"/>
        <v/>
      </c>
      <c r="C322" s="57"/>
      <c r="D322" s="10" t="str">
        <f>IFERROR(__xludf.DUMMYFUNCTION("IF(COUNTA(C322:C1350)=0,"""",IF(ISBLANK(C322),FALSE,IF(NOT(COUNTIF($AA$24:$AA$34,SUBSTITUTE(C322,""Sell_"",""""))),1,IF(REGEXMATCH(C322,""Sell_""),IF(COUNTIF(C$4:C322,SUBSTITUTE(C322,""Sell_"",""""))-COUNTIF(C$4:C321,C322)&lt;1,1),FALSE))))"),"")</f>
        <v/>
      </c>
      <c r="E322" s="59" t="str">
        <f t="array" ref="E322">IF(COUNTA(C322:C1350)=0,"",SUM((COUNTIF(C$4:C322,Upgrades!$B$3:$B$13)-COUNTIF(C$4:C322,"Sell_"&amp;Upgrades!$B$3:$B$13))*Upgrades!$D$3:$D$13))</f>
        <v/>
      </c>
      <c r="F322" s="66" t="str">
        <f>IFERROR(__xludf.DUMMYFUNCTION("IF(COUNTA(C322:C1350)=0,"""",IF(REGEXMATCH(INDEX(FILTER(C$4:C322,C$4:C322&lt;&gt;""""),ROWS(FILTER(C$4:C322,C$4:C322&lt;&gt;""""))),""^Sell_""),INDEX(FILTER(F$4:F321,C$4:C321&lt;&gt;""""),ROWS(FILTER(C$4:C321,C$4:C321&lt;&gt;""""))),$AC$5+E322))"),"")</f>
        <v/>
      </c>
      <c r="G322" s="10" t="str">
        <f>IFERROR(__xludf.DUMMYFUNCTION("IF(COUNTA(C322:C1350)=0,"""",IF(C322="""",0,IF(REGEXMATCH(C322,""^Sell_""),-ROUNDDOWN(ROUNDUP(INDEX(Upgrades!$C$3:$C$13,MATCH(SUBSTITUTE(C322,""Sell_"",""""),Upgrades!$B$3:$B$13,0))*1.15^(COUNTIF(C$4:C321,SUBSTITUTE(C322,""Sell_"",""""))-COUNTIF(C$4:C321,"&amp;"""Sell_""&amp;SUBSTITUTE(C322,""Sell_"",""""))))/2),ROUNDUP(INDEX(Upgrades!$C$3:$C$13,MATCH(C322,Upgrades!$B$3:$B$13,0))*1.15^(COUNTIF(C$4:C321,C322)-COUNTIF(C$4:C321,""Sell_""&amp;C322))))))"),"")</f>
        <v/>
      </c>
      <c r="H322" s="10" t="str">
        <f t="shared" si="3"/>
        <v/>
      </c>
      <c r="I322" s="68" t="str">
        <f t="shared" si="4"/>
        <v/>
      </c>
      <c r="J322" s="59" t="str">
        <f t="shared" si="5"/>
        <v/>
      </c>
      <c r="K322" s="69" t="str">
        <f t="shared" si="6"/>
        <v/>
      </c>
      <c r="L322" s="60">
        <f t="shared" si="7"/>
        <v>-265.96512</v>
      </c>
      <c r="M322" s="61">
        <f>IFERROR(__xludf.DUMMYFUNCTION("IFS(AND(COUNTA(C322:C1350)=0,COUNTA(Q322:Q1350)=0),"""",OR(AND(K322&gt;=1000000000,OR(Y322&gt;=1000000000,COUNTA(Q322:Q1350)=0)),OR(Y322&gt;=1000000000,AND(COUNTA(C322:C1350)=0,P$3=TRUE))),
ROUNDDOWN((AB$1-AC$1)*MAX(INDEX(T$4:T1350,MATCH(LARGE(FILTER(Y$4:Y1350,Y$4"&amp;":Y1350&lt;1000000000),1),Y$4:Y1350)),INDEX(F$4:F1350,MATCH(LARGE(FILTER(K$4:K1350,K$4:K1350&lt;1000000000),1),K$4:K1350)))),AND(K322&lt;1000000000,COUNTA(C322:C1350)&gt;0,P$3=FALSE),
ROUNDDOWN(INDEX(Y$4:Y1350,MATCH(LARGE(FILTER(W$4:W1350,W$4:W1350&lt;=I322),1),W$4:W1350"&amp;"))+(I322-LARGE(FILTER(W$4:W1350,W$4:W1350&lt;=I322),1))*INDEX(T$4:T1350,MATCH(LARGE(FILTER(W$4:W1350,W$4:W1350&lt;=I322),1),W$4:W1350))-K322),1,
ROUNDDOWN(Y322-INDEX(K$4:K1350,MATCH(LARGE(FILTER(I$4:I1350,I$4:I1350&lt;=W322),1),I$4:I1350))-(W322-LARGE(FILTER(I$4:I"&amp;"1350,I$4:I1350&lt;=W322),1))*INDEX(F$4:F1350,MATCH(LARGE(FILTER(I$4:I1350,I$4:I1350&lt;=W322),1),I$4:I1350))))"),4.3092685E7)</f>
        <v>43092685</v>
      </c>
      <c r="N322" s="60">
        <f t="shared" si="8"/>
        <v>-265.96512</v>
      </c>
      <c r="O322" s="61" t="str">
        <f t="shared" si="9"/>
        <v>43,1M</v>
      </c>
      <c r="P322" s="56">
        <f t="shared" si="10"/>
        <v>32</v>
      </c>
      <c r="Q322" s="105" t="s">
        <v>61</v>
      </c>
      <c r="R322" s="10" t="b">
        <f>IFERROR(__xludf.DUMMYFUNCTION("IF(COUNTA(Q322:Q1350)=0,"""",IF(ISBLANK(Q322),FALSE,IF(NOT(COUNTIF($AA$24:$AA$34,SUBSTITUTE(Q322,""Sell_"",""""))),1,IF(REGEXMATCH(Q322,""Sell_""),IF(COUNTIF(Q$4:Q322,SUBSTITUTE(Q322,""Sell_"",""""))-COUNTIF(Q$4:Q321,Q322)&lt;1,1),FALSE))))"),FALSE)</f>
        <v>0</v>
      </c>
      <c r="S322" s="59">
        <f t="array" ref="S322">IF(COUNTA(Q322:Q1350)=0,"",SUM((COUNTIF(Q$4:Q322,Upgrades!$B$3:$B$13)-COUNTIF(Q$4:Q322,"Sell_"&amp;Upgrades!$B$3:$B$13))*Upgrades!$D$3:$D$13))</f>
        <v>203700</v>
      </c>
      <c r="T322" s="66">
        <f>IFERROR(__xludf.DUMMYFUNCTION("IF(COUNTA(Q322:Q1350)=0,"""",IF(REGEXMATCH(INDEX(FILTER(Q$4:Q322,Q$4:Q322&lt;&gt;""""),ROWS(FILTER(Q$4:Q322,Q$4:Q322&lt;&gt;""""))),""^Sell_""),INDEX(FILTER(T$4:T321,Q$4:Q321&lt;&gt;""""),ROWS(FILTER(Q$4:Q321,Q$4:Q321&lt;&gt;""""))),$AD$5+S322))"),212106.0)</f>
        <v>212106</v>
      </c>
      <c r="U322" s="10">
        <f>IFERROR(__xludf.DUMMYFUNCTION("IF(COUNTA(Q322:Q1350)=0,"""",IF(Q322="""",0,IF(REGEXMATCH(Q322,""^Sell_""),-ROUNDDOWN(ROUNDUP(INDEX(Upgrades!$C$3:$C$13,MATCH(SUBSTITUTE(Q322,""Sell_"",""""),Upgrades!$B$3:$B$13,0))*1.15^(COUNTIF(Q$4:Q321,SUBSTITUTE(Q322,""Sell_"",""""))-COUNTIF(Q$4:Q321,"&amp;"""Sell_""&amp;SUBSTITUTE(Q322,""Sell_"",""""))))/2),ROUNDUP(INDEX(Upgrades!$C$3:$C$13,MATCH(Q322,Upgrades!$B$3:$B$13,0))*1.15^(COUNTIF(Q$4:Q321,Q322)-COUNTIF(Q$4:Q321,""Sell_""&amp;Q322))))))"),-34980.0)</f>
        <v>-34980</v>
      </c>
      <c r="V322" s="10">
        <f t="shared" si="11"/>
        <v>-8705558</v>
      </c>
      <c r="W322" s="68">
        <f t="shared" si="12"/>
        <v>4647.88374</v>
      </c>
      <c r="X322" s="59" t="str">
        <f t="shared" si="13"/>
        <v>1h 17m 27s</v>
      </c>
      <c r="Y322" s="69">
        <f t="shared" si="14"/>
        <v>251843441</v>
      </c>
      <c r="Z322" s="11"/>
    </row>
    <row r="323">
      <c r="A323" s="8"/>
      <c r="B323" s="56" t="str">
        <f t="shared" si="2"/>
        <v/>
      </c>
      <c r="C323" s="57"/>
      <c r="D323" s="10" t="str">
        <f>IFERROR(__xludf.DUMMYFUNCTION("IF(COUNTA(C323:C1350)=0,"""",IF(ISBLANK(C323),FALSE,IF(NOT(COUNTIF($AA$24:$AA$34,SUBSTITUTE(C323,""Sell_"",""""))),1,IF(REGEXMATCH(C323,""Sell_""),IF(COUNTIF(C$4:C323,SUBSTITUTE(C323,""Sell_"",""""))-COUNTIF(C$4:C322,C323)&lt;1,1),FALSE))))"),"")</f>
        <v/>
      </c>
      <c r="E323" s="59" t="str">
        <f t="array" ref="E323">IF(COUNTA(C323:C1350)=0,"",SUM((COUNTIF(C$4:C323,Upgrades!$B$3:$B$13)-COUNTIF(C$4:C323,"Sell_"&amp;Upgrades!$B$3:$B$13))*Upgrades!$D$3:$D$13))</f>
        <v/>
      </c>
      <c r="F323" s="66" t="str">
        <f>IFERROR(__xludf.DUMMYFUNCTION("IF(COUNTA(C323:C1350)=0,"""",IF(REGEXMATCH(INDEX(FILTER(C$4:C323,C$4:C323&lt;&gt;""""),ROWS(FILTER(C$4:C323,C$4:C323&lt;&gt;""""))),""^Sell_""),INDEX(FILTER(F$4:F322,C$4:C322&lt;&gt;""""),ROWS(FILTER(C$4:C322,C$4:C322&lt;&gt;""""))),$AC$5+E323))"),"")</f>
        <v/>
      </c>
      <c r="G323" s="10" t="str">
        <f>IFERROR(__xludf.DUMMYFUNCTION("IF(COUNTA(C323:C1350)=0,"""",IF(C323="""",0,IF(REGEXMATCH(C323,""^Sell_""),-ROUNDDOWN(ROUNDUP(INDEX(Upgrades!$C$3:$C$13,MATCH(SUBSTITUTE(C323,""Sell_"",""""),Upgrades!$B$3:$B$13,0))*1.15^(COUNTIF(C$4:C322,SUBSTITUTE(C323,""Sell_"",""""))-COUNTIF(C$4:C322,"&amp;"""Sell_""&amp;SUBSTITUTE(C323,""Sell_"",""""))))/2),ROUNDUP(INDEX(Upgrades!$C$3:$C$13,MATCH(C323,Upgrades!$B$3:$B$13,0))*1.15^(COUNTIF(C$4:C322,C323)-COUNTIF(C$4:C322,""Sell_""&amp;C323))))))"),"")</f>
        <v/>
      </c>
      <c r="H323" s="10" t="str">
        <f t="shared" si="3"/>
        <v/>
      </c>
      <c r="I323" s="68" t="str">
        <f t="shared" si="4"/>
        <v/>
      </c>
      <c r="J323" s="59" t="str">
        <f t="shared" si="5"/>
        <v/>
      </c>
      <c r="K323" s="69" t="str">
        <f t="shared" si="6"/>
        <v/>
      </c>
      <c r="L323" s="60">
        <f t="shared" si="7"/>
        <v>-265.96512</v>
      </c>
      <c r="M323" s="61">
        <f>IFERROR(__xludf.DUMMYFUNCTION("IFS(AND(COUNTA(C323:C1350)=0,COUNTA(Q323:Q1350)=0),"""",OR(AND(K323&gt;=1000000000,OR(Y323&gt;=1000000000,COUNTA(Q323:Q1350)=0)),OR(Y323&gt;=1000000000,AND(COUNTA(C323:C1350)=0,P$3=TRUE))),
ROUNDDOWN((AB$1-AC$1)*MAX(INDEX(T$4:T1350,MATCH(LARGE(FILTER(Y$4:Y1350,Y$4"&amp;":Y1350&lt;1000000000),1),Y$4:Y1350)),INDEX(F$4:F1350,MATCH(LARGE(FILTER(K$4:K1350,K$4:K1350&lt;1000000000),1),K$4:K1350)))),AND(K323&lt;1000000000,COUNTA(C323:C1350)&gt;0,P$3=FALSE),
ROUNDDOWN(INDEX(Y$4:Y1350,MATCH(LARGE(FILTER(W$4:W1350,W$4:W1350&lt;=I323),1),W$4:W1350"&amp;"))+(I323-LARGE(FILTER(W$4:W1350,W$4:W1350&lt;=I323),1))*INDEX(T$4:T1350,MATCH(LARGE(FILTER(W$4:W1350,W$4:W1350&lt;=I323),1),W$4:W1350))-K323),1,
ROUNDDOWN(Y323-INDEX(K$4:K1350,MATCH(LARGE(FILTER(I$4:I1350,I$4:I1350&lt;=W323),1),I$4:I1350))-(W323-LARGE(FILTER(I$4:I"&amp;"1350,I$4:I1350&lt;=W323),1))*INDEX(F$4:F1350,MATCH(LARGE(FILTER(I$4:I1350,I$4:I1350&lt;=W323),1),I$4:I1350))))"),4.3092685E7)</f>
        <v>43092685</v>
      </c>
      <c r="N323" s="60">
        <f t="shared" si="8"/>
        <v>-265.96512</v>
      </c>
      <c r="O323" s="61" t="str">
        <f t="shared" si="9"/>
        <v>43,1M</v>
      </c>
      <c r="P323" s="56">
        <f t="shared" si="10"/>
        <v>33</v>
      </c>
      <c r="Q323" s="105" t="s">
        <v>61</v>
      </c>
      <c r="R323" s="10" t="b">
        <f>IFERROR(__xludf.DUMMYFUNCTION("IF(COUNTA(Q323:Q1350)=0,"""",IF(ISBLANK(Q323),FALSE,IF(NOT(COUNTIF($AA$24:$AA$34,SUBSTITUTE(Q323,""Sell_"",""""))),1,IF(REGEXMATCH(Q323,""Sell_""),IF(COUNTIF(Q$4:Q323,SUBSTITUTE(Q323,""Sell_"",""""))-COUNTIF(Q$4:Q322,Q323)&lt;1,1),FALSE))))"),FALSE)</f>
        <v>0</v>
      </c>
      <c r="S323" s="59">
        <f t="array" ref="S323">IF(COUNTA(Q323:Q1350)=0,"",SUM((COUNTIF(Q$4:Q323,Upgrades!$B$3:$B$13)-COUNTIF(Q$4:Q323,"Sell_"&amp;Upgrades!$B$3:$B$13))*Upgrades!$D$3:$D$13))</f>
        <v>203600</v>
      </c>
      <c r="T323" s="66">
        <f>IFERROR(__xludf.DUMMYFUNCTION("IF(COUNTA(Q323:Q1350)=0,"""",IF(REGEXMATCH(INDEX(FILTER(Q$4:Q323,Q$4:Q323&lt;&gt;""""),ROWS(FILTER(Q$4:Q323,Q$4:Q323&lt;&gt;""""))),""^Sell_""),INDEX(FILTER(T$4:T322,Q$4:Q322&lt;&gt;""""),ROWS(FILTER(Q$4:Q322,Q$4:Q322&lt;&gt;""""))),$AD$5+S323))"),212106.0)</f>
        <v>212106</v>
      </c>
      <c r="U323" s="10">
        <f>IFERROR(__xludf.DUMMYFUNCTION("IF(COUNTA(Q323:Q1350)=0,"""",IF(Q323="""",0,IF(REGEXMATCH(Q323,""^Sell_""),-ROUNDDOWN(ROUNDUP(INDEX(Upgrades!$C$3:$C$13,MATCH(SUBSTITUTE(Q323,""Sell_"",""""),Upgrades!$B$3:$B$13,0))*1.15^(COUNTIF(Q$4:Q322,SUBSTITUTE(Q323,""Sell_"",""""))-COUNTIF(Q$4:Q322,"&amp;"""Sell_""&amp;SUBSTITUTE(Q323,""Sell_"",""""))))/2),ROUNDUP(INDEX(Upgrades!$C$3:$C$13,MATCH(Q323,Upgrades!$B$3:$B$13,0))*1.15^(COUNTIF(Q$4:Q322,Q323)-COUNTIF(Q$4:Q322,""Sell_""&amp;Q323))))))"),-30417.0)</f>
        <v>-30417</v>
      </c>
      <c r="V323" s="10">
        <f t="shared" si="11"/>
        <v>-8735975</v>
      </c>
      <c r="W323" s="68">
        <f t="shared" si="12"/>
        <v>4647.88374</v>
      </c>
      <c r="X323" s="59" t="str">
        <f t="shared" si="13"/>
        <v>1h 17m 27s</v>
      </c>
      <c r="Y323" s="69">
        <f t="shared" si="14"/>
        <v>251843441</v>
      </c>
      <c r="Z323" s="11"/>
    </row>
    <row r="324">
      <c r="A324" s="8"/>
      <c r="B324" s="56" t="str">
        <f t="shared" si="2"/>
        <v/>
      </c>
      <c r="C324" s="57"/>
      <c r="D324" s="10" t="str">
        <f>IFERROR(__xludf.DUMMYFUNCTION("IF(COUNTA(C324:C1350)=0,"""",IF(ISBLANK(C324),FALSE,IF(NOT(COUNTIF($AA$24:$AA$34,SUBSTITUTE(C324,""Sell_"",""""))),1,IF(REGEXMATCH(C324,""Sell_""),IF(COUNTIF(C$4:C324,SUBSTITUTE(C324,""Sell_"",""""))-COUNTIF(C$4:C323,C324)&lt;1,1),FALSE))))"),"")</f>
        <v/>
      </c>
      <c r="E324" s="59" t="str">
        <f t="array" ref="E324">IF(COUNTA(C324:C1350)=0,"",SUM((COUNTIF(C$4:C324,Upgrades!$B$3:$B$13)-COUNTIF(C$4:C324,"Sell_"&amp;Upgrades!$B$3:$B$13))*Upgrades!$D$3:$D$13))</f>
        <v/>
      </c>
      <c r="F324" s="66" t="str">
        <f>IFERROR(__xludf.DUMMYFUNCTION("IF(COUNTA(C324:C1350)=0,"""",IF(REGEXMATCH(INDEX(FILTER(C$4:C324,C$4:C324&lt;&gt;""""),ROWS(FILTER(C$4:C324,C$4:C324&lt;&gt;""""))),""^Sell_""),INDEX(FILTER(F$4:F323,C$4:C323&lt;&gt;""""),ROWS(FILTER(C$4:C323,C$4:C323&lt;&gt;""""))),$AC$5+E324))"),"")</f>
        <v/>
      </c>
      <c r="G324" s="10" t="str">
        <f>IFERROR(__xludf.DUMMYFUNCTION("IF(COUNTA(C324:C1350)=0,"""",IF(C324="""",0,IF(REGEXMATCH(C324,""^Sell_""),-ROUNDDOWN(ROUNDUP(INDEX(Upgrades!$C$3:$C$13,MATCH(SUBSTITUTE(C324,""Sell_"",""""),Upgrades!$B$3:$B$13,0))*1.15^(COUNTIF(C$4:C323,SUBSTITUTE(C324,""Sell_"",""""))-COUNTIF(C$4:C323,"&amp;"""Sell_""&amp;SUBSTITUTE(C324,""Sell_"",""""))))/2),ROUNDUP(INDEX(Upgrades!$C$3:$C$13,MATCH(C324,Upgrades!$B$3:$B$13,0))*1.15^(COUNTIF(C$4:C323,C324)-COUNTIF(C$4:C323,""Sell_""&amp;C324))))))"),"")</f>
        <v/>
      </c>
      <c r="H324" s="10" t="str">
        <f t="shared" si="3"/>
        <v/>
      </c>
      <c r="I324" s="68" t="str">
        <f t="shared" si="4"/>
        <v/>
      </c>
      <c r="J324" s="59" t="str">
        <f t="shared" si="5"/>
        <v/>
      </c>
      <c r="K324" s="69" t="str">
        <f t="shared" si="6"/>
        <v/>
      </c>
      <c r="L324" s="60">
        <f t="shared" si="7"/>
        <v>-265.96512</v>
      </c>
      <c r="M324" s="61">
        <f>IFERROR(__xludf.DUMMYFUNCTION("IFS(AND(COUNTA(C324:C1350)=0,COUNTA(Q324:Q1350)=0),"""",OR(AND(K324&gt;=1000000000,OR(Y324&gt;=1000000000,COUNTA(Q324:Q1350)=0)),OR(Y324&gt;=1000000000,AND(COUNTA(C324:C1350)=0,P$3=TRUE))),
ROUNDDOWN((AB$1-AC$1)*MAX(INDEX(T$4:T1350,MATCH(LARGE(FILTER(Y$4:Y1350,Y$4"&amp;":Y1350&lt;1000000000),1),Y$4:Y1350)),INDEX(F$4:F1350,MATCH(LARGE(FILTER(K$4:K1350,K$4:K1350&lt;1000000000),1),K$4:K1350)))),AND(K324&lt;1000000000,COUNTA(C324:C1350)&gt;0,P$3=FALSE),
ROUNDDOWN(INDEX(Y$4:Y1350,MATCH(LARGE(FILTER(W$4:W1350,W$4:W1350&lt;=I324),1),W$4:W1350"&amp;"))+(I324-LARGE(FILTER(W$4:W1350,W$4:W1350&lt;=I324),1))*INDEX(T$4:T1350,MATCH(LARGE(FILTER(W$4:W1350,W$4:W1350&lt;=I324),1),W$4:W1350))-K324),1,
ROUNDDOWN(Y324-INDEX(K$4:K1350,MATCH(LARGE(FILTER(I$4:I1350,I$4:I1350&lt;=W324),1),I$4:I1350))-(W324-LARGE(FILTER(I$4:I"&amp;"1350,I$4:I1350&lt;=W324),1))*INDEX(F$4:F1350,MATCH(LARGE(FILTER(I$4:I1350,I$4:I1350&lt;=W324),1),I$4:I1350))))"),4.3092685E7)</f>
        <v>43092685</v>
      </c>
      <c r="N324" s="60">
        <f t="shared" si="8"/>
        <v>-265.96512</v>
      </c>
      <c r="O324" s="61" t="str">
        <f t="shared" si="9"/>
        <v>43,1M</v>
      </c>
      <c r="P324" s="56">
        <f t="shared" si="10"/>
        <v>34</v>
      </c>
      <c r="Q324" s="105" t="s">
        <v>61</v>
      </c>
      <c r="R324" s="10" t="b">
        <f>IFERROR(__xludf.DUMMYFUNCTION("IF(COUNTA(Q324:Q1350)=0,"""",IF(ISBLANK(Q324),FALSE,IF(NOT(COUNTIF($AA$24:$AA$34,SUBSTITUTE(Q324,""Sell_"",""""))),1,IF(REGEXMATCH(Q324,""Sell_""),IF(COUNTIF(Q$4:Q324,SUBSTITUTE(Q324,""Sell_"",""""))-COUNTIF(Q$4:Q323,Q324)&lt;1,1),FALSE))))"),FALSE)</f>
        <v>0</v>
      </c>
      <c r="S324" s="59">
        <f t="array" ref="S324">IF(COUNTA(Q324:Q1350)=0,"",SUM((COUNTIF(Q$4:Q324,Upgrades!$B$3:$B$13)-COUNTIF(Q$4:Q324,"Sell_"&amp;Upgrades!$B$3:$B$13))*Upgrades!$D$3:$D$13))</f>
        <v>203500</v>
      </c>
      <c r="T324" s="66">
        <f>IFERROR(__xludf.DUMMYFUNCTION("IF(COUNTA(Q324:Q1350)=0,"""",IF(REGEXMATCH(INDEX(FILTER(Q$4:Q324,Q$4:Q324&lt;&gt;""""),ROWS(FILTER(Q$4:Q324,Q$4:Q324&lt;&gt;""""))),""^Sell_""),INDEX(FILTER(T$4:T323,Q$4:Q323&lt;&gt;""""),ROWS(FILTER(Q$4:Q323,Q$4:Q323&lt;&gt;""""))),$AD$5+S324))"),212106.0)</f>
        <v>212106</v>
      </c>
      <c r="U324" s="10">
        <f>IFERROR(__xludf.DUMMYFUNCTION("IF(COUNTA(Q324:Q1350)=0,"""",IF(Q324="""",0,IF(REGEXMATCH(Q324,""^Sell_""),-ROUNDDOWN(ROUNDUP(INDEX(Upgrades!$C$3:$C$13,MATCH(SUBSTITUTE(Q324,""Sell_"",""""),Upgrades!$B$3:$B$13,0))*1.15^(COUNTIF(Q$4:Q323,SUBSTITUTE(Q324,""Sell_"",""""))-COUNTIF(Q$4:Q323,"&amp;"""Sell_""&amp;SUBSTITUTE(Q324,""Sell_"",""""))))/2),ROUNDUP(INDEX(Upgrades!$C$3:$C$13,MATCH(Q324,Upgrades!$B$3:$B$13,0))*1.15^(COUNTIF(Q$4:Q323,Q324)-COUNTIF(Q$4:Q323,""Sell_""&amp;Q324))))))"),-26450.0)</f>
        <v>-26450</v>
      </c>
      <c r="V324" s="10">
        <f t="shared" si="11"/>
        <v>-8762425</v>
      </c>
      <c r="W324" s="68">
        <f t="shared" si="12"/>
        <v>4647.88374</v>
      </c>
      <c r="X324" s="59" t="str">
        <f t="shared" si="13"/>
        <v>1h 17m 27s</v>
      </c>
      <c r="Y324" s="69">
        <f t="shared" si="14"/>
        <v>251843441</v>
      </c>
      <c r="Z324" s="11"/>
    </row>
    <row r="325">
      <c r="A325" s="8"/>
      <c r="B325" s="56" t="str">
        <f t="shared" si="2"/>
        <v/>
      </c>
      <c r="C325" s="57"/>
      <c r="D325" s="10" t="str">
        <f>IFERROR(__xludf.DUMMYFUNCTION("IF(COUNTA(C325:C1350)=0,"""",IF(ISBLANK(C325),FALSE,IF(NOT(COUNTIF($AA$24:$AA$34,SUBSTITUTE(C325,""Sell_"",""""))),1,IF(REGEXMATCH(C325,""Sell_""),IF(COUNTIF(C$4:C325,SUBSTITUTE(C325,""Sell_"",""""))-COUNTIF(C$4:C324,C325)&lt;1,1),FALSE))))"),"")</f>
        <v/>
      </c>
      <c r="E325" s="59" t="str">
        <f t="array" ref="E325">IF(COUNTA(C325:C1350)=0,"",SUM((COUNTIF(C$4:C325,Upgrades!$B$3:$B$13)-COUNTIF(C$4:C325,"Sell_"&amp;Upgrades!$B$3:$B$13))*Upgrades!$D$3:$D$13))</f>
        <v/>
      </c>
      <c r="F325" s="66" t="str">
        <f>IFERROR(__xludf.DUMMYFUNCTION("IF(COUNTA(C325:C1350)=0,"""",IF(REGEXMATCH(INDEX(FILTER(C$4:C325,C$4:C325&lt;&gt;""""),ROWS(FILTER(C$4:C325,C$4:C325&lt;&gt;""""))),""^Sell_""),INDEX(FILTER(F$4:F324,C$4:C324&lt;&gt;""""),ROWS(FILTER(C$4:C324,C$4:C324&lt;&gt;""""))),$AC$5+E325))"),"")</f>
        <v/>
      </c>
      <c r="G325" s="10" t="str">
        <f>IFERROR(__xludf.DUMMYFUNCTION("IF(COUNTA(C325:C1350)=0,"""",IF(C325="""",0,IF(REGEXMATCH(C325,""^Sell_""),-ROUNDDOWN(ROUNDUP(INDEX(Upgrades!$C$3:$C$13,MATCH(SUBSTITUTE(C325,""Sell_"",""""),Upgrades!$B$3:$B$13,0))*1.15^(COUNTIF(C$4:C324,SUBSTITUTE(C325,""Sell_"",""""))-COUNTIF(C$4:C324,"&amp;"""Sell_""&amp;SUBSTITUTE(C325,""Sell_"",""""))))/2),ROUNDUP(INDEX(Upgrades!$C$3:$C$13,MATCH(C325,Upgrades!$B$3:$B$13,0))*1.15^(COUNTIF(C$4:C324,C325)-COUNTIF(C$4:C324,""Sell_""&amp;C325))))))"),"")</f>
        <v/>
      </c>
      <c r="H325" s="10" t="str">
        <f t="shared" si="3"/>
        <v/>
      </c>
      <c r="I325" s="68" t="str">
        <f t="shared" si="4"/>
        <v/>
      </c>
      <c r="J325" s="59" t="str">
        <f t="shared" si="5"/>
        <v/>
      </c>
      <c r="K325" s="69" t="str">
        <f t="shared" si="6"/>
        <v/>
      </c>
      <c r="L325" s="60">
        <f t="shared" si="7"/>
        <v>-265.96512</v>
      </c>
      <c r="M325" s="61">
        <f>IFERROR(__xludf.DUMMYFUNCTION("IFS(AND(COUNTA(C325:C1350)=0,COUNTA(Q325:Q1350)=0),"""",OR(AND(K325&gt;=1000000000,OR(Y325&gt;=1000000000,COUNTA(Q325:Q1350)=0)),OR(Y325&gt;=1000000000,AND(COUNTA(C325:C1350)=0,P$3=TRUE))),
ROUNDDOWN((AB$1-AC$1)*MAX(INDEX(T$4:T1350,MATCH(LARGE(FILTER(Y$4:Y1350,Y$4"&amp;":Y1350&lt;1000000000),1),Y$4:Y1350)),INDEX(F$4:F1350,MATCH(LARGE(FILTER(K$4:K1350,K$4:K1350&lt;1000000000),1),K$4:K1350)))),AND(K325&lt;1000000000,COUNTA(C325:C1350)&gt;0,P$3=FALSE),
ROUNDDOWN(INDEX(Y$4:Y1350,MATCH(LARGE(FILTER(W$4:W1350,W$4:W1350&lt;=I325),1),W$4:W1350"&amp;"))+(I325-LARGE(FILTER(W$4:W1350,W$4:W1350&lt;=I325),1))*INDEX(T$4:T1350,MATCH(LARGE(FILTER(W$4:W1350,W$4:W1350&lt;=I325),1),W$4:W1350))-K325),1,
ROUNDDOWN(Y325-INDEX(K$4:K1350,MATCH(LARGE(FILTER(I$4:I1350,I$4:I1350&lt;=W325),1),I$4:I1350))-(W325-LARGE(FILTER(I$4:I"&amp;"1350,I$4:I1350&lt;=W325),1))*INDEX(F$4:F1350,MATCH(LARGE(FILTER(I$4:I1350,I$4:I1350&lt;=W325),1),I$4:I1350))))"),4.3092685E7)</f>
        <v>43092685</v>
      </c>
      <c r="N325" s="60">
        <f t="shared" si="8"/>
        <v>-265.96512</v>
      </c>
      <c r="O325" s="61" t="str">
        <f t="shared" si="9"/>
        <v>43,1M</v>
      </c>
      <c r="P325" s="56">
        <f t="shared" si="10"/>
        <v>35</v>
      </c>
      <c r="Q325" s="105" t="s">
        <v>61</v>
      </c>
      <c r="R325" s="10" t="b">
        <f>IFERROR(__xludf.DUMMYFUNCTION("IF(COUNTA(Q325:Q1350)=0,"""",IF(ISBLANK(Q325),FALSE,IF(NOT(COUNTIF($AA$24:$AA$34,SUBSTITUTE(Q325,""Sell_"",""""))),1,IF(REGEXMATCH(Q325,""Sell_""),IF(COUNTIF(Q$4:Q325,SUBSTITUTE(Q325,""Sell_"",""""))-COUNTIF(Q$4:Q324,Q325)&lt;1,1),FALSE))))"),FALSE)</f>
        <v>0</v>
      </c>
      <c r="S325" s="59">
        <f t="array" ref="S325">IF(COUNTA(Q325:Q1350)=0,"",SUM((COUNTIF(Q$4:Q325,Upgrades!$B$3:$B$13)-COUNTIF(Q$4:Q325,"Sell_"&amp;Upgrades!$B$3:$B$13))*Upgrades!$D$3:$D$13))</f>
        <v>203400</v>
      </c>
      <c r="T325" s="66">
        <f>IFERROR(__xludf.DUMMYFUNCTION("IF(COUNTA(Q325:Q1350)=0,"""",IF(REGEXMATCH(INDEX(FILTER(Q$4:Q325,Q$4:Q325&lt;&gt;""""),ROWS(FILTER(Q$4:Q325,Q$4:Q325&lt;&gt;""""))),""^Sell_""),INDEX(FILTER(T$4:T324,Q$4:Q324&lt;&gt;""""),ROWS(FILTER(Q$4:Q324,Q$4:Q324&lt;&gt;""""))),$AD$5+S325))"),212106.0)</f>
        <v>212106</v>
      </c>
      <c r="U325" s="10">
        <f>IFERROR(__xludf.DUMMYFUNCTION("IF(COUNTA(Q325:Q1350)=0,"""",IF(Q325="""",0,IF(REGEXMATCH(Q325,""^Sell_""),-ROUNDDOWN(ROUNDUP(INDEX(Upgrades!$C$3:$C$13,MATCH(SUBSTITUTE(Q325,""Sell_"",""""),Upgrades!$B$3:$B$13,0))*1.15^(COUNTIF(Q$4:Q324,SUBSTITUTE(Q325,""Sell_"",""""))-COUNTIF(Q$4:Q324,"&amp;"""Sell_""&amp;SUBSTITUTE(Q325,""Sell_"",""""))))/2),ROUNDUP(INDEX(Upgrades!$C$3:$C$13,MATCH(Q325,Upgrades!$B$3:$B$13,0))*1.15^(COUNTIF(Q$4:Q324,Q325)-COUNTIF(Q$4:Q324,""Sell_""&amp;Q325))))))"),-23000.0)</f>
        <v>-23000</v>
      </c>
      <c r="V325" s="10">
        <f t="shared" si="11"/>
        <v>-8785425</v>
      </c>
      <c r="W325" s="68">
        <f t="shared" si="12"/>
        <v>4647.88374</v>
      </c>
      <c r="X325" s="59" t="str">
        <f t="shared" si="13"/>
        <v>1h 17m 27s</v>
      </c>
      <c r="Y325" s="69">
        <f t="shared" si="14"/>
        <v>251843441</v>
      </c>
      <c r="Z325" s="11"/>
    </row>
    <row r="326">
      <c r="A326" s="8"/>
      <c r="B326" s="56" t="str">
        <f t="shared" si="2"/>
        <v/>
      </c>
      <c r="C326" s="57"/>
      <c r="D326" s="10" t="str">
        <f>IFERROR(__xludf.DUMMYFUNCTION("IF(COUNTA(C326:C1350)=0,"""",IF(ISBLANK(C326),FALSE,IF(NOT(COUNTIF($AA$24:$AA$34,SUBSTITUTE(C326,""Sell_"",""""))),1,IF(REGEXMATCH(C326,""Sell_""),IF(COUNTIF(C$4:C326,SUBSTITUTE(C326,""Sell_"",""""))-COUNTIF(C$4:C325,C326)&lt;1,1),FALSE))))"),"")</f>
        <v/>
      </c>
      <c r="E326" s="59" t="str">
        <f t="array" ref="E326">IF(COUNTA(C326:C1350)=0,"",SUM((COUNTIF(C$4:C326,Upgrades!$B$3:$B$13)-COUNTIF(C$4:C326,"Sell_"&amp;Upgrades!$B$3:$B$13))*Upgrades!$D$3:$D$13))</f>
        <v/>
      </c>
      <c r="F326" s="66" t="str">
        <f>IFERROR(__xludf.DUMMYFUNCTION("IF(COUNTA(C326:C1350)=0,"""",IF(REGEXMATCH(INDEX(FILTER(C$4:C326,C$4:C326&lt;&gt;""""),ROWS(FILTER(C$4:C326,C$4:C326&lt;&gt;""""))),""^Sell_""),INDEX(FILTER(F$4:F325,C$4:C325&lt;&gt;""""),ROWS(FILTER(C$4:C325,C$4:C325&lt;&gt;""""))),$AC$5+E326))"),"")</f>
        <v/>
      </c>
      <c r="G326" s="10" t="str">
        <f>IFERROR(__xludf.DUMMYFUNCTION("IF(COUNTA(C326:C1350)=0,"""",IF(C326="""",0,IF(REGEXMATCH(C326,""^Sell_""),-ROUNDDOWN(ROUNDUP(INDEX(Upgrades!$C$3:$C$13,MATCH(SUBSTITUTE(C326,""Sell_"",""""),Upgrades!$B$3:$B$13,0))*1.15^(COUNTIF(C$4:C325,SUBSTITUTE(C326,""Sell_"",""""))-COUNTIF(C$4:C325,"&amp;"""Sell_""&amp;SUBSTITUTE(C326,""Sell_"",""""))))/2),ROUNDUP(INDEX(Upgrades!$C$3:$C$13,MATCH(C326,Upgrades!$B$3:$B$13,0))*1.15^(COUNTIF(C$4:C325,C326)-COUNTIF(C$4:C325,""Sell_""&amp;C326))))))"),"")</f>
        <v/>
      </c>
      <c r="H326" s="10" t="str">
        <f t="shared" si="3"/>
        <v/>
      </c>
      <c r="I326" s="68" t="str">
        <f t="shared" si="4"/>
        <v/>
      </c>
      <c r="J326" s="59" t="str">
        <f t="shared" si="5"/>
        <v/>
      </c>
      <c r="K326" s="69" t="str">
        <f t="shared" si="6"/>
        <v/>
      </c>
      <c r="L326" s="60">
        <f t="shared" si="7"/>
        <v>-265.96512</v>
      </c>
      <c r="M326" s="61">
        <f>IFERROR(__xludf.DUMMYFUNCTION("IFS(AND(COUNTA(C326:C1350)=0,COUNTA(Q326:Q1350)=0),"""",OR(AND(K326&gt;=1000000000,OR(Y326&gt;=1000000000,COUNTA(Q326:Q1350)=0)),OR(Y326&gt;=1000000000,AND(COUNTA(C326:C1350)=0,P$3=TRUE))),
ROUNDDOWN((AB$1-AC$1)*MAX(INDEX(T$4:T1350,MATCH(LARGE(FILTER(Y$4:Y1350,Y$4"&amp;":Y1350&lt;1000000000),1),Y$4:Y1350)),INDEX(F$4:F1350,MATCH(LARGE(FILTER(K$4:K1350,K$4:K1350&lt;1000000000),1),K$4:K1350)))),AND(K326&lt;1000000000,COUNTA(C326:C1350)&gt;0,P$3=FALSE),
ROUNDDOWN(INDEX(Y$4:Y1350,MATCH(LARGE(FILTER(W$4:W1350,W$4:W1350&lt;=I326),1),W$4:W1350"&amp;"))+(I326-LARGE(FILTER(W$4:W1350,W$4:W1350&lt;=I326),1))*INDEX(T$4:T1350,MATCH(LARGE(FILTER(W$4:W1350,W$4:W1350&lt;=I326),1),W$4:W1350))-K326),1,
ROUNDDOWN(Y326-INDEX(K$4:K1350,MATCH(LARGE(FILTER(I$4:I1350,I$4:I1350&lt;=W326),1),I$4:I1350))-(W326-LARGE(FILTER(I$4:I"&amp;"1350,I$4:I1350&lt;=W326),1))*INDEX(F$4:F1350,MATCH(LARGE(FILTER(I$4:I1350,I$4:I1350&lt;=W326),1),I$4:I1350))))"),4.3092685E7)</f>
        <v>43092685</v>
      </c>
      <c r="N326" s="60">
        <f t="shared" si="8"/>
        <v>-265.96512</v>
      </c>
      <c r="O326" s="61" t="str">
        <f t="shared" si="9"/>
        <v>43,1M</v>
      </c>
      <c r="P326" s="56">
        <f t="shared" si="10"/>
        <v>16</v>
      </c>
      <c r="Q326" s="105" t="s">
        <v>60</v>
      </c>
      <c r="R326" s="10" t="b">
        <f>IFERROR(__xludf.DUMMYFUNCTION("IF(COUNTA(Q326:Q1350)=0,"""",IF(ISBLANK(Q326),FALSE,IF(NOT(COUNTIF($AA$24:$AA$34,SUBSTITUTE(Q326,""Sell_"",""""))),1,IF(REGEXMATCH(Q326,""Sell_""),IF(COUNTIF(Q$4:Q326,SUBSTITUTE(Q326,""Sell_"",""""))-COUNTIF(Q$4:Q325,Q326)&lt;1,1),FALSE))))"),FALSE)</f>
        <v>0</v>
      </c>
      <c r="S326" s="59">
        <f t="array" ref="S326">IF(COUNTA(Q326:Q1350)=0,"",SUM((COUNTIF(Q$4:Q326,Upgrades!$B$3:$B$13)-COUNTIF(Q$4:Q326,"Sell_"&amp;Upgrades!$B$3:$B$13))*Upgrades!$D$3:$D$13))</f>
        <v>203000</v>
      </c>
      <c r="T326" s="66">
        <f>IFERROR(__xludf.DUMMYFUNCTION("IF(COUNTA(Q326:Q1350)=0,"""",IF(REGEXMATCH(INDEX(FILTER(Q$4:Q326,Q$4:Q326&lt;&gt;""""),ROWS(FILTER(Q$4:Q326,Q$4:Q326&lt;&gt;""""))),""^Sell_""),INDEX(FILTER(T$4:T325,Q$4:Q325&lt;&gt;""""),ROWS(FILTER(Q$4:Q325,Q$4:Q325&lt;&gt;""""))),$AD$5+S326))"),212106.0)</f>
        <v>212106</v>
      </c>
      <c r="U326" s="10">
        <f>IFERROR(__xludf.DUMMYFUNCTION("IF(COUNTA(Q326:Q1350)=0,"""",IF(Q326="""",0,IF(REGEXMATCH(Q326,""^Sell_""),-ROUNDDOWN(ROUNDUP(INDEX(Upgrades!$C$3:$C$13,MATCH(SUBSTITUTE(Q326,""Sell_"",""""),Upgrades!$B$3:$B$13,0))*1.15^(COUNTIF(Q$4:Q325,SUBSTITUTE(Q326,""Sell_"",""""))-COUNTIF(Q$4:Q325,"&amp;"""Sell_""&amp;SUBSTITUTE(Q326,""Sell_"",""""))))/2),ROUNDUP(INDEX(Upgrades!$C$3:$C$13,MATCH(Q326,Upgrades!$B$3:$B$13,0))*1.15^(COUNTIF(Q$4:Q325,Q326)-COUNTIF(Q$4:Q325,""Sell_""&amp;Q326))))))"),-465239.0)</f>
        <v>-465239</v>
      </c>
      <c r="V326" s="10">
        <f t="shared" si="11"/>
        <v>-9250664</v>
      </c>
      <c r="W326" s="68">
        <f t="shared" si="12"/>
        <v>4647.88374</v>
      </c>
      <c r="X326" s="59" t="str">
        <f t="shared" si="13"/>
        <v>1h 17m 27s</v>
      </c>
      <c r="Y326" s="69">
        <f t="shared" si="14"/>
        <v>251843441</v>
      </c>
      <c r="Z326" s="11"/>
    </row>
    <row r="327">
      <c r="A327" s="8"/>
      <c r="B327" s="56" t="str">
        <f t="shared" si="2"/>
        <v/>
      </c>
      <c r="C327" s="57"/>
      <c r="D327" s="10" t="str">
        <f>IFERROR(__xludf.DUMMYFUNCTION("IF(COUNTA(C327:C1350)=0,"""",IF(ISBLANK(C327),FALSE,IF(NOT(COUNTIF($AA$24:$AA$34,SUBSTITUTE(C327,""Sell_"",""""))),1,IF(REGEXMATCH(C327,""Sell_""),IF(COUNTIF(C$4:C327,SUBSTITUTE(C327,""Sell_"",""""))-COUNTIF(C$4:C326,C327)&lt;1,1),FALSE))))"),"")</f>
        <v/>
      </c>
      <c r="E327" s="59" t="str">
        <f t="array" ref="E327">IF(COUNTA(C327:C1350)=0,"",SUM((COUNTIF(C$4:C327,Upgrades!$B$3:$B$13)-COUNTIF(C$4:C327,"Sell_"&amp;Upgrades!$B$3:$B$13))*Upgrades!$D$3:$D$13))</f>
        <v/>
      </c>
      <c r="F327" s="66" t="str">
        <f>IFERROR(__xludf.DUMMYFUNCTION("IF(COUNTA(C327:C1350)=0,"""",IF(REGEXMATCH(INDEX(FILTER(C$4:C327,C$4:C327&lt;&gt;""""),ROWS(FILTER(C$4:C327,C$4:C327&lt;&gt;""""))),""^Sell_""),INDEX(FILTER(F$4:F326,C$4:C326&lt;&gt;""""),ROWS(FILTER(C$4:C326,C$4:C326&lt;&gt;""""))),$AC$5+E327))"),"")</f>
        <v/>
      </c>
      <c r="G327" s="10" t="str">
        <f>IFERROR(__xludf.DUMMYFUNCTION("IF(COUNTA(C327:C1350)=0,"""",IF(C327="""",0,IF(REGEXMATCH(C327,""^Sell_""),-ROUNDDOWN(ROUNDUP(INDEX(Upgrades!$C$3:$C$13,MATCH(SUBSTITUTE(C327,""Sell_"",""""),Upgrades!$B$3:$B$13,0))*1.15^(COUNTIF(C$4:C326,SUBSTITUTE(C327,""Sell_"",""""))-COUNTIF(C$4:C326,"&amp;"""Sell_""&amp;SUBSTITUTE(C327,""Sell_"",""""))))/2),ROUNDUP(INDEX(Upgrades!$C$3:$C$13,MATCH(C327,Upgrades!$B$3:$B$13,0))*1.15^(COUNTIF(C$4:C326,C327)-COUNTIF(C$4:C326,""Sell_""&amp;C327))))))"),"")</f>
        <v/>
      </c>
      <c r="H327" s="10" t="str">
        <f t="shared" si="3"/>
        <v/>
      </c>
      <c r="I327" s="68" t="str">
        <f t="shared" si="4"/>
        <v/>
      </c>
      <c r="J327" s="59" t="str">
        <f t="shared" si="5"/>
        <v/>
      </c>
      <c r="K327" s="69" t="str">
        <f t="shared" si="6"/>
        <v/>
      </c>
      <c r="L327" s="60">
        <f t="shared" si="7"/>
        <v>-265.96512</v>
      </c>
      <c r="M327" s="61">
        <f>IFERROR(__xludf.DUMMYFUNCTION("IFS(AND(COUNTA(C327:C1350)=0,COUNTA(Q327:Q1350)=0),"""",OR(AND(K327&gt;=1000000000,OR(Y327&gt;=1000000000,COUNTA(Q327:Q1350)=0)),OR(Y327&gt;=1000000000,AND(COUNTA(C327:C1350)=0,P$3=TRUE))),
ROUNDDOWN((AB$1-AC$1)*MAX(INDEX(T$4:T1350,MATCH(LARGE(FILTER(Y$4:Y1350,Y$4"&amp;":Y1350&lt;1000000000),1),Y$4:Y1350)),INDEX(F$4:F1350,MATCH(LARGE(FILTER(K$4:K1350,K$4:K1350&lt;1000000000),1),K$4:K1350)))),AND(K327&lt;1000000000,COUNTA(C327:C1350)&gt;0,P$3=FALSE),
ROUNDDOWN(INDEX(Y$4:Y1350,MATCH(LARGE(FILTER(W$4:W1350,W$4:W1350&lt;=I327),1),W$4:W1350"&amp;"))+(I327-LARGE(FILTER(W$4:W1350,W$4:W1350&lt;=I327),1))*INDEX(T$4:T1350,MATCH(LARGE(FILTER(W$4:W1350,W$4:W1350&lt;=I327),1),W$4:W1350))-K327),1,
ROUNDDOWN(Y327-INDEX(K$4:K1350,MATCH(LARGE(FILTER(I$4:I1350,I$4:I1350&lt;=W327),1),I$4:I1350))-(W327-LARGE(FILTER(I$4:I"&amp;"1350,I$4:I1350&lt;=W327),1))*INDEX(F$4:F1350,MATCH(LARGE(FILTER(I$4:I1350,I$4:I1350&lt;=W327),1),I$4:I1350))))"),4.3092685E7)</f>
        <v>43092685</v>
      </c>
      <c r="N327" s="60">
        <f t="shared" si="8"/>
        <v>-265.96512</v>
      </c>
      <c r="O327" s="61" t="str">
        <f t="shared" si="9"/>
        <v>43,1M</v>
      </c>
      <c r="P327" s="56">
        <f t="shared" si="10"/>
        <v>17</v>
      </c>
      <c r="Q327" s="105" t="s">
        <v>60</v>
      </c>
      <c r="R327" s="10" t="b">
        <f>IFERROR(__xludf.DUMMYFUNCTION("IF(COUNTA(Q327:Q1350)=0,"""",IF(ISBLANK(Q327),FALSE,IF(NOT(COUNTIF($AA$24:$AA$34,SUBSTITUTE(Q327,""Sell_"",""""))),1,IF(REGEXMATCH(Q327,""Sell_""),IF(COUNTIF(Q$4:Q327,SUBSTITUTE(Q327,""Sell_"",""""))-COUNTIF(Q$4:Q326,Q327)&lt;1,1),FALSE))))"),FALSE)</f>
        <v>0</v>
      </c>
      <c r="S327" s="59">
        <f t="array" ref="S327">IF(COUNTA(Q327:Q1350)=0,"",SUM((COUNTIF(Q$4:Q327,Upgrades!$B$3:$B$13)-COUNTIF(Q$4:Q327,"Sell_"&amp;Upgrades!$B$3:$B$13))*Upgrades!$D$3:$D$13))</f>
        <v>202600</v>
      </c>
      <c r="T327" s="66">
        <f>IFERROR(__xludf.DUMMYFUNCTION("IF(COUNTA(Q327:Q1350)=0,"""",IF(REGEXMATCH(INDEX(FILTER(Q$4:Q327,Q$4:Q327&lt;&gt;""""),ROWS(FILTER(Q$4:Q327,Q$4:Q327&lt;&gt;""""))),""^Sell_""),INDEX(FILTER(T$4:T326,Q$4:Q326&lt;&gt;""""),ROWS(FILTER(Q$4:Q326,Q$4:Q326&lt;&gt;""""))),$AD$5+S327))"),212106.0)</f>
        <v>212106</v>
      </c>
      <c r="U327" s="10">
        <f>IFERROR(__xludf.DUMMYFUNCTION("IF(COUNTA(Q327:Q1350)=0,"""",IF(Q327="""",0,IF(REGEXMATCH(Q327,""^Sell_""),-ROUNDDOWN(ROUNDUP(INDEX(Upgrades!$C$3:$C$13,MATCH(SUBSTITUTE(Q327,""Sell_"",""""),Upgrades!$B$3:$B$13,0))*1.15^(COUNTIF(Q$4:Q326,SUBSTITUTE(Q327,""Sell_"",""""))-COUNTIF(Q$4:Q326,"&amp;"""Sell_""&amp;SUBSTITUTE(Q327,""Sell_"",""""))))/2),ROUNDUP(INDEX(Upgrades!$C$3:$C$13,MATCH(Q327,Upgrades!$B$3:$B$13,0))*1.15^(COUNTIF(Q$4:Q326,Q327)-COUNTIF(Q$4:Q326,""Sell_""&amp;Q327))))))"),-404556.0)</f>
        <v>-404556</v>
      </c>
      <c r="V327" s="10">
        <f t="shared" si="11"/>
        <v>-9655220</v>
      </c>
      <c r="W327" s="68">
        <f t="shared" si="12"/>
        <v>4647.88374</v>
      </c>
      <c r="X327" s="59" t="str">
        <f t="shared" si="13"/>
        <v>1h 17m 27s</v>
      </c>
      <c r="Y327" s="69">
        <f t="shared" si="14"/>
        <v>251843441</v>
      </c>
      <c r="Z327" s="11"/>
    </row>
    <row r="328">
      <c r="A328" s="8"/>
      <c r="B328" s="56" t="str">
        <f t="shared" si="2"/>
        <v/>
      </c>
      <c r="C328" s="57"/>
      <c r="D328" s="10" t="str">
        <f>IFERROR(__xludf.DUMMYFUNCTION("IF(COUNTA(C328:C1350)=0,"""",IF(ISBLANK(C328),FALSE,IF(NOT(COUNTIF($AA$24:$AA$34,SUBSTITUTE(C328,""Sell_"",""""))),1,IF(REGEXMATCH(C328,""Sell_""),IF(COUNTIF(C$4:C328,SUBSTITUTE(C328,""Sell_"",""""))-COUNTIF(C$4:C327,C328)&lt;1,1),FALSE))))"),"")</f>
        <v/>
      </c>
      <c r="E328" s="59" t="str">
        <f t="array" ref="E328">IF(COUNTA(C328:C1350)=0,"",SUM((COUNTIF(C$4:C328,Upgrades!$B$3:$B$13)-COUNTIF(C$4:C328,"Sell_"&amp;Upgrades!$B$3:$B$13))*Upgrades!$D$3:$D$13))</f>
        <v/>
      </c>
      <c r="F328" s="66" t="str">
        <f>IFERROR(__xludf.DUMMYFUNCTION("IF(COUNTA(C328:C1350)=0,"""",IF(REGEXMATCH(INDEX(FILTER(C$4:C328,C$4:C328&lt;&gt;""""),ROWS(FILTER(C$4:C328,C$4:C328&lt;&gt;""""))),""^Sell_""),INDEX(FILTER(F$4:F327,C$4:C327&lt;&gt;""""),ROWS(FILTER(C$4:C327,C$4:C327&lt;&gt;""""))),$AC$5+E328))"),"")</f>
        <v/>
      </c>
      <c r="G328" s="10" t="str">
        <f>IFERROR(__xludf.DUMMYFUNCTION("IF(COUNTA(C328:C1350)=0,"""",IF(C328="""",0,IF(REGEXMATCH(C328,""^Sell_""),-ROUNDDOWN(ROUNDUP(INDEX(Upgrades!$C$3:$C$13,MATCH(SUBSTITUTE(C328,""Sell_"",""""),Upgrades!$B$3:$B$13,0))*1.15^(COUNTIF(C$4:C327,SUBSTITUTE(C328,""Sell_"",""""))-COUNTIF(C$4:C327,"&amp;"""Sell_""&amp;SUBSTITUTE(C328,""Sell_"",""""))))/2),ROUNDUP(INDEX(Upgrades!$C$3:$C$13,MATCH(C328,Upgrades!$B$3:$B$13,0))*1.15^(COUNTIF(C$4:C327,C328)-COUNTIF(C$4:C327,""Sell_""&amp;C328))))))"),"")</f>
        <v/>
      </c>
      <c r="H328" s="10" t="str">
        <f t="shared" si="3"/>
        <v/>
      </c>
      <c r="I328" s="68" t="str">
        <f t="shared" si="4"/>
        <v/>
      </c>
      <c r="J328" s="59" t="str">
        <f t="shared" si="5"/>
        <v/>
      </c>
      <c r="K328" s="69" t="str">
        <f t="shared" si="6"/>
        <v/>
      </c>
      <c r="L328" s="60">
        <f t="shared" si="7"/>
        <v>-265.96512</v>
      </c>
      <c r="M328" s="61">
        <f>IFERROR(__xludf.DUMMYFUNCTION("IFS(AND(COUNTA(C328:C1350)=0,COUNTA(Q328:Q1350)=0),"""",OR(AND(K328&gt;=1000000000,OR(Y328&gt;=1000000000,COUNTA(Q328:Q1350)=0)),OR(Y328&gt;=1000000000,AND(COUNTA(C328:C1350)=0,P$3=TRUE))),
ROUNDDOWN((AB$1-AC$1)*MAX(INDEX(T$4:T1350,MATCH(LARGE(FILTER(Y$4:Y1350,Y$4"&amp;":Y1350&lt;1000000000),1),Y$4:Y1350)),INDEX(F$4:F1350,MATCH(LARGE(FILTER(K$4:K1350,K$4:K1350&lt;1000000000),1),K$4:K1350)))),AND(K328&lt;1000000000,COUNTA(C328:C1350)&gt;0,P$3=FALSE),
ROUNDDOWN(INDEX(Y$4:Y1350,MATCH(LARGE(FILTER(W$4:W1350,W$4:W1350&lt;=I328),1),W$4:W1350"&amp;"))+(I328-LARGE(FILTER(W$4:W1350,W$4:W1350&lt;=I328),1))*INDEX(T$4:T1350,MATCH(LARGE(FILTER(W$4:W1350,W$4:W1350&lt;=I328),1),W$4:W1350))-K328),1,
ROUNDDOWN(Y328-INDEX(K$4:K1350,MATCH(LARGE(FILTER(I$4:I1350,I$4:I1350&lt;=W328),1),I$4:I1350))-(W328-LARGE(FILTER(I$4:I"&amp;"1350,I$4:I1350&lt;=W328),1))*INDEX(F$4:F1350,MATCH(LARGE(FILTER(I$4:I1350,I$4:I1350&lt;=W328),1),I$4:I1350))))"),4.3092685E7)</f>
        <v>43092685</v>
      </c>
      <c r="N328" s="60">
        <f t="shared" si="8"/>
        <v>-265.96512</v>
      </c>
      <c r="O328" s="61" t="str">
        <f t="shared" si="9"/>
        <v>43,1M</v>
      </c>
      <c r="P328" s="56">
        <f t="shared" si="10"/>
        <v>18</v>
      </c>
      <c r="Q328" s="105" t="s">
        <v>60</v>
      </c>
      <c r="R328" s="10" t="b">
        <f>IFERROR(__xludf.DUMMYFUNCTION("IF(COUNTA(Q328:Q1350)=0,"""",IF(ISBLANK(Q328),FALSE,IF(NOT(COUNTIF($AA$24:$AA$34,SUBSTITUTE(Q328,""Sell_"",""""))),1,IF(REGEXMATCH(Q328,""Sell_""),IF(COUNTIF(Q$4:Q328,SUBSTITUTE(Q328,""Sell_"",""""))-COUNTIF(Q$4:Q327,Q328)&lt;1,1),FALSE))))"),FALSE)</f>
        <v>0</v>
      </c>
      <c r="S328" s="59">
        <f t="array" ref="S328">IF(COUNTA(Q328:Q1350)=0,"",SUM((COUNTIF(Q$4:Q328,Upgrades!$B$3:$B$13)-COUNTIF(Q$4:Q328,"Sell_"&amp;Upgrades!$B$3:$B$13))*Upgrades!$D$3:$D$13))</f>
        <v>202200</v>
      </c>
      <c r="T328" s="66">
        <f>IFERROR(__xludf.DUMMYFUNCTION("IF(COUNTA(Q328:Q1350)=0,"""",IF(REGEXMATCH(INDEX(FILTER(Q$4:Q328,Q$4:Q328&lt;&gt;""""),ROWS(FILTER(Q$4:Q328,Q$4:Q328&lt;&gt;""""))),""^Sell_""),INDEX(FILTER(T$4:T327,Q$4:Q327&lt;&gt;""""),ROWS(FILTER(Q$4:Q327,Q$4:Q327&lt;&gt;""""))),$AD$5+S328))"),212106.0)</f>
        <v>212106</v>
      </c>
      <c r="U328" s="10">
        <f>IFERROR(__xludf.DUMMYFUNCTION("IF(COUNTA(Q328:Q1350)=0,"""",IF(Q328="""",0,IF(REGEXMATCH(Q328,""^Sell_""),-ROUNDDOWN(ROUNDUP(INDEX(Upgrades!$C$3:$C$13,MATCH(SUBSTITUTE(Q328,""Sell_"",""""),Upgrades!$B$3:$B$13,0))*1.15^(COUNTIF(Q$4:Q327,SUBSTITUTE(Q328,""Sell_"",""""))-COUNTIF(Q$4:Q327,"&amp;"""Sell_""&amp;SUBSTITUTE(Q328,""Sell_"",""""))))/2),ROUNDUP(INDEX(Upgrades!$C$3:$C$13,MATCH(Q328,Upgrades!$B$3:$B$13,0))*1.15^(COUNTIF(Q$4:Q327,Q328)-COUNTIF(Q$4:Q327,""Sell_""&amp;Q328))))))"),-351788.0)</f>
        <v>-351788</v>
      </c>
      <c r="V328" s="10">
        <f t="shared" si="11"/>
        <v>-10007008</v>
      </c>
      <c r="W328" s="68">
        <f t="shared" si="12"/>
        <v>4647.88374</v>
      </c>
      <c r="X328" s="59" t="str">
        <f t="shared" si="13"/>
        <v>1h 17m 27s</v>
      </c>
      <c r="Y328" s="69">
        <f t="shared" si="14"/>
        <v>251843441</v>
      </c>
      <c r="Z328" s="11"/>
    </row>
    <row r="329">
      <c r="A329" s="8"/>
      <c r="B329" s="56" t="str">
        <f t="shared" si="2"/>
        <v/>
      </c>
      <c r="C329" s="57"/>
      <c r="D329" s="10" t="str">
        <f>IFERROR(__xludf.DUMMYFUNCTION("IF(COUNTA(C329:C1350)=0,"""",IF(ISBLANK(C329),FALSE,IF(NOT(COUNTIF($AA$24:$AA$34,SUBSTITUTE(C329,""Sell_"",""""))),1,IF(REGEXMATCH(C329,""Sell_""),IF(COUNTIF(C$4:C329,SUBSTITUTE(C329,""Sell_"",""""))-COUNTIF(C$4:C328,C329)&lt;1,1),FALSE))))"),"")</f>
        <v/>
      </c>
      <c r="E329" s="59" t="str">
        <f t="array" ref="E329">IF(COUNTA(C329:C1350)=0,"",SUM((COUNTIF(C$4:C329,Upgrades!$B$3:$B$13)-COUNTIF(C$4:C329,"Sell_"&amp;Upgrades!$B$3:$B$13))*Upgrades!$D$3:$D$13))</f>
        <v/>
      </c>
      <c r="F329" s="66" t="str">
        <f>IFERROR(__xludf.DUMMYFUNCTION("IF(COUNTA(C329:C1350)=0,"""",IF(REGEXMATCH(INDEX(FILTER(C$4:C329,C$4:C329&lt;&gt;""""),ROWS(FILTER(C$4:C329,C$4:C329&lt;&gt;""""))),""^Sell_""),INDEX(FILTER(F$4:F328,C$4:C328&lt;&gt;""""),ROWS(FILTER(C$4:C328,C$4:C328&lt;&gt;""""))),$AC$5+E329))"),"")</f>
        <v/>
      </c>
      <c r="G329" s="10" t="str">
        <f>IFERROR(__xludf.DUMMYFUNCTION("IF(COUNTA(C329:C1350)=0,"""",IF(C329="""",0,IF(REGEXMATCH(C329,""^Sell_""),-ROUNDDOWN(ROUNDUP(INDEX(Upgrades!$C$3:$C$13,MATCH(SUBSTITUTE(C329,""Sell_"",""""),Upgrades!$B$3:$B$13,0))*1.15^(COUNTIF(C$4:C328,SUBSTITUTE(C329,""Sell_"",""""))-COUNTIF(C$4:C328,"&amp;"""Sell_""&amp;SUBSTITUTE(C329,""Sell_"",""""))))/2),ROUNDUP(INDEX(Upgrades!$C$3:$C$13,MATCH(C329,Upgrades!$B$3:$B$13,0))*1.15^(COUNTIF(C$4:C328,C329)-COUNTIF(C$4:C328,""Sell_""&amp;C329))))))"),"")</f>
        <v/>
      </c>
      <c r="H329" s="10" t="str">
        <f t="shared" si="3"/>
        <v/>
      </c>
      <c r="I329" s="68" t="str">
        <f t="shared" si="4"/>
        <v/>
      </c>
      <c r="J329" s="59" t="str">
        <f t="shared" si="5"/>
        <v/>
      </c>
      <c r="K329" s="69" t="str">
        <f t="shared" si="6"/>
        <v/>
      </c>
      <c r="L329" s="60">
        <f t="shared" si="7"/>
        <v>-265.96512</v>
      </c>
      <c r="M329" s="61">
        <f>IFERROR(__xludf.DUMMYFUNCTION("IFS(AND(COUNTA(C329:C1350)=0,COUNTA(Q329:Q1350)=0),"""",OR(AND(K329&gt;=1000000000,OR(Y329&gt;=1000000000,COUNTA(Q329:Q1350)=0)),OR(Y329&gt;=1000000000,AND(COUNTA(C329:C1350)=0,P$3=TRUE))),
ROUNDDOWN((AB$1-AC$1)*MAX(INDEX(T$4:T1350,MATCH(LARGE(FILTER(Y$4:Y1350,Y$4"&amp;":Y1350&lt;1000000000),1),Y$4:Y1350)),INDEX(F$4:F1350,MATCH(LARGE(FILTER(K$4:K1350,K$4:K1350&lt;1000000000),1),K$4:K1350)))),AND(K329&lt;1000000000,COUNTA(C329:C1350)&gt;0,P$3=FALSE),
ROUNDDOWN(INDEX(Y$4:Y1350,MATCH(LARGE(FILTER(W$4:W1350,W$4:W1350&lt;=I329),1),W$4:W1350"&amp;"))+(I329-LARGE(FILTER(W$4:W1350,W$4:W1350&lt;=I329),1))*INDEX(T$4:T1350,MATCH(LARGE(FILTER(W$4:W1350,W$4:W1350&lt;=I329),1),W$4:W1350))-K329),1,
ROUNDDOWN(Y329-INDEX(K$4:K1350,MATCH(LARGE(FILTER(I$4:I1350,I$4:I1350&lt;=W329),1),I$4:I1350))-(W329-LARGE(FILTER(I$4:I"&amp;"1350,I$4:I1350&lt;=W329),1))*INDEX(F$4:F1350,MATCH(LARGE(FILTER(I$4:I1350,I$4:I1350&lt;=W329),1),I$4:I1350))))"),4.3092685E7)</f>
        <v>43092685</v>
      </c>
      <c r="N329" s="60">
        <f t="shared" si="8"/>
        <v>-265.96512</v>
      </c>
      <c r="O329" s="61" t="str">
        <f t="shared" si="9"/>
        <v>43,1M</v>
      </c>
      <c r="P329" s="56">
        <f t="shared" si="10"/>
        <v>19</v>
      </c>
      <c r="Q329" s="105" t="s">
        <v>60</v>
      </c>
      <c r="R329" s="10" t="b">
        <f>IFERROR(__xludf.DUMMYFUNCTION("IF(COUNTA(Q329:Q1350)=0,"""",IF(ISBLANK(Q329),FALSE,IF(NOT(COUNTIF($AA$24:$AA$34,SUBSTITUTE(Q329,""Sell_"",""""))),1,IF(REGEXMATCH(Q329,""Sell_""),IF(COUNTIF(Q$4:Q329,SUBSTITUTE(Q329,""Sell_"",""""))-COUNTIF(Q$4:Q328,Q329)&lt;1,1),FALSE))))"),FALSE)</f>
        <v>0</v>
      </c>
      <c r="S329" s="59">
        <f t="array" ref="S329">IF(COUNTA(Q329:Q1350)=0,"",SUM((COUNTIF(Q$4:Q329,Upgrades!$B$3:$B$13)-COUNTIF(Q$4:Q329,"Sell_"&amp;Upgrades!$B$3:$B$13))*Upgrades!$D$3:$D$13))</f>
        <v>201800</v>
      </c>
      <c r="T329" s="66">
        <f>IFERROR(__xludf.DUMMYFUNCTION("IF(COUNTA(Q329:Q1350)=0,"""",IF(REGEXMATCH(INDEX(FILTER(Q$4:Q329,Q$4:Q329&lt;&gt;""""),ROWS(FILTER(Q$4:Q329,Q$4:Q329&lt;&gt;""""))),""^Sell_""),INDEX(FILTER(T$4:T328,Q$4:Q328&lt;&gt;""""),ROWS(FILTER(Q$4:Q328,Q$4:Q328&lt;&gt;""""))),$AD$5+S329))"),212106.0)</f>
        <v>212106</v>
      </c>
      <c r="U329" s="10">
        <f>IFERROR(__xludf.DUMMYFUNCTION("IF(COUNTA(Q329:Q1350)=0,"""",IF(Q329="""",0,IF(REGEXMATCH(Q329,""^Sell_""),-ROUNDDOWN(ROUNDUP(INDEX(Upgrades!$C$3:$C$13,MATCH(SUBSTITUTE(Q329,""Sell_"",""""),Upgrades!$B$3:$B$13,0))*1.15^(COUNTIF(Q$4:Q328,SUBSTITUTE(Q329,""Sell_"",""""))-COUNTIF(Q$4:Q328,"&amp;"""Sell_""&amp;SUBSTITUTE(Q329,""Sell_"",""""))))/2),ROUNDUP(INDEX(Upgrades!$C$3:$C$13,MATCH(Q329,Upgrades!$B$3:$B$13,0))*1.15^(COUNTIF(Q$4:Q328,Q329)-COUNTIF(Q$4:Q328,""Sell_""&amp;Q329))))))"),-305902.0)</f>
        <v>-305902</v>
      </c>
      <c r="V329" s="10">
        <f t="shared" si="11"/>
        <v>-10312910</v>
      </c>
      <c r="W329" s="68">
        <f t="shared" si="12"/>
        <v>4647.88374</v>
      </c>
      <c r="X329" s="59" t="str">
        <f t="shared" si="13"/>
        <v>1h 17m 27s</v>
      </c>
      <c r="Y329" s="69">
        <f t="shared" si="14"/>
        <v>251843441</v>
      </c>
      <c r="Z329" s="11"/>
    </row>
    <row r="330">
      <c r="A330" s="8"/>
      <c r="B330" s="56" t="str">
        <f t="shared" si="2"/>
        <v/>
      </c>
      <c r="C330" s="57"/>
      <c r="D330" s="10" t="str">
        <f>IFERROR(__xludf.DUMMYFUNCTION("IF(COUNTA(C330:C1350)=0,"""",IF(ISBLANK(C330),FALSE,IF(NOT(COUNTIF($AA$24:$AA$34,SUBSTITUTE(C330,""Sell_"",""""))),1,IF(REGEXMATCH(C330,""Sell_""),IF(COUNTIF(C$4:C330,SUBSTITUTE(C330,""Sell_"",""""))-COUNTIF(C$4:C329,C330)&lt;1,1),FALSE))))"),"")</f>
        <v/>
      </c>
      <c r="E330" s="59" t="str">
        <f t="array" ref="E330">IF(COUNTA(C330:C1350)=0,"",SUM((COUNTIF(C$4:C330,Upgrades!$B$3:$B$13)-COUNTIF(C$4:C330,"Sell_"&amp;Upgrades!$B$3:$B$13))*Upgrades!$D$3:$D$13))</f>
        <v/>
      </c>
      <c r="F330" s="66" t="str">
        <f>IFERROR(__xludf.DUMMYFUNCTION("IF(COUNTA(C330:C1350)=0,"""",IF(REGEXMATCH(INDEX(FILTER(C$4:C330,C$4:C330&lt;&gt;""""),ROWS(FILTER(C$4:C330,C$4:C330&lt;&gt;""""))),""^Sell_""),INDEX(FILTER(F$4:F329,C$4:C329&lt;&gt;""""),ROWS(FILTER(C$4:C329,C$4:C329&lt;&gt;""""))),$AC$5+E330))"),"")</f>
        <v/>
      </c>
      <c r="G330" s="10" t="str">
        <f>IFERROR(__xludf.DUMMYFUNCTION("IF(COUNTA(C330:C1350)=0,"""",IF(C330="""",0,IF(REGEXMATCH(C330,""^Sell_""),-ROUNDDOWN(ROUNDUP(INDEX(Upgrades!$C$3:$C$13,MATCH(SUBSTITUTE(C330,""Sell_"",""""),Upgrades!$B$3:$B$13,0))*1.15^(COUNTIF(C$4:C329,SUBSTITUTE(C330,""Sell_"",""""))-COUNTIF(C$4:C329,"&amp;"""Sell_""&amp;SUBSTITUTE(C330,""Sell_"",""""))))/2),ROUNDUP(INDEX(Upgrades!$C$3:$C$13,MATCH(C330,Upgrades!$B$3:$B$13,0))*1.15^(COUNTIF(C$4:C329,C330)-COUNTIF(C$4:C329,""Sell_""&amp;C330))))))"),"")</f>
        <v/>
      </c>
      <c r="H330" s="10" t="str">
        <f t="shared" si="3"/>
        <v/>
      </c>
      <c r="I330" s="68" t="str">
        <f t="shared" si="4"/>
        <v/>
      </c>
      <c r="J330" s="59" t="str">
        <f t="shared" si="5"/>
        <v/>
      </c>
      <c r="K330" s="69" t="str">
        <f t="shared" si="6"/>
        <v/>
      </c>
      <c r="L330" s="60">
        <f t="shared" si="7"/>
        <v>-265.96512</v>
      </c>
      <c r="M330" s="61">
        <f>IFERROR(__xludf.DUMMYFUNCTION("IFS(AND(COUNTA(C330:C1350)=0,COUNTA(Q330:Q1350)=0),"""",OR(AND(K330&gt;=1000000000,OR(Y330&gt;=1000000000,COUNTA(Q330:Q1350)=0)),OR(Y330&gt;=1000000000,AND(COUNTA(C330:C1350)=0,P$3=TRUE))),
ROUNDDOWN((AB$1-AC$1)*MAX(INDEX(T$4:T1350,MATCH(LARGE(FILTER(Y$4:Y1350,Y$4"&amp;":Y1350&lt;1000000000),1),Y$4:Y1350)),INDEX(F$4:F1350,MATCH(LARGE(FILTER(K$4:K1350,K$4:K1350&lt;1000000000),1),K$4:K1350)))),AND(K330&lt;1000000000,COUNTA(C330:C1350)&gt;0,P$3=FALSE),
ROUNDDOWN(INDEX(Y$4:Y1350,MATCH(LARGE(FILTER(W$4:W1350,W$4:W1350&lt;=I330),1),W$4:W1350"&amp;"))+(I330-LARGE(FILTER(W$4:W1350,W$4:W1350&lt;=I330),1))*INDEX(T$4:T1350,MATCH(LARGE(FILTER(W$4:W1350,W$4:W1350&lt;=I330),1),W$4:W1350))-K330),1,
ROUNDDOWN(Y330-INDEX(K$4:K1350,MATCH(LARGE(FILTER(I$4:I1350,I$4:I1350&lt;=W330),1),I$4:I1350))-(W330-LARGE(FILTER(I$4:I"&amp;"1350,I$4:I1350&lt;=W330),1))*INDEX(F$4:F1350,MATCH(LARGE(FILTER(I$4:I1350,I$4:I1350&lt;=W330),1),I$4:I1350))))"),4.3092685E7)</f>
        <v>43092685</v>
      </c>
      <c r="N330" s="60">
        <f t="shared" si="8"/>
        <v>-265.96512</v>
      </c>
      <c r="O330" s="61" t="str">
        <f t="shared" si="9"/>
        <v>43,1M</v>
      </c>
      <c r="P330" s="56">
        <f t="shared" si="10"/>
        <v>20</v>
      </c>
      <c r="Q330" s="105" t="s">
        <v>60</v>
      </c>
      <c r="R330" s="10" t="b">
        <f>IFERROR(__xludf.DUMMYFUNCTION("IF(COUNTA(Q330:Q1350)=0,"""",IF(ISBLANK(Q330),FALSE,IF(NOT(COUNTIF($AA$24:$AA$34,SUBSTITUTE(Q330,""Sell_"",""""))),1,IF(REGEXMATCH(Q330,""Sell_""),IF(COUNTIF(Q$4:Q330,SUBSTITUTE(Q330,""Sell_"",""""))-COUNTIF(Q$4:Q329,Q330)&lt;1,1),FALSE))))"),FALSE)</f>
        <v>0</v>
      </c>
      <c r="S330" s="59">
        <f t="array" ref="S330">IF(COUNTA(Q330:Q1350)=0,"",SUM((COUNTIF(Q$4:Q330,Upgrades!$B$3:$B$13)-COUNTIF(Q$4:Q330,"Sell_"&amp;Upgrades!$B$3:$B$13))*Upgrades!$D$3:$D$13))</f>
        <v>201400</v>
      </c>
      <c r="T330" s="66">
        <f>IFERROR(__xludf.DUMMYFUNCTION("IF(COUNTA(Q330:Q1350)=0,"""",IF(REGEXMATCH(INDEX(FILTER(Q$4:Q330,Q$4:Q330&lt;&gt;""""),ROWS(FILTER(Q$4:Q330,Q$4:Q330&lt;&gt;""""))),""^Sell_""),INDEX(FILTER(T$4:T329,Q$4:Q329&lt;&gt;""""),ROWS(FILTER(Q$4:Q329,Q$4:Q329&lt;&gt;""""))),$AD$5+S330))"),212106.0)</f>
        <v>212106</v>
      </c>
      <c r="U330" s="10">
        <f>IFERROR(__xludf.DUMMYFUNCTION("IF(COUNTA(Q330:Q1350)=0,"""",IF(Q330="""",0,IF(REGEXMATCH(Q330,""^Sell_""),-ROUNDDOWN(ROUNDUP(INDEX(Upgrades!$C$3:$C$13,MATCH(SUBSTITUTE(Q330,""Sell_"",""""),Upgrades!$B$3:$B$13,0))*1.15^(COUNTIF(Q$4:Q329,SUBSTITUTE(Q330,""Sell_"",""""))-COUNTIF(Q$4:Q329,"&amp;"""Sell_""&amp;SUBSTITUTE(Q330,""Sell_"",""""))))/2),ROUNDUP(INDEX(Upgrades!$C$3:$C$13,MATCH(Q330,Upgrades!$B$3:$B$13,0))*1.15^(COUNTIF(Q$4:Q329,Q330)-COUNTIF(Q$4:Q329,""Sell_""&amp;Q330))))))"),-266002.0)</f>
        <v>-266002</v>
      </c>
      <c r="V330" s="10">
        <f t="shared" si="11"/>
        <v>-10578912</v>
      </c>
      <c r="W330" s="68">
        <f t="shared" si="12"/>
        <v>4647.88374</v>
      </c>
      <c r="X330" s="59" t="str">
        <f t="shared" si="13"/>
        <v>1h 17m 27s</v>
      </c>
      <c r="Y330" s="69">
        <f t="shared" si="14"/>
        <v>251843441</v>
      </c>
      <c r="Z330" s="11"/>
    </row>
    <row r="331">
      <c r="A331" s="8"/>
      <c r="B331" s="56" t="str">
        <f t="shared" si="2"/>
        <v/>
      </c>
      <c r="C331" s="57"/>
      <c r="D331" s="10" t="str">
        <f>IFERROR(__xludf.DUMMYFUNCTION("IF(COUNTA(C331:C1350)=0,"""",IF(ISBLANK(C331),FALSE,IF(NOT(COUNTIF($AA$24:$AA$34,SUBSTITUTE(C331,""Sell_"",""""))),1,IF(REGEXMATCH(C331,""Sell_""),IF(COUNTIF(C$4:C331,SUBSTITUTE(C331,""Sell_"",""""))-COUNTIF(C$4:C330,C331)&lt;1,1),FALSE))))"),"")</f>
        <v/>
      </c>
      <c r="E331" s="59" t="str">
        <f t="array" ref="E331">IF(COUNTA(C331:C1350)=0,"",SUM((COUNTIF(C$4:C331,Upgrades!$B$3:$B$13)-COUNTIF(C$4:C331,"Sell_"&amp;Upgrades!$B$3:$B$13))*Upgrades!$D$3:$D$13))</f>
        <v/>
      </c>
      <c r="F331" s="66" t="str">
        <f>IFERROR(__xludf.DUMMYFUNCTION("IF(COUNTA(C331:C1350)=0,"""",IF(REGEXMATCH(INDEX(FILTER(C$4:C331,C$4:C331&lt;&gt;""""),ROWS(FILTER(C$4:C331,C$4:C331&lt;&gt;""""))),""^Sell_""),INDEX(FILTER(F$4:F330,C$4:C330&lt;&gt;""""),ROWS(FILTER(C$4:C330,C$4:C330&lt;&gt;""""))),$AC$5+E331))"),"")</f>
        <v/>
      </c>
      <c r="G331" s="10" t="str">
        <f>IFERROR(__xludf.DUMMYFUNCTION("IF(COUNTA(C331:C1350)=0,"""",IF(C331="""",0,IF(REGEXMATCH(C331,""^Sell_""),-ROUNDDOWN(ROUNDUP(INDEX(Upgrades!$C$3:$C$13,MATCH(SUBSTITUTE(C331,""Sell_"",""""),Upgrades!$B$3:$B$13,0))*1.15^(COUNTIF(C$4:C330,SUBSTITUTE(C331,""Sell_"",""""))-COUNTIF(C$4:C330,"&amp;"""Sell_""&amp;SUBSTITUTE(C331,""Sell_"",""""))))/2),ROUNDUP(INDEX(Upgrades!$C$3:$C$13,MATCH(C331,Upgrades!$B$3:$B$13,0))*1.15^(COUNTIF(C$4:C330,C331)-COUNTIF(C$4:C330,""Sell_""&amp;C331))))))"),"")</f>
        <v/>
      </c>
      <c r="H331" s="10" t="str">
        <f t="shared" si="3"/>
        <v/>
      </c>
      <c r="I331" s="68" t="str">
        <f t="shared" si="4"/>
        <v/>
      </c>
      <c r="J331" s="59" t="str">
        <f t="shared" si="5"/>
        <v/>
      </c>
      <c r="K331" s="69" t="str">
        <f t="shared" si="6"/>
        <v/>
      </c>
      <c r="L331" s="60">
        <f t="shared" si="7"/>
        <v>-265.96512</v>
      </c>
      <c r="M331" s="61">
        <f>IFERROR(__xludf.DUMMYFUNCTION("IFS(AND(COUNTA(C331:C1350)=0,COUNTA(Q331:Q1350)=0),"""",OR(AND(K331&gt;=1000000000,OR(Y331&gt;=1000000000,COUNTA(Q331:Q1350)=0)),OR(Y331&gt;=1000000000,AND(COUNTA(C331:C1350)=0,P$3=TRUE))),
ROUNDDOWN((AB$1-AC$1)*MAX(INDEX(T$4:T1350,MATCH(LARGE(FILTER(Y$4:Y1350,Y$4"&amp;":Y1350&lt;1000000000),1),Y$4:Y1350)),INDEX(F$4:F1350,MATCH(LARGE(FILTER(K$4:K1350,K$4:K1350&lt;1000000000),1),K$4:K1350)))),AND(K331&lt;1000000000,COUNTA(C331:C1350)&gt;0,P$3=FALSE),
ROUNDDOWN(INDEX(Y$4:Y1350,MATCH(LARGE(FILTER(W$4:W1350,W$4:W1350&lt;=I331),1),W$4:W1350"&amp;"))+(I331-LARGE(FILTER(W$4:W1350,W$4:W1350&lt;=I331),1))*INDEX(T$4:T1350,MATCH(LARGE(FILTER(W$4:W1350,W$4:W1350&lt;=I331),1),W$4:W1350))-K331),1,
ROUNDDOWN(Y331-INDEX(K$4:K1350,MATCH(LARGE(FILTER(I$4:I1350,I$4:I1350&lt;=W331),1),I$4:I1350))-(W331-LARGE(FILTER(I$4:I"&amp;"1350,I$4:I1350&lt;=W331),1))*INDEX(F$4:F1350,MATCH(LARGE(FILTER(I$4:I1350,I$4:I1350&lt;=W331),1),I$4:I1350))))"),4.3092685E7)</f>
        <v>43092685</v>
      </c>
      <c r="N331" s="60">
        <f t="shared" si="8"/>
        <v>-265.96512</v>
      </c>
      <c r="O331" s="61" t="str">
        <f t="shared" si="9"/>
        <v>43,1M</v>
      </c>
      <c r="P331" s="56">
        <f t="shared" si="10"/>
        <v>21</v>
      </c>
      <c r="Q331" s="105" t="s">
        <v>60</v>
      </c>
      <c r="R331" s="10" t="b">
        <f>IFERROR(__xludf.DUMMYFUNCTION("IF(COUNTA(Q331:Q1350)=0,"""",IF(ISBLANK(Q331),FALSE,IF(NOT(COUNTIF($AA$24:$AA$34,SUBSTITUTE(Q331,""Sell_"",""""))),1,IF(REGEXMATCH(Q331,""Sell_""),IF(COUNTIF(Q$4:Q331,SUBSTITUTE(Q331,""Sell_"",""""))-COUNTIF(Q$4:Q330,Q331)&lt;1,1),FALSE))))"),FALSE)</f>
        <v>0</v>
      </c>
      <c r="S331" s="59">
        <f t="array" ref="S331">IF(COUNTA(Q331:Q1350)=0,"",SUM((COUNTIF(Q$4:Q331,Upgrades!$B$3:$B$13)-COUNTIF(Q$4:Q331,"Sell_"&amp;Upgrades!$B$3:$B$13))*Upgrades!$D$3:$D$13))</f>
        <v>201000</v>
      </c>
      <c r="T331" s="66">
        <f>IFERROR(__xludf.DUMMYFUNCTION("IF(COUNTA(Q331:Q1350)=0,"""",IF(REGEXMATCH(INDEX(FILTER(Q$4:Q331,Q$4:Q331&lt;&gt;""""),ROWS(FILTER(Q$4:Q331,Q$4:Q331&lt;&gt;""""))),""^Sell_""),INDEX(FILTER(T$4:T330,Q$4:Q330&lt;&gt;""""),ROWS(FILTER(Q$4:Q330,Q$4:Q330&lt;&gt;""""))),$AD$5+S331))"),212106.0)</f>
        <v>212106</v>
      </c>
      <c r="U331" s="10">
        <f>IFERROR(__xludf.DUMMYFUNCTION("IF(COUNTA(Q331:Q1350)=0,"""",IF(Q331="""",0,IF(REGEXMATCH(Q331,""^Sell_""),-ROUNDDOWN(ROUNDUP(INDEX(Upgrades!$C$3:$C$13,MATCH(SUBSTITUTE(Q331,""Sell_"",""""),Upgrades!$B$3:$B$13,0))*1.15^(COUNTIF(Q$4:Q330,SUBSTITUTE(Q331,""Sell_"",""""))-COUNTIF(Q$4:Q330,"&amp;"""Sell_""&amp;SUBSTITUTE(Q331,""Sell_"",""""))))/2),ROUNDUP(INDEX(Upgrades!$C$3:$C$13,MATCH(Q331,Upgrades!$B$3:$B$13,0))*1.15^(COUNTIF(Q$4:Q330,Q331)-COUNTIF(Q$4:Q330,""Sell_""&amp;Q331))))))"),-231306.0)</f>
        <v>-231306</v>
      </c>
      <c r="V331" s="10">
        <f t="shared" si="11"/>
        <v>-10810218</v>
      </c>
      <c r="W331" s="68">
        <f t="shared" si="12"/>
        <v>4647.88374</v>
      </c>
      <c r="X331" s="59" t="str">
        <f t="shared" si="13"/>
        <v>1h 17m 27s</v>
      </c>
      <c r="Y331" s="69">
        <f t="shared" si="14"/>
        <v>251843441</v>
      </c>
      <c r="Z331" s="11"/>
    </row>
    <row r="332">
      <c r="A332" s="8"/>
      <c r="B332" s="56" t="str">
        <f t="shared" si="2"/>
        <v/>
      </c>
      <c r="C332" s="57"/>
      <c r="D332" s="10" t="str">
        <f>IFERROR(__xludf.DUMMYFUNCTION("IF(COUNTA(C332:C1350)=0,"""",IF(ISBLANK(C332),FALSE,IF(NOT(COUNTIF($AA$24:$AA$34,SUBSTITUTE(C332,""Sell_"",""""))),1,IF(REGEXMATCH(C332,""Sell_""),IF(COUNTIF(C$4:C332,SUBSTITUTE(C332,""Sell_"",""""))-COUNTIF(C$4:C331,C332)&lt;1,1),FALSE))))"),"")</f>
        <v/>
      </c>
      <c r="E332" s="59" t="str">
        <f t="array" ref="E332">IF(COUNTA(C332:C1350)=0,"",SUM((COUNTIF(C$4:C332,Upgrades!$B$3:$B$13)-COUNTIF(C$4:C332,"Sell_"&amp;Upgrades!$B$3:$B$13))*Upgrades!$D$3:$D$13))</f>
        <v/>
      </c>
      <c r="F332" s="66" t="str">
        <f>IFERROR(__xludf.DUMMYFUNCTION("IF(COUNTA(C332:C1350)=0,"""",IF(REGEXMATCH(INDEX(FILTER(C$4:C332,C$4:C332&lt;&gt;""""),ROWS(FILTER(C$4:C332,C$4:C332&lt;&gt;""""))),""^Sell_""),INDEX(FILTER(F$4:F331,C$4:C331&lt;&gt;""""),ROWS(FILTER(C$4:C331,C$4:C331&lt;&gt;""""))),$AC$5+E332))"),"")</f>
        <v/>
      </c>
      <c r="G332" s="10" t="str">
        <f>IFERROR(__xludf.DUMMYFUNCTION("IF(COUNTA(C332:C1350)=0,"""",IF(C332="""",0,IF(REGEXMATCH(C332,""^Sell_""),-ROUNDDOWN(ROUNDUP(INDEX(Upgrades!$C$3:$C$13,MATCH(SUBSTITUTE(C332,""Sell_"",""""),Upgrades!$B$3:$B$13,0))*1.15^(COUNTIF(C$4:C331,SUBSTITUTE(C332,""Sell_"",""""))-COUNTIF(C$4:C331,"&amp;"""Sell_""&amp;SUBSTITUTE(C332,""Sell_"",""""))))/2),ROUNDUP(INDEX(Upgrades!$C$3:$C$13,MATCH(C332,Upgrades!$B$3:$B$13,0))*1.15^(COUNTIF(C$4:C331,C332)-COUNTIF(C$4:C331,""Sell_""&amp;C332))))))"),"")</f>
        <v/>
      </c>
      <c r="H332" s="10" t="str">
        <f t="shared" si="3"/>
        <v/>
      </c>
      <c r="I332" s="68" t="str">
        <f t="shared" si="4"/>
        <v/>
      </c>
      <c r="J332" s="59" t="str">
        <f t="shared" si="5"/>
        <v/>
      </c>
      <c r="K332" s="69" t="str">
        <f t="shared" si="6"/>
        <v/>
      </c>
      <c r="L332" s="60">
        <f t="shared" si="7"/>
        <v>-265.96512</v>
      </c>
      <c r="M332" s="61">
        <f>IFERROR(__xludf.DUMMYFUNCTION("IFS(AND(COUNTA(C332:C1350)=0,COUNTA(Q332:Q1350)=0),"""",OR(AND(K332&gt;=1000000000,OR(Y332&gt;=1000000000,COUNTA(Q332:Q1350)=0)),OR(Y332&gt;=1000000000,AND(COUNTA(C332:C1350)=0,P$3=TRUE))),
ROUNDDOWN((AB$1-AC$1)*MAX(INDEX(T$4:T1350,MATCH(LARGE(FILTER(Y$4:Y1350,Y$4"&amp;":Y1350&lt;1000000000),1),Y$4:Y1350)),INDEX(F$4:F1350,MATCH(LARGE(FILTER(K$4:K1350,K$4:K1350&lt;1000000000),1),K$4:K1350)))),AND(K332&lt;1000000000,COUNTA(C332:C1350)&gt;0,P$3=FALSE),
ROUNDDOWN(INDEX(Y$4:Y1350,MATCH(LARGE(FILTER(W$4:W1350,W$4:W1350&lt;=I332),1),W$4:W1350"&amp;"))+(I332-LARGE(FILTER(W$4:W1350,W$4:W1350&lt;=I332),1))*INDEX(T$4:T1350,MATCH(LARGE(FILTER(W$4:W1350,W$4:W1350&lt;=I332),1),W$4:W1350))-K332),1,
ROUNDDOWN(Y332-INDEX(K$4:K1350,MATCH(LARGE(FILTER(I$4:I1350,I$4:I1350&lt;=W332),1),I$4:I1350))-(W332-LARGE(FILTER(I$4:I"&amp;"1350,I$4:I1350&lt;=W332),1))*INDEX(F$4:F1350,MATCH(LARGE(FILTER(I$4:I1350,I$4:I1350&lt;=W332),1),I$4:I1350))))"),4.3092685E7)</f>
        <v>43092685</v>
      </c>
      <c r="N332" s="60">
        <f t="shared" si="8"/>
        <v>-265.96512</v>
      </c>
      <c r="O332" s="61" t="str">
        <f t="shared" si="9"/>
        <v>43,1M</v>
      </c>
      <c r="P332" s="56">
        <f t="shared" si="10"/>
        <v>22</v>
      </c>
      <c r="Q332" s="105" t="s">
        <v>60</v>
      </c>
      <c r="R332" s="10" t="b">
        <f>IFERROR(__xludf.DUMMYFUNCTION("IF(COUNTA(Q332:Q1350)=0,"""",IF(ISBLANK(Q332),FALSE,IF(NOT(COUNTIF($AA$24:$AA$34,SUBSTITUTE(Q332,""Sell_"",""""))),1,IF(REGEXMATCH(Q332,""Sell_""),IF(COUNTIF(Q$4:Q332,SUBSTITUTE(Q332,""Sell_"",""""))-COUNTIF(Q$4:Q331,Q332)&lt;1,1),FALSE))))"),FALSE)</f>
        <v>0</v>
      </c>
      <c r="S332" s="59">
        <f t="array" ref="S332">IF(COUNTA(Q332:Q1350)=0,"",SUM((COUNTIF(Q$4:Q332,Upgrades!$B$3:$B$13)-COUNTIF(Q$4:Q332,"Sell_"&amp;Upgrades!$B$3:$B$13))*Upgrades!$D$3:$D$13))</f>
        <v>200600</v>
      </c>
      <c r="T332" s="66">
        <f>IFERROR(__xludf.DUMMYFUNCTION("IF(COUNTA(Q332:Q1350)=0,"""",IF(REGEXMATCH(INDEX(FILTER(Q$4:Q332,Q$4:Q332&lt;&gt;""""),ROWS(FILTER(Q$4:Q332,Q$4:Q332&lt;&gt;""""))),""^Sell_""),INDEX(FILTER(T$4:T331,Q$4:Q331&lt;&gt;""""),ROWS(FILTER(Q$4:Q331,Q$4:Q331&lt;&gt;""""))),$AD$5+S332))"),212106.0)</f>
        <v>212106</v>
      </c>
      <c r="U332" s="10">
        <f>IFERROR(__xludf.DUMMYFUNCTION("IF(COUNTA(Q332:Q1350)=0,"""",IF(Q332="""",0,IF(REGEXMATCH(Q332,""^Sell_""),-ROUNDDOWN(ROUNDUP(INDEX(Upgrades!$C$3:$C$13,MATCH(SUBSTITUTE(Q332,""Sell_"",""""),Upgrades!$B$3:$B$13,0))*1.15^(COUNTIF(Q$4:Q331,SUBSTITUTE(Q332,""Sell_"",""""))-COUNTIF(Q$4:Q331,"&amp;"""Sell_""&amp;SUBSTITUTE(Q332,""Sell_"",""""))))/2),ROUNDUP(INDEX(Upgrades!$C$3:$C$13,MATCH(Q332,Upgrades!$B$3:$B$13,0))*1.15^(COUNTIF(Q$4:Q331,Q332)-COUNTIF(Q$4:Q331,""Sell_""&amp;Q332))))))"),-201136.0)</f>
        <v>-201136</v>
      </c>
      <c r="V332" s="10">
        <f t="shared" si="11"/>
        <v>-11011354</v>
      </c>
      <c r="W332" s="68">
        <f t="shared" si="12"/>
        <v>4647.88374</v>
      </c>
      <c r="X332" s="59" t="str">
        <f t="shared" si="13"/>
        <v>1h 17m 27s</v>
      </c>
      <c r="Y332" s="69">
        <f t="shared" si="14"/>
        <v>251843441</v>
      </c>
      <c r="Z332" s="11"/>
    </row>
    <row r="333">
      <c r="A333" s="8"/>
      <c r="B333" s="56" t="str">
        <f t="shared" si="2"/>
        <v/>
      </c>
      <c r="C333" s="57"/>
      <c r="D333" s="10" t="str">
        <f>IFERROR(__xludf.DUMMYFUNCTION("IF(COUNTA(C333:C1350)=0,"""",IF(ISBLANK(C333),FALSE,IF(NOT(COUNTIF($AA$24:$AA$34,SUBSTITUTE(C333,""Sell_"",""""))),1,IF(REGEXMATCH(C333,""Sell_""),IF(COUNTIF(C$4:C333,SUBSTITUTE(C333,""Sell_"",""""))-COUNTIF(C$4:C332,C333)&lt;1,1),FALSE))))"),"")</f>
        <v/>
      </c>
      <c r="E333" s="59" t="str">
        <f t="array" ref="E333">IF(COUNTA(C333:C1350)=0,"",SUM((COUNTIF(C$4:C333,Upgrades!$B$3:$B$13)-COUNTIF(C$4:C333,"Sell_"&amp;Upgrades!$B$3:$B$13))*Upgrades!$D$3:$D$13))</f>
        <v/>
      </c>
      <c r="F333" s="66" t="str">
        <f>IFERROR(__xludf.DUMMYFUNCTION("IF(COUNTA(C333:C1350)=0,"""",IF(REGEXMATCH(INDEX(FILTER(C$4:C333,C$4:C333&lt;&gt;""""),ROWS(FILTER(C$4:C333,C$4:C333&lt;&gt;""""))),""^Sell_""),INDEX(FILTER(F$4:F332,C$4:C332&lt;&gt;""""),ROWS(FILTER(C$4:C332,C$4:C332&lt;&gt;""""))),$AC$5+E333))"),"")</f>
        <v/>
      </c>
      <c r="G333" s="10" t="str">
        <f>IFERROR(__xludf.DUMMYFUNCTION("IF(COUNTA(C333:C1350)=0,"""",IF(C333="""",0,IF(REGEXMATCH(C333,""^Sell_""),-ROUNDDOWN(ROUNDUP(INDEX(Upgrades!$C$3:$C$13,MATCH(SUBSTITUTE(C333,""Sell_"",""""),Upgrades!$B$3:$B$13,0))*1.15^(COUNTIF(C$4:C332,SUBSTITUTE(C333,""Sell_"",""""))-COUNTIF(C$4:C332,"&amp;"""Sell_""&amp;SUBSTITUTE(C333,""Sell_"",""""))))/2),ROUNDUP(INDEX(Upgrades!$C$3:$C$13,MATCH(C333,Upgrades!$B$3:$B$13,0))*1.15^(COUNTIF(C$4:C332,C333)-COUNTIF(C$4:C332,""Sell_""&amp;C333))))))"),"")</f>
        <v/>
      </c>
      <c r="H333" s="10" t="str">
        <f t="shared" si="3"/>
        <v/>
      </c>
      <c r="I333" s="68" t="str">
        <f t="shared" si="4"/>
        <v/>
      </c>
      <c r="J333" s="59" t="str">
        <f t="shared" si="5"/>
        <v/>
      </c>
      <c r="K333" s="69" t="str">
        <f t="shared" si="6"/>
        <v/>
      </c>
      <c r="L333" s="60">
        <f t="shared" si="7"/>
        <v>-265.96512</v>
      </c>
      <c r="M333" s="61">
        <f>IFERROR(__xludf.DUMMYFUNCTION("IFS(AND(COUNTA(C333:C1350)=0,COUNTA(Q333:Q1350)=0),"""",OR(AND(K333&gt;=1000000000,OR(Y333&gt;=1000000000,COUNTA(Q333:Q1350)=0)),OR(Y333&gt;=1000000000,AND(COUNTA(C333:C1350)=0,P$3=TRUE))),
ROUNDDOWN((AB$1-AC$1)*MAX(INDEX(T$4:T1350,MATCH(LARGE(FILTER(Y$4:Y1350,Y$4"&amp;":Y1350&lt;1000000000),1),Y$4:Y1350)),INDEX(F$4:F1350,MATCH(LARGE(FILTER(K$4:K1350,K$4:K1350&lt;1000000000),1),K$4:K1350)))),AND(K333&lt;1000000000,COUNTA(C333:C1350)&gt;0,P$3=FALSE),
ROUNDDOWN(INDEX(Y$4:Y1350,MATCH(LARGE(FILTER(W$4:W1350,W$4:W1350&lt;=I333),1),W$4:W1350"&amp;"))+(I333-LARGE(FILTER(W$4:W1350,W$4:W1350&lt;=I333),1))*INDEX(T$4:T1350,MATCH(LARGE(FILTER(W$4:W1350,W$4:W1350&lt;=I333),1),W$4:W1350))-K333),1,
ROUNDDOWN(Y333-INDEX(K$4:K1350,MATCH(LARGE(FILTER(I$4:I1350,I$4:I1350&lt;=W333),1),I$4:I1350))-(W333-LARGE(FILTER(I$4:I"&amp;"1350,I$4:I1350&lt;=W333),1))*INDEX(F$4:F1350,MATCH(LARGE(FILTER(I$4:I1350,I$4:I1350&lt;=W333),1),I$4:I1350))))"),4.3092685E7)</f>
        <v>43092685</v>
      </c>
      <c r="N333" s="60">
        <f t="shared" si="8"/>
        <v>-265.96512</v>
      </c>
      <c r="O333" s="61" t="str">
        <f t="shared" si="9"/>
        <v>43,1M</v>
      </c>
      <c r="P333" s="56">
        <f t="shared" si="10"/>
        <v>23</v>
      </c>
      <c r="Q333" s="105" t="s">
        <v>60</v>
      </c>
      <c r="R333" s="10" t="b">
        <f>IFERROR(__xludf.DUMMYFUNCTION("IF(COUNTA(Q333:Q1350)=0,"""",IF(ISBLANK(Q333),FALSE,IF(NOT(COUNTIF($AA$24:$AA$34,SUBSTITUTE(Q333,""Sell_"",""""))),1,IF(REGEXMATCH(Q333,""Sell_""),IF(COUNTIF(Q$4:Q333,SUBSTITUTE(Q333,""Sell_"",""""))-COUNTIF(Q$4:Q332,Q333)&lt;1,1),FALSE))))"),FALSE)</f>
        <v>0</v>
      </c>
      <c r="S333" s="59">
        <f t="array" ref="S333">IF(COUNTA(Q333:Q1350)=0,"",SUM((COUNTIF(Q$4:Q333,Upgrades!$B$3:$B$13)-COUNTIF(Q$4:Q333,"Sell_"&amp;Upgrades!$B$3:$B$13))*Upgrades!$D$3:$D$13))</f>
        <v>200200</v>
      </c>
      <c r="T333" s="66">
        <f>IFERROR(__xludf.DUMMYFUNCTION("IF(COUNTA(Q333:Q1350)=0,"""",IF(REGEXMATCH(INDEX(FILTER(Q$4:Q333,Q$4:Q333&lt;&gt;""""),ROWS(FILTER(Q$4:Q333,Q$4:Q333&lt;&gt;""""))),""^Sell_""),INDEX(FILTER(T$4:T332,Q$4:Q332&lt;&gt;""""),ROWS(FILTER(Q$4:Q332,Q$4:Q332&lt;&gt;""""))),$AD$5+S333))"),212106.0)</f>
        <v>212106</v>
      </c>
      <c r="U333" s="10">
        <f>IFERROR(__xludf.DUMMYFUNCTION("IF(COUNTA(Q333:Q1350)=0,"""",IF(Q333="""",0,IF(REGEXMATCH(Q333,""^Sell_""),-ROUNDDOWN(ROUNDUP(INDEX(Upgrades!$C$3:$C$13,MATCH(SUBSTITUTE(Q333,""Sell_"",""""),Upgrades!$B$3:$B$13,0))*1.15^(COUNTIF(Q$4:Q332,SUBSTITUTE(Q333,""Sell_"",""""))-COUNTIF(Q$4:Q332,"&amp;"""Sell_""&amp;SUBSTITUTE(Q333,""Sell_"",""""))))/2),ROUNDUP(INDEX(Upgrades!$C$3:$C$13,MATCH(Q333,Upgrades!$B$3:$B$13,0))*1.15^(COUNTIF(Q$4:Q332,Q333)-COUNTIF(Q$4:Q332,""Sell_""&amp;Q333))))))"),-174901.0)</f>
        <v>-174901</v>
      </c>
      <c r="V333" s="10">
        <f t="shared" si="11"/>
        <v>-11186255</v>
      </c>
      <c r="W333" s="68">
        <f t="shared" si="12"/>
        <v>4647.88374</v>
      </c>
      <c r="X333" s="59" t="str">
        <f t="shared" si="13"/>
        <v>1h 17m 27s</v>
      </c>
      <c r="Y333" s="69">
        <f t="shared" si="14"/>
        <v>251843441</v>
      </c>
      <c r="Z333" s="11"/>
    </row>
    <row r="334">
      <c r="A334" s="8"/>
      <c r="B334" s="56" t="str">
        <f t="shared" si="2"/>
        <v/>
      </c>
      <c r="C334" s="57"/>
      <c r="D334" s="10" t="str">
        <f>IFERROR(__xludf.DUMMYFUNCTION("IF(COUNTA(C334:C1350)=0,"""",IF(ISBLANK(C334),FALSE,IF(NOT(COUNTIF($AA$24:$AA$34,SUBSTITUTE(C334,""Sell_"",""""))),1,IF(REGEXMATCH(C334,""Sell_""),IF(COUNTIF(C$4:C334,SUBSTITUTE(C334,""Sell_"",""""))-COUNTIF(C$4:C333,C334)&lt;1,1),FALSE))))"),"")</f>
        <v/>
      </c>
      <c r="E334" s="59" t="str">
        <f t="array" ref="E334">IF(COUNTA(C334:C1350)=0,"",SUM((COUNTIF(C$4:C334,Upgrades!$B$3:$B$13)-COUNTIF(C$4:C334,"Sell_"&amp;Upgrades!$B$3:$B$13))*Upgrades!$D$3:$D$13))</f>
        <v/>
      </c>
      <c r="F334" s="66" t="str">
        <f>IFERROR(__xludf.DUMMYFUNCTION("IF(COUNTA(C334:C1350)=0,"""",IF(REGEXMATCH(INDEX(FILTER(C$4:C334,C$4:C334&lt;&gt;""""),ROWS(FILTER(C$4:C334,C$4:C334&lt;&gt;""""))),""^Sell_""),INDEX(FILTER(F$4:F333,C$4:C333&lt;&gt;""""),ROWS(FILTER(C$4:C333,C$4:C333&lt;&gt;""""))),$AC$5+E334))"),"")</f>
        <v/>
      </c>
      <c r="G334" s="10" t="str">
        <f>IFERROR(__xludf.DUMMYFUNCTION("IF(COUNTA(C334:C1350)=0,"""",IF(C334="""",0,IF(REGEXMATCH(C334,""^Sell_""),-ROUNDDOWN(ROUNDUP(INDEX(Upgrades!$C$3:$C$13,MATCH(SUBSTITUTE(C334,""Sell_"",""""),Upgrades!$B$3:$B$13,0))*1.15^(COUNTIF(C$4:C333,SUBSTITUTE(C334,""Sell_"",""""))-COUNTIF(C$4:C333,"&amp;"""Sell_""&amp;SUBSTITUTE(C334,""Sell_"",""""))))/2),ROUNDUP(INDEX(Upgrades!$C$3:$C$13,MATCH(C334,Upgrades!$B$3:$B$13,0))*1.15^(COUNTIF(C$4:C333,C334)-COUNTIF(C$4:C333,""Sell_""&amp;C334))))))"),"")</f>
        <v/>
      </c>
      <c r="H334" s="10" t="str">
        <f t="shared" si="3"/>
        <v/>
      </c>
      <c r="I334" s="68" t="str">
        <f t="shared" si="4"/>
        <v/>
      </c>
      <c r="J334" s="59" t="str">
        <f t="shared" si="5"/>
        <v/>
      </c>
      <c r="K334" s="69" t="str">
        <f t="shared" si="6"/>
        <v/>
      </c>
      <c r="L334" s="60">
        <f t="shared" si="7"/>
        <v>-265.96512</v>
      </c>
      <c r="M334" s="61">
        <f>IFERROR(__xludf.DUMMYFUNCTION("IFS(AND(COUNTA(C334:C1350)=0,COUNTA(Q334:Q1350)=0),"""",OR(AND(K334&gt;=1000000000,OR(Y334&gt;=1000000000,COUNTA(Q334:Q1350)=0)),OR(Y334&gt;=1000000000,AND(COUNTA(C334:C1350)=0,P$3=TRUE))),
ROUNDDOWN((AB$1-AC$1)*MAX(INDEX(T$4:T1350,MATCH(LARGE(FILTER(Y$4:Y1350,Y$4"&amp;":Y1350&lt;1000000000),1),Y$4:Y1350)),INDEX(F$4:F1350,MATCH(LARGE(FILTER(K$4:K1350,K$4:K1350&lt;1000000000),1),K$4:K1350)))),AND(K334&lt;1000000000,COUNTA(C334:C1350)&gt;0,P$3=FALSE),
ROUNDDOWN(INDEX(Y$4:Y1350,MATCH(LARGE(FILTER(W$4:W1350,W$4:W1350&lt;=I334),1),W$4:W1350"&amp;"))+(I334-LARGE(FILTER(W$4:W1350,W$4:W1350&lt;=I334),1))*INDEX(T$4:T1350,MATCH(LARGE(FILTER(W$4:W1350,W$4:W1350&lt;=I334),1),W$4:W1350))-K334),1,
ROUNDDOWN(Y334-INDEX(K$4:K1350,MATCH(LARGE(FILTER(I$4:I1350,I$4:I1350&lt;=W334),1),I$4:I1350))-(W334-LARGE(FILTER(I$4:I"&amp;"1350,I$4:I1350&lt;=W334),1))*INDEX(F$4:F1350,MATCH(LARGE(FILTER(I$4:I1350,I$4:I1350&lt;=W334),1),I$4:I1350))))"),4.3092685E7)</f>
        <v>43092685</v>
      </c>
      <c r="N334" s="60">
        <f t="shared" si="8"/>
        <v>-265.96512</v>
      </c>
      <c r="O334" s="61" t="str">
        <f t="shared" si="9"/>
        <v>43,1M</v>
      </c>
      <c r="P334" s="56">
        <f t="shared" si="10"/>
        <v>24</v>
      </c>
      <c r="Q334" s="105" t="s">
        <v>60</v>
      </c>
      <c r="R334" s="10" t="b">
        <f>IFERROR(__xludf.DUMMYFUNCTION("IF(COUNTA(Q334:Q1350)=0,"""",IF(ISBLANK(Q334),FALSE,IF(NOT(COUNTIF($AA$24:$AA$34,SUBSTITUTE(Q334,""Sell_"",""""))),1,IF(REGEXMATCH(Q334,""Sell_""),IF(COUNTIF(Q$4:Q334,SUBSTITUTE(Q334,""Sell_"",""""))-COUNTIF(Q$4:Q333,Q334)&lt;1,1),FALSE))))"),FALSE)</f>
        <v>0</v>
      </c>
      <c r="S334" s="59">
        <f t="array" ref="S334">IF(COUNTA(Q334:Q1350)=0,"",SUM((COUNTIF(Q$4:Q334,Upgrades!$B$3:$B$13)-COUNTIF(Q$4:Q334,"Sell_"&amp;Upgrades!$B$3:$B$13))*Upgrades!$D$3:$D$13))</f>
        <v>199800</v>
      </c>
      <c r="T334" s="66">
        <f>IFERROR(__xludf.DUMMYFUNCTION("IF(COUNTA(Q334:Q1350)=0,"""",IF(REGEXMATCH(INDEX(FILTER(Q$4:Q334,Q$4:Q334&lt;&gt;""""),ROWS(FILTER(Q$4:Q334,Q$4:Q334&lt;&gt;""""))),""^Sell_""),INDEX(FILTER(T$4:T333,Q$4:Q333&lt;&gt;""""),ROWS(FILTER(Q$4:Q333,Q$4:Q333&lt;&gt;""""))),$AD$5+S334))"),212106.0)</f>
        <v>212106</v>
      </c>
      <c r="U334" s="10">
        <f>IFERROR(__xludf.DUMMYFUNCTION("IF(COUNTA(Q334:Q1350)=0,"""",IF(Q334="""",0,IF(REGEXMATCH(Q334,""^Sell_""),-ROUNDDOWN(ROUNDUP(INDEX(Upgrades!$C$3:$C$13,MATCH(SUBSTITUTE(Q334,""Sell_"",""""),Upgrades!$B$3:$B$13,0))*1.15^(COUNTIF(Q$4:Q333,SUBSTITUTE(Q334,""Sell_"",""""))-COUNTIF(Q$4:Q333,"&amp;"""Sell_""&amp;SUBSTITUTE(Q334,""Sell_"",""""))))/2),ROUNDUP(INDEX(Upgrades!$C$3:$C$13,MATCH(Q334,Upgrades!$B$3:$B$13,0))*1.15^(COUNTIF(Q$4:Q333,Q334)-COUNTIF(Q$4:Q333,""Sell_""&amp;Q334))))))"),-152087.0)</f>
        <v>-152087</v>
      </c>
      <c r="V334" s="10">
        <f t="shared" si="11"/>
        <v>-11338342</v>
      </c>
      <c r="W334" s="68">
        <f t="shared" si="12"/>
        <v>4647.88374</v>
      </c>
      <c r="X334" s="59" t="str">
        <f t="shared" si="13"/>
        <v>1h 17m 27s</v>
      </c>
      <c r="Y334" s="69">
        <f t="shared" si="14"/>
        <v>251843441</v>
      </c>
      <c r="Z334" s="11"/>
    </row>
    <row r="335">
      <c r="A335" s="8"/>
      <c r="B335" s="56" t="str">
        <f t="shared" si="2"/>
        <v/>
      </c>
      <c r="C335" s="57"/>
      <c r="D335" s="10" t="str">
        <f>IFERROR(__xludf.DUMMYFUNCTION("IF(COUNTA(C335:C1350)=0,"""",IF(ISBLANK(C335),FALSE,IF(NOT(COUNTIF($AA$24:$AA$34,SUBSTITUTE(C335,""Sell_"",""""))),1,IF(REGEXMATCH(C335,""Sell_""),IF(COUNTIF(C$4:C335,SUBSTITUTE(C335,""Sell_"",""""))-COUNTIF(C$4:C334,C335)&lt;1,1),FALSE))))"),"")</f>
        <v/>
      </c>
      <c r="E335" s="59" t="str">
        <f t="array" ref="E335">IF(COUNTA(C335:C1350)=0,"",SUM((COUNTIF(C$4:C335,Upgrades!$B$3:$B$13)-COUNTIF(C$4:C335,"Sell_"&amp;Upgrades!$B$3:$B$13))*Upgrades!$D$3:$D$13))</f>
        <v/>
      </c>
      <c r="F335" s="66" t="str">
        <f>IFERROR(__xludf.DUMMYFUNCTION("IF(COUNTA(C335:C1350)=0,"""",IF(REGEXMATCH(INDEX(FILTER(C$4:C335,C$4:C335&lt;&gt;""""),ROWS(FILTER(C$4:C335,C$4:C335&lt;&gt;""""))),""^Sell_""),INDEX(FILTER(F$4:F334,C$4:C334&lt;&gt;""""),ROWS(FILTER(C$4:C334,C$4:C334&lt;&gt;""""))),$AC$5+E335))"),"")</f>
        <v/>
      </c>
      <c r="G335" s="10" t="str">
        <f>IFERROR(__xludf.DUMMYFUNCTION("IF(COUNTA(C335:C1350)=0,"""",IF(C335="""",0,IF(REGEXMATCH(C335,""^Sell_""),-ROUNDDOWN(ROUNDUP(INDEX(Upgrades!$C$3:$C$13,MATCH(SUBSTITUTE(C335,""Sell_"",""""),Upgrades!$B$3:$B$13,0))*1.15^(COUNTIF(C$4:C334,SUBSTITUTE(C335,""Sell_"",""""))-COUNTIF(C$4:C334,"&amp;"""Sell_""&amp;SUBSTITUTE(C335,""Sell_"",""""))))/2),ROUNDUP(INDEX(Upgrades!$C$3:$C$13,MATCH(C335,Upgrades!$B$3:$B$13,0))*1.15^(COUNTIF(C$4:C334,C335)-COUNTIF(C$4:C334,""Sell_""&amp;C335))))))"),"")</f>
        <v/>
      </c>
      <c r="H335" s="10" t="str">
        <f t="shared" si="3"/>
        <v/>
      </c>
      <c r="I335" s="68" t="str">
        <f t="shared" si="4"/>
        <v/>
      </c>
      <c r="J335" s="59" t="str">
        <f t="shared" si="5"/>
        <v/>
      </c>
      <c r="K335" s="69" t="str">
        <f t="shared" si="6"/>
        <v/>
      </c>
      <c r="L335" s="60">
        <f t="shared" si="7"/>
        <v>-265.96512</v>
      </c>
      <c r="M335" s="61">
        <f>IFERROR(__xludf.DUMMYFUNCTION("IFS(AND(COUNTA(C335:C1350)=0,COUNTA(Q335:Q1350)=0),"""",OR(AND(K335&gt;=1000000000,OR(Y335&gt;=1000000000,COUNTA(Q335:Q1350)=0)),OR(Y335&gt;=1000000000,AND(COUNTA(C335:C1350)=0,P$3=TRUE))),
ROUNDDOWN((AB$1-AC$1)*MAX(INDEX(T$4:T1350,MATCH(LARGE(FILTER(Y$4:Y1350,Y$4"&amp;":Y1350&lt;1000000000),1),Y$4:Y1350)),INDEX(F$4:F1350,MATCH(LARGE(FILTER(K$4:K1350,K$4:K1350&lt;1000000000),1),K$4:K1350)))),AND(K335&lt;1000000000,COUNTA(C335:C1350)&gt;0,P$3=FALSE),
ROUNDDOWN(INDEX(Y$4:Y1350,MATCH(LARGE(FILTER(W$4:W1350,W$4:W1350&lt;=I335),1),W$4:W1350"&amp;"))+(I335-LARGE(FILTER(W$4:W1350,W$4:W1350&lt;=I335),1))*INDEX(T$4:T1350,MATCH(LARGE(FILTER(W$4:W1350,W$4:W1350&lt;=I335),1),W$4:W1350))-K335),1,
ROUNDDOWN(Y335-INDEX(K$4:K1350,MATCH(LARGE(FILTER(I$4:I1350,I$4:I1350&lt;=W335),1),I$4:I1350))-(W335-LARGE(FILTER(I$4:I"&amp;"1350,I$4:I1350&lt;=W335),1))*INDEX(F$4:F1350,MATCH(LARGE(FILTER(I$4:I1350,I$4:I1350&lt;=W335),1),I$4:I1350))))"),4.3092685E7)</f>
        <v>43092685</v>
      </c>
      <c r="N335" s="60">
        <f t="shared" si="8"/>
        <v>-265.96512</v>
      </c>
      <c r="O335" s="61" t="str">
        <f t="shared" si="9"/>
        <v>43,1M</v>
      </c>
      <c r="P335" s="56">
        <f t="shared" si="10"/>
        <v>25</v>
      </c>
      <c r="Q335" s="105" t="s">
        <v>60</v>
      </c>
      <c r="R335" s="10" t="b">
        <f>IFERROR(__xludf.DUMMYFUNCTION("IF(COUNTA(Q335:Q1350)=0,"""",IF(ISBLANK(Q335),FALSE,IF(NOT(COUNTIF($AA$24:$AA$34,SUBSTITUTE(Q335,""Sell_"",""""))),1,IF(REGEXMATCH(Q335,""Sell_""),IF(COUNTIF(Q$4:Q335,SUBSTITUTE(Q335,""Sell_"",""""))-COUNTIF(Q$4:Q334,Q335)&lt;1,1),FALSE))))"),FALSE)</f>
        <v>0</v>
      </c>
      <c r="S335" s="59">
        <f t="array" ref="S335">IF(COUNTA(Q335:Q1350)=0,"",SUM((COUNTIF(Q$4:Q335,Upgrades!$B$3:$B$13)-COUNTIF(Q$4:Q335,"Sell_"&amp;Upgrades!$B$3:$B$13))*Upgrades!$D$3:$D$13))</f>
        <v>199400</v>
      </c>
      <c r="T335" s="66">
        <f>IFERROR(__xludf.DUMMYFUNCTION("IF(COUNTA(Q335:Q1350)=0,"""",IF(REGEXMATCH(INDEX(FILTER(Q$4:Q335,Q$4:Q335&lt;&gt;""""),ROWS(FILTER(Q$4:Q335,Q$4:Q335&lt;&gt;""""))),""^Sell_""),INDEX(FILTER(T$4:T334,Q$4:Q334&lt;&gt;""""),ROWS(FILTER(Q$4:Q334,Q$4:Q334&lt;&gt;""""))),$AD$5+S335))"),212106.0)</f>
        <v>212106</v>
      </c>
      <c r="U335" s="10">
        <f>IFERROR(__xludf.DUMMYFUNCTION("IF(COUNTA(Q335:Q1350)=0,"""",IF(Q335="""",0,IF(REGEXMATCH(Q335,""^Sell_""),-ROUNDDOWN(ROUNDUP(INDEX(Upgrades!$C$3:$C$13,MATCH(SUBSTITUTE(Q335,""Sell_"",""""),Upgrades!$B$3:$B$13,0))*1.15^(COUNTIF(Q$4:Q334,SUBSTITUTE(Q335,""Sell_"",""""))-COUNTIF(Q$4:Q334,"&amp;"""Sell_""&amp;SUBSTITUTE(Q335,""Sell_"",""""))))/2),ROUNDUP(INDEX(Upgrades!$C$3:$C$13,MATCH(Q335,Upgrades!$B$3:$B$13,0))*1.15^(COUNTIF(Q$4:Q334,Q335)-COUNTIF(Q$4:Q334,""Sell_""&amp;Q335))))))"),-132250.0)</f>
        <v>-132250</v>
      </c>
      <c r="V335" s="10">
        <f t="shared" si="11"/>
        <v>-11470592</v>
      </c>
      <c r="W335" s="68">
        <f t="shared" si="12"/>
        <v>4647.88374</v>
      </c>
      <c r="X335" s="59" t="str">
        <f t="shared" si="13"/>
        <v>1h 17m 27s</v>
      </c>
      <c r="Y335" s="69">
        <f t="shared" si="14"/>
        <v>251843441</v>
      </c>
      <c r="Z335" s="11"/>
    </row>
    <row r="336">
      <c r="A336" s="8"/>
      <c r="B336" s="56" t="str">
        <f t="shared" si="2"/>
        <v/>
      </c>
      <c r="C336" s="57"/>
      <c r="D336" s="10" t="str">
        <f>IFERROR(__xludf.DUMMYFUNCTION("IF(COUNTA(C336:C1350)=0,"""",IF(ISBLANK(C336),FALSE,IF(NOT(COUNTIF($AA$24:$AA$34,SUBSTITUTE(C336,""Sell_"",""""))),1,IF(REGEXMATCH(C336,""Sell_""),IF(COUNTIF(C$4:C336,SUBSTITUTE(C336,""Sell_"",""""))-COUNTIF(C$4:C335,C336)&lt;1,1),FALSE))))"),"")</f>
        <v/>
      </c>
      <c r="E336" s="59" t="str">
        <f t="array" ref="E336">IF(COUNTA(C336:C1350)=0,"",SUM((COUNTIF(C$4:C336,Upgrades!$B$3:$B$13)-COUNTIF(C$4:C336,"Sell_"&amp;Upgrades!$B$3:$B$13))*Upgrades!$D$3:$D$13))</f>
        <v/>
      </c>
      <c r="F336" s="66" t="str">
        <f>IFERROR(__xludf.DUMMYFUNCTION("IF(COUNTA(C336:C1350)=0,"""",IF(REGEXMATCH(INDEX(FILTER(C$4:C336,C$4:C336&lt;&gt;""""),ROWS(FILTER(C$4:C336,C$4:C336&lt;&gt;""""))),""^Sell_""),INDEX(FILTER(F$4:F335,C$4:C335&lt;&gt;""""),ROWS(FILTER(C$4:C335,C$4:C335&lt;&gt;""""))),$AC$5+E336))"),"")</f>
        <v/>
      </c>
      <c r="G336" s="10" t="str">
        <f>IFERROR(__xludf.DUMMYFUNCTION("IF(COUNTA(C336:C1350)=0,"""",IF(C336="""",0,IF(REGEXMATCH(C336,""^Sell_""),-ROUNDDOWN(ROUNDUP(INDEX(Upgrades!$C$3:$C$13,MATCH(SUBSTITUTE(C336,""Sell_"",""""),Upgrades!$B$3:$B$13,0))*1.15^(COUNTIF(C$4:C335,SUBSTITUTE(C336,""Sell_"",""""))-COUNTIF(C$4:C335,"&amp;"""Sell_""&amp;SUBSTITUTE(C336,""Sell_"",""""))))/2),ROUNDUP(INDEX(Upgrades!$C$3:$C$13,MATCH(C336,Upgrades!$B$3:$B$13,0))*1.15^(COUNTIF(C$4:C335,C336)-COUNTIF(C$4:C335,""Sell_""&amp;C336))))))"),"")</f>
        <v/>
      </c>
      <c r="H336" s="10" t="str">
        <f t="shared" si="3"/>
        <v/>
      </c>
      <c r="I336" s="68" t="str">
        <f t="shared" si="4"/>
        <v/>
      </c>
      <c r="J336" s="59" t="str">
        <f t="shared" si="5"/>
        <v/>
      </c>
      <c r="K336" s="69" t="str">
        <f t="shared" si="6"/>
        <v/>
      </c>
      <c r="L336" s="60">
        <f t="shared" si="7"/>
        <v>-265.96512</v>
      </c>
      <c r="M336" s="61">
        <f>IFERROR(__xludf.DUMMYFUNCTION("IFS(AND(COUNTA(C336:C1350)=0,COUNTA(Q336:Q1350)=0),"""",OR(AND(K336&gt;=1000000000,OR(Y336&gt;=1000000000,COUNTA(Q336:Q1350)=0)),OR(Y336&gt;=1000000000,AND(COUNTA(C336:C1350)=0,P$3=TRUE))),
ROUNDDOWN((AB$1-AC$1)*MAX(INDEX(T$4:T1350,MATCH(LARGE(FILTER(Y$4:Y1350,Y$4"&amp;":Y1350&lt;1000000000),1),Y$4:Y1350)),INDEX(F$4:F1350,MATCH(LARGE(FILTER(K$4:K1350,K$4:K1350&lt;1000000000),1),K$4:K1350)))),AND(K336&lt;1000000000,COUNTA(C336:C1350)&gt;0,P$3=FALSE),
ROUNDDOWN(INDEX(Y$4:Y1350,MATCH(LARGE(FILTER(W$4:W1350,W$4:W1350&lt;=I336),1),W$4:W1350"&amp;"))+(I336-LARGE(FILTER(W$4:W1350,W$4:W1350&lt;=I336),1))*INDEX(T$4:T1350,MATCH(LARGE(FILTER(W$4:W1350,W$4:W1350&lt;=I336),1),W$4:W1350))-K336),1,
ROUNDDOWN(Y336-INDEX(K$4:K1350,MATCH(LARGE(FILTER(I$4:I1350,I$4:I1350&lt;=W336),1),I$4:I1350))-(W336-LARGE(FILTER(I$4:I"&amp;"1350,I$4:I1350&lt;=W336),1))*INDEX(F$4:F1350,MATCH(LARGE(FILTER(I$4:I1350,I$4:I1350&lt;=W336),1),I$4:I1350))))"),4.3092685E7)</f>
        <v>43092685</v>
      </c>
      <c r="N336" s="60">
        <f t="shared" si="8"/>
        <v>-265.96512</v>
      </c>
      <c r="O336" s="61" t="str">
        <f t="shared" si="9"/>
        <v>43,1M</v>
      </c>
      <c r="P336" s="56">
        <f t="shared" si="10"/>
        <v>26</v>
      </c>
      <c r="Q336" s="105" t="s">
        <v>60</v>
      </c>
      <c r="R336" s="10" t="b">
        <f>IFERROR(__xludf.DUMMYFUNCTION("IF(COUNTA(Q336:Q1350)=0,"""",IF(ISBLANK(Q336),FALSE,IF(NOT(COUNTIF($AA$24:$AA$34,SUBSTITUTE(Q336,""Sell_"",""""))),1,IF(REGEXMATCH(Q336,""Sell_""),IF(COUNTIF(Q$4:Q336,SUBSTITUTE(Q336,""Sell_"",""""))-COUNTIF(Q$4:Q335,Q336)&lt;1,1),FALSE))))"),FALSE)</f>
        <v>0</v>
      </c>
      <c r="S336" s="59">
        <f t="array" ref="S336">IF(COUNTA(Q336:Q1350)=0,"",SUM((COUNTIF(Q$4:Q336,Upgrades!$B$3:$B$13)-COUNTIF(Q$4:Q336,"Sell_"&amp;Upgrades!$B$3:$B$13))*Upgrades!$D$3:$D$13))</f>
        <v>199000</v>
      </c>
      <c r="T336" s="66">
        <f>IFERROR(__xludf.DUMMYFUNCTION("IF(COUNTA(Q336:Q1350)=0,"""",IF(REGEXMATCH(INDEX(FILTER(Q$4:Q336,Q$4:Q336&lt;&gt;""""),ROWS(FILTER(Q$4:Q336,Q$4:Q336&lt;&gt;""""))),""^Sell_""),INDEX(FILTER(T$4:T335,Q$4:Q335&lt;&gt;""""),ROWS(FILTER(Q$4:Q335,Q$4:Q335&lt;&gt;""""))),$AD$5+S336))"),212106.0)</f>
        <v>212106</v>
      </c>
      <c r="U336" s="10">
        <f>IFERROR(__xludf.DUMMYFUNCTION("IF(COUNTA(Q336:Q1350)=0,"""",IF(Q336="""",0,IF(REGEXMATCH(Q336,""^Sell_""),-ROUNDDOWN(ROUNDUP(INDEX(Upgrades!$C$3:$C$13,MATCH(SUBSTITUTE(Q336,""Sell_"",""""),Upgrades!$B$3:$B$13,0))*1.15^(COUNTIF(Q$4:Q335,SUBSTITUTE(Q336,""Sell_"",""""))-COUNTIF(Q$4:Q335,"&amp;"""Sell_""&amp;SUBSTITUTE(Q336,""Sell_"",""""))))/2),ROUNDUP(INDEX(Upgrades!$C$3:$C$13,MATCH(Q336,Upgrades!$B$3:$B$13,0))*1.15^(COUNTIF(Q$4:Q335,Q336)-COUNTIF(Q$4:Q335,""Sell_""&amp;Q336))))))"),-115000.0)</f>
        <v>-115000</v>
      </c>
      <c r="V336" s="10">
        <f t="shared" si="11"/>
        <v>-11585592</v>
      </c>
      <c r="W336" s="68">
        <f t="shared" si="12"/>
        <v>4647.88374</v>
      </c>
      <c r="X336" s="59" t="str">
        <f t="shared" si="13"/>
        <v>1h 17m 27s</v>
      </c>
      <c r="Y336" s="69">
        <f t="shared" si="14"/>
        <v>251843441</v>
      </c>
      <c r="Z336" s="11"/>
    </row>
    <row r="337">
      <c r="A337" s="8"/>
      <c r="B337" s="56" t="str">
        <f t="shared" si="2"/>
        <v/>
      </c>
      <c r="C337" s="57"/>
      <c r="D337" s="10" t="str">
        <f>IFERROR(__xludf.DUMMYFUNCTION("IF(COUNTA(C337:C1350)=0,"""",IF(ISBLANK(C337),FALSE,IF(NOT(COUNTIF($AA$24:$AA$34,SUBSTITUTE(C337,""Sell_"",""""))),1,IF(REGEXMATCH(C337,""Sell_""),IF(COUNTIF(C$4:C337,SUBSTITUTE(C337,""Sell_"",""""))-COUNTIF(C$4:C336,C337)&lt;1,1),FALSE))))"),"")</f>
        <v/>
      </c>
      <c r="E337" s="59" t="str">
        <f t="array" ref="E337">IF(COUNTA(C337:C1350)=0,"",SUM((COUNTIF(C$4:C337,Upgrades!$B$3:$B$13)-COUNTIF(C$4:C337,"Sell_"&amp;Upgrades!$B$3:$B$13))*Upgrades!$D$3:$D$13))</f>
        <v/>
      </c>
      <c r="F337" s="66" t="str">
        <f>IFERROR(__xludf.DUMMYFUNCTION("IF(COUNTA(C337:C1350)=0,"""",IF(REGEXMATCH(INDEX(FILTER(C$4:C337,C$4:C337&lt;&gt;""""),ROWS(FILTER(C$4:C337,C$4:C337&lt;&gt;""""))),""^Sell_""),INDEX(FILTER(F$4:F336,C$4:C336&lt;&gt;""""),ROWS(FILTER(C$4:C336,C$4:C336&lt;&gt;""""))),$AC$5+E337))"),"")</f>
        <v/>
      </c>
      <c r="G337" s="10" t="str">
        <f>IFERROR(__xludf.DUMMYFUNCTION("IF(COUNTA(C337:C1350)=0,"""",IF(C337="""",0,IF(REGEXMATCH(C337,""^Sell_""),-ROUNDDOWN(ROUNDUP(INDEX(Upgrades!$C$3:$C$13,MATCH(SUBSTITUTE(C337,""Sell_"",""""),Upgrades!$B$3:$B$13,0))*1.15^(COUNTIF(C$4:C336,SUBSTITUTE(C337,""Sell_"",""""))-COUNTIF(C$4:C336,"&amp;"""Sell_""&amp;SUBSTITUTE(C337,""Sell_"",""""))))/2),ROUNDUP(INDEX(Upgrades!$C$3:$C$13,MATCH(C337,Upgrades!$B$3:$B$13,0))*1.15^(COUNTIF(C$4:C336,C337)-COUNTIF(C$4:C336,""Sell_""&amp;C337))))))"),"")</f>
        <v/>
      </c>
      <c r="H337" s="10" t="str">
        <f t="shared" si="3"/>
        <v/>
      </c>
      <c r="I337" s="68" t="str">
        <f t="shared" si="4"/>
        <v/>
      </c>
      <c r="J337" s="59" t="str">
        <f t="shared" si="5"/>
        <v/>
      </c>
      <c r="K337" s="69" t="str">
        <f t="shared" si="6"/>
        <v/>
      </c>
      <c r="L337" s="60">
        <f t="shared" si="7"/>
        <v>-265.96512</v>
      </c>
      <c r="M337" s="61">
        <f>IFERROR(__xludf.DUMMYFUNCTION("IFS(AND(COUNTA(C337:C1350)=0,COUNTA(Q337:Q1350)=0),"""",OR(AND(K337&gt;=1000000000,OR(Y337&gt;=1000000000,COUNTA(Q337:Q1350)=0)),OR(Y337&gt;=1000000000,AND(COUNTA(C337:C1350)=0,P$3=TRUE))),
ROUNDDOWN((AB$1-AC$1)*MAX(INDEX(T$4:T1350,MATCH(LARGE(FILTER(Y$4:Y1350,Y$4"&amp;":Y1350&lt;1000000000),1),Y$4:Y1350)),INDEX(F$4:F1350,MATCH(LARGE(FILTER(K$4:K1350,K$4:K1350&lt;1000000000),1),K$4:K1350)))),AND(K337&lt;1000000000,COUNTA(C337:C1350)&gt;0,P$3=FALSE),
ROUNDDOWN(INDEX(Y$4:Y1350,MATCH(LARGE(FILTER(W$4:W1350,W$4:W1350&lt;=I337),1),W$4:W1350"&amp;"))+(I337-LARGE(FILTER(W$4:W1350,W$4:W1350&lt;=I337),1))*INDEX(T$4:T1350,MATCH(LARGE(FILTER(W$4:W1350,W$4:W1350&lt;=I337),1),W$4:W1350))-K337),1,
ROUNDDOWN(Y337-INDEX(K$4:K1350,MATCH(LARGE(FILTER(I$4:I1350,I$4:I1350&lt;=W337),1),I$4:I1350))-(W337-LARGE(FILTER(I$4:I"&amp;"1350,I$4:I1350&lt;=W337),1))*INDEX(F$4:F1350,MATCH(LARGE(FILTER(I$4:I1350,I$4:I1350&lt;=W337),1),I$4:I1350))))"),4.3092685E7)</f>
        <v>43092685</v>
      </c>
      <c r="N337" s="60">
        <f t="shared" si="8"/>
        <v>-265.96512</v>
      </c>
      <c r="O337" s="61" t="str">
        <f t="shared" si="9"/>
        <v>43,1M</v>
      </c>
      <c r="P337" s="56">
        <f t="shared" si="10"/>
        <v>8</v>
      </c>
      <c r="Q337" s="105" t="s">
        <v>64</v>
      </c>
      <c r="R337" s="10" t="b">
        <f>IFERROR(__xludf.DUMMYFUNCTION("IF(COUNTA(Q337:Q1350)=0,"""",IF(ISBLANK(Q337),FALSE,IF(NOT(COUNTIF($AA$24:$AA$34,SUBSTITUTE(Q337,""Sell_"",""""))),1,IF(REGEXMATCH(Q337,""Sell_""),IF(COUNTIF(Q$4:Q337,SUBSTITUTE(Q337,""Sell_"",""""))-COUNTIF(Q$4:Q336,Q337)&lt;1,1),FALSE))))"),FALSE)</f>
        <v>0</v>
      </c>
      <c r="S337" s="59">
        <f t="array" ref="S337">IF(COUNTA(Q337:Q1350)=0,"",SUM((COUNTIF(Q$4:Q337,Upgrades!$B$3:$B$13)-COUNTIF(Q$4:Q337,"Sell_"&amp;Upgrades!$B$3:$B$13))*Upgrades!$D$3:$D$13))</f>
        <v>192334</v>
      </c>
      <c r="T337" s="66">
        <f>IFERROR(__xludf.DUMMYFUNCTION("IF(COUNTA(Q337:Q1350)=0,"""",IF(REGEXMATCH(INDEX(FILTER(Q$4:Q337,Q$4:Q337&lt;&gt;""""),ROWS(FILTER(Q$4:Q337,Q$4:Q337&lt;&gt;""""))),""^Sell_""),INDEX(FILTER(T$4:T336,Q$4:Q336&lt;&gt;""""),ROWS(FILTER(Q$4:Q336,Q$4:Q336&lt;&gt;""""))),$AD$5+S337))"),212106.0)</f>
        <v>212106</v>
      </c>
      <c r="U337" s="10">
        <f>IFERROR(__xludf.DUMMYFUNCTION("IF(COUNTA(Q337:Q1350)=0,"""",IF(Q337="""",0,IF(REGEXMATCH(Q337,""^Sell_""),-ROUNDDOWN(ROUNDUP(INDEX(Upgrades!$C$3:$C$13,MATCH(SUBSTITUTE(Q337,""Sell_"",""""),Upgrades!$B$3:$B$13,0))*1.15^(COUNTIF(Q$4:Q336,SUBSTITUTE(Q337,""Sell_"",""""))-COUNTIF(Q$4:Q336,"&amp;"""Sell_""&amp;SUBSTITUTE(Q337,""Sell_"",""""))))/2),ROUNDUP(INDEX(Upgrades!$C$3:$C$13,MATCH(Q337,Upgrades!$B$3:$B$13,0))*1.15^(COUNTIF(Q$4:Q336,Q337)-COUNTIF(Q$4:Q336,""Sell_""&amp;Q337))))))"),-6780882.0)</f>
        <v>-6780882</v>
      </c>
      <c r="V337" s="10">
        <f t="shared" si="11"/>
        <v>-18366474</v>
      </c>
      <c r="W337" s="68">
        <f t="shared" si="12"/>
        <v>4647.88374</v>
      </c>
      <c r="X337" s="59" t="str">
        <f t="shared" si="13"/>
        <v>1h 17m 27s</v>
      </c>
      <c r="Y337" s="69">
        <f t="shared" si="14"/>
        <v>251843441</v>
      </c>
      <c r="Z337" s="11"/>
    </row>
    <row r="338">
      <c r="A338" s="8"/>
      <c r="B338" s="56" t="str">
        <f t="shared" si="2"/>
        <v/>
      </c>
      <c r="C338" s="57"/>
      <c r="D338" s="10" t="str">
        <f>IFERROR(__xludf.DUMMYFUNCTION("IF(COUNTA(C338:C1350)=0,"""",IF(ISBLANK(C338),FALSE,IF(NOT(COUNTIF($AA$24:$AA$34,SUBSTITUTE(C338,""Sell_"",""""))),1,IF(REGEXMATCH(C338,""Sell_""),IF(COUNTIF(C$4:C338,SUBSTITUTE(C338,""Sell_"",""""))-COUNTIF(C$4:C337,C338)&lt;1,1),FALSE))))"),"")</f>
        <v/>
      </c>
      <c r="E338" s="59" t="str">
        <f t="array" ref="E338">IF(COUNTA(C338:C1350)=0,"",SUM((COUNTIF(C$4:C338,Upgrades!$B$3:$B$13)-COUNTIF(C$4:C338,"Sell_"&amp;Upgrades!$B$3:$B$13))*Upgrades!$D$3:$D$13))</f>
        <v/>
      </c>
      <c r="F338" s="66" t="str">
        <f>IFERROR(__xludf.DUMMYFUNCTION("IF(COUNTA(C338:C1350)=0,"""",IF(REGEXMATCH(INDEX(FILTER(C$4:C338,C$4:C338&lt;&gt;""""),ROWS(FILTER(C$4:C338,C$4:C338&lt;&gt;""""))),""^Sell_""),INDEX(FILTER(F$4:F337,C$4:C337&lt;&gt;""""),ROWS(FILTER(C$4:C337,C$4:C337&lt;&gt;""""))),$AC$5+E338))"),"")</f>
        <v/>
      </c>
      <c r="G338" s="10" t="str">
        <f>IFERROR(__xludf.DUMMYFUNCTION("IF(COUNTA(C338:C1350)=0,"""",IF(C338="""",0,IF(REGEXMATCH(C338,""^Sell_""),-ROUNDDOWN(ROUNDUP(INDEX(Upgrades!$C$3:$C$13,MATCH(SUBSTITUTE(C338,""Sell_"",""""),Upgrades!$B$3:$B$13,0))*1.15^(COUNTIF(C$4:C337,SUBSTITUTE(C338,""Sell_"",""""))-COUNTIF(C$4:C337,"&amp;"""Sell_""&amp;SUBSTITUTE(C338,""Sell_"",""""))))/2),ROUNDUP(INDEX(Upgrades!$C$3:$C$13,MATCH(C338,Upgrades!$B$3:$B$13,0))*1.15^(COUNTIF(C$4:C337,C338)-COUNTIF(C$4:C337,""Sell_""&amp;C338))))))"),"")</f>
        <v/>
      </c>
      <c r="H338" s="10" t="str">
        <f t="shared" si="3"/>
        <v/>
      </c>
      <c r="I338" s="68" t="str">
        <f t="shared" si="4"/>
        <v/>
      </c>
      <c r="J338" s="59" t="str">
        <f t="shared" si="5"/>
        <v/>
      </c>
      <c r="K338" s="69" t="str">
        <f t="shared" si="6"/>
        <v/>
      </c>
      <c r="L338" s="60">
        <f t="shared" si="7"/>
        <v>-265.96512</v>
      </c>
      <c r="M338" s="61">
        <f>IFERROR(__xludf.DUMMYFUNCTION("IFS(AND(COUNTA(C338:C1350)=0,COUNTA(Q338:Q1350)=0),"""",OR(AND(K338&gt;=1000000000,OR(Y338&gt;=1000000000,COUNTA(Q338:Q1350)=0)),OR(Y338&gt;=1000000000,AND(COUNTA(C338:C1350)=0,P$3=TRUE))),
ROUNDDOWN((AB$1-AC$1)*MAX(INDEX(T$4:T1350,MATCH(LARGE(FILTER(Y$4:Y1350,Y$4"&amp;":Y1350&lt;1000000000),1),Y$4:Y1350)),INDEX(F$4:F1350,MATCH(LARGE(FILTER(K$4:K1350,K$4:K1350&lt;1000000000),1),K$4:K1350)))),AND(K338&lt;1000000000,COUNTA(C338:C1350)&gt;0,P$3=FALSE),
ROUNDDOWN(INDEX(Y$4:Y1350,MATCH(LARGE(FILTER(W$4:W1350,W$4:W1350&lt;=I338),1),W$4:W1350"&amp;"))+(I338-LARGE(FILTER(W$4:W1350,W$4:W1350&lt;=I338),1))*INDEX(T$4:T1350,MATCH(LARGE(FILTER(W$4:W1350,W$4:W1350&lt;=I338),1),W$4:W1350))-K338),1,
ROUNDDOWN(Y338-INDEX(K$4:K1350,MATCH(LARGE(FILTER(I$4:I1350,I$4:I1350&lt;=W338),1),I$4:I1350))-(W338-LARGE(FILTER(I$4:I"&amp;"1350,I$4:I1350&lt;=W338),1))*INDEX(F$4:F1350,MATCH(LARGE(FILTER(I$4:I1350,I$4:I1350&lt;=W338),1),I$4:I1350))))"),4.3092685E7)</f>
        <v>43092685</v>
      </c>
      <c r="N338" s="60">
        <f t="shared" si="8"/>
        <v>-265.96512</v>
      </c>
      <c r="O338" s="61" t="str">
        <f t="shared" si="9"/>
        <v>43,1M</v>
      </c>
      <c r="P338" s="56">
        <f t="shared" si="10"/>
        <v>9</v>
      </c>
      <c r="Q338" s="105" t="s">
        <v>64</v>
      </c>
      <c r="R338" s="10" t="b">
        <f>IFERROR(__xludf.DUMMYFUNCTION("IF(COUNTA(Q338:Q1350)=0,"""",IF(ISBLANK(Q338),FALSE,IF(NOT(COUNTIF($AA$24:$AA$34,SUBSTITUTE(Q338,""Sell_"",""""))),1,IF(REGEXMATCH(Q338,""Sell_""),IF(COUNTIF(Q$4:Q338,SUBSTITUTE(Q338,""Sell_"",""""))-COUNTIF(Q$4:Q337,Q338)&lt;1,1),FALSE))))"),FALSE)</f>
        <v>0</v>
      </c>
      <c r="S338" s="59">
        <f t="array" ref="S338">IF(COUNTA(Q338:Q1350)=0,"",SUM((COUNTIF(Q$4:Q338,Upgrades!$B$3:$B$13)-COUNTIF(Q$4:Q338,"Sell_"&amp;Upgrades!$B$3:$B$13))*Upgrades!$D$3:$D$13))</f>
        <v>185668</v>
      </c>
      <c r="T338" s="66">
        <f>IFERROR(__xludf.DUMMYFUNCTION("IF(COUNTA(Q338:Q1350)=0,"""",IF(REGEXMATCH(INDEX(FILTER(Q$4:Q338,Q$4:Q338&lt;&gt;""""),ROWS(FILTER(Q$4:Q338,Q$4:Q338&lt;&gt;""""))),""^Sell_""),INDEX(FILTER(T$4:T337,Q$4:Q337&lt;&gt;""""),ROWS(FILTER(Q$4:Q337,Q$4:Q337&lt;&gt;""""))),$AD$5+S338))"),212106.0)</f>
        <v>212106</v>
      </c>
      <c r="U338" s="10">
        <f>IFERROR(__xludf.DUMMYFUNCTION("IF(COUNTA(Q338:Q1350)=0,"""",IF(Q338="""",0,IF(REGEXMATCH(Q338,""^Sell_""),-ROUNDDOWN(ROUNDUP(INDEX(Upgrades!$C$3:$C$13,MATCH(SUBSTITUTE(Q338,""Sell_"",""""),Upgrades!$B$3:$B$13,0))*1.15^(COUNTIF(Q$4:Q337,SUBSTITUTE(Q338,""Sell_"",""""))-COUNTIF(Q$4:Q337,"&amp;"""Sell_""&amp;SUBSTITUTE(Q338,""Sell_"",""""))))/2),ROUNDUP(INDEX(Upgrades!$C$3:$C$13,MATCH(Q338,Upgrades!$B$3:$B$13,0))*1.15^(COUNTIF(Q$4:Q337,Q338)-COUNTIF(Q$4:Q337,""Sell_""&amp;Q338))))))"),-5896419.0)</f>
        <v>-5896419</v>
      </c>
      <c r="V338" s="10">
        <f t="shared" si="11"/>
        <v>-24262893</v>
      </c>
      <c r="W338" s="68">
        <f t="shared" si="12"/>
        <v>4647.88374</v>
      </c>
      <c r="X338" s="59" t="str">
        <f t="shared" si="13"/>
        <v>1h 17m 27s</v>
      </c>
      <c r="Y338" s="69">
        <f t="shared" si="14"/>
        <v>251843441</v>
      </c>
      <c r="Z338" s="11"/>
    </row>
    <row r="339">
      <c r="A339" s="8"/>
      <c r="B339" s="56" t="str">
        <f t="shared" si="2"/>
        <v/>
      </c>
      <c r="C339" s="57"/>
      <c r="D339" s="10" t="str">
        <f>IFERROR(__xludf.DUMMYFUNCTION("IF(COUNTA(C339:C1350)=0,"""",IF(ISBLANK(C339),FALSE,IF(NOT(COUNTIF($AA$24:$AA$34,SUBSTITUTE(C339,""Sell_"",""""))),1,IF(REGEXMATCH(C339,""Sell_""),IF(COUNTIF(C$4:C339,SUBSTITUTE(C339,""Sell_"",""""))-COUNTIF(C$4:C338,C339)&lt;1,1),FALSE))))"),"")</f>
        <v/>
      </c>
      <c r="E339" s="59" t="str">
        <f t="array" ref="E339">IF(COUNTA(C339:C1350)=0,"",SUM((COUNTIF(C$4:C339,Upgrades!$B$3:$B$13)-COUNTIF(C$4:C339,"Sell_"&amp;Upgrades!$B$3:$B$13))*Upgrades!$D$3:$D$13))</f>
        <v/>
      </c>
      <c r="F339" s="66" t="str">
        <f>IFERROR(__xludf.DUMMYFUNCTION("IF(COUNTA(C339:C1350)=0,"""",IF(REGEXMATCH(INDEX(FILTER(C$4:C339,C$4:C339&lt;&gt;""""),ROWS(FILTER(C$4:C339,C$4:C339&lt;&gt;""""))),""^Sell_""),INDEX(FILTER(F$4:F338,C$4:C338&lt;&gt;""""),ROWS(FILTER(C$4:C338,C$4:C338&lt;&gt;""""))),$AC$5+E339))"),"")</f>
        <v/>
      </c>
      <c r="G339" s="10" t="str">
        <f>IFERROR(__xludf.DUMMYFUNCTION("IF(COUNTA(C339:C1350)=0,"""",IF(C339="""",0,IF(REGEXMATCH(C339,""^Sell_""),-ROUNDDOWN(ROUNDUP(INDEX(Upgrades!$C$3:$C$13,MATCH(SUBSTITUTE(C339,""Sell_"",""""),Upgrades!$B$3:$B$13,0))*1.15^(COUNTIF(C$4:C338,SUBSTITUTE(C339,""Sell_"",""""))-COUNTIF(C$4:C338,"&amp;"""Sell_""&amp;SUBSTITUTE(C339,""Sell_"",""""))))/2),ROUNDUP(INDEX(Upgrades!$C$3:$C$13,MATCH(C339,Upgrades!$B$3:$B$13,0))*1.15^(COUNTIF(C$4:C338,C339)-COUNTIF(C$4:C338,""Sell_""&amp;C339))))))"),"")</f>
        <v/>
      </c>
      <c r="H339" s="10" t="str">
        <f t="shared" si="3"/>
        <v/>
      </c>
      <c r="I339" s="68" t="str">
        <f t="shared" si="4"/>
        <v/>
      </c>
      <c r="J339" s="59" t="str">
        <f t="shared" si="5"/>
        <v/>
      </c>
      <c r="K339" s="69" t="str">
        <f t="shared" si="6"/>
        <v/>
      </c>
      <c r="L339" s="60">
        <f t="shared" si="7"/>
        <v>-265.96512</v>
      </c>
      <c r="M339" s="61">
        <f>IFERROR(__xludf.DUMMYFUNCTION("IFS(AND(COUNTA(C339:C1350)=0,COUNTA(Q339:Q1350)=0),"""",OR(AND(K339&gt;=1000000000,OR(Y339&gt;=1000000000,COUNTA(Q339:Q1350)=0)),OR(Y339&gt;=1000000000,AND(COUNTA(C339:C1350)=0,P$3=TRUE))),
ROUNDDOWN((AB$1-AC$1)*MAX(INDEX(T$4:T1350,MATCH(LARGE(FILTER(Y$4:Y1350,Y$4"&amp;":Y1350&lt;1000000000),1),Y$4:Y1350)),INDEX(F$4:F1350,MATCH(LARGE(FILTER(K$4:K1350,K$4:K1350&lt;1000000000),1),K$4:K1350)))),AND(K339&lt;1000000000,COUNTA(C339:C1350)&gt;0,P$3=FALSE),
ROUNDDOWN(INDEX(Y$4:Y1350,MATCH(LARGE(FILTER(W$4:W1350,W$4:W1350&lt;=I339),1),W$4:W1350"&amp;"))+(I339-LARGE(FILTER(W$4:W1350,W$4:W1350&lt;=I339),1))*INDEX(T$4:T1350,MATCH(LARGE(FILTER(W$4:W1350,W$4:W1350&lt;=I339),1),W$4:W1350))-K339),1,
ROUNDDOWN(Y339-INDEX(K$4:K1350,MATCH(LARGE(FILTER(I$4:I1350,I$4:I1350&lt;=W339),1),I$4:I1350))-(W339-LARGE(FILTER(I$4:I"&amp;"1350,I$4:I1350&lt;=W339),1))*INDEX(F$4:F1350,MATCH(LARGE(FILTER(I$4:I1350,I$4:I1350&lt;=W339),1),I$4:I1350))))"),4.3092685E7)</f>
        <v>43092685</v>
      </c>
      <c r="N339" s="60">
        <f t="shared" si="8"/>
        <v>-265.96512</v>
      </c>
      <c r="O339" s="61" t="str">
        <f t="shared" si="9"/>
        <v>43,1M</v>
      </c>
      <c r="P339" s="56">
        <f t="shared" si="10"/>
        <v>10</v>
      </c>
      <c r="Q339" s="105" t="s">
        <v>64</v>
      </c>
      <c r="R339" s="10" t="b">
        <f>IFERROR(__xludf.DUMMYFUNCTION("IF(COUNTA(Q339:Q1350)=0,"""",IF(ISBLANK(Q339),FALSE,IF(NOT(COUNTIF($AA$24:$AA$34,SUBSTITUTE(Q339,""Sell_"",""""))),1,IF(REGEXMATCH(Q339,""Sell_""),IF(COUNTIF(Q$4:Q339,SUBSTITUTE(Q339,""Sell_"",""""))-COUNTIF(Q$4:Q338,Q339)&lt;1,1),FALSE))))"),FALSE)</f>
        <v>0</v>
      </c>
      <c r="S339" s="59">
        <f t="array" ref="S339">IF(COUNTA(Q339:Q1350)=0,"",SUM((COUNTIF(Q$4:Q339,Upgrades!$B$3:$B$13)-COUNTIF(Q$4:Q339,"Sell_"&amp;Upgrades!$B$3:$B$13))*Upgrades!$D$3:$D$13))</f>
        <v>179002</v>
      </c>
      <c r="T339" s="66">
        <f>IFERROR(__xludf.DUMMYFUNCTION("IF(COUNTA(Q339:Q1350)=0,"""",IF(REGEXMATCH(INDEX(FILTER(Q$4:Q339,Q$4:Q339&lt;&gt;""""),ROWS(FILTER(Q$4:Q339,Q$4:Q339&lt;&gt;""""))),""^Sell_""),INDEX(FILTER(T$4:T338,Q$4:Q338&lt;&gt;""""),ROWS(FILTER(Q$4:Q338,Q$4:Q338&lt;&gt;""""))),$AD$5+S339))"),212106.0)</f>
        <v>212106</v>
      </c>
      <c r="U339" s="10">
        <f>IFERROR(__xludf.DUMMYFUNCTION("IF(COUNTA(Q339:Q1350)=0,"""",IF(Q339="""",0,IF(REGEXMATCH(Q339,""^Sell_""),-ROUNDDOWN(ROUNDUP(INDEX(Upgrades!$C$3:$C$13,MATCH(SUBSTITUTE(Q339,""Sell_"",""""),Upgrades!$B$3:$B$13,0))*1.15^(COUNTIF(Q$4:Q338,SUBSTITUTE(Q339,""Sell_"",""""))-COUNTIF(Q$4:Q338,"&amp;"""Sell_""&amp;SUBSTITUTE(Q339,""Sell_"",""""))))/2),ROUNDUP(INDEX(Upgrades!$C$3:$C$13,MATCH(Q339,Upgrades!$B$3:$B$13,0))*1.15^(COUNTIF(Q$4:Q338,Q339)-COUNTIF(Q$4:Q338,""Sell_""&amp;Q339))))))"),-5127321.0)</f>
        <v>-5127321</v>
      </c>
      <c r="V339" s="10">
        <f t="shared" si="11"/>
        <v>-29390214</v>
      </c>
      <c r="W339" s="68">
        <f t="shared" si="12"/>
        <v>4647.88374</v>
      </c>
      <c r="X339" s="59" t="str">
        <f t="shared" si="13"/>
        <v>1h 17m 27s</v>
      </c>
      <c r="Y339" s="69">
        <f t="shared" si="14"/>
        <v>251843441</v>
      </c>
      <c r="Z339" s="11"/>
    </row>
    <row r="340">
      <c r="A340" s="8"/>
      <c r="B340" s="56" t="str">
        <f t="shared" si="2"/>
        <v/>
      </c>
      <c r="C340" s="57"/>
      <c r="D340" s="10" t="str">
        <f>IFERROR(__xludf.DUMMYFUNCTION("IF(COUNTA(C340:C1350)=0,"""",IF(ISBLANK(C340),FALSE,IF(NOT(COUNTIF($AA$24:$AA$34,SUBSTITUTE(C340,""Sell_"",""""))),1,IF(REGEXMATCH(C340,""Sell_""),IF(COUNTIF(C$4:C340,SUBSTITUTE(C340,""Sell_"",""""))-COUNTIF(C$4:C339,C340)&lt;1,1),FALSE))))"),"")</f>
        <v/>
      </c>
      <c r="E340" s="59" t="str">
        <f t="array" ref="E340">IF(COUNTA(C340:C1350)=0,"",SUM((COUNTIF(C$4:C340,Upgrades!$B$3:$B$13)-COUNTIF(C$4:C340,"Sell_"&amp;Upgrades!$B$3:$B$13))*Upgrades!$D$3:$D$13))</f>
        <v/>
      </c>
      <c r="F340" s="66" t="str">
        <f>IFERROR(__xludf.DUMMYFUNCTION("IF(COUNTA(C340:C1350)=0,"""",IF(REGEXMATCH(INDEX(FILTER(C$4:C340,C$4:C340&lt;&gt;""""),ROWS(FILTER(C$4:C340,C$4:C340&lt;&gt;""""))),""^Sell_""),INDEX(FILTER(F$4:F339,C$4:C339&lt;&gt;""""),ROWS(FILTER(C$4:C339,C$4:C339&lt;&gt;""""))),$AC$5+E340))"),"")</f>
        <v/>
      </c>
      <c r="G340" s="10" t="str">
        <f>IFERROR(__xludf.DUMMYFUNCTION("IF(COUNTA(C340:C1350)=0,"""",IF(C340="""",0,IF(REGEXMATCH(C340,""^Sell_""),-ROUNDDOWN(ROUNDUP(INDEX(Upgrades!$C$3:$C$13,MATCH(SUBSTITUTE(C340,""Sell_"",""""),Upgrades!$B$3:$B$13,0))*1.15^(COUNTIF(C$4:C339,SUBSTITUTE(C340,""Sell_"",""""))-COUNTIF(C$4:C339,"&amp;"""Sell_""&amp;SUBSTITUTE(C340,""Sell_"",""""))))/2),ROUNDUP(INDEX(Upgrades!$C$3:$C$13,MATCH(C340,Upgrades!$B$3:$B$13,0))*1.15^(COUNTIF(C$4:C339,C340)-COUNTIF(C$4:C339,""Sell_""&amp;C340))))))"),"")</f>
        <v/>
      </c>
      <c r="H340" s="10" t="str">
        <f t="shared" si="3"/>
        <v/>
      </c>
      <c r="I340" s="68" t="str">
        <f t="shared" si="4"/>
        <v/>
      </c>
      <c r="J340" s="59" t="str">
        <f t="shared" si="5"/>
        <v/>
      </c>
      <c r="K340" s="69" t="str">
        <f t="shared" si="6"/>
        <v/>
      </c>
      <c r="L340" s="60">
        <f t="shared" si="7"/>
        <v>-265.96512</v>
      </c>
      <c r="M340" s="61">
        <f>IFERROR(__xludf.DUMMYFUNCTION("IFS(AND(COUNTA(C340:C1350)=0,COUNTA(Q340:Q1350)=0),"""",OR(AND(K340&gt;=1000000000,OR(Y340&gt;=1000000000,COUNTA(Q340:Q1350)=0)),OR(Y340&gt;=1000000000,AND(COUNTA(C340:C1350)=0,P$3=TRUE))),
ROUNDDOWN((AB$1-AC$1)*MAX(INDEX(T$4:T1350,MATCH(LARGE(FILTER(Y$4:Y1350,Y$4"&amp;":Y1350&lt;1000000000),1),Y$4:Y1350)),INDEX(F$4:F1350,MATCH(LARGE(FILTER(K$4:K1350,K$4:K1350&lt;1000000000),1),K$4:K1350)))),AND(K340&lt;1000000000,COUNTA(C340:C1350)&gt;0,P$3=FALSE),
ROUNDDOWN(INDEX(Y$4:Y1350,MATCH(LARGE(FILTER(W$4:W1350,W$4:W1350&lt;=I340),1),W$4:W1350"&amp;"))+(I340-LARGE(FILTER(W$4:W1350,W$4:W1350&lt;=I340),1))*INDEX(T$4:T1350,MATCH(LARGE(FILTER(W$4:W1350,W$4:W1350&lt;=I340),1),W$4:W1350))-K340),1,
ROUNDDOWN(Y340-INDEX(K$4:K1350,MATCH(LARGE(FILTER(I$4:I1350,I$4:I1350&lt;=W340),1),I$4:I1350))-(W340-LARGE(FILTER(I$4:I"&amp;"1350,I$4:I1350&lt;=W340),1))*INDEX(F$4:F1350,MATCH(LARGE(FILTER(I$4:I1350,I$4:I1350&lt;=W340),1),I$4:I1350))))"),4.3092685E7)</f>
        <v>43092685</v>
      </c>
      <c r="N340" s="60">
        <f t="shared" si="8"/>
        <v>-265.96512</v>
      </c>
      <c r="O340" s="61" t="str">
        <f t="shared" si="9"/>
        <v>43,1M</v>
      </c>
      <c r="P340" s="56">
        <f t="shared" si="10"/>
        <v>11</v>
      </c>
      <c r="Q340" s="105" t="s">
        <v>64</v>
      </c>
      <c r="R340" s="10" t="b">
        <f>IFERROR(__xludf.DUMMYFUNCTION("IF(COUNTA(Q340:Q1350)=0,"""",IF(ISBLANK(Q340),FALSE,IF(NOT(COUNTIF($AA$24:$AA$34,SUBSTITUTE(Q340,""Sell_"",""""))),1,IF(REGEXMATCH(Q340,""Sell_""),IF(COUNTIF(Q$4:Q340,SUBSTITUTE(Q340,""Sell_"",""""))-COUNTIF(Q$4:Q339,Q340)&lt;1,1),FALSE))))"),FALSE)</f>
        <v>0</v>
      </c>
      <c r="S340" s="59">
        <f t="array" ref="S340">IF(COUNTA(Q340:Q1350)=0,"",SUM((COUNTIF(Q$4:Q340,Upgrades!$B$3:$B$13)-COUNTIF(Q$4:Q340,"Sell_"&amp;Upgrades!$B$3:$B$13))*Upgrades!$D$3:$D$13))</f>
        <v>172336</v>
      </c>
      <c r="T340" s="66">
        <f>IFERROR(__xludf.DUMMYFUNCTION("IF(COUNTA(Q340:Q1350)=0,"""",IF(REGEXMATCH(INDEX(FILTER(Q$4:Q340,Q$4:Q340&lt;&gt;""""),ROWS(FILTER(Q$4:Q340,Q$4:Q340&lt;&gt;""""))),""^Sell_""),INDEX(FILTER(T$4:T339,Q$4:Q339&lt;&gt;""""),ROWS(FILTER(Q$4:Q339,Q$4:Q339&lt;&gt;""""))),$AD$5+S340))"),212106.0)</f>
        <v>212106</v>
      </c>
      <c r="U340" s="10">
        <f>IFERROR(__xludf.DUMMYFUNCTION("IF(COUNTA(Q340:Q1350)=0,"""",IF(Q340="""",0,IF(REGEXMATCH(Q340,""^Sell_""),-ROUNDDOWN(ROUNDUP(INDEX(Upgrades!$C$3:$C$13,MATCH(SUBSTITUTE(Q340,""Sell_"",""""),Upgrades!$B$3:$B$13,0))*1.15^(COUNTIF(Q$4:Q339,SUBSTITUTE(Q340,""Sell_"",""""))-COUNTIF(Q$4:Q339,"&amp;"""Sell_""&amp;SUBSTITUTE(Q340,""Sell_"",""""))))/2),ROUNDUP(INDEX(Upgrades!$C$3:$C$13,MATCH(Q340,Upgrades!$B$3:$B$13,0))*1.15^(COUNTIF(Q$4:Q339,Q340)-COUNTIF(Q$4:Q339,""Sell_""&amp;Q340))))))"),-4458540.0)</f>
        <v>-4458540</v>
      </c>
      <c r="V340" s="10">
        <f t="shared" si="11"/>
        <v>-33848754</v>
      </c>
      <c r="W340" s="68">
        <f t="shared" si="12"/>
        <v>4647.88374</v>
      </c>
      <c r="X340" s="59" t="str">
        <f t="shared" si="13"/>
        <v>1h 17m 27s</v>
      </c>
      <c r="Y340" s="69">
        <f t="shared" si="14"/>
        <v>251843441</v>
      </c>
      <c r="Z340" s="11"/>
    </row>
    <row r="341">
      <c r="A341" s="8"/>
      <c r="B341" s="56" t="str">
        <f t="shared" si="2"/>
        <v/>
      </c>
      <c r="C341" s="57"/>
      <c r="D341" s="10" t="str">
        <f>IFERROR(__xludf.DUMMYFUNCTION("IF(COUNTA(C341:C1350)=0,"""",IF(ISBLANK(C341),FALSE,IF(NOT(COUNTIF($AA$24:$AA$34,SUBSTITUTE(C341,""Sell_"",""""))),1,IF(REGEXMATCH(C341,""Sell_""),IF(COUNTIF(C$4:C341,SUBSTITUTE(C341,""Sell_"",""""))-COUNTIF(C$4:C340,C341)&lt;1,1),FALSE))))"),"")</f>
        <v/>
      </c>
      <c r="E341" s="59" t="str">
        <f t="array" ref="E341">IF(COUNTA(C341:C1350)=0,"",SUM((COUNTIF(C$4:C341,Upgrades!$B$3:$B$13)-COUNTIF(C$4:C341,"Sell_"&amp;Upgrades!$B$3:$B$13))*Upgrades!$D$3:$D$13))</f>
        <v/>
      </c>
      <c r="F341" s="66" t="str">
        <f>IFERROR(__xludf.DUMMYFUNCTION("IF(COUNTA(C341:C1350)=0,"""",IF(REGEXMATCH(INDEX(FILTER(C$4:C341,C$4:C341&lt;&gt;""""),ROWS(FILTER(C$4:C341,C$4:C341&lt;&gt;""""))),""^Sell_""),INDEX(FILTER(F$4:F340,C$4:C340&lt;&gt;""""),ROWS(FILTER(C$4:C340,C$4:C340&lt;&gt;""""))),$AC$5+E341))"),"")</f>
        <v/>
      </c>
      <c r="G341" s="10" t="str">
        <f>IFERROR(__xludf.DUMMYFUNCTION("IF(COUNTA(C341:C1350)=0,"""",IF(C341="""",0,IF(REGEXMATCH(C341,""^Sell_""),-ROUNDDOWN(ROUNDUP(INDEX(Upgrades!$C$3:$C$13,MATCH(SUBSTITUTE(C341,""Sell_"",""""),Upgrades!$B$3:$B$13,0))*1.15^(COUNTIF(C$4:C340,SUBSTITUTE(C341,""Sell_"",""""))-COUNTIF(C$4:C340,"&amp;"""Sell_""&amp;SUBSTITUTE(C341,""Sell_"",""""))))/2),ROUNDUP(INDEX(Upgrades!$C$3:$C$13,MATCH(C341,Upgrades!$B$3:$B$13,0))*1.15^(COUNTIF(C$4:C340,C341)-COUNTIF(C$4:C340,""Sell_""&amp;C341))))))"),"")</f>
        <v/>
      </c>
      <c r="H341" s="10" t="str">
        <f t="shared" si="3"/>
        <v/>
      </c>
      <c r="I341" s="68" t="str">
        <f t="shared" si="4"/>
        <v/>
      </c>
      <c r="J341" s="59" t="str">
        <f t="shared" si="5"/>
        <v/>
      </c>
      <c r="K341" s="69" t="str">
        <f t="shared" si="6"/>
        <v/>
      </c>
      <c r="L341" s="60">
        <f t="shared" si="7"/>
        <v>-264.77941</v>
      </c>
      <c r="M341" s="61">
        <f>IFERROR(__xludf.DUMMYFUNCTION("IFS(AND(COUNTA(C341:C1350)=0,COUNTA(Q341:Q1350)=0),"""",OR(AND(K341&gt;=1000000000,OR(Y341&gt;=1000000000,COUNTA(Q341:Q1350)=0)),OR(Y341&gt;=1000000000,AND(COUNTA(C341:C1350)=0,P$3=TRUE))),
ROUNDDOWN((AB$1-AC$1)*MAX(INDEX(T$4:T1350,MATCH(LARGE(FILTER(Y$4:Y1350,Y$4"&amp;":Y1350&lt;1000000000),1),Y$4:Y1350)),INDEX(F$4:F1350,MATCH(LARGE(FILTER(K$4:K1350,K$4:K1350&lt;1000000000),1),K$4:K1350)))),AND(K341&lt;1000000000,COUNTA(C341:C1350)&gt;0,P$3=FALSE),
ROUNDDOWN(INDEX(Y$4:Y1350,MATCH(LARGE(FILTER(W$4:W1350,W$4:W1350&lt;=I341),1),W$4:W1350"&amp;"))+(I341-LARGE(FILTER(W$4:W1350,W$4:W1350&lt;=I341),1))*INDEX(T$4:T1350,MATCH(LARGE(FILTER(W$4:W1350,W$4:W1350&lt;=I341),1),W$4:W1350))-K341),1,
ROUNDDOWN(Y341-INDEX(K$4:K1350,MATCH(LARGE(FILTER(I$4:I1350,I$4:I1350&lt;=W341),1),I$4:I1350))-(W341-LARGE(FILTER(I$4:I"&amp;"1350,I$4:I1350&lt;=W341),1))*INDEX(F$4:F1350,MATCH(LARGE(FILTER(I$4:I1350,I$4:I1350&lt;=W341),1),I$4:I1350))))"),5.6292235E7)</f>
        <v>56292235</v>
      </c>
      <c r="N341" s="60">
        <f t="shared" si="8"/>
        <v>-264.77941</v>
      </c>
      <c r="O341" s="61" t="str">
        <f t="shared" si="9"/>
        <v>56,3M</v>
      </c>
      <c r="P341" s="56">
        <f t="shared" si="10"/>
        <v>2</v>
      </c>
      <c r="Q341" s="105" t="s">
        <v>11</v>
      </c>
      <c r="R341" s="10" t="b">
        <f>IFERROR(__xludf.DUMMYFUNCTION("IF(COUNTA(Q341:Q1350)=0,"""",IF(ISBLANK(Q341),FALSE,IF(NOT(COUNTIF($AA$24:$AA$34,SUBSTITUTE(Q341,""Sell_"",""""))),1,IF(REGEXMATCH(Q341,""Sell_""),IF(COUNTIF(Q$4:Q341,SUBSTITUTE(Q341,""Sell_"",""""))-COUNTIF(Q$4:Q340,Q341)&lt;1,1),FALSE))))"),FALSE)</f>
        <v>0</v>
      </c>
      <c r="S341" s="59">
        <f t="array" ref="S341">IF(COUNTA(Q341:Q1350)=0,"",SUM((COUNTIF(Q$4:Q341,Upgrades!$B$3:$B$13)-COUNTIF(Q$4:Q341,"Sell_"&amp;Upgrades!$B$3:$B$13))*Upgrades!$D$3:$D$13))</f>
        <v>271101</v>
      </c>
      <c r="T341" s="66">
        <f>IFERROR(__xludf.DUMMYFUNCTION("IF(COUNTA(Q341:Q1350)=0,"""",IF(REGEXMATCH(INDEX(FILTER(Q$4:Q341,Q$4:Q341&lt;&gt;""""),ROWS(FILTER(Q$4:Q341,Q$4:Q341&lt;&gt;""""))),""^Sell_""),INDEX(FILTER(T$4:T340,Q$4:Q340&lt;&gt;""""),ROWS(FILTER(Q$4:Q340,Q$4:Q340&lt;&gt;""""))),$AD$5+S341))"),271301.0)</f>
        <v>271301</v>
      </c>
      <c r="U341" s="10">
        <f>IFERROR(__xludf.DUMMYFUNCTION("IF(COUNTA(Q341:Q1350)=0,"""",IF(Q341="""",0,IF(REGEXMATCH(Q341,""^Sell_""),-ROUNDDOWN(ROUNDUP(INDEX(Upgrades!$C$3:$C$13,MATCH(SUBSTITUTE(Q341,""Sell_"",""""),Upgrades!$B$3:$B$13,0))*1.15^(COUNTIF(Q$4:Q340,SUBSTITUTE(Q341,""Sell_"",""""))-COUNTIF(Q$4:Q340,"&amp;"""Sell_""&amp;SUBSTITUTE(Q341,""Sell_"",""""))))/2),ROUNDUP(INDEX(Upgrades!$C$3:$C$13,MATCH(Q341,Upgrades!$B$3:$B$13,0))*1.15^(COUNTIF(Q$4:Q340,Q341)-COUNTIF(Q$4:Q340,""Sell_""&amp;Q341))))))"),1.41975308E8)</f>
        <v>141975308</v>
      </c>
      <c r="V341" s="10">
        <f t="shared" si="11"/>
        <v>108126554</v>
      </c>
      <c r="W341" s="68">
        <f t="shared" si="12"/>
        <v>5157.659767</v>
      </c>
      <c r="X341" s="59" t="str">
        <f t="shared" si="13"/>
        <v>1h 25m 57s</v>
      </c>
      <c r="Y341" s="69">
        <f t="shared" si="14"/>
        <v>359969995</v>
      </c>
      <c r="Z341" s="11"/>
    </row>
    <row r="342">
      <c r="A342" s="8"/>
      <c r="B342" s="56" t="str">
        <f t="shared" si="2"/>
        <v/>
      </c>
      <c r="C342" s="57"/>
      <c r="D342" s="10" t="str">
        <f>IFERROR(__xludf.DUMMYFUNCTION("IF(COUNTA(C342:C1350)=0,"""",IF(ISBLANK(C342),FALSE,IF(NOT(COUNTIF($AA$24:$AA$34,SUBSTITUTE(C342,""Sell_"",""""))),1,IF(REGEXMATCH(C342,""Sell_""),IF(COUNTIF(C$4:C342,SUBSTITUTE(C342,""Sell_"",""""))-COUNTIF(C$4:C341,C342)&lt;1,1),FALSE))))"),"")</f>
        <v/>
      </c>
      <c r="E342" s="59" t="str">
        <f t="array" ref="E342">IF(COUNTA(C342:C1350)=0,"",SUM((COUNTIF(C$4:C342,Upgrades!$B$3:$B$13)-COUNTIF(C$4:C342,"Sell_"&amp;Upgrades!$B$3:$B$13))*Upgrades!$D$3:$D$13))</f>
        <v/>
      </c>
      <c r="F342" s="66" t="str">
        <f>IFERROR(__xludf.DUMMYFUNCTION("IF(COUNTA(C342:C1350)=0,"""",IF(REGEXMATCH(INDEX(FILTER(C$4:C342,C$4:C342&lt;&gt;""""),ROWS(FILTER(C$4:C342,C$4:C342&lt;&gt;""""))),""^Sell_""),INDEX(FILTER(F$4:F341,C$4:C341&lt;&gt;""""),ROWS(FILTER(C$4:C341,C$4:C341&lt;&gt;""""))),$AC$5+E342))"),"")</f>
        <v/>
      </c>
      <c r="G342" s="10" t="str">
        <f>IFERROR(__xludf.DUMMYFUNCTION("IF(COUNTA(C342:C1350)=0,"""",IF(C342="""",0,IF(REGEXMATCH(C342,""^Sell_""),-ROUNDDOWN(ROUNDUP(INDEX(Upgrades!$C$3:$C$13,MATCH(SUBSTITUTE(C342,""Sell_"",""""),Upgrades!$B$3:$B$13,0))*1.15^(COUNTIF(C$4:C341,SUBSTITUTE(C342,""Sell_"",""""))-COUNTIF(C$4:C341,"&amp;"""Sell_""&amp;SUBSTITUTE(C342,""Sell_"",""""))))/2),ROUNDUP(INDEX(Upgrades!$C$3:$C$13,MATCH(C342,Upgrades!$B$3:$B$13,0))*1.15^(COUNTIF(C$4:C341,C342)-COUNTIF(C$4:C341,""Sell_""&amp;C342))))))"),"")</f>
        <v/>
      </c>
      <c r="H342" s="10" t="str">
        <f t="shared" si="3"/>
        <v/>
      </c>
      <c r="I342" s="68" t="str">
        <f t="shared" si="4"/>
        <v/>
      </c>
      <c r="J342" s="59" t="str">
        <f t="shared" si="5"/>
        <v/>
      </c>
      <c r="K342" s="69" t="str">
        <f t="shared" si="6"/>
        <v/>
      </c>
      <c r="L342" s="60">
        <f t="shared" si="7"/>
        <v>-264.78958</v>
      </c>
      <c r="M342" s="61">
        <f>IFERROR(__xludf.DUMMYFUNCTION("IFS(AND(COUNTA(C342:C1350)=0,COUNTA(Q342:Q1350)=0),"""",OR(AND(K342&gt;=1000000000,OR(Y342&gt;=1000000000,COUNTA(Q342:Q1350)=0)),OR(Y342&gt;=1000000000,AND(COUNTA(C342:C1350)=0,P$3=TRUE))),
ROUNDDOWN((AB$1-AC$1)*MAX(INDEX(T$4:T1350,MATCH(LARGE(FILTER(Y$4:Y1350,Y$4"&amp;":Y1350&lt;1000000000),1),Y$4:Y1350)),INDEX(F$4:F1350,MATCH(LARGE(FILTER(K$4:K1350,K$4:K1350&lt;1000000000),1),K$4:K1350)))),AND(K342&lt;1000000000,COUNTA(C342:C1350)&gt;0,P$3=FALSE),
ROUNDDOWN(INDEX(Y$4:Y1350,MATCH(LARGE(FILTER(W$4:W1350,W$4:W1350&lt;=I342),1),W$4:W1350"&amp;"))+(I342-LARGE(FILTER(W$4:W1350,W$4:W1350&lt;=I342),1))*INDEX(T$4:T1350,MATCH(LARGE(FILTER(W$4:W1350,W$4:W1350&lt;=I342),1),W$4:W1350))-K342),1,
ROUNDDOWN(Y342-INDEX(K$4:K1350,MATCH(LARGE(FILTER(I$4:I1350,I$4:I1350&lt;=W342),1),I$4:I1350))-(W342-LARGE(FILTER(I$4:I"&amp;"1350,I$4:I1350&lt;=W342),1))*INDEX(F$4:F1350,MATCH(LARGE(FILTER(I$4:I1350,I$4:I1350&lt;=W342),1),I$4:I1350))))"),5.6294398E7)</f>
        <v>56294398</v>
      </c>
      <c r="N342" s="60">
        <f t="shared" si="8"/>
        <v>-264.78958</v>
      </c>
      <c r="O342" s="61" t="str">
        <f t="shared" si="9"/>
        <v>56,3M</v>
      </c>
      <c r="P342" s="56">
        <f t="shared" si="10"/>
        <v>1</v>
      </c>
      <c r="Q342" s="105" t="s">
        <v>7</v>
      </c>
      <c r="R342" s="10" t="b">
        <f>IFERROR(__xludf.DUMMYFUNCTION("IF(COUNTA(Q342:Q1350)=0,"""",IF(ISBLANK(Q342),FALSE,IF(NOT(COUNTIF($AA$24:$AA$34,SUBSTITUTE(Q342,""Sell_"",""""))),1,IF(REGEXMATCH(Q342,""Sell_""),IF(COUNTIF(Q$4:Q342,SUBSTITUTE(Q342,""Sell_"",""""))-COUNTIF(Q$4:Q341,Q342)&lt;1,1),FALSE))))"),FALSE)</f>
        <v>0</v>
      </c>
      <c r="S342" s="59">
        <f t="array" ref="S342">IF(COUNTA(Q342:Q1350)=0,"",SUM((COUNTIF(Q$4:Q342,Upgrades!$B$3:$B$13)-COUNTIF(Q$4:Q342,"Sell_"&amp;Upgrades!$B$3:$B$13))*Upgrades!$D$3:$D$13))</f>
        <v>271141</v>
      </c>
      <c r="T342" s="66">
        <f>IFERROR(__xludf.DUMMYFUNCTION("IF(COUNTA(Q342:Q1350)=0,"""",IF(REGEXMATCH(INDEX(FILTER(Q$4:Q342,Q$4:Q342&lt;&gt;""""),ROWS(FILTER(Q$4:Q342,Q$4:Q342&lt;&gt;""""))),""^Sell_""),INDEX(FILTER(T$4:T341,Q$4:Q341&lt;&gt;""""),ROWS(FILTER(Q$4:Q341,Q$4:Q341&lt;&gt;""""))),$AD$5+S342))"),271341.0)</f>
        <v>271341</v>
      </c>
      <c r="U342" s="10">
        <f>IFERROR(__xludf.DUMMYFUNCTION("IF(COUNTA(Q342:Q1350)=0,"""",IF(Q342="""",0,IF(REGEXMATCH(Q342,""^Sell_""),-ROUNDDOWN(ROUNDUP(INDEX(Upgrades!$C$3:$C$13,MATCH(SUBSTITUTE(Q342,""Sell_"",""""),Upgrades!$B$3:$B$13,0))*1.15^(COUNTIF(Q$4:Q341,SUBSTITUTE(Q342,""Sell_"",""""))-COUNTIF(Q$4:Q341,"&amp;"""Sell_""&amp;SUBSTITUTE(Q342,""Sell_"",""""))))/2),ROUNDUP(INDEX(Upgrades!$C$3:$C$13,MATCH(Q342,Upgrades!$B$3:$B$13,0))*1.15^(COUNTIF(Q$4:Q341,Q342)-COUNTIF(Q$4:Q341,""Sell_""&amp;Q342))))))"),10000.0)</f>
        <v>10000</v>
      </c>
      <c r="V342" s="10">
        <f t="shared" si="11"/>
        <v>10000</v>
      </c>
      <c r="W342" s="68">
        <f t="shared" si="12"/>
        <v>5157.696627</v>
      </c>
      <c r="X342" s="59" t="str">
        <f t="shared" si="13"/>
        <v>1h 25m 57s</v>
      </c>
      <c r="Y342" s="69">
        <f t="shared" si="14"/>
        <v>359979995</v>
      </c>
      <c r="Z342" s="11"/>
    </row>
    <row r="343">
      <c r="A343" s="8"/>
      <c r="B343" s="56" t="str">
        <f t="shared" si="2"/>
        <v/>
      </c>
      <c r="C343" s="57"/>
      <c r="D343" s="10" t="str">
        <f>IFERROR(__xludf.DUMMYFUNCTION("IF(COUNTA(C343:C1350)=0,"""",IF(ISBLANK(C343),FALSE,IF(NOT(COUNTIF($AA$24:$AA$34,SUBSTITUTE(C343,""Sell_"",""""))),1,IF(REGEXMATCH(C343,""Sell_""),IF(COUNTIF(C$4:C343,SUBSTITUTE(C343,""Sell_"",""""))-COUNTIF(C$4:C342,C343)&lt;1,1),FALSE))))"),"")</f>
        <v/>
      </c>
      <c r="E343" s="59" t="str">
        <f t="array" ref="E343">IF(COUNTA(C343:C1350)=0,"",SUM((COUNTIF(C$4:C343,Upgrades!$B$3:$B$13)-COUNTIF(C$4:C343,"Sell_"&amp;Upgrades!$B$3:$B$13))*Upgrades!$D$3:$D$13))</f>
        <v/>
      </c>
      <c r="F343" s="66" t="str">
        <f>IFERROR(__xludf.DUMMYFUNCTION("IF(COUNTA(C343:C1350)=0,"""",IF(REGEXMATCH(INDEX(FILTER(C$4:C343,C$4:C343&lt;&gt;""""),ROWS(FILTER(C$4:C343,C$4:C343&lt;&gt;""""))),""^Sell_""),INDEX(FILTER(F$4:F342,C$4:C342&lt;&gt;""""),ROWS(FILTER(C$4:C342,C$4:C342&lt;&gt;""""))),$AC$5+E343))"),"")</f>
        <v/>
      </c>
      <c r="G343" s="10" t="str">
        <f>IFERROR(__xludf.DUMMYFUNCTION("IF(COUNTA(C343:C1350)=0,"""",IF(C343="""",0,IF(REGEXMATCH(C343,""^Sell_""),-ROUNDDOWN(ROUNDUP(INDEX(Upgrades!$C$3:$C$13,MATCH(SUBSTITUTE(C343,""Sell_"",""""),Upgrades!$B$3:$B$13,0))*1.15^(COUNTIF(C$4:C342,SUBSTITUTE(C343,""Sell_"",""""))-COUNTIF(C$4:C342,"&amp;"""Sell_""&amp;SUBSTITUTE(C343,""Sell_"",""""))))/2),ROUNDUP(INDEX(Upgrades!$C$3:$C$13,MATCH(C343,Upgrades!$B$3:$B$13,0))*1.15^(COUNTIF(C$4:C342,C343)-COUNTIF(C$4:C342,""Sell_""&amp;C343))))))"),"")</f>
        <v/>
      </c>
      <c r="H343" s="10" t="str">
        <f t="shared" si="3"/>
        <v/>
      </c>
      <c r="I343" s="68" t="str">
        <f t="shared" si="4"/>
        <v/>
      </c>
      <c r="J343" s="59" t="str">
        <f t="shared" si="5"/>
        <v/>
      </c>
      <c r="K343" s="69" t="str">
        <f t="shared" si="6"/>
        <v/>
      </c>
      <c r="L343" s="60">
        <f t="shared" si="7"/>
        <v>-264.80129</v>
      </c>
      <c r="M343" s="61">
        <f>IFERROR(__xludf.DUMMYFUNCTION("IFS(AND(COUNTA(C343:C1350)=0,COUNTA(Q343:Q1350)=0),"""",OR(AND(K343&gt;=1000000000,OR(Y343&gt;=1000000000,COUNTA(Q343:Q1350)=0)),OR(Y343&gt;=1000000000,AND(COUNTA(C343:C1350)=0,P$3=TRUE))),
ROUNDDOWN((AB$1-AC$1)*MAX(INDEX(T$4:T1350,MATCH(LARGE(FILTER(Y$4:Y1350,Y$4"&amp;":Y1350&lt;1000000000),1),Y$4:Y1350)),INDEX(F$4:F1350,MATCH(LARGE(FILTER(K$4:K1350,K$4:K1350&lt;1000000000),1),K$4:K1350)))),AND(K343&lt;1000000000,COUNTA(C343:C1350)&gt;0,P$3=FALSE),
ROUNDDOWN(INDEX(Y$4:Y1350,MATCH(LARGE(FILTER(W$4:W1350,W$4:W1350&lt;=I343),1),W$4:W1350"&amp;"))+(I343-LARGE(FILTER(W$4:W1350,W$4:W1350&lt;=I343),1))*INDEX(T$4:T1350,MATCH(LARGE(FILTER(W$4:W1350,W$4:W1350&lt;=I343),1),W$4:W1350))-K343),1,
ROUNDDOWN(Y343-INDEX(K$4:K1350,MATCH(LARGE(FILTER(I$4:I1350,I$4:I1350&lt;=W343),1),I$4:I1350))-(W343-LARGE(FILTER(I$4:I"&amp;"1350,I$4:I1350&lt;=W343),1))*INDEX(F$4:F1350,MATCH(LARGE(FILTER(I$4:I1350,I$4:I1350&lt;=W343),1),I$4:I1350))))"),5.6296888E7)</f>
        <v>56296888</v>
      </c>
      <c r="N343" s="60">
        <f t="shared" si="8"/>
        <v>-264.80129</v>
      </c>
      <c r="O343" s="61" t="str">
        <f t="shared" si="9"/>
        <v>56,3M</v>
      </c>
      <c r="P343" s="56">
        <f t="shared" si="10"/>
        <v>2</v>
      </c>
      <c r="Q343" s="105" t="s">
        <v>7</v>
      </c>
      <c r="R343" s="10" t="b">
        <f>IFERROR(__xludf.DUMMYFUNCTION("IF(COUNTA(Q343:Q1350)=0,"""",IF(ISBLANK(Q343),FALSE,IF(NOT(COUNTIF($AA$24:$AA$34,SUBSTITUTE(Q343,""Sell_"",""""))),1,IF(REGEXMATCH(Q343,""Sell_""),IF(COUNTIF(Q$4:Q343,SUBSTITUTE(Q343,""Sell_"",""""))-COUNTIF(Q$4:Q342,Q343)&lt;1,1),FALSE))))"),FALSE)</f>
        <v>0</v>
      </c>
      <c r="S343" s="59">
        <f t="array" ref="S343">IF(COUNTA(Q343:Q1350)=0,"",SUM((COUNTIF(Q$4:Q343,Upgrades!$B$3:$B$13)-COUNTIF(Q$4:Q343,"Sell_"&amp;Upgrades!$B$3:$B$13))*Upgrades!$D$3:$D$13))</f>
        <v>271181</v>
      </c>
      <c r="T343" s="66">
        <f>IFERROR(__xludf.DUMMYFUNCTION("IF(COUNTA(Q343:Q1350)=0,"""",IF(REGEXMATCH(INDEX(FILTER(Q$4:Q343,Q$4:Q343&lt;&gt;""""),ROWS(FILTER(Q$4:Q343,Q$4:Q343&lt;&gt;""""))),""^Sell_""),INDEX(FILTER(T$4:T342,Q$4:Q342&lt;&gt;""""),ROWS(FILTER(Q$4:Q342,Q$4:Q342&lt;&gt;""""))),$AD$5+S343))"),271381.0)</f>
        <v>271381</v>
      </c>
      <c r="U343" s="10">
        <f>IFERROR(__xludf.DUMMYFUNCTION("IF(COUNTA(Q343:Q1350)=0,"""",IF(Q343="""",0,IF(REGEXMATCH(Q343,""^Sell_""),-ROUNDDOWN(ROUNDUP(INDEX(Upgrades!$C$3:$C$13,MATCH(SUBSTITUTE(Q343,""Sell_"",""""),Upgrades!$B$3:$B$13,0))*1.15^(COUNTIF(Q$4:Q342,SUBSTITUTE(Q343,""Sell_"",""""))-COUNTIF(Q$4:Q342,"&amp;"""Sell_""&amp;SUBSTITUTE(Q343,""Sell_"",""""))))/2),ROUNDUP(INDEX(Upgrades!$C$3:$C$13,MATCH(Q343,Upgrades!$B$3:$B$13,0))*1.15^(COUNTIF(Q$4:Q342,Q343)-COUNTIF(Q$4:Q342,""Sell_""&amp;Q343))))))"),11500.0)</f>
        <v>11500</v>
      </c>
      <c r="V343" s="10">
        <f t="shared" si="11"/>
        <v>11500</v>
      </c>
      <c r="W343" s="68">
        <f t="shared" si="12"/>
        <v>5157.739009</v>
      </c>
      <c r="X343" s="59" t="str">
        <f t="shared" si="13"/>
        <v>1h 25m 57s</v>
      </c>
      <c r="Y343" s="69">
        <f t="shared" si="14"/>
        <v>359991495</v>
      </c>
      <c r="Z343" s="11"/>
    </row>
    <row r="344">
      <c r="A344" s="8"/>
      <c r="B344" s="56" t="str">
        <f t="shared" si="2"/>
        <v/>
      </c>
      <c r="C344" s="57"/>
      <c r="D344" s="10" t="str">
        <f>IFERROR(__xludf.DUMMYFUNCTION("IF(COUNTA(C344:C1350)=0,"""",IF(ISBLANK(C344),FALSE,IF(NOT(COUNTIF($AA$24:$AA$34,SUBSTITUTE(C344,""Sell_"",""""))),1,IF(REGEXMATCH(C344,""Sell_""),IF(COUNTIF(C$4:C344,SUBSTITUTE(C344,""Sell_"",""""))-COUNTIF(C$4:C343,C344)&lt;1,1),FALSE))))"),"")</f>
        <v/>
      </c>
      <c r="E344" s="59" t="str">
        <f t="array" ref="E344">IF(COUNTA(C344:C1350)=0,"",SUM((COUNTIF(C$4:C344,Upgrades!$B$3:$B$13)-COUNTIF(C$4:C344,"Sell_"&amp;Upgrades!$B$3:$B$13))*Upgrades!$D$3:$D$13))</f>
        <v/>
      </c>
      <c r="F344" s="66" t="str">
        <f>IFERROR(__xludf.DUMMYFUNCTION("IF(COUNTA(C344:C1350)=0,"""",IF(REGEXMATCH(INDEX(FILTER(C$4:C344,C$4:C344&lt;&gt;""""),ROWS(FILTER(C$4:C344,C$4:C344&lt;&gt;""""))),""^Sell_""),INDEX(FILTER(F$4:F343,C$4:C343&lt;&gt;""""),ROWS(FILTER(C$4:C343,C$4:C343&lt;&gt;""""))),$AC$5+E344))"),"")</f>
        <v/>
      </c>
      <c r="G344" s="10" t="str">
        <f>IFERROR(__xludf.DUMMYFUNCTION("IF(COUNTA(C344:C1350)=0,"""",IF(C344="""",0,IF(REGEXMATCH(C344,""^Sell_""),-ROUNDDOWN(ROUNDUP(INDEX(Upgrades!$C$3:$C$13,MATCH(SUBSTITUTE(C344,""Sell_"",""""),Upgrades!$B$3:$B$13,0))*1.15^(COUNTIF(C$4:C343,SUBSTITUTE(C344,""Sell_"",""""))-COUNTIF(C$4:C343,"&amp;"""Sell_""&amp;SUBSTITUTE(C344,""Sell_"",""""))))/2),ROUNDUP(INDEX(Upgrades!$C$3:$C$13,MATCH(C344,Upgrades!$B$3:$B$13,0))*1.15^(COUNTIF(C$4:C343,C344)-COUNTIF(C$4:C343,""Sell_""&amp;C344))))))"),"")</f>
        <v/>
      </c>
      <c r="H344" s="10" t="str">
        <f t="shared" si="3"/>
        <v/>
      </c>
      <c r="I344" s="68" t="str">
        <f t="shared" si="4"/>
        <v/>
      </c>
      <c r="J344" s="59" t="str">
        <f t="shared" si="5"/>
        <v/>
      </c>
      <c r="K344" s="69" t="str">
        <f t="shared" si="6"/>
        <v/>
      </c>
      <c r="L344" s="60">
        <f t="shared" si="7"/>
        <v>-264.81477</v>
      </c>
      <c r="M344" s="61">
        <f>IFERROR(__xludf.DUMMYFUNCTION("IFS(AND(COUNTA(C344:C1350)=0,COUNTA(Q344:Q1350)=0),"""",OR(AND(K344&gt;=1000000000,OR(Y344&gt;=1000000000,COUNTA(Q344:Q1350)=0)),OR(Y344&gt;=1000000000,AND(COUNTA(C344:C1350)=0,P$3=TRUE))),
ROUNDDOWN((AB$1-AC$1)*MAX(INDEX(T$4:T1350,MATCH(LARGE(FILTER(Y$4:Y1350,Y$4"&amp;":Y1350&lt;1000000000),1),Y$4:Y1350)),INDEX(F$4:F1350,MATCH(LARGE(FILTER(K$4:K1350,K$4:K1350&lt;1000000000),1),K$4:K1350)))),AND(K344&lt;1000000000,COUNTA(C344:C1350)&gt;0,P$3=FALSE),
ROUNDDOWN(INDEX(Y$4:Y1350,MATCH(LARGE(FILTER(W$4:W1350,W$4:W1350&lt;=I344),1),W$4:W1350"&amp;"))+(I344-LARGE(FILTER(W$4:W1350,W$4:W1350&lt;=I344),1))*INDEX(T$4:T1350,MATCH(LARGE(FILTER(W$4:W1350,W$4:W1350&lt;=I344),1),W$4:W1350))-K344),1,
ROUNDDOWN(Y344-INDEX(K$4:K1350,MATCH(LARGE(FILTER(I$4:I1350,I$4:I1350&lt;=W344),1),I$4:I1350))-(W344-LARGE(FILTER(I$4:I"&amp;"1350,I$4:I1350&lt;=W344),1))*INDEX(F$4:F1350,MATCH(LARGE(FILTER(I$4:I1350,I$4:I1350&lt;=W344),1),I$4:I1350))))"),5.6299752E7)</f>
        <v>56299752</v>
      </c>
      <c r="N344" s="60">
        <f t="shared" si="8"/>
        <v>-264.81477</v>
      </c>
      <c r="O344" s="61" t="str">
        <f t="shared" si="9"/>
        <v>56,3M</v>
      </c>
      <c r="P344" s="56">
        <f t="shared" si="10"/>
        <v>3</v>
      </c>
      <c r="Q344" s="105" t="s">
        <v>7</v>
      </c>
      <c r="R344" s="10" t="b">
        <f>IFERROR(__xludf.DUMMYFUNCTION("IF(COUNTA(Q344:Q1350)=0,"""",IF(ISBLANK(Q344),FALSE,IF(NOT(COUNTIF($AA$24:$AA$34,SUBSTITUTE(Q344,""Sell_"",""""))),1,IF(REGEXMATCH(Q344,""Sell_""),IF(COUNTIF(Q$4:Q344,SUBSTITUTE(Q344,""Sell_"",""""))-COUNTIF(Q$4:Q343,Q344)&lt;1,1),FALSE))))"),FALSE)</f>
        <v>0</v>
      </c>
      <c r="S344" s="59">
        <f t="array" ref="S344">IF(COUNTA(Q344:Q1350)=0,"",SUM((COUNTIF(Q$4:Q344,Upgrades!$B$3:$B$13)-COUNTIF(Q$4:Q344,"Sell_"&amp;Upgrades!$B$3:$B$13))*Upgrades!$D$3:$D$13))</f>
        <v>271221</v>
      </c>
      <c r="T344" s="66">
        <f>IFERROR(__xludf.DUMMYFUNCTION("IF(COUNTA(Q344:Q1350)=0,"""",IF(REGEXMATCH(INDEX(FILTER(Q$4:Q344,Q$4:Q344&lt;&gt;""""),ROWS(FILTER(Q$4:Q344,Q$4:Q344&lt;&gt;""""))),""^Sell_""),INDEX(FILTER(T$4:T343,Q$4:Q343&lt;&gt;""""),ROWS(FILTER(Q$4:Q343,Q$4:Q343&lt;&gt;""""))),$AD$5+S344))"),271421.0)</f>
        <v>271421</v>
      </c>
      <c r="U344" s="10">
        <f>IFERROR(__xludf.DUMMYFUNCTION("IF(COUNTA(Q344:Q1350)=0,"""",IF(Q344="""",0,IF(REGEXMATCH(Q344,""^Sell_""),-ROUNDDOWN(ROUNDUP(INDEX(Upgrades!$C$3:$C$13,MATCH(SUBSTITUTE(Q344,""Sell_"",""""),Upgrades!$B$3:$B$13,0))*1.15^(COUNTIF(Q$4:Q343,SUBSTITUTE(Q344,""Sell_"",""""))-COUNTIF(Q$4:Q343,"&amp;"""Sell_""&amp;SUBSTITUTE(Q344,""Sell_"",""""))))/2),ROUNDUP(INDEX(Upgrades!$C$3:$C$13,MATCH(Q344,Upgrades!$B$3:$B$13,0))*1.15^(COUNTIF(Q$4:Q343,Q344)-COUNTIF(Q$4:Q343,""Sell_""&amp;Q344))))))"),13225.0)</f>
        <v>13225</v>
      </c>
      <c r="V344" s="10">
        <f t="shared" si="11"/>
        <v>13225</v>
      </c>
      <c r="W344" s="68">
        <f t="shared" si="12"/>
        <v>5157.787741</v>
      </c>
      <c r="X344" s="59" t="str">
        <f t="shared" si="13"/>
        <v>1h 25m 57s</v>
      </c>
      <c r="Y344" s="69">
        <f t="shared" si="14"/>
        <v>360004720</v>
      </c>
      <c r="Z344" s="11"/>
    </row>
    <row r="345">
      <c r="A345" s="8"/>
      <c r="B345" s="56" t="str">
        <f t="shared" si="2"/>
        <v/>
      </c>
      <c r="C345" s="57"/>
      <c r="D345" s="10" t="str">
        <f>IFERROR(__xludf.DUMMYFUNCTION("IF(COUNTA(C345:C1350)=0,"""",IF(ISBLANK(C345),FALSE,IF(NOT(COUNTIF($AA$24:$AA$34,SUBSTITUTE(C345,""Sell_"",""""))),1,IF(REGEXMATCH(C345,""Sell_""),IF(COUNTIF(C$4:C345,SUBSTITUTE(C345,""Sell_"",""""))-COUNTIF(C$4:C344,C345)&lt;1,1),FALSE))))"),"")</f>
        <v/>
      </c>
      <c r="E345" s="59" t="str">
        <f t="array" ref="E345">IF(COUNTA(C345:C1350)=0,"",SUM((COUNTIF(C$4:C345,Upgrades!$B$3:$B$13)-COUNTIF(C$4:C345,"Sell_"&amp;Upgrades!$B$3:$B$13))*Upgrades!$D$3:$D$13))</f>
        <v/>
      </c>
      <c r="F345" s="66" t="str">
        <f>IFERROR(__xludf.DUMMYFUNCTION("IF(COUNTA(C345:C1350)=0,"""",IF(REGEXMATCH(INDEX(FILTER(C$4:C345,C$4:C345&lt;&gt;""""),ROWS(FILTER(C$4:C345,C$4:C345&lt;&gt;""""))),""^Sell_""),INDEX(FILTER(F$4:F344,C$4:C344&lt;&gt;""""),ROWS(FILTER(C$4:C344,C$4:C344&lt;&gt;""""))),$AC$5+E345))"),"")</f>
        <v/>
      </c>
      <c r="G345" s="10" t="str">
        <f>IFERROR(__xludf.DUMMYFUNCTION("IF(COUNTA(C345:C1350)=0,"""",IF(C345="""",0,IF(REGEXMATCH(C345,""^Sell_""),-ROUNDDOWN(ROUNDUP(INDEX(Upgrades!$C$3:$C$13,MATCH(SUBSTITUTE(C345,""Sell_"",""""),Upgrades!$B$3:$B$13,0))*1.15^(COUNTIF(C$4:C344,SUBSTITUTE(C345,""Sell_"",""""))-COUNTIF(C$4:C344,"&amp;"""Sell_""&amp;SUBSTITUTE(C345,""Sell_"",""""))))/2),ROUNDUP(INDEX(Upgrades!$C$3:$C$13,MATCH(C345,Upgrades!$B$3:$B$13,0))*1.15^(COUNTIF(C$4:C344,C345)-COUNTIF(C$4:C344,""Sell_""&amp;C345))))))"),"")</f>
        <v/>
      </c>
      <c r="H345" s="10" t="str">
        <f t="shared" si="3"/>
        <v/>
      </c>
      <c r="I345" s="68" t="str">
        <f t="shared" si="4"/>
        <v/>
      </c>
      <c r="J345" s="59" t="str">
        <f t="shared" si="5"/>
        <v/>
      </c>
      <c r="K345" s="69" t="str">
        <f t="shared" si="6"/>
        <v/>
      </c>
      <c r="L345" s="60">
        <f t="shared" si="7"/>
        <v>-264.83027</v>
      </c>
      <c r="M345" s="61">
        <f>IFERROR(__xludf.DUMMYFUNCTION("IFS(AND(COUNTA(C345:C1350)=0,COUNTA(Q345:Q1350)=0),"""",OR(AND(K345&gt;=1000000000,OR(Y345&gt;=1000000000,COUNTA(Q345:Q1350)=0)),OR(Y345&gt;=1000000000,AND(COUNTA(C345:C1350)=0,P$3=TRUE))),
ROUNDDOWN((AB$1-AC$1)*MAX(INDEX(T$4:T1350,MATCH(LARGE(FILTER(Y$4:Y1350,Y$4"&amp;":Y1350&lt;1000000000),1),Y$4:Y1350)),INDEX(F$4:F1350,MATCH(LARGE(FILTER(K$4:K1350,K$4:K1350&lt;1000000000),1),K$4:K1350)))),AND(K345&lt;1000000000,COUNTA(C345:C1350)&gt;0,P$3=FALSE),
ROUNDDOWN(INDEX(Y$4:Y1350,MATCH(LARGE(FILTER(W$4:W1350,W$4:W1350&lt;=I345),1),W$4:W1350"&amp;"))+(I345-LARGE(FILTER(W$4:W1350,W$4:W1350&lt;=I345),1))*INDEX(T$4:T1350,MATCH(LARGE(FILTER(W$4:W1350,W$4:W1350&lt;=I345),1),W$4:W1350))-K345),1,
ROUNDDOWN(Y345-INDEX(K$4:K1350,MATCH(LARGE(FILTER(I$4:I1350,I$4:I1350&lt;=W345),1),I$4:I1350))-(W345-LARGE(FILTER(I$4:I"&amp;"1350,I$4:I1350&lt;=W345),1))*INDEX(F$4:F1350,MATCH(LARGE(FILTER(I$4:I1350,I$4:I1350&lt;=W345),1),I$4:I1350))))"),5.6303048E7)</f>
        <v>56303048</v>
      </c>
      <c r="N345" s="60">
        <f t="shared" si="8"/>
        <v>-264.83027</v>
      </c>
      <c r="O345" s="61" t="str">
        <f t="shared" si="9"/>
        <v>56,3M</v>
      </c>
      <c r="P345" s="56">
        <f t="shared" si="10"/>
        <v>4</v>
      </c>
      <c r="Q345" s="105" t="s">
        <v>7</v>
      </c>
      <c r="R345" s="10" t="b">
        <f>IFERROR(__xludf.DUMMYFUNCTION("IF(COUNTA(Q345:Q1350)=0,"""",IF(ISBLANK(Q345),FALSE,IF(NOT(COUNTIF($AA$24:$AA$34,SUBSTITUTE(Q345,""Sell_"",""""))),1,IF(REGEXMATCH(Q345,""Sell_""),IF(COUNTIF(Q$4:Q345,SUBSTITUTE(Q345,""Sell_"",""""))-COUNTIF(Q$4:Q344,Q345)&lt;1,1),FALSE))))"),FALSE)</f>
        <v>0</v>
      </c>
      <c r="S345" s="59">
        <f t="array" ref="S345">IF(COUNTA(Q345:Q1350)=0,"",SUM((COUNTIF(Q$4:Q345,Upgrades!$B$3:$B$13)-COUNTIF(Q$4:Q345,"Sell_"&amp;Upgrades!$B$3:$B$13))*Upgrades!$D$3:$D$13))</f>
        <v>271261</v>
      </c>
      <c r="T345" s="66">
        <f>IFERROR(__xludf.DUMMYFUNCTION("IF(COUNTA(Q345:Q1350)=0,"""",IF(REGEXMATCH(INDEX(FILTER(Q$4:Q345,Q$4:Q345&lt;&gt;""""),ROWS(FILTER(Q$4:Q345,Q$4:Q345&lt;&gt;""""))),""^Sell_""),INDEX(FILTER(T$4:T344,Q$4:Q344&lt;&gt;""""),ROWS(FILTER(Q$4:Q344,Q$4:Q344&lt;&gt;""""))),$AD$5+S345))"),271461.0)</f>
        <v>271461</v>
      </c>
      <c r="U345" s="10">
        <f>IFERROR(__xludf.DUMMYFUNCTION("IF(COUNTA(Q345:Q1350)=0,"""",IF(Q345="""",0,IF(REGEXMATCH(Q345,""^Sell_""),-ROUNDDOWN(ROUNDUP(INDEX(Upgrades!$C$3:$C$13,MATCH(SUBSTITUTE(Q345,""Sell_"",""""),Upgrades!$B$3:$B$13,0))*1.15^(COUNTIF(Q$4:Q344,SUBSTITUTE(Q345,""Sell_"",""""))-COUNTIF(Q$4:Q344,"&amp;"""Sell_""&amp;SUBSTITUTE(Q345,""Sell_"",""""))))/2),ROUNDUP(INDEX(Upgrades!$C$3:$C$13,MATCH(Q345,Upgrades!$B$3:$B$13,0))*1.15^(COUNTIF(Q$4:Q344,Q345)-COUNTIF(Q$4:Q344,""Sell_""&amp;Q345))))))"),15209.0)</f>
        <v>15209</v>
      </c>
      <c r="V345" s="10">
        <f t="shared" si="11"/>
        <v>15209</v>
      </c>
      <c r="W345" s="68">
        <f t="shared" si="12"/>
        <v>5157.843776</v>
      </c>
      <c r="X345" s="59" t="str">
        <f t="shared" si="13"/>
        <v>1h 25m 57s</v>
      </c>
      <c r="Y345" s="69">
        <f t="shared" si="14"/>
        <v>360019929</v>
      </c>
      <c r="Z345" s="11"/>
    </row>
    <row r="346">
      <c r="A346" s="8"/>
      <c r="B346" s="56" t="str">
        <f t="shared" si="2"/>
        <v/>
      </c>
      <c r="C346" s="57"/>
      <c r="D346" s="10" t="str">
        <f>IFERROR(__xludf.DUMMYFUNCTION("IF(COUNTA(C346:C1350)=0,"""",IF(ISBLANK(C346),FALSE,IF(NOT(COUNTIF($AA$24:$AA$34,SUBSTITUTE(C346,""Sell_"",""""))),1,IF(REGEXMATCH(C346,""Sell_""),IF(COUNTIF(C$4:C346,SUBSTITUTE(C346,""Sell_"",""""))-COUNTIF(C$4:C345,C346)&lt;1,1),FALSE))))"),"")</f>
        <v/>
      </c>
      <c r="E346" s="59" t="str">
        <f t="array" ref="E346">IF(COUNTA(C346:C1350)=0,"",SUM((COUNTIF(C$4:C346,Upgrades!$B$3:$B$13)-COUNTIF(C$4:C346,"Sell_"&amp;Upgrades!$B$3:$B$13))*Upgrades!$D$3:$D$13))</f>
        <v/>
      </c>
      <c r="F346" s="66" t="str">
        <f>IFERROR(__xludf.DUMMYFUNCTION("IF(COUNTA(C346:C1350)=0,"""",IF(REGEXMATCH(INDEX(FILTER(C$4:C346,C$4:C346&lt;&gt;""""),ROWS(FILTER(C$4:C346,C$4:C346&lt;&gt;""""))),""^Sell_""),INDEX(FILTER(F$4:F345,C$4:C345&lt;&gt;""""),ROWS(FILTER(C$4:C345,C$4:C345&lt;&gt;""""))),$AC$5+E346))"),"")</f>
        <v/>
      </c>
      <c r="G346" s="10" t="str">
        <f>IFERROR(__xludf.DUMMYFUNCTION("IF(COUNTA(C346:C1350)=0,"""",IF(C346="""",0,IF(REGEXMATCH(C346,""^Sell_""),-ROUNDDOWN(ROUNDUP(INDEX(Upgrades!$C$3:$C$13,MATCH(SUBSTITUTE(C346,""Sell_"",""""),Upgrades!$B$3:$B$13,0))*1.15^(COUNTIF(C$4:C345,SUBSTITUTE(C346,""Sell_"",""""))-COUNTIF(C$4:C345,"&amp;"""Sell_""&amp;SUBSTITUTE(C346,""Sell_"",""""))))/2),ROUNDUP(INDEX(Upgrades!$C$3:$C$13,MATCH(C346,Upgrades!$B$3:$B$13,0))*1.15^(COUNTIF(C$4:C345,C346)-COUNTIF(C$4:C345,""Sell_""&amp;C346))))))"),"")</f>
        <v/>
      </c>
      <c r="H346" s="10" t="str">
        <f t="shared" si="3"/>
        <v/>
      </c>
      <c r="I346" s="68" t="str">
        <f t="shared" si="4"/>
        <v/>
      </c>
      <c r="J346" s="59" t="str">
        <f t="shared" si="5"/>
        <v/>
      </c>
      <c r="K346" s="69" t="str">
        <f t="shared" si="6"/>
        <v/>
      </c>
      <c r="L346" s="60">
        <f t="shared" si="7"/>
        <v>-264.87107</v>
      </c>
      <c r="M346" s="61">
        <f>IFERROR(__xludf.DUMMYFUNCTION("IFS(AND(COUNTA(C346:C1350)=0,COUNTA(Q346:Q1350)=0),"""",OR(AND(K346&gt;=1000000000,OR(Y346&gt;=1000000000,COUNTA(Q346:Q1350)=0)),OR(Y346&gt;=1000000000,AND(COUNTA(C346:C1350)=0,P$3=TRUE))),
ROUNDDOWN((AB$1-AC$1)*MAX(INDEX(T$4:T1350,MATCH(LARGE(FILTER(Y$4:Y1350,Y$4"&amp;":Y1350&lt;1000000000),1),Y$4:Y1350)),INDEX(F$4:F1350,MATCH(LARGE(FILTER(K$4:K1350,K$4:K1350&lt;1000000000),1),K$4:K1350)))),AND(K346&lt;1000000000,COUNTA(C346:C1350)&gt;0,P$3=FALSE),
ROUNDDOWN(INDEX(Y$4:Y1350,MATCH(LARGE(FILTER(W$4:W1350,W$4:W1350&lt;=I346),1),W$4:W1350"&amp;"))+(I346-LARGE(FILTER(W$4:W1350,W$4:W1350&lt;=I346),1))*INDEX(T$4:T1350,MATCH(LARGE(FILTER(W$4:W1350,W$4:W1350&lt;=I346),1),W$4:W1350))-K346),1,
ROUNDDOWN(Y346-INDEX(K$4:K1350,MATCH(LARGE(FILTER(I$4:I1350,I$4:I1350&lt;=W346),1),I$4:I1350))-(W346-LARGE(FILTER(I$4:I"&amp;"1350,I$4:I1350&lt;=W346),1))*INDEX(F$4:F1350,MATCH(LARGE(FILTER(I$4:I1350,I$4:I1350&lt;=W346),1),I$4:I1350))))"),5.6311722E7)</f>
        <v>56311722</v>
      </c>
      <c r="N346" s="60">
        <f t="shared" si="8"/>
        <v>-264.87107</v>
      </c>
      <c r="O346" s="61" t="str">
        <f t="shared" si="9"/>
        <v>56,3M</v>
      </c>
      <c r="P346" s="56">
        <f t="shared" si="10"/>
        <v>1</v>
      </c>
      <c r="Q346" s="105" t="s">
        <v>8</v>
      </c>
      <c r="R346" s="10" t="b">
        <f>IFERROR(__xludf.DUMMYFUNCTION("IF(COUNTA(Q346:Q1350)=0,"""",IF(ISBLANK(Q346),FALSE,IF(NOT(COUNTIF($AA$24:$AA$34,SUBSTITUTE(Q346,""Sell_"",""""))),1,IF(REGEXMATCH(Q346,""Sell_""),IF(COUNTIF(Q$4:Q346,SUBSTITUTE(Q346,""Sell_"",""""))-COUNTIF(Q$4:Q345,Q346)&lt;1,1),FALSE))))"),FALSE)</f>
        <v>0</v>
      </c>
      <c r="S346" s="59">
        <f t="array" ref="S346">IF(COUNTA(Q346:Q1350)=0,"",SUM((COUNTIF(Q$4:Q346,Upgrades!$B$3:$B$13)-COUNTIF(Q$4:Q346,"Sell_"&amp;Upgrades!$B$3:$B$13))*Upgrades!$D$3:$D$13))</f>
        <v>271361</v>
      </c>
      <c r="T346" s="66">
        <f>IFERROR(__xludf.DUMMYFUNCTION("IF(COUNTA(Q346:Q1350)=0,"""",IF(REGEXMATCH(INDEX(FILTER(Q$4:Q346,Q$4:Q346&lt;&gt;""""),ROWS(FILTER(Q$4:Q346,Q$4:Q346&lt;&gt;""""))),""^Sell_""),INDEX(FILTER(T$4:T345,Q$4:Q345&lt;&gt;""""),ROWS(FILTER(Q$4:Q345,Q$4:Q345&lt;&gt;""""))),$AD$5+S346))"),271561.0)</f>
        <v>271561</v>
      </c>
      <c r="U346" s="10">
        <f>IFERROR(__xludf.DUMMYFUNCTION("IF(COUNTA(Q346:Q1350)=0,"""",IF(Q346="""",0,IF(REGEXMATCH(Q346,""^Sell_""),-ROUNDDOWN(ROUNDUP(INDEX(Upgrades!$C$3:$C$13,MATCH(SUBSTITUTE(Q346,""Sell_"",""""),Upgrades!$B$3:$B$13,0))*1.15^(COUNTIF(Q$4:Q345,SUBSTITUTE(Q346,""Sell_"",""""))-COUNTIF(Q$4:Q345,"&amp;"""Sell_""&amp;SUBSTITUTE(Q346,""Sell_"",""""))))/2),ROUNDUP(INDEX(Upgrades!$C$3:$C$13,MATCH(Q346,Upgrades!$B$3:$B$13,0))*1.15^(COUNTIF(Q$4:Q345,Q346)-COUNTIF(Q$4:Q345,""Sell_""&amp;Q346))))))"),40000.0)</f>
        <v>40000</v>
      </c>
      <c r="V346" s="10">
        <f t="shared" si="11"/>
        <v>40000</v>
      </c>
      <c r="W346" s="68">
        <f t="shared" si="12"/>
        <v>5157.991126</v>
      </c>
      <c r="X346" s="59" t="str">
        <f t="shared" si="13"/>
        <v>1h 25m 57s</v>
      </c>
      <c r="Y346" s="69">
        <f t="shared" si="14"/>
        <v>360059929</v>
      </c>
      <c r="Z346" s="11"/>
    </row>
    <row r="347">
      <c r="A347" s="8"/>
      <c r="B347" s="56" t="str">
        <f t="shared" si="2"/>
        <v/>
      </c>
      <c r="C347" s="57"/>
      <c r="D347" s="10" t="str">
        <f>IFERROR(__xludf.DUMMYFUNCTION("IF(COUNTA(C347:C1350)=0,"""",IF(ISBLANK(C347),FALSE,IF(NOT(COUNTIF($AA$24:$AA$34,SUBSTITUTE(C347,""Sell_"",""""))),1,IF(REGEXMATCH(C347,""Sell_""),IF(COUNTIF(C$4:C347,SUBSTITUTE(C347,""Sell_"",""""))-COUNTIF(C$4:C346,C347)&lt;1,1),FALSE))))"),"")</f>
        <v/>
      </c>
      <c r="E347" s="59" t="str">
        <f t="array" ref="E347">IF(COUNTA(C347:C1350)=0,"",SUM((COUNTIF(C$4:C347,Upgrades!$B$3:$B$13)-COUNTIF(C$4:C347,"Sell_"&amp;Upgrades!$B$3:$B$13))*Upgrades!$D$3:$D$13))</f>
        <v/>
      </c>
      <c r="F347" s="66" t="str">
        <f>IFERROR(__xludf.DUMMYFUNCTION("IF(COUNTA(C347:C1350)=0,"""",IF(REGEXMATCH(INDEX(FILTER(C$4:C347,C$4:C347&lt;&gt;""""),ROWS(FILTER(C$4:C347,C$4:C347&lt;&gt;""""))),""^Sell_""),INDEX(FILTER(F$4:F346,C$4:C346&lt;&gt;""""),ROWS(FILTER(C$4:C346,C$4:C346&lt;&gt;""""))),$AC$5+E347))"),"")</f>
        <v/>
      </c>
      <c r="G347" s="10" t="str">
        <f>IFERROR(__xludf.DUMMYFUNCTION("IF(COUNTA(C347:C1350)=0,"""",IF(C347="""",0,IF(REGEXMATCH(C347,""^Sell_""),-ROUNDDOWN(ROUNDUP(INDEX(Upgrades!$C$3:$C$13,MATCH(SUBSTITUTE(C347,""Sell_"",""""),Upgrades!$B$3:$B$13,0))*1.15^(COUNTIF(C$4:C346,SUBSTITUTE(C347,""Sell_"",""""))-COUNTIF(C$4:C346,"&amp;"""Sell_""&amp;SUBSTITUTE(C347,""Sell_"",""""))))/2),ROUNDUP(INDEX(Upgrades!$C$3:$C$13,MATCH(C347,Upgrades!$B$3:$B$13,0))*1.15^(COUNTIF(C$4:C346,C347)-COUNTIF(C$4:C346,""Sell_""&amp;C347))))))"),"")</f>
        <v/>
      </c>
      <c r="H347" s="10" t="str">
        <f t="shared" si="3"/>
        <v/>
      </c>
      <c r="I347" s="68" t="str">
        <f t="shared" si="4"/>
        <v/>
      </c>
      <c r="J347" s="59" t="str">
        <f t="shared" si="5"/>
        <v/>
      </c>
      <c r="K347" s="69" t="str">
        <f t="shared" si="6"/>
        <v/>
      </c>
      <c r="L347" s="60">
        <f t="shared" si="7"/>
        <v>-264.88893</v>
      </c>
      <c r="M347" s="61">
        <f>IFERROR(__xludf.DUMMYFUNCTION("IFS(AND(COUNTA(C347:C1350)=0,COUNTA(Q347:Q1350)=0),"""",OR(AND(K347&gt;=1000000000,OR(Y347&gt;=1000000000,COUNTA(Q347:Q1350)=0)),OR(Y347&gt;=1000000000,AND(COUNTA(C347:C1350)=0,P$3=TRUE))),
ROUNDDOWN((AB$1-AC$1)*MAX(INDEX(T$4:T1350,MATCH(LARGE(FILTER(Y$4:Y1350,Y$4"&amp;":Y1350&lt;1000000000),1),Y$4:Y1350)),INDEX(F$4:F1350,MATCH(LARGE(FILTER(K$4:K1350,K$4:K1350&lt;1000000000),1),K$4:K1350)))),AND(K347&lt;1000000000,COUNTA(C347:C1350)&gt;0,P$3=FALSE),
ROUNDDOWN(INDEX(Y$4:Y1350,MATCH(LARGE(FILTER(W$4:W1350,W$4:W1350&lt;=I347),1),W$4:W1350"&amp;"))+(I347-LARGE(FILTER(W$4:W1350,W$4:W1350&lt;=I347),1))*INDEX(T$4:T1350,MATCH(LARGE(FILTER(W$4:W1350,W$4:W1350&lt;=I347),1),W$4:W1350))-K347),1,
ROUNDDOWN(Y347-INDEX(K$4:K1350,MATCH(LARGE(FILTER(I$4:I1350,I$4:I1350&lt;=W347),1),I$4:I1350))-(W347-LARGE(FILTER(I$4:I"&amp;"1350,I$4:I1350&lt;=W347),1))*INDEX(F$4:F1350,MATCH(LARGE(FILTER(I$4:I1350,I$4:I1350&lt;=W347),1),I$4:I1350))))"),5.6315519E7)</f>
        <v>56315519</v>
      </c>
      <c r="N347" s="60">
        <f t="shared" si="8"/>
        <v>-264.88893</v>
      </c>
      <c r="O347" s="61" t="str">
        <f t="shared" si="9"/>
        <v>56,3M</v>
      </c>
      <c r="P347" s="56">
        <f t="shared" si="10"/>
        <v>5</v>
      </c>
      <c r="Q347" s="105" t="s">
        <v>7</v>
      </c>
      <c r="R347" s="10" t="b">
        <f>IFERROR(__xludf.DUMMYFUNCTION("IF(COUNTA(Q347:Q1350)=0,"""",IF(ISBLANK(Q347),FALSE,IF(NOT(COUNTIF($AA$24:$AA$34,SUBSTITUTE(Q347,""Sell_"",""""))),1,IF(REGEXMATCH(Q347,""Sell_""),IF(COUNTIF(Q$4:Q347,SUBSTITUTE(Q347,""Sell_"",""""))-COUNTIF(Q$4:Q346,Q347)&lt;1,1),FALSE))))"),FALSE)</f>
        <v>0</v>
      </c>
      <c r="S347" s="59">
        <f t="array" ref="S347">IF(COUNTA(Q347:Q1350)=0,"",SUM((COUNTIF(Q$4:Q347,Upgrades!$B$3:$B$13)-COUNTIF(Q$4:Q347,"Sell_"&amp;Upgrades!$B$3:$B$13))*Upgrades!$D$3:$D$13))</f>
        <v>271401</v>
      </c>
      <c r="T347" s="66">
        <f>IFERROR(__xludf.DUMMYFUNCTION("IF(COUNTA(Q347:Q1350)=0,"""",IF(REGEXMATCH(INDEX(FILTER(Q$4:Q347,Q$4:Q347&lt;&gt;""""),ROWS(FILTER(Q$4:Q347,Q$4:Q347&lt;&gt;""""))),""^Sell_""),INDEX(FILTER(T$4:T346,Q$4:Q346&lt;&gt;""""),ROWS(FILTER(Q$4:Q346,Q$4:Q346&lt;&gt;""""))),$AD$5+S347))"),271601.0)</f>
        <v>271601</v>
      </c>
      <c r="U347" s="10">
        <f>IFERROR(__xludf.DUMMYFUNCTION("IF(COUNTA(Q347:Q1350)=0,"""",IF(Q347="""",0,IF(REGEXMATCH(Q347,""^Sell_""),-ROUNDDOWN(ROUNDUP(INDEX(Upgrades!$C$3:$C$13,MATCH(SUBSTITUTE(Q347,""Sell_"",""""),Upgrades!$B$3:$B$13,0))*1.15^(COUNTIF(Q$4:Q346,SUBSTITUTE(Q347,""Sell_"",""""))-COUNTIF(Q$4:Q346,"&amp;"""Sell_""&amp;SUBSTITUTE(Q347,""Sell_"",""""))))/2),ROUNDUP(INDEX(Upgrades!$C$3:$C$13,MATCH(Q347,Upgrades!$B$3:$B$13,0))*1.15^(COUNTIF(Q$4:Q346,Q347)-COUNTIF(Q$4:Q346,""Sell_""&amp;Q347))))))"),17491.0)</f>
        <v>17491</v>
      </c>
      <c r="V347" s="10">
        <f t="shared" si="11"/>
        <v>17491</v>
      </c>
      <c r="W347" s="68">
        <f t="shared" si="12"/>
        <v>5158.055535</v>
      </c>
      <c r="X347" s="59" t="str">
        <f t="shared" si="13"/>
        <v>1h 25m 58s</v>
      </c>
      <c r="Y347" s="69">
        <f t="shared" si="14"/>
        <v>360077420</v>
      </c>
      <c r="Z347" s="11"/>
    </row>
    <row r="348">
      <c r="A348" s="8"/>
      <c r="B348" s="56" t="str">
        <f t="shared" si="2"/>
        <v/>
      </c>
      <c r="C348" s="57"/>
      <c r="D348" s="10" t="str">
        <f>IFERROR(__xludf.DUMMYFUNCTION("IF(COUNTA(C348:C1350)=0,"""",IF(ISBLANK(C348),FALSE,IF(NOT(COUNTIF($AA$24:$AA$34,SUBSTITUTE(C348,""Sell_"",""""))),1,IF(REGEXMATCH(C348,""Sell_""),IF(COUNTIF(C$4:C348,SUBSTITUTE(C348,""Sell_"",""""))-COUNTIF(C$4:C347,C348)&lt;1,1),FALSE))))"),"")</f>
        <v/>
      </c>
      <c r="E348" s="59" t="str">
        <f t="array" ref="E348">IF(COUNTA(C348:C1350)=0,"",SUM((COUNTIF(C$4:C348,Upgrades!$B$3:$B$13)-COUNTIF(C$4:C348,"Sell_"&amp;Upgrades!$B$3:$B$13))*Upgrades!$D$3:$D$13))</f>
        <v/>
      </c>
      <c r="F348" s="66" t="str">
        <f>IFERROR(__xludf.DUMMYFUNCTION("IF(COUNTA(C348:C1350)=0,"""",IF(REGEXMATCH(INDEX(FILTER(C$4:C348,C$4:C348&lt;&gt;""""),ROWS(FILTER(C$4:C348,C$4:C348&lt;&gt;""""))),""^Sell_""),INDEX(FILTER(F$4:F347,C$4:C347&lt;&gt;""""),ROWS(FILTER(C$4:C347,C$4:C347&lt;&gt;""""))),$AC$5+E348))"),"")</f>
        <v/>
      </c>
      <c r="G348" s="10" t="str">
        <f>IFERROR(__xludf.DUMMYFUNCTION("IF(COUNTA(C348:C1350)=0,"""",IF(C348="""",0,IF(REGEXMATCH(C348,""^Sell_""),-ROUNDDOWN(ROUNDUP(INDEX(Upgrades!$C$3:$C$13,MATCH(SUBSTITUTE(C348,""Sell_"",""""),Upgrades!$B$3:$B$13,0))*1.15^(COUNTIF(C$4:C347,SUBSTITUTE(C348,""Sell_"",""""))-COUNTIF(C$4:C347,"&amp;"""Sell_""&amp;SUBSTITUTE(C348,""Sell_"",""""))))/2),ROUNDUP(INDEX(Upgrades!$C$3:$C$13,MATCH(C348,Upgrades!$B$3:$B$13,0))*1.15^(COUNTIF(C$4:C347,C348)-COUNTIF(C$4:C347,""Sell_""&amp;C348))))))"),"")</f>
        <v/>
      </c>
      <c r="H348" s="10" t="str">
        <f t="shared" si="3"/>
        <v/>
      </c>
      <c r="I348" s="68" t="str">
        <f t="shared" si="4"/>
        <v/>
      </c>
      <c r="J348" s="59" t="str">
        <f t="shared" si="5"/>
        <v/>
      </c>
      <c r="K348" s="69" t="str">
        <f t="shared" si="6"/>
        <v/>
      </c>
      <c r="L348" s="60">
        <f t="shared" si="7"/>
        <v>-264.93593</v>
      </c>
      <c r="M348" s="61">
        <f>IFERROR(__xludf.DUMMYFUNCTION("IFS(AND(COUNTA(C348:C1350)=0,COUNTA(Q348:Q1350)=0),"""",OR(AND(K348&gt;=1000000000,OR(Y348&gt;=1000000000,COUNTA(Q348:Q1350)=0)),OR(Y348&gt;=1000000000,AND(COUNTA(C348:C1350)=0,P$3=TRUE))),
ROUNDDOWN((AB$1-AC$1)*MAX(INDEX(T$4:T1350,MATCH(LARGE(FILTER(Y$4:Y1350,Y$4"&amp;":Y1350&lt;1000000000),1),Y$4:Y1350)),INDEX(F$4:F1350,MATCH(LARGE(FILTER(K$4:K1350,K$4:K1350&lt;1000000000),1),K$4:K1350)))),AND(K348&lt;1000000000,COUNTA(C348:C1350)&gt;0,P$3=FALSE),
ROUNDDOWN(INDEX(Y$4:Y1350,MATCH(LARGE(FILTER(W$4:W1350,W$4:W1350&lt;=I348),1),W$4:W1350"&amp;"))+(I348-LARGE(FILTER(W$4:W1350,W$4:W1350&lt;=I348),1))*INDEX(T$4:T1350,MATCH(LARGE(FILTER(W$4:W1350,W$4:W1350&lt;=I348),1),W$4:W1350))-K348),1,
ROUNDDOWN(Y348-INDEX(K$4:K1350,MATCH(LARGE(FILTER(I$4:I1350,I$4:I1350&lt;=W348),1),I$4:I1350))-(W348-LARGE(FILTER(I$4:I"&amp;"1350,I$4:I1350&lt;=W348),1))*INDEX(F$4:F1350,MATCH(LARGE(FILTER(I$4:I1350,I$4:I1350&lt;=W348),1),I$4:I1350))))"),5.6325512E7)</f>
        <v>56325512</v>
      </c>
      <c r="N348" s="60">
        <f t="shared" si="8"/>
        <v>-264.93593</v>
      </c>
      <c r="O348" s="61" t="str">
        <f t="shared" si="9"/>
        <v>56,3M</v>
      </c>
      <c r="P348" s="56">
        <f t="shared" si="10"/>
        <v>2</v>
      </c>
      <c r="Q348" s="105" t="s">
        <v>8</v>
      </c>
      <c r="R348" s="10" t="b">
        <f>IFERROR(__xludf.DUMMYFUNCTION("IF(COUNTA(Q348:Q1350)=0,"""",IF(ISBLANK(Q348),FALSE,IF(NOT(COUNTIF($AA$24:$AA$34,SUBSTITUTE(Q348,""Sell_"",""""))),1,IF(REGEXMATCH(Q348,""Sell_""),IF(COUNTIF(Q$4:Q348,SUBSTITUTE(Q348,""Sell_"",""""))-COUNTIF(Q$4:Q347,Q348)&lt;1,1),FALSE))))"),FALSE)</f>
        <v>0</v>
      </c>
      <c r="S348" s="59">
        <f t="array" ref="S348">IF(COUNTA(Q348:Q1350)=0,"",SUM((COUNTIF(Q$4:Q348,Upgrades!$B$3:$B$13)-COUNTIF(Q$4:Q348,"Sell_"&amp;Upgrades!$B$3:$B$13))*Upgrades!$D$3:$D$13))</f>
        <v>271501</v>
      </c>
      <c r="T348" s="66">
        <f>IFERROR(__xludf.DUMMYFUNCTION("IF(COUNTA(Q348:Q1350)=0,"""",IF(REGEXMATCH(INDEX(FILTER(Q$4:Q348,Q$4:Q348&lt;&gt;""""),ROWS(FILTER(Q$4:Q348,Q$4:Q348&lt;&gt;""""))),""^Sell_""),INDEX(FILTER(T$4:T347,Q$4:Q347&lt;&gt;""""),ROWS(FILTER(Q$4:Q347,Q$4:Q347&lt;&gt;""""))),$AD$5+S348))"),271701.0)</f>
        <v>271701</v>
      </c>
      <c r="U348" s="10">
        <f>IFERROR(__xludf.DUMMYFUNCTION("IF(COUNTA(Q348:Q1350)=0,"""",IF(Q348="""",0,IF(REGEXMATCH(Q348,""^Sell_""),-ROUNDDOWN(ROUNDUP(INDEX(Upgrades!$C$3:$C$13,MATCH(SUBSTITUTE(Q348,""Sell_"",""""),Upgrades!$B$3:$B$13,0))*1.15^(COUNTIF(Q$4:Q347,SUBSTITUTE(Q348,""Sell_"",""""))-COUNTIF(Q$4:Q347,"&amp;"""Sell_""&amp;SUBSTITUTE(Q348,""Sell_"",""""))))/2),ROUNDUP(INDEX(Upgrades!$C$3:$C$13,MATCH(Q348,Upgrades!$B$3:$B$13,0))*1.15^(COUNTIF(Q$4:Q347,Q348)-COUNTIF(Q$4:Q347,""Sell_""&amp;Q348))))))"),46000.0)</f>
        <v>46000</v>
      </c>
      <c r="V348" s="10">
        <f t="shared" si="11"/>
        <v>46000</v>
      </c>
      <c r="W348" s="68">
        <f t="shared" si="12"/>
        <v>5158.224902</v>
      </c>
      <c r="X348" s="59" t="str">
        <f t="shared" si="13"/>
        <v>1h 25m 58s</v>
      </c>
      <c r="Y348" s="69">
        <f t="shared" si="14"/>
        <v>360123420</v>
      </c>
      <c r="Z348" s="11"/>
    </row>
    <row r="349">
      <c r="A349" s="8"/>
      <c r="B349" s="56" t="str">
        <f t="shared" si="2"/>
        <v/>
      </c>
      <c r="C349" s="57"/>
      <c r="D349" s="10" t="str">
        <f>IFERROR(__xludf.DUMMYFUNCTION("IF(COUNTA(C349:C1350)=0,"""",IF(ISBLANK(C349),FALSE,IF(NOT(COUNTIF($AA$24:$AA$34,SUBSTITUTE(C349,""Sell_"",""""))),1,IF(REGEXMATCH(C349,""Sell_""),IF(COUNTIF(C$4:C349,SUBSTITUTE(C349,""Sell_"",""""))-COUNTIF(C$4:C348,C349)&lt;1,1),FALSE))))"),"")</f>
        <v/>
      </c>
      <c r="E349" s="59" t="str">
        <f t="array" ref="E349">IF(COUNTA(C349:C1350)=0,"",SUM((COUNTIF(C$4:C349,Upgrades!$B$3:$B$13)-COUNTIF(C$4:C349,"Sell_"&amp;Upgrades!$B$3:$B$13))*Upgrades!$D$3:$D$13))</f>
        <v/>
      </c>
      <c r="F349" s="66" t="str">
        <f>IFERROR(__xludf.DUMMYFUNCTION("IF(COUNTA(C349:C1350)=0,"""",IF(REGEXMATCH(INDEX(FILTER(C$4:C349,C$4:C349&lt;&gt;""""),ROWS(FILTER(C$4:C349,C$4:C349&lt;&gt;""""))),""^Sell_""),INDEX(FILTER(F$4:F348,C$4:C348&lt;&gt;""""),ROWS(FILTER(C$4:C348,C$4:C348&lt;&gt;""""))),$AC$5+E349))"),"")</f>
        <v/>
      </c>
      <c r="G349" s="10" t="str">
        <f>IFERROR(__xludf.DUMMYFUNCTION("IF(COUNTA(C349:C1350)=0,"""",IF(C349="""",0,IF(REGEXMATCH(C349,""^Sell_""),-ROUNDDOWN(ROUNDUP(INDEX(Upgrades!$C$3:$C$13,MATCH(SUBSTITUTE(C349,""Sell_"",""""),Upgrades!$B$3:$B$13,0))*1.15^(COUNTIF(C$4:C348,SUBSTITUTE(C349,""Sell_"",""""))-COUNTIF(C$4:C348,"&amp;"""Sell_""&amp;SUBSTITUTE(C349,""Sell_"",""""))))/2),ROUNDUP(INDEX(Upgrades!$C$3:$C$13,MATCH(C349,Upgrades!$B$3:$B$13,0))*1.15^(COUNTIF(C$4:C348,C349)-COUNTIF(C$4:C348,""Sell_""&amp;C349))))))"),"")</f>
        <v/>
      </c>
      <c r="H349" s="10" t="str">
        <f t="shared" si="3"/>
        <v/>
      </c>
      <c r="I349" s="68" t="str">
        <f t="shared" si="4"/>
        <v/>
      </c>
      <c r="J349" s="59" t="str">
        <f t="shared" si="5"/>
        <v/>
      </c>
      <c r="K349" s="69" t="str">
        <f t="shared" si="6"/>
        <v/>
      </c>
      <c r="L349" s="60">
        <f t="shared" si="7"/>
        <v>-265.14056</v>
      </c>
      <c r="M349" s="61">
        <f>IFERROR(__xludf.DUMMYFUNCTION("IFS(AND(COUNTA(C349:C1350)=0,COUNTA(Q349:Q1350)=0),"""",OR(AND(K349&gt;=1000000000,OR(Y349&gt;=1000000000,COUNTA(Q349:Q1350)=0)),OR(Y349&gt;=1000000000,AND(COUNTA(C349:C1350)=0,P$3=TRUE))),
ROUNDDOWN((AB$1-AC$1)*MAX(INDEX(T$4:T1350,MATCH(LARGE(FILTER(Y$4:Y1350,Y$4"&amp;":Y1350&lt;1000000000),1),Y$4:Y1350)),INDEX(F$4:F1350,MATCH(LARGE(FILTER(K$4:K1350,K$4:K1350&lt;1000000000),1),K$4:K1350)))),AND(K349&lt;1000000000,COUNTA(C349:C1350)&gt;0,P$3=FALSE),
ROUNDDOWN(INDEX(Y$4:Y1350,MATCH(LARGE(FILTER(W$4:W1350,W$4:W1350&lt;=I349),1),W$4:W1350"&amp;"))+(I349-LARGE(FILTER(W$4:W1350,W$4:W1350&lt;=I349),1))*INDEX(T$4:T1350,MATCH(LARGE(FILTER(W$4:W1350,W$4:W1350&lt;=I349),1),W$4:W1350))-K349),1,
ROUNDDOWN(Y349-INDEX(K$4:K1350,MATCH(LARGE(FILTER(I$4:I1350,I$4:I1350&lt;=W349),1),I$4:I1350))-(W349-LARGE(FILTER(I$4:I"&amp;"1350,I$4:I1350&lt;=W349),1))*INDEX(F$4:F1350,MATCH(LARGE(FILTER(I$4:I1350,I$4:I1350&lt;=W349),1),I$4:I1350))))"),5.6369016E7)</f>
        <v>56369016</v>
      </c>
      <c r="N349" s="60">
        <f t="shared" si="8"/>
        <v>-265.14056</v>
      </c>
      <c r="O349" s="61" t="str">
        <f t="shared" si="9"/>
        <v>56,4M</v>
      </c>
      <c r="P349" s="56">
        <f t="shared" si="10"/>
        <v>1</v>
      </c>
      <c r="Q349" s="105" t="s">
        <v>9</v>
      </c>
      <c r="R349" s="10" t="b">
        <f>IFERROR(__xludf.DUMMYFUNCTION("IF(COUNTA(Q349:Q1350)=0,"""",IF(ISBLANK(Q349),FALSE,IF(NOT(COUNTIF($AA$24:$AA$34,SUBSTITUTE(Q349,""Sell_"",""""))),1,IF(REGEXMATCH(Q349,""Sell_""),IF(COUNTIF(Q$4:Q349,SUBSTITUTE(Q349,""Sell_"",""""))-COUNTIF(Q$4:Q348,Q349)&lt;1,1),FALSE))))"),FALSE)</f>
        <v>0</v>
      </c>
      <c r="S349" s="59">
        <f t="array" ref="S349">IF(COUNTA(Q349:Q1350)=0,"",SUM((COUNTIF(Q$4:Q349,Upgrades!$B$3:$B$13)-COUNTIF(Q$4:Q349,"Sell_"&amp;Upgrades!$B$3:$B$13))*Upgrades!$D$3:$D$13))</f>
        <v>271901</v>
      </c>
      <c r="T349" s="66">
        <f>IFERROR(__xludf.DUMMYFUNCTION("IF(COUNTA(Q349:Q1350)=0,"""",IF(REGEXMATCH(INDEX(FILTER(Q$4:Q349,Q$4:Q349&lt;&gt;""""),ROWS(FILTER(Q$4:Q349,Q$4:Q349&lt;&gt;""""))),""^Sell_""),INDEX(FILTER(T$4:T348,Q$4:Q348&lt;&gt;""""),ROWS(FILTER(Q$4:Q348,Q$4:Q348&lt;&gt;""""))),$AD$5+S349))"),272101.0)</f>
        <v>272101</v>
      </c>
      <c r="U349" s="10">
        <f>IFERROR(__xludf.DUMMYFUNCTION("IF(COUNTA(Q349:Q1350)=0,"""",IF(Q349="""",0,IF(REGEXMATCH(Q349,""^Sell_""),-ROUNDDOWN(ROUNDUP(INDEX(Upgrades!$C$3:$C$13,MATCH(SUBSTITUTE(Q349,""Sell_"",""""),Upgrades!$B$3:$B$13,0))*1.15^(COUNTIF(Q$4:Q348,SUBSTITUTE(Q349,""Sell_"",""""))-COUNTIF(Q$4:Q348,"&amp;"""Sell_""&amp;SUBSTITUTE(Q349,""Sell_"",""""))))/2),ROUNDUP(INDEX(Upgrades!$C$3:$C$13,MATCH(Q349,Upgrades!$B$3:$B$13,0))*1.15^(COUNTIF(Q$4:Q348,Q349)-COUNTIF(Q$4:Q348,""Sell_""&amp;Q349))))))"),200000.0)</f>
        <v>200000</v>
      </c>
      <c r="V349" s="10">
        <f t="shared" si="11"/>
        <v>200000</v>
      </c>
      <c r="W349" s="68">
        <f t="shared" si="12"/>
        <v>5158.961005</v>
      </c>
      <c r="X349" s="59" t="str">
        <f t="shared" si="13"/>
        <v>1h 25m 58s</v>
      </c>
      <c r="Y349" s="69">
        <f t="shared" si="14"/>
        <v>360323420</v>
      </c>
      <c r="Z349" s="11"/>
    </row>
    <row r="350">
      <c r="A350" s="8"/>
      <c r="B350" s="56" t="str">
        <f t="shared" si="2"/>
        <v/>
      </c>
      <c r="C350" s="57"/>
      <c r="D350" s="10" t="str">
        <f>IFERROR(__xludf.DUMMYFUNCTION("IF(COUNTA(C350:C1350)=0,"""",IF(ISBLANK(C350),FALSE,IF(NOT(COUNTIF($AA$24:$AA$34,SUBSTITUTE(C350,""Sell_"",""""))),1,IF(REGEXMATCH(C350,""Sell_""),IF(COUNTIF(C$4:C350,SUBSTITUTE(C350,""Sell_"",""""))-COUNTIF(C$4:C349,C350)&lt;1,1),FALSE))))"),"")</f>
        <v/>
      </c>
      <c r="E350" s="59" t="str">
        <f t="array" ref="E350">IF(COUNTA(C350:C1350)=0,"",SUM((COUNTIF(C$4:C350,Upgrades!$B$3:$B$13)-COUNTIF(C$4:C350,"Sell_"&amp;Upgrades!$B$3:$B$13))*Upgrades!$D$3:$D$13))</f>
        <v/>
      </c>
      <c r="F350" s="66" t="str">
        <f>IFERROR(__xludf.DUMMYFUNCTION("IF(COUNTA(C350:C1350)=0,"""",IF(REGEXMATCH(INDEX(FILTER(C$4:C350,C$4:C350&lt;&gt;""""),ROWS(FILTER(C$4:C350,C$4:C350&lt;&gt;""""))),""^Sell_""),INDEX(FILTER(F$4:F349,C$4:C349&lt;&gt;""""),ROWS(FILTER(C$4:C349,C$4:C349&lt;&gt;""""))),$AC$5+E350))"),"")</f>
        <v/>
      </c>
      <c r="G350" s="10" t="str">
        <f>IFERROR(__xludf.DUMMYFUNCTION("IF(COUNTA(C350:C1350)=0,"""",IF(C350="""",0,IF(REGEXMATCH(C350,""^Sell_""),-ROUNDDOWN(ROUNDUP(INDEX(Upgrades!$C$3:$C$13,MATCH(SUBSTITUTE(C350,""Sell_"",""""),Upgrades!$B$3:$B$13,0))*1.15^(COUNTIF(C$4:C349,SUBSTITUTE(C350,""Sell_"",""""))-COUNTIF(C$4:C349,"&amp;"""Sell_""&amp;SUBSTITUTE(C350,""Sell_"",""""))))/2),ROUNDUP(INDEX(Upgrades!$C$3:$C$13,MATCH(C350,Upgrades!$B$3:$B$13,0))*1.15^(COUNTIF(C$4:C349,C350)-COUNTIF(C$4:C349,""Sell_""&amp;C350))))))"),"")</f>
        <v/>
      </c>
      <c r="H350" s="10" t="str">
        <f t="shared" si="3"/>
        <v/>
      </c>
      <c r="I350" s="68" t="str">
        <f t="shared" si="4"/>
        <v/>
      </c>
      <c r="J350" s="59" t="str">
        <f t="shared" si="5"/>
        <v/>
      </c>
      <c r="K350" s="69" t="str">
        <f t="shared" si="6"/>
        <v/>
      </c>
      <c r="L350" s="60">
        <f t="shared" si="7"/>
        <v>-265.16125</v>
      </c>
      <c r="M350" s="61">
        <f>IFERROR(__xludf.DUMMYFUNCTION("IFS(AND(COUNTA(C350:C1350)=0,COUNTA(Q350:Q1350)=0),"""",OR(AND(K350&gt;=1000000000,OR(Y350&gt;=1000000000,COUNTA(Q350:Q1350)=0)),OR(Y350&gt;=1000000000,AND(COUNTA(C350:C1350)=0,P$3=TRUE))),
ROUNDDOWN((AB$1-AC$1)*MAX(INDEX(T$4:T1350,MATCH(LARGE(FILTER(Y$4:Y1350,Y$4"&amp;":Y1350&lt;1000000000),1),Y$4:Y1350)),INDEX(F$4:F1350,MATCH(LARGE(FILTER(K$4:K1350,K$4:K1350&lt;1000000000),1),K$4:K1350)))),AND(K350&lt;1000000000,COUNTA(C350:C1350)&gt;0,P$3=FALSE),
ROUNDDOWN(INDEX(Y$4:Y1350,MATCH(LARGE(FILTER(W$4:W1350,W$4:W1350&lt;=I350),1),W$4:W1350"&amp;"))+(I350-LARGE(FILTER(W$4:W1350,W$4:W1350&lt;=I350),1))*INDEX(T$4:T1350,MATCH(LARGE(FILTER(W$4:W1350,W$4:W1350&lt;=I350),1),W$4:W1350))-K350),1,
ROUNDDOWN(Y350-INDEX(K$4:K1350,MATCH(LARGE(FILTER(I$4:I1350,I$4:I1350&lt;=W350),1),I$4:I1350))-(W350-LARGE(FILTER(I$4:I"&amp;"1350,I$4:I1350&lt;=W350),1))*INDEX(F$4:F1350,MATCH(LARGE(FILTER(I$4:I1350,I$4:I1350&lt;=W350),1),I$4:I1350))))"),5.6373414E7)</f>
        <v>56373414</v>
      </c>
      <c r="N350" s="60">
        <f t="shared" si="8"/>
        <v>-265.16125</v>
      </c>
      <c r="O350" s="61" t="str">
        <f t="shared" si="9"/>
        <v>56,4M</v>
      </c>
      <c r="P350" s="56">
        <f t="shared" si="10"/>
        <v>6</v>
      </c>
      <c r="Q350" s="105" t="s">
        <v>7</v>
      </c>
      <c r="R350" s="10" t="b">
        <f>IFERROR(__xludf.DUMMYFUNCTION("IF(COUNTA(Q350:Q1350)=0,"""",IF(ISBLANK(Q350),FALSE,IF(NOT(COUNTIF($AA$24:$AA$34,SUBSTITUTE(Q350,""Sell_"",""""))),1,IF(REGEXMATCH(Q350,""Sell_""),IF(COUNTIF(Q$4:Q350,SUBSTITUTE(Q350,""Sell_"",""""))-COUNTIF(Q$4:Q349,Q350)&lt;1,1),FALSE))))"),FALSE)</f>
        <v>0</v>
      </c>
      <c r="S350" s="59">
        <f t="array" ref="S350">IF(COUNTA(Q350:Q1350)=0,"",SUM((COUNTIF(Q$4:Q350,Upgrades!$B$3:$B$13)-COUNTIF(Q$4:Q350,"Sell_"&amp;Upgrades!$B$3:$B$13))*Upgrades!$D$3:$D$13))</f>
        <v>271941</v>
      </c>
      <c r="T350" s="66">
        <f>IFERROR(__xludf.DUMMYFUNCTION("IF(COUNTA(Q350:Q1350)=0,"""",IF(REGEXMATCH(INDEX(FILTER(Q$4:Q350,Q$4:Q350&lt;&gt;""""),ROWS(FILTER(Q$4:Q350,Q$4:Q350&lt;&gt;""""))),""^Sell_""),INDEX(FILTER(T$4:T349,Q$4:Q349&lt;&gt;""""),ROWS(FILTER(Q$4:Q349,Q$4:Q349&lt;&gt;""""))),$AD$5+S350))"),272141.0)</f>
        <v>272141</v>
      </c>
      <c r="U350" s="10">
        <f>IFERROR(__xludf.DUMMYFUNCTION("IF(COUNTA(Q350:Q1350)=0,"""",IF(Q350="""",0,IF(REGEXMATCH(Q350,""^Sell_""),-ROUNDDOWN(ROUNDUP(INDEX(Upgrades!$C$3:$C$13,MATCH(SUBSTITUTE(Q350,""Sell_"",""""),Upgrades!$B$3:$B$13,0))*1.15^(COUNTIF(Q$4:Q349,SUBSTITUTE(Q350,""Sell_"",""""))-COUNTIF(Q$4:Q349,"&amp;"""Sell_""&amp;SUBSTITUTE(Q350,""Sell_"",""""))))/2),ROUNDUP(INDEX(Upgrades!$C$3:$C$13,MATCH(Q350,Upgrades!$B$3:$B$13,0))*1.15^(COUNTIF(Q$4:Q349,Q350)-COUNTIF(Q$4:Q349,""Sell_""&amp;Q350))))))"),20114.0)</f>
        <v>20114</v>
      </c>
      <c r="V350" s="10">
        <f t="shared" si="11"/>
        <v>20114</v>
      </c>
      <c r="W350" s="68">
        <f t="shared" si="12"/>
        <v>5159.034926</v>
      </c>
      <c r="X350" s="59" t="str">
        <f t="shared" si="13"/>
        <v>1h 25m 59s</v>
      </c>
      <c r="Y350" s="69">
        <f t="shared" si="14"/>
        <v>360343534</v>
      </c>
      <c r="Z350" s="11"/>
    </row>
    <row r="351">
      <c r="A351" s="8"/>
      <c r="B351" s="56" t="str">
        <f t="shared" si="2"/>
        <v/>
      </c>
      <c r="C351" s="57"/>
      <c r="D351" s="10" t="str">
        <f>IFERROR(__xludf.DUMMYFUNCTION("IF(COUNTA(C351:C1350)=0,"""",IF(ISBLANK(C351),FALSE,IF(NOT(COUNTIF($AA$24:$AA$34,SUBSTITUTE(C351,""Sell_"",""""))),1,IF(REGEXMATCH(C351,""Sell_""),IF(COUNTIF(C$4:C351,SUBSTITUTE(C351,""Sell_"",""""))-COUNTIF(C$4:C350,C351)&lt;1,1),FALSE))))"),"")</f>
        <v/>
      </c>
      <c r="E351" s="59" t="str">
        <f t="array" ref="E351">IF(COUNTA(C351:C1350)=0,"",SUM((COUNTIF(C$4:C351,Upgrades!$B$3:$B$13)-COUNTIF(C$4:C351,"Sell_"&amp;Upgrades!$B$3:$B$13))*Upgrades!$D$3:$D$13))</f>
        <v/>
      </c>
      <c r="F351" s="66" t="str">
        <f>IFERROR(__xludf.DUMMYFUNCTION("IF(COUNTA(C351:C1350)=0,"""",IF(REGEXMATCH(INDEX(FILTER(C$4:C351,C$4:C351&lt;&gt;""""),ROWS(FILTER(C$4:C351,C$4:C351&lt;&gt;""""))),""^Sell_""),INDEX(FILTER(F$4:F350,C$4:C350&lt;&gt;""""),ROWS(FILTER(C$4:C350,C$4:C350&lt;&gt;""""))),$AC$5+E351))"),"")</f>
        <v/>
      </c>
      <c r="G351" s="10" t="str">
        <f>IFERROR(__xludf.DUMMYFUNCTION("IF(COUNTA(C351:C1350)=0,"""",IF(C351="""",0,IF(REGEXMATCH(C351,""^Sell_""),-ROUNDDOWN(ROUNDUP(INDEX(Upgrades!$C$3:$C$13,MATCH(SUBSTITUTE(C351,""Sell_"",""""),Upgrades!$B$3:$B$13,0))*1.15^(COUNTIF(C$4:C350,SUBSTITUTE(C351,""Sell_"",""""))-COUNTIF(C$4:C350,"&amp;"""Sell_""&amp;SUBSTITUTE(C351,""Sell_"",""""))))/2),ROUNDUP(INDEX(Upgrades!$C$3:$C$13,MATCH(C351,Upgrades!$B$3:$B$13,0))*1.15^(COUNTIF(C$4:C350,C351)-COUNTIF(C$4:C350,""Sell_""&amp;C351))))))"),"")</f>
        <v/>
      </c>
      <c r="H351" s="10" t="str">
        <f t="shared" si="3"/>
        <v/>
      </c>
      <c r="I351" s="68" t="str">
        <f t="shared" si="4"/>
        <v/>
      </c>
      <c r="J351" s="59" t="str">
        <f t="shared" si="5"/>
        <v/>
      </c>
      <c r="K351" s="69" t="str">
        <f t="shared" si="6"/>
        <v/>
      </c>
      <c r="L351" s="60">
        <f t="shared" si="7"/>
        <v>-265.21569</v>
      </c>
      <c r="M351" s="61">
        <f>IFERROR(__xludf.DUMMYFUNCTION("IFS(AND(COUNTA(C351:C1350)=0,COUNTA(Q351:Q1350)=0),"""",OR(AND(K351&gt;=1000000000,OR(Y351&gt;=1000000000,COUNTA(Q351:Q1350)=0)),OR(Y351&gt;=1000000000,AND(COUNTA(C351:C1350)=0,P$3=TRUE))),
ROUNDDOWN((AB$1-AC$1)*MAX(INDEX(T$4:T1350,MATCH(LARGE(FILTER(Y$4:Y1350,Y$4"&amp;":Y1350&lt;1000000000),1),Y$4:Y1350)),INDEX(F$4:F1350,MATCH(LARGE(FILTER(K$4:K1350,K$4:K1350&lt;1000000000),1),K$4:K1350)))),AND(K351&lt;1000000000,COUNTA(C351:C1350)&gt;0,P$3=FALSE),
ROUNDDOWN(INDEX(Y$4:Y1350,MATCH(LARGE(FILTER(W$4:W1350,W$4:W1350&lt;=I351),1),W$4:W1350"&amp;"))+(I351-LARGE(FILTER(W$4:W1350,W$4:W1350&lt;=I351),1))*INDEX(T$4:T1350,MATCH(LARGE(FILTER(W$4:W1350,W$4:W1350&lt;=I351),1),W$4:W1350))-K351),1,
ROUNDDOWN(Y351-INDEX(K$4:K1350,MATCH(LARGE(FILTER(I$4:I1350,I$4:I1350&lt;=W351),1),I$4:I1350))-(W351-LARGE(FILTER(I$4:I"&amp;"1350,I$4:I1350&lt;=W351),1))*INDEX(F$4:F1350,MATCH(LARGE(FILTER(I$4:I1350,I$4:I1350&lt;=W351),1),I$4:I1350))))"),5.6384988E7)</f>
        <v>56384988</v>
      </c>
      <c r="N351" s="60">
        <f t="shared" si="8"/>
        <v>-265.21569</v>
      </c>
      <c r="O351" s="61" t="str">
        <f t="shared" si="9"/>
        <v>56,4M</v>
      </c>
      <c r="P351" s="56">
        <f t="shared" si="10"/>
        <v>3</v>
      </c>
      <c r="Q351" s="105" t="s">
        <v>8</v>
      </c>
      <c r="R351" s="10" t="b">
        <f>IFERROR(__xludf.DUMMYFUNCTION("IF(COUNTA(Q351:Q1350)=0,"""",IF(ISBLANK(Q351),FALSE,IF(NOT(COUNTIF($AA$24:$AA$34,SUBSTITUTE(Q351,""Sell_"",""""))),1,IF(REGEXMATCH(Q351,""Sell_""),IF(COUNTIF(Q$4:Q351,SUBSTITUTE(Q351,""Sell_"",""""))-COUNTIF(Q$4:Q350,Q351)&lt;1,1),FALSE))))"),FALSE)</f>
        <v>0</v>
      </c>
      <c r="S351" s="59">
        <f t="array" ref="S351">IF(COUNTA(Q351:Q1350)=0,"",SUM((COUNTIF(Q$4:Q351,Upgrades!$B$3:$B$13)-COUNTIF(Q$4:Q351,"Sell_"&amp;Upgrades!$B$3:$B$13))*Upgrades!$D$3:$D$13))</f>
        <v>272041</v>
      </c>
      <c r="T351" s="66">
        <f>IFERROR(__xludf.DUMMYFUNCTION("IF(COUNTA(Q351:Q1350)=0,"""",IF(REGEXMATCH(INDEX(FILTER(Q$4:Q351,Q$4:Q351&lt;&gt;""""),ROWS(FILTER(Q$4:Q351,Q$4:Q351&lt;&gt;""""))),""^Sell_""),INDEX(FILTER(T$4:T350,Q$4:Q350&lt;&gt;""""),ROWS(FILTER(Q$4:Q350,Q$4:Q350&lt;&gt;""""))),$AD$5+S351))"),272241.0)</f>
        <v>272241</v>
      </c>
      <c r="U351" s="10">
        <f>IFERROR(__xludf.DUMMYFUNCTION("IF(COUNTA(Q351:Q1350)=0,"""",IF(Q351="""",0,IF(REGEXMATCH(Q351,""^Sell_""),-ROUNDDOWN(ROUNDUP(INDEX(Upgrades!$C$3:$C$13,MATCH(SUBSTITUTE(Q351,""Sell_"",""""),Upgrades!$B$3:$B$13,0))*1.15^(COUNTIF(Q$4:Q350,SUBSTITUTE(Q351,""Sell_"",""""))-COUNTIF(Q$4:Q350,"&amp;"""Sell_""&amp;SUBSTITUTE(Q351,""Sell_"",""""))))/2),ROUNDUP(INDEX(Upgrades!$C$3:$C$13,MATCH(Q351,Upgrades!$B$3:$B$13,0))*1.15^(COUNTIF(Q$4:Q350,Q351)-COUNTIF(Q$4:Q350,""Sell_""&amp;Q351))))))"),52900.0)</f>
        <v>52900</v>
      </c>
      <c r="V351" s="10">
        <f t="shared" si="11"/>
        <v>52900</v>
      </c>
      <c r="W351" s="68">
        <f t="shared" si="12"/>
        <v>5159.22931</v>
      </c>
      <c r="X351" s="59" t="str">
        <f t="shared" si="13"/>
        <v>1h 25m 59s</v>
      </c>
      <c r="Y351" s="69">
        <f t="shared" si="14"/>
        <v>360396434</v>
      </c>
      <c r="Z351" s="11"/>
    </row>
    <row r="352">
      <c r="A352" s="8"/>
      <c r="B352" s="56" t="str">
        <f t="shared" si="2"/>
        <v/>
      </c>
      <c r="C352" s="57"/>
      <c r="D352" s="10" t="str">
        <f>IFERROR(__xludf.DUMMYFUNCTION("IF(COUNTA(C352:C1350)=0,"""",IF(ISBLANK(C352),FALSE,IF(NOT(COUNTIF($AA$24:$AA$34,SUBSTITUTE(C352,""Sell_"",""""))),1,IF(REGEXMATCH(C352,""Sell_""),IF(COUNTIF(C$4:C352,SUBSTITUTE(C352,""Sell_"",""""))-COUNTIF(C$4:C351,C352)&lt;1,1),FALSE))))"),"")</f>
        <v/>
      </c>
      <c r="E352" s="59" t="str">
        <f t="array" ref="E352">IF(COUNTA(C352:C1350)=0,"",SUM((COUNTIF(C$4:C352,Upgrades!$B$3:$B$13)-COUNTIF(C$4:C352,"Sell_"&amp;Upgrades!$B$3:$B$13))*Upgrades!$D$3:$D$13))</f>
        <v/>
      </c>
      <c r="F352" s="66" t="str">
        <f>IFERROR(__xludf.DUMMYFUNCTION("IF(COUNTA(C352:C1350)=0,"""",IF(REGEXMATCH(INDEX(FILTER(C$4:C352,C$4:C352&lt;&gt;""""),ROWS(FILTER(C$4:C352,C$4:C352&lt;&gt;""""))),""^Sell_""),INDEX(FILTER(F$4:F351,C$4:C351&lt;&gt;""""),ROWS(FILTER(C$4:C351,C$4:C351&lt;&gt;""""))),$AC$5+E352))"),"")</f>
        <v/>
      </c>
      <c r="G352" s="10" t="str">
        <f>IFERROR(__xludf.DUMMYFUNCTION("IF(COUNTA(C352:C1350)=0,"""",IF(C352="""",0,IF(REGEXMATCH(C352,""^Sell_""),-ROUNDDOWN(ROUNDUP(INDEX(Upgrades!$C$3:$C$13,MATCH(SUBSTITUTE(C352,""Sell_"",""""),Upgrades!$B$3:$B$13,0))*1.15^(COUNTIF(C$4:C351,SUBSTITUTE(C352,""Sell_"",""""))-COUNTIF(C$4:C351,"&amp;"""Sell_""&amp;SUBSTITUTE(C352,""Sell_"",""""))))/2),ROUNDUP(INDEX(Upgrades!$C$3:$C$13,MATCH(C352,Upgrades!$B$3:$B$13,0))*1.15^(COUNTIF(C$4:C351,C352)-COUNTIF(C$4:C351,""Sell_""&amp;C352))))))"),"")</f>
        <v/>
      </c>
      <c r="H352" s="10" t="str">
        <f t="shared" si="3"/>
        <v/>
      </c>
      <c r="I352" s="68" t="str">
        <f t="shared" si="4"/>
        <v/>
      </c>
      <c r="J352" s="59" t="str">
        <f t="shared" si="5"/>
        <v/>
      </c>
      <c r="K352" s="69" t="str">
        <f t="shared" si="6"/>
        <v/>
      </c>
      <c r="L352" s="60">
        <f t="shared" si="7"/>
        <v>-265.45269</v>
      </c>
      <c r="M352" s="61">
        <f>IFERROR(__xludf.DUMMYFUNCTION("IFS(AND(COUNTA(C352:C1350)=0,COUNTA(Q352:Q1350)=0),"""",OR(AND(K352&gt;=1000000000,OR(Y352&gt;=1000000000,COUNTA(Q352:Q1350)=0)),OR(Y352&gt;=1000000000,AND(COUNTA(C352:C1350)=0,P$3=TRUE))),
ROUNDDOWN((AB$1-AC$1)*MAX(INDEX(T$4:T1350,MATCH(LARGE(FILTER(Y$4:Y1350,Y$4"&amp;":Y1350&lt;1000000000),1),Y$4:Y1350)),INDEX(F$4:F1350,MATCH(LARGE(FILTER(K$4:K1350,K$4:K1350&lt;1000000000),1),K$4:K1350)))),AND(K352&lt;1000000000,COUNTA(C352:C1350)&gt;0,P$3=FALSE),
ROUNDDOWN(INDEX(Y$4:Y1350,MATCH(LARGE(FILTER(W$4:W1350,W$4:W1350&lt;=I352),1),W$4:W1350"&amp;"))+(I352-LARGE(FILTER(W$4:W1350,W$4:W1350&lt;=I352),1))*INDEX(T$4:T1350,MATCH(LARGE(FILTER(W$4:W1350,W$4:W1350&lt;=I352),1),W$4:W1350))-K352),1,
ROUNDDOWN(Y352-INDEX(K$4:K1350,MATCH(LARGE(FILTER(I$4:I1350,I$4:I1350&lt;=W352),1),I$4:I1350))-(W352-LARGE(FILTER(I$4:I"&amp;"1350,I$4:I1350&lt;=W352),1))*INDEX(F$4:F1350,MATCH(LARGE(FILTER(I$4:I1350,I$4:I1350&lt;=W352),1),I$4:I1350))))"),5.6435375E7)</f>
        <v>56435375</v>
      </c>
      <c r="N352" s="60">
        <f t="shared" si="8"/>
        <v>-265.45269</v>
      </c>
      <c r="O352" s="61" t="str">
        <f t="shared" si="9"/>
        <v>56,4M</v>
      </c>
      <c r="P352" s="56">
        <f t="shared" si="10"/>
        <v>2</v>
      </c>
      <c r="Q352" s="105" t="s">
        <v>9</v>
      </c>
      <c r="R352" s="10" t="b">
        <f>IFERROR(__xludf.DUMMYFUNCTION("IF(COUNTA(Q352:Q1350)=0,"""",IF(ISBLANK(Q352),FALSE,IF(NOT(COUNTIF($AA$24:$AA$34,SUBSTITUTE(Q352,""Sell_"",""""))),1,IF(REGEXMATCH(Q352,""Sell_""),IF(COUNTIF(Q$4:Q352,SUBSTITUTE(Q352,""Sell_"",""""))-COUNTIF(Q$4:Q351,Q352)&lt;1,1),FALSE))))"),FALSE)</f>
        <v>0</v>
      </c>
      <c r="S352" s="59">
        <f t="array" ref="S352">IF(COUNTA(Q352:Q1350)=0,"",SUM((COUNTIF(Q$4:Q352,Upgrades!$B$3:$B$13)-COUNTIF(Q$4:Q352,"Sell_"&amp;Upgrades!$B$3:$B$13))*Upgrades!$D$3:$D$13))</f>
        <v>272441</v>
      </c>
      <c r="T352" s="66">
        <f>IFERROR(__xludf.DUMMYFUNCTION("IF(COUNTA(Q352:Q1350)=0,"""",IF(REGEXMATCH(INDEX(FILTER(Q$4:Q352,Q$4:Q352&lt;&gt;""""),ROWS(FILTER(Q$4:Q352,Q$4:Q352&lt;&gt;""""))),""^Sell_""),INDEX(FILTER(T$4:T351,Q$4:Q351&lt;&gt;""""),ROWS(FILTER(Q$4:Q351,Q$4:Q351&lt;&gt;""""))),$AD$5+S352))"),272641.0)</f>
        <v>272641</v>
      </c>
      <c r="U352" s="10">
        <f>IFERROR(__xludf.DUMMYFUNCTION("IF(COUNTA(Q352:Q1350)=0,"""",IF(Q352="""",0,IF(REGEXMATCH(Q352,""^Sell_""),-ROUNDDOWN(ROUNDUP(INDEX(Upgrades!$C$3:$C$13,MATCH(SUBSTITUTE(Q352,""Sell_"",""""),Upgrades!$B$3:$B$13,0))*1.15^(COUNTIF(Q$4:Q351,SUBSTITUTE(Q352,""Sell_"",""""))-COUNTIF(Q$4:Q351,"&amp;"""Sell_""&amp;SUBSTITUTE(Q352,""Sell_"",""""))))/2),ROUNDUP(INDEX(Upgrades!$C$3:$C$13,MATCH(Q352,Upgrades!$B$3:$B$13,0))*1.15^(COUNTIF(Q$4:Q351,Q352)-COUNTIF(Q$4:Q351,""Sell_""&amp;Q352))))))"),230000.0)</f>
        <v>230000</v>
      </c>
      <c r="V352" s="10">
        <f t="shared" si="11"/>
        <v>230000</v>
      </c>
      <c r="W352" s="68">
        <f t="shared" si="12"/>
        <v>5160.07415</v>
      </c>
      <c r="X352" s="59" t="str">
        <f t="shared" si="13"/>
        <v>1h 26m 00s</v>
      </c>
      <c r="Y352" s="69">
        <f t="shared" si="14"/>
        <v>360626434</v>
      </c>
      <c r="Z352" s="11"/>
    </row>
    <row r="353">
      <c r="A353" s="8"/>
      <c r="B353" s="56" t="str">
        <f t="shared" si="2"/>
        <v/>
      </c>
      <c r="C353" s="57"/>
      <c r="D353" s="10" t="str">
        <f>IFERROR(__xludf.DUMMYFUNCTION("IF(COUNTA(C353:C1350)=0,"""",IF(ISBLANK(C353),FALSE,IF(NOT(COUNTIF($AA$24:$AA$34,SUBSTITUTE(C353,""Sell_"",""""))),1,IF(REGEXMATCH(C353,""Sell_""),IF(COUNTIF(C$4:C353,SUBSTITUTE(C353,""Sell_"",""""))-COUNTIF(C$4:C352,C353)&lt;1,1),FALSE))))"),"")</f>
        <v/>
      </c>
      <c r="E353" s="59" t="str">
        <f t="array" ref="E353">IF(COUNTA(C353:C1350)=0,"",SUM((COUNTIF(C$4:C353,Upgrades!$B$3:$B$13)-COUNTIF(C$4:C353,"Sell_"&amp;Upgrades!$B$3:$B$13))*Upgrades!$D$3:$D$13))</f>
        <v/>
      </c>
      <c r="F353" s="66" t="str">
        <f>IFERROR(__xludf.DUMMYFUNCTION("IF(COUNTA(C353:C1350)=0,"""",IF(REGEXMATCH(INDEX(FILTER(C$4:C353,C$4:C353&lt;&gt;""""),ROWS(FILTER(C$4:C353,C$4:C353&lt;&gt;""""))),""^Sell_""),INDEX(FILTER(F$4:F352,C$4:C352&lt;&gt;""""),ROWS(FILTER(C$4:C352,C$4:C352&lt;&gt;""""))),$AC$5+E353))"),"")</f>
        <v/>
      </c>
      <c r="G353" s="10" t="str">
        <f>IFERROR(__xludf.DUMMYFUNCTION("IF(COUNTA(C353:C1350)=0,"""",IF(C353="""",0,IF(REGEXMATCH(C353,""^Sell_""),-ROUNDDOWN(ROUNDUP(INDEX(Upgrades!$C$3:$C$13,MATCH(SUBSTITUTE(C353,""Sell_"",""""),Upgrades!$B$3:$B$13,0))*1.15^(COUNTIF(C$4:C352,SUBSTITUTE(C353,""Sell_"",""""))-COUNTIF(C$4:C352,"&amp;"""Sell_""&amp;SUBSTITUTE(C353,""Sell_"",""""))))/2),ROUNDUP(INDEX(Upgrades!$C$3:$C$13,MATCH(C353,Upgrades!$B$3:$B$13,0))*1.15^(COUNTIF(C$4:C352,C353)-COUNTIF(C$4:C352,""Sell_""&amp;C353))))))"),"")</f>
        <v/>
      </c>
      <c r="H353" s="10" t="str">
        <f t="shared" si="3"/>
        <v/>
      </c>
      <c r="I353" s="68" t="str">
        <f t="shared" si="4"/>
        <v/>
      </c>
      <c r="J353" s="59" t="str">
        <f t="shared" si="5"/>
        <v/>
      </c>
      <c r="K353" s="69" t="str">
        <f t="shared" si="6"/>
        <v/>
      </c>
      <c r="L353" s="60">
        <f t="shared" si="7"/>
        <v>-265.47665</v>
      </c>
      <c r="M353" s="61">
        <f>IFERROR(__xludf.DUMMYFUNCTION("IFS(AND(COUNTA(C353:C1350)=0,COUNTA(Q353:Q1350)=0),"""",OR(AND(K353&gt;=1000000000,OR(Y353&gt;=1000000000,COUNTA(Q353:Q1350)=0)),OR(Y353&gt;=1000000000,AND(COUNTA(C353:C1350)=0,P$3=TRUE))),
ROUNDDOWN((AB$1-AC$1)*MAX(INDEX(T$4:T1350,MATCH(LARGE(FILTER(Y$4:Y1350,Y$4"&amp;":Y1350&lt;1000000000),1),Y$4:Y1350)),INDEX(F$4:F1350,MATCH(LARGE(FILTER(K$4:K1350,K$4:K1350&lt;1000000000),1),K$4:K1350)))),AND(K353&lt;1000000000,COUNTA(C353:C1350)&gt;0,P$3=FALSE),
ROUNDDOWN(INDEX(Y$4:Y1350,MATCH(LARGE(FILTER(W$4:W1350,W$4:W1350&lt;=I353),1),W$4:W1350"&amp;"))+(I353-LARGE(FILTER(W$4:W1350,W$4:W1350&lt;=I353),1))*INDEX(T$4:T1350,MATCH(LARGE(FILTER(W$4:W1350,W$4:W1350&lt;=I353),1),W$4:W1350))-K353),1,
ROUNDDOWN(Y353-INDEX(K$4:K1350,MATCH(LARGE(FILTER(I$4:I1350,I$4:I1350&lt;=W353),1),I$4:I1350))-(W353-LARGE(FILTER(I$4:I"&amp;"1350,I$4:I1350&lt;=W353),1))*INDEX(F$4:F1350,MATCH(LARGE(FILTER(I$4:I1350,I$4:I1350&lt;=W353),1),I$4:I1350))))"),5.6440469E7)</f>
        <v>56440469</v>
      </c>
      <c r="N353" s="60">
        <f t="shared" si="8"/>
        <v>-265.47665</v>
      </c>
      <c r="O353" s="61" t="str">
        <f t="shared" si="9"/>
        <v>56,4M</v>
      </c>
      <c r="P353" s="56">
        <f t="shared" si="10"/>
        <v>7</v>
      </c>
      <c r="Q353" s="105" t="s">
        <v>7</v>
      </c>
      <c r="R353" s="10" t="b">
        <f>IFERROR(__xludf.DUMMYFUNCTION("IF(COUNTA(Q353:Q1350)=0,"""",IF(ISBLANK(Q353),FALSE,IF(NOT(COUNTIF($AA$24:$AA$34,SUBSTITUTE(Q353,""Sell_"",""""))),1,IF(REGEXMATCH(Q353,""Sell_""),IF(COUNTIF(Q$4:Q353,SUBSTITUTE(Q353,""Sell_"",""""))-COUNTIF(Q$4:Q352,Q353)&lt;1,1),FALSE))))"),FALSE)</f>
        <v>0</v>
      </c>
      <c r="S353" s="59">
        <f t="array" ref="S353">IF(COUNTA(Q353:Q1350)=0,"",SUM((COUNTIF(Q$4:Q353,Upgrades!$B$3:$B$13)-COUNTIF(Q$4:Q353,"Sell_"&amp;Upgrades!$B$3:$B$13))*Upgrades!$D$3:$D$13))</f>
        <v>272481</v>
      </c>
      <c r="T353" s="66">
        <f>IFERROR(__xludf.DUMMYFUNCTION("IF(COUNTA(Q353:Q1350)=0,"""",IF(REGEXMATCH(INDEX(FILTER(Q$4:Q353,Q$4:Q353&lt;&gt;""""),ROWS(FILTER(Q$4:Q353,Q$4:Q353&lt;&gt;""""))),""^Sell_""),INDEX(FILTER(T$4:T352,Q$4:Q352&lt;&gt;""""),ROWS(FILTER(Q$4:Q352,Q$4:Q352&lt;&gt;""""))),$AD$5+S353))"),272681.0)</f>
        <v>272681</v>
      </c>
      <c r="U353" s="10">
        <f>IFERROR(__xludf.DUMMYFUNCTION("IF(COUNTA(Q353:Q1350)=0,"""",IF(Q353="""",0,IF(REGEXMATCH(Q353,""^Sell_""),-ROUNDDOWN(ROUNDUP(INDEX(Upgrades!$C$3:$C$13,MATCH(SUBSTITUTE(Q353,""Sell_"",""""),Upgrades!$B$3:$B$13,0))*1.15^(COUNTIF(Q$4:Q352,SUBSTITUTE(Q353,""Sell_"",""""))-COUNTIF(Q$4:Q352,"&amp;"""Sell_""&amp;SUBSTITUTE(Q353,""Sell_"",""""))))/2),ROUNDUP(INDEX(Upgrades!$C$3:$C$13,MATCH(Q353,Upgrades!$B$3:$B$13,0))*1.15^(COUNTIF(Q$4:Q352,Q353)-COUNTIF(Q$4:Q352,""Sell_""&amp;Q353))))))"),23131.0)</f>
        <v>23131</v>
      </c>
      <c r="V353" s="10">
        <f t="shared" si="11"/>
        <v>23131</v>
      </c>
      <c r="W353" s="68">
        <f t="shared" si="12"/>
        <v>5160.158991</v>
      </c>
      <c r="X353" s="59" t="str">
        <f t="shared" si="13"/>
        <v>1h 26m 00s</v>
      </c>
      <c r="Y353" s="69">
        <f t="shared" si="14"/>
        <v>360649565</v>
      </c>
      <c r="Z353" s="11"/>
    </row>
    <row r="354">
      <c r="A354" s="8"/>
      <c r="B354" s="56" t="str">
        <f t="shared" si="2"/>
        <v/>
      </c>
      <c r="C354" s="57"/>
      <c r="D354" s="10" t="str">
        <f>IFERROR(__xludf.DUMMYFUNCTION("IF(COUNTA(C354:C1350)=0,"""",IF(ISBLANK(C354),FALSE,IF(NOT(COUNTIF($AA$24:$AA$34,SUBSTITUTE(C354,""Sell_"",""""))),1,IF(REGEXMATCH(C354,""Sell_""),IF(COUNTIF(C$4:C354,SUBSTITUTE(C354,""Sell_"",""""))-COUNTIF(C$4:C353,C354)&lt;1,1),FALSE))))"),"")</f>
        <v/>
      </c>
      <c r="E354" s="59" t="str">
        <f t="array" ref="E354">IF(COUNTA(C354:C1350)=0,"",SUM((COUNTIF(C$4:C354,Upgrades!$B$3:$B$13)-COUNTIF(C$4:C354,"Sell_"&amp;Upgrades!$B$3:$B$13))*Upgrades!$D$3:$D$13))</f>
        <v/>
      </c>
      <c r="F354" s="66" t="str">
        <f>IFERROR(__xludf.DUMMYFUNCTION("IF(COUNTA(C354:C1350)=0,"""",IF(REGEXMATCH(INDEX(FILTER(C$4:C354,C$4:C354&lt;&gt;""""),ROWS(FILTER(C$4:C354,C$4:C354&lt;&gt;""""))),""^Sell_""),INDEX(FILTER(F$4:F353,C$4:C353&lt;&gt;""""),ROWS(FILTER(C$4:C353,C$4:C353&lt;&gt;""""))),$AC$5+E354))"),"")</f>
        <v/>
      </c>
      <c r="G354" s="10" t="str">
        <f>IFERROR(__xludf.DUMMYFUNCTION("IF(COUNTA(C354:C1350)=0,"""",IF(C354="""",0,IF(REGEXMATCH(C354,""^Sell_""),-ROUNDDOWN(ROUNDUP(INDEX(Upgrades!$C$3:$C$13,MATCH(SUBSTITUTE(C354,""Sell_"",""""),Upgrades!$B$3:$B$13,0))*1.15^(COUNTIF(C$4:C353,SUBSTITUTE(C354,""Sell_"",""""))-COUNTIF(C$4:C353,"&amp;"""Sell_""&amp;SUBSTITUTE(C354,""Sell_"",""""))))/2),ROUNDUP(INDEX(Upgrades!$C$3:$C$13,MATCH(C354,Upgrades!$B$3:$B$13,0))*1.15^(COUNTIF(C$4:C353,C354)-COUNTIF(C$4:C353,""Sell_""&amp;C354))))))"),"")</f>
        <v/>
      </c>
      <c r="H354" s="10" t="str">
        <f t="shared" si="3"/>
        <v/>
      </c>
      <c r="I354" s="68" t="str">
        <f t="shared" si="4"/>
        <v/>
      </c>
      <c r="J354" s="59" t="str">
        <f t="shared" si="5"/>
        <v/>
      </c>
      <c r="K354" s="69" t="str">
        <f t="shared" si="6"/>
        <v/>
      </c>
      <c r="L354" s="60">
        <f t="shared" si="7"/>
        <v>-265.53969</v>
      </c>
      <c r="M354" s="61">
        <f>IFERROR(__xludf.DUMMYFUNCTION("IFS(AND(COUNTA(C354:C1350)=0,COUNTA(Q354:Q1350)=0),"""",OR(AND(K354&gt;=1000000000,OR(Y354&gt;=1000000000,COUNTA(Q354:Q1350)=0)),OR(Y354&gt;=1000000000,AND(COUNTA(C354:C1350)=0,P$3=TRUE))),
ROUNDDOWN((AB$1-AC$1)*MAX(INDEX(T$4:T1350,MATCH(LARGE(FILTER(Y$4:Y1350,Y$4"&amp;":Y1350&lt;1000000000),1),Y$4:Y1350)),INDEX(F$4:F1350,MATCH(LARGE(FILTER(K$4:K1350,K$4:K1350&lt;1000000000),1),K$4:K1350)))),AND(K354&lt;1000000000,COUNTA(C354:C1350)&gt;0,P$3=FALSE),
ROUNDDOWN(INDEX(Y$4:Y1350,MATCH(LARGE(FILTER(W$4:W1350,W$4:W1350&lt;=I354),1),W$4:W1350"&amp;"))+(I354-LARGE(FILTER(W$4:W1350,W$4:W1350&lt;=I354),1))*INDEX(T$4:T1350,MATCH(LARGE(FILTER(W$4:W1350,W$4:W1350&lt;=I354),1),W$4:W1350))-K354),1,
ROUNDDOWN(Y354-INDEX(K$4:K1350,MATCH(LARGE(FILTER(I$4:I1350,I$4:I1350&lt;=W354),1),I$4:I1350))-(W354-LARGE(FILTER(I$4:I"&amp;"1350,I$4:I1350&lt;=W354),1))*INDEX(F$4:F1350,MATCH(LARGE(FILTER(I$4:I1350,I$4:I1350&lt;=W354),1),I$4:I1350))))"),5.6453872E7)</f>
        <v>56453872</v>
      </c>
      <c r="N354" s="60">
        <f t="shared" si="8"/>
        <v>-265.53969</v>
      </c>
      <c r="O354" s="61" t="str">
        <f t="shared" si="9"/>
        <v>56,5M</v>
      </c>
      <c r="P354" s="56">
        <f t="shared" si="10"/>
        <v>4</v>
      </c>
      <c r="Q354" s="105" t="s">
        <v>8</v>
      </c>
      <c r="R354" s="10" t="b">
        <f>IFERROR(__xludf.DUMMYFUNCTION("IF(COUNTA(Q354:Q1350)=0,"""",IF(ISBLANK(Q354),FALSE,IF(NOT(COUNTIF($AA$24:$AA$34,SUBSTITUTE(Q354,""Sell_"",""""))),1,IF(REGEXMATCH(Q354,""Sell_""),IF(COUNTIF(Q$4:Q354,SUBSTITUTE(Q354,""Sell_"",""""))-COUNTIF(Q$4:Q353,Q354)&lt;1,1),FALSE))))"),FALSE)</f>
        <v>0</v>
      </c>
      <c r="S354" s="59">
        <f t="array" ref="S354">IF(COUNTA(Q354:Q1350)=0,"",SUM((COUNTIF(Q$4:Q354,Upgrades!$B$3:$B$13)-COUNTIF(Q$4:Q354,"Sell_"&amp;Upgrades!$B$3:$B$13))*Upgrades!$D$3:$D$13))</f>
        <v>272581</v>
      </c>
      <c r="T354" s="66">
        <f>IFERROR(__xludf.DUMMYFUNCTION("IF(COUNTA(Q354:Q1350)=0,"""",IF(REGEXMATCH(INDEX(FILTER(Q$4:Q354,Q$4:Q354&lt;&gt;""""),ROWS(FILTER(Q$4:Q354,Q$4:Q354&lt;&gt;""""))),""^Sell_""),INDEX(FILTER(T$4:T353,Q$4:Q353&lt;&gt;""""),ROWS(FILTER(Q$4:Q353,Q$4:Q353&lt;&gt;""""))),$AD$5+S354))"),272781.0)</f>
        <v>272781</v>
      </c>
      <c r="U354" s="10">
        <f>IFERROR(__xludf.DUMMYFUNCTION("IF(COUNTA(Q354:Q1350)=0,"""",IF(Q354="""",0,IF(REGEXMATCH(Q354,""^Sell_""),-ROUNDDOWN(ROUNDUP(INDEX(Upgrades!$C$3:$C$13,MATCH(SUBSTITUTE(Q354,""Sell_"",""""),Upgrades!$B$3:$B$13,0))*1.15^(COUNTIF(Q$4:Q353,SUBSTITUTE(Q354,""Sell_"",""""))-COUNTIF(Q$4:Q353,"&amp;"""Sell_""&amp;SUBSTITUTE(Q354,""Sell_"",""""))))/2),ROUNDUP(INDEX(Upgrades!$C$3:$C$13,MATCH(Q354,Upgrades!$B$3:$B$13,0))*1.15^(COUNTIF(Q$4:Q353,Q354)-COUNTIF(Q$4:Q353,""Sell_""&amp;Q354))))))"),60835.0)</f>
        <v>60835</v>
      </c>
      <c r="V354" s="10">
        <f t="shared" si="11"/>
        <v>60835</v>
      </c>
      <c r="W354" s="68">
        <f t="shared" si="12"/>
        <v>5160.38209</v>
      </c>
      <c r="X354" s="59" t="str">
        <f t="shared" si="13"/>
        <v>1h 26m 00s</v>
      </c>
      <c r="Y354" s="69">
        <f t="shared" si="14"/>
        <v>360710400</v>
      </c>
      <c r="Z354" s="11"/>
    </row>
    <row r="355">
      <c r="A355" s="8"/>
      <c r="B355" s="56" t="str">
        <f t="shared" si="2"/>
        <v/>
      </c>
      <c r="C355" s="57"/>
      <c r="D355" s="10" t="str">
        <f>IFERROR(__xludf.DUMMYFUNCTION("IF(COUNTA(C355:C1350)=0,"""",IF(ISBLANK(C355),FALSE,IF(NOT(COUNTIF($AA$24:$AA$34,SUBSTITUTE(C355,""Sell_"",""""))),1,IF(REGEXMATCH(C355,""Sell_""),IF(COUNTIF(C$4:C355,SUBSTITUTE(C355,""Sell_"",""""))-COUNTIF(C$4:C354,C355)&lt;1,1),FALSE))))"),"")</f>
        <v/>
      </c>
      <c r="E355" s="59" t="str">
        <f t="array" ref="E355">IF(COUNTA(C355:C1350)=0,"",SUM((COUNTIF(C$4:C355,Upgrades!$B$3:$B$13)-COUNTIF(C$4:C355,"Sell_"&amp;Upgrades!$B$3:$B$13))*Upgrades!$D$3:$D$13))</f>
        <v/>
      </c>
      <c r="F355" s="66" t="str">
        <f>IFERROR(__xludf.DUMMYFUNCTION("IF(COUNTA(C355:C1350)=0,"""",IF(REGEXMATCH(INDEX(FILTER(C$4:C355,C$4:C355&lt;&gt;""""),ROWS(FILTER(C$4:C355,C$4:C355&lt;&gt;""""))),""^Sell_""),INDEX(FILTER(F$4:F354,C$4:C354&lt;&gt;""""),ROWS(FILTER(C$4:C354,C$4:C354&lt;&gt;""""))),$AC$5+E355))"),"")</f>
        <v/>
      </c>
      <c r="G355" s="10" t="str">
        <f>IFERROR(__xludf.DUMMYFUNCTION("IF(COUNTA(C355:C1350)=0,"""",IF(C355="""",0,IF(REGEXMATCH(C355,""^Sell_""),-ROUNDDOWN(ROUNDUP(INDEX(Upgrades!$C$3:$C$13,MATCH(SUBSTITUTE(C355,""Sell_"",""""),Upgrades!$B$3:$B$13,0))*1.15^(COUNTIF(C$4:C354,SUBSTITUTE(C355,""Sell_"",""""))-COUNTIF(C$4:C354,"&amp;"""Sell_""&amp;SUBSTITUTE(C355,""Sell_"",""""))))/2),ROUNDUP(INDEX(Upgrades!$C$3:$C$13,MATCH(C355,Upgrades!$B$3:$B$13,0))*1.15^(COUNTIF(C$4:C354,C355)-COUNTIF(C$4:C354,""Sell_""&amp;C355))))))"),"")</f>
        <v/>
      </c>
      <c r="H355" s="10" t="str">
        <f t="shared" si="3"/>
        <v/>
      </c>
      <c r="I355" s="68" t="str">
        <f t="shared" si="4"/>
        <v/>
      </c>
      <c r="J355" s="59" t="str">
        <f t="shared" si="5"/>
        <v/>
      </c>
      <c r="K355" s="69" t="str">
        <f t="shared" si="6"/>
        <v/>
      </c>
      <c r="L355" s="60">
        <f t="shared" si="7"/>
        <v>-265.81417</v>
      </c>
      <c r="M355" s="61">
        <f>IFERROR(__xludf.DUMMYFUNCTION("IFS(AND(COUNTA(C355:C1350)=0,COUNTA(Q355:Q1350)=0),"""",OR(AND(K355&gt;=1000000000,OR(Y355&gt;=1000000000,COUNTA(Q355:Q1350)=0)),OR(Y355&gt;=1000000000,AND(COUNTA(C355:C1350)=0,P$3=TRUE))),
ROUNDDOWN((AB$1-AC$1)*MAX(INDEX(T$4:T1350,MATCH(LARGE(FILTER(Y$4:Y1350,Y$4"&amp;":Y1350&lt;1000000000),1),Y$4:Y1350)),INDEX(F$4:F1350,MATCH(LARGE(FILTER(K$4:K1350,K$4:K1350&lt;1000000000),1),K$4:K1350)))),AND(K355&lt;1000000000,COUNTA(C355:C1350)&gt;0,P$3=FALSE),
ROUNDDOWN(INDEX(Y$4:Y1350,MATCH(LARGE(FILTER(W$4:W1350,W$4:W1350&lt;=I355),1),W$4:W1350"&amp;"))+(I355-LARGE(FILTER(W$4:W1350,W$4:W1350&lt;=I355),1))*INDEX(T$4:T1350,MATCH(LARGE(FILTER(W$4:W1350,W$4:W1350&lt;=I355),1),W$4:W1350))-K355),1,
ROUNDDOWN(Y355-INDEX(K$4:K1350,MATCH(LARGE(FILTER(I$4:I1350,I$4:I1350&lt;=W355),1),I$4:I1350))-(W355-LARGE(FILTER(I$4:I"&amp;"1350,I$4:I1350&lt;=W355),1))*INDEX(F$4:F1350,MATCH(LARGE(FILTER(I$4:I1350,I$4:I1350&lt;=W355),1),I$4:I1350))))"),5.6512226E7)</f>
        <v>56512226</v>
      </c>
      <c r="N355" s="60">
        <f t="shared" si="8"/>
        <v>-265.81417</v>
      </c>
      <c r="O355" s="61" t="str">
        <f t="shared" si="9"/>
        <v>56,5M</v>
      </c>
      <c r="P355" s="56">
        <f t="shared" si="10"/>
        <v>3</v>
      </c>
      <c r="Q355" s="105" t="s">
        <v>9</v>
      </c>
      <c r="R355" s="10" t="b">
        <f>IFERROR(__xludf.DUMMYFUNCTION("IF(COUNTA(Q355:Q1350)=0,"""",IF(ISBLANK(Q355),FALSE,IF(NOT(COUNTIF($AA$24:$AA$34,SUBSTITUTE(Q355,""Sell_"",""""))),1,IF(REGEXMATCH(Q355,""Sell_""),IF(COUNTIF(Q$4:Q355,SUBSTITUTE(Q355,""Sell_"",""""))-COUNTIF(Q$4:Q354,Q355)&lt;1,1),FALSE))))"),FALSE)</f>
        <v>0</v>
      </c>
      <c r="S355" s="59">
        <f t="array" ref="S355">IF(COUNTA(Q355:Q1350)=0,"",SUM((COUNTIF(Q$4:Q355,Upgrades!$B$3:$B$13)-COUNTIF(Q$4:Q355,"Sell_"&amp;Upgrades!$B$3:$B$13))*Upgrades!$D$3:$D$13))</f>
        <v>272981</v>
      </c>
      <c r="T355" s="66">
        <f>IFERROR(__xludf.DUMMYFUNCTION("IF(COUNTA(Q355:Q1350)=0,"""",IF(REGEXMATCH(INDEX(FILTER(Q$4:Q355,Q$4:Q355&lt;&gt;""""),ROWS(FILTER(Q$4:Q355,Q$4:Q355&lt;&gt;""""))),""^Sell_""),INDEX(FILTER(T$4:T354,Q$4:Q354&lt;&gt;""""),ROWS(FILTER(Q$4:Q354,Q$4:Q354&lt;&gt;""""))),$AD$5+S355))"),273181.0)</f>
        <v>273181</v>
      </c>
      <c r="U355" s="10">
        <f>IFERROR(__xludf.DUMMYFUNCTION("IF(COUNTA(Q355:Q1350)=0,"""",IF(Q355="""",0,IF(REGEXMATCH(Q355,""^Sell_""),-ROUNDDOWN(ROUNDUP(INDEX(Upgrades!$C$3:$C$13,MATCH(SUBSTITUTE(Q355,""Sell_"",""""),Upgrades!$B$3:$B$13,0))*1.15^(COUNTIF(Q$4:Q354,SUBSTITUTE(Q355,""Sell_"",""""))-COUNTIF(Q$4:Q354,"&amp;"""Sell_""&amp;SUBSTITUTE(Q355,""Sell_"",""""))))/2),ROUNDUP(INDEX(Upgrades!$C$3:$C$13,MATCH(Q355,Upgrades!$B$3:$B$13,0))*1.15^(COUNTIF(Q$4:Q354,Q355)-COUNTIF(Q$4:Q354,""Sell_""&amp;Q355))))))"),264500.0)</f>
        <v>264500</v>
      </c>
      <c r="V355" s="10">
        <f t="shared" si="11"/>
        <v>264500</v>
      </c>
      <c r="W355" s="68">
        <f t="shared" si="12"/>
        <v>5161.351732</v>
      </c>
      <c r="X355" s="59" t="str">
        <f t="shared" si="13"/>
        <v>1h 26m 01s</v>
      </c>
      <c r="Y355" s="69">
        <f t="shared" si="14"/>
        <v>360974900</v>
      </c>
      <c r="Z355" s="11"/>
    </row>
    <row r="356">
      <c r="A356" s="8"/>
      <c r="B356" s="56" t="str">
        <f t="shared" si="2"/>
        <v/>
      </c>
      <c r="C356" s="57"/>
      <c r="D356" s="10" t="str">
        <f>IFERROR(__xludf.DUMMYFUNCTION("IF(COUNTA(C356:C1350)=0,"""",IF(ISBLANK(C356),FALSE,IF(NOT(COUNTIF($AA$24:$AA$34,SUBSTITUTE(C356,""Sell_"",""""))),1,IF(REGEXMATCH(C356,""Sell_""),IF(COUNTIF(C$4:C356,SUBSTITUTE(C356,""Sell_"",""""))-COUNTIF(C$4:C355,C356)&lt;1,1),FALSE))))"),"")</f>
        <v/>
      </c>
      <c r="E356" s="59" t="str">
        <f t="array" ref="E356">IF(COUNTA(C356:C1350)=0,"",SUM((COUNTIF(C$4:C356,Upgrades!$B$3:$B$13)-COUNTIF(C$4:C356,"Sell_"&amp;Upgrades!$B$3:$B$13))*Upgrades!$D$3:$D$13))</f>
        <v/>
      </c>
      <c r="F356" s="66" t="str">
        <f>IFERROR(__xludf.DUMMYFUNCTION("IF(COUNTA(C356:C1350)=0,"""",IF(REGEXMATCH(INDEX(FILTER(C$4:C356,C$4:C356&lt;&gt;""""),ROWS(FILTER(C$4:C356,C$4:C356&lt;&gt;""""))),""^Sell_""),INDEX(FILTER(F$4:F355,C$4:C355&lt;&gt;""""),ROWS(FILTER(C$4:C355,C$4:C355&lt;&gt;""""))),$AC$5+E356))"),"")</f>
        <v/>
      </c>
      <c r="G356" s="10" t="str">
        <f>IFERROR(__xludf.DUMMYFUNCTION("IF(COUNTA(C356:C1350)=0,"""",IF(C356="""",0,IF(REGEXMATCH(C356,""^Sell_""),-ROUNDDOWN(ROUNDUP(INDEX(Upgrades!$C$3:$C$13,MATCH(SUBSTITUTE(C356,""Sell_"",""""),Upgrades!$B$3:$B$13,0))*1.15^(COUNTIF(C$4:C355,SUBSTITUTE(C356,""Sell_"",""""))-COUNTIF(C$4:C355,"&amp;"""Sell_""&amp;SUBSTITUTE(C356,""Sell_"",""""))))/2),ROUNDUP(INDEX(Upgrades!$C$3:$C$13,MATCH(C356,Upgrades!$B$3:$B$13,0))*1.15^(COUNTIF(C$4:C355,C356)-COUNTIF(C$4:C355,""Sell_""&amp;C356))))))"),"")</f>
        <v/>
      </c>
      <c r="H356" s="10" t="str">
        <f t="shared" si="3"/>
        <v/>
      </c>
      <c r="I356" s="68" t="str">
        <f t="shared" si="4"/>
        <v/>
      </c>
      <c r="J356" s="59" t="str">
        <f t="shared" si="5"/>
        <v/>
      </c>
      <c r="K356" s="69" t="str">
        <f t="shared" si="6"/>
        <v/>
      </c>
      <c r="L356" s="60">
        <f t="shared" si="7"/>
        <v>-265.84192</v>
      </c>
      <c r="M356" s="61">
        <f>IFERROR(__xludf.DUMMYFUNCTION("IFS(AND(COUNTA(C356:C1350)=0,COUNTA(Q356:Q1350)=0),"""",OR(AND(K356&gt;=1000000000,OR(Y356&gt;=1000000000,COUNTA(Q356:Q1350)=0)),OR(Y356&gt;=1000000000,AND(COUNTA(C356:C1350)=0,P$3=TRUE))),
ROUNDDOWN((AB$1-AC$1)*MAX(INDEX(T$4:T1350,MATCH(LARGE(FILTER(Y$4:Y1350,Y$4"&amp;":Y1350&lt;1000000000),1),Y$4:Y1350)),INDEX(F$4:F1350,MATCH(LARGE(FILTER(K$4:K1350,K$4:K1350&lt;1000000000),1),K$4:K1350)))),AND(K356&lt;1000000000,COUNTA(C356:C1350)&gt;0,P$3=FALSE),
ROUNDDOWN(INDEX(Y$4:Y1350,MATCH(LARGE(FILTER(W$4:W1350,W$4:W1350&lt;=I356),1),W$4:W1350"&amp;"))+(I356-LARGE(FILTER(W$4:W1350,W$4:W1350&lt;=I356),1))*INDEX(T$4:T1350,MATCH(LARGE(FILTER(W$4:W1350,W$4:W1350&lt;=I356),1),W$4:W1350))-K356),1,
ROUNDDOWN(Y356-INDEX(K$4:K1350,MATCH(LARGE(FILTER(I$4:I1350,I$4:I1350&lt;=W356),1),I$4:I1350))-(W356-LARGE(FILTER(I$4:I"&amp;"1350,I$4:I1350&lt;=W356),1))*INDEX(F$4:F1350,MATCH(LARGE(FILTER(I$4:I1350,I$4:I1350&lt;=W356),1),I$4:I1350))))"),5.6518125E7)</f>
        <v>56518125</v>
      </c>
      <c r="N356" s="60">
        <f t="shared" si="8"/>
        <v>-265.84192</v>
      </c>
      <c r="O356" s="61" t="str">
        <f t="shared" si="9"/>
        <v>56,5M</v>
      </c>
      <c r="P356" s="56">
        <f t="shared" si="10"/>
        <v>8</v>
      </c>
      <c r="Q356" s="105" t="s">
        <v>7</v>
      </c>
      <c r="R356" s="10" t="b">
        <f>IFERROR(__xludf.DUMMYFUNCTION("IF(COUNTA(Q356:Q1350)=0,"""",IF(ISBLANK(Q356),FALSE,IF(NOT(COUNTIF($AA$24:$AA$34,SUBSTITUTE(Q356,""Sell_"",""""))),1,IF(REGEXMATCH(Q356,""Sell_""),IF(COUNTIF(Q$4:Q356,SUBSTITUTE(Q356,""Sell_"",""""))-COUNTIF(Q$4:Q355,Q356)&lt;1,1),FALSE))))"),FALSE)</f>
        <v>0</v>
      </c>
      <c r="S356" s="59">
        <f t="array" ref="S356">IF(COUNTA(Q356:Q1350)=0,"",SUM((COUNTIF(Q$4:Q356,Upgrades!$B$3:$B$13)-COUNTIF(Q$4:Q356,"Sell_"&amp;Upgrades!$B$3:$B$13))*Upgrades!$D$3:$D$13))</f>
        <v>273021</v>
      </c>
      <c r="T356" s="66">
        <f>IFERROR(__xludf.DUMMYFUNCTION("IF(COUNTA(Q356:Q1350)=0,"""",IF(REGEXMATCH(INDEX(FILTER(Q$4:Q356,Q$4:Q356&lt;&gt;""""),ROWS(FILTER(Q$4:Q356,Q$4:Q356&lt;&gt;""""))),""^Sell_""),INDEX(FILTER(T$4:T355,Q$4:Q355&lt;&gt;""""),ROWS(FILTER(Q$4:Q355,Q$4:Q355&lt;&gt;""""))),$AD$5+S356))"),273221.0)</f>
        <v>273221</v>
      </c>
      <c r="U356" s="10">
        <f>IFERROR(__xludf.DUMMYFUNCTION("IF(COUNTA(Q356:Q1350)=0,"""",IF(Q356="""",0,IF(REGEXMATCH(Q356,""^Sell_""),-ROUNDDOWN(ROUNDUP(INDEX(Upgrades!$C$3:$C$13,MATCH(SUBSTITUTE(Q356,""Sell_"",""""),Upgrades!$B$3:$B$13,0))*1.15^(COUNTIF(Q$4:Q355,SUBSTITUTE(Q356,""Sell_"",""""))-COUNTIF(Q$4:Q355,"&amp;"""Sell_""&amp;SUBSTITUTE(Q356,""Sell_"",""""))))/2),ROUNDUP(INDEX(Upgrades!$C$3:$C$13,MATCH(Q356,Upgrades!$B$3:$B$13,0))*1.15^(COUNTIF(Q$4:Q355,Q356)-COUNTIF(Q$4:Q355,""Sell_""&amp;Q356))))))"),26601.0)</f>
        <v>26601</v>
      </c>
      <c r="V356" s="10">
        <f t="shared" si="11"/>
        <v>26601</v>
      </c>
      <c r="W356" s="68">
        <f t="shared" si="12"/>
        <v>5161.449107</v>
      </c>
      <c r="X356" s="59" t="str">
        <f t="shared" si="13"/>
        <v>1h 26m 01s</v>
      </c>
      <c r="Y356" s="69">
        <f t="shared" si="14"/>
        <v>361001501</v>
      </c>
      <c r="Z356" s="11"/>
    </row>
    <row r="357">
      <c r="A357" s="8"/>
      <c r="B357" s="56" t="str">
        <f t="shared" si="2"/>
        <v/>
      </c>
      <c r="C357" s="57"/>
      <c r="D357" s="10" t="str">
        <f>IFERROR(__xludf.DUMMYFUNCTION("IF(COUNTA(C357:C1350)=0,"""",IF(ISBLANK(C357),FALSE,IF(NOT(COUNTIF($AA$24:$AA$34,SUBSTITUTE(C357,""Sell_"",""""))),1,IF(REGEXMATCH(C357,""Sell_""),IF(COUNTIF(C$4:C357,SUBSTITUTE(C357,""Sell_"",""""))-COUNTIF(C$4:C356,C357)&lt;1,1),FALSE))))"),"")</f>
        <v/>
      </c>
      <c r="E357" s="59" t="str">
        <f t="array" ref="E357">IF(COUNTA(C357:C1350)=0,"",SUM((COUNTIF(C$4:C357,Upgrades!$B$3:$B$13)-COUNTIF(C$4:C357,"Sell_"&amp;Upgrades!$B$3:$B$13))*Upgrades!$D$3:$D$13))</f>
        <v/>
      </c>
      <c r="F357" s="66" t="str">
        <f>IFERROR(__xludf.DUMMYFUNCTION("IF(COUNTA(C357:C1350)=0,"""",IF(REGEXMATCH(INDEX(FILTER(C$4:C357,C$4:C357&lt;&gt;""""),ROWS(FILTER(C$4:C357,C$4:C357&lt;&gt;""""))),""^Sell_""),INDEX(FILTER(F$4:F356,C$4:C356&lt;&gt;""""),ROWS(FILTER(C$4:C356,C$4:C356&lt;&gt;""""))),$AC$5+E357))"),"")</f>
        <v/>
      </c>
      <c r="G357" s="10" t="str">
        <f>IFERROR(__xludf.DUMMYFUNCTION("IF(COUNTA(C357:C1350)=0,"""",IF(C357="""",0,IF(REGEXMATCH(C357,""^Sell_""),-ROUNDDOWN(ROUNDUP(INDEX(Upgrades!$C$3:$C$13,MATCH(SUBSTITUTE(C357,""Sell_"",""""),Upgrades!$B$3:$B$13,0))*1.15^(COUNTIF(C$4:C356,SUBSTITUTE(C357,""Sell_"",""""))-COUNTIF(C$4:C356,"&amp;"""Sell_""&amp;SUBSTITUTE(C357,""Sell_"",""""))))/2),ROUNDUP(INDEX(Upgrades!$C$3:$C$13,MATCH(C357,Upgrades!$B$3:$B$13,0))*1.15^(COUNTIF(C$4:C356,C357)-COUNTIF(C$4:C356,""Sell_""&amp;C357))))))"),"")</f>
        <v/>
      </c>
      <c r="H357" s="10" t="str">
        <f t="shared" si="3"/>
        <v/>
      </c>
      <c r="I357" s="68" t="str">
        <f t="shared" si="4"/>
        <v/>
      </c>
      <c r="J357" s="59" t="str">
        <f t="shared" si="5"/>
        <v/>
      </c>
      <c r="K357" s="69" t="str">
        <f t="shared" si="6"/>
        <v/>
      </c>
      <c r="L357" s="60">
        <f t="shared" si="7"/>
        <v>-265.91493</v>
      </c>
      <c r="M357" s="61">
        <f>IFERROR(__xludf.DUMMYFUNCTION("IFS(AND(COUNTA(C357:C1350)=0,COUNTA(Q357:Q1350)=0),"""",OR(AND(K357&gt;=1000000000,OR(Y357&gt;=1000000000,COUNTA(Q357:Q1350)=0)),OR(Y357&gt;=1000000000,AND(COUNTA(C357:C1350)=0,P$3=TRUE))),
ROUNDDOWN((AB$1-AC$1)*MAX(INDEX(T$4:T1350,MATCH(LARGE(FILTER(Y$4:Y1350,Y$4"&amp;":Y1350&lt;1000000000),1),Y$4:Y1350)),INDEX(F$4:F1350,MATCH(LARGE(FILTER(K$4:K1350,K$4:K1350&lt;1000000000),1),K$4:K1350)))),AND(K357&lt;1000000000,COUNTA(C357:C1350)&gt;0,P$3=FALSE),
ROUNDDOWN(INDEX(Y$4:Y1350,MATCH(LARGE(FILTER(W$4:W1350,W$4:W1350&lt;=I357),1),W$4:W1350"&amp;"))+(I357-LARGE(FILTER(W$4:W1350,W$4:W1350&lt;=I357),1))*INDEX(T$4:T1350,MATCH(LARGE(FILTER(W$4:W1350,W$4:W1350&lt;=I357),1),W$4:W1350))-K357),1,
ROUNDDOWN(Y357-INDEX(K$4:K1350,MATCH(LARGE(FILTER(I$4:I1350,I$4:I1350&lt;=W357),1),I$4:I1350))-(W357-LARGE(FILTER(I$4:I"&amp;"1350,I$4:I1350&lt;=W357),1))*INDEX(F$4:F1350,MATCH(LARGE(FILTER(I$4:I1350,I$4:I1350&lt;=W357),1),I$4:I1350))))"),5.6533648E7)</f>
        <v>56533648</v>
      </c>
      <c r="N357" s="60">
        <f t="shared" si="8"/>
        <v>-265.91493</v>
      </c>
      <c r="O357" s="61" t="str">
        <f t="shared" si="9"/>
        <v>56,5M</v>
      </c>
      <c r="P357" s="56">
        <f t="shared" si="10"/>
        <v>5</v>
      </c>
      <c r="Q357" s="105" t="s">
        <v>8</v>
      </c>
      <c r="R357" s="10" t="b">
        <f>IFERROR(__xludf.DUMMYFUNCTION("IF(COUNTA(Q357:Q1350)=0,"""",IF(ISBLANK(Q357),FALSE,IF(NOT(COUNTIF($AA$24:$AA$34,SUBSTITUTE(Q357,""Sell_"",""""))),1,IF(REGEXMATCH(Q357,""Sell_""),IF(COUNTIF(Q$4:Q357,SUBSTITUTE(Q357,""Sell_"",""""))-COUNTIF(Q$4:Q356,Q357)&lt;1,1),FALSE))))"),FALSE)</f>
        <v>0</v>
      </c>
      <c r="S357" s="59">
        <f t="array" ref="S357">IF(COUNTA(Q357:Q1350)=0,"",SUM((COUNTIF(Q$4:Q357,Upgrades!$B$3:$B$13)-COUNTIF(Q$4:Q357,"Sell_"&amp;Upgrades!$B$3:$B$13))*Upgrades!$D$3:$D$13))</f>
        <v>273121</v>
      </c>
      <c r="T357" s="66">
        <f>IFERROR(__xludf.DUMMYFUNCTION("IF(COUNTA(Q357:Q1350)=0,"""",IF(REGEXMATCH(INDEX(FILTER(Q$4:Q357,Q$4:Q357&lt;&gt;""""),ROWS(FILTER(Q$4:Q357,Q$4:Q357&lt;&gt;""""))),""^Sell_""),INDEX(FILTER(T$4:T356,Q$4:Q356&lt;&gt;""""),ROWS(FILTER(Q$4:Q356,Q$4:Q356&lt;&gt;""""))),$AD$5+S357))"),273321.0)</f>
        <v>273321</v>
      </c>
      <c r="U357" s="10">
        <f>IFERROR(__xludf.DUMMYFUNCTION("IF(COUNTA(Q357:Q1350)=0,"""",IF(Q357="""",0,IF(REGEXMATCH(Q357,""^Sell_""),-ROUNDDOWN(ROUNDUP(INDEX(Upgrades!$C$3:$C$13,MATCH(SUBSTITUTE(Q357,""Sell_"",""""),Upgrades!$B$3:$B$13,0))*1.15^(COUNTIF(Q$4:Q356,SUBSTITUTE(Q357,""Sell_"",""""))-COUNTIF(Q$4:Q356,"&amp;"""Sell_""&amp;SUBSTITUTE(Q357,""Sell_"",""""))))/2),ROUNDUP(INDEX(Upgrades!$C$3:$C$13,MATCH(Q357,Upgrades!$B$3:$B$13,0))*1.15^(COUNTIF(Q$4:Q356,Q357)-COUNTIF(Q$4:Q356,""Sell_""&amp;Q357))))))"),69961.0)</f>
        <v>69961</v>
      </c>
      <c r="V357" s="10">
        <f t="shared" si="11"/>
        <v>69961</v>
      </c>
      <c r="W357" s="68">
        <f t="shared" si="12"/>
        <v>5161.705168</v>
      </c>
      <c r="X357" s="59" t="str">
        <f t="shared" si="13"/>
        <v>1h 26m 01s</v>
      </c>
      <c r="Y357" s="69">
        <f t="shared" si="14"/>
        <v>361071462</v>
      </c>
      <c r="Z357" s="11"/>
    </row>
    <row r="358">
      <c r="A358" s="8"/>
      <c r="B358" s="56" t="str">
        <f t="shared" si="2"/>
        <v/>
      </c>
      <c r="C358" s="57"/>
      <c r="D358" s="10" t="str">
        <f>IFERROR(__xludf.DUMMYFUNCTION("IF(COUNTA(C358:C1350)=0,"""",IF(ISBLANK(C358),FALSE,IF(NOT(COUNTIF($AA$24:$AA$34,SUBSTITUTE(C358,""Sell_"",""""))),1,IF(REGEXMATCH(C358,""Sell_""),IF(COUNTIF(C$4:C358,SUBSTITUTE(C358,""Sell_"",""""))-COUNTIF(C$4:C357,C358)&lt;1,1),FALSE))))"),"")</f>
        <v/>
      </c>
      <c r="E358" s="59" t="str">
        <f t="array" ref="E358">IF(COUNTA(C358:C1350)=0,"",SUM((COUNTIF(C$4:C358,Upgrades!$B$3:$B$13)-COUNTIF(C$4:C358,"Sell_"&amp;Upgrades!$B$3:$B$13))*Upgrades!$D$3:$D$13))</f>
        <v/>
      </c>
      <c r="F358" s="66" t="str">
        <f>IFERROR(__xludf.DUMMYFUNCTION("IF(COUNTA(C358:C1350)=0,"""",IF(REGEXMATCH(INDEX(FILTER(C$4:C358,C$4:C358&lt;&gt;""""),ROWS(FILTER(C$4:C358,C$4:C358&lt;&gt;""""))),""^Sell_""),INDEX(FILTER(F$4:F357,C$4:C357&lt;&gt;""""),ROWS(FILTER(C$4:C357,C$4:C357&lt;&gt;""""))),$AC$5+E358))"),"")</f>
        <v/>
      </c>
      <c r="G358" s="10" t="str">
        <f>IFERROR(__xludf.DUMMYFUNCTION("IF(COUNTA(C358:C1350)=0,"""",IF(C358="""",0,IF(REGEXMATCH(C358,""^Sell_""),-ROUNDDOWN(ROUNDUP(INDEX(Upgrades!$C$3:$C$13,MATCH(SUBSTITUTE(C358,""Sell_"",""""),Upgrades!$B$3:$B$13,0))*1.15^(COUNTIF(C$4:C357,SUBSTITUTE(C358,""Sell_"",""""))-COUNTIF(C$4:C357,"&amp;"""Sell_""&amp;SUBSTITUTE(C358,""Sell_"",""""))))/2),ROUNDUP(INDEX(Upgrades!$C$3:$C$13,MATCH(C358,Upgrades!$B$3:$B$13,0))*1.15^(COUNTIF(C$4:C357,C358)-COUNTIF(C$4:C357,""Sell_""&amp;C358))))))"),"")</f>
        <v/>
      </c>
      <c r="H358" s="10" t="str">
        <f t="shared" si="3"/>
        <v/>
      </c>
      <c r="I358" s="68" t="str">
        <f t="shared" si="4"/>
        <v/>
      </c>
      <c r="J358" s="59" t="str">
        <f t="shared" si="5"/>
        <v/>
      </c>
      <c r="K358" s="69" t="str">
        <f t="shared" si="6"/>
        <v/>
      </c>
      <c r="L358" s="60">
        <f t="shared" si="7"/>
        <v>-266.23278</v>
      </c>
      <c r="M358" s="61">
        <f>IFERROR(__xludf.DUMMYFUNCTION("IFS(AND(COUNTA(C358:C1350)=0,COUNTA(Q358:Q1350)=0),"""",OR(AND(K358&gt;=1000000000,OR(Y358&gt;=1000000000,COUNTA(Q358:Q1350)=0)),OR(Y358&gt;=1000000000,AND(COUNTA(C358:C1350)=0,P$3=TRUE))),
ROUNDDOWN((AB$1-AC$1)*MAX(INDEX(T$4:T1350,MATCH(LARGE(FILTER(Y$4:Y1350,Y$4"&amp;":Y1350&lt;1000000000),1),Y$4:Y1350)),INDEX(F$4:F1350,MATCH(LARGE(FILTER(K$4:K1350,K$4:K1350&lt;1000000000),1),K$4:K1350)))),AND(K358&lt;1000000000,COUNTA(C358:C1350)&gt;0,P$3=FALSE),
ROUNDDOWN(INDEX(Y$4:Y1350,MATCH(LARGE(FILTER(W$4:W1350,W$4:W1350&lt;=I358),1),W$4:W1350"&amp;"))+(I358-LARGE(FILTER(W$4:W1350,W$4:W1350&lt;=I358),1))*INDEX(T$4:T1350,MATCH(LARGE(FILTER(W$4:W1350,W$4:W1350&lt;=I358),1),W$4:W1350))-K358),1,
ROUNDDOWN(Y358-INDEX(K$4:K1350,MATCH(LARGE(FILTER(I$4:I1350,I$4:I1350&lt;=W358),1),I$4:I1350))-(W358-LARGE(FILTER(I$4:I"&amp;"1350,I$4:I1350&lt;=W358),1))*INDEX(F$4:F1350,MATCH(LARGE(FILTER(I$4:I1350,I$4:I1350&lt;=W358),1),I$4:I1350))))"),5.6601222E7)</f>
        <v>56601222</v>
      </c>
      <c r="N358" s="60">
        <f t="shared" si="8"/>
        <v>-266.23278</v>
      </c>
      <c r="O358" s="61" t="str">
        <f t="shared" si="9"/>
        <v>56,6M</v>
      </c>
      <c r="P358" s="56">
        <f t="shared" si="10"/>
        <v>4</v>
      </c>
      <c r="Q358" s="105" t="s">
        <v>9</v>
      </c>
      <c r="R358" s="10" t="b">
        <f>IFERROR(__xludf.DUMMYFUNCTION("IF(COUNTA(Q358:Q1350)=0,"""",IF(ISBLANK(Q358),FALSE,IF(NOT(COUNTIF($AA$24:$AA$34,SUBSTITUTE(Q358,""Sell_"",""""))),1,IF(REGEXMATCH(Q358,""Sell_""),IF(COUNTIF(Q$4:Q358,SUBSTITUTE(Q358,""Sell_"",""""))-COUNTIF(Q$4:Q357,Q358)&lt;1,1),FALSE))))"),FALSE)</f>
        <v>0</v>
      </c>
      <c r="S358" s="59">
        <f t="array" ref="S358">IF(COUNTA(Q358:Q1350)=0,"",SUM((COUNTIF(Q$4:Q358,Upgrades!$B$3:$B$13)-COUNTIF(Q$4:Q358,"Sell_"&amp;Upgrades!$B$3:$B$13))*Upgrades!$D$3:$D$13))</f>
        <v>273521</v>
      </c>
      <c r="T358" s="66">
        <f>IFERROR(__xludf.DUMMYFUNCTION("IF(COUNTA(Q358:Q1350)=0,"""",IF(REGEXMATCH(INDEX(FILTER(Q$4:Q358,Q$4:Q358&lt;&gt;""""),ROWS(FILTER(Q$4:Q358,Q$4:Q358&lt;&gt;""""))),""^Sell_""),INDEX(FILTER(T$4:T357,Q$4:Q357&lt;&gt;""""),ROWS(FILTER(Q$4:Q357,Q$4:Q357&lt;&gt;""""))),$AD$5+S358))"),273721.0)</f>
        <v>273721</v>
      </c>
      <c r="U358" s="10">
        <f>IFERROR(__xludf.DUMMYFUNCTION("IF(COUNTA(Q358:Q1350)=0,"""",IF(Q358="""",0,IF(REGEXMATCH(Q358,""^Sell_""),-ROUNDDOWN(ROUNDUP(INDEX(Upgrades!$C$3:$C$13,MATCH(SUBSTITUTE(Q358,""Sell_"",""""),Upgrades!$B$3:$B$13,0))*1.15^(COUNTIF(Q$4:Q357,SUBSTITUTE(Q358,""Sell_"",""""))-COUNTIF(Q$4:Q357,"&amp;"""Sell_""&amp;SUBSTITUTE(Q358,""Sell_"",""""))))/2),ROUNDUP(INDEX(Upgrades!$C$3:$C$13,MATCH(Q358,Upgrades!$B$3:$B$13,0))*1.15^(COUNTIF(Q$4:Q357,Q358)-COUNTIF(Q$4:Q357,""Sell_""&amp;Q358))))))"),304175.0)</f>
        <v>304175</v>
      </c>
      <c r="V358" s="10">
        <f t="shared" si="11"/>
        <v>304175</v>
      </c>
      <c r="W358" s="68">
        <f t="shared" si="12"/>
        <v>5162.818053</v>
      </c>
      <c r="X358" s="59" t="str">
        <f t="shared" si="13"/>
        <v>1h 26m 02s</v>
      </c>
      <c r="Y358" s="69">
        <f t="shared" si="14"/>
        <v>361375637</v>
      </c>
      <c r="Z358" s="11"/>
    </row>
    <row r="359">
      <c r="A359" s="8"/>
      <c r="B359" s="56" t="str">
        <f t="shared" si="2"/>
        <v/>
      </c>
      <c r="C359" s="57"/>
      <c r="D359" s="10" t="str">
        <f>IFERROR(__xludf.DUMMYFUNCTION("IF(COUNTA(C359:C1350)=0,"""",IF(ISBLANK(C359),FALSE,IF(NOT(COUNTIF($AA$24:$AA$34,SUBSTITUTE(C359,""Sell_"",""""))),1,IF(REGEXMATCH(C359,""Sell_""),IF(COUNTIF(C$4:C359,SUBSTITUTE(C359,""Sell_"",""""))-COUNTIF(C$4:C358,C359)&lt;1,1),FALSE))))"),"")</f>
        <v/>
      </c>
      <c r="E359" s="59" t="str">
        <f t="array" ref="E359">IF(COUNTA(C359:C1350)=0,"",SUM((COUNTIF(C$4:C359,Upgrades!$B$3:$B$13)-COUNTIF(C$4:C359,"Sell_"&amp;Upgrades!$B$3:$B$13))*Upgrades!$D$3:$D$13))</f>
        <v/>
      </c>
      <c r="F359" s="66" t="str">
        <f>IFERROR(__xludf.DUMMYFUNCTION("IF(COUNTA(C359:C1350)=0,"""",IF(REGEXMATCH(INDEX(FILTER(C$4:C359,C$4:C359&lt;&gt;""""),ROWS(FILTER(C$4:C359,C$4:C359&lt;&gt;""""))),""^Sell_""),INDEX(FILTER(F$4:F358,C$4:C358&lt;&gt;""""),ROWS(FILTER(C$4:C358,C$4:C358&lt;&gt;""""))),$AC$5+E359))"),"")</f>
        <v/>
      </c>
      <c r="G359" s="10" t="str">
        <f>IFERROR(__xludf.DUMMYFUNCTION("IF(COUNTA(C359:C1350)=0,"""",IF(C359="""",0,IF(REGEXMATCH(C359,""^Sell_""),-ROUNDDOWN(ROUNDUP(INDEX(Upgrades!$C$3:$C$13,MATCH(SUBSTITUTE(C359,""Sell_"",""""),Upgrades!$B$3:$B$13,0))*1.15^(COUNTIF(C$4:C358,SUBSTITUTE(C359,""Sell_"",""""))-COUNTIF(C$4:C358,"&amp;"""Sell_""&amp;SUBSTITUTE(C359,""Sell_"",""""))))/2),ROUNDUP(INDEX(Upgrades!$C$3:$C$13,MATCH(C359,Upgrades!$B$3:$B$13,0))*1.15^(COUNTIF(C$4:C358,C359)-COUNTIF(C$4:C358,""Sell_""&amp;C359))))))"),"")</f>
        <v/>
      </c>
      <c r="H359" s="10" t="str">
        <f t="shared" si="3"/>
        <v/>
      </c>
      <c r="I359" s="68" t="str">
        <f t="shared" si="4"/>
        <v/>
      </c>
      <c r="J359" s="59" t="str">
        <f t="shared" si="5"/>
        <v/>
      </c>
      <c r="K359" s="69" t="str">
        <f t="shared" si="6"/>
        <v/>
      </c>
      <c r="L359" s="60">
        <f t="shared" si="7"/>
        <v>-266.26491</v>
      </c>
      <c r="M359" s="61">
        <f>IFERROR(__xludf.DUMMYFUNCTION("IFS(AND(COUNTA(C359:C1350)=0,COUNTA(Q359:Q1350)=0),"""",OR(AND(K359&gt;=1000000000,OR(Y359&gt;=1000000000,COUNTA(Q359:Q1350)=0)),OR(Y359&gt;=1000000000,AND(COUNTA(C359:C1350)=0,P$3=TRUE))),
ROUNDDOWN((AB$1-AC$1)*MAX(INDEX(T$4:T1350,MATCH(LARGE(FILTER(Y$4:Y1350,Y$4"&amp;":Y1350&lt;1000000000),1),Y$4:Y1350)),INDEX(F$4:F1350,MATCH(LARGE(FILTER(K$4:K1350,K$4:K1350&lt;1000000000),1),K$4:K1350)))),AND(K359&lt;1000000000,COUNTA(C359:C1350)&gt;0,P$3=FALSE),
ROUNDDOWN(INDEX(Y$4:Y1350,MATCH(LARGE(FILTER(W$4:W1350,W$4:W1350&lt;=I359),1),W$4:W1350"&amp;"))+(I359-LARGE(FILTER(W$4:W1350,W$4:W1350&lt;=I359),1))*INDEX(T$4:T1350,MATCH(LARGE(FILTER(W$4:W1350,W$4:W1350&lt;=I359),1),W$4:W1350))-K359),1,
ROUNDDOWN(Y359-INDEX(K$4:K1350,MATCH(LARGE(FILTER(I$4:I1350,I$4:I1350&lt;=W359),1),I$4:I1350))-(W359-LARGE(FILTER(I$4:I"&amp;"1350,I$4:I1350&lt;=W359),1))*INDEX(F$4:F1350,MATCH(LARGE(FILTER(I$4:I1350,I$4:I1350&lt;=W359),1),I$4:I1350))))"),5.6608053E7)</f>
        <v>56608053</v>
      </c>
      <c r="N359" s="60">
        <f t="shared" si="8"/>
        <v>-266.26491</v>
      </c>
      <c r="O359" s="61" t="str">
        <f t="shared" si="9"/>
        <v>56,6M</v>
      </c>
      <c r="P359" s="56">
        <f t="shared" si="10"/>
        <v>9</v>
      </c>
      <c r="Q359" s="105" t="s">
        <v>7</v>
      </c>
      <c r="R359" s="10" t="b">
        <f>IFERROR(__xludf.DUMMYFUNCTION("IF(COUNTA(Q359:Q1350)=0,"""",IF(ISBLANK(Q359),FALSE,IF(NOT(COUNTIF($AA$24:$AA$34,SUBSTITUTE(Q359,""Sell_"",""""))),1,IF(REGEXMATCH(Q359,""Sell_""),IF(COUNTIF(Q$4:Q359,SUBSTITUTE(Q359,""Sell_"",""""))-COUNTIF(Q$4:Q358,Q359)&lt;1,1),FALSE))))"),FALSE)</f>
        <v>0</v>
      </c>
      <c r="S359" s="59">
        <f t="array" ref="S359">IF(COUNTA(Q359:Q1350)=0,"",SUM((COUNTIF(Q$4:Q359,Upgrades!$B$3:$B$13)-COUNTIF(Q$4:Q359,"Sell_"&amp;Upgrades!$B$3:$B$13))*Upgrades!$D$3:$D$13))</f>
        <v>273561</v>
      </c>
      <c r="T359" s="66">
        <f>IFERROR(__xludf.DUMMYFUNCTION("IF(COUNTA(Q359:Q1350)=0,"""",IF(REGEXMATCH(INDEX(FILTER(Q$4:Q359,Q$4:Q359&lt;&gt;""""),ROWS(FILTER(Q$4:Q359,Q$4:Q359&lt;&gt;""""))),""^Sell_""),INDEX(FILTER(T$4:T358,Q$4:Q358&lt;&gt;""""),ROWS(FILTER(Q$4:Q358,Q$4:Q358&lt;&gt;""""))),$AD$5+S359))"),273761.0)</f>
        <v>273761</v>
      </c>
      <c r="U359" s="10">
        <f>IFERROR(__xludf.DUMMYFUNCTION("IF(COUNTA(Q359:Q1350)=0,"""",IF(Q359="""",0,IF(REGEXMATCH(Q359,""^Sell_""),-ROUNDDOWN(ROUNDUP(INDEX(Upgrades!$C$3:$C$13,MATCH(SUBSTITUTE(Q359,""Sell_"",""""),Upgrades!$B$3:$B$13,0))*1.15^(COUNTIF(Q$4:Q358,SUBSTITUTE(Q359,""Sell_"",""""))-COUNTIF(Q$4:Q358,"&amp;"""Sell_""&amp;SUBSTITUTE(Q359,""Sell_"",""""))))/2),ROUNDUP(INDEX(Upgrades!$C$3:$C$13,MATCH(Q359,Upgrades!$B$3:$B$13,0))*1.15^(COUNTIF(Q$4:Q358,Q359)-COUNTIF(Q$4:Q358,""Sell_""&amp;Q359))))))"),30591.0)</f>
        <v>30591</v>
      </c>
      <c r="V359" s="10">
        <f t="shared" si="11"/>
        <v>30591</v>
      </c>
      <c r="W359" s="68">
        <f t="shared" si="12"/>
        <v>5162.929813</v>
      </c>
      <c r="X359" s="59" t="str">
        <f t="shared" si="13"/>
        <v>1h 26m 02s</v>
      </c>
      <c r="Y359" s="69">
        <f t="shared" si="14"/>
        <v>361406228</v>
      </c>
      <c r="Z359" s="11"/>
    </row>
    <row r="360">
      <c r="A360" s="8"/>
      <c r="B360" s="56" t="str">
        <f t="shared" si="2"/>
        <v/>
      </c>
      <c r="C360" s="57"/>
      <c r="D360" s="10" t="str">
        <f>IFERROR(__xludf.DUMMYFUNCTION("IF(COUNTA(C360:C1350)=0,"""",IF(ISBLANK(C360),FALSE,IF(NOT(COUNTIF($AA$24:$AA$34,SUBSTITUTE(C360,""Sell_"",""""))),1,IF(REGEXMATCH(C360,""Sell_""),IF(COUNTIF(C$4:C360,SUBSTITUTE(C360,""Sell_"",""""))-COUNTIF(C$4:C359,C360)&lt;1,1),FALSE))))"),"")</f>
        <v/>
      </c>
      <c r="E360" s="59" t="str">
        <f t="array" ref="E360">IF(COUNTA(C360:C1350)=0,"",SUM((COUNTIF(C$4:C360,Upgrades!$B$3:$B$13)-COUNTIF(C$4:C360,"Sell_"&amp;Upgrades!$B$3:$B$13))*Upgrades!$D$3:$D$13))</f>
        <v/>
      </c>
      <c r="F360" s="66" t="str">
        <f>IFERROR(__xludf.DUMMYFUNCTION("IF(COUNTA(C360:C1350)=0,"""",IF(REGEXMATCH(INDEX(FILTER(C$4:C360,C$4:C360&lt;&gt;""""),ROWS(FILTER(C$4:C360,C$4:C360&lt;&gt;""""))),""^Sell_""),INDEX(FILTER(F$4:F359,C$4:C359&lt;&gt;""""),ROWS(FILTER(C$4:C359,C$4:C359&lt;&gt;""""))),$AC$5+E360))"),"")</f>
        <v/>
      </c>
      <c r="G360" s="10" t="str">
        <f>IFERROR(__xludf.DUMMYFUNCTION("IF(COUNTA(C360:C1350)=0,"""",IF(C360="""",0,IF(REGEXMATCH(C360,""^Sell_""),-ROUNDDOWN(ROUNDUP(INDEX(Upgrades!$C$3:$C$13,MATCH(SUBSTITUTE(C360,""Sell_"",""""),Upgrades!$B$3:$B$13,0))*1.15^(COUNTIF(C$4:C359,SUBSTITUTE(C360,""Sell_"",""""))-COUNTIF(C$4:C359,"&amp;"""Sell_""&amp;SUBSTITUTE(C360,""Sell_"",""""))))/2),ROUNDUP(INDEX(Upgrades!$C$3:$C$13,MATCH(C360,Upgrades!$B$3:$B$13,0))*1.15^(COUNTIF(C$4:C359,C360)-COUNTIF(C$4:C359,""Sell_""&amp;C360))))))"),"")</f>
        <v/>
      </c>
      <c r="H360" s="10" t="str">
        <f t="shared" si="3"/>
        <v/>
      </c>
      <c r="I360" s="68" t="str">
        <f t="shared" si="4"/>
        <v/>
      </c>
      <c r="J360" s="59" t="str">
        <f t="shared" si="5"/>
        <v/>
      </c>
      <c r="K360" s="69" t="str">
        <f t="shared" si="6"/>
        <v/>
      </c>
      <c r="L360" s="60">
        <f t="shared" si="7"/>
        <v>-266.34945</v>
      </c>
      <c r="M360" s="61">
        <f>IFERROR(__xludf.DUMMYFUNCTION("IFS(AND(COUNTA(C360:C1350)=0,COUNTA(Q360:Q1350)=0),"""",OR(AND(K360&gt;=1000000000,OR(Y360&gt;=1000000000,COUNTA(Q360:Q1350)=0)),OR(Y360&gt;=1000000000,AND(COUNTA(C360:C1350)=0,P$3=TRUE))),
ROUNDDOWN((AB$1-AC$1)*MAX(INDEX(T$4:T1350,MATCH(LARGE(FILTER(Y$4:Y1350,Y$4"&amp;":Y1350&lt;1000000000),1),Y$4:Y1350)),INDEX(F$4:F1350,MATCH(LARGE(FILTER(K$4:K1350,K$4:K1350&lt;1000000000),1),K$4:K1350)))),AND(K360&lt;1000000000,COUNTA(C360:C1350)&gt;0,P$3=FALSE),
ROUNDDOWN(INDEX(Y$4:Y1350,MATCH(LARGE(FILTER(W$4:W1350,W$4:W1350&lt;=I360),1),W$4:W1350"&amp;"))+(I360-LARGE(FILTER(W$4:W1350,W$4:W1350&lt;=I360),1))*INDEX(T$4:T1350,MATCH(LARGE(FILTER(W$4:W1350,W$4:W1350&lt;=I360),1),W$4:W1350))-K360),1,
ROUNDDOWN(Y360-INDEX(K$4:K1350,MATCH(LARGE(FILTER(I$4:I1350,I$4:I1350&lt;=W360),1),I$4:I1350))-(W360-LARGE(FILTER(I$4:I"&amp;"1350,I$4:I1350&lt;=W360),1))*INDEX(F$4:F1350,MATCH(LARGE(FILTER(I$4:I1350,I$4:I1350&lt;=W360),1),I$4:I1350))))"),5.6626028E7)</f>
        <v>56626028</v>
      </c>
      <c r="N360" s="60">
        <f t="shared" si="8"/>
        <v>-266.34945</v>
      </c>
      <c r="O360" s="61" t="str">
        <f t="shared" si="9"/>
        <v>56,6M</v>
      </c>
      <c r="P360" s="56">
        <f t="shared" si="10"/>
        <v>6</v>
      </c>
      <c r="Q360" s="105" t="s">
        <v>8</v>
      </c>
      <c r="R360" s="10" t="b">
        <f>IFERROR(__xludf.DUMMYFUNCTION("IF(COUNTA(Q360:Q1350)=0,"""",IF(ISBLANK(Q360),FALSE,IF(NOT(COUNTIF($AA$24:$AA$34,SUBSTITUTE(Q360,""Sell_"",""""))),1,IF(REGEXMATCH(Q360,""Sell_""),IF(COUNTIF(Q$4:Q360,SUBSTITUTE(Q360,""Sell_"",""""))-COUNTIF(Q$4:Q359,Q360)&lt;1,1),FALSE))))"),FALSE)</f>
        <v>0</v>
      </c>
      <c r="S360" s="59">
        <f t="array" ref="S360">IF(COUNTA(Q360:Q1350)=0,"",SUM((COUNTIF(Q$4:Q360,Upgrades!$B$3:$B$13)-COUNTIF(Q$4:Q360,"Sell_"&amp;Upgrades!$B$3:$B$13))*Upgrades!$D$3:$D$13))</f>
        <v>273661</v>
      </c>
      <c r="T360" s="66">
        <f>IFERROR(__xludf.DUMMYFUNCTION("IF(COUNTA(Q360:Q1350)=0,"""",IF(REGEXMATCH(INDEX(FILTER(Q$4:Q360,Q$4:Q360&lt;&gt;""""),ROWS(FILTER(Q$4:Q360,Q$4:Q360&lt;&gt;""""))),""^Sell_""),INDEX(FILTER(T$4:T359,Q$4:Q359&lt;&gt;""""),ROWS(FILTER(Q$4:Q359,Q$4:Q359&lt;&gt;""""))),$AD$5+S360))"),273861.0)</f>
        <v>273861</v>
      </c>
      <c r="U360" s="10">
        <f>IFERROR(__xludf.DUMMYFUNCTION("IF(COUNTA(Q360:Q1350)=0,"""",IF(Q360="""",0,IF(REGEXMATCH(Q360,""^Sell_""),-ROUNDDOWN(ROUNDUP(INDEX(Upgrades!$C$3:$C$13,MATCH(SUBSTITUTE(Q360,""Sell_"",""""),Upgrades!$B$3:$B$13,0))*1.15^(COUNTIF(Q$4:Q359,SUBSTITUTE(Q360,""Sell_"",""""))-COUNTIF(Q$4:Q359,"&amp;"""Sell_""&amp;SUBSTITUTE(Q360,""Sell_"",""""))))/2),ROUNDUP(INDEX(Upgrades!$C$3:$C$13,MATCH(Q360,Upgrades!$B$3:$B$13,0))*1.15^(COUNTIF(Q$4:Q359,Q360)-COUNTIF(Q$4:Q359,""Sell_""&amp;Q360))))))"),80455.0)</f>
        <v>80455</v>
      </c>
      <c r="V360" s="10">
        <f t="shared" si="11"/>
        <v>80455</v>
      </c>
      <c r="W360" s="68">
        <f t="shared" si="12"/>
        <v>5163.223701</v>
      </c>
      <c r="X360" s="59" t="str">
        <f t="shared" si="13"/>
        <v>1h 26m 03s</v>
      </c>
      <c r="Y360" s="69">
        <f t="shared" si="14"/>
        <v>361486683</v>
      </c>
      <c r="Z360" s="11"/>
    </row>
    <row r="361">
      <c r="A361" s="8"/>
      <c r="B361" s="56" t="str">
        <f t="shared" si="2"/>
        <v/>
      </c>
      <c r="C361" s="57"/>
      <c r="D361" s="10" t="str">
        <f>IFERROR(__xludf.DUMMYFUNCTION("IF(COUNTA(C361:C1350)=0,"""",IF(ISBLANK(C361),FALSE,IF(NOT(COUNTIF($AA$24:$AA$34,SUBSTITUTE(C361,""Sell_"",""""))),1,IF(REGEXMATCH(C361,""Sell_""),IF(COUNTIF(C$4:C361,SUBSTITUTE(C361,""Sell_"",""""))-COUNTIF(C$4:C360,C361)&lt;1,1),FALSE))))"),"")</f>
        <v/>
      </c>
      <c r="E361" s="59" t="str">
        <f t="array" ref="E361">IF(COUNTA(C361:C1350)=0,"",SUM((COUNTIF(C$4:C361,Upgrades!$B$3:$B$13)-COUNTIF(C$4:C361,"Sell_"&amp;Upgrades!$B$3:$B$13))*Upgrades!$D$3:$D$13))</f>
        <v/>
      </c>
      <c r="F361" s="66" t="str">
        <f>IFERROR(__xludf.DUMMYFUNCTION("IF(COUNTA(C361:C1350)=0,"""",IF(REGEXMATCH(INDEX(FILTER(C$4:C361,C$4:C361&lt;&gt;""""),ROWS(FILTER(C$4:C361,C$4:C361&lt;&gt;""""))),""^Sell_""),INDEX(FILTER(F$4:F360,C$4:C360&lt;&gt;""""),ROWS(FILTER(C$4:C360,C$4:C360&lt;&gt;""""))),$AC$5+E361))"),"")</f>
        <v/>
      </c>
      <c r="G361" s="10" t="str">
        <f>IFERROR(__xludf.DUMMYFUNCTION("IF(COUNTA(C361:C1350)=0,"""",IF(C361="""",0,IF(REGEXMATCH(C361,""^Sell_""),-ROUNDDOWN(ROUNDUP(INDEX(Upgrades!$C$3:$C$13,MATCH(SUBSTITUTE(C361,""Sell_"",""""),Upgrades!$B$3:$B$13,0))*1.15^(COUNTIF(C$4:C360,SUBSTITUTE(C361,""Sell_"",""""))-COUNTIF(C$4:C360,"&amp;"""Sell_""&amp;SUBSTITUTE(C361,""Sell_"",""""))))/2),ROUNDUP(INDEX(Upgrades!$C$3:$C$13,MATCH(C361,Upgrades!$B$3:$B$13,0))*1.15^(COUNTIF(C$4:C360,C361)-COUNTIF(C$4:C360,""Sell_""&amp;C361))))))"),"")</f>
        <v/>
      </c>
      <c r="H361" s="10" t="str">
        <f t="shared" si="3"/>
        <v/>
      </c>
      <c r="I361" s="68" t="str">
        <f t="shared" si="4"/>
        <v/>
      </c>
      <c r="J361" s="59" t="str">
        <f t="shared" si="5"/>
        <v/>
      </c>
      <c r="K361" s="69" t="str">
        <f t="shared" si="6"/>
        <v/>
      </c>
      <c r="L361" s="60">
        <f t="shared" si="7"/>
        <v>-266.71751</v>
      </c>
      <c r="M361" s="61">
        <f>IFERROR(__xludf.DUMMYFUNCTION("IFS(AND(COUNTA(C361:C1350)=0,COUNTA(Q361:Q1350)=0),"""",OR(AND(K361&gt;=1000000000,OR(Y361&gt;=1000000000,COUNTA(Q361:Q1350)=0)),OR(Y361&gt;=1000000000,AND(COUNTA(C361:C1350)=0,P$3=TRUE))),
ROUNDDOWN((AB$1-AC$1)*MAX(INDEX(T$4:T1350,MATCH(LARGE(FILTER(Y$4:Y1350,Y$4"&amp;":Y1350&lt;1000000000),1),Y$4:Y1350)),INDEX(F$4:F1350,MATCH(LARGE(FILTER(K$4:K1350,K$4:K1350&lt;1000000000),1),K$4:K1350)))),AND(K361&lt;1000000000,COUNTA(C361:C1350)&gt;0,P$3=FALSE),
ROUNDDOWN(INDEX(Y$4:Y1350,MATCH(LARGE(FILTER(W$4:W1350,W$4:W1350&lt;=I361),1),W$4:W1350"&amp;"))+(I361-LARGE(FILTER(W$4:W1350,W$4:W1350&lt;=I361),1))*INDEX(T$4:T1350,MATCH(LARGE(FILTER(W$4:W1350,W$4:W1350&lt;=I361),1),W$4:W1350))-K361),1,
ROUNDDOWN(Y361-INDEX(K$4:K1350,MATCH(LARGE(FILTER(I$4:I1350,I$4:I1350&lt;=W361),1),I$4:I1350))-(W361-LARGE(FILTER(I$4:I"&amp;"1350,I$4:I1350&lt;=W361),1))*INDEX(F$4:F1350,MATCH(LARGE(FILTER(I$4:I1350,I$4:I1350&lt;=W361),1),I$4:I1350))))"),5.6704276E7)</f>
        <v>56704276</v>
      </c>
      <c r="N361" s="60">
        <f t="shared" si="8"/>
        <v>-266.71751</v>
      </c>
      <c r="O361" s="61" t="str">
        <f t="shared" si="9"/>
        <v>56,7M</v>
      </c>
      <c r="P361" s="56">
        <f t="shared" si="10"/>
        <v>5</v>
      </c>
      <c r="Q361" s="105" t="s">
        <v>9</v>
      </c>
      <c r="R361" s="10" t="b">
        <f>IFERROR(__xludf.DUMMYFUNCTION("IF(COUNTA(Q361:Q1350)=0,"""",IF(ISBLANK(Q361),FALSE,IF(NOT(COUNTIF($AA$24:$AA$34,SUBSTITUTE(Q361,""Sell_"",""""))),1,IF(REGEXMATCH(Q361,""Sell_""),IF(COUNTIF(Q$4:Q361,SUBSTITUTE(Q361,""Sell_"",""""))-COUNTIF(Q$4:Q360,Q361)&lt;1,1),FALSE))))"),FALSE)</f>
        <v>0</v>
      </c>
      <c r="S361" s="59">
        <f t="array" ref="S361">IF(COUNTA(Q361:Q1350)=0,"",SUM((COUNTIF(Q$4:Q361,Upgrades!$B$3:$B$13)-COUNTIF(Q$4:Q361,"Sell_"&amp;Upgrades!$B$3:$B$13))*Upgrades!$D$3:$D$13))</f>
        <v>274061</v>
      </c>
      <c r="T361" s="66">
        <f>IFERROR(__xludf.DUMMYFUNCTION("IF(COUNTA(Q361:Q1350)=0,"""",IF(REGEXMATCH(INDEX(FILTER(Q$4:Q361,Q$4:Q361&lt;&gt;""""),ROWS(FILTER(Q$4:Q361,Q$4:Q361&lt;&gt;""""))),""^Sell_""),INDEX(FILTER(T$4:T360,Q$4:Q360&lt;&gt;""""),ROWS(FILTER(Q$4:Q360,Q$4:Q360&lt;&gt;""""))),$AD$5+S361))"),274261.0)</f>
        <v>274261</v>
      </c>
      <c r="U361" s="10">
        <f>IFERROR(__xludf.DUMMYFUNCTION("IF(COUNTA(Q361:Q1350)=0,"""",IF(Q361="""",0,IF(REGEXMATCH(Q361,""^Sell_""),-ROUNDDOWN(ROUNDUP(INDEX(Upgrades!$C$3:$C$13,MATCH(SUBSTITUTE(Q361,""Sell_"",""""),Upgrades!$B$3:$B$13,0))*1.15^(COUNTIF(Q$4:Q360,SUBSTITUTE(Q361,""Sell_"",""""))-COUNTIF(Q$4:Q360,"&amp;"""Sell_""&amp;SUBSTITUTE(Q361,""Sell_"",""""))))/2),ROUNDUP(INDEX(Upgrades!$C$3:$C$13,MATCH(Q361,Upgrades!$B$3:$B$13,0))*1.15^(COUNTIF(Q$4:Q360,Q361)-COUNTIF(Q$4:Q360,""Sell_""&amp;Q361))))))"),349802.0)</f>
        <v>349802</v>
      </c>
      <c r="V361" s="10">
        <f t="shared" si="11"/>
        <v>349802</v>
      </c>
      <c r="W361" s="68">
        <f t="shared" si="12"/>
        <v>5164.500998</v>
      </c>
      <c r="X361" s="59" t="str">
        <f t="shared" si="13"/>
        <v>1h 26m 04s</v>
      </c>
      <c r="Y361" s="69">
        <f t="shared" si="14"/>
        <v>361836485</v>
      </c>
      <c r="Z361" s="11"/>
    </row>
    <row r="362">
      <c r="A362" s="8"/>
      <c r="B362" s="56" t="str">
        <f t="shared" si="2"/>
        <v/>
      </c>
      <c r="C362" s="57"/>
      <c r="D362" s="10" t="str">
        <f>IFERROR(__xludf.DUMMYFUNCTION("IF(COUNTA(C362:C1350)=0,"""",IF(ISBLANK(C362),FALSE,IF(NOT(COUNTIF($AA$24:$AA$34,SUBSTITUTE(C362,""Sell_"",""""))),1,IF(REGEXMATCH(C362,""Sell_""),IF(COUNTIF(C$4:C362,SUBSTITUTE(C362,""Sell_"",""""))-COUNTIF(C$4:C361,C362)&lt;1,1),FALSE))))"),"")</f>
        <v/>
      </c>
      <c r="E362" s="59" t="str">
        <f t="array" ref="E362">IF(COUNTA(C362:C1350)=0,"",SUM((COUNTIF(C$4:C362,Upgrades!$B$3:$B$13)-COUNTIF(C$4:C362,"Sell_"&amp;Upgrades!$B$3:$B$13))*Upgrades!$D$3:$D$13))</f>
        <v/>
      </c>
      <c r="F362" s="66" t="str">
        <f>IFERROR(__xludf.DUMMYFUNCTION("IF(COUNTA(C362:C1350)=0,"""",IF(REGEXMATCH(INDEX(FILTER(C$4:C362,C$4:C362&lt;&gt;""""),ROWS(FILTER(C$4:C362,C$4:C362&lt;&gt;""""))),""^Sell_""),INDEX(FILTER(F$4:F361,C$4:C361&lt;&gt;""""),ROWS(FILTER(C$4:C361,C$4:C361&lt;&gt;""""))),$AC$5+E362))"),"")</f>
        <v/>
      </c>
      <c r="G362" s="10" t="str">
        <f>IFERROR(__xludf.DUMMYFUNCTION("IF(COUNTA(C362:C1350)=0,"""",IF(C362="""",0,IF(REGEXMATCH(C362,""^Sell_""),-ROUNDDOWN(ROUNDUP(INDEX(Upgrades!$C$3:$C$13,MATCH(SUBSTITUTE(C362,""Sell_"",""""),Upgrades!$B$3:$B$13,0))*1.15^(COUNTIF(C$4:C361,SUBSTITUTE(C362,""Sell_"",""""))-COUNTIF(C$4:C361,"&amp;"""Sell_""&amp;SUBSTITUTE(C362,""Sell_"",""""))))/2),ROUNDUP(INDEX(Upgrades!$C$3:$C$13,MATCH(C362,Upgrades!$B$3:$B$13,0))*1.15^(COUNTIF(C$4:C361,C362)-COUNTIF(C$4:C361,""Sell_""&amp;C362))))))"),"")</f>
        <v/>
      </c>
      <c r="H362" s="10" t="str">
        <f t="shared" si="3"/>
        <v/>
      </c>
      <c r="I362" s="68" t="str">
        <f t="shared" si="4"/>
        <v/>
      </c>
      <c r="J362" s="59" t="str">
        <f t="shared" si="5"/>
        <v/>
      </c>
      <c r="K362" s="69" t="str">
        <f t="shared" si="6"/>
        <v/>
      </c>
      <c r="L362" s="60">
        <f t="shared" si="7"/>
        <v>-266.75471</v>
      </c>
      <c r="M362" s="61">
        <f>IFERROR(__xludf.DUMMYFUNCTION("IFS(AND(COUNTA(C362:C1350)=0,COUNTA(Q362:Q1350)=0),"""",OR(AND(K362&gt;=1000000000,OR(Y362&gt;=1000000000,COUNTA(Q362:Q1350)=0)),OR(Y362&gt;=1000000000,AND(COUNTA(C362:C1350)=0,P$3=TRUE))),
ROUNDDOWN((AB$1-AC$1)*MAX(INDEX(T$4:T1350,MATCH(LARGE(FILTER(Y$4:Y1350,Y$4"&amp;":Y1350&lt;1000000000),1),Y$4:Y1350)),INDEX(F$4:F1350,MATCH(LARGE(FILTER(K$4:K1350,K$4:K1350&lt;1000000000),1),K$4:K1350)))),AND(K362&lt;1000000000,COUNTA(C362:C1350)&gt;0,P$3=FALSE),
ROUNDDOWN(INDEX(Y$4:Y1350,MATCH(LARGE(FILTER(W$4:W1350,W$4:W1350&lt;=I362),1),W$4:W1350"&amp;"))+(I362-LARGE(FILTER(W$4:W1350,W$4:W1350&lt;=I362),1))*INDEX(T$4:T1350,MATCH(LARGE(FILTER(W$4:W1350,W$4:W1350&lt;=I362),1),W$4:W1350))-K362),1,
ROUNDDOWN(Y362-INDEX(K$4:K1350,MATCH(LARGE(FILTER(I$4:I1350,I$4:I1350&lt;=W362),1),I$4:I1350))-(W362-LARGE(FILTER(I$4:I"&amp;"1350,I$4:I1350&lt;=W362),1))*INDEX(F$4:F1350,MATCH(LARGE(FILTER(I$4:I1350,I$4:I1350&lt;=W362),1),I$4:I1350))))"),5.6712185E7)</f>
        <v>56712185</v>
      </c>
      <c r="N362" s="60">
        <f t="shared" si="8"/>
        <v>-266.75471</v>
      </c>
      <c r="O362" s="61" t="str">
        <f t="shared" si="9"/>
        <v>56,7M</v>
      </c>
      <c r="P362" s="56">
        <f t="shared" si="10"/>
        <v>10</v>
      </c>
      <c r="Q362" s="105" t="s">
        <v>7</v>
      </c>
      <c r="R362" s="10" t="b">
        <f>IFERROR(__xludf.DUMMYFUNCTION("IF(COUNTA(Q362:Q1350)=0,"""",IF(ISBLANK(Q362),FALSE,IF(NOT(COUNTIF($AA$24:$AA$34,SUBSTITUTE(Q362,""Sell_"",""""))),1,IF(REGEXMATCH(Q362,""Sell_""),IF(COUNTIF(Q$4:Q362,SUBSTITUTE(Q362,""Sell_"",""""))-COUNTIF(Q$4:Q361,Q362)&lt;1,1),FALSE))))"),FALSE)</f>
        <v>0</v>
      </c>
      <c r="S362" s="59">
        <f t="array" ref="S362">IF(COUNTA(Q362:Q1350)=0,"",SUM((COUNTIF(Q$4:Q362,Upgrades!$B$3:$B$13)-COUNTIF(Q$4:Q362,"Sell_"&amp;Upgrades!$B$3:$B$13))*Upgrades!$D$3:$D$13))</f>
        <v>274101</v>
      </c>
      <c r="T362" s="66">
        <f>IFERROR(__xludf.DUMMYFUNCTION("IF(COUNTA(Q362:Q1350)=0,"""",IF(REGEXMATCH(INDEX(FILTER(Q$4:Q362,Q$4:Q362&lt;&gt;""""),ROWS(FILTER(Q$4:Q362,Q$4:Q362&lt;&gt;""""))),""^Sell_""),INDEX(FILTER(T$4:T361,Q$4:Q361&lt;&gt;""""),ROWS(FILTER(Q$4:Q361,Q$4:Q361&lt;&gt;""""))),$AD$5+S362))"),274301.0)</f>
        <v>274301</v>
      </c>
      <c r="U362" s="10">
        <f>IFERROR(__xludf.DUMMYFUNCTION("IF(COUNTA(Q362:Q1350)=0,"""",IF(Q362="""",0,IF(REGEXMATCH(Q362,""^Sell_""),-ROUNDDOWN(ROUNDUP(INDEX(Upgrades!$C$3:$C$13,MATCH(SUBSTITUTE(Q362,""Sell_"",""""),Upgrades!$B$3:$B$13,0))*1.15^(COUNTIF(Q$4:Q361,SUBSTITUTE(Q362,""Sell_"",""""))-COUNTIF(Q$4:Q361,"&amp;"""Sell_""&amp;SUBSTITUTE(Q362,""Sell_"",""""))))/2),ROUNDUP(INDEX(Upgrades!$C$3:$C$13,MATCH(Q362,Upgrades!$B$3:$B$13,0))*1.15^(COUNTIF(Q$4:Q361,Q362)-COUNTIF(Q$4:Q361,""Sell_""&amp;Q362))))))"),35179.0)</f>
        <v>35179</v>
      </c>
      <c r="V362" s="10">
        <f t="shared" si="11"/>
        <v>35179</v>
      </c>
      <c r="W362" s="68">
        <f t="shared" si="12"/>
        <v>5164.629267</v>
      </c>
      <c r="X362" s="59" t="str">
        <f t="shared" si="13"/>
        <v>1h 26m 04s</v>
      </c>
      <c r="Y362" s="69">
        <f t="shared" si="14"/>
        <v>361871664</v>
      </c>
      <c r="Z362" s="11"/>
    </row>
    <row r="363">
      <c r="A363" s="8"/>
      <c r="B363" s="56" t="str">
        <f t="shared" si="2"/>
        <v/>
      </c>
      <c r="C363" s="57"/>
      <c r="D363" s="10" t="str">
        <f>IFERROR(__xludf.DUMMYFUNCTION("IF(COUNTA(C363:C1350)=0,"""",IF(ISBLANK(C363),FALSE,IF(NOT(COUNTIF($AA$24:$AA$34,SUBSTITUTE(C363,""Sell_"",""""))),1,IF(REGEXMATCH(C363,""Sell_""),IF(COUNTIF(C$4:C363,SUBSTITUTE(C363,""Sell_"",""""))-COUNTIF(C$4:C362,C363)&lt;1,1),FALSE))))"),"")</f>
        <v/>
      </c>
      <c r="E363" s="59" t="str">
        <f t="array" ref="E363">IF(COUNTA(C363:C1350)=0,"",SUM((COUNTIF(C$4:C363,Upgrades!$B$3:$B$13)-COUNTIF(C$4:C363,"Sell_"&amp;Upgrades!$B$3:$B$13))*Upgrades!$D$3:$D$13))</f>
        <v/>
      </c>
      <c r="F363" s="66" t="str">
        <f>IFERROR(__xludf.DUMMYFUNCTION("IF(COUNTA(C363:C1350)=0,"""",IF(REGEXMATCH(INDEX(FILTER(C$4:C363,C$4:C363&lt;&gt;""""),ROWS(FILTER(C$4:C363,C$4:C363&lt;&gt;""""))),""^Sell_""),INDEX(FILTER(F$4:F362,C$4:C362&lt;&gt;""""),ROWS(FILTER(C$4:C362,C$4:C362&lt;&gt;""""))),$AC$5+E363))"),"")</f>
        <v/>
      </c>
      <c r="G363" s="10" t="str">
        <f>IFERROR(__xludf.DUMMYFUNCTION("IF(COUNTA(C363:C1350)=0,"""",IF(C363="""",0,IF(REGEXMATCH(C363,""^Sell_""),-ROUNDDOWN(ROUNDUP(INDEX(Upgrades!$C$3:$C$13,MATCH(SUBSTITUTE(C363,""Sell_"",""""),Upgrades!$B$3:$B$13,0))*1.15^(COUNTIF(C$4:C362,SUBSTITUTE(C363,""Sell_"",""""))-COUNTIF(C$4:C362,"&amp;"""Sell_""&amp;SUBSTITUTE(C363,""Sell_"",""""))))/2),ROUNDUP(INDEX(Upgrades!$C$3:$C$13,MATCH(C363,Upgrades!$B$3:$B$13,0))*1.15^(COUNTIF(C$4:C362,C363)-COUNTIF(C$4:C362,""Sell_""&amp;C363))))))"),"")</f>
        <v/>
      </c>
      <c r="H363" s="10" t="str">
        <f t="shared" si="3"/>
        <v/>
      </c>
      <c r="I363" s="68" t="str">
        <f t="shared" si="4"/>
        <v/>
      </c>
      <c r="J363" s="59" t="str">
        <f t="shared" si="5"/>
        <v/>
      </c>
      <c r="K363" s="69" t="str">
        <f t="shared" si="6"/>
        <v/>
      </c>
      <c r="L363" s="60">
        <f t="shared" si="7"/>
        <v>-266.8526</v>
      </c>
      <c r="M363" s="61">
        <f>IFERROR(__xludf.DUMMYFUNCTION("IFS(AND(COUNTA(C363:C1350)=0,COUNTA(Q363:Q1350)=0),"""",OR(AND(K363&gt;=1000000000,OR(Y363&gt;=1000000000,COUNTA(Q363:Q1350)=0)),OR(Y363&gt;=1000000000,AND(COUNTA(C363:C1350)=0,P$3=TRUE))),
ROUNDDOWN((AB$1-AC$1)*MAX(INDEX(T$4:T1350,MATCH(LARGE(FILTER(Y$4:Y1350,Y$4"&amp;":Y1350&lt;1000000000),1),Y$4:Y1350)),INDEX(F$4:F1350,MATCH(LARGE(FILTER(K$4:K1350,K$4:K1350&lt;1000000000),1),K$4:K1350)))),AND(K363&lt;1000000000,COUNTA(C363:C1350)&gt;0,P$3=FALSE),
ROUNDDOWN(INDEX(Y$4:Y1350,MATCH(LARGE(FILTER(W$4:W1350,W$4:W1350&lt;=I363),1),W$4:W1350"&amp;"))+(I363-LARGE(FILTER(W$4:W1350,W$4:W1350&lt;=I363),1))*INDEX(T$4:T1350,MATCH(LARGE(FILTER(W$4:W1350,W$4:W1350&lt;=I363),1),W$4:W1350))-K363),1,
ROUNDDOWN(Y363-INDEX(K$4:K1350,MATCH(LARGE(FILTER(I$4:I1350,I$4:I1350&lt;=W363),1),I$4:I1350))-(W363-LARGE(FILTER(I$4:I"&amp;"1350,I$4:I1350&lt;=W363),1))*INDEX(F$4:F1350,MATCH(LARGE(FILTER(I$4:I1350,I$4:I1350&lt;=W363),1),I$4:I1350))))"),5.6732996E7)</f>
        <v>56732996</v>
      </c>
      <c r="N363" s="60">
        <f t="shared" si="8"/>
        <v>-266.8526</v>
      </c>
      <c r="O363" s="61" t="str">
        <f t="shared" si="9"/>
        <v>56,7M</v>
      </c>
      <c r="P363" s="56">
        <f t="shared" si="10"/>
        <v>7</v>
      </c>
      <c r="Q363" s="105" t="s">
        <v>8</v>
      </c>
      <c r="R363" s="10" t="b">
        <f>IFERROR(__xludf.DUMMYFUNCTION("IF(COUNTA(Q363:Q1350)=0,"""",IF(ISBLANK(Q363),FALSE,IF(NOT(COUNTIF($AA$24:$AA$34,SUBSTITUTE(Q363,""Sell_"",""""))),1,IF(REGEXMATCH(Q363,""Sell_""),IF(COUNTIF(Q$4:Q363,SUBSTITUTE(Q363,""Sell_"",""""))-COUNTIF(Q$4:Q362,Q363)&lt;1,1),FALSE))))"),FALSE)</f>
        <v>0</v>
      </c>
      <c r="S363" s="59">
        <f t="array" ref="S363">IF(COUNTA(Q363:Q1350)=0,"",SUM((COUNTIF(Q$4:Q363,Upgrades!$B$3:$B$13)-COUNTIF(Q$4:Q363,"Sell_"&amp;Upgrades!$B$3:$B$13))*Upgrades!$D$3:$D$13))</f>
        <v>274201</v>
      </c>
      <c r="T363" s="66">
        <f>IFERROR(__xludf.DUMMYFUNCTION("IF(COUNTA(Q363:Q1350)=0,"""",IF(REGEXMATCH(INDEX(FILTER(Q$4:Q363,Q$4:Q363&lt;&gt;""""),ROWS(FILTER(Q$4:Q363,Q$4:Q363&lt;&gt;""""))),""^Sell_""),INDEX(FILTER(T$4:T362,Q$4:Q362&lt;&gt;""""),ROWS(FILTER(Q$4:Q362,Q$4:Q362&lt;&gt;""""))),$AD$5+S363))"),274401.0)</f>
        <v>274401</v>
      </c>
      <c r="U363" s="10">
        <f>IFERROR(__xludf.DUMMYFUNCTION("IF(COUNTA(Q363:Q1350)=0,"""",IF(Q363="""",0,IF(REGEXMATCH(Q363,""^Sell_""),-ROUNDDOWN(ROUNDUP(INDEX(Upgrades!$C$3:$C$13,MATCH(SUBSTITUTE(Q363,""Sell_"",""""),Upgrades!$B$3:$B$13,0))*1.15^(COUNTIF(Q$4:Q362,SUBSTITUTE(Q363,""Sell_"",""""))-COUNTIF(Q$4:Q362,"&amp;"""Sell_""&amp;SUBSTITUTE(Q363,""Sell_"",""""))))/2),ROUNDUP(INDEX(Upgrades!$C$3:$C$13,MATCH(Q363,Upgrades!$B$3:$B$13,0))*1.15^(COUNTIF(Q$4:Q362,Q363)-COUNTIF(Q$4:Q362,""Sell_""&amp;Q363))))))"),92523.0)</f>
        <v>92523</v>
      </c>
      <c r="V363" s="10">
        <f t="shared" si="11"/>
        <v>92523</v>
      </c>
      <c r="W363" s="68">
        <f t="shared" si="12"/>
        <v>5164.966571</v>
      </c>
      <c r="X363" s="59" t="str">
        <f t="shared" si="13"/>
        <v>1h 26m 04s</v>
      </c>
      <c r="Y363" s="69">
        <f t="shared" si="14"/>
        <v>361964187</v>
      </c>
      <c r="Z363" s="11"/>
    </row>
    <row r="364">
      <c r="A364" s="8"/>
      <c r="B364" s="56" t="str">
        <f t="shared" si="2"/>
        <v/>
      </c>
      <c r="C364" s="57"/>
      <c r="D364" s="10" t="str">
        <f>IFERROR(__xludf.DUMMYFUNCTION("IF(COUNTA(C364:C1350)=0,"""",IF(ISBLANK(C364),FALSE,IF(NOT(COUNTIF($AA$24:$AA$34,SUBSTITUTE(C364,""Sell_"",""""))),1,IF(REGEXMATCH(C364,""Sell_""),IF(COUNTIF(C$4:C364,SUBSTITUTE(C364,""Sell_"",""""))-COUNTIF(C$4:C363,C364)&lt;1,1),FALSE))))"),"")</f>
        <v/>
      </c>
      <c r="E364" s="59" t="str">
        <f t="array" ref="E364">IF(COUNTA(C364:C1350)=0,"",SUM((COUNTIF(C$4:C364,Upgrades!$B$3:$B$13)-COUNTIF(C$4:C364,"Sell_"&amp;Upgrades!$B$3:$B$13))*Upgrades!$D$3:$D$13))</f>
        <v/>
      </c>
      <c r="F364" s="66" t="str">
        <f>IFERROR(__xludf.DUMMYFUNCTION("IF(COUNTA(C364:C1350)=0,"""",IF(REGEXMATCH(INDEX(FILTER(C$4:C364,C$4:C364&lt;&gt;""""),ROWS(FILTER(C$4:C364,C$4:C364&lt;&gt;""""))),""^Sell_""),INDEX(FILTER(F$4:F363,C$4:C363&lt;&gt;""""),ROWS(FILTER(C$4:C363,C$4:C363&lt;&gt;""""))),$AC$5+E364))"),"")</f>
        <v/>
      </c>
      <c r="G364" s="10" t="str">
        <f>IFERROR(__xludf.DUMMYFUNCTION("IF(COUNTA(C364:C1350)=0,"""",IF(C364="""",0,IF(REGEXMATCH(C364,""^Sell_""),-ROUNDDOWN(ROUNDUP(INDEX(Upgrades!$C$3:$C$13,MATCH(SUBSTITUTE(C364,""Sell_"",""""),Upgrades!$B$3:$B$13,0))*1.15^(COUNTIF(C$4:C363,SUBSTITUTE(C364,""Sell_"",""""))-COUNTIF(C$4:C363,"&amp;"""Sell_""&amp;SUBSTITUTE(C364,""Sell_"",""""))))/2),ROUNDUP(INDEX(Upgrades!$C$3:$C$13,MATCH(C364,Upgrades!$B$3:$B$13,0))*1.15^(COUNTIF(C$4:C363,C364)-COUNTIF(C$4:C363,""Sell_""&amp;C364))))))"),"")</f>
        <v/>
      </c>
      <c r="H364" s="10" t="str">
        <f t="shared" si="3"/>
        <v/>
      </c>
      <c r="I364" s="68" t="str">
        <f t="shared" si="4"/>
        <v/>
      </c>
      <c r="J364" s="59" t="str">
        <f t="shared" si="5"/>
        <v/>
      </c>
      <c r="K364" s="69" t="str">
        <f t="shared" si="6"/>
        <v/>
      </c>
      <c r="L364" s="60">
        <f t="shared" si="7"/>
        <v>-267.27875</v>
      </c>
      <c r="M364" s="61">
        <f>IFERROR(__xludf.DUMMYFUNCTION("IFS(AND(COUNTA(C364:C1350)=0,COUNTA(Q364:Q1350)=0),"""",OR(AND(K364&gt;=1000000000,OR(Y364&gt;=1000000000,COUNTA(Q364:Q1350)=0)),OR(Y364&gt;=1000000000,AND(COUNTA(C364:C1350)=0,P$3=TRUE))),
ROUNDDOWN((AB$1-AC$1)*MAX(INDEX(T$4:T1350,MATCH(LARGE(FILTER(Y$4:Y1350,Y$4"&amp;":Y1350&lt;1000000000),1),Y$4:Y1350)),INDEX(F$4:F1350,MATCH(LARGE(FILTER(K$4:K1350,K$4:K1350&lt;1000000000),1),K$4:K1350)))),AND(K364&lt;1000000000,COUNTA(C364:C1350)&gt;0,P$3=FALSE),
ROUNDDOWN(INDEX(Y$4:Y1350,MATCH(LARGE(FILTER(W$4:W1350,W$4:W1350&lt;=I364),1),W$4:W1350"&amp;"))+(I364-LARGE(FILTER(W$4:W1350,W$4:W1350&lt;=I364),1))*INDEX(T$4:T1350,MATCH(LARGE(FILTER(W$4:W1350,W$4:W1350&lt;=I364),1),W$4:W1350))-K364),1,
ROUNDDOWN(Y364-INDEX(K$4:K1350,MATCH(LARGE(FILTER(I$4:I1350,I$4:I1350&lt;=W364),1),I$4:I1350))-(W364-LARGE(FILTER(I$4:I"&amp;"1350,I$4:I1350&lt;=W364),1))*INDEX(F$4:F1350,MATCH(LARGE(FILTER(I$4:I1350,I$4:I1350&lt;=W364),1),I$4:I1350))))"),5.6823596E7)</f>
        <v>56823596</v>
      </c>
      <c r="N364" s="60">
        <f t="shared" si="8"/>
        <v>-267.27875</v>
      </c>
      <c r="O364" s="61" t="str">
        <f t="shared" si="9"/>
        <v>56,8M</v>
      </c>
      <c r="P364" s="56">
        <f t="shared" si="10"/>
        <v>6</v>
      </c>
      <c r="Q364" s="105" t="s">
        <v>9</v>
      </c>
      <c r="R364" s="10" t="b">
        <f>IFERROR(__xludf.DUMMYFUNCTION("IF(COUNTA(Q364:Q1350)=0,"""",IF(ISBLANK(Q364),FALSE,IF(NOT(COUNTIF($AA$24:$AA$34,SUBSTITUTE(Q364,""Sell_"",""""))),1,IF(REGEXMATCH(Q364,""Sell_""),IF(COUNTIF(Q$4:Q364,SUBSTITUTE(Q364,""Sell_"",""""))-COUNTIF(Q$4:Q363,Q364)&lt;1,1),FALSE))))"),FALSE)</f>
        <v>0</v>
      </c>
      <c r="S364" s="59">
        <f t="array" ref="S364">IF(COUNTA(Q364:Q1350)=0,"",SUM((COUNTIF(Q$4:Q364,Upgrades!$B$3:$B$13)-COUNTIF(Q$4:Q364,"Sell_"&amp;Upgrades!$B$3:$B$13))*Upgrades!$D$3:$D$13))</f>
        <v>274601</v>
      </c>
      <c r="T364" s="66">
        <f>IFERROR(__xludf.DUMMYFUNCTION("IF(COUNTA(Q364:Q1350)=0,"""",IF(REGEXMATCH(INDEX(FILTER(Q$4:Q364,Q$4:Q364&lt;&gt;""""),ROWS(FILTER(Q$4:Q364,Q$4:Q364&lt;&gt;""""))),""^Sell_""),INDEX(FILTER(T$4:T363,Q$4:Q363&lt;&gt;""""),ROWS(FILTER(Q$4:Q363,Q$4:Q363&lt;&gt;""""))),$AD$5+S364))"),274801.0)</f>
        <v>274801</v>
      </c>
      <c r="U364" s="10">
        <f>IFERROR(__xludf.DUMMYFUNCTION("IF(COUNTA(Q364:Q1350)=0,"""",IF(Q364="""",0,IF(REGEXMATCH(Q364,""^Sell_""),-ROUNDDOWN(ROUNDUP(INDEX(Upgrades!$C$3:$C$13,MATCH(SUBSTITUTE(Q364,""Sell_"",""""),Upgrades!$B$3:$B$13,0))*1.15^(COUNTIF(Q$4:Q363,SUBSTITUTE(Q364,""Sell_"",""""))-COUNTIF(Q$4:Q363,"&amp;"""Sell_""&amp;SUBSTITUTE(Q364,""Sell_"",""""))))/2),ROUNDUP(INDEX(Upgrades!$C$3:$C$13,MATCH(Q364,Upgrades!$B$3:$B$13,0))*1.15^(COUNTIF(Q$4:Q363,Q364)-COUNTIF(Q$4:Q363,""Sell_""&amp;Q364))))))"),402272.0)</f>
        <v>402272</v>
      </c>
      <c r="V364" s="10">
        <f t="shared" si="11"/>
        <v>402272</v>
      </c>
      <c r="W364" s="68">
        <f t="shared" si="12"/>
        <v>5166.432572</v>
      </c>
      <c r="X364" s="59" t="str">
        <f t="shared" si="13"/>
        <v>1h 26m 06s</v>
      </c>
      <c r="Y364" s="69">
        <f t="shared" si="14"/>
        <v>362366459</v>
      </c>
      <c r="Z364" s="11"/>
    </row>
    <row r="365">
      <c r="A365" s="8"/>
      <c r="B365" s="56" t="str">
        <f t="shared" si="2"/>
        <v/>
      </c>
      <c r="C365" s="57"/>
      <c r="D365" s="10" t="str">
        <f>IFERROR(__xludf.DUMMYFUNCTION("IF(COUNTA(C365:C1350)=0,"""",IF(ISBLANK(C365),FALSE,IF(NOT(COUNTIF($AA$24:$AA$34,SUBSTITUTE(C365,""Sell_"",""""))),1,IF(REGEXMATCH(C365,""Sell_""),IF(COUNTIF(C$4:C365,SUBSTITUTE(C365,""Sell_"",""""))-COUNTIF(C$4:C364,C365)&lt;1,1),FALSE))))"),"")</f>
        <v/>
      </c>
      <c r="E365" s="59" t="str">
        <f t="array" ref="E365">IF(COUNTA(C365:C1350)=0,"",SUM((COUNTIF(C$4:C365,Upgrades!$B$3:$B$13)-COUNTIF(C$4:C365,"Sell_"&amp;Upgrades!$B$3:$B$13))*Upgrades!$D$3:$D$13))</f>
        <v/>
      </c>
      <c r="F365" s="66" t="str">
        <f>IFERROR(__xludf.DUMMYFUNCTION("IF(COUNTA(C365:C1350)=0,"""",IF(REGEXMATCH(INDEX(FILTER(C$4:C365,C$4:C365&lt;&gt;""""),ROWS(FILTER(C$4:C365,C$4:C365&lt;&gt;""""))),""^Sell_""),INDEX(FILTER(F$4:F364,C$4:C364&lt;&gt;""""),ROWS(FILTER(C$4:C364,C$4:C364&lt;&gt;""""))),$AC$5+E365))"),"")</f>
        <v/>
      </c>
      <c r="G365" s="10" t="str">
        <f>IFERROR(__xludf.DUMMYFUNCTION("IF(COUNTA(C365:C1350)=0,"""",IF(C365="""",0,IF(REGEXMATCH(C365,""^Sell_""),-ROUNDDOWN(ROUNDUP(INDEX(Upgrades!$C$3:$C$13,MATCH(SUBSTITUTE(C365,""Sell_"",""""),Upgrades!$B$3:$B$13,0))*1.15^(COUNTIF(C$4:C364,SUBSTITUTE(C365,""Sell_"",""""))-COUNTIF(C$4:C364,"&amp;"""Sell_""&amp;SUBSTITUTE(C365,""Sell_"",""""))))/2),ROUNDUP(INDEX(Upgrades!$C$3:$C$13,MATCH(C365,Upgrades!$B$3:$B$13,0))*1.15^(COUNTIF(C$4:C364,C365)-COUNTIF(C$4:C364,""Sell_""&amp;C365))))))"),"")</f>
        <v/>
      </c>
      <c r="H365" s="10" t="str">
        <f t="shared" si="3"/>
        <v/>
      </c>
      <c r="I365" s="68" t="str">
        <f t="shared" si="4"/>
        <v/>
      </c>
      <c r="J365" s="59" t="str">
        <f t="shared" si="5"/>
        <v/>
      </c>
      <c r="K365" s="69" t="str">
        <f t="shared" si="6"/>
        <v/>
      </c>
      <c r="L365" s="60">
        <f t="shared" si="7"/>
        <v>-267.32182</v>
      </c>
      <c r="M365" s="61">
        <f>IFERROR(__xludf.DUMMYFUNCTION("IFS(AND(COUNTA(C365:C1350)=0,COUNTA(Q365:Q1350)=0),"""",OR(AND(K365&gt;=1000000000,OR(Y365&gt;=1000000000,COUNTA(Q365:Q1350)=0)),OR(Y365&gt;=1000000000,AND(COUNTA(C365:C1350)=0,P$3=TRUE))),
ROUNDDOWN((AB$1-AC$1)*MAX(INDEX(T$4:T1350,MATCH(LARGE(FILTER(Y$4:Y1350,Y$4"&amp;":Y1350&lt;1000000000),1),Y$4:Y1350)),INDEX(F$4:F1350,MATCH(LARGE(FILTER(K$4:K1350,K$4:K1350&lt;1000000000),1),K$4:K1350)))),AND(K365&lt;1000000000,COUNTA(C365:C1350)&gt;0,P$3=FALSE),
ROUNDDOWN(INDEX(Y$4:Y1350,MATCH(LARGE(FILTER(W$4:W1350,W$4:W1350&lt;=I365),1),W$4:W1350"&amp;"))+(I365-LARGE(FILTER(W$4:W1350,W$4:W1350&lt;=I365),1))*INDEX(T$4:T1350,MATCH(LARGE(FILTER(W$4:W1350,W$4:W1350&lt;=I365),1),W$4:W1350))-K365),1,
ROUNDDOWN(Y365-INDEX(K$4:K1350,MATCH(LARGE(FILTER(I$4:I1350,I$4:I1350&lt;=W365),1),I$4:I1350))-(W365-LARGE(FILTER(I$4:I"&amp;"1350,I$4:I1350&lt;=W365),1))*INDEX(F$4:F1350,MATCH(LARGE(FILTER(I$4:I1350,I$4:I1350&lt;=W365),1),I$4:I1350))))"),5.6832753E7)</f>
        <v>56832753</v>
      </c>
      <c r="N365" s="60">
        <f t="shared" si="8"/>
        <v>-267.32182</v>
      </c>
      <c r="O365" s="61" t="str">
        <f t="shared" si="9"/>
        <v>56,8M</v>
      </c>
      <c r="P365" s="56">
        <f t="shared" si="10"/>
        <v>11</v>
      </c>
      <c r="Q365" s="105" t="s">
        <v>7</v>
      </c>
      <c r="R365" s="10" t="b">
        <f>IFERROR(__xludf.DUMMYFUNCTION("IF(COUNTA(Q365:Q1350)=0,"""",IF(ISBLANK(Q365),FALSE,IF(NOT(COUNTIF($AA$24:$AA$34,SUBSTITUTE(Q365,""Sell_"",""""))),1,IF(REGEXMATCH(Q365,""Sell_""),IF(COUNTIF(Q$4:Q365,SUBSTITUTE(Q365,""Sell_"",""""))-COUNTIF(Q$4:Q364,Q365)&lt;1,1),FALSE))))"),FALSE)</f>
        <v>0</v>
      </c>
      <c r="S365" s="59">
        <f t="array" ref="S365">IF(COUNTA(Q365:Q1350)=0,"",SUM((COUNTIF(Q$4:Q365,Upgrades!$B$3:$B$13)-COUNTIF(Q$4:Q365,"Sell_"&amp;Upgrades!$B$3:$B$13))*Upgrades!$D$3:$D$13))</f>
        <v>274641</v>
      </c>
      <c r="T365" s="66">
        <f>IFERROR(__xludf.DUMMYFUNCTION("IF(COUNTA(Q365:Q1350)=0,"""",IF(REGEXMATCH(INDEX(FILTER(Q$4:Q365,Q$4:Q365&lt;&gt;""""),ROWS(FILTER(Q$4:Q365,Q$4:Q365&lt;&gt;""""))),""^Sell_""),INDEX(FILTER(T$4:T364,Q$4:Q364&lt;&gt;""""),ROWS(FILTER(Q$4:Q364,Q$4:Q364&lt;&gt;""""))),$AD$5+S365))"),274841.0)</f>
        <v>274841</v>
      </c>
      <c r="U365" s="10">
        <f>IFERROR(__xludf.DUMMYFUNCTION("IF(COUNTA(Q365:Q1350)=0,"""",IF(Q365="""",0,IF(REGEXMATCH(Q365,""^Sell_""),-ROUNDDOWN(ROUNDUP(INDEX(Upgrades!$C$3:$C$13,MATCH(SUBSTITUTE(Q365,""Sell_"",""""),Upgrades!$B$3:$B$13,0))*1.15^(COUNTIF(Q$4:Q364,SUBSTITUTE(Q365,""Sell_"",""""))-COUNTIF(Q$4:Q364,"&amp;"""Sell_""&amp;SUBSTITUTE(Q365,""Sell_"",""""))))/2),ROUNDUP(INDEX(Upgrades!$C$3:$C$13,MATCH(Q365,Upgrades!$B$3:$B$13,0))*1.15^(COUNTIF(Q$4:Q364,Q365)-COUNTIF(Q$4:Q364,""Sell_""&amp;Q365))))))"),40456.0)</f>
        <v>40456</v>
      </c>
      <c r="V365" s="10">
        <f t="shared" si="11"/>
        <v>40456</v>
      </c>
      <c r="W365" s="68">
        <f t="shared" si="12"/>
        <v>5166.579791</v>
      </c>
      <c r="X365" s="59" t="str">
        <f t="shared" si="13"/>
        <v>1h 26m 06s</v>
      </c>
      <c r="Y365" s="69">
        <f t="shared" si="14"/>
        <v>362406915</v>
      </c>
      <c r="Z365" s="11"/>
    </row>
    <row r="366">
      <c r="A366" s="8"/>
      <c r="B366" s="56" t="str">
        <f t="shared" si="2"/>
        <v/>
      </c>
      <c r="C366" s="57"/>
      <c r="D366" s="10" t="str">
        <f>IFERROR(__xludf.DUMMYFUNCTION("IF(COUNTA(C366:C1350)=0,"""",IF(ISBLANK(C366),FALSE,IF(NOT(COUNTIF($AA$24:$AA$34,SUBSTITUTE(C366,""Sell_"",""""))),1,IF(REGEXMATCH(C366,""Sell_""),IF(COUNTIF(C$4:C366,SUBSTITUTE(C366,""Sell_"",""""))-COUNTIF(C$4:C365,C366)&lt;1,1),FALSE))))"),"")</f>
        <v/>
      </c>
      <c r="E366" s="59" t="str">
        <f t="array" ref="E366">IF(COUNTA(C366:C1350)=0,"",SUM((COUNTIF(C$4:C366,Upgrades!$B$3:$B$13)-COUNTIF(C$4:C366,"Sell_"&amp;Upgrades!$B$3:$B$13))*Upgrades!$D$3:$D$13))</f>
        <v/>
      </c>
      <c r="F366" s="66" t="str">
        <f>IFERROR(__xludf.DUMMYFUNCTION("IF(COUNTA(C366:C1350)=0,"""",IF(REGEXMATCH(INDEX(FILTER(C$4:C366,C$4:C366&lt;&gt;""""),ROWS(FILTER(C$4:C366,C$4:C366&lt;&gt;""""))),""^Sell_""),INDEX(FILTER(F$4:F365,C$4:C365&lt;&gt;""""),ROWS(FILTER(C$4:C365,C$4:C365&lt;&gt;""""))),$AC$5+E366))"),"")</f>
        <v/>
      </c>
      <c r="G366" s="10" t="str">
        <f>IFERROR(__xludf.DUMMYFUNCTION("IF(COUNTA(C366:C1350)=0,"""",IF(C366="""",0,IF(REGEXMATCH(C366,""^Sell_""),-ROUNDDOWN(ROUNDUP(INDEX(Upgrades!$C$3:$C$13,MATCH(SUBSTITUTE(C366,""Sell_"",""""),Upgrades!$B$3:$B$13,0))*1.15^(COUNTIF(C$4:C365,SUBSTITUTE(C366,""Sell_"",""""))-COUNTIF(C$4:C365,"&amp;"""Sell_""&amp;SUBSTITUTE(C366,""Sell_"",""""))))/2),ROUNDUP(INDEX(Upgrades!$C$3:$C$13,MATCH(C366,Upgrades!$B$3:$B$13,0))*1.15^(COUNTIF(C$4:C365,C366)-COUNTIF(C$4:C365,""Sell_""&amp;C366))))))"),"")</f>
        <v/>
      </c>
      <c r="H366" s="10" t="str">
        <f t="shared" si="3"/>
        <v/>
      </c>
      <c r="I366" s="68" t="str">
        <f t="shared" si="4"/>
        <v/>
      </c>
      <c r="J366" s="59" t="str">
        <f t="shared" si="5"/>
        <v/>
      </c>
      <c r="K366" s="69" t="str">
        <f t="shared" si="6"/>
        <v/>
      </c>
      <c r="L366" s="60">
        <f t="shared" si="7"/>
        <v>-267.43516</v>
      </c>
      <c r="M366" s="61">
        <f>IFERROR(__xludf.DUMMYFUNCTION("IFS(AND(COUNTA(C366:C1350)=0,COUNTA(Q366:Q1350)=0),"""",OR(AND(K366&gt;=1000000000,OR(Y366&gt;=1000000000,COUNTA(Q366:Q1350)=0)),OR(Y366&gt;=1000000000,AND(COUNTA(C366:C1350)=0,P$3=TRUE))),
ROUNDDOWN((AB$1-AC$1)*MAX(INDEX(T$4:T1350,MATCH(LARGE(FILTER(Y$4:Y1350,Y$4"&amp;":Y1350&lt;1000000000),1),Y$4:Y1350)),INDEX(F$4:F1350,MATCH(LARGE(FILTER(K$4:K1350,K$4:K1350&lt;1000000000),1),K$4:K1350)))),AND(K366&lt;1000000000,COUNTA(C366:C1350)&gt;0,P$3=FALSE),
ROUNDDOWN(INDEX(Y$4:Y1350,MATCH(LARGE(FILTER(W$4:W1350,W$4:W1350&lt;=I366),1),W$4:W1350"&amp;"))+(I366-LARGE(FILTER(W$4:W1350,W$4:W1350&lt;=I366),1))*INDEX(T$4:T1350,MATCH(LARGE(FILTER(W$4:W1350,W$4:W1350&lt;=I366),1),W$4:W1350))-K366),1,
ROUNDDOWN(Y366-INDEX(K$4:K1350,MATCH(LARGE(FILTER(I$4:I1350,I$4:I1350&lt;=W366),1),I$4:I1350))-(W366-LARGE(FILTER(I$4:I"&amp;"1350,I$4:I1350&lt;=W366),1))*INDEX(F$4:F1350,MATCH(LARGE(FILTER(I$4:I1350,I$4:I1350&lt;=W366),1),I$4:I1350))))"),5.6856849E7)</f>
        <v>56856849</v>
      </c>
      <c r="N366" s="60">
        <f t="shared" si="8"/>
        <v>-267.43516</v>
      </c>
      <c r="O366" s="61" t="str">
        <f t="shared" si="9"/>
        <v>56,9M</v>
      </c>
      <c r="P366" s="56">
        <f t="shared" si="10"/>
        <v>8</v>
      </c>
      <c r="Q366" s="105" t="s">
        <v>8</v>
      </c>
      <c r="R366" s="10" t="b">
        <f>IFERROR(__xludf.DUMMYFUNCTION("IF(COUNTA(Q366:Q1350)=0,"""",IF(ISBLANK(Q366),FALSE,IF(NOT(COUNTIF($AA$24:$AA$34,SUBSTITUTE(Q366,""Sell_"",""""))),1,IF(REGEXMATCH(Q366,""Sell_""),IF(COUNTIF(Q$4:Q366,SUBSTITUTE(Q366,""Sell_"",""""))-COUNTIF(Q$4:Q365,Q366)&lt;1,1),FALSE))))"),FALSE)</f>
        <v>0</v>
      </c>
      <c r="S366" s="59">
        <f t="array" ref="S366">IF(COUNTA(Q366:Q1350)=0,"",SUM((COUNTIF(Q$4:Q366,Upgrades!$B$3:$B$13)-COUNTIF(Q$4:Q366,"Sell_"&amp;Upgrades!$B$3:$B$13))*Upgrades!$D$3:$D$13))</f>
        <v>274741</v>
      </c>
      <c r="T366" s="66">
        <f>IFERROR(__xludf.DUMMYFUNCTION("IF(COUNTA(Q366:Q1350)=0,"""",IF(REGEXMATCH(INDEX(FILTER(Q$4:Q366,Q$4:Q366&lt;&gt;""""),ROWS(FILTER(Q$4:Q366,Q$4:Q366&lt;&gt;""""))),""^Sell_""),INDEX(FILTER(T$4:T365,Q$4:Q365&lt;&gt;""""),ROWS(FILTER(Q$4:Q365,Q$4:Q365&lt;&gt;""""))),$AD$5+S366))"),274941.0)</f>
        <v>274941</v>
      </c>
      <c r="U366" s="10">
        <f>IFERROR(__xludf.DUMMYFUNCTION("IF(COUNTA(Q366:Q1350)=0,"""",IF(Q366="""",0,IF(REGEXMATCH(Q366,""^Sell_""),-ROUNDDOWN(ROUNDUP(INDEX(Upgrades!$C$3:$C$13,MATCH(SUBSTITUTE(Q366,""Sell_"",""""),Upgrades!$B$3:$B$13,0))*1.15^(COUNTIF(Q$4:Q365,SUBSTITUTE(Q366,""Sell_"",""""))-COUNTIF(Q$4:Q365,"&amp;"""Sell_""&amp;SUBSTITUTE(Q366,""Sell_"",""""))))/2),ROUNDUP(INDEX(Upgrades!$C$3:$C$13,MATCH(Q366,Upgrades!$B$3:$B$13,0))*1.15^(COUNTIF(Q$4:Q365,Q366)-COUNTIF(Q$4:Q365,""Sell_""&amp;Q366))))))"),106401.0)</f>
        <v>106401</v>
      </c>
      <c r="V366" s="10">
        <f t="shared" si="11"/>
        <v>106401</v>
      </c>
      <c r="W366" s="68">
        <f t="shared" si="12"/>
        <v>5166.966928</v>
      </c>
      <c r="X366" s="59" t="str">
        <f t="shared" si="13"/>
        <v>1h 26m 06s</v>
      </c>
      <c r="Y366" s="69">
        <f t="shared" si="14"/>
        <v>362513316</v>
      </c>
      <c r="Z366" s="11"/>
    </row>
    <row r="367">
      <c r="A367" s="8"/>
      <c r="B367" s="56" t="str">
        <f t="shared" si="2"/>
        <v/>
      </c>
      <c r="C367" s="57"/>
      <c r="D367" s="10" t="str">
        <f>IFERROR(__xludf.DUMMYFUNCTION("IF(COUNTA(C367:C1350)=0,"""",IF(ISBLANK(C367),FALSE,IF(NOT(COUNTIF($AA$24:$AA$34,SUBSTITUTE(C367,""Sell_"",""""))),1,IF(REGEXMATCH(C367,""Sell_""),IF(COUNTIF(C$4:C367,SUBSTITUTE(C367,""Sell_"",""""))-COUNTIF(C$4:C366,C367)&lt;1,1),FALSE))))"),"")</f>
        <v/>
      </c>
      <c r="E367" s="59" t="str">
        <f t="array" ref="E367">IF(COUNTA(C367:C1350)=0,"",SUM((COUNTIF(C$4:C367,Upgrades!$B$3:$B$13)-COUNTIF(C$4:C367,"Sell_"&amp;Upgrades!$B$3:$B$13))*Upgrades!$D$3:$D$13))</f>
        <v/>
      </c>
      <c r="F367" s="66" t="str">
        <f>IFERROR(__xludf.DUMMYFUNCTION("IF(COUNTA(C367:C1350)=0,"""",IF(REGEXMATCH(INDEX(FILTER(C$4:C367,C$4:C367&lt;&gt;""""),ROWS(FILTER(C$4:C367,C$4:C367&lt;&gt;""""))),""^Sell_""),INDEX(FILTER(F$4:F366,C$4:C366&lt;&gt;""""),ROWS(FILTER(C$4:C366,C$4:C366&lt;&gt;""""))),$AC$5+E367))"),"")</f>
        <v/>
      </c>
      <c r="G367" s="10" t="str">
        <f>IFERROR(__xludf.DUMMYFUNCTION("IF(COUNTA(C367:C1350)=0,"""",IF(C367="""",0,IF(REGEXMATCH(C367,""^Sell_""),-ROUNDDOWN(ROUNDUP(INDEX(Upgrades!$C$3:$C$13,MATCH(SUBSTITUTE(C367,""Sell_"",""""),Upgrades!$B$3:$B$13,0))*1.15^(COUNTIF(C$4:C366,SUBSTITUTE(C367,""Sell_"",""""))-COUNTIF(C$4:C366,"&amp;"""Sell_""&amp;SUBSTITUTE(C367,""Sell_"",""""))))/2),ROUNDUP(INDEX(Upgrades!$C$3:$C$13,MATCH(C367,Upgrades!$B$3:$B$13,0))*1.15^(COUNTIF(C$4:C366,C367)-COUNTIF(C$4:C366,""Sell_""&amp;C367))))))"),"")</f>
        <v/>
      </c>
      <c r="H367" s="10" t="str">
        <f t="shared" si="3"/>
        <v/>
      </c>
      <c r="I367" s="68" t="str">
        <f t="shared" si="4"/>
        <v/>
      </c>
      <c r="J367" s="59" t="str">
        <f t="shared" si="5"/>
        <v/>
      </c>
      <c r="K367" s="69" t="str">
        <f t="shared" si="6"/>
        <v/>
      </c>
      <c r="L367" s="60">
        <f t="shared" si="7"/>
        <v>-267.92854</v>
      </c>
      <c r="M367" s="61">
        <f>IFERROR(__xludf.DUMMYFUNCTION("IFS(AND(COUNTA(C367:C1350)=0,COUNTA(Q367:Q1350)=0),"""",OR(AND(K367&gt;=1000000000,OR(Y367&gt;=1000000000,COUNTA(Q367:Q1350)=0)),OR(Y367&gt;=1000000000,AND(COUNTA(C367:C1350)=0,P$3=TRUE))),
ROUNDDOWN((AB$1-AC$1)*MAX(INDEX(T$4:T1350,MATCH(LARGE(FILTER(Y$4:Y1350,Y$4"&amp;":Y1350&lt;1000000000),1),Y$4:Y1350)),INDEX(F$4:F1350,MATCH(LARGE(FILTER(K$4:K1350,K$4:K1350&lt;1000000000),1),K$4:K1350)))),AND(K367&lt;1000000000,COUNTA(C367:C1350)&gt;0,P$3=FALSE),
ROUNDDOWN(INDEX(Y$4:Y1350,MATCH(LARGE(FILTER(W$4:W1350,W$4:W1350&lt;=I367),1),W$4:W1350"&amp;"))+(I367-LARGE(FILTER(W$4:W1350,W$4:W1350&lt;=I367),1))*INDEX(T$4:T1350,MATCH(LARGE(FILTER(W$4:W1350,W$4:W1350&lt;=I367),1),W$4:W1350))-K367),1,
ROUNDDOWN(Y367-INDEX(K$4:K1350,MATCH(LARGE(FILTER(I$4:I1350,I$4:I1350&lt;=W367),1),I$4:I1350))-(W367-LARGE(FILTER(I$4:I"&amp;"1350,I$4:I1350&lt;=W367),1))*INDEX(F$4:F1350,MATCH(LARGE(FILTER(I$4:I1350,I$4:I1350&lt;=W367),1),I$4:I1350))))"),5.6961742E7)</f>
        <v>56961742</v>
      </c>
      <c r="N367" s="60">
        <f t="shared" si="8"/>
        <v>-267.92854</v>
      </c>
      <c r="O367" s="61" t="str">
        <f t="shared" si="9"/>
        <v>57,0M</v>
      </c>
      <c r="P367" s="56">
        <f t="shared" si="10"/>
        <v>7</v>
      </c>
      <c r="Q367" s="105" t="s">
        <v>9</v>
      </c>
      <c r="R367" s="10" t="b">
        <f>IFERROR(__xludf.DUMMYFUNCTION("IF(COUNTA(Q367:Q1350)=0,"""",IF(ISBLANK(Q367),FALSE,IF(NOT(COUNTIF($AA$24:$AA$34,SUBSTITUTE(Q367,""Sell_"",""""))),1,IF(REGEXMATCH(Q367,""Sell_""),IF(COUNTIF(Q$4:Q367,SUBSTITUTE(Q367,""Sell_"",""""))-COUNTIF(Q$4:Q366,Q367)&lt;1,1),FALSE))))"),FALSE)</f>
        <v>0</v>
      </c>
      <c r="S367" s="59">
        <f t="array" ref="S367">IF(COUNTA(Q367:Q1350)=0,"",SUM((COUNTIF(Q$4:Q367,Upgrades!$B$3:$B$13)-COUNTIF(Q$4:Q367,"Sell_"&amp;Upgrades!$B$3:$B$13))*Upgrades!$D$3:$D$13))</f>
        <v>275141</v>
      </c>
      <c r="T367" s="66">
        <f>IFERROR(__xludf.DUMMYFUNCTION("IF(COUNTA(Q367:Q1350)=0,"""",IF(REGEXMATCH(INDEX(FILTER(Q$4:Q367,Q$4:Q367&lt;&gt;""""),ROWS(FILTER(Q$4:Q367,Q$4:Q367&lt;&gt;""""))),""^Sell_""),INDEX(FILTER(T$4:T366,Q$4:Q366&lt;&gt;""""),ROWS(FILTER(Q$4:Q366,Q$4:Q366&lt;&gt;""""))),$AD$5+S367))"),275341.0)</f>
        <v>275341</v>
      </c>
      <c r="U367" s="10">
        <f>IFERROR(__xludf.DUMMYFUNCTION("IF(COUNTA(Q367:Q1350)=0,"""",IF(Q367="""",0,IF(REGEXMATCH(Q367,""^Sell_""),-ROUNDDOWN(ROUNDUP(INDEX(Upgrades!$C$3:$C$13,MATCH(SUBSTITUTE(Q367,""Sell_"",""""),Upgrades!$B$3:$B$13,0))*1.15^(COUNTIF(Q$4:Q366,SUBSTITUTE(Q367,""Sell_"",""""))-COUNTIF(Q$4:Q366,"&amp;"""Sell_""&amp;SUBSTITUTE(Q367,""Sell_"",""""))))/2),ROUNDUP(INDEX(Upgrades!$C$3:$C$13,MATCH(Q367,Upgrades!$B$3:$B$13,0))*1.15^(COUNTIF(Q$4:Q366,Q367)-COUNTIF(Q$4:Q366,""Sell_""&amp;Q367))))))"),462613.0)</f>
        <v>462613</v>
      </c>
      <c r="V367" s="10">
        <f t="shared" si="11"/>
        <v>462613</v>
      </c>
      <c r="W367" s="68">
        <f t="shared" si="12"/>
        <v>5168.649518</v>
      </c>
      <c r="X367" s="59" t="str">
        <f t="shared" si="13"/>
        <v>1h 26m 08s</v>
      </c>
      <c r="Y367" s="69">
        <f t="shared" si="14"/>
        <v>362975929</v>
      </c>
      <c r="Z367" s="11"/>
    </row>
    <row r="368">
      <c r="A368" s="8"/>
      <c r="B368" s="56" t="str">
        <f t="shared" si="2"/>
        <v/>
      </c>
      <c r="C368" s="57"/>
      <c r="D368" s="10" t="str">
        <f>IFERROR(__xludf.DUMMYFUNCTION("IF(COUNTA(C368:C1350)=0,"""",IF(ISBLANK(C368),FALSE,IF(NOT(COUNTIF($AA$24:$AA$34,SUBSTITUTE(C368,""Sell_"",""""))),1,IF(REGEXMATCH(C368,""Sell_""),IF(COUNTIF(C$4:C368,SUBSTITUTE(C368,""Sell_"",""""))-COUNTIF(C$4:C367,C368)&lt;1,1),FALSE))))"),"")</f>
        <v/>
      </c>
      <c r="E368" s="59" t="str">
        <f t="array" ref="E368">IF(COUNTA(C368:C1350)=0,"",SUM((COUNTIF(C$4:C368,Upgrades!$B$3:$B$13)-COUNTIF(C$4:C368,"Sell_"&amp;Upgrades!$B$3:$B$13))*Upgrades!$D$3:$D$13))</f>
        <v/>
      </c>
      <c r="F368" s="66" t="str">
        <f>IFERROR(__xludf.DUMMYFUNCTION("IF(COUNTA(C368:C1350)=0,"""",IF(REGEXMATCH(INDEX(FILTER(C$4:C368,C$4:C368&lt;&gt;""""),ROWS(FILTER(C$4:C368,C$4:C368&lt;&gt;""""))),""^Sell_""),INDEX(FILTER(F$4:F367,C$4:C367&lt;&gt;""""),ROWS(FILTER(C$4:C367,C$4:C367&lt;&gt;""""))),$AC$5+E368))"),"")</f>
        <v/>
      </c>
      <c r="G368" s="10" t="str">
        <f>IFERROR(__xludf.DUMMYFUNCTION("IF(COUNTA(C368:C1350)=0,"""",IF(C368="""",0,IF(REGEXMATCH(C368,""^Sell_""),-ROUNDDOWN(ROUNDUP(INDEX(Upgrades!$C$3:$C$13,MATCH(SUBSTITUTE(C368,""Sell_"",""""),Upgrades!$B$3:$B$13,0))*1.15^(COUNTIF(C$4:C367,SUBSTITUTE(C368,""Sell_"",""""))-COUNTIF(C$4:C367,"&amp;"""Sell_""&amp;SUBSTITUTE(C368,""Sell_"",""""))))/2),ROUNDUP(INDEX(Upgrades!$C$3:$C$13,MATCH(C368,Upgrades!$B$3:$B$13,0))*1.15^(COUNTIF(C$4:C367,C368)-COUNTIF(C$4:C367,""Sell_""&amp;C368))))))"),"")</f>
        <v/>
      </c>
      <c r="H368" s="10" t="str">
        <f t="shared" si="3"/>
        <v/>
      </c>
      <c r="I368" s="68" t="str">
        <f t="shared" si="4"/>
        <v/>
      </c>
      <c r="J368" s="59" t="str">
        <f t="shared" si="5"/>
        <v/>
      </c>
      <c r="K368" s="69" t="str">
        <f t="shared" si="6"/>
        <v/>
      </c>
      <c r="L368" s="60">
        <f t="shared" si="7"/>
        <v>-267.9784</v>
      </c>
      <c r="M368" s="61">
        <f>IFERROR(__xludf.DUMMYFUNCTION("IFS(AND(COUNTA(C368:C1350)=0,COUNTA(Q368:Q1350)=0),"""",OR(AND(K368&gt;=1000000000,OR(Y368&gt;=1000000000,COUNTA(Q368:Q1350)=0)),OR(Y368&gt;=1000000000,AND(COUNTA(C368:C1350)=0,P$3=TRUE))),
ROUNDDOWN((AB$1-AC$1)*MAX(INDEX(T$4:T1350,MATCH(LARGE(FILTER(Y$4:Y1350,Y$4"&amp;":Y1350&lt;1000000000),1),Y$4:Y1350)),INDEX(F$4:F1350,MATCH(LARGE(FILTER(K$4:K1350,K$4:K1350&lt;1000000000),1),K$4:K1350)))),AND(K368&lt;1000000000,COUNTA(C368:C1350)&gt;0,P$3=FALSE),
ROUNDDOWN(INDEX(Y$4:Y1350,MATCH(LARGE(FILTER(W$4:W1350,W$4:W1350&lt;=I368),1),W$4:W1350"&amp;"))+(I368-LARGE(FILTER(W$4:W1350,W$4:W1350&lt;=I368),1))*INDEX(T$4:T1350,MATCH(LARGE(FILTER(W$4:W1350,W$4:W1350&lt;=I368),1),W$4:W1350))-K368),1,
ROUNDDOWN(Y368-INDEX(K$4:K1350,MATCH(LARGE(FILTER(I$4:I1350,I$4:I1350&lt;=W368),1),I$4:I1350))-(W368-LARGE(FILTER(I$4:I"&amp;"1350,I$4:I1350&lt;=W368),1))*INDEX(F$4:F1350,MATCH(LARGE(FILTER(I$4:I1350,I$4:I1350&lt;=W368),1),I$4:I1350))))"),5.6972343E7)</f>
        <v>56972343</v>
      </c>
      <c r="N368" s="60">
        <f t="shared" si="8"/>
        <v>-267.9784</v>
      </c>
      <c r="O368" s="61" t="str">
        <f t="shared" si="9"/>
        <v>57,0M</v>
      </c>
      <c r="P368" s="56">
        <f t="shared" si="10"/>
        <v>12</v>
      </c>
      <c r="Q368" s="105" t="s">
        <v>7</v>
      </c>
      <c r="R368" s="10" t="b">
        <f>IFERROR(__xludf.DUMMYFUNCTION("IF(COUNTA(Q368:Q1350)=0,"""",IF(ISBLANK(Q368),FALSE,IF(NOT(COUNTIF($AA$24:$AA$34,SUBSTITUTE(Q368,""Sell_"",""""))),1,IF(REGEXMATCH(Q368,""Sell_""),IF(COUNTIF(Q$4:Q368,SUBSTITUTE(Q368,""Sell_"",""""))-COUNTIF(Q$4:Q367,Q368)&lt;1,1),FALSE))))"),FALSE)</f>
        <v>0</v>
      </c>
      <c r="S368" s="59">
        <f t="array" ref="S368">IF(COUNTA(Q368:Q1350)=0,"",SUM((COUNTIF(Q$4:Q368,Upgrades!$B$3:$B$13)-COUNTIF(Q$4:Q368,"Sell_"&amp;Upgrades!$B$3:$B$13))*Upgrades!$D$3:$D$13))</f>
        <v>275181</v>
      </c>
      <c r="T368" s="66">
        <f>IFERROR(__xludf.DUMMYFUNCTION("IF(COUNTA(Q368:Q1350)=0,"""",IF(REGEXMATCH(INDEX(FILTER(Q$4:Q368,Q$4:Q368&lt;&gt;""""),ROWS(FILTER(Q$4:Q368,Q$4:Q368&lt;&gt;""""))),""^Sell_""),INDEX(FILTER(T$4:T367,Q$4:Q367&lt;&gt;""""),ROWS(FILTER(Q$4:Q367,Q$4:Q367&lt;&gt;""""))),$AD$5+S368))"),275381.0)</f>
        <v>275381</v>
      </c>
      <c r="U368" s="10">
        <f>IFERROR(__xludf.DUMMYFUNCTION("IF(COUNTA(Q368:Q1350)=0,"""",IF(Q368="""",0,IF(REGEXMATCH(Q368,""^Sell_""),-ROUNDDOWN(ROUNDUP(INDEX(Upgrades!$C$3:$C$13,MATCH(SUBSTITUTE(Q368,""Sell_"",""""),Upgrades!$B$3:$B$13,0))*1.15^(COUNTIF(Q$4:Q367,SUBSTITUTE(Q368,""Sell_"",""""))-COUNTIF(Q$4:Q367,"&amp;"""Sell_""&amp;SUBSTITUTE(Q368,""Sell_"",""""))))/2),ROUNDUP(INDEX(Upgrades!$C$3:$C$13,MATCH(Q368,Upgrades!$B$3:$B$13,0))*1.15^(COUNTIF(Q$4:Q367,Q368)-COUNTIF(Q$4:Q367,""Sell_""&amp;Q368))))))"),46524.0)</f>
        <v>46524</v>
      </c>
      <c r="V368" s="10">
        <f t="shared" si="11"/>
        <v>46524</v>
      </c>
      <c r="W368" s="68">
        <f t="shared" si="12"/>
        <v>5168.818486</v>
      </c>
      <c r="X368" s="59" t="str">
        <f t="shared" si="13"/>
        <v>1h 26m 08s</v>
      </c>
      <c r="Y368" s="69">
        <f t="shared" si="14"/>
        <v>363022453</v>
      </c>
      <c r="Z368" s="11"/>
    </row>
    <row r="369">
      <c r="A369" s="8"/>
      <c r="B369" s="56" t="str">
        <f t="shared" si="2"/>
        <v/>
      </c>
      <c r="C369" s="57"/>
      <c r="D369" s="10" t="str">
        <f>IFERROR(__xludf.DUMMYFUNCTION("IF(COUNTA(C369:C1350)=0,"""",IF(ISBLANK(C369),FALSE,IF(NOT(COUNTIF($AA$24:$AA$34,SUBSTITUTE(C369,""Sell_"",""""))),1,IF(REGEXMATCH(C369,""Sell_""),IF(COUNTIF(C$4:C369,SUBSTITUTE(C369,""Sell_"",""""))-COUNTIF(C$4:C368,C369)&lt;1,1),FALSE))))"),"")</f>
        <v/>
      </c>
      <c r="E369" s="59" t="str">
        <f t="array" ref="E369">IF(COUNTA(C369:C1350)=0,"",SUM((COUNTIF(C$4:C369,Upgrades!$B$3:$B$13)-COUNTIF(C$4:C369,"Sell_"&amp;Upgrades!$B$3:$B$13))*Upgrades!$D$3:$D$13))</f>
        <v/>
      </c>
      <c r="F369" s="66" t="str">
        <f>IFERROR(__xludf.DUMMYFUNCTION("IF(COUNTA(C369:C1350)=0,"""",IF(REGEXMATCH(INDEX(FILTER(C$4:C369,C$4:C369&lt;&gt;""""),ROWS(FILTER(C$4:C369,C$4:C369&lt;&gt;""""))),""^Sell_""),INDEX(FILTER(F$4:F368,C$4:C368&lt;&gt;""""),ROWS(FILTER(C$4:C368,C$4:C368&lt;&gt;""""))),$AC$5+E369))"),"")</f>
        <v/>
      </c>
      <c r="G369" s="10" t="str">
        <f>IFERROR(__xludf.DUMMYFUNCTION("IF(COUNTA(C369:C1350)=0,"""",IF(C369="""",0,IF(REGEXMATCH(C369,""^Sell_""),-ROUNDDOWN(ROUNDUP(INDEX(Upgrades!$C$3:$C$13,MATCH(SUBSTITUTE(C369,""Sell_"",""""),Upgrades!$B$3:$B$13,0))*1.15^(COUNTIF(C$4:C368,SUBSTITUTE(C369,""Sell_"",""""))-COUNTIF(C$4:C368,"&amp;"""Sell_""&amp;SUBSTITUTE(C369,""Sell_"",""""))))/2),ROUNDUP(INDEX(Upgrades!$C$3:$C$13,MATCH(C369,Upgrades!$B$3:$B$13,0))*1.15^(COUNTIF(C$4:C368,C369)-COUNTIF(C$4:C368,""Sell_""&amp;C369))))))"),"")</f>
        <v/>
      </c>
      <c r="H369" s="10" t="str">
        <f t="shared" si="3"/>
        <v/>
      </c>
      <c r="I369" s="68" t="str">
        <f t="shared" si="4"/>
        <v/>
      </c>
      <c r="J369" s="59" t="str">
        <f t="shared" si="5"/>
        <v/>
      </c>
      <c r="K369" s="69" t="str">
        <f t="shared" si="6"/>
        <v/>
      </c>
      <c r="L369" s="60">
        <f t="shared" si="7"/>
        <v>-269.51033</v>
      </c>
      <c r="M369" s="61">
        <f>IFERROR(__xludf.DUMMYFUNCTION("IFS(AND(COUNTA(C369:C1350)=0,COUNTA(Q369:Q1350)=0),"""",OR(AND(K369&gt;=1000000000,OR(Y369&gt;=1000000000,COUNTA(Q369:Q1350)=0)),OR(Y369&gt;=1000000000,AND(COUNTA(C369:C1350)=0,P$3=TRUE))),
ROUNDDOWN((AB$1-AC$1)*MAX(INDEX(T$4:T1350,MATCH(LARGE(FILTER(Y$4:Y1350,Y$4"&amp;":Y1350&lt;1000000000),1),Y$4:Y1350)),INDEX(F$4:F1350,MATCH(LARGE(FILTER(K$4:K1350,K$4:K1350&lt;1000000000),1),K$4:K1350)))),AND(K369&lt;1000000000,COUNTA(C369:C1350)&gt;0,P$3=FALSE),
ROUNDDOWN(INDEX(Y$4:Y1350,MATCH(LARGE(FILTER(W$4:W1350,W$4:W1350&lt;=I369),1),W$4:W1350"&amp;"))+(I369-LARGE(FILTER(W$4:W1350,W$4:W1350&lt;=I369),1))*INDEX(T$4:T1350,MATCH(LARGE(FILTER(W$4:W1350,W$4:W1350&lt;=I369),1),W$4:W1350))-K369),1,
ROUNDDOWN(Y369-INDEX(K$4:K1350,MATCH(LARGE(FILTER(I$4:I1350,I$4:I1350&lt;=W369),1),I$4:I1350))-(W369-LARGE(FILTER(I$4:I"&amp;"1350,I$4:I1350&lt;=W369),1))*INDEX(F$4:F1350,MATCH(LARGE(FILTER(I$4:I1350,I$4:I1350&lt;=W369),1),I$4:I1350))))"),5.8740072E7)</f>
        <v>58740072</v>
      </c>
      <c r="N369" s="60">
        <f t="shared" si="8"/>
        <v>-269.51033</v>
      </c>
      <c r="O369" s="61" t="str">
        <f t="shared" si="9"/>
        <v>58,7M</v>
      </c>
      <c r="P369" s="56">
        <f t="shared" si="10"/>
        <v>12</v>
      </c>
      <c r="Q369" s="105" t="s">
        <v>10</v>
      </c>
      <c r="R369" s="10" t="b">
        <f>IFERROR(__xludf.DUMMYFUNCTION("IF(COUNTA(Q369:Q1350)=0,"""",IF(ISBLANK(Q369),FALSE,IF(NOT(COUNTIF($AA$24:$AA$34,SUBSTITUTE(Q369,""Sell_"",""""))),1,IF(REGEXMATCH(Q369,""Sell_""),IF(COUNTIF(Q$4:Q369,SUBSTITUTE(Q369,""Sell_"",""""))-COUNTIF(Q$4:Q368,Q369)&lt;1,1),FALSE))))"),FALSE)</f>
        <v>0</v>
      </c>
      <c r="S369" s="59">
        <f t="array" ref="S369">IF(COUNTA(Q369:Q1350)=0,"",SUM((COUNTIF(Q$4:Q369,Upgrades!$B$3:$B$13)-COUNTIF(Q$4:Q369,"Sell_"&amp;Upgrades!$B$3:$B$13))*Upgrades!$D$3:$D$13))</f>
        <v>281847</v>
      </c>
      <c r="T369" s="66">
        <f>IFERROR(__xludf.DUMMYFUNCTION("IF(COUNTA(Q369:Q1350)=0,"""",IF(REGEXMATCH(INDEX(FILTER(Q$4:Q369,Q$4:Q369&lt;&gt;""""),ROWS(FILTER(Q$4:Q369,Q$4:Q369&lt;&gt;""""))),""^Sell_""),INDEX(FILTER(T$4:T368,Q$4:Q368&lt;&gt;""""),ROWS(FILTER(Q$4:Q368,Q$4:Q368&lt;&gt;""""))),$AD$5+S369))"),282047.0)</f>
        <v>282047</v>
      </c>
      <c r="U369" s="10">
        <f>IFERROR(__xludf.DUMMYFUNCTION("IF(COUNTA(Q369:Q1350)=0,"""",IF(Q369="""",0,IF(REGEXMATCH(Q369,""^Sell_""),-ROUNDDOWN(ROUNDUP(INDEX(Upgrades!$C$3:$C$13,MATCH(SUBSTITUTE(Q369,""Sell_"",""""),Upgrades!$B$3:$B$13,0))*1.15^(COUNTIF(Q$4:Q368,SUBSTITUTE(Q369,""Sell_"",""""))-COUNTIF(Q$4:Q368,"&amp;"""Sell_""&amp;SUBSTITUTE(Q369,""Sell_"",""""))))/2),ROUNDUP(INDEX(Upgrades!$C$3:$C$13,MATCH(Q369,Upgrades!$B$3:$B$13,0))*1.15^(COUNTIF(Q$4:Q368,Q369)-COUNTIF(Q$4:Q368,""Sell_""&amp;Q369))))))"),7753983.0)</f>
        <v>7753983</v>
      </c>
      <c r="V369" s="10">
        <f t="shared" si="11"/>
        <v>7753983</v>
      </c>
      <c r="W369" s="68">
        <f t="shared" si="12"/>
        <v>5196.975777</v>
      </c>
      <c r="X369" s="59" t="str">
        <f t="shared" si="13"/>
        <v>1h 26m 36s</v>
      </c>
      <c r="Y369" s="69">
        <f t="shared" si="14"/>
        <v>370776436</v>
      </c>
      <c r="Z369" s="11"/>
    </row>
    <row r="370">
      <c r="A370" s="8"/>
      <c r="B370" s="56" t="str">
        <f t="shared" si="2"/>
        <v/>
      </c>
      <c r="C370" s="57"/>
      <c r="D370" s="10" t="str">
        <f>IFERROR(__xludf.DUMMYFUNCTION("IF(COUNTA(C370:C1350)=0,"""",IF(ISBLANK(C370),FALSE,IF(NOT(COUNTIF($AA$24:$AA$34,SUBSTITUTE(C370,""Sell_"",""""))),1,IF(REGEXMATCH(C370,""Sell_""),IF(COUNTIF(C$4:C370,SUBSTITUTE(C370,""Sell_"",""""))-COUNTIF(C$4:C369,C370)&lt;1,1),FALSE))))"),"")</f>
        <v/>
      </c>
      <c r="E370" s="59" t="str">
        <f t="array" ref="E370">IF(COUNTA(C370:C1350)=0,"",SUM((COUNTIF(C$4:C370,Upgrades!$B$3:$B$13)-COUNTIF(C$4:C370,"Sell_"&amp;Upgrades!$B$3:$B$13))*Upgrades!$D$3:$D$13))</f>
        <v/>
      </c>
      <c r="F370" s="66" t="str">
        <f>IFERROR(__xludf.DUMMYFUNCTION("IF(COUNTA(C370:C1350)=0,"""",IF(REGEXMATCH(INDEX(FILTER(C$4:C370,C$4:C370&lt;&gt;""""),ROWS(FILTER(C$4:C370,C$4:C370&lt;&gt;""""))),""^Sell_""),INDEX(FILTER(F$4:F369,C$4:C369&lt;&gt;""""),ROWS(FILTER(C$4:C369,C$4:C369&lt;&gt;""""))),$AC$5+E370))"),"")</f>
        <v/>
      </c>
      <c r="G370" s="10" t="str">
        <f>IFERROR(__xludf.DUMMYFUNCTION("IF(COUNTA(C370:C1350)=0,"""",IF(C370="""",0,IF(REGEXMATCH(C370,""^Sell_""),-ROUNDDOWN(ROUNDUP(INDEX(Upgrades!$C$3:$C$13,MATCH(SUBSTITUTE(C370,""Sell_"",""""),Upgrades!$B$3:$B$13,0))*1.15^(COUNTIF(C$4:C369,SUBSTITUTE(C370,""Sell_"",""""))-COUNTIF(C$4:C369,"&amp;"""Sell_""&amp;SUBSTITUTE(C370,""Sell_"",""""))))/2),ROUNDUP(INDEX(Upgrades!$C$3:$C$13,MATCH(C370,Upgrades!$B$3:$B$13,0))*1.15^(COUNTIF(C$4:C369,C370)-COUNTIF(C$4:C369,""Sell_""&amp;C370))))))"),"")</f>
        <v/>
      </c>
      <c r="H370" s="10" t="str">
        <f t="shared" si="3"/>
        <v/>
      </c>
      <c r="I370" s="68" t="str">
        <f t="shared" si="4"/>
        <v/>
      </c>
      <c r="J370" s="59" t="str">
        <f t="shared" si="5"/>
        <v/>
      </c>
      <c r="K370" s="69" t="str">
        <f t="shared" si="6"/>
        <v/>
      </c>
      <c r="L370" s="60">
        <f t="shared" si="7"/>
        <v>-269.46948</v>
      </c>
      <c r="M370" s="61">
        <f>IFERROR(__xludf.DUMMYFUNCTION("IFS(AND(COUNTA(C370:C1350)=0,COUNTA(Q370:Q1350)=0),"""",OR(AND(K370&gt;=1000000000,OR(Y370&gt;=1000000000,COUNTA(Q370:Q1350)=0)),OR(Y370&gt;=1000000000,AND(COUNTA(C370:C1350)=0,P$3=TRUE))),
ROUNDDOWN((AB$1-AC$1)*MAX(INDEX(T$4:T1350,MATCH(LARGE(FILTER(Y$4:Y1350,Y$4"&amp;":Y1350&lt;1000000000),1),Y$4:Y1350)),INDEX(F$4:F1350,MATCH(LARGE(FILTER(K$4:K1350,K$4:K1350&lt;1000000000),1),K$4:K1350)))),AND(K370&lt;1000000000,COUNTA(C370:C1350)&gt;0,P$3=FALSE),
ROUNDDOWN(INDEX(Y$4:Y1350,MATCH(LARGE(FILTER(W$4:W1350,W$4:W1350&lt;=I370),1),W$4:W1350"&amp;"))+(I370-LARGE(FILTER(W$4:W1350,W$4:W1350&lt;=I370),1))*INDEX(T$4:T1350,MATCH(LARGE(FILTER(W$4:W1350,W$4:W1350&lt;=I370),1),W$4:W1350))-K370),1,
ROUNDDOWN(Y370-INDEX(K$4:K1350,MATCH(LARGE(FILTER(I$4:I1350,I$4:I1350&lt;=W370),1),I$4:I1350))-(W370-LARGE(FILTER(I$4:I"&amp;"1350,I$4:I1350&lt;=W370),1))*INDEX(F$4:F1350,MATCH(LARGE(FILTER(I$4:I1350,I$4:I1350&lt;=W370),1),I$4:I1350))))"),5.87702E7)</f>
        <v>58770200</v>
      </c>
      <c r="N370" s="60">
        <f t="shared" si="8"/>
        <v>-269.46948</v>
      </c>
      <c r="O370" s="61" t="str">
        <f t="shared" si="9"/>
        <v>58,8M</v>
      </c>
      <c r="P370" s="56">
        <f t="shared" si="10"/>
        <v>9</v>
      </c>
      <c r="Q370" s="105" t="s">
        <v>8</v>
      </c>
      <c r="R370" s="10" t="b">
        <f>IFERROR(__xludf.DUMMYFUNCTION("IF(COUNTA(Q370:Q1350)=0,"""",IF(ISBLANK(Q370),FALSE,IF(NOT(COUNTIF($AA$24:$AA$34,SUBSTITUTE(Q370,""Sell_"",""""))),1,IF(REGEXMATCH(Q370,""Sell_""),IF(COUNTIF(Q$4:Q370,SUBSTITUTE(Q370,""Sell_"",""""))-COUNTIF(Q$4:Q369,Q370)&lt;1,1),FALSE))))"),FALSE)</f>
        <v>0</v>
      </c>
      <c r="S370" s="59">
        <f t="array" ref="S370">IF(COUNTA(Q370:Q1350)=0,"",SUM((COUNTIF(Q$4:Q370,Upgrades!$B$3:$B$13)-COUNTIF(Q$4:Q370,"Sell_"&amp;Upgrades!$B$3:$B$13))*Upgrades!$D$3:$D$13))</f>
        <v>281947</v>
      </c>
      <c r="T370" s="66">
        <f>IFERROR(__xludf.DUMMYFUNCTION("IF(COUNTA(Q370:Q1350)=0,"""",IF(REGEXMATCH(INDEX(FILTER(Q$4:Q370,Q$4:Q370&lt;&gt;""""),ROWS(FILTER(Q$4:Q370,Q$4:Q370&lt;&gt;""""))),""^Sell_""),INDEX(FILTER(T$4:T369,Q$4:Q369&lt;&gt;""""),ROWS(FILTER(Q$4:Q369,Q$4:Q369&lt;&gt;""""))),$AD$5+S370))"),282147.0)</f>
        <v>282147</v>
      </c>
      <c r="U370" s="10">
        <f>IFERROR(__xludf.DUMMYFUNCTION("IF(COUNTA(Q370:Q1350)=0,"""",IF(Q370="""",0,IF(REGEXMATCH(Q370,""^Sell_""),-ROUNDDOWN(ROUNDUP(INDEX(Upgrades!$C$3:$C$13,MATCH(SUBSTITUTE(Q370,""Sell_"",""""),Upgrades!$B$3:$B$13,0))*1.15^(COUNTIF(Q$4:Q369,SUBSTITUTE(Q370,""Sell_"",""""))-COUNTIF(Q$4:Q369,"&amp;"""Sell_""&amp;SUBSTITUTE(Q370,""Sell_"",""""))))/2),ROUNDUP(INDEX(Upgrades!$C$3:$C$13,MATCH(Q370,Upgrades!$B$3:$B$13,0))*1.15^(COUNTIF(Q$4:Q369,Q370)-COUNTIF(Q$4:Q369,""Sell_""&amp;Q370))))))"),122361.0)</f>
        <v>122361</v>
      </c>
      <c r="V370" s="10">
        <f t="shared" si="11"/>
        <v>122361</v>
      </c>
      <c r="W370" s="68">
        <f t="shared" si="12"/>
        <v>5197.409609</v>
      </c>
      <c r="X370" s="59" t="str">
        <f t="shared" si="13"/>
        <v>1h 26m 37s</v>
      </c>
      <c r="Y370" s="69">
        <f t="shared" si="14"/>
        <v>370898797</v>
      </c>
      <c r="Z370" s="11"/>
    </row>
    <row r="371">
      <c r="A371" s="8"/>
      <c r="B371" s="56" t="str">
        <f t="shared" si="2"/>
        <v/>
      </c>
      <c r="C371" s="57"/>
      <c r="D371" s="10" t="str">
        <f>IFERROR(__xludf.DUMMYFUNCTION("IF(COUNTA(C371:C1350)=0,"""",IF(ISBLANK(C371),FALSE,IF(NOT(COUNTIF($AA$24:$AA$34,SUBSTITUTE(C371,""Sell_"",""""))),1,IF(REGEXMATCH(C371,""Sell_""),IF(COUNTIF(C$4:C371,SUBSTITUTE(C371,""Sell_"",""""))-COUNTIF(C$4:C370,C371)&lt;1,1),FALSE))))"),"")</f>
        <v/>
      </c>
      <c r="E371" s="59" t="str">
        <f t="array" ref="E371">IF(COUNTA(C371:C1350)=0,"",SUM((COUNTIF(C$4:C371,Upgrades!$B$3:$B$13)-COUNTIF(C$4:C371,"Sell_"&amp;Upgrades!$B$3:$B$13))*Upgrades!$D$3:$D$13))</f>
        <v/>
      </c>
      <c r="F371" s="66" t="str">
        <f>IFERROR(__xludf.DUMMYFUNCTION("IF(COUNTA(C371:C1350)=0,"""",IF(REGEXMATCH(INDEX(FILTER(C$4:C371,C$4:C371&lt;&gt;""""),ROWS(FILTER(C$4:C371,C$4:C371&lt;&gt;""""))),""^Sell_""),INDEX(FILTER(F$4:F370,C$4:C370&lt;&gt;""""),ROWS(FILTER(C$4:C370,C$4:C370&lt;&gt;""""))),$AC$5+E371))"),"")</f>
        <v/>
      </c>
      <c r="G371" s="10" t="str">
        <f>IFERROR(__xludf.DUMMYFUNCTION("IF(COUNTA(C371:C1350)=0,"""",IF(C371="""",0,IF(REGEXMATCH(C371,""^Sell_""),-ROUNDDOWN(ROUNDUP(INDEX(Upgrades!$C$3:$C$13,MATCH(SUBSTITUTE(C371,""Sell_"",""""),Upgrades!$B$3:$B$13,0))*1.15^(COUNTIF(C$4:C370,SUBSTITUTE(C371,""Sell_"",""""))-COUNTIF(C$4:C370,"&amp;"""Sell_""&amp;SUBSTITUTE(C371,""Sell_"",""""))))/2),ROUNDUP(INDEX(Upgrades!$C$3:$C$13,MATCH(C371,Upgrades!$B$3:$B$13,0))*1.15^(COUNTIF(C$4:C370,C371)-COUNTIF(C$4:C370,""Sell_""&amp;C371))))))"),"")</f>
        <v/>
      </c>
      <c r="H371" s="10" t="str">
        <f t="shared" si="3"/>
        <v/>
      </c>
      <c r="I371" s="68" t="str">
        <f t="shared" si="4"/>
        <v/>
      </c>
      <c r="J371" s="59" t="str">
        <f t="shared" si="5"/>
        <v/>
      </c>
      <c r="K371" s="69" t="str">
        <f t="shared" si="6"/>
        <v/>
      </c>
      <c r="L371" s="60">
        <f t="shared" si="7"/>
        <v>-269.29254</v>
      </c>
      <c r="M371" s="61">
        <f>IFERROR(__xludf.DUMMYFUNCTION("IFS(AND(COUNTA(C371:C1350)=0,COUNTA(Q371:Q1350)=0),"""",OR(AND(K371&gt;=1000000000,OR(Y371&gt;=1000000000,COUNTA(Q371:Q1350)=0)),OR(Y371&gt;=1000000000,AND(COUNTA(C371:C1350)=0,P$3=TRUE))),
ROUNDDOWN((AB$1-AC$1)*MAX(INDEX(T$4:T1350,MATCH(LARGE(FILTER(Y$4:Y1350,Y$4"&amp;":Y1350&lt;1000000000),1),Y$4:Y1350)),INDEX(F$4:F1350,MATCH(LARGE(FILTER(K$4:K1350,K$4:K1350&lt;1000000000),1),K$4:K1350)))),AND(K371&lt;1000000000,COUNTA(C371:C1350)&gt;0,P$3=FALSE),
ROUNDDOWN(INDEX(Y$4:Y1350,MATCH(LARGE(FILTER(W$4:W1350,W$4:W1350&lt;=I371),1),W$4:W1350"&amp;"))+(I371-LARGE(FILTER(W$4:W1350,W$4:W1350&lt;=I371),1))*INDEX(T$4:T1350,MATCH(LARGE(FILTER(W$4:W1350,W$4:W1350&lt;=I371),1),W$4:W1350))-K371),1,
ROUNDDOWN(Y371-INDEX(K$4:K1350,MATCH(LARGE(FILTER(I$4:I1350,I$4:I1350&lt;=W371),1),I$4:I1350))-(W371-LARGE(FILTER(I$4:I"&amp;"1350,I$4:I1350&lt;=W371),1))*INDEX(F$4:F1350,MATCH(LARGE(FILTER(I$4:I1350,I$4:I1350&lt;=W371),1),I$4:I1350))))"),5.8901334E7)</f>
        <v>58901334</v>
      </c>
      <c r="N371" s="60">
        <f t="shared" si="8"/>
        <v>-269.29254</v>
      </c>
      <c r="O371" s="61" t="str">
        <f t="shared" si="9"/>
        <v>58,9M</v>
      </c>
      <c r="P371" s="56">
        <f t="shared" si="10"/>
        <v>8</v>
      </c>
      <c r="Q371" s="105" t="s">
        <v>9</v>
      </c>
      <c r="R371" s="10" t="b">
        <f>IFERROR(__xludf.DUMMYFUNCTION("IF(COUNTA(Q371:Q1350)=0,"""",IF(ISBLANK(Q371),FALSE,IF(NOT(COUNTIF($AA$24:$AA$34,SUBSTITUTE(Q371,""Sell_"",""""))),1,IF(REGEXMATCH(Q371,""Sell_""),IF(COUNTIF(Q$4:Q371,SUBSTITUTE(Q371,""Sell_"",""""))-COUNTIF(Q$4:Q370,Q371)&lt;1,1),FALSE))))"),FALSE)</f>
        <v>0</v>
      </c>
      <c r="S371" s="59">
        <f t="array" ref="S371">IF(COUNTA(Q371:Q1350)=0,"",SUM((COUNTIF(Q$4:Q371,Upgrades!$B$3:$B$13)-COUNTIF(Q$4:Q371,"Sell_"&amp;Upgrades!$B$3:$B$13))*Upgrades!$D$3:$D$13))</f>
        <v>282347</v>
      </c>
      <c r="T371" s="66">
        <f>IFERROR(__xludf.DUMMYFUNCTION("IF(COUNTA(Q371:Q1350)=0,"""",IF(REGEXMATCH(INDEX(FILTER(Q$4:Q371,Q$4:Q371&lt;&gt;""""),ROWS(FILTER(Q$4:Q371,Q$4:Q371&lt;&gt;""""))),""^Sell_""),INDEX(FILTER(T$4:T370,Q$4:Q370&lt;&gt;""""),ROWS(FILTER(Q$4:Q370,Q$4:Q370&lt;&gt;""""))),$AD$5+S371))"),282547.0)</f>
        <v>282547</v>
      </c>
      <c r="U371" s="10">
        <f>IFERROR(__xludf.DUMMYFUNCTION("IF(COUNTA(Q371:Q1350)=0,"""",IF(Q371="""",0,IF(REGEXMATCH(Q371,""^Sell_""),-ROUNDDOWN(ROUNDUP(INDEX(Upgrades!$C$3:$C$13,MATCH(SUBSTITUTE(Q371,""Sell_"",""""),Upgrades!$B$3:$B$13,0))*1.15^(COUNTIF(Q$4:Q370,SUBSTITUTE(Q371,""Sell_"",""""))-COUNTIF(Q$4:Q370,"&amp;"""Sell_""&amp;SUBSTITUTE(Q371,""Sell_"",""""))))/2),ROUNDUP(INDEX(Upgrades!$C$3:$C$13,MATCH(Q371,Upgrades!$B$3:$B$13,0))*1.15^(COUNTIF(Q$4:Q370,Q371)-COUNTIF(Q$4:Q370,""Sell_""&amp;Q371))))))"),532004.0)</f>
        <v>532004</v>
      </c>
      <c r="V371" s="10">
        <f t="shared" si="11"/>
        <v>532004</v>
      </c>
      <c r="W371" s="68">
        <f t="shared" si="12"/>
        <v>5199.295166</v>
      </c>
      <c r="X371" s="59" t="str">
        <f t="shared" si="13"/>
        <v>1h 26m 39s</v>
      </c>
      <c r="Y371" s="69">
        <f t="shared" si="14"/>
        <v>371430801</v>
      </c>
      <c r="Z371" s="11"/>
    </row>
    <row r="372">
      <c r="A372" s="8"/>
      <c r="B372" s="56" t="str">
        <f t="shared" si="2"/>
        <v/>
      </c>
      <c r="C372" s="57"/>
      <c r="D372" s="10" t="str">
        <f>IFERROR(__xludf.DUMMYFUNCTION("IF(COUNTA(C372:C1350)=0,"""",IF(ISBLANK(C372),FALSE,IF(NOT(COUNTIF($AA$24:$AA$34,SUBSTITUTE(C372,""Sell_"",""""))),1,IF(REGEXMATCH(C372,""Sell_""),IF(COUNTIF(C$4:C372,SUBSTITUTE(C372,""Sell_"",""""))-COUNTIF(C$4:C371,C372)&lt;1,1),FALSE))))"),"")</f>
        <v/>
      </c>
      <c r="E372" s="59" t="str">
        <f t="array" ref="E372">IF(COUNTA(C372:C1350)=0,"",SUM((COUNTIF(C$4:C372,Upgrades!$B$3:$B$13)-COUNTIF(C$4:C372,"Sell_"&amp;Upgrades!$B$3:$B$13))*Upgrades!$D$3:$D$13))</f>
        <v/>
      </c>
      <c r="F372" s="66" t="str">
        <f>IFERROR(__xludf.DUMMYFUNCTION("IF(COUNTA(C372:C1350)=0,"""",IF(REGEXMATCH(INDEX(FILTER(C$4:C372,C$4:C372&lt;&gt;""""),ROWS(FILTER(C$4:C372,C$4:C372&lt;&gt;""""))),""^Sell_""),INDEX(FILTER(F$4:F371,C$4:C371&lt;&gt;""""),ROWS(FILTER(C$4:C371,C$4:C371&lt;&gt;""""))),$AC$5+E372))"),"")</f>
        <v/>
      </c>
      <c r="G372" s="10" t="str">
        <f>IFERROR(__xludf.DUMMYFUNCTION("IF(COUNTA(C372:C1350)=0,"""",IF(C372="""",0,IF(REGEXMATCH(C372,""^Sell_""),-ROUNDDOWN(ROUNDUP(INDEX(Upgrades!$C$3:$C$13,MATCH(SUBSTITUTE(C372,""Sell_"",""""),Upgrades!$B$3:$B$13,0))*1.15^(COUNTIF(C$4:C371,SUBSTITUTE(C372,""Sell_"",""""))-COUNTIF(C$4:C371,"&amp;"""Sell_""&amp;SUBSTITUTE(C372,""Sell_"",""""))))/2),ROUNDUP(INDEX(Upgrades!$C$3:$C$13,MATCH(C372,Upgrades!$B$3:$B$13,0))*1.15^(COUNTIF(C$4:C371,C372)-COUNTIF(C$4:C371,""Sell_""&amp;C372))))))"),"")</f>
        <v/>
      </c>
      <c r="H372" s="10" t="str">
        <f t="shared" si="3"/>
        <v/>
      </c>
      <c r="I372" s="68" t="str">
        <f t="shared" si="4"/>
        <v/>
      </c>
      <c r="J372" s="59" t="str">
        <f t="shared" si="5"/>
        <v/>
      </c>
      <c r="K372" s="69" t="str">
        <f t="shared" si="6"/>
        <v/>
      </c>
      <c r="L372" s="60">
        <f t="shared" si="7"/>
        <v>-269.27502</v>
      </c>
      <c r="M372" s="61">
        <f>IFERROR(__xludf.DUMMYFUNCTION("IFS(AND(COUNTA(C372:C1350)=0,COUNTA(Q372:Q1350)=0),"""",OR(AND(K372&gt;=1000000000,OR(Y372&gt;=1000000000,COUNTA(Q372:Q1350)=0)),OR(Y372&gt;=1000000000,AND(COUNTA(C372:C1350)=0,P$3=TRUE))),
ROUNDDOWN((AB$1-AC$1)*MAX(INDEX(T$4:T1350,MATCH(LARGE(FILTER(Y$4:Y1350,Y$4"&amp;":Y1350&lt;1000000000),1),Y$4:Y1350)),INDEX(F$4:F1350,MATCH(LARGE(FILTER(K$4:K1350,K$4:K1350&lt;1000000000),1),K$4:K1350)))),AND(K372&lt;1000000000,COUNTA(C372:C1350)&gt;0,P$3=FALSE),
ROUNDDOWN(INDEX(Y$4:Y1350,MATCH(LARGE(FILTER(W$4:W1350,W$4:W1350&lt;=I372),1),W$4:W1350"&amp;"))+(I372-LARGE(FILTER(W$4:W1350,W$4:W1350&lt;=I372),1))*INDEX(T$4:T1350,MATCH(LARGE(FILTER(W$4:W1350,W$4:W1350&lt;=I372),1),W$4:W1350))-K372),1,
ROUNDDOWN(Y372-INDEX(K$4:K1350,MATCH(LARGE(FILTER(I$4:I1350,I$4:I1350&lt;=W372),1),I$4:I1350))-(W372-LARGE(FILTER(I$4:I"&amp;"1350,I$4:I1350&lt;=W372),1))*INDEX(F$4:F1350,MATCH(LARGE(FILTER(I$4:I1350,I$4:I1350&lt;=W372),1),I$4:I1350))))"),5.8914579E7)</f>
        <v>58914579</v>
      </c>
      <c r="N372" s="60">
        <f t="shared" si="8"/>
        <v>-269.27502</v>
      </c>
      <c r="O372" s="61" t="str">
        <f t="shared" si="9"/>
        <v>58,9M</v>
      </c>
      <c r="P372" s="56">
        <f t="shared" si="10"/>
        <v>13</v>
      </c>
      <c r="Q372" s="105" t="s">
        <v>7</v>
      </c>
      <c r="R372" s="10" t="b">
        <f>IFERROR(__xludf.DUMMYFUNCTION("IF(COUNTA(Q372:Q1350)=0,"""",IF(ISBLANK(Q372),FALSE,IF(NOT(COUNTIF($AA$24:$AA$34,SUBSTITUTE(Q372,""Sell_"",""""))),1,IF(REGEXMATCH(Q372,""Sell_""),IF(COUNTIF(Q$4:Q372,SUBSTITUTE(Q372,""Sell_"",""""))-COUNTIF(Q$4:Q371,Q372)&lt;1,1),FALSE))))"),FALSE)</f>
        <v>0</v>
      </c>
      <c r="S372" s="59">
        <f t="array" ref="S372">IF(COUNTA(Q372:Q1350)=0,"",SUM((COUNTIF(Q$4:Q372,Upgrades!$B$3:$B$13)-COUNTIF(Q$4:Q372,"Sell_"&amp;Upgrades!$B$3:$B$13))*Upgrades!$D$3:$D$13))</f>
        <v>282387</v>
      </c>
      <c r="T372" s="66">
        <f>IFERROR(__xludf.DUMMYFUNCTION("IF(COUNTA(Q372:Q1350)=0,"""",IF(REGEXMATCH(INDEX(FILTER(Q$4:Q372,Q$4:Q372&lt;&gt;""""),ROWS(FILTER(Q$4:Q372,Q$4:Q372&lt;&gt;""""))),""^Sell_""),INDEX(FILTER(T$4:T371,Q$4:Q371&lt;&gt;""""),ROWS(FILTER(Q$4:Q371,Q$4:Q371&lt;&gt;""""))),$AD$5+S372))"),282587.0)</f>
        <v>282587</v>
      </c>
      <c r="U372" s="10">
        <f>IFERROR(__xludf.DUMMYFUNCTION("IF(COUNTA(Q372:Q1350)=0,"""",IF(Q372="""",0,IF(REGEXMATCH(Q372,""^Sell_""),-ROUNDDOWN(ROUNDUP(INDEX(Upgrades!$C$3:$C$13,MATCH(SUBSTITUTE(Q372,""Sell_"",""""),Upgrades!$B$3:$B$13,0))*1.15^(COUNTIF(Q$4:Q371,SUBSTITUTE(Q372,""Sell_"",""""))-COUNTIF(Q$4:Q371,"&amp;"""Sell_""&amp;SUBSTITUTE(Q372,""Sell_"",""""))))/2),ROUNDUP(INDEX(Upgrades!$C$3:$C$13,MATCH(Q372,Upgrades!$B$3:$B$13,0))*1.15^(COUNTIF(Q$4:Q371,Q372)-COUNTIF(Q$4:Q371,""Sell_""&amp;Q372))))))"),53503.0)</f>
        <v>53503</v>
      </c>
      <c r="V372" s="10">
        <f t="shared" si="11"/>
        <v>53503</v>
      </c>
      <c r="W372" s="68">
        <f t="shared" si="12"/>
        <v>5199.484525</v>
      </c>
      <c r="X372" s="59" t="str">
        <f t="shared" si="13"/>
        <v>1h 26m 39s</v>
      </c>
      <c r="Y372" s="69">
        <f t="shared" si="14"/>
        <v>371484304</v>
      </c>
      <c r="Z372" s="11"/>
    </row>
    <row r="373">
      <c r="A373" s="8"/>
      <c r="B373" s="56" t="str">
        <f t="shared" si="2"/>
        <v/>
      </c>
      <c r="C373" s="57"/>
      <c r="D373" s="10" t="str">
        <f>IFERROR(__xludf.DUMMYFUNCTION("IF(COUNTA(C373:C1350)=0,"""",IF(ISBLANK(C373),FALSE,IF(NOT(COUNTIF($AA$24:$AA$34,SUBSTITUTE(C373,""Sell_"",""""))),1,IF(REGEXMATCH(C373,""Sell_""),IF(COUNTIF(C$4:C373,SUBSTITUTE(C373,""Sell_"",""""))-COUNTIF(C$4:C372,C373)&lt;1,1),FALSE))))"),"")</f>
        <v/>
      </c>
      <c r="E373" s="59" t="str">
        <f t="array" ref="E373">IF(COUNTA(C373:C1350)=0,"",SUM((COUNTIF(C$4:C373,Upgrades!$B$3:$B$13)-COUNTIF(C$4:C373,"Sell_"&amp;Upgrades!$B$3:$B$13))*Upgrades!$D$3:$D$13))</f>
        <v/>
      </c>
      <c r="F373" s="66" t="str">
        <f>IFERROR(__xludf.DUMMYFUNCTION("IF(COUNTA(C373:C1350)=0,"""",IF(REGEXMATCH(INDEX(FILTER(C$4:C373,C$4:C373&lt;&gt;""""),ROWS(FILTER(C$4:C373,C$4:C373&lt;&gt;""""))),""^Sell_""),INDEX(FILTER(F$4:F372,C$4:C372&lt;&gt;""""),ROWS(FILTER(C$4:C372,C$4:C372&lt;&gt;""""))),$AC$5+E373))"),"")</f>
        <v/>
      </c>
      <c r="G373" s="10" t="str">
        <f>IFERROR(__xludf.DUMMYFUNCTION("IF(COUNTA(C373:C1350)=0,"""",IF(C373="""",0,IF(REGEXMATCH(C373,""^Sell_""),-ROUNDDOWN(ROUNDUP(INDEX(Upgrades!$C$3:$C$13,MATCH(SUBSTITUTE(C373,""Sell_"",""""),Upgrades!$B$3:$B$13,0))*1.15^(COUNTIF(C$4:C372,SUBSTITUTE(C373,""Sell_"",""""))-COUNTIF(C$4:C372,"&amp;"""Sell_""&amp;SUBSTITUTE(C373,""Sell_"",""""))))/2),ROUNDUP(INDEX(Upgrades!$C$3:$C$13,MATCH(C373,Upgrades!$B$3:$B$13,0))*1.15^(COUNTIF(C$4:C372,C373)-COUNTIF(C$4:C372,""Sell_""&amp;C373))))))"),"")</f>
        <v/>
      </c>
      <c r="H373" s="10" t="str">
        <f t="shared" si="3"/>
        <v/>
      </c>
      <c r="I373" s="68" t="str">
        <f t="shared" si="4"/>
        <v/>
      </c>
      <c r="J373" s="59" t="str">
        <f t="shared" si="5"/>
        <v/>
      </c>
      <c r="K373" s="69" t="str">
        <f t="shared" si="6"/>
        <v/>
      </c>
      <c r="L373" s="60">
        <f t="shared" si="7"/>
        <v>-266.35847</v>
      </c>
      <c r="M373" s="61">
        <f>IFERROR(__xludf.DUMMYFUNCTION("IFS(AND(COUNTA(C373:C1350)=0,COUNTA(Q373:Q1350)=0),"""",OR(AND(K373&gt;=1000000000,OR(Y373&gt;=1000000000,COUNTA(Q373:Q1350)=0)),OR(Y373&gt;=1000000000,AND(COUNTA(C373:C1350)=0,P$3=TRUE))),
ROUNDDOWN((AB$1-AC$1)*MAX(INDEX(T$4:T1350,MATCH(LARGE(FILTER(Y$4:Y1350,Y$4"&amp;":Y1350&lt;1000000000),1),Y$4:Y1350)),INDEX(F$4:F1350,MATCH(LARGE(FILTER(K$4:K1350,K$4:K1350&lt;1000000000),1),K$4:K1350)))),AND(K373&lt;1000000000,COUNTA(C373:C1350)&gt;0,P$3=FALSE),
ROUNDDOWN(INDEX(Y$4:Y1350,MATCH(LARGE(FILTER(W$4:W1350,W$4:W1350&lt;=I373),1),W$4:W1350"&amp;"))+(I373-LARGE(FILTER(W$4:W1350,W$4:W1350&lt;=I373),1))*INDEX(T$4:T1350,MATCH(LARGE(FILTER(W$4:W1350,W$4:W1350&lt;=I373),1),W$4:W1350))-K373),1,
ROUNDDOWN(Y373-INDEX(K$4:K1350,MATCH(LARGE(FILTER(I$4:I1350,I$4:I1350&lt;=W373),1),I$4:I1350))-(W373-LARGE(FILTER(I$4:I"&amp;"1350,I$4:I1350&lt;=W373),1))*INDEX(F$4:F1350,MATCH(LARGE(FILTER(I$4:I1350,I$4:I1350&lt;=W373),1),I$4:I1350))))"),6.1123015E7)</f>
        <v>61123015</v>
      </c>
      <c r="N373" s="60">
        <f t="shared" si="8"/>
        <v>-266.35847</v>
      </c>
      <c r="O373" s="61" t="str">
        <f t="shared" si="9"/>
        <v>61,1M</v>
      </c>
      <c r="P373" s="56">
        <f t="shared" si="10"/>
        <v>13</v>
      </c>
      <c r="Q373" s="105" t="s">
        <v>10</v>
      </c>
      <c r="R373" s="10" t="b">
        <f>IFERROR(__xludf.DUMMYFUNCTION("IF(COUNTA(Q373:Q1350)=0,"""",IF(ISBLANK(Q373),FALSE,IF(NOT(COUNTIF($AA$24:$AA$34,SUBSTITUTE(Q373,""Sell_"",""""))),1,IF(REGEXMATCH(Q373,""Sell_""),IF(COUNTIF(Q$4:Q373,SUBSTITUTE(Q373,""Sell_"",""""))-COUNTIF(Q$4:Q372,Q373)&lt;1,1),FALSE))))"),FALSE)</f>
        <v>0</v>
      </c>
      <c r="S373" s="59">
        <f t="array" ref="S373">IF(COUNTA(Q373:Q1350)=0,"",SUM((COUNTIF(Q$4:Q373,Upgrades!$B$3:$B$13)-COUNTIF(Q$4:Q373,"Sell_"&amp;Upgrades!$B$3:$B$13))*Upgrades!$D$3:$D$13))</f>
        <v>289053</v>
      </c>
      <c r="T373" s="66">
        <f>IFERROR(__xludf.DUMMYFUNCTION("IF(COUNTA(Q373:Q1350)=0,"""",IF(REGEXMATCH(INDEX(FILTER(Q$4:Q373,Q$4:Q373&lt;&gt;""""),ROWS(FILTER(Q$4:Q373,Q$4:Q373&lt;&gt;""""))),""^Sell_""),INDEX(FILTER(T$4:T372,Q$4:Q372&lt;&gt;""""),ROWS(FILTER(Q$4:Q372,Q$4:Q372&lt;&gt;""""))),$AD$5+S373))"),289253.0)</f>
        <v>289253</v>
      </c>
      <c r="U373" s="10">
        <f>IFERROR(__xludf.DUMMYFUNCTION("IF(COUNTA(Q373:Q1350)=0,"""",IF(Q373="""",0,IF(REGEXMATCH(Q373,""^Sell_""),-ROUNDDOWN(ROUNDUP(INDEX(Upgrades!$C$3:$C$13,MATCH(SUBSTITUTE(Q373,""Sell_"",""""),Upgrades!$B$3:$B$13,0))*1.15^(COUNTIF(Q$4:Q372,SUBSTITUTE(Q373,""Sell_"",""""))-COUNTIF(Q$4:Q372,"&amp;"""Sell_""&amp;SUBSTITUTE(Q373,""Sell_"",""""))))/2),ROUNDUP(INDEX(Upgrades!$C$3:$C$13,MATCH(Q373,Upgrades!$B$3:$B$13,0))*1.15^(COUNTIF(Q$4:Q372,Q373)-COUNTIF(Q$4:Q372,""Sell_""&amp;Q373))))))"),8917080.0)</f>
        <v>8917080</v>
      </c>
      <c r="V373" s="10">
        <f t="shared" si="11"/>
        <v>8917080</v>
      </c>
      <c r="W373" s="68">
        <f t="shared" si="12"/>
        <v>5231.039692</v>
      </c>
      <c r="X373" s="59" t="str">
        <f t="shared" si="13"/>
        <v>1h 27m 11s</v>
      </c>
      <c r="Y373" s="69">
        <f t="shared" si="14"/>
        <v>380401384</v>
      </c>
      <c r="Z373" s="11"/>
    </row>
    <row r="374">
      <c r="A374" s="8"/>
      <c r="B374" s="56" t="str">
        <f t="shared" si="2"/>
        <v/>
      </c>
      <c r="C374" s="57"/>
      <c r="D374" s="10" t="str">
        <f>IFERROR(__xludf.DUMMYFUNCTION("IF(COUNTA(C374:C1350)=0,"""",IF(ISBLANK(C374),FALSE,IF(NOT(COUNTIF($AA$24:$AA$34,SUBSTITUTE(C374,""Sell_"",""""))),1,IF(REGEXMATCH(C374,""Sell_""),IF(COUNTIF(C$4:C374,SUBSTITUTE(C374,""Sell_"",""""))-COUNTIF(C$4:C373,C374)&lt;1,1),FALSE))))"),"")</f>
        <v/>
      </c>
      <c r="E374" s="59" t="str">
        <f t="array" ref="E374">IF(COUNTA(C374:C1350)=0,"",SUM((COUNTIF(C$4:C374,Upgrades!$B$3:$B$13)-COUNTIF(C$4:C374,"Sell_"&amp;Upgrades!$B$3:$B$13))*Upgrades!$D$3:$D$13))</f>
        <v/>
      </c>
      <c r="F374" s="66" t="str">
        <f>IFERROR(__xludf.DUMMYFUNCTION("IF(COUNTA(C374:C1350)=0,"""",IF(REGEXMATCH(INDEX(FILTER(C$4:C374,C$4:C374&lt;&gt;""""),ROWS(FILTER(C$4:C374,C$4:C374&lt;&gt;""""))),""^Sell_""),INDEX(FILTER(F$4:F373,C$4:C373&lt;&gt;""""),ROWS(FILTER(C$4:C373,C$4:C373&lt;&gt;""""))),$AC$5+E374))"),"")</f>
        <v/>
      </c>
      <c r="G374" s="10" t="str">
        <f>IFERROR(__xludf.DUMMYFUNCTION("IF(COUNTA(C374:C1350)=0,"""",IF(C374="""",0,IF(REGEXMATCH(C374,""^Sell_""),-ROUNDDOWN(ROUNDUP(INDEX(Upgrades!$C$3:$C$13,MATCH(SUBSTITUTE(C374,""Sell_"",""""),Upgrades!$B$3:$B$13,0))*1.15^(COUNTIF(C$4:C373,SUBSTITUTE(C374,""Sell_"",""""))-COUNTIF(C$4:C373,"&amp;"""Sell_""&amp;SUBSTITUTE(C374,""Sell_"",""""))))/2),ROUNDUP(INDEX(Upgrades!$C$3:$C$13,MATCH(C374,Upgrades!$B$3:$B$13,0))*1.15^(COUNTIF(C$4:C373,C374)-COUNTIF(C$4:C373,""Sell_""&amp;C374))))))"),"")</f>
        <v/>
      </c>
      <c r="H374" s="10" t="str">
        <f t="shared" si="3"/>
        <v/>
      </c>
      <c r="I374" s="68" t="str">
        <f t="shared" si="4"/>
        <v/>
      </c>
      <c r="J374" s="59" t="str">
        <f t="shared" si="5"/>
        <v/>
      </c>
      <c r="K374" s="69" t="str">
        <f t="shared" si="6"/>
        <v/>
      </c>
      <c r="L374" s="60">
        <f t="shared" si="7"/>
        <v>-266.32393</v>
      </c>
      <c r="M374" s="61">
        <f>IFERROR(__xludf.DUMMYFUNCTION("IFS(AND(COUNTA(C374:C1350)=0,COUNTA(Q374:Q1350)=0),"""",OR(AND(K374&gt;=1000000000,OR(Y374&gt;=1000000000,COUNTA(Q374:Q1350)=0)),OR(Y374&gt;=1000000000,AND(COUNTA(C374:C1350)=0,P$3=TRUE))),
ROUNDDOWN((AB$1-AC$1)*MAX(INDEX(T$4:T1350,MATCH(LARGE(FILTER(Y$4:Y1350,Y$4"&amp;":Y1350&lt;1000000000),1),Y$4:Y1350)),INDEX(F$4:F1350,MATCH(LARGE(FILTER(K$4:K1350,K$4:K1350&lt;1000000000),1),K$4:K1350)))),AND(K374&lt;1000000000,COUNTA(C374:C1350)&gt;0,P$3=FALSE),
ROUNDDOWN(INDEX(Y$4:Y1350,MATCH(LARGE(FILTER(W$4:W1350,W$4:W1350&lt;=I374),1),W$4:W1350"&amp;"))+(I374-LARGE(FILTER(W$4:W1350,W$4:W1350&lt;=I374),1))*INDEX(T$4:T1350,MATCH(LARGE(FILTER(W$4:W1350,W$4:W1350&lt;=I374),1),W$4:W1350))-K374),1,
ROUNDDOWN(Y374-INDEX(K$4:K1350,MATCH(LARGE(FILTER(I$4:I1350,I$4:I1350&lt;=W374),1),I$4:I1350))-(W374-LARGE(FILTER(I$4:I"&amp;"1350,I$4:I1350&lt;=W374),1))*INDEX(F$4:F1350,MATCH(LARGE(FILTER(I$4:I1350,I$4:I1350&lt;=W374),1),I$4:I1350))))"),6.1160305E7)</f>
        <v>61160305</v>
      </c>
      <c r="N374" s="60">
        <f t="shared" si="8"/>
        <v>-266.32393</v>
      </c>
      <c r="O374" s="61" t="str">
        <f t="shared" si="9"/>
        <v>61,2M</v>
      </c>
      <c r="P374" s="56">
        <f t="shared" si="10"/>
        <v>10</v>
      </c>
      <c r="Q374" s="105" t="s">
        <v>8</v>
      </c>
      <c r="R374" s="10" t="b">
        <f>IFERROR(__xludf.DUMMYFUNCTION("IF(COUNTA(Q374:Q1350)=0,"""",IF(ISBLANK(Q374),FALSE,IF(NOT(COUNTIF($AA$24:$AA$34,SUBSTITUTE(Q374,""Sell_"",""""))),1,IF(REGEXMATCH(Q374,""Sell_""),IF(COUNTIF(Q$4:Q374,SUBSTITUTE(Q374,""Sell_"",""""))-COUNTIF(Q$4:Q373,Q374)&lt;1,1),FALSE))))"),FALSE)</f>
        <v>0</v>
      </c>
      <c r="S374" s="59">
        <f t="array" ref="S374">IF(COUNTA(Q374:Q1350)=0,"",SUM((COUNTIF(Q$4:Q374,Upgrades!$B$3:$B$13)-COUNTIF(Q$4:Q374,"Sell_"&amp;Upgrades!$B$3:$B$13))*Upgrades!$D$3:$D$13))</f>
        <v>289153</v>
      </c>
      <c r="T374" s="66">
        <f>IFERROR(__xludf.DUMMYFUNCTION("IF(COUNTA(Q374:Q1350)=0,"""",IF(REGEXMATCH(INDEX(FILTER(Q$4:Q374,Q$4:Q374&lt;&gt;""""),ROWS(FILTER(Q$4:Q374,Q$4:Q374&lt;&gt;""""))),""^Sell_""),INDEX(FILTER(T$4:T373,Q$4:Q373&lt;&gt;""""),ROWS(FILTER(Q$4:Q373,Q$4:Q373&lt;&gt;""""))),$AD$5+S374))"),289353.0)</f>
        <v>289353</v>
      </c>
      <c r="U374" s="10">
        <f>IFERROR(__xludf.DUMMYFUNCTION("IF(COUNTA(Q374:Q1350)=0,"""",IF(Q374="""",0,IF(REGEXMATCH(Q374,""^Sell_""),-ROUNDDOWN(ROUNDUP(INDEX(Upgrades!$C$3:$C$13,MATCH(SUBSTITUTE(Q374,""Sell_"",""""),Upgrades!$B$3:$B$13,0))*1.15^(COUNTIF(Q$4:Q373,SUBSTITUTE(Q374,""Sell_"",""""))-COUNTIF(Q$4:Q373,"&amp;"""Sell_""&amp;SUBSTITUTE(Q374,""Sell_"",""""))))/2),ROUNDUP(INDEX(Upgrades!$C$3:$C$13,MATCH(Q374,Upgrades!$B$3:$B$13,0))*1.15^(COUNTIF(Q$4:Q373,Q374)-COUNTIF(Q$4:Q373,""Sell_""&amp;Q374))))))"),140716.0)</f>
        <v>140716</v>
      </c>
      <c r="V374" s="10">
        <f t="shared" si="11"/>
        <v>140716</v>
      </c>
      <c r="W374" s="68">
        <f t="shared" si="12"/>
        <v>5231.526173</v>
      </c>
      <c r="X374" s="59" t="str">
        <f t="shared" si="13"/>
        <v>1h 27m 11s</v>
      </c>
      <c r="Y374" s="69">
        <f t="shared" si="14"/>
        <v>380542100</v>
      </c>
      <c r="Z374" s="11"/>
    </row>
    <row r="375">
      <c r="A375" s="8"/>
      <c r="B375" s="56" t="str">
        <f t="shared" si="2"/>
        <v/>
      </c>
      <c r="C375" s="57"/>
      <c r="D375" s="10" t="str">
        <f>IFERROR(__xludf.DUMMYFUNCTION("IF(COUNTA(C375:C1350)=0,"""",IF(ISBLANK(C375),FALSE,IF(NOT(COUNTIF($AA$24:$AA$34,SUBSTITUTE(C375,""Sell_"",""""))),1,IF(REGEXMATCH(C375,""Sell_""),IF(COUNTIF(C$4:C375,SUBSTITUTE(C375,""Sell_"",""""))-COUNTIF(C$4:C374,C375)&lt;1,1),FALSE))))"),"")</f>
        <v/>
      </c>
      <c r="E375" s="59" t="str">
        <f t="array" ref="E375">IF(COUNTA(C375:C1350)=0,"",SUM((COUNTIF(C$4:C375,Upgrades!$B$3:$B$13)-COUNTIF(C$4:C375,"Sell_"&amp;Upgrades!$B$3:$B$13))*Upgrades!$D$3:$D$13))</f>
        <v/>
      </c>
      <c r="F375" s="66" t="str">
        <f>IFERROR(__xludf.DUMMYFUNCTION("IF(COUNTA(C375:C1350)=0,"""",IF(REGEXMATCH(INDEX(FILTER(C$4:C375,C$4:C375&lt;&gt;""""),ROWS(FILTER(C$4:C375,C$4:C375&lt;&gt;""""))),""^Sell_""),INDEX(FILTER(F$4:F374,C$4:C374&lt;&gt;""""),ROWS(FILTER(C$4:C374,C$4:C374&lt;&gt;""""))),$AC$5+E375))"),"")</f>
        <v/>
      </c>
      <c r="G375" s="10" t="str">
        <f>IFERROR(__xludf.DUMMYFUNCTION("IF(COUNTA(C375:C1350)=0,"""",IF(C375="""",0,IF(REGEXMATCH(C375,""^Sell_""),-ROUNDDOWN(ROUNDUP(INDEX(Upgrades!$C$3:$C$13,MATCH(SUBSTITUTE(C375,""Sell_"",""""),Upgrades!$B$3:$B$13,0))*1.15^(COUNTIF(C$4:C374,SUBSTITUTE(C375,""Sell_"",""""))-COUNTIF(C$4:C374,"&amp;"""Sell_""&amp;SUBSTITUTE(C375,""Sell_"",""""))))/2),ROUNDUP(INDEX(Upgrades!$C$3:$C$13,MATCH(C375,Upgrades!$B$3:$B$13,0))*1.15^(COUNTIF(C$4:C374,C375)-COUNTIF(C$4:C374,""Sell_""&amp;C375))))))"),"")</f>
        <v/>
      </c>
      <c r="H375" s="10" t="str">
        <f t="shared" si="3"/>
        <v/>
      </c>
      <c r="I375" s="68" t="str">
        <f t="shared" si="4"/>
        <v/>
      </c>
      <c r="J375" s="59" t="str">
        <f t="shared" si="5"/>
        <v/>
      </c>
      <c r="K375" s="69" t="str">
        <f t="shared" si="6"/>
        <v/>
      </c>
      <c r="L375" s="60">
        <f t="shared" si="7"/>
        <v>-266.17445</v>
      </c>
      <c r="M375" s="61">
        <f>IFERROR(__xludf.DUMMYFUNCTION("IFS(AND(COUNTA(C375:C1350)=0,COUNTA(Q375:Q1350)=0),"""",OR(AND(K375&gt;=1000000000,OR(Y375&gt;=1000000000,COUNTA(Q375:Q1350)=0)),OR(Y375&gt;=1000000000,AND(COUNTA(C375:C1350)=0,P$3=TRUE))),
ROUNDDOWN((AB$1-AC$1)*MAX(INDEX(T$4:T1350,MATCH(LARGE(FILTER(Y$4:Y1350,Y$4"&amp;":Y1350&lt;1000000000),1),Y$4:Y1350)),INDEX(F$4:F1350,MATCH(LARGE(FILTER(K$4:K1350,K$4:K1350&lt;1000000000),1),K$4:K1350)))),AND(K375&lt;1000000000,COUNTA(C375:C1350)&gt;0,P$3=FALSE),
ROUNDDOWN(INDEX(Y$4:Y1350,MATCH(LARGE(FILTER(W$4:W1350,W$4:W1350&lt;=I375),1),W$4:W1350"&amp;"))+(I375-LARGE(FILTER(W$4:W1350,W$4:W1350&lt;=I375),1))*INDEX(T$4:T1350,MATCH(LARGE(FILTER(W$4:W1350,W$4:W1350&lt;=I375),1),W$4:W1350))-K375),1,
ROUNDDOWN(Y375-INDEX(K$4:K1350,MATCH(LARGE(FILTER(I$4:I1350,I$4:I1350&lt;=W375),1),I$4:I1350))-(W375-LARGE(FILTER(I$4:I"&amp;"1350,I$4:I1350&lt;=W375),1))*INDEX(F$4:F1350,MATCH(LARGE(FILTER(I$4:I1350,I$4:I1350&lt;=W375),1),I$4:I1350))))"),6.132259E7)</f>
        <v>61322590</v>
      </c>
      <c r="N375" s="60">
        <f t="shared" si="8"/>
        <v>-266.17445</v>
      </c>
      <c r="O375" s="61" t="str">
        <f t="shared" si="9"/>
        <v>61,3M</v>
      </c>
      <c r="P375" s="56">
        <f t="shared" si="10"/>
        <v>9</v>
      </c>
      <c r="Q375" s="105" t="s">
        <v>9</v>
      </c>
      <c r="R375" s="10" t="b">
        <f>IFERROR(__xludf.DUMMYFUNCTION("IF(COUNTA(Q375:Q1350)=0,"""",IF(ISBLANK(Q375),FALSE,IF(NOT(COUNTIF($AA$24:$AA$34,SUBSTITUTE(Q375,""Sell_"",""""))),1,IF(REGEXMATCH(Q375,""Sell_""),IF(COUNTIF(Q$4:Q375,SUBSTITUTE(Q375,""Sell_"",""""))-COUNTIF(Q$4:Q374,Q375)&lt;1,1),FALSE))))"),FALSE)</f>
        <v>0</v>
      </c>
      <c r="S375" s="59">
        <f t="array" ref="S375">IF(COUNTA(Q375:Q1350)=0,"",SUM((COUNTIF(Q$4:Q375,Upgrades!$B$3:$B$13)-COUNTIF(Q$4:Q375,"Sell_"&amp;Upgrades!$B$3:$B$13))*Upgrades!$D$3:$D$13))</f>
        <v>289553</v>
      </c>
      <c r="T375" s="66">
        <f>IFERROR(__xludf.DUMMYFUNCTION("IF(COUNTA(Q375:Q1350)=0,"""",IF(REGEXMATCH(INDEX(FILTER(Q$4:Q375,Q$4:Q375&lt;&gt;""""),ROWS(FILTER(Q$4:Q375,Q$4:Q375&lt;&gt;""""))),""^Sell_""),INDEX(FILTER(T$4:T374,Q$4:Q374&lt;&gt;""""),ROWS(FILTER(Q$4:Q374,Q$4:Q374&lt;&gt;""""))),$AD$5+S375))"),289753.0)</f>
        <v>289753</v>
      </c>
      <c r="U375" s="10">
        <f>IFERROR(__xludf.DUMMYFUNCTION("IF(COUNTA(Q375:Q1350)=0,"""",IF(Q375="""",0,IF(REGEXMATCH(Q375,""^Sell_""),-ROUNDDOWN(ROUNDUP(INDEX(Upgrades!$C$3:$C$13,MATCH(SUBSTITUTE(Q375,""Sell_"",""""),Upgrades!$B$3:$B$13,0))*1.15^(COUNTIF(Q$4:Q374,SUBSTITUTE(Q375,""Sell_"",""""))-COUNTIF(Q$4:Q374,"&amp;"""Sell_""&amp;SUBSTITUTE(Q375,""Sell_"",""""))))/2),ROUNDUP(INDEX(Upgrades!$C$3:$C$13,MATCH(Q375,Upgrades!$B$3:$B$13,0))*1.15^(COUNTIF(Q$4:Q374,Q375)-COUNTIF(Q$4:Q374,""Sell_""&amp;Q375))))))"),611805.0)</f>
        <v>611805</v>
      </c>
      <c r="V375" s="10">
        <f t="shared" si="11"/>
        <v>611805</v>
      </c>
      <c r="W375" s="68">
        <f t="shared" si="12"/>
        <v>5233.640563</v>
      </c>
      <c r="X375" s="59" t="str">
        <f t="shared" si="13"/>
        <v>1h 27m 13s</v>
      </c>
      <c r="Y375" s="69">
        <f t="shared" si="14"/>
        <v>381153905</v>
      </c>
      <c r="Z375" s="11"/>
    </row>
    <row r="376">
      <c r="A376" s="8"/>
      <c r="B376" s="56" t="str">
        <f t="shared" si="2"/>
        <v/>
      </c>
      <c r="C376" s="57"/>
      <c r="D376" s="10" t="str">
        <f>IFERROR(__xludf.DUMMYFUNCTION("IF(COUNTA(C376:C1350)=0,"""",IF(ISBLANK(C376),FALSE,IF(NOT(COUNTIF($AA$24:$AA$34,SUBSTITUTE(C376,""Sell_"",""""))),1,IF(REGEXMATCH(C376,""Sell_""),IF(COUNTIF(C$4:C376,SUBSTITUTE(C376,""Sell_"",""""))-COUNTIF(C$4:C375,C376)&lt;1,1),FALSE))))"),"")</f>
        <v/>
      </c>
      <c r="E376" s="59" t="str">
        <f t="array" ref="E376">IF(COUNTA(C376:C1350)=0,"",SUM((COUNTIF(C$4:C376,Upgrades!$B$3:$B$13)-COUNTIF(C$4:C376,"Sell_"&amp;Upgrades!$B$3:$B$13))*Upgrades!$D$3:$D$13))</f>
        <v/>
      </c>
      <c r="F376" s="66" t="str">
        <f>IFERROR(__xludf.DUMMYFUNCTION("IF(COUNTA(C376:C1350)=0,"""",IF(REGEXMATCH(INDEX(FILTER(C$4:C376,C$4:C376&lt;&gt;""""),ROWS(FILTER(C$4:C376,C$4:C376&lt;&gt;""""))),""^Sell_""),INDEX(FILTER(F$4:F375,C$4:C375&lt;&gt;""""),ROWS(FILTER(C$4:C375,C$4:C375&lt;&gt;""""))),$AC$5+E376))"),"")</f>
        <v/>
      </c>
      <c r="G376" s="10" t="str">
        <f>IFERROR(__xludf.DUMMYFUNCTION("IF(COUNTA(C376:C1350)=0,"""",IF(C376="""",0,IF(REGEXMATCH(C376,""^Sell_""),-ROUNDDOWN(ROUNDUP(INDEX(Upgrades!$C$3:$C$13,MATCH(SUBSTITUTE(C376,""Sell_"",""""),Upgrades!$B$3:$B$13,0))*1.15^(COUNTIF(C$4:C375,SUBSTITUTE(C376,""Sell_"",""""))-COUNTIF(C$4:C375,"&amp;"""Sell_""&amp;SUBSTITUTE(C376,""Sell_"",""""))))/2),ROUNDUP(INDEX(Upgrades!$C$3:$C$13,MATCH(C376,Upgrades!$B$3:$B$13,0))*1.15^(COUNTIF(C$4:C375,C376)-COUNTIF(C$4:C375,""Sell_""&amp;C376))))))"),"")</f>
        <v/>
      </c>
      <c r="H376" s="10" t="str">
        <f t="shared" si="3"/>
        <v/>
      </c>
      <c r="I376" s="68" t="str">
        <f t="shared" si="4"/>
        <v/>
      </c>
      <c r="J376" s="59" t="str">
        <f t="shared" si="5"/>
        <v/>
      </c>
      <c r="K376" s="69" t="str">
        <f t="shared" si="6"/>
        <v/>
      </c>
      <c r="L376" s="60">
        <f t="shared" si="7"/>
        <v>-266.15971</v>
      </c>
      <c r="M376" s="61">
        <f>IFERROR(__xludf.DUMMYFUNCTION("IFS(AND(COUNTA(C376:C1350)=0,COUNTA(Q376:Q1350)=0),"""",OR(AND(K376&gt;=1000000000,OR(Y376&gt;=1000000000,COUNTA(Q376:Q1350)=0)),OR(Y376&gt;=1000000000,AND(COUNTA(C376:C1350)=0,P$3=TRUE))),
ROUNDDOWN((AB$1-AC$1)*MAX(INDEX(T$4:T1350,MATCH(LARGE(FILTER(Y$4:Y1350,Y$4"&amp;":Y1350&lt;1000000000),1),Y$4:Y1350)),INDEX(F$4:F1350,MATCH(LARGE(FILTER(K$4:K1350,K$4:K1350&lt;1000000000),1),K$4:K1350)))),AND(K376&lt;1000000000,COUNTA(C376:C1350)&gt;0,P$3=FALSE),
ROUNDDOWN(INDEX(Y$4:Y1350,MATCH(LARGE(FILTER(W$4:W1350,W$4:W1350&lt;=I376),1),W$4:W1350"&amp;"))+(I376-LARGE(FILTER(W$4:W1350,W$4:W1350&lt;=I376),1))*INDEX(T$4:T1350,MATCH(LARGE(FILTER(W$4:W1350,W$4:W1350&lt;=I376),1),W$4:W1350))-K376),1,
ROUNDDOWN(Y376-INDEX(K$4:K1350,MATCH(LARGE(FILTER(I$4:I1350,I$4:I1350&lt;=W376),1),I$4:I1350))-(W376-LARGE(FILTER(I$4:I"&amp;"1350,I$4:I1350&lt;=W376),1))*INDEX(F$4:F1350,MATCH(LARGE(FILTER(I$4:I1350,I$4:I1350&lt;=W376),1),I$4:I1350))))"),6.1338973E7)</f>
        <v>61338973</v>
      </c>
      <c r="N376" s="60">
        <f t="shared" si="8"/>
        <v>-266.15971</v>
      </c>
      <c r="O376" s="61" t="str">
        <f t="shared" si="9"/>
        <v>61,3M</v>
      </c>
      <c r="P376" s="56">
        <f t="shared" si="10"/>
        <v>14</v>
      </c>
      <c r="Q376" s="105" t="s">
        <v>7</v>
      </c>
      <c r="R376" s="10" t="b">
        <f>IFERROR(__xludf.DUMMYFUNCTION("IF(COUNTA(Q376:Q1350)=0,"""",IF(ISBLANK(Q376),FALSE,IF(NOT(COUNTIF($AA$24:$AA$34,SUBSTITUTE(Q376,""Sell_"",""""))),1,IF(REGEXMATCH(Q376,""Sell_""),IF(COUNTIF(Q$4:Q376,SUBSTITUTE(Q376,""Sell_"",""""))-COUNTIF(Q$4:Q375,Q376)&lt;1,1),FALSE))))"),FALSE)</f>
        <v>0</v>
      </c>
      <c r="S376" s="59">
        <f t="array" ref="S376">IF(COUNTA(Q376:Q1350)=0,"",SUM((COUNTIF(Q$4:Q376,Upgrades!$B$3:$B$13)-COUNTIF(Q$4:Q376,"Sell_"&amp;Upgrades!$B$3:$B$13))*Upgrades!$D$3:$D$13))</f>
        <v>289593</v>
      </c>
      <c r="T376" s="66">
        <f>IFERROR(__xludf.DUMMYFUNCTION("IF(COUNTA(Q376:Q1350)=0,"""",IF(REGEXMATCH(INDEX(FILTER(Q$4:Q376,Q$4:Q376&lt;&gt;""""),ROWS(FILTER(Q$4:Q376,Q$4:Q376&lt;&gt;""""))),""^Sell_""),INDEX(FILTER(T$4:T375,Q$4:Q375&lt;&gt;""""),ROWS(FILTER(Q$4:Q375,Q$4:Q375&lt;&gt;""""))),$AD$5+S376))"),289793.0)</f>
        <v>289793</v>
      </c>
      <c r="U376" s="10">
        <f>IFERROR(__xludf.DUMMYFUNCTION("IF(COUNTA(Q376:Q1350)=0,"""",IF(Q376="""",0,IF(REGEXMATCH(Q376,""^Sell_""),-ROUNDDOWN(ROUNDUP(INDEX(Upgrades!$C$3:$C$13,MATCH(SUBSTITUTE(Q376,""Sell_"",""""),Upgrades!$B$3:$B$13,0))*1.15^(COUNTIF(Q$4:Q375,SUBSTITUTE(Q376,""Sell_"",""""))-COUNTIF(Q$4:Q375,"&amp;"""Sell_""&amp;SUBSTITUTE(Q376,""Sell_"",""""))))/2),ROUNDUP(INDEX(Upgrades!$C$3:$C$13,MATCH(Q376,Upgrades!$B$3:$B$13,0))*1.15^(COUNTIF(Q$4:Q375,Q376)-COUNTIF(Q$4:Q375,""Sell_""&amp;Q376))))))"),61528.0)</f>
        <v>61528</v>
      </c>
      <c r="V376" s="10">
        <f t="shared" si="11"/>
        <v>61528</v>
      </c>
      <c r="W376" s="68">
        <f t="shared" si="12"/>
        <v>5233.852909</v>
      </c>
      <c r="X376" s="59" t="str">
        <f t="shared" si="13"/>
        <v>1h 27m 13s</v>
      </c>
      <c r="Y376" s="69">
        <f t="shared" si="14"/>
        <v>381215433</v>
      </c>
      <c r="Z376" s="11"/>
    </row>
    <row r="377">
      <c r="A377" s="8"/>
      <c r="B377" s="56" t="str">
        <f t="shared" si="2"/>
        <v/>
      </c>
      <c r="C377" s="57"/>
      <c r="D377" s="10" t="str">
        <f>IFERROR(__xludf.DUMMYFUNCTION("IF(COUNTA(C377:C1350)=0,"""",IF(ISBLANK(C377),FALSE,IF(NOT(COUNTIF($AA$24:$AA$34,SUBSTITUTE(C377,""Sell_"",""""))),1,IF(REGEXMATCH(C377,""Sell_""),IF(COUNTIF(C$4:C377,SUBSTITUTE(C377,""Sell_"",""""))-COUNTIF(C$4:C376,C377)&lt;1,1),FALSE))))"),"")</f>
        <v/>
      </c>
      <c r="E377" s="59" t="str">
        <f t="array" ref="E377">IF(COUNTA(C377:C1350)=0,"",SUM((COUNTIF(C$4:C377,Upgrades!$B$3:$B$13)-COUNTIF(C$4:C377,"Sell_"&amp;Upgrades!$B$3:$B$13))*Upgrades!$D$3:$D$13))</f>
        <v/>
      </c>
      <c r="F377" s="66" t="str">
        <f>IFERROR(__xludf.DUMMYFUNCTION("IF(COUNTA(C377:C1350)=0,"""",IF(REGEXMATCH(INDEX(FILTER(C$4:C377,C$4:C377&lt;&gt;""""),ROWS(FILTER(C$4:C377,C$4:C377&lt;&gt;""""))),""^Sell_""),INDEX(FILTER(F$4:F376,C$4:C376&lt;&gt;""""),ROWS(FILTER(C$4:C376,C$4:C376&lt;&gt;""""))),$AC$5+E377))"),"")</f>
        <v/>
      </c>
      <c r="G377" s="10" t="str">
        <f>IFERROR(__xludf.DUMMYFUNCTION("IF(COUNTA(C377:C1350)=0,"""",IF(C377="""",0,IF(REGEXMATCH(C377,""^Sell_""),-ROUNDDOWN(ROUNDUP(INDEX(Upgrades!$C$3:$C$13,MATCH(SUBSTITUTE(C377,""Sell_"",""""),Upgrades!$B$3:$B$13,0))*1.15^(COUNTIF(C$4:C376,SUBSTITUTE(C377,""Sell_"",""""))-COUNTIF(C$4:C376,"&amp;"""Sell_""&amp;SUBSTITUTE(C377,""Sell_"",""""))))/2),ROUNDUP(INDEX(Upgrades!$C$3:$C$13,MATCH(C377,Upgrades!$B$3:$B$13,0))*1.15^(COUNTIF(C$4:C376,C377)-COUNTIF(C$4:C376,""Sell_""&amp;C377))))))"),"")</f>
        <v/>
      </c>
      <c r="H377" s="10" t="str">
        <f t="shared" si="3"/>
        <v/>
      </c>
      <c r="I377" s="68" t="str">
        <f t="shared" si="4"/>
        <v/>
      </c>
      <c r="J377" s="59" t="str">
        <f t="shared" si="5"/>
        <v/>
      </c>
      <c r="K377" s="69" t="str">
        <f t="shared" si="6"/>
        <v/>
      </c>
      <c r="L377" s="60">
        <f t="shared" si="7"/>
        <v>-263.70803</v>
      </c>
      <c r="M377" s="61">
        <f>IFERROR(__xludf.DUMMYFUNCTION("IFS(AND(COUNTA(C377:C1350)=0,COUNTA(Q377:Q1350)=0),"""",OR(AND(K377&gt;=1000000000,OR(Y377&gt;=1000000000,COUNTA(Q377:Q1350)=0)),OR(Y377&gt;=1000000000,AND(COUNTA(C377:C1350)=0,P$3=TRUE))),
ROUNDDOWN((AB$1-AC$1)*MAX(INDEX(T$4:T1350,MATCH(LARGE(FILTER(Y$4:Y1350,Y$4"&amp;":Y1350&lt;1000000000),1),Y$4:Y1350)),INDEX(F$4:F1350,MATCH(LARGE(FILTER(K$4:K1350,K$4:K1350&lt;1000000000),1),K$4:K1350)))),AND(K377&lt;1000000000,COUNTA(C377:C1350)&gt;0,P$3=FALSE),
ROUNDDOWN(INDEX(Y$4:Y1350,MATCH(LARGE(FILTER(W$4:W1350,W$4:W1350&lt;=I377),1),W$4:W1350"&amp;"))+(I377-LARGE(FILTER(W$4:W1350,W$4:W1350&lt;=I377),1))*INDEX(T$4:T1350,MATCH(LARGE(FILTER(W$4:W1350,W$4:W1350&lt;=I377),1),W$4:W1350))-K377),1,
ROUNDDOWN(Y377-INDEX(K$4:K1350,MATCH(LARGE(FILTER(I$4:I1350,I$4:I1350&lt;=W377),1),I$4:I1350))-(W377-LARGE(FILTER(I$4:I"&amp;"1350,I$4:I1350&lt;=W377),1))*INDEX(F$4:F1350,MATCH(LARGE(FILTER(I$4:I1350,I$4:I1350&lt;=W377),1),I$4:I1350))))"),6.4070514E7)</f>
        <v>64070514</v>
      </c>
      <c r="N377" s="60">
        <f t="shared" si="8"/>
        <v>-263.70803</v>
      </c>
      <c r="O377" s="61" t="str">
        <f t="shared" si="9"/>
        <v>64,1M</v>
      </c>
      <c r="P377" s="56">
        <f t="shared" si="10"/>
        <v>14</v>
      </c>
      <c r="Q377" s="105" t="s">
        <v>10</v>
      </c>
      <c r="R377" s="10" t="b">
        <f>IFERROR(__xludf.DUMMYFUNCTION("IF(COUNTA(Q377:Q1350)=0,"""",IF(ISBLANK(Q377),FALSE,IF(NOT(COUNTIF($AA$24:$AA$34,SUBSTITUTE(Q377,""Sell_"",""""))),1,IF(REGEXMATCH(Q377,""Sell_""),IF(COUNTIF(Q$4:Q377,SUBSTITUTE(Q377,""Sell_"",""""))-COUNTIF(Q$4:Q376,Q377)&lt;1,1),FALSE))))"),FALSE)</f>
        <v>0</v>
      </c>
      <c r="S377" s="59">
        <f t="array" ref="S377">IF(COUNTA(Q377:Q1350)=0,"",SUM((COUNTIF(Q$4:Q377,Upgrades!$B$3:$B$13)-COUNTIF(Q$4:Q377,"Sell_"&amp;Upgrades!$B$3:$B$13))*Upgrades!$D$3:$D$13))</f>
        <v>296259</v>
      </c>
      <c r="T377" s="66">
        <f>IFERROR(__xludf.DUMMYFUNCTION("IF(COUNTA(Q377:Q1350)=0,"""",IF(REGEXMATCH(INDEX(FILTER(Q$4:Q377,Q$4:Q377&lt;&gt;""""),ROWS(FILTER(Q$4:Q377,Q$4:Q377&lt;&gt;""""))),""^Sell_""),INDEX(FILTER(T$4:T376,Q$4:Q376&lt;&gt;""""),ROWS(FILTER(Q$4:Q376,Q$4:Q376&lt;&gt;""""))),$AD$5+S377))"),296459.0)</f>
        <v>296459</v>
      </c>
      <c r="U377" s="10">
        <f>IFERROR(__xludf.DUMMYFUNCTION("IF(COUNTA(Q377:Q1350)=0,"""",IF(Q377="""",0,IF(REGEXMATCH(Q377,""^Sell_""),-ROUNDDOWN(ROUNDUP(INDEX(Upgrades!$C$3:$C$13,MATCH(SUBSTITUTE(Q377,""Sell_"",""""),Upgrades!$B$3:$B$13,0))*1.15^(COUNTIF(Q$4:Q376,SUBSTITUTE(Q377,""Sell_"",""""))-COUNTIF(Q$4:Q376,"&amp;"""Sell_""&amp;SUBSTITUTE(Q377,""Sell_"",""""))))/2),ROUNDUP(INDEX(Upgrades!$C$3:$C$13,MATCH(Q377,Upgrades!$B$3:$B$13,0))*1.15^(COUNTIF(Q$4:Q376,Q377)-COUNTIF(Q$4:Q376,""Sell_""&amp;Q377))))))"),1.0254642E7)</f>
        <v>10254642</v>
      </c>
      <c r="V377" s="10">
        <f t="shared" si="11"/>
        <v>10254642</v>
      </c>
      <c r="W377" s="68">
        <f t="shared" si="12"/>
        <v>5269.239002</v>
      </c>
      <c r="X377" s="59" t="str">
        <f t="shared" si="13"/>
        <v>1h 27m 49s</v>
      </c>
      <c r="Y377" s="69">
        <f t="shared" si="14"/>
        <v>391470075</v>
      </c>
      <c r="Z377" s="11"/>
    </row>
    <row r="378">
      <c r="A378" s="8"/>
      <c r="B378" s="56" t="str">
        <f t="shared" si="2"/>
        <v/>
      </c>
      <c r="C378" s="57"/>
      <c r="D378" s="10" t="str">
        <f>IFERROR(__xludf.DUMMYFUNCTION("IF(COUNTA(C378:C1350)=0,"""",IF(ISBLANK(C378),FALSE,IF(NOT(COUNTIF($AA$24:$AA$34,SUBSTITUTE(C378,""Sell_"",""""))),1,IF(REGEXMATCH(C378,""Sell_""),IF(COUNTIF(C$4:C378,SUBSTITUTE(C378,""Sell_"",""""))-COUNTIF(C$4:C377,C378)&lt;1,1),FALSE))))"),"")</f>
        <v/>
      </c>
      <c r="E378" s="59" t="str">
        <f t="array" ref="E378">IF(COUNTA(C378:C1350)=0,"",SUM((COUNTIF(C$4:C378,Upgrades!$B$3:$B$13)-COUNTIF(C$4:C378,"Sell_"&amp;Upgrades!$B$3:$B$13))*Upgrades!$D$3:$D$13))</f>
        <v/>
      </c>
      <c r="F378" s="66" t="str">
        <f>IFERROR(__xludf.DUMMYFUNCTION("IF(COUNTA(C378:C1350)=0,"""",IF(REGEXMATCH(INDEX(FILTER(C$4:C378,C$4:C378&lt;&gt;""""),ROWS(FILTER(C$4:C378,C$4:C378&lt;&gt;""""))),""^Sell_""),INDEX(FILTER(F$4:F377,C$4:C377&lt;&gt;""""),ROWS(FILTER(C$4:C377,C$4:C377&lt;&gt;""""))),$AC$5+E378))"),"")</f>
        <v/>
      </c>
      <c r="G378" s="10" t="str">
        <f>IFERROR(__xludf.DUMMYFUNCTION("IF(COUNTA(C378:C1350)=0,"""",IF(C378="""",0,IF(REGEXMATCH(C378,""^Sell_""),-ROUNDDOWN(ROUNDUP(INDEX(Upgrades!$C$3:$C$13,MATCH(SUBSTITUTE(C378,""Sell_"",""""),Upgrades!$B$3:$B$13,0))*1.15^(COUNTIF(C$4:C377,SUBSTITUTE(C378,""Sell_"",""""))-COUNTIF(C$4:C377,"&amp;"""Sell_""&amp;SUBSTITUTE(C378,""Sell_"",""""))))/2),ROUNDUP(INDEX(Upgrades!$C$3:$C$13,MATCH(C378,Upgrades!$B$3:$B$13,0))*1.15^(COUNTIF(C$4:C377,C378)-COUNTIF(C$4:C377,""Sell_""&amp;C378))))))"),"")</f>
        <v/>
      </c>
      <c r="H378" s="10" t="str">
        <f t="shared" si="3"/>
        <v/>
      </c>
      <c r="I378" s="68" t="str">
        <f t="shared" si="4"/>
        <v/>
      </c>
      <c r="J378" s="59" t="str">
        <f t="shared" si="5"/>
        <v/>
      </c>
      <c r="K378" s="69" t="str">
        <f t="shared" si="6"/>
        <v/>
      </c>
      <c r="L378" s="60">
        <f t="shared" si="7"/>
        <v>-263.6819</v>
      </c>
      <c r="M378" s="61">
        <f>IFERROR(__xludf.DUMMYFUNCTION("IFS(AND(COUNTA(C378:C1350)=0,COUNTA(Q378:Q1350)=0),"""",OR(AND(K378&gt;=1000000000,OR(Y378&gt;=1000000000,COUNTA(Q378:Q1350)=0)),OR(Y378&gt;=1000000000,AND(COUNTA(C378:C1350)=0,P$3=TRUE))),
ROUNDDOWN((AB$1-AC$1)*MAX(INDEX(T$4:T1350,MATCH(LARGE(FILTER(Y$4:Y1350,Y$4"&amp;":Y1350&lt;1000000000),1),Y$4:Y1350)),INDEX(F$4:F1350,MATCH(LARGE(FILTER(K$4:K1350,K$4:K1350&lt;1000000000),1),K$4:K1350)))),AND(K378&lt;1000000000,COUNTA(C378:C1350)&gt;0,P$3=FALSE),
ROUNDDOWN(INDEX(Y$4:Y1350,MATCH(LARGE(FILTER(W$4:W1350,W$4:W1350&lt;=I378),1),W$4:W1350"&amp;"))+(I378-LARGE(FILTER(W$4:W1350,W$4:W1350&lt;=I378),1))*INDEX(T$4:T1350,MATCH(LARGE(FILTER(W$4:W1350,W$4:W1350&lt;=I378),1),W$4:W1350))-K378),1,
ROUNDDOWN(Y378-INDEX(K$4:K1350,MATCH(LARGE(FILTER(I$4:I1350,I$4:I1350&lt;=W378),1),I$4:I1350))-(W378-LARGE(FILTER(I$4:I"&amp;"1350,I$4:I1350&lt;=W378),1))*INDEX(F$4:F1350,MATCH(LARGE(FILTER(I$4:I1350,I$4:I1350&lt;=W378),1),I$4:I1350))))"),6.4116288E7)</f>
        <v>64116288</v>
      </c>
      <c r="N378" s="60">
        <f t="shared" si="8"/>
        <v>-263.6819</v>
      </c>
      <c r="O378" s="61" t="str">
        <f t="shared" si="9"/>
        <v>64,1M</v>
      </c>
      <c r="P378" s="56">
        <f t="shared" si="10"/>
        <v>11</v>
      </c>
      <c r="Q378" s="105" t="s">
        <v>8</v>
      </c>
      <c r="R378" s="10" t="b">
        <f>IFERROR(__xludf.DUMMYFUNCTION("IF(COUNTA(Q378:Q1350)=0,"""",IF(ISBLANK(Q378),FALSE,IF(NOT(COUNTIF($AA$24:$AA$34,SUBSTITUTE(Q378,""Sell_"",""""))),1,IF(REGEXMATCH(Q378,""Sell_""),IF(COUNTIF(Q$4:Q378,SUBSTITUTE(Q378,""Sell_"",""""))-COUNTIF(Q$4:Q377,Q378)&lt;1,1),FALSE))))"),FALSE)</f>
        <v>0</v>
      </c>
      <c r="S378" s="59">
        <f t="array" ref="S378">IF(COUNTA(Q378:Q1350)=0,"",SUM((COUNTIF(Q$4:Q378,Upgrades!$B$3:$B$13)-COUNTIF(Q$4:Q378,"Sell_"&amp;Upgrades!$B$3:$B$13))*Upgrades!$D$3:$D$13))</f>
        <v>296359</v>
      </c>
      <c r="T378" s="66">
        <f>IFERROR(__xludf.DUMMYFUNCTION("IF(COUNTA(Q378:Q1350)=0,"""",IF(REGEXMATCH(INDEX(FILTER(Q$4:Q378,Q$4:Q378&lt;&gt;""""),ROWS(FILTER(Q$4:Q378,Q$4:Q378&lt;&gt;""""))),""^Sell_""),INDEX(FILTER(T$4:T377,Q$4:Q377&lt;&gt;""""),ROWS(FILTER(Q$4:Q377,Q$4:Q377&lt;&gt;""""))),$AD$5+S378))"),296559.0)</f>
        <v>296559</v>
      </c>
      <c r="U378" s="10">
        <f>IFERROR(__xludf.DUMMYFUNCTION("IF(COUNTA(Q378:Q1350)=0,"""",IF(Q378="""",0,IF(REGEXMATCH(Q378,""^Sell_""),-ROUNDDOWN(ROUNDUP(INDEX(Upgrades!$C$3:$C$13,MATCH(SUBSTITUTE(Q378,""Sell_"",""""),Upgrades!$B$3:$B$13,0))*1.15^(COUNTIF(Q$4:Q377,SUBSTITUTE(Q378,""Sell_"",""""))-COUNTIF(Q$4:Q377,"&amp;"""Sell_""&amp;SUBSTITUTE(Q378,""Sell_"",""""))))/2),ROUNDUP(INDEX(Upgrades!$C$3:$C$13,MATCH(Q378,Upgrades!$B$3:$B$13,0))*1.15^(COUNTIF(Q$4:Q377,Q378)-COUNTIF(Q$4:Q377,""Sell_""&amp;Q378))))))"),161823.0)</f>
        <v>161823</v>
      </c>
      <c r="V378" s="10">
        <f t="shared" si="11"/>
        <v>161823</v>
      </c>
      <c r="W378" s="68">
        <f t="shared" si="12"/>
        <v>5269.784855</v>
      </c>
      <c r="X378" s="59" t="str">
        <f t="shared" si="13"/>
        <v>1h 27m 49s</v>
      </c>
      <c r="Y378" s="69">
        <f t="shared" si="14"/>
        <v>391631898</v>
      </c>
      <c r="Z378" s="11"/>
    </row>
    <row r="379">
      <c r="A379" s="8"/>
      <c r="B379" s="56" t="str">
        <f t="shared" si="2"/>
        <v/>
      </c>
      <c r="C379" s="57"/>
      <c r="D379" s="10" t="str">
        <f>IFERROR(__xludf.DUMMYFUNCTION("IF(COUNTA(C379:C1350)=0,"""",IF(ISBLANK(C379),FALSE,IF(NOT(COUNTIF($AA$24:$AA$34,SUBSTITUTE(C379,""Sell_"",""""))),1,IF(REGEXMATCH(C379,""Sell_""),IF(COUNTIF(C$4:C379,SUBSTITUTE(C379,""Sell_"",""""))-COUNTIF(C$4:C378,C379)&lt;1,1),FALSE))))"),"")</f>
        <v/>
      </c>
      <c r="E379" s="59" t="str">
        <f t="array" ref="E379">IF(COUNTA(C379:C1350)=0,"",SUM((COUNTIF(C$4:C379,Upgrades!$B$3:$B$13)-COUNTIF(C$4:C379,"Sell_"&amp;Upgrades!$B$3:$B$13))*Upgrades!$D$3:$D$13))</f>
        <v/>
      </c>
      <c r="F379" s="66" t="str">
        <f>IFERROR(__xludf.DUMMYFUNCTION("IF(COUNTA(C379:C1350)=0,"""",IF(REGEXMATCH(INDEX(FILTER(C$4:C379,C$4:C379&lt;&gt;""""),ROWS(FILTER(C$4:C379,C$4:C379&lt;&gt;""""))),""^Sell_""),INDEX(FILTER(F$4:F378,C$4:C378&lt;&gt;""""),ROWS(FILTER(C$4:C378,C$4:C378&lt;&gt;""""))),$AC$5+E379))"),"")</f>
        <v/>
      </c>
      <c r="G379" s="10" t="str">
        <f>IFERROR(__xludf.DUMMYFUNCTION("IF(COUNTA(C379:C1350)=0,"""",IF(C379="""",0,IF(REGEXMATCH(C379,""^Sell_""),-ROUNDDOWN(ROUNDUP(INDEX(Upgrades!$C$3:$C$13,MATCH(SUBSTITUTE(C379,""Sell_"",""""),Upgrades!$B$3:$B$13,0))*1.15^(COUNTIF(C$4:C378,SUBSTITUTE(C379,""Sell_"",""""))-COUNTIF(C$4:C378,"&amp;"""Sell_""&amp;SUBSTITUTE(C379,""Sell_"",""""))))/2),ROUNDUP(INDEX(Upgrades!$C$3:$C$13,MATCH(C379,Upgrades!$B$3:$B$13,0))*1.15^(COUNTIF(C$4:C378,C379)-COUNTIF(C$4:C378,""Sell_""&amp;C379))))))"),"")</f>
        <v/>
      </c>
      <c r="H379" s="10" t="str">
        <f t="shared" si="3"/>
        <v/>
      </c>
      <c r="I379" s="68" t="str">
        <f t="shared" si="4"/>
        <v/>
      </c>
      <c r="J379" s="59" t="str">
        <f t="shared" si="5"/>
        <v/>
      </c>
      <c r="K379" s="69" t="str">
        <f t="shared" si="6"/>
        <v/>
      </c>
      <c r="L379" s="60">
        <f t="shared" si="7"/>
        <v>-263.56908</v>
      </c>
      <c r="M379" s="61">
        <f>IFERROR(__xludf.DUMMYFUNCTION("IFS(AND(COUNTA(C379:C1350)=0,COUNTA(Q379:Q1350)=0),"""",OR(AND(K379&gt;=1000000000,OR(Y379&gt;=1000000000,COUNTA(Q379:Q1350)=0)),OR(Y379&gt;=1000000000,AND(COUNTA(C379:C1350)=0,P$3=TRUE))),
ROUNDDOWN((AB$1-AC$1)*MAX(INDEX(T$4:T1350,MATCH(LARGE(FILTER(Y$4:Y1350,Y$4"&amp;":Y1350&lt;1000000000),1),Y$4:Y1350)),INDEX(F$4:F1350,MATCH(LARGE(FILTER(K$4:K1350,K$4:K1350&lt;1000000000),1),K$4:K1350)))),AND(K379&lt;1000000000,COUNTA(C379:C1350)&gt;0,P$3=FALSE),
ROUNDDOWN(INDEX(Y$4:Y1350,MATCH(LARGE(FILTER(W$4:W1350,W$4:W1350&lt;=I379),1),W$4:W1350"&amp;"))+(I379-LARGE(FILTER(W$4:W1350,W$4:W1350&lt;=I379),1))*INDEX(T$4:T1350,MATCH(LARGE(FILTER(W$4:W1350,W$4:W1350&lt;=I379),1),W$4:W1350))-K379),1,
ROUNDDOWN(Y379-INDEX(K$4:K1350,MATCH(LARGE(FILTER(I$4:I1350,I$4:I1350&lt;=W379),1),I$4:I1350))-(W379-LARGE(FILTER(I$4:I"&amp;"1350,I$4:I1350&lt;=W379),1))*INDEX(F$4:F1350,MATCH(LARGE(FILTER(I$4:I1350,I$4:I1350&lt;=W379),1),I$4:I1350))))"),6.4315477E7)</f>
        <v>64315477</v>
      </c>
      <c r="N379" s="60">
        <f t="shared" si="8"/>
        <v>-263.56908</v>
      </c>
      <c r="O379" s="61" t="str">
        <f t="shared" si="9"/>
        <v>64,3M</v>
      </c>
      <c r="P379" s="56">
        <f t="shared" si="10"/>
        <v>10</v>
      </c>
      <c r="Q379" s="105" t="s">
        <v>9</v>
      </c>
      <c r="R379" s="10" t="b">
        <f>IFERROR(__xludf.DUMMYFUNCTION("IF(COUNTA(Q379:Q1350)=0,"""",IF(ISBLANK(Q379),FALSE,IF(NOT(COUNTIF($AA$24:$AA$34,SUBSTITUTE(Q379,""Sell_"",""""))),1,IF(REGEXMATCH(Q379,""Sell_""),IF(COUNTIF(Q$4:Q379,SUBSTITUTE(Q379,""Sell_"",""""))-COUNTIF(Q$4:Q378,Q379)&lt;1,1),FALSE))))"),FALSE)</f>
        <v>0</v>
      </c>
      <c r="S379" s="59">
        <f t="array" ref="S379">IF(COUNTA(Q379:Q1350)=0,"",SUM((COUNTIF(Q$4:Q379,Upgrades!$B$3:$B$13)-COUNTIF(Q$4:Q379,"Sell_"&amp;Upgrades!$B$3:$B$13))*Upgrades!$D$3:$D$13))</f>
        <v>296759</v>
      </c>
      <c r="T379" s="66">
        <f>IFERROR(__xludf.DUMMYFUNCTION("IF(COUNTA(Q379:Q1350)=0,"""",IF(REGEXMATCH(INDEX(FILTER(Q$4:Q379,Q$4:Q379&lt;&gt;""""),ROWS(FILTER(Q$4:Q379,Q$4:Q379&lt;&gt;""""))),""^Sell_""),INDEX(FILTER(T$4:T378,Q$4:Q378&lt;&gt;""""),ROWS(FILTER(Q$4:Q378,Q$4:Q378&lt;&gt;""""))),$AD$5+S379))"),296959.0)</f>
        <v>296959</v>
      </c>
      <c r="U379" s="10">
        <f>IFERROR(__xludf.DUMMYFUNCTION("IF(COUNTA(Q379:Q1350)=0,"""",IF(Q379="""",0,IF(REGEXMATCH(Q379,""^Sell_""),-ROUNDDOWN(ROUNDUP(INDEX(Upgrades!$C$3:$C$13,MATCH(SUBSTITUTE(Q379,""Sell_"",""""),Upgrades!$B$3:$B$13,0))*1.15^(COUNTIF(Q$4:Q378,SUBSTITUTE(Q379,""Sell_"",""""))-COUNTIF(Q$4:Q378,"&amp;"""Sell_""&amp;SUBSTITUTE(Q379,""Sell_"",""""))))/2),ROUNDUP(INDEX(Upgrades!$C$3:$C$13,MATCH(Q379,Upgrades!$B$3:$B$13,0))*1.15^(COUNTIF(Q$4:Q378,Q379)-COUNTIF(Q$4:Q378,""Sell_""&amp;Q379))))))"),703576.0)</f>
        <v>703576</v>
      </c>
      <c r="V379" s="10">
        <f t="shared" si="11"/>
        <v>703576</v>
      </c>
      <c r="W379" s="68">
        <f t="shared" si="12"/>
        <v>5272.15732</v>
      </c>
      <c r="X379" s="59" t="str">
        <f t="shared" si="13"/>
        <v>1h 27m 52s</v>
      </c>
      <c r="Y379" s="69">
        <f t="shared" si="14"/>
        <v>392335474</v>
      </c>
      <c r="Z379" s="11"/>
    </row>
    <row r="380">
      <c r="A380" s="8"/>
      <c r="B380" s="56" t="str">
        <f t="shared" si="2"/>
        <v/>
      </c>
      <c r="C380" s="57"/>
      <c r="D380" s="10" t="str">
        <f>IFERROR(__xludf.DUMMYFUNCTION("IF(COUNTA(C380:C1350)=0,"""",IF(ISBLANK(C380),FALSE,IF(NOT(COUNTIF($AA$24:$AA$34,SUBSTITUTE(C380,""Sell_"",""""))),1,IF(REGEXMATCH(C380,""Sell_""),IF(COUNTIF(C$4:C380,SUBSTITUTE(C380,""Sell_"",""""))-COUNTIF(C$4:C379,C380)&lt;1,1),FALSE))))"),"")</f>
        <v/>
      </c>
      <c r="E380" s="59" t="str">
        <f t="array" ref="E380">IF(COUNTA(C380:C1350)=0,"",SUM((COUNTIF(C$4:C380,Upgrades!$B$3:$B$13)-COUNTIF(C$4:C380,"Sell_"&amp;Upgrades!$B$3:$B$13))*Upgrades!$D$3:$D$13))</f>
        <v/>
      </c>
      <c r="F380" s="66" t="str">
        <f>IFERROR(__xludf.DUMMYFUNCTION("IF(COUNTA(C380:C1350)=0,"""",IF(REGEXMATCH(INDEX(FILTER(C$4:C380,C$4:C380&lt;&gt;""""),ROWS(FILTER(C$4:C380,C$4:C380&lt;&gt;""""))),""^Sell_""),INDEX(FILTER(F$4:F379,C$4:C379&lt;&gt;""""),ROWS(FILTER(C$4:C379,C$4:C379&lt;&gt;""""))),$AC$5+E380))"),"")</f>
        <v/>
      </c>
      <c r="G380" s="10" t="str">
        <f>IFERROR(__xludf.DUMMYFUNCTION("IF(COUNTA(C380:C1350)=0,"""",IF(C380="""",0,IF(REGEXMATCH(C380,""^Sell_""),-ROUNDDOWN(ROUNDUP(INDEX(Upgrades!$C$3:$C$13,MATCH(SUBSTITUTE(C380,""Sell_"",""""),Upgrades!$B$3:$B$13,0))*1.15^(COUNTIF(C$4:C379,SUBSTITUTE(C380,""Sell_"",""""))-COUNTIF(C$4:C379,"&amp;"""Sell_""&amp;SUBSTITUTE(C380,""Sell_"",""""))))/2),ROUNDUP(INDEX(Upgrades!$C$3:$C$13,MATCH(C380,Upgrades!$B$3:$B$13,0))*1.15^(COUNTIF(C$4:C379,C380)-COUNTIF(C$4:C379,""Sell_""&amp;C380))))))"),"")</f>
        <v/>
      </c>
      <c r="H380" s="10" t="str">
        <f t="shared" si="3"/>
        <v/>
      </c>
      <c r="I380" s="68" t="str">
        <f t="shared" si="4"/>
        <v/>
      </c>
      <c r="J380" s="59" t="str">
        <f t="shared" si="5"/>
        <v/>
      </c>
      <c r="K380" s="69" t="str">
        <f t="shared" si="6"/>
        <v/>
      </c>
      <c r="L380" s="60">
        <f t="shared" si="7"/>
        <v>-263.55806</v>
      </c>
      <c r="M380" s="61">
        <f>IFERROR(__xludf.DUMMYFUNCTION("IFS(AND(COUNTA(C380:C1350)=0,COUNTA(Q380:Q1350)=0),"""",OR(AND(K380&gt;=1000000000,OR(Y380&gt;=1000000000,COUNTA(Q380:Q1350)=0)),OR(Y380&gt;=1000000000,AND(COUNTA(C380:C1350)=0,P$3=TRUE))),
ROUNDDOWN((AB$1-AC$1)*MAX(INDEX(T$4:T1350,MATCH(LARGE(FILTER(Y$4:Y1350,Y$4"&amp;":Y1350&lt;1000000000),1),Y$4:Y1350)),INDEX(F$4:F1350,MATCH(LARGE(FILTER(K$4:K1350,K$4:K1350&lt;1000000000),1),K$4:K1350)))),AND(K380&lt;1000000000,COUNTA(C380:C1350)&gt;0,P$3=FALSE),
ROUNDDOWN(INDEX(Y$4:Y1350,MATCH(LARGE(FILTER(W$4:W1350,W$4:W1350&lt;=I380),1),W$4:W1350"&amp;"))+(I380-LARGE(FILTER(W$4:W1350,W$4:W1350&lt;=I380),1))*INDEX(T$4:T1350,MATCH(LARGE(FILTER(W$4:W1350,W$4:W1350&lt;=I380),1),W$4:W1350))-K380),1,
ROUNDDOWN(Y380-INDEX(K$4:K1350,MATCH(LARGE(FILTER(I$4:I1350,I$4:I1350&lt;=W380),1),I$4:I1350))-(W380-LARGE(FILTER(I$4:I"&amp;"1350,I$4:I1350&lt;=W380),1))*INDEX(F$4:F1350,MATCH(LARGE(FILTER(I$4:I1350,I$4:I1350&lt;=W380),1),I$4:I1350))))"),6.4335577E7)</f>
        <v>64335577</v>
      </c>
      <c r="N380" s="60">
        <f t="shared" si="8"/>
        <v>-263.55806</v>
      </c>
      <c r="O380" s="61" t="str">
        <f t="shared" si="9"/>
        <v>64,3M</v>
      </c>
      <c r="P380" s="56">
        <f t="shared" si="10"/>
        <v>15</v>
      </c>
      <c r="Q380" s="105" t="s">
        <v>7</v>
      </c>
      <c r="R380" s="10" t="b">
        <f>IFERROR(__xludf.DUMMYFUNCTION("IF(COUNTA(Q380:Q1350)=0,"""",IF(ISBLANK(Q380),FALSE,IF(NOT(COUNTIF($AA$24:$AA$34,SUBSTITUTE(Q380,""Sell_"",""""))),1,IF(REGEXMATCH(Q380,""Sell_""),IF(COUNTIF(Q$4:Q380,SUBSTITUTE(Q380,""Sell_"",""""))-COUNTIF(Q$4:Q379,Q380)&lt;1,1),FALSE))))"),FALSE)</f>
        <v>0</v>
      </c>
      <c r="S380" s="59">
        <f t="array" ref="S380">IF(COUNTA(Q380:Q1350)=0,"",SUM((COUNTIF(Q$4:Q380,Upgrades!$B$3:$B$13)-COUNTIF(Q$4:Q380,"Sell_"&amp;Upgrades!$B$3:$B$13))*Upgrades!$D$3:$D$13))</f>
        <v>296799</v>
      </c>
      <c r="T380" s="66">
        <f>IFERROR(__xludf.DUMMYFUNCTION("IF(COUNTA(Q380:Q1350)=0,"""",IF(REGEXMATCH(INDEX(FILTER(Q$4:Q380,Q$4:Q380&lt;&gt;""""),ROWS(FILTER(Q$4:Q380,Q$4:Q380&lt;&gt;""""))),""^Sell_""),INDEX(FILTER(T$4:T379,Q$4:Q379&lt;&gt;""""),ROWS(FILTER(Q$4:Q379,Q$4:Q379&lt;&gt;""""))),$AD$5+S380))"),296999.0)</f>
        <v>296999</v>
      </c>
      <c r="U380" s="10">
        <f>IFERROR(__xludf.DUMMYFUNCTION("IF(COUNTA(Q380:Q1350)=0,"""",IF(Q380="""",0,IF(REGEXMATCH(Q380,""^Sell_""),-ROUNDDOWN(ROUNDUP(INDEX(Upgrades!$C$3:$C$13,MATCH(SUBSTITUTE(Q380,""Sell_"",""""),Upgrades!$B$3:$B$13,0))*1.15^(COUNTIF(Q$4:Q379,SUBSTITUTE(Q380,""Sell_"",""""))-COUNTIF(Q$4:Q379,"&amp;"""Sell_""&amp;SUBSTITUTE(Q380,""Sell_"",""""))))/2),ROUNDUP(INDEX(Upgrades!$C$3:$C$13,MATCH(Q380,Upgrades!$B$3:$B$13,0))*1.15^(COUNTIF(Q$4:Q379,Q380)-COUNTIF(Q$4:Q379,""Sell_""&amp;Q380))))))"),70758.0)</f>
        <v>70758</v>
      </c>
      <c r="V380" s="10">
        <f t="shared" si="11"/>
        <v>70758</v>
      </c>
      <c r="W380" s="68">
        <f t="shared" si="12"/>
        <v>5272.395596</v>
      </c>
      <c r="X380" s="59" t="str">
        <f t="shared" si="13"/>
        <v>1h 27m 52s</v>
      </c>
      <c r="Y380" s="69">
        <f t="shared" si="14"/>
        <v>392406232</v>
      </c>
      <c r="Z380" s="11"/>
    </row>
    <row r="381">
      <c r="A381" s="8"/>
      <c r="B381" s="56" t="str">
        <f t="shared" si="2"/>
        <v/>
      </c>
      <c r="C381" s="57"/>
      <c r="D381" s="10" t="str">
        <f>IFERROR(__xludf.DUMMYFUNCTION("IF(COUNTA(C381:C1350)=0,"""",IF(ISBLANK(C381),FALSE,IF(NOT(COUNTIF($AA$24:$AA$34,SUBSTITUTE(C381,""Sell_"",""""))),1,IF(REGEXMATCH(C381,""Sell_""),IF(COUNTIF(C$4:C381,SUBSTITUTE(C381,""Sell_"",""""))-COUNTIF(C$4:C380,C381)&lt;1,1),FALSE))))"),"")</f>
        <v/>
      </c>
      <c r="E381" s="59" t="str">
        <f t="array" ref="E381">IF(COUNTA(C381:C1350)=0,"",SUM((COUNTIF(C$4:C381,Upgrades!$B$3:$B$13)-COUNTIF(C$4:C381,"Sell_"&amp;Upgrades!$B$3:$B$13))*Upgrades!$D$3:$D$13))</f>
        <v/>
      </c>
      <c r="F381" s="66" t="str">
        <f>IFERROR(__xludf.DUMMYFUNCTION("IF(COUNTA(C381:C1350)=0,"""",IF(REGEXMATCH(INDEX(FILTER(C$4:C381,C$4:C381&lt;&gt;""""),ROWS(FILTER(C$4:C381,C$4:C381&lt;&gt;""""))),""^Sell_""),INDEX(FILTER(F$4:F380,C$4:C380&lt;&gt;""""),ROWS(FILTER(C$4:C380,C$4:C380&lt;&gt;""""))),$AC$5+E381))"),"")</f>
        <v/>
      </c>
      <c r="G381" s="10" t="str">
        <f>IFERROR(__xludf.DUMMYFUNCTION("IF(COUNTA(C381:C1350)=0,"""",IF(C381="""",0,IF(REGEXMATCH(C381,""^Sell_""),-ROUNDDOWN(ROUNDUP(INDEX(Upgrades!$C$3:$C$13,MATCH(SUBSTITUTE(C381,""Sell_"",""""),Upgrades!$B$3:$B$13,0))*1.15^(COUNTIF(C$4:C380,SUBSTITUTE(C381,""Sell_"",""""))-COUNTIF(C$4:C380,"&amp;"""Sell_""&amp;SUBSTITUTE(C381,""Sell_"",""""))))/2),ROUNDUP(INDEX(Upgrades!$C$3:$C$13,MATCH(C381,Upgrades!$B$3:$B$13,0))*1.15^(COUNTIF(C$4:C380,C381)-COUNTIF(C$4:C380,""Sell_""&amp;C381))))))"),"")</f>
        <v/>
      </c>
      <c r="H381" s="10" t="str">
        <f t="shared" si="3"/>
        <v/>
      </c>
      <c r="I381" s="68" t="str">
        <f t="shared" si="4"/>
        <v/>
      </c>
      <c r="J381" s="59" t="str">
        <f t="shared" si="5"/>
        <v/>
      </c>
      <c r="K381" s="69" t="str">
        <f t="shared" si="6"/>
        <v/>
      </c>
      <c r="L381" s="60">
        <f t="shared" si="7"/>
        <v>-261.72598</v>
      </c>
      <c r="M381" s="61">
        <f>IFERROR(__xludf.DUMMYFUNCTION("IFS(AND(COUNTA(C381:C1350)=0,COUNTA(Q381:Q1350)=0),"""",OR(AND(K381&gt;=1000000000,OR(Y381&gt;=1000000000,COUNTA(Q381:Q1350)=0)),OR(Y381&gt;=1000000000,AND(COUNTA(C381:C1350)=0,P$3=TRUE))),
ROUNDDOWN((AB$1-AC$1)*MAX(INDEX(T$4:T1350,MATCH(LARGE(FILTER(Y$4:Y1350,Y$4"&amp;":Y1350&lt;1000000000),1),Y$4:Y1350)),INDEX(F$4:F1350,MATCH(LARGE(FILTER(K$4:K1350,K$4:K1350&lt;1000000000),1),K$4:K1350)))),AND(K381&lt;1000000000,COUNTA(C381:C1350)&gt;0,P$3=FALSE),
ROUNDDOWN(INDEX(Y$4:Y1350,MATCH(LARGE(FILTER(W$4:W1350,W$4:W1350&lt;=I381),1),W$4:W1350"&amp;"))+(I381-LARGE(FILTER(W$4:W1350,W$4:W1350&lt;=I381),1))*INDEX(T$4:T1350,MATCH(LARGE(FILTER(W$4:W1350,W$4:W1350&lt;=I381),1),W$4:W1350))-K381),1,
ROUNDDOWN(Y381-INDEX(K$4:K1350,MATCH(LARGE(FILTER(I$4:I1350,I$4:I1350&lt;=W381),1),I$4:I1350))-(W381-LARGE(FILTER(I$4:I"&amp;"1350,I$4:I1350&lt;=W381),1))*INDEX(F$4:F1350,MATCH(LARGE(FILTER(I$4:I1350,I$4:I1350&lt;=W381),1),I$4:I1350))))"),6.768676E7)</f>
        <v>67686760</v>
      </c>
      <c r="N381" s="60">
        <f t="shared" si="8"/>
        <v>-261.72598</v>
      </c>
      <c r="O381" s="61" t="str">
        <f t="shared" si="9"/>
        <v>67,7M</v>
      </c>
      <c r="P381" s="56">
        <f t="shared" si="10"/>
        <v>15</v>
      </c>
      <c r="Q381" s="105" t="s">
        <v>10</v>
      </c>
      <c r="R381" s="10" t="b">
        <f>IFERROR(__xludf.DUMMYFUNCTION("IF(COUNTA(Q381:Q1350)=0,"""",IF(ISBLANK(Q381),FALSE,IF(NOT(COUNTIF($AA$24:$AA$34,SUBSTITUTE(Q381,""Sell_"",""""))),1,IF(REGEXMATCH(Q381,""Sell_""),IF(COUNTIF(Q$4:Q381,SUBSTITUTE(Q381,""Sell_"",""""))-COUNTIF(Q$4:Q380,Q381)&lt;1,1),FALSE))))"),FALSE)</f>
        <v>0</v>
      </c>
      <c r="S381" s="59">
        <f t="array" ref="S381">IF(COUNTA(Q381:Q1350)=0,"",SUM((COUNTIF(Q$4:Q381,Upgrades!$B$3:$B$13)-COUNTIF(Q$4:Q381,"Sell_"&amp;Upgrades!$B$3:$B$13))*Upgrades!$D$3:$D$13))</f>
        <v>303465</v>
      </c>
      <c r="T381" s="66">
        <f>IFERROR(__xludf.DUMMYFUNCTION("IF(COUNTA(Q381:Q1350)=0,"""",IF(REGEXMATCH(INDEX(FILTER(Q$4:Q381,Q$4:Q381&lt;&gt;""""),ROWS(FILTER(Q$4:Q381,Q$4:Q381&lt;&gt;""""))),""^Sell_""),INDEX(FILTER(T$4:T380,Q$4:Q380&lt;&gt;""""),ROWS(FILTER(Q$4:Q380,Q$4:Q380&lt;&gt;""""))),$AD$5+S381))"),303665.0)</f>
        <v>303665</v>
      </c>
      <c r="U381" s="10">
        <f>IFERROR(__xludf.DUMMYFUNCTION("IF(COUNTA(Q381:Q1350)=0,"""",IF(Q381="""",0,IF(REGEXMATCH(Q381,""^Sell_""),-ROUNDDOWN(ROUNDUP(INDEX(Upgrades!$C$3:$C$13,MATCH(SUBSTITUTE(Q381,""Sell_"",""""),Upgrades!$B$3:$B$13,0))*1.15^(COUNTIF(Q$4:Q380,SUBSTITUTE(Q381,""Sell_"",""""))-COUNTIF(Q$4:Q380,"&amp;"""Sell_""&amp;SUBSTITUTE(Q381,""Sell_"",""""))))/2),ROUNDUP(INDEX(Upgrades!$C$3:$C$13,MATCH(Q381,Upgrades!$B$3:$B$13,0))*1.15^(COUNTIF(Q$4:Q380,Q381)-COUNTIF(Q$4:Q380,""Sell_""&amp;Q381))))))"),1.1792839E7)</f>
        <v>11792839</v>
      </c>
      <c r="V381" s="10">
        <f t="shared" si="11"/>
        <v>11792839</v>
      </c>
      <c r="W381" s="68">
        <f t="shared" si="12"/>
        <v>5312.102258</v>
      </c>
      <c r="X381" s="59" t="str">
        <f t="shared" si="13"/>
        <v>1h 28m 32s</v>
      </c>
      <c r="Y381" s="69">
        <f t="shared" si="14"/>
        <v>404199071</v>
      </c>
      <c r="Z381" s="11"/>
    </row>
    <row r="382">
      <c r="A382" s="8"/>
      <c r="B382" s="56" t="str">
        <f t="shared" si="2"/>
        <v/>
      </c>
      <c r="C382" s="57"/>
      <c r="D382" s="10" t="str">
        <f>IFERROR(__xludf.DUMMYFUNCTION("IF(COUNTA(C382:C1350)=0,"""",IF(ISBLANK(C382),FALSE,IF(NOT(COUNTIF($AA$24:$AA$34,SUBSTITUTE(C382,""Sell_"",""""))),1,IF(REGEXMATCH(C382,""Sell_""),IF(COUNTIF(C$4:C382,SUBSTITUTE(C382,""Sell_"",""""))-COUNTIF(C$4:C381,C382)&lt;1,1),FALSE))))"),"")</f>
        <v/>
      </c>
      <c r="E382" s="59" t="str">
        <f t="array" ref="E382">IF(COUNTA(C382:C1350)=0,"",SUM((COUNTIF(C$4:C382,Upgrades!$B$3:$B$13)-COUNTIF(C$4:C382,"Sell_"&amp;Upgrades!$B$3:$B$13))*Upgrades!$D$3:$D$13))</f>
        <v/>
      </c>
      <c r="F382" s="66" t="str">
        <f>IFERROR(__xludf.DUMMYFUNCTION("IF(COUNTA(C382:C1350)=0,"""",IF(REGEXMATCH(INDEX(FILTER(C$4:C382,C$4:C382&lt;&gt;""""),ROWS(FILTER(C$4:C382,C$4:C382&lt;&gt;""""))),""^Sell_""),INDEX(FILTER(F$4:F381,C$4:C381&lt;&gt;""""),ROWS(FILTER(C$4:C381,C$4:C381&lt;&gt;""""))),$AC$5+E382))"),"")</f>
        <v/>
      </c>
      <c r="G382" s="10" t="str">
        <f>IFERROR(__xludf.DUMMYFUNCTION("IF(COUNTA(C382:C1350)=0,"""",IF(C382="""",0,IF(REGEXMATCH(C382,""^Sell_""),-ROUNDDOWN(ROUNDUP(INDEX(Upgrades!$C$3:$C$13,MATCH(SUBSTITUTE(C382,""Sell_"",""""),Upgrades!$B$3:$B$13,0))*1.15^(COUNTIF(C$4:C381,SUBSTITUTE(C382,""Sell_"",""""))-COUNTIF(C$4:C381,"&amp;"""Sell_""&amp;SUBSTITUTE(C382,""Sell_"",""""))))/2),ROUNDUP(INDEX(Upgrades!$C$3:$C$13,MATCH(C382,Upgrades!$B$3:$B$13,0))*1.15^(COUNTIF(C$4:C381,C382)-COUNTIF(C$4:C381,""Sell_""&amp;C382))))))"),"")</f>
        <v/>
      </c>
      <c r="H382" s="10" t="str">
        <f t="shared" si="3"/>
        <v/>
      </c>
      <c r="I382" s="68" t="str">
        <f t="shared" si="4"/>
        <v/>
      </c>
      <c r="J382" s="59" t="str">
        <f t="shared" si="5"/>
        <v/>
      </c>
      <c r="K382" s="69" t="str">
        <f t="shared" si="6"/>
        <v/>
      </c>
      <c r="L382" s="60">
        <f t="shared" si="7"/>
        <v>-261.71082</v>
      </c>
      <c r="M382" s="61">
        <f>IFERROR(__xludf.DUMMYFUNCTION("IFS(AND(COUNTA(C382:C1350)=0,COUNTA(Q382:Q1350)=0),"""",OR(AND(K382&gt;=1000000000,OR(Y382&gt;=1000000000,COUNTA(Q382:Q1350)=0)),OR(Y382&gt;=1000000000,AND(COUNTA(C382:C1350)=0,P$3=TRUE))),
ROUNDDOWN((AB$1-AC$1)*MAX(INDEX(T$4:T1350,MATCH(LARGE(FILTER(Y$4:Y1350,Y$4"&amp;":Y1350&lt;1000000000),1),Y$4:Y1350)),INDEX(F$4:F1350,MATCH(LARGE(FILTER(K$4:K1350,K$4:K1350&lt;1000000000),1),K$4:K1350)))),AND(K382&lt;1000000000,COUNTA(C382:C1350)&gt;0,P$3=FALSE),
ROUNDDOWN(INDEX(Y$4:Y1350,MATCH(LARGE(FILTER(W$4:W1350,W$4:W1350&lt;=I382),1),W$4:W1350"&amp;"))+(I382-LARGE(FILTER(W$4:W1350,W$4:W1350&lt;=I382),1))*INDEX(T$4:T1350,MATCH(LARGE(FILTER(W$4:W1350,W$4:W1350&lt;=I382),1),W$4:W1350))-K382),1,
ROUNDDOWN(Y382-INDEX(K$4:K1350,MATCH(LARGE(FILTER(I$4:I1350,I$4:I1350&lt;=W382),1),I$4:I1350))-(W382-LARGE(FILTER(I$4:I"&amp;"1350,I$4:I1350&lt;=W382),1))*INDEX(F$4:F1350,MATCH(LARGE(FILTER(I$4:I1350,I$4:I1350&lt;=W382),1),I$4:I1350))))"),6.7742567E7)</f>
        <v>67742567</v>
      </c>
      <c r="N382" s="60">
        <f t="shared" si="8"/>
        <v>-261.71082</v>
      </c>
      <c r="O382" s="61" t="str">
        <f t="shared" si="9"/>
        <v>67,7M</v>
      </c>
      <c r="P382" s="56">
        <f t="shared" si="10"/>
        <v>12</v>
      </c>
      <c r="Q382" s="105" t="s">
        <v>8</v>
      </c>
      <c r="R382" s="10" t="b">
        <f>IFERROR(__xludf.DUMMYFUNCTION("IF(COUNTA(Q382:Q1350)=0,"""",IF(ISBLANK(Q382),FALSE,IF(NOT(COUNTIF($AA$24:$AA$34,SUBSTITUTE(Q382,""Sell_"",""""))),1,IF(REGEXMATCH(Q382,""Sell_""),IF(COUNTIF(Q$4:Q382,SUBSTITUTE(Q382,""Sell_"",""""))-COUNTIF(Q$4:Q381,Q382)&lt;1,1),FALSE))))"),FALSE)</f>
        <v>0</v>
      </c>
      <c r="S382" s="59">
        <f t="array" ref="S382">IF(COUNTA(Q382:Q1350)=0,"",SUM((COUNTIF(Q$4:Q382,Upgrades!$B$3:$B$13)-COUNTIF(Q$4:Q382,"Sell_"&amp;Upgrades!$B$3:$B$13))*Upgrades!$D$3:$D$13))</f>
        <v>303565</v>
      </c>
      <c r="T382" s="66">
        <f>IFERROR(__xludf.DUMMYFUNCTION("IF(COUNTA(Q382:Q1350)=0,"""",IF(REGEXMATCH(INDEX(FILTER(Q$4:Q382,Q$4:Q382&lt;&gt;""""),ROWS(FILTER(Q$4:Q382,Q$4:Q382&lt;&gt;""""))),""^Sell_""),INDEX(FILTER(T$4:T381,Q$4:Q381&lt;&gt;""""),ROWS(FILTER(Q$4:Q381,Q$4:Q381&lt;&gt;""""))),$AD$5+S382))"),303765.0)</f>
        <v>303765</v>
      </c>
      <c r="U382" s="10">
        <f>IFERROR(__xludf.DUMMYFUNCTION("IF(COUNTA(Q382:Q1350)=0,"""",IF(Q382="""",0,IF(REGEXMATCH(Q382,""^Sell_""),-ROUNDDOWN(ROUNDUP(INDEX(Upgrades!$C$3:$C$13,MATCH(SUBSTITUTE(Q382,""Sell_"",""""),Upgrades!$B$3:$B$13,0))*1.15^(COUNTIF(Q$4:Q381,SUBSTITUTE(Q382,""Sell_"",""""))-COUNTIF(Q$4:Q381,"&amp;"""Sell_""&amp;SUBSTITUTE(Q382,""Sell_"",""""))))/2),ROUNDUP(INDEX(Upgrades!$C$3:$C$13,MATCH(Q382,Upgrades!$B$3:$B$13,0))*1.15^(COUNTIF(Q$4:Q381,Q382)-COUNTIF(Q$4:Q381,""Sell_""&amp;Q382))))))"),186096.0)</f>
        <v>186096</v>
      </c>
      <c r="V382" s="10">
        <f t="shared" si="11"/>
        <v>186096</v>
      </c>
      <c r="W382" s="68">
        <f t="shared" si="12"/>
        <v>5312.715091</v>
      </c>
      <c r="X382" s="59" t="str">
        <f t="shared" si="13"/>
        <v>1h 28m 32s</v>
      </c>
      <c r="Y382" s="69">
        <f t="shared" si="14"/>
        <v>404385167</v>
      </c>
      <c r="Z382" s="11"/>
    </row>
    <row r="383">
      <c r="A383" s="8"/>
      <c r="B383" s="56" t="str">
        <f t="shared" si="2"/>
        <v/>
      </c>
      <c r="C383" s="57"/>
      <c r="D383" s="10" t="str">
        <f>IFERROR(__xludf.DUMMYFUNCTION("IF(COUNTA(C383:C1350)=0,"""",IF(ISBLANK(C383),FALSE,IF(NOT(COUNTIF($AA$24:$AA$34,SUBSTITUTE(C383,""Sell_"",""""))),1,IF(REGEXMATCH(C383,""Sell_""),IF(COUNTIF(C$4:C383,SUBSTITUTE(C383,""Sell_"",""""))-COUNTIF(C$4:C382,C383)&lt;1,1),FALSE))))"),"")</f>
        <v/>
      </c>
      <c r="E383" s="59" t="str">
        <f t="array" ref="E383">IF(COUNTA(C383:C1350)=0,"",SUM((COUNTIF(C$4:C383,Upgrades!$B$3:$B$13)-COUNTIF(C$4:C383,"Sell_"&amp;Upgrades!$B$3:$B$13))*Upgrades!$D$3:$D$13))</f>
        <v/>
      </c>
      <c r="F383" s="66" t="str">
        <f>IFERROR(__xludf.DUMMYFUNCTION("IF(COUNTA(C383:C1350)=0,"""",IF(REGEXMATCH(INDEX(FILTER(C$4:C383,C$4:C383&lt;&gt;""""),ROWS(FILTER(C$4:C383,C$4:C383&lt;&gt;""""))),""^Sell_""),INDEX(FILTER(F$4:F382,C$4:C382&lt;&gt;""""),ROWS(FILTER(C$4:C382,C$4:C382&lt;&gt;""""))),$AC$5+E383))"),"")</f>
        <v/>
      </c>
      <c r="G383" s="10" t="str">
        <f>IFERROR(__xludf.DUMMYFUNCTION("IF(COUNTA(C383:C1350)=0,"""",IF(C383="""",0,IF(REGEXMATCH(C383,""^Sell_""),-ROUNDDOWN(ROUNDUP(INDEX(Upgrades!$C$3:$C$13,MATCH(SUBSTITUTE(C383,""Sell_"",""""),Upgrades!$B$3:$B$13,0))*1.15^(COUNTIF(C$4:C382,SUBSTITUTE(C383,""Sell_"",""""))-COUNTIF(C$4:C382,"&amp;"""Sell_""&amp;SUBSTITUTE(C383,""Sell_"",""""))))/2),ROUNDUP(INDEX(Upgrades!$C$3:$C$13,MATCH(C383,Upgrades!$B$3:$B$13,0))*1.15^(COUNTIF(C$4:C382,C383)-COUNTIF(C$4:C382,""Sell_""&amp;C383))))))"),"")</f>
        <v/>
      </c>
      <c r="H383" s="10" t="str">
        <f t="shared" si="3"/>
        <v/>
      </c>
      <c r="I383" s="68" t="str">
        <f t="shared" si="4"/>
        <v/>
      </c>
      <c r="J383" s="59" t="str">
        <f t="shared" si="5"/>
        <v/>
      </c>
      <c r="K383" s="69" t="str">
        <f t="shared" si="6"/>
        <v/>
      </c>
      <c r="L383" s="60">
        <f t="shared" si="7"/>
        <v>-261.6458</v>
      </c>
      <c r="M383" s="61">
        <f>IFERROR(__xludf.DUMMYFUNCTION("IFS(AND(COUNTA(C383:C1350)=0,COUNTA(Q383:Q1350)=0),"""",OR(AND(K383&gt;=1000000000,OR(Y383&gt;=1000000000,COUNTA(Q383:Q1350)=0)),OR(Y383&gt;=1000000000,AND(COUNTA(C383:C1350)=0,P$3=TRUE))),
ROUNDDOWN((AB$1-AC$1)*MAX(INDEX(T$4:T1350,MATCH(LARGE(FILTER(Y$4:Y1350,Y$4"&amp;":Y1350&lt;1000000000),1),Y$4:Y1350)),INDEX(F$4:F1350,MATCH(LARGE(FILTER(K$4:K1350,K$4:K1350&lt;1000000000),1),K$4:K1350)))),AND(K383&lt;1000000000,COUNTA(C383:C1350)&gt;0,P$3=FALSE),
ROUNDDOWN(INDEX(Y$4:Y1350,MATCH(LARGE(FILTER(W$4:W1350,W$4:W1350&lt;=I383),1),W$4:W1350"&amp;"))+(I383-LARGE(FILTER(W$4:W1350,W$4:W1350&lt;=I383),1))*INDEX(T$4:T1350,MATCH(LARGE(FILTER(W$4:W1350,W$4:W1350&lt;=I383),1),W$4:W1350))-K383),1,
ROUNDDOWN(Y383-INDEX(K$4:K1350,MATCH(LARGE(FILTER(I$4:I1350,I$4:I1350&lt;=W383),1),I$4:I1350))-(W383-LARGE(FILTER(I$4:I"&amp;"1350,I$4:I1350&lt;=W383),1))*INDEX(F$4:F1350,MATCH(LARGE(FILTER(I$4:I1350,I$4:I1350&lt;=W383),1),I$4:I1350))))"),6.7985394E7)</f>
        <v>67985394</v>
      </c>
      <c r="N383" s="60">
        <f t="shared" si="8"/>
        <v>-261.6458</v>
      </c>
      <c r="O383" s="61" t="str">
        <f t="shared" si="9"/>
        <v>68,0M</v>
      </c>
      <c r="P383" s="56">
        <f t="shared" si="10"/>
        <v>11</v>
      </c>
      <c r="Q383" s="105" t="s">
        <v>9</v>
      </c>
      <c r="R383" s="10" t="b">
        <f>IFERROR(__xludf.DUMMYFUNCTION("IF(COUNTA(Q383:Q1350)=0,"""",IF(ISBLANK(Q383),FALSE,IF(NOT(COUNTIF($AA$24:$AA$34,SUBSTITUTE(Q383,""Sell_"",""""))),1,IF(REGEXMATCH(Q383,""Sell_""),IF(COUNTIF(Q$4:Q383,SUBSTITUTE(Q383,""Sell_"",""""))-COUNTIF(Q$4:Q382,Q383)&lt;1,1),FALSE))))"),FALSE)</f>
        <v>0</v>
      </c>
      <c r="S383" s="59">
        <f t="array" ref="S383">IF(COUNTA(Q383:Q1350)=0,"",SUM((COUNTIF(Q$4:Q383,Upgrades!$B$3:$B$13)-COUNTIF(Q$4:Q383,"Sell_"&amp;Upgrades!$B$3:$B$13))*Upgrades!$D$3:$D$13))</f>
        <v>303965</v>
      </c>
      <c r="T383" s="66">
        <f>IFERROR(__xludf.DUMMYFUNCTION("IF(COUNTA(Q383:Q1350)=0,"""",IF(REGEXMATCH(INDEX(FILTER(Q$4:Q383,Q$4:Q383&lt;&gt;""""),ROWS(FILTER(Q$4:Q383,Q$4:Q383&lt;&gt;""""))),""^Sell_""),INDEX(FILTER(T$4:T382,Q$4:Q382&lt;&gt;""""),ROWS(FILTER(Q$4:Q382,Q$4:Q382&lt;&gt;""""))),$AD$5+S383))"),304165.0)</f>
        <v>304165</v>
      </c>
      <c r="U383" s="10">
        <f>IFERROR(__xludf.DUMMYFUNCTION("IF(COUNTA(Q383:Q1350)=0,"""",IF(Q383="""",0,IF(REGEXMATCH(Q383,""^Sell_""),-ROUNDDOWN(ROUNDUP(INDEX(Upgrades!$C$3:$C$13,MATCH(SUBSTITUTE(Q383,""Sell_"",""""),Upgrades!$B$3:$B$13,0))*1.15^(COUNTIF(Q$4:Q382,SUBSTITUTE(Q383,""Sell_"",""""))-COUNTIF(Q$4:Q382,"&amp;"""Sell_""&amp;SUBSTITUTE(Q383,""Sell_"",""""))))/2),ROUNDUP(INDEX(Upgrades!$C$3:$C$13,MATCH(Q383,Upgrades!$B$3:$B$13,0))*1.15^(COUNTIF(Q$4:Q382,Q383)-COUNTIF(Q$4:Q382,""Sell_""&amp;Q383))))))"),809112.0)</f>
        <v>809112</v>
      </c>
      <c r="V383" s="10">
        <f t="shared" si="11"/>
        <v>809112</v>
      </c>
      <c r="W383" s="68">
        <f t="shared" si="12"/>
        <v>5315.378703</v>
      </c>
      <c r="X383" s="59" t="str">
        <f t="shared" si="13"/>
        <v>1h 28m 35s</v>
      </c>
      <c r="Y383" s="69">
        <f t="shared" si="14"/>
        <v>405194279</v>
      </c>
      <c r="Z383" s="11"/>
    </row>
    <row r="384">
      <c r="A384" s="8"/>
      <c r="B384" s="56" t="str">
        <f t="shared" si="2"/>
        <v/>
      </c>
      <c r="C384" s="57"/>
      <c r="D384" s="10" t="str">
        <f>IFERROR(__xludf.DUMMYFUNCTION("IF(COUNTA(C384:C1350)=0,"""",IF(ISBLANK(C384),FALSE,IF(NOT(COUNTIF($AA$24:$AA$34,SUBSTITUTE(C384,""Sell_"",""""))),1,IF(REGEXMATCH(C384,""Sell_""),IF(COUNTIF(C$4:C384,SUBSTITUTE(C384,""Sell_"",""""))-COUNTIF(C$4:C383,C384)&lt;1,1),FALSE))))"),"")</f>
        <v/>
      </c>
      <c r="E384" s="59" t="str">
        <f t="array" ref="E384">IF(COUNTA(C384:C1350)=0,"",SUM((COUNTIF(C$4:C384,Upgrades!$B$3:$B$13)-COUNTIF(C$4:C384,"Sell_"&amp;Upgrades!$B$3:$B$13))*Upgrades!$D$3:$D$13))</f>
        <v/>
      </c>
      <c r="F384" s="66" t="str">
        <f>IFERROR(__xludf.DUMMYFUNCTION("IF(COUNTA(C384:C1350)=0,"""",IF(REGEXMATCH(INDEX(FILTER(C$4:C384,C$4:C384&lt;&gt;""""),ROWS(FILTER(C$4:C384,C$4:C384&lt;&gt;""""))),""^Sell_""),INDEX(FILTER(F$4:F383,C$4:C383&lt;&gt;""""),ROWS(FILTER(C$4:C383,C$4:C383&lt;&gt;""""))),$AC$5+E384))"),"")</f>
        <v/>
      </c>
      <c r="G384" s="10" t="str">
        <f>IFERROR(__xludf.DUMMYFUNCTION("IF(COUNTA(C384:C1350)=0,"""",IF(C384="""",0,IF(REGEXMATCH(C384,""^Sell_""),-ROUNDDOWN(ROUNDUP(INDEX(Upgrades!$C$3:$C$13,MATCH(SUBSTITUTE(C384,""Sell_"",""""),Upgrades!$B$3:$B$13,0))*1.15^(COUNTIF(C$4:C383,SUBSTITUTE(C384,""Sell_"",""""))-COUNTIF(C$4:C383,"&amp;"""Sell_""&amp;SUBSTITUTE(C384,""Sell_"",""""))))/2),ROUNDUP(INDEX(Upgrades!$C$3:$C$13,MATCH(C384,Upgrades!$B$3:$B$13,0))*1.15^(COUNTIF(C$4:C383,C384)-COUNTIF(C$4:C383,""Sell_""&amp;C384))))))"),"")</f>
        <v/>
      </c>
      <c r="H384" s="10" t="str">
        <f t="shared" si="3"/>
        <v/>
      </c>
      <c r="I384" s="68" t="str">
        <f t="shared" si="4"/>
        <v/>
      </c>
      <c r="J384" s="59" t="str">
        <f t="shared" si="5"/>
        <v/>
      </c>
      <c r="K384" s="69" t="str">
        <f t="shared" si="6"/>
        <v/>
      </c>
      <c r="L384" s="60">
        <f t="shared" si="7"/>
        <v>-261.63962</v>
      </c>
      <c r="M384" s="61">
        <f>IFERROR(__xludf.DUMMYFUNCTION("IFS(AND(COUNTA(C384:C1350)=0,COUNTA(Q384:Q1350)=0),"""",OR(AND(K384&gt;=1000000000,OR(Y384&gt;=1000000000,COUNTA(Q384:Q1350)=0)),OR(Y384&gt;=1000000000,AND(COUNTA(C384:C1350)=0,P$3=TRUE))),
ROUNDDOWN((AB$1-AC$1)*MAX(INDEX(T$4:T1350,MATCH(LARGE(FILTER(Y$4:Y1350,Y$4"&amp;":Y1350&lt;1000000000),1),Y$4:Y1350)),INDEX(F$4:F1350,MATCH(LARGE(FILTER(K$4:K1350,K$4:K1350&lt;1000000000),1),K$4:K1350)))),AND(K384&lt;1000000000,COUNTA(C384:C1350)&gt;0,P$3=FALSE),
ROUNDDOWN(INDEX(Y$4:Y1350,MATCH(LARGE(FILTER(W$4:W1350,W$4:W1350&lt;=I384),1),W$4:W1350"&amp;"))+(I384-LARGE(FILTER(W$4:W1350,W$4:W1350&lt;=I384),1))*INDEX(T$4:T1350,MATCH(LARGE(FILTER(W$4:W1350,W$4:W1350&lt;=I384),1),W$4:W1350))-K384),1,
ROUNDDOWN(Y384-INDEX(K$4:K1350,MATCH(LARGE(FILTER(I$4:I1350,I$4:I1350&lt;=W384),1),I$4:I1350))-(W384-LARGE(FILTER(I$4:I"&amp;"1350,I$4:I1350&lt;=W384),1))*INDEX(F$4:F1350,MATCH(LARGE(FILTER(I$4:I1350,I$4:I1350&lt;=W384),1),I$4:I1350))))"),6.800989E7)</f>
        <v>68009890</v>
      </c>
      <c r="N384" s="60">
        <f t="shared" si="8"/>
        <v>-261.63962</v>
      </c>
      <c r="O384" s="61" t="str">
        <f t="shared" si="9"/>
        <v>68,0M</v>
      </c>
      <c r="P384" s="56">
        <f t="shared" si="10"/>
        <v>16</v>
      </c>
      <c r="Q384" s="105" t="s">
        <v>7</v>
      </c>
      <c r="R384" s="10" t="b">
        <f>IFERROR(__xludf.DUMMYFUNCTION("IF(COUNTA(Q384:Q1350)=0,"""",IF(ISBLANK(Q384),FALSE,IF(NOT(COUNTIF($AA$24:$AA$34,SUBSTITUTE(Q384,""Sell_"",""""))),1,IF(REGEXMATCH(Q384,""Sell_""),IF(COUNTIF(Q$4:Q384,SUBSTITUTE(Q384,""Sell_"",""""))-COUNTIF(Q$4:Q383,Q384)&lt;1,1),FALSE))))"),FALSE)</f>
        <v>0</v>
      </c>
      <c r="S384" s="59">
        <f t="array" ref="S384">IF(COUNTA(Q384:Q1350)=0,"",SUM((COUNTIF(Q$4:Q384,Upgrades!$B$3:$B$13)-COUNTIF(Q$4:Q384,"Sell_"&amp;Upgrades!$B$3:$B$13))*Upgrades!$D$3:$D$13))</f>
        <v>304005</v>
      </c>
      <c r="T384" s="66">
        <f>IFERROR(__xludf.DUMMYFUNCTION("IF(COUNTA(Q384:Q1350)=0,"""",IF(REGEXMATCH(INDEX(FILTER(Q$4:Q384,Q$4:Q384&lt;&gt;""""),ROWS(FILTER(Q$4:Q384,Q$4:Q384&lt;&gt;""""))),""^Sell_""),INDEX(FILTER(T$4:T383,Q$4:Q383&lt;&gt;""""),ROWS(FILTER(Q$4:Q383,Q$4:Q383&lt;&gt;""""))),$AD$5+S384))"),304205.0)</f>
        <v>304205</v>
      </c>
      <c r="U384" s="10">
        <f>IFERROR(__xludf.DUMMYFUNCTION("IF(COUNTA(Q384:Q1350)=0,"""",IF(Q384="""",0,IF(REGEXMATCH(Q384,""^Sell_""),-ROUNDDOWN(ROUNDUP(INDEX(Upgrades!$C$3:$C$13,MATCH(SUBSTITUTE(Q384,""Sell_"",""""),Upgrades!$B$3:$B$13,0))*1.15^(COUNTIF(Q$4:Q383,SUBSTITUTE(Q384,""Sell_"",""""))-COUNTIF(Q$4:Q383,"&amp;"""Sell_""&amp;SUBSTITUTE(Q384,""Sell_"",""""))))/2),ROUNDUP(INDEX(Upgrades!$C$3:$C$13,MATCH(Q384,Upgrades!$B$3:$B$13,0))*1.15^(COUNTIF(Q$4:Q383,Q384)-COUNTIF(Q$4:Q383,""Sell_""&amp;Q384))))))"),81371.0)</f>
        <v>81371</v>
      </c>
      <c r="V384" s="10">
        <f t="shared" si="11"/>
        <v>81371</v>
      </c>
      <c r="W384" s="68">
        <f t="shared" si="12"/>
        <v>5315.646225</v>
      </c>
      <c r="X384" s="59" t="str">
        <f t="shared" si="13"/>
        <v>1h 28m 35s</v>
      </c>
      <c r="Y384" s="69">
        <f t="shared" si="14"/>
        <v>405275650</v>
      </c>
      <c r="Z384" s="11"/>
    </row>
    <row r="385">
      <c r="A385" s="8"/>
      <c r="B385" s="56" t="str">
        <f t="shared" si="2"/>
        <v/>
      </c>
      <c r="C385" s="57"/>
      <c r="D385" s="10" t="str">
        <f>IFERROR(__xludf.DUMMYFUNCTION("IF(COUNTA(C385:C1350)=0,"""",IF(ISBLANK(C385),FALSE,IF(NOT(COUNTIF($AA$24:$AA$34,SUBSTITUTE(C385,""Sell_"",""""))),1,IF(REGEXMATCH(C385,""Sell_""),IF(COUNTIF(C$4:C385,SUBSTITUTE(C385,""Sell_"",""""))-COUNTIF(C$4:C384,C385)&lt;1,1),FALSE))))"),"")</f>
        <v/>
      </c>
      <c r="E385" s="59" t="str">
        <f t="array" ref="E385">IF(COUNTA(C385:C1350)=0,"",SUM((COUNTIF(C$4:C385,Upgrades!$B$3:$B$13)-COUNTIF(C$4:C385,"Sell_"&amp;Upgrades!$B$3:$B$13))*Upgrades!$D$3:$D$13))</f>
        <v/>
      </c>
      <c r="F385" s="66" t="str">
        <f>IFERROR(__xludf.DUMMYFUNCTION("IF(COUNTA(C385:C1350)=0,"""",IF(REGEXMATCH(INDEX(FILTER(C$4:C385,C$4:C385&lt;&gt;""""),ROWS(FILTER(C$4:C385,C$4:C385&lt;&gt;""""))),""^Sell_""),INDEX(FILTER(F$4:F384,C$4:C384&lt;&gt;""""),ROWS(FILTER(C$4:C384,C$4:C384&lt;&gt;""""))),$AC$5+E385))"),"")</f>
        <v/>
      </c>
      <c r="G385" s="10" t="str">
        <f>IFERROR(__xludf.DUMMYFUNCTION("IF(COUNTA(C385:C1350)=0,"""",IF(C385="""",0,IF(REGEXMATCH(C385,""^Sell_""),-ROUNDDOWN(ROUNDUP(INDEX(Upgrades!$C$3:$C$13,MATCH(SUBSTITUTE(C385,""Sell_"",""""),Upgrades!$B$3:$B$13,0))*1.15^(COUNTIF(C$4:C384,SUBSTITUTE(C385,""Sell_"",""""))-COUNTIF(C$4:C384,"&amp;"""Sell_""&amp;SUBSTITUTE(C385,""Sell_"",""""))))/2),ROUNDUP(INDEX(Upgrades!$C$3:$C$13,MATCH(C385,Upgrades!$B$3:$B$13,0))*1.15^(COUNTIF(C$4:C384,C385)-COUNTIF(C$4:C384,""Sell_""&amp;C385))))))"),"")</f>
        <v/>
      </c>
      <c r="H385" s="10" t="str">
        <f t="shared" si="3"/>
        <v/>
      </c>
      <c r="I385" s="68" t="str">
        <f t="shared" si="4"/>
        <v/>
      </c>
      <c r="J385" s="59" t="str">
        <f t="shared" si="5"/>
        <v/>
      </c>
      <c r="K385" s="69" t="str">
        <f t="shared" si="6"/>
        <v/>
      </c>
      <c r="L385" s="60">
        <f t="shared" si="7"/>
        <v>-260.61438</v>
      </c>
      <c r="M385" s="61">
        <f>IFERROR(__xludf.DUMMYFUNCTION("IFS(AND(COUNTA(C385:C1350)=0,COUNTA(Q385:Q1350)=0),"""",OR(AND(K385&gt;=1000000000,OR(Y385&gt;=1000000000,COUNTA(Q385:Q1350)=0)),OR(Y385&gt;=1000000000,AND(COUNTA(C385:C1350)=0,P$3=TRUE))),
ROUNDDOWN((AB$1-AC$1)*MAX(INDEX(T$4:T1350,MATCH(LARGE(FILTER(Y$4:Y1350,Y$4"&amp;":Y1350&lt;1000000000),1),Y$4:Y1350)),INDEX(F$4:F1350,MATCH(LARGE(FILTER(K$4:K1350,K$4:K1350&lt;1000000000),1),K$4:K1350)))),AND(K385&lt;1000000000,COUNTA(C385:C1350)&gt;0,P$3=FALSE),
ROUNDDOWN(INDEX(Y$4:Y1350,MATCH(LARGE(FILTER(W$4:W1350,W$4:W1350&lt;=I385),1),W$4:W1350"&amp;"))+(I385-LARGE(FILTER(W$4:W1350,W$4:W1350&lt;=I385),1))*INDEX(T$4:T1350,MATCH(LARGE(FILTER(W$4:W1350,W$4:W1350&lt;=I385),1),W$4:W1350))-K385),1,
ROUNDDOWN(Y385-INDEX(K$4:K1350,MATCH(LARGE(FILTER(I$4:I1350,I$4:I1350&lt;=W385),1),I$4:I1350))-(W385-LARGE(FILTER(I$4:I"&amp;"1350,I$4:I1350&lt;=W385),1))*INDEX(F$4:F1350,MATCH(LARGE(FILTER(I$4:I1350,I$4:I1350&lt;=W385),1),I$4:I1350))))"),7.209371E7)</f>
        <v>72093710</v>
      </c>
      <c r="N385" s="60">
        <f t="shared" si="8"/>
        <v>-260.61438</v>
      </c>
      <c r="O385" s="61" t="str">
        <f t="shared" si="9"/>
        <v>72,1M</v>
      </c>
      <c r="P385" s="56">
        <f t="shared" si="10"/>
        <v>16</v>
      </c>
      <c r="Q385" s="105" t="s">
        <v>10</v>
      </c>
      <c r="R385" s="10" t="b">
        <f>IFERROR(__xludf.DUMMYFUNCTION("IF(COUNTA(Q385:Q1350)=0,"""",IF(ISBLANK(Q385),FALSE,IF(NOT(COUNTIF($AA$24:$AA$34,SUBSTITUTE(Q385,""Sell_"",""""))),1,IF(REGEXMATCH(Q385,""Sell_""),IF(COUNTIF(Q$4:Q385,SUBSTITUTE(Q385,""Sell_"",""""))-COUNTIF(Q$4:Q384,Q385)&lt;1,1),FALSE))))"),FALSE)</f>
        <v>0</v>
      </c>
      <c r="S385" s="59">
        <f t="array" ref="S385">IF(COUNTA(Q385:Q1350)=0,"",SUM((COUNTIF(Q$4:Q385,Upgrades!$B$3:$B$13)-COUNTIF(Q$4:Q385,"Sell_"&amp;Upgrades!$B$3:$B$13))*Upgrades!$D$3:$D$13))</f>
        <v>310671</v>
      </c>
      <c r="T385" s="66">
        <f>IFERROR(__xludf.DUMMYFUNCTION("IF(COUNTA(Q385:Q1350)=0,"""",IF(REGEXMATCH(INDEX(FILTER(Q$4:Q385,Q$4:Q385&lt;&gt;""""),ROWS(FILTER(Q$4:Q385,Q$4:Q385&lt;&gt;""""))),""^Sell_""),INDEX(FILTER(T$4:T384,Q$4:Q384&lt;&gt;""""),ROWS(FILTER(Q$4:Q384,Q$4:Q384&lt;&gt;""""))),$AD$5+S385))"),310871.0)</f>
        <v>310871</v>
      </c>
      <c r="U385" s="10">
        <f>IFERROR(__xludf.DUMMYFUNCTION("IF(COUNTA(Q385:Q1350)=0,"""",IF(Q385="""",0,IF(REGEXMATCH(Q385,""^Sell_""),-ROUNDDOWN(ROUNDUP(INDEX(Upgrades!$C$3:$C$13,MATCH(SUBSTITUTE(Q385,""Sell_"",""""),Upgrades!$B$3:$B$13,0))*1.15^(COUNTIF(Q$4:Q384,SUBSTITUTE(Q385,""Sell_"",""""))-COUNTIF(Q$4:Q384,"&amp;"""Sell_""&amp;SUBSTITUTE(Q385,""Sell_"",""""))))/2),ROUNDUP(INDEX(Upgrades!$C$3:$C$13,MATCH(Q385,Upgrades!$B$3:$B$13,0))*1.15^(COUNTIF(Q$4:Q384,Q385)-COUNTIF(Q$4:Q384,""Sell_""&amp;Q385))))))"),1.3561764E7)</f>
        <v>13561764</v>
      </c>
      <c r="V385" s="10">
        <f t="shared" si="11"/>
        <v>13561764</v>
      </c>
      <c r="W385" s="68">
        <f t="shared" si="12"/>
        <v>5360.227228</v>
      </c>
      <c r="X385" s="59" t="str">
        <f t="shared" si="13"/>
        <v>1h 29m 20s</v>
      </c>
      <c r="Y385" s="69">
        <f t="shared" si="14"/>
        <v>418837414</v>
      </c>
      <c r="Z385" s="11"/>
    </row>
    <row r="386">
      <c r="A386" s="8"/>
      <c r="B386" s="56" t="str">
        <f t="shared" si="2"/>
        <v/>
      </c>
      <c r="C386" s="57"/>
      <c r="D386" s="10" t="str">
        <f>IFERROR(__xludf.DUMMYFUNCTION("IF(COUNTA(C386:C1350)=0,"""",IF(ISBLANK(C386),FALSE,IF(NOT(COUNTIF($AA$24:$AA$34,SUBSTITUTE(C386,""Sell_"",""""))),1,IF(REGEXMATCH(C386,""Sell_""),IF(COUNTIF(C$4:C386,SUBSTITUTE(C386,""Sell_"",""""))-COUNTIF(C$4:C385,C386)&lt;1,1),FALSE))))"),"")</f>
        <v/>
      </c>
      <c r="E386" s="59" t="str">
        <f t="array" ref="E386">IF(COUNTA(C386:C1350)=0,"",SUM((COUNTIF(C$4:C386,Upgrades!$B$3:$B$13)-COUNTIF(C$4:C386,"Sell_"&amp;Upgrades!$B$3:$B$13))*Upgrades!$D$3:$D$13))</f>
        <v/>
      </c>
      <c r="F386" s="66" t="str">
        <f>IFERROR(__xludf.DUMMYFUNCTION("IF(COUNTA(C386:C1350)=0,"""",IF(REGEXMATCH(INDEX(FILTER(C$4:C386,C$4:C386&lt;&gt;""""),ROWS(FILTER(C$4:C386,C$4:C386&lt;&gt;""""))),""^Sell_""),INDEX(FILTER(F$4:F385,C$4:C385&lt;&gt;""""),ROWS(FILTER(C$4:C385,C$4:C385&lt;&gt;""""))),$AC$5+E386))"),"")</f>
        <v/>
      </c>
      <c r="G386" s="10" t="str">
        <f>IFERROR(__xludf.DUMMYFUNCTION("IF(COUNTA(C386:C1350)=0,"""",IF(C386="""",0,IF(REGEXMATCH(C386,""^Sell_""),-ROUNDDOWN(ROUNDUP(INDEX(Upgrades!$C$3:$C$13,MATCH(SUBSTITUTE(C386,""Sell_"",""""),Upgrades!$B$3:$B$13,0))*1.15^(COUNTIF(C$4:C385,SUBSTITUTE(C386,""Sell_"",""""))-COUNTIF(C$4:C385,"&amp;"""Sell_""&amp;SUBSTITUTE(C386,""Sell_"",""""))))/2),ROUNDUP(INDEX(Upgrades!$C$3:$C$13,MATCH(C386,Upgrades!$B$3:$B$13,0))*1.15^(COUNTIF(C$4:C385,C386)-COUNTIF(C$4:C385,""Sell_""&amp;C386))))))"),"")</f>
        <v/>
      </c>
      <c r="H386" s="10" t="str">
        <f t="shared" si="3"/>
        <v/>
      </c>
      <c r="I386" s="68" t="str">
        <f t="shared" si="4"/>
        <v/>
      </c>
      <c r="J386" s="59" t="str">
        <f t="shared" si="5"/>
        <v/>
      </c>
      <c r="K386" s="69" t="str">
        <f t="shared" si="6"/>
        <v/>
      </c>
      <c r="L386" s="60">
        <f t="shared" si="7"/>
        <v>-260.61329</v>
      </c>
      <c r="M386" s="61">
        <f>IFERROR(__xludf.DUMMYFUNCTION("IFS(AND(COUNTA(C386:C1350)=0,COUNTA(Q386:Q1350)=0),"""",OR(AND(K386&gt;=1000000000,OR(Y386&gt;=1000000000,COUNTA(Q386:Q1350)=0)),OR(Y386&gt;=1000000000,AND(COUNTA(C386:C1350)=0,P$3=TRUE))),
ROUNDDOWN((AB$1-AC$1)*MAX(INDEX(T$4:T1350,MATCH(LARGE(FILTER(Y$4:Y1350,Y$4"&amp;":Y1350&lt;1000000000),1),Y$4:Y1350)),INDEX(F$4:F1350,MATCH(LARGE(FILTER(K$4:K1350,K$4:K1350&lt;1000000000),1),K$4:K1350)))),AND(K386&lt;1000000000,COUNTA(C386:C1350)&gt;0,P$3=FALSE),
ROUNDDOWN(INDEX(Y$4:Y1350,MATCH(LARGE(FILTER(W$4:W1350,W$4:W1350&lt;=I386),1),W$4:W1350"&amp;"))+(I386-LARGE(FILTER(W$4:W1350,W$4:W1350&lt;=I386),1))*INDEX(T$4:T1350,MATCH(LARGE(FILTER(W$4:W1350,W$4:W1350&lt;=I386),1),W$4:W1350))-K386),1,
ROUNDDOWN(Y386-INDEX(K$4:K1350,MATCH(LARGE(FILTER(I$4:I1350,I$4:I1350&lt;=W386),1),I$4:I1350))-(W386-LARGE(FILTER(I$4:I"&amp;"1350,I$4:I1350&lt;=W386),1))*INDEX(F$4:F1350,MATCH(LARGE(FILTER(I$4:I1350,I$4:I1350&lt;=W386),1),I$4:I1350))))"),7.2161362E7)</f>
        <v>72161362</v>
      </c>
      <c r="N386" s="60">
        <f t="shared" si="8"/>
        <v>-260.61329</v>
      </c>
      <c r="O386" s="61" t="str">
        <f t="shared" si="9"/>
        <v>72,2M</v>
      </c>
      <c r="P386" s="56">
        <f t="shared" si="10"/>
        <v>13</v>
      </c>
      <c r="Q386" s="105" t="s">
        <v>8</v>
      </c>
      <c r="R386" s="10" t="b">
        <f>IFERROR(__xludf.DUMMYFUNCTION("IF(COUNTA(Q386:Q1350)=0,"""",IF(ISBLANK(Q386),FALSE,IF(NOT(COUNTIF($AA$24:$AA$34,SUBSTITUTE(Q386,""Sell_"",""""))),1,IF(REGEXMATCH(Q386,""Sell_""),IF(COUNTIF(Q$4:Q386,SUBSTITUTE(Q386,""Sell_"",""""))-COUNTIF(Q$4:Q385,Q386)&lt;1,1),FALSE))))"),FALSE)</f>
        <v>0</v>
      </c>
      <c r="S386" s="59">
        <f t="array" ref="S386">IF(COUNTA(Q386:Q1350)=0,"",SUM((COUNTIF(Q$4:Q386,Upgrades!$B$3:$B$13)-COUNTIF(Q$4:Q386,"Sell_"&amp;Upgrades!$B$3:$B$13))*Upgrades!$D$3:$D$13))</f>
        <v>310771</v>
      </c>
      <c r="T386" s="66">
        <f>IFERROR(__xludf.DUMMYFUNCTION("IF(COUNTA(Q386:Q1350)=0,"""",IF(REGEXMATCH(INDEX(FILTER(Q$4:Q386,Q$4:Q386&lt;&gt;""""),ROWS(FILTER(Q$4:Q386,Q$4:Q386&lt;&gt;""""))),""^Sell_""),INDEX(FILTER(T$4:T385,Q$4:Q385&lt;&gt;""""),ROWS(FILTER(Q$4:Q385,Q$4:Q385&lt;&gt;""""))),$AD$5+S386))"),310971.0)</f>
        <v>310971</v>
      </c>
      <c r="U386" s="10">
        <f>IFERROR(__xludf.DUMMYFUNCTION("IF(COUNTA(Q386:Q1350)=0,"""",IF(Q386="""",0,IF(REGEXMATCH(Q386,""^Sell_""),-ROUNDDOWN(ROUNDUP(INDEX(Upgrades!$C$3:$C$13,MATCH(SUBSTITUTE(Q386,""Sell_"",""""),Upgrades!$B$3:$B$13,0))*1.15^(COUNTIF(Q$4:Q385,SUBSTITUTE(Q386,""Sell_"",""""))-COUNTIF(Q$4:Q385,"&amp;"""Sell_""&amp;SUBSTITUTE(Q386,""Sell_"",""""))))/2),ROUNDUP(INDEX(Upgrades!$C$3:$C$13,MATCH(Q386,Upgrades!$B$3:$B$13,0))*1.15^(COUNTIF(Q$4:Q385,Q386)-COUNTIF(Q$4:Q385,""Sell_""&amp;Q386))))))"),214011.0)</f>
        <v>214011</v>
      </c>
      <c r="V386" s="10">
        <f t="shared" si="11"/>
        <v>214011</v>
      </c>
      <c r="W386" s="68">
        <f t="shared" si="12"/>
        <v>5360.915652</v>
      </c>
      <c r="X386" s="59" t="str">
        <f t="shared" si="13"/>
        <v>1h 29m 20s</v>
      </c>
      <c r="Y386" s="69">
        <f t="shared" si="14"/>
        <v>419051425</v>
      </c>
      <c r="Z386" s="11"/>
    </row>
    <row r="387">
      <c r="A387" s="8"/>
      <c r="B387" s="56" t="str">
        <f t="shared" si="2"/>
        <v/>
      </c>
      <c r="C387" s="57"/>
      <c r="D387" s="10" t="str">
        <f>IFERROR(__xludf.DUMMYFUNCTION("IF(COUNTA(C387:C1350)=0,"""",IF(ISBLANK(C387),FALSE,IF(NOT(COUNTIF($AA$24:$AA$34,SUBSTITUTE(C387,""Sell_"",""""))),1,IF(REGEXMATCH(C387,""Sell_""),IF(COUNTIF(C$4:C387,SUBSTITUTE(C387,""Sell_"",""""))-COUNTIF(C$4:C386,C387)&lt;1,1),FALSE))))"),"")</f>
        <v/>
      </c>
      <c r="E387" s="59" t="str">
        <f t="array" ref="E387">IF(COUNTA(C387:C1350)=0,"",SUM((COUNTIF(C$4:C387,Upgrades!$B$3:$B$13)-COUNTIF(C$4:C387,"Sell_"&amp;Upgrades!$B$3:$B$13))*Upgrades!$D$3:$D$13))</f>
        <v/>
      </c>
      <c r="F387" s="66" t="str">
        <f>IFERROR(__xludf.DUMMYFUNCTION("IF(COUNTA(C387:C1350)=0,"""",IF(REGEXMATCH(INDEX(FILTER(C$4:C387,C$4:C387&lt;&gt;""""),ROWS(FILTER(C$4:C387,C$4:C387&lt;&gt;""""))),""^Sell_""),INDEX(FILTER(F$4:F386,C$4:C386&lt;&gt;""""),ROWS(FILTER(C$4:C386,C$4:C386&lt;&gt;""""))),$AC$5+E387))"),"")</f>
        <v/>
      </c>
      <c r="G387" s="10" t="str">
        <f>IFERROR(__xludf.DUMMYFUNCTION("IF(COUNTA(C387:C1350)=0,"""",IF(C387="""",0,IF(REGEXMATCH(C387,""^Sell_""),-ROUNDDOWN(ROUNDUP(INDEX(Upgrades!$C$3:$C$13,MATCH(SUBSTITUTE(C387,""Sell_"",""""),Upgrades!$B$3:$B$13,0))*1.15^(COUNTIF(C$4:C386,SUBSTITUTE(C387,""Sell_"",""""))-COUNTIF(C$4:C386,"&amp;"""Sell_""&amp;SUBSTITUTE(C387,""Sell_"",""""))))/2),ROUNDUP(INDEX(Upgrades!$C$3:$C$13,MATCH(C387,Upgrades!$B$3:$B$13,0))*1.15^(COUNTIF(C$4:C386,C387)-COUNTIF(C$4:C386,""Sell_""&amp;C387))))))"),"")</f>
        <v/>
      </c>
      <c r="H387" s="10" t="str">
        <f t="shared" si="3"/>
        <v/>
      </c>
      <c r="I387" s="68" t="str">
        <f t="shared" si="4"/>
        <v/>
      </c>
      <c r="J387" s="59" t="str">
        <f t="shared" si="5"/>
        <v/>
      </c>
      <c r="K387" s="69" t="str">
        <f t="shared" si="6"/>
        <v/>
      </c>
      <c r="L387" s="60">
        <f t="shared" si="7"/>
        <v>-218.97265</v>
      </c>
      <c r="M387" s="61">
        <f>IFERROR(__xludf.DUMMYFUNCTION("IFS(AND(COUNTA(C387:C1350)=0,COUNTA(Q387:Q1350)=0),"""",OR(AND(K387&gt;=1000000000,OR(Y387&gt;=1000000000,COUNTA(Q387:Q1350)=0)),OR(Y387&gt;=1000000000,AND(COUNTA(C387:C1350)=0,P$3=TRUE))),
ROUNDDOWN((AB$1-AC$1)*MAX(INDEX(T$4:T1350,MATCH(LARGE(FILTER(Y$4:Y1350,Y$4"&amp;":Y1350&lt;1000000000),1),Y$4:Y1350)),INDEX(F$4:F1350,MATCH(LARGE(FILTER(K$4:K1350,K$4:K1350&lt;1000000000),1),K$4:K1350)))),AND(K387&lt;1000000000,COUNTA(C387:C1350)&gt;0,P$3=FALSE),
ROUNDDOWN(INDEX(Y$4:Y1350,MATCH(LARGE(FILTER(W$4:W1350,W$4:W1350&lt;=I387),1),W$4:W1350"&amp;"))+(I387-LARGE(FILTER(W$4:W1350,W$4:W1350&lt;=I387),1))*INDEX(T$4:T1350,MATCH(LARGE(FILTER(W$4:W1350,W$4:W1350&lt;=I387),1),W$4:W1350))-K387),1,
ROUNDDOWN(Y387-INDEX(K$4:K1350,MATCH(LARGE(FILTER(I$4:I1350,I$4:I1350&lt;=W387),1),I$4:I1350))-(W387-LARGE(FILTER(I$4:I"&amp;"1350,I$4:I1350&lt;=W387),1))*INDEX(F$4:F1350,MATCH(LARGE(FILTER(I$4:I1350,I$4:I1350&lt;=W387),1),I$4:I1350))))"),8.0938861E7)</f>
        <v>80938861</v>
      </c>
      <c r="N387" s="60">
        <f t="shared" si="8"/>
        <v>-218.97265</v>
      </c>
      <c r="O387" s="61" t="str">
        <f t="shared" si="9"/>
        <v>80,9M</v>
      </c>
      <c r="P387" s="56">
        <f t="shared" si="10"/>
        <v>3</v>
      </c>
      <c r="Q387" s="105" t="s">
        <v>11</v>
      </c>
      <c r="R387" s="10" t="b">
        <f>IFERROR(__xludf.DUMMYFUNCTION("IF(COUNTA(Q387:Q1350)=0,"""",IF(ISBLANK(Q387),FALSE,IF(NOT(COUNTIF($AA$24:$AA$34,SUBSTITUTE(Q387,""Sell_"",""""))),1,IF(REGEXMATCH(Q387,""Sell_""),IF(COUNTIF(Q$4:Q387,SUBSTITUTE(Q387,""Sell_"",""""))-COUNTIF(Q$4:Q386,Q387)&lt;1,1),FALSE))))"),FALSE)</f>
        <v>0</v>
      </c>
      <c r="S387" s="59">
        <f t="array" ref="S387">IF(COUNTA(Q387:Q1350)=0,"",SUM((COUNTIF(Q$4:Q387,Upgrades!$B$3:$B$13)-COUNTIF(Q$4:Q387,"Sell_"&amp;Upgrades!$B$3:$B$13))*Upgrades!$D$3:$D$13))</f>
        <v>409536</v>
      </c>
      <c r="T387" s="66">
        <f>IFERROR(__xludf.DUMMYFUNCTION("IF(COUNTA(Q387:Q1350)=0,"""",IF(REGEXMATCH(INDEX(FILTER(Q$4:Q387,Q$4:Q387&lt;&gt;""""),ROWS(FILTER(Q$4:Q387,Q$4:Q387&lt;&gt;""""))),""^Sell_""),INDEX(FILTER(T$4:T386,Q$4:Q386&lt;&gt;""""),ROWS(FILTER(Q$4:Q386,Q$4:Q386&lt;&gt;""""))),$AD$5+S387))"),409736.0)</f>
        <v>409736</v>
      </c>
      <c r="U387" s="10">
        <f>IFERROR(__xludf.DUMMYFUNCTION("IF(COUNTA(Q387:Q1350)=0,"""",IF(Q387="""",0,IF(REGEXMATCH(Q387,""^Sell_""),-ROUNDDOWN(ROUNDUP(INDEX(Upgrades!$C$3:$C$13,MATCH(SUBSTITUTE(Q387,""Sell_"",""""),Upgrades!$B$3:$B$13,0))*1.15^(COUNTIF(Q$4:Q386,SUBSTITUTE(Q387,""Sell_"",""""))-COUNTIF(Q$4:Q386,"&amp;"""Sell_""&amp;SUBSTITUTE(Q387,""Sell_"",""""))))/2),ROUNDUP(INDEX(Upgrades!$C$3:$C$13,MATCH(Q387,Upgrades!$B$3:$B$13,0))*1.15^(COUNTIF(Q$4:Q386,Q387)-COUNTIF(Q$4:Q386,""Sell_""&amp;Q387))))))"),1.63271604E8)</f>
        <v>163271604</v>
      </c>
      <c r="V387" s="10">
        <f t="shared" si="11"/>
        <v>163271604</v>
      </c>
      <c r="W387" s="68">
        <f t="shared" si="12"/>
        <v>5885.953691</v>
      </c>
      <c r="X387" s="59" t="str">
        <f t="shared" si="13"/>
        <v>1h 38m 05s</v>
      </c>
      <c r="Y387" s="69">
        <f t="shared" si="14"/>
        <v>582323029</v>
      </c>
      <c r="Z387" s="11"/>
    </row>
    <row r="388">
      <c r="A388" s="8"/>
      <c r="B388" s="56" t="str">
        <f t="shared" si="2"/>
        <v/>
      </c>
      <c r="C388" s="57"/>
      <c r="D388" s="10" t="str">
        <f>IFERROR(__xludf.DUMMYFUNCTION("IF(COUNTA(C388:C1350)=0,"""",IF(ISBLANK(C388),FALSE,IF(NOT(COUNTIF($AA$24:$AA$34,SUBSTITUTE(C388,""Sell_"",""""))),1,IF(REGEXMATCH(C388,""Sell_""),IF(COUNTIF(C$4:C388,SUBSTITUTE(C388,""Sell_"",""""))-COUNTIF(C$4:C387,C388)&lt;1,1),FALSE))))"),"")</f>
        <v/>
      </c>
      <c r="E388" s="59" t="str">
        <f t="array" ref="E388">IF(COUNTA(C388:C1350)=0,"",SUM((COUNTIF(C$4:C388,Upgrades!$B$3:$B$13)-COUNTIF(C$4:C388,"Sell_"&amp;Upgrades!$B$3:$B$13))*Upgrades!$D$3:$D$13))</f>
        <v/>
      </c>
      <c r="F388" s="66" t="str">
        <f>IFERROR(__xludf.DUMMYFUNCTION("IF(COUNTA(C388:C1350)=0,"""",IF(REGEXMATCH(INDEX(FILTER(C$4:C388,C$4:C388&lt;&gt;""""),ROWS(FILTER(C$4:C388,C$4:C388&lt;&gt;""""))),""^Sell_""),INDEX(FILTER(F$4:F387,C$4:C387&lt;&gt;""""),ROWS(FILTER(C$4:C387,C$4:C387&lt;&gt;""""))),$AC$5+E388))"),"")</f>
        <v/>
      </c>
      <c r="G388" s="10" t="str">
        <f>IFERROR(__xludf.DUMMYFUNCTION("IF(COUNTA(C388:C1350)=0,"""",IF(C388="""",0,IF(REGEXMATCH(C388,""^Sell_""),-ROUNDDOWN(ROUNDUP(INDEX(Upgrades!$C$3:$C$13,MATCH(SUBSTITUTE(C388,""Sell_"",""""),Upgrades!$B$3:$B$13,0))*1.15^(COUNTIF(C$4:C387,SUBSTITUTE(C388,""Sell_"",""""))-COUNTIF(C$4:C387,"&amp;"""Sell_""&amp;SUBSTITUTE(C388,""Sell_"",""""))))/2),ROUNDUP(INDEX(Upgrades!$C$3:$C$13,MATCH(C388,Upgrades!$B$3:$B$13,0))*1.15^(COUNTIF(C$4:C387,C388)-COUNTIF(C$4:C387,""Sell_""&amp;C388))))))"),"")</f>
        <v/>
      </c>
      <c r="H388" s="10" t="str">
        <f t="shared" si="3"/>
        <v/>
      </c>
      <c r="I388" s="68" t="str">
        <f t="shared" si="4"/>
        <v/>
      </c>
      <c r="J388" s="59" t="str">
        <f t="shared" si="5"/>
        <v/>
      </c>
      <c r="K388" s="69" t="str">
        <f t="shared" si="6"/>
        <v/>
      </c>
      <c r="L388" s="60">
        <f t="shared" si="7"/>
        <v>-218.96825</v>
      </c>
      <c r="M388" s="61">
        <f>IFERROR(__xludf.DUMMYFUNCTION("IFS(AND(COUNTA(C388:C1350)=0,COUNTA(Q388:Q1350)=0),"""",OR(AND(K388&gt;=1000000000,OR(Y388&gt;=1000000000,COUNTA(Q388:Q1350)=0)),OR(Y388&gt;=1000000000,AND(COUNTA(C388:C1350)=0,P$3=TRUE))),
ROUNDDOWN((AB$1-AC$1)*MAX(INDEX(T$4:T1350,MATCH(LARGE(FILTER(Y$4:Y1350,Y$4"&amp;":Y1350&lt;1000000000),1),Y$4:Y1350)),INDEX(F$4:F1350,MATCH(LARGE(FILTER(K$4:K1350,K$4:K1350&lt;1000000000),1),K$4:K1350)))),AND(K388&lt;1000000000,COUNTA(C388:C1350)&gt;0,P$3=FALSE),
ROUNDDOWN(INDEX(Y$4:Y1350,MATCH(LARGE(FILTER(W$4:W1350,W$4:W1350&lt;=I388),1),W$4:W1350"&amp;"))+(I388-LARGE(FILTER(W$4:W1350,W$4:W1350&lt;=I388),1))*INDEX(T$4:T1350,MATCH(LARGE(FILTER(W$4:W1350,W$4:W1350&lt;=I388),1),W$4:W1350))-K388),1,
ROUNDDOWN(Y388-INDEX(K$4:K1350,MATCH(LARGE(FILTER(I$4:I1350,I$4:I1350&lt;=W388),1),I$4:I1350))-(W388-LARGE(FILTER(I$4:I"&amp;"1350,I$4:I1350&lt;=W388),1))*INDEX(F$4:F1350,MATCH(LARGE(FILTER(I$4:I1350,I$4:I1350&lt;=W388),1),I$4:I1350))))"),8.1162253E7)</f>
        <v>81162253</v>
      </c>
      <c r="N388" s="60">
        <f t="shared" si="8"/>
        <v>-218.96825</v>
      </c>
      <c r="O388" s="61" t="str">
        <f t="shared" si="9"/>
        <v>81,2M</v>
      </c>
      <c r="P388" s="56">
        <f t="shared" si="10"/>
        <v>12</v>
      </c>
      <c r="Q388" s="105" t="s">
        <v>9</v>
      </c>
      <c r="R388" s="10" t="b">
        <f>IFERROR(__xludf.DUMMYFUNCTION("IF(COUNTA(Q388:Q1350)=0,"""",IF(ISBLANK(Q388),FALSE,IF(NOT(COUNTIF($AA$24:$AA$34,SUBSTITUTE(Q388,""Sell_"",""""))),1,IF(REGEXMATCH(Q388,""Sell_""),IF(COUNTIF(Q$4:Q388,SUBSTITUTE(Q388,""Sell_"",""""))-COUNTIF(Q$4:Q387,Q388)&lt;1,1),FALSE))))"),FALSE)</f>
        <v>0</v>
      </c>
      <c r="S388" s="59">
        <f t="array" ref="S388">IF(COUNTA(Q388:Q1350)=0,"",SUM((COUNTIF(Q$4:Q388,Upgrades!$B$3:$B$13)-COUNTIF(Q$4:Q388,"Sell_"&amp;Upgrades!$B$3:$B$13))*Upgrades!$D$3:$D$13))</f>
        <v>409936</v>
      </c>
      <c r="T388" s="66">
        <f>IFERROR(__xludf.DUMMYFUNCTION("IF(COUNTA(Q388:Q1350)=0,"""",IF(REGEXMATCH(INDEX(FILTER(Q$4:Q388,Q$4:Q388&lt;&gt;""""),ROWS(FILTER(Q$4:Q388,Q$4:Q388&lt;&gt;""""))),""^Sell_""),INDEX(FILTER(T$4:T387,Q$4:Q387&lt;&gt;""""),ROWS(FILTER(Q$4:Q387,Q$4:Q387&lt;&gt;""""))),$AD$5+S388))"),410136.0)</f>
        <v>410136</v>
      </c>
      <c r="U388" s="10">
        <f>IFERROR(__xludf.DUMMYFUNCTION("IF(COUNTA(Q388:Q1350)=0,"""",IF(Q388="""",0,IF(REGEXMATCH(Q388,""^Sell_""),-ROUNDDOWN(ROUNDUP(INDEX(Upgrades!$C$3:$C$13,MATCH(SUBSTITUTE(Q388,""Sell_"",""""),Upgrades!$B$3:$B$13,0))*1.15^(COUNTIF(Q$4:Q387,SUBSTITUTE(Q388,""Sell_"",""""))-COUNTIF(Q$4:Q387,"&amp;"""Sell_""&amp;SUBSTITUTE(Q388,""Sell_"",""""))))/2),ROUNDUP(INDEX(Upgrades!$C$3:$C$13,MATCH(Q388,Upgrades!$B$3:$B$13,0))*1.15^(COUNTIF(Q$4:Q387,Q388)-COUNTIF(Q$4:Q387,""Sell_""&amp;Q388))))))"),930479.0)</f>
        <v>930479</v>
      </c>
      <c r="V388" s="10">
        <f t="shared" si="11"/>
        <v>930479</v>
      </c>
      <c r="W388" s="68">
        <f t="shared" si="12"/>
        <v>5888.224614</v>
      </c>
      <c r="X388" s="59" t="str">
        <f t="shared" si="13"/>
        <v>1h 38m 08s</v>
      </c>
      <c r="Y388" s="69">
        <f t="shared" si="14"/>
        <v>583253508</v>
      </c>
      <c r="Z388" s="11"/>
    </row>
    <row r="389">
      <c r="A389" s="8"/>
      <c r="B389" s="56" t="str">
        <f t="shared" si="2"/>
        <v/>
      </c>
      <c r="C389" s="57"/>
      <c r="D389" s="10" t="str">
        <f>IFERROR(__xludf.DUMMYFUNCTION("IF(COUNTA(C389:C1350)=0,"""",IF(ISBLANK(C389),FALSE,IF(NOT(COUNTIF($AA$24:$AA$34,SUBSTITUTE(C389,""Sell_"",""""))),1,IF(REGEXMATCH(C389,""Sell_""),IF(COUNTIF(C$4:C389,SUBSTITUTE(C389,""Sell_"",""""))-COUNTIF(C$4:C388,C389)&lt;1,1),FALSE))))"),"")</f>
        <v/>
      </c>
      <c r="E389" s="59" t="str">
        <f t="array" ref="E389">IF(COUNTA(C389:C1350)=0,"",SUM((COUNTIF(C$4:C389,Upgrades!$B$3:$B$13)-COUNTIF(C$4:C389,"Sell_"&amp;Upgrades!$B$3:$B$13))*Upgrades!$D$3:$D$13))</f>
        <v/>
      </c>
      <c r="F389" s="66" t="str">
        <f>IFERROR(__xludf.DUMMYFUNCTION("IF(COUNTA(C389:C1350)=0,"""",IF(REGEXMATCH(INDEX(FILTER(C$4:C389,C$4:C389&lt;&gt;""""),ROWS(FILTER(C$4:C389,C$4:C389&lt;&gt;""""))),""^Sell_""),INDEX(FILTER(F$4:F388,C$4:C388&lt;&gt;""""),ROWS(FILTER(C$4:C388,C$4:C388&lt;&gt;""""))),$AC$5+E389))"),"")</f>
        <v/>
      </c>
      <c r="G389" s="10" t="str">
        <f>IFERROR(__xludf.DUMMYFUNCTION("IF(COUNTA(C389:C1350)=0,"""",IF(C389="""",0,IF(REGEXMATCH(C389,""^Sell_""),-ROUNDDOWN(ROUNDUP(INDEX(Upgrades!$C$3:$C$13,MATCH(SUBSTITUTE(C389,""Sell_"",""""),Upgrades!$B$3:$B$13,0))*1.15^(COUNTIF(C$4:C388,SUBSTITUTE(C389,""Sell_"",""""))-COUNTIF(C$4:C388,"&amp;"""Sell_""&amp;SUBSTITUTE(C389,""Sell_"",""""))))/2),ROUNDUP(INDEX(Upgrades!$C$3:$C$13,MATCH(C389,Upgrades!$B$3:$B$13,0))*1.15^(COUNTIF(C$4:C388,C389)-COUNTIF(C$4:C388,""Sell_""&amp;C389))))))"),"")</f>
        <v/>
      </c>
      <c r="H389" s="10" t="str">
        <f t="shared" si="3"/>
        <v/>
      </c>
      <c r="I389" s="68" t="str">
        <f t="shared" si="4"/>
        <v/>
      </c>
      <c r="J389" s="59" t="str">
        <f t="shared" si="5"/>
        <v/>
      </c>
      <c r="K389" s="69" t="str">
        <f t="shared" si="6"/>
        <v/>
      </c>
      <c r="L389" s="60">
        <f t="shared" si="7"/>
        <v>-218.96803</v>
      </c>
      <c r="M389" s="61">
        <f>IFERROR(__xludf.DUMMYFUNCTION("IFS(AND(COUNTA(C389:C1350)=0,COUNTA(Q389:Q1350)=0),"""",OR(AND(K389&gt;=1000000000,OR(Y389&gt;=1000000000,COUNTA(Q389:Q1350)=0)),OR(Y389&gt;=1000000000,AND(COUNTA(C389:C1350)=0,P$3=TRUE))),
ROUNDDOWN((AB$1-AC$1)*MAX(INDEX(T$4:T1350,MATCH(LARGE(FILTER(Y$4:Y1350,Y$4"&amp;":Y1350&lt;1000000000),1),Y$4:Y1350)),INDEX(F$4:F1350,MATCH(LARGE(FILTER(K$4:K1350,K$4:K1350&lt;1000000000),1),K$4:K1350)))),AND(K389&lt;1000000000,COUNTA(C389:C1350)&gt;0,P$3=FALSE),
ROUNDDOWN(INDEX(Y$4:Y1350,MATCH(LARGE(FILTER(W$4:W1350,W$4:W1350&lt;=I389),1),W$4:W1350"&amp;"))+(I389-LARGE(FILTER(W$4:W1350,W$4:W1350&lt;=I389),1))*INDEX(T$4:T1350,MATCH(LARGE(FILTER(W$4:W1350,W$4:W1350&lt;=I389),1),W$4:W1350))-K389),1,
ROUNDDOWN(Y389-INDEX(K$4:K1350,MATCH(LARGE(FILTER(I$4:I1350,I$4:I1350&lt;=W389),1),I$4:I1350))-(W389-LARGE(FILTER(I$4:I"&amp;"1350,I$4:I1350&lt;=W389),1))*INDEX(F$4:F1350,MATCH(LARGE(FILTER(I$4:I1350,I$4:I1350&lt;=W389),1),I$4:I1350))))"),8.1184788E7)</f>
        <v>81184788</v>
      </c>
      <c r="N389" s="60">
        <f t="shared" si="8"/>
        <v>-218.96803</v>
      </c>
      <c r="O389" s="61" t="str">
        <f t="shared" si="9"/>
        <v>81,2M</v>
      </c>
      <c r="P389" s="56">
        <f t="shared" si="10"/>
        <v>17</v>
      </c>
      <c r="Q389" s="105" t="s">
        <v>7</v>
      </c>
      <c r="R389" s="10" t="b">
        <f>IFERROR(__xludf.DUMMYFUNCTION("IF(COUNTA(Q389:Q1350)=0,"""",IF(ISBLANK(Q389),FALSE,IF(NOT(COUNTIF($AA$24:$AA$34,SUBSTITUTE(Q389,""Sell_"",""""))),1,IF(REGEXMATCH(Q389,""Sell_""),IF(COUNTIF(Q$4:Q389,SUBSTITUTE(Q389,""Sell_"",""""))-COUNTIF(Q$4:Q388,Q389)&lt;1,1),FALSE))))"),FALSE)</f>
        <v>0</v>
      </c>
      <c r="S389" s="59">
        <f t="array" ref="S389">IF(COUNTA(Q389:Q1350)=0,"",SUM((COUNTIF(Q$4:Q389,Upgrades!$B$3:$B$13)-COUNTIF(Q$4:Q389,"Sell_"&amp;Upgrades!$B$3:$B$13))*Upgrades!$D$3:$D$13))</f>
        <v>409976</v>
      </c>
      <c r="T389" s="66">
        <f>IFERROR(__xludf.DUMMYFUNCTION("IF(COUNTA(Q389:Q1350)=0,"""",IF(REGEXMATCH(INDEX(FILTER(Q$4:Q389,Q$4:Q389&lt;&gt;""""),ROWS(FILTER(Q$4:Q389,Q$4:Q389&lt;&gt;""""))),""^Sell_""),INDEX(FILTER(T$4:T388,Q$4:Q388&lt;&gt;""""),ROWS(FILTER(Q$4:Q388,Q$4:Q388&lt;&gt;""""))),$AD$5+S389))"),410176.0)</f>
        <v>410176</v>
      </c>
      <c r="U389" s="10">
        <f>IFERROR(__xludf.DUMMYFUNCTION("IF(COUNTA(Q389:Q1350)=0,"""",IF(Q389="""",0,IF(REGEXMATCH(Q389,""^Sell_""),-ROUNDDOWN(ROUNDUP(INDEX(Upgrades!$C$3:$C$13,MATCH(SUBSTITUTE(Q389,""Sell_"",""""),Upgrades!$B$3:$B$13,0))*1.15^(COUNTIF(Q$4:Q388,SUBSTITUTE(Q389,""Sell_"",""""))-COUNTIF(Q$4:Q388,"&amp;"""Sell_""&amp;SUBSTITUTE(Q389,""Sell_"",""""))))/2),ROUNDUP(INDEX(Upgrades!$C$3:$C$13,MATCH(Q389,Upgrades!$B$3:$B$13,0))*1.15^(COUNTIF(Q$4:Q388,Q389)-COUNTIF(Q$4:Q388,""Sell_""&amp;Q389))))))"),93577.0)</f>
        <v>93577</v>
      </c>
      <c r="V389" s="10">
        <f t="shared" si="11"/>
        <v>93577</v>
      </c>
      <c r="W389" s="68">
        <f t="shared" si="12"/>
        <v>5888.452775</v>
      </c>
      <c r="X389" s="59" t="str">
        <f t="shared" si="13"/>
        <v>1h 38m 08s</v>
      </c>
      <c r="Y389" s="69">
        <f t="shared" si="14"/>
        <v>583347085</v>
      </c>
      <c r="Z389" s="11"/>
    </row>
    <row r="390">
      <c r="A390" s="8"/>
      <c r="B390" s="56" t="str">
        <f t="shared" si="2"/>
        <v/>
      </c>
      <c r="C390" s="57"/>
      <c r="D390" s="10" t="str">
        <f>IFERROR(__xludf.DUMMYFUNCTION("IF(COUNTA(C390:C1350)=0,"""",IF(ISBLANK(C390),FALSE,IF(NOT(COUNTIF($AA$24:$AA$34,SUBSTITUTE(C390,""Sell_"",""""))),1,IF(REGEXMATCH(C390,""Sell_""),IF(COUNTIF(C$4:C390,SUBSTITUTE(C390,""Sell_"",""""))-COUNTIF(C$4:C389,C390)&lt;1,1),FALSE))))"),"")</f>
        <v/>
      </c>
      <c r="E390" s="59" t="str">
        <f t="array" ref="E390">IF(COUNTA(C390:C1350)=0,"",SUM((COUNTIF(C$4:C390,Upgrades!$B$3:$B$13)-COUNTIF(C$4:C390,"Sell_"&amp;Upgrades!$B$3:$B$13))*Upgrades!$D$3:$D$13))</f>
        <v/>
      </c>
      <c r="F390" s="66" t="str">
        <f>IFERROR(__xludf.DUMMYFUNCTION("IF(COUNTA(C390:C1350)=0,"""",IF(REGEXMATCH(INDEX(FILTER(C$4:C390,C$4:C390&lt;&gt;""""),ROWS(FILTER(C$4:C390,C$4:C390&lt;&gt;""""))),""^Sell_""),INDEX(FILTER(F$4:F389,C$4:C389&lt;&gt;""""),ROWS(FILTER(C$4:C389,C$4:C389&lt;&gt;""""))),$AC$5+E390))"),"")</f>
        <v/>
      </c>
      <c r="G390" s="10" t="str">
        <f>IFERROR(__xludf.DUMMYFUNCTION("IF(COUNTA(C390:C1350)=0,"""",IF(C390="""",0,IF(REGEXMATCH(C390,""^Sell_""),-ROUNDDOWN(ROUNDUP(INDEX(Upgrades!$C$3:$C$13,MATCH(SUBSTITUTE(C390,""Sell_"",""""),Upgrades!$B$3:$B$13,0))*1.15^(COUNTIF(C$4:C389,SUBSTITUTE(C390,""Sell_"",""""))-COUNTIF(C$4:C389,"&amp;"""Sell_""&amp;SUBSTITUTE(C390,""Sell_"",""""))))/2),ROUNDUP(INDEX(Upgrades!$C$3:$C$13,MATCH(C390,Upgrades!$B$3:$B$13,0))*1.15^(COUNTIF(C$4:C389,C390)-COUNTIF(C$4:C389,""Sell_""&amp;C390))))))"),"")</f>
        <v/>
      </c>
      <c r="H390" s="10" t="str">
        <f t="shared" si="3"/>
        <v/>
      </c>
      <c r="I390" s="68" t="str">
        <f t="shared" si="4"/>
        <v/>
      </c>
      <c r="J390" s="59" t="str">
        <f t="shared" si="5"/>
        <v/>
      </c>
      <c r="K390" s="69" t="str">
        <f t="shared" si="6"/>
        <v/>
      </c>
      <c r="L390" s="60">
        <f t="shared" si="7"/>
        <v>-218.96801</v>
      </c>
      <c r="M390" s="61">
        <f>IFERROR(__xludf.DUMMYFUNCTION("IFS(AND(COUNTA(C390:C1350)=0,COUNTA(Q390:Q1350)=0),"""",OR(AND(K390&gt;=1000000000,OR(Y390&gt;=1000000000,COUNTA(Q390:Q1350)=0)),OR(Y390&gt;=1000000000,AND(COUNTA(C390:C1350)=0,P$3=TRUE))),
ROUNDDOWN((AB$1-AC$1)*MAX(INDEX(T$4:T1350,MATCH(LARGE(FILTER(Y$4:Y1350,Y$4"&amp;":Y1350&lt;1000000000),1),Y$4:Y1350)),INDEX(F$4:F1350,MATCH(LARGE(FILTER(K$4:K1350,K$4:K1350&lt;1000000000),1),K$4:K1350)))),AND(K390&lt;1000000000,COUNTA(C390:C1350)&gt;0,P$3=FALSE),
ROUNDDOWN(INDEX(Y$4:Y1350,MATCH(LARGE(FILTER(W$4:W1350,W$4:W1350&lt;=I390),1),W$4:W1350"&amp;"))+(I390-LARGE(FILTER(W$4:W1350,W$4:W1350&lt;=I390),1))*INDEX(T$4:T1350,MATCH(LARGE(FILTER(W$4:W1350,W$4:W1350&lt;=I390),1),W$4:W1350))-K390),1,
ROUNDDOWN(Y390-INDEX(K$4:K1350,MATCH(LARGE(FILTER(I$4:I1350,I$4:I1350&lt;=W390),1),I$4:I1350))-(W390-LARGE(FILTER(I$4:I"&amp;"1350,I$4:I1350&lt;=W390),1))*INDEX(F$4:F1350,MATCH(LARGE(FILTER(I$4:I1350,I$4:I1350&lt;=W390),1),I$4:I1350))))"),8.1187055E7)</f>
        <v>81187055</v>
      </c>
      <c r="N390" s="60">
        <f t="shared" si="8"/>
        <v>-218.96801</v>
      </c>
      <c r="O390" s="61" t="str">
        <f t="shared" si="9"/>
        <v>81,2M</v>
      </c>
      <c r="P390" s="56">
        <f t="shared" si="10"/>
        <v>22</v>
      </c>
      <c r="Q390" s="105" t="s">
        <v>5</v>
      </c>
      <c r="R390" s="10" t="b">
        <f>IFERROR(__xludf.DUMMYFUNCTION("IF(COUNTA(Q390:Q1350)=0,"""",IF(ISBLANK(Q390),FALSE,IF(NOT(COUNTIF($AA$24:$AA$34,SUBSTITUTE(Q390,""Sell_"",""""))),1,IF(REGEXMATCH(Q390,""Sell_""),IF(COUNTIF(Q$4:Q390,SUBSTITUTE(Q390,""Sell_"",""""))-COUNTIF(Q$4:Q389,Q390)&lt;1,1),FALSE))))"),FALSE)</f>
        <v>0</v>
      </c>
      <c r="S390" s="59">
        <f t="array" ref="S390">IF(COUNTA(Q390:Q1350)=0,"",SUM((COUNTIF(Q$4:Q390,Upgrades!$B$3:$B$13)-COUNTIF(Q$4:Q390,"Sell_"&amp;Upgrades!$B$3:$B$13))*Upgrades!$D$3:$D$13))</f>
        <v>409980</v>
      </c>
      <c r="T390" s="66">
        <f>IFERROR(__xludf.DUMMYFUNCTION("IF(COUNTA(Q390:Q1350)=0,"""",IF(REGEXMATCH(INDEX(FILTER(Q$4:Q390,Q$4:Q390&lt;&gt;""""),ROWS(FILTER(Q$4:Q390,Q$4:Q390&lt;&gt;""""))),""^Sell_""),INDEX(FILTER(T$4:T389,Q$4:Q389&lt;&gt;""""),ROWS(FILTER(Q$4:Q389,Q$4:Q389&lt;&gt;""""))),$AD$5+S390))"),410180.0)</f>
        <v>410180</v>
      </c>
      <c r="U390" s="10">
        <f>IFERROR(__xludf.DUMMYFUNCTION("IF(COUNTA(Q390:Q1350)=0,"""",IF(Q390="""",0,IF(REGEXMATCH(Q390,""^Sell_""),-ROUNDDOWN(ROUNDUP(INDEX(Upgrades!$C$3:$C$13,MATCH(SUBSTITUTE(Q390,""Sell_"",""""),Upgrades!$B$3:$B$13,0))*1.15^(COUNTIF(Q$4:Q389,SUBSTITUTE(Q390,""Sell_"",""""))-COUNTIF(Q$4:Q389,"&amp;"""Sell_""&amp;SUBSTITUTE(Q390,""Sell_"",""""))))/2),ROUNDUP(INDEX(Upgrades!$C$3:$C$13,MATCH(Q390,Upgrades!$B$3:$B$13,0))*1.15^(COUNTIF(Q$4:Q389,Q390)-COUNTIF(Q$4:Q389,""Sell_""&amp;Q390))))))"),9411.0)</f>
        <v>9411</v>
      </c>
      <c r="V390" s="10">
        <f t="shared" si="11"/>
        <v>9411</v>
      </c>
      <c r="W390" s="68">
        <f t="shared" si="12"/>
        <v>5888.475719</v>
      </c>
      <c r="X390" s="59" t="str">
        <f t="shared" si="13"/>
        <v>1h 38m 08s</v>
      </c>
      <c r="Y390" s="69">
        <f t="shared" si="14"/>
        <v>583356496</v>
      </c>
      <c r="Z390" s="11"/>
    </row>
    <row r="391">
      <c r="A391" s="8"/>
      <c r="B391" s="56" t="str">
        <f t="shared" si="2"/>
        <v/>
      </c>
      <c r="C391" s="57"/>
      <c r="D391" s="10" t="str">
        <f>IFERROR(__xludf.DUMMYFUNCTION("IF(COUNTA(C391:C1350)=0,"""",IF(ISBLANK(C391),FALSE,IF(NOT(COUNTIF($AA$24:$AA$34,SUBSTITUTE(C391,""Sell_"",""""))),1,IF(REGEXMATCH(C391,""Sell_""),IF(COUNTIF(C$4:C391,SUBSTITUTE(C391,""Sell_"",""""))-COUNTIF(C$4:C390,C391)&lt;1,1),FALSE))))"),"")</f>
        <v/>
      </c>
      <c r="E391" s="59" t="str">
        <f t="array" ref="E391">IF(COUNTA(C391:C1350)=0,"",SUM((COUNTIF(C$4:C391,Upgrades!$B$3:$B$13)-COUNTIF(C$4:C391,"Sell_"&amp;Upgrades!$B$3:$B$13))*Upgrades!$D$3:$D$13))</f>
        <v/>
      </c>
      <c r="F391" s="66" t="str">
        <f>IFERROR(__xludf.DUMMYFUNCTION("IF(COUNTA(C391:C1350)=0,"""",IF(REGEXMATCH(INDEX(FILTER(C$4:C391,C$4:C391&lt;&gt;""""),ROWS(FILTER(C$4:C391,C$4:C391&lt;&gt;""""))),""^Sell_""),INDEX(FILTER(F$4:F390,C$4:C390&lt;&gt;""""),ROWS(FILTER(C$4:C390,C$4:C390&lt;&gt;""""))),$AC$5+E391))"),"")</f>
        <v/>
      </c>
      <c r="G391" s="10" t="str">
        <f>IFERROR(__xludf.DUMMYFUNCTION("IF(COUNTA(C391:C1350)=0,"""",IF(C391="""",0,IF(REGEXMATCH(C391,""^Sell_""),-ROUNDDOWN(ROUNDUP(INDEX(Upgrades!$C$3:$C$13,MATCH(SUBSTITUTE(C391,""Sell_"",""""),Upgrades!$B$3:$B$13,0))*1.15^(COUNTIF(C$4:C390,SUBSTITUTE(C391,""Sell_"",""""))-COUNTIF(C$4:C390,"&amp;"""Sell_""&amp;SUBSTITUTE(C391,""Sell_"",""""))))/2),ROUNDUP(INDEX(Upgrades!$C$3:$C$13,MATCH(C391,Upgrades!$B$3:$B$13,0))*1.15^(COUNTIF(C$4:C390,C391)-COUNTIF(C$4:C390,""Sell_""&amp;C391))))))"),"")</f>
        <v/>
      </c>
      <c r="H391" s="10" t="str">
        <f t="shared" si="3"/>
        <v/>
      </c>
      <c r="I391" s="68" t="str">
        <f t="shared" si="4"/>
        <v/>
      </c>
      <c r="J391" s="59" t="str">
        <f t="shared" si="5"/>
        <v/>
      </c>
      <c r="K391" s="69" t="str">
        <f t="shared" si="6"/>
        <v/>
      </c>
      <c r="L391" s="60">
        <f t="shared" si="7"/>
        <v>-218.93555</v>
      </c>
      <c r="M391" s="61">
        <f>IFERROR(__xludf.DUMMYFUNCTION("IFS(AND(COUNTA(C391:C1350)=0,COUNTA(Q391:Q1350)=0),"""",OR(AND(K391&gt;=1000000000,OR(Y391&gt;=1000000000,COUNTA(Q391:Q1350)=0)),OR(Y391&gt;=1000000000,AND(COUNTA(C391:C1350)=0,P$3=TRUE))),
ROUNDDOWN((AB$1-AC$1)*MAX(INDEX(T$4:T1350,MATCH(LARGE(FILTER(Y$4:Y1350,Y$4"&amp;":Y1350&lt;1000000000),1),Y$4:Y1350)),INDEX(F$4:F1350,MATCH(LARGE(FILTER(K$4:K1350,K$4:K1350&lt;1000000000),1),K$4:K1350)))),AND(K391&lt;1000000000,COUNTA(C391:C1350)&gt;0,P$3=FALSE),
ROUNDDOWN(INDEX(Y$4:Y1350,MATCH(LARGE(FILTER(W$4:W1350,W$4:W1350&lt;=I391),1),W$4:W1350"&amp;"))+(I391-LARGE(FILTER(W$4:W1350,W$4:W1350&lt;=I391),1))*INDEX(T$4:T1350,MATCH(LARGE(FILTER(W$4:W1350,W$4:W1350&lt;=I391),1),W$4:W1350))-K391),1,
ROUNDDOWN(Y391-INDEX(K$4:K1350,MATCH(LARGE(FILTER(I$4:I1350,I$4:I1350&lt;=W391),1),I$4:I1350))-(W391-LARGE(FILTER(I$4:I"&amp;"1350,I$4:I1350&lt;=W391),1))*INDEX(F$4:F1350,MATCH(LARGE(FILTER(I$4:I1350,I$4:I1350&lt;=W391),1),I$4:I1350))))"),8.494422E7)</f>
        <v>84944220</v>
      </c>
      <c r="N391" s="60">
        <f t="shared" si="8"/>
        <v>-218.93555</v>
      </c>
      <c r="O391" s="61" t="str">
        <f t="shared" si="9"/>
        <v>84,9M</v>
      </c>
      <c r="P391" s="56">
        <f t="shared" si="10"/>
        <v>17</v>
      </c>
      <c r="Q391" s="105" t="s">
        <v>10</v>
      </c>
      <c r="R391" s="10" t="b">
        <f>IFERROR(__xludf.DUMMYFUNCTION("IF(COUNTA(Q391:Q1350)=0,"""",IF(ISBLANK(Q391),FALSE,IF(NOT(COUNTIF($AA$24:$AA$34,SUBSTITUTE(Q391,""Sell_"",""""))),1,IF(REGEXMATCH(Q391,""Sell_""),IF(COUNTIF(Q$4:Q391,SUBSTITUTE(Q391,""Sell_"",""""))-COUNTIF(Q$4:Q390,Q391)&lt;1,1),FALSE))))"),FALSE)</f>
        <v>0</v>
      </c>
      <c r="S391" s="59">
        <f t="array" ref="S391">IF(COUNTA(Q391:Q1350)=0,"",SUM((COUNTIF(Q$4:Q391,Upgrades!$B$3:$B$13)-COUNTIF(Q$4:Q391,"Sell_"&amp;Upgrades!$B$3:$B$13))*Upgrades!$D$3:$D$13))</f>
        <v>416646</v>
      </c>
      <c r="T391" s="66">
        <f>IFERROR(__xludf.DUMMYFUNCTION("IF(COUNTA(Q391:Q1350)=0,"""",IF(REGEXMATCH(INDEX(FILTER(Q$4:Q391,Q$4:Q391&lt;&gt;""""),ROWS(FILTER(Q$4:Q391,Q$4:Q391&lt;&gt;""""))),""^Sell_""),INDEX(FILTER(T$4:T390,Q$4:Q390&lt;&gt;""""),ROWS(FILTER(Q$4:Q390,Q$4:Q390&lt;&gt;""""))),$AD$5+S391))"),416846.0)</f>
        <v>416846</v>
      </c>
      <c r="U391" s="10">
        <f>IFERROR(__xludf.DUMMYFUNCTION("IF(COUNTA(Q391:Q1350)=0,"""",IF(Q391="""",0,IF(REGEXMATCH(Q391,""^Sell_""),-ROUNDDOWN(ROUNDUP(INDEX(Upgrades!$C$3:$C$13,MATCH(SUBSTITUTE(Q391,""Sell_"",""""),Upgrades!$B$3:$B$13,0))*1.15^(COUNTIF(Q$4:Q390,SUBSTITUTE(Q391,""Sell_"",""""))-COUNTIF(Q$4:Q390,"&amp;"""Sell_""&amp;SUBSTITUTE(Q391,""Sell_"",""""))))/2),ROUNDUP(INDEX(Upgrades!$C$3:$C$13,MATCH(Q391,Upgrades!$B$3:$B$13,0))*1.15^(COUNTIF(Q$4:Q390,Q391)-COUNTIF(Q$4:Q390,""Sell_""&amp;Q391))))))"),1.5596029E7)</f>
        <v>15596029</v>
      </c>
      <c r="V391" s="10">
        <f t="shared" si="11"/>
        <v>15596029</v>
      </c>
      <c r="W391" s="68">
        <f t="shared" si="12"/>
        <v>5926.498121</v>
      </c>
      <c r="X391" s="59" t="str">
        <f t="shared" si="13"/>
        <v>1h 38m 46s</v>
      </c>
      <c r="Y391" s="69">
        <f t="shared" si="14"/>
        <v>598952525</v>
      </c>
      <c r="Z391" s="11"/>
    </row>
    <row r="392">
      <c r="A392" s="8"/>
      <c r="B392" s="56" t="str">
        <f t="shared" si="2"/>
        <v/>
      </c>
      <c r="C392" s="57"/>
      <c r="D392" s="10" t="str">
        <f>IFERROR(__xludf.DUMMYFUNCTION("IF(COUNTA(C392:C1350)=0,"""",IF(ISBLANK(C392),FALSE,IF(NOT(COUNTIF($AA$24:$AA$34,SUBSTITUTE(C392,""Sell_"",""""))),1,IF(REGEXMATCH(C392,""Sell_""),IF(COUNTIF(C$4:C392,SUBSTITUTE(C392,""Sell_"",""""))-COUNTIF(C$4:C391,C392)&lt;1,1),FALSE))))"),"")</f>
        <v/>
      </c>
      <c r="E392" s="59" t="str">
        <f t="array" ref="E392">IF(COUNTA(C392:C1350)=0,"",SUM((COUNTIF(C$4:C392,Upgrades!$B$3:$B$13)-COUNTIF(C$4:C392,"Sell_"&amp;Upgrades!$B$3:$B$13))*Upgrades!$D$3:$D$13))</f>
        <v/>
      </c>
      <c r="F392" s="66" t="str">
        <f>IFERROR(__xludf.DUMMYFUNCTION("IF(COUNTA(C392:C1350)=0,"""",IF(REGEXMATCH(INDEX(FILTER(C$4:C392,C$4:C392&lt;&gt;""""),ROWS(FILTER(C$4:C392,C$4:C392&lt;&gt;""""))),""^Sell_""),INDEX(FILTER(F$4:F391,C$4:C391&lt;&gt;""""),ROWS(FILTER(C$4:C391,C$4:C391&lt;&gt;""""))),$AC$5+E392))"),"")</f>
        <v/>
      </c>
      <c r="G392" s="10" t="str">
        <f>IFERROR(__xludf.DUMMYFUNCTION("IF(COUNTA(C392:C1350)=0,"""",IF(C392="""",0,IF(REGEXMATCH(C392,""^Sell_""),-ROUNDDOWN(ROUNDUP(INDEX(Upgrades!$C$3:$C$13,MATCH(SUBSTITUTE(C392,""Sell_"",""""),Upgrades!$B$3:$B$13,0))*1.15^(COUNTIF(C$4:C391,SUBSTITUTE(C392,""Sell_"",""""))-COUNTIF(C$4:C391,"&amp;"""Sell_""&amp;SUBSTITUTE(C392,""Sell_"",""""))))/2),ROUNDUP(INDEX(Upgrades!$C$3:$C$13,MATCH(C392,Upgrades!$B$3:$B$13,0))*1.15^(COUNTIF(C$4:C391,C392)-COUNTIF(C$4:C391,""Sell_""&amp;C392))))))"),"")</f>
        <v/>
      </c>
      <c r="H392" s="10" t="str">
        <f t="shared" si="3"/>
        <v/>
      </c>
      <c r="I392" s="68" t="str">
        <f t="shared" si="4"/>
        <v/>
      </c>
      <c r="J392" s="59" t="str">
        <f t="shared" si="5"/>
        <v/>
      </c>
      <c r="K392" s="69" t="str">
        <f t="shared" si="6"/>
        <v/>
      </c>
      <c r="L392" s="60">
        <f t="shared" si="7"/>
        <v>-218.93645</v>
      </c>
      <c r="M392" s="61">
        <f>IFERROR(__xludf.DUMMYFUNCTION("IFS(AND(COUNTA(C392:C1350)=0,COUNTA(Q392:Q1350)=0),"""",OR(AND(K392&gt;=1000000000,OR(Y392&gt;=1000000000,COUNTA(Q392:Q1350)=0)),OR(Y392&gt;=1000000000,AND(COUNTA(C392:C1350)=0,P$3=TRUE))),
ROUNDDOWN((AB$1-AC$1)*MAX(INDEX(T$4:T1350,MATCH(LARGE(FILTER(Y$4:Y1350,Y$4"&amp;":Y1350&lt;1000000000),1),Y$4:Y1350)),INDEX(F$4:F1350,MATCH(LARGE(FILTER(K$4:K1350,K$4:K1350&lt;1000000000),1),K$4:K1350)))),AND(K392&lt;1000000000,COUNTA(C392:C1350)&gt;0,P$3=FALSE),
ROUNDDOWN(INDEX(Y$4:Y1350,MATCH(LARGE(FILTER(W$4:W1350,W$4:W1350&lt;=I392),1),W$4:W1350"&amp;"))+(I392-LARGE(FILTER(W$4:W1350,W$4:W1350&lt;=I392),1))*INDEX(T$4:T1350,MATCH(LARGE(FILTER(W$4:W1350,W$4:W1350&lt;=I392),1),W$4:W1350))-K392),1,
ROUNDDOWN(Y392-INDEX(K$4:K1350,MATCH(LARGE(FILTER(I$4:I1350,I$4:I1350&lt;=W392),1),I$4:I1350))-(W392-LARGE(FILTER(I$4:I"&amp;"1350,I$4:I1350&lt;=W392),1))*INDEX(F$4:F1350,MATCH(LARGE(FILTER(I$4:I1350,I$4:I1350&lt;=W392),1),I$4:I1350))))"),8.4950397E7)</f>
        <v>84950397</v>
      </c>
      <c r="N392" s="60">
        <f t="shared" si="8"/>
        <v>-218.93645</v>
      </c>
      <c r="O392" s="61" t="str">
        <f t="shared" si="9"/>
        <v>85,0M</v>
      </c>
      <c r="P392" s="56">
        <f t="shared" si="10"/>
        <v>16</v>
      </c>
      <c r="Q392" s="105" t="s">
        <v>6</v>
      </c>
      <c r="R392" s="10" t="b">
        <f>IFERROR(__xludf.DUMMYFUNCTION("IF(COUNTA(Q392:Q1350)=0,"""",IF(ISBLANK(Q392),FALSE,IF(NOT(COUNTIF($AA$24:$AA$34,SUBSTITUTE(Q392,""Sell_"",""""))),1,IF(REGEXMATCH(Q392,""Sell_""),IF(COUNTIF(Q$4:Q392,SUBSTITUTE(Q392,""Sell_"",""""))-COUNTIF(Q$4:Q391,Q392)&lt;1,1),FALSE))))"),FALSE)</f>
        <v>0</v>
      </c>
      <c r="S392" s="59">
        <f t="array" ref="S392">IF(COUNTA(Q392:Q1350)=0,"",SUM((COUNTIF(Q$4:Q392,Upgrades!$B$3:$B$13)-COUNTIF(Q$4:Q392,"Sell_"&amp;Upgrades!$B$3:$B$13))*Upgrades!$D$3:$D$13))</f>
        <v>416656</v>
      </c>
      <c r="T392" s="66">
        <f>IFERROR(__xludf.DUMMYFUNCTION("IF(COUNTA(Q392:Q1350)=0,"""",IF(REGEXMATCH(INDEX(FILTER(Q$4:Q392,Q$4:Q392&lt;&gt;""""),ROWS(FILTER(Q$4:Q392,Q$4:Q392&lt;&gt;""""))),""^Sell_""),INDEX(FILTER(T$4:T391,Q$4:Q391&lt;&gt;""""),ROWS(FILTER(Q$4:Q391,Q$4:Q391&lt;&gt;""""))),$AD$5+S392))"),416856.0)</f>
        <v>416856</v>
      </c>
      <c r="U392" s="10">
        <f>IFERROR(__xludf.DUMMYFUNCTION("IF(COUNTA(Q392:Q1350)=0,"""",IF(Q392="""",0,IF(REGEXMATCH(Q392,""^Sell_""),-ROUNDDOWN(ROUNDUP(INDEX(Upgrades!$C$3:$C$13,MATCH(SUBSTITUTE(Q392,""Sell_"",""""),Upgrades!$B$3:$B$13,0))*1.15^(COUNTIF(Q$4:Q391,SUBSTITUTE(Q392,""Sell_"",""""))-COUNTIF(Q$4:Q391,"&amp;"""Sell_""&amp;SUBSTITUTE(Q392,""Sell_"",""""))))/2),ROUNDUP(INDEX(Upgrades!$C$3:$C$13,MATCH(Q392,Upgrades!$B$3:$B$13,0))*1.15^(COUNTIF(Q$4:Q391,Q392)-COUNTIF(Q$4:Q391,""Sell_""&amp;Q392))))))"),24412.0)</f>
        <v>24412</v>
      </c>
      <c r="V392" s="10">
        <f t="shared" si="11"/>
        <v>24412</v>
      </c>
      <c r="W392" s="68">
        <f t="shared" si="12"/>
        <v>5926.556685</v>
      </c>
      <c r="X392" s="59" t="str">
        <f t="shared" si="13"/>
        <v>1h 38m 46s</v>
      </c>
      <c r="Y392" s="69">
        <f t="shared" si="14"/>
        <v>598976937</v>
      </c>
      <c r="Z392" s="11"/>
    </row>
    <row r="393">
      <c r="A393" s="8"/>
      <c r="B393" s="56" t="str">
        <f t="shared" si="2"/>
        <v/>
      </c>
      <c r="C393" s="57"/>
      <c r="D393" s="10" t="str">
        <f>IFERROR(__xludf.DUMMYFUNCTION("IF(COUNTA(C393:C1350)=0,"""",IF(ISBLANK(C393),FALSE,IF(NOT(COUNTIF($AA$24:$AA$34,SUBSTITUTE(C393,""Sell_"",""""))),1,IF(REGEXMATCH(C393,""Sell_""),IF(COUNTIF(C$4:C393,SUBSTITUTE(C393,""Sell_"",""""))-COUNTIF(C$4:C392,C393)&lt;1,1),FALSE))))"),"")</f>
        <v/>
      </c>
      <c r="E393" s="59" t="str">
        <f t="array" ref="E393">IF(COUNTA(C393:C1350)=0,"",SUM((COUNTIF(C$4:C393,Upgrades!$B$3:$B$13)-COUNTIF(C$4:C393,"Sell_"&amp;Upgrades!$B$3:$B$13))*Upgrades!$D$3:$D$13))</f>
        <v/>
      </c>
      <c r="F393" s="66" t="str">
        <f>IFERROR(__xludf.DUMMYFUNCTION("IF(COUNTA(C393:C1350)=0,"""",IF(REGEXMATCH(INDEX(FILTER(C$4:C393,C$4:C393&lt;&gt;""""),ROWS(FILTER(C$4:C393,C$4:C393&lt;&gt;""""))),""^Sell_""),INDEX(FILTER(F$4:F392,C$4:C392&lt;&gt;""""),ROWS(FILTER(C$4:C392,C$4:C392&lt;&gt;""""))),$AC$5+E393))"),"")</f>
        <v/>
      </c>
      <c r="G393" s="10" t="str">
        <f>IFERROR(__xludf.DUMMYFUNCTION("IF(COUNTA(C393:C1350)=0,"""",IF(C393="""",0,IF(REGEXMATCH(C393,""^Sell_""),-ROUNDDOWN(ROUNDUP(INDEX(Upgrades!$C$3:$C$13,MATCH(SUBSTITUTE(C393,""Sell_"",""""),Upgrades!$B$3:$B$13,0))*1.15^(COUNTIF(C$4:C392,SUBSTITUTE(C393,""Sell_"",""""))-COUNTIF(C$4:C392,"&amp;"""Sell_""&amp;SUBSTITUTE(C393,""Sell_"",""""))))/2),ROUNDUP(INDEX(Upgrades!$C$3:$C$13,MATCH(C393,Upgrades!$B$3:$B$13,0))*1.15^(COUNTIF(C$4:C392,C393)-COUNTIF(C$4:C392,""Sell_""&amp;C393))))))"),"")</f>
        <v/>
      </c>
      <c r="H393" s="10" t="str">
        <f t="shared" si="3"/>
        <v/>
      </c>
      <c r="I393" s="68" t="str">
        <f t="shared" si="4"/>
        <v/>
      </c>
      <c r="J393" s="59" t="str">
        <f t="shared" si="5"/>
        <v/>
      </c>
      <c r="K393" s="69" t="str">
        <f t="shared" si="6"/>
        <v/>
      </c>
      <c r="L393" s="60">
        <f t="shared" si="7"/>
        <v>-218.93646</v>
      </c>
      <c r="M393" s="61">
        <f>IFERROR(__xludf.DUMMYFUNCTION("IFS(AND(COUNTA(C393:C1350)=0,COUNTA(Q393:Q1350)=0),"""",OR(AND(K393&gt;=1000000000,OR(Y393&gt;=1000000000,COUNTA(Q393:Q1350)=0)),OR(Y393&gt;=1000000000,AND(COUNTA(C393:C1350)=0,P$3=TRUE))),
ROUNDDOWN((AB$1-AC$1)*MAX(INDEX(T$4:T1350,MATCH(LARGE(FILTER(Y$4:Y1350,Y$4"&amp;":Y1350&lt;1000000000),1),Y$4:Y1350)),INDEX(F$4:F1350,MATCH(LARGE(FILTER(K$4:K1350,K$4:K1350&lt;1000000000),1),K$4:K1350)))),AND(K393&lt;1000000000,COUNTA(C393:C1350)&gt;0,P$3=FALSE),
ROUNDDOWN(INDEX(Y$4:Y1350,MATCH(LARGE(FILTER(W$4:W1350,W$4:W1350&lt;=I393),1),W$4:W1350"&amp;"))+(I393-LARGE(FILTER(W$4:W1350,W$4:W1350&lt;=I393),1))*INDEX(T$4:T1350,MATCH(LARGE(FILTER(W$4:W1350,W$4:W1350&lt;=I393),1),W$4:W1350))-K393),1,
ROUNDDOWN(Y393-INDEX(K$4:K1350,MATCH(LARGE(FILTER(I$4:I1350,I$4:I1350&lt;=W393),1),I$4:I1350))-(W393-LARGE(FILTER(I$4:I"&amp;"1350,I$4:I1350&lt;=W393),1))*INDEX(F$4:F1350,MATCH(LARGE(FILTER(I$4:I1350,I$4:I1350&lt;=W393),1),I$4:I1350))))"),8.495046E7)</f>
        <v>84950460</v>
      </c>
      <c r="N393" s="60">
        <f t="shared" si="8"/>
        <v>-218.93646</v>
      </c>
      <c r="O393" s="61" t="str">
        <f t="shared" si="9"/>
        <v>85,0M</v>
      </c>
      <c r="P393" s="56">
        <f t="shared" si="10"/>
        <v>21</v>
      </c>
      <c r="Q393" s="105" t="s">
        <v>3</v>
      </c>
      <c r="R393" s="10" t="b">
        <f>IFERROR(__xludf.DUMMYFUNCTION("IF(COUNTA(Q393:Q1350)=0,"""",IF(ISBLANK(Q393),FALSE,IF(NOT(COUNTIF($AA$24:$AA$34,SUBSTITUTE(Q393,""Sell_"",""""))),1,IF(REGEXMATCH(Q393,""Sell_""),IF(COUNTIF(Q$4:Q393,SUBSTITUTE(Q393,""Sell_"",""""))-COUNTIF(Q$4:Q392,Q393)&lt;1,1),FALSE))))"),FALSE)</f>
        <v>0</v>
      </c>
      <c r="S393" s="59">
        <f t="array" ref="S393">IF(COUNTA(Q393:Q1350)=0,"",SUM((COUNTIF(Q$4:Q393,Upgrades!$B$3:$B$13)-COUNTIF(Q$4:Q393,"Sell_"&amp;Upgrades!$B$3:$B$13))*Upgrades!$D$3:$D$13))</f>
        <v>416656.1</v>
      </c>
      <c r="T393" s="66">
        <f>IFERROR(__xludf.DUMMYFUNCTION("IF(COUNTA(Q393:Q1350)=0,"""",IF(REGEXMATCH(INDEX(FILTER(Q$4:Q393,Q$4:Q393&lt;&gt;""""),ROWS(FILTER(Q$4:Q393,Q$4:Q393&lt;&gt;""""))),""^Sell_""),INDEX(FILTER(T$4:T392,Q$4:Q392&lt;&gt;""""),ROWS(FILTER(Q$4:Q392,Q$4:Q392&lt;&gt;""""))),$AD$5+S393))"),416856.1)</f>
        <v>416856.1</v>
      </c>
      <c r="U393" s="10">
        <f>IFERROR(__xludf.DUMMYFUNCTION("IF(COUNTA(Q393:Q1350)=0,"""",IF(Q393="""",0,IF(REGEXMATCH(Q393,""^Sell_""),-ROUNDDOWN(ROUNDUP(INDEX(Upgrades!$C$3:$C$13,MATCH(SUBSTITUTE(Q393,""Sell_"",""""),Upgrades!$B$3:$B$13,0))*1.15^(COUNTIF(Q$4:Q392,SUBSTITUTE(Q393,""Sell_"",""""))-COUNTIF(Q$4:Q392,"&amp;"""Sell_""&amp;SUBSTITUTE(Q393,""Sell_"",""""))))/2),ROUNDUP(INDEX(Upgrades!$C$3:$C$13,MATCH(Q393,Upgrades!$B$3:$B$13,0))*1.15^(COUNTIF(Q$4:Q392,Q393)-COUNTIF(Q$4:Q392,""Sell_""&amp;Q393))))))"),246.0)</f>
        <v>246</v>
      </c>
      <c r="V393" s="10">
        <f t="shared" si="11"/>
        <v>246</v>
      </c>
      <c r="W393" s="68">
        <f t="shared" si="12"/>
        <v>5926.557275</v>
      </c>
      <c r="X393" s="59" t="str">
        <f t="shared" si="13"/>
        <v>1h 38m 46s</v>
      </c>
      <c r="Y393" s="69">
        <f t="shared" si="14"/>
        <v>598977183</v>
      </c>
      <c r="Z393" s="11"/>
    </row>
    <row r="394">
      <c r="A394" s="8"/>
      <c r="B394" s="56" t="str">
        <f t="shared" si="2"/>
        <v/>
      </c>
      <c r="C394" s="57"/>
      <c r="D394" s="10" t="str">
        <f>IFERROR(__xludf.DUMMYFUNCTION("IF(COUNTA(C394:C1350)=0,"""",IF(ISBLANK(C394),FALSE,IF(NOT(COUNTIF($AA$24:$AA$34,SUBSTITUTE(C394,""Sell_"",""""))),1,IF(REGEXMATCH(C394,""Sell_""),IF(COUNTIF(C$4:C394,SUBSTITUTE(C394,""Sell_"",""""))-COUNTIF(C$4:C393,C394)&lt;1,1),FALSE))))"),"")</f>
        <v/>
      </c>
      <c r="E394" s="59" t="str">
        <f t="array" ref="E394">IF(COUNTA(C394:C1350)=0,"",SUM((COUNTIF(C$4:C394,Upgrades!$B$3:$B$13)-COUNTIF(C$4:C394,"Sell_"&amp;Upgrades!$B$3:$B$13))*Upgrades!$D$3:$D$13))</f>
        <v/>
      </c>
      <c r="F394" s="66" t="str">
        <f>IFERROR(__xludf.DUMMYFUNCTION("IF(COUNTA(C394:C1350)=0,"""",IF(REGEXMATCH(INDEX(FILTER(C$4:C394,C$4:C394&lt;&gt;""""),ROWS(FILTER(C$4:C394,C$4:C394&lt;&gt;""""))),""^Sell_""),INDEX(FILTER(F$4:F393,C$4:C393&lt;&gt;""""),ROWS(FILTER(C$4:C393,C$4:C393&lt;&gt;""""))),$AC$5+E394))"),"")</f>
        <v/>
      </c>
      <c r="G394" s="10" t="str">
        <f>IFERROR(__xludf.DUMMYFUNCTION("IF(COUNTA(C394:C1350)=0,"""",IF(C394="""",0,IF(REGEXMATCH(C394,""^Sell_""),-ROUNDDOWN(ROUNDUP(INDEX(Upgrades!$C$3:$C$13,MATCH(SUBSTITUTE(C394,""Sell_"",""""),Upgrades!$B$3:$B$13,0))*1.15^(COUNTIF(C$4:C393,SUBSTITUTE(C394,""Sell_"",""""))-COUNTIF(C$4:C393,"&amp;"""Sell_""&amp;SUBSTITUTE(C394,""Sell_"",""""))))/2),ROUNDUP(INDEX(Upgrades!$C$3:$C$13,MATCH(C394,Upgrades!$B$3:$B$13,0))*1.15^(COUNTIF(C$4:C393,C394)-COUNTIF(C$4:C393,""Sell_""&amp;C394))))))"),"")</f>
        <v/>
      </c>
      <c r="H394" s="10" t="str">
        <f t="shared" si="3"/>
        <v/>
      </c>
      <c r="I394" s="68" t="str">
        <f t="shared" si="4"/>
        <v/>
      </c>
      <c r="J394" s="59" t="str">
        <f t="shared" si="5"/>
        <v/>
      </c>
      <c r="K394" s="69" t="str">
        <f t="shared" si="6"/>
        <v/>
      </c>
      <c r="L394" s="60">
        <f t="shared" si="7"/>
        <v>-218.94556</v>
      </c>
      <c r="M394" s="61">
        <f>IFERROR(__xludf.DUMMYFUNCTION("IFS(AND(COUNTA(C394:C1350)=0,COUNTA(Q394:Q1350)=0),"""",OR(AND(K394&gt;=1000000000,OR(Y394&gt;=1000000000,COUNTA(Q394:Q1350)=0)),OR(Y394&gt;=1000000000,AND(COUNTA(C394:C1350)=0,P$3=TRUE))),
ROUNDDOWN((AB$1-AC$1)*MAX(INDEX(T$4:T1350,MATCH(LARGE(FILTER(Y$4:Y1350,Y$4"&amp;":Y1350&lt;1000000000),1),Y$4:Y1350)),INDEX(F$4:F1350,MATCH(LARGE(FILTER(K$4:K1350,K$4:K1350&lt;1000000000),1),K$4:K1350)))),AND(K394&lt;1000000000,COUNTA(C394:C1350)&gt;0,P$3=FALSE),
ROUNDDOWN(INDEX(Y$4:Y1350,MATCH(LARGE(FILTER(W$4:W1350,W$4:W1350&lt;=I394),1),W$4:W1350"&amp;"))+(I394-LARGE(FILTER(W$4:W1350,W$4:W1350&lt;=I394),1))*INDEX(T$4:T1350,MATCH(LARGE(FILTER(W$4:W1350,W$4:W1350&lt;=I394),1),W$4:W1350))-K394),1,
ROUNDDOWN(Y394-INDEX(K$4:K1350,MATCH(LARGE(FILTER(I$4:I1350,I$4:I1350&lt;=W394),1),I$4:I1350))-(W394-LARGE(FILTER(I$4:I"&amp;"1350,I$4:I1350&lt;=W394),1))*INDEX(F$4:F1350,MATCH(LARGE(FILTER(I$4:I1350,I$4:I1350&lt;=W394),1),I$4:I1350))))"),8.5012741E7)</f>
        <v>85012741</v>
      </c>
      <c r="N394" s="60">
        <f t="shared" si="8"/>
        <v>-218.94556</v>
      </c>
      <c r="O394" s="61" t="str">
        <f t="shared" si="9"/>
        <v>85,0M</v>
      </c>
      <c r="P394" s="56">
        <f t="shared" si="10"/>
        <v>14</v>
      </c>
      <c r="Q394" s="105" t="s">
        <v>8</v>
      </c>
      <c r="R394" s="10" t="b">
        <f>IFERROR(__xludf.DUMMYFUNCTION("IF(COUNTA(Q394:Q1350)=0,"""",IF(ISBLANK(Q394),FALSE,IF(NOT(COUNTIF($AA$24:$AA$34,SUBSTITUTE(Q394,""Sell_"",""""))),1,IF(REGEXMATCH(Q394,""Sell_""),IF(COUNTIF(Q$4:Q394,SUBSTITUTE(Q394,""Sell_"",""""))-COUNTIF(Q$4:Q393,Q394)&lt;1,1),FALSE))))"),FALSE)</f>
        <v>0</v>
      </c>
      <c r="S394" s="59">
        <f t="array" ref="S394">IF(COUNTA(Q394:Q1350)=0,"",SUM((COUNTIF(Q$4:Q394,Upgrades!$B$3:$B$13)-COUNTIF(Q$4:Q394,"Sell_"&amp;Upgrades!$B$3:$B$13))*Upgrades!$D$3:$D$13))</f>
        <v>416756.1</v>
      </c>
      <c r="T394" s="66">
        <f>IFERROR(__xludf.DUMMYFUNCTION("IF(COUNTA(Q394:Q1350)=0,"""",IF(REGEXMATCH(INDEX(FILTER(Q$4:Q394,Q$4:Q394&lt;&gt;""""),ROWS(FILTER(Q$4:Q394,Q$4:Q394&lt;&gt;""""))),""^Sell_""),INDEX(FILTER(T$4:T393,Q$4:Q393&lt;&gt;""""),ROWS(FILTER(Q$4:Q393,Q$4:Q393&lt;&gt;""""))),$AD$5+S394))"),416956.1)</f>
        <v>416956.1</v>
      </c>
      <c r="U394" s="10">
        <f>IFERROR(__xludf.DUMMYFUNCTION("IF(COUNTA(Q394:Q1350)=0,"""",IF(Q394="""",0,IF(REGEXMATCH(Q394,""^Sell_""),-ROUNDDOWN(ROUNDUP(INDEX(Upgrades!$C$3:$C$13,MATCH(SUBSTITUTE(Q394,""Sell_"",""""),Upgrades!$B$3:$B$13,0))*1.15^(COUNTIF(Q$4:Q393,SUBSTITUTE(Q394,""Sell_"",""""))-COUNTIF(Q$4:Q393,"&amp;"""Sell_""&amp;SUBSTITUTE(Q394,""Sell_"",""""))))/2),ROUNDUP(INDEX(Upgrades!$C$3:$C$13,MATCH(Q394,Upgrades!$B$3:$B$13,0))*1.15^(COUNTIF(Q$4:Q393,Q394)-COUNTIF(Q$4:Q393,""Sell_""&amp;Q394))))))"),246112.0)</f>
        <v>246112</v>
      </c>
      <c r="V394" s="10">
        <f t="shared" si="11"/>
        <v>246112</v>
      </c>
      <c r="W394" s="68">
        <f t="shared" si="12"/>
        <v>5927.147675</v>
      </c>
      <c r="X394" s="59" t="str">
        <f t="shared" si="13"/>
        <v>1h 38m 47s</v>
      </c>
      <c r="Y394" s="69">
        <f t="shared" si="14"/>
        <v>599223295</v>
      </c>
      <c r="Z394" s="11"/>
    </row>
    <row r="395">
      <c r="A395" s="8"/>
      <c r="B395" s="56" t="str">
        <f t="shared" si="2"/>
        <v/>
      </c>
      <c r="C395" s="57"/>
      <c r="D395" s="10" t="str">
        <f>IFERROR(__xludf.DUMMYFUNCTION("IF(COUNTA(C395:C1350)=0,"""",IF(ISBLANK(C395),FALSE,IF(NOT(COUNTIF($AA$24:$AA$34,SUBSTITUTE(C395,""Sell_"",""""))),1,IF(REGEXMATCH(C395,""Sell_""),IF(COUNTIF(C$4:C395,SUBSTITUTE(C395,""Sell_"",""""))-COUNTIF(C$4:C394,C395)&lt;1,1),FALSE))))"),"")</f>
        <v/>
      </c>
      <c r="E395" s="59" t="str">
        <f t="array" ref="E395">IF(COUNTA(C395:C1350)=0,"",SUM((COUNTIF(C$4:C395,Upgrades!$B$3:$B$13)-COUNTIF(C$4:C395,"Sell_"&amp;Upgrades!$B$3:$B$13))*Upgrades!$D$3:$D$13))</f>
        <v/>
      </c>
      <c r="F395" s="66" t="str">
        <f>IFERROR(__xludf.DUMMYFUNCTION("IF(COUNTA(C395:C1350)=0,"""",IF(REGEXMATCH(INDEX(FILTER(C$4:C395,C$4:C395&lt;&gt;""""),ROWS(FILTER(C$4:C395,C$4:C395&lt;&gt;""""))),""^Sell_""),INDEX(FILTER(F$4:F394,C$4:C394&lt;&gt;""""),ROWS(FILTER(C$4:C394,C$4:C394&lt;&gt;""""))),$AC$5+E395))"),"")</f>
        <v/>
      </c>
      <c r="G395" s="10" t="str">
        <f>IFERROR(__xludf.DUMMYFUNCTION("IF(COUNTA(C395:C1350)=0,"""",IF(C395="""",0,IF(REGEXMATCH(C395,""^Sell_""),-ROUNDDOWN(ROUNDUP(INDEX(Upgrades!$C$3:$C$13,MATCH(SUBSTITUTE(C395,""Sell_"",""""),Upgrades!$B$3:$B$13,0))*1.15^(COUNTIF(C$4:C394,SUBSTITUTE(C395,""Sell_"",""""))-COUNTIF(C$4:C394,"&amp;"""Sell_""&amp;SUBSTITUTE(C395,""Sell_"",""""))))/2),ROUNDUP(INDEX(Upgrades!$C$3:$C$13,MATCH(C395,Upgrades!$B$3:$B$13,0))*1.15^(COUNTIF(C$4:C394,C395)-COUNTIF(C$4:C394,""Sell_""&amp;C395))))))"),"")</f>
        <v/>
      </c>
      <c r="H395" s="10" t="str">
        <f t="shared" si="3"/>
        <v/>
      </c>
      <c r="I395" s="68" t="str">
        <f t="shared" si="4"/>
        <v/>
      </c>
      <c r="J395" s="59" t="str">
        <f t="shared" si="5"/>
        <v/>
      </c>
      <c r="K395" s="69" t="str">
        <f t="shared" si="6"/>
        <v/>
      </c>
      <c r="L395" s="60">
        <f t="shared" si="7"/>
        <v>-218.9456</v>
      </c>
      <c r="M395" s="61">
        <f>IFERROR(__xludf.DUMMYFUNCTION("IFS(AND(COUNTA(C395:C1350)=0,COUNTA(Q395:Q1350)=0),"""",OR(AND(K395&gt;=1000000000,OR(Y395&gt;=1000000000,COUNTA(Q395:Q1350)=0)),OR(Y395&gt;=1000000000,AND(COUNTA(C395:C1350)=0,P$3=TRUE))),
ROUNDDOWN((AB$1-AC$1)*MAX(INDEX(T$4:T1350,MATCH(LARGE(FILTER(Y$4:Y1350,Y$4"&amp;":Y1350&lt;1000000000),1),Y$4:Y1350)),INDEX(F$4:F1350,MATCH(LARGE(FILTER(K$4:K1350,K$4:K1350&lt;1000000000),1),K$4:K1350)))),AND(K395&lt;1000000000,COUNTA(C395:C1350)&gt;0,P$3=FALSE),
ROUNDDOWN(INDEX(Y$4:Y1350,MATCH(LARGE(FILTER(W$4:W1350,W$4:W1350&lt;=I395),1),W$4:W1350"&amp;"))+(I395-LARGE(FILTER(W$4:W1350,W$4:W1350&lt;=I395),1))*INDEX(T$4:T1350,MATCH(LARGE(FILTER(W$4:W1350,W$4:W1350&lt;=I395),1),W$4:W1350))-K395),1,
ROUNDDOWN(Y395-INDEX(K$4:K1350,MATCH(LARGE(FILTER(I$4:I1350,I$4:I1350&lt;=W395),1),I$4:I1350))-(W395-LARGE(FILTER(I$4:I"&amp;"1350,I$4:I1350&lt;=W395),1))*INDEX(F$4:F1350,MATCH(LARGE(FILTER(I$4:I1350,I$4:I1350&lt;=W395),1),I$4:I1350))))"),8.5013055E7)</f>
        <v>85013055</v>
      </c>
      <c r="N395" s="60">
        <f t="shared" si="8"/>
        <v>-218.9456</v>
      </c>
      <c r="O395" s="61" t="str">
        <f t="shared" si="9"/>
        <v>85,0M</v>
      </c>
      <c r="P395" s="56">
        <f t="shared" si="10"/>
        <v>19</v>
      </c>
      <c r="Q395" s="105" t="s">
        <v>4</v>
      </c>
      <c r="R395" s="10" t="b">
        <f>IFERROR(__xludf.DUMMYFUNCTION("IF(COUNTA(Q395:Q1350)=0,"""",IF(ISBLANK(Q395),FALSE,IF(NOT(COUNTIF($AA$24:$AA$34,SUBSTITUTE(Q395,""Sell_"",""""))),1,IF(REGEXMATCH(Q395,""Sell_""),IF(COUNTIF(Q$4:Q395,SUBSTITUTE(Q395,""Sell_"",""""))-COUNTIF(Q$4:Q394,Q395)&lt;1,1),FALSE))))"),FALSE)</f>
        <v>0</v>
      </c>
      <c r="S395" s="59">
        <f t="array" ref="S395">IF(COUNTA(Q395:Q1350)=0,"",SUM((COUNTIF(Q$4:Q395,Upgrades!$B$3:$B$13)-COUNTIF(Q$4:Q395,"Sell_"&amp;Upgrades!$B$3:$B$13))*Upgrades!$D$3:$D$13))</f>
        <v>416756.6</v>
      </c>
      <c r="T395" s="66">
        <f>IFERROR(__xludf.DUMMYFUNCTION("IF(COUNTA(Q395:Q1350)=0,"""",IF(REGEXMATCH(INDEX(FILTER(Q$4:Q395,Q$4:Q395&lt;&gt;""""),ROWS(FILTER(Q$4:Q395,Q$4:Q395&lt;&gt;""""))),""^Sell_""),INDEX(FILTER(T$4:T394,Q$4:Q394&lt;&gt;""""),ROWS(FILTER(Q$4:Q394,Q$4:Q394&lt;&gt;""""))),$AD$5+S395))"),416956.6)</f>
        <v>416956.6</v>
      </c>
      <c r="U395" s="10">
        <f>IFERROR(__xludf.DUMMYFUNCTION("IF(COUNTA(Q395:Q1350)=0,"""",IF(Q395="""",0,IF(REGEXMATCH(Q395,""^Sell_""),-ROUNDDOWN(ROUNDUP(INDEX(Upgrades!$C$3:$C$13,MATCH(SUBSTITUTE(Q395,""Sell_"",""""),Upgrades!$B$3:$B$13,0))*1.15^(COUNTIF(Q$4:Q394,SUBSTITUTE(Q395,""Sell_"",""""))-COUNTIF(Q$4:Q394,"&amp;"""Sell_""&amp;SUBSTITUTE(Q395,""Sell_"",""""))))/2),ROUNDUP(INDEX(Upgrades!$C$3:$C$13,MATCH(Q395,Upgrades!$B$3:$B$13,0))*1.15^(COUNTIF(Q$4:Q394,Q395)-COUNTIF(Q$4:Q394,""Sell_""&amp;Q395))))))"),1238.0)</f>
        <v>1238</v>
      </c>
      <c r="V395" s="10">
        <f t="shared" si="11"/>
        <v>1238</v>
      </c>
      <c r="W395" s="68">
        <f t="shared" si="12"/>
        <v>5927.150645</v>
      </c>
      <c r="X395" s="59" t="str">
        <f t="shared" si="13"/>
        <v>1h 38m 47s</v>
      </c>
      <c r="Y395" s="69">
        <f t="shared" si="14"/>
        <v>599224533</v>
      </c>
      <c r="Z395" s="11"/>
    </row>
    <row r="396">
      <c r="A396" s="8"/>
      <c r="B396" s="56" t="str">
        <f t="shared" si="2"/>
        <v/>
      </c>
      <c r="C396" s="57"/>
      <c r="D396" s="10" t="str">
        <f>IFERROR(__xludf.DUMMYFUNCTION("IF(COUNTA(C396:C1350)=0,"""",IF(ISBLANK(C396),FALSE,IF(NOT(COUNTIF($AA$24:$AA$34,SUBSTITUTE(C396,""Sell_"",""""))),1,IF(REGEXMATCH(C396,""Sell_""),IF(COUNTIF(C$4:C396,SUBSTITUTE(C396,""Sell_"",""""))-COUNTIF(C$4:C395,C396)&lt;1,1),FALSE))))"),"")</f>
        <v/>
      </c>
      <c r="E396" s="59" t="str">
        <f t="array" ref="E396">IF(COUNTA(C396:C1350)=0,"",SUM((COUNTIF(C$4:C396,Upgrades!$B$3:$B$13)-COUNTIF(C$4:C396,"Sell_"&amp;Upgrades!$B$3:$B$13))*Upgrades!$D$3:$D$13))</f>
        <v/>
      </c>
      <c r="F396" s="66" t="str">
        <f>IFERROR(__xludf.DUMMYFUNCTION("IF(COUNTA(C396:C1350)=0,"""",IF(REGEXMATCH(INDEX(FILTER(C$4:C396,C$4:C396&lt;&gt;""""),ROWS(FILTER(C$4:C396,C$4:C396&lt;&gt;""""))),""^Sell_""),INDEX(FILTER(F$4:F395,C$4:C395&lt;&gt;""""),ROWS(FILTER(C$4:C395,C$4:C395&lt;&gt;""""))),$AC$5+E396))"),"")</f>
        <v/>
      </c>
      <c r="G396" s="10" t="str">
        <f>IFERROR(__xludf.DUMMYFUNCTION("IF(COUNTA(C396:C1350)=0,"""",IF(C396="""",0,IF(REGEXMATCH(C396,""^Sell_""),-ROUNDDOWN(ROUNDUP(INDEX(Upgrades!$C$3:$C$13,MATCH(SUBSTITUTE(C396,""Sell_"",""""),Upgrades!$B$3:$B$13,0))*1.15^(COUNTIF(C$4:C395,SUBSTITUTE(C396,""Sell_"",""""))-COUNTIF(C$4:C395,"&amp;"""Sell_""&amp;SUBSTITUTE(C396,""Sell_"",""""))))/2),ROUNDUP(INDEX(Upgrades!$C$3:$C$13,MATCH(C396,Upgrades!$B$3:$B$13,0))*1.15^(COUNTIF(C$4:C395,C396)-COUNTIF(C$4:C395,""Sell_""&amp;C396))))))"),"")</f>
        <v/>
      </c>
      <c r="H396" s="10" t="str">
        <f t="shared" si="3"/>
        <v/>
      </c>
      <c r="I396" s="68" t="str">
        <f t="shared" si="4"/>
        <v/>
      </c>
      <c r="J396" s="59" t="str">
        <f t="shared" si="5"/>
        <v/>
      </c>
      <c r="K396" s="69" t="str">
        <f t="shared" si="6"/>
        <v/>
      </c>
      <c r="L396" s="60">
        <f t="shared" si="7"/>
        <v>-218.98578</v>
      </c>
      <c r="M396" s="61">
        <f>IFERROR(__xludf.DUMMYFUNCTION("IFS(AND(COUNTA(C396:C1350)=0,COUNTA(Q396:Q1350)=0),"""",OR(AND(K396&gt;=1000000000,OR(Y396&gt;=1000000000,COUNTA(Q396:Q1350)=0)),OR(Y396&gt;=1000000000,AND(COUNTA(C396:C1350)=0,P$3=TRUE))),
ROUNDDOWN((AB$1-AC$1)*MAX(INDEX(T$4:T1350,MATCH(LARGE(FILTER(Y$4:Y1350,Y$4"&amp;":Y1350&lt;1000000000),1),Y$4:Y1350)),INDEX(F$4:F1350,MATCH(LARGE(FILTER(K$4:K1350,K$4:K1350&lt;1000000000),1),K$4:K1350)))),AND(K396&lt;1000000000,COUNTA(C396:C1350)&gt;0,P$3=FALSE),
ROUNDDOWN(INDEX(Y$4:Y1350,MATCH(LARGE(FILTER(W$4:W1350,W$4:W1350&lt;=I396),1),W$4:W1350"&amp;"))+(I396-LARGE(FILTER(W$4:W1350,W$4:W1350&lt;=I396),1))*INDEX(T$4:T1350,MATCH(LARGE(FILTER(W$4:W1350,W$4:W1350&lt;=I396),1),W$4:W1350))-K396),1,
ROUNDDOWN(Y396-INDEX(K$4:K1350,MATCH(LARGE(FILTER(I$4:I1350,I$4:I1350&lt;=W396),1),I$4:I1350))-(W396-LARGE(FILTER(I$4:I"&amp;"1350,I$4:I1350&lt;=W396),1))*INDEX(F$4:F1350,MATCH(LARGE(FILTER(I$4:I1350,I$4:I1350&lt;=W396),1),I$4:I1350))))"),8.5284037E7)</f>
        <v>85284037</v>
      </c>
      <c r="N396" s="60">
        <f t="shared" si="8"/>
        <v>-218.98578</v>
      </c>
      <c r="O396" s="61" t="str">
        <f t="shared" si="9"/>
        <v>85,3M</v>
      </c>
      <c r="P396" s="56">
        <f t="shared" si="10"/>
        <v>13</v>
      </c>
      <c r="Q396" s="105" t="s">
        <v>9</v>
      </c>
      <c r="R396" s="10" t="b">
        <f>IFERROR(__xludf.DUMMYFUNCTION("IF(COUNTA(Q396:Q1350)=0,"""",IF(ISBLANK(Q396),FALSE,IF(NOT(COUNTIF($AA$24:$AA$34,SUBSTITUTE(Q396,""Sell_"",""""))),1,IF(REGEXMATCH(Q396,""Sell_""),IF(COUNTIF(Q$4:Q396,SUBSTITUTE(Q396,""Sell_"",""""))-COUNTIF(Q$4:Q395,Q396)&lt;1,1),FALSE))))"),FALSE)</f>
        <v>0</v>
      </c>
      <c r="S396" s="59">
        <f t="array" ref="S396">IF(COUNTA(Q396:Q1350)=0,"",SUM((COUNTIF(Q$4:Q396,Upgrades!$B$3:$B$13)-COUNTIF(Q$4:Q396,"Sell_"&amp;Upgrades!$B$3:$B$13))*Upgrades!$D$3:$D$13))</f>
        <v>417156.6</v>
      </c>
      <c r="T396" s="66">
        <f>IFERROR(__xludf.DUMMYFUNCTION("IF(COUNTA(Q396:Q1350)=0,"""",IF(REGEXMATCH(INDEX(FILTER(Q$4:Q396,Q$4:Q396&lt;&gt;""""),ROWS(FILTER(Q$4:Q396,Q$4:Q396&lt;&gt;""""))),""^Sell_""),INDEX(FILTER(T$4:T395,Q$4:Q395&lt;&gt;""""),ROWS(FILTER(Q$4:Q395,Q$4:Q395&lt;&gt;""""))),$AD$5+S396))"),417356.6)</f>
        <v>417356.6</v>
      </c>
      <c r="U396" s="10">
        <f>IFERROR(__xludf.DUMMYFUNCTION("IF(COUNTA(Q396:Q1350)=0,"""",IF(Q396="""",0,IF(REGEXMATCH(Q396,""^Sell_""),-ROUNDDOWN(ROUNDUP(INDEX(Upgrades!$C$3:$C$13,MATCH(SUBSTITUTE(Q396,""Sell_"",""""),Upgrades!$B$3:$B$13,0))*1.15^(COUNTIF(Q$4:Q395,SUBSTITUTE(Q396,""Sell_"",""""))-COUNTIF(Q$4:Q395,"&amp;"""Sell_""&amp;SUBSTITUTE(Q396,""Sell_"",""""))))/2),ROUNDUP(INDEX(Upgrades!$C$3:$C$13,MATCH(Q396,Upgrades!$B$3:$B$13,0))*1.15^(COUNTIF(Q$4:Q395,Q396)-COUNTIF(Q$4:Q395,""Sell_""&amp;Q396))))))"),1070051.0)</f>
        <v>1070051</v>
      </c>
      <c r="V396" s="10">
        <f t="shared" si="11"/>
        <v>1070051</v>
      </c>
      <c r="W396" s="68">
        <f t="shared" si="12"/>
        <v>5929.716981</v>
      </c>
      <c r="X396" s="59" t="str">
        <f t="shared" si="13"/>
        <v>1h 38m 49s</v>
      </c>
      <c r="Y396" s="69">
        <f t="shared" si="14"/>
        <v>600294584</v>
      </c>
      <c r="Z396" s="11"/>
    </row>
    <row r="397">
      <c r="A397" s="8"/>
      <c r="B397" s="56" t="str">
        <f t="shared" si="2"/>
        <v/>
      </c>
      <c r="C397" s="57"/>
      <c r="D397" s="10" t="str">
        <f>IFERROR(__xludf.DUMMYFUNCTION("IF(COUNTA(C397:C1350)=0,"""",IF(ISBLANK(C397),FALSE,IF(NOT(COUNTIF($AA$24:$AA$34,SUBSTITUTE(C397,""Sell_"",""""))),1,IF(REGEXMATCH(C397,""Sell_""),IF(COUNTIF(C$4:C397,SUBSTITUTE(C397,""Sell_"",""""))-COUNTIF(C$4:C396,C397)&lt;1,1),FALSE))))"),"")</f>
        <v/>
      </c>
      <c r="E397" s="59" t="str">
        <f t="array" ref="E397">IF(COUNTA(C397:C1350)=0,"",SUM((COUNTIF(C$4:C397,Upgrades!$B$3:$B$13)-COUNTIF(C$4:C397,"Sell_"&amp;Upgrades!$B$3:$B$13))*Upgrades!$D$3:$D$13))</f>
        <v/>
      </c>
      <c r="F397" s="66" t="str">
        <f>IFERROR(__xludf.DUMMYFUNCTION("IF(COUNTA(C397:C1350)=0,"""",IF(REGEXMATCH(INDEX(FILTER(C$4:C397,C$4:C397&lt;&gt;""""),ROWS(FILTER(C$4:C397,C$4:C397&lt;&gt;""""))),""^Sell_""),INDEX(FILTER(F$4:F396,C$4:C396&lt;&gt;""""),ROWS(FILTER(C$4:C396,C$4:C396&lt;&gt;""""))),$AC$5+E397))"),"")</f>
        <v/>
      </c>
      <c r="G397" s="10" t="str">
        <f>IFERROR(__xludf.DUMMYFUNCTION("IF(COUNTA(C397:C1350)=0,"""",IF(C397="""",0,IF(REGEXMATCH(C397,""^Sell_""),-ROUNDDOWN(ROUNDUP(INDEX(Upgrades!$C$3:$C$13,MATCH(SUBSTITUTE(C397,""Sell_"",""""),Upgrades!$B$3:$B$13,0))*1.15^(COUNTIF(C$4:C396,SUBSTITUTE(C397,""Sell_"",""""))-COUNTIF(C$4:C396,"&amp;"""Sell_""&amp;SUBSTITUTE(C397,""Sell_"",""""))))/2),ROUNDUP(INDEX(Upgrades!$C$3:$C$13,MATCH(C397,Upgrades!$B$3:$B$13,0))*1.15^(COUNTIF(C$4:C396,C397)-COUNTIF(C$4:C396,""Sell_""&amp;C397))))))"),"")</f>
        <v/>
      </c>
      <c r="H397" s="10" t="str">
        <f t="shared" si="3"/>
        <v/>
      </c>
      <c r="I397" s="68" t="str">
        <f t="shared" si="4"/>
        <v/>
      </c>
      <c r="J397" s="59" t="str">
        <f t="shared" si="5"/>
        <v/>
      </c>
      <c r="K397" s="69" t="str">
        <f t="shared" si="6"/>
        <v/>
      </c>
      <c r="L397" s="60">
        <f t="shared" si="7"/>
        <v>-218.99006</v>
      </c>
      <c r="M397" s="61">
        <f>IFERROR(__xludf.DUMMYFUNCTION("IFS(AND(COUNTA(C397:C1350)=0,COUNTA(Q397:Q1350)=0),"""",OR(AND(K397&gt;=1000000000,OR(Y397&gt;=1000000000,COUNTA(Q397:Q1350)=0)),OR(Y397&gt;=1000000000,AND(COUNTA(C397:C1350)=0,P$3=TRUE))),
ROUNDDOWN((AB$1-AC$1)*MAX(INDEX(T$4:T1350,MATCH(LARGE(FILTER(Y$4:Y1350,Y$4"&amp;":Y1350&lt;1000000000),1),Y$4:Y1350)),INDEX(F$4:F1350,MATCH(LARGE(FILTER(K$4:K1350,K$4:K1350&lt;1000000000),1),K$4:K1350)))),AND(K397&lt;1000000000,COUNTA(C397:C1350)&gt;0,P$3=FALSE),
ROUNDDOWN(INDEX(Y$4:Y1350,MATCH(LARGE(FILTER(W$4:W1350,W$4:W1350&lt;=I397),1),W$4:W1350"&amp;"))+(I397-LARGE(FILTER(W$4:W1350,W$4:W1350&lt;=I397),1))*INDEX(T$4:T1350,MATCH(LARGE(FILTER(W$4:W1350,W$4:W1350&lt;=I397),1),W$4:W1350))-K397),1,
ROUNDDOWN(Y397-INDEX(K$4:K1350,MATCH(LARGE(FILTER(I$4:I1350,I$4:I1350&lt;=W397),1),I$4:I1350))-(W397-LARGE(FILTER(I$4:I"&amp;"1350,I$4:I1350&lt;=W397),1))*INDEX(F$4:F1350,MATCH(LARGE(FILTER(I$4:I1350,I$4:I1350&lt;=W397),1),I$4:I1350))))"),8.5311366E7)</f>
        <v>85311366</v>
      </c>
      <c r="N397" s="60">
        <f t="shared" si="8"/>
        <v>-218.99006</v>
      </c>
      <c r="O397" s="61" t="str">
        <f t="shared" si="9"/>
        <v>85,3M</v>
      </c>
      <c r="P397" s="56">
        <f t="shared" si="10"/>
        <v>18</v>
      </c>
      <c r="Q397" s="105" t="s">
        <v>7</v>
      </c>
      <c r="R397" s="10" t="b">
        <f>IFERROR(__xludf.DUMMYFUNCTION("IF(COUNTA(Q397:Q1350)=0,"""",IF(ISBLANK(Q397),FALSE,IF(NOT(COUNTIF($AA$24:$AA$34,SUBSTITUTE(Q397,""Sell_"",""""))),1,IF(REGEXMATCH(Q397,""Sell_""),IF(COUNTIF(Q$4:Q397,SUBSTITUTE(Q397,""Sell_"",""""))-COUNTIF(Q$4:Q396,Q397)&lt;1,1),FALSE))))"),FALSE)</f>
        <v>0</v>
      </c>
      <c r="S397" s="59">
        <f t="array" ref="S397">IF(COUNTA(Q397:Q1350)=0,"",SUM((COUNTIF(Q$4:Q397,Upgrades!$B$3:$B$13)-COUNTIF(Q$4:Q397,"Sell_"&amp;Upgrades!$B$3:$B$13))*Upgrades!$D$3:$D$13))</f>
        <v>417196.6</v>
      </c>
      <c r="T397" s="66">
        <f>IFERROR(__xludf.DUMMYFUNCTION("IF(COUNTA(Q397:Q1350)=0,"""",IF(REGEXMATCH(INDEX(FILTER(Q$4:Q397,Q$4:Q397&lt;&gt;""""),ROWS(FILTER(Q$4:Q397,Q$4:Q397&lt;&gt;""""))),""^Sell_""),INDEX(FILTER(T$4:T396,Q$4:Q396&lt;&gt;""""),ROWS(FILTER(Q$4:Q396,Q$4:Q396&lt;&gt;""""))),$AD$5+S397))"),417396.6)</f>
        <v>417396.6</v>
      </c>
      <c r="U397" s="10">
        <f>IFERROR(__xludf.DUMMYFUNCTION("IF(COUNTA(Q397:Q1350)=0,"""",IF(Q397="""",0,IF(REGEXMATCH(Q397,""^Sell_""),-ROUNDDOWN(ROUNDUP(INDEX(Upgrades!$C$3:$C$13,MATCH(SUBSTITUTE(Q397,""Sell_"",""""),Upgrades!$B$3:$B$13,0))*1.15^(COUNTIF(Q$4:Q396,SUBSTITUTE(Q397,""Sell_"",""""))-COUNTIF(Q$4:Q396,"&amp;"""Sell_""&amp;SUBSTITUTE(Q397,""Sell_"",""""))))/2),ROUNDUP(INDEX(Upgrades!$C$3:$C$13,MATCH(Q397,Upgrades!$B$3:$B$13,0))*1.15^(COUNTIF(Q$4:Q396,Q397)-COUNTIF(Q$4:Q396,""Sell_""&amp;Q397))))))"),107613.0)</f>
        <v>107613</v>
      </c>
      <c r="V397" s="10">
        <f t="shared" si="11"/>
        <v>107613</v>
      </c>
      <c r="W397" s="68">
        <f t="shared" si="12"/>
        <v>5929.974825</v>
      </c>
      <c r="X397" s="59" t="str">
        <f t="shared" si="13"/>
        <v>1h 38m 49s</v>
      </c>
      <c r="Y397" s="69">
        <f t="shared" si="14"/>
        <v>600402197</v>
      </c>
      <c r="Z397" s="11"/>
    </row>
    <row r="398">
      <c r="A398" s="8"/>
      <c r="B398" s="56" t="str">
        <f t="shared" si="2"/>
        <v/>
      </c>
      <c r="C398" s="57"/>
      <c r="D398" s="10" t="str">
        <f>IFERROR(__xludf.DUMMYFUNCTION("IF(COUNTA(C398:C1350)=0,"""",IF(ISBLANK(C398),FALSE,IF(NOT(COUNTIF($AA$24:$AA$34,SUBSTITUTE(C398,""Sell_"",""""))),1,IF(REGEXMATCH(C398,""Sell_""),IF(COUNTIF(C$4:C398,SUBSTITUTE(C398,""Sell_"",""""))-COUNTIF(C$4:C397,C398)&lt;1,1),FALSE))))"),"")</f>
        <v/>
      </c>
      <c r="E398" s="59" t="str">
        <f t="array" ref="E398">IF(COUNTA(C398:C1350)=0,"",SUM((COUNTIF(C$4:C398,Upgrades!$B$3:$B$13)-COUNTIF(C$4:C398,"Sell_"&amp;Upgrades!$B$3:$B$13))*Upgrades!$D$3:$D$13))</f>
        <v/>
      </c>
      <c r="F398" s="66" t="str">
        <f>IFERROR(__xludf.DUMMYFUNCTION("IF(COUNTA(C398:C1350)=0,"""",IF(REGEXMATCH(INDEX(FILTER(C$4:C398,C$4:C398&lt;&gt;""""),ROWS(FILTER(C$4:C398,C$4:C398&lt;&gt;""""))),""^Sell_""),INDEX(FILTER(F$4:F397,C$4:C397&lt;&gt;""""),ROWS(FILTER(C$4:C397,C$4:C397&lt;&gt;""""))),$AC$5+E398))"),"")</f>
        <v/>
      </c>
      <c r="G398" s="10" t="str">
        <f>IFERROR(__xludf.DUMMYFUNCTION("IF(COUNTA(C398:C1350)=0,"""",IF(C398="""",0,IF(REGEXMATCH(C398,""^Sell_""),-ROUNDDOWN(ROUNDUP(INDEX(Upgrades!$C$3:$C$13,MATCH(SUBSTITUTE(C398,""Sell_"",""""),Upgrades!$B$3:$B$13,0))*1.15^(COUNTIF(C$4:C397,SUBSTITUTE(C398,""Sell_"",""""))-COUNTIF(C$4:C397,"&amp;"""Sell_""&amp;SUBSTITUTE(C398,""Sell_"",""""))))/2),ROUNDUP(INDEX(Upgrades!$C$3:$C$13,MATCH(C398,Upgrades!$B$3:$B$13,0))*1.15^(COUNTIF(C$4:C397,C398)-COUNTIF(C$4:C397,""Sell_""&amp;C398))))))"),"")</f>
        <v/>
      </c>
      <c r="H398" s="10" t="str">
        <f t="shared" si="3"/>
        <v/>
      </c>
      <c r="I398" s="68" t="str">
        <f t="shared" si="4"/>
        <v/>
      </c>
      <c r="J398" s="59" t="str">
        <f t="shared" si="5"/>
        <v/>
      </c>
      <c r="K398" s="69" t="str">
        <f t="shared" si="6"/>
        <v/>
      </c>
      <c r="L398" s="60">
        <f t="shared" si="7"/>
        <v>-218.9905</v>
      </c>
      <c r="M398" s="61">
        <f>IFERROR(__xludf.DUMMYFUNCTION("IFS(AND(COUNTA(C398:C1350)=0,COUNTA(Q398:Q1350)=0),"""",OR(AND(K398&gt;=1000000000,OR(Y398&gt;=1000000000,COUNTA(Q398:Q1350)=0)),OR(Y398&gt;=1000000000,AND(COUNTA(C398:C1350)=0,P$3=TRUE))),
ROUNDDOWN((AB$1-AC$1)*MAX(INDEX(T$4:T1350,MATCH(LARGE(FILTER(Y$4:Y1350,Y$4"&amp;":Y1350&lt;1000000000),1),Y$4:Y1350)),INDEX(F$4:F1350,MATCH(LARGE(FILTER(K$4:K1350,K$4:K1350&lt;1000000000),1),K$4:K1350)))),AND(K398&lt;1000000000,COUNTA(C398:C1350)&gt;0,P$3=FALSE),
ROUNDDOWN(INDEX(Y$4:Y1350,MATCH(LARGE(FILTER(W$4:W1350,W$4:W1350&lt;=I398),1),W$4:W1350"&amp;"))+(I398-LARGE(FILTER(W$4:W1350,W$4:W1350&lt;=I398),1))*INDEX(T$4:T1350,MATCH(LARGE(FILTER(W$4:W1350,W$4:W1350&lt;=I398),1),W$4:W1350))-K398),1,
ROUNDDOWN(Y398-INDEX(K$4:K1350,MATCH(LARGE(FILTER(I$4:I1350,I$4:I1350&lt;=W398),1),I$4:I1350))-(W398-LARGE(FILTER(I$4:I"&amp;"1350,I$4:I1350&lt;=W398),1))*INDEX(F$4:F1350,MATCH(LARGE(FILTER(I$4:I1350,I$4:I1350&lt;=W398),1),I$4:I1350))))"),8.5314116E7)</f>
        <v>85314116</v>
      </c>
      <c r="N398" s="60">
        <f t="shared" si="8"/>
        <v>-218.9905</v>
      </c>
      <c r="O398" s="61" t="str">
        <f t="shared" si="9"/>
        <v>85,3M</v>
      </c>
      <c r="P398" s="56">
        <f t="shared" si="10"/>
        <v>23</v>
      </c>
      <c r="Q398" s="105" t="s">
        <v>5</v>
      </c>
      <c r="R398" s="10" t="b">
        <f>IFERROR(__xludf.DUMMYFUNCTION("IF(COUNTA(Q398:Q1350)=0,"""",IF(ISBLANK(Q398),FALSE,IF(NOT(COUNTIF($AA$24:$AA$34,SUBSTITUTE(Q398,""Sell_"",""""))),1,IF(REGEXMATCH(Q398,""Sell_""),IF(COUNTIF(Q$4:Q398,SUBSTITUTE(Q398,""Sell_"",""""))-COUNTIF(Q$4:Q397,Q398)&lt;1,1),FALSE))))"),FALSE)</f>
        <v>0</v>
      </c>
      <c r="S398" s="59">
        <f t="array" ref="S398">IF(COUNTA(Q398:Q1350)=0,"",SUM((COUNTIF(Q$4:Q398,Upgrades!$B$3:$B$13)-COUNTIF(Q$4:Q398,"Sell_"&amp;Upgrades!$B$3:$B$13))*Upgrades!$D$3:$D$13))</f>
        <v>417200.6</v>
      </c>
      <c r="T398" s="66">
        <f>IFERROR(__xludf.DUMMYFUNCTION("IF(COUNTA(Q398:Q1350)=0,"""",IF(REGEXMATCH(INDEX(FILTER(Q$4:Q398,Q$4:Q398&lt;&gt;""""),ROWS(FILTER(Q$4:Q398,Q$4:Q398&lt;&gt;""""))),""^Sell_""),INDEX(FILTER(T$4:T397,Q$4:Q397&lt;&gt;""""),ROWS(FILTER(Q$4:Q397,Q$4:Q397&lt;&gt;""""))),$AD$5+S398))"),417400.6)</f>
        <v>417400.6</v>
      </c>
      <c r="U398" s="10">
        <f>IFERROR(__xludf.DUMMYFUNCTION("IF(COUNTA(Q398:Q1350)=0,"""",IF(Q398="""",0,IF(REGEXMATCH(Q398,""^Sell_""),-ROUNDDOWN(ROUNDUP(INDEX(Upgrades!$C$3:$C$13,MATCH(SUBSTITUTE(Q398,""Sell_"",""""),Upgrades!$B$3:$B$13,0))*1.15^(COUNTIF(Q$4:Q397,SUBSTITUTE(Q398,""Sell_"",""""))-COUNTIF(Q$4:Q397,"&amp;"""Sell_""&amp;SUBSTITUTE(Q398,""Sell_"",""""))))/2),ROUNDUP(INDEX(Upgrades!$C$3:$C$13,MATCH(Q398,Upgrades!$B$3:$B$13,0))*1.15^(COUNTIF(Q$4:Q397,Q398)-COUNTIF(Q$4:Q397,""Sell_""&amp;Q398))))))"),10823.0)</f>
        <v>10823</v>
      </c>
      <c r="V398" s="10">
        <f t="shared" si="11"/>
        <v>10823</v>
      </c>
      <c r="W398" s="68">
        <f t="shared" si="12"/>
        <v>5930.000755</v>
      </c>
      <c r="X398" s="59" t="str">
        <f t="shared" si="13"/>
        <v>1h 38m 50s</v>
      </c>
      <c r="Y398" s="69">
        <f t="shared" si="14"/>
        <v>600413020</v>
      </c>
      <c r="Z398" s="11"/>
    </row>
    <row r="399">
      <c r="A399" s="8"/>
      <c r="B399" s="56" t="str">
        <f t="shared" si="2"/>
        <v/>
      </c>
      <c r="C399" s="57"/>
      <c r="D399" s="10" t="str">
        <f>IFERROR(__xludf.DUMMYFUNCTION("IF(COUNTA(C399:C1350)=0,"""",IF(ISBLANK(C399),FALSE,IF(NOT(COUNTIF($AA$24:$AA$34,SUBSTITUTE(C399,""Sell_"",""""))),1,IF(REGEXMATCH(C399,""Sell_""),IF(COUNTIF(C$4:C399,SUBSTITUTE(C399,""Sell_"",""""))-COUNTIF(C$4:C398,C399)&lt;1,1),FALSE))))"),"")</f>
        <v/>
      </c>
      <c r="E399" s="59" t="str">
        <f t="array" ref="E399">IF(COUNTA(C399:C1350)=0,"",SUM((COUNTIF(C$4:C399,Upgrades!$B$3:$B$13)-COUNTIF(C$4:C399,"Sell_"&amp;Upgrades!$B$3:$B$13))*Upgrades!$D$3:$D$13))</f>
        <v/>
      </c>
      <c r="F399" s="66" t="str">
        <f>IFERROR(__xludf.DUMMYFUNCTION("IF(COUNTA(C399:C1350)=0,"""",IF(REGEXMATCH(INDEX(FILTER(C$4:C399,C$4:C399&lt;&gt;""""),ROWS(FILTER(C$4:C399,C$4:C399&lt;&gt;""""))),""^Sell_""),INDEX(FILTER(F$4:F398,C$4:C398&lt;&gt;""""),ROWS(FILTER(C$4:C398,C$4:C398&lt;&gt;""""))),$AC$5+E399))"),"")</f>
        <v/>
      </c>
      <c r="G399" s="10" t="str">
        <f>IFERROR(__xludf.DUMMYFUNCTION("IF(COUNTA(C399:C1350)=0,"""",IF(C399="""",0,IF(REGEXMATCH(C399,""^Sell_""),-ROUNDDOWN(ROUNDUP(INDEX(Upgrades!$C$3:$C$13,MATCH(SUBSTITUTE(C399,""Sell_"",""""),Upgrades!$B$3:$B$13,0))*1.15^(COUNTIF(C$4:C398,SUBSTITUTE(C399,""Sell_"",""""))-COUNTIF(C$4:C398,"&amp;"""Sell_""&amp;SUBSTITUTE(C399,""Sell_"",""""))))/2),ROUNDUP(INDEX(Upgrades!$C$3:$C$13,MATCH(C399,Upgrades!$B$3:$B$13,0))*1.15^(COUNTIF(C$4:C398,C399)-COUNTIF(C$4:C398,""Sell_""&amp;C399))))))"),"")</f>
        <v/>
      </c>
      <c r="H399" s="10" t="str">
        <f t="shared" si="3"/>
        <v/>
      </c>
      <c r="I399" s="68" t="str">
        <f t="shared" si="4"/>
        <v/>
      </c>
      <c r="J399" s="59" t="str">
        <f t="shared" si="5"/>
        <v/>
      </c>
      <c r="K399" s="69" t="str">
        <f t="shared" si="6"/>
        <v/>
      </c>
      <c r="L399" s="60">
        <f t="shared" si="7"/>
        <v>-219.70958</v>
      </c>
      <c r="M399" s="61">
        <f>IFERROR(__xludf.DUMMYFUNCTION("IFS(AND(COUNTA(C399:C1350)=0,COUNTA(Q399:Q1350)=0),"""",OR(AND(K399&gt;=1000000000,OR(Y399&gt;=1000000000,COUNTA(Q399:Q1350)=0)),OR(Y399&gt;=1000000000,AND(COUNTA(C399:C1350)=0,P$3=TRUE))),
ROUNDDOWN((AB$1-AC$1)*MAX(INDEX(T$4:T1350,MATCH(LARGE(FILTER(Y$4:Y1350,Y$4"&amp;":Y1350&lt;1000000000),1),Y$4:Y1350)),INDEX(F$4:F1350,MATCH(LARGE(FILTER(K$4:K1350,K$4:K1350&lt;1000000000),1),K$4:K1350)))),AND(K399&lt;1000000000,COUNTA(C399:C1350)&gt;0,P$3=FALSE),
ROUNDDOWN(INDEX(Y$4:Y1350,MATCH(LARGE(FILTER(W$4:W1350,W$4:W1350&lt;=I399),1),W$4:W1350"&amp;"))+(I399-LARGE(FILTER(W$4:W1350,W$4:W1350&lt;=I399),1))*INDEX(T$4:T1350,MATCH(LARGE(FILTER(W$4:W1350,W$4:W1350&lt;=I399),1),W$4:W1350))-K399),1,
ROUNDDOWN(Y399-INDEX(K$4:K1350,MATCH(LARGE(FILTER(I$4:I1350,I$4:I1350&lt;=W399),1),I$4:I1350))-(W399-LARGE(FILTER(I$4:I"&amp;"1350,I$4:I1350&lt;=W399),1))*INDEX(F$4:F1350,MATCH(LARGE(FILTER(I$4:I1350,I$4:I1350&lt;=W399),1),I$4:I1350))))"),8.9870375E7)</f>
        <v>89870375</v>
      </c>
      <c r="N399" s="60">
        <f t="shared" si="8"/>
        <v>-219.70958</v>
      </c>
      <c r="O399" s="61" t="str">
        <f t="shared" si="9"/>
        <v>89,9M</v>
      </c>
      <c r="P399" s="56">
        <f t="shared" si="10"/>
        <v>18</v>
      </c>
      <c r="Q399" s="105" t="s">
        <v>10</v>
      </c>
      <c r="R399" s="10" t="b">
        <f>IFERROR(__xludf.DUMMYFUNCTION("IF(COUNTA(Q399:Q1350)=0,"""",IF(ISBLANK(Q399),FALSE,IF(NOT(COUNTIF($AA$24:$AA$34,SUBSTITUTE(Q399,""Sell_"",""""))),1,IF(REGEXMATCH(Q399,""Sell_""),IF(COUNTIF(Q$4:Q399,SUBSTITUTE(Q399,""Sell_"",""""))-COUNTIF(Q$4:Q398,Q399)&lt;1,1),FALSE))))"),FALSE)</f>
        <v>0</v>
      </c>
      <c r="S399" s="59">
        <f t="array" ref="S399">IF(COUNTA(Q399:Q1350)=0,"",SUM((COUNTIF(Q$4:Q399,Upgrades!$B$3:$B$13)-COUNTIF(Q$4:Q399,"Sell_"&amp;Upgrades!$B$3:$B$13))*Upgrades!$D$3:$D$13))</f>
        <v>423866.6</v>
      </c>
      <c r="T399" s="66">
        <f>IFERROR(__xludf.DUMMYFUNCTION("IF(COUNTA(Q399:Q1350)=0,"""",IF(REGEXMATCH(INDEX(FILTER(Q$4:Q399,Q$4:Q399&lt;&gt;""""),ROWS(FILTER(Q$4:Q399,Q$4:Q399&lt;&gt;""""))),""^Sell_""),INDEX(FILTER(T$4:T398,Q$4:Q398&lt;&gt;""""),ROWS(FILTER(Q$4:Q398,Q$4:Q398&lt;&gt;""""))),$AD$5+S399))"),424066.6)</f>
        <v>424066.6</v>
      </c>
      <c r="U399" s="10">
        <f>IFERROR(__xludf.DUMMYFUNCTION("IF(COUNTA(Q399:Q1350)=0,"""",IF(Q399="""",0,IF(REGEXMATCH(Q399,""^Sell_""),-ROUNDDOWN(ROUNDUP(INDEX(Upgrades!$C$3:$C$13,MATCH(SUBSTITUTE(Q399,""Sell_"",""""),Upgrades!$B$3:$B$13,0))*1.15^(COUNTIF(Q$4:Q398,SUBSTITUTE(Q399,""Sell_"",""""))-COUNTIF(Q$4:Q398,"&amp;"""Sell_""&amp;SUBSTITUTE(Q399,""Sell_"",""""))))/2),ROUNDUP(INDEX(Upgrades!$C$3:$C$13,MATCH(Q399,Upgrades!$B$3:$B$13,0))*1.15^(COUNTIF(Q$4:Q398,Q399)-COUNTIF(Q$4:Q398,""Sell_""&amp;Q399))))))"),1.7935433E7)</f>
        <v>17935433</v>
      </c>
      <c r="V399" s="10">
        <f t="shared" si="11"/>
        <v>17935433</v>
      </c>
      <c r="W399" s="68">
        <f t="shared" si="12"/>
        <v>5972.970107</v>
      </c>
      <c r="X399" s="59" t="str">
        <f t="shared" si="13"/>
        <v>1h 39m 32s</v>
      </c>
      <c r="Y399" s="69">
        <f t="shared" si="14"/>
        <v>618348453</v>
      </c>
      <c r="Z399" s="11"/>
    </row>
    <row r="400">
      <c r="A400" s="8"/>
      <c r="B400" s="56" t="str">
        <f t="shared" si="2"/>
        <v/>
      </c>
      <c r="C400" s="57"/>
      <c r="D400" s="10" t="str">
        <f>IFERROR(__xludf.DUMMYFUNCTION("IF(COUNTA(C400:C1350)=0,"""",IF(ISBLANK(C400),FALSE,IF(NOT(COUNTIF($AA$24:$AA$34,SUBSTITUTE(C400,""Sell_"",""""))),1,IF(REGEXMATCH(C400,""Sell_""),IF(COUNTIF(C$4:C400,SUBSTITUTE(C400,""Sell_"",""""))-COUNTIF(C$4:C399,C400)&lt;1,1),FALSE))))"),"")</f>
        <v/>
      </c>
      <c r="E400" s="59" t="str">
        <f t="array" ref="E400">IF(COUNTA(C400:C1350)=0,"",SUM((COUNTIF(C$4:C400,Upgrades!$B$3:$B$13)-COUNTIF(C$4:C400,"Sell_"&amp;Upgrades!$B$3:$B$13))*Upgrades!$D$3:$D$13))</f>
        <v/>
      </c>
      <c r="F400" s="66" t="str">
        <f>IFERROR(__xludf.DUMMYFUNCTION("IF(COUNTA(C400:C1350)=0,"""",IF(REGEXMATCH(INDEX(FILTER(C$4:C400,C$4:C400&lt;&gt;""""),ROWS(FILTER(C$4:C400,C$4:C400&lt;&gt;""""))),""^Sell_""),INDEX(FILTER(F$4:F399,C$4:C399&lt;&gt;""""),ROWS(FILTER(C$4:C399,C$4:C399&lt;&gt;""""))),$AC$5+E400))"),"")</f>
        <v/>
      </c>
      <c r="G400" s="10" t="str">
        <f>IFERROR(__xludf.DUMMYFUNCTION("IF(COUNTA(C400:C1350)=0,"""",IF(C400="""",0,IF(REGEXMATCH(C400,""^Sell_""),-ROUNDDOWN(ROUNDUP(INDEX(Upgrades!$C$3:$C$13,MATCH(SUBSTITUTE(C400,""Sell_"",""""),Upgrades!$B$3:$B$13,0))*1.15^(COUNTIF(C$4:C399,SUBSTITUTE(C400,""Sell_"",""""))-COUNTIF(C$4:C399,"&amp;"""Sell_""&amp;SUBSTITUTE(C400,""Sell_"",""""))))/2),ROUNDUP(INDEX(Upgrades!$C$3:$C$13,MATCH(C400,Upgrades!$B$3:$B$13,0))*1.15^(COUNTIF(C$4:C399,C400)-COUNTIF(C$4:C399,""Sell_""&amp;C400))))))"),"")</f>
        <v/>
      </c>
      <c r="H400" s="10" t="str">
        <f t="shared" si="3"/>
        <v/>
      </c>
      <c r="I400" s="68" t="str">
        <f t="shared" si="4"/>
        <v/>
      </c>
      <c r="J400" s="59" t="str">
        <f t="shared" si="5"/>
        <v/>
      </c>
      <c r="K400" s="69" t="str">
        <f t="shared" si="6"/>
        <v/>
      </c>
      <c r="L400" s="60">
        <f t="shared" si="7"/>
        <v>-219.71176</v>
      </c>
      <c r="M400" s="61">
        <f>IFERROR(__xludf.DUMMYFUNCTION("IFS(AND(COUNTA(C400:C1350)=0,COUNTA(Q400:Q1350)=0),"""",OR(AND(K400&gt;=1000000000,OR(Y400&gt;=1000000000,COUNTA(Q400:Q1350)=0)),OR(Y400&gt;=1000000000,AND(COUNTA(C400:C1350)=0,P$3=TRUE))),
ROUNDDOWN((AB$1-AC$1)*MAX(INDEX(T$4:T1350,MATCH(LARGE(FILTER(Y$4:Y1350,Y$4"&amp;":Y1350&lt;1000000000),1),Y$4:Y1350)),INDEX(F$4:F1350,MATCH(LARGE(FILTER(K$4:K1350,K$4:K1350&lt;1000000000),1),K$4:K1350)))),AND(K400&lt;1000000000,COUNTA(C400:C1350)&gt;0,P$3=FALSE),
ROUNDDOWN(INDEX(Y$4:Y1350,MATCH(LARGE(FILTER(W$4:W1350,W$4:W1350&lt;=I400),1),W$4:W1350"&amp;"))+(I400-LARGE(FILTER(W$4:W1350,W$4:W1350&lt;=I400),1))*INDEX(T$4:T1350,MATCH(LARGE(FILTER(W$4:W1350,W$4:W1350&lt;=I400),1),W$4:W1350))-K400),1,
ROUNDDOWN(Y400-INDEX(K$4:K1350,MATCH(LARGE(FILTER(I$4:I1350,I$4:I1350&lt;=W400),1),I$4:I1350))-(W400-LARGE(FILTER(I$4:I"&amp;"1350,I$4:I1350&lt;=W400),1))*INDEX(F$4:F1350,MATCH(LARGE(FILTER(I$4:I1350,I$4:I1350&lt;=W400),1),I$4:I1350))))"),8.9877836E7)</f>
        <v>89877836</v>
      </c>
      <c r="N400" s="60">
        <f t="shared" si="8"/>
        <v>-219.71176</v>
      </c>
      <c r="O400" s="61" t="str">
        <f t="shared" si="9"/>
        <v>89,9M</v>
      </c>
      <c r="P400" s="56">
        <f t="shared" si="10"/>
        <v>17</v>
      </c>
      <c r="Q400" s="105" t="s">
        <v>6</v>
      </c>
      <c r="R400" s="10" t="b">
        <f>IFERROR(__xludf.DUMMYFUNCTION("IF(COUNTA(Q400:Q1350)=0,"""",IF(ISBLANK(Q400),FALSE,IF(NOT(COUNTIF($AA$24:$AA$34,SUBSTITUTE(Q400,""Sell_"",""""))),1,IF(REGEXMATCH(Q400,""Sell_""),IF(COUNTIF(Q$4:Q400,SUBSTITUTE(Q400,""Sell_"",""""))-COUNTIF(Q$4:Q399,Q400)&lt;1,1),FALSE))))"),FALSE)</f>
        <v>0</v>
      </c>
      <c r="S400" s="59">
        <f t="array" ref="S400">IF(COUNTA(Q400:Q1350)=0,"",SUM((COUNTIF(Q$4:Q400,Upgrades!$B$3:$B$13)-COUNTIF(Q$4:Q400,"Sell_"&amp;Upgrades!$B$3:$B$13))*Upgrades!$D$3:$D$13))</f>
        <v>423876.6</v>
      </c>
      <c r="T400" s="66">
        <f>IFERROR(__xludf.DUMMYFUNCTION("IF(COUNTA(Q400:Q1350)=0,"""",IF(REGEXMATCH(INDEX(FILTER(Q$4:Q400,Q$4:Q400&lt;&gt;""""),ROWS(FILTER(Q$4:Q400,Q$4:Q400&lt;&gt;""""))),""^Sell_""),INDEX(FILTER(T$4:T399,Q$4:Q399&lt;&gt;""""),ROWS(FILTER(Q$4:Q399,Q$4:Q399&lt;&gt;""""))),$AD$5+S400))"),424076.6)</f>
        <v>424076.6</v>
      </c>
      <c r="U400" s="10">
        <f>IFERROR(__xludf.DUMMYFUNCTION("IF(COUNTA(Q400:Q1350)=0,"""",IF(Q400="""",0,IF(REGEXMATCH(Q400,""^Sell_""),-ROUNDDOWN(ROUNDUP(INDEX(Upgrades!$C$3:$C$13,MATCH(SUBSTITUTE(Q400,""Sell_"",""""),Upgrades!$B$3:$B$13,0))*1.15^(COUNTIF(Q$4:Q399,SUBSTITUTE(Q400,""Sell_"",""""))-COUNTIF(Q$4:Q399,"&amp;"""Sell_""&amp;SUBSTITUTE(Q400,""Sell_"",""""))))/2),ROUNDUP(INDEX(Upgrades!$C$3:$C$13,MATCH(Q400,Upgrades!$B$3:$B$13,0))*1.15^(COUNTIF(Q$4:Q399,Q400)-COUNTIF(Q$4:Q399,""Sell_""&amp;Q400))))))"),28073.0)</f>
        <v>28073</v>
      </c>
      <c r="V400" s="10">
        <f t="shared" si="11"/>
        <v>28073</v>
      </c>
      <c r="W400" s="68">
        <f t="shared" si="12"/>
        <v>5973.036306</v>
      </c>
      <c r="X400" s="59" t="str">
        <f t="shared" si="13"/>
        <v>1h 39m 33s</v>
      </c>
      <c r="Y400" s="69">
        <f t="shared" si="14"/>
        <v>618376526</v>
      </c>
      <c r="Z400" s="11"/>
    </row>
    <row r="401">
      <c r="A401" s="8"/>
      <c r="B401" s="56" t="str">
        <f t="shared" si="2"/>
        <v/>
      </c>
      <c r="C401" s="57"/>
      <c r="D401" s="10" t="str">
        <f>IFERROR(__xludf.DUMMYFUNCTION("IF(COUNTA(C401:C1350)=0,"""",IF(ISBLANK(C401),FALSE,IF(NOT(COUNTIF($AA$24:$AA$34,SUBSTITUTE(C401,""Sell_"",""""))),1,IF(REGEXMATCH(C401,""Sell_""),IF(COUNTIF(C$4:C401,SUBSTITUTE(C401,""Sell_"",""""))-COUNTIF(C$4:C400,C401)&lt;1,1),FALSE))))"),"")</f>
        <v/>
      </c>
      <c r="E401" s="59" t="str">
        <f t="array" ref="E401">IF(COUNTA(C401:C1350)=0,"",SUM((COUNTIF(C$4:C401,Upgrades!$B$3:$B$13)-COUNTIF(C$4:C401,"Sell_"&amp;Upgrades!$B$3:$B$13))*Upgrades!$D$3:$D$13))</f>
        <v/>
      </c>
      <c r="F401" s="66" t="str">
        <f>IFERROR(__xludf.DUMMYFUNCTION("IF(COUNTA(C401:C1350)=0,"""",IF(REGEXMATCH(INDEX(FILTER(C$4:C401,C$4:C401&lt;&gt;""""),ROWS(FILTER(C$4:C401,C$4:C401&lt;&gt;""""))),""^Sell_""),INDEX(FILTER(F$4:F400,C$4:C400&lt;&gt;""""),ROWS(FILTER(C$4:C400,C$4:C400&lt;&gt;""""))),$AC$5+E401))"),"")</f>
        <v/>
      </c>
      <c r="G401" s="10" t="str">
        <f>IFERROR(__xludf.DUMMYFUNCTION("IF(COUNTA(C401:C1350)=0,"""",IF(C401="""",0,IF(REGEXMATCH(C401,""^Sell_""),-ROUNDDOWN(ROUNDUP(INDEX(Upgrades!$C$3:$C$13,MATCH(SUBSTITUTE(C401,""Sell_"",""""),Upgrades!$B$3:$B$13,0))*1.15^(COUNTIF(C$4:C400,SUBSTITUTE(C401,""Sell_"",""""))-COUNTIF(C$4:C400,"&amp;"""Sell_""&amp;SUBSTITUTE(C401,""Sell_"",""""))))/2),ROUNDUP(INDEX(Upgrades!$C$3:$C$13,MATCH(C401,Upgrades!$B$3:$B$13,0))*1.15^(COUNTIF(C$4:C400,C401)-COUNTIF(C$4:C400,""Sell_""&amp;C401))))))"),"")</f>
        <v/>
      </c>
      <c r="H401" s="10" t="str">
        <f t="shared" si="3"/>
        <v/>
      </c>
      <c r="I401" s="68" t="str">
        <f t="shared" si="4"/>
        <v/>
      </c>
      <c r="J401" s="59" t="str">
        <f t="shared" si="5"/>
        <v/>
      </c>
      <c r="K401" s="69" t="str">
        <f t="shared" si="6"/>
        <v/>
      </c>
      <c r="L401" s="60">
        <f t="shared" si="7"/>
        <v>-219.71178</v>
      </c>
      <c r="M401" s="61">
        <f>IFERROR(__xludf.DUMMYFUNCTION("IFS(AND(COUNTA(C401:C1350)=0,COUNTA(Q401:Q1350)=0),"""",OR(AND(K401&gt;=1000000000,OR(Y401&gt;=1000000000,COUNTA(Q401:Q1350)=0)),OR(Y401&gt;=1000000000,AND(COUNTA(C401:C1350)=0,P$3=TRUE))),
ROUNDDOWN((AB$1-AC$1)*MAX(INDEX(T$4:T1350,MATCH(LARGE(FILTER(Y$4:Y1350,Y$4"&amp;":Y1350&lt;1000000000),1),Y$4:Y1350)),INDEX(F$4:F1350,MATCH(LARGE(FILTER(K$4:K1350,K$4:K1350&lt;1000000000),1),K$4:K1350)))),AND(K401&lt;1000000000,COUNTA(C401:C1350)&gt;0,P$3=FALSE),
ROUNDDOWN(INDEX(Y$4:Y1350,MATCH(LARGE(FILTER(W$4:W1350,W$4:W1350&lt;=I401),1),W$4:W1350"&amp;"))+(I401-LARGE(FILTER(W$4:W1350,W$4:W1350&lt;=I401),1))*INDEX(T$4:T1350,MATCH(LARGE(FILTER(W$4:W1350,W$4:W1350&lt;=I401),1),W$4:W1350))-K401),1,
ROUNDDOWN(Y401-INDEX(K$4:K1350,MATCH(LARGE(FILTER(I$4:I1350,I$4:I1350&lt;=W401),1),I$4:I1350))-(W401-LARGE(FILTER(I$4:I"&amp;"1350,I$4:I1350&lt;=W401),1))*INDEX(F$4:F1350,MATCH(LARGE(FILTER(I$4:I1350,I$4:I1350&lt;=W401),1),I$4:I1350))))"),8.9877911E7)</f>
        <v>89877911</v>
      </c>
      <c r="N401" s="60">
        <f t="shared" si="8"/>
        <v>-219.71178</v>
      </c>
      <c r="O401" s="61" t="str">
        <f t="shared" si="9"/>
        <v>89,9M</v>
      </c>
      <c r="P401" s="56">
        <f t="shared" si="10"/>
        <v>22</v>
      </c>
      <c r="Q401" s="105" t="s">
        <v>3</v>
      </c>
      <c r="R401" s="10" t="b">
        <f>IFERROR(__xludf.DUMMYFUNCTION("IF(COUNTA(Q401:Q1350)=0,"""",IF(ISBLANK(Q401),FALSE,IF(NOT(COUNTIF($AA$24:$AA$34,SUBSTITUTE(Q401,""Sell_"",""""))),1,IF(REGEXMATCH(Q401,""Sell_""),IF(COUNTIF(Q$4:Q401,SUBSTITUTE(Q401,""Sell_"",""""))-COUNTIF(Q$4:Q400,Q401)&lt;1,1),FALSE))))"),FALSE)</f>
        <v>0</v>
      </c>
      <c r="S401" s="59">
        <f t="array" ref="S401">IF(COUNTA(Q401:Q1350)=0,"",SUM((COUNTIF(Q$4:Q401,Upgrades!$B$3:$B$13)-COUNTIF(Q$4:Q401,"Sell_"&amp;Upgrades!$B$3:$B$13))*Upgrades!$D$3:$D$13))</f>
        <v>423876.7</v>
      </c>
      <c r="T401" s="66">
        <f>IFERROR(__xludf.DUMMYFUNCTION("IF(COUNTA(Q401:Q1350)=0,"""",IF(REGEXMATCH(INDEX(FILTER(Q$4:Q401,Q$4:Q401&lt;&gt;""""),ROWS(FILTER(Q$4:Q401,Q$4:Q401&lt;&gt;""""))),""^Sell_""),INDEX(FILTER(T$4:T400,Q$4:Q400&lt;&gt;""""),ROWS(FILTER(Q$4:Q400,Q$4:Q400&lt;&gt;""""))),$AD$5+S401))"),424076.7)</f>
        <v>424076.7</v>
      </c>
      <c r="U401" s="10">
        <f>IFERROR(__xludf.DUMMYFUNCTION("IF(COUNTA(Q401:Q1350)=0,"""",IF(Q401="""",0,IF(REGEXMATCH(Q401,""^Sell_""),-ROUNDDOWN(ROUNDUP(INDEX(Upgrades!$C$3:$C$13,MATCH(SUBSTITUTE(Q401,""Sell_"",""""),Upgrades!$B$3:$B$13,0))*1.15^(COUNTIF(Q$4:Q400,SUBSTITUTE(Q401,""Sell_"",""""))-COUNTIF(Q$4:Q400,"&amp;"""Sell_""&amp;SUBSTITUTE(Q401,""Sell_"",""""))))/2),ROUNDUP(INDEX(Upgrades!$C$3:$C$13,MATCH(Q401,Upgrades!$B$3:$B$13,0))*1.15^(COUNTIF(Q$4:Q400,Q401)-COUNTIF(Q$4:Q400,""Sell_""&amp;Q401))))))"),283.0)</f>
        <v>283</v>
      </c>
      <c r="V401" s="10">
        <f t="shared" si="11"/>
        <v>283</v>
      </c>
      <c r="W401" s="68">
        <f t="shared" si="12"/>
        <v>5973.036973</v>
      </c>
      <c r="X401" s="59" t="str">
        <f t="shared" si="13"/>
        <v>1h 39m 33s</v>
      </c>
      <c r="Y401" s="69">
        <f t="shared" si="14"/>
        <v>618376809</v>
      </c>
      <c r="Z401" s="11"/>
    </row>
    <row r="402">
      <c r="A402" s="8"/>
      <c r="B402" s="56" t="str">
        <f t="shared" si="2"/>
        <v/>
      </c>
      <c r="C402" s="57"/>
      <c r="D402" s="10" t="str">
        <f>IFERROR(__xludf.DUMMYFUNCTION("IF(COUNTA(C402:C1350)=0,"""",IF(ISBLANK(C402),FALSE,IF(NOT(COUNTIF($AA$24:$AA$34,SUBSTITUTE(C402,""Sell_"",""""))),1,IF(REGEXMATCH(C402,""Sell_""),IF(COUNTIF(C$4:C402,SUBSTITUTE(C402,""Sell_"",""""))-COUNTIF(C$4:C401,C402)&lt;1,1),FALSE))))"),"")</f>
        <v/>
      </c>
      <c r="E402" s="59" t="str">
        <f t="array" ref="E402">IF(COUNTA(C402:C1350)=0,"",SUM((COUNTIF(C$4:C402,Upgrades!$B$3:$B$13)-COUNTIF(C$4:C402,"Sell_"&amp;Upgrades!$B$3:$B$13))*Upgrades!$D$3:$D$13))</f>
        <v/>
      </c>
      <c r="F402" s="66" t="str">
        <f>IFERROR(__xludf.DUMMYFUNCTION("IF(COUNTA(C402:C1350)=0,"""",IF(REGEXMATCH(INDEX(FILTER(C$4:C402,C$4:C402&lt;&gt;""""),ROWS(FILTER(C$4:C402,C$4:C402&lt;&gt;""""))),""^Sell_""),INDEX(FILTER(F$4:F401,C$4:C401&lt;&gt;""""),ROWS(FILTER(C$4:C401,C$4:C401&lt;&gt;""""))),$AC$5+E402))"),"")</f>
        <v/>
      </c>
      <c r="G402" s="10" t="str">
        <f>IFERROR(__xludf.DUMMYFUNCTION("IF(COUNTA(C402:C1350)=0,"""",IF(C402="""",0,IF(REGEXMATCH(C402,""^Sell_""),-ROUNDDOWN(ROUNDUP(INDEX(Upgrades!$C$3:$C$13,MATCH(SUBSTITUTE(C402,""Sell_"",""""),Upgrades!$B$3:$B$13,0))*1.15^(COUNTIF(C$4:C401,SUBSTITUTE(C402,""Sell_"",""""))-COUNTIF(C$4:C401,"&amp;"""Sell_""&amp;SUBSTITUTE(C402,""Sell_"",""""))))/2),ROUNDUP(INDEX(Upgrades!$C$3:$C$13,MATCH(C402,Upgrades!$B$3:$B$13,0))*1.15^(COUNTIF(C$4:C401,C402)-COUNTIF(C$4:C401,""Sell_""&amp;C402))))))"),"")</f>
        <v/>
      </c>
      <c r="H402" s="10" t="str">
        <f t="shared" si="3"/>
        <v/>
      </c>
      <c r="I402" s="68" t="str">
        <f t="shared" si="4"/>
        <v/>
      </c>
      <c r="J402" s="59" t="str">
        <f t="shared" si="5"/>
        <v/>
      </c>
      <c r="K402" s="69" t="str">
        <f t="shared" si="6"/>
        <v/>
      </c>
      <c r="L402" s="60">
        <f t="shared" si="7"/>
        <v>-219.7338</v>
      </c>
      <c r="M402" s="61">
        <f>IFERROR(__xludf.DUMMYFUNCTION("IFS(AND(COUNTA(C402:C1350)=0,COUNTA(Q402:Q1350)=0),"""",OR(AND(K402&gt;=1000000000,OR(Y402&gt;=1000000000,COUNTA(Q402:Q1350)=0)),OR(Y402&gt;=1000000000,AND(COUNTA(C402:C1350)=0,P$3=TRUE))),
ROUNDDOWN((AB$1-AC$1)*MAX(INDEX(T$4:T1350,MATCH(LARGE(FILTER(Y$4:Y1350,Y$4"&amp;":Y1350&lt;1000000000),1),Y$4:Y1350)),INDEX(F$4:F1350,MATCH(LARGE(FILTER(K$4:K1350,K$4:K1350&lt;1000000000),1),K$4:K1350)))),AND(K402&lt;1000000000,COUNTA(C402:C1350)&gt;0,P$3=FALSE),
ROUNDDOWN(INDEX(Y$4:Y1350,MATCH(LARGE(FILTER(W$4:W1350,W$4:W1350&lt;=I402),1),W$4:W1350"&amp;"))+(I402-LARGE(FILTER(W$4:W1350,W$4:W1350&lt;=I402),1))*INDEX(T$4:T1350,MATCH(LARGE(FILTER(W$4:W1350,W$4:W1350&lt;=I402),1),W$4:W1350))-K402),1,
ROUNDDOWN(Y402-INDEX(K$4:K1350,MATCH(LARGE(FILTER(I$4:I1350,I$4:I1350&lt;=W402),1),I$4:I1350))-(W402-LARGE(FILTER(I$4:I"&amp;"1350,I$4:I1350&lt;=W402),1))*INDEX(F$4:F1350,MATCH(LARGE(FILTER(I$4:I1350,I$4:I1350&lt;=W402),1),I$4:I1350))))"),8.9953135E7)</f>
        <v>89953135</v>
      </c>
      <c r="N402" s="60">
        <f t="shared" si="8"/>
        <v>-219.7338</v>
      </c>
      <c r="O402" s="61" t="str">
        <f t="shared" si="9"/>
        <v>90,0M</v>
      </c>
      <c r="P402" s="56">
        <f t="shared" si="10"/>
        <v>15</v>
      </c>
      <c r="Q402" s="105" t="s">
        <v>8</v>
      </c>
      <c r="R402" s="10" t="b">
        <f>IFERROR(__xludf.DUMMYFUNCTION("IF(COUNTA(Q402:Q1350)=0,"""",IF(ISBLANK(Q402),FALSE,IF(NOT(COUNTIF($AA$24:$AA$34,SUBSTITUTE(Q402,""Sell_"",""""))),1,IF(REGEXMATCH(Q402,""Sell_""),IF(COUNTIF(Q$4:Q402,SUBSTITUTE(Q402,""Sell_"",""""))-COUNTIF(Q$4:Q401,Q402)&lt;1,1),FALSE))))"),FALSE)</f>
        <v>0</v>
      </c>
      <c r="S402" s="59">
        <f t="array" ref="S402">IF(COUNTA(Q402:Q1350)=0,"",SUM((COUNTIF(Q$4:Q402,Upgrades!$B$3:$B$13)-COUNTIF(Q$4:Q402,"Sell_"&amp;Upgrades!$B$3:$B$13))*Upgrades!$D$3:$D$13))</f>
        <v>423976.7</v>
      </c>
      <c r="T402" s="66">
        <f>IFERROR(__xludf.DUMMYFUNCTION("IF(COUNTA(Q402:Q1350)=0,"""",IF(REGEXMATCH(INDEX(FILTER(Q$4:Q402,Q$4:Q402&lt;&gt;""""),ROWS(FILTER(Q$4:Q402,Q$4:Q402&lt;&gt;""""))),""^Sell_""),INDEX(FILTER(T$4:T401,Q$4:Q401&lt;&gt;""""),ROWS(FILTER(Q$4:Q401,Q$4:Q401&lt;&gt;""""))),$AD$5+S402))"),424176.7)</f>
        <v>424176.7</v>
      </c>
      <c r="U402" s="10">
        <f>IFERROR(__xludf.DUMMYFUNCTION("IF(COUNTA(Q402:Q1350)=0,"""",IF(Q402="""",0,IF(REGEXMATCH(Q402,""^Sell_""),-ROUNDDOWN(ROUNDUP(INDEX(Upgrades!$C$3:$C$13,MATCH(SUBSTITUTE(Q402,""Sell_"",""""),Upgrades!$B$3:$B$13,0))*1.15^(COUNTIF(Q$4:Q401,SUBSTITUTE(Q402,""Sell_"",""""))-COUNTIF(Q$4:Q401,"&amp;"""Sell_""&amp;SUBSTITUTE(Q402,""Sell_"",""""))))/2),ROUNDUP(INDEX(Upgrades!$C$3:$C$13,MATCH(Q402,Upgrades!$B$3:$B$13,0))*1.15^(COUNTIF(Q$4:Q401,Q402)-COUNTIF(Q$4:Q401,""Sell_""&amp;Q402))))))"),283029.0)</f>
        <v>283029</v>
      </c>
      <c r="V402" s="10">
        <f t="shared" si="11"/>
        <v>283029</v>
      </c>
      <c r="W402" s="68">
        <f t="shared" si="12"/>
        <v>5973.704374</v>
      </c>
      <c r="X402" s="59" t="str">
        <f t="shared" si="13"/>
        <v>1h 39m 33s</v>
      </c>
      <c r="Y402" s="69">
        <f t="shared" si="14"/>
        <v>618659838</v>
      </c>
      <c r="Z402" s="11"/>
    </row>
    <row r="403">
      <c r="A403" s="8"/>
      <c r="B403" s="56" t="str">
        <f t="shared" si="2"/>
        <v/>
      </c>
      <c r="C403" s="57"/>
      <c r="D403" s="10" t="str">
        <f>IFERROR(__xludf.DUMMYFUNCTION("IF(COUNTA(C403:C1350)=0,"""",IF(ISBLANK(C403),FALSE,IF(NOT(COUNTIF($AA$24:$AA$34,SUBSTITUTE(C403,""Sell_"",""""))),1,IF(REGEXMATCH(C403,""Sell_""),IF(COUNTIF(C$4:C403,SUBSTITUTE(C403,""Sell_"",""""))-COUNTIF(C$4:C402,C403)&lt;1,1),FALSE))))"),"")</f>
        <v/>
      </c>
      <c r="E403" s="59" t="str">
        <f t="array" ref="E403">IF(COUNTA(C403:C1350)=0,"",SUM((COUNTIF(C$4:C403,Upgrades!$B$3:$B$13)-COUNTIF(C$4:C403,"Sell_"&amp;Upgrades!$B$3:$B$13))*Upgrades!$D$3:$D$13))</f>
        <v/>
      </c>
      <c r="F403" s="66" t="str">
        <f>IFERROR(__xludf.DUMMYFUNCTION("IF(COUNTA(C403:C1350)=0,"""",IF(REGEXMATCH(INDEX(FILTER(C$4:C403,C$4:C403&lt;&gt;""""),ROWS(FILTER(C$4:C403,C$4:C403&lt;&gt;""""))),""^Sell_""),INDEX(FILTER(F$4:F402,C$4:C402&lt;&gt;""""),ROWS(FILTER(C$4:C402,C$4:C402&lt;&gt;""""))),$AC$5+E403))"),"")</f>
        <v/>
      </c>
      <c r="G403" s="10" t="str">
        <f>IFERROR(__xludf.DUMMYFUNCTION("IF(COUNTA(C403:C1350)=0,"""",IF(C403="""",0,IF(REGEXMATCH(C403,""^Sell_""),-ROUNDDOWN(ROUNDUP(INDEX(Upgrades!$C$3:$C$13,MATCH(SUBSTITUTE(C403,""Sell_"",""""),Upgrades!$B$3:$B$13,0))*1.15^(COUNTIF(C$4:C402,SUBSTITUTE(C403,""Sell_"",""""))-COUNTIF(C$4:C402,"&amp;"""Sell_""&amp;SUBSTITUTE(C403,""Sell_"",""""))))/2),ROUNDUP(INDEX(Upgrades!$C$3:$C$13,MATCH(C403,Upgrades!$B$3:$B$13,0))*1.15^(COUNTIF(C$4:C402,C403)-COUNTIF(C$4:C402,""Sell_""&amp;C403))))))"),"")</f>
        <v/>
      </c>
      <c r="H403" s="10" t="str">
        <f t="shared" si="3"/>
        <v/>
      </c>
      <c r="I403" s="68" t="str">
        <f t="shared" si="4"/>
        <v/>
      </c>
      <c r="J403" s="59" t="str">
        <f t="shared" si="5"/>
        <v/>
      </c>
      <c r="K403" s="69" t="str">
        <f t="shared" si="6"/>
        <v/>
      </c>
      <c r="L403" s="60">
        <f t="shared" si="7"/>
        <v>-219.73391</v>
      </c>
      <c r="M403" s="61">
        <f>IFERROR(__xludf.DUMMYFUNCTION("IFS(AND(COUNTA(C403:C1350)=0,COUNTA(Q403:Q1350)=0),"""",OR(AND(K403&gt;=1000000000,OR(Y403&gt;=1000000000,COUNTA(Q403:Q1350)=0)),OR(Y403&gt;=1000000000,AND(COUNTA(C403:C1350)=0,P$3=TRUE))),
ROUNDDOWN((AB$1-AC$1)*MAX(INDEX(T$4:T1350,MATCH(LARGE(FILTER(Y$4:Y1350,Y$4"&amp;":Y1350&lt;1000000000),1),Y$4:Y1350)),INDEX(F$4:F1350,MATCH(LARGE(FILTER(K$4:K1350,K$4:K1350&lt;1000000000),1),K$4:K1350)))),AND(K403&lt;1000000000,COUNTA(C403:C1350)&gt;0,P$3=FALSE),
ROUNDDOWN(INDEX(Y$4:Y1350,MATCH(LARGE(FILTER(W$4:W1350,W$4:W1350&lt;=I403),1),W$4:W1350"&amp;"))+(I403-LARGE(FILTER(W$4:W1350,W$4:W1350&lt;=I403),1))*INDEX(T$4:T1350,MATCH(LARGE(FILTER(W$4:W1350,W$4:W1350&lt;=I403),1),W$4:W1350))-K403),1,
ROUNDDOWN(Y403-INDEX(K$4:K1350,MATCH(LARGE(FILTER(I$4:I1350,I$4:I1350&lt;=W403),1),I$4:I1350))-(W403-LARGE(FILTER(I$4:I"&amp;"1350,I$4:I1350&lt;=W403),1))*INDEX(F$4:F1350,MATCH(LARGE(FILTER(I$4:I1350,I$4:I1350&lt;=W403),1),I$4:I1350))))"),8.9953513E7)</f>
        <v>89953513</v>
      </c>
      <c r="N403" s="60">
        <f t="shared" si="8"/>
        <v>-219.73391</v>
      </c>
      <c r="O403" s="61" t="str">
        <f t="shared" si="9"/>
        <v>90,0M</v>
      </c>
      <c r="P403" s="56">
        <f t="shared" si="10"/>
        <v>20</v>
      </c>
      <c r="Q403" s="105" t="s">
        <v>4</v>
      </c>
      <c r="R403" s="10" t="b">
        <f>IFERROR(__xludf.DUMMYFUNCTION("IF(COUNTA(Q403:Q1350)=0,"""",IF(ISBLANK(Q403),FALSE,IF(NOT(COUNTIF($AA$24:$AA$34,SUBSTITUTE(Q403,""Sell_"",""""))),1,IF(REGEXMATCH(Q403,""Sell_""),IF(COUNTIF(Q$4:Q403,SUBSTITUTE(Q403,""Sell_"",""""))-COUNTIF(Q$4:Q402,Q403)&lt;1,1),FALSE))))"),FALSE)</f>
        <v>0</v>
      </c>
      <c r="S403" s="59">
        <f t="array" ref="S403">IF(COUNTA(Q403:Q1350)=0,"",SUM((COUNTIF(Q$4:Q403,Upgrades!$B$3:$B$13)-COUNTIF(Q$4:Q403,"Sell_"&amp;Upgrades!$B$3:$B$13))*Upgrades!$D$3:$D$13))</f>
        <v>423977.2</v>
      </c>
      <c r="T403" s="66">
        <f>IFERROR(__xludf.DUMMYFUNCTION("IF(COUNTA(Q403:Q1350)=0,"""",IF(REGEXMATCH(INDEX(FILTER(Q$4:Q403,Q$4:Q403&lt;&gt;""""),ROWS(FILTER(Q$4:Q403,Q$4:Q403&lt;&gt;""""))),""^Sell_""),INDEX(FILTER(T$4:T402,Q$4:Q402&lt;&gt;""""),ROWS(FILTER(Q$4:Q402,Q$4:Q402&lt;&gt;""""))),$AD$5+S403))"),424177.2)</f>
        <v>424177.2</v>
      </c>
      <c r="U403" s="10">
        <f>IFERROR(__xludf.DUMMYFUNCTION("IF(COUNTA(Q403:Q1350)=0,"""",IF(Q403="""",0,IF(REGEXMATCH(Q403,""^Sell_""),-ROUNDDOWN(ROUNDUP(INDEX(Upgrades!$C$3:$C$13,MATCH(SUBSTITUTE(Q403,""Sell_"",""""),Upgrades!$B$3:$B$13,0))*1.15^(COUNTIF(Q$4:Q402,SUBSTITUTE(Q403,""Sell_"",""""))-COUNTIF(Q$4:Q402,"&amp;"""Sell_""&amp;SUBSTITUTE(Q403,""Sell_"",""""))))/2),ROUNDUP(INDEX(Upgrades!$C$3:$C$13,MATCH(Q403,Upgrades!$B$3:$B$13,0))*1.15^(COUNTIF(Q$4:Q402,Q403)-COUNTIF(Q$4:Q402,""Sell_""&amp;Q403))))))"),1424.0)</f>
        <v>1424</v>
      </c>
      <c r="V403" s="10">
        <f t="shared" si="11"/>
        <v>1424</v>
      </c>
      <c r="W403" s="68">
        <f t="shared" si="12"/>
        <v>5973.707731</v>
      </c>
      <c r="X403" s="59" t="str">
        <f t="shared" si="13"/>
        <v>1h 39m 33s</v>
      </c>
      <c r="Y403" s="69">
        <f t="shared" si="14"/>
        <v>618661262</v>
      </c>
      <c r="Z403" s="11"/>
    </row>
    <row r="404">
      <c r="A404" s="8"/>
      <c r="B404" s="56" t="str">
        <f t="shared" si="2"/>
        <v/>
      </c>
      <c r="C404" s="57"/>
      <c r="D404" s="10" t="str">
        <f>IFERROR(__xludf.DUMMYFUNCTION("IF(COUNTA(C404:C1350)=0,"""",IF(ISBLANK(C404),FALSE,IF(NOT(COUNTIF($AA$24:$AA$34,SUBSTITUTE(C404,""Sell_"",""""))),1,IF(REGEXMATCH(C404,""Sell_""),IF(COUNTIF(C$4:C404,SUBSTITUTE(C404,""Sell_"",""""))-COUNTIF(C$4:C403,C404)&lt;1,1),FALSE))))"),"")</f>
        <v/>
      </c>
      <c r="E404" s="59" t="str">
        <f t="array" ref="E404">IF(COUNTA(C404:C1350)=0,"",SUM((COUNTIF(C$4:C404,Upgrades!$B$3:$B$13)-COUNTIF(C$4:C404,"Sell_"&amp;Upgrades!$B$3:$B$13))*Upgrades!$D$3:$D$13))</f>
        <v/>
      </c>
      <c r="F404" s="66" t="str">
        <f>IFERROR(__xludf.DUMMYFUNCTION("IF(COUNTA(C404:C1350)=0,"""",IF(REGEXMATCH(INDEX(FILTER(C$4:C404,C$4:C404&lt;&gt;""""),ROWS(FILTER(C$4:C404,C$4:C404&lt;&gt;""""))),""^Sell_""),INDEX(FILTER(F$4:F403,C$4:C403&lt;&gt;""""),ROWS(FILTER(C$4:C403,C$4:C403&lt;&gt;""""))),$AC$5+E404))"),"")</f>
        <v/>
      </c>
      <c r="G404" s="10" t="str">
        <f>IFERROR(__xludf.DUMMYFUNCTION("IF(COUNTA(C404:C1350)=0,"""",IF(C404="""",0,IF(REGEXMATCH(C404,""^Sell_""),-ROUNDDOWN(ROUNDUP(INDEX(Upgrades!$C$3:$C$13,MATCH(SUBSTITUTE(C404,""Sell_"",""""),Upgrades!$B$3:$B$13,0))*1.15^(COUNTIF(C$4:C403,SUBSTITUTE(C404,""Sell_"",""""))-COUNTIF(C$4:C403,"&amp;"""Sell_""&amp;SUBSTITUTE(C404,""Sell_"",""""))))/2),ROUNDUP(INDEX(Upgrades!$C$3:$C$13,MATCH(C404,Upgrades!$B$3:$B$13,0))*1.15^(COUNTIF(C$4:C403,C404)-COUNTIF(C$4:C403,""Sell_""&amp;C404))))))"),"")</f>
        <v/>
      </c>
      <c r="H404" s="10" t="str">
        <f t="shared" si="3"/>
        <v/>
      </c>
      <c r="I404" s="68" t="str">
        <f t="shared" si="4"/>
        <v/>
      </c>
      <c r="J404" s="59" t="str">
        <f t="shared" si="5"/>
        <v/>
      </c>
      <c r="K404" s="69" t="str">
        <f t="shared" si="6"/>
        <v/>
      </c>
      <c r="L404" s="60">
        <f t="shared" si="7"/>
        <v>-219.83035</v>
      </c>
      <c r="M404" s="61">
        <f>IFERROR(__xludf.DUMMYFUNCTION("IFS(AND(COUNTA(C404:C1350)=0,COUNTA(Q404:Q1350)=0),"""",OR(AND(K404&gt;=1000000000,OR(Y404&gt;=1000000000,COUNTA(Q404:Q1350)=0)),OR(Y404&gt;=1000000000,AND(COUNTA(C404:C1350)=0,P$3=TRUE))),
ROUNDDOWN((AB$1-AC$1)*MAX(INDEX(T$4:T1350,MATCH(LARGE(FILTER(Y$4:Y1350,Y$4"&amp;":Y1350&lt;1000000000),1),Y$4:Y1350)),INDEX(F$4:F1350,MATCH(LARGE(FILTER(K$4:K1350,K$4:K1350&lt;1000000000),1),K$4:K1350)))),AND(K404&lt;1000000000,COUNTA(C404:C1350)&gt;0,P$3=FALSE),
ROUNDDOWN(INDEX(Y$4:Y1350,MATCH(LARGE(FILTER(W$4:W1350,W$4:W1350&lt;=I404),1),W$4:W1350"&amp;"))+(I404-LARGE(FILTER(W$4:W1350,W$4:W1350&lt;=I404),1))*INDEX(T$4:T1350,MATCH(LARGE(FILTER(W$4:W1350,W$4:W1350&lt;=I404),1),W$4:W1350))-K404),1,
ROUNDDOWN(Y404-INDEX(K$4:K1350,MATCH(LARGE(FILTER(I$4:I1350,I$4:I1350&lt;=W404),1),I$4:I1350))-(W404-LARGE(FILTER(I$4:I"&amp;"1350,I$4:I1350&lt;=W404),1))*INDEX(F$4:F1350,MATCH(LARGE(FILTER(I$4:I1350,I$4:I1350&lt;=W404),1),I$4:I1350))))"),9.0246161E7)</f>
        <v>90246161</v>
      </c>
      <c r="N404" s="60">
        <f t="shared" si="8"/>
        <v>-219.83035</v>
      </c>
      <c r="O404" s="61" t="str">
        <f t="shared" si="9"/>
        <v>90,2M</v>
      </c>
      <c r="P404" s="56">
        <f t="shared" si="10"/>
        <v>14</v>
      </c>
      <c r="Q404" s="105" t="s">
        <v>9</v>
      </c>
      <c r="R404" s="10" t="b">
        <f>IFERROR(__xludf.DUMMYFUNCTION("IF(COUNTA(Q404:Q1350)=0,"""",IF(ISBLANK(Q404),FALSE,IF(NOT(COUNTIF($AA$24:$AA$34,SUBSTITUTE(Q404,""Sell_"",""""))),1,IF(REGEXMATCH(Q404,""Sell_""),IF(COUNTIF(Q$4:Q404,SUBSTITUTE(Q404,""Sell_"",""""))-COUNTIF(Q$4:Q403,Q404)&lt;1,1),FALSE))))"),FALSE)</f>
        <v>0</v>
      </c>
      <c r="S404" s="59">
        <f t="array" ref="S404">IF(COUNTA(Q404:Q1350)=0,"",SUM((COUNTIF(Q$4:Q404,Upgrades!$B$3:$B$13)-COUNTIF(Q$4:Q404,"Sell_"&amp;Upgrades!$B$3:$B$13))*Upgrades!$D$3:$D$13))</f>
        <v>424377.2</v>
      </c>
      <c r="T404" s="66">
        <f>IFERROR(__xludf.DUMMYFUNCTION("IF(COUNTA(Q404:Q1350)=0,"""",IF(REGEXMATCH(INDEX(FILTER(Q$4:Q404,Q$4:Q404&lt;&gt;""""),ROWS(FILTER(Q$4:Q404,Q$4:Q404&lt;&gt;""""))),""^Sell_""),INDEX(FILTER(T$4:T403,Q$4:Q403&lt;&gt;""""),ROWS(FILTER(Q$4:Q403,Q$4:Q403&lt;&gt;""""))),$AD$5+S404))"),424577.2)</f>
        <v>424577.2</v>
      </c>
      <c r="U404" s="10">
        <f>IFERROR(__xludf.DUMMYFUNCTION("IF(COUNTA(Q404:Q1350)=0,"""",IF(Q404="""",0,IF(REGEXMATCH(Q404,""^Sell_""),-ROUNDDOWN(ROUNDUP(INDEX(Upgrades!$C$3:$C$13,MATCH(SUBSTITUTE(Q404,""Sell_"",""""),Upgrades!$B$3:$B$13,0))*1.15^(COUNTIF(Q$4:Q403,SUBSTITUTE(Q404,""Sell_"",""""))-COUNTIF(Q$4:Q403,"&amp;"""Sell_""&amp;SUBSTITUTE(Q404,""Sell_"",""""))))/2),ROUNDUP(INDEX(Upgrades!$C$3:$C$13,MATCH(Q404,Upgrades!$B$3:$B$13,0))*1.15^(COUNTIF(Q$4:Q403,Q404)-COUNTIF(Q$4:Q403,""Sell_""&amp;Q404))))))"),1230558.0)</f>
        <v>1230558</v>
      </c>
      <c r="V404" s="10">
        <f t="shared" si="11"/>
        <v>1230558</v>
      </c>
      <c r="W404" s="68">
        <f t="shared" si="12"/>
        <v>5976.608778</v>
      </c>
      <c r="X404" s="59" t="str">
        <f t="shared" si="13"/>
        <v>1h 39m 36s</v>
      </c>
      <c r="Y404" s="69">
        <f t="shared" si="14"/>
        <v>619891820</v>
      </c>
      <c r="Z404" s="11"/>
    </row>
    <row r="405">
      <c r="A405" s="8"/>
      <c r="B405" s="56" t="str">
        <f t="shared" si="2"/>
        <v/>
      </c>
      <c r="C405" s="57"/>
      <c r="D405" s="10" t="str">
        <f>IFERROR(__xludf.DUMMYFUNCTION("IF(COUNTA(C405:C1350)=0,"""",IF(ISBLANK(C405),FALSE,IF(NOT(COUNTIF($AA$24:$AA$34,SUBSTITUTE(C405,""Sell_"",""""))),1,IF(REGEXMATCH(C405,""Sell_""),IF(COUNTIF(C$4:C405,SUBSTITUTE(C405,""Sell_"",""""))-COUNTIF(C$4:C404,C405)&lt;1,1),FALSE))))"),"")</f>
        <v/>
      </c>
      <c r="E405" s="59" t="str">
        <f t="array" ref="E405">IF(COUNTA(C405:C1350)=0,"",SUM((COUNTIF(C$4:C405,Upgrades!$B$3:$B$13)-COUNTIF(C$4:C405,"Sell_"&amp;Upgrades!$B$3:$B$13))*Upgrades!$D$3:$D$13))</f>
        <v/>
      </c>
      <c r="F405" s="66" t="str">
        <f>IFERROR(__xludf.DUMMYFUNCTION("IF(COUNTA(C405:C1350)=0,"""",IF(REGEXMATCH(INDEX(FILTER(C$4:C405,C$4:C405&lt;&gt;""""),ROWS(FILTER(C$4:C405,C$4:C405&lt;&gt;""""))),""^Sell_""),INDEX(FILTER(F$4:F404,C$4:C404&lt;&gt;""""),ROWS(FILTER(C$4:C404,C$4:C404&lt;&gt;""""))),$AC$5+E405))"),"")</f>
        <v/>
      </c>
      <c r="G405" s="10" t="str">
        <f>IFERROR(__xludf.DUMMYFUNCTION("IF(COUNTA(C405:C1350)=0,"""",IF(C405="""",0,IF(REGEXMATCH(C405,""^Sell_""),-ROUNDDOWN(ROUNDUP(INDEX(Upgrades!$C$3:$C$13,MATCH(SUBSTITUTE(C405,""Sell_"",""""),Upgrades!$B$3:$B$13,0))*1.15^(COUNTIF(C$4:C404,SUBSTITUTE(C405,""Sell_"",""""))-COUNTIF(C$4:C404,"&amp;"""Sell_""&amp;SUBSTITUTE(C405,""Sell_"",""""))))/2),ROUNDUP(INDEX(Upgrades!$C$3:$C$13,MATCH(C405,Upgrades!$B$3:$B$13,0))*1.15^(COUNTIF(C$4:C404,C405)-COUNTIF(C$4:C404,""Sell_""&amp;C405))))))"),"")</f>
        <v/>
      </c>
      <c r="H405" s="10" t="str">
        <f t="shared" si="3"/>
        <v/>
      </c>
      <c r="I405" s="68" t="str">
        <f t="shared" si="4"/>
        <v/>
      </c>
      <c r="J405" s="59" t="str">
        <f t="shared" si="5"/>
        <v/>
      </c>
      <c r="K405" s="69" t="str">
        <f t="shared" si="6"/>
        <v/>
      </c>
      <c r="L405" s="60">
        <f t="shared" si="7"/>
        <v>-219.84032</v>
      </c>
      <c r="M405" s="61">
        <f>IFERROR(__xludf.DUMMYFUNCTION("IFS(AND(COUNTA(C405:C1350)=0,COUNTA(Q405:Q1350)=0),"""",OR(AND(K405&gt;=1000000000,OR(Y405&gt;=1000000000,COUNTA(Q405:Q1350)=0)),OR(Y405&gt;=1000000000,AND(COUNTA(C405:C1350)=0,P$3=TRUE))),
ROUNDDOWN((AB$1-AC$1)*MAX(INDEX(T$4:T1350,MATCH(LARGE(FILTER(Y$4:Y1350,Y$4"&amp;":Y1350&lt;1000000000),1),Y$4:Y1350)),INDEX(F$4:F1350,MATCH(LARGE(FILTER(K$4:K1350,K$4:K1350&lt;1000000000),1),K$4:K1350)))),AND(K405&lt;1000000000,COUNTA(C405:C1350)&gt;0,P$3=FALSE),
ROUNDDOWN(INDEX(Y$4:Y1350,MATCH(LARGE(FILTER(W$4:W1350,W$4:W1350&lt;=I405),1),W$4:W1350"&amp;"))+(I405-LARGE(FILTER(W$4:W1350,W$4:W1350&lt;=I405),1))*INDEX(T$4:T1350,MATCH(LARGE(FILTER(W$4:W1350,W$4:W1350&lt;=I405),1),W$4:W1350))-K405),1,
ROUNDDOWN(Y405-INDEX(K$4:K1350,MATCH(LARGE(FILTER(I$4:I1350,I$4:I1350&lt;=W405),1),I$4:I1350))-(W405-LARGE(FILTER(I$4:I"&amp;"1350,I$4:I1350&lt;=W405),1))*INDEX(F$4:F1350,MATCH(LARGE(FILTER(I$4:I1350,I$4:I1350&lt;=W405),1),I$4:I1350))))"),9.0250372E7)</f>
        <v>90250372</v>
      </c>
      <c r="N405" s="60">
        <f t="shared" si="8"/>
        <v>-219.84032</v>
      </c>
      <c r="O405" s="61" t="str">
        <f t="shared" si="9"/>
        <v>90,3M</v>
      </c>
      <c r="P405" s="56">
        <f t="shared" si="10"/>
        <v>19</v>
      </c>
      <c r="Q405" s="105" t="s">
        <v>7</v>
      </c>
      <c r="R405" s="10" t="b">
        <f>IFERROR(__xludf.DUMMYFUNCTION("IF(COUNTA(Q405:Q1350)=0,"""",IF(ISBLANK(Q405),FALSE,IF(NOT(COUNTIF($AA$24:$AA$34,SUBSTITUTE(Q405,""Sell_"",""""))),1,IF(REGEXMATCH(Q405,""Sell_""),IF(COUNTIF(Q$4:Q405,SUBSTITUTE(Q405,""Sell_"",""""))-COUNTIF(Q$4:Q404,Q405)&lt;1,1),FALSE))))"),FALSE)</f>
        <v>0</v>
      </c>
      <c r="S405" s="59">
        <f t="array" ref="S405">IF(COUNTA(Q405:Q1350)=0,"",SUM((COUNTIF(Q$4:Q405,Upgrades!$B$3:$B$13)-COUNTIF(Q$4:Q405,"Sell_"&amp;Upgrades!$B$3:$B$13))*Upgrades!$D$3:$D$13))</f>
        <v>424417.2</v>
      </c>
      <c r="T405" s="66">
        <f>IFERROR(__xludf.DUMMYFUNCTION("IF(COUNTA(Q405:Q1350)=0,"""",IF(REGEXMATCH(INDEX(FILTER(Q$4:Q405,Q$4:Q405&lt;&gt;""""),ROWS(FILTER(Q$4:Q405,Q$4:Q405&lt;&gt;""""))),""^Sell_""),INDEX(FILTER(T$4:T404,Q$4:Q404&lt;&gt;""""),ROWS(FILTER(Q$4:Q404,Q$4:Q404&lt;&gt;""""))),$AD$5+S405))"),424617.2)</f>
        <v>424617.2</v>
      </c>
      <c r="U405" s="10">
        <f>IFERROR(__xludf.DUMMYFUNCTION("IF(COUNTA(Q405:Q1350)=0,"""",IF(Q405="""",0,IF(REGEXMATCH(Q405,""^Sell_""),-ROUNDDOWN(ROUNDUP(INDEX(Upgrades!$C$3:$C$13,MATCH(SUBSTITUTE(Q405,""Sell_"",""""),Upgrades!$B$3:$B$13,0))*1.15^(COUNTIF(Q$4:Q404,SUBSTITUTE(Q405,""Sell_"",""""))-COUNTIF(Q$4:Q404,"&amp;"""Sell_""&amp;SUBSTITUTE(Q405,""Sell_"",""""))))/2),ROUNDUP(INDEX(Upgrades!$C$3:$C$13,MATCH(Q405,Upgrades!$B$3:$B$13,0))*1.15^(COUNTIF(Q$4:Q404,Q405)-COUNTIF(Q$4:Q404,""Sell_""&amp;Q405))))))"),123755.0)</f>
        <v>123755</v>
      </c>
      <c r="V405" s="10">
        <f t="shared" si="11"/>
        <v>123755</v>
      </c>
      <c r="W405" s="68">
        <f t="shared" si="12"/>
        <v>5976.900256</v>
      </c>
      <c r="X405" s="59" t="str">
        <f t="shared" si="13"/>
        <v>1h 39m 36s</v>
      </c>
      <c r="Y405" s="69">
        <f t="shared" si="14"/>
        <v>620015575</v>
      </c>
      <c r="Z405" s="11"/>
    </row>
    <row r="406">
      <c r="A406" s="8"/>
      <c r="B406" s="56" t="str">
        <f t="shared" si="2"/>
        <v/>
      </c>
      <c r="C406" s="57"/>
      <c r="D406" s="10" t="str">
        <f>IFERROR(__xludf.DUMMYFUNCTION("IF(COUNTA(C406:C1350)=0,"""",IF(ISBLANK(C406),FALSE,IF(NOT(COUNTIF($AA$24:$AA$34,SUBSTITUTE(C406,""Sell_"",""""))),1,IF(REGEXMATCH(C406,""Sell_""),IF(COUNTIF(C$4:C406,SUBSTITUTE(C406,""Sell_"",""""))-COUNTIF(C$4:C405,C406)&lt;1,1),FALSE))))"),"")</f>
        <v/>
      </c>
      <c r="E406" s="59" t="str">
        <f t="array" ref="E406">IF(COUNTA(C406:C1350)=0,"",SUM((COUNTIF(C$4:C406,Upgrades!$B$3:$B$13)-COUNTIF(C$4:C406,"Sell_"&amp;Upgrades!$B$3:$B$13))*Upgrades!$D$3:$D$13))</f>
        <v/>
      </c>
      <c r="F406" s="66" t="str">
        <f>IFERROR(__xludf.DUMMYFUNCTION("IF(COUNTA(C406:C1350)=0,"""",IF(REGEXMATCH(INDEX(FILTER(C$4:C406,C$4:C406&lt;&gt;""""),ROWS(FILTER(C$4:C406,C$4:C406&lt;&gt;""""))),""^Sell_""),INDEX(FILTER(F$4:F405,C$4:C405&lt;&gt;""""),ROWS(FILTER(C$4:C405,C$4:C405&lt;&gt;""""))),$AC$5+E406))"),"")</f>
        <v/>
      </c>
      <c r="G406" s="10" t="str">
        <f>IFERROR(__xludf.DUMMYFUNCTION("IF(COUNTA(C406:C1350)=0,"""",IF(C406="""",0,IF(REGEXMATCH(C406,""^Sell_""),-ROUNDDOWN(ROUNDUP(INDEX(Upgrades!$C$3:$C$13,MATCH(SUBSTITUTE(C406,""Sell_"",""""),Upgrades!$B$3:$B$13,0))*1.15^(COUNTIF(C$4:C405,SUBSTITUTE(C406,""Sell_"",""""))-COUNTIF(C$4:C405,"&amp;"""Sell_""&amp;SUBSTITUTE(C406,""Sell_"",""""))))/2),ROUNDUP(INDEX(Upgrades!$C$3:$C$13,MATCH(C406,Upgrades!$B$3:$B$13,0))*1.15^(COUNTIF(C$4:C405,C406)-COUNTIF(C$4:C405,""Sell_""&amp;C406))))))"),"")</f>
        <v/>
      </c>
      <c r="H406" s="10" t="str">
        <f t="shared" si="3"/>
        <v/>
      </c>
      <c r="I406" s="68" t="str">
        <f t="shared" si="4"/>
        <v/>
      </c>
      <c r="J406" s="59" t="str">
        <f t="shared" si="5"/>
        <v/>
      </c>
      <c r="K406" s="69" t="str">
        <f t="shared" si="6"/>
        <v/>
      </c>
      <c r="L406" s="60">
        <f t="shared" si="7"/>
        <v>-219.84133</v>
      </c>
      <c r="M406" s="61">
        <f>IFERROR(__xludf.DUMMYFUNCTION("IFS(AND(COUNTA(C406:C1350)=0,COUNTA(Q406:Q1350)=0),"""",OR(AND(K406&gt;=1000000000,OR(Y406&gt;=1000000000,COUNTA(Q406:Q1350)=0)),OR(Y406&gt;=1000000000,AND(COUNTA(C406:C1350)=0,P$3=TRUE))),
ROUNDDOWN((AB$1-AC$1)*MAX(INDEX(T$4:T1350,MATCH(LARGE(FILTER(Y$4:Y1350,Y$4"&amp;":Y1350&lt;1000000000),1),Y$4:Y1350)),INDEX(F$4:F1350,MATCH(LARGE(FILTER(K$4:K1350,K$4:K1350&lt;1000000000),1),K$4:K1350)))),AND(K406&lt;1000000000,COUNTA(C406:C1350)&gt;0,P$3=FALSE),
ROUNDDOWN(INDEX(Y$4:Y1350,MATCH(LARGE(FILTER(W$4:W1350,W$4:W1350&lt;=I406),1),W$4:W1350"&amp;"))+(I406-LARGE(FILTER(W$4:W1350,W$4:W1350&lt;=I406),1))*INDEX(T$4:T1350,MATCH(LARGE(FILTER(W$4:W1350,W$4:W1350&lt;=I406),1),W$4:W1350))-K406),1,
ROUNDDOWN(Y406-INDEX(K$4:K1350,MATCH(LARGE(FILTER(I$4:I1350,I$4:I1350&lt;=W406),1),I$4:I1350))-(W406-LARGE(FILTER(I$4:I"&amp;"1350,I$4:I1350&lt;=W406),1))*INDEX(F$4:F1350,MATCH(LARGE(FILTER(I$4:I1350,I$4:I1350&lt;=W406),1),I$4:I1350))))"),9.0250797E7)</f>
        <v>90250797</v>
      </c>
      <c r="N406" s="60">
        <f t="shared" si="8"/>
        <v>-219.84133</v>
      </c>
      <c r="O406" s="61" t="str">
        <f t="shared" si="9"/>
        <v>90,3M</v>
      </c>
      <c r="P406" s="56">
        <f t="shared" si="10"/>
        <v>24</v>
      </c>
      <c r="Q406" s="105" t="s">
        <v>5</v>
      </c>
      <c r="R406" s="10" t="b">
        <f>IFERROR(__xludf.DUMMYFUNCTION("IF(COUNTA(Q406:Q1350)=0,"""",IF(ISBLANK(Q406),FALSE,IF(NOT(COUNTIF($AA$24:$AA$34,SUBSTITUTE(Q406,""Sell_"",""""))),1,IF(REGEXMATCH(Q406,""Sell_""),IF(COUNTIF(Q$4:Q406,SUBSTITUTE(Q406,""Sell_"",""""))-COUNTIF(Q$4:Q405,Q406)&lt;1,1),FALSE))))"),FALSE)</f>
        <v>0</v>
      </c>
      <c r="S406" s="59">
        <f t="array" ref="S406">IF(COUNTA(Q406:Q1350)=0,"",SUM((COUNTIF(Q$4:Q406,Upgrades!$B$3:$B$13)-COUNTIF(Q$4:Q406,"Sell_"&amp;Upgrades!$B$3:$B$13))*Upgrades!$D$3:$D$13))</f>
        <v>424421.2</v>
      </c>
      <c r="T406" s="66">
        <f>IFERROR(__xludf.DUMMYFUNCTION("IF(COUNTA(Q406:Q1350)=0,"""",IF(REGEXMATCH(INDEX(FILTER(Q$4:Q406,Q$4:Q406&lt;&gt;""""),ROWS(FILTER(Q$4:Q406,Q$4:Q406&lt;&gt;""""))),""^Sell_""),INDEX(FILTER(T$4:T405,Q$4:Q405&lt;&gt;""""),ROWS(FILTER(Q$4:Q405,Q$4:Q405&lt;&gt;""""))),$AD$5+S406))"),424621.2)</f>
        <v>424621.2</v>
      </c>
      <c r="U406" s="10">
        <f>IFERROR(__xludf.DUMMYFUNCTION("IF(COUNTA(Q406:Q1350)=0,"""",IF(Q406="""",0,IF(REGEXMATCH(Q406,""^Sell_""),-ROUNDDOWN(ROUNDUP(INDEX(Upgrades!$C$3:$C$13,MATCH(SUBSTITUTE(Q406,""Sell_"",""""),Upgrades!$B$3:$B$13,0))*1.15^(COUNTIF(Q$4:Q405,SUBSTITUTE(Q406,""Sell_"",""""))-COUNTIF(Q$4:Q405,"&amp;"""Sell_""&amp;SUBSTITUTE(Q406,""Sell_"",""""))))/2),ROUNDUP(INDEX(Upgrades!$C$3:$C$13,MATCH(Q406,Upgrades!$B$3:$B$13,0))*1.15^(COUNTIF(Q$4:Q405,Q406)-COUNTIF(Q$4:Q405,""Sell_""&amp;Q406))))))"),12446.0)</f>
        <v>12446</v>
      </c>
      <c r="V406" s="10">
        <f t="shared" si="11"/>
        <v>12446</v>
      </c>
      <c r="W406" s="68">
        <f t="shared" si="12"/>
        <v>5976.929567</v>
      </c>
      <c r="X406" s="59" t="str">
        <f t="shared" si="13"/>
        <v>1h 39m 36s</v>
      </c>
      <c r="Y406" s="69">
        <f t="shared" si="14"/>
        <v>620028021</v>
      </c>
      <c r="Z406" s="11"/>
    </row>
    <row r="407">
      <c r="A407" s="8"/>
      <c r="B407" s="56" t="str">
        <f t="shared" si="2"/>
        <v/>
      </c>
      <c r="C407" s="57"/>
      <c r="D407" s="10" t="str">
        <f>IFERROR(__xludf.DUMMYFUNCTION("IF(COUNTA(C407:C1350)=0,"""",IF(ISBLANK(C407),FALSE,IF(NOT(COUNTIF($AA$24:$AA$34,SUBSTITUTE(C407,""Sell_"",""""))),1,IF(REGEXMATCH(C407,""Sell_""),IF(COUNTIF(C$4:C407,SUBSTITUTE(C407,""Sell_"",""""))-COUNTIF(C$4:C406,C407)&lt;1,1),FALSE))))"),"")</f>
        <v/>
      </c>
      <c r="E407" s="59" t="str">
        <f t="array" ref="E407">IF(COUNTA(C407:C1350)=0,"",SUM((COUNTIF(C$4:C407,Upgrades!$B$3:$B$13)-COUNTIF(C$4:C407,"Sell_"&amp;Upgrades!$B$3:$B$13))*Upgrades!$D$3:$D$13))</f>
        <v/>
      </c>
      <c r="F407" s="66" t="str">
        <f>IFERROR(__xludf.DUMMYFUNCTION("IF(COUNTA(C407:C1350)=0,"""",IF(REGEXMATCH(INDEX(FILTER(C$4:C407,C$4:C407&lt;&gt;""""),ROWS(FILTER(C$4:C407,C$4:C407&lt;&gt;""""))),""^Sell_""),INDEX(FILTER(F$4:F406,C$4:C406&lt;&gt;""""),ROWS(FILTER(C$4:C406,C$4:C406&lt;&gt;""""))),$AC$5+E407))"),"")</f>
        <v/>
      </c>
      <c r="G407" s="10" t="str">
        <f>IFERROR(__xludf.DUMMYFUNCTION("IF(COUNTA(C407:C1350)=0,"""",IF(C407="""",0,IF(REGEXMATCH(C407,""^Sell_""),-ROUNDDOWN(ROUNDUP(INDEX(Upgrades!$C$3:$C$13,MATCH(SUBSTITUTE(C407,""Sell_"",""""),Upgrades!$B$3:$B$13,0))*1.15^(COUNTIF(C$4:C406,SUBSTITUTE(C407,""Sell_"",""""))-COUNTIF(C$4:C406,"&amp;"""Sell_""&amp;SUBSTITUTE(C407,""Sell_"",""""))))/2),ROUNDUP(INDEX(Upgrades!$C$3:$C$13,MATCH(C407,Upgrades!$B$3:$B$13,0))*1.15^(COUNTIF(C$4:C406,C407)-COUNTIF(C$4:C406,""Sell_""&amp;C407))))))"),"")</f>
        <v/>
      </c>
      <c r="H407" s="10" t="str">
        <f t="shared" si="3"/>
        <v/>
      </c>
      <c r="I407" s="68" t="str">
        <f t="shared" si="4"/>
        <v/>
      </c>
      <c r="J407" s="59" t="str">
        <f t="shared" si="5"/>
        <v/>
      </c>
      <c r="K407" s="69" t="str">
        <f t="shared" si="6"/>
        <v/>
      </c>
      <c r="L407" s="60">
        <f t="shared" si="7"/>
        <v>-221.50856</v>
      </c>
      <c r="M407" s="61">
        <f>IFERROR(__xludf.DUMMYFUNCTION("IFS(AND(COUNTA(C407:C1350)=0,COUNTA(Q407:Q1350)=0),"""",OR(AND(K407&gt;=1000000000,OR(Y407&gt;=1000000000,COUNTA(Q407:Q1350)=0)),OR(Y407&gt;=1000000000,AND(COUNTA(C407:C1350)=0,P$3=TRUE))),
ROUNDDOWN((AB$1-AC$1)*MAX(INDEX(T$4:T1350,MATCH(LARGE(FILTER(Y$4:Y1350,Y$4"&amp;":Y1350&lt;1000000000),1),Y$4:Y1350)),INDEX(F$4:F1350,MATCH(LARGE(FILTER(K$4:K1350,K$4:K1350&lt;1000000000),1),K$4:K1350)))),AND(K407&lt;1000000000,COUNTA(C407:C1350)&gt;0,P$3=FALSE),
ROUNDDOWN(INDEX(Y$4:Y1350,MATCH(LARGE(FILTER(W$4:W1350,W$4:W1350&lt;=I407),1),W$4:W1350"&amp;"))+(I407-LARGE(FILTER(W$4:W1350,W$4:W1350&lt;=I407),1))*INDEX(T$4:T1350,MATCH(LARGE(FILTER(W$4:W1350,W$4:W1350&lt;=I407),1),W$4:W1350))-K407),1,
ROUNDDOWN(Y407-INDEX(K$4:K1350,MATCH(LARGE(FILTER(I$4:I1350,I$4:I1350&lt;=W407),1),I$4:I1350))-(W407-LARGE(FILTER(I$4:I"&amp;"1350,I$4:I1350&lt;=W407),1))*INDEX(F$4:F1350,MATCH(LARGE(FILTER(I$4:I1350,I$4:I1350&lt;=W407),1),I$4:I1350))))"),9.093602E7)</f>
        <v>90936020</v>
      </c>
      <c r="N407" s="60">
        <f t="shared" si="8"/>
        <v>-221.50856</v>
      </c>
      <c r="O407" s="61" t="str">
        <f t="shared" si="9"/>
        <v>90,9M</v>
      </c>
      <c r="P407" s="56">
        <f t="shared" si="10"/>
        <v>19</v>
      </c>
      <c r="Q407" s="105" t="s">
        <v>10</v>
      </c>
      <c r="R407" s="10" t="b">
        <f>IFERROR(__xludf.DUMMYFUNCTION("IF(COUNTA(Q407:Q1350)=0,"""",IF(ISBLANK(Q407),FALSE,IF(NOT(COUNTIF($AA$24:$AA$34,SUBSTITUTE(Q407,""Sell_"",""""))),1,IF(REGEXMATCH(Q407,""Sell_""),IF(COUNTIF(Q$4:Q407,SUBSTITUTE(Q407,""Sell_"",""""))-COUNTIF(Q$4:Q406,Q407)&lt;1,1),FALSE))))"),FALSE)</f>
        <v>0</v>
      </c>
      <c r="S407" s="59">
        <f t="array" ref="S407">IF(COUNTA(Q407:Q1350)=0,"",SUM((COUNTIF(Q$4:Q407,Upgrades!$B$3:$B$13)-COUNTIF(Q$4:Q407,"Sell_"&amp;Upgrades!$B$3:$B$13))*Upgrades!$D$3:$D$13))</f>
        <v>431087.2</v>
      </c>
      <c r="T407" s="66">
        <f>IFERROR(__xludf.DUMMYFUNCTION("IF(COUNTA(Q407:Q1350)=0,"""",IF(REGEXMATCH(INDEX(FILTER(Q$4:Q407,Q$4:Q407&lt;&gt;""""),ROWS(FILTER(Q$4:Q407,Q$4:Q407&lt;&gt;""""))),""^Sell_""),INDEX(FILTER(T$4:T406,Q$4:Q406&lt;&gt;""""),ROWS(FILTER(Q$4:Q406,Q$4:Q406&lt;&gt;""""))),$AD$5+S407))"),431287.2)</f>
        <v>431287.2</v>
      </c>
      <c r="U407" s="10">
        <f>IFERROR(__xludf.DUMMYFUNCTION("IF(COUNTA(Q407:Q1350)=0,"""",IF(Q407="""",0,IF(REGEXMATCH(Q407,""^Sell_""),-ROUNDDOWN(ROUNDUP(INDEX(Upgrades!$C$3:$C$13,MATCH(SUBSTITUTE(Q407,""Sell_"",""""),Upgrades!$B$3:$B$13,0))*1.15^(COUNTIF(Q$4:Q406,SUBSTITUTE(Q407,""Sell_"",""""))-COUNTIF(Q$4:Q406,"&amp;"""Sell_""&amp;SUBSTITUTE(Q407,""Sell_"",""""))))/2),ROUNDUP(INDEX(Upgrades!$C$3:$C$13,MATCH(Q407,Upgrades!$B$3:$B$13,0))*1.15^(COUNTIF(Q$4:Q406,Q407)-COUNTIF(Q$4:Q406,""Sell_""&amp;Q407))))))"),2.0625748E7)</f>
        <v>20625748</v>
      </c>
      <c r="V407" s="10">
        <f t="shared" si="11"/>
        <v>20625748</v>
      </c>
      <c r="W407" s="68">
        <f t="shared" si="12"/>
        <v>6025.504033</v>
      </c>
      <c r="X407" s="59" t="str">
        <f t="shared" si="13"/>
        <v>1h 40m 25s</v>
      </c>
      <c r="Y407" s="69">
        <f t="shared" si="14"/>
        <v>640653769</v>
      </c>
      <c r="Z407" s="11"/>
    </row>
    <row r="408">
      <c r="A408" s="8"/>
      <c r="B408" s="56" t="str">
        <f t="shared" si="2"/>
        <v/>
      </c>
      <c r="C408" s="57"/>
      <c r="D408" s="10" t="str">
        <f>IFERROR(__xludf.DUMMYFUNCTION("IF(COUNTA(C408:C1350)=0,"""",IF(ISBLANK(C408),FALSE,IF(NOT(COUNTIF($AA$24:$AA$34,SUBSTITUTE(C408,""Sell_"",""""))),1,IF(REGEXMATCH(C408,""Sell_""),IF(COUNTIF(C$4:C408,SUBSTITUTE(C408,""Sell_"",""""))-COUNTIF(C$4:C407,C408)&lt;1,1),FALSE))))"),"")</f>
        <v/>
      </c>
      <c r="E408" s="59" t="str">
        <f t="array" ref="E408">IF(COUNTA(C408:C1350)=0,"",SUM((COUNTIF(C$4:C408,Upgrades!$B$3:$B$13)-COUNTIF(C$4:C408,"Sell_"&amp;Upgrades!$B$3:$B$13))*Upgrades!$D$3:$D$13))</f>
        <v/>
      </c>
      <c r="F408" s="66" t="str">
        <f>IFERROR(__xludf.DUMMYFUNCTION("IF(COUNTA(C408:C1350)=0,"""",IF(REGEXMATCH(INDEX(FILTER(C$4:C408,C$4:C408&lt;&gt;""""),ROWS(FILTER(C$4:C408,C$4:C408&lt;&gt;""""))),""^Sell_""),INDEX(FILTER(F$4:F407,C$4:C407&lt;&gt;""""),ROWS(FILTER(C$4:C407,C$4:C407&lt;&gt;""""))),$AC$5+E408))"),"")</f>
        <v/>
      </c>
      <c r="G408" s="10" t="str">
        <f>IFERROR(__xludf.DUMMYFUNCTION("IF(COUNTA(C408:C1350)=0,"""",IF(C408="""",0,IF(REGEXMATCH(C408,""^Sell_""),-ROUNDDOWN(ROUNDUP(INDEX(Upgrades!$C$3:$C$13,MATCH(SUBSTITUTE(C408,""Sell_"",""""),Upgrades!$B$3:$B$13,0))*1.15^(COUNTIF(C$4:C407,SUBSTITUTE(C408,""Sell_"",""""))-COUNTIF(C$4:C407,"&amp;"""Sell_""&amp;SUBSTITUTE(C408,""Sell_"",""""))))/2),ROUNDUP(INDEX(Upgrades!$C$3:$C$13,MATCH(C408,Upgrades!$B$3:$B$13,0))*1.15^(COUNTIF(C$4:C407,C408)-COUNTIF(C$4:C407,""Sell_""&amp;C408))))))"),"")</f>
        <v/>
      </c>
      <c r="H408" s="10" t="str">
        <f t="shared" si="3"/>
        <v/>
      </c>
      <c r="I408" s="68" t="str">
        <f t="shared" si="4"/>
        <v/>
      </c>
      <c r="J408" s="59" t="str">
        <f t="shared" si="5"/>
        <v/>
      </c>
      <c r="K408" s="69" t="str">
        <f t="shared" si="6"/>
        <v/>
      </c>
      <c r="L408" s="60">
        <f t="shared" si="7"/>
        <v>-221.51234</v>
      </c>
      <c r="M408" s="61">
        <f>IFERROR(__xludf.DUMMYFUNCTION("IFS(AND(COUNTA(C408:C1350)=0,COUNTA(Q408:Q1350)=0),"""",OR(AND(K408&gt;=1000000000,OR(Y408&gt;=1000000000,COUNTA(Q408:Q1350)=0)),OR(Y408&gt;=1000000000,AND(COUNTA(C408:C1350)=0,P$3=TRUE))),
ROUNDDOWN((AB$1-AC$1)*MAX(INDEX(T$4:T1350,MATCH(LARGE(FILTER(Y$4:Y1350,Y$4"&amp;":Y1350&lt;1000000000),1),Y$4:Y1350)),INDEX(F$4:F1350,MATCH(LARGE(FILTER(K$4:K1350,K$4:K1350&lt;1000000000),1),K$4:K1350)))),AND(K408&lt;1000000000,COUNTA(C408:C1350)&gt;0,P$3=FALSE),
ROUNDDOWN(INDEX(Y$4:Y1350,MATCH(LARGE(FILTER(W$4:W1350,W$4:W1350&lt;=I408),1),W$4:W1350"&amp;"))+(I408-LARGE(FILTER(W$4:W1350,W$4:W1350&lt;=I408),1))*INDEX(T$4:T1350,MATCH(LARGE(FILTER(W$4:W1350,W$4:W1350&lt;=I408),1),W$4:W1350))-K408),1,
ROUNDDOWN(Y408-INDEX(K$4:K1350,MATCH(LARGE(FILTER(I$4:I1350,I$4:I1350&lt;=W408),1),I$4:I1350))-(W408-LARGE(FILTER(I$4:I"&amp;"1350,I$4:I1350&lt;=W408),1))*INDEX(F$4:F1350,MATCH(LARGE(FILTER(I$4:I1350,I$4:I1350&lt;=W408),1),I$4:I1350))))"),9.0937574E7)</f>
        <v>90937574</v>
      </c>
      <c r="N408" s="60">
        <f t="shared" si="8"/>
        <v>-221.51234</v>
      </c>
      <c r="O408" s="61" t="str">
        <f t="shared" si="9"/>
        <v>90,9M</v>
      </c>
      <c r="P408" s="56">
        <f t="shared" si="10"/>
        <v>18</v>
      </c>
      <c r="Q408" s="105" t="s">
        <v>6</v>
      </c>
      <c r="R408" s="10" t="b">
        <f>IFERROR(__xludf.DUMMYFUNCTION("IF(COUNTA(Q408:Q1350)=0,"""",IF(ISBLANK(Q408),FALSE,IF(NOT(COUNTIF($AA$24:$AA$34,SUBSTITUTE(Q408,""Sell_"",""""))),1,IF(REGEXMATCH(Q408,""Sell_""),IF(COUNTIF(Q$4:Q408,SUBSTITUTE(Q408,""Sell_"",""""))-COUNTIF(Q$4:Q407,Q408)&lt;1,1),FALSE))))"),FALSE)</f>
        <v>0</v>
      </c>
      <c r="S408" s="59">
        <f t="array" ref="S408">IF(COUNTA(Q408:Q1350)=0,"",SUM((COUNTIF(Q$4:Q408,Upgrades!$B$3:$B$13)-COUNTIF(Q$4:Q408,"Sell_"&amp;Upgrades!$B$3:$B$13))*Upgrades!$D$3:$D$13))</f>
        <v>431097.2</v>
      </c>
      <c r="T408" s="66">
        <f>IFERROR(__xludf.DUMMYFUNCTION("IF(COUNTA(Q408:Q1350)=0,"""",IF(REGEXMATCH(INDEX(FILTER(Q$4:Q408,Q$4:Q408&lt;&gt;""""),ROWS(FILTER(Q$4:Q408,Q$4:Q408&lt;&gt;""""))),""^Sell_""),INDEX(FILTER(T$4:T407,Q$4:Q407&lt;&gt;""""),ROWS(FILTER(Q$4:Q407,Q$4:Q407&lt;&gt;""""))),$AD$5+S408))"),431297.2)</f>
        <v>431297.2</v>
      </c>
      <c r="U408" s="10">
        <f>IFERROR(__xludf.DUMMYFUNCTION("IF(COUNTA(Q408:Q1350)=0,"""",IF(Q408="""",0,IF(REGEXMATCH(Q408,""^Sell_""),-ROUNDDOWN(ROUNDUP(INDEX(Upgrades!$C$3:$C$13,MATCH(SUBSTITUTE(Q408,""Sell_"",""""),Upgrades!$B$3:$B$13,0))*1.15^(COUNTIF(Q$4:Q407,SUBSTITUTE(Q408,""Sell_"",""""))-COUNTIF(Q$4:Q407,"&amp;"""Sell_""&amp;SUBSTITUTE(Q408,""Sell_"",""""))))/2),ROUNDUP(INDEX(Upgrades!$C$3:$C$13,MATCH(Q408,Upgrades!$B$3:$B$13,0))*1.15^(COUNTIF(Q$4:Q407,Q408)-COUNTIF(Q$4:Q407,""Sell_""&amp;Q408))))))"),32284.0)</f>
        <v>32284</v>
      </c>
      <c r="V408" s="10">
        <f t="shared" si="11"/>
        <v>32284</v>
      </c>
      <c r="W408" s="68">
        <f t="shared" si="12"/>
        <v>6025.578888</v>
      </c>
      <c r="X408" s="59" t="str">
        <f t="shared" si="13"/>
        <v>1h 40m 25s</v>
      </c>
      <c r="Y408" s="69">
        <f t="shared" si="14"/>
        <v>640686053</v>
      </c>
      <c r="Z408" s="11"/>
    </row>
    <row r="409">
      <c r="A409" s="8"/>
      <c r="B409" s="56" t="str">
        <f t="shared" si="2"/>
        <v/>
      </c>
      <c r="C409" s="57"/>
      <c r="D409" s="10" t="str">
        <f>IFERROR(__xludf.DUMMYFUNCTION("IF(COUNTA(C409:C1350)=0,"""",IF(ISBLANK(C409),FALSE,IF(NOT(COUNTIF($AA$24:$AA$34,SUBSTITUTE(C409,""Sell_"",""""))),1,IF(REGEXMATCH(C409,""Sell_""),IF(COUNTIF(C$4:C409,SUBSTITUTE(C409,""Sell_"",""""))-COUNTIF(C$4:C408,C409)&lt;1,1),FALSE))))"),"")</f>
        <v/>
      </c>
      <c r="E409" s="59" t="str">
        <f t="array" ref="E409">IF(COUNTA(C409:C1350)=0,"",SUM((COUNTIF(C$4:C409,Upgrades!$B$3:$B$13)-COUNTIF(C$4:C409,"Sell_"&amp;Upgrades!$B$3:$B$13))*Upgrades!$D$3:$D$13))</f>
        <v/>
      </c>
      <c r="F409" s="66" t="str">
        <f>IFERROR(__xludf.DUMMYFUNCTION("IF(COUNTA(C409:C1350)=0,"""",IF(REGEXMATCH(INDEX(FILTER(C$4:C409,C$4:C409&lt;&gt;""""),ROWS(FILTER(C$4:C409,C$4:C409&lt;&gt;""""))),""^Sell_""),INDEX(FILTER(F$4:F408,C$4:C408&lt;&gt;""""),ROWS(FILTER(C$4:C408,C$4:C408&lt;&gt;""""))),$AC$5+E409))"),"")</f>
        <v/>
      </c>
      <c r="G409" s="10" t="str">
        <f>IFERROR(__xludf.DUMMYFUNCTION("IF(COUNTA(C409:C1350)=0,"""",IF(C409="""",0,IF(REGEXMATCH(C409,""^Sell_""),-ROUNDDOWN(ROUNDUP(INDEX(Upgrades!$C$3:$C$13,MATCH(SUBSTITUTE(C409,""Sell_"",""""),Upgrades!$B$3:$B$13,0))*1.15^(COUNTIF(C$4:C408,SUBSTITUTE(C409,""Sell_"",""""))-COUNTIF(C$4:C408,"&amp;"""Sell_""&amp;SUBSTITUTE(C409,""Sell_"",""""))))/2),ROUNDUP(INDEX(Upgrades!$C$3:$C$13,MATCH(C409,Upgrades!$B$3:$B$13,0))*1.15^(COUNTIF(C$4:C408,C409)-COUNTIF(C$4:C408,""Sell_""&amp;C409))))))"),"")</f>
        <v/>
      </c>
      <c r="H409" s="10" t="str">
        <f t="shared" si="3"/>
        <v/>
      </c>
      <c r="I409" s="68" t="str">
        <f t="shared" si="4"/>
        <v/>
      </c>
      <c r="J409" s="59" t="str">
        <f t="shared" si="5"/>
        <v/>
      </c>
      <c r="K409" s="69" t="str">
        <f t="shared" si="6"/>
        <v/>
      </c>
      <c r="L409" s="60">
        <f t="shared" si="7"/>
        <v>-221.51238</v>
      </c>
      <c r="M409" s="61">
        <f>IFERROR(__xludf.DUMMYFUNCTION("IFS(AND(COUNTA(C409:C1350)=0,COUNTA(Q409:Q1350)=0),"""",OR(AND(K409&gt;=1000000000,OR(Y409&gt;=1000000000,COUNTA(Q409:Q1350)=0)),OR(Y409&gt;=1000000000,AND(COUNTA(C409:C1350)=0,P$3=TRUE))),
ROUNDDOWN((AB$1-AC$1)*MAX(INDEX(T$4:T1350,MATCH(LARGE(FILTER(Y$4:Y1350,Y$4"&amp;":Y1350&lt;1000000000),1),Y$4:Y1350)),INDEX(F$4:F1350,MATCH(LARGE(FILTER(K$4:K1350,K$4:K1350&lt;1000000000),1),K$4:K1350)))),AND(K409&lt;1000000000,COUNTA(C409:C1350)&gt;0,P$3=FALSE),
ROUNDDOWN(INDEX(Y$4:Y1350,MATCH(LARGE(FILTER(W$4:W1350,W$4:W1350&lt;=I409),1),W$4:W1350"&amp;"))+(I409-LARGE(FILTER(W$4:W1350,W$4:W1350&lt;=I409),1))*INDEX(T$4:T1350,MATCH(LARGE(FILTER(W$4:W1350,W$4:W1350&lt;=I409),1),W$4:W1350))-K409),1,
ROUNDDOWN(Y409-INDEX(K$4:K1350,MATCH(LARGE(FILTER(I$4:I1350,I$4:I1350&lt;=W409),1),I$4:I1350))-(W409-LARGE(FILTER(I$4:I"&amp;"1350,I$4:I1350&lt;=W409),1))*INDEX(F$4:F1350,MATCH(LARGE(FILTER(I$4:I1350,I$4:I1350&lt;=W409),1),I$4:I1350))))"),9.093759E7)</f>
        <v>90937590</v>
      </c>
      <c r="N409" s="60">
        <f t="shared" si="8"/>
        <v>-221.51238</v>
      </c>
      <c r="O409" s="61" t="str">
        <f t="shared" si="9"/>
        <v>90,9M</v>
      </c>
      <c r="P409" s="56">
        <f t="shared" si="10"/>
        <v>23</v>
      </c>
      <c r="Q409" s="105" t="s">
        <v>3</v>
      </c>
      <c r="R409" s="10" t="b">
        <f>IFERROR(__xludf.DUMMYFUNCTION("IF(COUNTA(Q409:Q1350)=0,"""",IF(ISBLANK(Q409),FALSE,IF(NOT(COUNTIF($AA$24:$AA$34,SUBSTITUTE(Q409,""Sell_"",""""))),1,IF(REGEXMATCH(Q409,""Sell_""),IF(COUNTIF(Q$4:Q409,SUBSTITUTE(Q409,""Sell_"",""""))-COUNTIF(Q$4:Q408,Q409)&lt;1,1),FALSE))))"),FALSE)</f>
        <v>0</v>
      </c>
      <c r="S409" s="59">
        <f t="array" ref="S409">IF(COUNTA(Q409:Q1350)=0,"",SUM((COUNTIF(Q$4:Q409,Upgrades!$B$3:$B$13)-COUNTIF(Q$4:Q409,"Sell_"&amp;Upgrades!$B$3:$B$13))*Upgrades!$D$3:$D$13))</f>
        <v>431097.3</v>
      </c>
      <c r="T409" s="66">
        <f>IFERROR(__xludf.DUMMYFUNCTION("IF(COUNTA(Q409:Q1350)=0,"""",IF(REGEXMATCH(INDEX(FILTER(Q$4:Q409,Q$4:Q409&lt;&gt;""""),ROWS(FILTER(Q$4:Q409,Q$4:Q409&lt;&gt;""""))),""^Sell_""),INDEX(FILTER(T$4:T408,Q$4:Q408&lt;&gt;""""),ROWS(FILTER(Q$4:Q408,Q$4:Q408&lt;&gt;""""))),$AD$5+S409))"),431297.3)</f>
        <v>431297.3</v>
      </c>
      <c r="U409" s="10">
        <f>IFERROR(__xludf.DUMMYFUNCTION("IF(COUNTA(Q409:Q1350)=0,"""",IF(Q409="""",0,IF(REGEXMATCH(Q409,""^Sell_""),-ROUNDDOWN(ROUNDUP(INDEX(Upgrades!$C$3:$C$13,MATCH(SUBSTITUTE(Q409,""Sell_"",""""),Upgrades!$B$3:$B$13,0))*1.15^(COUNTIF(Q$4:Q408,SUBSTITUTE(Q409,""Sell_"",""""))-COUNTIF(Q$4:Q408,"&amp;"""Sell_""&amp;SUBSTITUTE(Q409,""Sell_"",""""))))/2),ROUNDUP(INDEX(Upgrades!$C$3:$C$13,MATCH(Q409,Upgrades!$B$3:$B$13,0))*1.15^(COUNTIF(Q$4:Q408,Q409)-COUNTIF(Q$4:Q408,""Sell_""&amp;Q409))))))"),325.0)</f>
        <v>325</v>
      </c>
      <c r="V409" s="10">
        <f t="shared" si="11"/>
        <v>325</v>
      </c>
      <c r="W409" s="68">
        <f t="shared" si="12"/>
        <v>6025.579642</v>
      </c>
      <c r="X409" s="59" t="str">
        <f t="shared" si="13"/>
        <v>1h 40m 25s</v>
      </c>
      <c r="Y409" s="69">
        <f t="shared" si="14"/>
        <v>640686378</v>
      </c>
      <c r="Z409" s="11"/>
    </row>
    <row r="410">
      <c r="A410" s="8"/>
      <c r="B410" s="56" t="str">
        <f t="shared" si="2"/>
        <v/>
      </c>
      <c r="C410" s="57"/>
      <c r="D410" s="10" t="str">
        <f>IFERROR(__xludf.DUMMYFUNCTION("IF(COUNTA(C410:C1350)=0,"""",IF(ISBLANK(C410),FALSE,IF(NOT(COUNTIF($AA$24:$AA$34,SUBSTITUTE(C410,""Sell_"",""""))),1,IF(REGEXMATCH(C410,""Sell_""),IF(COUNTIF(C$4:C410,SUBSTITUTE(C410,""Sell_"",""""))-COUNTIF(C$4:C409,C410)&lt;1,1),FALSE))))"),"")</f>
        <v/>
      </c>
      <c r="E410" s="59" t="str">
        <f t="array" ref="E410">IF(COUNTA(C410:C1350)=0,"",SUM((COUNTIF(C$4:C410,Upgrades!$B$3:$B$13)-COUNTIF(C$4:C410,"Sell_"&amp;Upgrades!$B$3:$B$13))*Upgrades!$D$3:$D$13))</f>
        <v/>
      </c>
      <c r="F410" s="66" t="str">
        <f>IFERROR(__xludf.DUMMYFUNCTION("IF(COUNTA(C410:C1350)=0,"""",IF(REGEXMATCH(INDEX(FILTER(C$4:C410,C$4:C410&lt;&gt;""""),ROWS(FILTER(C$4:C410,C$4:C410&lt;&gt;""""))),""^Sell_""),INDEX(FILTER(F$4:F409,C$4:C409&lt;&gt;""""),ROWS(FILTER(C$4:C409,C$4:C409&lt;&gt;""""))),$AC$5+E410))"),"")</f>
        <v/>
      </c>
      <c r="G410" s="10" t="str">
        <f>IFERROR(__xludf.DUMMYFUNCTION("IF(COUNTA(C410:C1350)=0,"""",IF(C410="""",0,IF(REGEXMATCH(C410,""^Sell_""),-ROUNDDOWN(ROUNDUP(INDEX(Upgrades!$C$3:$C$13,MATCH(SUBSTITUTE(C410,""Sell_"",""""),Upgrades!$B$3:$B$13,0))*1.15^(COUNTIF(C$4:C409,SUBSTITUTE(C410,""Sell_"",""""))-COUNTIF(C$4:C409,"&amp;"""Sell_""&amp;SUBSTITUTE(C410,""Sell_"",""""))))/2),ROUNDUP(INDEX(Upgrades!$C$3:$C$13,MATCH(C410,Upgrades!$B$3:$B$13,0))*1.15^(COUNTIF(C$4:C409,C410)-COUNTIF(C$4:C409,""Sell_""&amp;C410))))))"),"")</f>
        <v/>
      </c>
      <c r="H410" s="10" t="str">
        <f t="shared" si="3"/>
        <v/>
      </c>
      <c r="I410" s="68" t="str">
        <f t="shared" si="4"/>
        <v/>
      </c>
      <c r="J410" s="59" t="str">
        <f t="shared" si="5"/>
        <v/>
      </c>
      <c r="K410" s="69" t="str">
        <f t="shared" si="6"/>
        <v/>
      </c>
      <c r="L410" s="60">
        <f t="shared" si="7"/>
        <v>-221.55055</v>
      </c>
      <c r="M410" s="61">
        <f>IFERROR(__xludf.DUMMYFUNCTION("IFS(AND(COUNTA(C410:C1350)=0,COUNTA(Q410:Q1350)=0),"""",OR(AND(K410&gt;=1000000000,OR(Y410&gt;=1000000000,COUNTA(Q410:Q1350)=0)),OR(Y410&gt;=1000000000,AND(COUNTA(C410:C1350)=0,P$3=TRUE))),
ROUNDDOWN((AB$1-AC$1)*MAX(INDEX(T$4:T1350,MATCH(LARGE(FILTER(Y$4:Y1350,Y$4"&amp;":Y1350&lt;1000000000),1),Y$4:Y1350)),INDEX(F$4:F1350,MATCH(LARGE(FILTER(K$4:K1350,K$4:K1350&lt;1000000000),1),K$4:K1350)))),AND(K410&lt;1000000000,COUNTA(C410:C1350)&gt;0,P$3=FALSE),
ROUNDDOWN(INDEX(Y$4:Y1350,MATCH(LARGE(FILTER(W$4:W1350,W$4:W1350&lt;=I410),1),W$4:W1350"&amp;"))+(I410-LARGE(FILTER(W$4:W1350,W$4:W1350&lt;=I410),1))*INDEX(T$4:T1350,MATCH(LARGE(FILTER(W$4:W1350,W$4:W1350&lt;=I410),1),W$4:W1350))-K410),1,
ROUNDDOWN(Y410-INDEX(K$4:K1350,MATCH(LARGE(FILTER(I$4:I1350,I$4:I1350&lt;=W410),1),I$4:I1350))-(W410-LARGE(FILTER(I$4:I"&amp;"1350,I$4:I1350&lt;=W410),1))*INDEX(F$4:F1350,MATCH(LARGE(FILTER(I$4:I1350,I$4:I1350&lt;=W410),1),I$4:I1350))))"),9.0953262E7)</f>
        <v>90953262</v>
      </c>
      <c r="N410" s="60">
        <f t="shared" si="8"/>
        <v>-221.55055</v>
      </c>
      <c r="O410" s="61" t="str">
        <f t="shared" si="9"/>
        <v>91,0M</v>
      </c>
      <c r="P410" s="56">
        <f t="shared" si="10"/>
        <v>16</v>
      </c>
      <c r="Q410" s="105" t="s">
        <v>8</v>
      </c>
      <c r="R410" s="10" t="b">
        <f>IFERROR(__xludf.DUMMYFUNCTION("IF(COUNTA(Q410:Q1350)=0,"""",IF(ISBLANK(Q410),FALSE,IF(NOT(COUNTIF($AA$24:$AA$34,SUBSTITUTE(Q410,""Sell_"",""""))),1,IF(REGEXMATCH(Q410,""Sell_""),IF(COUNTIF(Q$4:Q410,SUBSTITUTE(Q410,""Sell_"",""""))-COUNTIF(Q$4:Q409,Q410)&lt;1,1),FALSE))))"),FALSE)</f>
        <v>0</v>
      </c>
      <c r="S410" s="59">
        <f t="array" ref="S410">IF(COUNTA(Q410:Q1350)=0,"",SUM((COUNTIF(Q$4:Q410,Upgrades!$B$3:$B$13)-COUNTIF(Q$4:Q410,"Sell_"&amp;Upgrades!$B$3:$B$13))*Upgrades!$D$3:$D$13))</f>
        <v>431197.3</v>
      </c>
      <c r="T410" s="66">
        <f>IFERROR(__xludf.DUMMYFUNCTION("IF(COUNTA(Q410:Q1350)=0,"""",IF(REGEXMATCH(INDEX(FILTER(Q$4:Q410,Q$4:Q410&lt;&gt;""""),ROWS(FILTER(Q$4:Q410,Q$4:Q410&lt;&gt;""""))),""^Sell_""),INDEX(FILTER(T$4:T409,Q$4:Q409&lt;&gt;""""),ROWS(FILTER(Q$4:Q409,Q$4:Q409&lt;&gt;""""))),$AD$5+S410))"),431397.3)</f>
        <v>431397.3</v>
      </c>
      <c r="U410" s="10">
        <f>IFERROR(__xludf.DUMMYFUNCTION("IF(COUNTA(Q410:Q1350)=0,"""",IF(Q410="""",0,IF(REGEXMATCH(Q410,""^Sell_""),-ROUNDDOWN(ROUNDUP(INDEX(Upgrades!$C$3:$C$13,MATCH(SUBSTITUTE(Q410,""Sell_"",""""),Upgrades!$B$3:$B$13,0))*1.15^(COUNTIF(Q$4:Q409,SUBSTITUTE(Q410,""Sell_"",""""))-COUNTIF(Q$4:Q409,"&amp;"""Sell_""&amp;SUBSTITUTE(Q410,""Sell_"",""""))))/2),ROUNDUP(INDEX(Upgrades!$C$3:$C$13,MATCH(Q410,Upgrades!$B$3:$B$13,0))*1.15^(COUNTIF(Q$4:Q409,Q410)-COUNTIF(Q$4:Q409,""Sell_""&amp;Q410))))))"),325483.0)</f>
        <v>325483</v>
      </c>
      <c r="V410" s="10">
        <f t="shared" si="11"/>
        <v>325483</v>
      </c>
      <c r="W410" s="68">
        <f t="shared" si="12"/>
        <v>6026.334302</v>
      </c>
      <c r="X410" s="59" t="str">
        <f t="shared" si="13"/>
        <v>1h 40m 26s</v>
      </c>
      <c r="Y410" s="69">
        <f t="shared" si="14"/>
        <v>641011861</v>
      </c>
      <c r="Z410" s="11"/>
    </row>
    <row r="411">
      <c r="A411" s="8"/>
      <c r="B411" s="56" t="str">
        <f t="shared" si="2"/>
        <v/>
      </c>
      <c r="C411" s="57"/>
      <c r="D411" s="10" t="str">
        <f>IFERROR(__xludf.DUMMYFUNCTION("IF(COUNTA(C411:C1350)=0,"""",IF(ISBLANK(C411),FALSE,IF(NOT(COUNTIF($AA$24:$AA$34,SUBSTITUTE(C411,""Sell_"",""""))),1,IF(REGEXMATCH(C411,""Sell_""),IF(COUNTIF(C$4:C411,SUBSTITUTE(C411,""Sell_"",""""))-COUNTIF(C$4:C410,C411)&lt;1,1),FALSE))))"),"")</f>
        <v/>
      </c>
      <c r="E411" s="59" t="str">
        <f t="array" ref="E411">IF(COUNTA(C411:C1350)=0,"",SUM((COUNTIF(C$4:C411,Upgrades!$B$3:$B$13)-COUNTIF(C$4:C411,"Sell_"&amp;Upgrades!$B$3:$B$13))*Upgrades!$D$3:$D$13))</f>
        <v/>
      </c>
      <c r="F411" s="66" t="str">
        <f>IFERROR(__xludf.DUMMYFUNCTION("IF(COUNTA(C411:C1350)=0,"""",IF(REGEXMATCH(INDEX(FILTER(C$4:C411,C$4:C411&lt;&gt;""""),ROWS(FILTER(C$4:C411,C$4:C411&lt;&gt;""""))),""^Sell_""),INDEX(FILTER(F$4:F410,C$4:C410&lt;&gt;""""),ROWS(FILTER(C$4:C410,C$4:C410&lt;&gt;""""))),$AC$5+E411))"),"")</f>
        <v/>
      </c>
      <c r="G411" s="10" t="str">
        <f>IFERROR(__xludf.DUMMYFUNCTION("IF(COUNTA(C411:C1350)=0,"""",IF(C411="""",0,IF(REGEXMATCH(C411,""^Sell_""),-ROUNDDOWN(ROUNDUP(INDEX(Upgrades!$C$3:$C$13,MATCH(SUBSTITUTE(C411,""Sell_"",""""),Upgrades!$B$3:$B$13,0))*1.15^(COUNTIF(C$4:C410,SUBSTITUTE(C411,""Sell_"",""""))-COUNTIF(C$4:C410,"&amp;"""Sell_""&amp;SUBSTITUTE(C411,""Sell_"",""""))))/2),ROUNDUP(INDEX(Upgrades!$C$3:$C$13,MATCH(C411,Upgrades!$B$3:$B$13,0))*1.15^(COUNTIF(C$4:C410,C411)-COUNTIF(C$4:C410,""Sell_""&amp;C411))))))"),"")</f>
        <v/>
      </c>
      <c r="H411" s="10" t="str">
        <f t="shared" si="3"/>
        <v/>
      </c>
      <c r="I411" s="68" t="str">
        <f t="shared" si="4"/>
        <v/>
      </c>
      <c r="J411" s="59" t="str">
        <f t="shared" si="5"/>
        <v/>
      </c>
      <c r="K411" s="69" t="str">
        <f t="shared" si="6"/>
        <v/>
      </c>
      <c r="L411" s="60">
        <f t="shared" si="7"/>
        <v>-221.55075</v>
      </c>
      <c r="M411" s="61">
        <f>IFERROR(__xludf.DUMMYFUNCTION("IFS(AND(COUNTA(C411:C1350)=0,COUNTA(Q411:Q1350)=0),"""",OR(AND(K411&gt;=1000000000,OR(Y411&gt;=1000000000,COUNTA(Q411:Q1350)=0)),OR(Y411&gt;=1000000000,AND(COUNTA(C411:C1350)=0,P$3=TRUE))),
ROUNDDOWN((AB$1-AC$1)*MAX(INDEX(T$4:T1350,MATCH(LARGE(FILTER(Y$4:Y1350,Y$4"&amp;":Y1350&lt;1000000000),1),Y$4:Y1350)),INDEX(F$4:F1350,MATCH(LARGE(FILTER(K$4:K1350,K$4:K1350&lt;1000000000),1),K$4:K1350)))),AND(K411&lt;1000000000,COUNTA(C411:C1350)&gt;0,P$3=FALSE),
ROUNDDOWN(INDEX(Y$4:Y1350,MATCH(LARGE(FILTER(W$4:W1350,W$4:W1350&lt;=I411),1),W$4:W1350"&amp;"))+(I411-LARGE(FILTER(W$4:W1350,W$4:W1350&lt;=I411),1))*INDEX(T$4:T1350,MATCH(LARGE(FILTER(W$4:W1350,W$4:W1350&lt;=I411),1),W$4:W1350))-K411),1,
ROUNDDOWN(Y411-INDEX(K$4:K1350,MATCH(LARGE(FILTER(I$4:I1350,I$4:I1350&lt;=W411),1),I$4:I1350))-(W411-LARGE(FILTER(I$4:I"&amp;"1350,I$4:I1350&lt;=W411),1))*INDEX(F$4:F1350,MATCH(LARGE(FILTER(I$4:I1350,I$4:I1350&lt;=W411),1),I$4:I1350))))"),9.0953341E7)</f>
        <v>90953341</v>
      </c>
      <c r="N411" s="60">
        <f t="shared" si="8"/>
        <v>-221.55075</v>
      </c>
      <c r="O411" s="61" t="str">
        <f t="shared" si="9"/>
        <v>91,0M</v>
      </c>
      <c r="P411" s="56">
        <f t="shared" si="10"/>
        <v>21</v>
      </c>
      <c r="Q411" s="105" t="s">
        <v>4</v>
      </c>
      <c r="R411" s="10" t="b">
        <f>IFERROR(__xludf.DUMMYFUNCTION("IF(COUNTA(Q411:Q1350)=0,"""",IF(ISBLANK(Q411),FALSE,IF(NOT(COUNTIF($AA$24:$AA$34,SUBSTITUTE(Q411,""Sell_"",""""))),1,IF(REGEXMATCH(Q411,""Sell_""),IF(COUNTIF(Q$4:Q411,SUBSTITUTE(Q411,""Sell_"",""""))-COUNTIF(Q$4:Q410,Q411)&lt;1,1),FALSE))))"),FALSE)</f>
        <v>0</v>
      </c>
      <c r="S411" s="59">
        <f t="array" ref="S411">IF(COUNTA(Q411:Q1350)=0,"",SUM((COUNTIF(Q$4:Q411,Upgrades!$B$3:$B$13)-COUNTIF(Q$4:Q411,"Sell_"&amp;Upgrades!$B$3:$B$13))*Upgrades!$D$3:$D$13))</f>
        <v>431197.8</v>
      </c>
      <c r="T411" s="66">
        <f>IFERROR(__xludf.DUMMYFUNCTION("IF(COUNTA(Q411:Q1350)=0,"""",IF(REGEXMATCH(INDEX(FILTER(Q$4:Q411,Q$4:Q411&lt;&gt;""""),ROWS(FILTER(Q$4:Q411,Q$4:Q411&lt;&gt;""""))),""^Sell_""),INDEX(FILTER(T$4:T410,Q$4:Q410&lt;&gt;""""),ROWS(FILTER(Q$4:Q410,Q$4:Q410&lt;&gt;""""))),$AD$5+S411))"),431397.8)</f>
        <v>431397.8</v>
      </c>
      <c r="U411" s="10">
        <f>IFERROR(__xludf.DUMMYFUNCTION("IF(COUNTA(Q411:Q1350)=0,"""",IF(Q411="""",0,IF(REGEXMATCH(Q411,""^Sell_""),-ROUNDDOWN(ROUNDUP(INDEX(Upgrades!$C$3:$C$13,MATCH(SUBSTITUTE(Q411,""Sell_"",""""),Upgrades!$B$3:$B$13,0))*1.15^(COUNTIF(Q$4:Q410,SUBSTITUTE(Q411,""Sell_"",""""))-COUNTIF(Q$4:Q410,"&amp;"""Sell_""&amp;SUBSTITUTE(Q411,""Sell_"",""""))))/2),ROUNDUP(INDEX(Upgrades!$C$3:$C$13,MATCH(Q411,Upgrades!$B$3:$B$13,0))*1.15^(COUNTIF(Q$4:Q410,Q411)-COUNTIF(Q$4:Q410,""Sell_""&amp;Q411))))))"),1637.0)</f>
        <v>1637</v>
      </c>
      <c r="V411" s="10">
        <f t="shared" si="11"/>
        <v>1637</v>
      </c>
      <c r="W411" s="68">
        <f t="shared" si="12"/>
        <v>6026.338097</v>
      </c>
      <c r="X411" s="59" t="str">
        <f t="shared" si="13"/>
        <v>1h 40m 26s</v>
      </c>
      <c r="Y411" s="69">
        <f t="shared" si="14"/>
        <v>641013498</v>
      </c>
      <c r="Z411" s="11"/>
    </row>
    <row r="412">
      <c r="A412" s="8"/>
      <c r="B412" s="56" t="str">
        <f t="shared" si="2"/>
        <v/>
      </c>
      <c r="C412" s="57"/>
      <c r="D412" s="10" t="str">
        <f>IFERROR(__xludf.DUMMYFUNCTION("IF(COUNTA(C412:C1350)=0,"""",IF(ISBLANK(C412),FALSE,IF(NOT(COUNTIF($AA$24:$AA$34,SUBSTITUTE(C412,""Sell_"",""""))),1,IF(REGEXMATCH(C412,""Sell_""),IF(COUNTIF(C$4:C412,SUBSTITUTE(C412,""Sell_"",""""))-COUNTIF(C$4:C411,C412)&lt;1,1),FALSE))))"),"")</f>
        <v/>
      </c>
      <c r="E412" s="59" t="str">
        <f t="array" ref="E412">IF(COUNTA(C412:C1350)=0,"",SUM((COUNTIF(C$4:C412,Upgrades!$B$3:$B$13)-COUNTIF(C$4:C412,"Sell_"&amp;Upgrades!$B$3:$B$13))*Upgrades!$D$3:$D$13))</f>
        <v/>
      </c>
      <c r="F412" s="66" t="str">
        <f>IFERROR(__xludf.DUMMYFUNCTION("IF(COUNTA(C412:C1350)=0,"""",IF(REGEXMATCH(INDEX(FILTER(C$4:C412,C$4:C412&lt;&gt;""""),ROWS(FILTER(C$4:C412,C$4:C412&lt;&gt;""""))),""^Sell_""),INDEX(FILTER(F$4:F411,C$4:C411&lt;&gt;""""),ROWS(FILTER(C$4:C411,C$4:C411&lt;&gt;""""))),$AC$5+E412))"),"")</f>
        <v/>
      </c>
      <c r="G412" s="10" t="str">
        <f>IFERROR(__xludf.DUMMYFUNCTION("IF(COUNTA(C412:C1350)=0,"""",IF(C412="""",0,IF(REGEXMATCH(C412,""^Sell_""),-ROUNDDOWN(ROUNDUP(INDEX(Upgrades!$C$3:$C$13,MATCH(SUBSTITUTE(C412,""Sell_"",""""),Upgrades!$B$3:$B$13,0))*1.15^(COUNTIF(C$4:C411,SUBSTITUTE(C412,""Sell_"",""""))-COUNTIF(C$4:C411,"&amp;"""Sell_""&amp;SUBSTITUTE(C412,""Sell_"",""""))))/2),ROUNDUP(INDEX(Upgrades!$C$3:$C$13,MATCH(C412,Upgrades!$B$3:$B$13,0))*1.15^(COUNTIF(C$4:C411,C412)-COUNTIF(C$4:C411,""Sell_""&amp;C412))))))"),"")</f>
        <v/>
      </c>
      <c r="H412" s="10" t="str">
        <f t="shared" si="3"/>
        <v/>
      </c>
      <c r="I412" s="68" t="str">
        <f t="shared" si="4"/>
        <v/>
      </c>
      <c r="J412" s="59" t="str">
        <f t="shared" si="5"/>
        <v/>
      </c>
      <c r="K412" s="69" t="str">
        <f t="shared" si="6"/>
        <v/>
      </c>
      <c r="L412" s="60">
        <f t="shared" si="7"/>
        <v>-221.71749</v>
      </c>
      <c r="M412" s="61">
        <f>IFERROR(__xludf.DUMMYFUNCTION("IFS(AND(COUNTA(C412:C1350)=0,COUNTA(Q412:Q1350)=0),"""",OR(AND(K412&gt;=1000000000,OR(Y412&gt;=1000000000,COUNTA(Q412:Q1350)=0)),OR(Y412&gt;=1000000000,AND(COUNTA(C412:C1350)=0,P$3=TRUE))),
ROUNDDOWN((AB$1-AC$1)*MAX(INDEX(T$4:T1350,MATCH(LARGE(FILTER(Y$4:Y1350,Y$4"&amp;":Y1350&lt;1000000000),1),Y$4:Y1350)),INDEX(F$4:F1350,MATCH(LARGE(FILTER(K$4:K1350,K$4:K1350&lt;1000000000),1),K$4:K1350)))),AND(K412&lt;1000000000,COUNTA(C412:C1350)&gt;0,P$3=FALSE),
ROUNDDOWN(INDEX(Y$4:Y1350,MATCH(LARGE(FILTER(W$4:W1350,W$4:W1350&lt;=I412),1),W$4:W1350"&amp;"))+(I412-LARGE(FILTER(W$4:W1350,W$4:W1350&lt;=I412),1))*INDEX(T$4:T1350,MATCH(LARGE(FILTER(W$4:W1350,W$4:W1350&lt;=I412),1),W$4:W1350))-K412),1,
ROUNDDOWN(Y412-INDEX(K$4:K1350,MATCH(LARGE(FILTER(I$4:I1350,I$4:I1350&lt;=W412),1),I$4:I1350))-(W412-LARGE(FILTER(I$4:I"&amp;"1350,I$4:I1350&lt;=W412),1))*INDEX(F$4:F1350,MATCH(LARGE(FILTER(I$4:I1350,I$4:I1350&lt;=W412),1),I$4:I1350))))"),9.1021793E7)</f>
        <v>91021793</v>
      </c>
      <c r="N412" s="60">
        <f t="shared" si="8"/>
        <v>-221.71749</v>
      </c>
      <c r="O412" s="61" t="str">
        <f t="shared" si="9"/>
        <v>91,0M</v>
      </c>
      <c r="P412" s="56">
        <f t="shared" si="10"/>
        <v>15</v>
      </c>
      <c r="Q412" s="105" t="s">
        <v>9</v>
      </c>
      <c r="R412" s="10" t="b">
        <f>IFERROR(__xludf.DUMMYFUNCTION("IF(COUNTA(Q412:Q1350)=0,"""",IF(ISBLANK(Q412),FALSE,IF(NOT(COUNTIF($AA$24:$AA$34,SUBSTITUTE(Q412,""Sell_"",""""))),1,IF(REGEXMATCH(Q412,""Sell_""),IF(COUNTIF(Q$4:Q412,SUBSTITUTE(Q412,""Sell_"",""""))-COUNTIF(Q$4:Q411,Q412)&lt;1,1),FALSE))))"),FALSE)</f>
        <v>0</v>
      </c>
      <c r="S412" s="59">
        <f t="array" ref="S412">IF(COUNTA(Q412:Q1350)=0,"",SUM((COUNTIF(Q$4:Q412,Upgrades!$B$3:$B$13)-COUNTIF(Q$4:Q412,"Sell_"&amp;Upgrades!$B$3:$B$13))*Upgrades!$D$3:$D$13))</f>
        <v>431597.8</v>
      </c>
      <c r="T412" s="66">
        <f>IFERROR(__xludf.DUMMYFUNCTION("IF(COUNTA(Q412:Q1350)=0,"""",IF(REGEXMATCH(INDEX(FILTER(Q$4:Q412,Q$4:Q412&lt;&gt;""""),ROWS(FILTER(Q$4:Q412,Q$4:Q412&lt;&gt;""""))),""^Sell_""),INDEX(FILTER(T$4:T411,Q$4:Q411&lt;&gt;""""),ROWS(FILTER(Q$4:Q411,Q$4:Q411&lt;&gt;""""))),$AD$5+S412))"),431797.8)</f>
        <v>431797.8</v>
      </c>
      <c r="U412" s="10">
        <f>IFERROR(__xludf.DUMMYFUNCTION("IF(COUNTA(Q412:Q1350)=0,"""",IF(Q412="""",0,IF(REGEXMATCH(Q412,""^Sell_""),-ROUNDDOWN(ROUNDUP(INDEX(Upgrades!$C$3:$C$13,MATCH(SUBSTITUTE(Q412,""Sell_"",""""),Upgrades!$B$3:$B$13,0))*1.15^(COUNTIF(Q$4:Q411,SUBSTITUTE(Q412,""Sell_"",""""))-COUNTIF(Q$4:Q411,"&amp;"""Sell_""&amp;SUBSTITUTE(Q412,""Sell_"",""""))))/2),ROUNDUP(INDEX(Upgrades!$C$3:$C$13,MATCH(Q412,Upgrades!$B$3:$B$13,0))*1.15^(COUNTIF(Q$4:Q411,Q412)-COUNTIF(Q$4:Q411,""Sell_""&amp;Q412))))))"),1415142.0)</f>
        <v>1415142</v>
      </c>
      <c r="V412" s="10">
        <f t="shared" si="11"/>
        <v>1415142</v>
      </c>
      <c r="W412" s="68">
        <f t="shared" si="12"/>
        <v>6029.618461</v>
      </c>
      <c r="X412" s="59" t="str">
        <f t="shared" si="13"/>
        <v>1h 40m 29s</v>
      </c>
      <c r="Y412" s="69">
        <f t="shared" si="14"/>
        <v>642428640</v>
      </c>
      <c r="Z412" s="11"/>
    </row>
    <row r="413">
      <c r="A413" s="8"/>
      <c r="B413" s="56" t="str">
        <f t="shared" si="2"/>
        <v/>
      </c>
      <c r="C413" s="57"/>
      <c r="D413" s="10" t="str">
        <f>IFERROR(__xludf.DUMMYFUNCTION("IF(COUNTA(C413:C1350)=0,"""",IF(ISBLANK(C413),FALSE,IF(NOT(COUNTIF($AA$24:$AA$34,SUBSTITUTE(C413,""Sell_"",""""))),1,IF(REGEXMATCH(C413,""Sell_""),IF(COUNTIF(C$4:C413,SUBSTITUTE(C413,""Sell_"",""""))-COUNTIF(C$4:C412,C413)&lt;1,1),FALSE))))"),"")</f>
        <v/>
      </c>
      <c r="E413" s="59" t="str">
        <f t="array" ref="E413">IF(COUNTA(C413:C1350)=0,"",SUM((COUNTIF(C$4:C413,Upgrades!$B$3:$B$13)-COUNTIF(C$4:C413,"Sell_"&amp;Upgrades!$B$3:$B$13))*Upgrades!$D$3:$D$13))</f>
        <v/>
      </c>
      <c r="F413" s="66" t="str">
        <f>IFERROR(__xludf.DUMMYFUNCTION("IF(COUNTA(C413:C1350)=0,"""",IF(REGEXMATCH(INDEX(FILTER(C$4:C413,C$4:C413&lt;&gt;""""),ROWS(FILTER(C$4:C413,C$4:C413&lt;&gt;""""))),""^Sell_""),INDEX(FILTER(F$4:F412,C$4:C412&lt;&gt;""""),ROWS(FILTER(C$4:C412,C$4:C412&lt;&gt;""""))),$AC$5+E413))"),"")</f>
        <v/>
      </c>
      <c r="G413" s="10" t="str">
        <f>IFERROR(__xludf.DUMMYFUNCTION("IF(COUNTA(C413:C1350)=0,"""",IF(C413="""",0,IF(REGEXMATCH(C413,""^Sell_""),-ROUNDDOWN(ROUNDUP(INDEX(Upgrades!$C$3:$C$13,MATCH(SUBSTITUTE(C413,""Sell_"",""""),Upgrades!$B$3:$B$13,0))*1.15^(COUNTIF(C$4:C412,SUBSTITUTE(C413,""Sell_"",""""))-COUNTIF(C$4:C412,"&amp;"""Sell_""&amp;SUBSTITUTE(C413,""Sell_"",""""))))/2),ROUNDUP(INDEX(Upgrades!$C$3:$C$13,MATCH(C413,Upgrades!$B$3:$B$13,0))*1.15^(COUNTIF(C$4:C412,C413)-COUNTIF(C$4:C412,""Sell_""&amp;C413))))))"),"")</f>
        <v/>
      </c>
      <c r="H413" s="10" t="str">
        <f t="shared" si="3"/>
        <v/>
      </c>
      <c r="I413" s="68" t="str">
        <f t="shared" si="4"/>
        <v/>
      </c>
      <c r="J413" s="59" t="str">
        <f t="shared" si="5"/>
        <v/>
      </c>
      <c r="K413" s="69" t="str">
        <f t="shared" si="6"/>
        <v/>
      </c>
      <c r="L413" s="60">
        <f t="shared" si="7"/>
        <v>-221.73456</v>
      </c>
      <c r="M413" s="61">
        <f>IFERROR(__xludf.DUMMYFUNCTION("IFS(AND(COUNTA(C413:C1350)=0,COUNTA(Q413:Q1350)=0),"""",OR(AND(K413&gt;=1000000000,OR(Y413&gt;=1000000000,COUNTA(Q413:Q1350)=0)),OR(Y413&gt;=1000000000,AND(COUNTA(C413:C1350)=0,P$3=TRUE))),
ROUNDDOWN((AB$1-AC$1)*MAX(INDEX(T$4:T1350,MATCH(LARGE(FILTER(Y$4:Y1350,Y$4"&amp;":Y1350&lt;1000000000),1),Y$4:Y1350)),INDEX(F$4:F1350,MATCH(LARGE(FILTER(K$4:K1350,K$4:K1350&lt;1000000000),1),K$4:K1350)))),AND(K413&lt;1000000000,COUNTA(C413:C1350)&gt;0,P$3=FALSE),
ROUNDDOWN(INDEX(Y$4:Y1350,MATCH(LARGE(FILTER(W$4:W1350,W$4:W1350&lt;=I413),1),W$4:W1350"&amp;"))+(I413-LARGE(FILTER(W$4:W1350,W$4:W1350&lt;=I413),1))*INDEX(T$4:T1350,MATCH(LARGE(FILTER(W$4:W1350,W$4:W1350&lt;=I413),1),W$4:W1350))-K413),1,
ROUNDDOWN(Y413-INDEX(K$4:K1350,MATCH(LARGE(FILTER(I$4:I1350,I$4:I1350&lt;=W413),1),I$4:I1350))-(W413-LARGE(FILTER(I$4:I"&amp;"1350,I$4:I1350&lt;=W413),1))*INDEX(F$4:F1350,MATCH(LARGE(FILTER(I$4:I1350,I$4:I1350&lt;=W413),1),I$4:I1350))))"),9.1028803E7)</f>
        <v>91028803</v>
      </c>
      <c r="N413" s="60">
        <f t="shared" si="8"/>
        <v>-221.73456</v>
      </c>
      <c r="O413" s="61" t="str">
        <f t="shared" si="9"/>
        <v>91,0M</v>
      </c>
      <c r="P413" s="56">
        <f t="shared" si="10"/>
        <v>20</v>
      </c>
      <c r="Q413" s="105" t="s">
        <v>7</v>
      </c>
      <c r="R413" s="10" t="b">
        <f>IFERROR(__xludf.DUMMYFUNCTION("IF(COUNTA(Q413:Q1350)=0,"""",IF(ISBLANK(Q413),FALSE,IF(NOT(COUNTIF($AA$24:$AA$34,SUBSTITUTE(Q413,""Sell_"",""""))),1,IF(REGEXMATCH(Q413,""Sell_""),IF(COUNTIF(Q$4:Q413,SUBSTITUTE(Q413,""Sell_"",""""))-COUNTIF(Q$4:Q412,Q413)&lt;1,1),FALSE))))"),FALSE)</f>
        <v>0</v>
      </c>
      <c r="S413" s="59">
        <f t="array" ref="S413">IF(COUNTA(Q413:Q1350)=0,"",SUM((COUNTIF(Q$4:Q413,Upgrades!$B$3:$B$13)-COUNTIF(Q$4:Q413,"Sell_"&amp;Upgrades!$B$3:$B$13))*Upgrades!$D$3:$D$13))</f>
        <v>431637.8</v>
      </c>
      <c r="T413" s="66">
        <f>IFERROR(__xludf.DUMMYFUNCTION("IF(COUNTA(Q413:Q1350)=0,"""",IF(REGEXMATCH(INDEX(FILTER(Q$4:Q413,Q$4:Q413&lt;&gt;""""),ROWS(FILTER(Q$4:Q413,Q$4:Q413&lt;&gt;""""))),""^Sell_""),INDEX(FILTER(T$4:T412,Q$4:Q412&lt;&gt;""""),ROWS(FILTER(Q$4:Q412,Q$4:Q412&lt;&gt;""""))),$AD$5+S413))"),431837.8)</f>
        <v>431837.8</v>
      </c>
      <c r="U413" s="10">
        <f>IFERROR(__xludf.DUMMYFUNCTION("IF(COUNTA(Q413:Q1350)=0,"""",IF(Q413="""",0,IF(REGEXMATCH(Q413,""^Sell_""),-ROUNDDOWN(ROUNDUP(INDEX(Upgrades!$C$3:$C$13,MATCH(SUBSTITUTE(Q413,""Sell_"",""""),Upgrades!$B$3:$B$13,0))*1.15^(COUNTIF(Q$4:Q412,SUBSTITUTE(Q413,""Sell_"",""""))-COUNTIF(Q$4:Q412,"&amp;"""Sell_""&amp;SUBSTITUTE(Q413,""Sell_"",""""))))/2),ROUNDUP(INDEX(Upgrades!$C$3:$C$13,MATCH(Q413,Upgrades!$B$3:$B$13,0))*1.15^(COUNTIF(Q$4:Q412,Q413)-COUNTIF(Q$4:Q412,""Sell_""&amp;Q413))))))"),142318.0)</f>
        <v>142318</v>
      </c>
      <c r="V413" s="10">
        <f t="shared" si="11"/>
        <v>142318</v>
      </c>
      <c r="W413" s="68">
        <f t="shared" si="12"/>
        <v>6029.948055</v>
      </c>
      <c r="X413" s="59" t="str">
        <f t="shared" si="13"/>
        <v>1h 40m 29s</v>
      </c>
      <c r="Y413" s="69">
        <f t="shared" si="14"/>
        <v>642570958</v>
      </c>
      <c r="Z413" s="11"/>
    </row>
    <row r="414">
      <c r="A414" s="8"/>
      <c r="B414" s="56" t="str">
        <f t="shared" si="2"/>
        <v/>
      </c>
      <c r="C414" s="57"/>
      <c r="D414" s="10" t="str">
        <f>IFERROR(__xludf.DUMMYFUNCTION("IF(COUNTA(C414:C1350)=0,"""",IF(ISBLANK(C414),FALSE,IF(NOT(COUNTIF($AA$24:$AA$34,SUBSTITUTE(C414,""Sell_"",""""))),1,IF(REGEXMATCH(C414,""Sell_""),IF(COUNTIF(C$4:C414,SUBSTITUTE(C414,""Sell_"",""""))-COUNTIF(C$4:C413,C414)&lt;1,1),FALSE))))"),"")</f>
        <v/>
      </c>
      <c r="E414" s="59" t="str">
        <f t="array" ref="E414">IF(COUNTA(C414:C1350)=0,"",SUM((COUNTIF(C$4:C414,Upgrades!$B$3:$B$13)-COUNTIF(C$4:C414,"Sell_"&amp;Upgrades!$B$3:$B$13))*Upgrades!$D$3:$D$13))</f>
        <v/>
      </c>
      <c r="F414" s="66" t="str">
        <f>IFERROR(__xludf.DUMMYFUNCTION("IF(COUNTA(C414:C1350)=0,"""",IF(REGEXMATCH(INDEX(FILTER(C$4:C414,C$4:C414&lt;&gt;""""),ROWS(FILTER(C$4:C414,C$4:C414&lt;&gt;""""))),""^Sell_""),INDEX(FILTER(F$4:F413,C$4:C413&lt;&gt;""""),ROWS(FILTER(C$4:C413,C$4:C413&lt;&gt;""""))),$AC$5+E414))"),"")</f>
        <v/>
      </c>
      <c r="G414" s="10" t="str">
        <f>IFERROR(__xludf.DUMMYFUNCTION("IF(COUNTA(C414:C1350)=0,"""",IF(C414="""",0,IF(REGEXMATCH(C414,""^Sell_""),-ROUNDDOWN(ROUNDUP(INDEX(Upgrades!$C$3:$C$13,MATCH(SUBSTITUTE(C414,""Sell_"",""""),Upgrades!$B$3:$B$13,0))*1.15^(COUNTIF(C$4:C413,SUBSTITUTE(C414,""Sell_"",""""))-COUNTIF(C$4:C413,"&amp;"""Sell_""&amp;SUBSTITUTE(C414,""Sell_"",""""))))/2),ROUNDUP(INDEX(Upgrades!$C$3:$C$13,MATCH(C414,Upgrades!$B$3:$B$13,0))*1.15^(COUNTIF(C$4:C413,C414)-COUNTIF(C$4:C413,""Sell_""&amp;C414))))))"),"")</f>
        <v/>
      </c>
      <c r="H414" s="10" t="str">
        <f t="shared" si="3"/>
        <v/>
      </c>
      <c r="I414" s="68" t="str">
        <f t="shared" si="4"/>
        <v/>
      </c>
      <c r="J414" s="59" t="str">
        <f t="shared" si="5"/>
        <v/>
      </c>
      <c r="K414" s="69" t="str">
        <f t="shared" si="6"/>
        <v/>
      </c>
      <c r="L414" s="60">
        <f t="shared" si="7"/>
        <v>-221.73628</v>
      </c>
      <c r="M414" s="61">
        <f>IFERROR(__xludf.DUMMYFUNCTION("IFS(AND(COUNTA(C414:C1350)=0,COUNTA(Q414:Q1350)=0),"""",OR(AND(K414&gt;=1000000000,OR(Y414&gt;=1000000000,COUNTA(Q414:Q1350)=0)),OR(Y414&gt;=1000000000,AND(COUNTA(C414:C1350)=0,P$3=TRUE))),
ROUNDDOWN((AB$1-AC$1)*MAX(INDEX(T$4:T1350,MATCH(LARGE(FILTER(Y$4:Y1350,Y$4"&amp;":Y1350&lt;1000000000),1),Y$4:Y1350)),INDEX(F$4:F1350,MATCH(LARGE(FILTER(K$4:K1350,K$4:K1350&lt;1000000000),1),K$4:K1350)))),AND(K414&lt;1000000000,COUNTA(C414:C1350)&gt;0,P$3=FALSE),
ROUNDDOWN(INDEX(Y$4:Y1350,MATCH(LARGE(FILTER(W$4:W1350,W$4:W1350&lt;=I414),1),W$4:W1350"&amp;"))+(I414-LARGE(FILTER(W$4:W1350,W$4:W1350&lt;=I414),1))*INDEX(T$4:T1350,MATCH(LARGE(FILTER(W$4:W1350,W$4:W1350&lt;=I414),1),W$4:W1350))-K414),1,
ROUNDDOWN(Y414-INDEX(K$4:K1350,MATCH(LARGE(FILTER(I$4:I1350,I$4:I1350&lt;=W414),1),I$4:I1350))-(W414-LARGE(FILTER(I$4:I"&amp;"1350,I$4:I1350&lt;=W414),1))*INDEX(F$4:F1350,MATCH(LARGE(FILTER(I$4:I1350,I$4:I1350&lt;=W414),1),I$4:I1350))))"),9.1029509E7)</f>
        <v>91029509</v>
      </c>
      <c r="N414" s="60">
        <f t="shared" si="8"/>
        <v>-221.73628</v>
      </c>
      <c r="O414" s="61" t="str">
        <f t="shared" si="9"/>
        <v>91,0M</v>
      </c>
      <c r="P414" s="56">
        <f t="shared" si="10"/>
        <v>25</v>
      </c>
      <c r="Q414" s="105" t="s">
        <v>5</v>
      </c>
      <c r="R414" s="10" t="b">
        <f>IFERROR(__xludf.DUMMYFUNCTION("IF(COUNTA(Q414:Q1350)=0,"""",IF(ISBLANK(Q414),FALSE,IF(NOT(COUNTIF($AA$24:$AA$34,SUBSTITUTE(Q414,""Sell_"",""""))),1,IF(REGEXMATCH(Q414,""Sell_""),IF(COUNTIF(Q$4:Q414,SUBSTITUTE(Q414,""Sell_"",""""))-COUNTIF(Q$4:Q413,Q414)&lt;1,1),FALSE))))"),FALSE)</f>
        <v>0</v>
      </c>
      <c r="S414" s="59">
        <f t="array" ref="S414">IF(COUNTA(Q414:Q1350)=0,"",SUM((COUNTIF(Q$4:Q414,Upgrades!$B$3:$B$13)-COUNTIF(Q$4:Q414,"Sell_"&amp;Upgrades!$B$3:$B$13))*Upgrades!$D$3:$D$13))</f>
        <v>431641.8</v>
      </c>
      <c r="T414" s="66">
        <f>IFERROR(__xludf.DUMMYFUNCTION("IF(COUNTA(Q414:Q1350)=0,"""",IF(REGEXMATCH(INDEX(FILTER(Q$4:Q414,Q$4:Q414&lt;&gt;""""),ROWS(FILTER(Q$4:Q414,Q$4:Q414&lt;&gt;""""))),""^Sell_""),INDEX(FILTER(T$4:T413,Q$4:Q413&lt;&gt;""""),ROWS(FILTER(Q$4:Q413,Q$4:Q413&lt;&gt;""""))),$AD$5+S414))"),431841.8)</f>
        <v>431841.8</v>
      </c>
      <c r="U414" s="10">
        <f>IFERROR(__xludf.DUMMYFUNCTION("IF(COUNTA(Q414:Q1350)=0,"""",IF(Q414="""",0,IF(REGEXMATCH(Q414,""^Sell_""),-ROUNDDOWN(ROUNDUP(INDEX(Upgrades!$C$3:$C$13,MATCH(SUBSTITUTE(Q414,""Sell_"",""""),Upgrades!$B$3:$B$13,0))*1.15^(COUNTIF(Q$4:Q413,SUBSTITUTE(Q414,""Sell_"",""""))-COUNTIF(Q$4:Q413,"&amp;"""Sell_""&amp;SUBSTITUTE(Q414,""Sell_"",""""))))/2),ROUNDUP(INDEX(Upgrades!$C$3:$C$13,MATCH(Q414,Upgrades!$B$3:$B$13,0))*1.15^(COUNTIF(Q$4:Q413,Q414)-COUNTIF(Q$4:Q413,""Sell_""&amp;Q414))))))"),14313.0)</f>
        <v>14313</v>
      </c>
      <c r="V414" s="10">
        <f t="shared" si="11"/>
        <v>14313</v>
      </c>
      <c r="W414" s="68">
        <f t="shared" si="12"/>
        <v>6029.9812</v>
      </c>
      <c r="X414" s="59" t="str">
        <f t="shared" si="13"/>
        <v>1h 40m 29s</v>
      </c>
      <c r="Y414" s="69">
        <f t="shared" si="14"/>
        <v>642585271</v>
      </c>
      <c r="Z414" s="11"/>
    </row>
    <row r="415">
      <c r="A415" s="8"/>
      <c r="B415" s="56" t="str">
        <f t="shared" si="2"/>
        <v/>
      </c>
      <c r="C415" s="57"/>
      <c r="D415" s="10" t="str">
        <f>IFERROR(__xludf.DUMMYFUNCTION("IF(COUNTA(C415:C1350)=0,"""",IF(ISBLANK(C415),FALSE,IF(NOT(COUNTIF($AA$24:$AA$34,SUBSTITUTE(C415,""Sell_"",""""))),1,IF(REGEXMATCH(C415,""Sell_""),IF(COUNTIF(C$4:C415,SUBSTITUTE(C415,""Sell_"",""""))-COUNTIF(C$4:C414,C415)&lt;1,1),FALSE))))"),"")</f>
        <v/>
      </c>
      <c r="E415" s="59" t="str">
        <f t="array" ref="E415">IF(COUNTA(C415:C1350)=0,"",SUM((COUNTIF(C$4:C415,Upgrades!$B$3:$B$13)-COUNTIF(C$4:C415,"Sell_"&amp;Upgrades!$B$3:$B$13))*Upgrades!$D$3:$D$13))</f>
        <v/>
      </c>
      <c r="F415" s="66" t="str">
        <f>IFERROR(__xludf.DUMMYFUNCTION("IF(COUNTA(C415:C1350)=0,"""",IF(REGEXMATCH(INDEX(FILTER(C$4:C415,C$4:C415&lt;&gt;""""),ROWS(FILTER(C$4:C415,C$4:C415&lt;&gt;""""))),""^Sell_""),INDEX(FILTER(F$4:F414,C$4:C414&lt;&gt;""""),ROWS(FILTER(C$4:C414,C$4:C414&lt;&gt;""""))),$AC$5+E415))"),"")</f>
        <v/>
      </c>
      <c r="G415" s="10" t="str">
        <f>IFERROR(__xludf.DUMMYFUNCTION("IF(COUNTA(C415:C1350)=0,"""",IF(C415="""",0,IF(REGEXMATCH(C415,""^Sell_""),-ROUNDDOWN(ROUNDUP(INDEX(Upgrades!$C$3:$C$13,MATCH(SUBSTITUTE(C415,""Sell_"",""""),Upgrades!$B$3:$B$13,0))*1.15^(COUNTIF(C$4:C414,SUBSTITUTE(C415,""Sell_"",""""))-COUNTIF(C$4:C414,"&amp;"""Sell_""&amp;SUBSTITUTE(C415,""Sell_"",""""))))/2),ROUNDUP(INDEX(Upgrades!$C$3:$C$13,MATCH(C415,Upgrades!$B$3:$B$13,0))*1.15^(COUNTIF(C$4:C414,C415)-COUNTIF(C$4:C414,""Sell_""&amp;C415))))))"),"")</f>
        <v/>
      </c>
      <c r="H415" s="10" t="str">
        <f t="shared" si="3"/>
        <v/>
      </c>
      <c r="I415" s="68" t="str">
        <f t="shared" si="4"/>
        <v/>
      </c>
      <c r="J415" s="59" t="str">
        <f t="shared" si="5"/>
        <v/>
      </c>
      <c r="K415" s="69" t="str">
        <f t="shared" si="6"/>
        <v/>
      </c>
      <c r="L415" s="60">
        <f t="shared" si="7"/>
        <v>-224.58761</v>
      </c>
      <c r="M415" s="61">
        <f>IFERROR(__xludf.DUMMYFUNCTION("IFS(AND(COUNTA(C415:C1350)=0,COUNTA(Q415:Q1350)=0),"""",OR(AND(K415&gt;=1000000000,OR(Y415&gt;=1000000000,COUNTA(Q415:Q1350)=0)),OR(Y415&gt;=1000000000,AND(COUNTA(C415:C1350)=0,P$3=TRUE))),
ROUNDDOWN((AB$1-AC$1)*MAX(INDEX(T$4:T1350,MATCH(LARGE(FILTER(Y$4:Y1350,Y$4"&amp;":Y1350&lt;1000000000),1),Y$4:Y1350)),INDEX(F$4:F1350,MATCH(LARGE(FILTER(K$4:K1350,K$4:K1350&lt;1000000000),1),K$4:K1350)))),AND(K415&lt;1000000000,COUNTA(C415:C1350)&gt;0,P$3=FALSE),
ROUNDDOWN(INDEX(Y$4:Y1350,MATCH(LARGE(FILTER(W$4:W1350,W$4:W1350&lt;=I415),1),W$4:W1350"&amp;"))+(I415-LARGE(FILTER(W$4:W1350,W$4:W1350&lt;=I415),1))*INDEX(T$4:T1350,MATCH(LARGE(FILTER(W$4:W1350,W$4:W1350&lt;=I415),1),W$4:W1350))-K415),1,
ROUNDDOWN(Y415-INDEX(K$4:K1350,MATCH(LARGE(FILTER(I$4:I1350,I$4:I1350&lt;=W415),1),I$4:I1350))-(W415-LARGE(FILTER(I$4:I"&amp;"1350,I$4:I1350&lt;=W415),1))*INDEX(F$4:F1350,MATCH(LARGE(FILTER(I$4:I1350,I$4:I1350&lt;=W415),1),I$4:I1350))))"),9.2200067E7)</f>
        <v>92200067</v>
      </c>
      <c r="N415" s="60">
        <f t="shared" si="8"/>
        <v>-224.58761</v>
      </c>
      <c r="O415" s="61" t="str">
        <f t="shared" si="9"/>
        <v>92,2M</v>
      </c>
      <c r="P415" s="56">
        <f t="shared" si="10"/>
        <v>20</v>
      </c>
      <c r="Q415" s="105" t="s">
        <v>10</v>
      </c>
      <c r="R415" s="10" t="b">
        <f>IFERROR(__xludf.DUMMYFUNCTION("IF(COUNTA(Q415:Q1350)=0,"""",IF(ISBLANK(Q415),FALSE,IF(NOT(COUNTIF($AA$24:$AA$34,SUBSTITUTE(Q415,""Sell_"",""""))),1,IF(REGEXMATCH(Q415,""Sell_""),IF(COUNTIF(Q$4:Q415,SUBSTITUTE(Q415,""Sell_"",""""))-COUNTIF(Q$4:Q414,Q415)&lt;1,1),FALSE))))"),FALSE)</f>
        <v>0</v>
      </c>
      <c r="S415" s="59">
        <f t="array" ref="S415">IF(COUNTA(Q415:Q1350)=0,"",SUM((COUNTIF(Q$4:Q415,Upgrades!$B$3:$B$13)-COUNTIF(Q$4:Q415,"Sell_"&amp;Upgrades!$B$3:$B$13))*Upgrades!$D$3:$D$13))</f>
        <v>438307.8</v>
      </c>
      <c r="T415" s="66">
        <f>IFERROR(__xludf.DUMMYFUNCTION("IF(COUNTA(Q415:Q1350)=0,"""",IF(REGEXMATCH(INDEX(FILTER(Q$4:Q415,Q$4:Q415&lt;&gt;""""),ROWS(FILTER(Q$4:Q415,Q$4:Q415&lt;&gt;""""))),""^Sell_""),INDEX(FILTER(T$4:T414,Q$4:Q414&lt;&gt;""""),ROWS(FILTER(Q$4:Q414,Q$4:Q414&lt;&gt;""""))),$AD$5+S415))"),438507.8)</f>
        <v>438507.8</v>
      </c>
      <c r="U415" s="10">
        <f>IFERROR(__xludf.DUMMYFUNCTION("IF(COUNTA(Q415:Q1350)=0,"""",IF(Q415="""",0,IF(REGEXMATCH(Q415,""^Sell_""),-ROUNDDOWN(ROUNDUP(INDEX(Upgrades!$C$3:$C$13,MATCH(SUBSTITUTE(Q415,""Sell_"",""""),Upgrades!$B$3:$B$13,0))*1.15^(COUNTIF(Q$4:Q414,SUBSTITUTE(Q415,""Sell_"",""""))-COUNTIF(Q$4:Q414,"&amp;"""Sell_""&amp;SUBSTITUTE(Q415,""Sell_"",""""))))/2),ROUNDUP(INDEX(Upgrades!$C$3:$C$13,MATCH(Q415,Upgrades!$B$3:$B$13,0))*1.15^(COUNTIF(Q$4:Q414,Q415)-COUNTIF(Q$4:Q414,""Sell_""&amp;Q415))))))"),2.371961E7)</f>
        <v>23719610</v>
      </c>
      <c r="V415" s="10">
        <f t="shared" si="11"/>
        <v>23719610</v>
      </c>
      <c r="W415" s="68">
        <f t="shared" si="12"/>
        <v>6084.907819</v>
      </c>
      <c r="X415" s="59" t="str">
        <f t="shared" si="13"/>
        <v>1h 41m 24s</v>
      </c>
      <c r="Y415" s="69">
        <f t="shared" si="14"/>
        <v>666304881</v>
      </c>
      <c r="Z415" s="11"/>
    </row>
    <row r="416">
      <c r="A416" s="8"/>
      <c r="B416" s="56" t="str">
        <f t="shared" si="2"/>
        <v/>
      </c>
      <c r="C416" s="57"/>
      <c r="D416" s="10" t="str">
        <f>IFERROR(__xludf.DUMMYFUNCTION("IF(COUNTA(C416:C1350)=0,"""",IF(ISBLANK(C416),FALSE,IF(NOT(COUNTIF($AA$24:$AA$34,SUBSTITUTE(C416,""Sell_"",""""))),1,IF(REGEXMATCH(C416,""Sell_""),IF(COUNTIF(C$4:C416,SUBSTITUTE(C416,""Sell_"",""""))-COUNTIF(C$4:C415,C416)&lt;1,1),FALSE))))"),"")</f>
        <v/>
      </c>
      <c r="E416" s="59" t="str">
        <f t="array" ref="E416">IF(COUNTA(C416:C1350)=0,"",SUM((COUNTIF(C$4:C416,Upgrades!$B$3:$B$13)-COUNTIF(C$4:C416,"Sell_"&amp;Upgrades!$B$3:$B$13))*Upgrades!$D$3:$D$13))</f>
        <v/>
      </c>
      <c r="F416" s="66" t="str">
        <f>IFERROR(__xludf.DUMMYFUNCTION("IF(COUNTA(C416:C1350)=0,"""",IF(REGEXMATCH(INDEX(FILTER(C$4:C416,C$4:C416&lt;&gt;""""),ROWS(FILTER(C$4:C416,C$4:C416&lt;&gt;""""))),""^Sell_""),INDEX(FILTER(F$4:F415,C$4:C415&lt;&gt;""""),ROWS(FILTER(C$4:C415,C$4:C415&lt;&gt;""""))),$AC$5+E416))"),"")</f>
        <v/>
      </c>
      <c r="G416" s="10" t="str">
        <f>IFERROR(__xludf.DUMMYFUNCTION("IF(COUNTA(C416:C1350)=0,"""",IF(C416="""",0,IF(REGEXMATCH(C416,""^Sell_""),-ROUNDDOWN(ROUNDUP(INDEX(Upgrades!$C$3:$C$13,MATCH(SUBSTITUTE(C416,""Sell_"",""""),Upgrades!$B$3:$B$13,0))*1.15^(COUNTIF(C$4:C415,SUBSTITUTE(C416,""Sell_"",""""))-COUNTIF(C$4:C415,"&amp;"""Sell_""&amp;SUBSTITUTE(C416,""Sell_"",""""))))/2),ROUNDUP(INDEX(Upgrades!$C$3:$C$13,MATCH(C416,Upgrades!$B$3:$B$13,0))*1.15^(COUNTIF(C$4:C415,C416)-COUNTIF(C$4:C415,""Sell_""&amp;C416))))))"),"")</f>
        <v/>
      </c>
      <c r="H416" s="10" t="str">
        <f t="shared" si="3"/>
        <v/>
      </c>
      <c r="I416" s="68" t="str">
        <f t="shared" si="4"/>
        <v/>
      </c>
      <c r="J416" s="59" t="str">
        <f t="shared" si="5"/>
        <v/>
      </c>
      <c r="K416" s="69" t="str">
        <f t="shared" si="6"/>
        <v/>
      </c>
      <c r="L416" s="60">
        <f t="shared" si="7"/>
        <v>-224.59338</v>
      </c>
      <c r="M416" s="61">
        <f>IFERROR(__xludf.DUMMYFUNCTION("IFS(AND(COUNTA(C416:C1350)=0,COUNTA(Q416:Q1350)=0),"""",OR(AND(K416&gt;=1000000000,OR(Y416&gt;=1000000000,COUNTA(Q416:Q1350)=0)),OR(Y416&gt;=1000000000,AND(COUNTA(C416:C1350)=0,P$3=TRUE))),
ROUNDDOWN((AB$1-AC$1)*MAX(INDEX(T$4:T1350,MATCH(LARGE(FILTER(Y$4:Y1350,Y$4"&amp;":Y1350&lt;1000000000),1),Y$4:Y1350)),INDEX(F$4:F1350,MATCH(LARGE(FILTER(K$4:K1350,K$4:K1350&lt;1000000000),1),K$4:K1350)))),AND(K416&lt;1000000000,COUNTA(C416:C1350)&gt;0,P$3=FALSE),
ROUNDDOWN(INDEX(Y$4:Y1350,MATCH(LARGE(FILTER(W$4:W1350,W$4:W1350&lt;=I416),1),W$4:W1350"&amp;"))+(I416-LARGE(FILTER(W$4:W1350,W$4:W1350&lt;=I416),1))*INDEX(T$4:T1350,MATCH(LARGE(FILTER(W$4:W1350,W$4:W1350&lt;=I416),1),W$4:W1350))-K416),1,
ROUNDDOWN(Y416-INDEX(K$4:K1350,MATCH(LARGE(FILTER(I$4:I1350,I$4:I1350&lt;=W416),1),I$4:I1350))-(W416-LARGE(FILTER(I$4:I"&amp;"1350,I$4:I1350&lt;=W416),1))*INDEX(F$4:F1350,MATCH(LARGE(FILTER(I$4:I1350,I$4:I1350&lt;=W416),1),I$4:I1350))))"),9.2202435E7)</f>
        <v>92202435</v>
      </c>
      <c r="N416" s="60">
        <f t="shared" si="8"/>
        <v>-224.59338</v>
      </c>
      <c r="O416" s="61" t="str">
        <f t="shared" si="9"/>
        <v>92,2M</v>
      </c>
      <c r="P416" s="56">
        <f t="shared" si="10"/>
        <v>19</v>
      </c>
      <c r="Q416" s="105" t="s">
        <v>6</v>
      </c>
      <c r="R416" s="10" t="b">
        <f>IFERROR(__xludf.DUMMYFUNCTION("IF(COUNTA(Q416:Q1350)=0,"""",IF(ISBLANK(Q416),FALSE,IF(NOT(COUNTIF($AA$24:$AA$34,SUBSTITUTE(Q416,""Sell_"",""""))),1,IF(REGEXMATCH(Q416,""Sell_""),IF(COUNTIF(Q$4:Q416,SUBSTITUTE(Q416,""Sell_"",""""))-COUNTIF(Q$4:Q415,Q416)&lt;1,1),FALSE))))"),FALSE)</f>
        <v>0</v>
      </c>
      <c r="S416" s="59">
        <f t="array" ref="S416">IF(COUNTA(Q416:Q1350)=0,"",SUM((COUNTIF(Q$4:Q416,Upgrades!$B$3:$B$13)-COUNTIF(Q$4:Q416,"Sell_"&amp;Upgrades!$B$3:$B$13))*Upgrades!$D$3:$D$13))</f>
        <v>438317.8</v>
      </c>
      <c r="T416" s="66">
        <f>IFERROR(__xludf.DUMMYFUNCTION("IF(COUNTA(Q416:Q1350)=0,"""",IF(REGEXMATCH(INDEX(FILTER(Q$4:Q416,Q$4:Q416&lt;&gt;""""),ROWS(FILTER(Q$4:Q416,Q$4:Q416&lt;&gt;""""))),""^Sell_""),INDEX(FILTER(T$4:T415,Q$4:Q415&lt;&gt;""""),ROWS(FILTER(Q$4:Q415,Q$4:Q415&lt;&gt;""""))),$AD$5+S416))"),438517.8)</f>
        <v>438517.8</v>
      </c>
      <c r="U416" s="10">
        <f>IFERROR(__xludf.DUMMYFUNCTION("IF(COUNTA(Q416:Q1350)=0,"""",IF(Q416="""",0,IF(REGEXMATCH(Q416,""^Sell_""),-ROUNDDOWN(ROUNDUP(INDEX(Upgrades!$C$3:$C$13,MATCH(SUBSTITUTE(Q416,""Sell_"",""""),Upgrades!$B$3:$B$13,0))*1.15^(COUNTIF(Q$4:Q415,SUBSTITUTE(Q416,""Sell_"",""""))-COUNTIF(Q$4:Q415,"&amp;"""Sell_""&amp;SUBSTITUTE(Q416,""Sell_"",""""))))/2),ROUNDUP(INDEX(Upgrades!$C$3:$C$13,MATCH(Q416,Upgrades!$B$3:$B$13,0))*1.15^(COUNTIF(Q$4:Q415,Q416)-COUNTIF(Q$4:Q415,""Sell_""&amp;Q416))))))"),37127.0)</f>
        <v>37127</v>
      </c>
      <c r="V416" s="10">
        <f t="shared" si="11"/>
        <v>37127</v>
      </c>
      <c r="W416" s="68">
        <f t="shared" si="12"/>
        <v>6084.992485</v>
      </c>
      <c r="X416" s="59" t="str">
        <f t="shared" si="13"/>
        <v>1h 41m 24s</v>
      </c>
      <c r="Y416" s="69">
        <f t="shared" si="14"/>
        <v>666342008</v>
      </c>
      <c r="Z416" s="11"/>
    </row>
    <row r="417">
      <c r="A417" s="8"/>
      <c r="B417" s="56" t="str">
        <f t="shared" si="2"/>
        <v/>
      </c>
      <c r="C417" s="57"/>
      <c r="D417" s="10" t="str">
        <f>IFERROR(__xludf.DUMMYFUNCTION("IF(COUNTA(C417:C1350)=0,"""",IF(ISBLANK(C417),FALSE,IF(NOT(COUNTIF($AA$24:$AA$34,SUBSTITUTE(C417,""Sell_"",""""))),1,IF(REGEXMATCH(C417,""Sell_""),IF(COUNTIF(C$4:C417,SUBSTITUTE(C417,""Sell_"",""""))-COUNTIF(C$4:C416,C417)&lt;1,1),FALSE))))"),"")</f>
        <v/>
      </c>
      <c r="E417" s="59" t="str">
        <f t="array" ref="E417">IF(COUNTA(C417:C1350)=0,"",SUM((COUNTIF(C$4:C417,Upgrades!$B$3:$B$13)-COUNTIF(C$4:C417,"Sell_"&amp;Upgrades!$B$3:$B$13))*Upgrades!$D$3:$D$13))</f>
        <v/>
      </c>
      <c r="F417" s="66" t="str">
        <f>IFERROR(__xludf.DUMMYFUNCTION("IF(COUNTA(C417:C1350)=0,"""",IF(REGEXMATCH(INDEX(FILTER(C$4:C417,C$4:C417&lt;&gt;""""),ROWS(FILTER(C$4:C417,C$4:C417&lt;&gt;""""))),""^Sell_""),INDEX(FILTER(F$4:F416,C$4:C416&lt;&gt;""""),ROWS(FILTER(C$4:C416,C$4:C416&lt;&gt;""""))),$AC$5+E417))"),"")</f>
        <v/>
      </c>
      <c r="G417" s="10" t="str">
        <f>IFERROR(__xludf.DUMMYFUNCTION("IF(COUNTA(C417:C1350)=0,"""",IF(C417="""",0,IF(REGEXMATCH(C417,""^Sell_""),-ROUNDDOWN(ROUNDUP(INDEX(Upgrades!$C$3:$C$13,MATCH(SUBSTITUTE(C417,""Sell_"",""""),Upgrades!$B$3:$B$13,0))*1.15^(COUNTIF(C$4:C416,SUBSTITUTE(C417,""Sell_"",""""))-COUNTIF(C$4:C416,"&amp;"""Sell_""&amp;SUBSTITUTE(C417,""Sell_"",""""))))/2),ROUNDUP(INDEX(Upgrades!$C$3:$C$13,MATCH(C417,Upgrades!$B$3:$B$13,0))*1.15^(COUNTIF(C$4:C416,C417)-COUNTIF(C$4:C416,""Sell_""&amp;C417))))))"),"")</f>
        <v/>
      </c>
      <c r="H417" s="10" t="str">
        <f t="shared" si="3"/>
        <v/>
      </c>
      <c r="I417" s="68" t="str">
        <f t="shared" si="4"/>
        <v/>
      </c>
      <c r="J417" s="59" t="str">
        <f t="shared" si="5"/>
        <v/>
      </c>
      <c r="K417" s="69" t="str">
        <f t="shared" si="6"/>
        <v/>
      </c>
      <c r="L417" s="60">
        <f t="shared" si="7"/>
        <v>-224.59344</v>
      </c>
      <c r="M417" s="61">
        <f>IFERROR(__xludf.DUMMYFUNCTION("IFS(AND(COUNTA(C417:C1350)=0,COUNTA(Q417:Q1350)=0),"""",OR(AND(K417&gt;=1000000000,OR(Y417&gt;=1000000000,COUNTA(Q417:Q1350)=0)),OR(Y417&gt;=1000000000,AND(COUNTA(C417:C1350)=0,P$3=TRUE))),
ROUNDDOWN((AB$1-AC$1)*MAX(INDEX(T$4:T1350,MATCH(LARGE(FILTER(Y$4:Y1350,Y$4"&amp;":Y1350&lt;1000000000),1),Y$4:Y1350)),INDEX(F$4:F1350,MATCH(LARGE(FILTER(K$4:K1350,K$4:K1350&lt;1000000000),1),K$4:K1350)))),AND(K417&lt;1000000000,COUNTA(C417:C1350)&gt;0,P$3=FALSE),
ROUNDDOWN(INDEX(Y$4:Y1350,MATCH(LARGE(FILTER(W$4:W1350,W$4:W1350&lt;=I417),1),W$4:W1350"&amp;"))+(I417-LARGE(FILTER(W$4:W1350,W$4:W1350&lt;=I417),1))*INDEX(T$4:T1350,MATCH(LARGE(FILTER(W$4:W1350,W$4:W1350&lt;=I417),1),W$4:W1350))-K417),1,
ROUNDDOWN(Y417-INDEX(K$4:K1350,MATCH(LARGE(FILTER(I$4:I1350,I$4:I1350&lt;=W417),1),I$4:I1350))-(W417-LARGE(FILTER(I$4:I"&amp;"1350,I$4:I1350&lt;=W417),1))*INDEX(F$4:F1350,MATCH(LARGE(FILTER(I$4:I1350,I$4:I1350&lt;=W417),1),I$4:I1350))))"),9.2202459E7)</f>
        <v>92202459</v>
      </c>
      <c r="N417" s="60">
        <f t="shared" si="8"/>
        <v>-224.59344</v>
      </c>
      <c r="O417" s="61" t="str">
        <f t="shared" si="9"/>
        <v>92,2M</v>
      </c>
      <c r="P417" s="56">
        <f t="shared" si="10"/>
        <v>24</v>
      </c>
      <c r="Q417" s="105" t="s">
        <v>3</v>
      </c>
      <c r="R417" s="10" t="b">
        <f>IFERROR(__xludf.DUMMYFUNCTION("IF(COUNTA(Q417:Q1350)=0,"""",IF(ISBLANK(Q417),FALSE,IF(NOT(COUNTIF($AA$24:$AA$34,SUBSTITUTE(Q417,""Sell_"",""""))),1,IF(REGEXMATCH(Q417,""Sell_""),IF(COUNTIF(Q$4:Q417,SUBSTITUTE(Q417,""Sell_"",""""))-COUNTIF(Q$4:Q416,Q417)&lt;1,1),FALSE))))"),FALSE)</f>
        <v>0</v>
      </c>
      <c r="S417" s="59">
        <f t="array" ref="S417">IF(COUNTA(Q417:Q1350)=0,"",SUM((COUNTIF(Q$4:Q417,Upgrades!$B$3:$B$13)-COUNTIF(Q$4:Q417,"Sell_"&amp;Upgrades!$B$3:$B$13))*Upgrades!$D$3:$D$13))</f>
        <v>438317.9</v>
      </c>
      <c r="T417" s="66">
        <f>IFERROR(__xludf.DUMMYFUNCTION("IF(COUNTA(Q417:Q1350)=0,"""",IF(REGEXMATCH(INDEX(FILTER(Q$4:Q417,Q$4:Q417&lt;&gt;""""),ROWS(FILTER(Q$4:Q417,Q$4:Q417&lt;&gt;""""))),""^Sell_""),INDEX(FILTER(T$4:T416,Q$4:Q416&lt;&gt;""""),ROWS(FILTER(Q$4:Q416,Q$4:Q416&lt;&gt;""""))),$AD$5+S417))"),438517.9)</f>
        <v>438517.9</v>
      </c>
      <c r="U417" s="10">
        <f>IFERROR(__xludf.DUMMYFUNCTION("IF(COUNTA(Q417:Q1350)=0,"""",IF(Q417="""",0,IF(REGEXMATCH(Q417,""^Sell_""),-ROUNDDOWN(ROUNDUP(INDEX(Upgrades!$C$3:$C$13,MATCH(SUBSTITUTE(Q417,""Sell_"",""""),Upgrades!$B$3:$B$13,0))*1.15^(COUNTIF(Q$4:Q416,SUBSTITUTE(Q417,""Sell_"",""""))-COUNTIF(Q$4:Q416,"&amp;"""Sell_""&amp;SUBSTITUTE(Q417,""Sell_"",""""))))/2),ROUNDUP(INDEX(Upgrades!$C$3:$C$13,MATCH(Q417,Upgrades!$B$3:$B$13,0))*1.15^(COUNTIF(Q$4:Q416,Q417)-COUNTIF(Q$4:Q416,""Sell_""&amp;Q417))))))"),374.0)</f>
        <v>374</v>
      </c>
      <c r="V417" s="10">
        <f t="shared" si="11"/>
        <v>374</v>
      </c>
      <c r="W417" s="68">
        <f t="shared" si="12"/>
        <v>6084.993338</v>
      </c>
      <c r="X417" s="59" t="str">
        <f t="shared" si="13"/>
        <v>1h 41m 24s</v>
      </c>
      <c r="Y417" s="69">
        <f t="shared" si="14"/>
        <v>666342382</v>
      </c>
      <c r="Z417" s="11"/>
    </row>
    <row r="418">
      <c r="A418" s="8"/>
      <c r="B418" s="56" t="str">
        <f t="shared" si="2"/>
        <v/>
      </c>
      <c r="C418" s="57"/>
      <c r="D418" s="10" t="str">
        <f>IFERROR(__xludf.DUMMYFUNCTION("IF(COUNTA(C418:C1350)=0,"""",IF(ISBLANK(C418),FALSE,IF(NOT(COUNTIF($AA$24:$AA$34,SUBSTITUTE(C418,""Sell_"",""""))),1,IF(REGEXMATCH(C418,""Sell_""),IF(COUNTIF(C$4:C418,SUBSTITUTE(C418,""Sell_"",""""))-COUNTIF(C$4:C417,C418)&lt;1,1),FALSE))))"),"")</f>
        <v/>
      </c>
      <c r="E418" s="59" t="str">
        <f t="array" ref="E418">IF(COUNTA(C418:C1350)=0,"",SUM((COUNTIF(C$4:C418,Upgrades!$B$3:$B$13)-COUNTIF(C$4:C418,"Sell_"&amp;Upgrades!$B$3:$B$13))*Upgrades!$D$3:$D$13))</f>
        <v/>
      </c>
      <c r="F418" s="66" t="str">
        <f>IFERROR(__xludf.DUMMYFUNCTION("IF(COUNTA(C418:C1350)=0,"""",IF(REGEXMATCH(INDEX(FILTER(C$4:C418,C$4:C418&lt;&gt;""""),ROWS(FILTER(C$4:C418,C$4:C418&lt;&gt;""""))),""^Sell_""),INDEX(FILTER(F$4:F417,C$4:C417&lt;&gt;""""),ROWS(FILTER(C$4:C417,C$4:C417&lt;&gt;""""))),$AC$5+E418))"),"")</f>
        <v/>
      </c>
      <c r="G418" s="10" t="str">
        <f>IFERROR(__xludf.DUMMYFUNCTION("IF(COUNTA(C418:C1350)=0,"""",IF(C418="""",0,IF(REGEXMATCH(C418,""^Sell_""),-ROUNDDOWN(ROUNDUP(INDEX(Upgrades!$C$3:$C$13,MATCH(SUBSTITUTE(C418,""Sell_"",""""),Upgrades!$B$3:$B$13,0))*1.15^(COUNTIF(C$4:C417,SUBSTITUTE(C418,""Sell_"",""""))-COUNTIF(C$4:C417,"&amp;"""Sell_""&amp;SUBSTITUTE(C418,""Sell_"",""""))))/2),ROUNDUP(INDEX(Upgrades!$C$3:$C$13,MATCH(C418,Upgrades!$B$3:$B$13,0))*1.15^(COUNTIF(C$4:C417,C418)-COUNTIF(C$4:C417,""Sell_""&amp;C418))))))"),"")</f>
        <v/>
      </c>
      <c r="H418" s="10" t="str">
        <f t="shared" si="3"/>
        <v/>
      </c>
      <c r="I418" s="68" t="str">
        <f t="shared" si="4"/>
        <v/>
      </c>
      <c r="J418" s="59" t="str">
        <f t="shared" si="5"/>
        <v/>
      </c>
      <c r="K418" s="69" t="str">
        <f t="shared" si="6"/>
        <v/>
      </c>
      <c r="L418" s="60">
        <f t="shared" si="7"/>
        <v>-224.65163</v>
      </c>
      <c r="M418" s="61">
        <f>IFERROR(__xludf.DUMMYFUNCTION("IFS(AND(COUNTA(C418:C1350)=0,COUNTA(Q418:Q1350)=0),"""",OR(AND(K418&gt;=1000000000,OR(Y418&gt;=1000000000,COUNTA(Q418:Q1350)=0)),OR(Y418&gt;=1000000000,AND(COUNTA(C418:C1350)=0,P$3=TRUE))),
ROUNDDOWN((AB$1-AC$1)*MAX(INDEX(T$4:T1350,MATCH(LARGE(FILTER(Y$4:Y1350,Y$4"&amp;":Y1350&lt;1000000000),1),Y$4:Y1350)),INDEX(F$4:F1350,MATCH(LARGE(FILTER(K$4:K1350,K$4:K1350&lt;1000000000),1),K$4:K1350)))),AND(K418&lt;1000000000,COUNTA(C418:C1350)&gt;0,P$3=FALSE),
ROUNDDOWN(INDEX(Y$4:Y1350,MATCH(LARGE(FILTER(W$4:W1350,W$4:W1350&lt;=I418),1),W$4:W1350"&amp;"))+(I418-LARGE(FILTER(W$4:W1350,W$4:W1350&lt;=I418),1))*INDEX(T$4:T1350,MATCH(LARGE(FILTER(W$4:W1350,W$4:W1350&lt;=I418),1),W$4:W1350))-K418),1,
ROUNDDOWN(Y418-INDEX(K$4:K1350,MATCH(LARGE(FILTER(I$4:I1350,I$4:I1350&lt;=W418),1),I$4:I1350))-(W418-LARGE(FILTER(I$4:I"&amp;"1350,I$4:I1350&lt;=W418),1))*INDEX(F$4:F1350,MATCH(LARGE(FILTER(I$4:I1350,I$4:I1350&lt;=W418),1),I$4:I1350))))"),9.2226348E7)</f>
        <v>92226348</v>
      </c>
      <c r="N418" s="60">
        <f t="shared" si="8"/>
        <v>-224.65163</v>
      </c>
      <c r="O418" s="61" t="str">
        <f t="shared" si="9"/>
        <v>92,2M</v>
      </c>
      <c r="P418" s="56">
        <f t="shared" si="10"/>
        <v>17</v>
      </c>
      <c r="Q418" s="105" t="s">
        <v>8</v>
      </c>
      <c r="R418" s="10" t="b">
        <f>IFERROR(__xludf.DUMMYFUNCTION("IF(COUNTA(Q418:Q1350)=0,"""",IF(ISBLANK(Q418),FALSE,IF(NOT(COUNTIF($AA$24:$AA$34,SUBSTITUTE(Q418,""Sell_"",""""))),1,IF(REGEXMATCH(Q418,""Sell_""),IF(COUNTIF(Q$4:Q418,SUBSTITUTE(Q418,""Sell_"",""""))-COUNTIF(Q$4:Q417,Q418)&lt;1,1),FALSE))))"),FALSE)</f>
        <v>0</v>
      </c>
      <c r="S418" s="59">
        <f t="array" ref="S418">IF(COUNTA(Q418:Q1350)=0,"",SUM((COUNTIF(Q$4:Q418,Upgrades!$B$3:$B$13)-COUNTIF(Q$4:Q418,"Sell_"&amp;Upgrades!$B$3:$B$13))*Upgrades!$D$3:$D$13))</f>
        <v>438417.9</v>
      </c>
      <c r="T418" s="66">
        <f>IFERROR(__xludf.DUMMYFUNCTION("IF(COUNTA(Q418:Q1350)=0,"""",IF(REGEXMATCH(INDEX(FILTER(Q$4:Q418,Q$4:Q418&lt;&gt;""""),ROWS(FILTER(Q$4:Q418,Q$4:Q418&lt;&gt;""""))),""^Sell_""),INDEX(FILTER(T$4:T417,Q$4:Q417&lt;&gt;""""),ROWS(FILTER(Q$4:Q417,Q$4:Q417&lt;&gt;""""))),$AD$5+S418))"),438617.9)</f>
        <v>438617.9</v>
      </c>
      <c r="U418" s="10">
        <f>IFERROR(__xludf.DUMMYFUNCTION("IF(COUNTA(Q418:Q1350)=0,"""",IF(Q418="""",0,IF(REGEXMATCH(Q418,""^Sell_""),-ROUNDDOWN(ROUNDUP(INDEX(Upgrades!$C$3:$C$13,MATCH(SUBSTITUTE(Q418,""Sell_"",""""),Upgrades!$B$3:$B$13,0))*1.15^(COUNTIF(Q$4:Q417,SUBSTITUTE(Q418,""Sell_"",""""))-COUNTIF(Q$4:Q417,"&amp;"""Sell_""&amp;SUBSTITUTE(Q418,""Sell_"",""""))))/2),ROUNDUP(INDEX(Upgrades!$C$3:$C$13,MATCH(Q418,Upgrades!$B$3:$B$13,0))*1.15^(COUNTIF(Q$4:Q417,Q418)-COUNTIF(Q$4:Q417,""Sell_""&amp;Q418))))))"),374305.0)</f>
        <v>374305</v>
      </c>
      <c r="V418" s="10">
        <f t="shared" si="11"/>
        <v>374305</v>
      </c>
      <c r="W418" s="68">
        <f t="shared" si="12"/>
        <v>6085.846907</v>
      </c>
      <c r="X418" s="59" t="str">
        <f t="shared" si="13"/>
        <v>1h 41m 25s</v>
      </c>
      <c r="Y418" s="69">
        <f t="shared" si="14"/>
        <v>666716687</v>
      </c>
      <c r="Z418" s="11"/>
    </row>
    <row r="419">
      <c r="A419" s="8"/>
      <c r="B419" s="56" t="str">
        <f t="shared" si="2"/>
        <v/>
      </c>
      <c r="C419" s="57"/>
      <c r="D419" s="10" t="str">
        <f>IFERROR(__xludf.DUMMYFUNCTION("IF(COUNTA(C419:C1350)=0,"""",IF(ISBLANK(C419),FALSE,IF(NOT(COUNTIF($AA$24:$AA$34,SUBSTITUTE(C419,""Sell_"",""""))),1,IF(REGEXMATCH(C419,""Sell_""),IF(COUNTIF(C$4:C419,SUBSTITUTE(C419,""Sell_"",""""))-COUNTIF(C$4:C418,C419)&lt;1,1),FALSE))))"),"")</f>
        <v/>
      </c>
      <c r="E419" s="59" t="str">
        <f t="array" ref="E419">IF(COUNTA(C419:C1350)=0,"",SUM((COUNTIF(C$4:C419,Upgrades!$B$3:$B$13)-COUNTIF(C$4:C419,"Sell_"&amp;Upgrades!$B$3:$B$13))*Upgrades!$D$3:$D$13))</f>
        <v/>
      </c>
      <c r="F419" s="66" t="str">
        <f>IFERROR(__xludf.DUMMYFUNCTION("IF(COUNTA(C419:C1350)=0,"""",IF(REGEXMATCH(INDEX(FILTER(C$4:C419,C$4:C419&lt;&gt;""""),ROWS(FILTER(C$4:C419,C$4:C419&lt;&gt;""""))),""^Sell_""),INDEX(FILTER(F$4:F418,C$4:C418&lt;&gt;""""),ROWS(FILTER(C$4:C418,C$4:C418&lt;&gt;""""))),$AC$5+E419))"),"")</f>
        <v/>
      </c>
      <c r="G419" s="10" t="str">
        <f>IFERROR(__xludf.DUMMYFUNCTION("IF(COUNTA(C419:C1350)=0,"""",IF(C419="""",0,IF(REGEXMATCH(C419,""^Sell_""),-ROUNDDOWN(ROUNDUP(INDEX(Upgrades!$C$3:$C$13,MATCH(SUBSTITUTE(C419,""Sell_"",""""),Upgrades!$B$3:$B$13,0))*1.15^(COUNTIF(C$4:C418,SUBSTITUTE(C419,""Sell_"",""""))-COUNTIF(C$4:C418,"&amp;"""Sell_""&amp;SUBSTITUTE(C419,""Sell_"",""""))))/2),ROUNDUP(INDEX(Upgrades!$C$3:$C$13,MATCH(C419,Upgrades!$B$3:$B$13,0))*1.15^(COUNTIF(C$4:C418,C419)-COUNTIF(C$4:C418,""Sell_""&amp;C419))))))"),"")</f>
        <v/>
      </c>
      <c r="H419" s="10" t="str">
        <f t="shared" si="3"/>
        <v/>
      </c>
      <c r="I419" s="68" t="str">
        <f t="shared" si="4"/>
        <v/>
      </c>
      <c r="J419" s="59" t="str">
        <f t="shared" si="5"/>
        <v/>
      </c>
      <c r="K419" s="69" t="str">
        <f t="shared" si="6"/>
        <v/>
      </c>
      <c r="L419" s="60">
        <f t="shared" si="7"/>
        <v>-224.65193</v>
      </c>
      <c r="M419" s="61">
        <f>IFERROR(__xludf.DUMMYFUNCTION("IFS(AND(COUNTA(C419:C1350)=0,COUNTA(Q419:Q1350)=0),"""",OR(AND(K419&gt;=1000000000,OR(Y419&gt;=1000000000,COUNTA(Q419:Q1350)=0)),OR(Y419&gt;=1000000000,AND(COUNTA(C419:C1350)=0,P$3=TRUE))),
ROUNDDOWN((AB$1-AC$1)*MAX(INDEX(T$4:T1350,MATCH(LARGE(FILTER(Y$4:Y1350,Y$4"&amp;":Y1350&lt;1000000000),1),Y$4:Y1350)),INDEX(F$4:F1350,MATCH(LARGE(FILTER(K$4:K1350,K$4:K1350&lt;1000000000),1),K$4:K1350)))),AND(K419&lt;1000000000,COUNTA(C419:C1350)&gt;0,P$3=FALSE),
ROUNDDOWN(INDEX(Y$4:Y1350,MATCH(LARGE(FILTER(W$4:W1350,W$4:W1350&lt;=I419),1),W$4:W1350"&amp;"))+(I419-LARGE(FILTER(W$4:W1350,W$4:W1350&lt;=I419),1))*INDEX(T$4:T1350,MATCH(LARGE(FILTER(W$4:W1350,W$4:W1350&lt;=I419),1),W$4:W1350))-K419),1,
ROUNDDOWN(Y419-INDEX(K$4:K1350,MATCH(LARGE(FILTER(I$4:I1350,I$4:I1350&lt;=W419),1),I$4:I1350))-(W419-LARGE(FILTER(I$4:I"&amp;"1350,I$4:I1350&lt;=W419),1))*INDEX(F$4:F1350,MATCH(LARGE(FILTER(I$4:I1350,I$4:I1350&lt;=W419),1),I$4:I1350))))"),9.2226469E7)</f>
        <v>92226469</v>
      </c>
      <c r="N419" s="60">
        <f t="shared" si="8"/>
        <v>-224.65193</v>
      </c>
      <c r="O419" s="61" t="str">
        <f t="shared" si="9"/>
        <v>92,2M</v>
      </c>
      <c r="P419" s="56">
        <f t="shared" si="10"/>
        <v>22</v>
      </c>
      <c r="Q419" s="105" t="s">
        <v>4</v>
      </c>
      <c r="R419" s="10" t="b">
        <f>IFERROR(__xludf.DUMMYFUNCTION("IF(COUNTA(Q419:Q1350)=0,"""",IF(ISBLANK(Q419),FALSE,IF(NOT(COUNTIF($AA$24:$AA$34,SUBSTITUTE(Q419,""Sell_"",""""))),1,IF(REGEXMATCH(Q419,""Sell_""),IF(COUNTIF(Q$4:Q419,SUBSTITUTE(Q419,""Sell_"",""""))-COUNTIF(Q$4:Q418,Q419)&lt;1,1),FALSE))))"),FALSE)</f>
        <v>0</v>
      </c>
      <c r="S419" s="59">
        <f t="array" ref="S419">IF(COUNTA(Q419:Q1350)=0,"",SUM((COUNTIF(Q$4:Q419,Upgrades!$B$3:$B$13)-COUNTIF(Q$4:Q419,"Sell_"&amp;Upgrades!$B$3:$B$13))*Upgrades!$D$3:$D$13))</f>
        <v>438418.4</v>
      </c>
      <c r="T419" s="66">
        <f>IFERROR(__xludf.DUMMYFUNCTION("IF(COUNTA(Q419:Q1350)=0,"""",IF(REGEXMATCH(INDEX(FILTER(Q$4:Q419,Q$4:Q419&lt;&gt;""""),ROWS(FILTER(Q$4:Q419,Q$4:Q419&lt;&gt;""""))),""^Sell_""),INDEX(FILTER(T$4:T418,Q$4:Q418&lt;&gt;""""),ROWS(FILTER(Q$4:Q418,Q$4:Q418&lt;&gt;""""))),$AD$5+S419))"),438618.4)</f>
        <v>438618.4</v>
      </c>
      <c r="U419" s="10">
        <f>IFERROR(__xludf.DUMMYFUNCTION("IF(COUNTA(Q419:Q1350)=0,"""",IF(Q419="""",0,IF(REGEXMATCH(Q419,""^Sell_""),-ROUNDDOWN(ROUNDUP(INDEX(Upgrades!$C$3:$C$13,MATCH(SUBSTITUTE(Q419,""Sell_"",""""),Upgrades!$B$3:$B$13,0))*1.15^(COUNTIF(Q$4:Q418,SUBSTITUTE(Q419,""Sell_"",""""))-COUNTIF(Q$4:Q418,"&amp;"""Sell_""&amp;SUBSTITUTE(Q419,""Sell_"",""""))))/2),ROUNDUP(INDEX(Upgrades!$C$3:$C$13,MATCH(Q419,Upgrades!$B$3:$B$13,0))*1.15^(COUNTIF(Q$4:Q418,Q419)-COUNTIF(Q$4:Q418,""Sell_""&amp;Q419))))))"),1883.0)</f>
        <v>1883</v>
      </c>
      <c r="V419" s="10">
        <f t="shared" si="11"/>
        <v>1883</v>
      </c>
      <c r="W419" s="68">
        <f t="shared" si="12"/>
        <v>6085.8512</v>
      </c>
      <c r="X419" s="59" t="str">
        <f t="shared" si="13"/>
        <v>1h 41m 25s</v>
      </c>
      <c r="Y419" s="69">
        <f t="shared" si="14"/>
        <v>666718570</v>
      </c>
      <c r="Z419" s="11"/>
    </row>
    <row r="420">
      <c r="A420" s="8"/>
      <c r="B420" s="56" t="str">
        <f t="shared" si="2"/>
        <v/>
      </c>
      <c r="C420" s="57"/>
      <c r="D420" s="10" t="str">
        <f>IFERROR(__xludf.DUMMYFUNCTION("IF(COUNTA(C420:C1350)=0,"""",IF(ISBLANK(C420),FALSE,IF(NOT(COUNTIF($AA$24:$AA$34,SUBSTITUTE(C420,""Sell_"",""""))),1,IF(REGEXMATCH(C420,""Sell_""),IF(COUNTIF(C$4:C420,SUBSTITUTE(C420,""Sell_"",""""))-COUNTIF(C$4:C419,C420)&lt;1,1),FALSE))))"),"")</f>
        <v/>
      </c>
      <c r="E420" s="59" t="str">
        <f t="array" ref="E420">IF(COUNTA(C420:C1350)=0,"",SUM((COUNTIF(C$4:C420,Upgrades!$B$3:$B$13)-COUNTIF(C$4:C420,"Sell_"&amp;Upgrades!$B$3:$B$13))*Upgrades!$D$3:$D$13))</f>
        <v/>
      </c>
      <c r="F420" s="66" t="str">
        <f>IFERROR(__xludf.DUMMYFUNCTION("IF(COUNTA(C420:C1350)=0,"""",IF(REGEXMATCH(INDEX(FILTER(C$4:C420,C$4:C420&lt;&gt;""""),ROWS(FILTER(C$4:C420,C$4:C420&lt;&gt;""""))),""^Sell_""),INDEX(FILTER(F$4:F419,C$4:C419&lt;&gt;""""),ROWS(FILTER(C$4:C419,C$4:C419&lt;&gt;""""))),$AC$5+E420))"),"")</f>
        <v/>
      </c>
      <c r="G420" s="10" t="str">
        <f>IFERROR(__xludf.DUMMYFUNCTION("IF(COUNTA(C420:C1350)=0,"""",IF(C420="""",0,IF(REGEXMATCH(C420,""^Sell_""),-ROUNDDOWN(ROUNDUP(INDEX(Upgrades!$C$3:$C$13,MATCH(SUBSTITUTE(C420,""Sell_"",""""),Upgrades!$B$3:$B$13,0))*1.15^(COUNTIF(C$4:C419,SUBSTITUTE(C420,""Sell_"",""""))-COUNTIF(C$4:C419,"&amp;"""Sell_""&amp;SUBSTITUTE(C420,""Sell_"",""""))))/2),ROUNDUP(INDEX(Upgrades!$C$3:$C$13,MATCH(C420,Upgrades!$B$3:$B$13,0))*1.15^(COUNTIF(C$4:C419,C420)-COUNTIF(C$4:C419,""Sell_""&amp;C420))))))"),"")</f>
        <v/>
      </c>
      <c r="H420" s="10" t="str">
        <f t="shared" si="3"/>
        <v/>
      </c>
      <c r="I420" s="68" t="str">
        <f t="shared" si="4"/>
        <v/>
      </c>
      <c r="J420" s="59" t="str">
        <f t="shared" si="5"/>
        <v/>
      </c>
      <c r="K420" s="69" t="str">
        <f t="shared" si="6"/>
        <v/>
      </c>
      <c r="L420" s="60">
        <f t="shared" si="7"/>
        <v>-224.65193</v>
      </c>
      <c r="M420" s="61">
        <f>IFERROR(__xludf.DUMMYFUNCTION("IFS(AND(COUNTA(C420:C1350)=0,COUNTA(Q420:Q1350)=0),"""",OR(AND(K420&gt;=1000000000,OR(Y420&gt;=1000000000,COUNTA(Q420:Q1350)=0)),OR(Y420&gt;=1000000000,AND(COUNTA(C420:C1350)=0,P$3=TRUE))),
ROUNDDOWN((AB$1-AC$1)*MAX(INDEX(T$4:T1350,MATCH(LARGE(FILTER(Y$4:Y1350,Y$4"&amp;":Y1350&lt;1000000000),1),Y$4:Y1350)),INDEX(F$4:F1350,MATCH(LARGE(FILTER(K$4:K1350,K$4:K1350&lt;1000000000),1),K$4:K1350)))),AND(K420&lt;1000000000,COUNTA(C420:C1350)&gt;0,P$3=FALSE),
ROUNDDOWN(INDEX(Y$4:Y1350,MATCH(LARGE(FILTER(W$4:W1350,W$4:W1350&lt;=I420),1),W$4:W1350"&amp;"))+(I420-LARGE(FILTER(W$4:W1350,W$4:W1350&lt;=I420),1))*INDEX(T$4:T1350,MATCH(LARGE(FILTER(W$4:W1350,W$4:W1350&lt;=I420),1),W$4:W1350))-K420),1,
ROUNDDOWN(Y420-INDEX(K$4:K1350,MATCH(LARGE(FILTER(I$4:I1350,I$4:I1350&lt;=W420),1),I$4:I1350))-(W420-LARGE(FILTER(I$4:I"&amp;"1350,I$4:I1350&lt;=W420),1))*INDEX(F$4:F1350,MATCH(LARGE(FILTER(I$4:I1350,I$4:I1350&lt;=W420),1),I$4:I1350))))"),9.2226469E7)</f>
        <v>92226469</v>
      </c>
      <c r="N420" s="60">
        <f t="shared" si="8"/>
        <v>-224.65193</v>
      </c>
      <c r="O420" s="61" t="str">
        <f t="shared" si="9"/>
        <v>92,2M</v>
      </c>
      <c r="P420" s="56">
        <f t="shared" si="10"/>
        <v>12</v>
      </c>
      <c r="Q420" s="105" t="s">
        <v>64</v>
      </c>
      <c r="R420" s="10" t="b">
        <f>IFERROR(__xludf.DUMMYFUNCTION("IF(COUNTA(Q420:Q1350)=0,"""",IF(ISBLANK(Q420),FALSE,IF(NOT(COUNTIF($AA$24:$AA$34,SUBSTITUTE(Q420,""Sell_"",""""))),1,IF(REGEXMATCH(Q420,""Sell_""),IF(COUNTIF(Q$4:Q420,SUBSTITUTE(Q420,""Sell_"",""""))-COUNTIF(Q$4:Q419,Q420)&lt;1,1),FALSE))))"),FALSE)</f>
        <v>0</v>
      </c>
      <c r="S420" s="59">
        <f t="array" ref="S420">IF(COUNTA(Q420:Q1350)=0,"",SUM((COUNTIF(Q$4:Q420,Upgrades!$B$3:$B$13)-COUNTIF(Q$4:Q420,"Sell_"&amp;Upgrades!$B$3:$B$13))*Upgrades!$D$3:$D$13))</f>
        <v>431752.4</v>
      </c>
      <c r="T420" s="66">
        <f>IFERROR(__xludf.DUMMYFUNCTION("IF(COUNTA(Q420:Q1350)=0,"""",IF(REGEXMATCH(INDEX(FILTER(Q$4:Q420,Q$4:Q420&lt;&gt;""""),ROWS(FILTER(Q$4:Q420,Q$4:Q420&lt;&gt;""""))),""^Sell_""),INDEX(FILTER(T$4:T419,Q$4:Q419&lt;&gt;""""),ROWS(FILTER(Q$4:Q419,Q$4:Q419&lt;&gt;""""))),$AD$5+S420))"),438618.4)</f>
        <v>438618.4</v>
      </c>
      <c r="U420" s="10">
        <f>IFERROR(__xludf.DUMMYFUNCTION("IF(COUNTA(Q420:Q1350)=0,"""",IF(Q420="""",0,IF(REGEXMATCH(Q420,""^Sell_""),-ROUNDDOWN(ROUNDUP(INDEX(Upgrades!$C$3:$C$13,MATCH(SUBSTITUTE(Q420,""Sell_"",""""),Upgrades!$B$3:$B$13,0))*1.15^(COUNTIF(Q$4:Q419,SUBSTITUTE(Q420,""Sell_"",""""))-COUNTIF(Q$4:Q419,"&amp;"""Sell_""&amp;SUBSTITUTE(Q420,""Sell_"",""""))))/2),ROUNDUP(INDEX(Upgrades!$C$3:$C$13,MATCH(Q420,Upgrades!$B$3:$B$13,0))*1.15^(COUNTIF(Q$4:Q419,Q420)-COUNTIF(Q$4:Q419,""Sell_""&amp;Q420))))))"),-1.3638776E7)</f>
        <v>-13638776</v>
      </c>
      <c r="V420" s="10">
        <f t="shared" si="11"/>
        <v>-13638776</v>
      </c>
      <c r="W420" s="68">
        <f t="shared" si="12"/>
        <v>6085.8512</v>
      </c>
      <c r="X420" s="59" t="str">
        <f t="shared" si="13"/>
        <v>1h 41m 25s</v>
      </c>
      <c r="Y420" s="69">
        <f t="shared" si="14"/>
        <v>666718570</v>
      </c>
      <c r="Z420" s="11"/>
    </row>
    <row r="421">
      <c r="A421" s="8"/>
      <c r="B421" s="56" t="str">
        <f t="shared" si="2"/>
        <v/>
      </c>
      <c r="C421" s="57"/>
      <c r="D421" s="10" t="str">
        <f>IFERROR(__xludf.DUMMYFUNCTION("IF(COUNTA(C421:C1350)=0,"""",IF(ISBLANK(C421),FALSE,IF(NOT(COUNTIF($AA$24:$AA$34,SUBSTITUTE(C421,""Sell_"",""""))),1,IF(REGEXMATCH(C421,""Sell_""),IF(COUNTIF(C$4:C421,SUBSTITUTE(C421,""Sell_"",""""))-COUNTIF(C$4:C420,C421)&lt;1,1),FALSE))))"),"")</f>
        <v/>
      </c>
      <c r="E421" s="59" t="str">
        <f t="array" ref="E421">IF(COUNTA(C421:C1350)=0,"",SUM((COUNTIF(C$4:C421,Upgrades!$B$3:$B$13)-COUNTIF(C$4:C421,"Sell_"&amp;Upgrades!$B$3:$B$13))*Upgrades!$D$3:$D$13))</f>
        <v/>
      </c>
      <c r="F421" s="66" t="str">
        <f>IFERROR(__xludf.DUMMYFUNCTION("IF(COUNTA(C421:C1350)=0,"""",IF(REGEXMATCH(INDEX(FILTER(C$4:C421,C$4:C421&lt;&gt;""""),ROWS(FILTER(C$4:C421,C$4:C421&lt;&gt;""""))),""^Sell_""),INDEX(FILTER(F$4:F420,C$4:C420&lt;&gt;""""),ROWS(FILTER(C$4:C420,C$4:C420&lt;&gt;""""))),$AC$5+E421))"),"")</f>
        <v/>
      </c>
      <c r="G421" s="10" t="str">
        <f>IFERROR(__xludf.DUMMYFUNCTION("IF(COUNTA(C421:C1350)=0,"""",IF(C421="""",0,IF(REGEXMATCH(C421,""^Sell_""),-ROUNDDOWN(ROUNDUP(INDEX(Upgrades!$C$3:$C$13,MATCH(SUBSTITUTE(C421,""Sell_"",""""),Upgrades!$B$3:$B$13,0))*1.15^(COUNTIF(C$4:C420,SUBSTITUTE(C421,""Sell_"",""""))-COUNTIF(C$4:C420,"&amp;"""Sell_""&amp;SUBSTITUTE(C421,""Sell_"",""""))))/2),ROUNDUP(INDEX(Upgrades!$C$3:$C$13,MATCH(C421,Upgrades!$B$3:$B$13,0))*1.15^(COUNTIF(C$4:C420,C421)-COUNTIF(C$4:C420,""Sell_""&amp;C421))))))"),"")</f>
        <v/>
      </c>
      <c r="H421" s="10" t="str">
        <f t="shared" si="3"/>
        <v/>
      </c>
      <c r="I421" s="68" t="str">
        <f t="shared" si="4"/>
        <v/>
      </c>
      <c r="J421" s="59" t="str">
        <f t="shared" si="5"/>
        <v/>
      </c>
      <c r="K421" s="69" t="str">
        <f t="shared" si="6"/>
        <v/>
      </c>
      <c r="L421" s="60">
        <f t="shared" si="7"/>
        <v>-224.65193</v>
      </c>
      <c r="M421" s="61">
        <f>IFERROR(__xludf.DUMMYFUNCTION("IFS(AND(COUNTA(C421:C1350)=0,COUNTA(Q421:Q1350)=0),"""",OR(AND(K421&gt;=1000000000,OR(Y421&gt;=1000000000,COUNTA(Q421:Q1350)=0)),OR(Y421&gt;=1000000000,AND(COUNTA(C421:C1350)=0,P$3=TRUE))),
ROUNDDOWN((AB$1-AC$1)*MAX(INDEX(T$4:T1350,MATCH(LARGE(FILTER(Y$4:Y1350,Y$4"&amp;":Y1350&lt;1000000000),1),Y$4:Y1350)),INDEX(F$4:F1350,MATCH(LARGE(FILTER(K$4:K1350,K$4:K1350&lt;1000000000),1),K$4:K1350)))),AND(K421&lt;1000000000,COUNTA(C421:C1350)&gt;0,P$3=FALSE),
ROUNDDOWN(INDEX(Y$4:Y1350,MATCH(LARGE(FILTER(W$4:W1350,W$4:W1350&lt;=I421),1),W$4:W1350"&amp;"))+(I421-LARGE(FILTER(W$4:W1350,W$4:W1350&lt;=I421),1))*INDEX(T$4:T1350,MATCH(LARGE(FILTER(W$4:W1350,W$4:W1350&lt;=I421),1),W$4:W1350))-K421),1,
ROUNDDOWN(Y421-INDEX(K$4:K1350,MATCH(LARGE(FILTER(I$4:I1350,I$4:I1350&lt;=W421),1),I$4:I1350))-(W421-LARGE(FILTER(I$4:I"&amp;"1350,I$4:I1350&lt;=W421),1))*INDEX(F$4:F1350,MATCH(LARGE(FILTER(I$4:I1350,I$4:I1350&lt;=W421),1),I$4:I1350))))"),9.2226469E7)</f>
        <v>92226469</v>
      </c>
      <c r="N421" s="60">
        <f t="shared" si="8"/>
        <v>-224.65193</v>
      </c>
      <c r="O421" s="61" t="str">
        <f t="shared" si="9"/>
        <v>92,2M</v>
      </c>
      <c r="P421" s="56">
        <f t="shared" si="10"/>
        <v>54</v>
      </c>
      <c r="Q421" s="105" t="s">
        <v>59</v>
      </c>
      <c r="R421" s="10" t="b">
        <f>IFERROR(__xludf.DUMMYFUNCTION("IF(COUNTA(Q421:Q1350)=0,"""",IF(ISBLANK(Q421),FALSE,IF(NOT(COUNTIF($AA$24:$AA$34,SUBSTITUTE(Q421,""Sell_"",""""))),1,IF(REGEXMATCH(Q421,""Sell_""),IF(COUNTIF(Q$4:Q421,SUBSTITUTE(Q421,""Sell_"",""""))-COUNTIF(Q$4:Q420,Q421)&lt;1,1),FALSE))))"),FALSE)</f>
        <v>0</v>
      </c>
      <c r="S421" s="59">
        <f t="array" ref="S421">IF(COUNTA(Q421:Q1350)=0,"",SUM((COUNTIF(Q$4:Q421,Upgrades!$B$3:$B$13)-COUNTIF(Q$4:Q421,"Sell_"&amp;Upgrades!$B$3:$B$13))*Upgrades!$D$3:$D$13))</f>
        <v>431712.4</v>
      </c>
      <c r="T421" s="66">
        <f>IFERROR(__xludf.DUMMYFUNCTION("IF(COUNTA(Q421:Q1350)=0,"""",IF(REGEXMATCH(INDEX(FILTER(Q$4:Q421,Q$4:Q421&lt;&gt;""""),ROWS(FILTER(Q$4:Q421,Q$4:Q421&lt;&gt;""""))),""^Sell_""),INDEX(FILTER(T$4:T420,Q$4:Q420&lt;&gt;""""),ROWS(FILTER(Q$4:Q420,Q$4:Q420&lt;&gt;""""))),$AD$5+S421))"),438618.4)</f>
        <v>438618.4</v>
      </c>
      <c r="U421" s="10">
        <f>IFERROR(__xludf.DUMMYFUNCTION("IF(COUNTA(Q421:Q1350)=0,"""",IF(Q421="""",0,IF(REGEXMATCH(Q421,""^Sell_""),-ROUNDDOWN(ROUNDUP(INDEX(Upgrades!$C$3:$C$13,MATCH(SUBSTITUTE(Q421,""Sell_"",""""),Upgrades!$B$3:$B$13,0))*1.15^(COUNTIF(Q$4:Q420,SUBSTITUTE(Q421,""Sell_"",""""))-COUNTIF(Q$4:Q420,"&amp;"""Sell_""&amp;SUBSTITUTE(Q421,""Sell_"",""""))))/2),ROUNDUP(INDEX(Upgrades!$C$3:$C$13,MATCH(Q421,Upgrades!$B$3:$B$13,0))*1.15^(COUNTIF(Q$4:Q420,Q421)-COUNTIF(Q$4:Q420,""Sell_""&amp;Q421))))))"),-81833.0)</f>
        <v>-81833</v>
      </c>
      <c r="V421" s="10">
        <f t="shared" si="11"/>
        <v>-13720609</v>
      </c>
      <c r="W421" s="68">
        <f t="shared" si="12"/>
        <v>6085.8512</v>
      </c>
      <c r="X421" s="59" t="str">
        <f t="shared" si="13"/>
        <v>1h 41m 25s</v>
      </c>
      <c r="Y421" s="69">
        <f t="shared" si="14"/>
        <v>666718570</v>
      </c>
      <c r="Z421" s="11"/>
    </row>
    <row r="422">
      <c r="A422" s="8"/>
      <c r="B422" s="56" t="str">
        <f t="shared" si="2"/>
        <v/>
      </c>
      <c r="C422" s="57"/>
      <c r="D422" s="10" t="str">
        <f>IFERROR(__xludf.DUMMYFUNCTION("IF(COUNTA(C422:C1350)=0,"""",IF(ISBLANK(C422),FALSE,IF(NOT(COUNTIF($AA$24:$AA$34,SUBSTITUTE(C422,""Sell_"",""""))),1,IF(REGEXMATCH(C422,""Sell_""),IF(COUNTIF(C$4:C422,SUBSTITUTE(C422,""Sell_"",""""))-COUNTIF(C$4:C421,C422)&lt;1,1),FALSE))))"),"")</f>
        <v/>
      </c>
      <c r="E422" s="59" t="str">
        <f t="array" ref="E422">IF(COUNTA(C422:C1350)=0,"",SUM((COUNTIF(C$4:C422,Upgrades!$B$3:$B$13)-COUNTIF(C$4:C422,"Sell_"&amp;Upgrades!$B$3:$B$13))*Upgrades!$D$3:$D$13))</f>
        <v/>
      </c>
      <c r="F422" s="66" t="str">
        <f>IFERROR(__xludf.DUMMYFUNCTION("IF(COUNTA(C422:C1350)=0,"""",IF(REGEXMATCH(INDEX(FILTER(C$4:C422,C$4:C422&lt;&gt;""""),ROWS(FILTER(C$4:C422,C$4:C422&lt;&gt;""""))),""^Sell_""),INDEX(FILTER(F$4:F421,C$4:C421&lt;&gt;""""),ROWS(FILTER(C$4:C421,C$4:C421&lt;&gt;""""))),$AC$5+E422))"),"")</f>
        <v/>
      </c>
      <c r="G422" s="10" t="str">
        <f>IFERROR(__xludf.DUMMYFUNCTION("IF(COUNTA(C422:C1350)=0,"""",IF(C422="""",0,IF(REGEXMATCH(C422,""^Sell_""),-ROUNDDOWN(ROUNDUP(INDEX(Upgrades!$C$3:$C$13,MATCH(SUBSTITUTE(C422,""Sell_"",""""),Upgrades!$B$3:$B$13,0))*1.15^(COUNTIF(C$4:C421,SUBSTITUTE(C422,""Sell_"",""""))-COUNTIF(C$4:C421,"&amp;"""Sell_""&amp;SUBSTITUTE(C422,""Sell_"",""""))))/2),ROUNDUP(INDEX(Upgrades!$C$3:$C$13,MATCH(C422,Upgrades!$B$3:$B$13,0))*1.15^(COUNTIF(C$4:C421,C422)-COUNTIF(C$4:C421,""Sell_""&amp;C422))))))"),"")</f>
        <v/>
      </c>
      <c r="H422" s="10" t="str">
        <f t="shared" si="3"/>
        <v/>
      </c>
      <c r="I422" s="68" t="str">
        <f t="shared" si="4"/>
        <v/>
      </c>
      <c r="J422" s="59" t="str">
        <f t="shared" si="5"/>
        <v/>
      </c>
      <c r="K422" s="69" t="str">
        <f t="shared" si="6"/>
        <v/>
      </c>
      <c r="L422" s="60">
        <f t="shared" si="7"/>
        <v>-224.65193</v>
      </c>
      <c r="M422" s="61">
        <f>IFERROR(__xludf.DUMMYFUNCTION("IFS(AND(COUNTA(C422:C1350)=0,COUNTA(Q422:Q1350)=0),"""",OR(AND(K422&gt;=1000000000,OR(Y422&gt;=1000000000,COUNTA(Q422:Q1350)=0)),OR(Y422&gt;=1000000000,AND(COUNTA(C422:C1350)=0,P$3=TRUE))),
ROUNDDOWN((AB$1-AC$1)*MAX(INDEX(T$4:T1350,MATCH(LARGE(FILTER(Y$4:Y1350,Y$4"&amp;":Y1350&lt;1000000000),1),Y$4:Y1350)),INDEX(F$4:F1350,MATCH(LARGE(FILTER(K$4:K1350,K$4:K1350&lt;1000000000),1),K$4:K1350)))),AND(K422&lt;1000000000,COUNTA(C422:C1350)&gt;0,P$3=FALSE),
ROUNDDOWN(INDEX(Y$4:Y1350,MATCH(LARGE(FILTER(W$4:W1350,W$4:W1350&lt;=I422),1),W$4:W1350"&amp;"))+(I422-LARGE(FILTER(W$4:W1350,W$4:W1350&lt;=I422),1))*INDEX(T$4:T1350,MATCH(LARGE(FILTER(W$4:W1350,W$4:W1350&lt;=I422),1),W$4:W1350))-K422),1,
ROUNDDOWN(Y422-INDEX(K$4:K1350,MATCH(LARGE(FILTER(I$4:I1350,I$4:I1350&lt;=W422),1),I$4:I1350))-(W422-LARGE(FILTER(I$4:I"&amp;"1350,I$4:I1350&lt;=W422),1))*INDEX(F$4:F1350,MATCH(LARGE(FILTER(I$4:I1350,I$4:I1350&lt;=W422),1),I$4:I1350))))"),9.2226469E7)</f>
        <v>92226469</v>
      </c>
      <c r="N422" s="60">
        <f t="shared" si="8"/>
        <v>-224.65193</v>
      </c>
      <c r="O422" s="61" t="str">
        <f t="shared" si="9"/>
        <v>92,2M</v>
      </c>
      <c r="P422" s="56">
        <f t="shared" si="10"/>
        <v>55</v>
      </c>
      <c r="Q422" s="105" t="s">
        <v>59</v>
      </c>
      <c r="R422" s="10" t="b">
        <f>IFERROR(__xludf.DUMMYFUNCTION("IF(COUNTA(Q422:Q1350)=0,"""",IF(ISBLANK(Q422),FALSE,IF(NOT(COUNTIF($AA$24:$AA$34,SUBSTITUTE(Q422,""Sell_"",""""))),1,IF(REGEXMATCH(Q422,""Sell_""),IF(COUNTIF(Q$4:Q422,SUBSTITUTE(Q422,""Sell_"",""""))-COUNTIF(Q$4:Q421,Q422)&lt;1,1),FALSE))))"),FALSE)</f>
        <v>0</v>
      </c>
      <c r="S422" s="59">
        <f t="array" ref="S422">IF(COUNTA(Q422:Q1350)=0,"",SUM((COUNTIF(Q$4:Q422,Upgrades!$B$3:$B$13)-COUNTIF(Q$4:Q422,"Sell_"&amp;Upgrades!$B$3:$B$13))*Upgrades!$D$3:$D$13))</f>
        <v>431672.4</v>
      </c>
      <c r="T422" s="66">
        <f>IFERROR(__xludf.DUMMYFUNCTION("IF(COUNTA(Q422:Q1350)=0,"""",IF(REGEXMATCH(INDEX(FILTER(Q$4:Q422,Q$4:Q422&lt;&gt;""""),ROWS(FILTER(Q$4:Q422,Q$4:Q422&lt;&gt;""""))),""^Sell_""),INDEX(FILTER(T$4:T421,Q$4:Q421&lt;&gt;""""),ROWS(FILTER(Q$4:Q421,Q$4:Q421&lt;&gt;""""))),$AD$5+S422))"),438618.4)</f>
        <v>438618.4</v>
      </c>
      <c r="U422" s="10">
        <f>IFERROR(__xludf.DUMMYFUNCTION("IF(COUNTA(Q422:Q1350)=0,"""",IF(Q422="""",0,IF(REGEXMATCH(Q422,""^Sell_""),-ROUNDDOWN(ROUNDUP(INDEX(Upgrades!$C$3:$C$13,MATCH(SUBSTITUTE(Q422,""Sell_"",""""),Upgrades!$B$3:$B$13,0))*1.15^(COUNTIF(Q$4:Q421,SUBSTITUTE(Q422,""Sell_"",""""))-COUNTIF(Q$4:Q421,"&amp;"""Sell_""&amp;SUBSTITUTE(Q422,""Sell_"",""""))))/2),ROUNDUP(INDEX(Upgrades!$C$3:$C$13,MATCH(Q422,Upgrades!$B$3:$B$13,0))*1.15^(COUNTIF(Q$4:Q421,Q422)-COUNTIF(Q$4:Q421,""Sell_""&amp;Q422))))))"),-71159.0)</f>
        <v>-71159</v>
      </c>
      <c r="V422" s="10">
        <f t="shared" si="11"/>
        <v>-13791768</v>
      </c>
      <c r="W422" s="68">
        <f t="shared" si="12"/>
        <v>6085.8512</v>
      </c>
      <c r="X422" s="59" t="str">
        <f t="shared" si="13"/>
        <v>1h 41m 25s</v>
      </c>
      <c r="Y422" s="69">
        <f t="shared" si="14"/>
        <v>666718570</v>
      </c>
      <c r="Z422" s="11"/>
    </row>
    <row r="423">
      <c r="A423" s="8"/>
      <c r="B423" s="56" t="str">
        <f t="shared" si="2"/>
        <v/>
      </c>
      <c r="C423" s="57"/>
      <c r="D423" s="10" t="str">
        <f>IFERROR(__xludf.DUMMYFUNCTION("IF(COUNTA(C423:C1350)=0,"""",IF(ISBLANK(C423),FALSE,IF(NOT(COUNTIF($AA$24:$AA$34,SUBSTITUTE(C423,""Sell_"",""""))),1,IF(REGEXMATCH(C423,""Sell_""),IF(COUNTIF(C$4:C423,SUBSTITUTE(C423,""Sell_"",""""))-COUNTIF(C$4:C422,C423)&lt;1,1),FALSE))))"),"")</f>
        <v/>
      </c>
      <c r="E423" s="59" t="str">
        <f t="array" ref="E423">IF(COUNTA(C423:C1350)=0,"",SUM((COUNTIF(C$4:C423,Upgrades!$B$3:$B$13)-COUNTIF(C$4:C423,"Sell_"&amp;Upgrades!$B$3:$B$13))*Upgrades!$D$3:$D$13))</f>
        <v/>
      </c>
      <c r="F423" s="66" t="str">
        <f>IFERROR(__xludf.DUMMYFUNCTION("IF(COUNTA(C423:C1350)=0,"""",IF(REGEXMATCH(INDEX(FILTER(C$4:C423,C$4:C423&lt;&gt;""""),ROWS(FILTER(C$4:C423,C$4:C423&lt;&gt;""""))),""^Sell_""),INDEX(FILTER(F$4:F422,C$4:C422&lt;&gt;""""),ROWS(FILTER(C$4:C422,C$4:C422&lt;&gt;""""))),$AC$5+E423))"),"")</f>
        <v/>
      </c>
      <c r="G423" s="10" t="str">
        <f>IFERROR(__xludf.DUMMYFUNCTION("IF(COUNTA(C423:C1350)=0,"""",IF(C423="""",0,IF(REGEXMATCH(C423,""^Sell_""),-ROUNDDOWN(ROUNDUP(INDEX(Upgrades!$C$3:$C$13,MATCH(SUBSTITUTE(C423,""Sell_"",""""),Upgrades!$B$3:$B$13,0))*1.15^(COUNTIF(C$4:C422,SUBSTITUTE(C423,""Sell_"",""""))-COUNTIF(C$4:C422,"&amp;"""Sell_""&amp;SUBSTITUTE(C423,""Sell_"",""""))))/2),ROUNDUP(INDEX(Upgrades!$C$3:$C$13,MATCH(C423,Upgrades!$B$3:$B$13,0))*1.15^(COUNTIF(C$4:C422,C423)-COUNTIF(C$4:C422,""Sell_""&amp;C423))))))"),"")</f>
        <v/>
      </c>
      <c r="H423" s="10" t="str">
        <f t="shared" si="3"/>
        <v/>
      </c>
      <c r="I423" s="68" t="str">
        <f t="shared" si="4"/>
        <v/>
      </c>
      <c r="J423" s="59" t="str">
        <f t="shared" si="5"/>
        <v/>
      </c>
      <c r="K423" s="69" t="str">
        <f t="shared" si="6"/>
        <v/>
      </c>
      <c r="L423" s="60">
        <f t="shared" si="7"/>
        <v>-224.65193</v>
      </c>
      <c r="M423" s="61">
        <f>IFERROR(__xludf.DUMMYFUNCTION("IFS(AND(COUNTA(C423:C1350)=0,COUNTA(Q423:Q1350)=0),"""",OR(AND(K423&gt;=1000000000,OR(Y423&gt;=1000000000,COUNTA(Q423:Q1350)=0)),OR(Y423&gt;=1000000000,AND(COUNTA(C423:C1350)=0,P$3=TRUE))),
ROUNDDOWN((AB$1-AC$1)*MAX(INDEX(T$4:T1350,MATCH(LARGE(FILTER(Y$4:Y1350,Y$4"&amp;":Y1350&lt;1000000000),1),Y$4:Y1350)),INDEX(F$4:F1350,MATCH(LARGE(FILTER(K$4:K1350,K$4:K1350&lt;1000000000),1),K$4:K1350)))),AND(K423&lt;1000000000,COUNTA(C423:C1350)&gt;0,P$3=FALSE),
ROUNDDOWN(INDEX(Y$4:Y1350,MATCH(LARGE(FILTER(W$4:W1350,W$4:W1350&lt;=I423),1),W$4:W1350"&amp;"))+(I423-LARGE(FILTER(W$4:W1350,W$4:W1350&lt;=I423),1))*INDEX(T$4:T1350,MATCH(LARGE(FILTER(W$4:W1350,W$4:W1350&lt;=I423),1),W$4:W1350))-K423),1,
ROUNDDOWN(Y423-INDEX(K$4:K1350,MATCH(LARGE(FILTER(I$4:I1350,I$4:I1350&lt;=W423),1),I$4:I1350))-(W423-LARGE(FILTER(I$4:I"&amp;"1350,I$4:I1350&lt;=W423),1))*INDEX(F$4:F1350,MATCH(LARGE(FILTER(I$4:I1350,I$4:I1350&lt;=W423),1),I$4:I1350))))"),9.2226469E7)</f>
        <v>92226469</v>
      </c>
      <c r="N423" s="60">
        <f t="shared" si="8"/>
        <v>-224.65193</v>
      </c>
      <c r="O423" s="61" t="str">
        <f t="shared" si="9"/>
        <v>92,2M</v>
      </c>
      <c r="P423" s="56">
        <f t="shared" si="10"/>
        <v>56</v>
      </c>
      <c r="Q423" s="105" t="s">
        <v>59</v>
      </c>
      <c r="R423" s="10" t="b">
        <f>IFERROR(__xludf.DUMMYFUNCTION("IF(COUNTA(Q423:Q1350)=0,"""",IF(ISBLANK(Q423),FALSE,IF(NOT(COUNTIF($AA$24:$AA$34,SUBSTITUTE(Q423,""Sell_"",""""))),1,IF(REGEXMATCH(Q423,""Sell_""),IF(COUNTIF(Q$4:Q423,SUBSTITUTE(Q423,""Sell_"",""""))-COUNTIF(Q$4:Q422,Q423)&lt;1,1),FALSE))))"),FALSE)</f>
        <v>0</v>
      </c>
      <c r="S423" s="59">
        <f t="array" ref="S423">IF(COUNTA(Q423:Q1350)=0,"",SUM((COUNTIF(Q$4:Q423,Upgrades!$B$3:$B$13)-COUNTIF(Q$4:Q423,"Sell_"&amp;Upgrades!$B$3:$B$13))*Upgrades!$D$3:$D$13))</f>
        <v>431632.4</v>
      </c>
      <c r="T423" s="66">
        <f>IFERROR(__xludf.DUMMYFUNCTION("IF(COUNTA(Q423:Q1350)=0,"""",IF(REGEXMATCH(INDEX(FILTER(Q$4:Q423,Q$4:Q423&lt;&gt;""""),ROWS(FILTER(Q$4:Q423,Q$4:Q423&lt;&gt;""""))),""^Sell_""),INDEX(FILTER(T$4:T422,Q$4:Q422&lt;&gt;""""),ROWS(FILTER(Q$4:Q422,Q$4:Q422&lt;&gt;""""))),$AD$5+S423))"),438618.4)</f>
        <v>438618.4</v>
      </c>
      <c r="U423" s="10">
        <f>IFERROR(__xludf.DUMMYFUNCTION("IF(COUNTA(Q423:Q1350)=0,"""",IF(Q423="""",0,IF(REGEXMATCH(Q423,""^Sell_""),-ROUNDDOWN(ROUNDUP(INDEX(Upgrades!$C$3:$C$13,MATCH(SUBSTITUTE(Q423,""Sell_"",""""),Upgrades!$B$3:$B$13,0))*1.15^(COUNTIF(Q$4:Q422,SUBSTITUTE(Q423,""Sell_"",""""))-COUNTIF(Q$4:Q422,"&amp;"""Sell_""&amp;SUBSTITUTE(Q423,""Sell_"",""""))))/2),ROUNDUP(INDEX(Upgrades!$C$3:$C$13,MATCH(Q423,Upgrades!$B$3:$B$13,0))*1.15^(COUNTIF(Q$4:Q422,Q423)-COUNTIF(Q$4:Q422,""Sell_""&amp;Q423))))))"),-61877.0)</f>
        <v>-61877</v>
      </c>
      <c r="V423" s="10">
        <f t="shared" si="11"/>
        <v>-13853645</v>
      </c>
      <c r="W423" s="68">
        <f t="shared" si="12"/>
        <v>6085.8512</v>
      </c>
      <c r="X423" s="59" t="str">
        <f t="shared" si="13"/>
        <v>1h 41m 25s</v>
      </c>
      <c r="Y423" s="69">
        <f t="shared" si="14"/>
        <v>666718570</v>
      </c>
      <c r="Z423" s="11"/>
    </row>
    <row r="424">
      <c r="A424" s="8"/>
      <c r="B424" s="56" t="str">
        <f t="shared" si="2"/>
        <v/>
      </c>
      <c r="C424" s="57"/>
      <c r="D424" s="10" t="str">
        <f>IFERROR(__xludf.DUMMYFUNCTION("IF(COUNTA(C424:C1350)=0,"""",IF(ISBLANK(C424),FALSE,IF(NOT(COUNTIF($AA$24:$AA$34,SUBSTITUTE(C424,""Sell_"",""""))),1,IF(REGEXMATCH(C424,""Sell_""),IF(COUNTIF(C$4:C424,SUBSTITUTE(C424,""Sell_"",""""))-COUNTIF(C$4:C423,C424)&lt;1,1),FALSE))))"),"")</f>
        <v/>
      </c>
      <c r="E424" s="59" t="str">
        <f t="array" ref="E424">IF(COUNTA(C424:C1350)=0,"",SUM((COUNTIF(C$4:C424,Upgrades!$B$3:$B$13)-COUNTIF(C$4:C424,"Sell_"&amp;Upgrades!$B$3:$B$13))*Upgrades!$D$3:$D$13))</f>
        <v/>
      </c>
      <c r="F424" s="66" t="str">
        <f>IFERROR(__xludf.DUMMYFUNCTION("IF(COUNTA(C424:C1350)=0,"""",IF(REGEXMATCH(INDEX(FILTER(C$4:C424,C$4:C424&lt;&gt;""""),ROWS(FILTER(C$4:C424,C$4:C424&lt;&gt;""""))),""^Sell_""),INDEX(FILTER(F$4:F423,C$4:C423&lt;&gt;""""),ROWS(FILTER(C$4:C423,C$4:C423&lt;&gt;""""))),$AC$5+E424))"),"")</f>
        <v/>
      </c>
      <c r="G424" s="10" t="str">
        <f>IFERROR(__xludf.DUMMYFUNCTION("IF(COUNTA(C424:C1350)=0,"""",IF(C424="""",0,IF(REGEXMATCH(C424,""^Sell_""),-ROUNDDOWN(ROUNDUP(INDEX(Upgrades!$C$3:$C$13,MATCH(SUBSTITUTE(C424,""Sell_"",""""),Upgrades!$B$3:$B$13,0))*1.15^(COUNTIF(C$4:C423,SUBSTITUTE(C424,""Sell_"",""""))-COUNTIF(C$4:C423,"&amp;"""Sell_""&amp;SUBSTITUTE(C424,""Sell_"",""""))))/2),ROUNDUP(INDEX(Upgrades!$C$3:$C$13,MATCH(C424,Upgrades!$B$3:$B$13,0))*1.15^(COUNTIF(C$4:C423,C424)-COUNTIF(C$4:C423,""Sell_""&amp;C424))))))"),"")</f>
        <v/>
      </c>
      <c r="H424" s="10" t="str">
        <f t="shared" si="3"/>
        <v/>
      </c>
      <c r="I424" s="68" t="str">
        <f t="shared" si="4"/>
        <v/>
      </c>
      <c r="J424" s="59" t="str">
        <f t="shared" si="5"/>
        <v/>
      </c>
      <c r="K424" s="69" t="str">
        <f t="shared" si="6"/>
        <v/>
      </c>
      <c r="L424" s="60">
        <f t="shared" si="7"/>
        <v>-224.65193</v>
      </c>
      <c r="M424" s="61">
        <f>IFERROR(__xludf.DUMMYFUNCTION("IFS(AND(COUNTA(C424:C1350)=0,COUNTA(Q424:Q1350)=0),"""",OR(AND(K424&gt;=1000000000,OR(Y424&gt;=1000000000,COUNTA(Q424:Q1350)=0)),OR(Y424&gt;=1000000000,AND(COUNTA(C424:C1350)=0,P$3=TRUE))),
ROUNDDOWN((AB$1-AC$1)*MAX(INDEX(T$4:T1350,MATCH(LARGE(FILTER(Y$4:Y1350,Y$4"&amp;":Y1350&lt;1000000000),1),Y$4:Y1350)),INDEX(F$4:F1350,MATCH(LARGE(FILTER(K$4:K1350,K$4:K1350&lt;1000000000),1),K$4:K1350)))),AND(K424&lt;1000000000,COUNTA(C424:C1350)&gt;0,P$3=FALSE),
ROUNDDOWN(INDEX(Y$4:Y1350,MATCH(LARGE(FILTER(W$4:W1350,W$4:W1350&lt;=I424),1),W$4:W1350"&amp;"))+(I424-LARGE(FILTER(W$4:W1350,W$4:W1350&lt;=I424),1))*INDEX(T$4:T1350,MATCH(LARGE(FILTER(W$4:W1350,W$4:W1350&lt;=I424),1),W$4:W1350))-K424),1,
ROUNDDOWN(Y424-INDEX(K$4:K1350,MATCH(LARGE(FILTER(I$4:I1350,I$4:I1350&lt;=W424),1),I$4:I1350))-(W424-LARGE(FILTER(I$4:I"&amp;"1350,I$4:I1350&lt;=W424),1))*INDEX(F$4:F1350,MATCH(LARGE(FILTER(I$4:I1350,I$4:I1350&lt;=W424),1),I$4:I1350))))"),9.2226469E7)</f>
        <v>92226469</v>
      </c>
      <c r="N424" s="60">
        <f t="shared" si="8"/>
        <v>-224.65193</v>
      </c>
      <c r="O424" s="61" t="str">
        <f t="shared" si="9"/>
        <v>92,2M</v>
      </c>
      <c r="P424" s="56">
        <f t="shared" si="10"/>
        <v>57</v>
      </c>
      <c r="Q424" s="105" t="s">
        <v>59</v>
      </c>
      <c r="R424" s="10" t="b">
        <f>IFERROR(__xludf.DUMMYFUNCTION("IF(COUNTA(Q424:Q1350)=0,"""",IF(ISBLANK(Q424),FALSE,IF(NOT(COUNTIF($AA$24:$AA$34,SUBSTITUTE(Q424,""Sell_"",""""))),1,IF(REGEXMATCH(Q424,""Sell_""),IF(COUNTIF(Q$4:Q424,SUBSTITUTE(Q424,""Sell_"",""""))-COUNTIF(Q$4:Q423,Q424)&lt;1,1),FALSE))))"),FALSE)</f>
        <v>0</v>
      </c>
      <c r="S424" s="59">
        <f t="array" ref="S424">IF(COUNTA(Q424:Q1350)=0,"",SUM((COUNTIF(Q$4:Q424,Upgrades!$B$3:$B$13)-COUNTIF(Q$4:Q424,"Sell_"&amp;Upgrades!$B$3:$B$13))*Upgrades!$D$3:$D$13))</f>
        <v>431592.4</v>
      </c>
      <c r="T424" s="66">
        <f>IFERROR(__xludf.DUMMYFUNCTION("IF(COUNTA(Q424:Q1350)=0,"""",IF(REGEXMATCH(INDEX(FILTER(Q$4:Q424,Q$4:Q424&lt;&gt;""""),ROWS(FILTER(Q$4:Q424,Q$4:Q424&lt;&gt;""""))),""^Sell_""),INDEX(FILTER(T$4:T423,Q$4:Q423&lt;&gt;""""),ROWS(FILTER(Q$4:Q423,Q$4:Q423&lt;&gt;""""))),$AD$5+S424))"),438618.4)</f>
        <v>438618.4</v>
      </c>
      <c r="U424" s="10">
        <f>IFERROR(__xludf.DUMMYFUNCTION("IF(COUNTA(Q424:Q1350)=0,"""",IF(Q424="""",0,IF(REGEXMATCH(Q424,""^Sell_""),-ROUNDDOWN(ROUNDUP(INDEX(Upgrades!$C$3:$C$13,MATCH(SUBSTITUTE(Q424,""Sell_"",""""),Upgrades!$B$3:$B$13,0))*1.15^(COUNTIF(Q$4:Q423,SUBSTITUTE(Q424,""Sell_"",""""))-COUNTIF(Q$4:Q423,"&amp;"""Sell_""&amp;SUBSTITUTE(Q424,""Sell_"",""""))))/2),ROUNDUP(INDEX(Upgrades!$C$3:$C$13,MATCH(Q424,Upgrades!$B$3:$B$13,0))*1.15^(COUNTIF(Q$4:Q423,Q424)-COUNTIF(Q$4:Q423,""Sell_""&amp;Q424))))))"),-53806.0)</f>
        <v>-53806</v>
      </c>
      <c r="V424" s="10">
        <f t="shared" si="11"/>
        <v>-13907451</v>
      </c>
      <c r="W424" s="68">
        <f t="shared" si="12"/>
        <v>6085.8512</v>
      </c>
      <c r="X424" s="59" t="str">
        <f t="shared" si="13"/>
        <v>1h 41m 25s</v>
      </c>
      <c r="Y424" s="69">
        <f t="shared" si="14"/>
        <v>666718570</v>
      </c>
      <c r="Z424" s="11"/>
    </row>
    <row r="425">
      <c r="A425" s="8"/>
      <c r="B425" s="56" t="str">
        <f t="shared" si="2"/>
        <v/>
      </c>
      <c r="C425" s="57"/>
      <c r="D425" s="10" t="str">
        <f>IFERROR(__xludf.DUMMYFUNCTION("IF(COUNTA(C425:C1350)=0,"""",IF(ISBLANK(C425),FALSE,IF(NOT(COUNTIF($AA$24:$AA$34,SUBSTITUTE(C425,""Sell_"",""""))),1,IF(REGEXMATCH(C425,""Sell_""),IF(COUNTIF(C$4:C425,SUBSTITUTE(C425,""Sell_"",""""))-COUNTIF(C$4:C424,C425)&lt;1,1),FALSE))))"),"")</f>
        <v/>
      </c>
      <c r="E425" s="59" t="str">
        <f t="array" ref="E425">IF(COUNTA(C425:C1350)=0,"",SUM((COUNTIF(C$4:C425,Upgrades!$B$3:$B$13)-COUNTIF(C$4:C425,"Sell_"&amp;Upgrades!$B$3:$B$13))*Upgrades!$D$3:$D$13))</f>
        <v/>
      </c>
      <c r="F425" s="66" t="str">
        <f>IFERROR(__xludf.DUMMYFUNCTION("IF(COUNTA(C425:C1350)=0,"""",IF(REGEXMATCH(INDEX(FILTER(C$4:C425,C$4:C425&lt;&gt;""""),ROWS(FILTER(C$4:C425,C$4:C425&lt;&gt;""""))),""^Sell_""),INDEX(FILTER(F$4:F424,C$4:C424&lt;&gt;""""),ROWS(FILTER(C$4:C424,C$4:C424&lt;&gt;""""))),$AC$5+E425))"),"")</f>
        <v/>
      </c>
      <c r="G425" s="10" t="str">
        <f>IFERROR(__xludf.DUMMYFUNCTION("IF(COUNTA(C425:C1350)=0,"""",IF(C425="""",0,IF(REGEXMATCH(C425,""^Sell_""),-ROUNDDOWN(ROUNDUP(INDEX(Upgrades!$C$3:$C$13,MATCH(SUBSTITUTE(C425,""Sell_"",""""),Upgrades!$B$3:$B$13,0))*1.15^(COUNTIF(C$4:C424,SUBSTITUTE(C425,""Sell_"",""""))-COUNTIF(C$4:C424,"&amp;"""Sell_""&amp;SUBSTITUTE(C425,""Sell_"",""""))))/2),ROUNDUP(INDEX(Upgrades!$C$3:$C$13,MATCH(C425,Upgrades!$B$3:$B$13,0))*1.15^(COUNTIF(C$4:C424,C425)-COUNTIF(C$4:C424,""Sell_""&amp;C425))))))"),"")</f>
        <v/>
      </c>
      <c r="H425" s="10" t="str">
        <f t="shared" si="3"/>
        <v/>
      </c>
      <c r="I425" s="68" t="str">
        <f t="shared" si="4"/>
        <v/>
      </c>
      <c r="J425" s="59" t="str">
        <f t="shared" si="5"/>
        <v/>
      </c>
      <c r="K425" s="69" t="str">
        <f t="shared" si="6"/>
        <v/>
      </c>
      <c r="L425" s="60">
        <f t="shared" si="7"/>
        <v>-224.65193</v>
      </c>
      <c r="M425" s="61">
        <f>IFERROR(__xludf.DUMMYFUNCTION("IFS(AND(COUNTA(C425:C1350)=0,COUNTA(Q425:Q1350)=0),"""",OR(AND(K425&gt;=1000000000,OR(Y425&gt;=1000000000,COUNTA(Q425:Q1350)=0)),OR(Y425&gt;=1000000000,AND(COUNTA(C425:C1350)=0,P$3=TRUE))),
ROUNDDOWN((AB$1-AC$1)*MAX(INDEX(T$4:T1350,MATCH(LARGE(FILTER(Y$4:Y1350,Y$4"&amp;":Y1350&lt;1000000000),1),Y$4:Y1350)),INDEX(F$4:F1350,MATCH(LARGE(FILTER(K$4:K1350,K$4:K1350&lt;1000000000),1),K$4:K1350)))),AND(K425&lt;1000000000,COUNTA(C425:C1350)&gt;0,P$3=FALSE),
ROUNDDOWN(INDEX(Y$4:Y1350,MATCH(LARGE(FILTER(W$4:W1350,W$4:W1350&lt;=I425),1),W$4:W1350"&amp;"))+(I425-LARGE(FILTER(W$4:W1350,W$4:W1350&lt;=I425),1))*INDEX(T$4:T1350,MATCH(LARGE(FILTER(W$4:W1350,W$4:W1350&lt;=I425),1),W$4:W1350))-K425),1,
ROUNDDOWN(Y425-INDEX(K$4:K1350,MATCH(LARGE(FILTER(I$4:I1350,I$4:I1350&lt;=W425),1),I$4:I1350))-(W425-LARGE(FILTER(I$4:I"&amp;"1350,I$4:I1350&lt;=W425),1))*INDEX(F$4:F1350,MATCH(LARGE(FILTER(I$4:I1350,I$4:I1350&lt;=W425),1),I$4:I1350))))"),9.2226469E7)</f>
        <v>92226469</v>
      </c>
      <c r="N425" s="60">
        <f t="shared" si="8"/>
        <v>-224.65193</v>
      </c>
      <c r="O425" s="61" t="str">
        <f t="shared" si="9"/>
        <v>92,2M</v>
      </c>
      <c r="P425" s="56">
        <f t="shared" si="10"/>
        <v>58</v>
      </c>
      <c r="Q425" s="105" t="s">
        <v>59</v>
      </c>
      <c r="R425" s="10" t="b">
        <f>IFERROR(__xludf.DUMMYFUNCTION("IF(COUNTA(Q425:Q1350)=0,"""",IF(ISBLANK(Q425),FALSE,IF(NOT(COUNTIF($AA$24:$AA$34,SUBSTITUTE(Q425,""Sell_"",""""))),1,IF(REGEXMATCH(Q425,""Sell_""),IF(COUNTIF(Q$4:Q425,SUBSTITUTE(Q425,""Sell_"",""""))-COUNTIF(Q$4:Q424,Q425)&lt;1,1),FALSE))))"),FALSE)</f>
        <v>0</v>
      </c>
      <c r="S425" s="59">
        <f t="array" ref="S425">IF(COUNTA(Q425:Q1350)=0,"",SUM((COUNTIF(Q$4:Q425,Upgrades!$B$3:$B$13)-COUNTIF(Q$4:Q425,"Sell_"&amp;Upgrades!$B$3:$B$13))*Upgrades!$D$3:$D$13))</f>
        <v>431552.4</v>
      </c>
      <c r="T425" s="66">
        <f>IFERROR(__xludf.DUMMYFUNCTION("IF(COUNTA(Q425:Q1350)=0,"""",IF(REGEXMATCH(INDEX(FILTER(Q$4:Q425,Q$4:Q425&lt;&gt;""""),ROWS(FILTER(Q$4:Q425,Q$4:Q425&lt;&gt;""""))),""^Sell_""),INDEX(FILTER(T$4:T424,Q$4:Q424&lt;&gt;""""),ROWS(FILTER(Q$4:Q424,Q$4:Q424&lt;&gt;""""))),$AD$5+S425))"),438618.4)</f>
        <v>438618.4</v>
      </c>
      <c r="U425" s="10">
        <f>IFERROR(__xludf.DUMMYFUNCTION("IF(COUNTA(Q425:Q1350)=0,"""",IF(Q425="""",0,IF(REGEXMATCH(Q425,""^Sell_""),-ROUNDDOWN(ROUNDUP(INDEX(Upgrades!$C$3:$C$13,MATCH(SUBSTITUTE(Q425,""Sell_"",""""),Upgrades!$B$3:$B$13,0))*1.15^(COUNTIF(Q$4:Q424,SUBSTITUTE(Q425,""Sell_"",""""))-COUNTIF(Q$4:Q424,"&amp;"""Sell_""&amp;SUBSTITUTE(Q425,""Sell_"",""""))))/2),ROUNDUP(INDEX(Upgrades!$C$3:$C$13,MATCH(Q425,Upgrades!$B$3:$B$13,0))*1.15^(COUNTIF(Q$4:Q424,Q425)-COUNTIF(Q$4:Q424,""Sell_""&amp;Q425))))))"),-46788.0)</f>
        <v>-46788</v>
      </c>
      <c r="V425" s="10">
        <f t="shared" si="11"/>
        <v>-13954239</v>
      </c>
      <c r="W425" s="68">
        <f t="shared" si="12"/>
        <v>6085.8512</v>
      </c>
      <c r="X425" s="59" t="str">
        <f t="shared" si="13"/>
        <v>1h 41m 25s</v>
      </c>
      <c r="Y425" s="69">
        <f t="shared" si="14"/>
        <v>666718570</v>
      </c>
      <c r="Z425" s="11"/>
    </row>
    <row r="426">
      <c r="A426" s="8"/>
      <c r="B426" s="56" t="str">
        <f t="shared" si="2"/>
        <v/>
      </c>
      <c r="C426" s="57"/>
      <c r="D426" s="10" t="str">
        <f>IFERROR(__xludf.DUMMYFUNCTION("IF(COUNTA(C426:C1350)=0,"""",IF(ISBLANK(C426),FALSE,IF(NOT(COUNTIF($AA$24:$AA$34,SUBSTITUTE(C426,""Sell_"",""""))),1,IF(REGEXMATCH(C426,""Sell_""),IF(COUNTIF(C$4:C426,SUBSTITUTE(C426,""Sell_"",""""))-COUNTIF(C$4:C425,C426)&lt;1,1),FALSE))))"),"")</f>
        <v/>
      </c>
      <c r="E426" s="59" t="str">
        <f t="array" ref="E426">IF(COUNTA(C426:C1350)=0,"",SUM((COUNTIF(C$4:C426,Upgrades!$B$3:$B$13)-COUNTIF(C$4:C426,"Sell_"&amp;Upgrades!$B$3:$B$13))*Upgrades!$D$3:$D$13))</f>
        <v/>
      </c>
      <c r="F426" s="66" t="str">
        <f>IFERROR(__xludf.DUMMYFUNCTION("IF(COUNTA(C426:C1350)=0,"""",IF(REGEXMATCH(INDEX(FILTER(C$4:C426,C$4:C426&lt;&gt;""""),ROWS(FILTER(C$4:C426,C$4:C426&lt;&gt;""""))),""^Sell_""),INDEX(FILTER(F$4:F425,C$4:C425&lt;&gt;""""),ROWS(FILTER(C$4:C425,C$4:C425&lt;&gt;""""))),$AC$5+E426))"),"")</f>
        <v/>
      </c>
      <c r="G426" s="10" t="str">
        <f>IFERROR(__xludf.DUMMYFUNCTION("IF(COUNTA(C426:C1350)=0,"""",IF(C426="""",0,IF(REGEXMATCH(C426,""^Sell_""),-ROUNDDOWN(ROUNDUP(INDEX(Upgrades!$C$3:$C$13,MATCH(SUBSTITUTE(C426,""Sell_"",""""),Upgrades!$B$3:$B$13,0))*1.15^(COUNTIF(C$4:C425,SUBSTITUTE(C426,""Sell_"",""""))-COUNTIF(C$4:C425,"&amp;"""Sell_""&amp;SUBSTITUTE(C426,""Sell_"",""""))))/2),ROUNDUP(INDEX(Upgrades!$C$3:$C$13,MATCH(C426,Upgrades!$B$3:$B$13,0))*1.15^(COUNTIF(C$4:C425,C426)-COUNTIF(C$4:C425,""Sell_""&amp;C426))))))"),"")</f>
        <v/>
      </c>
      <c r="H426" s="10" t="str">
        <f t="shared" si="3"/>
        <v/>
      </c>
      <c r="I426" s="68" t="str">
        <f t="shared" si="4"/>
        <v/>
      </c>
      <c r="J426" s="59" t="str">
        <f t="shared" si="5"/>
        <v/>
      </c>
      <c r="K426" s="69" t="str">
        <f t="shared" si="6"/>
        <v/>
      </c>
      <c r="L426" s="60">
        <f t="shared" si="7"/>
        <v>-224.65193</v>
      </c>
      <c r="M426" s="61">
        <f>IFERROR(__xludf.DUMMYFUNCTION("IFS(AND(COUNTA(C426:C1350)=0,COUNTA(Q426:Q1350)=0),"""",OR(AND(K426&gt;=1000000000,OR(Y426&gt;=1000000000,COUNTA(Q426:Q1350)=0)),OR(Y426&gt;=1000000000,AND(COUNTA(C426:C1350)=0,P$3=TRUE))),
ROUNDDOWN((AB$1-AC$1)*MAX(INDEX(T$4:T1350,MATCH(LARGE(FILTER(Y$4:Y1350,Y$4"&amp;":Y1350&lt;1000000000),1),Y$4:Y1350)),INDEX(F$4:F1350,MATCH(LARGE(FILTER(K$4:K1350,K$4:K1350&lt;1000000000),1),K$4:K1350)))),AND(K426&lt;1000000000,COUNTA(C426:C1350)&gt;0,P$3=FALSE),
ROUNDDOWN(INDEX(Y$4:Y1350,MATCH(LARGE(FILTER(W$4:W1350,W$4:W1350&lt;=I426),1),W$4:W1350"&amp;"))+(I426-LARGE(FILTER(W$4:W1350,W$4:W1350&lt;=I426),1))*INDEX(T$4:T1350,MATCH(LARGE(FILTER(W$4:W1350,W$4:W1350&lt;=I426),1),W$4:W1350))-K426),1,
ROUNDDOWN(Y426-INDEX(K$4:K1350,MATCH(LARGE(FILTER(I$4:I1350,I$4:I1350&lt;=W426),1),I$4:I1350))-(W426-LARGE(FILTER(I$4:I"&amp;"1350,I$4:I1350&lt;=W426),1))*INDEX(F$4:F1350,MATCH(LARGE(FILTER(I$4:I1350,I$4:I1350&lt;=W426),1),I$4:I1350))))"),9.2226469E7)</f>
        <v>92226469</v>
      </c>
      <c r="N426" s="60">
        <f t="shared" si="8"/>
        <v>-224.65193</v>
      </c>
      <c r="O426" s="61" t="str">
        <f t="shared" si="9"/>
        <v>92,2M</v>
      </c>
      <c r="P426" s="56">
        <f t="shared" si="10"/>
        <v>59</v>
      </c>
      <c r="Q426" s="105" t="s">
        <v>59</v>
      </c>
      <c r="R426" s="10" t="b">
        <f>IFERROR(__xludf.DUMMYFUNCTION("IF(COUNTA(Q426:Q1350)=0,"""",IF(ISBLANK(Q426),FALSE,IF(NOT(COUNTIF($AA$24:$AA$34,SUBSTITUTE(Q426,""Sell_"",""""))),1,IF(REGEXMATCH(Q426,""Sell_""),IF(COUNTIF(Q$4:Q426,SUBSTITUTE(Q426,""Sell_"",""""))-COUNTIF(Q$4:Q425,Q426)&lt;1,1),FALSE))))"),FALSE)</f>
        <v>0</v>
      </c>
      <c r="S426" s="59">
        <f t="array" ref="S426">IF(COUNTA(Q426:Q1350)=0,"",SUM((COUNTIF(Q$4:Q426,Upgrades!$B$3:$B$13)-COUNTIF(Q$4:Q426,"Sell_"&amp;Upgrades!$B$3:$B$13))*Upgrades!$D$3:$D$13))</f>
        <v>431512.4</v>
      </c>
      <c r="T426" s="66">
        <f>IFERROR(__xludf.DUMMYFUNCTION("IF(COUNTA(Q426:Q1350)=0,"""",IF(REGEXMATCH(INDEX(FILTER(Q$4:Q426,Q$4:Q426&lt;&gt;""""),ROWS(FILTER(Q$4:Q426,Q$4:Q426&lt;&gt;""""))),""^Sell_""),INDEX(FILTER(T$4:T425,Q$4:Q425&lt;&gt;""""),ROWS(FILTER(Q$4:Q425,Q$4:Q425&lt;&gt;""""))),$AD$5+S426))"),438618.4)</f>
        <v>438618.4</v>
      </c>
      <c r="U426" s="10">
        <f>IFERROR(__xludf.DUMMYFUNCTION("IF(COUNTA(Q426:Q1350)=0,"""",IF(Q426="""",0,IF(REGEXMATCH(Q426,""^Sell_""),-ROUNDDOWN(ROUNDUP(INDEX(Upgrades!$C$3:$C$13,MATCH(SUBSTITUTE(Q426,""Sell_"",""""),Upgrades!$B$3:$B$13,0))*1.15^(COUNTIF(Q$4:Q425,SUBSTITUTE(Q426,""Sell_"",""""))-COUNTIF(Q$4:Q425,"&amp;"""Sell_""&amp;SUBSTITUTE(Q426,""Sell_"",""""))))/2),ROUNDUP(INDEX(Upgrades!$C$3:$C$13,MATCH(Q426,Upgrades!$B$3:$B$13,0))*1.15^(COUNTIF(Q$4:Q425,Q426)-COUNTIF(Q$4:Q425,""Sell_""&amp;Q426))))))"),-40685.0)</f>
        <v>-40685</v>
      </c>
      <c r="V426" s="10">
        <f t="shared" si="11"/>
        <v>-13994924</v>
      </c>
      <c r="W426" s="68">
        <f t="shared" si="12"/>
        <v>6085.8512</v>
      </c>
      <c r="X426" s="59" t="str">
        <f t="shared" si="13"/>
        <v>1h 41m 25s</v>
      </c>
      <c r="Y426" s="69">
        <f t="shared" si="14"/>
        <v>666718570</v>
      </c>
      <c r="Z426" s="11"/>
    </row>
    <row r="427">
      <c r="A427" s="8"/>
      <c r="B427" s="56" t="str">
        <f t="shared" si="2"/>
        <v/>
      </c>
      <c r="C427" s="57"/>
      <c r="D427" s="10" t="str">
        <f>IFERROR(__xludf.DUMMYFUNCTION("IF(COUNTA(C427:C1350)=0,"""",IF(ISBLANK(C427),FALSE,IF(NOT(COUNTIF($AA$24:$AA$34,SUBSTITUTE(C427,""Sell_"",""""))),1,IF(REGEXMATCH(C427,""Sell_""),IF(COUNTIF(C$4:C427,SUBSTITUTE(C427,""Sell_"",""""))-COUNTIF(C$4:C426,C427)&lt;1,1),FALSE))))"),"")</f>
        <v/>
      </c>
      <c r="E427" s="59" t="str">
        <f t="array" ref="E427">IF(COUNTA(C427:C1350)=0,"",SUM((COUNTIF(C$4:C427,Upgrades!$B$3:$B$13)-COUNTIF(C$4:C427,"Sell_"&amp;Upgrades!$B$3:$B$13))*Upgrades!$D$3:$D$13))</f>
        <v/>
      </c>
      <c r="F427" s="66" t="str">
        <f>IFERROR(__xludf.DUMMYFUNCTION("IF(COUNTA(C427:C1350)=0,"""",IF(REGEXMATCH(INDEX(FILTER(C$4:C427,C$4:C427&lt;&gt;""""),ROWS(FILTER(C$4:C427,C$4:C427&lt;&gt;""""))),""^Sell_""),INDEX(FILTER(F$4:F426,C$4:C426&lt;&gt;""""),ROWS(FILTER(C$4:C426,C$4:C426&lt;&gt;""""))),$AC$5+E427))"),"")</f>
        <v/>
      </c>
      <c r="G427" s="10" t="str">
        <f>IFERROR(__xludf.DUMMYFUNCTION("IF(COUNTA(C427:C1350)=0,"""",IF(C427="""",0,IF(REGEXMATCH(C427,""^Sell_""),-ROUNDDOWN(ROUNDUP(INDEX(Upgrades!$C$3:$C$13,MATCH(SUBSTITUTE(C427,""Sell_"",""""),Upgrades!$B$3:$B$13,0))*1.15^(COUNTIF(C$4:C426,SUBSTITUTE(C427,""Sell_"",""""))-COUNTIF(C$4:C426,"&amp;"""Sell_""&amp;SUBSTITUTE(C427,""Sell_"",""""))))/2),ROUNDUP(INDEX(Upgrades!$C$3:$C$13,MATCH(C427,Upgrades!$B$3:$B$13,0))*1.15^(COUNTIF(C$4:C426,C427)-COUNTIF(C$4:C426,""Sell_""&amp;C427))))))"),"")</f>
        <v/>
      </c>
      <c r="H427" s="10" t="str">
        <f t="shared" si="3"/>
        <v/>
      </c>
      <c r="I427" s="68" t="str">
        <f t="shared" si="4"/>
        <v/>
      </c>
      <c r="J427" s="59" t="str">
        <f t="shared" si="5"/>
        <v/>
      </c>
      <c r="K427" s="69" t="str">
        <f t="shared" si="6"/>
        <v/>
      </c>
      <c r="L427" s="60">
        <f t="shared" si="7"/>
        <v>-224.65193</v>
      </c>
      <c r="M427" s="61">
        <f>IFERROR(__xludf.DUMMYFUNCTION("IFS(AND(COUNTA(C427:C1350)=0,COUNTA(Q427:Q1350)=0),"""",OR(AND(K427&gt;=1000000000,OR(Y427&gt;=1000000000,COUNTA(Q427:Q1350)=0)),OR(Y427&gt;=1000000000,AND(COUNTA(C427:C1350)=0,P$3=TRUE))),
ROUNDDOWN((AB$1-AC$1)*MAX(INDEX(T$4:T1350,MATCH(LARGE(FILTER(Y$4:Y1350,Y$4"&amp;":Y1350&lt;1000000000),1),Y$4:Y1350)),INDEX(F$4:F1350,MATCH(LARGE(FILTER(K$4:K1350,K$4:K1350&lt;1000000000),1),K$4:K1350)))),AND(K427&lt;1000000000,COUNTA(C427:C1350)&gt;0,P$3=FALSE),
ROUNDDOWN(INDEX(Y$4:Y1350,MATCH(LARGE(FILTER(W$4:W1350,W$4:W1350&lt;=I427),1),W$4:W1350"&amp;"))+(I427-LARGE(FILTER(W$4:W1350,W$4:W1350&lt;=I427),1))*INDEX(T$4:T1350,MATCH(LARGE(FILTER(W$4:W1350,W$4:W1350&lt;=I427),1),W$4:W1350))-K427),1,
ROUNDDOWN(Y427-INDEX(K$4:K1350,MATCH(LARGE(FILTER(I$4:I1350,I$4:I1350&lt;=W427),1),I$4:I1350))-(W427-LARGE(FILTER(I$4:I"&amp;"1350,I$4:I1350&lt;=W427),1))*INDEX(F$4:F1350,MATCH(LARGE(FILTER(I$4:I1350,I$4:I1350&lt;=W427),1),I$4:I1350))))"),9.2226469E7)</f>
        <v>92226469</v>
      </c>
      <c r="N427" s="60">
        <f t="shared" si="8"/>
        <v>-224.65193</v>
      </c>
      <c r="O427" s="61" t="str">
        <f t="shared" si="9"/>
        <v>92,2M</v>
      </c>
      <c r="P427" s="56">
        <f t="shared" si="10"/>
        <v>60</v>
      </c>
      <c r="Q427" s="105" t="s">
        <v>59</v>
      </c>
      <c r="R427" s="10" t="b">
        <f>IFERROR(__xludf.DUMMYFUNCTION("IF(COUNTA(Q427:Q1350)=0,"""",IF(ISBLANK(Q427),FALSE,IF(NOT(COUNTIF($AA$24:$AA$34,SUBSTITUTE(Q427,""Sell_"",""""))),1,IF(REGEXMATCH(Q427,""Sell_""),IF(COUNTIF(Q$4:Q427,SUBSTITUTE(Q427,""Sell_"",""""))-COUNTIF(Q$4:Q426,Q427)&lt;1,1),FALSE))))"),FALSE)</f>
        <v>0</v>
      </c>
      <c r="S427" s="59">
        <f t="array" ref="S427">IF(COUNTA(Q427:Q1350)=0,"",SUM((COUNTIF(Q$4:Q427,Upgrades!$B$3:$B$13)-COUNTIF(Q$4:Q427,"Sell_"&amp;Upgrades!$B$3:$B$13))*Upgrades!$D$3:$D$13))</f>
        <v>431472.4</v>
      </c>
      <c r="T427" s="66">
        <f>IFERROR(__xludf.DUMMYFUNCTION("IF(COUNTA(Q427:Q1350)=0,"""",IF(REGEXMATCH(INDEX(FILTER(Q$4:Q427,Q$4:Q427&lt;&gt;""""),ROWS(FILTER(Q$4:Q427,Q$4:Q427&lt;&gt;""""))),""^Sell_""),INDEX(FILTER(T$4:T426,Q$4:Q426&lt;&gt;""""),ROWS(FILTER(Q$4:Q426,Q$4:Q426&lt;&gt;""""))),$AD$5+S427))"),438618.4)</f>
        <v>438618.4</v>
      </c>
      <c r="U427" s="10">
        <f>IFERROR(__xludf.DUMMYFUNCTION("IF(COUNTA(Q427:Q1350)=0,"""",IF(Q427="""",0,IF(REGEXMATCH(Q427,""^Sell_""),-ROUNDDOWN(ROUNDUP(INDEX(Upgrades!$C$3:$C$13,MATCH(SUBSTITUTE(Q427,""Sell_"",""""),Upgrades!$B$3:$B$13,0))*1.15^(COUNTIF(Q$4:Q426,SUBSTITUTE(Q427,""Sell_"",""""))-COUNTIF(Q$4:Q426,"&amp;"""Sell_""&amp;SUBSTITUTE(Q427,""Sell_"",""""))))/2),ROUNDUP(INDEX(Upgrades!$C$3:$C$13,MATCH(Q427,Upgrades!$B$3:$B$13,0))*1.15^(COUNTIF(Q$4:Q426,Q427)-COUNTIF(Q$4:Q426,""Sell_""&amp;Q427))))))"),-35379.0)</f>
        <v>-35379</v>
      </c>
      <c r="V427" s="10">
        <f t="shared" si="11"/>
        <v>-14030303</v>
      </c>
      <c r="W427" s="68">
        <f t="shared" si="12"/>
        <v>6085.8512</v>
      </c>
      <c r="X427" s="59" t="str">
        <f t="shared" si="13"/>
        <v>1h 41m 25s</v>
      </c>
      <c r="Y427" s="69">
        <f t="shared" si="14"/>
        <v>666718570</v>
      </c>
      <c r="Z427" s="11"/>
    </row>
    <row r="428">
      <c r="A428" s="8"/>
      <c r="B428" s="56" t="str">
        <f t="shared" si="2"/>
        <v/>
      </c>
      <c r="C428" s="57"/>
      <c r="D428" s="10" t="str">
        <f>IFERROR(__xludf.DUMMYFUNCTION("IF(COUNTA(C428:C1350)=0,"""",IF(ISBLANK(C428),FALSE,IF(NOT(COUNTIF($AA$24:$AA$34,SUBSTITUTE(C428,""Sell_"",""""))),1,IF(REGEXMATCH(C428,""Sell_""),IF(COUNTIF(C$4:C428,SUBSTITUTE(C428,""Sell_"",""""))-COUNTIF(C$4:C427,C428)&lt;1,1),FALSE))))"),"")</f>
        <v/>
      </c>
      <c r="E428" s="59" t="str">
        <f t="array" ref="E428">IF(COUNTA(C428:C1350)=0,"",SUM((COUNTIF(C$4:C428,Upgrades!$B$3:$B$13)-COUNTIF(C$4:C428,"Sell_"&amp;Upgrades!$B$3:$B$13))*Upgrades!$D$3:$D$13))</f>
        <v/>
      </c>
      <c r="F428" s="66" t="str">
        <f>IFERROR(__xludf.DUMMYFUNCTION("IF(COUNTA(C428:C1350)=0,"""",IF(REGEXMATCH(INDEX(FILTER(C$4:C428,C$4:C428&lt;&gt;""""),ROWS(FILTER(C$4:C428,C$4:C428&lt;&gt;""""))),""^Sell_""),INDEX(FILTER(F$4:F427,C$4:C427&lt;&gt;""""),ROWS(FILTER(C$4:C427,C$4:C427&lt;&gt;""""))),$AC$5+E428))"),"")</f>
        <v/>
      </c>
      <c r="G428" s="10" t="str">
        <f>IFERROR(__xludf.DUMMYFUNCTION("IF(COUNTA(C428:C1350)=0,"""",IF(C428="""",0,IF(REGEXMATCH(C428,""^Sell_""),-ROUNDDOWN(ROUNDUP(INDEX(Upgrades!$C$3:$C$13,MATCH(SUBSTITUTE(C428,""Sell_"",""""),Upgrades!$B$3:$B$13,0))*1.15^(COUNTIF(C$4:C427,SUBSTITUTE(C428,""Sell_"",""""))-COUNTIF(C$4:C427,"&amp;"""Sell_""&amp;SUBSTITUTE(C428,""Sell_"",""""))))/2),ROUNDUP(INDEX(Upgrades!$C$3:$C$13,MATCH(C428,Upgrades!$B$3:$B$13,0))*1.15^(COUNTIF(C$4:C427,C428)-COUNTIF(C$4:C427,""Sell_""&amp;C428))))))"),"")</f>
        <v/>
      </c>
      <c r="H428" s="10" t="str">
        <f t="shared" si="3"/>
        <v/>
      </c>
      <c r="I428" s="68" t="str">
        <f t="shared" si="4"/>
        <v/>
      </c>
      <c r="J428" s="59" t="str">
        <f t="shared" si="5"/>
        <v/>
      </c>
      <c r="K428" s="69" t="str">
        <f t="shared" si="6"/>
        <v/>
      </c>
      <c r="L428" s="60">
        <f t="shared" si="7"/>
        <v>-224.65193</v>
      </c>
      <c r="M428" s="61">
        <f>IFERROR(__xludf.DUMMYFUNCTION("IFS(AND(COUNTA(C428:C1350)=0,COUNTA(Q428:Q1350)=0),"""",OR(AND(K428&gt;=1000000000,OR(Y428&gt;=1000000000,COUNTA(Q428:Q1350)=0)),OR(Y428&gt;=1000000000,AND(COUNTA(C428:C1350)=0,P$3=TRUE))),
ROUNDDOWN((AB$1-AC$1)*MAX(INDEX(T$4:T1350,MATCH(LARGE(FILTER(Y$4:Y1350,Y$4"&amp;":Y1350&lt;1000000000),1),Y$4:Y1350)),INDEX(F$4:F1350,MATCH(LARGE(FILTER(K$4:K1350,K$4:K1350&lt;1000000000),1),K$4:K1350)))),AND(K428&lt;1000000000,COUNTA(C428:C1350)&gt;0,P$3=FALSE),
ROUNDDOWN(INDEX(Y$4:Y1350,MATCH(LARGE(FILTER(W$4:W1350,W$4:W1350&lt;=I428),1),W$4:W1350"&amp;"))+(I428-LARGE(FILTER(W$4:W1350,W$4:W1350&lt;=I428),1))*INDEX(T$4:T1350,MATCH(LARGE(FILTER(W$4:W1350,W$4:W1350&lt;=I428),1),W$4:W1350))-K428),1,
ROUNDDOWN(Y428-INDEX(K$4:K1350,MATCH(LARGE(FILTER(I$4:I1350,I$4:I1350&lt;=W428),1),I$4:I1350))-(W428-LARGE(FILTER(I$4:I"&amp;"1350,I$4:I1350&lt;=W428),1))*INDEX(F$4:F1350,MATCH(LARGE(FILTER(I$4:I1350,I$4:I1350&lt;=W428),1),I$4:I1350))))"),9.2226469E7)</f>
        <v>92226469</v>
      </c>
      <c r="N428" s="60">
        <f t="shared" si="8"/>
        <v>-224.65193</v>
      </c>
      <c r="O428" s="61" t="str">
        <f t="shared" si="9"/>
        <v>92,2M</v>
      </c>
      <c r="P428" s="56">
        <f t="shared" si="10"/>
        <v>61</v>
      </c>
      <c r="Q428" s="105" t="s">
        <v>59</v>
      </c>
      <c r="R428" s="10" t="b">
        <f>IFERROR(__xludf.DUMMYFUNCTION("IF(COUNTA(Q428:Q1350)=0,"""",IF(ISBLANK(Q428),FALSE,IF(NOT(COUNTIF($AA$24:$AA$34,SUBSTITUTE(Q428,""Sell_"",""""))),1,IF(REGEXMATCH(Q428,""Sell_""),IF(COUNTIF(Q$4:Q428,SUBSTITUTE(Q428,""Sell_"",""""))-COUNTIF(Q$4:Q427,Q428)&lt;1,1),FALSE))))"),FALSE)</f>
        <v>0</v>
      </c>
      <c r="S428" s="59">
        <f t="array" ref="S428">IF(COUNTA(Q428:Q1350)=0,"",SUM((COUNTIF(Q$4:Q428,Upgrades!$B$3:$B$13)-COUNTIF(Q$4:Q428,"Sell_"&amp;Upgrades!$B$3:$B$13))*Upgrades!$D$3:$D$13))</f>
        <v>431432.4</v>
      </c>
      <c r="T428" s="66">
        <f>IFERROR(__xludf.DUMMYFUNCTION("IF(COUNTA(Q428:Q1350)=0,"""",IF(REGEXMATCH(INDEX(FILTER(Q$4:Q428,Q$4:Q428&lt;&gt;""""),ROWS(FILTER(Q$4:Q428,Q$4:Q428&lt;&gt;""""))),""^Sell_""),INDEX(FILTER(T$4:T427,Q$4:Q427&lt;&gt;""""),ROWS(FILTER(Q$4:Q427,Q$4:Q427&lt;&gt;""""))),$AD$5+S428))"),438618.4)</f>
        <v>438618.4</v>
      </c>
      <c r="U428" s="10">
        <f>IFERROR(__xludf.DUMMYFUNCTION("IF(COUNTA(Q428:Q1350)=0,"""",IF(Q428="""",0,IF(REGEXMATCH(Q428,""^Sell_""),-ROUNDDOWN(ROUNDUP(INDEX(Upgrades!$C$3:$C$13,MATCH(SUBSTITUTE(Q428,""Sell_"",""""),Upgrades!$B$3:$B$13,0))*1.15^(COUNTIF(Q$4:Q427,SUBSTITUTE(Q428,""Sell_"",""""))-COUNTIF(Q$4:Q427,"&amp;"""Sell_""&amp;SUBSTITUTE(Q428,""Sell_"",""""))))/2),ROUNDUP(INDEX(Upgrades!$C$3:$C$13,MATCH(Q428,Upgrades!$B$3:$B$13,0))*1.15^(COUNTIF(Q$4:Q427,Q428)-COUNTIF(Q$4:Q427,""Sell_""&amp;Q428))))))"),-30764.0)</f>
        <v>-30764</v>
      </c>
      <c r="V428" s="10">
        <f t="shared" si="11"/>
        <v>-14061067</v>
      </c>
      <c r="W428" s="68">
        <f t="shared" si="12"/>
        <v>6085.8512</v>
      </c>
      <c r="X428" s="59" t="str">
        <f t="shared" si="13"/>
        <v>1h 41m 25s</v>
      </c>
      <c r="Y428" s="69">
        <f t="shared" si="14"/>
        <v>666718570</v>
      </c>
      <c r="Z428" s="11"/>
    </row>
    <row r="429">
      <c r="A429" s="8"/>
      <c r="B429" s="56" t="str">
        <f t="shared" si="2"/>
        <v/>
      </c>
      <c r="C429" s="57"/>
      <c r="D429" s="10" t="str">
        <f>IFERROR(__xludf.DUMMYFUNCTION("IF(COUNTA(C429:C1350)=0,"""",IF(ISBLANK(C429),FALSE,IF(NOT(COUNTIF($AA$24:$AA$34,SUBSTITUTE(C429,""Sell_"",""""))),1,IF(REGEXMATCH(C429,""Sell_""),IF(COUNTIF(C$4:C429,SUBSTITUTE(C429,""Sell_"",""""))-COUNTIF(C$4:C428,C429)&lt;1,1),FALSE))))"),"")</f>
        <v/>
      </c>
      <c r="E429" s="59" t="str">
        <f t="array" ref="E429">IF(COUNTA(C429:C1350)=0,"",SUM((COUNTIF(C$4:C429,Upgrades!$B$3:$B$13)-COUNTIF(C$4:C429,"Sell_"&amp;Upgrades!$B$3:$B$13))*Upgrades!$D$3:$D$13))</f>
        <v/>
      </c>
      <c r="F429" s="66" t="str">
        <f>IFERROR(__xludf.DUMMYFUNCTION("IF(COUNTA(C429:C1350)=0,"""",IF(REGEXMATCH(INDEX(FILTER(C$4:C429,C$4:C429&lt;&gt;""""),ROWS(FILTER(C$4:C429,C$4:C429&lt;&gt;""""))),""^Sell_""),INDEX(FILTER(F$4:F428,C$4:C428&lt;&gt;""""),ROWS(FILTER(C$4:C428,C$4:C428&lt;&gt;""""))),$AC$5+E429))"),"")</f>
        <v/>
      </c>
      <c r="G429" s="10" t="str">
        <f>IFERROR(__xludf.DUMMYFUNCTION("IF(COUNTA(C429:C1350)=0,"""",IF(C429="""",0,IF(REGEXMATCH(C429,""^Sell_""),-ROUNDDOWN(ROUNDUP(INDEX(Upgrades!$C$3:$C$13,MATCH(SUBSTITUTE(C429,""Sell_"",""""),Upgrades!$B$3:$B$13,0))*1.15^(COUNTIF(C$4:C428,SUBSTITUTE(C429,""Sell_"",""""))-COUNTIF(C$4:C428,"&amp;"""Sell_""&amp;SUBSTITUTE(C429,""Sell_"",""""))))/2),ROUNDUP(INDEX(Upgrades!$C$3:$C$13,MATCH(C429,Upgrades!$B$3:$B$13,0))*1.15^(COUNTIF(C$4:C428,C429)-COUNTIF(C$4:C428,""Sell_""&amp;C429))))))"),"")</f>
        <v/>
      </c>
      <c r="H429" s="10" t="str">
        <f t="shared" si="3"/>
        <v/>
      </c>
      <c r="I429" s="68" t="str">
        <f t="shared" si="4"/>
        <v/>
      </c>
      <c r="J429" s="59" t="str">
        <f t="shared" si="5"/>
        <v/>
      </c>
      <c r="K429" s="69" t="str">
        <f t="shared" si="6"/>
        <v/>
      </c>
      <c r="L429" s="60">
        <f t="shared" si="7"/>
        <v>-224.65193</v>
      </c>
      <c r="M429" s="61">
        <f>IFERROR(__xludf.DUMMYFUNCTION("IFS(AND(COUNTA(C429:C1350)=0,COUNTA(Q429:Q1350)=0),"""",OR(AND(K429&gt;=1000000000,OR(Y429&gt;=1000000000,COUNTA(Q429:Q1350)=0)),OR(Y429&gt;=1000000000,AND(COUNTA(C429:C1350)=0,P$3=TRUE))),
ROUNDDOWN((AB$1-AC$1)*MAX(INDEX(T$4:T1350,MATCH(LARGE(FILTER(Y$4:Y1350,Y$4"&amp;":Y1350&lt;1000000000),1),Y$4:Y1350)),INDEX(F$4:F1350,MATCH(LARGE(FILTER(K$4:K1350,K$4:K1350&lt;1000000000),1),K$4:K1350)))),AND(K429&lt;1000000000,COUNTA(C429:C1350)&gt;0,P$3=FALSE),
ROUNDDOWN(INDEX(Y$4:Y1350,MATCH(LARGE(FILTER(W$4:W1350,W$4:W1350&lt;=I429),1),W$4:W1350"&amp;"))+(I429-LARGE(FILTER(W$4:W1350,W$4:W1350&lt;=I429),1))*INDEX(T$4:T1350,MATCH(LARGE(FILTER(W$4:W1350,W$4:W1350&lt;=I429),1),W$4:W1350))-K429),1,
ROUNDDOWN(Y429-INDEX(K$4:K1350,MATCH(LARGE(FILTER(I$4:I1350,I$4:I1350&lt;=W429),1),I$4:I1350))-(W429-LARGE(FILTER(I$4:I"&amp;"1350,I$4:I1350&lt;=W429),1))*INDEX(F$4:F1350,MATCH(LARGE(FILTER(I$4:I1350,I$4:I1350&lt;=W429),1),I$4:I1350))))"),9.2226469E7)</f>
        <v>92226469</v>
      </c>
      <c r="N429" s="60">
        <f t="shared" si="8"/>
        <v>-224.65193</v>
      </c>
      <c r="O429" s="61" t="str">
        <f t="shared" si="9"/>
        <v>92,2M</v>
      </c>
      <c r="P429" s="56">
        <f t="shared" si="10"/>
        <v>62</v>
      </c>
      <c r="Q429" s="105" t="s">
        <v>59</v>
      </c>
      <c r="R429" s="10" t="b">
        <f>IFERROR(__xludf.DUMMYFUNCTION("IF(COUNTA(Q429:Q1350)=0,"""",IF(ISBLANK(Q429),FALSE,IF(NOT(COUNTIF($AA$24:$AA$34,SUBSTITUTE(Q429,""Sell_"",""""))),1,IF(REGEXMATCH(Q429,""Sell_""),IF(COUNTIF(Q$4:Q429,SUBSTITUTE(Q429,""Sell_"",""""))-COUNTIF(Q$4:Q428,Q429)&lt;1,1),FALSE))))"),FALSE)</f>
        <v>0</v>
      </c>
      <c r="S429" s="59">
        <f t="array" ref="S429">IF(COUNTA(Q429:Q1350)=0,"",SUM((COUNTIF(Q$4:Q429,Upgrades!$B$3:$B$13)-COUNTIF(Q$4:Q429,"Sell_"&amp;Upgrades!$B$3:$B$13))*Upgrades!$D$3:$D$13))</f>
        <v>431392.4</v>
      </c>
      <c r="T429" s="66">
        <f>IFERROR(__xludf.DUMMYFUNCTION("IF(COUNTA(Q429:Q1350)=0,"""",IF(REGEXMATCH(INDEX(FILTER(Q$4:Q429,Q$4:Q429&lt;&gt;""""),ROWS(FILTER(Q$4:Q429,Q$4:Q429&lt;&gt;""""))),""^Sell_""),INDEX(FILTER(T$4:T428,Q$4:Q428&lt;&gt;""""),ROWS(FILTER(Q$4:Q428,Q$4:Q428&lt;&gt;""""))),$AD$5+S429))"),438618.4)</f>
        <v>438618.4</v>
      </c>
      <c r="U429" s="10">
        <f>IFERROR(__xludf.DUMMYFUNCTION("IF(COUNTA(Q429:Q1350)=0,"""",IF(Q429="""",0,IF(REGEXMATCH(Q429,""^Sell_""),-ROUNDDOWN(ROUNDUP(INDEX(Upgrades!$C$3:$C$13,MATCH(SUBSTITUTE(Q429,""Sell_"",""""),Upgrades!$B$3:$B$13,0))*1.15^(COUNTIF(Q$4:Q428,SUBSTITUTE(Q429,""Sell_"",""""))-COUNTIF(Q$4:Q428,"&amp;"""Sell_""&amp;SUBSTITUTE(Q429,""Sell_"",""""))))/2),ROUNDUP(INDEX(Upgrades!$C$3:$C$13,MATCH(Q429,Upgrades!$B$3:$B$13,0))*1.15^(COUNTIF(Q$4:Q428,Q429)-COUNTIF(Q$4:Q428,""Sell_""&amp;Q429))))))"),-26751.0)</f>
        <v>-26751</v>
      </c>
      <c r="V429" s="10">
        <f t="shared" si="11"/>
        <v>-14087818</v>
      </c>
      <c r="W429" s="68">
        <f t="shared" si="12"/>
        <v>6085.8512</v>
      </c>
      <c r="X429" s="59" t="str">
        <f t="shared" si="13"/>
        <v>1h 41m 25s</v>
      </c>
      <c r="Y429" s="69">
        <f t="shared" si="14"/>
        <v>666718570</v>
      </c>
      <c r="Z429" s="11"/>
    </row>
    <row r="430">
      <c r="A430" s="8"/>
      <c r="B430" s="56" t="str">
        <f t="shared" si="2"/>
        <v/>
      </c>
      <c r="C430" s="57"/>
      <c r="D430" s="10" t="str">
        <f>IFERROR(__xludf.DUMMYFUNCTION("IF(COUNTA(C430:C1350)=0,"""",IF(ISBLANK(C430),FALSE,IF(NOT(COUNTIF($AA$24:$AA$34,SUBSTITUTE(C430,""Sell_"",""""))),1,IF(REGEXMATCH(C430,""Sell_""),IF(COUNTIF(C$4:C430,SUBSTITUTE(C430,""Sell_"",""""))-COUNTIF(C$4:C429,C430)&lt;1,1),FALSE))))"),"")</f>
        <v/>
      </c>
      <c r="E430" s="59" t="str">
        <f t="array" ref="E430">IF(COUNTA(C430:C1350)=0,"",SUM((COUNTIF(C$4:C430,Upgrades!$B$3:$B$13)-COUNTIF(C$4:C430,"Sell_"&amp;Upgrades!$B$3:$B$13))*Upgrades!$D$3:$D$13))</f>
        <v/>
      </c>
      <c r="F430" s="66" t="str">
        <f>IFERROR(__xludf.DUMMYFUNCTION("IF(COUNTA(C430:C1350)=0,"""",IF(REGEXMATCH(INDEX(FILTER(C$4:C430,C$4:C430&lt;&gt;""""),ROWS(FILTER(C$4:C430,C$4:C430&lt;&gt;""""))),""^Sell_""),INDEX(FILTER(F$4:F429,C$4:C429&lt;&gt;""""),ROWS(FILTER(C$4:C429,C$4:C429&lt;&gt;""""))),$AC$5+E430))"),"")</f>
        <v/>
      </c>
      <c r="G430" s="10" t="str">
        <f>IFERROR(__xludf.DUMMYFUNCTION("IF(COUNTA(C430:C1350)=0,"""",IF(C430="""",0,IF(REGEXMATCH(C430,""^Sell_""),-ROUNDDOWN(ROUNDUP(INDEX(Upgrades!$C$3:$C$13,MATCH(SUBSTITUTE(C430,""Sell_"",""""),Upgrades!$B$3:$B$13,0))*1.15^(COUNTIF(C$4:C429,SUBSTITUTE(C430,""Sell_"",""""))-COUNTIF(C$4:C429,"&amp;"""Sell_""&amp;SUBSTITUTE(C430,""Sell_"",""""))))/2),ROUNDUP(INDEX(Upgrades!$C$3:$C$13,MATCH(C430,Upgrades!$B$3:$B$13,0))*1.15^(COUNTIF(C$4:C429,C430)-COUNTIF(C$4:C429,""Sell_""&amp;C430))))))"),"")</f>
        <v/>
      </c>
      <c r="H430" s="10" t="str">
        <f t="shared" si="3"/>
        <v/>
      </c>
      <c r="I430" s="68" t="str">
        <f t="shared" si="4"/>
        <v/>
      </c>
      <c r="J430" s="59" t="str">
        <f t="shared" si="5"/>
        <v/>
      </c>
      <c r="K430" s="69" t="str">
        <f t="shared" si="6"/>
        <v/>
      </c>
      <c r="L430" s="60">
        <f t="shared" si="7"/>
        <v>-224.65193</v>
      </c>
      <c r="M430" s="61">
        <f>IFERROR(__xludf.DUMMYFUNCTION("IFS(AND(COUNTA(C430:C1350)=0,COUNTA(Q430:Q1350)=0),"""",OR(AND(K430&gt;=1000000000,OR(Y430&gt;=1000000000,COUNTA(Q430:Q1350)=0)),OR(Y430&gt;=1000000000,AND(COUNTA(C430:C1350)=0,P$3=TRUE))),
ROUNDDOWN((AB$1-AC$1)*MAX(INDEX(T$4:T1350,MATCH(LARGE(FILTER(Y$4:Y1350,Y$4"&amp;":Y1350&lt;1000000000),1),Y$4:Y1350)),INDEX(F$4:F1350,MATCH(LARGE(FILTER(K$4:K1350,K$4:K1350&lt;1000000000),1),K$4:K1350)))),AND(K430&lt;1000000000,COUNTA(C430:C1350)&gt;0,P$3=FALSE),
ROUNDDOWN(INDEX(Y$4:Y1350,MATCH(LARGE(FILTER(W$4:W1350,W$4:W1350&lt;=I430),1),W$4:W1350"&amp;"))+(I430-LARGE(FILTER(W$4:W1350,W$4:W1350&lt;=I430),1))*INDEX(T$4:T1350,MATCH(LARGE(FILTER(W$4:W1350,W$4:W1350&lt;=I430),1),W$4:W1350))-K430),1,
ROUNDDOWN(Y430-INDEX(K$4:K1350,MATCH(LARGE(FILTER(I$4:I1350,I$4:I1350&lt;=W430),1),I$4:I1350))-(W430-LARGE(FILTER(I$4:I"&amp;"1350,I$4:I1350&lt;=W430),1))*INDEX(F$4:F1350,MATCH(LARGE(FILTER(I$4:I1350,I$4:I1350&lt;=W430),1),I$4:I1350))))"),9.2226469E7)</f>
        <v>92226469</v>
      </c>
      <c r="N430" s="60">
        <f t="shared" si="8"/>
        <v>-224.65193</v>
      </c>
      <c r="O430" s="61" t="str">
        <f t="shared" si="9"/>
        <v>92,2M</v>
      </c>
      <c r="P430" s="56">
        <f t="shared" si="10"/>
        <v>36</v>
      </c>
      <c r="Q430" s="105" t="s">
        <v>61</v>
      </c>
      <c r="R430" s="10" t="b">
        <f>IFERROR(__xludf.DUMMYFUNCTION("IF(COUNTA(Q430:Q1350)=0,"""",IF(ISBLANK(Q430),FALSE,IF(NOT(COUNTIF($AA$24:$AA$34,SUBSTITUTE(Q430,""Sell_"",""""))),1,IF(REGEXMATCH(Q430,""Sell_""),IF(COUNTIF(Q$4:Q430,SUBSTITUTE(Q430,""Sell_"",""""))-COUNTIF(Q$4:Q429,Q430)&lt;1,1),FALSE))))"),FALSE)</f>
        <v>0</v>
      </c>
      <c r="S430" s="59">
        <f t="array" ref="S430">IF(COUNTA(Q430:Q1350)=0,"",SUM((COUNTIF(Q$4:Q430,Upgrades!$B$3:$B$13)-COUNTIF(Q$4:Q430,"Sell_"&amp;Upgrades!$B$3:$B$13))*Upgrades!$D$3:$D$13))</f>
        <v>431292.4</v>
      </c>
      <c r="T430" s="66">
        <f>IFERROR(__xludf.DUMMYFUNCTION("IF(COUNTA(Q430:Q1350)=0,"""",IF(REGEXMATCH(INDEX(FILTER(Q$4:Q430,Q$4:Q430&lt;&gt;""""),ROWS(FILTER(Q$4:Q430,Q$4:Q430&lt;&gt;""""))),""^Sell_""),INDEX(FILTER(T$4:T429,Q$4:Q429&lt;&gt;""""),ROWS(FILTER(Q$4:Q429,Q$4:Q429&lt;&gt;""""))),$AD$5+S430))"),438618.4)</f>
        <v>438618.4</v>
      </c>
      <c r="U430" s="10">
        <f>IFERROR(__xludf.DUMMYFUNCTION("IF(COUNTA(Q430:Q1350)=0,"""",IF(Q430="""",0,IF(REGEXMATCH(Q430,""^Sell_""),-ROUNDDOWN(ROUNDUP(INDEX(Upgrades!$C$3:$C$13,MATCH(SUBSTITUTE(Q430,""Sell_"",""""),Upgrades!$B$3:$B$13,0))*1.15^(COUNTIF(Q$4:Q429,SUBSTITUTE(Q430,""Sell_"",""""))-COUNTIF(Q$4:Q429,"&amp;"""Sell_""&amp;SUBSTITUTE(Q430,""Sell_"",""""))))/2),ROUNDUP(INDEX(Upgrades!$C$3:$C$13,MATCH(Q430,Upgrades!$B$3:$B$13,0))*1.15^(COUNTIF(Q$4:Q429,Q430)-COUNTIF(Q$4:Q429,""Sell_""&amp;Q430))))))"),-215225.0)</f>
        <v>-215225</v>
      </c>
      <c r="V430" s="10">
        <f t="shared" si="11"/>
        <v>-14303043</v>
      </c>
      <c r="W430" s="68">
        <f t="shared" si="12"/>
        <v>6085.8512</v>
      </c>
      <c r="X430" s="59" t="str">
        <f t="shared" si="13"/>
        <v>1h 41m 25s</v>
      </c>
      <c r="Y430" s="69">
        <f t="shared" si="14"/>
        <v>666718570</v>
      </c>
      <c r="Z430" s="11"/>
    </row>
    <row r="431">
      <c r="A431" s="8"/>
      <c r="B431" s="56" t="str">
        <f t="shared" si="2"/>
        <v/>
      </c>
      <c r="C431" s="57"/>
      <c r="D431" s="10" t="str">
        <f>IFERROR(__xludf.DUMMYFUNCTION("IF(COUNTA(C431:C1350)=0,"""",IF(ISBLANK(C431),FALSE,IF(NOT(COUNTIF($AA$24:$AA$34,SUBSTITUTE(C431,""Sell_"",""""))),1,IF(REGEXMATCH(C431,""Sell_""),IF(COUNTIF(C$4:C431,SUBSTITUTE(C431,""Sell_"",""""))-COUNTIF(C$4:C430,C431)&lt;1,1),FALSE))))"),"")</f>
        <v/>
      </c>
      <c r="E431" s="59" t="str">
        <f t="array" ref="E431">IF(COUNTA(C431:C1350)=0,"",SUM((COUNTIF(C$4:C431,Upgrades!$B$3:$B$13)-COUNTIF(C$4:C431,"Sell_"&amp;Upgrades!$B$3:$B$13))*Upgrades!$D$3:$D$13))</f>
        <v/>
      </c>
      <c r="F431" s="66" t="str">
        <f>IFERROR(__xludf.DUMMYFUNCTION("IF(COUNTA(C431:C1350)=0,"""",IF(REGEXMATCH(INDEX(FILTER(C$4:C431,C$4:C431&lt;&gt;""""),ROWS(FILTER(C$4:C431,C$4:C431&lt;&gt;""""))),""^Sell_""),INDEX(FILTER(F$4:F430,C$4:C430&lt;&gt;""""),ROWS(FILTER(C$4:C430,C$4:C430&lt;&gt;""""))),$AC$5+E431))"),"")</f>
        <v/>
      </c>
      <c r="G431" s="10" t="str">
        <f>IFERROR(__xludf.DUMMYFUNCTION("IF(COUNTA(C431:C1350)=0,"""",IF(C431="""",0,IF(REGEXMATCH(C431,""^Sell_""),-ROUNDDOWN(ROUNDUP(INDEX(Upgrades!$C$3:$C$13,MATCH(SUBSTITUTE(C431,""Sell_"",""""),Upgrades!$B$3:$B$13,0))*1.15^(COUNTIF(C$4:C430,SUBSTITUTE(C431,""Sell_"",""""))-COUNTIF(C$4:C430,"&amp;"""Sell_""&amp;SUBSTITUTE(C431,""Sell_"",""""))))/2),ROUNDUP(INDEX(Upgrades!$C$3:$C$13,MATCH(C431,Upgrades!$B$3:$B$13,0))*1.15^(COUNTIF(C$4:C430,C431)-COUNTIF(C$4:C430,""Sell_""&amp;C431))))))"),"")</f>
        <v/>
      </c>
      <c r="H431" s="10" t="str">
        <f t="shared" si="3"/>
        <v/>
      </c>
      <c r="I431" s="68" t="str">
        <f t="shared" si="4"/>
        <v/>
      </c>
      <c r="J431" s="59" t="str">
        <f t="shared" si="5"/>
        <v/>
      </c>
      <c r="K431" s="69" t="str">
        <f t="shared" si="6"/>
        <v/>
      </c>
      <c r="L431" s="60">
        <f t="shared" si="7"/>
        <v>-224.65193</v>
      </c>
      <c r="M431" s="61">
        <f>IFERROR(__xludf.DUMMYFUNCTION("IFS(AND(COUNTA(C431:C1350)=0,COUNTA(Q431:Q1350)=0),"""",OR(AND(K431&gt;=1000000000,OR(Y431&gt;=1000000000,COUNTA(Q431:Q1350)=0)),OR(Y431&gt;=1000000000,AND(COUNTA(C431:C1350)=0,P$3=TRUE))),
ROUNDDOWN((AB$1-AC$1)*MAX(INDEX(T$4:T1350,MATCH(LARGE(FILTER(Y$4:Y1350,Y$4"&amp;":Y1350&lt;1000000000),1),Y$4:Y1350)),INDEX(F$4:F1350,MATCH(LARGE(FILTER(K$4:K1350,K$4:K1350&lt;1000000000),1),K$4:K1350)))),AND(K431&lt;1000000000,COUNTA(C431:C1350)&gt;0,P$3=FALSE),
ROUNDDOWN(INDEX(Y$4:Y1350,MATCH(LARGE(FILTER(W$4:W1350,W$4:W1350&lt;=I431),1),W$4:W1350"&amp;"))+(I431-LARGE(FILTER(W$4:W1350,W$4:W1350&lt;=I431),1))*INDEX(T$4:T1350,MATCH(LARGE(FILTER(W$4:W1350,W$4:W1350&lt;=I431),1),W$4:W1350))-K431),1,
ROUNDDOWN(Y431-INDEX(K$4:K1350,MATCH(LARGE(FILTER(I$4:I1350,I$4:I1350&lt;=W431),1),I$4:I1350))-(W431-LARGE(FILTER(I$4:I"&amp;"1350,I$4:I1350&lt;=W431),1))*INDEX(F$4:F1350,MATCH(LARGE(FILTER(I$4:I1350,I$4:I1350&lt;=W431),1),I$4:I1350))))"),9.2226469E7)</f>
        <v>92226469</v>
      </c>
      <c r="N431" s="60">
        <f t="shared" si="8"/>
        <v>-224.65193</v>
      </c>
      <c r="O431" s="61" t="str">
        <f t="shared" si="9"/>
        <v>92,2M</v>
      </c>
      <c r="P431" s="56">
        <f t="shared" si="10"/>
        <v>63</v>
      </c>
      <c r="Q431" s="105" t="s">
        <v>59</v>
      </c>
      <c r="R431" s="10" t="b">
        <f>IFERROR(__xludf.DUMMYFUNCTION("IF(COUNTA(Q431:Q1350)=0,"""",IF(ISBLANK(Q431),FALSE,IF(NOT(COUNTIF($AA$24:$AA$34,SUBSTITUTE(Q431,""Sell_"",""""))),1,IF(REGEXMATCH(Q431,""Sell_""),IF(COUNTIF(Q$4:Q431,SUBSTITUTE(Q431,""Sell_"",""""))-COUNTIF(Q$4:Q430,Q431)&lt;1,1),FALSE))))"),FALSE)</f>
        <v>0</v>
      </c>
      <c r="S431" s="59">
        <f t="array" ref="S431">IF(COUNTA(Q431:Q1350)=0,"",SUM((COUNTIF(Q$4:Q431,Upgrades!$B$3:$B$13)-COUNTIF(Q$4:Q431,"Sell_"&amp;Upgrades!$B$3:$B$13))*Upgrades!$D$3:$D$13))</f>
        <v>431252.4</v>
      </c>
      <c r="T431" s="66">
        <f>IFERROR(__xludf.DUMMYFUNCTION("IF(COUNTA(Q431:Q1350)=0,"""",IF(REGEXMATCH(INDEX(FILTER(Q$4:Q431,Q$4:Q431&lt;&gt;""""),ROWS(FILTER(Q$4:Q431,Q$4:Q431&lt;&gt;""""))),""^Sell_""),INDEX(FILTER(T$4:T430,Q$4:Q430&lt;&gt;""""),ROWS(FILTER(Q$4:Q430,Q$4:Q430&lt;&gt;""""))),$AD$5+S431))"),438618.4)</f>
        <v>438618.4</v>
      </c>
      <c r="U431" s="10">
        <f>IFERROR(__xludf.DUMMYFUNCTION("IF(COUNTA(Q431:Q1350)=0,"""",IF(Q431="""",0,IF(REGEXMATCH(Q431,""^Sell_""),-ROUNDDOWN(ROUNDUP(INDEX(Upgrades!$C$3:$C$13,MATCH(SUBSTITUTE(Q431,""Sell_"",""""),Upgrades!$B$3:$B$13,0))*1.15^(COUNTIF(Q$4:Q430,SUBSTITUTE(Q431,""Sell_"",""""))-COUNTIF(Q$4:Q430,"&amp;"""Sell_""&amp;SUBSTITUTE(Q431,""Sell_"",""""))))/2),ROUNDUP(INDEX(Upgrades!$C$3:$C$13,MATCH(Q431,Upgrades!$B$3:$B$13,0))*1.15^(COUNTIF(Q$4:Q430,Q431)-COUNTIF(Q$4:Q430,""Sell_""&amp;Q431))))))"),-23262.0)</f>
        <v>-23262</v>
      </c>
      <c r="V431" s="10">
        <f t="shared" si="11"/>
        <v>-14326305</v>
      </c>
      <c r="W431" s="68">
        <f t="shared" si="12"/>
        <v>6085.8512</v>
      </c>
      <c r="X431" s="59" t="str">
        <f t="shared" si="13"/>
        <v>1h 41m 25s</v>
      </c>
      <c r="Y431" s="69">
        <f t="shared" si="14"/>
        <v>666718570</v>
      </c>
      <c r="Z431" s="11"/>
    </row>
    <row r="432">
      <c r="A432" s="8"/>
      <c r="B432" s="56" t="str">
        <f t="shared" si="2"/>
        <v/>
      </c>
      <c r="C432" s="57"/>
      <c r="D432" s="10" t="str">
        <f>IFERROR(__xludf.DUMMYFUNCTION("IF(COUNTA(C432:C1350)=0,"""",IF(ISBLANK(C432),FALSE,IF(NOT(COUNTIF($AA$24:$AA$34,SUBSTITUTE(C432,""Sell_"",""""))),1,IF(REGEXMATCH(C432,""Sell_""),IF(COUNTIF(C$4:C432,SUBSTITUTE(C432,""Sell_"",""""))-COUNTIF(C$4:C431,C432)&lt;1,1),FALSE))))"),"")</f>
        <v/>
      </c>
      <c r="E432" s="59" t="str">
        <f t="array" ref="E432">IF(COUNTA(C432:C1350)=0,"",SUM((COUNTIF(C$4:C432,Upgrades!$B$3:$B$13)-COUNTIF(C$4:C432,"Sell_"&amp;Upgrades!$B$3:$B$13))*Upgrades!$D$3:$D$13))</f>
        <v/>
      </c>
      <c r="F432" s="66" t="str">
        <f>IFERROR(__xludf.DUMMYFUNCTION("IF(COUNTA(C432:C1350)=0,"""",IF(REGEXMATCH(INDEX(FILTER(C$4:C432,C$4:C432&lt;&gt;""""),ROWS(FILTER(C$4:C432,C$4:C432&lt;&gt;""""))),""^Sell_""),INDEX(FILTER(F$4:F431,C$4:C431&lt;&gt;""""),ROWS(FILTER(C$4:C431,C$4:C431&lt;&gt;""""))),$AC$5+E432))"),"")</f>
        <v/>
      </c>
      <c r="G432" s="10" t="str">
        <f>IFERROR(__xludf.DUMMYFUNCTION("IF(COUNTA(C432:C1350)=0,"""",IF(C432="""",0,IF(REGEXMATCH(C432,""^Sell_""),-ROUNDDOWN(ROUNDUP(INDEX(Upgrades!$C$3:$C$13,MATCH(SUBSTITUTE(C432,""Sell_"",""""),Upgrades!$B$3:$B$13,0))*1.15^(COUNTIF(C$4:C431,SUBSTITUTE(C432,""Sell_"",""""))-COUNTIF(C$4:C431,"&amp;"""Sell_""&amp;SUBSTITUTE(C432,""Sell_"",""""))))/2),ROUNDUP(INDEX(Upgrades!$C$3:$C$13,MATCH(C432,Upgrades!$B$3:$B$13,0))*1.15^(COUNTIF(C$4:C431,C432)-COUNTIF(C$4:C431,""Sell_""&amp;C432))))))"),"")</f>
        <v/>
      </c>
      <c r="H432" s="10" t="str">
        <f t="shared" si="3"/>
        <v/>
      </c>
      <c r="I432" s="68" t="str">
        <f t="shared" si="4"/>
        <v/>
      </c>
      <c r="J432" s="59" t="str">
        <f t="shared" si="5"/>
        <v/>
      </c>
      <c r="K432" s="69" t="str">
        <f t="shared" si="6"/>
        <v/>
      </c>
      <c r="L432" s="60">
        <f t="shared" si="7"/>
        <v>-224.65193</v>
      </c>
      <c r="M432" s="61">
        <f>IFERROR(__xludf.DUMMYFUNCTION("IFS(AND(COUNTA(C432:C1350)=0,COUNTA(Q432:Q1350)=0),"""",OR(AND(K432&gt;=1000000000,OR(Y432&gt;=1000000000,COUNTA(Q432:Q1350)=0)),OR(Y432&gt;=1000000000,AND(COUNTA(C432:C1350)=0,P$3=TRUE))),
ROUNDDOWN((AB$1-AC$1)*MAX(INDEX(T$4:T1350,MATCH(LARGE(FILTER(Y$4:Y1350,Y$4"&amp;":Y1350&lt;1000000000),1),Y$4:Y1350)),INDEX(F$4:F1350,MATCH(LARGE(FILTER(K$4:K1350,K$4:K1350&lt;1000000000),1),K$4:K1350)))),AND(K432&lt;1000000000,COUNTA(C432:C1350)&gt;0,P$3=FALSE),
ROUNDDOWN(INDEX(Y$4:Y1350,MATCH(LARGE(FILTER(W$4:W1350,W$4:W1350&lt;=I432),1),W$4:W1350"&amp;"))+(I432-LARGE(FILTER(W$4:W1350,W$4:W1350&lt;=I432),1))*INDEX(T$4:T1350,MATCH(LARGE(FILTER(W$4:W1350,W$4:W1350&lt;=I432),1),W$4:W1350))-K432),1,
ROUNDDOWN(Y432-INDEX(K$4:K1350,MATCH(LARGE(FILTER(I$4:I1350,I$4:I1350&lt;=W432),1),I$4:I1350))-(W432-LARGE(FILTER(I$4:I"&amp;"1350,I$4:I1350&lt;=W432),1))*INDEX(F$4:F1350,MATCH(LARGE(FILTER(I$4:I1350,I$4:I1350&lt;=W432),1),I$4:I1350))))"),9.2226469E7)</f>
        <v>92226469</v>
      </c>
      <c r="N432" s="60">
        <f t="shared" si="8"/>
        <v>-224.65193</v>
      </c>
      <c r="O432" s="61" t="str">
        <f t="shared" si="9"/>
        <v>92,2M</v>
      </c>
      <c r="P432" s="56">
        <f t="shared" si="10"/>
        <v>64</v>
      </c>
      <c r="Q432" s="105" t="s">
        <v>59</v>
      </c>
      <c r="R432" s="10" t="b">
        <f>IFERROR(__xludf.DUMMYFUNCTION("IF(COUNTA(Q432:Q1350)=0,"""",IF(ISBLANK(Q432),FALSE,IF(NOT(COUNTIF($AA$24:$AA$34,SUBSTITUTE(Q432,""Sell_"",""""))),1,IF(REGEXMATCH(Q432,""Sell_""),IF(COUNTIF(Q$4:Q432,SUBSTITUTE(Q432,""Sell_"",""""))-COUNTIF(Q$4:Q431,Q432)&lt;1,1),FALSE))))"),FALSE)</f>
        <v>0</v>
      </c>
      <c r="S432" s="59">
        <f t="array" ref="S432">IF(COUNTA(Q432:Q1350)=0,"",SUM((COUNTIF(Q$4:Q432,Upgrades!$B$3:$B$13)-COUNTIF(Q$4:Q432,"Sell_"&amp;Upgrades!$B$3:$B$13))*Upgrades!$D$3:$D$13))</f>
        <v>431212.4</v>
      </c>
      <c r="T432" s="66">
        <f>IFERROR(__xludf.DUMMYFUNCTION("IF(COUNTA(Q432:Q1350)=0,"""",IF(REGEXMATCH(INDEX(FILTER(Q$4:Q432,Q$4:Q432&lt;&gt;""""),ROWS(FILTER(Q$4:Q432,Q$4:Q432&lt;&gt;""""))),""^Sell_""),INDEX(FILTER(T$4:T431,Q$4:Q431&lt;&gt;""""),ROWS(FILTER(Q$4:Q431,Q$4:Q431&lt;&gt;""""))),$AD$5+S432))"),438618.4)</f>
        <v>438618.4</v>
      </c>
      <c r="U432" s="10">
        <f>IFERROR(__xludf.DUMMYFUNCTION("IF(COUNTA(Q432:Q1350)=0,"""",IF(Q432="""",0,IF(REGEXMATCH(Q432,""^Sell_""),-ROUNDDOWN(ROUNDUP(INDEX(Upgrades!$C$3:$C$13,MATCH(SUBSTITUTE(Q432,""Sell_"",""""),Upgrades!$B$3:$B$13,0))*1.15^(COUNTIF(Q$4:Q431,SUBSTITUTE(Q432,""Sell_"",""""))-COUNTIF(Q$4:Q431,"&amp;"""Sell_""&amp;SUBSTITUTE(Q432,""Sell_"",""""))))/2),ROUNDUP(INDEX(Upgrades!$C$3:$C$13,MATCH(Q432,Upgrades!$B$3:$B$13,0))*1.15^(COUNTIF(Q$4:Q431,Q432)-COUNTIF(Q$4:Q431,""Sell_""&amp;Q432))))))"),-20228.0)</f>
        <v>-20228</v>
      </c>
      <c r="V432" s="10">
        <f t="shared" si="11"/>
        <v>-14346533</v>
      </c>
      <c r="W432" s="68">
        <f t="shared" si="12"/>
        <v>6085.8512</v>
      </c>
      <c r="X432" s="59" t="str">
        <f t="shared" si="13"/>
        <v>1h 41m 25s</v>
      </c>
      <c r="Y432" s="69">
        <f t="shared" si="14"/>
        <v>666718570</v>
      </c>
      <c r="Z432" s="11"/>
    </row>
    <row r="433">
      <c r="A433" s="8"/>
      <c r="B433" s="56" t="str">
        <f t="shared" si="2"/>
        <v/>
      </c>
      <c r="C433" s="57"/>
      <c r="D433" s="10" t="str">
        <f>IFERROR(__xludf.DUMMYFUNCTION("IF(COUNTA(C433:C1350)=0,"""",IF(ISBLANK(C433),FALSE,IF(NOT(COUNTIF($AA$24:$AA$34,SUBSTITUTE(C433,""Sell_"",""""))),1,IF(REGEXMATCH(C433,""Sell_""),IF(COUNTIF(C$4:C433,SUBSTITUTE(C433,""Sell_"",""""))-COUNTIF(C$4:C432,C433)&lt;1,1),FALSE))))"),"")</f>
        <v/>
      </c>
      <c r="E433" s="59" t="str">
        <f t="array" ref="E433">IF(COUNTA(C433:C1350)=0,"",SUM((COUNTIF(C$4:C433,Upgrades!$B$3:$B$13)-COUNTIF(C$4:C433,"Sell_"&amp;Upgrades!$B$3:$B$13))*Upgrades!$D$3:$D$13))</f>
        <v/>
      </c>
      <c r="F433" s="66" t="str">
        <f>IFERROR(__xludf.DUMMYFUNCTION("IF(COUNTA(C433:C1350)=0,"""",IF(REGEXMATCH(INDEX(FILTER(C$4:C433,C$4:C433&lt;&gt;""""),ROWS(FILTER(C$4:C433,C$4:C433&lt;&gt;""""))),""^Sell_""),INDEX(FILTER(F$4:F432,C$4:C432&lt;&gt;""""),ROWS(FILTER(C$4:C432,C$4:C432&lt;&gt;""""))),$AC$5+E433))"),"")</f>
        <v/>
      </c>
      <c r="G433" s="10" t="str">
        <f>IFERROR(__xludf.DUMMYFUNCTION("IF(COUNTA(C433:C1350)=0,"""",IF(C433="""",0,IF(REGEXMATCH(C433,""^Sell_""),-ROUNDDOWN(ROUNDUP(INDEX(Upgrades!$C$3:$C$13,MATCH(SUBSTITUTE(C433,""Sell_"",""""),Upgrades!$B$3:$B$13,0))*1.15^(COUNTIF(C$4:C432,SUBSTITUTE(C433,""Sell_"",""""))-COUNTIF(C$4:C432,"&amp;"""Sell_""&amp;SUBSTITUTE(C433,""Sell_"",""""))))/2),ROUNDUP(INDEX(Upgrades!$C$3:$C$13,MATCH(C433,Upgrades!$B$3:$B$13,0))*1.15^(COUNTIF(C$4:C432,C433)-COUNTIF(C$4:C432,""Sell_""&amp;C433))))))"),"")</f>
        <v/>
      </c>
      <c r="H433" s="10" t="str">
        <f t="shared" si="3"/>
        <v/>
      </c>
      <c r="I433" s="68" t="str">
        <f t="shared" si="4"/>
        <v/>
      </c>
      <c r="J433" s="59" t="str">
        <f t="shared" si="5"/>
        <v/>
      </c>
      <c r="K433" s="69" t="str">
        <f t="shared" si="6"/>
        <v/>
      </c>
      <c r="L433" s="60">
        <f t="shared" si="7"/>
        <v>-224.65193</v>
      </c>
      <c r="M433" s="61">
        <f>IFERROR(__xludf.DUMMYFUNCTION("IFS(AND(COUNTA(C433:C1350)=0,COUNTA(Q433:Q1350)=0),"""",OR(AND(K433&gt;=1000000000,OR(Y433&gt;=1000000000,COUNTA(Q433:Q1350)=0)),OR(Y433&gt;=1000000000,AND(COUNTA(C433:C1350)=0,P$3=TRUE))),
ROUNDDOWN((AB$1-AC$1)*MAX(INDEX(T$4:T1350,MATCH(LARGE(FILTER(Y$4:Y1350,Y$4"&amp;":Y1350&lt;1000000000),1),Y$4:Y1350)),INDEX(F$4:F1350,MATCH(LARGE(FILTER(K$4:K1350,K$4:K1350&lt;1000000000),1),K$4:K1350)))),AND(K433&lt;1000000000,COUNTA(C433:C1350)&gt;0,P$3=FALSE),
ROUNDDOWN(INDEX(Y$4:Y1350,MATCH(LARGE(FILTER(W$4:W1350,W$4:W1350&lt;=I433),1),W$4:W1350"&amp;"))+(I433-LARGE(FILTER(W$4:W1350,W$4:W1350&lt;=I433),1))*INDEX(T$4:T1350,MATCH(LARGE(FILTER(W$4:W1350,W$4:W1350&lt;=I433),1),W$4:W1350))-K433),1,
ROUNDDOWN(Y433-INDEX(K$4:K1350,MATCH(LARGE(FILTER(I$4:I1350,I$4:I1350&lt;=W433),1),I$4:I1350))-(W433-LARGE(FILTER(I$4:I"&amp;"1350,I$4:I1350&lt;=W433),1))*INDEX(F$4:F1350,MATCH(LARGE(FILTER(I$4:I1350,I$4:I1350&lt;=W433),1),I$4:I1350))))"),9.2226469E7)</f>
        <v>92226469</v>
      </c>
      <c r="N433" s="60">
        <f t="shared" si="8"/>
        <v>-224.65193</v>
      </c>
      <c r="O433" s="61" t="str">
        <f t="shared" si="9"/>
        <v>92,2M</v>
      </c>
      <c r="P433" s="56">
        <f t="shared" si="10"/>
        <v>65</v>
      </c>
      <c r="Q433" s="105" t="s">
        <v>59</v>
      </c>
      <c r="R433" s="10" t="b">
        <f>IFERROR(__xludf.DUMMYFUNCTION("IF(COUNTA(Q433:Q1350)=0,"""",IF(ISBLANK(Q433),FALSE,IF(NOT(COUNTIF($AA$24:$AA$34,SUBSTITUTE(Q433,""Sell_"",""""))),1,IF(REGEXMATCH(Q433,""Sell_""),IF(COUNTIF(Q$4:Q433,SUBSTITUTE(Q433,""Sell_"",""""))-COUNTIF(Q$4:Q432,Q433)&lt;1,1),FALSE))))"),FALSE)</f>
        <v>0</v>
      </c>
      <c r="S433" s="59">
        <f t="array" ref="S433">IF(COUNTA(Q433:Q1350)=0,"",SUM((COUNTIF(Q$4:Q433,Upgrades!$B$3:$B$13)-COUNTIF(Q$4:Q433,"Sell_"&amp;Upgrades!$B$3:$B$13))*Upgrades!$D$3:$D$13))</f>
        <v>431172.4</v>
      </c>
      <c r="T433" s="66">
        <f>IFERROR(__xludf.DUMMYFUNCTION("IF(COUNTA(Q433:Q1350)=0,"""",IF(REGEXMATCH(INDEX(FILTER(Q$4:Q433,Q$4:Q433&lt;&gt;""""),ROWS(FILTER(Q$4:Q433,Q$4:Q433&lt;&gt;""""))),""^Sell_""),INDEX(FILTER(T$4:T432,Q$4:Q432&lt;&gt;""""),ROWS(FILTER(Q$4:Q432,Q$4:Q432&lt;&gt;""""))),$AD$5+S433))"),438618.4)</f>
        <v>438618.4</v>
      </c>
      <c r="U433" s="10">
        <f>IFERROR(__xludf.DUMMYFUNCTION("IF(COUNTA(Q433:Q1350)=0,"""",IF(Q433="""",0,IF(REGEXMATCH(Q433,""^Sell_""),-ROUNDDOWN(ROUNDUP(INDEX(Upgrades!$C$3:$C$13,MATCH(SUBSTITUTE(Q433,""Sell_"",""""),Upgrades!$B$3:$B$13,0))*1.15^(COUNTIF(Q$4:Q432,SUBSTITUTE(Q433,""Sell_"",""""))-COUNTIF(Q$4:Q432,"&amp;"""Sell_""&amp;SUBSTITUTE(Q433,""Sell_"",""""))))/2),ROUNDUP(INDEX(Upgrades!$C$3:$C$13,MATCH(Q433,Upgrades!$B$3:$B$13,0))*1.15^(COUNTIF(Q$4:Q432,Q433)-COUNTIF(Q$4:Q432,""Sell_""&amp;Q433))))))"),-17589.0)</f>
        <v>-17589</v>
      </c>
      <c r="V433" s="10">
        <f t="shared" si="11"/>
        <v>-14364122</v>
      </c>
      <c r="W433" s="68">
        <f t="shared" si="12"/>
        <v>6085.8512</v>
      </c>
      <c r="X433" s="59" t="str">
        <f t="shared" si="13"/>
        <v>1h 41m 25s</v>
      </c>
      <c r="Y433" s="69">
        <f t="shared" si="14"/>
        <v>666718570</v>
      </c>
      <c r="Z433" s="11"/>
    </row>
    <row r="434">
      <c r="A434" s="8"/>
      <c r="B434" s="56" t="str">
        <f t="shared" si="2"/>
        <v/>
      </c>
      <c r="C434" s="57"/>
      <c r="D434" s="10" t="str">
        <f>IFERROR(__xludf.DUMMYFUNCTION("IF(COUNTA(C434:C1350)=0,"""",IF(ISBLANK(C434),FALSE,IF(NOT(COUNTIF($AA$24:$AA$34,SUBSTITUTE(C434,""Sell_"",""""))),1,IF(REGEXMATCH(C434,""Sell_""),IF(COUNTIF(C$4:C434,SUBSTITUTE(C434,""Sell_"",""""))-COUNTIF(C$4:C433,C434)&lt;1,1),FALSE))))"),"")</f>
        <v/>
      </c>
      <c r="E434" s="59" t="str">
        <f t="array" ref="E434">IF(COUNTA(C434:C1350)=0,"",SUM((COUNTIF(C$4:C434,Upgrades!$B$3:$B$13)-COUNTIF(C$4:C434,"Sell_"&amp;Upgrades!$B$3:$B$13))*Upgrades!$D$3:$D$13))</f>
        <v/>
      </c>
      <c r="F434" s="66" t="str">
        <f>IFERROR(__xludf.DUMMYFUNCTION("IF(COUNTA(C434:C1350)=0,"""",IF(REGEXMATCH(INDEX(FILTER(C$4:C434,C$4:C434&lt;&gt;""""),ROWS(FILTER(C$4:C434,C$4:C434&lt;&gt;""""))),""^Sell_""),INDEX(FILTER(F$4:F433,C$4:C433&lt;&gt;""""),ROWS(FILTER(C$4:C433,C$4:C433&lt;&gt;""""))),$AC$5+E434))"),"")</f>
        <v/>
      </c>
      <c r="G434" s="10" t="str">
        <f>IFERROR(__xludf.DUMMYFUNCTION("IF(COUNTA(C434:C1350)=0,"""",IF(C434="""",0,IF(REGEXMATCH(C434,""^Sell_""),-ROUNDDOWN(ROUNDUP(INDEX(Upgrades!$C$3:$C$13,MATCH(SUBSTITUTE(C434,""Sell_"",""""),Upgrades!$B$3:$B$13,0))*1.15^(COUNTIF(C$4:C433,SUBSTITUTE(C434,""Sell_"",""""))-COUNTIF(C$4:C433,"&amp;"""Sell_""&amp;SUBSTITUTE(C434,""Sell_"",""""))))/2),ROUNDUP(INDEX(Upgrades!$C$3:$C$13,MATCH(C434,Upgrades!$B$3:$B$13,0))*1.15^(COUNTIF(C$4:C433,C434)-COUNTIF(C$4:C433,""Sell_""&amp;C434))))))"),"")</f>
        <v/>
      </c>
      <c r="H434" s="10" t="str">
        <f t="shared" si="3"/>
        <v/>
      </c>
      <c r="I434" s="68" t="str">
        <f t="shared" si="4"/>
        <v/>
      </c>
      <c r="J434" s="59" t="str">
        <f t="shared" si="5"/>
        <v/>
      </c>
      <c r="K434" s="69" t="str">
        <f t="shared" si="6"/>
        <v/>
      </c>
      <c r="L434" s="60">
        <f t="shared" si="7"/>
        <v>-224.65193</v>
      </c>
      <c r="M434" s="61">
        <f>IFERROR(__xludf.DUMMYFUNCTION("IFS(AND(COUNTA(C434:C1350)=0,COUNTA(Q434:Q1350)=0),"""",OR(AND(K434&gt;=1000000000,OR(Y434&gt;=1000000000,COUNTA(Q434:Q1350)=0)),OR(Y434&gt;=1000000000,AND(COUNTA(C434:C1350)=0,P$3=TRUE))),
ROUNDDOWN((AB$1-AC$1)*MAX(INDEX(T$4:T1350,MATCH(LARGE(FILTER(Y$4:Y1350,Y$4"&amp;":Y1350&lt;1000000000),1),Y$4:Y1350)),INDEX(F$4:F1350,MATCH(LARGE(FILTER(K$4:K1350,K$4:K1350&lt;1000000000),1),K$4:K1350)))),AND(K434&lt;1000000000,COUNTA(C434:C1350)&gt;0,P$3=FALSE),
ROUNDDOWN(INDEX(Y$4:Y1350,MATCH(LARGE(FILTER(W$4:W1350,W$4:W1350&lt;=I434),1),W$4:W1350"&amp;"))+(I434-LARGE(FILTER(W$4:W1350,W$4:W1350&lt;=I434),1))*INDEX(T$4:T1350,MATCH(LARGE(FILTER(W$4:W1350,W$4:W1350&lt;=I434),1),W$4:W1350))-K434),1,
ROUNDDOWN(Y434-INDEX(K$4:K1350,MATCH(LARGE(FILTER(I$4:I1350,I$4:I1350&lt;=W434),1),I$4:I1350))-(W434-LARGE(FILTER(I$4:I"&amp;"1350,I$4:I1350&lt;=W434),1))*INDEX(F$4:F1350,MATCH(LARGE(FILTER(I$4:I1350,I$4:I1350&lt;=W434),1),I$4:I1350))))"),9.2226469E7)</f>
        <v>92226469</v>
      </c>
      <c r="N434" s="60">
        <f t="shared" si="8"/>
        <v>-224.65193</v>
      </c>
      <c r="O434" s="61" t="str">
        <f t="shared" si="9"/>
        <v>92,2M</v>
      </c>
      <c r="P434" s="56">
        <f t="shared" si="10"/>
        <v>66</v>
      </c>
      <c r="Q434" s="105" t="s">
        <v>59</v>
      </c>
      <c r="R434" s="10" t="b">
        <f>IFERROR(__xludf.DUMMYFUNCTION("IF(COUNTA(Q434:Q1350)=0,"""",IF(ISBLANK(Q434),FALSE,IF(NOT(COUNTIF($AA$24:$AA$34,SUBSTITUTE(Q434,""Sell_"",""""))),1,IF(REGEXMATCH(Q434,""Sell_""),IF(COUNTIF(Q$4:Q434,SUBSTITUTE(Q434,""Sell_"",""""))-COUNTIF(Q$4:Q433,Q434)&lt;1,1),FALSE))))"),FALSE)</f>
        <v>0</v>
      </c>
      <c r="S434" s="59">
        <f t="array" ref="S434">IF(COUNTA(Q434:Q1350)=0,"",SUM((COUNTIF(Q$4:Q434,Upgrades!$B$3:$B$13)-COUNTIF(Q$4:Q434,"Sell_"&amp;Upgrades!$B$3:$B$13))*Upgrades!$D$3:$D$13))</f>
        <v>431132.4</v>
      </c>
      <c r="T434" s="66">
        <f>IFERROR(__xludf.DUMMYFUNCTION("IF(COUNTA(Q434:Q1350)=0,"""",IF(REGEXMATCH(INDEX(FILTER(Q$4:Q434,Q$4:Q434&lt;&gt;""""),ROWS(FILTER(Q$4:Q434,Q$4:Q434&lt;&gt;""""))),""^Sell_""),INDEX(FILTER(T$4:T433,Q$4:Q433&lt;&gt;""""),ROWS(FILTER(Q$4:Q433,Q$4:Q433&lt;&gt;""""))),$AD$5+S434))"),438618.4)</f>
        <v>438618.4</v>
      </c>
      <c r="U434" s="10">
        <f>IFERROR(__xludf.DUMMYFUNCTION("IF(COUNTA(Q434:Q1350)=0,"""",IF(Q434="""",0,IF(REGEXMATCH(Q434,""^Sell_""),-ROUNDDOWN(ROUNDUP(INDEX(Upgrades!$C$3:$C$13,MATCH(SUBSTITUTE(Q434,""Sell_"",""""),Upgrades!$B$3:$B$13,0))*1.15^(COUNTIF(Q$4:Q433,SUBSTITUTE(Q434,""Sell_"",""""))-COUNTIF(Q$4:Q433,"&amp;"""Sell_""&amp;SUBSTITUTE(Q434,""Sell_"",""""))))/2),ROUNDUP(INDEX(Upgrades!$C$3:$C$13,MATCH(Q434,Upgrades!$B$3:$B$13,0))*1.15^(COUNTIF(Q$4:Q433,Q434)-COUNTIF(Q$4:Q433,""Sell_""&amp;Q434))))))"),-15295.0)</f>
        <v>-15295</v>
      </c>
      <c r="V434" s="10">
        <f t="shared" si="11"/>
        <v>-14379417</v>
      </c>
      <c r="W434" s="68">
        <f t="shared" si="12"/>
        <v>6085.8512</v>
      </c>
      <c r="X434" s="59" t="str">
        <f t="shared" si="13"/>
        <v>1h 41m 25s</v>
      </c>
      <c r="Y434" s="69">
        <f t="shared" si="14"/>
        <v>666718570</v>
      </c>
      <c r="Z434" s="11"/>
    </row>
    <row r="435">
      <c r="A435" s="8"/>
      <c r="B435" s="56" t="str">
        <f t="shared" si="2"/>
        <v/>
      </c>
      <c r="C435" s="57"/>
      <c r="D435" s="10" t="str">
        <f>IFERROR(__xludf.DUMMYFUNCTION("IF(COUNTA(C435:C1350)=0,"""",IF(ISBLANK(C435),FALSE,IF(NOT(COUNTIF($AA$24:$AA$34,SUBSTITUTE(C435,""Sell_"",""""))),1,IF(REGEXMATCH(C435,""Sell_""),IF(COUNTIF(C$4:C435,SUBSTITUTE(C435,""Sell_"",""""))-COUNTIF(C$4:C434,C435)&lt;1,1),FALSE))))"),"")</f>
        <v/>
      </c>
      <c r="E435" s="59" t="str">
        <f t="array" ref="E435">IF(COUNTA(C435:C1350)=0,"",SUM((COUNTIF(C$4:C435,Upgrades!$B$3:$B$13)-COUNTIF(C$4:C435,"Sell_"&amp;Upgrades!$B$3:$B$13))*Upgrades!$D$3:$D$13))</f>
        <v/>
      </c>
      <c r="F435" s="66" t="str">
        <f>IFERROR(__xludf.DUMMYFUNCTION("IF(COUNTA(C435:C1350)=0,"""",IF(REGEXMATCH(INDEX(FILTER(C$4:C435,C$4:C435&lt;&gt;""""),ROWS(FILTER(C$4:C435,C$4:C435&lt;&gt;""""))),""^Sell_""),INDEX(FILTER(F$4:F434,C$4:C434&lt;&gt;""""),ROWS(FILTER(C$4:C434,C$4:C434&lt;&gt;""""))),$AC$5+E435))"),"")</f>
        <v/>
      </c>
      <c r="G435" s="10" t="str">
        <f>IFERROR(__xludf.DUMMYFUNCTION("IF(COUNTA(C435:C1350)=0,"""",IF(C435="""",0,IF(REGEXMATCH(C435,""^Sell_""),-ROUNDDOWN(ROUNDUP(INDEX(Upgrades!$C$3:$C$13,MATCH(SUBSTITUTE(C435,""Sell_"",""""),Upgrades!$B$3:$B$13,0))*1.15^(COUNTIF(C$4:C434,SUBSTITUTE(C435,""Sell_"",""""))-COUNTIF(C$4:C434,"&amp;"""Sell_""&amp;SUBSTITUTE(C435,""Sell_"",""""))))/2),ROUNDUP(INDEX(Upgrades!$C$3:$C$13,MATCH(C435,Upgrades!$B$3:$B$13,0))*1.15^(COUNTIF(C$4:C434,C435)-COUNTIF(C$4:C434,""Sell_""&amp;C435))))))"),"")</f>
        <v/>
      </c>
      <c r="H435" s="10" t="str">
        <f t="shared" si="3"/>
        <v/>
      </c>
      <c r="I435" s="68" t="str">
        <f t="shared" si="4"/>
        <v/>
      </c>
      <c r="J435" s="59" t="str">
        <f t="shared" si="5"/>
        <v/>
      </c>
      <c r="K435" s="69" t="str">
        <f t="shared" si="6"/>
        <v/>
      </c>
      <c r="L435" s="60">
        <f t="shared" si="7"/>
        <v>-224.65193</v>
      </c>
      <c r="M435" s="61">
        <f>IFERROR(__xludf.DUMMYFUNCTION("IFS(AND(COUNTA(C435:C1350)=0,COUNTA(Q435:Q1350)=0),"""",OR(AND(K435&gt;=1000000000,OR(Y435&gt;=1000000000,COUNTA(Q435:Q1350)=0)),OR(Y435&gt;=1000000000,AND(COUNTA(C435:C1350)=0,P$3=TRUE))),
ROUNDDOWN((AB$1-AC$1)*MAX(INDEX(T$4:T1350,MATCH(LARGE(FILTER(Y$4:Y1350,Y$4"&amp;":Y1350&lt;1000000000),1),Y$4:Y1350)),INDEX(F$4:F1350,MATCH(LARGE(FILTER(K$4:K1350,K$4:K1350&lt;1000000000),1),K$4:K1350)))),AND(K435&lt;1000000000,COUNTA(C435:C1350)&gt;0,P$3=FALSE),
ROUNDDOWN(INDEX(Y$4:Y1350,MATCH(LARGE(FILTER(W$4:W1350,W$4:W1350&lt;=I435),1),W$4:W1350"&amp;"))+(I435-LARGE(FILTER(W$4:W1350,W$4:W1350&lt;=I435),1))*INDEX(T$4:T1350,MATCH(LARGE(FILTER(W$4:W1350,W$4:W1350&lt;=I435),1),W$4:W1350))-K435),1,
ROUNDDOWN(Y435-INDEX(K$4:K1350,MATCH(LARGE(FILTER(I$4:I1350,I$4:I1350&lt;=W435),1),I$4:I1350))-(W435-LARGE(FILTER(I$4:I"&amp;"1350,I$4:I1350&lt;=W435),1))*INDEX(F$4:F1350,MATCH(LARGE(FILTER(I$4:I1350,I$4:I1350&lt;=W435),1),I$4:I1350))))"),9.2226469E7)</f>
        <v>92226469</v>
      </c>
      <c r="N435" s="60">
        <f t="shared" si="8"/>
        <v>-224.65193</v>
      </c>
      <c r="O435" s="61" t="str">
        <f t="shared" si="9"/>
        <v>92,2M</v>
      </c>
      <c r="P435" s="56">
        <f t="shared" si="10"/>
        <v>67</v>
      </c>
      <c r="Q435" s="105" t="s">
        <v>59</v>
      </c>
      <c r="R435" s="10" t="b">
        <f>IFERROR(__xludf.DUMMYFUNCTION("IF(COUNTA(Q435:Q1350)=0,"""",IF(ISBLANK(Q435),FALSE,IF(NOT(COUNTIF($AA$24:$AA$34,SUBSTITUTE(Q435,""Sell_"",""""))),1,IF(REGEXMATCH(Q435,""Sell_""),IF(COUNTIF(Q$4:Q435,SUBSTITUTE(Q435,""Sell_"",""""))-COUNTIF(Q$4:Q434,Q435)&lt;1,1),FALSE))))"),FALSE)</f>
        <v>0</v>
      </c>
      <c r="S435" s="59">
        <f t="array" ref="S435">IF(COUNTA(Q435:Q1350)=0,"",SUM((COUNTIF(Q$4:Q435,Upgrades!$B$3:$B$13)-COUNTIF(Q$4:Q435,"Sell_"&amp;Upgrades!$B$3:$B$13))*Upgrades!$D$3:$D$13))</f>
        <v>431092.4</v>
      </c>
      <c r="T435" s="66">
        <f>IFERROR(__xludf.DUMMYFUNCTION("IF(COUNTA(Q435:Q1350)=0,"""",IF(REGEXMATCH(INDEX(FILTER(Q$4:Q435,Q$4:Q435&lt;&gt;""""),ROWS(FILTER(Q$4:Q435,Q$4:Q435&lt;&gt;""""))),""^Sell_""),INDEX(FILTER(T$4:T434,Q$4:Q434&lt;&gt;""""),ROWS(FILTER(Q$4:Q434,Q$4:Q434&lt;&gt;""""))),$AD$5+S435))"),438618.4)</f>
        <v>438618.4</v>
      </c>
      <c r="U435" s="10">
        <f>IFERROR(__xludf.DUMMYFUNCTION("IF(COUNTA(Q435:Q1350)=0,"""",IF(Q435="""",0,IF(REGEXMATCH(Q435,""^Sell_""),-ROUNDDOWN(ROUNDUP(INDEX(Upgrades!$C$3:$C$13,MATCH(SUBSTITUTE(Q435,""Sell_"",""""),Upgrades!$B$3:$B$13,0))*1.15^(COUNTIF(Q$4:Q434,SUBSTITUTE(Q435,""Sell_"",""""))-COUNTIF(Q$4:Q434,"&amp;"""Sell_""&amp;SUBSTITUTE(Q435,""Sell_"",""""))))/2),ROUNDUP(INDEX(Upgrades!$C$3:$C$13,MATCH(Q435,Upgrades!$B$3:$B$13,0))*1.15^(COUNTIF(Q$4:Q434,Q435)-COUNTIF(Q$4:Q434,""Sell_""&amp;Q435))))))"),-13300.0)</f>
        <v>-13300</v>
      </c>
      <c r="V435" s="10">
        <f t="shared" si="11"/>
        <v>-14392717</v>
      </c>
      <c r="W435" s="68">
        <f t="shared" si="12"/>
        <v>6085.8512</v>
      </c>
      <c r="X435" s="59" t="str">
        <f t="shared" si="13"/>
        <v>1h 41m 25s</v>
      </c>
      <c r="Y435" s="69">
        <f t="shared" si="14"/>
        <v>666718570</v>
      </c>
      <c r="Z435" s="11"/>
    </row>
    <row r="436">
      <c r="A436" s="8"/>
      <c r="B436" s="56" t="str">
        <f t="shared" si="2"/>
        <v/>
      </c>
      <c r="C436" s="57"/>
      <c r="D436" s="10" t="str">
        <f>IFERROR(__xludf.DUMMYFUNCTION("IF(COUNTA(C436:C1350)=0,"""",IF(ISBLANK(C436),FALSE,IF(NOT(COUNTIF($AA$24:$AA$34,SUBSTITUTE(C436,""Sell_"",""""))),1,IF(REGEXMATCH(C436,""Sell_""),IF(COUNTIF(C$4:C436,SUBSTITUTE(C436,""Sell_"",""""))-COUNTIF(C$4:C435,C436)&lt;1,1),FALSE))))"),"")</f>
        <v/>
      </c>
      <c r="E436" s="59" t="str">
        <f t="array" ref="E436">IF(COUNTA(C436:C1350)=0,"",SUM((COUNTIF(C$4:C436,Upgrades!$B$3:$B$13)-COUNTIF(C$4:C436,"Sell_"&amp;Upgrades!$B$3:$B$13))*Upgrades!$D$3:$D$13))</f>
        <v/>
      </c>
      <c r="F436" s="66" t="str">
        <f>IFERROR(__xludf.DUMMYFUNCTION("IF(COUNTA(C436:C1350)=0,"""",IF(REGEXMATCH(INDEX(FILTER(C$4:C436,C$4:C436&lt;&gt;""""),ROWS(FILTER(C$4:C436,C$4:C436&lt;&gt;""""))),""^Sell_""),INDEX(FILTER(F$4:F435,C$4:C435&lt;&gt;""""),ROWS(FILTER(C$4:C435,C$4:C435&lt;&gt;""""))),$AC$5+E436))"),"")</f>
        <v/>
      </c>
      <c r="G436" s="10" t="str">
        <f>IFERROR(__xludf.DUMMYFUNCTION("IF(COUNTA(C436:C1350)=0,"""",IF(C436="""",0,IF(REGEXMATCH(C436,""^Sell_""),-ROUNDDOWN(ROUNDUP(INDEX(Upgrades!$C$3:$C$13,MATCH(SUBSTITUTE(C436,""Sell_"",""""),Upgrades!$B$3:$B$13,0))*1.15^(COUNTIF(C$4:C435,SUBSTITUTE(C436,""Sell_"",""""))-COUNTIF(C$4:C435,"&amp;"""Sell_""&amp;SUBSTITUTE(C436,""Sell_"",""""))))/2),ROUNDUP(INDEX(Upgrades!$C$3:$C$13,MATCH(C436,Upgrades!$B$3:$B$13,0))*1.15^(COUNTIF(C$4:C435,C436)-COUNTIF(C$4:C435,""Sell_""&amp;C436))))))"),"")</f>
        <v/>
      </c>
      <c r="H436" s="10" t="str">
        <f t="shared" si="3"/>
        <v/>
      </c>
      <c r="I436" s="68" t="str">
        <f t="shared" si="4"/>
        <v/>
      </c>
      <c r="J436" s="59" t="str">
        <f t="shared" si="5"/>
        <v/>
      </c>
      <c r="K436" s="69" t="str">
        <f t="shared" si="6"/>
        <v/>
      </c>
      <c r="L436" s="60">
        <f t="shared" si="7"/>
        <v>-224.65193</v>
      </c>
      <c r="M436" s="61">
        <f>IFERROR(__xludf.DUMMYFUNCTION("IFS(AND(COUNTA(C436:C1350)=0,COUNTA(Q436:Q1350)=0),"""",OR(AND(K436&gt;=1000000000,OR(Y436&gt;=1000000000,COUNTA(Q436:Q1350)=0)),OR(Y436&gt;=1000000000,AND(COUNTA(C436:C1350)=0,P$3=TRUE))),
ROUNDDOWN((AB$1-AC$1)*MAX(INDEX(T$4:T1350,MATCH(LARGE(FILTER(Y$4:Y1350,Y$4"&amp;":Y1350&lt;1000000000),1),Y$4:Y1350)),INDEX(F$4:F1350,MATCH(LARGE(FILTER(K$4:K1350,K$4:K1350&lt;1000000000),1),K$4:K1350)))),AND(K436&lt;1000000000,COUNTA(C436:C1350)&gt;0,P$3=FALSE),
ROUNDDOWN(INDEX(Y$4:Y1350,MATCH(LARGE(FILTER(W$4:W1350,W$4:W1350&lt;=I436),1),W$4:W1350"&amp;"))+(I436-LARGE(FILTER(W$4:W1350,W$4:W1350&lt;=I436),1))*INDEX(T$4:T1350,MATCH(LARGE(FILTER(W$4:W1350,W$4:W1350&lt;=I436),1),W$4:W1350))-K436),1,
ROUNDDOWN(Y436-INDEX(K$4:K1350,MATCH(LARGE(FILTER(I$4:I1350,I$4:I1350&lt;=W436),1),I$4:I1350))-(W436-LARGE(FILTER(I$4:I"&amp;"1350,I$4:I1350&lt;=W436),1))*INDEX(F$4:F1350,MATCH(LARGE(FILTER(I$4:I1350,I$4:I1350&lt;=W436),1),I$4:I1350))))"),9.2226469E7)</f>
        <v>92226469</v>
      </c>
      <c r="N436" s="60">
        <f t="shared" si="8"/>
        <v>-224.65193</v>
      </c>
      <c r="O436" s="61" t="str">
        <f t="shared" si="9"/>
        <v>92,2M</v>
      </c>
      <c r="P436" s="56">
        <f t="shared" si="10"/>
        <v>68</v>
      </c>
      <c r="Q436" s="105" t="s">
        <v>59</v>
      </c>
      <c r="R436" s="10" t="b">
        <f>IFERROR(__xludf.DUMMYFUNCTION("IF(COUNTA(Q436:Q1350)=0,"""",IF(ISBLANK(Q436),FALSE,IF(NOT(COUNTIF($AA$24:$AA$34,SUBSTITUTE(Q436,""Sell_"",""""))),1,IF(REGEXMATCH(Q436,""Sell_""),IF(COUNTIF(Q$4:Q436,SUBSTITUTE(Q436,""Sell_"",""""))-COUNTIF(Q$4:Q435,Q436)&lt;1,1),FALSE))))"),FALSE)</f>
        <v>0</v>
      </c>
      <c r="S436" s="59">
        <f t="array" ref="S436">IF(COUNTA(Q436:Q1350)=0,"",SUM((COUNTIF(Q$4:Q436,Upgrades!$B$3:$B$13)-COUNTIF(Q$4:Q436,"Sell_"&amp;Upgrades!$B$3:$B$13))*Upgrades!$D$3:$D$13))</f>
        <v>431052.4</v>
      </c>
      <c r="T436" s="66">
        <f>IFERROR(__xludf.DUMMYFUNCTION("IF(COUNTA(Q436:Q1350)=0,"""",IF(REGEXMATCH(INDEX(FILTER(Q$4:Q436,Q$4:Q436&lt;&gt;""""),ROWS(FILTER(Q$4:Q436,Q$4:Q436&lt;&gt;""""))),""^Sell_""),INDEX(FILTER(T$4:T435,Q$4:Q435&lt;&gt;""""),ROWS(FILTER(Q$4:Q435,Q$4:Q435&lt;&gt;""""))),$AD$5+S436))"),438618.4)</f>
        <v>438618.4</v>
      </c>
      <c r="U436" s="10">
        <f>IFERROR(__xludf.DUMMYFUNCTION("IF(COUNTA(Q436:Q1350)=0,"""",IF(Q436="""",0,IF(REGEXMATCH(Q436,""^Sell_""),-ROUNDDOWN(ROUNDUP(INDEX(Upgrades!$C$3:$C$13,MATCH(SUBSTITUTE(Q436,""Sell_"",""""),Upgrades!$B$3:$B$13,0))*1.15^(COUNTIF(Q$4:Q435,SUBSTITUTE(Q436,""Sell_"",""""))-COUNTIF(Q$4:Q435,"&amp;"""Sell_""&amp;SUBSTITUTE(Q436,""Sell_"",""""))))/2),ROUNDUP(INDEX(Upgrades!$C$3:$C$13,MATCH(Q436,Upgrades!$B$3:$B$13,0))*1.15^(COUNTIF(Q$4:Q435,Q436)-COUNTIF(Q$4:Q435,""Sell_""&amp;Q436))))))"),-11565.0)</f>
        <v>-11565</v>
      </c>
      <c r="V436" s="10">
        <f t="shared" si="11"/>
        <v>-14404282</v>
      </c>
      <c r="W436" s="68">
        <f t="shared" si="12"/>
        <v>6085.8512</v>
      </c>
      <c r="X436" s="59" t="str">
        <f t="shared" si="13"/>
        <v>1h 41m 25s</v>
      </c>
      <c r="Y436" s="69">
        <f t="shared" si="14"/>
        <v>666718570</v>
      </c>
      <c r="Z436" s="11"/>
    </row>
    <row r="437">
      <c r="A437" s="8"/>
      <c r="B437" s="56" t="str">
        <f t="shared" si="2"/>
        <v/>
      </c>
      <c r="C437" s="57"/>
      <c r="D437" s="10" t="str">
        <f>IFERROR(__xludf.DUMMYFUNCTION("IF(COUNTA(C437:C1350)=0,"""",IF(ISBLANK(C437),FALSE,IF(NOT(COUNTIF($AA$24:$AA$34,SUBSTITUTE(C437,""Sell_"",""""))),1,IF(REGEXMATCH(C437,""Sell_""),IF(COUNTIF(C$4:C437,SUBSTITUTE(C437,""Sell_"",""""))-COUNTIF(C$4:C436,C437)&lt;1,1),FALSE))))"),"")</f>
        <v/>
      </c>
      <c r="E437" s="59" t="str">
        <f t="array" ref="E437">IF(COUNTA(C437:C1350)=0,"",SUM((COUNTIF(C$4:C437,Upgrades!$B$3:$B$13)-COUNTIF(C$4:C437,"Sell_"&amp;Upgrades!$B$3:$B$13))*Upgrades!$D$3:$D$13))</f>
        <v/>
      </c>
      <c r="F437" s="66" t="str">
        <f>IFERROR(__xludf.DUMMYFUNCTION("IF(COUNTA(C437:C1350)=0,"""",IF(REGEXMATCH(INDEX(FILTER(C$4:C437,C$4:C437&lt;&gt;""""),ROWS(FILTER(C$4:C437,C$4:C437&lt;&gt;""""))),""^Sell_""),INDEX(FILTER(F$4:F436,C$4:C436&lt;&gt;""""),ROWS(FILTER(C$4:C436,C$4:C436&lt;&gt;""""))),$AC$5+E437))"),"")</f>
        <v/>
      </c>
      <c r="G437" s="10" t="str">
        <f>IFERROR(__xludf.DUMMYFUNCTION("IF(COUNTA(C437:C1350)=0,"""",IF(C437="""",0,IF(REGEXMATCH(C437,""^Sell_""),-ROUNDDOWN(ROUNDUP(INDEX(Upgrades!$C$3:$C$13,MATCH(SUBSTITUTE(C437,""Sell_"",""""),Upgrades!$B$3:$B$13,0))*1.15^(COUNTIF(C$4:C436,SUBSTITUTE(C437,""Sell_"",""""))-COUNTIF(C$4:C436,"&amp;"""Sell_""&amp;SUBSTITUTE(C437,""Sell_"",""""))))/2),ROUNDUP(INDEX(Upgrades!$C$3:$C$13,MATCH(C437,Upgrades!$B$3:$B$13,0))*1.15^(COUNTIF(C$4:C436,C437)-COUNTIF(C$4:C436,""Sell_""&amp;C437))))))"),"")</f>
        <v/>
      </c>
      <c r="H437" s="10" t="str">
        <f t="shared" si="3"/>
        <v/>
      </c>
      <c r="I437" s="68" t="str">
        <f t="shared" si="4"/>
        <v/>
      </c>
      <c r="J437" s="59" t="str">
        <f t="shared" si="5"/>
        <v/>
      </c>
      <c r="K437" s="69" t="str">
        <f t="shared" si="6"/>
        <v/>
      </c>
      <c r="L437" s="60">
        <f t="shared" si="7"/>
        <v>-224.65193</v>
      </c>
      <c r="M437" s="61">
        <f>IFERROR(__xludf.DUMMYFUNCTION("IFS(AND(COUNTA(C437:C1350)=0,COUNTA(Q437:Q1350)=0),"""",OR(AND(K437&gt;=1000000000,OR(Y437&gt;=1000000000,COUNTA(Q437:Q1350)=0)),OR(Y437&gt;=1000000000,AND(COUNTA(C437:C1350)=0,P$3=TRUE))),
ROUNDDOWN((AB$1-AC$1)*MAX(INDEX(T$4:T1350,MATCH(LARGE(FILTER(Y$4:Y1350,Y$4"&amp;":Y1350&lt;1000000000),1),Y$4:Y1350)),INDEX(F$4:F1350,MATCH(LARGE(FILTER(K$4:K1350,K$4:K1350&lt;1000000000),1),K$4:K1350)))),AND(K437&lt;1000000000,COUNTA(C437:C1350)&gt;0,P$3=FALSE),
ROUNDDOWN(INDEX(Y$4:Y1350,MATCH(LARGE(FILTER(W$4:W1350,W$4:W1350&lt;=I437),1),W$4:W1350"&amp;"))+(I437-LARGE(FILTER(W$4:W1350,W$4:W1350&lt;=I437),1))*INDEX(T$4:T1350,MATCH(LARGE(FILTER(W$4:W1350,W$4:W1350&lt;=I437),1),W$4:W1350))-K437),1,
ROUNDDOWN(Y437-INDEX(K$4:K1350,MATCH(LARGE(FILTER(I$4:I1350,I$4:I1350&lt;=W437),1),I$4:I1350))-(W437-LARGE(FILTER(I$4:I"&amp;"1350,I$4:I1350&lt;=W437),1))*INDEX(F$4:F1350,MATCH(LARGE(FILTER(I$4:I1350,I$4:I1350&lt;=W437),1),I$4:I1350))))"),9.2226469E7)</f>
        <v>92226469</v>
      </c>
      <c r="N437" s="60">
        <f t="shared" si="8"/>
        <v>-224.65193</v>
      </c>
      <c r="O437" s="61" t="str">
        <f t="shared" si="9"/>
        <v>92,2M</v>
      </c>
      <c r="P437" s="56">
        <f t="shared" si="10"/>
        <v>69</v>
      </c>
      <c r="Q437" s="105" t="s">
        <v>59</v>
      </c>
      <c r="R437" s="10" t="b">
        <f>IFERROR(__xludf.DUMMYFUNCTION("IF(COUNTA(Q437:Q1350)=0,"""",IF(ISBLANK(Q437),FALSE,IF(NOT(COUNTIF($AA$24:$AA$34,SUBSTITUTE(Q437,""Sell_"",""""))),1,IF(REGEXMATCH(Q437,""Sell_""),IF(COUNTIF(Q$4:Q437,SUBSTITUTE(Q437,""Sell_"",""""))-COUNTIF(Q$4:Q436,Q437)&lt;1,1),FALSE))))"),FALSE)</f>
        <v>0</v>
      </c>
      <c r="S437" s="59">
        <f t="array" ref="S437">IF(COUNTA(Q437:Q1350)=0,"",SUM((COUNTIF(Q$4:Q437,Upgrades!$B$3:$B$13)-COUNTIF(Q$4:Q437,"Sell_"&amp;Upgrades!$B$3:$B$13))*Upgrades!$D$3:$D$13))</f>
        <v>431012.4</v>
      </c>
      <c r="T437" s="66">
        <f>IFERROR(__xludf.DUMMYFUNCTION("IF(COUNTA(Q437:Q1350)=0,"""",IF(REGEXMATCH(INDEX(FILTER(Q$4:Q437,Q$4:Q437&lt;&gt;""""),ROWS(FILTER(Q$4:Q437,Q$4:Q437&lt;&gt;""""))),""^Sell_""),INDEX(FILTER(T$4:T436,Q$4:Q436&lt;&gt;""""),ROWS(FILTER(Q$4:Q436,Q$4:Q436&lt;&gt;""""))),$AD$5+S437))"),438618.4)</f>
        <v>438618.4</v>
      </c>
      <c r="U437" s="10">
        <f>IFERROR(__xludf.DUMMYFUNCTION("IF(COUNTA(Q437:Q1350)=0,"""",IF(Q437="""",0,IF(REGEXMATCH(Q437,""^Sell_""),-ROUNDDOWN(ROUNDUP(INDEX(Upgrades!$C$3:$C$13,MATCH(SUBSTITUTE(Q437,""Sell_"",""""),Upgrades!$B$3:$B$13,0))*1.15^(COUNTIF(Q$4:Q436,SUBSTITUTE(Q437,""Sell_"",""""))-COUNTIF(Q$4:Q436,"&amp;"""Sell_""&amp;SUBSTITUTE(Q437,""Sell_"",""""))))/2),ROUNDUP(INDEX(Upgrades!$C$3:$C$13,MATCH(Q437,Upgrades!$B$3:$B$13,0))*1.15^(COUNTIF(Q$4:Q436,Q437)-COUNTIF(Q$4:Q436,""Sell_""&amp;Q437))))))"),-10057.0)</f>
        <v>-10057</v>
      </c>
      <c r="V437" s="10">
        <f t="shared" si="11"/>
        <v>-14414339</v>
      </c>
      <c r="W437" s="68">
        <f t="shared" si="12"/>
        <v>6085.8512</v>
      </c>
      <c r="X437" s="59" t="str">
        <f t="shared" si="13"/>
        <v>1h 41m 25s</v>
      </c>
      <c r="Y437" s="69">
        <f t="shared" si="14"/>
        <v>666718570</v>
      </c>
      <c r="Z437" s="11"/>
    </row>
    <row r="438">
      <c r="A438" s="8"/>
      <c r="B438" s="56" t="str">
        <f t="shared" si="2"/>
        <v/>
      </c>
      <c r="C438" s="57"/>
      <c r="D438" s="10" t="str">
        <f>IFERROR(__xludf.DUMMYFUNCTION("IF(COUNTA(C438:C1350)=0,"""",IF(ISBLANK(C438),FALSE,IF(NOT(COUNTIF($AA$24:$AA$34,SUBSTITUTE(C438,""Sell_"",""""))),1,IF(REGEXMATCH(C438,""Sell_""),IF(COUNTIF(C$4:C438,SUBSTITUTE(C438,""Sell_"",""""))-COUNTIF(C$4:C437,C438)&lt;1,1),FALSE))))"),"")</f>
        <v/>
      </c>
      <c r="E438" s="59" t="str">
        <f t="array" ref="E438">IF(COUNTA(C438:C1350)=0,"",SUM((COUNTIF(C$4:C438,Upgrades!$B$3:$B$13)-COUNTIF(C$4:C438,"Sell_"&amp;Upgrades!$B$3:$B$13))*Upgrades!$D$3:$D$13))</f>
        <v/>
      </c>
      <c r="F438" s="66" t="str">
        <f>IFERROR(__xludf.DUMMYFUNCTION("IF(COUNTA(C438:C1350)=0,"""",IF(REGEXMATCH(INDEX(FILTER(C$4:C438,C$4:C438&lt;&gt;""""),ROWS(FILTER(C$4:C438,C$4:C438&lt;&gt;""""))),""^Sell_""),INDEX(FILTER(F$4:F437,C$4:C437&lt;&gt;""""),ROWS(FILTER(C$4:C437,C$4:C437&lt;&gt;""""))),$AC$5+E438))"),"")</f>
        <v/>
      </c>
      <c r="G438" s="10" t="str">
        <f>IFERROR(__xludf.DUMMYFUNCTION("IF(COUNTA(C438:C1350)=0,"""",IF(C438="""",0,IF(REGEXMATCH(C438,""^Sell_""),-ROUNDDOWN(ROUNDUP(INDEX(Upgrades!$C$3:$C$13,MATCH(SUBSTITUTE(C438,""Sell_"",""""),Upgrades!$B$3:$B$13,0))*1.15^(COUNTIF(C$4:C437,SUBSTITUTE(C438,""Sell_"",""""))-COUNTIF(C$4:C437,"&amp;"""Sell_""&amp;SUBSTITUTE(C438,""Sell_"",""""))))/2),ROUNDUP(INDEX(Upgrades!$C$3:$C$13,MATCH(C438,Upgrades!$B$3:$B$13,0))*1.15^(COUNTIF(C$4:C437,C438)-COUNTIF(C$4:C437,""Sell_""&amp;C438))))))"),"")</f>
        <v/>
      </c>
      <c r="H438" s="10" t="str">
        <f t="shared" si="3"/>
        <v/>
      </c>
      <c r="I438" s="68" t="str">
        <f t="shared" si="4"/>
        <v/>
      </c>
      <c r="J438" s="59" t="str">
        <f t="shared" si="5"/>
        <v/>
      </c>
      <c r="K438" s="69" t="str">
        <f t="shared" si="6"/>
        <v/>
      </c>
      <c r="L438" s="60">
        <f t="shared" si="7"/>
        <v>-224.65193</v>
      </c>
      <c r="M438" s="61">
        <f>IFERROR(__xludf.DUMMYFUNCTION("IFS(AND(COUNTA(C438:C1350)=0,COUNTA(Q438:Q1350)=0),"""",OR(AND(K438&gt;=1000000000,OR(Y438&gt;=1000000000,COUNTA(Q438:Q1350)=0)),OR(Y438&gt;=1000000000,AND(COUNTA(C438:C1350)=0,P$3=TRUE))),
ROUNDDOWN((AB$1-AC$1)*MAX(INDEX(T$4:T1350,MATCH(LARGE(FILTER(Y$4:Y1350,Y$4"&amp;":Y1350&lt;1000000000),1),Y$4:Y1350)),INDEX(F$4:F1350,MATCH(LARGE(FILTER(K$4:K1350,K$4:K1350&lt;1000000000),1),K$4:K1350)))),AND(K438&lt;1000000000,COUNTA(C438:C1350)&gt;0,P$3=FALSE),
ROUNDDOWN(INDEX(Y$4:Y1350,MATCH(LARGE(FILTER(W$4:W1350,W$4:W1350&lt;=I438),1),W$4:W1350"&amp;"))+(I438-LARGE(FILTER(W$4:W1350,W$4:W1350&lt;=I438),1))*INDEX(T$4:T1350,MATCH(LARGE(FILTER(W$4:W1350,W$4:W1350&lt;=I438),1),W$4:W1350))-K438),1,
ROUNDDOWN(Y438-INDEX(K$4:K1350,MATCH(LARGE(FILTER(I$4:I1350,I$4:I1350&lt;=W438),1),I$4:I1350))-(W438-LARGE(FILTER(I$4:I"&amp;"1350,I$4:I1350&lt;=W438),1))*INDEX(F$4:F1350,MATCH(LARGE(FILTER(I$4:I1350,I$4:I1350&lt;=W438),1),I$4:I1350))))"),9.2226469E7)</f>
        <v>92226469</v>
      </c>
      <c r="N438" s="60">
        <f t="shared" si="8"/>
        <v>-224.65193</v>
      </c>
      <c r="O438" s="61" t="str">
        <f t="shared" si="9"/>
        <v>92,2M</v>
      </c>
      <c r="P438" s="56">
        <f t="shared" si="10"/>
        <v>70</v>
      </c>
      <c r="Q438" s="105" t="s">
        <v>59</v>
      </c>
      <c r="R438" s="10" t="b">
        <f>IFERROR(__xludf.DUMMYFUNCTION("IF(COUNTA(Q438:Q1350)=0,"""",IF(ISBLANK(Q438),FALSE,IF(NOT(COUNTIF($AA$24:$AA$34,SUBSTITUTE(Q438,""Sell_"",""""))),1,IF(REGEXMATCH(Q438,""Sell_""),IF(COUNTIF(Q$4:Q438,SUBSTITUTE(Q438,""Sell_"",""""))-COUNTIF(Q$4:Q437,Q438)&lt;1,1),FALSE))))"),FALSE)</f>
        <v>0</v>
      </c>
      <c r="S438" s="59">
        <f t="array" ref="S438">IF(COUNTA(Q438:Q1350)=0,"",SUM((COUNTIF(Q$4:Q438,Upgrades!$B$3:$B$13)-COUNTIF(Q$4:Q438,"Sell_"&amp;Upgrades!$B$3:$B$13))*Upgrades!$D$3:$D$13))</f>
        <v>430972.4</v>
      </c>
      <c r="T438" s="66">
        <f>IFERROR(__xludf.DUMMYFUNCTION("IF(COUNTA(Q438:Q1350)=0,"""",IF(REGEXMATCH(INDEX(FILTER(Q$4:Q438,Q$4:Q438&lt;&gt;""""),ROWS(FILTER(Q$4:Q438,Q$4:Q438&lt;&gt;""""))),""^Sell_""),INDEX(FILTER(T$4:T437,Q$4:Q437&lt;&gt;""""),ROWS(FILTER(Q$4:Q437,Q$4:Q437&lt;&gt;""""))),$AD$5+S438))"),438618.4)</f>
        <v>438618.4</v>
      </c>
      <c r="U438" s="10">
        <f>IFERROR(__xludf.DUMMYFUNCTION("IF(COUNTA(Q438:Q1350)=0,"""",IF(Q438="""",0,IF(REGEXMATCH(Q438,""^Sell_""),-ROUNDDOWN(ROUNDUP(INDEX(Upgrades!$C$3:$C$13,MATCH(SUBSTITUTE(Q438,""Sell_"",""""),Upgrades!$B$3:$B$13,0))*1.15^(COUNTIF(Q$4:Q437,SUBSTITUTE(Q438,""Sell_"",""""))-COUNTIF(Q$4:Q437,"&amp;"""Sell_""&amp;SUBSTITUTE(Q438,""Sell_"",""""))))/2),ROUNDUP(INDEX(Upgrades!$C$3:$C$13,MATCH(Q438,Upgrades!$B$3:$B$13,0))*1.15^(COUNTIF(Q$4:Q437,Q438)-COUNTIF(Q$4:Q437,""Sell_""&amp;Q438))))))"),-8745.0)</f>
        <v>-8745</v>
      </c>
      <c r="V438" s="10">
        <f t="shared" si="11"/>
        <v>-14423084</v>
      </c>
      <c r="W438" s="68">
        <f t="shared" si="12"/>
        <v>6085.8512</v>
      </c>
      <c r="X438" s="59" t="str">
        <f t="shared" si="13"/>
        <v>1h 41m 25s</v>
      </c>
      <c r="Y438" s="69">
        <f t="shared" si="14"/>
        <v>666718570</v>
      </c>
      <c r="Z438" s="11"/>
    </row>
    <row r="439">
      <c r="A439" s="8"/>
      <c r="B439" s="56" t="str">
        <f t="shared" si="2"/>
        <v/>
      </c>
      <c r="C439" s="57"/>
      <c r="D439" s="10" t="str">
        <f>IFERROR(__xludf.DUMMYFUNCTION("IF(COUNTA(C439:C1350)=0,"""",IF(ISBLANK(C439),FALSE,IF(NOT(COUNTIF($AA$24:$AA$34,SUBSTITUTE(C439,""Sell_"",""""))),1,IF(REGEXMATCH(C439,""Sell_""),IF(COUNTIF(C$4:C439,SUBSTITUTE(C439,""Sell_"",""""))-COUNTIF(C$4:C438,C439)&lt;1,1),FALSE))))"),"")</f>
        <v/>
      </c>
      <c r="E439" s="59" t="str">
        <f t="array" ref="E439">IF(COUNTA(C439:C1350)=0,"",SUM((COUNTIF(C$4:C439,Upgrades!$B$3:$B$13)-COUNTIF(C$4:C439,"Sell_"&amp;Upgrades!$B$3:$B$13))*Upgrades!$D$3:$D$13))</f>
        <v/>
      </c>
      <c r="F439" s="66" t="str">
        <f>IFERROR(__xludf.DUMMYFUNCTION("IF(COUNTA(C439:C1350)=0,"""",IF(REGEXMATCH(INDEX(FILTER(C$4:C439,C$4:C439&lt;&gt;""""),ROWS(FILTER(C$4:C439,C$4:C439&lt;&gt;""""))),""^Sell_""),INDEX(FILTER(F$4:F438,C$4:C438&lt;&gt;""""),ROWS(FILTER(C$4:C438,C$4:C438&lt;&gt;""""))),$AC$5+E439))"),"")</f>
        <v/>
      </c>
      <c r="G439" s="10" t="str">
        <f>IFERROR(__xludf.DUMMYFUNCTION("IF(COUNTA(C439:C1350)=0,"""",IF(C439="""",0,IF(REGEXMATCH(C439,""^Sell_""),-ROUNDDOWN(ROUNDUP(INDEX(Upgrades!$C$3:$C$13,MATCH(SUBSTITUTE(C439,""Sell_"",""""),Upgrades!$B$3:$B$13,0))*1.15^(COUNTIF(C$4:C438,SUBSTITUTE(C439,""Sell_"",""""))-COUNTIF(C$4:C438,"&amp;"""Sell_""&amp;SUBSTITUTE(C439,""Sell_"",""""))))/2),ROUNDUP(INDEX(Upgrades!$C$3:$C$13,MATCH(C439,Upgrades!$B$3:$B$13,0))*1.15^(COUNTIF(C$4:C438,C439)-COUNTIF(C$4:C438,""Sell_""&amp;C439))))))"),"")</f>
        <v/>
      </c>
      <c r="H439" s="10" t="str">
        <f t="shared" si="3"/>
        <v/>
      </c>
      <c r="I439" s="68" t="str">
        <f t="shared" si="4"/>
        <v/>
      </c>
      <c r="J439" s="59" t="str">
        <f t="shared" si="5"/>
        <v/>
      </c>
      <c r="K439" s="69" t="str">
        <f t="shared" si="6"/>
        <v/>
      </c>
      <c r="L439" s="60">
        <f t="shared" si="7"/>
        <v>-224.65193</v>
      </c>
      <c r="M439" s="61">
        <f>IFERROR(__xludf.DUMMYFUNCTION("IFS(AND(COUNTA(C439:C1350)=0,COUNTA(Q439:Q1350)=0),"""",OR(AND(K439&gt;=1000000000,OR(Y439&gt;=1000000000,COUNTA(Q439:Q1350)=0)),OR(Y439&gt;=1000000000,AND(COUNTA(C439:C1350)=0,P$3=TRUE))),
ROUNDDOWN((AB$1-AC$1)*MAX(INDEX(T$4:T1350,MATCH(LARGE(FILTER(Y$4:Y1350,Y$4"&amp;":Y1350&lt;1000000000),1),Y$4:Y1350)),INDEX(F$4:F1350,MATCH(LARGE(FILTER(K$4:K1350,K$4:K1350&lt;1000000000),1),K$4:K1350)))),AND(K439&lt;1000000000,COUNTA(C439:C1350)&gt;0,P$3=FALSE),
ROUNDDOWN(INDEX(Y$4:Y1350,MATCH(LARGE(FILTER(W$4:W1350,W$4:W1350&lt;=I439),1),W$4:W1350"&amp;"))+(I439-LARGE(FILTER(W$4:W1350,W$4:W1350&lt;=I439),1))*INDEX(T$4:T1350,MATCH(LARGE(FILTER(W$4:W1350,W$4:W1350&lt;=I439),1),W$4:W1350))-K439),1,
ROUNDDOWN(Y439-INDEX(K$4:K1350,MATCH(LARGE(FILTER(I$4:I1350,I$4:I1350&lt;=W439),1),I$4:I1350))-(W439-LARGE(FILTER(I$4:I"&amp;"1350,I$4:I1350&lt;=W439),1))*INDEX(F$4:F1350,MATCH(LARGE(FILTER(I$4:I1350,I$4:I1350&lt;=W439),1),I$4:I1350))))"),9.2226469E7)</f>
        <v>92226469</v>
      </c>
      <c r="N439" s="60">
        <f t="shared" si="8"/>
        <v>-224.65193</v>
      </c>
      <c r="O439" s="61" t="str">
        <f t="shared" si="9"/>
        <v>92,2M</v>
      </c>
      <c r="P439" s="56">
        <f t="shared" si="10"/>
        <v>71</v>
      </c>
      <c r="Q439" s="105" t="s">
        <v>59</v>
      </c>
      <c r="R439" s="10" t="b">
        <f>IFERROR(__xludf.DUMMYFUNCTION("IF(COUNTA(Q439:Q1350)=0,"""",IF(ISBLANK(Q439),FALSE,IF(NOT(COUNTIF($AA$24:$AA$34,SUBSTITUTE(Q439,""Sell_"",""""))),1,IF(REGEXMATCH(Q439,""Sell_""),IF(COUNTIF(Q$4:Q439,SUBSTITUTE(Q439,""Sell_"",""""))-COUNTIF(Q$4:Q438,Q439)&lt;1,1),FALSE))))"),FALSE)</f>
        <v>0</v>
      </c>
      <c r="S439" s="59">
        <f t="array" ref="S439">IF(COUNTA(Q439:Q1350)=0,"",SUM((COUNTIF(Q$4:Q439,Upgrades!$B$3:$B$13)-COUNTIF(Q$4:Q439,"Sell_"&amp;Upgrades!$B$3:$B$13))*Upgrades!$D$3:$D$13))</f>
        <v>430932.4</v>
      </c>
      <c r="T439" s="66">
        <f>IFERROR(__xludf.DUMMYFUNCTION("IF(COUNTA(Q439:Q1350)=0,"""",IF(REGEXMATCH(INDEX(FILTER(Q$4:Q439,Q$4:Q439&lt;&gt;""""),ROWS(FILTER(Q$4:Q439,Q$4:Q439&lt;&gt;""""))),""^Sell_""),INDEX(FILTER(T$4:T438,Q$4:Q438&lt;&gt;""""),ROWS(FILTER(Q$4:Q438,Q$4:Q438&lt;&gt;""""))),$AD$5+S439))"),438618.4)</f>
        <v>438618.4</v>
      </c>
      <c r="U439" s="10">
        <f>IFERROR(__xludf.DUMMYFUNCTION("IF(COUNTA(Q439:Q1350)=0,"""",IF(Q439="""",0,IF(REGEXMATCH(Q439,""^Sell_""),-ROUNDDOWN(ROUNDUP(INDEX(Upgrades!$C$3:$C$13,MATCH(SUBSTITUTE(Q439,""Sell_"",""""),Upgrades!$B$3:$B$13,0))*1.15^(COUNTIF(Q$4:Q438,SUBSTITUTE(Q439,""Sell_"",""""))-COUNTIF(Q$4:Q438,"&amp;"""Sell_""&amp;SUBSTITUTE(Q439,""Sell_"",""""))))/2),ROUNDUP(INDEX(Upgrades!$C$3:$C$13,MATCH(Q439,Upgrades!$B$3:$B$13,0))*1.15^(COUNTIF(Q$4:Q438,Q439)-COUNTIF(Q$4:Q438,""Sell_""&amp;Q439))))))"),-7604.0)</f>
        <v>-7604</v>
      </c>
      <c r="V439" s="10">
        <f t="shared" si="11"/>
        <v>-14430688</v>
      </c>
      <c r="W439" s="68">
        <f t="shared" si="12"/>
        <v>6085.8512</v>
      </c>
      <c r="X439" s="59" t="str">
        <f t="shared" si="13"/>
        <v>1h 41m 25s</v>
      </c>
      <c r="Y439" s="69">
        <f t="shared" si="14"/>
        <v>666718570</v>
      </c>
      <c r="Z439" s="11"/>
    </row>
    <row r="440">
      <c r="A440" s="8"/>
      <c r="B440" s="56" t="str">
        <f t="shared" si="2"/>
        <v/>
      </c>
      <c r="C440" s="57"/>
      <c r="D440" s="10" t="str">
        <f>IFERROR(__xludf.DUMMYFUNCTION("IF(COUNTA(C440:C1350)=0,"""",IF(ISBLANK(C440),FALSE,IF(NOT(COUNTIF($AA$24:$AA$34,SUBSTITUTE(C440,""Sell_"",""""))),1,IF(REGEXMATCH(C440,""Sell_""),IF(COUNTIF(C$4:C440,SUBSTITUTE(C440,""Sell_"",""""))-COUNTIF(C$4:C439,C440)&lt;1,1),FALSE))))"),"")</f>
        <v/>
      </c>
      <c r="E440" s="59" t="str">
        <f t="array" ref="E440">IF(COUNTA(C440:C1350)=0,"",SUM((COUNTIF(C$4:C440,Upgrades!$B$3:$B$13)-COUNTIF(C$4:C440,"Sell_"&amp;Upgrades!$B$3:$B$13))*Upgrades!$D$3:$D$13))</f>
        <v/>
      </c>
      <c r="F440" s="66" t="str">
        <f>IFERROR(__xludf.DUMMYFUNCTION("IF(COUNTA(C440:C1350)=0,"""",IF(REGEXMATCH(INDEX(FILTER(C$4:C440,C$4:C440&lt;&gt;""""),ROWS(FILTER(C$4:C440,C$4:C440&lt;&gt;""""))),""^Sell_""),INDEX(FILTER(F$4:F439,C$4:C439&lt;&gt;""""),ROWS(FILTER(C$4:C439,C$4:C439&lt;&gt;""""))),$AC$5+E440))"),"")</f>
        <v/>
      </c>
      <c r="G440" s="10" t="str">
        <f>IFERROR(__xludf.DUMMYFUNCTION("IF(COUNTA(C440:C1350)=0,"""",IF(C440="""",0,IF(REGEXMATCH(C440,""^Sell_""),-ROUNDDOWN(ROUNDUP(INDEX(Upgrades!$C$3:$C$13,MATCH(SUBSTITUTE(C440,""Sell_"",""""),Upgrades!$B$3:$B$13,0))*1.15^(COUNTIF(C$4:C439,SUBSTITUTE(C440,""Sell_"",""""))-COUNTIF(C$4:C439,"&amp;"""Sell_""&amp;SUBSTITUTE(C440,""Sell_"",""""))))/2),ROUNDUP(INDEX(Upgrades!$C$3:$C$13,MATCH(C440,Upgrades!$B$3:$B$13,0))*1.15^(COUNTIF(C$4:C439,C440)-COUNTIF(C$4:C439,""Sell_""&amp;C440))))))"),"")</f>
        <v/>
      </c>
      <c r="H440" s="10" t="str">
        <f t="shared" si="3"/>
        <v/>
      </c>
      <c r="I440" s="68" t="str">
        <f t="shared" si="4"/>
        <v/>
      </c>
      <c r="J440" s="59" t="str">
        <f t="shared" si="5"/>
        <v/>
      </c>
      <c r="K440" s="69" t="str">
        <f t="shared" si="6"/>
        <v/>
      </c>
      <c r="L440" s="60">
        <f t="shared" si="7"/>
        <v>-224.65193</v>
      </c>
      <c r="M440" s="61">
        <f>IFERROR(__xludf.DUMMYFUNCTION("IFS(AND(COUNTA(C440:C1350)=0,COUNTA(Q440:Q1350)=0),"""",OR(AND(K440&gt;=1000000000,OR(Y440&gt;=1000000000,COUNTA(Q440:Q1350)=0)),OR(Y440&gt;=1000000000,AND(COUNTA(C440:C1350)=0,P$3=TRUE))),
ROUNDDOWN((AB$1-AC$1)*MAX(INDEX(T$4:T1350,MATCH(LARGE(FILTER(Y$4:Y1350,Y$4"&amp;":Y1350&lt;1000000000),1),Y$4:Y1350)),INDEX(F$4:F1350,MATCH(LARGE(FILTER(K$4:K1350,K$4:K1350&lt;1000000000),1),K$4:K1350)))),AND(K440&lt;1000000000,COUNTA(C440:C1350)&gt;0,P$3=FALSE),
ROUNDDOWN(INDEX(Y$4:Y1350,MATCH(LARGE(FILTER(W$4:W1350,W$4:W1350&lt;=I440),1),W$4:W1350"&amp;"))+(I440-LARGE(FILTER(W$4:W1350,W$4:W1350&lt;=I440),1))*INDEX(T$4:T1350,MATCH(LARGE(FILTER(W$4:W1350,W$4:W1350&lt;=I440),1),W$4:W1350))-K440),1,
ROUNDDOWN(Y440-INDEX(K$4:K1350,MATCH(LARGE(FILTER(I$4:I1350,I$4:I1350&lt;=W440),1),I$4:I1350))-(W440-LARGE(FILTER(I$4:I"&amp;"1350,I$4:I1350&lt;=W440),1))*INDEX(F$4:F1350,MATCH(LARGE(FILTER(I$4:I1350,I$4:I1350&lt;=W440),1),I$4:I1350))))"),9.2226469E7)</f>
        <v>92226469</v>
      </c>
      <c r="N440" s="60">
        <f t="shared" si="8"/>
        <v>-224.65193</v>
      </c>
      <c r="O440" s="61" t="str">
        <f t="shared" si="9"/>
        <v>92,2M</v>
      </c>
      <c r="P440" s="56">
        <f t="shared" si="10"/>
        <v>72</v>
      </c>
      <c r="Q440" s="105" t="s">
        <v>59</v>
      </c>
      <c r="R440" s="10" t="b">
        <f>IFERROR(__xludf.DUMMYFUNCTION("IF(COUNTA(Q440:Q1350)=0,"""",IF(ISBLANK(Q440),FALSE,IF(NOT(COUNTIF($AA$24:$AA$34,SUBSTITUTE(Q440,""Sell_"",""""))),1,IF(REGEXMATCH(Q440,""Sell_""),IF(COUNTIF(Q$4:Q440,SUBSTITUTE(Q440,""Sell_"",""""))-COUNTIF(Q$4:Q439,Q440)&lt;1,1),FALSE))))"),FALSE)</f>
        <v>0</v>
      </c>
      <c r="S440" s="59">
        <f t="array" ref="S440">IF(COUNTA(Q440:Q1350)=0,"",SUM((COUNTIF(Q$4:Q440,Upgrades!$B$3:$B$13)-COUNTIF(Q$4:Q440,"Sell_"&amp;Upgrades!$B$3:$B$13))*Upgrades!$D$3:$D$13))</f>
        <v>430892.4</v>
      </c>
      <c r="T440" s="66">
        <f>IFERROR(__xludf.DUMMYFUNCTION("IF(COUNTA(Q440:Q1350)=0,"""",IF(REGEXMATCH(INDEX(FILTER(Q$4:Q440,Q$4:Q440&lt;&gt;""""),ROWS(FILTER(Q$4:Q440,Q$4:Q440&lt;&gt;""""))),""^Sell_""),INDEX(FILTER(T$4:T439,Q$4:Q439&lt;&gt;""""),ROWS(FILTER(Q$4:Q439,Q$4:Q439&lt;&gt;""""))),$AD$5+S440))"),438618.4)</f>
        <v>438618.4</v>
      </c>
      <c r="U440" s="10">
        <f>IFERROR(__xludf.DUMMYFUNCTION("IF(COUNTA(Q440:Q1350)=0,"""",IF(Q440="""",0,IF(REGEXMATCH(Q440,""^Sell_""),-ROUNDDOWN(ROUNDUP(INDEX(Upgrades!$C$3:$C$13,MATCH(SUBSTITUTE(Q440,""Sell_"",""""),Upgrades!$B$3:$B$13,0))*1.15^(COUNTIF(Q$4:Q439,SUBSTITUTE(Q440,""Sell_"",""""))-COUNTIF(Q$4:Q439,"&amp;"""Sell_""&amp;SUBSTITUTE(Q440,""Sell_"",""""))))/2),ROUNDUP(INDEX(Upgrades!$C$3:$C$13,MATCH(Q440,Upgrades!$B$3:$B$13,0))*1.15^(COUNTIF(Q$4:Q439,Q440)-COUNTIF(Q$4:Q439,""Sell_""&amp;Q440))))))"),-6612.0)</f>
        <v>-6612</v>
      </c>
      <c r="V440" s="10">
        <f t="shared" si="11"/>
        <v>-14437300</v>
      </c>
      <c r="W440" s="68">
        <f t="shared" si="12"/>
        <v>6085.8512</v>
      </c>
      <c r="X440" s="59" t="str">
        <f t="shared" si="13"/>
        <v>1h 41m 25s</v>
      </c>
      <c r="Y440" s="69">
        <f t="shared" si="14"/>
        <v>666718570</v>
      </c>
      <c r="Z440" s="11"/>
    </row>
    <row r="441">
      <c r="A441" s="8"/>
      <c r="B441" s="56" t="str">
        <f t="shared" si="2"/>
        <v/>
      </c>
      <c r="C441" s="57"/>
      <c r="D441" s="10" t="str">
        <f>IFERROR(__xludf.DUMMYFUNCTION("IF(COUNTA(C441:C1350)=0,"""",IF(ISBLANK(C441),FALSE,IF(NOT(COUNTIF($AA$24:$AA$34,SUBSTITUTE(C441,""Sell_"",""""))),1,IF(REGEXMATCH(C441,""Sell_""),IF(COUNTIF(C$4:C441,SUBSTITUTE(C441,""Sell_"",""""))-COUNTIF(C$4:C440,C441)&lt;1,1),FALSE))))"),"")</f>
        <v/>
      </c>
      <c r="E441" s="59" t="str">
        <f t="array" ref="E441">IF(COUNTA(C441:C1350)=0,"",SUM((COUNTIF(C$4:C441,Upgrades!$B$3:$B$13)-COUNTIF(C$4:C441,"Sell_"&amp;Upgrades!$B$3:$B$13))*Upgrades!$D$3:$D$13))</f>
        <v/>
      </c>
      <c r="F441" s="66" t="str">
        <f>IFERROR(__xludf.DUMMYFUNCTION("IF(COUNTA(C441:C1350)=0,"""",IF(REGEXMATCH(INDEX(FILTER(C$4:C441,C$4:C441&lt;&gt;""""),ROWS(FILTER(C$4:C441,C$4:C441&lt;&gt;""""))),""^Sell_""),INDEX(FILTER(F$4:F440,C$4:C440&lt;&gt;""""),ROWS(FILTER(C$4:C440,C$4:C440&lt;&gt;""""))),$AC$5+E441))"),"")</f>
        <v/>
      </c>
      <c r="G441" s="10" t="str">
        <f>IFERROR(__xludf.DUMMYFUNCTION("IF(COUNTA(C441:C1350)=0,"""",IF(C441="""",0,IF(REGEXMATCH(C441,""^Sell_""),-ROUNDDOWN(ROUNDUP(INDEX(Upgrades!$C$3:$C$13,MATCH(SUBSTITUTE(C441,""Sell_"",""""),Upgrades!$B$3:$B$13,0))*1.15^(COUNTIF(C$4:C440,SUBSTITUTE(C441,""Sell_"",""""))-COUNTIF(C$4:C440,"&amp;"""Sell_""&amp;SUBSTITUTE(C441,""Sell_"",""""))))/2),ROUNDUP(INDEX(Upgrades!$C$3:$C$13,MATCH(C441,Upgrades!$B$3:$B$13,0))*1.15^(COUNTIF(C$4:C440,C441)-COUNTIF(C$4:C440,""Sell_""&amp;C441))))))"),"")</f>
        <v/>
      </c>
      <c r="H441" s="10" t="str">
        <f t="shared" si="3"/>
        <v/>
      </c>
      <c r="I441" s="68" t="str">
        <f t="shared" si="4"/>
        <v/>
      </c>
      <c r="J441" s="59" t="str">
        <f t="shared" si="5"/>
        <v/>
      </c>
      <c r="K441" s="69" t="str">
        <f t="shared" si="6"/>
        <v/>
      </c>
      <c r="L441" s="60">
        <f t="shared" si="7"/>
        <v>-224.65193</v>
      </c>
      <c r="M441" s="61">
        <f>IFERROR(__xludf.DUMMYFUNCTION("IFS(AND(COUNTA(C441:C1350)=0,COUNTA(Q441:Q1350)=0),"""",OR(AND(K441&gt;=1000000000,OR(Y441&gt;=1000000000,COUNTA(Q441:Q1350)=0)),OR(Y441&gt;=1000000000,AND(COUNTA(C441:C1350)=0,P$3=TRUE))),
ROUNDDOWN((AB$1-AC$1)*MAX(INDEX(T$4:T1350,MATCH(LARGE(FILTER(Y$4:Y1350,Y$4"&amp;":Y1350&lt;1000000000),1),Y$4:Y1350)),INDEX(F$4:F1350,MATCH(LARGE(FILTER(K$4:K1350,K$4:K1350&lt;1000000000),1),K$4:K1350)))),AND(K441&lt;1000000000,COUNTA(C441:C1350)&gt;0,P$3=FALSE),
ROUNDDOWN(INDEX(Y$4:Y1350,MATCH(LARGE(FILTER(W$4:W1350,W$4:W1350&lt;=I441),1),W$4:W1350"&amp;"))+(I441-LARGE(FILTER(W$4:W1350,W$4:W1350&lt;=I441),1))*INDEX(T$4:T1350,MATCH(LARGE(FILTER(W$4:W1350,W$4:W1350&lt;=I441),1),W$4:W1350))-K441),1,
ROUNDDOWN(Y441-INDEX(K$4:K1350,MATCH(LARGE(FILTER(I$4:I1350,I$4:I1350&lt;=W441),1),I$4:I1350))-(W441-LARGE(FILTER(I$4:I"&amp;"1350,I$4:I1350&lt;=W441),1))*INDEX(F$4:F1350,MATCH(LARGE(FILTER(I$4:I1350,I$4:I1350&lt;=W441),1),I$4:I1350))))"),9.2226469E7)</f>
        <v>92226469</v>
      </c>
      <c r="N441" s="60">
        <f t="shared" si="8"/>
        <v>-224.65193</v>
      </c>
      <c r="O441" s="61" t="str">
        <f t="shared" si="9"/>
        <v>92,2M</v>
      </c>
      <c r="P441" s="56">
        <f t="shared" si="10"/>
        <v>73</v>
      </c>
      <c r="Q441" s="105" t="s">
        <v>59</v>
      </c>
      <c r="R441" s="10" t="b">
        <f>IFERROR(__xludf.DUMMYFUNCTION("IF(COUNTA(Q441:Q1350)=0,"""",IF(ISBLANK(Q441),FALSE,IF(NOT(COUNTIF($AA$24:$AA$34,SUBSTITUTE(Q441,""Sell_"",""""))),1,IF(REGEXMATCH(Q441,""Sell_""),IF(COUNTIF(Q$4:Q441,SUBSTITUTE(Q441,""Sell_"",""""))-COUNTIF(Q$4:Q440,Q441)&lt;1,1),FALSE))))"),FALSE)</f>
        <v>0</v>
      </c>
      <c r="S441" s="59">
        <f t="array" ref="S441">IF(COUNTA(Q441:Q1350)=0,"",SUM((COUNTIF(Q$4:Q441,Upgrades!$B$3:$B$13)-COUNTIF(Q$4:Q441,"Sell_"&amp;Upgrades!$B$3:$B$13))*Upgrades!$D$3:$D$13))</f>
        <v>430852.4</v>
      </c>
      <c r="T441" s="66">
        <f>IFERROR(__xludf.DUMMYFUNCTION("IF(COUNTA(Q441:Q1350)=0,"""",IF(REGEXMATCH(INDEX(FILTER(Q$4:Q441,Q$4:Q441&lt;&gt;""""),ROWS(FILTER(Q$4:Q441,Q$4:Q441&lt;&gt;""""))),""^Sell_""),INDEX(FILTER(T$4:T440,Q$4:Q440&lt;&gt;""""),ROWS(FILTER(Q$4:Q440,Q$4:Q440&lt;&gt;""""))),$AD$5+S441))"),438618.4)</f>
        <v>438618.4</v>
      </c>
      <c r="U441" s="10">
        <f>IFERROR(__xludf.DUMMYFUNCTION("IF(COUNTA(Q441:Q1350)=0,"""",IF(Q441="""",0,IF(REGEXMATCH(Q441,""^Sell_""),-ROUNDDOWN(ROUNDUP(INDEX(Upgrades!$C$3:$C$13,MATCH(SUBSTITUTE(Q441,""Sell_"",""""),Upgrades!$B$3:$B$13,0))*1.15^(COUNTIF(Q$4:Q440,SUBSTITUTE(Q441,""Sell_"",""""))-COUNTIF(Q$4:Q440,"&amp;"""Sell_""&amp;SUBSTITUTE(Q441,""Sell_"",""""))))/2),ROUNDUP(INDEX(Upgrades!$C$3:$C$13,MATCH(Q441,Upgrades!$B$3:$B$13,0))*1.15^(COUNTIF(Q$4:Q440,Q441)-COUNTIF(Q$4:Q440,""Sell_""&amp;Q441))))))"),-5750.0)</f>
        <v>-5750</v>
      </c>
      <c r="V441" s="10">
        <f t="shared" si="11"/>
        <v>-14443050</v>
      </c>
      <c r="W441" s="68">
        <f t="shared" si="12"/>
        <v>6085.8512</v>
      </c>
      <c r="X441" s="59" t="str">
        <f t="shared" si="13"/>
        <v>1h 41m 25s</v>
      </c>
      <c r="Y441" s="69">
        <f t="shared" si="14"/>
        <v>666718570</v>
      </c>
      <c r="Z441" s="11"/>
    </row>
    <row r="442">
      <c r="A442" s="8"/>
      <c r="B442" s="56" t="str">
        <f t="shared" si="2"/>
        <v/>
      </c>
      <c r="C442" s="57"/>
      <c r="D442" s="10" t="str">
        <f>IFERROR(__xludf.DUMMYFUNCTION("IF(COUNTA(C442:C1350)=0,"""",IF(ISBLANK(C442),FALSE,IF(NOT(COUNTIF($AA$24:$AA$34,SUBSTITUTE(C442,""Sell_"",""""))),1,IF(REGEXMATCH(C442,""Sell_""),IF(COUNTIF(C$4:C442,SUBSTITUTE(C442,""Sell_"",""""))-COUNTIF(C$4:C441,C442)&lt;1,1),FALSE))))"),"")</f>
        <v/>
      </c>
      <c r="E442" s="59" t="str">
        <f t="array" ref="E442">IF(COUNTA(C442:C1350)=0,"",SUM((COUNTIF(C$4:C442,Upgrades!$B$3:$B$13)-COUNTIF(C$4:C442,"Sell_"&amp;Upgrades!$B$3:$B$13))*Upgrades!$D$3:$D$13))</f>
        <v/>
      </c>
      <c r="F442" s="66" t="str">
        <f>IFERROR(__xludf.DUMMYFUNCTION("IF(COUNTA(C442:C1350)=0,"""",IF(REGEXMATCH(INDEX(FILTER(C$4:C442,C$4:C442&lt;&gt;""""),ROWS(FILTER(C$4:C442,C$4:C442&lt;&gt;""""))),""^Sell_""),INDEX(FILTER(F$4:F441,C$4:C441&lt;&gt;""""),ROWS(FILTER(C$4:C441,C$4:C441&lt;&gt;""""))),$AC$5+E442))"),"")</f>
        <v/>
      </c>
      <c r="G442" s="10" t="str">
        <f>IFERROR(__xludf.DUMMYFUNCTION("IF(COUNTA(C442:C1350)=0,"""",IF(C442="""",0,IF(REGEXMATCH(C442,""^Sell_""),-ROUNDDOWN(ROUNDUP(INDEX(Upgrades!$C$3:$C$13,MATCH(SUBSTITUTE(C442,""Sell_"",""""),Upgrades!$B$3:$B$13,0))*1.15^(COUNTIF(C$4:C441,SUBSTITUTE(C442,""Sell_"",""""))-COUNTIF(C$4:C441,"&amp;"""Sell_""&amp;SUBSTITUTE(C442,""Sell_"",""""))))/2),ROUNDUP(INDEX(Upgrades!$C$3:$C$13,MATCH(C442,Upgrades!$B$3:$B$13,0))*1.15^(COUNTIF(C$4:C441,C442)-COUNTIF(C$4:C441,""Sell_""&amp;C442))))))"),"")</f>
        <v/>
      </c>
      <c r="H442" s="10" t="str">
        <f t="shared" si="3"/>
        <v/>
      </c>
      <c r="I442" s="68" t="str">
        <f t="shared" si="4"/>
        <v/>
      </c>
      <c r="J442" s="59" t="str">
        <f t="shared" si="5"/>
        <v/>
      </c>
      <c r="K442" s="69" t="str">
        <f t="shared" si="6"/>
        <v/>
      </c>
      <c r="L442" s="60">
        <f t="shared" si="7"/>
        <v>-224.65193</v>
      </c>
      <c r="M442" s="61">
        <f>IFERROR(__xludf.DUMMYFUNCTION("IFS(AND(COUNTA(C442:C1350)=0,COUNTA(Q442:Q1350)=0),"""",OR(AND(K442&gt;=1000000000,OR(Y442&gt;=1000000000,COUNTA(Q442:Q1350)=0)),OR(Y442&gt;=1000000000,AND(COUNTA(C442:C1350)=0,P$3=TRUE))),
ROUNDDOWN((AB$1-AC$1)*MAX(INDEX(T$4:T1350,MATCH(LARGE(FILTER(Y$4:Y1350,Y$4"&amp;":Y1350&lt;1000000000),1),Y$4:Y1350)),INDEX(F$4:F1350,MATCH(LARGE(FILTER(K$4:K1350,K$4:K1350&lt;1000000000),1),K$4:K1350)))),AND(K442&lt;1000000000,COUNTA(C442:C1350)&gt;0,P$3=FALSE),
ROUNDDOWN(INDEX(Y$4:Y1350,MATCH(LARGE(FILTER(W$4:W1350,W$4:W1350&lt;=I442),1),W$4:W1350"&amp;"))+(I442-LARGE(FILTER(W$4:W1350,W$4:W1350&lt;=I442),1))*INDEX(T$4:T1350,MATCH(LARGE(FILTER(W$4:W1350,W$4:W1350&lt;=I442),1),W$4:W1350))-K442),1,
ROUNDDOWN(Y442-INDEX(K$4:K1350,MATCH(LARGE(FILTER(I$4:I1350,I$4:I1350&lt;=W442),1),I$4:I1350))-(W442-LARGE(FILTER(I$4:I"&amp;"1350,I$4:I1350&lt;=W442),1))*INDEX(F$4:F1350,MATCH(LARGE(FILTER(I$4:I1350,I$4:I1350&lt;=W442),1),I$4:I1350))))"),9.2226469E7)</f>
        <v>92226469</v>
      </c>
      <c r="N442" s="60">
        <f t="shared" si="8"/>
        <v>-224.65193</v>
      </c>
      <c r="O442" s="61" t="str">
        <f t="shared" si="9"/>
        <v>92,2M</v>
      </c>
      <c r="P442" s="56">
        <f t="shared" si="10"/>
        <v>37</v>
      </c>
      <c r="Q442" s="105" t="s">
        <v>61</v>
      </c>
      <c r="R442" s="10" t="b">
        <f>IFERROR(__xludf.DUMMYFUNCTION("IF(COUNTA(Q442:Q1350)=0,"""",IF(ISBLANK(Q442),FALSE,IF(NOT(COUNTIF($AA$24:$AA$34,SUBSTITUTE(Q442,""Sell_"",""""))),1,IF(REGEXMATCH(Q442,""Sell_""),IF(COUNTIF(Q$4:Q442,SUBSTITUTE(Q442,""Sell_"",""""))-COUNTIF(Q$4:Q441,Q442)&lt;1,1),FALSE))))"),FALSE)</f>
        <v>0</v>
      </c>
      <c r="S442" s="59">
        <f t="array" ref="S442">IF(COUNTA(Q442:Q1350)=0,"",SUM((COUNTIF(Q$4:Q442,Upgrades!$B$3:$B$13)-COUNTIF(Q$4:Q442,"Sell_"&amp;Upgrades!$B$3:$B$13))*Upgrades!$D$3:$D$13))</f>
        <v>430752.4</v>
      </c>
      <c r="T442" s="66">
        <f>IFERROR(__xludf.DUMMYFUNCTION("IF(COUNTA(Q442:Q1350)=0,"""",IF(REGEXMATCH(INDEX(FILTER(Q$4:Q442,Q$4:Q442&lt;&gt;""""),ROWS(FILTER(Q$4:Q442,Q$4:Q442&lt;&gt;""""))),""^Sell_""),INDEX(FILTER(T$4:T441,Q$4:Q441&lt;&gt;""""),ROWS(FILTER(Q$4:Q441,Q$4:Q441&lt;&gt;""""))),$AD$5+S442))"),438618.4)</f>
        <v>438618.4</v>
      </c>
      <c r="U442" s="10">
        <f>IFERROR(__xludf.DUMMYFUNCTION("IF(COUNTA(Q442:Q1350)=0,"""",IF(Q442="""",0,IF(REGEXMATCH(Q442,""^Sell_""),-ROUNDDOWN(ROUNDUP(INDEX(Upgrades!$C$3:$C$13,MATCH(SUBSTITUTE(Q442,""Sell_"",""""),Upgrades!$B$3:$B$13,0))*1.15^(COUNTIF(Q$4:Q441,SUBSTITUTE(Q442,""Sell_"",""""))-COUNTIF(Q$4:Q441,"&amp;"""Sell_""&amp;SUBSTITUTE(Q442,""Sell_"",""""))))/2),ROUNDUP(INDEX(Upgrades!$C$3:$C$13,MATCH(Q442,Upgrades!$B$3:$B$13,0))*1.15^(COUNTIF(Q$4:Q441,Q442)-COUNTIF(Q$4:Q441,""Sell_""&amp;Q442))))))"),-187152.0)</f>
        <v>-187152</v>
      </c>
      <c r="V442" s="10">
        <f t="shared" si="11"/>
        <v>-14630202</v>
      </c>
      <c r="W442" s="68">
        <f t="shared" si="12"/>
        <v>6085.8512</v>
      </c>
      <c r="X442" s="59" t="str">
        <f t="shared" si="13"/>
        <v>1h 41m 25s</v>
      </c>
      <c r="Y442" s="69">
        <f t="shared" si="14"/>
        <v>666718570</v>
      </c>
      <c r="Z442" s="11"/>
    </row>
    <row r="443">
      <c r="A443" s="8"/>
      <c r="B443" s="56" t="str">
        <f t="shared" si="2"/>
        <v/>
      </c>
      <c r="C443" s="57"/>
      <c r="D443" s="10" t="str">
        <f>IFERROR(__xludf.DUMMYFUNCTION("IF(COUNTA(C443:C1350)=0,"""",IF(ISBLANK(C443),FALSE,IF(NOT(COUNTIF($AA$24:$AA$34,SUBSTITUTE(C443,""Sell_"",""""))),1,IF(REGEXMATCH(C443,""Sell_""),IF(COUNTIF(C$4:C443,SUBSTITUTE(C443,""Sell_"",""""))-COUNTIF(C$4:C442,C443)&lt;1,1),FALSE))))"),"")</f>
        <v/>
      </c>
      <c r="E443" s="59" t="str">
        <f t="array" ref="E443">IF(COUNTA(C443:C1350)=0,"",SUM((COUNTIF(C$4:C443,Upgrades!$B$3:$B$13)-COUNTIF(C$4:C443,"Sell_"&amp;Upgrades!$B$3:$B$13))*Upgrades!$D$3:$D$13))</f>
        <v/>
      </c>
      <c r="F443" s="66" t="str">
        <f>IFERROR(__xludf.DUMMYFUNCTION("IF(COUNTA(C443:C1350)=0,"""",IF(REGEXMATCH(INDEX(FILTER(C$4:C443,C$4:C443&lt;&gt;""""),ROWS(FILTER(C$4:C443,C$4:C443&lt;&gt;""""))),""^Sell_""),INDEX(FILTER(F$4:F442,C$4:C442&lt;&gt;""""),ROWS(FILTER(C$4:C442,C$4:C442&lt;&gt;""""))),$AC$5+E443))"),"")</f>
        <v/>
      </c>
      <c r="G443" s="10" t="str">
        <f>IFERROR(__xludf.DUMMYFUNCTION("IF(COUNTA(C443:C1350)=0,"""",IF(C443="""",0,IF(REGEXMATCH(C443,""^Sell_""),-ROUNDDOWN(ROUNDUP(INDEX(Upgrades!$C$3:$C$13,MATCH(SUBSTITUTE(C443,""Sell_"",""""),Upgrades!$B$3:$B$13,0))*1.15^(COUNTIF(C$4:C442,SUBSTITUTE(C443,""Sell_"",""""))-COUNTIF(C$4:C442,"&amp;"""Sell_""&amp;SUBSTITUTE(C443,""Sell_"",""""))))/2),ROUNDUP(INDEX(Upgrades!$C$3:$C$13,MATCH(C443,Upgrades!$B$3:$B$13,0))*1.15^(COUNTIF(C$4:C442,C443)-COUNTIF(C$4:C442,""Sell_""&amp;C443))))))"),"")</f>
        <v/>
      </c>
      <c r="H443" s="10" t="str">
        <f t="shared" si="3"/>
        <v/>
      </c>
      <c r="I443" s="68" t="str">
        <f t="shared" si="4"/>
        <v/>
      </c>
      <c r="J443" s="59" t="str">
        <f t="shared" si="5"/>
        <v/>
      </c>
      <c r="K443" s="69" t="str">
        <f t="shared" si="6"/>
        <v/>
      </c>
      <c r="L443" s="60">
        <f t="shared" si="7"/>
        <v>-224.65193</v>
      </c>
      <c r="M443" s="61">
        <f>IFERROR(__xludf.DUMMYFUNCTION("IFS(AND(COUNTA(C443:C1350)=0,COUNTA(Q443:Q1350)=0),"""",OR(AND(K443&gt;=1000000000,OR(Y443&gt;=1000000000,COUNTA(Q443:Q1350)=0)),OR(Y443&gt;=1000000000,AND(COUNTA(C443:C1350)=0,P$3=TRUE))),
ROUNDDOWN((AB$1-AC$1)*MAX(INDEX(T$4:T1350,MATCH(LARGE(FILTER(Y$4:Y1350,Y$4"&amp;":Y1350&lt;1000000000),1),Y$4:Y1350)),INDEX(F$4:F1350,MATCH(LARGE(FILTER(K$4:K1350,K$4:K1350&lt;1000000000),1),K$4:K1350)))),AND(K443&lt;1000000000,COUNTA(C443:C1350)&gt;0,P$3=FALSE),
ROUNDDOWN(INDEX(Y$4:Y1350,MATCH(LARGE(FILTER(W$4:W1350,W$4:W1350&lt;=I443),1),W$4:W1350"&amp;"))+(I443-LARGE(FILTER(W$4:W1350,W$4:W1350&lt;=I443),1))*INDEX(T$4:T1350,MATCH(LARGE(FILTER(W$4:W1350,W$4:W1350&lt;=I443),1),W$4:W1350))-K443),1,
ROUNDDOWN(Y443-INDEX(K$4:K1350,MATCH(LARGE(FILTER(I$4:I1350,I$4:I1350&lt;=W443),1),I$4:I1350))-(W443-LARGE(FILTER(I$4:I"&amp;"1350,I$4:I1350&lt;=W443),1))*INDEX(F$4:F1350,MATCH(LARGE(FILTER(I$4:I1350,I$4:I1350&lt;=W443),1),I$4:I1350))))"),9.2226469E7)</f>
        <v>92226469</v>
      </c>
      <c r="N443" s="60">
        <f t="shared" si="8"/>
        <v>-224.65193</v>
      </c>
      <c r="O443" s="61" t="str">
        <f t="shared" si="9"/>
        <v>92,2M</v>
      </c>
      <c r="P443" s="56">
        <f t="shared" si="10"/>
        <v>38</v>
      </c>
      <c r="Q443" s="105" t="s">
        <v>61</v>
      </c>
      <c r="R443" s="10" t="b">
        <f>IFERROR(__xludf.DUMMYFUNCTION("IF(COUNTA(Q443:Q1350)=0,"""",IF(ISBLANK(Q443),FALSE,IF(NOT(COUNTIF($AA$24:$AA$34,SUBSTITUTE(Q443,""Sell_"",""""))),1,IF(REGEXMATCH(Q443,""Sell_""),IF(COUNTIF(Q$4:Q443,SUBSTITUTE(Q443,""Sell_"",""""))-COUNTIF(Q$4:Q442,Q443)&lt;1,1),FALSE))))"),FALSE)</f>
        <v>0</v>
      </c>
      <c r="S443" s="59">
        <f t="array" ref="S443">IF(COUNTA(Q443:Q1350)=0,"",SUM((COUNTIF(Q$4:Q443,Upgrades!$B$3:$B$13)-COUNTIF(Q$4:Q443,"Sell_"&amp;Upgrades!$B$3:$B$13))*Upgrades!$D$3:$D$13))</f>
        <v>430652.4</v>
      </c>
      <c r="T443" s="66">
        <f>IFERROR(__xludf.DUMMYFUNCTION("IF(COUNTA(Q443:Q1350)=0,"""",IF(REGEXMATCH(INDEX(FILTER(Q$4:Q443,Q$4:Q443&lt;&gt;""""),ROWS(FILTER(Q$4:Q443,Q$4:Q443&lt;&gt;""""))),""^Sell_""),INDEX(FILTER(T$4:T442,Q$4:Q442&lt;&gt;""""),ROWS(FILTER(Q$4:Q442,Q$4:Q442&lt;&gt;""""))),$AD$5+S443))"),438618.4)</f>
        <v>438618.4</v>
      </c>
      <c r="U443" s="10">
        <f>IFERROR(__xludf.DUMMYFUNCTION("IF(COUNTA(Q443:Q1350)=0,"""",IF(Q443="""",0,IF(REGEXMATCH(Q443,""^Sell_""),-ROUNDDOWN(ROUNDUP(INDEX(Upgrades!$C$3:$C$13,MATCH(SUBSTITUTE(Q443,""Sell_"",""""),Upgrades!$B$3:$B$13,0))*1.15^(COUNTIF(Q$4:Q442,SUBSTITUTE(Q443,""Sell_"",""""))-COUNTIF(Q$4:Q442,"&amp;"""Sell_""&amp;SUBSTITUTE(Q443,""Sell_"",""""))))/2),ROUNDUP(INDEX(Upgrades!$C$3:$C$13,MATCH(Q443,Upgrades!$B$3:$B$13,0))*1.15^(COUNTIF(Q$4:Q442,Q443)-COUNTIF(Q$4:Q442,""Sell_""&amp;Q443))))))"),-162741.0)</f>
        <v>-162741</v>
      </c>
      <c r="V443" s="10">
        <f t="shared" si="11"/>
        <v>-14792943</v>
      </c>
      <c r="W443" s="68">
        <f t="shared" si="12"/>
        <v>6085.8512</v>
      </c>
      <c r="X443" s="59" t="str">
        <f t="shared" si="13"/>
        <v>1h 41m 25s</v>
      </c>
      <c r="Y443" s="69">
        <f t="shared" si="14"/>
        <v>666718570</v>
      </c>
      <c r="Z443" s="11"/>
    </row>
    <row r="444">
      <c r="A444" s="8"/>
      <c r="B444" s="56" t="str">
        <f t="shared" si="2"/>
        <v/>
      </c>
      <c r="C444" s="57"/>
      <c r="D444" s="10" t="str">
        <f>IFERROR(__xludf.DUMMYFUNCTION("IF(COUNTA(C444:C1350)=0,"""",IF(ISBLANK(C444),FALSE,IF(NOT(COUNTIF($AA$24:$AA$34,SUBSTITUTE(C444,""Sell_"",""""))),1,IF(REGEXMATCH(C444,""Sell_""),IF(COUNTIF(C$4:C444,SUBSTITUTE(C444,""Sell_"",""""))-COUNTIF(C$4:C443,C444)&lt;1,1),FALSE))))"),"")</f>
        <v/>
      </c>
      <c r="E444" s="59" t="str">
        <f t="array" ref="E444">IF(COUNTA(C444:C1350)=0,"",SUM((COUNTIF(C$4:C444,Upgrades!$B$3:$B$13)-COUNTIF(C$4:C444,"Sell_"&amp;Upgrades!$B$3:$B$13))*Upgrades!$D$3:$D$13))</f>
        <v/>
      </c>
      <c r="F444" s="66" t="str">
        <f>IFERROR(__xludf.DUMMYFUNCTION("IF(COUNTA(C444:C1350)=0,"""",IF(REGEXMATCH(INDEX(FILTER(C$4:C444,C$4:C444&lt;&gt;""""),ROWS(FILTER(C$4:C444,C$4:C444&lt;&gt;""""))),""^Sell_""),INDEX(FILTER(F$4:F443,C$4:C443&lt;&gt;""""),ROWS(FILTER(C$4:C443,C$4:C443&lt;&gt;""""))),$AC$5+E444))"),"")</f>
        <v/>
      </c>
      <c r="G444" s="10" t="str">
        <f>IFERROR(__xludf.DUMMYFUNCTION("IF(COUNTA(C444:C1350)=0,"""",IF(C444="""",0,IF(REGEXMATCH(C444,""^Sell_""),-ROUNDDOWN(ROUNDUP(INDEX(Upgrades!$C$3:$C$13,MATCH(SUBSTITUTE(C444,""Sell_"",""""),Upgrades!$B$3:$B$13,0))*1.15^(COUNTIF(C$4:C443,SUBSTITUTE(C444,""Sell_"",""""))-COUNTIF(C$4:C443,"&amp;"""Sell_""&amp;SUBSTITUTE(C444,""Sell_"",""""))))/2),ROUNDUP(INDEX(Upgrades!$C$3:$C$13,MATCH(C444,Upgrades!$B$3:$B$13,0))*1.15^(COUNTIF(C$4:C443,C444)-COUNTIF(C$4:C443,""Sell_""&amp;C444))))))"),"")</f>
        <v/>
      </c>
      <c r="H444" s="10" t="str">
        <f t="shared" si="3"/>
        <v/>
      </c>
      <c r="I444" s="68" t="str">
        <f t="shared" si="4"/>
        <v/>
      </c>
      <c r="J444" s="59" t="str">
        <f t="shared" si="5"/>
        <v/>
      </c>
      <c r="K444" s="69" t="str">
        <f t="shared" si="6"/>
        <v/>
      </c>
      <c r="L444" s="60">
        <f t="shared" si="7"/>
        <v>-224.65193</v>
      </c>
      <c r="M444" s="61">
        <f>IFERROR(__xludf.DUMMYFUNCTION("IFS(AND(COUNTA(C444:C1350)=0,COUNTA(Q444:Q1350)=0),"""",OR(AND(K444&gt;=1000000000,OR(Y444&gt;=1000000000,COUNTA(Q444:Q1350)=0)),OR(Y444&gt;=1000000000,AND(COUNTA(C444:C1350)=0,P$3=TRUE))),
ROUNDDOWN((AB$1-AC$1)*MAX(INDEX(T$4:T1350,MATCH(LARGE(FILTER(Y$4:Y1350,Y$4"&amp;":Y1350&lt;1000000000),1),Y$4:Y1350)),INDEX(F$4:F1350,MATCH(LARGE(FILTER(K$4:K1350,K$4:K1350&lt;1000000000),1),K$4:K1350)))),AND(K444&lt;1000000000,COUNTA(C444:C1350)&gt;0,P$3=FALSE),
ROUNDDOWN(INDEX(Y$4:Y1350,MATCH(LARGE(FILTER(W$4:W1350,W$4:W1350&lt;=I444),1),W$4:W1350"&amp;"))+(I444-LARGE(FILTER(W$4:W1350,W$4:W1350&lt;=I444),1))*INDEX(T$4:T1350,MATCH(LARGE(FILTER(W$4:W1350,W$4:W1350&lt;=I444),1),W$4:W1350))-K444),1,
ROUNDDOWN(Y444-INDEX(K$4:K1350,MATCH(LARGE(FILTER(I$4:I1350,I$4:I1350&lt;=W444),1),I$4:I1350))-(W444-LARGE(FILTER(I$4:I"&amp;"1350,I$4:I1350&lt;=W444),1))*INDEX(F$4:F1350,MATCH(LARGE(FILTER(I$4:I1350,I$4:I1350&lt;=W444),1),I$4:I1350))))"),9.2226469E7)</f>
        <v>92226469</v>
      </c>
      <c r="N444" s="60">
        <f t="shared" si="8"/>
        <v>-224.65193</v>
      </c>
      <c r="O444" s="61" t="str">
        <f t="shared" si="9"/>
        <v>92,2M</v>
      </c>
      <c r="P444" s="56">
        <f t="shared" si="10"/>
        <v>39</v>
      </c>
      <c r="Q444" s="105" t="s">
        <v>61</v>
      </c>
      <c r="R444" s="10" t="b">
        <f>IFERROR(__xludf.DUMMYFUNCTION("IF(COUNTA(Q444:Q1350)=0,"""",IF(ISBLANK(Q444),FALSE,IF(NOT(COUNTIF($AA$24:$AA$34,SUBSTITUTE(Q444,""Sell_"",""""))),1,IF(REGEXMATCH(Q444,""Sell_""),IF(COUNTIF(Q$4:Q444,SUBSTITUTE(Q444,""Sell_"",""""))-COUNTIF(Q$4:Q443,Q444)&lt;1,1),FALSE))))"),FALSE)</f>
        <v>0</v>
      </c>
      <c r="S444" s="59">
        <f t="array" ref="S444">IF(COUNTA(Q444:Q1350)=0,"",SUM((COUNTIF(Q$4:Q444,Upgrades!$B$3:$B$13)-COUNTIF(Q$4:Q444,"Sell_"&amp;Upgrades!$B$3:$B$13))*Upgrades!$D$3:$D$13))</f>
        <v>430552.4</v>
      </c>
      <c r="T444" s="66">
        <f>IFERROR(__xludf.DUMMYFUNCTION("IF(COUNTA(Q444:Q1350)=0,"""",IF(REGEXMATCH(INDEX(FILTER(Q$4:Q444,Q$4:Q444&lt;&gt;""""),ROWS(FILTER(Q$4:Q444,Q$4:Q444&lt;&gt;""""))),""^Sell_""),INDEX(FILTER(T$4:T443,Q$4:Q443&lt;&gt;""""),ROWS(FILTER(Q$4:Q443,Q$4:Q443&lt;&gt;""""))),$AD$5+S444))"),438618.4)</f>
        <v>438618.4</v>
      </c>
      <c r="U444" s="10">
        <f>IFERROR(__xludf.DUMMYFUNCTION("IF(COUNTA(Q444:Q1350)=0,"""",IF(Q444="""",0,IF(REGEXMATCH(Q444,""^Sell_""),-ROUNDDOWN(ROUNDUP(INDEX(Upgrades!$C$3:$C$13,MATCH(SUBSTITUTE(Q444,""Sell_"",""""),Upgrades!$B$3:$B$13,0))*1.15^(COUNTIF(Q$4:Q443,SUBSTITUTE(Q444,""Sell_"",""""))-COUNTIF(Q$4:Q443,"&amp;"""Sell_""&amp;SUBSTITUTE(Q444,""Sell_"",""""))))/2),ROUNDUP(INDEX(Upgrades!$C$3:$C$13,MATCH(Q444,Upgrades!$B$3:$B$13,0))*1.15^(COUNTIF(Q$4:Q443,Q444)-COUNTIF(Q$4:Q443,""Sell_""&amp;Q444))))))"),-141514.0)</f>
        <v>-141514</v>
      </c>
      <c r="V444" s="10">
        <f t="shared" si="11"/>
        <v>-14934457</v>
      </c>
      <c r="W444" s="68">
        <f t="shared" si="12"/>
        <v>6085.8512</v>
      </c>
      <c r="X444" s="59" t="str">
        <f t="shared" si="13"/>
        <v>1h 41m 25s</v>
      </c>
      <c r="Y444" s="69">
        <f t="shared" si="14"/>
        <v>666718570</v>
      </c>
      <c r="Z444" s="11"/>
    </row>
    <row r="445">
      <c r="A445" s="8"/>
      <c r="B445" s="56" t="str">
        <f t="shared" si="2"/>
        <v/>
      </c>
      <c r="C445" s="57"/>
      <c r="D445" s="10" t="str">
        <f>IFERROR(__xludf.DUMMYFUNCTION("IF(COUNTA(C445:C1350)=0,"""",IF(ISBLANK(C445),FALSE,IF(NOT(COUNTIF($AA$24:$AA$34,SUBSTITUTE(C445,""Sell_"",""""))),1,IF(REGEXMATCH(C445,""Sell_""),IF(COUNTIF(C$4:C445,SUBSTITUTE(C445,""Sell_"",""""))-COUNTIF(C$4:C444,C445)&lt;1,1),FALSE))))"),"")</f>
        <v/>
      </c>
      <c r="E445" s="59" t="str">
        <f t="array" ref="E445">IF(COUNTA(C445:C1350)=0,"",SUM((COUNTIF(C$4:C445,Upgrades!$B$3:$B$13)-COUNTIF(C$4:C445,"Sell_"&amp;Upgrades!$B$3:$B$13))*Upgrades!$D$3:$D$13))</f>
        <v/>
      </c>
      <c r="F445" s="66" t="str">
        <f>IFERROR(__xludf.DUMMYFUNCTION("IF(COUNTA(C445:C1350)=0,"""",IF(REGEXMATCH(INDEX(FILTER(C$4:C445,C$4:C445&lt;&gt;""""),ROWS(FILTER(C$4:C445,C$4:C445&lt;&gt;""""))),""^Sell_""),INDEX(FILTER(F$4:F444,C$4:C444&lt;&gt;""""),ROWS(FILTER(C$4:C444,C$4:C444&lt;&gt;""""))),$AC$5+E445))"),"")</f>
        <v/>
      </c>
      <c r="G445" s="10" t="str">
        <f>IFERROR(__xludf.DUMMYFUNCTION("IF(COUNTA(C445:C1350)=0,"""",IF(C445="""",0,IF(REGEXMATCH(C445,""^Sell_""),-ROUNDDOWN(ROUNDUP(INDEX(Upgrades!$C$3:$C$13,MATCH(SUBSTITUTE(C445,""Sell_"",""""),Upgrades!$B$3:$B$13,0))*1.15^(COUNTIF(C$4:C444,SUBSTITUTE(C445,""Sell_"",""""))-COUNTIF(C$4:C444,"&amp;"""Sell_""&amp;SUBSTITUTE(C445,""Sell_"",""""))))/2),ROUNDUP(INDEX(Upgrades!$C$3:$C$13,MATCH(C445,Upgrades!$B$3:$B$13,0))*1.15^(COUNTIF(C$4:C444,C445)-COUNTIF(C$4:C444,""Sell_""&amp;C445))))))"),"")</f>
        <v/>
      </c>
      <c r="H445" s="10" t="str">
        <f t="shared" si="3"/>
        <v/>
      </c>
      <c r="I445" s="68" t="str">
        <f t="shared" si="4"/>
        <v/>
      </c>
      <c r="J445" s="59" t="str">
        <f t="shared" si="5"/>
        <v/>
      </c>
      <c r="K445" s="69" t="str">
        <f t="shared" si="6"/>
        <v/>
      </c>
      <c r="L445" s="60">
        <f t="shared" si="7"/>
        <v>-224.65193</v>
      </c>
      <c r="M445" s="61">
        <f>IFERROR(__xludf.DUMMYFUNCTION("IFS(AND(COUNTA(C445:C1350)=0,COUNTA(Q445:Q1350)=0),"""",OR(AND(K445&gt;=1000000000,OR(Y445&gt;=1000000000,COUNTA(Q445:Q1350)=0)),OR(Y445&gt;=1000000000,AND(COUNTA(C445:C1350)=0,P$3=TRUE))),
ROUNDDOWN((AB$1-AC$1)*MAX(INDEX(T$4:T1350,MATCH(LARGE(FILTER(Y$4:Y1350,Y$4"&amp;":Y1350&lt;1000000000),1),Y$4:Y1350)),INDEX(F$4:F1350,MATCH(LARGE(FILTER(K$4:K1350,K$4:K1350&lt;1000000000),1),K$4:K1350)))),AND(K445&lt;1000000000,COUNTA(C445:C1350)&gt;0,P$3=FALSE),
ROUNDDOWN(INDEX(Y$4:Y1350,MATCH(LARGE(FILTER(W$4:W1350,W$4:W1350&lt;=I445),1),W$4:W1350"&amp;"))+(I445-LARGE(FILTER(W$4:W1350,W$4:W1350&lt;=I445),1))*INDEX(T$4:T1350,MATCH(LARGE(FILTER(W$4:W1350,W$4:W1350&lt;=I445),1),W$4:W1350))-K445),1,
ROUNDDOWN(Y445-INDEX(K$4:K1350,MATCH(LARGE(FILTER(I$4:I1350,I$4:I1350&lt;=W445),1),I$4:I1350))-(W445-LARGE(FILTER(I$4:I"&amp;"1350,I$4:I1350&lt;=W445),1))*INDEX(F$4:F1350,MATCH(LARGE(FILTER(I$4:I1350,I$4:I1350&lt;=W445),1),I$4:I1350))))"),9.2226469E7)</f>
        <v>92226469</v>
      </c>
      <c r="N445" s="60">
        <f t="shared" si="8"/>
        <v>-224.65193</v>
      </c>
      <c r="O445" s="61" t="str">
        <f t="shared" si="9"/>
        <v>92,2M</v>
      </c>
      <c r="P445" s="56">
        <f t="shared" si="10"/>
        <v>40</v>
      </c>
      <c r="Q445" s="105" t="s">
        <v>61</v>
      </c>
      <c r="R445" s="10" t="b">
        <f>IFERROR(__xludf.DUMMYFUNCTION("IF(COUNTA(Q445:Q1350)=0,"""",IF(ISBLANK(Q445),FALSE,IF(NOT(COUNTIF($AA$24:$AA$34,SUBSTITUTE(Q445,""Sell_"",""""))),1,IF(REGEXMATCH(Q445,""Sell_""),IF(COUNTIF(Q$4:Q445,SUBSTITUTE(Q445,""Sell_"",""""))-COUNTIF(Q$4:Q444,Q445)&lt;1,1),FALSE))))"),FALSE)</f>
        <v>0</v>
      </c>
      <c r="S445" s="59">
        <f t="array" ref="S445">IF(COUNTA(Q445:Q1350)=0,"",SUM((COUNTIF(Q$4:Q445,Upgrades!$B$3:$B$13)-COUNTIF(Q$4:Q445,"Sell_"&amp;Upgrades!$B$3:$B$13))*Upgrades!$D$3:$D$13))</f>
        <v>430452.4</v>
      </c>
      <c r="T445" s="66">
        <f>IFERROR(__xludf.DUMMYFUNCTION("IF(COUNTA(Q445:Q1350)=0,"""",IF(REGEXMATCH(INDEX(FILTER(Q$4:Q445,Q$4:Q445&lt;&gt;""""),ROWS(FILTER(Q$4:Q445,Q$4:Q445&lt;&gt;""""))),""^Sell_""),INDEX(FILTER(T$4:T444,Q$4:Q444&lt;&gt;""""),ROWS(FILTER(Q$4:Q444,Q$4:Q444&lt;&gt;""""))),$AD$5+S445))"),438618.4)</f>
        <v>438618.4</v>
      </c>
      <c r="U445" s="10">
        <f>IFERROR(__xludf.DUMMYFUNCTION("IF(COUNTA(Q445:Q1350)=0,"""",IF(Q445="""",0,IF(REGEXMATCH(Q445,""^Sell_""),-ROUNDDOWN(ROUNDUP(INDEX(Upgrades!$C$3:$C$13,MATCH(SUBSTITUTE(Q445,""Sell_"",""""),Upgrades!$B$3:$B$13,0))*1.15^(COUNTIF(Q$4:Q444,SUBSTITUTE(Q445,""Sell_"",""""))-COUNTIF(Q$4:Q444,"&amp;"""Sell_""&amp;SUBSTITUTE(Q445,""Sell_"",""""))))/2),ROUNDUP(INDEX(Upgrades!$C$3:$C$13,MATCH(Q445,Upgrades!$B$3:$B$13,0))*1.15^(COUNTIF(Q$4:Q444,Q445)-COUNTIF(Q$4:Q444,""Sell_""&amp;Q445))))))"),-123056.0)</f>
        <v>-123056</v>
      </c>
      <c r="V445" s="10">
        <f t="shared" si="11"/>
        <v>-15057513</v>
      </c>
      <c r="W445" s="68">
        <f t="shared" si="12"/>
        <v>6085.8512</v>
      </c>
      <c r="X445" s="59" t="str">
        <f t="shared" si="13"/>
        <v>1h 41m 25s</v>
      </c>
      <c r="Y445" s="69">
        <f t="shared" si="14"/>
        <v>666718570</v>
      </c>
      <c r="Z445" s="11"/>
    </row>
    <row r="446">
      <c r="A446" s="8"/>
      <c r="B446" s="56" t="str">
        <f t="shared" si="2"/>
        <v/>
      </c>
      <c r="C446" s="57"/>
      <c r="D446" s="10" t="str">
        <f>IFERROR(__xludf.DUMMYFUNCTION("IF(COUNTA(C446:C1350)=0,"""",IF(ISBLANK(C446),FALSE,IF(NOT(COUNTIF($AA$24:$AA$34,SUBSTITUTE(C446,""Sell_"",""""))),1,IF(REGEXMATCH(C446,""Sell_""),IF(COUNTIF(C$4:C446,SUBSTITUTE(C446,""Sell_"",""""))-COUNTIF(C$4:C445,C446)&lt;1,1),FALSE))))"),"")</f>
        <v/>
      </c>
      <c r="E446" s="59" t="str">
        <f t="array" ref="E446">IF(COUNTA(C446:C1350)=0,"",SUM((COUNTIF(C$4:C446,Upgrades!$B$3:$B$13)-COUNTIF(C$4:C446,"Sell_"&amp;Upgrades!$B$3:$B$13))*Upgrades!$D$3:$D$13))</f>
        <v/>
      </c>
      <c r="F446" s="66" t="str">
        <f>IFERROR(__xludf.DUMMYFUNCTION("IF(COUNTA(C446:C1350)=0,"""",IF(REGEXMATCH(INDEX(FILTER(C$4:C446,C$4:C446&lt;&gt;""""),ROWS(FILTER(C$4:C446,C$4:C446&lt;&gt;""""))),""^Sell_""),INDEX(FILTER(F$4:F445,C$4:C445&lt;&gt;""""),ROWS(FILTER(C$4:C445,C$4:C445&lt;&gt;""""))),$AC$5+E446))"),"")</f>
        <v/>
      </c>
      <c r="G446" s="10" t="str">
        <f>IFERROR(__xludf.DUMMYFUNCTION("IF(COUNTA(C446:C1350)=0,"""",IF(C446="""",0,IF(REGEXMATCH(C446,""^Sell_""),-ROUNDDOWN(ROUNDUP(INDEX(Upgrades!$C$3:$C$13,MATCH(SUBSTITUTE(C446,""Sell_"",""""),Upgrades!$B$3:$B$13,0))*1.15^(COUNTIF(C$4:C445,SUBSTITUTE(C446,""Sell_"",""""))-COUNTIF(C$4:C445,"&amp;"""Sell_""&amp;SUBSTITUTE(C446,""Sell_"",""""))))/2),ROUNDUP(INDEX(Upgrades!$C$3:$C$13,MATCH(C446,Upgrades!$B$3:$B$13,0))*1.15^(COUNTIF(C$4:C445,C446)-COUNTIF(C$4:C445,""Sell_""&amp;C446))))))"),"")</f>
        <v/>
      </c>
      <c r="H446" s="10" t="str">
        <f t="shared" si="3"/>
        <v/>
      </c>
      <c r="I446" s="68" t="str">
        <f t="shared" si="4"/>
        <v/>
      </c>
      <c r="J446" s="59" t="str">
        <f t="shared" si="5"/>
        <v/>
      </c>
      <c r="K446" s="69" t="str">
        <f t="shared" si="6"/>
        <v/>
      </c>
      <c r="L446" s="60">
        <f t="shared" si="7"/>
        <v>-224.65193</v>
      </c>
      <c r="M446" s="61">
        <f>IFERROR(__xludf.DUMMYFUNCTION("IFS(AND(COUNTA(C446:C1350)=0,COUNTA(Q446:Q1350)=0),"""",OR(AND(K446&gt;=1000000000,OR(Y446&gt;=1000000000,COUNTA(Q446:Q1350)=0)),OR(Y446&gt;=1000000000,AND(COUNTA(C446:C1350)=0,P$3=TRUE))),
ROUNDDOWN((AB$1-AC$1)*MAX(INDEX(T$4:T1350,MATCH(LARGE(FILTER(Y$4:Y1350,Y$4"&amp;":Y1350&lt;1000000000),1),Y$4:Y1350)),INDEX(F$4:F1350,MATCH(LARGE(FILTER(K$4:K1350,K$4:K1350&lt;1000000000),1),K$4:K1350)))),AND(K446&lt;1000000000,COUNTA(C446:C1350)&gt;0,P$3=FALSE),
ROUNDDOWN(INDEX(Y$4:Y1350,MATCH(LARGE(FILTER(W$4:W1350,W$4:W1350&lt;=I446),1),W$4:W1350"&amp;"))+(I446-LARGE(FILTER(W$4:W1350,W$4:W1350&lt;=I446),1))*INDEX(T$4:T1350,MATCH(LARGE(FILTER(W$4:W1350,W$4:W1350&lt;=I446),1),W$4:W1350))-K446),1,
ROUNDDOWN(Y446-INDEX(K$4:K1350,MATCH(LARGE(FILTER(I$4:I1350,I$4:I1350&lt;=W446),1),I$4:I1350))-(W446-LARGE(FILTER(I$4:I"&amp;"1350,I$4:I1350&lt;=W446),1))*INDEX(F$4:F1350,MATCH(LARGE(FILTER(I$4:I1350,I$4:I1350&lt;=W446),1),I$4:I1350))))"),9.2226469E7)</f>
        <v>92226469</v>
      </c>
      <c r="N446" s="60">
        <f t="shared" si="8"/>
        <v>-224.65193</v>
      </c>
      <c r="O446" s="61" t="str">
        <f t="shared" si="9"/>
        <v>92,2M</v>
      </c>
      <c r="P446" s="56">
        <f t="shared" si="10"/>
        <v>41</v>
      </c>
      <c r="Q446" s="105" t="s">
        <v>61</v>
      </c>
      <c r="R446" s="10" t="b">
        <f>IFERROR(__xludf.DUMMYFUNCTION("IF(COUNTA(Q446:Q1350)=0,"""",IF(ISBLANK(Q446),FALSE,IF(NOT(COUNTIF($AA$24:$AA$34,SUBSTITUTE(Q446,""Sell_"",""""))),1,IF(REGEXMATCH(Q446,""Sell_""),IF(COUNTIF(Q$4:Q446,SUBSTITUTE(Q446,""Sell_"",""""))-COUNTIF(Q$4:Q445,Q446)&lt;1,1),FALSE))))"),FALSE)</f>
        <v>0</v>
      </c>
      <c r="S446" s="59">
        <f t="array" ref="S446">IF(COUNTA(Q446:Q1350)=0,"",SUM((COUNTIF(Q$4:Q446,Upgrades!$B$3:$B$13)-COUNTIF(Q$4:Q446,"Sell_"&amp;Upgrades!$B$3:$B$13))*Upgrades!$D$3:$D$13))</f>
        <v>430352.4</v>
      </c>
      <c r="T446" s="66">
        <f>IFERROR(__xludf.DUMMYFUNCTION("IF(COUNTA(Q446:Q1350)=0,"""",IF(REGEXMATCH(INDEX(FILTER(Q$4:Q446,Q$4:Q446&lt;&gt;""""),ROWS(FILTER(Q$4:Q446,Q$4:Q446&lt;&gt;""""))),""^Sell_""),INDEX(FILTER(T$4:T445,Q$4:Q445&lt;&gt;""""),ROWS(FILTER(Q$4:Q445,Q$4:Q445&lt;&gt;""""))),$AD$5+S446))"),438618.4)</f>
        <v>438618.4</v>
      </c>
      <c r="U446" s="10">
        <f>IFERROR(__xludf.DUMMYFUNCTION("IF(COUNTA(Q446:Q1350)=0,"""",IF(Q446="""",0,IF(REGEXMATCH(Q446,""^Sell_""),-ROUNDDOWN(ROUNDUP(INDEX(Upgrades!$C$3:$C$13,MATCH(SUBSTITUTE(Q446,""Sell_"",""""),Upgrades!$B$3:$B$13,0))*1.15^(COUNTIF(Q$4:Q445,SUBSTITUTE(Q446,""Sell_"",""""))-COUNTIF(Q$4:Q445,"&amp;"""Sell_""&amp;SUBSTITUTE(Q446,""Sell_"",""""))))/2),ROUNDUP(INDEX(Upgrades!$C$3:$C$13,MATCH(Q446,Upgrades!$B$3:$B$13,0))*1.15^(COUNTIF(Q$4:Q445,Q446)-COUNTIF(Q$4:Q445,""Sell_""&amp;Q446))))))"),-107005.0)</f>
        <v>-107005</v>
      </c>
      <c r="V446" s="10">
        <f t="shared" si="11"/>
        <v>-15164518</v>
      </c>
      <c r="W446" s="68">
        <f t="shared" si="12"/>
        <v>6085.8512</v>
      </c>
      <c r="X446" s="59" t="str">
        <f t="shared" si="13"/>
        <v>1h 41m 25s</v>
      </c>
      <c r="Y446" s="69">
        <f t="shared" si="14"/>
        <v>666718570</v>
      </c>
      <c r="Z446" s="11"/>
    </row>
    <row r="447">
      <c r="A447" s="8"/>
      <c r="B447" s="56" t="str">
        <f t="shared" si="2"/>
        <v/>
      </c>
      <c r="C447" s="57"/>
      <c r="D447" s="10" t="str">
        <f>IFERROR(__xludf.DUMMYFUNCTION("IF(COUNTA(C447:C1350)=0,"""",IF(ISBLANK(C447),FALSE,IF(NOT(COUNTIF($AA$24:$AA$34,SUBSTITUTE(C447,""Sell_"",""""))),1,IF(REGEXMATCH(C447,""Sell_""),IF(COUNTIF(C$4:C447,SUBSTITUTE(C447,""Sell_"",""""))-COUNTIF(C$4:C446,C447)&lt;1,1),FALSE))))"),"")</f>
        <v/>
      </c>
      <c r="E447" s="59" t="str">
        <f t="array" ref="E447">IF(COUNTA(C447:C1350)=0,"",SUM((COUNTIF(C$4:C447,Upgrades!$B$3:$B$13)-COUNTIF(C$4:C447,"Sell_"&amp;Upgrades!$B$3:$B$13))*Upgrades!$D$3:$D$13))</f>
        <v/>
      </c>
      <c r="F447" s="66" t="str">
        <f>IFERROR(__xludf.DUMMYFUNCTION("IF(COUNTA(C447:C1350)=0,"""",IF(REGEXMATCH(INDEX(FILTER(C$4:C447,C$4:C447&lt;&gt;""""),ROWS(FILTER(C$4:C447,C$4:C447&lt;&gt;""""))),""^Sell_""),INDEX(FILTER(F$4:F446,C$4:C446&lt;&gt;""""),ROWS(FILTER(C$4:C446,C$4:C446&lt;&gt;""""))),$AC$5+E447))"),"")</f>
        <v/>
      </c>
      <c r="G447" s="10" t="str">
        <f>IFERROR(__xludf.DUMMYFUNCTION("IF(COUNTA(C447:C1350)=0,"""",IF(C447="""",0,IF(REGEXMATCH(C447,""^Sell_""),-ROUNDDOWN(ROUNDUP(INDEX(Upgrades!$C$3:$C$13,MATCH(SUBSTITUTE(C447,""Sell_"",""""),Upgrades!$B$3:$B$13,0))*1.15^(COUNTIF(C$4:C446,SUBSTITUTE(C447,""Sell_"",""""))-COUNTIF(C$4:C446,"&amp;"""Sell_""&amp;SUBSTITUTE(C447,""Sell_"",""""))))/2),ROUNDUP(INDEX(Upgrades!$C$3:$C$13,MATCH(C447,Upgrades!$B$3:$B$13,0))*1.15^(COUNTIF(C$4:C446,C447)-COUNTIF(C$4:C446,""Sell_""&amp;C447))))))"),"")</f>
        <v/>
      </c>
      <c r="H447" s="10" t="str">
        <f t="shared" si="3"/>
        <v/>
      </c>
      <c r="I447" s="68" t="str">
        <f t="shared" si="4"/>
        <v/>
      </c>
      <c r="J447" s="59" t="str">
        <f t="shared" si="5"/>
        <v/>
      </c>
      <c r="K447" s="69" t="str">
        <f t="shared" si="6"/>
        <v/>
      </c>
      <c r="L447" s="60">
        <f t="shared" si="7"/>
        <v>-224.65193</v>
      </c>
      <c r="M447" s="61">
        <f>IFERROR(__xludf.DUMMYFUNCTION("IFS(AND(COUNTA(C447:C1350)=0,COUNTA(Q447:Q1350)=0),"""",OR(AND(K447&gt;=1000000000,OR(Y447&gt;=1000000000,COUNTA(Q447:Q1350)=0)),OR(Y447&gt;=1000000000,AND(COUNTA(C447:C1350)=0,P$3=TRUE))),
ROUNDDOWN((AB$1-AC$1)*MAX(INDEX(T$4:T1350,MATCH(LARGE(FILTER(Y$4:Y1350,Y$4"&amp;":Y1350&lt;1000000000),1),Y$4:Y1350)),INDEX(F$4:F1350,MATCH(LARGE(FILTER(K$4:K1350,K$4:K1350&lt;1000000000),1),K$4:K1350)))),AND(K447&lt;1000000000,COUNTA(C447:C1350)&gt;0,P$3=FALSE),
ROUNDDOWN(INDEX(Y$4:Y1350,MATCH(LARGE(FILTER(W$4:W1350,W$4:W1350&lt;=I447),1),W$4:W1350"&amp;"))+(I447-LARGE(FILTER(W$4:W1350,W$4:W1350&lt;=I447),1))*INDEX(T$4:T1350,MATCH(LARGE(FILTER(W$4:W1350,W$4:W1350&lt;=I447),1),W$4:W1350))-K447),1,
ROUNDDOWN(Y447-INDEX(K$4:K1350,MATCH(LARGE(FILTER(I$4:I1350,I$4:I1350&lt;=W447),1),I$4:I1350))-(W447-LARGE(FILTER(I$4:I"&amp;"1350,I$4:I1350&lt;=W447),1))*INDEX(F$4:F1350,MATCH(LARGE(FILTER(I$4:I1350,I$4:I1350&lt;=W447),1),I$4:I1350))))"),9.2226469E7)</f>
        <v>92226469</v>
      </c>
      <c r="N447" s="60">
        <f t="shared" si="8"/>
        <v>-224.65193</v>
      </c>
      <c r="O447" s="61" t="str">
        <f t="shared" si="9"/>
        <v>92,2M</v>
      </c>
      <c r="P447" s="56">
        <f t="shared" si="10"/>
        <v>42</v>
      </c>
      <c r="Q447" s="105" t="s">
        <v>61</v>
      </c>
      <c r="R447" s="10" t="b">
        <f>IFERROR(__xludf.DUMMYFUNCTION("IF(COUNTA(Q447:Q1350)=0,"""",IF(ISBLANK(Q447),FALSE,IF(NOT(COUNTIF($AA$24:$AA$34,SUBSTITUTE(Q447,""Sell_"",""""))),1,IF(REGEXMATCH(Q447,""Sell_""),IF(COUNTIF(Q$4:Q447,SUBSTITUTE(Q447,""Sell_"",""""))-COUNTIF(Q$4:Q446,Q447)&lt;1,1),FALSE))))"),FALSE)</f>
        <v>0</v>
      </c>
      <c r="S447" s="59">
        <f t="array" ref="S447">IF(COUNTA(Q447:Q1350)=0,"",SUM((COUNTIF(Q$4:Q447,Upgrades!$B$3:$B$13)-COUNTIF(Q$4:Q447,"Sell_"&amp;Upgrades!$B$3:$B$13))*Upgrades!$D$3:$D$13))</f>
        <v>430252.4</v>
      </c>
      <c r="T447" s="66">
        <f>IFERROR(__xludf.DUMMYFUNCTION("IF(COUNTA(Q447:Q1350)=0,"""",IF(REGEXMATCH(INDEX(FILTER(Q$4:Q447,Q$4:Q447&lt;&gt;""""),ROWS(FILTER(Q$4:Q447,Q$4:Q447&lt;&gt;""""))),""^Sell_""),INDEX(FILTER(T$4:T446,Q$4:Q446&lt;&gt;""""),ROWS(FILTER(Q$4:Q446,Q$4:Q446&lt;&gt;""""))),$AD$5+S447))"),438618.4)</f>
        <v>438618.4</v>
      </c>
      <c r="U447" s="10">
        <f>IFERROR(__xludf.DUMMYFUNCTION("IF(COUNTA(Q447:Q1350)=0,"""",IF(Q447="""",0,IF(REGEXMATCH(Q447,""^Sell_""),-ROUNDDOWN(ROUNDUP(INDEX(Upgrades!$C$3:$C$13,MATCH(SUBSTITUTE(Q447,""Sell_"",""""),Upgrades!$B$3:$B$13,0))*1.15^(COUNTIF(Q$4:Q446,SUBSTITUTE(Q447,""Sell_"",""""))-COUNTIF(Q$4:Q446,"&amp;"""Sell_""&amp;SUBSTITUTE(Q447,""Sell_"",""""))))/2),ROUNDUP(INDEX(Upgrades!$C$3:$C$13,MATCH(Q447,Upgrades!$B$3:$B$13,0))*1.15^(COUNTIF(Q$4:Q446,Q447)-COUNTIF(Q$4:Q446,""Sell_""&amp;Q447))))))"),-93048.0)</f>
        <v>-93048</v>
      </c>
      <c r="V447" s="10">
        <f t="shared" si="11"/>
        <v>-15257566</v>
      </c>
      <c r="W447" s="68">
        <f t="shared" si="12"/>
        <v>6085.8512</v>
      </c>
      <c r="X447" s="59" t="str">
        <f t="shared" si="13"/>
        <v>1h 41m 25s</v>
      </c>
      <c r="Y447" s="69">
        <f t="shared" si="14"/>
        <v>666718570</v>
      </c>
      <c r="Z447" s="11"/>
    </row>
    <row r="448">
      <c r="A448" s="8"/>
      <c r="B448" s="56" t="str">
        <f t="shared" si="2"/>
        <v/>
      </c>
      <c r="C448" s="57"/>
      <c r="D448" s="10" t="str">
        <f>IFERROR(__xludf.DUMMYFUNCTION("IF(COUNTA(C448:C1350)=0,"""",IF(ISBLANK(C448),FALSE,IF(NOT(COUNTIF($AA$24:$AA$34,SUBSTITUTE(C448,""Sell_"",""""))),1,IF(REGEXMATCH(C448,""Sell_""),IF(COUNTIF(C$4:C448,SUBSTITUTE(C448,""Sell_"",""""))-COUNTIF(C$4:C447,C448)&lt;1,1),FALSE))))"),"")</f>
        <v/>
      </c>
      <c r="E448" s="59" t="str">
        <f t="array" ref="E448">IF(COUNTA(C448:C1350)=0,"",SUM((COUNTIF(C$4:C448,Upgrades!$B$3:$B$13)-COUNTIF(C$4:C448,"Sell_"&amp;Upgrades!$B$3:$B$13))*Upgrades!$D$3:$D$13))</f>
        <v/>
      </c>
      <c r="F448" s="66" t="str">
        <f>IFERROR(__xludf.DUMMYFUNCTION("IF(COUNTA(C448:C1350)=0,"""",IF(REGEXMATCH(INDEX(FILTER(C$4:C448,C$4:C448&lt;&gt;""""),ROWS(FILTER(C$4:C448,C$4:C448&lt;&gt;""""))),""^Sell_""),INDEX(FILTER(F$4:F447,C$4:C447&lt;&gt;""""),ROWS(FILTER(C$4:C447,C$4:C447&lt;&gt;""""))),$AC$5+E448))"),"")</f>
        <v/>
      </c>
      <c r="G448" s="10" t="str">
        <f>IFERROR(__xludf.DUMMYFUNCTION("IF(COUNTA(C448:C1350)=0,"""",IF(C448="""",0,IF(REGEXMATCH(C448,""^Sell_""),-ROUNDDOWN(ROUNDUP(INDEX(Upgrades!$C$3:$C$13,MATCH(SUBSTITUTE(C448,""Sell_"",""""),Upgrades!$B$3:$B$13,0))*1.15^(COUNTIF(C$4:C447,SUBSTITUTE(C448,""Sell_"",""""))-COUNTIF(C$4:C447,"&amp;"""Sell_""&amp;SUBSTITUTE(C448,""Sell_"",""""))))/2),ROUNDUP(INDEX(Upgrades!$C$3:$C$13,MATCH(C448,Upgrades!$B$3:$B$13,0))*1.15^(COUNTIF(C$4:C447,C448)-COUNTIF(C$4:C447,""Sell_""&amp;C448))))))"),"")</f>
        <v/>
      </c>
      <c r="H448" s="10" t="str">
        <f t="shared" si="3"/>
        <v/>
      </c>
      <c r="I448" s="68" t="str">
        <f t="shared" si="4"/>
        <v/>
      </c>
      <c r="J448" s="59" t="str">
        <f t="shared" si="5"/>
        <v/>
      </c>
      <c r="K448" s="69" t="str">
        <f t="shared" si="6"/>
        <v/>
      </c>
      <c r="L448" s="60">
        <f t="shared" si="7"/>
        <v>-224.65193</v>
      </c>
      <c r="M448" s="61">
        <f>IFERROR(__xludf.DUMMYFUNCTION("IFS(AND(COUNTA(C448:C1350)=0,COUNTA(Q448:Q1350)=0),"""",OR(AND(K448&gt;=1000000000,OR(Y448&gt;=1000000000,COUNTA(Q448:Q1350)=0)),OR(Y448&gt;=1000000000,AND(COUNTA(C448:C1350)=0,P$3=TRUE))),
ROUNDDOWN((AB$1-AC$1)*MAX(INDEX(T$4:T1350,MATCH(LARGE(FILTER(Y$4:Y1350,Y$4"&amp;":Y1350&lt;1000000000),1),Y$4:Y1350)),INDEX(F$4:F1350,MATCH(LARGE(FILTER(K$4:K1350,K$4:K1350&lt;1000000000),1),K$4:K1350)))),AND(K448&lt;1000000000,COUNTA(C448:C1350)&gt;0,P$3=FALSE),
ROUNDDOWN(INDEX(Y$4:Y1350,MATCH(LARGE(FILTER(W$4:W1350,W$4:W1350&lt;=I448),1),W$4:W1350"&amp;"))+(I448-LARGE(FILTER(W$4:W1350,W$4:W1350&lt;=I448),1))*INDEX(T$4:T1350,MATCH(LARGE(FILTER(W$4:W1350,W$4:W1350&lt;=I448),1),W$4:W1350))-K448),1,
ROUNDDOWN(Y448-INDEX(K$4:K1350,MATCH(LARGE(FILTER(I$4:I1350,I$4:I1350&lt;=W448),1),I$4:I1350))-(W448-LARGE(FILTER(I$4:I"&amp;"1350,I$4:I1350&lt;=W448),1))*INDEX(F$4:F1350,MATCH(LARGE(FILTER(I$4:I1350,I$4:I1350&lt;=W448),1),I$4:I1350))))"),9.2226469E7)</f>
        <v>92226469</v>
      </c>
      <c r="N448" s="60">
        <f t="shared" si="8"/>
        <v>-224.65193</v>
      </c>
      <c r="O448" s="61" t="str">
        <f t="shared" si="9"/>
        <v>92,2M</v>
      </c>
      <c r="P448" s="56">
        <f t="shared" si="10"/>
        <v>43</v>
      </c>
      <c r="Q448" s="105" t="s">
        <v>61</v>
      </c>
      <c r="R448" s="10" t="b">
        <f>IFERROR(__xludf.DUMMYFUNCTION("IF(COUNTA(Q448:Q1350)=0,"""",IF(ISBLANK(Q448),FALSE,IF(NOT(COUNTIF($AA$24:$AA$34,SUBSTITUTE(Q448,""Sell_"",""""))),1,IF(REGEXMATCH(Q448,""Sell_""),IF(COUNTIF(Q$4:Q448,SUBSTITUTE(Q448,""Sell_"",""""))-COUNTIF(Q$4:Q447,Q448)&lt;1,1),FALSE))))"),FALSE)</f>
        <v>0</v>
      </c>
      <c r="S448" s="59">
        <f t="array" ref="S448">IF(COUNTA(Q448:Q1350)=0,"",SUM((COUNTIF(Q$4:Q448,Upgrades!$B$3:$B$13)-COUNTIF(Q$4:Q448,"Sell_"&amp;Upgrades!$B$3:$B$13))*Upgrades!$D$3:$D$13))</f>
        <v>430152.4</v>
      </c>
      <c r="T448" s="66">
        <f>IFERROR(__xludf.DUMMYFUNCTION("IF(COUNTA(Q448:Q1350)=0,"""",IF(REGEXMATCH(INDEX(FILTER(Q$4:Q448,Q$4:Q448&lt;&gt;""""),ROWS(FILTER(Q$4:Q448,Q$4:Q448&lt;&gt;""""))),""^Sell_""),INDEX(FILTER(T$4:T447,Q$4:Q447&lt;&gt;""""),ROWS(FILTER(Q$4:Q447,Q$4:Q447&lt;&gt;""""))),$AD$5+S448))"),438618.4)</f>
        <v>438618.4</v>
      </c>
      <c r="U448" s="10">
        <f>IFERROR(__xludf.DUMMYFUNCTION("IF(COUNTA(Q448:Q1350)=0,"""",IF(Q448="""",0,IF(REGEXMATCH(Q448,""^Sell_""),-ROUNDDOWN(ROUNDUP(INDEX(Upgrades!$C$3:$C$13,MATCH(SUBSTITUTE(Q448,""Sell_"",""""),Upgrades!$B$3:$B$13,0))*1.15^(COUNTIF(Q$4:Q447,SUBSTITUTE(Q448,""Sell_"",""""))-COUNTIF(Q$4:Q447,"&amp;"""Sell_""&amp;SUBSTITUTE(Q448,""Sell_"",""""))))/2),ROUNDUP(INDEX(Upgrades!$C$3:$C$13,MATCH(Q448,Upgrades!$B$3:$B$13,0))*1.15^(COUNTIF(Q$4:Q447,Q448)-COUNTIF(Q$4:Q447,""Sell_""&amp;Q448))))))"),-80911.0)</f>
        <v>-80911</v>
      </c>
      <c r="V448" s="10">
        <f t="shared" si="11"/>
        <v>-15338477</v>
      </c>
      <c r="W448" s="68">
        <f t="shared" si="12"/>
        <v>6085.8512</v>
      </c>
      <c r="X448" s="59" t="str">
        <f t="shared" si="13"/>
        <v>1h 41m 25s</v>
      </c>
      <c r="Y448" s="69">
        <f t="shared" si="14"/>
        <v>666718570</v>
      </c>
      <c r="Z448" s="11"/>
    </row>
    <row r="449">
      <c r="A449" s="8"/>
      <c r="B449" s="56" t="str">
        <f t="shared" si="2"/>
        <v/>
      </c>
      <c r="C449" s="57"/>
      <c r="D449" s="10" t="str">
        <f>IFERROR(__xludf.DUMMYFUNCTION("IF(COUNTA(C449:C1350)=0,"""",IF(ISBLANK(C449),FALSE,IF(NOT(COUNTIF($AA$24:$AA$34,SUBSTITUTE(C449,""Sell_"",""""))),1,IF(REGEXMATCH(C449,""Sell_""),IF(COUNTIF(C$4:C449,SUBSTITUTE(C449,""Sell_"",""""))-COUNTIF(C$4:C448,C449)&lt;1,1),FALSE))))"),"")</f>
        <v/>
      </c>
      <c r="E449" s="59" t="str">
        <f t="array" ref="E449">IF(COUNTA(C449:C1350)=0,"",SUM((COUNTIF(C$4:C449,Upgrades!$B$3:$B$13)-COUNTIF(C$4:C449,"Sell_"&amp;Upgrades!$B$3:$B$13))*Upgrades!$D$3:$D$13))</f>
        <v/>
      </c>
      <c r="F449" s="66" t="str">
        <f>IFERROR(__xludf.DUMMYFUNCTION("IF(COUNTA(C449:C1350)=0,"""",IF(REGEXMATCH(INDEX(FILTER(C$4:C449,C$4:C449&lt;&gt;""""),ROWS(FILTER(C$4:C449,C$4:C449&lt;&gt;""""))),""^Sell_""),INDEX(FILTER(F$4:F448,C$4:C448&lt;&gt;""""),ROWS(FILTER(C$4:C448,C$4:C448&lt;&gt;""""))),$AC$5+E449))"),"")</f>
        <v/>
      </c>
      <c r="G449" s="10" t="str">
        <f>IFERROR(__xludf.DUMMYFUNCTION("IF(COUNTA(C449:C1350)=0,"""",IF(C449="""",0,IF(REGEXMATCH(C449,""^Sell_""),-ROUNDDOWN(ROUNDUP(INDEX(Upgrades!$C$3:$C$13,MATCH(SUBSTITUTE(C449,""Sell_"",""""),Upgrades!$B$3:$B$13,0))*1.15^(COUNTIF(C$4:C448,SUBSTITUTE(C449,""Sell_"",""""))-COUNTIF(C$4:C448,"&amp;"""Sell_""&amp;SUBSTITUTE(C449,""Sell_"",""""))))/2),ROUNDUP(INDEX(Upgrades!$C$3:$C$13,MATCH(C449,Upgrades!$B$3:$B$13,0))*1.15^(COUNTIF(C$4:C448,C449)-COUNTIF(C$4:C448,""Sell_""&amp;C449))))))"),"")</f>
        <v/>
      </c>
      <c r="H449" s="10" t="str">
        <f t="shared" si="3"/>
        <v/>
      </c>
      <c r="I449" s="68" t="str">
        <f t="shared" si="4"/>
        <v/>
      </c>
      <c r="J449" s="59" t="str">
        <f t="shared" si="5"/>
        <v/>
      </c>
      <c r="K449" s="69" t="str">
        <f t="shared" si="6"/>
        <v/>
      </c>
      <c r="L449" s="60">
        <f t="shared" si="7"/>
        <v>-224.65193</v>
      </c>
      <c r="M449" s="61">
        <f>IFERROR(__xludf.DUMMYFUNCTION("IFS(AND(COUNTA(C449:C1350)=0,COUNTA(Q449:Q1350)=0),"""",OR(AND(K449&gt;=1000000000,OR(Y449&gt;=1000000000,COUNTA(Q449:Q1350)=0)),OR(Y449&gt;=1000000000,AND(COUNTA(C449:C1350)=0,P$3=TRUE))),
ROUNDDOWN((AB$1-AC$1)*MAX(INDEX(T$4:T1350,MATCH(LARGE(FILTER(Y$4:Y1350,Y$4"&amp;":Y1350&lt;1000000000),1),Y$4:Y1350)),INDEX(F$4:F1350,MATCH(LARGE(FILTER(K$4:K1350,K$4:K1350&lt;1000000000),1),K$4:K1350)))),AND(K449&lt;1000000000,COUNTA(C449:C1350)&gt;0,P$3=FALSE),
ROUNDDOWN(INDEX(Y$4:Y1350,MATCH(LARGE(FILTER(W$4:W1350,W$4:W1350&lt;=I449),1),W$4:W1350"&amp;"))+(I449-LARGE(FILTER(W$4:W1350,W$4:W1350&lt;=I449),1))*INDEX(T$4:T1350,MATCH(LARGE(FILTER(W$4:W1350,W$4:W1350&lt;=I449),1),W$4:W1350))-K449),1,
ROUNDDOWN(Y449-INDEX(K$4:K1350,MATCH(LARGE(FILTER(I$4:I1350,I$4:I1350&lt;=W449),1),I$4:I1350))-(W449-LARGE(FILTER(I$4:I"&amp;"1350,I$4:I1350&lt;=W449),1))*INDEX(F$4:F1350,MATCH(LARGE(FILTER(I$4:I1350,I$4:I1350&lt;=W449),1),I$4:I1350))))"),9.2226469E7)</f>
        <v>92226469</v>
      </c>
      <c r="N449" s="60">
        <f t="shared" si="8"/>
        <v>-224.65193</v>
      </c>
      <c r="O449" s="61" t="str">
        <f t="shared" si="9"/>
        <v>92,2M</v>
      </c>
      <c r="P449" s="56">
        <f t="shared" si="10"/>
        <v>44</v>
      </c>
      <c r="Q449" s="105" t="s">
        <v>61</v>
      </c>
      <c r="R449" s="10" t="b">
        <f>IFERROR(__xludf.DUMMYFUNCTION("IF(COUNTA(Q449:Q1350)=0,"""",IF(ISBLANK(Q449),FALSE,IF(NOT(COUNTIF($AA$24:$AA$34,SUBSTITUTE(Q449,""Sell_"",""""))),1,IF(REGEXMATCH(Q449,""Sell_""),IF(COUNTIF(Q$4:Q449,SUBSTITUTE(Q449,""Sell_"",""""))-COUNTIF(Q$4:Q448,Q449)&lt;1,1),FALSE))))"),FALSE)</f>
        <v>0</v>
      </c>
      <c r="S449" s="59">
        <f t="array" ref="S449">IF(COUNTA(Q449:Q1350)=0,"",SUM((COUNTIF(Q$4:Q449,Upgrades!$B$3:$B$13)-COUNTIF(Q$4:Q449,"Sell_"&amp;Upgrades!$B$3:$B$13))*Upgrades!$D$3:$D$13))</f>
        <v>430052.4</v>
      </c>
      <c r="T449" s="66">
        <f>IFERROR(__xludf.DUMMYFUNCTION("IF(COUNTA(Q449:Q1350)=0,"""",IF(REGEXMATCH(INDEX(FILTER(Q$4:Q449,Q$4:Q449&lt;&gt;""""),ROWS(FILTER(Q$4:Q449,Q$4:Q449&lt;&gt;""""))),""^Sell_""),INDEX(FILTER(T$4:T448,Q$4:Q448&lt;&gt;""""),ROWS(FILTER(Q$4:Q448,Q$4:Q448&lt;&gt;""""))),$AD$5+S449))"),438618.4)</f>
        <v>438618.4</v>
      </c>
      <c r="U449" s="10">
        <f>IFERROR(__xludf.DUMMYFUNCTION("IF(COUNTA(Q449:Q1350)=0,"""",IF(Q449="""",0,IF(REGEXMATCH(Q449,""^Sell_""),-ROUNDDOWN(ROUNDUP(INDEX(Upgrades!$C$3:$C$13,MATCH(SUBSTITUTE(Q449,""Sell_"",""""),Upgrades!$B$3:$B$13,0))*1.15^(COUNTIF(Q$4:Q448,SUBSTITUTE(Q449,""Sell_"",""""))-COUNTIF(Q$4:Q448,"&amp;"""Sell_""&amp;SUBSTITUTE(Q449,""Sell_"",""""))))/2),ROUNDUP(INDEX(Upgrades!$C$3:$C$13,MATCH(Q449,Upgrades!$B$3:$B$13,0))*1.15^(COUNTIF(Q$4:Q448,Q449)-COUNTIF(Q$4:Q448,""Sell_""&amp;Q449))))))"),-70358.0)</f>
        <v>-70358</v>
      </c>
      <c r="V449" s="10">
        <f t="shared" si="11"/>
        <v>-15408835</v>
      </c>
      <c r="W449" s="68">
        <f t="shared" si="12"/>
        <v>6085.8512</v>
      </c>
      <c r="X449" s="59" t="str">
        <f t="shared" si="13"/>
        <v>1h 41m 25s</v>
      </c>
      <c r="Y449" s="69">
        <f t="shared" si="14"/>
        <v>666718570</v>
      </c>
      <c r="Z449" s="11"/>
    </row>
    <row r="450">
      <c r="A450" s="8"/>
      <c r="B450" s="56" t="str">
        <f t="shared" si="2"/>
        <v/>
      </c>
      <c r="C450" s="57"/>
      <c r="D450" s="10" t="str">
        <f>IFERROR(__xludf.DUMMYFUNCTION("IF(COUNTA(C450:C1350)=0,"""",IF(ISBLANK(C450),FALSE,IF(NOT(COUNTIF($AA$24:$AA$34,SUBSTITUTE(C450,""Sell_"",""""))),1,IF(REGEXMATCH(C450,""Sell_""),IF(COUNTIF(C$4:C450,SUBSTITUTE(C450,""Sell_"",""""))-COUNTIF(C$4:C449,C450)&lt;1,1),FALSE))))"),"")</f>
        <v/>
      </c>
      <c r="E450" s="59" t="str">
        <f t="array" ref="E450">IF(COUNTA(C450:C1350)=0,"",SUM((COUNTIF(C$4:C450,Upgrades!$B$3:$B$13)-COUNTIF(C$4:C450,"Sell_"&amp;Upgrades!$B$3:$B$13))*Upgrades!$D$3:$D$13))</f>
        <v/>
      </c>
      <c r="F450" s="66" t="str">
        <f>IFERROR(__xludf.DUMMYFUNCTION("IF(COUNTA(C450:C1350)=0,"""",IF(REGEXMATCH(INDEX(FILTER(C$4:C450,C$4:C450&lt;&gt;""""),ROWS(FILTER(C$4:C450,C$4:C450&lt;&gt;""""))),""^Sell_""),INDEX(FILTER(F$4:F449,C$4:C449&lt;&gt;""""),ROWS(FILTER(C$4:C449,C$4:C449&lt;&gt;""""))),$AC$5+E450))"),"")</f>
        <v/>
      </c>
      <c r="G450" s="10" t="str">
        <f>IFERROR(__xludf.DUMMYFUNCTION("IF(COUNTA(C450:C1350)=0,"""",IF(C450="""",0,IF(REGEXMATCH(C450,""^Sell_""),-ROUNDDOWN(ROUNDUP(INDEX(Upgrades!$C$3:$C$13,MATCH(SUBSTITUTE(C450,""Sell_"",""""),Upgrades!$B$3:$B$13,0))*1.15^(COUNTIF(C$4:C449,SUBSTITUTE(C450,""Sell_"",""""))-COUNTIF(C$4:C449,"&amp;"""Sell_""&amp;SUBSTITUTE(C450,""Sell_"",""""))))/2),ROUNDUP(INDEX(Upgrades!$C$3:$C$13,MATCH(C450,Upgrades!$B$3:$B$13,0))*1.15^(COUNTIF(C$4:C449,C450)-COUNTIF(C$4:C449,""Sell_""&amp;C450))))))"),"")</f>
        <v/>
      </c>
      <c r="H450" s="10" t="str">
        <f t="shared" si="3"/>
        <v/>
      </c>
      <c r="I450" s="68" t="str">
        <f t="shared" si="4"/>
        <v/>
      </c>
      <c r="J450" s="59" t="str">
        <f t="shared" si="5"/>
        <v/>
      </c>
      <c r="K450" s="69" t="str">
        <f t="shared" si="6"/>
        <v/>
      </c>
      <c r="L450" s="60">
        <f t="shared" si="7"/>
        <v>-224.65193</v>
      </c>
      <c r="M450" s="61">
        <f>IFERROR(__xludf.DUMMYFUNCTION("IFS(AND(COUNTA(C450:C1350)=0,COUNTA(Q450:Q1350)=0),"""",OR(AND(K450&gt;=1000000000,OR(Y450&gt;=1000000000,COUNTA(Q450:Q1350)=0)),OR(Y450&gt;=1000000000,AND(COUNTA(C450:C1350)=0,P$3=TRUE))),
ROUNDDOWN((AB$1-AC$1)*MAX(INDEX(T$4:T1350,MATCH(LARGE(FILTER(Y$4:Y1350,Y$4"&amp;":Y1350&lt;1000000000),1),Y$4:Y1350)),INDEX(F$4:F1350,MATCH(LARGE(FILTER(K$4:K1350,K$4:K1350&lt;1000000000),1),K$4:K1350)))),AND(K450&lt;1000000000,COUNTA(C450:C1350)&gt;0,P$3=FALSE),
ROUNDDOWN(INDEX(Y$4:Y1350,MATCH(LARGE(FILTER(W$4:W1350,W$4:W1350&lt;=I450),1),W$4:W1350"&amp;"))+(I450-LARGE(FILTER(W$4:W1350,W$4:W1350&lt;=I450),1))*INDEX(T$4:T1350,MATCH(LARGE(FILTER(W$4:W1350,W$4:W1350&lt;=I450),1),W$4:W1350))-K450),1,
ROUNDDOWN(Y450-INDEX(K$4:K1350,MATCH(LARGE(FILTER(I$4:I1350,I$4:I1350&lt;=W450),1),I$4:I1350))-(W450-LARGE(FILTER(I$4:I"&amp;"1350,I$4:I1350&lt;=W450),1))*INDEX(F$4:F1350,MATCH(LARGE(FILTER(I$4:I1350,I$4:I1350&lt;=W450),1),I$4:I1350))))"),9.2226469E7)</f>
        <v>92226469</v>
      </c>
      <c r="N450" s="60">
        <f t="shared" si="8"/>
        <v>-224.65193</v>
      </c>
      <c r="O450" s="61" t="str">
        <f t="shared" si="9"/>
        <v>92,2M</v>
      </c>
      <c r="P450" s="56">
        <f t="shared" si="10"/>
        <v>45</v>
      </c>
      <c r="Q450" s="105" t="s">
        <v>61</v>
      </c>
      <c r="R450" s="10" t="b">
        <f>IFERROR(__xludf.DUMMYFUNCTION("IF(COUNTA(Q450:Q1350)=0,"""",IF(ISBLANK(Q450),FALSE,IF(NOT(COUNTIF($AA$24:$AA$34,SUBSTITUTE(Q450,""Sell_"",""""))),1,IF(REGEXMATCH(Q450,""Sell_""),IF(COUNTIF(Q$4:Q450,SUBSTITUTE(Q450,""Sell_"",""""))-COUNTIF(Q$4:Q449,Q450)&lt;1,1),FALSE))))"),FALSE)</f>
        <v>0</v>
      </c>
      <c r="S450" s="59">
        <f t="array" ref="S450">IF(COUNTA(Q450:Q1350)=0,"",SUM((COUNTIF(Q$4:Q450,Upgrades!$B$3:$B$13)-COUNTIF(Q$4:Q450,"Sell_"&amp;Upgrades!$B$3:$B$13))*Upgrades!$D$3:$D$13))</f>
        <v>429952.4</v>
      </c>
      <c r="T450" s="66">
        <f>IFERROR(__xludf.DUMMYFUNCTION("IF(COUNTA(Q450:Q1350)=0,"""",IF(REGEXMATCH(INDEX(FILTER(Q$4:Q450,Q$4:Q450&lt;&gt;""""),ROWS(FILTER(Q$4:Q450,Q$4:Q450&lt;&gt;""""))),""^Sell_""),INDEX(FILTER(T$4:T449,Q$4:Q449&lt;&gt;""""),ROWS(FILTER(Q$4:Q449,Q$4:Q449&lt;&gt;""""))),$AD$5+S450))"),438618.4)</f>
        <v>438618.4</v>
      </c>
      <c r="U450" s="10">
        <f>IFERROR(__xludf.DUMMYFUNCTION("IF(COUNTA(Q450:Q1350)=0,"""",IF(Q450="""",0,IF(REGEXMATCH(Q450,""^Sell_""),-ROUNDDOWN(ROUNDUP(INDEX(Upgrades!$C$3:$C$13,MATCH(SUBSTITUTE(Q450,""Sell_"",""""),Upgrades!$B$3:$B$13,0))*1.15^(COUNTIF(Q$4:Q449,SUBSTITUTE(Q450,""Sell_"",""""))-COUNTIF(Q$4:Q449,"&amp;"""Sell_""&amp;SUBSTITUTE(Q450,""Sell_"",""""))))/2),ROUNDUP(INDEX(Upgrades!$C$3:$C$13,MATCH(Q450,Upgrades!$B$3:$B$13,0))*1.15^(COUNTIF(Q$4:Q449,Q450)-COUNTIF(Q$4:Q449,""Sell_""&amp;Q450))))))"),-61180.0)</f>
        <v>-61180</v>
      </c>
      <c r="V450" s="10">
        <f t="shared" si="11"/>
        <v>-15470015</v>
      </c>
      <c r="W450" s="68">
        <f t="shared" si="12"/>
        <v>6085.8512</v>
      </c>
      <c r="X450" s="59" t="str">
        <f t="shared" si="13"/>
        <v>1h 41m 25s</v>
      </c>
      <c r="Y450" s="69">
        <f t="shared" si="14"/>
        <v>666718570</v>
      </c>
      <c r="Z450" s="11"/>
    </row>
    <row r="451">
      <c r="A451" s="8"/>
      <c r="B451" s="56" t="str">
        <f t="shared" si="2"/>
        <v/>
      </c>
      <c r="C451" s="57"/>
      <c r="D451" s="10" t="str">
        <f>IFERROR(__xludf.DUMMYFUNCTION("IF(COUNTA(C451:C1350)=0,"""",IF(ISBLANK(C451),FALSE,IF(NOT(COUNTIF($AA$24:$AA$34,SUBSTITUTE(C451,""Sell_"",""""))),1,IF(REGEXMATCH(C451,""Sell_""),IF(COUNTIF(C$4:C451,SUBSTITUTE(C451,""Sell_"",""""))-COUNTIF(C$4:C450,C451)&lt;1,1),FALSE))))"),"")</f>
        <v/>
      </c>
      <c r="E451" s="59" t="str">
        <f t="array" ref="E451">IF(COUNTA(C451:C1350)=0,"",SUM((COUNTIF(C$4:C451,Upgrades!$B$3:$B$13)-COUNTIF(C$4:C451,"Sell_"&amp;Upgrades!$B$3:$B$13))*Upgrades!$D$3:$D$13))</f>
        <v/>
      </c>
      <c r="F451" s="66" t="str">
        <f>IFERROR(__xludf.DUMMYFUNCTION("IF(COUNTA(C451:C1350)=0,"""",IF(REGEXMATCH(INDEX(FILTER(C$4:C451,C$4:C451&lt;&gt;""""),ROWS(FILTER(C$4:C451,C$4:C451&lt;&gt;""""))),""^Sell_""),INDEX(FILTER(F$4:F450,C$4:C450&lt;&gt;""""),ROWS(FILTER(C$4:C450,C$4:C450&lt;&gt;""""))),$AC$5+E451))"),"")</f>
        <v/>
      </c>
      <c r="G451" s="10" t="str">
        <f>IFERROR(__xludf.DUMMYFUNCTION("IF(COUNTA(C451:C1350)=0,"""",IF(C451="""",0,IF(REGEXMATCH(C451,""^Sell_""),-ROUNDDOWN(ROUNDUP(INDEX(Upgrades!$C$3:$C$13,MATCH(SUBSTITUTE(C451,""Sell_"",""""),Upgrades!$B$3:$B$13,0))*1.15^(COUNTIF(C$4:C450,SUBSTITUTE(C451,""Sell_"",""""))-COUNTIF(C$4:C450,"&amp;"""Sell_""&amp;SUBSTITUTE(C451,""Sell_"",""""))))/2),ROUNDUP(INDEX(Upgrades!$C$3:$C$13,MATCH(C451,Upgrades!$B$3:$B$13,0))*1.15^(COUNTIF(C$4:C450,C451)-COUNTIF(C$4:C450,""Sell_""&amp;C451))))))"),"")</f>
        <v/>
      </c>
      <c r="H451" s="10" t="str">
        <f t="shared" si="3"/>
        <v/>
      </c>
      <c r="I451" s="68" t="str">
        <f t="shared" si="4"/>
        <v/>
      </c>
      <c r="J451" s="59" t="str">
        <f t="shared" si="5"/>
        <v/>
      </c>
      <c r="K451" s="69" t="str">
        <f t="shared" si="6"/>
        <v/>
      </c>
      <c r="L451" s="60">
        <f t="shared" si="7"/>
        <v>-224.65193</v>
      </c>
      <c r="M451" s="61">
        <f>IFERROR(__xludf.DUMMYFUNCTION("IFS(AND(COUNTA(C451:C1350)=0,COUNTA(Q451:Q1350)=0),"""",OR(AND(K451&gt;=1000000000,OR(Y451&gt;=1000000000,COUNTA(Q451:Q1350)=0)),OR(Y451&gt;=1000000000,AND(COUNTA(C451:C1350)=0,P$3=TRUE))),
ROUNDDOWN((AB$1-AC$1)*MAX(INDEX(T$4:T1350,MATCH(LARGE(FILTER(Y$4:Y1350,Y$4"&amp;":Y1350&lt;1000000000),1),Y$4:Y1350)),INDEX(F$4:F1350,MATCH(LARGE(FILTER(K$4:K1350,K$4:K1350&lt;1000000000),1),K$4:K1350)))),AND(K451&lt;1000000000,COUNTA(C451:C1350)&gt;0,P$3=FALSE),
ROUNDDOWN(INDEX(Y$4:Y1350,MATCH(LARGE(FILTER(W$4:W1350,W$4:W1350&lt;=I451),1),W$4:W1350"&amp;"))+(I451-LARGE(FILTER(W$4:W1350,W$4:W1350&lt;=I451),1))*INDEX(T$4:T1350,MATCH(LARGE(FILTER(W$4:W1350,W$4:W1350&lt;=I451),1),W$4:W1350))-K451),1,
ROUNDDOWN(Y451-INDEX(K$4:K1350,MATCH(LARGE(FILTER(I$4:I1350,I$4:I1350&lt;=W451),1),I$4:I1350))-(W451-LARGE(FILTER(I$4:I"&amp;"1350,I$4:I1350&lt;=W451),1))*INDEX(F$4:F1350,MATCH(LARGE(FILTER(I$4:I1350,I$4:I1350&lt;=W451),1),I$4:I1350))))"),9.2226469E7)</f>
        <v>92226469</v>
      </c>
      <c r="N451" s="60">
        <f t="shared" si="8"/>
        <v>-224.65193</v>
      </c>
      <c r="O451" s="61" t="str">
        <f t="shared" si="9"/>
        <v>92,2M</v>
      </c>
      <c r="P451" s="56">
        <f t="shared" si="10"/>
        <v>46</v>
      </c>
      <c r="Q451" s="105" t="s">
        <v>61</v>
      </c>
      <c r="R451" s="10" t="b">
        <f>IFERROR(__xludf.DUMMYFUNCTION("IF(COUNTA(Q451:Q1350)=0,"""",IF(ISBLANK(Q451),FALSE,IF(NOT(COUNTIF($AA$24:$AA$34,SUBSTITUTE(Q451,""Sell_"",""""))),1,IF(REGEXMATCH(Q451,""Sell_""),IF(COUNTIF(Q$4:Q451,SUBSTITUTE(Q451,""Sell_"",""""))-COUNTIF(Q$4:Q450,Q451)&lt;1,1),FALSE))))"),FALSE)</f>
        <v>0</v>
      </c>
      <c r="S451" s="59">
        <f t="array" ref="S451">IF(COUNTA(Q451:Q1350)=0,"",SUM((COUNTIF(Q$4:Q451,Upgrades!$B$3:$B$13)-COUNTIF(Q$4:Q451,"Sell_"&amp;Upgrades!$B$3:$B$13))*Upgrades!$D$3:$D$13))</f>
        <v>429852.4</v>
      </c>
      <c r="T451" s="66">
        <f>IFERROR(__xludf.DUMMYFUNCTION("IF(COUNTA(Q451:Q1350)=0,"""",IF(REGEXMATCH(INDEX(FILTER(Q$4:Q451,Q$4:Q451&lt;&gt;""""),ROWS(FILTER(Q$4:Q451,Q$4:Q451&lt;&gt;""""))),""^Sell_""),INDEX(FILTER(T$4:T450,Q$4:Q450&lt;&gt;""""),ROWS(FILTER(Q$4:Q450,Q$4:Q450&lt;&gt;""""))),$AD$5+S451))"),438618.4)</f>
        <v>438618.4</v>
      </c>
      <c r="U451" s="10">
        <f>IFERROR(__xludf.DUMMYFUNCTION("IF(COUNTA(Q451:Q1350)=0,"""",IF(Q451="""",0,IF(REGEXMATCH(Q451,""^Sell_""),-ROUNDDOWN(ROUNDUP(INDEX(Upgrades!$C$3:$C$13,MATCH(SUBSTITUTE(Q451,""Sell_"",""""),Upgrades!$B$3:$B$13,0))*1.15^(COUNTIF(Q$4:Q450,SUBSTITUTE(Q451,""Sell_"",""""))-COUNTIF(Q$4:Q450,"&amp;"""Sell_""&amp;SUBSTITUTE(Q451,""Sell_"",""""))))/2),ROUNDUP(INDEX(Upgrades!$C$3:$C$13,MATCH(Q451,Upgrades!$B$3:$B$13,0))*1.15^(COUNTIF(Q$4:Q450,Q451)-COUNTIF(Q$4:Q450,""Sell_""&amp;Q451))))))"),-53200.0)</f>
        <v>-53200</v>
      </c>
      <c r="V451" s="10">
        <f t="shared" si="11"/>
        <v>-15523215</v>
      </c>
      <c r="W451" s="68">
        <f t="shared" si="12"/>
        <v>6085.8512</v>
      </c>
      <c r="X451" s="59" t="str">
        <f t="shared" si="13"/>
        <v>1h 41m 25s</v>
      </c>
      <c r="Y451" s="69">
        <f t="shared" si="14"/>
        <v>666718570</v>
      </c>
      <c r="Z451" s="11"/>
    </row>
    <row r="452">
      <c r="A452" s="8"/>
      <c r="B452" s="56" t="str">
        <f t="shared" si="2"/>
        <v/>
      </c>
      <c r="C452" s="57"/>
      <c r="D452" s="10" t="str">
        <f>IFERROR(__xludf.DUMMYFUNCTION("IF(COUNTA(C452:C1350)=0,"""",IF(ISBLANK(C452),FALSE,IF(NOT(COUNTIF($AA$24:$AA$34,SUBSTITUTE(C452,""Sell_"",""""))),1,IF(REGEXMATCH(C452,""Sell_""),IF(COUNTIF(C$4:C452,SUBSTITUTE(C452,""Sell_"",""""))-COUNTIF(C$4:C451,C452)&lt;1,1),FALSE))))"),"")</f>
        <v/>
      </c>
      <c r="E452" s="59" t="str">
        <f t="array" ref="E452">IF(COUNTA(C452:C1350)=0,"",SUM((COUNTIF(C$4:C452,Upgrades!$B$3:$B$13)-COUNTIF(C$4:C452,"Sell_"&amp;Upgrades!$B$3:$B$13))*Upgrades!$D$3:$D$13))</f>
        <v/>
      </c>
      <c r="F452" s="66" t="str">
        <f>IFERROR(__xludf.DUMMYFUNCTION("IF(COUNTA(C452:C1350)=0,"""",IF(REGEXMATCH(INDEX(FILTER(C$4:C452,C$4:C452&lt;&gt;""""),ROWS(FILTER(C$4:C452,C$4:C452&lt;&gt;""""))),""^Sell_""),INDEX(FILTER(F$4:F451,C$4:C451&lt;&gt;""""),ROWS(FILTER(C$4:C451,C$4:C451&lt;&gt;""""))),$AC$5+E452))"),"")</f>
        <v/>
      </c>
      <c r="G452" s="10" t="str">
        <f>IFERROR(__xludf.DUMMYFUNCTION("IF(COUNTA(C452:C1350)=0,"""",IF(C452="""",0,IF(REGEXMATCH(C452,""^Sell_""),-ROUNDDOWN(ROUNDUP(INDEX(Upgrades!$C$3:$C$13,MATCH(SUBSTITUTE(C452,""Sell_"",""""),Upgrades!$B$3:$B$13,0))*1.15^(COUNTIF(C$4:C451,SUBSTITUTE(C452,""Sell_"",""""))-COUNTIF(C$4:C451,"&amp;"""Sell_""&amp;SUBSTITUTE(C452,""Sell_"",""""))))/2),ROUNDUP(INDEX(Upgrades!$C$3:$C$13,MATCH(C452,Upgrades!$B$3:$B$13,0))*1.15^(COUNTIF(C$4:C451,C452)-COUNTIF(C$4:C451,""Sell_""&amp;C452))))))"),"")</f>
        <v/>
      </c>
      <c r="H452" s="10" t="str">
        <f t="shared" si="3"/>
        <v/>
      </c>
      <c r="I452" s="68" t="str">
        <f t="shared" si="4"/>
        <v/>
      </c>
      <c r="J452" s="59" t="str">
        <f t="shared" si="5"/>
        <v/>
      </c>
      <c r="K452" s="69" t="str">
        <f t="shared" si="6"/>
        <v/>
      </c>
      <c r="L452" s="60">
        <f t="shared" si="7"/>
        <v>-224.65193</v>
      </c>
      <c r="M452" s="61">
        <f>IFERROR(__xludf.DUMMYFUNCTION("IFS(AND(COUNTA(C452:C1350)=0,COUNTA(Q452:Q1350)=0),"""",OR(AND(K452&gt;=1000000000,OR(Y452&gt;=1000000000,COUNTA(Q452:Q1350)=0)),OR(Y452&gt;=1000000000,AND(COUNTA(C452:C1350)=0,P$3=TRUE))),
ROUNDDOWN((AB$1-AC$1)*MAX(INDEX(T$4:T1350,MATCH(LARGE(FILTER(Y$4:Y1350,Y$4"&amp;":Y1350&lt;1000000000),1),Y$4:Y1350)),INDEX(F$4:F1350,MATCH(LARGE(FILTER(K$4:K1350,K$4:K1350&lt;1000000000),1),K$4:K1350)))),AND(K452&lt;1000000000,COUNTA(C452:C1350)&gt;0,P$3=FALSE),
ROUNDDOWN(INDEX(Y$4:Y1350,MATCH(LARGE(FILTER(W$4:W1350,W$4:W1350&lt;=I452),1),W$4:W1350"&amp;"))+(I452-LARGE(FILTER(W$4:W1350,W$4:W1350&lt;=I452),1))*INDEX(T$4:T1350,MATCH(LARGE(FILTER(W$4:W1350,W$4:W1350&lt;=I452),1),W$4:W1350))-K452),1,
ROUNDDOWN(Y452-INDEX(K$4:K1350,MATCH(LARGE(FILTER(I$4:I1350,I$4:I1350&lt;=W452),1),I$4:I1350))-(W452-LARGE(FILTER(I$4:I"&amp;"1350,I$4:I1350&lt;=W452),1))*INDEX(F$4:F1350,MATCH(LARGE(FILTER(I$4:I1350,I$4:I1350&lt;=W452),1),I$4:I1350))))"),9.2226469E7)</f>
        <v>92226469</v>
      </c>
      <c r="N452" s="60">
        <f t="shared" si="8"/>
        <v>-224.65193</v>
      </c>
      <c r="O452" s="61" t="str">
        <f t="shared" si="9"/>
        <v>92,2M</v>
      </c>
      <c r="P452" s="56">
        <f t="shared" si="10"/>
        <v>47</v>
      </c>
      <c r="Q452" s="105" t="s">
        <v>61</v>
      </c>
      <c r="R452" s="10" t="b">
        <f>IFERROR(__xludf.DUMMYFUNCTION("IF(COUNTA(Q452:Q1350)=0,"""",IF(ISBLANK(Q452),FALSE,IF(NOT(COUNTIF($AA$24:$AA$34,SUBSTITUTE(Q452,""Sell_"",""""))),1,IF(REGEXMATCH(Q452,""Sell_""),IF(COUNTIF(Q$4:Q452,SUBSTITUTE(Q452,""Sell_"",""""))-COUNTIF(Q$4:Q451,Q452)&lt;1,1),FALSE))))"),FALSE)</f>
        <v>0</v>
      </c>
      <c r="S452" s="59">
        <f t="array" ref="S452">IF(COUNTA(Q452:Q1350)=0,"",SUM((COUNTIF(Q$4:Q452,Upgrades!$B$3:$B$13)-COUNTIF(Q$4:Q452,"Sell_"&amp;Upgrades!$B$3:$B$13))*Upgrades!$D$3:$D$13))</f>
        <v>429752.4</v>
      </c>
      <c r="T452" s="66">
        <f>IFERROR(__xludf.DUMMYFUNCTION("IF(COUNTA(Q452:Q1350)=0,"""",IF(REGEXMATCH(INDEX(FILTER(Q$4:Q452,Q$4:Q452&lt;&gt;""""),ROWS(FILTER(Q$4:Q452,Q$4:Q452&lt;&gt;""""))),""^Sell_""),INDEX(FILTER(T$4:T451,Q$4:Q451&lt;&gt;""""),ROWS(FILTER(Q$4:Q451,Q$4:Q451&lt;&gt;""""))),$AD$5+S452))"),438618.4)</f>
        <v>438618.4</v>
      </c>
      <c r="U452" s="10">
        <f>IFERROR(__xludf.DUMMYFUNCTION("IF(COUNTA(Q452:Q1350)=0,"""",IF(Q452="""",0,IF(REGEXMATCH(Q452,""^Sell_""),-ROUNDDOWN(ROUNDUP(INDEX(Upgrades!$C$3:$C$13,MATCH(SUBSTITUTE(Q452,""Sell_"",""""),Upgrades!$B$3:$B$13,0))*1.15^(COUNTIF(Q$4:Q451,SUBSTITUTE(Q452,""Sell_"",""""))-COUNTIF(Q$4:Q451,"&amp;"""Sell_""&amp;SUBSTITUTE(Q452,""Sell_"",""""))))/2),ROUNDUP(INDEX(Upgrades!$C$3:$C$13,MATCH(Q452,Upgrades!$B$3:$B$13,0))*1.15^(COUNTIF(Q$4:Q451,Q452)-COUNTIF(Q$4:Q451,""Sell_""&amp;Q452))))))"),-46261.0)</f>
        <v>-46261</v>
      </c>
      <c r="V452" s="10">
        <f t="shared" si="11"/>
        <v>-15569476</v>
      </c>
      <c r="W452" s="68">
        <f t="shared" si="12"/>
        <v>6085.8512</v>
      </c>
      <c r="X452" s="59" t="str">
        <f t="shared" si="13"/>
        <v>1h 41m 25s</v>
      </c>
      <c r="Y452" s="69">
        <f t="shared" si="14"/>
        <v>666718570</v>
      </c>
      <c r="Z452" s="11"/>
    </row>
    <row r="453">
      <c r="A453" s="8"/>
      <c r="B453" s="56" t="str">
        <f t="shared" si="2"/>
        <v/>
      </c>
      <c r="C453" s="57"/>
      <c r="D453" s="10" t="str">
        <f>IFERROR(__xludf.DUMMYFUNCTION("IF(COUNTA(C453:C1350)=0,"""",IF(ISBLANK(C453),FALSE,IF(NOT(COUNTIF($AA$24:$AA$34,SUBSTITUTE(C453,""Sell_"",""""))),1,IF(REGEXMATCH(C453,""Sell_""),IF(COUNTIF(C$4:C453,SUBSTITUTE(C453,""Sell_"",""""))-COUNTIF(C$4:C452,C453)&lt;1,1),FALSE))))"),"")</f>
        <v/>
      </c>
      <c r="E453" s="59" t="str">
        <f t="array" ref="E453">IF(COUNTA(C453:C1350)=0,"",SUM((COUNTIF(C$4:C453,Upgrades!$B$3:$B$13)-COUNTIF(C$4:C453,"Sell_"&amp;Upgrades!$B$3:$B$13))*Upgrades!$D$3:$D$13))</f>
        <v/>
      </c>
      <c r="F453" s="66" t="str">
        <f>IFERROR(__xludf.DUMMYFUNCTION("IF(COUNTA(C453:C1350)=0,"""",IF(REGEXMATCH(INDEX(FILTER(C$4:C453,C$4:C453&lt;&gt;""""),ROWS(FILTER(C$4:C453,C$4:C453&lt;&gt;""""))),""^Sell_""),INDEX(FILTER(F$4:F452,C$4:C452&lt;&gt;""""),ROWS(FILTER(C$4:C452,C$4:C452&lt;&gt;""""))),$AC$5+E453))"),"")</f>
        <v/>
      </c>
      <c r="G453" s="10" t="str">
        <f>IFERROR(__xludf.DUMMYFUNCTION("IF(COUNTA(C453:C1350)=0,"""",IF(C453="""",0,IF(REGEXMATCH(C453,""^Sell_""),-ROUNDDOWN(ROUNDUP(INDEX(Upgrades!$C$3:$C$13,MATCH(SUBSTITUTE(C453,""Sell_"",""""),Upgrades!$B$3:$B$13,0))*1.15^(COUNTIF(C$4:C452,SUBSTITUTE(C453,""Sell_"",""""))-COUNTIF(C$4:C452,"&amp;"""Sell_""&amp;SUBSTITUTE(C453,""Sell_"",""""))))/2),ROUNDUP(INDEX(Upgrades!$C$3:$C$13,MATCH(C453,Upgrades!$B$3:$B$13,0))*1.15^(COUNTIF(C$4:C452,C453)-COUNTIF(C$4:C452,""Sell_""&amp;C453))))))"),"")</f>
        <v/>
      </c>
      <c r="H453" s="10" t="str">
        <f t="shared" si="3"/>
        <v/>
      </c>
      <c r="I453" s="68" t="str">
        <f t="shared" si="4"/>
        <v/>
      </c>
      <c r="J453" s="59" t="str">
        <f t="shared" si="5"/>
        <v/>
      </c>
      <c r="K453" s="69" t="str">
        <f t="shared" si="6"/>
        <v/>
      </c>
      <c r="L453" s="60">
        <f t="shared" si="7"/>
        <v>-224.65193</v>
      </c>
      <c r="M453" s="61">
        <f>IFERROR(__xludf.DUMMYFUNCTION("IFS(AND(COUNTA(C453:C1350)=0,COUNTA(Q453:Q1350)=0),"""",OR(AND(K453&gt;=1000000000,OR(Y453&gt;=1000000000,COUNTA(Q453:Q1350)=0)),OR(Y453&gt;=1000000000,AND(COUNTA(C453:C1350)=0,P$3=TRUE))),
ROUNDDOWN((AB$1-AC$1)*MAX(INDEX(T$4:T1350,MATCH(LARGE(FILTER(Y$4:Y1350,Y$4"&amp;":Y1350&lt;1000000000),1),Y$4:Y1350)),INDEX(F$4:F1350,MATCH(LARGE(FILTER(K$4:K1350,K$4:K1350&lt;1000000000),1),K$4:K1350)))),AND(K453&lt;1000000000,COUNTA(C453:C1350)&gt;0,P$3=FALSE),
ROUNDDOWN(INDEX(Y$4:Y1350,MATCH(LARGE(FILTER(W$4:W1350,W$4:W1350&lt;=I453),1),W$4:W1350"&amp;"))+(I453-LARGE(FILTER(W$4:W1350,W$4:W1350&lt;=I453),1))*INDEX(T$4:T1350,MATCH(LARGE(FILTER(W$4:W1350,W$4:W1350&lt;=I453),1),W$4:W1350))-K453),1,
ROUNDDOWN(Y453-INDEX(K$4:K1350,MATCH(LARGE(FILTER(I$4:I1350,I$4:I1350&lt;=W453),1),I$4:I1350))-(W453-LARGE(FILTER(I$4:I"&amp;"1350,I$4:I1350&lt;=W453),1))*INDEX(F$4:F1350,MATCH(LARGE(FILTER(I$4:I1350,I$4:I1350&lt;=W453),1),I$4:I1350))))"),9.2226469E7)</f>
        <v>92226469</v>
      </c>
      <c r="N453" s="60">
        <f t="shared" si="8"/>
        <v>-224.65193</v>
      </c>
      <c r="O453" s="61" t="str">
        <f t="shared" si="9"/>
        <v>92,2M</v>
      </c>
      <c r="P453" s="56">
        <f t="shared" si="10"/>
        <v>48</v>
      </c>
      <c r="Q453" s="105" t="s">
        <v>61</v>
      </c>
      <c r="R453" s="10" t="b">
        <f>IFERROR(__xludf.DUMMYFUNCTION("IF(COUNTA(Q453:Q1350)=0,"""",IF(ISBLANK(Q453),FALSE,IF(NOT(COUNTIF($AA$24:$AA$34,SUBSTITUTE(Q453,""Sell_"",""""))),1,IF(REGEXMATCH(Q453,""Sell_""),IF(COUNTIF(Q$4:Q453,SUBSTITUTE(Q453,""Sell_"",""""))-COUNTIF(Q$4:Q452,Q453)&lt;1,1),FALSE))))"),FALSE)</f>
        <v>0</v>
      </c>
      <c r="S453" s="59">
        <f t="array" ref="S453">IF(COUNTA(Q453:Q1350)=0,"",SUM((COUNTIF(Q$4:Q453,Upgrades!$B$3:$B$13)-COUNTIF(Q$4:Q453,"Sell_"&amp;Upgrades!$B$3:$B$13))*Upgrades!$D$3:$D$13))</f>
        <v>429652.4</v>
      </c>
      <c r="T453" s="66">
        <f>IFERROR(__xludf.DUMMYFUNCTION("IF(COUNTA(Q453:Q1350)=0,"""",IF(REGEXMATCH(INDEX(FILTER(Q$4:Q453,Q$4:Q453&lt;&gt;""""),ROWS(FILTER(Q$4:Q453,Q$4:Q453&lt;&gt;""""))),""^Sell_""),INDEX(FILTER(T$4:T452,Q$4:Q452&lt;&gt;""""),ROWS(FILTER(Q$4:Q452,Q$4:Q452&lt;&gt;""""))),$AD$5+S453))"),438618.4)</f>
        <v>438618.4</v>
      </c>
      <c r="U453" s="10">
        <f>IFERROR(__xludf.DUMMYFUNCTION("IF(COUNTA(Q453:Q1350)=0,"""",IF(Q453="""",0,IF(REGEXMATCH(Q453,""^Sell_""),-ROUNDDOWN(ROUNDUP(INDEX(Upgrades!$C$3:$C$13,MATCH(SUBSTITUTE(Q453,""Sell_"",""""),Upgrades!$B$3:$B$13,0))*1.15^(COUNTIF(Q$4:Q452,SUBSTITUTE(Q453,""Sell_"",""""))-COUNTIF(Q$4:Q452,"&amp;"""Sell_""&amp;SUBSTITUTE(Q453,""Sell_"",""""))))/2),ROUNDUP(INDEX(Upgrades!$C$3:$C$13,MATCH(Q453,Upgrades!$B$3:$B$13,0))*1.15^(COUNTIF(Q$4:Q452,Q453)-COUNTIF(Q$4:Q452,""Sell_""&amp;Q453))))))"),-40227.0)</f>
        <v>-40227</v>
      </c>
      <c r="V453" s="10">
        <f t="shared" si="11"/>
        <v>-15609703</v>
      </c>
      <c r="W453" s="68">
        <f t="shared" si="12"/>
        <v>6085.8512</v>
      </c>
      <c r="X453" s="59" t="str">
        <f t="shared" si="13"/>
        <v>1h 41m 25s</v>
      </c>
      <c r="Y453" s="69">
        <f t="shared" si="14"/>
        <v>666718570</v>
      </c>
      <c r="Z453" s="11"/>
    </row>
    <row r="454">
      <c r="A454" s="8"/>
      <c r="B454" s="56" t="str">
        <f t="shared" si="2"/>
        <v/>
      </c>
      <c r="C454" s="57"/>
      <c r="D454" s="10" t="str">
        <f>IFERROR(__xludf.DUMMYFUNCTION("IF(COUNTA(C454:C1350)=0,"""",IF(ISBLANK(C454),FALSE,IF(NOT(COUNTIF($AA$24:$AA$34,SUBSTITUTE(C454,""Sell_"",""""))),1,IF(REGEXMATCH(C454,""Sell_""),IF(COUNTIF(C$4:C454,SUBSTITUTE(C454,""Sell_"",""""))-COUNTIF(C$4:C453,C454)&lt;1,1),FALSE))))"),"")</f>
        <v/>
      </c>
      <c r="E454" s="59" t="str">
        <f t="array" ref="E454">IF(COUNTA(C454:C1350)=0,"",SUM((COUNTIF(C$4:C454,Upgrades!$B$3:$B$13)-COUNTIF(C$4:C454,"Sell_"&amp;Upgrades!$B$3:$B$13))*Upgrades!$D$3:$D$13))</f>
        <v/>
      </c>
      <c r="F454" s="66" t="str">
        <f>IFERROR(__xludf.DUMMYFUNCTION("IF(COUNTA(C454:C1350)=0,"""",IF(REGEXMATCH(INDEX(FILTER(C$4:C454,C$4:C454&lt;&gt;""""),ROWS(FILTER(C$4:C454,C$4:C454&lt;&gt;""""))),""^Sell_""),INDEX(FILTER(F$4:F453,C$4:C453&lt;&gt;""""),ROWS(FILTER(C$4:C453,C$4:C453&lt;&gt;""""))),$AC$5+E454))"),"")</f>
        <v/>
      </c>
      <c r="G454" s="10" t="str">
        <f>IFERROR(__xludf.DUMMYFUNCTION("IF(COUNTA(C454:C1350)=0,"""",IF(C454="""",0,IF(REGEXMATCH(C454,""^Sell_""),-ROUNDDOWN(ROUNDUP(INDEX(Upgrades!$C$3:$C$13,MATCH(SUBSTITUTE(C454,""Sell_"",""""),Upgrades!$B$3:$B$13,0))*1.15^(COUNTIF(C$4:C453,SUBSTITUTE(C454,""Sell_"",""""))-COUNTIF(C$4:C453,"&amp;"""Sell_""&amp;SUBSTITUTE(C454,""Sell_"",""""))))/2),ROUNDUP(INDEX(Upgrades!$C$3:$C$13,MATCH(C454,Upgrades!$B$3:$B$13,0))*1.15^(COUNTIF(C$4:C453,C454)-COUNTIF(C$4:C453,""Sell_""&amp;C454))))))"),"")</f>
        <v/>
      </c>
      <c r="H454" s="10" t="str">
        <f t="shared" si="3"/>
        <v/>
      </c>
      <c r="I454" s="68" t="str">
        <f t="shared" si="4"/>
        <v/>
      </c>
      <c r="J454" s="59" t="str">
        <f t="shared" si="5"/>
        <v/>
      </c>
      <c r="K454" s="69" t="str">
        <f t="shared" si="6"/>
        <v/>
      </c>
      <c r="L454" s="60">
        <f t="shared" si="7"/>
        <v>-224.65193</v>
      </c>
      <c r="M454" s="61">
        <f>IFERROR(__xludf.DUMMYFUNCTION("IFS(AND(COUNTA(C454:C1350)=0,COUNTA(Q454:Q1350)=0),"""",OR(AND(K454&gt;=1000000000,OR(Y454&gt;=1000000000,COUNTA(Q454:Q1350)=0)),OR(Y454&gt;=1000000000,AND(COUNTA(C454:C1350)=0,P$3=TRUE))),
ROUNDDOWN((AB$1-AC$1)*MAX(INDEX(T$4:T1350,MATCH(LARGE(FILTER(Y$4:Y1350,Y$4"&amp;":Y1350&lt;1000000000),1),Y$4:Y1350)),INDEX(F$4:F1350,MATCH(LARGE(FILTER(K$4:K1350,K$4:K1350&lt;1000000000),1),K$4:K1350)))),AND(K454&lt;1000000000,COUNTA(C454:C1350)&gt;0,P$3=FALSE),
ROUNDDOWN(INDEX(Y$4:Y1350,MATCH(LARGE(FILTER(W$4:W1350,W$4:W1350&lt;=I454),1),W$4:W1350"&amp;"))+(I454-LARGE(FILTER(W$4:W1350,W$4:W1350&lt;=I454),1))*INDEX(T$4:T1350,MATCH(LARGE(FILTER(W$4:W1350,W$4:W1350&lt;=I454),1),W$4:W1350))-K454),1,
ROUNDDOWN(Y454-INDEX(K$4:K1350,MATCH(LARGE(FILTER(I$4:I1350,I$4:I1350&lt;=W454),1),I$4:I1350))-(W454-LARGE(FILTER(I$4:I"&amp;"1350,I$4:I1350&lt;=W454),1))*INDEX(F$4:F1350,MATCH(LARGE(FILTER(I$4:I1350,I$4:I1350&lt;=W454),1),I$4:I1350))))"),9.2226469E7)</f>
        <v>92226469</v>
      </c>
      <c r="N454" s="60">
        <f t="shared" si="8"/>
        <v>-224.65193</v>
      </c>
      <c r="O454" s="61" t="str">
        <f t="shared" si="9"/>
        <v>92,2M</v>
      </c>
      <c r="P454" s="56">
        <f t="shared" si="10"/>
        <v>49</v>
      </c>
      <c r="Q454" s="105" t="s">
        <v>61</v>
      </c>
      <c r="R454" s="10" t="b">
        <f>IFERROR(__xludf.DUMMYFUNCTION("IF(COUNTA(Q454:Q1350)=0,"""",IF(ISBLANK(Q454),FALSE,IF(NOT(COUNTIF($AA$24:$AA$34,SUBSTITUTE(Q454,""Sell_"",""""))),1,IF(REGEXMATCH(Q454,""Sell_""),IF(COUNTIF(Q$4:Q454,SUBSTITUTE(Q454,""Sell_"",""""))-COUNTIF(Q$4:Q453,Q454)&lt;1,1),FALSE))))"),FALSE)</f>
        <v>0</v>
      </c>
      <c r="S454" s="59">
        <f t="array" ref="S454">IF(COUNTA(Q454:Q1350)=0,"",SUM((COUNTIF(Q$4:Q454,Upgrades!$B$3:$B$13)-COUNTIF(Q$4:Q454,"Sell_"&amp;Upgrades!$B$3:$B$13))*Upgrades!$D$3:$D$13))</f>
        <v>429552.4</v>
      </c>
      <c r="T454" s="66">
        <f>IFERROR(__xludf.DUMMYFUNCTION("IF(COUNTA(Q454:Q1350)=0,"""",IF(REGEXMATCH(INDEX(FILTER(Q$4:Q454,Q$4:Q454&lt;&gt;""""),ROWS(FILTER(Q$4:Q454,Q$4:Q454&lt;&gt;""""))),""^Sell_""),INDEX(FILTER(T$4:T453,Q$4:Q453&lt;&gt;""""),ROWS(FILTER(Q$4:Q453,Q$4:Q453&lt;&gt;""""))),$AD$5+S454))"),438618.4)</f>
        <v>438618.4</v>
      </c>
      <c r="U454" s="10">
        <f>IFERROR(__xludf.DUMMYFUNCTION("IF(COUNTA(Q454:Q1350)=0,"""",IF(Q454="""",0,IF(REGEXMATCH(Q454,""^Sell_""),-ROUNDDOWN(ROUNDUP(INDEX(Upgrades!$C$3:$C$13,MATCH(SUBSTITUTE(Q454,""Sell_"",""""),Upgrades!$B$3:$B$13,0))*1.15^(COUNTIF(Q$4:Q453,SUBSTITUTE(Q454,""Sell_"",""""))-COUNTIF(Q$4:Q453,"&amp;"""Sell_""&amp;SUBSTITUTE(Q454,""Sell_"",""""))))/2),ROUNDUP(INDEX(Upgrades!$C$3:$C$13,MATCH(Q454,Upgrades!$B$3:$B$13,0))*1.15^(COUNTIF(Q$4:Q453,Q454)-COUNTIF(Q$4:Q453,""Sell_""&amp;Q454))))))"),-34980.0)</f>
        <v>-34980</v>
      </c>
      <c r="V454" s="10">
        <f t="shared" si="11"/>
        <v>-15644683</v>
      </c>
      <c r="W454" s="68">
        <f t="shared" si="12"/>
        <v>6085.8512</v>
      </c>
      <c r="X454" s="59" t="str">
        <f t="shared" si="13"/>
        <v>1h 41m 25s</v>
      </c>
      <c r="Y454" s="69">
        <f t="shared" si="14"/>
        <v>666718570</v>
      </c>
      <c r="Z454" s="11"/>
    </row>
    <row r="455">
      <c r="A455" s="8"/>
      <c r="B455" s="56" t="str">
        <f t="shared" si="2"/>
        <v/>
      </c>
      <c r="C455" s="57"/>
      <c r="D455" s="10" t="str">
        <f>IFERROR(__xludf.DUMMYFUNCTION("IF(COUNTA(C455:C1350)=0,"""",IF(ISBLANK(C455),FALSE,IF(NOT(COUNTIF($AA$24:$AA$34,SUBSTITUTE(C455,""Sell_"",""""))),1,IF(REGEXMATCH(C455,""Sell_""),IF(COUNTIF(C$4:C455,SUBSTITUTE(C455,""Sell_"",""""))-COUNTIF(C$4:C454,C455)&lt;1,1),FALSE))))"),"")</f>
        <v/>
      </c>
      <c r="E455" s="59" t="str">
        <f t="array" ref="E455">IF(COUNTA(C455:C1350)=0,"",SUM((COUNTIF(C$4:C455,Upgrades!$B$3:$B$13)-COUNTIF(C$4:C455,"Sell_"&amp;Upgrades!$B$3:$B$13))*Upgrades!$D$3:$D$13))</f>
        <v/>
      </c>
      <c r="F455" s="66" t="str">
        <f>IFERROR(__xludf.DUMMYFUNCTION("IF(COUNTA(C455:C1350)=0,"""",IF(REGEXMATCH(INDEX(FILTER(C$4:C455,C$4:C455&lt;&gt;""""),ROWS(FILTER(C$4:C455,C$4:C455&lt;&gt;""""))),""^Sell_""),INDEX(FILTER(F$4:F454,C$4:C454&lt;&gt;""""),ROWS(FILTER(C$4:C454,C$4:C454&lt;&gt;""""))),$AC$5+E455))"),"")</f>
        <v/>
      </c>
      <c r="G455" s="10" t="str">
        <f>IFERROR(__xludf.DUMMYFUNCTION("IF(COUNTA(C455:C1350)=0,"""",IF(C455="""",0,IF(REGEXMATCH(C455,""^Sell_""),-ROUNDDOWN(ROUNDUP(INDEX(Upgrades!$C$3:$C$13,MATCH(SUBSTITUTE(C455,""Sell_"",""""),Upgrades!$B$3:$B$13,0))*1.15^(COUNTIF(C$4:C454,SUBSTITUTE(C455,""Sell_"",""""))-COUNTIF(C$4:C454,"&amp;"""Sell_""&amp;SUBSTITUTE(C455,""Sell_"",""""))))/2),ROUNDUP(INDEX(Upgrades!$C$3:$C$13,MATCH(C455,Upgrades!$B$3:$B$13,0))*1.15^(COUNTIF(C$4:C454,C455)-COUNTIF(C$4:C454,""Sell_""&amp;C455))))))"),"")</f>
        <v/>
      </c>
      <c r="H455" s="10" t="str">
        <f t="shared" si="3"/>
        <v/>
      </c>
      <c r="I455" s="68" t="str">
        <f t="shared" si="4"/>
        <v/>
      </c>
      <c r="J455" s="59" t="str">
        <f t="shared" si="5"/>
        <v/>
      </c>
      <c r="K455" s="69" t="str">
        <f t="shared" si="6"/>
        <v/>
      </c>
      <c r="L455" s="60">
        <f t="shared" si="7"/>
        <v>-224.65193</v>
      </c>
      <c r="M455" s="61">
        <f>IFERROR(__xludf.DUMMYFUNCTION("IFS(AND(COUNTA(C455:C1350)=0,COUNTA(Q455:Q1350)=0),"""",OR(AND(K455&gt;=1000000000,OR(Y455&gt;=1000000000,COUNTA(Q455:Q1350)=0)),OR(Y455&gt;=1000000000,AND(COUNTA(C455:C1350)=0,P$3=TRUE))),
ROUNDDOWN((AB$1-AC$1)*MAX(INDEX(T$4:T1350,MATCH(LARGE(FILTER(Y$4:Y1350,Y$4"&amp;":Y1350&lt;1000000000),1),Y$4:Y1350)),INDEX(F$4:F1350,MATCH(LARGE(FILTER(K$4:K1350,K$4:K1350&lt;1000000000),1),K$4:K1350)))),AND(K455&lt;1000000000,COUNTA(C455:C1350)&gt;0,P$3=FALSE),
ROUNDDOWN(INDEX(Y$4:Y1350,MATCH(LARGE(FILTER(W$4:W1350,W$4:W1350&lt;=I455),1),W$4:W1350"&amp;"))+(I455-LARGE(FILTER(W$4:W1350,W$4:W1350&lt;=I455),1))*INDEX(T$4:T1350,MATCH(LARGE(FILTER(W$4:W1350,W$4:W1350&lt;=I455),1),W$4:W1350))-K455),1,
ROUNDDOWN(Y455-INDEX(K$4:K1350,MATCH(LARGE(FILTER(I$4:I1350,I$4:I1350&lt;=W455),1),I$4:I1350))-(W455-LARGE(FILTER(I$4:I"&amp;"1350,I$4:I1350&lt;=W455),1))*INDEX(F$4:F1350,MATCH(LARGE(FILTER(I$4:I1350,I$4:I1350&lt;=W455),1),I$4:I1350))))"),9.2226469E7)</f>
        <v>92226469</v>
      </c>
      <c r="N455" s="60">
        <f t="shared" si="8"/>
        <v>-224.65193</v>
      </c>
      <c r="O455" s="61" t="str">
        <f t="shared" si="9"/>
        <v>92,2M</v>
      </c>
      <c r="P455" s="56">
        <f t="shared" si="10"/>
        <v>50</v>
      </c>
      <c r="Q455" s="105" t="s">
        <v>61</v>
      </c>
      <c r="R455" s="10" t="b">
        <f>IFERROR(__xludf.DUMMYFUNCTION("IF(COUNTA(Q455:Q1350)=0,"""",IF(ISBLANK(Q455),FALSE,IF(NOT(COUNTIF($AA$24:$AA$34,SUBSTITUTE(Q455,""Sell_"",""""))),1,IF(REGEXMATCH(Q455,""Sell_""),IF(COUNTIF(Q$4:Q455,SUBSTITUTE(Q455,""Sell_"",""""))-COUNTIF(Q$4:Q454,Q455)&lt;1,1),FALSE))))"),FALSE)</f>
        <v>0</v>
      </c>
      <c r="S455" s="59">
        <f t="array" ref="S455">IF(COUNTA(Q455:Q1350)=0,"",SUM((COUNTIF(Q$4:Q455,Upgrades!$B$3:$B$13)-COUNTIF(Q$4:Q455,"Sell_"&amp;Upgrades!$B$3:$B$13))*Upgrades!$D$3:$D$13))</f>
        <v>429452.4</v>
      </c>
      <c r="T455" s="66">
        <f>IFERROR(__xludf.DUMMYFUNCTION("IF(COUNTA(Q455:Q1350)=0,"""",IF(REGEXMATCH(INDEX(FILTER(Q$4:Q455,Q$4:Q455&lt;&gt;""""),ROWS(FILTER(Q$4:Q455,Q$4:Q455&lt;&gt;""""))),""^Sell_""),INDEX(FILTER(T$4:T454,Q$4:Q454&lt;&gt;""""),ROWS(FILTER(Q$4:Q454,Q$4:Q454&lt;&gt;""""))),$AD$5+S455))"),438618.4)</f>
        <v>438618.4</v>
      </c>
      <c r="U455" s="10">
        <f>IFERROR(__xludf.DUMMYFUNCTION("IF(COUNTA(Q455:Q1350)=0,"""",IF(Q455="""",0,IF(REGEXMATCH(Q455,""^Sell_""),-ROUNDDOWN(ROUNDUP(INDEX(Upgrades!$C$3:$C$13,MATCH(SUBSTITUTE(Q455,""Sell_"",""""),Upgrades!$B$3:$B$13,0))*1.15^(COUNTIF(Q$4:Q454,SUBSTITUTE(Q455,""Sell_"",""""))-COUNTIF(Q$4:Q454,"&amp;"""Sell_""&amp;SUBSTITUTE(Q455,""Sell_"",""""))))/2),ROUNDUP(INDEX(Upgrades!$C$3:$C$13,MATCH(Q455,Upgrades!$B$3:$B$13,0))*1.15^(COUNTIF(Q$4:Q454,Q455)-COUNTIF(Q$4:Q454,""Sell_""&amp;Q455))))))"),-30417.0)</f>
        <v>-30417</v>
      </c>
      <c r="V455" s="10">
        <f t="shared" si="11"/>
        <v>-15675100</v>
      </c>
      <c r="W455" s="68">
        <f t="shared" si="12"/>
        <v>6085.8512</v>
      </c>
      <c r="X455" s="59" t="str">
        <f t="shared" si="13"/>
        <v>1h 41m 25s</v>
      </c>
      <c r="Y455" s="69">
        <f t="shared" si="14"/>
        <v>666718570</v>
      </c>
      <c r="Z455" s="11"/>
    </row>
    <row r="456">
      <c r="A456" s="8"/>
      <c r="B456" s="56" t="str">
        <f t="shared" si="2"/>
        <v/>
      </c>
      <c r="C456" s="57"/>
      <c r="D456" s="10" t="str">
        <f>IFERROR(__xludf.DUMMYFUNCTION("IF(COUNTA(C456:C1350)=0,"""",IF(ISBLANK(C456),FALSE,IF(NOT(COUNTIF($AA$24:$AA$34,SUBSTITUTE(C456,""Sell_"",""""))),1,IF(REGEXMATCH(C456,""Sell_""),IF(COUNTIF(C$4:C456,SUBSTITUTE(C456,""Sell_"",""""))-COUNTIF(C$4:C455,C456)&lt;1,1),FALSE))))"),"")</f>
        <v/>
      </c>
      <c r="E456" s="59" t="str">
        <f t="array" ref="E456">IF(COUNTA(C456:C1350)=0,"",SUM((COUNTIF(C$4:C456,Upgrades!$B$3:$B$13)-COUNTIF(C$4:C456,"Sell_"&amp;Upgrades!$B$3:$B$13))*Upgrades!$D$3:$D$13))</f>
        <v/>
      </c>
      <c r="F456" s="66" t="str">
        <f>IFERROR(__xludf.DUMMYFUNCTION("IF(COUNTA(C456:C1350)=0,"""",IF(REGEXMATCH(INDEX(FILTER(C$4:C456,C$4:C456&lt;&gt;""""),ROWS(FILTER(C$4:C456,C$4:C456&lt;&gt;""""))),""^Sell_""),INDEX(FILTER(F$4:F455,C$4:C455&lt;&gt;""""),ROWS(FILTER(C$4:C455,C$4:C455&lt;&gt;""""))),$AC$5+E456))"),"")</f>
        <v/>
      </c>
      <c r="G456" s="10" t="str">
        <f>IFERROR(__xludf.DUMMYFUNCTION("IF(COUNTA(C456:C1350)=0,"""",IF(C456="""",0,IF(REGEXMATCH(C456,""^Sell_""),-ROUNDDOWN(ROUNDUP(INDEX(Upgrades!$C$3:$C$13,MATCH(SUBSTITUTE(C456,""Sell_"",""""),Upgrades!$B$3:$B$13,0))*1.15^(COUNTIF(C$4:C455,SUBSTITUTE(C456,""Sell_"",""""))-COUNTIF(C$4:C455,"&amp;"""Sell_""&amp;SUBSTITUTE(C456,""Sell_"",""""))))/2),ROUNDUP(INDEX(Upgrades!$C$3:$C$13,MATCH(C456,Upgrades!$B$3:$B$13,0))*1.15^(COUNTIF(C$4:C455,C456)-COUNTIF(C$4:C455,""Sell_""&amp;C456))))))"),"")</f>
        <v/>
      </c>
      <c r="H456" s="10" t="str">
        <f t="shared" si="3"/>
        <v/>
      </c>
      <c r="I456" s="68" t="str">
        <f t="shared" si="4"/>
        <v/>
      </c>
      <c r="J456" s="59" t="str">
        <f t="shared" si="5"/>
        <v/>
      </c>
      <c r="K456" s="69" t="str">
        <f t="shared" si="6"/>
        <v/>
      </c>
      <c r="L456" s="60">
        <f t="shared" si="7"/>
        <v>-224.65193</v>
      </c>
      <c r="M456" s="61">
        <f>IFERROR(__xludf.DUMMYFUNCTION("IFS(AND(COUNTA(C456:C1350)=0,COUNTA(Q456:Q1350)=0),"""",OR(AND(K456&gt;=1000000000,OR(Y456&gt;=1000000000,COUNTA(Q456:Q1350)=0)),OR(Y456&gt;=1000000000,AND(COUNTA(C456:C1350)=0,P$3=TRUE))),
ROUNDDOWN((AB$1-AC$1)*MAX(INDEX(T$4:T1350,MATCH(LARGE(FILTER(Y$4:Y1350,Y$4"&amp;":Y1350&lt;1000000000),1),Y$4:Y1350)),INDEX(F$4:F1350,MATCH(LARGE(FILTER(K$4:K1350,K$4:K1350&lt;1000000000),1),K$4:K1350)))),AND(K456&lt;1000000000,COUNTA(C456:C1350)&gt;0,P$3=FALSE),
ROUNDDOWN(INDEX(Y$4:Y1350,MATCH(LARGE(FILTER(W$4:W1350,W$4:W1350&lt;=I456),1),W$4:W1350"&amp;"))+(I456-LARGE(FILTER(W$4:W1350,W$4:W1350&lt;=I456),1))*INDEX(T$4:T1350,MATCH(LARGE(FILTER(W$4:W1350,W$4:W1350&lt;=I456),1),W$4:W1350))-K456),1,
ROUNDDOWN(Y456-INDEX(K$4:K1350,MATCH(LARGE(FILTER(I$4:I1350,I$4:I1350&lt;=W456),1),I$4:I1350))-(W456-LARGE(FILTER(I$4:I"&amp;"1350,I$4:I1350&lt;=W456),1))*INDEX(F$4:F1350,MATCH(LARGE(FILTER(I$4:I1350,I$4:I1350&lt;=W456),1),I$4:I1350))))"),9.2226469E7)</f>
        <v>92226469</v>
      </c>
      <c r="N456" s="60">
        <f t="shared" si="8"/>
        <v>-224.65193</v>
      </c>
      <c r="O456" s="61" t="str">
        <f t="shared" si="9"/>
        <v>92,2M</v>
      </c>
      <c r="P456" s="56">
        <f t="shared" si="10"/>
        <v>51</v>
      </c>
      <c r="Q456" s="105" t="s">
        <v>61</v>
      </c>
      <c r="R456" s="10" t="b">
        <f>IFERROR(__xludf.DUMMYFUNCTION("IF(COUNTA(Q456:Q1350)=0,"""",IF(ISBLANK(Q456),FALSE,IF(NOT(COUNTIF($AA$24:$AA$34,SUBSTITUTE(Q456,""Sell_"",""""))),1,IF(REGEXMATCH(Q456,""Sell_""),IF(COUNTIF(Q$4:Q456,SUBSTITUTE(Q456,""Sell_"",""""))-COUNTIF(Q$4:Q455,Q456)&lt;1,1),FALSE))))"),FALSE)</f>
        <v>0</v>
      </c>
      <c r="S456" s="59">
        <f t="array" ref="S456">IF(COUNTA(Q456:Q1350)=0,"",SUM((COUNTIF(Q$4:Q456,Upgrades!$B$3:$B$13)-COUNTIF(Q$4:Q456,"Sell_"&amp;Upgrades!$B$3:$B$13))*Upgrades!$D$3:$D$13))</f>
        <v>429352.4</v>
      </c>
      <c r="T456" s="66">
        <f>IFERROR(__xludf.DUMMYFUNCTION("IF(COUNTA(Q456:Q1350)=0,"""",IF(REGEXMATCH(INDEX(FILTER(Q$4:Q456,Q$4:Q456&lt;&gt;""""),ROWS(FILTER(Q$4:Q456,Q$4:Q456&lt;&gt;""""))),""^Sell_""),INDEX(FILTER(T$4:T455,Q$4:Q455&lt;&gt;""""),ROWS(FILTER(Q$4:Q455,Q$4:Q455&lt;&gt;""""))),$AD$5+S456))"),438618.4)</f>
        <v>438618.4</v>
      </c>
      <c r="U456" s="10">
        <f>IFERROR(__xludf.DUMMYFUNCTION("IF(COUNTA(Q456:Q1350)=0,"""",IF(Q456="""",0,IF(REGEXMATCH(Q456,""^Sell_""),-ROUNDDOWN(ROUNDUP(INDEX(Upgrades!$C$3:$C$13,MATCH(SUBSTITUTE(Q456,""Sell_"",""""),Upgrades!$B$3:$B$13,0))*1.15^(COUNTIF(Q$4:Q455,SUBSTITUTE(Q456,""Sell_"",""""))-COUNTIF(Q$4:Q455,"&amp;"""Sell_""&amp;SUBSTITUTE(Q456,""Sell_"",""""))))/2),ROUNDUP(INDEX(Upgrades!$C$3:$C$13,MATCH(Q456,Upgrades!$B$3:$B$13,0))*1.15^(COUNTIF(Q$4:Q455,Q456)-COUNTIF(Q$4:Q455,""Sell_""&amp;Q456))))))"),-26450.0)</f>
        <v>-26450</v>
      </c>
      <c r="V456" s="10">
        <f t="shared" si="11"/>
        <v>-15701550</v>
      </c>
      <c r="W456" s="68">
        <f t="shared" si="12"/>
        <v>6085.8512</v>
      </c>
      <c r="X456" s="59" t="str">
        <f t="shared" si="13"/>
        <v>1h 41m 25s</v>
      </c>
      <c r="Y456" s="69">
        <f t="shared" si="14"/>
        <v>666718570</v>
      </c>
      <c r="Z456" s="11"/>
    </row>
    <row r="457">
      <c r="A457" s="8"/>
      <c r="B457" s="56" t="str">
        <f t="shared" si="2"/>
        <v/>
      </c>
      <c r="C457" s="57"/>
      <c r="D457" s="10" t="str">
        <f>IFERROR(__xludf.DUMMYFUNCTION("IF(COUNTA(C457:C1350)=0,"""",IF(ISBLANK(C457),FALSE,IF(NOT(COUNTIF($AA$24:$AA$34,SUBSTITUTE(C457,""Sell_"",""""))),1,IF(REGEXMATCH(C457,""Sell_""),IF(COUNTIF(C$4:C457,SUBSTITUTE(C457,""Sell_"",""""))-COUNTIF(C$4:C456,C457)&lt;1,1),FALSE))))"),"")</f>
        <v/>
      </c>
      <c r="E457" s="59" t="str">
        <f t="array" ref="E457">IF(COUNTA(C457:C1350)=0,"",SUM((COUNTIF(C$4:C457,Upgrades!$B$3:$B$13)-COUNTIF(C$4:C457,"Sell_"&amp;Upgrades!$B$3:$B$13))*Upgrades!$D$3:$D$13))</f>
        <v/>
      </c>
      <c r="F457" s="66" t="str">
        <f>IFERROR(__xludf.DUMMYFUNCTION("IF(COUNTA(C457:C1350)=0,"""",IF(REGEXMATCH(INDEX(FILTER(C$4:C457,C$4:C457&lt;&gt;""""),ROWS(FILTER(C$4:C457,C$4:C457&lt;&gt;""""))),""^Sell_""),INDEX(FILTER(F$4:F456,C$4:C456&lt;&gt;""""),ROWS(FILTER(C$4:C456,C$4:C456&lt;&gt;""""))),$AC$5+E457))"),"")</f>
        <v/>
      </c>
      <c r="G457" s="10" t="str">
        <f>IFERROR(__xludf.DUMMYFUNCTION("IF(COUNTA(C457:C1350)=0,"""",IF(C457="""",0,IF(REGEXMATCH(C457,""^Sell_""),-ROUNDDOWN(ROUNDUP(INDEX(Upgrades!$C$3:$C$13,MATCH(SUBSTITUTE(C457,""Sell_"",""""),Upgrades!$B$3:$B$13,0))*1.15^(COUNTIF(C$4:C456,SUBSTITUTE(C457,""Sell_"",""""))-COUNTIF(C$4:C456,"&amp;"""Sell_""&amp;SUBSTITUTE(C457,""Sell_"",""""))))/2),ROUNDUP(INDEX(Upgrades!$C$3:$C$13,MATCH(C457,Upgrades!$B$3:$B$13,0))*1.15^(COUNTIF(C$4:C456,C457)-COUNTIF(C$4:C456,""Sell_""&amp;C457))))))"),"")</f>
        <v/>
      </c>
      <c r="H457" s="10" t="str">
        <f t="shared" si="3"/>
        <v/>
      </c>
      <c r="I457" s="68" t="str">
        <f t="shared" si="4"/>
        <v/>
      </c>
      <c r="J457" s="59" t="str">
        <f t="shared" si="5"/>
        <v/>
      </c>
      <c r="K457" s="69" t="str">
        <f t="shared" si="6"/>
        <v/>
      </c>
      <c r="L457" s="60">
        <f t="shared" si="7"/>
        <v>-224.65193</v>
      </c>
      <c r="M457" s="61">
        <f>IFERROR(__xludf.DUMMYFUNCTION("IFS(AND(COUNTA(C457:C1350)=0,COUNTA(Q457:Q1350)=0),"""",OR(AND(K457&gt;=1000000000,OR(Y457&gt;=1000000000,COUNTA(Q457:Q1350)=0)),OR(Y457&gt;=1000000000,AND(COUNTA(C457:C1350)=0,P$3=TRUE))),
ROUNDDOWN((AB$1-AC$1)*MAX(INDEX(T$4:T1350,MATCH(LARGE(FILTER(Y$4:Y1350,Y$4"&amp;":Y1350&lt;1000000000),1),Y$4:Y1350)),INDEX(F$4:F1350,MATCH(LARGE(FILTER(K$4:K1350,K$4:K1350&lt;1000000000),1),K$4:K1350)))),AND(K457&lt;1000000000,COUNTA(C457:C1350)&gt;0,P$3=FALSE),
ROUNDDOWN(INDEX(Y$4:Y1350,MATCH(LARGE(FILTER(W$4:W1350,W$4:W1350&lt;=I457),1),W$4:W1350"&amp;"))+(I457-LARGE(FILTER(W$4:W1350,W$4:W1350&lt;=I457),1))*INDEX(T$4:T1350,MATCH(LARGE(FILTER(W$4:W1350,W$4:W1350&lt;=I457),1),W$4:W1350))-K457),1,
ROUNDDOWN(Y457-INDEX(K$4:K1350,MATCH(LARGE(FILTER(I$4:I1350,I$4:I1350&lt;=W457),1),I$4:I1350))-(W457-LARGE(FILTER(I$4:I"&amp;"1350,I$4:I1350&lt;=W457),1))*INDEX(F$4:F1350,MATCH(LARGE(FILTER(I$4:I1350,I$4:I1350&lt;=W457),1),I$4:I1350))))"),9.2226469E7)</f>
        <v>92226469</v>
      </c>
      <c r="N457" s="60">
        <f t="shared" si="8"/>
        <v>-224.65193</v>
      </c>
      <c r="O457" s="61" t="str">
        <f t="shared" si="9"/>
        <v>92,2M</v>
      </c>
      <c r="P457" s="56">
        <f t="shared" si="10"/>
        <v>52</v>
      </c>
      <c r="Q457" s="105" t="s">
        <v>61</v>
      </c>
      <c r="R457" s="10" t="b">
        <f>IFERROR(__xludf.DUMMYFUNCTION("IF(COUNTA(Q457:Q1350)=0,"""",IF(ISBLANK(Q457),FALSE,IF(NOT(COUNTIF($AA$24:$AA$34,SUBSTITUTE(Q457,""Sell_"",""""))),1,IF(REGEXMATCH(Q457,""Sell_""),IF(COUNTIF(Q$4:Q457,SUBSTITUTE(Q457,""Sell_"",""""))-COUNTIF(Q$4:Q456,Q457)&lt;1,1),FALSE))))"),FALSE)</f>
        <v>0</v>
      </c>
      <c r="S457" s="59">
        <f t="array" ref="S457">IF(COUNTA(Q457:Q1350)=0,"",SUM((COUNTIF(Q$4:Q457,Upgrades!$B$3:$B$13)-COUNTIF(Q$4:Q457,"Sell_"&amp;Upgrades!$B$3:$B$13))*Upgrades!$D$3:$D$13))</f>
        <v>429252.4</v>
      </c>
      <c r="T457" s="66">
        <f>IFERROR(__xludf.DUMMYFUNCTION("IF(COUNTA(Q457:Q1350)=0,"""",IF(REGEXMATCH(INDEX(FILTER(Q$4:Q457,Q$4:Q457&lt;&gt;""""),ROWS(FILTER(Q$4:Q457,Q$4:Q457&lt;&gt;""""))),""^Sell_""),INDEX(FILTER(T$4:T456,Q$4:Q456&lt;&gt;""""),ROWS(FILTER(Q$4:Q456,Q$4:Q456&lt;&gt;""""))),$AD$5+S457))"),438618.4)</f>
        <v>438618.4</v>
      </c>
      <c r="U457" s="10">
        <f>IFERROR(__xludf.DUMMYFUNCTION("IF(COUNTA(Q457:Q1350)=0,"""",IF(Q457="""",0,IF(REGEXMATCH(Q457,""^Sell_""),-ROUNDDOWN(ROUNDUP(INDEX(Upgrades!$C$3:$C$13,MATCH(SUBSTITUTE(Q457,""Sell_"",""""),Upgrades!$B$3:$B$13,0))*1.15^(COUNTIF(Q$4:Q456,SUBSTITUTE(Q457,""Sell_"",""""))-COUNTIF(Q$4:Q456,"&amp;"""Sell_""&amp;SUBSTITUTE(Q457,""Sell_"",""""))))/2),ROUNDUP(INDEX(Upgrades!$C$3:$C$13,MATCH(Q457,Upgrades!$B$3:$B$13,0))*1.15^(COUNTIF(Q$4:Q456,Q457)-COUNTIF(Q$4:Q456,""Sell_""&amp;Q457))))))"),-23000.0)</f>
        <v>-23000</v>
      </c>
      <c r="V457" s="10">
        <f t="shared" si="11"/>
        <v>-15724550</v>
      </c>
      <c r="W457" s="68">
        <f t="shared" si="12"/>
        <v>6085.8512</v>
      </c>
      <c r="X457" s="59" t="str">
        <f t="shared" si="13"/>
        <v>1h 41m 25s</v>
      </c>
      <c r="Y457" s="69">
        <f t="shared" si="14"/>
        <v>666718570</v>
      </c>
      <c r="Z457" s="11"/>
    </row>
    <row r="458">
      <c r="A458" s="8"/>
      <c r="B458" s="56" t="str">
        <f t="shared" si="2"/>
        <v/>
      </c>
      <c r="C458" s="57"/>
      <c r="D458" s="10" t="str">
        <f>IFERROR(__xludf.DUMMYFUNCTION("IF(COUNTA(C458:C1350)=0,"""",IF(ISBLANK(C458),FALSE,IF(NOT(COUNTIF($AA$24:$AA$34,SUBSTITUTE(C458,""Sell_"",""""))),1,IF(REGEXMATCH(C458,""Sell_""),IF(COUNTIF(C$4:C458,SUBSTITUTE(C458,""Sell_"",""""))-COUNTIF(C$4:C457,C458)&lt;1,1),FALSE))))"),"")</f>
        <v/>
      </c>
      <c r="E458" s="59" t="str">
        <f t="array" ref="E458">IF(COUNTA(C458:C1350)=0,"",SUM((COUNTIF(C$4:C458,Upgrades!$B$3:$B$13)-COUNTIF(C$4:C458,"Sell_"&amp;Upgrades!$B$3:$B$13))*Upgrades!$D$3:$D$13))</f>
        <v/>
      </c>
      <c r="F458" s="66" t="str">
        <f>IFERROR(__xludf.DUMMYFUNCTION("IF(COUNTA(C458:C1350)=0,"""",IF(REGEXMATCH(INDEX(FILTER(C$4:C458,C$4:C458&lt;&gt;""""),ROWS(FILTER(C$4:C458,C$4:C458&lt;&gt;""""))),""^Sell_""),INDEX(FILTER(F$4:F457,C$4:C457&lt;&gt;""""),ROWS(FILTER(C$4:C457,C$4:C457&lt;&gt;""""))),$AC$5+E458))"),"")</f>
        <v/>
      </c>
      <c r="G458" s="10" t="str">
        <f>IFERROR(__xludf.DUMMYFUNCTION("IF(COUNTA(C458:C1350)=0,"""",IF(C458="""",0,IF(REGEXMATCH(C458,""^Sell_""),-ROUNDDOWN(ROUNDUP(INDEX(Upgrades!$C$3:$C$13,MATCH(SUBSTITUTE(C458,""Sell_"",""""),Upgrades!$B$3:$B$13,0))*1.15^(COUNTIF(C$4:C457,SUBSTITUTE(C458,""Sell_"",""""))-COUNTIF(C$4:C457,"&amp;"""Sell_""&amp;SUBSTITUTE(C458,""Sell_"",""""))))/2),ROUNDUP(INDEX(Upgrades!$C$3:$C$13,MATCH(C458,Upgrades!$B$3:$B$13,0))*1.15^(COUNTIF(C$4:C457,C458)-COUNTIF(C$4:C457,""Sell_""&amp;C458))))))"),"")</f>
        <v/>
      </c>
      <c r="H458" s="10" t="str">
        <f t="shared" si="3"/>
        <v/>
      </c>
      <c r="I458" s="68" t="str">
        <f t="shared" si="4"/>
        <v/>
      </c>
      <c r="J458" s="59" t="str">
        <f t="shared" si="5"/>
        <v/>
      </c>
      <c r="K458" s="69" t="str">
        <f t="shared" si="6"/>
        <v/>
      </c>
      <c r="L458" s="60">
        <f t="shared" si="7"/>
        <v>-224.65193</v>
      </c>
      <c r="M458" s="61">
        <f>IFERROR(__xludf.DUMMYFUNCTION("IFS(AND(COUNTA(C458:C1350)=0,COUNTA(Q458:Q1350)=0),"""",OR(AND(K458&gt;=1000000000,OR(Y458&gt;=1000000000,COUNTA(Q458:Q1350)=0)),OR(Y458&gt;=1000000000,AND(COUNTA(C458:C1350)=0,P$3=TRUE))),
ROUNDDOWN((AB$1-AC$1)*MAX(INDEX(T$4:T1350,MATCH(LARGE(FILTER(Y$4:Y1350,Y$4"&amp;":Y1350&lt;1000000000),1),Y$4:Y1350)),INDEX(F$4:F1350,MATCH(LARGE(FILTER(K$4:K1350,K$4:K1350&lt;1000000000),1),K$4:K1350)))),AND(K458&lt;1000000000,COUNTA(C458:C1350)&gt;0,P$3=FALSE),
ROUNDDOWN(INDEX(Y$4:Y1350,MATCH(LARGE(FILTER(W$4:W1350,W$4:W1350&lt;=I458),1),W$4:W1350"&amp;"))+(I458-LARGE(FILTER(W$4:W1350,W$4:W1350&lt;=I458),1))*INDEX(T$4:T1350,MATCH(LARGE(FILTER(W$4:W1350,W$4:W1350&lt;=I458),1),W$4:W1350))-K458),1,
ROUNDDOWN(Y458-INDEX(K$4:K1350,MATCH(LARGE(FILTER(I$4:I1350,I$4:I1350&lt;=W458),1),I$4:I1350))-(W458-LARGE(FILTER(I$4:I"&amp;"1350,I$4:I1350&lt;=W458),1))*INDEX(F$4:F1350,MATCH(LARGE(FILTER(I$4:I1350,I$4:I1350&lt;=W458),1),I$4:I1350))))"),9.2226469E7)</f>
        <v>92226469</v>
      </c>
      <c r="N458" s="60">
        <f t="shared" si="8"/>
        <v>-224.65193</v>
      </c>
      <c r="O458" s="61" t="str">
        <f t="shared" si="9"/>
        <v>92,2M</v>
      </c>
      <c r="P458" s="56">
        <f t="shared" si="10"/>
        <v>27</v>
      </c>
      <c r="Q458" s="105" t="s">
        <v>60</v>
      </c>
      <c r="R458" s="10" t="b">
        <f>IFERROR(__xludf.DUMMYFUNCTION("IF(COUNTA(Q458:Q1350)=0,"""",IF(ISBLANK(Q458),FALSE,IF(NOT(COUNTIF($AA$24:$AA$34,SUBSTITUTE(Q458,""Sell_"",""""))),1,IF(REGEXMATCH(Q458,""Sell_""),IF(COUNTIF(Q$4:Q458,SUBSTITUTE(Q458,""Sell_"",""""))-COUNTIF(Q$4:Q457,Q458)&lt;1,1),FALSE))))"),FALSE)</f>
        <v>0</v>
      </c>
      <c r="S458" s="59">
        <f t="array" ref="S458">IF(COUNTA(Q458:Q1350)=0,"",SUM((COUNTIF(Q$4:Q458,Upgrades!$B$3:$B$13)-COUNTIF(Q$4:Q458,"Sell_"&amp;Upgrades!$B$3:$B$13))*Upgrades!$D$3:$D$13))</f>
        <v>428852.4</v>
      </c>
      <c r="T458" s="66">
        <f>IFERROR(__xludf.DUMMYFUNCTION("IF(COUNTA(Q458:Q1350)=0,"""",IF(REGEXMATCH(INDEX(FILTER(Q$4:Q458,Q$4:Q458&lt;&gt;""""),ROWS(FILTER(Q$4:Q458,Q$4:Q458&lt;&gt;""""))),""^Sell_""),INDEX(FILTER(T$4:T457,Q$4:Q457&lt;&gt;""""),ROWS(FILTER(Q$4:Q457,Q$4:Q457&lt;&gt;""""))),$AD$5+S458))"),438618.4)</f>
        <v>438618.4</v>
      </c>
      <c r="U458" s="10">
        <f>IFERROR(__xludf.DUMMYFUNCTION("IF(COUNTA(Q458:Q1350)=0,"""",IF(Q458="""",0,IF(REGEXMATCH(Q458,""^Sell_""),-ROUNDDOWN(ROUNDUP(INDEX(Upgrades!$C$3:$C$13,MATCH(SUBSTITUTE(Q458,""Sell_"",""""),Upgrades!$B$3:$B$13,0))*1.15^(COUNTIF(Q$4:Q457,SUBSTITUTE(Q458,""Sell_"",""""))-COUNTIF(Q$4:Q457,"&amp;"""Sell_""&amp;SUBSTITUTE(Q458,""Sell_"",""""))))/2),ROUNDUP(INDEX(Upgrades!$C$3:$C$13,MATCH(Q458,Upgrades!$B$3:$B$13,0))*1.15^(COUNTIF(Q$4:Q457,Q458)-COUNTIF(Q$4:Q457,""Sell_""&amp;Q458))))))"),-813706.0)</f>
        <v>-813706</v>
      </c>
      <c r="V458" s="10">
        <f t="shared" si="11"/>
        <v>-16538256</v>
      </c>
      <c r="W458" s="68">
        <f t="shared" si="12"/>
        <v>6085.8512</v>
      </c>
      <c r="X458" s="59" t="str">
        <f t="shared" si="13"/>
        <v>1h 41m 25s</v>
      </c>
      <c r="Y458" s="69">
        <f t="shared" si="14"/>
        <v>666718570</v>
      </c>
      <c r="Z458" s="11"/>
    </row>
    <row r="459">
      <c r="A459" s="8"/>
      <c r="B459" s="56" t="str">
        <f t="shared" si="2"/>
        <v/>
      </c>
      <c r="C459" s="57"/>
      <c r="D459" s="10" t="str">
        <f>IFERROR(__xludf.DUMMYFUNCTION("IF(COUNTA(C459:C1350)=0,"""",IF(ISBLANK(C459),FALSE,IF(NOT(COUNTIF($AA$24:$AA$34,SUBSTITUTE(C459,""Sell_"",""""))),1,IF(REGEXMATCH(C459,""Sell_""),IF(COUNTIF(C$4:C459,SUBSTITUTE(C459,""Sell_"",""""))-COUNTIF(C$4:C458,C459)&lt;1,1),FALSE))))"),"")</f>
        <v/>
      </c>
      <c r="E459" s="59" t="str">
        <f t="array" ref="E459">IF(COUNTA(C459:C1350)=0,"",SUM((COUNTIF(C$4:C459,Upgrades!$B$3:$B$13)-COUNTIF(C$4:C459,"Sell_"&amp;Upgrades!$B$3:$B$13))*Upgrades!$D$3:$D$13))</f>
        <v/>
      </c>
      <c r="F459" s="66" t="str">
        <f>IFERROR(__xludf.DUMMYFUNCTION("IF(COUNTA(C459:C1350)=0,"""",IF(REGEXMATCH(INDEX(FILTER(C$4:C459,C$4:C459&lt;&gt;""""),ROWS(FILTER(C$4:C459,C$4:C459&lt;&gt;""""))),""^Sell_""),INDEX(FILTER(F$4:F458,C$4:C458&lt;&gt;""""),ROWS(FILTER(C$4:C458,C$4:C458&lt;&gt;""""))),$AC$5+E459))"),"")</f>
        <v/>
      </c>
      <c r="G459" s="10" t="str">
        <f>IFERROR(__xludf.DUMMYFUNCTION("IF(COUNTA(C459:C1350)=0,"""",IF(C459="""",0,IF(REGEXMATCH(C459,""^Sell_""),-ROUNDDOWN(ROUNDUP(INDEX(Upgrades!$C$3:$C$13,MATCH(SUBSTITUTE(C459,""Sell_"",""""),Upgrades!$B$3:$B$13,0))*1.15^(COUNTIF(C$4:C458,SUBSTITUTE(C459,""Sell_"",""""))-COUNTIF(C$4:C458,"&amp;"""Sell_""&amp;SUBSTITUTE(C459,""Sell_"",""""))))/2),ROUNDUP(INDEX(Upgrades!$C$3:$C$13,MATCH(C459,Upgrades!$B$3:$B$13,0))*1.15^(COUNTIF(C$4:C458,C459)-COUNTIF(C$4:C458,""Sell_""&amp;C459))))))"),"")</f>
        <v/>
      </c>
      <c r="H459" s="10" t="str">
        <f t="shared" si="3"/>
        <v/>
      </c>
      <c r="I459" s="68" t="str">
        <f t="shared" si="4"/>
        <v/>
      </c>
      <c r="J459" s="59" t="str">
        <f t="shared" si="5"/>
        <v/>
      </c>
      <c r="K459" s="69" t="str">
        <f t="shared" si="6"/>
        <v/>
      </c>
      <c r="L459" s="60">
        <f t="shared" si="7"/>
        <v>-224.65193</v>
      </c>
      <c r="M459" s="61">
        <f>IFERROR(__xludf.DUMMYFUNCTION("IFS(AND(COUNTA(C459:C1350)=0,COUNTA(Q459:Q1350)=0),"""",OR(AND(K459&gt;=1000000000,OR(Y459&gt;=1000000000,COUNTA(Q459:Q1350)=0)),OR(Y459&gt;=1000000000,AND(COUNTA(C459:C1350)=0,P$3=TRUE))),
ROUNDDOWN((AB$1-AC$1)*MAX(INDEX(T$4:T1350,MATCH(LARGE(FILTER(Y$4:Y1350,Y$4"&amp;":Y1350&lt;1000000000),1),Y$4:Y1350)),INDEX(F$4:F1350,MATCH(LARGE(FILTER(K$4:K1350,K$4:K1350&lt;1000000000),1),K$4:K1350)))),AND(K459&lt;1000000000,COUNTA(C459:C1350)&gt;0,P$3=FALSE),
ROUNDDOWN(INDEX(Y$4:Y1350,MATCH(LARGE(FILTER(W$4:W1350,W$4:W1350&lt;=I459),1),W$4:W1350"&amp;"))+(I459-LARGE(FILTER(W$4:W1350,W$4:W1350&lt;=I459),1))*INDEX(T$4:T1350,MATCH(LARGE(FILTER(W$4:W1350,W$4:W1350&lt;=I459),1),W$4:W1350))-K459),1,
ROUNDDOWN(Y459-INDEX(K$4:K1350,MATCH(LARGE(FILTER(I$4:I1350,I$4:I1350&lt;=W459),1),I$4:I1350))-(W459-LARGE(FILTER(I$4:I"&amp;"1350,I$4:I1350&lt;=W459),1))*INDEX(F$4:F1350,MATCH(LARGE(FILTER(I$4:I1350,I$4:I1350&lt;=W459),1),I$4:I1350))))"),9.2226469E7)</f>
        <v>92226469</v>
      </c>
      <c r="N459" s="60">
        <f t="shared" si="8"/>
        <v>-224.65193</v>
      </c>
      <c r="O459" s="61" t="str">
        <f t="shared" si="9"/>
        <v>92,2M</v>
      </c>
      <c r="P459" s="56">
        <f t="shared" si="10"/>
        <v>28</v>
      </c>
      <c r="Q459" s="105" t="s">
        <v>60</v>
      </c>
      <c r="R459" s="10" t="b">
        <f>IFERROR(__xludf.DUMMYFUNCTION("IF(COUNTA(Q459:Q1350)=0,"""",IF(ISBLANK(Q459),FALSE,IF(NOT(COUNTIF($AA$24:$AA$34,SUBSTITUTE(Q459,""Sell_"",""""))),1,IF(REGEXMATCH(Q459,""Sell_""),IF(COUNTIF(Q$4:Q459,SUBSTITUTE(Q459,""Sell_"",""""))-COUNTIF(Q$4:Q458,Q459)&lt;1,1),FALSE))))"),FALSE)</f>
        <v>0</v>
      </c>
      <c r="S459" s="59">
        <f t="array" ref="S459">IF(COUNTA(Q459:Q1350)=0,"",SUM((COUNTIF(Q$4:Q459,Upgrades!$B$3:$B$13)-COUNTIF(Q$4:Q459,"Sell_"&amp;Upgrades!$B$3:$B$13))*Upgrades!$D$3:$D$13))</f>
        <v>428452.4</v>
      </c>
      <c r="T459" s="66">
        <f>IFERROR(__xludf.DUMMYFUNCTION("IF(COUNTA(Q459:Q1350)=0,"""",IF(REGEXMATCH(INDEX(FILTER(Q$4:Q459,Q$4:Q459&lt;&gt;""""),ROWS(FILTER(Q$4:Q459,Q$4:Q459&lt;&gt;""""))),""^Sell_""),INDEX(FILTER(T$4:T458,Q$4:Q458&lt;&gt;""""),ROWS(FILTER(Q$4:Q458,Q$4:Q458&lt;&gt;""""))),$AD$5+S459))"),438618.4)</f>
        <v>438618.4</v>
      </c>
      <c r="U459" s="10">
        <f>IFERROR(__xludf.DUMMYFUNCTION("IF(COUNTA(Q459:Q1350)=0,"""",IF(Q459="""",0,IF(REGEXMATCH(Q459,""^Sell_""),-ROUNDDOWN(ROUNDUP(INDEX(Upgrades!$C$3:$C$13,MATCH(SUBSTITUTE(Q459,""Sell_"",""""),Upgrades!$B$3:$B$13,0))*1.15^(COUNTIF(Q$4:Q458,SUBSTITUTE(Q459,""Sell_"",""""))-COUNTIF(Q$4:Q458,"&amp;"""Sell_""&amp;SUBSTITUTE(Q459,""Sell_"",""""))))/2),ROUNDUP(INDEX(Upgrades!$C$3:$C$13,MATCH(Q459,Upgrades!$B$3:$B$13,0))*1.15^(COUNTIF(Q$4:Q458,Q459)-COUNTIF(Q$4:Q458,""Sell_""&amp;Q459))))))"),-707571.0)</f>
        <v>-707571</v>
      </c>
      <c r="V459" s="10">
        <f t="shared" si="11"/>
        <v>-17245827</v>
      </c>
      <c r="W459" s="68">
        <f t="shared" si="12"/>
        <v>6085.8512</v>
      </c>
      <c r="X459" s="59" t="str">
        <f t="shared" si="13"/>
        <v>1h 41m 25s</v>
      </c>
      <c r="Y459" s="69">
        <f t="shared" si="14"/>
        <v>666718570</v>
      </c>
      <c r="Z459" s="11"/>
    </row>
    <row r="460">
      <c r="A460" s="8"/>
      <c r="B460" s="56" t="str">
        <f t="shared" si="2"/>
        <v/>
      </c>
      <c r="C460" s="57"/>
      <c r="D460" s="10" t="str">
        <f>IFERROR(__xludf.DUMMYFUNCTION("IF(COUNTA(C460:C1350)=0,"""",IF(ISBLANK(C460),FALSE,IF(NOT(COUNTIF($AA$24:$AA$34,SUBSTITUTE(C460,""Sell_"",""""))),1,IF(REGEXMATCH(C460,""Sell_""),IF(COUNTIF(C$4:C460,SUBSTITUTE(C460,""Sell_"",""""))-COUNTIF(C$4:C459,C460)&lt;1,1),FALSE))))"),"")</f>
        <v/>
      </c>
      <c r="E460" s="59" t="str">
        <f t="array" ref="E460">IF(COUNTA(C460:C1350)=0,"",SUM((COUNTIF(C$4:C460,Upgrades!$B$3:$B$13)-COUNTIF(C$4:C460,"Sell_"&amp;Upgrades!$B$3:$B$13))*Upgrades!$D$3:$D$13))</f>
        <v/>
      </c>
      <c r="F460" s="66" t="str">
        <f>IFERROR(__xludf.DUMMYFUNCTION("IF(COUNTA(C460:C1350)=0,"""",IF(REGEXMATCH(INDEX(FILTER(C$4:C460,C$4:C460&lt;&gt;""""),ROWS(FILTER(C$4:C460,C$4:C460&lt;&gt;""""))),""^Sell_""),INDEX(FILTER(F$4:F459,C$4:C459&lt;&gt;""""),ROWS(FILTER(C$4:C459,C$4:C459&lt;&gt;""""))),$AC$5+E460))"),"")</f>
        <v/>
      </c>
      <c r="G460" s="10" t="str">
        <f>IFERROR(__xludf.DUMMYFUNCTION("IF(COUNTA(C460:C1350)=0,"""",IF(C460="""",0,IF(REGEXMATCH(C460,""^Sell_""),-ROUNDDOWN(ROUNDUP(INDEX(Upgrades!$C$3:$C$13,MATCH(SUBSTITUTE(C460,""Sell_"",""""),Upgrades!$B$3:$B$13,0))*1.15^(COUNTIF(C$4:C459,SUBSTITUTE(C460,""Sell_"",""""))-COUNTIF(C$4:C459,"&amp;"""Sell_""&amp;SUBSTITUTE(C460,""Sell_"",""""))))/2),ROUNDUP(INDEX(Upgrades!$C$3:$C$13,MATCH(C460,Upgrades!$B$3:$B$13,0))*1.15^(COUNTIF(C$4:C459,C460)-COUNTIF(C$4:C459,""Sell_""&amp;C460))))))"),"")</f>
        <v/>
      </c>
      <c r="H460" s="10" t="str">
        <f t="shared" si="3"/>
        <v/>
      </c>
      <c r="I460" s="68" t="str">
        <f t="shared" si="4"/>
        <v/>
      </c>
      <c r="J460" s="59" t="str">
        <f t="shared" si="5"/>
        <v/>
      </c>
      <c r="K460" s="69" t="str">
        <f t="shared" si="6"/>
        <v/>
      </c>
      <c r="L460" s="60">
        <f t="shared" si="7"/>
        <v>-224.65193</v>
      </c>
      <c r="M460" s="61">
        <f>IFERROR(__xludf.DUMMYFUNCTION("IFS(AND(COUNTA(C460:C1350)=0,COUNTA(Q460:Q1350)=0),"""",OR(AND(K460&gt;=1000000000,OR(Y460&gt;=1000000000,COUNTA(Q460:Q1350)=0)),OR(Y460&gt;=1000000000,AND(COUNTA(C460:C1350)=0,P$3=TRUE))),
ROUNDDOWN((AB$1-AC$1)*MAX(INDEX(T$4:T1350,MATCH(LARGE(FILTER(Y$4:Y1350,Y$4"&amp;":Y1350&lt;1000000000),1),Y$4:Y1350)),INDEX(F$4:F1350,MATCH(LARGE(FILTER(K$4:K1350,K$4:K1350&lt;1000000000),1),K$4:K1350)))),AND(K460&lt;1000000000,COUNTA(C460:C1350)&gt;0,P$3=FALSE),
ROUNDDOWN(INDEX(Y$4:Y1350,MATCH(LARGE(FILTER(W$4:W1350,W$4:W1350&lt;=I460),1),W$4:W1350"&amp;"))+(I460-LARGE(FILTER(W$4:W1350,W$4:W1350&lt;=I460),1))*INDEX(T$4:T1350,MATCH(LARGE(FILTER(W$4:W1350,W$4:W1350&lt;=I460),1),W$4:W1350))-K460),1,
ROUNDDOWN(Y460-INDEX(K$4:K1350,MATCH(LARGE(FILTER(I$4:I1350,I$4:I1350&lt;=W460),1),I$4:I1350))-(W460-LARGE(FILTER(I$4:I"&amp;"1350,I$4:I1350&lt;=W460),1))*INDEX(F$4:F1350,MATCH(LARGE(FILTER(I$4:I1350,I$4:I1350&lt;=W460),1),I$4:I1350))))"),9.2226469E7)</f>
        <v>92226469</v>
      </c>
      <c r="N460" s="60">
        <f t="shared" si="8"/>
        <v>-224.65193</v>
      </c>
      <c r="O460" s="61" t="str">
        <f t="shared" si="9"/>
        <v>92,2M</v>
      </c>
      <c r="P460" s="56">
        <f t="shared" si="10"/>
        <v>29</v>
      </c>
      <c r="Q460" s="105" t="s">
        <v>60</v>
      </c>
      <c r="R460" s="10" t="b">
        <f>IFERROR(__xludf.DUMMYFUNCTION("IF(COUNTA(Q460:Q1350)=0,"""",IF(ISBLANK(Q460),FALSE,IF(NOT(COUNTIF($AA$24:$AA$34,SUBSTITUTE(Q460,""Sell_"",""""))),1,IF(REGEXMATCH(Q460,""Sell_""),IF(COUNTIF(Q$4:Q460,SUBSTITUTE(Q460,""Sell_"",""""))-COUNTIF(Q$4:Q459,Q460)&lt;1,1),FALSE))))"),FALSE)</f>
        <v>0</v>
      </c>
      <c r="S460" s="59">
        <f t="array" ref="S460">IF(COUNTA(Q460:Q1350)=0,"",SUM((COUNTIF(Q$4:Q460,Upgrades!$B$3:$B$13)-COUNTIF(Q$4:Q460,"Sell_"&amp;Upgrades!$B$3:$B$13))*Upgrades!$D$3:$D$13))</f>
        <v>428052.4</v>
      </c>
      <c r="T460" s="66">
        <f>IFERROR(__xludf.DUMMYFUNCTION("IF(COUNTA(Q460:Q1350)=0,"""",IF(REGEXMATCH(INDEX(FILTER(Q$4:Q460,Q$4:Q460&lt;&gt;""""),ROWS(FILTER(Q$4:Q460,Q$4:Q460&lt;&gt;""""))),""^Sell_""),INDEX(FILTER(T$4:T459,Q$4:Q459&lt;&gt;""""),ROWS(FILTER(Q$4:Q459,Q$4:Q459&lt;&gt;""""))),$AD$5+S460))"),438618.4)</f>
        <v>438618.4</v>
      </c>
      <c r="U460" s="10">
        <f>IFERROR(__xludf.DUMMYFUNCTION("IF(COUNTA(Q460:Q1350)=0,"""",IF(Q460="""",0,IF(REGEXMATCH(Q460,""^Sell_""),-ROUNDDOWN(ROUNDUP(INDEX(Upgrades!$C$3:$C$13,MATCH(SUBSTITUTE(Q460,""Sell_"",""""),Upgrades!$B$3:$B$13,0))*1.15^(COUNTIF(Q$4:Q459,SUBSTITUTE(Q460,""Sell_"",""""))-COUNTIF(Q$4:Q459,"&amp;"""Sell_""&amp;SUBSTITUTE(Q460,""Sell_"",""""))))/2),ROUNDUP(INDEX(Upgrades!$C$3:$C$13,MATCH(Q460,Upgrades!$B$3:$B$13,0))*1.15^(COUNTIF(Q$4:Q459,Q460)-COUNTIF(Q$4:Q459,""Sell_""&amp;Q460))))))"),-615279.0)</f>
        <v>-615279</v>
      </c>
      <c r="V460" s="10">
        <f t="shared" si="11"/>
        <v>-17861106</v>
      </c>
      <c r="W460" s="68">
        <f t="shared" si="12"/>
        <v>6085.8512</v>
      </c>
      <c r="X460" s="59" t="str">
        <f t="shared" si="13"/>
        <v>1h 41m 25s</v>
      </c>
      <c r="Y460" s="69">
        <f t="shared" si="14"/>
        <v>666718570</v>
      </c>
      <c r="Z460" s="11"/>
    </row>
    <row r="461">
      <c r="A461" s="8"/>
      <c r="B461" s="56" t="str">
        <f t="shared" si="2"/>
        <v/>
      </c>
      <c r="C461" s="57"/>
      <c r="D461" s="10" t="str">
        <f>IFERROR(__xludf.DUMMYFUNCTION("IF(COUNTA(C461:C1350)=0,"""",IF(ISBLANK(C461),FALSE,IF(NOT(COUNTIF($AA$24:$AA$34,SUBSTITUTE(C461,""Sell_"",""""))),1,IF(REGEXMATCH(C461,""Sell_""),IF(COUNTIF(C$4:C461,SUBSTITUTE(C461,""Sell_"",""""))-COUNTIF(C$4:C460,C461)&lt;1,1),FALSE))))"),"")</f>
        <v/>
      </c>
      <c r="E461" s="59" t="str">
        <f t="array" ref="E461">IF(COUNTA(C461:C1350)=0,"",SUM((COUNTIF(C$4:C461,Upgrades!$B$3:$B$13)-COUNTIF(C$4:C461,"Sell_"&amp;Upgrades!$B$3:$B$13))*Upgrades!$D$3:$D$13))</f>
        <v/>
      </c>
      <c r="F461" s="66" t="str">
        <f>IFERROR(__xludf.DUMMYFUNCTION("IF(COUNTA(C461:C1350)=0,"""",IF(REGEXMATCH(INDEX(FILTER(C$4:C461,C$4:C461&lt;&gt;""""),ROWS(FILTER(C$4:C461,C$4:C461&lt;&gt;""""))),""^Sell_""),INDEX(FILTER(F$4:F460,C$4:C460&lt;&gt;""""),ROWS(FILTER(C$4:C460,C$4:C460&lt;&gt;""""))),$AC$5+E461))"),"")</f>
        <v/>
      </c>
      <c r="G461" s="10" t="str">
        <f>IFERROR(__xludf.DUMMYFUNCTION("IF(COUNTA(C461:C1350)=0,"""",IF(C461="""",0,IF(REGEXMATCH(C461,""^Sell_""),-ROUNDDOWN(ROUNDUP(INDEX(Upgrades!$C$3:$C$13,MATCH(SUBSTITUTE(C461,""Sell_"",""""),Upgrades!$B$3:$B$13,0))*1.15^(COUNTIF(C$4:C460,SUBSTITUTE(C461,""Sell_"",""""))-COUNTIF(C$4:C460,"&amp;"""Sell_""&amp;SUBSTITUTE(C461,""Sell_"",""""))))/2),ROUNDUP(INDEX(Upgrades!$C$3:$C$13,MATCH(C461,Upgrades!$B$3:$B$13,0))*1.15^(COUNTIF(C$4:C460,C461)-COUNTIF(C$4:C460,""Sell_""&amp;C461))))))"),"")</f>
        <v/>
      </c>
      <c r="H461" s="10" t="str">
        <f t="shared" si="3"/>
        <v/>
      </c>
      <c r="I461" s="68" t="str">
        <f t="shared" si="4"/>
        <v/>
      </c>
      <c r="J461" s="59" t="str">
        <f t="shared" si="5"/>
        <v/>
      </c>
      <c r="K461" s="69" t="str">
        <f t="shared" si="6"/>
        <v/>
      </c>
      <c r="L461" s="60">
        <f t="shared" si="7"/>
        <v>-224.65193</v>
      </c>
      <c r="M461" s="61">
        <f>IFERROR(__xludf.DUMMYFUNCTION("IFS(AND(COUNTA(C461:C1350)=0,COUNTA(Q461:Q1350)=0),"""",OR(AND(K461&gt;=1000000000,OR(Y461&gt;=1000000000,COUNTA(Q461:Q1350)=0)),OR(Y461&gt;=1000000000,AND(COUNTA(C461:C1350)=0,P$3=TRUE))),
ROUNDDOWN((AB$1-AC$1)*MAX(INDEX(T$4:T1350,MATCH(LARGE(FILTER(Y$4:Y1350,Y$4"&amp;":Y1350&lt;1000000000),1),Y$4:Y1350)),INDEX(F$4:F1350,MATCH(LARGE(FILTER(K$4:K1350,K$4:K1350&lt;1000000000),1),K$4:K1350)))),AND(K461&lt;1000000000,COUNTA(C461:C1350)&gt;0,P$3=FALSE),
ROUNDDOWN(INDEX(Y$4:Y1350,MATCH(LARGE(FILTER(W$4:W1350,W$4:W1350&lt;=I461),1),W$4:W1350"&amp;"))+(I461-LARGE(FILTER(W$4:W1350,W$4:W1350&lt;=I461),1))*INDEX(T$4:T1350,MATCH(LARGE(FILTER(W$4:W1350,W$4:W1350&lt;=I461),1),W$4:W1350))-K461),1,
ROUNDDOWN(Y461-INDEX(K$4:K1350,MATCH(LARGE(FILTER(I$4:I1350,I$4:I1350&lt;=W461),1),I$4:I1350))-(W461-LARGE(FILTER(I$4:I"&amp;"1350,I$4:I1350&lt;=W461),1))*INDEX(F$4:F1350,MATCH(LARGE(FILTER(I$4:I1350,I$4:I1350&lt;=W461),1),I$4:I1350))))"),9.2226469E7)</f>
        <v>92226469</v>
      </c>
      <c r="N461" s="60">
        <f t="shared" si="8"/>
        <v>-224.65193</v>
      </c>
      <c r="O461" s="61" t="str">
        <f t="shared" si="9"/>
        <v>92,2M</v>
      </c>
      <c r="P461" s="56">
        <f t="shared" si="10"/>
        <v>30</v>
      </c>
      <c r="Q461" s="105" t="s">
        <v>60</v>
      </c>
      <c r="R461" s="10" t="b">
        <f>IFERROR(__xludf.DUMMYFUNCTION("IF(COUNTA(Q461:Q1350)=0,"""",IF(ISBLANK(Q461),FALSE,IF(NOT(COUNTIF($AA$24:$AA$34,SUBSTITUTE(Q461,""Sell_"",""""))),1,IF(REGEXMATCH(Q461,""Sell_""),IF(COUNTIF(Q$4:Q461,SUBSTITUTE(Q461,""Sell_"",""""))-COUNTIF(Q$4:Q460,Q461)&lt;1,1),FALSE))))"),FALSE)</f>
        <v>0</v>
      </c>
      <c r="S461" s="59">
        <f t="array" ref="S461">IF(COUNTA(Q461:Q1350)=0,"",SUM((COUNTIF(Q$4:Q461,Upgrades!$B$3:$B$13)-COUNTIF(Q$4:Q461,"Sell_"&amp;Upgrades!$B$3:$B$13))*Upgrades!$D$3:$D$13))</f>
        <v>427652.4</v>
      </c>
      <c r="T461" s="66">
        <f>IFERROR(__xludf.DUMMYFUNCTION("IF(COUNTA(Q461:Q1350)=0,"""",IF(REGEXMATCH(INDEX(FILTER(Q$4:Q461,Q$4:Q461&lt;&gt;""""),ROWS(FILTER(Q$4:Q461,Q$4:Q461&lt;&gt;""""))),""^Sell_""),INDEX(FILTER(T$4:T460,Q$4:Q460&lt;&gt;""""),ROWS(FILTER(Q$4:Q460,Q$4:Q460&lt;&gt;""""))),$AD$5+S461))"),438618.4)</f>
        <v>438618.4</v>
      </c>
      <c r="U461" s="10">
        <f>IFERROR(__xludf.DUMMYFUNCTION("IF(COUNTA(Q461:Q1350)=0,"""",IF(Q461="""",0,IF(REGEXMATCH(Q461,""^Sell_""),-ROUNDDOWN(ROUNDUP(INDEX(Upgrades!$C$3:$C$13,MATCH(SUBSTITUTE(Q461,""Sell_"",""""),Upgrades!$B$3:$B$13,0))*1.15^(COUNTIF(Q$4:Q460,SUBSTITUTE(Q461,""Sell_"",""""))-COUNTIF(Q$4:Q460,"&amp;"""Sell_""&amp;SUBSTITUTE(Q461,""Sell_"",""""))))/2),ROUNDUP(INDEX(Upgrades!$C$3:$C$13,MATCH(Q461,Upgrades!$B$3:$B$13,0))*1.15^(COUNTIF(Q$4:Q460,Q461)-COUNTIF(Q$4:Q460,""Sell_""&amp;Q461))))))"),-535025.0)</f>
        <v>-535025</v>
      </c>
      <c r="V461" s="10">
        <f t="shared" si="11"/>
        <v>-18396131</v>
      </c>
      <c r="W461" s="68">
        <f t="shared" si="12"/>
        <v>6085.8512</v>
      </c>
      <c r="X461" s="59" t="str">
        <f t="shared" si="13"/>
        <v>1h 41m 25s</v>
      </c>
      <c r="Y461" s="69">
        <f t="shared" si="14"/>
        <v>666718570</v>
      </c>
      <c r="Z461" s="11"/>
    </row>
    <row r="462">
      <c r="A462" s="8"/>
      <c r="B462" s="56" t="str">
        <f t="shared" si="2"/>
        <v/>
      </c>
      <c r="C462" s="57"/>
      <c r="D462" s="10" t="str">
        <f>IFERROR(__xludf.DUMMYFUNCTION("IF(COUNTA(C462:C1350)=0,"""",IF(ISBLANK(C462),FALSE,IF(NOT(COUNTIF($AA$24:$AA$34,SUBSTITUTE(C462,""Sell_"",""""))),1,IF(REGEXMATCH(C462,""Sell_""),IF(COUNTIF(C$4:C462,SUBSTITUTE(C462,""Sell_"",""""))-COUNTIF(C$4:C461,C462)&lt;1,1),FALSE))))"),"")</f>
        <v/>
      </c>
      <c r="E462" s="59" t="str">
        <f t="array" ref="E462">IF(COUNTA(C462:C1350)=0,"",SUM((COUNTIF(C$4:C462,Upgrades!$B$3:$B$13)-COUNTIF(C$4:C462,"Sell_"&amp;Upgrades!$B$3:$B$13))*Upgrades!$D$3:$D$13))</f>
        <v/>
      </c>
      <c r="F462" s="66" t="str">
        <f>IFERROR(__xludf.DUMMYFUNCTION("IF(COUNTA(C462:C1350)=0,"""",IF(REGEXMATCH(INDEX(FILTER(C$4:C462,C$4:C462&lt;&gt;""""),ROWS(FILTER(C$4:C462,C$4:C462&lt;&gt;""""))),""^Sell_""),INDEX(FILTER(F$4:F461,C$4:C461&lt;&gt;""""),ROWS(FILTER(C$4:C461,C$4:C461&lt;&gt;""""))),$AC$5+E462))"),"")</f>
        <v/>
      </c>
      <c r="G462" s="10" t="str">
        <f>IFERROR(__xludf.DUMMYFUNCTION("IF(COUNTA(C462:C1350)=0,"""",IF(C462="""",0,IF(REGEXMATCH(C462,""^Sell_""),-ROUNDDOWN(ROUNDUP(INDEX(Upgrades!$C$3:$C$13,MATCH(SUBSTITUTE(C462,""Sell_"",""""),Upgrades!$B$3:$B$13,0))*1.15^(COUNTIF(C$4:C461,SUBSTITUTE(C462,""Sell_"",""""))-COUNTIF(C$4:C461,"&amp;"""Sell_""&amp;SUBSTITUTE(C462,""Sell_"",""""))))/2),ROUNDUP(INDEX(Upgrades!$C$3:$C$13,MATCH(C462,Upgrades!$B$3:$B$13,0))*1.15^(COUNTIF(C$4:C461,C462)-COUNTIF(C$4:C461,""Sell_""&amp;C462))))))"),"")</f>
        <v/>
      </c>
      <c r="H462" s="10" t="str">
        <f t="shared" si="3"/>
        <v/>
      </c>
      <c r="I462" s="68" t="str">
        <f t="shared" si="4"/>
        <v/>
      </c>
      <c r="J462" s="59" t="str">
        <f t="shared" si="5"/>
        <v/>
      </c>
      <c r="K462" s="69" t="str">
        <f t="shared" si="6"/>
        <v/>
      </c>
      <c r="L462" s="60">
        <f t="shared" si="7"/>
        <v>-224.65193</v>
      </c>
      <c r="M462" s="61">
        <f>IFERROR(__xludf.DUMMYFUNCTION("IFS(AND(COUNTA(C462:C1350)=0,COUNTA(Q462:Q1350)=0),"""",OR(AND(K462&gt;=1000000000,OR(Y462&gt;=1000000000,COUNTA(Q462:Q1350)=0)),OR(Y462&gt;=1000000000,AND(COUNTA(C462:C1350)=0,P$3=TRUE))),
ROUNDDOWN((AB$1-AC$1)*MAX(INDEX(T$4:T1350,MATCH(LARGE(FILTER(Y$4:Y1350,Y$4"&amp;":Y1350&lt;1000000000),1),Y$4:Y1350)),INDEX(F$4:F1350,MATCH(LARGE(FILTER(K$4:K1350,K$4:K1350&lt;1000000000),1),K$4:K1350)))),AND(K462&lt;1000000000,COUNTA(C462:C1350)&gt;0,P$3=FALSE),
ROUNDDOWN(INDEX(Y$4:Y1350,MATCH(LARGE(FILTER(W$4:W1350,W$4:W1350&lt;=I462),1),W$4:W1350"&amp;"))+(I462-LARGE(FILTER(W$4:W1350,W$4:W1350&lt;=I462),1))*INDEX(T$4:T1350,MATCH(LARGE(FILTER(W$4:W1350,W$4:W1350&lt;=I462),1),W$4:W1350))-K462),1,
ROUNDDOWN(Y462-INDEX(K$4:K1350,MATCH(LARGE(FILTER(I$4:I1350,I$4:I1350&lt;=W462),1),I$4:I1350))-(W462-LARGE(FILTER(I$4:I"&amp;"1350,I$4:I1350&lt;=W462),1))*INDEX(F$4:F1350,MATCH(LARGE(FILTER(I$4:I1350,I$4:I1350&lt;=W462),1),I$4:I1350))))"),9.2226469E7)</f>
        <v>92226469</v>
      </c>
      <c r="N462" s="60">
        <f t="shared" si="8"/>
        <v>-224.65193</v>
      </c>
      <c r="O462" s="61" t="str">
        <f t="shared" si="9"/>
        <v>92,2M</v>
      </c>
      <c r="P462" s="56">
        <f t="shared" si="10"/>
        <v>31</v>
      </c>
      <c r="Q462" s="105" t="s">
        <v>60</v>
      </c>
      <c r="R462" s="10" t="b">
        <f>IFERROR(__xludf.DUMMYFUNCTION("IF(COUNTA(Q462:Q1350)=0,"""",IF(ISBLANK(Q462),FALSE,IF(NOT(COUNTIF($AA$24:$AA$34,SUBSTITUTE(Q462,""Sell_"",""""))),1,IF(REGEXMATCH(Q462,""Sell_""),IF(COUNTIF(Q$4:Q462,SUBSTITUTE(Q462,""Sell_"",""""))-COUNTIF(Q$4:Q461,Q462)&lt;1,1),FALSE))))"),FALSE)</f>
        <v>0</v>
      </c>
      <c r="S462" s="59">
        <f t="array" ref="S462">IF(COUNTA(Q462:Q1350)=0,"",SUM((COUNTIF(Q$4:Q462,Upgrades!$B$3:$B$13)-COUNTIF(Q$4:Q462,"Sell_"&amp;Upgrades!$B$3:$B$13))*Upgrades!$D$3:$D$13))</f>
        <v>427252.4</v>
      </c>
      <c r="T462" s="66">
        <f>IFERROR(__xludf.DUMMYFUNCTION("IF(COUNTA(Q462:Q1350)=0,"""",IF(REGEXMATCH(INDEX(FILTER(Q$4:Q462,Q$4:Q462&lt;&gt;""""),ROWS(FILTER(Q$4:Q462,Q$4:Q462&lt;&gt;""""))),""^Sell_""),INDEX(FILTER(T$4:T461,Q$4:Q461&lt;&gt;""""),ROWS(FILTER(Q$4:Q461,Q$4:Q461&lt;&gt;""""))),$AD$5+S462))"),438618.4)</f>
        <v>438618.4</v>
      </c>
      <c r="U462" s="10">
        <f>IFERROR(__xludf.DUMMYFUNCTION("IF(COUNTA(Q462:Q1350)=0,"""",IF(Q462="""",0,IF(REGEXMATCH(Q462,""^Sell_""),-ROUNDDOWN(ROUNDUP(INDEX(Upgrades!$C$3:$C$13,MATCH(SUBSTITUTE(Q462,""Sell_"",""""),Upgrades!$B$3:$B$13,0))*1.15^(COUNTIF(Q$4:Q461,SUBSTITUTE(Q462,""Sell_"",""""))-COUNTIF(Q$4:Q461,"&amp;"""Sell_""&amp;SUBSTITUTE(Q462,""Sell_"",""""))))/2),ROUNDUP(INDEX(Upgrades!$C$3:$C$13,MATCH(Q462,Upgrades!$B$3:$B$13,0))*1.15^(COUNTIF(Q$4:Q461,Q462)-COUNTIF(Q$4:Q461,""Sell_""&amp;Q462))))))"),-465239.0)</f>
        <v>-465239</v>
      </c>
      <c r="V462" s="10">
        <f t="shared" si="11"/>
        <v>-18861370</v>
      </c>
      <c r="W462" s="68">
        <f t="shared" si="12"/>
        <v>6085.8512</v>
      </c>
      <c r="X462" s="59" t="str">
        <f t="shared" si="13"/>
        <v>1h 41m 25s</v>
      </c>
      <c r="Y462" s="69">
        <f t="shared" si="14"/>
        <v>666718570</v>
      </c>
      <c r="Z462" s="11"/>
    </row>
    <row r="463">
      <c r="A463" s="8"/>
      <c r="B463" s="56" t="str">
        <f t="shared" si="2"/>
        <v/>
      </c>
      <c r="C463" s="57"/>
      <c r="D463" s="10" t="str">
        <f>IFERROR(__xludf.DUMMYFUNCTION("IF(COUNTA(C463:C1350)=0,"""",IF(ISBLANK(C463),FALSE,IF(NOT(COUNTIF($AA$24:$AA$34,SUBSTITUTE(C463,""Sell_"",""""))),1,IF(REGEXMATCH(C463,""Sell_""),IF(COUNTIF(C$4:C463,SUBSTITUTE(C463,""Sell_"",""""))-COUNTIF(C$4:C462,C463)&lt;1,1),FALSE))))"),"")</f>
        <v/>
      </c>
      <c r="E463" s="59" t="str">
        <f t="array" ref="E463">IF(COUNTA(C463:C1350)=0,"",SUM((COUNTIF(C$4:C463,Upgrades!$B$3:$B$13)-COUNTIF(C$4:C463,"Sell_"&amp;Upgrades!$B$3:$B$13))*Upgrades!$D$3:$D$13))</f>
        <v/>
      </c>
      <c r="F463" s="66" t="str">
        <f>IFERROR(__xludf.DUMMYFUNCTION("IF(COUNTA(C463:C1350)=0,"""",IF(REGEXMATCH(INDEX(FILTER(C$4:C463,C$4:C463&lt;&gt;""""),ROWS(FILTER(C$4:C463,C$4:C463&lt;&gt;""""))),""^Sell_""),INDEX(FILTER(F$4:F462,C$4:C462&lt;&gt;""""),ROWS(FILTER(C$4:C462,C$4:C462&lt;&gt;""""))),$AC$5+E463))"),"")</f>
        <v/>
      </c>
      <c r="G463" s="10" t="str">
        <f>IFERROR(__xludf.DUMMYFUNCTION("IF(COUNTA(C463:C1350)=0,"""",IF(C463="""",0,IF(REGEXMATCH(C463,""^Sell_""),-ROUNDDOWN(ROUNDUP(INDEX(Upgrades!$C$3:$C$13,MATCH(SUBSTITUTE(C463,""Sell_"",""""),Upgrades!$B$3:$B$13,0))*1.15^(COUNTIF(C$4:C462,SUBSTITUTE(C463,""Sell_"",""""))-COUNTIF(C$4:C462,"&amp;"""Sell_""&amp;SUBSTITUTE(C463,""Sell_"",""""))))/2),ROUNDUP(INDEX(Upgrades!$C$3:$C$13,MATCH(C463,Upgrades!$B$3:$B$13,0))*1.15^(COUNTIF(C$4:C462,C463)-COUNTIF(C$4:C462,""Sell_""&amp;C463))))))"),"")</f>
        <v/>
      </c>
      <c r="H463" s="10" t="str">
        <f t="shared" si="3"/>
        <v/>
      </c>
      <c r="I463" s="68" t="str">
        <f t="shared" si="4"/>
        <v/>
      </c>
      <c r="J463" s="59" t="str">
        <f t="shared" si="5"/>
        <v/>
      </c>
      <c r="K463" s="69" t="str">
        <f t="shared" si="6"/>
        <v/>
      </c>
      <c r="L463" s="60">
        <f t="shared" si="7"/>
        <v>-224.65193</v>
      </c>
      <c r="M463" s="61">
        <f>IFERROR(__xludf.DUMMYFUNCTION("IFS(AND(COUNTA(C463:C1350)=0,COUNTA(Q463:Q1350)=0),"""",OR(AND(K463&gt;=1000000000,OR(Y463&gt;=1000000000,COUNTA(Q463:Q1350)=0)),OR(Y463&gt;=1000000000,AND(COUNTA(C463:C1350)=0,P$3=TRUE))),
ROUNDDOWN((AB$1-AC$1)*MAX(INDEX(T$4:T1350,MATCH(LARGE(FILTER(Y$4:Y1350,Y$4"&amp;":Y1350&lt;1000000000),1),Y$4:Y1350)),INDEX(F$4:F1350,MATCH(LARGE(FILTER(K$4:K1350,K$4:K1350&lt;1000000000),1),K$4:K1350)))),AND(K463&lt;1000000000,COUNTA(C463:C1350)&gt;0,P$3=FALSE),
ROUNDDOWN(INDEX(Y$4:Y1350,MATCH(LARGE(FILTER(W$4:W1350,W$4:W1350&lt;=I463),1),W$4:W1350"&amp;"))+(I463-LARGE(FILTER(W$4:W1350,W$4:W1350&lt;=I463),1))*INDEX(T$4:T1350,MATCH(LARGE(FILTER(W$4:W1350,W$4:W1350&lt;=I463),1),W$4:W1350))-K463),1,
ROUNDDOWN(Y463-INDEX(K$4:K1350,MATCH(LARGE(FILTER(I$4:I1350,I$4:I1350&lt;=W463),1),I$4:I1350))-(W463-LARGE(FILTER(I$4:I"&amp;"1350,I$4:I1350&lt;=W463),1))*INDEX(F$4:F1350,MATCH(LARGE(FILTER(I$4:I1350,I$4:I1350&lt;=W463),1),I$4:I1350))))"),9.2226469E7)</f>
        <v>92226469</v>
      </c>
      <c r="N463" s="60">
        <f t="shared" si="8"/>
        <v>-224.65193</v>
      </c>
      <c r="O463" s="61" t="str">
        <f t="shared" si="9"/>
        <v>92,2M</v>
      </c>
      <c r="P463" s="56">
        <f t="shared" si="10"/>
        <v>32</v>
      </c>
      <c r="Q463" s="105" t="s">
        <v>60</v>
      </c>
      <c r="R463" s="10" t="b">
        <f>IFERROR(__xludf.DUMMYFUNCTION("IF(COUNTA(Q463:Q1350)=0,"""",IF(ISBLANK(Q463),FALSE,IF(NOT(COUNTIF($AA$24:$AA$34,SUBSTITUTE(Q463,""Sell_"",""""))),1,IF(REGEXMATCH(Q463,""Sell_""),IF(COUNTIF(Q$4:Q463,SUBSTITUTE(Q463,""Sell_"",""""))-COUNTIF(Q$4:Q462,Q463)&lt;1,1),FALSE))))"),FALSE)</f>
        <v>0</v>
      </c>
      <c r="S463" s="59">
        <f t="array" ref="S463">IF(COUNTA(Q463:Q1350)=0,"",SUM((COUNTIF(Q$4:Q463,Upgrades!$B$3:$B$13)-COUNTIF(Q$4:Q463,"Sell_"&amp;Upgrades!$B$3:$B$13))*Upgrades!$D$3:$D$13))</f>
        <v>426852.4</v>
      </c>
      <c r="T463" s="66">
        <f>IFERROR(__xludf.DUMMYFUNCTION("IF(COUNTA(Q463:Q1350)=0,"""",IF(REGEXMATCH(INDEX(FILTER(Q$4:Q463,Q$4:Q463&lt;&gt;""""),ROWS(FILTER(Q$4:Q463,Q$4:Q463&lt;&gt;""""))),""^Sell_""),INDEX(FILTER(T$4:T462,Q$4:Q462&lt;&gt;""""),ROWS(FILTER(Q$4:Q462,Q$4:Q462&lt;&gt;""""))),$AD$5+S463))"),438618.4)</f>
        <v>438618.4</v>
      </c>
      <c r="U463" s="10">
        <f>IFERROR(__xludf.DUMMYFUNCTION("IF(COUNTA(Q463:Q1350)=0,"""",IF(Q463="""",0,IF(REGEXMATCH(Q463,""^Sell_""),-ROUNDDOWN(ROUNDUP(INDEX(Upgrades!$C$3:$C$13,MATCH(SUBSTITUTE(Q463,""Sell_"",""""),Upgrades!$B$3:$B$13,0))*1.15^(COUNTIF(Q$4:Q462,SUBSTITUTE(Q463,""Sell_"",""""))-COUNTIF(Q$4:Q462,"&amp;"""Sell_""&amp;SUBSTITUTE(Q463,""Sell_"",""""))))/2),ROUNDUP(INDEX(Upgrades!$C$3:$C$13,MATCH(Q463,Upgrades!$B$3:$B$13,0))*1.15^(COUNTIF(Q$4:Q462,Q463)-COUNTIF(Q$4:Q462,""Sell_""&amp;Q463))))))"),-404556.0)</f>
        <v>-404556</v>
      </c>
      <c r="V463" s="10">
        <f t="shared" si="11"/>
        <v>-19265926</v>
      </c>
      <c r="W463" s="68">
        <f t="shared" si="12"/>
        <v>6085.8512</v>
      </c>
      <c r="X463" s="59" t="str">
        <f t="shared" si="13"/>
        <v>1h 41m 25s</v>
      </c>
      <c r="Y463" s="69">
        <f t="shared" si="14"/>
        <v>666718570</v>
      </c>
      <c r="Z463" s="11"/>
    </row>
    <row r="464">
      <c r="A464" s="8"/>
      <c r="B464" s="56" t="str">
        <f t="shared" si="2"/>
        <v/>
      </c>
      <c r="C464" s="57"/>
      <c r="D464" s="10" t="str">
        <f>IFERROR(__xludf.DUMMYFUNCTION("IF(COUNTA(C464:C1350)=0,"""",IF(ISBLANK(C464),FALSE,IF(NOT(COUNTIF($AA$24:$AA$34,SUBSTITUTE(C464,""Sell_"",""""))),1,IF(REGEXMATCH(C464,""Sell_""),IF(COUNTIF(C$4:C464,SUBSTITUTE(C464,""Sell_"",""""))-COUNTIF(C$4:C463,C464)&lt;1,1),FALSE))))"),"")</f>
        <v/>
      </c>
      <c r="E464" s="59" t="str">
        <f t="array" ref="E464">IF(COUNTA(C464:C1350)=0,"",SUM((COUNTIF(C$4:C464,Upgrades!$B$3:$B$13)-COUNTIF(C$4:C464,"Sell_"&amp;Upgrades!$B$3:$B$13))*Upgrades!$D$3:$D$13))</f>
        <v/>
      </c>
      <c r="F464" s="66" t="str">
        <f>IFERROR(__xludf.DUMMYFUNCTION("IF(COUNTA(C464:C1350)=0,"""",IF(REGEXMATCH(INDEX(FILTER(C$4:C464,C$4:C464&lt;&gt;""""),ROWS(FILTER(C$4:C464,C$4:C464&lt;&gt;""""))),""^Sell_""),INDEX(FILTER(F$4:F463,C$4:C463&lt;&gt;""""),ROWS(FILTER(C$4:C463,C$4:C463&lt;&gt;""""))),$AC$5+E464))"),"")</f>
        <v/>
      </c>
      <c r="G464" s="10" t="str">
        <f>IFERROR(__xludf.DUMMYFUNCTION("IF(COUNTA(C464:C1350)=0,"""",IF(C464="""",0,IF(REGEXMATCH(C464,""^Sell_""),-ROUNDDOWN(ROUNDUP(INDEX(Upgrades!$C$3:$C$13,MATCH(SUBSTITUTE(C464,""Sell_"",""""),Upgrades!$B$3:$B$13,0))*1.15^(COUNTIF(C$4:C463,SUBSTITUTE(C464,""Sell_"",""""))-COUNTIF(C$4:C463,"&amp;"""Sell_""&amp;SUBSTITUTE(C464,""Sell_"",""""))))/2),ROUNDUP(INDEX(Upgrades!$C$3:$C$13,MATCH(C464,Upgrades!$B$3:$B$13,0))*1.15^(COUNTIF(C$4:C463,C464)-COUNTIF(C$4:C463,""Sell_""&amp;C464))))))"),"")</f>
        <v/>
      </c>
      <c r="H464" s="10" t="str">
        <f t="shared" si="3"/>
        <v/>
      </c>
      <c r="I464" s="68" t="str">
        <f t="shared" si="4"/>
        <v/>
      </c>
      <c r="J464" s="59" t="str">
        <f t="shared" si="5"/>
        <v/>
      </c>
      <c r="K464" s="69" t="str">
        <f t="shared" si="6"/>
        <v/>
      </c>
      <c r="L464" s="60">
        <f t="shared" si="7"/>
        <v>-224.65193</v>
      </c>
      <c r="M464" s="61">
        <f>IFERROR(__xludf.DUMMYFUNCTION("IFS(AND(COUNTA(C464:C1350)=0,COUNTA(Q464:Q1350)=0),"""",OR(AND(K464&gt;=1000000000,OR(Y464&gt;=1000000000,COUNTA(Q464:Q1350)=0)),OR(Y464&gt;=1000000000,AND(COUNTA(C464:C1350)=0,P$3=TRUE))),
ROUNDDOWN((AB$1-AC$1)*MAX(INDEX(T$4:T1350,MATCH(LARGE(FILTER(Y$4:Y1350,Y$4"&amp;":Y1350&lt;1000000000),1),Y$4:Y1350)),INDEX(F$4:F1350,MATCH(LARGE(FILTER(K$4:K1350,K$4:K1350&lt;1000000000),1),K$4:K1350)))),AND(K464&lt;1000000000,COUNTA(C464:C1350)&gt;0,P$3=FALSE),
ROUNDDOWN(INDEX(Y$4:Y1350,MATCH(LARGE(FILTER(W$4:W1350,W$4:W1350&lt;=I464),1),W$4:W1350"&amp;"))+(I464-LARGE(FILTER(W$4:W1350,W$4:W1350&lt;=I464),1))*INDEX(T$4:T1350,MATCH(LARGE(FILTER(W$4:W1350,W$4:W1350&lt;=I464),1),W$4:W1350))-K464),1,
ROUNDDOWN(Y464-INDEX(K$4:K1350,MATCH(LARGE(FILTER(I$4:I1350,I$4:I1350&lt;=W464),1),I$4:I1350))-(W464-LARGE(FILTER(I$4:I"&amp;"1350,I$4:I1350&lt;=W464),1))*INDEX(F$4:F1350,MATCH(LARGE(FILTER(I$4:I1350,I$4:I1350&lt;=W464),1),I$4:I1350))))"),9.2226469E7)</f>
        <v>92226469</v>
      </c>
      <c r="N464" s="60">
        <f t="shared" si="8"/>
        <v>-224.65193</v>
      </c>
      <c r="O464" s="61" t="str">
        <f t="shared" si="9"/>
        <v>92,2M</v>
      </c>
      <c r="P464" s="56">
        <f t="shared" si="10"/>
        <v>33</v>
      </c>
      <c r="Q464" s="105" t="s">
        <v>60</v>
      </c>
      <c r="R464" s="10" t="b">
        <f>IFERROR(__xludf.DUMMYFUNCTION("IF(COUNTA(Q464:Q1350)=0,"""",IF(ISBLANK(Q464),FALSE,IF(NOT(COUNTIF($AA$24:$AA$34,SUBSTITUTE(Q464,""Sell_"",""""))),1,IF(REGEXMATCH(Q464,""Sell_""),IF(COUNTIF(Q$4:Q464,SUBSTITUTE(Q464,""Sell_"",""""))-COUNTIF(Q$4:Q463,Q464)&lt;1,1),FALSE))))"),FALSE)</f>
        <v>0</v>
      </c>
      <c r="S464" s="59">
        <f t="array" ref="S464">IF(COUNTA(Q464:Q1350)=0,"",SUM((COUNTIF(Q$4:Q464,Upgrades!$B$3:$B$13)-COUNTIF(Q$4:Q464,"Sell_"&amp;Upgrades!$B$3:$B$13))*Upgrades!$D$3:$D$13))</f>
        <v>426452.4</v>
      </c>
      <c r="T464" s="66">
        <f>IFERROR(__xludf.DUMMYFUNCTION("IF(COUNTA(Q464:Q1350)=0,"""",IF(REGEXMATCH(INDEX(FILTER(Q$4:Q464,Q$4:Q464&lt;&gt;""""),ROWS(FILTER(Q$4:Q464,Q$4:Q464&lt;&gt;""""))),""^Sell_""),INDEX(FILTER(T$4:T463,Q$4:Q463&lt;&gt;""""),ROWS(FILTER(Q$4:Q463,Q$4:Q463&lt;&gt;""""))),$AD$5+S464))"),438618.4)</f>
        <v>438618.4</v>
      </c>
      <c r="U464" s="10">
        <f>IFERROR(__xludf.DUMMYFUNCTION("IF(COUNTA(Q464:Q1350)=0,"""",IF(Q464="""",0,IF(REGEXMATCH(Q464,""^Sell_""),-ROUNDDOWN(ROUNDUP(INDEX(Upgrades!$C$3:$C$13,MATCH(SUBSTITUTE(Q464,""Sell_"",""""),Upgrades!$B$3:$B$13,0))*1.15^(COUNTIF(Q$4:Q463,SUBSTITUTE(Q464,""Sell_"",""""))-COUNTIF(Q$4:Q463,"&amp;"""Sell_""&amp;SUBSTITUTE(Q464,""Sell_"",""""))))/2),ROUNDUP(INDEX(Upgrades!$C$3:$C$13,MATCH(Q464,Upgrades!$B$3:$B$13,0))*1.15^(COUNTIF(Q$4:Q463,Q464)-COUNTIF(Q$4:Q463,""Sell_""&amp;Q464))))))"),-351788.0)</f>
        <v>-351788</v>
      </c>
      <c r="V464" s="10">
        <f t="shared" si="11"/>
        <v>-19617714</v>
      </c>
      <c r="W464" s="68">
        <f t="shared" si="12"/>
        <v>6085.8512</v>
      </c>
      <c r="X464" s="59" t="str">
        <f t="shared" si="13"/>
        <v>1h 41m 25s</v>
      </c>
      <c r="Y464" s="69">
        <f t="shared" si="14"/>
        <v>666718570</v>
      </c>
      <c r="Z464" s="11"/>
    </row>
    <row r="465">
      <c r="A465" s="8"/>
      <c r="B465" s="56" t="str">
        <f t="shared" si="2"/>
        <v/>
      </c>
      <c r="C465" s="57"/>
      <c r="D465" s="10" t="str">
        <f>IFERROR(__xludf.DUMMYFUNCTION("IF(COUNTA(C465:C1350)=0,"""",IF(ISBLANK(C465),FALSE,IF(NOT(COUNTIF($AA$24:$AA$34,SUBSTITUTE(C465,""Sell_"",""""))),1,IF(REGEXMATCH(C465,""Sell_""),IF(COUNTIF(C$4:C465,SUBSTITUTE(C465,""Sell_"",""""))-COUNTIF(C$4:C464,C465)&lt;1,1),FALSE))))"),"")</f>
        <v/>
      </c>
      <c r="E465" s="59" t="str">
        <f t="array" ref="E465">IF(COUNTA(C465:C1350)=0,"",SUM((COUNTIF(C$4:C465,Upgrades!$B$3:$B$13)-COUNTIF(C$4:C465,"Sell_"&amp;Upgrades!$B$3:$B$13))*Upgrades!$D$3:$D$13))</f>
        <v/>
      </c>
      <c r="F465" s="66" t="str">
        <f>IFERROR(__xludf.DUMMYFUNCTION("IF(COUNTA(C465:C1350)=0,"""",IF(REGEXMATCH(INDEX(FILTER(C$4:C465,C$4:C465&lt;&gt;""""),ROWS(FILTER(C$4:C465,C$4:C465&lt;&gt;""""))),""^Sell_""),INDEX(FILTER(F$4:F464,C$4:C464&lt;&gt;""""),ROWS(FILTER(C$4:C464,C$4:C464&lt;&gt;""""))),$AC$5+E465))"),"")</f>
        <v/>
      </c>
      <c r="G465" s="10" t="str">
        <f>IFERROR(__xludf.DUMMYFUNCTION("IF(COUNTA(C465:C1350)=0,"""",IF(C465="""",0,IF(REGEXMATCH(C465,""^Sell_""),-ROUNDDOWN(ROUNDUP(INDEX(Upgrades!$C$3:$C$13,MATCH(SUBSTITUTE(C465,""Sell_"",""""),Upgrades!$B$3:$B$13,0))*1.15^(COUNTIF(C$4:C464,SUBSTITUTE(C465,""Sell_"",""""))-COUNTIF(C$4:C464,"&amp;"""Sell_""&amp;SUBSTITUTE(C465,""Sell_"",""""))))/2),ROUNDUP(INDEX(Upgrades!$C$3:$C$13,MATCH(C465,Upgrades!$B$3:$B$13,0))*1.15^(COUNTIF(C$4:C464,C465)-COUNTIF(C$4:C464,""Sell_""&amp;C465))))))"),"")</f>
        <v/>
      </c>
      <c r="H465" s="10" t="str">
        <f t="shared" si="3"/>
        <v/>
      </c>
      <c r="I465" s="68" t="str">
        <f t="shared" si="4"/>
        <v/>
      </c>
      <c r="J465" s="59" t="str">
        <f t="shared" si="5"/>
        <v/>
      </c>
      <c r="K465" s="69" t="str">
        <f t="shared" si="6"/>
        <v/>
      </c>
      <c r="L465" s="60">
        <f t="shared" si="7"/>
        <v>-224.65193</v>
      </c>
      <c r="M465" s="61">
        <f>IFERROR(__xludf.DUMMYFUNCTION("IFS(AND(COUNTA(C465:C1350)=0,COUNTA(Q465:Q1350)=0),"""",OR(AND(K465&gt;=1000000000,OR(Y465&gt;=1000000000,COUNTA(Q465:Q1350)=0)),OR(Y465&gt;=1000000000,AND(COUNTA(C465:C1350)=0,P$3=TRUE))),
ROUNDDOWN((AB$1-AC$1)*MAX(INDEX(T$4:T1350,MATCH(LARGE(FILTER(Y$4:Y1350,Y$4"&amp;":Y1350&lt;1000000000),1),Y$4:Y1350)),INDEX(F$4:F1350,MATCH(LARGE(FILTER(K$4:K1350,K$4:K1350&lt;1000000000),1),K$4:K1350)))),AND(K465&lt;1000000000,COUNTA(C465:C1350)&gt;0,P$3=FALSE),
ROUNDDOWN(INDEX(Y$4:Y1350,MATCH(LARGE(FILTER(W$4:W1350,W$4:W1350&lt;=I465),1),W$4:W1350"&amp;"))+(I465-LARGE(FILTER(W$4:W1350,W$4:W1350&lt;=I465),1))*INDEX(T$4:T1350,MATCH(LARGE(FILTER(W$4:W1350,W$4:W1350&lt;=I465),1),W$4:W1350))-K465),1,
ROUNDDOWN(Y465-INDEX(K$4:K1350,MATCH(LARGE(FILTER(I$4:I1350,I$4:I1350&lt;=W465),1),I$4:I1350))-(W465-LARGE(FILTER(I$4:I"&amp;"1350,I$4:I1350&lt;=W465),1))*INDEX(F$4:F1350,MATCH(LARGE(FILTER(I$4:I1350,I$4:I1350&lt;=W465),1),I$4:I1350))))"),9.2226469E7)</f>
        <v>92226469</v>
      </c>
      <c r="N465" s="60">
        <f t="shared" si="8"/>
        <v>-224.65193</v>
      </c>
      <c r="O465" s="61" t="str">
        <f t="shared" si="9"/>
        <v>92,2M</v>
      </c>
      <c r="P465" s="56">
        <f t="shared" si="10"/>
        <v>34</v>
      </c>
      <c r="Q465" s="105" t="s">
        <v>60</v>
      </c>
      <c r="R465" s="10" t="b">
        <f>IFERROR(__xludf.DUMMYFUNCTION("IF(COUNTA(Q465:Q1350)=0,"""",IF(ISBLANK(Q465),FALSE,IF(NOT(COUNTIF($AA$24:$AA$34,SUBSTITUTE(Q465,""Sell_"",""""))),1,IF(REGEXMATCH(Q465,""Sell_""),IF(COUNTIF(Q$4:Q465,SUBSTITUTE(Q465,""Sell_"",""""))-COUNTIF(Q$4:Q464,Q465)&lt;1,1),FALSE))))"),FALSE)</f>
        <v>0</v>
      </c>
      <c r="S465" s="59">
        <f t="array" ref="S465">IF(COUNTA(Q465:Q1350)=0,"",SUM((COUNTIF(Q$4:Q465,Upgrades!$B$3:$B$13)-COUNTIF(Q$4:Q465,"Sell_"&amp;Upgrades!$B$3:$B$13))*Upgrades!$D$3:$D$13))</f>
        <v>426052.4</v>
      </c>
      <c r="T465" s="66">
        <f>IFERROR(__xludf.DUMMYFUNCTION("IF(COUNTA(Q465:Q1350)=0,"""",IF(REGEXMATCH(INDEX(FILTER(Q$4:Q465,Q$4:Q465&lt;&gt;""""),ROWS(FILTER(Q$4:Q465,Q$4:Q465&lt;&gt;""""))),""^Sell_""),INDEX(FILTER(T$4:T464,Q$4:Q464&lt;&gt;""""),ROWS(FILTER(Q$4:Q464,Q$4:Q464&lt;&gt;""""))),$AD$5+S465))"),438618.4)</f>
        <v>438618.4</v>
      </c>
      <c r="U465" s="10">
        <f>IFERROR(__xludf.DUMMYFUNCTION("IF(COUNTA(Q465:Q1350)=0,"""",IF(Q465="""",0,IF(REGEXMATCH(Q465,""^Sell_""),-ROUNDDOWN(ROUNDUP(INDEX(Upgrades!$C$3:$C$13,MATCH(SUBSTITUTE(Q465,""Sell_"",""""),Upgrades!$B$3:$B$13,0))*1.15^(COUNTIF(Q$4:Q464,SUBSTITUTE(Q465,""Sell_"",""""))-COUNTIF(Q$4:Q464,"&amp;"""Sell_""&amp;SUBSTITUTE(Q465,""Sell_"",""""))))/2),ROUNDUP(INDEX(Upgrades!$C$3:$C$13,MATCH(Q465,Upgrades!$B$3:$B$13,0))*1.15^(COUNTIF(Q$4:Q464,Q465)-COUNTIF(Q$4:Q464,""Sell_""&amp;Q465))))))"),-305902.0)</f>
        <v>-305902</v>
      </c>
      <c r="V465" s="10">
        <f t="shared" si="11"/>
        <v>-19923616</v>
      </c>
      <c r="W465" s="68">
        <f t="shared" si="12"/>
        <v>6085.8512</v>
      </c>
      <c r="X465" s="59" t="str">
        <f t="shared" si="13"/>
        <v>1h 41m 25s</v>
      </c>
      <c r="Y465" s="69">
        <f t="shared" si="14"/>
        <v>666718570</v>
      </c>
      <c r="Z465" s="11"/>
    </row>
    <row r="466">
      <c r="A466" s="8"/>
      <c r="B466" s="56" t="str">
        <f t="shared" si="2"/>
        <v/>
      </c>
      <c r="C466" s="57"/>
      <c r="D466" s="10" t="str">
        <f>IFERROR(__xludf.DUMMYFUNCTION("IF(COUNTA(C466:C1350)=0,"""",IF(ISBLANK(C466),FALSE,IF(NOT(COUNTIF($AA$24:$AA$34,SUBSTITUTE(C466,""Sell_"",""""))),1,IF(REGEXMATCH(C466,""Sell_""),IF(COUNTIF(C$4:C466,SUBSTITUTE(C466,""Sell_"",""""))-COUNTIF(C$4:C465,C466)&lt;1,1),FALSE))))"),"")</f>
        <v/>
      </c>
      <c r="E466" s="59" t="str">
        <f t="array" ref="E466">IF(COUNTA(C466:C1350)=0,"",SUM((COUNTIF(C$4:C466,Upgrades!$B$3:$B$13)-COUNTIF(C$4:C466,"Sell_"&amp;Upgrades!$B$3:$B$13))*Upgrades!$D$3:$D$13))</f>
        <v/>
      </c>
      <c r="F466" s="66" t="str">
        <f>IFERROR(__xludf.DUMMYFUNCTION("IF(COUNTA(C466:C1350)=0,"""",IF(REGEXMATCH(INDEX(FILTER(C$4:C466,C$4:C466&lt;&gt;""""),ROWS(FILTER(C$4:C466,C$4:C466&lt;&gt;""""))),""^Sell_""),INDEX(FILTER(F$4:F465,C$4:C465&lt;&gt;""""),ROWS(FILTER(C$4:C465,C$4:C465&lt;&gt;""""))),$AC$5+E466))"),"")</f>
        <v/>
      </c>
      <c r="G466" s="10" t="str">
        <f>IFERROR(__xludf.DUMMYFUNCTION("IF(COUNTA(C466:C1350)=0,"""",IF(C466="""",0,IF(REGEXMATCH(C466,""^Sell_""),-ROUNDDOWN(ROUNDUP(INDEX(Upgrades!$C$3:$C$13,MATCH(SUBSTITUTE(C466,""Sell_"",""""),Upgrades!$B$3:$B$13,0))*1.15^(COUNTIF(C$4:C465,SUBSTITUTE(C466,""Sell_"",""""))-COUNTIF(C$4:C465,"&amp;"""Sell_""&amp;SUBSTITUTE(C466,""Sell_"",""""))))/2),ROUNDUP(INDEX(Upgrades!$C$3:$C$13,MATCH(C466,Upgrades!$B$3:$B$13,0))*1.15^(COUNTIF(C$4:C465,C466)-COUNTIF(C$4:C465,""Sell_""&amp;C466))))))"),"")</f>
        <v/>
      </c>
      <c r="H466" s="10" t="str">
        <f t="shared" si="3"/>
        <v/>
      </c>
      <c r="I466" s="68" t="str">
        <f t="shared" si="4"/>
        <v/>
      </c>
      <c r="J466" s="59" t="str">
        <f t="shared" si="5"/>
        <v/>
      </c>
      <c r="K466" s="69" t="str">
        <f t="shared" si="6"/>
        <v/>
      </c>
      <c r="L466" s="60">
        <f t="shared" si="7"/>
        <v>-224.65193</v>
      </c>
      <c r="M466" s="61">
        <f>IFERROR(__xludf.DUMMYFUNCTION("IFS(AND(COUNTA(C466:C1350)=0,COUNTA(Q466:Q1350)=0),"""",OR(AND(K466&gt;=1000000000,OR(Y466&gt;=1000000000,COUNTA(Q466:Q1350)=0)),OR(Y466&gt;=1000000000,AND(COUNTA(C466:C1350)=0,P$3=TRUE))),
ROUNDDOWN((AB$1-AC$1)*MAX(INDEX(T$4:T1350,MATCH(LARGE(FILTER(Y$4:Y1350,Y$4"&amp;":Y1350&lt;1000000000),1),Y$4:Y1350)),INDEX(F$4:F1350,MATCH(LARGE(FILTER(K$4:K1350,K$4:K1350&lt;1000000000),1),K$4:K1350)))),AND(K466&lt;1000000000,COUNTA(C466:C1350)&gt;0,P$3=FALSE),
ROUNDDOWN(INDEX(Y$4:Y1350,MATCH(LARGE(FILTER(W$4:W1350,W$4:W1350&lt;=I466),1),W$4:W1350"&amp;"))+(I466-LARGE(FILTER(W$4:W1350,W$4:W1350&lt;=I466),1))*INDEX(T$4:T1350,MATCH(LARGE(FILTER(W$4:W1350,W$4:W1350&lt;=I466),1),W$4:W1350))-K466),1,
ROUNDDOWN(Y466-INDEX(K$4:K1350,MATCH(LARGE(FILTER(I$4:I1350,I$4:I1350&lt;=W466),1),I$4:I1350))-(W466-LARGE(FILTER(I$4:I"&amp;"1350,I$4:I1350&lt;=W466),1))*INDEX(F$4:F1350,MATCH(LARGE(FILTER(I$4:I1350,I$4:I1350&lt;=W466),1),I$4:I1350))))"),9.2226469E7)</f>
        <v>92226469</v>
      </c>
      <c r="N466" s="60">
        <f t="shared" si="8"/>
        <v>-224.65193</v>
      </c>
      <c r="O466" s="61" t="str">
        <f t="shared" si="9"/>
        <v>92,2M</v>
      </c>
      <c r="P466" s="56">
        <f t="shared" si="10"/>
        <v>35</v>
      </c>
      <c r="Q466" s="105" t="s">
        <v>60</v>
      </c>
      <c r="R466" s="10" t="b">
        <f>IFERROR(__xludf.DUMMYFUNCTION("IF(COUNTA(Q466:Q1350)=0,"""",IF(ISBLANK(Q466),FALSE,IF(NOT(COUNTIF($AA$24:$AA$34,SUBSTITUTE(Q466,""Sell_"",""""))),1,IF(REGEXMATCH(Q466,""Sell_""),IF(COUNTIF(Q$4:Q466,SUBSTITUTE(Q466,""Sell_"",""""))-COUNTIF(Q$4:Q465,Q466)&lt;1,1),FALSE))))"),FALSE)</f>
        <v>0</v>
      </c>
      <c r="S466" s="59">
        <f t="array" ref="S466">IF(COUNTA(Q466:Q1350)=0,"",SUM((COUNTIF(Q$4:Q466,Upgrades!$B$3:$B$13)-COUNTIF(Q$4:Q466,"Sell_"&amp;Upgrades!$B$3:$B$13))*Upgrades!$D$3:$D$13))</f>
        <v>425652.4</v>
      </c>
      <c r="T466" s="66">
        <f>IFERROR(__xludf.DUMMYFUNCTION("IF(COUNTA(Q466:Q1350)=0,"""",IF(REGEXMATCH(INDEX(FILTER(Q$4:Q466,Q$4:Q466&lt;&gt;""""),ROWS(FILTER(Q$4:Q466,Q$4:Q466&lt;&gt;""""))),""^Sell_""),INDEX(FILTER(T$4:T465,Q$4:Q465&lt;&gt;""""),ROWS(FILTER(Q$4:Q465,Q$4:Q465&lt;&gt;""""))),$AD$5+S466))"),438618.4)</f>
        <v>438618.4</v>
      </c>
      <c r="U466" s="10">
        <f>IFERROR(__xludf.DUMMYFUNCTION("IF(COUNTA(Q466:Q1350)=0,"""",IF(Q466="""",0,IF(REGEXMATCH(Q466,""^Sell_""),-ROUNDDOWN(ROUNDUP(INDEX(Upgrades!$C$3:$C$13,MATCH(SUBSTITUTE(Q466,""Sell_"",""""),Upgrades!$B$3:$B$13,0))*1.15^(COUNTIF(Q$4:Q465,SUBSTITUTE(Q466,""Sell_"",""""))-COUNTIF(Q$4:Q465,"&amp;"""Sell_""&amp;SUBSTITUTE(Q466,""Sell_"",""""))))/2),ROUNDUP(INDEX(Upgrades!$C$3:$C$13,MATCH(Q466,Upgrades!$B$3:$B$13,0))*1.15^(COUNTIF(Q$4:Q465,Q466)-COUNTIF(Q$4:Q465,""Sell_""&amp;Q466))))))"),-266002.0)</f>
        <v>-266002</v>
      </c>
      <c r="V466" s="10">
        <f t="shared" si="11"/>
        <v>-20189618</v>
      </c>
      <c r="W466" s="68">
        <f t="shared" si="12"/>
        <v>6085.8512</v>
      </c>
      <c r="X466" s="59" t="str">
        <f t="shared" si="13"/>
        <v>1h 41m 25s</v>
      </c>
      <c r="Y466" s="69">
        <f t="shared" si="14"/>
        <v>666718570</v>
      </c>
      <c r="Z466" s="11"/>
    </row>
    <row r="467">
      <c r="A467" s="8"/>
      <c r="B467" s="56" t="str">
        <f t="shared" si="2"/>
        <v/>
      </c>
      <c r="C467" s="57"/>
      <c r="D467" s="10" t="str">
        <f>IFERROR(__xludf.DUMMYFUNCTION("IF(COUNTA(C467:C1350)=0,"""",IF(ISBLANK(C467),FALSE,IF(NOT(COUNTIF($AA$24:$AA$34,SUBSTITUTE(C467,""Sell_"",""""))),1,IF(REGEXMATCH(C467,""Sell_""),IF(COUNTIF(C$4:C467,SUBSTITUTE(C467,""Sell_"",""""))-COUNTIF(C$4:C466,C467)&lt;1,1),FALSE))))"),"")</f>
        <v/>
      </c>
      <c r="E467" s="59" t="str">
        <f t="array" ref="E467">IF(COUNTA(C467:C1350)=0,"",SUM((COUNTIF(C$4:C467,Upgrades!$B$3:$B$13)-COUNTIF(C$4:C467,"Sell_"&amp;Upgrades!$B$3:$B$13))*Upgrades!$D$3:$D$13))</f>
        <v/>
      </c>
      <c r="F467" s="66" t="str">
        <f>IFERROR(__xludf.DUMMYFUNCTION("IF(COUNTA(C467:C1350)=0,"""",IF(REGEXMATCH(INDEX(FILTER(C$4:C467,C$4:C467&lt;&gt;""""),ROWS(FILTER(C$4:C467,C$4:C467&lt;&gt;""""))),""^Sell_""),INDEX(FILTER(F$4:F466,C$4:C466&lt;&gt;""""),ROWS(FILTER(C$4:C466,C$4:C466&lt;&gt;""""))),$AC$5+E467))"),"")</f>
        <v/>
      </c>
      <c r="G467" s="10" t="str">
        <f>IFERROR(__xludf.DUMMYFUNCTION("IF(COUNTA(C467:C1350)=0,"""",IF(C467="""",0,IF(REGEXMATCH(C467,""^Sell_""),-ROUNDDOWN(ROUNDUP(INDEX(Upgrades!$C$3:$C$13,MATCH(SUBSTITUTE(C467,""Sell_"",""""),Upgrades!$B$3:$B$13,0))*1.15^(COUNTIF(C$4:C466,SUBSTITUTE(C467,""Sell_"",""""))-COUNTIF(C$4:C466,"&amp;"""Sell_""&amp;SUBSTITUTE(C467,""Sell_"",""""))))/2),ROUNDUP(INDEX(Upgrades!$C$3:$C$13,MATCH(C467,Upgrades!$B$3:$B$13,0))*1.15^(COUNTIF(C$4:C466,C467)-COUNTIF(C$4:C466,""Sell_""&amp;C467))))))"),"")</f>
        <v/>
      </c>
      <c r="H467" s="10" t="str">
        <f t="shared" si="3"/>
        <v/>
      </c>
      <c r="I467" s="68" t="str">
        <f t="shared" si="4"/>
        <v/>
      </c>
      <c r="J467" s="59" t="str">
        <f t="shared" si="5"/>
        <v/>
      </c>
      <c r="K467" s="69" t="str">
        <f t="shared" si="6"/>
        <v/>
      </c>
      <c r="L467" s="60">
        <f t="shared" si="7"/>
        <v>-224.65193</v>
      </c>
      <c r="M467" s="61">
        <f>IFERROR(__xludf.DUMMYFUNCTION("IFS(AND(COUNTA(C467:C1350)=0,COUNTA(Q467:Q1350)=0),"""",OR(AND(K467&gt;=1000000000,OR(Y467&gt;=1000000000,COUNTA(Q467:Q1350)=0)),OR(Y467&gt;=1000000000,AND(COUNTA(C467:C1350)=0,P$3=TRUE))),
ROUNDDOWN((AB$1-AC$1)*MAX(INDEX(T$4:T1350,MATCH(LARGE(FILTER(Y$4:Y1350,Y$4"&amp;":Y1350&lt;1000000000),1),Y$4:Y1350)),INDEX(F$4:F1350,MATCH(LARGE(FILTER(K$4:K1350,K$4:K1350&lt;1000000000),1),K$4:K1350)))),AND(K467&lt;1000000000,COUNTA(C467:C1350)&gt;0,P$3=FALSE),
ROUNDDOWN(INDEX(Y$4:Y1350,MATCH(LARGE(FILTER(W$4:W1350,W$4:W1350&lt;=I467),1),W$4:W1350"&amp;"))+(I467-LARGE(FILTER(W$4:W1350,W$4:W1350&lt;=I467),1))*INDEX(T$4:T1350,MATCH(LARGE(FILTER(W$4:W1350,W$4:W1350&lt;=I467),1),W$4:W1350))-K467),1,
ROUNDDOWN(Y467-INDEX(K$4:K1350,MATCH(LARGE(FILTER(I$4:I1350,I$4:I1350&lt;=W467),1),I$4:I1350))-(W467-LARGE(FILTER(I$4:I"&amp;"1350,I$4:I1350&lt;=W467),1))*INDEX(F$4:F1350,MATCH(LARGE(FILTER(I$4:I1350,I$4:I1350&lt;=W467),1),I$4:I1350))))"),9.2226469E7)</f>
        <v>92226469</v>
      </c>
      <c r="N467" s="60">
        <f t="shared" si="8"/>
        <v>-224.65193</v>
      </c>
      <c r="O467" s="61" t="str">
        <f t="shared" si="9"/>
        <v>92,2M</v>
      </c>
      <c r="P467" s="56">
        <f t="shared" si="10"/>
        <v>36</v>
      </c>
      <c r="Q467" s="105" t="s">
        <v>60</v>
      </c>
      <c r="R467" s="10" t="b">
        <f>IFERROR(__xludf.DUMMYFUNCTION("IF(COUNTA(Q467:Q1350)=0,"""",IF(ISBLANK(Q467),FALSE,IF(NOT(COUNTIF($AA$24:$AA$34,SUBSTITUTE(Q467,""Sell_"",""""))),1,IF(REGEXMATCH(Q467,""Sell_""),IF(COUNTIF(Q$4:Q467,SUBSTITUTE(Q467,""Sell_"",""""))-COUNTIF(Q$4:Q466,Q467)&lt;1,1),FALSE))))"),FALSE)</f>
        <v>0</v>
      </c>
      <c r="S467" s="59">
        <f t="array" ref="S467">IF(COUNTA(Q467:Q1350)=0,"",SUM((COUNTIF(Q$4:Q467,Upgrades!$B$3:$B$13)-COUNTIF(Q$4:Q467,"Sell_"&amp;Upgrades!$B$3:$B$13))*Upgrades!$D$3:$D$13))</f>
        <v>425252.4</v>
      </c>
      <c r="T467" s="66">
        <f>IFERROR(__xludf.DUMMYFUNCTION("IF(COUNTA(Q467:Q1350)=0,"""",IF(REGEXMATCH(INDEX(FILTER(Q$4:Q467,Q$4:Q467&lt;&gt;""""),ROWS(FILTER(Q$4:Q467,Q$4:Q467&lt;&gt;""""))),""^Sell_""),INDEX(FILTER(T$4:T466,Q$4:Q466&lt;&gt;""""),ROWS(FILTER(Q$4:Q466,Q$4:Q466&lt;&gt;""""))),$AD$5+S467))"),438618.4)</f>
        <v>438618.4</v>
      </c>
      <c r="U467" s="10">
        <f>IFERROR(__xludf.DUMMYFUNCTION("IF(COUNTA(Q467:Q1350)=0,"""",IF(Q467="""",0,IF(REGEXMATCH(Q467,""^Sell_""),-ROUNDDOWN(ROUNDUP(INDEX(Upgrades!$C$3:$C$13,MATCH(SUBSTITUTE(Q467,""Sell_"",""""),Upgrades!$B$3:$B$13,0))*1.15^(COUNTIF(Q$4:Q466,SUBSTITUTE(Q467,""Sell_"",""""))-COUNTIF(Q$4:Q466,"&amp;"""Sell_""&amp;SUBSTITUTE(Q467,""Sell_"",""""))))/2),ROUNDUP(INDEX(Upgrades!$C$3:$C$13,MATCH(Q467,Upgrades!$B$3:$B$13,0))*1.15^(COUNTIF(Q$4:Q466,Q467)-COUNTIF(Q$4:Q466,""Sell_""&amp;Q467))))))"),-231306.0)</f>
        <v>-231306</v>
      </c>
      <c r="V467" s="10">
        <f t="shared" si="11"/>
        <v>-20420924</v>
      </c>
      <c r="W467" s="68">
        <f t="shared" si="12"/>
        <v>6085.8512</v>
      </c>
      <c r="X467" s="59" t="str">
        <f t="shared" si="13"/>
        <v>1h 41m 25s</v>
      </c>
      <c r="Y467" s="69">
        <f t="shared" si="14"/>
        <v>666718570</v>
      </c>
      <c r="Z467" s="11"/>
    </row>
    <row r="468">
      <c r="A468" s="8"/>
      <c r="B468" s="56" t="str">
        <f t="shared" si="2"/>
        <v/>
      </c>
      <c r="C468" s="57"/>
      <c r="D468" s="10" t="str">
        <f>IFERROR(__xludf.DUMMYFUNCTION("IF(COUNTA(C468:C1350)=0,"""",IF(ISBLANK(C468),FALSE,IF(NOT(COUNTIF($AA$24:$AA$34,SUBSTITUTE(C468,""Sell_"",""""))),1,IF(REGEXMATCH(C468,""Sell_""),IF(COUNTIF(C$4:C468,SUBSTITUTE(C468,""Sell_"",""""))-COUNTIF(C$4:C467,C468)&lt;1,1),FALSE))))"),"")</f>
        <v/>
      </c>
      <c r="E468" s="59" t="str">
        <f t="array" ref="E468">IF(COUNTA(C468:C1350)=0,"",SUM((COUNTIF(C$4:C468,Upgrades!$B$3:$B$13)-COUNTIF(C$4:C468,"Sell_"&amp;Upgrades!$B$3:$B$13))*Upgrades!$D$3:$D$13))</f>
        <v/>
      </c>
      <c r="F468" s="66" t="str">
        <f>IFERROR(__xludf.DUMMYFUNCTION("IF(COUNTA(C468:C1350)=0,"""",IF(REGEXMATCH(INDEX(FILTER(C$4:C468,C$4:C468&lt;&gt;""""),ROWS(FILTER(C$4:C468,C$4:C468&lt;&gt;""""))),""^Sell_""),INDEX(FILTER(F$4:F467,C$4:C467&lt;&gt;""""),ROWS(FILTER(C$4:C467,C$4:C467&lt;&gt;""""))),$AC$5+E468))"),"")</f>
        <v/>
      </c>
      <c r="G468" s="10" t="str">
        <f>IFERROR(__xludf.DUMMYFUNCTION("IF(COUNTA(C468:C1350)=0,"""",IF(C468="""",0,IF(REGEXMATCH(C468,""^Sell_""),-ROUNDDOWN(ROUNDUP(INDEX(Upgrades!$C$3:$C$13,MATCH(SUBSTITUTE(C468,""Sell_"",""""),Upgrades!$B$3:$B$13,0))*1.15^(COUNTIF(C$4:C467,SUBSTITUTE(C468,""Sell_"",""""))-COUNTIF(C$4:C467,"&amp;"""Sell_""&amp;SUBSTITUTE(C468,""Sell_"",""""))))/2),ROUNDUP(INDEX(Upgrades!$C$3:$C$13,MATCH(C468,Upgrades!$B$3:$B$13,0))*1.15^(COUNTIF(C$4:C467,C468)-COUNTIF(C$4:C467,""Sell_""&amp;C468))))))"),"")</f>
        <v/>
      </c>
      <c r="H468" s="10" t="str">
        <f t="shared" si="3"/>
        <v/>
      </c>
      <c r="I468" s="68" t="str">
        <f t="shared" si="4"/>
        <v/>
      </c>
      <c r="J468" s="59" t="str">
        <f t="shared" si="5"/>
        <v/>
      </c>
      <c r="K468" s="69" t="str">
        <f t="shared" si="6"/>
        <v/>
      </c>
      <c r="L468" s="60">
        <f t="shared" si="7"/>
        <v>-224.65193</v>
      </c>
      <c r="M468" s="61">
        <f>IFERROR(__xludf.DUMMYFUNCTION("IFS(AND(COUNTA(C468:C1350)=0,COUNTA(Q468:Q1350)=0),"""",OR(AND(K468&gt;=1000000000,OR(Y468&gt;=1000000000,COUNTA(Q468:Q1350)=0)),OR(Y468&gt;=1000000000,AND(COUNTA(C468:C1350)=0,P$3=TRUE))),
ROUNDDOWN((AB$1-AC$1)*MAX(INDEX(T$4:T1350,MATCH(LARGE(FILTER(Y$4:Y1350,Y$4"&amp;":Y1350&lt;1000000000),1),Y$4:Y1350)),INDEX(F$4:F1350,MATCH(LARGE(FILTER(K$4:K1350,K$4:K1350&lt;1000000000),1),K$4:K1350)))),AND(K468&lt;1000000000,COUNTA(C468:C1350)&gt;0,P$3=FALSE),
ROUNDDOWN(INDEX(Y$4:Y1350,MATCH(LARGE(FILTER(W$4:W1350,W$4:W1350&lt;=I468),1),W$4:W1350"&amp;"))+(I468-LARGE(FILTER(W$4:W1350,W$4:W1350&lt;=I468),1))*INDEX(T$4:T1350,MATCH(LARGE(FILTER(W$4:W1350,W$4:W1350&lt;=I468),1),W$4:W1350))-K468),1,
ROUNDDOWN(Y468-INDEX(K$4:K1350,MATCH(LARGE(FILTER(I$4:I1350,I$4:I1350&lt;=W468),1),I$4:I1350))-(W468-LARGE(FILTER(I$4:I"&amp;"1350,I$4:I1350&lt;=W468),1))*INDEX(F$4:F1350,MATCH(LARGE(FILTER(I$4:I1350,I$4:I1350&lt;=W468),1),I$4:I1350))))"),9.2226469E7)</f>
        <v>92226469</v>
      </c>
      <c r="N468" s="60">
        <f t="shared" si="8"/>
        <v>-224.65193</v>
      </c>
      <c r="O468" s="61" t="str">
        <f t="shared" si="9"/>
        <v>92,2M</v>
      </c>
      <c r="P468" s="56">
        <f t="shared" si="10"/>
        <v>37</v>
      </c>
      <c r="Q468" s="105" t="s">
        <v>60</v>
      </c>
      <c r="R468" s="10" t="b">
        <f>IFERROR(__xludf.DUMMYFUNCTION("IF(COUNTA(Q468:Q1350)=0,"""",IF(ISBLANK(Q468),FALSE,IF(NOT(COUNTIF($AA$24:$AA$34,SUBSTITUTE(Q468,""Sell_"",""""))),1,IF(REGEXMATCH(Q468,""Sell_""),IF(COUNTIF(Q$4:Q468,SUBSTITUTE(Q468,""Sell_"",""""))-COUNTIF(Q$4:Q467,Q468)&lt;1,1),FALSE))))"),FALSE)</f>
        <v>0</v>
      </c>
      <c r="S468" s="59">
        <f t="array" ref="S468">IF(COUNTA(Q468:Q1350)=0,"",SUM((COUNTIF(Q$4:Q468,Upgrades!$B$3:$B$13)-COUNTIF(Q$4:Q468,"Sell_"&amp;Upgrades!$B$3:$B$13))*Upgrades!$D$3:$D$13))</f>
        <v>424852.4</v>
      </c>
      <c r="T468" s="66">
        <f>IFERROR(__xludf.DUMMYFUNCTION("IF(COUNTA(Q468:Q1350)=0,"""",IF(REGEXMATCH(INDEX(FILTER(Q$4:Q468,Q$4:Q468&lt;&gt;""""),ROWS(FILTER(Q$4:Q468,Q$4:Q468&lt;&gt;""""))),""^Sell_""),INDEX(FILTER(T$4:T467,Q$4:Q467&lt;&gt;""""),ROWS(FILTER(Q$4:Q467,Q$4:Q467&lt;&gt;""""))),$AD$5+S468))"),438618.4)</f>
        <v>438618.4</v>
      </c>
      <c r="U468" s="10">
        <f>IFERROR(__xludf.DUMMYFUNCTION("IF(COUNTA(Q468:Q1350)=0,"""",IF(Q468="""",0,IF(REGEXMATCH(Q468,""^Sell_""),-ROUNDDOWN(ROUNDUP(INDEX(Upgrades!$C$3:$C$13,MATCH(SUBSTITUTE(Q468,""Sell_"",""""),Upgrades!$B$3:$B$13,0))*1.15^(COUNTIF(Q$4:Q467,SUBSTITUTE(Q468,""Sell_"",""""))-COUNTIF(Q$4:Q467,"&amp;"""Sell_""&amp;SUBSTITUTE(Q468,""Sell_"",""""))))/2),ROUNDUP(INDEX(Upgrades!$C$3:$C$13,MATCH(Q468,Upgrades!$B$3:$B$13,0))*1.15^(COUNTIF(Q$4:Q467,Q468)-COUNTIF(Q$4:Q467,""Sell_""&amp;Q468))))))"),-201136.0)</f>
        <v>-201136</v>
      </c>
      <c r="V468" s="10">
        <f t="shared" si="11"/>
        <v>-20622060</v>
      </c>
      <c r="W468" s="68">
        <f t="shared" si="12"/>
        <v>6085.8512</v>
      </c>
      <c r="X468" s="59" t="str">
        <f t="shared" si="13"/>
        <v>1h 41m 25s</v>
      </c>
      <c r="Y468" s="69">
        <f t="shared" si="14"/>
        <v>666718570</v>
      </c>
      <c r="Z468" s="11"/>
    </row>
    <row r="469">
      <c r="A469" s="8"/>
      <c r="B469" s="56" t="str">
        <f t="shared" si="2"/>
        <v/>
      </c>
      <c r="C469" s="57"/>
      <c r="D469" s="10" t="str">
        <f>IFERROR(__xludf.DUMMYFUNCTION("IF(COUNTA(C469:C1350)=0,"""",IF(ISBLANK(C469),FALSE,IF(NOT(COUNTIF($AA$24:$AA$34,SUBSTITUTE(C469,""Sell_"",""""))),1,IF(REGEXMATCH(C469,""Sell_""),IF(COUNTIF(C$4:C469,SUBSTITUTE(C469,""Sell_"",""""))-COUNTIF(C$4:C468,C469)&lt;1,1),FALSE))))"),"")</f>
        <v/>
      </c>
      <c r="E469" s="59" t="str">
        <f t="array" ref="E469">IF(COUNTA(C469:C1350)=0,"",SUM((COUNTIF(C$4:C469,Upgrades!$B$3:$B$13)-COUNTIF(C$4:C469,"Sell_"&amp;Upgrades!$B$3:$B$13))*Upgrades!$D$3:$D$13))</f>
        <v/>
      </c>
      <c r="F469" s="66" t="str">
        <f>IFERROR(__xludf.DUMMYFUNCTION("IF(COUNTA(C469:C1350)=0,"""",IF(REGEXMATCH(INDEX(FILTER(C$4:C469,C$4:C469&lt;&gt;""""),ROWS(FILTER(C$4:C469,C$4:C469&lt;&gt;""""))),""^Sell_""),INDEX(FILTER(F$4:F468,C$4:C468&lt;&gt;""""),ROWS(FILTER(C$4:C468,C$4:C468&lt;&gt;""""))),$AC$5+E469))"),"")</f>
        <v/>
      </c>
      <c r="G469" s="10" t="str">
        <f>IFERROR(__xludf.DUMMYFUNCTION("IF(COUNTA(C469:C1350)=0,"""",IF(C469="""",0,IF(REGEXMATCH(C469,""^Sell_""),-ROUNDDOWN(ROUNDUP(INDEX(Upgrades!$C$3:$C$13,MATCH(SUBSTITUTE(C469,""Sell_"",""""),Upgrades!$B$3:$B$13,0))*1.15^(COUNTIF(C$4:C468,SUBSTITUTE(C469,""Sell_"",""""))-COUNTIF(C$4:C468,"&amp;"""Sell_""&amp;SUBSTITUTE(C469,""Sell_"",""""))))/2),ROUNDUP(INDEX(Upgrades!$C$3:$C$13,MATCH(C469,Upgrades!$B$3:$B$13,0))*1.15^(COUNTIF(C$4:C468,C469)-COUNTIF(C$4:C468,""Sell_""&amp;C469))))))"),"")</f>
        <v/>
      </c>
      <c r="H469" s="10" t="str">
        <f t="shared" si="3"/>
        <v/>
      </c>
      <c r="I469" s="68" t="str">
        <f t="shared" si="4"/>
        <v/>
      </c>
      <c r="J469" s="59" t="str">
        <f t="shared" si="5"/>
        <v/>
      </c>
      <c r="K469" s="69" t="str">
        <f t="shared" si="6"/>
        <v/>
      </c>
      <c r="L469" s="60">
        <f t="shared" si="7"/>
        <v>-224.65193</v>
      </c>
      <c r="M469" s="61">
        <f>IFERROR(__xludf.DUMMYFUNCTION("IFS(AND(COUNTA(C469:C1350)=0,COUNTA(Q469:Q1350)=0),"""",OR(AND(K469&gt;=1000000000,OR(Y469&gt;=1000000000,COUNTA(Q469:Q1350)=0)),OR(Y469&gt;=1000000000,AND(COUNTA(C469:C1350)=0,P$3=TRUE))),
ROUNDDOWN((AB$1-AC$1)*MAX(INDEX(T$4:T1350,MATCH(LARGE(FILTER(Y$4:Y1350,Y$4"&amp;":Y1350&lt;1000000000),1),Y$4:Y1350)),INDEX(F$4:F1350,MATCH(LARGE(FILTER(K$4:K1350,K$4:K1350&lt;1000000000),1),K$4:K1350)))),AND(K469&lt;1000000000,COUNTA(C469:C1350)&gt;0,P$3=FALSE),
ROUNDDOWN(INDEX(Y$4:Y1350,MATCH(LARGE(FILTER(W$4:W1350,W$4:W1350&lt;=I469),1),W$4:W1350"&amp;"))+(I469-LARGE(FILTER(W$4:W1350,W$4:W1350&lt;=I469),1))*INDEX(T$4:T1350,MATCH(LARGE(FILTER(W$4:W1350,W$4:W1350&lt;=I469),1),W$4:W1350))-K469),1,
ROUNDDOWN(Y469-INDEX(K$4:K1350,MATCH(LARGE(FILTER(I$4:I1350,I$4:I1350&lt;=W469),1),I$4:I1350))-(W469-LARGE(FILTER(I$4:I"&amp;"1350,I$4:I1350&lt;=W469),1))*INDEX(F$4:F1350,MATCH(LARGE(FILTER(I$4:I1350,I$4:I1350&lt;=W469),1),I$4:I1350))))"),9.2226469E7)</f>
        <v>92226469</v>
      </c>
      <c r="N469" s="60">
        <f t="shared" si="8"/>
        <v>-224.65193</v>
      </c>
      <c r="O469" s="61" t="str">
        <f t="shared" si="9"/>
        <v>92,2M</v>
      </c>
      <c r="P469" s="56">
        <f t="shared" si="10"/>
        <v>38</v>
      </c>
      <c r="Q469" s="105" t="s">
        <v>60</v>
      </c>
      <c r="R469" s="10" t="b">
        <f>IFERROR(__xludf.DUMMYFUNCTION("IF(COUNTA(Q469:Q1350)=0,"""",IF(ISBLANK(Q469),FALSE,IF(NOT(COUNTIF($AA$24:$AA$34,SUBSTITUTE(Q469,""Sell_"",""""))),1,IF(REGEXMATCH(Q469,""Sell_""),IF(COUNTIF(Q$4:Q469,SUBSTITUTE(Q469,""Sell_"",""""))-COUNTIF(Q$4:Q468,Q469)&lt;1,1),FALSE))))"),FALSE)</f>
        <v>0</v>
      </c>
      <c r="S469" s="59">
        <f t="array" ref="S469">IF(COUNTA(Q469:Q1350)=0,"",SUM((COUNTIF(Q$4:Q469,Upgrades!$B$3:$B$13)-COUNTIF(Q$4:Q469,"Sell_"&amp;Upgrades!$B$3:$B$13))*Upgrades!$D$3:$D$13))</f>
        <v>424452.4</v>
      </c>
      <c r="T469" s="66">
        <f>IFERROR(__xludf.DUMMYFUNCTION("IF(COUNTA(Q469:Q1350)=0,"""",IF(REGEXMATCH(INDEX(FILTER(Q$4:Q469,Q$4:Q469&lt;&gt;""""),ROWS(FILTER(Q$4:Q469,Q$4:Q469&lt;&gt;""""))),""^Sell_""),INDEX(FILTER(T$4:T468,Q$4:Q468&lt;&gt;""""),ROWS(FILTER(Q$4:Q468,Q$4:Q468&lt;&gt;""""))),$AD$5+S469))"),438618.4)</f>
        <v>438618.4</v>
      </c>
      <c r="U469" s="10">
        <f>IFERROR(__xludf.DUMMYFUNCTION("IF(COUNTA(Q469:Q1350)=0,"""",IF(Q469="""",0,IF(REGEXMATCH(Q469,""^Sell_""),-ROUNDDOWN(ROUNDUP(INDEX(Upgrades!$C$3:$C$13,MATCH(SUBSTITUTE(Q469,""Sell_"",""""),Upgrades!$B$3:$B$13,0))*1.15^(COUNTIF(Q$4:Q468,SUBSTITUTE(Q469,""Sell_"",""""))-COUNTIF(Q$4:Q468,"&amp;"""Sell_""&amp;SUBSTITUTE(Q469,""Sell_"",""""))))/2),ROUNDUP(INDEX(Upgrades!$C$3:$C$13,MATCH(Q469,Upgrades!$B$3:$B$13,0))*1.15^(COUNTIF(Q$4:Q468,Q469)-COUNTIF(Q$4:Q468,""Sell_""&amp;Q469))))))"),-174901.0)</f>
        <v>-174901</v>
      </c>
      <c r="V469" s="10">
        <f t="shared" si="11"/>
        <v>-20796961</v>
      </c>
      <c r="W469" s="68">
        <f t="shared" si="12"/>
        <v>6085.8512</v>
      </c>
      <c r="X469" s="59" t="str">
        <f t="shared" si="13"/>
        <v>1h 41m 25s</v>
      </c>
      <c r="Y469" s="69">
        <f t="shared" si="14"/>
        <v>666718570</v>
      </c>
      <c r="Z469" s="11"/>
    </row>
    <row r="470">
      <c r="A470" s="8"/>
      <c r="B470" s="56" t="str">
        <f t="shared" si="2"/>
        <v/>
      </c>
      <c r="C470" s="57"/>
      <c r="D470" s="10" t="str">
        <f>IFERROR(__xludf.DUMMYFUNCTION("IF(COUNTA(C470:C1350)=0,"""",IF(ISBLANK(C470),FALSE,IF(NOT(COUNTIF($AA$24:$AA$34,SUBSTITUTE(C470,""Sell_"",""""))),1,IF(REGEXMATCH(C470,""Sell_""),IF(COUNTIF(C$4:C470,SUBSTITUTE(C470,""Sell_"",""""))-COUNTIF(C$4:C469,C470)&lt;1,1),FALSE))))"),"")</f>
        <v/>
      </c>
      <c r="E470" s="59" t="str">
        <f t="array" ref="E470">IF(COUNTA(C470:C1350)=0,"",SUM((COUNTIF(C$4:C470,Upgrades!$B$3:$B$13)-COUNTIF(C$4:C470,"Sell_"&amp;Upgrades!$B$3:$B$13))*Upgrades!$D$3:$D$13))</f>
        <v/>
      </c>
      <c r="F470" s="66" t="str">
        <f>IFERROR(__xludf.DUMMYFUNCTION("IF(COUNTA(C470:C1350)=0,"""",IF(REGEXMATCH(INDEX(FILTER(C$4:C470,C$4:C470&lt;&gt;""""),ROWS(FILTER(C$4:C470,C$4:C470&lt;&gt;""""))),""^Sell_""),INDEX(FILTER(F$4:F469,C$4:C469&lt;&gt;""""),ROWS(FILTER(C$4:C469,C$4:C469&lt;&gt;""""))),$AC$5+E470))"),"")</f>
        <v/>
      </c>
      <c r="G470" s="10" t="str">
        <f>IFERROR(__xludf.DUMMYFUNCTION("IF(COUNTA(C470:C1350)=0,"""",IF(C470="""",0,IF(REGEXMATCH(C470,""^Sell_""),-ROUNDDOWN(ROUNDUP(INDEX(Upgrades!$C$3:$C$13,MATCH(SUBSTITUTE(C470,""Sell_"",""""),Upgrades!$B$3:$B$13,0))*1.15^(COUNTIF(C$4:C469,SUBSTITUTE(C470,""Sell_"",""""))-COUNTIF(C$4:C469,"&amp;"""Sell_""&amp;SUBSTITUTE(C470,""Sell_"",""""))))/2),ROUNDUP(INDEX(Upgrades!$C$3:$C$13,MATCH(C470,Upgrades!$B$3:$B$13,0))*1.15^(COUNTIF(C$4:C469,C470)-COUNTIF(C$4:C469,""Sell_""&amp;C470))))))"),"")</f>
        <v/>
      </c>
      <c r="H470" s="10" t="str">
        <f t="shared" si="3"/>
        <v/>
      </c>
      <c r="I470" s="68" t="str">
        <f t="shared" si="4"/>
        <v/>
      </c>
      <c r="J470" s="59" t="str">
        <f t="shared" si="5"/>
        <v/>
      </c>
      <c r="K470" s="69" t="str">
        <f t="shared" si="6"/>
        <v/>
      </c>
      <c r="L470" s="60">
        <f t="shared" si="7"/>
        <v>-224.65193</v>
      </c>
      <c r="M470" s="61">
        <f>IFERROR(__xludf.DUMMYFUNCTION("IFS(AND(COUNTA(C470:C1350)=0,COUNTA(Q470:Q1350)=0),"""",OR(AND(K470&gt;=1000000000,OR(Y470&gt;=1000000000,COUNTA(Q470:Q1350)=0)),OR(Y470&gt;=1000000000,AND(COUNTA(C470:C1350)=0,P$3=TRUE))),
ROUNDDOWN((AB$1-AC$1)*MAX(INDEX(T$4:T1350,MATCH(LARGE(FILTER(Y$4:Y1350,Y$4"&amp;":Y1350&lt;1000000000),1),Y$4:Y1350)),INDEX(F$4:F1350,MATCH(LARGE(FILTER(K$4:K1350,K$4:K1350&lt;1000000000),1),K$4:K1350)))),AND(K470&lt;1000000000,COUNTA(C470:C1350)&gt;0,P$3=FALSE),
ROUNDDOWN(INDEX(Y$4:Y1350,MATCH(LARGE(FILTER(W$4:W1350,W$4:W1350&lt;=I470),1),W$4:W1350"&amp;"))+(I470-LARGE(FILTER(W$4:W1350,W$4:W1350&lt;=I470),1))*INDEX(T$4:T1350,MATCH(LARGE(FILTER(W$4:W1350,W$4:W1350&lt;=I470),1),W$4:W1350))-K470),1,
ROUNDDOWN(Y470-INDEX(K$4:K1350,MATCH(LARGE(FILTER(I$4:I1350,I$4:I1350&lt;=W470),1),I$4:I1350))-(W470-LARGE(FILTER(I$4:I"&amp;"1350,I$4:I1350&lt;=W470),1))*INDEX(F$4:F1350,MATCH(LARGE(FILTER(I$4:I1350,I$4:I1350&lt;=W470),1),I$4:I1350))))"),9.2226469E7)</f>
        <v>92226469</v>
      </c>
      <c r="N470" s="60">
        <f t="shared" si="8"/>
        <v>-224.65193</v>
      </c>
      <c r="O470" s="61" t="str">
        <f t="shared" si="9"/>
        <v>92,2M</v>
      </c>
      <c r="P470" s="56">
        <f t="shared" si="10"/>
        <v>39</v>
      </c>
      <c r="Q470" s="105" t="s">
        <v>60</v>
      </c>
      <c r="R470" s="10" t="b">
        <f>IFERROR(__xludf.DUMMYFUNCTION("IF(COUNTA(Q470:Q1350)=0,"""",IF(ISBLANK(Q470),FALSE,IF(NOT(COUNTIF($AA$24:$AA$34,SUBSTITUTE(Q470,""Sell_"",""""))),1,IF(REGEXMATCH(Q470,""Sell_""),IF(COUNTIF(Q$4:Q470,SUBSTITUTE(Q470,""Sell_"",""""))-COUNTIF(Q$4:Q469,Q470)&lt;1,1),FALSE))))"),FALSE)</f>
        <v>0</v>
      </c>
      <c r="S470" s="59">
        <f t="array" ref="S470">IF(COUNTA(Q470:Q1350)=0,"",SUM((COUNTIF(Q$4:Q470,Upgrades!$B$3:$B$13)-COUNTIF(Q$4:Q470,"Sell_"&amp;Upgrades!$B$3:$B$13))*Upgrades!$D$3:$D$13))</f>
        <v>424052.4</v>
      </c>
      <c r="T470" s="66">
        <f>IFERROR(__xludf.DUMMYFUNCTION("IF(COUNTA(Q470:Q1350)=0,"""",IF(REGEXMATCH(INDEX(FILTER(Q$4:Q470,Q$4:Q470&lt;&gt;""""),ROWS(FILTER(Q$4:Q470,Q$4:Q470&lt;&gt;""""))),""^Sell_""),INDEX(FILTER(T$4:T469,Q$4:Q469&lt;&gt;""""),ROWS(FILTER(Q$4:Q469,Q$4:Q469&lt;&gt;""""))),$AD$5+S470))"),438618.4)</f>
        <v>438618.4</v>
      </c>
      <c r="U470" s="10">
        <f>IFERROR(__xludf.DUMMYFUNCTION("IF(COUNTA(Q470:Q1350)=0,"""",IF(Q470="""",0,IF(REGEXMATCH(Q470,""^Sell_""),-ROUNDDOWN(ROUNDUP(INDEX(Upgrades!$C$3:$C$13,MATCH(SUBSTITUTE(Q470,""Sell_"",""""),Upgrades!$B$3:$B$13,0))*1.15^(COUNTIF(Q$4:Q469,SUBSTITUTE(Q470,""Sell_"",""""))-COUNTIF(Q$4:Q469,"&amp;"""Sell_""&amp;SUBSTITUTE(Q470,""Sell_"",""""))))/2),ROUNDUP(INDEX(Upgrades!$C$3:$C$13,MATCH(Q470,Upgrades!$B$3:$B$13,0))*1.15^(COUNTIF(Q$4:Q469,Q470)-COUNTIF(Q$4:Q469,""Sell_""&amp;Q470))))))"),-152087.0)</f>
        <v>-152087</v>
      </c>
      <c r="V470" s="10">
        <f t="shared" si="11"/>
        <v>-20949048</v>
      </c>
      <c r="W470" s="68">
        <f t="shared" si="12"/>
        <v>6085.8512</v>
      </c>
      <c r="X470" s="59" t="str">
        <f t="shared" si="13"/>
        <v>1h 41m 25s</v>
      </c>
      <c r="Y470" s="69">
        <f t="shared" si="14"/>
        <v>666718570</v>
      </c>
      <c r="Z470" s="11"/>
    </row>
    <row r="471">
      <c r="A471" s="8"/>
      <c r="B471" s="56" t="str">
        <f t="shared" si="2"/>
        <v/>
      </c>
      <c r="C471" s="57"/>
      <c r="D471" s="10" t="str">
        <f>IFERROR(__xludf.DUMMYFUNCTION("IF(COUNTA(C471:C1350)=0,"""",IF(ISBLANK(C471),FALSE,IF(NOT(COUNTIF($AA$24:$AA$34,SUBSTITUTE(C471,""Sell_"",""""))),1,IF(REGEXMATCH(C471,""Sell_""),IF(COUNTIF(C$4:C471,SUBSTITUTE(C471,""Sell_"",""""))-COUNTIF(C$4:C470,C471)&lt;1,1),FALSE))))"),"")</f>
        <v/>
      </c>
      <c r="E471" s="59" t="str">
        <f t="array" ref="E471">IF(COUNTA(C471:C1350)=0,"",SUM((COUNTIF(C$4:C471,Upgrades!$B$3:$B$13)-COUNTIF(C$4:C471,"Sell_"&amp;Upgrades!$B$3:$B$13))*Upgrades!$D$3:$D$13))</f>
        <v/>
      </c>
      <c r="F471" s="66" t="str">
        <f>IFERROR(__xludf.DUMMYFUNCTION("IF(COUNTA(C471:C1350)=0,"""",IF(REGEXMATCH(INDEX(FILTER(C$4:C471,C$4:C471&lt;&gt;""""),ROWS(FILTER(C$4:C471,C$4:C471&lt;&gt;""""))),""^Sell_""),INDEX(FILTER(F$4:F470,C$4:C470&lt;&gt;""""),ROWS(FILTER(C$4:C470,C$4:C470&lt;&gt;""""))),$AC$5+E471))"),"")</f>
        <v/>
      </c>
      <c r="G471" s="10" t="str">
        <f>IFERROR(__xludf.DUMMYFUNCTION("IF(COUNTA(C471:C1350)=0,"""",IF(C471="""",0,IF(REGEXMATCH(C471,""^Sell_""),-ROUNDDOWN(ROUNDUP(INDEX(Upgrades!$C$3:$C$13,MATCH(SUBSTITUTE(C471,""Sell_"",""""),Upgrades!$B$3:$B$13,0))*1.15^(COUNTIF(C$4:C470,SUBSTITUTE(C471,""Sell_"",""""))-COUNTIF(C$4:C470,"&amp;"""Sell_""&amp;SUBSTITUTE(C471,""Sell_"",""""))))/2),ROUNDUP(INDEX(Upgrades!$C$3:$C$13,MATCH(C471,Upgrades!$B$3:$B$13,0))*1.15^(COUNTIF(C$4:C470,C471)-COUNTIF(C$4:C470,""Sell_""&amp;C471))))))"),"")</f>
        <v/>
      </c>
      <c r="H471" s="10" t="str">
        <f t="shared" si="3"/>
        <v/>
      </c>
      <c r="I471" s="68" t="str">
        <f t="shared" si="4"/>
        <v/>
      </c>
      <c r="J471" s="59" t="str">
        <f t="shared" si="5"/>
        <v/>
      </c>
      <c r="K471" s="69" t="str">
        <f t="shared" si="6"/>
        <v/>
      </c>
      <c r="L471" s="60">
        <f t="shared" si="7"/>
        <v>-224.65193</v>
      </c>
      <c r="M471" s="61">
        <f>IFERROR(__xludf.DUMMYFUNCTION("IFS(AND(COUNTA(C471:C1350)=0,COUNTA(Q471:Q1350)=0),"""",OR(AND(K471&gt;=1000000000,OR(Y471&gt;=1000000000,COUNTA(Q471:Q1350)=0)),OR(Y471&gt;=1000000000,AND(COUNTA(C471:C1350)=0,P$3=TRUE))),
ROUNDDOWN((AB$1-AC$1)*MAX(INDEX(T$4:T1350,MATCH(LARGE(FILTER(Y$4:Y1350,Y$4"&amp;":Y1350&lt;1000000000),1),Y$4:Y1350)),INDEX(F$4:F1350,MATCH(LARGE(FILTER(K$4:K1350,K$4:K1350&lt;1000000000),1),K$4:K1350)))),AND(K471&lt;1000000000,COUNTA(C471:C1350)&gt;0,P$3=FALSE),
ROUNDDOWN(INDEX(Y$4:Y1350,MATCH(LARGE(FILTER(W$4:W1350,W$4:W1350&lt;=I471),1),W$4:W1350"&amp;"))+(I471-LARGE(FILTER(W$4:W1350,W$4:W1350&lt;=I471),1))*INDEX(T$4:T1350,MATCH(LARGE(FILTER(W$4:W1350,W$4:W1350&lt;=I471),1),W$4:W1350))-K471),1,
ROUNDDOWN(Y471-INDEX(K$4:K1350,MATCH(LARGE(FILTER(I$4:I1350,I$4:I1350&lt;=W471),1),I$4:I1350))-(W471-LARGE(FILTER(I$4:I"&amp;"1350,I$4:I1350&lt;=W471),1))*INDEX(F$4:F1350,MATCH(LARGE(FILTER(I$4:I1350,I$4:I1350&lt;=W471),1),I$4:I1350))))"),9.2226469E7)</f>
        <v>92226469</v>
      </c>
      <c r="N471" s="60">
        <f t="shared" si="8"/>
        <v>-224.65193</v>
      </c>
      <c r="O471" s="61" t="str">
        <f t="shared" si="9"/>
        <v>92,2M</v>
      </c>
      <c r="P471" s="56">
        <f t="shared" si="10"/>
        <v>40</v>
      </c>
      <c r="Q471" s="105" t="s">
        <v>60</v>
      </c>
      <c r="R471" s="10" t="b">
        <f>IFERROR(__xludf.DUMMYFUNCTION("IF(COUNTA(Q471:Q1350)=0,"""",IF(ISBLANK(Q471),FALSE,IF(NOT(COUNTIF($AA$24:$AA$34,SUBSTITUTE(Q471,""Sell_"",""""))),1,IF(REGEXMATCH(Q471,""Sell_""),IF(COUNTIF(Q$4:Q471,SUBSTITUTE(Q471,""Sell_"",""""))-COUNTIF(Q$4:Q470,Q471)&lt;1,1),FALSE))))"),FALSE)</f>
        <v>0</v>
      </c>
      <c r="S471" s="59">
        <f t="array" ref="S471">IF(COUNTA(Q471:Q1350)=0,"",SUM((COUNTIF(Q$4:Q471,Upgrades!$B$3:$B$13)-COUNTIF(Q$4:Q471,"Sell_"&amp;Upgrades!$B$3:$B$13))*Upgrades!$D$3:$D$13))</f>
        <v>423652.4</v>
      </c>
      <c r="T471" s="66">
        <f>IFERROR(__xludf.DUMMYFUNCTION("IF(COUNTA(Q471:Q1350)=0,"""",IF(REGEXMATCH(INDEX(FILTER(Q$4:Q471,Q$4:Q471&lt;&gt;""""),ROWS(FILTER(Q$4:Q471,Q$4:Q471&lt;&gt;""""))),""^Sell_""),INDEX(FILTER(T$4:T470,Q$4:Q470&lt;&gt;""""),ROWS(FILTER(Q$4:Q470,Q$4:Q470&lt;&gt;""""))),$AD$5+S471))"),438618.4)</f>
        <v>438618.4</v>
      </c>
      <c r="U471" s="10">
        <f>IFERROR(__xludf.DUMMYFUNCTION("IF(COUNTA(Q471:Q1350)=0,"""",IF(Q471="""",0,IF(REGEXMATCH(Q471,""^Sell_""),-ROUNDDOWN(ROUNDUP(INDEX(Upgrades!$C$3:$C$13,MATCH(SUBSTITUTE(Q471,""Sell_"",""""),Upgrades!$B$3:$B$13,0))*1.15^(COUNTIF(Q$4:Q470,SUBSTITUTE(Q471,""Sell_"",""""))-COUNTIF(Q$4:Q470,"&amp;"""Sell_""&amp;SUBSTITUTE(Q471,""Sell_"",""""))))/2),ROUNDUP(INDEX(Upgrades!$C$3:$C$13,MATCH(Q471,Upgrades!$B$3:$B$13,0))*1.15^(COUNTIF(Q$4:Q470,Q471)-COUNTIF(Q$4:Q470,""Sell_""&amp;Q471))))))"),-132250.0)</f>
        <v>-132250</v>
      </c>
      <c r="V471" s="10">
        <f t="shared" si="11"/>
        <v>-21081298</v>
      </c>
      <c r="W471" s="68">
        <f t="shared" si="12"/>
        <v>6085.8512</v>
      </c>
      <c r="X471" s="59" t="str">
        <f t="shared" si="13"/>
        <v>1h 41m 25s</v>
      </c>
      <c r="Y471" s="69">
        <f t="shared" si="14"/>
        <v>666718570</v>
      </c>
      <c r="Z471" s="11"/>
    </row>
    <row r="472">
      <c r="A472" s="8"/>
      <c r="B472" s="56" t="str">
        <f t="shared" si="2"/>
        <v/>
      </c>
      <c r="C472" s="57"/>
      <c r="D472" s="10" t="str">
        <f>IFERROR(__xludf.DUMMYFUNCTION("IF(COUNTA(C472:C1350)=0,"""",IF(ISBLANK(C472),FALSE,IF(NOT(COUNTIF($AA$24:$AA$34,SUBSTITUTE(C472,""Sell_"",""""))),1,IF(REGEXMATCH(C472,""Sell_""),IF(COUNTIF(C$4:C472,SUBSTITUTE(C472,""Sell_"",""""))-COUNTIF(C$4:C471,C472)&lt;1,1),FALSE))))"),"")</f>
        <v/>
      </c>
      <c r="E472" s="59" t="str">
        <f t="array" ref="E472">IF(COUNTA(C472:C1350)=0,"",SUM((COUNTIF(C$4:C472,Upgrades!$B$3:$B$13)-COUNTIF(C$4:C472,"Sell_"&amp;Upgrades!$B$3:$B$13))*Upgrades!$D$3:$D$13))</f>
        <v/>
      </c>
      <c r="F472" s="66" t="str">
        <f>IFERROR(__xludf.DUMMYFUNCTION("IF(COUNTA(C472:C1350)=0,"""",IF(REGEXMATCH(INDEX(FILTER(C$4:C472,C$4:C472&lt;&gt;""""),ROWS(FILTER(C$4:C472,C$4:C472&lt;&gt;""""))),""^Sell_""),INDEX(FILTER(F$4:F471,C$4:C471&lt;&gt;""""),ROWS(FILTER(C$4:C471,C$4:C471&lt;&gt;""""))),$AC$5+E472))"),"")</f>
        <v/>
      </c>
      <c r="G472" s="10" t="str">
        <f>IFERROR(__xludf.DUMMYFUNCTION("IF(COUNTA(C472:C1350)=0,"""",IF(C472="""",0,IF(REGEXMATCH(C472,""^Sell_""),-ROUNDDOWN(ROUNDUP(INDEX(Upgrades!$C$3:$C$13,MATCH(SUBSTITUTE(C472,""Sell_"",""""),Upgrades!$B$3:$B$13,0))*1.15^(COUNTIF(C$4:C471,SUBSTITUTE(C472,""Sell_"",""""))-COUNTIF(C$4:C471,"&amp;"""Sell_""&amp;SUBSTITUTE(C472,""Sell_"",""""))))/2),ROUNDUP(INDEX(Upgrades!$C$3:$C$13,MATCH(C472,Upgrades!$B$3:$B$13,0))*1.15^(COUNTIF(C$4:C471,C472)-COUNTIF(C$4:C471,""Sell_""&amp;C472))))))"),"")</f>
        <v/>
      </c>
      <c r="H472" s="10" t="str">
        <f t="shared" si="3"/>
        <v/>
      </c>
      <c r="I472" s="68" t="str">
        <f t="shared" si="4"/>
        <v/>
      </c>
      <c r="J472" s="59" t="str">
        <f t="shared" si="5"/>
        <v/>
      </c>
      <c r="K472" s="69" t="str">
        <f t="shared" si="6"/>
        <v/>
      </c>
      <c r="L472" s="60">
        <f t="shared" si="7"/>
        <v>-224.65193</v>
      </c>
      <c r="M472" s="61">
        <f>IFERROR(__xludf.DUMMYFUNCTION("IFS(AND(COUNTA(C472:C1350)=0,COUNTA(Q472:Q1350)=0),"""",OR(AND(K472&gt;=1000000000,OR(Y472&gt;=1000000000,COUNTA(Q472:Q1350)=0)),OR(Y472&gt;=1000000000,AND(COUNTA(C472:C1350)=0,P$3=TRUE))),
ROUNDDOWN((AB$1-AC$1)*MAX(INDEX(T$4:T1350,MATCH(LARGE(FILTER(Y$4:Y1350,Y$4"&amp;":Y1350&lt;1000000000),1),Y$4:Y1350)),INDEX(F$4:F1350,MATCH(LARGE(FILTER(K$4:K1350,K$4:K1350&lt;1000000000),1),K$4:K1350)))),AND(K472&lt;1000000000,COUNTA(C472:C1350)&gt;0,P$3=FALSE),
ROUNDDOWN(INDEX(Y$4:Y1350,MATCH(LARGE(FILTER(W$4:W1350,W$4:W1350&lt;=I472),1),W$4:W1350"&amp;"))+(I472-LARGE(FILTER(W$4:W1350,W$4:W1350&lt;=I472),1))*INDEX(T$4:T1350,MATCH(LARGE(FILTER(W$4:W1350,W$4:W1350&lt;=I472),1),W$4:W1350))-K472),1,
ROUNDDOWN(Y472-INDEX(K$4:K1350,MATCH(LARGE(FILTER(I$4:I1350,I$4:I1350&lt;=W472),1),I$4:I1350))-(W472-LARGE(FILTER(I$4:I"&amp;"1350,I$4:I1350&lt;=W472),1))*INDEX(F$4:F1350,MATCH(LARGE(FILTER(I$4:I1350,I$4:I1350&lt;=W472),1),I$4:I1350))))"),9.2226469E7)</f>
        <v>92226469</v>
      </c>
      <c r="N472" s="60">
        <f t="shared" si="8"/>
        <v>-224.65193</v>
      </c>
      <c r="O472" s="61" t="str">
        <f t="shared" si="9"/>
        <v>92,2M</v>
      </c>
      <c r="P472" s="56">
        <f t="shared" si="10"/>
        <v>41</v>
      </c>
      <c r="Q472" s="105" t="s">
        <v>60</v>
      </c>
      <c r="R472" s="10" t="b">
        <f>IFERROR(__xludf.DUMMYFUNCTION("IF(COUNTA(Q472:Q1350)=0,"""",IF(ISBLANK(Q472),FALSE,IF(NOT(COUNTIF($AA$24:$AA$34,SUBSTITUTE(Q472,""Sell_"",""""))),1,IF(REGEXMATCH(Q472,""Sell_""),IF(COUNTIF(Q$4:Q472,SUBSTITUTE(Q472,""Sell_"",""""))-COUNTIF(Q$4:Q471,Q472)&lt;1,1),FALSE))))"),FALSE)</f>
        <v>0</v>
      </c>
      <c r="S472" s="59">
        <f t="array" ref="S472">IF(COUNTA(Q472:Q1350)=0,"",SUM((COUNTIF(Q$4:Q472,Upgrades!$B$3:$B$13)-COUNTIF(Q$4:Q472,"Sell_"&amp;Upgrades!$B$3:$B$13))*Upgrades!$D$3:$D$13))</f>
        <v>423252.4</v>
      </c>
      <c r="T472" s="66">
        <f>IFERROR(__xludf.DUMMYFUNCTION("IF(COUNTA(Q472:Q1350)=0,"""",IF(REGEXMATCH(INDEX(FILTER(Q$4:Q472,Q$4:Q472&lt;&gt;""""),ROWS(FILTER(Q$4:Q472,Q$4:Q472&lt;&gt;""""))),""^Sell_""),INDEX(FILTER(T$4:T471,Q$4:Q471&lt;&gt;""""),ROWS(FILTER(Q$4:Q471,Q$4:Q471&lt;&gt;""""))),$AD$5+S472))"),438618.4)</f>
        <v>438618.4</v>
      </c>
      <c r="U472" s="10">
        <f>IFERROR(__xludf.DUMMYFUNCTION("IF(COUNTA(Q472:Q1350)=0,"""",IF(Q472="""",0,IF(REGEXMATCH(Q472,""^Sell_""),-ROUNDDOWN(ROUNDUP(INDEX(Upgrades!$C$3:$C$13,MATCH(SUBSTITUTE(Q472,""Sell_"",""""),Upgrades!$B$3:$B$13,0))*1.15^(COUNTIF(Q$4:Q471,SUBSTITUTE(Q472,""Sell_"",""""))-COUNTIF(Q$4:Q471,"&amp;"""Sell_""&amp;SUBSTITUTE(Q472,""Sell_"",""""))))/2),ROUNDUP(INDEX(Upgrades!$C$3:$C$13,MATCH(Q472,Upgrades!$B$3:$B$13,0))*1.15^(COUNTIF(Q$4:Q471,Q472)-COUNTIF(Q$4:Q471,""Sell_""&amp;Q472))))))"),-115000.0)</f>
        <v>-115000</v>
      </c>
      <c r="V472" s="10">
        <f t="shared" si="11"/>
        <v>-21196298</v>
      </c>
      <c r="W472" s="68">
        <f t="shared" si="12"/>
        <v>6085.8512</v>
      </c>
      <c r="X472" s="59" t="str">
        <f t="shared" si="13"/>
        <v>1h 41m 25s</v>
      </c>
      <c r="Y472" s="69">
        <f t="shared" si="14"/>
        <v>666718570</v>
      </c>
      <c r="Z472" s="11"/>
    </row>
    <row r="473">
      <c r="A473" s="8"/>
      <c r="B473" s="56" t="str">
        <f t="shared" si="2"/>
        <v/>
      </c>
      <c r="C473" s="57"/>
      <c r="D473" s="10" t="str">
        <f>IFERROR(__xludf.DUMMYFUNCTION("IF(COUNTA(C473:C1350)=0,"""",IF(ISBLANK(C473),FALSE,IF(NOT(COUNTIF($AA$24:$AA$34,SUBSTITUTE(C473,""Sell_"",""""))),1,IF(REGEXMATCH(C473,""Sell_""),IF(COUNTIF(C$4:C473,SUBSTITUTE(C473,""Sell_"",""""))-COUNTIF(C$4:C472,C473)&lt;1,1),FALSE))))"),"")</f>
        <v/>
      </c>
      <c r="E473" s="59" t="str">
        <f t="array" ref="E473">IF(COUNTA(C473:C1350)=0,"",SUM((COUNTIF(C$4:C473,Upgrades!$B$3:$B$13)-COUNTIF(C$4:C473,"Sell_"&amp;Upgrades!$B$3:$B$13))*Upgrades!$D$3:$D$13))</f>
        <v/>
      </c>
      <c r="F473" s="66" t="str">
        <f>IFERROR(__xludf.DUMMYFUNCTION("IF(COUNTA(C473:C1350)=0,"""",IF(REGEXMATCH(INDEX(FILTER(C$4:C473,C$4:C473&lt;&gt;""""),ROWS(FILTER(C$4:C473,C$4:C473&lt;&gt;""""))),""^Sell_""),INDEX(FILTER(F$4:F472,C$4:C472&lt;&gt;""""),ROWS(FILTER(C$4:C472,C$4:C472&lt;&gt;""""))),$AC$5+E473))"),"")</f>
        <v/>
      </c>
      <c r="G473" s="10" t="str">
        <f>IFERROR(__xludf.DUMMYFUNCTION("IF(COUNTA(C473:C1350)=0,"""",IF(C473="""",0,IF(REGEXMATCH(C473,""^Sell_""),-ROUNDDOWN(ROUNDUP(INDEX(Upgrades!$C$3:$C$13,MATCH(SUBSTITUTE(C473,""Sell_"",""""),Upgrades!$B$3:$B$13,0))*1.15^(COUNTIF(C$4:C472,SUBSTITUTE(C473,""Sell_"",""""))-COUNTIF(C$4:C472,"&amp;"""Sell_""&amp;SUBSTITUTE(C473,""Sell_"",""""))))/2),ROUNDUP(INDEX(Upgrades!$C$3:$C$13,MATCH(C473,Upgrades!$B$3:$B$13,0))*1.15^(COUNTIF(C$4:C472,C473)-COUNTIF(C$4:C472,""Sell_""&amp;C473))))))"),"")</f>
        <v/>
      </c>
      <c r="H473" s="10" t="str">
        <f t="shared" si="3"/>
        <v/>
      </c>
      <c r="I473" s="68" t="str">
        <f t="shared" si="4"/>
        <v/>
      </c>
      <c r="J473" s="59" t="str">
        <f t="shared" si="5"/>
        <v/>
      </c>
      <c r="K473" s="69" t="str">
        <f t="shared" si="6"/>
        <v/>
      </c>
      <c r="L473" s="60">
        <f t="shared" si="7"/>
        <v>-224.65193</v>
      </c>
      <c r="M473" s="61">
        <f>IFERROR(__xludf.DUMMYFUNCTION("IFS(AND(COUNTA(C473:C1350)=0,COUNTA(Q473:Q1350)=0),"""",OR(AND(K473&gt;=1000000000,OR(Y473&gt;=1000000000,COUNTA(Q473:Q1350)=0)),OR(Y473&gt;=1000000000,AND(COUNTA(C473:C1350)=0,P$3=TRUE))),
ROUNDDOWN((AB$1-AC$1)*MAX(INDEX(T$4:T1350,MATCH(LARGE(FILTER(Y$4:Y1350,Y$4"&amp;":Y1350&lt;1000000000),1),Y$4:Y1350)),INDEX(F$4:F1350,MATCH(LARGE(FILTER(K$4:K1350,K$4:K1350&lt;1000000000),1),K$4:K1350)))),AND(K473&lt;1000000000,COUNTA(C473:C1350)&gt;0,P$3=FALSE),
ROUNDDOWN(INDEX(Y$4:Y1350,MATCH(LARGE(FILTER(W$4:W1350,W$4:W1350&lt;=I473),1),W$4:W1350"&amp;"))+(I473-LARGE(FILTER(W$4:W1350,W$4:W1350&lt;=I473),1))*INDEX(T$4:T1350,MATCH(LARGE(FILTER(W$4:W1350,W$4:W1350&lt;=I473),1),W$4:W1350))-K473),1,
ROUNDDOWN(Y473-INDEX(K$4:K1350,MATCH(LARGE(FILTER(I$4:I1350,I$4:I1350&lt;=W473),1),I$4:I1350))-(W473-LARGE(FILTER(I$4:I"&amp;"1350,I$4:I1350&lt;=W473),1))*INDEX(F$4:F1350,MATCH(LARGE(FILTER(I$4:I1350,I$4:I1350&lt;=W473),1),I$4:I1350))))"),9.2226469E7)</f>
        <v>92226469</v>
      </c>
      <c r="N473" s="60">
        <f t="shared" si="8"/>
        <v>-224.65193</v>
      </c>
      <c r="O473" s="61" t="str">
        <f t="shared" si="9"/>
        <v>92,2M</v>
      </c>
      <c r="P473" s="56">
        <f t="shared" si="10"/>
        <v>13</v>
      </c>
      <c r="Q473" s="105" t="s">
        <v>64</v>
      </c>
      <c r="R473" s="10" t="b">
        <f>IFERROR(__xludf.DUMMYFUNCTION("IF(COUNTA(Q473:Q1350)=0,"""",IF(ISBLANK(Q473),FALSE,IF(NOT(COUNTIF($AA$24:$AA$34,SUBSTITUTE(Q473,""Sell_"",""""))),1,IF(REGEXMATCH(Q473,""Sell_""),IF(COUNTIF(Q$4:Q473,SUBSTITUTE(Q473,""Sell_"",""""))-COUNTIF(Q$4:Q472,Q473)&lt;1,1),FALSE))))"),FALSE)</f>
        <v>0</v>
      </c>
      <c r="S473" s="59">
        <f t="array" ref="S473">IF(COUNTA(Q473:Q1350)=0,"",SUM((COUNTIF(Q$4:Q473,Upgrades!$B$3:$B$13)-COUNTIF(Q$4:Q473,"Sell_"&amp;Upgrades!$B$3:$B$13))*Upgrades!$D$3:$D$13))</f>
        <v>416586.4</v>
      </c>
      <c r="T473" s="66">
        <f>IFERROR(__xludf.DUMMYFUNCTION("IF(COUNTA(Q473:Q1350)=0,"""",IF(REGEXMATCH(INDEX(FILTER(Q$4:Q473,Q$4:Q473&lt;&gt;""""),ROWS(FILTER(Q$4:Q473,Q$4:Q473&lt;&gt;""""))),""^Sell_""),INDEX(FILTER(T$4:T472,Q$4:Q472&lt;&gt;""""),ROWS(FILTER(Q$4:Q472,Q$4:Q472&lt;&gt;""""))),$AD$5+S473))"),438618.4)</f>
        <v>438618.4</v>
      </c>
      <c r="U473" s="10">
        <f>IFERROR(__xludf.DUMMYFUNCTION("IF(COUNTA(Q473:Q1350)=0,"""",IF(Q473="""",0,IF(REGEXMATCH(Q473,""^Sell_""),-ROUNDDOWN(ROUNDUP(INDEX(Upgrades!$C$3:$C$13,MATCH(SUBSTITUTE(Q473,""Sell_"",""""),Upgrades!$B$3:$B$13,0))*1.15^(COUNTIF(Q$4:Q472,SUBSTITUTE(Q473,""Sell_"",""""))-COUNTIF(Q$4:Q472,"&amp;"""Sell_""&amp;SUBSTITUTE(Q473,""Sell_"",""""))))/2),ROUNDUP(INDEX(Upgrades!$C$3:$C$13,MATCH(Q473,Upgrades!$B$3:$B$13,0))*1.15^(COUNTIF(Q$4:Q472,Q473)-COUNTIF(Q$4:Q472,""Sell_""&amp;Q473))))))"),-1.1859805E7)</f>
        <v>-11859805</v>
      </c>
      <c r="V473" s="10">
        <f t="shared" si="11"/>
        <v>-33056103</v>
      </c>
      <c r="W473" s="68">
        <f t="shared" si="12"/>
        <v>6085.8512</v>
      </c>
      <c r="X473" s="59" t="str">
        <f t="shared" si="13"/>
        <v>1h 41m 25s</v>
      </c>
      <c r="Y473" s="69">
        <f t="shared" si="14"/>
        <v>666718570</v>
      </c>
      <c r="Z473" s="11"/>
    </row>
    <row r="474">
      <c r="A474" s="8"/>
      <c r="B474" s="56" t="str">
        <f t="shared" si="2"/>
        <v/>
      </c>
      <c r="C474" s="57"/>
      <c r="D474" s="10" t="str">
        <f>IFERROR(__xludf.DUMMYFUNCTION("IF(COUNTA(C474:C1350)=0,"""",IF(ISBLANK(C474),FALSE,IF(NOT(COUNTIF($AA$24:$AA$34,SUBSTITUTE(C474,""Sell_"",""""))),1,IF(REGEXMATCH(C474,""Sell_""),IF(COUNTIF(C$4:C474,SUBSTITUTE(C474,""Sell_"",""""))-COUNTIF(C$4:C473,C474)&lt;1,1),FALSE))))"),"")</f>
        <v/>
      </c>
      <c r="E474" s="59" t="str">
        <f t="array" ref="E474">IF(COUNTA(C474:C1350)=0,"",SUM((COUNTIF(C$4:C474,Upgrades!$B$3:$B$13)-COUNTIF(C$4:C474,"Sell_"&amp;Upgrades!$B$3:$B$13))*Upgrades!$D$3:$D$13))</f>
        <v/>
      </c>
      <c r="F474" s="66" t="str">
        <f>IFERROR(__xludf.DUMMYFUNCTION("IF(COUNTA(C474:C1350)=0,"""",IF(REGEXMATCH(INDEX(FILTER(C$4:C474,C$4:C474&lt;&gt;""""),ROWS(FILTER(C$4:C474,C$4:C474&lt;&gt;""""))),""^Sell_""),INDEX(FILTER(F$4:F473,C$4:C473&lt;&gt;""""),ROWS(FILTER(C$4:C473,C$4:C473&lt;&gt;""""))),$AC$5+E474))"),"")</f>
        <v/>
      </c>
      <c r="G474" s="10" t="str">
        <f>IFERROR(__xludf.DUMMYFUNCTION("IF(COUNTA(C474:C1350)=0,"""",IF(C474="""",0,IF(REGEXMATCH(C474,""^Sell_""),-ROUNDDOWN(ROUNDUP(INDEX(Upgrades!$C$3:$C$13,MATCH(SUBSTITUTE(C474,""Sell_"",""""),Upgrades!$B$3:$B$13,0))*1.15^(COUNTIF(C$4:C473,SUBSTITUTE(C474,""Sell_"",""""))-COUNTIF(C$4:C473,"&amp;"""Sell_""&amp;SUBSTITUTE(C474,""Sell_"",""""))))/2),ROUNDUP(INDEX(Upgrades!$C$3:$C$13,MATCH(C474,Upgrades!$B$3:$B$13,0))*1.15^(COUNTIF(C$4:C473,C474)-COUNTIF(C$4:C473,""Sell_""&amp;C474))))))"),"")</f>
        <v/>
      </c>
      <c r="H474" s="10" t="str">
        <f t="shared" si="3"/>
        <v/>
      </c>
      <c r="I474" s="68" t="str">
        <f t="shared" si="4"/>
        <v/>
      </c>
      <c r="J474" s="59" t="str">
        <f t="shared" si="5"/>
        <v/>
      </c>
      <c r="K474" s="69" t="str">
        <f t="shared" si="6"/>
        <v/>
      </c>
      <c r="L474" s="60">
        <f t="shared" si="7"/>
        <v>-224.65193</v>
      </c>
      <c r="M474" s="61">
        <f>IFERROR(__xludf.DUMMYFUNCTION("IFS(AND(COUNTA(C474:C1350)=0,COUNTA(Q474:Q1350)=0),"""",OR(AND(K474&gt;=1000000000,OR(Y474&gt;=1000000000,COUNTA(Q474:Q1350)=0)),OR(Y474&gt;=1000000000,AND(COUNTA(C474:C1350)=0,P$3=TRUE))),
ROUNDDOWN((AB$1-AC$1)*MAX(INDEX(T$4:T1350,MATCH(LARGE(FILTER(Y$4:Y1350,Y$4"&amp;":Y1350&lt;1000000000),1),Y$4:Y1350)),INDEX(F$4:F1350,MATCH(LARGE(FILTER(K$4:K1350,K$4:K1350&lt;1000000000),1),K$4:K1350)))),AND(K474&lt;1000000000,COUNTA(C474:C1350)&gt;0,P$3=FALSE),
ROUNDDOWN(INDEX(Y$4:Y1350,MATCH(LARGE(FILTER(W$4:W1350,W$4:W1350&lt;=I474),1),W$4:W1350"&amp;"))+(I474-LARGE(FILTER(W$4:W1350,W$4:W1350&lt;=I474),1))*INDEX(T$4:T1350,MATCH(LARGE(FILTER(W$4:W1350,W$4:W1350&lt;=I474),1),W$4:W1350))-K474),1,
ROUNDDOWN(Y474-INDEX(K$4:K1350,MATCH(LARGE(FILTER(I$4:I1350,I$4:I1350&lt;=W474),1),I$4:I1350))-(W474-LARGE(FILTER(I$4:I"&amp;"1350,I$4:I1350&lt;=W474),1))*INDEX(F$4:F1350,MATCH(LARGE(FILTER(I$4:I1350,I$4:I1350&lt;=W474),1),I$4:I1350))))"),9.2226469E7)</f>
        <v>92226469</v>
      </c>
      <c r="N474" s="60">
        <f t="shared" si="8"/>
        <v>-224.65193</v>
      </c>
      <c r="O474" s="61" t="str">
        <f t="shared" si="9"/>
        <v>92,2M</v>
      </c>
      <c r="P474" s="56">
        <f t="shared" si="10"/>
        <v>14</v>
      </c>
      <c r="Q474" s="105" t="s">
        <v>64</v>
      </c>
      <c r="R474" s="10" t="b">
        <f>IFERROR(__xludf.DUMMYFUNCTION("IF(COUNTA(Q474:Q1350)=0,"""",IF(ISBLANK(Q474),FALSE,IF(NOT(COUNTIF($AA$24:$AA$34,SUBSTITUTE(Q474,""Sell_"",""""))),1,IF(REGEXMATCH(Q474,""Sell_""),IF(COUNTIF(Q$4:Q474,SUBSTITUTE(Q474,""Sell_"",""""))-COUNTIF(Q$4:Q473,Q474)&lt;1,1),FALSE))))"),FALSE)</f>
        <v>0</v>
      </c>
      <c r="S474" s="59">
        <f t="array" ref="S474">IF(COUNTA(Q474:Q1350)=0,"",SUM((COUNTIF(Q$4:Q474,Upgrades!$B$3:$B$13)-COUNTIF(Q$4:Q474,"Sell_"&amp;Upgrades!$B$3:$B$13))*Upgrades!$D$3:$D$13))</f>
        <v>409920.4</v>
      </c>
      <c r="T474" s="66">
        <f>IFERROR(__xludf.DUMMYFUNCTION("IF(COUNTA(Q474:Q1350)=0,"""",IF(REGEXMATCH(INDEX(FILTER(Q$4:Q474,Q$4:Q474&lt;&gt;""""),ROWS(FILTER(Q$4:Q474,Q$4:Q474&lt;&gt;""""))),""^Sell_""),INDEX(FILTER(T$4:T473,Q$4:Q473&lt;&gt;""""),ROWS(FILTER(Q$4:Q473,Q$4:Q473&lt;&gt;""""))),$AD$5+S474))"),438618.4)</f>
        <v>438618.4</v>
      </c>
      <c r="U474" s="10">
        <f>IFERROR(__xludf.DUMMYFUNCTION("IF(COUNTA(Q474:Q1350)=0,"""",IF(Q474="""",0,IF(REGEXMATCH(Q474,""^Sell_""),-ROUNDDOWN(ROUNDUP(INDEX(Upgrades!$C$3:$C$13,MATCH(SUBSTITUTE(Q474,""Sell_"",""""),Upgrades!$B$3:$B$13,0))*1.15^(COUNTIF(Q$4:Q473,SUBSTITUTE(Q474,""Sell_"",""""))-COUNTIF(Q$4:Q473,"&amp;"""Sell_""&amp;SUBSTITUTE(Q474,""Sell_"",""""))))/2),ROUNDUP(INDEX(Upgrades!$C$3:$C$13,MATCH(Q474,Upgrades!$B$3:$B$13,0))*1.15^(COUNTIF(Q$4:Q473,Q474)-COUNTIF(Q$4:Q473,""Sell_""&amp;Q474))))))"),-1.0312874E7)</f>
        <v>-10312874</v>
      </c>
      <c r="V474" s="10">
        <f t="shared" si="11"/>
        <v>-43368977</v>
      </c>
      <c r="W474" s="68">
        <f t="shared" si="12"/>
        <v>6085.8512</v>
      </c>
      <c r="X474" s="59" t="str">
        <f t="shared" si="13"/>
        <v>1h 41m 25s</v>
      </c>
      <c r="Y474" s="69">
        <f t="shared" si="14"/>
        <v>666718570</v>
      </c>
      <c r="Z474" s="11"/>
    </row>
    <row r="475">
      <c r="A475" s="8"/>
      <c r="B475" s="56" t="str">
        <f t="shared" si="2"/>
        <v/>
      </c>
      <c r="C475" s="57"/>
      <c r="D475" s="10" t="str">
        <f>IFERROR(__xludf.DUMMYFUNCTION("IF(COUNTA(C475:C1350)=0,"""",IF(ISBLANK(C475),FALSE,IF(NOT(COUNTIF($AA$24:$AA$34,SUBSTITUTE(C475,""Sell_"",""""))),1,IF(REGEXMATCH(C475,""Sell_""),IF(COUNTIF(C$4:C475,SUBSTITUTE(C475,""Sell_"",""""))-COUNTIF(C$4:C474,C475)&lt;1,1),FALSE))))"),"")</f>
        <v/>
      </c>
      <c r="E475" s="59" t="str">
        <f t="array" ref="E475">IF(COUNTA(C475:C1350)=0,"",SUM((COUNTIF(C$4:C475,Upgrades!$B$3:$B$13)-COUNTIF(C$4:C475,"Sell_"&amp;Upgrades!$B$3:$B$13))*Upgrades!$D$3:$D$13))</f>
        <v/>
      </c>
      <c r="F475" s="66" t="str">
        <f>IFERROR(__xludf.DUMMYFUNCTION("IF(COUNTA(C475:C1350)=0,"""",IF(REGEXMATCH(INDEX(FILTER(C$4:C475,C$4:C475&lt;&gt;""""),ROWS(FILTER(C$4:C475,C$4:C475&lt;&gt;""""))),""^Sell_""),INDEX(FILTER(F$4:F474,C$4:C474&lt;&gt;""""),ROWS(FILTER(C$4:C474,C$4:C474&lt;&gt;""""))),$AC$5+E475))"),"")</f>
        <v/>
      </c>
      <c r="G475" s="10" t="str">
        <f>IFERROR(__xludf.DUMMYFUNCTION("IF(COUNTA(C475:C1350)=0,"""",IF(C475="""",0,IF(REGEXMATCH(C475,""^Sell_""),-ROUNDDOWN(ROUNDUP(INDEX(Upgrades!$C$3:$C$13,MATCH(SUBSTITUTE(C475,""Sell_"",""""),Upgrades!$B$3:$B$13,0))*1.15^(COUNTIF(C$4:C474,SUBSTITUTE(C475,""Sell_"",""""))-COUNTIF(C$4:C474,"&amp;"""Sell_""&amp;SUBSTITUTE(C475,""Sell_"",""""))))/2),ROUNDUP(INDEX(Upgrades!$C$3:$C$13,MATCH(C475,Upgrades!$B$3:$B$13,0))*1.15^(COUNTIF(C$4:C474,C475)-COUNTIF(C$4:C474,""Sell_""&amp;C475))))))"),"")</f>
        <v/>
      </c>
      <c r="H475" s="10" t="str">
        <f t="shared" si="3"/>
        <v/>
      </c>
      <c r="I475" s="68" t="str">
        <f t="shared" si="4"/>
        <v/>
      </c>
      <c r="J475" s="59" t="str">
        <f t="shared" si="5"/>
        <v/>
      </c>
      <c r="K475" s="69" t="str">
        <f t="shared" si="6"/>
        <v/>
      </c>
      <c r="L475" s="60">
        <f t="shared" si="7"/>
        <v>-198.56775</v>
      </c>
      <c r="M475" s="61">
        <f>IFERROR(__xludf.DUMMYFUNCTION("IFS(AND(COUNTA(C475:C1350)=0,COUNTA(Q475:Q1350)=0),"""",OR(AND(K475&gt;=1000000000,OR(Y475&gt;=1000000000,COUNTA(Q475:Q1350)=0)),OR(Y475&gt;=1000000000,AND(COUNTA(C475:C1350)=0,P$3=TRUE))),
ROUNDDOWN((AB$1-AC$1)*MAX(INDEX(T$4:T1350,MATCH(LARGE(FILTER(Y$4:Y1350,Y$4"&amp;":Y1350&lt;1000000000),1),Y$4:Y1350)),INDEX(F$4:F1350,MATCH(LARGE(FILTER(K$4:K1350,K$4:K1350&lt;1000000000),1),K$4:K1350)))),AND(K475&lt;1000000000,COUNTA(C475:C1350)&gt;0,P$3=FALSE),
ROUNDDOWN(INDEX(Y$4:Y1350,MATCH(LARGE(FILTER(W$4:W1350,W$4:W1350&lt;=I475),1),W$4:W1350"&amp;"))+(I475-LARGE(FILTER(W$4:W1350,W$4:W1350&lt;=I475),1))*INDEX(T$4:T1350,MATCH(LARGE(FILTER(W$4:W1350,W$4:W1350&lt;=I475),1),W$4:W1350))-K475),1,
ROUNDDOWN(Y475-INDEX(K$4:K1350,MATCH(LARGE(FILTER(I$4:I1350,I$4:I1350&lt;=W475),1),I$4:I1350))-(W475-LARGE(FILTER(I$4:I"&amp;"1350,I$4:I1350&lt;=W475),1))*INDEX(F$4:F1350,MATCH(LARGE(FILTER(I$4:I1350,I$4:I1350&lt;=W475),1),I$4:I1350))))"),1.01473018E8)</f>
        <v>101473018</v>
      </c>
      <c r="N475" s="60">
        <f t="shared" si="8"/>
        <v>-198.56775</v>
      </c>
      <c r="O475" s="61" t="str">
        <f t="shared" si="9"/>
        <v>101,5M</v>
      </c>
      <c r="P475" s="56">
        <f t="shared" si="10"/>
        <v>4</v>
      </c>
      <c r="Q475" s="105" t="s">
        <v>11</v>
      </c>
      <c r="R475" s="10" t="b">
        <f>IFERROR(__xludf.DUMMYFUNCTION("IF(COUNTA(Q475:Q1350)=0,"""",IF(ISBLANK(Q475),FALSE,IF(NOT(COUNTIF($AA$24:$AA$34,SUBSTITUTE(Q475,""Sell_"",""""))),1,IF(REGEXMATCH(Q475,""Sell_""),IF(COUNTIF(Q$4:Q475,SUBSTITUTE(Q475,""Sell_"",""""))-COUNTIF(Q$4:Q474,Q475)&lt;1,1),FALSE))))"),FALSE)</f>
        <v>0</v>
      </c>
      <c r="S475" s="59">
        <f t="array" ref="S475">IF(COUNTA(Q475:Q1350)=0,"",SUM((COUNTIF(Q$4:Q475,Upgrades!$B$3:$B$13)-COUNTIF(Q$4:Q475,"Sell_"&amp;Upgrades!$B$3:$B$13))*Upgrades!$D$3:$D$13))</f>
        <v>508685.4</v>
      </c>
      <c r="T475" s="66">
        <f>IFERROR(__xludf.DUMMYFUNCTION("IF(COUNTA(Q475:Q1350)=0,"""",IF(REGEXMATCH(INDEX(FILTER(Q$4:Q475,Q$4:Q475&lt;&gt;""""),ROWS(FILTER(Q$4:Q475,Q$4:Q475&lt;&gt;""""))),""^Sell_""),INDEX(FILTER(T$4:T474,Q$4:Q474&lt;&gt;""""),ROWS(FILTER(Q$4:Q474,Q$4:Q474&lt;&gt;""""))),$AD$5+S475))"),508885.4)</f>
        <v>508885.4</v>
      </c>
      <c r="U475" s="10">
        <f>IFERROR(__xludf.DUMMYFUNCTION("IF(COUNTA(Q475:Q1350)=0,"""",IF(Q475="""",0,IF(REGEXMATCH(Q475,""^Sell_""),-ROUNDDOWN(ROUNDUP(INDEX(Upgrades!$C$3:$C$13,MATCH(SUBSTITUTE(Q475,""Sell_"",""""),Upgrades!$B$3:$B$13,0))*1.15^(COUNTIF(Q$4:Q474,SUBSTITUTE(Q475,""Sell_"",""""))-COUNTIF(Q$4:Q474,"&amp;"""Sell_""&amp;SUBSTITUTE(Q475,""Sell_"",""""))))/2),ROUNDUP(INDEX(Upgrades!$C$3:$C$13,MATCH(Q475,Upgrades!$B$3:$B$13,0))*1.15^(COUNTIF(Q$4:Q474,Q475)-COUNTIF(Q$4:Q474,""Sell_""&amp;Q475))))))"),1.87762344E8)</f>
        <v>187762344</v>
      </c>
      <c r="V475" s="10">
        <f t="shared" si="11"/>
        <v>144393367</v>
      </c>
      <c r="W475" s="68">
        <f t="shared" si="12"/>
        <v>6415.051632</v>
      </c>
      <c r="X475" s="59" t="str">
        <f t="shared" si="13"/>
        <v>1h 46m 55s</v>
      </c>
      <c r="Y475" s="69">
        <f t="shared" si="14"/>
        <v>811111937</v>
      </c>
      <c r="Z475" s="11"/>
    </row>
    <row r="476">
      <c r="A476" s="8"/>
      <c r="B476" s="56" t="str">
        <f t="shared" si="2"/>
        <v/>
      </c>
      <c r="C476" s="57"/>
      <c r="D476" s="10" t="str">
        <f>IFERROR(__xludf.DUMMYFUNCTION("IF(COUNTA(C476:C1350)=0,"""",IF(ISBLANK(C476),FALSE,IF(NOT(COUNTIF($AA$24:$AA$34,SUBSTITUTE(C476,""Sell_"",""""))),1,IF(REGEXMATCH(C476,""Sell_""),IF(COUNTIF(C$4:C476,SUBSTITUTE(C476,""Sell_"",""""))-COUNTIF(C$4:C475,C476)&lt;1,1),FALSE))))"),"")</f>
        <v/>
      </c>
      <c r="E476" s="59" t="str">
        <f t="array" ref="E476">IF(COUNTA(C476:C1350)=0,"",SUM((COUNTIF(C$4:C476,Upgrades!$B$3:$B$13)-COUNTIF(C$4:C476,"Sell_"&amp;Upgrades!$B$3:$B$13))*Upgrades!$D$3:$D$13))</f>
        <v/>
      </c>
      <c r="F476" s="66" t="str">
        <f>IFERROR(__xludf.DUMMYFUNCTION("IF(COUNTA(C476:C1350)=0,"""",IF(REGEXMATCH(INDEX(FILTER(C$4:C476,C$4:C476&lt;&gt;""""),ROWS(FILTER(C$4:C476,C$4:C476&lt;&gt;""""))),""^Sell_""),INDEX(FILTER(F$4:F475,C$4:C475&lt;&gt;""""),ROWS(FILTER(C$4:C475,C$4:C475&lt;&gt;""""))),$AC$5+E476))"),"")</f>
        <v/>
      </c>
      <c r="G476" s="10" t="str">
        <f>IFERROR(__xludf.DUMMYFUNCTION("IF(COUNTA(C476:C1350)=0,"""",IF(C476="""",0,IF(REGEXMATCH(C476,""^Sell_""),-ROUNDDOWN(ROUNDUP(INDEX(Upgrades!$C$3:$C$13,MATCH(SUBSTITUTE(C476,""Sell_"",""""),Upgrades!$B$3:$B$13,0))*1.15^(COUNTIF(C$4:C475,SUBSTITUTE(C476,""Sell_"",""""))-COUNTIF(C$4:C475,"&amp;"""Sell_""&amp;SUBSTITUTE(C476,""Sell_"",""""))))/2),ROUNDUP(INDEX(Upgrades!$C$3:$C$13,MATCH(C476,Upgrades!$B$3:$B$13,0))*1.15^(COUNTIF(C$4:C475,C476)-COUNTIF(C$4:C475,""Sell_""&amp;C476))))))"),"")</f>
        <v/>
      </c>
      <c r="H476" s="10" t="str">
        <f t="shared" si="3"/>
        <v/>
      </c>
      <c r="I476" s="68" t="str">
        <f t="shared" si="4"/>
        <v/>
      </c>
      <c r="J476" s="59" t="str">
        <f t="shared" si="5"/>
        <v/>
      </c>
      <c r="K476" s="69" t="str">
        <f t="shared" si="6"/>
        <v/>
      </c>
      <c r="L476" s="60">
        <f t="shared" si="7"/>
        <v>-198.56669</v>
      </c>
      <c r="M476" s="61">
        <f>IFERROR(__xludf.DUMMYFUNCTION("IFS(AND(COUNTA(C476:C1350)=0,COUNTA(Q476:Q1350)=0),"""",OR(AND(K476&gt;=1000000000,OR(Y476&gt;=1000000000,COUNTA(Q476:Q1350)=0)),OR(Y476&gt;=1000000000,AND(COUNTA(C476:C1350)=0,P$3=TRUE))),
ROUNDDOWN((AB$1-AC$1)*MAX(INDEX(T$4:T1350,MATCH(LARGE(FILTER(Y$4:Y1350,Y$4"&amp;":Y1350&lt;1000000000),1),Y$4:Y1350)),INDEX(F$4:F1350,MATCH(LARGE(FILTER(K$4:K1350,K$4:K1350&lt;1000000000),1),K$4:K1350)))),AND(K476&lt;1000000000,COUNTA(C476:C1350)&gt;0,P$3=FALSE),
ROUNDDOWN(INDEX(Y$4:Y1350,MATCH(LARGE(FILTER(W$4:W1350,W$4:W1350&lt;=I476),1),W$4:W1350"&amp;"))+(I476-LARGE(FILTER(W$4:W1350,W$4:W1350&lt;=I476),1))*INDEX(T$4:T1350,MATCH(LARGE(FILTER(W$4:W1350,W$4:W1350&lt;=I476),1),W$4:W1350))-K476),1,
ROUNDDOWN(Y476-INDEX(K$4:K1350,MATCH(LARGE(FILTER(I$4:I1350,I$4:I1350&lt;=W476),1),I$4:I1350))-(W476-LARGE(FILTER(I$4:I"&amp;"1350,I$4:I1350&lt;=W476),1))*INDEX(F$4:F1350,MATCH(LARGE(FILTER(I$4:I1350,I$4:I1350&lt;=W476),1),I$4:I1350))))"),1.0147495E8)</f>
        <v>101474950</v>
      </c>
      <c r="N476" s="60">
        <f t="shared" si="8"/>
        <v>-198.56669</v>
      </c>
      <c r="O476" s="61" t="str">
        <f t="shared" si="9"/>
        <v>101,5M</v>
      </c>
      <c r="P476" s="56">
        <f t="shared" si="10"/>
        <v>1</v>
      </c>
      <c r="Q476" s="105" t="s">
        <v>7</v>
      </c>
      <c r="R476" s="10" t="b">
        <f>IFERROR(__xludf.DUMMYFUNCTION("IF(COUNTA(Q476:Q1350)=0,"""",IF(ISBLANK(Q476),FALSE,IF(NOT(COUNTIF($AA$24:$AA$34,SUBSTITUTE(Q476,""Sell_"",""""))),1,IF(REGEXMATCH(Q476,""Sell_""),IF(COUNTIF(Q$4:Q476,SUBSTITUTE(Q476,""Sell_"",""""))-COUNTIF(Q$4:Q475,Q476)&lt;1,1),FALSE))))"),FALSE)</f>
        <v>0</v>
      </c>
      <c r="S476" s="59">
        <f t="array" ref="S476">IF(COUNTA(Q476:Q1350)=0,"",SUM((COUNTIF(Q$4:Q476,Upgrades!$B$3:$B$13)-COUNTIF(Q$4:Q476,"Sell_"&amp;Upgrades!$B$3:$B$13))*Upgrades!$D$3:$D$13))</f>
        <v>508725.4</v>
      </c>
      <c r="T476" s="66">
        <f>IFERROR(__xludf.DUMMYFUNCTION("IF(COUNTA(Q476:Q1350)=0,"""",IF(REGEXMATCH(INDEX(FILTER(Q$4:Q476,Q$4:Q476&lt;&gt;""""),ROWS(FILTER(Q$4:Q476,Q$4:Q476&lt;&gt;""""))),""^Sell_""),INDEX(FILTER(T$4:T475,Q$4:Q475&lt;&gt;""""),ROWS(FILTER(Q$4:Q475,Q$4:Q475&lt;&gt;""""))),$AD$5+S476))"),508925.4)</f>
        <v>508925.4</v>
      </c>
      <c r="U476" s="10">
        <f>IFERROR(__xludf.DUMMYFUNCTION("IF(COUNTA(Q476:Q1350)=0,"""",IF(Q476="""",0,IF(REGEXMATCH(Q476,""^Sell_""),-ROUNDDOWN(ROUNDUP(INDEX(Upgrades!$C$3:$C$13,MATCH(SUBSTITUTE(Q476,""Sell_"",""""),Upgrades!$B$3:$B$13,0))*1.15^(COUNTIF(Q$4:Q475,SUBSTITUTE(Q476,""Sell_"",""""))-COUNTIF(Q$4:Q475,"&amp;"""Sell_""&amp;SUBSTITUTE(Q476,""Sell_"",""""))))/2),ROUNDUP(INDEX(Upgrades!$C$3:$C$13,MATCH(Q476,Upgrades!$B$3:$B$13,0))*1.15^(COUNTIF(Q$4:Q475,Q476)-COUNTIF(Q$4:Q475,""Sell_""&amp;Q476))))))"),10000.0)</f>
        <v>10000</v>
      </c>
      <c r="V476" s="10">
        <f t="shared" si="11"/>
        <v>10000</v>
      </c>
      <c r="W476" s="68">
        <f t="shared" si="12"/>
        <v>6415.071283</v>
      </c>
      <c r="X476" s="59" t="str">
        <f t="shared" si="13"/>
        <v>1h 46m 55s</v>
      </c>
      <c r="Y476" s="69">
        <f t="shared" si="14"/>
        <v>811121937</v>
      </c>
      <c r="Z476" s="11"/>
    </row>
    <row r="477">
      <c r="A477" s="8"/>
      <c r="B477" s="56" t="str">
        <f t="shared" si="2"/>
        <v/>
      </c>
      <c r="C477" s="57"/>
      <c r="D477" s="10" t="str">
        <f>IFERROR(__xludf.DUMMYFUNCTION("IF(COUNTA(C477:C1350)=0,"""",IF(ISBLANK(C477),FALSE,IF(NOT(COUNTIF($AA$24:$AA$34,SUBSTITUTE(C477,""Sell_"",""""))),1,IF(REGEXMATCH(C477,""Sell_""),IF(COUNTIF(C$4:C477,SUBSTITUTE(C477,""Sell_"",""""))-COUNTIF(C$4:C476,C477)&lt;1,1),FALSE))))"),"")</f>
        <v/>
      </c>
      <c r="E477" s="59" t="str">
        <f t="array" ref="E477">IF(COUNTA(C477:C1350)=0,"",SUM((COUNTIF(C$4:C477,Upgrades!$B$3:$B$13)-COUNTIF(C$4:C477,"Sell_"&amp;Upgrades!$B$3:$B$13))*Upgrades!$D$3:$D$13))</f>
        <v/>
      </c>
      <c r="F477" s="66" t="str">
        <f>IFERROR(__xludf.DUMMYFUNCTION("IF(COUNTA(C477:C1350)=0,"""",IF(REGEXMATCH(INDEX(FILTER(C$4:C477,C$4:C477&lt;&gt;""""),ROWS(FILTER(C$4:C477,C$4:C477&lt;&gt;""""))),""^Sell_""),INDEX(FILTER(F$4:F476,C$4:C476&lt;&gt;""""),ROWS(FILTER(C$4:C476,C$4:C476&lt;&gt;""""))),$AC$5+E477))"),"")</f>
        <v/>
      </c>
      <c r="G477" s="10" t="str">
        <f>IFERROR(__xludf.DUMMYFUNCTION("IF(COUNTA(C477:C1350)=0,"""",IF(C477="""",0,IF(REGEXMATCH(C477,""^Sell_""),-ROUNDDOWN(ROUNDUP(INDEX(Upgrades!$C$3:$C$13,MATCH(SUBSTITUTE(C477,""Sell_"",""""),Upgrades!$B$3:$B$13,0))*1.15^(COUNTIF(C$4:C476,SUBSTITUTE(C477,""Sell_"",""""))-COUNTIF(C$4:C476,"&amp;"""Sell_""&amp;SUBSTITUTE(C477,""Sell_"",""""))))/2),ROUNDUP(INDEX(Upgrades!$C$3:$C$13,MATCH(C477,Upgrades!$B$3:$B$13,0))*1.15^(COUNTIF(C$4:C476,C477)-COUNTIF(C$4:C476,""Sell_""&amp;C477))))))"),"")</f>
        <v/>
      </c>
      <c r="H477" s="10" t="str">
        <f t="shared" si="3"/>
        <v/>
      </c>
      <c r="I477" s="68" t="str">
        <f t="shared" si="4"/>
        <v/>
      </c>
      <c r="J477" s="59" t="str">
        <f t="shared" si="5"/>
        <v/>
      </c>
      <c r="K477" s="69" t="str">
        <f t="shared" si="6"/>
        <v/>
      </c>
      <c r="L477" s="60">
        <f t="shared" si="7"/>
        <v>-198.56547</v>
      </c>
      <c r="M477" s="61">
        <f>IFERROR(__xludf.DUMMYFUNCTION("IFS(AND(COUNTA(C477:C1350)=0,COUNTA(Q477:Q1350)=0),"""",OR(AND(K477&gt;=1000000000,OR(Y477&gt;=1000000000,COUNTA(Q477:Q1350)=0)),OR(Y477&gt;=1000000000,AND(COUNTA(C477:C1350)=0,P$3=TRUE))),
ROUNDDOWN((AB$1-AC$1)*MAX(INDEX(T$4:T1350,MATCH(LARGE(FILTER(Y$4:Y1350,Y$4"&amp;":Y1350&lt;1000000000),1),Y$4:Y1350)),INDEX(F$4:F1350,MATCH(LARGE(FILTER(K$4:K1350,K$4:K1350&lt;1000000000),1),K$4:K1350)))),AND(K477&lt;1000000000,COUNTA(C477:C1350)&gt;0,P$3=FALSE),
ROUNDDOWN(INDEX(Y$4:Y1350,MATCH(LARGE(FILTER(W$4:W1350,W$4:W1350&lt;=I477),1),W$4:W1350"&amp;"))+(I477-LARGE(FILTER(W$4:W1350,W$4:W1350&lt;=I477),1))*INDEX(T$4:T1350,MATCH(LARGE(FILTER(W$4:W1350,W$4:W1350&lt;=I477),1),W$4:W1350))-K477),1,
ROUNDDOWN(Y477-INDEX(K$4:K1350,MATCH(LARGE(FILTER(I$4:I1350,I$4:I1350&lt;=W477),1),I$4:I1350))-(W477-LARGE(FILTER(I$4:I"&amp;"1350,I$4:I1350&lt;=W477),1))*INDEX(F$4:F1350,MATCH(LARGE(FILTER(I$4:I1350,I$4:I1350&lt;=W477),1),I$4:I1350))))"),1.01477174E8)</f>
        <v>101477174</v>
      </c>
      <c r="N477" s="60">
        <f t="shared" si="8"/>
        <v>-198.56547</v>
      </c>
      <c r="O477" s="61" t="str">
        <f t="shared" si="9"/>
        <v>101,5M</v>
      </c>
      <c r="P477" s="56">
        <f t="shared" si="10"/>
        <v>2</v>
      </c>
      <c r="Q477" s="105" t="s">
        <v>7</v>
      </c>
      <c r="R477" s="10" t="b">
        <f>IFERROR(__xludf.DUMMYFUNCTION("IF(COUNTA(Q477:Q1350)=0,"""",IF(ISBLANK(Q477),FALSE,IF(NOT(COUNTIF($AA$24:$AA$34,SUBSTITUTE(Q477,""Sell_"",""""))),1,IF(REGEXMATCH(Q477,""Sell_""),IF(COUNTIF(Q$4:Q477,SUBSTITUTE(Q477,""Sell_"",""""))-COUNTIF(Q$4:Q476,Q477)&lt;1,1),FALSE))))"),FALSE)</f>
        <v>0</v>
      </c>
      <c r="S477" s="59">
        <f t="array" ref="S477">IF(COUNTA(Q477:Q1350)=0,"",SUM((COUNTIF(Q$4:Q477,Upgrades!$B$3:$B$13)-COUNTIF(Q$4:Q477,"Sell_"&amp;Upgrades!$B$3:$B$13))*Upgrades!$D$3:$D$13))</f>
        <v>508765.4</v>
      </c>
      <c r="T477" s="66">
        <f>IFERROR(__xludf.DUMMYFUNCTION("IF(COUNTA(Q477:Q1350)=0,"""",IF(REGEXMATCH(INDEX(FILTER(Q$4:Q477,Q$4:Q477&lt;&gt;""""),ROWS(FILTER(Q$4:Q477,Q$4:Q477&lt;&gt;""""))),""^Sell_""),INDEX(FILTER(T$4:T476,Q$4:Q476&lt;&gt;""""),ROWS(FILTER(Q$4:Q476,Q$4:Q476&lt;&gt;""""))),$AD$5+S477))"),508965.4)</f>
        <v>508965.4</v>
      </c>
      <c r="U477" s="10">
        <f>IFERROR(__xludf.DUMMYFUNCTION("IF(COUNTA(Q477:Q1350)=0,"""",IF(Q477="""",0,IF(REGEXMATCH(Q477,""^Sell_""),-ROUNDDOWN(ROUNDUP(INDEX(Upgrades!$C$3:$C$13,MATCH(SUBSTITUTE(Q477,""Sell_"",""""),Upgrades!$B$3:$B$13,0))*1.15^(COUNTIF(Q$4:Q476,SUBSTITUTE(Q477,""Sell_"",""""))-COUNTIF(Q$4:Q476,"&amp;"""Sell_""&amp;SUBSTITUTE(Q477,""Sell_"",""""))))/2),ROUNDUP(INDEX(Upgrades!$C$3:$C$13,MATCH(Q477,Upgrades!$B$3:$B$13,0))*1.15^(COUNTIF(Q$4:Q476,Q477)-COUNTIF(Q$4:Q476,""Sell_""&amp;Q477))))))"),11500.0)</f>
        <v>11500</v>
      </c>
      <c r="V477" s="10">
        <f t="shared" si="11"/>
        <v>11500</v>
      </c>
      <c r="W477" s="68">
        <f t="shared" si="12"/>
        <v>6415.09388</v>
      </c>
      <c r="X477" s="59" t="str">
        <f t="shared" si="13"/>
        <v>1h 46m 55s</v>
      </c>
      <c r="Y477" s="69">
        <f t="shared" si="14"/>
        <v>811133437</v>
      </c>
      <c r="Z477" s="11"/>
    </row>
    <row r="478">
      <c r="A478" s="8"/>
      <c r="B478" s="56" t="str">
        <f t="shared" si="2"/>
        <v/>
      </c>
      <c r="C478" s="57"/>
      <c r="D478" s="10" t="str">
        <f>IFERROR(__xludf.DUMMYFUNCTION("IF(COUNTA(C478:C1350)=0,"""",IF(ISBLANK(C478),FALSE,IF(NOT(COUNTIF($AA$24:$AA$34,SUBSTITUTE(C478,""Sell_"",""""))),1,IF(REGEXMATCH(C478,""Sell_""),IF(COUNTIF(C$4:C478,SUBSTITUTE(C478,""Sell_"",""""))-COUNTIF(C$4:C477,C478)&lt;1,1),FALSE))))"),"")</f>
        <v/>
      </c>
      <c r="E478" s="59" t="str">
        <f t="array" ref="E478">IF(COUNTA(C478:C1350)=0,"",SUM((COUNTIF(C$4:C478,Upgrades!$B$3:$B$13)-COUNTIF(C$4:C478,"Sell_"&amp;Upgrades!$B$3:$B$13))*Upgrades!$D$3:$D$13))</f>
        <v/>
      </c>
      <c r="F478" s="66" t="str">
        <f>IFERROR(__xludf.DUMMYFUNCTION("IF(COUNTA(C478:C1350)=0,"""",IF(REGEXMATCH(INDEX(FILTER(C$4:C478,C$4:C478&lt;&gt;""""),ROWS(FILTER(C$4:C478,C$4:C478&lt;&gt;""""))),""^Sell_""),INDEX(FILTER(F$4:F477,C$4:C477&lt;&gt;""""),ROWS(FILTER(C$4:C477,C$4:C477&lt;&gt;""""))),$AC$5+E478))"),"")</f>
        <v/>
      </c>
      <c r="G478" s="10" t="str">
        <f>IFERROR(__xludf.DUMMYFUNCTION("IF(COUNTA(C478:C1350)=0,"""",IF(C478="""",0,IF(REGEXMATCH(C478,""^Sell_""),-ROUNDDOWN(ROUNDUP(INDEX(Upgrades!$C$3:$C$13,MATCH(SUBSTITUTE(C478,""Sell_"",""""),Upgrades!$B$3:$B$13,0))*1.15^(COUNTIF(C$4:C477,SUBSTITUTE(C478,""Sell_"",""""))-COUNTIF(C$4:C477,"&amp;"""Sell_""&amp;SUBSTITUTE(C478,""Sell_"",""""))))/2),ROUNDUP(INDEX(Upgrades!$C$3:$C$13,MATCH(C478,Upgrades!$B$3:$B$13,0))*1.15^(COUNTIF(C$4:C477,C478)-COUNTIF(C$4:C477,""Sell_""&amp;C478))))))"),"")</f>
        <v/>
      </c>
      <c r="H478" s="10" t="str">
        <f t="shared" si="3"/>
        <v/>
      </c>
      <c r="I478" s="68" t="str">
        <f t="shared" si="4"/>
        <v/>
      </c>
      <c r="J478" s="59" t="str">
        <f t="shared" si="5"/>
        <v/>
      </c>
      <c r="K478" s="69" t="str">
        <f t="shared" si="6"/>
        <v/>
      </c>
      <c r="L478" s="60">
        <f t="shared" si="7"/>
        <v>-198.56407</v>
      </c>
      <c r="M478" s="61">
        <f>IFERROR(__xludf.DUMMYFUNCTION("IFS(AND(COUNTA(C478:C1350)=0,COUNTA(Q478:Q1350)=0),"""",OR(AND(K478&gt;=1000000000,OR(Y478&gt;=1000000000,COUNTA(Q478:Q1350)=0)),OR(Y478&gt;=1000000000,AND(COUNTA(C478:C1350)=0,P$3=TRUE))),
ROUNDDOWN((AB$1-AC$1)*MAX(INDEX(T$4:T1350,MATCH(LARGE(FILTER(Y$4:Y1350,Y$4"&amp;":Y1350&lt;1000000000),1),Y$4:Y1350)),INDEX(F$4:F1350,MATCH(LARGE(FILTER(K$4:K1350,K$4:K1350&lt;1000000000),1),K$4:K1350)))),AND(K478&lt;1000000000,COUNTA(C478:C1350)&gt;0,P$3=FALSE),
ROUNDDOWN(INDEX(Y$4:Y1350,MATCH(LARGE(FILTER(W$4:W1350,W$4:W1350&lt;=I478),1),W$4:W1350"&amp;"))+(I478-LARGE(FILTER(W$4:W1350,W$4:W1350&lt;=I478),1))*INDEX(T$4:T1350,MATCH(LARGE(FILTER(W$4:W1350,W$4:W1350&lt;=I478),1),W$4:W1350))-K478),1,
ROUNDDOWN(Y478-INDEX(K$4:K1350,MATCH(LARGE(FILTER(I$4:I1350,I$4:I1350&lt;=W478),1),I$4:I1350))-(W478-LARGE(FILTER(I$4:I"&amp;"1350,I$4:I1350&lt;=W478),1))*INDEX(F$4:F1350,MATCH(LARGE(FILTER(I$4:I1350,I$4:I1350&lt;=W478),1),I$4:I1350))))"),1.01479732E8)</f>
        <v>101479732</v>
      </c>
      <c r="N478" s="60">
        <f t="shared" si="8"/>
        <v>-198.56407</v>
      </c>
      <c r="O478" s="61" t="str">
        <f t="shared" si="9"/>
        <v>101,5M</v>
      </c>
      <c r="P478" s="56">
        <f t="shared" si="10"/>
        <v>3</v>
      </c>
      <c r="Q478" s="105" t="s">
        <v>7</v>
      </c>
      <c r="R478" s="10" t="b">
        <f>IFERROR(__xludf.DUMMYFUNCTION("IF(COUNTA(Q478:Q1350)=0,"""",IF(ISBLANK(Q478),FALSE,IF(NOT(COUNTIF($AA$24:$AA$34,SUBSTITUTE(Q478,""Sell_"",""""))),1,IF(REGEXMATCH(Q478,""Sell_""),IF(COUNTIF(Q$4:Q478,SUBSTITUTE(Q478,""Sell_"",""""))-COUNTIF(Q$4:Q477,Q478)&lt;1,1),FALSE))))"),FALSE)</f>
        <v>0</v>
      </c>
      <c r="S478" s="59">
        <f t="array" ref="S478">IF(COUNTA(Q478:Q1350)=0,"",SUM((COUNTIF(Q$4:Q478,Upgrades!$B$3:$B$13)-COUNTIF(Q$4:Q478,"Sell_"&amp;Upgrades!$B$3:$B$13))*Upgrades!$D$3:$D$13))</f>
        <v>508805.4</v>
      </c>
      <c r="T478" s="66">
        <f>IFERROR(__xludf.DUMMYFUNCTION("IF(COUNTA(Q478:Q1350)=0,"""",IF(REGEXMATCH(INDEX(FILTER(Q$4:Q478,Q$4:Q478&lt;&gt;""""),ROWS(FILTER(Q$4:Q478,Q$4:Q478&lt;&gt;""""))),""^Sell_""),INDEX(FILTER(T$4:T477,Q$4:Q477&lt;&gt;""""),ROWS(FILTER(Q$4:Q477,Q$4:Q477&lt;&gt;""""))),$AD$5+S478))"),509005.4)</f>
        <v>509005.4</v>
      </c>
      <c r="U478" s="10">
        <f>IFERROR(__xludf.DUMMYFUNCTION("IF(COUNTA(Q478:Q1350)=0,"""",IF(Q478="""",0,IF(REGEXMATCH(Q478,""^Sell_""),-ROUNDDOWN(ROUNDUP(INDEX(Upgrades!$C$3:$C$13,MATCH(SUBSTITUTE(Q478,""Sell_"",""""),Upgrades!$B$3:$B$13,0))*1.15^(COUNTIF(Q$4:Q477,SUBSTITUTE(Q478,""Sell_"",""""))-COUNTIF(Q$4:Q477,"&amp;"""Sell_""&amp;SUBSTITUTE(Q478,""Sell_"",""""))))/2),ROUNDUP(INDEX(Upgrades!$C$3:$C$13,MATCH(Q478,Upgrades!$B$3:$B$13,0))*1.15^(COUNTIF(Q$4:Q477,Q478)-COUNTIF(Q$4:Q477,""Sell_""&amp;Q478))))))"),13225.0)</f>
        <v>13225</v>
      </c>
      <c r="V478" s="10">
        <f t="shared" si="11"/>
        <v>13225</v>
      </c>
      <c r="W478" s="68">
        <f t="shared" si="12"/>
        <v>6415.119864</v>
      </c>
      <c r="X478" s="59" t="str">
        <f t="shared" si="13"/>
        <v>1h 46m 55s</v>
      </c>
      <c r="Y478" s="69">
        <f t="shared" si="14"/>
        <v>811146662</v>
      </c>
      <c r="Z478" s="11"/>
    </row>
    <row r="479">
      <c r="A479" s="8"/>
      <c r="B479" s="56" t="str">
        <f t="shared" si="2"/>
        <v/>
      </c>
      <c r="C479" s="57"/>
      <c r="D479" s="10" t="str">
        <f>IFERROR(__xludf.DUMMYFUNCTION("IF(COUNTA(C479:C1350)=0,"""",IF(ISBLANK(C479),FALSE,IF(NOT(COUNTIF($AA$24:$AA$34,SUBSTITUTE(C479,""Sell_"",""""))),1,IF(REGEXMATCH(C479,""Sell_""),IF(COUNTIF(C$4:C479,SUBSTITUTE(C479,""Sell_"",""""))-COUNTIF(C$4:C478,C479)&lt;1,1),FALSE))))"),"")</f>
        <v/>
      </c>
      <c r="E479" s="59" t="str">
        <f t="array" ref="E479">IF(COUNTA(C479:C1350)=0,"",SUM((COUNTIF(C$4:C479,Upgrades!$B$3:$B$13)-COUNTIF(C$4:C479,"Sell_"&amp;Upgrades!$B$3:$B$13))*Upgrades!$D$3:$D$13))</f>
        <v/>
      </c>
      <c r="F479" s="66" t="str">
        <f>IFERROR(__xludf.DUMMYFUNCTION("IF(COUNTA(C479:C1350)=0,"""",IF(REGEXMATCH(INDEX(FILTER(C$4:C479,C$4:C479&lt;&gt;""""),ROWS(FILTER(C$4:C479,C$4:C479&lt;&gt;""""))),""^Sell_""),INDEX(FILTER(F$4:F478,C$4:C478&lt;&gt;""""),ROWS(FILTER(C$4:C478,C$4:C478&lt;&gt;""""))),$AC$5+E479))"),"")</f>
        <v/>
      </c>
      <c r="G479" s="10" t="str">
        <f>IFERROR(__xludf.DUMMYFUNCTION("IF(COUNTA(C479:C1350)=0,"""",IF(C479="""",0,IF(REGEXMATCH(C479,""^Sell_""),-ROUNDDOWN(ROUNDUP(INDEX(Upgrades!$C$3:$C$13,MATCH(SUBSTITUTE(C479,""Sell_"",""""),Upgrades!$B$3:$B$13,0))*1.15^(COUNTIF(C$4:C478,SUBSTITUTE(C479,""Sell_"",""""))-COUNTIF(C$4:C478,"&amp;"""Sell_""&amp;SUBSTITUTE(C479,""Sell_"",""""))))/2),ROUNDUP(INDEX(Upgrades!$C$3:$C$13,MATCH(C479,Upgrades!$B$3:$B$13,0))*1.15^(COUNTIF(C$4:C478,C479)-COUNTIF(C$4:C478,""Sell_""&amp;C479))))))"),"")</f>
        <v/>
      </c>
      <c r="H479" s="10" t="str">
        <f t="shared" si="3"/>
        <v/>
      </c>
      <c r="I479" s="68" t="str">
        <f t="shared" si="4"/>
        <v/>
      </c>
      <c r="J479" s="59" t="str">
        <f t="shared" si="5"/>
        <v/>
      </c>
      <c r="K479" s="69" t="str">
        <f t="shared" si="6"/>
        <v/>
      </c>
      <c r="L479" s="60">
        <f t="shared" si="7"/>
        <v>-198.56246</v>
      </c>
      <c r="M479" s="61">
        <f>IFERROR(__xludf.DUMMYFUNCTION("IFS(AND(COUNTA(C479:C1350)=0,COUNTA(Q479:Q1350)=0),"""",OR(AND(K479&gt;=1000000000,OR(Y479&gt;=1000000000,COUNTA(Q479:Q1350)=0)),OR(Y479&gt;=1000000000,AND(COUNTA(C479:C1350)=0,P$3=TRUE))),
ROUNDDOWN((AB$1-AC$1)*MAX(INDEX(T$4:T1350,MATCH(LARGE(FILTER(Y$4:Y1350,Y$4"&amp;":Y1350&lt;1000000000),1),Y$4:Y1350)),INDEX(F$4:F1350,MATCH(LARGE(FILTER(K$4:K1350,K$4:K1350&lt;1000000000),1),K$4:K1350)))),AND(K479&lt;1000000000,COUNTA(C479:C1350)&gt;0,P$3=FALSE),
ROUNDDOWN(INDEX(Y$4:Y1350,MATCH(LARGE(FILTER(W$4:W1350,W$4:W1350&lt;=I479),1),W$4:W1350"&amp;"))+(I479-LARGE(FILTER(W$4:W1350,W$4:W1350&lt;=I479),1))*INDEX(T$4:T1350,MATCH(LARGE(FILTER(W$4:W1350,W$4:W1350&lt;=I479),1),W$4:W1350))-K479),1,
ROUNDDOWN(Y479-INDEX(K$4:K1350,MATCH(LARGE(FILTER(I$4:I1350,I$4:I1350&lt;=W479),1),I$4:I1350))-(W479-LARGE(FILTER(I$4:I"&amp;"1350,I$4:I1350&lt;=W479),1))*INDEX(F$4:F1350,MATCH(LARGE(FILTER(I$4:I1350,I$4:I1350&lt;=W479),1),I$4:I1350))))"),1.01482674E8)</f>
        <v>101482674</v>
      </c>
      <c r="N479" s="60">
        <f t="shared" si="8"/>
        <v>-198.56246</v>
      </c>
      <c r="O479" s="61" t="str">
        <f t="shared" si="9"/>
        <v>101,5M</v>
      </c>
      <c r="P479" s="56">
        <f t="shared" si="10"/>
        <v>4</v>
      </c>
      <c r="Q479" s="105" t="s">
        <v>7</v>
      </c>
      <c r="R479" s="10" t="b">
        <f>IFERROR(__xludf.DUMMYFUNCTION("IF(COUNTA(Q479:Q1350)=0,"""",IF(ISBLANK(Q479),FALSE,IF(NOT(COUNTIF($AA$24:$AA$34,SUBSTITUTE(Q479,""Sell_"",""""))),1,IF(REGEXMATCH(Q479,""Sell_""),IF(COUNTIF(Q$4:Q479,SUBSTITUTE(Q479,""Sell_"",""""))-COUNTIF(Q$4:Q478,Q479)&lt;1,1),FALSE))))"),FALSE)</f>
        <v>0</v>
      </c>
      <c r="S479" s="59">
        <f t="array" ref="S479">IF(COUNTA(Q479:Q1350)=0,"",SUM((COUNTIF(Q$4:Q479,Upgrades!$B$3:$B$13)-COUNTIF(Q$4:Q479,"Sell_"&amp;Upgrades!$B$3:$B$13))*Upgrades!$D$3:$D$13))</f>
        <v>508845.4</v>
      </c>
      <c r="T479" s="66">
        <f>IFERROR(__xludf.DUMMYFUNCTION("IF(COUNTA(Q479:Q1350)=0,"""",IF(REGEXMATCH(INDEX(FILTER(Q$4:Q479,Q$4:Q479&lt;&gt;""""),ROWS(FILTER(Q$4:Q479,Q$4:Q479&lt;&gt;""""))),""^Sell_""),INDEX(FILTER(T$4:T478,Q$4:Q478&lt;&gt;""""),ROWS(FILTER(Q$4:Q478,Q$4:Q478&lt;&gt;""""))),$AD$5+S479))"),509045.4)</f>
        <v>509045.4</v>
      </c>
      <c r="U479" s="10">
        <f>IFERROR(__xludf.DUMMYFUNCTION("IF(COUNTA(Q479:Q1350)=0,"""",IF(Q479="""",0,IF(REGEXMATCH(Q479,""^Sell_""),-ROUNDDOWN(ROUNDUP(INDEX(Upgrades!$C$3:$C$13,MATCH(SUBSTITUTE(Q479,""Sell_"",""""),Upgrades!$B$3:$B$13,0))*1.15^(COUNTIF(Q$4:Q478,SUBSTITUTE(Q479,""Sell_"",""""))-COUNTIF(Q$4:Q478,"&amp;"""Sell_""&amp;SUBSTITUTE(Q479,""Sell_"",""""))))/2),ROUNDUP(INDEX(Upgrades!$C$3:$C$13,MATCH(Q479,Upgrades!$B$3:$B$13,0))*1.15^(COUNTIF(Q$4:Q478,Q479)-COUNTIF(Q$4:Q478,""Sell_""&amp;Q479))))))"),15209.0)</f>
        <v>15209</v>
      </c>
      <c r="V479" s="10">
        <f t="shared" si="11"/>
        <v>15209</v>
      </c>
      <c r="W479" s="68">
        <f t="shared" si="12"/>
        <v>6415.149743</v>
      </c>
      <c r="X479" s="59" t="str">
        <f t="shared" si="13"/>
        <v>1h 46m 55s</v>
      </c>
      <c r="Y479" s="69">
        <f t="shared" si="14"/>
        <v>811161871</v>
      </c>
      <c r="Z479" s="11"/>
    </row>
    <row r="480">
      <c r="A480" s="8"/>
      <c r="B480" s="56" t="str">
        <f t="shared" si="2"/>
        <v/>
      </c>
      <c r="C480" s="57"/>
      <c r="D480" s="10" t="str">
        <f>IFERROR(__xludf.DUMMYFUNCTION("IF(COUNTA(C480:C1350)=0,"""",IF(ISBLANK(C480),FALSE,IF(NOT(COUNTIF($AA$24:$AA$34,SUBSTITUTE(C480,""Sell_"",""""))),1,IF(REGEXMATCH(C480,""Sell_""),IF(COUNTIF(C$4:C480,SUBSTITUTE(C480,""Sell_"",""""))-COUNTIF(C$4:C479,C480)&lt;1,1),FALSE))))"),"")</f>
        <v/>
      </c>
      <c r="E480" s="59" t="str">
        <f t="array" ref="E480">IF(COUNTA(C480:C1350)=0,"",SUM((COUNTIF(C$4:C480,Upgrades!$B$3:$B$13)-COUNTIF(C$4:C480,"Sell_"&amp;Upgrades!$B$3:$B$13))*Upgrades!$D$3:$D$13))</f>
        <v/>
      </c>
      <c r="F480" s="66" t="str">
        <f>IFERROR(__xludf.DUMMYFUNCTION("IF(COUNTA(C480:C1350)=0,"""",IF(REGEXMATCH(INDEX(FILTER(C$4:C480,C$4:C480&lt;&gt;""""),ROWS(FILTER(C$4:C480,C$4:C480&lt;&gt;""""))),""^Sell_""),INDEX(FILTER(F$4:F479,C$4:C479&lt;&gt;""""),ROWS(FILTER(C$4:C479,C$4:C479&lt;&gt;""""))),$AC$5+E480))"),"")</f>
        <v/>
      </c>
      <c r="G480" s="10" t="str">
        <f>IFERROR(__xludf.DUMMYFUNCTION("IF(COUNTA(C480:C1350)=0,"""",IF(C480="""",0,IF(REGEXMATCH(C480,""^Sell_""),-ROUNDDOWN(ROUNDUP(INDEX(Upgrades!$C$3:$C$13,MATCH(SUBSTITUTE(C480,""Sell_"",""""),Upgrades!$B$3:$B$13,0))*1.15^(COUNTIF(C$4:C479,SUBSTITUTE(C480,""Sell_"",""""))-COUNTIF(C$4:C479,"&amp;"""Sell_""&amp;SUBSTITUTE(C480,""Sell_"",""""))))/2),ROUNDUP(INDEX(Upgrades!$C$3:$C$13,MATCH(C480,Upgrades!$B$3:$B$13,0))*1.15^(COUNTIF(C$4:C479,C480)-COUNTIF(C$4:C479,""Sell_""&amp;C480))))))"),"")</f>
        <v/>
      </c>
      <c r="H480" s="10" t="str">
        <f t="shared" si="3"/>
        <v/>
      </c>
      <c r="I480" s="68" t="str">
        <f t="shared" si="4"/>
        <v/>
      </c>
      <c r="J480" s="59" t="str">
        <f t="shared" si="5"/>
        <v/>
      </c>
      <c r="K480" s="69" t="str">
        <f t="shared" si="6"/>
        <v/>
      </c>
      <c r="L480" s="60">
        <f t="shared" si="7"/>
        <v>-198.55824</v>
      </c>
      <c r="M480" s="61">
        <f>IFERROR(__xludf.DUMMYFUNCTION("IFS(AND(COUNTA(C480:C1350)=0,COUNTA(Q480:Q1350)=0),"""",OR(AND(K480&gt;=1000000000,OR(Y480&gt;=1000000000,COUNTA(Q480:Q1350)=0)),OR(Y480&gt;=1000000000,AND(COUNTA(C480:C1350)=0,P$3=TRUE))),
ROUNDDOWN((AB$1-AC$1)*MAX(INDEX(T$4:T1350,MATCH(LARGE(FILTER(Y$4:Y1350,Y$4"&amp;":Y1350&lt;1000000000),1),Y$4:Y1350)),INDEX(F$4:F1350,MATCH(LARGE(FILTER(K$4:K1350,K$4:K1350&lt;1000000000),1),K$4:K1350)))),AND(K480&lt;1000000000,COUNTA(C480:C1350)&gt;0,P$3=FALSE),
ROUNDDOWN(INDEX(Y$4:Y1350,MATCH(LARGE(FILTER(W$4:W1350,W$4:W1350&lt;=I480),1),W$4:W1350"&amp;"))+(I480-LARGE(FILTER(W$4:W1350,W$4:W1350&lt;=I480),1))*INDEX(T$4:T1350,MATCH(LARGE(FILTER(W$4:W1350,W$4:W1350&lt;=I480),1),W$4:W1350))-K480),1,
ROUNDDOWN(Y480-INDEX(K$4:K1350,MATCH(LARGE(FILTER(I$4:I1350,I$4:I1350&lt;=W480),1),I$4:I1350))-(W480-LARGE(FILTER(I$4:I"&amp;"1350,I$4:I1350&lt;=W480),1))*INDEX(F$4:F1350,MATCH(LARGE(FILTER(I$4:I1350,I$4:I1350&lt;=W480),1),I$4:I1350))))"),1.01490415E8)</f>
        <v>101490415</v>
      </c>
      <c r="N480" s="60">
        <f t="shared" si="8"/>
        <v>-198.55824</v>
      </c>
      <c r="O480" s="61" t="str">
        <f t="shared" si="9"/>
        <v>101,5M</v>
      </c>
      <c r="P480" s="56">
        <f t="shared" si="10"/>
        <v>1</v>
      </c>
      <c r="Q480" s="105" t="s">
        <v>8</v>
      </c>
      <c r="R480" s="10" t="b">
        <f>IFERROR(__xludf.DUMMYFUNCTION("IF(COUNTA(Q480:Q1350)=0,"""",IF(ISBLANK(Q480),FALSE,IF(NOT(COUNTIF($AA$24:$AA$34,SUBSTITUTE(Q480,""Sell_"",""""))),1,IF(REGEXMATCH(Q480,""Sell_""),IF(COUNTIF(Q$4:Q480,SUBSTITUTE(Q480,""Sell_"",""""))-COUNTIF(Q$4:Q479,Q480)&lt;1,1),FALSE))))"),FALSE)</f>
        <v>0</v>
      </c>
      <c r="S480" s="59">
        <f t="array" ref="S480">IF(COUNTA(Q480:Q1350)=0,"",SUM((COUNTIF(Q$4:Q480,Upgrades!$B$3:$B$13)-COUNTIF(Q$4:Q480,"Sell_"&amp;Upgrades!$B$3:$B$13))*Upgrades!$D$3:$D$13))</f>
        <v>508945.4</v>
      </c>
      <c r="T480" s="66">
        <f>IFERROR(__xludf.DUMMYFUNCTION("IF(COUNTA(Q480:Q1350)=0,"""",IF(REGEXMATCH(INDEX(FILTER(Q$4:Q480,Q$4:Q480&lt;&gt;""""),ROWS(FILTER(Q$4:Q480,Q$4:Q480&lt;&gt;""""))),""^Sell_""),INDEX(FILTER(T$4:T479,Q$4:Q479&lt;&gt;""""),ROWS(FILTER(Q$4:Q479,Q$4:Q479&lt;&gt;""""))),$AD$5+S480))"),509145.4)</f>
        <v>509145.4</v>
      </c>
      <c r="U480" s="10">
        <f>IFERROR(__xludf.DUMMYFUNCTION("IF(COUNTA(Q480:Q1350)=0,"""",IF(Q480="""",0,IF(REGEXMATCH(Q480,""^Sell_""),-ROUNDDOWN(ROUNDUP(INDEX(Upgrades!$C$3:$C$13,MATCH(SUBSTITUTE(Q480,""Sell_"",""""),Upgrades!$B$3:$B$13,0))*1.15^(COUNTIF(Q$4:Q479,SUBSTITUTE(Q480,""Sell_"",""""))-COUNTIF(Q$4:Q479,"&amp;"""Sell_""&amp;SUBSTITUTE(Q480,""Sell_"",""""))))/2),ROUNDUP(INDEX(Upgrades!$C$3:$C$13,MATCH(Q480,Upgrades!$B$3:$B$13,0))*1.15^(COUNTIF(Q$4:Q479,Q480)-COUNTIF(Q$4:Q479,""Sell_""&amp;Q480))))))"),40000.0)</f>
        <v>40000</v>
      </c>
      <c r="V480" s="10">
        <f t="shared" si="11"/>
        <v>40000</v>
      </c>
      <c r="W480" s="68">
        <f t="shared" si="12"/>
        <v>6415.228322</v>
      </c>
      <c r="X480" s="59" t="str">
        <f t="shared" si="13"/>
        <v>1h 46m 55s</v>
      </c>
      <c r="Y480" s="69">
        <f t="shared" si="14"/>
        <v>811201871</v>
      </c>
      <c r="Z480" s="11"/>
    </row>
    <row r="481">
      <c r="A481" s="8"/>
      <c r="B481" s="56" t="str">
        <f t="shared" si="2"/>
        <v/>
      </c>
      <c r="C481" s="57"/>
      <c r="D481" s="10" t="str">
        <f>IFERROR(__xludf.DUMMYFUNCTION("IF(COUNTA(C481:C1350)=0,"""",IF(ISBLANK(C481),FALSE,IF(NOT(COUNTIF($AA$24:$AA$34,SUBSTITUTE(C481,""Sell_"",""""))),1,IF(REGEXMATCH(C481,""Sell_""),IF(COUNTIF(C$4:C481,SUBSTITUTE(C481,""Sell_"",""""))-COUNTIF(C$4:C480,C481)&lt;1,1),FALSE))))"),"")</f>
        <v/>
      </c>
      <c r="E481" s="59" t="str">
        <f t="array" ref="E481">IF(COUNTA(C481:C1350)=0,"",SUM((COUNTIF(C$4:C481,Upgrades!$B$3:$B$13)-COUNTIF(C$4:C481,"Sell_"&amp;Upgrades!$B$3:$B$13))*Upgrades!$D$3:$D$13))</f>
        <v/>
      </c>
      <c r="F481" s="66" t="str">
        <f>IFERROR(__xludf.DUMMYFUNCTION("IF(COUNTA(C481:C1350)=0,"""",IF(REGEXMATCH(INDEX(FILTER(C$4:C481,C$4:C481&lt;&gt;""""),ROWS(FILTER(C$4:C481,C$4:C481&lt;&gt;""""))),""^Sell_""),INDEX(FILTER(F$4:F480,C$4:C480&lt;&gt;""""),ROWS(FILTER(C$4:C480,C$4:C480&lt;&gt;""""))),$AC$5+E481))"),"")</f>
        <v/>
      </c>
      <c r="G481" s="10" t="str">
        <f>IFERROR(__xludf.DUMMYFUNCTION("IF(COUNTA(C481:C1350)=0,"""",IF(C481="""",0,IF(REGEXMATCH(C481,""^Sell_""),-ROUNDDOWN(ROUNDUP(INDEX(Upgrades!$C$3:$C$13,MATCH(SUBSTITUTE(C481,""Sell_"",""""),Upgrades!$B$3:$B$13,0))*1.15^(COUNTIF(C$4:C480,SUBSTITUTE(C481,""Sell_"",""""))-COUNTIF(C$4:C480,"&amp;"""Sell_""&amp;SUBSTITUTE(C481,""Sell_"",""""))))/2),ROUNDUP(INDEX(Upgrades!$C$3:$C$13,MATCH(C481,Upgrades!$B$3:$B$13,0))*1.15^(COUNTIF(C$4:C480,C481)-COUNTIF(C$4:C480,""Sell_""&amp;C481))))))"),"")</f>
        <v/>
      </c>
      <c r="H481" s="10" t="str">
        <f t="shared" si="3"/>
        <v/>
      </c>
      <c r="I481" s="68" t="str">
        <f t="shared" si="4"/>
        <v/>
      </c>
      <c r="J481" s="59" t="str">
        <f t="shared" si="5"/>
        <v/>
      </c>
      <c r="K481" s="69" t="str">
        <f t="shared" si="6"/>
        <v/>
      </c>
      <c r="L481" s="60">
        <f t="shared" si="7"/>
        <v>-198.5564</v>
      </c>
      <c r="M481" s="61">
        <f>IFERROR(__xludf.DUMMYFUNCTION("IFS(AND(COUNTA(C481:C1350)=0,COUNTA(Q481:Q1350)=0),"""",OR(AND(K481&gt;=1000000000,OR(Y481&gt;=1000000000,COUNTA(Q481:Q1350)=0)),OR(Y481&gt;=1000000000,AND(COUNTA(C481:C1350)=0,P$3=TRUE))),
ROUNDDOWN((AB$1-AC$1)*MAX(INDEX(T$4:T1350,MATCH(LARGE(FILTER(Y$4:Y1350,Y$4"&amp;":Y1350&lt;1000000000),1),Y$4:Y1350)),INDEX(F$4:F1350,MATCH(LARGE(FILTER(K$4:K1350,K$4:K1350&lt;1000000000),1),K$4:K1350)))),AND(K481&lt;1000000000,COUNTA(C481:C1350)&gt;0,P$3=FALSE),
ROUNDDOWN(INDEX(Y$4:Y1350,MATCH(LARGE(FILTER(W$4:W1350,W$4:W1350&lt;=I481),1),W$4:W1350"&amp;"))+(I481-LARGE(FILTER(W$4:W1350,W$4:W1350&lt;=I481),1))*INDEX(T$4:T1350,MATCH(LARGE(FILTER(W$4:W1350,W$4:W1350&lt;=I481),1),W$4:W1350))-K481),1,
ROUNDDOWN(Y481-INDEX(K$4:K1350,MATCH(LARGE(FILTER(I$4:I1350,I$4:I1350&lt;=W481),1),I$4:I1350))-(W481-LARGE(FILTER(I$4:I"&amp;"1350,I$4:I1350&lt;=W481),1))*INDEX(F$4:F1350,MATCH(LARGE(FILTER(I$4:I1350,I$4:I1350&lt;=W481),1),I$4:I1350))))"),1.01493803E8)</f>
        <v>101493803</v>
      </c>
      <c r="N481" s="60">
        <f t="shared" si="8"/>
        <v>-198.5564</v>
      </c>
      <c r="O481" s="61" t="str">
        <f t="shared" si="9"/>
        <v>101,5M</v>
      </c>
      <c r="P481" s="56">
        <f t="shared" si="10"/>
        <v>5</v>
      </c>
      <c r="Q481" s="105" t="s">
        <v>7</v>
      </c>
      <c r="R481" s="10" t="b">
        <f>IFERROR(__xludf.DUMMYFUNCTION("IF(COUNTA(Q481:Q1350)=0,"""",IF(ISBLANK(Q481),FALSE,IF(NOT(COUNTIF($AA$24:$AA$34,SUBSTITUTE(Q481,""Sell_"",""""))),1,IF(REGEXMATCH(Q481,""Sell_""),IF(COUNTIF(Q$4:Q481,SUBSTITUTE(Q481,""Sell_"",""""))-COUNTIF(Q$4:Q480,Q481)&lt;1,1),FALSE))))"),FALSE)</f>
        <v>0</v>
      </c>
      <c r="S481" s="59">
        <f t="array" ref="S481">IF(COUNTA(Q481:Q1350)=0,"",SUM((COUNTIF(Q$4:Q481,Upgrades!$B$3:$B$13)-COUNTIF(Q$4:Q481,"Sell_"&amp;Upgrades!$B$3:$B$13))*Upgrades!$D$3:$D$13))</f>
        <v>508985.4</v>
      </c>
      <c r="T481" s="66">
        <f>IFERROR(__xludf.DUMMYFUNCTION("IF(COUNTA(Q481:Q1350)=0,"""",IF(REGEXMATCH(INDEX(FILTER(Q$4:Q481,Q$4:Q481&lt;&gt;""""),ROWS(FILTER(Q$4:Q481,Q$4:Q481&lt;&gt;""""))),""^Sell_""),INDEX(FILTER(T$4:T480,Q$4:Q480&lt;&gt;""""),ROWS(FILTER(Q$4:Q480,Q$4:Q480&lt;&gt;""""))),$AD$5+S481))"),509185.4)</f>
        <v>509185.4</v>
      </c>
      <c r="U481" s="10">
        <f>IFERROR(__xludf.DUMMYFUNCTION("IF(COUNTA(Q481:Q1350)=0,"""",IF(Q481="""",0,IF(REGEXMATCH(Q481,""^Sell_""),-ROUNDDOWN(ROUNDUP(INDEX(Upgrades!$C$3:$C$13,MATCH(SUBSTITUTE(Q481,""Sell_"",""""),Upgrades!$B$3:$B$13,0))*1.15^(COUNTIF(Q$4:Q480,SUBSTITUTE(Q481,""Sell_"",""""))-COUNTIF(Q$4:Q480,"&amp;"""Sell_""&amp;SUBSTITUTE(Q481,""Sell_"",""""))))/2),ROUNDUP(INDEX(Upgrades!$C$3:$C$13,MATCH(Q481,Upgrades!$B$3:$B$13,0))*1.15^(COUNTIF(Q$4:Q480,Q481)-COUNTIF(Q$4:Q480,""Sell_""&amp;Q481))))))"),17491.0)</f>
        <v>17491</v>
      </c>
      <c r="V481" s="10">
        <f t="shared" si="11"/>
        <v>17491</v>
      </c>
      <c r="W481" s="68">
        <f t="shared" si="12"/>
        <v>6415.262676</v>
      </c>
      <c r="X481" s="59" t="str">
        <f t="shared" si="13"/>
        <v>1h 46m 55s</v>
      </c>
      <c r="Y481" s="69">
        <f t="shared" si="14"/>
        <v>811219362</v>
      </c>
      <c r="Z481" s="11"/>
    </row>
    <row r="482">
      <c r="A482" s="8"/>
      <c r="B482" s="56" t="str">
        <f t="shared" si="2"/>
        <v/>
      </c>
      <c r="C482" s="57"/>
      <c r="D482" s="10" t="str">
        <f>IFERROR(__xludf.DUMMYFUNCTION("IF(COUNTA(C482:C1350)=0,"""",IF(ISBLANK(C482),FALSE,IF(NOT(COUNTIF($AA$24:$AA$34,SUBSTITUTE(C482,""Sell_"",""""))),1,IF(REGEXMATCH(C482,""Sell_""),IF(COUNTIF(C$4:C482,SUBSTITUTE(C482,""Sell_"",""""))-COUNTIF(C$4:C481,C482)&lt;1,1),FALSE))))"),"")</f>
        <v/>
      </c>
      <c r="E482" s="59" t="str">
        <f t="array" ref="E482">IF(COUNTA(C482:C1350)=0,"",SUM((COUNTIF(C$4:C482,Upgrades!$B$3:$B$13)-COUNTIF(C$4:C482,"Sell_"&amp;Upgrades!$B$3:$B$13))*Upgrades!$D$3:$D$13))</f>
        <v/>
      </c>
      <c r="F482" s="66" t="str">
        <f>IFERROR(__xludf.DUMMYFUNCTION("IF(COUNTA(C482:C1350)=0,"""",IF(REGEXMATCH(INDEX(FILTER(C$4:C482,C$4:C482&lt;&gt;""""),ROWS(FILTER(C$4:C482,C$4:C482&lt;&gt;""""))),""^Sell_""),INDEX(FILTER(F$4:F481,C$4:C481&lt;&gt;""""),ROWS(FILTER(C$4:C481,C$4:C481&lt;&gt;""""))),$AC$5+E482))"),"")</f>
        <v/>
      </c>
      <c r="G482" s="10" t="str">
        <f>IFERROR(__xludf.DUMMYFUNCTION("IF(COUNTA(C482:C1350)=0,"""",IF(C482="""",0,IF(REGEXMATCH(C482,""^Sell_""),-ROUNDDOWN(ROUNDUP(INDEX(Upgrades!$C$3:$C$13,MATCH(SUBSTITUTE(C482,""Sell_"",""""),Upgrades!$B$3:$B$13,0))*1.15^(COUNTIF(C$4:C481,SUBSTITUTE(C482,""Sell_"",""""))-COUNTIF(C$4:C481,"&amp;"""Sell_""&amp;SUBSTITUTE(C482,""Sell_"",""""))))/2),ROUNDUP(INDEX(Upgrades!$C$3:$C$13,MATCH(C482,Upgrades!$B$3:$B$13,0))*1.15^(COUNTIF(C$4:C481,C482)-COUNTIF(C$4:C481,""Sell_""&amp;C482))))))"),"")</f>
        <v/>
      </c>
      <c r="H482" s="10" t="str">
        <f t="shared" si="3"/>
        <v/>
      </c>
      <c r="I482" s="68" t="str">
        <f t="shared" si="4"/>
        <v/>
      </c>
      <c r="J482" s="59" t="str">
        <f t="shared" si="5"/>
        <v/>
      </c>
      <c r="K482" s="69" t="str">
        <f t="shared" si="6"/>
        <v/>
      </c>
      <c r="L482" s="60">
        <f t="shared" si="7"/>
        <v>-198.55157</v>
      </c>
      <c r="M482" s="61">
        <f>IFERROR(__xludf.DUMMYFUNCTION("IFS(AND(COUNTA(C482:C1350)=0,COUNTA(Q482:Q1350)=0),"""",OR(AND(K482&gt;=1000000000,OR(Y482&gt;=1000000000,COUNTA(Q482:Q1350)=0)),OR(Y482&gt;=1000000000,AND(COUNTA(C482:C1350)=0,P$3=TRUE))),
ROUNDDOWN((AB$1-AC$1)*MAX(INDEX(T$4:T1350,MATCH(LARGE(FILTER(Y$4:Y1350,Y$4"&amp;":Y1350&lt;1000000000),1),Y$4:Y1350)),INDEX(F$4:F1350,MATCH(LARGE(FILTER(K$4:K1350,K$4:K1350&lt;1000000000),1),K$4:K1350)))),AND(K482&lt;1000000000,COUNTA(C482:C1350)&gt;0,P$3=FALSE),
ROUNDDOWN(INDEX(Y$4:Y1350,MATCH(LARGE(FILTER(W$4:W1350,W$4:W1350&lt;=I482),1),W$4:W1350"&amp;"))+(I482-LARGE(FILTER(W$4:W1350,W$4:W1350&lt;=I482),1))*INDEX(T$4:T1350,MATCH(LARGE(FILTER(W$4:W1350,W$4:W1350&lt;=I482),1),W$4:W1350))-K482),1,
ROUNDDOWN(Y482-INDEX(K$4:K1350,MATCH(LARGE(FILTER(I$4:I1350,I$4:I1350&lt;=W482),1),I$4:I1350))-(W482-LARGE(FILTER(I$4:I"&amp;"1350,I$4:I1350&lt;=W482),1))*INDEX(F$4:F1350,MATCH(LARGE(FILTER(I$4:I1350,I$4:I1350&lt;=W482),1),I$4:I1350))))"),1.01502715E8)</f>
        <v>101502715</v>
      </c>
      <c r="N482" s="60">
        <f t="shared" si="8"/>
        <v>-198.55157</v>
      </c>
      <c r="O482" s="61" t="str">
        <f t="shared" si="9"/>
        <v>101,5M</v>
      </c>
      <c r="P482" s="56">
        <f t="shared" si="10"/>
        <v>2</v>
      </c>
      <c r="Q482" s="105" t="s">
        <v>8</v>
      </c>
      <c r="R482" s="10" t="b">
        <f>IFERROR(__xludf.DUMMYFUNCTION("IF(COUNTA(Q482:Q1350)=0,"""",IF(ISBLANK(Q482),FALSE,IF(NOT(COUNTIF($AA$24:$AA$34,SUBSTITUTE(Q482,""Sell_"",""""))),1,IF(REGEXMATCH(Q482,""Sell_""),IF(COUNTIF(Q$4:Q482,SUBSTITUTE(Q482,""Sell_"",""""))-COUNTIF(Q$4:Q481,Q482)&lt;1,1),FALSE))))"),FALSE)</f>
        <v>0</v>
      </c>
      <c r="S482" s="59">
        <f t="array" ref="S482">IF(COUNTA(Q482:Q1350)=0,"",SUM((COUNTIF(Q$4:Q482,Upgrades!$B$3:$B$13)-COUNTIF(Q$4:Q482,"Sell_"&amp;Upgrades!$B$3:$B$13))*Upgrades!$D$3:$D$13))</f>
        <v>509085.4</v>
      </c>
      <c r="T482" s="66">
        <f>IFERROR(__xludf.DUMMYFUNCTION("IF(COUNTA(Q482:Q1350)=0,"""",IF(REGEXMATCH(INDEX(FILTER(Q$4:Q482,Q$4:Q482&lt;&gt;""""),ROWS(FILTER(Q$4:Q482,Q$4:Q482&lt;&gt;""""))),""^Sell_""),INDEX(FILTER(T$4:T481,Q$4:Q481&lt;&gt;""""),ROWS(FILTER(Q$4:Q481,Q$4:Q481&lt;&gt;""""))),$AD$5+S482))"),509285.4)</f>
        <v>509285.4</v>
      </c>
      <c r="U482" s="10">
        <f>IFERROR(__xludf.DUMMYFUNCTION("IF(COUNTA(Q482:Q1350)=0,"""",IF(Q482="""",0,IF(REGEXMATCH(Q482,""^Sell_""),-ROUNDDOWN(ROUNDUP(INDEX(Upgrades!$C$3:$C$13,MATCH(SUBSTITUTE(Q482,""Sell_"",""""),Upgrades!$B$3:$B$13,0))*1.15^(COUNTIF(Q$4:Q481,SUBSTITUTE(Q482,""Sell_"",""""))-COUNTIF(Q$4:Q481,"&amp;"""Sell_""&amp;SUBSTITUTE(Q482,""Sell_"",""""))))/2),ROUNDUP(INDEX(Upgrades!$C$3:$C$13,MATCH(Q482,Upgrades!$B$3:$B$13,0))*1.15^(COUNTIF(Q$4:Q481,Q482)-COUNTIF(Q$4:Q481,""Sell_""&amp;Q482))))))"),46000.0)</f>
        <v>46000</v>
      </c>
      <c r="V482" s="10">
        <f t="shared" si="11"/>
        <v>46000</v>
      </c>
      <c r="W482" s="68">
        <f t="shared" si="12"/>
        <v>6415.353016</v>
      </c>
      <c r="X482" s="59" t="str">
        <f t="shared" si="13"/>
        <v>1h 46m 55s</v>
      </c>
      <c r="Y482" s="69">
        <f t="shared" si="14"/>
        <v>811265362</v>
      </c>
      <c r="Z482" s="11"/>
    </row>
    <row r="483">
      <c r="A483" s="8"/>
      <c r="B483" s="56" t="str">
        <f t="shared" si="2"/>
        <v/>
      </c>
      <c r="C483" s="57"/>
      <c r="D483" s="10" t="str">
        <f>IFERROR(__xludf.DUMMYFUNCTION("IF(COUNTA(C483:C1350)=0,"""",IF(ISBLANK(C483),FALSE,IF(NOT(COUNTIF($AA$24:$AA$34,SUBSTITUTE(C483,""Sell_"",""""))),1,IF(REGEXMATCH(C483,""Sell_""),IF(COUNTIF(C$4:C483,SUBSTITUTE(C483,""Sell_"",""""))-COUNTIF(C$4:C482,C483)&lt;1,1),FALSE))))"),"")</f>
        <v/>
      </c>
      <c r="E483" s="59" t="str">
        <f t="array" ref="E483">IF(COUNTA(C483:C1350)=0,"",SUM((COUNTIF(C$4:C483,Upgrades!$B$3:$B$13)-COUNTIF(C$4:C483,"Sell_"&amp;Upgrades!$B$3:$B$13))*Upgrades!$D$3:$D$13))</f>
        <v/>
      </c>
      <c r="F483" s="66" t="str">
        <f>IFERROR(__xludf.DUMMYFUNCTION("IF(COUNTA(C483:C1350)=0,"""",IF(REGEXMATCH(INDEX(FILTER(C$4:C483,C$4:C483&lt;&gt;""""),ROWS(FILTER(C$4:C483,C$4:C483&lt;&gt;""""))),""^Sell_""),INDEX(FILTER(F$4:F482,C$4:C482&lt;&gt;""""),ROWS(FILTER(C$4:C482,C$4:C482&lt;&gt;""""))),$AC$5+E483))"),"")</f>
        <v/>
      </c>
      <c r="G483" s="10" t="str">
        <f>IFERROR(__xludf.DUMMYFUNCTION("IF(COUNTA(C483:C1350)=0,"""",IF(C483="""",0,IF(REGEXMATCH(C483,""^Sell_""),-ROUNDDOWN(ROUNDUP(INDEX(Upgrades!$C$3:$C$13,MATCH(SUBSTITUTE(C483,""Sell_"",""""),Upgrades!$B$3:$B$13,0))*1.15^(COUNTIF(C$4:C482,SUBSTITUTE(C483,""Sell_"",""""))-COUNTIF(C$4:C482,"&amp;"""Sell_""&amp;SUBSTITUTE(C483,""Sell_"",""""))))/2),ROUNDUP(INDEX(Upgrades!$C$3:$C$13,MATCH(C483,Upgrades!$B$3:$B$13,0))*1.15^(COUNTIF(C$4:C482,C483)-COUNTIF(C$4:C482,""Sell_""&amp;C483))))))"),"")</f>
        <v/>
      </c>
      <c r="H483" s="10" t="str">
        <f t="shared" si="3"/>
        <v/>
      </c>
      <c r="I483" s="68" t="str">
        <f t="shared" si="4"/>
        <v/>
      </c>
      <c r="J483" s="59" t="str">
        <f t="shared" si="5"/>
        <v/>
      </c>
      <c r="K483" s="69" t="str">
        <f t="shared" si="6"/>
        <v/>
      </c>
      <c r="L483" s="60">
        <f t="shared" si="7"/>
        <v>-198.53064</v>
      </c>
      <c r="M483" s="61">
        <f>IFERROR(__xludf.DUMMYFUNCTION("IFS(AND(COUNTA(C483:C1350)=0,COUNTA(Q483:Q1350)=0),"""",OR(AND(K483&gt;=1000000000,OR(Y483&gt;=1000000000,COUNTA(Q483:Q1350)=0)),OR(Y483&gt;=1000000000,AND(COUNTA(C483:C1350)=0,P$3=TRUE))),
ROUNDDOWN((AB$1-AC$1)*MAX(INDEX(T$4:T1350,MATCH(LARGE(FILTER(Y$4:Y1350,Y$4"&amp;":Y1350&lt;1000000000),1),Y$4:Y1350)),INDEX(F$4:F1350,MATCH(LARGE(FILTER(K$4:K1350,K$4:K1350&lt;1000000000),1),K$4:K1350)))),AND(K483&lt;1000000000,COUNTA(C483:C1350)&gt;0,P$3=FALSE),
ROUNDDOWN(INDEX(Y$4:Y1350,MATCH(LARGE(FILTER(W$4:W1350,W$4:W1350&lt;=I483),1),W$4:W1350"&amp;"))+(I483-LARGE(FILTER(W$4:W1350,W$4:W1350&lt;=I483),1))*INDEX(T$4:T1350,MATCH(LARGE(FILTER(W$4:W1350,W$4:W1350&lt;=I483),1),W$4:W1350))-K483),1,
ROUNDDOWN(Y483-INDEX(K$4:K1350,MATCH(LARGE(FILTER(I$4:I1350,I$4:I1350&lt;=W483),1),I$4:I1350))-(W483-LARGE(FILTER(I$4:I"&amp;"1350,I$4:I1350&lt;=W483),1))*INDEX(F$4:F1350,MATCH(LARGE(FILTER(I$4:I1350,I$4:I1350&lt;=W483),1),I$4:I1350))))"),1.01541497E8)</f>
        <v>101541497</v>
      </c>
      <c r="N483" s="60">
        <f t="shared" si="8"/>
        <v>-198.53064</v>
      </c>
      <c r="O483" s="61" t="str">
        <f t="shared" si="9"/>
        <v>101,5M</v>
      </c>
      <c r="P483" s="56">
        <f t="shared" si="10"/>
        <v>1</v>
      </c>
      <c r="Q483" s="105" t="s">
        <v>9</v>
      </c>
      <c r="R483" s="10" t="b">
        <f>IFERROR(__xludf.DUMMYFUNCTION("IF(COUNTA(Q483:Q1350)=0,"""",IF(ISBLANK(Q483),FALSE,IF(NOT(COUNTIF($AA$24:$AA$34,SUBSTITUTE(Q483,""Sell_"",""""))),1,IF(REGEXMATCH(Q483,""Sell_""),IF(COUNTIF(Q$4:Q483,SUBSTITUTE(Q483,""Sell_"",""""))-COUNTIF(Q$4:Q482,Q483)&lt;1,1),FALSE))))"),FALSE)</f>
        <v>0</v>
      </c>
      <c r="S483" s="59">
        <f t="array" ref="S483">IF(COUNTA(Q483:Q1350)=0,"",SUM((COUNTIF(Q$4:Q483,Upgrades!$B$3:$B$13)-COUNTIF(Q$4:Q483,"Sell_"&amp;Upgrades!$B$3:$B$13))*Upgrades!$D$3:$D$13))</f>
        <v>509485.4</v>
      </c>
      <c r="T483" s="66">
        <f>IFERROR(__xludf.DUMMYFUNCTION("IF(COUNTA(Q483:Q1350)=0,"""",IF(REGEXMATCH(INDEX(FILTER(Q$4:Q483,Q$4:Q483&lt;&gt;""""),ROWS(FILTER(Q$4:Q483,Q$4:Q483&lt;&gt;""""))),""^Sell_""),INDEX(FILTER(T$4:T482,Q$4:Q482&lt;&gt;""""),ROWS(FILTER(Q$4:Q482,Q$4:Q482&lt;&gt;""""))),$AD$5+S483))"),509685.4)</f>
        <v>509685.4</v>
      </c>
      <c r="U483" s="10">
        <f>IFERROR(__xludf.DUMMYFUNCTION("IF(COUNTA(Q483:Q1350)=0,"""",IF(Q483="""",0,IF(REGEXMATCH(Q483,""^Sell_""),-ROUNDDOWN(ROUNDUP(INDEX(Upgrades!$C$3:$C$13,MATCH(SUBSTITUTE(Q483,""Sell_"",""""),Upgrades!$B$3:$B$13,0))*1.15^(COUNTIF(Q$4:Q482,SUBSTITUTE(Q483,""Sell_"",""""))-COUNTIF(Q$4:Q482,"&amp;"""Sell_""&amp;SUBSTITUTE(Q483,""Sell_"",""""))))/2),ROUNDUP(INDEX(Upgrades!$C$3:$C$13,MATCH(Q483,Upgrades!$B$3:$B$13,0))*1.15^(COUNTIF(Q$4:Q482,Q483)-COUNTIF(Q$4:Q482,""Sell_""&amp;Q483))))))"),200000.0)</f>
        <v>200000</v>
      </c>
      <c r="V483" s="10">
        <f t="shared" si="11"/>
        <v>200000</v>
      </c>
      <c r="W483" s="68">
        <f t="shared" si="12"/>
        <v>6415.745723</v>
      </c>
      <c r="X483" s="59" t="str">
        <f t="shared" si="13"/>
        <v>1h 46m 55s</v>
      </c>
      <c r="Y483" s="69">
        <f t="shared" si="14"/>
        <v>811465362</v>
      </c>
      <c r="Z483" s="11"/>
    </row>
    <row r="484">
      <c r="A484" s="8"/>
      <c r="B484" s="56" t="str">
        <f t="shared" si="2"/>
        <v/>
      </c>
      <c r="C484" s="57"/>
      <c r="D484" s="10" t="str">
        <f>IFERROR(__xludf.DUMMYFUNCTION("IF(COUNTA(C484:C1350)=0,"""",IF(ISBLANK(C484),FALSE,IF(NOT(COUNTIF($AA$24:$AA$34,SUBSTITUTE(C484,""Sell_"",""""))),1,IF(REGEXMATCH(C484,""Sell_""),IF(COUNTIF(C$4:C484,SUBSTITUTE(C484,""Sell_"",""""))-COUNTIF(C$4:C483,C484)&lt;1,1),FALSE))))"),"")</f>
        <v/>
      </c>
      <c r="E484" s="59" t="str">
        <f t="array" ref="E484">IF(COUNTA(C484:C1350)=0,"",SUM((COUNTIF(C$4:C484,Upgrades!$B$3:$B$13)-COUNTIF(C$4:C484,"Sell_"&amp;Upgrades!$B$3:$B$13))*Upgrades!$D$3:$D$13))</f>
        <v/>
      </c>
      <c r="F484" s="66" t="str">
        <f>IFERROR(__xludf.DUMMYFUNCTION("IF(COUNTA(C484:C1350)=0,"""",IF(REGEXMATCH(INDEX(FILTER(C$4:C484,C$4:C484&lt;&gt;""""),ROWS(FILTER(C$4:C484,C$4:C484&lt;&gt;""""))),""^Sell_""),INDEX(FILTER(F$4:F483,C$4:C483&lt;&gt;""""),ROWS(FILTER(C$4:C483,C$4:C483&lt;&gt;""""))),$AC$5+E484))"),"")</f>
        <v/>
      </c>
      <c r="G484" s="10" t="str">
        <f>IFERROR(__xludf.DUMMYFUNCTION("IF(COUNTA(C484:C1350)=0,"""",IF(C484="""",0,IF(REGEXMATCH(C484,""^Sell_""),-ROUNDDOWN(ROUNDUP(INDEX(Upgrades!$C$3:$C$13,MATCH(SUBSTITUTE(C484,""Sell_"",""""),Upgrades!$B$3:$B$13,0))*1.15^(COUNTIF(C$4:C483,SUBSTITUTE(C484,""Sell_"",""""))-COUNTIF(C$4:C483,"&amp;"""Sell_""&amp;SUBSTITUTE(C484,""Sell_"",""""))))/2),ROUNDUP(INDEX(Upgrades!$C$3:$C$13,MATCH(C484,Upgrades!$B$3:$B$13,0))*1.15^(COUNTIF(C$4:C483,C484)-COUNTIF(C$4:C483,""Sell_""&amp;C484))))))"),"")</f>
        <v/>
      </c>
      <c r="H484" s="10" t="str">
        <f t="shared" si="3"/>
        <v/>
      </c>
      <c r="I484" s="68" t="str">
        <f t="shared" si="4"/>
        <v/>
      </c>
      <c r="J484" s="59" t="str">
        <f t="shared" si="5"/>
        <v/>
      </c>
      <c r="K484" s="69" t="str">
        <f t="shared" si="6"/>
        <v/>
      </c>
      <c r="L484" s="60">
        <f t="shared" si="7"/>
        <v>-198.52856</v>
      </c>
      <c r="M484" s="61">
        <f>IFERROR(__xludf.DUMMYFUNCTION("IFS(AND(COUNTA(C484:C1350)=0,COUNTA(Q484:Q1350)=0),"""",OR(AND(K484&gt;=1000000000,OR(Y484&gt;=1000000000,COUNTA(Q484:Q1350)=0)),OR(Y484&gt;=1000000000,AND(COUNTA(C484:C1350)=0,P$3=TRUE))),
ROUNDDOWN((AB$1-AC$1)*MAX(INDEX(T$4:T1350,MATCH(LARGE(FILTER(Y$4:Y1350,Y$4"&amp;":Y1350&lt;1000000000),1),Y$4:Y1350)),INDEX(F$4:F1350,MATCH(LARGE(FILTER(K$4:K1350,K$4:K1350&lt;1000000000),1),K$4:K1350)))),AND(K484&lt;1000000000,COUNTA(C484:C1350)&gt;0,P$3=FALSE),
ROUNDDOWN(INDEX(Y$4:Y1350,MATCH(LARGE(FILTER(W$4:W1350,W$4:W1350&lt;=I484),1),W$4:W1350"&amp;"))+(I484-LARGE(FILTER(W$4:W1350,W$4:W1350&lt;=I484),1))*INDEX(T$4:T1350,MATCH(LARGE(FILTER(W$4:W1350,W$4:W1350&lt;=I484),1),W$4:W1350))-K484),1,
ROUNDDOWN(Y484-INDEX(K$4:K1350,MATCH(LARGE(FILTER(I$4:I1350,I$4:I1350&lt;=W484),1),I$4:I1350))-(W484-LARGE(FILTER(I$4:I"&amp;"1350,I$4:I1350&lt;=W484),1))*INDEX(F$4:F1350,MATCH(LARGE(FILTER(I$4:I1350,I$4:I1350&lt;=W484),1),I$4:I1350))))"),1.0154541E8)</f>
        <v>101545410</v>
      </c>
      <c r="N484" s="60">
        <f t="shared" si="8"/>
        <v>-198.52856</v>
      </c>
      <c r="O484" s="61" t="str">
        <f t="shared" si="9"/>
        <v>101,5M</v>
      </c>
      <c r="P484" s="56">
        <f t="shared" si="10"/>
        <v>6</v>
      </c>
      <c r="Q484" s="105" t="s">
        <v>7</v>
      </c>
      <c r="R484" s="10" t="b">
        <f>IFERROR(__xludf.DUMMYFUNCTION("IF(COUNTA(Q484:Q1350)=0,"""",IF(ISBLANK(Q484),FALSE,IF(NOT(COUNTIF($AA$24:$AA$34,SUBSTITUTE(Q484,""Sell_"",""""))),1,IF(REGEXMATCH(Q484,""Sell_""),IF(COUNTIF(Q$4:Q484,SUBSTITUTE(Q484,""Sell_"",""""))-COUNTIF(Q$4:Q483,Q484)&lt;1,1),FALSE))))"),FALSE)</f>
        <v>0</v>
      </c>
      <c r="S484" s="59">
        <f t="array" ref="S484">IF(COUNTA(Q484:Q1350)=0,"",SUM((COUNTIF(Q$4:Q484,Upgrades!$B$3:$B$13)-COUNTIF(Q$4:Q484,"Sell_"&amp;Upgrades!$B$3:$B$13))*Upgrades!$D$3:$D$13))</f>
        <v>509525.4</v>
      </c>
      <c r="T484" s="66">
        <f>IFERROR(__xludf.DUMMYFUNCTION("IF(COUNTA(Q484:Q1350)=0,"""",IF(REGEXMATCH(INDEX(FILTER(Q$4:Q484,Q$4:Q484&lt;&gt;""""),ROWS(FILTER(Q$4:Q484,Q$4:Q484&lt;&gt;""""))),""^Sell_""),INDEX(FILTER(T$4:T483,Q$4:Q483&lt;&gt;""""),ROWS(FILTER(Q$4:Q483,Q$4:Q483&lt;&gt;""""))),$AD$5+S484))"),509725.4)</f>
        <v>509725.4</v>
      </c>
      <c r="U484" s="10">
        <f>IFERROR(__xludf.DUMMYFUNCTION("IF(COUNTA(Q484:Q1350)=0,"""",IF(Q484="""",0,IF(REGEXMATCH(Q484,""^Sell_""),-ROUNDDOWN(ROUNDUP(INDEX(Upgrades!$C$3:$C$13,MATCH(SUBSTITUTE(Q484,""Sell_"",""""),Upgrades!$B$3:$B$13,0))*1.15^(COUNTIF(Q$4:Q483,SUBSTITUTE(Q484,""Sell_"",""""))-COUNTIF(Q$4:Q483,"&amp;"""Sell_""&amp;SUBSTITUTE(Q484,""Sell_"",""""))))/2),ROUNDUP(INDEX(Upgrades!$C$3:$C$13,MATCH(Q484,Upgrades!$B$3:$B$13,0))*1.15^(COUNTIF(Q$4:Q483,Q484)-COUNTIF(Q$4:Q483,""Sell_""&amp;Q484))))))"),20114.0)</f>
        <v>20114</v>
      </c>
      <c r="V484" s="10">
        <f t="shared" si="11"/>
        <v>20114</v>
      </c>
      <c r="W484" s="68">
        <f t="shared" si="12"/>
        <v>6415.785187</v>
      </c>
      <c r="X484" s="59" t="str">
        <f t="shared" si="13"/>
        <v>1h 46m 55s</v>
      </c>
      <c r="Y484" s="69">
        <f t="shared" si="14"/>
        <v>811485476</v>
      </c>
      <c r="Z484" s="11"/>
    </row>
    <row r="485">
      <c r="A485" s="8"/>
      <c r="B485" s="56" t="str">
        <f t="shared" si="2"/>
        <v/>
      </c>
      <c r="C485" s="57"/>
      <c r="D485" s="10" t="str">
        <f>IFERROR(__xludf.DUMMYFUNCTION("IF(COUNTA(C485:C1350)=0,"""",IF(ISBLANK(C485),FALSE,IF(NOT(COUNTIF($AA$24:$AA$34,SUBSTITUTE(C485,""Sell_"",""""))),1,IF(REGEXMATCH(C485,""Sell_""),IF(COUNTIF(C$4:C485,SUBSTITUTE(C485,""Sell_"",""""))-COUNTIF(C$4:C484,C485)&lt;1,1),FALSE))))"),"")</f>
        <v/>
      </c>
      <c r="E485" s="59" t="str">
        <f t="array" ref="E485">IF(COUNTA(C485:C1350)=0,"",SUM((COUNTIF(C$4:C485,Upgrades!$B$3:$B$13)-COUNTIF(C$4:C485,"Sell_"&amp;Upgrades!$B$3:$B$13))*Upgrades!$D$3:$D$13))</f>
        <v/>
      </c>
      <c r="F485" s="66" t="str">
        <f>IFERROR(__xludf.DUMMYFUNCTION("IF(COUNTA(C485:C1350)=0,"""",IF(REGEXMATCH(INDEX(FILTER(C$4:C485,C$4:C485&lt;&gt;""""),ROWS(FILTER(C$4:C485,C$4:C485&lt;&gt;""""))),""^Sell_""),INDEX(FILTER(F$4:F484,C$4:C484&lt;&gt;""""),ROWS(FILTER(C$4:C484,C$4:C484&lt;&gt;""""))),$AC$5+E485))"),"")</f>
        <v/>
      </c>
      <c r="G485" s="10" t="str">
        <f>IFERROR(__xludf.DUMMYFUNCTION("IF(COUNTA(C485:C1350)=0,"""",IF(C485="""",0,IF(REGEXMATCH(C485,""^Sell_""),-ROUNDDOWN(ROUNDUP(INDEX(Upgrades!$C$3:$C$13,MATCH(SUBSTITUTE(C485,""Sell_"",""""),Upgrades!$B$3:$B$13,0))*1.15^(COUNTIF(C$4:C484,SUBSTITUTE(C485,""Sell_"",""""))-COUNTIF(C$4:C484,"&amp;"""Sell_""&amp;SUBSTITUTE(C485,""Sell_"",""""))))/2),ROUNDUP(INDEX(Upgrades!$C$3:$C$13,MATCH(C485,Upgrades!$B$3:$B$13,0))*1.15^(COUNTIF(C$4:C484,C485)-COUNTIF(C$4:C484,""Sell_""&amp;C485))))))"),"")</f>
        <v/>
      </c>
      <c r="H485" s="10" t="str">
        <f t="shared" si="3"/>
        <v/>
      </c>
      <c r="I485" s="68" t="str">
        <f t="shared" si="4"/>
        <v/>
      </c>
      <c r="J485" s="59" t="str">
        <f t="shared" si="5"/>
        <v/>
      </c>
      <c r="K485" s="69" t="str">
        <f t="shared" si="6"/>
        <v/>
      </c>
      <c r="L485" s="60">
        <f t="shared" si="7"/>
        <v>-198.52312</v>
      </c>
      <c r="M485" s="61">
        <f>IFERROR(__xludf.DUMMYFUNCTION("IFS(AND(COUNTA(C485:C1350)=0,COUNTA(Q485:Q1350)=0),"""",OR(AND(K485&gt;=1000000000,OR(Y485&gt;=1000000000,COUNTA(Q485:Q1350)=0)),OR(Y485&gt;=1000000000,AND(COUNTA(C485:C1350)=0,P$3=TRUE))),
ROUNDDOWN((AB$1-AC$1)*MAX(INDEX(T$4:T1350,MATCH(LARGE(FILTER(Y$4:Y1350,Y$4"&amp;":Y1350&lt;1000000000),1),Y$4:Y1350)),INDEX(F$4:F1350,MATCH(LARGE(FILTER(K$4:K1350,K$4:K1350&lt;1000000000),1),K$4:K1350)))),AND(K485&lt;1000000000,COUNTA(C485:C1350)&gt;0,P$3=FALSE),
ROUNDDOWN(INDEX(Y$4:Y1350,MATCH(LARGE(FILTER(W$4:W1350,W$4:W1350&lt;=I485),1),W$4:W1350"&amp;"))+(I485-LARGE(FILTER(W$4:W1350,W$4:W1350&lt;=I485),1))*INDEX(T$4:T1350,MATCH(LARGE(FILTER(W$4:W1350,W$4:W1350&lt;=I485),1),W$4:W1350))-K485),1,
ROUNDDOWN(Y485-INDEX(K$4:K1350,MATCH(LARGE(FILTER(I$4:I1350,I$4:I1350&lt;=W485),1),I$4:I1350))-(W485-LARGE(FILTER(I$4:I"&amp;"1350,I$4:I1350&lt;=W485),1))*INDEX(F$4:F1350,MATCH(LARGE(FILTER(I$4:I1350,I$4:I1350&lt;=W485),1),I$4:I1350))))"),1.01555705E8)</f>
        <v>101555705</v>
      </c>
      <c r="N485" s="60">
        <f t="shared" si="8"/>
        <v>-198.52312</v>
      </c>
      <c r="O485" s="61" t="str">
        <f t="shared" si="9"/>
        <v>101,6M</v>
      </c>
      <c r="P485" s="56">
        <f t="shared" si="10"/>
        <v>3</v>
      </c>
      <c r="Q485" s="105" t="s">
        <v>8</v>
      </c>
      <c r="R485" s="10" t="b">
        <f>IFERROR(__xludf.DUMMYFUNCTION("IF(COUNTA(Q485:Q1350)=0,"""",IF(ISBLANK(Q485),FALSE,IF(NOT(COUNTIF($AA$24:$AA$34,SUBSTITUTE(Q485,""Sell_"",""""))),1,IF(REGEXMATCH(Q485,""Sell_""),IF(COUNTIF(Q$4:Q485,SUBSTITUTE(Q485,""Sell_"",""""))-COUNTIF(Q$4:Q484,Q485)&lt;1,1),FALSE))))"),FALSE)</f>
        <v>0</v>
      </c>
      <c r="S485" s="59">
        <f t="array" ref="S485">IF(COUNTA(Q485:Q1350)=0,"",SUM((COUNTIF(Q$4:Q485,Upgrades!$B$3:$B$13)-COUNTIF(Q$4:Q485,"Sell_"&amp;Upgrades!$B$3:$B$13))*Upgrades!$D$3:$D$13))</f>
        <v>509625.4</v>
      </c>
      <c r="T485" s="66">
        <f>IFERROR(__xludf.DUMMYFUNCTION("IF(COUNTA(Q485:Q1350)=0,"""",IF(REGEXMATCH(INDEX(FILTER(Q$4:Q485,Q$4:Q485&lt;&gt;""""),ROWS(FILTER(Q$4:Q485,Q$4:Q485&lt;&gt;""""))),""^Sell_""),INDEX(FILTER(T$4:T484,Q$4:Q484&lt;&gt;""""),ROWS(FILTER(Q$4:Q484,Q$4:Q484&lt;&gt;""""))),$AD$5+S485))"),509825.4)</f>
        <v>509825.4</v>
      </c>
      <c r="U485" s="10">
        <f>IFERROR(__xludf.DUMMYFUNCTION("IF(COUNTA(Q485:Q1350)=0,"""",IF(Q485="""",0,IF(REGEXMATCH(Q485,""^Sell_""),-ROUNDDOWN(ROUNDUP(INDEX(Upgrades!$C$3:$C$13,MATCH(SUBSTITUTE(Q485,""Sell_"",""""),Upgrades!$B$3:$B$13,0))*1.15^(COUNTIF(Q$4:Q484,SUBSTITUTE(Q485,""Sell_"",""""))-COUNTIF(Q$4:Q484,"&amp;"""Sell_""&amp;SUBSTITUTE(Q485,""Sell_"",""""))))/2),ROUNDUP(INDEX(Upgrades!$C$3:$C$13,MATCH(Q485,Upgrades!$B$3:$B$13,0))*1.15^(COUNTIF(Q$4:Q484,Q485)-COUNTIF(Q$4:Q484,""Sell_""&amp;Q485))))))"),52900.0)</f>
        <v>52900</v>
      </c>
      <c r="V485" s="10">
        <f t="shared" si="11"/>
        <v>52900</v>
      </c>
      <c r="W485" s="68">
        <f t="shared" si="12"/>
        <v>6415.888968</v>
      </c>
      <c r="X485" s="59" t="str">
        <f t="shared" si="13"/>
        <v>1h 46m 55s</v>
      </c>
      <c r="Y485" s="69">
        <f t="shared" si="14"/>
        <v>811538376</v>
      </c>
      <c r="Z485" s="11"/>
    </row>
    <row r="486">
      <c r="A486" s="8"/>
      <c r="B486" s="56" t="str">
        <f t="shared" si="2"/>
        <v/>
      </c>
      <c r="C486" s="57"/>
      <c r="D486" s="10" t="str">
        <f>IFERROR(__xludf.DUMMYFUNCTION("IF(COUNTA(C486:C1350)=0,"""",IF(ISBLANK(C486),FALSE,IF(NOT(COUNTIF($AA$24:$AA$34,SUBSTITUTE(C486,""Sell_"",""""))),1,IF(REGEXMATCH(C486,""Sell_""),IF(COUNTIF(C$4:C486,SUBSTITUTE(C486,""Sell_"",""""))-COUNTIF(C$4:C485,C486)&lt;1,1),FALSE))))"),"")</f>
        <v/>
      </c>
      <c r="E486" s="59" t="str">
        <f t="array" ref="E486">IF(COUNTA(C486:C1350)=0,"",SUM((COUNTIF(C$4:C486,Upgrades!$B$3:$B$13)-COUNTIF(C$4:C486,"Sell_"&amp;Upgrades!$B$3:$B$13))*Upgrades!$D$3:$D$13))</f>
        <v/>
      </c>
      <c r="F486" s="66" t="str">
        <f>IFERROR(__xludf.DUMMYFUNCTION("IF(COUNTA(C486:C1350)=0,"""",IF(REGEXMATCH(INDEX(FILTER(C$4:C486,C$4:C486&lt;&gt;""""),ROWS(FILTER(C$4:C486,C$4:C486&lt;&gt;""""))),""^Sell_""),INDEX(FILTER(F$4:F485,C$4:C485&lt;&gt;""""),ROWS(FILTER(C$4:C485,C$4:C485&lt;&gt;""""))),$AC$5+E486))"),"")</f>
        <v/>
      </c>
      <c r="G486" s="10" t="str">
        <f>IFERROR(__xludf.DUMMYFUNCTION("IF(COUNTA(C486:C1350)=0,"""",IF(C486="""",0,IF(REGEXMATCH(C486,""^Sell_""),-ROUNDDOWN(ROUNDUP(INDEX(Upgrades!$C$3:$C$13,MATCH(SUBSTITUTE(C486,""Sell_"",""""),Upgrades!$B$3:$B$13,0))*1.15^(COUNTIF(C$4:C485,SUBSTITUTE(C486,""Sell_"",""""))-COUNTIF(C$4:C485,"&amp;"""Sell_""&amp;SUBSTITUTE(C486,""Sell_"",""""))))/2),ROUNDUP(INDEX(Upgrades!$C$3:$C$13,MATCH(C486,Upgrades!$B$3:$B$13,0))*1.15^(COUNTIF(C$4:C485,C486)-COUNTIF(C$4:C485,""Sell_""&amp;C486))))))"),"")</f>
        <v/>
      </c>
      <c r="H486" s="10" t="str">
        <f t="shared" si="3"/>
        <v/>
      </c>
      <c r="I486" s="68" t="str">
        <f t="shared" si="4"/>
        <v/>
      </c>
      <c r="J486" s="59" t="str">
        <f t="shared" si="5"/>
        <v/>
      </c>
      <c r="K486" s="69" t="str">
        <f t="shared" si="6"/>
        <v/>
      </c>
      <c r="L486" s="60">
        <f t="shared" si="7"/>
        <v>-198.49952</v>
      </c>
      <c r="M486" s="61">
        <f>IFERROR(__xludf.DUMMYFUNCTION("IFS(AND(COUNTA(C486:C1350)=0,COUNTA(Q486:Q1350)=0),"""",OR(AND(K486&gt;=1000000000,OR(Y486&gt;=1000000000,COUNTA(Q486:Q1350)=0)),OR(Y486&gt;=1000000000,AND(COUNTA(C486:C1350)=0,P$3=TRUE))),
ROUNDDOWN((AB$1-AC$1)*MAX(INDEX(T$4:T1350,MATCH(LARGE(FILTER(Y$4:Y1350,Y$4"&amp;":Y1350&lt;1000000000),1),Y$4:Y1350)),INDEX(F$4:F1350,MATCH(LARGE(FILTER(K$4:K1350,K$4:K1350&lt;1000000000),1),K$4:K1350)))),AND(K486&lt;1000000000,COUNTA(C486:C1350)&gt;0,P$3=FALSE),
ROUNDDOWN(INDEX(Y$4:Y1350,MATCH(LARGE(FILTER(W$4:W1350,W$4:W1350&lt;=I486),1),W$4:W1350"&amp;"))+(I486-LARGE(FILTER(W$4:W1350,W$4:W1350&lt;=I486),1))*INDEX(T$4:T1350,MATCH(LARGE(FILTER(W$4:W1350,W$4:W1350&lt;=I486),1),W$4:W1350))-K486),1,
ROUNDDOWN(Y486-INDEX(K$4:K1350,MATCH(LARGE(FILTER(I$4:I1350,I$4:I1350&lt;=W486),1),I$4:I1350))-(W486-LARGE(FILTER(I$4:I"&amp;"1350,I$4:I1350&lt;=W486),1))*INDEX(F$4:F1350,MATCH(LARGE(FILTER(I$4:I1350,I$4:I1350&lt;=W486),1),I$4:I1350))))"),1.016005E8)</f>
        <v>101600500</v>
      </c>
      <c r="N486" s="60">
        <f t="shared" si="8"/>
        <v>-198.49952</v>
      </c>
      <c r="O486" s="61" t="str">
        <f t="shared" si="9"/>
        <v>101,6M</v>
      </c>
      <c r="P486" s="56">
        <f t="shared" si="10"/>
        <v>2</v>
      </c>
      <c r="Q486" s="105" t="s">
        <v>9</v>
      </c>
      <c r="R486" s="10" t="b">
        <f>IFERROR(__xludf.DUMMYFUNCTION("IF(COUNTA(Q486:Q1350)=0,"""",IF(ISBLANK(Q486),FALSE,IF(NOT(COUNTIF($AA$24:$AA$34,SUBSTITUTE(Q486,""Sell_"",""""))),1,IF(REGEXMATCH(Q486,""Sell_""),IF(COUNTIF(Q$4:Q486,SUBSTITUTE(Q486,""Sell_"",""""))-COUNTIF(Q$4:Q485,Q486)&lt;1,1),FALSE))))"),FALSE)</f>
        <v>0</v>
      </c>
      <c r="S486" s="59">
        <f t="array" ref="S486">IF(COUNTA(Q486:Q1350)=0,"",SUM((COUNTIF(Q$4:Q486,Upgrades!$B$3:$B$13)-COUNTIF(Q$4:Q486,"Sell_"&amp;Upgrades!$B$3:$B$13))*Upgrades!$D$3:$D$13))</f>
        <v>510025.4</v>
      </c>
      <c r="T486" s="66">
        <f>IFERROR(__xludf.DUMMYFUNCTION("IF(COUNTA(Q486:Q1350)=0,"""",IF(REGEXMATCH(INDEX(FILTER(Q$4:Q486,Q$4:Q486&lt;&gt;""""),ROWS(FILTER(Q$4:Q486,Q$4:Q486&lt;&gt;""""))),""^Sell_""),INDEX(FILTER(T$4:T485,Q$4:Q485&lt;&gt;""""),ROWS(FILTER(Q$4:Q485,Q$4:Q485&lt;&gt;""""))),$AD$5+S486))"),510225.4)</f>
        <v>510225.4</v>
      </c>
      <c r="U486" s="10">
        <f>IFERROR(__xludf.DUMMYFUNCTION("IF(COUNTA(Q486:Q1350)=0,"""",IF(Q486="""",0,IF(REGEXMATCH(Q486,""^Sell_""),-ROUNDDOWN(ROUNDUP(INDEX(Upgrades!$C$3:$C$13,MATCH(SUBSTITUTE(Q486,""Sell_"",""""),Upgrades!$B$3:$B$13,0))*1.15^(COUNTIF(Q$4:Q485,SUBSTITUTE(Q486,""Sell_"",""""))-COUNTIF(Q$4:Q485,"&amp;"""Sell_""&amp;SUBSTITUTE(Q486,""Sell_"",""""))))/2),ROUNDUP(INDEX(Upgrades!$C$3:$C$13,MATCH(Q486,Upgrades!$B$3:$B$13,0))*1.15^(COUNTIF(Q$4:Q485,Q486)-COUNTIF(Q$4:Q485,""Sell_""&amp;Q486))))))"),230000.0)</f>
        <v>230000</v>
      </c>
      <c r="V486" s="10">
        <f t="shared" si="11"/>
        <v>230000</v>
      </c>
      <c r="W486" s="68">
        <f t="shared" si="12"/>
        <v>6416.340103</v>
      </c>
      <c r="X486" s="59" t="str">
        <f t="shared" si="13"/>
        <v>1h 46m 56s</v>
      </c>
      <c r="Y486" s="69">
        <f t="shared" si="14"/>
        <v>811768376</v>
      </c>
      <c r="Z486" s="11"/>
    </row>
    <row r="487">
      <c r="A487" s="8"/>
      <c r="B487" s="56" t="str">
        <f t="shared" si="2"/>
        <v/>
      </c>
      <c r="C487" s="57"/>
      <c r="D487" s="10" t="str">
        <f>IFERROR(__xludf.DUMMYFUNCTION("IF(COUNTA(C487:C1350)=0,"""",IF(ISBLANK(C487),FALSE,IF(NOT(COUNTIF($AA$24:$AA$34,SUBSTITUTE(C487,""Sell_"",""""))),1,IF(REGEXMATCH(C487,""Sell_""),IF(COUNTIF(C$4:C487,SUBSTITUTE(C487,""Sell_"",""""))-COUNTIF(C$4:C486,C487)&lt;1,1),FALSE))))"),"")</f>
        <v/>
      </c>
      <c r="E487" s="59" t="str">
        <f t="array" ref="E487">IF(COUNTA(C487:C1350)=0,"",SUM((COUNTIF(C$4:C487,Upgrades!$B$3:$B$13)-COUNTIF(C$4:C487,"Sell_"&amp;Upgrades!$B$3:$B$13))*Upgrades!$D$3:$D$13))</f>
        <v/>
      </c>
      <c r="F487" s="66" t="str">
        <f>IFERROR(__xludf.DUMMYFUNCTION("IF(COUNTA(C487:C1350)=0,"""",IF(REGEXMATCH(INDEX(FILTER(C$4:C487,C$4:C487&lt;&gt;""""),ROWS(FILTER(C$4:C487,C$4:C487&lt;&gt;""""))),""^Sell_""),INDEX(FILTER(F$4:F486,C$4:C486&lt;&gt;""""),ROWS(FILTER(C$4:C486,C$4:C486&lt;&gt;""""))),$AC$5+E487))"),"")</f>
        <v/>
      </c>
      <c r="G487" s="10" t="str">
        <f>IFERROR(__xludf.DUMMYFUNCTION("IF(COUNTA(C487:C1350)=0,"""",IF(C487="""",0,IF(REGEXMATCH(C487,""^Sell_""),-ROUNDDOWN(ROUNDUP(INDEX(Upgrades!$C$3:$C$13,MATCH(SUBSTITUTE(C487,""Sell_"",""""),Upgrades!$B$3:$B$13,0))*1.15^(COUNTIF(C$4:C486,SUBSTITUTE(C487,""Sell_"",""""))-COUNTIF(C$4:C486,"&amp;"""Sell_""&amp;SUBSTITUTE(C487,""Sell_"",""""))))/2),ROUNDUP(INDEX(Upgrades!$C$3:$C$13,MATCH(C487,Upgrades!$B$3:$B$13,0))*1.15^(COUNTIF(C$4:C486,C487)-COUNTIF(C$4:C486,""Sell_""&amp;C487))))))"),"")</f>
        <v/>
      </c>
      <c r="H487" s="10" t="str">
        <f t="shared" si="3"/>
        <v/>
      </c>
      <c r="I487" s="68" t="str">
        <f t="shared" si="4"/>
        <v/>
      </c>
      <c r="J487" s="59" t="str">
        <f t="shared" si="5"/>
        <v/>
      </c>
      <c r="K487" s="69" t="str">
        <f t="shared" si="6"/>
        <v/>
      </c>
      <c r="L487" s="60">
        <f t="shared" si="7"/>
        <v>-198.49719</v>
      </c>
      <c r="M487" s="61">
        <f>IFERROR(__xludf.DUMMYFUNCTION("IFS(AND(COUNTA(C487:C1350)=0,COUNTA(Q487:Q1350)=0),"""",OR(AND(K487&gt;=1000000000,OR(Y487&gt;=1000000000,COUNTA(Q487:Q1350)=0)),OR(Y487&gt;=1000000000,AND(COUNTA(C487:C1350)=0,P$3=TRUE))),
ROUNDDOWN((AB$1-AC$1)*MAX(INDEX(T$4:T1350,MATCH(LARGE(FILTER(Y$4:Y1350,Y$4"&amp;":Y1350&lt;1000000000),1),Y$4:Y1350)),INDEX(F$4:F1350,MATCH(LARGE(FILTER(K$4:K1350,K$4:K1350&lt;1000000000),1),K$4:K1350)))),AND(K487&lt;1000000000,COUNTA(C487:C1350)&gt;0,P$3=FALSE),
ROUNDDOWN(INDEX(Y$4:Y1350,MATCH(LARGE(FILTER(W$4:W1350,W$4:W1350&lt;=I487),1),W$4:W1350"&amp;"))+(I487-LARGE(FILTER(W$4:W1350,W$4:W1350&lt;=I487),1))*INDEX(T$4:T1350,MATCH(LARGE(FILTER(W$4:W1350,W$4:W1350&lt;=I487),1),W$4:W1350))-K487),1,
ROUNDDOWN(Y487-INDEX(K$4:K1350,MATCH(LARGE(FILTER(I$4:I1350,I$4:I1350&lt;=W487),1),I$4:I1350))-(W487-LARGE(FILTER(I$4:I"&amp;"1350,I$4:I1350&lt;=W487),1))*INDEX(F$4:F1350,MATCH(LARGE(FILTER(I$4:I1350,I$4:I1350&lt;=W487),1),I$4:I1350))))"),1.0160502E8)</f>
        <v>101605020</v>
      </c>
      <c r="N487" s="60">
        <f t="shared" si="8"/>
        <v>-198.49719</v>
      </c>
      <c r="O487" s="61" t="str">
        <f t="shared" si="9"/>
        <v>101,6M</v>
      </c>
      <c r="P487" s="56">
        <f t="shared" si="10"/>
        <v>7</v>
      </c>
      <c r="Q487" s="105" t="s">
        <v>7</v>
      </c>
      <c r="R487" s="10" t="b">
        <f>IFERROR(__xludf.DUMMYFUNCTION("IF(COUNTA(Q487:Q1350)=0,"""",IF(ISBLANK(Q487),FALSE,IF(NOT(COUNTIF($AA$24:$AA$34,SUBSTITUTE(Q487,""Sell_"",""""))),1,IF(REGEXMATCH(Q487,""Sell_""),IF(COUNTIF(Q$4:Q487,SUBSTITUTE(Q487,""Sell_"",""""))-COUNTIF(Q$4:Q486,Q487)&lt;1,1),FALSE))))"),FALSE)</f>
        <v>0</v>
      </c>
      <c r="S487" s="59">
        <f t="array" ref="S487">IF(COUNTA(Q487:Q1350)=0,"",SUM((COUNTIF(Q$4:Q487,Upgrades!$B$3:$B$13)-COUNTIF(Q$4:Q487,"Sell_"&amp;Upgrades!$B$3:$B$13))*Upgrades!$D$3:$D$13))</f>
        <v>510065.4</v>
      </c>
      <c r="T487" s="66">
        <f>IFERROR(__xludf.DUMMYFUNCTION("IF(COUNTA(Q487:Q1350)=0,"""",IF(REGEXMATCH(INDEX(FILTER(Q$4:Q487,Q$4:Q487&lt;&gt;""""),ROWS(FILTER(Q$4:Q487,Q$4:Q487&lt;&gt;""""))),""^Sell_""),INDEX(FILTER(T$4:T486,Q$4:Q486&lt;&gt;""""),ROWS(FILTER(Q$4:Q486,Q$4:Q486&lt;&gt;""""))),$AD$5+S487))"),510265.4)</f>
        <v>510265.4</v>
      </c>
      <c r="U487" s="10">
        <f>IFERROR(__xludf.DUMMYFUNCTION("IF(COUNTA(Q487:Q1350)=0,"""",IF(Q487="""",0,IF(REGEXMATCH(Q487,""^Sell_""),-ROUNDDOWN(ROUNDUP(INDEX(Upgrades!$C$3:$C$13,MATCH(SUBSTITUTE(Q487,""Sell_"",""""),Upgrades!$B$3:$B$13,0))*1.15^(COUNTIF(Q$4:Q486,SUBSTITUTE(Q487,""Sell_"",""""))-COUNTIF(Q$4:Q486,"&amp;"""Sell_""&amp;SUBSTITUTE(Q487,""Sell_"",""""))))/2),ROUNDUP(INDEX(Upgrades!$C$3:$C$13,MATCH(Q487,Upgrades!$B$3:$B$13,0))*1.15^(COUNTIF(Q$4:Q486,Q487)-COUNTIF(Q$4:Q486,""Sell_""&amp;Q487))))))"),23131.0)</f>
        <v>23131</v>
      </c>
      <c r="V487" s="10">
        <f t="shared" si="11"/>
        <v>23131</v>
      </c>
      <c r="W487" s="68">
        <f t="shared" si="12"/>
        <v>6416.385438</v>
      </c>
      <c r="X487" s="59" t="str">
        <f t="shared" si="13"/>
        <v>1h 46m 56s</v>
      </c>
      <c r="Y487" s="69">
        <f t="shared" si="14"/>
        <v>811791507</v>
      </c>
      <c r="Z487" s="11"/>
    </row>
    <row r="488">
      <c r="A488" s="8"/>
      <c r="B488" s="56" t="str">
        <f t="shared" si="2"/>
        <v/>
      </c>
      <c r="C488" s="57"/>
      <c r="D488" s="10" t="str">
        <f>IFERROR(__xludf.DUMMYFUNCTION("IF(COUNTA(C488:C1350)=0,"""",IF(ISBLANK(C488),FALSE,IF(NOT(COUNTIF($AA$24:$AA$34,SUBSTITUTE(C488,""Sell_"",""""))),1,IF(REGEXMATCH(C488,""Sell_""),IF(COUNTIF(C$4:C488,SUBSTITUTE(C488,""Sell_"",""""))-COUNTIF(C$4:C487,C488)&lt;1,1),FALSE))))"),"")</f>
        <v/>
      </c>
      <c r="E488" s="59" t="str">
        <f t="array" ref="E488">IF(COUNTA(C488:C1350)=0,"",SUM((COUNTIF(C$4:C488,Upgrades!$B$3:$B$13)-COUNTIF(C$4:C488,"Sell_"&amp;Upgrades!$B$3:$B$13))*Upgrades!$D$3:$D$13))</f>
        <v/>
      </c>
      <c r="F488" s="66" t="str">
        <f>IFERROR(__xludf.DUMMYFUNCTION("IF(COUNTA(C488:C1350)=0,"""",IF(REGEXMATCH(INDEX(FILTER(C$4:C488,C$4:C488&lt;&gt;""""),ROWS(FILTER(C$4:C488,C$4:C488&lt;&gt;""""))),""^Sell_""),INDEX(FILTER(F$4:F487,C$4:C487&lt;&gt;""""),ROWS(FILTER(C$4:C487,C$4:C487&lt;&gt;""""))),$AC$5+E488))"),"")</f>
        <v/>
      </c>
      <c r="G488" s="10" t="str">
        <f>IFERROR(__xludf.DUMMYFUNCTION("IF(COUNTA(C488:C1350)=0,"""",IF(C488="""",0,IF(REGEXMATCH(C488,""^Sell_""),-ROUNDDOWN(ROUNDUP(INDEX(Upgrades!$C$3:$C$13,MATCH(SUBSTITUTE(C488,""Sell_"",""""),Upgrades!$B$3:$B$13,0))*1.15^(COUNTIF(C$4:C487,SUBSTITUTE(C488,""Sell_"",""""))-COUNTIF(C$4:C487,"&amp;"""Sell_""&amp;SUBSTITUTE(C488,""Sell_"",""""))))/2),ROUNDUP(INDEX(Upgrades!$C$3:$C$13,MATCH(C488,Upgrades!$B$3:$B$13,0))*1.15^(COUNTIF(C$4:C487,C488)-COUNTIF(C$4:C487,""Sell_""&amp;C488))))))"),"")</f>
        <v/>
      </c>
      <c r="H488" s="10" t="str">
        <f t="shared" si="3"/>
        <v/>
      </c>
      <c r="I488" s="68" t="str">
        <f t="shared" si="4"/>
        <v/>
      </c>
      <c r="J488" s="59" t="str">
        <f t="shared" si="5"/>
        <v/>
      </c>
      <c r="K488" s="69" t="str">
        <f t="shared" si="6"/>
        <v/>
      </c>
      <c r="L488" s="60">
        <f t="shared" si="7"/>
        <v>-198.49105</v>
      </c>
      <c r="M488" s="61">
        <f>IFERROR(__xludf.DUMMYFUNCTION("IFS(AND(COUNTA(C488:C1350)=0,COUNTA(Q488:Q1350)=0),"""",OR(AND(K488&gt;=1000000000,OR(Y488&gt;=1000000000,COUNTA(Q488:Q1350)=0)),OR(Y488&gt;=1000000000,AND(COUNTA(C488:C1350)=0,P$3=TRUE))),
ROUNDDOWN((AB$1-AC$1)*MAX(INDEX(T$4:T1350,MATCH(LARGE(FILTER(Y$4:Y1350,Y$4"&amp;":Y1350&lt;1000000000),1),Y$4:Y1350)),INDEX(F$4:F1350,MATCH(LARGE(FILTER(K$4:K1350,K$4:K1350&lt;1000000000),1),K$4:K1350)))),AND(K488&lt;1000000000,COUNTA(C488:C1350)&gt;0,P$3=FALSE),
ROUNDDOWN(INDEX(Y$4:Y1350,MATCH(LARGE(FILTER(W$4:W1350,W$4:W1350&lt;=I488),1),W$4:W1350"&amp;"))+(I488-LARGE(FILTER(W$4:W1350,W$4:W1350&lt;=I488),1))*INDEX(T$4:T1350,MATCH(LARGE(FILTER(W$4:W1350,W$4:W1350&lt;=I488),1),W$4:W1350))-K488),1,
ROUNDDOWN(Y488-INDEX(K$4:K1350,MATCH(LARGE(FILTER(I$4:I1350,I$4:I1350&lt;=W488),1),I$4:I1350))-(W488-LARGE(FILTER(I$4:I"&amp;"1350,I$4:I1350&lt;=W488),1))*INDEX(F$4:F1350,MATCH(LARGE(FILTER(I$4:I1350,I$4:I1350&lt;=W488),1),I$4:I1350))))"),1.0161691E8)</f>
        <v>101616910</v>
      </c>
      <c r="N488" s="60">
        <f t="shared" si="8"/>
        <v>-198.49105</v>
      </c>
      <c r="O488" s="61" t="str">
        <f t="shared" si="9"/>
        <v>101,6M</v>
      </c>
      <c r="P488" s="56">
        <f t="shared" si="10"/>
        <v>4</v>
      </c>
      <c r="Q488" s="105" t="s">
        <v>8</v>
      </c>
      <c r="R488" s="10" t="b">
        <f>IFERROR(__xludf.DUMMYFUNCTION("IF(COUNTA(Q488:Q1350)=0,"""",IF(ISBLANK(Q488),FALSE,IF(NOT(COUNTIF($AA$24:$AA$34,SUBSTITUTE(Q488,""Sell_"",""""))),1,IF(REGEXMATCH(Q488,""Sell_""),IF(COUNTIF(Q$4:Q488,SUBSTITUTE(Q488,""Sell_"",""""))-COUNTIF(Q$4:Q487,Q488)&lt;1,1),FALSE))))"),FALSE)</f>
        <v>0</v>
      </c>
      <c r="S488" s="59">
        <f t="array" ref="S488">IF(COUNTA(Q488:Q1350)=0,"",SUM((COUNTIF(Q$4:Q488,Upgrades!$B$3:$B$13)-COUNTIF(Q$4:Q488,"Sell_"&amp;Upgrades!$B$3:$B$13))*Upgrades!$D$3:$D$13))</f>
        <v>510165.4</v>
      </c>
      <c r="T488" s="66">
        <f>IFERROR(__xludf.DUMMYFUNCTION("IF(COUNTA(Q488:Q1350)=0,"""",IF(REGEXMATCH(INDEX(FILTER(Q$4:Q488,Q$4:Q488&lt;&gt;""""),ROWS(FILTER(Q$4:Q488,Q$4:Q488&lt;&gt;""""))),""^Sell_""),INDEX(FILTER(T$4:T487,Q$4:Q487&lt;&gt;""""),ROWS(FILTER(Q$4:Q487,Q$4:Q487&lt;&gt;""""))),$AD$5+S488))"),510365.4)</f>
        <v>510365.4</v>
      </c>
      <c r="U488" s="10">
        <f>IFERROR(__xludf.DUMMYFUNCTION("IF(COUNTA(Q488:Q1350)=0,"""",IF(Q488="""",0,IF(REGEXMATCH(Q488,""^Sell_""),-ROUNDDOWN(ROUNDUP(INDEX(Upgrades!$C$3:$C$13,MATCH(SUBSTITUTE(Q488,""Sell_"",""""),Upgrades!$B$3:$B$13,0))*1.15^(COUNTIF(Q$4:Q487,SUBSTITUTE(Q488,""Sell_"",""""))-COUNTIF(Q$4:Q487,"&amp;"""Sell_""&amp;SUBSTITUTE(Q488,""Sell_"",""""))))/2),ROUNDUP(INDEX(Upgrades!$C$3:$C$13,MATCH(Q488,Upgrades!$B$3:$B$13,0))*1.15^(COUNTIF(Q$4:Q487,Q488)-COUNTIF(Q$4:Q487,""Sell_""&amp;Q488))))))"),60835.0)</f>
        <v>60835</v>
      </c>
      <c r="V488" s="10">
        <f t="shared" si="11"/>
        <v>60835</v>
      </c>
      <c r="W488" s="68">
        <f t="shared" si="12"/>
        <v>6416.50466</v>
      </c>
      <c r="X488" s="59" t="str">
        <f t="shared" si="13"/>
        <v>1h 46m 56s</v>
      </c>
      <c r="Y488" s="69">
        <f t="shared" si="14"/>
        <v>811852342</v>
      </c>
      <c r="Z488" s="11"/>
    </row>
    <row r="489">
      <c r="A489" s="8"/>
      <c r="B489" s="56" t="str">
        <f t="shared" si="2"/>
        <v/>
      </c>
      <c r="C489" s="57"/>
      <c r="D489" s="10" t="str">
        <f>IFERROR(__xludf.DUMMYFUNCTION("IF(COUNTA(C489:C1350)=0,"""",IF(ISBLANK(C489),FALSE,IF(NOT(COUNTIF($AA$24:$AA$34,SUBSTITUTE(C489,""Sell_"",""""))),1,IF(REGEXMATCH(C489,""Sell_""),IF(COUNTIF(C$4:C489,SUBSTITUTE(C489,""Sell_"",""""))-COUNTIF(C$4:C488,C489)&lt;1,1),FALSE))))"),"")</f>
        <v/>
      </c>
      <c r="E489" s="59" t="str">
        <f t="array" ref="E489">IF(COUNTA(C489:C1350)=0,"",SUM((COUNTIF(C$4:C489,Upgrades!$B$3:$B$13)-COUNTIF(C$4:C489,"Sell_"&amp;Upgrades!$B$3:$B$13))*Upgrades!$D$3:$D$13))</f>
        <v/>
      </c>
      <c r="F489" s="66" t="str">
        <f>IFERROR(__xludf.DUMMYFUNCTION("IF(COUNTA(C489:C1350)=0,"""",IF(REGEXMATCH(INDEX(FILTER(C$4:C489,C$4:C489&lt;&gt;""""),ROWS(FILTER(C$4:C489,C$4:C489&lt;&gt;""""))),""^Sell_""),INDEX(FILTER(F$4:F488,C$4:C488&lt;&gt;""""),ROWS(FILTER(C$4:C488,C$4:C488&lt;&gt;""""))),$AC$5+E489))"),"")</f>
        <v/>
      </c>
      <c r="G489" s="10" t="str">
        <f>IFERROR(__xludf.DUMMYFUNCTION("IF(COUNTA(C489:C1350)=0,"""",IF(C489="""",0,IF(REGEXMATCH(C489,""^Sell_""),-ROUNDDOWN(ROUNDUP(INDEX(Upgrades!$C$3:$C$13,MATCH(SUBSTITUTE(C489,""Sell_"",""""),Upgrades!$B$3:$B$13,0))*1.15^(COUNTIF(C$4:C488,SUBSTITUTE(C489,""Sell_"",""""))-COUNTIF(C$4:C488,"&amp;"""Sell_""&amp;SUBSTITUTE(C489,""Sell_"",""""))))/2),ROUNDUP(INDEX(Upgrades!$C$3:$C$13,MATCH(C489,Upgrades!$B$3:$B$13,0))*1.15^(COUNTIF(C$4:C488,C489)-COUNTIF(C$4:C488,""Sell_""&amp;C489))))))"),"")</f>
        <v/>
      </c>
      <c r="H489" s="10" t="str">
        <f t="shared" si="3"/>
        <v/>
      </c>
      <c r="I489" s="68" t="str">
        <f t="shared" si="4"/>
        <v/>
      </c>
      <c r="J489" s="59" t="str">
        <f t="shared" si="5"/>
        <v/>
      </c>
      <c r="K489" s="69" t="str">
        <f t="shared" si="6"/>
        <v/>
      </c>
      <c r="L489" s="60">
        <f t="shared" si="7"/>
        <v>-198.46446</v>
      </c>
      <c r="M489" s="61">
        <f>IFERROR(__xludf.DUMMYFUNCTION("IFS(AND(COUNTA(C489:C1350)=0,COUNTA(Q489:Q1350)=0),"""",OR(AND(K489&gt;=1000000000,OR(Y489&gt;=1000000000,COUNTA(Q489:Q1350)=0)),OR(Y489&gt;=1000000000,AND(COUNTA(C489:C1350)=0,P$3=TRUE))),
ROUNDDOWN((AB$1-AC$1)*MAX(INDEX(T$4:T1350,MATCH(LARGE(FILTER(Y$4:Y1350,Y$4"&amp;":Y1350&lt;1000000000),1),Y$4:Y1350)),INDEX(F$4:F1350,MATCH(LARGE(FILTER(K$4:K1350,K$4:K1350&lt;1000000000),1),K$4:K1350)))),AND(K489&lt;1000000000,COUNTA(C489:C1350)&gt;0,P$3=FALSE),
ROUNDDOWN(INDEX(Y$4:Y1350,MATCH(LARGE(FILTER(W$4:W1350,W$4:W1350&lt;=I489),1),W$4:W1350"&amp;"))+(I489-LARGE(FILTER(W$4:W1350,W$4:W1350&lt;=I489),1))*INDEX(T$4:T1350,MATCH(LARGE(FILTER(W$4:W1350,W$4:W1350&lt;=I489),1),W$4:W1350))-K489),1,
ROUNDDOWN(Y489-INDEX(K$4:K1350,MATCH(LARGE(FILTER(I$4:I1350,I$4:I1350&lt;=W489),1),I$4:I1350))-(W489-LARGE(FILTER(I$4:I"&amp;"1350,I$4:I1350&lt;=W489),1))*INDEX(F$4:F1350,MATCH(LARGE(FILTER(I$4:I1350,I$4:I1350&lt;=W489),1),I$4:I1350))))"),1.0166865E8)</f>
        <v>101668650</v>
      </c>
      <c r="N489" s="60">
        <f t="shared" si="8"/>
        <v>-198.46446</v>
      </c>
      <c r="O489" s="61" t="str">
        <f t="shared" si="9"/>
        <v>101,7M</v>
      </c>
      <c r="P489" s="56">
        <f t="shared" si="10"/>
        <v>3</v>
      </c>
      <c r="Q489" s="105" t="s">
        <v>9</v>
      </c>
      <c r="R489" s="10" t="b">
        <f>IFERROR(__xludf.DUMMYFUNCTION("IF(COUNTA(Q489:Q1350)=0,"""",IF(ISBLANK(Q489),FALSE,IF(NOT(COUNTIF($AA$24:$AA$34,SUBSTITUTE(Q489,""Sell_"",""""))),1,IF(REGEXMATCH(Q489,""Sell_""),IF(COUNTIF(Q$4:Q489,SUBSTITUTE(Q489,""Sell_"",""""))-COUNTIF(Q$4:Q488,Q489)&lt;1,1),FALSE))))"),FALSE)</f>
        <v>0</v>
      </c>
      <c r="S489" s="59">
        <f t="array" ref="S489">IF(COUNTA(Q489:Q1350)=0,"",SUM((COUNTIF(Q$4:Q489,Upgrades!$B$3:$B$13)-COUNTIF(Q$4:Q489,"Sell_"&amp;Upgrades!$B$3:$B$13))*Upgrades!$D$3:$D$13))</f>
        <v>510565.4</v>
      </c>
      <c r="T489" s="66">
        <f>IFERROR(__xludf.DUMMYFUNCTION("IF(COUNTA(Q489:Q1350)=0,"""",IF(REGEXMATCH(INDEX(FILTER(Q$4:Q489,Q$4:Q489&lt;&gt;""""),ROWS(FILTER(Q$4:Q489,Q$4:Q489&lt;&gt;""""))),""^Sell_""),INDEX(FILTER(T$4:T488,Q$4:Q488&lt;&gt;""""),ROWS(FILTER(Q$4:Q488,Q$4:Q488&lt;&gt;""""))),$AD$5+S489))"),510765.4)</f>
        <v>510765.4</v>
      </c>
      <c r="U489" s="10">
        <f>IFERROR(__xludf.DUMMYFUNCTION("IF(COUNTA(Q489:Q1350)=0,"""",IF(Q489="""",0,IF(REGEXMATCH(Q489,""^Sell_""),-ROUNDDOWN(ROUNDUP(INDEX(Upgrades!$C$3:$C$13,MATCH(SUBSTITUTE(Q489,""Sell_"",""""),Upgrades!$B$3:$B$13,0))*1.15^(COUNTIF(Q$4:Q488,SUBSTITUTE(Q489,""Sell_"",""""))-COUNTIF(Q$4:Q488,"&amp;"""Sell_""&amp;SUBSTITUTE(Q489,""Sell_"",""""))))/2),ROUNDUP(INDEX(Upgrades!$C$3:$C$13,MATCH(Q489,Upgrades!$B$3:$B$13,0))*1.15^(COUNTIF(Q$4:Q488,Q489)-COUNTIF(Q$4:Q488,""Sell_""&amp;Q489))))))"),264500.0)</f>
        <v>264500</v>
      </c>
      <c r="V489" s="10">
        <f t="shared" si="11"/>
        <v>264500</v>
      </c>
      <c r="W489" s="68">
        <f t="shared" si="12"/>
        <v>6417.022916</v>
      </c>
      <c r="X489" s="59" t="str">
        <f t="shared" si="13"/>
        <v>1h 46m 57s</v>
      </c>
      <c r="Y489" s="69">
        <f t="shared" si="14"/>
        <v>812116842</v>
      </c>
      <c r="Z489" s="11"/>
    </row>
    <row r="490">
      <c r="A490" s="8"/>
      <c r="B490" s="56" t="str">
        <f t="shared" si="2"/>
        <v/>
      </c>
      <c r="C490" s="57"/>
      <c r="D490" s="10" t="str">
        <f>IFERROR(__xludf.DUMMYFUNCTION("IF(COUNTA(C490:C1350)=0,"""",IF(ISBLANK(C490),FALSE,IF(NOT(COUNTIF($AA$24:$AA$34,SUBSTITUTE(C490,""Sell_"",""""))),1,IF(REGEXMATCH(C490,""Sell_""),IF(COUNTIF(C$4:C490,SUBSTITUTE(C490,""Sell_"",""""))-COUNTIF(C$4:C489,C490)&lt;1,1),FALSE))))"),"")</f>
        <v/>
      </c>
      <c r="E490" s="59" t="str">
        <f t="array" ref="E490">IF(COUNTA(C490:C1350)=0,"",SUM((COUNTIF(C$4:C490,Upgrades!$B$3:$B$13)-COUNTIF(C$4:C490,"Sell_"&amp;Upgrades!$B$3:$B$13))*Upgrades!$D$3:$D$13))</f>
        <v/>
      </c>
      <c r="F490" s="66" t="str">
        <f>IFERROR(__xludf.DUMMYFUNCTION("IF(COUNTA(C490:C1350)=0,"""",IF(REGEXMATCH(INDEX(FILTER(C$4:C490,C$4:C490&lt;&gt;""""),ROWS(FILTER(C$4:C490,C$4:C490&lt;&gt;""""))),""^Sell_""),INDEX(FILTER(F$4:F489,C$4:C489&lt;&gt;""""),ROWS(FILTER(C$4:C489,C$4:C489&lt;&gt;""""))),$AC$5+E490))"),"")</f>
        <v/>
      </c>
      <c r="G490" s="10" t="str">
        <f>IFERROR(__xludf.DUMMYFUNCTION("IF(COUNTA(C490:C1350)=0,"""",IF(C490="""",0,IF(REGEXMATCH(C490,""^Sell_""),-ROUNDDOWN(ROUNDUP(INDEX(Upgrades!$C$3:$C$13,MATCH(SUBSTITUTE(C490,""Sell_"",""""),Upgrades!$B$3:$B$13,0))*1.15^(COUNTIF(C$4:C489,SUBSTITUTE(C490,""Sell_"",""""))-COUNTIF(C$4:C489,"&amp;"""Sell_""&amp;SUBSTITUTE(C490,""Sell_"",""""))))/2),ROUNDUP(INDEX(Upgrades!$C$3:$C$13,MATCH(C490,Upgrades!$B$3:$B$13,0))*1.15^(COUNTIF(C$4:C489,C490)-COUNTIF(C$4:C489,""Sell_""&amp;C490))))))"),"")</f>
        <v/>
      </c>
      <c r="H490" s="10" t="str">
        <f t="shared" si="3"/>
        <v/>
      </c>
      <c r="I490" s="68" t="str">
        <f t="shared" si="4"/>
        <v/>
      </c>
      <c r="J490" s="59" t="str">
        <f t="shared" si="5"/>
        <v/>
      </c>
      <c r="K490" s="69" t="str">
        <f t="shared" si="6"/>
        <v/>
      </c>
      <c r="L490" s="60">
        <f t="shared" si="7"/>
        <v>-198.46183</v>
      </c>
      <c r="M490" s="61">
        <f>IFERROR(__xludf.DUMMYFUNCTION("IFS(AND(COUNTA(C490:C1350)=0,COUNTA(Q490:Q1350)=0),"""",OR(AND(K490&gt;=1000000000,OR(Y490&gt;=1000000000,COUNTA(Q490:Q1350)=0)),OR(Y490&gt;=1000000000,AND(COUNTA(C490:C1350)=0,P$3=TRUE))),
ROUNDDOWN((AB$1-AC$1)*MAX(INDEX(T$4:T1350,MATCH(LARGE(FILTER(Y$4:Y1350,Y$4"&amp;":Y1350&lt;1000000000),1),Y$4:Y1350)),INDEX(F$4:F1350,MATCH(LARGE(FILTER(K$4:K1350,K$4:K1350&lt;1000000000),1),K$4:K1350)))),AND(K490&lt;1000000000,COUNTA(C490:C1350)&gt;0,P$3=FALSE),
ROUNDDOWN(INDEX(Y$4:Y1350,MATCH(LARGE(FILTER(W$4:W1350,W$4:W1350&lt;=I490),1),W$4:W1350"&amp;"))+(I490-LARGE(FILTER(W$4:W1350,W$4:W1350&lt;=I490),1))*INDEX(T$4:T1350,MATCH(LARGE(FILTER(W$4:W1350,W$4:W1350&lt;=I490),1),W$4:W1350))-K490),1,
ROUNDDOWN(Y490-INDEX(K$4:K1350,MATCH(LARGE(FILTER(I$4:I1350,I$4:I1350&lt;=W490),1),I$4:I1350))-(W490-LARGE(FILTER(I$4:I"&amp;"1350,I$4:I1350&lt;=W490),1))*INDEX(F$4:F1350,MATCH(LARGE(FILTER(I$4:I1350,I$4:I1350&lt;=W490),1),I$4:I1350))))"),1.01673871E8)</f>
        <v>101673871</v>
      </c>
      <c r="N490" s="60">
        <f t="shared" si="8"/>
        <v>-198.46183</v>
      </c>
      <c r="O490" s="61" t="str">
        <f t="shared" si="9"/>
        <v>101,7M</v>
      </c>
      <c r="P490" s="56">
        <f t="shared" si="10"/>
        <v>8</v>
      </c>
      <c r="Q490" s="105" t="s">
        <v>7</v>
      </c>
      <c r="R490" s="10" t="b">
        <f>IFERROR(__xludf.DUMMYFUNCTION("IF(COUNTA(Q490:Q1350)=0,"""",IF(ISBLANK(Q490),FALSE,IF(NOT(COUNTIF($AA$24:$AA$34,SUBSTITUTE(Q490,""Sell_"",""""))),1,IF(REGEXMATCH(Q490,""Sell_""),IF(COUNTIF(Q$4:Q490,SUBSTITUTE(Q490,""Sell_"",""""))-COUNTIF(Q$4:Q489,Q490)&lt;1,1),FALSE))))"),FALSE)</f>
        <v>0</v>
      </c>
      <c r="S490" s="59">
        <f t="array" ref="S490">IF(COUNTA(Q490:Q1350)=0,"",SUM((COUNTIF(Q$4:Q490,Upgrades!$B$3:$B$13)-COUNTIF(Q$4:Q490,"Sell_"&amp;Upgrades!$B$3:$B$13))*Upgrades!$D$3:$D$13))</f>
        <v>510605.4</v>
      </c>
      <c r="T490" s="66">
        <f>IFERROR(__xludf.DUMMYFUNCTION("IF(COUNTA(Q490:Q1350)=0,"""",IF(REGEXMATCH(INDEX(FILTER(Q$4:Q490,Q$4:Q490&lt;&gt;""""),ROWS(FILTER(Q$4:Q490,Q$4:Q490&lt;&gt;""""))),""^Sell_""),INDEX(FILTER(T$4:T489,Q$4:Q489&lt;&gt;""""),ROWS(FILTER(Q$4:Q489,Q$4:Q489&lt;&gt;""""))),$AD$5+S490))"),510805.4)</f>
        <v>510805.4</v>
      </c>
      <c r="U490" s="10">
        <f>IFERROR(__xludf.DUMMYFUNCTION("IF(COUNTA(Q490:Q1350)=0,"""",IF(Q490="""",0,IF(REGEXMATCH(Q490,""^Sell_""),-ROUNDDOWN(ROUNDUP(INDEX(Upgrades!$C$3:$C$13,MATCH(SUBSTITUTE(Q490,""Sell_"",""""),Upgrades!$B$3:$B$13,0))*1.15^(COUNTIF(Q$4:Q489,SUBSTITUTE(Q490,""Sell_"",""""))-COUNTIF(Q$4:Q489,"&amp;"""Sell_""&amp;SUBSTITUTE(Q490,""Sell_"",""""))))/2),ROUNDUP(INDEX(Upgrades!$C$3:$C$13,MATCH(Q490,Upgrades!$B$3:$B$13,0))*1.15^(COUNTIF(Q$4:Q489,Q490)-COUNTIF(Q$4:Q489,""Sell_""&amp;Q490))))))"),26601.0)</f>
        <v>26601</v>
      </c>
      <c r="V490" s="10">
        <f t="shared" si="11"/>
        <v>26601</v>
      </c>
      <c r="W490" s="68">
        <f t="shared" si="12"/>
        <v>6417.074997</v>
      </c>
      <c r="X490" s="59" t="str">
        <f t="shared" si="13"/>
        <v>1h 46m 57s</v>
      </c>
      <c r="Y490" s="69">
        <f t="shared" si="14"/>
        <v>812143443</v>
      </c>
      <c r="Z490" s="11"/>
    </row>
    <row r="491">
      <c r="A491" s="8"/>
      <c r="B491" s="56" t="str">
        <f t="shared" si="2"/>
        <v/>
      </c>
      <c r="C491" s="57"/>
      <c r="D491" s="10" t="str">
        <f>IFERROR(__xludf.DUMMYFUNCTION("IF(COUNTA(C491:C1350)=0,"""",IF(ISBLANK(C491),FALSE,IF(NOT(COUNTIF($AA$24:$AA$34,SUBSTITUTE(C491,""Sell_"",""""))),1,IF(REGEXMATCH(C491,""Sell_""),IF(COUNTIF(C$4:C491,SUBSTITUTE(C491,""Sell_"",""""))-COUNTIF(C$4:C490,C491)&lt;1,1),FALSE))))"),"")</f>
        <v/>
      </c>
      <c r="E491" s="59" t="str">
        <f t="array" ref="E491">IF(COUNTA(C491:C1350)=0,"",SUM((COUNTIF(C$4:C491,Upgrades!$B$3:$B$13)-COUNTIF(C$4:C491,"Sell_"&amp;Upgrades!$B$3:$B$13))*Upgrades!$D$3:$D$13))</f>
        <v/>
      </c>
      <c r="F491" s="66" t="str">
        <f>IFERROR(__xludf.DUMMYFUNCTION("IF(COUNTA(C491:C1350)=0,"""",IF(REGEXMATCH(INDEX(FILTER(C$4:C491,C$4:C491&lt;&gt;""""),ROWS(FILTER(C$4:C491,C$4:C491&lt;&gt;""""))),""^Sell_""),INDEX(FILTER(F$4:F490,C$4:C490&lt;&gt;""""),ROWS(FILTER(C$4:C490,C$4:C490&lt;&gt;""""))),$AC$5+E491))"),"")</f>
        <v/>
      </c>
      <c r="G491" s="10" t="str">
        <f>IFERROR(__xludf.DUMMYFUNCTION("IF(COUNTA(C491:C1350)=0,"""",IF(C491="""",0,IF(REGEXMATCH(C491,""^Sell_""),-ROUNDDOWN(ROUNDUP(INDEX(Upgrades!$C$3:$C$13,MATCH(SUBSTITUTE(C491,""Sell_"",""""),Upgrades!$B$3:$B$13,0))*1.15^(COUNTIF(C$4:C490,SUBSTITUTE(C491,""Sell_"",""""))-COUNTIF(C$4:C490,"&amp;"""Sell_""&amp;SUBSTITUTE(C491,""Sell_"",""""))))/2),ROUNDUP(INDEX(Upgrades!$C$3:$C$13,MATCH(C491,Upgrades!$B$3:$B$13,0))*1.15^(COUNTIF(C$4:C490,C491)-COUNTIF(C$4:C490,""Sell_""&amp;C491))))))"),"")</f>
        <v/>
      </c>
      <c r="H491" s="10" t="str">
        <f t="shared" si="3"/>
        <v/>
      </c>
      <c r="I491" s="68" t="str">
        <f t="shared" si="4"/>
        <v/>
      </c>
      <c r="J491" s="59" t="str">
        <f t="shared" si="5"/>
        <v/>
      </c>
      <c r="K491" s="69" t="str">
        <f t="shared" si="6"/>
        <v/>
      </c>
      <c r="L491" s="60">
        <f t="shared" si="7"/>
        <v>-198.45492</v>
      </c>
      <c r="M491" s="61">
        <f>IFERROR(__xludf.DUMMYFUNCTION("IFS(AND(COUNTA(C491:C1350)=0,COUNTA(Q491:Q1350)=0),"""",OR(AND(K491&gt;=1000000000,OR(Y491&gt;=1000000000,COUNTA(Q491:Q1350)=0)),OR(Y491&gt;=1000000000,AND(COUNTA(C491:C1350)=0,P$3=TRUE))),
ROUNDDOWN((AB$1-AC$1)*MAX(INDEX(T$4:T1350,MATCH(LARGE(FILTER(Y$4:Y1350,Y$4"&amp;":Y1350&lt;1000000000),1),Y$4:Y1350)),INDEX(F$4:F1350,MATCH(LARGE(FILTER(K$4:K1350,K$4:K1350&lt;1000000000),1),K$4:K1350)))),AND(K491&lt;1000000000,COUNTA(C491:C1350)&gt;0,P$3=FALSE),
ROUNDDOWN(INDEX(Y$4:Y1350,MATCH(LARGE(FILTER(W$4:W1350,W$4:W1350&lt;=I491),1),W$4:W1350"&amp;"))+(I491-LARGE(FILTER(W$4:W1350,W$4:W1350&lt;=I491),1))*INDEX(T$4:T1350,MATCH(LARGE(FILTER(W$4:W1350,W$4:W1350&lt;=I491),1),W$4:W1350))-K491),1,
ROUNDDOWN(Y491-INDEX(K$4:K1350,MATCH(LARGE(FILTER(I$4:I1350,I$4:I1350&lt;=W491),1),I$4:I1350))-(W491-LARGE(FILTER(I$4:I"&amp;"1350,I$4:I1350&lt;=W491),1))*INDEX(F$4:F1350,MATCH(LARGE(FILTER(I$4:I1350,I$4:I1350&lt;=W491),1),I$4:I1350))))"),1.01687605E8)</f>
        <v>101687605</v>
      </c>
      <c r="N491" s="60">
        <f t="shared" si="8"/>
        <v>-198.45492</v>
      </c>
      <c r="O491" s="61" t="str">
        <f t="shared" si="9"/>
        <v>101,7M</v>
      </c>
      <c r="P491" s="56">
        <f t="shared" si="10"/>
        <v>5</v>
      </c>
      <c r="Q491" s="105" t="s">
        <v>8</v>
      </c>
      <c r="R491" s="10" t="b">
        <f>IFERROR(__xludf.DUMMYFUNCTION("IF(COUNTA(Q491:Q1350)=0,"""",IF(ISBLANK(Q491),FALSE,IF(NOT(COUNTIF($AA$24:$AA$34,SUBSTITUTE(Q491,""Sell_"",""""))),1,IF(REGEXMATCH(Q491,""Sell_""),IF(COUNTIF(Q$4:Q491,SUBSTITUTE(Q491,""Sell_"",""""))-COUNTIF(Q$4:Q490,Q491)&lt;1,1),FALSE))))"),FALSE)</f>
        <v>0</v>
      </c>
      <c r="S491" s="59">
        <f t="array" ref="S491">IF(COUNTA(Q491:Q1350)=0,"",SUM((COUNTIF(Q$4:Q491,Upgrades!$B$3:$B$13)-COUNTIF(Q$4:Q491,"Sell_"&amp;Upgrades!$B$3:$B$13))*Upgrades!$D$3:$D$13))</f>
        <v>510705.4</v>
      </c>
      <c r="T491" s="66">
        <f>IFERROR(__xludf.DUMMYFUNCTION("IF(COUNTA(Q491:Q1350)=0,"""",IF(REGEXMATCH(INDEX(FILTER(Q$4:Q491,Q$4:Q491&lt;&gt;""""),ROWS(FILTER(Q$4:Q491,Q$4:Q491&lt;&gt;""""))),""^Sell_""),INDEX(FILTER(T$4:T490,Q$4:Q490&lt;&gt;""""),ROWS(FILTER(Q$4:Q490,Q$4:Q490&lt;&gt;""""))),$AD$5+S491))"),510905.4)</f>
        <v>510905.4</v>
      </c>
      <c r="U491" s="10">
        <f>IFERROR(__xludf.DUMMYFUNCTION("IF(COUNTA(Q491:Q1350)=0,"""",IF(Q491="""",0,IF(REGEXMATCH(Q491,""^Sell_""),-ROUNDDOWN(ROUNDUP(INDEX(Upgrades!$C$3:$C$13,MATCH(SUBSTITUTE(Q491,""Sell_"",""""),Upgrades!$B$3:$B$13,0))*1.15^(COUNTIF(Q$4:Q490,SUBSTITUTE(Q491,""Sell_"",""""))-COUNTIF(Q$4:Q490,"&amp;"""Sell_""&amp;SUBSTITUTE(Q491,""Sell_"",""""))))/2),ROUNDUP(INDEX(Upgrades!$C$3:$C$13,MATCH(Q491,Upgrades!$B$3:$B$13,0))*1.15^(COUNTIF(Q$4:Q490,Q491)-COUNTIF(Q$4:Q490,""Sell_""&amp;Q491))))))"),69961.0)</f>
        <v>69961</v>
      </c>
      <c r="V491" s="10">
        <f t="shared" si="11"/>
        <v>69961</v>
      </c>
      <c r="W491" s="68">
        <f t="shared" si="12"/>
        <v>6417.211959</v>
      </c>
      <c r="X491" s="59" t="str">
        <f t="shared" si="13"/>
        <v>1h 46m 57s</v>
      </c>
      <c r="Y491" s="69">
        <f t="shared" si="14"/>
        <v>812213404</v>
      </c>
      <c r="Z491" s="11"/>
    </row>
    <row r="492">
      <c r="A492" s="8"/>
      <c r="B492" s="56" t="str">
        <f t="shared" si="2"/>
        <v/>
      </c>
      <c r="C492" s="57"/>
      <c r="D492" s="10" t="str">
        <f>IFERROR(__xludf.DUMMYFUNCTION("IF(COUNTA(C492:C1350)=0,"""",IF(ISBLANK(C492),FALSE,IF(NOT(COUNTIF($AA$24:$AA$34,SUBSTITUTE(C492,""Sell_"",""""))),1,IF(REGEXMATCH(C492,""Sell_""),IF(COUNTIF(C$4:C492,SUBSTITUTE(C492,""Sell_"",""""))-COUNTIF(C$4:C491,C492)&lt;1,1),FALSE))))"),"")</f>
        <v/>
      </c>
      <c r="E492" s="59" t="str">
        <f t="array" ref="E492">IF(COUNTA(C492:C1350)=0,"",SUM((COUNTIF(C$4:C492,Upgrades!$B$3:$B$13)-COUNTIF(C$4:C492,"Sell_"&amp;Upgrades!$B$3:$B$13))*Upgrades!$D$3:$D$13))</f>
        <v/>
      </c>
      <c r="F492" s="66" t="str">
        <f>IFERROR(__xludf.DUMMYFUNCTION("IF(COUNTA(C492:C1350)=0,"""",IF(REGEXMATCH(INDEX(FILTER(C$4:C492,C$4:C492&lt;&gt;""""),ROWS(FILTER(C$4:C492,C$4:C492&lt;&gt;""""))),""^Sell_""),INDEX(FILTER(F$4:F491,C$4:C491&lt;&gt;""""),ROWS(FILTER(C$4:C491,C$4:C491&lt;&gt;""""))),$AC$5+E492))"),"")</f>
        <v/>
      </c>
      <c r="G492" s="10" t="str">
        <f>IFERROR(__xludf.DUMMYFUNCTION("IF(COUNTA(C492:C1350)=0,"""",IF(C492="""",0,IF(REGEXMATCH(C492,""^Sell_""),-ROUNDDOWN(ROUNDUP(INDEX(Upgrades!$C$3:$C$13,MATCH(SUBSTITUTE(C492,""Sell_"",""""),Upgrades!$B$3:$B$13,0))*1.15^(COUNTIF(C$4:C491,SUBSTITUTE(C492,""Sell_"",""""))-COUNTIF(C$4:C491,"&amp;"""Sell_""&amp;SUBSTITUTE(C492,""Sell_"",""""))))/2),ROUNDUP(INDEX(Upgrades!$C$3:$C$13,MATCH(C492,Upgrades!$B$3:$B$13,0))*1.15^(COUNTIF(C$4:C491,C492)-COUNTIF(C$4:C491,""Sell_""&amp;C492))))))"),"")</f>
        <v/>
      </c>
      <c r="H492" s="10" t="str">
        <f t="shared" si="3"/>
        <v/>
      </c>
      <c r="I492" s="68" t="str">
        <f t="shared" si="4"/>
        <v/>
      </c>
      <c r="J492" s="59" t="str">
        <f t="shared" si="5"/>
        <v/>
      </c>
      <c r="K492" s="69" t="str">
        <f t="shared" si="6"/>
        <v/>
      </c>
      <c r="L492" s="60">
        <f t="shared" si="7"/>
        <v>-198.42498</v>
      </c>
      <c r="M492" s="61">
        <f>IFERROR(__xludf.DUMMYFUNCTION("IFS(AND(COUNTA(C492:C1350)=0,COUNTA(Q492:Q1350)=0),"""",OR(AND(K492&gt;=1000000000,OR(Y492&gt;=1000000000,COUNTA(Q492:Q1350)=0)),OR(Y492&gt;=1000000000,AND(COUNTA(C492:C1350)=0,P$3=TRUE))),
ROUNDDOWN((AB$1-AC$1)*MAX(INDEX(T$4:T1350,MATCH(LARGE(FILTER(Y$4:Y1350,Y$4"&amp;":Y1350&lt;1000000000),1),Y$4:Y1350)),INDEX(F$4:F1350,MATCH(LARGE(FILTER(K$4:K1350,K$4:K1350&lt;1000000000),1),K$4:K1350)))),AND(K492&lt;1000000000,COUNTA(C492:C1350)&gt;0,P$3=FALSE),
ROUNDDOWN(INDEX(Y$4:Y1350,MATCH(LARGE(FILTER(W$4:W1350,W$4:W1350&lt;=I492),1),W$4:W1350"&amp;"))+(I492-LARGE(FILTER(W$4:W1350,W$4:W1350&lt;=I492),1))*INDEX(T$4:T1350,MATCH(LARGE(FILTER(W$4:W1350,W$4:W1350&lt;=I492),1),W$4:W1350))-K492),1,
ROUNDDOWN(Y492-INDEX(K$4:K1350,MATCH(LARGE(FILTER(I$4:I1350,I$4:I1350&lt;=W492),1),I$4:I1350))-(W492-LARGE(FILTER(I$4:I"&amp;"1350,I$4:I1350&lt;=W492),1))*INDEX(F$4:F1350,MATCH(LARGE(FILTER(I$4:I1350,I$4:I1350&lt;=W492),1),I$4:I1350))))"),1.01747364E8)</f>
        <v>101747364</v>
      </c>
      <c r="N492" s="60">
        <f t="shared" si="8"/>
        <v>-198.42498</v>
      </c>
      <c r="O492" s="61" t="str">
        <f t="shared" si="9"/>
        <v>101,7M</v>
      </c>
      <c r="P492" s="56">
        <f t="shared" si="10"/>
        <v>4</v>
      </c>
      <c r="Q492" s="105" t="s">
        <v>9</v>
      </c>
      <c r="R492" s="10" t="b">
        <f>IFERROR(__xludf.DUMMYFUNCTION("IF(COUNTA(Q492:Q1350)=0,"""",IF(ISBLANK(Q492),FALSE,IF(NOT(COUNTIF($AA$24:$AA$34,SUBSTITUTE(Q492,""Sell_"",""""))),1,IF(REGEXMATCH(Q492,""Sell_""),IF(COUNTIF(Q$4:Q492,SUBSTITUTE(Q492,""Sell_"",""""))-COUNTIF(Q$4:Q491,Q492)&lt;1,1),FALSE))))"),FALSE)</f>
        <v>0</v>
      </c>
      <c r="S492" s="59">
        <f t="array" ref="S492">IF(COUNTA(Q492:Q1350)=0,"",SUM((COUNTIF(Q$4:Q492,Upgrades!$B$3:$B$13)-COUNTIF(Q$4:Q492,"Sell_"&amp;Upgrades!$B$3:$B$13))*Upgrades!$D$3:$D$13))</f>
        <v>511105.4</v>
      </c>
      <c r="T492" s="66">
        <f>IFERROR(__xludf.DUMMYFUNCTION("IF(COUNTA(Q492:Q1350)=0,"""",IF(REGEXMATCH(INDEX(FILTER(Q$4:Q492,Q$4:Q492&lt;&gt;""""),ROWS(FILTER(Q$4:Q492,Q$4:Q492&lt;&gt;""""))),""^Sell_""),INDEX(FILTER(T$4:T491,Q$4:Q491&lt;&gt;""""),ROWS(FILTER(Q$4:Q491,Q$4:Q491&lt;&gt;""""))),$AD$5+S492))"),511305.4)</f>
        <v>511305.4</v>
      </c>
      <c r="U492" s="10">
        <f>IFERROR(__xludf.DUMMYFUNCTION("IF(COUNTA(Q492:Q1350)=0,"""",IF(Q492="""",0,IF(REGEXMATCH(Q492,""^Sell_""),-ROUNDDOWN(ROUNDUP(INDEX(Upgrades!$C$3:$C$13,MATCH(SUBSTITUTE(Q492,""Sell_"",""""),Upgrades!$B$3:$B$13,0))*1.15^(COUNTIF(Q$4:Q491,SUBSTITUTE(Q492,""Sell_"",""""))-COUNTIF(Q$4:Q491,"&amp;"""Sell_""&amp;SUBSTITUTE(Q492,""Sell_"",""""))))/2),ROUNDUP(INDEX(Upgrades!$C$3:$C$13,MATCH(Q492,Upgrades!$B$3:$B$13,0))*1.15^(COUNTIF(Q$4:Q491,Q492)-COUNTIF(Q$4:Q491,""Sell_""&amp;Q492))))))"),304175.0)</f>
        <v>304175</v>
      </c>
      <c r="V492" s="10">
        <f t="shared" si="11"/>
        <v>304175</v>
      </c>
      <c r="W492" s="68">
        <f t="shared" si="12"/>
        <v>6417.807323</v>
      </c>
      <c r="X492" s="59" t="str">
        <f t="shared" si="13"/>
        <v>1h 46m 57s</v>
      </c>
      <c r="Y492" s="69">
        <f t="shared" si="14"/>
        <v>812517579</v>
      </c>
      <c r="Z492" s="11"/>
    </row>
    <row r="493">
      <c r="A493" s="8"/>
      <c r="B493" s="56" t="str">
        <f t="shared" si="2"/>
        <v/>
      </c>
      <c r="C493" s="57"/>
      <c r="D493" s="10" t="str">
        <f>IFERROR(__xludf.DUMMYFUNCTION("IF(COUNTA(C493:C1350)=0,"""",IF(ISBLANK(C493),FALSE,IF(NOT(COUNTIF($AA$24:$AA$34,SUBSTITUTE(C493,""Sell_"",""""))),1,IF(REGEXMATCH(C493,""Sell_""),IF(COUNTIF(C$4:C493,SUBSTITUTE(C493,""Sell_"",""""))-COUNTIF(C$4:C492,C493)&lt;1,1),FALSE))))"),"")</f>
        <v/>
      </c>
      <c r="E493" s="59" t="str">
        <f t="array" ref="E493">IF(COUNTA(C493:C1350)=0,"",SUM((COUNTIF(C$4:C493,Upgrades!$B$3:$B$13)-COUNTIF(C$4:C493,"Sell_"&amp;Upgrades!$B$3:$B$13))*Upgrades!$D$3:$D$13))</f>
        <v/>
      </c>
      <c r="F493" s="66" t="str">
        <f>IFERROR(__xludf.DUMMYFUNCTION("IF(COUNTA(C493:C1350)=0,"""",IF(REGEXMATCH(INDEX(FILTER(C$4:C493,C$4:C493&lt;&gt;""""),ROWS(FILTER(C$4:C493,C$4:C493&lt;&gt;""""))),""^Sell_""),INDEX(FILTER(F$4:F492,C$4:C492&lt;&gt;""""),ROWS(FILTER(C$4:C492,C$4:C492&lt;&gt;""""))),$AC$5+E493))"),"")</f>
        <v/>
      </c>
      <c r="G493" s="10" t="str">
        <f>IFERROR(__xludf.DUMMYFUNCTION("IF(COUNTA(C493:C1350)=0,"""",IF(C493="""",0,IF(REGEXMATCH(C493,""^Sell_""),-ROUNDDOWN(ROUNDUP(INDEX(Upgrades!$C$3:$C$13,MATCH(SUBSTITUTE(C493,""Sell_"",""""),Upgrades!$B$3:$B$13,0))*1.15^(COUNTIF(C$4:C492,SUBSTITUTE(C493,""Sell_"",""""))-COUNTIF(C$4:C492,"&amp;"""Sell_""&amp;SUBSTITUTE(C493,""Sell_"",""""))))/2),ROUNDUP(INDEX(Upgrades!$C$3:$C$13,MATCH(C493,Upgrades!$B$3:$B$13,0))*1.15^(COUNTIF(C$4:C492,C493)-COUNTIF(C$4:C492,""Sell_""&amp;C493))))))"),"")</f>
        <v/>
      </c>
      <c r="H493" s="10" t="str">
        <f t="shared" si="3"/>
        <v/>
      </c>
      <c r="I493" s="68" t="str">
        <f t="shared" si="4"/>
        <v/>
      </c>
      <c r="J493" s="59" t="str">
        <f t="shared" si="5"/>
        <v/>
      </c>
      <c r="K493" s="69" t="str">
        <f t="shared" si="6"/>
        <v/>
      </c>
      <c r="L493" s="60">
        <f t="shared" si="7"/>
        <v>-198.42201</v>
      </c>
      <c r="M493" s="61">
        <f>IFERROR(__xludf.DUMMYFUNCTION("IFS(AND(COUNTA(C493:C1350)=0,COUNTA(Q493:Q1350)=0),"""",OR(AND(K493&gt;=1000000000,OR(Y493&gt;=1000000000,COUNTA(Q493:Q1350)=0)),OR(Y493&gt;=1000000000,AND(COUNTA(C493:C1350)=0,P$3=TRUE))),
ROUNDDOWN((AB$1-AC$1)*MAX(INDEX(T$4:T1350,MATCH(LARGE(FILTER(Y$4:Y1350,Y$4"&amp;":Y1350&lt;1000000000),1),Y$4:Y1350)),INDEX(F$4:F1350,MATCH(LARGE(FILTER(K$4:K1350,K$4:K1350&lt;1000000000),1),K$4:K1350)))),AND(K493&lt;1000000000,COUNTA(C493:C1350)&gt;0,P$3=FALSE),
ROUNDDOWN(INDEX(Y$4:Y1350,MATCH(LARGE(FILTER(W$4:W1350,W$4:W1350&lt;=I493),1),W$4:W1350"&amp;"))+(I493-LARGE(FILTER(W$4:W1350,W$4:W1350&lt;=I493),1))*INDEX(T$4:T1350,MATCH(LARGE(FILTER(W$4:W1350,W$4:W1350&lt;=I493),1),W$4:W1350))-K493),1,
ROUNDDOWN(Y493-INDEX(K$4:K1350,MATCH(LARGE(FILTER(I$4:I1350,I$4:I1350&lt;=W493),1),I$4:I1350))-(W493-LARGE(FILTER(I$4:I"&amp;"1350,I$4:I1350&lt;=W493),1))*INDEX(F$4:F1350,MATCH(LARGE(FILTER(I$4:I1350,I$4:I1350&lt;=W493),1),I$4:I1350))))"),1.01753394E8)</f>
        <v>101753394</v>
      </c>
      <c r="N493" s="60">
        <f t="shared" si="8"/>
        <v>-198.42201</v>
      </c>
      <c r="O493" s="61" t="str">
        <f t="shared" si="9"/>
        <v>101,8M</v>
      </c>
      <c r="P493" s="56">
        <f t="shared" si="10"/>
        <v>9</v>
      </c>
      <c r="Q493" s="105" t="s">
        <v>7</v>
      </c>
      <c r="R493" s="10" t="b">
        <f>IFERROR(__xludf.DUMMYFUNCTION("IF(COUNTA(Q493:Q1350)=0,"""",IF(ISBLANK(Q493),FALSE,IF(NOT(COUNTIF($AA$24:$AA$34,SUBSTITUTE(Q493,""Sell_"",""""))),1,IF(REGEXMATCH(Q493,""Sell_""),IF(COUNTIF(Q$4:Q493,SUBSTITUTE(Q493,""Sell_"",""""))-COUNTIF(Q$4:Q492,Q493)&lt;1,1),FALSE))))"),FALSE)</f>
        <v>0</v>
      </c>
      <c r="S493" s="59">
        <f t="array" ref="S493">IF(COUNTA(Q493:Q1350)=0,"",SUM((COUNTIF(Q$4:Q493,Upgrades!$B$3:$B$13)-COUNTIF(Q$4:Q493,"Sell_"&amp;Upgrades!$B$3:$B$13))*Upgrades!$D$3:$D$13))</f>
        <v>511145.4</v>
      </c>
      <c r="T493" s="66">
        <f>IFERROR(__xludf.DUMMYFUNCTION("IF(COUNTA(Q493:Q1350)=0,"""",IF(REGEXMATCH(INDEX(FILTER(Q$4:Q493,Q$4:Q493&lt;&gt;""""),ROWS(FILTER(Q$4:Q493,Q$4:Q493&lt;&gt;""""))),""^Sell_""),INDEX(FILTER(T$4:T492,Q$4:Q492&lt;&gt;""""),ROWS(FILTER(Q$4:Q492,Q$4:Q492&lt;&gt;""""))),$AD$5+S493))"),511345.4)</f>
        <v>511345.4</v>
      </c>
      <c r="U493" s="10">
        <f>IFERROR(__xludf.DUMMYFUNCTION("IF(COUNTA(Q493:Q1350)=0,"""",IF(Q493="""",0,IF(REGEXMATCH(Q493,""^Sell_""),-ROUNDDOWN(ROUNDUP(INDEX(Upgrades!$C$3:$C$13,MATCH(SUBSTITUTE(Q493,""Sell_"",""""),Upgrades!$B$3:$B$13,0))*1.15^(COUNTIF(Q$4:Q492,SUBSTITUTE(Q493,""Sell_"",""""))-COUNTIF(Q$4:Q492,"&amp;"""Sell_""&amp;SUBSTITUTE(Q493,""Sell_"",""""))))/2),ROUNDUP(INDEX(Upgrades!$C$3:$C$13,MATCH(Q493,Upgrades!$B$3:$B$13,0))*1.15^(COUNTIF(Q$4:Q492,Q493)-COUNTIF(Q$4:Q492,""Sell_""&amp;Q493))))))"),30591.0)</f>
        <v>30591</v>
      </c>
      <c r="V493" s="10">
        <f t="shared" si="11"/>
        <v>30591</v>
      </c>
      <c r="W493" s="68">
        <f t="shared" si="12"/>
        <v>6417.867153</v>
      </c>
      <c r="X493" s="59" t="str">
        <f t="shared" si="13"/>
        <v>1h 46m 57s</v>
      </c>
      <c r="Y493" s="69">
        <f t="shared" si="14"/>
        <v>812548170</v>
      </c>
      <c r="Z493" s="11"/>
    </row>
    <row r="494">
      <c r="A494" s="8"/>
      <c r="B494" s="56" t="str">
        <f t="shared" si="2"/>
        <v/>
      </c>
      <c r="C494" s="57"/>
      <c r="D494" s="10" t="str">
        <f>IFERROR(__xludf.DUMMYFUNCTION("IF(COUNTA(C494:C1350)=0,"""",IF(ISBLANK(C494),FALSE,IF(NOT(COUNTIF($AA$24:$AA$34,SUBSTITUTE(C494,""Sell_"",""""))),1,IF(REGEXMATCH(C494,""Sell_""),IF(COUNTIF(C$4:C494,SUBSTITUTE(C494,""Sell_"",""""))-COUNTIF(C$4:C493,C494)&lt;1,1),FALSE))))"),"")</f>
        <v/>
      </c>
      <c r="E494" s="59" t="str">
        <f t="array" ref="E494">IF(COUNTA(C494:C1350)=0,"",SUM((COUNTIF(C$4:C494,Upgrades!$B$3:$B$13)-COUNTIF(C$4:C494,"Sell_"&amp;Upgrades!$B$3:$B$13))*Upgrades!$D$3:$D$13))</f>
        <v/>
      </c>
      <c r="F494" s="66" t="str">
        <f>IFERROR(__xludf.DUMMYFUNCTION("IF(COUNTA(C494:C1350)=0,"""",IF(REGEXMATCH(INDEX(FILTER(C$4:C494,C$4:C494&lt;&gt;""""),ROWS(FILTER(C$4:C494,C$4:C494&lt;&gt;""""))),""^Sell_""),INDEX(FILTER(F$4:F493,C$4:C493&lt;&gt;""""),ROWS(FILTER(C$4:C493,C$4:C493&lt;&gt;""""))),$AC$5+E494))"),"")</f>
        <v/>
      </c>
      <c r="G494" s="10" t="str">
        <f>IFERROR(__xludf.DUMMYFUNCTION("IF(COUNTA(C494:C1350)=0,"""",IF(C494="""",0,IF(REGEXMATCH(C494,""^Sell_""),-ROUNDDOWN(ROUNDUP(INDEX(Upgrades!$C$3:$C$13,MATCH(SUBSTITUTE(C494,""Sell_"",""""),Upgrades!$B$3:$B$13,0))*1.15^(COUNTIF(C$4:C493,SUBSTITUTE(C494,""Sell_"",""""))-COUNTIF(C$4:C493,"&amp;"""Sell_""&amp;SUBSTITUTE(C494,""Sell_"",""""))))/2),ROUNDUP(INDEX(Upgrades!$C$3:$C$13,MATCH(C494,Upgrades!$B$3:$B$13,0))*1.15^(COUNTIF(C$4:C493,C494)-COUNTIF(C$4:C493,""Sell_""&amp;C494))))))"),"")</f>
        <v/>
      </c>
      <c r="H494" s="10" t="str">
        <f t="shared" si="3"/>
        <v/>
      </c>
      <c r="I494" s="68" t="str">
        <f t="shared" si="4"/>
        <v/>
      </c>
      <c r="J494" s="59" t="str">
        <f t="shared" si="5"/>
        <v/>
      </c>
      <c r="K494" s="69" t="str">
        <f t="shared" si="6"/>
        <v/>
      </c>
      <c r="L494" s="60">
        <f t="shared" si="7"/>
        <v>-198.41423</v>
      </c>
      <c r="M494" s="61">
        <f>IFERROR(__xludf.DUMMYFUNCTION("IFS(AND(COUNTA(C494:C1350)=0,COUNTA(Q494:Q1350)=0),"""",OR(AND(K494&gt;=1000000000,OR(Y494&gt;=1000000000,COUNTA(Q494:Q1350)=0)),OR(Y494&gt;=1000000000,AND(COUNTA(C494:C1350)=0,P$3=TRUE))),
ROUNDDOWN((AB$1-AC$1)*MAX(INDEX(T$4:T1350,MATCH(LARGE(FILTER(Y$4:Y1350,Y$4"&amp;":Y1350&lt;1000000000),1),Y$4:Y1350)),INDEX(F$4:F1350,MATCH(LARGE(FILTER(K$4:K1350,K$4:K1350&lt;1000000000),1),K$4:K1350)))),AND(K494&lt;1000000000,COUNTA(C494:C1350)&gt;0,P$3=FALSE),
ROUNDDOWN(INDEX(Y$4:Y1350,MATCH(LARGE(FILTER(W$4:W1350,W$4:W1350&lt;=I494),1),W$4:W1350"&amp;"))+(I494-LARGE(FILTER(W$4:W1350,W$4:W1350&lt;=I494),1))*INDEX(T$4:T1350,MATCH(LARGE(FILTER(W$4:W1350,W$4:W1350&lt;=I494),1),W$4:W1350))-K494),1,
ROUNDDOWN(Y494-INDEX(K$4:K1350,MATCH(LARGE(FILTER(I$4:I1350,I$4:I1350&lt;=W494),1),I$4:I1350))-(W494-LARGE(FILTER(I$4:I"&amp;"1350,I$4:I1350&lt;=W494),1))*INDEX(F$4:F1350,MATCH(LARGE(FILTER(I$4:I1350,I$4:I1350&lt;=W494),1),I$4:I1350))))"),1.01769256E8)</f>
        <v>101769256</v>
      </c>
      <c r="N494" s="60">
        <f t="shared" si="8"/>
        <v>-198.41423</v>
      </c>
      <c r="O494" s="61" t="str">
        <f t="shared" si="9"/>
        <v>101,8M</v>
      </c>
      <c r="P494" s="56">
        <f t="shared" si="10"/>
        <v>6</v>
      </c>
      <c r="Q494" s="105" t="s">
        <v>8</v>
      </c>
      <c r="R494" s="10" t="b">
        <f>IFERROR(__xludf.DUMMYFUNCTION("IF(COUNTA(Q494:Q1350)=0,"""",IF(ISBLANK(Q494),FALSE,IF(NOT(COUNTIF($AA$24:$AA$34,SUBSTITUTE(Q494,""Sell_"",""""))),1,IF(REGEXMATCH(Q494,""Sell_""),IF(COUNTIF(Q$4:Q494,SUBSTITUTE(Q494,""Sell_"",""""))-COUNTIF(Q$4:Q493,Q494)&lt;1,1),FALSE))))"),FALSE)</f>
        <v>0</v>
      </c>
      <c r="S494" s="59">
        <f t="array" ref="S494">IF(COUNTA(Q494:Q1350)=0,"",SUM((COUNTIF(Q$4:Q494,Upgrades!$B$3:$B$13)-COUNTIF(Q$4:Q494,"Sell_"&amp;Upgrades!$B$3:$B$13))*Upgrades!$D$3:$D$13))</f>
        <v>511245.4</v>
      </c>
      <c r="T494" s="66">
        <f>IFERROR(__xludf.DUMMYFUNCTION("IF(COUNTA(Q494:Q1350)=0,"""",IF(REGEXMATCH(INDEX(FILTER(Q$4:Q494,Q$4:Q494&lt;&gt;""""),ROWS(FILTER(Q$4:Q494,Q$4:Q494&lt;&gt;""""))),""^Sell_""),INDEX(FILTER(T$4:T493,Q$4:Q493&lt;&gt;""""),ROWS(FILTER(Q$4:Q493,Q$4:Q493&lt;&gt;""""))),$AD$5+S494))"),511445.4)</f>
        <v>511445.4</v>
      </c>
      <c r="U494" s="10">
        <f>IFERROR(__xludf.DUMMYFUNCTION("IF(COUNTA(Q494:Q1350)=0,"""",IF(Q494="""",0,IF(REGEXMATCH(Q494,""^Sell_""),-ROUNDDOWN(ROUNDUP(INDEX(Upgrades!$C$3:$C$13,MATCH(SUBSTITUTE(Q494,""Sell_"",""""),Upgrades!$B$3:$B$13,0))*1.15^(COUNTIF(Q$4:Q493,SUBSTITUTE(Q494,""Sell_"",""""))-COUNTIF(Q$4:Q493,"&amp;"""Sell_""&amp;SUBSTITUTE(Q494,""Sell_"",""""))))/2),ROUNDUP(INDEX(Upgrades!$C$3:$C$13,MATCH(Q494,Upgrades!$B$3:$B$13,0))*1.15^(COUNTIF(Q$4:Q493,Q494)-COUNTIF(Q$4:Q493,""Sell_""&amp;Q494))))))"),80455.0)</f>
        <v>80455</v>
      </c>
      <c r="V494" s="10">
        <f t="shared" si="11"/>
        <v>80455</v>
      </c>
      <c r="W494" s="68">
        <f t="shared" si="12"/>
        <v>6418.024493</v>
      </c>
      <c r="X494" s="59" t="str">
        <f t="shared" si="13"/>
        <v>1h 46m 58s</v>
      </c>
      <c r="Y494" s="69">
        <f t="shared" si="14"/>
        <v>812628625</v>
      </c>
      <c r="Z494" s="11"/>
    </row>
    <row r="495">
      <c r="A495" s="8"/>
      <c r="B495" s="56" t="str">
        <f t="shared" si="2"/>
        <v/>
      </c>
      <c r="C495" s="57"/>
      <c r="D495" s="10" t="str">
        <f>IFERROR(__xludf.DUMMYFUNCTION("IF(COUNTA(C495:C1350)=0,"""",IF(ISBLANK(C495),FALSE,IF(NOT(COUNTIF($AA$24:$AA$34,SUBSTITUTE(C495,""Sell_"",""""))),1,IF(REGEXMATCH(C495,""Sell_""),IF(COUNTIF(C$4:C495,SUBSTITUTE(C495,""Sell_"",""""))-COUNTIF(C$4:C494,C495)&lt;1,1),FALSE))))"),"")</f>
        <v/>
      </c>
      <c r="E495" s="59" t="str">
        <f t="array" ref="E495">IF(COUNTA(C495:C1350)=0,"",SUM((COUNTIF(C$4:C495,Upgrades!$B$3:$B$13)-COUNTIF(C$4:C495,"Sell_"&amp;Upgrades!$B$3:$B$13))*Upgrades!$D$3:$D$13))</f>
        <v/>
      </c>
      <c r="F495" s="66" t="str">
        <f>IFERROR(__xludf.DUMMYFUNCTION("IF(COUNTA(C495:C1350)=0,"""",IF(REGEXMATCH(INDEX(FILTER(C$4:C495,C$4:C495&lt;&gt;""""),ROWS(FILTER(C$4:C495,C$4:C495&lt;&gt;""""))),""^Sell_""),INDEX(FILTER(F$4:F494,C$4:C494&lt;&gt;""""),ROWS(FILTER(C$4:C494,C$4:C494&lt;&gt;""""))),$AC$5+E495))"),"")</f>
        <v/>
      </c>
      <c r="G495" s="10" t="str">
        <f>IFERROR(__xludf.DUMMYFUNCTION("IF(COUNTA(C495:C1350)=0,"""",IF(C495="""",0,IF(REGEXMATCH(C495,""^Sell_""),-ROUNDDOWN(ROUNDUP(INDEX(Upgrades!$C$3:$C$13,MATCH(SUBSTITUTE(C495,""Sell_"",""""),Upgrades!$B$3:$B$13,0))*1.15^(COUNTIF(C$4:C494,SUBSTITUTE(C495,""Sell_"",""""))-COUNTIF(C$4:C494,"&amp;"""Sell_""&amp;SUBSTITUTE(C495,""Sell_"",""""))))/2),ROUNDUP(INDEX(Upgrades!$C$3:$C$13,MATCH(C495,Upgrades!$B$3:$B$13,0))*1.15^(COUNTIF(C$4:C494,C495)-COUNTIF(C$4:C494,""Sell_""&amp;C495))))))"),"")</f>
        <v/>
      </c>
      <c r="H495" s="10" t="str">
        <f t="shared" si="3"/>
        <v/>
      </c>
      <c r="I495" s="68" t="str">
        <f t="shared" si="4"/>
        <v/>
      </c>
      <c r="J495" s="59" t="str">
        <f t="shared" si="5"/>
        <v/>
      </c>
      <c r="K495" s="69" t="str">
        <f t="shared" si="6"/>
        <v/>
      </c>
      <c r="L495" s="60">
        <f t="shared" si="7"/>
        <v>-198.38052</v>
      </c>
      <c r="M495" s="61">
        <f>IFERROR(__xludf.DUMMYFUNCTION("IFS(AND(COUNTA(C495:C1350)=0,COUNTA(Q495:Q1350)=0),"""",OR(AND(K495&gt;=1000000000,OR(Y495&gt;=1000000000,COUNTA(Q495:Q1350)=0)),OR(Y495&gt;=1000000000,AND(COUNTA(C495:C1350)=0,P$3=TRUE))),
ROUNDDOWN((AB$1-AC$1)*MAX(INDEX(T$4:T1350,MATCH(LARGE(FILTER(Y$4:Y1350,Y$4"&amp;":Y1350&lt;1000000000),1),Y$4:Y1350)),INDEX(F$4:F1350,MATCH(LARGE(FILTER(K$4:K1350,K$4:K1350&lt;1000000000),1),K$4:K1350)))),AND(K495&lt;1000000000,COUNTA(C495:C1350)&gt;0,P$3=FALSE),
ROUNDDOWN(INDEX(Y$4:Y1350,MATCH(LARGE(FILTER(W$4:W1350,W$4:W1350&lt;=I495),1),W$4:W1350"&amp;"))+(I495-LARGE(FILTER(W$4:W1350,W$4:W1350&lt;=I495),1))*INDEX(T$4:T1350,MATCH(LARGE(FILTER(W$4:W1350,W$4:W1350&lt;=I495),1),W$4:W1350))-K495),1,
ROUNDDOWN(Y495-INDEX(K$4:K1350,MATCH(LARGE(FILTER(I$4:I1350,I$4:I1350&lt;=W495),1),I$4:I1350))-(W495-LARGE(FILTER(I$4:I"&amp;"1350,I$4:I1350&lt;=W495),1))*INDEX(F$4:F1350,MATCH(LARGE(FILTER(I$4:I1350,I$4:I1350&lt;=W495),1),I$4:I1350))))"),1.01838276E8)</f>
        <v>101838276</v>
      </c>
      <c r="N495" s="60">
        <f t="shared" si="8"/>
        <v>-198.38052</v>
      </c>
      <c r="O495" s="61" t="str">
        <f t="shared" si="9"/>
        <v>101,8M</v>
      </c>
      <c r="P495" s="56">
        <f t="shared" si="10"/>
        <v>5</v>
      </c>
      <c r="Q495" s="105" t="s">
        <v>9</v>
      </c>
      <c r="R495" s="10" t="b">
        <f>IFERROR(__xludf.DUMMYFUNCTION("IF(COUNTA(Q495:Q1350)=0,"""",IF(ISBLANK(Q495),FALSE,IF(NOT(COUNTIF($AA$24:$AA$34,SUBSTITUTE(Q495,""Sell_"",""""))),1,IF(REGEXMATCH(Q495,""Sell_""),IF(COUNTIF(Q$4:Q495,SUBSTITUTE(Q495,""Sell_"",""""))-COUNTIF(Q$4:Q494,Q495)&lt;1,1),FALSE))))"),FALSE)</f>
        <v>0</v>
      </c>
      <c r="S495" s="59">
        <f t="array" ref="S495">IF(COUNTA(Q495:Q1350)=0,"",SUM((COUNTIF(Q$4:Q495,Upgrades!$B$3:$B$13)-COUNTIF(Q$4:Q495,"Sell_"&amp;Upgrades!$B$3:$B$13))*Upgrades!$D$3:$D$13))</f>
        <v>511645.4</v>
      </c>
      <c r="T495" s="66">
        <f>IFERROR(__xludf.DUMMYFUNCTION("IF(COUNTA(Q495:Q1350)=0,"""",IF(REGEXMATCH(INDEX(FILTER(Q$4:Q495,Q$4:Q495&lt;&gt;""""),ROWS(FILTER(Q$4:Q495,Q$4:Q495&lt;&gt;""""))),""^Sell_""),INDEX(FILTER(T$4:T494,Q$4:Q494&lt;&gt;""""),ROWS(FILTER(Q$4:Q494,Q$4:Q494&lt;&gt;""""))),$AD$5+S495))"),511845.4)</f>
        <v>511845.4</v>
      </c>
      <c r="U495" s="10">
        <f>IFERROR(__xludf.DUMMYFUNCTION("IF(COUNTA(Q495:Q1350)=0,"""",IF(Q495="""",0,IF(REGEXMATCH(Q495,""^Sell_""),-ROUNDDOWN(ROUNDUP(INDEX(Upgrades!$C$3:$C$13,MATCH(SUBSTITUTE(Q495,""Sell_"",""""),Upgrades!$B$3:$B$13,0))*1.15^(COUNTIF(Q$4:Q494,SUBSTITUTE(Q495,""Sell_"",""""))-COUNTIF(Q$4:Q494,"&amp;"""Sell_""&amp;SUBSTITUTE(Q495,""Sell_"",""""))))/2),ROUNDUP(INDEX(Upgrades!$C$3:$C$13,MATCH(Q495,Upgrades!$B$3:$B$13,0))*1.15^(COUNTIF(Q$4:Q494,Q495)-COUNTIF(Q$4:Q494,""Sell_""&amp;Q495))))))"),349802.0)</f>
        <v>349802</v>
      </c>
      <c r="V495" s="10">
        <f t="shared" si="11"/>
        <v>349802</v>
      </c>
      <c r="W495" s="68">
        <f t="shared" si="12"/>
        <v>6418.70844</v>
      </c>
      <c r="X495" s="59" t="str">
        <f t="shared" si="13"/>
        <v>1h 46m 58s</v>
      </c>
      <c r="Y495" s="69">
        <f t="shared" si="14"/>
        <v>812978427</v>
      </c>
      <c r="Z495" s="11"/>
    </row>
    <row r="496">
      <c r="A496" s="8"/>
      <c r="B496" s="56" t="str">
        <f t="shared" si="2"/>
        <v/>
      </c>
      <c r="C496" s="57"/>
      <c r="D496" s="10" t="str">
        <f>IFERROR(__xludf.DUMMYFUNCTION("IF(COUNTA(C496:C1350)=0,"""",IF(ISBLANK(C496),FALSE,IF(NOT(COUNTIF($AA$24:$AA$34,SUBSTITUTE(C496,""Sell_"",""""))),1,IF(REGEXMATCH(C496,""Sell_""),IF(COUNTIF(C$4:C496,SUBSTITUTE(C496,""Sell_"",""""))-COUNTIF(C$4:C495,C496)&lt;1,1),FALSE))))"),"")</f>
        <v/>
      </c>
      <c r="E496" s="59" t="str">
        <f t="array" ref="E496">IF(COUNTA(C496:C1350)=0,"",SUM((COUNTIF(C$4:C496,Upgrades!$B$3:$B$13)-COUNTIF(C$4:C496,"Sell_"&amp;Upgrades!$B$3:$B$13))*Upgrades!$D$3:$D$13))</f>
        <v/>
      </c>
      <c r="F496" s="66" t="str">
        <f>IFERROR(__xludf.DUMMYFUNCTION("IF(COUNTA(C496:C1350)=0,"""",IF(REGEXMATCH(INDEX(FILTER(C$4:C496,C$4:C496&lt;&gt;""""),ROWS(FILTER(C$4:C496,C$4:C496&lt;&gt;""""))),""^Sell_""),INDEX(FILTER(F$4:F495,C$4:C495&lt;&gt;""""),ROWS(FILTER(C$4:C495,C$4:C495&lt;&gt;""""))),$AC$5+E496))"),"")</f>
        <v/>
      </c>
      <c r="G496" s="10" t="str">
        <f>IFERROR(__xludf.DUMMYFUNCTION("IF(COUNTA(C496:C1350)=0,"""",IF(C496="""",0,IF(REGEXMATCH(C496,""^Sell_""),-ROUNDDOWN(ROUNDUP(INDEX(Upgrades!$C$3:$C$13,MATCH(SUBSTITUTE(C496,""Sell_"",""""),Upgrades!$B$3:$B$13,0))*1.15^(COUNTIF(C$4:C495,SUBSTITUTE(C496,""Sell_"",""""))-COUNTIF(C$4:C495,"&amp;"""Sell_""&amp;SUBSTITUTE(C496,""Sell_"",""""))))/2),ROUNDUP(INDEX(Upgrades!$C$3:$C$13,MATCH(C496,Upgrades!$B$3:$B$13,0))*1.15^(COUNTIF(C$4:C495,C496)-COUNTIF(C$4:C495,""Sell_""&amp;C496))))))"),"")</f>
        <v/>
      </c>
      <c r="H496" s="10" t="str">
        <f t="shared" si="3"/>
        <v/>
      </c>
      <c r="I496" s="68" t="str">
        <f t="shared" si="4"/>
        <v/>
      </c>
      <c r="J496" s="59" t="str">
        <f t="shared" si="5"/>
        <v/>
      </c>
      <c r="K496" s="69" t="str">
        <f t="shared" si="6"/>
        <v/>
      </c>
      <c r="L496" s="60">
        <f t="shared" si="7"/>
        <v>-198.37718</v>
      </c>
      <c r="M496" s="61">
        <f>IFERROR(__xludf.DUMMYFUNCTION("IFS(AND(COUNTA(C496:C1350)=0,COUNTA(Q496:Q1350)=0),"""",OR(AND(K496&gt;=1000000000,OR(Y496&gt;=1000000000,COUNTA(Q496:Q1350)=0)),OR(Y496&gt;=1000000000,AND(COUNTA(C496:C1350)=0,P$3=TRUE))),
ROUNDDOWN((AB$1-AC$1)*MAX(INDEX(T$4:T1350,MATCH(LARGE(FILTER(Y$4:Y1350,Y$4"&amp;":Y1350&lt;1000000000),1),Y$4:Y1350)),INDEX(F$4:F1350,MATCH(LARGE(FILTER(K$4:K1350,K$4:K1350&lt;1000000000),1),K$4:K1350)))),AND(K496&lt;1000000000,COUNTA(C496:C1350)&gt;0,P$3=FALSE),
ROUNDDOWN(INDEX(Y$4:Y1350,MATCH(LARGE(FILTER(W$4:W1350,W$4:W1350&lt;=I496),1),W$4:W1350"&amp;"))+(I496-LARGE(FILTER(W$4:W1350,W$4:W1350&lt;=I496),1))*INDEX(T$4:T1350,MATCH(LARGE(FILTER(W$4:W1350,W$4:W1350&lt;=I496),1),W$4:W1350))-K496),1,
ROUNDDOWN(Y496-INDEX(K$4:K1350,MATCH(LARGE(FILTER(I$4:I1350,I$4:I1350&lt;=W496),1),I$4:I1350))-(W496-LARGE(FILTER(I$4:I"&amp;"1350,I$4:I1350&lt;=W496),1))*INDEX(F$4:F1350,MATCH(LARGE(FILTER(I$4:I1350,I$4:I1350&lt;=W496),1),I$4:I1350))))"),1.0184524E8)</f>
        <v>101845240</v>
      </c>
      <c r="N496" s="60">
        <f t="shared" si="8"/>
        <v>-198.37718</v>
      </c>
      <c r="O496" s="61" t="str">
        <f t="shared" si="9"/>
        <v>101,8M</v>
      </c>
      <c r="P496" s="56">
        <f t="shared" si="10"/>
        <v>10</v>
      </c>
      <c r="Q496" s="105" t="s">
        <v>7</v>
      </c>
      <c r="R496" s="10" t="b">
        <f>IFERROR(__xludf.DUMMYFUNCTION("IF(COUNTA(Q496:Q1350)=0,"""",IF(ISBLANK(Q496),FALSE,IF(NOT(COUNTIF($AA$24:$AA$34,SUBSTITUTE(Q496,""Sell_"",""""))),1,IF(REGEXMATCH(Q496,""Sell_""),IF(COUNTIF(Q$4:Q496,SUBSTITUTE(Q496,""Sell_"",""""))-COUNTIF(Q$4:Q495,Q496)&lt;1,1),FALSE))))"),FALSE)</f>
        <v>0</v>
      </c>
      <c r="S496" s="59">
        <f t="array" ref="S496">IF(COUNTA(Q496:Q1350)=0,"",SUM((COUNTIF(Q$4:Q496,Upgrades!$B$3:$B$13)-COUNTIF(Q$4:Q496,"Sell_"&amp;Upgrades!$B$3:$B$13))*Upgrades!$D$3:$D$13))</f>
        <v>511685.4</v>
      </c>
      <c r="T496" s="66">
        <f>IFERROR(__xludf.DUMMYFUNCTION("IF(COUNTA(Q496:Q1350)=0,"""",IF(REGEXMATCH(INDEX(FILTER(Q$4:Q496,Q$4:Q496&lt;&gt;""""),ROWS(FILTER(Q$4:Q496,Q$4:Q496&lt;&gt;""""))),""^Sell_""),INDEX(FILTER(T$4:T495,Q$4:Q495&lt;&gt;""""),ROWS(FILTER(Q$4:Q495,Q$4:Q495&lt;&gt;""""))),$AD$5+S496))"),511885.4)</f>
        <v>511885.4</v>
      </c>
      <c r="U496" s="10">
        <f>IFERROR(__xludf.DUMMYFUNCTION("IF(COUNTA(Q496:Q1350)=0,"""",IF(Q496="""",0,IF(REGEXMATCH(Q496,""^Sell_""),-ROUNDDOWN(ROUNDUP(INDEX(Upgrades!$C$3:$C$13,MATCH(SUBSTITUTE(Q496,""Sell_"",""""),Upgrades!$B$3:$B$13,0))*1.15^(COUNTIF(Q$4:Q495,SUBSTITUTE(Q496,""Sell_"",""""))-COUNTIF(Q$4:Q495,"&amp;"""Sell_""&amp;SUBSTITUTE(Q496,""Sell_"",""""))))/2),ROUNDUP(INDEX(Upgrades!$C$3:$C$13,MATCH(Q496,Upgrades!$B$3:$B$13,0))*1.15^(COUNTIF(Q$4:Q495,Q496)-COUNTIF(Q$4:Q495,""Sell_""&amp;Q496))))))"),35179.0)</f>
        <v>35179</v>
      </c>
      <c r="V496" s="10">
        <f t="shared" si="11"/>
        <v>35179</v>
      </c>
      <c r="W496" s="68">
        <f t="shared" si="12"/>
        <v>6418.77717</v>
      </c>
      <c r="X496" s="59" t="str">
        <f t="shared" si="13"/>
        <v>1h 46m 58s</v>
      </c>
      <c r="Y496" s="69">
        <f t="shared" si="14"/>
        <v>813013606</v>
      </c>
      <c r="Z496" s="11"/>
    </row>
    <row r="497">
      <c r="A497" s="8"/>
      <c r="B497" s="56" t="str">
        <f t="shared" si="2"/>
        <v/>
      </c>
      <c r="C497" s="57"/>
      <c r="D497" s="10" t="str">
        <f>IFERROR(__xludf.DUMMYFUNCTION("IF(COUNTA(C497:C1350)=0,"""",IF(ISBLANK(C497),FALSE,IF(NOT(COUNTIF($AA$24:$AA$34,SUBSTITUTE(C497,""Sell_"",""""))),1,IF(REGEXMATCH(C497,""Sell_""),IF(COUNTIF(C$4:C497,SUBSTITUTE(C497,""Sell_"",""""))-COUNTIF(C$4:C496,C497)&lt;1,1),FALSE))))"),"")</f>
        <v/>
      </c>
      <c r="E497" s="59" t="str">
        <f t="array" ref="E497">IF(COUNTA(C497:C1350)=0,"",SUM((COUNTIF(C$4:C497,Upgrades!$B$3:$B$13)-COUNTIF(C$4:C497,"Sell_"&amp;Upgrades!$B$3:$B$13))*Upgrades!$D$3:$D$13))</f>
        <v/>
      </c>
      <c r="F497" s="66" t="str">
        <f>IFERROR(__xludf.DUMMYFUNCTION("IF(COUNTA(C497:C1350)=0,"""",IF(REGEXMATCH(INDEX(FILTER(C$4:C497,C$4:C497&lt;&gt;""""),ROWS(FILTER(C$4:C497,C$4:C497&lt;&gt;""""))),""^Sell_""),INDEX(FILTER(F$4:F496,C$4:C496&lt;&gt;""""),ROWS(FILTER(C$4:C496,C$4:C496&lt;&gt;""""))),$AC$5+E497))"),"")</f>
        <v/>
      </c>
      <c r="G497" s="10" t="str">
        <f>IFERROR(__xludf.DUMMYFUNCTION("IF(COUNTA(C497:C1350)=0,"""",IF(C497="""",0,IF(REGEXMATCH(C497,""^Sell_""),-ROUNDDOWN(ROUNDUP(INDEX(Upgrades!$C$3:$C$13,MATCH(SUBSTITUTE(C497,""Sell_"",""""),Upgrades!$B$3:$B$13,0))*1.15^(COUNTIF(C$4:C496,SUBSTITUTE(C497,""Sell_"",""""))-COUNTIF(C$4:C496,"&amp;"""Sell_""&amp;SUBSTITUTE(C497,""Sell_"",""""))))/2),ROUNDUP(INDEX(Upgrades!$C$3:$C$13,MATCH(C497,Upgrades!$B$3:$B$13,0))*1.15^(COUNTIF(C$4:C496,C497)-COUNTIF(C$4:C496,""Sell_""&amp;C497))))))"),"")</f>
        <v/>
      </c>
      <c r="H497" s="10" t="str">
        <f t="shared" si="3"/>
        <v/>
      </c>
      <c r="I497" s="68" t="str">
        <f t="shared" si="4"/>
        <v/>
      </c>
      <c r="J497" s="59" t="str">
        <f t="shared" si="5"/>
        <v/>
      </c>
      <c r="K497" s="69" t="str">
        <f t="shared" si="6"/>
        <v/>
      </c>
      <c r="L497" s="60">
        <f t="shared" si="7"/>
        <v>-198.36842</v>
      </c>
      <c r="M497" s="61">
        <f>IFERROR(__xludf.DUMMYFUNCTION("IFS(AND(COUNTA(C497:C1350)=0,COUNTA(Q497:Q1350)=0),"""",OR(AND(K497&gt;=1000000000,OR(Y497&gt;=1000000000,COUNTA(Q497:Q1350)=0)),OR(Y497&gt;=1000000000,AND(COUNTA(C497:C1350)=0,P$3=TRUE))),
ROUNDDOWN((AB$1-AC$1)*MAX(INDEX(T$4:T1350,MATCH(LARGE(FILTER(Y$4:Y1350,Y$4"&amp;":Y1350&lt;1000000000),1),Y$4:Y1350)),INDEX(F$4:F1350,MATCH(LARGE(FILTER(K$4:K1350,K$4:K1350&lt;1000000000),1),K$4:K1350)))),AND(K497&lt;1000000000,COUNTA(C497:C1350)&gt;0,P$3=FALSE),
ROUNDDOWN(INDEX(Y$4:Y1350,MATCH(LARGE(FILTER(W$4:W1350,W$4:W1350&lt;=I497),1),W$4:W1350"&amp;"))+(I497-LARGE(FILTER(W$4:W1350,W$4:W1350&lt;=I497),1))*INDEX(T$4:T1350,MATCH(LARGE(FILTER(W$4:W1350,W$4:W1350&lt;=I497),1),W$4:W1350))-K497),1,
ROUNDDOWN(Y497-INDEX(K$4:K1350,MATCH(LARGE(FILTER(I$4:I1350,I$4:I1350&lt;=W497),1),I$4:I1350))-(W497-LARGE(FILTER(I$4:I"&amp;"1350,I$4:I1350&lt;=W497),1))*INDEX(F$4:F1350,MATCH(LARGE(FILTER(I$4:I1350,I$4:I1350&lt;=W497),1),I$4:I1350))))"),1.0186356E8)</f>
        <v>101863560</v>
      </c>
      <c r="N497" s="60">
        <f t="shared" si="8"/>
        <v>-198.36842</v>
      </c>
      <c r="O497" s="61" t="str">
        <f t="shared" si="9"/>
        <v>101,9M</v>
      </c>
      <c r="P497" s="56">
        <f t="shared" si="10"/>
        <v>7</v>
      </c>
      <c r="Q497" s="105" t="s">
        <v>8</v>
      </c>
      <c r="R497" s="10" t="b">
        <f>IFERROR(__xludf.DUMMYFUNCTION("IF(COUNTA(Q497:Q1350)=0,"""",IF(ISBLANK(Q497),FALSE,IF(NOT(COUNTIF($AA$24:$AA$34,SUBSTITUTE(Q497,""Sell_"",""""))),1,IF(REGEXMATCH(Q497,""Sell_""),IF(COUNTIF(Q$4:Q497,SUBSTITUTE(Q497,""Sell_"",""""))-COUNTIF(Q$4:Q496,Q497)&lt;1,1),FALSE))))"),FALSE)</f>
        <v>0</v>
      </c>
      <c r="S497" s="59">
        <f t="array" ref="S497">IF(COUNTA(Q497:Q1350)=0,"",SUM((COUNTIF(Q$4:Q497,Upgrades!$B$3:$B$13)-COUNTIF(Q$4:Q497,"Sell_"&amp;Upgrades!$B$3:$B$13))*Upgrades!$D$3:$D$13))</f>
        <v>511785.4</v>
      </c>
      <c r="T497" s="66">
        <f>IFERROR(__xludf.DUMMYFUNCTION("IF(COUNTA(Q497:Q1350)=0,"""",IF(REGEXMATCH(INDEX(FILTER(Q$4:Q497,Q$4:Q497&lt;&gt;""""),ROWS(FILTER(Q$4:Q497,Q$4:Q497&lt;&gt;""""))),""^Sell_""),INDEX(FILTER(T$4:T496,Q$4:Q496&lt;&gt;""""),ROWS(FILTER(Q$4:Q496,Q$4:Q496&lt;&gt;""""))),$AD$5+S497))"),511985.4)</f>
        <v>511985.4</v>
      </c>
      <c r="U497" s="10">
        <f>IFERROR(__xludf.DUMMYFUNCTION("IF(COUNTA(Q497:Q1350)=0,"""",IF(Q497="""",0,IF(REGEXMATCH(Q497,""^Sell_""),-ROUNDDOWN(ROUNDUP(INDEX(Upgrades!$C$3:$C$13,MATCH(SUBSTITUTE(Q497,""Sell_"",""""),Upgrades!$B$3:$B$13,0))*1.15^(COUNTIF(Q$4:Q496,SUBSTITUTE(Q497,""Sell_"",""""))-COUNTIF(Q$4:Q496,"&amp;"""Sell_""&amp;SUBSTITUTE(Q497,""Sell_"",""""))))/2),ROUNDUP(INDEX(Upgrades!$C$3:$C$13,MATCH(Q497,Upgrades!$B$3:$B$13,0))*1.15^(COUNTIF(Q$4:Q496,Q497)-COUNTIF(Q$4:Q496,""Sell_""&amp;Q497))))))"),92523.0)</f>
        <v>92523</v>
      </c>
      <c r="V497" s="10">
        <f t="shared" si="11"/>
        <v>92523</v>
      </c>
      <c r="W497" s="68">
        <f t="shared" si="12"/>
        <v>6418.95792</v>
      </c>
      <c r="X497" s="59" t="str">
        <f t="shared" si="13"/>
        <v>1h 46m 58s</v>
      </c>
      <c r="Y497" s="69">
        <f t="shared" si="14"/>
        <v>813106129</v>
      </c>
      <c r="Z497" s="11"/>
    </row>
    <row r="498">
      <c r="A498" s="8"/>
      <c r="B498" s="56" t="str">
        <f t="shared" si="2"/>
        <v/>
      </c>
      <c r="C498" s="57"/>
      <c r="D498" s="10" t="str">
        <f>IFERROR(__xludf.DUMMYFUNCTION("IF(COUNTA(C498:C1350)=0,"""",IF(ISBLANK(C498),FALSE,IF(NOT(COUNTIF($AA$24:$AA$34,SUBSTITUTE(C498,""Sell_"",""""))),1,IF(REGEXMATCH(C498,""Sell_""),IF(COUNTIF(C$4:C498,SUBSTITUTE(C498,""Sell_"",""""))-COUNTIF(C$4:C497,C498)&lt;1,1),FALSE))))"),"")</f>
        <v/>
      </c>
      <c r="E498" s="59" t="str">
        <f t="array" ref="E498">IF(COUNTA(C498:C1350)=0,"",SUM((COUNTIF(C$4:C498,Upgrades!$B$3:$B$13)-COUNTIF(C$4:C498,"Sell_"&amp;Upgrades!$B$3:$B$13))*Upgrades!$D$3:$D$13))</f>
        <v/>
      </c>
      <c r="F498" s="66" t="str">
        <f>IFERROR(__xludf.DUMMYFUNCTION("IF(COUNTA(C498:C1350)=0,"""",IF(REGEXMATCH(INDEX(FILTER(C$4:C498,C$4:C498&lt;&gt;""""),ROWS(FILTER(C$4:C498,C$4:C498&lt;&gt;""""))),""^Sell_""),INDEX(FILTER(F$4:F497,C$4:C497&lt;&gt;""""),ROWS(FILTER(C$4:C497,C$4:C497&lt;&gt;""""))),$AC$5+E498))"),"")</f>
        <v/>
      </c>
      <c r="G498" s="10" t="str">
        <f>IFERROR(__xludf.DUMMYFUNCTION("IF(COUNTA(C498:C1350)=0,"""",IF(C498="""",0,IF(REGEXMATCH(C498,""^Sell_""),-ROUNDDOWN(ROUNDUP(INDEX(Upgrades!$C$3:$C$13,MATCH(SUBSTITUTE(C498,""Sell_"",""""),Upgrades!$B$3:$B$13,0))*1.15^(COUNTIF(C$4:C497,SUBSTITUTE(C498,""Sell_"",""""))-COUNTIF(C$4:C497,"&amp;"""Sell_""&amp;SUBSTITUTE(C498,""Sell_"",""""))))/2),ROUNDUP(INDEX(Upgrades!$C$3:$C$13,MATCH(C498,Upgrades!$B$3:$B$13,0))*1.15^(COUNTIF(C$4:C497,C498)-COUNTIF(C$4:C497,""Sell_""&amp;C498))))))"),"")</f>
        <v/>
      </c>
      <c r="H498" s="10" t="str">
        <f t="shared" si="3"/>
        <v/>
      </c>
      <c r="I498" s="68" t="str">
        <f t="shared" si="4"/>
        <v/>
      </c>
      <c r="J498" s="59" t="str">
        <f t="shared" si="5"/>
        <v/>
      </c>
      <c r="K498" s="69" t="str">
        <f t="shared" si="6"/>
        <v/>
      </c>
      <c r="L498" s="60">
        <f t="shared" si="7"/>
        <v>-198.33049</v>
      </c>
      <c r="M498" s="61">
        <f>IFERROR(__xludf.DUMMYFUNCTION("IFS(AND(COUNTA(C498:C1350)=0,COUNTA(Q498:Q1350)=0),"""",OR(AND(K498&gt;=1000000000,OR(Y498&gt;=1000000000,COUNTA(Q498:Q1350)=0)),OR(Y498&gt;=1000000000,AND(COUNTA(C498:C1350)=0,P$3=TRUE))),
ROUNDDOWN((AB$1-AC$1)*MAX(INDEX(T$4:T1350,MATCH(LARGE(FILTER(Y$4:Y1350,Y$4"&amp;":Y1350&lt;1000000000),1),Y$4:Y1350)),INDEX(F$4:F1350,MATCH(LARGE(FILTER(K$4:K1350,K$4:K1350&lt;1000000000),1),K$4:K1350)))),AND(K498&lt;1000000000,COUNTA(C498:C1350)&gt;0,P$3=FALSE),
ROUNDDOWN(INDEX(Y$4:Y1350,MATCH(LARGE(FILTER(W$4:W1350,W$4:W1350&lt;=I498),1),W$4:W1350"&amp;"))+(I498-LARGE(FILTER(W$4:W1350,W$4:W1350&lt;=I498),1))*INDEX(T$4:T1350,MATCH(LARGE(FILTER(W$4:W1350,W$4:W1350&lt;=I498),1),W$4:W1350))-K498),1,
ROUNDDOWN(Y498-INDEX(K$4:K1350,MATCH(LARGE(FILTER(I$4:I1350,I$4:I1350&lt;=W498),1),I$4:I1350))-(W498-LARGE(FILTER(I$4:I"&amp;"1350,I$4:I1350&lt;=W498),1))*INDEX(F$4:F1350,MATCH(LARGE(FILTER(I$4:I1350,I$4:I1350&lt;=W498),1),I$4:I1350))))"),1.01943274E8)</f>
        <v>101943274</v>
      </c>
      <c r="N498" s="60">
        <f t="shared" si="8"/>
        <v>-198.33049</v>
      </c>
      <c r="O498" s="61" t="str">
        <f t="shared" si="9"/>
        <v>101,9M</v>
      </c>
      <c r="P498" s="56">
        <f t="shared" si="10"/>
        <v>6</v>
      </c>
      <c r="Q498" s="105" t="s">
        <v>9</v>
      </c>
      <c r="R498" s="10" t="b">
        <f>IFERROR(__xludf.DUMMYFUNCTION("IF(COUNTA(Q498:Q1350)=0,"""",IF(ISBLANK(Q498),FALSE,IF(NOT(COUNTIF($AA$24:$AA$34,SUBSTITUTE(Q498,""Sell_"",""""))),1,IF(REGEXMATCH(Q498,""Sell_""),IF(COUNTIF(Q$4:Q498,SUBSTITUTE(Q498,""Sell_"",""""))-COUNTIF(Q$4:Q497,Q498)&lt;1,1),FALSE))))"),FALSE)</f>
        <v>0</v>
      </c>
      <c r="S498" s="59">
        <f t="array" ref="S498">IF(COUNTA(Q498:Q1350)=0,"",SUM((COUNTIF(Q$4:Q498,Upgrades!$B$3:$B$13)-COUNTIF(Q$4:Q498,"Sell_"&amp;Upgrades!$B$3:$B$13))*Upgrades!$D$3:$D$13))</f>
        <v>512185.4</v>
      </c>
      <c r="T498" s="66">
        <f>IFERROR(__xludf.DUMMYFUNCTION("IF(COUNTA(Q498:Q1350)=0,"""",IF(REGEXMATCH(INDEX(FILTER(Q$4:Q498,Q$4:Q498&lt;&gt;""""),ROWS(FILTER(Q$4:Q498,Q$4:Q498&lt;&gt;""""))),""^Sell_""),INDEX(FILTER(T$4:T497,Q$4:Q497&lt;&gt;""""),ROWS(FILTER(Q$4:Q497,Q$4:Q497&lt;&gt;""""))),$AD$5+S498))"),512385.4)</f>
        <v>512385.4</v>
      </c>
      <c r="U498" s="10">
        <f>IFERROR(__xludf.DUMMYFUNCTION("IF(COUNTA(Q498:Q1350)=0,"""",IF(Q498="""",0,IF(REGEXMATCH(Q498,""^Sell_""),-ROUNDDOWN(ROUNDUP(INDEX(Upgrades!$C$3:$C$13,MATCH(SUBSTITUTE(Q498,""Sell_"",""""),Upgrades!$B$3:$B$13,0))*1.15^(COUNTIF(Q$4:Q497,SUBSTITUTE(Q498,""Sell_"",""""))-COUNTIF(Q$4:Q497,"&amp;"""Sell_""&amp;SUBSTITUTE(Q498,""Sell_"",""""))))/2),ROUNDUP(INDEX(Upgrades!$C$3:$C$13,MATCH(Q498,Upgrades!$B$3:$B$13,0))*1.15^(COUNTIF(Q$4:Q497,Q498)-COUNTIF(Q$4:Q497,""Sell_""&amp;Q498))))))"),402272.0)</f>
        <v>402272</v>
      </c>
      <c r="V498" s="10">
        <f t="shared" si="11"/>
        <v>402272</v>
      </c>
      <c r="W498" s="68">
        <f t="shared" si="12"/>
        <v>6419.74363</v>
      </c>
      <c r="X498" s="59" t="str">
        <f t="shared" si="13"/>
        <v>1h 46m 59s</v>
      </c>
      <c r="Y498" s="69">
        <f t="shared" si="14"/>
        <v>813508401</v>
      </c>
      <c r="Z498" s="11"/>
    </row>
    <row r="499">
      <c r="A499" s="8"/>
      <c r="B499" s="56" t="str">
        <f t="shared" si="2"/>
        <v/>
      </c>
      <c r="C499" s="57"/>
      <c r="D499" s="10" t="str">
        <f>IFERROR(__xludf.DUMMYFUNCTION("IF(COUNTA(C499:C1350)=0,"""",IF(ISBLANK(C499),FALSE,IF(NOT(COUNTIF($AA$24:$AA$34,SUBSTITUTE(C499,""Sell_"",""""))),1,IF(REGEXMATCH(C499,""Sell_""),IF(COUNTIF(C$4:C499,SUBSTITUTE(C499,""Sell_"",""""))-COUNTIF(C$4:C498,C499)&lt;1,1),FALSE))))"),"")</f>
        <v/>
      </c>
      <c r="E499" s="59" t="str">
        <f t="array" ref="E499">IF(COUNTA(C499:C1350)=0,"",SUM((COUNTIF(C$4:C499,Upgrades!$B$3:$B$13)-COUNTIF(C$4:C499,"Sell_"&amp;Upgrades!$B$3:$B$13))*Upgrades!$D$3:$D$13))</f>
        <v/>
      </c>
      <c r="F499" s="66" t="str">
        <f>IFERROR(__xludf.DUMMYFUNCTION("IF(COUNTA(C499:C1350)=0,"""",IF(REGEXMATCH(INDEX(FILTER(C$4:C499,C$4:C499&lt;&gt;""""),ROWS(FILTER(C$4:C499,C$4:C499&lt;&gt;""""))),""^Sell_""),INDEX(FILTER(F$4:F498,C$4:C498&lt;&gt;""""),ROWS(FILTER(C$4:C498,C$4:C498&lt;&gt;""""))),$AC$5+E499))"),"")</f>
        <v/>
      </c>
      <c r="G499" s="10" t="str">
        <f>IFERROR(__xludf.DUMMYFUNCTION("IF(COUNTA(C499:C1350)=0,"""",IF(C499="""",0,IF(REGEXMATCH(C499,""^Sell_""),-ROUNDDOWN(ROUNDUP(INDEX(Upgrades!$C$3:$C$13,MATCH(SUBSTITUTE(C499,""Sell_"",""""),Upgrades!$B$3:$B$13,0))*1.15^(COUNTIF(C$4:C498,SUBSTITUTE(C499,""Sell_"",""""))-COUNTIF(C$4:C498,"&amp;"""Sell_""&amp;SUBSTITUTE(C499,""Sell_"",""""))))/2),ROUNDUP(INDEX(Upgrades!$C$3:$C$13,MATCH(C499,Upgrades!$B$3:$B$13,0))*1.15^(COUNTIF(C$4:C498,C499)-COUNTIF(C$4:C498,""Sell_""&amp;C499))))))"),"")</f>
        <v/>
      </c>
      <c r="H499" s="10" t="str">
        <f t="shared" si="3"/>
        <v/>
      </c>
      <c r="I499" s="68" t="str">
        <f t="shared" si="4"/>
        <v/>
      </c>
      <c r="J499" s="59" t="str">
        <f t="shared" si="5"/>
        <v/>
      </c>
      <c r="K499" s="69" t="str">
        <f t="shared" si="6"/>
        <v/>
      </c>
      <c r="L499" s="60">
        <f t="shared" si="7"/>
        <v>-198.32673</v>
      </c>
      <c r="M499" s="61">
        <f>IFERROR(__xludf.DUMMYFUNCTION("IFS(AND(COUNTA(C499:C1350)=0,COUNTA(Q499:Q1350)=0),"""",OR(AND(K499&gt;=1000000000,OR(Y499&gt;=1000000000,COUNTA(Q499:Q1350)=0)),OR(Y499&gt;=1000000000,AND(COUNTA(C499:C1350)=0,P$3=TRUE))),
ROUNDDOWN((AB$1-AC$1)*MAX(INDEX(T$4:T1350,MATCH(LARGE(FILTER(Y$4:Y1350,Y$4"&amp;":Y1350&lt;1000000000),1),Y$4:Y1350)),INDEX(F$4:F1350,MATCH(LARGE(FILTER(K$4:K1350,K$4:K1350&lt;1000000000),1),K$4:K1350)))),AND(K499&lt;1000000000,COUNTA(C499:C1350)&gt;0,P$3=FALSE),
ROUNDDOWN(INDEX(Y$4:Y1350,MATCH(LARGE(FILTER(W$4:W1350,W$4:W1350&lt;=I499),1),W$4:W1350"&amp;"))+(I499-LARGE(FILTER(W$4:W1350,W$4:W1350&lt;=I499),1))*INDEX(T$4:T1350,MATCH(LARGE(FILTER(W$4:W1350,W$4:W1350&lt;=I499),1),W$4:W1350))-K499),1,
ROUNDDOWN(Y499-INDEX(K$4:K1350,MATCH(LARGE(FILTER(I$4:I1350,I$4:I1350&lt;=W499),1),I$4:I1350))-(W499-LARGE(FILTER(I$4:I"&amp;"1350,I$4:I1350&lt;=W499),1))*INDEX(F$4:F1350,MATCH(LARGE(FILTER(I$4:I1350,I$4:I1350&lt;=W499),1),I$4:I1350))))"),1.01951316E8)</f>
        <v>101951316</v>
      </c>
      <c r="N499" s="60">
        <f t="shared" si="8"/>
        <v>-198.32673</v>
      </c>
      <c r="O499" s="61" t="str">
        <f t="shared" si="9"/>
        <v>102,0M</v>
      </c>
      <c r="P499" s="56">
        <f t="shared" si="10"/>
        <v>11</v>
      </c>
      <c r="Q499" s="105" t="s">
        <v>7</v>
      </c>
      <c r="R499" s="10" t="b">
        <f>IFERROR(__xludf.DUMMYFUNCTION("IF(COUNTA(Q499:Q1350)=0,"""",IF(ISBLANK(Q499),FALSE,IF(NOT(COUNTIF($AA$24:$AA$34,SUBSTITUTE(Q499,""Sell_"",""""))),1,IF(REGEXMATCH(Q499,""Sell_""),IF(COUNTIF(Q$4:Q499,SUBSTITUTE(Q499,""Sell_"",""""))-COUNTIF(Q$4:Q498,Q499)&lt;1,1),FALSE))))"),FALSE)</f>
        <v>0</v>
      </c>
      <c r="S499" s="59">
        <f t="array" ref="S499">IF(COUNTA(Q499:Q1350)=0,"",SUM((COUNTIF(Q$4:Q499,Upgrades!$B$3:$B$13)-COUNTIF(Q$4:Q499,"Sell_"&amp;Upgrades!$B$3:$B$13))*Upgrades!$D$3:$D$13))</f>
        <v>512225.4</v>
      </c>
      <c r="T499" s="66">
        <f>IFERROR(__xludf.DUMMYFUNCTION("IF(COUNTA(Q499:Q1350)=0,"""",IF(REGEXMATCH(INDEX(FILTER(Q$4:Q499,Q$4:Q499&lt;&gt;""""),ROWS(FILTER(Q$4:Q499,Q$4:Q499&lt;&gt;""""))),""^Sell_""),INDEX(FILTER(T$4:T498,Q$4:Q498&lt;&gt;""""),ROWS(FILTER(Q$4:Q498,Q$4:Q498&lt;&gt;""""))),$AD$5+S499))"),512425.4)</f>
        <v>512425.4</v>
      </c>
      <c r="U499" s="10">
        <f>IFERROR(__xludf.DUMMYFUNCTION("IF(COUNTA(Q499:Q1350)=0,"""",IF(Q499="""",0,IF(REGEXMATCH(Q499,""^Sell_""),-ROUNDDOWN(ROUNDUP(INDEX(Upgrades!$C$3:$C$13,MATCH(SUBSTITUTE(Q499,""Sell_"",""""),Upgrades!$B$3:$B$13,0))*1.15^(COUNTIF(Q$4:Q498,SUBSTITUTE(Q499,""Sell_"",""""))-COUNTIF(Q$4:Q498,"&amp;"""Sell_""&amp;SUBSTITUTE(Q499,""Sell_"",""""))))/2),ROUNDUP(INDEX(Upgrades!$C$3:$C$13,MATCH(Q499,Upgrades!$B$3:$B$13,0))*1.15^(COUNTIF(Q$4:Q498,Q499)-COUNTIF(Q$4:Q498,""Sell_""&amp;Q499))))))"),40456.0)</f>
        <v>40456</v>
      </c>
      <c r="V499" s="10">
        <f t="shared" si="11"/>
        <v>40456</v>
      </c>
      <c r="W499" s="68">
        <f t="shared" si="12"/>
        <v>6419.822586</v>
      </c>
      <c r="X499" s="59" t="str">
        <f t="shared" si="13"/>
        <v>1h 46m 59s</v>
      </c>
      <c r="Y499" s="69">
        <f t="shared" si="14"/>
        <v>813548857</v>
      </c>
      <c r="Z499" s="11"/>
    </row>
    <row r="500">
      <c r="A500" s="8"/>
      <c r="B500" s="56" t="str">
        <f t="shared" si="2"/>
        <v/>
      </c>
      <c r="C500" s="57"/>
      <c r="D500" s="10" t="str">
        <f>IFERROR(__xludf.DUMMYFUNCTION("IF(COUNTA(C500:C1350)=0,"""",IF(ISBLANK(C500),FALSE,IF(NOT(COUNTIF($AA$24:$AA$34,SUBSTITUTE(C500,""Sell_"",""""))),1,IF(REGEXMATCH(C500,""Sell_""),IF(COUNTIF(C$4:C500,SUBSTITUTE(C500,""Sell_"",""""))-COUNTIF(C$4:C499,C500)&lt;1,1),FALSE))))"),"")</f>
        <v/>
      </c>
      <c r="E500" s="59" t="str">
        <f t="array" ref="E500">IF(COUNTA(C500:C1350)=0,"",SUM((COUNTIF(C$4:C500,Upgrades!$B$3:$B$13)-COUNTIF(C$4:C500,"Sell_"&amp;Upgrades!$B$3:$B$13))*Upgrades!$D$3:$D$13))</f>
        <v/>
      </c>
      <c r="F500" s="66" t="str">
        <f>IFERROR(__xludf.DUMMYFUNCTION("IF(COUNTA(C500:C1350)=0,"""",IF(REGEXMATCH(INDEX(FILTER(C$4:C500,C$4:C500&lt;&gt;""""),ROWS(FILTER(C$4:C500,C$4:C500&lt;&gt;""""))),""^Sell_""),INDEX(FILTER(F$4:F499,C$4:C499&lt;&gt;""""),ROWS(FILTER(C$4:C499,C$4:C499&lt;&gt;""""))),$AC$5+E500))"),"")</f>
        <v/>
      </c>
      <c r="G500" s="10" t="str">
        <f>IFERROR(__xludf.DUMMYFUNCTION("IF(COUNTA(C500:C1350)=0,"""",IF(C500="""",0,IF(REGEXMATCH(C500,""^Sell_""),-ROUNDDOWN(ROUNDUP(INDEX(Upgrades!$C$3:$C$13,MATCH(SUBSTITUTE(C500,""Sell_"",""""),Upgrades!$B$3:$B$13,0))*1.15^(COUNTIF(C$4:C499,SUBSTITUTE(C500,""Sell_"",""""))-COUNTIF(C$4:C499,"&amp;"""Sell_""&amp;SUBSTITUTE(C500,""Sell_"",""""))))/2),ROUNDUP(INDEX(Upgrades!$C$3:$C$13,MATCH(C500,Upgrades!$B$3:$B$13,0))*1.15^(COUNTIF(C$4:C499,C500)-COUNTIF(C$4:C499,""Sell_""&amp;C500))))))"),"")</f>
        <v/>
      </c>
      <c r="H500" s="10" t="str">
        <f t="shared" si="3"/>
        <v/>
      </c>
      <c r="I500" s="68" t="str">
        <f t="shared" si="4"/>
        <v/>
      </c>
      <c r="J500" s="59" t="str">
        <f t="shared" si="5"/>
        <v/>
      </c>
      <c r="K500" s="69" t="str">
        <f t="shared" si="6"/>
        <v/>
      </c>
      <c r="L500" s="60">
        <f t="shared" si="7"/>
        <v>-198.31688</v>
      </c>
      <c r="M500" s="61">
        <f>IFERROR(__xludf.DUMMYFUNCTION("IFS(AND(COUNTA(C500:C1350)=0,COUNTA(Q500:Q1350)=0),"""",OR(AND(K500&gt;=1000000000,OR(Y500&gt;=1000000000,COUNTA(Q500:Q1350)=0)),OR(Y500&gt;=1000000000,AND(COUNTA(C500:C1350)=0,P$3=TRUE))),
ROUNDDOWN((AB$1-AC$1)*MAX(INDEX(T$4:T1350,MATCH(LARGE(FILTER(Y$4:Y1350,Y$4"&amp;":Y1350&lt;1000000000),1),Y$4:Y1350)),INDEX(F$4:F1350,MATCH(LARGE(FILTER(K$4:K1350,K$4:K1350&lt;1000000000),1),K$4:K1350)))),AND(K500&lt;1000000000,COUNTA(C500:C1350)&gt;0,P$3=FALSE),
ROUNDDOWN(INDEX(Y$4:Y1350,MATCH(LARGE(FILTER(W$4:W1350,W$4:W1350&lt;=I500),1),W$4:W1350"&amp;"))+(I500-LARGE(FILTER(W$4:W1350,W$4:W1350&lt;=I500),1))*INDEX(T$4:T1350,MATCH(LARGE(FILTER(W$4:W1350,W$4:W1350&lt;=I500),1),W$4:W1350))-K500),1,
ROUNDDOWN(Y500-INDEX(K$4:K1350,MATCH(LARGE(FILTER(I$4:I1350,I$4:I1350&lt;=W500),1),I$4:I1350))-(W500-LARGE(FILTER(I$4:I"&amp;"1350,I$4:I1350&lt;=W500),1))*INDEX(F$4:F1350,MATCH(LARGE(FILTER(I$4:I1350,I$4:I1350&lt;=W500),1),I$4:I1350))))"),1.01972473E8)</f>
        <v>101972473</v>
      </c>
      <c r="N500" s="60">
        <f t="shared" si="8"/>
        <v>-198.31688</v>
      </c>
      <c r="O500" s="61" t="str">
        <f t="shared" si="9"/>
        <v>102,0M</v>
      </c>
      <c r="P500" s="56">
        <f t="shared" si="10"/>
        <v>8</v>
      </c>
      <c r="Q500" s="105" t="s">
        <v>8</v>
      </c>
      <c r="R500" s="10" t="b">
        <f>IFERROR(__xludf.DUMMYFUNCTION("IF(COUNTA(Q500:Q1350)=0,"""",IF(ISBLANK(Q500),FALSE,IF(NOT(COUNTIF($AA$24:$AA$34,SUBSTITUTE(Q500,""Sell_"",""""))),1,IF(REGEXMATCH(Q500,""Sell_""),IF(COUNTIF(Q$4:Q500,SUBSTITUTE(Q500,""Sell_"",""""))-COUNTIF(Q$4:Q499,Q500)&lt;1,1),FALSE))))"),FALSE)</f>
        <v>0</v>
      </c>
      <c r="S500" s="59">
        <f t="array" ref="S500">IF(COUNTA(Q500:Q1350)=0,"",SUM((COUNTIF(Q$4:Q500,Upgrades!$B$3:$B$13)-COUNTIF(Q$4:Q500,"Sell_"&amp;Upgrades!$B$3:$B$13))*Upgrades!$D$3:$D$13))</f>
        <v>512325.4</v>
      </c>
      <c r="T500" s="66">
        <f>IFERROR(__xludf.DUMMYFUNCTION("IF(COUNTA(Q500:Q1350)=0,"""",IF(REGEXMATCH(INDEX(FILTER(Q$4:Q500,Q$4:Q500&lt;&gt;""""),ROWS(FILTER(Q$4:Q500,Q$4:Q500&lt;&gt;""""))),""^Sell_""),INDEX(FILTER(T$4:T499,Q$4:Q499&lt;&gt;""""),ROWS(FILTER(Q$4:Q499,Q$4:Q499&lt;&gt;""""))),$AD$5+S500))"),512525.4)</f>
        <v>512525.4</v>
      </c>
      <c r="U500" s="10">
        <f>IFERROR(__xludf.DUMMYFUNCTION("IF(COUNTA(Q500:Q1350)=0,"""",IF(Q500="""",0,IF(REGEXMATCH(Q500,""^Sell_""),-ROUNDDOWN(ROUNDUP(INDEX(Upgrades!$C$3:$C$13,MATCH(SUBSTITUTE(Q500,""Sell_"",""""),Upgrades!$B$3:$B$13,0))*1.15^(COUNTIF(Q$4:Q499,SUBSTITUTE(Q500,""Sell_"",""""))-COUNTIF(Q$4:Q499,"&amp;"""Sell_""&amp;SUBSTITUTE(Q500,""Sell_"",""""))))/2),ROUNDUP(INDEX(Upgrades!$C$3:$C$13,MATCH(Q500,Upgrades!$B$3:$B$13,0))*1.15^(COUNTIF(Q$4:Q499,Q500)-COUNTIF(Q$4:Q499,""Sell_""&amp;Q500))))))"),106401.0)</f>
        <v>106401</v>
      </c>
      <c r="V500" s="10">
        <f t="shared" si="11"/>
        <v>106401</v>
      </c>
      <c r="W500" s="68">
        <f t="shared" si="12"/>
        <v>6420.030228</v>
      </c>
      <c r="X500" s="59" t="str">
        <f t="shared" si="13"/>
        <v>1h 47m 00s</v>
      </c>
      <c r="Y500" s="69">
        <f t="shared" si="14"/>
        <v>813655258</v>
      </c>
      <c r="Z500" s="11"/>
    </row>
    <row r="501">
      <c r="A501" s="8"/>
      <c r="B501" s="56" t="str">
        <f t="shared" si="2"/>
        <v/>
      </c>
      <c r="C501" s="57"/>
      <c r="D501" s="10" t="str">
        <f>IFERROR(__xludf.DUMMYFUNCTION("IF(COUNTA(C501:C1350)=0,"""",IF(ISBLANK(C501),FALSE,IF(NOT(COUNTIF($AA$24:$AA$34,SUBSTITUTE(C501,""Sell_"",""""))),1,IF(REGEXMATCH(C501,""Sell_""),IF(COUNTIF(C$4:C501,SUBSTITUTE(C501,""Sell_"",""""))-COUNTIF(C$4:C500,C501)&lt;1,1),FALSE))))"),"")</f>
        <v/>
      </c>
      <c r="E501" s="59" t="str">
        <f t="array" ref="E501">IF(COUNTA(C501:C1350)=0,"",SUM((COUNTIF(C$4:C501,Upgrades!$B$3:$B$13)-COUNTIF(C$4:C501,"Sell_"&amp;Upgrades!$B$3:$B$13))*Upgrades!$D$3:$D$13))</f>
        <v/>
      </c>
      <c r="F501" s="66" t="str">
        <f>IFERROR(__xludf.DUMMYFUNCTION("IF(COUNTA(C501:C1350)=0,"""",IF(REGEXMATCH(INDEX(FILTER(C$4:C501,C$4:C501&lt;&gt;""""),ROWS(FILTER(C$4:C501,C$4:C501&lt;&gt;""""))),""^Sell_""),INDEX(FILTER(F$4:F500,C$4:C500&lt;&gt;""""),ROWS(FILTER(C$4:C500,C$4:C500&lt;&gt;""""))),$AC$5+E501))"),"")</f>
        <v/>
      </c>
      <c r="G501" s="10" t="str">
        <f>IFERROR(__xludf.DUMMYFUNCTION("IF(COUNTA(C501:C1350)=0,"""",IF(C501="""",0,IF(REGEXMATCH(C501,""^Sell_""),-ROUNDDOWN(ROUNDUP(INDEX(Upgrades!$C$3:$C$13,MATCH(SUBSTITUTE(C501,""Sell_"",""""),Upgrades!$B$3:$B$13,0))*1.15^(COUNTIF(C$4:C500,SUBSTITUTE(C501,""Sell_"",""""))-COUNTIF(C$4:C500,"&amp;"""Sell_""&amp;SUBSTITUTE(C501,""Sell_"",""""))))/2),ROUNDUP(INDEX(Upgrades!$C$3:$C$13,MATCH(C501,Upgrades!$B$3:$B$13,0))*1.15^(COUNTIF(C$4:C500,C501)-COUNTIF(C$4:C500,""Sell_""&amp;C501))))))"),"")</f>
        <v/>
      </c>
      <c r="H501" s="10" t="str">
        <f t="shared" si="3"/>
        <v/>
      </c>
      <c r="I501" s="68" t="str">
        <f t="shared" si="4"/>
        <v/>
      </c>
      <c r="J501" s="59" t="str">
        <f t="shared" si="5"/>
        <v/>
      </c>
      <c r="K501" s="69" t="str">
        <f t="shared" si="6"/>
        <v/>
      </c>
      <c r="L501" s="60">
        <f t="shared" si="7"/>
        <v>-198.2742</v>
      </c>
      <c r="M501" s="61">
        <f>IFERROR(__xludf.DUMMYFUNCTION("IFS(AND(COUNTA(C501:C1350)=0,COUNTA(Q501:Q1350)=0),"""",OR(AND(K501&gt;=1000000000,OR(Y501&gt;=1000000000,COUNTA(Q501:Q1350)=0)),OR(Y501&gt;=1000000000,AND(COUNTA(C501:C1350)=0,P$3=TRUE))),
ROUNDDOWN((AB$1-AC$1)*MAX(INDEX(T$4:T1350,MATCH(LARGE(FILTER(Y$4:Y1350,Y$4"&amp;":Y1350&lt;1000000000),1),Y$4:Y1350)),INDEX(F$4:F1350,MATCH(LARGE(FILTER(K$4:K1350,K$4:K1350&lt;1000000000),1),K$4:K1350)))),AND(K501&lt;1000000000,COUNTA(C501:C1350)&gt;0,P$3=FALSE),
ROUNDDOWN(INDEX(Y$4:Y1350,MATCH(LARGE(FILTER(W$4:W1350,W$4:W1350&lt;=I501),1),W$4:W1350"&amp;"))+(I501-LARGE(FILTER(W$4:W1350,W$4:W1350&lt;=I501),1))*INDEX(T$4:T1350,MATCH(LARGE(FILTER(W$4:W1350,W$4:W1350&lt;=I501),1),W$4:W1350))-K501),1,
ROUNDDOWN(Y501-INDEX(K$4:K1350,MATCH(LARGE(FILTER(I$4:I1350,I$4:I1350&lt;=W501),1),I$4:I1350))-(W501-LARGE(FILTER(I$4:I"&amp;"1350,I$4:I1350&lt;=W501),1))*INDEX(F$4:F1350,MATCH(LARGE(FILTER(I$4:I1350,I$4:I1350&lt;=W501),1),I$4:I1350))))"),1.02064535E8)</f>
        <v>102064535</v>
      </c>
      <c r="N501" s="60">
        <f t="shared" si="8"/>
        <v>-198.2742</v>
      </c>
      <c r="O501" s="61" t="str">
        <f t="shared" si="9"/>
        <v>102,1M</v>
      </c>
      <c r="P501" s="56">
        <f t="shared" si="10"/>
        <v>7</v>
      </c>
      <c r="Q501" s="105" t="s">
        <v>9</v>
      </c>
      <c r="R501" s="10" t="b">
        <f>IFERROR(__xludf.DUMMYFUNCTION("IF(COUNTA(Q501:Q1350)=0,"""",IF(ISBLANK(Q501),FALSE,IF(NOT(COUNTIF($AA$24:$AA$34,SUBSTITUTE(Q501,""Sell_"",""""))),1,IF(REGEXMATCH(Q501,""Sell_""),IF(COUNTIF(Q$4:Q501,SUBSTITUTE(Q501,""Sell_"",""""))-COUNTIF(Q$4:Q500,Q501)&lt;1,1),FALSE))))"),FALSE)</f>
        <v>0</v>
      </c>
      <c r="S501" s="59">
        <f t="array" ref="S501">IF(COUNTA(Q501:Q1350)=0,"",SUM((COUNTIF(Q$4:Q501,Upgrades!$B$3:$B$13)-COUNTIF(Q$4:Q501,"Sell_"&amp;Upgrades!$B$3:$B$13))*Upgrades!$D$3:$D$13))</f>
        <v>512725.4</v>
      </c>
      <c r="T501" s="66">
        <f>IFERROR(__xludf.DUMMYFUNCTION("IF(COUNTA(Q501:Q1350)=0,"""",IF(REGEXMATCH(INDEX(FILTER(Q$4:Q501,Q$4:Q501&lt;&gt;""""),ROWS(FILTER(Q$4:Q501,Q$4:Q501&lt;&gt;""""))),""^Sell_""),INDEX(FILTER(T$4:T500,Q$4:Q500&lt;&gt;""""),ROWS(FILTER(Q$4:Q500,Q$4:Q500&lt;&gt;""""))),$AD$5+S501))"),512925.4)</f>
        <v>512925.4</v>
      </c>
      <c r="U501" s="10">
        <f>IFERROR(__xludf.DUMMYFUNCTION("IF(COUNTA(Q501:Q1350)=0,"""",IF(Q501="""",0,IF(REGEXMATCH(Q501,""^Sell_""),-ROUNDDOWN(ROUNDUP(INDEX(Upgrades!$C$3:$C$13,MATCH(SUBSTITUTE(Q501,""Sell_"",""""),Upgrades!$B$3:$B$13,0))*1.15^(COUNTIF(Q$4:Q500,SUBSTITUTE(Q501,""Sell_"",""""))-COUNTIF(Q$4:Q500,"&amp;"""Sell_""&amp;SUBSTITUTE(Q501,""Sell_"",""""))))/2),ROUNDUP(INDEX(Upgrades!$C$3:$C$13,MATCH(Q501,Upgrades!$B$3:$B$13,0))*1.15^(COUNTIF(Q$4:Q500,Q501)-COUNTIF(Q$4:Q500,""Sell_""&amp;Q501))))))"),462613.0)</f>
        <v>462613</v>
      </c>
      <c r="V501" s="10">
        <f t="shared" si="11"/>
        <v>462613</v>
      </c>
      <c r="W501" s="68">
        <f t="shared" si="12"/>
        <v>6420.932842</v>
      </c>
      <c r="X501" s="59" t="str">
        <f t="shared" si="13"/>
        <v>1h 47m 00s</v>
      </c>
      <c r="Y501" s="69">
        <f t="shared" si="14"/>
        <v>814117871</v>
      </c>
      <c r="Z501" s="11"/>
    </row>
    <row r="502">
      <c r="A502" s="8"/>
      <c r="B502" s="56" t="str">
        <f t="shared" si="2"/>
        <v/>
      </c>
      <c r="C502" s="57"/>
      <c r="D502" s="10" t="str">
        <f>IFERROR(__xludf.DUMMYFUNCTION("IF(COUNTA(C502:C1350)=0,"""",IF(ISBLANK(C502),FALSE,IF(NOT(COUNTIF($AA$24:$AA$34,SUBSTITUTE(C502,""Sell_"",""""))),1,IF(REGEXMATCH(C502,""Sell_""),IF(COUNTIF(C$4:C502,SUBSTITUTE(C502,""Sell_"",""""))-COUNTIF(C$4:C501,C502)&lt;1,1),FALSE))))"),"")</f>
        <v/>
      </c>
      <c r="E502" s="59" t="str">
        <f t="array" ref="E502">IF(COUNTA(C502:C1350)=0,"",SUM((COUNTIF(C$4:C502,Upgrades!$B$3:$B$13)-COUNTIF(C$4:C502,"Sell_"&amp;Upgrades!$B$3:$B$13))*Upgrades!$D$3:$D$13))</f>
        <v/>
      </c>
      <c r="F502" s="66" t="str">
        <f>IFERROR(__xludf.DUMMYFUNCTION("IF(COUNTA(C502:C1350)=0,"""",IF(REGEXMATCH(INDEX(FILTER(C$4:C502,C$4:C502&lt;&gt;""""),ROWS(FILTER(C$4:C502,C$4:C502&lt;&gt;""""))),""^Sell_""),INDEX(FILTER(F$4:F501,C$4:C501&lt;&gt;""""),ROWS(FILTER(C$4:C501,C$4:C501&lt;&gt;""""))),$AC$5+E502))"),"")</f>
        <v/>
      </c>
      <c r="G502" s="10" t="str">
        <f>IFERROR(__xludf.DUMMYFUNCTION("IF(COUNTA(C502:C1350)=0,"""",IF(C502="""",0,IF(REGEXMATCH(C502,""^Sell_""),-ROUNDDOWN(ROUNDUP(INDEX(Upgrades!$C$3:$C$13,MATCH(SUBSTITUTE(C502,""Sell_"",""""),Upgrades!$B$3:$B$13,0))*1.15^(COUNTIF(C$4:C501,SUBSTITUTE(C502,""Sell_"",""""))-COUNTIF(C$4:C501,"&amp;"""Sell_""&amp;SUBSTITUTE(C502,""Sell_"",""""))))/2),ROUNDUP(INDEX(Upgrades!$C$3:$C$13,MATCH(C502,Upgrades!$B$3:$B$13,0))*1.15^(COUNTIF(C$4:C501,C502)-COUNTIF(C$4:C501,""Sell_""&amp;C502))))))"),"")</f>
        <v/>
      </c>
      <c r="H502" s="10" t="str">
        <f t="shared" si="3"/>
        <v/>
      </c>
      <c r="I502" s="68" t="str">
        <f t="shared" si="4"/>
        <v/>
      </c>
      <c r="J502" s="59" t="str">
        <f t="shared" si="5"/>
        <v/>
      </c>
      <c r="K502" s="69" t="str">
        <f t="shared" si="6"/>
        <v/>
      </c>
      <c r="L502" s="60">
        <f t="shared" si="7"/>
        <v>-198.26998</v>
      </c>
      <c r="M502" s="61">
        <f>IFERROR(__xludf.DUMMYFUNCTION("IFS(AND(COUNTA(C502:C1350)=0,COUNTA(Q502:Q1350)=0),"""",OR(AND(K502&gt;=1000000000,OR(Y502&gt;=1000000000,COUNTA(Q502:Q1350)=0)),OR(Y502&gt;=1000000000,AND(COUNTA(C502:C1350)=0,P$3=TRUE))),
ROUNDDOWN((AB$1-AC$1)*MAX(INDEX(T$4:T1350,MATCH(LARGE(FILTER(Y$4:Y1350,Y$4"&amp;":Y1350&lt;1000000000),1),Y$4:Y1350)),INDEX(F$4:F1350,MATCH(LARGE(FILTER(K$4:K1350,K$4:K1350&lt;1000000000),1),K$4:K1350)))),AND(K502&lt;1000000000,COUNTA(C502:C1350)&gt;0,P$3=FALSE),
ROUNDDOWN(INDEX(Y$4:Y1350,MATCH(LARGE(FILTER(W$4:W1350,W$4:W1350&lt;=I502),1),W$4:W1350"&amp;"))+(I502-LARGE(FILTER(W$4:W1350,W$4:W1350&lt;=I502),1))*INDEX(T$4:T1350,MATCH(LARGE(FILTER(W$4:W1350,W$4:W1350&lt;=I502),1),W$4:W1350))-K502),1,
ROUNDDOWN(Y502-INDEX(K$4:K1350,MATCH(LARGE(FILTER(I$4:I1350,I$4:I1350&lt;=W502),1),I$4:I1350))-(W502-LARGE(FILTER(I$4:I"&amp;"1350,I$4:I1350&lt;=W502),1))*INDEX(F$4:F1350,MATCH(LARGE(FILTER(I$4:I1350,I$4:I1350&lt;=W502),1),I$4:I1350))))"),1.02073823E8)</f>
        <v>102073823</v>
      </c>
      <c r="N502" s="60">
        <f t="shared" si="8"/>
        <v>-198.26998</v>
      </c>
      <c r="O502" s="61" t="str">
        <f t="shared" si="9"/>
        <v>102,1M</v>
      </c>
      <c r="P502" s="56">
        <f t="shared" si="10"/>
        <v>12</v>
      </c>
      <c r="Q502" s="105" t="s">
        <v>7</v>
      </c>
      <c r="R502" s="10" t="b">
        <f>IFERROR(__xludf.DUMMYFUNCTION("IF(COUNTA(Q502:Q1350)=0,"""",IF(ISBLANK(Q502),FALSE,IF(NOT(COUNTIF($AA$24:$AA$34,SUBSTITUTE(Q502,""Sell_"",""""))),1,IF(REGEXMATCH(Q502,""Sell_""),IF(COUNTIF(Q$4:Q502,SUBSTITUTE(Q502,""Sell_"",""""))-COUNTIF(Q$4:Q501,Q502)&lt;1,1),FALSE))))"),FALSE)</f>
        <v>0</v>
      </c>
      <c r="S502" s="59">
        <f t="array" ref="S502">IF(COUNTA(Q502:Q1350)=0,"",SUM((COUNTIF(Q$4:Q502,Upgrades!$B$3:$B$13)-COUNTIF(Q$4:Q502,"Sell_"&amp;Upgrades!$B$3:$B$13))*Upgrades!$D$3:$D$13))</f>
        <v>512765.4</v>
      </c>
      <c r="T502" s="66">
        <f>IFERROR(__xludf.DUMMYFUNCTION("IF(COUNTA(Q502:Q1350)=0,"""",IF(REGEXMATCH(INDEX(FILTER(Q$4:Q502,Q$4:Q502&lt;&gt;""""),ROWS(FILTER(Q$4:Q502,Q$4:Q502&lt;&gt;""""))),""^Sell_""),INDEX(FILTER(T$4:T501,Q$4:Q501&lt;&gt;""""),ROWS(FILTER(Q$4:Q501,Q$4:Q501&lt;&gt;""""))),$AD$5+S502))"),512965.4)</f>
        <v>512965.4</v>
      </c>
      <c r="U502" s="10">
        <f>IFERROR(__xludf.DUMMYFUNCTION("IF(COUNTA(Q502:Q1350)=0,"""",IF(Q502="""",0,IF(REGEXMATCH(Q502,""^Sell_""),-ROUNDDOWN(ROUNDUP(INDEX(Upgrades!$C$3:$C$13,MATCH(SUBSTITUTE(Q502,""Sell_"",""""),Upgrades!$B$3:$B$13,0))*1.15^(COUNTIF(Q$4:Q501,SUBSTITUTE(Q502,""Sell_"",""""))-COUNTIF(Q$4:Q501,"&amp;"""Sell_""&amp;SUBSTITUTE(Q502,""Sell_"",""""))))/2),ROUNDUP(INDEX(Upgrades!$C$3:$C$13,MATCH(Q502,Upgrades!$B$3:$B$13,0))*1.15^(COUNTIF(Q$4:Q501,Q502)-COUNTIF(Q$4:Q501,""Sell_""&amp;Q502))))))"),46524.0)</f>
        <v>46524</v>
      </c>
      <c r="V502" s="10">
        <f t="shared" si="11"/>
        <v>46524</v>
      </c>
      <c r="W502" s="68">
        <f t="shared" si="12"/>
        <v>6421.023546</v>
      </c>
      <c r="X502" s="59" t="str">
        <f t="shared" si="13"/>
        <v>1h 47m 01s</v>
      </c>
      <c r="Y502" s="69">
        <f t="shared" si="14"/>
        <v>814164395</v>
      </c>
      <c r="Z502" s="11"/>
    </row>
    <row r="503">
      <c r="A503" s="8"/>
      <c r="B503" s="56" t="str">
        <f t="shared" si="2"/>
        <v/>
      </c>
      <c r="C503" s="57"/>
      <c r="D503" s="10" t="str">
        <f>IFERROR(__xludf.DUMMYFUNCTION("IF(COUNTA(C503:C1350)=0,"""",IF(ISBLANK(C503),FALSE,IF(NOT(COUNTIF($AA$24:$AA$34,SUBSTITUTE(C503,""Sell_"",""""))),1,IF(REGEXMATCH(C503,""Sell_""),IF(COUNTIF(C$4:C503,SUBSTITUTE(C503,""Sell_"",""""))-COUNTIF(C$4:C502,C503)&lt;1,1),FALSE))))"),"")</f>
        <v/>
      </c>
      <c r="E503" s="59" t="str">
        <f t="array" ref="E503">IF(COUNTA(C503:C1350)=0,"",SUM((COUNTIF(C$4:C503,Upgrades!$B$3:$B$13)-COUNTIF(C$4:C503,"Sell_"&amp;Upgrades!$B$3:$B$13))*Upgrades!$D$3:$D$13))</f>
        <v/>
      </c>
      <c r="F503" s="66" t="str">
        <f>IFERROR(__xludf.DUMMYFUNCTION("IF(COUNTA(C503:C1350)=0,"""",IF(REGEXMATCH(INDEX(FILTER(C$4:C503,C$4:C503&lt;&gt;""""),ROWS(FILTER(C$4:C503,C$4:C503&lt;&gt;""""))),""^Sell_""),INDEX(FILTER(F$4:F502,C$4:C502&lt;&gt;""""),ROWS(FILTER(C$4:C502,C$4:C502&lt;&gt;""""))),$AC$5+E503))"),"")</f>
        <v/>
      </c>
      <c r="G503" s="10" t="str">
        <f>IFERROR(__xludf.DUMMYFUNCTION("IF(COUNTA(C503:C1350)=0,"""",IF(C503="""",0,IF(REGEXMATCH(C503,""^Sell_""),-ROUNDDOWN(ROUNDUP(INDEX(Upgrades!$C$3:$C$13,MATCH(SUBSTITUTE(C503,""Sell_"",""""),Upgrades!$B$3:$B$13,0))*1.15^(COUNTIF(C$4:C502,SUBSTITUTE(C503,""Sell_"",""""))-COUNTIF(C$4:C502,"&amp;"""Sell_""&amp;SUBSTITUTE(C503,""Sell_"",""""))))/2),ROUNDUP(INDEX(Upgrades!$C$3:$C$13,MATCH(C503,Upgrades!$B$3:$B$13,0))*1.15^(COUNTIF(C$4:C502,C503)-COUNTIF(C$4:C502,""Sell_""&amp;C503))))))"),"")</f>
        <v/>
      </c>
      <c r="H503" s="10" t="str">
        <f t="shared" si="3"/>
        <v/>
      </c>
      <c r="I503" s="68" t="str">
        <f t="shared" si="4"/>
        <v/>
      </c>
      <c r="J503" s="59" t="str">
        <f t="shared" si="5"/>
        <v/>
      </c>
      <c r="K503" s="69" t="str">
        <f t="shared" si="6"/>
        <v/>
      </c>
      <c r="L503" s="60">
        <f t="shared" si="7"/>
        <v>-198.2589</v>
      </c>
      <c r="M503" s="61">
        <f>IFERROR(__xludf.DUMMYFUNCTION("IFS(AND(COUNTA(C503:C1350)=0,COUNTA(Q503:Q1350)=0),"""",OR(AND(K503&gt;=1000000000,OR(Y503&gt;=1000000000,COUNTA(Q503:Q1350)=0)),OR(Y503&gt;=1000000000,AND(COUNTA(C503:C1350)=0,P$3=TRUE))),
ROUNDDOWN((AB$1-AC$1)*MAX(INDEX(T$4:T1350,MATCH(LARGE(FILTER(Y$4:Y1350,Y$4"&amp;":Y1350&lt;1000000000),1),Y$4:Y1350)),INDEX(F$4:F1350,MATCH(LARGE(FILTER(K$4:K1350,K$4:K1350&lt;1000000000),1),K$4:K1350)))),AND(K503&lt;1000000000,COUNTA(C503:C1350)&gt;0,P$3=FALSE),
ROUNDDOWN(INDEX(Y$4:Y1350,MATCH(LARGE(FILTER(W$4:W1350,W$4:W1350&lt;=I503),1),W$4:W1350"&amp;"))+(I503-LARGE(FILTER(W$4:W1350,W$4:W1350&lt;=I503),1))*INDEX(T$4:T1350,MATCH(LARGE(FILTER(W$4:W1350,W$4:W1350&lt;=I503),1),W$4:W1350))-K503),1,
ROUNDDOWN(Y503-INDEX(K$4:K1350,MATCH(LARGE(FILTER(I$4:I1350,I$4:I1350&lt;=W503),1),I$4:I1350))-(W503-LARGE(FILTER(I$4:I"&amp;"1350,I$4:I1350&lt;=W503),1))*INDEX(F$4:F1350,MATCH(LARGE(FILTER(I$4:I1350,I$4:I1350&lt;=W503),1),I$4:I1350))))"),1.02098257E8)</f>
        <v>102098257</v>
      </c>
      <c r="N503" s="60">
        <f t="shared" si="8"/>
        <v>-198.2589</v>
      </c>
      <c r="O503" s="61" t="str">
        <f t="shared" si="9"/>
        <v>102,1M</v>
      </c>
      <c r="P503" s="56">
        <f t="shared" si="10"/>
        <v>9</v>
      </c>
      <c r="Q503" s="105" t="s">
        <v>8</v>
      </c>
      <c r="R503" s="10" t="b">
        <f>IFERROR(__xludf.DUMMYFUNCTION("IF(COUNTA(Q503:Q1350)=0,"""",IF(ISBLANK(Q503),FALSE,IF(NOT(COUNTIF($AA$24:$AA$34,SUBSTITUTE(Q503,""Sell_"",""""))),1,IF(REGEXMATCH(Q503,""Sell_""),IF(COUNTIF(Q$4:Q503,SUBSTITUTE(Q503,""Sell_"",""""))-COUNTIF(Q$4:Q502,Q503)&lt;1,1),FALSE))))"),FALSE)</f>
        <v>0</v>
      </c>
      <c r="S503" s="59">
        <f t="array" ref="S503">IF(COUNTA(Q503:Q1350)=0,"",SUM((COUNTIF(Q$4:Q503,Upgrades!$B$3:$B$13)-COUNTIF(Q$4:Q503,"Sell_"&amp;Upgrades!$B$3:$B$13))*Upgrades!$D$3:$D$13))</f>
        <v>512865.4</v>
      </c>
      <c r="T503" s="66">
        <f>IFERROR(__xludf.DUMMYFUNCTION("IF(COUNTA(Q503:Q1350)=0,"""",IF(REGEXMATCH(INDEX(FILTER(Q$4:Q503,Q$4:Q503&lt;&gt;""""),ROWS(FILTER(Q$4:Q503,Q$4:Q503&lt;&gt;""""))),""^Sell_""),INDEX(FILTER(T$4:T502,Q$4:Q502&lt;&gt;""""),ROWS(FILTER(Q$4:Q502,Q$4:Q502&lt;&gt;""""))),$AD$5+S503))"),513065.4)</f>
        <v>513065.4</v>
      </c>
      <c r="U503" s="10">
        <f>IFERROR(__xludf.DUMMYFUNCTION("IF(COUNTA(Q503:Q1350)=0,"""",IF(Q503="""",0,IF(REGEXMATCH(Q503,""^Sell_""),-ROUNDDOWN(ROUNDUP(INDEX(Upgrades!$C$3:$C$13,MATCH(SUBSTITUTE(Q503,""Sell_"",""""),Upgrades!$B$3:$B$13,0))*1.15^(COUNTIF(Q$4:Q502,SUBSTITUTE(Q503,""Sell_"",""""))-COUNTIF(Q$4:Q502,"&amp;"""Sell_""&amp;SUBSTITUTE(Q503,""Sell_"",""""))))/2),ROUNDUP(INDEX(Upgrades!$C$3:$C$13,MATCH(Q503,Upgrades!$B$3:$B$13,0))*1.15^(COUNTIF(Q$4:Q502,Q503)-COUNTIF(Q$4:Q502,""Sell_""&amp;Q503))))))"),122361.0)</f>
        <v>122361</v>
      </c>
      <c r="V503" s="10">
        <f t="shared" si="11"/>
        <v>122361</v>
      </c>
      <c r="W503" s="68">
        <f t="shared" si="12"/>
        <v>6421.262082</v>
      </c>
      <c r="X503" s="59" t="str">
        <f t="shared" si="13"/>
        <v>1h 47m 01s</v>
      </c>
      <c r="Y503" s="69">
        <f t="shared" si="14"/>
        <v>814286756</v>
      </c>
      <c r="Z503" s="11"/>
    </row>
    <row r="504">
      <c r="A504" s="8"/>
      <c r="B504" s="56" t="str">
        <f t="shared" si="2"/>
        <v/>
      </c>
      <c r="C504" s="57"/>
      <c r="D504" s="10" t="str">
        <f>IFERROR(__xludf.DUMMYFUNCTION("IF(COUNTA(C504:C1350)=0,"""",IF(ISBLANK(C504),FALSE,IF(NOT(COUNTIF($AA$24:$AA$34,SUBSTITUTE(C504,""Sell_"",""""))),1,IF(REGEXMATCH(C504,""Sell_""),IF(COUNTIF(C$4:C504,SUBSTITUTE(C504,""Sell_"",""""))-COUNTIF(C$4:C503,C504)&lt;1,1),FALSE))))"),"")</f>
        <v/>
      </c>
      <c r="E504" s="59" t="str">
        <f t="array" ref="E504">IF(COUNTA(C504:C1350)=0,"",SUM((COUNTIF(C$4:C504,Upgrades!$B$3:$B$13)-COUNTIF(C$4:C504,"Sell_"&amp;Upgrades!$B$3:$B$13))*Upgrades!$D$3:$D$13))</f>
        <v/>
      </c>
      <c r="F504" s="66" t="str">
        <f>IFERROR(__xludf.DUMMYFUNCTION("IF(COUNTA(C504:C1350)=0,"""",IF(REGEXMATCH(INDEX(FILTER(C$4:C504,C$4:C504&lt;&gt;""""),ROWS(FILTER(C$4:C504,C$4:C504&lt;&gt;""""))),""^Sell_""),INDEX(FILTER(F$4:F503,C$4:C503&lt;&gt;""""),ROWS(FILTER(C$4:C503,C$4:C503&lt;&gt;""""))),$AC$5+E504))"),"")</f>
        <v/>
      </c>
      <c r="G504" s="10" t="str">
        <f>IFERROR(__xludf.DUMMYFUNCTION("IF(COUNTA(C504:C1350)=0,"""",IF(C504="""",0,IF(REGEXMATCH(C504,""^Sell_""),-ROUNDDOWN(ROUNDUP(INDEX(Upgrades!$C$3:$C$13,MATCH(SUBSTITUTE(C504,""Sell_"",""""),Upgrades!$B$3:$B$13,0))*1.15^(COUNTIF(C$4:C503,SUBSTITUTE(C504,""Sell_"",""""))-COUNTIF(C$4:C503,"&amp;"""Sell_""&amp;SUBSTITUTE(C504,""Sell_"",""""))))/2),ROUNDUP(INDEX(Upgrades!$C$3:$C$13,MATCH(C504,Upgrades!$B$3:$B$13,0))*1.15^(COUNTIF(C$4:C503,C504)-COUNTIF(C$4:C503,""Sell_""&amp;C504))))))"),"")</f>
        <v/>
      </c>
      <c r="H504" s="10" t="str">
        <f t="shared" si="3"/>
        <v/>
      </c>
      <c r="I504" s="68" t="str">
        <f t="shared" si="4"/>
        <v/>
      </c>
      <c r="J504" s="59" t="str">
        <f t="shared" si="5"/>
        <v/>
      </c>
      <c r="K504" s="69" t="str">
        <f t="shared" si="6"/>
        <v/>
      </c>
      <c r="L504" s="60">
        <f t="shared" si="7"/>
        <v>-198.21092</v>
      </c>
      <c r="M504" s="61">
        <f>IFERROR(__xludf.DUMMYFUNCTION("IFS(AND(COUNTA(C504:C1350)=0,COUNTA(Q504:Q1350)=0),"""",OR(AND(K504&gt;=1000000000,OR(Y504&gt;=1000000000,COUNTA(Q504:Q1350)=0)),OR(Y504&gt;=1000000000,AND(COUNTA(C504:C1350)=0,P$3=TRUE))),
ROUNDDOWN((AB$1-AC$1)*MAX(INDEX(T$4:T1350,MATCH(LARGE(FILTER(Y$4:Y1350,Y$4"&amp;":Y1350&lt;1000000000),1),Y$4:Y1350)),INDEX(F$4:F1350,MATCH(LARGE(FILTER(K$4:K1350,K$4:K1350&lt;1000000000),1),K$4:K1350)))),AND(K504&lt;1000000000,COUNTA(C504:C1350)&gt;0,P$3=FALSE),
ROUNDDOWN(INDEX(Y$4:Y1350,MATCH(LARGE(FILTER(W$4:W1350,W$4:W1350&lt;=I504),1),W$4:W1350"&amp;"))+(I504-LARGE(FILTER(W$4:W1350,W$4:W1350&lt;=I504),1))*INDEX(T$4:T1350,MATCH(LARGE(FILTER(W$4:W1350,W$4:W1350&lt;=I504),1),W$4:W1350))-K504),1,
ROUNDDOWN(Y504-INDEX(K$4:K1350,MATCH(LARGE(FILTER(I$4:I1350,I$4:I1350&lt;=W504),1),I$4:I1350))-(W504-LARGE(FILTER(I$4:I"&amp;"1350,I$4:I1350&lt;=W504),1))*INDEX(F$4:F1350,MATCH(LARGE(FILTER(I$4:I1350,I$4:I1350&lt;=W504),1),I$4:I1350))))"),1.02204577E8)</f>
        <v>102204577</v>
      </c>
      <c r="N504" s="60">
        <f t="shared" si="8"/>
        <v>-198.21092</v>
      </c>
      <c r="O504" s="61" t="str">
        <f t="shared" si="9"/>
        <v>102,2M</v>
      </c>
      <c r="P504" s="56">
        <f t="shared" si="10"/>
        <v>8</v>
      </c>
      <c r="Q504" s="105" t="s">
        <v>9</v>
      </c>
      <c r="R504" s="10" t="b">
        <f>IFERROR(__xludf.DUMMYFUNCTION("IF(COUNTA(Q504:Q1350)=0,"""",IF(ISBLANK(Q504),FALSE,IF(NOT(COUNTIF($AA$24:$AA$34,SUBSTITUTE(Q504,""Sell_"",""""))),1,IF(REGEXMATCH(Q504,""Sell_""),IF(COUNTIF(Q$4:Q504,SUBSTITUTE(Q504,""Sell_"",""""))-COUNTIF(Q$4:Q503,Q504)&lt;1,1),FALSE))))"),FALSE)</f>
        <v>0</v>
      </c>
      <c r="S504" s="59">
        <f t="array" ref="S504">IF(COUNTA(Q504:Q1350)=0,"",SUM((COUNTIF(Q$4:Q504,Upgrades!$B$3:$B$13)-COUNTIF(Q$4:Q504,"Sell_"&amp;Upgrades!$B$3:$B$13))*Upgrades!$D$3:$D$13))</f>
        <v>513265.4</v>
      </c>
      <c r="T504" s="66">
        <f>IFERROR(__xludf.DUMMYFUNCTION("IF(COUNTA(Q504:Q1350)=0,"""",IF(REGEXMATCH(INDEX(FILTER(Q$4:Q504,Q$4:Q504&lt;&gt;""""),ROWS(FILTER(Q$4:Q504,Q$4:Q504&lt;&gt;""""))),""^Sell_""),INDEX(FILTER(T$4:T503,Q$4:Q503&lt;&gt;""""),ROWS(FILTER(Q$4:Q503,Q$4:Q503&lt;&gt;""""))),$AD$5+S504))"),513465.4)</f>
        <v>513465.4</v>
      </c>
      <c r="U504" s="10">
        <f>IFERROR(__xludf.DUMMYFUNCTION("IF(COUNTA(Q504:Q1350)=0,"""",IF(Q504="""",0,IF(REGEXMATCH(Q504,""^Sell_""),-ROUNDDOWN(ROUNDUP(INDEX(Upgrades!$C$3:$C$13,MATCH(SUBSTITUTE(Q504,""Sell_"",""""),Upgrades!$B$3:$B$13,0))*1.15^(COUNTIF(Q$4:Q503,SUBSTITUTE(Q504,""Sell_"",""""))-COUNTIF(Q$4:Q503,"&amp;"""Sell_""&amp;SUBSTITUTE(Q504,""Sell_"",""""))))/2),ROUNDUP(INDEX(Upgrades!$C$3:$C$13,MATCH(Q504,Upgrades!$B$3:$B$13,0))*1.15^(COUNTIF(Q$4:Q503,Q504)-COUNTIF(Q$4:Q503,""Sell_""&amp;Q504))))))"),532004.0)</f>
        <v>532004</v>
      </c>
      <c r="V504" s="10">
        <f t="shared" si="11"/>
        <v>532004</v>
      </c>
      <c r="W504" s="68">
        <f t="shared" si="12"/>
        <v>6422.298995</v>
      </c>
      <c r="X504" s="59" t="str">
        <f t="shared" si="13"/>
        <v>1h 47m 02s</v>
      </c>
      <c r="Y504" s="69">
        <f t="shared" si="14"/>
        <v>814818760</v>
      </c>
      <c r="Z504" s="11"/>
    </row>
    <row r="505">
      <c r="A505" s="8"/>
      <c r="B505" s="56" t="str">
        <f t="shared" si="2"/>
        <v/>
      </c>
      <c r="C505" s="57"/>
      <c r="D505" s="10" t="str">
        <f>IFERROR(__xludf.DUMMYFUNCTION("IF(COUNTA(C505:C1350)=0,"""",IF(ISBLANK(C505),FALSE,IF(NOT(COUNTIF($AA$24:$AA$34,SUBSTITUTE(C505,""Sell_"",""""))),1,IF(REGEXMATCH(C505,""Sell_""),IF(COUNTIF(C$4:C505,SUBSTITUTE(C505,""Sell_"",""""))-COUNTIF(C$4:C504,C505)&lt;1,1),FALSE))))"),"")</f>
        <v/>
      </c>
      <c r="E505" s="59" t="str">
        <f t="array" ref="E505">IF(COUNTA(C505:C1350)=0,"",SUM((COUNTIF(C$4:C505,Upgrades!$B$3:$B$13)-COUNTIF(C$4:C505,"Sell_"&amp;Upgrades!$B$3:$B$13))*Upgrades!$D$3:$D$13))</f>
        <v/>
      </c>
      <c r="F505" s="66" t="str">
        <f>IFERROR(__xludf.DUMMYFUNCTION("IF(COUNTA(C505:C1350)=0,"""",IF(REGEXMATCH(INDEX(FILTER(C$4:C505,C$4:C505&lt;&gt;""""),ROWS(FILTER(C$4:C505,C$4:C505&lt;&gt;""""))),""^Sell_""),INDEX(FILTER(F$4:F504,C$4:C504&lt;&gt;""""),ROWS(FILTER(C$4:C504,C$4:C504&lt;&gt;""""))),$AC$5+E505))"),"")</f>
        <v/>
      </c>
      <c r="G505" s="10" t="str">
        <f>IFERROR(__xludf.DUMMYFUNCTION("IF(COUNTA(C505:C1350)=0,"""",IF(C505="""",0,IF(REGEXMATCH(C505,""^Sell_""),-ROUNDDOWN(ROUNDUP(INDEX(Upgrades!$C$3:$C$13,MATCH(SUBSTITUTE(C505,""Sell_"",""""),Upgrades!$B$3:$B$13,0))*1.15^(COUNTIF(C$4:C504,SUBSTITUTE(C505,""Sell_"",""""))-COUNTIF(C$4:C504,"&amp;"""Sell_""&amp;SUBSTITUTE(C505,""Sell_"",""""))))/2),ROUNDUP(INDEX(Upgrades!$C$3:$C$13,MATCH(C505,Upgrades!$B$3:$B$13,0))*1.15^(COUNTIF(C$4:C504,C505)-COUNTIF(C$4:C504,""Sell_""&amp;C505))))))"),"")</f>
        <v/>
      </c>
      <c r="H505" s="10" t="str">
        <f t="shared" si="3"/>
        <v/>
      </c>
      <c r="I505" s="68" t="str">
        <f t="shared" si="4"/>
        <v/>
      </c>
      <c r="J505" s="59" t="str">
        <f t="shared" si="5"/>
        <v/>
      </c>
      <c r="K505" s="69" t="str">
        <f t="shared" si="6"/>
        <v/>
      </c>
      <c r="L505" s="60">
        <f t="shared" si="7"/>
        <v>-198.20617</v>
      </c>
      <c r="M505" s="61">
        <f>IFERROR(__xludf.DUMMYFUNCTION("IFS(AND(COUNTA(C505:C1350)=0,COUNTA(Q505:Q1350)=0),"""",OR(AND(K505&gt;=1000000000,OR(Y505&gt;=1000000000,COUNTA(Q505:Q1350)=0)),OR(Y505&gt;=1000000000,AND(COUNTA(C505:C1350)=0,P$3=TRUE))),
ROUNDDOWN((AB$1-AC$1)*MAX(INDEX(T$4:T1350,MATCH(LARGE(FILTER(Y$4:Y1350,Y$4"&amp;":Y1350&lt;1000000000),1),Y$4:Y1350)),INDEX(F$4:F1350,MATCH(LARGE(FILTER(K$4:K1350,K$4:K1350&lt;1000000000),1),K$4:K1350)))),AND(K505&lt;1000000000,COUNTA(C505:C1350)&gt;0,P$3=FALSE),
ROUNDDOWN(INDEX(Y$4:Y1350,MATCH(LARGE(FILTER(W$4:W1350,W$4:W1350&lt;=I505),1),W$4:W1350"&amp;"))+(I505-LARGE(FILTER(W$4:W1350,W$4:W1350&lt;=I505),1))*INDEX(T$4:T1350,MATCH(LARGE(FILTER(W$4:W1350,W$4:W1350&lt;=I505),1),W$4:W1350))-K505),1,
ROUNDDOWN(Y505-INDEX(K$4:K1350,MATCH(LARGE(FILTER(I$4:I1350,I$4:I1350&lt;=W505),1),I$4:I1350))-(W505-LARGE(FILTER(I$4:I"&amp;"1350,I$4:I1350&lt;=W505),1))*INDEX(F$4:F1350,MATCH(LARGE(FILTER(I$4:I1350,I$4:I1350&lt;=W505),1),I$4:I1350))))"),1.02215303E8)</f>
        <v>102215303</v>
      </c>
      <c r="N505" s="60">
        <f t="shared" si="8"/>
        <v>-198.20617</v>
      </c>
      <c r="O505" s="61" t="str">
        <f t="shared" si="9"/>
        <v>102,2M</v>
      </c>
      <c r="P505" s="56">
        <f t="shared" si="10"/>
        <v>13</v>
      </c>
      <c r="Q505" s="105" t="s">
        <v>7</v>
      </c>
      <c r="R505" s="10" t="b">
        <f>IFERROR(__xludf.DUMMYFUNCTION("IF(COUNTA(Q505:Q1350)=0,"""",IF(ISBLANK(Q505),FALSE,IF(NOT(COUNTIF($AA$24:$AA$34,SUBSTITUTE(Q505,""Sell_"",""""))),1,IF(REGEXMATCH(Q505,""Sell_""),IF(COUNTIF(Q$4:Q505,SUBSTITUTE(Q505,""Sell_"",""""))-COUNTIF(Q$4:Q504,Q505)&lt;1,1),FALSE))))"),FALSE)</f>
        <v>0</v>
      </c>
      <c r="S505" s="59">
        <f t="array" ref="S505">IF(COUNTA(Q505:Q1350)=0,"",SUM((COUNTIF(Q$4:Q505,Upgrades!$B$3:$B$13)-COUNTIF(Q$4:Q505,"Sell_"&amp;Upgrades!$B$3:$B$13))*Upgrades!$D$3:$D$13))</f>
        <v>513305.4</v>
      </c>
      <c r="T505" s="66">
        <f>IFERROR(__xludf.DUMMYFUNCTION("IF(COUNTA(Q505:Q1350)=0,"""",IF(REGEXMATCH(INDEX(FILTER(Q$4:Q505,Q$4:Q505&lt;&gt;""""),ROWS(FILTER(Q$4:Q505,Q$4:Q505&lt;&gt;""""))),""^Sell_""),INDEX(FILTER(T$4:T504,Q$4:Q504&lt;&gt;""""),ROWS(FILTER(Q$4:Q504,Q$4:Q504&lt;&gt;""""))),$AD$5+S505))"),513505.4)</f>
        <v>513505.4</v>
      </c>
      <c r="U505" s="10">
        <f>IFERROR(__xludf.DUMMYFUNCTION("IF(COUNTA(Q505:Q1350)=0,"""",IF(Q505="""",0,IF(REGEXMATCH(Q505,""^Sell_""),-ROUNDDOWN(ROUNDUP(INDEX(Upgrades!$C$3:$C$13,MATCH(SUBSTITUTE(Q505,""Sell_"",""""),Upgrades!$B$3:$B$13,0))*1.15^(COUNTIF(Q$4:Q504,SUBSTITUTE(Q505,""Sell_"",""""))-COUNTIF(Q$4:Q504,"&amp;"""Sell_""&amp;SUBSTITUTE(Q505,""Sell_"",""""))))/2),ROUNDUP(INDEX(Upgrades!$C$3:$C$13,MATCH(Q505,Upgrades!$B$3:$B$13,0))*1.15^(COUNTIF(Q$4:Q504,Q505)-COUNTIF(Q$4:Q504,""Sell_""&amp;Q505))))))"),53503.0)</f>
        <v>53503</v>
      </c>
      <c r="V505" s="10">
        <f t="shared" si="11"/>
        <v>53503</v>
      </c>
      <c r="W505" s="68">
        <f t="shared" si="12"/>
        <v>6422.403195</v>
      </c>
      <c r="X505" s="59" t="str">
        <f t="shared" si="13"/>
        <v>1h 47m 02s</v>
      </c>
      <c r="Y505" s="69">
        <f t="shared" si="14"/>
        <v>814872263</v>
      </c>
      <c r="Z505" s="11"/>
    </row>
    <row r="506">
      <c r="A506" s="8"/>
      <c r="B506" s="56" t="str">
        <f t="shared" si="2"/>
        <v/>
      </c>
      <c r="C506" s="57"/>
      <c r="D506" s="10" t="str">
        <f>IFERROR(__xludf.DUMMYFUNCTION("IF(COUNTA(C506:C1350)=0,"""",IF(ISBLANK(C506),FALSE,IF(NOT(COUNTIF($AA$24:$AA$34,SUBSTITUTE(C506,""Sell_"",""""))),1,IF(REGEXMATCH(C506,""Sell_""),IF(COUNTIF(C$4:C506,SUBSTITUTE(C506,""Sell_"",""""))-COUNTIF(C$4:C505,C506)&lt;1,1),FALSE))))"),"")</f>
        <v/>
      </c>
      <c r="E506" s="59" t="str">
        <f t="array" ref="E506">IF(COUNTA(C506:C1350)=0,"",SUM((COUNTIF(C$4:C506,Upgrades!$B$3:$B$13)-COUNTIF(C$4:C506,"Sell_"&amp;Upgrades!$B$3:$B$13))*Upgrades!$D$3:$D$13))</f>
        <v/>
      </c>
      <c r="F506" s="66" t="str">
        <f>IFERROR(__xludf.DUMMYFUNCTION("IF(COUNTA(C506:C1350)=0,"""",IF(REGEXMATCH(INDEX(FILTER(C$4:C506,C$4:C506&lt;&gt;""""),ROWS(FILTER(C$4:C506,C$4:C506&lt;&gt;""""))),""^Sell_""),INDEX(FILTER(F$4:F505,C$4:C505&lt;&gt;""""),ROWS(FILTER(C$4:C505,C$4:C505&lt;&gt;""""))),$AC$5+E506))"),"")</f>
        <v/>
      </c>
      <c r="G506" s="10" t="str">
        <f>IFERROR(__xludf.DUMMYFUNCTION("IF(COUNTA(C506:C1350)=0,"""",IF(C506="""",0,IF(REGEXMATCH(C506,""^Sell_""),-ROUNDDOWN(ROUNDUP(INDEX(Upgrades!$C$3:$C$13,MATCH(SUBSTITUTE(C506,""Sell_"",""""),Upgrades!$B$3:$B$13,0))*1.15^(COUNTIF(C$4:C505,SUBSTITUTE(C506,""Sell_"",""""))-COUNTIF(C$4:C505,"&amp;"""Sell_""&amp;SUBSTITUTE(C506,""Sell_"",""""))))/2),ROUNDUP(INDEX(Upgrades!$C$3:$C$13,MATCH(C506,Upgrades!$B$3:$B$13,0))*1.15^(COUNTIF(C$4:C505,C506)-COUNTIF(C$4:C505,""Sell_""&amp;C506))))))"),"")</f>
        <v/>
      </c>
      <c r="H506" s="10" t="str">
        <f t="shared" si="3"/>
        <v/>
      </c>
      <c r="I506" s="68" t="str">
        <f t="shared" si="4"/>
        <v/>
      </c>
      <c r="J506" s="59" t="str">
        <f t="shared" si="5"/>
        <v/>
      </c>
      <c r="K506" s="69" t="str">
        <f t="shared" si="6"/>
        <v/>
      </c>
      <c r="L506" s="60">
        <f t="shared" si="7"/>
        <v>-198.19372</v>
      </c>
      <c r="M506" s="61">
        <f>IFERROR(__xludf.DUMMYFUNCTION("IFS(AND(COUNTA(C506:C1350)=0,COUNTA(Q506:Q1350)=0),"""",OR(AND(K506&gt;=1000000000,OR(Y506&gt;=1000000000,COUNTA(Q506:Q1350)=0)),OR(Y506&gt;=1000000000,AND(COUNTA(C506:C1350)=0,P$3=TRUE))),
ROUNDDOWN((AB$1-AC$1)*MAX(INDEX(T$4:T1350,MATCH(LARGE(FILTER(Y$4:Y1350,Y$4"&amp;":Y1350&lt;1000000000),1),Y$4:Y1350)),INDEX(F$4:F1350,MATCH(LARGE(FILTER(K$4:K1350,K$4:K1350&lt;1000000000),1),K$4:K1350)))),AND(K506&lt;1000000000,COUNTA(C506:C1350)&gt;0,P$3=FALSE),
ROUNDDOWN(INDEX(Y$4:Y1350,MATCH(LARGE(FILTER(W$4:W1350,W$4:W1350&lt;=I506),1),W$4:W1350"&amp;"))+(I506-LARGE(FILTER(W$4:W1350,W$4:W1350&lt;=I506),1))*INDEX(T$4:T1350,MATCH(LARGE(FILTER(W$4:W1350,W$4:W1350&lt;=I506),1),W$4:W1350))-K506),1,
ROUNDDOWN(Y506-INDEX(K$4:K1350,MATCH(LARGE(FILTER(I$4:I1350,I$4:I1350&lt;=W506),1),I$4:I1350))-(W506-LARGE(FILTER(I$4:I"&amp;"1350,I$4:I1350&lt;=W506),1))*INDEX(F$4:F1350,MATCH(LARGE(FILTER(I$4:I1350,I$4:I1350&lt;=W506),1),I$4:I1350))))"),1.02243521E8)</f>
        <v>102243521</v>
      </c>
      <c r="N506" s="60">
        <f t="shared" si="8"/>
        <v>-198.19372</v>
      </c>
      <c r="O506" s="61" t="str">
        <f t="shared" si="9"/>
        <v>102,2M</v>
      </c>
      <c r="P506" s="56">
        <f t="shared" si="10"/>
        <v>10</v>
      </c>
      <c r="Q506" s="105" t="s">
        <v>8</v>
      </c>
      <c r="R506" s="10" t="b">
        <f>IFERROR(__xludf.DUMMYFUNCTION("IF(COUNTA(Q506:Q1350)=0,"""",IF(ISBLANK(Q506),FALSE,IF(NOT(COUNTIF($AA$24:$AA$34,SUBSTITUTE(Q506,""Sell_"",""""))),1,IF(REGEXMATCH(Q506,""Sell_""),IF(COUNTIF(Q$4:Q506,SUBSTITUTE(Q506,""Sell_"",""""))-COUNTIF(Q$4:Q505,Q506)&lt;1,1),FALSE))))"),FALSE)</f>
        <v>0</v>
      </c>
      <c r="S506" s="59">
        <f t="array" ref="S506">IF(COUNTA(Q506:Q1350)=0,"",SUM((COUNTIF(Q$4:Q506,Upgrades!$B$3:$B$13)-COUNTIF(Q$4:Q506,"Sell_"&amp;Upgrades!$B$3:$B$13))*Upgrades!$D$3:$D$13))</f>
        <v>513405.4</v>
      </c>
      <c r="T506" s="66">
        <f>IFERROR(__xludf.DUMMYFUNCTION("IF(COUNTA(Q506:Q1350)=0,"""",IF(REGEXMATCH(INDEX(FILTER(Q$4:Q506,Q$4:Q506&lt;&gt;""""),ROWS(FILTER(Q$4:Q506,Q$4:Q506&lt;&gt;""""))),""^Sell_""),INDEX(FILTER(T$4:T505,Q$4:Q505&lt;&gt;""""),ROWS(FILTER(Q$4:Q505,Q$4:Q505&lt;&gt;""""))),$AD$5+S506))"),513605.4)</f>
        <v>513605.4</v>
      </c>
      <c r="U506" s="10">
        <f>IFERROR(__xludf.DUMMYFUNCTION("IF(COUNTA(Q506:Q1350)=0,"""",IF(Q506="""",0,IF(REGEXMATCH(Q506,""^Sell_""),-ROUNDDOWN(ROUNDUP(INDEX(Upgrades!$C$3:$C$13,MATCH(SUBSTITUTE(Q506,""Sell_"",""""),Upgrades!$B$3:$B$13,0))*1.15^(COUNTIF(Q$4:Q505,SUBSTITUTE(Q506,""Sell_"",""""))-COUNTIF(Q$4:Q505,"&amp;"""Sell_""&amp;SUBSTITUTE(Q506,""Sell_"",""""))))/2),ROUNDUP(INDEX(Upgrades!$C$3:$C$13,MATCH(Q506,Upgrades!$B$3:$B$13,0))*1.15^(COUNTIF(Q$4:Q505,Q506)-COUNTIF(Q$4:Q505,""Sell_""&amp;Q506))))))"),140716.0)</f>
        <v>140716</v>
      </c>
      <c r="V506" s="10">
        <f t="shared" si="11"/>
        <v>140716</v>
      </c>
      <c r="W506" s="68">
        <f t="shared" si="12"/>
        <v>6422.677225</v>
      </c>
      <c r="X506" s="59" t="str">
        <f t="shared" si="13"/>
        <v>1h 47m 02s</v>
      </c>
      <c r="Y506" s="69">
        <f t="shared" si="14"/>
        <v>815012979</v>
      </c>
      <c r="Z506" s="11"/>
    </row>
    <row r="507">
      <c r="A507" s="8"/>
      <c r="B507" s="56" t="str">
        <f t="shared" si="2"/>
        <v/>
      </c>
      <c r="C507" s="57"/>
      <c r="D507" s="10" t="str">
        <f>IFERROR(__xludf.DUMMYFUNCTION("IF(COUNTA(C507:C1350)=0,"""",IF(ISBLANK(C507),FALSE,IF(NOT(COUNTIF($AA$24:$AA$34,SUBSTITUTE(C507,""Sell_"",""""))),1,IF(REGEXMATCH(C507,""Sell_""),IF(COUNTIF(C$4:C507,SUBSTITUTE(C507,""Sell_"",""""))-COUNTIF(C$4:C506,C507)&lt;1,1),FALSE))))"),"")</f>
        <v/>
      </c>
      <c r="E507" s="59" t="str">
        <f t="array" ref="E507">IF(COUNTA(C507:C1350)=0,"",SUM((COUNTIF(C$4:C507,Upgrades!$B$3:$B$13)-COUNTIF(C$4:C507,"Sell_"&amp;Upgrades!$B$3:$B$13))*Upgrades!$D$3:$D$13))</f>
        <v/>
      </c>
      <c r="F507" s="66" t="str">
        <f>IFERROR(__xludf.DUMMYFUNCTION("IF(COUNTA(C507:C1350)=0,"""",IF(REGEXMATCH(INDEX(FILTER(C$4:C507,C$4:C507&lt;&gt;""""),ROWS(FILTER(C$4:C507,C$4:C507&lt;&gt;""""))),""^Sell_""),INDEX(FILTER(F$4:F506,C$4:C506&lt;&gt;""""),ROWS(FILTER(C$4:C506,C$4:C506&lt;&gt;""""))),$AC$5+E507))"),"")</f>
        <v/>
      </c>
      <c r="G507" s="10" t="str">
        <f>IFERROR(__xludf.DUMMYFUNCTION("IF(COUNTA(C507:C1350)=0,"""",IF(C507="""",0,IF(REGEXMATCH(C507,""^Sell_""),-ROUNDDOWN(ROUNDUP(INDEX(Upgrades!$C$3:$C$13,MATCH(SUBSTITUTE(C507,""Sell_"",""""),Upgrades!$B$3:$B$13,0))*1.15^(COUNTIF(C$4:C506,SUBSTITUTE(C507,""Sell_"",""""))-COUNTIF(C$4:C506,"&amp;"""Sell_""&amp;SUBSTITUTE(C507,""Sell_"",""""))))/2),ROUNDUP(INDEX(Upgrades!$C$3:$C$13,MATCH(C507,Upgrades!$B$3:$B$13,0))*1.15^(COUNTIF(C$4:C506,C507)-COUNTIF(C$4:C506,""Sell_""&amp;C507))))))"),"")</f>
        <v/>
      </c>
      <c r="H507" s="10" t="str">
        <f t="shared" si="3"/>
        <v/>
      </c>
      <c r="I507" s="68" t="str">
        <f t="shared" si="4"/>
        <v/>
      </c>
      <c r="J507" s="59" t="str">
        <f t="shared" si="5"/>
        <v/>
      </c>
      <c r="K507" s="69" t="str">
        <f t="shared" si="6"/>
        <v/>
      </c>
      <c r="L507" s="60">
        <f t="shared" si="7"/>
        <v>-198.13979</v>
      </c>
      <c r="M507" s="61">
        <f>IFERROR(__xludf.DUMMYFUNCTION("IFS(AND(COUNTA(C507:C1350)=0,COUNTA(Q507:Q1350)=0),"""",OR(AND(K507&gt;=1000000000,OR(Y507&gt;=1000000000,COUNTA(Q507:Q1350)=0)),OR(Y507&gt;=1000000000,AND(COUNTA(C507:C1350)=0,P$3=TRUE))),
ROUNDDOWN((AB$1-AC$1)*MAX(INDEX(T$4:T1350,MATCH(LARGE(FILTER(Y$4:Y1350,Y$4"&amp;":Y1350&lt;1000000000),1),Y$4:Y1350)),INDEX(F$4:F1350,MATCH(LARGE(FILTER(K$4:K1350,K$4:K1350&lt;1000000000),1),K$4:K1350)))),AND(K507&lt;1000000000,COUNTA(C507:C1350)&gt;0,P$3=FALSE),
ROUNDDOWN(INDEX(Y$4:Y1350,MATCH(LARGE(FILTER(W$4:W1350,W$4:W1350&lt;=I507),1),W$4:W1350"&amp;"))+(I507-LARGE(FILTER(W$4:W1350,W$4:W1350&lt;=I507),1))*INDEX(T$4:T1350,MATCH(LARGE(FILTER(W$4:W1350,W$4:W1350&lt;=I507),1),W$4:W1350))-K507),1,
ROUNDDOWN(Y507-INDEX(K$4:K1350,MATCH(LARGE(FILTER(I$4:I1350,I$4:I1350&lt;=W507),1),I$4:I1350))-(W507-LARGE(FILTER(I$4:I"&amp;"1350,I$4:I1350&lt;=W507),1))*INDEX(F$4:F1350,MATCH(LARGE(FILTER(I$4:I1350,I$4:I1350&lt;=W507),1),I$4:I1350))))"),1.02366304E8)</f>
        <v>102366304</v>
      </c>
      <c r="N507" s="60">
        <f t="shared" si="8"/>
        <v>-198.13979</v>
      </c>
      <c r="O507" s="61" t="str">
        <f t="shared" si="9"/>
        <v>102,4M</v>
      </c>
      <c r="P507" s="56">
        <f t="shared" si="10"/>
        <v>9</v>
      </c>
      <c r="Q507" s="105" t="s">
        <v>9</v>
      </c>
      <c r="R507" s="10" t="b">
        <f>IFERROR(__xludf.DUMMYFUNCTION("IF(COUNTA(Q507:Q1350)=0,"""",IF(ISBLANK(Q507),FALSE,IF(NOT(COUNTIF($AA$24:$AA$34,SUBSTITUTE(Q507,""Sell_"",""""))),1,IF(REGEXMATCH(Q507,""Sell_""),IF(COUNTIF(Q$4:Q507,SUBSTITUTE(Q507,""Sell_"",""""))-COUNTIF(Q$4:Q506,Q507)&lt;1,1),FALSE))))"),FALSE)</f>
        <v>0</v>
      </c>
      <c r="S507" s="59">
        <f t="array" ref="S507">IF(COUNTA(Q507:Q1350)=0,"",SUM((COUNTIF(Q$4:Q507,Upgrades!$B$3:$B$13)-COUNTIF(Q$4:Q507,"Sell_"&amp;Upgrades!$B$3:$B$13))*Upgrades!$D$3:$D$13))</f>
        <v>513805.4</v>
      </c>
      <c r="T507" s="66">
        <f>IFERROR(__xludf.DUMMYFUNCTION("IF(COUNTA(Q507:Q1350)=0,"""",IF(REGEXMATCH(INDEX(FILTER(Q$4:Q507,Q$4:Q507&lt;&gt;""""),ROWS(FILTER(Q$4:Q507,Q$4:Q507&lt;&gt;""""))),""^Sell_""),INDEX(FILTER(T$4:T506,Q$4:Q506&lt;&gt;""""),ROWS(FILTER(Q$4:Q506,Q$4:Q506&lt;&gt;""""))),$AD$5+S507))"),514005.4)</f>
        <v>514005.4</v>
      </c>
      <c r="U507" s="10">
        <f>IFERROR(__xludf.DUMMYFUNCTION("IF(COUNTA(Q507:Q1350)=0,"""",IF(Q507="""",0,IF(REGEXMATCH(Q507,""^Sell_""),-ROUNDDOWN(ROUNDUP(INDEX(Upgrades!$C$3:$C$13,MATCH(SUBSTITUTE(Q507,""Sell_"",""""),Upgrades!$B$3:$B$13,0))*1.15^(COUNTIF(Q$4:Q506,SUBSTITUTE(Q507,""Sell_"",""""))-COUNTIF(Q$4:Q506,"&amp;"""Sell_""&amp;SUBSTITUTE(Q507,""Sell_"",""""))))/2),ROUNDUP(INDEX(Upgrades!$C$3:$C$13,MATCH(Q507,Upgrades!$B$3:$B$13,0))*1.15^(COUNTIF(Q$4:Q506,Q507)-COUNTIF(Q$4:Q506,""Sell_""&amp;Q507))))))"),611805.0)</f>
        <v>611805</v>
      </c>
      <c r="V507" s="10">
        <f t="shared" si="11"/>
        <v>611805</v>
      </c>
      <c r="W507" s="68">
        <f t="shared" si="12"/>
        <v>6423.868421</v>
      </c>
      <c r="X507" s="59" t="str">
        <f t="shared" si="13"/>
        <v>1h 47m 03s</v>
      </c>
      <c r="Y507" s="69">
        <f t="shared" si="14"/>
        <v>815624784</v>
      </c>
      <c r="Z507" s="11"/>
    </row>
    <row r="508">
      <c r="A508" s="8"/>
      <c r="B508" s="56" t="str">
        <f t="shared" si="2"/>
        <v/>
      </c>
      <c r="C508" s="57"/>
      <c r="D508" s="10" t="str">
        <f>IFERROR(__xludf.DUMMYFUNCTION("IF(COUNTA(C508:C1350)=0,"""",IF(ISBLANK(C508),FALSE,IF(NOT(COUNTIF($AA$24:$AA$34,SUBSTITUTE(C508,""Sell_"",""""))),1,IF(REGEXMATCH(C508,""Sell_""),IF(COUNTIF(C$4:C508,SUBSTITUTE(C508,""Sell_"",""""))-COUNTIF(C$4:C507,C508)&lt;1,1),FALSE))))"),"")</f>
        <v/>
      </c>
      <c r="E508" s="59" t="str">
        <f t="array" ref="E508">IF(COUNTA(C508:C1350)=0,"",SUM((COUNTIF(C$4:C508,Upgrades!$B$3:$B$13)-COUNTIF(C$4:C508,"Sell_"&amp;Upgrades!$B$3:$B$13))*Upgrades!$D$3:$D$13))</f>
        <v/>
      </c>
      <c r="F508" s="66" t="str">
        <f>IFERROR(__xludf.DUMMYFUNCTION("IF(COUNTA(C508:C1350)=0,"""",IF(REGEXMATCH(INDEX(FILTER(C$4:C508,C$4:C508&lt;&gt;""""),ROWS(FILTER(C$4:C508,C$4:C508&lt;&gt;""""))),""^Sell_""),INDEX(FILTER(F$4:F507,C$4:C507&lt;&gt;""""),ROWS(FILTER(C$4:C507,C$4:C507&lt;&gt;""""))),$AC$5+E508))"),"")</f>
        <v/>
      </c>
      <c r="G508" s="10" t="str">
        <f>IFERROR(__xludf.DUMMYFUNCTION("IF(COUNTA(C508:C1350)=0,"""",IF(C508="""",0,IF(REGEXMATCH(C508,""^Sell_""),-ROUNDDOWN(ROUNDUP(INDEX(Upgrades!$C$3:$C$13,MATCH(SUBSTITUTE(C508,""Sell_"",""""),Upgrades!$B$3:$B$13,0))*1.15^(COUNTIF(C$4:C507,SUBSTITUTE(C508,""Sell_"",""""))-COUNTIF(C$4:C507,"&amp;"""Sell_""&amp;SUBSTITUTE(C508,""Sell_"",""""))))/2),ROUNDUP(INDEX(Upgrades!$C$3:$C$13,MATCH(C508,Upgrades!$B$3:$B$13,0))*1.15^(COUNTIF(C$4:C507,C508)-COUNTIF(C$4:C507,""Sell_""&amp;C508))))))"),"")</f>
        <v/>
      </c>
      <c r="H508" s="10" t="str">
        <f t="shared" si="3"/>
        <v/>
      </c>
      <c r="I508" s="68" t="str">
        <f t="shared" si="4"/>
        <v/>
      </c>
      <c r="J508" s="59" t="str">
        <f t="shared" si="5"/>
        <v/>
      </c>
      <c r="K508" s="69" t="str">
        <f t="shared" si="6"/>
        <v/>
      </c>
      <c r="L508" s="60">
        <f t="shared" si="7"/>
        <v>-198.13446</v>
      </c>
      <c r="M508" s="61">
        <f>IFERROR(__xludf.DUMMYFUNCTION("IFS(AND(COUNTA(C508:C1350)=0,COUNTA(Q508:Q1350)=0),"""",OR(AND(K508&gt;=1000000000,OR(Y508&gt;=1000000000,COUNTA(Q508:Q1350)=0)),OR(Y508&gt;=1000000000,AND(COUNTA(C508:C1350)=0,P$3=TRUE))),
ROUNDDOWN((AB$1-AC$1)*MAX(INDEX(T$4:T1350,MATCH(LARGE(FILTER(Y$4:Y1350,Y$4"&amp;":Y1350&lt;1000000000),1),Y$4:Y1350)),INDEX(F$4:F1350,MATCH(LARGE(FILTER(K$4:K1350,K$4:K1350&lt;1000000000),1),K$4:K1350)))),AND(K508&lt;1000000000,COUNTA(C508:C1350)&gt;0,P$3=FALSE),
ROUNDDOWN(INDEX(Y$4:Y1350,MATCH(LARGE(FILTER(W$4:W1350,W$4:W1350&lt;=I508),1),W$4:W1350"&amp;"))+(I508-LARGE(FILTER(W$4:W1350,W$4:W1350&lt;=I508),1))*INDEX(T$4:T1350,MATCH(LARGE(FILTER(W$4:W1350,W$4:W1350&lt;=I508),1),W$4:W1350))-K508),1,
ROUNDDOWN(Y508-INDEX(K$4:K1350,MATCH(LARGE(FILTER(I$4:I1350,I$4:I1350&lt;=W508),1),I$4:I1350))-(W508-LARGE(FILTER(I$4:I"&amp;"1350,I$4:I1350&lt;=W508),1))*INDEX(F$4:F1350,MATCH(LARGE(FILTER(I$4:I1350,I$4:I1350&lt;=W508),1),I$4:I1350))))"),1.0237869E8)</f>
        <v>102378690</v>
      </c>
      <c r="N508" s="60">
        <f t="shared" si="8"/>
        <v>-198.13446</v>
      </c>
      <c r="O508" s="61" t="str">
        <f t="shared" si="9"/>
        <v>102,4M</v>
      </c>
      <c r="P508" s="56">
        <f t="shared" si="10"/>
        <v>14</v>
      </c>
      <c r="Q508" s="105" t="s">
        <v>7</v>
      </c>
      <c r="R508" s="10" t="b">
        <f>IFERROR(__xludf.DUMMYFUNCTION("IF(COUNTA(Q508:Q1350)=0,"""",IF(ISBLANK(Q508),FALSE,IF(NOT(COUNTIF($AA$24:$AA$34,SUBSTITUTE(Q508,""Sell_"",""""))),1,IF(REGEXMATCH(Q508,""Sell_""),IF(COUNTIF(Q$4:Q508,SUBSTITUTE(Q508,""Sell_"",""""))-COUNTIF(Q$4:Q507,Q508)&lt;1,1),FALSE))))"),FALSE)</f>
        <v>0</v>
      </c>
      <c r="S508" s="59">
        <f t="array" ref="S508">IF(COUNTA(Q508:Q1350)=0,"",SUM((COUNTIF(Q$4:Q508,Upgrades!$B$3:$B$13)-COUNTIF(Q$4:Q508,"Sell_"&amp;Upgrades!$B$3:$B$13))*Upgrades!$D$3:$D$13))</f>
        <v>513845.4</v>
      </c>
      <c r="T508" s="66">
        <f>IFERROR(__xludf.DUMMYFUNCTION("IF(COUNTA(Q508:Q1350)=0,"""",IF(REGEXMATCH(INDEX(FILTER(Q$4:Q508,Q$4:Q508&lt;&gt;""""),ROWS(FILTER(Q$4:Q508,Q$4:Q508&lt;&gt;""""))),""^Sell_""),INDEX(FILTER(T$4:T507,Q$4:Q507&lt;&gt;""""),ROWS(FILTER(Q$4:Q507,Q$4:Q507&lt;&gt;""""))),$AD$5+S508))"),514045.4)</f>
        <v>514045.4</v>
      </c>
      <c r="U508" s="10">
        <f>IFERROR(__xludf.DUMMYFUNCTION("IF(COUNTA(Q508:Q1350)=0,"""",IF(Q508="""",0,IF(REGEXMATCH(Q508,""^Sell_""),-ROUNDDOWN(ROUNDUP(INDEX(Upgrades!$C$3:$C$13,MATCH(SUBSTITUTE(Q508,""Sell_"",""""),Upgrades!$B$3:$B$13,0))*1.15^(COUNTIF(Q$4:Q507,SUBSTITUTE(Q508,""Sell_"",""""))-COUNTIF(Q$4:Q507,"&amp;"""Sell_""&amp;SUBSTITUTE(Q508,""Sell_"",""""))))/2),ROUNDUP(INDEX(Upgrades!$C$3:$C$13,MATCH(Q508,Upgrades!$B$3:$B$13,0))*1.15^(COUNTIF(Q$4:Q507,Q508)-COUNTIF(Q$4:Q507,""Sell_""&amp;Q508))))))"),61528.0)</f>
        <v>61528</v>
      </c>
      <c r="V508" s="10">
        <f t="shared" si="11"/>
        <v>61528</v>
      </c>
      <c r="W508" s="68">
        <f t="shared" si="12"/>
        <v>6423.988125</v>
      </c>
      <c r="X508" s="59" t="str">
        <f t="shared" si="13"/>
        <v>1h 47m 03s</v>
      </c>
      <c r="Y508" s="69">
        <f t="shared" si="14"/>
        <v>815686312</v>
      </c>
      <c r="Z508" s="11"/>
    </row>
    <row r="509">
      <c r="A509" s="8"/>
      <c r="B509" s="56" t="str">
        <f t="shared" si="2"/>
        <v/>
      </c>
      <c r="C509" s="57"/>
      <c r="D509" s="10" t="str">
        <f>IFERROR(__xludf.DUMMYFUNCTION("IF(COUNTA(C509:C1350)=0,"""",IF(ISBLANK(C509),FALSE,IF(NOT(COUNTIF($AA$24:$AA$34,SUBSTITUTE(C509,""Sell_"",""""))),1,IF(REGEXMATCH(C509,""Sell_""),IF(COUNTIF(C$4:C509,SUBSTITUTE(C509,""Sell_"",""""))-COUNTIF(C$4:C508,C509)&lt;1,1),FALSE))))"),"")</f>
        <v/>
      </c>
      <c r="E509" s="59" t="str">
        <f t="array" ref="E509">IF(COUNTA(C509:C1350)=0,"",SUM((COUNTIF(C$4:C509,Upgrades!$B$3:$B$13)-COUNTIF(C$4:C509,"Sell_"&amp;Upgrades!$B$3:$B$13))*Upgrades!$D$3:$D$13))</f>
        <v/>
      </c>
      <c r="F509" s="66" t="str">
        <f>IFERROR(__xludf.DUMMYFUNCTION("IF(COUNTA(C509:C1350)=0,"""",IF(REGEXMATCH(INDEX(FILTER(C$4:C509,C$4:C509&lt;&gt;""""),ROWS(FILTER(C$4:C509,C$4:C509&lt;&gt;""""))),""^Sell_""),INDEX(FILTER(F$4:F508,C$4:C508&lt;&gt;""""),ROWS(FILTER(C$4:C508,C$4:C508&lt;&gt;""""))),$AC$5+E509))"),"")</f>
        <v/>
      </c>
      <c r="G509" s="10" t="str">
        <f>IFERROR(__xludf.DUMMYFUNCTION("IF(COUNTA(C509:C1350)=0,"""",IF(C509="""",0,IF(REGEXMATCH(C509,""^Sell_""),-ROUNDDOWN(ROUNDUP(INDEX(Upgrades!$C$3:$C$13,MATCH(SUBSTITUTE(C509,""Sell_"",""""),Upgrades!$B$3:$B$13,0))*1.15^(COUNTIF(C$4:C508,SUBSTITUTE(C509,""Sell_"",""""))-COUNTIF(C$4:C508,"&amp;"""Sell_""&amp;SUBSTITUTE(C509,""Sell_"",""""))))/2),ROUNDUP(INDEX(Upgrades!$C$3:$C$13,MATCH(C509,Upgrades!$B$3:$B$13,0))*1.15^(COUNTIF(C$4:C508,C509)-COUNTIF(C$4:C508,""Sell_""&amp;C509))))))"),"")</f>
        <v/>
      </c>
      <c r="H509" s="10" t="str">
        <f t="shared" si="3"/>
        <v/>
      </c>
      <c r="I509" s="68" t="str">
        <f t="shared" si="4"/>
        <v/>
      </c>
      <c r="J509" s="59" t="str">
        <f t="shared" si="5"/>
        <v/>
      </c>
      <c r="K509" s="69" t="str">
        <f t="shared" si="6"/>
        <v/>
      </c>
      <c r="L509" s="60">
        <f t="shared" si="7"/>
        <v>-198.12046</v>
      </c>
      <c r="M509" s="61">
        <f>IFERROR(__xludf.DUMMYFUNCTION("IFS(AND(COUNTA(C509:C1350)=0,COUNTA(Q509:Q1350)=0),"""",OR(AND(K509&gt;=1000000000,OR(Y509&gt;=1000000000,COUNTA(Q509:Q1350)=0)),OR(Y509&gt;=1000000000,AND(COUNTA(C509:C1350)=0,P$3=TRUE))),
ROUNDDOWN((AB$1-AC$1)*MAX(INDEX(T$4:T1350,MATCH(LARGE(FILTER(Y$4:Y1350,Y$4"&amp;":Y1350&lt;1000000000),1),Y$4:Y1350)),INDEX(F$4:F1350,MATCH(LARGE(FILTER(K$4:K1350,K$4:K1350&lt;1000000000),1),K$4:K1350)))),AND(K509&lt;1000000000,COUNTA(C509:C1350)&gt;0,P$3=FALSE),
ROUNDDOWN(INDEX(Y$4:Y1350,MATCH(LARGE(FILTER(W$4:W1350,W$4:W1350&lt;=I509),1),W$4:W1350"&amp;"))+(I509-LARGE(FILTER(W$4:W1350,W$4:W1350&lt;=I509),1))*INDEX(T$4:T1350,MATCH(LARGE(FILTER(W$4:W1350,W$4:W1350&lt;=I509),1),W$4:W1350))-K509),1,
ROUNDDOWN(Y509-INDEX(K$4:K1350,MATCH(LARGE(FILTER(I$4:I1350,I$4:I1350&lt;=W509),1),I$4:I1350))-(W509-LARGE(FILTER(I$4:I"&amp;"1350,I$4:I1350&lt;=W509),1))*INDEX(F$4:F1350,MATCH(LARGE(FILTER(I$4:I1350,I$4:I1350&lt;=W509),1),I$4:I1350))))"),1.02411277E8)</f>
        <v>102411277</v>
      </c>
      <c r="N509" s="60">
        <f t="shared" si="8"/>
        <v>-198.12046</v>
      </c>
      <c r="O509" s="61" t="str">
        <f t="shared" si="9"/>
        <v>102,4M</v>
      </c>
      <c r="P509" s="56">
        <f t="shared" si="10"/>
        <v>11</v>
      </c>
      <c r="Q509" s="105" t="s">
        <v>8</v>
      </c>
      <c r="R509" s="10" t="b">
        <f>IFERROR(__xludf.DUMMYFUNCTION("IF(COUNTA(Q509:Q1350)=0,"""",IF(ISBLANK(Q509),FALSE,IF(NOT(COUNTIF($AA$24:$AA$34,SUBSTITUTE(Q509,""Sell_"",""""))),1,IF(REGEXMATCH(Q509,""Sell_""),IF(COUNTIF(Q$4:Q509,SUBSTITUTE(Q509,""Sell_"",""""))-COUNTIF(Q$4:Q508,Q509)&lt;1,1),FALSE))))"),FALSE)</f>
        <v>0</v>
      </c>
      <c r="S509" s="59">
        <f t="array" ref="S509">IF(COUNTA(Q509:Q1350)=0,"",SUM((COUNTIF(Q$4:Q509,Upgrades!$B$3:$B$13)-COUNTIF(Q$4:Q509,"Sell_"&amp;Upgrades!$B$3:$B$13))*Upgrades!$D$3:$D$13))</f>
        <v>513945.4</v>
      </c>
      <c r="T509" s="66">
        <f>IFERROR(__xludf.DUMMYFUNCTION("IF(COUNTA(Q509:Q1350)=0,"""",IF(REGEXMATCH(INDEX(FILTER(Q$4:Q509,Q$4:Q509&lt;&gt;""""),ROWS(FILTER(Q$4:Q509,Q$4:Q509&lt;&gt;""""))),""^Sell_""),INDEX(FILTER(T$4:T508,Q$4:Q508&lt;&gt;""""),ROWS(FILTER(Q$4:Q508,Q$4:Q508&lt;&gt;""""))),$AD$5+S509))"),514145.4)</f>
        <v>514145.4</v>
      </c>
      <c r="U509" s="10">
        <f>IFERROR(__xludf.DUMMYFUNCTION("IF(COUNTA(Q509:Q1350)=0,"""",IF(Q509="""",0,IF(REGEXMATCH(Q509,""^Sell_""),-ROUNDDOWN(ROUNDUP(INDEX(Upgrades!$C$3:$C$13,MATCH(SUBSTITUTE(Q509,""Sell_"",""""),Upgrades!$B$3:$B$13,0))*1.15^(COUNTIF(Q$4:Q508,SUBSTITUTE(Q509,""Sell_"",""""))-COUNTIF(Q$4:Q508,"&amp;"""Sell_""&amp;SUBSTITUTE(Q509,""Sell_"",""""))))/2),ROUNDUP(INDEX(Upgrades!$C$3:$C$13,MATCH(Q509,Upgrades!$B$3:$B$13,0))*1.15^(COUNTIF(Q$4:Q508,Q509)-COUNTIF(Q$4:Q508,""Sell_""&amp;Q509))))))"),161823.0)</f>
        <v>161823</v>
      </c>
      <c r="V509" s="10">
        <f t="shared" si="11"/>
        <v>161823</v>
      </c>
      <c r="W509" s="68">
        <f t="shared" si="12"/>
        <v>6424.302927</v>
      </c>
      <c r="X509" s="59" t="str">
        <f t="shared" si="13"/>
        <v>1h 47m 04s</v>
      </c>
      <c r="Y509" s="69">
        <f t="shared" si="14"/>
        <v>815848135</v>
      </c>
      <c r="Z509" s="11"/>
    </row>
    <row r="510">
      <c r="A510" s="8"/>
      <c r="B510" s="56" t="str">
        <f t="shared" si="2"/>
        <v/>
      </c>
      <c r="C510" s="57"/>
      <c r="D510" s="10" t="str">
        <f>IFERROR(__xludf.DUMMYFUNCTION("IF(COUNTA(C510:C1350)=0,"""",IF(ISBLANK(C510),FALSE,IF(NOT(COUNTIF($AA$24:$AA$34,SUBSTITUTE(C510,""Sell_"",""""))),1,IF(REGEXMATCH(C510,""Sell_""),IF(COUNTIF(C$4:C510,SUBSTITUTE(C510,""Sell_"",""""))-COUNTIF(C$4:C509,C510)&lt;1,1),FALSE))))"),"")</f>
        <v/>
      </c>
      <c r="E510" s="59" t="str">
        <f t="array" ref="E510">IF(COUNTA(C510:C1350)=0,"",SUM((COUNTIF(C$4:C510,Upgrades!$B$3:$B$13)-COUNTIF(C$4:C510,"Sell_"&amp;Upgrades!$B$3:$B$13))*Upgrades!$D$3:$D$13))</f>
        <v/>
      </c>
      <c r="F510" s="66" t="str">
        <f>IFERROR(__xludf.DUMMYFUNCTION("IF(COUNTA(C510:C1350)=0,"""",IF(REGEXMATCH(INDEX(FILTER(C$4:C510,C$4:C510&lt;&gt;""""),ROWS(FILTER(C$4:C510,C$4:C510&lt;&gt;""""))),""^Sell_""),INDEX(FILTER(F$4:F509,C$4:C509&lt;&gt;""""),ROWS(FILTER(C$4:C509,C$4:C509&lt;&gt;""""))),$AC$5+E510))"),"")</f>
        <v/>
      </c>
      <c r="G510" s="10" t="str">
        <f>IFERROR(__xludf.DUMMYFUNCTION("IF(COUNTA(C510:C1350)=0,"""",IF(C510="""",0,IF(REGEXMATCH(C510,""^Sell_""),-ROUNDDOWN(ROUNDUP(INDEX(Upgrades!$C$3:$C$13,MATCH(SUBSTITUTE(C510,""Sell_"",""""),Upgrades!$B$3:$B$13,0))*1.15^(COUNTIF(C$4:C509,SUBSTITUTE(C510,""Sell_"",""""))-COUNTIF(C$4:C509,"&amp;"""Sell_""&amp;SUBSTITUTE(C510,""Sell_"",""""))))/2),ROUNDUP(INDEX(Upgrades!$C$3:$C$13,MATCH(C510,Upgrades!$B$3:$B$13,0))*1.15^(COUNTIF(C$4:C509,C510)-COUNTIF(C$4:C509,""Sell_""&amp;C510))))))"),"")</f>
        <v/>
      </c>
      <c r="H510" s="10" t="str">
        <f t="shared" si="3"/>
        <v/>
      </c>
      <c r="I510" s="68" t="str">
        <f t="shared" si="4"/>
        <v/>
      </c>
      <c r="J510" s="59" t="str">
        <f t="shared" si="5"/>
        <v/>
      </c>
      <c r="K510" s="69" t="str">
        <f t="shared" si="6"/>
        <v/>
      </c>
      <c r="L510" s="60">
        <f t="shared" si="7"/>
        <v>-198.05989</v>
      </c>
      <c r="M510" s="61">
        <f>IFERROR(__xludf.DUMMYFUNCTION("IFS(AND(COUNTA(C510:C1350)=0,COUNTA(Q510:Q1350)=0),"""",OR(AND(K510&gt;=1000000000,OR(Y510&gt;=1000000000,COUNTA(Q510:Q1350)=0)),OR(Y510&gt;=1000000000,AND(COUNTA(C510:C1350)=0,P$3=TRUE))),
ROUNDDOWN((AB$1-AC$1)*MAX(INDEX(T$4:T1350,MATCH(LARGE(FILTER(Y$4:Y1350,Y$4"&amp;":Y1350&lt;1000000000),1),Y$4:Y1350)),INDEX(F$4:F1350,MATCH(LARGE(FILTER(K$4:K1350,K$4:K1350&lt;1000000000),1),K$4:K1350)))),AND(K510&lt;1000000000,COUNTA(C510:C1350)&gt;0,P$3=FALSE),
ROUNDDOWN(INDEX(Y$4:Y1350,MATCH(LARGE(FILTER(W$4:W1350,W$4:W1350&lt;=I510),1),W$4:W1350"&amp;"))+(I510-LARGE(FILTER(W$4:W1350,W$4:W1350&lt;=I510),1))*INDEX(T$4:T1350,MATCH(LARGE(FILTER(W$4:W1350,W$4:W1350&lt;=I510),1),W$4:W1350))-K510),1,
ROUNDDOWN(Y510-INDEX(K$4:K1350,MATCH(LARGE(FILTER(I$4:I1350,I$4:I1350&lt;=W510),1),I$4:I1350))-(W510-LARGE(FILTER(I$4:I"&amp;"1350,I$4:I1350&lt;=W510),1))*INDEX(F$4:F1350,MATCH(LARGE(FILTER(I$4:I1350,I$4:I1350&lt;=W510),1),I$4:I1350))))"),1.02553067E8)</f>
        <v>102553067</v>
      </c>
      <c r="N510" s="60">
        <f t="shared" si="8"/>
        <v>-198.05989</v>
      </c>
      <c r="O510" s="61" t="str">
        <f t="shared" si="9"/>
        <v>102,6M</v>
      </c>
      <c r="P510" s="56">
        <f t="shared" si="10"/>
        <v>10</v>
      </c>
      <c r="Q510" s="105" t="s">
        <v>9</v>
      </c>
      <c r="R510" s="10" t="b">
        <f>IFERROR(__xludf.DUMMYFUNCTION("IF(COUNTA(Q510:Q1350)=0,"""",IF(ISBLANK(Q510),FALSE,IF(NOT(COUNTIF($AA$24:$AA$34,SUBSTITUTE(Q510,""Sell_"",""""))),1,IF(REGEXMATCH(Q510,""Sell_""),IF(COUNTIF(Q$4:Q510,SUBSTITUTE(Q510,""Sell_"",""""))-COUNTIF(Q$4:Q509,Q510)&lt;1,1),FALSE))))"),FALSE)</f>
        <v>0</v>
      </c>
      <c r="S510" s="59">
        <f t="array" ref="S510">IF(COUNTA(Q510:Q1350)=0,"",SUM((COUNTIF(Q$4:Q510,Upgrades!$B$3:$B$13)-COUNTIF(Q$4:Q510,"Sell_"&amp;Upgrades!$B$3:$B$13))*Upgrades!$D$3:$D$13))</f>
        <v>514345.4</v>
      </c>
      <c r="T510" s="66">
        <f>IFERROR(__xludf.DUMMYFUNCTION("IF(COUNTA(Q510:Q1350)=0,"""",IF(REGEXMATCH(INDEX(FILTER(Q$4:Q510,Q$4:Q510&lt;&gt;""""),ROWS(FILTER(Q$4:Q510,Q$4:Q510&lt;&gt;""""))),""^Sell_""),INDEX(FILTER(T$4:T509,Q$4:Q509&lt;&gt;""""),ROWS(FILTER(Q$4:Q509,Q$4:Q509&lt;&gt;""""))),$AD$5+S510))"),514545.4)</f>
        <v>514545.4</v>
      </c>
      <c r="U510" s="10">
        <f>IFERROR(__xludf.DUMMYFUNCTION("IF(COUNTA(Q510:Q1350)=0,"""",IF(Q510="""",0,IF(REGEXMATCH(Q510,""^Sell_""),-ROUNDDOWN(ROUNDUP(INDEX(Upgrades!$C$3:$C$13,MATCH(SUBSTITUTE(Q510,""Sell_"",""""),Upgrades!$B$3:$B$13,0))*1.15^(COUNTIF(Q$4:Q509,SUBSTITUTE(Q510,""Sell_"",""""))-COUNTIF(Q$4:Q509,"&amp;"""Sell_""&amp;SUBSTITUTE(Q510,""Sell_"",""""))))/2),ROUNDUP(INDEX(Upgrades!$C$3:$C$13,MATCH(Q510,Upgrades!$B$3:$B$13,0))*1.15^(COUNTIF(Q$4:Q509,Q510)-COUNTIF(Q$4:Q509,""Sell_""&amp;Q510))))))"),703576.0)</f>
        <v>703576</v>
      </c>
      <c r="V510" s="10">
        <f t="shared" si="11"/>
        <v>703576</v>
      </c>
      <c r="W510" s="68">
        <f t="shared" si="12"/>
        <v>6425.671365</v>
      </c>
      <c r="X510" s="59" t="str">
        <f t="shared" si="13"/>
        <v>1h 47m 05s</v>
      </c>
      <c r="Y510" s="69">
        <f t="shared" si="14"/>
        <v>816551711</v>
      </c>
      <c r="Z510" s="11"/>
    </row>
    <row r="511">
      <c r="A511" s="8"/>
      <c r="B511" s="56" t="str">
        <f t="shared" si="2"/>
        <v/>
      </c>
      <c r="C511" s="57"/>
      <c r="D511" s="10" t="str">
        <f>IFERROR(__xludf.DUMMYFUNCTION("IF(COUNTA(C511:C1350)=0,"""",IF(ISBLANK(C511),FALSE,IF(NOT(COUNTIF($AA$24:$AA$34,SUBSTITUTE(C511,""Sell_"",""""))),1,IF(REGEXMATCH(C511,""Sell_""),IF(COUNTIF(C$4:C511,SUBSTITUTE(C511,""Sell_"",""""))-COUNTIF(C$4:C510,C511)&lt;1,1),FALSE))))"),"")</f>
        <v/>
      </c>
      <c r="E511" s="59" t="str">
        <f t="array" ref="E511">IF(COUNTA(C511:C1350)=0,"",SUM((COUNTIF(C$4:C511,Upgrades!$B$3:$B$13)-COUNTIF(C$4:C511,"Sell_"&amp;Upgrades!$B$3:$B$13))*Upgrades!$D$3:$D$13))</f>
        <v/>
      </c>
      <c r="F511" s="66" t="str">
        <f>IFERROR(__xludf.DUMMYFUNCTION("IF(COUNTA(C511:C1350)=0,"""",IF(REGEXMATCH(INDEX(FILTER(C$4:C511,C$4:C511&lt;&gt;""""),ROWS(FILTER(C$4:C511,C$4:C511&lt;&gt;""""))),""^Sell_""),INDEX(FILTER(F$4:F510,C$4:C510&lt;&gt;""""),ROWS(FILTER(C$4:C510,C$4:C510&lt;&gt;""""))),$AC$5+E511))"),"")</f>
        <v/>
      </c>
      <c r="G511" s="10" t="str">
        <f>IFERROR(__xludf.DUMMYFUNCTION("IF(COUNTA(C511:C1350)=0,"""",IF(C511="""",0,IF(REGEXMATCH(C511,""^Sell_""),-ROUNDDOWN(ROUNDUP(INDEX(Upgrades!$C$3:$C$13,MATCH(SUBSTITUTE(C511,""Sell_"",""""),Upgrades!$B$3:$B$13,0))*1.15^(COUNTIF(C$4:C510,SUBSTITUTE(C511,""Sell_"",""""))-COUNTIF(C$4:C510,"&amp;"""Sell_""&amp;SUBSTITUTE(C511,""Sell_"",""""))))/2),ROUNDUP(INDEX(Upgrades!$C$3:$C$13,MATCH(C511,Upgrades!$B$3:$B$13,0))*1.15^(COUNTIF(C$4:C510,C511)-COUNTIF(C$4:C510,""Sell_""&amp;C511))))))"),"")</f>
        <v/>
      </c>
      <c r="H511" s="10" t="str">
        <f t="shared" si="3"/>
        <v/>
      </c>
      <c r="I511" s="68" t="str">
        <f t="shared" si="4"/>
        <v/>
      </c>
      <c r="J511" s="59" t="str">
        <f t="shared" si="5"/>
        <v/>
      </c>
      <c r="K511" s="69" t="str">
        <f t="shared" si="6"/>
        <v/>
      </c>
      <c r="L511" s="60">
        <f t="shared" si="7"/>
        <v>-198.0539</v>
      </c>
      <c r="M511" s="61">
        <f>IFERROR(__xludf.DUMMYFUNCTION("IFS(AND(COUNTA(C511:C1350)=0,COUNTA(Q511:Q1350)=0),"""",OR(AND(K511&gt;=1000000000,OR(Y511&gt;=1000000000,COUNTA(Q511:Q1350)=0)),OR(Y511&gt;=1000000000,AND(COUNTA(C511:C1350)=0,P$3=TRUE))),
ROUNDDOWN((AB$1-AC$1)*MAX(INDEX(T$4:T1350,MATCH(LARGE(FILTER(Y$4:Y1350,Y$4"&amp;":Y1350&lt;1000000000),1),Y$4:Y1350)),INDEX(F$4:F1350,MATCH(LARGE(FILTER(K$4:K1350,K$4:K1350&lt;1000000000),1),K$4:K1350)))),AND(K511&lt;1000000000,COUNTA(C511:C1350)&gt;0,P$3=FALSE),
ROUNDDOWN(INDEX(Y$4:Y1350,MATCH(LARGE(FILTER(W$4:W1350,W$4:W1350&lt;=I511),1),W$4:W1350"&amp;"))+(I511-LARGE(FILTER(W$4:W1350,W$4:W1350&lt;=I511),1))*INDEX(T$4:T1350,MATCH(LARGE(FILTER(W$4:W1350,W$4:W1350&lt;=I511),1),W$4:W1350))-K511),1,
ROUNDDOWN(Y511-INDEX(K$4:K1350,MATCH(LARGE(FILTER(I$4:I1350,I$4:I1350&lt;=W511),1),I$4:I1350))-(W511-LARGE(FILTER(I$4:I"&amp;"1350,I$4:I1350&lt;=W511),1))*INDEX(F$4:F1350,MATCH(LARGE(FILTER(I$4:I1350,I$4:I1350&lt;=W511),1),I$4:I1350))))"),1.02567371E8)</f>
        <v>102567371</v>
      </c>
      <c r="N511" s="60">
        <f t="shared" si="8"/>
        <v>-198.0539</v>
      </c>
      <c r="O511" s="61" t="str">
        <f t="shared" si="9"/>
        <v>102,6M</v>
      </c>
      <c r="P511" s="56">
        <f t="shared" si="10"/>
        <v>15</v>
      </c>
      <c r="Q511" s="105" t="s">
        <v>7</v>
      </c>
      <c r="R511" s="10" t="b">
        <f>IFERROR(__xludf.DUMMYFUNCTION("IF(COUNTA(Q511:Q1350)=0,"""",IF(ISBLANK(Q511),FALSE,IF(NOT(COUNTIF($AA$24:$AA$34,SUBSTITUTE(Q511,""Sell_"",""""))),1,IF(REGEXMATCH(Q511,""Sell_""),IF(COUNTIF(Q$4:Q511,SUBSTITUTE(Q511,""Sell_"",""""))-COUNTIF(Q$4:Q510,Q511)&lt;1,1),FALSE))))"),FALSE)</f>
        <v>0</v>
      </c>
      <c r="S511" s="59">
        <f t="array" ref="S511">IF(COUNTA(Q511:Q1350)=0,"",SUM((COUNTIF(Q$4:Q511,Upgrades!$B$3:$B$13)-COUNTIF(Q$4:Q511,"Sell_"&amp;Upgrades!$B$3:$B$13))*Upgrades!$D$3:$D$13))</f>
        <v>514385.4</v>
      </c>
      <c r="T511" s="66">
        <f>IFERROR(__xludf.DUMMYFUNCTION("IF(COUNTA(Q511:Q1350)=0,"""",IF(REGEXMATCH(INDEX(FILTER(Q$4:Q511,Q$4:Q511&lt;&gt;""""),ROWS(FILTER(Q$4:Q511,Q$4:Q511&lt;&gt;""""))),""^Sell_""),INDEX(FILTER(T$4:T510,Q$4:Q510&lt;&gt;""""),ROWS(FILTER(Q$4:Q510,Q$4:Q510&lt;&gt;""""))),$AD$5+S511))"),514585.4)</f>
        <v>514585.4</v>
      </c>
      <c r="U511" s="10">
        <f>IFERROR(__xludf.DUMMYFUNCTION("IF(COUNTA(Q511:Q1350)=0,"""",IF(Q511="""",0,IF(REGEXMATCH(Q511,""^Sell_""),-ROUNDDOWN(ROUNDUP(INDEX(Upgrades!$C$3:$C$13,MATCH(SUBSTITUTE(Q511,""Sell_"",""""),Upgrades!$B$3:$B$13,0))*1.15^(COUNTIF(Q$4:Q510,SUBSTITUTE(Q511,""Sell_"",""""))-COUNTIF(Q$4:Q510,"&amp;"""Sell_""&amp;SUBSTITUTE(Q511,""Sell_"",""""))))/2),ROUNDUP(INDEX(Upgrades!$C$3:$C$13,MATCH(Q511,Upgrades!$B$3:$B$13,0))*1.15^(COUNTIF(Q$4:Q510,Q511)-COUNTIF(Q$4:Q510,""Sell_""&amp;Q511))))))"),70758.0)</f>
        <v>70758</v>
      </c>
      <c r="V511" s="10">
        <f t="shared" si="11"/>
        <v>70758</v>
      </c>
      <c r="W511" s="68">
        <f t="shared" si="12"/>
        <v>6425.808881</v>
      </c>
      <c r="X511" s="59" t="str">
        <f t="shared" si="13"/>
        <v>1h 47m 05s</v>
      </c>
      <c r="Y511" s="69">
        <f t="shared" si="14"/>
        <v>816622469</v>
      </c>
      <c r="Z511" s="11"/>
    </row>
    <row r="512">
      <c r="A512" s="8"/>
      <c r="B512" s="56" t="str">
        <f t="shared" si="2"/>
        <v/>
      </c>
      <c r="C512" s="57"/>
      <c r="D512" s="10" t="str">
        <f>IFERROR(__xludf.DUMMYFUNCTION("IF(COUNTA(C512:C1350)=0,"""",IF(ISBLANK(C512),FALSE,IF(NOT(COUNTIF($AA$24:$AA$34,SUBSTITUTE(C512,""Sell_"",""""))),1,IF(REGEXMATCH(C512,""Sell_""),IF(COUNTIF(C$4:C512,SUBSTITUTE(C512,""Sell_"",""""))-COUNTIF(C$4:C511,C512)&lt;1,1),FALSE))))"),"")</f>
        <v/>
      </c>
      <c r="E512" s="59" t="str">
        <f t="array" ref="E512">IF(COUNTA(C512:C1350)=0,"",SUM((COUNTIF(C$4:C512,Upgrades!$B$3:$B$13)-COUNTIF(C$4:C512,"Sell_"&amp;Upgrades!$B$3:$B$13))*Upgrades!$D$3:$D$13))</f>
        <v/>
      </c>
      <c r="F512" s="66" t="str">
        <f>IFERROR(__xludf.DUMMYFUNCTION("IF(COUNTA(C512:C1350)=0,"""",IF(REGEXMATCH(INDEX(FILTER(C$4:C512,C$4:C512&lt;&gt;""""),ROWS(FILTER(C$4:C512,C$4:C512&lt;&gt;""""))),""^Sell_""),INDEX(FILTER(F$4:F511,C$4:C511&lt;&gt;""""),ROWS(FILTER(C$4:C511,C$4:C511&lt;&gt;""""))),$AC$5+E512))"),"")</f>
        <v/>
      </c>
      <c r="G512" s="10" t="str">
        <f>IFERROR(__xludf.DUMMYFUNCTION("IF(COUNTA(C512:C1350)=0,"""",IF(C512="""",0,IF(REGEXMATCH(C512,""^Sell_""),-ROUNDDOWN(ROUNDUP(INDEX(Upgrades!$C$3:$C$13,MATCH(SUBSTITUTE(C512,""Sell_"",""""),Upgrades!$B$3:$B$13,0))*1.15^(COUNTIF(C$4:C511,SUBSTITUTE(C512,""Sell_"",""""))-COUNTIF(C$4:C511,"&amp;"""Sell_""&amp;SUBSTITUTE(C512,""Sell_"",""""))))/2),ROUNDUP(INDEX(Upgrades!$C$3:$C$13,MATCH(C512,Upgrades!$B$3:$B$13,0))*1.15^(COUNTIF(C$4:C511,C512)-COUNTIF(C$4:C511,""Sell_""&amp;C512))))))"),"")</f>
        <v/>
      </c>
      <c r="H512" s="10" t="str">
        <f t="shared" si="3"/>
        <v/>
      </c>
      <c r="I512" s="68" t="str">
        <f t="shared" si="4"/>
        <v/>
      </c>
      <c r="J512" s="59" t="str">
        <f t="shared" si="5"/>
        <v/>
      </c>
      <c r="K512" s="69" t="str">
        <f t="shared" si="6"/>
        <v/>
      </c>
      <c r="L512" s="60">
        <f t="shared" si="7"/>
        <v>-198.03819</v>
      </c>
      <c r="M512" s="61">
        <f>IFERROR(__xludf.DUMMYFUNCTION("IFS(AND(COUNTA(C512:C1350)=0,COUNTA(Q512:Q1350)=0),"""",OR(AND(K512&gt;=1000000000,OR(Y512&gt;=1000000000,COUNTA(Q512:Q1350)=0)),OR(Y512&gt;=1000000000,AND(COUNTA(C512:C1350)=0,P$3=TRUE))),
ROUNDDOWN((AB$1-AC$1)*MAX(INDEX(T$4:T1350,MATCH(LARGE(FILTER(Y$4:Y1350,Y$4"&amp;":Y1350&lt;1000000000),1),Y$4:Y1350)),INDEX(F$4:F1350,MATCH(LARGE(FILTER(K$4:K1350,K$4:K1350&lt;1000000000),1),K$4:K1350)))),AND(K512&lt;1000000000,COUNTA(C512:C1350)&gt;0,P$3=FALSE),
ROUNDDOWN(INDEX(Y$4:Y1350,MATCH(LARGE(FILTER(W$4:W1350,W$4:W1350&lt;=I512),1),W$4:W1350"&amp;"))+(I512-LARGE(FILTER(W$4:W1350,W$4:W1350&lt;=I512),1))*INDEX(T$4:T1350,MATCH(LARGE(FILTER(W$4:W1350,W$4:W1350&lt;=I512),1),W$4:W1350))-K512),1,
ROUNDDOWN(Y512-INDEX(K$4:K1350,MATCH(LARGE(FILTER(I$4:I1350,I$4:I1350&lt;=W512),1),I$4:I1350))-(W512-LARGE(FILTER(I$4:I"&amp;"1350,I$4:I1350&lt;=W512),1))*INDEX(F$4:F1350,MATCH(LARGE(FILTER(I$4:I1350,I$4:I1350&lt;=W512),1),I$4:I1350))))"),1.02605002E8)</f>
        <v>102605002</v>
      </c>
      <c r="N512" s="60">
        <f t="shared" si="8"/>
        <v>-198.03819</v>
      </c>
      <c r="O512" s="61" t="str">
        <f t="shared" si="9"/>
        <v>102,6M</v>
      </c>
      <c r="P512" s="56">
        <f t="shared" si="10"/>
        <v>12</v>
      </c>
      <c r="Q512" s="105" t="s">
        <v>8</v>
      </c>
      <c r="R512" s="10" t="b">
        <f>IFERROR(__xludf.DUMMYFUNCTION("IF(COUNTA(Q512:Q1350)=0,"""",IF(ISBLANK(Q512),FALSE,IF(NOT(COUNTIF($AA$24:$AA$34,SUBSTITUTE(Q512,""Sell_"",""""))),1,IF(REGEXMATCH(Q512,""Sell_""),IF(COUNTIF(Q$4:Q512,SUBSTITUTE(Q512,""Sell_"",""""))-COUNTIF(Q$4:Q511,Q512)&lt;1,1),FALSE))))"),FALSE)</f>
        <v>0</v>
      </c>
      <c r="S512" s="59">
        <f t="array" ref="S512">IF(COUNTA(Q512:Q1350)=0,"",SUM((COUNTIF(Q$4:Q512,Upgrades!$B$3:$B$13)-COUNTIF(Q$4:Q512,"Sell_"&amp;Upgrades!$B$3:$B$13))*Upgrades!$D$3:$D$13))</f>
        <v>514485.4</v>
      </c>
      <c r="T512" s="66">
        <f>IFERROR(__xludf.DUMMYFUNCTION("IF(COUNTA(Q512:Q1350)=0,"""",IF(REGEXMATCH(INDEX(FILTER(Q$4:Q512,Q$4:Q512&lt;&gt;""""),ROWS(FILTER(Q$4:Q512,Q$4:Q512&lt;&gt;""""))),""^Sell_""),INDEX(FILTER(T$4:T511,Q$4:Q511&lt;&gt;""""),ROWS(FILTER(Q$4:Q511,Q$4:Q511&lt;&gt;""""))),$AD$5+S512))"),514685.4)</f>
        <v>514685.4</v>
      </c>
      <c r="U512" s="10">
        <f>IFERROR(__xludf.DUMMYFUNCTION("IF(COUNTA(Q512:Q1350)=0,"""",IF(Q512="""",0,IF(REGEXMATCH(Q512,""^Sell_""),-ROUNDDOWN(ROUNDUP(INDEX(Upgrades!$C$3:$C$13,MATCH(SUBSTITUTE(Q512,""Sell_"",""""),Upgrades!$B$3:$B$13,0))*1.15^(COUNTIF(Q$4:Q511,SUBSTITUTE(Q512,""Sell_"",""""))-COUNTIF(Q$4:Q511,"&amp;"""Sell_""&amp;SUBSTITUTE(Q512,""Sell_"",""""))))/2),ROUNDUP(INDEX(Upgrades!$C$3:$C$13,MATCH(Q512,Upgrades!$B$3:$B$13,0))*1.15^(COUNTIF(Q$4:Q511,Q512)-COUNTIF(Q$4:Q511,""Sell_""&amp;Q512))))))"),186096.0)</f>
        <v>186096</v>
      </c>
      <c r="V512" s="10">
        <f t="shared" si="11"/>
        <v>186096</v>
      </c>
      <c r="W512" s="68">
        <f t="shared" si="12"/>
        <v>6426.170523</v>
      </c>
      <c r="X512" s="59" t="str">
        <f t="shared" si="13"/>
        <v>1h 47m 06s</v>
      </c>
      <c r="Y512" s="69">
        <f t="shared" si="14"/>
        <v>816808565</v>
      </c>
      <c r="Z512" s="11"/>
    </row>
    <row r="513">
      <c r="A513" s="8"/>
      <c r="B513" s="56" t="str">
        <f t="shared" si="2"/>
        <v/>
      </c>
      <c r="C513" s="57"/>
      <c r="D513" s="10" t="str">
        <f>IFERROR(__xludf.DUMMYFUNCTION("IF(COUNTA(C513:C1350)=0,"""",IF(ISBLANK(C513),FALSE,IF(NOT(COUNTIF($AA$24:$AA$34,SUBSTITUTE(C513,""Sell_"",""""))),1,IF(REGEXMATCH(C513,""Sell_""),IF(COUNTIF(C$4:C513,SUBSTITUTE(C513,""Sell_"",""""))-COUNTIF(C$4:C512,C513)&lt;1,1),FALSE))))"),"")</f>
        <v/>
      </c>
      <c r="E513" s="59" t="str">
        <f t="array" ref="E513">IF(COUNTA(C513:C1350)=0,"",SUM((COUNTIF(C$4:C513,Upgrades!$B$3:$B$13)-COUNTIF(C$4:C513,"Sell_"&amp;Upgrades!$B$3:$B$13))*Upgrades!$D$3:$D$13))</f>
        <v/>
      </c>
      <c r="F513" s="66" t="str">
        <f>IFERROR(__xludf.DUMMYFUNCTION("IF(COUNTA(C513:C1350)=0,"""",IF(REGEXMATCH(INDEX(FILTER(C$4:C513,C$4:C513&lt;&gt;""""),ROWS(FILTER(C$4:C513,C$4:C513&lt;&gt;""""))),""^Sell_""),INDEX(FILTER(F$4:F512,C$4:C512&lt;&gt;""""),ROWS(FILTER(C$4:C512,C$4:C512&lt;&gt;""""))),$AC$5+E513))"),"")</f>
        <v/>
      </c>
      <c r="G513" s="10" t="str">
        <f>IFERROR(__xludf.DUMMYFUNCTION("IF(COUNTA(C513:C1350)=0,"""",IF(C513="""",0,IF(REGEXMATCH(C513,""^Sell_""),-ROUNDDOWN(ROUNDUP(INDEX(Upgrades!$C$3:$C$13,MATCH(SUBSTITUTE(C513,""Sell_"",""""),Upgrades!$B$3:$B$13,0))*1.15^(COUNTIF(C$4:C512,SUBSTITUTE(C513,""Sell_"",""""))-COUNTIF(C$4:C512,"&amp;"""Sell_""&amp;SUBSTITUTE(C513,""Sell_"",""""))))/2),ROUNDUP(INDEX(Upgrades!$C$3:$C$13,MATCH(C513,Upgrades!$B$3:$B$13,0))*1.15^(COUNTIF(C$4:C512,C513)-COUNTIF(C$4:C512,""Sell_""&amp;C513))))))"),"")</f>
        <v/>
      </c>
      <c r="H513" s="10" t="str">
        <f t="shared" si="3"/>
        <v/>
      </c>
      <c r="I513" s="68" t="str">
        <f t="shared" si="4"/>
        <v/>
      </c>
      <c r="J513" s="59" t="str">
        <f t="shared" si="5"/>
        <v/>
      </c>
      <c r="K513" s="69" t="str">
        <f t="shared" si="6"/>
        <v/>
      </c>
      <c r="L513" s="60">
        <f t="shared" si="7"/>
        <v>-197.97018</v>
      </c>
      <c r="M513" s="61">
        <f>IFERROR(__xludf.DUMMYFUNCTION("IFS(AND(COUNTA(C513:C1350)=0,COUNTA(Q513:Q1350)=0),"""",OR(AND(K513&gt;=1000000000,OR(Y513&gt;=1000000000,COUNTA(Q513:Q1350)=0)),OR(Y513&gt;=1000000000,AND(COUNTA(C513:C1350)=0,P$3=TRUE))),
ROUNDDOWN((AB$1-AC$1)*MAX(INDEX(T$4:T1350,MATCH(LARGE(FILTER(Y$4:Y1350,Y$4"&amp;":Y1350&lt;1000000000),1),Y$4:Y1350)),INDEX(F$4:F1350,MATCH(LARGE(FILTER(K$4:K1350,K$4:K1350&lt;1000000000),1),K$4:K1350)))),AND(K513&lt;1000000000,COUNTA(C513:C1350)&gt;0,P$3=FALSE),
ROUNDDOWN(INDEX(Y$4:Y1350,MATCH(LARGE(FILTER(W$4:W1350,W$4:W1350&lt;=I513),1),W$4:W1350"&amp;"))+(I513-LARGE(FILTER(W$4:W1350,W$4:W1350&lt;=I513),1))*INDEX(T$4:T1350,MATCH(LARGE(FILTER(W$4:W1350,W$4:W1350&lt;=I513),1),W$4:W1350))-K513),1,
ROUNDDOWN(Y513-INDEX(K$4:K1350,MATCH(LARGE(FILTER(I$4:I1350,I$4:I1350&lt;=W513),1),I$4:I1350))-(W513-LARGE(FILTER(I$4:I"&amp;"1350,I$4:I1350&lt;=W513),1))*INDEX(F$4:F1350,MATCH(LARGE(FILTER(I$4:I1350,I$4:I1350&lt;=W513),1),I$4:I1350))))"),1.02768739E8)</f>
        <v>102768739</v>
      </c>
      <c r="N513" s="60">
        <f t="shared" si="8"/>
        <v>-197.97018</v>
      </c>
      <c r="O513" s="61" t="str">
        <f t="shared" si="9"/>
        <v>102,8M</v>
      </c>
      <c r="P513" s="56">
        <f t="shared" si="10"/>
        <v>11</v>
      </c>
      <c r="Q513" s="105" t="s">
        <v>9</v>
      </c>
      <c r="R513" s="10" t="b">
        <f>IFERROR(__xludf.DUMMYFUNCTION("IF(COUNTA(Q513:Q1350)=0,"""",IF(ISBLANK(Q513),FALSE,IF(NOT(COUNTIF($AA$24:$AA$34,SUBSTITUTE(Q513,""Sell_"",""""))),1,IF(REGEXMATCH(Q513,""Sell_""),IF(COUNTIF(Q$4:Q513,SUBSTITUTE(Q513,""Sell_"",""""))-COUNTIF(Q$4:Q512,Q513)&lt;1,1),FALSE))))"),FALSE)</f>
        <v>0</v>
      </c>
      <c r="S513" s="59">
        <f t="array" ref="S513">IF(COUNTA(Q513:Q1350)=0,"",SUM((COUNTIF(Q$4:Q513,Upgrades!$B$3:$B$13)-COUNTIF(Q$4:Q513,"Sell_"&amp;Upgrades!$B$3:$B$13))*Upgrades!$D$3:$D$13))</f>
        <v>514885.4</v>
      </c>
      <c r="T513" s="66">
        <f>IFERROR(__xludf.DUMMYFUNCTION("IF(COUNTA(Q513:Q1350)=0,"""",IF(REGEXMATCH(INDEX(FILTER(Q$4:Q513,Q$4:Q513&lt;&gt;""""),ROWS(FILTER(Q$4:Q513,Q$4:Q513&lt;&gt;""""))),""^Sell_""),INDEX(FILTER(T$4:T512,Q$4:Q512&lt;&gt;""""),ROWS(FILTER(Q$4:Q512,Q$4:Q512&lt;&gt;""""))),$AD$5+S513))"),515085.4)</f>
        <v>515085.4</v>
      </c>
      <c r="U513" s="10">
        <f>IFERROR(__xludf.DUMMYFUNCTION("IF(COUNTA(Q513:Q1350)=0,"""",IF(Q513="""",0,IF(REGEXMATCH(Q513,""^Sell_""),-ROUNDDOWN(ROUNDUP(INDEX(Upgrades!$C$3:$C$13,MATCH(SUBSTITUTE(Q513,""Sell_"",""""),Upgrades!$B$3:$B$13,0))*1.15^(COUNTIF(Q$4:Q512,SUBSTITUTE(Q513,""Sell_"",""""))-COUNTIF(Q$4:Q512,"&amp;"""Sell_""&amp;SUBSTITUTE(Q513,""Sell_"",""""))))/2),ROUNDUP(INDEX(Upgrades!$C$3:$C$13,MATCH(Q513,Upgrades!$B$3:$B$13,0))*1.15^(COUNTIF(Q$4:Q512,Q513)-COUNTIF(Q$4:Q512,""Sell_""&amp;Q513))))))"),809112.0)</f>
        <v>809112</v>
      </c>
      <c r="V513" s="10">
        <f t="shared" si="11"/>
        <v>809112</v>
      </c>
      <c r="W513" s="68">
        <f t="shared" si="12"/>
        <v>6427.742575</v>
      </c>
      <c r="X513" s="59" t="str">
        <f t="shared" si="13"/>
        <v>1h 47m 07s</v>
      </c>
      <c r="Y513" s="69">
        <f t="shared" si="14"/>
        <v>817617677</v>
      </c>
      <c r="Z513" s="11"/>
    </row>
    <row r="514">
      <c r="A514" s="8"/>
      <c r="B514" s="56" t="str">
        <f t="shared" si="2"/>
        <v/>
      </c>
      <c r="C514" s="57"/>
      <c r="D514" s="10" t="str">
        <f>IFERROR(__xludf.DUMMYFUNCTION("IF(COUNTA(C514:C1350)=0,"""",IF(ISBLANK(C514),FALSE,IF(NOT(COUNTIF($AA$24:$AA$34,SUBSTITUTE(C514,""Sell_"",""""))),1,IF(REGEXMATCH(C514,""Sell_""),IF(COUNTIF(C$4:C514,SUBSTITUTE(C514,""Sell_"",""""))-COUNTIF(C$4:C513,C514)&lt;1,1),FALSE))))"),"")</f>
        <v/>
      </c>
      <c r="E514" s="59" t="str">
        <f t="array" ref="E514">IF(COUNTA(C514:C1350)=0,"",SUM((COUNTIF(C$4:C514,Upgrades!$B$3:$B$13)-COUNTIF(C$4:C514,"Sell_"&amp;Upgrades!$B$3:$B$13))*Upgrades!$D$3:$D$13))</f>
        <v/>
      </c>
      <c r="F514" s="66" t="str">
        <f>IFERROR(__xludf.DUMMYFUNCTION("IF(COUNTA(C514:C1350)=0,"""",IF(REGEXMATCH(INDEX(FILTER(C$4:C514,C$4:C514&lt;&gt;""""),ROWS(FILTER(C$4:C514,C$4:C514&lt;&gt;""""))),""^Sell_""),INDEX(FILTER(F$4:F513,C$4:C513&lt;&gt;""""),ROWS(FILTER(C$4:C513,C$4:C513&lt;&gt;""""))),$AC$5+E514))"),"")</f>
        <v/>
      </c>
      <c r="G514" s="10" t="str">
        <f>IFERROR(__xludf.DUMMYFUNCTION("IF(COUNTA(C514:C1350)=0,"""",IF(C514="""",0,IF(REGEXMATCH(C514,""^Sell_""),-ROUNDDOWN(ROUNDUP(INDEX(Upgrades!$C$3:$C$13,MATCH(SUBSTITUTE(C514,""Sell_"",""""),Upgrades!$B$3:$B$13,0))*1.15^(COUNTIF(C$4:C513,SUBSTITUTE(C514,""Sell_"",""""))-COUNTIF(C$4:C513,"&amp;"""Sell_""&amp;SUBSTITUTE(C514,""Sell_"",""""))))/2),ROUNDUP(INDEX(Upgrades!$C$3:$C$13,MATCH(C514,Upgrades!$B$3:$B$13,0))*1.15^(COUNTIF(C$4:C513,C514)-COUNTIF(C$4:C513,""Sell_""&amp;C514))))))"),"")</f>
        <v/>
      </c>
      <c r="H514" s="10" t="str">
        <f t="shared" si="3"/>
        <v/>
      </c>
      <c r="I514" s="68" t="str">
        <f t="shared" si="4"/>
        <v/>
      </c>
      <c r="J514" s="59" t="str">
        <f t="shared" si="5"/>
        <v/>
      </c>
      <c r="K514" s="69" t="str">
        <f t="shared" si="6"/>
        <v/>
      </c>
      <c r="L514" s="60">
        <f t="shared" si="7"/>
        <v>-197.96346</v>
      </c>
      <c r="M514" s="61">
        <f>IFERROR(__xludf.DUMMYFUNCTION("IFS(AND(COUNTA(C514:C1350)=0,COUNTA(Q514:Q1350)=0),"""",OR(AND(K514&gt;=1000000000,OR(Y514&gt;=1000000000,COUNTA(Q514:Q1350)=0)),OR(Y514&gt;=1000000000,AND(COUNTA(C514:C1350)=0,P$3=TRUE))),
ROUNDDOWN((AB$1-AC$1)*MAX(INDEX(T$4:T1350,MATCH(LARGE(FILTER(Y$4:Y1350,Y$4"&amp;":Y1350&lt;1000000000),1),Y$4:Y1350)),INDEX(F$4:F1350,MATCH(LARGE(FILTER(K$4:K1350,K$4:K1350&lt;1000000000),1),K$4:K1350)))),AND(K514&lt;1000000000,COUNTA(C514:C1350)&gt;0,P$3=FALSE),
ROUNDDOWN(INDEX(Y$4:Y1350,MATCH(LARGE(FILTER(W$4:W1350,W$4:W1350&lt;=I514),1),W$4:W1350"&amp;"))+(I514-LARGE(FILTER(W$4:W1350,W$4:W1350&lt;=I514),1))*INDEX(T$4:T1350,MATCH(LARGE(FILTER(W$4:W1350,W$4:W1350&lt;=I514),1),W$4:W1350))-K514),1,
ROUNDDOWN(Y514-INDEX(K$4:K1350,MATCH(LARGE(FILTER(I$4:I1350,I$4:I1350&lt;=W514),1),I$4:I1350))-(W514-LARGE(FILTER(I$4:I"&amp;"1350,I$4:I1350&lt;=W514),1))*INDEX(F$4:F1350,MATCH(LARGE(FILTER(I$4:I1350,I$4:I1350&lt;=W514),1),I$4:I1350))))"),1.02785256E8)</f>
        <v>102785256</v>
      </c>
      <c r="N514" s="60">
        <f t="shared" si="8"/>
        <v>-197.96346</v>
      </c>
      <c r="O514" s="61" t="str">
        <f t="shared" si="9"/>
        <v>102,8M</v>
      </c>
      <c r="P514" s="56">
        <f t="shared" si="10"/>
        <v>16</v>
      </c>
      <c r="Q514" s="105" t="s">
        <v>7</v>
      </c>
      <c r="R514" s="10" t="b">
        <f>IFERROR(__xludf.DUMMYFUNCTION("IF(COUNTA(Q514:Q1350)=0,"""",IF(ISBLANK(Q514),FALSE,IF(NOT(COUNTIF($AA$24:$AA$34,SUBSTITUTE(Q514,""Sell_"",""""))),1,IF(REGEXMATCH(Q514,""Sell_""),IF(COUNTIF(Q$4:Q514,SUBSTITUTE(Q514,""Sell_"",""""))-COUNTIF(Q$4:Q513,Q514)&lt;1,1),FALSE))))"),FALSE)</f>
        <v>0</v>
      </c>
      <c r="S514" s="59">
        <f t="array" ref="S514">IF(COUNTA(Q514:Q1350)=0,"",SUM((COUNTIF(Q$4:Q514,Upgrades!$B$3:$B$13)-COUNTIF(Q$4:Q514,"Sell_"&amp;Upgrades!$B$3:$B$13))*Upgrades!$D$3:$D$13))</f>
        <v>514925.4</v>
      </c>
      <c r="T514" s="66">
        <f>IFERROR(__xludf.DUMMYFUNCTION("IF(COUNTA(Q514:Q1350)=0,"""",IF(REGEXMATCH(INDEX(FILTER(Q$4:Q514,Q$4:Q514&lt;&gt;""""),ROWS(FILTER(Q$4:Q514,Q$4:Q514&lt;&gt;""""))),""^Sell_""),INDEX(FILTER(T$4:T513,Q$4:Q513&lt;&gt;""""),ROWS(FILTER(Q$4:Q513,Q$4:Q513&lt;&gt;""""))),$AD$5+S514))"),515125.4)</f>
        <v>515125.4</v>
      </c>
      <c r="U514" s="10">
        <f>IFERROR(__xludf.DUMMYFUNCTION("IF(COUNTA(Q514:Q1350)=0,"""",IF(Q514="""",0,IF(REGEXMATCH(Q514,""^Sell_""),-ROUNDDOWN(ROUNDUP(INDEX(Upgrades!$C$3:$C$13,MATCH(SUBSTITUTE(Q514,""Sell_"",""""),Upgrades!$B$3:$B$13,0))*1.15^(COUNTIF(Q$4:Q513,SUBSTITUTE(Q514,""Sell_"",""""))-COUNTIF(Q$4:Q513,"&amp;"""Sell_""&amp;SUBSTITUTE(Q514,""Sell_"",""""))))/2),ROUNDUP(INDEX(Upgrades!$C$3:$C$13,MATCH(Q514,Upgrades!$B$3:$B$13,0))*1.15^(COUNTIF(Q$4:Q513,Q514)-COUNTIF(Q$4:Q513,""Sell_""&amp;Q514))))))"),81371.0)</f>
        <v>81371</v>
      </c>
      <c r="V514" s="10">
        <f t="shared" si="11"/>
        <v>81371</v>
      </c>
      <c r="W514" s="68">
        <f t="shared" si="12"/>
        <v>6427.900551</v>
      </c>
      <c r="X514" s="59" t="str">
        <f t="shared" si="13"/>
        <v>1h 47m 07s</v>
      </c>
      <c r="Y514" s="69">
        <f t="shared" si="14"/>
        <v>817699048</v>
      </c>
      <c r="Z514" s="11"/>
    </row>
    <row r="515">
      <c r="A515" s="8"/>
      <c r="B515" s="56" t="str">
        <f t="shared" si="2"/>
        <v/>
      </c>
      <c r="C515" s="57"/>
      <c r="D515" s="10" t="str">
        <f>IFERROR(__xludf.DUMMYFUNCTION("IF(COUNTA(C515:C1350)=0,"""",IF(ISBLANK(C515),FALSE,IF(NOT(COUNTIF($AA$24:$AA$34,SUBSTITUTE(C515,""Sell_"",""""))),1,IF(REGEXMATCH(C515,""Sell_""),IF(COUNTIF(C$4:C515,SUBSTITUTE(C515,""Sell_"",""""))-COUNTIF(C$4:C514,C515)&lt;1,1),FALSE))))"),"")</f>
        <v/>
      </c>
      <c r="E515" s="59" t="str">
        <f t="array" ref="E515">IF(COUNTA(C515:C1350)=0,"",SUM((COUNTIF(C$4:C515,Upgrades!$B$3:$B$13)-COUNTIF(C$4:C515,"Sell_"&amp;Upgrades!$B$3:$B$13))*Upgrades!$D$3:$D$13))</f>
        <v/>
      </c>
      <c r="F515" s="66" t="str">
        <f>IFERROR(__xludf.DUMMYFUNCTION("IF(COUNTA(C515:C1350)=0,"""",IF(REGEXMATCH(INDEX(FILTER(C$4:C515,C$4:C515&lt;&gt;""""),ROWS(FILTER(C$4:C515,C$4:C515&lt;&gt;""""))),""^Sell_""),INDEX(FILTER(F$4:F514,C$4:C514&lt;&gt;""""),ROWS(FILTER(C$4:C514,C$4:C514&lt;&gt;""""))),$AC$5+E515))"),"")</f>
        <v/>
      </c>
      <c r="G515" s="10" t="str">
        <f>IFERROR(__xludf.DUMMYFUNCTION("IF(COUNTA(C515:C1350)=0,"""",IF(C515="""",0,IF(REGEXMATCH(C515,""^Sell_""),-ROUNDDOWN(ROUNDUP(INDEX(Upgrades!$C$3:$C$13,MATCH(SUBSTITUTE(C515,""Sell_"",""""),Upgrades!$B$3:$B$13,0))*1.15^(COUNTIF(C$4:C514,SUBSTITUTE(C515,""Sell_"",""""))-COUNTIF(C$4:C514,"&amp;"""Sell_""&amp;SUBSTITUTE(C515,""Sell_"",""""))))/2),ROUNDUP(INDEX(Upgrades!$C$3:$C$13,MATCH(C515,Upgrades!$B$3:$B$13,0))*1.15^(COUNTIF(C$4:C514,C515)-COUNTIF(C$4:C514,""Sell_""&amp;C515))))))"),"")</f>
        <v/>
      </c>
      <c r="H515" s="10" t="str">
        <f t="shared" si="3"/>
        <v/>
      </c>
      <c r="I515" s="68" t="str">
        <f t="shared" si="4"/>
        <v/>
      </c>
      <c r="J515" s="59" t="str">
        <f t="shared" si="5"/>
        <v/>
      </c>
      <c r="K515" s="69" t="str">
        <f t="shared" si="6"/>
        <v/>
      </c>
      <c r="L515" s="60">
        <f t="shared" si="7"/>
        <v>-197.94582</v>
      </c>
      <c r="M515" s="61">
        <f>IFERROR(__xludf.DUMMYFUNCTION("IFS(AND(COUNTA(C515:C1350)=0,COUNTA(Q515:Q1350)=0),"""",OR(AND(K515&gt;=1000000000,OR(Y515&gt;=1000000000,COUNTA(Q515:Q1350)=0)),OR(Y515&gt;=1000000000,AND(COUNTA(C515:C1350)=0,P$3=TRUE))),
ROUNDDOWN((AB$1-AC$1)*MAX(INDEX(T$4:T1350,MATCH(LARGE(FILTER(Y$4:Y1350,Y$4"&amp;":Y1350&lt;1000000000),1),Y$4:Y1350)),INDEX(F$4:F1350,MATCH(LARGE(FILTER(K$4:K1350,K$4:K1350&lt;1000000000),1),K$4:K1350)))),AND(K515&lt;1000000000,COUNTA(C515:C1350)&gt;0,P$3=FALSE),
ROUNDDOWN(INDEX(Y$4:Y1350,MATCH(LARGE(FILTER(W$4:W1350,W$4:W1350&lt;=I515),1),W$4:W1350"&amp;"))+(I515-LARGE(FILTER(W$4:W1350,W$4:W1350&lt;=I515),1))*INDEX(T$4:T1350,MATCH(LARGE(FILTER(W$4:W1350,W$4:W1350&lt;=I515),1),W$4:W1350))-K515),1,
ROUNDDOWN(Y515-INDEX(K$4:K1350,MATCH(LARGE(FILTER(I$4:I1350,I$4:I1350&lt;=W515),1),I$4:I1350))-(W515-LARGE(FILTER(I$4:I"&amp;"1350,I$4:I1350&lt;=W515),1))*INDEX(F$4:F1350,MATCH(LARGE(FILTER(I$4:I1350,I$4:I1350&lt;=W515),1),I$4:I1350))))"),1.0282871E8)</f>
        <v>102828710</v>
      </c>
      <c r="N515" s="60">
        <f t="shared" si="8"/>
        <v>-197.94582</v>
      </c>
      <c r="O515" s="61" t="str">
        <f t="shared" si="9"/>
        <v>102,8M</v>
      </c>
      <c r="P515" s="56">
        <f t="shared" si="10"/>
        <v>13</v>
      </c>
      <c r="Q515" s="105" t="s">
        <v>8</v>
      </c>
      <c r="R515" s="10" t="b">
        <f>IFERROR(__xludf.DUMMYFUNCTION("IF(COUNTA(Q515:Q1350)=0,"""",IF(ISBLANK(Q515),FALSE,IF(NOT(COUNTIF($AA$24:$AA$34,SUBSTITUTE(Q515,""Sell_"",""""))),1,IF(REGEXMATCH(Q515,""Sell_""),IF(COUNTIF(Q$4:Q515,SUBSTITUTE(Q515,""Sell_"",""""))-COUNTIF(Q$4:Q514,Q515)&lt;1,1),FALSE))))"),FALSE)</f>
        <v>0</v>
      </c>
      <c r="S515" s="59">
        <f t="array" ref="S515">IF(COUNTA(Q515:Q1350)=0,"",SUM((COUNTIF(Q$4:Q515,Upgrades!$B$3:$B$13)-COUNTIF(Q$4:Q515,"Sell_"&amp;Upgrades!$B$3:$B$13))*Upgrades!$D$3:$D$13))</f>
        <v>515025.4</v>
      </c>
      <c r="T515" s="66">
        <f>IFERROR(__xludf.DUMMYFUNCTION("IF(COUNTA(Q515:Q1350)=0,"""",IF(REGEXMATCH(INDEX(FILTER(Q$4:Q515,Q$4:Q515&lt;&gt;""""),ROWS(FILTER(Q$4:Q515,Q$4:Q515&lt;&gt;""""))),""^Sell_""),INDEX(FILTER(T$4:T514,Q$4:Q514&lt;&gt;""""),ROWS(FILTER(Q$4:Q514,Q$4:Q514&lt;&gt;""""))),$AD$5+S515))"),515225.4)</f>
        <v>515225.4</v>
      </c>
      <c r="U515" s="10">
        <f>IFERROR(__xludf.DUMMYFUNCTION("IF(COUNTA(Q515:Q1350)=0,"""",IF(Q515="""",0,IF(REGEXMATCH(Q515,""^Sell_""),-ROUNDDOWN(ROUNDUP(INDEX(Upgrades!$C$3:$C$13,MATCH(SUBSTITUTE(Q515,""Sell_"",""""),Upgrades!$B$3:$B$13,0))*1.15^(COUNTIF(Q$4:Q514,SUBSTITUTE(Q515,""Sell_"",""""))-COUNTIF(Q$4:Q514,"&amp;"""Sell_""&amp;SUBSTITUTE(Q515,""Sell_"",""""))))/2),ROUNDUP(INDEX(Upgrades!$C$3:$C$13,MATCH(Q515,Upgrades!$B$3:$B$13,0))*1.15^(COUNTIF(Q$4:Q514,Q515)-COUNTIF(Q$4:Q514,""Sell_""&amp;Q515))))))"),214011.0)</f>
        <v>214011</v>
      </c>
      <c r="V515" s="10">
        <f t="shared" si="11"/>
        <v>214011</v>
      </c>
      <c r="W515" s="68">
        <f t="shared" si="12"/>
        <v>6428.316005</v>
      </c>
      <c r="X515" s="59" t="str">
        <f t="shared" si="13"/>
        <v>1h 47m 08s</v>
      </c>
      <c r="Y515" s="69">
        <f t="shared" si="14"/>
        <v>817913059</v>
      </c>
      <c r="Z515" s="11"/>
    </row>
    <row r="516">
      <c r="A516" s="8"/>
      <c r="B516" s="56" t="str">
        <f t="shared" si="2"/>
        <v/>
      </c>
      <c r="C516" s="57"/>
      <c r="D516" s="10" t="str">
        <f>IFERROR(__xludf.DUMMYFUNCTION("IF(COUNTA(C516:C1350)=0,"""",IF(ISBLANK(C516),FALSE,IF(NOT(COUNTIF($AA$24:$AA$34,SUBSTITUTE(C516,""Sell_"",""""))),1,IF(REGEXMATCH(C516,""Sell_""),IF(COUNTIF(C$4:C516,SUBSTITUTE(C516,""Sell_"",""""))-COUNTIF(C$4:C515,C516)&lt;1,1),FALSE))))"),"")</f>
        <v/>
      </c>
      <c r="E516" s="59" t="str">
        <f t="array" ref="E516">IF(COUNTA(C516:C1350)=0,"",SUM((COUNTIF(C$4:C516,Upgrades!$B$3:$B$13)-COUNTIF(C$4:C516,"Sell_"&amp;Upgrades!$B$3:$B$13))*Upgrades!$D$3:$D$13))</f>
        <v/>
      </c>
      <c r="F516" s="66" t="str">
        <f>IFERROR(__xludf.DUMMYFUNCTION("IF(COUNTA(C516:C1350)=0,"""",IF(REGEXMATCH(INDEX(FILTER(C$4:C516,C$4:C516&lt;&gt;""""),ROWS(FILTER(C$4:C516,C$4:C516&lt;&gt;""""))),""^Sell_""),INDEX(FILTER(F$4:F515,C$4:C515&lt;&gt;""""),ROWS(FILTER(C$4:C515,C$4:C515&lt;&gt;""""))),$AC$5+E516))"),"")</f>
        <v/>
      </c>
      <c r="G516" s="10" t="str">
        <f>IFERROR(__xludf.DUMMYFUNCTION("IF(COUNTA(C516:C1350)=0,"""",IF(C516="""",0,IF(REGEXMATCH(C516,""^Sell_""),-ROUNDDOWN(ROUNDUP(INDEX(Upgrades!$C$3:$C$13,MATCH(SUBSTITUTE(C516,""Sell_"",""""),Upgrades!$B$3:$B$13,0))*1.15^(COUNTIF(C$4:C515,SUBSTITUTE(C516,""Sell_"",""""))-COUNTIF(C$4:C515,"&amp;"""Sell_""&amp;SUBSTITUTE(C516,""Sell_"",""""))))/2),ROUNDUP(INDEX(Upgrades!$C$3:$C$13,MATCH(C516,Upgrades!$B$3:$B$13,0))*1.15^(COUNTIF(C$4:C515,C516)-COUNTIF(C$4:C515,""Sell_""&amp;C516))))))"),"")</f>
        <v/>
      </c>
      <c r="H516" s="10" t="str">
        <f t="shared" si="3"/>
        <v/>
      </c>
      <c r="I516" s="68" t="str">
        <f t="shared" si="4"/>
        <v/>
      </c>
      <c r="J516" s="59" t="str">
        <f t="shared" si="5"/>
        <v/>
      </c>
      <c r="K516" s="69" t="str">
        <f t="shared" si="6"/>
        <v/>
      </c>
      <c r="L516" s="60">
        <f t="shared" si="7"/>
        <v>-197.8695</v>
      </c>
      <c r="M516" s="61">
        <f>IFERROR(__xludf.DUMMYFUNCTION("IFS(AND(COUNTA(C516:C1350)=0,COUNTA(Q516:Q1350)=0),"""",OR(AND(K516&gt;=1000000000,OR(Y516&gt;=1000000000,COUNTA(Q516:Q1350)=0)),OR(Y516&gt;=1000000000,AND(COUNTA(C516:C1350)=0,P$3=TRUE))),
ROUNDDOWN((AB$1-AC$1)*MAX(INDEX(T$4:T1350,MATCH(LARGE(FILTER(Y$4:Y1350,Y$4"&amp;":Y1350&lt;1000000000),1),Y$4:Y1350)),INDEX(F$4:F1350,MATCH(LARGE(FILTER(K$4:K1350,K$4:K1350&lt;1000000000),1),K$4:K1350)))),AND(K516&lt;1000000000,COUNTA(C516:C1350)&gt;0,P$3=FALSE),
ROUNDDOWN(INDEX(Y$4:Y1350,MATCH(LARGE(FILTER(W$4:W1350,W$4:W1350&lt;=I516),1),W$4:W1350"&amp;"))+(I516-LARGE(FILTER(W$4:W1350,W$4:W1350&lt;=I516),1))*INDEX(T$4:T1350,MATCH(LARGE(FILTER(W$4:W1350,W$4:W1350&lt;=I516),1),W$4:W1350))-K516),1,
ROUNDDOWN(Y516-INDEX(K$4:K1350,MATCH(LARGE(FILTER(I$4:I1350,I$4:I1350&lt;=W516),1),I$4:I1350))-(W516-LARGE(FILTER(I$4:I"&amp;"1350,I$4:I1350&lt;=W516),1))*INDEX(F$4:F1350,MATCH(LARGE(FILTER(I$4:I1350,I$4:I1350&lt;=W516),1),I$4:I1350))))"),1.03017785E8)</f>
        <v>103017785</v>
      </c>
      <c r="N516" s="60">
        <f t="shared" si="8"/>
        <v>-197.8695</v>
      </c>
      <c r="O516" s="61" t="str">
        <f t="shared" si="9"/>
        <v>103,0M</v>
      </c>
      <c r="P516" s="56">
        <f t="shared" si="10"/>
        <v>12</v>
      </c>
      <c r="Q516" s="105" t="s">
        <v>9</v>
      </c>
      <c r="R516" s="10" t="b">
        <f>IFERROR(__xludf.DUMMYFUNCTION("IF(COUNTA(Q516:Q1350)=0,"""",IF(ISBLANK(Q516),FALSE,IF(NOT(COUNTIF($AA$24:$AA$34,SUBSTITUTE(Q516,""Sell_"",""""))),1,IF(REGEXMATCH(Q516,""Sell_""),IF(COUNTIF(Q$4:Q516,SUBSTITUTE(Q516,""Sell_"",""""))-COUNTIF(Q$4:Q515,Q516)&lt;1,1),FALSE))))"),FALSE)</f>
        <v>0</v>
      </c>
      <c r="S516" s="59">
        <f t="array" ref="S516">IF(COUNTA(Q516:Q1350)=0,"",SUM((COUNTIF(Q$4:Q516,Upgrades!$B$3:$B$13)-COUNTIF(Q$4:Q516,"Sell_"&amp;Upgrades!$B$3:$B$13))*Upgrades!$D$3:$D$13))</f>
        <v>515425.4</v>
      </c>
      <c r="T516" s="66">
        <f>IFERROR(__xludf.DUMMYFUNCTION("IF(COUNTA(Q516:Q1350)=0,"""",IF(REGEXMATCH(INDEX(FILTER(Q$4:Q516,Q$4:Q516&lt;&gt;""""),ROWS(FILTER(Q$4:Q516,Q$4:Q516&lt;&gt;""""))),""^Sell_""),INDEX(FILTER(T$4:T515,Q$4:Q515&lt;&gt;""""),ROWS(FILTER(Q$4:Q515,Q$4:Q515&lt;&gt;""""))),$AD$5+S516))"),515625.4)</f>
        <v>515625.4</v>
      </c>
      <c r="U516" s="10">
        <f>IFERROR(__xludf.DUMMYFUNCTION("IF(COUNTA(Q516:Q1350)=0,"""",IF(Q516="""",0,IF(REGEXMATCH(Q516,""^Sell_""),-ROUNDDOWN(ROUNDUP(INDEX(Upgrades!$C$3:$C$13,MATCH(SUBSTITUTE(Q516,""Sell_"",""""),Upgrades!$B$3:$B$13,0))*1.15^(COUNTIF(Q$4:Q515,SUBSTITUTE(Q516,""Sell_"",""""))-COUNTIF(Q$4:Q515,"&amp;"""Sell_""&amp;SUBSTITUTE(Q516,""Sell_"",""""))))/2),ROUNDUP(INDEX(Upgrades!$C$3:$C$13,MATCH(Q516,Upgrades!$B$3:$B$13,0))*1.15^(COUNTIF(Q$4:Q515,Q516)-COUNTIF(Q$4:Q515,""Sell_""&amp;Q516))))))"),930479.0)</f>
        <v>930479</v>
      </c>
      <c r="V516" s="10">
        <f t="shared" si="11"/>
        <v>930479</v>
      </c>
      <c r="W516" s="68">
        <f t="shared" si="12"/>
        <v>6430.12197</v>
      </c>
      <c r="X516" s="59" t="str">
        <f t="shared" si="13"/>
        <v>1h 47m 10s</v>
      </c>
      <c r="Y516" s="69">
        <f t="shared" si="14"/>
        <v>818843538</v>
      </c>
      <c r="Z516" s="11"/>
    </row>
    <row r="517">
      <c r="A517" s="8"/>
      <c r="B517" s="56" t="str">
        <f t="shared" si="2"/>
        <v/>
      </c>
      <c r="C517" s="57"/>
      <c r="D517" s="10" t="str">
        <f>IFERROR(__xludf.DUMMYFUNCTION("IF(COUNTA(C517:C1350)=0,"""",IF(ISBLANK(C517),FALSE,IF(NOT(COUNTIF($AA$24:$AA$34,SUBSTITUTE(C517,""Sell_"",""""))),1,IF(REGEXMATCH(C517,""Sell_""),IF(COUNTIF(C$4:C517,SUBSTITUTE(C517,""Sell_"",""""))-COUNTIF(C$4:C516,C517)&lt;1,1),FALSE))))"),"")</f>
        <v/>
      </c>
      <c r="E517" s="59" t="str">
        <f t="array" ref="E517">IF(COUNTA(C517:C1350)=0,"",SUM((COUNTIF(C$4:C517,Upgrades!$B$3:$B$13)-COUNTIF(C$4:C517,"Sell_"&amp;Upgrades!$B$3:$B$13))*Upgrades!$D$3:$D$13))</f>
        <v/>
      </c>
      <c r="F517" s="66" t="str">
        <f>IFERROR(__xludf.DUMMYFUNCTION("IF(COUNTA(C517:C1350)=0,"""",IF(REGEXMATCH(INDEX(FILTER(C$4:C517,C$4:C517&lt;&gt;""""),ROWS(FILTER(C$4:C517,C$4:C517&lt;&gt;""""))),""^Sell_""),INDEX(FILTER(F$4:F516,C$4:C516&lt;&gt;""""),ROWS(FILTER(C$4:C516,C$4:C516&lt;&gt;""""))),$AC$5+E517))"),"")</f>
        <v/>
      </c>
      <c r="G517" s="10" t="str">
        <f>IFERROR(__xludf.DUMMYFUNCTION("IF(COUNTA(C517:C1350)=0,"""",IF(C517="""",0,IF(REGEXMATCH(C517,""^Sell_""),-ROUNDDOWN(ROUNDUP(INDEX(Upgrades!$C$3:$C$13,MATCH(SUBSTITUTE(C517,""Sell_"",""""),Upgrades!$B$3:$B$13,0))*1.15^(COUNTIF(C$4:C516,SUBSTITUTE(C517,""Sell_"",""""))-COUNTIF(C$4:C516,"&amp;"""Sell_""&amp;SUBSTITUTE(C517,""Sell_"",""""))))/2),ROUNDUP(INDEX(Upgrades!$C$3:$C$13,MATCH(C517,Upgrades!$B$3:$B$13,0))*1.15^(COUNTIF(C$4:C516,C517)-COUNTIF(C$4:C516,""Sell_""&amp;C517))))))"),"")</f>
        <v/>
      </c>
      <c r="H517" s="10" t="str">
        <f t="shared" si="3"/>
        <v/>
      </c>
      <c r="I517" s="68" t="str">
        <f t="shared" si="4"/>
        <v/>
      </c>
      <c r="J517" s="59" t="str">
        <f t="shared" si="5"/>
        <v/>
      </c>
      <c r="K517" s="69" t="str">
        <f t="shared" si="6"/>
        <v/>
      </c>
      <c r="L517" s="60">
        <f t="shared" si="7"/>
        <v>-197.86197</v>
      </c>
      <c r="M517" s="61">
        <f>IFERROR(__xludf.DUMMYFUNCTION("IFS(AND(COUNTA(C517:C1350)=0,COUNTA(Q517:Q1350)=0),"""",OR(AND(K517&gt;=1000000000,OR(Y517&gt;=1000000000,COUNTA(Q517:Q1350)=0)),OR(Y517&gt;=1000000000,AND(COUNTA(C517:C1350)=0,P$3=TRUE))),
ROUNDDOWN((AB$1-AC$1)*MAX(INDEX(T$4:T1350,MATCH(LARGE(FILTER(Y$4:Y1350,Y$4"&amp;":Y1350&lt;1000000000),1),Y$4:Y1350)),INDEX(F$4:F1350,MATCH(LARGE(FILTER(K$4:K1350,K$4:K1350&lt;1000000000),1),K$4:K1350)))),AND(K517&lt;1000000000,COUNTA(C517:C1350)&gt;0,P$3=FALSE),
ROUNDDOWN(INDEX(Y$4:Y1350,MATCH(LARGE(FILTER(W$4:W1350,W$4:W1350&lt;=I517),1),W$4:W1350"&amp;"))+(I517-LARGE(FILTER(W$4:W1350,W$4:W1350&lt;=I517),1))*INDEX(T$4:T1350,MATCH(LARGE(FILTER(W$4:W1350,W$4:W1350&lt;=I517),1),W$4:W1350))-K517),1,
ROUNDDOWN(Y517-INDEX(K$4:K1350,MATCH(LARGE(FILTER(I$4:I1350,I$4:I1350&lt;=W517),1),I$4:I1350))-(W517-LARGE(FILTER(I$4:I"&amp;"1350,I$4:I1350&lt;=W517),1))*INDEX(F$4:F1350,MATCH(LARGE(FILTER(I$4:I1350,I$4:I1350&lt;=W517),1),I$4:I1350))))"),1.03036858E8)</f>
        <v>103036858</v>
      </c>
      <c r="N517" s="60">
        <f t="shared" si="8"/>
        <v>-197.86197</v>
      </c>
      <c r="O517" s="61" t="str">
        <f t="shared" si="9"/>
        <v>103,0M</v>
      </c>
      <c r="P517" s="56">
        <f t="shared" si="10"/>
        <v>17</v>
      </c>
      <c r="Q517" s="105" t="s">
        <v>7</v>
      </c>
      <c r="R517" s="10" t="b">
        <f>IFERROR(__xludf.DUMMYFUNCTION("IF(COUNTA(Q517:Q1350)=0,"""",IF(ISBLANK(Q517),FALSE,IF(NOT(COUNTIF($AA$24:$AA$34,SUBSTITUTE(Q517,""Sell_"",""""))),1,IF(REGEXMATCH(Q517,""Sell_""),IF(COUNTIF(Q$4:Q517,SUBSTITUTE(Q517,""Sell_"",""""))-COUNTIF(Q$4:Q516,Q517)&lt;1,1),FALSE))))"),FALSE)</f>
        <v>0</v>
      </c>
      <c r="S517" s="59">
        <f t="array" ref="S517">IF(COUNTA(Q517:Q1350)=0,"",SUM((COUNTIF(Q$4:Q517,Upgrades!$B$3:$B$13)-COUNTIF(Q$4:Q517,"Sell_"&amp;Upgrades!$B$3:$B$13))*Upgrades!$D$3:$D$13))</f>
        <v>515465.4</v>
      </c>
      <c r="T517" s="66">
        <f>IFERROR(__xludf.DUMMYFUNCTION("IF(COUNTA(Q517:Q1350)=0,"""",IF(REGEXMATCH(INDEX(FILTER(Q$4:Q517,Q$4:Q517&lt;&gt;""""),ROWS(FILTER(Q$4:Q517,Q$4:Q517&lt;&gt;""""))),""^Sell_""),INDEX(FILTER(T$4:T516,Q$4:Q516&lt;&gt;""""),ROWS(FILTER(Q$4:Q516,Q$4:Q516&lt;&gt;""""))),$AD$5+S517))"),515665.4)</f>
        <v>515665.4</v>
      </c>
      <c r="U517" s="10">
        <f>IFERROR(__xludf.DUMMYFUNCTION("IF(COUNTA(Q517:Q1350)=0,"""",IF(Q517="""",0,IF(REGEXMATCH(Q517,""^Sell_""),-ROUNDDOWN(ROUNDUP(INDEX(Upgrades!$C$3:$C$13,MATCH(SUBSTITUTE(Q517,""Sell_"",""""),Upgrades!$B$3:$B$13,0))*1.15^(COUNTIF(Q$4:Q516,SUBSTITUTE(Q517,""Sell_"",""""))-COUNTIF(Q$4:Q516,"&amp;"""Sell_""&amp;SUBSTITUTE(Q517,""Sell_"",""""))))/2),ROUNDUP(INDEX(Upgrades!$C$3:$C$13,MATCH(Q517,Upgrades!$B$3:$B$13,0))*1.15^(COUNTIF(Q$4:Q516,Q517)-COUNTIF(Q$4:Q516,""Sell_""&amp;Q517))))))"),93577.0)</f>
        <v>93577</v>
      </c>
      <c r="V517" s="10">
        <f t="shared" si="11"/>
        <v>93577</v>
      </c>
      <c r="W517" s="68">
        <f t="shared" si="12"/>
        <v>6430.303452</v>
      </c>
      <c r="X517" s="59" t="str">
        <f t="shared" si="13"/>
        <v>1h 47m 10s</v>
      </c>
      <c r="Y517" s="69">
        <f t="shared" si="14"/>
        <v>818937115</v>
      </c>
      <c r="Z517" s="11"/>
    </row>
    <row r="518">
      <c r="A518" s="8"/>
      <c r="B518" s="56" t="str">
        <f t="shared" si="2"/>
        <v/>
      </c>
      <c r="C518" s="57"/>
      <c r="D518" s="10" t="str">
        <f>IFERROR(__xludf.DUMMYFUNCTION("IF(COUNTA(C518:C1350)=0,"""",IF(ISBLANK(C518),FALSE,IF(NOT(COUNTIF($AA$24:$AA$34,SUBSTITUTE(C518,""Sell_"",""""))),1,IF(REGEXMATCH(C518,""Sell_""),IF(COUNTIF(C$4:C518,SUBSTITUTE(C518,""Sell_"",""""))-COUNTIF(C$4:C517,C518)&lt;1,1),FALSE))))"),"")</f>
        <v/>
      </c>
      <c r="E518" s="59" t="str">
        <f t="array" ref="E518">IF(COUNTA(C518:C1350)=0,"",SUM((COUNTIF(C$4:C518,Upgrades!$B$3:$B$13)-COUNTIF(C$4:C518,"Sell_"&amp;Upgrades!$B$3:$B$13))*Upgrades!$D$3:$D$13))</f>
        <v/>
      </c>
      <c r="F518" s="66" t="str">
        <f>IFERROR(__xludf.DUMMYFUNCTION("IF(COUNTA(C518:C1350)=0,"""",IF(REGEXMATCH(INDEX(FILTER(C$4:C518,C$4:C518&lt;&gt;""""),ROWS(FILTER(C$4:C518,C$4:C518&lt;&gt;""""))),""^Sell_""),INDEX(FILTER(F$4:F517,C$4:C517&lt;&gt;""""),ROWS(FILTER(C$4:C517,C$4:C517&lt;&gt;""""))),$AC$5+E518))"),"")</f>
        <v/>
      </c>
      <c r="G518" s="10" t="str">
        <f>IFERROR(__xludf.DUMMYFUNCTION("IF(COUNTA(C518:C1350)=0,"""",IF(C518="""",0,IF(REGEXMATCH(C518,""^Sell_""),-ROUNDDOWN(ROUNDUP(INDEX(Upgrades!$C$3:$C$13,MATCH(SUBSTITUTE(C518,""Sell_"",""""),Upgrades!$B$3:$B$13,0))*1.15^(COUNTIF(C$4:C517,SUBSTITUTE(C518,""Sell_"",""""))-COUNTIF(C$4:C517,"&amp;"""Sell_""&amp;SUBSTITUTE(C518,""Sell_"",""""))))/2),ROUNDUP(INDEX(Upgrades!$C$3:$C$13,MATCH(C518,Upgrades!$B$3:$B$13,0))*1.15^(COUNTIF(C$4:C517,C518)-COUNTIF(C$4:C517,""Sell_""&amp;C518))))))"),"")</f>
        <v/>
      </c>
      <c r="H518" s="10" t="str">
        <f t="shared" si="3"/>
        <v/>
      </c>
      <c r="I518" s="68" t="str">
        <f t="shared" si="4"/>
        <v/>
      </c>
      <c r="J518" s="59" t="str">
        <f t="shared" si="5"/>
        <v/>
      </c>
      <c r="K518" s="69" t="str">
        <f t="shared" si="6"/>
        <v/>
      </c>
      <c r="L518" s="60">
        <f t="shared" si="7"/>
        <v>-197.84219</v>
      </c>
      <c r="M518" s="61">
        <f>IFERROR(__xludf.DUMMYFUNCTION("IFS(AND(COUNTA(C518:C1350)=0,COUNTA(Q518:Q1350)=0),"""",OR(AND(K518&gt;=1000000000,OR(Y518&gt;=1000000000,COUNTA(Q518:Q1350)=0)),OR(Y518&gt;=1000000000,AND(COUNTA(C518:C1350)=0,P$3=TRUE))),
ROUNDDOWN((AB$1-AC$1)*MAX(INDEX(T$4:T1350,MATCH(LARGE(FILTER(Y$4:Y1350,Y$4"&amp;":Y1350&lt;1000000000),1),Y$4:Y1350)),INDEX(F$4:F1350,MATCH(LARGE(FILTER(K$4:K1350,K$4:K1350&lt;1000000000),1),K$4:K1350)))),AND(K518&lt;1000000000,COUNTA(C518:C1350)&gt;0,P$3=FALSE),
ROUNDDOWN(INDEX(Y$4:Y1350,MATCH(LARGE(FILTER(W$4:W1350,W$4:W1350&lt;=I518),1),W$4:W1350"&amp;"))+(I518-LARGE(FILTER(W$4:W1350,W$4:W1350&lt;=I518),1))*INDEX(T$4:T1350,MATCH(LARGE(FILTER(W$4:W1350,W$4:W1350&lt;=I518),1),W$4:W1350))-K518),1,
ROUNDDOWN(Y518-INDEX(K$4:K1350,MATCH(LARGE(FILTER(I$4:I1350,I$4:I1350&lt;=W518),1),I$4:I1350))-(W518-LARGE(FILTER(I$4:I"&amp;"1350,I$4:I1350&lt;=W518),1))*INDEX(F$4:F1350,MATCH(LARGE(FILTER(I$4:I1350,I$4:I1350&lt;=W518),1),I$4:I1350))))"),1.03087036E8)</f>
        <v>103087036</v>
      </c>
      <c r="N518" s="60">
        <f t="shared" si="8"/>
        <v>-197.84219</v>
      </c>
      <c r="O518" s="61" t="str">
        <f t="shared" si="9"/>
        <v>103,1M</v>
      </c>
      <c r="P518" s="56">
        <f t="shared" si="10"/>
        <v>14</v>
      </c>
      <c r="Q518" s="105" t="s">
        <v>8</v>
      </c>
      <c r="R518" s="10" t="b">
        <f>IFERROR(__xludf.DUMMYFUNCTION("IF(COUNTA(Q518:Q1350)=0,"""",IF(ISBLANK(Q518),FALSE,IF(NOT(COUNTIF($AA$24:$AA$34,SUBSTITUTE(Q518,""Sell_"",""""))),1,IF(REGEXMATCH(Q518,""Sell_""),IF(COUNTIF(Q$4:Q518,SUBSTITUTE(Q518,""Sell_"",""""))-COUNTIF(Q$4:Q517,Q518)&lt;1,1),FALSE))))"),FALSE)</f>
        <v>0</v>
      </c>
      <c r="S518" s="59">
        <f t="array" ref="S518">IF(COUNTA(Q518:Q1350)=0,"",SUM((COUNTIF(Q$4:Q518,Upgrades!$B$3:$B$13)-COUNTIF(Q$4:Q518,"Sell_"&amp;Upgrades!$B$3:$B$13))*Upgrades!$D$3:$D$13))</f>
        <v>515565.4</v>
      </c>
      <c r="T518" s="66">
        <f>IFERROR(__xludf.DUMMYFUNCTION("IF(COUNTA(Q518:Q1350)=0,"""",IF(REGEXMATCH(INDEX(FILTER(Q$4:Q518,Q$4:Q518&lt;&gt;""""),ROWS(FILTER(Q$4:Q518,Q$4:Q518&lt;&gt;""""))),""^Sell_""),INDEX(FILTER(T$4:T517,Q$4:Q517&lt;&gt;""""),ROWS(FILTER(Q$4:Q517,Q$4:Q517&lt;&gt;""""))),$AD$5+S518))"),515765.4)</f>
        <v>515765.4</v>
      </c>
      <c r="U518" s="10">
        <f>IFERROR(__xludf.DUMMYFUNCTION("IF(COUNTA(Q518:Q1350)=0,"""",IF(Q518="""",0,IF(REGEXMATCH(Q518,""^Sell_""),-ROUNDDOWN(ROUNDUP(INDEX(Upgrades!$C$3:$C$13,MATCH(SUBSTITUTE(Q518,""Sell_"",""""),Upgrades!$B$3:$B$13,0))*1.15^(COUNTIF(Q$4:Q517,SUBSTITUTE(Q518,""Sell_"",""""))-COUNTIF(Q$4:Q517,"&amp;"""Sell_""&amp;SUBSTITUTE(Q518,""Sell_"",""""))))/2),ROUNDUP(INDEX(Upgrades!$C$3:$C$13,MATCH(Q518,Upgrades!$B$3:$B$13,0))*1.15^(COUNTIF(Q$4:Q517,Q518)-COUNTIF(Q$4:Q517,""Sell_""&amp;Q518))))))"),246112.0)</f>
        <v>246112</v>
      </c>
      <c r="V518" s="10">
        <f t="shared" si="11"/>
        <v>246112</v>
      </c>
      <c r="W518" s="68">
        <f t="shared" si="12"/>
        <v>6430.780723</v>
      </c>
      <c r="X518" s="59" t="str">
        <f t="shared" si="13"/>
        <v>1h 47m 10s</v>
      </c>
      <c r="Y518" s="69">
        <f t="shared" si="14"/>
        <v>819183227</v>
      </c>
      <c r="Z518" s="11"/>
    </row>
    <row r="519">
      <c r="A519" s="8"/>
      <c r="B519" s="56" t="str">
        <f t="shared" si="2"/>
        <v/>
      </c>
      <c r="C519" s="57"/>
      <c r="D519" s="10" t="str">
        <f>IFERROR(__xludf.DUMMYFUNCTION("IF(COUNTA(C519:C1350)=0,"""",IF(ISBLANK(C519),FALSE,IF(NOT(COUNTIF($AA$24:$AA$34,SUBSTITUTE(C519,""Sell_"",""""))),1,IF(REGEXMATCH(C519,""Sell_""),IF(COUNTIF(C$4:C519,SUBSTITUTE(C519,""Sell_"",""""))-COUNTIF(C$4:C518,C519)&lt;1,1),FALSE))))"),"")</f>
        <v/>
      </c>
      <c r="E519" s="59" t="str">
        <f t="array" ref="E519">IF(COUNTA(C519:C1350)=0,"",SUM((COUNTIF(C$4:C519,Upgrades!$B$3:$B$13)-COUNTIF(C$4:C519,"Sell_"&amp;Upgrades!$B$3:$B$13))*Upgrades!$D$3:$D$13))</f>
        <v/>
      </c>
      <c r="F519" s="66" t="str">
        <f>IFERROR(__xludf.DUMMYFUNCTION("IF(COUNTA(C519:C1350)=0,"""",IF(REGEXMATCH(INDEX(FILTER(C$4:C519,C$4:C519&lt;&gt;""""),ROWS(FILTER(C$4:C519,C$4:C519&lt;&gt;""""))),""^Sell_""),INDEX(FILTER(F$4:F518,C$4:C518&lt;&gt;""""),ROWS(FILTER(C$4:C518,C$4:C518&lt;&gt;""""))),$AC$5+E519))"),"")</f>
        <v/>
      </c>
      <c r="G519" s="10" t="str">
        <f>IFERROR(__xludf.DUMMYFUNCTION("IF(COUNTA(C519:C1350)=0,"""",IF(C519="""",0,IF(REGEXMATCH(C519,""^Sell_""),-ROUNDDOWN(ROUNDUP(INDEX(Upgrades!$C$3:$C$13,MATCH(SUBSTITUTE(C519,""Sell_"",""""),Upgrades!$B$3:$B$13,0))*1.15^(COUNTIF(C$4:C518,SUBSTITUTE(C519,""Sell_"",""""))-COUNTIF(C$4:C518,"&amp;"""Sell_""&amp;SUBSTITUTE(C519,""Sell_"",""""))))/2),ROUNDUP(INDEX(Upgrades!$C$3:$C$13,MATCH(C519,Upgrades!$B$3:$B$13,0))*1.15^(COUNTIF(C$4:C518,C519)-COUNTIF(C$4:C518,""Sell_""&amp;C519))))))"),"")</f>
        <v/>
      </c>
      <c r="H519" s="10" t="str">
        <f t="shared" si="3"/>
        <v/>
      </c>
      <c r="I519" s="68" t="str">
        <f t="shared" si="4"/>
        <v/>
      </c>
      <c r="J519" s="59" t="str">
        <f t="shared" si="5"/>
        <v/>
      </c>
      <c r="K519" s="69" t="str">
        <f t="shared" si="6"/>
        <v/>
      </c>
      <c r="L519" s="60">
        <f t="shared" si="7"/>
        <v>-197.7566</v>
      </c>
      <c r="M519" s="61">
        <f>IFERROR(__xludf.DUMMYFUNCTION("IFS(AND(COUNTA(C519:C1350)=0,COUNTA(Q519:Q1350)=0),"""",OR(AND(K519&gt;=1000000000,OR(Y519&gt;=1000000000,COUNTA(Q519:Q1350)=0)),OR(Y519&gt;=1000000000,AND(COUNTA(C519:C1350)=0,P$3=TRUE))),
ROUNDDOWN((AB$1-AC$1)*MAX(INDEX(T$4:T1350,MATCH(LARGE(FILTER(Y$4:Y1350,Y$4"&amp;":Y1350&lt;1000000000),1),Y$4:Y1350)),INDEX(F$4:F1350,MATCH(LARGE(FILTER(K$4:K1350,K$4:K1350&lt;1000000000),1),K$4:K1350)))),AND(K519&lt;1000000000,COUNTA(C519:C1350)&gt;0,P$3=FALSE),
ROUNDDOWN(INDEX(Y$4:Y1350,MATCH(LARGE(FILTER(W$4:W1350,W$4:W1350&lt;=I519),1),W$4:W1350"&amp;"))+(I519-LARGE(FILTER(W$4:W1350,W$4:W1350&lt;=I519),1))*INDEX(T$4:T1350,MATCH(LARGE(FILTER(W$4:W1350,W$4:W1350&lt;=I519),1),W$4:W1350))-K519),1,
ROUNDDOWN(Y519-INDEX(K$4:K1350,MATCH(LARGE(FILTER(I$4:I1350,I$4:I1350&lt;=W519),1),I$4:I1350))-(W519-LARGE(FILTER(I$4:I"&amp;"1350,I$4:I1350&lt;=W519),1))*INDEX(F$4:F1350,MATCH(LARGE(FILTER(I$4:I1350,I$4:I1350&lt;=W519),1),I$4:I1350))))"),1.03305365E8)</f>
        <v>103305365</v>
      </c>
      <c r="N519" s="60">
        <f t="shared" si="8"/>
        <v>-197.7566</v>
      </c>
      <c r="O519" s="61" t="str">
        <f t="shared" si="9"/>
        <v>103,3M</v>
      </c>
      <c r="P519" s="56">
        <f t="shared" si="10"/>
        <v>13</v>
      </c>
      <c r="Q519" s="105" t="s">
        <v>9</v>
      </c>
      <c r="R519" s="10" t="b">
        <f>IFERROR(__xludf.DUMMYFUNCTION("IF(COUNTA(Q519:Q1350)=0,"""",IF(ISBLANK(Q519),FALSE,IF(NOT(COUNTIF($AA$24:$AA$34,SUBSTITUTE(Q519,""Sell_"",""""))),1,IF(REGEXMATCH(Q519,""Sell_""),IF(COUNTIF(Q$4:Q519,SUBSTITUTE(Q519,""Sell_"",""""))-COUNTIF(Q$4:Q518,Q519)&lt;1,1),FALSE))))"),FALSE)</f>
        <v>0</v>
      </c>
      <c r="S519" s="59">
        <f t="array" ref="S519">IF(COUNTA(Q519:Q1350)=0,"",SUM((COUNTIF(Q$4:Q519,Upgrades!$B$3:$B$13)-COUNTIF(Q$4:Q519,"Sell_"&amp;Upgrades!$B$3:$B$13))*Upgrades!$D$3:$D$13))</f>
        <v>515965.4</v>
      </c>
      <c r="T519" s="66">
        <f>IFERROR(__xludf.DUMMYFUNCTION("IF(COUNTA(Q519:Q1350)=0,"""",IF(REGEXMATCH(INDEX(FILTER(Q$4:Q519,Q$4:Q519&lt;&gt;""""),ROWS(FILTER(Q$4:Q519,Q$4:Q519&lt;&gt;""""))),""^Sell_""),INDEX(FILTER(T$4:T518,Q$4:Q518&lt;&gt;""""),ROWS(FILTER(Q$4:Q518,Q$4:Q518&lt;&gt;""""))),$AD$5+S519))"),516165.4)</f>
        <v>516165.4</v>
      </c>
      <c r="U519" s="10">
        <f>IFERROR(__xludf.DUMMYFUNCTION("IF(COUNTA(Q519:Q1350)=0,"""",IF(Q519="""",0,IF(REGEXMATCH(Q519,""^Sell_""),-ROUNDDOWN(ROUNDUP(INDEX(Upgrades!$C$3:$C$13,MATCH(SUBSTITUTE(Q519,""Sell_"",""""),Upgrades!$B$3:$B$13,0))*1.15^(COUNTIF(Q$4:Q518,SUBSTITUTE(Q519,""Sell_"",""""))-COUNTIF(Q$4:Q518,"&amp;"""Sell_""&amp;SUBSTITUTE(Q519,""Sell_"",""""))))/2),ROUNDUP(INDEX(Upgrades!$C$3:$C$13,MATCH(Q519,Upgrades!$B$3:$B$13,0))*1.15^(COUNTIF(Q$4:Q518,Q519)-COUNTIF(Q$4:Q518,""Sell_""&amp;Q519))))))"),1070051.0)</f>
        <v>1070051</v>
      </c>
      <c r="V519" s="10">
        <f t="shared" si="11"/>
        <v>1070051</v>
      </c>
      <c r="W519" s="68">
        <f t="shared" si="12"/>
        <v>6432.855409</v>
      </c>
      <c r="X519" s="59" t="str">
        <f t="shared" si="13"/>
        <v>1h 47m 12s</v>
      </c>
      <c r="Y519" s="69">
        <f t="shared" si="14"/>
        <v>820253278</v>
      </c>
      <c r="Z519" s="11"/>
    </row>
    <row r="520">
      <c r="A520" s="8"/>
      <c r="B520" s="56" t="str">
        <f t="shared" si="2"/>
        <v/>
      </c>
      <c r="C520" s="57"/>
      <c r="D520" s="10" t="str">
        <f>IFERROR(__xludf.DUMMYFUNCTION("IF(COUNTA(C520:C1350)=0,"""",IF(ISBLANK(C520),FALSE,IF(NOT(COUNTIF($AA$24:$AA$34,SUBSTITUTE(C520,""Sell_"",""""))),1,IF(REGEXMATCH(C520,""Sell_""),IF(COUNTIF(C$4:C520,SUBSTITUTE(C520,""Sell_"",""""))-COUNTIF(C$4:C519,C520)&lt;1,1),FALSE))))"),"")</f>
        <v/>
      </c>
      <c r="E520" s="59" t="str">
        <f t="array" ref="E520">IF(COUNTA(C520:C1350)=0,"",SUM((COUNTIF(C$4:C520,Upgrades!$B$3:$B$13)-COUNTIF(C$4:C520,"Sell_"&amp;Upgrades!$B$3:$B$13))*Upgrades!$D$3:$D$13))</f>
        <v/>
      </c>
      <c r="F520" s="66" t="str">
        <f>IFERROR(__xludf.DUMMYFUNCTION("IF(COUNTA(C520:C1350)=0,"""",IF(REGEXMATCH(INDEX(FILTER(C$4:C520,C$4:C520&lt;&gt;""""),ROWS(FILTER(C$4:C520,C$4:C520&lt;&gt;""""))),""^Sell_""),INDEX(FILTER(F$4:F519,C$4:C519&lt;&gt;""""),ROWS(FILTER(C$4:C519,C$4:C519&lt;&gt;""""))),$AC$5+E520))"),"")</f>
        <v/>
      </c>
      <c r="G520" s="10" t="str">
        <f>IFERROR(__xludf.DUMMYFUNCTION("IF(COUNTA(C520:C1350)=0,"""",IF(C520="""",0,IF(REGEXMATCH(C520,""^Sell_""),-ROUNDDOWN(ROUNDUP(INDEX(Upgrades!$C$3:$C$13,MATCH(SUBSTITUTE(C520,""Sell_"",""""),Upgrades!$B$3:$B$13,0))*1.15^(COUNTIF(C$4:C519,SUBSTITUTE(C520,""Sell_"",""""))-COUNTIF(C$4:C519,"&amp;"""Sell_""&amp;SUBSTITUTE(C520,""Sell_"",""""))))/2),ROUNDUP(INDEX(Upgrades!$C$3:$C$13,MATCH(C520,Upgrades!$B$3:$B$13,0))*1.15^(COUNTIF(C$4:C519,C520)-COUNTIF(C$4:C519,""Sell_""&amp;C520))))))"),"")</f>
        <v/>
      </c>
      <c r="H520" s="10" t="str">
        <f t="shared" si="3"/>
        <v/>
      </c>
      <c r="I520" s="68" t="str">
        <f t="shared" si="4"/>
        <v/>
      </c>
      <c r="J520" s="59" t="str">
        <f t="shared" si="5"/>
        <v/>
      </c>
      <c r="K520" s="69" t="str">
        <f t="shared" si="6"/>
        <v/>
      </c>
      <c r="L520" s="60">
        <f t="shared" si="7"/>
        <v>-197.74815</v>
      </c>
      <c r="M520" s="61">
        <f>IFERROR(__xludf.DUMMYFUNCTION("IFS(AND(COUNTA(C520:C1350)=0,COUNTA(Q520:Q1350)=0),"""",OR(AND(K520&gt;=1000000000,OR(Y520&gt;=1000000000,COUNTA(Q520:Q1350)=0)),OR(Y520&gt;=1000000000,AND(COUNTA(C520:C1350)=0,P$3=TRUE))),
ROUNDDOWN((AB$1-AC$1)*MAX(INDEX(T$4:T1350,MATCH(LARGE(FILTER(Y$4:Y1350,Y$4"&amp;":Y1350&lt;1000000000),1),Y$4:Y1350)),INDEX(F$4:F1350,MATCH(LARGE(FILTER(K$4:K1350,K$4:K1350&lt;1000000000),1),K$4:K1350)))),AND(K520&lt;1000000000,COUNTA(C520:C1350)&gt;0,P$3=FALSE),
ROUNDDOWN(INDEX(Y$4:Y1350,MATCH(LARGE(FILTER(W$4:W1350,W$4:W1350&lt;=I520),1),W$4:W1350"&amp;"))+(I520-LARGE(FILTER(W$4:W1350,W$4:W1350&lt;=I520),1))*INDEX(T$4:T1350,MATCH(LARGE(FILTER(W$4:W1350,W$4:W1350&lt;=I520),1),W$4:W1350))-K520),1,
ROUNDDOWN(Y520-INDEX(K$4:K1350,MATCH(LARGE(FILTER(I$4:I1350,I$4:I1350&lt;=W520),1),I$4:I1350))-(W520-LARGE(FILTER(I$4:I"&amp;"1350,I$4:I1350&lt;=W520),1))*INDEX(F$4:F1350,MATCH(LARGE(FILTER(I$4:I1350,I$4:I1350&lt;=W520),1),I$4:I1350))))"),1.03327389E8)</f>
        <v>103327389</v>
      </c>
      <c r="N520" s="60">
        <f t="shared" si="8"/>
        <v>-197.74815</v>
      </c>
      <c r="O520" s="61" t="str">
        <f t="shared" si="9"/>
        <v>103,3M</v>
      </c>
      <c r="P520" s="56">
        <f t="shared" si="10"/>
        <v>18</v>
      </c>
      <c r="Q520" s="105" t="s">
        <v>7</v>
      </c>
      <c r="R520" s="10" t="b">
        <f>IFERROR(__xludf.DUMMYFUNCTION("IF(COUNTA(Q520:Q1350)=0,"""",IF(ISBLANK(Q520),FALSE,IF(NOT(COUNTIF($AA$24:$AA$34,SUBSTITUTE(Q520,""Sell_"",""""))),1,IF(REGEXMATCH(Q520,""Sell_""),IF(COUNTIF(Q$4:Q520,SUBSTITUTE(Q520,""Sell_"",""""))-COUNTIF(Q$4:Q519,Q520)&lt;1,1),FALSE))))"),FALSE)</f>
        <v>0</v>
      </c>
      <c r="S520" s="59">
        <f t="array" ref="S520">IF(COUNTA(Q520:Q1350)=0,"",SUM((COUNTIF(Q$4:Q520,Upgrades!$B$3:$B$13)-COUNTIF(Q$4:Q520,"Sell_"&amp;Upgrades!$B$3:$B$13))*Upgrades!$D$3:$D$13))</f>
        <v>516005.4</v>
      </c>
      <c r="T520" s="66">
        <f>IFERROR(__xludf.DUMMYFUNCTION("IF(COUNTA(Q520:Q1350)=0,"""",IF(REGEXMATCH(INDEX(FILTER(Q$4:Q520,Q$4:Q520&lt;&gt;""""),ROWS(FILTER(Q$4:Q520,Q$4:Q520&lt;&gt;""""))),""^Sell_""),INDEX(FILTER(T$4:T519,Q$4:Q519&lt;&gt;""""),ROWS(FILTER(Q$4:Q519,Q$4:Q519&lt;&gt;""""))),$AD$5+S520))"),516205.4)</f>
        <v>516205.4</v>
      </c>
      <c r="U520" s="10">
        <f>IFERROR(__xludf.DUMMYFUNCTION("IF(COUNTA(Q520:Q1350)=0,"""",IF(Q520="""",0,IF(REGEXMATCH(Q520,""^Sell_""),-ROUNDDOWN(ROUNDUP(INDEX(Upgrades!$C$3:$C$13,MATCH(SUBSTITUTE(Q520,""Sell_"",""""),Upgrades!$B$3:$B$13,0))*1.15^(COUNTIF(Q$4:Q519,SUBSTITUTE(Q520,""Sell_"",""""))-COUNTIF(Q$4:Q519,"&amp;"""Sell_""&amp;SUBSTITUTE(Q520,""Sell_"",""""))))/2),ROUNDUP(INDEX(Upgrades!$C$3:$C$13,MATCH(Q520,Upgrades!$B$3:$B$13,0))*1.15^(COUNTIF(Q$4:Q519,Q520)-COUNTIF(Q$4:Q519,""Sell_""&amp;Q520))))))"),107613.0)</f>
        <v>107613</v>
      </c>
      <c r="V520" s="10">
        <f t="shared" si="11"/>
        <v>107613</v>
      </c>
      <c r="W520" s="68">
        <f t="shared" si="12"/>
        <v>6433.063894</v>
      </c>
      <c r="X520" s="59" t="str">
        <f t="shared" si="13"/>
        <v>1h 47m 13s</v>
      </c>
      <c r="Y520" s="69">
        <f t="shared" si="14"/>
        <v>820360891</v>
      </c>
      <c r="Z520" s="11"/>
    </row>
    <row r="521">
      <c r="A521" s="8"/>
      <c r="B521" s="56" t="str">
        <f t="shared" si="2"/>
        <v/>
      </c>
      <c r="C521" s="57"/>
      <c r="D521" s="10" t="str">
        <f>IFERROR(__xludf.DUMMYFUNCTION("IF(COUNTA(C521:C1350)=0,"""",IF(ISBLANK(C521),FALSE,IF(NOT(COUNTIF($AA$24:$AA$34,SUBSTITUTE(C521,""Sell_"",""""))),1,IF(REGEXMATCH(C521,""Sell_""),IF(COUNTIF(C$4:C521,SUBSTITUTE(C521,""Sell_"",""""))-COUNTIF(C$4:C520,C521)&lt;1,1),FALSE))))"),"")</f>
        <v/>
      </c>
      <c r="E521" s="59" t="str">
        <f t="array" ref="E521">IF(COUNTA(C521:C1350)=0,"",SUM((COUNTIF(C$4:C521,Upgrades!$B$3:$B$13)-COUNTIF(C$4:C521,"Sell_"&amp;Upgrades!$B$3:$B$13))*Upgrades!$D$3:$D$13))</f>
        <v/>
      </c>
      <c r="F521" s="66" t="str">
        <f>IFERROR(__xludf.DUMMYFUNCTION("IF(COUNTA(C521:C1350)=0,"""",IF(REGEXMATCH(INDEX(FILTER(C$4:C521,C$4:C521&lt;&gt;""""),ROWS(FILTER(C$4:C521,C$4:C521&lt;&gt;""""))),""^Sell_""),INDEX(FILTER(F$4:F520,C$4:C520&lt;&gt;""""),ROWS(FILTER(C$4:C520,C$4:C520&lt;&gt;""""))),$AC$5+E521))"),"")</f>
        <v/>
      </c>
      <c r="G521" s="10" t="str">
        <f>IFERROR(__xludf.DUMMYFUNCTION("IF(COUNTA(C521:C1350)=0,"""",IF(C521="""",0,IF(REGEXMATCH(C521,""^Sell_""),-ROUNDDOWN(ROUNDUP(INDEX(Upgrades!$C$3:$C$13,MATCH(SUBSTITUTE(C521,""Sell_"",""""),Upgrades!$B$3:$B$13,0))*1.15^(COUNTIF(C$4:C520,SUBSTITUTE(C521,""Sell_"",""""))-COUNTIF(C$4:C520,"&amp;"""Sell_""&amp;SUBSTITUTE(C521,""Sell_"",""""))))/2),ROUNDUP(INDEX(Upgrades!$C$3:$C$13,MATCH(C521,Upgrades!$B$3:$B$13,0))*1.15^(COUNTIF(C$4:C520,C521)-COUNTIF(C$4:C520,""Sell_""&amp;C521))))))"),"")</f>
        <v/>
      </c>
      <c r="H521" s="10" t="str">
        <f t="shared" si="3"/>
        <v/>
      </c>
      <c r="I521" s="68" t="str">
        <f t="shared" si="4"/>
        <v/>
      </c>
      <c r="J521" s="59" t="str">
        <f t="shared" si="5"/>
        <v/>
      </c>
      <c r="K521" s="69" t="str">
        <f t="shared" si="6"/>
        <v/>
      </c>
      <c r="L521" s="60">
        <f t="shared" si="7"/>
        <v>-196.1651</v>
      </c>
      <c r="M521" s="61">
        <f>IFERROR(__xludf.DUMMYFUNCTION("IFS(AND(COUNTA(C521:C1350)=0,COUNTA(Q521:Q1350)=0),"""",OR(AND(K521&gt;=1000000000,OR(Y521&gt;=1000000000,COUNTA(Q521:Q1350)=0)),OR(Y521&gt;=1000000000,AND(COUNTA(C521:C1350)=0,P$3=TRUE))),
ROUNDDOWN((AB$1-AC$1)*MAX(INDEX(T$4:T1350,MATCH(LARGE(FILTER(Y$4:Y1350,Y$4"&amp;":Y1350&lt;1000000000),1),Y$4:Y1350)),INDEX(F$4:F1350,MATCH(LARGE(FILTER(K$4:K1350,K$4:K1350&lt;1000000000),1),K$4:K1350)))),AND(K521&lt;1000000000,COUNTA(C521:C1350)&gt;0,P$3=FALSE),
ROUNDDOWN(INDEX(Y$4:Y1350,MATCH(LARGE(FILTER(W$4:W1350,W$4:W1350&lt;=I521),1),W$4:W1350"&amp;"))+(I521-LARGE(FILTER(W$4:W1350,W$4:W1350&lt;=I521),1))*INDEX(T$4:T1350,MATCH(LARGE(FILTER(W$4:W1350,W$4:W1350&lt;=I521),1),W$4:W1350))-K521),1,
ROUNDDOWN(Y521-INDEX(K$4:K1350,MATCH(LARGE(FILTER(I$4:I1350,I$4:I1350&lt;=W521),1),I$4:I1350))-(W521-LARGE(FILTER(I$4:I"&amp;"1350,I$4:I1350&lt;=W521),1))*INDEX(F$4:F1350,MATCH(LARGE(FILTER(I$4:I1350,I$4:I1350&lt;=W521),1),I$4:I1350))))"),1.03874006E8)</f>
        <v>103874006</v>
      </c>
      <c r="N521" s="60">
        <f t="shared" si="8"/>
        <v>-196.1651</v>
      </c>
      <c r="O521" s="61" t="str">
        <f t="shared" si="9"/>
        <v>103,9M</v>
      </c>
      <c r="P521" s="56">
        <f t="shared" si="10"/>
        <v>18</v>
      </c>
      <c r="Q521" s="105" t="s">
        <v>10</v>
      </c>
      <c r="R521" s="10" t="b">
        <f>IFERROR(__xludf.DUMMYFUNCTION("IF(COUNTA(Q521:Q1350)=0,"""",IF(ISBLANK(Q521),FALSE,IF(NOT(COUNTIF($AA$24:$AA$34,SUBSTITUTE(Q521,""Sell_"",""""))),1,IF(REGEXMATCH(Q521,""Sell_""),IF(COUNTIF(Q$4:Q521,SUBSTITUTE(Q521,""Sell_"",""""))-COUNTIF(Q$4:Q520,Q521)&lt;1,1),FALSE))))"),FALSE)</f>
        <v>0</v>
      </c>
      <c r="S521" s="59">
        <f t="array" ref="S521">IF(COUNTA(Q521:Q1350)=0,"",SUM((COUNTIF(Q$4:Q521,Upgrades!$B$3:$B$13)-COUNTIF(Q$4:Q521,"Sell_"&amp;Upgrades!$B$3:$B$13))*Upgrades!$D$3:$D$13))</f>
        <v>522671.4</v>
      </c>
      <c r="T521" s="66">
        <f>IFERROR(__xludf.DUMMYFUNCTION("IF(COUNTA(Q521:Q1350)=0,"""",IF(REGEXMATCH(INDEX(FILTER(Q$4:Q521,Q$4:Q521&lt;&gt;""""),ROWS(FILTER(Q$4:Q521,Q$4:Q521&lt;&gt;""""))),""^Sell_""),INDEX(FILTER(T$4:T520,Q$4:Q520&lt;&gt;""""),ROWS(FILTER(Q$4:Q520,Q$4:Q520&lt;&gt;""""))),$AD$5+S521))"),522871.4)</f>
        <v>522871.4</v>
      </c>
      <c r="U521" s="10">
        <f>IFERROR(__xludf.DUMMYFUNCTION("IF(COUNTA(Q521:Q1350)=0,"""",IF(Q521="""",0,IF(REGEXMATCH(Q521,""^Sell_""),-ROUNDDOWN(ROUNDUP(INDEX(Upgrades!$C$3:$C$13,MATCH(SUBSTITUTE(Q521,""Sell_"",""""),Upgrades!$B$3:$B$13,0))*1.15^(COUNTIF(Q$4:Q520,SUBSTITUTE(Q521,""Sell_"",""""))-COUNTIF(Q$4:Q520,"&amp;"""Sell_""&amp;SUBSTITUTE(Q521,""Sell_"",""""))))/2),ROUNDUP(INDEX(Upgrades!$C$3:$C$13,MATCH(Q521,Upgrades!$B$3:$B$13,0))*1.15^(COUNTIF(Q$4:Q520,Q521)-COUNTIF(Q$4:Q520,""Sell_""&amp;Q521))))))"),1.7935433E7)</f>
        <v>17935433</v>
      </c>
      <c r="V521" s="10">
        <f t="shared" si="11"/>
        <v>17935433</v>
      </c>
      <c r="W521" s="68">
        <f t="shared" si="12"/>
        <v>6467.808655</v>
      </c>
      <c r="X521" s="59" t="str">
        <f t="shared" si="13"/>
        <v>1h 47m 47s</v>
      </c>
      <c r="Y521" s="69">
        <f t="shared" si="14"/>
        <v>838296324</v>
      </c>
      <c r="Z521" s="11"/>
    </row>
    <row r="522">
      <c r="A522" s="8"/>
      <c r="B522" s="56" t="str">
        <f t="shared" si="2"/>
        <v/>
      </c>
      <c r="C522" s="57"/>
      <c r="D522" s="10" t="str">
        <f>IFERROR(__xludf.DUMMYFUNCTION("IF(COUNTA(C522:C1350)=0,"""",IF(ISBLANK(C522),FALSE,IF(NOT(COUNTIF($AA$24:$AA$34,SUBSTITUTE(C522,""Sell_"",""""))),1,IF(REGEXMATCH(C522,""Sell_""),IF(COUNTIF(C$4:C522,SUBSTITUTE(C522,""Sell_"",""""))-COUNTIF(C$4:C521,C522)&lt;1,1),FALSE))))"),"")</f>
        <v/>
      </c>
      <c r="E522" s="59" t="str">
        <f t="array" ref="E522">IF(COUNTA(C522:C1350)=0,"",SUM((COUNTIF(C$4:C522,Upgrades!$B$3:$B$13)-COUNTIF(C$4:C522,"Sell_"&amp;Upgrades!$B$3:$B$13))*Upgrades!$D$3:$D$13))</f>
        <v/>
      </c>
      <c r="F522" s="66" t="str">
        <f>IFERROR(__xludf.DUMMYFUNCTION("IF(COUNTA(C522:C1350)=0,"""",IF(REGEXMATCH(INDEX(FILTER(C$4:C522,C$4:C522&lt;&gt;""""),ROWS(FILTER(C$4:C522,C$4:C522&lt;&gt;""""))),""^Sell_""),INDEX(FILTER(F$4:F521,C$4:C521&lt;&gt;""""),ROWS(FILTER(C$4:C521,C$4:C521&lt;&gt;""""))),$AC$5+E522))"),"")</f>
        <v/>
      </c>
      <c r="G522" s="10" t="str">
        <f>IFERROR(__xludf.DUMMYFUNCTION("IF(COUNTA(C522:C1350)=0,"""",IF(C522="""",0,IF(REGEXMATCH(C522,""^Sell_""),-ROUNDDOWN(ROUNDUP(INDEX(Upgrades!$C$3:$C$13,MATCH(SUBSTITUTE(C522,""Sell_"",""""),Upgrades!$B$3:$B$13,0))*1.15^(COUNTIF(C$4:C521,SUBSTITUTE(C522,""Sell_"",""""))-COUNTIF(C$4:C521,"&amp;"""Sell_""&amp;SUBSTITUTE(C522,""Sell_"",""""))))/2),ROUNDUP(INDEX(Upgrades!$C$3:$C$13,MATCH(C522,Upgrades!$B$3:$B$13,0))*1.15^(COUNTIF(C$4:C521,C522)-COUNTIF(C$4:C521,""Sell_""&amp;C522))))))"),"")</f>
        <v/>
      </c>
      <c r="H522" s="10" t="str">
        <f t="shared" si="3"/>
        <v/>
      </c>
      <c r="I522" s="68" t="str">
        <f t="shared" si="4"/>
        <v/>
      </c>
      <c r="J522" s="59" t="str">
        <f t="shared" si="5"/>
        <v/>
      </c>
      <c r="K522" s="69" t="str">
        <f t="shared" si="6"/>
        <v/>
      </c>
      <c r="L522" s="60">
        <f t="shared" si="7"/>
        <v>-196.143</v>
      </c>
      <c r="M522" s="61">
        <f>IFERROR(__xludf.DUMMYFUNCTION("IFS(AND(COUNTA(C522:C1350)=0,COUNTA(Q522:Q1350)=0),"""",OR(AND(K522&gt;=1000000000,OR(Y522&gt;=1000000000,COUNTA(Q522:Q1350)=0)),OR(Y522&gt;=1000000000,AND(COUNTA(C522:C1350)=0,P$3=TRUE))),
ROUNDDOWN((AB$1-AC$1)*MAX(INDEX(T$4:T1350,MATCH(LARGE(FILTER(Y$4:Y1350,Y$4"&amp;":Y1350&lt;1000000000),1),Y$4:Y1350)),INDEX(F$4:F1350,MATCH(LARGE(FILTER(K$4:K1350,K$4:K1350&lt;1000000000),1),K$4:K1350)))),AND(K522&lt;1000000000,COUNTA(C522:C1350)&gt;0,P$3=FALSE),
ROUNDDOWN(INDEX(Y$4:Y1350,MATCH(LARGE(FILTER(W$4:W1350,W$4:W1350&lt;=I522),1),W$4:W1350"&amp;"))+(I522-LARGE(FILTER(W$4:W1350,W$4:W1350&lt;=I522),1))*INDEX(T$4:T1350,MATCH(LARGE(FILTER(W$4:W1350,W$4:W1350&lt;=I522),1),W$4:W1350))-K522),1,
ROUNDDOWN(Y522-INDEX(K$4:K1350,MATCH(LARGE(FILTER(I$4:I1350,I$4:I1350&lt;=W522),1),I$4:I1350))-(W522-LARGE(FILTER(I$4:I"&amp;"1350,I$4:I1350&lt;=W522),1))*INDEX(F$4:F1350,MATCH(LARGE(FILTER(I$4:I1350,I$4:I1350&lt;=W522),1),I$4:I1350))))"),1.03877693E8)</f>
        <v>103877693</v>
      </c>
      <c r="N522" s="60">
        <f t="shared" si="8"/>
        <v>-196.143</v>
      </c>
      <c r="O522" s="61" t="str">
        <f t="shared" si="9"/>
        <v>103,9M</v>
      </c>
      <c r="P522" s="56">
        <f t="shared" si="10"/>
        <v>15</v>
      </c>
      <c r="Q522" s="105" t="s">
        <v>8</v>
      </c>
      <c r="R522" s="10" t="b">
        <f>IFERROR(__xludf.DUMMYFUNCTION("IF(COUNTA(Q522:Q1350)=0,"""",IF(ISBLANK(Q522),FALSE,IF(NOT(COUNTIF($AA$24:$AA$34,SUBSTITUTE(Q522,""Sell_"",""""))),1,IF(REGEXMATCH(Q522,""Sell_""),IF(COUNTIF(Q$4:Q522,SUBSTITUTE(Q522,""Sell_"",""""))-COUNTIF(Q$4:Q521,Q522)&lt;1,1),FALSE))))"),FALSE)</f>
        <v>0</v>
      </c>
      <c r="S522" s="59">
        <f t="array" ref="S522">IF(COUNTA(Q522:Q1350)=0,"",SUM((COUNTIF(Q$4:Q522,Upgrades!$B$3:$B$13)-COUNTIF(Q$4:Q522,"Sell_"&amp;Upgrades!$B$3:$B$13))*Upgrades!$D$3:$D$13))</f>
        <v>522771.4</v>
      </c>
      <c r="T522" s="66">
        <f>IFERROR(__xludf.DUMMYFUNCTION("IF(COUNTA(Q522:Q1350)=0,"""",IF(REGEXMATCH(INDEX(FILTER(Q$4:Q522,Q$4:Q522&lt;&gt;""""),ROWS(FILTER(Q$4:Q522,Q$4:Q522&lt;&gt;""""))),""^Sell_""),INDEX(FILTER(T$4:T521,Q$4:Q521&lt;&gt;""""),ROWS(FILTER(Q$4:Q521,Q$4:Q521&lt;&gt;""""))),$AD$5+S522))"),522971.4)</f>
        <v>522971.4</v>
      </c>
      <c r="U522" s="10">
        <f>IFERROR(__xludf.DUMMYFUNCTION("IF(COUNTA(Q522:Q1350)=0,"""",IF(Q522="""",0,IF(REGEXMATCH(Q522,""^Sell_""),-ROUNDDOWN(ROUNDUP(INDEX(Upgrades!$C$3:$C$13,MATCH(SUBSTITUTE(Q522,""Sell_"",""""),Upgrades!$B$3:$B$13,0))*1.15^(COUNTIF(Q$4:Q521,SUBSTITUTE(Q522,""Sell_"",""""))-COUNTIF(Q$4:Q521,"&amp;"""Sell_""&amp;SUBSTITUTE(Q522,""Sell_"",""""))))/2),ROUNDUP(INDEX(Upgrades!$C$3:$C$13,MATCH(Q522,Upgrades!$B$3:$B$13,0))*1.15^(COUNTIF(Q$4:Q521,Q522)-COUNTIF(Q$4:Q521,""Sell_""&amp;Q522))))))"),283029.0)</f>
        <v>283029</v>
      </c>
      <c r="V522" s="10">
        <f t="shared" si="11"/>
        <v>283029</v>
      </c>
      <c r="W522" s="68">
        <f t="shared" si="12"/>
        <v>6468.349952</v>
      </c>
      <c r="X522" s="59" t="str">
        <f t="shared" si="13"/>
        <v>1h 47m 48s</v>
      </c>
      <c r="Y522" s="69">
        <f t="shared" si="14"/>
        <v>838579353</v>
      </c>
      <c r="Z522" s="11"/>
    </row>
    <row r="523">
      <c r="A523" s="8"/>
      <c r="B523" s="56" t="str">
        <f t="shared" si="2"/>
        <v/>
      </c>
      <c r="C523" s="57"/>
      <c r="D523" s="10" t="str">
        <f>IFERROR(__xludf.DUMMYFUNCTION("IF(COUNTA(C523:C1350)=0,"""",IF(ISBLANK(C523),FALSE,IF(NOT(COUNTIF($AA$24:$AA$34,SUBSTITUTE(C523,""Sell_"",""""))),1,IF(REGEXMATCH(C523,""Sell_""),IF(COUNTIF(C$4:C523,SUBSTITUTE(C523,""Sell_"",""""))-COUNTIF(C$4:C522,C523)&lt;1,1),FALSE))))"),"")</f>
        <v/>
      </c>
      <c r="E523" s="59" t="str">
        <f t="array" ref="E523">IF(COUNTA(C523:C1350)=0,"",SUM((COUNTIF(C$4:C523,Upgrades!$B$3:$B$13)-COUNTIF(C$4:C523,"Sell_"&amp;Upgrades!$B$3:$B$13))*Upgrades!$D$3:$D$13))</f>
        <v/>
      </c>
      <c r="F523" s="66" t="str">
        <f>IFERROR(__xludf.DUMMYFUNCTION("IF(COUNTA(C523:C1350)=0,"""",IF(REGEXMATCH(INDEX(FILTER(C$4:C523,C$4:C523&lt;&gt;""""),ROWS(FILTER(C$4:C523,C$4:C523&lt;&gt;""""))),""^Sell_""),INDEX(FILTER(F$4:F522,C$4:C522&lt;&gt;""""),ROWS(FILTER(C$4:C522,C$4:C522&lt;&gt;""""))),$AC$5+E523))"),"")</f>
        <v/>
      </c>
      <c r="G523" s="10" t="str">
        <f>IFERROR(__xludf.DUMMYFUNCTION("IF(COUNTA(C523:C1350)=0,"""",IF(C523="""",0,IF(REGEXMATCH(C523,""^Sell_""),-ROUNDDOWN(ROUNDUP(INDEX(Upgrades!$C$3:$C$13,MATCH(SUBSTITUTE(C523,""Sell_"",""""),Upgrades!$B$3:$B$13,0))*1.15^(COUNTIF(C$4:C522,SUBSTITUTE(C523,""Sell_"",""""))-COUNTIF(C$4:C522,"&amp;"""Sell_""&amp;SUBSTITUTE(C523,""Sell_"",""""))))/2),ROUNDUP(INDEX(Upgrades!$C$3:$C$13,MATCH(C523,Upgrades!$B$3:$B$13,0))*1.15^(COUNTIF(C$4:C522,C523)-COUNTIF(C$4:C522,""Sell_""&amp;C523))))))"),"")</f>
        <v/>
      </c>
      <c r="H523" s="10" t="str">
        <f t="shared" si="3"/>
        <v/>
      </c>
      <c r="I523" s="68" t="str">
        <f t="shared" si="4"/>
        <v/>
      </c>
      <c r="J523" s="59" t="str">
        <f t="shared" si="5"/>
        <v/>
      </c>
      <c r="K523" s="69" t="str">
        <f t="shared" si="6"/>
        <v/>
      </c>
      <c r="L523" s="60">
        <f t="shared" si="7"/>
        <v>-196.04738</v>
      </c>
      <c r="M523" s="61">
        <f>IFERROR(__xludf.DUMMYFUNCTION("IFS(AND(COUNTA(C523:C1350)=0,COUNTA(Q523:Q1350)=0),"""",OR(AND(K523&gt;=1000000000,OR(Y523&gt;=1000000000,COUNTA(Q523:Q1350)=0)),OR(Y523&gt;=1000000000,AND(COUNTA(C523:C1350)=0,P$3=TRUE))),
ROUNDDOWN((AB$1-AC$1)*MAX(INDEX(T$4:T1350,MATCH(LARGE(FILTER(Y$4:Y1350,Y$4"&amp;":Y1350&lt;1000000000),1),Y$4:Y1350)),INDEX(F$4:F1350,MATCH(LARGE(FILTER(K$4:K1350,K$4:K1350&lt;1000000000),1),K$4:K1350)))),AND(K523&lt;1000000000,COUNTA(C523:C1350)&gt;0,P$3=FALSE),
ROUNDDOWN(INDEX(Y$4:Y1350,MATCH(LARGE(FILTER(W$4:W1350,W$4:W1350&lt;=I523),1),W$4:W1350"&amp;"))+(I523-LARGE(FILTER(W$4:W1350,W$4:W1350&lt;=I523),1))*INDEX(T$4:T1350,MATCH(LARGE(FILTER(W$4:W1350,W$4:W1350&lt;=I523),1),W$4:W1350))-K523),1,
ROUNDDOWN(Y523-INDEX(K$4:K1350,MATCH(LARGE(FILTER(I$4:I1350,I$4:I1350&lt;=W523),1),I$4:I1350))-(W523-LARGE(FILTER(I$4:I"&amp;"1350,I$4:I1350&lt;=W523),1))*INDEX(F$4:F1350,MATCH(LARGE(FILTER(I$4:I1350,I$4:I1350&lt;=W523),1),I$4:I1350))))"),1.03893557E8)</f>
        <v>103893557</v>
      </c>
      <c r="N523" s="60">
        <f t="shared" si="8"/>
        <v>-196.04738</v>
      </c>
      <c r="O523" s="61" t="str">
        <f t="shared" si="9"/>
        <v>103,9M</v>
      </c>
      <c r="P523" s="56">
        <f t="shared" si="10"/>
        <v>14</v>
      </c>
      <c r="Q523" s="105" t="s">
        <v>9</v>
      </c>
      <c r="R523" s="10" t="b">
        <f>IFERROR(__xludf.DUMMYFUNCTION("IF(COUNTA(Q523:Q1350)=0,"""",IF(ISBLANK(Q523),FALSE,IF(NOT(COUNTIF($AA$24:$AA$34,SUBSTITUTE(Q523,""Sell_"",""""))),1,IF(REGEXMATCH(Q523,""Sell_""),IF(COUNTIF(Q$4:Q523,SUBSTITUTE(Q523,""Sell_"",""""))-COUNTIF(Q$4:Q522,Q523)&lt;1,1),FALSE))))"),FALSE)</f>
        <v>0</v>
      </c>
      <c r="S523" s="59">
        <f t="array" ref="S523">IF(COUNTA(Q523:Q1350)=0,"",SUM((COUNTIF(Q$4:Q523,Upgrades!$B$3:$B$13)-COUNTIF(Q$4:Q523,"Sell_"&amp;Upgrades!$B$3:$B$13))*Upgrades!$D$3:$D$13))</f>
        <v>523171.4</v>
      </c>
      <c r="T523" s="66">
        <f>IFERROR(__xludf.DUMMYFUNCTION("IF(COUNTA(Q523:Q1350)=0,"""",IF(REGEXMATCH(INDEX(FILTER(Q$4:Q523,Q$4:Q523&lt;&gt;""""),ROWS(FILTER(Q$4:Q523,Q$4:Q523&lt;&gt;""""))),""^Sell_""),INDEX(FILTER(T$4:T522,Q$4:Q522&lt;&gt;""""),ROWS(FILTER(Q$4:Q522,Q$4:Q522&lt;&gt;""""))),$AD$5+S523))"),523371.4)</f>
        <v>523371.4</v>
      </c>
      <c r="U523" s="10">
        <f>IFERROR(__xludf.DUMMYFUNCTION("IF(COUNTA(Q523:Q1350)=0,"""",IF(Q523="""",0,IF(REGEXMATCH(Q523,""^Sell_""),-ROUNDDOWN(ROUNDUP(INDEX(Upgrades!$C$3:$C$13,MATCH(SUBSTITUTE(Q523,""Sell_"",""""),Upgrades!$B$3:$B$13,0))*1.15^(COUNTIF(Q$4:Q522,SUBSTITUTE(Q523,""Sell_"",""""))-COUNTIF(Q$4:Q522,"&amp;"""Sell_""&amp;SUBSTITUTE(Q523,""Sell_"",""""))))/2),ROUNDUP(INDEX(Upgrades!$C$3:$C$13,MATCH(Q523,Upgrades!$B$3:$B$13,0))*1.15^(COUNTIF(Q$4:Q522,Q523)-COUNTIF(Q$4:Q522,""Sell_""&amp;Q523))))))"),1230558.0)</f>
        <v>1230558</v>
      </c>
      <c r="V523" s="10">
        <f t="shared" si="11"/>
        <v>1230558</v>
      </c>
      <c r="W523" s="68">
        <f t="shared" si="12"/>
        <v>6470.702964</v>
      </c>
      <c r="X523" s="59" t="str">
        <f t="shared" si="13"/>
        <v>1h 47m 50s</v>
      </c>
      <c r="Y523" s="69">
        <f t="shared" si="14"/>
        <v>839809911</v>
      </c>
      <c r="Z523" s="11"/>
    </row>
    <row r="524">
      <c r="A524" s="8"/>
      <c r="B524" s="56" t="str">
        <f t="shared" si="2"/>
        <v/>
      </c>
      <c r="C524" s="57"/>
      <c r="D524" s="10" t="str">
        <f>IFERROR(__xludf.DUMMYFUNCTION("IF(COUNTA(C524:C1350)=0,"""",IF(ISBLANK(C524),FALSE,IF(NOT(COUNTIF($AA$24:$AA$34,SUBSTITUTE(C524,""Sell_"",""""))),1,IF(REGEXMATCH(C524,""Sell_""),IF(COUNTIF(C$4:C524,SUBSTITUTE(C524,""Sell_"",""""))-COUNTIF(C$4:C523,C524)&lt;1,1),FALSE))))"),"")</f>
        <v/>
      </c>
      <c r="E524" s="59" t="str">
        <f t="array" ref="E524">IF(COUNTA(C524:C1350)=0,"",SUM((COUNTIF(C$4:C524,Upgrades!$B$3:$B$13)-COUNTIF(C$4:C524,"Sell_"&amp;Upgrades!$B$3:$B$13))*Upgrades!$D$3:$D$13))</f>
        <v/>
      </c>
      <c r="F524" s="66" t="str">
        <f>IFERROR(__xludf.DUMMYFUNCTION("IF(COUNTA(C524:C1350)=0,"""",IF(REGEXMATCH(INDEX(FILTER(C$4:C524,C$4:C524&lt;&gt;""""),ROWS(FILTER(C$4:C524,C$4:C524&lt;&gt;""""))),""^Sell_""),INDEX(FILTER(F$4:F523,C$4:C523&lt;&gt;""""),ROWS(FILTER(C$4:C523,C$4:C523&lt;&gt;""""))),$AC$5+E524))"),"")</f>
        <v/>
      </c>
      <c r="G524" s="10" t="str">
        <f>IFERROR(__xludf.DUMMYFUNCTION("IF(COUNTA(C524:C1350)=0,"""",IF(C524="""",0,IF(REGEXMATCH(C524,""^Sell_""),-ROUNDDOWN(ROUNDUP(INDEX(Upgrades!$C$3:$C$13,MATCH(SUBSTITUTE(C524,""Sell_"",""""),Upgrades!$B$3:$B$13,0))*1.15^(COUNTIF(C$4:C523,SUBSTITUTE(C524,""Sell_"",""""))-COUNTIF(C$4:C523,"&amp;"""Sell_""&amp;SUBSTITUTE(C524,""Sell_"",""""))))/2),ROUNDUP(INDEX(Upgrades!$C$3:$C$13,MATCH(C524,Upgrades!$B$3:$B$13,0))*1.15^(COUNTIF(C$4:C523,C524)-COUNTIF(C$4:C523,""Sell_""&amp;C524))))))"),"")</f>
        <v/>
      </c>
      <c r="H524" s="10" t="str">
        <f t="shared" si="3"/>
        <v/>
      </c>
      <c r="I524" s="68" t="str">
        <f t="shared" si="4"/>
        <v/>
      </c>
      <c r="J524" s="59" t="str">
        <f t="shared" si="5"/>
        <v/>
      </c>
      <c r="K524" s="69" t="str">
        <f t="shared" si="6"/>
        <v/>
      </c>
      <c r="L524" s="60">
        <f t="shared" si="7"/>
        <v>-196.03794</v>
      </c>
      <c r="M524" s="61">
        <f>IFERROR(__xludf.DUMMYFUNCTION("IFS(AND(COUNTA(C524:C1350)=0,COUNTA(Q524:Q1350)=0),"""",OR(AND(K524&gt;=1000000000,OR(Y524&gt;=1000000000,COUNTA(Q524:Q1350)=0)),OR(Y524&gt;=1000000000,AND(COUNTA(C524:C1350)=0,P$3=TRUE))),
ROUNDDOWN((AB$1-AC$1)*MAX(INDEX(T$4:T1350,MATCH(LARGE(FILTER(Y$4:Y1350,Y$4"&amp;":Y1350&lt;1000000000),1),Y$4:Y1350)),INDEX(F$4:F1350,MATCH(LARGE(FILTER(K$4:K1350,K$4:K1350&lt;1000000000),1),K$4:K1350)))),AND(K524&lt;1000000000,COUNTA(C524:C1350)&gt;0,P$3=FALSE),
ROUNDDOWN(INDEX(Y$4:Y1350,MATCH(LARGE(FILTER(W$4:W1350,W$4:W1350&lt;=I524),1),W$4:W1350"&amp;"))+(I524-LARGE(FILTER(W$4:W1350,W$4:W1350&lt;=I524),1))*INDEX(T$4:T1350,MATCH(LARGE(FILTER(W$4:W1350,W$4:W1350&lt;=I524),1),W$4:W1350))-K524),1,
ROUNDDOWN(Y524-INDEX(K$4:K1350,MATCH(LARGE(FILTER(I$4:I1350,I$4:I1350&lt;=W524),1),I$4:I1350))-(W524-LARGE(FILTER(I$4:I"&amp;"1350,I$4:I1350&lt;=W524),1))*INDEX(F$4:F1350,MATCH(LARGE(FILTER(I$4:I1350,I$4:I1350&lt;=W524),1),I$4:I1350))))"),1.03895191E8)</f>
        <v>103895191</v>
      </c>
      <c r="N524" s="60">
        <f t="shared" si="8"/>
        <v>-196.03794</v>
      </c>
      <c r="O524" s="61" t="str">
        <f t="shared" si="9"/>
        <v>103,9M</v>
      </c>
      <c r="P524" s="56">
        <f t="shared" si="10"/>
        <v>19</v>
      </c>
      <c r="Q524" s="105" t="s">
        <v>7</v>
      </c>
      <c r="R524" s="10" t="b">
        <f>IFERROR(__xludf.DUMMYFUNCTION("IF(COUNTA(Q524:Q1350)=0,"""",IF(ISBLANK(Q524),FALSE,IF(NOT(COUNTIF($AA$24:$AA$34,SUBSTITUTE(Q524,""Sell_"",""""))),1,IF(REGEXMATCH(Q524,""Sell_""),IF(COUNTIF(Q$4:Q524,SUBSTITUTE(Q524,""Sell_"",""""))-COUNTIF(Q$4:Q523,Q524)&lt;1,1),FALSE))))"),FALSE)</f>
        <v>0</v>
      </c>
      <c r="S524" s="59">
        <f t="array" ref="S524">IF(COUNTA(Q524:Q1350)=0,"",SUM((COUNTIF(Q$4:Q524,Upgrades!$B$3:$B$13)-COUNTIF(Q$4:Q524,"Sell_"&amp;Upgrades!$B$3:$B$13))*Upgrades!$D$3:$D$13))</f>
        <v>523211.4</v>
      </c>
      <c r="T524" s="66">
        <f>IFERROR(__xludf.DUMMYFUNCTION("IF(COUNTA(Q524:Q1350)=0,"""",IF(REGEXMATCH(INDEX(FILTER(Q$4:Q524,Q$4:Q524&lt;&gt;""""),ROWS(FILTER(Q$4:Q524,Q$4:Q524&lt;&gt;""""))),""^Sell_""),INDEX(FILTER(T$4:T523,Q$4:Q523&lt;&gt;""""),ROWS(FILTER(Q$4:Q523,Q$4:Q523&lt;&gt;""""))),$AD$5+S524))"),523411.4)</f>
        <v>523411.4</v>
      </c>
      <c r="U524" s="10">
        <f>IFERROR(__xludf.DUMMYFUNCTION("IF(COUNTA(Q524:Q1350)=0,"""",IF(Q524="""",0,IF(REGEXMATCH(Q524,""^Sell_""),-ROUNDDOWN(ROUNDUP(INDEX(Upgrades!$C$3:$C$13,MATCH(SUBSTITUTE(Q524,""Sell_"",""""),Upgrades!$B$3:$B$13,0))*1.15^(COUNTIF(Q$4:Q523,SUBSTITUTE(Q524,""Sell_"",""""))-COUNTIF(Q$4:Q523,"&amp;"""Sell_""&amp;SUBSTITUTE(Q524,""Sell_"",""""))))/2),ROUNDUP(INDEX(Upgrades!$C$3:$C$13,MATCH(Q524,Upgrades!$B$3:$B$13,0))*1.15^(COUNTIF(Q$4:Q523,Q524)-COUNTIF(Q$4:Q523,""Sell_""&amp;Q524))))))"),123755.0)</f>
        <v>123755</v>
      </c>
      <c r="V524" s="10">
        <f t="shared" si="11"/>
        <v>123755</v>
      </c>
      <c r="W524" s="68">
        <f t="shared" si="12"/>
        <v>6470.939422</v>
      </c>
      <c r="X524" s="59" t="str">
        <f t="shared" si="13"/>
        <v>1h 47m 50s</v>
      </c>
      <c r="Y524" s="69">
        <f t="shared" si="14"/>
        <v>839933666</v>
      </c>
      <c r="Z524" s="11"/>
    </row>
    <row r="525">
      <c r="A525" s="8"/>
      <c r="B525" s="56" t="str">
        <f t="shared" si="2"/>
        <v/>
      </c>
      <c r="C525" s="57"/>
      <c r="D525" s="10" t="str">
        <f>IFERROR(__xludf.DUMMYFUNCTION("IF(COUNTA(C525:C1350)=0,"""",IF(ISBLANK(C525),FALSE,IF(NOT(COUNTIF($AA$24:$AA$34,SUBSTITUTE(C525,""Sell_"",""""))),1,IF(REGEXMATCH(C525,""Sell_""),IF(COUNTIF(C$4:C525,SUBSTITUTE(C525,""Sell_"",""""))-COUNTIF(C$4:C524,C525)&lt;1,1),FALSE))))"),"")</f>
        <v/>
      </c>
      <c r="E525" s="59" t="str">
        <f t="array" ref="E525">IF(COUNTA(C525:C1350)=0,"",SUM((COUNTIF(C$4:C525,Upgrades!$B$3:$B$13)-COUNTIF(C$4:C525,"Sell_"&amp;Upgrades!$B$3:$B$13))*Upgrades!$D$3:$D$13))</f>
        <v/>
      </c>
      <c r="F525" s="66" t="str">
        <f>IFERROR(__xludf.DUMMYFUNCTION("IF(COUNTA(C525:C1350)=0,"""",IF(REGEXMATCH(INDEX(FILTER(C$4:C525,C$4:C525&lt;&gt;""""),ROWS(FILTER(C$4:C525,C$4:C525&lt;&gt;""""))),""^Sell_""),INDEX(FILTER(F$4:F524,C$4:C524&lt;&gt;""""),ROWS(FILTER(C$4:C524,C$4:C524&lt;&gt;""""))),$AC$5+E525))"),"")</f>
        <v/>
      </c>
      <c r="G525" s="10" t="str">
        <f>IFERROR(__xludf.DUMMYFUNCTION("IF(COUNTA(C525:C1350)=0,"""",IF(C525="""",0,IF(REGEXMATCH(C525,""^Sell_""),-ROUNDDOWN(ROUNDUP(INDEX(Upgrades!$C$3:$C$13,MATCH(SUBSTITUTE(C525,""Sell_"",""""),Upgrades!$B$3:$B$13,0))*1.15^(COUNTIF(C$4:C524,SUBSTITUTE(C525,""Sell_"",""""))-COUNTIF(C$4:C524,"&amp;"""Sell_""&amp;SUBSTITUTE(C525,""Sell_"",""""))))/2),ROUNDUP(INDEX(Upgrades!$C$3:$C$13,MATCH(C525,Upgrades!$B$3:$B$13,0))*1.15^(COUNTIF(C$4:C524,C525)-COUNTIF(C$4:C524,""Sell_""&amp;C525))))))"),"")</f>
        <v/>
      </c>
      <c r="H525" s="10" t="str">
        <f t="shared" si="3"/>
        <v/>
      </c>
      <c r="I525" s="68" t="str">
        <f t="shared" si="4"/>
        <v/>
      </c>
      <c r="J525" s="59" t="str">
        <f t="shared" si="5"/>
        <v/>
      </c>
      <c r="K525" s="69" t="str">
        <f t="shared" si="6"/>
        <v/>
      </c>
      <c r="L525" s="60">
        <f t="shared" si="7"/>
        <v>-194.46826</v>
      </c>
      <c r="M525" s="61">
        <f>IFERROR(__xludf.DUMMYFUNCTION("IFS(AND(COUNTA(C525:C1350)=0,COUNTA(Q525:Q1350)=0),"""",OR(AND(K525&gt;=1000000000,OR(Y525&gt;=1000000000,COUNTA(Q525:Q1350)=0)),OR(Y525&gt;=1000000000,AND(COUNTA(C525:C1350)=0,P$3=TRUE))),
ROUNDDOWN((AB$1-AC$1)*MAX(INDEX(T$4:T1350,MATCH(LARGE(FILTER(Y$4:Y1350,Y$4"&amp;":Y1350&lt;1000000000),1),Y$4:Y1350)),INDEX(F$4:F1350,MATCH(LARGE(FILTER(K$4:K1350,K$4:K1350&lt;1000000000),1),K$4:K1350)))),AND(K525&lt;1000000000,COUNTA(C525:C1350)&gt;0,P$3=FALSE),
ROUNDDOWN(INDEX(Y$4:Y1350,MATCH(LARGE(FILTER(W$4:W1350,W$4:W1350&lt;=I525),1),W$4:W1350"&amp;"))+(I525-LARGE(FILTER(W$4:W1350,W$4:W1350&lt;=I525),1))*INDEX(T$4:T1350,MATCH(LARGE(FILTER(W$4:W1350,W$4:W1350&lt;=I525),1),W$4:W1350))-K525),1,
ROUNDDOWN(Y525-INDEX(K$4:K1350,MATCH(LARGE(FILTER(I$4:I1350,I$4:I1350&lt;=W525),1),I$4:I1350))-(W525-LARGE(FILTER(I$4:I"&amp;"1350,I$4:I1350&lt;=W525),1))*INDEX(F$4:F1350,MATCH(LARGE(FILTER(I$4:I1350,I$4:I1350&lt;=W525),1),I$4:I1350))))"),1.04128123E8)</f>
        <v>104128123</v>
      </c>
      <c r="N525" s="60">
        <f t="shared" si="8"/>
        <v>-194.46826</v>
      </c>
      <c r="O525" s="61" t="str">
        <f t="shared" si="9"/>
        <v>104,1M</v>
      </c>
      <c r="P525" s="56">
        <f t="shared" si="10"/>
        <v>19</v>
      </c>
      <c r="Q525" s="105" t="s">
        <v>10</v>
      </c>
      <c r="R525" s="10" t="b">
        <f>IFERROR(__xludf.DUMMYFUNCTION("IF(COUNTA(Q525:Q1350)=0,"""",IF(ISBLANK(Q525),FALSE,IF(NOT(COUNTIF($AA$24:$AA$34,SUBSTITUTE(Q525,""Sell_"",""""))),1,IF(REGEXMATCH(Q525,""Sell_""),IF(COUNTIF(Q$4:Q525,SUBSTITUTE(Q525,""Sell_"",""""))-COUNTIF(Q$4:Q524,Q525)&lt;1,1),FALSE))))"),FALSE)</f>
        <v>0</v>
      </c>
      <c r="S525" s="59">
        <f t="array" ref="S525">IF(COUNTA(Q525:Q1350)=0,"",SUM((COUNTIF(Q$4:Q525,Upgrades!$B$3:$B$13)-COUNTIF(Q$4:Q525,"Sell_"&amp;Upgrades!$B$3:$B$13))*Upgrades!$D$3:$D$13))</f>
        <v>529877.4</v>
      </c>
      <c r="T525" s="66">
        <f>IFERROR(__xludf.DUMMYFUNCTION("IF(COUNTA(Q525:Q1350)=0,"""",IF(REGEXMATCH(INDEX(FILTER(Q$4:Q525,Q$4:Q525&lt;&gt;""""),ROWS(FILTER(Q$4:Q525,Q$4:Q525&lt;&gt;""""))),""^Sell_""),INDEX(FILTER(T$4:T524,Q$4:Q524&lt;&gt;""""),ROWS(FILTER(Q$4:Q524,Q$4:Q524&lt;&gt;""""))),$AD$5+S525))"),530077.4)</f>
        <v>530077.4</v>
      </c>
      <c r="U525" s="10">
        <f>IFERROR(__xludf.DUMMYFUNCTION("IF(COUNTA(Q525:Q1350)=0,"""",IF(Q525="""",0,IF(REGEXMATCH(Q525,""^Sell_""),-ROUNDDOWN(ROUNDUP(INDEX(Upgrades!$C$3:$C$13,MATCH(SUBSTITUTE(Q525,""Sell_"",""""),Upgrades!$B$3:$B$13,0))*1.15^(COUNTIF(Q$4:Q524,SUBSTITUTE(Q525,""Sell_"",""""))-COUNTIF(Q$4:Q524,"&amp;"""Sell_""&amp;SUBSTITUTE(Q525,""Sell_"",""""))))/2),ROUNDUP(INDEX(Upgrades!$C$3:$C$13,MATCH(Q525,Upgrades!$B$3:$B$13,0))*1.15^(COUNTIF(Q$4:Q524,Q525)-COUNTIF(Q$4:Q524,""Sell_""&amp;Q525))))))"),2.0625748E7)</f>
        <v>20625748</v>
      </c>
      <c r="V525" s="10">
        <f t="shared" si="11"/>
        <v>20625748</v>
      </c>
      <c r="W525" s="68">
        <f t="shared" si="12"/>
        <v>6510.345801</v>
      </c>
      <c r="X525" s="59" t="str">
        <f t="shared" si="13"/>
        <v>1h 48m 30s</v>
      </c>
      <c r="Y525" s="69">
        <f t="shared" si="14"/>
        <v>860559414</v>
      </c>
      <c r="Z525" s="11"/>
    </row>
    <row r="526">
      <c r="A526" s="8"/>
      <c r="B526" s="56" t="str">
        <f t="shared" si="2"/>
        <v/>
      </c>
      <c r="C526" s="57"/>
      <c r="D526" s="10" t="str">
        <f>IFERROR(__xludf.DUMMYFUNCTION("IF(COUNTA(C526:C1350)=0,"""",IF(ISBLANK(C526),FALSE,IF(NOT(COUNTIF($AA$24:$AA$34,SUBSTITUTE(C526,""Sell_"",""""))),1,IF(REGEXMATCH(C526,""Sell_""),IF(COUNTIF(C$4:C526,SUBSTITUTE(C526,""Sell_"",""""))-COUNTIF(C$4:C525,C526)&lt;1,1),FALSE))))"),"")</f>
        <v/>
      </c>
      <c r="E526" s="59" t="str">
        <f t="array" ref="E526">IF(COUNTA(C526:C1350)=0,"",SUM((COUNTIF(C$4:C526,Upgrades!$B$3:$B$13)-COUNTIF(C$4:C526,"Sell_"&amp;Upgrades!$B$3:$B$13))*Upgrades!$D$3:$D$13))</f>
        <v/>
      </c>
      <c r="F526" s="66" t="str">
        <f>IFERROR(__xludf.DUMMYFUNCTION("IF(COUNTA(C526:C1350)=0,"""",IF(REGEXMATCH(INDEX(FILTER(C$4:C526,C$4:C526&lt;&gt;""""),ROWS(FILTER(C$4:C526,C$4:C526&lt;&gt;""""))),""^Sell_""),INDEX(FILTER(F$4:F525,C$4:C525&lt;&gt;""""),ROWS(FILTER(C$4:C525,C$4:C525&lt;&gt;""""))),$AC$5+E526))"),"")</f>
        <v/>
      </c>
      <c r="G526" s="10" t="str">
        <f>IFERROR(__xludf.DUMMYFUNCTION("IF(COUNTA(C526:C1350)=0,"""",IF(C526="""",0,IF(REGEXMATCH(C526,""^Sell_""),-ROUNDDOWN(ROUNDUP(INDEX(Upgrades!$C$3:$C$13,MATCH(SUBSTITUTE(C526,""Sell_"",""""),Upgrades!$B$3:$B$13,0))*1.15^(COUNTIF(C$4:C525,SUBSTITUTE(C526,""Sell_"",""""))-COUNTIF(C$4:C525,"&amp;"""Sell_""&amp;SUBSTITUTE(C526,""Sell_"",""""))))/2),ROUNDUP(INDEX(Upgrades!$C$3:$C$13,MATCH(C526,Upgrades!$B$3:$B$13,0))*1.15^(COUNTIF(C$4:C525,C526)-COUNTIF(C$4:C525,""Sell_""&amp;C526))))))"),"")</f>
        <v/>
      </c>
      <c r="H526" s="10" t="str">
        <f t="shared" si="3"/>
        <v/>
      </c>
      <c r="I526" s="68" t="str">
        <f t="shared" si="4"/>
        <v/>
      </c>
      <c r="J526" s="59" t="str">
        <f t="shared" si="5"/>
        <v/>
      </c>
      <c r="K526" s="69" t="str">
        <f t="shared" si="6"/>
        <v/>
      </c>
      <c r="L526" s="60">
        <f t="shared" si="7"/>
        <v>-194.45131</v>
      </c>
      <c r="M526" s="61">
        <f>IFERROR(__xludf.DUMMYFUNCTION("IFS(AND(COUNTA(C526:C1350)=0,COUNTA(Q526:Q1350)=0),"""",OR(AND(K526&gt;=1000000000,OR(Y526&gt;=1000000000,COUNTA(Q526:Q1350)=0)),OR(Y526&gt;=1000000000,AND(COUNTA(C526:C1350)=0,P$3=TRUE))),
ROUNDDOWN((AB$1-AC$1)*MAX(INDEX(T$4:T1350,MATCH(LARGE(FILTER(Y$4:Y1350,Y$4"&amp;":Y1350&lt;1000000000),1),Y$4:Y1350)),INDEX(F$4:F1350,MATCH(LARGE(FILTER(K$4:K1350,K$4:K1350&lt;1000000000),1),K$4:K1350)))),AND(K526&lt;1000000000,COUNTA(C526:C1350)&gt;0,P$3=FALSE),
ROUNDDOWN(INDEX(Y$4:Y1350,MATCH(LARGE(FILTER(W$4:W1350,W$4:W1350&lt;=I526),1),W$4:W1350"&amp;"))+(I526-LARGE(FILTER(W$4:W1350,W$4:W1350&lt;=I526),1))*INDEX(T$4:T1350,MATCH(LARGE(FILTER(W$4:W1350,W$4:W1350&lt;=I526),1),W$4:W1350))-K526),1,
ROUNDDOWN(Y526-INDEX(K$4:K1350,MATCH(LARGE(FILTER(I$4:I1350,I$4:I1350&lt;=W526),1),I$4:I1350))-(W526-LARGE(FILTER(I$4:I"&amp;"1350,I$4:I1350&lt;=W526),1))*INDEX(F$4:F1350,MATCH(LARGE(FILTER(I$4:I1350,I$4:I1350&lt;=W526),1),I$4:I1350))))"),1.04132083E8)</f>
        <v>104132083</v>
      </c>
      <c r="N526" s="60">
        <f t="shared" si="8"/>
        <v>-194.45131</v>
      </c>
      <c r="O526" s="61" t="str">
        <f t="shared" si="9"/>
        <v>104,1M</v>
      </c>
      <c r="P526" s="56">
        <f t="shared" si="10"/>
        <v>16</v>
      </c>
      <c r="Q526" s="105" t="s">
        <v>8</v>
      </c>
      <c r="R526" s="10" t="b">
        <f>IFERROR(__xludf.DUMMYFUNCTION("IF(COUNTA(Q526:Q1350)=0,"""",IF(ISBLANK(Q526),FALSE,IF(NOT(COUNTIF($AA$24:$AA$34,SUBSTITUTE(Q526,""Sell_"",""""))),1,IF(REGEXMATCH(Q526,""Sell_""),IF(COUNTIF(Q$4:Q526,SUBSTITUTE(Q526,""Sell_"",""""))-COUNTIF(Q$4:Q525,Q526)&lt;1,1),FALSE))))"),FALSE)</f>
        <v>0</v>
      </c>
      <c r="S526" s="59">
        <f t="array" ref="S526">IF(COUNTA(Q526:Q1350)=0,"",SUM((COUNTIF(Q$4:Q526,Upgrades!$B$3:$B$13)-COUNTIF(Q$4:Q526,"Sell_"&amp;Upgrades!$B$3:$B$13))*Upgrades!$D$3:$D$13))</f>
        <v>529977.4</v>
      </c>
      <c r="T526" s="66">
        <f>IFERROR(__xludf.DUMMYFUNCTION("IF(COUNTA(Q526:Q1350)=0,"""",IF(REGEXMATCH(INDEX(FILTER(Q$4:Q526,Q$4:Q526&lt;&gt;""""),ROWS(FILTER(Q$4:Q526,Q$4:Q526&lt;&gt;""""))),""^Sell_""),INDEX(FILTER(T$4:T525,Q$4:Q525&lt;&gt;""""),ROWS(FILTER(Q$4:Q525,Q$4:Q525&lt;&gt;""""))),$AD$5+S526))"),530177.4)</f>
        <v>530177.4</v>
      </c>
      <c r="U526" s="10">
        <f>IFERROR(__xludf.DUMMYFUNCTION("IF(COUNTA(Q526:Q1350)=0,"""",IF(Q526="""",0,IF(REGEXMATCH(Q526,""^Sell_""),-ROUNDDOWN(ROUNDUP(INDEX(Upgrades!$C$3:$C$13,MATCH(SUBSTITUTE(Q526,""Sell_"",""""),Upgrades!$B$3:$B$13,0))*1.15^(COUNTIF(Q$4:Q525,SUBSTITUTE(Q526,""Sell_"",""""))-COUNTIF(Q$4:Q525,"&amp;"""Sell_""&amp;SUBSTITUTE(Q526,""Sell_"",""""))))/2),ROUNDUP(INDEX(Upgrades!$C$3:$C$13,MATCH(Q526,Upgrades!$B$3:$B$13,0))*1.15^(COUNTIF(Q$4:Q525,Q526)-COUNTIF(Q$4:Q525,""Sell_""&amp;Q526))))))"),325483.0)</f>
        <v>325483</v>
      </c>
      <c r="V526" s="10">
        <f t="shared" si="11"/>
        <v>325483</v>
      </c>
      <c r="W526" s="68">
        <f t="shared" si="12"/>
        <v>6510.95983</v>
      </c>
      <c r="X526" s="59" t="str">
        <f t="shared" si="13"/>
        <v>1h 48m 30s</v>
      </c>
      <c r="Y526" s="69">
        <f t="shared" si="14"/>
        <v>860884897</v>
      </c>
      <c r="Z526" s="11"/>
    </row>
    <row r="527">
      <c r="A527" s="8"/>
      <c r="B527" s="56" t="str">
        <f t="shared" si="2"/>
        <v/>
      </c>
      <c r="C527" s="57"/>
      <c r="D527" s="10" t="str">
        <f>IFERROR(__xludf.DUMMYFUNCTION("IF(COUNTA(C527:C1350)=0,"""",IF(ISBLANK(C527),FALSE,IF(NOT(COUNTIF($AA$24:$AA$34,SUBSTITUTE(C527,""Sell_"",""""))),1,IF(REGEXMATCH(C527,""Sell_""),IF(COUNTIF(C$4:C527,SUBSTITUTE(C527,""Sell_"",""""))-COUNTIF(C$4:C526,C527)&lt;1,1),FALSE))))"),"")</f>
        <v/>
      </c>
      <c r="E527" s="59" t="str">
        <f t="array" ref="E527">IF(COUNTA(C527:C1350)=0,"",SUM((COUNTIF(C$4:C527,Upgrades!$B$3:$B$13)-COUNTIF(C$4:C527,"Sell_"&amp;Upgrades!$B$3:$B$13))*Upgrades!$D$3:$D$13))</f>
        <v/>
      </c>
      <c r="F527" s="66" t="str">
        <f>IFERROR(__xludf.DUMMYFUNCTION("IF(COUNTA(C527:C1350)=0,"""",IF(REGEXMATCH(INDEX(FILTER(C$4:C527,C$4:C527&lt;&gt;""""),ROWS(FILTER(C$4:C527,C$4:C527&lt;&gt;""""))),""^Sell_""),INDEX(FILTER(F$4:F526,C$4:C526&lt;&gt;""""),ROWS(FILTER(C$4:C526,C$4:C526&lt;&gt;""""))),$AC$5+E527))"),"")</f>
        <v/>
      </c>
      <c r="G527" s="10" t="str">
        <f>IFERROR(__xludf.DUMMYFUNCTION("IF(COUNTA(C527:C1350)=0,"""",IF(C527="""",0,IF(REGEXMATCH(C527,""^Sell_""),-ROUNDDOWN(ROUNDUP(INDEX(Upgrades!$C$3:$C$13,MATCH(SUBSTITUTE(C527,""Sell_"",""""),Upgrades!$B$3:$B$13,0))*1.15^(COUNTIF(C$4:C526,SUBSTITUTE(C527,""Sell_"",""""))-COUNTIF(C$4:C526,"&amp;"""Sell_""&amp;SUBSTITUTE(C527,""Sell_"",""""))))/2),ROUNDUP(INDEX(Upgrades!$C$3:$C$13,MATCH(C527,Upgrades!$B$3:$B$13,0))*1.15^(COUNTIF(C$4:C526,C527)-COUNTIF(C$4:C526,""Sell_""&amp;C527))))))"),"")</f>
        <v/>
      </c>
      <c r="H527" s="10" t="str">
        <f t="shared" si="3"/>
        <v/>
      </c>
      <c r="I527" s="68" t="str">
        <f t="shared" si="4"/>
        <v/>
      </c>
      <c r="J527" s="59" t="str">
        <f t="shared" si="5"/>
        <v/>
      </c>
      <c r="K527" s="69" t="str">
        <f t="shared" si="6"/>
        <v/>
      </c>
      <c r="L527" s="60">
        <f t="shared" si="7"/>
        <v>-194.37811</v>
      </c>
      <c r="M527" s="61">
        <f>IFERROR(__xludf.DUMMYFUNCTION("IFS(AND(COUNTA(C527:C1350)=0,COUNTA(Q527:Q1350)=0),"""",OR(AND(K527&gt;=1000000000,OR(Y527&gt;=1000000000,COUNTA(Q527:Q1350)=0)),OR(Y527&gt;=1000000000,AND(COUNTA(C527:C1350)=0,P$3=TRUE))),
ROUNDDOWN((AB$1-AC$1)*MAX(INDEX(T$4:T1350,MATCH(LARGE(FILTER(Y$4:Y1350,Y$4"&amp;":Y1350&lt;1000000000),1),Y$4:Y1350)),INDEX(F$4:F1350,MATCH(LARGE(FILTER(K$4:K1350,K$4:K1350&lt;1000000000),1),K$4:K1350)))),AND(K527&lt;1000000000,COUNTA(C527:C1350)&gt;0,P$3=FALSE),
ROUNDDOWN(INDEX(Y$4:Y1350,MATCH(LARGE(FILTER(W$4:W1350,W$4:W1350&lt;=I527),1),W$4:W1350"&amp;"))+(I527-LARGE(FILTER(W$4:W1350,W$4:W1350&lt;=I527),1))*INDEX(T$4:T1350,MATCH(LARGE(FILTER(W$4:W1350,W$4:W1350&lt;=I527),1),W$4:W1350))-K527),1,
ROUNDDOWN(Y527-INDEX(K$4:K1350,MATCH(LARGE(FILTER(I$4:I1350,I$4:I1350&lt;=W527),1),I$4:I1350))-(W527-LARGE(FILTER(I$4:I"&amp;"1350,I$4:I1350&lt;=W527),1))*INDEX(F$4:F1350,MATCH(LARGE(FILTER(I$4:I1350,I$4:I1350&lt;=W527),1),I$4:I1350))))"),1.04149566E8)</f>
        <v>104149566</v>
      </c>
      <c r="N527" s="60">
        <f t="shared" si="8"/>
        <v>-194.37811</v>
      </c>
      <c r="O527" s="61" t="str">
        <f t="shared" si="9"/>
        <v>104,1M</v>
      </c>
      <c r="P527" s="56">
        <f t="shared" si="10"/>
        <v>15</v>
      </c>
      <c r="Q527" s="105" t="s">
        <v>9</v>
      </c>
      <c r="R527" s="10" t="b">
        <f>IFERROR(__xludf.DUMMYFUNCTION("IF(COUNTA(Q527:Q1350)=0,"""",IF(ISBLANK(Q527),FALSE,IF(NOT(COUNTIF($AA$24:$AA$34,SUBSTITUTE(Q527,""Sell_"",""""))),1,IF(REGEXMATCH(Q527,""Sell_""),IF(COUNTIF(Q$4:Q527,SUBSTITUTE(Q527,""Sell_"",""""))-COUNTIF(Q$4:Q526,Q527)&lt;1,1),FALSE))))"),FALSE)</f>
        <v>0</v>
      </c>
      <c r="S527" s="59">
        <f t="array" ref="S527">IF(COUNTA(Q527:Q1350)=0,"",SUM((COUNTIF(Q$4:Q527,Upgrades!$B$3:$B$13)-COUNTIF(Q$4:Q527,"Sell_"&amp;Upgrades!$B$3:$B$13))*Upgrades!$D$3:$D$13))</f>
        <v>530377.4</v>
      </c>
      <c r="T527" s="66">
        <f>IFERROR(__xludf.DUMMYFUNCTION("IF(COUNTA(Q527:Q1350)=0,"""",IF(REGEXMATCH(INDEX(FILTER(Q$4:Q527,Q$4:Q527&lt;&gt;""""),ROWS(FILTER(Q$4:Q527,Q$4:Q527&lt;&gt;""""))),""^Sell_""),INDEX(FILTER(T$4:T526,Q$4:Q526&lt;&gt;""""),ROWS(FILTER(Q$4:Q526,Q$4:Q526&lt;&gt;""""))),$AD$5+S527))"),530577.4)</f>
        <v>530577.4</v>
      </c>
      <c r="U527" s="10">
        <f>IFERROR(__xludf.DUMMYFUNCTION("IF(COUNTA(Q527:Q1350)=0,"""",IF(Q527="""",0,IF(REGEXMATCH(Q527,""^Sell_""),-ROUNDDOWN(ROUNDUP(INDEX(Upgrades!$C$3:$C$13,MATCH(SUBSTITUTE(Q527,""Sell_"",""""),Upgrades!$B$3:$B$13,0))*1.15^(COUNTIF(Q$4:Q526,SUBSTITUTE(Q527,""Sell_"",""""))-COUNTIF(Q$4:Q526,"&amp;"""Sell_""&amp;SUBSTITUTE(Q527,""Sell_"",""""))))/2),ROUNDUP(INDEX(Upgrades!$C$3:$C$13,MATCH(Q527,Upgrades!$B$3:$B$13,0))*1.15^(COUNTIF(Q$4:Q526,Q527)-COUNTIF(Q$4:Q526,""Sell_""&amp;Q527))))))"),1415142.0)</f>
        <v>1415142</v>
      </c>
      <c r="V527" s="10">
        <f t="shared" si="11"/>
        <v>1415142</v>
      </c>
      <c r="W527" s="68">
        <f t="shared" si="12"/>
        <v>6513.629016</v>
      </c>
      <c r="X527" s="59" t="str">
        <f t="shared" si="13"/>
        <v>1h 48m 33s</v>
      </c>
      <c r="Y527" s="69">
        <f t="shared" si="14"/>
        <v>862300039</v>
      </c>
      <c r="Z527" s="11"/>
    </row>
    <row r="528">
      <c r="A528" s="8"/>
      <c r="B528" s="56" t="str">
        <f t="shared" si="2"/>
        <v/>
      </c>
      <c r="C528" s="57"/>
      <c r="D528" s="10" t="str">
        <f>IFERROR(__xludf.DUMMYFUNCTION("IF(COUNTA(C528:C1350)=0,"""",IF(ISBLANK(C528),FALSE,IF(NOT(COUNTIF($AA$24:$AA$34,SUBSTITUTE(C528,""Sell_"",""""))),1,IF(REGEXMATCH(C528,""Sell_""),IF(COUNTIF(C$4:C528,SUBSTITUTE(C528,""Sell_"",""""))-COUNTIF(C$4:C527,C528)&lt;1,1),FALSE))))"),"")</f>
        <v/>
      </c>
      <c r="E528" s="59" t="str">
        <f t="array" ref="E528">IF(COUNTA(C528:C1350)=0,"",SUM((COUNTIF(C$4:C528,Upgrades!$B$3:$B$13)-COUNTIF(C$4:C528,"Sell_"&amp;Upgrades!$B$3:$B$13))*Upgrades!$D$3:$D$13))</f>
        <v/>
      </c>
      <c r="F528" s="66" t="str">
        <f>IFERROR(__xludf.DUMMYFUNCTION("IF(COUNTA(C528:C1350)=0,"""",IF(REGEXMATCH(INDEX(FILTER(C$4:C528,C$4:C528&lt;&gt;""""),ROWS(FILTER(C$4:C528,C$4:C528&lt;&gt;""""))),""^Sell_""),INDEX(FILTER(F$4:F527,C$4:C527&lt;&gt;""""),ROWS(FILTER(C$4:C527,C$4:C527&lt;&gt;""""))),$AC$5+E528))"),"")</f>
        <v/>
      </c>
      <c r="G528" s="10" t="str">
        <f>IFERROR(__xludf.DUMMYFUNCTION("IF(COUNTA(C528:C1350)=0,"""",IF(C528="""",0,IF(REGEXMATCH(C528,""^Sell_""),-ROUNDDOWN(ROUNDUP(INDEX(Upgrades!$C$3:$C$13,MATCH(SUBSTITUTE(C528,""Sell_"",""""),Upgrades!$B$3:$B$13,0))*1.15^(COUNTIF(C$4:C527,SUBSTITUTE(C528,""Sell_"",""""))-COUNTIF(C$4:C527,"&amp;"""Sell_""&amp;SUBSTITUTE(C528,""Sell_"",""""))))/2),ROUNDUP(INDEX(Upgrades!$C$3:$C$13,MATCH(C528,Upgrades!$B$3:$B$13,0))*1.15^(COUNTIF(C$4:C527,C528)-COUNTIF(C$4:C527,""Sell_""&amp;C528))))))"),"")</f>
        <v/>
      </c>
      <c r="H528" s="10" t="str">
        <f t="shared" si="3"/>
        <v/>
      </c>
      <c r="I528" s="68" t="str">
        <f t="shared" si="4"/>
        <v/>
      </c>
      <c r="J528" s="59" t="str">
        <f t="shared" si="5"/>
        <v/>
      </c>
      <c r="K528" s="69" t="str">
        <f t="shared" si="6"/>
        <v/>
      </c>
      <c r="L528" s="60">
        <f t="shared" si="7"/>
        <v>-194.37095</v>
      </c>
      <c r="M528" s="61">
        <f>IFERROR(__xludf.DUMMYFUNCTION("IFS(AND(COUNTA(C528:C1350)=0,COUNTA(Q528:Q1350)=0),"""",OR(AND(K528&gt;=1000000000,OR(Y528&gt;=1000000000,COUNTA(Q528:Q1350)=0)),OR(Y528&gt;=1000000000,AND(COUNTA(C528:C1350)=0,P$3=TRUE))),
ROUNDDOWN((AB$1-AC$1)*MAX(INDEX(T$4:T1350,MATCH(LARGE(FILTER(Y$4:Y1350,Y$4"&amp;":Y1350&lt;1000000000),1),Y$4:Y1350)),INDEX(F$4:F1350,MATCH(LARGE(FILTER(K$4:K1350,K$4:K1350&lt;1000000000),1),K$4:K1350)))),AND(K528&lt;1000000000,COUNTA(C528:C1350)&gt;0,P$3=FALSE),
ROUNDDOWN(INDEX(Y$4:Y1350,MATCH(LARGE(FILTER(W$4:W1350,W$4:W1350&lt;=I528),1),W$4:W1350"&amp;"))+(I528-LARGE(FILTER(W$4:W1350,W$4:W1350&lt;=I528),1))*INDEX(T$4:T1350,MATCH(LARGE(FILTER(W$4:W1350,W$4:W1350&lt;=I528),1),W$4:W1350))-K528),1,
ROUNDDOWN(Y528-INDEX(K$4:K1350,MATCH(LARGE(FILTER(I$4:I1350,I$4:I1350&lt;=W528),1),I$4:I1350))-(W528-LARGE(FILTER(I$4:I"&amp;"1350,I$4:I1350&lt;=W528),1))*INDEX(F$4:F1350,MATCH(LARGE(FILTER(I$4:I1350,I$4:I1350&lt;=W528),1),I$4:I1350))))"),1.0415143E8)</f>
        <v>104151430</v>
      </c>
      <c r="N528" s="60">
        <f t="shared" si="8"/>
        <v>-194.37095</v>
      </c>
      <c r="O528" s="61" t="str">
        <f t="shared" si="9"/>
        <v>104,2M</v>
      </c>
      <c r="P528" s="56">
        <f t="shared" si="10"/>
        <v>20</v>
      </c>
      <c r="Q528" s="105" t="s">
        <v>7</v>
      </c>
      <c r="R528" s="10" t="b">
        <f>IFERROR(__xludf.DUMMYFUNCTION("IF(COUNTA(Q528:Q1350)=0,"""",IF(ISBLANK(Q528),FALSE,IF(NOT(COUNTIF($AA$24:$AA$34,SUBSTITUTE(Q528,""Sell_"",""""))),1,IF(REGEXMATCH(Q528,""Sell_""),IF(COUNTIF(Q$4:Q528,SUBSTITUTE(Q528,""Sell_"",""""))-COUNTIF(Q$4:Q527,Q528)&lt;1,1),FALSE))))"),FALSE)</f>
        <v>0</v>
      </c>
      <c r="S528" s="59">
        <f t="array" ref="S528">IF(COUNTA(Q528:Q1350)=0,"",SUM((COUNTIF(Q$4:Q528,Upgrades!$B$3:$B$13)-COUNTIF(Q$4:Q528,"Sell_"&amp;Upgrades!$B$3:$B$13))*Upgrades!$D$3:$D$13))</f>
        <v>530417.4</v>
      </c>
      <c r="T528" s="66">
        <f>IFERROR(__xludf.DUMMYFUNCTION("IF(COUNTA(Q528:Q1350)=0,"""",IF(REGEXMATCH(INDEX(FILTER(Q$4:Q528,Q$4:Q528&lt;&gt;""""),ROWS(FILTER(Q$4:Q528,Q$4:Q528&lt;&gt;""""))),""^Sell_""),INDEX(FILTER(T$4:T527,Q$4:Q527&lt;&gt;""""),ROWS(FILTER(Q$4:Q527,Q$4:Q527&lt;&gt;""""))),$AD$5+S528))"),530617.4)</f>
        <v>530617.4</v>
      </c>
      <c r="U528" s="10">
        <f>IFERROR(__xludf.DUMMYFUNCTION("IF(COUNTA(Q528:Q1350)=0,"""",IF(Q528="""",0,IF(REGEXMATCH(Q528,""^Sell_""),-ROUNDDOWN(ROUNDUP(INDEX(Upgrades!$C$3:$C$13,MATCH(SUBSTITUTE(Q528,""Sell_"",""""),Upgrades!$B$3:$B$13,0))*1.15^(COUNTIF(Q$4:Q527,SUBSTITUTE(Q528,""Sell_"",""""))-COUNTIF(Q$4:Q527,"&amp;"""Sell_""&amp;SUBSTITUTE(Q528,""Sell_"",""""))))/2),ROUNDUP(INDEX(Upgrades!$C$3:$C$13,MATCH(Q528,Upgrades!$B$3:$B$13,0))*1.15^(COUNTIF(Q$4:Q527,Q528)-COUNTIF(Q$4:Q527,""Sell_""&amp;Q528))))))"),142318.0)</f>
        <v>142318</v>
      </c>
      <c r="V528" s="10">
        <f t="shared" si="11"/>
        <v>142318</v>
      </c>
      <c r="W528" s="68">
        <f t="shared" si="12"/>
        <v>6513.897248</v>
      </c>
      <c r="X528" s="59" t="str">
        <f t="shared" si="13"/>
        <v>1h 48m 33s</v>
      </c>
      <c r="Y528" s="69">
        <f t="shared" si="14"/>
        <v>862442357</v>
      </c>
      <c r="Z528" s="11"/>
    </row>
    <row r="529">
      <c r="A529" s="8"/>
      <c r="B529" s="56" t="str">
        <f t="shared" si="2"/>
        <v/>
      </c>
      <c r="C529" s="57"/>
      <c r="D529" s="10" t="str">
        <f>IFERROR(__xludf.DUMMYFUNCTION("IF(COUNTA(C529:C1350)=0,"""",IF(ISBLANK(C529),FALSE,IF(NOT(COUNTIF($AA$24:$AA$34,SUBSTITUTE(C529,""Sell_"",""""))),1,IF(REGEXMATCH(C529,""Sell_""),IF(COUNTIF(C$4:C529,SUBSTITUTE(C529,""Sell_"",""""))-COUNTIF(C$4:C528,C529)&lt;1,1),FALSE))))"),"")</f>
        <v/>
      </c>
      <c r="E529" s="59" t="str">
        <f t="array" ref="E529">IF(COUNTA(C529:C1350)=0,"",SUM((COUNTIF(C$4:C529,Upgrades!$B$3:$B$13)-COUNTIF(C$4:C529,"Sell_"&amp;Upgrades!$B$3:$B$13))*Upgrades!$D$3:$D$13))</f>
        <v/>
      </c>
      <c r="F529" s="66" t="str">
        <f>IFERROR(__xludf.DUMMYFUNCTION("IF(COUNTA(C529:C1350)=0,"""",IF(REGEXMATCH(INDEX(FILTER(C$4:C529,C$4:C529&lt;&gt;""""),ROWS(FILTER(C$4:C529,C$4:C529&lt;&gt;""""))),""^Sell_""),INDEX(FILTER(F$4:F528,C$4:C528&lt;&gt;""""),ROWS(FILTER(C$4:C528,C$4:C528&lt;&gt;""""))),$AC$5+E529))"),"")</f>
        <v/>
      </c>
      <c r="G529" s="10" t="str">
        <f>IFERROR(__xludf.DUMMYFUNCTION("IF(COUNTA(C529:C1350)=0,"""",IF(C529="""",0,IF(REGEXMATCH(C529,""^Sell_""),-ROUNDDOWN(ROUNDUP(INDEX(Upgrades!$C$3:$C$13,MATCH(SUBSTITUTE(C529,""Sell_"",""""),Upgrades!$B$3:$B$13,0))*1.15^(COUNTIF(C$4:C528,SUBSTITUTE(C529,""Sell_"",""""))-COUNTIF(C$4:C528,"&amp;"""Sell_""&amp;SUBSTITUTE(C529,""Sell_"",""""))))/2),ROUNDUP(INDEX(Upgrades!$C$3:$C$13,MATCH(C529,Upgrades!$B$3:$B$13,0))*1.15^(COUNTIF(C$4:C528,C529)-COUNTIF(C$4:C528,""Sell_""&amp;C529))))))"),"")</f>
        <v/>
      </c>
      <c r="H529" s="10" t="str">
        <f t="shared" si="3"/>
        <v/>
      </c>
      <c r="I529" s="68" t="str">
        <f t="shared" si="4"/>
        <v/>
      </c>
      <c r="J529" s="59" t="str">
        <f t="shared" si="5"/>
        <v/>
      </c>
      <c r="K529" s="69" t="str">
        <f t="shared" si="6"/>
        <v/>
      </c>
      <c r="L529" s="60">
        <f t="shared" si="7"/>
        <v>-192.67719</v>
      </c>
      <c r="M529" s="61">
        <f>IFERROR(__xludf.DUMMYFUNCTION("IFS(AND(COUNTA(C529:C1350)=0,COUNTA(Q529:Q1350)=0),"""",OR(AND(K529&gt;=1000000000,OR(Y529&gt;=1000000000,COUNTA(Q529:Q1350)=0)),OR(Y529&gt;=1000000000,AND(COUNTA(C529:C1350)=0,P$3=TRUE))),
ROUNDDOWN((AB$1-AC$1)*MAX(INDEX(T$4:T1350,MATCH(LARGE(FILTER(Y$4:Y1350,Y$4"&amp;":Y1350&lt;1000000000),1),Y$4:Y1350)),INDEX(F$4:F1350,MATCH(LARGE(FILTER(K$4:K1350,K$4:K1350&lt;1000000000),1),K$4:K1350)))),AND(K529&lt;1000000000,COUNTA(C529:C1350)&gt;0,P$3=FALSE),
ROUNDDOWN(INDEX(Y$4:Y1350,MATCH(LARGE(FILTER(W$4:W1350,W$4:W1350&lt;=I529),1),W$4:W1350"&amp;"))+(I529-LARGE(FILTER(W$4:W1350,W$4:W1350&lt;=I529),1))*INDEX(T$4:T1350,MATCH(LARGE(FILTER(W$4:W1350,W$4:W1350&lt;=I529),1),W$4:W1350))-K529),1,
ROUNDDOWN(Y529-INDEX(K$4:K1350,MATCH(LARGE(FILTER(I$4:I1350,I$4:I1350&lt;=W529),1),I$4:I1350))-(W529-LARGE(FILTER(I$4:I"&amp;"1350,I$4:I1350&lt;=W529),1))*INDEX(F$4:F1350,MATCH(LARGE(FILTER(I$4:I1350,I$4:I1350&lt;=W529),1),I$4:I1350))))"),1.0438288E8)</f>
        <v>104382880</v>
      </c>
      <c r="N529" s="60">
        <f t="shared" si="8"/>
        <v>-192.67719</v>
      </c>
      <c r="O529" s="61" t="str">
        <f t="shared" si="9"/>
        <v>104,4M</v>
      </c>
      <c r="P529" s="56">
        <f t="shared" si="10"/>
        <v>20</v>
      </c>
      <c r="Q529" s="105" t="s">
        <v>10</v>
      </c>
      <c r="R529" s="10" t="b">
        <f>IFERROR(__xludf.DUMMYFUNCTION("IF(COUNTA(Q529:Q1350)=0,"""",IF(ISBLANK(Q529),FALSE,IF(NOT(COUNTIF($AA$24:$AA$34,SUBSTITUTE(Q529,""Sell_"",""""))),1,IF(REGEXMATCH(Q529,""Sell_""),IF(COUNTIF(Q$4:Q529,SUBSTITUTE(Q529,""Sell_"",""""))-COUNTIF(Q$4:Q528,Q529)&lt;1,1),FALSE))))"),FALSE)</f>
        <v>0</v>
      </c>
      <c r="S529" s="59">
        <f t="array" ref="S529">IF(COUNTA(Q529:Q1350)=0,"",SUM((COUNTIF(Q$4:Q529,Upgrades!$B$3:$B$13)-COUNTIF(Q$4:Q529,"Sell_"&amp;Upgrades!$B$3:$B$13))*Upgrades!$D$3:$D$13))</f>
        <v>537083.4</v>
      </c>
      <c r="T529" s="66">
        <f>IFERROR(__xludf.DUMMYFUNCTION("IF(COUNTA(Q529:Q1350)=0,"""",IF(REGEXMATCH(INDEX(FILTER(Q$4:Q529,Q$4:Q529&lt;&gt;""""),ROWS(FILTER(Q$4:Q529,Q$4:Q529&lt;&gt;""""))),""^Sell_""),INDEX(FILTER(T$4:T528,Q$4:Q528&lt;&gt;""""),ROWS(FILTER(Q$4:Q528,Q$4:Q528&lt;&gt;""""))),$AD$5+S529))"),537283.4)</f>
        <v>537283.4</v>
      </c>
      <c r="U529" s="10">
        <f>IFERROR(__xludf.DUMMYFUNCTION("IF(COUNTA(Q529:Q1350)=0,"""",IF(Q529="""",0,IF(REGEXMATCH(Q529,""^Sell_""),-ROUNDDOWN(ROUNDUP(INDEX(Upgrades!$C$3:$C$13,MATCH(SUBSTITUTE(Q529,""Sell_"",""""),Upgrades!$B$3:$B$13,0))*1.15^(COUNTIF(Q$4:Q528,SUBSTITUTE(Q529,""Sell_"",""""))-COUNTIF(Q$4:Q528,"&amp;"""Sell_""&amp;SUBSTITUTE(Q529,""Sell_"",""""))))/2),ROUNDUP(INDEX(Upgrades!$C$3:$C$13,MATCH(Q529,Upgrades!$B$3:$B$13,0))*1.15^(COUNTIF(Q$4:Q528,Q529)-COUNTIF(Q$4:Q528,""Sell_""&amp;Q529))))))"),2.371961E7)</f>
        <v>23719610</v>
      </c>
      <c r="V529" s="10">
        <f t="shared" si="11"/>
        <v>23719610</v>
      </c>
      <c r="W529" s="68">
        <f t="shared" si="12"/>
        <v>6558.599155</v>
      </c>
      <c r="X529" s="59" t="str">
        <f t="shared" si="13"/>
        <v>1h 49m 18s</v>
      </c>
      <c r="Y529" s="69">
        <f t="shared" si="14"/>
        <v>886161967</v>
      </c>
      <c r="Z529" s="11"/>
    </row>
    <row r="530">
      <c r="A530" s="8"/>
      <c r="B530" s="56" t="str">
        <f t="shared" si="2"/>
        <v/>
      </c>
      <c r="C530" s="57"/>
      <c r="D530" s="10" t="str">
        <f>IFERROR(__xludf.DUMMYFUNCTION("IF(COUNTA(C530:C1350)=0,"""",IF(ISBLANK(C530),FALSE,IF(NOT(COUNTIF($AA$24:$AA$34,SUBSTITUTE(C530,""Sell_"",""""))),1,IF(REGEXMATCH(C530,""Sell_""),IF(COUNTIF(C$4:C530,SUBSTITUTE(C530,""Sell_"",""""))-COUNTIF(C$4:C529,C530)&lt;1,1),FALSE))))"),"")</f>
        <v/>
      </c>
      <c r="E530" s="59" t="str">
        <f t="array" ref="E530">IF(COUNTA(C530:C1350)=0,"",SUM((COUNTIF(C$4:C530,Upgrades!$B$3:$B$13)-COUNTIF(C$4:C530,"Sell_"&amp;Upgrades!$B$3:$B$13))*Upgrades!$D$3:$D$13))</f>
        <v/>
      </c>
      <c r="F530" s="66" t="str">
        <f>IFERROR(__xludf.DUMMYFUNCTION("IF(COUNTA(C530:C1350)=0,"""",IF(REGEXMATCH(INDEX(FILTER(C$4:C530,C$4:C530&lt;&gt;""""),ROWS(FILTER(C$4:C530,C$4:C530&lt;&gt;""""))),""^Sell_""),INDEX(FILTER(F$4:F529,C$4:C529&lt;&gt;""""),ROWS(FILTER(C$4:C529,C$4:C529&lt;&gt;""""))),$AC$5+E530))"),"")</f>
        <v/>
      </c>
      <c r="G530" s="10" t="str">
        <f>IFERROR(__xludf.DUMMYFUNCTION("IF(COUNTA(C530:C1350)=0,"""",IF(C530="""",0,IF(REGEXMATCH(C530,""^Sell_""),-ROUNDDOWN(ROUNDUP(INDEX(Upgrades!$C$3:$C$13,MATCH(SUBSTITUTE(C530,""Sell_"",""""),Upgrades!$B$3:$B$13,0))*1.15^(COUNTIF(C$4:C529,SUBSTITUTE(C530,""Sell_"",""""))-COUNTIF(C$4:C529,"&amp;"""Sell_""&amp;SUBSTITUTE(C530,""Sell_"",""""))))/2),ROUNDUP(INDEX(Upgrades!$C$3:$C$13,MATCH(C530,Upgrades!$B$3:$B$13,0))*1.15^(COUNTIF(C$4:C529,C530)-COUNTIF(C$4:C529,""Sell_""&amp;C530))))))"),"")</f>
        <v/>
      </c>
      <c r="H530" s="10" t="str">
        <f t="shared" si="3"/>
        <v/>
      </c>
      <c r="I530" s="68" t="str">
        <f t="shared" si="4"/>
        <v/>
      </c>
      <c r="J530" s="59" t="str">
        <f t="shared" si="5"/>
        <v/>
      </c>
      <c r="K530" s="69" t="str">
        <f t="shared" si="6"/>
        <v/>
      </c>
      <c r="L530" s="60">
        <f t="shared" si="7"/>
        <v>-192.65826</v>
      </c>
      <c r="M530" s="61">
        <f>IFERROR(__xludf.DUMMYFUNCTION("IFS(AND(COUNTA(C530:C1350)=0,COUNTA(Q530:Q1350)=0),"""",OR(AND(K530&gt;=1000000000,OR(Y530&gt;=1000000000,COUNTA(Q530:Q1350)=0)),OR(Y530&gt;=1000000000,AND(COUNTA(C530:C1350)=0,P$3=TRUE))),
ROUNDDOWN((AB$1-AC$1)*MAX(INDEX(T$4:T1350,MATCH(LARGE(FILTER(Y$4:Y1350,Y$4"&amp;":Y1350&lt;1000000000),1),Y$4:Y1350)),INDEX(F$4:F1350,MATCH(LARGE(FILTER(K$4:K1350,K$4:K1350&lt;1000000000),1),K$4:K1350)))),AND(K530&lt;1000000000,COUNTA(C530:C1350)&gt;0,P$3=FALSE),
ROUNDDOWN(INDEX(Y$4:Y1350,MATCH(LARGE(FILTER(W$4:W1350,W$4:W1350&lt;=I530),1),W$4:W1350"&amp;"))+(I530-LARGE(FILTER(W$4:W1350,W$4:W1350&lt;=I530),1))*INDEX(T$4:T1350,MATCH(LARGE(FILTER(W$4:W1350,W$4:W1350&lt;=I530),1),W$4:W1350))-K530),1,
ROUNDDOWN(Y530-INDEX(K$4:K1350,MATCH(LARGE(FILTER(I$4:I1350,I$4:I1350&lt;=W530),1),I$4:I1350))-(W530-LARGE(FILTER(I$4:I"&amp;"1350,I$4:I1350&lt;=W530),1))*INDEX(F$4:F1350,MATCH(LARGE(FILTER(I$4:I1350,I$4:I1350&lt;=W530),1),I$4:I1350))))"),1.04387402E8)</f>
        <v>104387402</v>
      </c>
      <c r="N530" s="60">
        <f t="shared" si="8"/>
        <v>-192.65826</v>
      </c>
      <c r="O530" s="61" t="str">
        <f t="shared" si="9"/>
        <v>104,4M</v>
      </c>
      <c r="P530" s="56">
        <f t="shared" si="10"/>
        <v>17</v>
      </c>
      <c r="Q530" s="105" t="s">
        <v>8</v>
      </c>
      <c r="R530" s="10" t="b">
        <f>IFERROR(__xludf.DUMMYFUNCTION("IF(COUNTA(Q530:Q1350)=0,"""",IF(ISBLANK(Q530),FALSE,IF(NOT(COUNTIF($AA$24:$AA$34,SUBSTITUTE(Q530,""Sell_"",""""))),1,IF(REGEXMATCH(Q530,""Sell_""),IF(COUNTIF(Q$4:Q530,SUBSTITUTE(Q530,""Sell_"",""""))-COUNTIF(Q$4:Q529,Q530)&lt;1,1),FALSE))))"),FALSE)</f>
        <v>0</v>
      </c>
      <c r="S530" s="59">
        <f t="array" ref="S530">IF(COUNTA(Q530:Q1350)=0,"",SUM((COUNTIF(Q$4:Q530,Upgrades!$B$3:$B$13)-COUNTIF(Q$4:Q530,"Sell_"&amp;Upgrades!$B$3:$B$13))*Upgrades!$D$3:$D$13))</f>
        <v>537183.4</v>
      </c>
      <c r="T530" s="66">
        <f>IFERROR(__xludf.DUMMYFUNCTION("IF(COUNTA(Q530:Q1350)=0,"""",IF(REGEXMATCH(INDEX(FILTER(Q$4:Q530,Q$4:Q530&lt;&gt;""""),ROWS(FILTER(Q$4:Q530,Q$4:Q530&lt;&gt;""""))),""^Sell_""),INDEX(FILTER(T$4:T529,Q$4:Q529&lt;&gt;""""),ROWS(FILTER(Q$4:Q529,Q$4:Q529&lt;&gt;""""))),$AD$5+S530))"),537383.4)</f>
        <v>537383.4</v>
      </c>
      <c r="U530" s="10">
        <f>IFERROR(__xludf.DUMMYFUNCTION("IF(COUNTA(Q530:Q1350)=0,"""",IF(Q530="""",0,IF(REGEXMATCH(Q530,""^Sell_""),-ROUNDDOWN(ROUNDUP(INDEX(Upgrades!$C$3:$C$13,MATCH(SUBSTITUTE(Q530,""Sell_"",""""),Upgrades!$B$3:$B$13,0))*1.15^(COUNTIF(Q$4:Q529,SUBSTITUTE(Q530,""Sell_"",""""))-COUNTIF(Q$4:Q529,"&amp;"""Sell_""&amp;SUBSTITUTE(Q530,""Sell_"",""""))))/2),ROUNDUP(INDEX(Upgrades!$C$3:$C$13,MATCH(Q530,Upgrades!$B$3:$B$13,0))*1.15^(COUNTIF(Q$4:Q529,Q530)-COUNTIF(Q$4:Q529,""Sell_""&amp;Q530))))))"),374305.0)</f>
        <v>374305</v>
      </c>
      <c r="V530" s="10">
        <f t="shared" si="11"/>
        <v>374305</v>
      </c>
      <c r="W530" s="68">
        <f t="shared" si="12"/>
        <v>6559.295818</v>
      </c>
      <c r="X530" s="59" t="str">
        <f t="shared" si="13"/>
        <v>1h 49m 19s</v>
      </c>
      <c r="Y530" s="69">
        <f t="shared" si="14"/>
        <v>886536272</v>
      </c>
      <c r="Z530" s="11"/>
    </row>
    <row r="531">
      <c r="A531" s="8"/>
      <c r="B531" s="56" t="str">
        <f t="shared" si="2"/>
        <v/>
      </c>
      <c r="C531" s="57"/>
      <c r="D531" s="10" t="str">
        <f>IFERROR(__xludf.DUMMYFUNCTION("IF(COUNTA(C531:C1350)=0,"""",IF(ISBLANK(C531),FALSE,IF(NOT(COUNTIF($AA$24:$AA$34,SUBSTITUTE(C531,""Sell_"",""""))),1,IF(REGEXMATCH(C531,""Sell_""),IF(COUNTIF(C$4:C531,SUBSTITUTE(C531,""Sell_"",""""))-COUNTIF(C$4:C530,C531)&lt;1,1),FALSE))))"),"")</f>
        <v/>
      </c>
      <c r="E531" s="59" t="str">
        <f t="array" ref="E531">IF(COUNTA(C531:C1350)=0,"",SUM((COUNTIF(C$4:C531,Upgrades!$B$3:$B$13)-COUNTIF(C$4:C531,"Sell_"&amp;Upgrades!$B$3:$B$13))*Upgrades!$D$3:$D$13))</f>
        <v/>
      </c>
      <c r="F531" s="66" t="str">
        <f>IFERROR(__xludf.DUMMYFUNCTION("IF(COUNTA(C531:C1350)=0,"""",IF(REGEXMATCH(INDEX(FILTER(C$4:C531,C$4:C531&lt;&gt;""""),ROWS(FILTER(C$4:C531,C$4:C531&lt;&gt;""""))),""^Sell_""),INDEX(FILTER(F$4:F530,C$4:C530&lt;&gt;""""),ROWS(FILTER(C$4:C530,C$4:C530&lt;&gt;""""))),$AC$5+E531))"),"")</f>
        <v/>
      </c>
      <c r="G531" s="10" t="str">
        <f>IFERROR(__xludf.DUMMYFUNCTION("IF(COUNTA(C531:C1350)=0,"""",IF(C531="""",0,IF(REGEXMATCH(C531,""^Sell_""),-ROUNDDOWN(ROUNDUP(INDEX(Upgrades!$C$3:$C$13,MATCH(SUBSTITUTE(C531,""Sell_"",""""),Upgrades!$B$3:$B$13,0))*1.15^(COUNTIF(C$4:C530,SUBSTITUTE(C531,""Sell_"",""""))-COUNTIF(C$4:C530,"&amp;"""Sell_""&amp;SUBSTITUTE(C531,""Sell_"",""""))))/2),ROUNDUP(INDEX(Upgrades!$C$3:$C$13,MATCH(C531,Upgrades!$B$3:$B$13,0))*1.15^(COUNTIF(C$4:C530,C531)-COUNTIF(C$4:C530,""Sell_""&amp;C531))))))"),"")</f>
        <v/>
      </c>
      <c r="H531" s="10" t="str">
        <f t="shared" si="3"/>
        <v/>
      </c>
      <c r="I531" s="68" t="str">
        <f t="shared" si="4"/>
        <v/>
      </c>
      <c r="J531" s="59" t="str">
        <f t="shared" si="5"/>
        <v/>
      </c>
      <c r="K531" s="69" t="str">
        <f t="shared" si="6"/>
        <v/>
      </c>
      <c r="L531" s="60">
        <f t="shared" si="7"/>
        <v>-192.57651</v>
      </c>
      <c r="M531" s="61">
        <f>IFERROR(__xludf.DUMMYFUNCTION("IFS(AND(COUNTA(C531:C1350)=0,COUNTA(Q531:Q1350)=0),"""",OR(AND(K531&gt;=1000000000,OR(Y531&gt;=1000000000,COUNTA(Q531:Q1350)=0)),OR(Y531&gt;=1000000000,AND(COUNTA(C531:C1350)=0,P$3=TRUE))),
ROUNDDOWN((AB$1-AC$1)*MAX(INDEX(T$4:T1350,MATCH(LARGE(FILTER(Y$4:Y1350,Y$4"&amp;":Y1350&lt;1000000000),1),Y$4:Y1350)),INDEX(F$4:F1350,MATCH(LARGE(FILTER(K$4:K1350,K$4:K1350&lt;1000000000),1),K$4:K1350)))),AND(K531&lt;1000000000,COUNTA(C531:C1350)&gt;0,P$3=FALSE),
ROUNDDOWN(INDEX(Y$4:Y1350,MATCH(LARGE(FILTER(W$4:W1350,W$4:W1350&lt;=I531),1),W$4:W1350"&amp;"))+(I531-LARGE(FILTER(W$4:W1350,W$4:W1350&lt;=I531),1))*INDEX(T$4:T1350,MATCH(LARGE(FILTER(W$4:W1350,W$4:W1350&lt;=I531),1),W$4:W1350))-K531),1,
ROUNDDOWN(Y531-INDEX(K$4:K1350,MATCH(LARGE(FILTER(I$4:I1350,I$4:I1350&lt;=W531),1),I$4:I1350))-(W531-LARGE(FILTER(I$4:I"&amp;"1350,I$4:I1350&lt;=W531),1))*INDEX(F$4:F1350,MATCH(LARGE(FILTER(I$4:I1350,I$4:I1350&lt;=W531),1),I$4:I1350))))"),1.04407358E8)</f>
        <v>104407358</v>
      </c>
      <c r="N531" s="60">
        <f t="shared" si="8"/>
        <v>-192.57651</v>
      </c>
      <c r="O531" s="61" t="str">
        <f t="shared" si="9"/>
        <v>104,4M</v>
      </c>
      <c r="P531" s="56">
        <f t="shared" si="10"/>
        <v>16</v>
      </c>
      <c r="Q531" s="105" t="s">
        <v>9</v>
      </c>
      <c r="R531" s="10" t="b">
        <f>IFERROR(__xludf.DUMMYFUNCTION("IF(COUNTA(Q531:Q1350)=0,"""",IF(ISBLANK(Q531),FALSE,IF(NOT(COUNTIF($AA$24:$AA$34,SUBSTITUTE(Q531,""Sell_"",""""))),1,IF(REGEXMATCH(Q531,""Sell_""),IF(COUNTIF(Q$4:Q531,SUBSTITUTE(Q531,""Sell_"",""""))-COUNTIF(Q$4:Q530,Q531)&lt;1,1),FALSE))))"),FALSE)</f>
        <v>0</v>
      </c>
      <c r="S531" s="59">
        <f t="array" ref="S531">IF(COUNTA(Q531:Q1350)=0,"",SUM((COUNTIF(Q$4:Q531,Upgrades!$B$3:$B$13)-COUNTIF(Q$4:Q531,"Sell_"&amp;Upgrades!$B$3:$B$13))*Upgrades!$D$3:$D$13))</f>
        <v>537583.4</v>
      </c>
      <c r="T531" s="66">
        <f>IFERROR(__xludf.DUMMYFUNCTION("IF(COUNTA(Q531:Q1350)=0,"""",IF(REGEXMATCH(INDEX(FILTER(Q$4:Q531,Q$4:Q531&lt;&gt;""""),ROWS(FILTER(Q$4:Q531,Q$4:Q531&lt;&gt;""""))),""^Sell_""),INDEX(FILTER(T$4:T530,Q$4:Q530&lt;&gt;""""),ROWS(FILTER(Q$4:Q530,Q$4:Q530&lt;&gt;""""))),$AD$5+S531))"),537783.4)</f>
        <v>537783.4</v>
      </c>
      <c r="U531" s="10">
        <f>IFERROR(__xludf.DUMMYFUNCTION("IF(COUNTA(Q531:Q1350)=0,"""",IF(Q531="""",0,IF(REGEXMATCH(Q531,""^Sell_""),-ROUNDDOWN(ROUNDUP(INDEX(Upgrades!$C$3:$C$13,MATCH(SUBSTITUTE(Q531,""Sell_"",""""),Upgrades!$B$3:$B$13,0))*1.15^(COUNTIF(Q$4:Q530,SUBSTITUTE(Q531,""Sell_"",""""))-COUNTIF(Q$4:Q530,"&amp;"""Sell_""&amp;SUBSTITUTE(Q531,""Sell_"",""""))))/2),ROUNDUP(INDEX(Upgrades!$C$3:$C$13,MATCH(Q531,Upgrades!$B$3:$B$13,0))*1.15^(COUNTIF(Q$4:Q530,Q531)-COUNTIF(Q$4:Q530,""Sell_""&amp;Q531))))))"),1627413.0)</f>
        <v>1627413</v>
      </c>
      <c r="V531" s="10">
        <f t="shared" si="11"/>
        <v>1627413</v>
      </c>
      <c r="W531" s="68">
        <f t="shared" si="12"/>
        <v>6562.32422</v>
      </c>
      <c r="X531" s="59" t="str">
        <f t="shared" si="13"/>
        <v>1h 49m 22s</v>
      </c>
      <c r="Y531" s="69">
        <f t="shared" si="14"/>
        <v>888163685</v>
      </c>
      <c r="Z531" s="11"/>
    </row>
    <row r="532">
      <c r="A532" s="8"/>
      <c r="B532" s="56" t="str">
        <f t="shared" si="2"/>
        <v/>
      </c>
      <c r="C532" s="57"/>
      <c r="D532" s="10" t="str">
        <f>IFERROR(__xludf.DUMMYFUNCTION("IF(COUNTA(C532:C1350)=0,"""",IF(ISBLANK(C532),FALSE,IF(NOT(COUNTIF($AA$24:$AA$34,SUBSTITUTE(C532,""Sell_"",""""))),1,IF(REGEXMATCH(C532,""Sell_""),IF(COUNTIF(C$4:C532,SUBSTITUTE(C532,""Sell_"",""""))-COUNTIF(C$4:C531,C532)&lt;1,1),FALSE))))"),"")</f>
        <v/>
      </c>
      <c r="E532" s="59" t="str">
        <f t="array" ref="E532">IF(COUNTA(C532:C1350)=0,"",SUM((COUNTIF(C$4:C532,Upgrades!$B$3:$B$13)-COUNTIF(C$4:C532,"Sell_"&amp;Upgrades!$B$3:$B$13))*Upgrades!$D$3:$D$13))</f>
        <v/>
      </c>
      <c r="F532" s="66" t="str">
        <f>IFERROR(__xludf.DUMMYFUNCTION("IF(COUNTA(C532:C1350)=0,"""",IF(REGEXMATCH(INDEX(FILTER(C$4:C532,C$4:C532&lt;&gt;""""),ROWS(FILTER(C$4:C532,C$4:C532&lt;&gt;""""))),""^Sell_""),INDEX(FILTER(F$4:F531,C$4:C531&lt;&gt;""""),ROWS(FILTER(C$4:C531,C$4:C531&lt;&gt;""""))),$AC$5+E532))"),"")</f>
        <v/>
      </c>
      <c r="G532" s="10" t="str">
        <f>IFERROR(__xludf.DUMMYFUNCTION("IF(COUNTA(C532:C1350)=0,"""",IF(C532="""",0,IF(REGEXMATCH(C532,""^Sell_""),-ROUNDDOWN(ROUNDUP(INDEX(Upgrades!$C$3:$C$13,MATCH(SUBSTITUTE(C532,""Sell_"",""""),Upgrades!$B$3:$B$13,0))*1.15^(COUNTIF(C$4:C531,SUBSTITUTE(C532,""Sell_"",""""))-COUNTIF(C$4:C531,"&amp;"""Sell_""&amp;SUBSTITUTE(C532,""Sell_"",""""))))/2),ROUNDUP(INDEX(Upgrades!$C$3:$C$13,MATCH(C532,Upgrades!$B$3:$B$13,0))*1.15^(COUNTIF(C$4:C531,C532)-COUNTIF(C$4:C531,""Sell_""&amp;C532))))))"),"")</f>
        <v/>
      </c>
      <c r="H532" s="10" t="str">
        <f t="shared" si="3"/>
        <v/>
      </c>
      <c r="I532" s="68" t="str">
        <f t="shared" si="4"/>
        <v/>
      </c>
      <c r="J532" s="59" t="str">
        <f t="shared" si="5"/>
        <v/>
      </c>
      <c r="K532" s="69" t="str">
        <f t="shared" si="6"/>
        <v/>
      </c>
      <c r="L532" s="60">
        <f t="shared" si="7"/>
        <v>-192.56852</v>
      </c>
      <c r="M532" s="61">
        <f>IFERROR(__xludf.DUMMYFUNCTION("IFS(AND(COUNTA(C532:C1350)=0,COUNTA(Q532:Q1350)=0),"""",OR(AND(K532&gt;=1000000000,OR(Y532&gt;=1000000000,COUNTA(Q532:Q1350)=0)),OR(Y532&gt;=1000000000,AND(COUNTA(C532:C1350)=0,P$3=TRUE))),
ROUNDDOWN((AB$1-AC$1)*MAX(INDEX(T$4:T1350,MATCH(LARGE(FILTER(Y$4:Y1350,Y$4"&amp;":Y1350&lt;1000000000),1),Y$4:Y1350)),INDEX(F$4:F1350,MATCH(LARGE(FILTER(K$4:K1350,K$4:K1350&lt;1000000000),1),K$4:K1350)))),AND(K532&lt;1000000000,COUNTA(C532:C1350)&gt;0,P$3=FALSE),
ROUNDDOWN(INDEX(Y$4:Y1350,MATCH(LARGE(FILTER(W$4:W1350,W$4:W1350&lt;=I532),1),W$4:W1350"&amp;"))+(I532-LARGE(FILTER(W$4:W1350,W$4:W1350&lt;=I532),1))*INDEX(T$4:T1350,MATCH(LARGE(FILTER(W$4:W1350,W$4:W1350&lt;=I532),1),W$4:W1350))-K532),1,
ROUNDDOWN(Y532-INDEX(K$4:K1350,MATCH(LARGE(FILTER(I$4:I1350,I$4:I1350&lt;=W532),1),I$4:I1350))-(W532-LARGE(FILTER(I$4:I"&amp;"1350,I$4:I1350&lt;=W532),1))*INDEX(F$4:F1350,MATCH(LARGE(FILTER(I$4:I1350,I$4:I1350&lt;=W532),1),I$4:I1350))))"),1.04409486E8)</f>
        <v>104409486</v>
      </c>
      <c r="N532" s="60">
        <f t="shared" si="8"/>
        <v>-192.56852</v>
      </c>
      <c r="O532" s="61" t="str">
        <f t="shared" si="9"/>
        <v>104,4M</v>
      </c>
      <c r="P532" s="56">
        <f t="shared" si="10"/>
        <v>21</v>
      </c>
      <c r="Q532" s="105" t="s">
        <v>7</v>
      </c>
      <c r="R532" s="10" t="b">
        <f>IFERROR(__xludf.DUMMYFUNCTION("IF(COUNTA(Q532:Q1350)=0,"""",IF(ISBLANK(Q532),FALSE,IF(NOT(COUNTIF($AA$24:$AA$34,SUBSTITUTE(Q532,""Sell_"",""""))),1,IF(REGEXMATCH(Q532,""Sell_""),IF(COUNTIF(Q$4:Q532,SUBSTITUTE(Q532,""Sell_"",""""))-COUNTIF(Q$4:Q531,Q532)&lt;1,1),FALSE))))"),FALSE)</f>
        <v>0</v>
      </c>
      <c r="S532" s="59">
        <f t="array" ref="S532">IF(COUNTA(Q532:Q1350)=0,"",SUM((COUNTIF(Q$4:Q532,Upgrades!$B$3:$B$13)-COUNTIF(Q$4:Q532,"Sell_"&amp;Upgrades!$B$3:$B$13))*Upgrades!$D$3:$D$13))</f>
        <v>537623.4</v>
      </c>
      <c r="T532" s="66">
        <f>IFERROR(__xludf.DUMMYFUNCTION("IF(COUNTA(Q532:Q1350)=0,"""",IF(REGEXMATCH(INDEX(FILTER(Q$4:Q532,Q$4:Q532&lt;&gt;""""),ROWS(FILTER(Q$4:Q532,Q$4:Q532&lt;&gt;""""))),""^Sell_""),INDEX(FILTER(T$4:T531,Q$4:Q531&lt;&gt;""""),ROWS(FILTER(Q$4:Q531,Q$4:Q531&lt;&gt;""""))),$AD$5+S532))"),537823.4)</f>
        <v>537823.4</v>
      </c>
      <c r="U532" s="10">
        <f>IFERROR(__xludf.DUMMYFUNCTION("IF(COUNTA(Q532:Q1350)=0,"""",IF(Q532="""",0,IF(REGEXMATCH(Q532,""^Sell_""),-ROUNDDOWN(ROUNDUP(INDEX(Upgrades!$C$3:$C$13,MATCH(SUBSTITUTE(Q532,""Sell_"",""""),Upgrades!$B$3:$B$13,0))*1.15^(COUNTIF(Q$4:Q531,SUBSTITUTE(Q532,""Sell_"",""""))-COUNTIF(Q$4:Q531,"&amp;"""Sell_""&amp;SUBSTITUTE(Q532,""Sell_"",""""))))/2),ROUNDUP(INDEX(Upgrades!$C$3:$C$13,MATCH(Q532,Upgrades!$B$3:$B$13,0))*1.15^(COUNTIF(Q$4:Q531,Q532)-COUNTIF(Q$4:Q531,""Sell_""&amp;Q532))))))"),163666.0)</f>
        <v>163666</v>
      </c>
      <c r="V532" s="10">
        <f t="shared" si="11"/>
        <v>163666</v>
      </c>
      <c r="W532" s="68">
        <f t="shared" si="12"/>
        <v>6562.628554</v>
      </c>
      <c r="X532" s="59" t="str">
        <f t="shared" si="13"/>
        <v>1h 49m 22s</v>
      </c>
      <c r="Y532" s="69">
        <f t="shared" si="14"/>
        <v>888327351</v>
      </c>
      <c r="Z532" s="11"/>
    </row>
    <row r="533">
      <c r="A533" s="8"/>
      <c r="B533" s="56" t="str">
        <f t="shared" si="2"/>
        <v/>
      </c>
      <c r="C533" s="57"/>
      <c r="D533" s="10" t="str">
        <f>IFERROR(__xludf.DUMMYFUNCTION("IF(COUNTA(C533:C1350)=0,"""",IF(ISBLANK(C533),FALSE,IF(NOT(COUNTIF($AA$24:$AA$34,SUBSTITUTE(C533,""Sell_"",""""))),1,IF(REGEXMATCH(C533,""Sell_""),IF(COUNTIF(C$4:C533,SUBSTITUTE(C533,""Sell_"",""""))-COUNTIF(C$4:C532,C533)&lt;1,1),FALSE))))"),"")</f>
        <v/>
      </c>
      <c r="E533" s="59" t="str">
        <f t="array" ref="E533">IF(COUNTA(C533:C1350)=0,"",SUM((COUNTIF(C$4:C533,Upgrades!$B$3:$B$13)-COUNTIF(C$4:C533,"Sell_"&amp;Upgrades!$B$3:$B$13))*Upgrades!$D$3:$D$13))</f>
        <v/>
      </c>
      <c r="F533" s="66" t="str">
        <f>IFERROR(__xludf.DUMMYFUNCTION("IF(COUNTA(C533:C1350)=0,"""",IF(REGEXMATCH(INDEX(FILTER(C$4:C533,C$4:C533&lt;&gt;""""),ROWS(FILTER(C$4:C533,C$4:C533&lt;&gt;""""))),""^Sell_""),INDEX(FILTER(F$4:F532,C$4:C532&lt;&gt;""""),ROWS(FILTER(C$4:C532,C$4:C532&lt;&gt;""""))),$AC$5+E533))"),"")</f>
        <v/>
      </c>
      <c r="G533" s="10" t="str">
        <f>IFERROR(__xludf.DUMMYFUNCTION("IF(COUNTA(C533:C1350)=0,"""",IF(C533="""",0,IF(REGEXMATCH(C533,""^Sell_""),-ROUNDDOWN(ROUNDUP(INDEX(Upgrades!$C$3:$C$13,MATCH(SUBSTITUTE(C533,""Sell_"",""""),Upgrades!$B$3:$B$13,0))*1.15^(COUNTIF(C$4:C532,SUBSTITUTE(C533,""Sell_"",""""))-COUNTIF(C$4:C532,"&amp;"""Sell_""&amp;SUBSTITUTE(C533,""Sell_"",""""))))/2),ROUNDUP(INDEX(Upgrades!$C$3:$C$13,MATCH(C533,Upgrades!$B$3:$B$13,0))*1.15^(COUNTIF(C$4:C532,C533)-COUNTIF(C$4:C532,""Sell_""&amp;C533))))))"),"")</f>
        <v/>
      </c>
      <c r="H533" s="10" t="str">
        <f t="shared" si="3"/>
        <v/>
      </c>
      <c r="I533" s="68" t="str">
        <f t="shared" si="4"/>
        <v/>
      </c>
      <c r="J533" s="59" t="str">
        <f t="shared" si="5"/>
        <v/>
      </c>
      <c r="K533" s="69" t="str">
        <f t="shared" si="6"/>
        <v/>
      </c>
      <c r="L533" s="60">
        <f t="shared" si="7"/>
        <v>-190.972</v>
      </c>
      <c r="M533" s="61">
        <f>IFERROR(__xludf.DUMMYFUNCTION("IFS(AND(COUNTA(C533:C1350)=0,COUNTA(Q533:Q1350)=0),"""",OR(AND(K533&gt;=1000000000,OR(Y533&gt;=1000000000,COUNTA(Q533:Q1350)=0)),OR(Y533&gt;=1000000000,AND(COUNTA(C533:C1350)=0,P$3=TRUE))),
ROUNDDOWN((AB$1-AC$1)*MAX(INDEX(T$4:T1350,MATCH(LARGE(FILTER(Y$4:Y1350,Y$4"&amp;":Y1350&lt;1000000000),1),Y$4:Y1350)),INDEX(F$4:F1350,MATCH(LARGE(FILTER(K$4:K1350,K$4:K1350&lt;1000000000),1),K$4:K1350)))),AND(K533&lt;1000000000,COUNTA(C533:C1350)&gt;0,P$3=FALSE),
ROUNDDOWN(INDEX(Y$4:Y1350,MATCH(LARGE(FILTER(W$4:W1350,W$4:W1350&lt;=I533),1),W$4:W1350"&amp;"))+(I533-LARGE(FILTER(W$4:W1350,W$4:W1350&lt;=I533),1))*INDEX(T$4:T1350,MATCH(LARGE(FILTER(W$4:W1350,W$4:W1350&lt;=I533),1),W$4:W1350))-K533),1,
ROUNDDOWN(Y533-INDEX(K$4:K1350,MATCH(LARGE(FILTER(I$4:I1350,I$4:I1350&lt;=W533),1),I$4:I1350))-(W533-LARGE(FILTER(I$4:I"&amp;"1350,I$4:I1350&lt;=W533),1))*INDEX(F$4:F1350,MATCH(LARGE(FILTER(I$4:I1350,I$4:I1350&lt;=W533),1),I$4:I1350))))"),1.04639516E8)</f>
        <v>104639516</v>
      </c>
      <c r="N533" s="60">
        <f t="shared" si="8"/>
        <v>-190.972</v>
      </c>
      <c r="O533" s="61" t="str">
        <f t="shared" si="9"/>
        <v>104,6M</v>
      </c>
      <c r="P533" s="56">
        <f t="shared" si="10"/>
        <v>21</v>
      </c>
      <c r="Q533" s="105" t="s">
        <v>10</v>
      </c>
      <c r="R533" s="10" t="b">
        <f>IFERROR(__xludf.DUMMYFUNCTION("IF(COUNTA(Q533:Q1350)=0,"""",IF(ISBLANK(Q533),FALSE,IF(NOT(COUNTIF($AA$24:$AA$34,SUBSTITUTE(Q533,""Sell_"",""""))),1,IF(REGEXMATCH(Q533,""Sell_""),IF(COUNTIF(Q$4:Q533,SUBSTITUTE(Q533,""Sell_"",""""))-COUNTIF(Q$4:Q532,Q533)&lt;1,1),FALSE))))"),FALSE)</f>
        <v>0</v>
      </c>
      <c r="S533" s="59">
        <f t="array" ref="S533">IF(COUNTA(Q533:Q1350)=0,"",SUM((COUNTIF(Q$4:Q533,Upgrades!$B$3:$B$13)-COUNTIF(Q$4:Q533,"Sell_"&amp;Upgrades!$B$3:$B$13))*Upgrades!$D$3:$D$13))</f>
        <v>544289.4</v>
      </c>
      <c r="T533" s="66">
        <f>IFERROR(__xludf.DUMMYFUNCTION("IF(COUNTA(Q533:Q1350)=0,"""",IF(REGEXMATCH(INDEX(FILTER(Q$4:Q533,Q$4:Q533&lt;&gt;""""),ROWS(FILTER(Q$4:Q533,Q$4:Q533&lt;&gt;""""))),""^Sell_""),INDEX(FILTER(T$4:T532,Q$4:Q532&lt;&gt;""""),ROWS(FILTER(Q$4:Q532,Q$4:Q532&lt;&gt;""""))),$AD$5+S533))"),544489.4)</f>
        <v>544489.4</v>
      </c>
      <c r="U533" s="10">
        <f>IFERROR(__xludf.DUMMYFUNCTION("IF(COUNTA(Q533:Q1350)=0,"""",IF(Q533="""",0,IF(REGEXMATCH(Q533,""^Sell_""),-ROUNDDOWN(ROUNDUP(INDEX(Upgrades!$C$3:$C$13,MATCH(SUBSTITUTE(Q533,""Sell_"",""""),Upgrades!$B$3:$B$13,0))*1.15^(COUNTIF(Q$4:Q532,SUBSTITUTE(Q533,""Sell_"",""""))-COUNTIF(Q$4:Q532,"&amp;"""Sell_""&amp;SUBSTITUTE(Q533,""Sell_"",""""))))/2),ROUNDUP(INDEX(Upgrades!$C$3:$C$13,MATCH(Q533,Upgrades!$B$3:$B$13,0))*1.15^(COUNTIF(Q$4:Q532,Q533)-COUNTIF(Q$4:Q532,""Sell_""&amp;Q533))))))"),2.7277552E7)</f>
        <v>27277552</v>
      </c>
      <c r="V533" s="10">
        <f t="shared" si="11"/>
        <v>27277552</v>
      </c>
      <c r="W533" s="68">
        <f t="shared" si="12"/>
        <v>6613.346972</v>
      </c>
      <c r="X533" s="59" t="str">
        <f t="shared" si="13"/>
        <v>1h 50m 13s</v>
      </c>
      <c r="Y533" s="69">
        <f t="shared" si="14"/>
        <v>915604903</v>
      </c>
      <c r="Z533" s="11"/>
    </row>
    <row r="534">
      <c r="A534" s="8"/>
      <c r="B534" s="56" t="str">
        <f t="shared" si="2"/>
        <v/>
      </c>
      <c r="C534" s="57"/>
      <c r="D534" s="10" t="str">
        <f>IFERROR(__xludf.DUMMYFUNCTION("IF(COUNTA(C534:C1350)=0,"""",IF(ISBLANK(C534),FALSE,IF(NOT(COUNTIF($AA$24:$AA$34,SUBSTITUTE(C534,""Sell_"",""""))),1,IF(REGEXMATCH(C534,""Sell_""),IF(COUNTIF(C$4:C534,SUBSTITUTE(C534,""Sell_"",""""))-COUNTIF(C$4:C533,C534)&lt;1,1),FALSE))))"),"")</f>
        <v/>
      </c>
      <c r="E534" s="59" t="str">
        <f t="array" ref="E534">IF(COUNTA(C534:C1350)=0,"",SUM((COUNTIF(C$4:C534,Upgrades!$B$3:$B$13)-COUNTIF(C$4:C534,"Sell_"&amp;Upgrades!$B$3:$B$13))*Upgrades!$D$3:$D$13))</f>
        <v/>
      </c>
      <c r="F534" s="66" t="str">
        <f>IFERROR(__xludf.DUMMYFUNCTION("IF(COUNTA(C534:C1350)=0,"""",IF(REGEXMATCH(INDEX(FILTER(C$4:C534,C$4:C534&lt;&gt;""""),ROWS(FILTER(C$4:C534,C$4:C534&lt;&gt;""""))),""^Sell_""),INDEX(FILTER(F$4:F533,C$4:C533&lt;&gt;""""),ROWS(FILTER(C$4:C533,C$4:C533&lt;&gt;""""))),$AC$5+E534))"),"")</f>
        <v/>
      </c>
      <c r="G534" s="10" t="str">
        <f>IFERROR(__xludf.DUMMYFUNCTION("IF(COUNTA(C534:C1350)=0,"""",IF(C534="""",0,IF(REGEXMATCH(C534,""^Sell_""),-ROUNDDOWN(ROUNDUP(INDEX(Upgrades!$C$3:$C$13,MATCH(SUBSTITUTE(C534,""Sell_"",""""),Upgrades!$B$3:$B$13,0))*1.15^(COUNTIF(C$4:C533,SUBSTITUTE(C534,""Sell_"",""""))-COUNTIF(C$4:C533,"&amp;"""Sell_""&amp;SUBSTITUTE(C534,""Sell_"",""""))))/2),ROUNDUP(INDEX(Upgrades!$C$3:$C$13,MATCH(C534,Upgrades!$B$3:$B$13,0))*1.15^(COUNTIF(C$4:C533,C534)-COUNTIF(C$4:C533,""Sell_""&amp;C534))))))"),"")</f>
        <v/>
      </c>
      <c r="H534" s="10" t="str">
        <f t="shared" si="3"/>
        <v/>
      </c>
      <c r="I534" s="68" t="str">
        <f t="shared" si="4"/>
        <v/>
      </c>
      <c r="J534" s="59" t="str">
        <f t="shared" si="5"/>
        <v/>
      </c>
      <c r="K534" s="69" t="str">
        <f t="shared" si="6"/>
        <v/>
      </c>
      <c r="L534" s="60">
        <f t="shared" si="7"/>
        <v>-190.97119</v>
      </c>
      <c r="M534" s="61">
        <f>IFERROR(__xludf.DUMMYFUNCTION("IFS(AND(COUNTA(C534:C1350)=0,COUNTA(Q534:Q1350)=0),"""",OR(AND(K534&gt;=1000000000,OR(Y534&gt;=1000000000,COUNTA(Q534:Q1350)=0)),OR(Y534&gt;=1000000000,AND(COUNTA(C534:C1350)=0,P$3=TRUE))),
ROUNDDOWN((AB$1-AC$1)*MAX(INDEX(T$4:T1350,MATCH(LARGE(FILTER(Y$4:Y1350,Y$4"&amp;":Y1350&lt;1000000000),1),Y$4:Y1350)),INDEX(F$4:F1350,MATCH(LARGE(FILTER(K$4:K1350,K$4:K1350&lt;1000000000),1),K$4:K1350)))),AND(K534&lt;1000000000,COUNTA(C534:C1350)&gt;0,P$3=FALSE),
ROUNDDOWN(INDEX(Y$4:Y1350,MATCH(LARGE(FILTER(W$4:W1350,W$4:W1350&lt;=I534),1),W$4:W1350"&amp;"))+(I534-LARGE(FILTER(W$4:W1350,W$4:W1350&lt;=I534),1))*INDEX(T$4:T1350,MATCH(LARGE(FILTER(W$4:W1350,W$4:W1350&lt;=I534),1),W$4:W1350))-K534),1,
ROUNDDOWN(Y534-INDEX(K$4:K1350,MATCH(LARGE(FILTER(I$4:I1350,I$4:I1350&lt;=W534),1),I$4:I1350))-(W534-LARGE(FILTER(I$4:I"&amp;"1350,I$4:I1350&lt;=W534),1))*INDEX(F$4:F1350,MATCH(LARGE(FILTER(I$4:I1350,I$4:I1350&lt;=W534),1),I$4:I1350))))"),1.04639714E8)</f>
        <v>104639714</v>
      </c>
      <c r="N534" s="60">
        <f t="shared" si="8"/>
        <v>-190.97119</v>
      </c>
      <c r="O534" s="61" t="str">
        <f t="shared" si="9"/>
        <v>104,6M</v>
      </c>
      <c r="P534" s="56">
        <f t="shared" si="10"/>
        <v>26</v>
      </c>
      <c r="Q534" s="105" t="s">
        <v>5</v>
      </c>
      <c r="R534" s="10" t="b">
        <f>IFERROR(__xludf.DUMMYFUNCTION("IF(COUNTA(Q534:Q1350)=0,"""",IF(ISBLANK(Q534),FALSE,IF(NOT(COUNTIF($AA$24:$AA$34,SUBSTITUTE(Q534,""Sell_"",""""))),1,IF(REGEXMATCH(Q534,""Sell_""),IF(COUNTIF(Q$4:Q534,SUBSTITUTE(Q534,""Sell_"",""""))-COUNTIF(Q$4:Q533,Q534)&lt;1,1),FALSE))))"),FALSE)</f>
        <v>0</v>
      </c>
      <c r="S534" s="59">
        <f t="array" ref="S534">IF(COUNTA(Q534:Q1350)=0,"",SUM((COUNTIF(Q$4:Q534,Upgrades!$B$3:$B$13)-COUNTIF(Q$4:Q534,"Sell_"&amp;Upgrades!$B$3:$B$13))*Upgrades!$D$3:$D$13))</f>
        <v>544293.4</v>
      </c>
      <c r="T534" s="66">
        <f>IFERROR(__xludf.DUMMYFUNCTION("IF(COUNTA(Q534:Q1350)=0,"""",IF(REGEXMATCH(INDEX(FILTER(Q$4:Q534,Q$4:Q534&lt;&gt;""""),ROWS(FILTER(Q$4:Q534,Q$4:Q534&lt;&gt;""""))),""^Sell_""),INDEX(FILTER(T$4:T533,Q$4:Q533&lt;&gt;""""),ROWS(FILTER(Q$4:Q533,Q$4:Q533&lt;&gt;""""))),$AD$5+S534))"),544493.4)</f>
        <v>544493.4</v>
      </c>
      <c r="U534" s="10">
        <f>IFERROR(__xludf.DUMMYFUNCTION("IF(COUNTA(Q534:Q1350)=0,"""",IF(Q534="""",0,IF(REGEXMATCH(Q534,""^Sell_""),-ROUNDDOWN(ROUNDUP(INDEX(Upgrades!$C$3:$C$13,MATCH(SUBSTITUTE(Q534,""Sell_"",""""),Upgrades!$B$3:$B$13,0))*1.15^(COUNTIF(Q$4:Q533,SUBSTITUTE(Q534,""Sell_"",""""))-COUNTIF(Q$4:Q533,"&amp;"""Sell_""&amp;SUBSTITUTE(Q534,""Sell_"",""""))))/2),ROUNDUP(INDEX(Upgrades!$C$3:$C$13,MATCH(Q534,Upgrades!$B$3:$B$13,0))*1.15^(COUNTIF(Q$4:Q533,Q534)-COUNTIF(Q$4:Q533,""Sell_""&amp;Q534))))))"),16460.0)</f>
        <v>16460</v>
      </c>
      <c r="V534" s="10">
        <f t="shared" si="11"/>
        <v>16460</v>
      </c>
      <c r="W534" s="68">
        <f t="shared" si="12"/>
        <v>6613.377202</v>
      </c>
      <c r="X534" s="59" t="str">
        <f t="shared" si="13"/>
        <v>1h 50m 13s</v>
      </c>
      <c r="Y534" s="69">
        <f t="shared" si="14"/>
        <v>915621363</v>
      </c>
      <c r="Z534" s="11"/>
    </row>
    <row r="535">
      <c r="A535" s="8"/>
      <c r="B535" s="56" t="str">
        <f t="shared" si="2"/>
        <v/>
      </c>
      <c r="C535" s="57"/>
      <c r="D535" s="10" t="str">
        <f>IFERROR(__xludf.DUMMYFUNCTION("IF(COUNTA(C535:C1350)=0,"""",IF(ISBLANK(C535),FALSE,IF(NOT(COUNTIF($AA$24:$AA$34,SUBSTITUTE(C535,""Sell_"",""""))),1,IF(REGEXMATCH(C535,""Sell_""),IF(COUNTIF(C$4:C535,SUBSTITUTE(C535,""Sell_"",""""))-COUNTIF(C$4:C534,C535)&lt;1,1),FALSE))))"),"")</f>
        <v/>
      </c>
      <c r="E535" s="59" t="str">
        <f t="array" ref="E535">IF(COUNTA(C535:C1350)=0,"",SUM((COUNTIF(C$4:C535,Upgrades!$B$3:$B$13)-COUNTIF(C$4:C535,"Sell_"&amp;Upgrades!$B$3:$B$13))*Upgrades!$D$3:$D$13))</f>
        <v/>
      </c>
      <c r="F535" s="66" t="str">
        <f>IFERROR(__xludf.DUMMYFUNCTION("IF(COUNTA(C535:C1350)=0,"""",IF(REGEXMATCH(INDEX(FILTER(C$4:C535,C$4:C535&lt;&gt;""""),ROWS(FILTER(C$4:C535,C$4:C535&lt;&gt;""""))),""^Sell_""),INDEX(FILTER(F$4:F534,C$4:C534&lt;&gt;""""),ROWS(FILTER(C$4:C534,C$4:C534&lt;&gt;""""))),$AC$5+E535))"),"")</f>
        <v/>
      </c>
      <c r="G535" s="10" t="str">
        <f>IFERROR(__xludf.DUMMYFUNCTION("IF(COUNTA(C535:C1350)=0,"""",IF(C535="""",0,IF(REGEXMATCH(C535,""^Sell_""),-ROUNDDOWN(ROUNDUP(INDEX(Upgrades!$C$3:$C$13,MATCH(SUBSTITUTE(C535,""Sell_"",""""),Upgrades!$B$3:$B$13,0))*1.15^(COUNTIF(C$4:C534,SUBSTITUTE(C535,""Sell_"",""""))-COUNTIF(C$4:C534,"&amp;"""Sell_""&amp;SUBSTITUTE(C535,""Sell_"",""""))))/2),ROUNDUP(INDEX(Upgrades!$C$3:$C$13,MATCH(C535,Upgrades!$B$3:$B$13,0))*1.15^(COUNTIF(C$4:C534,C535)-COUNTIF(C$4:C534,""Sell_""&amp;C535))))))"),"")</f>
        <v/>
      </c>
      <c r="H535" s="10" t="str">
        <f t="shared" si="3"/>
        <v/>
      </c>
      <c r="I535" s="68" t="str">
        <f t="shared" si="4"/>
        <v/>
      </c>
      <c r="J535" s="59" t="str">
        <f t="shared" si="5"/>
        <v/>
      </c>
      <c r="K535" s="69" t="str">
        <f t="shared" si="6"/>
        <v/>
      </c>
      <c r="L535" s="60">
        <f t="shared" si="7"/>
        <v>-190.9691</v>
      </c>
      <c r="M535" s="61">
        <f>IFERROR(__xludf.DUMMYFUNCTION("IFS(AND(COUNTA(C535:C1350)=0,COUNTA(Q535:Q1350)=0),"""",OR(AND(K535&gt;=1000000000,OR(Y535&gt;=1000000000,COUNTA(Q535:Q1350)=0)),OR(Y535&gt;=1000000000,AND(COUNTA(C535:C1350)=0,P$3=TRUE))),
ROUNDDOWN((AB$1-AC$1)*MAX(INDEX(T$4:T1350,MATCH(LARGE(FILTER(Y$4:Y1350,Y$4"&amp;":Y1350&lt;1000000000),1),Y$4:Y1350)),INDEX(F$4:F1350,MATCH(LARGE(FILTER(K$4:K1350,K$4:K1350&lt;1000000000),1),K$4:K1350)))),AND(K535&lt;1000000000,COUNTA(C535:C1350)&gt;0,P$3=FALSE),
ROUNDDOWN(INDEX(Y$4:Y1350,MATCH(LARGE(FILTER(W$4:W1350,W$4:W1350&lt;=I535),1),W$4:W1350"&amp;"))+(I535-LARGE(FILTER(W$4:W1350,W$4:W1350&lt;=I535),1))*INDEX(T$4:T1350,MATCH(LARGE(FILTER(W$4:W1350,W$4:W1350&lt;=I535),1),W$4:W1350))-K535),1,
ROUNDDOWN(Y535-INDEX(K$4:K1350,MATCH(LARGE(FILTER(I$4:I1350,I$4:I1350&lt;=W535),1),I$4:I1350))-(W535-LARGE(FILTER(I$4:I"&amp;"1350,I$4:I1350&lt;=W535),1))*INDEX(F$4:F1350,MATCH(LARGE(FILTER(I$4:I1350,I$4:I1350&lt;=W535),1),I$4:I1350))))"),1.04640226E8)</f>
        <v>104640226</v>
      </c>
      <c r="N535" s="60">
        <f t="shared" si="8"/>
        <v>-190.9691</v>
      </c>
      <c r="O535" s="61" t="str">
        <f t="shared" si="9"/>
        <v>104,6M</v>
      </c>
      <c r="P535" s="56">
        <f t="shared" si="10"/>
        <v>20</v>
      </c>
      <c r="Q535" s="105" t="s">
        <v>6</v>
      </c>
      <c r="R535" s="10" t="b">
        <f>IFERROR(__xludf.DUMMYFUNCTION("IF(COUNTA(Q535:Q1350)=0,"""",IF(ISBLANK(Q535),FALSE,IF(NOT(COUNTIF($AA$24:$AA$34,SUBSTITUTE(Q535,""Sell_"",""""))),1,IF(REGEXMATCH(Q535,""Sell_""),IF(COUNTIF(Q$4:Q535,SUBSTITUTE(Q535,""Sell_"",""""))-COUNTIF(Q$4:Q534,Q535)&lt;1,1),FALSE))))"),FALSE)</f>
        <v>0</v>
      </c>
      <c r="S535" s="59">
        <f t="array" ref="S535">IF(COUNTA(Q535:Q1350)=0,"",SUM((COUNTIF(Q$4:Q535,Upgrades!$B$3:$B$13)-COUNTIF(Q$4:Q535,"Sell_"&amp;Upgrades!$B$3:$B$13))*Upgrades!$D$3:$D$13))</f>
        <v>544303.4</v>
      </c>
      <c r="T535" s="66">
        <f>IFERROR(__xludf.DUMMYFUNCTION("IF(COUNTA(Q535:Q1350)=0,"""",IF(REGEXMATCH(INDEX(FILTER(Q$4:Q535,Q$4:Q535&lt;&gt;""""),ROWS(FILTER(Q$4:Q535,Q$4:Q535&lt;&gt;""""))),""^Sell_""),INDEX(FILTER(T$4:T534,Q$4:Q534&lt;&gt;""""),ROWS(FILTER(Q$4:Q534,Q$4:Q534&lt;&gt;""""))),$AD$5+S535))"),544503.4)</f>
        <v>544503.4</v>
      </c>
      <c r="U535" s="10">
        <f>IFERROR(__xludf.DUMMYFUNCTION("IF(COUNTA(Q535:Q1350)=0,"""",IF(Q535="""",0,IF(REGEXMATCH(Q535,""^Sell_""),-ROUNDDOWN(ROUNDUP(INDEX(Upgrades!$C$3:$C$13,MATCH(SUBSTITUTE(Q535,""Sell_"",""""),Upgrades!$B$3:$B$13,0))*1.15^(COUNTIF(Q$4:Q534,SUBSTITUTE(Q535,""Sell_"",""""))-COUNTIF(Q$4:Q534,"&amp;"""Sell_""&amp;SUBSTITUTE(Q535,""Sell_"",""""))))/2),ROUNDUP(INDEX(Upgrades!$C$3:$C$13,MATCH(Q535,Upgrades!$B$3:$B$13,0))*1.15^(COUNTIF(Q$4:Q534,Q535)-COUNTIF(Q$4:Q534,""Sell_""&amp;Q535))))))"),42696.0)</f>
        <v>42696</v>
      </c>
      <c r="V535" s="10">
        <f t="shared" si="11"/>
        <v>42696</v>
      </c>
      <c r="W535" s="68">
        <f t="shared" si="12"/>
        <v>6613.455616</v>
      </c>
      <c r="X535" s="59" t="str">
        <f t="shared" si="13"/>
        <v>1h 50m 13s</v>
      </c>
      <c r="Y535" s="69">
        <f t="shared" si="14"/>
        <v>915664059</v>
      </c>
      <c r="Z535" s="11"/>
    </row>
    <row r="536">
      <c r="A536" s="8"/>
      <c r="B536" s="56" t="str">
        <f t="shared" si="2"/>
        <v/>
      </c>
      <c r="C536" s="57"/>
      <c r="D536" s="10" t="str">
        <f>IFERROR(__xludf.DUMMYFUNCTION("IF(COUNTA(C536:C1350)=0,"""",IF(ISBLANK(C536),FALSE,IF(NOT(COUNTIF($AA$24:$AA$34,SUBSTITUTE(C536,""Sell_"",""""))),1,IF(REGEXMATCH(C536,""Sell_""),IF(COUNTIF(C$4:C536,SUBSTITUTE(C536,""Sell_"",""""))-COUNTIF(C$4:C535,C536)&lt;1,1),FALSE))))"),"")</f>
        <v/>
      </c>
      <c r="E536" s="59" t="str">
        <f t="array" ref="E536">IF(COUNTA(C536:C1350)=0,"",SUM((COUNTIF(C$4:C536,Upgrades!$B$3:$B$13)-COUNTIF(C$4:C536,"Sell_"&amp;Upgrades!$B$3:$B$13))*Upgrades!$D$3:$D$13))</f>
        <v/>
      </c>
      <c r="F536" s="66" t="str">
        <f>IFERROR(__xludf.DUMMYFUNCTION("IF(COUNTA(C536:C1350)=0,"""",IF(REGEXMATCH(INDEX(FILTER(C$4:C536,C$4:C536&lt;&gt;""""),ROWS(FILTER(C$4:C536,C$4:C536&lt;&gt;""""))),""^Sell_""),INDEX(FILTER(F$4:F535,C$4:C535&lt;&gt;""""),ROWS(FILTER(C$4:C535,C$4:C535&lt;&gt;""""))),$AC$5+E536))"),"")</f>
        <v/>
      </c>
      <c r="G536" s="10" t="str">
        <f>IFERROR(__xludf.DUMMYFUNCTION("IF(COUNTA(C536:C1350)=0,"""",IF(C536="""",0,IF(REGEXMATCH(C536,""^Sell_""),-ROUNDDOWN(ROUNDUP(INDEX(Upgrades!$C$3:$C$13,MATCH(SUBSTITUTE(C536,""Sell_"",""""),Upgrades!$B$3:$B$13,0))*1.15^(COUNTIF(C$4:C535,SUBSTITUTE(C536,""Sell_"",""""))-COUNTIF(C$4:C535,"&amp;"""Sell_""&amp;SUBSTITUTE(C536,""Sell_"",""""))))/2),ROUNDUP(INDEX(Upgrades!$C$3:$C$13,MATCH(C536,Upgrades!$B$3:$B$13,0))*1.15^(COUNTIF(C$4:C535,C536)-COUNTIF(C$4:C535,""Sell_""&amp;C536))))))"),"")</f>
        <v/>
      </c>
      <c r="H536" s="10" t="str">
        <f t="shared" si="3"/>
        <v/>
      </c>
      <c r="I536" s="68" t="str">
        <f t="shared" si="4"/>
        <v/>
      </c>
      <c r="J536" s="59" t="str">
        <f t="shared" si="5"/>
        <v/>
      </c>
      <c r="K536" s="69" t="str">
        <f t="shared" si="6"/>
        <v/>
      </c>
      <c r="L536" s="60">
        <f t="shared" si="7"/>
        <v>-190.96908</v>
      </c>
      <c r="M536" s="61">
        <f>IFERROR(__xludf.DUMMYFUNCTION("IFS(AND(COUNTA(C536:C1350)=0,COUNTA(Q536:Q1350)=0),"""",OR(AND(K536&gt;=1000000000,OR(Y536&gt;=1000000000,COUNTA(Q536:Q1350)=0)),OR(Y536&gt;=1000000000,AND(COUNTA(C536:C1350)=0,P$3=TRUE))),
ROUNDDOWN((AB$1-AC$1)*MAX(INDEX(T$4:T1350,MATCH(LARGE(FILTER(Y$4:Y1350,Y$4"&amp;":Y1350&lt;1000000000),1),Y$4:Y1350)),INDEX(F$4:F1350,MATCH(LARGE(FILTER(K$4:K1350,K$4:K1350&lt;1000000000),1),K$4:K1350)))),AND(K536&lt;1000000000,COUNTA(C536:C1350)&gt;0,P$3=FALSE),
ROUNDDOWN(INDEX(Y$4:Y1350,MATCH(LARGE(FILTER(W$4:W1350,W$4:W1350&lt;=I536),1),W$4:W1350"&amp;"))+(I536-LARGE(FILTER(W$4:W1350,W$4:W1350&lt;=I536),1))*INDEX(T$4:T1350,MATCH(LARGE(FILTER(W$4:W1350,W$4:W1350&lt;=I536),1),W$4:W1350))-K536),1,
ROUNDDOWN(Y536-INDEX(K$4:K1350,MATCH(LARGE(FILTER(I$4:I1350,I$4:I1350&lt;=W536),1),I$4:I1350))-(W536-LARGE(FILTER(I$4:I"&amp;"1350,I$4:I1350&lt;=W536),1))*INDEX(F$4:F1350,MATCH(LARGE(FILTER(I$4:I1350,I$4:I1350&lt;=W536),1),I$4:I1350))))"),1.04640231E8)</f>
        <v>104640231</v>
      </c>
      <c r="N536" s="60">
        <f t="shared" si="8"/>
        <v>-190.96908</v>
      </c>
      <c r="O536" s="61" t="str">
        <f t="shared" si="9"/>
        <v>104,6M</v>
      </c>
      <c r="P536" s="56">
        <f t="shared" si="10"/>
        <v>25</v>
      </c>
      <c r="Q536" s="105" t="s">
        <v>3</v>
      </c>
      <c r="R536" s="10" t="b">
        <f>IFERROR(__xludf.DUMMYFUNCTION("IF(COUNTA(Q536:Q1350)=0,"""",IF(ISBLANK(Q536),FALSE,IF(NOT(COUNTIF($AA$24:$AA$34,SUBSTITUTE(Q536,""Sell_"",""""))),1,IF(REGEXMATCH(Q536,""Sell_""),IF(COUNTIF(Q$4:Q536,SUBSTITUTE(Q536,""Sell_"",""""))-COUNTIF(Q$4:Q535,Q536)&lt;1,1),FALSE))))"),FALSE)</f>
        <v>0</v>
      </c>
      <c r="S536" s="59">
        <f t="array" ref="S536">IF(COUNTA(Q536:Q1350)=0,"",SUM((COUNTIF(Q$4:Q536,Upgrades!$B$3:$B$13)-COUNTIF(Q$4:Q536,"Sell_"&amp;Upgrades!$B$3:$B$13))*Upgrades!$D$3:$D$13))</f>
        <v>544303.5</v>
      </c>
      <c r="T536" s="66">
        <f>IFERROR(__xludf.DUMMYFUNCTION("IF(COUNTA(Q536:Q1350)=0,"""",IF(REGEXMATCH(INDEX(FILTER(Q$4:Q536,Q$4:Q536&lt;&gt;""""),ROWS(FILTER(Q$4:Q536,Q$4:Q536&lt;&gt;""""))),""^Sell_""),INDEX(FILTER(T$4:T535,Q$4:Q535&lt;&gt;""""),ROWS(FILTER(Q$4:Q535,Q$4:Q535&lt;&gt;""""))),$AD$5+S536))"),544503.5)</f>
        <v>544503.5</v>
      </c>
      <c r="U536" s="10">
        <f>IFERROR(__xludf.DUMMYFUNCTION("IF(COUNTA(Q536:Q1350)=0,"""",IF(Q536="""",0,IF(REGEXMATCH(Q536,""^Sell_""),-ROUNDDOWN(ROUNDUP(INDEX(Upgrades!$C$3:$C$13,MATCH(SUBSTITUTE(Q536,""Sell_"",""""),Upgrades!$B$3:$B$13,0))*1.15^(COUNTIF(Q$4:Q535,SUBSTITUTE(Q536,""Sell_"",""""))-COUNTIF(Q$4:Q535,"&amp;"""Sell_""&amp;SUBSTITUTE(Q536,""Sell_"",""""))))/2),ROUNDUP(INDEX(Upgrades!$C$3:$C$13,MATCH(Q536,Upgrades!$B$3:$B$13,0))*1.15^(COUNTIF(Q$4:Q535,Q536)-COUNTIF(Q$4:Q535,""Sell_""&amp;Q536))))))"),430.0)</f>
        <v>430</v>
      </c>
      <c r="V536" s="10">
        <f t="shared" si="11"/>
        <v>430</v>
      </c>
      <c r="W536" s="68">
        <f t="shared" si="12"/>
        <v>6613.456406</v>
      </c>
      <c r="X536" s="59" t="str">
        <f t="shared" si="13"/>
        <v>1h 50m 13s</v>
      </c>
      <c r="Y536" s="69">
        <f t="shared" si="14"/>
        <v>915664489</v>
      </c>
      <c r="Z536" s="11"/>
    </row>
    <row r="537">
      <c r="A537" s="8"/>
      <c r="B537" s="56" t="str">
        <f t="shared" si="2"/>
        <v/>
      </c>
      <c r="C537" s="57"/>
      <c r="D537" s="10" t="str">
        <f>IFERROR(__xludf.DUMMYFUNCTION("IF(COUNTA(C537:C1350)=0,"""",IF(ISBLANK(C537),FALSE,IF(NOT(COUNTIF($AA$24:$AA$34,SUBSTITUTE(C537,""Sell_"",""""))),1,IF(REGEXMATCH(C537,""Sell_""),IF(COUNTIF(C$4:C537,SUBSTITUTE(C537,""Sell_"",""""))-COUNTIF(C$4:C536,C537)&lt;1,1),FALSE))))"),"")</f>
        <v/>
      </c>
      <c r="E537" s="59" t="str">
        <f t="array" ref="E537">IF(COUNTA(C537:C1350)=0,"",SUM((COUNTIF(C$4:C537,Upgrades!$B$3:$B$13)-COUNTIF(C$4:C537,"Sell_"&amp;Upgrades!$B$3:$B$13))*Upgrades!$D$3:$D$13))</f>
        <v/>
      </c>
      <c r="F537" s="66" t="str">
        <f>IFERROR(__xludf.DUMMYFUNCTION("IF(COUNTA(C537:C1350)=0,"""",IF(REGEXMATCH(INDEX(FILTER(C$4:C537,C$4:C537&lt;&gt;""""),ROWS(FILTER(C$4:C537,C$4:C537&lt;&gt;""""))),""^Sell_""),INDEX(FILTER(F$4:F536,C$4:C536&lt;&gt;""""),ROWS(FILTER(C$4:C536,C$4:C536&lt;&gt;""""))),$AC$5+E537))"),"")</f>
        <v/>
      </c>
      <c r="G537" s="10" t="str">
        <f>IFERROR(__xludf.DUMMYFUNCTION("IF(COUNTA(C537:C1350)=0,"""",IF(C537="""",0,IF(REGEXMATCH(C537,""^Sell_""),-ROUNDDOWN(ROUNDUP(INDEX(Upgrades!$C$3:$C$13,MATCH(SUBSTITUTE(C537,""Sell_"",""""),Upgrades!$B$3:$B$13,0))*1.15^(COUNTIF(C$4:C536,SUBSTITUTE(C537,""Sell_"",""""))-COUNTIF(C$4:C536,"&amp;"""Sell_""&amp;SUBSTITUTE(C537,""Sell_"",""""))))/2),ROUNDUP(INDEX(Upgrades!$C$3:$C$13,MATCH(C537,Upgrades!$B$3:$B$13,0))*1.15^(COUNTIF(C$4:C536,C537)-COUNTIF(C$4:C536,""Sell_""&amp;C537))))))"),"")</f>
        <v/>
      </c>
      <c r="H537" s="10" t="str">
        <f t="shared" si="3"/>
        <v/>
      </c>
      <c r="I537" s="68" t="str">
        <f t="shared" si="4"/>
        <v/>
      </c>
      <c r="J537" s="59" t="str">
        <f t="shared" si="5"/>
        <v/>
      </c>
      <c r="K537" s="69" t="str">
        <f t="shared" si="6"/>
        <v/>
      </c>
      <c r="L537" s="60">
        <f t="shared" si="7"/>
        <v>-190.94795</v>
      </c>
      <c r="M537" s="61">
        <f>IFERROR(__xludf.DUMMYFUNCTION("IFS(AND(COUNTA(C537:C1350)=0,COUNTA(Q537:Q1350)=0),"""",OR(AND(K537&gt;=1000000000,OR(Y537&gt;=1000000000,COUNTA(Q537:Q1350)=0)),OR(Y537&gt;=1000000000,AND(COUNTA(C537:C1350)=0,P$3=TRUE))),
ROUNDDOWN((AB$1-AC$1)*MAX(INDEX(T$4:T1350,MATCH(LARGE(FILTER(Y$4:Y1350,Y$4"&amp;":Y1350&lt;1000000000),1),Y$4:Y1350)),INDEX(F$4:F1350,MATCH(LARGE(FILTER(K$4:K1350,K$4:K1350&lt;1000000000),1),K$4:K1350)))),AND(K537&lt;1000000000,COUNTA(C537:C1350)&gt;0,P$3=FALSE),
ROUNDDOWN(INDEX(Y$4:Y1350,MATCH(LARGE(FILTER(W$4:W1350,W$4:W1350&lt;=I537),1),W$4:W1350"&amp;"))+(I537-LARGE(FILTER(W$4:W1350,W$4:W1350&lt;=I537),1))*INDEX(T$4:T1350,MATCH(LARGE(FILTER(W$4:W1350,W$4:W1350&lt;=I537),1),W$4:W1350))-K537),1,
ROUNDDOWN(Y537-INDEX(K$4:K1350,MATCH(LARGE(FILTER(I$4:I1350,I$4:I1350&lt;=W537),1),I$4:I1350))-(W537-LARGE(FILTER(I$4:I"&amp;"1350,I$4:I1350&lt;=W537),1))*INDEX(F$4:F1350,MATCH(LARGE(FILTER(I$4:I1350,I$4:I1350&lt;=W537),1),I$4:I1350))))"),1.04645404E8)</f>
        <v>104645404</v>
      </c>
      <c r="N537" s="60">
        <f t="shared" si="8"/>
        <v>-190.94795</v>
      </c>
      <c r="O537" s="61" t="str">
        <f t="shared" si="9"/>
        <v>104,6M</v>
      </c>
      <c r="P537" s="56">
        <f t="shared" si="10"/>
        <v>18</v>
      </c>
      <c r="Q537" s="105" t="s">
        <v>8</v>
      </c>
      <c r="R537" s="10" t="b">
        <f>IFERROR(__xludf.DUMMYFUNCTION("IF(COUNTA(Q537:Q1350)=0,"""",IF(ISBLANK(Q537),FALSE,IF(NOT(COUNTIF($AA$24:$AA$34,SUBSTITUTE(Q537,""Sell_"",""""))),1,IF(REGEXMATCH(Q537,""Sell_""),IF(COUNTIF(Q$4:Q537,SUBSTITUTE(Q537,""Sell_"",""""))-COUNTIF(Q$4:Q536,Q537)&lt;1,1),FALSE))))"),FALSE)</f>
        <v>0</v>
      </c>
      <c r="S537" s="59">
        <f t="array" ref="S537">IF(COUNTA(Q537:Q1350)=0,"",SUM((COUNTIF(Q$4:Q537,Upgrades!$B$3:$B$13)-COUNTIF(Q$4:Q537,"Sell_"&amp;Upgrades!$B$3:$B$13))*Upgrades!$D$3:$D$13))</f>
        <v>544403.5</v>
      </c>
      <c r="T537" s="66">
        <f>IFERROR(__xludf.DUMMYFUNCTION("IF(COUNTA(Q537:Q1350)=0,"""",IF(REGEXMATCH(INDEX(FILTER(Q$4:Q537,Q$4:Q537&lt;&gt;""""),ROWS(FILTER(Q$4:Q537,Q$4:Q537&lt;&gt;""""))),""^Sell_""),INDEX(FILTER(T$4:T536,Q$4:Q536&lt;&gt;""""),ROWS(FILTER(Q$4:Q536,Q$4:Q536&lt;&gt;""""))),$AD$5+S537))"),544603.5)</f>
        <v>544603.5</v>
      </c>
      <c r="U537" s="10">
        <f>IFERROR(__xludf.DUMMYFUNCTION("IF(COUNTA(Q537:Q1350)=0,"""",IF(Q537="""",0,IF(REGEXMATCH(Q537,""^Sell_""),-ROUNDDOWN(ROUNDUP(INDEX(Upgrades!$C$3:$C$13,MATCH(SUBSTITUTE(Q537,""Sell_"",""""),Upgrades!$B$3:$B$13,0))*1.15^(COUNTIF(Q$4:Q536,SUBSTITUTE(Q537,""Sell_"",""""))-COUNTIF(Q$4:Q536,"&amp;"""Sell_""&amp;SUBSTITUTE(Q537,""Sell_"",""""))))/2),ROUNDUP(INDEX(Upgrades!$C$3:$C$13,MATCH(Q537,Upgrades!$B$3:$B$13,0))*1.15^(COUNTIF(Q$4:Q536,Q537)-COUNTIF(Q$4:Q536,""Sell_""&amp;Q537))))))"),430451.0)</f>
        <v>430451</v>
      </c>
      <c r="V537" s="10">
        <f t="shared" si="11"/>
        <v>430451</v>
      </c>
      <c r="W537" s="68">
        <f t="shared" si="12"/>
        <v>6614.246945</v>
      </c>
      <c r="X537" s="59" t="str">
        <f t="shared" si="13"/>
        <v>1h 50m 14s</v>
      </c>
      <c r="Y537" s="69">
        <f t="shared" si="14"/>
        <v>916094940</v>
      </c>
      <c r="Z537" s="11"/>
    </row>
    <row r="538">
      <c r="A538" s="8"/>
      <c r="B538" s="56" t="str">
        <f t="shared" si="2"/>
        <v/>
      </c>
      <c r="C538" s="57"/>
      <c r="D538" s="10" t="str">
        <f>IFERROR(__xludf.DUMMYFUNCTION("IF(COUNTA(C538:C1350)=0,"""",IF(ISBLANK(C538),FALSE,IF(NOT(COUNTIF($AA$24:$AA$34,SUBSTITUTE(C538,""Sell_"",""""))),1,IF(REGEXMATCH(C538,""Sell_""),IF(COUNTIF(C$4:C538,SUBSTITUTE(C538,""Sell_"",""""))-COUNTIF(C$4:C537,C538)&lt;1,1),FALSE))))"),"")</f>
        <v/>
      </c>
      <c r="E538" s="59" t="str">
        <f t="array" ref="E538">IF(COUNTA(C538:C1350)=0,"",SUM((COUNTIF(C$4:C538,Upgrades!$B$3:$B$13)-COUNTIF(C$4:C538,"Sell_"&amp;Upgrades!$B$3:$B$13))*Upgrades!$D$3:$D$13))</f>
        <v/>
      </c>
      <c r="F538" s="66" t="str">
        <f>IFERROR(__xludf.DUMMYFUNCTION("IF(COUNTA(C538:C1350)=0,"""",IF(REGEXMATCH(INDEX(FILTER(C$4:C538,C$4:C538&lt;&gt;""""),ROWS(FILTER(C$4:C538,C$4:C538&lt;&gt;""""))),""^Sell_""),INDEX(FILTER(F$4:F537,C$4:C537&lt;&gt;""""),ROWS(FILTER(C$4:C537,C$4:C537&lt;&gt;""""))),$AC$5+E538))"),"")</f>
        <v/>
      </c>
      <c r="G538" s="10" t="str">
        <f>IFERROR(__xludf.DUMMYFUNCTION("IF(COUNTA(C538:C1350)=0,"""",IF(C538="""",0,IF(REGEXMATCH(C538,""^Sell_""),-ROUNDDOWN(ROUNDUP(INDEX(Upgrades!$C$3:$C$13,MATCH(SUBSTITUTE(C538,""Sell_"",""""),Upgrades!$B$3:$B$13,0))*1.15^(COUNTIF(C$4:C537,SUBSTITUTE(C538,""Sell_"",""""))-COUNTIF(C$4:C537,"&amp;"""Sell_""&amp;SUBSTITUTE(C538,""Sell_"",""""))))/2),ROUNDUP(INDEX(Upgrades!$C$3:$C$13,MATCH(C538,Upgrades!$B$3:$B$13,0))*1.15^(COUNTIF(C$4:C537,C538)-COUNTIF(C$4:C537,""Sell_""&amp;C538))))))"),"")</f>
        <v/>
      </c>
      <c r="H538" s="10" t="str">
        <f t="shared" si="3"/>
        <v/>
      </c>
      <c r="I538" s="68" t="str">
        <f t="shared" si="4"/>
        <v/>
      </c>
      <c r="J538" s="59" t="str">
        <f t="shared" si="5"/>
        <v/>
      </c>
      <c r="K538" s="69" t="str">
        <f t="shared" si="6"/>
        <v/>
      </c>
      <c r="L538" s="60">
        <f t="shared" si="7"/>
        <v>-190.94784</v>
      </c>
      <c r="M538" s="61">
        <f>IFERROR(__xludf.DUMMYFUNCTION("IFS(AND(COUNTA(C538:C1350)=0,COUNTA(Q538:Q1350)=0),"""",OR(AND(K538&gt;=1000000000,OR(Y538&gt;=1000000000,COUNTA(Q538:Q1350)=0)),OR(Y538&gt;=1000000000,AND(COUNTA(C538:C1350)=0,P$3=TRUE))),
ROUNDDOWN((AB$1-AC$1)*MAX(INDEX(T$4:T1350,MATCH(LARGE(FILTER(Y$4:Y1350,Y$4"&amp;":Y1350&lt;1000000000),1),Y$4:Y1350)),INDEX(F$4:F1350,MATCH(LARGE(FILTER(K$4:K1350,K$4:K1350&lt;1000000000),1),K$4:K1350)))),AND(K538&lt;1000000000,COUNTA(C538:C1350)&gt;0,P$3=FALSE),
ROUNDDOWN(INDEX(Y$4:Y1350,MATCH(LARGE(FILTER(W$4:W1350,W$4:W1350&lt;=I538),1),W$4:W1350"&amp;"))+(I538-LARGE(FILTER(W$4:W1350,W$4:W1350&lt;=I538),1))*INDEX(T$4:T1350,MATCH(LARGE(FILTER(W$4:W1350,W$4:W1350&lt;=I538),1),W$4:W1350))-K538),1,
ROUNDDOWN(Y538-INDEX(K$4:K1350,MATCH(LARGE(FILTER(I$4:I1350,I$4:I1350&lt;=W538),1),I$4:I1350))-(W538-LARGE(FILTER(I$4:I"&amp;"1350,I$4:I1350&lt;=W538),1))*INDEX(F$4:F1350,MATCH(LARGE(FILTER(I$4:I1350,I$4:I1350&lt;=W538),1),I$4:I1350))))"),1.04645431E8)</f>
        <v>104645431</v>
      </c>
      <c r="N538" s="60">
        <f t="shared" si="8"/>
        <v>-190.94784</v>
      </c>
      <c r="O538" s="61" t="str">
        <f t="shared" si="9"/>
        <v>104,6M</v>
      </c>
      <c r="P538" s="56">
        <f t="shared" si="10"/>
        <v>23</v>
      </c>
      <c r="Q538" s="105" t="s">
        <v>4</v>
      </c>
      <c r="R538" s="10" t="b">
        <f>IFERROR(__xludf.DUMMYFUNCTION("IF(COUNTA(Q538:Q1350)=0,"""",IF(ISBLANK(Q538),FALSE,IF(NOT(COUNTIF($AA$24:$AA$34,SUBSTITUTE(Q538,""Sell_"",""""))),1,IF(REGEXMATCH(Q538,""Sell_""),IF(COUNTIF(Q$4:Q538,SUBSTITUTE(Q538,""Sell_"",""""))-COUNTIF(Q$4:Q537,Q538)&lt;1,1),FALSE))))"),FALSE)</f>
        <v>0</v>
      </c>
      <c r="S538" s="59">
        <f t="array" ref="S538">IF(COUNTA(Q538:Q1350)=0,"",SUM((COUNTIF(Q$4:Q538,Upgrades!$B$3:$B$13)-COUNTIF(Q$4:Q538,"Sell_"&amp;Upgrades!$B$3:$B$13))*Upgrades!$D$3:$D$13))</f>
        <v>544404</v>
      </c>
      <c r="T538" s="66">
        <f>IFERROR(__xludf.DUMMYFUNCTION("IF(COUNTA(Q538:Q1350)=0,"""",IF(REGEXMATCH(INDEX(FILTER(Q$4:Q538,Q$4:Q538&lt;&gt;""""),ROWS(FILTER(Q$4:Q538,Q$4:Q538&lt;&gt;""""))),""^Sell_""),INDEX(FILTER(T$4:T537,Q$4:Q537&lt;&gt;""""),ROWS(FILTER(Q$4:Q537,Q$4:Q537&lt;&gt;""""))),$AD$5+S538))"),544604.0)</f>
        <v>544604</v>
      </c>
      <c r="U538" s="10">
        <f>IFERROR(__xludf.DUMMYFUNCTION("IF(COUNTA(Q538:Q1350)=0,"""",IF(Q538="""",0,IF(REGEXMATCH(Q538,""^Sell_""),-ROUNDDOWN(ROUNDUP(INDEX(Upgrades!$C$3:$C$13,MATCH(SUBSTITUTE(Q538,""Sell_"",""""),Upgrades!$B$3:$B$13,0))*1.15^(COUNTIF(Q$4:Q537,SUBSTITUTE(Q538,""Sell_"",""""))-COUNTIF(Q$4:Q537,"&amp;"""Sell_""&amp;SUBSTITUTE(Q538,""Sell_"",""""))))/2),ROUNDUP(INDEX(Upgrades!$C$3:$C$13,MATCH(Q538,Upgrades!$B$3:$B$13,0))*1.15^(COUNTIF(Q$4:Q537,Q538)-COUNTIF(Q$4:Q537,""Sell_""&amp;Q538))))))"),2165.0)</f>
        <v>2165</v>
      </c>
      <c r="V538" s="10">
        <f t="shared" si="11"/>
        <v>2165</v>
      </c>
      <c r="W538" s="68">
        <f t="shared" si="12"/>
        <v>6614.25092</v>
      </c>
      <c r="X538" s="59" t="str">
        <f t="shared" si="13"/>
        <v>1h 50m 14s</v>
      </c>
      <c r="Y538" s="69">
        <f t="shared" si="14"/>
        <v>916097105</v>
      </c>
      <c r="Z538" s="11"/>
    </row>
    <row r="539">
      <c r="A539" s="8"/>
      <c r="B539" s="56" t="str">
        <f t="shared" si="2"/>
        <v/>
      </c>
      <c r="C539" s="57"/>
      <c r="D539" s="10" t="str">
        <f>IFERROR(__xludf.DUMMYFUNCTION("IF(COUNTA(C539:C1350)=0,"""",IF(ISBLANK(C539),FALSE,IF(NOT(COUNTIF($AA$24:$AA$34,SUBSTITUTE(C539,""Sell_"",""""))),1,IF(REGEXMATCH(C539,""Sell_""),IF(COUNTIF(C$4:C539,SUBSTITUTE(C539,""Sell_"",""""))-COUNTIF(C$4:C538,C539)&lt;1,1),FALSE))))"),"")</f>
        <v/>
      </c>
      <c r="E539" s="59" t="str">
        <f t="array" ref="E539">IF(COUNTA(C539:C1350)=0,"",SUM((COUNTIF(C$4:C539,Upgrades!$B$3:$B$13)-COUNTIF(C$4:C539,"Sell_"&amp;Upgrades!$B$3:$B$13))*Upgrades!$D$3:$D$13))</f>
        <v/>
      </c>
      <c r="F539" s="66" t="str">
        <f>IFERROR(__xludf.DUMMYFUNCTION("IF(COUNTA(C539:C1350)=0,"""",IF(REGEXMATCH(INDEX(FILTER(C$4:C539,C$4:C539&lt;&gt;""""),ROWS(FILTER(C$4:C539,C$4:C539&lt;&gt;""""))),""^Sell_""),INDEX(FILTER(F$4:F538,C$4:C538&lt;&gt;""""),ROWS(FILTER(C$4:C538,C$4:C538&lt;&gt;""""))),$AC$5+E539))"),"")</f>
        <v/>
      </c>
      <c r="G539" s="10" t="str">
        <f>IFERROR(__xludf.DUMMYFUNCTION("IF(COUNTA(C539:C1350)=0,"""",IF(C539="""",0,IF(REGEXMATCH(C539,""^Sell_""),-ROUNDDOWN(ROUNDUP(INDEX(Upgrades!$C$3:$C$13,MATCH(SUBSTITUTE(C539,""Sell_"",""""),Upgrades!$B$3:$B$13,0))*1.15^(COUNTIF(C$4:C538,SUBSTITUTE(C539,""Sell_"",""""))-COUNTIF(C$4:C538,"&amp;"""Sell_""&amp;SUBSTITUTE(C539,""Sell_"",""""))))/2),ROUNDUP(INDEX(Upgrades!$C$3:$C$13,MATCH(C539,Upgrades!$B$3:$B$13,0))*1.15^(COUNTIF(C$4:C538,C539)-COUNTIF(C$4:C538,""Sell_""&amp;C539))))))"),"")</f>
        <v/>
      </c>
      <c r="H539" s="10" t="str">
        <f t="shared" si="3"/>
        <v/>
      </c>
      <c r="I539" s="68" t="str">
        <f t="shared" si="4"/>
        <v/>
      </c>
      <c r="J539" s="59" t="str">
        <f t="shared" si="5"/>
        <v/>
      </c>
      <c r="K539" s="69" t="str">
        <f t="shared" si="6"/>
        <v/>
      </c>
      <c r="L539" s="60">
        <f t="shared" si="7"/>
        <v>-190.8566</v>
      </c>
      <c r="M539" s="61">
        <f>IFERROR(__xludf.DUMMYFUNCTION("IFS(AND(COUNTA(C539:C1350)=0,COUNTA(Q539:Q1350)=0),"""",OR(AND(K539&gt;=1000000000,OR(Y539&gt;=1000000000,COUNTA(Q539:Q1350)=0)),OR(Y539&gt;=1000000000,AND(COUNTA(C539:C1350)=0,P$3=TRUE))),
ROUNDDOWN((AB$1-AC$1)*MAX(INDEX(T$4:T1350,MATCH(LARGE(FILTER(Y$4:Y1350,Y$4"&amp;":Y1350&lt;1000000000),1),Y$4:Y1350)),INDEX(F$4:F1350,MATCH(LARGE(FILTER(K$4:K1350,K$4:K1350&lt;1000000000),1),K$4:K1350)))),AND(K539&lt;1000000000,COUNTA(C539:C1350)&gt;0,P$3=FALSE),
ROUNDDOWN(INDEX(Y$4:Y1350,MATCH(LARGE(FILTER(W$4:W1350,W$4:W1350&lt;=I539),1),W$4:W1350"&amp;"))+(I539-LARGE(FILTER(W$4:W1350,W$4:W1350&lt;=I539),1))*INDEX(T$4:T1350,MATCH(LARGE(FILTER(W$4:W1350,W$4:W1350&lt;=I539),1),W$4:W1350))-K539),1,
ROUNDDOWN(Y539-INDEX(K$4:K1350,MATCH(LARGE(FILTER(I$4:I1350,I$4:I1350&lt;=W539),1),I$4:I1350))-(W539-LARGE(FILTER(I$4:I"&amp;"1350,I$4:I1350&lt;=W539),1))*INDEX(F$4:F1350,MATCH(LARGE(FILTER(I$4:I1350,I$4:I1350&lt;=W539),1),I$4:I1350))))"),1.04668265E8)</f>
        <v>104668265</v>
      </c>
      <c r="N539" s="60">
        <f t="shared" si="8"/>
        <v>-190.8566</v>
      </c>
      <c r="O539" s="61" t="str">
        <f t="shared" si="9"/>
        <v>104,7M</v>
      </c>
      <c r="P539" s="56">
        <f t="shared" si="10"/>
        <v>17</v>
      </c>
      <c r="Q539" s="105" t="s">
        <v>9</v>
      </c>
      <c r="R539" s="10" t="b">
        <f>IFERROR(__xludf.DUMMYFUNCTION("IF(COUNTA(Q539:Q1350)=0,"""",IF(ISBLANK(Q539),FALSE,IF(NOT(COUNTIF($AA$24:$AA$34,SUBSTITUTE(Q539,""Sell_"",""""))),1,IF(REGEXMATCH(Q539,""Sell_""),IF(COUNTIF(Q$4:Q539,SUBSTITUTE(Q539,""Sell_"",""""))-COUNTIF(Q$4:Q538,Q539)&lt;1,1),FALSE))))"),FALSE)</f>
        <v>0</v>
      </c>
      <c r="S539" s="59">
        <f t="array" ref="S539">IF(COUNTA(Q539:Q1350)=0,"",SUM((COUNTIF(Q$4:Q539,Upgrades!$B$3:$B$13)-COUNTIF(Q$4:Q539,"Sell_"&amp;Upgrades!$B$3:$B$13))*Upgrades!$D$3:$D$13))</f>
        <v>544804</v>
      </c>
      <c r="T539" s="66">
        <f>IFERROR(__xludf.DUMMYFUNCTION("IF(COUNTA(Q539:Q1350)=0,"""",IF(REGEXMATCH(INDEX(FILTER(Q$4:Q539,Q$4:Q539&lt;&gt;""""),ROWS(FILTER(Q$4:Q539,Q$4:Q539&lt;&gt;""""))),""^Sell_""),INDEX(FILTER(T$4:T538,Q$4:Q538&lt;&gt;""""),ROWS(FILTER(Q$4:Q538,Q$4:Q538&lt;&gt;""""))),$AD$5+S539))"),545004.0)</f>
        <v>545004</v>
      </c>
      <c r="U539" s="10">
        <f>IFERROR(__xludf.DUMMYFUNCTION("IF(COUNTA(Q539:Q1350)=0,"""",IF(Q539="""",0,IF(REGEXMATCH(Q539,""^Sell_""),-ROUNDDOWN(ROUNDUP(INDEX(Upgrades!$C$3:$C$13,MATCH(SUBSTITUTE(Q539,""Sell_"",""""),Upgrades!$B$3:$B$13,0))*1.15^(COUNTIF(Q$4:Q538,SUBSTITUTE(Q539,""Sell_"",""""))-COUNTIF(Q$4:Q538,"&amp;"""Sell_""&amp;SUBSTITUTE(Q539,""Sell_"",""""))))/2),ROUNDUP(INDEX(Upgrades!$C$3:$C$13,MATCH(Q539,Upgrades!$B$3:$B$13,0))*1.15^(COUNTIF(Q$4:Q538,Q539)-COUNTIF(Q$4:Q538,""Sell_""&amp;Q539))))))"),1871525.0)</f>
        <v>1871525</v>
      </c>
      <c r="V539" s="10">
        <f t="shared" si="11"/>
        <v>1871525</v>
      </c>
      <c r="W539" s="68">
        <f t="shared" si="12"/>
        <v>6617.687408</v>
      </c>
      <c r="X539" s="59" t="str">
        <f t="shared" si="13"/>
        <v>1h 50m 17s</v>
      </c>
      <c r="Y539" s="69">
        <f t="shared" si="14"/>
        <v>917968630</v>
      </c>
      <c r="Z539" s="11"/>
    </row>
    <row r="540">
      <c r="A540" s="8"/>
      <c r="B540" s="56" t="str">
        <f t="shared" si="2"/>
        <v/>
      </c>
      <c r="C540" s="57"/>
      <c r="D540" s="10" t="str">
        <f>IFERROR(__xludf.DUMMYFUNCTION("IF(COUNTA(C540:C1350)=0,"""",IF(ISBLANK(C540),FALSE,IF(NOT(COUNTIF($AA$24:$AA$34,SUBSTITUTE(C540,""Sell_"",""""))),1,IF(REGEXMATCH(C540,""Sell_""),IF(COUNTIF(C$4:C540,SUBSTITUTE(C540,""Sell_"",""""))-COUNTIF(C$4:C539,C540)&lt;1,1),FALSE))))"),"")</f>
        <v/>
      </c>
      <c r="E540" s="59" t="str">
        <f t="array" ref="E540">IF(COUNTA(C540:C1350)=0,"",SUM((COUNTIF(C$4:C540,Upgrades!$B$3:$B$13)-COUNTIF(C$4:C540,"Sell_"&amp;Upgrades!$B$3:$B$13))*Upgrades!$D$3:$D$13))</f>
        <v/>
      </c>
      <c r="F540" s="66" t="str">
        <f>IFERROR(__xludf.DUMMYFUNCTION("IF(COUNTA(C540:C1350)=0,"""",IF(REGEXMATCH(INDEX(FILTER(C$4:C540,C$4:C540&lt;&gt;""""),ROWS(FILTER(C$4:C540,C$4:C540&lt;&gt;""""))),""^Sell_""),INDEX(FILTER(F$4:F539,C$4:C539&lt;&gt;""""),ROWS(FILTER(C$4:C539,C$4:C539&lt;&gt;""""))),$AC$5+E540))"),"")</f>
        <v/>
      </c>
      <c r="G540" s="10" t="str">
        <f>IFERROR(__xludf.DUMMYFUNCTION("IF(COUNTA(C540:C1350)=0,"""",IF(C540="""",0,IF(REGEXMATCH(C540,""^Sell_""),-ROUNDDOWN(ROUNDUP(INDEX(Upgrades!$C$3:$C$13,MATCH(SUBSTITUTE(C540,""Sell_"",""""),Upgrades!$B$3:$B$13,0))*1.15^(COUNTIF(C$4:C539,SUBSTITUTE(C540,""Sell_"",""""))-COUNTIF(C$4:C539,"&amp;"""Sell_""&amp;SUBSTITUTE(C540,""Sell_"",""""))))/2),ROUNDUP(INDEX(Upgrades!$C$3:$C$13,MATCH(C540,Upgrades!$B$3:$B$13,0))*1.15^(COUNTIF(C$4:C539,C540)-COUNTIF(C$4:C539,""Sell_""&amp;C540))))))"),"")</f>
        <v/>
      </c>
      <c r="H540" s="10" t="str">
        <f t="shared" si="3"/>
        <v/>
      </c>
      <c r="I540" s="68" t="str">
        <f t="shared" si="4"/>
        <v/>
      </c>
      <c r="J540" s="59" t="str">
        <f t="shared" si="5"/>
        <v/>
      </c>
      <c r="K540" s="69" t="str">
        <f t="shared" si="6"/>
        <v/>
      </c>
      <c r="L540" s="60">
        <f t="shared" si="7"/>
        <v>-190.84768</v>
      </c>
      <c r="M540" s="61">
        <f>IFERROR(__xludf.DUMMYFUNCTION("IFS(AND(COUNTA(C540:C1350)=0,COUNTA(Q540:Q1350)=0),"""",OR(AND(K540&gt;=1000000000,OR(Y540&gt;=1000000000,COUNTA(Q540:Q1350)=0)),OR(Y540&gt;=1000000000,AND(COUNTA(C540:C1350)=0,P$3=TRUE))),
ROUNDDOWN((AB$1-AC$1)*MAX(INDEX(T$4:T1350,MATCH(LARGE(FILTER(Y$4:Y1350,Y$4"&amp;":Y1350&lt;1000000000),1),Y$4:Y1350)),INDEX(F$4:F1350,MATCH(LARGE(FILTER(K$4:K1350,K$4:K1350&lt;1000000000),1),K$4:K1350)))),AND(K540&lt;1000000000,COUNTA(C540:C1350)&gt;0,P$3=FALSE),
ROUNDDOWN(INDEX(Y$4:Y1350,MATCH(LARGE(FILTER(W$4:W1350,W$4:W1350&lt;=I540),1),W$4:W1350"&amp;"))+(I540-LARGE(FILTER(W$4:W1350,W$4:W1350&lt;=I540),1))*INDEX(T$4:T1350,MATCH(LARGE(FILTER(W$4:W1350,W$4:W1350&lt;=I540),1),W$4:W1350))-K540),1,
ROUNDDOWN(Y540-INDEX(K$4:K1350,MATCH(LARGE(FILTER(I$4:I1350,I$4:I1350&lt;=W540),1),I$4:I1350))-(W540-LARGE(FILTER(I$4:I"&amp;"1350,I$4:I1350&lt;=W540),1))*INDEX(F$4:F1350,MATCH(LARGE(FILTER(I$4:I1350,I$4:I1350&lt;=W540),1),I$4:I1350))))"),1.04670697E8)</f>
        <v>104670697</v>
      </c>
      <c r="N540" s="60">
        <f t="shared" si="8"/>
        <v>-190.84768</v>
      </c>
      <c r="O540" s="61" t="str">
        <f t="shared" si="9"/>
        <v>104,7M</v>
      </c>
      <c r="P540" s="56">
        <f t="shared" si="10"/>
        <v>22</v>
      </c>
      <c r="Q540" s="105" t="s">
        <v>7</v>
      </c>
      <c r="R540" s="10" t="b">
        <f>IFERROR(__xludf.DUMMYFUNCTION("IF(COUNTA(Q540:Q1350)=0,"""",IF(ISBLANK(Q540),FALSE,IF(NOT(COUNTIF($AA$24:$AA$34,SUBSTITUTE(Q540,""Sell_"",""""))),1,IF(REGEXMATCH(Q540,""Sell_""),IF(COUNTIF(Q$4:Q540,SUBSTITUTE(Q540,""Sell_"",""""))-COUNTIF(Q$4:Q539,Q540)&lt;1,1),FALSE))))"),FALSE)</f>
        <v>0</v>
      </c>
      <c r="S540" s="59">
        <f t="array" ref="S540">IF(COUNTA(Q540:Q1350)=0,"",SUM((COUNTIF(Q$4:Q540,Upgrades!$B$3:$B$13)-COUNTIF(Q$4:Q540,"Sell_"&amp;Upgrades!$B$3:$B$13))*Upgrades!$D$3:$D$13))</f>
        <v>544844</v>
      </c>
      <c r="T540" s="66">
        <f>IFERROR(__xludf.DUMMYFUNCTION("IF(COUNTA(Q540:Q1350)=0,"""",IF(REGEXMATCH(INDEX(FILTER(Q$4:Q540,Q$4:Q540&lt;&gt;""""),ROWS(FILTER(Q$4:Q540,Q$4:Q540&lt;&gt;""""))),""^Sell_""),INDEX(FILTER(T$4:T539,Q$4:Q539&lt;&gt;""""),ROWS(FILTER(Q$4:Q539,Q$4:Q539&lt;&gt;""""))),$AD$5+S540))"),545044.0)</f>
        <v>545044</v>
      </c>
      <c r="U540" s="10">
        <f>IFERROR(__xludf.DUMMYFUNCTION("IF(COUNTA(Q540:Q1350)=0,"""",IF(Q540="""",0,IF(REGEXMATCH(Q540,""^Sell_""),-ROUNDDOWN(ROUNDUP(INDEX(Upgrades!$C$3:$C$13,MATCH(SUBSTITUTE(Q540,""Sell_"",""""),Upgrades!$B$3:$B$13,0))*1.15^(COUNTIF(Q$4:Q539,SUBSTITUTE(Q540,""Sell_"",""""))-COUNTIF(Q$4:Q539,"&amp;"""Sell_""&amp;SUBSTITUTE(Q540,""Sell_"",""""))))/2),ROUNDUP(INDEX(Upgrades!$C$3:$C$13,MATCH(Q540,Upgrades!$B$3:$B$13,0))*1.15^(COUNTIF(Q$4:Q539,Q540)-COUNTIF(Q$4:Q539,""Sell_""&amp;Q540))))))"),188216.0)</f>
        <v>188216</v>
      </c>
      <c r="V540" s="10">
        <f t="shared" si="11"/>
        <v>188216</v>
      </c>
      <c r="W540" s="68">
        <f t="shared" si="12"/>
        <v>6618.032756</v>
      </c>
      <c r="X540" s="59" t="str">
        <f t="shared" si="13"/>
        <v>1h 50m 18s</v>
      </c>
      <c r="Y540" s="69">
        <f t="shared" si="14"/>
        <v>918156846</v>
      </c>
      <c r="Z540" s="11"/>
    </row>
    <row r="541">
      <c r="A541" s="8"/>
      <c r="B541" s="56" t="str">
        <f t="shared" si="2"/>
        <v/>
      </c>
      <c r="C541" s="57"/>
      <c r="D541" s="10" t="str">
        <f>IFERROR(__xludf.DUMMYFUNCTION("IF(COUNTA(C541:C1350)=0,"""",IF(ISBLANK(C541),FALSE,IF(NOT(COUNTIF($AA$24:$AA$34,SUBSTITUTE(C541,""Sell_"",""""))),1,IF(REGEXMATCH(C541,""Sell_""),IF(COUNTIF(C$4:C541,SUBSTITUTE(C541,""Sell_"",""""))-COUNTIF(C$4:C540,C541)&lt;1,1),FALSE))))"),"")</f>
        <v/>
      </c>
      <c r="E541" s="59" t="str">
        <f t="array" ref="E541">IF(COUNTA(C541:C1350)=0,"",SUM((COUNTIF(C$4:C541,Upgrades!$B$3:$B$13)-COUNTIF(C$4:C541,"Sell_"&amp;Upgrades!$B$3:$B$13))*Upgrades!$D$3:$D$13))</f>
        <v/>
      </c>
      <c r="F541" s="66" t="str">
        <f>IFERROR(__xludf.DUMMYFUNCTION("IF(COUNTA(C541:C1350)=0,"""",IF(REGEXMATCH(INDEX(FILTER(C$4:C541,C$4:C541&lt;&gt;""""),ROWS(FILTER(C$4:C541,C$4:C541&lt;&gt;""""))),""^Sell_""),INDEX(FILTER(F$4:F540,C$4:C540&lt;&gt;""""),ROWS(FILTER(C$4:C540,C$4:C540&lt;&gt;""""))),$AC$5+E541))"),"")</f>
        <v/>
      </c>
      <c r="G541" s="10" t="str">
        <f>IFERROR(__xludf.DUMMYFUNCTION("IF(COUNTA(C541:C1350)=0,"""",IF(C541="""",0,IF(REGEXMATCH(C541,""^Sell_""),-ROUNDDOWN(ROUNDUP(INDEX(Upgrades!$C$3:$C$13,MATCH(SUBSTITUTE(C541,""Sell_"",""""),Upgrades!$B$3:$B$13,0))*1.15^(COUNTIF(C$4:C540,SUBSTITUTE(C541,""Sell_"",""""))-COUNTIF(C$4:C540,"&amp;"""Sell_""&amp;SUBSTITUTE(C541,""Sell_"",""""))))/2),ROUNDUP(INDEX(Upgrades!$C$3:$C$13,MATCH(C541,Upgrades!$B$3:$B$13,0))*1.15^(COUNTIF(C$4:C540,C541)-COUNTIF(C$4:C540,""Sell_""&amp;C541))))))"),"")</f>
        <v/>
      </c>
      <c r="H541" s="10" t="str">
        <f t="shared" si="3"/>
        <v/>
      </c>
      <c r="I541" s="68" t="str">
        <f t="shared" si="4"/>
        <v/>
      </c>
      <c r="J541" s="59" t="str">
        <f t="shared" si="5"/>
        <v/>
      </c>
      <c r="K541" s="69" t="str">
        <f t="shared" si="6"/>
        <v/>
      </c>
      <c r="L541" s="60">
        <f t="shared" si="7"/>
        <v>-189.34875</v>
      </c>
      <c r="M541" s="61">
        <f>IFERROR(__xludf.DUMMYFUNCTION("IFS(AND(COUNTA(C541:C1350)=0,COUNTA(Q541:Q1350)=0),"""",OR(AND(K541&gt;=1000000000,OR(Y541&gt;=1000000000,COUNTA(Q541:Q1350)=0)),OR(Y541&gt;=1000000000,AND(COUNTA(C541:C1350)=0,P$3=TRUE))),
ROUNDDOWN((AB$1-AC$1)*MAX(INDEX(T$4:T1350,MATCH(LARGE(FILTER(Y$4:Y1350,Y$4"&amp;":Y1350&lt;1000000000),1),Y$4:Y1350)),INDEX(F$4:F1350,MATCH(LARGE(FILTER(K$4:K1350,K$4:K1350&lt;1000000000),1),K$4:K1350)))),AND(K541&lt;1000000000,COUNTA(C541:C1350)&gt;0,P$3=FALSE),
ROUNDDOWN(INDEX(Y$4:Y1350,MATCH(LARGE(FILTER(W$4:W1350,W$4:W1350&lt;=I541),1),W$4:W1350"&amp;"))+(I541-LARGE(FILTER(W$4:W1350,W$4:W1350&lt;=I541),1))*INDEX(T$4:T1350,MATCH(LARGE(FILTER(W$4:W1350,W$4:W1350&lt;=I541),1),W$4:W1350))-K541),1,
ROUNDDOWN(Y541-INDEX(K$4:K1350,MATCH(LARGE(FILTER(I$4:I1350,I$4:I1350&lt;=W541),1),I$4:I1350))-(W541-LARGE(FILTER(I$4:I"&amp;"1350,I$4:I1350&lt;=W541),1))*INDEX(F$4:F1350,MATCH(LARGE(FILTER(I$4:I1350,I$4:I1350&lt;=W541),1),I$4:I1350))))"),1.04899444E8)</f>
        <v>104899444</v>
      </c>
      <c r="N541" s="60">
        <f t="shared" si="8"/>
        <v>-189.34875</v>
      </c>
      <c r="O541" s="61" t="str">
        <f t="shared" si="9"/>
        <v>104,9M</v>
      </c>
      <c r="P541" s="56">
        <f t="shared" si="10"/>
        <v>22</v>
      </c>
      <c r="Q541" s="105" t="s">
        <v>10</v>
      </c>
      <c r="R541" s="10" t="b">
        <f>IFERROR(__xludf.DUMMYFUNCTION("IF(COUNTA(Q541:Q1350)=0,"""",IF(ISBLANK(Q541),FALSE,IF(NOT(COUNTIF($AA$24:$AA$34,SUBSTITUTE(Q541,""Sell_"",""""))),1,IF(REGEXMATCH(Q541,""Sell_""),IF(COUNTIF(Q$4:Q541,SUBSTITUTE(Q541,""Sell_"",""""))-COUNTIF(Q$4:Q540,Q541)&lt;1,1),FALSE))))"),FALSE)</f>
        <v>0</v>
      </c>
      <c r="S541" s="59">
        <f t="array" ref="S541">IF(COUNTA(Q541:Q1350)=0,"",SUM((COUNTIF(Q$4:Q541,Upgrades!$B$3:$B$13)-COUNTIF(Q$4:Q541,"Sell_"&amp;Upgrades!$B$3:$B$13))*Upgrades!$D$3:$D$13))</f>
        <v>551510</v>
      </c>
      <c r="T541" s="66">
        <f>IFERROR(__xludf.DUMMYFUNCTION("IF(COUNTA(Q541:Q1350)=0,"""",IF(REGEXMATCH(INDEX(FILTER(Q$4:Q541,Q$4:Q541&lt;&gt;""""),ROWS(FILTER(Q$4:Q541,Q$4:Q541&lt;&gt;""""))),""^Sell_""),INDEX(FILTER(T$4:T540,Q$4:Q540&lt;&gt;""""),ROWS(FILTER(Q$4:Q540,Q$4:Q540&lt;&gt;""""))),$AD$5+S541))"),551710.0)</f>
        <v>551710</v>
      </c>
      <c r="U541" s="10">
        <f>IFERROR(__xludf.DUMMYFUNCTION("IF(COUNTA(Q541:Q1350)=0,"""",IF(Q541="""",0,IF(REGEXMATCH(Q541,""^Sell_""),-ROUNDDOWN(ROUNDUP(INDEX(Upgrades!$C$3:$C$13,MATCH(SUBSTITUTE(Q541,""Sell_"",""""),Upgrades!$B$3:$B$13,0))*1.15^(COUNTIF(Q$4:Q540,SUBSTITUTE(Q541,""Sell_"",""""))-COUNTIF(Q$4:Q540,"&amp;"""Sell_""&amp;SUBSTITUTE(Q541,""Sell_"",""""))))/2),ROUNDUP(INDEX(Upgrades!$C$3:$C$13,MATCH(Q541,Upgrades!$B$3:$B$13,0))*1.15^(COUNTIF(Q$4:Q540,Q541)-COUNTIF(Q$4:Q540,""Sell_""&amp;Q541))))))"),3.1369185E7)</f>
        <v>31369185</v>
      </c>
      <c r="V541" s="10">
        <f t="shared" si="11"/>
        <v>31369185</v>
      </c>
      <c r="W541" s="68">
        <f t="shared" si="12"/>
        <v>6675.586247</v>
      </c>
      <c r="X541" s="59" t="str">
        <f t="shared" si="13"/>
        <v>1h 51m 15s</v>
      </c>
      <c r="Y541" s="69">
        <f t="shared" si="14"/>
        <v>949526031</v>
      </c>
      <c r="Z541" s="11"/>
    </row>
    <row r="542">
      <c r="A542" s="8"/>
      <c r="B542" s="56" t="str">
        <f t="shared" si="2"/>
        <v/>
      </c>
      <c r="C542" s="57"/>
      <c r="D542" s="10" t="str">
        <f>IFERROR(__xludf.DUMMYFUNCTION("IF(COUNTA(C542:C1350)=0,"""",IF(ISBLANK(C542),FALSE,IF(NOT(COUNTIF($AA$24:$AA$34,SUBSTITUTE(C542,""Sell_"",""""))),1,IF(REGEXMATCH(C542,""Sell_""),IF(COUNTIF(C$4:C542,SUBSTITUTE(C542,""Sell_"",""""))-COUNTIF(C$4:C541,C542)&lt;1,1),FALSE))))"),"")</f>
        <v/>
      </c>
      <c r="E542" s="59" t="str">
        <f t="array" ref="E542">IF(COUNTA(C542:C1350)=0,"",SUM((COUNTIF(C$4:C542,Upgrades!$B$3:$B$13)-COUNTIF(C$4:C542,"Sell_"&amp;Upgrades!$B$3:$B$13))*Upgrades!$D$3:$D$13))</f>
        <v/>
      </c>
      <c r="F542" s="66" t="str">
        <f>IFERROR(__xludf.DUMMYFUNCTION("IF(COUNTA(C542:C1350)=0,"""",IF(REGEXMATCH(INDEX(FILTER(C$4:C542,C$4:C542&lt;&gt;""""),ROWS(FILTER(C$4:C542,C$4:C542&lt;&gt;""""))),""^Sell_""),INDEX(FILTER(F$4:F541,C$4:C541&lt;&gt;""""),ROWS(FILTER(C$4:C541,C$4:C541&lt;&gt;""""))),$AC$5+E542))"),"")</f>
        <v/>
      </c>
      <c r="G542" s="10" t="str">
        <f>IFERROR(__xludf.DUMMYFUNCTION("IF(COUNTA(C542:C1350)=0,"""",IF(C542="""",0,IF(REGEXMATCH(C542,""^Sell_""),-ROUNDDOWN(ROUNDUP(INDEX(Upgrades!$C$3:$C$13,MATCH(SUBSTITUTE(C542,""Sell_"",""""),Upgrades!$B$3:$B$13,0))*1.15^(COUNTIF(C$4:C541,SUBSTITUTE(C542,""Sell_"",""""))-COUNTIF(C$4:C541,"&amp;"""Sell_""&amp;SUBSTITUTE(C542,""Sell_"",""""))))/2),ROUNDUP(INDEX(Upgrades!$C$3:$C$13,MATCH(C542,Upgrades!$B$3:$B$13,0))*1.15^(COUNTIF(C$4:C541,C542)-COUNTIF(C$4:C541,""Sell_""&amp;C542))))))"),"")</f>
        <v/>
      </c>
      <c r="H542" s="10" t="str">
        <f t="shared" si="3"/>
        <v/>
      </c>
      <c r="I542" s="68" t="str">
        <f t="shared" si="4"/>
        <v/>
      </c>
      <c r="J542" s="59" t="str">
        <f t="shared" si="5"/>
        <v/>
      </c>
      <c r="K542" s="69" t="str">
        <f t="shared" si="6"/>
        <v/>
      </c>
      <c r="L542" s="60">
        <f t="shared" si="7"/>
        <v>-189.34788</v>
      </c>
      <c r="M542" s="61">
        <f>IFERROR(__xludf.DUMMYFUNCTION("IFS(AND(COUNTA(C542:C1350)=0,COUNTA(Q542:Q1350)=0),"""",OR(AND(K542&gt;=1000000000,OR(Y542&gt;=1000000000,COUNTA(Q542:Q1350)=0)),OR(Y542&gt;=1000000000,AND(COUNTA(C542:C1350)=0,P$3=TRUE))),
ROUNDDOWN((AB$1-AC$1)*MAX(INDEX(T$4:T1350,MATCH(LARGE(FILTER(Y$4:Y1350,Y$4"&amp;":Y1350&lt;1000000000),1),Y$4:Y1350)),INDEX(F$4:F1350,MATCH(LARGE(FILTER(K$4:K1350,K$4:K1350&lt;1000000000),1),K$4:K1350)))),AND(K542&lt;1000000000,COUNTA(C542:C1350)&gt;0,P$3=FALSE),
ROUNDDOWN(INDEX(Y$4:Y1350,MATCH(LARGE(FILTER(W$4:W1350,W$4:W1350&lt;=I542),1),W$4:W1350"&amp;"))+(I542-LARGE(FILTER(W$4:W1350,W$4:W1350&lt;=I542),1))*INDEX(T$4:T1350,MATCH(LARGE(FILTER(W$4:W1350,W$4:W1350&lt;=I542),1),W$4:W1350))-K542),1,
ROUNDDOWN(Y542-INDEX(K$4:K1350,MATCH(LARGE(FILTER(I$4:I1350,I$4:I1350&lt;=W542),1),I$4:I1350))-(W542-LARGE(FILTER(I$4:I"&amp;"1350,I$4:I1350&lt;=W542),1))*INDEX(F$4:F1350,MATCH(LARGE(FILTER(I$4:I1350,I$4:I1350&lt;=W542),1),I$4:I1350))))"),1.0489967E8)</f>
        <v>104899670</v>
      </c>
      <c r="N542" s="60">
        <f t="shared" si="8"/>
        <v>-189.34788</v>
      </c>
      <c r="O542" s="61" t="str">
        <f t="shared" si="9"/>
        <v>104,9M</v>
      </c>
      <c r="P542" s="56">
        <f t="shared" si="10"/>
        <v>27</v>
      </c>
      <c r="Q542" s="105" t="s">
        <v>5</v>
      </c>
      <c r="R542" s="10" t="b">
        <f>IFERROR(__xludf.DUMMYFUNCTION("IF(COUNTA(Q542:Q1350)=0,"""",IF(ISBLANK(Q542),FALSE,IF(NOT(COUNTIF($AA$24:$AA$34,SUBSTITUTE(Q542,""Sell_"",""""))),1,IF(REGEXMATCH(Q542,""Sell_""),IF(COUNTIF(Q$4:Q542,SUBSTITUTE(Q542,""Sell_"",""""))-COUNTIF(Q$4:Q541,Q542)&lt;1,1),FALSE))))"),FALSE)</f>
        <v>0</v>
      </c>
      <c r="S542" s="59">
        <f t="array" ref="S542">IF(COUNTA(Q542:Q1350)=0,"",SUM((COUNTIF(Q$4:Q542,Upgrades!$B$3:$B$13)-COUNTIF(Q$4:Q542,"Sell_"&amp;Upgrades!$B$3:$B$13))*Upgrades!$D$3:$D$13))</f>
        <v>551514</v>
      </c>
      <c r="T542" s="66">
        <f>IFERROR(__xludf.DUMMYFUNCTION("IF(COUNTA(Q542:Q1350)=0,"""",IF(REGEXMATCH(INDEX(FILTER(Q$4:Q542,Q$4:Q542&lt;&gt;""""),ROWS(FILTER(Q$4:Q542,Q$4:Q542&lt;&gt;""""))),""^Sell_""),INDEX(FILTER(T$4:T541,Q$4:Q541&lt;&gt;""""),ROWS(FILTER(Q$4:Q541,Q$4:Q541&lt;&gt;""""))),$AD$5+S542))"),551714.0)</f>
        <v>551714</v>
      </c>
      <c r="U542" s="10">
        <f>IFERROR(__xludf.DUMMYFUNCTION("IF(COUNTA(Q542:Q1350)=0,"""",IF(Q542="""",0,IF(REGEXMATCH(Q542,""^Sell_""),-ROUNDDOWN(ROUNDUP(INDEX(Upgrades!$C$3:$C$13,MATCH(SUBSTITUTE(Q542,""Sell_"",""""),Upgrades!$B$3:$B$13,0))*1.15^(COUNTIF(Q$4:Q541,SUBSTITUTE(Q542,""Sell_"",""""))-COUNTIF(Q$4:Q541,"&amp;"""Sell_""&amp;SUBSTITUTE(Q542,""Sell_"",""""))))/2),ROUNDUP(INDEX(Upgrades!$C$3:$C$13,MATCH(Q542,Upgrades!$B$3:$B$13,0))*1.15^(COUNTIF(Q$4:Q541,Q542)-COUNTIF(Q$4:Q541,""Sell_""&amp;Q542))))))"),18929.0)</f>
        <v>18929</v>
      </c>
      <c r="V542" s="10">
        <f t="shared" si="11"/>
        <v>18929</v>
      </c>
      <c r="W542" s="68">
        <f t="shared" si="12"/>
        <v>6675.620557</v>
      </c>
      <c r="X542" s="59" t="str">
        <f t="shared" si="13"/>
        <v>1h 51m 15s</v>
      </c>
      <c r="Y542" s="69">
        <f t="shared" si="14"/>
        <v>949544960</v>
      </c>
      <c r="Z542" s="11"/>
    </row>
    <row r="543">
      <c r="A543" s="8"/>
      <c r="B543" s="56" t="str">
        <f t="shared" si="2"/>
        <v/>
      </c>
      <c r="C543" s="57"/>
      <c r="D543" s="10" t="str">
        <f>IFERROR(__xludf.DUMMYFUNCTION("IF(COUNTA(C543:C1350)=0,"""",IF(ISBLANK(C543),FALSE,IF(NOT(COUNTIF($AA$24:$AA$34,SUBSTITUTE(C543,""Sell_"",""""))),1,IF(REGEXMATCH(C543,""Sell_""),IF(COUNTIF(C$4:C543,SUBSTITUTE(C543,""Sell_"",""""))-COUNTIF(C$4:C542,C543)&lt;1,1),FALSE))))"),"")</f>
        <v/>
      </c>
      <c r="E543" s="59" t="str">
        <f t="array" ref="E543">IF(COUNTA(C543:C1350)=0,"",SUM((COUNTIF(C$4:C543,Upgrades!$B$3:$B$13)-COUNTIF(C$4:C543,"Sell_"&amp;Upgrades!$B$3:$B$13))*Upgrades!$D$3:$D$13))</f>
        <v/>
      </c>
      <c r="F543" s="66" t="str">
        <f>IFERROR(__xludf.DUMMYFUNCTION("IF(COUNTA(C543:C1350)=0,"""",IF(REGEXMATCH(INDEX(FILTER(C$4:C543,C$4:C543&lt;&gt;""""),ROWS(FILTER(C$4:C543,C$4:C543&lt;&gt;""""))),""^Sell_""),INDEX(FILTER(F$4:F542,C$4:C542&lt;&gt;""""),ROWS(FILTER(C$4:C542,C$4:C542&lt;&gt;""""))),$AC$5+E543))"),"")</f>
        <v/>
      </c>
      <c r="G543" s="10" t="str">
        <f>IFERROR(__xludf.DUMMYFUNCTION("IF(COUNTA(C543:C1350)=0,"""",IF(C543="""",0,IF(REGEXMATCH(C543,""^Sell_""),-ROUNDDOWN(ROUNDUP(INDEX(Upgrades!$C$3:$C$13,MATCH(SUBSTITUTE(C543,""Sell_"",""""),Upgrades!$B$3:$B$13,0))*1.15^(COUNTIF(C$4:C542,SUBSTITUTE(C543,""Sell_"",""""))-COUNTIF(C$4:C542,"&amp;"""Sell_""&amp;SUBSTITUTE(C543,""Sell_"",""""))))/2),ROUNDUP(INDEX(Upgrades!$C$3:$C$13,MATCH(C543,Upgrades!$B$3:$B$13,0))*1.15^(COUNTIF(C$4:C542,C543)-COUNTIF(C$4:C542,""Sell_""&amp;C543))))))"),"")</f>
        <v/>
      </c>
      <c r="H543" s="10" t="str">
        <f t="shared" si="3"/>
        <v/>
      </c>
      <c r="I543" s="68" t="str">
        <f t="shared" si="4"/>
        <v/>
      </c>
      <c r="J543" s="59" t="str">
        <f t="shared" si="5"/>
        <v/>
      </c>
      <c r="K543" s="69" t="str">
        <f t="shared" si="6"/>
        <v/>
      </c>
      <c r="L543" s="60">
        <f t="shared" si="7"/>
        <v>-189.34559</v>
      </c>
      <c r="M543" s="61">
        <f>IFERROR(__xludf.DUMMYFUNCTION("IFS(AND(COUNTA(C543:C1350)=0,COUNTA(Q543:Q1350)=0),"""",OR(AND(K543&gt;=1000000000,OR(Y543&gt;=1000000000,COUNTA(Q543:Q1350)=0)),OR(Y543&gt;=1000000000,AND(COUNTA(C543:C1350)=0,P$3=TRUE))),
ROUNDDOWN((AB$1-AC$1)*MAX(INDEX(T$4:T1350,MATCH(LARGE(FILTER(Y$4:Y1350,Y$4"&amp;":Y1350&lt;1000000000),1),Y$4:Y1350)),INDEX(F$4:F1350,MATCH(LARGE(FILTER(K$4:K1350,K$4:K1350&lt;1000000000),1),K$4:K1350)))),AND(K543&lt;1000000000,COUNTA(C543:C1350)&gt;0,P$3=FALSE),
ROUNDDOWN(INDEX(Y$4:Y1350,MATCH(LARGE(FILTER(W$4:W1350,W$4:W1350&lt;=I543),1),W$4:W1350"&amp;"))+(I543-LARGE(FILTER(W$4:W1350,W$4:W1350&lt;=I543),1))*INDEX(T$4:T1350,MATCH(LARGE(FILTER(W$4:W1350,W$4:W1350&lt;=I543),1),W$4:W1350))-K543),1,
ROUNDDOWN(Y543-INDEX(K$4:K1350,MATCH(LARGE(FILTER(I$4:I1350,I$4:I1350&lt;=W543),1),I$4:I1350))-(W543-LARGE(FILTER(I$4:I"&amp;"1350,I$4:I1350&lt;=W543),1))*INDEX(F$4:F1350,MATCH(LARGE(FILTER(I$4:I1350,I$4:I1350&lt;=W543),1),I$4:I1350))))"),1.04900256E8)</f>
        <v>104900256</v>
      </c>
      <c r="N543" s="60">
        <f t="shared" si="8"/>
        <v>-189.34559</v>
      </c>
      <c r="O543" s="61" t="str">
        <f t="shared" si="9"/>
        <v>104,9M</v>
      </c>
      <c r="P543" s="56">
        <f t="shared" si="10"/>
        <v>21</v>
      </c>
      <c r="Q543" s="105" t="s">
        <v>6</v>
      </c>
      <c r="R543" s="10" t="b">
        <f>IFERROR(__xludf.DUMMYFUNCTION("IF(COUNTA(Q543:Q1350)=0,"""",IF(ISBLANK(Q543),FALSE,IF(NOT(COUNTIF($AA$24:$AA$34,SUBSTITUTE(Q543,""Sell_"",""""))),1,IF(REGEXMATCH(Q543,""Sell_""),IF(COUNTIF(Q$4:Q543,SUBSTITUTE(Q543,""Sell_"",""""))-COUNTIF(Q$4:Q542,Q543)&lt;1,1),FALSE))))"),FALSE)</f>
        <v>0</v>
      </c>
      <c r="S543" s="59">
        <f t="array" ref="S543">IF(COUNTA(Q543:Q1350)=0,"",SUM((COUNTIF(Q$4:Q543,Upgrades!$B$3:$B$13)-COUNTIF(Q$4:Q543,"Sell_"&amp;Upgrades!$B$3:$B$13))*Upgrades!$D$3:$D$13))</f>
        <v>551524</v>
      </c>
      <c r="T543" s="66">
        <f>IFERROR(__xludf.DUMMYFUNCTION("IF(COUNTA(Q543:Q1350)=0,"""",IF(REGEXMATCH(INDEX(FILTER(Q$4:Q543,Q$4:Q543&lt;&gt;""""),ROWS(FILTER(Q$4:Q543,Q$4:Q543&lt;&gt;""""))),""^Sell_""),INDEX(FILTER(T$4:T542,Q$4:Q542&lt;&gt;""""),ROWS(FILTER(Q$4:Q542,Q$4:Q542&lt;&gt;""""))),$AD$5+S543))"),551724.0)</f>
        <v>551724</v>
      </c>
      <c r="U543" s="10">
        <f>IFERROR(__xludf.DUMMYFUNCTION("IF(COUNTA(Q543:Q1350)=0,"""",IF(Q543="""",0,IF(REGEXMATCH(Q543,""^Sell_""),-ROUNDDOWN(ROUNDUP(INDEX(Upgrades!$C$3:$C$13,MATCH(SUBSTITUTE(Q543,""Sell_"",""""),Upgrades!$B$3:$B$13,0))*1.15^(COUNTIF(Q$4:Q542,SUBSTITUTE(Q543,""Sell_"",""""))-COUNTIF(Q$4:Q542,"&amp;"""Sell_""&amp;SUBSTITUTE(Q543,""Sell_"",""""))))/2),ROUNDUP(INDEX(Upgrades!$C$3:$C$13,MATCH(Q543,Upgrades!$B$3:$B$13,0))*1.15^(COUNTIF(Q$4:Q542,Q543)-COUNTIF(Q$4:Q542,""Sell_""&amp;Q543))))))"),49100.0)</f>
        <v>49100</v>
      </c>
      <c r="V543" s="10">
        <f t="shared" si="11"/>
        <v>49100</v>
      </c>
      <c r="W543" s="68">
        <f t="shared" si="12"/>
        <v>6675.709552</v>
      </c>
      <c r="X543" s="59" t="str">
        <f t="shared" si="13"/>
        <v>1h 51m 15s</v>
      </c>
      <c r="Y543" s="69">
        <f t="shared" si="14"/>
        <v>949594060</v>
      </c>
      <c r="Z543" s="11"/>
    </row>
    <row r="544">
      <c r="A544" s="8"/>
      <c r="B544" s="56" t="str">
        <f t="shared" si="2"/>
        <v/>
      </c>
      <c r="C544" s="57"/>
      <c r="D544" s="10" t="str">
        <f>IFERROR(__xludf.DUMMYFUNCTION("IF(COUNTA(C544:C1350)=0,"""",IF(ISBLANK(C544),FALSE,IF(NOT(COUNTIF($AA$24:$AA$34,SUBSTITUTE(C544,""Sell_"",""""))),1,IF(REGEXMATCH(C544,""Sell_""),IF(COUNTIF(C$4:C544,SUBSTITUTE(C544,""Sell_"",""""))-COUNTIF(C$4:C543,C544)&lt;1,1),FALSE))))"),"")</f>
        <v/>
      </c>
      <c r="E544" s="59" t="str">
        <f t="array" ref="E544">IF(COUNTA(C544:C1350)=0,"",SUM((COUNTIF(C$4:C544,Upgrades!$B$3:$B$13)-COUNTIF(C$4:C544,"Sell_"&amp;Upgrades!$B$3:$B$13))*Upgrades!$D$3:$D$13))</f>
        <v/>
      </c>
      <c r="F544" s="66" t="str">
        <f>IFERROR(__xludf.DUMMYFUNCTION("IF(COUNTA(C544:C1350)=0,"""",IF(REGEXMATCH(INDEX(FILTER(C$4:C544,C$4:C544&lt;&gt;""""),ROWS(FILTER(C$4:C544,C$4:C544&lt;&gt;""""))),""^Sell_""),INDEX(FILTER(F$4:F543,C$4:C543&lt;&gt;""""),ROWS(FILTER(C$4:C543,C$4:C543&lt;&gt;""""))),$AC$5+E544))"),"")</f>
        <v/>
      </c>
      <c r="G544" s="10" t="str">
        <f>IFERROR(__xludf.DUMMYFUNCTION("IF(COUNTA(C544:C1350)=0,"""",IF(C544="""",0,IF(REGEXMATCH(C544,""^Sell_""),-ROUNDDOWN(ROUNDUP(INDEX(Upgrades!$C$3:$C$13,MATCH(SUBSTITUTE(C544,""Sell_"",""""),Upgrades!$B$3:$B$13,0))*1.15^(COUNTIF(C$4:C543,SUBSTITUTE(C544,""Sell_"",""""))-COUNTIF(C$4:C543,"&amp;"""Sell_""&amp;SUBSTITUTE(C544,""Sell_"",""""))))/2),ROUNDUP(INDEX(Upgrades!$C$3:$C$13,MATCH(C544,Upgrades!$B$3:$B$13,0))*1.15^(COUNTIF(C$4:C543,C544)-COUNTIF(C$4:C543,""Sell_""&amp;C544))))))"),"")</f>
        <v/>
      </c>
      <c r="H544" s="10" t="str">
        <f t="shared" si="3"/>
        <v/>
      </c>
      <c r="I544" s="68" t="str">
        <f t="shared" si="4"/>
        <v/>
      </c>
      <c r="J544" s="59" t="str">
        <f t="shared" si="5"/>
        <v/>
      </c>
      <c r="K544" s="69" t="str">
        <f t="shared" si="6"/>
        <v/>
      </c>
      <c r="L544" s="60">
        <f t="shared" si="7"/>
        <v>-189.34557</v>
      </c>
      <c r="M544" s="61">
        <f>IFERROR(__xludf.DUMMYFUNCTION("IFS(AND(COUNTA(C544:C1350)=0,COUNTA(Q544:Q1350)=0),"""",OR(AND(K544&gt;=1000000000,OR(Y544&gt;=1000000000,COUNTA(Q544:Q1350)=0)),OR(Y544&gt;=1000000000,AND(COUNTA(C544:C1350)=0,P$3=TRUE))),
ROUNDDOWN((AB$1-AC$1)*MAX(INDEX(T$4:T1350,MATCH(LARGE(FILTER(Y$4:Y1350,Y$4"&amp;":Y1350&lt;1000000000),1),Y$4:Y1350)),INDEX(F$4:F1350,MATCH(LARGE(FILTER(K$4:K1350,K$4:K1350&lt;1000000000),1),K$4:K1350)))),AND(K544&lt;1000000000,COUNTA(C544:C1350)&gt;0,P$3=FALSE),
ROUNDDOWN(INDEX(Y$4:Y1350,MATCH(LARGE(FILTER(W$4:W1350,W$4:W1350&lt;=I544),1),W$4:W1350"&amp;"))+(I544-LARGE(FILTER(W$4:W1350,W$4:W1350&lt;=I544),1))*INDEX(T$4:T1350,MATCH(LARGE(FILTER(W$4:W1350,W$4:W1350&lt;=I544),1),W$4:W1350))-K544),1,
ROUNDDOWN(Y544-INDEX(K$4:K1350,MATCH(LARGE(FILTER(I$4:I1350,I$4:I1350&lt;=W544),1),I$4:I1350))-(W544-LARGE(FILTER(I$4:I"&amp;"1350,I$4:I1350&lt;=W544),1))*INDEX(F$4:F1350,MATCH(LARGE(FILTER(I$4:I1350,I$4:I1350&lt;=W544),1),I$4:I1350))))"),1.04900262E8)</f>
        <v>104900262</v>
      </c>
      <c r="N544" s="60">
        <f t="shared" si="8"/>
        <v>-189.34557</v>
      </c>
      <c r="O544" s="61" t="str">
        <f t="shared" si="9"/>
        <v>104,9M</v>
      </c>
      <c r="P544" s="56">
        <f t="shared" si="10"/>
        <v>26</v>
      </c>
      <c r="Q544" s="105" t="s">
        <v>3</v>
      </c>
      <c r="R544" s="10" t="b">
        <f>IFERROR(__xludf.DUMMYFUNCTION("IF(COUNTA(Q544:Q1350)=0,"""",IF(ISBLANK(Q544),FALSE,IF(NOT(COUNTIF($AA$24:$AA$34,SUBSTITUTE(Q544,""Sell_"",""""))),1,IF(REGEXMATCH(Q544,""Sell_""),IF(COUNTIF(Q$4:Q544,SUBSTITUTE(Q544,""Sell_"",""""))-COUNTIF(Q$4:Q543,Q544)&lt;1,1),FALSE))))"),FALSE)</f>
        <v>0</v>
      </c>
      <c r="S544" s="59">
        <f t="array" ref="S544">IF(COUNTA(Q544:Q1350)=0,"",SUM((COUNTIF(Q$4:Q544,Upgrades!$B$3:$B$13)-COUNTIF(Q$4:Q544,"Sell_"&amp;Upgrades!$B$3:$B$13))*Upgrades!$D$3:$D$13))</f>
        <v>551524.1</v>
      </c>
      <c r="T544" s="66">
        <f>IFERROR(__xludf.DUMMYFUNCTION("IF(COUNTA(Q544:Q1350)=0,"""",IF(REGEXMATCH(INDEX(FILTER(Q$4:Q544,Q$4:Q544&lt;&gt;""""),ROWS(FILTER(Q$4:Q544,Q$4:Q544&lt;&gt;""""))),""^Sell_""),INDEX(FILTER(T$4:T543,Q$4:Q543&lt;&gt;""""),ROWS(FILTER(Q$4:Q543,Q$4:Q543&lt;&gt;""""))),$AD$5+S544))"),551724.1)</f>
        <v>551724.1</v>
      </c>
      <c r="U544" s="10">
        <f>IFERROR(__xludf.DUMMYFUNCTION("IF(COUNTA(Q544:Q1350)=0,"""",IF(Q544="""",0,IF(REGEXMATCH(Q544,""^Sell_""),-ROUNDDOWN(ROUNDUP(INDEX(Upgrades!$C$3:$C$13,MATCH(SUBSTITUTE(Q544,""Sell_"",""""),Upgrades!$B$3:$B$13,0))*1.15^(COUNTIF(Q$4:Q543,SUBSTITUTE(Q544,""Sell_"",""""))-COUNTIF(Q$4:Q543,"&amp;"""Sell_""&amp;SUBSTITUTE(Q544,""Sell_"",""""))))/2),ROUNDUP(INDEX(Upgrades!$C$3:$C$13,MATCH(Q544,Upgrades!$B$3:$B$13,0))*1.15^(COUNTIF(Q$4:Q543,Q544)-COUNTIF(Q$4:Q543,""Sell_""&amp;Q544))))))"),494.0)</f>
        <v>494</v>
      </c>
      <c r="V544" s="10">
        <f t="shared" si="11"/>
        <v>494</v>
      </c>
      <c r="W544" s="68">
        <f t="shared" si="12"/>
        <v>6675.710447</v>
      </c>
      <c r="X544" s="59" t="str">
        <f t="shared" si="13"/>
        <v>1h 51m 15s</v>
      </c>
      <c r="Y544" s="69">
        <f t="shared" si="14"/>
        <v>949594554</v>
      </c>
      <c r="Z544" s="11"/>
    </row>
    <row r="545">
      <c r="A545" s="8"/>
      <c r="B545" s="56" t="str">
        <f t="shared" si="2"/>
        <v/>
      </c>
      <c r="C545" s="57"/>
      <c r="D545" s="10" t="str">
        <f>IFERROR(__xludf.DUMMYFUNCTION("IF(COUNTA(C545:C1350)=0,"""",IF(ISBLANK(C545),FALSE,IF(NOT(COUNTIF($AA$24:$AA$34,SUBSTITUTE(C545,""Sell_"",""""))),1,IF(REGEXMATCH(C545,""Sell_""),IF(COUNTIF(C$4:C545,SUBSTITUTE(C545,""Sell_"",""""))-COUNTIF(C$4:C544,C545)&lt;1,1),FALSE))))"),"")</f>
        <v/>
      </c>
      <c r="E545" s="59" t="str">
        <f t="array" ref="E545">IF(COUNTA(C545:C1350)=0,"",SUM((COUNTIF(C$4:C545,Upgrades!$B$3:$B$13)-COUNTIF(C$4:C545,"Sell_"&amp;Upgrades!$B$3:$B$13))*Upgrades!$D$3:$D$13))</f>
        <v/>
      </c>
      <c r="F545" s="66" t="str">
        <f>IFERROR(__xludf.DUMMYFUNCTION("IF(COUNTA(C545:C1350)=0,"""",IF(REGEXMATCH(INDEX(FILTER(C$4:C545,C$4:C545&lt;&gt;""""),ROWS(FILTER(C$4:C545,C$4:C545&lt;&gt;""""))),""^Sell_""),INDEX(FILTER(F$4:F544,C$4:C544&lt;&gt;""""),ROWS(FILTER(C$4:C544,C$4:C544&lt;&gt;""""))),$AC$5+E545))"),"")</f>
        <v/>
      </c>
      <c r="G545" s="10" t="str">
        <f>IFERROR(__xludf.DUMMYFUNCTION("IF(COUNTA(C545:C1350)=0,"""",IF(C545="""",0,IF(REGEXMATCH(C545,""^Sell_""),-ROUNDDOWN(ROUNDUP(INDEX(Upgrades!$C$3:$C$13,MATCH(SUBSTITUTE(C545,""Sell_"",""""),Upgrades!$B$3:$B$13,0))*1.15^(COUNTIF(C$4:C544,SUBSTITUTE(C545,""Sell_"",""""))-COUNTIF(C$4:C544,"&amp;"""Sell_""&amp;SUBSTITUTE(C545,""Sell_"",""""))))/2),ROUNDUP(INDEX(Upgrades!$C$3:$C$13,MATCH(C545,Upgrades!$B$3:$B$13,0))*1.15^(COUNTIF(C$4:C544,C545)-COUNTIF(C$4:C544,""Sell_""&amp;C545))))))"),"")</f>
        <v/>
      </c>
      <c r="H545" s="10" t="str">
        <f t="shared" si="3"/>
        <v/>
      </c>
      <c r="I545" s="68" t="str">
        <f t="shared" si="4"/>
        <v/>
      </c>
      <c r="J545" s="59" t="str">
        <f t="shared" si="5"/>
        <v/>
      </c>
      <c r="K545" s="69" t="str">
        <f t="shared" si="6"/>
        <v/>
      </c>
      <c r="L545" s="60">
        <f t="shared" si="7"/>
        <v>-189.3226</v>
      </c>
      <c r="M545" s="61">
        <f>IFERROR(__xludf.DUMMYFUNCTION("IFS(AND(COUNTA(C545:C1350)=0,COUNTA(Q545:Q1350)=0),"""",OR(AND(K545&gt;=1000000000,OR(Y545&gt;=1000000000,COUNTA(Q545:Q1350)=0)),OR(Y545&gt;=1000000000,AND(COUNTA(C545:C1350)=0,P$3=TRUE))),
ROUNDDOWN((AB$1-AC$1)*MAX(INDEX(T$4:T1350,MATCH(LARGE(FILTER(Y$4:Y1350,Y$4"&amp;":Y1350&lt;1000000000),1),Y$4:Y1350)),INDEX(F$4:F1350,MATCH(LARGE(FILTER(K$4:K1350,K$4:K1350&lt;1000000000),1),K$4:K1350)))),AND(K545&lt;1000000000,COUNTA(C545:C1350)&gt;0,P$3=FALSE),
ROUNDDOWN(INDEX(Y$4:Y1350,MATCH(LARGE(FILTER(W$4:W1350,W$4:W1350&lt;=I545),1),W$4:W1350"&amp;"))+(I545-LARGE(FILTER(W$4:W1350,W$4:W1350&lt;=I545),1))*INDEX(T$4:T1350,MATCH(LARGE(FILTER(W$4:W1350,W$4:W1350&lt;=I545),1),W$4:W1350))-K545),1,
ROUNDDOWN(Y545-INDEX(K$4:K1350,MATCH(LARGE(FILTER(I$4:I1350,I$4:I1350&lt;=W545),1),I$4:I1350))-(W545-LARGE(FILTER(I$4:I"&amp;"1350,I$4:I1350&lt;=W545),1))*INDEX(F$4:F1350,MATCH(LARGE(FILTER(I$4:I1350,I$4:I1350&lt;=W545),1),I$4:I1350))))"),1.04906182E8)</f>
        <v>104906182</v>
      </c>
      <c r="N545" s="60">
        <f t="shared" si="8"/>
        <v>-189.3226</v>
      </c>
      <c r="O545" s="61" t="str">
        <f t="shared" si="9"/>
        <v>104,9M</v>
      </c>
      <c r="P545" s="56">
        <f t="shared" si="10"/>
        <v>19</v>
      </c>
      <c r="Q545" s="105" t="s">
        <v>8</v>
      </c>
      <c r="R545" s="10" t="b">
        <f>IFERROR(__xludf.DUMMYFUNCTION("IF(COUNTA(Q545:Q1350)=0,"""",IF(ISBLANK(Q545),FALSE,IF(NOT(COUNTIF($AA$24:$AA$34,SUBSTITUTE(Q545,""Sell_"",""""))),1,IF(REGEXMATCH(Q545,""Sell_""),IF(COUNTIF(Q$4:Q545,SUBSTITUTE(Q545,""Sell_"",""""))-COUNTIF(Q$4:Q544,Q545)&lt;1,1),FALSE))))"),FALSE)</f>
        <v>0</v>
      </c>
      <c r="S545" s="59">
        <f t="array" ref="S545">IF(COUNTA(Q545:Q1350)=0,"",SUM((COUNTIF(Q$4:Q545,Upgrades!$B$3:$B$13)-COUNTIF(Q$4:Q545,"Sell_"&amp;Upgrades!$B$3:$B$13))*Upgrades!$D$3:$D$13))</f>
        <v>551624.1</v>
      </c>
      <c r="T545" s="66">
        <f>IFERROR(__xludf.DUMMYFUNCTION("IF(COUNTA(Q545:Q1350)=0,"""",IF(REGEXMATCH(INDEX(FILTER(Q$4:Q545,Q$4:Q545&lt;&gt;""""),ROWS(FILTER(Q$4:Q545,Q$4:Q545&lt;&gt;""""))),""^Sell_""),INDEX(FILTER(T$4:T544,Q$4:Q544&lt;&gt;""""),ROWS(FILTER(Q$4:Q544,Q$4:Q544&lt;&gt;""""))),$AD$5+S545))"),551824.1)</f>
        <v>551824.1</v>
      </c>
      <c r="U545" s="10">
        <f>IFERROR(__xludf.DUMMYFUNCTION("IF(COUNTA(Q545:Q1350)=0,"""",IF(Q545="""",0,IF(REGEXMATCH(Q545,""^Sell_""),-ROUNDDOWN(ROUNDUP(INDEX(Upgrades!$C$3:$C$13,MATCH(SUBSTITUTE(Q545,""Sell_"",""""),Upgrades!$B$3:$B$13,0))*1.15^(COUNTIF(Q$4:Q544,SUBSTITUTE(Q545,""Sell_"",""""))-COUNTIF(Q$4:Q544,"&amp;"""Sell_""&amp;SUBSTITUTE(Q545,""Sell_"",""""))))/2),ROUNDUP(INDEX(Upgrades!$C$3:$C$13,MATCH(Q545,Upgrades!$B$3:$B$13,0))*1.15^(COUNTIF(Q$4:Q544,Q545)-COUNTIF(Q$4:Q544,""Sell_""&amp;Q545))))))"),495019.0)</f>
        <v>495019</v>
      </c>
      <c r="V545" s="10">
        <f t="shared" si="11"/>
        <v>495019</v>
      </c>
      <c r="W545" s="68">
        <f t="shared" si="12"/>
        <v>6676.607669</v>
      </c>
      <c r="X545" s="59" t="str">
        <f t="shared" si="13"/>
        <v>1h 51m 16s</v>
      </c>
      <c r="Y545" s="69">
        <f t="shared" si="14"/>
        <v>950089573</v>
      </c>
      <c r="Z545" s="11"/>
    </row>
    <row r="546">
      <c r="A546" s="8"/>
      <c r="B546" s="56" t="str">
        <f t="shared" si="2"/>
        <v/>
      </c>
      <c r="C546" s="57"/>
      <c r="D546" s="10" t="str">
        <f>IFERROR(__xludf.DUMMYFUNCTION("IF(COUNTA(C546:C1350)=0,"""",IF(ISBLANK(C546),FALSE,IF(NOT(COUNTIF($AA$24:$AA$34,SUBSTITUTE(C546,""Sell_"",""""))),1,IF(REGEXMATCH(C546,""Sell_""),IF(COUNTIF(C$4:C546,SUBSTITUTE(C546,""Sell_"",""""))-COUNTIF(C$4:C545,C546)&lt;1,1),FALSE))))"),"")</f>
        <v/>
      </c>
      <c r="E546" s="59" t="str">
        <f t="array" ref="E546">IF(COUNTA(C546:C1350)=0,"",SUM((COUNTIF(C$4:C546,Upgrades!$B$3:$B$13)-COUNTIF(C$4:C546,"Sell_"&amp;Upgrades!$B$3:$B$13))*Upgrades!$D$3:$D$13))</f>
        <v/>
      </c>
      <c r="F546" s="66" t="str">
        <f>IFERROR(__xludf.DUMMYFUNCTION("IF(COUNTA(C546:C1350)=0,"""",IF(REGEXMATCH(INDEX(FILTER(C$4:C546,C$4:C546&lt;&gt;""""),ROWS(FILTER(C$4:C546,C$4:C546&lt;&gt;""""))),""^Sell_""),INDEX(FILTER(F$4:F545,C$4:C545&lt;&gt;""""),ROWS(FILTER(C$4:C545,C$4:C545&lt;&gt;""""))),$AC$5+E546))"),"")</f>
        <v/>
      </c>
      <c r="G546" s="10" t="str">
        <f>IFERROR(__xludf.DUMMYFUNCTION("IF(COUNTA(C546:C1350)=0,"""",IF(C546="""",0,IF(REGEXMATCH(C546,""^Sell_""),-ROUNDDOWN(ROUNDUP(INDEX(Upgrades!$C$3:$C$13,MATCH(SUBSTITUTE(C546,""Sell_"",""""),Upgrades!$B$3:$B$13,0))*1.15^(COUNTIF(C$4:C545,SUBSTITUTE(C546,""Sell_"",""""))-COUNTIF(C$4:C545,"&amp;"""Sell_""&amp;SUBSTITUTE(C546,""Sell_"",""""))))/2),ROUNDUP(INDEX(Upgrades!$C$3:$C$13,MATCH(C546,Upgrades!$B$3:$B$13,0))*1.15^(COUNTIF(C$4:C545,C546)-COUNTIF(C$4:C545,""Sell_""&amp;C546))))))"),"")</f>
        <v/>
      </c>
      <c r="H546" s="10" t="str">
        <f t="shared" si="3"/>
        <v/>
      </c>
      <c r="I546" s="68" t="str">
        <f t="shared" si="4"/>
        <v/>
      </c>
      <c r="J546" s="59" t="str">
        <f t="shared" si="5"/>
        <v/>
      </c>
      <c r="K546" s="69" t="str">
        <f t="shared" si="6"/>
        <v/>
      </c>
      <c r="L546" s="60">
        <f t="shared" si="7"/>
        <v>-189.32248</v>
      </c>
      <c r="M546" s="61">
        <f>IFERROR(__xludf.DUMMYFUNCTION("IFS(AND(COUNTA(C546:C1350)=0,COUNTA(Q546:Q1350)=0),"""",OR(AND(K546&gt;=1000000000,OR(Y546&gt;=1000000000,COUNTA(Q546:Q1350)=0)),OR(Y546&gt;=1000000000,AND(COUNTA(C546:C1350)=0,P$3=TRUE))),
ROUNDDOWN((AB$1-AC$1)*MAX(INDEX(T$4:T1350,MATCH(LARGE(FILTER(Y$4:Y1350,Y$4"&amp;":Y1350&lt;1000000000),1),Y$4:Y1350)),INDEX(F$4:F1350,MATCH(LARGE(FILTER(K$4:K1350,K$4:K1350&lt;1000000000),1),K$4:K1350)))),AND(K546&lt;1000000000,COUNTA(C546:C1350)&gt;0,P$3=FALSE),
ROUNDDOWN(INDEX(Y$4:Y1350,MATCH(LARGE(FILTER(W$4:W1350,W$4:W1350&lt;=I546),1),W$4:W1350"&amp;"))+(I546-LARGE(FILTER(W$4:W1350,W$4:W1350&lt;=I546),1))*INDEX(T$4:T1350,MATCH(LARGE(FILTER(W$4:W1350,W$4:W1350&lt;=I546),1),W$4:W1350))-K546),1,
ROUNDDOWN(Y546-INDEX(K$4:K1350,MATCH(LARGE(FILTER(I$4:I1350,I$4:I1350&lt;=W546),1),I$4:I1350))-(W546-LARGE(FILTER(I$4:I"&amp;"1350,I$4:I1350&lt;=W546),1))*INDEX(F$4:F1350,MATCH(LARGE(FILTER(I$4:I1350,I$4:I1350&lt;=W546),1),I$4:I1350))))"),1.04906213E8)</f>
        <v>104906213</v>
      </c>
      <c r="N546" s="60">
        <f t="shared" si="8"/>
        <v>-189.32248</v>
      </c>
      <c r="O546" s="61" t="str">
        <f t="shared" si="9"/>
        <v>104,9M</v>
      </c>
      <c r="P546" s="56">
        <f t="shared" si="10"/>
        <v>24</v>
      </c>
      <c r="Q546" s="105" t="s">
        <v>4</v>
      </c>
      <c r="R546" s="10" t="b">
        <f>IFERROR(__xludf.DUMMYFUNCTION("IF(COUNTA(Q546:Q1350)=0,"""",IF(ISBLANK(Q546),FALSE,IF(NOT(COUNTIF($AA$24:$AA$34,SUBSTITUTE(Q546,""Sell_"",""""))),1,IF(REGEXMATCH(Q546,""Sell_""),IF(COUNTIF(Q$4:Q546,SUBSTITUTE(Q546,""Sell_"",""""))-COUNTIF(Q$4:Q545,Q546)&lt;1,1),FALSE))))"),FALSE)</f>
        <v>0</v>
      </c>
      <c r="S546" s="59">
        <f t="array" ref="S546">IF(COUNTA(Q546:Q1350)=0,"",SUM((COUNTIF(Q$4:Q546,Upgrades!$B$3:$B$13)-COUNTIF(Q$4:Q546,"Sell_"&amp;Upgrades!$B$3:$B$13))*Upgrades!$D$3:$D$13))</f>
        <v>551624.6</v>
      </c>
      <c r="T546" s="66">
        <f>IFERROR(__xludf.DUMMYFUNCTION("IF(COUNTA(Q546:Q1350)=0,"""",IF(REGEXMATCH(INDEX(FILTER(Q$4:Q546,Q$4:Q546&lt;&gt;""""),ROWS(FILTER(Q$4:Q546,Q$4:Q546&lt;&gt;""""))),""^Sell_""),INDEX(FILTER(T$4:T545,Q$4:Q545&lt;&gt;""""),ROWS(FILTER(Q$4:Q545,Q$4:Q545&lt;&gt;""""))),$AD$5+S546))"),551824.6)</f>
        <v>551824.6</v>
      </c>
      <c r="U546" s="10">
        <f>IFERROR(__xludf.DUMMYFUNCTION("IF(COUNTA(Q546:Q1350)=0,"""",IF(Q546="""",0,IF(REGEXMATCH(Q546,""^Sell_""),-ROUNDDOWN(ROUNDUP(INDEX(Upgrades!$C$3:$C$13,MATCH(SUBSTITUTE(Q546,""Sell_"",""""),Upgrades!$B$3:$B$13,0))*1.15^(COUNTIF(Q$4:Q545,SUBSTITUTE(Q546,""Sell_"",""""))-COUNTIF(Q$4:Q545,"&amp;"""Sell_""&amp;SUBSTITUTE(Q546,""Sell_"",""""))))/2),ROUNDUP(INDEX(Upgrades!$C$3:$C$13,MATCH(Q546,Upgrades!$B$3:$B$13,0))*1.15^(COUNTIF(Q$4:Q545,Q546)-COUNTIF(Q$4:Q545,""Sell_""&amp;Q546))))))"),2490.0)</f>
        <v>2490</v>
      </c>
      <c r="V546" s="10">
        <f t="shared" si="11"/>
        <v>2490</v>
      </c>
      <c r="W546" s="68">
        <f t="shared" si="12"/>
        <v>6676.612182</v>
      </c>
      <c r="X546" s="59" t="str">
        <f t="shared" si="13"/>
        <v>1h 51m 16s</v>
      </c>
      <c r="Y546" s="69">
        <f t="shared" si="14"/>
        <v>950092063</v>
      </c>
      <c r="Z546" s="11"/>
    </row>
    <row r="547">
      <c r="A547" s="8"/>
      <c r="B547" s="56" t="str">
        <f t="shared" si="2"/>
        <v/>
      </c>
      <c r="C547" s="57"/>
      <c r="D547" s="10" t="str">
        <f>IFERROR(__xludf.DUMMYFUNCTION("IF(COUNTA(C547:C1350)=0,"""",IF(ISBLANK(C547),FALSE,IF(NOT(COUNTIF($AA$24:$AA$34,SUBSTITUTE(C547,""Sell_"",""""))),1,IF(REGEXMATCH(C547,""Sell_""),IF(COUNTIF(C$4:C547,SUBSTITUTE(C547,""Sell_"",""""))-COUNTIF(C$4:C546,C547)&lt;1,1),FALSE))))"),"")</f>
        <v/>
      </c>
      <c r="E547" s="59" t="str">
        <f t="array" ref="E547">IF(COUNTA(C547:C1350)=0,"",SUM((COUNTIF(C$4:C547,Upgrades!$B$3:$B$13)-COUNTIF(C$4:C547,"Sell_"&amp;Upgrades!$B$3:$B$13))*Upgrades!$D$3:$D$13))</f>
        <v/>
      </c>
      <c r="F547" s="66" t="str">
        <f>IFERROR(__xludf.DUMMYFUNCTION("IF(COUNTA(C547:C1350)=0,"""",IF(REGEXMATCH(INDEX(FILTER(C$4:C547,C$4:C547&lt;&gt;""""),ROWS(FILTER(C$4:C547,C$4:C547&lt;&gt;""""))),""^Sell_""),INDEX(FILTER(F$4:F546,C$4:C546&lt;&gt;""""),ROWS(FILTER(C$4:C546,C$4:C546&lt;&gt;""""))),$AC$5+E547))"),"")</f>
        <v/>
      </c>
      <c r="G547" s="10" t="str">
        <f>IFERROR(__xludf.DUMMYFUNCTION("IF(COUNTA(C547:C1350)=0,"""",IF(C547="""",0,IF(REGEXMATCH(C547,""^Sell_""),-ROUNDDOWN(ROUNDUP(INDEX(Upgrades!$C$3:$C$13,MATCH(SUBSTITUTE(C547,""Sell_"",""""),Upgrades!$B$3:$B$13,0))*1.15^(COUNTIF(C$4:C546,SUBSTITUTE(C547,""Sell_"",""""))-COUNTIF(C$4:C546,"&amp;"""Sell_""&amp;SUBSTITUTE(C547,""Sell_"",""""))))/2),ROUNDUP(INDEX(Upgrades!$C$3:$C$13,MATCH(C547,Upgrades!$B$3:$B$13,0))*1.15^(COUNTIF(C$4:C546,C547)-COUNTIF(C$4:C546,""Sell_""&amp;C547))))))"),"")</f>
        <v/>
      </c>
      <c r="H547" s="10" t="str">
        <f t="shared" si="3"/>
        <v/>
      </c>
      <c r="I547" s="68" t="str">
        <f t="shared" si="4"/>
        <v/>
      </c>
      <c r="J547" s="59" t="str">
        <f t="shared" si="5"/>
        <v/>
      </c>
      <c r="K547" s="69" t="str">
        <f t="shared" si="6"/>
        <v/>
      </c>
      <c r="L547" s="60">
        <f t="shared" si="7"/>
        <v>-189.2233</v>
      </c>
      <c r="M547" s="61">
        <f>IFERROR(__xludf.DUMMYFUNCTION("IFS(AND(COUNTA(C547:C1350)=0,COUNTA(Q547:Q1350)=0),"""",OR(AND(K547&gt;=1000000000,OR(Y547&gt;=1000000000,COUNTA(Q547:Q1350)=0)),OR(Y547&gt;=1000000000,AND(COUNTA(C547:C1350)=0,P$3=TRUE))),
ROUNDDOWN((AB$1-AC$1)*MAX(INDEX(T$4:T1350,MATCH(LARGE(FILTER(Y$4:Y1350,Y$4"&amp;":Y1350&lt;1000000000),1),Y$4:Y1350)),INDEX(F$4:F1350,MATCH(LARGE(FILTER(K$4:K1350,K$4:K1350&lt;1000000000),1),K$4:K1350)))),AND(K547&lt;1000000000,COUNTA(C547:C1350)&gt;0,P$3=FALSE),
ROUNDDOWN(INDEX(Y$4:Y1350,MATCH(LARGE(FILTER(W$4:W1350,W$4:W1350&lt;=I547),1),W$4:W1350"&amp;"))+(I547-LARGE(FILTER(W$4:W1350,W$4:W1350&lt;=I547),1))*INDEX(T$4:T1350,MATCH(LARGE(FILTER(W$4:W1350,W$4:W1350&lt;=I547),1),W$4:W1350))-K547),1,
ROUNDDOWN(Y547-INDEX(K$4:K1350,MATCH(LARGE(FILTER(I$4:I1350,I$4:I1350&lt;=W547),1),I$4:I1350))-(W547-LARGE(FILTER(I$4:I"&amp;"1350,I$4:I1350&lt;=W547),1))*INDEX(F$4:F1350,MATCH(LARGE(FILTER(I$4:I1350,I$4:I1350&lt;=W547),1),I$4:I1350))))"),1.04932341E8)</f>
        <v>104932341</v>
      </c>
      <c r="N547" s="60">
        <f t="shared" si="8"/>
        <v>-189.2233</v>
      </c>
      <c r="O547" s="61" t="str">
        <f t="shared" si="9"/>
        <v>104,9M</v>
      </c>
      <c r="P547" s="56">
        <f t="shared" si="10"/>
        <v>18</v>
      </c>
      <c r="Q547" s="105" t="s">
        <v>9</v>
      </c>
      <c r="R547" s="10" t="b">
        <f>IFERROR(__xludf.DUMMYFUNCTION("IF(COUNTA(Q547:Q1350)=0,"""",IF(ISBLANK(Q547),FALSE,IF(NOT(COUNTIF($AA$24:$AA$34,SUBSTITUTE(Q547,""Sell_"",""""))),1,IF(REGEXMATCH(Q547,""Sell_""),IF(COUNTIF(Q$4:Q547,SUBSTITUTE(Q547,""Sell_"",""""))-COUNTIF(Q$4:Q546,Q547)&lt;1,1),FALSE))))"),FALSE)</f>
        <v>0</v>
      </c>
      <c r="S547" s="59">
        <f t="array" ref="S547">IF(COUNTA(Q547:Q1350)=0,"",SUM((COUNTIF(Q$4:Q547,Upgrades!$B$3:$B$13)-COUNTIF(Q$4:Q547,"Sell_"&amp;Upgrades!$B$3:$B$13))*Upgrades!$D$3:$D$13))</f>
        <v>552024.6</v>
      </c>
      <c r="T547" s="66">
        <f>IFERROR(__xludf.DUMMYFUNCTION("IF(COUNTA(Q547:Q1350)=0,"""",IF(REGEXMATCH(INDEX(FILTER(Q$4:Q547,Q$4:Q547&lt;&gt;""""),ROWS(FILTER(Q$4:Q547,Q$4:Q547&lt;&gt;""""))),""^Sell_""),INDEX(FILTER(T$4:T546,Q$4:Q546&lt;&gt;""""),ROWS(FILTER(Q$4:Q546,Q$4:Q546&lt;&gt;""""))),$AD$5+S547))"),552224.6)</f>
        <v>552224.6</v>
      </c>
      <c r="U547" s="10">
        <f>IFERROR(__xludf.DUMMYFUNCTION("IF(COUNTA(Q547:Q1350)=0,"""",IF(Q547="""",0,IF(REGEXMATCH(Q547,""^Sell_""),-ROUNDDOWN(ROUNDUP(INDEX(Upgrades!$C$3:$C$13,MATCH(SUBSTITUTE(Q547,""Sell_"",""""),Upgrades!$B$3:$B$13,0))*1.15^(COUNTIF(Q$4:Q546,SUBSTITUTE(Q547,""Sell_"",""""))-COUNTIF(Q$4:Q546,"&amp;"""Sell_""&amp;SUBSTITUTE(Q547,""Sell_"",""""))))/2),ROUNDUP(INDEX(Upgrades!$C$3:$C$13,MATCH(Q547,Upgrades!$B$3:$B$13,0))*1.15^(COUNTIF(Q$4:Q546,Q547)-COUNTIF(Q$4:Q546,""Sell_""&amp;Q547))))))"),2152253.0)</f>
        <v>2152253</v>
      </c>
      <c r="V547" s="10">
        <f t="shared" si="11"/>
        <v>2152253</v>
      </c>
      <c r="W547" s="68">
        <f t="shared" si="12"/>
        <v>6680.51243</v>
      </c>
      <c r="X547" s="59" t="str">
        <f t="shared" si="13"/>
        <v>1h 51m 20s</v>
      </c>
      <c r="Y547" s="69">
        <f t="shared" si="14"/>
        <v>952244316</v>
      </c>
      <c r="Z547" s="11"/>
    </row>
    <row r="548">
      <c r="A548" s="8"/>
      <c r="B548" s="56" t="str">
        <f t="shared" si="2"/>
        <v/>
      </c>
      <c r="C548" s="57"/>
      <c r="D548" s="10" t="str">
        <f>IFERROR(__xludf.DUMMYFUNCTION("IF(COUNTA(C548:C1350)=0,"""",IF(ISBLANK(C548),FALSE,IF(NOT(COUNTIF($AA$24:$AA$34,SUBSTITUTE(C548,""Sell_"",""""))),1,IF(REGEXMATCH(C548,""Sell_""),IF(COUNTIF(C$4:C548,SUBSTITUTE(C548,""Sell_"",""""))-COUNTIF(C$4:C547,C548)&lt;1,1),FALSE))))"),"")</f>
        <v/>
      </c>
      <c r="E548" s="59" t="str">
        <f t="array" ref="E548">IF(COUNTA(C548:C1350)=0,"",SUM((COUNTIF(C$4:C548,Upgrades!$B$3:$B$13)-COUNTIF(C$4:C548,"Sell_"&amp;Upgrades!$B$3:$B$13))*Upgrades!$D$3:$D$13))</f>
        <v/>
      </c>
      <c r="F548" s="66" t="str">
        <f>IFERROR(__xludf.DUMMYFUNCTION("IF(COUNTA(C548:C1350)=0,"""",IF(REGEXMATCH(INDEX(FILTER(C$4:C548,C$4:C548&lt;&gt;""""),ROWS(FILTER(C$4:C548,C$4:C548&lt;&gt;""""))),""^Sell_""),INDEX(FILTER(F$4:F547,C$4:C547&lt;&gt;""""),ROWS(FILTER(C$4:C547,C$4:C547&lt;&gt;""""))),$AC$5+E548))"),"")</f>
        <v/>
      </c>
      <c r="G548" s="10" t="str">
        <f>IFERROR(__xludf.DUMMYFUNCTION("IF(COUNTA(C548:C1350)=0,"""",IF(C548="""",0,IF(REGEXMATCH(C548,""^Sell_""),-ROUNDDOWN(ROUNDUP(INDEX(Upgrades!$C$3:$C$13,MATCH(SUBSTITUTE(C548,""Sell_"",""""),Upgrades!$B$3:$B$13,0))*1.15^(COUNTIF(C$4:C547,SUBSTITUTE(C548,""Sell_"",""""))-COUNTIF(C$4:C547,"&amp;"""Sell_""&amp;SUBSTITUTE(C548,""Sell_"",""""))))/2),ROUNDUP(INDEX(Upgrades!$C$3:$C$13,MATCH(C548,Upgrades!$B$3:$B$13,0))*1.15^(COUNTIF(C$4:C547,C548)-COUNTIF(C$4:C547,""Sell_""&amp;C548))))))"),"")</f>
        <v/>
      </c>
      <c r="H548" s="10" t="str">
        <f t="shared" si="3"/>
        <v/>
      </c>
      <c r="I548" s="68" t="str">
        <f t="shared" si="4"/>
        <v/>
      </c>
      <c r="J548" s="59" t="str">
        <f t="shared" si="5"/>
        <v/>
      </c>
      <c r="K548" s="69" t="str">
        <f t="shared" si="6"/>
        <v/>
      </c>
      <c r="L548" s="60">
        <f t="shared" si="7"/>
        <v>-189.21361</v>
      </c>
      <c r="M548" s="61">
        <f>IFERROR(__xludf.DUMMYFUNCTION("IFS(AND(COUNTA(C548:C1350)=0,COUNTA(Q548:Q1350)=0),"""",OR(AND(K548&gt;=1000000000,OR(Y548&gt;=1000000000,COUNTA(Q548:Q1350)=0)),OR(Y548&gt;=1000000000,AND(COUNTA(C548:C1350)=0,P$3=TRUE))),
ROUNDDOWN((AB$1-AC$1)*MAX(INDEX(T$4:T1350,MATCH(LARGE(FILTER(Y$4:Y1350,Y$4"&amp;":Y1350&lt;1000000000),1),Y$4:Y1350)),INDEX(F$4:F1350,MATCH(LARGE(FILTER(K$4:K1350,K$4:K1350&lt;1000000000),1),K$4:K1350)))),AND(K548&lt;1000000000,COUNTA(C548:C1350)&gt;0,P$3=FALSE),
ROUNDDOWN(INDEX(Y$4:Y1350,MATCH(LARGE(FILTER(W$4:W1350,W$4:W1350&lt;=I548),1),W$4:W1350"&amp;"))+(I548-LARGE(FILTER(W$4:W1350,W$4:W1350&lt;=I548),1))*INDEX(T$4:T1350,MATCH(LARGE(FILTER(W$4:W1350,W$4:W1350&lt;=I548),1),W$4:W1350))-K548),1,
ROUNDDOWN(Y548-INDEX(K$4:K1350,MATCH(LARGE(FILTER(I$4:I1350,I$4:I1350&lt;=W548),1),I$4:I1350))-(W548-LARGE(FILTER(I$4:I"&amp;"1350,I$4:I1350&lt;=W548),1))*INDEX(F$4:F1350,MATCH(LARGE(FILTER(I$4:I1350,I$4:I1350&lt;=W548),1),I$4:I1350))))"),1.04935123E8)</f>
        <v>104935123</v>
      </c>
      <c r="N548" s="60">
        <f t="shared" si="8"/>
        <v>-189.21361</v>
      </c>
      <c r="O548" s="61" t="str">
        <f t="shared" si="9"/>
        <v>104,9M</v>
      </c>
      <c r="P548" s="56">
        <f t="shared" si="10"/>
        <v>23</v>
      </c>
      <c r="Q548" s="105" t="s">
        <v>7</v>
      </c>
      <c r="R548" s="10" t="b">
        <f>IFERROR(__xludf.DUMMYFUNCTION("IF(COUNTA(Q548:Q1350)=0,"""",IF(ISBLANK(Q548),FALSE,IF(NOT(COUNTIF($AA$24:$AA$34,SUBSTITUTE(Q548,""Sell_"",""""))),1,IF(REGEXMATCH(Q548,""Sell_""),IF(COUNTIF(Q$4:Q548,SUBSTITUTE(Q548,""Sell_"",""""))-COUNTIF(Q$4:Q547,Q548)&lt;1,1),FALSE))))"),FALSE)</f>
        <v>0</v>
      </c>
      <c r="S548" s="59">
        <f t="array" ref="S548">IF(COUNTA(Q548:Q1350)=0,"",SUM((COUNTIF(Q$4:Q548,Upgrades!$B$3:$B$13)-COUNTIF(Q$4:Q548,"Sell_"&amp;Upgrades!$B$3:$B$13))*Upgrades!$D$3:$D$13))</f>
        <v>552064.6</v>
      </c>
      <c r="T548" s="66">
        <f>IFERROR(__xludf.DUMMYFUNCTION("IF(COUNTA(Q548:Q1350)=0,"""",IF(REGEXMATCH(INDEX(FILTER(Q$4:Q548,Q$4:Q548&lt;&gt;""""),ROWS(FILTER(Q$4:Q548,Q$4:Q548&lt;&gt;""""))),""^Sell_""),INDEX(FILTER(T$4:T547,Q$4:Q547&lt;&gt;""""),ROWS(FILTER(Q$4:Q547,Q$4:Q547&lt;&gt;""""))),$AD$5+S548))"),552264.6)</f>
        <v>552264.6</v>
      </c>
      <c r="U548" s="10">
        <f>IFERROR(__xludf.DUMMYFUNCTION("IF(COUNTA(Q548:Q1350)=0,"""",IF(Q548="""",0,IF(REGEXMATCH(Q548,""^Sell_""),-ROUNDDOWN(ROUNDUP(INDEX(Upgrades!$C$3:$C$13,MATCH(SUBSTITUTE(Q548,""Sell_"",""""),Upgrades!$B$3:$B$13,0))*1.15^(COUNTIF(Q$4:Q547,SUBSTITUTE(Q548,""Sell_"",""""))-COUNTIF(Q$4:Q547,"&amp;"""Sell_""&amp;SUBSTITUTE(Q548,""Sell_"",""""))))/2),ROUNDUP(INDEX(Upgrades!$C$3:$C$13,MATCH(Q548,Upgrades!$B$3:$B$13,0))*1.15^(COUNTIF(Q$4:Q547,Q548)-COUNTIF(Q$4:Q547,""Sell_""&amp;Q548))))))"),216448.0)</f>
        <v>216448</v>
      </c>
      <c r="V548" s="10">
        <f t="shared" si="11"/>
        <v>216448</v>
      </c>
      <c r="W548" s="68">
        <f t="shared" si="12"/>
        <v>6680.904386</v>
      </c>
      <c r="X548" s="59" t="str">
        <f t="shared" si="13"/>
        <v>1h 51m 20s</v>
      </c>
      <c r="Y548" s="69">
        <f t="shared" si="14"/>
        <v>952460764</v>
      </c>
      <c r="Z548" s="11"/>
    </row>
    <row r="549">
      <c r="A549" s="8"/>
      <c r="B549" s="56" t="str">
        <f t="shared" si="2"/>
        <v/>
      </c>
      <c r="C549" s="57"/>
      <c r="D549" s="10" t="str">
        <f>IFERROR(__xludf.DUMMYFUNCTION("IF(COUNTA(C549:C1350)=0,"""",IF(ISBLANK(C549),FALSE,IF(NOT(COUNTIF($AA$24:$AA$34,SUBSTITUTE(C549,""Sell_"",""""))),1,IF(REGEXMATCH(C549,""Sell_""),IF(COUNTIF(C$4:C549,SUBSTITUTE(C549,""Sell_"",""""))-COUNTIF(C$4:C548,C549)&lt;1,1),FALSE))))"),"")</f>
        <v/>
      </c>
      <c r="E549" s="59" t="str">
        <f t="array" ref="E549">IF(COUNTA(C549:C1350)=0,"",SUM((COUNTIF(C$4:C549,Upgrades!$B$3:$B$13)-COUNTIF(C$4:C549,"Sell_"&amp;Upgrades!$B$3:$B$13))*Upgrades!$D$3:$D$13))</f>
        <v/>
      </c>
      <c r="F549" s="66" t="str">
        <f>IFERROR(__xludf.DUMMYFUNCTION("IF(COUNTA(C549:C1350)=0,"""",IF(REGEXMATCH(INDEX(FILTER(C$4:C549,C$4:C549&lt;&gt;""""),ROWS(FILTER(C$4:C549,C$4:C549&lt;&gt;""""))),""^Sell_""),INDEX(FILTER(F$4:F548,C$4:C548&lt;&gt;""""),ROWS(FILTER(C$4:C548,C$4:C548&lt;&gt;""""))),$AC$5+E549))"),"")</f>
        <v/>
      </c>
      <c r="G549" s="10" t="str">
        <f>IFERROR(__xludf.DUMMYFUNCTION("IF(COUNTA(C549:C1350)=0,"""",IF(C549="""",0,IF(REGEXMATCH(C549,""^Sell_""),-ROUNDDOWN(ROUNDUP(INDEX(Upgrades!$C$3:$C$13,MATCH(SUBSTITUTE(C549,""Sell_"",""""),Upgrades!$B$3:$B$13,0))*1.15^(COUNTIF(C$4:C548,SUBSTITUTE(C549,""Sell_"",""""))-COUNTIF(C$4:C548,"&amp;"""Sell_""&amp;SUBSTITUTE(C549,""Sell_"",""""))))/2),ROUNDUP(INDEX(Upgrades!$C$3:$C$13,MATCH(C549,Upgrades!$B$3:$B$13,0))*1.15^(COUNTIF(C$4:C548,C549)-COUNTIF(C$4:C548,""Sell_""&amp;C549))))))"),"")</f>
        <v/>
      </c>
      <c r="H549" s="10" t="str">
        <f t="shared" si="3"/>
        <v/>
      </c>
      <c r="I549" s="68" t="str">
        <f t="shared" si="4"/>
        <v/>
      </c>
      <c r="J549" s="59" t="str">
        <f t="shared" si="5"/>
        <v/>
      </c>
      <c r="K549" s="69" t="str">
        <f t="shared" si="6"/>
        <v/>
      </c>
      <c r="L549" s="60">
        <f t="shared" si="7"/>
        <v>-187.39915</v>
      </c>
      <c r="M549" s="61">
        <f>IFERROR(__xludf.DUMMYFUNCTION("IFS(AND(COUNTA(C549:C1350)=0,COUNTA(Q549:Q1350)=0),"""",OR(AND(K549&gt;=1000000000,OR(Y549&gt;=1000000000,COUNTA(Q549:Q1350)=0)),OR(Y549&gt;=1000000000,AND(COUNTA(C549:C1350)=0,P$3=TRUE))),
ROUNDDOWN((AB$1-AC$1)*MAX(INDEX(T$4:T1350,MATCH(LARGE(FILTER(Y$4:Y1350,Y$4"&amp;":Y1350&lt;1000000000),1),Y$4:Y1350)),INDEX(F$4:F1350,MATCH(LARGE(FILTER(K$4:K1350,K$4:K1350&lt;1000000000),1),K$4:K1350)))),AND(K549&lt;1000000000,COUNTA(C549:C1350)&gt;0,P$3=FALSE),
ROUNDDOWN(INDEX(Y$4:Y1350,MATCH(LARGE(FILTER(W$4:W1350,W$4:W1350&lt;=I549),1),W$4:W1350"&amp;"))+(I549-LARGE(FILTER(W$4:W1350,W$4:W1350&lt;=I549),1))*INDEX(T$4:T1350,MATCH(LARGE(FILTER(W$4:W1350,W$4:W1350&lt;=I549),1),W$4:W1350))-K549),1,
ROUNDDOWN(Y549-INDEX(K$4:K1350,MATCH(LARGE(FILTER(I$4:I1350,I$4:I1350&lt;=W549),1),I$4:I1350))-(W549-LARGE(FILTER(I$4:I"&amp;"1350,I$4:I1350&lt;=W549),1))*INDEX(F$4:F1350,MATCH(LARGE(FILTER(I$4:I1350,I$4:I1350&lt;=W549),1),I$4:I1350))))"),1.05162876E8)</f>
        <v>105162876</v>
      </c>
      <c r="N549" s="60">
        <f t="shared" si="8"/>
        <v>-187.39915</v>
      </c>
      <c r="O549" s="61" t="str">
        <f t="shared" si="9"/>
        <v>105,2M</v>
      </c>
      <c r="P549" s="56">
        <f t="shared" si="10"/>
        <v>23</v>
      </c>
      <c r="Q549" s="105" t="s">
        <v>10</v>
      </c>
      <c r="R549" s="10" t="b">
        <f>IFERROR(__xludf.DUMMYFUNCTION("IF(COUNTA(Q549:Q1350)=0,"""",IF(ISBLANK(Q549),FALSE,IF(NOT(COUNTIF($AA$24:$AA$34,SUBSTITUTE(Q549,""Sell_"",""""))),1,IF(REGEXMATCH(Q549,""Sell_""),IF(COUNTIF(Q$4:Q549,SUBSTITUTE(Q549,""Sell_"",""""))-COUNTIF(Q$4:Q548,Q549)&lt;1,1),FALSE))))"),FALSE)</f>
        <v>0</v>
      </c>
      <c r="S549" s="59">
        <f t="array" ref="S549">IF(COUNTA(Q549:Q1350)=0,"",SUM((COUNTIF(Q$4:Q549,Upgrades!$B$3:$B$13)-COUNTIF(Q$4:Q549,"Sell_"&amp;Upgrades!$B$3:$B$13))*Upgrades!$D$3:$D$13))</f>
        <v>558730.6</v>
      </c>
      <c r="T549" s="66">
        <f>IFERROR(__xludf.DUMMYFUNCTION("IF(COUNTA(Q549:Q1350)=0,"""",IF(REGEXMATCH(INDEX(FILTER(Q$4:Q549,Q$4:Q549&lt;&gt;""""),ROWS(FILTER(Q$4:Q549,Q$4:Q549&lt;&gt;""""))),""^Sell_""),INDEX(FILTER(T$4:T548,Q$4:Q548&lt;&gt;""""),ROWS(FILTER(Q$4:Q548,Q$4:Q548&lt;&gt;""""))),$AD$5+S549))"),558930.6)</f>
        <v>558930.6</v>
      </c>
      <c r="U549" s="10">
        <f>IFERROR(__xludf.DUMMYFUNCTION("IF(COUNTA(Q549:Q1350)=0,"""",IF(Q549="""",0,IF(REGEXMATCH(Q549,""^Sell_""),-ROUNDDOWN(ROUNDUP(INDEX(Upgrades!$C$3:$C$13,MATCH(SUBSTITUTE(Q549,""Sell_"",""""),Upgrades!$B$3:$B$13,0))*1.15^(COUNTIF(Q$4:Q548,SUBSTITUTE(Q549,""Sell_"",""""))-COUNTIF(Q$4:Q548,"&amp;"""Sell_""&amp;SUBSTITUTE(Q549,""Sell_"",""""))))/2),ROUNDUP(INDEX(Upgrades!$C$3:$C$13,MATCH(Q549,Upgrades!$B$3:$B$13,0))*1.15^(COUNTIF(Q$4:Q548,Q549)-COUNTIF(Q$4:Q548,""Sell_""&amp;Q549))))))"),3.6074562E7)</f>
        <v>36074562</v>
      </c>
      <c r="V549" s="10">
        <f t="shared" si="11"/>
        <v>36074562</v>
      </c>
      <c r="W549" s="68">
        <f t="shared" si="12"/>
        <v>6746.225542</v>
      </c>
      <c r="X549" s="59" t="str">
        <f t="shared" si="13"/>
        <v>1h 52m 26s</v>
      </c>
      <c r="Y549" s="69">
        <f t="shared" si="14"/>
        <v>988535326</v>
      </c>
      <c r="Z549" s="11"/>
    </row>
    <row r="550">
      <c r="A550" s="8"/>
      <c r="B550" s="56" t="str">
        <f t="shared" si="2"/>
        <v/>
      </c>
      <c r="C550" s="57"/>
      <c r="D550" s="10" t="str">
        <f>IFERROR(__xludf.DUMMYFUNCTION("IF(COUNTA(C550:C1350)=0,"""",IF(ISBLANK(C550),FALSE,IF(NOT(COUNTIF($AA$24:$AA$34,SUBSTITUTE(C550,""Sell_"",""""))),1,IF(REGEXMATCH(C550,""Sell_""),IF(COUNTIF(C$4:C550,SUBSTITUTE(C550,""Sell_"",""""))-COUNTIF(C$4:C549,C550)&lt;1,1),FALSE))))"),"")</f>
        <v/>
      </c>
      <c r="E550" s="59" t="str">
        <f t="array" ref="E550">IF(COUNTA(C550:C1350)=0,"",SUM((COUNTIF(C$4:C550,Upgrades!$B$3:$B$13)-COUNTIF(C$4:C550,"Sell_"&amp;Upgrades!$B$3:$B$13))*Upgrades!$D$3:$D$13))</f>
        <v/>
      </c>
      <c r="F550" s="66" t="str">
        <f>IFERROR(__xludf.DUMMYFUNCTION("IF(COUNTA(C550:C1350)=0,"""",IF(REGEXMATCH(INDEX(FILTER(C$4:C550,C$4:C550&lt;&gt;""""),ROWS(FILTER(C$4:C550,C$4:C550&lt;&gt;""""))),""^Sell_""),INDEX(FILTER(F$4:F549,C$4:C549&lt;&gt;""""),ROWS(FILTER(C$4:C549,C$4:C549&lt;&gt;""""))),$AC$5+E550))"),"")</f>
        <v/>
      </c>
      <c r="G550" s="10" t="str">
        <f>IFERROR(__xludf.DUMMYFUNCTION("IF(COUNTA(C550:C1350)=0,"""",IF(C550="""",0,IF(REGEXMATCH(C550,""^Sell_""),-ROUNDDOWN(ROUNDUP(INDEX(Upgrades!$C$3:$C$13,MATCH(SUBSTITUTE(C550,""Sell_"",""""),Upgrades!$B$3:$B$13,0))*1.15^(COUNTIF(C$4:C549,SUBSTITUTE(C550,""Sell_"",""""))-COUNTIF(C$4:C549,"&amp;"""Sell_""&amp;SUBSTITUTE(C550,""Sell_"",""""))))/2),ROUNDUP(INDEX(Upgrades!$C$3:$C$13,MATCH(C550,Upgrades!$B$3:$B$13,0))*1.15^(COUNTIF(C$4:C549,C550)-COUNTIF(C$4:C549,""Sell_""&amp;C550))))))"),"")</f>
        <v/>
      </c>
      <c r="H550" s="10" t="str">
        <f t="shared" si="3"/>
        <v/>
      </c>
      <c r="I550" s="68" t="str">
        <f t="shared" si="4"/>
        <v/>
      </c>
      <c r="J550" s="59" t="str">
        <f t="shared" si="5"/>
        <v/>
      </c>
      <c r="K550" s="69" t="str">
        <f t="shared" si="6"/>
        <v/>
      </c>
      <c r="L550" s="60">
        <f t="shared" si="7"/>
        <v>-187.39844</v>
      </c>
      <c r="M550" s="61">
        <f>IFERROR(__xludf.DUMMYFUNCTION("IFS(AND(COUNTA(C550:C1350)=0,COUNTA(Q550:Q1350)=0),"""",OR(AND(K550&gt;=1000000000,OR(Y550&gt;=1000000000,COUNTA(Q550:Q1350)=0)),OR(Y550&gt;=1000000000,AND(COUNTA(C550:C1350)=0,P$3=TRUE))),
ROUNDDOWN((AB$1-AC$1)*MAX(INDEX(T$4:T1350,MATCH(LARGE(FILTER(Y$4:Y1350,Y$4"&amp;":Y1350&lt;1000000000),1),Y$4:Y1350)),INDEX(F$4:F1350,MATCH(LARGE(FILTER(K$4:K1350,K$4:K1350&lt;1000000000),1),K$4:K1350)))),AND(K550&lt;1000000000,COUNTA(C550:C1350)&gt;0,P$3=FALSE),
ROUNDDOWN(INDEX(Y$4:Y1350,MATCH(LARGE(FILTER(W$4:W1350,W$4:W1350&lt;=I550),1),W$4:W1350"&amp;"))+(I550-LARGE(FILTER(W$4:W1350,W$4:W1350&lt;=I550),1))*INDEX(T$4:T1350,MATCH(LARGE(FILTER(W$4:W1350,W$4:W1350&lt;=I550),1),W$4:W1350))-K550),1,
ROUNDDOWN(Y550-INDEX(K$4:K1350,MATCH(LARGE(FILTER(I$4:I1350,I$4:I1350&lt;=W550),1),I$4:I1350))-(W550-LARGE(FILTER(I$4:I"&amp;"1350,I$4:I1350&lt;=W550),1))*INDEX(F$4:F1350,MATCH(LARGE(FILTER(I$4:I1350,I$4:I1350&lt;=W550),1),I$4:I1350))))"),1.05163134E8)</f>
        <v>105163134</v>
      </c>
      <c r="N550" s="60">
        <f t="shared" si="8"/>
        <v>-187.39844</v>
      </c>
      <c r="O550" s="61" t="str">
        <f t="shared" si="9"/>
        <v>105,2M</v>
      </c>
      <c r="P550" s="56">
        <f t="shared" si="10"/>
        <v>28</v>
      </c>
      <c r="Q550" s="105" t="s">
        <v>5</v>
      </c>
      <c r="R550" s="10" t="b">
        <f>IFERROR(__xludf.DUMMYFUNCTION("IF(COUNTA(Q550:Q1350)=0,"""",IF(ISBLANK(Q550),FALSE,IF(NOT(COUNTIF($AA$24:$AA$34,SUBSTITUTE(Q550,""Sell_"",""""))),1,IF(REGEXMATCH(Q550,""Sell_""),IF(COUNTIF(Q$4:Q550,SUBSTITUTE(Q550,""Sell_"",""""))-COUNTIF(Q$4:Q549,Q550)&lt;1,1),FALSE))))"),FALSE)</f>
        <v>0</v>
      </c>
      <c r="S550" s="59">
        <f t="array" ref="S550">IF(COUNTA(Q550:Q1350)=0,"",SUM((COUNTIF(Q$4:Q550,Upgrades!$B$3:$B$13)-COUNTIF(Q$4:Q550,"Sell_"&amp;Upgrades!$B$3:$B$13))*Upgrades!$D$3:$D$13))</f>
        <v>558734.6</v>
      </c>
      <c r="T550" s="66">
        <f>IFERROR(__xludf.DUMMYFUNCTION("IF(COUNTA(Q550:Q1350)=0,"""",IF(REGEXMATCH(INDEX(FILTER(Q$4:Q550,Q$4:Q550&lt;&gt;""""),ROWS(FILTER(Q$4:Q550,Q$4:Q550&lt;&gt;""""))),""^Sell_""),INDEX(FILTER(T$4:T549,Q$4:Q549&lt;&gt;""""),ROWS(FILTER(Q$4:Q549,Q$4:Q549&lt;&gt;""""))),$AD$5+S550))"),558934.6)</f>
        <v>558934.6</v>
      </c>
      <c r="U550" s="10">
        <f>IFERROR(__xludf.DUMMYFUNCTION("IF(COUNTA(Q550:Q1350)=0,"""",IF(Q550="""",0,IF(REGEXMATCH(Q550,""^Sell_""),-ROUNDDOWN(ROUNDUP(INDEX(Upgrades!$C$3:$C$13,MATCH(SUBSTITUTE(Q550,""Sell_"",""""),Upgrades!$B$3:$B$13,0))*1.15^(COUNTIF(Q$4:Q549,SUBSTITUTE(Q550,""Sell_"",""""))-COUNTIF(Q$4:Q549,"&amp;"""Sell_""&amp;SUBSTITUTE(Q550,""Sell_"",""""))))/2),ROUNDUP(INDEX(Upgrades!$C$3:$C$13,MATCH(Q550,Upgrades!$B$3:$B$13,0))*1.15^(COUNTIF(Q$4:Q549,Q550)-COUNTIF(Q$4:Q549,""Sell_""&amp;Q550))))))"),21768.0)</f>
        <v>21768</v>
      </c>
      <c r="V550" s="10">
        <f t="shared" si="11"/>
        <v>21768</v>
      </c>
      <c r="W550" s="68">
        <f t="shared" si="12"/>
        <v>6746.264488</v>
      </c>
      <c r="X550" s="59" t="str">
        <f t="shared" si="13"/>
        <v>1h 52m 26s</v>
      </c>
      <c r="Y550" s="69">
        <f t="shared" si="14"/>
        <v>988557094</v>
      </c>
      <c r="Z550" s="11"/>
    </row>
    <row r="551">
      <c r="A551" s="8"/>
      <c r="B551" s="56" t="str">
        <f t="shared" si="2"/>
        <v/>
      </c>
      <c r="C551" s="57"/>
      <c r="D551" s="10" t="str">
        <f>IFERROR(__xludf.DUMMYFUNCTION("IF(COUNTA(C551:C1350)=0,"""",IF(ISBLANK(C551),FALSE,IF(NOT(COUNTIF($AA$24:$AA$34,SUBSTITUTE(C551,""Sell_"",""""))),1,IF(REGEXMATCH(C551,""Sell_""),IF(COUNTIF(C$4:C551,SUBSTITUTE(C551,""Sell_"",""""))-COUNTIF(C$4:C550,C551)&lt;1,1),FALSE))))"),"")</f>
        <v/>
      </c>
      <c r="E551" s="59" t="str">
        <f t="array" ref="E551">IF(COUNTA(C551:C1350)=0,"",SUM((COUNTIF(C$4:C551,Upgrades!$B$3:$B$13)-COUNTIF(C$4:C551,"Sell_"&amp;Upgrades!$B$3:$B$13))*Upgrades!$D$3:$D$13))</f>
        <v/>
      </c>
      <c r="F551" s="66" t="str">
        <f>IFERROR(__xludf.DUMMYFUNCTION("IF(COUNTA(C551:C1350)=0,"""",IF(REGEXMATCH(INDEX(FILTER(C$4:C551,C$4:C551&lt;&gt;""""),ROWS(FILTER(C$4:C551,C$4:C551&lt;&gt;""""))),""^Sell_""),INDEX(FILTER(F$4:F550,C$4:C550&lt;&gt;""""),ROWS(FILTER(C$4:C550,C$4:C550&lt;&gt;""""))),$AC$5+E551))"),"")</f>
        <v/>
      </c>
      <c r="G551" s="10" t="str">
        <f>IFERROR(__xludf.DUMMYFUNCTION("IF(COUNTA(C551:C1350)=0,"""",IF(C551="""",0,IF(REGEXMATCH(C551,""^Sell_""),-ROUNDDOWN(ROUNDUP(INDEX(Upgrades!$C$3:$C$13,MATCH(SUBSTITUTE(C551,""Sell_"",""""),Upgrades!$B$3:$B$13,0))*1.15^(COUNTIF(C$4:C550,SUBSTITUTE(C551,""Sell_"",""""))-COUNTIF(C$4:C550,"&amp;"""Sell_""&amp;SUBSTITUTE(C551,""Sell_"",""""))))/2),ROUNDUP(INDEX(Upgrades!$C$3:$C$13,MATCH(C551,Upgrades!$B$3:$B$13,0))*1.15^(COUNTIF(C$4:C550,C551)-COUNTIF(C$4:C550,""Sell_""&amp;C551))))))"),"")</f>
        <v/>
      </c>
      <c r="H551" s="10" t="str">
        <f t="shared" si="3"/>
        <v/>
      </c>
      <c r="I551" s="68" t="str">
        <f t="shared" si="4"/>
        <v/>
      </c>
      <c r="J551" s="59" t="str">
        <f t="shared" si="5"/>
        <v/>
      </c>
      <c r="K551" s="69" t="str">
        <f t="shared" si="6"/>
        <v/>
      </c>
      <c r="L551" s="60">
        <f t="shared" si="7"/>
        <v>-187.39657</v>
      </c>
      <c r="M551" s="61">
        <f>IFERROR(__xludf.DUMMYFUNCTION("IFS(AND(COUNTA(C551:C1350)=0,COUNTA(Q551:Q1350)=0),"""",OR(AND(K551&gt;=1000000000,OR(Y551&gt;=1000000000,COUNTA(Q551:Q1350)=0)),OR(Y551&gt;=1000000000,AND(COUNTA(C551:C1350)=0,P$3=TRUE))),
ROUNDDOWN((AB$1-AC$1)*MAX(INDEX(T$4:T1350,MATCH(LARGE(FILTER(Y$4:Y1350,Y$4"&amp;":Y1350&lt;1000000000),1),Y$4:Y1350)),INDEX(F$4:F1350,MATCH(LARGE(FILTER(K$4:K1350,K$4:K1350&lt;1000000000),1),K$4:K1350)))),AND(K551&lt;1000000000,COUNTA(C551:C1350)&gt;0,P$3=FALSE),
ROUNDDOWN(INDEX(Y$4:Y1350,MATCH(LARGE(FILTER(W$4:W1350,W$4:W1350&lt;=I551),1),W$4:W1350"&amp;"))+(I551-LARGE(FILTER(W$4:W1350,W$4:W1350&lt;=I551),1))*INDEX(T$4:T1350,MATCH(LARGE(FILTER(W$4:W1350,W$4:W1350&lt;=I551),1),W$4:W1350))-K551),1,
ROUNDDOWN(Y551-INDEX(K$4:K1350,MATCH(LARGE(FILTER(I$4:I1350,I$4:I1350&lt;=W551),1),I$4:I1350))-(W551-LARGE(FILTER(I$4:I"&amp;"1350,I$4:I1350&lt;=W551),1))*INDEX(F$4:F1350,MATCH(LARGE(FILTER(I$4:I1350,I$4:I1350&lt;=W551),1),I$4:I1350))))"),1.05163805E8)</f>
        <v>105163805</v>
      </c>
      <c r="N551" s="60">
        <f t="shared" si="8"/>
        <v>-187.39657</v>
      </c>
      <c r="O551" s="61" t="str">
        <f t="shared" si="9"/>
        <v>105,2M</v>
      </c>
      <c r="P551" s="56">
        <f t="shared" si="10"/>
        <v>22</v>
      </c>
      <c r="Q551" s="105" t="s">
        <v>6</v>
      </c>
      <c r="R551" s="10" t="b">
        <f>IFERROR(__xludf.DUMMYFUNCTION("IF(COUNTA(Q551:Q1350)=0,"""",IF(ISBLANK(Q551),FALSE,IF(NOT(COUNTIF($AA$24:$AA$34,SUBSTITUTE(Q551,""Sell_"",""""))),1,IF(REGEXMATCH(Q551,""Sell_""),IF(COUNTIF(Q$4:Q551,SUBSTITUTE(Q551,""Sell_"",""""))-COUNTIF(Q$4:Q550,Q551)&lt;1,1),FALSE))))"),FALSE)</f>
        <v>0</v>
      </c>
      <c r="S551" s="59">
        <f t="array" ref="S551">IF(COUNTA(Q551:Q1350)=0,"",SUM((COUNTIF(Q$4:Q551,Upgrades!$B$3:$B$13)-COUNTIF(Q$4:Q551,"Sell_"&amp;Upgrades!$B$3:$B$13))*Upgrades!$D$3:$D$13))</f>
        <v>558744.6</v>
      </c>
      <c r="T551" s="66">
        <f>IFERROR(__xludf.DUMMYFUNCTION("IF(COUNTA(Q551:Q1350)=0,"""",IF(REGEXMATCH(INDEX(FILTER(Q$4:Q551,Q$4:Q551&lt;&gt;""""),ROWS(FILTER(Q$4:Q551,Q$4:Q551&lt;&gt;""""))),""^Sell_""),INDEX(FILTER(T$4:T550,Q$4:Q550&lt;&gt;""""),ROWS(FILTER(Q$4:Q550,Q$4:Q550&lt;&gt;""""))),$AD$5+S551))"),558944.6)</f>
        <v>558944.6</v>
      </c>
      <c r="U551" s="10">
        <f>IFERROR(__xludf.DUMMYFUNCTION("IF(COUNTA(Q551:Q1350)=0,"""",IF(Q551="""",0,IF(REGEXMATCH(Q551,""^Sell_""),-ROUNDDOWN(ROUNDUP(INDEX(Upgrades!$C$3:$C$13,MATCH(SUBSTITUTE(Q551,""Sell_"",""""),Upgrades!$B$3:$B$13,0))*1.15^(COUNTIF(Q$4:Q550,SUBSTITUTE(Q551,""Sell_"",""""))-COUNTIF(Q$4:Q550,"&amp;"""Sell_""&amp;SUBSTITUTE(Q551,""Sell_"",""""))))/2),ROUNDUP(INDEX(Upgrades!$C$3:$C$13,MATCH(Q551,Upgrades!$B$3:$B$13,0))*1.15^(COUNTIF(Q$4:Q550,Q551)-COUNTIF(Q$4:Q550,""Sell_""&amp;Q551))))))"),56465.0)</f>
        <v>56465</v>
      </c>
      <c r="V551" s="10">
        <f t="shared" si="11"/>
        <v>56465</v>
      </c>
      <c r="W551" s="68">
        <f t="shared" si="12"/>
        <v>6746.365511</v>
      </c>
      <c r="X551" s="59" t="str">
        <f t="shared" si="13"/>
        <v>1h 52m 26s</v>
      </c>
      <c r="Y551" s="69">
        <f t="shared" si="14"/>
        <v>988613559</v>
      </c>
      <c r="Z551" s="11"/>
    </row>
    <row r="552">
      <c r="A552" s="8"/>
      <c r="B552" s="56" t="str">
        <f t="shared" si="2"/>
        <v/>
      </c>
      <c r="C552" s="57"/>
      <c r="D552" s="10" t="str">
        <f>IFERROR(__xludf.DUMMYFUNCTION("IF(COUNTA(C552:C1350)=0,"""",IF(ISBLANK(C552),FALSE,IF(NOT(COUNTIF($AA$24:$AA$34,SUBSTITUTE(C552,""Sell_"",""""))),1,IF(REGEXMATCH(C552,""Sell_""),IF(COUNTIF(C$4:C552,SUBSTITUTE(C552,""Sell_"",""""))-COUNTIF(C$4:C551,C552)&lt;1,1),FALSE))))"),"")</f>
        <v/>
      </c>
      <c r="E552" s="59" t="str">
        <f t="array" ref="E552">IF(COUNTA(C552:C1350)=0,"",SUM((COUNTIF(C$4:C552,Upgrades!$B$3:$B$13)-COUNTIF(C$4:C552,"Sell_"&amp;Upgrades!$B$3:$B$13))*Upgrades!$D$3:$D$13))</f>
        <v/>
      </c>
      <c r="F552" s="66" t="str">
        <f>IFERROR(__xludf.DUMMYFUNCTION("IF(COUNTA(C552:C1350)=0,"""",IF(REGEXMATCH(INDEX(FILTER(C$4:C552,C$4:C552&lt;&gt;""""),ROWS(FILTER(C$4:C552,C$4:C552&lt;&gt;""""))),""^Sell_""),INDEX(FILTER(F$4:F551,C$4:C551&lt;&gt;""""),ROWS(FILTER(C$4:C551,C$4:C551&lt;&gt;""""))),$AC$5+E552))"),"")</f>
        <v/>
      </c>
      <c r="G552" s="10" t="str">
        <f>IFERROR(__xludf.DUMMYFUNCTION("IF(COUNTA(C552:C1350)=0,"""",IF(C552="""",0,IF(REGEXMATCH(C552,""^Sell_""),-ROUNDDOWN(ROUNDUP(INDEX(Upgrades!$C$3:$C$13,MATCH(SUBSTITUTE(C552,""Sell_"",""""),Upgrades!$B$3:$B$13,0))*1.15^(COUNTIF(C$4:C551,SUBSTITUTE(C552,""Sell_"",""""))-COUNTIF(C$4:C551,"&amp;"""Sell_""&amp;SUBSTITUTE(C552,""Sell_"",""""))))/2),ROUNDUP(INDEX(Upgrades!$C$3:$C$13,MATCH(C552,Upgrades!$B$3:$B$13,0))*1.15^(COUNTIF(C$4:C551,C552)-COUNTIF(C$4:C551,""Sell_""&amp;C552))))))"),"")</f>
        <v/>
      </c>
      <c r="H552" s="10" t="str">
        <f t="shared" si="3"/>
        <v/>
      </c>
      <c r="I552" s="68" t="str">
        <f t="shared" si="4"/>
        <v/>
      </c>
      <c r="J552" s="59" t="str">
        <f t="shared" si="5"/>
        <v/>
      </c>
      <c r="K552" s="69" t="str">
        <f t="shared" si="6"/>
        <v/>
      </c>
      <c r="L552" s="60">
        <f t="shared" si="7"/>
        <v>-187.39656</v>
      </c>
      <c r="M552" s="61">
        <f>IFERROR(__xludf.DUMMYFUNCTION("IFS(AND(COUNTA(C552:C1350)=0,COUNTA(Q552:Q1350)=0),"""",OR(AND(K552&gt;=1000000000,OR(Y552&gt;=1000000000,COUNTA(Q552:Q1350)=0)),OR(Y552&gt;=1000000000,AND(COUNTA(C552:C1350)=0,P$3=TRUE))),
ROUNDDOWN((AB$1-AC$1)*MAX(INDEX(T$4:T1350,MATCH(LARGE(FILTER(Y$4:Y1350,Y$4"&amp;":Y1350&lt;1000000000),1),Y$4:Y1350)),INDEX(F$4:F1350,MATCH(LARGE(FILTER(K$4:K1350,K$4:K1350&lt;1000000000),1),K$4:K1350)))),AND(K552&lt;1000000000,COUNTA(C552:C1350)&gt;0,P$3=FALSE),
ROUNDDOWN(INDEX(Y$4:Y1350,MATCH(LARGE(FILTER(W$4:W1350,W$4:W1350&lt;=I552),1),W$4:W1350"&amp;"))+(I552-LARGE(FILTER(W$4:W1350,W$4:W1350&lt;=I552),1))*INDEX(T$4:T1350,MATCH(LARGE(FILTER(W$4:W1350,W$4:W1350&lt;=I552),1),W$4:W1350))-K552),1,
ROUNDDOWN(Y552-INDEX(K$4:K1350,MATCH(LARGE(FILTER(I$4:I1350,I$4:I1350&lt;=W552),1),I$4:I1350))-(W552-LARGE(FILTER(I$4:I"&amp;"1350,I$4:I1350&lt;=W552),1))*INDEX(F$4:F1350,MATCH(LARGE(FILTER(I$4:I1350,I$4:I1350&lt;=W552),1),I$4:I1350))))"),1.05163812E8)</f>
        <v>105163812</v>
      </c>
      <c r="N552" s="60">
        <f t="shared" si="8"/>
        <v>-187.39656</v>
      </c>
      <c r="O552" s="61" t="str">
        <f t="shared" si="9"/>
        <v>105,2M</v>
      </c>
      <c r="P552" s="56">
        <f t="shared" si="10"/>
        <v>27</v>
      </c>
      <c r="Q552" s="105" t="s">
        <v>3</v>
      </c>
      <c r="R552" s="10" t="b">
        <f>IFERROR(__xludf.DUMMYFUNCTION("IF(COUNTA(Q552:Q1350)=0,"""",IF(ISBLANK(Q552),FALSE,IF(NOT(COUNTIF($AA$24:$AA$34,SUBSTITUTE(Q552,""Sell_"",""""))),1,IF(REGEXMATCH(Q552,""Sell_""),IF(COUNTIF(Q$4:Q552,SUBSTITUTE(Q552,""Sell_"",""""))-COUNTIF(Q$4:Q551,Q552)&lt;1,1),FALSE))))"),FALSE)</f>
        <v>0</v>
      </c>
      <c r="S552" s="59">
        <f t="array" ref="S552">IF(COUNTA(Q552:Q1350)=0,"",SUM((COUNTIF(Q$4:Q552,Upgrades!$B$3:$B$13)-COUNTIF(Q$4:Q552,"Sell_"&amp;Upgrades!$B$3:$B$13))*Upgrades!$D$3:$D$13))</f>
        <v>558744.7</v>
      </c>
      <c r="T552" s="66">
        <f>IFERROR(__xludf.DUMMYFUNCTION("IF(COUNTA(Q552:Q1350)=0,"""",IF(REGEXMATCH(INDEX(FILTER(Q$4:Q552,Q$4:Q552&lt;&gt;""""),ROWS(FILTER(Q$4:Q552,Q$4:Q552&lt;&gt;""""))),""^Sell_""),INDEX(FILTER(T$4:T551,Q$4:Q551&lt;&gt;""""),ROWS(FILTER(Q$4:Q551,Q$4:Q551&lt;&gt;""""))),$AD$5+S552))"),558944.7)</f>
        <v>558944.7</v>
      </c>
      <c r="U552" s="10">
        <f>IFERROR(__xludf.DUMMYFUNCTION("IF(COUNTA(Q552:Q1350)=0,"""",IF(Q552="""",0,IF(REGEXMATCH(Q552,""^Sell_""),-ROUNDDOWN(ROUNDUP(INDEX(Upgrades!$C$3:$C$13,MATCH(SUBSTITUTE(Q552,""Sell_"",""""),Upgrades!$B$3:$B$13,0))*1.15^(COUNTIF(Q$4:Q551,SUBSTITUTE(Q552,""Sell_"",""""))-COUNTIF(Q$4:Q551,"&amp;"""Sell_""&amp;SUBSTITUTE(Q552,""Sell_"",""""))))/2),ROUNDUP(INDEX(Upgrades!$C$3:$C$13,MATCH(Q552,Upgrades!$B$3:$B$13,0))*1.15^(COUNTIF(Q$4:Q551,Q552)-COUNTIF(Q$4:Q551,""Sell_""&amp;Q552))))))"),568.0)</f>
        <v>568</v>
      </c>
      <c r="V552" s="10">
        <f t="shared" si="11"/>
        <v>568</v>
      </c>
      <c r="W552" s="68">
        <f t="shared" si="12"/>
        <v>6746.366527</v>
      </c>
      <c r="X552" s="59" t="str">
        <f t="shared" si="13"/>
        <v>1h 52m 26s</v>
      </c>
      <c r="Y552" s="69">
        <f t="shared" si="14"/>
        <v>988614127</v>
      </c>
      <c r="Z552" s="11"/>
    </row>
    <row r="553">
      <c r="A553" s="8"/>
      <c r="B553" s="56" t="str">
        <f t="shared" si="2"/>
        <v/>
      </c>
      <c r="C553" s="57"/>
      <c r="D553" s="10" t="str">
        <f>IFERROR(__xludf.DUMMYFUNCTION("IF(COUNTA(C553:C1350)=0,"""",IF(ISBLANK(C553),FALSE,IF(NOT(COUNTIF($AA$24:$AA$34,SUBSTITUTE(C553,""Sell_"",""""))),1,IF(REGEXMATCH(C553,""Sell_""),IF(COUNTIF(C$4:C553,SUBSTITUTE(C553,""Sell_"",""""))-COUNTIF(C$4:C552,C553)&lt;1,1),FALSE))))"),"")</f>
        <v/>
      </c>
      <c r="E553" s="59" t="str">
        <f t="array" ref="E553">IF(COUNTA(C553:C1350)=0,"",SUM((COUNTIF(C$4:C553,Upgrades!$B$3:$B$13)-COUNTIF(C$4:C553,"Sell_"&amp;Upgrades!$B$3:$B$13))*Upgrades!$D$3:$D$13))</f>
        <v/>
      </c>
      <c r="F553" s="66" t="str">
        <f>IFERROR(__xludf.DUMMYFUNCTION("IF(COUNTA(C553:C1350)=0,"""",IF(REGEXMATCH(INDEX(FILTER(C$4:C553,C$4:C553&lt;&gt;""""),ROWS(FILTER(C$4:C553,C$4:C553&lt;&gt;""""))),""^Sell_""),INDEX(FILTER(F$4:F552,C$4:C552&lt;&gt;""""),ROWS(FILTER(C$4:C552,C$4:C552&lt;&gt;""""))),$AC$5+E553))"),"")</f>
        <v/>
      </c>
      <c r="G553" s="10" t="str">
        <f>IFERROR(__xludf.DUMMYFUNCTION("IF(COUNTA(C553:C1350)=0,"""",IF(C553="""",0,IF(REGEXMATCH(C553,""^Sell_""),-ROUNDDOWN(ROUNDUP(INDEX(Upgrades!$C$3:$C$13,MATCH(SUBSTITUTE(C553,""Sell_"",""""),Upgrades!$B$3:$B$13,0))*1.15^(COUNTIF(C$4:C552,SUBSTITUTE(C553,""Sell_"",""""))-COUNTIF(C$4:C552,"&amp;"""Sell_""&amp;SUBSTITUTE(C553,""Sell_"",""""))))/2),ROUNDUP(INDEX(Upgrades!$C$3:$C$13,MATCH(C553,Upgrades!$B$3:$B$13,0))*1.15^(COUNTIF(C$4:C552,C553)-COUNTIF(C$4:C552,""Sell_""&amp;C553))))))"),"")</f>
        <v/>
      </c>
      <c r="H553" s="10" t="str">
        <f t="shared" si="3"/>
        <v/>
      </c>
      <c r="I553" s="68" t="str">
        <f t="shared" si="4"/>
        <v/>
      </c>
      <c r="J553" s="59" t="str">
        <f t="shared" si="5"/>
        <v/>
      </c>
      <c r="K553" s="69" t="str">
        <f t="shared" si="6"/>
        <v/>
      </c>
      <c r="L553" s="60">
        <f t="shared" si="7"/>
        <v>-187.37781</v>
      </c>
      <c r="M553" s="61">
        <f>IFERROR(__xludf.DUMMYFUNCTION("IFS(AND(COUNTA(C553:C1350)=0,COUNTA(Q553:Q1350)=0),"""",OR(AND(K553&gt;=1000000000,OR(Y553&gt;=1000000000,COUNTA(Q553:Q1350)=0)),OR(Y553&gt;=1000000000,AND(COUNTA(C553:C1350)=0,P$3=TRUE))),
ROUNDDOWN((AB$1-AC$1)*MAX(INDEX(T$4:T1350,MATCH(LARGE(FILTER(Y$4:Y1350,Y$4"&amp;":Y1350&lt;1000000000),1),Y$4:Y1350)),INDEX(F$4:F1350,MATCH(LARGE(FILTER(K$4:K1350,K$4:K1350&lt;1000000000),1),K$4:K1350)))),AND(K553&lt;1000000000,COUNTA(C553:C1350)&gt;0,P$3=FALSE),
ROUNDDOWN(INDEX(Y$4:Y1350,MATCH(LARGE(FILTER(W$4:W1350,W$4:W1350&lt;=I553),1),W$4:W1350"&amp;"))+(I553-LARGE(FILTER(W$4:W1350,W$4:W1350&lt;=I553),1))*INDEX(T$4:T1350,MATCH(LARGE(FILTER(W$4:W1350,W$4:W1350&lt;=I553),1),W$4:W1350))-K553),1,
ROUNDDOWN(Y553-INDEX(K$4:K1350,MATCH(LARGE(FILTER(I$4:I1350,I$4:I1350&lt;=W553),1),I$4:I1350))-(W553-LARGE(FILTER(I$4:I"&amp;"1350,I$4:I1350&lt;=W553),1))*INDEX(F$4:F1350,MATCH(LARGE(FILTER(I$4:I1350,I$4:I1350&lt;=W553),1),I$4:I1350))))"),1.05170588E8)</f>
        <v>105170588</v>
      </c>
      <c r="N553" s="60">
        <f t="shared" si="8"/>
        <v>-187.37781</v>
      </c>
      <c r="O553" s="61" t="str">
        <f t="shared" si="9"/>
        <v>105,2M</v>
      </c>
      <c r="P553" s="56">
        <f t="shared" si="10"/>
        <v>20</v>
      </c>
      <c r="Q553" s="105" t="s">
        <v>8</v>
      </c>
      <c r="R553" s="10" t="b">
        <f>IFERROR(__xludf.DUMMYFUNCTION("IF(COUNTA(Q553:Q1350)=0,"""",IF(ISBLANK(Q553),FALSE,IF(NOT(COUNTIF($AA$24:$AA$34,SUBSTITUTE(Q553,""Sell_"",""""))),1,IF(REGEXMATCH(Q553,""Sell_""),IF(COUNTIF(Q$4:Q553,SUBSTITUTE(Q553,""Sell_"",""""))-COUNTIF(Q$4:Q552,Q553)&lt;1,1),FALSE))))"),FALSE)</f>
        <v>0</v>
      </c>
      <c r="S553" s="59">
        <f t="array" ref="S553">IF(COUNTA(Q553:Q1350)=0,"",SUM((COUNTIF(Q$4:Q553,Upgrades!$B$3:$B$13)-COUNTIF(Q$4:Q553,"Sell_"&amp;Upgrades!$B$3:$B$13))*Upgrades!$D$3:$D$13))</f>
        <v>558844.7</v>
      </c>
      <c r="T553" s="66">
        <f>IFERROR(__xludf.DUMMYFUNCTION("IF(COUNTA(Q553:Q1350)=0,"""",IF(REGEXMATCH(INDEX(FILTER(Q$4:Q553,Q$4:Q553&lt;&gt;""""),ROWS(FILTER(Q$4:Q553,Q$4:Q553&lt;&gt;""""))),""^Sell_""),INDEX(FILTER(T$4:T552,Q$4:Q552&lt;&gt;""""),ROWS(FILTER(Q$4:Q552,Q$4:Q552&lt;&gt;""""))),$AD$5+S553))"),559044.7)</f>
        <v>559044.7</v>
      </c>
      <c r="U553" s="10">
        <f>IFERROR(__xludf.DUMMYFUNCTION("IF(COUNTA(Q553:Q1350)=0,"""",IF(Q553="""",0,IF(REGEXMATCH(Q553,""^Sell_""),-ROUNDDOWN(ROUNDUP(INDEX(Upgrades!$C$3:$C$13,MATCH(SUBSTITUTE(Q553,""Sell_"",""""),Upgrades!$B$3:$B$13,0))*1.15^(COUNTIF(Q$4:Q552,SUBSTITUTE(Q553,""Sell_"",""""))-COUNTIF(Q$4:Q552,"&amp;"""Sell_""&amp;SUBSTITUTE(Q553,""Sell_"",""""))))/2),ROUNDUP(INDEX(Upgrades!$C$3:$C$13,MATCH(Q553,Upgrades!$B$3:$B$13,0))*1.15^(COUNTIF(Q$4:Q552,Q553)-COUNTIF(Q$4:Q552,""Sell_""&amp;Q553))))))"),569271.0)</f>
        <v>569271</v>
      </c>
      <c r="V553" s="10">
        <f t="shared" si="11"/>
        <v>569271</v>
      </c>
      <c r="W553" s="68">
        <f t="shared" si="12"/>
        <v>6747.385001</v>
      </c>
      <c r="X553" s="59" t="str">
        <f t="shared" si="13"/>
        <v>1h 52m 27s</v>
      </c>
      <c r="Y553" s="69">
        <f t="shared" si="14"/>
        <v>989183398</v>
      </c>
      <c r="Z553" s="11"/>
    </row>
    <row r="554">
      <c r="A554" s="8"/>
      <c r="B554" s="56" t="str">
        <f t="shared" si="2"/>
        <v/>
      </c>
      <c r="C554" s="57"/>
      <c r="D554" s="10" t="str">
        <f>IFERROR(__xludf.DUMMYFUNCTION("IF(COUNTA(C554:C1350)=0,"""",IF(ISBLANK(C554),FALSE,IF(NOT(COUNTIF($AA$24:$AA$34,SUBSTITUTE(C554,""Sell_"",""""))),1,IF(REGEXMATCH(C554,""Sell_""),IF(COUNTIF(C$4:C554,SUBSTITUTE(C554,""Sell_"",""""))-COUNTIF(C$4:C553,C554)&lt;1,1),FALSE))))"),"")</f>
        <v/>
      </c>
      <c r="E554" s="59" t="str">
        <f t="array" ref="E554">IF(COUNTA(C554:C1350)=0,"",SUM((COUNTIF(C$4:C554,Upgrades!$B$3:$B$13)-COUNTIF(C$4:C554,"Sell_"&amp;Upgrades!$B$3:$B$13))*Upgrades!$D$3:$D$13))</f>
        <v/>
      </c>
      <c r="F554" s="66" t="str">
        <f>IFERROR(__xludf.DUMMYFUNCTION("IF(COUNTA(C554:C1350)=0,"""",IF(REGEXMATCH(INDEX(FILTER(C$4:C554,C$4:C554&lt;&gt;""""),ROWS(FILTER(C$4:C554,C$4:C554&lt;&gt;""""))),""^Sell_""),INDEX(FILTER(F$4:F553,C$4:C553&lt;&gt;""""),ROWS(FILTER(C$4:C553,C$4:C553&lt;&gt;""""))),$AC$5+E554))"),"")</f>
        <v/>
      </c>
      <c r="G554" s="10" t="str">
        <f>IFERROR(__xludf.DUMMYFUNCTION("IF(COUNTA(C554:C1350)=0,"""",IF(C554="""",0,IF(REGEXMATCH(C554,""^Sell_""),-ROUNDDOWN(ROUNDUP(INDEX(Upgrades!$C$3:$C$13,MATCH(SUBSTITUTE(C554,""Sell_"",""""),Upgrades!$B$3:$B$13,0))*1.15^(COUNTIF(C$4:C553,SUBSTITUTE(C554,""Sell_"",""""))-COUNTIF(C$4:C553,"&amp;"""Sell_""&amp;SUBSTITUTE(C554,""Sell_"",""""))))/2),ROUNDUP(INDEX(Upgrades!$C$3:$C$13,MATCH(C554,Upgrades!$B$3:$B$13,0))*1.15^(COUNTIF(C$4:C553,C554)-COUNTIF(C$4:C553,""Sell_""&amp;C554))))))"),"")</f>
        <v/>
      </c>
      <c r="H554" s="10" t="str">
        <f t="shared" si="3"/>
        <v/>
      </c>
      <c r="I554" s="68" t="str">
        <f t="shared" si="4"/>
        <v/>
      </c>
      <c r="J554" s="59" t="str">
        <f t="shared" si="5"/>
        <v/>
      </c>
      <c r="K554" s="69" t="str">
        <f t="shared" si="6"/>
        <v/>
      </c>
      <c r="L554" s="60">
        <f t="shared" si="7"/>
        <v>-187.37772</v>
      </c>
      <c r="M554" s="61">
        <f>IFERROR(__xludf.DUMMYFUNCTION("IFS(AND(COUNTA(C554:C1350)=0,COUNTA(Q554:Q1350)=0),"""",OR(AND(K554&gt;=1000000000,OR(Y554&gt;=1000000000,COUNTA(Q554:Q1350)=0)),OR(Y554&gt;=1000000000,AND(COUNTA(C554:C1350)=0,P$3=TRUE))),
ROUNDDOWN((AB$1-AC$1)*MAX(INDEX(T$4:T1350,MATCH(LARGE(FILTER(Y$4:Y1350,Y$4"&amp;":Y1350&lt;1000000000),1),Y$4:Y1350)),INDEX(F$4:F1350,MATCH(LARGE(FILTER(K$4:K1350,K$4:K1350&lt;1000000000),1),K$4:K1350)))),AND(K554&lt;1000000000,COUNTA(C554:C1350)&gt;0,P$3=FALSE),
ROUNDDOWN(INDEX(Y$4:Y1350,MATCH(LARGE(FILTER(W$4:W1350,W$4:W1350&lt;=I554),1),W$4:W1350"&amp;"))+(I554-LARGE(FILTER(W$4:W1350,W$4:W1350&lt;=I554),1))*INDEX(T$4:T1350,MATCH(LARGE(FILTER(W$4:W1350,W$4:W1350&lt;=I554),1),W$4:W1350))-K554),1,
ROUNDDOWN(Y554-INDEX(K$4:K1350,MATCH(LARGE(FILTER(I$4:I1350,I$4:I1350&lt;=W554),1),I$4:I1350))-(W554-LARGE(FILTER(I$4:I"&amp;"1350,I$4:I1350&lt;=W554),1))*INDEX(F$4:F1350,MATCH(LARGE(FILTER(I$4:I1350,I$4:I1350&lt;=W554),1),I$4:I1350))))"),1.05170623E8)</f>
        <v>105170623</v>
      </c>
      <c r="N554" s="60">
        <f t="shared" si="8"/>
        <v>-187.37772</v>
      </c>
      <c r="O554" s="61" t="str">
        <f t="shared" si="9"/>
        <v>105,2M</v>
      </c>
      <c r="P554" s="56">
        <f t="shared" si="10"/>
        <v>25</v>
      </c>
      <c r="Q554" s="105" t="s">
        <v>4</v>
      </c>
      <c r="R554" s="10" t="b">
        <f>IFERROR(__xludf.DUMMYFUNCTION("IF(COUNTA(Q554:Q1350)=0,"""",IF(ISBLANK(Q554),FALSE,IF(NOT(COUNTIF($AA$24:$AA$34,SUBSTITUTE(Q554,""Sell_"",""""))),1,IF(REGEXMATCH(Q554,""Sell_""),IF(COUNTIF(Q$4:Q554,SUBSTITUTE(Q554,""Sell_"",""""))-COUNTIF(Q$4:Q553,Q554)&lt;1,1),FALSE))))"),FALSE)</f>
        <v>0</v>
      </c>
      <c r="S554" s="59">
        <f t="array" ref="S554">IF(COUNTA(Q554:Q1350)=0,"",SUM((COUNTIF(Q$4:Q554,Upgrades!$B$3:$B$13)-COUNTIF(Q$4:Q554,"Sell_"&amp;Upgrades!$B$3:$B$13))*Upgrades!$D$3:$D$13))</f>
        <v>558845.2</v>
      </c>
      <c r="T554" s="66">
        <f>IFERROR(__xludf.DUMMYFUNCTION("IF(COUNTA(Q554:Q1350)=0,"""",IF(REGEXMATCH(INDEX(FILTER(Q$4:Q554,Q$4:Q554&lt;&gt;""""),ROWS(FILTER(Q$4:Q554,Q$4:Q554&lt;&gt;""""))),""^Sell_""),INDEX(FILTER(T$4:T553,Q$4:Q553&lt;&gt;""""),ROWS(FILTER(Q$4:Q553,Q$4:Q553&lt;&gt;""""))),$AD$5+S554))"),559045.2)</f>
        <v>559045.2</v>
      </c>
      <c r="U554" s="10">
        <f>IFERROR(__xludf.DUMMYFUNCTION("IF(COUNTA(Q554:Q1350)=0,"""",IF(Q554="""",0,IF(REGEXMATCH(Q554,""^Sell_""),-ROUNDDOWN(ROUNDUP(INDEX(Upgrades!$C$3:$C$13,MATCH(SUBSTITUTE(Q554,""Sell_"",""""),Upgrades!$B$3:$B$13,0))*1.15^(COUNTIF(Q$4:Q553,SUBSTITUTE(Q554,""Sell_"",""""))-COUNTIF(Q$4:Q553,"&amp;"""Sell_""&amp;SUBSTITUTE(Q554,""Sell_"",""""))))/2),ROUNDUP(INDEX(Upgrades!$C$3:$C$13,MATCH(Q554,Upgrades!$B$3:$B$13,0))*1.15^(COUNTIF(Q$4:Q553,Q554)-COUNTIF(Q$4:Q553,""Sell_""&amp;Q554))))))"),2863.0)</f>
        <v>2863</v>
      </c>
      <c r="V554" s="10">
        <f t="shared" si="11"/>
        <v>2863</v>
      </c>
      <c r="W554" s="68">
        <f t="shared" si="12"/>
        <v>6747.390123</v>
      </c>
      <c r="X554" s="59" t="str">
        <f t="shared" si="13"/>
        <v>1h 52m 27s</v>
      </c>
      <c r="Y554" s="69">
        <f t="shared" si="14"/>
        <v>989186261</v>
      </c>
      <c r="Z554" s="11"/>
    </row>
    <row r="555">
      <c r="A555" s="8"/>
      <c r="B555" s="56" t="str">
        <f t="shared" si="2"/>
        <v/>
      </c>
      <c r="C555" s="57"/>
      <c r="D555" s="10" t="str">
        <f>IFERROR(__xludf.DUMMYFUNCTION("IF(COUNTA(C555:C1350)=0,"""",IF(ISBLANK(C555),FALSE,IF(NOT(COUNTIF($AA$24:$AA$34,SUBSTITUTE(C555,""Sell_"",""""))),1,IF(REGEXMATCH(C555,""Sell_""),IF(COUNTIF(C$4:C555,SUBSTITUTE(C555,""Sell_"",""""))-COUNTIF(C$4:C554,C555)&lt;1,1),FALSE))))"),"")</f>
        <v/>
      </c>
      <c r="E555" s="59" t="str">
        <f t="array" ref="E555">IF(COUNTA(C555:C1350)=0,"",SUM((COUNTIF(C$4:C555,Upgrades!$B$3:$B$13)-COUNTIF(C$4:C555,"Sell_"&amp;Upgrades!$B$3:$B$13))*Upgrades!$D$3:$D$13))</f>
        <v/>
      </c>
      <c r="F555" s="66" t="str">
        <f>IFERROR(__xludf.DUMMYFUNCTION("IF(COUNTA(C555:C1350)=0,"""",IF(REGEXMATCH(INDEX(FILTER(C$4:C555,C$4:C555&lt;&gt;""""),ROWS(FILTER(C$4:C555,C$4:C555&lt;&gt;""""))),""^Sell_""),INDEX(FILTER(F$4:F554,C$4:C554&lt;&gt;""""),ROWS(FILTER(C$4:C554,C$4:C554&lt;&gt;""""))),$AC$5+E555))"),"")</f>
        <v/>
      </c>
      <c r="G555" s="10" t="str">
        <f>IFERROR(__xludf.DUMMYFUNCTION("IF(COUNTA(C555:C1350)=0,"""",IF(C555="""",0,IF(REGEXMATCH(C555,""^Sell_""),-ROUNDDOWN(ROUNDUP(INDEX(Upgrades!$C$3:$C$13,MATCH(SUBSTITUTE(C555,""Sell_"",""""),Upgrades!$B$3:$B$13,0))*1.15^(COUNTIF(C$4:C554,SUBSTITUTE(C555,""Sell_"",""""))-COUNTIF(C$4:C554,"&amp;"""Sell_""&amp;SUBSTITUTE(C555,""Sell_"",""""))))/2),ROUNDUP(INDEX(Upgrades!$C$3:$C$13,MATCH(C555,Upgrades!$B$3:$B$13,0))*1.15^(COUNTIF(C$4:C554,C555)-COUNTIF(C$4:C554,""Sell_""&amp;C555))))))"),"")</f>
        <v/>
      </c>
      <c r="H555" s="10" t="str">
        <f t="shared" si="3"/>
        <v/>
      </c>
      <c r="I555" s="68" t="str">
        <f t="shared" si="4"/>
        <v/>
      </c>
      <c r="J555" s="59" t="str">
        <f t="shared" si="5"/>
        <v/>
      </c>
      <c r="K555" s="69" t="str">
        <f t="shared" si="6"/>
        <v/>
      </c>
      <c r="L555" s="60">
        <f t="shared" si="7"/>
        <v>-187.29673</v>
      </c>
      <c r="M555" s="61">
        <f>IFERROR(__xludf.DUMMYFUNCTION("IFS(AND(COUNTA(C555:C1350)=0,COUNTA(Q555:Q1350)=0),"""",OR(AND(K555&gt;=1000000000,OR(Y555&gt;=1000000000,COUNTA(Q555:Q1350)=0)),OR(Y555&gt;=1000000000,AND(COUNTA(C555:C1350)=0,P$3=TRUE))),
ROUNDDOWN((AB$1-AC$1)*MAX(INDEX(T$4:T1350,MATCH(LARGE(FILTER(Y$4:Y1350,Y$4"&amp;":Y1350&lt;1000000000),1),Y$4:Y1350)),INDEX(F$4:F1350,MATCH(LARGE(FILTER(K$4:K1350,K$4:K1350&lt;1000000000),1),K$4:K1350)))),AND(K555&lt;1000000000,COUNTA(C555:C1350)&gt;0,P$3=FALSE),
ROUNDDOWN(INDEX(Y$4:Y1350,MATCH(LARGE(FILTER(W$4:W1350,W$4:W1350&lt;=I555),1),W$4:W1350"&amp;"))+(I555-LARGE(FILTER(W$4:W1350,W$4:W1350&lt;=I555),1))*INDEX(T$4:T1350,MATCH(LARGE(FILTER(W$4:W1350,W$4:W1350&lt;=I555),1),W$4:W1350))-K555),1,
ROUNDDOWN(Y555-INDEX(K$4:K1350,MATCH(LARGE(FILTER(I$4:I1350,I$4:I1350&lt;=W555),1),I$4:I1350))-(W555-LARGE(FILTER(I$4:I"&amp;"1350,I$4:I1350&lt;=W555),1))*INDEX(F$4:F1350,MATCH(LARGE(FILTER(I$4:I1350,I$4:I1350&lt;=W555),1),I$4:I1350))))"),1.05200524E8)</f>
        <v>105200524</v>
      </c>
      <c r="N555" s="60">
        <f t="shared" si="8"/>
        <v>-187.29673</v>
      </c>
      <c r="O555" s="61" t="str">
        <f t="shared" si="9"/>
        <v>105,2M</v>
      </c>
      <c r="P555" s="56">
        <f t="shared" si="10"/>
        <v>19</v>
      </c>
      <c r="Q555" s="105" t="s">
        <v>9</v>
      </c>
      <c r="R555" s="10" t="b">
        <f>IFERROR(__xludf.DUMMYFUNCTION("IF(COUNTA(Q555:Q1350)=0,"""",IF(ISBLANK(Q555),FALSE,IF(NOT(COUNTIF($AA$24:$AA$34,SUBSTITUTE(Q555,""Sell_"",""""))),1,IF(REGEXMATCH(Q555,""Sell_""),IF(COUNTIF(Q$4:Q555,SUBSTITUTE(Q555,""Sell_"",""""))-COUNTIF(Q$4:Q554,Q555)&lt;1,1),FALSE))))"),FALSE)</f>
        <v>0</v>
      </c>
      <c r="S555" s="59">
        <f t="array" ref="S555">IF(COUNTA(Q555:Q1350)=0,"",SUM((COUNTIF(Q$4:Q555,Upgrades!$B$3:$B$13)-COUNTIF(Q$4:Q555,"Sell_"&amp;Upgrades!$B$3:$B$13))*Upgrades!$D$3:$D$13))</f>
        <v>559245.2</v>
      </c>
      <c r="T555" s="66">
        <f>IFERROR(__xludf.DUMMYFUNCTION("IF(COUNTA(Q555:Q1350)=0,"""",IF(REGEXMATCH(INDEX(FILTER(Q$4:Q555,Q$4:Q555&lt;&gt;""""),ROWS(FILTER(Q$4:Q555,Q$4:Q555&lt;&gt;""""))),""^Sell_""),INDEX(FILTER(T$4:T554,Q$4:Q554&lt;&gt;""""),ROWS(FILTER(Q$4:Q554,Q$4:Q554&lt;&gt;""""))),$AD$5+S555))"),559445.2)</f>
        <v>559445.2</v>
      </c>
      <c r="U555" s="10">
        <f>IFERROR(__xludf.DUMMYFUNCTION("IF(COUNTA(Q555:Q1350)=0,"""",IF(Q555="""",0,IF(REGEXMATCH(Q555,""^Sell_""),-ROUNDDOWN(ROUNDUP(INDEX(Upgrades!$C$3:$C$13,MATCH(SUBSTITUTE(Q555,""Sell_"",""""),Upgrades!$B$3:$B$13,0))*1.15^(COUNTIF(Q$4:Q554,SUBSTITUTE(Q555,""Sell_"",""""))-COUNTIF(Q$4:Q554,"&amp;"""Sell_""&amp;SUBSTITUTE(Q555,""Sell_"",""""))))/2),ROUNDUP(INDEX(Upgrades!$C$3:$C$13,MATCH(Q555,Upgrades!$B$3:$B$13,0))*1.15^(COUNTIF(Q$4:Q554,Q555)-COUNTIF(Q$4:Q554,""Sell_""&amp;Q555))))))"),2475091.0)</f>
        <v>2475091</v>
      </c>
      <c r="V555" s="10">
        <f t="shared" si="11"/>
        <v>2475091</v>
      </c>
      <c r="W555" s="68">
        <f t="shared" si="12"/>
        <v>6751.817477</v>
      </c>
      <c r="X555" s="59" t="str">
        <f t="shared" si="13"/>
        <v>1h 52m 31s</v>
      </c>
      <c r="Y555" s="69">
        <f t="shared" si="14"/>
        <v>991661352</v>
      </c>
      <c r="Z555" s="11"/>
    </row>
    <row r="556">
      <c r="A556" s="8"/>
      <c r="B556" s="56" t="str">
        <f t="shared" si="2"/>
        <v/>
      </c>
      <c r="C556" s="57"/>
      <c r="D556" s="10" t="str">
        <f>IFERROR(__xludf.DUMMYFUNCTION("IF(COUNTA(C556:C1350)=0,"""",IF(ISBLANK(C556),FALSE,IF(NOT(COUNTIF($AA$24:$AA$34,SUBSTITUTE(C556,""Sell_"",""""))),1,IF(REGEXMATCH(C556,""Sell_""),IF(COUNTIF(C$4:C556,SUBSTITUTE(C556,""Sell_"",""""))-COUNTIF(C$4:C555,C556)&lt;1,1),FALSE))))"),"")</f>
        <v/>
      </c>
      <c r="E556" s="59" t="str">
        <f t="array" ref="E556">IF(COUNTA(C556:C1350)=0,"",SUM((COUNTIF(C$4:C556,Upgrades!$B$3:$B$13)-COUNTIF(C$4:C556,"Sell_"&amp;Upgrades!$B$3:$B$13))*Upgrades!$D$3:$D$13))</f>
        <v/>
      </c>
      <c r="F556" s="66" t="str">
        <f>IFERROR(__xludf.DUMMYFUNCTION("IF(COUNTA(C556:C1350)=0,"""",IF(REGEXMATCH(INDEX(FILTER(C$4:C556,C$4:C556&lt;&gt;""""),ROWS(FILTER(C$4:C556,C$4:C556&lt;&gt;""""))),""^Sell_""),INDEX(FILTER(F$4:F555,C$4:C555&lt;&gt;""""),ROWS(FILTER(C$4:C555,C$4:C555&lt;&gt;""""))),$AC$5+E556))"),"")</f>
        <v/>
      </c>
      <c r="G556" s="10" t="str">
        <f>IFERROR(__xludf.DUMMYFUNCTION("IF(COUNTA(C556:C1350)=0,"""",IF(C556="""",0,IF(REGEXMATCH(C556,""^Sell_""),-ROUNDDOWN(ROUNDUP(INDEX(Upgrades!$C$3:$C$13,MATCH(SUBSTITUTE(C556,""Sell_"",""""),Upgrades!$B$3:$B$13,0))*1.15^(COUNTIF(C$4:C555,SUBSTITUTE(C556,""Sell_"",""""))-COUNTIF(C$4:C555,"&amp;"""Sell_""&amp;SUBSTITUTE(C556,""Sell_"",""""))))/2),ROUNDUP(INDEX(Upgrades!$C$3:$C$13,MATCH(C556,Upgrades!$B$3:$B$13,0))*1.15^(COUNTIF(C$4:C555,C556)-COUNTIF(C$4:C555,""Sell_""&amp;C556))))))"),"")</f>
        <v/>
      </c>
      <c r="H556" s="10" t="str">
        <f t="shared" si="3"/>
        <v/>
      </c>
      <c r="I556" s="68" t="str">
        <f t="shared" si="4"/>
        <v/>
      </c>
      <c r="J556" s="59" t="str">
        <f t="shared" si="5"/>
        <v/>
      </c>
      <c r="K556" s="69" t="str">
        <f t="shared" si="6"/>
        <v/>
      </c>
      <c r="L556" s="60">
        <f t="shared" si="7"/>
        <v>-187.28886</v>
      </c>
      <c r="M556" s="61">
        <f>IFERROR(__xludf.DUMMYFUNCTION("IFS(AND(COUNTA(C556:C1350)=0,COUNTA(Q556:Q1350)=0),"""",OR(AND(K556&gt;=1000000000,OR(Y556&gt;=1000000000,COUNTA(Q556:Q1350)=0)),OR(Y556&gt;=1000000000,AND(COUNTA(C556:C1350)=0,P$3=TRUE))),
ROUNDDOWN((AB$1-AC$1)*MAX(INDEX(T$4:T1350,MATCH(LARGE(FILTER(Y$4:Y1350,Y$4"&amp;":Y1350&lt;1000000000),1),Y$4:Y1350)),INDEX(F$4:F1350,MATCH(LARGE(FILTER(K$4:K1350,K$4:K1350&lt;1000000000),1),K$4:K1350)))),AND(K556&lt;1000000000,COUNTA(C556:C1350)&gt;0,P$3=FALSE),
ROUNDDOWN(INDEX(Y$4:Y1350,MATCH(LARGE(FILTER(W$4:W1350,W$4:W1350&lt;=I556),1),W$4:W1350"&amp;"))+(I556-LARGE(FILTER(W$4:W1350,W$4:W1350&lt;=I556),1))*INDEX(T$4:T1350,MATCH(LARGE(FILTER(W$4:W1350,W$4:W1350&lt;=I556),1),W$4:W1350))-K556),1,
ROUNDDOWN(Y556-INDEX(K$4:K1350,MATCH(LARGE(FILTER(I$4:I1350,I$4:I1350&lt;=W556),1),I$4:I1350))-(W556-LARGE(FILTER(I$4:I"&amp;"1350,I$4:I1350&lt;=W556),1))*INDEX(F$4:F1350,MATCH(LARGE(FILTER(I$4:I1350,I$4:I1350&lt;=W556),1),I$4:I1350))))"),1.05203707E8)</f>
        <v>105203707</v>
      </c>
      <c r="N556" s="60">
        <f t="shared" si="8"/>
        <v>-187.28886</v>
      </c>
      <c r="O556" s="61" t="str">
        <f t="shared" si="9"/>
        <v>105,2M</v>
      </c>
      <c r="P556" s="56">
        <f t="shared" si="10"/>
        <v>24</v>
      </c>
      <c r="Q556" s="105" t="s">
        <v>7</v>
      </c>
      <c r="R556" s="10" t="b">
        <f>IFERROR(__xludf.DUMMYFUNCTION("IF(COUNTA(Q556:Q1350)=0,"""",IF(ISBLANK(Q556),FALSE,IF(NOT(COUNTIF($AA$24:$AA$34,SUBSTITUTE(Q556,""Sell_"",""""))),1,IF(REGEXMATCH(Q556,""Sell_""),IF(COUNTIF(Q$4:Q556,SUBSTITUTE(Q556,""Sell_"",""""))-COUNTIF(Q$4:Q555,Q556)&lt;1,1),FALSE))))"),FALSE)</f>
        <v>0</v>
      </c>
      <c r="S556" s="59">
        <f t="array" ref="S556">IF(COUNTA(Q556:Q1350)=0,"",SUM((COUNTIF(Q$4:Q556,Upgrades!$B$3:$B$13)-COUNTIF(Q$4:Q556,"Sell_"&amp;Upgrades!$B$3:$B$13))*Upgrades!$D$3:$D$13))</f>
        <v>559285.2</v>
      </c>
      <c r="T556" s="66">
        <f>IFERROR(__xludf.DUMMYFUNCTION("IF(COUNTA(Q556:Q1350)=0,"""",IF(REGEXMATCH(INDEX(FILTER(Q$4:Q556,Q$4:Q556&lt;&gt;""""),ROWS(FILTER(Q$4:Q556,Q$4:Q556&lt;&gt;""""))),""^Sell_""),INDEX(FILTER(T$4:T555,Q$4:Q555&lt;&gt;""""),ROWS(FILTER(Q$4:Q555,Q$4:Q555&lt;&gt;""""))),$AD$5+S556))"),559485.2)</f>
        <v>559485.2</v>
      </c>
      <c r="U556" s="10">
        <f>IFERROR(__xludf.DUMMYFUNCTION("IF(COUNTA(Q556:Q1350)=0,"""",IF(Q556="""",0,IF(REGEXMATCH(Q556,""^Sell_""),-ROUNDDOWN(ROUNDUP(INDEX(Upgrades!$C$3:$C$13,MATCH(SUBSTITUTE(Q556,""Sell_"",""""),Upgrades!$B$3:$B$13,0))*1.15^(COUNTIF(Q$4:Q555,SUBSTITUTE(Q556,""Sell_"",""""))-COUNTIF(Q$4:Q555,"&amp;"""Sell_""&amp;SUBSTITUTE(Q556,""Sell_"",""""))))/2),ROUNDUP(INDEX(Upgrades!$C$3:$C$13,MATCH(Q556,Upgrades!$B$3:$B$13,0))*1.15^(COUNTIF(Q$4:Q555,Q556)-COUNTIF(Q$4:Q555,""Sell_""&amp;Q556))))))"),248915.0)</f>
        <v>248915</v>
      </c>
      <c r="V556" s="10">
        <f t="shared" si="11"/>
        <v>248915</v>
      </c>
      <c r="W556" s="68">
        <f t="shared" si="12"/>
        <v>6752.262409</v>
      </c>
      <c r="X556" s="59" t="str">
        <f t="shared" si="13"/>
        <v>1h 52m 32s</v>
      </c>
      <c r="Y556" s="69">
        <f t="shared" si="14"/>
        <v>991910267</v>
      </c>
      <c r="Z556" s="11"/>
    </row>
    <row r="557">
      <c r="A557" s="8"/>
      <c r="B557" s="56" t="str">
        <f t="shared" si="2"/>
        <v/>
      </c>
      <c r="C557" s="57"/>
      <c r="D557" s="10" t="str">
        <f>IFERROR(__xludf.DUMMYFUNCTION("IF(COUNTA(C557:C1350)=0,"""",IF(ISBLANK(C557),FALSE,IF(NOT(COUNTIF($AA$24:$AA$34,SUBSTITUTE(C557,""Sell_"",""""))),1,IF(REGEXMATCH(C557,""Sell_""),IF(COUNTIF(C$4:C557,SUBSTITUTE(C557,""Sell_"",""""))-COUNTIF(C$4:C556,C557)&lt;1,1),FALSE))))"),"")</f>
        <v/>
      </c>
      <c r="E557" s="59" t="str">
        <f t="array" ref="E557">IF(COUNTA(C557:C1350)=0,"",SUM((COUNTIF(C$4:C557,Upgrades!$B$3:$B$13)-COUNTIF(C$4:C557,"Sell_"&amp;Upgrades!$B$3:$B$13))*Upgrades!$D$3:$D$13))</f>
        <v/>
      </c>
      <c r="F557" s="66" t="str">
        <f>IFERROR(__xludf.DUMMYFUNCTION("IF(COUNTA(C557:C1350)=0,"""",IF(REGEXMATCH(INDEX(FILTER(C$4:C557,C$4:C557&lt;&gt;""""),ROWS(FILTER(C$4:C557,C$4:C557&lt;&gt;""""))),""^Sell_""),INDEX(FILTER(F$4:F556,C$4:C556&lt;&gt;""""),ROWS(FILTER(C$4:C556,C$4:C556&lt;&gt;""""))),$AC$5+E557))"),"")</f>
        <v/>
      </c>
      <c r="G557" s="10" t="str">
        <f>IFERROR(__xludf.DUMMYFUNCTION("IF(COUNTA(C557:C1350)=0,"""",IF(C557="""",0,IF(REGEXMATCH(C557,""^Sell_""),-ROUNDDOWN(ROUNDUP(INDEX(Upgrades!$C$3:$C$13,MATCH(SUBSTITUTE(C557,""Sell_"",""""),Upgrades!$B$3:$B$13,0))*1.15^(COUNTIF(C$4:C556,SUBSTITUTE(C557,""Sell_"",""""))-COUNTIF(C$4:C556,"&amp;"""Sell_""&amp;SUBSTITUTE(C557,""Sell_"",""""))))/2),ROUNDUP(INDEX(Upgrades!$C$3:$C$13,MATCH(C557,Upgrades!$B$3:$B$13,0))*1.15^(COUNTIF(C$4:C556,C557)-COUNTIF(C$4:C556,""Sell_""&amp;C557))))))"),"")</f>
        <v/>
      </c>
      <c r="H557" s="10" t="str">
        <f t="shared" si="3"/>
        <v/>
      </c>
      <c r="I557" s="68" t="str">
        <f t="shared" si="4"/>
        <v/>
      </c>
      <c r="J557" s="59" t="str">
        <f t="shared" si="5"/>
        <v/>
      </c>
      <c r="K557" s="69" t="str">
        <f t="shared" si="6"/>
        <v/>
      </c>
      <c r="L557" s="60">
        <f t="shared" si="7"/>
        <v>-187.28807</v>
      </c>
      <c r="M557" s="61">
        <f>IFERROR(__xludf.DUMMYFUNCTION("IFS(AND(COUNTA(C557:C1350)=0,COUNTA(Q557:Q1350)=0),"""",OR(AND(K557&gt;=1000000000,OR(Y557&gt;=1000000000,COUNTA(Q557:Q1350)=0)),OR(Y557&gt;=1000000000,AND(COUNTA(C557:C1350)=0,P$3=TRUE))),
ROUNDDOWN((AB$1-AC$1)*MAX(INDEX(T$4:T1350,MATCH(LARGE(FILTER(Y$4:Y1350,Y$4"&amp;":Y1350&lt;1000000000),1),Y$4:Y1350)),INDEX(F$4:F1350,MATCH(LARGE(FILTER(K$4:K1350,K$4:K1350&lt;1000000000),1),K$4:K1350)))),AND(K557&lt;1000000000,COUNTA(C557:C1350)&gt;0,P$3=FALSE),
ROUNDDOWN(INDEX(Y$4:Y1350,MATCH(LARGE(FILTER(W$4:W1350,W$4:W1350&lt;=I557),1),W$4:W1350"&amp;"))+(I557-LARGE(FILTER(W$4:W1350,W$4:W1350&lt;=I557),1))*INDEX(T$4:T1350,MATCH(LARGE(FILTER(W$4:W1350,W$4:W1350&lt;=I557),1),W$4:W1350))-K557),1,
ROUNDDOWN(Y557-INDEX(K$4:K1350,MATCH(LARGE(FILTER(I$4:I1350,I$4:I1350&lt;=W557),1),I$4:I1350))-(W557-LARGE(FILTER(I$4:I"&amp;"1350,I$4:I1350&lt;=W557),1))*INDEX(F$4:F1350,MATCH(LARGE(FILTER(I$4:I1350,I$4:I1350&lt;=W557),1),I$4:I1350))))"),1.05204029E8)</f>
        <v>105204029</v>
      </c>
      <c r="N557" s="60">
        <f t="shared" si="8"/>
        <v>-187.28807</v>
      </c>
      <c r="O557" s="61" t="str">
        <f t="shared" si="9"/>
        <v>105,2M</v>
      </c>
      <c r="P557" s="56">
        <f t="shared" si="10"/>
        <v>29</v>
      </c>
      <c r="Q557" s="105" t="s">
        <v>5</v>
      </c>
      <c r="R557" s="10" t="b">
        <f>IFERROR(__xludf.DUMMYFUNCTION("IF(COUNTA(Q557:Q1350)=0,"""",IF(ISBLANK(Q557),FALSE,IF(NOT(COUNTIF($AA$24:$AA$34,SUBSTITUTE(Q557,""Sell_"",""""))),1,IF(REGEXMATCH(Q557,""Sell_""),IF(COUNTIF(Q$4:Q557,SUBSTITUTE(Q557,""Sell_"",""""))-COUNTIF(Q$4:Q556,Q557)&lt;1,1),FALSE))))"),FALSE)</f>
        <v>0</v>
      </c>
      <c r="S557" s="59">
        <f t="array" ref="S557">IF(COUNTA(Q557:Q1350)=0,"",SUM((COUNTIF(Q$4:Q557,Upgrades!$B$3:$B$13)-COUNTIF(Q$4:Q557,"Sell_"&amp;Upgrades!$B$3:$B$13))*Upgrades!$D$3:$D$13))</f>
        <v>559289.2</v>
      </c>
      <c r="T557" s="66">
        <f>IFERROR(__xludf.DUMMYFUNCTION("IF(COUNTA(Q557:Q1350)=0,"""",IF(REGEXMATCH(INDEX(FILTER(Q$4:Q557,Q$4:Q557&lt;&gt;""""),ROWS(FILTER(Q$4:Q557,Q$4:Q557&lt;&gt;""""))),""^Sell_""),INDEX(FILTER(T$4:T556,Q$4:Q556&lt;&gt;""""),ROWS(FILTER(Q$4:Q556,Q$4:Q556&lt;&gt;""""))),$AD$5+S557))"),559489.2)</f>
        <v>559489.2</v>
      </c>
      <c r="U557" s="10">
        <f>IFERROR(__xludf.DUMMYFUNCTION("IF(COUNTA(Q557:Q1350)=0,"""",IF(Q557="""",0,IF(REGEXMATCH(Q557,""^Sell_""),-ROUNDDOWN(ROUNDUP(INDEX(Upgrades!$C$3:$C$13,MATCH(SUBSTITUTE(Q557,""Sell_"",""""),Upgrades!$B$3:$B$13,0))*1.15^(COUNTIF(Q$4:Q556,SUBSTITUTE(Q557,""Sell_"",""""))-COUNTIF(Q$4:Q556,"&amp;"""Sell_""&amp;SUBSTITUTE(Q557,""Sell_"",""""))))/2),ROUNDUP(INDEX(Upgrades!$C$3:$C$13,MATCH(Q557,Upgrades!$B$3:$B$13,0))*1.15^(COUNTIF(Q$4:Q556,Q557)-COUNTIF(Q$4:Q556,""Sell_""&amp;Q557))))))"),25033.0)</f>
        <v>25033</v>
      </c>
      <c r="V557" s="10">
        <f t="shared" si="11"/>
        <v>25033</v>
      </c>
      <c r="W557" s="68">
        <f t="shared" si="12"/>
        <v>6752.307151</v>
      </c>
      <c r="X557" s="59" t="str">
        <f t="shared" si="13"/>
        <v>1h 52m 32s</v>
      </c>
      <c r="Y557" s="69">
        <f t="shared" si="14"/>
        <v>991935300</v>
      </c>
      <c r="Z557" s="11"/>
    </row>
    <row r="558">
      <c r="A558" s="8"/>
      <c r="B558" s="56" t="str">
        <f t="shared" si="2"/>
        <v/>
      </c>
      <c r="C558" s="57"/>
      <c r="D558" s="10" t="str">
        <f>IFERROR(__xludf.DUMMYFUNCTION("IF(COUNTA(C558:C1350)=0,"""",IF(ISBLANK(C558),FALSE,IF(NOT(COUNTIF($AA$24:$AA$34,SUBSTITUTE(C558,""Sell_"",""""))),1,IF(REGEXMATCH(C558,""Sell_""),IF(COUNTIF(C$4:C558,SUBSTITUTE(C558,""Sell_"",""""))-COUNTIF(C$4:C557,C558)&lt;1,1),FALSE))))"),"")</f>
        <v/>
      </c>
      <c r="E558" s="59" t="str">
        <f t="array" ref="E558">IF(COUNTA(C558:C1350)=0,"",SUM((COUNTIF(C$4:C558,Upgrades!$B$3:$B$13)-COUNTIF(C$4:C558,"Sell_"&amp;Upgrades!$B$3:$B$13))*Upgrades!$D$3:$D$13))</f>
        <v/>
      </c>
      <c r="F558" s="66" t="str">
        <f>IFERROR(__xludf.DUMMYFUNCTION("IF(COUNTA(C558:C1350)=0,"""",IF(REGEXMATCH(INDEX(FILTER(C$4:C558,C$4:C558&lt;&gt;""""),ROWS(FILTER(C$4:C558,C$4:C558&lt;&gt;""""))),""^Sell_""),INDEX(FILTER(F$4:F557,C$4:C557&lt;&gt;""""),ROWS(FILTER(C$4:C557,C$4:C557&lt;&gt;""""))),$AC$5+E558))"),"")</f>
        <v/>
      </c>
      <c r="G558" s="10" t="str">
        <f>IFERROR(__xludf.DUMMYFUNCTION("IF(COUNTA(C558:C1350)=0,"""",IF(C558="""",0,IF(REGEXMATCH(C558,""^Sell_""),-ROUNDDOWN(ROUNDUP(INDEX(Upgrades!$C$3:$C$13,MATCH(SUBSTITUTE(C558,""Sell_"",""""),Upgrades!$B$3:$B$13,0))*1.15^(COUNTIF(C$4:C557,SUBSTITUTE(C558,""Sell_"",""""))-COUNTIF(C$4:C557,"&amp;"""Sell_""&amp;SUBSTITUTE(C558,""Sell_"",""""))))/2),ROUNDUP(INDEX(Upgrades!$C$3:$C$13,MATCH(C558,Upgrades!$B$3:$B$13,0))*1.15^(COUNTIF(C$4:C557,C558)-COUNTIF(C$4:C557,""Sell_""&amp;C558))))))"),"")</f>
        <v/>
      </c>
      <c r="H558" s="10" t="str">
        <f t="shared" si="3"/>
        <v/>
      </c>
      <c r="I558" s="68" t="str">
        <f t="shared" si="4"/>
        <v/>
      </c>
      <c r="J558" s="59" t="str">
        <f t="shared" si="5"/>
        <v/>
      </c>
      <c r="K558" s="69" t="str">
        <f t="shared" si="6"/>
        <v/>
      </c>
      <c r="L558" s="60">
        <f t="shared" si="7"/>
        <v>-187.28603</v>
      </c>
      <c r="M558" s="61">
        <f>IFERROR(__xludf.DUMMYFUNCTION("IFS(AND(COUNTA(C558:C1350)=0,COUNTA(Q558:Q1350)=0),"""",OR(AND(K558&gt;=1000000000,OR(Y558&gt;=1000000000,COUNTA(Q558:Q1350)=0)),OR(Y558&gt;=1000000000,AND(COUNTA(C558:C1350)=0,P$3=TRUE))),
ROUNDDOWN((AB$1-AC$1)*MAX(INDEX(T$4:T1350,MATCH(LARGE(FILTER(Y$4:Y1350,Y$4"&amp;":Y1350&lt;1000000000),1),Y$4:Y1350)),INDEX(F$4:F1350,MATCH(LARGE(FILTER(K$4:K1350,K$4:K1350&lt;1000000000),1),K$4:K1350)))),AND(K558&lt;1000000000,COUNTA(C558:C1350)&gt;0,P$3=FALSE),
ROUNDDOWN(INDEX(Y$4:Y1350,MATCH(LARGE(FILTER(W$4:W1350,W$4:W1350&lt;=I558),1),W$4:W1350"&amp;"))+(I558-LARGE(FILTER(W$4:W1350,W$4:W1350&lt;=I558),1))*INDEX(T$4:T1350,MATCH(LARGE(FILTER(W$4:W1350,W$4:W1350&lt;=I558),1),W$4:W1350))-K558),1,
ROUNDDOWN(Y558-INDEX(K$4:K1350,MATCH(LARGE(FILTER(I$4:I1350,I$4:I1350&lt;=W558),1),I$4:I1350))-(W558-LARGE(FILTER(I$4:I"&amp;"1350,I$4:I1350&lt;=W558),1))*INDEX(F$4:F1350,MATCH(LARGE(FILTER(I$4:I1350,I$4:I1350&lt;=W558),1),I$4:I1350))))"),1.05204864E8)</f>
        <v>105204864</v>
      </c>
      <c r="N558" s="60">
        <f t="shared" si="8"/>
        <v>-187.28603</v>
      </c>
      <c r="O558" s="61" t="str">
        <f t="shared" si="9"/>
        <v>105,2M</v>
      </c>
      <c r="P558" s="56">
        <f t="shared" si="10"/>
        <v>23</v>
      </c>
      <c r="Q558" s="105" t="s">
        <v>6</v>
      </c>
      <c r="R558" s="10" t="b">
        <f>IFERROR(__xludf.DUMMYFUNCTION("IF(COUNTA(Q558:Q1350)=0,"""",IF(ISBLANK(Q558),FALSE,IF(NOT(COUNTIF($AA$24:$AA$34,SUBSTITUTE(Q558,""Sell_"",""""))),1,IF(REGEXMATCH(Q558,""Sell_""),IF(COUNTIF(Q$4:Q558,SUBSTITUTE(Q558,""Sell_"",""""))-COUNTIF(Q$4:Q557,Q558)&lt;1,1),FALSE))))"),FALSE)</f>
        <v>0</v>
      </c>
      <c r="S558" s="59">
        <f t="array" ref="S558">IF(COUNTA(Q558:Q1350)=0,"",SUM((COUNTIF(Q$4:Q558,Upgrades!$B$3:$B$13)-COUNTIF(Q$4:Q558,"Sell_"&amp;Upgrades!$B$3:$B$13))*Upgrades!$D$3:$D$13))</f>
        <v>559299.2</v>
      </c>
      <c r="T558" s="66">
        <f>IFERROR(__xludf.DUMMYFUNCTION("IF(COUNTA(Q558:Q1350)=0,"""",IF(REGEXMATCH(INDEX(FILTER(Q$4:Q558,Q$4:Q558&lt;&gt;""""),ROWS(FILTER(Q$4:Q558,Q$4:Q558&lt;&gt;""""))),""^Sell_""),INDEX(FILTER(T$4:T557,Q$4:Q557&lt;&gt;""""),ROWS(FILTER(Q$4:Q557,Q$4:Q557&lt;&gt;""""))),$AD$5+S558))"),559499.2)</f>
        <v>559499.2</v>
      </c>
      <c r="U558" s="10">
        <f>IFERROR(__xludf.DUMMYFUNCTION("IF(COUNTA(Q558:Q1350)=0,"""",IF(Q558="""",0,IF(REGEXMATCH(Q558,""^Sell_""),-ROUNDDOWN(ROUNDUP(INDEX(Upgrades!$C$3:$C$13,MATCH(SUBSTITUTE(Q558,""Sell_"",""""),Upgrades!$B$3:$B$13,0))*1.15^(COUNTIF(Q$4:Q557,SUBSTITUTE(Q558,""Sell_"",""""))-COUNTIF(Q$4:Q557,"&amp;"""Sell_""&amp;SUBSTITUTE(Q558,""Sell_"",""""))))/2),ROUNDUP(INDEX(Upgrades!$C$3:$C$13,MATCH(Q558,Upgrades!$B$3:$B$13,0))*1.15^(COUNTIF(Q$4:Q557,Q558)-COUNTIF(Q$4:Q557,""Sell_""&amp;Q558))))))"),64935.0)</f>
        <v>64935</v>
      </c>
      <c r="V558" s="10">
        <f t="shared" si="11"/>
        <v>64935</v>
      </c>
      <c r="W558" s="68">
        <f t="shared" si="12"/>
        <v>6752.423213</v>
      </c>
      <c r="X558" s="59" t="str">
        <f t="shared" si="13"/>
        <v>1h 52m 32s</v>
      </c>
      <c r="Y558" s="69">
        <f t="shared" si="14"/>
        <v>992000235</v>
      </c>
      <c r="Z558" s="11"/>
    </row>
    <row r="559">
      <c r="A559" s="8"/>
      <c r="B559" s="56" t="str">
        <f t="shared" si="2"/>
        <v/>
      </c>
      <c r="C559" s="57"/>
      <c r="D559" s="10" t="str">
        <f>IFERROR(__xludf.DUMMYFUNCTION("IF(COUNTA(C559:C1350)=0,"""",IF(ISBLANK(C559),FALSE,IF(NOT(COUNTIF($AA$24:$AA$34,SUBSTITUTE(C559,""Sell_"",""""))),1,IF(REGEXMATCH(C559,""Sell_""),IF(COUNTIF(C$4:C559,SUBSTITUTE(C559,""Sell_"",""""))-COUNTIF(C$4:C558,C559)&lt;1,1),FALSE))))"),"")</f>
        <v/>
      </c>
      <c r="E559" s="59" t="str">
        <f t="array" ref="E559">IF(COUNTA(C559:C1350)=0,"",SUM((COUNTIF(C$4:C559,Upgrades!$B$3:$B$13)-COUNTIF(C$4:C559,"Sell_"&amp;Upgrades!$B$3:$B$13))*Upgrades!$D$3:$D$13))</f>
        <v/>
      </c>
      <c r="F559" s="66" t="str">
        <f>IFERROR(__xludf.DUMMYFUNCTION("IF(COUNTA(C559:C1350)=0,"""",IF(REGEXMATCH(INDEX(FILTER(C$4:C559,C$4:C559&lt;&gt;""""),ROWS(FILTER(C$4:C559,C$4:C559&lt;&gt;""""))),""^Sell_""),INDEX(FILTER(F$4:F558,C$4:C558&lt;&gt;""""),ROWS(FILTER(C$4:C558,C$4:C558&lt;&gt;""""))),$AC$5+E559))"),"")</f>
        <v/>
      </c>
      <c r="G559" s="10" t="str">
        <f>IFERROR(__xludf.DUMMYFUNCTION("IF(COUNTA(C559:C1350)=0,"""",IF(C559="""",0,IF(REGEXMATCH(C559,""^Sell_""),-ROUNDDOWN(ROUNDUP(INDEX(Upgrades!$C$3:$C$13,MATCH(SUBSTITUTE(C559,""Sell_"",""""),Upgrades!$B$3:$B$13,0))*1.15^(COUNTIF(C$4:C558,SUBSTITUTE(C559,""Sell_"",""""))-COUNTIF(C$4:C558,"&amp;"""Sell_""&amp;SUBSTITUTE(C559,""Sell_"",""""))))/2),ROUNDUP(INDEX(Upgrades!$C$3:$C$13,MATCH(C559,Upgrades!$B$3:$B$13,0))*1.15^(COUNTIF(C$4:C558,C559)-COUNTIF(C$4:C558,""Sell_""&amp;C559))))))"),"")</f>
        <v/>
      </c>
      <c r="H559" s="10" t="str">
        <f t="shared" si="3"/>
        <v/>
      </c>
      <c r="I559" s="68" t="str">
        <f t="shared" si="4"/>
        <v/>
      </c>
      <c r="J559" s="59" t="str">
        <f t="shared" si="5"/>
        <v/>
      </c>
      <c r="K559" s="69" t="str">
        <f t="shared" si="6"/>
        <v/>
      </c>
      <c r="L559" s="60">
        <f t="shared" si="7"/>
        <v>-187.28601</v>
      </c>
      <c r="M559" s="61">
        <f>IFERROR(__xludf.DUMMYFUNCTION("IFS(AND(COUNTA(C559:C1350)=0,COUNTA(Q559:Q1350)=0),"""",OR(AND(K559&gt;=1000000000,OR(Y559&gt;=1000000000,COUNTA(Q559:Q1350)=0)),OR(Y559&gt;=1000000000,AND(COUNTA(C559:C1350)=0,P$3=TRUE))),
ROUNDDOWN((AB$1-AC$1)*MAX(INDEX(T$4:T1350,MATCH(LARGE(FILTER(Y$4:Y1350,Y$4"&amp;":Y1350&lt;1000000000),1),Y$4:Y1350)),INDEX(F$4:F1350,MATCH(LARGE(FILTER(K$4:K1350,K$4:K1350&lt;1000000000),1),K$4:K1350)))),AND(K559&lt;1000000000,COUNTA(C559:C1350)&gt;0,P$3=FALSE),
ROUNDDOWN(INDEX(Y$4:Y1350,MATCH(LARGE(FILTER(W$4:W1350,W$4:W1350&lt;=I559),1),W$4:W1350"&amp;"))+(I559-LARGE(FILTER(W$4:W1350,W$4:W1350&lt;=I559),1))*INDEX(T$4:T1350,MATCH(LARGE(FILTER(W$4:W1350,W$4:W1350&lt;=I559),1),W$4:W1350))-K559),1,
ROUNDDOWN(Y559-INDEX(K$4:K1350,MATCH(LARGE(FILTER(I$4:I1350,I$4:I1350&lt;=W559),1),I$4:I1350))-(W559-LARGE(FILTER(I$4:I"&amp;"1350,I$4:I1350&lt;=W559),1))*INDEX(F$4:F1350,MATCH(LARGE(FILTER(I$4:I1350,I$4:I1350&lt;=W559),1),I$4:I1350))))"),1.05204872E8)</f>
        <v>105204872</v>
      </c>
      <c r="N559" s="60">
        <f t="shared" si="8"/>
        <v>-187.28601</v>
      </c>
      <c r="O559" s="61" t="str">
        <f t="shared" si="9"/>
        <v>105,2M</v>
      </c>
      <c r="P559" s="56">
        <f t="shared" si="10"/>
        <v>28</v>
      </c>
      <c r="Q559" s="105" t="s">
        <v>3</v>
      </c>
      <c r="R559" s="10" t="b">
        <f>IFERROR(__xludf.DUMMYFUNCTION("IF(COUNTA(Q559:Q1350)=0,"""",IF(ISBLANK(Q559),FALSE,IF(NOT(COUNTIF($AA$24:$AA$34,SUBSTITUTE(Q559,""Sell_"",""""))),1,IF(REGEXMATCH(Q559,""Sell_""),IF(COUNTIF(Q$4:Q559,SUBSTITUTE(Q559,""Sell_"",""""))-COUNTIF(Q$4:Q558,Q559)&lt;1,1),FALSE))))"),FALSE)</f>
        <v>0</v>
      </c>
      <c r="S559" s="59">
        <f t="array" ref="S559">IF(COUNTA(Q559:Q1350)=0,"",SUM((COUNTIF(Q$4:Q559,Upgrades!$B$3:$B$13)-COUNTIF(Q$4:Q559,"Sell_"&amp;Upgrades!$B$3:$B$13))*Upgrades!$D$3:$D$13))</f>
        <v>559299.3</v>
      </c>
      <c r="T559" s="66">
        <f>IFERROR(__xludf.DUMMYFUNCTION("IF(COUNTA(Q559:Q1350)=0,"""",IF(REGEXMATCH(INDEX(FILTER(Q$4:Q559,Q$4:Q559&lt;&gt;""""),ROWS(FILTER(Q$4:Q559,Q$4:Q559&lt;&gt;""""))),""^Sell_""),INDEX(FILTER(T$4:T558,Q$4:Q558&lt;&gt;""""),ROWS(FILTER(Q$4:Q558,Q$4:Q558&lt;&gt;""""))),$AD$5+S559))"),559499.3)</f>
        <v>559499.3</v>
      </c>
      <c r="U559" s="10">
        <f>IFERROR(__xludf.DUMMYFUNCTION("IF(COUNTA(Q559:Q1350)=0,"""",IF(Q559="""",0,IF(REGEXMATCH(Q559,""^Sell_""),-ROUNDDOWN(ROUNDUP(INDEX(Upgrades!$C$3:$C$13,MATCH(SUBSTITUTE(Q559,""Sell_"",""""),Upgrades!$B$3:$B$13,0))*1.15^(COUNTIF(Q$4:Q558,SUBSTITUTE(Q559,""Sell_"",""""))-COUNTIF(Q$4:Q558,"&amp;"""Sell_""&amp;SUBSTITUTE(Q559,""Sell_"",""""))))/2),ROUNDUP(INDEX(Upgrades!$C$3:$C$13,MATCH(Q559,Upgrades!$B$3:$B$13,0))*1.15^(COUNTIF(Q$4:Q558,Q559)-COUNTIF(Q$4:Q558,""Sell_""&amp;Q559))))))"),654.0)</f>
        <v>654</v>
      </c>
      <c r="V559" s="10">
        <f t="shared" si="11"/>
        <v>654</v>
      </c>
      <c r="W559" s="68">
        <f t="shared" si="12"/>
        <v>6752.424382</v>
      </c>
      <c r="X559" s="59" t="str">
        <f t="shared" si="13"/>
        <v>1h 52m 32s</v>
      </c>
      <c r="Y559" s="69">
        <f t="shared" si="14"/>
        <v>992000889</v>
      </c>
      <c r="Z559" s="11"/>
    </row>
    <row r="560">
      <c r="A560" s="8"/>
      <c r="B560" s="56" t="str">
        <f t="shared" si="2"/>
        <v/>
      </c>
      <c r="C560" s="57"/>
      <c r="D560" s="10" t="str">
        <f>IFERROR(__xludf.DUMMYFUNCTION("IF(COUNTA(C560:C1350)=0,"""",IF(ISBLANK(C560),FALSE,IF(NOT(COUNTIF($AA$24:$AA$34,SUBSTITUTE(C560,""Sell_"",""""))),1,IF(REGEXMATCH(C560,""Sell_""),IF(COUNTIF(C$4:C560,SUBSTITUTE(C560,""Sell_"",""""))-COUNTIF(C$4:C559,C560)&lt;1,1),FALSE))))"),"")</f>
        <v/>
      </c>
      <c r="E560" s="59" t="str">
        <f t="array" ref="E560">IF(COUNTA(C560:C1350)=0,"",SUM((COUNTIF(C$4:C560,Upgrades!$B$3:$B$13)-COUNTIF(C$4:C560,"Sell_"&amp;Upgrades!$B$3:$B$13))*Upgrades!$D$3:$D$13))</f>
        <v/>
      </c>
      <c r="F560" s="66" t="str">
        <f>IFERROR(__xludf.DUMMYFUNCTION("IF(COUNTA(C560:C1350)=0,"""",IF(REGEXMATCH(INDEX(FILTER(C$4:C560,C$4:C560&lt;&gt;""""),ROWS(FILTER(C$4:C560,C$4:C560&lt;&gt;""""))),""^Sell_""),INDEX(FILTER(F$4:F559,C$4:C559&lt;&gt;""""),ROWS(FILTER(C$4:C559,C$4:C559&lt;&gt;""""))),$AC$5+E560))"),"")</f>
        <v/>
      </c>
      <c r="G560" s="10" t="str">
        <f>IFERROR(__xludf.DUMMYFUNCTION("IF(COUNTA(C560:C1350)=0,"""",IF(C560="""",0,IF(REGEXMATCH(C560,""^Sell_""),-ROUNDDOWN(ROUNDUP(INDEX(Upgrades!$C$3:$C$13,MATCH(SUBSTITUTE(C560,""Sell_"",""""),Upgrades!$B$3:$B$13,0))*1.15^(COUNTIF(C$4:C559,SUBSTITUTE(C560,""Sell_"",""""))-COUNTIF(C$4:C559,"&amp;"""Sell_""&amp;SUBSTITUTE(C560,""Sell_"",""""))))/2),ROUNDUP(INDEX(Upgrades!$C$3:$C$13,MATCH(C560,Upgrades!$B$3:$B$13,0))*1.15^(COUNTIF(C$4:C559,C560)-COUNTIF(C$4:C559,""Sell_""&amp;C560))))))"),"")</f>
        <v/>
      </c>
      <c r="H560" s="10" t="str">
        <f t="shared" si="3"/>
        <v/>
      </c>
      <c r="I560" s="68" t="str">
        <f t="shared" si="4"/>
        <v/>
      </c>
      <c r="J560" s="59" t="str">
        <f t="shared" si="5"/>
        <v/>
      </c>
      <c r="K560" s="69" t="str">
        <f t="shared" si="6"/>
        <v/>
      </c>
      <c r="L560" s="60">
        <f t="shared" si="7"/>
        <v>-187.26541</v>
      </c>
      <c r="M560" s="61">
        <f>IFERROR(__xludf.DUMMYFUNCTION("IFS(AND(COUNTA(C560:C1350)=0,COUNTA(Q560:Q1350)=0),"""",OR(AND(K560&gt;=1000000000,OR(Y560&gt;=1000000000,COUNTA(Q560:Q1350)=0)),OR(Y560&gt;=1000000000,AND(COUNTA(C560:C1350)=0,P$3=TRUE))),
ROUNDDOWN((AB$1-AC$1)*MAX(INDEX(T$4:T1350,MATCH(LARGE(FILTER(Y$4:Y1350,Y$4"&amp;":Y1350&lt;1000000000),1),Y$4:Y1350)),INDEX(F$4:F1350,MATCH(LARGE(FILTER(K$4:K1350,K$4:K1350&lt;1000000000),1),K$4:K1350)))),AND(K560&lt;1000000000,COUNTA(C560:C1350)&gt;0,P$3=FALSE),
ROUNDDOWN(INDEX(Y$4:Y1350,MATCH(LARGE(FILTER(W$4:W1350,W$4:W1350&lt;=I560),1),W$4:W1350"&amp;"))+(I560-LARGE(FILTER(W$4:W1350,W$4:W1350&lt;=I560),1))*INDEX(T$4:T1350,MATCH(LARGE(FILTER(W$4:W1350,W$4:W1350&lt;=I560),1),W$4:W1350))-K560),1,
ROUNDDOWN(Y560-INDEX(K$4:K1350,MATCH(LARGE(FILTER(I$4:I1350,I$4:I1350&lt;=W560),1),I$4:I1350))-(W560-LARGE(FILTER(I$4:I"&amp;"1350,I$4:I1350&lt;=W560),1))*INDEX(F$4:F1350,MATCH(LARGE(FILTER(I$4:I1350,I$4:I1350&lt;=W560),1),I$4:I1350))))"),1.05213306E8)</f>
        <v>105213306</v>
      </c>
      <c r="N560" s="60">
        <f t="shared" si="8"/>
        <v>-187.26541</v>
      </c>
      <c r="O560" s="61" t="str">
        <f t="shared" si="9"/>
        <v>105,2M</v>
      </c>
      <c r="P560" s="56">
        <f t="shared" si="10"/>
        <v>21</v>
      </c>
      <c r="Q560" s="105" t="s">
        <v>8</v>
      </c>
      <c r="R560" s="10" t="b">
        <f>IFERROR(__xludf.DUMMYFUNCTION("IF(COUNTA(Q560:Q1350)=0,"""",IF(ISBLANK(Q560),FALSE,IF(NOT(COUNTIF($AA$24:$AA$34,SUBSTITUTE(Q560,""Sell_"",""""))),1,IF(REGEXMATCH(Q560,""Sell_""),IF(COUNTIF(Q$4:Q560,SUBSTITUTE(Q560,""Sell_"",""""))-COUNTIF(Q$4:Q559,Q560)&lt;1,1),FALSE))))"),FALSE)</f>
        <v>0</v>
      </c>
      <c r="S560" s="59">
        <f t="array" ref="S560">IF(COUNTA(Q560:Q1350)=0,"",SUM((COUNTIF(Q$4:Q560,Upgrades!$B$3:$B$13)-COUNTIF(Q$4:Q560,"Sell_"&amp;Upgrades!$B$3:$B$13))*Upgrades!$D$3:$D$13))</f>
        <v>559399.3</v>
      </c>
      <c r="T560" s="66">
        <f>IFERROR(__xludf.DUMMYFUNCTION("IF(COUNTA(Q560:Q1350)=0,"""",IF(REGEXMATCH(INDEX(FILTER(Q$4:Q560,Q$4:Q560&lt;&gt;""""),ROWS(FILTER(Q$4:Q560,Q$4:Q560&lt;&gt;""""))),""^Sell_""),INDEX(FILTER(T$4:T559,Q$4:Q559&lt;&gt;""""),ROWS(FILTER(Q$4:Q559,Q$4:Q559&lt;&gt;""""))),$AD$5+S560))"),559599.3)</f>
        <v>559599.3</v>
      </c>
      <c r="U560" s="10">
        <f>IFERROR(__xludf.DUMMYFUNCTION("IF(COUNTA(Q560:Q1350)=0,"""",IF(Q560="""",0,IF(REGEXMATCH(Q560,""^Sell_""),-ROUNDDOWN(ROUNDUP(INDEX(Upgrades!$C$3:$C$13,MATCH(SUBSTITUTE(Q560,""Sell_"",""""),Upgrades!$B$3:$B$13,0))*1.15^(COUNTIF(Q$4:Q559,SUBSTITUTE(Q560,""Sell_"",""""))-COUNTIF(Q$4:Q559,"&amp;"""Sell_""&amp;SUBSTITUTE(Q560,""Sell_"",""""))))/2),ROUNDUP(INDEX(Upgrades!$C$3:$C$13,MATCH(Q560,Upgrades!$B$3:$B$13,0))*1.15^(COUNTIF(Q$4:Q559,Q560)-COUNTIF(Q$4:Q559,""Sell_""&amp;Q560))))))"),654662.0)</f>
        <v>654662</v>
      </c>
      <c r="V560" s="10">
        <f t="shared" si="11"/>
        <v>654662</v>
      </c>
      <c r="W560" s="68">
        <f t="shared" si="12"/>
        <v>6753.594467</v>
      </c>
      <c r="X560" s="59" t="str">
        <f t="shared" si="13"/>
        <v>1h 52m 33s</v>
      </c>
      <c r="Y560" s="69">
        <f t="shared" si="14"/>
        <v>992655551</v>
      </c>
      <c r="Z560" s="11"/>
    </row>
    <row r="561">
      <c r="A561" s="8"/>
      <c r="B561" s="56" t="str">
        <f t="shared" si="2"/>
        <v/>
      </c>
      <c r="C561" s="57"/>
      <c r="D561" s="10" t="str">
        <f>IFERROR(__xludf.DUMMYFUNCTION("IF(COUNTA(C561:C1350)=0,"""",IF(ISBLANK(C561),FALSE,IF(NOT(COUNTIF($AA$24:$AA$34,SUBSTITUTE(C561,""Sell_"",""""))),1,IF(REGEXMATCH(C561,""Sell_""),IF(COUNTIF(C$4:C561,SUBSTITUTE(C561,""Sell_"",""""))-COUNTIF(C$4:C560,C561)&lt;1,1),FALSE))))"),"")</f>
        <v/>
      </c>
      <c r="E561" s="59" t="str">
        <f t="array" ref="E561">IF(COUNTA(C561:C1350)=0,"",SUM((COUNTIF(C$4:C561,Upgrades!$B$3:$B$13)-COUNTIF(C$4:C561,"Sell_"&amp;Upgrades!$B$3:$B$13))*Upgrades!$D$3:$D$13))</f>
        <v/>
      </c>
      <c r="F561" s="66" t="str">
        <f>IFERROR(__xludf.DUMMYFUNCTION("IF(COUNTA(C561:C1350)=0,"""",IF(REGEXMATCH(INDEX(FILTER(C$4:C561,C$4:C561&lt;&gt;""""),ROWS(FILTER(C$4:C561,C$4:C561&lt;&gt;""""))),""^Sell_""),INDEX(FILTER(F$4:F560,C$4:C560&lt;&gt;""""),ROWS(FILTER(C$4:C560,C$4:C560&lt;&gt;""""))),$AC$5+E561))"),"")</f>
        <v/>
      </c>
      <c r="G561" s="10" t="str">
        <f>IFERROR(__xludf.DUMMYFUNCTION("IF(COUNTA(C561:C1350)=0,"""",IF(C561="""",0,IF(REGEXMATCH(C561,""^Sell_""),-ROUNDDOWN(ROUNDUP(INDEX(Upgrades!$C$3:$C$13,MATCH(SUBSTITUTE(C561,""Sell_"",""""),Upgrades!$B$3:$B$13,0))*1.15^(COUNTIF(C$4:C560,SUBSTITUTE(C561,""Sell_"",""""))-COUNTIF(C$4:C560,"&amp;"""Sell_""&amp;SUBSTITUTE(C561,""Sell_"",""""))))/2),ROUNDUP(INDEX(Upgrades!$C$3:$C$13,MATCH(C561,Upgrades!$B$3:$B$13,0))*1.15^(COUNTIF(C$4:C560,C561)-COUNTIF(C$4:C560,""Sell_""&amp;C561))))))"),"")</f>
        <v/>
      </c>
      <c r="H561" s="10" t="str">
        <f t="shared" si="3"/>
        <v/>
      </c>
      <c r="I561" s="68" t="str">
        <f t="shared" si="4"/>
        <v/>
      </c>
      <c r="J561" s="59" t="str">
        <f t="shared" si="5"/>
        <v/>
      </c>
      <c r="K561" s="69" t="str">
        <f t="shared" si="6"/>
        <v/>
      </c>
      <c r="L561" s="60">
        <f t="shared" si="7"/>
        <v>-187.26531</v>
      </c>
      <c r="M561" s="61">
        <f>IFERROR(__xludf.DUMMYFUNCTION("IFS(AND(COUNTA(C561:C1350)=0,COUNTA(Q561:Q1350)=0),"""",OR(AND(K561&gt;=1000000000,OR(Y561&gt;=1000000000,COUNTA(Q561:Q1350)=0)),OR(Y561&gt;=1000000000,AND(COUNTA(C561:C1350)=0,P$3=TRUE))),
ROUNDDOWN((AB$1-AC$1)*MAX(INDEX(T$4:T1350,MATCH(LARGE(FILTER(Y$4:Y1350,Y$4"&amp;":Y1350&lt;1000000000),1),Y$4:Y1350)),INDEX(F$4:F1350,MATCH(LARGE(FILTER(K$4:K1350,K$4:K1350&lt;1000000000),1),K$4:K1350)))),AND(K561&lt;1000000000,COUNTA(C561:C1350)&gt;0,P$3=FALSE),
ROUNDDOWN(INDEX(Y$4:Y1350,MATCH(LARGE(FILTER(W$4:W1350,W$4:W1350&lt;=I561),1),W$4:W1350"&amp;"))+(I561-LARGE(FILTER(W$4:W1350,W$4:W1350&lt;=I561),1))*INDEX(T$4:T1350,MATCH(LARGE(FILTER(W$4:W1350,W$4:W1350&lt;=I561),1),W$4:W1350))-K561),1,
ROUNDDOWN(Y561-INDEX(K$4:K1350,MATCH(LARGE(FILTER(I$4:I1350,I$4:I1350&lt;=W561),1),I$4:I1350))-(W561-LARGE(FILTER(I$4:I"&amp;"1350,I$4:I1350&lt;=W561),1))*INDEX(F$4:F1350,MATCH(LARGE(FILTER(I$4:I1350,I$4:I1350&lt;=W561),1),I$4:I1350))))"),1.05213349E8)</f>
        <v>105213349</v>
      </c>
      <c r="N561" s="60">
        <f t="shared" si="8"/>
        <v>-187.26531</v>
      </c>
      <c r="O561" s="61" t="str">
        <f t="shared" si="9"/>
        <v>105,2M</v>
      </c>
      <c r="P561" s="56">
        <f t="shared" si="10"/>
        <v>26</v>
      </c>
      <c r="Q561" s="105" t="s">
        <v>4</v>
      </c>
      <c r="R561" s="10" t="b">
        <f>IFERROR(__xludf.DUMMYFUNCTION("IF(COUNTA(Q561:Q1350)=0,"""",IF(ISBLANK(Q561),FALSE,IF(NOT(COUNTIF($AA$24:$AA$34,SUBSTITUTE(Q561,""Sell_"",""""))),1,IF(REGEXMATCH(Q561,""Sell_""),IF(COUNTIF(Q$4:Q561,SUBSTITUTE(Q561,""Sell_"",""""))-COUNTIF(Q$4:Q560,Q561)&lt;1,1),FALSE))))"),FALSE)</f>
        <v>0</v>
      </c>
      <c r="S561" s="59">
        <f t="array" ref="S561">IF(COUNTA(Q561:Q1350)=0,"",SUM((COUNTIF(Q$4:Q561,Upgrades!$B$3:$B$13)-COUNTIF(Q$4:Q561,"Sell_"&amp;Upgrades!$B$3:$B$13))*Upgrades!$D$3:$D$13))</f>
        <v>559399.8</v>
      </c>
      <c r="T561" s="66">
        <f>IFERROR(__xludf.DUMMYFUNCTION("IF(COUNTA(Q561:Q1350)=0,"""",IF(REGEXMATCH(INDEX(FILTER(Q$4:Q561,Q$4:Q561&lt;&gt;""""),ROWS(FILTER(Q$4:Q561,Q$4:Q561&lt;&gt;""""))),""^Sell_""),INDEX(FILTER(T$4:T560,Q$4:Q560&lt;&gt;""""),ROWS(FILTER(Q$4:Q560,Q$4:Q560&lt;&gt;""""))),$AD$5+S561))"),559599.8)</f>
        <v>559599.8</v>
      </c>
      <c r="U561" s="10">
        <f>IFERROR(__xludf.DUMMYFUNCTION("IF(COUNTA(Q561:Q1350)=0,"""",IF(Q561="""",0,IF(REGEXMATCH(Q561,""^Sell_""),-ROUNDDOWN(ROUNDUP(INDEX(Upgrades!$C$3:$C$13,MATCH(SUBSTITUTE(Q561,""Sell_"",""""),Upgrades!$B$3:$B$13,0))*1.15^(COUNTIF(Q$4:Q560,SUBSTITUTE(Q561,""Sell_"",""""))-COUNTIF(Q$4:Q560,"&amp;"""Sell_""&amp;SUBSTITUTE(Q561,""Sell_"",""""))))/2),ROUNDUP(INDEX(Upgrades!$C$3:$C$13,MATCH(Q561,Upgrades!$B$3:$B$13,0))*1.15^(COUNTIF(Q$4:Q560,Q561)-COUNTIF(Q$4:Q560,""Sell_""&amp;Q561))))))"),3292.0)</f>
        <v>3292</v>
      </c>
      <c r="V561" s="10">
        <f t="shared" si="11"/>
        <v>3292</v>
      </c>
      <c r="W561" s="68">
        <f t="shared" si="12"/>
        <v>6753.60035</v>
      </c>
      <c r="X561" s="59" t="str">
        <f t="shared" si="13"/>
        <v>1h 52m 33s</v>
      </c>
      <c r="Y561" s="69">
        <f t="shared" si="14"/>
        <v>992658843</v>
      </c>
      <c r="Z561" s="11"/>
    </row>
    <row r="562">
      <c r="A562" s="8"/>
      <c r="B562" s="56" t="str">
        <f t="shared" si="2"/>
        <v/>
      </c>
      <c r="C562" s="57"/>
      <c r="D562" s="10" t="str">
        <f>IFERROR(__xludf.DUMMYFUNCTION("IF(COUNTA(C562:C1350)=0,"""",IF(ISBLANK(C562),FALSE,IF(NOT(COUNTIF($AA$24:$AA$34,SUBSTITUTE(C562,""Sell_"",""""))),1,IF(REGEXMATCH(C562,""Sell_""),IF(COUNTIF(C$4:C562,SUBSTITUTE(C562,""Sell_"",""""))-COUNTIF(C$4:C561,C562)&lt;1,1),FALSE))))"),"")</f>
        <v/>
      </c>
      <c r="E562" s="59" t="str">
        <f t="array" ref="E562">IF(COUNTA(C562:C1350)=0,"",SUM((COUNTIF(C$4:C562,Upgrades!$B$3:$B$13)-COUNTIF(C$4:C562,"Sell_"&amp;Upgrades!$B$3:$B$13))*Upgrades!$D$3:$D$13))</f>
        <v/>
      </c>
      <c r="F562" s="66" t="str">
        <f>IFERROR(__xludf.DUMMYFUNCTION("IF(COUNTA(C562:C1350)=0,"""",IF(REGEXMATCH(INDEX(FILTER(C$4:C562,C$4:C562&lt;&gt;""""),ROWS(FILTER(C$4:C562,C$4:C562&lt;&gt;""""))),""^Sell_""),INDEX(FILTER(F$4:F561,C$4:C561&lt;&gt;""""),ROWS(FILTER(C$4:C561,C$4:C561&lt;&gt;""""))),$AC$5+E562))"),"")</f>
        <v/>
      </c>
      <c r="G562" s="10" t="str">
        <f>IFERROR(__xludf.DUMMYFUNCTION("IF(COUNTA(C562:C1350)=0,"""",IF(C562="""",0,IF(REGEXMATCH(C562,""^Sell_""),-ROUNDDOWN(ROUNDUP(INDEX(Upgrades!$C$3:$C$13,MATCH(SUBSTITUTE(C562,""Sell_"",""""),Upgrades!$B$3:$B$13,0))*1.15^(COUNTIF(C$4:C561,SUBSTITUTE(C562,""Sell_"",""""))-COUNTIF(C$4:C561,"&amp;"""Sell_""&amp;SUBSTITUTE(C562,""Sell_"",""""))))/2),ROUNDUP(INDEX(Upgrades!$C$3:$C$13,MATCH(C562,Upgrades!$B$3:$B$13,0))*1.15^(COUNTIF(C$4:C561,C562)-COUNTIF(C$4:C561,""Sell_""&amp;C562))))))"),"")</f>
        <v/>
      </c>
      <c r="H562" s="10" t="str">
        <f t="shared" si="3"/>
        <v/>
      </c>
      <c r="I562" s="68" t="str">
        <f t="shared" si="4"/>
        <v/>
      </c>
      <c r="J562" s="59" t="str">
        <f t="shared" si="5"/>
        <v/>
      </c>
      <c r="K562" s="69" t="str">
        <f t="shared" si="6"/>
        <v/>
      </c>
      <c r="L562" s="60">
        <f t="shared" si="7"/>
        <v>-187.17602</v>
      </c>
      <c r="M562" s="61">
        <f>IFERROR(__xludf.DUMMYFUNCTION("IFS(AND(COUNTA(C562:C1350)=0,COUNTA(Q562:Q1350)=0),"""",OR(AND(K562&gt;=1000000000,OR(Y562&gt;=1000000000,COUNTA(Q562:Q1350)=0)),OR(Y562&gt;=1000000000,AND(COUNTA(C562:C1350)=0,P$3=TRUE))),
ROUNDDOWN((AB$1-AC$1)*MAX(INDEX(T$4:T1350,MATCH(LARGE(FILTER(Y$4:Y1350,Y$4"&amp;":Y1350&lt;1000000000),1),Y$4:Y1350)),INDEX(F$4:F1350,MATCH(LARGE(FILTER(K$4:K1350,K$4:K1350&lt;1000000000),1),K$4:K1350)))),AND(K562&lt;1000000000,COUNTA(C562:C1350)&gt;0,P$3=FALSE),
ROUNDDOWN(INDEX(Y$4:Y1350,MATCH(LARGE(FILTER(W$4:W1350,W$4:W1350&lt;=I562),1),W$4:W1350"&amp;"))+(I562-LARGE(FILTER(W$4:W1350,W$4:W1350&lt;=I562),1))*INDEX(T$4:T1350,MATCH(LARGE(FILTER(W$4:W1350,W$4:W1350&lt;=I562),1),W$4:W1350))-K562),1,
ROUNDDOWN(Y562-INDEX(K$4:K1350,MATCH(LARGE(FILTER(I$4:I1350,I$4:I1350&lt;=W562),1),I$4:I1350))-(W562-LARGE(FILTER(I$4:I"&amp;"1350,I$4:I1350&lt;=W562),1))*INDEX(F$4:F1350,MATCH(LARGE(FILTER(I$4:I1350,I$4:I1350&lt;=W562),1),I$4:I1350))))"),1.05250522E8)</f>
        <v>105250522</v>
      </c>
      <c r="N562" s="60">
        <f t="shared" si="8"/>
        <v>-187.17602</v>
      </c>
      <c r="O562" s="61" t="str">
        <f t="shared" si="9"/>
        <v>105,3M</v>
      </c>
      <c r="P562" s="56">
        <f t="shared" si="10"/>
        <v>20</v>
      </c>
      <c r="Q562" s="105" t="s">
        <v>9</v>
      </c>
      <c r="R562" s="10" t="b">
        <f>IFERROR(__xludf.DUMMYFUNCTION("IF(COUNTA(Q562:Q1350)=0,"""",IF(ISBLANK(Q562),FALSE,IF(NOT(COUNTIF($AA$24:$AA$34,SUBSTITUTE(Q562,""Sell_"",""""))),1,IF(REGEXMATCH(Q562,""Sell_""),IF(COUNTIF(Q$4:Q562,SUBSTITUTE(Q562,""Sell_"",""""))-COUNTIF(Q$4:Q561,Q562)&lt;1,1),FALSE))))"),FALSE)</f>
        <v>0</v>
      </c>
      <c r="S562" s="59">
        <f t="array" ref="S562">IF(COUNTA(Q562:Q1350)=0,"",SUM((COUNTIF(Q$4:Q562,Upgrades!$B$3:$B$13)-COUNTIF(Q$4:Q562,"Sell_"&amp;Upgrades!$B$3:$B$13))*Upgrades!$D$3:$D$13))</f>
        <v>559799.8</v>
      </c>
      <c r="T562" s="66">
        <f>IFERROR(__xludf.DUMMYFUNCTION("IF(COUNTA(Q562:Q1350)=0,"""",IF(REGEXMATCH(INDEX(FILTER(Q$4:Q562,Q$4:Q562&lt;&gt;""""),ROWS(FILTER(Q$4:Q562,Q$4:Q562&lt;&gt;""""))),""^Sell_""),INDEX(FILTER(T$4:T561,Q$4:Q561&lt;&gt;""""),ROWS(FILTER(Q$4:Q561,Q$4:Q561&lt;&gt;""""))),$AD$5+S562))"),559999.8)</f>
        <v>559999.8</v>
      </c>
      <c r="U562" s="10">
        <f>IFERROR(__xludf.DUMMYFUNCTION("IF(COUNTA(Q562:Q1350)=0,"""",IF(Q562="""",0,IF(REGEXMATCH(Q562,""^Sell_""),-ROUNDDOWN(ROUNDUP(INDEX(Upgrades!$C$3:$C$13,MATCH(SUBSTITUTE(Q562,""Sell_"",""""),Upgrades!$B$3:$B$13,0))*1.15^(COUNTIF(Q$4:Q561,SUBSTITUTE(Q562,""Sell_"",""""))-COUNTIF(Q$4:Q561,"&amp;"""Sell_""&amp;SUBSTITUTE(Q562,""Sell_"",""""))))/2),ROUNDUP(INDEX(Upgrades!$C$3:$C$13,MATCH(Q562,Upgrades!$B$3:$B$13,0))*1.15^(COUNTIF(Q$4:Q561,Q562)-COUNTIF(Q$4:Q561,""Sell_""&amp;Q562))))))"),2846355.0)</f>
        <v>2846355</v>
      </c>
      <c r="V562" s="10">
        <f t="shared" si="11"/>
        <v>2846355</v>
      </c>
      <c r="W562" s="68">
        <f t="shared" si="12"/>
        <v>6758.686762</v>
      </c>
      <c r="X562" s="59" t="str">
        <f t="shared" si="13"/>
        <v>1h 52m 38s</v>
      </c>
      <c r="Y562" s="69">
        <f t="shared" si="14"/>
        <v>995505198</v>
      </c>
      <c r="Z562" s="11"/>
    </row>
    <row r="563">
      <c r="A563" s="8"/>
      <c r="B563" s="56" t="str">
        <f t="shared" si="2"/>
        <v/>
      </c>
      <c r="C563" s="57"/>
      <c r="D563" s="10" t="str">
        <f>IFERROR(__xludf.DUMMYFUNCTION("IF(COUNTA(C563:C1350)=0,"""",IF(ISBLANK(C563),FALSE,IF(NOT(COUNTIF($AA$24:$AA$34,SUBSTITUTE(C563,""Sell_"",""""))),1,IF(REGEXMATCH(C563,""Sell_""),IF(COUNTIF(C$4:C563,SUBSTITUTE(C563,""Sell_"",""""))-COUNTIF(C$4:C562,C563)&lt;1,1),FALSE))))"),"")</f>
        <v/>
      </c>
      <c r="E563" s="59" t="str">
        <f t="array" ref="E563">IF(COUNTA(C563:C1350)=0,"",SUM((COUNTIF(C$4:C563,Upgrades!$B$3:$B$13)-COUNTIF(C$4:C563,"Sell_"&amp;Upgrades!$B$3:$B$13))*Upgrades!$D$3:$D$13))</f>
        <v/>
      </c>
      <c r="F563" s="66" t="str">
        <f>IFERROR(__xludf.DUMMYFUNCTION("IF(COUNTA(C563:C1350)=0,"""",IF(REGEXMATCH(INDEX(FILTER(C$4:C563,C$4:C563&lt;&gt;""""),ROWS(FILTER(C$4:C563,C$4:C563&lt;&gt;""""))),""^Sell_""),INDEX(FILTER(F$4:F562,C$4:C562&lt;&gt;""""),ROWS(FILTER(C$4:C562,C$4:C562&lt;&gt;""""))),$AC$5+E563))"),"")</f>
        <v/>
      </c>
      <c r="G563" s="10" t="str">
        <f>IFERROR(__xludf.DUMMYFUNCTION("IF(COUNTA(C563:C1350)=0,"""",IF(C563="""",0,IF(REGEXMATCH(C563,""^Sell_""),-ROUNDDOWN(ROUNDUP(INDEX(Upgrades!$C$3:$C$13,MATCH(SUBSTITUTE(C563,""Sell_"",""""),Upgrades!$B$3:$B$13,0))*1.15^(COUNTIF(C$4:C562,SUBSTITUTE(C563,""Sell_"",""""))-COUNTIF(C$4:C562,"&amp;"""Sell_""&amp;SUBSTITUTE(C563,""Sell_"",""""))))/2),ROUNDUP(INDEX(Upgrades!$C$3:$C$13,MATCH(C563,Upgrades!$B$3:$B$13,0))*1.15^(COUNTIF(C$4:C562,C563)-COUNTIF(C$4:C562,""Sell_""&amp;C563))))))"),"")</f>
        <v/>
      </c>
      <c r="H563" s="10" t="str">
        <f t="shared" si="3"/>
        <v/>
      </c>
      <c r="I563" s="68" t="str">
        <f t="shared" si="4"/>
        <v/>
      </c>
      <c r="J563" s="59" t="str">
        <f t="shared" si="5"/>
        <v/>
      </c>
      <c r="K563" s="69" t="str">
        <f t="shared" si="6"/>
        <v/>
      </c>
      <c r="L563" s="60">
        <f t="shared" si="7"/>
        <v>-187.16738</v>
      </c>
      <c r="M563" s="61">
        <f>IFERROR(__xludf.DUMMYFUNCTION("IFS(AND(COUNTA(C563:C1350)=0,COUNTA(Q563:Q1350)=0),"""",OR(AND(K563&gt;=1000000000,OR(Y563&gt;=1000000000,COUNTA(Q563:Q1350)=0)),OR(Y563&gt;=1000000000,AND(COUNTA(C563:C1350)=0,P$3=TRUE))),
ROUNDDOWN((AB$1-AC$1)*MAX(INDEX(T$4:T1350,MATCH(LARGE(FILTER(Y$4:Y1350,Y$4"&amp;":Y1350&lt;1000000000),1),Y$4:Y1350)),INDEX(F$4:F1350,MATCH(LARGE(FILTER(K$4:K1350,K$4:K1350&lt;1000000000),1),K$4:K1350)))),AND(K563&lt;1000000000,COUNTA(C563:C1350)&gt;0,P$3=FALSE),
ROUNDDOWN(INDEX(Y$4:Y1350,MATCH(LARGE(FILTER(W$4:W1350,W$4:W1350&lt;=I563),1),W$4:W1350"&amp;"))+(I563-LARGE(FILTER(W$4:W1350,W$4:W1350&lt;=I563),1))*INDEX(T$4:T1350,MATCH(LARGE(FILTER(W$4:W1350,W$4:W1350&lt;=I563),1),W$4:W1350))-K563),1,
ROUNDDOWN(Y563-INDEX(K$4:K1350,MATCH(LARGE(FILTER(I$4:I1350,I$4:I1350&lt;=W563),1),I$4:I1350))-(W563-LARGE(FILTER(I$4:I"&amp;"1350,I$4:I1350&lt;=W563),1))*INDEX(F$4:F1350,MATCH(LARGE(FILTER(I$4:I1350,I$4:I1350&lt;=W563),1),I$4:I1350))))"),1.05254462E8)</f>
        <v>105254462</v>
      </c>
      <c r="N563" s="60">
        <f t="shared" si="8"/>
        <v>-187.16738</v>
      </c>
      <c r="O563" s="61" t="str">
        <f t="shared" si="9"/>
        <v>105,3M</v>
      </c>
      <c r="P563" s="56">
        <f t="shared" si="10"/>
        <v>25</v>
      </c>
      <c r="Q563" s="105" t="s">
        <v>7</v>
      </c>
      <c r="R563" s="10" t="b">
        <f>IFERROR(__xludf.DUMMYFUNCTION("IF(COUNTA(Q563:Q1350)=0,"""",IF(ISBLANK(Q563),FALSE,IF(NOT(COUNTIF($AA$24:$AA$34,SUBSTITUTE(Q563,""Sell_"",""""))),1,IF(REGEXMATCH(Q563,""Sell_""),IF(COUNTIF(Q$4:Q563,SUBSTITUTE(Q563,""Sell_"",""""))-COUNTIF(Q$4:Q562,Q563)&lt;1,1),FALSE))))"),FALSE)</f>
        <v>0</v>
      </c>
      <c r="S563" s="59">
        <f t="array" ref="S563">IF(COUNTA(Q563:Q1350)=0,"",SUM((COUNTIF(Q$4:Q563,Upgrades!$B$3:$B$13)-COUNTIF(Q$4:Q563,"Sell_"&amp;Upgrades!$B$3:$B$13))*Upgrades!$D$3:$D$13))</f>
        <v>559839.8</v>
      </c>
      <c r="T563" s="66">
        <f>IFERROR(__xludf.DUMMYFUNCTION("IF(COUNTA(Q563:Q1350)=0,"""",IF(REGEXMATCH(INDEX(FILTER(Q$4:Q563,Q$4:Q563&lt;&gt;""""),ROWS(FILTER(Q$4:Q563,Q$4:Q563&lt;&gt;""""))),""^Sell_""),INDEX(FILTER(T$4:T562,Q$4:Q562&lt;&gt;""""),ROWS(FILTER(Q$4:Q562,Q$4:Q562&lt;&gt;""""))),$AD$5+S563))"),560039.8)</f>
        <v>560039.8</v>
      </c>
      <c r="U563" s="10">
        <f>IFERROR(__xludf.DUMMYFUNCTION("IF(COUNTA(Q563:Q1350)=0,"""",IF(Q563="""",0,IF(REGEXMATCH(Q563,""^Sell_""),-ROUNDDOWN(ROUNDUP(INDEX(Upgrades!$C$3:$C$13,MATCH(SUBSTITUTE(Q563,""Sell_"",""""),Upgrades!$B$3:$B$13,0))*1.15^(COUNTIF(Q$4:Q562,SUBSTITUTE(Q563,""Sell_"",""""))-COUNTIF(Q$4:Q562,"&amp;"""Sell_""&amp;SUBSTITUTE(Q563,""Sell_"",""""))))/2),ROUNDUP(INDEX(Upgrades!$C$3:$C$13,MATCH(Q563,Upgrades!$B$3:$B$13,0))*1.15^(COUNTIF(Q$4:Q562,Q563)-COUNTIF(Q$4:Q562,""Sell_""&amp;Q563))))))"),286252.0)</f>
        <v>286252</v>
      </c>
      <c r="V563" s="10">
        <f t="shared" si="11"/>
        <v>286252</v>
      </c>
      <c r="W563" s="68">
        <f t="shared" si="12"/>
        <v>6759.197926</v>
      </c>
      <c r="X563" s="59" t="str">
        <f t="shared" si="13"/>
        <v>1h 52m 39s</v>
      </c>
      <c r="Y563" s="69">
        <f t="shared" si="14"/>
        <v>995791450</v>
      </c>
      <c r="Z563" s="11"/>
    </row>
    <row r="564">
      <c r="A564" s="8"/>
      <c r="B564" s="56" t="str">
        <f t="shared" si="2"/>
        <v/>
      </c>
      <c r="C564" s="57"/>
      <c r="D564" s="10" t="str">
        <f>IFERROR(__xludf.DUMMYFUNCTION("IF(COUNTA(C564:C1350)=0,"""",IF(ISBLANK(C564),FALSE,IF(NOT(COUNTIF($AA$24:$AA$34,SUBSTITUTE(C564,""Sell_"",""""))),1,IF(REGEXMATCH(C564,""Sell_""),IF(COUNTIF(C$4:C564,SUBSTITUTE(C564,""Sell_"",""""))-COUNTIF(C$4:C563,C564)&lt;1,1),FALSE))))"),"")</f>
        <v/>
      </c>
      <c r="E564" s="59" t="str">
        <f t="array" ref="E564">IF(COUNTA(C564:C1350)=0,"",SUM((COUNTIF(C$4:C564,Upgrades!$B$3:$B$13)-COUNTIF(C$4:C564,"Sell_"&amp;Upgrades!$B$3:$B$13))*Upgrades!$D$3:$D$13))</f>
        <v/>
      </c>
      <c r="F564" s="66" t="str">
        <f>IFERROR(__xludf.DUMMYFUNCTION("IF(COUNTA(C564:C1350)=0,"""",IF(REGEXMATCH(INDEX(FILTER(C$4:C564,C$4:C564&lt;&gt;""""),ROWS(FILTER(C$4:C564,C$4:C564&lt;&gt;""""))),""^Sell_""),INDEX(FILTER(F$4:F563,C$4:C563&lt;&gt;""""),ROWS(FILTER(C$4:C563,C$4:C563&lt;&gt;""""))),$AC$5+E564))"),"")</f>
        <v/>
      </c>
      <c r="G564" s="10" t="str">
        <f>IFERROR(__xludf.DUMMYFUNCTION("IF(COUNTA(C564:C1350)=0,"""",IF(C564="""",0,IF(REGEXMATCH(C564,""^Sell_""),-ROUNDDOWN(ROUNDUP(INDEX(Upgrades!$C$3:$C$13,MATCH(SUBSTITUTE(C564,""Sell_"",""""),Upgrades!$B$3:$B$13,0))*1.15^(COUNTIF(C$4:C563,SUBSTITUTE(C564,""Sell_"",""""))-COUNTIF(C$4:C563,"&amp;"""Sell_""&amp;SUBSTITUTE(C564,""Sell_"",""""))))/2),ROUNDUP(INDEX(Upgrades!$C$3:$C$13,MATCH(C564,Upgrades!$B$3:$B$13,0))*1.15^(COUNTIF(C$4:C563,C564)-COUNTIF(C$4:C563,""Sell_""&amp;C564))))))"),"")</f>
        <v/>
      </c>
      <c r="H564" s="10" t="str">
        <f t="shared" si="3"/>
        <v/>
      </c>
      <c r="I564" s="68" t="str">
        <f t="shared" si="4"/>
        <v/>
      </c>
      <c r="J564" s="59" t="str">
        <f t="shared" si="5"/>
        <v/>
      </c>
      <c r="K564" s="69" t="str">
        <f t="shared" si="6"/>
        <v/>
      </c>
      <c r="L564" s="60">
        <f t="shared" si="7"/>
        <v>-187.16652</v>
      </c>
      <c r="M564" s="61">
        <f>IFERROR(__xludf.DUMMYFUNCTION("IFS(AND(COUNTA(C564:C1350)=0,COUNTA(Q564:Q1350)=0),"""",OR(AND(K564&gt;=1000000000,OR(Y564&gt;=1000000000,COUNTA(Q564:Q1350)=0)),OR(Y564&gt;=1000000000,AND(COUNTA(C564:C1350)=0,P$3=TRUE))),
ROUNDDOWN((AB$1-AC$1)*MAX(INDEX(T$4:T1350,MATCH(LARGE(FILTER(Y$4:Y1350,Y$4"&amp;":Y1350&lt;1000000000),1),Y$4:Y1350)),INDEX(F$4:F1350,MATCH(LARGE(FILTER(K$4:K1350,K$4:K1350&lt;1000000000),1),K$4:K1350)))),AND(K564&lt;1000000000,COUNTA(C564:C1350)&gt;0,P$3=FALSE),
ROUNDDOWN(INDEX(Y$4:Y1350,MATCH(LARGE(FILTER(W$4:W1350,W$4:W1350&lt;=I564),1),W$4:W1350"&amp;"))+(I564-LARGE(FILTER(W$4:W1350,W$4:W1350&lt;=I564),1))*INDEX(T$4:T1350,MATCH(LARGE(FILTER(W$4:W1350,W$4:W1350&lt;=I564),1),W$4:W1350))-K564),1,
ROUNDDOWN(Y564-INDEX(K$4:K1350,MATCH(LARGE(FILTER(I$4:I1350,I$4:I1350&lt;=W564),1),I$4:I1350))-(W564-LARGE(FILTER(I$4:I"&amp;"1350,I$4:I1350&lt;=W564),1))*INDEX(F$4:F1350,MATCH(LARGE(FILTER(I$4:I1350,I$4:I1350&lt;=W564),1),I$4:I1350))))"),1.05254861E8)</f>
        <v>105254861</v>
      </c>
      <c r="N564" s="60">
        <f t="shared" si="8"/>
        <v>-187.16652</v>
      </c>
      <c r="O564" s="61" t="str">
        <f t="shared" si="9"/>
        <v>105,3M</v>
      </c>
      <c r="P564" s="56">
        <f t="shared" si="10"/>
        <v>30</v>
      </c>
      <c r="Q564" s="105" t="s">
        <v>5</v>
      </c>
      <c r="R564" s="10" t="b">
        <f>IFERROR(__xludf.DUMMYFUNCTION("IF(COUNTA(Q564:Q1350)=0,"""",IF(ISBLANK(Q564),FALSE,IF(NOT(COUNTIF($AA$24:$AA$34,SUBSTITUTE(Q564,""Sell_"",""""))),1,IF(REGEXMATCH(Q564,""Sell_""),IF(COUNTIF(Q$4:Q564,SUBSTITUTE(Q564,""Sell_"",""""))-COUNTIF(Q$4:Q563,Q564)&lt;1,1),FALSE))))"),FALSE)</f>
        <v>0</v>
      </c>
      <c r="S564" s="59">
        <f t="array" ref="S564">IF(COUNTA(Q564:Q1350)=0,"",SUM((COUNTIF(Q$4:Q564,Upgrades!$B$3:$B$13)-COUNTIF(Q$4:Q564,"Sell_"&amp;Upgrades!$B$3:$B$13))*Upgrades!$D$3:$D$13))</f>
        <v>559843.8</v>
      </c>
      <c r="T564" s="66">
        <f>IFERROR(__xludf.DUMMYFUNCTION("IF(COUNTA(Q564:Q1350)=0,"""",IF(REGEXMATCH(INDEX(FILTER(Q$4:Q564,Q$4:Q564&lt;&gt;""""),ROWS(FILTER(Q$4:Q564,Q$4:Q564&lt;&gt;""""))),""^Sell_""),INDEX(FILTER(T$4:T563,Q$4:Q563&lt;&gt;""""),ROWS(FILTER(Q$4:Q563,Q$4:Q563&lt;&gt;""""))),$AD$5+S564))"),560043.8)</f>
        <v>560043.8</v>
      </c>
      <c r="U564" s="10">
        <f>IFERROR(__xludf.DUMMYFUNCTION("IF(COUNTA(Q564:Q1350)=0,"""",IF(Q564="""",0,IF(REGEXMATCH(Q564,""^Sell_""),-ROUNDDOWN(ROUNDUP(INDEX(Upgrades!$C$3:$C$13,MATCH(SUBSTITUTE(Q564,""Sell_"",""""),Upgrades!$B$3:$B$13,0))*1.15^(COUNTIF(Q$4:Q563,SUBSTITUTE(Q564,""Sell_"",""""))-COUNTIF(Q$4:Q563,"&amp;"""Sell_""&amp;SUBSTITUTE(Q564,""Sell_"",""""))))/2),ROUNDUP(INDEX(Upgrades!$C$3:$C$13,MATCH(Q564,Upgrades!$B$3:$B$13,0))*1.15^(COUNTIF(Q$4:Q563,Q564)-COUNTIF(Q$4:Q563,""Sell_""&amp;Q564))))))"),28788.0)</f>
        <v>28788</v>
      </c>
      <c r="V564" s="10">
        <f t="shared" si="11"/>
        <v>28788</v>
      </c>
      <c r="W564" s="68">
        <f t="shared" si="12"/>
        <v>6759.24933</v>
      </c>
      <c r="X564" s="59" t="str">
        <f t="shared" si="13"/>
        <v>1h 52m 39s</v>
      </c>
      <c r="Y564" s="69">
        <f t="shared" si="14"/>
        <v>995820238</v>
      </c>
      <c r="Z564" s="11"/>
    </row>
    <row r="565">
      <c r="A565" s="8"/>
      <c r="B565" s="56" t="str">
        <f t="shared" si="2"/>
        <v/>
      </c>
      <c r="C565" s="57"/>
      <c r="D565" s="10" t="str">
        <f>IFERROR(__xludf.DUMMYFUNCTION("IF(COUNTA(C565:C1350)=0,"""",IF(ISBLANK(C565),FALSE,IF(NOT(COUNTIF($AA$24:$AA$34,SUBSTITUTE(C565,""Sell_"",""""))),1,IF(REGEXMATCH(C565,""Sell_""),IF(COUNTIF(C$4:C565,SUBSTITUTE(C565,""Sell_"",""""))-COUNTIF(C$4:C564,C565)&lt;1,1),FALSE))))"),"")</f>
        <v/>
      </c>
      <c r="E565" s="59" t="str">
        <f t="array" ref="E565">IF(COUNTA(C565:C1350)=0,"",SUM((COUNTIF(C$4:C565,Upgrades!$B$3:$B$13)-COUNTIF(C$4:C565,"Sell_"&amp;Upgrades!$B$3:$B$13))*Upgrades!$D$3:$D$13))</f>
        <v/>
      </c>
      <c r="F565" s="66" t="str">
        <f>IFERROR(__xludf.DUMMYFUNCTION("IF(COUNTA(C565:C1350)=0,"""",IF(REGEXMATCH(INDEX(FILTER(C$4:C565,C$4:C565&lt;&gt;""""),ROWS(FILTER(C$4:C565,C$4:C565&lt;&gt;""""))),""^Sell_""),INDEX(FILTER(F$4:F564,C$4:C564&lt;&gt;""""),ROWS(FILTER(C$4:C564,C$4:C564&lt;&gt;""""))),$AC$5+E565))"),"")</f>
        <v/>
      </c>
      <c r="G565" s="10" t="str">
        <f>IFERROR(__xludf.DUMMYFUNCTION("IF(COUNTA(C565:C1350)=0,"""",IF(C565="""",0,IF(REGEXMATCH(C565,""^Sell_""),-ROUNDDOWN(ROUNDUP(INDEX(Upgrades!$C$3:$C$13,MATCH(SUBSTITUTE(C565,""Sell_"",""""),Upgrades!$B$3:$B$13,0))*1.15^(COUNTIF(C$4:C564,SUBSTITUTE(C565,""Sell_"",""""))-COUNTIF(C$4:C564,"&amp;"""Sell_""&amp;SUBSTITUTE(C565,""Sell_"",""""))))/2),ROUNDUP(INDEX(Upgrades!$C$3:$C$13,MATCH(C565,Upgrades!$B$3:$B$13,0))*1.15^(COUNTIF(C$4:C564,C565)-COUNTIF(C$4:C564,""Sell_""&amp;C565))))))"),"")</f>
        <v/>
      </c>
      <c r="H565" s="10" t="str">
        <f t="shared" si="3"/>
        <v/>
      </c>
      <c r="I565" s="68" t="str">
        <f t="shared" si="4"/>
        <v/>
      </c>
      <c r="J565" s="59" t="str">
        <f t="shared" si="5"/>
        <v/>
      </c>
      <c r="K565" s="69" t="str">
        <f t="shared" si="6"/>
        <v/>
      </c>
      <c r="L565" s="60">
        <f t="shared" si="7"/>
        <v>-187.16427</v>
      </c>
      <c r="M565" s="61">
        <f>IFERROR(__xludf.DUMMYFUNCTION("IFS(AND(COUNTA(C565:C1350)=0,COUNTA(Q565:Q1350)=0),"""",OR(AND(K565&gt;=1000000000,OR(Y565&gt;=1000000000,COUNTA(Q565:Q1350)=0)),OR(Y565&gt;=1000000000,AND(COUNTA(C565:C1350)=0,P$3=TRUE))),
ROUNDDOWN((AB$1-AC$1)*MAX(INDEX(T$4:T1350,MATCH(LARGE(FILTER(Y$4:Y1350,Y$4"&amp;":Y1350&lt;1000000000),1),Y$4:Y1350)),INDEX(F$4:F1350,MATCH(LARGE(FILTER(K$4:K1350,K$4:K1350&lt;1000000000),1),K$4:K1350)))),AND(K565&lt;1000000000,COUNTA(C565:C1350)&gt;0,P$3=FALSE),
ROUNDDOWN(INDEX(Y$4:Y1350,MATCH(LARGE(FILTER(W$4:W1350,W$4:W1350&lt;=I565),1),W$4:W1350"&amp;"))+(I565-LARGE(FILTER(W$4:W1350,W$4:W1350&lt;=I565),1))*INDEX(T$4:T1350,MATCH(LARGE(FILTER(W$4:W1350,W$4:W1350&lt;=I565),1),W$4:W1350))-K565),1,
ROUNDDOWN(Y565-INDEX(K$4:K1350,MATCH(LARGE(FILTER(I$4:I1350,I$4:I1350&lt;=W565),1),I$4:I1350))-(W565-LARGE(FILTER(I$4:I"&amp;"1350,I$4:I1350&lt;=W565),1))*INDEX(F$4:F1350,MATCH(LARGE(FILTER(I$4:I1350,I$4:I1350&lt;=W565),1),I$4:I1350))))"),1.05255894E8)</f>
        <v>105255894</v>
      </c>
      <c r="N565" s="60">
        <f t="shared" si="8"/>
        <v>-187.16427</v>
      </c>
      <c r="O565" s="61" t="str">
        <f t="shared" si="9"/>
        <v>105,3M</v>
      </c>
      <c r="P565" s="56">
        <f t="shared" si="10"/>
        <v>24</v>
      </c>
      <c r="Q565" s="105" t="s">
        <v>6</v>
      </c>
      <c r="R565" s="10" t="b">
        <f>IFERROR(__xludf.DUMMYFUNCTION("IF(COUNTA(Q565:Q1350)=0,"""",IF(ISBLANK(Q565),FALSE,IF(NOT(COUNTIF($AA$24:$AA$34,SUBSTITUTE(Q565,""Sell_"",""""))),1,IF(REGEXMATCH(Q565,""Sell_""),IF(COUNTIF(Q$4:Q565,SUBSTITUTE(Q565,""Sell_"",""""))-COUNTIF(Q$4:Q564,Q565)&lt;1,1),FALSE))))"),FALSE)</f>
        <v>0</v>
      </c>
      <c r="S565" s="59">
        <f t="array" ref="S565">IF(COUNTA(Q565:Q1350)=0,"",SUM((COUNTIF(Q$4:Q565,Upgrades!$B$3:$B$13)-COUNTIF(Q$4:Q565,"Sell_"&amp;Upgrades!$B$3:$B$13))*Upgrades!$D$3:$D$13))</f>
        <v>559853.8</v>
      </c>
      <c r="T565" s="66">
        <f>IFERROR(__xludf.DUMMYFUNCTION("IF(COUNTA(Q565:Q1350)=0,"""",IF(REGEXMATCH(INDEX(FILTER(Q$4:Q565,Q$4:Q565&lt;&gt;""""),ROWS(FILTER(Q$4:Q565,Q$4:Q565&lt;&gt;""""))),""^Sell_""),INDEX(FILTER(T$4:T564,Q$4:Q564&lt;&gt;""""),ROWS(FILTER(Q$4:Q564,Q$4:Q564&lt;&gt;""""))),$AD$5+S565))"),560053.8)</f>
        <v>560053.8</v>
      </c>
      <c r="U565" s="10">
        <f>IFERROR(__xludf.DUMMYFUNCTION("IF(COUNTA(Q565:Q1350)=0,"""",IF(Q565="""",0,IF(REGEXMATCH(Q565,""^Sell_""),-ROUNDDOWN(ROUNDUP(INDEX(Upgrades!$C$3:$C$13,MATCH(SUBSTITUTE(Q565,""Sell_"",""""),Upgrades!$B$3:$B$13,0))*1.15^(COUNTIF(Q$4:Q564,SUBSTITUTE(Q565,""Sell_"",""""))-COUNTIF(Q$4:Q564,"&amp;"""Sell_""&amp;SUBSTITUTE(Q565,""Sell_"",""""))))/2),ROUNDUP(INDEX(Upgrades!$C$3:$C$13,MATCH(Q565,Upgrades!$B$3:$B$13,0))*1.15^(COUNTIF(Q$4:Q564,Q565)-COUNTIF(Q$4:Q564,""Sell_""&amp;Q565))))))"),74675.0)</f>
        <v>74675</v>
      </c>
      <c r="V565" s="10">
        <f t="shared" si="11"/>
        <v>74675</v>
      </c>
      <c r="W565" s="68">
        <f t="shared" si="12"/>
        <v>6759.382667</v>
      </c>
      <c r="X565" s="59" t="str">
        <f t="shared" si="13"/>
        <v>1h 52m 39s</v>
      </c>
      <c r="Y565" s="69">
        <f t="shared" si="14"/>
        <v>995894913</v>
      </c>
      <c r="Z565" s="11"/>
    </row>
    <row r="566">
      <c r="A566" s="8"/>
      <c r="B566" s="56" t="str">
        <f t="shared" si="2"/>
        <v/>
      </c>
      <c r="C566" s="57"/>
      <c r="D566" s="10" t="str">
        <f>IFERROR(__xludf.DUMMYFUNCTION("IF(COUNTA(C566:C1350)=0,"""",IF(ISBLANK(C566),FALSE,IF(NOT(COUNTIF($AA$24:$AA$34,SUBSTITUTE(C566,""Sell_"",""""))),1,IF(REGEXMATCH(C566,""Sell_""),IF(COUNTIF(C$4:C566,SUBSTITUTE(C566,""Sell_"",""""))-COUNTIF(C$4:C565,C566)&lt;1,1),FALSE))))"),"")</f>
        <v/>
      </c>
      <c r="E566" s="59" t="str">
        <f t="array" ref="E566">IF(COUNTA(C566:C1350)=0,"",SUM((COUNTIF(C$4:C566,Upgrades!$B$3:$B$13)-COUNTIF(C$4:C566,"Sell_"&amp;Upgrades!$B$3:$B$13))*Upgrades!$D$3:$D$13))</f>
        <v/>
      </c>
      <c r="F566" s="66" t="str">
        <f>IFERROR(__xludf.DUMMYFUNCTION("IF(COUNTA(C566:C1350)=0,"""",IF(REGEXMATCH(INDEX(FILTER(C$4:C566,C$4:C566&lt;&gt;""""),ROWS(FILTER(C$4:C566,C$4:C566&lt;&gt;""""))),""^Sell_""),INDEX(FILTER(F$4:F565,C$4:C565&lt;&gt;""""),ROWS(FILTER(C$4:C565,C$4:C565&lt;&gt;""""))),$AC$5+E566))"),"")</f>
        <v/>
      </c>
      <c r="G566" s="10" t="str">
        <f>IFERROR(__xludf.DUMMYFUNCTION("IF(COUNTA(C566:C1350)=0,"""",IF(C566="""",0,IF(REGEXMATCH(C566,""^Sell_""),-ROUNDDOWN(ROUNDUP(INDEX(Upgrades!$C$3:$C$13,MATCH(SUBSTITUTE(C566,""Sell_"",""""),Upgrades!$B$3:$B$13,0))*1.15^(COUNTIF(C$4:C565,SUBSTITUTE(C566,""Sell_"",""""))-COUNTIF(C$4:C565,"&amp;"""Sell_""&amp;SUBSTITUTE(C566,""Sell_"",""""))))/2),ROUNDUP(INDEX(Upgrades!$C$3:$C$13,MATCH(C566,Upgrades!$B$3:$B$13,0))*1.15^(COUNTIF(C$4:C565,C566)-COUNTIF(C$4:C565,""Sell_""&amp;C566))))))"),"")</f>
        <v/>
      </c>
      <c r="H566" s="10" t="str">
        <f t="shared" si="3"/>
        <v/>
      </c>
      <c r="I566" s="68" t="str">
        <f t="shared" si="4"/>
        <v/>
      </c>
      <c r="J566" s="59" t="str">
        <f t="shared" si="5"/>
        <v/>
      </c>
      <c r="K566" s="69" t="str">
        <f t="shared" si="6"/>
        <v/>
      </c>
      <c r="L566" s="60">
        <f t="shared" si="7"/>
        <v>-187.16425</v>
      </c>
      <c r="M566" s="61">
        <f>IFERROR(__xludf.DUMMYFUNCTION("IFS(AND(COUNTA(C566:C1350)=0,COUNTA(Q566:Q1350)=0),"""",OR(AND(K566&gt;=1000000000,OR(Y566&gt;=1000000000,COUNTA(Q566:Q1350)=0)),OR(Y566&gt;=1000000000,AND(COUNTA(C566:C1350)=0,P$3=TRUE))),
ROUNDDOWN((AB$1-AC$1)*MAX(INDEX(T$4:T1350,MATCH(LARGE(FILTER(Y$4:Y1350,Y$4"&amp;":Y1350&lt;1000000000),1),Y$4:Y1350)),INDEX(F$4:F1350,MATCH(LARGE(FILTER(K$4:K1350,K$4:K1350&lt;1000000000),1),K$4:K1350)))),AND(K566&lt;1000000000,COUNTA(C566:C1350)&gt;0,P$3=FALSE),
ROUNDDOWN(INDEX(Y$4:Y1350,MATCH(LARGE(FILTER(W$4:W1350,W$4:W1350&lt;=I566),1),W$4:W1350"&amp;"))+(I566-LARGE(FILTER(W$4:W1350,W$4:W1350&lt;=I566),1))*INDEX(T$4:T1350,MATCH(LARGE(FILTER(W$4:W1350,W$4:W1350&lt;=I566),1),W$4:W1350))-K566),1,
ROUNDDOWN(Y566-INDEX(K$4:K1350,MATCH(LARGE(FILTER(I$4:I1350,I$4:I1350&lt;=W566),1),I$4:I1350))-(W566-LARGE(FILTER(I$4:I"&amp;"1350,I$4:I1350&lt;=W566),1))*INDEX(F$4:F1350,MATCH(LARGE(FILTER(I$4:I1350,I$4:I1350&lt;=W566),1),I$4:I1350))))"),1.05255905E8)</f>
        <v>105255905</v>
      </c>
      <c r="N566" s="60">
        <f t="shared" si="8"/>
        <v>-187.16425</v>
      </c>
      <c r="O566" s="61" t="str">
        <f t="shared" si="9"/>
        <v>105,3M</v>
      </c>
      <c r="P566" s="56">
        <f t="shared" si="10"/>
        <v>29</v>
      </c>
      <c r="Q566" s="105" t="s">
        <v>3</v>
      </c>
      <c r="R566" s="10" t="b">
        <f>IFERROR(__xludf.DUMMYFUNCTION("IF(COUNTA(Q566:Q1350)=0,"""",IF(ISBLANK(Q566),FALSE,IF(NOT(COUNTIF($AA$24:$AA$34,SUBSTITUTE(Q566,""Sell_"",""""))),1,IF(REGEXMATCH(Q566,""Sell_""),IF(COUNTIF(Q$4:Q566,SUBSTITUTE(Q566,""Sell_"",""""))-COUNTIF(Q$4:Q565,Q566)&lt;1,1),FALSE))))"),FALSE)</f>
        <v>0</v>
      </c>
      <c r="S566" s="59">
        <f t="array" ref="S566">IF(COUNTA(Q566:Q1350)=0,"",SUM((COUNTIF(Q$4:Q566,Upgrades!$B$3:$B$13)-COUNTIF(Q$4:Q566,"Sell_"&amp;Upgrades!$B$3:$B$13))*Upgrades!$D$3:$D$13))</f>
        <v>559853.9</v>
      </c>
      <c r="T566" s="66">
        <f>IFERROR(__xludf.DUMMYFUNCTION("IF(COUNTA(Q566:Q1350)=0,"""",IF(REGEXMATCH(INDEX(FILTER(Q$4:Q566,Q$4:Q566&lt;&gt;""""),ROWS(FILTER(Q$4:Q566,Q$4:Q566&lt;&gt;""""))),""^Sell_""),INDEX(FILTER(T$4:T565,Q$4:Q565&lt;&gt;""""),ROWS(FILTER(Q$4:Q565,Q$4:Q565&lt;&gt;""""))),$AD$5+S566))"),560053.9)</f>
        <v>560053.9</v>
      </c>
      <c r="U566" s="10">
        <f>IFERROR(__xludf.DUMMYFUNCTION("IF(COUNTA(Q566:Q1350)=0,"""",IF(Q566="""",0,IF(REGEXMATCH(Q566,""^Sell_""),-ROUNDDOWN(ROUNDUP(INDEX(Upgrades!$C$3:$C$13,MATCH(SUBSTITUTE(Q566,""Sell_"",""""),Upgrades!$B$3:$B$13,0))*1.15^(COUNTIF(Q$4:Q565,SUBSTITUTE(Q566,""Sell_"",""""))-COUNTIF(Q$4:Q565,"&amp;"""Sell_""&amp;SUBSTITUTE(Q566,""Sell_"",""""))))/2),ROUNDUP(INDEX(Upgrades!$C$3:$C$13,MATCH(Q566,Upgrades!$B$3:$B$13,0))*1.15^(COUNTIF(Q$4:Q565,Q566)-COUNTIF(Q$4:Q565,""Sell_""&amp;Q566))))))"),751.0)</f>
        <v>751</v>
      </c>
      <c r="V566" s="10">
        <f t="shared" si="11"/>
        <v>751</v>
      </c>
      <c r="W566" s="68">
        <f t="shared" si="12"/>
        <v>6759.384008</v>
      </c>
      <c r="X566" s="59" t="str">
        <f t="shared" si="13"/>
        <v>1h 52m 39s</v>
      </c>
      <c r="Y566" s="69">
        <f t="shared" si="14"/>
        <v>995895664</v>
      </c>
      <c r="Z566" s="11"/>
    </row>
    <row r="567">
      <c r="A567" s="8"/>
      <c r="B567" s="56" t="str">
        <f t="shared" si="2"/>
        <v/>
      </c>
      <c r="C567" s="57"/>
      <c r="D567" s="10" t="str">
        <f>IFERROR(__xludf.DUMMYFUNCTION("IF(COUNTA(C567:C1350)=0,"""",IF(ISBLANK(C567),FALSE,IF(NOT(COUNTIF($AA$24:$AA$34,SUBSTITUTE(C567,""Sell_"",""""))),1,IF(REGEXMATCH(C567,""Sell_""),IF(COUNTIF(C$4:C567,SUBSTITUTE(C567,""Sell_"",""""))-COUNTIF(C$4:C566,C567)&lt;1,1),FALSE))))"),"")</f>
        <v/>
      </c>
      <c r="E567" s="59" t="str">
        <f t="array" ref="E567">IF(COUNTA(C567:C1350)=0,"",SUM((COUNTIF(C$4:C567,Upgrades!$B$3:$B$13)-COUNTIF(C$4:C567,"Sell_"&amp;Upgrades!$B$3:$B$13))*Upgrades!$D$3:$D$13))</f>
        <v/>
      </c>
      <c r="F567" s="66" t="str">
        <f>IFERROR(__xludf.DUMMYFUNCTION("IF(COUNTA(C567:C1350)=0,"""",IF(REGEXMATCH(INDEX(FILTER(C$4:C567,C$4:C567&lt;&gt;""""),ROWS(FILTER(C$4:C567,C$4:C567&lt;&gt;""""))),""^Sell_""),INDEX(FILTER(F$4:F566,C$4:C566&lt;&gt;""""),ROWS(FILTER(C$4:C566,C$4:C566&lt;&gt;""""))),$AC$5+E567))"),"")</f>
        <v/>
      </c>
      <c r="G567" s="10" t="str">
        <f>IFERROR(__xludf.DUMMYFUNCTION("IF(COUNTA(C567:C1350)=0,"""",IF(C567="""",0,IF(REGEXMATCH(C567,""^Sell_""),-ROUNDDOWN(ROUNDUP(INDEX(Upgrades!$C$3:$C$13,MATCH(SUBSTITUTE(C567,""Sell_"",""""),Upgrades!$B$3:$B$13,0))*1.15^(COUNTIF(C$4:C566,SUBSTITUTE(C567,""Sell_"",""""))-COUNTIF(C$4:C566,"&amp;"""Sell_""&amp;SUBSTITUTE(C567,""Sell_"",""""))))/2),ROUNDUP(INDEX(Upgrades!$C$3:$C$13,MATCH(C567,Upgrades!$B$3:$B$13,0))*1.15^(COUNTIF(C$4:C566,C567)-COUNTIF(C$4:C566,""Sell_""&amp;C567))))))"),"")</f>
        <v/>
      </c>
      <c r="H567" s="10" t="str">
        <f t="shared" si="3"/>
        <v/>
      </c>
      <c r="I567" s="68" t="str">
        <f t="shared" si="4"/>
        <v/>
      </c>
      <c r="J567" s="59" t="str">
        <f t="shared" si="5"/>
        <v/>
      </c>
      <c r="K567" s="69" t="str">
        <f t="shared" si="6"/>
        <v/>
      </c>
      <c r="L567" s="60">
        <f t="shared" si="7"/>
        <v>-187.14159</v>
      </c>
      <c r="M567" s="61">
        <f>IFERROR(__xludf.DUMMYFUNCTION("IFS(AND(COUNTA(C567:C1350)=0,COUNTA(Q567:Q1350)=0),"""",OR(AND(K567&gt;=1000000000,OR(Y567&gt;=1000000000,COUNTA(Q567:Q1350)=0)),OR(Y567&gt;=1000000000,AND(COUNTA(C567:C1350)=0,P$3=TRUE))),
ROUNDDOWN((AB$1-AC$1)*MAX(INDEX(T$4:T1350,MATCH(LARGE(FILTER(Y$4:Y1350,Y$4"&amp;":Y1350&lt;1000000000),1),Y$4:Y1350)),INDEX(F$4:F1350,MATCH(LARGE(FILTER(K$4:K1350,K$4:K1350&lt;1000000000),1),K$4:K1350)))),AND(K567&lt;1000000000,COUNTA(C567:C1350)&gt;0,P$3=FALSE),
ROUNDDOWN(INDEX(Y$4:Y1350,MATCH(LARGE(FILTER(W$4:W1350,W$4:W1350&lt;=I567),1),W$4:W1350"&amp;"))+(I567-LARGE(FILTER(W$4:W1350,W$4:W1350&lt;=I567),1))*INDEX(T$4:T1350,MATCH(LARGE(FILTER(W$4:W1350,W$4:W1350&lt;=I567),1),W$4:W1350))-K567),1,
ROUNDDOWN(Y567-INDEX(K$4:K1350,MATCH(LARGE(FILTER(I$4:I1350,I$4:I1350&lt;=W567),1),I$4:I1350))-(W567-LARGE(FILTER(I$4:I"&amp;"1350,I$4:I1350&lt;=W567),1))*INDEX(F$4:F1350,MATCH(LARGE(FILTER(I$4:I1350,I$4:I1350&lt;=W567),1),I$4:I1350))))"),1.0526634E8)</f>
        <v>105266340</v>
      </c>
      <c r="N567" s="60">
        <f t="shared" si="8"/>
        <v>-187.14159</v>
      </c>
      <c r="O567" s="61" t="str">
        <f t="shared" si="9"/>
        <v>105,3M</v>
      </c>
      <c r="P567" s="56">
        <f t="shared" si="10"/>
        <v>22</v>
      </c>
      <c r="Q567" s="105" t="s">
        <v>8</v>
      </c>
      <c r="R567" s="10" t="b">
        <f>IFERROR(__xludf.DUMMYFUNCTION("IF(COUNTA(Q567:Q1350)=0,"""",IF(ISBLANK(Q567),FALSE,IF(NOT(COUNTIF($AA$24:$AA$34,SUBSTITUTE(Q567,""Sell_"",""""))),1,IF(REGEXMATCH(Q567,""Sell_""),IF(COUNTIF(Q$4:Q567,SUBSTITUTE(Q567,""Sell_"",""""))-COUNTIF(Q$4:Q566,Q567)&lt;1,1),FALSE))))"),FALSE)</f>
        <v>0</v>
      </c>
      <c r="S567" s="59">
        <f t="array" ref="S567">IF(COUNTA(Q567:Q1350)=0,"",SUM((COUNTIF(Q$4:Q567,Upgrades!$B$3:$B$13)-COUNTIF(Q$4:Q567,"Sell_"&amp;Upgrades!$B$3:$B$13))*Upgrades!$D$3:$D$13))</f>
        <v>559953.9</v>
      </c>
      <c r="T567" s="66">
        <f>IFERROR(__xludf.DUMMYFUNCTION("IF(COUNTA(Q567:Q1350)=0,"""",IF(REGEXMATCH(INDEX(FILTER(Q$4:Q567,Q$4:Q567&lt;&gt;""""),ROWS(FILTER(Q$4:Q567,Q$4:Q567&lt;&gt;""""))),""^Sell_""),INDEX(FILTER(T$4:T566,Q$4:Q566&lt;&gt;""""),ROWS(FILTER(Q$4:Q566,Q$4:Q566&lt;&gt;""""))),$AD$5+S567))"),560153.9)</f>
        <v>560153.9</v>
      </c>
      <c r="U567" s="10">
        <f>IFERROR(__xludf.DUMMYFUNCTION("IF(COUNTA(Q567:Q1350)=0,"""",IF(Q567="""",0,IF(REGEXMATCH(Q567,""^Sell_""),-ROUNDDOWN(ROUNDUP(INDEX(Upgrades!$C$3:$C$13,MATCH(SUBSTITUTE(Q567,""Sell_"",""""),Upgrades!$B$3:$B$13,0))*1.15^(COUNTIF(Q$4:Q566,SUBSTITUTE(Q567,""Sell_"",""""))-COUNTIF(Q$4:Q566,"&amp;"""Sell_""&amp;SUBSTITUTE(Q567,""Sell_"",""""))))/2),ROUNDUP(INDEX(Upgrades!$C$3:$C$13,MATCH(Q567,Upgrades!$B$3:$B$13,0))*1.15^(COUNTIF(Q$4:Q566,Q567)-COUNTIF(Q$4:Q566,""Sell_""&amp;Q567))))))"),752861.0)</f>
        <v>752861</v>
      </c>
      <c r="V567" s="10">
        <f t="shared" si="11"/>
        <v>752861</v>
      </c>
      <c r="W567" s="68">
        <f t="shared" si="12"/>
        <v>6760.728274</v>
      </c>
      <c r="X567" s="59" t="str">
        <f t="shared" si="13"/>
        <v>1h 52m 40s</v>
      </c>
      <c r="Y567" s="69">
        <f t="shared" si="14"/>
        <v>996648525</v>
      </c>
      <c r="Z567" s="11"/>
    </row>
    <row r="568">
      <c r="A568" s="8"/>
      <c r="B568" s="56" t="str">
        <f t="shared" si="2"/>
        <v/>
      </c>
      <c r="C568" s="57"/>
      <c r="D568" s="10" t="str">
        <f>IFERROR(__xludf.DUMMYFUNCTION("IF(COUNTA(C568:C1350)=0,"""",IF(ISBLANK(C568),FALSE,IF(NOT(COUNTIF($AA$24:$AA$34,SUBSTITUTE(C568,""Sell_"",""""))),1,IF(REGEXMATCH(C568,""Sell_""),IF(COUNTIF(C$4:C568,SUBSTITUTE(C568,""Sell_"",""""))-COUNTIF(C$4:C567,C568)&lt;1,1),FALSE))))"),"")</f>
        <v/>
      </c>
      <c r="E568" s="59" t="str">
        <f t="array" ref="E568">IF(COUNTA(C568:C1350)=0,"",SUM((COUNTIF(C$4:C568,Upgrades!$B$3:$B$13)-COUNTIF(C$4:C568,"Sell_"&amp;Upgrades!$B$3:$B$13))*Upgrades!$D$3:$D$13))</f>
        <v/>
      </c>
      <c r="F568" s="66" t="str">
        <f>IFERROR(__xludf.DUMMYFUNCTION("IF(COUNTA(C568:C1350)=0,"""",IF(REGEXMATCH(INDEX(FILTER(C$4:C568,C$4:C568&lt;&gt;""""),ROWS(FILTER(C$4:C568,C$4:C568&lt;&gt;""""))),""^Sell_""),INDEX(FILTER(F$4:F567,C$4:C567&lt;&gt;""""),ROWS(FILTER(C$4:C567,C$4:C567&lt;&gt;""""))),$AC$5+E568))"),"")</f>
        <v/>
      </c>
      <c r="G568" s="10" t="str">
        <f>IFERROR(__xludf.DUMMYFUNCTION("IF(COUNTA(C568:C1350)=0,"""",IF(C568="""",0,IF(REGEXMATCH(C568,""^Sell_""),-ROUNDDOWN(ROUNDUP(INDEX(Upgrades!$C$3:$C$13,MATCH(SUBSTITUTE(C568,""Sell_"",""""),Upgrades!$B$3:$B$13,0))*1.15^(COUNTIF(C$4:C567,SUBSTITUTE(C568,""Sell_"",""""))-COUNTIF(C$4:C567,"&amp;"""Sell_""&amp;SUBSTITUTE(C568,""Sell_"",""""))))/2),ROUNDUP(INDEX(Upgrades!$C$3:$C$13,MATCH(C568,Upgrades!$B$3:$B$13,0))*1.15^(COUNTIF(C$4:C567,C568)-COUNTIF(C$4:C567,""Sell_""&amp;C568))))))"),"")</f>
        <v/>
      </c>
      <c r="H568" s="10" t="str">
        <f t="shared" si="3"/>
        <v/>
      </c>
      <c r="I568" s="68" t="str">
        <f t="shared" si="4"/>
        <v/>
      </c>
      <c r="J568" s="59" t="str">
        <f t="shared" si="5"/>
        <v/>
      </c>
      <c r="K568" s="69" t="str">
        <f t="shared" si="6"/>
        <v/>
      </c>
      <c r="L568" s="60">
        <f t="shared" si="7"/>
        <v>-187.14148</v>
      </c>
      <c r="M568" s="61">
        <f>IFERROR(__xludf.DUMMYFUNCTION("IFS(AND(COUNTA(C568:C1350)=0,COUNTA(Q568:Q1350)=0),"""",OR(AND(K568&gt;=1000000000,OR(Y568&gt;=1000000000,COUNTA(Q568:Q1350)=0)),OR(Y568&gt;=1000000000,AND(COUNTA(C568:C1350)=0,P$3=TRUE))),
ROUNDDOWN((AB$1-AC$1)*MAX(INDEX(T$4:T1350,MATCH(LARGE(FILTER(Y$4:Y1350,Y$4"&amp;":Y1350&lt;1000000000),1),Y$4:Y1350)),INDEX(F$4:F1350,MATCH(LARGE(FILTER(K$4:K1350,K$4:K1350&lt;1000000000),1),K$4:K1350)))),AND(K568&lt;1000000000,COUNTA(C568:C1350)&gt;0,P$3=FALSE),
ROUNDDOWN(INDEX(Y$4:Y1350,MATCH(LARGE(FILTER(W$4:W1350,W$4:W1350&lt;=I568),1),W$4:W1350"&amp;"))+(I568-LARGE(FILTER(W$4:W1350,W$4:W1350&lt;=I568),1))*INDEX(T$4:T1350,MATCH(LARGE(FILTER(W$4:W1350,W$4:W1350&lt;=I568),1),W$4:W1350))-K568),1,
ROUNDDOWN(Y568-INDEX(K$4:K1350,MATCH(LARGE(FILTER(I$4:I1350,I$4:I1350&lt;=W568),1),I$4:I1350))-(W568-LARGE(FILTER(I$4:I"&amp;"1350,I$4:I1350&lt;=W568),1))*INDEX(F$4:F1350,MATCH(LARGE(FILTER(I$4:I1350,I$4:I1350&lt;=W568),1),I$4:I1350))))"),1.05266393E8)</f>
        <v>105266393</v>
      </c>
      <c r="N568" s="60">
        <f t="shared" si="8"/>
        <v>-187.14148</v>
      </c>
      <c r="O568" s="61" t="str">
        <f t="shared" si="9"/>
        <v>105,3M</v>
      </c>
      <c r="P568" s="56">
        <f t="shared" si="10"/>
        <v>27</v>
      </c>
      <c r="Q568" s="105" t="s">
        <v>4</v>
      </c>
      <c r="R568" s="10" t="b">
        <f>IFERROR(__xludf.DUMMYFUNCTION("IF(COUNTA(Q568:Q1350)=0,"""",IF(ISBLANK(Q568),FALSE,IF(NOT(COUNTIF($AA$24:$AA$34,SUBSTITUTE(Q568,""Sell_"",""""))),1,IF(REGEXMATCH(Q568,""Sell_""),IF(COUNTIF(Q$4:Q568,SUBSTITUTE(Q568,""Sell_"",""""))-COUNTIF(Q$4:Q567,Q568)&lt;1,1),FALSE))))"),FALSE)</f>
        <v>0</v>
      </c>
      <c r="S568" s="59">
        <f t="array" ref="S568">IF(COUNTA(Q568:Q1350)=0,"",SUM((COUNTIF(Q$4:Q568,Upgrades!$B$3:$B$13)-COUNTIF(Q$4:Q568,"Sell_"&amp;Upgrades!$B$3:$B$13))*Upgrades!$D$3:$D$13))</f>
        <v>559954.4</v>
      </c>
      <c r="T568" s="66">
        <f>IFERROR(__xludf.DUMMYFUNCTION("IF(COUNTA(Q568:Q1350)=0,"""",IF(REGEXMATCH(INDEX(FILTER(Q$4:Q568,Q$4:Q568&lt;&gt;""""),ROWS(FILTER(Q$4:Q568,Q$4:Q568&lt;&gt;""""))),""^Sell_""),INDEX(FILTER(T$4:T567,Q$4:Q567&lt;&gt;""""),ROWS(FILTER(Q$4:Q567,Q$4:Q567&lt;&gt;""""))),$AD$5+S568))"),560154.4)</f>
        <v>560154.4</v>
      </c>
      <c r="U568" s="10">
        <f>IFERROR(__xludf.DUMMYFUNCTION("IF(COUNTA(Q568:Q1350)=0,"""",IF(Q568="""",0,IF(REGEXMATCH(Q568,""^Sell_""),-ROUNDDOWN(ROUNDUP(INDEX(Upgrades!$C$3:$C$13,MATCH(SUBSTITUTE(Q568,""Sell_"",""""),Upgrades!$B$3:$B$13,0))*1.15^(COUNTIF(Q$4:Q567,SUBSTITUTE(Q568,""Sell_"",""""))-COUNTIF(Q$4:Q567,"&amp;"""Sell_""&amp;SUBSTITUTE(Q568,""Sell_"",""""))))/2),ROUNDUP(INDEX(Upgrades!$C$3:$C$13,MATCH(Q568,Upgrades!$B$3:$B$13,0))*1.15^(COUNTIF(Q$4:Q567,Q568)-COUNTIF(Q$4:Q567,""Sell_""&amp;Q568))))))"),3786.0)</f>
        <v>3786</v>
      </c>
      <c r="V568" s="10">
        <f t="shared" si="11"/>
        <v>3786</v>
      </c>
      <c r="W568" s="68">
        <f t="shared" si="12"/>
        <v>6760.735032</v>
      </c>
      <c r="X568" s="59" t="str">
        <f t="shared" si="13"/>
        <v>1h 52m 40s</v>
      </c>
      <c r="Y568" s="69">
        <f t="shared" si="14"/>
        <v>996652311</v>
      </c>
      <c r="Z568" s="11"/>
    </row>
    <row r="569">
      <c r="A569" s="8"/>
      <c r="B569" s="56" t="str">
        <f t="shared" si="2"/>
        <v/>
      </c>
      <c r="C569" s="57"/>
      <c r="D569" s="10" t="str">
        <f>IFERROR(__xludf.DUMMYFUNCTION("IF(COUNTA(C569:C1350)=0,"""",IF(ISBLANK(C569),FALSE,IF(NOT(COUNTIF($AA$24:$AA$34,SUBSTITUTE(C569,""Sell_"",""""))),1,IF(REGEXMATCH(C569,""Sell_""),IF(COUNTIF(C$4:C569,SUBSTITUTE(C569,""Sell_"",""""))-COUNTIF(C$4:C568,C569)&lt;1,1),FALSE))))"),"")</f>
        <v/>
      </c>
      <c r="E569" s="59" t="str">
        <f t="array" ref="E569">IF(COUNTA(C569:C1350)=0,"",SUM((COUNTIF(C$4:C569,Upgrades!$B$3:$B$13)-COUNTIF(C$4:C569,"Sell_"&amp;Upgrades!$B$3:$B$13))*Upgrades!$D$3:$D$13))</f>
        <v/>
      </c>
      <c r="F569" s="66" t="str">
        <f>IFERROR(__xludf.DUMMYFUNCTION("IF(COUNTA(C569:C1350)=0,"""",IF(REGEXMATCH(INDEX(FILTER(C$4:C569,C$4:C569&lt;&gt;""""),ROWS(FILTER(C$4:C569,C$4:C569&lt;&gt;""""))),""^Sell_""),INDEX(FILTER(F$4:F568,C$4:C568&lt;&gt;""""),ROWS(FILTER(C$4:C568,C$4:C568&lt;&gt;""""))),$AC$5+E569))"),"")</f>
        <v/>
      </c>
      <c r="G569" s="10" t="str">
        <f>IFERROR(__xludf.DUMMYFUNCTION("IF(COUNTA(C569:C1350)=0,"""",IF(C569="""",0,IF(REGEXMATCH(C569,""^Sell_""),-ROUNDDOWN(ROUNDUP(INDEX(Upgrades!$C$3:$C$13,MATCH(SUBSTITUTE(C569,""Sell_"",""""),Upgrades!$B$3:$B$13,0))*1.15^(COUNTIF(C$4:C568,SUBSTITUTE(C569,""Sell_"",""""))-COUNTIF(C$4:C568,"&amp;"""Sell_""&amp;SUBSTITUTE(C569,""Sell_"",""""))))/2),ROUNDUP(INDEX(Upgrades!$C$3:$C$13,MATCH(C569,Upgrades!$B$3:$B$13,0))*1.15^(COUNTIF(C$4:C568,C569)-COUNTIF(C$4:C568,""Sell_""&amp;C569))))))"),"")</f>
        <v/>
      </c>
      <c r="H569" s="10" t="str">
        <f t="shared" si="3"/>
        <v/>
      </c>
      <c r="I569" s="68" t="str">
        <f t="shared" si="4"/>
        <v/>
      </c>
      <c r="J569" s="59" t="str">
        <f t="shared" si="5"/>
        <v/>
      </c>
      <c r="K569" s="69" t="str">
        <f t="shared" si="6"/>
        <v/>
      </c>
      <c r="L569" s="60">
        <f t="shared" si="7"/>
        <v>-187.04332</v>
      </c>
      <c r="M569" s="61">
        <f>IFERROR(__xludf.DUMMYFUNCTION("IFS(AND(COUNTA(C569:C1350)=0,COUNTA(Q569:Q1350)=0),"""",OR(AND(K569&gt;=1000000000,OR(Y569&gt;=1000000000,COUNTA(Q569:Q1350)=0)),OR(Y569&gt;=1000000000,AND(COUNTA(C569:C1350)=0,P$3=TRUE))),
ROUNDDOWN((AB$1-AC$1)*MAX(INDEX(T$4:T1350,MATCH(LARGE(FILTER(Y$4:Y1350,Y$4"&amp;":Y1350&lt;1000000000),1),Y$4:Y1350)),INDEX(F$4:F1350,MATCH(LARGE(FILTER(K$4:K1350,K$4:K1350&lt;1000000000),1),K$4:K1350)))),AND(K569&lt;1000000000,COUNTA(C569:C1350)&gt;0,P$3=FALSE),
ROUNDDOWN(INDEX(Y$4:Y1350,MATCH(LARGE(FILTER(W$4:W1350,W$4:W1350&lt;=I569),1),W$4:W1350"&amp;"))+(I569-LARGE(FILTER(W$4:W1350,W$4:W1350&lt;=I569),1))*INDEX(T$4:T1350,MATCH(LARGE(FILTER(W$4:W1350,W$4:W1350&lt;=I569),1),W$4:W1350))-K569),1,
ROUNDDOWN(Y569-INDEX(K$4:K1350,MATCH(LARGE(FILTER(I$4:I1350,I$4:I1350&lt;=W569),1),I$4:I1350))-(W569-LARGE(FILTER(I$4:I"&amp;"1350,I$4:I1350&lt;=W569),1))*INDEX(F$4:F1350,MATCH(LARGE(FILTER(I$4:I1350,I$4:I1350&lt;=W569),1),I$4:I1350))))"),1.0531234E8)</f>
        <v>105312340</v>
      </c>
      <c r="N569" s="60">
        <f t="shared" si="8"/>
        <v>-187.04332</v>
      </c>
      <c r="O569" s="61" t="str">
        <f t="shared" si="9"/>
        <v>105,3M</v>
      </c>
      <c r="P569" s="56">
        <f t="shared" si="10"/>
        <v>21</v>
      </c>
      <c r="Q569" s="105" t="s">
        <v>9</v>
      </c>
      <c r="R569" s="10" t="b">
        <f>IFERROR(__xludf.DUMMYFUNCTION("IF(COUNTA(Q569:Q1350)=0,"""",IF(ISBLANK(Q569),FALSE,IF(NOT(COUNTIF($AA$24:$AA$34,SUBSTITUTE(Q569,""Sell_"",""""))),1,IF(REGEXMATCH(Q569,""Sell_""),IF(COUNTIF(Q$4:Q569,SUBSTITUTE(Q569,""Sell_"",""""))-COUNTIF(Q$4:Q568,Q569)&lt;1,1),FALSE))))"),FALSE)</f>
        <v>0</v>
      </c>
      <c r="S569" s="59">
        <f t="array" ref="S569">IF(COUNTA(Q569:Q1350)=0,"",SUM((COUNTIF(Q$4:Q569,Upgrades!$B$3:$B$13)-COUNTIF(Q$4:Q569,"Sell_"&amp;Upgrades!$B$3:$B$13))*Upgrades!$D$3:$D$13))</f>
        <v>560354.4</v>
      </c>
      <c r="T569" s="66">
        <f>IFERROR(__xludf.DUMMYFUNCTION("IF(COUNTA(Q569:Q1350)=0,"""",IF(REGEXMATCH(INDEX(FILTER(Q$4:Q569,Q$4:Q569&lt;&gt;""""),ROWS(FILTER(Q$4:Q569,Q$4:Q569&lt;&gt;""""))),""^Sell_""),INDEX(FILTER(T$4:T568,Q$4:Q568&lt;&gt;""""),ROWS(FILTER(Q$4:Q568,Q$4:Q568&lt;&gt;""""))),$AD$5+S569))"),560554.4)</f>
        <v>560554.4</v>
      </c>
      <c r="U569" s="10">
        <f>IFERROR(__xludf.DUMMYFUNCTION("IF(COUNTA(Q569:Q1350)=0,"""",IF(Q569="""",0,IF(REGEXMATCH(Q569,""^Sell_""),-ROUNDDOWN(ROUNDUP(INDEX(Upgrades!$C$3:$C$13,MATCH(SUBSTITUTE(Q569,""Sell_"",""""),Upgrades!$B$3:$B$13,0))*1.15^(COUNTIF(Q$4:Q568,SUBSTITUTE(Q569,""Sell_"",""""))-COUNTIF(Q$4:Q568,"&amp;"""Sell_""&amp;SUBSTITUTE(Q569,""Sell_"",""""))))/2),ROUNDUP(INDEX(Upgrades!$C$3:$C$13,MATCH(Q569,Upgrades!$B$3:$B$13,0))*1.15^(COUNTIF(Q$4:Q568,Q569)-COUNTIF(Q$4:Q568,""Sell_""&amp;Q569))))))"),3273308.0)</f>
        <v>3273308</v>
      </c>
      <c r="V569" s="10">
        <f t="shared" si="11"/>
        <v>3273308</v>
      </c>
      <c r="W569" s="68">
        <f t="shared" si="12"/>
        <v>6766.578614</v>
      </c>
      <c r="X569" s="59" t="str">
        <f t="shared" si="13"/>
        <v>1h 52m 46s</v>
      </c>
      <c r="Y569" s="69">
        <f t="shared" si="14"/>
        <v>999925619</v>
      </c>
      <c r="Z569" s="11"/>
    </row>
    <row r="570">
      <c r="A570" s="8"/>
      <c r="B570" s="56" t="str">
        <f t="shared" si="2"/>
        <v/>
      </c>
      <c r="C570" s="57"/>
      <c r="D570" s="10" t="str">
        <f>IFERROR(__xludf.DUMMYFUNCTION("IF(COUNTA(C570:C1350)=0,"""",IF(ISBLANK(C570),FALSE,IF(NOT(COUNTIF($AA$24:$AA$34,SUBSTITUTE(C570,""Sell_"",""""))),1,IF(REGEXMATCH(C570,""Sell_""),IF(COUNTIF(C$4:C570,SUBSTITUTE(C570,""Sell_"",""""))-COUNTIF(C$4:C569,C570)&lt;1,1),FALSE))))"),"")</f>
        <v/>
      </c>
      <c r="E570" s="59" t="str">
        <f t="array" ref="E570">IF(COUNTA(C570:C1350)=0,"",SUM((COUNTIF(C$4:C570,Upgrades!$B$3:$B$13)-COUNTIF(C$4:C570,"Sell_"&amp;Upgrades!$B$3:$B$13))*Upgrades!$D$3:$D$13))</f>
        <v/>
      </c>
      <c r="F570" s="66" t="str">
        <f>IFERROR(__xludf.DUMMYFUNCTION("IF(COUNTA(C570:C1350)=0,"""",IF(REGEXMATCH(INDEX(FILTER(C$4:C570,C$4:C570&lt;&gt;""""),ROWS(FILTER(C$4:C570,C$4:C570&lt;&gt;""""))),""^Sell_""),INDEX(FILTER(F$4:F569,C$4:C569&lt;&gt;""""),ROWS(FILTER(C$4:C569,C$4:C569&lt;&gt;""""))),$AC$5+E570))"),"")</f>
        <v/>
      </c>
      <c r="G570" s="10" t="str">
        <f>IFERROR(__xludf.DUMMYFUNCTION("IF(COUNTA(C570:C1350)=0,"""",IF(C570="""",0,IF(REGEXMATCH(C570,""^Sell_""),-ROUNDDOWN(ROUNDUP(INDEX(Upgrades!$C$3:$C$13,MATCH(SUBSTITUTE(C570,""Sell_"",""""),Upgrades!$B$3:$B$13,0))*1.15^(COUNTIF(C$4:C569,SUBSTITUTE(C570,""Sell_"",""""))-COUNTIF(C$4:C569,"&amp;"""Sell_""&amp;SUBSTITUTE(C570,""Sell_"",""""))))/2),ROUNDUP(INDEX(Upgrades!$C$3:$C$13,MATCH(C570,Upgrades!$B$3:$B$13,0))*1.15^(COUNTIF(C$4:C569,C570)-COUNTIF(C$4:C569,""Sell_""&amp;C570))))))"),"")</f>
        <v/>
      </c>
      <c r="H570" s="10" t="str">
        <f t="shared" si="3"/>
        <v/>
      </c>
      <c r="I570" s="68" t="str">
        <f t="shared" si="4"/>
        <v/>
      </c>
      <c r="J570" s="59" t="str">
        <f t="shared" si="5"/>
        <v/>
      </c>
      <c r="K570" s="69" t="str">
        <f t="shared" si="6"/>
        <v/>
      </c>
      <c r="L570" s="60">
        <f t="shared" si="7"/>
        <v>-187.04236</v>
      </c>
      <c r="M570" s="61">
        <f>IFERROR(__xludf.DUMMYFUNCTION("IFS(AND(COUNTA(C570:C1350)=0,COUNTA(Q570:Q1350)=0),"""",OR(AND(K570&gt;=1000000000,OR(Y570&gt;=1000000000,COUNTA(Q570:Q1350)=0)),OR(Y570&gt;=1000000000,AND(COUNTA(C570:C1350)=0,P$3=TRUE))),
ROUNDDOWN((AB$1-AC$1)*MAX(INDEX(T$4:T1350,MATCH(LARGE(FILTER(Y$4:Y1350,Y$4"&amp;":Y1350&lt;1000000000),1),Y$4:Y1350)),INDEX(F$4:F1350,MATCH(LARGE(FILTER(K$4:K1350,K$4:K1350&lt;1000000000),1),K$4:K1350)))),AND(K570&lt;1000000000,COUNTA(C570:C1350)&gt;0,P$3=FALSE),
ROUNDDOWN(INDEX(Y$4:Y1350,MATCH(LARGE(FILTER(W$4:W1350,W$4:W1350&lt;=I570),1),W$4:W1350"&amp;"))+(I570-LARGE(FILTER(W$4:W1350,W$4:W1350&lt;=I570),1))*INDEX(T$4:T1350,MATCH(LARGE(FILTER(W$4:W1350,W$4:W1350&lt;=I570),1),W$4:W1350))-K570),1,
ROUNDDOWN(Y570-INDEX(K$4:K1350,MATCH(LARGE(FILTER(I$4:I1350,I$4:I1350&lt;=W570),1),I$4:I1350))-(W570-LARGE(FILTER(I$4:I"&amp;"1350,I$4:I1350&lt;=W570),1))*INDEX(F$4:F1350,MATCH(LARGE(FILTER(I$4:I1350,I$4:I1350&lt;=W570),1),I$4:I1350))))"),1.05312828E8)</f>
        <v>105312828</v>
      </c>
      <c r="N570" s="60">
        <f t="shared" si="8"/>
        <v>-187.04236</v>
      </c>
      <c r="O570" s="61" t="str">
        <f t="shared" si="9"/>
        <v>105,3M</v>
      </c>
      <c r="P570" s="56">
        <f t="shared" si="10"/>
        <v>31</v>
      </c>
      <c r="Q570" s="105" t="s">
        <v>5</v>
      </c>
      <c r="R570" s="10" t="b">
        <f>IFERROR(__xludf.DUMMYFUNCTION("IF(COUNTA(Q570:Q1350)=0,"""",IF(ISBLANK(Q570),FALSE,IF(NOT(COUNTIF($AA$24:$AA$34,SUBSTITUTE(Q570,""Sell_"",""""))),1,IF(REGEXMATCH(Q570,""Sell_""),IF(COUNTIF(Q$4:Q570,SUBSTITUTE(Q570,""Sell_"",""""))-COUNTIF(Q$4:Q569,Q570)&lt;1,1),FALSE))))"),FALSE)</f>
        <v>0</v>
      </c>
      <c r="S570" s="59">
        <f t="array" ref="S570">IF(COUNTA(Q570:Q1350)=0,"",SUM((COUNTIF(Q$4:Q570,Upgrades!$B$3:$B$13)-COUNTIF(Q$4:Q570,"Sell_"&amp;Upgrades!$B$3:$B$13))*Upgrades!$D$3:$D$13))</f>
        <v>560358.4</v>
      </c>
      <c r="T570" s="66">
        <f>IFERROR(__xludf.DUMMYFUNCTION("IF(COUNTA(Q570:Q1350)=0,"""",IF(REGEXMATCH(INDEX(FILTER(Q$4:Q570,Q$4:Q570&lt;&gt;""""),ROWS(FILTER(Q$4:Q570,Q$4:Q570&lt;&gt;""""))),""^Sell_""),INDEX(FILTER(T$4:T569,Q$4:Q569&lt;&gt;""""),ROWS(FILTER(Q$4:Q569,Q$4:Q569&lt;&gt;""""))),$AD$5+S570))"),560558.4)</f>
        <v>560558.4</v>
      </c>
      <c r="U570" s="10">
        <f>IFERROR(__xludf.DUMMYFUNCTION("IF(COUNTA(Q570:Q1350)=0,"""",IF(Q570="""",0,IF(REGEXMATCH(Q570,""^Sell_""),-ROUNDDOWN(ROUNDUP(INDEX(Upgrades!$C$3:$C$13,MATCH(SUBSTITUTE(Q570,""Sell_"",""""),Upgrades!$B$3:$B$13,0))*1.15^(COUNTIF(Q$4:Q569,SUBSTITUTE(Q570,""Sell_"",""""))-COUNTIF(Q$4:Q569,"&amp;"""Sell_""&amp;SUBSTITUTE(Q570,""Sell_"",""""))))/2),ROUNDUP(INDEX(Upgrades!$C$3:$C$13,MATCH(Q570,Upgrades!$B$3:$B$13,0))*1.15^(COUNTIF(Q$4:Q569,Q570)-COUNTIF(Q$4:Q569,""Sell_""&amp;Q570))))))"),33106.0)</f>
        <v>33106</v>
      </c>
      <c r="V570" s="10">
        <f t="shared" si="11"/>
        <v>33106</v>
      </c>
      <c r="W570" s="68">
        <f t="shared" si="12"/>
        <v>6766.637673</v>
      </c>
      <c r="X570" s="59" t="str">
        <f t="shared" si="13"/>
        <v>1h 52m 46s</v>
      </c>
      <c r="Y570" s="69">
        <f t="shared" si="14"/>
        <v>999958725</v>
      </c>
      <c r="Z570" s="11"/>
    </row>
    <row r="571">
      <c r="A571" s="8"/>
      <c r="B571" s="56" t="str">
        <f t="shared" si="2"/>
        <v/>
      </c>
      <c r="C571" s="57"/>
      <c r="D571" s="10" t="str">
        <f>IFERROR(__xludf.DUMMYFUNCTION("IF(COUNTA(C571:C1350)=0,"""",IF(ISBLANK(C571),FALSE,IF(NOT(COUNTIF($AA$24:$AA$34,SUBSTITUTE(C571,""Sell_"",""""))),1,IF(REGEXMATCH(C571,""Sell_""),IF(COUNTIF(C$4:C571,SUBSTITUTE(C571,""Sell_"",""""))-COUNTIF(C$4:C570,C571)&lt;1,1),FALSE))))"),"")</f>
        <v/>
      </c>
      <c r="E571" s="59" t="str">
        <f t="array" ref="E571">IF(COUNTA(C571:C1350)=0,"",SUM((COUNTIF(C$4:C571,Upgrades!$B$3:$B$13)-COUNTIF(C$4:C571,"Sell_"&amp;Upgrades!$B$3:$B$13))*Upgrades!$D$3:$D$13))</f>
        <v/>
      </c>
      <c r="F571" s="66" t="str">
        <f>IFERROR(__xludf.DUMMYFUNCTION("IF(COUNTA(C571:C1350)=0,"""",IF(REGEXMATCH(INDEX(FILTER(C$4:C571,C$4:C571&lt;&gt;""""),ROWS(FILTER(C$4:C571,C$4:C571&lt;&gt;""""))),""^Sell_""),INDEX(FILTER(F$4:F570,C$4:C570&lt;&gt;""""),ROWS(FILTER(C$4:C570,C$4:C570&lt;&gt;""""))),$AC$5+E571))"),"")</f>
        <v/>
      </c>
      <c r="G571" s="10" t="str">
        <f>IFERROR(__xludf.DUMMYFUNCTION("IF(COUNTA(C571:C1350)=0,"""",IF(C571="""",0,IF(REGEXMATCH(C571,""^Sell_""),-ROUNDDOWN(ROUNDUP(INDEX(Upgrades!$C$3:$C$13,MATCH(SUBSTITUTE(C571,""Sell_"",""""),Upgrades!$B$3:$B$13,0))*1.15^(COUNTIF(C$4:C570,SUBSTITUTE(C571,""Sell_"",""""))-COUNTIF(C$4:C570,"&amp;"""Sell_""&amp;SUBSTITUTE(C571,""Sell_"",""""))))/2),ROUNDUP(INDEX(Upgrades!$C$3:$C$13,MATCH(C571,Upgrades!$B$3:$B$13,0))*1.15^(COUNTIF(C$4:C570,C571)-COUNTIF(C$4:C570,""Sell_""&amp;C571))))))"),"")</f>
        <v/>
      </c>
      <c r="H571" s="10" t="str">
        <f t="shared" si="3"/>
        <v/>
      </c>
      <c r="I571" s="68" t="str">
        <f t="shared" si="4"/>
        <v/>
      </c>
      <c r="J571" s="59" t="str">
        <f t="shared" si="5"/>
        <v/>
      </c>
      <c r="K571" s="69" t="str">
        <f t="shared" si="6"/>
        <v/>
      </c>
      <c r="L571" s="60">
        <f t="shared" si="7"/>
        <v>-187.04233</v>
      </c>
      <c r="M571" s="61">
        <f>IFERROR(__xludf.DUMMYFUNCTION("IFS(AND(COUNTA(C571:C1350)=0,COUNTA(Q571:Q1350)=0),"""",OR(AND(K571&gt;=1000000000,OR(Y571&gt;=1000000000,COUNTA(Q571:Q1350)=0)),OR(Y571&gt;=1000000000,AND(COUNTA(C571:C1350)=0,P$3=TRUE))),
ROUNDDOWN((AB$1-AC$1)*MAX(INDEX(T$4:T1350,MATCH(LARGE(FILTER(Y$4:Y1350,Y$4"&amp;":Y1350&lt;1000000000),1),Y$4:Y1350)),INDEX(F$4:F1350,MATCH(LARGE(FILTER(K$4:K1350,K$4:K1350&lt;1000000000),1),K$4:K1350)))),AND(K571&lt;1000000000,COUNTA(C571:C1350)&gt;0,P$3=FALSE),
ROUNDDOWN(INDEX(Y$4:Y1350,MATCH(LARGE(FILTER(W$4:W1350,W$4:W1350&lt;=I571),1),W$4:W1350"&amp;"))+(I571-LARGE(FILTER(W$4:W1350,W$4:W1350&lt;=I571),1))*INDEX(T$4:T1350,MATCH(LARGE(FILTER(W$4:W1350,W$4:W1350&lt;=I571),1),W$4:W1350))-K571),1,
ROUNDDOWN(Y571-INDEX(K$4:K1350,MATCH(LARGE(FILTER(I$4:I1350,I$4:I1350&lt;=W571),1),I$4:I1350))-(W571-LARGE(FILTER(I$4:I"&amp;"1350,I$4:I1350&lt;=W571),1))*INDEX(F$4:F1350,MATCH(LARGE(FILTER(I$4:I1350,I$4:I1350&lt;=W571),1),I$4:I1350))))"),1.05312841E8)</f>
        <v>105312841</v>
      </c>
      <c r="N571" s="60">
        <f t="shared" si="8"/>
        <v>-187.04233</v>
      </c>
      <c r="O571" s="61" t="str">
        <f t="shared" si="9"/>
        <v>105,3M</v>
      </c>
      <c r="P571" s="56">
        <f t="shared" si="10"/>
        <v>30</v>
      </c>
      <c r="Q571" s="105" t="s">
        <v>3</v>
      </c>
      <c r="R571" s="10" t="b">
        <f>IFERROR(__xludf.DUMMYFUNCTION("IF(COUNTA(Q571:Q1350)=0,"""",IF(ISBLANK(Q571),FALSE,IF(NOT(COUNTIF($AA$24:$AA$34,SUBSTITUTE(Q571,""Sell_"",""""))),1,IF(REGEXMATCH(Q571,""Sell_""),IF(COUNTIF(Q$4:Q571,SUBSTITUTE(Q571,""Sell_"",""""))-COUNTIF(Q$4:Q570,Q571)&lt;1,1),FALSE))))"),FALSE)</f>
        <v>0</v>
      </c>
      <c r="S571" s="59">
        <f t="array" ref="S571">IF(COUNTA(Q571:Q1350)=0,"",SUM((COUNTIF(Q$4:Q571,Upgrades!$B$3:$B$13)-COUNTIF(Q$4:Q571,"Sell_"&amp;Upgrades!$B$3:$B$13))*Upgrades!$D$3:$D$13))</f>
        <v>560358.5</v>
      </c>
      <c r="T571" s="66">
        <f>IFERROR(__xludf.DUMMYFUNCTION("IF(COUNTA(Q571:Q1350)=0,"""",IF(REGEXMATCH(INDEX(FILTER(Q$4:Q571,Q$4:Q571&lt;&gt;""""),ROWS(FILTER(Q$4:Q571,Q$4:Q571&lt;&gt;""""))),""^Sell_""),INDEX(FILTER(T$4:T570,Q$4:Q570&lt;&gt;""""),ROWS(FILTER(Q$4:Q570,Q$4:Q570&lt;&gt;""""))),$AD$5+S571))"),560558.5)</f>
        <v>560558.5</v>
      </c>
      <c r="U571" s="10">
        <f>IFERROR(__xludf.DUMMYFUNCTION("IF(COUNTA(Q571:Q1350)=0,"""",IF(Q571="""",0,IF(REGEXMATCH(Q571,""^Sell_""),-ROUNDDOWN(ROUNDUP(INDEX(Upgrades!$C$3:$C$13,MATCH(SUBSTITUTE(Q571,""Sell_"",""""),Upgrades!$B$3:$B$13,0))*1.15^(COUNTIF(Q$4:Q570,SUBSTITUTE(Q571,""Sell_"",""""))-COUNTIF(Q$4:Q570,"&amp;"""Sell_""&amp;SUBSTITUTE(Q571,""Sell_"",""""))))/2),ROUNDUP(INDEX(Upgrades!$C$3:$C$13,MATCH(Q571,Upgrades!$B$3:$B$13,0))*1.15^(COUNTIF(Q$4:Q570,Q571)-COUNTIF(Q$4:Q570,""Sell_""&amp;Q571))))))"),864.0)</f>
        <v>864</v>
      </c>
      <c r="V571" s="10">
        <f t="shared" si="11"/>
        <v>864</v>
      </c>
      <c r="W571" s="68">
        <f t="shared" si="12"/>
        <v>6766.639215</v>
      </c>
      <c r="X571" s="59" t="str">
        <f t="shared" si="13"/>
        <v>1h 52m 46s</v>
      </c>
      <c r="Y571" s="69">
        <f t="shared" si="14"/>
        <v>999959589</v>
      </c>
      <c r="Z571" s="11"/>
    </row>
    <row r="572">
      <c r="A572" s="8"/>
      <c r="B572" s="56" t="str">
        <f t="shared" si="2"/>
        <v/>
      </c>
      <c r="C572" s="57"/>
      <c r="D572" s="10" t="str">
        <f>IFERROR(__xludf.DUMMYFUNCTION("IF(COUNTA(C572:C1350)=0,"""",IF(ISBLANK(C572),FALSE,IF(NOT(COUNTIF($AA$24:$AA$34,SUBSTITUTE(C572,""Sell_"",""""))),1,IF(REGEXMATCH(C572,""Sell_""),IF(COUNTIF(C$4:C572,SUBSTITUTE(C572,""Sell_"",""""))-COUNTIF(C$4:C571,C572)&lt;1,1),FALSE))))"),"")</f>
        <v/>
      </c>
      <c r="E572" s="59" t="str">
        <f t="array" ref="E572">IF(COUNTA(C572:C1350)=0,"",SUM((COUNTIF(C$4:C572,Upgrades!$B$3:$B$13)-COUNTIF(C$4:C572,"Sell_"&amp;Upgrades!$B$3:$B$13))*Upgrades!$D$3:$D$13))</f>
        <v/>
      </c>
      <c r="F572" s="66" t="str">
        <f>IFERROR(__xludf.DUMMYFUNCTION("IF(COUNTA(C572:C1350)=0,"""",IF(REGEXMATCH(INDEX(FILTER(C$4:C572,C$4:C572&lt;&gt;""""),ROWS(FILTER(C$4:C572,C$4:C572&lt;&gt;""""))),""^Sell_""),INDEX(FILTER(F$4:F571,C$4:C571&lt;&gt;""""),ROWS(FILTER(C$4:C571,C$4:C571&lt;&gt;""""))),$AC$5+E572))"),"")</f>
        <v/>
      </c>
      <c r="G572" s="10" t="str">
        <f>IFERROR(__xludf.DUMMYFUNCTION("IF(COUNTA(C572:C1350)=0,"""",IF(C572="""",0,IF(REGEXMATCH(C572,""^Sell_""),-ROUNDDOWN(ROUNDUP(INDEX(Upgrades!$C$3:$C$13,MATCH(SUBSTITUTE(C572,""Sell_"",""""),Upgrades!$B$3:$B$13,0))*1.15^(COUNTIF(C$4:C571,SUBSTITUTE(C572,""Sell_"",""""))-COUNTIF(C$4:C571,"&amp;"""Sell_""&amp;SUBSTITUTE(C572,""Sell_"",""""))))/2),ROUNDUP(INDEX(Upgrades!$C$3:$C$13,MATCH(C572,Upgrades!$B$3:$B$13,0))*1.15^(COUNTIF(C$4:C571,C572)-COUNTIF(C$4:C571,""Sell_""&amp;C572))))))"),"")</f>
        <v/>
      </c>
      <c r="H572" s="10" t="str">
        <f t="shared" si="3"/>
        <v/>
      </c>
      <c r="I572" s="68" t="str">
        <f t="shared" si="4"/>
        <v/>
      </c>
      <c r="J572" s="59" t="str">
        <f t="shared" si="5"/>
        <v/>
      </c>
      <c r="K572" s="69" t="str">
        <f t="shared" si="6"/>
        <v/>
      </c>
      <c r="L572" s="60">
        <f t="shared" si="7"/>
        <v>-187.04221</v>
      </c>
      <c r="M572" s="61">
        <f>IFERROR(__xludf.DUMMYFUNCTION("IFS(AND(COUNTA(C572:C1350)=0,COUNTA(Q572:Q1350)=0),"""",OR(AND(K572&gt;=1000000000,OR(Y572&gt;=1000000000,COUNTA(Q572:Q1350)=0)),OR(Y572&gt;=1000000000,AND(COUNTA(C572:C1350)=0,P$3=TRUE))),
ROUNDDOWN((AB$1-AC$1)*MAX(INDEX(T$4:T1350,MATCH(LARGE(FILTER(Y$4:Y1350,Y$4"&amp;":Y1350&lt;1000000000),1),Y$4:Y1350)),INDEX(F$4:F1350,MATCH(LARGE(FILTER(K$4:K1350,K$4:K1350&lt;1000000000),1),K$4:K1350)))),AND(K572&lt;1000000000,COUNTA(C572:C1350)&gt;0,P$3=FALSE),
ROUNDDOWN(INDEX(Y$4:Y1350,MATCH(LARGE(FILTER(W$4:W1350,W$4:W1350&lt;=I572),1),W$4:W1350"&amp;"))+(I572-LARGE(FILTER(W$4:W1350,W$4:W1350&lt;=I572),1))*INDEX(T$4:T1350,MATCH(LARGE(FILTER(W$4:W1350,W$4:W1350&lt;=I572),1),W$4:W1350))-K572),1,
ROUNDDOWN(Y572-INDEX(K$4:K1350,MATCH(LARGE(FILTER(I$4:I1350,I$4:I1350&lt;=W572),1),I$4:I1350))-(W572-LARGE(FILTER(I$4:I"&amp;"1350,I$4:I1350&lt;=W572),1))*INDEX(F$4:F1350,MATCH(LARGE(FILTER(I$4:I1350,I$4:I1350&lt;=W572),1),I$4:I1350))))"),1.05312905E8)</f>
        <v>105312905</v>
      </c>
      <c r="N572" s="60">
        <f t="shared" si="8"/>
        <v>-187.04221</v>
      </c>
      <c r="O572" s="61" t="str">
        <f t="shared" si="9"/>
        <v>105,3M</v>
      </c>
      <c r="P572" s="56">
        <f t="shared" si="10"/>
        <v>28</v>
      </c>
      <c r="Q572" s="105" t="s">
        <v>4</v>
      </c>
      <c r="R572" s="10" t="b">
        <f>IFERROR(__xludf.DUMMYFUNCTION("IF(COUNTA(Q572:Q1350)=0,"""",IF(ISBLANK(Q572),FALSE,IF(NOT(COUNTIF($AA$24:$AA$34,SUBSTITUTE(Q572,""Sell_"",""""))),1,IF(REGEXMATCH(Q572,""Sell_""),IF(COUNTIF(Q$4:Q572,SUBSTITUTE(Q572,""Sell_"",""""))-COUNTIF(Q$4:Q571,Q572)&lt;1,1),FALSE))))"),FALSE)</f>
        <v>0</v>
      </c>
      <c r="S572" s="59">
        <f t="array" ref="S572">IF(COUNTA(Q572:Q1350)=0,"",SUM((COUNTIF(Q$4:Q572,Upgrades!$B$3:$B$13)-COUNTIF(Q$4:Q572,"Sell_"&amp;Upgrades!$B$3:$B$13))*Upgrades!$D$3:$D$13))</f>
        <v>560359</v>
      </c>
      <c r="T572" s="66">
        <f>IFERROR(__xludf.DUMMYFUNCTION("IF(COUNTA(Q572:Q1350)=0,"""",IF(REGEXMATCH(INDEX(FILTER(Q$4:Q572,Q$4:Q572&lt;&gt;""""),ROWS(FILTER(Q$4:Q572,Q$4:Q572&lt;&gt;""""))),""^Sell_""),INDEX(FILTER(T$4:T571,Q$4:Q571&lt;&gt;""""),ROWS(FILTER(Q$4:Q571,Q$4:Q571&lt;&gt;""""))),$AD$5+S572))"),560559.0)</f>
        <v>560559</v>
      </c>
      <c r="U572" s="10">
        <f>IFERROR(__xludf.DUMMYFUNCTION("IF(COUNTA(Q572:Q1350)=0,"""",IF(Q572="""",0,IF(REGEXMATCH(Q572,""^Sell_""),-ROUNDDOWN(ROUNDUP(INDEX(Upgrades!$C$3:$C$13,MATCH(SUBSTITUTE(Q572,""Sell_"",""""),Upgrades!$B$3:$B$13,0))*1.15^(COUNTIF(Q$4:Q571,SUBSTITUTE(Q572,""Sell_"",""""))-COUNTIF(Q$4:Q571,"&amp;"""Sell_""&amp;SUBSTITUTE(Q572,""Sell_"",""""))))/2),ROUNDUP(INDEX(Upgrades!$C$3:$C$13,MATCH(Q572,Upgrades!$B$3:$B$13,0))*1.15^(COUNTIF(Q$4:Q571,Q572)-COUNTIF(Q$4:Q571,""Sell_""&amp;Q572))))))"),4354.0)</f>
        <v>4354</v>
      </c>
      <c r="V572" s="10">
        <f t="shared" si="11"/>
        <v>4354</v>
      </c>
      <c r="W572" s="68">
        <f t="shared" si="12"/>
        <v>6766.646982</v>
      </c>
      <c r="X572" s="59" t="str">
        <f t="shared" si="13"/>
        <v>1h 52m 46s</v>
      </c>
      <c r="Y572" s="69">
        <f t="shared" si="14"/>
        <v>999963943</v>
      </c>
      <c r="Z572" s="11"/>
    </row>
    <row r="573">
      <c r="A573" s="8"/>
      <c r="B573" s="56" t="str">
        <f t="shared" si="2"/>
        <v/>
      </c>
      <c r="C573" s="57"/>
      <c r="D573" s="10" t="str">
        <f>IFERROR(__xludf.DUMMYFUNCTION("IF(COUNTA(C573:C1350)=0,"""",IF(ISBLANK(C573),FALSE,IF(NOT(COUNTIF($AA$24:$AA$34,SUBSTITUTE(C573,""Sell_"",""""))),1,IF(REGEXMATCH(C573,""Sell_""),IF(COUNTIF(C$4:C573,SUBSTITUTE(C573,""Sell_"",""""))-COUNTIF(C$4:C572,C573)&lt;1,1),FALSE))))"),"")</f>
        <v/>
      </c>
      <c r="E573" s="59" t="str">
        <f t="array" ref="E573">IF(COUNTA(C573:C1350)=0,"",SUM((COUNTIF(C$4:C573,Upgrades!$B$3:$B$13)-COUNTIF(C$4:C573,"Sell_"&amp;Upgrades!$B$3:$B$13))*Upgrades!$D$3:$D$13))</f>
        <v/>
      </c>
      <c r="F573" s="66" t="str">
        <f>IFERROR(__xludf.DUMMYFUNCTION("IF(COUNTA(C573:C1350)=0,"""",IF(REGEXMATCH(INDEX(FILTER(C$4:C573,C$4:C573&lt;&gt;""""),ROWS(FILTER(C$4:C573,C$4:C573&lt;&gt;""""))),""^Sell_""),INDEX(FILTER(F$4:F572,C$4:C572&lt;&gt;""""),ROWS(FILTER(C$4:C572,C$4:C572&lt;&gt;""""))),$AC$5+E573))"),"")</f>
        <v/>
      </c>
      <c r="G573" s="10" t="str">
        <f>IFERROR(__xludf.DUMMYFUNCTION("IF(COUNTA(C573:C1350)=0,"""",IF(C573="""",0,IF(REGEXMATCH(C573,""^Sell_""),-ROUNDDOWN(ROUNDUP(INDEX(Upgrades!$C$3:$C$13,MATCH(SUBSTITUTE(C573,""Sell_"",""""),Upgrades!$B$3:$B$13,0))*1.15^(COUNTIF(C$4:C572,SUBSTITUTE(C573,""Sell_"",""""))-COUNTIF(C$4:C572,"&amp;"""Sell_""&amp;SUBSTITUTE(C573,""Sell_"",""""))))/2),ROUNDUP(INDEX(Upgrades!$C$3:$C$13,MATCH(C573,Upgrades!$B$3:$B$13,0))*1.15^(COUNTIF(C$4:C572,C573)-COUNTIF(C$4:C572,""Sell_""&amp;C573))))))"),"")</f>
        <v/>
      </c>
      <c r="H573" s="10" t="str">
        <f t="shared" si="3"/>
        <v/>
      </c>
      <c r="I573" s="68" t="str">
        <f t="shared" si="4"/>
        <v/>
      </c>
      <c r="J573" s="59" t="str">
        <f t="shared" si="5"/>
        <v/>
      </c>
      <c r="K573" s="69" t="str">
        <f t="shared" si="6"/>
        <v/>
      </c>
      <c r="L573" s="60">
        <f t="shared" si="7"/>
        <v>-187.04218</v>
      </c>
      <c r="M573" s="61">
        <f>IFERROR(__xludf.DUMMYFUNCTION("IFS(AND(COUNTA(C573:C1350)=0,COUNTA(Q573:Q1350)=0),"""",OR(AND(K573&gt;=1000000000,OR(Y573&gt;=1000000000,COUNTA(Q573:Q1350)=0)),OR(Y573&gt;=1000000000,AND(COUNTA(C573:C1350)=0,P$3=TRUE))),
ROUNDDOWN((AB$1-AC$1)*MAX(INDEX(T$4:T1350,MATCH(LARGE(FILTER(Y$4:Y1350,Y$4"&amp;":Y1350&lt;1000000000),1),Y$4:Y1350)),INDEX(F$4:F1350,MATCH(LARGE(FILTER(K$4:K1350,K$4:K1350&lt;1000000000),1),K$4:K1350)))),AND(K573&lt;1000000000,COUNTA(C573:C1350)&gt;0,P$3=FALSE),
ROUNDDOWN(INDEX(Y$4:Y1350,MATCH(LARGE(FILTER(W$4:W1350,W$4:W1350&lt;=I573),1),W$4:W1350"&amp;"))+(I573-LARGE(FILTER(W$4:W1350,W$4:W1350&lt;=I573),1))*INDEX(T$4:T1350,MATCH(LARGE(FILTER(W$4:W1350,W$4:W1350&lt;=I573),1),W$4:W1350))-K573),1,
ROUNDDOWN(Y573-INDEX(K$4:K1350,MATCH(LARGE(FILTER(I$4:I1350,I$4:I1350&lt;=W573),1),I$4:I1350))-(W573-LARGE(FILTER(I$4:I"&amp;"1350,I$4:I1350&lt;=W573),1))*INDEX(F$4:F1350,MATCH(LARGE(FILTER(I$4:I1350,I$4:I1350&lt;=W573),1),I$4:I1350))))"),1.0531292E8)</f>
        <v>105312920</v>
      </c>
      <c r="N573" s="60">
        <f t="shared" si="8"/>
        <v>-187.04218</v>
      </c>
      <c r="O573" s="61" t="str">
        <f t="shared" si="9"/>
        <v>105,3M</v>
      </c>
      <c r="P573" s="56">
        <f t="shared" si="10"/>
        <v>31</v>
      </c>
      <c r="Q573" s="105" t="s">
        <v>3</v>
      </c>
      <c r="R573" s="10" t="b">
        <f>IFERROR(__xludf.DUMMYFUNCTION("IF(COUNTA(Q573:Q1350)=0,"""",IF(ISBLANK(Q573),FALSE,IF(NOT(COUNTIF($AA$24:$AA$34,SUBSTITUTE(Q573,""Sell_"",""""))),1,IF(REGEXMATCH(Q573,""Sell_""),IF(COUNTIF(Q$4:Q573,SUBSTITUTE(Q573,""Sell_"",""""))-COUNTIF(Q$4:Q572,Q573)&lt;1,1),FALSE))))"),FALSE)</f>
        <v>0</v>
      </c>
      <c r="S573" s="59">
        <f t="array" ref="S573">IF(COUNTA(Q573:Q1350)=0,"",SUM((COUNTIF(Q$4:Q573,Upgrades!$B$3:$B$13)-COUNTIF(Q$4:Q573,"Sell_"&amp;Upgrades!$B$3:$B$13))*Upgrades!$D$3:$D$13))</f>
        <v>560359.1</v>
      </c>
      <c r="T573" s="66">
        <f>IFERROR(__xludf.DUMMYFUNCTION("IF(COUNTA(Q573:Q1350)=0,"""",IF(REGEXMATCH(INDEX(FILTER(Q$4:Q573,Q$4:Q573&lt;&gt;""""),ROWS(FILTER(Q$4:Q573,Q$4:Q573&lt;&gt;""""))),""^Sell_""),INDEX(FILTER(T$4:T572,Q$4:Q572&lt;&gt;""""),ROWS(FILTER(Q$4:Q572,Q$4:Q572&lt;&gt;""""))),$AD$5+S573))"),560559.1)</f>
        <v>560559.1</v>
      </c>
      <c r="U573" s="10">
        <f>IFERROR(__xludf.DUMMYFUNCTION("IF(COUNTA(Q573:Q1350)=0,"""",IF(Q573="""",0,IF(REGEXMATCH(Q573,""^Sell_""),-ROUNDDOWN(ROUNDUP(INDEX(Upgrades!$C$3:$C$13,MATCH(SUBSTITUTE(Q573,""Sell_"",""""),Upgrades!$B$3:$B$13,0))*1.15^(COUNTIF(Q$4:Q572,SUBSTITUTE(Q573,""Sell_"",""""))-COUNTIF(Q$4:Q572,"&amp;"""Sell_""&amp;SUBSTITUTE(Q573,""Sell_"",""""))))/2),ROUNDUP(INDEX(Upgrades!$C$3:$C$13,MATCH(Q573,Upgrades!$B$3:$B$13,0))*1.15^(COUNTIF(Q$4:Q572,Q573)-COUNTIF(Q$4:Q572,""Sell_""&amp;Q573))))))"),994.0)</f>
        <v>994</v>
      </c>
      <c r="V573" s="10">
        <f t="shared" si="11"/>
        <v>994</v>
      </c>
      <c r="W573" s="68">
        <f t="shared" si="12"/>
        <v>6766.648755</v>
      </c>
      <c r="X573" s="59" t="str">
        <f t="shared" si="13"/>
        <v>1h 52m 46s</v>
      </c>
      <c r="Y573" s="69">
        <f t="shared" si="14"/>
        <v>999964937</v>
      </c>
      <c r="Z573" s="11"/>
    </row>
    <row r="574">
      <c r="A574" s="8"/>
      <c r="B574" s="56" t="str">
        <f t="shared" si="2"/>
        <v/>
      </c>
      <c r="C574" s="57"/>
      <c r="D574" s="10" t="str">
        <f>IFERROR(__xludf.DUMMYFUNCTION("IF(COUNTA(C574:C1350)=0,"""",IF(ISBLANK(C574),FALSE,IF(NOT(COUNTIF($AA$24:$AA$34,SUBSTITUTE(C574,""Sell_"",""""))),1,IF(REGEXMATCH(C574,""Sell_""),IF(COUNTIF(C$4:C574,SUBSTITUTE(C574,""Sell_"",""""))-COUNTIF(C$4:C573,C574)&lt;1,1),FALSE))))"),"")</f>
        <v/>
      </c>
      <c r="E574" s="59" t="str">
        <f t="array" ref="E574">IF(COUNTA(C574:C1350)=0,"",SUM((COUNTIF(C$4:C574,Upgrades!$B$3:$B$13)-COUNTIF(C$4:C574,"Sell_"&amp;Upgrades!$B$3:$B$13))*Upgrades!$D$3:$D$13))</f>
        <v/>
      </c>
      <c r="F574" s="66" t="str">
        <f>IFERROR(__xludf.DUMMYFUNCTION("IF(COUNTA(C574:C1350)=0,"""",IF(REGEXMATCH(INDEX(FILTER(C$4:C574,C$4:C574&lt;&gt;""""),ROWS(FILTER(C$4:C574,C$4:C574&lt;&gt;""""))),""^Sell_""),INDEX(FILTER(F$4:F573,C$4:C573&lt;&gt;""""),ROWS(FILTER(C$4:C573,C$4:C573&lt;&gt;""""))),$AC$5+E574))"),"")</f>
        <v/>
      </c>
      <c r="G574" s="10" t="str">
        <f>IFERROR(__xludf.DUMMYFUNCTION("IF(COUNTA(C574:C1350)=0,"""",IF(C574="""",0,IF(REGEXMATCH(C574,""^Sell_""),-ROUNDDOWN(ROUNDUP(INDEX(Upgrades!$C$3:$C$13,MATCH(SUBSTITUTE(C574,""Sell_"",""""),Upgrades!$B$3:$B$13,0))*1.15^(COUNTIF(C$4:C573,SUBSTITUTE(C574,""Sell_"",""""))-COUNTIF(C$4:C573,"&amp;"""Sell_""&amp;SUBSTITUTE(C574,""Sell_"",""""))))/2),ROUNDUP(INDEX(Upgrades!$C$3:$C$13,MATCH(C574,Upgrades!$B$3:$B$13,0))*1.15^(COUNTIF(C$4:C573,C574)-COUNTIF(C$4:C573,""Sell_""&amp;C574))))))"),"")</f>
        <v/>
      </c>
      <c r="H574" s="10" t="str">
        <f t="shared" si="3"/>
        <v/>
      </c>
      <c r="I574" s="68" t="str">
        <f t="shared" si="4"/>
        <v/>
      </c>
      <c r="J574" s="59" t="str">
        <f t="shared" si="5"/>
        <v/>
      </c>
      <c r="K574" s="69" t="str">
        <f t="shared" si="6"/>
        <v/>
      </c>
      <c r="L574" s="60">
        <f t="shared" si="7"/>
        <v>-187.04203</v>
      </c>
      <c r="M574" s="61">
        <f>IFERROR(__xludf.DUMMYFUNCTION("IFS(AND(COUNTA(C574:C1350)=0,COUNTA(Q574:Q1350)=0),"""",OR(AND(K574&gt;=1000000000,OR(Y574&gt;=1000000000,COUNTA(Q574:Q1350)=0)),OR(Y574&gt;=1000000000,AND(COUNTA(C574:C1350)=0,P$3=TRUE))),
ROUNDDOWN((AB$1-AC$1)*MAX(INDEX(T$4:T1350,MATCH(LARGE(FILTER(Y$4:Y1350,Y$4"&amp;":Y1350&lt;1000000000),1),Y$4:Y1350)),INDEX(F$4:F1350,MATCH(LARGE(FILTER(K$4:K1350,K$4:K1350&lt;1000000000),1),K$4:K1350)))),AND(K574&lt;1000000000,COUNTA(C574:C1350)&gt;0,P$3=FALSE),
ROUNDDOWN(INDEX(Y$4:Y1350,MATCH(LARGE(FILTER(W$4:W1350,W$4:W1350&lt;=I574),1),W$4:W1350"&amp;"))+(I574-LARGE(FILTER(W$4:W1350,W$4:W1350&lt;=I574),1))*INDEX(T$4:T1350,MATCH(LARGE(FILTER(W$4:W1350,W$4:W1350&lt;=I574),1),W$4:W1350))-K574),1,
ROUNDDOWN(Y574-INDEX(K$4:K1350,MATCH(LARGE(FILTER(I$4:I1350,I$4:I1350&lt;=W574),1),I$4:I1350))-(W574-LARGE(FILTER(I$4:I"&amp;"1350,I$4:I1350&lt;=W574),1))*INDEX(F$4:F1350,MATCH(LARGE(FILTER(I$4:I1350,I$4:I1350&lt;=W574),1),I$4:I1350))))"),1.05312994E8)</f>
        <v>105312994</v>
      </c>
      <c r="N574" s="60">
        <f t="shared" si="8"/>
        <v>-187.04203</v>
      </c>
      <c r="O574" s="61" t="str">
        <f t="shared" si="9"/>
        <v>105,3M</v>
      </c>
      <c r="P574" s="56">
        <f t="shared" si="10"/>
        <v>29</v>
      </c>
      <c r="Q574" s="105" t="s">
        <v>4</v>
      </c>
      <c r="R574" s="10" t="b">
        <f>IFERROR(__xludf.DUMMYFUNCTION("IF(COUNTA(Q574:Q1350)=0,"""",IF(ISBLANK(Q574),FALSE,IF(NOT(COUNTIF($AA$24:$AA$34,SUBSTITUTE(Q574,""Sell_"",""""))),1,IF(REGEXMATCH(Q574,""Sell_""),IF(COUNTIF(Q$4:Q574,SUBSTITUTE(Q574,""Sell_"",""""))-COUNTIF(Q$4:Q573,Q574)&lt;1,1),FALSE))))"),FALSE)</f>
        <v>0</v>
      </c>
      <c r="S574" s="59">
        <f t="array" ref="S574">IF(COUNTA(Q574:Q1350)=0,"",SUM((COUNTIF(Q$4:Q574,Upgrades!$B$3:$B$13)-COUNTIF(Q$4:Q574,"Sell_"&amp;Upgrades!$B$3:$B$13))*Upgrades!$D$3:$D$13))</f>
        <v>560359.6</v>
      </c>
      <c r="T574" s="66">
        <f>IFERROR(__xludf.DUMMYFUNCTION("IF(COUNTA(Q574:Q1350)=0,"""",IF(REGEXMATCH(INDEX(FILTER(Q$4:Q574,Q$4:Q574&lt;&gt;""""),ROWS(FILTER(Q$4:Q574,Q$4:Q574&lt;&gt;""""))),""^Sell_""),INDEX(FILTER(T$4:T573,Q$4:Q573&lt;&gt;""""),ROWS(FILTER(Q$4:Q573,Q$4:Q573&lt;&gt;""""))),$AD$5+S574))"),560559.6)</f>
        <v>560559.6</v>
      </c>
      <c r="U574" s="10">
        <f>IFERROR(__xludf.DUMMYFUNCTION("IF(COUNTA(Q574:Q1350)=0,"""",IF(Q574="""",0,IF(REGEXMATCH(Q574,""^Sell_""),-ROUNDDOWN(ROUNDUP(INDEX(Upgrades!$C$3:$C$13,MATCH(SUBSTITUTE(Q574,""Sell_"",""""),Upgrades!$B$3:$B$13,0))*1.15^(COUNTIF(Q$4:Q573,SUBSTITUTE(Q574,""Sell_"",""""))-COUNTIF(Q$4:Q573,"&amp;"""Sell_""&amp;SUBSTITUTE(Q574,""Sell_"",""""))))/2),ROUNDUP(INDEX(Upgrades!$C$3:$C$13,MATCH(Q574,Upgrades!$B$3:$B$13,0))*1.15^(COUNTIF(Q$4:Q573,Q574)-COUNTIF(Q$4:Q573,""Sell_""&amp;Q574))))))"),5007.0)</f>
        <v>5007</v>
      </c>
      <c r="V574" s="10">
        <f t="shared" si="11"/>
        <v>5007</v>
      </c>
      <c r="W574" s="68">
        <f t="shared" si="12"/>
        <v>6766.657687</v>
      </c>
      <c r="X574" s="59" t="str">
        <f t="shared" si="13"/>
        <v>1h 52m 46s</v>
      </c>
      <c r="Y574" s="69">
        <f t="shared" si="14"/>
        <v>999969944</v>
      </c>
      <c r="Z574" s="11"/>
    </row>
    <row r="575">
      <c r="A575" s="8"/>
      <c r="B575" s="56" t="str">
        <f t="shared" si="2"/>
        <v/>
      </c>
      <c r="C575" s="57"/>
      <c r="D575" s="10" t="str">
        <f>IFERROR(__xludf.DUMMYFUNCTION("IF(COUNTA(C575:C1350)=0,"""",IF(ISBLANK(C575),FALSE,IF(NOT(COUNTIF($AA$24:$AA$34,SUBSTITUTE(C575,""Sell_"",""""))),1,IF(REGEXMATCH(C575,""Sell_""),IF(COUNTIF(C$4:C575,SUBSTITUTE(C575,""Sell_"",""""))-COUNTIF(C$4:C574,C575)&lt;1,1),FALSE))))"),"")</f>
        <v/>
      </c>
      <c r="E575" s="59" t="str">
        <f t="array" ref="E575">IF(COUNTA(C575:C1350)=0,"",SUM((COUNTIF(C$4:C575,Upgrades!$B$3:$B$13)-COUNTIF(C$4:C575,"Sell_"&amp;Upgrades!$B$3:$B$13))*Upgrades!$D$3:$D$13))</f>
        <v/>
      </c>
      <c r="F575" s="66" t="str">
        <f>IFERROR(__xludf.DUMMYFUNCTION("IF(COUNTA(C575:C1350)=0,"""",IF(REGEXMATCH(INDEX(FILTER(C$4:C575,C$4:C575&lt;&gt;""""),ROWS(FILTER(C$4:C575,C$4:C575&lt;&gt;""""))),""^Sell_""),INDEX(FILTER(F$4:F574,C$4:C574&lt;&gt;""""),ROWS(FILTER(C$4:C574,C$4:C574&lt;&gt;""""))),$AC$5+E575))"),"")</f>
        <v/>
      </c>
      <c r="G575" s="10" t="str">
        <f>IFERROR(__xludf.DUMMYFUNCTION("IF(COUNTA(C575:C1350)=0,"""",IF(C575="""",0,IF(REGEXMATCH(C575,""^Sell_""),-ROUNDDOWN(ROUNDUP(INDEX(Upgrades!$C$3:$C$13,MATCH(SUBSTITUTE(C575,""Sell_"",""""),Upgrades!$B$3:$B$13,0))*1.15^(COUNTIF(C$4:C574,SUBSTITUTE(C575,""Sell_"",""""))-COUNTIF(C$4:C574,"&amp;"""Sell_""&amp;SUBSTITUTE(C575,""Sell_"",""""))))/2),ROUNDUP(INDEX(Upgrades!$C$3:$C$13,MATCH(C575,Upgrades!$B$3:$B$13,0))*1.15^(COUNTIF(C$4:C574,C575)-COUNTIF(C$4:C574,""Sell_""&amp;C575))))))"),"")</f>
        <v/>
      </c>
      <c r="H575" s="10" t="str">
        <f t="shared" si="3"/>
        <v/>
      </c>
      <c r="I575" s="68" t="str">
        <f t="shared" si="4"/>
        <v/>
      </c>
      <c r="J575" s="59" t="str">
        <f t="shared" si="5"/>
        <v/>
      </c>
      <c r="K575" s="69" t="str">
        <f t="shared" si="6"/>
        <v/>
      </c>
      <c r="L575" s="60">
        <f t="shared" si="7"/>
        <v>-187.042</v>
      </c>
      <c r="M575" s="61">
        <f>IFERROR(__xludf.DUMMYFUNCTION("IFS(AND(COUNTA(C575:C1350)=0,COUNTA(Q575:Q1350)=0),"""",OR(AND(K575&gt;=1000000000,OR(Y575&gt;=1000000000,COUNTA(Q575:Q1350)=0)),OR(Y575&gt;=1000000000,AND(COUNTA(C575:C1350)=0,P$3=TRUE))),
ROUNDDOWN((AB$1-AC$1)*MAX(INDEX(T$4:T1350,MATCH(LARGE(FILTER(Y$4:Y1350,Y$4"&amp;":Y1350&lt;1000000000),1),Y$4:Y1350)),INDEX(F$4:F1350,MATCH(LARGE(FILTER(K$4:K1350,K$4:K1350&lt;1000000000),1),K$4:K1350)))),AND(K575&lt;1000000000,COUNTA(C575:C1350)&gt;0,P$3=FALSE),
ROUNDDOWN(INDEX(Y$4:Y1350,MATCH(LARGE(FILTER(W$4:W1350,W$4:W1350&lt;=I575),1),W$4:W1350"&amp;"))+(I575-LARGE(FILTER(W$4:W1350,W$4:W1350&lt;=I575),1))*INDEX(T$4:T1350,MATCH(LARGE(FILTER(W$4:W1350,W$4:W1350&lt;=I575),1),W$4:W1350))-K575),1,
ROUNDDOWN(Y575-INDEX(K$4:K1350,MATCH(LARGE(FILTER(I$4:I1350,I$4:I1350&lt;=W575),1),I$4:I1350))-(W575-LARGE(FILTER(I$4:I"&amp;"1350,I$4:I1350&lt;=W575),1))*INDEX(F$4:F1350,MATCH(LARGE(FILTER(I$4:I1350,I$4:I1350&lt;=W575),1),I$4:I1350))))"),1.0531301E8)</f>
        <v>105313010</v>
      </c>
      <c r="N575" s="60">
        <f t="shared" si="8"/>
        <v>-187.042</v>
      </c>
      <c r="O575" s="61" t="str">
        <f t="shared" si="9"/>
        <v>105,3M</v>
      </c>
      <c r="P575" s="56">
        <f t="shared" si="10"/>
        <v>32</v>
      </c>
      <c r="Q575" s="105" t="s">
        <v>3</v>
      </c>
      <c r="R575" s="10" t="b">
        <f>IFERROR(__xludf.DUMMYFUNCTION("IF(COUNTA(Q575:Q1350)=0,"""",IF(ISBLANK(Q575),FALSE,IF(NOT(COUNTIF($AA$24:$AA$34,SUBSTITUTE(Q575,""Sell_"",""""))),1,IF(REGEXMATCH(Q575,""Sell_""),IF(COUNTIF(Q$4:Q575,SUBSTITUTE(Q575,""Sell_"",""""))-COUNTIF(Q$4:Q574,Q575)&lt;1,1),FALSE))))"),FALSE)</f>
        <v>0</v>
      </c>
      <c r="S575" s="59">
        <f t="array" ref="S575">IF(COUNTA(Q575:Q1350)=0,"",SUM((COUNTIF(Q$4:Q575,Upgrades!$B$3:$B$13)-COUNTIF(Q$4:Q575,"Sell_"&amp;Upgrades!$B$3:$B$13))*Upgrades!$D$3:$D$13))</f>
        <v>560359.7</v>
      </c>
      <c r="T575" s="66">
        <f>IFERROR(__xludf.DUMMYFUNCTION("IF(COUNTA(Q575:Q1350)=0,"""",IF(REGEXMATCH(INDEX(FILTER(Q$4:Q575,Q$4:Q575&lt;&gt;""""),ROWS(FILTER(Q$4:Q575,Q$4:Q575&lt;&gt;""""))),""^Sell_""),INDEX(FILTER(T$4:T574,Q$4:Q574&lt;&gt;""""),ROWS(FILTER(Q$4:Q574,Q$4:Q574&lt;&gt;""""))),$AD$5+S575))"),560559.7)</f>
        <v>560559.7</v>
      </c>
      <c r="U575" s="10">
        <f>IFERROR(__xludf.DUMMYFUNCTION("IF(COUNTA(Q575:Q1350)=0,"""",IF(Q575="""",0,IF(REGEXMATCH(Q575,""^Sell_""),-ROUNDDOWN(ROUNDUP(INDEX(Upgrades!$C$3:$C$13,MATCH(SUBSTITUTE(Q575,""Sell_"",""""),Upgrades!$B$3:$B$13,0))*1.15^(COUNTIF(Q$4:Q574,SUBSTITUTE(Q575,""Sell_"",""""))-COUNTIF(Q$4:Q574,"&amp;"""Sell_""&amp;SUBSTITUTE(Q575,""Sell_"",""""))))/2),ROUNDUP(INDEX(Upgrades!$C$3:$C$13,MATCH(Q575,Upgrades!$B$3:$B$13,0))*1.15^(COUNTIF(Q$4:Q574,Q575)-COUNTIF(Q$4:Q574,""Sell_""&amp;Q575))))))"),1143.0)</f>
        <v>1143</v>
      </c>
      <c r="V575" s="10">
        <f t="shared" si="11"/>
        <v>1143</v>
      </c>
      <c r="W575" s="68">
        <f t="shared" si="12"/>
        <v>6766.659726</v>
      </c>
      <c r="X575" s="59" t="str">
        <f t="shared" si="13"/>
        <v>1h 52m 46s</v>
      </c>
      <c r="Y575" s="69">
        <f t="shared" si="14"/>
        <v>999971087</v>
      </c>
      <c r="Z575" s="11"/>
    </row>
    <row r="576">
      <c r="A576" s="8"/>
      <c r="B576" s="56" t="str">
        <f t="shared" si="2"/>
        <v/>
      </c>
      <c r="C576" s="57"/>
      <c r="D576" s="10" t="str">
        <f>IFERROR(__xludf.DUMMYFUNCTION("IF(COUNTA(C576:C1350)=0,"""",IF(ISBLANK(C576),FALSE,IF(NOT(COUNTIF($AA$24:$AA$34,SUBSTITUTE(C576,""Sell_"",""""))),1,IF(REGEXMATCH(C576,""Sell_""),IF(COUNTIF(C$4:C576,SUBSTITUTE(C576,""Sell_"",""""))-COUNTIF(C$4:C575,C576)&lt;1,1),FALSE))))"),"")</f>
        <v/>
      </c>
      <c r="E576" s="59" t="str">
        <f t="array" ref="E576">IF(COUNTA(C576:C1350)=0,"",SUM((COUNTIF(C$4:C576,Upgrades!$B$3:$B$13)-COUNTIF(C$4:C576,"Sell_"&amp;Upgrades!$B$3:$B$13))*Upgrades!$D$3:$D$13))</f>
        <v/>
      </c>
      <c r="F576" s="66" t="str">
        <f>IFERROR(__xludf.DUMMYFUNCTION("IF(COUNTA(C576:C1350)=0,"""",IF(REGEXMATCH(INDEX(FILTER(C$4:C576,C$4:C576&lt;&gt;""""),ROWS(FILTER(C$4:C576,C$4:C576&lt;&gt;""""))),""^Sell_""),INDEX(FILTER(F$4:F575,C$4:C575&lt;&gt;""""),ROWS(FILTER(C$4:C575,C$4:C575&lt;&gt;""""))),$AC$5+E576))"),"")</f>
        <v/>
      </c>
      <c r="G576" s="10" t="str">
        <f>IFERROR(__xludf.DUMMYFUNCTION("IF(COUNTA(C576:C1350)=0,"""",IF(C576="""",0,IF(REGEXMATCH(C576,""^Sell_""),-ROUNDDOWN(ROUNDUP(INDEX(Upgrades!$C$3:$C$13,MATCH(SUBSTITUTE(C576,""Sell_"",""""),Upgrades!$B$3:$B$13,0))*1.15^(COUNTIF(C$4:C575,SUBSTITUTE(C576,""Sell_"",""""))-COUNTIF(C$4:C575,"&amp;"""Sell_""&amp;SUBSTITUTE(C576,""Sell_"",""""))))/2),ROUNDUP(INDEX(Upgrades!$C$3:$C$13,MATCH(C576,Upgrades!$B$3:$B$13,0))*1.15^(COUNTIF(C$4:C575,C576)-COUNTIF(C$4:C575,""Sell_""&amp;C576))))))"),"")</f>
        <v/>
      </c>
      <c r="H576" s="10" t="str">
        <f t="shared" si="3"/>
        <v/>
      </c>
      <c r="I576" s="68" t="str">
        <f t="shared" si="4"/>
        <v/>
      </c>
      <c r="J576" s="59" t="str">
        <f t="shared" si="5"/>
        <v/>
      </c>
      <c r="K576" s="69" t="str">
        <f t="shared" si="6"/>
        <v/>
      </c>
      <c r="L576" s="60">
        <f t="shared" si="7"/>
        <v>-187.04183</v>
      </c>
      <c r="M576" s="61">
        <f>IFERROR(__xludf.DUMMYFUNCTION("IFS(AND(COUNTA(C576:C1350)=0,COUNTA(Q576:Q1350)=0),"""",OR(AND(K576&gt;=1000000000,OR(Y576&gt;=1000000000,COUNTA(Q576:Q1350)=0)),OR(Y576&gt;=1000000000,AND(COUNTA(C576:C1350)=0,P$3=TRUE))),
ROUNDDOWN((AB$1-AC$1)*MAX(INDEX(T$4:T1350,MATCH(LARGE(FILTER(Y$4:Y1350,Y$4"&amp;":Y1350&lt;1000000000),1),Y$4:Y1350)),INDEX(F$4:F1350,MATCH(LARGE(FILTER(K$4:K1350,K$4:K1350&lt;1000000000),1),K$4:K1350)))),AND(K576&lt;1000000000,COUNTA(C576:C1350)&gt;0,P$3=FALSE),
ROUNDDOWN(INDEX(Y$4:Y1350,MATCH(LARGE(FILTER(W$4:W1350,W$4:W1350&lt;=I576),1),W$4:W1350"&amp;"))+(I576-LARGE(FILTER(W$4:W1350,W$4:W1350&lt;=I576),1))*INDEX(T$4:T1350,MATCH(LARGE(FILTER(W$4:W1350,W$4:W1350&lt;=I576),1),W$4:W1350))-K576),1,
ROUNDDOWN(Y576-INDEX(K$4:K1350,MATCH(LARGE(FILTER(I$4:I1350,I$4:I1350&lt;=W576),1),I$4:I1350))-(W576-LARGE(FILTER(I$4:I"&amp;"1350,I$4:I1350&lt;=W576),1))*INDEX(F$4:F1350,MATCH(LARGE(FILTER(I$4:I1350,I$4:I1350&lt;=W576),1),I$4:I1350))))"),1.05313095E8)</f>
        <v>105313095</v>
      </c>
      <c r="N576" s="60">
        <f t="shared" si="8"/>
        <v>-187.04183</v>
      </c>
      <c r="O576" s="61" t="str">
        <f t="shared" si="9"/>
        <v>105,3M</v>
      </c>
      <c r="P576" s="56">
        <f t="shared" si="10"/>
        <v>30</v>
      </c>
      <c r="Q576" s="105" t="s">
        <v>4</v>
      </c>
      <c r="R576" s="10" t="b">
        <f>IFERROR(__xludf.DUMMYFUNCTION("IF(COUNTA(Q576:Q1350)=0,"""",IF(ISBLANK(Q576),FALSE,IF(NOT(COUNTIF($AA$24:$AA$34,SUBSTITUTE(Q576,""Sell_"",""""))),1,IF(REGEXMATCH(Q576,""Sell_""),IF(COUNTIF(Q$4:Q576,SUBSTITUTE(Q576,""Sell_"",""""))-COUNTIF(Q$4:Q575,Q576)&lt;1,1),FALSE))))"),FALSE)</f>
        <v>0</v>
      </c>
      <c r="S576" s="59">
        <f t="array" ref="S576">IF(COUNTA(Q576:Q1350)=0,"",SUM((COUNTIF(Q$4:Q576,Upgrades!$B$3:$B$13)-COUNTIF(Q$4:Q576,"Sell_"&amp;Upgrades!$B$3:$B$13))*Upgrades!$D$3:$D$13))</f>
        <v>560360.2</v>
      </c>
      <c r="T576" s="66">
        <f>IFERROR(__xludf.DUMMYFUNCTION("IF(COUNTA(Q576:Q1350)=0,"""",IF(REGEXMATCH(INDEX(FILTER(Q$4:Q576,Q$4:Q576&lt;&gt;""""),ROWS(FILTER(Q$4:Q576,Q$4:Q576&lt;&gt;""""))),""^Sell_""),INDEX(FILTER(T$4:T575,Q$4:Q575&lt;&gt;""""),ROWS(FILTER(Q$4:Q575,Q$4:Q575&lt;&gt;""""))),$AD$5+S576))"),560560.2)</f>
        <v>560560.2</v>
      </c>
      <c r="U576" s="10">
        <f>IFERROR(__xludf.DUMMYFUNCTION("IF(COUNTA(Q576:Q1350)=0,"""",IF(Q576="""",0,IF(REGEXMATCH(Q576,""^Sell_""),-ROUNDDOWN(ROUNDUP(INDEX(Upgrades!$C$3:$C$13,MATCH(SUBSTITUTE(Q576,""Sell_"",""""),Upgrades!$B$3:$B$13,0))*1.15^(COUNTIF(Q$4:Q575,SUBSTITUTE(Q576,""Sell_"",""""))-COUNTIF(Q$4:Q575,"&amp;"""Sell_""&amp;SUBSTITUTE(Q576,""Sell_"",""""))))/2),ROUNDUP(INDEX(Upgrades!$C$3:$C$13,MATCH(Q576,Upgrades!$B$3:$B$13,0))*1.15^(COUNTIF(Q$4:Q575,Q576)-COUNTIF(Q$4:Q575,""Sell_""&amp;Q576))))))"),5758.0)</f>
        <v>5758</v>
      </c>
      <c r="V576" s="10">
        <f t="shared" si="11"/>
        <v>5758</v>
      </c>
      <c r="W576" s="68">
        <f t="shared" si="12"/>
        <v>6766.669998</v>
      </c>
      <c r="X576" s="59" t="str">
        <f t="shared" si="13"/>
        <v>1h 52m 46s</v>
      </c>
      <c r="Y576" s="69">
        <f t="shared" si="14"/>
        <v>999976845</v>
      </c>
      <c r="Z576" s="11"/>
    </row>
    <row r="577">
      <c r="A577" s="8"/>
      <c r="B577" s="56" t="str">
        <f t="shared" si="2"/>
        <v/>
      </c>
      <c r="C577" s="57"/>
      <c r="D577" s="10" t="str">
        <f>IFERROR(__xludf.DUMMYFUNCTION("IF(COUNTA(C577:C1350)=0,"""",IF(ISBLANK(C577),FALSE,IF(NOT(COUNTIF($AA$24:$AA$34,SUBSTITUTE(C577,""Sell_"",""""))),1,IF(REGEXMATCH(C577,""Sell_""),IF(COUNTIF(C$4:C577,SUBSTITUTE(C577,""Sell_"",""""))-COUNTIF(C$4:C576,C577)&lt;1,1),FALSE))))"),"")</f>
        <v/>
      </c>
      <c r="E577" s="59" t="str">
        <f t="array" ref="E577">IF(COUNTA(C577:C1350)=0,"",SUM((COUNTIF(C$4:C577,Upgrades!$B$3:$B$13)-COUNTIF(C$4:C577,"Sell_"&amp;Upgrades!$B$3:$B$13))*Upgrades!$D$3:$D$13))</f>
        <v/>
      </c>
      <c r="F577" s="66" t="str">
        <f>IFERROR(__xludf.DUMMYFUNCTION("IF(COUNTA(C577:C1350)=0,"""",IF(REGEXMATCH(INDEX(FILTER(C$4:C577,C$4:C577&lt;&gt;""""),ROWS(FILTER(C$4:C577,C$4:C577&lt;&gt;""""))),""^Sell_""),INDEX(FILTER(F$4:F576,C$4:C576&lt;&gt;""""),ROWS(FILTER(C$4:C576,C$4:C576&lt;&gt;""""))),$AC$5+E577))"),"")</f>
        <v/>
      </c>
      <c r="G577" s="10" t="str">
        <f>IFERROR(__xludf.DUMMYFUNCTION("IF(COUNTA(C577:C1350)=0,"""",IF(C577="""",0,IF(REGEXMATCH(C577,""^Sell_""),-ROUNDDOWN(ROUNDUP(INDEX(Upgrades!$C$3:$C$13,MATCH(SUBSTITUTE(C577,""Sell_"",""""),Upgrades!$B$3:$B$13,0))*1.15^(COUNTIF(C$4:C576,SUBSTITUTE(C577,""Sell_"",""""))-COUNTIF(C$4:C576,"&amp;"""Sell_""&amp;SUBSTITUTE(C577,""Sell_"",""""))))/2),ROUNDUP(INDEX(Upgrades!$C$3:$C$13,MATCH(C577,Upgrades!$B$3:$B$13,0))*1.15^(COUNTIF(C$4:C576,C577)-COUNTIF(C$4:C576,""Sell_""&amp;C577))))))"),"")</f>
        <v/>
      </c>
      <c r="H577" s="10" t="str">
        <f t="shared" si="3"/>
        <v/>
      </c>
      <c r="I577" s="68" t="str">
        <f t="shared" si="4"/>
        <v/>
      </c>
      <c r="J577" s="59" t="str">
        <f t="shared" si="5"/>
        <v/>
      </c>
      <c r="K577" s="69" t="str">
        <f t="shared" si="6"/>
        <v/>
      </c>
      <c r="L577" s="60">
        <f t="shared" si="7"/>
        <v>-187.04179</v>
      </c>
      <c r="M577" s="61">
        <f>IFERROR(__xludf.DUMMYFUNCTION("IFS(AND(COUNTA(C577:C1350)=0,COUNTA(Q577:Q1350)=0),"""",OR(AND(K577&gt;=1000000000,OR(Y577&gt;=1000000000,COUNTA(Q577:Q1350)=0)),OR(Y577&gt;=1000000000,AND(COUNTA(C577:C1350)=0,P$3=TRUE))),
ROUNDDOWN((AB$1-AC$1)*MAX(INDEX(T$4:T1350,MATCH(LARGE(FILTER(Y$4:Y1350,Y$4"&amp;":Y1350&lt;1000000000),1),Y$4:Y1350)),INDEX(F$4:F1350,MATCH(LARGE(FILTER(K$4:K1350,K$4:K1350&lt;1000000000),1),K$4:K1350)))),AND(K577&lt;1000000000,COUNTA(C577:C1350)&gt;0,P$3=FALSE),
ROUNDDOWN(INDEX(Y$4:Y1350,MATCH(LARGE(FILTER(W$4:W1350,W$4:W1350&lt;=I577),1),W$4:W1350"&amp;"))+(I577-LARGE(FILTER(W$4:W1350,W$4:W1350&lt;=I577),1))*INDEX(T$4:T1350,MATCH(LARGE(FILTER(W$4:W1350,W$4:W1350&lt;=I577),1),W$4:W1350))-K577),1,
ROUNDDOWN(Y577-INDEX(K$4:K1350,MATCH(LARGE(FILTER(I$4:I1350,I$4:I1350&lt;=W577),1),I$4:I1350))-(W577-LARGE(FILTER(I$4:I"&amp;"1350,I$4:I1350&lt;=W577),1))*INDEX(F$4:F1350,MATCH(LARGE(FILTER(I$4:I1350,I$4:I1350&lt;=W577),1),I$4:I1350))))"),1.05313115E8)</f>
        <v>105313115</v>
      </c>
      <c r="N577" s="60">
        <f t="shared" si="8"/>
        <v>-187.04179</v>
      </c>
      <c r="O577" s="61" t="str">
        <f t="shared" si="9"/>
        <v>105,3M</v>
      </c>
      <c r="P577" s="56">
        <f t="shared" si="10"/>
        <v>33</v>
      </c>
      <c r="Q577" s="105" t="s">
        <v>3</v>
      </c>
      <c r="R577" s="10" t="b">
        <f>IFERROR(__xludf.DUMMYFUNCTION("IF(COUNTA(Q577:Q1350)=0,"""",IF(ISBLANK(Q577),FALSE,IF(NOT(COUNTIF($AA$24:$AA$34,SUBSTITUTE(Q577,""Sell_"",""""))),1,IF(REGEXMATCH(Q577,""Sell_""),IF(COUNTIF(Q$4:Q577,SUBSTITUTE(Q577,""Sell_"",""""))-COUNTIF(Q$4:Q576,Q577)&lt;1,1),FALSE))))"),FALSE)</f>
        <v>0</v>
      </c>
      <c r="S577" s="59">
        <f t="array" ref="S577">IF(COUNTA(Q577:Q1350)=0,"",SUM((COUNTIF(Q$4:Q577,Upgrades!$B$3:$B$13)-COUNTIF(Q$4:Q577,"Sell_"&amp;Upgrades!$B$3:$B$13))*Upgrades!$D$3:$D$13))</f>
        <v>560360.3</v>
      </c>
      <c r="T577" s="66">
        <f>IFERROR(__xludf.DUMMYFUNCTION("IF(COUNTA(Q577:Q1350)=0,"""",IF(REGEXMATCH(INDEX(FILTER(Q$4:Q577,Q$4:Q577&lt;&gt;""""),ROWS(FILTER(Q$4:Q577,Q$4:Q577&lt;&gt;""""))),""^Sell_""),INDEX(FILTER(T$4:T576,Q$4:Q576&lt;&gt;""""),ROWS(FILTER(Q$4:Q576,Q$4:Q576&lt;&gt;""""))),$AD$5+S577))"),560560.3)</f>
        <v>560560.3</v>
      </c>
      <c r="U577" s="10">
        <f>IFERROR(__xludf.DUMMYFUNCTION("IF(COUNTA(Q577:Q1350)=0,"""",IF(Q577="""",0,IF(REGEXMATCH(Q577,""^Sell_""),-ROUNDDOWN(ROUNDUP(INDEX(Upgrades!$C$3:$C$13,MATCH(SUBSTITUTE(Q577,""Sell_"",""""),Upgrades!$B$3:$B$13,0))*1.15^(COUNTIF(Q$4:Q576,SUBSTITUTE(Q577,""Sell_"",""""))-COUNTIF(Q$4:Q576,"&amp;"""Sell_""&amp;SUBSTITUTE(Q577,""Sell_"",""""))))/2),ROUNDUP(INDEX(Upgrades!$C$3:$C$13,MATCH(Q577,Upgrades!$B$3:$B$13,0))*1.15^(COUNTIF(Q$4:Q576,Q577)-COUNTIF(Q$4:Q576,""Sell_""&amp;Q577))))))"),1314.0)</f>
        <v>1314</v>
      </c>
      <c r="V577" s="10">
        <f t="shared" si="11"/>
        <v>1314</v>
      </c>
      <c r="W577" s="68">
        <f t="shared" si="12"/>
        <v>6766.672342</v>
      </c>
      <c r="X577" s="59" t="str">
        <f t="shared" si="13"/>
        <v>1h 52m 46s</v>
      </c>
      <c r="Y577" s="69">
        <f t="shared" si="14"/>
        <v>999978159</v>
      </c>
      <c r="Z577" s="11"/>
    </row>
    <row r="578">
      <c r="A578" s="8"/>
      <c r="B578" s="56" t="str">
        <f t="shared" si="2"/>
        <v/>
      </c>
      <c r="C578" s="57"/>
      <c r="D578" s="10" t="str">
        <f>IFERROR(__xludf.DUMMYFUNCTION("IF(COUNTA(C578:C1350)=0,"""",IF(ISBLANK(C578),FALSE,IF(NOT(COUNTIF($AA$24:$AA$34,SUBSTITUTE(C578,""Sell_"",""""))),1,IF(REGEXMATCH(C578,""Sell_""),IF(COUNTIF(C$4:C578,SUBSTITUTE(C578,""Sell_"",""""))-COUNTIF(C$4:C577,C578)&lt;1,1),FALSE))))"),"")</f>
        <v/>
      </c>
      <c r="E578" s="59" t="str">
        <f t="array" ref="E578">IF(COUNTA(C578:C1350)=0,"",SUM((COUNTIF(C$4:C578,Upgrades!$B$3:$B$13)-COUNTIF(C$4:C578,"Sell_"&amp;Upgrades!$B$3:$B$13))*Upgrades!$D$3:$D$13))</f>
        <v/>
      </c>
      <c r="F578" s="66" t="str">
        <f>IFERROR(__xludf.DUMMYFUNCTION("IF(COUNTA(C578:C1350)=0,"""",IF(REGEXMATCH(INDEX(FILTER(C$4:C578,C$4:C578&lt;&gt;""""),ROWS(FILTER(C$4:C578,C$4:C578&lt;&gt;""""))),""^Sell_""),INDEX(FILTER(F$4:F577,C$4:C577&lt;&gt;""""),ROWS(FILTER(C$4:C577,C$4:C577&lt;&gt;""""))),$AC$5+E578))"),"")</f>
        <v/>
      </c>
      <c r="G578" s="10" t="str">
        <f>IFERROR(__xludf.DUMMYFUNCTION("IF(COUNTA(C578:C1350)=0,"""",IF(C578="""",0,IF(REGEXMATCH(C578,""^Sell_""),-ROUNDDOWN(ROUNDUP(INDEX(Upgrades!$C$3:$C$13,MATCH(SUBSTITUTE(C578,""Sell_"",""""),Upgrades!$B$3:$B$13,0))*1.15^(COUNTIF(C$4:C577,SUBSTITUTE(C578,""Sell_"",""""))-COUNTIF(C$4:C577,"&amp;"""Sell_""&amp;SUBSTITUTE(C578,""Sell_"",""""))))/2),ROUNDUP(INDEX(Upgrades!$C$3:$C$13,MATCH(C578,Upgrades!$B$3:$B$13,0))*1.15^(COUNTIF(C$4:C577,C578)-COUNTIF(C$4:C577,""Sell_""&amp;C578))))))"),"")</f>
        <v/>
      </c>
      <c r="H578" s="10" t="str">
        <f t="shared" si="3"/>
        <v/>
      </c>
      <c r="I578" s="68" t="str">
        <f t="shared" si="4"/>
        <v/>
      </c>
      <c r="J578" s="59" t="str">
        <f t="shared" si="5"/>
        <v/>
      </c>
      <c r="K578" s="69" t="str">
        <f t="shared" si="6"/>
        <v/>
      </c>
      <c r="L578" s="60">
        <f t="shared" si="7"/>
        <v>-187.0416</v>
      </c>
      <c r="M578" s="61">
        <f>IFERROR(__xludf.DUMMYFUNCTION("IFS(AND(COUNTA(C578:C1350)=0,COUNTA(Q578:Q1350)=0),"""",OR(AND(K578&gt;=1000000000,OR(Y578&gt;=1000000000,COUNTA(Q578:Q1350)=0)),OR(Y578&gt;=1000000000,AND(COUNTA(C578:C1350)=0,P$3=TRUE))),
ROUNDDOWN((AB$1-AC$1)*MAX(INDEX(T$4:T1350,MATCH(LARGE(FILTER(Y$4:Y1350,Y$4"&amp;":Y1350&lt;1000000000),1),Y$4:Y1350)),INDEX(F$4:F1350,MATCH(LARGE(FILTER(K$4:K1350,K$4:K1350&lt;1000000000),1),K$4:K1350)))),AND(K578&lt;1000000000,COUNTA(C578:C1350)&gt;0,P$3=FALSE),
ROUNDDOWN(INDEX(Y$4:Y1350,MATCH(LARGE(FILTER(W$4:W1350,W$4:W1350&lt;=I578),1),W$4:W1350"&amp;"))+(I578-LARGE(FILTER(W$4:W1350,W$4:W1350&lt;=I578),1))*INDEX(T$4:T1350,MATCH(LARGE(FILTER(W$4:W1350,W$4:W1350&lt;=I578),1),W$4:W1350))-K578),1,
ROUNDDOWN(Y578-INDEX(K$4:K1350,MATCH(LARGE(FILTER(I$4:I1350,I$4:I1350&lt;=W578),1),I$4:I1350))-(W578-LARGE(FILTER(I$4:I"&amp;"1350,I$4:I1350&lt;=W578),1))*INDEX(F$4:F1350,MATCH(LARGE(FILTER(I$4:I1350,I$4:I1350&lt;=W578),1),I$4:I1350))))"),1.05313212E8)</f>
        <v>105313212</v>
      </c>
      <c r="N578" s="60">
        <f t="shared" si="8"/>
        <v>-187.0416</v>
      </c>
      <c r="O578" s="61" t="str">
        <f t="shared" si="9"/>
        <v>105,3M</v>
      </c>
      <c r="P578" s="56">
        <f t="shared" si="10"/>
        <v>31</v>
      </c>
      <c r="Q578" s="105" t="s">
        <v>4</v>
      </c>
      <c r="R578" s="10" t="b">
        <f>IFERROR(__xludf.DUMMYFUNCTION("IF(COUNTA(Q578:Q1350)=0,"""",IF(ISBLANK(Q578),FALSE,IF(NOT(COUNTIF($AA$24:$AA$34,SUBSTITUTE(Q578,""Sell_"",""""))),1,IF(REGEXMATCH(Q578,""Sell_""),IF(COUNTIF(Q$4:Q578,SUBSTITUTE(Q578,""Sell_"",""""))-COUNTIF(Q$4:Q577,Q578)&lt;1,1),FALSE))))"),FALSE)</f>
        <v>0</v>
      </c>
      <c r="S578" s="59">
        <f t="array" ref="S578">IF(COUNTA(Q578:Q1350)=0,"",SUM((COUNTIF(Q$4:Q578,Upgrades!$B$3:$B$13)-COUNTIF(Q$4:Q578,"Sell_"&amp;Upgrades!$B$3:$B$13))*Upgrades!$D$3:$D$13))</f>
        <v>560360.8</v>
      </c>
      <c r="T578" s="66">
        <f>IFERROR(__xludf.DUMMYFUNCTION("IF(COUNTA(Q578:Q1350)=0,"""",IF(REGEXMATCH(INDEX(FILTER(Q$4:Q578,Q$4:Q578&lt;&gt;""""),ROWS(FILTER(Q$4:Q578,Q$4:Q578&lt;&gt;""""))),""^Sell_""),INDEX(FILTER(T$4:T577,Q$4:Q577&lt;&gt;""""),ROWS(FILTER(Q$4:Q577,Q$4:Q577&lt;&gt;""""))),$AD$5+S578))"),560560.8)</f>
        <v>560560.8</v>
      </c>
      <c r="U578" s="10">
        <f>IFERROR(__xludf.DUMMYFUNCTION("IF(COUNTA(Q578:Q1350)=0,"""",IF(Q578="""",0,IF(REGEXMATCH(Q578,""^Sell_""),-ROUNDDOWN(ROUNDUP(INDEX(Upgrades!$C$3:$C$13,MATCH(SUBSTITUTE(Q578,""Sell_"",""""),Upgrades!$B$3:$B$13,0))*1.15^(COUNTIF(Q$4:Q577,SUBSTITUTE(Q578,""Sell_"",""""))-COUNTIF(Q$4:Q577,"&amp;"""Sell_""&amp;SUBSTITUTE(Q578,""Sell_"",""""))))/2),ROUNDUP(INDEX(Upgrades!$C$3:$C$13,MATCH(Q578,Upgrades!$B$3:$B$13,0))*1.15^(COUNTIF(Q$4:Q577,Q578)-COUNTIF(Q$4:Q577,""Sell_""&amp;Q578))))))"),6622.0)</f>
        <v>6622</v>
      </c>
      <c r="V578" s="10">
        <f t="shared" si="11"/>
        <v>6622</v>
      </c>
      <c r="W578" s="68">
        <f t="shared" si="12"/>
        <v>6766.684156</v>
      </c>
      <c r="X578" s="59" t="str">
        <f t="shared" si="13"/>
        <v>1h 52m 46s</v>
      </c>
      <c r="Y578" s="69">
        <f t="shared" si="14"/>
        <v>999984781</v>
      </c>
      <c r="Z578" s="11"/>
    </row>
    <row r="579">
      <c r="A579" s="8"/>
      <c r="B579" s="56" t="str">
        <f t="shared" si="2"/>
        <v/>
      </c>
      <c r="C579" s="57"/>
      <c r="D579" s="10" t="str">
        <f>IFERROR(__xludf.DUMMYFUNCTION("IF(COUNTA(C579:C1350)=0,"""",IF(ISBLANK(C579),FALSE,IF(NOT(COUNTIF($AA$24:$AA$34,SUBSTITUTE(C579,""Sell_"",""""))),1,IF(REGEXMATCH(C579,""Sell_""),IF(COUNTIF(C$4:C579,SUBSTITUTE(C579,""Sell_"",""""))-COUNTIF(C$4:C578,C579)&lt;1,1),FALSE))))"),"")</f>
        <v/>
      </c>
      <c r="E579" s="59" t="str">
        <f t="array" ref="E579">IF(COUNTA(C579:C1350)=0,"",SUM((COUNTIF(C$4:C579,Upgrades!$B$3:$B$13)-COUNTIF(C$4:C579,"Sell_"&amp;Upgrades!$B$3:$B$13))*Upgrades!$D$3:$D$13))</f>
        <v/>
      </c>
      <c r="F579" s="66" t="str">
        <f>IFERROR(__xludf.DUMMYFUNCTION("IF(COUNTA(C579:C1350)=0,"""",IF(REGEXMATCH(INDEX(FILTER(C$4:C579,C$4:C579&lt;&gt;""""),ROWS(FILTER(C$4:C579,C$4:C579&lt;&gt;""""))),""^Sell_""),INDEX(FILTER(F$4:F578,C$4:C578&lt;&gt;""""),ROWS(FILTER(C$4:C578,C$4:C578&lt;&gt;""""))),$AC$5+E579))"),"")</f>
        <v/>
      </c>
      <c r="G579" s="10" t="str">
        <f>IFERROR(__xludf.DUMMYFUNCTION("IF(COUNTA(C579:C1350)=0,"""",IF(C579="""",0,IF(REGEXMATCH(C579,""^Sell_""),-ROUNDDOWN(ROUNDUP(INDEX(Upgrades!$C$3:$C$13,MATCH(SUBSTITUTE(C579,""Sell_"",""""),Upgrades!$B$3:$B$13,0))*1.15^(COUNTIF(C$4:C578,SUBSTITUTE(C579,""Sell_"",""""))-COUNTIF(C$4:C578,"&amp;"""Sell_""&amp;SUBSTITUTE(C579,""Sell_"",""""))))/2),ROUNDUP(INDEX(Upgrades!$C$3:$C$13,MATCH(C579,Upgrades!$B$3:$B$13,0))*1.15^(COUNTIF(C$4:C578,C579)-COUNTIF(C$4:C578,""Sell_""&amp;C579))))))"),"")</f>
        <v/>
      </c>
      <c r="H579" s="10" t="str">
        <f t="shared" si="3"/>
        <v/>
      </c>
      <c r="I579" s="68" t="str">
        <f t="shared" si="4"/>
        <v/>
      </c>
      <c r="J579" s="59" t="str">
        <f t="shared" si="5"/>
        <v/>
      </c>
      <c r="K579" s="69" t="str">
        <f t="shared" si="6"/>
        <v/>
      </c>
      <c r="L579" s="60">
        <f t="shared" si="7"/>
        <v>-187.04156</v>
      </c>
      <c r="M579" s="61">
        <f>IFERROR(__xludf.DUMMYFUNCTION("IFS(AND(COUNTA(C579:C1350)=0,COUNTA(Q579:Q1350)=0),"""",OR(AND(K579&gt;=1000000000,OR(Y579&gt;=1000000000,COUNTA(Q579:Q1350)=0)),OR(Y579&gt;=1000000000,AND(COUNTA(C579:C1350)=0,P$3=TRUE))),
ROUNDDOWN((AB$1-AC$1)*MAX(INDEX(T$4:T1350,MATCH(LARGE(FILTER(Y$4:Y1350,Y$4"&amp;":Y1350&lt;1000000000),1),Y$4:Y1350)),INDEX(F$4:F1350,MATCH(LARGE(FILTER(K$4:K1350,K$4:K1350&lt;1000000000),1),K$4:K1350)))),AND(K579&lt;1000000000,COUNTA(C579:C1350)&gt;0,P$3=FALSE),
ROUNDDOWN(INDEX(Y$4:Y1350,MATCH(LARGE(FILTER(W$4:W1350,W$4:W1350&lt;=I579),1),W$4:W1350"&amp;"))+(I579-LARGE(FILTER(W$4:W1350,W$4:W1350&lt;=I579),1))*INDEX(T$4:T1350,MATCH(LARGE(FILTER(W$4:W1350,W$4:W1350&lt;=I579),1),W$4:W1350))-K579),1,
ROUNDDOWN(Y579-INDEX(K$4:K1350,MATCH(LARGE(FILTER(I$4:I1350,I$4:I1350&lt;=W579),1),I$4:I1350))-(W579-LARGE(FILTER(I$4:I"&amp;"1350,I$4:I1350&lt;=W579),1))*INDEX(F$4:F1350,MATCH(LARGE(FILTER(I$4:I1350,I$4:I1350&lt;=W579),1),I$4:I1350))))"),1.05313235E8)</f>
        <v>105313235</v>
      </c>
      <c r="N579" s="60">
        <f t="shared" si="8"/>
        <v>-187.04156</v>
      </c>
      <c r="O579" s="61" t="str">
        <f t="shared" si="9"/>
        <v>105,3M</v>
      </c>
      <c r="P579" s="56">
        <f t="shared" si="10"/>
        <v>34</v>
      </c>
      <c r="Q579" s="105" t="s">
        <v>3</v>
      </c>
      <c r="R579" s="10" t="b">
        <f>IFERROR(__xludf.DUMMYFUNCTION("IF(COUNTA(Q579:Q1350)=0,"""",IF(ISBLANK(Q579),FALSE,IF(NOT(COUNTIF($AA$24:$AA$34,SUBSTITUTE(Q579,""Sell_"",""""))),1,IF(REGEXMATCH(Q579,""Sell_""),IF(COUNTIF(Q$4:Q579,SUBSTITUTE(Q579,""Sell_"",""""))-COUNTIF(Q$4:Q578,Q579)&lt;1,1),FALSE))))"),FALSE)</f>
        <v>0</v>
      </c>
      <c r="S579" s="59">
        <f t="array" ref="S579">IF(COUNTA(Q579:Q1350)=0,"",SUM((COUNTIF(Q$4:Q579,Upgrades!$B$3:$B$13)-COUNTIF(Q$4:Q579,"Sell_"&amp;Upgrades!$B$3:$B$13))*Upgrades!$D$3:$D$13))</f>
        <v>560360.9</v>
      </c>
      <c r="T579" s="66">
        <f>IFERROR(__xludf.DUMMYFUNCTION("IF(COUNTA(Q579:Q1350)=0,"""",IF(REGEXMATCH(INDEX(FILTER(Q$4:Q579,Q$4:Q579&lt;&gt;""""),ROWS(FILTER(Q$4:Q579,Q$4:Q579&lt;&gt;""""))),""^Sell_""),INDEX(FILTER(T$4:T578,Q$4:Q578&lt;&gt;""""),ROWS(FILTER(Q$4:Q578,Q$4:Q578&lt;&gt;""""))),$AD$5+S579))"),560560.9)</f>
        <v>560560.9</v>
      </c>
      <c r="U579" s="10">
        <f>IFERROR(__xludf.DUMMYFUNCTION("IF(COUNTA(Q579:Q1350)=0,"""",IF(Q579="""",0,IF(REGEXMATCH(Q579,""^Sell_""),-ROUNDDOWN(ROUNDUP(INDEX(Upgrades!$C$3:$C$13,MATCH(SUBSTITUTE(Q579,""Sell_"",""""),Upgrades!$B$3:$B$13,0))*1.15^(COUNTIF(Q$4:Q578,SUBSTITUTE(Q579,""Sell_"",""""))-COUNTIF(Q$4:Q578,"&amp;"""Sell_""&amp;SUBSTITUTE(Q579,""Sell_"",""""))))/2),ROUNDUP(INDEX(Upgrades!$C$3:$C$13,MATCH(Q579,Upgrades!$B$3:$B$13,0))*1.15^(COUNTIF(Q$4:Q578,Q579)-COUNTIF(Q$4:Q578,""Sell_""&amp;Q579))))))"),1511.0)</f>
        <v>1511</v>
      </c>
      <c r="V579" s="10">
        <f t="shared" si="11"/>
        <v>1511</v>
      </c>
      <c r="W579" s="68">
        <f t="shared" si="12"/>
        <v>6766.686851</v>
      </c>
      <c r="X579" s="59" t="str">
        <f t="shared" si="13"/>
        <v>1h 52m 46s</v>
      </c>
      <c r="Y579" s="69">
        <f t="shared" si="14"/>
        <v>999986292</v>
      </c>
      <c r="Z579" s="11"/>
    </row>
    <row r="580">
      <c r="A580" s="8"/>
      <c r="B580" s="56" t="str">
        <f t="shared" si="2"/>
        <v/>
      </c>
      <c r="C580" s="57"/>
      <c r="D580" s="10" t="str">
        <f>IFERROR(__xludf.DUMMYFUNCTION("IF(COUNTA(C580:C1350)=0,"""",IF(ISBLANK(C580),FALSE,IF(NOT(COUNTIF($AA$24:$AA$34,SUBSTITUTE(C580,""Sell_"",""""))),1,IF(REGEXMATCH(C580,""Sell_""),IF(COUNTIF(C$4:C580,SUBSTITUTE(C580,""Sell_"",""""))-COUNTIF(C$4:C579,C580)&lt;1,1),FALSE))))"),"")</f>
        <v/>
      </c>
      <c r="E580" s="59" t="str">
        <f t="array" ref="E580">IF(COUNTA(C580:C1350)=0,"",SUM((COUNTIF(C$4:C580,Upgrades!$B$3:$B$13)-COUNTIF(C$4:C580,"Sell_"&amp;Upgrades!$B$3:$B$13))*Upgrades!$D$3:$D$13))</f>
        <v/>
      </c>
      <c r="F580" s="66" t="str">
        <f>IFERROR(__xludf.DUMMYFUNCTION("IF(COUNTA(C580:C1350)=0,"""",IF(REGEXMATCH(INDEX(FILTER(C$4:C580,C$4:C580&lt;&gt;""""),ROWS(FILTER(C$4:C580,C$4:C580&lt;&gt;""""))),""^Sell_""),INDEX(FILTER(F$4:F579,C$4:C579&lt;&gt;""""),ROWS(FILTER(C$4:C579,C$4:C579&lt;&gt;""""))),$AC$5+E580))"),"")</f>
        <v/>
      </c>
      <c r="G580" s="10" t="str">
        <f>IFERROR(__xludf.DUMMYFUNCTION("IF(COUNTA(C580:C1350)=0,"""",IF(C580="""",0,IF(REGEXMATCH(C580,""^Sell_""),-ROUNDDOWN(ROUNDUP(INDEX(Upgrades!$C$3:$C$13,MATCH(SUBSTITUTE(C580,""Sell_"",""""),Upgrades!$B$3:$B$13,0))*1.15^(COUNTIF(C$4:C579,SUBSTITUTE(C580,""Sell_"",""""))-COUNTIF(C$4:C579,"&amp;"""Sell_""&amp;SUBSTITUTE(C580,""Sell_"",""""))))/2),ROUNDUP(INDEX(Upgrades!$C$3:$C$13,MATCH(C580,Upgrades!$B$3:$B$13,0))*1.15^(COUNTIF(C$4:C579,C580)-COUNTIF(C$4:C579,""Sell_""&amp;C580))))))"),"")</f>
        <v/>
      </c>
      <c r="H580" s="10" t="str">
        <f t="shared" si="3"/>
        <v/>
      </c>
      <c r="I580" s="68" t="str">
        <f t="shared" si="4"/>
        <v/>
      </c>
      <c r="J580" s="59" t="str">
        <f t="shared" si="5"/>
        <v/>
      </c>
      <c r="K580" s="69" t="str">
        <f t="shared" si="6"/>
        <v/>
      </c>
      <c r="L580" s="60">
        <f t="shared" si="7"/>
        <v>-187.04134</v>
      </c>
      <c r="M580" s="61">
        <f>IFERROR(__xludf.DUMMYFUNCTION("IFS(AND(COUNTA(C580:C1350)=0,COUNTA(Q580:Q1350)=0),"""",OR(AND(K580&gt;=1000000000,OR(Y580&gt;=1000000000,COUNTA(Q580:Q1350)=0)),OR(Y580&gt;=1000000000,AND(COUNTA(C580:C1350)=0,P$3=TRUE))),
ROUNDDOWN((AB$1-AC$1)*MAX(INDEX(T$4:T1350,MATCH(LARGE(FILTER(Y$4:Y1350,Y$4"&amp;":Y1350&lt;1000000000),1),Y$4:Y1350)),INDEX(F$4:F1350,MATCH(LARGE(FILTER(K$4:K1350,K$4:K1350&lt;1000000000),1),K$4:K1350)))),AND(K580&lt;1000000000,COUNTA(C580:C1350)&gt;0,P$3=FALSE),
ROUNDDOWN(INDEX(Y$4:Y1350,MATCH(LARGE(FILTER(W$4:W1350,W$4:W1350&lt;=I580),1),W$4:W1350"&amp;"))+(I580-LARGE(FILTER(W$4:W1350,W$4:W1350&lt;=I580),1))*INDEX(T$4:T1350,MATCH(LARGE(FILTER(W$4:W1350,W$4:W1350&lt;=I580),1),W$4:W1350))-K580),1,
ROUNDDOWN(Y580-INDEX(K$4:K1350,MATCH(LARGE(FILTER(I$4:I1350,I$4:I1350&lt;=W580),1),I$4:I1350))-(W580-LARGE(FILTER(I$4:I"&amp;"1350,I$4:I1350&lt;=W580),1))*INDEX(F$4:F1350,MATCH(LARGE(FILTER(I$4:I1350,I$4:I1350&lt;=W580),1),I$4:I1350))))"),1.05313347E8)</f>
        <v>105313347</v>
      </c>
      <c r="N580" s="60">
        <f t="shared" si="8"/>
        <v>-187.04134</v>
      </c>
      <c r="O580" s="61" t="str">
        <f t="shared" si="9"/>
        <v>105,3M</v>
      </c>
      <c r="P580" s="56">
        <f t="shared" si="10"/>
        <v>32</v>
      </c>
      <c r="Q580" s="105" t="s">
        <v>4</v>
      </c>
      <c r="R580" s="10" t="b">
        <f>IFERROR(__xludf.DUMMYFUNCTION("IF(COUNTA(Q580:Q1350)=0,"""",IF(ISBLANK(Q580),FALSE,IF(NOT(COUNTIF($AA$24:$AA$34,SUBSTITUTE(Q580,""Sell_"",""""))),1,IF(REGEXMATCH(Q580,""Sell_""),IF(COUNTIF(Q$4:Q580,SUBSTITUTE(Q580,""Sell_"",""""))-COUNTIF(Q$4:Q579,Q580)&lt;1,1),FALSE))))"),FALSE)</f>
        <v>0</v>
      </c>
      <c r="S580" s="59">
        <f t="array" ref="S580">IF(COUNTA(Q580:Q1350)=0,"",SUM((COUNTIF(Q$4:Q580,Upgrades!$B$3:$B$13)-COUNTIF(Q$4:Q580,"Sell_"&amp;Upgrades!$B$3:$B$13))*Upgrades!$D$3:$D$13))</f>
        <v>560361.4</v>
      </c>
      <c r="T580" s="66">
        <f>IFERROR(__xludf.DUMMYFUNCTION("IF(COUNTA(Q580:Q1350)=0,"""",IF(REGEXMATCH(INDEX(FILTER(Q$4:Q580,Q$4:Q580&lt;&gt;""""),ROWS(FILTER(Q$4:Q580,Q$4:Q580&lt;&gt;""""))),""^Sell_""),INDEX(FILTER(T$4:T579,Q$4:Q579&lt;&gt;""""),ROWS(FILTER(Q$4:Q579,Q$4:Q579&lt;&gt;""""))),$AD$5+S580))"),560561.4)</f>
        <v>560561.4</v>
      </c>
      <c r="U580" s="10">
        <f>IFERROR(__xludf.DUMMYFUNCTION("IF(COUNTA(Q580:Q1350)=0,"""",IF(Q580="""",0,IF(REGEXMATCH(Q580,""^Sell_""),-ROUNDDOWN(ROUNDUP(INDEX(Upgrades!$C$3:$C$13,MATCH(SUBSTITUTE(Q580,""Sell_"",""""),Upgrades!$B$3:$B$13,0))*1.15^(COUNTIF(Q$4:Q579,SUBSTITUTE(Q580,""Sell_"",""""))-COUNTIF(Q$4:Q579,"&amp;"""Sell_""&amp;SUBSTITUTE(Q580,""Sell_"",""""))))/2),ROUNDUP(INDEX(Upgrades!$C$3:$C$13,MATCH(Q580,Upgrades!$B$3:$B$13,0))*1.15^(COUNTIF(Q$4:Q579,Q580)-COUNTIF(Q$4:Q579,""Sell_""&amp;Q580))))))"),7615.0)</f>
        <v>7615</v>
      </c>
      <c r="V580" s="10">
        <f t="shared" si="11"/>
        <v>7615</v>
      </c>
      <c r="W580" s="68">
        <f t="shared" si="12"/>
        <v>6766.700436</v>
      </c>
      <c r="X580" s="59" t="str">
        <f t="shared" si="13"/>
        <v>1h 52m 46s</v>
      </c>
      <c r="Y580" s="69">
        <f t="shared" si="14"/>
        <v>999993907</v>
      </c>
      <c r="Z580" s="11"/>
    </row>
    <row r="581">
      <c r="A581" s="8"/>
      <c r="B581" s="56" t="str">
        <f t="shared" si="2"/>
        <v/>
      </c>
      <c r="C581" s="57"/>
      <c r="D581" s="10" t="str">
        <f>IFERROR(__xludf.DUMMYFUNCTION("IF(COUNTA(C581:C1350)=0,"""",IF(ISBLANK(C581),FALSE,IF(NOT(COUNTIF($AA$24:$AA$34,SUBSTITUTE(C581,""Sell_"",""""))),1,IF(REGEXMATCH(C581,""Sell_""),IF(COUNTIF(C$4:C581,SUBSTITUTE(C581,""Sell_"",""""))-COUNTIF(C$4:C580,C581)&lt;1,1),FALSE))))"),"")</f>
        <v/>
      </c>
      <c r="E581" s="59" t="str">
        <f t="array" ref="E581">IF(COUNTA(C581:C1350)=0,"",SUM((COUNTIF(C$4:C581,Upgrades!$B$3:$B$13)-COUNTIF(C$4:C581,"Sell_"&amp;Upgrades!$B$3:$B$13))*Upgrades!$D$3:$D$13))</f>
        <v/>
      </c>
      <c r="F581" s="66" t="str">
        <f>IFERROR(__xludf.DUMMYFUNCTION("IF(COUNTA(C581:C1350)=0,"""",IF(REGEXMATCH(INDEX(FILTER(C$4:C581,C$4:C581&lt;&gt;""""),ROWS(FILTER(C$4:C581,C$4:C581&lt;&gt;""""))),""^Sell_""),INDEX(FILTER(F$4:F580,C$4:C580&lt;&gt;""""),ROWS(FILTER(C$4:C580,C$4:C580&lt;&gt;""""))),$AC$5+E581))"),"")</f>
        <v/>
      </c>
      <c r="G581" s="10" t="str">
        <f>IFERROR(__xludf.DUMMYFUNCTION("IF(COUNTA(C581:C1350)=0,"""",IF(C581="""",0,IF(REGEXMATCH(C581,""^Sell_""),-ROUNDDOWN(ROUNDUP(INDEX(Upgrades!$C$3:$C$13,MATCH(SUBSTITUTE(C581,""Sell_"",""""),Upgrades!$B$3:$B$13,0))*1.15^(COUNTIF(C$4:C580,SUBSTITUTE(C581,""Sell_"",""""))-COUNTIF(C$4:C580,"&amp;"""Sell_""&amp;SUBSTITUTE(C581,""Sell_"",""""))))/2),ROUNDUP(INDEX(Upgrades!$C$3:$C$13,MATCH(C581,Upgrades!$B$3:$B$13,0))*1.15^(COUNTIF(C$4:C580,C581)-COUNTIF(C$4:C580,""Sell_""&amp;C581))))))"),"")</f>
        <v/>
      </c>
      <c r="H581" s="10" t="str">
        <f t="shared" si="3"/>
        <v/>
      </c>
      <c r="I581" s="68" t="str">
        <f t="shared" si="4"/>
        <v/>
      </c>
      <c r="J581" s="59" t="str">
        <f t="shared" si="5"/>
        <v/>
      </c>
      <c r="K581" s="69" t="str">
        <f t="shared" si="6"/>
        <v/>
      </c>
      <c r="L581" s="60">
        <f t="shared" si="7"/>
        <v>-187.04129</v>
      </c>
      <c r="M581" s="61">
        <f>IFERROR(__xludf.DUMMYFUNCTION("IFS(AND(COUNTA(C581:C1350)=0,COUNTA(Q581:Q1350)=0),"""",OR(AND(K581&gt;=1000000000,OR(Y581&gt;=1000000000,COUNTA(Q581:Q1350)=0)),OR(Y581&gt;=1000000000,AND(COUNTA(C581:C1350)=0,P$3=TRUE))),
ROUNDDOWN((AB$1-AC$1)*MAX(INDEX(T$4:T1350,MATCH(LARGE(FILTER(Y$4:Y1350,Y$4"&amp;":Y1350&lt;1000000000),1),Y$4:Y1350)),INDEX(F$4:F1350,MATCH(LARGE(FILTER(K$4:K1350,K$4:K1350&lt;1000000000),1),K$4:K1350)))),AND(K581&lt;1000000000,COUNTA(C581:C1350)&gt;0,P$3=FALSE),
ROUNDDOWN(INDEX(Y$4:Y1350,MATCH(LARGE(FILTER(W$4:W1350,W$4:W1350&lt;=I581),1),W$4:W1350"&amp;"))+(I581-LARGE(FILTER(W$4:W1350,W$4:W1350&lt;=I581),1))*INDEX(T$4:T1350,MATCH(LARGE(FILTER(W$4:W1350,W$4:W1350&lt;=I581),1),W$4:W1350))-K581),1,
ROUNDDOWN(Y581-INDEX(K$4:K1350,MATCH(LARGE(FILTER(I$4:I1350,I$4:I1350&lt;=W581),1),I$4:I1350))-(W581-LARGE(FILTER(I$4:I"&amp;"1350,I$4:I1350&lt;=W581),1))*INDEX(F$4:F1350,MATCH(LARGE(FILTER(I$4:I1350,I$4:I1350&lt;=W581),1),I$4:I1350))))"),1.05313373E8)</f>
        <v>105313373</v>
      </c>
      <c r="N581" s="60">
        <f t="shared" si="8"/>
        <v>-187.04129</v>
      </c>
      <c r="O581" s="61" t="str">
        <f t="shared" si="9"/>
        <v>105,3M</v>
      </c>
      <c r="P581" s="56">
        <f t="shared" si="10"/>
        <v>35</v>
      </c>
      <c r="Q581" s="105" t="s">
        <v>3</v>
      </c>
      <c r="R581" s="10" t="b">
        <f>IFERROR(__xludf.DUMMYFUNCTION("IF(COUNTA(Q581:Q1350)=0,"""",IF(ISBLANK(Q581),FALSE,IF(NOT(COUNTIF($AA$24:$AA$34,SUBSTITUTE(Q581,""Sell_"",""""))),1,IF(REGEXMATCH(Q581,""Sell_""),IF(COUNTIF(Q$4:Q581,SUBSTITUTE(Q581,""Sell_"",""""))-COUNTIF(Q$4:Q580,Q581)&lt;1,1),FALSE))))"),FALSE)</f>
        <v>0</v>
      </c>
      <c r="S581" s="59">
        <f t="array" ref="S581">IF(COUNTA(Q581:Q1350)=0,"",SUM((COUNTIF(Q$4:Q581,Upgrades!$B$3:$B$13)-COUNTIF(Q$4:Q581,"Sell_"&amp;Upgrades!$B$3:$B$13))*Upgrades!$D$3:$D$13))</f>
        <v>560361.5</v>
      </c>
      <c r="T581" s="66">
        <f>IFERROR(__xludf.DUMMYFUNCTION("IF(COUNTA(Q581:Q1350)=0,"""",IF(REGEXMATCH(INDEX(FILTER(Q$4:Q581,Q$4:Q581&lt;&gt;""""),ROWS(FILTER(Q$4:Q581,Q$4:Q581&lt;&gt;""""))),""^Sell_""),INDEX(FILTER(T$4:T580,Q$4:Q580&lt;&gt;""""),ROWS(FILTER(Q$4:Q580,Q$4:Q580&lt;&gt;""""))),$AD$5+S581))"),560561.5)</f>
        <v>560561.5</v>
      </c>
      <c r="U581" s="10">
        <f>IFERROR(__xludf.DUMMYFUNCTION("IF(COUNTA(Q581:Q1350)=0,"""",IF(Q581="""",0,IF(REGEXMATCH(Q581,""^Sell_""),-ROUNDDOWN(ROUNDUP(INDEX(Upgrades!$C$3:$C$13,MATCH(SUBSTITUTE(Q581,""Sell_"",""""),Upgrades!$B$3:$B$13,0))*1.15^(COUNTIF(Q$4:Q580,SUBSTITUTE(Q581,""Sell_"",""""))-COUNTIF(Q$4:Q580,"&amp;"""Sell_""&amp;SUBSTITUTE(Q581,""Sell_"",""""))))/2),ROUNDUP(INDEX(Upgrades!$C$3:$C$13,MATCH(Q581,Upgrades!$B$3:$B$13,0))*1.15^(COUNTIF(Q$4:Q580,Q581)-COUNTIF(Q$4:Q580,""Sell_""&amp;Q581))))))"),1738.0)</f>
        <v>1738</v>
      </c>
      <c r="V581" s="10">
        <f t="shared" si="11"/>
        <v>1738</v>
      </c>
      <c r="W581" s="68">
        <f t="shared" si="12"/>
        <v>6766.703536</v>
      </c>
      <c r="X581" s="59" t="str">
        <f t="shared" si="13"/>
        <v>1h 52m 46s</v>
      </c>
      <c r="Y581" s="69">
        <f t="shared" si="14"/>
        <v>999995645</v>
      </c>
      <c r="Z581" s="11"/>
    </row>
    <row r="582">
      <c r="A582" s="8"/>
      <c r="B582" s="56" t="str">
        <f t="shared" si="2"/>
        <v/>
      </c>
      <c r="C582" s="57"/>
      <c r="D582" s="10" t="str">
        <f>IFERROR(__xludf.DUMMYFUNCTION("IF(COUNTA(C582:C1350)=0,"""",IF(ISBLANK(C582),FALSE,IF(NOT(COUNTIF($AA$24:$AA$34,SUBSTITUTE(C582,""Sell_"",""""))),1,IF(REGEXMATCH(C582,""Sell_""),IF(COUNTIF(C$4:C582,SUBSTITUTE(C582,""Sell_"",""""))-COUNTIF(C$4:C581,C582)&lt;1,1),FALSE))))"),"")</f>
        <v/>
      </c>
      <c r="E582" s="59" t="str">
        <f t="array" ref="E582">IF(COUNTA(C582:C1350)=0,"",SUM((COUNTIF(C$4:C582,Upgrades!$B$3:$B$13)-COUNTIF(C$4:C582,"Sell_"&amp;Upgrades!$B$3:$B$13))*Upgrades!$D$3:$D$13))</f>
        <v/>
      </c>
      <c r="F582" s="66" t="str">
        <f>IFERROR(__xludf.DUMMYFUNCTION("IF(COUNTA(C582:C1350)=0,"""",IF(REGEXMATCH(INDEX(FILTER(C$4:C582,C$4:C582&lt;&gt;""""),ROWS(FILTER(C$4:C582,C$4:C582&lt;&gt;""""))),""^Sell_""),INDEX(FILTER(F$4:F581,C$4:C581&lt;&gt;""""),ROWS(FILTER(C$4:C581,C$4:C581&lt;&gt;""""))),$AC$5+E582))"),"")</f>
        <v/>
      </c>
      <c r="G582" s="10" t="str">
        <f>IFERROR(__xludf.DUMMYFUNCTION("IF(COUNTA(C582:C1350)=0,"""",IF(C582="""",0,IF(REGEXMATCH(C582,""^Sell_""),-ROUNDDOWN(ROUNDUP(INDEX(Upgrades!$C$3:$C$13,MATCH(SUBSTITUTE(C582,""Sell_"",""""),Upgrades!$B$3:$B$13,0))*1.15^(COUNTIF(C$4:C581,SUBSTITUTE(C582,""Sell_"",""""))-COUNTIF(C$4:C581,"&amp;"""Sell_""&amp;SUBSTITUTE(C582,""Sell_"",""""))))/2),ROUNDUP(INDEX(Upgrades!$C$3:$C$13,MATCH(C582,Upgrades!$B$3:$B$13,0))*1.15^(COUNTIF(C$4:C581,C582)-COUNTIF(C$4:C581,""Sell_""&amp;C582))))))"),"")</f>
        <v/>
      </c>
      <c r="H582" s="10" t="str">
        <f t="shared" si="3"/>
        <v/>
      </c>
      <c r="I582" s="68" t="str">
        <f t="shared" si="4"/>
        <v/>
      </c>
      <c r="J582" s="59" t="str">
        <f t="shared" si="5"/>
        <v/>
      </c>
      <c r="K582" s="69" t="str">
        <f t="shared" si="6"/>
        <v/>
      </c>
      <c r="L582" s="60">
        <f t="shared" si="7"/>
        <v>-187.04123</v>
      </c>
      <c r="M582" s="61">
        <f>IFERROR(__xludf.DUMMYFUNCTION("IFS(AND(COUNTA(C582:C1350)=0,COUNTA(Q582:Q1350)=0),"""",OR(AND(K582&gt;=1000000000,OR(Y582&gt;=1000000000,COUNTA(Q582:Q1350)=0)),OR(Y582&gt;=1000000000,AND(COUNTA(C582:C1350)=0,P$3=TRUE))),
ROUNDDOWN((AB$1-AC$1)*MAX(INDEX(T$4:T1350,MATCH(LARGE(FILTER(Y$4:Y1350,Y$4"&amp;":Y1350&lt;1000000000),1),Y$4:Y1350)),INDEX(F$4:F1350,MATCH(LARGE(FILTER(K$4:K1350,K$4:K1350&lt;1000000000),1),K$4:K1350)))),AND(K582&lt;1000000000,COUNTA(C582:C1350)&gt;0,P$3=FALSE),
ROUNDDOWN(INDEX(Y$4:Y1350,MATCH(LARGE(FILTER(W$4:W1350,W$4:W1350&lt;=I582),1),W$4:W1350"&amp;"))+(I582-LARGE(FILTER(W$4:W1350,W$4:W1350&lt;=I582),1))*INDEX(T$4:T1350,MATCH(LARGE(FILTER(W$4:W1350,W$4:W1350&lt;=I582),1),W$4:W1350))-K582),1,
ROUNDDOWN(Y582-INDEX(K$4:K1350,MATCH(LARGE(FILTER(I$4:I1350,I$4:I1350&lt;=W582),1),I$4:I1350))-(W582-LARGE(FILTER(I$4:I"&amp;"1350,I$4:I1350&lt;=W582),1))*INDEX(F$4:F1350,MATCH(LARGE(FILTER(I$4:I1350,I$4:I1350&lt;=W582),1),I$4:I1350))))"),1.05313402E8)</f>
        <v>105313402</v>
      </c>
      <c r="N582" s="60">
        <f t="shared" si="8"/>
        <v>-187.04123</v>
      </c>
      <c r="O582" s="61" t="str">
        <f t="shared" si="9"/>
        <v>105,3M</v>
      </c>
      <c r="P582" s="56">
        <f t="shared" si="10"/>
        <v>36</v>
      </c>
      <c r="Q582" s="105" t="s">
        <v>3</v>
      </c>
      <c r="R582" s="10" t="b">
        <f>IFERROR(__xludf.DUMMYFUNCTION("IF(COUNTA(Q582:Q1350)=0,"""",IF(ISBLANK(Q582),FALSE,IF(NOT(COUNTIF($AA$24:$AA$34,SUBSTITUTE(Q582,""Sell_"",""""))),1,IF(REGEXMATCH(Q582,""Sell_""),IF(COUNTIF(Q$4:Q582,SUBSTITUTE(Q582,""Sell_"",""""))-COUNTIF(Q$4:Q581,Q582)&lt;1,1),FALSE))))"),FALSE)</f>
        <v>0</v>
      </c>
      <c r="S582" s="59">
        <f t="array" ref="S582">IF(COUNTA(Q582:Q1350)=0,"",SUM((COUNTIF(Q$4:Q582,Upgrades!$B$3:$B$13)-COUNTIF(Q$4:Q582,"Sell_"&amp;Upgrades!$B$3:$B$13))*Upgrades!$D$3:$D$13))</f>
        <v>560361.6</v>
      </c>
      <c r="T582" s="66">
        <f>IFERROR(__xludf.DUMMYFUNCTION("IF(COUNTA(Q582:Q1350)=0,"""",IF(REGEXMATCH(INDEX(FILTER(Q$4:Q582,Q$4:Q582&lt;&gt;""""),ROWS(FILTER(Q$4:Q582,Q$4:Q582&lt;&gt;""""))),""^Sell_""),INDEX(FILTER(T$4:T581,Q$4:Q581&lt;&gt;""""),ROWS(FILTER(Q$4:Q581,Q$4:Q581&lt;&gt;""""))),$AD$5+S582))"),560561.6)</f>
        <v>560561.6</v>
      </c>
      <c r="U582" s="10">
        <f>IFERROR(__xludf.DUMMYFUNCTION("IF(COUNTA(Q582:Q1350)=0,"""",IF(Q582="""",0,IF(REGEXMATCH(Q582,""^Sell_""),-ROUNDDOWN(ROUNDUP(INDEX(Upgrades!$C$3:$C$13,MATCH(SUBSTITUTE(Q582,""Sell_"",""""),Upgrades!$B$3:$B$13,0))*1.15^(COUNTIF(Q$4:Q581,SUBSTITUTE(Q582,""Sell_"",""""))-COUNTIF(Q$4:Q581,"&amp;"""Sell_""&amp;SUBSTITUTE(Q582,""Sell_"",""""))))/2),ROUNDUP(INDEX(Upgrades!$C$3:$C$13,MATCH(Q582,Upgrades!$B$3:$B$13,0))*1.15^(COUNTIF(Q$4:Q581,Q582)-COUNTIF(Q$4:Q581,""Sell_""&amp;Q582))))))"),1998.0)</f>
        <v>1998</v>
      </c>
      <c r="V582" s="10">
        <f t="shared" si="11"/>
        <v>1998</v>
      </c>
      <c r="W582" s="68">
        <f t="shared" si="12"/>
        <v>6766.7071</v>
      </c>
      <c r="X582" s="59" t="str">
        <f t="shared" si="13"/>
        <v>1h 52m 46s</v>
      </c>
      <c r="Y582" s="69">
        <f t="shared" si="14"/>
        <v>999997643</v>
      </c>
      <c r="Z582" s="11"/>
    </row>
    <row r="583">
      <c r="A583" s="8"/>
      <c r="B583" s="56" t="str">
        <f t="shared" si="2"/>
        <v/>
      </c>
      <c r="C583" s="57"/>
      <c r="D583" s="10" t="str">
        <f>IFERROR(__xludf.DUMMYFUNCTION("IF(COUNTA(C583:C1350)=0,"""",IF(ISBLANK(C583),FALSE,IF(NOT(COUNTIF($AA$24:$AA$34,SUBSTITUTE(C583,""Sell_"",""""))),1,IF(REGEXMATCH(C583,""Sell_""),IF(COUNTIF(C$4:C583,SUBSTITUTE(C583,""Sell_"",""""))-COUNTIF(C$4:C582,C583)&lt;1,1),FALSE))))"),"")</f>
        <v/>
      </c>
      <c r="E583" s="59" t="str">
        <f t="array" ref="E583">IF(COUNTA(C583:C1350)=0,"",SUM((COUNTIF(C$4:C583,Upgrades!$B$3:$B$13)-COUNTIF(C$4:C583,"Sell_"&amp;Upgrades!$B$3:$B$13))*Upgrades!$D$3:$D$13))</f>
        <v/>
      </c>
      <c r="F583" s="66" t="str">
        <f>IFERROR(__xludf.DUMMYFUNCTION("IF(COUNTA(C583:C1350)=0,"""",IF(REGEXMATCH(INDEX(FILTER(C$4:C583,C$4:C583&lt;&gt;""""),ROWS(FILTER(C$4:C583,C$4:C583&lt;&gt;""""))),""^Sell_""),INDEX(FILTER(F$4:F582,C$4:C582&lt;&gt;""""),ROWS(FILTER(C$4:C582,C$4:C582&lt;&gt;""""))),$AC$5+E583))"),"")</f>
        <v/>
      </c>
      <c r="G583" s="10" t="str">
        <f>IFERROR(__xludf.DUMMYFUNCTION("IF(COUNTA(C583:C1350)=0,"""",IF(C583="""",0,IF(REGEXMATCH(C583,""^Sell_""),-ROUNDDOWN(ROUNDUP(INDEX(Upgrades!$C$3:$C$13,MATCH(SUBSTITUTE(C583,""Sell_"",""""),Upgrades!$B$3:$B$13,0))*1.15^(COUNTIF(C$4:C582,SUBSTITUTE(C583,""Sell_"",""""))-COUNTIF(C$4:C582,"&amp;"""Sell_""&amp;SUBSTITUTE(C583,""Sell_"",""""))))/2),ROUNDUP(INDEX(Upgrades!$C$3:$C$13,MATCH(C583,Upgrades!$B$3:$B$13,0))*1.15^(COUNTIF(C$4:C582,C583)-COUNTIF(C$4:C582,""Sell_""&amp;C583))))))"),"")</f>
        <v/>
      </c>
      <c r="H583" s="10" t="str">
        <f t="shared" si="3"/>
        <v/>
      </c>
      <c r="I583" s="68" t="str">
        <f t="shared" si="4"/>
        <v/>
      </c>
      <c r="J583" s="59" t="str">
        <f t="shared" si="5"/>
        <v/>
      </c>
      <c r="K583" s="69" t="str">
        <f t="shared" si="6"/>
        <v/>
      </c>
      <c r="L583" s="60">
        <f t="shared" si="7"/>
        <v>-187.04116</v>
      </c>
      <c r="M583" s="61">
        <f>IFERROR(__xludf.DUMMYFUNCTION("IFS(AND(COUNTA(C583:C1350)=0,COUNTA(Q583:Q1350)=0),"""",OR(AND(K583&gt;=1000000000,OR(Y583&gt;=1000000000,COUNTA(Q583:Q1350)=0)),OR(Y583&gt;=1000000000,AND(COUNTA(C583:C1350)=0,P$3=TRUE))),
ROUNDDOWN((AB$1-AC$1)*MAX(INDEX(T$4:T1350,MATCH(LARGE(FILTER(Y$4:Y1350,Y$4"&amp;":Y1350&lt;1000000000),1),Y$4:Y1350)),INDEX(F$4:F1350,MATCH(LARGE(FILTER(K$4:K1350,K$4:K1350&lt;1000000000),1),K$4:K1350)))),AND(K583&lt;1000000000,COUNTA(C583:C1350)&gt;0,P$3=FALSE),
ROUNDDOWN(INDEX(Y$4:Y1350,MATCH(LARGE(FILTER(W$4:W1350,W$4:W1350&lt;=I583),1),W$4:W1350"&amp;"))+(I583-LARGE(FILTER(W$4:W1350,W$4:W1350&lt;=I583),1))*INDEX(T$4:T1350,MATCH(LARGE(FILTER(W$4:W1350,W$4:W1350&lt;=I583),1),W$4:W1350))-K583),1,
ROUNDDOWN(Y583-INDEX(K$4:K1350,MATCH(LARGE(FILTER(I$4:I1350,I$4:I1350&lt;=W583),1),I$4:I1350))-(W583-LARGE(FILTER(I$4:I"&amp;"1350,I$4:I1350&lt;=W583),1))*INDEX(F$4:F1350,MATCH(LARGE(FILTER(I$4:I1350,I$4:I1350&lt;=W583),1),I$4:I1350))))"),1.05313436E8)</f>
        <v>105313436</v>
      </c>
      <c r="N583" s="60">
        <f t="shared" si="8"/>
        <v>-187.04116</v>
      </c>
      <c r="O583" s="61" t="str">
        <f t="shared" si="9"/>
        <v>105,3M</v>
      </c>
      <c r="P583" s="56">
        <f t="shared" si="10"/>
        <v>37</v>
      </c>
      <c r="Q583" s="105" t="s">
        <v>3</v>
      </c>
      <c r="R583" s="10" t="b">
        <f>IFERROR(__xludf.DUMMYFUNCTION("IF(COUNTA(Q583:Q1350)=0,"""",IF(ISBLANK(Q583),FALSE,IF(NOT(COUNTIF($AA$24:$AA$34,SUBSTITUTE(Q583,""Sell_"",""""))),1,IF(REGEXMATCH(Q583,""Sell_""),IF(COUNTIF(Q$4:Q583,SUBSTITUTE(Q583,""Sell_"",""""))-COUNTIF(Q$4:Q582,Q583)&lt;1,1),FALSE))))"),FALSE)</f>
        <v>0</v>
      </c>
      <c r="S583" s="59">
        <f t="array" ref="S583">IF(COUNTA(Q583:Q1350)=0,"",SUM((COUNTIF(Q$4:Q583,Upgrades!$B$3:$B$13)-COUNTIF(Q$4:Q583,"Sell_"&amp;Upgrades!$B$3:$B$13))*Upgrades!$D$3:$D$13))</f>
        <v>560361.7</v>
      </c>
      <c r="T583" s="66">
        <f>IFERROR(__xludf.DUMMYFUNCTION("IF(COUNTA(Q583:Q1350)=0,"""",IF(REGEXMATCH(INDEX(FILTER(Q$4:Q583,Q$4:Q583&lt;&gt;""""),ROWS(FILTER(Q$4:Q583,Q$4:Q583&lt;&gt;""""))),""^Sell_""),INDEX(FILTER(T$4:T582,Q$4:Q582&lt;&gt;""""),ROWS(FILTER(Q$4:Q582,Q$4:Q582&lt;&gt;""""))),$AD$5+S583))"),560561.7)</f>
        <v>560561.7</v>
      </c>
      <c r="U583" s="10">
        <f>IFERROR(__xludf.DUMMYFUNCTION("IF(COUNTA(Q583:Q1350)=0,"""",IF(Q583="""",0,IF(REGEXMATCH(Q583,""^Sell_""),-ROUNDDOWN(ROUNDUP(INDEX(Upgrades!$C$3:$C$13,MATCH(SUBSTITUTE(Q583,""Sell_"",""""),Upgrades!$B$3:$B$13,0))*1.15^(COUNTIF(Q$4:Q582,SUBSTITUTE(Q583,""Sell_"",""""))-COUNTIF(Q$4:Q582,"&amp;"""Sell_""&amp;SUBSTITUTE(Q583,""Sell_"",""""))))/2),ROUNDUP(INDEX(Upgrades!$C$3:$C$13,MATCH(Q583,Upgrades!$B$3:$B$13,0))*1.15^(COUNTIF(Q$4:Q582,Q583)-COUNTIF(Q$4:Q582,""Sell_""&amp;Q583))))))"),2298.0)</f>
        <v>2298</v>
      </c>
      <c r="V583" s="10">
        <f t="shared" si="11"/>
        <v>2298</v>
      </c>
      <c r="W583" s="68">
        <f t="shared" si="12"/>
        <v>6766.7112</v>
      </c>
      <c r="X583" s="59" t="str">
        <f t="shared" si="13"/>
        <v>1h 52m 46s</v>
      </c>
      <c r="Y583" s="69">
        <f t="shared" si="14"/>
        <v>999999941</v>
      </c>
      <c r="Z583" s="11"/>
    </row>
    <row r="584">
      <c r="A584" s="8"/>
      <c r="B584" s="56" t="str">
        <f t="shared" si="2"/>
        <v/>
      </c>
      <c r="C584" s="57"/>
      <c r="D584" s="10" t="str">
        <f>IFERROR(__xludf.DUMMYFUNCTION("IF(COUNTA(C584:C1350)=0,"""",IF(ISBLANK(C584),FALSE,IF(NOT(COUNTIF($AA$24:$AA$34,SUBSTITUTE(C584,""Sell_"",""""))),1,IF(REGEXMATCH(C584,""Sell_""),IF(COUNTIF(C$4:C584,SUBSTITUTE(C584,""Sell_"",""""))-COUNTIF(C$4:C583,C584)&lt;1,1),FALSE))))"),"")</f>
        <v/>
      </c>
      <c r="E584" s="59" t="str">
        <f t="array" ref="E584">IF(COUNTA(C584:C1350)=0,"",SUM((COUNTIF(C$4:C584,Upgrades!$B$3:$B$13)-COUNTIF(C$4:C584,"Sell_"&amp;Upgrades!$B$3:$B$13))*Upgrades!$D$3:$D$13))</f>
        <v/>
      </c>
      <c r="F584" s="66" t="str">
        <f>IFERROR(__xludf.DUMMYFUNCTION("IF(COUNTA(C584:C1350)=0,"""",IF(REGEXMATCH(INDEX(FILTER(C$4:C584,C$4:C584&lt;&gt;""""),ROWS(FILTER(C$4:C584,C$4:C584&lt;&gt;""""))),""^Sell_""),INDEX(FILTER(F$4:F583,C$4:C583&lt;&gt;""""),ROWS(FILTER(C$4:C583,C$4:C583&lt;&gt;""""))),$AC$5+E584))"),"")</f>
        <v/>
      </c>
      <c r="G584" s="10" t="str">
        <f>IFERROR(__xludf.DUMMYFUNCTION("IF(COUNTA(C584:C1350)=0,"""",IF(C584="""",0,IF(REGEXMATCH(C584,""^Sell_""),-ROUNDDOWN(ROUNDUP(INDEX(Upgrades!$C$3:$C$13,MATCH(SUBSTITUTE(C584,""Sell_"",""""),Upgrades!$B$3:$B$13,0))*1.15^(COUNTIF(C$4:C583,SUBSTITUTE(C584,""Sell_"",""""))-COUNTIF(C$4:C583,"&amp;"""Sell_""&amp;SUBSTITUTE(C584,""Sell_"",""""))))/2),ROUNDUP(INDEX(Upgrades!$C$3:$C$13,MATCH(C584,Upgrades!$B$3:$B$13,0))*1.15^(COUNTIF(C$4:C583,C584)-COUNTIF(C$4:C583,""Sell_""&amp;C584))))))"),"")</f>
        <v/>
      </c>
      <c r="H584" s="10" t="str">
        <f t="shared" si="3"/>
        <v/>
      </c>
      <c r="I584" s="68" t="str">
        <f t="shared" si="4"/>
        <v/>
      </c>
      <c r="J584" s="59" t="str">
        <f t="shared" si="5"/>
        <v/>
      </c>
      <c r="K584" s="69" t="str">
        <f t="shared" si="6"/>
        <v/>
      </c>
      <c r="L584" s="60" t="str">
        <f t="shared" si="7"/>
        <v/>
      </c>
      <c r="M584" s="61" t="str">
        <f>IFERROR(__xludf.DUMMYFUNCTION("IFS(AND(COUNTA(C584:C1350)=0,COUNTA(Q584:Q1350)=0),"""",OR(AND(K584&gt;=1000000000,OR(Y584&gt;=1000000000,COUNTA(Q584:Q1350)=0)),OR(Y584&gt;=1000000000,AND(COUNTA(C584:C1350)=0,P$3=TRUE))),
ROUNDDOWN((AB$1-AC$1)*MAX(INDEX(T$4:T1350,MATCH(LARGE(FILTER(Y$4:Y1350,Y$4"&amp;":Y1350&lt;1000000000),1),Y$4:Y1350)),INDEX(F$4:F1350,MATCH(LARGE(FILTER(K$4:K1350,K$4:K1350&lt;1000000000),1),K$4:K1350)))),AND(K584&lt;1000000000,COUNTA(C584:C1350)&gt;0,P$3=FALSE),
ROUNDDOWN(INDEX(Y$4:Y1350,MATCH(LARGE(FILTER(W$4:W1350,W$4:W1350&lt;=I584),1),W$4:W1350"&amp;"))+(I584-LARGE(FILTER(W$4:W1350,W$4:W1350&lt;=I584),1))*INDEX(T$4:T1350,MATCH(LARGE(FILTER(W$4:W1350,W$4:W1350&lt;=I584),1),W$4:W1350))-K584),1,
ROUNDDOWN(Y584-INDEX(K$4:K1350,MATCH(LARGE(FILTER(I$4:I1350,I$4:I1350&lt;=W584),1),I$4:I1350))-(W584-LARGE(FILTER(I$4:I"&amp;"1350,I$4:I1350&lt;=W584),1))*INDEX(F$4:F1350,MATCH(LARGE(FILTER(I$4:I1350,I$4:I1350&lt;=W584),1),I$4:I1350))))"),"")</f>
        <v/>
      </c>
      <c r="N584" s="60" t="str">
        <f t="shared" si="8"/>
        <v/>
      </c>
      <c r="O584" s="61" t="str">
        <f t="shared" si="9"/>
        <v/>
      </c>
      <c r="P584" s="56" t="str">
        <f t="shared" si="10"/>
        <v/>
      </c>
      <c r="Q584" s="62"/>
      <c r="R584" s="10" t="str">
        <f>IFERROR(__xludf.DUMMYFUNCTION("IF(COUNTA(Q584:Q1350)=0,"""",IF(ISBLANK(Q584),FALSE,IF(NOT(COUNTIF($AA$24:$AA$34,SUBSTITUTE(Q584,""Sell_"",""""))),1,IF(REGEXMATCH(Q584,""Sell_""),IF(COUNTIF(Q$4:Q584,SUBSTITUTE(Q584,""Sell_"",""""))-COUNTIF(Q$4:Q583,Q584)&lt;1,1),FALSE))))"),"")</f>
        <v/>
      </c>
      <c r="S584" s="59" t="str">
        <f t="array" ref="S584">IF(COUNTA(Q584:Q1350)=0,"",SUM((COUNTIF(Q$4:Q584,Upgrades!$B$3:$B$13)-COUNTIF(Q$4:Q584,"Sell_"&amp;Upgrades!$B$3:$B$13))*Upgrades!$D$3:$D$13))</f>
        <v/>
      </c>
      <c r="T584" s="66" t="str">
        <f>IFERROR(__xludf.DUMMYFUNCTION("IF(COUNTA(Q584:Q1350)=0,"""",IF(REGEXMATCH(INDEX(FILTER(Q$4:Q584,Q$4:Q584&lt;&gt;""""),ROWS(FILTER(Q$4:Q584,Q$4:Q584&lt;&gt;""""))),""^Sell_""),INDEX(FILTER(T$4:T583,Q$4:Q583&lt;&gt;""""),ROWS(FILTER(Q$4:Q583,Q$4:Q583&lt;&gt;""""))),$AD$5+S584))"),"")</f>
        <v/>
      </c>
      <c r="U584" s="10" t="str">
        <f>IFERROR(__xludf.DUMMYFUNCTION("IF(COUNTA(Q584:Q1350)=0,"""",IF(Q584="""",0,IF(REGEXMATCH(Q584,""^Sell_""),-ROUNDDOWN(ROUNDUP(INDEX(Upgrades!$C$3:$C$13,MATCH(SUBSTITUTE(Q584,""Sell_"",""""),Upgrades!$B$3:$B$13,0))*1.15^(COUNTIF(Q$4:Q583,SUBSTITUTE(Q584,""Sell_"",""""))-COUNTIF(Q$4:Q583,"&amp;"""Sell_""&amp;SUBSTITUTE(Q584,""Sell_"",""""))))/2),ROUNDUP(INDEX(Upgrades!$C$3:$C$13,MATCH(Q584,Upgrades!$B$3:$B$13,0))*1.15^(COUNTIF(Q$4:Q583,Q584)-COUNTIF(Q$4:Q583,""Sell_""&amp;Q584))))))"),"")</f>
        <v/>
      </c>
      <c r="V584" s="10" t="str">
        <f t="shared" si="11"/>
        <v/>
      </c>
      <c r="W584" s="68" t="str">
        <f t="shared" si="12"/>
        <v/>
      </c>
      <c r="X584" s="59" t="str">
        <f t="shared" si="13"/>
        <v/>
      </c>
      <c r="Y584" s="69" t="str">
        <f t="shared" si="14"/>
        <v/>
      </c>
      <c r="Z584" s="11"/>
    </row>
    <row r="585">
      <c r="A585" s="8"/>
      <c r="B585" s="56" t="str">
        <f t="shared" si="2"/>
        <v/>
      </c>
      <c r="C585" s="57"/>
      <c r="D585" s="10" t="str">
        <f>IFERROR(__xludf.DUMMYFUNCTION("IF(COUNTA(C585:C1350)=0,"""",IF(ISBLANK(C585),FALSE,IF(NOT(COUNTIF($AA$24:$AA$34,SUBSTITUTE(C585,""Sell_"",""""))),1,IF(REGEXMATCH(C585,""Sell_""),IF(COUNTIF(C$4:C585,SUBSTITUTE(C585,""Sell_"",""""))-COUNTIF(C$4:C584,C585)&lt;1,1),FALSE))))"),"")</f>
        <v/>
      </c>
      <c r="E585" s="59" t="str">
        <f t="array" ref="E585">IF(COUNTA(C585:C1350)=0,"",SUM((COUNTIF(C$4:C585,Upgrades!$B$3:$B$13)-COUNTIF(C$4:C585,"Sell_"&amp;Upgrades!$B$3:$B$13))*Upgrades!$D$3:$D$13))</f>
        <v/>
      </c>
      <c r="F585" s="66" t="str">
        <f>IFERROR(__xludf.DUMMYFUNCTION("IF(COUNTA(C585:C1350)=0,"""",IF(REGEXMATCH(INDEX(FILTER(C$4:C585,C$4:C585&lt;&gt;""""),ROWS(FILTER(C$4:C585,C$4:C585&lt;&gt;""""))),""^Sell_""),INDEX(FILTER(F$4:F584,C$4:C584&lt;&gt;""""),ROWS(FILTER(C$4:C584,C$4:C584&lt;&gt;""""))),$AC$5+E585))"),"")</f>
        <v/>
      </c>
      <c r="G585" s="10" t="str">
        <f>IFERROR(__xludf.DUMMYFUNCTION("IF(COUNTA(C585:C1350)=0,"""",IF(C585="""",0,IF(REGEXMATCH(C585,""^Sell_""),-ROUNDDOWN(ROUNDUP(INDEX(Upgrades!$C$3:$C$13,MATCH(SUBSTITUTE(C585,""Sell_"",""""),Upgrades!$B$3:$B$13,0))*1.15^(COUNTIF(C$4:C584,SUBSTITUTE(C585,""Sell_"",""""))-COUNTIF(C$4:C584,"&amp;"""Sell_""&amp;SUBSTITUTE(C585,""Sell_"",""""))))/2),ROUNDUP(INDEX(Upgrades!$C$3:$C$13,MATCH(C585,Upgrades!$B$3:$B$13,0))*1.15^(COUNTIF(C$4:C584,C585)-COUNTIF(C$4:C584,""Sell_""&amp;C585))))))"),"")</f>
        <v/>
      </c>
      <c r="H585" s="10" t="str">
        <f t="shared" si="3"/>
        <v/>
      </c>
      <c r="I585" s="68" t="str">
        <f t="shared" si="4"/>
        <v/>
      </c>
      <c r="J585" s="59" t="str">
        <f t="shared" si="5"/>
        <v/>
      </c>
      <c r="K585" s="69" t="str">
        <f t="shared" si="6"/>
        <v/>
      </c>
      <c r="L585" s="60" t="str">
        <f t="shared" si="7"/>
        <v/>
      </c>
      <c r="M585" s="61" t="str">
        <f>IFERROR(__xludf.DUMMYFUNCTION("IFS(AND(COUNTA(C585:C1350)=0,COUNTA(Q585:Q1350)=0),"""",OR(AND(K585&gt;=1000000000,OR(Y585&gt;=1000000000,COUNTA(Q585:Q1350)=0)),OR(Y585&gt;=1000000000,AND(COUNTA(C585:C1350)=0,P$3=TRUE))),
ROUNDDOWN((AB$1-AC$1)*MAX(INDEX(T$4:T1350,MATCH(LARGE(FILTER(Y$4:Y1350,Y$4"&amp;":Y1350&lt;1000000000),1),Y$4:Y1350)),INDEX(F$4:F1350,MATCH(LARGE(FILTER(K$4:K1350,K$4:K1350&lt;1000000000),1),K$4:K1350)))),AND(K585&lt;1000000000,COUNTA(C585:C1350)&gt;0,P$3=FALSE),
ROUNDDOWN(INDEX(Y$4:Y1350,MATCH(LARGE(FILTER(W$4:W1350,W$4:W1350&lt;=I585),1),W$4:W1350"&amp;"))+(I585-LARGE(FILTER(W$4:W1350,W$4:W1350&lt;=I585),1))*INDEX(T$4:T1350,MATCH(LARGE(FILTER(W$4:W1350,W$4:W1350&lt;=I585),1),W$4:W1350))-K585),1,
ROUNDDOWN(Y585-INDEX(K$4:K1350,MATCH(LARGE(FILTER(I$4:I1350,I$4:I1350&lt;=W585),1),I$4:I1350))-(W585-LARGE(FILTER(I$4:I"&amp;"1350,I$4:I1350&lt;=W585),1))*INDEX(F$4:F1350,MATCH(LARGE(FILTER(I$4:I1350,I$4:I1350&lt;=W585),1),I$4:I1350))))"),"")</f>
        <v/>
      </c>
      <c r="N585" s="60" t="str">
        <f t="shared" si="8"/>
        <v/>
      </c>
      <c r="O585" s="61" t="str">
        <f t="shared" si="9"/>
        <v/>
      </c>
      <c r="P585" s="56" t="str">
        <f t="shared" si="10"/>
        <v/>
      </c>
      <c r="Q585" s="62"/>
      <c r="R585" s="10" t="str">
        <f>IFERROR(__xludf.DUMMYFUNCTION("IF(COUNTA(Q585:Q1350)=0,"""",IF(ISBLANK(Q585),FALSE,IF(NOT(COUNTIF($AA$24:$AA$34,SUBSTITUTE(Q585,""Sell_"",""""))),1,IF(REGEXMATCH(Q585,""Sell_""),IF(COUNTIF(Q$4:Q585,SUBSTITUTE(Q585,""Sell_"",""""))-COUNTIF(Q$4:Q584,Q585)&lt;1,1),FALSE))))"),"")</f>
        <v/>
      </c>
      <c r="S585" s="59" t="str">
        <f t="array" ref="S585">IF(COUNTA(Q585:Q1350)=0,"",SUM((COUNTIF(Q$4:Q585,Upgrades!$B$3:$B$13)-COUNTIF(Q$4:Q585,"Sell_"&amp;Upgrades!$B$3:$B$13))*Upgrades!$D$3:$D$13))</f>
        <v/>
      </c>
      <c r="T585" s="66" t="str">
        <f>IFERROR(__xludf.DUMMYFUNCTION("IF(COUNTA(Q585:Q1350)=0,"""",IF(REGEXMATCH(INDEX(FILTER(Q$4:Q585,Q$4:Q585&lt;&gt;""""),ROWS(FILTER(Q$4:Q585,Q$4:Q585&lt;&gt;""""))),""^Sell_""),INDEX(FILTER(T$4:T584,Q$4:Q584&lt;&gt;""""),ROWS(FILTER(Q$4:Q584,Q$4:Q584&lt;&gt;""""))),$AD$5+S585))"),"")</f>
        <v/>
      </c>
      <c r="U585" s="10" t="str">
        <f>IFERROR(__xludf.DUMMYFUNCTION("IF(COUNTA(Q585:Q1350)=0,"""",IF(Q585="""",0,IF(REGEXMATCH(Q585,""^Sell_""),-ROUNDDOWN(ROUNDUP(INDEX(Upgrades!$C$3:$C$13,MATCH(SUBSTITUTE(Q585,""Sell_"",""""),Upgrades!$B$3:$B$13,0))*1.15^(COUNTIF(Q$4:Q584,SUBSTITUTE(Q585,""Sell_"",""""))-COUNTIF(Q$4:Q584,"&amp;"""Sell_""&amp;SUBSTITUTE(Q585,""Sell_"",""""))))/2),ROUNDUP(INDEX(Upgrades!$C$3:$C$13,MATCH(Q585,Upgrades!$B$3:$B$13,0))*1.15^(COUNTIF(Q$4:Q584,Q585)-COUNTIF(Q$4:Q584,""Sell_""&amp;Q585))))))"),"")</f>
        <v/>
      </c>
      <c r="V585" s="10" t="str">
        <f t="shared" si="11"/>
        <v/>
      </c>
      <c r="W585" s="68" t="str">
        <f t="shared" si="12"/>
        <v/>
      </c>
      <c r="X585" s="59" t="str">
        <f t="shared" si="13"/>
        <v/>
      </c>
      <c r="Y585" s="69" t="str">
        <f t="shared" si="14"/>
        <v/>
      </c>
      <c r="Z585" s="11"/>
    </row>
    <row r="586">
      <c r="A586" s="8"/>
      <c r="B586" s="56" t="str">
        <f t="shared" si="2"/>
        <v/>
      </c>
      <c r="C586" s="57"/>
      <c r="D586" s="10" t="str">
        <f>IFERROR(__xludf.DUMMYFUNCTION("IF(COUNTA(C586:C1350)=0,"""",IF(ISBLANK(C586),FALSE,IF(NOT(COUNTIF($AA$24:$AA$34,SUBSTITUTE(C586,""Sell_"",""""))),1,IF(REGEXMATCH(C586,""Sell_""),IF(COUNTIF(C$4:C586,SUBSTITUTE(C586,""Sell_"",""""))-COUNTIF(C$4:C585,C586)&lt;1,1),FALSE))))"),"")</f>
        <v/>
      </c>
      <c r="E586" s="59" t="str">
        <f t="array" ref="E586">IF(COUNTA(C586:C1350)=0,"",SUM((COUNTIF(C$4:C586,Upgrades!$B$3:$B$13)-COUNTIF(C$4:C586,"Sell_"&amp;Upgrades!$B$3:$B$13))*Upgrades!$D$3:$D$13))</f>
        <v/>
      </c>
      <c r="F586" s="66" t="str">
        <f>IFERROR(__xludf.DUMMYFUNCTION("IF(COUNTA(C586:C1350)=0,"""",IF(REGEXMATCH(INDEX(FILTER(C$4:C586,C$4:C586&lt;&gt;""""),ROWS(FILTER(C$4:C586,C$4:C586&lt;&gt;""""))),""^Sell_""),INDEX(FILTER(F$4:F585,C$4:C585&lt;&gt;""""),ROWS(FILTER(C$4:C585,C$4:C585&lt;&gt;""""))),$AC$5+E586))"),"")</f>
        <v/>
      </c>
      <c r="G586" s="10" t="str">
        <f>IFERROR(__xludf.DUMMYFUNCTION("IF(COUNTA(C586:C1350)=0,"""",IF(C586="""",0,IF(REGEXMATCH(C586,""^Sell_""),-ROUNDDOWN(ROUNDUP(INDEX(Upgrades!$C$3:$C$13,MATCH(SUBSTITUTE(C586,""Sell_"",""""),Upgrades!$B$3:$B$13,0))*1.15^(COUNTIF(C$4:C585,SUBSTITUTE(C586,""Sell_"",""""))-COUNTIF(C$4:C585,"&amp;"""Sell_""&amp;SUBSTITUTE(C586,""Sell_"",""""))))/2),ROUNDUP(INDEX(Upgrades!$C$3:$C$13,MATCH(C586,Upgrades!$B$3:$B$13,0))*1.15^(COUNTIF(C$4:C585,C586)-COUNTIF(C$4:C585,""Sell_""&amp;C586))))))"),"")</f>
        <v/>
      </c>
      <c r="H586" s="10" t="str">
        <f t="shared" si="3"/>
        <v/>
      </c>
      <c r="I586" s="68" t="str">
        <f t="shared" si="4"/>
        <v/>
      </c>
      <c r="J586" s="59" t="str">
        <f t="shared" si="5"/>
        <v/>
      </c>
      <c r="K586" s="69" t="str">
        <f t="shared" si="6"/>
        <v/>
      </c>
      <c r="L586" s="60" t="str">
        <f t="shared" si="7"/>
        <v/>
      </c>
      <c r="M586" s="61" t="str">
        <f>IFERROR(__xludf.DUMMYFUNCTION("IFS(AND(COUNTA(C586:C1350)=0,COUNTA(Q586:Q1350)=0),"""",OR(AND(K586&gt;=1000000000,OR(Y586&gt;=1000000000,COUNTA(Q586:Q1350)=0)),OR(Y586&gt;=1000000000,AND(COUNTA(C586:C1350)=0,P$3=TRUE))),
ROUNDDOWN((AB$1-AC$1)*MAX(INDEX(T$4:T1350,MATCH(LARGE(FILTER(Y$4:Y1350,Y$4"&amp;":Y1350&lt;1000000000),1),Y$4:Y1350)),INDEX(F$4:F1350,MATCH(LARGE(FILTER(K$4:K1350,K$4:K1350&lt;1000000000),1),K$4:K1350)))),AND(K586&lt;1000000000,COUNTA(C586:C1350)&gt;0,P$3=FALSE),
ROUNDDOWN(INDEX(Y$4:Y1350,MATCH(LARGE(FILTER(W$4:W1350,W$4:W1350&lt;=I586),1),W$4:W1350"&amp;"))+(I586-LARGE(FILTER(W$4:W1350,W$4:W1350&lt;=I586),1))*INDEX(T$4:T1350,MATCH(LARGE(FILTER(W$4:W1350,W$4:W1350&lt;=I586),1),W$4:W1350))-K586),1,
ROUNDDOWN(Y586-INDEX(K$4:K1350,MATCH(LARGE(FILTER(I$4:I1350,I$4:I1350&lt;=W586),1),I$4:I1350))-(W586-LARGE(FILTER(I$4:I"&amp;"1350,I$4:I1350&lt;=W586),1))*INDEX(F$4:F1350,MATCH(LARGE(FILTER(I$4:I1350,I$4:I1350&lt;=W586),1),I$4:I1350))))"),"")</f>
        <v/>
      </c>
      <c r="N586" s="60" t="str">
        <f t="shared" si="8"/>
        <v/>
      </c>
      <c r="O586" s="61" t="str">
        <f t="shared" si="9"/>
        <v/>
      </c>
      <c r="P586" s="56" t="str">
        <f t="shared" si="10"/>
        <v/>
      </c>
      <c r="Q586" s="62"/>
      <c r="R586" s="10" t="str">
        <f>IFERROR(__xludf.DUMMYFUNCTION("IF(COUNTA(Q586:Q1350)=0,"""",IF(ISBLANK(Q586),FALSE,IF(NOT(COUNTIF($AA$24:$AA$34,SUBSTITUTE(Q586,""Sell_"",""""))),1,IF(REGEXMATCH(Q586,""Sell_""),IF(COUNTIF(Q$4:Q586,SUBSTITUTE(Q586,""Sell_"",""""))-COUNTIF(Q$4:Q585,Q586)&lt;1,1),FALSE))))"),"")</f>
        <v/>
      </c>
      <c r="S586" s="59" t="str">
        <f t="array" ref="S586">IF(COUNTA(Q586:Q1350)=0,"",SUM((COUNTIF(Q$4:Q586,Upgrades!$B$3:$B$13)-COUNTIF(Q$4:Q586,"Sell_"&amp;Upgrades!$B$3:$B$13))*Upgrades!$D$3:$D$13))</f>
        <v/>
      </c>
      <c r="T586" s="66" t="str">
        <f>IFERROR(__xludf.DUMMYFUNCTION("IF(COUNTA(Q586:Q1350)=0,"""",IF(REGEXMATCH(INDEX(FILTER(Q$4:Q586,Q$4:Q586&lt;&gt;""""),ROWS(FILTER(Q$4:Q586,Q$4:Q586&lt;&gt;""""))),""^Sell_""),INDEX(FILTER(T$4:T585,Q$4:Q585&lt;&gt;""""),ROWS(FILTER(Q$4:Q585,Q$4:Q585&lt;&gt;""""))),$AD$5+S586))"),"")</f>
        <v/>
      </c>
      <c r="U586" s="10" t="str">
        <f>IFERROR(__xludf.DUMMYFUNCTION("IF(COUNTA(Q586:Q1350)=0,"""",IF(Q586="""",0,IF(REGEXMATCH(Q586,""^Sell_""),-ROUNDDOWN(ROUNDUP(INDEX(Upgrades!$C$3:$C$13,MATCH(SUBSTITUTE(Q586,""Sell_"",""""),Upgrades!$B$3:$B$13,0))*1.15^(COUNTIF(Q$4:Q585,SUBSTITUTE(Q586,""Sell_"",""""))-COUNTIF(Q$4:Q585,"&amp;"""Sell_""&amp;SUBSTITUTE(Q586,""Sell_"",""""))))/2),ROUNDUP(INDEX(Upgrades!$C$3:$C$13,MATCH(Q586,Upgrades!$B$3:$B$13,0))*1.15^(COUNTIF(Q$4:Q585,Q586)-COUNTIF(Q$4:Q585,""Sell_""&amp;Q586))))))"),"")</f>
        <v/>
      </c>
      <c r="V586" s="10" t="str">
        <f t="shared" si="11"/>
        <v/>
      </c>
      <c r="W586" s="68" t="str">
        <f t="shared" si="12"/>
        <v/>
      </c>
      <c r="X586" s="59" t="str">
        <f t="shared" si="13"/>
        <v/>
      </c>
      <c r="Y586" s="69" t="str">
        <f t="shared" si="14"/>
        <v/>
      </c>
      <c r="Z586" s="11"/>
    </row>
    <row r="587">
      <c r="A587" s="8"/>
      <c r="B587" s="56" t="str">
        <f t="shared" si="2"/>
        <v/>
      </c>
      <c r="C587" s="57"/>
      <c r="D587" s="10" t="str">
        <f>IFERROR(__xludf.DUMMYFUNCTION("IF(COUNTA(C587:C1350)=0,"""",IF(ISBLANK(C587),FALSE,IF(NOT(COUNTIF($AA$24:$AA$34,SUBSTITUTE(C587,""Sell_"",""""))),1,IF(REGEXMATCH(C587,""Sell_""),IF(COUNTIF(C$4:C587,SUBSTITUTE(C587,""Sell_"",""""))-COUNTIF(C$4:C586,C587)&lt;1,1),FALSE))))"),"")</f>
        <v/>
      </c>
      <c r="E587" s="59" t="str">
        <f t="array" ref="E587">IF(COUNTA(C587:C1350)=0,"",SUM((COUNTIF(C$4:C587,Upgrades!$B$3:$B$13)-COUNTIF(C$4:C587,"Sell_"&amp;Upgrades!$B$3:$B$13))*Upgrades!$D$3:$D$13))</f>
        <v/>
      </c>
      <c r="F587" s="66" t="str">
        <f>IFERROR(__xludf.DUMMYFUNCTION("IF(COUNTA(C587:C1350)=0,"""",IF(REGEXMATCH(INDEX(FILTER(C$4:C587,C$4:C587&lt;&gt;""""),ROWS(FILTER(C$4:C587,C$4:C587&lt;&gt;""""))),""^Sell_""),INDEX(FILTER(F$4:F586,C$4:C586&lt;&gt;""""),ROWS(FILTER(C$4:C586,C$4:C586&lt;&gt;""""))),$AC$5+E587))"),"")</f>
        <v/>
      </c>
      <c r="G587" s="10" t="str">
        <f>IFERROR(__xludf.DUMMYFUNCTION("IF(COUNTA(C587:C1350)=0,"""",IF(C587="""",0,IF(REGEXMATCH(C587,""^Sell_""),-ROUNDDOWN(ROUNDUP(INDEX(Upgrades!$C$3:$C$13,MATCH(SUBSTITUTE(C587,""Sell_"",""""),Upgrades!$B$3:$B$13,0))*1.15^(COUNTIF(C$4:C586,SUBSTITUTE(C587,""Sell_"",""""))-COUNTIF(C$4:C586,"&amp;"""Sell_""&amp;SUBSTITUTE(C587,""Sell_"",""""))))/2),ROUNDUP(INDEX(Upgrades!$C$3:$C$13,MATCH(C587,Upgrades!$B$3:$B$13,0))*1.15^(COUNTIF(C$4:C586,C587)-COUNTIF(C$4:C586,""Sell_""&amp;C587))))))"),"")</f>
        <v/>
      </c>
      <c r="H587" s="10" t="str">
        <f t="shared" si="3"/>
        <v/>
      </c>
      <c r="I587" s="68" t="str">
        <f t="shared" si="4"/>
        <v/>
      </c>
      <c r="J587" s="59" t="str">
        <f t="shared" si="5"/>
        <v/>
      </c>
      <c r="K587" s="69" t="str">
        <f t="shared" si="6"/>
        <v/>
      </c>
      <c r="L587" s="60" t="str">
        <f t="shared" si="7"/>
        <v/>
      </c>
      <c r="M587" s="61" t="str">
        <f>IFERROR(__xludf.DUMMYFUNCTION("IFS(AND(COUNTA(C587:C1350)=0,COUNTA(Q587:Q1350)=0),"""",OR(AND(K587&gt;=1000000000,OR(Y587&gt;=1000000000,COUNTA(Q587:Q1350)=0)),OR(Y587&gt;=1000000000,AND(COUNTA(C587:C1350)=0,P$3=TRUE))),
ROUNDDOWN((AB$1-AC$1)*MAX(INDEX(T$4:T1350,MATCH(LARGE(FILTER(Y$4:Y1350,Y$4"&amp;":Y1350&lt;1000000000),1),Y$4:Y1350)),INDEX(F$4:F1350,MATCH(LARGE(FILTER(K$4:K1350,K$4:K1350&lt;1000000000),1),K$4:K1350)))),AND(K587&lt;1000000000,COUNTA(C587:C1350)&gt;0,P$3=FALSE),
ROUNDDOWN(INDEX(Y$4:Y1350,MATCH(LARGE(FILTER(W$4:W1350,W$4:W1350&lt;=I587),1),W$4:W1350"&amp;"))+(I587-LARGE(FILTER(W$4:W1350,W$4:W1350&lt;=I587),1))*INDEX(T$4:T1350,MATCH(LARGE(FILTER(W$4:W1350,W$4:W1350&lt;=I587),1),W$4:W1350))-K587),1,
ROUNDDOWN(Y587-INDEX(K$4:K1350,MATCH(LARGE(FILTER(I$4:I1350,I$4:I1350&lt;=W587),1),I$4:I1350))-(W587-LARGE(FILTER(I$4:I"&amp;"1350,I$4:I1350&lt;=W587),1))*INDEX(F$4:F1350,MATCH(LARGE(FILTER(I$4:I1350,I$4:I1350&lt;=W587),1),I$4:I1350))))"),"")</f>
        <v/>
      </c>
      <c r="N587" s="60" t="str">
        <f t="shared" si="8"/>
        <v/>
      </c>
      <c r="O587" s="61" t="str">
        <f t="shared" si="9"/>
        <v/>
      </c>
      <c r="P587" s="56" t="str">
        <f t="shared" si="10"/>
        <v/>
      </c>
      <c r="Q587" s="62"/>
      <c r="R587" s="10" t="str">
        <f>IFERROR(__xludf.DUMMYFUNCTION("IF(COUNTA(Q587:Q1350)=0,"""",IF(ISBLANK(Q587),FALSE,IF(NOT(COUNTIF($AA$24:$AA$34,SUBSTITUTE(Q587,""Sell_"",""""))),1,IF(REGEXMATCH(Q587,""Sell_""),IF(COUNTIF(Q$4:Q587,SUBSTITUTE(Q587,""Sell_"",""""))-COUNTIF(Q$4:Q586,Q587)&lt;1,1),FALSE))))"),"")</f>
        <v/>
      </c>
      <c r="S587" s="59" t="str">
        <f t="array" ref="S587">IF(COUNTA(Q587:Q1350)=0,"",SUM((COUNTIF(Q$4:Q587,Upgrades!$B$3:$B$13)-COUNTIF(Q$4:Q587,"Sell_"&amp;Upgrades!$B$3:$B$13))*Upgrades!$D$3:$D$13))</f>
        <v/>
      </c>
      <c r="T587" s="66" t="str">
        <f>IFERROR(__xludf.DUMMYFUNCTION("IF(COUNTA(Q587:Q1350)=0,"""",IF(REGEXMATCH(INDEX(FILTER(Q$4:Q587,Q$4:Q587&lt;&gt;""""),ROWS(FILTER(Q$4:Q587,Q$4:Q587&lt;&gt;""""))),""^Sell_""),INDEX(FILTER(T$4:T586,Q$4:Q586&lt;&gt;""""),ROWS(FILTER(Q$4:Q586,Q$4:Q586&lt;&gt;""""))),$AD$5+S587))"),"")</f>
        <v/>
      </c>
      <c r="U587" s="10" t="str">
        <f>IFERROR(__xludf.DUMMYFUNCTION("IF(COUNTA(Q587:Q1350)=0,"""",IF(Q587="""",0,IF(REGEXMATCH(Q587,""^Sell_""),-ROUNDDOWN(ROUNDUP(INDEX(Upgrades!$C$3:$C$13,MATCH(SUBSTITUTE(Q587,""Sell_"",""""),Upgrades!$B$3:$B$13,0))*1.15^(COUNTIF(Q$4:Q586,SUBSTITUTE(Q587,""Sell_"",""""))-COUNTIF(Q$4:Q586,"&amp;"""Sell_""&amp;SUBSTITUTE(Q587,""Sell_"",""""))))/2),ROUNDUP(INDEX(Upgrades!$C$3:$C$13,MATCH(Q587,Upgrades!$B$3:$B$13,0))*1.15^(COUNTIF(Q$4:Q586,Q587)-COUNTIF(Q$4:Q586,""Sell_""&amp;Q587))))))"),"")</f>
        <v/>
      </c>
      <c r="V587" s="10" t="str">
        <f t="shared" si="11"/>
        <v/>
      </c>
      <c r="W587" s="68" t="str">
        <f t="shared" si="12"/>
        <v/>
      </c>
      <c r="X587" s="59" t="str">
        <f t="shared" si="13"/>
        <v/>
      </c>
      <c r="Y587" s="69" t="str">
        <f t="shared" si="14"/>
        <v/>
      </c>
      <c r="Z587" s="11"/>
    </row>
    <row r="588">
      <c r="A588" s="8"/>
      <c r="B588" s="56" t="str">
        <f t="shared" si="2"/>
        <v/>
      </c>
      <c r="C588" s="57"/>
      <c r="D588" s="10" t="str">
        <f>IFERROR(__xludf.DUMMYFUNCTION("IF(COUNTA(C588:C1350)=0,"""",IF(ISBLANK(C588),FALSE,IF(NOT(COUNTIF($AA$24:$AA$34,SUBSTITUTE(C588,""Sell_"",""""))),1,IF(REGEXMATCH(C588,""Sell_""),IF(COUNTIF(C$4:C588,SUBSTITUTE(C588,""Sell_"",""""))-COUNTIF(C$4:C587,C588)&lt;1,1),FALSE))))"),"")</f>
        <v/>
      </c>
      <c r="E588" s="59" t="str">
        <f t="array" ref="E588">IF(COUNTA(C588:C1350)=0,"",SUM((COUNTIF(C$4:C588,Upgrades!$B$3:$B$13)-COUNTIF(C$4:C588,"Sell_"&amp;Upgrades!$B$3:$B$13))*Upgrades!$D$3:$D$13))</f>
        <v/>
      </c>
      <c r="F588" s="66" t="str">
        <f>IFERROR(__xludf.DUMMYFUNCTION("IF(COUNTA(C588:C1350)=0,"""",IF(REGEXMATCH(INDEX(FILTER(C$4:C588,C$4:C588&lt;&gt;""""),ROWS(FILTER(C$4:C588,C$4:C588&lt;&gt;""""))),""^Sell_""),INDEX(FILTER(F$4:F587,C$4:C587&lt;&gt;""""),ROWS(FILTER(C$4:C587,C$4:C587&lt;&gt;""""))),$AC$5+E588))"),"")</f>
        <v/>
      </c>
      <c r="G588" s="10" t="str">
        <f>IFERROR(__xludf.DUMMYFUNCTION("IF(COUNTA(C588:C1350)=0,"""",IF(C588="""",0,IF(REGEXMATCH(C588,""^Sell_""),-ROUNDDOWN(ROUNDUP(INDEX(Upgrades!$C$3:$C$13,MATCH(SUBSTITUTE(C588,""Sell_"",""""),Upgrades!$B$3:$B$13,0))*1.15^(COUNTIF(C$4:C587,SUBSTITUTE(C588,""Sell_"",""""))-COUNTIF(C$4:C587,"&amp;"""Sell_""&amp;SUBSTITUTE(C588,""Sell_"",""""))))/2),ROUNDUP(INDEX(Upgrades!$C$3:$C$13,MATCH(C588,Upgrades!$B$3:$B$13,0))*1.15^(COUNTIF(C$4:C587,C588)-COUNTIF(C$4:C587,""Sell_""&amp;C588))))))"),"")</f>
        <v/>
      </c>
      <c r="H588" s="10" t="str">
        <f t="shared" si="3"/>
        <v/>
      </c>
      <c r="I588" s="68" t="str">
        <f t="shared" si="4"/>
        <v/>
      </c>
      <c r="J588" s="59" t="str">
        <f t="shared" si="5"/>
        <v/>
      </c>
      <c r="K588" s="69" t="str">
        <f t="shared" si="6"/>
        <v/>
      </c>
      <c r="L588" s="60" t="str">
        <f t="shared" si="7"/>
        <v/>
      </c>
      <c r="M588" s="61" t="str">
        <f>IFERROR(__xludf.DUMMYFUNCTION("IFS(AND(COUNTA(C588:C1350)=0,COUNTA(Q588:Q1350)=0),"""",OR(AND(K588&gt;=1000000000,OR(Y588&gt;=1000000000,COUNTA(Q588:Q1350)=0)),OR(Y588&gt;=1000000000,AND(COUNTA(C588:C1350)=0,P$3=TRUE))),
ROUNDDOWN((AB$1-AC$1)*MAX(INDEX(T$4:T1350,MATCH(LARGE(FILTER(Y$4:Y1350,Y$4"&amp;":Y1350&lt;1000000000),1),Y$4:Y1350)),INDEX(F$4:F1350,MATCH(LARGE(FILTER(K$4:K1350,K$4:K1350&lt;1000000000),1),K$4:K1350)))),AND(K588&lt;1000000000,COUNTA(C588:C1350)&gt;0,P$3=FALSE),
ROUNDDOWN(INDEX(Y$4:Y1350,MATCH(LARGE(FILTER(W$4:W1350,W$4:W1350&lt;=I588),1),W$4:W1350"&amp;"))+(I588-LARGE(FILTER(W$4:W1350,W$4:W1350&lt;=I588),1))*INDEX(T$4:T1350,MATCH(LARGE(FILTER(W$4:W1350,W$4:W1350&lt;=I588),1),W$4:W1350))-K588),1,
ROUNDDOWN(Y588-INDEX(K$4:K1350,MATCH(LARGE(FILTER(I$4:I1350,I$4:I1350&lt;=W588),1),I$4:I1350))-(W588-LARGE(FILTER(I$4:I"&amp;"1350,I$4:I1350&lt;=W588),1))*INDEX(F$4:F1350,MATCH(LARGE(FILTER(I$4:I1350,I$4:I1350&lt;=W588),1),I$4:I1350))))"),"")</f>
        <v/>
      </c>
      <c r="N588" s="60" t="str">
        <f t="shared" si="8"/>
        <v/>
      </c>
      <c r="O588" s="61" t="str">
        <f t="shared" si="9"/>
        <v/>
      </c>
      <c r="P588" s="56" t="str">
        <f t="shared" si="10"/>
        <v/>
      </c>
      <c r="Q588" s="62"/>
      <c r="R588" s="10" t="str">
        <f>IFERROR(__xludf.DUMMYFUNCTION("IF(COUNTA(Q588:Q1350)=0,"""",IF(ISBLANK(Q588),FALSE,IF(NOT(COUNTIF($AA$24:$AA$34,SUBSTITUTE(Q588,""Sell_"",""""))),1,IF(REGEXMATCH(Q588,""Sell_""),IF(COUNTIF(Q$4:Q588,SUBSTITUTE(Q588,""Sell_"",""""))-COUNTIF(Q$4:Q587,Q588)&lt;1,1),FALSE))))"),"")</f>
        <v/>
      </c>
      <c r="S588" s="59" t="str">
        <f t="array" ref="S588">IF(COUNTA(Q588:Q1350)=0,"",SUM((COUNTIF(Q$4:Q588,Upgrades!$B$3:$B$13)-COUNTIF(Q$4:Q588,"Sell_"&amp;Upgrades!$B$3:$B$13))*Upgrades!$D$3:$D$13))</f>
        <v/>
      </c>
      <c r="T588" s="66" t="str">
        <f>IFERROR(__xludf.DUMMYFUNCTION("IF(COUNTA(Q588:Q1350)=0,"""",IF(REGEXMATCH(INDEX(FILTER(Q$4:Q588,Q$4:Q588&lt;&gt;""""),ROWS(FILTER(Q$4:Q588,Q$4:Q588&lt;&gt;""""))),""^Sell_""),INDEX(FILTER(T$4:T587,Q$4:Q587&lt;&gt;""""),ROWS(FILTER(Q$4:Q587,Q$4:Q587&lt;&gt;""""))),$AD$5+S588))"),"")</f>
        <v/>
      </c>
      <c r="U588" s="10" t="str">
        <f>IFERROR(__xludf.DUMMYFUNCTION("IF(COUNTA(Q588:Q1350)=0,"""",IF(Q588="""",0,IF(REGEXMATCH(Q588,""^Sell_""),-ROUNDDOWN(ROUNDUP(INDEX(Upgrades!$C$3:$C$13,MATCH(SUBSTITUTE(Q588,""Sell_"",""""),Upgrades!$B$3:$B$13,0))*1.15^(COUNTIF(Q$4:Q587,SUBSTITUTE(Q588,""Sell_"",""""))-COUNTIF(Q$4:Q587,"&amp;"""Sell_""&amp;SUBSTITUTE(Q588,""Sell_"",""""))))/2),ROUNDUP(INDEX(Upgrades!$C$3:$C$13,MATCH(Q588,Upgrades!$B$3:$B$13,0))*1.15^(COUNTIF(Q$4:Q587,Q588)-COUNTIF(Q$4:Q587,""Sell_""&amp;Q588))))))"),"")</f>
        <v/>
      </c>
      <c r="V588" s="10" t="str">
        <f t="shared" si="11"/>
        <v/>
      </c>
      <c r="W588" s="68" t="str">
        <f t="shared" si="12"/>
        <v/>
      </c>
      <c r="X588" s="59" t="str">
        <f t="shared" si="13"/>
        <v/>
      </c>
      <c r="Y588" s="69" t="str">
        <f t="shared" si="14"/>
        <v/>
      </c>
      <c r="Z588" s="11"/>
    </row>
    <row r="589">
      <c r="A589" s="8"/>
      <c r="B589" s="56" t="str">
        <f t="shared" si="2"/>
        <v/>
      </c>
      <c r="C589" s="57"/>
      <c r="D589" s="10" t="str">
        <f>IFERROR(__xludf.DUMMYFUNCTION("IF(COUNTA(C589:C1350)=0,"""",IF(ISBLANK(C589),FALSE,IF(NOT(COUNTIF($AA$24:$AA$34,SUBSTITUTE(C589,""Sell_"",""""))),1,IF(REGEXMATCH(C589,""Sell_""),IF(COUNTIF(C$4:C589,SUBSTITUTE(C589,""Sell_"",""""))-COUNTIF(C$4:C588,C589)&lt;1,1),FALSE))))"),"")</f>
        <v/>
      </c>
      <c r="E589" s="59" t="str">
        <f t="array" ref="E589">IF(COUNTA(C589:C1350)=0,"",SUM((COUNTIF(C$4:C589,Upgrades!$B$3:$B$13)-COUNTIF(C$4:C589,"Sell_"&amp;Upgrades!$B$3:$B$13))*Upgrades!$D$3:$D$13))</f>
        <v/>
      </c>
      <c r="F589" s="66" t="str">
        <f>IFERROR(__xludf.DUMMYFUNCTION("IF(COUNTA(C589:C1350)=0,"""",IF(REGEXMATCH(INDEX(FILTER(C$4:C589,C$4:C589&lt;&gt;""""),ROWS(FILTER(C$4:C589,C$4:C589&lt;&gt;""""))),""^Sell_""),INDEX(FILTER(F$4:F588,C$4:C588&lt;&gt;""""),ROWS(FILTER(C$4:C588,C$4:C588&lt;&gt;""""))),$AC$5+E589))"),"")</f>
        <v/>
      </c>
      <c r="G589" s="10" t="str">
        <f>IFERROR(__xludf.DUMMYFUNCTION("IF(COUNTA(C589:C1350)=0,"""",IF(C589="""",0,IF(REGEXMATCH(C589,""^Sell_""),-ROUNDDOWN(ROUNDUP(INDEX(Upgrades!$C$3:$C$13,MATCH(SUBSTITUTE(C589,""Sell_"",""""),Upgrades!$B$3:$B$13,0))*1.15^(COUNTIF(C$4:C588,SUBSTITUTE(C589,""Sell_"",""""))-COUNTIF(C$4:C588,"&amp;"""Sell_""&amp;SUBSTITUTE(C589,""Sell_"",""""))))/2),ROUNDUP(INDEX(Upgrades!$C$3:$C$13,MATCH(C589,Upgrades!$B$3:$B$13,0))*1.15^(COUNTIF(C$4:C588,C589)-COUNTIF(C$4:C588,""Sell_""&amp;C589))))))"),"")</f>
        <v/>
      </c>
      <c r="H589" s="10" t="str">
        <f t="shared" si="3"/>
        <v/>
      </c>
      <c r="I589" s="68" t="str">
        <f t="shared" si="4"/>
        <v/>
      </c>
      <c r="J589" s="59" t="str">
        <f t="shared" si="5"/>
        <v/>
      </c>
      <c r="K589" s="69" t="str">
        <f t="shared" si="6"/>
        <v/>
      </c>
      <c r="L589" s="60" t="str">
        <f t="shared" si="7"/>
        <v/>
      </c>
      <c r="M589" s="61" t="str">
        <f>IFERROR(__xludf.DUMMYFUNCTION("IFS(AND(COUNTA(C589:C1350)=0,COUNTA(Q589:Q1350)=0),"""",OR(AND(K589&gt;=1000000000,OR(Y589&gt;=1000000000,COUNTA(Q589:Q1350)=0)),OR(Y589&gt;=1000000000,AND(COUNTA(C589:C1350)=0,P$3=TRUE))),
ROUNDDOWN((AB$1-AC$1)*MAX(INDEX(T$4:T1350,MATCH(LARGE(FILTER(Y$4:Y1350,Y$4"&amp;":Y1350&lt;1000000000),1),Y$4:Y1350)),INDEX(F$4:F1350,MATCH(LARGE(FILTER(K$4:K1350,K$4:K1350&lt;1000000000),1),K$4:K1350)))),AND(K589&lt;1000000000,COUNTA(C589:C1350)&gt;0,P$3=FALSE),
ROUNDDOWN(INDEX(Y$4:Y1350,MATCH(LARGE(FILTER(W$4:W1350,W$4:W1350&lt;=I589),1),W$4:W1350"&amp;"))+(I589-LARGE(FILTER(W$4:W1350,W$4:W1350&lt;=I589),1))*INDEX(T$4:T1350,MATCH(LARGE(FILTER(W$4:W1350,W$4:W1350&lt;=I589),1),W$4:W1350))-K589),1,
ROUNDDOWN(Y589-INDEX(K$4:K1350,MATCH(LARGE(FILTER(I$4:I1350,I$4:I1350&lt;=W589),1),I$4:I1350))-(W589-LARGE(FILTER(I$4:I"&amp;"1350,I$4:I1350&lt;=W589),1))*INDEX(F$4:F1350,MATCH(LARGE(FILTER(I$4:I1350,I$4:I1350&lt;=W589),1),I$4:I1350))))"),"")</f>
        <v/>
      </c>
      <c r="N589" s="60" t="str">
        <f t="shared" si="8"/>
        <v/>
      </c>
      <c r="O589" s="61" t="str">
        <f t="shared" si="9"/>
        <v/>
      </c>
      <c r="P589" s="56" t="str">
        <f t="shared" si="10"/>
        <v/>
      </c>
      <c r="Q589" s="62"/>
      <c r="R589" s="10" t="str">
        <f>IFERROR(__xludf.DUMMYFUNCTION("IF(COUNTA(Q589:Q1350)=0,"""",IF(ISBLANK(Q589),FALSE,IF(NOT(COUNTIF($AA$24:$AA$34,SUBSTITUTE(Q589,""Sell_"",""""))),1,IF(REGEXMATCH(Q589,""Sell_""),IF(COUNTIF(Q$4:Q589,SUBSTITUTE(Q589,""Sell_"",""""))-COUNTIF(Q$4:Q588,Q589)&lt;1,1),FALSE))))"),"")</f>
        <v/>
      </c>
      <c r="S589" s="59" t="str">
        <f t="array" ref="S589">IF(COUNTA(Q589:Q1350)=0,"",SUM((COUNTIF(Q$4:Q589,Upgrades!$B$3:$B$13)-COUNTIF(Q$4:Q589,"Sell_"&amp;Upgrades!$B$3:$B$13))*Upgrades!$D$3:$D$13))</f>
        <v/>
      </c>
      <c r="T589" s="66" t="str">
        <f>IFERROR(__xludf.DUMMYFUNCTION("IF(COUNTA(Q589:Q1350)=0,"""",IF(REGEXMATCH(INDEX(FILTER(Q$4:Q589,Q$4:Q589&lt;&gt;""""),ROWS(FILTER(Q$4:Q589,Q$4:Q589&lt;&gt;""""))),""^Sell_""),INDEX(FILTER(T$4:T588,Q$4:Q588&lt;&gt;""""),ROWS(FILTER(Q$4:Q588,Q$4:Q588&lt;&gt;""""))),$AD$5+S589))"),"")</f>
        <v/>
      </c>
      <c r="U589" s="10" t="str">
        <f>IFERROR(__xludf.DUMMYFUNCTION("IF(COUNTA(Q589:Q1350)=0,"""",IF(Q589="""",0,IF(REGEXMATCH(Q589,""^Sell_""),-ROUNDDOWN(ROUNDUP(INDEX(Upgrades!$C$3:$C$13,MATCH(SUBSTITUTE(Q589,""Sell_"",""""),Upgrades!$B$3:$B$13,0))*1.15^(COUNTIF(Q$4:Q588,SUBSTITUTE(Q589,""Sell_"",""""))-COUNTIF(Q$4:Q588,"&amp;"""Sell_""&amp;SUBSTITUTE(Q589,""Sell_"",""""))))/2),ROUNDUP(INDEX(Upgrades!$C$3:$C$13,MATCH(Q589,Upgrades!$B$3:$B$13,0))*1.15^(COUNTIF(Q$4:Q588,Q589)-COUNTIF(Q$4:Q588,""Sell_""&amp;Q589))))))"),"")</f>
        <v/>
      </c>
      <c r="V589" s="10" t="str">
        <f t="shared" si="11"/>
        <v/>
      </c>
      <c r="W589" s="68" t="str">
        <f t="shared" si="12"/>
        <v/>
      </c>
      <c r="X589" s="59" t="str">
        <f t="shared" si="13"/>
        <v/>
      </c>
      <c r="Y589" s="69" t="str">
        <f t="shared" si="14"/>
        <v/>
      </c>
      <c r="Z589" s="11"/>
    </row>
    <row r="590">
      <c r="A590" s="8"/>
      <c r="B590" s="56" t="str">
        <f t="shared" si="2"/>
        <v/>
      </c>
      <c r="C590" s="57"/>
      <c r="D590" s="10" t="str">
        <f>IFERROR(__xludf.DUMMYFUNCTION("IF(COUNTA(C590:C1350)=0,"""",IF(ISBLANK(C590),FALSE,IF(NOT(COUNTIF($AA$24:$AA$34,SUBSTITUTE(C590,""Sell_"",""""))),1,IF(REGEXMATCH(C590,""Sell_""),IF(COUNTIF(C$4:C590,SUBSTITUTE(C590,""Sell_"",""""))-COUNTIF(C$4:C589,C590)&lt;1,1),FALSE))))"),"")</f>
        <v/>
      </c>
      <c r="E590" s="59" t="str">
        <f t="array" ref="E590">IF(COUNTA(C590:C1350)=0,"",SUM((COUNTIF(C$4:C590,Upgrades!$B$3:$B$13)-COUNTIF(C$4:C590,"Sell_"&amp;Upgrades!$B$3:$B$13))*Upgrades!$D$3:$D$13))</f>
        <v/>
      </c>
      <c r="F590" s="66" t="str">
        <f>IFERROR(__xludf.DUMMYFUNCTION("IF(COUNTA(C590:C1350)=0,"""",IF(REGEXMATCH(INDEX(FILTER(C$4:C590,C$4:C590&lt;&gt;""""),ROWS(FILTER(C$4:C590,C$4:C590&lt;&gt;""""))),""^Sell_""),INDEX(FILTER(F$4:F589,C$4:C589&lt;&gt;""""),ROWS(FILTER(C$4:C589,C$4:C589&lt;&gt;""""))),$AC$5+E590))"),"")</f>
        <v/>
      </c>
      <c r="G590" s="10" t="str">
        <f>IFERROR(__xludf.DUMMYFUNCTION("IF(COUNTA(C590:C1350)=0,"""",IF(C590="""",0,IF(REGEXMATCH(C590,""^Sell_""),-ROUNDDOWN(ROUNDUP(INDEX(Upgrades!$C$3:$C$13,MATCH(SUBSTITUTE(C590,""Sell_"",""""),Upgrades!$B$3:$B$13,0))*1.15^(COUNTIF(C$4:C589,SUBSTITUTE(C590,""Sell_"",""""))-COUNTIF(C$4:C589,"&amp;"""Sell_""&amp;SUBSTITUTE(C590,""Sell_"",""""))))/2),ROUNDUP(INDEX(Upgrades!$C$3:$C$13,MATCH(C590,Upgrades!$B$3:$B$13,0))*1.15^(COUNTIF(C$4:C589,C590)-COUNTIF(C$4:C589,""Sell_""&amp;C590))))))"),"")</f>
        <v/>
      </c>
      <c r="H590" s="10" t="str">
        <f t="shared" si="3"/>
        <v/>
      </c>
      <c r="I590" s="68" t="str">
        <f t="shared" si="4"/>
        <v/>
      </c>
      <c r="J590" s="59" t="str">
        <f t="shared" si="5"/>
        <v/>
      </c>
      <c r="K590" s="69" t="str">
        <f t="shared" si="6"/>
        <v/>
      </c>
      <c r="L590" s="60" t="str">
        <f t="shared" si="7"/>
        <v/>
      </c>
      <c r="M590" s="61" t="str">
        <f>IFERROR(__xludf.DUMMYFUNCTION("IFS(AND(COUNTA(C590:C1350)=0,COUNTA(Q590:Q1350)=0),"""",OR(AND(K590&gt;=1000000000,OR(Y590&gt;=1000000000,COUNTA(Q590:Q1350)=0)),OR(Y590&gt;=1000000000,AND(COUNTA(C590:C1350)=0,P$3=TRUE))),
ROUNDDOWN((AB$1-AC$1)*MAX(INDEX(T$4:T1350,MATCH(LARGE(FILTER(Y$4:Y1350,Y$4"&amp;":Y1350&lt;1000000000),1),Y$4:Y1350)),INDEX(F$4:F1350,MATCH(LARGE(FILTER(K$4:K1350,K$4:K1350&lt;1000000000),1),K$4:K1350)))),AND(K590&lt;1000000000,COUNTA(C590:C1350)&gt;0,P$3=FALSE),
ROUNDDOWN(INDEX(Y$4:Y1350,MATCH(LARGE(FILTER(W$4:W1350,W$4:W1350&lt;=I590),1),W$4:W1350"&amp;"))+(I590-LARGE(FILTER(W$4:W1350,W$4:W1350&lt;=I590),1))*INDEX(T$4:T1350,MATCH(LARGE(FILTER(W$4:W1350,W$4:W1350&lt;=I590),1),W$4:W1350))-K590),1,
ROUNDDOWN(Y590-INDEX(K$4:K1350,MATCH(LARGE(FILTER(I$4:I1350,I$4:I1350&lt;=W590),1),I$4:I1350))-(W590-LARGE(FILTER(I$4:I"&amp;"1350,I$4:I1350&lt;=W590),1))*INDEX(F$4:F1350,MATCH(LARGE(FILTER(I$4:I1350,I$4:I1350&lt;=W590),1),I$4:I1350))))"),"")</f>
        <v/>
      </c>
      <c r="N590" s="60" t="str">
        <f t="shared" si="8"/>
        <v/>
      </c>
      <c r="O590" s="61" t="str">
        <f t="shared" si="9"/>
        <v/>
      </c>
      <c r="P590" s="56" t="str">
        <f t="shared" si="10"/>
        <v/>
      </c>
      <c r="Q590" s="62"/>
      <c r="R590" s="10" t="str">
        <f>IFERROR(__xludf.DUMMYFUNCTION("IF(COUNTA(Q590:Q1350)=0,"""",IF(ISBLANK(Q590),FALSE,IF(NOT(COUNTIF($AA$24:$AA$34,SUBSTITUTE(Q590,""Sell_"",""""))),1,IF(REGEXMATCH(Q590,""Sell_""),IF(COUNTIF(Q$4:Q590,SUBSTITUTE(Q590,""Sell_"",""""))-COUNTIF(Q$4:Q589,Q590)&lt;1,1),FALSE))))"),"")</f>
        <v/>
      </c>
      <c r="S590" s="59" t="str">
        <f t="array" ref="S590">IF(COUNTA(Q590:Q1350)=0,"",SUM((COUNTIF(Q$4:Q590,Upgrades!$B$3:$B$13)-COUNTIF(Q$4:Q590,"Sell_"&amp;Upgrades!$B$3:$B$13))*Upgrades!$D$3:$D$13))</f>
        <v/>
      </c>
      <c r="T590" s="66" t="str">
        <f>IFERROR(__xludf.DUMMYFUNCTION("IF(COUNTA(Q590:Q1350)=0,"""",IF(REGEXMATCH(INDEX(FILTER(Q$4:Q590,Q$4:Q590&lt;&gt;""""),ROWS(FILTER(Q$4:Q590,Q$4:Q590&lt;&gt;""""))),""^Sell_""),INDEX(FILTER(T$4:T589,Q$4:Q589&lt;&gt;""""),ROWS(FILTER(Q$4:Q589,Q$4:Q589&lt;&gt;""""))),$AD$5+S590))"),"")</f>
        <v/>
      </c>
      <c r="U590" s="10" t="str">
        <f>IFERROR(__xludf.DUMMYFUNCTION("IF(COUNTA(Q590:Q1350)=0,"""",IF(Q590="""",0,IF(REGEXMATCH(Q590,""^Sell_""),-ROUNDDOWN(ROUNDUP(INDEX(Upgrades!$C$3:$C$13,MATCH(SUBSTITUTE(Q590,""Sell_"",""""),Upgrades!$B$3:$B$13,0))*1.15^(COUNTIF(Q$4:Q589,SUBSTITUTE(Q590,""Sell_"",""""))-COUNTIF(Q$4:Q589,"&amp;"""Sell_""&amp;SUBSTITUTE(Q590,""Sell_"",""""))))/2),ROUNDUP(INDEX(Upgrades!$C$3:$C$13,MATCH(Q590,Upgrades!$B$3:$B$13,0))*1.15^(COUNTIF(Q$4:Q589,Q590)-COUNTIF(Q$4:Q589,""Sell_""&amp;Q590))))))"),"")</f>
        <v/>
      </c>
      <c r="V590" s="10" t="str">
        <f t="shared" si="11"/>
        <v/>
      </c>
      <c r="W590" s="68" t="str">
        <f t="shared" si="12"/>
        <v/>
      </c>
      <c r="X590" s="59" t="str">
        <f t="shared" si="13"/>
        <v/>
      </c>
      <c r="Y590" s="69" t="str">
        <f t="shared" si="14"/>
        <v/>
      </c>
      <c r="Z590" s="11"/>
    </row>
    <row r="591">
      <c r="A591" s="8"/>
      <c r="B591" s="56" t="str">
        <f t="shared" si="2"/>
        <v/>
      </c>
      <c r="C591" s="57"/>
      <c r="D591" s="10" t="str">
        <f>IFERROR(__xludf.DUMMYFUNCTION("IF(COUNTA(C591:C1350)=0,"""",IF(ISBLANK(C591),FALSE,IF(NOT(COUNTIF($AA$24:$AA$34,SUBSTITUTE(C591,""Sell_"",""""))),1,IF(REGEXMATCH(C591,""Sell_""),IF(COUNTIF(C$4:C591,SUBSTITUTE(C591,""Sell_"",""""))-COUNTIF(C$4:C590,C591)&lt;1,1),FALSE))))"),"")</f>
        <v/>
      </c>
      <c r="E591" s="59" t="str">
        <f t="array" ref="E591">IF(COUNTA(C591:C1350)=0,"",SUM((COUNTIF(C$4:C591,Upgrades!$B$3:$B$13)-COUNTIF(C$4:C591,"Sell_"&amp;Upgrades!$B$3:$B$13))*Upgrades!$D$3:$D$13))</f>
        <v/>
      </c>
      <c r="F591" s="66" t="str">
        <f>IFERROR(__xludf.DUMMYFUNCTION("IF(COUNTA(C591:C1350)=0,"""",IF(REGEXMATCH(INDEX(FILTER(C$4:C591,C$4:C591&lt;&gt;""""),ROWS(FILTER(C$4:C591,C$4:C591&lt;&gt;""""))),""^Sell_""),INDEX(FILTER(F$4:F590,C$4:C590&lt;&gt;""""),ROWS(FILTER(C$4:C590,C$4:C590&lt;&gt;""""))),$AC$5+E591))"),"")</f>
        <v/>
      </c>
      <c r="G591" s="10" t="str">
        <f>IFERROR(__xludf.DUMMYFUNCTION("IF(COUNTA(C591:C1350)=0,"""",IF(C591="""",0,IF(REGEXMATCH(C591,""^Sell_""),-ROUNDDOWN(ROUNDUP(INDEX(Upgrades!$C$3:$C$13,MATCH(SUBSTITUTE(C591,""Sell_"",""""),Upgrades!$B$3:$B$13,0))*1.15^(COUNTIF(C$4:C590,SUBSTITUTE(C591,""Sell_"",""""))-COUNTIF(C$4:C590,"&amp;"""Sell_""&amp;SUBSTITUTE(C591,""Sell_"",""""))))/2),ROUNDUP(INDEX(Upgrades!$C$3:$C$13,MATCH(C591,Upgrades!$B$3:$B$13,0))*1.15^(COUNTIF(C$4:C590,C591)-COUNTIF(C$4:C590,""Sell_""&amp;C591))))))"),"")</f>
        <v/>
      </c>
      <c r="H591" s="10" t="str">
        <f t="shared" si="3"/>
        <v/>
      </c>
      <c r="I591" s="68" t="str">
        <f t="shared" si="4"/>
        <v/>
      </c>
      <c r="J591" s="59" t="str">
        <f t="shared" si="5"/>
        <v/>
      </c>
      <c r="K591" s="69" t="str">
        <f t="shared" si="6"/>
        <v/>
      </c>
      <c r="L591" s="60" t="str">
        <f t="shared" si="7"/>
        <v/>
      </c>
      <c r="M591" s="61" t="str">
        <f>IFERROR(__xludf.DUMMYFUNCTION("IFS(AND(COUNTA(C591:C1350)=0,COUNTA(Q591:Q1350)=0),"""",OR(AND(K591&gt;=1000000000,OR(Y591&gt;=1000000000,COUNTA(Q591:Q1350)=0)),OR(Y591&gt;=1000000000,AND(COUNTA(C591:C1350)=0,P$3=TRUE))),
ROUNDDOWN((AB$1-AC$1)*MAX(INDEX(T$4:T1350,MATCH(LARGE(FILTER(Y$4:Y1350,Y$4"&amp;":Y1350&lt;1000000000),1),Y$4:Y1350)),INDEX(F$4:F1350,MATCH(LARGE(FILTER(K$4:K1350,K$4:K1350&lt;1000000000),1),K$4:K1350)))),AND(K591&lt;1000000000,COUNTA(C591:C1350)&gt;0,P$3=FALSE),
ROUNDDOWN(INDEX(Y$4:Y1350,MATCH(LARGE(FILTER(W$4:W1350,W$4:W1350&lt;=I591),1),W$4:W1350"&amp;"))+(I591-LARGE(FILTER(W$4:W1350,W$4:W1350&lt;=I591),1))*INDEX(T$4:T1350,MATCH(LARGE(FILTER(W$4:W1350,W$4:W1350&lt;=I591),1),W$4:W1350))-K591),1,
ROUNDDOWN(Y591-INDEX(K$4:K1350,MATCH(LARGE(FILTER(I$4:I1350,I$4:I1350&lt;=W591),1),I$4:I1350))-(W591-LARGE(FILTER(I$4:I"&amp;"1350,I$4:I1350&lt;=W591),1))*INDEX(F$4:F1350,MATCH(LARGE(FILTER(I$4:I1350,I$4:I1350&lt;=W591),1),I$4:I1350))))"),"")</f>
        <v/>
      </c>
      <c r="N591" s="60" t="str">
        <f t="shared" si="8"/>
        <v/>
      </c>
      <c r="O591" s="61" t="str">
        <f t="shared" si="9"/>
        <v/>
      </c>
      <c r="P591" s="56" t="str">
        <f t="shared" si="10"/>
        <v/>
      </c>
      <c r="Q591" s="62"/>
      <c r="R591" s="10" t="str">
        <f>IFERROR(__xludf.DUMMYFUNCTION("IF(COUNTA(Q591:Q1350)=0,"""",IF(ISBLANK(Q591),FALSE,IF(NOT(COUNTIF($AA$24:$AA$34,SUBSTITUTE(Q591,""Sell_"",""""))),1,IF(REGEXMATCH(Q591,""Sell_""),IF(COUNTIF(Q$4:Q591,SUBSTITUTE(Q591,""Sell_"",""""))-COUNTIF(Q$4:Q590,Q591)&lt;1,1),FALSE))))"),"")</f>
        <v/>
      </c>
      <c r="S591" s="59" t="str">
        <f t="array" ref="S591">IF(COUNTA(Q591:Q1350)=0,"",SUM((COUNTIF(Q$4:Q591,Upgrades!$B$3:$B$13)-COUNTIF(Q$4:Q591,"Sell_"&amp;Upgrades!$B$3:$B$13))*Upgrades!$D$3:$D$13))</f>
        <v/>
      </c>
      <c r="T591" s="66" t="str">
        <f>IFERROR(__xludf.DUMMYFUNCTION("IF(COUNTA(Q591:Q1350)=0,"""",IF(REGEXMATCH(INDEX(FILTER(Q$4:Q591,Q$4:Q591&lt;&gt;""""),ROWS(FILTER(Q$4:Q591,Q$4:Q591&lt;&gt;""""))),""^Sell_""),INDEX(FILTER(T$4:T590,Q$4:Q590&lt;&gt;""""),ROWS(FILTER(Q$4:Q590,Q$4:Q590&lt;&gt;""""))),$AD$5+S591))"),"")</f>
        <v/>
      </c>
      <c r="U591" s="10" t="str">
        <f>IFERROR(__xludf.DUMMYFUNCTION("IF(COUNTA(Q591:Q1350)=0,"""",IF(Q591="""",0,IF(REGEXMATCH(Q591,""^Sell_""),-ROUNDDOWN(ROUNDUP(INDEX(Upgrades!$C$3:$C$13,MATCH(SUBSTITUTE(Q591,""Sell_"",""""),Upgrades!$B$3:$B$13,0))*1.15^(COUNTIF(Q$4:Q590,SUBSTITUTE(Q591,""Sell_"",""""))-COUNTIF(Q$4:Q590,"&amp;"""Sell_""&amp;SUBSTITUTE(Q591,""Sell_"",""""))))/2),ROUNDUP(INDEX(Upgrades!$C$3:$C$13,MATCH(Q591,Upgrades!$B$3:$B$13,0))*1.15^(COUNTIF(Q$4:Q590,Q591)-COUNTIF(Q$4:Q590,""Sell_""&amp;Q591))))))"),"")</f>
        <v/>
      </c>
      <c r="V591" s="10" t="str">
        <f t="shared" si="11"/>
        <v/>
      </c>
      <c r="W591" s="68" t="str">
        <f t="shared" si="12"/>
        <v/>
      </c>
      <c r="X591" s="59" t="str">
        <f t="shared" si="13"/>
        <v/>
      </c>
      <c r="Y591" s="69" t="str">
        <f t="shared" si="14"/>
        <v/>
      </c>
      <c r="Z591" s="11"/>
    </row>
    <row r="592">
      <c r="A592" s="8"/>
      <c r="B592" s="56" t="str">
        <f t="shared" si="2"/>
        <v/>
      </c>
      <c r="C592" s="57"/>
      <c r="D592" s="10" t="str">
        <f>IFERROR(__xludf.DUMMYFUNCTION("IF(COUNTA(C592:C1350)=0,"""",IF(ISBLANK(C592),FALSE,IF(NOT(COUNTIF($AA$24:$AA$34,SUBSTITUTE(C592,""Sell_"",""""))),1,IF(REGEXMATCH(C592,""Sell_""),IF(COUNTIF(C$4:C592,SUBSTITUTE(C592,""Sell_"",""""))-COUNTIF(C$4:C591,C592)&lt;1,1),FALSE))))"),"")</f>
        <v/>
      </c>
      <c r="E592" s="59" t="str">
        <f t="array" ref="E592">IF(COUNTA(C592:C1350)=0,"",SUM((COUNTIF(C$4:C592,Upgrades!$B$3:$B$13)-COUNTIF(C$4:C592,"Sell_"&amp;Upgrades!$B$3:$B$13))*Upgrades!$D$3:$D$13))</f>
        <v/>
      </c>
      <c r="F592" s="66" t="str">
        <f>IFERROR(__xludf.DUMMYFUNCTION("IF(COUNTA(C592:C1350)=0,"""",IF(REGEXMATCH(INDEX(FILTER(C$4:C592,C$4:C592&lt;&gt;""""),ROWS(FILTER(C$4:C592,C$4:C592&lt;&gt;""""))),""^Sell_""),INDEX(FILTER(F$4:F591,C$4:C591&lt;&gt;""""),ROWS(FILTER(C$4:C591,C$4:C591&lt;&gt;""""))),$AC$5+E592))"),"")</f>
        <v/>
      </c>
      <c r="G592" s="10" t="str">
        <f>IFERROR(__xludf.DUMMYFUNCTION("IF(COUNTA(C592:C1350)=0,"""",IF(C592="""",0,IF(REGEXMATCH(C592,""^Sell_""),-ROUNDDOWN(ROUNDUP(INDEX(Upgrades!$C$3:$C$13,MATCH(SUBSTITUTE(C592,""Sell_"",""""),Upgrades!$B$3:$B$13,0))*1.15^(COUNTIF(C$4:C591,SUBSTITUTE(C592,""Sell_"",""""))-COUNTIF(C$4:C591,"&amp;"""Sell_""&amp;SUBSTITUTE(C592,""Sell_"",""""))))/2),ROUNDUP(INDEX(Upgrades!$C$3:$C$13,MATCH(C592,Upgrades!$B$3:$B$13,0))*1.15^(COUNTIF(C$4:C591,C592)-COUNTIF(C$4:C591,""Sell_""&amp;C592))))))"),"")</f>
        <v/>
      </c>
      <c r="H592" s="10" t="str">
        <f t="shared" si="3"/>
        <v/>
      </c>
      <c r="I592" s="68" t="str">
        <f t="shared" si="4"/>
        <v/>
      </c>
      <c r="J592" s="59" t="str">
        <f t="shared" si="5"/>
        <v/>
      </c>
      <c r="K592" s="69" t="str">
        <f t="shared" si="6"/>
        <v/>
      </c>
      <c r="L592" s="60" t="str">
        <f t="shared" si="7"/>
        <v/>
      </c>
      <c r="M592" s="61" t="str">
        <f>IFERROR(__xludf.DUMMYFUNCTION("IFS(AND(COUNTA(C592:C1350)=0,COUNTA(Q592:Q1350)=0),"""",OR(AND(K592&gt;=1000000000,OR(Y592&gt;=1000000000,COUNTA(Q592:Q1350)=0)),OR(Y592&gt;=1000000000,AND(COUNTA(C592:C1350)=0,P$3=TRUE))),
ROUNDDOWN((AB$1-AC$1)*MAX(INDEX(T$4:T1350,MATCH(LARGE(FILTER(Y$4:Y1350,Y$4"&amp;":Y1350&lt;1000000000),1),Y$4:Y1350)),INDEX(F$4:F1350,MATCH(LARGE(FILTER(K$4:K1350,K$4:K1350&lt;1000000000),1),K$4:K1350)))),AND(K592&lt;1000000000,COUNTA(C592:C1350)&gt;0,P$3=FALSE),
ROUNDDOWN(INDEX(Y$4:Y1350,MATCH(LARGE(FILTER(W$4:W1350,W$4:W1350&lt;=I592),1),W$4:W1350"&amp;"))+(I592-LARGE(FILTER(W$4:W1350,W$4:W1350&lt;=I592),1))*INDEX(T$4:T1350,MATCH(LARGE(FILTER(W$4:W1350,W$4:W1350&lt;=I592),1),W$4:W1350))-K592),1,
ROUNDDOWN(Y592-INDEX(K$4:K1350,MATCH(LARGE(FILTER(I$4:I1350,I$4:I1350&lt;=W592),1),I$4:I1350))-(W592-LARGE(FILTER(I$4:I"&amp;"1350,I$4:I1350&lt;=W592),1))*INDEX(F$4:F1350,MATCH(LARGE(FILTER(I$4:I1350,I$4:I1350&lt;=W592),1),I$4:I1350))))"),"")</f>
        <v/>
      </c>
      <c r="N592" s="60" t="str">
        <f t="shared" si="8"/>
        <v/>
      </c>
      <c r="O592" s="61" t="str">
        <f t="shared" si="9"/>
        <v/>
      </c>
      <c r="P592" s="56" t="str">
        <f t="shared" si="10"/>
        <v/>
      </c>
      <c r="Q592" s="62"/>
      <c r="R592" s="10" t="str">
        <f>IFERROR(__xludf.DUMMYFUNCTION("IF(COUNTA(Q592:Q1350)=0,"""",IF(ISBLANK(Q592),FALSE,IF(NOT(COUNTIF($AA$24:$AA$34,SUBSTITUTE(Q592,""Sell_"",""""))),1,IF(REGEXMATCH(Q592,""Sell_""),IF(COUNTIF(Q$4:Q592,SUBSTITUTE(Q592,""Sell_"",""""))-COUNTIF(Q$4:Q591,Q592)&lt;1,1),FALSE))))"),"")</f>
        <v/>
      </c>
      <c r="S592" s="59" t="str">
        <f t="array" ref="S592">IF(COUNTA(Q592:Q1350)=0,"",SUM((COUNTIF(Q$4:Q592,Upgrades!$B$3:$B$13)-COUNTIF(Q$4:Q592,"Sell_"&amp;Upgrades!$B$3:$B$13))*Upgrades!$D$3:$D$13))</f>
        <v/>
      </c>
      <c r="T592" s="66" t="str">
        <f>IFERROR(__xludf.DUMMYFUNCTION("IF(COUNTA(Q592:Q1350)=0,"""",IF(REGEXMATCH(INDEX(FILTER(Q$4:Q592,Q$4:Q592&lt;&gt;""""),ROWS(FILTER(Q$4:Q592,Q$4:Q592&lt;&gt;""""))),""^Sell_""),INDEX(FILTER(T$4:T591,Q$4:Q591&lt;&gt;""""),ROWS(FILTER(Q$4:Q591,Q$4:Q591&lt;&gt;""""))),$AD$5+S592))"),"")</f>
        <v/>
      </c>
      <c r="U592" s="10" t="str">
        <f>IFERROR(__xludf.DUMMYFUNCTION("IF(COUNTA(Q592:Q1350)=0,"""",IF(Q592="""",0,IF(REGEXMATCH(Q592,""^Sell_""),-ROUNDDOWN(ROUNDUP(INDEX(Upgrades!$C$3:$C$13,MATCH(SUBSTITUTE(Q592,""Sell_"",""""),Upgrades!$B$3:$B$13,0))*1.15^(COUNTIF(Q$4:Q591,SUBSTITUTE(Q592,""Sell_"",""""))-COUNTIF(Q$4:Q591,"&amp;"""Sell_""&amp;SUBSTITUTE(Q592,""Sell_"",""""))))/2),ROUNDUP(INDEX(Upgrades!$C$3:$C$13,MATCH(Q592,Upgrades!$B$3:$B$13,0))*1.15^(COUNTIF(Q$4:Q591,Q592)-COUNTIF(Q$4:Q591,""Sell_""&amp;Q592))))))"),"")</f>
        <v/>
      </c>
      <c r="V592" s="10" t="str">
        <f t="shared" si="11"/>
        <v/>
      </c>
      <c r="W592" s="68" t="str">
        <f t="shared" si="12"/>
        <v/>
      </c>
      <c r="X592" s="59" t="str">
        <f t="shared" si="13"/>
        <v/>
      </c>
      <c r="Y592" s="69" t="str">
        <f t="shared" si="14"/>
        <v/>
      </c>
      <c r="Z592" s="11"/>
    </row>
    <row r="593">
      <c r="A593" s="8"/>
      <c r="B593" s="56" t="str">
        <f t="shared" si="2"/>
        <v/>
      </c>
      <c r="C593" s="57"/>
      <c r="D593" s="10" t="str">
        <f>IFERROR(__xludf.DUMMYFUNCTION("IF(COUNTA(C593:C1350)=0,"""",IF(ISBLANK(C593),FALSE,IF(NOT(COUNTIF($AA$24:$AA$34,SUBSTITUTE(C593,""Sell_"",""""))),1,IF(REGEXMATCH(C593,""Sell_""),IF(COUNTIF(C$4:C593,SUBSTITUTE(C593,""Sell_"",""""))-COUNTIF(C$4:C592,C593)&lt;1,1),FALSE))))"),"")</f>
        <v/>
      </c>
      <c r="E593" s="59" t="str">
        <f t="array" ref="E593">IF(COUNTA(C593:C1350)=0,"",SUM((COUNTIF(C$4:C593,Upgrades!$B$3:$B$13)-COUNTIF(C$4:C593,"Sell_"&amp;Upgrades!$B$3:$B$13))*Upgrades!$D$3:$D$13))</f>
        <v/>
      </c>
      <c r="F593" s="66" t="str">
        <f>IFERROR(__xludf.DUMMYFUNCTION("IF(COUNTA(C593:C1350)=0,"""",IF(REGEXMATCH(INDEX(FILTER(C$4:C593,C$4:C593&lt;&gt;""""),ROWS(FILTER(C$4:C593,C$4:C593&lt;&gt;""""))),""^Sell_""),INDEX(FILTER(F$4:F592,C$4:C592&lt;&gt;""""),ROWS(FILTER(C$4:C592,C$4:C592&lt;&gt;""""))),$AC$5+E593))"),"")</f>
        <v/>
      </c>
      <c r="G593" s="10" t="str">
        <f>IFERROR(__xludf.DUMMYFUNCTION("IF(COUNTA(C593:C1350)=0,"""",IF(C593="""",0,IF(REGEXMATCH(C593,""^Sell_""),-ROUNDDOWN(ROUNDUP(INDEX(Upgrades!$C$3:$C$13,MATCH(SUBSTITUTE(C593,""Sell_"",""""),Upgrades!$B$3:$B$13,0))*1.15^(COUNTIF(C$4:C592,SUBSTITUTE(C593,""Sell_"",""""))-COUNTIF(C$4:C592,"&amp;"""Sell_""&amp;SUBSTITUTE(C593,""Sell_"",""""))))/2),ROUNDUP(INDEX(Upgrades!$C$3:$C$13,MATCH(C593,Upgrades!$B$3:$B$13,0))*1.15^(COUNTIF(C$4:C592,C593)-COUNTIF(C$4:C592,""Sell_""&amp;C593))))))"),"")</f>
        <v/>
      </c>
      <c r="H593" s="10" t="str">
        <f t="shared" si="3"/>
        <v/>
      </c>
      <c r="I593" s="68" t="str">
        <f t="shared" si="4"/>
        <v/>
      </c>
      <c r="J593" s="59" t="str">
        <f t="shared" si="5"/>
        <v/>
      </c>
      <c r="K593" s="69" t="str">
        <f t="shared" si="6"/>
        <v/>
      </c>
      <c r="L593" s="60" t="str">
        <f t="shared" si="7"/>
        <v/>
      </c>
      <c r="M593" s="61" t="str">
        <f>IFERROR(__xludf.DUMMYFUNCTION("IFS(AND(COUNTA(C593:C1350)=0,COUNTA(Q593:Q1350)=0),"""",OR(AND(K593&gt;=1000000000,OR(Y593&gt;=1000000000,COUNTA(Q593:Q1350)=0)),OR(Y593&gt;=1000000000,AND(COUNTA(C593:C1350)=0,P$3=TRUE))),
ROUNDDOWN((AB$1-AC$1)*MAX(INDEX(T$4:T1350,MATCH(LARGE(FILTER(Y$4:Y1350,Y$4"&amp;":Y1350&lt;1000000000),1),Y$4:Y1350)),INDEX(F$4:F1350,MATCH(LARGE(FILTER(K$4:K1350,K$4:K1350&lt;1000000000),1),K$4:K1350)))),AND(K593&lt;1000000000,COUNTA(C593:C1350)&gt;0,P$3=FALSE),
ROUNDDOWN(INDEX(Y$4:Y1350,MATCH(LARGE(FILTER(W$4:W1350,W$4:W1350&lt;=I593),1),W$4:W1350"&amp;"))+(I593-LARGE(FILTER(W$4:W1350,W$4:W1350&lt;=I593),1))*INDEX(T$4:T1350,MATCH(LARGE(FILTER(W$4:W1350,W$4:W1350&lt;=I593),1),W$4:W1350))-K593),1,
ROUNDDOWN(Y593-INDEX(K$4:K1350,MATCH(LARGE(FILTER(I$4:I1350,I$4:I1350&lt;=W593),1),I$4:I1350))-(W593-LARGE(FILTER(I$4:I"&amp;"1350,I$4:I1350&lt;=W593),1))*INDEX(F$4:F1350,MATCH(LARGE(FILTER(I$4:I1350,I$4:I1350&lt;=W593),1),I$4:I1350))))"),"")</f>
        <v/>
      </c>
      <c r="N593" s="60" t="str">
        <f t="shared" si="8"/>
        <v/>
      </c>
      <c r="O593" s="61" t="str">
        <f t="shared" si="9"/>
        <v/>
      </c>
      <c r="P593" s="56" t="str">
        <f t="shared" si="10"/>
        <v/>
      </c>
      <c r="Q593" s="62"/>
      <c r="R593" s="10" t="str">
        <f>IFERROR(__xludf.DUMMYFUNCTION("IF(COUNTA(Q593:Q1350)=0,"""",IF(ISBLANK(Q593),FALSE,IF(NOT(COUNTIF($AA$24:$AA$34,SUBSTITUTE(Q593,""Sell_"",""""))),1,IF(REGEXMATCH(Q593,""Sell_""),IF(COUNTIF(Q$4:Q593,SUBSTITUTE(Q593,""Sell_"",""""))-COUNTIF(Q$4:Q592,Q593)&lt;1,1),FALSE))))"),"")</f>
        <v/>
      </c>
      <c r="S593" s="59" t="str">
        <f t="array" ref="S593">IF(COUNTA(Q593:Q1350)=0,"",SUM((COUNTIF(Q$4:Q593,Upgrades!$B$3:$B$13)-COUNTIF(Q$4:Q593,"Sell_"&amp;Upgrades!$B$3:$B$13))*Upgrades!$D$3:$D$13))</f>
        <v/>
      </c>
      <c r="T593" s="66" t="str">
        <f>IFERROR(__xludf.DUMMYFUNCTION("IF(COUNTA(Q593:Q1350)=0,"""",IF(REGEXMATCH(INDEX(FILTER(Q$4:Q593,Q$4:Q593&lt;&gt;""""),ROWS(FILTER(Q$4:Q593,Q$4:Q593&lt;&gt;""""))),""^Sell_""),INDEX(FILTER(T$4:T592,Q$4:Q592&lt;&gt;""""),ROWS(FILTER(Q$4:Q592,Q$4:Q592&lt;&gt;""""))),$AD$5+S593))"),"")</f>
        <v/>
      </c>
      <c r="U593" s="10" t="str">
        <f>IFERROR(__xludf.DUMMYFUNCTION("IF(COUNTA(Q593:Q1350)=0,"""",IF(Q593="""",0,IF(REGEXMATCH(Q593,""^Sell_""),-ROUNDDOWN(ROUNDUP(INDEX(Upgrades!$C$3:$C$13,MATCH(SUBSTITUTE(Q593,""Sell_"",""""),Upgrades!$B$3:$B$13,0))*1.15^(COUNTIF(Q$4:Q592,SUBSTITUTE(Q593,""Sell_"",""""))-COUNTIF(Q$4:Q592,"&amp;"""Sell_""&amp;SUBSTITUTE(Q593,""Sell_"",""""))))/2),ROUNDUP(INDEX(Upgrades!$C$3:$C$13,MATCH(Q593,Upgrades!$B$3:$B$13,0))*1.15^(COUNTIF(Q$4:Q592,Q593)-COUNTIF(Q$4:Q592,""Sell_""&amp;Q593))))))"),"")</f>
        <v/>
      </c>
      <c r="V593" s="10" t="str">
        <f t="shared" si="11"/>
        <v/>
      </c>
      <c r="W593" s="68" t="str">
        <f t="shared" si="12"/>
        <v/>
      </c>
      <c r="X593" s="59" t="str">
        <f t="shared" si="13"/>
        <v/>
      </c>
      <c r="Y593" s="69" t="str">
        <f t="shared" si="14"/>
        <v/>
      </c>
      <c r="Z593" s="11"/>
    </row>
    <row r="594">
      <c r="A594" s="8"/>
      <c r="B594" s="56" t="str">
        <f t="shared" si="2"/>
        <v/>
      </c>
      <c r="C594" s="57"/>
      <c r="D594" s="10" t="str">
        <f>IFERROR(__xludf.DUMMYFUNCTION("IF(COUNTA(C594:C1350)=0,"""",IF(ISBLANK(C594),FALSE,IF(NOT(COUNTIF($AA$24:$AA$34,SUBSTITUTE(C594,""Sell_"",""""))),1,IF(REGEXMATCH(C594,""Sell_""),IF(COUNTIF(C$4:C594,SUBSTITUTE(C594,""Sell_"",""""))-COUNTIF(C$4:C593,C594)&lt;1,1),FALSE))))"),"")</f>
        <v/>
      </c>
      <c r="E594" s="59" t="str">
        <f t="array" ref="E594">IF(COUNTA(C594:C1350)=0,"",SUM((COUNTIF(C$4:C594,Upgrades!$B$3:$B$13)-COUNTIF(C$4:C594,"Sell_"&amp;Upgrades!$B$3:$B$13))*Upgrades!$D$3:$D$13))</f>
        <v/>
      </c>
      <c r="F594" s="66" t="str">
        <f>IFERROR(__xludf.DUMMYFUNCTION("IF(COUNTA(C594:C1350)=0,"""",IF(REGEXMATCH(INDEX(FILTER(C$4:C594,C$4:C594&lt;&gt;""""),ROWS(FILTER(C$4:C594,C$4:C594&lt;&gt;""""))),""^Sell_""),INDEX(FILTER(F$4:F593,C$4:C593&lt;&gt;""""),ROWS(FILTER(C$4:C593,C$4:C593&lt;&gt;""""))),$AC$5+E594))"),"")</f>
        <v/>
      </c>
      <c r="G594" s="10" t="str">
        <f>IFERROR(__xludf.DUMMYFUNCTION("IF(COUNTA(C594:C1350)=0,"""",IF(C594="""",0,IF(REGEXMATCH(C594,""^Sell_""),-ROUNDDOWN(ROUNDUP(INDEX(Upgrades!$C$3:$C$13,MATCH(SUBSTITUTE(C594,""Sell_"",""""),Upgrades!$B$3:$B$13,0))*1.15^(COUNTIF(C$4:C593,SUBSTITUTE(C594,""Sell_"",""""))-COUNTIF(C$4:C593,"&amp;"""Sell_""&amp;SUBSTITUTE(C594,""Sell_"",""""))))/2),ROUNDUP(INDEX(Upgrades!$C$3:$C$13,MATCH(C594,Upgrades!$B$3:$B$13,0))*1.15^(COUNTIF(C$4:C593,C594)-COUNTIF(C$4:C593,""Sell_""&amp;C594))))))"),"")</f>
        <v/>
      </c>
      <c r="H594" s="10" t="str">
        <f t="shared" si="3"/>
        <v/>
      </c>
      <c r="I594" s="68" t="str">
        <f t="shared" si="4"/>
        <v/>
      </c>
      <c r="J594" s="59" t="str">
        <f t="shared" si="5"/>
        <v/>
      </c>
      <c r="K594" s="69" t="str">
        <f t="shared" si="6"/>
        <v/>
      </c>
      <c r="L594" s="60" t="str">
        <f t="shared" si="7"/>
        <v/>
      </c>
      <c r="M594" s="61" t="str">
        <f>IFERROR(__xludf.DUMMYFUNCTION("IFS(AND(COUNTA(C594:C1350)=0,COUNTA(Q594:Q1350)=0),"""",OR(AND(K594&gt;=1000000000,OR(Y594&gt;=1000000000,COUNTA(Q594:Q1350)=0)),OR(Y594&gt;=1000000000,AND(COUNTA(C594:C1350)=0,P$3=TRUE))),
ROUNDDOWN((AB$1-AC$1)*MAX(INDEX(T$4:T1350,MATCH(LARGE(FILTER(Y$4:Y1350,Y$4"&amp;":Y1350&lt;1000000000),1),Y$4:Y1350)),INDEX(F$4:F1350,MATCH(LARGE(FILTER(K$4:K1350,K$4:K1350&lt;1000000000),1),K$4:K1350)))),AND(K594&lt;1000000000,COUNTA(C594:C1350)&gt;0,P$3=FALSE),
ROUNDDOWN(INDEX(Y$4:Y1350,MATCH(LARGE(FILTER(W$4:W1350,W$4:W1350&lt;=I594),1),W$4:W1350"&amp;"))+(I594-LARGE(FILTER(W$4:W1350,W$4:W1350&lt;=I594),1))*INDEX(T$4:T1350,MATCH(LARGE(FILTER(W$4:W1350,W$4:W1350&lt;=I594),1),W$4:W1350))-K594),1,
ROUNDDOWN(Y594-INDEX(K$4:K1350,MATCH(LARGE(FILTER(I$4:I1350,I$4:I1350&lt;=W594),1),I$4:I1350))-(W594-LARGE(FILTER(I$4:I"&amp;"1350,I$4:I1350&lt;=W594),1))*INDEX(F$4:F1350,MATCH(LARGE(FILTER(I$4:I1350,I$4:I1350&lt;=W594),1),I$4:I1350))))"),"")</f>
        <v/>
      </c>
      <c r="N594" s="60" t="str">
        <f t="shared" si="8"/>
        <v/>
      </c>
      <c r="O594" s="61" t="str">
        <f t="shared" si="9"/>
        <v/>
      </c>
      <c r="P594" s="56" t="str">
        <f t="shared" si="10"/>
        <v/>
      </c>
      <c r="Q594" s="62"/>
      <c r="R594" s="10" t="str">
        <f>IFERROR(__xludf.DUMMYFUNCTION("IF(COUNTA(Q594:Q1350)=0,"""",IF(ISBLANK(Q594),FALSE,IF(NOT(COUNTIF($AA$24:$AA$34,SUBSTITUTE(Q594,""Sell_"",""""))),1,IF(REGEXMATCH(Q594,""Sell_""),IF(COUNTIF(Q$4:Q594,SUBSTITUTE(Q594,""Sell_"",""""))-COUNTIF(Q$4:Q593,Q594)&lt;1,1),FALSE))))"),"")</f>
        <v/>
      </c>
      <c r="S594" s="59" t="str">
        <f t="array" ref="S594">IF(COUNTA(Q594:Q1350)=0,"",SUM((COUNTIF(Q$4:Q594,Upgrades!$B$3:$B$13)-COUNTIF(Q$4:Q594,"Sell_"&amp;Upgrades!$B$3:$B$13))*Upgrades!$D$3:$D$13))</f>
        <v/>
      </c>
      <c r="T594" s="66" t="str">
        <f>IFERROR(__xludf.DUMMYFUNCTION("IF(COUNTA(Q594:Q1350)=0,"""",IF(REGEXMATCH(INDEX(FILTER(Q$4:Q594,Q$4:Q594&lt;&gt;""""),ROWS(FILTER(Q$4:Q594,Q$4:Q594&lt;&gt;""""))),""^Sell_""),INDEX(FILTER(T$4:T593,Q$4:Q593&lt;&gt;""""),ROWS(FILTER(Q$4:Q593,Q$4:Q593&lt;&gt;""""))),$AD$5+S594))"),"")</f>
        <v/>
      </c>
      <c r="U594" s="10" t="str">
        <f>IFERROR(__xludf.DUMMYFUNCTION("IF(COUNTA(Q594:Q1350)=0,"""",IF(Q594="""",0,IF(REGEXMATCH(Q594,""^Sell_""),-ROUNDDOWN(ROUNDUP(INDEX(Upgrades!$C$3:$C$13,MATCH(SUBSTITUTE(Q594,""Sell_"",""""),Upgrades!$B$3:$B$13,0))*1.15^(COUNTIF(Q$4:Q593,SUBSTITUTE(Q594,""Sell_"",""""))-COUNTIF(Q$4:Q593,"&amp;"""Sell_""&amp;SUBSTITUTE(Q594,""Sell_"",""""))))/2),ROUNDUP(INDEX(Upgrades!$C$3:$C$13,MATCH(Q594,Upgrades!$B$3:$B$13,0))*1.15^(COUNTIF(Q$4:Q593,Q594)-COUNTIF(Q$4:Q593,""Sell_""&amp;Q594))))))"),"")</f>
        <v/>
      </c>
      <c r="V594" s="10" t="str">
        <f t="shared" si="11"/>
        <v/>
      </c>
      <c r="W594" s="68" t="str">
        <f t="shared" si="12"/>
        <v/>
      </c>
      <c r="X594" s="59" t="str">
        <f t="shared" si="13"/>
        <v/>
      </c>
      <c r="Y594" s="69" t="str">
        <f t="shared" si="14"/>
        <v/>
      </c>
      <c r="Z594" s="11"/>
    </row>
    <row r="595">
      <c r="A595" s="8"/>
      <c r="B595" s="56" t="str">
        <f t="shared" si="2"/>
        <v/>
      </c>
      <c r="C595" s="57"/>
      <c r="D595" s="10" t="str">
        <f>IFERROR(__xludf.DUMMYFUNCTION("IF(COUNTA(C595:C1350)=0,"""",IF(ISBLANK(C595),FALSE,IF(NOT(COUNTIF($AA$24:$AA$34,SUBSTITUTE(C595,""Sell_"",""""))),1,IF(REGEXMATCH(C595,""Sell_""),IF(COUNTIF(C$4:C595,SUBSTITUTE(C595,""Sell_"",""""))-COUNTIF(C$4:C594,C595)&lt;1,1),FALSE))))"),"")</f>
        <v/>
      </c>
      <c r="E595" s="59" t="str">
        <f t="array" ref="E595">IF(COUNTA(C595:C1350)=0,"",SUM((COUNTIF(C$4:C595,Upgrades!$B$3:$B$13)-COUNTIF(C$4:C595,"Sell_"&amp;Upgrades!$B$3:$B$13))*Upgrades!$D$3:$D$13))</f>
        <v/>
      </c>
      <c r="F595" s="66" t="str">
        <f>IFERROR(__xludf.DUMMYFUNCTION("IF(COUNTA(C595:C1350)=0,"""",IF(REGEXMATCH(INDEX(FILTER(C$4:C595,C$4:C595&lt;&gt;""""),ROWS(FILTER(C$4:C595,C$4:C595&lt;&gt;""""))),""^Sell_""),INDEX(FILTER(F$4:F594,C$4:C594&lt;&gt;""""),ROWS(FILTER(C$4:C594,C$4:C594&lt;&gt;""""))),$AC$5+E595))"),"")</f>
        <v/>
      </c>
      <c r="G595" s="10" t="str">
        <f>IFERROR(__xludf.DUMMYFUNCTION("IF(COUNTA(C595:C1350)=0,"""",IF(C595="""",0,IF(REGEXMATCH(C595,""^Sell_""),-ROUNDDOWN(ROUNDUP(INDEX(Upgrades!$C$3:$C$13,MATCH(SUBSTITUTE(C595,""Sell_"",""""),Upgrades!$B$3:$B$13,0))*1.15^(COUNTIF(C$4:C594,SUBSTITUTE(C595,""Sell_"",""""))-COUNTIF(C$4:C594,"&amp;"""Sell_""&amp;SUBSTITUTE(C595,""Sell_"",""""))))/2),ROUNDUP(INDEX(Upgrades!$C$3:$C$13,MATCH(C595,Upgrades!$B$3:$B$13,0))*1.15^(COUNTIF(C$4:C594,C595)-COUNTIF(C$4:C594,""Sell_""&amp;C595))))))"),"")</f>
        <v/>
      </c>
      <c r="H595" s="10" t="str">
        <f t="shared" si="3"/>
        <v/>
      </c>
      <c r="I595" s="68" t="str">
        <f t="shared" si="4"/>
        <v/>
      </c>
      <c r="J595" s="59" t="str">
        <f t="shared" si="5"/>
        <v/>
      </c>
      <c r="K595" s="69" t="str">
        <f t="shared" si="6"/>
        <v/>
      </c>
      <c r="L595" s="60" t="str">
        <f t="shared" si="7"/>
        <v/>
      </c>
      <c r="M595" s="61" t="str">
        <f>IFERROR(__xludf.DUMMYFUNCTION("IFS(AND(COUNTA(C595:C1350)=0,COUNTA(Q595:Q1350)=0),"""",OR(AND(K595&gt;=1000000000,OR(Y595&gt;=1000000000,COUNTA(Q595:Q1350)=0)),OR(Y595&gt;=1000000000,AND(COUNTA(C595:C1350)=0,P$3=TRUE))),
ROUNDDOWN((AB$1-AC$1)*MAX(INDEX(T$4:T1350,MATCH(LARGE(FILTER(Y$4:Y1350,Y$4"&amp;":Y1350&lt;1000000000),1),Y$4:Y1350)),INDEX(F$4:F1350,MATCH(LARGE(FILTER(K$4:K1350,K$4:K1350&lt;1000000000),1),K$4:K1350)))),AND(K595&lt;1000000000,COUNTA(C595:C1350)&gt;0,P$3=FALSE),
ROUNDDOWN(INDEX(Y$4:Y1350,MATCH(LARGE(FILTER(W$4:W1350,W$4:W1350&lt;=I595),1),W$4:W1350"&amp;"))+(I595-LARGE(FILTER(W$4:W1350,W$4:W1350&lt;=I595),1))*INDEX(T$4:T1350,MATCH(LARGE(FILTER(W$4:W1350,W$4:W1350&lt;=I595),1),W$4:W1350))-K595),1,
ROUNDDOWN(Y595-INDEX(K$4:K1350,MATCH(LARGE(FILTER(I$4:I1350,I$4:I1350&lt;=W595),1),I$4:I1350))-(W595-LARGE(FILTER(I$4:I"&amp;"1350,I$4:I1350&lt;=W595),1))*INDEX(F$4:F1350,MATCH(LARGE(FILTER(I$4:I1350,I$4:I1350&lt;=W595),1),I$4:I1350))))"),"")</f>
        <v/>
      </c>
      <c r="N595" s="60" t="str">
        <f t="shared" si="8"/>
        <v/>
      </c>
      <c r="O595" s="61" t="str">
        <f t="shared" si="9"/>
        <v/>
      </c>
      <c r="P595" s="56" t="str">
        <f t="shared" si="10"/>
        <v/>
      </c>
      <c r="Q595" s="62"/>
      <c r="R595" s="10" t="str">
        <f>IFERROR(__xludf.DUMMYFUNCTION("IF(COUNTA(Q595:Q1350)=0,"""",IF(ISBLANK(Q595),FALSE,IF(NOT(COUNTIF($AA$24:$AA$34,SUBSTITUTE(Q595,""Sell_"",""""))),1,IF(REGEXMATCH(Q595,""Sell_""),IF(COUNTIF(Q$4:Q595,SUBSTITUTE(Q595,""Sell_"",""""))-COUNTIF(Q$4:Q594,Q595)&lt;1,1),FALSE))))"),"")</f>
        <v/>
      </c>
      <c r="S595" s="59" t="str">
        <f t="array" ref="S595">IF(COUNTA(Q595:Q1350)=0,"",SUM((COUNTIF(Q$4:Q595,Upgrades!$B$3:$B$13)-COUNTIF(Q$4:Q595,"Sell_"&amp;Upgrades!$B$3:$B$13))*Upgrades!$D$3:$D$13))</f>
        <v/>
      </c>
      <c r="T595" s="66" t="str">
        <f>IFERROR(__xludf.DUMMYFUNCTION("IF(COUNTA(Q595:Q1350)=0,"""",IF(REGEXMATCH(INDEX(FILTER(Q$4:Q595,Q$4:Q595&lt;&gt;""""),ROWS(FILTER(Q$4:Q595,Q$4:Q595&lt;&gt;""""))),""^Sell_""),INDEX(FILTER(T$4:T594,Q$4:Q594&lt;&gt;""""),ROWS(FILTER(Q$4:Q594,Q$4:Q594&lt;&gt;""""))),$AD$5+S595))"),"")</f>
        <v/>
      </c>
      <c r="U595" s="10" t="str">
        <f>IFERROR(__xludf.DUMMYFUNCTION("IF(COUNTA(Q595:Q1350)=0,"""",IF(Q595="""",0,IF(REGEXMATCH(Q595,""^Sell_""),-ROUNDDOWN(ROUNDUP(INDEX(Upgrades!$C$3:$C$13,MATCH(SUBSTITUTE(Q595,""Sell_"",""""),Upgrades!$B$3:$B$13,0))*1.15^(COUNTIF(Q$4:Q594,SUBSTITUTE(Q595,""Sell_"",""""))-COUNTIF(Q$4:Q594,"&amp;"""Sell_""&amp;SUBSTITUTE(Q595,""Sell_"",""""))))/2),ROUNDUP(INDEX(Upgrades!$C$3:$C$13,MATCH(Q595,Upgrades!$B$3:$B$13,0))*1.15^(COUNTIF(Q$4:Q594,Q595)-COUNTIF(Q$4:Q594,""Sell_""&amp;Q595))))))"),"")</f>
        <v/>
      </c>
      <c r="V595" s="10" t="str">
        <f t="shared" si="11"/>
        <v/>
      </c>
      <c r="W595" s="68" t="str">
        <f t="shared" si="12"/>
        <v/>
      </c>
      <c r="X595" s="59" t="str">
        <f t="shared" si="13"/>
        <v/>
      </c>
      <c r="Y595" s="69" t="str">
        <f t="shared" si="14"/>
        <v/>
      </c>
      <c r="Z595" s="11"/>
    </row>
    <row r="596">
      <c r="A596" s="8"/>
      <c r="B596" s="56" t="str">
        <f t="shared" si="2"/>
        <v/>
      </c>
      <c r="C596" s="57"/>
      <c r="D596" s="10" t="str">
        <f>IFERROR(__xludf.DUMMYFUNCTION("IF(COUNTA(C596:C1350)=0,"""",IF(ISBLANK(C596),FALSE,IF(NOT(COUNTIF($AA$24:$AA$34,SUBSTITUTE(C596,""Sell_"",""""))),1,IF(REGEXMATCH(C596,""Sell_""),IF(COUNTIF(C$4:C596,SUBSTITUTE(C596,""Sell_"",""""))-COUNTIF(C$4:C595,C596)&lt;1,1),FALSE))))"),"")</f>
        <v/>
      </c>
      <c r="E596" s="59" t="str">
        <f t="array" ref="E596">IF(COUNTA(C596:C1350)=0,"",SUM((COUNTIF(C$4:C596,Upgrades!$B$3:$B$13)-COUNTIF(C$4:C596,"Sell_"&amp;Upgrades!$B$3:$B$13))*Upgrades!$D$3:$D$13))</f>
        <v/>
      </c>
      <c r="F596" s="66" t="str">
        <f>IFERROR(__xludf.DUMMYFUNCTION("IF(COUNTA(C596:C1350)=0,"""",IF(REGEXMATCH(INDEX(FILTER(C$4:C596,C$4:C596&lt;&gt;""""),ROWS(FILTER(C$4:C596,C$4:C596&lt;&gt;""""))),""^Sell_""),INDEX(FILTER(F$4:F595,C$4:C595&lt;&gt;""""),ROWS(FILTER(C$4:C595,C$4:C595&lt;&gt;""""))),$AC$5+E596))"),"")</f>
        <v/>
      </c>
      <c r="G596" s="10" t="str">
        <f>IFERROR(__xludf.DUMMYFUNCTION("IF(COUNTA(C596:C1350)=0,"""",IF(C596="""",0,IF(REGEXMATCH(C596,""^Sell_""),-ROUNDDOWN(ROUNDUP(INDEX(Upgrades!$C$3:$C$13,MATCH(SUBSTITUTE(C596,""Sell_"",""""),Upgrades!$B$3:$B$13,0))*1.15^(COUNTIF(C$4:C595,SUBSTITUTE(C596,""Sell_"",""""))-COUNTIF(C$4:C595,"&amp;"""Sell_""&amp;SUBSTITUTE(C596,""Sell_"",""""))))/2),ROUNDUP(INDEX(Upgrades!$C$3:$C$13,MATCH(C596,Upgrades!$B$3:$B$13,0))*1.15^(COUNTIF(C$4:C595,C596)-COUNTIF(C$4:C595,""Sell_""&amp;C596))))))"),"")</f>
        <v/>
      </c>
      <c r="H596" s="10" t="str">
        <f t="shared" si="3"/>
        <v/>
      </c>
      <c r="I596" s="68" t="str">
        <f t="shared" si="4"/>
        <v/>
      </c>
      <c r="J596" s="59" t="str">
        <f t="shared" si="5"/>
        <v/>
      </c>
      <c r="K596" s="69" t="str">
        <f t="shared" si="6"/>
        <v/>
      </c>
      <c r="L596" s="60" t="str">
        <f t="shared" si="7"/>
        <v/>
      </c>
      <c r="M596" s="61" t="str">
        <f>IFERROR(__xludf.DUMMYFUNCTION("IFS(AND(COUNTA(C596:C1350)=0,COUNTA(Q596:Q1350)=0),"""",OR(AND(K596&gt;=1000000000,OR(Y596&gt;=1000000000,COUNTA(Q596:Q1350)=0)),OR(Y596&gt;=1000000000,AND(COUNTA(C596:C1350)=0,P$3=TRUE))),
ROUNDDOWN((AB$1-AC$1)*MAX(INDEX(T$4:T1350,MATCH(LARGE(FILTER(Y$4:Y1350,Y$4"&amp;":Y1350&lt;1000000000),1),Y$4:Y1350)),INDEX(F$4:F1350,MATCH(LARGE(FILTER(K$4:K1350,K$4:K1350&lt;1000000000),1),K$4:K1350)))),AND(K596&lt;1000000000,COUNTA(C596:C1350)&gt;0,P$3=FALSE),
ROUNDDOWN(INDEX(Y$4:Y1350,MATCH(LARGE(FILTER(W$4:W1350,W$4:W1350&lt;=I596),1),W$4:W1350"&amp;"))+(I596-LARGE(FILTER(W$4:W1350,W$4:W1350&lt;=I596),1))*INDEX(T$4:T1350,MATCH(LARGE(FILTER(W$4:W1350,W$4:W1350&lt;=I596),1),W$4:W1350))-K596),1,
ROUNDDOWN(Y596-INDEX(K$4:K1350,MATCH(LARGE(FILTER(I$4:I1350,I$4:I1350&lt;=W596),1),I$4:I1350))-(W596-LARGE(FILTER(I$4:I"&amp;"1350,I$4:I1350&lt;=W596),1))*INDEX(F$4:F1350,MATCH(LARGE(FILTER(I$4:I1350,I$4:I1350&lt;=W596),1),I$4:I1350))))"),"")</f>
        <v/>
      </c>
      <c r="N596" s="60" t="str">
        <f t="shared" si="8"/>
        <v/>
      </c>
      <c r="O596" s="61" t="str">
        <f t="shared" si="9"/>
        <v/>
      </c>
      <c r="P596" s="56" t="str">
        <f t="shared" si="10"/>
        <v/>
      </c>
      <c r="Q596" s="62"/>
      <c r="R596" s="10" t="str">
        <f>IFERROR(__xludf.DUMMYFUNCTION("IF(COUNTA(Q596:Q1350)=0,"""",IF(ISBLANK(Q596),FALSE,IF(NOT(COUNTIF($AA$24:$AA$34,SUBSTITUTE(Q596,""Sell_"",""""))),1,IF(REGEXMATCH(Q596,""Sell_""),IF(COUNTIF(Q$4:Q596,SUBSTITUTE(Q596,""Sell_"",""""))-COUNTIF(Q$4:Q595,Q596)&lt;1,1),FALSE))))"),"")</f>
        <v/>
      </c>
      <c r="S596" s="59" t="str">
        <f t="array" ref="S596">IF(COUNTA(Q596:Q1350)=0,"",SUM((COUNTIF(Q$4:Q596,Upgrades!$B$3:$B$13)-COUNTIF(Q$4:Q596,"Sell_"&amp;Upgrades!$B$3:$B$13))*Upgrades!$D$3:$D$13))</f>
        <v/>
      </c>
      <c r="T596" s="66" t="str">
        <f>IFERROR(__xludf.DUMMYFUNCTION("IF(COUNTA(Q596:Q1350)=0,"""",IF(REGEXMATCH(INDEX(FILTER(Q$4:Q596,Q$4:Q596&lt;&gt;""""),ROWS(FILTER(Q$4:Q596,Q$4:Q596&lt;&gt;""""))),""^Sell_""),INDEX(FILTER(T$4:T595,Q$4:Q595&lt;&gt;""""),ROWS(FILTER(Q$4:Q595,Q$4:Q595&lt;&gt;""""))),$AD$5+S596))"),"")</f>
        <v/>
      </c>
      <c r="U596" s="10" t="str">
        <f>IFERROR(__xludf.DUMMYFUNCTION("IF(COUNTA(Q596:Q1350)=0,"""",IF(Q596="""",0,IF(REGEXMATCH(Q596,""^Sell_""),-ROUNDDOWN(ROUNDUP(INDEX(Upgrades!$C$3:$C$13,MATCH(SUBSTITUTE(Q596,""Sell_"",""""),Upgrades!$B$3:$B$13,0))*1.15^(COUNTIF(Q$4:Q595,SUBSTITUTE(Q596,""Sell_"",""""))-COUNTIF(Q$4:Q595,"&amp;"""Sell_""&amp;SUBSTITUTE(Q596,""Sell_"",""""))))/2),ROUNDUP(INDEX(Upgrades!$C$3:$C$13,MATCH(Q596,Upgrades!$B$3:$B$13,0))*1.15^(COUNTIF(Q$4:Q595,Q596)-COUNTIF(Q$4:Q595,""Sell_""&amp;Q596))))))"),"")</f>
        <v/>
      </c>
      <c r="V596" s="10" t="str">
        <f t="shared" si="11"/>
        <v/>
      </c>
      <c r="W596" s="68" t="str">
        <f t="shared" si="12"/>
        <v/>
      </c>
      <c r="X596" s="59" t="str">
        <f t="shared" si="13"/>
        <v/>
      </c>
      <c r="Y596" s="69" t="str">
        <f t="shared" si="14"/>
        <v/>
      </c>
      <c r="Z596" s="11"/>
    </row>
    <row r="597">
      <c r="A597" s="8"/>
      <c r="B597" s="56" t="str">
        <f t="shared" si="2"/>
        <v/>
      </c>
      <c r="C597" s="57"/>
      <c r="D597" s="10" t="str">
        <f>IFERROR(__xludf.DUMMYFUNCTION("IF(COUNTA(C597:C1350)=0,"""",IF(ISBLANK(C597),FALSE,IF(NOT(COUNTIF($AA$24:$AA$34,SUBSTITUTE(C597,""Sell_"",""""))),1,IF(REGEXMATCH(C597,""Sell_""),IF(COUNTIF(C$4:C597,SUBSTITUTE(C597,""Sell_"",""""))-COUNTIF(C$4:C596,C597)&lt;1,1),FALSE))))"),"")</f>
        <v/>
      </c>
      <c r="E597" s="59" t="str">
        <f t="array" ref="E597">IF(COUNTA(C597:C1350)=0,"",SUM((COUNTIF(C$4:C597,Upgrades!$B$3:$B$13)-COUNTIF(C$4:C597,"Sell_"&amp;Upgrades!$B$3:$B$13))*Upgrades!$D$3:$D$13))</f>
        <v/>
      </c>
      <c r="F597" s="66" t="str">
        <f>IFERROR(__xludf.DUMMYFUNCTION("IF(COUNTA(C597:C1350)=0,"""",IF(REGEXMATCH(INDEX(FILTER(C$4:C597,C$4:C597&lt;&gt;""""),ROWS(FILTER(C$4:C597,C$4:C597&lt;&gt;""""))),""^Sell_""),INDEX(FILTER(F$4:F596,C$4:C596&lt;&gt;""""),ROWS(FILTER(C$4:C596,C$4:C596&lt;&gt;""""))),$AC$5+E597))"),"")</f>
        <v/>
      </c>
      <c r="G597" s="10" t="str">
        <f>IFERROR(__xludf.DUMMYFUNCTION("IF(COUNTA(C597:C1350)=0,"""",IF(C597="""",0,IF(REGEXMATCH(C597,""^Sell_""),-ROUNDDOWN(ROUNDUP(INDEX(Upgrades!$C$3:$C$13,MATCH(SUBSTITUTE(C597,""Sell_"",""""),Upgrades!$B$3:$B$13,0))*1.15^(COUNTIF(C$4:C596,SUBSTITUTE(C597,""Sell_"",""""))-COUNTIF(C$4:C596,"&amp;"""Sell_""&amp;SUBSTITUTE(C597,""Sell_"",""""))))/2),ROUNDUP(INDEX(Upgrades!$C$3:$C$13,MATCH(C597,Upgrades!$B$3:$B$13,0))*1.15^(COUNTIF(C$4:C596,C597)-COUNTIF(C$4:C596,""Sell_""&amp;C597))))))"),"")</f>
        <v/>
      </c>
      <c r="H597" s="10" t="str">
        <f t="shared" si="3"/>
        <v/>
      </c>
      <c r="I597" s="68" t="str">
        <f t="shared" si="4"/>
        <v/>
      </c>
      <c r="J597" s="59" t="str">
        <f t="shared" si="5"/>
        <v/>
      </c>
      <c r="K597" s="69" t="str">
        <f t="shared" si="6"/>
        <v/>
      </c>
      <c r="L597" s="60" t="str">
        <f t="shared" si="7"/>
        <v/>
      </c>
      <c r="M597" s="61" t="str">
        <f>IFERROR(__xludf.DUMMYFUNCTION("IFS(AND(COUNTA(C597:C1350)=0,COUNTA(Q597:Q1350)=0),"""",OR(AND(K597&gt;=1000000000,OR(Y597&gt;=1000000000,COUNTA(Q597:Q1350)=0)),OR(Y597&gt;=1000000000,AND(COUNTA(C597:C1350)=0,P$3=TRUE))),
ROUNDDOWN((AB$1-AC$1)*MAX(INDEX(T$4:T1350,MATCH(LARGE(FILTER(Y$4:Y1350,Y$4"&amp;":Y1350&lt;1000000000),1),Y$4:Y1350)),INDEX(F$4:F1350,MATCH(LARGE(FILTER(K$4:K1350,K$4:K1350&lt;1000000000),1),K$4:K1350)))),AND(K597&lt;1000000000,COUNTA(C597:C1350)&gt;0,P$3=FALSE),
ROUNDDOWN(INDEX(Y$4:Y1350,MATCH(LARGE(FILTER(W$4:W1350,W$4:W1350&lt;=I597),1),W$4:W1350"&amp;"))+(I597-LARGE(FILTER(W$4:W1350,W$4:W1350&lt;=I597),1))*INDEX(T$4:T1350,MATCH(LARGE(FILTER(W$4:W1350,W$4:W1350&lt;=I597),1),W$4:W1350))-K597),1,
ROUNDDOWN(Y597-INDEX(K$4:K1350,MATCH(LARGE(FILTER(I$4:I1350,I$4:I1350&lt;=W597),1),I$4:I1350))-(W597-LARGE(FILTER(I$4:I"&amp;"1350,I$4:I1350&lt;=W597),1))*INDEX(F$4:F1350,MATCH(LARGE(FILTER(I$4:I1350,I$4:I1350&lt;=W597),1),I$4:I1350))))"),"")</f>
        <v/>
      </c>
      <c r="N597" s="60" t="str">
        <f t="shared" si="8"/>
        <v/>
      </c>
      <c r="O597" s="61" t="str">
        <f t="shared" si="9"/>
        <v/>
      </c>
      <c r="P597" s="56" t="str">
        <f t="shared" si="10"/>
        <v/>
      </c>
      <c r="Q597" s="62"/>
      <c r="R597" s="10" t="str">
        <f>IFERROR(__xludf.DUMMYFUNCTION("IF(COUNTA(Q597:Q1350)=0,"""",IF(ISBLANK(Q597),FALSE,IF(NOT(COUNTIF($AA$24:$AA$34,SUBSTITUTE(Q597,""Sell_"",""""))),1,IF(REGEXMATCH(Q597,""Sell_""),IF(COUNTIF(Q$4:Q597,SUBSTITUTE(Q597,""Sell_"",""""))-COUNTIF(Q$4:Q596,Q597)&lt;1,1),FALSE))))"),"")</f>
        <v/>
      </c>
      <c r="S597" s="59" t="str">
        <f t="array" ref="S597">IF(COUNTA(Q597:Q1350)=0,"",SUM((COUNTIF(Q$4:Q597,Upgrades!$B$3:$B$13)-COUNTIF(Q$4:Q597,"Sell_"&amp;Upgrades!$B$3:$B$13))*Upgrades!$D$3:$D$13))</f>
        <v/>
      </c>
      <c r="T597" s="66" t="str">
        <f>IFERROR(__xludf.DUMMYFUNCTION("IF(COUNTA(Q597:Q1350)=0,"""",IF(REGEXMATCH(INDEX(FILTER(Q$4:Q597,Q$4:Q597&lt;&gt;""""),ROWS(FILTER(Q$4:Q597,Q$4:Q597&lt;&gt;""""))),""^Sell_""),INDEX(FILTER(T$4:T596,Q$4:Q596&lt;&gt;""""),ROWS(FILTER(Q$4:Q596,Q$4:Q596&lt;&gt;""""))),$AD$5+S597))"),"")</f>
        <v/>
      </c>
      <c r="U597" s="10" t="str">
        <f>IFERROR(__xludf.DUMMYFUNCTION("IF(COUNTA(Q597:Q1350)=0,"""",IF(Q597="""",0,IF(REGEXMATCH(Q597,""^Sell_""),-ROUNDDOWN(ROUNDUP(INDEX(Upgrades!$C$3:$C$13,MATCH(SUBSTITUTE(Q597,""Sell_"",""""),Upgrades!$B$3:$B$13,0))*1.15^(COUNTIF(Q$4:Q596,SUBSTITUTE(Q597,""Sell_"",""""))-COUNTIF(Q$4:Q596,"&amp;"""Sell_""&amp;SUBSTITUTE(Q597,""Sell_"",""""))))/2),ROUNDUP(INDEX(Upgrades!$C$3:$C$13,MATCH(Q597,Upgrades!$B$3:$B$13,0))*1.15^(COUNTIF(Q$4:Q596,Q597)-COUNTIF(Q$4:Q596,""Sell_""&amp;Q597))))))"),"")</f>
        <v/>
      </c>
      <c r="V597" s="10" t="str">
        <f t="shared" si="11"/>
        <v/>
      </c>
      <c r="W597" s="68" t="str">
        <f t="shared" si="12"/>
        <v/>
      </c>
      <c r="X597" s="59" t="str">
        <f t="shared" si="13"/>
        <v/>
      </c>
      <c r="Y597" s="69" t="str">
        <f t="shared" si="14"/>
        <v/>
      </c>
      <c r="Z597" s="11"/>
    </row>
    <row r="598">
      <c r="A598" s="8"/>
      <c r="B598" s="56" t="str">
        <f t="shared" si="2"/>
        <v/>
      </c>
      <c r="C598" s="57"/>
      <c r="D598" s="10" t="str">
        <f>IFERROR(__xludf.DUMMYFUNCTION("IF(COUNTA(C598:C1350)=0,"""",IF(ISBLANK(C598),FALSE,IF(NOT(COUNTIF($AA$24:$AA$34,SUBSTITUTE(C598,""Sell_"",""""))),1,IF(REGEXMATCH(C598,""Sell_""),IF(COUNTIF(C$4:C598,SUBSTITUTE(C598,""Sell_"",""""))-COUNTIF(C$4:C597,C598)&lt;1,1),FALSE))))"),"")</f>
        <v/>
      </c>
      <c r="E598" s="59" t="str">
        <f t="array" ref="E598">IF(COUNTA(C598:C1350)=0,"",SUM((COUNTIF(C$4:C598,Upgrades!$B$3:$B$13)-COUNTIF(C$4:C598,"Sell_"&amp;Upgrades!$B$3:$B$13))*Upgrades!$D$3:$D$13))</f>
        <v/>
      </c>
      <c r="F598" s="66" t="str">
        <f>IFERROR(__xludf.DUMMYFUNCTION("IF(COUNTA(C598:C1350)=0,"""",IF(REGEXMATCH(INDEX(FILTER(C$4:C598,C$4:C598&lt;&gt;""""),ROWS(FILTER(C$4:C598,C$4:C598&lt;&gt;""""))),""^Sell_""),INDEX(FILTER(F$4:F597,C$4:C597&lt;&gt;""""),ROWS(FILTER(C$4:C597,C$4:C597&lt;&gt;""""))),$AC$5+E598))"),"")</f>
        <v/>
      </c>
      <c r="G598" s="10" t="str">
        <f>IFERROR(__xludf.DUMMYFUNCTION("IF(COUNTA(C598:C1350)=0,"""",IF(C598="""",0,IF(REGEXMATCH(C598,""^Sell_""),-ROUNDDOWN(ROUNDUP(INDEX(Upgrades!$C$3:$C$13,MATCH(SUBSTITUTE(C598,""Sell_"",""""),Upgrades!$B$3:$B$13,0))*1.15^(COUNTIF(C$4:C597,SUBSTITUTE(C598,""Sell_"",""""))-COUNTIF(C$4:C597,"&amp;"""Sell_""&amp;SUBSTITUTE(C598,""Sell_"",""""))))/2),ROUNDUP(INDEX(Upgrades!$C$3:$C$13,MATCH(C598,Upgrades!$B$3:$B$13,0))*1.15^(COUNTIF(C$4:C597,C598)-COUNTIF(C$4:C597,""Sell_""&amp;C598))))))"),"")</f>
        <v/>
      </c>
      <c r="H598" s="10" t="str">
        <f t="shared" si="3"/>
        <v/>
      </c>
      <c r="I598" s="68" t="str">
        <f t="shared" si="4"/>
        <v/>
      </c>
      <c r="J598" s="59" t="str">
        <f t="shared" si="5"/>
        <v/>
      </c>
      <c r="K598" s="69" t="str">
        <f t="shared" si="6"/>
        <v/>
      </c>
      <c r="L598" s="60" t="str">
        <f t="shared" si="7"/>
        <v/>
      </c>
      <c r="M598" s="61" t="str">
        <f>IFERROR(__xludf.DUMMYFUNCTION("IFS(AND(COUNTA(C598:C1350)=0,COUNTA(Q598:Q1350)=0),"""",OR(AND(K598&gt;=1000000000,OR(Y598&gt;=1000000000,COUNTA(Q598:Q1350)=0)),OR(Y598&gt;=1000000000,AND(COUNTA(C598:C1350)=0,P$3=TRUE))),
ROUNDDOWN((AB$1-AC$1)*MAX(INDEX(T$4:T1350,MATCH(LARGE(FILTER(Y$4:Y1350,Y$4"&amp;":Y1350&lt;1000000000),1),Y$4:Y1350)),INDEX(F$4:F1350,MATCH(LARGE(FILTER(K$4:K1350,K$4:K1350&lt;1000000000),1),K$4:K1350)))),AND(K598&lt;1000000000,COUNTA(C598:C1350)&gt;0,P$3=FALSE),
ROUNDDOWN(INDEX(Y$4:Y1350,MATCH(LARGE(FILTER(W$4:W1350,W$4:W1350&lt;=I598),1),W$4:W1350"&amp;"))+(I598-LARGE(FILTER(W$4:W1350,W$4:W1350&lt;=I598),1))*INDEX(T$4:T1350,MATCH(LARGE(FILTER(W$4:W1350,W$4:W1350&lt;=I598),1),W$4:W1350))-K598),1,
ROUNDDOWN(Y598-INDEX(K$4:K1350,MATCH(LARGE(FILTER(I$4:I1350,I$4:I1350&lt;=W598),1),I$4:I1350))-(W598-LARGE(FILTER(I$4:I"&amp;"1350,I$4:I1350&lt;=W598),1))*INDEX(F$4:F1350,MATCH(LARGE(FILTER(I$4:I1350,I$4:I1350&lt;=W598),1),I$4:I1350))))"),"")</f>
        <v/>
      </c>
      <c r="N598" s="60" t="str">
        <f t="shared" si="8"/>
        <v/>
      </c>
      <c r="O598" s="61" t="str">
        <f t="shared" si="9"/>
        <v/>
      </c>
      <c r="P598" s="56" t="str">
        <f t="shared" si="10"/>
        <v/>
      </c>
      <c r="Q598" s="62"/>
      <c r="R598" s="10" t="str">
        <f>IFERROR(__xludf.DUMMYFUNCTION("IF(COUNTA(Q598:Q1350)=0,"""",IF(ISBLANK(Q598),FALSE,IF(NOT(COUNTIF($AA$24:$AA$34,SUBSTITUTE(Q598,""Sell_"",""""))),1,IF(REGEXMATCH(Q598,""Sell_""),IF(COUNTIF(Q$4:Q598,SUBSTITUTE(Q598,""Sell_"",""""))-COUNTIF(Q$4:Q597,Q598)&lt;1,1),FALSE))))"),"")</f>
        <v/>
      </c>
      <c r="S598" s="59" t="str">
        <f t="array" ref="S598">IF(COUNTA(Q598:Q1350)=0,"",SUM((COUNTIF(Q$4:Q598,Upgrades!$B$3:$B$13)-COUNTIF(Q$4:Q598,"Sell_"&amp;Upgrades!$B$3:$B$13))*Upgrades!$D$3:$D$13))</f>
        <v/>
      </c>
      <c r="T598" s="66" t="str">
        <f>IFERROR(__xludf.DUMMYFUNCTION("IF(COUNTA(Q598:Q1350)=0,"""",IF(REGEXMATCH(INDEX(FILTER(Q$4:Q598,Q$4:Q598&lt;&gt;""""),ROWS(FILTER(Q$4:Q598,Q$4:Q598&lt;&gt;""""))),""^Sell_""),INDEX(FILTER(T$4:T597,Q$4:Q597&lt;&gt;""""),ROWS(FILTER(Q$4:Q597,Q$4:Q597&lt;&gt;""""))),$AD$5+S598))"),"")</f>
        <v/>
      </c>
      <c r="U598" s="10" t="str">
        <f>IFERROR(__xludf.DUMMYFUNCTION("IF(COUNTA(Q598:Q1350)=0,"""",IF(Q598="""",0,IF(REGEXMATCH(Q598,""^Sell_""),-ROUNDDOWN(ROUNDUP(INDEX(Upgrades!$C$3:$C$13,MATCH(SUBSTITUTE(Q598,""Sell_"",""""),Upgrades!$B$3:$B$13,0))*1.15^(COUNTIF(Q$4:Q597,SUBSTITUTE(Q598,""Sell_"",""""))-COUNTIF(Q$4:Q597,"&amp;"""Sell_""&amp;SUBSTITUTE(Q598,""Sell_"",""""))))/2),ROUNDUP(INDEX(Upgrades!$C$3:$C$13,MATCH(Q598,Upgrades!$B$3:$B$13,0))*1.15^(COUNTIF(Q$4:Q597,Q598)-COUNTIF(Q$4:Q597,""Sell_""&amp;Q598))))))"),"")</f>
        <v/>
      </c>
      <c r="V598" s="10" t="str">
        <f t="shared" si="11"/>
        <v/>
      </c>
      <c r="W598" s="68" t="str">
        <f t="shared" si="12"/>
        <v/>
      </c>
      <c r="X598" s="59" t="str">
        <f t="shared" si="13"/>
        <v/>
      </c>
      <c r="Y598" s="69" t="str">
        <f t="shared" si="14"/>
        <v/>
      </c>
      <c r="Z598" s="11"/>
    </row>
    <row r="599">
      <c r="A599" s="8"/>
      <c r="B599" s="56" t="str">
        <f t="shared" si="2"/>
        <v/>
      </c>
      <c r="C599" s="57"/>
      <c r="D599" s="10" t="str">
        <f>IFERROR(__xludf.DUMMYFUNCTION("IF(COUNTA(C599:C1350)=0,"""",IF(ISBLANK(C599),FALSE,IF(NOT(COUNTIF($AA$24:$AA$34,SUBSTITUTE(C599,""Sell_"",""""))),1,IF(REGEXMATCH(C599,""Sell_""),IF(COUNTIF(C$4:C599,SUBSTITUTE(C599,""Sell_"",""""))-COUNTIF(C$4:C598,C599)&lt;1,1),FALSE))))"),"")</f>
        <v/>
      </c>
      <c r="E599" s="59" t="str">
        <f t="array" ref="E599">IF(COUNTA(C599:C1350)=0,"",SUM((COUNTIF(C$4:C599,Upgrades!$B$3:$B$13)-COUNTIF(C$4:C599,"Sell_"&amp;Upgrades!$B$3:$B$13))*Upgrades!$D$3:$D$13))</f>
        <v/>
      </c>
      <c r="F599" s="66" t="str">
        <f>IFERROR(__xludf.DUMMYFUNCTION("IF(COUNTA(C599:C1350)=0,"""",IF(REGEXMATCH(INDEX(FILTER(C$4:C599,C$4:C599&lt;&gt;""""),ROWS(FILTER(C$4:C599,C$4:C599&lt;&gt;""""))),""^Sell_""),INDEX(FILTER(F$4:F598,C$4:C598&lt;&gt;""""),ROWS(FILTER(C$4:C598,C$4:C598&lt;&gt;""""))),$AC$5+E599))"),"")</f>
        <v/>
      </c>
      <c r="G599" s="10" t="str">
        <f>IFERROR(__xludf.DUMMYFUNCTION("IF(COUNTA(C599:C1350)=0,"""",IF(C599="""",0,IF(REGEXMATCH(C599,""^Sell_""),-ROUNDDOWN(ROUNDUP(INDEX(Upgrades!$C$3:$C$13,MATCH(SUBSTITUTE(C599,""Sell_"",""""),Upgrades!$B$3:$B$13,0))*1.15^(COUNTIF(C$4:C598,SUBSTITUTE(C599,""Sell_"",""""))-COUNTIF(C$4:C598,"&amp;"""Sell_""&amp;SUBSTITUTE(C599,""Sell_"",""""))))/2),ROUNDUP(INDEX(Upgrades!$C$3:$C$13,MATCH(C599,Upgrades!$B$3:$B$13,0))*1.15^(COUNTIF(C$4:C598,C599)-COUNTIF(C$4:C598,""Sell_""&amp;C599))))))"),"")</f>
        <v/>
      </c>
      <c r="H599" s="10" t="str">
        <f t="shared" si="3"/>
        <v/>
      </c>
      <c r="I599" s="68" t="str">
        <f t="shared" si="4"/>
        <v/>
      </c>
      <c r="J599" s="59" t="str">
        <f t="shared" si="5"/>
        <v/>
      </c>
      <c r="K599" s="69" t="str">
        <f t="shared" si="6"/>
        <v/>
      </c>
      <c r="L599" s="60" t="str">
        <f t="shared" si="7"/>
        <v/>
      </c>
      <c r="M599" s="61" t="str">
        <f>IFERROR(__xludf.DUMMYFUNCTION("IFS(AND(COUNTA(C599:C1350)=0,COUNTA(Q599:Q1350)=0),"""",OR(AND(K599&gt;=1000000000,OR(Y599&gt;=1000000000,COUNTA(Q599:Q1350)=0)),OR(Y599&gt;=1000000000,AND(COUNTA(C599:C1350)=0,P$3=TRUE))),
ROUNDDOWN((AB$1-AC$1)*MAX(INDEX(T$4:T1350,MATCH(LARGE(FILTER(Y$4:Y1350,Y$4"&amp;":Y1350&lt;1000000000),1),Y$4:Y1350)),INDEX(F$4:F1350,MATCH(LARGE(FILTER(K$4:K1350,K$4:K1350&lt;1000000000),1),K$4:K1350)))),AND(K599&lt;1000000000,COUNTA(C599:C1350)&gt;0,P$3=FALSE),
ROUNDDOWN(INDEX(Y$4:Y1350,MATCH(LARGE(FILTER(W$4:W1350,W$4:W1350&lt;=I599),1),W$4:W1350"&amp;"))+(I599-LARGE(FILTER(W$4:W1350,W$4:W1350&lt;=I599),1))*INDEX(T$4:T1350,MATCH(LARGE(FILTER(W$4:W1350,W$4:W1350&lt;=I599),1),W$4:W1350))-K599),1,
ROUNDDOWN(Y599-INDEX(K$4:K1350,MATCH(LARGE(FILTER(I$4:I1350,I$4:I1350&lt;=W599),1),I$4:I1350))-(W599-LARGE(FILTER(I$4:I"&amp;"1350,I$4:I1350&lt;=W599),1))*INDEX(F$4:F1350,MATCH(LARGE(FILTER(I$4:I1350,I$4:I1350&lt;=W599),1),I$4:I1350))))"),"")</f>
        <v/>
      </c>
      <c r="N599" s="60" t="str">
        <f t="shared" si="8"/>
        <v/>
      </c>
      <c r="O599" s="61" t="str">
        <f t="shared" si="9"/>
        <v/>
      </c>
      <c r="P599" s="56" t="str">
        <f t="shared" si="10"/>
        <v/>
      </c>
      <c r="Q599" s="62"/>
      <c r="R599" s="10" t="str">
        <f>IFERROR(__xludf.DUMMYFUNCTION("IF(COUNTA(Q599:Q1350)=0,"""",IF(ISBLANK(Q599),FALSE,IF(NOT(COUNTIF($AA$24:$AA$34,SUBSTITUTE(Q599,""Sell_"",""""))),1,IF(REGEXMATCH(Q599,""Sell_""),IF(COUNTIF(Q$4:Q599,SUBSTITUTE(Q599,""Sell_"",""""))-COUNTIF(Q$4:Q598,Q599)&lt;1,1),FALSE))))"),"")</f>
        <v/>
      </c>
      <c r="S599" s="59" t="str">
        <f t="array" ref="S599">IF(COUNTA(Q599:Q1350)=0,"",SUM((COUNTIF(Q$4:Q599,Upgrades!$B$3:$B$13)-COUNTIF(Q$4:Q599,"Sell_"&amp;Upgrades!$B$3:$B$13))*Upgrades!$D$3:$D$13))</f>
        <v/>
      </c>
      <c r="T599" s="66" t="str">
        <f>IFERROR(__xludf.DUMMYFUNCTION("IF(COUNTA(Q599:Q1350)=0,"""",IF(REGEXMATCH(INDEX(FILTER(Q$4:Q599,Q$4:Q599&lt;&gt;""""),ROWS(FILTER(Q$4:Q599,Q$4:Q599&lt;&gt;""""))),""^Sell_""),INDEX(FILTER(T$4:T598,Q$4:Q598&lt;&gt;""""),ROWS(FILTER(Q$4:Q598,Q$4:Q598&lt;&gt;""""))),$AD$5+S599))"),"")</f>
        <v/>
      </c>
      <c r="U599" s="10" t="str">
        <f>IFERROR(__xludf.DUMMYFUNCTION("IF(COUNTA(Q599:Q1350)=0,"""",IF(Q599="""",0,IF(REGEXMATCH(Q599,""^Sell_""),-ROUNDDOWN(ROUNDUP(INDEX(Upgrades!$C$3:$C$13,MATCH(SUBSTITUTE(Q599,""Sell_"",""""),Upgrades!$B$3:$B$13,0))*1.15^(COUNTIF(Q$4:Q598,SUBSTITUTE(Q599,""Sell_"",""""))-COUNTIF(Q$4:Q598,"&amp;"""Sell_""&amp;SUBSTITUTE(Q599,""Sell_"",""""))))/2),ROUNDUP(INDEX(Upgrades!$C$3:$C$13,MATCH(Q599,Upgrades!$B$3:$B$13,0))*1.15^(COUNTIF(Q$4:Q598,Q599)-COUNTIF(Q$4:Q598,""Sell_""&amp;Q599))))))"),"")</f>
        <v/>
      </c>
      <c r="V599" s="10" t="str">
        <f t="shared" si="11"/>
        <v/>
      </c>
      <c r="W599" s="68" t="str">
        <f t="shared" si="12"/>
        <v/>
      </c>
      <c r="X599" s="59" t="str">
        <f t="shared" si="13"/>
        <v/>
      </c>
      <c r="Y599" s="69" t="str">
        <f t="shared" si="14"/>
        <v/>
      </c>
      <c r="Z599" s="11"/>
    </row>
    <row r="600">
      <c r="A600" s="8"/>
      <c r="B600" s="56" t="str">
        <f t="shared" si="2"/>
        <v/>
      </c>
      <c r="C600" s="57"/>
      <c r="D600" s="10" t="str">
        <f>IFERROR(__xludf.DUMMYFUNCTION("IF(COUNTA(C600:C1350)=0,"""",IF(ISBLANK(C600),FALSE,IF(NOT(COUNTIF($AA$24:$AA$34,SUBSTITUTE(C600,""Sell_"",""""))),1,IF(REGEXMATCH(C600,""Sell_""),IF(COUNTIF(C$4:C600,SUBSTITUTE(C600,""Sell_"",""""))-COUNTIF(C$4:C599,C600)&lt;1,1),FALSE))))"),"")</f>
        <v/>
      </c>
      <c r="E600" s="59" t="str">
        <f t="array" ref="E600">IF(COUNTA(C600:C1350)=0,"",SUM((COUNTIF(C$4:C600,Upgrades!$B$3:$B$13)-COUNTIF(C$4:C600,"Sell_"&amp;Upgrades!$B$3:$B$13))*Upgrades!$D$3:$D$13))</f>
        <v/>
      </c>
      <c r="F600" s="66" t="str">
        <f>IFERROR(__xludf.DUMMYFUNCTION("IF(COUNTA(C600:C1350)=0,"""",IF(REGEXMATCH(INDEX(FILTER(C$4:C600,C$4:C600&lt;&gt;""""),ROWS(FILTER(C$4:C600,C$4:C600&lt;&gt;""""))),""^Sell_""),INDEX(FILTER(F$4:F599,C$4:C599&lt;&gt;""""),ROWS(FILTER(C$4:C599,C$4:C599&lt;&gt;""""))),$AC$5+E600))"),"")</f>
        <v/>
      </c>
      <c r="G600" s="10" t="str">
        <f>IFERROR(__xludf.DUMMYFUNCTION("IF(COUNTA(C600:C1350)=0,"""",IF(C600="""",0,IF(REGEXMATCH(C600,""^Sell_""),-ROUNDDOWN(ROUNDUP(INDEX(Upgrades!$C$3:$C$13,MATCH(SUBSTITUTE(C600,""Sell_"",""""),Upgrades!$B$3:$B$13,0))*1.15^(COUNTIF(C$4:C599,SUBSTITUTE(C600,""Sell_"",""""))-COUNTIF(C$4:C599,"&amp;"""Sell_""&amp;SUBSTITUTE(C600,""Sell_"",""""))))/2),ROUNDUP(INDEX(Upgrades!$C$3:$C$13,MATCH(C600,Upgrades!$B$3:$B$13,0))*1.15^(COUNTIF(C$4:C599,C600)-COUNTIF(C$4:C599,""Sell_""&amp;C600))))))"),"")</f>
        <v/>
      </c>
      <c r="H600" s="10" t="str">
        <f t="shared" si="3"/>
        <v/>
      </c>
      <c r="I600" s="68" t="str">
        <f t="shared" si="4"/>
        <v/>
      </c>
      <c r="J600" s="59" t="str">
        <f t="shared" si="5"/>
        <v/>
      </c>
      <c r="K600" s="69" t="str">
        <f t="shared" si="6"/>
        <v/>
      </c>
      <c r="L600" s="60" t="str">
        <f t="shared" si="7"/>
        <v/>
      </c>
      <c r="M600" s="61" t="str">
        <f>IFERROR(__xludf.DUMMYFUNCTION("IFS(AND(COUNTA(C600:C1350)=0,COUNTA(Q600:Q1350)=0),"""",OR(AND(K600&gt;=1000000000,OR(Y600&gt;=1000000000,COUNTA(Q600:Q1350)=0)),OR(Y600&gt;=1000000000,AND(COUNTA(C600:C1350)=0,P$3=TRUE))),
ROUNDDOWN((AB$1-AC$1)*MAX(INDEX(T$4:T1350,MATCH(LARGE(FILTER(Y$4:Y1350,Y$4"&amp;":Y1350&lt;1000000000),1),Y$4:Y1350)),INDEX(F$4:F1350,MATCH(LARGE(FILTER(K$4:K1350,K$4:K1350&lt;1000000000),1),K$4:K1350)))),AND(K600&lt;1000000000,COUNTA(C600:C1350)&gt;0,P$3=FALSE),
ROUNDDOWN(INDEX(Y$4:Y1350,MATCH(LARGE(FILTER(W$4:W1350,W$4:W1350&lt;=I600),1),W$4:W1350"&amp;"))+(I600-LARGE(FILTER(W$4:W1350,W$4:W1350&lt;=I600),1))*INDEX(T$4:T1350,MATCH(LARGE(FILTER(W$4:W1350,W$4:W1350&lt;=I600),1),W$4:W1350))-K600),1,
ROUNDDOWN(Y600-INDEX(K$4:K1350,MATCH(LARGE(FILTER(I$4:I1350,I$4:I1350&lt;=W600),1),I$4:I1350))-(W600-LARGE(FILTER(I$4:I"&amp;"1350,I$4:I1350&lt;=W600),1))*INDEX(F$4:F1350,MATCH(LARGE(FILTER(I$4:I1350,I$4:I1350&lt;=W600),1),I$4:I1350))))"),"")</f>
        <v/>
      </c>
      <c r="N600" s="60" t="str">
        <f t="shared" si="8"/>
        <v/>
      </c>
      <c r="O600" s="61" t="str">
        <f t="shared" si="9"/>
        <v/>
      </c>
      <c r="P600" s="56" t="str">
        <f t="shared" si="10"/>
        <v/>
      </c>
      <c r="Q600" s="62"/>
      <c r="R600" s="10" t="str">
        <f>IFERROR(__xludf.DUMMYFUNCTION("IF(COUNTA(Q600:Q1350)=0,"""",IF(ISBLANK(Q600),FALSE,IF(NOT(COUNTIF($AA$24:$AA$34,SUBSTITUTE(Q600,""Sell_"",""""))),1,IF(REGEXMATCH(Q600,""Sell_""),IF(COUNTIF(Q$4:Q600,SUBSTITUTE(Q600,""Sell_"",""""))-COUNTIF(Q$4:Q599,Q600)&lt;1,1),FALSE))))"),"")</f>
        <v/>
      </c>
      <c r="S600" s="59" t="str">
        <f t="array" ref="S600">IF(COUNTA(Q600:Q1350)=0,"",SUM((COUNTIF(Q$4:Q600,Upgrades!$B$3:$B$13)-COUNTIF(Q$4:Q600,"Sell_"&amp;Upgrades!$B$3:$B$13))*Upgrades!$D$3:$D$13))</f>
        <v/>
      </c>
      <c r="T600" s="66" t="str">
        <f>IFERROR(__xludf.DUMMYFUNCTION("IF(COUNTA(Q600:Q1350)=0,"""",IF(REGEXMATCH(INDEX(FILTER(Q$4:Q600,Q$4:Q600&lt;&gt;""""),ROWS(FILTER(Q$4:Q600,Q$4:Q600&lt;&gt;""""))),""^Sell_""),INDEX(FILTER(T$4:T599,Q$4:Q599&lt;&gt;""""),ROWS(FILTER(Q$4:Q599,Q$4:Q599&lt;&gt;""""))),$AD$5+S600))"),"")</f>
        <v/>
      </c>
      <c r="U600" s="10" t="str">
        <f>IFERROR(__xludf.DUMMYFUNCTION("IF(COUNTA(Q600:Q1350)=0,"""",IF(Q600="""",0,IF(REGEXMATCH(Q600,""^Sell_""),-ROUNDDOWN(ROUNDUP(INDEX(Upgrades!$C$3:$C$13,MATCH(SUBSTITUTE(Q600,""Sell_"",""""),Upgrades!$B$3:$B$13,0))*1.15^(COUNTIF(Q$4:Q599,SUBSTITUTE(Q600,""Sell_"",""""))-COUNTIF(Q$4:Q599,"&amp;"""Sell_""&amp;SUBSTITUTE(Q600,""Sell_"",""""))))/2),ROUNDUP(INDEX(Upgrades!$C$3:$C$13,MATCH(Q600,Upgrades!$B$3:$B$13,0))*1.15^(COUNTIF(Q$4:Q599,Q600)-COUNTIF(Q$4:Q599,""Sell_""&amp;Q600))))))"),"")</f>
        <v/>
      </c>
      <c r="V600" s="10" t="str">
        <f t="shared" si="11"/>
        <v/>
      </c>
      <c r="W600" s="68" t="str">
        <f t="shared" si="12"/>
        <v/>
      </c>
      <c r="X600" s="59" t="str">
        <f t="shared" si="13"/>
        <v/>
      </c>
      <c r="Y600" s="69" t="str">
        <f t="shared" si="14"/>
        <v/>
      </c>
      <c r="Z600" s="11"/>
    </row>
    <row r="601">
      <c r="A601" s="8"/>
      <c r="B601" s="56" t="str">
        <f t="shared" si="2"/>
        <v/>
      </c>
      <c r="C601" s="57"/>
      <c r="D601" s="10" t="str">
        <f>IFERROR(__xludf.DUMMYFUNCTION("IF(COUNTA(C601:C1350)=0,"""",IF(ISBLANK(C601),FALSE,IF(NOT(COUNTIF($AA$24:$AA$34,SUBSTITUTE(C601,""Sell_"",""""))),1,IF(REGEXMATCH(C601,""Sell_""),IF(COUNTIF(C$4:C601,SUBSTITUTE(C601,""Sell_"",""""))-COUNTIF(C$4:C600,C601)&lt;1,1),FALSE))))"),"")</f>
        <v/>
      </c>
      <c r="E601" s="59" t="str">
        <f t="array" ref="E601">IF(COUNTA(C601:C1350)=0,"",SUM((COUNTIF(C$4:C601,Upgrades!$B$3:$B$13)-COUNTIF(C$4:C601,"Sell_"&amp;Upgrades!$B$3:$B$13))*Upgrades!$D$3:$D$13))</f>
        <v/>
      </c>
      <c r="F601" s="66" t="str">
        <f>IFERROR(__xludf.DUMMYFUNCTION("IF(COUNTA(C601:C1350)=0,"""",IF(REGEXMATCH(INDEX(FILTER(C$4:C601,C$4:C601&lt;&gt;""""),ROWS(FILTER(C$4:C601,C$4:C601&lt;&gt;""""))),""^Sell_""),INDEX(FILTER(F$4:F600,C$4:C600&lt;&gt;""""),ROWS(FILTER(C$4:C600,C$4:C600&lt;&gt;""""))),$AC$5+E601))"),"")</f>
        <v/>
      </c>
      <c r="G601" s="10" t="str">
        <f>IFERROR(__xludf.DUMMYFUNCTION("IF(COUNTA(C601:C1350)=0,"""",IF(C601="""",0,IF(REGEXMATCH(C601,""^Sell_""),-ROUNDDOWN(ROUNDUP(INDEX(Upgrades!$C$3:$C$13,MATCH(SUBSTITUTE(C601,""Sell_"",""""),Upgrades!$B$3:$B$13,0))*1.15^(COUNTIF(C$4:C600,SUBSTITUTE(C601,""Sell_"",""""))-COUNTIF(C$4:C600,"&amp;"""Sell_""&amp;SUBSTITUTE(C601,""Sell_"",""""))))/2),ROUNDUP(INDEX(Upgrades!$C$3:$C$13,MATCH(C601,Upgrades!$B$3:$B$13,0))*1.15^(COUNTIF(C$4:C600,C601)-COUNTIF(C$4:C600,""Sell_""&amp;C601))))))"),"")</f>
        <v/>
      </c>
      <c r="H601" s="10" t="str">
        <f t="shared" si="3"/>
        <v/>
      </c>
      <c r="I601" s="68" t="str">
        <f t="shared" si="4"/>
        <v/>
      </c>
      <c r="J601" s="59" t="str">
        <f t="shared" si="5"/>
        <v/>
      </c>
      <c r="K601" s="69" t="str">
        <f t="shared" si="6"/>
        <v/>
      </c>
      <c r="L601" s="60" t="str">
        <f t="shared" si="7"/>
        <v/>
      </c>
      <c r="M601" s="61" t="str">
        <f>IFERROR(__xludf.DUMMYFUNCTION("IFS(AND(COUNTA(C601:C1350)=0,COUNTA(Q601:Q1350)=0),"""",OR(AND(K601&gt;=1000000000,OR(Y601&gt;=1000000000,COUNTA(Q601:Q1350)=0)),OR(Y601&gt;=1000000000,AND(COUNTA(C601:C1350)=0,P$3=TRUE))),
ROUNDDOWN((AB$1-AC$1)*MAX(INDEX(T$4:T1350,MATCH(LARGE(FILTER(Y$4:Y1350,Y$4"&amp;":Y1350&lt;1000000000),1),Y$4:Y1350)),INDEX(F$4:F1350,MATCH(LARGE(FILTER(K$4:K1350,K$4:K1350&lt;1000000000),1),K$4:K1350)))),AND(K601&lt;1000000000,COUNTA(C601:C1350)&gt;0,P$3=FALSE),
ROUNDDOWN(INDEX(Y$4:Y1350,MATCH(LARGE(FILTER(W$4:W1350,W$4:W1350&lt;=I601),1),W$4:W1350"&amp;"))+(I601-LARGE(FILTER(W$4:W1350,W$4:W1350&lt;=I601),1))*INDEX(T$4:T1350,MATCH(LARGE(FILTER(W$4:W1350,W$4:W1350&lt;=I601),1),W$4:W1350))-K601),1,
ROUNDDOWN(Y601-INDEX(K$4:K1350,MATCH(LARGE(FILTER(I$4:I1350,I$4:I1350&lt;=W601),1),I$4:I1350))-(W601-LARGE(FILTER(I$4:I"&amp;"1350,I$4:I1350&lt;=W601),1))*INDEX(F$4:F1350,MATCH(LARGE(FILTER(I$4:I1350,I$4:I1350&lt;=W601),1),I$4:I1350))))"),"")</f>
        <v/>
      </c>
      <c r="N601" s="60" t="str">
        <f t="shared" si="8"/>
        <v/>
      </c>
      <c r="O601" s="61" t="str">
        <f t="shared" si="9"/>
        <v/>
      </c>
      <c r="P601" s="56" t="str">
        <f t="shared" si="10"/>
        <v/>
      </c>
      <c r="Q601" s="62"/>
      <c r="R601" s="10" t="str">
        <f>IFERROR(__xludf.DUMMYFUNCTION("IF(COUNTA(Q601:Q1350)=0,"""",IF(ISBLANK(Q601),FALSE,IF(NOT(COUNTIF($AA$24:$AA$34,SUBSTITUTE(Q601,""Sell_"",""""))),1,IF(REGEXMATCH(Q601,""Sell_""),IF(COUNTIF(Q$4:Q601,SUBSTITUTE(Q601,""Sell_"",""""))-COUNTIF(Q$4:Q600,Q601)&lt;1,1),FALSE))))"),"")</f>
        <v/>
      </c>
      <c r="S601" s="59" t="str">
        <f t="array" ref="S601">IF(COUNTA(Q601:Q1350)=0,"",SUM((COUNTIF(Q$4:Q601,Upgrades!$B$3:$B$13)-COUNTIF(Q$4:Q601,"Sell_"&amp;Upgrades!$B$3:$B$13))*Upgrades!$D$3:$D$13))</f>
        <v/>
      </c>
      <c r="T601" s="66" t="str">
        <f>IFERROR(__xludf.DUMMYFUNCTION("IF(COUNTA(Q601:Q1350)=0,"""",IF(REGEXMATCH(INDEX(FILTER(Q$4:Q601,Q$4:Q601&lt;&gt;""""),ROWS(FILTER(Q$4:Q601,Q$4:Q601&lt;&gt;""""))),""^Sell_""),INDEX(FILTER(T$4:T600,Q$4:Q600&lt;&gt;""""),ROWS(FILTER(Q$4:Q600,Q$4:Q600&lt;&gt;""""))),$AD$5+S601))"),"")</f>
        <v/>
      </c>
      <c r="U601" s="10" t="str">
        <f>IFERROR(__xludf.DUMMYFUNCTION("IF(COUNTA(Q601:Q1350)=0,"""",IF(Q601="""",0,IF(REGEXMATCH(Q601,""^Sell_""),-ROUNDDOWN(ROUNDUP(INDEX(Upgrades!$C$3:$C$13,MATCH(SUBSTITUTE(Q601,""Sell_"",""""),Upgrades!$B$3:$B$13,0))*1.15^(COUNTIF(Q$4:Q600,SUBSTITUTE(Q601,""Sell_"",""""))-COUNTIF(Q$4:Q600,"&amp;"""Sell_""&amp;SUBSTITUTE(Q601,""Sell_"",""""))))/2),ROUNDUP(INDEX(Upgrades!$C$3:$C$13,MATCH(Q601,Upgrades!$B$3:$B$13,0))*1.15^(COUNTIF(Q$4:Q600,Q601)-COUNTIF(Q$4:Q600,""Sell_""&amp;Q601))))))"),"")</f>
        <v/>
      </c>
      <c r="V601" s="10" t="str">
        <f t="shared" si="11"/>
        <v/>
      </c>
      <c r="W601" s="68" t="str">
        <f t="shared" si="12"/>
        <v/>
      </c>
      <c r="X601" s="59" t="str">
        <f t="shared" si="13"/>
        <v/>
      </c>
      <c r="Y601" s="69" t="str">
        <f t="shared" si="14"/>
        <v/>
      </c>
      <c r="Z601" s="11"/>
    </row>
    <row r="602">
      <c r="A602" s="8"/>
      <c r="B602" s="56" t="str">
        <f t="shared" si="2"/>
        <v/>
      </c>
      <c r="C602" s="57"/>
      <c r="D602" s="10" t="str">
        <f>IFERROR(__xludf.DUMMYFUNCTION("IF(COUNTA(C602:C1350)=0,"""",IF(ISBLANK(C602),FALSE,IF(NOT(COUNTIF($AA$24:$AA$34,SUBSTITUTE(C602,""Sell_"",""""))),1,IF(REGEXMATCH(C602,""Sell_""),IF(COUNTIF(C$4:C602,SUBSTITUTE(C602,""Sell_"",""""))-COUNTIF(C$4:C601,C602)&lt;1,1),FALSE))))"),"")</f>
        <v/>
      </c>
      <c r="E602" s="59" t="str">
        <f t="array" ref="E602">IF(COUNTA(C602:C1350)=0,"",SUM((COUNTIF(C$4:C602,Upgrades!$B$3:$B$13)-COUNTIF(C$4:C602,"Sell_"&amp;Upgrades!$B$3:$B$13))*Upgrades!$D$3:$D$13))</f>
        <v/>
      </c>
      <c r="F602" s="66" t="str">
        <f>IFERROR(__xludf.DUMMYFUNCTION("IF(COUNTA(C602:C1350)=0,"""",IF(REGEXMATCH(INDEX(FILTER(C$4:C602,C$4:C602&lt;&gt;""""),ROWS(FILTER(C$4:C602,C$4:C602&lt;&gt;""""))),""^Sell_""),INDEX(FILTER(F$4:F601,C$4:C601&lt;&gt;""""),ROWS(FILTER(C$4:C601,C$4:C601&lt;&gt;""""))),$AC$5+E602))"),"")</f>
        <v/>
      </c>
      <c r="G602" s="10" t="str">
        <f>IFERROR(__xludf.DUMMYFUNCTION("IF(COUNTA(C602:C1350)=0,"""",IF(C602="""",0,IF(REGEXMATCH(C602,""^Sell_""),-ROUNDDOWN(ROUNDUP(INDEX(Upgrades!$C$3:$C$13,MATCH(SUBSTITUTE(C602,""Sell_"",""""),Upgrades!$B$3:$B$13,0))*1.15^(COUNTIF(C$4:C601,SUBSTITUTE(C602,""Sell_"",""""))-COUNTIF(C$4:C601,"&amp;"""Sell_""&amp;SUBSTITUTE(C602,""Sell_"",""""))))/2),ROUNDUP(INDEX(Upgrades!$C$3:$C$13,MATCH(C602,Upgrades!$B$3:$B$13,0))*1.15^(COUNTIF(C$4:C601,C602)-COUNTIF(C$4:C601,""Sell_""&amp;C602))))))"),"")</f>
        <v/>
      </c>
      <c r="H602" s="10" t="str">
        <f t="shared" si="3"/>
        <v/>
      </c>
      <c r="I602" s="68" t="str">
        <f t="shared" si="4"/>
        <v/>
      </c>
      <c r="J602" s="59" t="str">
        <f t="shared" si="5"/>
        <v/>
      </c>
      <c r="K602" s="69" t="str">
        <f t="shared" si="6"/>
        <v/>
      </c>
      <c r="L602" s="60" t="str">
        <f t="shared" si="7"/>
        <v/>
      </c>
      <c r="M602" s="61" t="str">
        <f>IFERROR(__xludf.DUMMYFUNCTION("IFS(AND(COUNTA(C602:C1350)=0,COUNTA(Q602:Q1350)=0),"""",OR(AND(K602&gt;=1000000000,OR(Y602&gt;=1000000000,COUNTA(Q602:Q1350)=0)),OR(Y602&gt;=1000000000,AND(COUNTA(C602:C1350)=0,P$3=TRUE))),
ROUNDDOWN((AB$1-AC$1)*MAX(INDEX(T$4:T1350,MATCH(LARGE(FILTER(Y$4:Y1350,Y$4"&amp;":Y1350&lt;1000000000),1),Y$4:Y1350)),INDEX(F$4:F1350,MATCH(LARGE(FILTER(K$4:K1350,K$4:K1350&lt;1000000000),1),K$4:K1350)))),AND(K602&lt;1000000000,COUNTA(C602:C1350)&gt;0,P$3=FALSE),
ROUNDDOWN(INDEX(Y$4:Y1350,MATCH(LARGE(FILTER(W$4:W1350,W$4:W1350&lt;=I602),1),W$4:W1350"&amp;"))+(I602-LARGE(FILTER(W$4:W1350,W$4:W1350&lt;=I602),1))*INDEX(T$4:T1350,MATCH(LARGE(FILTER(W$4:W1350,W$4:W1350&lt;=I602),1),W$4:W1350))-K602),1,
ROUNDDOWN(Y602-INDEX(K$4:K1350,MATCH(LARGE(FILTER(I$4:I1350,I$4:I1350&lt;=W602),1),I$4:I1350))-(W602-LARGE(FILTER(I$4:I"&amp;"1350,I$4:I1350&lt;=W602),1))*INDEX(F$4:F1350,MATCH(LARGE(FILTER(I$4:I1350,I$4:I1350&lt;=W602),1),I$4:I1350))))"),"")</f>
        <v/>
      </c>
      <c r="N602" s="60" t="str">
        <f t="shared" si="8"/>
        <v/>
      </c>
      <c r="O602" s="61" t="str">
        <f t="shared" si="9"/>
        <v/>
      </c>
      <c r="P602" s="56" t="str">
        <f t="shared" si="10"/>
        <v/>
      </c>
      <c r="Q602" s="62"/>
      <c r="R602" s="10" t="str">
        <f>IFERROR(__xludf.DUMMYFUNCTION("IF(COUNTA(Q602:Q1350)=0,"""",IF(ISBLANK(Q602),FALSE,IF(NOT(COUNTIF($AA$24:$AA$34,SUBSTITUTE(Q602,""Sell_"",""""))),1,IF(REGEXMATCH(Q602,""Sell_""),IF(COUNTIF(Q$4:Q602,SUBSTITUTE(Q602,""Sell_"",""""))-COUNTIF(Q$4:Q601,Q602)&lt;1,1),FALSE))))"),"")</f>
        <v/>
      </c>
      <c r="S602" s="59" t="str">
        <f t="array" ref="S602">IF(COUNTA(Q602:Q1350)=0,"",SUM((COUNTIF(Q$4:Q602,Upgrades!$B$3:$B$13)-COUNTIF(Q$4:Q602,"Sell_"&amp;Upgrades!$B$3:$B$13))*Upgrades!$D$3:$D$13))</f>
        <v/>
      </c>
      <c r="T602" s="66" t="str">
        <f>IFERROR(__xludf.DUMMYFUNCTION("IF(COUNTA(Q602:Q1350)=0,"""",IF(REGEXMATCH(INDEX(FILTER(Q$4:Q602,Q$4:Q602&lt;&gt;""""),ROWS(FILTER(Q$4:Q602,Q$4:Q602&lt;&gt;""""))),""^Sell_""),INDEX(FILTER(T$4:T601,Q$4:Q601&lt;&gt;""""),ROWS(FILTER(Q$4:Q601,Q$4:Q601&lt;&gt;""""))),$AD$5+S602))"),"")</f>
        <v/>
      </c>
      <c r="U602" s="10" t="str">
        <f>IFERROR(__xludf.DUMMYFUNCTION("IF(COUNTA(Q602:Q1350)=0,"""",IF(Q602="""",0,IF(REGEXMATCH(Q602,""^Sell_""),-ROUNDDOWN(ROUNDUP(INDEX(Upgrades!$C$3:$C$13,MATCH(SUBSTITUTE(Q602,""Sell_"",""""),Upgrades!$B$3:$B$13,0))*1.15^(COUNTIF(Q$4:Q601,SUBSTITUTE(Q602,""Sell_"",""""))-COUNTIF(Q$4:Q601,"&amp;"""Sell_""&amp;SUBSTITUTE(Q602,""Sell_"",""""))))/2),ROUNDUP(INDEX(Upgrades!$C$3:$C$13,MATCH(Q602,Upgrades!$B$3:$B$13,0))*1.15^(COUNTIF(Q$4:Q601,Q602)-COUNTIF(Q$4:Q601,""Sell_""&amp;Q602))))))"),"")</f>
        <v/>
      </c>
      <c r="V602" s="10" t="str">
        <f t="shared" si="11"/>
        <v/>
      </c>
      <c r="W602" s="68" t="str">
        <f t="shared" si="12"/>
        <v/>
      </c>
      <c r="X602" s="59" t="str">
        <f t="shared" si="13"/>
        <v/>
      </c>
      <c r="Y602" s="69" t="str">
        <f t="shared" si="14"/>
        <v/>
      </c>
      <c r="Z602" s="11"/>
    </row>
    <row r="603">
      <c r="A603" s="8"/>
      <c r="B603" s="56" t="str">
        <f t="shared" si="2"/>
        <v/>
      </c>
      <c r="C603" s="57"/>
      <c r="D603" s="10" t="str">
        <f>IFERROR(__xludf.DUMMYFUNCTION("IF(COUNTA(C603:C1350)=0,"""",IF(ISBLANK(C603),FALSE,IF(NOT(COUNTIF($AA$24:$AA$34,SUBSTITUTE(C603,""Sell_"",""""))),1,IF(REGEXMATCH(C603,""Sell_""),IF(COUNTIF(C$4:C603,SUBSTITUTE(C603,""Sell_"",""""))-COUNTIF(C$4:C602,C603)&lt;1,1),FALSE))))"),"")</f>
        <v/>
      </c>
      <c r="E603" s="59" t="str">
        <f t="array" ref="E603">IF(COUNTA(C603:C1350)=0,"",SUM((COUNTIF(C$4:C603,Upgrades!$B$3:$B$13)-COUNTIF(C$4:C603,"Sell_"&amp;Upgrades!$B$3:$B$13))*Upgrades!$D$3:$D$13))</f>
        <v/>
      </c>
      <c r="F603" s="66" t="str">
        <f>IFERROR(__xludf.DUMMYFUNCTION("IF(COUNTA(C603:C1350)=0,"""",IF(REGEXMATCH(INDEX(FILTER(C$4:C603,C$4:C603&lt;&gt;""""),ROWS(FILTER(C$4:C603,C$4:C603&lt;&gt;""""))),""^Sell_""),INDEX(FILTER(F$4:F602,C$4:C602&lt;&gt;""""),ROWS(FILTER(C$4:C602,C$4:C602&lt;&gt;""""))),$AC$5+E603))"),"")</f>
        <v/>
      </c>
      <c r="G603" s="10" t="str">
        <f>IFERROR(__xludf.DUMMYFUNCTION("IF(COUNTA(C603:C1350)=0,"""",IF(C603="""",0,IF(REGEXMATCH(C603,""^Sell_""),-ROUNDDOWN(ROUNDUP(INDEX(Upgrades!$C$3:$C$13,MATCH(SUBSTITUTE(C603,""Sell_"",""""),Upgrades!$B$3:$B$13,0))*1.15^(COUNTIF(C$4:C602,SUBSTITUTE(C603,""Sell_"",""""))-COUNTIF(C$4:C602,"&amp;"""Sell_""&amp;SUBSTITUTE(C603,""Sell_"",""""))))/2),ROUNDUP(INDEX(Upgrades!$C$3:$C$13,MATCH(C603,Upgrades!$B$3:$B$13,0))*1.15^(COUNTIF(C$4:C602,C603)-COUNTIF(C$4:C602,""Sell_""&amp;C603))))))"),"")</f>
        <v/>
      </c>
      <c r="H603" s="10" t="str">
        <f t="shared" si="3"/>
        <v/>
      </c>
      <c r="I603" s="68" t="str">
        <f t="shared" si="4"/>
        <v/>
      </c>
      <c r="J603" s="59" t="str">
        <f t="shared" si="5"/>
        <v/>
      </c>
      <c r="K603" s="69" t="str">
        <f t="shared" si="6"/>
        <v/>
      </c>
      <c r="L603" s="60" t="str">
        <f t="shared" si="7"/>
        <v/>
      </c>
      <c r="M603" s="61" t="str">
        <f>IFERROR(__xludf.DUMMYFUNCTION("IFS(AND(COUNTA(C603:C1350)=0,COUNTA(Q603:Q1350)=0),"""",OR(AND(K603&gt;=1000000000,OR(Y603&gt;=1000000000,COUNTA(Q603:Q1350)=0)),OR(Y603&gt;=1000000000,AND(COUNTA(C603:C1350)=0,P$3=TRUE))),
ROUNDDOWN((AB$1-AC$1)*MAX(INDEX(T$4:T1350,MATCH(LARGE(FILTER(Y$4:Y1350,Y$4"&amp;":Y1350&lt;1000000000),1),Y$4:Y1350)),INDEX(F$4:F1350,MATCH(LARGE(FILTER(K$4:K1350,K$4:K1350&lt;1000000000),1),K$4:K1350)))),AND(K603&lt;1000000000,COUNTA(C603:C1350)&gt;0,P$3=FALSE),
ROUNDDOWN(INDEX(Y$4:Y1350,MATCH(LARGE(FILTER(W$4:W1350,W$4:W1350&lt;=I603),1),W$4:W1350"&amp;"))+(I603-LARGE(FILTER(W$4:W1350,W$4:W1350&lt;=I603),1))*INDEX(T$4:T1350,MATCH(LARGE(FILTER(W$4:W1350,W$4:W1350&lt;=I603),1),W$4:W1350))-K603),1,
ROUNDDOWN(Y603-INDEX(K$4:K1350,MATCH(LARGE(FILTER(I$4:I1350,I$4:I1350&lt;=W603),1),I$4:I1350))-(W603-LARGE(FILTER(I$4:I"&amp;"1350,I$4:I1350&lt;=W603),1))*INDEX(F$4:F1350,MATCH(LARGE(FILTER(I$4:I1350,I$4:I1350&lt;=W603),1),I$4:I1350))))"),"")</f>
        <v/>
      </c>
      <c r="N603" s="60" t="str">
        <f t="shared" si="8"/>
        <v/>
      </c>
      <c r="O603" s="61" t="str">
        <f t="shared" si="9"/>
        <v/>
      </c>
      <c r="P603" s="56" t="str">
        <f t="shared" si="10"/>
        <v/>
      </c>
      <c r="Q603" s="62"/>
      <c r="R603" s="10" t="str">
        <f>IFERROR(__xludf.DUMMYFUNCTION("IF(COUNTA(Q603:Q1350)=0,"""",IF(ISBLANK(Q603),FALSE,IF(NOT(COUNTIF($AA$24:$AA$34,SUBSTITUTE(Q603,""Sell_"",""""))),1,IF(REGEXMATCH(Q603,""Sell_""),IF(COUNTIF(Q$4:Q603,SUBSTITUTE(Q603,""Sell_"",""""))-COUNTIF(Q$4:Q602,Q603)&lt;1,1),FALSE))))"),"")</f>
        <v/>
      </c>
      <c r="S603" s="59" t="str">
        <f t="array" ref="S603">IF(COUNTA(Q603:Q1350)=0,"",SUM((COUNTIF(Q$4:Q603,Upgrades!$B$3:$B$13)-COUNTIF(Q$4:Q603,"Sell_"&amp;Upgrades!$B$3:$B$13))*Upgrades!$D$3:$D$13))</f>
        <v/>
      </c>
      <c r="T603" s="66" t="str">
        <f>IFERROR(__xludf.DUMMYFUNCTION("IF(COUNTA(Q603:Q1350)=0,"""",IF(REGEXMATCH(INDEX(FILTER(Q$4:Q603,Q$4:Q603&lt;&gt;""""),ROWS(FILTER(Q$4:Q603,Q$4:Q603&lt;&gt;""""))),""^Sell_""),INDEX(FILTER(T$4:T602,Q$4:Q602&lt;&gt;""""),ROWS(FILTER(Q$4:Q602,Q$4:Q602&lt;&gt;""""))),$AD$5+S603))"),"")</f>
        <v/>
      </c>
      <c r="U603" s="10" t="str">
        <f>IFERROR(__xludf.DUMMYFUNCTION("IF(COUNTA(Q603:Q1350)=0,"""",IF(Q603="""",0,IF(REGEXMATCH(Q603,""^Sell_""),-ROUNDDOWN(ROUNDUP(INDEX(Upgrades!$C$3:$C$13,MATCH(SUBSTITUTE(Q603,""Sell_"",""""),Upgrades!$B$3:$B$13,0))*1.15^(COUNTIF(Q$4:Q602,SUBSTITUTE(Q603,""Sell_"",""""))-COUNTIF(Q$4:Q602,"&amp;"""Sell_""&amp;SUBSTITUTE(Q603,""Sell_"",""""))))/2),ROUNDUP(INDEX(Upgrades!$C$3:$C$13,MATCH(Q603,Upgrades!$B$3:$B$13,0))*1.15^(COUNTIF(Q$4:Q602,Q603)-COUNTIF(Q$4:Q602,""Sell_""&amp;Q603))))))"),"")</f>
        <v/>
      </c>
      <c r="V603" s="10" t="str">
        <f t="shared" si="11"/>
        <v/>
      </c>
      <c r="W603" s="68" t="str">
        <f t="shared" si="12"/>
        <v/>
      </c>
      <c r="X603" s="59" t="str">
        <f t="shared" si="13"/>
        <v/>
      </c>
      <c r="Y603" s="69" t="str">
        <f t="shared" si="14"/>
        <v/>
      </c>
      <c r="Z603" s="11"/>
    </row>
    <row r="604">
      <c r="A604" s="8"/>
      <c r="B604" s="56" t="str">
        <f t="shared" si="2"/>
        <v/>
      </c>
      <c r="C604" s="57"/>
      <c r="D604" s="10" t="str">
        <f>IFERROR(__xludf.DUMMYFUNCTION("IF(COUNTA(C604:C1350)=0,"""",IF(ISBLANK(C604),FALSE,IF(NOT(COUNTIF($AA$24:$AA$34,SUBSTITUTE(C604,""Sell_"",""""))),1,IF(REGEXMATCH(C604,""Sell_""),IF(COUNTIF(C$4:C604,SUBSTITUTE(C604,""Sell_"",""""))-COUNTIF(C$4:C603,C604)&lt;1,1),FALSE))))"),"")</f>
        <v/>
      </c>
      <c r="E604" s="59" t="str">
        <f t="array" ref="E604">IF(COUNTA(C604:C1350)=0,"",SUM((COUNTIF(C$4:C604,Upgrades!$B$3:$B$13)-COUNTIF(C$4:C604,"Sell_"&amp;Upgrades!$B$3:$B$13))*Upgrades!$D$3:$D$13))</f>
        <v/>
      </c>
      <c r="F604" s="66" t="str">
        <f>IFERROR(__xludf.DUMMYFUNCTION("IF(COUNTA(C604:C1350)=0,"""",IF(REGEXMATCH(INDEX(FILTER(C$4:C604,C$4:C604&lt;&gt;""""),ROWS(FILTER(C$4:C604,C$4:C604&lt;&gt;""""))),""^Sell_""),INDEX(FILTER(F$4:F603,C$4:C603&lt;&gt;""""),ROWS(FILTER(C$4:C603,C$4:C603&lt;&gt;""""))),$AC$5+E604))"),"")</f>
        <v/>
      </c>
      <c r="G604" s="10" t="str">
        <f>IFERROR(__xludf.DUMMYFUNCTION("IF(COUNTA(C604:C1350)=0,"""",IF(C604="""",0,IF(REGEXMATCH(C604,""^Sell_""),-ROUNDDOWN(ROUNDUP(INDEX(Upgrades!$C$3:$C$13,MATCH(SUBSTITUTE(C604,""Sell_"",""""),Upgrades!$B$3:$B$13,0))*1.15^(COUNTIF(C$4:C603,SUBSTITUTE(C604,""Sell_"",""""))-COUNTIF(C$4:C603,"&amp;"""Sell_""&amp;SUBSTITUTE(C604,""Sell_"",""""))))/2),ROUNDUP(INDEX(Upgrades!$C$3:$C$13,MATCH(C604,Upgrades!$B$3:$B$13,0))*1.15^(COUNTIF(C$4:C603,C604)-COUNTIF(C$4:C603,""Sell_""&amp;C604))))))"),"")</f>
        <v/>
      </c>
      <c r="H604" s="10" t="str">
        <f t="shared" si="3"/>
        <v/>
      </c>
      <c r="I604" s="68" t="str">
        <f t="shared" si="4"/>
        <v/>
      </c>
      <c r="J604" s="59" t="str">
        <f t="shared" si="5"/>
        <v/>
      </c>
      <c r="K604" s="69" t="str">
        <f t="shared" si="6"/>
        <v/>
      </c>
      <c r="L604" s="60" t="str">
        <f t="shared" si="7"/>
        <v/>
      </c>
      <c r="M604" s="61" t="str">
        <f>IFERROR(__xludf.DUMMYFUNCTION("IFS(AND(COUNTA(C604:C1350)=0,COUNTA(Q604:Q1350)=0),"""",OR(AND(K604&gt;=1000000000,OR(Y604&gt;=1000000000,COUNTA(Q604:Q1350)=0)),OR(Y604&gt;=1000000000,AND(COUNTA(C604:C1350)=0,P$3=TRUE))),
ROUNDDOWN((AB$1-AC$1)*MAX(INDEX(T$4:T1350,MATCH(LARGE(FILTER(Y$4:Y1350,Y$4"&amp;":Y1350&lt;1000000000),1),Y$4:Y1350)),INDEX(F$4:F1350,MATCH(LARGE(FILTER(K$4:K1350,K$4:K1350&lt;1000000000),1),K$4:K1350)))),AND(K604&lt;1000000000,COUNTA(C604:C1350)&gt;0,P$3=FALSE),
ROUNDDOWN(INDEX(Y$4:Y1350,MATCH(LARGE(FILTER(W$4:W1350,W$4:W1350&lt;=I604),1),W$4:W1350"&amp;"))+(I604-LARGE(FILTER(W$4:W1350,W$4:W1350&lt;=I604),1))*INDEX(T$4:T1350,MATCH(LARGE(FILTER(W$4:W1350,W$4:W1350&lt;=I604),1),W$4:W1350))-K604),1,
ROUNDDOWN(Y604-INDEX(K$4:K1350,MATCH(LARGE(FILTER(I$4:I1350,I$4:I1350&lt;=W604),1),I$4:I1350))-(W604-LARGE(FILTER(I$4:I"&amp;"1350,I$4:I1350&lt;=W604),1))*INDEX(F$4:F1350,MATCH(LARGE(FILTER(I$4:I1350,I$4:I1350&lt;=W604),1),I$4:I1350))))"),"")</f>
        <v/>
      </c>
      <c r="N604" s="60" t="str">
        <f t="shared" si="8"/>
        <v/>
      </c>
      <c r="O604" s="61" t="str">
        <f t="shared" si="9"/>
        <v/>
      </c>
      <c r="P604" s="56" t="str">
        <f t="shared" si="10"/>
        <v/>
      </c>
      <c r="Q604" s="62"/>
      <c r="R604" s="10" t="str">
        <f>IFERROR(__xludf.DUMMYFUNCTION("IF(COUNTA(Q604:Q1350)=0,"""",IF(ISBLANK(Q604),FALSE,IF(NOT(COUNTIF($AA$24:$AA$34,SUBSTITUTE(Q604,""Sell_"",""""))),1,IF(REGEXMATCH(Q604,""Sell_""),IF(COUNTIF(Q$4:Q604,SUBSTITUTE(Q604,""Sell_"",""""))-COUNTIF(Q$4:Q603,Q604)&lt;1,1),FALSE))))"),"")</f>
        <v/>
      </c>
      <c r="S604" s="59" t="str">
        <f t="array" ref="S604">IF(COUNTA(Q604:Q1350)=0,"",SUM((COUNTIF(Q$4:Q604,Upgrades!$B$3:$B$13)-COUNTIF(Q$4:Q604,"Sell_"&amp;Upgrades!$B$3:$B$13))*Upgrades!$D$3:$D$13))</f>
        <v/>
      </c>
      <c r="T604" s="66" t="str">
        <f>IFERROR(__xludf.DUMMYFUNCTION("IF(COUNTA(Q604:Q1350)=0,"""",IF(REGEXMATCH(INDEX(FILTER(Q$4:Q604,Q$4:Q604&lt;&gt;""""),ROWS(FILTER(Q$4:Q604,Q$4:Q604&lt;&gt;""""))),""^Sell_""),INDEX(FILTER(T$4:T603,Q$4:Q603&lt;&gt;""""),ROWS(FILTER(Q$4:Q603,Q$4:Q603&lt;&gt;""""))),$AD$5+S604))"),"")</f>
        <v/>
      </c>
      <c r="U604" s="10" t="str">
        <f>IFERROR(__xludf.DUMMYFUNCTION("IF(COUNTA(Q604:Q1350)=0,"""",IF(Q604="""",0,IF(REGEXMATCH(Q604,""^Sell_""),-ROUNDDOWN(ROUNDUP(INDEX(Upgrades!$C$3:$C$13,MATCH(SUBSTITUTE(Q604,""Sell_"",""""),Upgrades!$B$3:$B$13,0))*1.15^(COUNTIF(Q$4:Q603,SUBSTITUTE(Q604,""Sell_"",""""))-COUNTIF(Q$4:Q603,"&amp;"""Sell_""&amp;SUBSTITUTE(Q604,""Sell_"",""""))))/2),ROUNDUP(INDEX(Upgrades!$C$3:$C$13,MATCH(Q604,Upgrades!$B$3:$B$13,0))*1.15^(COUNTIF(Q$4:Q603,Q604)-COUNTIF(Q$4:Q603,""Sell_""&amp;Q604))))))"),"")</f>
        <v/>
      </c>
      <c r="V604" s="10" t="str">
        <f t="shared" si="11"/>
        <v/>
      </c>
      <c r="W604" s="68" t="str">
        <f t="shared" si="12"/>
        <v/>
      </c>
      <c r="X604" s="59" t="str">
        <f t="shared" si="13"/>
        <v/>
      </c>
      <c r="Y604" s="69" t="str">
        <f t="shared" si="14"/>
        <v/>
      </c>
      <c r="Z604" s="11"/>
    </row>
    <row r="605">
      <c r="A605" s="8"/>
      <c r="B605" s="56" t="str">
        <f t="shared" si="2"/>
        <v/>
      </c>
      <c r="C605" s="57"/>
      <c r="D605" s="10" t="str">
        <f>IFERROR(__xludf.DUMMYFUNCTION("IF(COUNTA(C605:C1350)=0,"""",IF(ISBLANK(C605),FALSE,IF(NOT(COUNTIF($AA$24:$AA$34,SUBSTITUTE(C605,""Sell_"",""""))),1,IF(REGEXMATCH(C605,""Sell_""),IF(COUNTIF(C$4:C605,SUBSTITUTE(C605,""Sell_"",""""))-COUNTIF(C$4:C604,C605)&lt;1,1),FALSE))))"),"")</f>
        <v/>
      </c>
      <c r="E605" s="59" t="str">
        <f t="array" ref="E605">IF(COUNTA(C605:C1350)=0,"",SUM((COUNTIF(C$4:C605,Upgrades!$B$3:$B$13)-COUNTIF(C$4:C605,"Sell_"&amp;Upgrades!$B$3:$B$13))*Upgrades!$D$3:$D$13))</f>
        <v/>
      </c>
      <c r="F605" s="66" t="str">
        <f>IFERROR(__xludf.DUMMYFUNCTION("IF(COUNTA(C605:C1350)=0,"""",IF(REGEXMATCH(INDEX(FILTER(C$4:C605,C$4:C605&lt;&gt;""""),ROWS(FILTER(C$4:C605,C$4:C605&lt;&gt;""""))),""^Sell_""),INDEX(FILTER(F$4:F604,C$4:C604&lt;&gt;""""),ROWS(FILTER(C$4:C604,C$4:C604&lt;&gt;""""))),$AC$5+E605))"),"")</f>
        <v/>
      </c>
      <c r="G605" s="10" t="str">
        <f>IFERROR(__xludf.DUMMYFUNCTION("IF(COUNTA(C605:C1350)=0,"""",IF(C605="""",0,IF(REGEXMATCH(C605,""^Sell_""),-ROUNDDOWN(ROUNDUP(INDEX(Upgrades!$C$3:$C$13,MATCH(SUBSTITUTE(C605,""Sell_"",""""),Upgrades!$B$3:$B$13,0))*1.15^(COUNTIF(C$4:C604,SUBSTITUTE(C605,""Sell_"",""""))-COUNTIF(C$4:C604,"&amp;"""Sell_""&amp;SUBSTITUTE(C605,""Sell_"",""""))))/2),ROUNDUP(INDEX(Upgrades!$C$3:$C$13,MATCH(C605,Upgrades!$B$3:$B$13,0))*1.15^(COUNTIF(C$4:C604,C605)-COUNTIF(C$4:C604,""Sell_""&amp;C605))))))"),"")</f>
        <v/>
      </c>
      <c r="H605" s="10" t="str">
        <f t="shared" si="3"/>
        <v/>
      </c>
      <c r="I605" s="68" t="str">
        <f t="shared" si="4"/>
        <v/>
      </c>
      <c r="J605" s="59" t="str">
        <f t="shared" si="5"/>
        <v/>
      </c>
      <c r="K605" s="69" t="str">
        <f t="shared" si="6"/>
        <v/>
      </c>
      <c r="L605" s="60" t="str">
        <f t="shared" si="7"/>
        <v/>
      </c>
      <c r="M605" s="61" t="str">
        <f>IFERROR(__xludf.DUMMYFUNCTION("IFS(AND(COUNTA(C605:C1350)=0,COUNTA(Q605:Q1350)=0),"""",OR(AND(K605&gt;=1000000000,OR(Y605&gt;=1000000000,COUNTA(Q605:Q1350)=0)),OR(Y605&gt;=1000000000,AND(COUNTA(C605:C1350)=0,P$3=TRUE))),
ROUNDDOWN((AB$1-AC$1)*MAX(INDEX(T$4:T1350,MATCH(LARGE(FILTER(Y$4:Y1350,Y$4"&amp;":Y1350&lt;1000000000),1),Y$4:Y1350)),INDEX(F$4:F1350,MATCH(LARGE(FILTER(K$4:K1350,K$4:K1350&lt;1000000000),1),K$4:K1350)))),AND(K605&lt;1000000000,COUNTA(C605:C1350)&gt;0,P$3=FALSE),
ROUNDDOWN(INDEX(Y$4:Y1350,MATCH(LARGE(FILTER(W$4:W1350,W$4:W1350&lt;=I605),1),W$4:W1350"&amp;"))+(I605-LARGE(FILTER(W$4:W1350,W$4:W1350&lt;=I605),1))*INDEX(T$4:T1350,MATCH(LARGE(FILTER(W$4:W1350,W$4:W1350&lt;=I605),1),W$4:W1350))-K605),1,
ROUNDDOWN(Y605-INDEX(K$4:K1350,MATCH(LARGE(FILTER(I$4:I1350,I$4:I1350&lt;=W605),1),I$4:I1350))-(W605-LARGE(FILTER(I$4:I"&amp;"1350,I$4:I1350&lt;=W605),1))*INDEX(F$4:F1350,MATCH(LARGE(FILTER(I$4:I1350,I$4:I1350&lt;=W605),1),I$4:I1350))))"),"")</f>
        <v/>
      </c>
      <c r="N605" s="60" t="str">
        <f t="shared" si="8"/>
        <v/>
      </c>
      <c r="O605" s="61" t="str">
        <f t="shared" si="9"/>
        <v/>
      </c>
      <c r="P605" s="56" t="str">
        <f t="shared" si="10"/>
        <v/>
      </c>
      <c r="Q605" s="62"/>
      <c r="R605" s="10" t="str">
        <f>IFERROR(__xludf.DUMMYFUNCTION("IF(COUNTA(Q605:Q1350)=0,"""",IF(ISBLANK(Q605),FALSE,IF(NOT(COUNTIF($AA$24:$AA$34,SUBSTITUTE(Q605,""Sell_"",""""))),1,IF(REGEXMATCH(Q605,""Sell_""),IF(COUNTIF(Q$4:Q605,SUBSTITUTE(Q605,""Sell_"",""""))-COUNTIF(Q$4:Q604,Q605)&lt;1,1),FALSE))))"),"")</f>
        <v/>
      </c>
      <c r="S605" s="59" t="str">
        <f t="array" ref="S605">IF(COUNTA(Q605:Q1350)=0,"",SUM((COUNTIF(Q$4:Q605,Upgrades!$B$3:$B$13)-COUNTIF(Q$4:Q605,"Sell_"&amp;Upgrades!$B$3:$B$13))*Upgrades!$D$3:$D$13))</f>
        <v/>
      </c>
      <c r="T605" s="66" t="str">
        <f>IFERROR(__xludf.DUMMYFUNCTION("IF(COUNTA(Q605:Q1350)=0,"""",IF(REGEXMATCH(INDEX(FILTER(Q$4:Q605,Q$4:Q605&lt;&gt;""""),ROWS(FILTER(Q$4:Q605,Q$4:Q605&lt;&gt;""""))),""^Sell_""),INDEX(FILTER(T$4:T604,Q$4:Q604&lt;&gt;""""),ROWS(FILTER(Q$4:Q604,Q$4:Q604&lt;&gt;""""))),$AD$5+S605))"),"")</f>
        <v/>
      </c>
      <c r="U605" s="10" t="str">
        <f>IFERROR(__xludf.DUMMYFUNCTION("IF(COUNTA(Q605:Q1350)=0,"""",IF(Q605="""",0,IF(REGEXMATCH(Q605,""^Sell_""),-ROUNDDOWN(ROUNDUP(INDEX(Upgrades!$C$3:$C$13,MATCH(SUBSTITUTE(Q605,""Sell_"",""""),Upgrades!$B$3:$B$13,0))*1.15^(COUNTIF(Q$4:Q604,SUBSTITUTE(Q605,""Sell_"",""""))-COUNTIF(Q$4:Q604,"&amp;"""Sell_""&amp;SUBSTITUTE(Q605,""Sell_"",""""))))/2),ROUNDUP(INDEX(Upgrades!$C$3:$C$13,MATCH(Q605,Upgrades!$B$3:$B$13,0))*1.15^(COUNTIF(Q$4:Q604,Q605)-COUNTIF(Q$4:Q604,""Sell_""&amp;Q605))))))"),"")</f>
        <v/>
      </c>
      <c r="V605" s="10" t="str">
        <f t="shared" si="11"/>
        <v/>
      </c>
      <c r="W605" s="68" t="str">
        <f t="shared" si="12"/>
        <v/>
      </c>
      <c r="X605" s="59" t="str">
        <f t="shared" si="13"/>
        <v/>
      </c>
      <c r="Y605" s="69" t="str">
        <f t="shared" si="14"/>
        <v/>
      </c>
      <c r="Z605" s="11"/>
    </row>
    <row r="606">
      <c r="A606" s="8"/>
      <c r="B606" s="56" t="str">
        <f t="shared" si="2"/>
        <v/>
      </c>
      <c r="C606" s="57"/>
      <c r="D606" s="10" t="str">
        <f>IFERROR(__xludf.DUMMYFUNCTION("IF(COUNTA(C606:C1350)=0,"""",IF(ISBLANK(C606),FALSE,IF(NOT(COUNTIF($AA$24:$AA$34,SUBSTITUTE(C606,""Sell_"",""""))),1,IF(REGEXMATCH(C606,""Sell_""),IF(COUNTIF(C$4:C606,SUBSTITUTE(C606,""Sell_"",""""))-COUNTIF(C$4:C605,C606)&lt;1,1),FALSE))))"),"")</f>
        <v/>
      </c>
      <c r="E606" s="59" t="str">
        <f t="array" ref="E606">IF(COUNTA(C606:C1350)=0,"",SUM((COUNTIF(C$4:C606,Upgrades!$B$3:$B$13)-COUNTIF(C$4:C606,"Sell_"&amp;Upgrades!$B$3:$B$13))*Upgrades!$D$3:$D$13))</f>
        <v/>
      </c>
      <c r="F606" s="66" t="str">
        <f>IFERROR(__xludf.DUMMYFUNCTION("IF(COUNTA(C606:C1350)=0,"""",IF(REGEXMATCH(INDEX(FILTER(C$4:C606,C$4:C606&lt;&gt;""""),ROWS(FILTER(C$4:C606,C$4:C606&lt;&gt;""""))),""^Sell_""),INDEX(FILTER(F$4:F605,C$4:C605&lt;&gt;""""),ROWS(FILTER(C$4:C605,C$4:C605&lt;&gt;""""))),$AC$5+E606))"),"")</f>
        <v/>
      </c>
      <c r="G606" s="10" t="str">
        <f>IFERROR(__xludf.DUMMYFUNCTION("IF(COUNTA(C606:C1350)=0,"""",IF(C606="""",0,IF(REGEXMATCH(C606,""^Sell_""),-ROUNDDOWN(ROUNDUP(INDEX(Upgrades!$C$3:$C$13,MATCH(SUBSTITUTE(C606,""Sell_"",""""),Upgrades!$B$3:$B$13,0))*1.15^(COUNTIF(C$4:C605,SUBSTITUTE(C606,""Sell_"",""""))-COUNTIF(C$4:C605,"&amp;"""Sell_""&amp;SUBSTITUTE(C606,""Sell_"",""""))))/2),ROUNDUP(INDEX(Upgrades!$C$3:$C$13,MATCH(C606,Upgrades!$B$3:$B$13,0))*1.15^(COUNTIF(C$4:C605,C606)-COUNTIF(C$4:C605,""Sell_""&amp;C606))))))"),"")</f>
        <v/>
      </c>
      <c r="H606" s="10" t="str">
        <f t="shared" si="3"/>
        <v/>
      </c>
      <c r="I606" s="68" t="str">
        <f t="shared" si="4"/>
        <v/>
      </c>
      <c r="J606" s="59" t="str">
        <f t="shared" si="5"/>
        <v/>
      </c>
      <c r="K606" s="69" t="str">
        <f t="shared" si="6"/>
        <v/>
      </c>
      <c r="L606" s="60" t="str">
        <f t="shared" si="7"/>
        <v/>
      </c>
      <c r="M606" s="61" t="str">
        <f>IFERROR(__xludf.DUMMYFUNCTION("IFS(AND(COUNTA(C606:C1350)=0,COUNTA(Q606:Q1350)=0),"""",OR(AND(K606&gt;=1000000000,OR(Y606&gt;=1000000000,COUNTA(Q606:Q1350)=0)),OR(Y606&gt;=1000000000,AND(COUNTA(C606:C1350)=0,P$3=TRUE))),
ROUNDDOWN((AB$1-AC$1)*MAX(INDEX(T$4:T1350,MATCH(LARGE(FILTER(Y$4:Y1350,Y$4"&amp;":Y1350&lt;1000000000),1),Y$4:Y1350)),INDEX(F$4:F1350,MATCH(LARGE(FILTER(K$4:K1350,K$4:K1350&lt;1000000000),1),K$4:K1350)))),AND(K606&lt;1000000000,COUNTA(C606:C1350)&gt;0,P$3=FALSE),
ROUNDDOWN(INDEX(Y$4:Y1350,MATCH(LARGE(FILTER(W$4:W1350,W$4:W1350&lt;=I606),1),W$4:W1350"&amp;"))+(I606-LARGE(FILTER(W$4:W1350,W$4:W1350&lt;=I606),1))*INDEX(T$4:T1350,MATCH(LARGE(FILTER(W$4:W1350,W$4:W1350&lt;=I606),1),W$4:W1350))-K606),1,
ROUNDDOWN(Y606-INDEX(K$4:K1350,MATCH(LARGE(FILTER(I$4:I1350,I$4:I1350&lt;=W606),1),I$4:I1350))-(W606-LARGE(FILTER(I$4:I"&amp;"1350,I$4:I1350&lt;=W606),1))*INDEX(F$4:F1350,MATCH(LARGE(FILTER(I$4:I1350,I$4:I1350&lt;=W606),1),I$4:I1350))))"),"")</f>
        <v/>
      </c>
      <c r="N606" s="60" t="str">
        <f t="shared" si="8"/>
        <v/>
      </c>
      <c r="O606" s="61" t="str">
        <f t="shared" si="9"/>
        <v/>
      </c>
      <c r="P606" s="56" t="str">
        <f t="shared" si="10"/>
        <v/>
      </c>
      <c r="Q606" s="62"/>
      <c r="R606" s="10" t="str">
        <f>IFERROR(__xludf.DUMMYFUNCTION("IF(COUNTA(Q606:Q1350)=0,"""",IF(ISBLANK(Q606),FALSE,IF(NOT(COUNTIF($AA$24:$AA$34,SUBSTITUTE(Q606,""Sell_"",""""))),1,IF(REGEXMATCH(Q606,""Sell_""),IF(COUNTIF(Q$4:Q606,SUBSTITUTE(Q606,""Sell_"",""""))-COUNTIF(Q$4:Q605,Q606)&lt;1,1),FALSE))))"),"")</f>
        <v/>
      </c>
      <c r="S606" s="59" t="str">
        <f t="array" ref="S606">IF(COUNTA(Q606:Q1350)=0,"",SUM((COUNTIF(Q$4:Q606,Upgrades!$B$3:$B$13)-COUNTIF(Q$4:Q606,"Sell_"&amp;Upgrades!$B$3:$B$13))*Upgrades!$D$3:$D$13))</f>
        <v/>
      </c>
      <c r="T606" s="66" t="str">
        <f>IFERROR(__xludf.DUMMYFUNCTION("IF(COUNTA(Q606:Q1350)=0,"""",IF(REGEXMATCH(INDEX(FILTER(Q$4:Q606,Q$4:Q606&lt;&gt;""""),ROWS(FILTER(Q$4:Q606,Q$4:Q606&lt;&gt;""""))),""^Sell_""),INDEX(FILTER(T$4:T605,Q$4:Q605&lt;&gt;""""),ROWS(FILTER(Q$4:Q605,Q$4:Q605&lt;&gt;""""))),$AD$5+S606))"),"")</f>
        <v/>
      </c>
      <c r="U606" s="10" t="str">
        <f>IFERROR(__xludf.DUMMYFUNCTION("IF(COUNTA(Q606:Q1350)=0,"""",IF(Q606="""",0,IF(REGEXMATCH(Q606,""^Sell_""),-ROUNDDOWN(ROUNDUP(INDEX(Upgrades!$C$3:$C$13,MATCH(SUBSTITUTE(Q606,""Sell_"",""""),Upgrades!$B$3:$B$13,0))*1.15^(COUNTIF(Q$4:Q605,SUBSTITUTE(Q606,""Sell_"",""""))-COUNTIF(Q$4:Q605,"&amp;"""Sell_""&amp;SUBSTITUTE(Q606,""Sell_"",""""))))/2),ROUNDUP(INDEX(Upgrades!$C$3:$C$13,MATCH(Q606,Upgrades!$B$3:$B$13,0))*1.15^(COUNTIF(Q$4:Q605,Q606)-COUNTIF(Q$4:Q605,""Sell_""&amp;Q606))))))"),"")</f>
        <v/>
      </c>
      <c r="V606" s="10" t="str">
        <f t="shared" si="11"/>
        <v/>
      </c>
      <c r="W606" s="68" t="str">
        <f t="shared" si="12"/>
        <v/>
      </c>
      <c r="X606" s="59" t="str">
        <f t="shared" si="13"/>
        <v/>
      </c>
      <c r="Y606" s="69" t="str">
        <f t="shared" si="14"/>
        <v/>
      </c>
      <c r="Z606" s="11"/>
    </row>
    <row r="607">
      <c r="A607" s="8"/>
      <c r="B607" s="56" t="str">
        <f t="shared" si="2"/>
        <v/>
      </c>
      <c r="C607" s="57"/>
      <c r="D607" s="10" t="str">
        <f>IFERROR(__xludf.DUMMYFUNCTION("IF(COUNTA(C607:C1350)=0,"""",IF(ISBLANK(C607),FALSE,IF(NOT(COUNTIF($AA$24:$AA$34,SUBSTITUTE(C607,""Sell_"",""""))),1,IF(REGEXMATCH(C607,""Sell_""),IF(COUNTIF(C$4:C607,SUBSTITUTE(C607,""Sell_"",""""))-COUNTIF(C$4:C606,C607)&lt;1,1),FALSE))))"),"")</f>
        <v/>
      </c>
      <c r="E607" s="59" t="str">
        <f t="array" ref="E607">IF(COUNTA(C607:C1350)=0,"",SUM((COUNTIF(C$4:C607,Upgrades!$B$3:$B$13)-COUNTIF(C$4:C607,"Sell_"&amp;Upgrades!$B$3:$B$13))*Upgrades!$D$3:$D$13))</f>
        <v/>
      </c>
      <c r="F607" s="66" t="str">
        <f>IFERROR(__xludf.DUMMYFUNCTION("IF(COUNTA(C607:C1350)=0,"""",IF(REGEXMATCH(INDEX(FILTER(C$4:C607,C$4:C607&lt;&gt;""""),ROWS(FILTER(C$4:C607,C$4:C607&lt;&gt;""""))),""^Sell_""),INDEX(FILTER(F$4:F606,C$4:C606&lt;&gt;""""),ROWS(FILTER(C$4:C606,C$4:C606&lt;&gt;""""))),$AC$5+E607))"),"")</f>
        <v/>
      </c>
      <c r="G607" s="10" t="str">
        <f>IFERROR(__xludf.DUMMYFUNCTION("IF(COUNTA(C607:C1350)=0,"""",IF(C607="""",0,IF(REGEXMATCH(C607,""^Sell_""),-ROUNDDOWN(ROUNDUP(INDEX(Upgrades!$C$3:$C$13,MATCH(SUBSTITUTE(C607,""Sell_"",""""),Upgrades!$B$3:$B$13,0))*1.15^(COUNTIF(C$4:C606,SUBSTITUTE(C607,""Sell_"",""""))-COUNTIF(C$4:C606,"&amp;"""Sell_""&amp;SUBSTITUTE(C607,""Sell_"",""""))))/2),ROUNDUP(INDEX(Upgrades!$C$3:$C$13,MATCH(C607,Upgrades!$B$3:$B$13,0))*1.15^(COUNTIF(C$4:C606,C607)-COUNTIF(C$4:C606,""Sell_""&amp;C607))))))"),"")</f>
        <v/>
      </c>
      <c r="H607" s="10" t="str">
        <f t="shared" si="3"/>
        <v/>
      </c>
      <c r="I607" s="68" t="str">
        <f t="shared" si="4"/>
        <v/>
      </c>
      <c r="J607" s="59" t="str">
        <f t="shared" si="5"/>
        <v/>
      </c>
      <c r="K607" s="69" t="str">
        <f t="shared" si="6"/>
        <v/>
      </c>
      <c r="L607" s="60" t="str">
        <f t="shared" si="7"/>
        <v/>
      </c>
      <c r="M607" s="61" t="str">
        <f>IFERROR(__xludf.DUMMYFUNCTION("IFS(AND(COUNTA(C607:C1350)=0,COUNTA(Q607:Q1350)=0),"""",OR(AND(K607&gt;=1000000000,OR(Y607&gt;=1000000000,COUNTA(Q607:Q1350)=0)),OR(Y607&gt;=1000000000,AND(COUNTA(C607:C1350)=0,P$3=TRUE))),
ROUNDDOWN((AB$1-AC$1)*MAX(INDEX(T$4:T1350,MATCH(LARGE(FILTER(Y$4:Y1350,Y$4"&amp;":Y1350&lt;1000000000),1),Y$4:Y1350)),INDEX(F$4:F1350,MATCH(LARGE(FILTER(K$4:K1350,K$4:K1350&lt;1000000000),1),K$4:K1350)))),AND(K607&lt;1000000000,COUNTA(C607:C1350)&gt;0,P$3=FALSE),
ROUNDDOWN(INDEX(Y$4:Y1350,MATCH(LARGE(FILTER(W$4:W1350,W$4:W1350&lt;=I607),1),W$4:W1350"&amp;"))+(I607-LARGE(FILTER(W$4:W1350,W$4:W1350&lt;=I607),1))*INDEX(T$4:T1350,MATCH(LARGE(FILTER(W$4:W1350,W$4:W1350&lt;=I607),1),W$4:W1350))-K607),1,
ROUNDDOWN(Y607-INDEX(K$4:K1350,MATCH(LARGE(FILTER(I$4:I1350,I$4:I1350&lt;=W607),1),I$4:I1350))-(W607-LARGE(FILTER(I$4:I"&amp;"1350,I$4:I1350&lt;=W607),1))*INDEX(F$4:F1350,MATCH(LARGE(FILTER(I$4:I1350,I$4:I1350&lt;=W607),1),I$4:I1350))))"),"")</f>
        <v/>
      </c>
      <c r="N607" s="60" t="str">
        <f t="shared" si="8"/>
        <v/>
      </c>
      <c r="O607" s="61" t="str">
        <f t="shared" si="9"/>
        <v/>
      </c>
      <c r="P607" s="56" t="str">
        <f t="shared" si="10"/>
        <v/>
      </c>
      <c r="Q607" s="62"/>
      <c r="R607" s="10" t="str">
        <f>IFERROR(__xludf.DUMMYFUNCTION("IF(COUNTA(Q607:Q1350)=0,"""",IF(ISBLANK(Q607),FALSE,IF(NOT(COUNTIF($AA$24:$AA$34,SUBSTITUTE(Q607,""Sell_"",""""))),1,IF(REGEXMATCH(Q607,""Sell_""),IF(COUNTIF(Q$4:Q607,SUBSTITUTE(Q607,""Sell_"",""""))-COUNTIF(Q$4:Q606,Q607)&lt;1,1),FALSE))))"),"")</f>
        <v/>
      </c>
      <c r="S607" s="59" t="str">
        <f t="array" ref="S607">IF(COUNTA(Q607:Q1350)=0,"",SUM((COUNTIF(Q$4:Q607,Upgrades!$B$3:$B$13)-COUNTIF(Q$4:Q607,"Sell_"&amp;Upgrades!$B$3:$B$13))*Upgrades!$D$3:$D$13))</f>
        <v/>
      </c>
      <c r="T607" s="66" t="str">
        <f>IFERROR(__xludf.DUMMYFUNCTION("IF(COUNTA(Q607:Q1350)=0,"""",IF(REGEXMATCH(INDEX(FILTER(Q$4:Q607,Q$4:Q607&lt;&gt;""""),ROWS(FILTER(Q$4:Q607,Q$4:Q607&lt;&gt;""""))),""^Sell_""),INDEX(FILTER(T$4:T606,Q$4:Q606&lt;&gt;""""),ROWS(FILTER(Q$4:Q606,Q$4:Q606&lt;&gt;""""))),$AD$5+S607))"),"")</f>
        <v/>
      </c>
      <c r="U607" s="10" t="str">
        <f>IFERROR(__xludf.DUMMYFUNCTION("IF(COUNTA(Q607:Q1350)=0,"""",IF(Q607="""",0,IF(REGEXMATCH(Q607,""^Sell_""),-ROUNDDOWN(ROUNDUP(INDEX(Upgrades!$C$3:$C$13,MATCH(SUBSTITUTE(Q607,""Sell_"",""""),Upgrades!$B$3:$B$13,0))*1.15^(COUNTIF(Q$4:Q606,SUBSTITUTE(Q607,""Sell_"",""""))-COUNTIF(Q$4:Q606,"&amp;"""Sell_""&amp;SUBSTITUTE(Q607,""Sell_"",""""))))/2),ROUNDUP(INDEX(Upgrades!$C$3:$C$13,MATCH(Q607,Upgrades!$B$3:$B$13,0))*1.15^(COUNTIF(Q$4:Q606,Q607)-COUNTIF(Q$4:Q606,""Sell_""&amp;Q607))))))"),"")</f>
        <v/>
      </c>
      <c r="V607" s="10" t="str">
        <f t="shared" si="11"/>
        <v/>
      </c>
      <c r="W607" s="68" t="str">
        <f t="shared" si="12"/>
        <v/>
      </c>
      <c r="X607" s="59" t="str">
        <f t="shared" si="13"/>
        <v/>
      </c>
      <c r="Y607" s="69" t="str">
        <f t="shared" si="14"/>
        <v/>
      </c>
      <c r="Z607" s="11"/>
    </row>
    <row r="608">
      <c r="A608" s="8"/>
      <c r="B608" s="56" t="str">
        <f t="shared" si="2"/>
        <v/>
      </c>
      <c r="C608" s="57"/>
      <c r="D608" s="10" t="str">
        <f>IFERROR(__xludf.DUMMYFUNCTION("IF(COUNTA(C608:C1350)=0,"""",IF(ISBLANK(C608),FALSE,IF(NOT(COUNTIF($AA$24:$AA$34,SUBSTITUTE(C608,""Sell_"",""""))),1,IF(REGEXMATCH(C608,""Sell_""),IF(COUNTIF(C$4:C608,SUBSTITUTE(C608,""Sell_"",""""))-COUNTIF(C$4:C607,C608)&lt;1,1),FALSE))))"),"")</f>
        <v/>
      </c>
      <c r="E608" s="59" t="str">
        <f t="array" ref="E608">IF(COUNTA(C608:C1350)=0,"",SUM((COUNTIF(C$4:C608,Upgrades!$B$3:$B$13)-COUNTIF(C$4:C608,"Sell_"&amp;Upgrades!$B$3:$B$13))*Upgrades!$D$3:$D$13))</f>
        <v/>
      </c>
      <c r="F608" s="66" t="str">
        <f>IFERROR(__xludf.DUMMYFUNCTION("IF(COUNTA(C608:C1350)=0,"""",IF(REGEXMATCH(INDEX(FILTER(C$4:C608,C$4:C608&lt;&gt;""""),ROWS(FILTER(C$4:C608,C$4:C608&lt;&gt;""""))),""^Sell_""),INDEX(FILTER(F$4:F607,C$4:C607&lt;&gt;""""),ROWS(FILTER(C$4:C607,C$4:C607&lt;&gt;""""))),$AC$5+E608))"),"")</f>
        <v/>
      </c>
      <c r="G608" s="10" t="str">
        <f>IFERROR(__xludf.DUMMYFUNCTION("IF(COUNTA(C608:C1350)=0,"""",IF(C608="""",0,IF(REGEXMATCH(C608,""^Sell_""),-ROUNDDOWN(ROUNDUP(INDEX(Upgrades!$C$3:$C$13,MATCH(SUBSTITUTE(C608,""Sell_"",""""),Upgrades!$B$3:$B$13,0))*1.15^(COUNTIF(C$4:C607,SUBSTITUTE(C608,""Sell_"",""""))-COUNTIF(C$4:C607,"&amp;"""Sell_""&amp;SUBSTITUTE(C608,""Sell_"",""""))))/2),ROUNDUP(INDEX(Upgrades!$C$3:$C$13,MATCH(C608,Upgrades!$B$3:$B$13,0))*1.15^(COUNTIF(C$4:C607,C608)-COUNTIF(C$4:C607,""Sell_""&amp;C608))))))"),"")</f>
        <v/>
      </c>
      <c r="H608" s="10" t="str">
        <f t="shared" si="3"/>
        <v/>
      </c>
      <c r="I608" s="68" t="str">
        <f t="shared" si="4"/>
        <v/>
      </c>
      <c r="J608" s="59" t="str">
        <f t="shared" si="5"/>
        <v/>
      </c>
      <c r="K608" s="69" t="str">
        <f t="shared" si="6"/>
        <v/>
      </c>
      <c r="L608" s="60" t="str">
        <f t="shared" si="7"/>
        <v/>
      </c>
      <c r="M608" s="61" t="str">
        <f>IFERROR(__xludf.DUMMYFUNCTION("IFS(AND(COUNTA(C608:C1350)=0,COUNTA(Q608:Q1350)=0),"""",OR(AND(K608&gt;=1000000000,OR(Y608&gt;=1000000000,COUNTA(Q608:Q1350)=0)),OR(Y608&gt;=1000000000,AND(COUNTA(C608:C1350)=0,P$3=TRUE))),
ROUNDDOWN((AB$1-AC$1)*MAX(INDEX(T$4:T1350,MATCH(LARGE(FILTER(Y$4:Y1350,Y$4"&amp;":Y1350&lt;1000000000),1),Y$4:Y1350)),INDEX(F$4:F1350,MATCH(LARGE(FILTER(K$4:K1350,K$4:K1350&lt;1000000000),1),K$4:K1350)))),AND(K608&lt;1000000000,COUNTA(C608:C1350)&gt;0,P$3=FALSE),
ROUNDDOWN(INDEX(Y$4:Y1350,MATCH(LARGE(FILTER(W$4:W1350,W$4:W1350&lt;=I608),1),W$4:W1350"&amp;"))+(I608-LARGE(FILTER(W$4:W1350,W$4:W1350&lt;=I608),1))*INDEX(T$4:T1350,MATCH(LARGE(FILTER(W$4:W1350,W$4:W1350&lt;=I608),1),W$4:W1350))-K608),1,
ROUNDDOWN(Y608-INDEX(K$4:K1350,MATCH(LARGE(FILTER(I$4:I1350,I$4:I1350&lt;=W608),1),I$4:I1350))-(W608-LARGE(FILTER(I$4:I"&amp;"1350,I$4:I1350&lt;=W608),1))*INDEX(F$4:F1350,MATCH(LARGE(FILTER(I$4:I1350,I$4:I1350&lt;=W608),1),I$4:I1350))))"),"")</f>
        <v/>
      </c>
      <c r="N608" s="60" t="str">
        <f t="shared" si="8"/>
        <v/>
      </c>
      <c r="O608" s="61" t="str">
        <f t="shared" si="9"/>
        <v/>
      </c>
      <c r="P608" s="56" t="str">
        <f t="shared" si="10"/>
        <v/>
      </c>
      <c r="Q608" s="62"/>
      <c r="R608" s="10" t="str">
        <f>IFERROR(__xludf.DUMMYFUNCTION("IF(COUNTA(Q608:Q1350)=0,"""",IF(ISBLANK(Q608),FALSE,IF(NOT(COUNTIF($AA$24:$AA$34,SUBSTITUTE(Q608,""Sell_"",""""))),1,IF(REGEXMATCH(Q608,""Sell_""),IF(COUNTIF(Q$4:Q608,SUBSTITUTE(Q608,""Sell_"",""""))-COUNTIF(Q$4:Q607,Q608)&lt;1,1),FALSE))))"),"")</f>
        <v/>
      </c>
      <c r="S608" s="59" t="str">
        <f t="array" ref="S608">IF(COUNTA(Q608:Q1350)=0,"",SUM((COUNTIF(Q$4:Q608,Upgrades!$B$3:$B$13)-COUNTIF(Q$4:Q608,"Sell_"&amp;Upgrades!$B$3:$B$13))*Upgrades!$D$3:$D$13))</f>
        <v/>
      </c>
      <c r="T608" s="66" t="str">
        <f>IFERROR(__xludf.DUMMYFUNCTION("IF(COUNTA(Q608:Q1350)=0,"""",IF(REGEXMATCH(INDEX(FILTER(Q$4:Q608,Q$4:Q608&lt;&gt;""""),ROWS(FILTER(Q$4:Q608,Q$4:Q608&lt;&gt;""""))),""^Sell_""),INDEX(FILTER(T$4:T607,Q$4:Q607&lt;&gt;""""),ROWS(FILTER(Q$4:Q607,Q$4:Q607&lt;&gt;""""))),$AD$5+S608))"),"")</f>
        <v/>
      </c>
      <c r="U608" s="10" t="str">
        <f>IFERROR(__xludf.DUMMYFUNCTION("IF(COUNTA(Q608:Q1350)=0,"""",IF(Q608="""",0,IF(REGEXMATCH(Q608,""^Sell_""),-ROUNDDOWN(ROUNDUP(INDEX(Upgrades!$C$3:$C$13,MATCH(SUBSTITUTE(Q608,""Sell_"",""""),Upgrades!$B$3:$B$13,0))*1.15^(COUNTIF(Q$4:Q607,SUBSTITUTE(Q608,""Sell_"",""""))-COUNTIF(Q$4:Q607,"&amp;"""Sell_""&amp;SUBSTITUTE(Q608,""Sell_"",""""))))/2),ROUNDUP(INDEX(Upgrades!$C$3:$C$13,MATCH(Q608,Upgrades!$B$3:$B$13,0))*1.15^(COUNTIF(Q$4:Q607,Q608)-COUNTIF(Q$4:Q607,""Sell_""&amp;Q608))))))"),"")</f>
        <v/>
      </c>
      <c r="V608" s="10" t="str">
        <f t="shared" si="11"/>
        <v/>
      </c>
      <c r="W608" s="68" t="str">
        <f t="shared" si="12"/>
        <v/>
      </c>
      <c r="X608" s="59" t="str">
        <f t="shared" si="13"/>
        <v/>
      </c>
      <c r="Y608" s="69" t="str">
        <f t="shared" si="14"/>
        <v/>
      </c>
      <c r="Z608" s="11"/>
    </row>
    <row r="609">
      <c r="A609" s="8"/>
      <c r="B609" s="56" t="str">
        <f t="shared" si="2"/>
        <v/>
      </c>
      <c r="C609" s="57"/>
      <c r="D609" s="10" t="str">
        <f>IFERROR(__xludf.DUMMYFUNCTION("IF(COUNTA(C609:C1350)=0,"""",IF(ISBLANK(C609),FALSE,IF(NOT(COUNTIF($AA$24:$AA$34,SUBSTITUTE(C609,""Sell_"",""""))),1,IF(REGEXMATCH(C609,""Sell_""),IF(COUNTIF(C$4:C609,SUBSTITUTE(C609,""Sell_"",""""))-COUNTIF(C$4:C608,C609)&lt;1,1),FALSE))))"),"")</f>
        <v/>
      </c>
      <c r="E609" s="59" t="str">
        <f t="array" ref="E609">IF(COUNTA(C609:C1350)=0,"",SUM((COUNTIF(C$4:C609,Upgrades!$B$3:$B$13)-COUNTIF(C$4:C609,"Sell_"&amp;Upgrades!$B$3:$B$13))*Upgrades!$D$3:$D$13))</f>
        <v/>
      </c>
      <c r="F609" s="66" t="str">
        <f>IFERROR(__xludf.DUMMYFUNCTION("IF(COUNTA(C609:C1350)=0,"""",IF(REGEXMATCH(INDEX(FILTER(C$4:C609,C$4:C609&lt;&gt;""""),ROWS(FILTER(C$4:C609,C$4:C609&lt;&gt;""""))),""^Sell_""),INDEX(FILTER(F$4:F608,C$4:C608&lt;&gt;""""),ROWS(FILTER(C$4:C608,C$4:C608&lt;&gt;""""))),$AC$5+E609))"),"")</f>
        <v/>
      </c>
      <c r="G609" s="10" t="str">
        <f>IFERROR(__xludf.DUMMYFUNCTION("IF(COUNTA(C609:C1350)=0,"""",IF(C609="""",0,IF(REGEXMATCH(C609,""^Sell_""),-ROUNDDOWN(ROUNDUP(INDEX(Upgrades!$C$3:$C$13,MATCH(SUBSTITUTE(C609,""Sell_"",""""),Upgrades!$B$3:$B$13,0))*1.15^(COUNTIF(C$4:C608,SUBSTITUTE(C609,""Sell_"",""""))-COUNTIF(C$4:C608,"&amp;"""Sell_""&amp;SUBSTITUTE(C609,""Sell_"",""""))))/2),ROUNDUP(INDEX(Upgrades!$C$3:$C$13,MATCH(C609,Upgrades!$B$3:$B$13,0))*1.15^(COUNTIF(C$4:C608,C609)-COUNTIF(C$4:C608,""Sell_""&amp;C609))))))"),"")</f>
        <v/>
      </c>
      <c r="H609" s="10" t="str">
        <f t="shared" si="3"/>
        <v/>
      </c>
      <c r="I609" s="68" t="str">
        <f t="shared" si="4"/>
        <v/>
      </c>
      <c r="J609" s="59" t="str">
        <f t="shared" si="5"/>
        <v/>
      </c>
      <c r="K609" s="69" t="str">
        <f t="shared" si="6"/>
        <v/>
      </c>
      <c r="L609" s="60" t="str">
        <f t="shared" si="7"/>
        <v/>
      </c>
      <c r="M609" s="61" t="str">
        <f>IFERROR(__xludf.DUMMYFUNCTION("IFS(AND(COUNTA(C609:C1350)=0,COUNTA(Q609:Q1350)=0),"""",OR(AND(K609&gt;=1000000000,OR(Y609&gt;=1000000000,COUNTA(Q609:Q1350)=0)),OR(Y609&gt;=1000000000,AND(COUNTA(C609:C1350)=0,P$3=TRUE))),
ROUNDDOWN((AB$1-AC$1)*MAX(INDEX(T$4:T1350,MATCH(LARGE(FILTER(Y$4:Y1350,Y$4"&amp;":Y1350&lt;1000000000),1),Y$4:Y1350)),INDEX(F$4:F1350,MATCH(LARGE(FILTER(K$4:K1350,K$4:K1350&lt;1000000000),1),K$4:K1350)))),AND(K609&lt;1000000000,COUNTA(C609:C1350)&gt;0,P$3=FALSE),
ROUNDDOWN(INDEX(Y$4:Y1350,MATCH(LARGE(FILTER(W$4:W1350,W$4:W1350&lt;=I609),1),W$4:W1350"&amp;"))+(I609-LARGE(FILTER(W$4:W1350,W$4:W1350&lt;=I609),1))*INDEX(T$4:T1350,MATCH(LARGE(FILTER(W$4:W1350,W$4:W1350&lt;=I609),1),W$4:W1350))-K609),1,
ROUNDDOWN(Y609-INDEX(K$4:K1350,MATCH(LARGE(FILTER(I$4:I1350,I$4:I1350&lt;=W609),1),I$4:I1350))-(W609-LARGE(FILTER(I$4:I"&amp;"1350,I$4:I1350&lt;=W609),1))*INDEX(F$4:F1350,MATCH(LARGE(FILTER(I$4:I1350,I$4:I1350&lt;=W609),1),I$4:I1350))))"),"")</f>
        <v/>
      </c>
      <c r="N609" s="60" t="str">
        <f t="shared" si="8"/>
        <v/>
      </c>
      <c r="O609" s="61" t="str">
        <f t="shared" si="9"/>
        <v/>
      </c>
      <c r="P609" s="56" t="str">
        <f t="shared" si="10"/>
        <v/>
      </c>
      <c r="Q609" s="62"/>
      <c r="R609" s="10" t="str">
        <f>IFERROR(__xludf.DUMMYFUNCTION("IF(COUNTA(Q609:Q1350)=0,"""",IF(ISBLANK(Q609),FALSE,IF(NOT(COUNTIF($AA$24:$AA$34,SUBSTITUTE(Q609,""Sell_"",""""))),1,IF(REGEXMATCH(Q609,""Sell_""),IF(COUNTIF(Q$4:Q609,SUBSTITUTE(Q609,""Sell_"",""""))-COUNTIF(Q$4:Q608,Q609)&lt;1,1),FALSE))))"),"")</f>
        <v/>
      </c>
      <c r="S609" s="59" t="str">
        <f t="array" ref="S609">IF(COUNTA(Q609:Q1350)=0,"",SUM((COUNTIF(Q$4:Q609,Upgrades!$B$3:$B$13)-COUNTIF(Q$4:Q609,"Sell_"&amp;Upgrades!$B$3:$B$13))*Upgrades!$D$3:$D$13))</f>
        <v/>
      </c>
      <c r="T609" s="66" t="str">
        <f>IFERROR(__xludf.DUMMYFUNCTION("IF(COUNTA(Q609:Q1350)=0,"""",IF(REGEXMATCH(INDEX(FILTER(Q$4:Q609,Q$4:Q609&lt;&gt;""""),ROWS(FILTER(Q$4:Q609,Q$4:Q609&lt;&gt;""""))),""^Sell_""),INDEX(FILTER(T$4:T608,Q$4:Q608&lt;&gt;""""),ROWS(FILTER(Q$4:Q608,Q$4:Q608&lt;&gt;""""))),$AD$5+S609))"),"")</f>
        <v/>
      </c>
      <c r="U609" s="10" t="str">
        <f>IFERROR(__xludf.DUMMYFUNCTION("IF(COUNTA(Q609:Q1350)=0,"""",IF(Q609="""",0,IF(REGEXMATCH(Q609,""^Sell_""),-ROUNDDOWN(ROUNDUP(INDEX(Upgrades!$C$3:$C$13,MATCH(SUBSTITUTE(Q609,""Sell_"",""""),Upgrades!$B$3:$B$13,0))*1.15^(COUNTIF(Q$4:Q608,SUBSTITUTE(Q609,""Sell_"",""""))-COUNTIF(Q$4:Q608,"&amp;"""Sell_""&amp;SUBSTITUTE(Q609,""Sell_"",""""))))/2),ROUNDUP(INDEX(Upgrades!$C$3:$C$13,MATCH(Q609,Upgrades!$B$3:$B$13,0))*1.15^(COUNTIF(Q$4:Q608,Q609)-COUNTIF(Q$4:Q608,""Sell_""&amp;Q609))))))"),"")</f>
        <v/>
      </c>
      <c r="V609" s="10" t="str">
        <f t="shared" si="11"/>
        <v/>
      </c>
      <c r="W609" s="68" t="str">
        <f t="shared" si="12"/>
        <v/>
      </c>
      <c r="X609" s="59" t="str">
        <f t="shared" si="13"/>
        <v/>
      </c>
      <c r="Y609" s="69" t="str">
        <f t="shared" si="14"/>
        <v/>
      </c>
      <c r="Z609" s="11"/>
    </row>
    <row r="610">
      <c r="A610" s="8"/>
      <c r="B610" s="56" t="str">
        <f t="shared" si="2"/>
        <v/>
      </c>
      <c r="C610" s="57"/>
      <c r="D610" s="10" t="str">
        <f>IFERROR(__xludf.DUMMYFUNCTION("IF(COUNTA(C610:C1350)=0,"""",IF(ISBLANK(C610),FALSE,IF(NOT(COUNTIF($AA$24:$AA$34,SUBSTITUTE(C610,""Sell_"",""""))),1,IF(REGEXMATCH(C610,""Sell_""),IF(COUNTIF(C$4:C610,SUBSTITUTE(C610,""Sell_"",""""))-COUNTIF(C$4:C609,C610)&lt;1,1),FALSE))))"),"")</f>
        <v/>
      </c>
      <c r="E610" s="59" t="str">
        <f t="array" ref="E610">IF(COUNTA(C610:C1350)=0,"",SUM((COUNTIF(C$4:C610,Upgrades!$B$3:$B$13)-COUNTIF(C$4:C610,"Sell_"&amp;Upgrades!$B$3:$B$13))*Upgrades!$D$3:$D$13))</f>
        <v/>
      </c>
      <c r="F610" s="66" t="str">
        <f>IFERROR(__xludf.DUMMYFUNCTION("IF(COUNTA(C610:C1350)=0,"""",IF(REGEXMATCH(INDEX(FILTER(C$4:C610,C$4:C610&lt;&gt;""""),ROWS(FILTER(C$4:C610,C$4:C610&lt;&gt;""""))),""^Sell_""),INDEX(FILTER(F$4:F609,C$4:C609&lt;&gt;""""),ROWS(FILTER(C$4:C609,C$4:C609&lt;&gt;""""))),$AC$5+E610))"),"")</f>
        <v/>
      </c>
      <c r="G610" s="10" t="str">
        <f>IFERROR(__xludf.DUMMYFUNCTION("IF(COUNTA(C610:C1350)=0,"""",IF(C610="""",0,IF(REGEXMATCH(C610,""^Sell_""),-ROUNDDOWN(ROUNDUP(INDEX(Upgrades!$C$3:$C$13,MATCH(SUBSTITUTE(C610,""Sell_"",""""),Upgrades!$B$3:$B$13,0))*1.15^(COUNTIF(C$4:C609,SUBSTITUTE(C610,""Sell_"",""""))-COUNTIF(C$4:C609,"&amp;"""Sell_""&amp;SUBSTITUTE(C610,""Sell_"",""""))))/2),ROUNDUP(INDEX(Upgrades!$C$3:$C$13,MATCH(C610,Upgrades!$B$3:$B$13,0))*1.15^(COUNTIF(C$4:C609,C610)-COUNTIF(C$4:C609,""Sell_""&amp;C610))))))"),"")</f>
        <v/>
      </c>
      <c r="H610" s="10" t="str">
        <f t="shared" si="3"/>
        <v/>
      </c>
      <c r="I610" s="68" t="str">
        <f t="shared" si="4"/>
        <v/>
      </c>
      <c r="J610" s="59" t="str">
        <f t="shared" si="5"/>
        <v/>
      </c>
      <c r="K610" s="69" t="str">
        <f t="shared" si="6"/>
        <v/>
      </c>
      <c r="L610" s="60" t="str">
        <f t="shared" si="7"/>
        <v/>
      </c>
      <c r="M610" s="61" t="str">
        <f>IFERROR(__xludf.DUMMYFUNCTION("IFS(AND(COUNTA(C610:C1350)=0,COUNTA(Q610:Q1350)=0),"""",OR(AND(K610&gt;=1000000000,OR(Y610&gt;=1000000000,COUNTA(Q610:Q1350)=0)),OR(Y610&gt;=1000000000,AND(COUNTA(C610:C1350)=0,P$3=TRUE))),
ROUNDDOWN((AB$1-AC$1)*MAX(INDEX(T$4:T1350,MATCH(LARGE(FILTER(Y$4:Y1350,Y$4"&amp;":Y1350&lt;1000000000),1),Y$4:Y1350)),INDEX(F$4:F1350,MATCH(LARGE(FILTER(K$4:K1350,K$4:K1350&lt;1000000000),1),K$4:K1350)))),AND(K610&lt;1000000000,COUNTA(C610:C1350)&gt;0,P$3=FALSE),
ROUNDDOWN(INDEX(Y$4:Y1350,MATCH(LARGE(FILTER(W$4:W1350,W$4:W1350&lt;=I610),1),W$4:W1350"&amp;"))+(I610-LARGE(FILTER(W$4:W1350,W$4:W1350&lt;=I610),1))*INDEX(T$4:T1350,MATCH(LARGE(FILTER(W$4:W1350,W$4:W1350&lt;=I610),1),W$4:W1350))-K610),1,
ROUNDDOWN(Y610-INDEX(K$4:K1350,MATCH(LARGE(FILTER(I$4:I1350,I$4:I1350&lt;=W610),1),I$4:I1350))-(W610-LARGE(FILTER(I$4:I"&amp;"1350,I$4:I1350&lt;=W610),1))*INDEX(F$4:F1350,MATCH(LARGE(FILTER(I$4:I1350,I$4:I1350&lt;=W610),1),I$4:I1350))))"),"")</f>
        <v/>
      </c>
      <c r="N610" s="60" t="str">
        <f t="shared" si="8"/>
        <v/>
      </c>
      <c r="O610" s="61" t="str">
        <f t="shared" si="9"/>
        <v/>
      </c>
      <c r="P610" s="56" t="str">
        <f t="shared" si="10"/>
        <v/>
      </c>
      <c r="Q610" s="62"/>
      <c r="R610" s="10" t="str">
        <f>IFERROR(__xludf.DUMMYFUNCTION("IF(COUNTA(Q610:Q1350)=0,"""",IF(ISBLANK(Q610),FALSE,IF(NOT(COUNTIF($AA$24:$AA$34,SUBSTITUTE(Q610,""Sell_"",""""))),1,IF(REGEXMATCH(Q610,""Sell_""),IF(COUNTIF(Q$4:Q610,SUBSTITUTE(Q610,""Sell_"",""""))-COUNTIF(Q$4:Q609,Q610)&lt;1,1),FALSE))))"),"")</f>
        <v/>
      </c>
      <c r="S610" s="59" t="str">
        <f t="array" ref="S610">IF(COUNTA(Q610:Q1350)=0,"",SUM((COUNTIF(Q$4:Q610,Upgrades!$B$3:$B$13)-COUNTIF(Q$4:Q610,"Sell_"&amp;Upgrades!$B$3:$B$13))*Upgrades!$D$3:$D$13))</f>
        <v/>
      </c>
      <c r="T610" s="66" t="str">
        <f>IFERROR(__xludf.DUMMYFUNCTION("IF(COUNTA(Q610:Q1350)=0,"""",IF(REGEXMATCH(INDEX(FILTER(Q$4:Q610,Q$4:Q610&lt;&gt;""""),ROWS(FILTER(Q$4:Q610,Q$4:Q610&lt;&gt;""""))),""^Sell_""),INDEX(FILTER(T$4:T609,Q$4:Q609&lt;&gt;""""),ROWS(FILTER(Q$4:Q609,Q$4:Q609&lt;&gt;""""))),$AD$5+S610))"),"")</f>
        <v/>
      </c>
      <c r="U610" s="10" t="str">
        <f>IFERROR(__xludf.DUMMYFUNCTION("IF(COUNTA(Q610:Q1350)=0,"""",IF(Q610="""",0,IF(REGEXMATCH(Q610,""^Sell_""),-ROUNDDOWN(ROUNDUP(INDEX(Upgrades!$C$3:$C$13,MATCH(SUBSTITUTE(Q610,""Sell_"",""""),Upgrades!$B$3:$B$13,0))*1.15^(COUNTIF(Q$4:Q609,SUBSTITUTE(Q610,""Sell_"",""""))-COUNTIF(Q$4:Q609,"&amp;"""Sell_""&amp;SUBSTITUTE(Q610,""Sell_"",""""))))/2),ROUNDUP(INDEX(Upgrades!$C$3:$C$13,MATCH(Q610,Upgrades!$B$3:$B$13,0))*1.15^(COUNTIF(Q$4:Q609,Q610)-COUNTIF(Q$4:Q609,""Sell_""&amp;Q610))))))"),"")</f>
        <v/>
      </c>
      <c r="V610" s="10" t="str">
        <f t="shared" si="11"/>
        <v/>
      </c>
      <c r="W610" s="68" t="str">
        <f t="shared" si="12"/>
        <v/>
      </c>
      <c r="X610" s="59" t="str">
        <f t="shared" si="13"/>
        <v/>
      </c>
      <c r="Y610" s="69" t="str">
        <f t="shared" si="14"/>
        <v/>
      </c>
      <c r="Z610" s="11"/>
    </row>
    <row r="611">
      <c r="A611" s="8"/>
      <c r="B611" s="56" t="str">
        <f t="shared" si="2"/>
        <v/>
      </c>
      <c r="C611" s="57"/>
      <c r="D611" s="10" t="str">
        <f>IFERROR(__xludf.DUMMYFUNCTION("IF(COUNTA(C611:C1350)=0,"""",IF(ISBLANK(C611),FALSE,IF(NOT(COUNTIF($AA$24:$AA$34,SUBSTITUTE(C611,""Sell_"",""""))),1,IF(REGEXMATCH(C611,""Sell_""),IF(COUNTIF(C$4:C611,SUBSTITUTE(C611,""Sell_"",""""))-COUNTIF(C$4:C610,C611)&lt;1,1),FALSE))))"),"")</f>
        <v/>
      </c>
      <c r="E611" s="59" t="str">
        <f t="array" ref="E611">IF(COUNTA(C611:C1350)=0,"",SUM((COUNTIF(C$4:C611,Upgrades!$B$3:$B$13)-COUNTIF(C$4:C611,"Sell_"&amp;Upgrades!$B$3:$B$13))*Upgrades!$D$3:$D$13))</f>
        <v/>
      </c>
      <c r="F611" s="66" t="str">
        <f>IFERROR(__xludf.DUMMYFUNCTION("IF(COUNTA(C611:C1350)=0,"""",IF(REGEXMATCH(INDEX(FILTER(C$4:C611,C$4:C611&lt;&gt;""""),ROWS(FILTER(C$4:C611,C$4:C611&lt;&gt;""""))),""^Sell_""),INDEX(FILTER(F$4:F610,C$4:C610&lt;&gt;""""),ROWS(FILTER(C$4:C610,C$4:C610&lt;&gt;""""))),$AC$5+E611))"),"")</f>
        <v/>
      </c>
      <c r="G611" s="10" t="str">
        <f>IFERROR(__xludf.DUMMYFUNCTION("IF(COUNTA(C611:C1350)=0,"""",IF(C611="""",0,IF(REGEXMATCH(C611,""^Sell_""),-ROUNDDOWN(ROUNDUP(INDEX(Upgrades!$C$3:$C$13,MATCH(SUBSTITUTE(C611,""Sell_"",""""),Upgrades!$B$3:$B$13,0))*1.15^(COUNTIF(C$4:C610,SUBSTITUTE(C611,""Sell_"",""""))-COUNTIF(C$4:C610,"&amp;"""Sell_""&amp;SUBSTITUTE(C611,""Sell_"",""""))))/2),ROUNDUP(INDEX(Upgrades!$C$3:$C$13,MATCH(C611,Upgrades!$B$3:$B$13,0))*1.15^(COUNTIF(C$4:C610,C611)-COUNTIF(C$4:C610,""Sell_""&amp;C611))))))"),"")</f>
        <v/>
      </c>
      <c r="H611" s="10" t="str">
        <f t="shared" si="3"/>
        <v/>
      </c>
      <c r="I611" s="68" t="str">
        <f t="shared" si="4"/>
        <v/>
      </c>
      <c r="J611" s="59" t="str">
        <f t="shared" si="5"/>
        <v/>
      </c>
      <c r="K611" s="69" t="str">
        <f t="shared" si="6"/>
        <v/>
      </c>
      <c r="L611" s="60" t="str">
        <f t="shared" si="7"/>
        <v/>
      </c>
      <c r="M611" s="61" t="str">
        <f>IFERROR(__xludf.DUMMYFUNCTION("IFS(AND(COUNTA(C611:C1350)=0,COUNTA(Q611:Q1350)=0),"""",OR(AND(K611&gt;=1000000000,OR(Y611&gt;=1000000000,COUNTA(Q611:Q1350)=0)),OR(Y611&gt;=1000000000,AND(COUNTA(C611:C1350)=0,P$3=TRUE))),
ROUNDDOWN((AB$1-AC$1)*MAX(INDEX(T$4:T1350,MATCH(LARGE(FILTER(Y$4:Y1350,Y$4"&amp;":Y1350&lt;1000000000),1),Y$4:Y1350)),INDEX(F$4:F1350,MATCH(LARGE(FILTER(K$4:K1350,K$4:K1350&lt;1000000000),1),K$4:K1350)))),AND(K611&lt;1000000000,COUNTA(C611:C1350)&gt;0,P$3=FALSE),
ROUNDDOWN(INDEX(Y$4:Y1350,MATCH(LARGE(FILTER(W$4:W1350,W$4:W1350&lt;=I611),1),W$4:W1350"&amp;"))+(I611-LARGE(FILTER(W$4:W1350,W$4:W1350&lt;=I611),1))*INDEX(T$4:T1350,MATCH(LARGE(FILTER(W$4:W1350,W$4:W1350&lt;=I611),1),W$4:W1350))-K611),1,
ROUNDDOWN(Y611-INDEX(K$4:K1350,MATCH(LARGE(FILTER(I$4:I1350,I$4:I1350&lt;=W611),1),I$4:I1350))-(W611-LARGE(FILTER(I$4:I"&amp;"1350,I$4:I1350&lt;=W611),1))*INDEX(F$4:F1350,MATCH(LARGE(FILTER(I$4:I1350,I$4:I1350&lt;=W611),1),I$4:I1350))))"),"")</f>
        <v/>
      </c>
      <c r="N611" s="60" t="str">
        <f t="shared" si="8"/>
        <v/>
      </c>
      <c r="O611" s="61" t="str">
        <f t="shared" si="9"/>
        <v/>
      </c>
      <c r="P611" s="56" t="str">
        <f t="shared" si="10"/>
        <v/>
      </c>
      <c r="Q611" s="62"/>
      <c r="R611" s="10" t="str">
        <f>IFERROR(__xludf.DUMMYFUNCTION("IF(COUNTA(Q611:Q1350)=0,"""",IF(ISBLANK(Q611),FALSE,IF(NOT(COUNTIF($AA$24:$AA$34,SUBSTITUTE(Q611,""Sell_"",""""))),1,IF(REGEXMATCH(Q611,""Sell_""),IF(COUNTIF(Q$4:Q611,SUBSTITUTE(Q611,""Sell_"",""""))-COUNTIF(Q$4:Q610,Q611)&lt;1,1),FALSE))))"),"")</f>
        <v/>
      </c>
      <c r="S611" s="59" t="str">
        <f t="array" ref="S611">IF(COUNTA(Q611:Q1350)=0,"",SUM((COUNTIF(Q$4:Q611,Upgrades!$B$3:$B$13)-COUNTIF(Q$4:Q611,"Sell_"&amp;Upgrades!$B$3:$B$13))*Upgrades!$D$3:$D$13))</f>
        <v/>
      </c>
      <c r="T611" s="66" t="str">
        <f>IFERROR(__xludf.DUMMYFUNCTION("IF(COUNTA(Q611:Q1350)=0,"""",IF(REGEXMATCH(INDEX(FILTER(Q$4:Q611,Q$4:Q611&lt;&gt;""""),ROWS(FILTER(Q$4:Q611,Q$4:Q611&lt;&gt;""""))),""^Sell_""),INDEX(FILTER(T$4:T610,Q$4:Q610&lt;&gt;""""),ROWS(FILTER(Q$4:Q610,Q$4:Q610&lt;&gt;""""))),$AD$5+S611))"),"")</f>
        <v/>
      </c>
      <c r="U611" s="10" t="str">
        <f>IFERROR(__xludf.DUMMYFUNCTION("IF(COUNTA(Q611:Q1350)=0,"""",IF(Q611="""",0,IF(REGEXMATCH(Q611,""^Sell_""),-ROUNDDOWN(ROUNDUP(INDEX(Upgrades!$C$3:$C$13,MATCH(SUBSTITUTE(Q611,""Sell_"",""""),Upgrades!$B$3:$B$13,0))*1.15^(COUNTIF(Q$4:Q610,SUBSTITUTE(Q611,""Sell_"",""""))-COUNTIF(Q$4:Q610,"&amp;"""Sell_""&amp;SUBSTITUTE(Q611,""Sell_"",""""))))/2),ROUNDUP(INDEX(Upgrades!$C$3:$C$13,MATCH(Q611,Upgrades!$B$3:$B$13,0))*1.15^(COUNTIF(Q$4:Q610,Q611)-COUNTIF(Q$4:Q610,""Sell_""&amp;Q611))))))"),"")</f>
        <v/>
      </c>
      <c r="V611" s="10" t="str">
        <f t="shared" si="11"/>
        <v/>
      </c>
      <c r="W611" s="68" t="str">
        <f t="shared" si="12"/>
        <v/>
      </c>
      <c r="X611" s="59" t="str">
        <f t="shared" si="13"/>
        <v/>
      </c>
      <c r="Y611" s="69" t="str">
        <f t="shared" si="14"/>
        <v/>
      </c>
      <c r="Z611" s="11"/>
    </row>
    <row r="612">
      <c r="A612" s="8"/>
      <c r="B612" s="56" t="str">
        <f t="shared" si="2"/>
        <v/>
      </c>
      <c r="C612" s="57"/>
      <c r="D612" s="10" t="str">
        <f>IFERROR(__xludf.DUMMYFUNCTION("IF(COUNTA(C612:C1350)=0,"""",IF(ISBLANK(C612),FALSE,IF(NOT(COUNTIF($AA$24:$AA$34,SUBSTITUTE(C612,""Sell_"",""""))),1,IF(REGEXMATCH(C612,""Sell_""),IF(COUNTIF(C$4:C612,SUBSTITUTE(C612,""Sell_"",""""))-COUNTIF(C$4:C611,C612)&lt;1,1),FALSE))))"),"")</f>
        <v/>
      </c>
      <c r="E612" s="59" t="str">
        <f t="array" ref="E612">IF(COUNTA(C612:C1350)=0,"",SUM((COUNTIF(C$4:C612,Upgrades!$B$3:$B$13)-COUNTIF(C$4:C612,"Sell_"&amp;Upgrades!$B$3:$B$13))*Upgrades!$D$3:$D$13))</f>
        <v/>
      </c>
      <c r="F612" s="66" t="str">
        <f>IFERROR(__xludf.DUMMYFUNCTION("IF(COUNTA(C612:C1350)=0,"""",IF(REGEXMATCH(INDEX(FILTER(C$4:C612,C$4:C612&lt;&gt;""""),ROWS(FILTER(C$4:C612,C$4:C612&lt;&gt;""""))),""^Sell_""),INDEX(FILTER(F$4:F611,C$4:C611&lt;&gt;""""),ROWS(FILTER(C$4:C611,C$4:C611&lt;&gt;""""))),$AC$5+E612))"),"")</f>
        <v/>
      </c>
      <c r="G612" s="10" t="str">
        <f>IFERROR(__xludf.DUMMYFUNCTION("IF(COUNTA(C612:C1350)=0,"""",IF(C612="""",0,IF(REGEXMATCH(C612,""^Sell_""),-ROUNDDOWN(ROUNDUP(INDEX(Upgrades!$C$3:$C$13,MATCH(SUBSTITUTE(C612,""Sell_"",""""),Upgrades!$B$3:$B$13,0))*1.15^(COUNTIF(C$4:C611,SUBSTITUTE(C612,""Sell_"",""""))-COUNTIF(C$4:C611,"&amp;"""Sell_""&amp;SUBSTITUTE(C612,""Sell_"",""""))))/2),ROUNDUP(INDEX(Upgrades!$C$3:$C$13,MATCH(C612,Upgrades!$B$3:$B$13,0))*1.15^(COUNTIF(C$4:C611,C612)-COUNTIF(C$4:C611,""Sell_""&amp;C612))))))"),"")</f>
        <v/>
      </c>
      <c r="H612" s="10" t="str">
        <f t="shared" si="3"/>
        <v/>
      </c>
      <c r="I612" s="68" t="str">
        <f t="shared" si="4"/>
        <v/>
      </c>
      <c r="J612" s="59" t="str">
        <f t="shared" si="5"/>
        <v/>
      </c>
      <c r="K612" s="69" t="str">
        <f t="shared" si="6"/>
        <v/>
      </c>
      <c r="L612" s="60" t="str">
        <f t="shared" si="7"/>
        <v/>
      </c>
      <c r="M612" s="61" t="str">
        <f>IFERROR(__xludf.DUMMYFUNCTION("IFS(AND(COUNTA(C612:C1350)=0,COUNTA(Q612:Q1350)=0),"""",OR(AND(K612&gt;=1000000000,OR(Y612&gt;=1000000000,COUNTA(Q612:Q1350)=0)),OR(Y612&gt;=1000000000,AND(COUNTA(C612:C1350)=0,P$3=TRUE))),
ROUNDDOWN((AB$1-AC$1)*MAX(INDEX(T$4:T1350,MATCH(LARGE(FILTER(Y$4:Y1350,Y$4"&amp;":Y1350&lt;1000000000),1),Y$4:Y1350)),INDEX(F$4:F1350,MATCH(LARGE(FILTER(K$4:K1350,K$4:K1350&lt;1000000000),1),K$4:K1350)))),AND(K612&lt;1000000000,COUNTA(C612:C1350)&gt;0,P$3=FALSE),
ROUNDDOWN(INDEX(Y$4:Y1350,MATCH(LARGE(FILTER(W$4:W1350,W$4:W1350&lt;=I612),1),W$4:W1350"&amp;"))+(I612-LARGE(FILTER(W$4:W1350,W$4:W1350&lt;=I612),1))*INDEX(T$4:T1350,MATCH(LARGE(FILTER(W$4:W1350,W$4:W1350&lt;=I612),1),W$4:W1350))-K612),1,
ROUNDDOWN(Y612-INDEX(K$4:K1350,MATCH(LARGE(FILTER(I$4:I1350,I$4:I1350&lt;=W612),1),I$4:I1350))-(W612-LARGE(FILTER(I$4:I"&amp;"1350,I$4:I1350&lt;=W612),1))*INDEX(F$4:F1350,MATCH(LARGE(FILTER(I$4:I1350,I$4:I1350&lt;=W612),1),I$4:I1350))))"),"")</f>
        <v/>
      </c>
      <c r="N612" s="60" t="str">
        <f t="shared" si="8"/>
        <v/>
      </c>
      <c r="O612" s="61" t="str">
        <f t="shared" si="9"/>
        <v/>
      </c>
      <c r="P612" s="56" t="str">
        <f t="shared" si="10"/>
        <v/>
      </c>
      <c r="Q612" s="62"/>
      <c r="R612" s="10" t="str">
        <f>IFERROR(__xludf.DUMMYFUNCTION("IF(COUNTA(Q612:Q1350)=0,"""",IF(ISBLANK(Q612),FALSE,IF(NOT(COUNTIF($AA$24:$AA$34,SUBSTITUTE(Q612,""Sell_"",""""))),1,IF(REGEXMATCH(Q612,""Sell_""),IF(COUNTIF(Q$4:Q612,SUBSTITUTE(Q612,""Sell_"",""""))-COUNTIF(Q$4:Q611,Q612)&lt;1,1),FALSE))))"),"")</f>
        <v/>
      </c>
      <c r="S612" s="59" t="str">
        <f t="array" ref="S612">IF(COUNTA(Q612:Q1350)=0,"",SUM((COUNTIF(Q$4:Q612,Upgrades!$B$3:$B$13)-COUNTIF(Q$4:Q612,"Sell_"&amp;Upgrades!$B$3:$B$13))*Upgrades!$D$3:$D$13))</f>
        <v/>
      </c>
      <c r="T612" s="66" t="str">
        <f>IFERROR(__xludf.DUMMYFUNCTION("IF(COUNTA(Q612:Q1350)=0,"""",IF(REGEXMATCH(INDEX(FILTER(Q$4:Q612,Q$4:Q612&lt;&gt;""""),ROWS(FILTER(Q$4:Q612,Q$4:Q612&lt;&gt;""""))),""^Sell_""),INDEX(FILTER(T$4:T611,Q$4:Q611&lt;&gt;""""),ROWS(FILTER(Q$4:Q611,Q$4:Q611&lt;&gt;""""))),$AD$5+S612))"),"")</f>
        <v/>
      </c>
      <c r="U612" s="10" t="str">
        <f>IFERROR(__xludf.DUMMYFUNCTION("IF(COUNTA(Q612:Q1350)=0,"""",IF(Q612="""",0,IF(REGEXMATCH(Q612,""^Sell_""),-ROUNDDOWN(ROUNDUP(INDEX(Upgrades!$C$3:$C$13,MATCH(SUBSTITUTE(Q612,""Sell_"",""""),Upgrades!$B$3:$B$13,0))*1.15^(COUNTIF(Q$4:Q611,SUBSTITUTE(Q612,""Sell_"",""""))-COUNTIF(Q$4:Q611,"&amp;"""Sell_""&amp;SUBSTITUTE(Q612,""Sell_"",""""))))/2),ROUNDUP(INDEX(Upgrades!$C$3:$C$13,MATCH(Q612,Upgrades!$B$3:$B$13,0))*1.15^(COUNTIF(Q$4:Q611,Q612)-COUNTIF(Q$4:Q611,""Sell_""&amp;Q612))))))"),"")</f>
        <v/>
      </c>
      <c r="V612" s="10" t="str">
        <f t="shared" si="11"/>
        <v/>
      </c>
      <c r="W612" s="68" t="str">
        <f t="shared" si="12"/>
        <v/>
      </c>
      <c r="X612" s="59" t="str">
        <f t="shared" si="13"/>
        <v/>
      </c>
      <c r="Y612" s="69" t="str">
        <f t="shared" si="14"/>
        <v/>
      </c>
      <c r="Z612" s="11"/>
    </row>
    <row r="613">
      <c r="A613" s="8"/>
      <c r="B613" s="56" t="str">
        <f t="shared" si="2"/>
        <v/>
      </c>
      <c r="C613" s="57"/>
      <c r="D613" s="10" t="str">
        <f>IFERROR(__xludf.DUMMYFUNCTION("IF(COUNTA(C613:C1350)=0,"""",IF(ISBLANK(C613),FALSE,IF(NOT(COUNTIF($AA$24:$AA$34,SUBSTITUTE(C613,""Sell_"",""""))),1,IF(REGEXMATCH(C613,""Sell_""),IF(COUNTIF(C$4:C613,SUBSTITUTE(C613,""Sell_"",""""))-COUNTIF(C$4:C612,C613)&lt;1,1),FALSE))))"),"")</f>
        <v/>
      </c>
      <c r="E613" s="59" t="str">
        <f t="array" ref="E613">IF(COUNTA(C613:C1350)=0,"",SUM((COUNTIF(C$4:C613,Upgrades!$B$3:$B$13)-COUNTIF(C$4:C613,"Sell_"&amp;Upgrades!$B$3:$B$13))*Upgrades!$D$3:$D$13))</f>
        <v/>
      </c>
      <c r="F613" s="66" t="str">
        <f>IFERROR(__xludf.DUMMYFUNCTION("IF(COUNTA(C613:C1350)=0,"""",IF(REGEXMATCH(INDEX(FILTER(C$4:C613,C$4:C613&lt;&gt;""""),ROWS(FILTER(C$4:C613,C$4:C613&lt;&gt;""""))),""^Sell_""),INDEX(FILTER(F$4:F612,C$4:C612&lt;&gt;""""),ROWS(FILTER(C$4:C612,C$4:C612&lt;&gt;""""))),$AC$5+E613))"),"")</f>
        <v/>
      </c>
      <c r="G613" s="10" t="str">
        <f>IFERROR(__xludf.DUMMYFUNCTION("IF(COUNTA(C613:C1350)=0,"""",IF(C613="""",0,IF(REGEXMATCH(C613,""^Sell_""),-ROUNDDOWN(ROUNDUP(INDEX(Upgrades!$C$3:$C$13,MATCH(SUBSTITUTE(C613,""Sell_"",""""),Upgrades!$B$3:$B$13,0))*1.15^(COUNTIF(C$4:C612,SUBSTITUTE(C613,""Sell_"",""""))-COUNTIF(C$4:C612,"&amp;"""Sell_""&amp;SUBSTITUTE(C613,""Sell_"",""""))))/2),ROUNDUP(INDEX(Upgrades!$C$3:$C$13,MATCH(C613,Upgrades!$B$3:$B$13,0))*1.15^(COUNTIF(C$4:C612,C613)-COUNTIF(C$4:C612,""Sell_""&amp;C613))))))"),"")</f>
        <v/>
      </c>
      <c r="H613" s="10" t="str">
        <f t="shared" si="3"/>
        <v/>
      </c>
      <c r="I613" s="68" t="str">
        <f t="shared" si="4"/>
        <v/>
      </c>
      <c r="J613" s="59" t="str">
        <f t="shared" si="5"/>
        <v/>
      </c>
      <c r="K613" s="69" t="str">
        <f t="shared" si="6"/>
        <v/>
      </c>
      <c r="L613" s="60" t="str">
        <f t="shared" si="7"/>
        <v/>
      </c>
      <c r="M613" s="61" t="str">
        <f>IFERROR(__xludf.DUMMYFUNCTION("IFS(AND(COUNTA(C613:C1350)=0,COUNTA(Q613:Q1350)=0),"""",OR(AND(K613&gt;=1000000000,OR(Y613&gt;=1000000000,COUNTA(Q613:Q1350)=0)),OR(Y613&gt;=1000000000,AND(COUNTA(C613:C1350)=0,P$3=TRUE))),
ROUNDDOWN((AB$1-AC$1)*MAX(INDEX(T$4:T1350,MATCH(LARGE(FILTER(Y$4:Y1350,Y$4"&amp;":Y1350&lt;1000000000),1),Y$4:Y1350)),INDEX(F$4:F1350,MATCH(LARGE(FILTER(K$4:K1350,K$4:K1350&lt;1000000000),1),K$4:K1350)))),AND(K613&lt;1000000000,COUNTA(C613:C1350)&gt;0,P$3=FALSE),
ROUNDDOWN(INDEX(Y$4:Y1350,MATCH(LARGE(FILTER(W$4:W1350,W$4:W1350&lt;=I613),1),W$4:W1350"&amp;"))+(I613-LARGE(FILTER(W$4:W1350,W$4:W1350&lt;=I613),1))*INDEX(T$4:T1350,MATCH(LARGE(FILTER(W$4:W1350,W$4:W1350&lt;=I613),1),W$4:W1350))-K613),1,
ROUNDDOWN(Y613-INDEX(K$4:K1350,MATCH(LARGE(FILTER(I$4:I1350,I$4:I1350&lt;=W613),1),I$4:I1350))-(W613-LARGE(FILTER(I$4:I"&amp;"1350,I$4:I1350&lt;=W613),1))*INDEX(F$4:F1350,MATCH(LARGE(FILTER(I$4:I1350,I$4:I1350&lt;=W613),1),I$4:I1350))))"),"")</f>
        <v/>
      </c>
      <c r="N613" s="60" t="str">
        <f t="shared" si="8"/>
        <v/>
      </c>
      <c r="O613" s="61" t="str">
        <f t="shared" si="9"/>
        <v/>
      </c>
      <c r="P613" s="56" t="str">
        <f t="shared" si="10"/>
        <v/>
      </c>
      <c r="Q613" s="62"/>
      <c r="R613" s="10" t="str">
        <f>IFERROR(__xludf.DUMMYFUNCTION("IF(COUNTA(Q613:Q1350)=0,"""",IF(ISBLANK(Q613),FALSE,IF(NOT(COUNTIF($AA$24:$AA$34,SUBSTITUTE(Q613,""Sell_"",""""))),1,IF(REGEXMATCH(Q613,""Sell_""),IF(COUNTIF(Q$4:Q613,SUBSTITUTE(Q613,""Sell_"",""""))-COUNTIF(Q$4:Q612,Q613)&lt;1,1),FALSE))))"),"")</f>
        <v/>
      </c>
      <c r="S613" s="59" t="str">
        <f t="array" ref="S613">IF(COUNTA(Q613:Q1350)=0,"",SUM((COUNTIF(Q$4:Q613,Upgrades!$B$3:$B$13)-COUNTIF(Q$4:Q613,"Sell_"&amp;Upgrades!$B$3:$B$13))*Upgrades!$D$3:$D$13))</f>
        <v/>
      </c>
      <c r="T613" s="66" t="str">
        <f>IFERROR(__xludf.DUMMYFUNCTION("IF(COUNTA(Q613:Q1350)=0,"""",IF(REGEXMATCH(INDEX(FILTER(Q$4:Q613,Q$4:Q613&lt;&gt;""""),ROWS(FILTER(Q$4:Q613,Q$4:Q613&lt;&gt;""""))),""^Sell_""),INDEX(FILTER(T$4:T612,Q$4:Q612&lt;&gt;""""),ROWS(FILTER(Q$4:Q612,Q$4:Q612&lt;&gt;""""))),$AD$5+S613))"),"")</f>
        <v/>
      </c>
      <c r="U613" s="10" t="str">
        <f>IFERROR(__xludf.DUMMYFUNCTION("IF(COUNTA(Q613:Q1350)=0,"""",IF(Q613="""",0,IF(REGEXMATCH(Q613,""^Sell_""),-ROUNDDOWN(ROUNDUP(INDEX(Upgrades!$C$3:$C$13,MATCH(SUBSTITUTE(Q613,""Sell_"",""""),Upgrades!$B$3:$B$13,0))*1.15^(COUNTIF(Q$4:Q612,SUBSTITUTE(Q613,""Sell_"",""""))-COUNTIF(Q$4:Q612,"&amp;"""Sell_""&amp;SUBSTITUTE(Q613,""Sell_"",""""))))/2),ROUNDUP(INDEX(Upgrades!$C$3:$C$13,MATCH(Q613,Upgrades!$B$3:$B$13,0))*1.15^(COUNTIF(Q$4:Q612,Q613)-COUNTIF(Q$4:Q612,""Sell_""&amp;Q613))))))"),"")</f>
        <v/>
      </c>
      <c r="V613" s="10" t="str">
        <f t="shared" si="11"/>
        <v/>
      </c>
      <c r="W613" s="68" t="str">
        <f t="shared" si="12"/>
        <v/>
      </c>
      <c r="X613" s="59" t="str">
        <f t="shared" si="13"/>
        <v/>
      </c>
      <c r="Y613" s="69" t="str">
        <f t="shared" si="14"/>
        <v/>
      </c>
      <c r="Z613" s="11"/>
    </row>
    <row r="614">
      <c r="A614" s="8"/>
      <c r="B614" s="56" t="str">
        <f t="shared" si="2"/>
        <v/>
      </c>
      <c r="C614" s="57"/>
      <c r="D614" s="10" t="str">
        <f>IFERROR(__xludf.DUMMYFUNCTION("IF(COUNTA(C614:C1350)=0,"""",IF(ISBLANK(C614),FALSE,IF(NOT(COUNTIF($AA$24:$AA$34,SUBSTITUTE(C614,""Sell_"",""""))),1,IF(REGEXMATCH(C614,""Sell_""),IF(COUNTIF(C$4:C614,SUBSTITUTE(C614,""Sell_"",""""))-COUNTIF(C$4:C613,C614)&lt;1,1),FALSE))))"),"")</f>
        <v/>
      </c>
      <c r="E614" s="59" t="str">
        <f t="array" ref="E614">IF(COUNTA(C614:C1350)=0,"",SUM((COUNTIF(C$4:C614,Upgrades!$B$3:$B$13)-COUNTIF(C$4:C614,"Sell_"&amp;Upgrades!$B$3:$B$13))*Upgrades!$D$3:$D$13))</f>
        <v/>
      </c>
      <c r="F614" s="66" t="str">
        <f>IFERROR(__xludf.DUMMYFUNCTION("IF(COUNTA(C614:C1350)=0,"""",IF(REGEXMATCH(INDEX(FILTER(C$4:C614,C$4:C614&lt;&gt;""""),ROWS(FILTER(C$4:C614,C$4:C614&lt;&gt;""""))),""^Sell_""),INDEX(FILTER(F$4:F613,C$4:C613&lt;&gt;""""),ROWS(FILTER(C$4:C613,C$4:C613&lt;&gt;""""))),$AC$5+E614))"),"")</f>
        <v/>
      </c>
      <c r="G614" s="10" t="str">
        <f>IFERROR(__xludf.DUMMYFUNCTION("IF(COUNTA(C614:C1350)=0,"""",IF(C614="""",0,IF(REGEXMATCH(C614,""^Sell_""),-ROUNDDOWN(ROUNDUP(INDEX(Upgrades!$C$3:$C$13,MATCH(SUBSTITUTE(C614,""Sell_"",""""),Upgrades!$B$3:$B$13,0))*1.15^(COUNTIF(C$4:C613,SUBSTITUTE(C614,""Sell_"",""""))-COUNTIF(C$4:C613,"&amp;"""Sell_""&amp;SUBSTITUTE(C614,""Sell_"",""""))))/2),ROUNDUP(INDEX(Upgrades!$C$3:$C$13,MATCH(C614,Upgrades!$B$3:$B$13,0))*1.15^(COUNTIF(C$4:C613,C614)-COUNTIF(C$4:C613,""Sell_""&amp;C614))))))"),"")</f>
        <v/>
      </c>
      <c r="H614" s="10" t="str">
        <f t="shared" si="3"/>
        <v/>
      </c>
      <c r="I614" s="68" t="str">
        <f t="shared" si="4"/>
        <v/>
      </c>
      <c r="J614" s="59" t="str">
        <f t="shared" si="5"/>
        <v/>
      </c>
      <c r="K614" s="69" t="str">
        <f t="shared" si="6"/>
        <v/>
      </c>
      <c r="L614" s="60" t="str">
        <f t="shared" si="7"/>
        <v/>
      </c>
      <c r="M614" s="61" t="str">
        <f>IFERROR(__xludf.DUMMYFUNCTION("IFS(AND(COUNTA(C614:C1350)=0,COUNTA(Q614:Q1350)=0),"""",OR(AND(K614&gt;=1000000000,OR(Y614&gt;=1000000000,COUNTA(Q614:Q1350)=0)),OR(Y614&gt;=1000000000,AND(COUNTA(C614:C1350)=0,P$3=TRUE))),
ROUNDDOWN((AB$1-AC$1)*MAX(INDEX(T$4:T1350,MATCH(LARGE(FILTER(Y$4:Y1350,Y$4"&amp;":Y1350&lt;1000000000),1),Y$4:Y1350)),INDEX(F$4:F1350,MATCH(LARGE(FILTER(K$4:K1350,K$4:K1350&lt;1000000000),1),K$4:K1350)))),AND(K614&lt;1000000000,COUNTA(C614:C1350)&gt;0,P$3=FALSE),
ROUNDDOWN(INDEX(Y$4:Y1350,MATCH(LARGE(FILTER(W$4:W1350,W$4:W1350&lt;=I614),1),W$4:W1350"&amp;"))+(I614-LARGE(FILTER(W$4:W1350,W$4:W1350&lt;=I614),1))*INDEX(T$4:T1350,MATCH(LARGE(FILTER(W$4:W1350,W$4:W1350&lt;=I614),1),W$4:W1350))-K614),1,
ROUNDDOWN(Y614-INDEX(K$4:K1350,MATCH(LARGE(FILTER(I$4:I1350,I$4:I1350&lt;=W614),1),I$4:I1350))-(W614-LARGE(FILTER(I$4:I"&amp;"1350,I$4:I1350&lt;=W614),1))*INDEX(F$4:F1350,MATCH(LARGE(FILTER(I$4:I1350,I$4:I1350&lt;=W614),1),I$4:I1350))))"),"")</f>
        <v/>
      </c>
      <c r="N614" s="60" t="str">
        <f t="shared" si="8"/>
        <v/>
      </c>
      <c r="O614" s="61" t="str">
        <f t="shared" si="9"/>
        <v/>
      </c>
      <c r="P614" s="56" t="str">
        <f t="shared" si="10"/>
        <v/>
      </c>
      <c r="Q614" s="62"/>
      <c r="R614" s="10" t="str">
        <f>IFERROR(__xludf.DUMMYFUNCTION("IF(COUNTA(Q614:Q1350)=0,"""",IF(ISBLANK(Q614),FALSE,IF(NOT(COUNTIF($AA$24:$AA$34,SUBSTITUTE(Q614,""Sell_"",""""))),1,IF(REGEXMATCH(Q614,""Sell_""),IF(COUNTIF(Q$4:Q614,SUBSTITUTE(Q614,""Sell_"",""""))-COUNTIF(Q$4:Q613,Q614)&lt;1,1),FALSE))))"),"")</f>
        <v/>
      </c>
      <c r="S614" s="59" t="str">
        <f t="array" ref="S614">IF(COUNTA(Q614:Q1350)=0,"",SUM((COUNTIF(Q$4:Q614,Upgrades!$B$3:$B$13)-COUNTIF(Q$4:Q614,"Sell_"&amp;Upgrades!$B$3:$B$13))*Upgrades!$D$3:$D$13))</f>
        <v/>
      </c>
      <c r="T614" s="66" t="str">
        <f>IFERROR(__xludf.DUMMYFUNCTION("IF(COUNTA(Q614:Q1350)=0,"""",IF(REGEXMATCH(INDEX(FILTER(Q$4:Q614,Q$4:Q614&lt;&gt;""""),ROWS(FILTER(Q$4:Q614,Q$4:Q614&lt;&gt;""""))),""^Sell_""),INDEX(FILTER(T$4:T613,Q$4:Q613&lt;&gt;""""),ROWS(FILTER(Q$4:Q613,Q$4:Q613&lt;&gt;""""))),$AD$5+S614))"),"")</f>
        <v/>
      </c>
      <c r="U614" s="10" t="str">
        <f>IFERROR(__xludf.DUMMYFUNCTION("IF(COUNTA(Q614:Q1350)=0,"""",IF(Q614="""",0,IF(REGEXMATCH(Q614,""^Sell_""),-ROUNDDOWN(ROUNDUP(INDEX(Upgrades!$C$3:$C$13,MATCH(SUBSTITUTE(Q614,""Sell_"",""""),Upgrades!$B$3:$B$13,0))*1.15^(COUNTIF(Q$4:Q613,SUBSTITUTE(Q614,""Sell_"",""""))-COUNTIF(Q$4:Q613,"&amp;"""Sell_""&amp;SUBSTITUTE(Q614,""Sell_"",""""))))/2),ROUNDUP(INDEX(Upgrades!$C$3:$C$13,MATCH(Q614,Upgrades!$B$3:$B$13,0))*1.15^(COUNTIF(Q$4:Q613,Q614)-COUNTIF(Q$4:Q613,""Sell_""&amp;Q614))))))"),"")</f>
        <v/>
      </c>
      <c r="V614" s="10" t="str">
        <f t="shared" si="11"/>
        <v/>
      </c>
      <c r="W614" s="68" t="str">
        <f t="shared" si="12"/>
        <v/>
      </c>
      <c r="X614" s="59" t="str">
        <f t="shared" si="13"/>
        <v/>
      </c>
      <c r="Y614" s="69" t="str">
        <f t="shared" si="14"/>
        <v/>
      </c>
      <c r="Z614" s="11"/>
    </row>
    <row r="615">
      <c r="A615" s="8"/>
      <c r="B615" s="56" t="str">
        <f t="shared" si="2"/>
        <v/>
      </c>
      <c r="C615" s="57"/>
      <c r="D615" s="10" t="str">
        <f>IFERROR(__xludf.DUMMYFUNCTION("IF(COUNTA(C615:C1350)=0,"""",IF(ISBLANK(C615),FALSE,IF(NOT(COUNTIF($AA$24:$AA$34,SUBSTITUTE(C615,""Sell_"",""""))),1,IF(REGEXMATCH(C615,""Sell_""),IF(COUNTIF(C$4:C615,SUBSTITUTE(C615,""Sell_"",""""))-COUNTIF(C$4:C614,C615)&lt;1,1),FALSE))))"),"")</f>
        <v/>
      </c>
      <c r="E615" s="59" t="str">
        <f t="array" ref="E615">IF(COUNTA(C615:C1350)=0,"",SUM((COUNTIF(C$4:C615,Upgrades!$B$3:$B$13)-COUNTIF(C$4:C615,"Sell_"&amp;Upgrades!$B$3:$B$13))*Upgrades!$D$3:$D$13))</f>
        <v/>
      </c>
      <c r="F615" s="66" t="str">
        <f>IFERROR(__xludf.DUMMYFUNCTION("IF(COUNTA(C615:C1350)=0,"""",IF(REGEXMATCH(INDEX(FILTER(C$4:C615,C$4:C615&lt;&gt;""""),ROWS(FILTER(C$4:C615,C$4:C615&lt;&gt;""""))),""^Sell_""),INDEX(FILTER(F$4:F614,C$4:C614&lt;&gt;""""),ROWS(FILTER(C$4:C614,C$4:C614&lt;&gt;""""))),$AC$5+E615))"),"")</f>
        <v/>
      </c>
      <c r="G615" s="10" t="str">
        <f>IFERROR(__xludf.DUMMYFUNCTION("IF(COUNTA(C615:C1350)=0,"""",IF(C615="""",0,IF(REGEXMATCH(C615,""^Sell_""),-ROUNDDOWN(ROUNDUP(INDEX(Upgrades!$C$3:$C$13,MATCH(SUBSTITUTE(C615,""Sell_"",""""),Upgrades!$B$3:$B$13,0))*1.15^(COUNTIF(C$4:C614,SUBSTITUTE(C615,""Sell_"",""""))-COUNTIF(C$4:C614,"&amp;"""Sell_""&amp;SUBSTITUTE(C615,""Sell_"",""""))))/2),ROUNDUP(INDEX(Upgrades!$C$3:$C$13,MATCH(C615,Upgrades!$B$3:$B$13,0))*1.15^(COUNTIF(C$4:C614,C615)-COUNTIF(C$4:C614,""Sell_""&amp;C615))))))"),"")</f>
        <v/>
      </c>
      <c r="H615" s="10" t="str">
        <f t="shared" si="3"/>
        <v/>
      </c>
      <c r="I615" s="68" t="str">
        <f t="shared" si="4"/>
        <v/>
      </c>
      <c r="J615" s="59" t="str">
        <f t="shared" si="5"/>
        <v/>
      </c>
      <c r="K615" s="69" t="str">
        <f t="shared" si="6"/>
        <v/>
      </c>
      <c r="L615" s="60" t="str">
        <f t="shared" si="7"/>
        <v/>
      </c>
      <c r="M615" s="61" t="str">
        <f>IFERROR(__xludf.DUMMYFUNCTION("IFS(AND(COUNTA(C615:C1350)=0,COUNTA(Q615:Q1350)=0),"""",OR(AND(K615&gt;=1000000000,OR(Y615&gt;=1000000000,COUNTA(Q615:Q1350)=0)),OR(Y615&gt;=1000000000,AND(COUNTA(C615:C1350)=0,P$3=TRUE))),
ROUNDDOWN((AB$1-AC$1)*MAX(INDEX(T$4:T1350,MATCH(LARGE(FILTER(Y$4:Y1350,Y$4"&amp;":Y1350&lt;1000000000),1),Y$4:Y1350)),INDEX(F$4:F1350,MATCH(LARGE(FILTER(K$4:K1350,K$4:K1350&lt;1000000000),1),K$4:K1350)))),AND(K615&lt;1000000000,COUNTA(C615:C1350)&gt;0,P$3=FALSE),
ROUNDDOWN(INDEX(Y$4:Y1350,MATCH(LARGE(FILTER(W$4:W1350,W$4:W1350&lt;=I615),1),W$4:W1350"&amp;"))+(I615-LARGE(FILTER(W$4:W1350,W$4:W1350&lt;=I615),1))*INDEX(T$4:T1350,MATCH(LARGE(FILTER(W$4:W1350,W$4:W1350&lt;=I615),1),W$4:W1350))-K615),1,
ROUNDDOWN(Y615-INDEX(K$4:K1350,MATCH(LARGE(FILTER(I$4:I1350,I$4:I1350&lt;=W615),1),I$4:I1350))-(W615-LARGE(FILTER(I$4:I"&amp;"1350,I$4:I1350&lt;=W615),1))*INDEX(F$4:F1350,MATCH(LARGE(FILTER(I$4:I1350,I$4:I1350&lt;=W615),1),I$4:I1350))))"),"")</f>
        <v/>
      </c>
      <c r="N615" s="60" t="str">
        <f t="shared" si="8"/>
        <v/>
      </c>
      <c r="O615" s="61" t="str">
        <f t="shared" si="9"/>
        <v/>
      </c>
      <c r="P615" s="56" t="str">
        <f t="shared" si="10"/>
        <v/>
      </c>
      <c r="Q615" s="62"/>
      <c r="R615" s="10" t="str">
        <f>IFERROR(__xludf.DUMMYFUNCTION("IF(COUNTA(Q615:Q1350)=0,"""",IF(ISBLANK(Q615),FALSE,IF(NOT(COUNTIF($AA$24:$AA$34,SUBSTITUTE(Q615,""Sell_"",""""))),1,IF(REGEXMATCH(Q615,""Sell_""),IF(COUNTIF(Q$4:Q615,SUBSTITUTE(Q615,""Sell_"",""""))-COUNTIF(Q$4:Q614,Q615)&lt;1,1),FALSE))))"),"")</f>
        <v/>
      </c>
      <c r="S615" s="59" t="str">
        <f t="array" ref="S615">IF(COUNTA(Q615:Q1350)=0,"",SUM((COUNTIF(Q$4:Q615,Upgrades!$B$3:$B$13)-COUNTIF(Q$4:Q615,"Sell_"&amp;Upgrades!$B$3:$B$13))*Upgrades!$D$3:$D$13))</f>
        <v/>
      </c>
      <c r="T615" s="66" t="str">
        <f>IFERROR(__xludf.DUMMYFUNCTION("IF(COUNTA(Q615:Q1350)=0,"""",IF(REGEXMATCH(INDEX(FILTER(Q$4:Q615,Q$4:Q615&lt;&gt;""""),ROWS(FILTER(Q$4:Q615,Q$4:Q615&lt;&gt;""""))),""^Sell_""),INDEX(FILTER(T$4:T614,Q$4:Q614&lt;&gt;""""),ROWS(FILTER(Q$4:Q614,Q$4:Q614&lt;&gt;""""))),$AD$5+S615))"),"")</f>
        <v/>
      </c>
      <c r="U615" s="10" t="str">
        <f>IFERROR(__xludf.DUMMYFUNCTION("IF(COUNTA(Q615:Q1350)=0,"""",IF(Q615="""",0,IF(REGEXMATCH(Q615,""^Sell_""),-ROUNDDOWN(ROUNDUP(INDEX(Upgrades!$C$3:$C$13,MATCH(SUBSTITUTE(Q615,""Sell_"",""""),Upgrades!$B$3:$B$13,0))*1.15^(COUNTIF(Q$4:Q614,SUBSTITUTE(Q615,""Sell_"",""""))-COUNTIF(Q$4:Q614,"&amp;"""Sell_""&amp;SUBSTITUTE(Q615,""Sell_"",""""))))/2),ROUNDUP(INDEX(Upgrades!$C$3:$C$13,MATCH(Q615,Upgrades!$B$3:$B$13,0))*1.15^(COUNTIF(Q$4:Q614,Q615)-COUNTIF(Q$4:Q614,""Sell_""&amp;Q615))))))"),"")</f>
        <v/>
      </c>
      <c r="V615" s="10" t="str">
        <f t="shared" si="11"/>
        <v/>
      </c>
      <c r="W615" s="68" t="str">
        <f t="shared" si="12"/>
        <v/>
      </c>
      <c r="X615" s="59" t="str">
        <f t="shared" si="13"/>
        <v/>
      </c>
      <c r="Y615" s="69" t="str">
        <f t="shared" si="14"/>
        <v/>
      </c>
      <c r="Z615" s="11"/>
    </row>
    <row r="616">
      <c r="A616" s="8"/>
      <c r="B616" s="56" t="str">
        <f t="shared" si="2"/>
        <v/>
      </c>
      <c r="C616" s="57"/>
      <c r="D616" s="10" t="str">
        <f>IFERROR(__xludf.DUMMYFUNCTION("IF(COUNTA(C616:C1350)=0,"""",IF(ISBLANK(C616),FALSE,IF(NOT(COUNTIF($AA$24:$AA$34,SUBSTITUTE(C616,""Sell_"",""""))),1,IF(REGEXMATCH(C616,""Sell_""),IF(COUNTIF(C$4:C616,SUBSTITUTE(C616,""Sell_"",""""))-COUNTIF(C$4:C615,C616)&lt;1,1),FALSE))))"),"")</f>
        <v/>
      </c>
      <c r="E616" s="59" t="str">
        <f t="array" ref="E616">IF(COUNTA(C616:C1350)=0,"",SUM((COUNTIF(C$4:C616,Upgrades!$B$3:$B$13)-COUNTIF(C$4:C616,"Sell_"&amp;Upgrades!$B$3:$B$13))*Upgrades!$D$3:$D$13))</f>
        <v/>
      </c>
      <c r="F616" s="66" t="str">
        <f>IFERROR(__xludf.DUMMYFUNCTION("IF(COUNTA(C616:C1350)=0,"""",IF(REGEXMATCH(INDEX(FILTER(C$4:C616,C$4:C616&lt;&gt;""""),ROWS(FILTER(C$4:C616,C$4:C616&lt;&gt;""""))),""^Sell_""),INDEX(FILTER(F$4:F615,C$4:C615&lt;&gt;""""),ROWS(FILTER(C$4:C615,C$4:C615&lt;&gt;""""))),$AC$5+E616))"),"")</f>
        <v/>
      </c>
      <c r="G616" s="10" t="str">
        <f>IFERROR(__xludf.DUMMYFUNCTION("IF(COUNTA(C616:C1350)=0,"""",IF(C616="""",0,IF(REGEXMATCH(C616,""^Sell_""),-ROUNDDOWN(ROUNDUP(INDEX(Upgrades!$C$3:$C$13,MATCH(SUBSTITUTE(C616,""Sell_"",""""),Upgrades!$B$3:$B$13,0))*1.15^(COUNTIF(C$4:C615,SUBSTITUTE(C616,""Sell_"",""""))-COUNTIF(C$4:C615,"&amp;"""Sell_""&amp;SUBSTITUTE(C616,""Sell_"",""""))))/2),ROUNDUP(INDEX(Upgrades!$C$3:$C$13,MATCH(C616,Upgrades!$B$3:$B$13,0))*1.15^(COUNTIF(C$4:C615,C616)-COUNTIF(C$4:C615,""Sell_""&amp;C616))))))"),"")</f>
        <v/>
      </c>
      <c r="H616" s="10" t="str">
        <f t="shared" si="3"/>
        <v/>
      </c>
      <c r="I616" s="68" t="str">
        <f t="shared" si="4"/>
        <v/>
      </c>
      <c r="J616" s="59" t="str">
        <f t="shared" si="5"/>
        <v/>
      </c>
      <c r="K616" s="69" t="str">
        <f t="shared" si="6"/>
        <v/>
      </c>
      <c r="L616" s="60" t="str">
        <f t="shared" si="7"/>
        <v/>
      </c>
      <c r="M616" s="61" t="str">
        <f>IFERROR(__xludf.DUMMYFUNCTION("IFS(AND(COUNTA(C616:C1350)=0,COUNTA(Q616:Q1350)=0),"""",OR(AND(K616&gt;=1000000000,OR(Y616&gt;=1000000000,COUNTA(Q616:Q1350)=0)),OR(Y616&gt;=1000000000,AND(COUNTA(C616:C1350)=0,P$3=TRUE))),
ROUNDDOWN((AB$1-AC$1)*MAX(INDEX(T$4:T1350,MATCH(LARGE(FILTER(Y$4:Y1350,Y$4"&amp;":Y1350&lt;1000000000),1),Y$4:Y1350)),INDEX(F$4:F1350,MATCH(LARGE(FILTER(K$4:K1350,K$4:K1350&lt;1000000000),1),K$4:K1350)))),AND(K616&lt;1000000000,COUNTA(C616:C1350)&gt;0,P$3=FALSE),
ROUNDDOWN(INDEX(Y$4:Y1350,MATCH(LARGE(FILTER(W$4:W1350,W$4:W1350&lt;=I616),1),W$4:W1350"&amp;"))+(I616-LARGE(FILTER(W$4:W1350,W$4:W1350&lt;=I616),1))*INDEX(T$4:T1350,MATCH(LARGE(FILTER(W$4:W1350,W$4:W1350&lt;=I616),1),W$4:W1350))-K616),1,
ROUNDDOWN(Y616-INDEX(K$4:K1350,MATCH(LARGE(FILTER(I$4:I1350,I$4:I1350&lt;=W616),1),I$4:I1350))-(W616-LARGE(FILTER(I$4:I"&amp;"1350,I$4:I1350&lt;=W616),1))*INDEX(F$4:F1350,MATCH(LARGE(FILTER(I$4:I1350,I$4:I1350&lt;=W616),1),I$4:I1350))))"),"")</f>
        <v/>
      </c>
      <c r="N616" s="60" t="str">
        <f t="shared" si="8"/>
        <v/>
      </c>
      <c r="O616" s="61" t="str">
        <f t="shared" si="9"/>
        <v/>
      </c>
      <c r="P616" s="56" t="str">
        <f t="shared" si="10"/>
        <v/>
      </c>
      <c r="Q616" s="62"/>
      <c r="R616" s="10" t="str">
        <f>IFERROR(__xludf.DUMMYFUNCTION("IF(COUNTA(Q616:Q1350)=0,"""",IF(ISBLANK(Q616),FALSE,IF(NOT(COUNTIF($AA$24:$AA$34,SUBSTITUTE(Q616,""Sell_"",""""))),1,IF(REGEXMATCH(Q616,""Sell_""),IF(COUNTIF(Q$4:Q616,SUBSTITUTE(Q616,""Sell_"",""""))-COUNTIF(Q$4:Q615,Q616)&lt;1,1),FALSE))))"),"")</f>
        <v/>
      </c>
      <c r="S616" s="59" t="str">
        <f t="array" ref="S616">IF(COUNTA(Q616:Q1350)=0,"",SUM((COUNTIF(Q$4:Q616,Upgrades!$B$3:$B$13)-COUNTIF(Q$4:Q616,"Sell_"&amp;Upgrades!$B$3:$B$13))*Upgrades!$D$3:$D$13))</f>
        <v/>
      </c>
      <c r="T616" s="66" t="str">
        <f>IFERROR(__xludf.DUMMYFUNCTION("IF(COUNTA(Q616:Q1350)=0,"""",IF(REGEXMATCH(INDEX(FILTER(Q$4:Q616,Q$4:Q616&lt;&gt;""""),ROWS(FILTER(Q$4:Q616,Q$4:Q616&lt;&gt;""""))),""^Sell_""),INDEX(FILTER(T$4:T615,Q$4:Q615&lt;&gt;""""),ROWS(FILTER(Q$4:Q615,Q$4:Q615&lt;&gt;""""))),$AD$5+S616))"),"")</f>
        <v/>
      </c>
      <c r="U616" s="10" t="str">
        <f>IFERROR(__xludf.DUMMYFUNCTION("IF(COUNTA(Q616:Q1350)=0,"""",IF(Q616="""",0,IF(REGEXMATCH(Q616,""^Sell_""),-ROUNDDOWN(ROUNDUP(INDEX(Upgrades!$C$3:$C$13,MATCH(SUBSTITUTE(Q616,""Sell_"",""""),Upgrades!$B$3:$B$13,0))*1.15^(COUNTIF(Q$4:Q615,SUBSTITUTE(Q616,""Sell_"",""""))-COUNTIF(Q$4:Q615,"&amp;"""Sell_""&amp;SUBSTITUTE(Q616,""Sell_"",""""))))/2),ROUNDUP(INDEX(Upgrades!$C$3:$C$13,MATCH(Q616,Upgrades!$B$3:$B$13,0))*1.15^(COUNTIF(Q$4:Q615,Q616)-COUNTIF(Q$4:Q615,""Sell_""&amp;Q616))))))"),"")</f>
        <v/>
      </c>
      <c r="V616" s="10" t="str">
        <f t="shared" si="11"/>
        <v/>
      </c>
      <c r="W616" s="68" t="str">
        <f t="shared" si="12"/>
        <v/>
      </c>
      <c r="X616" s="59" t="str">
        <f t="shared" si="13"/>
        <v/>
      </c>
      <c r="Y616" s="69" t="str">
        <f t="shared" si="14"/>
        <v/>
      </c>
      <c r="Z616" s="11"/>
    </row>
    <row r="617">
      <c r="A617" s="8"/>
      <c r="B617" s="56" t="str">
        <f t="shared" si="2"/>
        <v/>
      </c>
      <c r="C617" s="57"/>
      <c r="D617" s="10" t="str">
        <f>IFERROR(__xludf.DUMMYFUNCTION("IF(COUNTA(C617:C1350)=0,"""",IF(ISBLANK(C617),FALSE,IF(NOT(COUNTIF($AA$24:$AA$34,SUBSTITUTE(C617,""Sell_"",""""))),1,IF(REGEXMATCH(C617,""Sell_""),IF(COUNTIF(C$4:C617,SUBSTITUTE(C617,""Sell_"",""""))-COUNTIF(C$4:C616,C617)&lt;1,1),FALSE))))"),"")</f>
        <v/>
      </c>
      <c r="E617" s="59" t="str">
        <f t="array" ref="E617">IF(COUNTA(C617:C1350)=0,"",SUM((COUNTIF(C$4:C617,Upgrades!$B$3:$B$13)-COUNTIF(C$4:C617,"Sell_"&amp;Upgrades!$B$3:$B$13))*Upgrades!$D$3:$D$13))</f>
        <v/>
      </c>
      <c r="F617" s="66" t="str">
        <f>IFERROR(__xludf.DUMMYFUNCTION("IF(COUNTA(C617:C1350)=0,"""",IF(REGEXMATCH(INDEX(FILTER(C$4:C617,C$4:C617&lt;&gt;""""),ROWS(FILTER(C$4:C617,C$4:C617&lt;&gt;""""))),""^Sell_""),INDEX(FILTER(F$4:F616,C$4:C616&lt;&gt;""""),ROWS(FILTER(C$4:C616,C$4:C616&lt;&gt;""""))),$AC$5+E617))"),"")</f>
        <v/>
      </c>
      <c r="G617" s="10" t="str">
        <f>IFERROR(__xludf.DUMMYFUNCTION("IF(COUNTA(C617:C1350)=0,"""",IF(C617="""",0,IF(REGEXMATCH(C617,""^Sell_""),-ROUNDDOWN(ROUNDUP(INDEX(Upgrades!$C$3:$C$13,MATCH(SUBSTITUTE(C617,""Sell_"",""""),Upgrades!$B$3:$B$13,0))*1.15^(COUNTIF(C$4:C616,SUBSTITUTE(C617,""Sell_"",""""))-COUNTIF(C$4:C616,"&amp;"""Sell_""&amp;SUBSTITUTE(C617,""Sell_"",""""))))/2),ROUNDUP(INDEX(Upgrades!$C$3:$C$13,MATCH(C617,Upgrades!$B$3:$B$13,0))*1.15^(COUNTIF(C$4:C616,C617)-COUNTIF(C$4:C616,""Sell_""&amp;C617))))))"),"")</f>
        <v/>
      </c>
      <c r="H617" s="10" t="str">
        <f t="shared" si="3"/>
        <v/>
      </c>
      <c r="I617" s="68" t="str">
        <f t="shared" si="4"/>
        <v/>
      </c>
      <c r="J617" s="59" t="str">
        <f t="shared" si="5"/>
        <v/>
      </c>
      <c r="K617" s="69" t="str">
        <f t="shared" si="6"/>
        <v/>
      </c>
      <c r="L617" s="60" t="str">
        <f t="shared" si="7"/>
        <v/>
      </c>
      <c r="M617" s="61" t="str">
        <f>IFERROR(__xludf.DUMMYFUNCTION("IFS(AND(COUNTA(C617:C1350)=0,COUNTA(Q617:Q1350)=0),"""",OR(AND(K617&gt;=1000000000,OR(Y617&gt;=1000000000,COUNTA(Q617:Q1350)=0)),OR(Y617&gt;=1000000000,AND(COUNTA(C617:C1350)=0,P$3=TRUE))),
ROUNDDOWN((AB$1-AC$1)*MAX(INDEX(T$4:T1350,MATCH(LARGE(FILTER(Y$4:Y1350,Y$4"&amp;":Y1350&lt;1000000000),1),Y$4:Y1350)),INDEX(F$4:F1350,MATCH(LARGE(FILTER(K$4:K1350,K$4:K1350&lt;1000000000),1),K$4:K1350)))),AND(K617&lt;1000000000,COUNTA(C617:C1350)&gt;0,P$3=FALSE),
ROUNDDOWN(INDEX(Y$4:Y1350,MATCH(LARGE(FILTER(W$4:W1350,W$4:W1350&lt;=I617),1),W$4:W1350"&amp;"))+(I617-LARGE(FILTER(W$4:W1350,W$4:W1350&lt;=I617),1))*INDEX(T$4:T1350,MATCH(LARGE(FILTER(W$4:W1350,W$4:W1350&lt;=I617),1),W$4:W1350))-K617),1,
ROUNDDOWN(Y617-INDEX(K$4:K1350,MATCH(LARGE(FILTER(I$4:I1350,I$4:I1350&lt;=W617),1),I$4:I1350))-(W617-LARGE(FILTER(I$4:I"&amp;"1350,I$4:I1350&lt;=W617),1))*INDEX(F$4:F1350,MATCH(LARGE(FILTER(I$4:I1350,I$4:I1350&lt;=W617),1),I$4:I1350))))"),"")</f>
        <v/>
      </c>
      <c r="N617" s="60" t="str">
        <f t="shared" si="8"/>
        <v/>
      </c>
      <c r="O617" s="61" t="str">
        <f t="shared" si="9"/>
        <v/>
      </c>
      <c r="P617" s="56" t="str">
        <f t="shared" si="10"/>
        <v/>
      </c>
      <c r="Q617" s="62"/>
      <c r="R617" s="10" t="str">
        <f>IFERROR(__xludf.DUMMYFUNCTION("IF(COUNTA(Q617:Q1350)=0,"""",IF(ISBLANK(Q617),FALSE,IF(NOT(COUNTIF($AA$24:$AA$34,SUBSTITUTE(Q617,""Sell_"",""""))),1,IF(REGEXMATCH(Q617,""Sell_""),IF(COUNTIF(Q$4:Q617,SUBSTITUTE(Q617,""Sell_"",""""))-COUNTIF(Q$4:Q616,Q617)&lt;1,1),FALSE))))"),"")</f>
        <v/>
      </c>
      <c r="S617" s="59" t="str">
        <f t="array" ref="S617">IF(COUNTA(Q617:Q1350)=0,"",SUM((COUNTIF(Q$4:Q617,Upgrades!$B$3:$B$13)-COUNTIF(Q$4:Q617,"Sell_"&amp;Upgrades!$B$3:$B$13))*Upgrades!$D$3:$D$13))</f>
        <v/>
      </c>
      <c r="T617" s="66" t="str">
        <f>IFERROR(__xludf.DUMMYFUNCTION("IF(COUNTA(Q617:Q1350)=0,"""",IF(REGEXMATCH(INDEX(FILTER(Q$4:Q617,Q$4:Q617&lt;&gt;""""),ROWS(FILTER(Q$4:Q617,Q$4:Q617&lt;&gt;""""))),""^Sell_""),INDEX(FILTER(T$4:T616,Q$4:Q616&lt;&gt;""""),ROWS(FILTER(Q$4:Q616,Q$4:Q616&lt;&gt;""""))),$AD$5+S617))"),"")</f>
        <v/>
      </c>
      <c r="U617" s="10" t="str">
        <f>IFERROR(__xludf.DUMMYFUNCTION("IF(COUNTA(Q617:Q1350)=0,"""",IF(Q617="""",0,IF(REGEXMATCH(Q617,""^Sell_""),-ROUNDDOWN(ROUNDUP(INDEX(Upgrades!$C$3:$C$13,MATCH(SUBSTITUTE(Q617,""Sell_"",""""),Upgrades!$B$3:$B$13,0))*1.15^(COUNTIF(Q$4:Q616,SUBSTITUTE(Q617,""Sell_"",""""))-COUNTIF(Q$4:Q616,"&amp;"""Sell_""&amp;SUBSTITUTE(Q617,""Sell_"",""""))))/2),ROUNDUP(INDEX(Upgrades!$C$3:$C$13,MATCH(Q617,Upgrades!$B$3:$B$13,0))*1.15^(COUNTIF(Q$4:Q616,Q617)-COUNTIF(Q$4:Q616,""Sell_""&amp;Q617))))))"),"")</f>
        <v/>
      </c>
      <c r="V617" s="10" t="str">
        <f t="shared" si="11"/>
        <v/>
      </c>
      <c r="W617" s="68" t="str">
        <f t="shared" si="12"/>
        <v/>
      </c>
      <c r="X617" s="59" t="str">
        <f t="shared" si="13"/>
        <v/>
      </c>
      <c r="Y617" s="69" t="str">
        <f t="shared" si="14"/>
        <v/>
      </c>
      <c r="Z617" s="11"/>
    </row>
    <row r="618">
      <c r="A618" s="8"/>
      <c r="B618" s="56" t="str">
        <f t="shared" si="2"/>
        <v/>
      </c>
      <c r="C618" s="57"/>
      <c r="D618" s="10" t="str">
        <f>IFERROR(__xludf.DUMMYFUNCTION("IF(COUNTA(C618:C1350)=0,"""",IF(ISBLANK(C618),FALSE,IF(NOT(COUNTIF($AA$24:$AA$34,SUBSTITUTE(C618,""Sell_"",""""))),1,IF(REGEXMATCH(C618,""Sell_""),IF(COUNTIF(C$4:C618,SUBSTITUTE(C618,""Sell_"",""""))-COUNTIF(C$4:C617,C618)&lt;1,1),FALSE))))"),"")</f>
        <v/>
      </c>
      <c r="E618" s="59" t="str">
        <f t="array" ref="E618">IF(COUNTA(C618:C1350)=0,"",SUM((COUNTIF(C$4:C618,Upgrades!$B$3:$B$13)-COUNTIF(C$4:C618,"Sell_"&amp;Upgrades!$B$3:$B$13))*Upgrades!$D$3:$D$13))</f>
        <v/>
      </c>
      <c r="F618" s="66" t="str">
        <f>IFERROR(__xludf.DUMMYFUNCTION("IF(COUNTA(C618:C1350)=0,"""",IF(REGEXMATCH(INDEX(FILTER(C$4:C618,C$4:C618&lt;&gt;""""),ROWS(FILTER(C$4:C618,C$4:C618&lt;&gt;""""))),""^Sell_""),INDEX(FILTER(F$4:F617,C$4:C617&lt;&gt;""""),ROWS(FILTER(C$4:C617,C$4:C617&lt;&gt;""""))),$AC$5+E618))"),"")</f>
        <v/>
      </c>
      <c r="G618" s="10" t="str">
        <f>IFERROR(__xludf.DUMMYFUNCTION("IF(COUNTA(C618:C1350)=0,"""",IF(C618="""",0,IF(REGEXMATCH(C618,""^Sell_""),-ROUNDDOWN(ROUNDUP(INDEX(Upgrades!$C$3:$C$13,MATCH(SUBSTITUTE(C618,""Sell_"",""""),Upgrades!$B$3:$B$13,0))*1.15^(COUNTIF(C$4:C617,SUBSTITUTE(C618,""Sell_"",""""))-COUNTIF(C$4:C617,"&amp;"""Sell_""&amp;SUBSTITUTE(C618,""Sell_"",""""))))/2),ROUNDUP(INDEX(Upgrades!$C$3:$C$13,MATCH(C618,Upgrades!$B$3:$B$13,0))*1.15^(COUNTIF(C$4:C617,C618)-COUNTIF(C$4:C617,""Sell_""&amp;C618))))))"),"")</f>
        <v/>
      </c>
      <c r="H618" s="10" t="str">
        <f t="shared" si="3"/>
        <v/>
      </c>
      <c r="I618" s="68" t="str">
        <f t="shared" si="4"/>
        <v/>
      </c>
      <c r="J618" s="59" t="str">
        <f t="shared" si="5"/>
        <v/>
      </c>
      <c r="K618" s="69" t="str">
        <f t="shared" si="6"/>
        <v/>
      </c>
      <c r="L618" s="60" t="str">
        <f t="shared" si="7"/>
        <v/>
      </c>
      <c r="M618" s="61" t="str">
        <f>IFERROR(__xludf.DUMMYFUNCTION("IFS(AND(COUNTA(C618:C1350)=0,COUNTA(Q618:Q1350)=0),"""",OR(AND(K618&gt;=1000000000,OR(Y618&gt;=1000000000,COUNTA(Q618:Q1350)=0)),OR(Y618&gt;=1000000000,AND(COUNTA(C618:C1350)=0,P$3=TRUE))),
ROUNDDOWN((AB$1-AC$1)*MAX(INDEX(T$4:T1350,MATCH(LARGE(FILTER(Y$4:Y1350,Y$4"&amp;":Y1350&lt;1000000000),1),Y$4:Y1350)),INDEX(F$4:F1350,MATCH(LARGE(FILTER(K$4:K1350,K$4:K1350&lt;1000000000),1),K$4:K1350)))),AND(K618&lt;1000000000,COUNTA(C618:C1350)&gt;0,P$3=FALSE),
ROUNDDOWN(INDEX(Y$4:Y1350,MATCH(LARGE(FILTER(W$4:W1350,W$4:W1350&lt;=I618),1),W$4:W1350"&amp;"))+(I618-LARGE(FILTER(W$4:W1350,W$4:W1350&lt;=I618),1))*INDEX(T$4:T1350,MATCH(LARGE(FILTER(W$4:W1350,W$4:W1350&lt;=I618),1),W$4:W1350))-K618),1,
ROUNDDOWN(Y618-INDEX(K$4:K1350,MATCH(LARGE(FILTER(I$4:I1350,I$4:I1350&lt;=W618),1),I$4:I1350))-(W618-LARGE(FILTER(I$4:I"&amp;"1350,I$4:I1350&lt;=W618),1))*INDEX(F$4:F1350,MATCH(LARGE(FILTER(I$4:I1350,I$4:I1350&lt;=W618),1),I$4:I1350))))"),"")</f>
        <v/>
      </c>
      <c r="N618" s="60" t="str">
        <f t="shared" si="8"/>
        <v/>
      </c>
      <c r="O618" s="61" t="str">
        <f t="shared" si="9"/>
        <v/>
      </c>
      <c r="P618" s="56" t="str">
        <f t="shared" si="10"/>
        <v/>
      </c>
      <c r="Q618" s="62"/>
      <c r="R618" s="10" t="str">
        <f>IFERROR(__xludf.DUMMYFUNCTION("IF(COUNTA(Q618:Q1350)=0,"""",IF(ISBLANK(Q618),FALSE,IF(NOT(COUNTIF($AA$24:$AA$34,SUBSTITUTE(Q618,""Sell_"",""""))),1,IF(REGEXMATCH(Q618,""Sell_""),IF(COUNTIF(Q$4:Q618,SUBSTITUTE(Q618,""Sell_"",""""))-COUNTIF(Q$4:Q617,Q618)&lt;1,1),FALSE))))"),"")</f>
        <v/>
      </c>
      <c r="S618" s="59" t="str">
        <f t="array" ref="S618">IF(COUNTA(Q618:Q1350)=0,"",SUM((COUNTIF(Q$4:Q618,Upgrades!$B$3:$B$13)-COUNTIF(Q$4:Q618,"Sell_"&amp;Upgrades!$B$3:$B$13))*Upgrades!$D$3:$D$13))</f>
        <v/>
      </c>
      <c r="T618" s="66" t="str">
        <f>IFERROR(__xludf.DUMMYFUNCTION("IF(COUNTA(Q618:Q1350)=0,"""",IF(REGEXMATCH(INDEX(FILTER(Q$4:Q618,Q$4:Q618&lt;&gt;""""),ROWS(FILTER(Q$4:Q618,Q$4:Q618&lt;&gt;""""))),""^Sell_""),INDEX(FILTER(T$4:T617,Q$4:Q617&lt;&gt;""""),ROWS(FILTER(Q$4:Q617,Q$4:Q617&lt;&gt;""""))),$AD$5+S618))"),"")</f>
        <v/>
      </c>
      <c r="U618" s="10" t="str">
        <f>IFERROR(__xludf.DUMMYFUNCTION("IF(COUNTA(Q618:Q1350)=0,"""",IF(Q618="""",0,IF(REGEXMATCH(Q618,""^Sell_""),-ROUNDDOWN(ROUNDUP(INDEX(Upgrades!$C$3:$C$13,MATCH(SUBSTITUTE(Q618,""Sell_"",""""),Upgrades!$B$3:$B$13,0))*1.15^(COUNTIF(Q$4:Q617,SUBSTITUTE(Q618,""Sell_"",""""))-COUNTIF(Q$4:Q617,"&amp;"""Sell_""&amp;SUBSTITUTE(Q618,""Sell_"",""""))))/2),ROUNDUP(INDEX(Upgrades!$C$3:$C$13,MATCH(Q618,Upgrades!$B$3:$B$13,0))*1.15^(COUNTIF(Q$4:Q617,Q618)-COUNTIF(Q$4:Q617,""Sell_""&amp;Q618))))))"),"")</f>
        <v/>
      </c>
      <c r="V618" s="10" t="str">
        <f t="shared" si="11"/>
        <v/>
      </c>
      <c r="W618" s="68" t="str">
        <f t="shared" si="12"/>
        <v/>
      </c>
      <c r="X618" s="59" t="str">
        <f t="shared" si="13"/>
        <v/>
      </c>
      <c r="Y618" s="69" t="str">
        <f t="shared" si="14"/>
        <v/>
      </c>
      <c r="Z618" s="11"/>
    </row>
    <row r="619">
      <c r="A619" s="8"/>
      <c r="B619" s="56" t="str">
        <f t="shared" si="2"/>
        <v/>
      </c>
      <c r="C619" s="57"/>
      <c r="D619" s="10" t="str">
        <f>IFERROR(__xludf.DUMMYFUNCTION("IF(COUNTA(C619:C1350)=0,"""",IF(ISBLANK(C619),FALSE,IF(NOT(COUNTIF($AA$24:$AA$34,SUBSTITUTE(C619,""Sell_"",""""))),1,IF(REGEXMATCH(C619,""Sell_""),IF(COUNTIF(C$4:C619,SUBSTITUTE(C619,""Sell_"",""""))-COUNTIF(C$4:C618,C619)&lt;1,1),FALSE))))"),"")</f>
        <v/>
      </c>
      <c r="E619" s="59" t="str">
        <f t="array" ref="E619">IF(COUNTA(C619:C1350)=0,"",SUM((COUNTIF(C$4:C619,Upgrades!$B$3:$B$13)-COUNTIF(C$4:C619,"Sell_"&amp;Upgrades!$B$3:$B$13))*Upgrades!$D$3:$D$13))</f>
        <v/>
      </c>
      <c r="F619" s="66" t="str">
        <f>IFERROR(__xludf.DUMMYFUNCTION("IF(COUNTA(C619:C1350)=0,"""",IF(REGEXMATCH(INDEX(FILTER(C$4:C619,C$4:C619&lt;&gt;""""),ROWS(FILTER(C$4:C619,C$4:C619&lt;&gt;""""))),""^Sell_""),INDEX(FILTER(F$4:F618,C$4:C618&lt;&gt;""""),ROWS(FILTER(C$4:C618,C$4:C618&lt;&gt;""""))),$AC$5+E619))"),"")</f>
        <v/>
      </c>
      <c r="G619" s="10" t="str">
        <f>IFERROR(__xludf.DUMMYFUNCTION("IF(COUNTA(C619:C1350)=0,"""",IF(C619="""",0,IF(REGEXMATCH(C619,""^Sell_""),-ROUNDDOWN(ROUNDUP(INDEX(Upgrades!$C$3:$C$13,MATCH(SUBSTITUTE(C619,""Sell_"",""""),Upgrades!$B$3:$B$13,0))*1.15^(COUNTIF(C$4:C618,SUBSTITUTE(C619,""Sell_"",""""))-COUNTIF(C$4:C618,"&amp;"""Sell_""&amp;SUBSTITUTE(C619,""Sell_"",""""))))/2),ROUNDUP(INDEX(Upgrades!$C$3:$C$13,MATCH(C619,Upgrades!$B$3:$B$13,0))*1.15^(COUNTIF(C$4:C618,C619)-COUNTIF(C$4:C618,""Sell_""&amp;C619))))))"),"")</f>
        <v/>
      </c>
      <c r="H619" s="10" t="str">
        <f t="shared" si="3"/>
        <v/>
      </c>
      <c r="I619" s="68" t="str">
        <f t="shared" si="4"/>
        <v/>
      </c>
      <c r="J619" s="59" t="str">
        <f t="shared" si="5"/>
        <v/>
      </c>
      <c r="K619" s="69" t="str">
        <f t="shared" si="6"/>
        <v/>
      </c>
      <c r="L619" s="60" t="str">
        <f t="shared" si="7"/>
        <v/>
      </c>
      <c r="M619" s="61" t="str">
        <f>IFERROR(__xludf.DUMMYFUNCTION("IFS(AND(COUNTA(C619:C1350)=0,COUNTA(Q619:Q1350)=0),"""",OR(AND(K619&gt;=1000000000,OR(Y619&gt;=1000000000,COUNTA(Q619:Q1350)=0)),OR(Y619&gt;=1000000000,AND(COUNTA(C619:C1350)=0,P$3=TRUE))),
ROUNDDOWN((AB$1-AC$1)*MAX(INDEX(T$4:T1350,MATCH(LARGE(FILTER(Y$4:Y1350,Y$4"&amp;":Y1350&lt;1000000000),1),Y$4:Y1350)),INDEX(F$4:F1350,MATCH(LARGE(FILTER(K$4:K1350,K$4:K1350&lt;1000000000),1),K$4:K1350)))),AND(K619&lt;1000000000,COUNTA(C619:C1350)&gt;0,P$3=FALSE),
ROUNDDOWN(INDEX(Y$4:Y1350,MATCH(LARGE(FILTER(W$4:W1350,W$4:W1350&lt;=I619),1),W$4:W1350"&amp;"))+(I619-LARGE(FILTER(W$4:W1350,W$4:W1350&lt;=I619),1))*INDEX(T$4:T1350,MATCH(LARGE(FILTER(W$4:W1350,W$4:W1350&lt;=I619),1),W$4:W1350))-K619),1,
ROUNDDOWN(Y619-INDEX(K$4:K1350,MATCH(LARGE(FILTER(I$4:I1350,I$4:I1350&lt;=W619),1),I$4:I1350))-(W619-LARGE(FILTER(I$4:I"&amp;"1350,I$4:I1350&lt;=W619),1))*INDEX(F$4:F1350,MATCH(LARGE(FILTER(I$4:I1350,I$4:I1350&lt;=W619),1),I$4:I1350))))"),"")</f>
        <v/>
      </c>
      <c r="N619" s="60" t="str">
        <f t="shared" si="8"/>
        <v/>
      </c>
      <c r="O619" s="61" t="str">
        <f t="shared" si="9"/>
        <v/>
      </c>
      <c r="P619" s="56" t="str">
        <f t="shared" si="10"/>
        <v/>
      </c>
      <c r="Q619" s="107"/>
      <c r="R619" s="10" t="str">
        <f>IFERROR(__xludf.DUMMYFUNCTION("IF(COUNTA(Q619:Q1350)=0,"""",IF(ISBLANK(Q619),FALSE,IF(NOT(COUNTIF($AA$24:$AA$34,SUBSTITUTE(Q619,""Sell_"",""""))),1,IF(REGEXMATCH(Q619,""Sell_""),IF(COUNTIF(Q$4:Q619,SUBSTITUTE(Q619,""Sell_"",""""))-COUNTIF(Q$4:Q618,Q619)&lt;1,1),FALSE))))"),"")</f>
        <v/>
      </c>
      <c r="S619" s="59" t="str">
        <f t="array" ref="S619">IF(COUNTA(Q619:Q1350)=0,"",SUM((COUNTIF(Q$4:Q619,Upgrades!$B$3:$B$13)-COUNTIF(Q$4:Q619,"Sell_"&amp;Upgrades!$B$3:$B$13))*Upgrades!$D$3:$D$13))</f>
        <v/>
      </c>
      <c r="T619" s="66" t="str">
        <f>IFERROR(__xludf.DUMMYFUNCTION("IF(COUNTA(Q619:Q1350)=0,"""",IF(REGEXMATCH(INDEX(FILTER(Q$4:Q619,Q$4:Q619&lt;&gt;""""),ROWS(FILTER(Q$4:Q619,Q$4:Q619&lt;&gt;""""))),""^Sell_""),INDEX(FILTER(T$4:T618,Q$4:Q618&lt;&gt;""""),ROWS(FILTER(Q$4:Q618,Q$4:Q618&lt;&gt;""""))),$AD$5+S619))"),"")</f>
        <v/>
      </c>
      <c r="U619" s="10" t="str">
        <f>IFERROR(__xludf.DUMMYFUNCTION("IF(COUNTA(Q619:Q1350)=0,"""",IF(Q619="""",0,IF(REGEXMATCH(Q619,""^Sell_""),-ROUNDDOWN(ROUNDUP(INDEX(Upgrades!$C$3:$C$13,MATCH(SUBSTITUTE(Q619,""Sell_"",""""),Upgrades!$B$3:$B$13,0))*1.15^(COUNTIF(Q$4:Q618,SUBSTITUTE(Q619,""Sell_"",""""))-COUNTIF(Q$4:Q618,"&amp;"""Sell_""&amp;SUBSTITUTE(Q619,""Sell_"",""""))))/2),ROUNDUP(INDEX(Upgrades!$C$3:$C$13,MATCH(Q619,Upgrades!$B$3:$B$13,0))*1.15^(COUNTIF(Q$4:Q618,Q619)-COUNTIF(Q$4:Q618,""Sell_""&amp;Q619))))))"),"")</f>
        <v/>
      </c>
      <c r="V619" s="10" t="str">
        <f t="shared" si="11"/>
        <v/>
      </c>
      <c r="W619" s="68" t="str">
        <f t="shared" si="12"/>
        <v/>
      </c>
      <c r="X619" s="59" t="str">
        <f t="shared" si="13"/>
        <v/>
      </c>
      <c r="Y619" s="69" t="str">
        <f t="shared" si="14"/>
        <v/>
      </c>
      <c r="Z619" s="11"/>
    </row>
    <row r="620">
      <c r="A620" s="8"/>
      <c r="B620" s="56" t="str">
        <f t="shared" si="2"/>
        <v/>
      </c>
      <c r="C620" s="57"/>
      <c r="D620" s="10" t="str">
        <f>IFERROR(__xludf.DUMMYFUNCTION("IF(COUNTA(C620:C1350)=0,"""",IF(ISBLANK(C620),FALSE,IF(NOT(COUNTIF($AA$24:$AA$34,SUBSTITUTE(C620,""Sell_"",""""))),1,IF(REGEXMATCH(C620,""Sell_""),IF(COUNTIF(C$4:C620,SUBSTITUTE(C620,""Sell_"",""""))-COUNTIF(C$4:C619,C620)&lt;1,1),FALSE))))"),"")</f>
        <v/>
      </c>
      <c r="E620" s="59" t="str">
        <f t="array" ref="E620">IF(COUNTA(C620:C1350)=0,"",SUM((COUNTIF(C$4:C620,Upgrades!$B$3:$B$13)-COUNTIF(C$4:C620,"Sell_"&amp;Upgrades!$B$3:$B$13))*Upgrades!$D$3:$D$13))</f>
        <v/>
      </c>
      <c r="F620" s="66" t="str">
        <f>IFERROR(__xludf.DUMMYFUNCTION("IF(COUNTA(C620:C1350)=0,"""",IF(REGEXMATCH(INDEX(FILTER(C$4:C620,C$4:C620&lt;&gt;""""),ROWS(FILTER(C$4:C620,C$4:C620&lt;&gt;""""))),""^Sell_""),INDEX(FILTER(F$4:F619,C$4:C619&lt;&gt;""""),ROWS(FILTER(C$4:C619,C$4:C619&lt;&gt;""""))),$AC$5+E620))"),"")</f>
        <v/>
      </c>
      <c r="G620" s="10" t="str">
        <f>IFERROR(__xludf.DUMMYFUNCTION("IF(COUNTA(C620:C1350)=0,"""",IF(C620="""",0,IF(REGEXMATCH(C620,""^Sell_""),-ROUNDDOWN(ROUNDUP(INDEX(Upgrades!$C$3:$C$13,MATCH(SUBSTITUTE(C620,""Sell_"",""""),Upgrades!$B$3:$B$13,0))*1.15^(COUNTIF(C$4:C619,SUBSTITUTE(C620,""Sell_"",""""))-COUNTIF(C$4:C619,"&amp;"""Sell_""&amp;SUBSTITUTE(C620,""Sell_"",""""))))/2),ROUNDUP(INDEX(Upgrades!$C$3:$C$13,MATCH(C620,Upgrades!$B$3:$B$13,0))*1.15^(COUNTIF(C$4:C619,C620)-COUNTIF(C$4:C619,""Sell_""&amp;C620))))))"),"")</f>
        <v/>
      </c>
      <c r="H620" s="10" t="str">
        <f t="shared" si="3"/>
        <v/>
      </c>
      <c r="I620" s="68" t="str">
        <f t="shared" si="4"/>
        <v/>
      </c>
      <c r="J620" s="59" t="str">
        <f t="shared" si="5"/>
        <v/>
      </c>
      <c r="K620" s="69" t="str">
        <f t="shared" si="6"/>
        <v/>
      </c>
      <c r="L620" s="60" t="str">
        <f t="shared" si="7"/>
        <v/>
      </c>
      <c r="M620" s="61" t="str">
        <f>IFERROR(__xludf.DUMMYFUNCTION("IFS(AND(COUNTA(C620:C1350)=0,COUNTA(Q620:Q1350)=0),"""",OR(AND(K620&gt;=1000000000,OR(Y620&gt;=1000000000,COUNTA(Q620:Q1350)=0)),OR(Y620&gt;=1000000000,AND(COUNTA(C620:C1350)=0,P$3=TRUE))),
ROUNDDOWN((AB$1-AC$1)*MAX(INDEX(T$4:T1350,MATCH(LARGE(FILTER(Y$4:Y1350,Y$4"&amp;":Y1350&lt;1000000000),1),Y$4:Y1350)),INDEX(F$4:F1350,MATCH(LARGE(FILTER(K$4:K1350,K$4:K1350&lt;1000000000),1),K$4:K1350)))),AND(K620&lt;1000000000,COUNTA(C620:C1350)&gt;0,P$3=FALSE),
ROUNDDOWN(INDEX(Y$4:Y1350,MATCH(LARGE(FILTER(W$4:W1350,W$4:W1350&lt;=I620),1),W$4:W1350"&amp;"))+(I620-LARGE(FILTER(W$4:W1350,W$4:W1350&lt;=I620),1))*INDEX(T$4:T1350,MATCH(LARGE(FILTER(W$4:W1350,W$4:W1350&lt;=I620),1),W$4:W1350))-K620),1,
ROUNDDOWN(Y620-INDEX(K$4:K1350,MATCH(LARGE(FILTER(I$4:I1350,I$4:I1350&lt;=W620),1),I$4:I1350))-(W620-LARGE(FILTER(I$4:I"&amp;"1350,I$4:I1350&lt;=W620),1))*INDEX(F$4:F1350,MATCH(LARGE(FILTER(I$4:I1350,I$4:I1350&lt;=W620),1),I$4:I1350))))"),"")</f>
        <v/>
      </c>
      <c r="N620" s="60" t="str">
        <f t="shared" si="8"/>
        <v/>
      </c>
      <c r="O620" s="61" t="str">
        <f t="shared" si="9"/>
        <v/>
      </c>
      <c r="P620" s="56" t="str">
        <f t="shared" si="10"/>
        <v/>
      </c>
      <c r="Q620" s="62"/>
      <c r="R620" s="10" t="str">
        <f>IFERROR(__xludf.DUMMYFUNCTION("IF(COUNTA(Q620:Q1350)=0,"""",IF(ISBLANK(Q620),FALSE,IF(NOT(COUNTIF($AA$24:$AA$34,SUBSTITUTE(Q620,""Sell_"",""""))),1,IF(REGEXMATCH(Q620,""Sell_""),IF(COUNTIF(Q$4:Q620,SUBSTITUTE(Q620,""Sell_"",""""))-COUNTIF(Q$4:Q619,Q620)&lt;1,1),FALSE))))"),"")</f>
        <v/>
      </c>
      <c r="S620" s="59" t="str">
        <f t="array" ref="S620">IF(COUNTA(Q620:Q1350)=0,"",SUM((COUNTIF(Q$4:Q620,Upgrades!$B$3:$B$13)-COUNTIF(Q$4:Q620,"Sell_"&amp;Upgrades!$B$3:$B$13))*Upgrades!$D$3:$D$13))</f>
        <v/>
      </c>
      <c r="T620" s="66" t="str">
        <f>IFERROR(__xludf.DUMMYFUNCTION("IF(COUNTA(Q620:Q1350)=0,"""",IF(REGEXMATCH(INDEX(FILTER(Q$4:Q620,Q$4:Q620&lt;&gt;""""),ROWS(FILTER(Q$4:Q620,Q$4:Q620&lt;&gt;""""))),""^Sell_""),INDEX(FILTER(T$4:T619,Q$4:Q619&lt;&gt;""""),ROWS(FILTER(Q$4:Q619,Q$4:Q619&lt;&gt;""""))),$AD$5+S620))"),"")</f>
        <v/>
      </c>
      <c r="U620" s="10" t="str">
        <f>IFERROR(__xludf.DUMMYFUNCTION("IF(COUNTA(Q620:Q1350)=0,"""",IF(Q620="""",0,IF(REGEXMATCH(Q620,""^Sell_""),-ROUNDDOWN(ROUNDUP(INDEX(Upgrades!$C$3:$C$13,MATCH(SUBSTITUTE(Q620,""Sell_"",""""),Upgrades!$B$3:$B$13,0))*1.15^(COUNTIF(Q$4:Q619,SUBSTITUTE(Q620,""Sell_"",""""))-COUNTIF(Q$4:Q619,"&amp;"""Sell_""&amp;SUBSTITUTE(Q620,""Sell_"",""""))))/2),ROUNDUP(INDEX(Upgrades!$C$3:$C$13,MATCH(Q620,Upgrades!$B$3:$B$13,0))*1.15^(COUNTIF(Q$4:Q619,Q620)-COUNTIF(Q$4:Q619,""Sell_""&amp;Q620))))))"),"")</f>
        <v/>
      </c>
      <c r="V620" s="10" t="str">
        <f t="shared" si="11"/>
        <v/>
      </c>
      <c r="W620" s="68" t="str">
        <f t="shared" si="12"/>
        <v/>
      </c>
      <c r="X620" s="59" t="str">
        <f t="shared" si="13"/>
        <v/>
      </c>
      <c r="Y620" s="69" t="str">
        <f t="shared" si="14"/>
        <v/>
      </c>
      <c r="Z620" s="11"/>
    </row>
    <row r="621">
      <c r="A621" s="8"/>
      <c r="B621" s="56" t="str">
        <f t="shared" si="2"/>
        <v/>
      </c>
      <c r="C621" s="57"/>
      <c r="D621" s="10" t="str">
        <f>IFERROR(__xludf.DUMMYFUNCTION("IF(COUNTA(C621:C1350)=0,"""",IF(ISBLANK(C621),FALSE,IF(NOT(COUNTIF($AA$24:$AA$34,SUBSTITUTE(C621,""Sell_"",""""))),1,IF(REGEXMATCH(C621,""Sell_""),IF(COUNTIF(C$4:C621,SUBSTITUTE(C621,""Sell_"",""""))-COUNTIF(C$4:C620,C621)&lt;1,1),FALSE))))"),"")</f>
        <v/>
      </c>
      <c r="E621" s="59" t="str">
        <f t="array" ref="E621">IF(COUNTA(C621:C1350)=0,"",SUM((COUNTIF(C$4:C621,Upgrades!$B$3:$B$13)-COUNTIF(C$4:C621,"Sell_"&amp;Upgrades!$B$3:$B$13))*Upgrades!$D$3:$D$13))</f>
        <v/>
      </c>
      <c r="F621" s="66" t="str">
        <f>IFERROR(__xludf.DUMMYFUNCTION("IF(COUNTA(C621:C1350)=0,"""",IF(REGEXMATCH(INDEX(FILTER(C$4:C621,C$4:C621&lt;&gt;""""),ROWS(FILTER(C$4:C621,C$4:C621&lt;&gt;""""))),""^Sell_""),INDEX(FILTER(F$4:F620,C$4:C620&lt;&gt;""""),ROWS(FILTER(C$4:C620,C$4:C620&lt;&gt;""""))),$AC$5+E621))"),"")</f>
        <v/>
      </c>
      <c r="G621" s="10" t="str">
        <f>IFERROR(__xludf.DUMMYFUNCTION("IF(COUNTA(C621:C1350)=0,"""",IF(C621="""",0,IF(REGEXMATCH(C621,""^Sell_""),-ROUNDDOWN(ROUNDUP(INDEX(Upgrades!$C$3:$C$13,MATCH(SUBSTITUTE(C621,""Sell_"",""""),Upgrades!$B$3:$B$13,0))*1.15^(COUNTIF(C$4:C620,SUBSTITUTE(C621,""Sell_"",""""))-COUNTIF(C$4:C620,"&amp;"""Sell_""&amp;SUBSTITUTE(C621,""Sell_"",""""))))/2),ROUNDUP(INDEX(Upgrades!$C$3:$C$13,MATCH(C621,Upgrades!$B$3:$B$13,0))*1.15^(COUNTIF(C$4:C620,C621)-COUNTIF(C$4:C620,""Sell_""&amp;C621))))))"),"")</f>
        <v/>
      </c>
      <c r="H621" s="10" t="str">
        <f t="shared" si="3"/>
        <v/>
      </c>
      <c r="I621" s="68" t="str">
        <f t="shared" si="4"/>
        <v/>
      </c>
      <c r="J621" s="59" t="str">
        <f t="shared" si="5"/>
        <v/>
      </c>
      <c r="K621" s="69" t="str">
        <f t="shared" si="6"/>
        <v/>
      </c>
      <c r="L621" s="60" t="str">
        <f t="shared" si="7"/>
        <v/>
      </c>
      <c r="M621" s="61" t="str">
        <f>IFERROR(__xludf.DUMMYFUNCTION("IFS(AND(COUNTA(C621:C1350)=0,COUNTA(Q621:Q1350)=0),"""",OR(AND(K621&gt;=1000000000,OR(Y621&gt;=1000000000,COUNTA(Q621:Q1350)=0)),OR(Y621&gt;=1000000000,AND(COUNTA(C621:C1350)=0,P$3=TRUE))),
ROUNDDOWN((AB$1-AC$1)*MAX(INDEX(T$4:T1350,MATCH(LARGE(FILTER(Y$4:Y1350,Y$4"&amp;":Y1350&lt;1000000000),1),Y$4:Y1350)),INDEX(F$4:F1350,MATCH(LARGE(FILTER(K$4:K1350,K$4:K1350&lt;1000000000),1),K$4:K1350)))),AND(K621&lt;1000000000,COUNTA(C621:C1350)&gt;0,P$3=FALSE),
ROUNDDOWN(INDEX(Y$4:Y1350,MATCH(LARGE(FILTER(W$4:W1350,W$4:W1350&lt;=I621),1),W$4:W1350"&amp;"))+(I621-LARGE(FILTER(W$4:W1350,W$4:W1350&lt;=I621),1))*INDEX(T$4:T1350,MATCH(LARGE(FILTER(W$4:W1350,W$4:W1350&lt;=I621),1),W$4:W1350))-K621),1,
ROUNDDOWN(Y621-INDEX(K$4:K1350,MATCH(LARGE(FILTER(I$4:I1350,I$4:I1350&lt;=W621),1),I$4:I1350))-(W621-LARGE(FILTER(I$4:I"&amp;"1350,I$4:I1350&lt;=W621),1))*INDEX(F$4:F1350,MATCH(LARGE(FILTER(I$4:I1350,I$4:I1350&lt;=W621),1),I$4:I1350))))"),"")</f>
        <v/>
      </c>
      <c r="N621" s="60" t="str">
        <f t="shared" si="8"/>
        <v/>
      </c>
      <c r="O621" s="61" t="str">
        <f t="shared" si="9"/>
        <v/>
      </c>
      <c r="P621" s="56" t="str">
        <f t="shared" si="10"/>
        <v/>
      </c>
      <c r="Q621" s="62"/>
      <c r="R621" s="10" t="str">
        <f>IFERROR(__xludf.DUMMYFUNCTION("IF(COUNTA(Q621:Q1350)=0,"""",IF(ISBLANK(Q621),FALSE,IF(NOT(COUNTIF($AA$24:$AA$34,SUBSTITUTE(Q621,""Sell_"",""""))),1,IF(REGEXMATCH(Q621,""Sell_""),IF(COUNTIF(Q$4:Q621,SUBSTITUTE(Q621,""Sell_"",""""))-COUNTIF(Q$4:Q620,Q621)&lt;1,1),FALSE))))"),"")</f>
        <v/>
      </c>
      <c r="S621" s="59" t="str">
        <f t="array" ref="S621">IF(COUNTA(Q621:Q1350)=0,"",SUM((COUNTIF(Q$4:Q621,Upgrades!$B$3:$B$13)-COUNTIF(Q$4:Q621,"Sell_"&amp;Upgrades!$B$3:$B$13))*Upgrades!$D$3:$D$13))</f>
        <v/>
      </c>
      <c r="T621" s="66" t="str">
        <f>IFERROR(__xludf.DUMMYFUNCTION("IF(COUNTA(Q621:Q1350)=0,"""",IF(REGEXMATCH(INDEX(FILTER(Q$4:Q621,Q$4:Q621&lt;&gt;""""),ROWS(FILTER(Q$4:Q621,Q$4:Q621&lt;&gt;""""))),""^Sell_""),INDEX(FILTER(T$4:T620,Q$4:Q620&lt;&gt;""""),ROWS(FILTER(Q$4:Q620,Q$4:Q620&lt;&gt;""""))),$AD$5+S621))"),"")</f>
        <v/>
      </c>
      <c r="U621" s="10" t="str">
        <f>IFERROR(__xludf.DUMMYFUNCTION("IF(COUNTA(Q621:Q1350)=0,"""",IF(Q621="""",0,IF(REGEXMATCH(Q621,""^Sell_""),-ROUNDDOWN(ROUNDUP(INDEX(Upgrades!$C$3:$C$13,MATCH(SUBSTITUTE(Q621,""Sell_"",""""),Upgrades!$B$3:$B$13,0))*1.15^(COUNTIF(Q$4:Q620,SUBSTITUTE(Q621,""Sell_"",""""))-COUNTIF(Q$4:Q620,"&amp;"""Sell_""&amp;SUBSTITUTE(Q621,""Sell_"",""""))))/2),ROUNDUP(INDEX(Upgrades!$C$3:$C$13,MATCH(Q621,Upgrades!$B$3:$B$13,0))*1.15^(COUNTIF(Q$4:Q620,Q621)-COUNTIF(Q$4:Q620,""Sell_""&amp;Q621))))))"),"")</f>
        <v/>
      </c>
      <c r="V621" s="10" t="str">
        <f t="shared" si="11"/>
        <v/>
      </c>
      <c r="W621" s="68" t="str">
        <f t="shared" si="12"/>
        <v/>
      </c>
      <c r="X621" s="59" t="str">
        <f t="shared" si="13"/>
        <v/>
      </c>
      <c r="Y621" s="69" t="str">
        <f t="shared" si="14"/>
        <v/>
      </c>
      <c r="Z621" s="11"/>
    </row>
    <row r="622">
      <c r="A622" s="8"/>
      <c r="B622" s="56" t="str">
        <f t="shared" si="2"/>
        <v/>
      </c>
      <c r="C622" s="57"/>
      <c r="D622" s="10" t="str">
        <f>IFERROR(__xludf.DUMMYFUNCTION("IF(COUNTA(C622:C1350)=0,"""",IF(ISBLANK(C622),FALSE,IF(NOT(COUNTIF($AA$24:$AA$34,SUBSTITUTE(C622,""Sell_"",""""))),1,IF(REGEXMATCH(C622,""Sell_""),IF(COUNTIF(C$4:C622,SUBSTITUTE(C622,""Sell_"",""""))-COUNTIF(C$4:C621,C622)&lt;1,1),FALSE))))"),"")</f>
        <v/>
      </c>
      <c r="E622" s="59" t="str">
        <f t="array" ref="E622">IF(COUNTA(C622:C1350)=0,"",SUM((COUNTIF(C$4:C622,Upgrades!$B$3:$B$13)-COUNTIF(C$4:C622,"Sell_"&amp;Upgrades!$B$3:$B$13))*Upgrades!$D$3:$D$13))</f>
        <v/>
      </c>
      <c r="F622" s="66" t="str">
        <f>IFERROR(__xludf.DUMMYFUNCTION("IF(COUNTA(C622:C1350)=0,"""",IF(REGEXMATCH(INDEX(FILTER(C$4:C622,C$4:C622&lt;&gt;""""),ROWS(FILTER(C$4:C622,C$4:C622&lt;&gt;""""))),""^Sell_""),INDEX(FILTER(F$4:F621,C$4:C621&lt;&gt;""""),ROWS(FILTER(C$4:C621,C$4:C621&lt;&gt;""""))),$AC$5+E622))"),"")</f>
        <v/>
      </c>
      <c r="G622" s="10" t="str">
        <f>IFERROR(__xludf.DUMMYFUNCTION("IF(COUNTA(C622:C1350)=0,"""",IF(C622="""",0,IF(REGEXMATCH(C622,""^Sell_""),-ROUNDDOWN(ROUNDUP(INDEX(Upgrades!$C$3:$C$13,MATCH(SUBSTITUTE(C622,""Sell_"",""""),Upgrades!$B$3:$B$13,0))*1.15^(COUNTIF(C$4:C621,SUBSTITUTE(C622,""Sell_"",""""))-COUNTIF(C$4:C621,"&amp;"""Sell_""&amp;SUBSTITUTE(C622,""Sell_"",""""))))/2),ROUNDUP(INDEX(Upgrades!$C$3:$C$13,MATCH(C622,Upgrades!$B$3:$B$13,0))*1.15^(COUNTIF(C$4:C621,C622)-COUNTIF(C$4:C621,""Sell_""&amp;C622))))))"),"")</f>
        <v/>
      </c>
      <c r="H622" s="10" t="str">
        <f t="shared" si="3"/>
        <v/>
      </c>
      <c r="I622" s="68" t="str">
        <f t="shared" si="4"/>
        <v/>
      </c>
      <c r="J622" s="59" t="str">
        <f t="shared" si="5"/>
        <v/>
      </c>
      <c r="K622" s="69" t="str">
        <f t="shared" si="6"/>
        <v/>
      </c>
      <c r="L622" s="60" t="str">
        <f t="shared" si="7"/>
        <v/>
      </c>
      <c r="M622" s="61" t="str">
        <f>IFERROR(__xludf.DUMMYFUNCTION("IFS(AND(COUNTA(C622:C1350)=0,COUNTA(Q622:Q1350)=0),"""",OR(AND(K622&gt;=1000000000,OR(Y622&gt;=1000000000,COUNTA(Q622:Q1350)=0)),OR(Y622&gt;=1000000000,AND(COUNTA(C622:C1350)=0,P$3=TRUE))),
ROUNDDOWN((AB$1-AC$1)*MAX(INDEX(T$4:T1350,MATCH(LARGE(FILTER(Y$4:Y1350,Y$4"&amp;":Y1350&lt;1000000000),1),Y$4:Y1350)),INDEX(F$4:F1350,MATCH(LARGE(FILTER(K$4:K1350,K$4:K1350&lt;1000000000),1),K$4:K1350)))),AND(K622&lt;1000000000,COUNTA(C622:C1350)&gt;0,P$3=FALSE),
ROUNDDOWN(INDEX(Y$4:Y1350,MATCH(LARGE(FILTER(W$4:W1350,W$4:W1350&lt;=I622),1),W$4:W1350"&amp;"))+(I622-LARGE(FILTER(W$4:W1350,W$4:W1350&lt;=I622),1))*INDEX(T$4:T1350,MATCH(LARGE(FILTER(W$4:W1350,W$4:W1350&lt;=I622),1),W$4:W1350))-K622),1,
ROUNDDOWN(Y622-INDEX(K$4:K1350,MATCH(LARGE(FILTER(I$4:I1350,I$4:I1350&lt;=W622),1),I$4:I1350))-(W622-LARGE(FILTER(I$4:I"&amp;"1350,I$4:I1350&lt;=W622),1))*INDEX(F$4:F1350,MATCH(LARGE(FILTER(I$4:I1350,I$4:I1350&lt;=W622),1),I$4:I1350))))"),"")</f>
        <v/>
      </c>
      <c r="N622" s="60" t="str">
        <f t="shared" si="8"/>
        <v/>
      </c>
      <c r="O622" s="61" t="str">
        <f t="shared" si="9"/>
        <v/>
      </c>
      <c r="P622" s="56" t="str">
        <f t="shared" si="10"/>
        <v/>
      </c>
      <c r="Q622" s="62"/>
      <c r="R622" s="10" t="str">
        <f>IFERROR(__xludf.DUMMYFUNCTION("IF(COUNTA(Q622:Q1350)=0,"""",IF(ISBLANK(Q622),FALSE,IF(NOT(COUNTIF($AA$24:$AA$34,SUBSTITUTE(Q622,""Sell_"",""""))),1,IF(REGEXMATCH(Q622,""Sell_""),IF(COUNTIF(Q$4:Q622,SUBSTITUTE(Q622,""Sell_"",""""))-COUNTIF(Q$4:Q621,Q622)&lt;1,1),FALSE))))"),"")</f>
        <v/>
      </c>
      <c r="S622" s="59" t="str">
        <f t="array" ref="S622">IF(COUNTA(Q622:Q1350)=0,"",SUM((COUNTIF(Q$4:Q622,Upgrades!$B$3:$B$13)-COUNTIF(Q$4:Q622,"Sell_"&amp;Upgrades!$B$3:$B$13))*Upgrades!$D$3:$D$13))</f>
        <v/>
      </c>
      <c r="T622" s="66" t="str">
        <f>IFERROR(__xludf.DUMMYFUNCTION("IF(COUNTA(Q622:Q1350)=0,"""",IF(REGEXMATCH(INDEX(FILTER(Q$4:Q622,Q$4:Q622&lt;&gt;""""),ROWS(FILTER(Q$4:Q622,Q$4:Q622&lt;&gt;""""))),""^Sell_""),INDEX(FILTER(T$4:T621,Q$4:Q621&lt;&gt;""""),ROWS(FILTER(Q$4:Q621,Q$4:Q621&lt;&gt;""""))),$AD$5+S622))"),"")</f>
        <v/>
      </c>
      <c r="U622" s="10" t="str">
        <f>IFERROR(__xludf.DUMMYFUNCTION("IF(COUNTA(Q622:Q1350)=0,"""",IF(Q622="""",0,IF(REGEXMATCH(Q622,""^Sell_""),-ROUNDDOWN(ROUNDUP(INDEX(Upgrades!$C$3:$C$13,MATCH(SUBSTITUTE(Q622,""Sell_"",""""),Upgrades!$B$3:$B$13,0))*1.15^(COUNTIF(Q$4:Q621,SUBSTITUTE(Q622,""Sell_"",""""))-COUNTIF(Q$4:Q621,"&amp;"""Sell_""&amp;SUBSTITUTE(Q622,""Sell_"",""""))))/2),ROUNDUP(INDEX(Upgrades!$C$3:$C$13,MATCH(Q622,Upgrades!$B$3:$B$13,0))*1.15^(COUNTIF(Q$4:Q621,Q622)-COUNTIF(Q$4:Q621,""Sell_""&amp;Q622))))))"),"")</f>
        <v/>
      </c>
      <c r="V622" s="10" t="str">
        <f t="shared" si="11"/>
        <v/>
      </c>
      <c r="W622" s="68" t="str">
        <f t="shared" si="12"/>
        <v/>
      </c>
      <c r="X622" s="59" t="str">
        <f t="shared" si="13"/>
        <v/>
      </c>
      <c r="Y622" s="69" t="str">
        <f t="shared" si="14"/>
        <v/>
      </c>
      <c r="Z622" s="11"/>
    </row>
    <row r="623">
      <c r="A623" s="8"/>
      <c r="B623" s="56" t="str">
        <f t="shared" si="2"/>
        <v/>
      </c>
      <c r="C623" s="57"/>
      <c r="D623" s="10" t="str">
        <f>IFERROR(__xludf.DUMMYFUNCTION("IF(COUNTA(C623:C1350)=0,"""",IF(ISBLANK(C623),FALSE,IF(NOT(COUNTIF($AA$24:$AA$34,SUBSTITUTE(C623,""Sell_"",""""))),1,IF(REGEXMATCH(C623,""Sell_""),IF(COUNTIF(C$4:C623,SUBSTITUTE(C623,""Sell_"",""""))-COUNTIF(C$4:C622,C623)&lt;1,1),FALSE))))"),"")</f>
        <v/>
      </c>
      <c r="E623" s="59" t="str">
        <f t="array" ref="E623">IF(COUNTA(C623:C1350)=0,"",SUM((COUNTIF(C$4:C623,Upgrades!$B$3:$B$13)-COUNTIF(C$4:C623,"Sell_"&amp;Upgrades!$B$3:$B$13))*Upgrades!$D$3:$D$13))</f>
        <v/>
      </c>
      <c r="F623" s="66" t="str">
        <f>IFERROR(__xludf.DUMMYFUNCTION("IF(COUNTA(C623:C1350)=0,"""",IF(REGEXMATCH(INDEX(FILTER(C$4:C623,C$4:C623&lt;&gt;""""),ROWS(FILTER(C$4:C623,C$4:C623&lt;&gt;""""))),""^Sell_""),INDEX(FILTER(F$4:F622,C$4:C622&lt;&gt;""""),ROWS(FILTER(C$4:C622,C$4:C622&lt;&gt;""""))),$AC$5+E623))"),"")</f>
        <v/>
      </c>
      <c r="G623" s="10" t="str">
        <f>IFERROR(__xludf.DUMMYFUNCTION("IF(COUNTA(C623:C1350)=0,"""",IF(C623="""",0,IF(REGEXMATCH(C623,""^Sell_""),-ROUNDDOWN(ROUNDUP(INDEX(Upgrades!$C$3:$C$13,MATCH(SUBSTITUTE(C623,""Sell_"",""""),Upgrades!$B$3:$B$13,0))*1.15^(COUNTIF(C$4:C622,SUBSTITUTE(C623,""Sell_"",""""))-COUNTIF(C$4:C622,"&amp;"""Sell_""&amp;SUBSTITUTE(C623,""Sell_"",""""))))/2),ROUNDUP(INDEX(Upgrades!$C$3:$C$13,MATCH(C623,Upgrades!$B$3:$B$13,0))*1.15^(COUNTIF(C$4:C622,C623)-COUNTIF(C$4:C622,""Sell_""&amp;C623))))))"),"")</f>
        <v/>
      </c>
      <c r="H623" s="10" t="str">
        <f t="shared" si="3"/>
        <v/>
      </c>
      <c r="I623" s="68" t="str">
        <f t="shared" si="4"/>
        <v/>
      </c>
      <c r="J623" s="59" t="str">
        <f t="shared" si="5"/>
        <v/>
      </c>
      <c r="K623" s="69" t="str">
        <f t="shared" si="6"/>
        <v/>
      </c>
      <c r="L623" s="60" t="str">
        <f t="shared" si="7"/>
        <v/>
      </c>
      <c r="M623" s="61" t="str">
        <f>IFERROR(__xludf.DUMMYFUNCTION("IFS(AND(COUNTA(C623:C1350)=0,COUNTA(Q623:Q1350)=0),"""",OR(AND(K623&gt;=1000000000,OR(Y623&gt;=1000000000,COUNTA(Q623:Q1350)=0)),OR(Y623&gt;=1000000000,AND(COUNTA(C623:C1350)=0,P$3=TRUE))),
ROUNDDOWN((AB$1-AC$1)*MAX(INDEX(T$4:T1350,MATCH(LARGE(FILTER(Y$4:Y1350,Y$4"&amp;":Y1350&lt;1000000000),1),Y$4:Y1350)),INDEX(F$4:F1350,MATCH(LARGE(FILTER(K$4:K1350,K$4:K1350&lt;1000000000),1),K$4:K1350)))),AND(K623&lt;1000000000,COUNTA(C623:C1350)&gt;0,P$3=FALSE),
ROUNDDOWN(INDEX(Y$4:Y1350,MATCH(LARGE(FILTER(W$4:W1350,W$4:W1350&lt;=I623),1),W$4:W1350"&amp;"))+(I623-LARGE(FILTER(W$4:W1350,W$4:W1350&lt;=I623),1))*INDEX(T$4:T1350,MATCH(LARGE(FILTER(W$4:W1350,W$4:W1350&lt;=I623),1),W$4:W1350))-K623),1,
ROUNDDOWN(Y623-INDEX(K$4:K1350,MATCH(LARGE(FILTER(I$4:I1350,I$4:I1350&lt;=W623),1),I$4:I1350))-(W623-LARGE(FILTER(I$4:I"&amp;"1350,I$4:I1350&lt;=W623),1))*INDEX(F$4:F1350,MATCH(LARGE(FILTER(I$4:I1350,I$4:I1350&lt;=W623),1),I$4:I1350))))"),"")</f>
        <v/>
      </c>
      <c r="N623" s="60" t="str">
        <f t="shared" si="8"/>
        <v/>
      </c>
      <c r="O623" s="61" t="str">
        <f t="shared" si="9"/>
        <v/>
      </c>
      <c r="P623" s="56" t="str">
        <f t="shared" si="10"/>
        <v/>
      </c>
      <c r="Q623" s="62"/>
      <c r="R623" s="10" t="str">
        <f>IFERROR(__xludf.DUMMYFUNCTION("IF(COUNTA(Q623:Q1350)=0,"""",IF(ISBLANK(Q623),FALSE,IF(NOT(COUNTIF($AA$24:$AA$34,SUBSTITUTE(Q623,""Sell_"",""""))),1,IF(REGEXMATCH(Q623,""Sell_""),IF(COUNTIF(Q$4:Q623,SUBSTITUTE(Q623,""Sell_"",""""))-COUNTIF(Q$4:Q622,Q623)&lt;1,1),FALSE))))"),"")</f>
        <v/>
      </c>
      <c r="S623" s="59" t="str">
        <f t="array" ref="S623">IF(COUNTA(Q623:Q1350)=0,"",SUM((COUNTIF(Q$4:Q623,Upgrades!$B$3:$B$13)-COUNTIF(Q$4:Q623,"Sell_"&amp;Upgrades!$B$3:$B$13))*Upgrades!$D$3:$D$13))</f>
        <v/>
      </c>
      <c r="T623" s="66" t="str">
        <f>IFERROR(__xludf.DUMMYFUNCTION("IF(COUNTA(Q623:Q1350)=0,"""",IF(REGEXMATCH(INDEX(FILTER(Q$4:Q623,Q$4:Q623&lt;&gt;""""),ROWS(FILTER(Q$4:Q623,Q$4:Q623&lt;&gt;""""))),""^Sell_""),INDEX(FILTER(T$4:T622,Q$4:Q622&lt;&gt;""""),ROWS(FILTER(Q$4:Q622,Q$4:Q622&lt;&gt;""""))),$AD$5+S623))"),"")</f>
        <v/>
      </c>
      <c r="U623" s="10" t="str">
        <f>IFERROR(__xludf.DUMMYFUNCTION("IF(COUNTA(Q623:Q1350)=0,"""",IF(Q623="""",0,IF(REGEXMATCH(Q623,""^Sell_""),-ROUNDDOWN(ROUNDUP(INDEX(Upgrades!$C$3:$C$13,MATCH(SUBSTITUTE(Q623,""Sell_"",""""),Upgrades!$B$3:$B$13,0))*1.15^(COUNTIF(Q$4:Q622,SUBSTITUTE(Q623,""Sell_"",""""))-COUNTIF(Q$4:Q622,"&amp;"""Sell_""&amp;SUBSTITUTE(Q623,""Sell_"",""""))))/2),ROUNDUP(INDEX(Upgrades!$C$3:$C$13,MATCH(Q623,Upgrades!$B$3:$B$13,0))*1.15^(COUNTIF(Q$4:Q622,Q623)-COUNTIF(Q$4:Q622,""Sell_""&amp;Q623))))))"),"")</f>
        <v/>
      </c>
      <c r="V623" s="10" t="str">
        <f t="shared" si="11"/>
        <v/>
      </c>
      <c r="W623" s="68" t="str">
        <f t="shared" si="12"/>
        <v/>
      </c>
      <c r="X623" s="59" t="str">
        <f t="shared" si="13"/>
        <v/>
      </c>
      <c r="Y623" s="69" t="str">
        <f t="shared" si="14"/>
        <v/>
      </c>
      <c r="Z623" s="11"/>
    </row>
    <row r="624">
      <c r="A624" s="8"/>
      <c r="B624" s="56" t="str">
        <f t="shared" si="2"/>
        <v/>
      </c>
      <c r="C624" s="57"/>
      <c r="D624" s="10" t="str">
        <f>IFERROR(__xludf.DUMMYFUNCTION("IF(COUNTA(C624:C1350)=0,"""",IF(ISBLANK(C624),FALSE,IF(NOT(COUNTIF($AA$24:$AA$34,SUBSTITUTE(C624,""Sell_"",""""))),1,IF(REGEXMATCH(C624,""Sell_""),IF(COUNTIF(C$4:C624,SUBSTITUTE(C624,""Sell_"",""""))-COUNTIF(C$4:C623,C624)&lt;1,1),FALSE))))"),"")</f>
        <v/>
      </c>
      <c r="E624" s="59" t="str">
        <f t="array" ref="E624">IF(COUNTA(C624:C1350)=0,"",SUM((COUNTIF(C$4:C624,Upgrades!$B$3:$B$13)-COUNTIF(C$4:C624,"Sell_"&amp;Upgrades!$B$3:$B$13))*Upgrades!$D$3:$D$13))</f>
        <v/>
      </c>
      <c r="F624" s="66" t="str">
        <f>IFERROR(__xludf.DUMMYFUNCTION("IF(COUNTA(C624:C1350)=0,"""",IF(REGEXMATCH(INDEX(FILTER(C$4:C624,C$4:C624&lt;&gt;""""),ROWS(FILTER(C$4:C624,C$4:C624&lt;&gt;""""))),""^Sell_""),INDEX(FILTER(F$4:F623,C$4:C623&lt;&gt;""""),ROWS(FILTER(C$4:C623,C$4:C623&lt;&gt;""""))),$AC$5+E624))"),"")</f>
        <v/>
      </c>
      <c r="G624" s="10" t="str">
        <f>IFERROR(__xludf.DUMMYFUNCTION("IF(COUNTA(C624:C1350)=0,"""",IF(C624="""",0,IF(REGEXMATCH(C624,""^Sell_""),-ROUNDDOWN(ROUNDUP(INDEX(Upgrades!$C$3:$C$13,MATCH(SUBSTITUTE(C624,""Sell_"",""""),Upgrades!$B$3:$B$13,0))*1.15^(COUNTIF(C$4:C623,SUBSTITUTE(C624,""Sell_"",""""))-COUNTIF(C$4:C623,"&amp;"""Sell_""&amp;SUBSTITUTE(C624,""Sell_"",""""))))/2),ROUNDUP(INDEX(Upgrades!$C$3:$C$13,MATCH(C624,Upgrades!$B$3:$B$13,0))*1.15^(COUNTIF(C$4:C623,C624)-COUNTIF(C$4:C623,""Sell_""&amp;C624))))))"),"")</f>
        <v/>
      </c>
      <c r="H624" s="10" t="str">
        <f t="shared" si="3"/>
        <v/>
      </c>
      <c r="I624" s="68" t="str">
        <f t="shared" si="4"/>
        <v/>
      </c>
      <c r="J624" s="59" t="str">
        <f t="shared" si="5"/>
        <v/>
      </c>
      <c r="K624" s="69" t="str">
        <f t="shared" si="6"/>
        <v/>
      </c>
      <c r="L624" s="60" t="str">
        <f t="shared" si="7"/>
        <v/>
      </c>
      <c r="M624" s="61" t="str">
        <f>IFERROR(__xludf.DUMMYFUNCTION("IFS(AND(COUNTA(C624:C1350)=0,COUNTA(Q624:Q1350)=0),"""",OR(AND(K624&gt;=1000000000,OR(Y624&gt;=1000000000,COUNTA(Q624:Q1350)=0)),OR(Y624&gt;=1000000000,AND(COUNTA(C624:C1350)=0,P$3=TRUE))),
ROUNDDOWN((AB$1-AC$1)*MAX(INDEX(T$4:T1350,MATCH(LARGE(FILTER(Y$4:Y1350,Y$4"&amp;":Y1350&lt;1000000000),1),Y$4:Y1350)),INDEX(F$4:F1350,MATCH(LARGE(FILTER(K$4:K1350,K$4:K1350&lt;1000000000),1),K$4:K1350)))),AND(K624&lt;1000000000,COUNTA(C624:C1350)&gt;0,P$3=FALSE),
ROUNDDOWN(INDEX(Y$4:Y1350,MATCH(LARGE(FILTER(W$4:W1350,W$4:W1350&lt;=I624),1),W$4:W1350"&amp;"))+(I624-LARGE(FILTER(W$4:W1350,W$4:W1350&lt;=I624),1))*INDEX(T$4:T1350,MATCH(LARGE(FILTER(W$4:W1350,W$4:W1350&lt;=I624),1),W$4:W1350))-K624),1,
ROUNDDOWN(Y624-INDEX(K$4:K1350,MATCH(LARGE(FILTER(I$4:I1350,I$4:I1350&lt;=W624),1),I$4:I1350))-(W624-LARGE(FILTER(I$4:I"&amp;"1350,I$4:I1350&lt;=W624),1))*INDEX(F$4:F1350,MATCH(LARGE(FILTER(I$4:I1350,I$4:I1350&lt;=W624),1),I$4:I1350))))"),"")</f>
        <v/>
      </c>
      <c r="N624" s="60" t="str">
        <f t="shared" si="8"/>
        <v/>
      </c>
      <c r="O624" s="61" t="str">
        <f t="shared" si="9"/>
        <v/>
      </c>
      <c r="P624" s="56" t="str">
        <f t="shared" si="10"/>
        <v/>
      </c>
      <c r="Q624" s="62"/>
      <c r="R624" s="10" t="str">
        <f>IFERROR(__xludf.DUMMYFUNCTION("IF(COUNTA(Q624:Q1350)=0,"""",IF(ISBLANK(Q624),FALSE,IF(NOT(COUNTIF($AA$24:$AA$34,SUBSTITUTE(Q624,""Sell_"",""""))),1,IF(REGEXMATCH(Q624,""Sell_""),IF(COUNTIF(Q$4:Q624,SUBSTITUTE(Q624,""Sell_"",""""))-COUNTIF(Q$4:Q623,Q624)&lt;1,1),FALSE))))"),"")</f>
        <v/>
      </c>
      <c r="S624" s="59" t="str">
        <f t="array" ref="S624">IF(COUNTA(Q624:Q1350)=0,"",SUM((COUNTIF(Q$4:Q624,Upgrades!$B$3:$B$13)-COUNTIF(Q$4:Q624,"Sell_"&amp;Upgrades!$B$3:$B$13))*Upgrades!$D$3:$D$13))</f>
        <v/>
      </c>
      <c r="T624" s="66" t="str">
        <f>IFERROR(__xludf.DUMMYFUNCTION("IF(COUNTA(Q624:Q1350)=0,"""",IF(REGEXMATCH(INDEX(FILTER(Q$4:Q624,Q$4:Q624&lt;&gt;""""),ROWS(FILTER(Q$4:Q624,Q$4:Q624&lt;&gt;""""))),""^Sell_""),INDEX(FILTER(T$4:T623,Q$4:Q623&lt;&gt;""""),ROWS(FILTER(Q$4:Q623,Q$4:Q623&lt;&gt;""""))),$AD$5+S624))"),"")</f>
        <v/>
      </c>
      <c r="U624" s="10" t="str">
        <f>IFERROR(__xludf.DUMMYFUNCTION("IF(COUNTA(Q624:Q1350)=0,"""",IF(Q624="""",0,IF(REGEXMATCH(Q624,""^Sell_""),-ROUNDDOWN(ROUNDUP(INDEX(Upgrades!$C$3:$C$13,MATCH(SUBSTITUTE(Q624,""Sell_"",""""),Upgrades!$B$3:$B$13,0))*1.15^(COUNTIF(Q$4:Q623,SUBSTITUTE(Q624,""Sell_"",""""))-COUNTIF(Q$4:Q623,"&amp;"""Sell_""&amp;SUBSTITUTE(Q624,""Sell_"",""""))))/2),ROUNDUP(INDEX(Upgrades!$C$3:$C$13,MATCH(Q624,Upgrades!$B$3:$B$13,0))*1.15^(COUNTIF(Q$4:Q623,Q624)-COUNTIF(Q$4:Q623,""Sell_""&amp;Q624))))))"),"")</f>
        <v/>
      </c>
      <c r="V624" s="10" t="str">
        <f t="shared" si="11"/>
        <v/>
      </c>
      <c r="W624" s="68" t="str">
        <f t="shared" si="12"/>
        <v/>
      </c>
      <c r="X624" s="59" t="str">
        <f t="shared" si="13"/>
        <v/>
      </c>
      <c r="Y624" s="69" t="str">
        <f t="shared" si="14"/>
        <v/>
      </c>
      <c r="Z624" s="11"/>
    </row>
    <row r="625">
      <c r="A625" s="8"/>
      <c r="B625" s="56" t="str">
        <f t="shared" si="2"/>
        <v/>
      </c>
      <c r="C625" s="57"/>
      <c r="D625" s="10" t="str">
        <f>IFERROR(__xludf.DUMMYFUNCTION("IF(COUNTA(C625:C1350)=0,"""",IF(ISBLANK(C625),FALSE,IF(NOT(COUNTIF($AA$24:$AA$34,SUBSTITUTE(C625,""Sell_"",""""))),1,IF(REGEXMATCH(C625,""Sell_""),IF(COUNTIF(C$4:C625,SUBSTITUTE(C625,""Sell_"",""""))-COUNTIF(C$4:C624,C625)&lt;1,1),FALSE))))"),"")</f>
        <v/>
      </c>
      <c r="E625" s="59" t="str">
        <f t="array" ref="E625">IF(COUNTA(C625:C1350)=0,"",SUM((COUNTIF(C$4:C625,Upgrades!$B$3:$B$13)-COUNTIF(C$4:C625,"Sell_"&amp;Upgrades!$B$3:$B$13))*Upgrades!$D$3:$D$13))</f>
        <v/>
      </c>
      <c r="F625" s="66" t="str">
        <f>IFERROR(__xludf.DUMMYFUNCTION("IF(COUNTA(C625:C1350)=0,"""",IF(REGEXMATCH(INDEX(FILTER(C$4:C625,C$4:C625&lt;&gt;""""),ROWS(FILTER(C$4:C625,C$4:C625&lt;&gt;""""))),""^Sell_""),INDEX(FILTER(F$4:F624,C$4:C624&lt;&gt;""""),ROWS(FILTER(C$4:C624,C$4:C624&lt;&gt;""""))),$AC$5+E625))"),"")</f>
        <v/>
      </c>
      <c r="G625" s="10" t="str">
        <f>IFERROR(__xludf.DUMMYFUNCTION("IF(COUNTA(C625:C1350)=0,"""",IF(C625="""",0,IF(REGEXMATCH(C625,""^Sell_""),-ROUNDDOWN(ROUNDUP(INDEX(Upgrades!$C$3:$C$13,MATCH(SUBSTITUTE(C625,""Sell_"",""""),Upgrades!$B$3:$B$13,0))*1.15^(COUNTIF(C$4:C624,SUBSTITUTE(C625,""Sell_"",""""))-COUNTIF(C$4:C624,"&amp;"""Sell_""&amp;SUBSTITUTE(C625,""Sell_"",""""))))/2),ROUNDUP(INDEX(Upgrades!$C$3:$C$13,MATCH(C625,Upgrades!$B$3:$B$13,0))*1.15^(COUNTIF(C$4:C624,C625)-COUNTIF(C$4:C624,""Sell_""&amp;C625))))))"),"")</f>
        <v/>
      </c>
      <c r="H625" s="10" t="str">
        <f t="shared" si="3"/>
        <v/>
      </c>
      <c r="I625" s="68" t="str">
        <f t="shared" si="4"/>
        <v/>
      </c>
      <c r="J625" s="59" t="str">
        <f t="shared" si="5"/>
        <v/>
      </c>
      <c r="K625" s="69" t="str">
        <f t="shared" si="6"/>
        <v/>
      </c>
      <c r="L625" s="60" t="str">
        <f t="shared" si="7"/>
        <v/>
      </c>
      <c r="M625" s="61" t="str">
        <f>IFERROR(__xludf.DUMMYFUNCTION("IFS(AND(COUNTA(C625:C1350)=0,COUNTA(Q625:Q1350)=0),"""",OR(AND(K625&gt;=1000000000,OR(Y625&gt;=1000000000,COUNTA(Q625:Q1350)=0)),OR(Y625&gt;=1000000000,AND(COUNTA(C625:C1350)=0,P$3=TRUE))),
ROUNDDOWN((AB$1-AC$1)*MAX(INDEX(T$4:T1350,MATCH(LARGE(FILTER(Y$4:Y1350,Y$4"&amp;":Y1350&lt;1000000000),1),Y$4:Y1350)),INDEX(F$4:F1350,MATCH(LARGE(FILTER(K$4:K1350,K$4:K1350&lt;1000000000),1),K$4:K1350)))),AND(K625&lt;1000000000,COUNTA(C625:C1350)&gt;0,P$3=FALSE),
ROUNDDOWN(INDEX(Y$4:Y1350,MATCH(LARGE(FILTER(W$4:W1350,W$4:W1350&lt;=I625),1),W$4:W1350"&amp;"))+(I625-LARGE(FILTER(W$4:W1350,W$4:W1350&lt;=I625),1))*INDEX(T$4:T1350,MATCH(LARGE(FILTER(W$4:W1350,W$4:W1350&lt;=I625),1),W$4:W1350))-K625),1,
ROUNDDOWN(Y625-INDEX(K$4:K1350,MATCH(LARGE(FILTER(I$4:I1350,I$4:I1350&lt;=W625),1),I$4:I1350))-(W625-LARGE(FILTER(I$4:I"&amp;"1350,I$4:I1350&lt;=W625),1))*INDEX(F$4:F1350,MATCH(LARGE(FILTER(I$4:I1350,I$4:I1350&lt;=W625),1),I$4:I1350))))"),"")</f>
        <v/>
      </c>
      <c r="N625" s="60" t="str">
        <f t="shared" si="8"/>
        <v/>
      </c>
      <c r="O625" s="61" t="str">
        <f t="shared" si="9"/>
        <v/>
      </c>
      <c r="P625" s="56" t="str">
        <f t="shared" si="10"/>
        <v/>
      </c>
      <c r="Q625" s="62"/>
      <c r="R625" s="10" t="str">
        <f>IFERROR(__xludf.DUMMYFUNCTION("IF(COUNTA(Q625:Q1350)=0,"""",IF(ISBLANK(Q625),FALSE,IF(NOT(COUNTIF($AA$24:$AA$34,SUBSTITUTE(Q625,""Sell_"",""""))),1,IF(REGEXMATCH(Q625,""Sell_""),IF(COUNTIF(Q$4:Q625,SUBSTITUTE(Q625,""Sell_"",""""))-COUNTIF(Q$4:Q624,Q625)&lt;1,1),FALSE))))"),"")</f>
        <v/>
      </c>
      <c r="S625" s="59" t="str">
        <f t="array" ref="S625">IF(COUNTA(Q625:Q1350)=0,"",SUM((COUNTIF(Q$4:Q625,Upgrades!$B$3:$B$13)-COUNTIF(Q$4:Q625,"Sell_"&amp;Upgrades!$B$3:$B$13))*Upgrades!$D$3:$D$13))</f>
        <v/>
      </c>
      <c r="T625" s="66" t="str">
        <f>IFERROR(__xludf.DUMMYFUNCTION("IF(COUNTA(Q625:Q1350)=0,"""",IF(REGEXMATCH(INDEX(FILTER(Q$4:Q625,Q$4:Q625&lt;&gt;""""),ROWS(FILTER(Q$4:Q625,Q$4:Q625&lt;&gt;""""))),""^Sell_""),INDEX(FILTER(T$4:T624,Q$4:Q624&lt;&gt;""""),ROWS(FILTER(Q$4:Q624,Q$4:Q624&lt;&gt;""""))),$AD$5+S625))"),"")</f>
        <v/>
      </c>
      <c r="U625" s="10" t="str">
        <f>IFERROR(__xludf.DUMMYFUNCTION("IF(COUNTA(Q625:Q1350)=0,"""",IF(Q625="""",0,IF(REGEXMATCH(Q625,""^Sell_""),-ROUNDDOWN(ROUNDUP(INDEX(Upgrades!$C$3:$C$13,MATCH(SUBSTITUTE(Q625,""Sell_"",""""),Upgrades!$B$3:$B$13,0))*1.15^(COUNTIF(Q$4:Q624,SUBSTITUTE(Q625,""Sell_"",""""))-COUNTIF(Q$4:Q624,"&amp;"""Sell_""&amp;SUBSTITUTE(Q625,""Sell_"",""""))))/2),ROUNDUP(INDEX(Upgrades!$C$3:$C$13,MATCH(Q625,Upgrades!$B$3:$B$13,0))*1.15^(COUNTIF(Q$4:Q624,Q625)-COUNTIF(Q$4:Q624,""Sell_""&amp;Q625))))))"),"")</f>
        <v/>
      </c>
      <c r="V625" s="10" t="str">
        <f t="shared" si="11"/>
        <v/>
      </c>
      <c r="W625" s="68" t="str">
        <f t="shared" si="12"/>
        <v/>
      </c>
      <c r="X625" s="59" t="str">
        <f t="shared" si="13"/>
        <v/>
      </c>
      <c r="Y625" s="69" t="str">
        <f t="shared" si="14"/>
        <v/>
      </c>
      <c r="Z625" s="11"/>
    </row>
    <row r="626">
      <c r="A626" s="8"/>
      <c r="B626" s="56" t="str">
        <f t="shared" si="2"/>
        <v/>
      </c>
      <c r="C626" s="57"/>
      <c r="D626" s="10" t="str">
        <f>IFERROR(__xludf.DUMMYFUNCTION("IF(COUNTA(C626:C1350)=0,"""",IF(ISBLANK(C626),FALSE,IF(NOT(COUNTIF($AA$24:$AA$34,SUBSTITUTE(C626,""Sell_"",""""))),1,IF(REGEXMATCH(C626,""Sell_""),IF(COUNTIF(C$4:C626,SUBSTITUTE(C626,""Sell_"",""""))-COUNTIF(C$4:C625,C626)&lt;1,1),FALSE))))"),"")</f>
        <v/>
      </c>
      <c r="E626" s="59" t="str">
        <f t="array" ref="E626">IF(COUNTA(C626:C1350)=0,"",SUM((COUNTIF(C$4:C626,Upgrades!$B$3:$B$13)-COUNTIF(C$4:C626,"Sell_"&amp;Upgrades!$B$3:$B$13))*Upgrades!$D$3:$D$13))</f>
        <v/>
      </c>
      <c r="F626" s="66" t="str">
        <f>IFERROR(__xludf.DUMMYFUNCTION("IF(COUNTA(C626:C1350)=0,"""",IF(REGEXMATCH(INDEX(FILTER(C$4:C626,C$4:C626&lt;&gt;""""),ROWS(FILTER(C$4:C626,C$4:C626&lt;&gt;""""))),""^Sell_""),INDEX(FILTER(F$4:F625,C$4:C625&lt;&gt;""""),ROWS(FILTER(C$4:C625,C$4:C625&lt;&gt;""""))),$AC$5+E626))"),"")</f>
        <v/>
      </c>
      <c r="G626" s="10" t="str">
        <f>IFERROR(__xludf.DUMMYFUNCTION("IF(COUNTA(C626:C1350)=0,"""",IF(C626="""",0,IF(REGEXMATCH(C626,""^Sell_""),-ROUNDDOWN(ROUNDUP(INDEX(Upgrades!$C$3:$C$13,MATCH(SUBSTITUTE(C626,""Sell_"",""""),Upgrades!$B$3:$B$13,0))*1.15^(COUNTIF(C$4:C625,SUBSTITUTE(C626,""Sell_"",""""))-COUNTIF(C$4:C625,"&amp;"""Sell_""&amp;SUBSTITUTE(C626,""Sell_"",""""))))/2),ROUNDUP(INDEX(Upgrades!$C$3:$C$13,MATCH(C626,Upgrades!$B$3:$B$13,0))*1.15^(COUNTIF(C$4:C625,C626)-COUNTIF(C$4:C625,""Sell_""&amp;C626))))))"),"")</f>
        <v/>
      </c>
      <c r="H626" s="10" t="str">
        <f t="shared" si="3"/>
        <v/>
      </c>
      <c r="I626" s="68" t="str">
        <f t="shared" si="4"/>
        <v/>
      </c>
      <c r="J626" s="59" t="str">
        <f t="shared" si="5"/>
        <v/>
      </c>
      <c r="K626" s="69" t="str">
        <f t="shared" si="6"/>
        <v/>
      </c>
      <c r="L626" s="60" t="str">
        <f t="shared" si="7"/>
        <v/>
      </c>
      <c r="M626" s="61" t="str">
        <f>IFERROR(__xludf.DUMMYFUNCTION("IFS(AND(COUNTA(C626:C1350)=0,COUNTA(Q626:Q1350)=0),"""",OR(AND(K626&gt;=1000000000,OR(Y626&gt;=1000000000,COUNTA(Q626:Q1350)=0)),OR(Y626&gt;=1000000000,AND(COUNTA(C626:C1350)=0,P$3=TRUE))),
ROUNDDOWN((AB$1-AC$1)*MAX(INDEX(T$4:T1350,MATCH(LARGE(FILTER(Y$4:Y1350,Y$4"&amp;":Y1350&lt;1000000000),1),Y$4:Y1350)),INDEX(F$4:F1350,MATCH(LARGE(FILTER(K$4:K1350,K$4:K1350&lt;1000000000),1),K$4:K1350)))),AND(K626&lt;1000000000,COUNTA(C626:C1350)&gt;0,P$3=FALSE),
ROUNDDOWN(INDEX(Y$4:Y1350,MATCH(LARGE(FILTER(W$4:W1350,W$4:W1350&lt;=I626),1),W$4:W1350"&amp;"))+(I626-LARGE(FILTER(W$4:W1350,W$4:W1350&lt;=I626),1))*INDEX(T$4:T1350,MATCH(LARGE(FILTER(W$4:W1350,W$4:W1350&lt;=I626),1),W$4:W1350))-K626),1,
ROUNDDOWN(Y626-INDEX(K$4:K1350,MATCH(LARGE(FILTER(I$4:I1350,I$4:I1350&lt;=W626),1),I$4:I1350))-(W626-LARGE(FILTER(I$4:I"&amp;"1350,I$4:I1350&lt;=W626),1))*INDEX(F$4:F1350,MATCH(LARGE(FILTER(I$4:I1350,I$4:I1350&lt;=W626),1),I$4:I1350))))"),"")</f>
        <v/>
      </c>
      <c r="N626" s="60" t="str">
        <f t="shared" si="8"/>
        <v/>
      </c>
      <c r="O626" s="61" t="str">
        <f t="shared" si="9"/>
        <v/>
      </c>
      <c r="P626" s="56" t="str">
        <f t="shared" si="10"/>
        <v/>
      </c>
      <c r="Q626" s="62"/>
      <c r="R626" s="10" t="str">
        <f>IFERROR(__xludf.DUMMYFUNCTION("IF(COUNTA(Q626:Q1350)=0,"""",IF(ISBLANK(Q626),FALSE,IF(NOT(COUNTIF($AA$24:$AA$34,SUBSTITUTE(Q626,""Sell_"",""""))),1,IF(REGEXMATCH(Q626,""Sell_""),IF(COUNTIF(Q$4:Q626,SUBSTITUTE(Q626,""Sell_"",""""))-COUNTIF(Q$4:Q625,Q626)&lt;1,1),FALSE))))"),"")</f>
        <v/>
      </c>
      <c r="S626" s="59" t="str">
        <f t="array" ref="S626">IF(COUNTA(Q626:Q1350)=0,"",SUM((COUNTIF(Q$4:Q626,Upgrades!$B$3:$B$13)-COUNTIF(Q$4:Q626,"Sell_"&amp;Upgrades!$B$3:$B$13))*Upgrades!$D$3:$D$13))</f>
        <v/>
      </c>
      <c r="T626" s="66" t="str">
        <f>IFERROR(__xludf.DUMMYFUNCTION("IF(COUNTA(Q626:Q1350)=0,"""",IF(REGEXMATCH(INDEX(FILTER(Q$4:Q626,Q$4:Q626&lt;&gt;""""),ROWS(FILTER(Q$4:Q626,Q$4:Q626&lt;&gt;""""))),""^Sell_""),INDEX(FILTER(T$4:T625,Q$4:Q625&lt;&gt;""""),ROWS(FILTER(Q$4:Q625,Q$4:Q625&lt;&gt;""""))),$AD$5+S626))"),"")</f>
        <v/>
      </c>
      <c r="U626" s="10" t="str">
        <f>IFERROR(__xludf.DUMMYFUNCTION("IF(COUNTA(Q626:Q1350)=0,"""",IF(Q626="""",0,IF(REGEXMATCH(Q626,""^Sell_""),-ROUNDDOWN(ROUNDUP(INDEX(Upgrades!$C$3:$C$13,MATCH(SUBSTITUTE(Q626,""Sell_"",""""),Upgrades!$B$3:$B$13,0))*1.15^(COUNTIF(Q$4:Q625,SUBSTITUTE(Q626,""Sell_"",""""))-COUNTIF(Q$4:Q625,"&amp;"""Sell_""&amp;SUBSTITUTE(Q626,""Sell_"",""""))))/2),ROUNDUP(INDEX(Upgrades!$C$3:$C$13,MATCH(Q626,Upgrades!$B$3:$B$13,0))*1.15^(COUNTIF(Q$4:Q625,Q626)-COUNTIF(Q$4:Q625,""Sell_""&amp;Q626))))))"),"")</f>
        <v/>
      </c>
      <c r="V626" s="10" t="str">
        <f t="shared" si="11"/>
        <v/>
      </c>
      <c r="W626" s="68" t="str">
        <f t="shared" si="12"/>
        <v/>
      </c>
      <c r="X626" s="59" t="str">
        <f t="shared" si="13"/>
        <v/>
      </c>
      <c r="Y626" s="69" t="str">
        <f t="shared" si="14"/>
        <v/>
      </c>
      <c r="Z626" s="11"/>
    </row>
    <row r="627">
      <c r="A627" s="8"/>
      <c r="B627" s="56" t="str">
        <f t="shared" si="2"/>
        <v/>
      </c>
      <c r="C627" s="57"/>
      <c r="D627" s="10" t="str">
        <f>IFERROR(__xludf.DUMMYFUNCTION("IF(COUNTA(C627:C1350)=0,"""",IF(ISBLANK(C627),FALSE,IF(NOT(COUNTIF($AA$24:$AA$34,SUBSTITUTE(C627,""Sell_"",""""))),1,IF(REGEXMATCH(C627,""Sell_""),IF(COUNTIF(C$4:C627,SUBSTITUTE(C627,""Sell_"",""""))-COUNTIF(C$4:C626,C627)&lt;1,1),FALSE))))"),"")</f>
        <v/>
      </c>
      <c r="E627" s="59" t="str">
        <f t="array" ref="E627">IF(COUNTA(C627:C1350)=0,"",SUM((COUNTIF(C$4:C627,Upgrades!$B$3:$B$13)-COUNTIF(C$4:C627,"Sell_"&amp;Upgrades!$B$3:$B$13))*Upgrades!$D$3:$D$13))</f>
        <v/>
      </c>
      <c r="F627" s="66" t="str">
        <f>IFERROR(__xludf.DUMMYFUNCTION("IF(COUNTA(C627:C1350)=0,"""",IF(REGEXMATCH(INDEX(FILTER(C$4:C627,C$4:C627&lt;&gt;""""),ROWS(FILTER(C$4:C627,C$4:C627&lt;&gt;""""))),""^Sell_""),INDEX(FILTER(F$4:F626,C$4:C626&lt;&gt;""""),ROWS(FILTER(C$4:C626,C$4:C626&lt;&gt;""""))),$AC$5+E627))"),"")</f>
        <v/>
      </c>
      <c r="G627" s="10" t="str">
        <f>IFERROR(__xludf.DUMMYFUNCTION("IF(COUNTA(C627:C1350)=0,"""",IF(C627="""",0,IF(REGEXMATCH(C627,""^Sell_""),-ROUNDDOWN(ROUNDUP(INDEX(Upgrades!$C$3:$C$13,MATCH(SUBSTITUTE(C627,""Sell_"",""""),Upgrades!$B$3:$B$13,0))*1.15^(COUNTIF(C$4:C626,SUBSTITUTE(C627,""Sell_"",""""))-COUNTIF(C$4:C626,"&amp;"""Sell_""&amp;SUBSTITUTE(C627,""Sell_"",""""))))/2),ROUNDUP(INDEX(Upgrades!$C$3:$C$13,MATCH(C627,Upgrades!$B$3:$B$13,0))*1.15^(COUNTIF(C$4:C626,C627)-COUNTIF(C$4:C626,""Sell_""&amp;C627))))))"),"")</f>
        <v/>
      </c>
      <c r="H627" s="10" t="str">
        <f t="shared" si="3"/>
        <v/>
      </c>
      <c r="I627" s="68" t="str">
        <f t="shared" si="4"/>
        <v/>
      </c>
      <c r="J627" s="59" t="str">
        <f t="shared" si="5"/>
        <v/>
      </c>
      <c r="K627" s="69" t="str">
        <f t="shared" si="6"/>
        <v/>
      </c>
      <c r="L627" s="60" t="str">
        <f t="shared" si="7"/>
        <v/>
      </c>
      <c r="M627" s="61" t="str">
        <f>IFERROR(__xludf.DUMMYFUNCTION("IFS(AND(COUNTA(C627:C1350)=0,COUNTA(Q627:Q1350)=0),"""",OR(AND(K627&gt;=1000000000,OR(Y627&gt;=1000000000,COUNTA(Q627:Q1350)=0)),OR(Y627&gt;=1000000000,AND(COUNTA(C627:C1350)=0,P$3=TRUE))),
ROUNDDOWN((AB$1-AC$1)*MAX(INDEX(T$4:T1350,MATCH(LARGE(FILTER(Y$4:Y1350,Y$4"&amp;":Y1350&lt;1000000000),1),Y$4:Y1350)),INDEX(F$4:F1350,MATCH(LARGE(FILTER(K$4:K1350,K$4:K1350&lt;1000000000),1),K$4:K1350)))),AND(K627&lt;1000000000,COUNTA(C627:C1350)&gt;0,P$3=FALSE),
ROUNDDOWN(INDEX(Y$4:Y1350,MATCH(LARGE(FILTER(W$4:W1350,W$4:W1350&lt;=I627),1),W$4:W1350"&amp;"))+(I627-LARGE(FILTER(W$4:W1350,W$4:W1350&lt;=I627),1))*INDEX(T$4:T1350,MATCH(LARGE(FILTER(W$4:W1350,W$4:W1350&lt;=I627),1),W$4:W1350))-K627),1,
ROUNDDOWN(Y627-INDEX(K$4:K1350,MATCH(LARGE(FILTER(I$4:I1350,I$4:I1350&lt;=W627),1),I$4:I1350))-(W627-LARGE(FILTER(I$4:I"&amp;"1350,I$4:I1350&lt;=W627),1))*INDEX(F$4:F1350,MATCH(LARGE(FILTER(I$4:I1350,I$4:I1350&lt;=W627),1),I$4:I1350))))"),"")</f>
        <v/>
      </c>
      <c r="N627" s="60" t="str">
        <f t="shared" si="8"/>
        <v/>
      </c>
      <c r="O627" s="61" t="str">
        <f t="shared" si="9"/>
        <v/>
      </c>
      <c r="P627" s="56" t="str">
        <f t="shared" si="10"/>
        <v/>
      </c>
      <c r="Q627" s="62"/>
      <c r="R627" s="10" t="str">
        <f>IFERROR(__xludf.DUMMYFUNCTION("IF(COUNTA(Q627:Q1350)=0,"""",IF(ISBLANK(Q627),FALSE,IF(NOT(COUNTIF($AA$24:$AA$34,SUBSTITUTE(Q627,""Sell_"",""""))),1,IF(REGEXMATCH(Q627,""Sell_""),IF(COUNTIF(Q$4:Q627,SUBSTITUTE(Q627,""Sell_"",""""))-COUNTIF(Q$4:Q626,Q627)&lt;1,1),FALSE))))"),"")</f>
        <v/>
      </c>
      <c r="S627" s="59" t="str">
        <f t="array" ref="S627">IF(COUNTA(Q627:Q1350)=0,"",SUM((COUNTIF(Q$4:Q627,Upgrades!$B$3:$B$13)-COUNTIF(Q$4:Q627,"Sell_"&amp;Upgrades!$B$3:$B$13))*Upgrades!$D$3:$D$13))</f>
        <v/>
      </c>
      <c r="T627" s="66" t="str">
        <f>IFERROR(__xludf.DUMMYFUNCTION("IF(COUNTA(Q627:Q1350)=0,"""",IF(REGEXMATCH(INDEX(FILTER(Q$4:Q627,Q$4:Q627&lt;&gt;""""),ROWS(FILTER(Q$4:Q627,Q$4:Q627&lt;&gt;""""))),""^Sell_""),INDEX(FILTER(T$4:T626,Q$4:Q626&lt;&gt;""""),ROWS(FILTER(Q$4:Q626,Q$4:Q626&lt;&gt;""""))),$AD$5+S627))"),"")</f>
        <v/>
      </c>
      <c r="U627" s="10" t="str">
        <f>IFERROR(__xludf.DUMMYFUNCTION("IF(COUNTA(Q627:Q1350)=0,"""",IF(Q627="""",0,IF(REGEXMATCH(Q627,""^Sell_""),-ROUNDDOWN(ROUNDUP(INDEX(Upgrades!$C$3:$C$13,MATCH(SUBSTITUTE(Q627,""Sell_"",""""),Upgrades!$B$3:$B$13,0))*1.15^(COUNTIF(Q$4:Q626,SUBSTITUTE(Q627,""Sell_"",""""))-COUNTIF(Q$4:Q626,"&amp;"""Sell_""&amp;SUBSTITUTE(Q627,""Sell_"",""""))))/2),ROUNDUP(INDEX(Upgrades!$C$3:$C$13,MATCH(Q627,Upgrades!$B$3:$B$13,0))*1.15^(COUNTIF(Q$4:Q626,Q627)-COUNTIF(Q$4:Q626,""Sell_""&amp;Q627))))))"),"")</f>
        <v/>
      </c>
      <c r="V627" s="10" t="str">
        <f t="shared" si="11"/>
        <v/>
      </c>
      <c r="W627" s="68" t="str">
        <f t="shared" si="12"/>
        <v/>
      </c>
      <c r="X627" s="59" t="str">
        <f t="shared" si="13"/>
        <v/>
      </c>
      <c r="Y627" s="69" t="str">
        <f t="shared" si="14"/>
        <v/>
      </c>
      <c r="Z627" s="11"/>
    </row>
    <row r="628">
      <c r="A628" s="8"/>
      <c r="B628" s="56" t="str">
        <f t="shared" si="2"/>
        <v/>
      </c>
      <c r="C628" s="57"/>
      <c r="D628" s="10" t="str">
        <f>IFERROR(__xludf.DUMMYFUNCTION("IF(COUNTA(C628:C1350)=0,"""",IF(ISBLANK(C628),FALSE,IF(NOT(COUNTIF($AA$24:$AA$34,SUBSTITUTE(C628,""Sell_"",""""))),1,IF(REGEXMATCH(C628,""Sell_""),IF(COUNTIF(C$4:C628,SUBSTITUTE(C628,""Sell_"",""""))-COUNTIF(C$4:C627,C628)&lt;1,1),FALSE))))"),"")</f>
        <v/>
      </c>
      <c r="E628" s="59" t="str">
        <f t="array" ref="E628">IF(COUNTA(C628:C1350)=0,"",SUM((COUNTIF(C$4:C628,Upgrades!$B$3:$B$13)-COUNTIF(C$4:C628,"Sell_"&amp;Upgrades!$B$3:$B$13))*Upgrades!$D$3:$D$13))</f>
        <v/>
      </c>
      <c r="F628" s="66" t="str">
        <f>IFERROR(__xludf.DUMMYFUNCTION("IF(COUNTA(C628:C1350)=0,"""",IF(REGEXMATCH(INDEX(FILTER(C$4:C628,C$4:C628&lt;&gt;""""),ROWS(FILTER(C$4:C628,C$4:C628&lt;&gt;""""))),""^Sell_""),INDEX(FILTER(F$4:F627,C$4:C627&lt;&gt;""""),ROWS(FILTER(C$4:C627,C$4:C627&lt;&gt;""""))),$AC$5+E628))"),"")</f>
        <v/>
      </c>
      <c r="G628" s="10" t="str">
        <f>IFERROR(__xludf.DUMMYFUNCTION("IF(COUNTA(C628:C1350)=0,"""",IF(C628="""",0,IF(REGEXMATCH(C628,""^Sell_""),-ROUNDDOWN(ROUNDUP(INDEX(Upgrades!$C$3:$C$13,MATCH(SUBSTITUTE(C628,""Sell_"",""""),Upgrades!$B$3:$B$13,0))*1.15^(COUNTIF(C$4:C627,SUBSTITUTE(C628,""Sell_"",""""))-COUNTIF(C$4:C627,"&amp;"""Sell_""&amp;SUBSTITUTE(C628,""Sell_"",""""))))/2),ROUNDUP(INDEX(Upgrades!$C$3:$C$13,MATCH(C628,Upgrades!$B$3:$B$13,0))*1.15^(COUNTIF(C$4:C627,C628)-COUNTIF(C$4:C627,""Sell_""&amp;C628))))))"),"")</f>
        <v/>
      </c>
      <c r="H628" s="10" t="str">
        <f t="shared" si="3"/>
        <v/>
      </c>
      <c r="I628" s="68" t="str">
        <f t="shared" si="4"/>
        <v/>
      </c>
      <c r="J628" s="59" t="str">
        <f t="shared" si="5"/>
        <v/>
      </c>
      <c r="K628" s="69" t="str">
        <f t="shared" si="6"/>
        <v/>
      </c>
      <c r="L628" s="60" t="str">
        <f t="shared" si="7"/>
        <v/>
      </c>
      <c r="M628" s="61" t="str">
        <f>IFERROR(__xludf.DUMMYFUNCTION("IFS(AND(COUNTA(C628:C1350)=0,COUNTA(Q628:Q1350)=0),"""",OR(AND(K628&gt;=1000000000,OR(Y628&gt;=1000000000,COUNTA(Q628:Q1350)=0)),OR(Y628&gt;=1000000000,AND(COUNTA(C628:C1350)=0,P$3=TRUE))),
ROUNDDOWN((AB$1-AC$1)*MAX(INDEX(T$4:T1350,MATCH(LARGE(FILTER(Y$4:Y1350,Y$4"&amp;":Y1350&lt;1000000000),1),Y$4:Y1350)),INDEX(F$4:F1350,MATCH(LARGE(FILTER(K$4:K1350,K$4:K1350&lt;1000000000),1),K$4:K1350)))),AND(K628&lt;1000000000,COUNTA(C628:C1350)&gt;0,P$3=FALSE),
ROUNDDOWN(INDEX(Y$4:Y1350,MATCH(LARGE(FILTER(W$4:W1350,W$4:W1350&lt;=I628),1),W$4:W1350"&amp;"))+(I628-LARGE(FILTER(W$4:W1350,W$4:W1350&lt;=I628),1))*INDEX(T$4:T1350,MATCH(LARGE(FILTER(W$4:W1350,W$4:W1350&lt;=I628),1),W$4:W1350))-K628),1,
ROUNDDOWN(Y628-INDEX(K$4:K1350,MATCH(LARGE(FILTER(I$4:I1350,I$4:I1350&lt;=W628),1),I$4:I1350))-(W628-LARGE(FILTER(I$4:I"&amp;"1350,I$4:I1350&lt;=W628),1))*INDEX(F$4:F1350,MATCH(LARGE(FILTER(I$4:I1350,I$4:I1350&lt;=W628),1),I$4:I1350))))"),"")</f>
        <v/>
      </c>
      <c r="N628" s="60" t="str">
        <f t="shared" si="8"/>
        <v/>
      </c>
      <c r="O628" s="61" t="str">
        <f t="shared" si="9"/>
        <v/>
      </c>
      <c r="P628" s="56" t="str">
        <f t="shared" si="10"/>
        <v/>
      </c>
      <c r="Q628" s="62"/>
      <c r="R628" s="10" t="str">
        <f>IFERROR(__xludf.DUMMYFUNCTION("IF(COUNTA(Q628:Q1350)=0,"""",IF(ISBLANK(Q628),FALSE,IF(NOT(COUNTIF($AA$24:$AA$34,SUBSTITUTE(Q628,""Sell_"",""""))),1,IF(REGEXMATCH(Q628,""Sell_""),IF(COUNTIF(Q$4:Q628,SUBSTITUTE(Q628,""Sell_"",""""))-COUNTIF(Q$4:Q627,Q628)&lt;1,1),FALSE))))"),"")</f>
        <v/>
      </c>
      <c r="S628" s="59" t="str">
        <f t="array" ref="S628">IF(COUNTA(Q628:Q1350)=0,"",SUM((COUNTIF(Q$4:Q628,Upgrades!$B$3:$B$13)-COUNTIF(Q$4:Q628,"Sell_"&amp;Upgrades!$B$3:$B$13))*Upgrades!$D$3:$D$13))</f>
        <v/>
      </c>
      <c r="T628" s="66" t="str">
        <f>IFERROR(__xludf.DUMMYFUNCTION("IF(COUNTA(Q628:Q1350)=0,"""",IF(REGEXMATCH(INDEX(FILTER(Q$4:Q628,Q$4:Q628&lt;&gt;""""),ROWS(FILTER(Q$4:Q628,Q$4:Q628&lt;&gt;""""))),""^Sell_""),INDEX(FILTER(T$4:T627,Q$4:Q627&lt;&gt;""""),ROWS(FILTER(Q$4:Q627,Q$4:Q627&lt;&gt;""""))),$AD$5+S628))"),"")</f>
        <v/>
      </c>
      <c r="U628" s="10" t="str">
        <f>IFERROR(__xludf.DUMMYFUNCTION("IF(COUNTA(Q628:Q1350)=0,"""",IF(Q628="""",0,IF(REGEXMATCH(Q628,""^Sell_""),-ROUNDDOWN(ROUNDUP(INDEX(Upgrades!$C$3:$C$13,MATCH(SUBSTITUTE(Q628,""Sell_"",""""),Upgrades!$B$3:$B$13,0))*1.15^(COUNTIF(Q$4:Q627,SUBSTITUTE(Q628,""Sell_"",""""))-COUNTIF(Q$4:Q627,"&amp;"""Sell_""&amp;SUBSTITUTE(Q628,""Sell_"",""""))))/2),ROUNDUP(INDEX(Upgrades!$C$3:$C$13,MATCH(Q628,Upgrades!$B$3:$B$13,0))*1.15^(COUNTIF(Q$4:Q627,Q628)-COUNTIF(Q$4:Q627,""Sell_""&amp;Q628))))))"),"")</f>
        <v/>
      </c>
      <c r="V628" s="10" t="str">
        <f t="shared" si="11"/>
        <v/>
      </c>
      <c r="W628" s="68" t="str">
        <f t="shared" si="12"/>
        <v/>
      </c>
      <c r="X628" s="59" t="str">
        <f t="shared" si="13"/>
        <v/>
      </c>
      <c r="Y628" s="69" t="str">
        <f t="shared" si="14"/>
        <v/>
      </c>
      <c r="Z628" s="11"/>
    </row>
    <row r="629">
      <c r="A629" s="8"/>
      <c r="B629" s="56" t="str">
        <f t="shared" si="2"/>
        <v/>
      </c>
      <c r="C629" s="57"/>
      <c r="D629" s="10" t="str">
        <f>IFERROR(__xludf.DUMMYFUNCTION("IF(COUNTA(C629:C1350)=0,"""",IF(ISBLANK(C629),FALSE,IF(NOT(COUNTIF($AA$24:$AA$34,SUBSTITUTE(C629,""Sell_"",""""))),1,IF(REGEXMATCH(C629,""Sell_""),IF(COUNTIF(C$4:C629,SUBSTITUTE(C629,""Sell_"",""""))-COUNTIF(C$4:C628,C629)&lt;1,1),FALSE))))"),"")</f>
        <v/>
      </c>
      <c r="E629" s="59" t="str">
        <f t="array" ref="E629">IF(COUNTA(C629:C1350)=0,"",SUM((COUNTIF(C$4:C629,Upgrades!$B$3:$B$13)-COUNTIF(C$4:C629,"Sell_"&amp;Upgrades!$B$3:$B$13))*Upgrades!$D$3:$D$13))</f>
        <v/>
      </c>
      <c r="F629" s="66" t="str">
        <f>IFERROR(__xludf.DUMMYFUNCTION("IF(COUNTA(C629:C1350)=0,"""",IF(REGEXMATCH(INDEX(FILTER(C$4:C629,C$4:C629&lt;&gt;""""),ROWS(FILTER(C$4:C629,C$4:C629&lt;&gt;""""))),""^Sell_""),INDEX(FILTER(F$4:F628,C$4:C628&lt;&gt;""""),ROWS(FILTER(C$4:C628,C$4:C628&lt;&gt;""""))),$AC$5+E629))"),"")</f>
        <v/>
      </c>
      <c r="G629" s="10" t="str">
        <f>IFERROR(__xludf.DUMMYFUNCTION("IF(COUNTA(C629:C1350)=0,"""",IF(C629="""",0,IF(REGEXMATCH(C629,""^Sell_""),-ROUNDDOWN(ROUNDUP(INDEX(Upgrades!$C$3:$C$13,MATCH(SUBSTITUTE(C629,""Sell_"",""""),Upgrades!$B$3:$B$13,0))*1.15^(COUNTIF(C$4:C628,SUBSTITUTE(C629,""Sell_"",""""))-COUNTIF(C$4:C628,"&amp;"""Sell_""&amp;SUBSTITUTE(C629,""Sell_"",""""))))/2),ROUNDUP(INDEX(Upgrades!$C$3:$C$13,MATCH(C629,Upgrades!$B$3:$B$13,0))*1.15^(COUNTIF(C$4:C628,C629)-COUNTIF(C$4:C628,""Sell_""&amp;C629))))))"),"")</f>
        <v/>
      </c>
      <c r="H629" s="10" t="str">
        <f t="shared" si="3"/>
        <v/>
      </c>
      <c r="I629" s="68" t="str">
        <f t="shared" si="4"/>
        <v/>
      </c>
      <c r="J629" s="59" t="str">
        <f t="shared" si="5"/>
        <v/>
      </c>
      <c r="K629" s="69" t="str">
        <f t="shared" si="6"/>
        <v/>
      </c>
      <c r="L629" s="60" t="str">
        <f t="shared" si="7"/>
        <v/>
      </c>
      <c r="M629" s="61" t="str">
        <f>IFERROR(__xludf.DUMMYFUNCTION("IFS(AND(COUNTA(C629:C1350)=0,COUNTA(Q629:Q1350)=0),"""",OR(AND(K629&gt;=1000000000,OR(Y629&gt;=1000000000,COUNTA(Q629:Q1350)=0)),OR(Y629&gt;=1000000000,AND(COUNTA(C629:C1350)=0,P$3=TRUE))),
ROUNDDOWN((AB$1-AC$1)*MAX(INDEX(T$4:T1350,MATCH(LARGE(FILTER(Y$4:Y1350,Y$4"&amp;":Y1350&lt;1000000000),1),Y$4:Y1350)),INDEX(F$4:F1350,MATCH(LARGE(FILTER(K$4:K1350,K$4:K1350&lt;1000000000),1),K$4:K1350)))),AND(K629&lt;1000000000,COUNTA(C629:C1350)&gt;0,P$3=FALSE),
ROUNDDOWN(INDEX(Y$4:Y1350,MATCH(LARGE(FILTER(W$4:W1350,W$4:W1350&lt;=I629),1),W$4:W1350"&amp;"))+(I629-LARGE(FILTER(W$4:W1350,W$4:W1350&lt;=I629),1))*INDEX(T$4:T1350,MATCH(LARGE(FILTER(W$4:W1350,W$4:W1350&lt;=I629),1),W$4:W1350))-K629),1,
ROUNDDOWN(Y629-INDEX(K$4:K1350,MATCH(LARGE(FILTER(I$4:I1350,I$4:I1350&lt;=W629),1),I$4:I1350))-(W629-LARGE(FILTER(I$4:I"&amp;"1350,I$4:I1350&lt;=W629),1))*INDEX(F$4:F1350,MATCH(LARGE(FILTER(I$4:I1350,I$4:I1350&lt;=W629),1),I$4:I1350))))"),"")</f>
        <v/>
      </c>
      <c r="N629" s="60" t="str">
        <f t="shared" si="8"/>
        <v/>
      </c>
      <c r="O629" s="61" t="str">
        <f t="shared" si="9"/>
        <v/>
      </c>
      <c r="P629" s="56" t="str">
        <f t="shared" si="10"/>
        <v/>
      </c>
      <c r="Q629" s="62"/>
      <c r="R629" s="10" t="str">
        <f>IFERROR(__xludf.DUMMYFUNCTION("IF(COUNTA(Q629:Q1350)=0,"""",IF(ISBLANK(Q629),FALSE,IF(NOT(COUNTIF($AA$24:$AA$34,SUBSTITUTE(Q629,""Sell_"",""""))),1,IF(REGEXMATCH(Q629,""Sell_""),IF(COUNTIF(Q$4:Q629,SUBSTITUTE(Q629,""Sell_"",""""))-COUNTIF(Q$4:Q628,Q629)&lt;1,1),FALSE))))"),"")</f>
        <v/>
      </c>
      <c r="S629" s="59" t="str">
        <f t="array" ref="S629">IF(COUNTA(Q629:Q1350)=0,"",SUM((COUNTIF(Q$4:Q629,Upgrades!$B$3:$B$13)-COUNTIF(Q$4:Q629,"Sell_"&amp;Upgrades!$B$3:$B$13))*Upgrades!$D$3:$D$13))</f>
        <v/>
      </c>
      <c r="T629" s="66" t="str">
        <f>IFERROR(__xludf.DUMMYFUNCTION("IF(COUNTA(Q629:Q1350)=0,"""",IF(REGEXMATCH(INDEX(FILTER(Q$4:Q629,Q$4:Q629&lt;&gt;""""),ROWS(FILTER(Q$4:Q629,Q$4:Q629&lt;&gt;""""))),""^Sell_""),INDEX(FILTER(T$4:T628,Q$4:Q628&lt;&gt;""""),ROWS(FILTER(Q$4:Q628,Q$4:Q628&lt;&gt;""""))),$AD$5+S629))"),"")</f>
        <v/>
      </c>
      <c r="U629" s="10" t="str">
        <f>IFERROR(__xludf.DUMMYFUNCTION("IF(COUNTA(Q629:Q1350)=0,"""",IF(Q629="""",0,IF(REGEXMATCH(Q629,""^Sell_""),-ROUNDDOWN(ROUNDUP(INDEX(Upgrades!$C$3:$C$13,MATCH(SUBSTITUTE(Q629,""Sell_"",""""),Upgrades!$B$3:$B$13,0))*1.15^(COUNTIF(Q$4:Q628,SUBSTITUTE(Q629,""Sell_"",""""))-COUNTIF(Q$4:Q628,"&amp;"""Sell_""&amp;SUBSTITUTE(Q629,""Sell_"",""""))))/2),ROUNDUP(INDEX(Upgrades!$C$3:$C$13,MATCH(Q629,Upgrades!$B$3:$B$13,0))*1.15^(COUNTIF(Q$4:Q628,Q629)-COUNTIF(Q$4:Q628,""Sell_""&amp;Q629))))))"),"")</f>
        <v/>
      </c>
      <c r="V629" s="10" t="str">
        <f t="shared" si="11"/>
        <v/>
      </c>
      <c r="W629" s="68" t="str">
        <f t="shared" si="12"/>
        <v/>
      </c>
      <c r="X629" s="59" t="str">
        <f t="shared" si="13"/>
        <v/>
      </c>
      <c r="Y629" s="69" t="str">
        <f t="shared" si="14"/>
        <v/>
      </c>
      <c r="Z629" s="11"/>
    </row>
    <row r="630">
      <c r="A630" s="8"/>
      <c r="B630" s="56" t="str">
        <f t="shared" si="2"/>
        <v/>
      </c>
      <c r="C630" s="57"/>
      <c r="D630" s="10" t="str">
        <f>IFERROR(__xludf.DUMMYFUNCTION("IF(COUNTA(C630:C1350)=0,"""",IF(ISBLANK(C630),FALSE,IF(NOT(COUNTIF($AA$24:$AA$34,SUBSTITUTE(C630,""Sell_"",""""))),1,IF(REGEXMATCH(C630,""Sell_""),IF(COUNTIF(C$4:C630,SUBSTITUTE(C630,""Sell_"",""""))-COUNTIF(C$4:C629,C630)&lt;1,1),FALSE))))"),"")</f>
        <v/>
      </c>
      <c r="E630" s="59" t="str">
        <f t="array" ref="E630">IF(COUNTA(C630:C1350)=0,"",SUM((COUNTIF(C$4:C630,Upgrades!$B$3:$B$13)-COUNTIF(C$4:C630,"Sell_"&amp;Upgrades!$B$3:$B$13))*Upgrades!$D$3:$D$13))</f>
        <v/>
      </c>
      <c r="F630" s="66" t="str">
        <f>IFERROR(__xludf.DUMMYFUNCTION("IF(COUNTA(C630:C1350)=0,"""",IF(REGEXMATCH(INDEX(FILTER(C$4:C630,C$4:C630&lt;&gt;""""),ROWS(FILTER(C$4:C630,C$4:C630&lt;&gt;""""))),""^Sell_""),INDEX(FILTER(F$4:F629,C$4:C629&lt;&gt;""""),ROWS(FILTER(C$4:C629,C$4:C629&lt;&gt;""""))),$AC$5+E630))"),"")</f>
        <v/>
      </c>
      <c r="G630" s="10" t="str">
        <f>IFERROR(__xludf.DUMMYFUNCTION("IF(COUNTA(C630:C1350)=0,"""",IF(C630="""",0,IF(REGEXMATCH(C630,""^Sell_""),-ROUNDDOWN(ROUNDUP(INDEX(Upgrades!$C$3:$C$13,MATCH(SUBSTITUTE(C630,""Sell_"",""""),Upgrades!$B$3:$B$13,0))*1.15^(COUNTIF(C$4:C629,SUBSTITUTE(C630,""Sell_"",""""))-COUNTIF(C$4:C629,"&amp;"""Sell_""&amp;SUBSTITUTE(C630,""Sell_"",""""))))/2),ROUNDUP(INDEX(Upgrades!$C$3:$C$13,MATCH(C630,Upgrades!$B$3:$B$13,0))*1.15^(COUNTIF(C$4:C629,C630)-COUNTIF(C$4:C629,""Sell_""&amp;C630))))))"),"")</f>
        <v/>
      </c>
      <c r="H630" s="10" t="str">
        <f t="shared" si="3"/>
        <v/>
      </c>
      <c r="I630" s="68" t="str">
        <f t="shared" si="4"/>
        <v/>
      </c>
      <c r="J630" s="59" t="str">
        <f t="shared" si="5"/>
        <v/>
      </c>
      <c r="K630" s="69" t="str">
        <f t="shared" si="6"/>
        <v/>
      </c>
      <c r="L630" s="60" t="str">
        <f t="shared" si="7"/>
        <v/>
      </c>
      <c r="M630" s="61" t="str">
        <f>IFERROR(__xludf.DUMMYFUNCTION("IFS(AND(COUNTA(C630:C1350)=0,COUNTA(Q630:Q1350)=0),"""",OR(AND(K630&gt;=1000000000,OR(Y630&gt;=1000000000,COUNTA(Q630:Q1350)=0)),OR(Y630&gt;=1000000000,AND(COUNTA(C630:C1350)=0,P$3=TRUE))),
ROUNDDOWN((AB$1-AC$1)*MAX(INDEX(T$4:T1350,MATCH(LARGE(FILTER(Y$4:Y1350,Y$4"&amp;":Y1350&lt;1000000000),1),Y$4:Y1350)),INDEX(F$4:F1350,MATCH(LARGE(FILTER(K$4:K1350,K$4:K1350&lt;1000000000),1),K$4:K1350)))),AND(K630&lt;1000000000,COUNTA(C630:C1350)&gt;0,P$3=FALSE),
ROUNDDOWN(INDEX(Y$4:Y1350,MATCH(LARGE(FILTER(W$4:W1350,W$4:W1350&lt;=I630),1),W$4:W1350"&amp;"))+(I630-LARGE(FILTER(W$4:W1350,W$4:W1350&lt;=I630),1))*INDEX(T$4:T1350,MATCH(LARGE(FILTER(W$4:W1350,W$4:W1350&lt;=I630),1),W$4:W1350))-K630),1,
ROUNDDOWN(Y630-INDEX(K$4:K1350,MATCH(LARGE(FILTER(I$4:I1350,I$4:I1350&lt;=W630),1),I$4:I1350))-(W630-LARGE(FILTER(I$4:I"&amp;"1350,I$4:I1350&lt;=W630),1))*INDEX(F$4:F1350,MATCH(LARGE(FILTER(I$4:I1350,I$4:I1350&lt;=W630),1),I$4:I1350))))"),"")</f>
        <v/>
      </c>
      <c r="N630" s="60" t="str">
        <f t="shared" si="8"/>
        <v/>
      </c>
      <c r="O630" s="61" t="str">
        <f t="shared" si="9"/>
        <v/>
      </c>
      <c r="P630" s="56" t="str">
        <f t="shared" si="10"/>
        <v/>
      </c>
      <c r="Q630" s="62"/>
      <c r="R630" s="10" t="str">
        <f>IFERROR(__xludf.DUMMYFUNCTION("IF(COUNTA(Q630:Q1350)=0,"""",IF(ISBLANK(Q630),FALSE,IF(NOT(COUNTIF($AA$24:$AA$34,SUBSTITUTE(Q630,""Sell_"",""""))),1,IF(REGEXMATCH(Q630,""Sell_""),IF(COUNTIF(Q$4:Q630,SUBSTITUTE(Q630,""Sell_"",""""))-COUNTIF(Q$4:Q629,Q630)&lt;1,1),FALSE))))"),"")</f>
        <v/>
      </c>
      <c r="S630" s="59" t="str">
        <f t="array" ref="S630">IF(COUNTA(Q630:Q1350)=0,"",SUM((COUNTIF(Q$4:Q630,Upgrades!$B$3:$B$13)-COUNTIF(Q$4:Q630,"Sell_"&amp;Upgrades!$B$3:$B$13))*Upgrades!$D$3:$D$13))</f>
        <v/>
      </c>
      <c r="T630" s="66" t="str">
        <f>IFERROR(__xludf.DUMMYFUNCTION("IF(COUNTA(Q630:Q1350)=0,"""",IF(REGEXMATCH(INDEX(FILTER(Q$4:Q630,Q$4:Q630&lt;&gt;""""),ROWS(FILTER(Q$4:Q630,Q$4:Q630&lt;&gt;""""))),""^Sell_""),INDEX(FILTER(T$4:T629,Q$4:Q629&lt;&gt;""""),ROWS(FILTER(Q$4:Q629,Q$4:Q629&lt;&gt;""""))),$AD$5+S630))"),"")</f>
        <v/>
      </c>
      <c r="U630" s="10" t="str">
        <f>IFERROR(__xludf.DUMMYFUNCTION("IF(COUNTA(Q630:Q1350)=0,"""",IF(Q630="""",0,IF(REGEXMATCH(Q630,""^Sell_""),-ROUNDDOWN(ROUNDUP(INDEX(Upgrades!$C$3:$C$13,MATCH(SUBSTITUTE(Q630,""Sell_"",""""),Upgrades!$B$3:$B$13,0))*1.15^(COUNTIF(Q$4:Q629,SUBSTITUTE(Q630,""Sell_"",""""))-COUNTIF(Q$4:Q629,"&amp;"""Sell_""&amp;SUBSTITUTE(Q630,""Sell_"",""""))))/2),ROUNDUP(INDEX(Upgrades!$C$3:$C$13,MATCH(Q630,Upgrades!$B$3:$B$13,0))*1.15^(COUNTIF(Q$4:Q629,Q630)-COUNTIF(Q$4:Q629,""Sell_""&amp;Q630))))))"),"")</f>
        <v/>
      </c>
      <c r="V630" s="10" t="str">
        <f t="shared" si="11"/>
        <v/>
      </c>
      <c r="W630" s="68" t="str">
        <f t="shared" si="12"/>
        <v/>
      </c>
      <c r="X630" s="59" t="str">
        <f t="shared" si="13"/>
        <v/>
      </c>
      <c r="Y630" s="69" t="str">
        <f t="shared" si="14"/>
        <v/>
      </c>
      <c r="Z630" s="11"/>
    </row>
    <row r="631">
      <c r="A631" s="8"/>
      <c r="B631" s="56" t="str">
        <f t="shared" si="2"/>
        <v/>
      </c>
      <c r="C631" s="57"/>
      <c r="D631" s="10" t="str">
        <f>IFERROR(__xludf.DUMMYFUNCTION("IF(COUNTA(C631:C1350)=0,"""",IF(ISBLANK(C631),FALSE,IF(NOT(COUNTIF($AA$24:$AA$34,SUBSTITUTE(C631,""Sell_"",""""))),1,IF(REGEXMATCH(C631,""Sell_""),IF(COUNTIF(C$4:C631,SUBSTITUTE(C631,""Sell_"",""""))-COUNTIF(C$4:C630,C631)&lt;1,1),FALSE))))"),"")</f>
        <v/>
      </c>
      <c r="E631" s="59" t="str">
        <f t="array" ref="E631">IF(COUNTA(C631:C1350)=0,"",SUM((COUNTIF(C$4:C631,Upgrades!$B$3:$B$13)-COUNTIF(C$4:C631,"Sell_"&amp;Upgrades!$B$3:$B$13))*Upgrades!$D$3:$D$13))</f>
        <v/>
      </c>
      <c r="F631" s="66" t="str">
        <f>IFERROR(__xludf.DUMMYFUNCTION("IF(COUNTA(C631:C1350)=0,"""",IF(REGEXMATCH(INDEX(FILTER(C$4:C631,C$4:C631&lt;&gt;""""),ROWS(FILTER(C$4:C631,C$4:C631&lt;&gt;""""))),""^Sell_""),INDEX(FILTER(F$4:F630,C$4:C630&lt;&gt;""""),ROWS(FILTER(C$4:C630,C$4:C630&lt;&gt;""""))),$AC$5+E631))"),"")</f>
        <v/>
      </c>
      <c r="G631" s="10" t="str">
        <f>IFERROR(__xludf.DUMMYFUNCTION("IF(COUNTA(C631:C1350)=0,"""",IF(C631="""",0,IF(REGEXMATCH(C631,""^Sell_""),-ROUNDDOWN(ROUNDUP(INDEX(Upgrades!$C$3:$C$13,MATCH(SUBSTITUTE(C631,""Sell_"",""""),Upgrades!$B$3:$B$13,0))*1.15^(COUNTIF(C$4:C630,SUBSTITUTE(C631,""Sell_"",""""))-COUNTIF(C$4:C630,"&amp;"""Sell_""&amp;SUBSTITUTE(C631,""Sell_"",""""))))/2),ROUNDUP(INDEX(Upgrades!$C$3:$C$13,MATCH(C631,Upgrades!$B$3:$B$13,0))*1.15^(COUNTIF(C$4:C630,C631)-COUNTIF(C$4:C630,""Sell_""&amp;C631))))))"),"")</f>
        <v/>
      </c>
      <c r="H631" s="10" t="str">
        <f t="shared" si="3"/>
        <v/>
      </c>
      <c r="I631" s="68" t="str">
        <f t="shared" si="4"/>
        <v/>
      </c>
      <c r="J631" s="59" t="str">
        <f t="shared" si="5"/>
        <v/>
      </c>
      <c r="K631" s="69" t="str">
        <f t="shared" si="6"/>
        <v/>
      </c>
      <c r="L631" s="60" t="str">
        <f t="shared" si="7"/>
        <v/>
      </c>
      <c r="M631" s="61" t="str">
        <f>IFERROR(__xludf.DUMMYFUNCTION("IFS(AND(COUNTA(C631:C1350)=0,COUNTA(Q631:Q1350)=0),"""",OR(AND(K631&gt;=1000000000,OR(Y631&gt;=1000000000,COUNTA(Q631:Q1350)=0)),OR(Y631&gt;=1000000000,AND(COUNTA(C631:C1350)=0,P$3=TRUE))),
ROUNDDOWN((AB$1-AC$1)*MAX(INDEX(T$4:T1350,MATCH(LARGE(FILTER(Y$4:Y1350,Y$4"&amp;":Y1350&lt;1000000000),1),Y$4:Y1350)),INDEX(F$4:F1350,MATCH(LARGE(FILTER(K$4:K1350,K$4:K1350&lt;1000000000),1),K$4:K1350)))),AND(K631&lt;1000000000,COUNTA(C631:C1350)&gt;0,P$3=FALSE),
ROUNDDOWN(INDEX(Y$4:Y1350,MATCH(LARGE(FILTER(W$4:W1350,W$4:W1350&lt;=I631),1),W$4:W1350"&amp;"))+(I631-LARGE(FILTER(W$4:W1350,W$4:W1350&lt;=I631),1))*INDEX(T$4:T1350,MATCH(LARGE(FILTER(W$4:W1350,W$4:W1350&lt;=I631),1),W$4:W1350))-K631),1,
ROUNDDOWN(Y631-INDEX(K$4:K1350,MATCH(LARGE(FILTER(I$4:I1350,I$4:I1350&lt;=W631),1),I$4:I1350))-(W631-LARGE(FILTER(I$4:I"&amp;"1350,I$4:I1350&lt;=W631),1))*INDEX(F$4:F1350,MATCH(LARGE(FILTER(I$4:I1350,I$4:I1350&lt;=W631),1),I$4:I1350))))"),"")</f>
        <v/>
      </c>
      <c r="N631" s="60" t="str">
        <f t="shared" si="8"/>
        <v/>
      </c>
      <c r="O631" s="61" t="str">
        <f t="shared" si="9"/>
        <v/>
      </c>
      <c r="P631" s="56" t="str">
        <f t="shared" si="10"/>
        <v/>
      </c>
      <c r="Q631" s="62"/>
      <c r="R631" s="10" t="str">
        <f>IFERROR(__xludf.DUMMYFUNCTION("IF(COUNTA(Q631:Q1350)=0,"""",IF(ISBLANK(Q631),FALSE,IF(NOT(COUNTIF($AA$24:$AA$34,SUBSTITUTE(Q631,""Sell_"",""""))),1,IF(REGEXMATCH(Q631,""Sell_""),IF(COUNTIF(Q$4:Q631,SUBSTITUTE(Q631,""Sell_"",""""))-COUNTIF(Q$4:Q630,Q631)&lt;1,1),FALSE))))"),"")</f>
        <v/>
      </c>
      <c r="S631" s="59" t="str">
        <f t="array" ref="S631">IF(COUNTA(Q631:Q1350)=0,"",SUM((COUNTIF(Q$4:Q631,Upgrades!$B$3:$B$13)-COUNTIF(Q$4:Q631,"Sell_"&amp;Upgrades!$B$3:$B$13))*Upgrades!$D$3:$D$13))</f>
        <v/>
      </c>
      <c r="T631" s="66" t="str">
        <f>IFERROR(__xludf.DUMMYFUNCTION("IF(COUNTA(Q631:Q1350)=0,"""",IF(REGEXMATCH(INDEX(FILTER(Q$4:Q631,Q$4:Q631&lt;&gt;""""),ROWS(FILTER(Q$4:Q631,Q$4:Q631&lt;&gt;""""))),""^Sell_""),INDEX(FILTER(T$4:T630,Q$4:Q630&lt;&gt;""""),ROWS(FILTER(Q$4:Q630,Q$4:Q630&lt;&gt;""""))),$AD$5+S631))"),"")</f>
        <v/>
      </c>
      <c r="U631" s="10" t="str">
        <f>IFERROR(__xludf.DUMMYFUNCTION("IF(COUNTA(Q631:Q1350)=0,"""",IF(Q631="""",0,IF(REGEXMATCH(Q631,""^Sell_""),-ROUNDDOWN(ROUNDUP(INDEX(Upgrades!$C$3:$C$13,MATCH(SUBSTITUTE(Q631,""Sell_"",""""),Upgrades!$B$3:$B$13,0))*1.15^(COUNTIF(Q$4:Q630,SUBSTITUTE(Q631,""Sell_"",""""))-COUNTIF(Q$4:Q630,"&amp;"""Sell_""&amp;SUBSTITUTE(Q631,""Sell_"",""""))))/2),ROUNDUP(INDEX(Upgrades!$C$3:$C$13,MATCH(Q631,Upgrades!$B$3:$B$13,0))*1.15^(COUNTIF(Q$4:Q630,Q631)-COUNTIF(Q$4:Q630,""Sell_""&amp;Q631))))))"),"")</f>
        <v/>
      </c>
      <c r="V631" s="10" t="str">
        <f t="shared" si="11"/>
        <v/>
      </c>
      <c r="W631" s="68" t="str">
        <f t="shared" si="12"/>
        <v/>
      </c>
      <c r="X631" s="59" t="str">
        <f t="shared" si="13"/>
        <v/>
      </c>
      <c r="Y631" s="69" t="str">
        <f t="shared" si="14"/>
        <v/>
      </c>
      <c r="Z631" s="11"/>
    </row>
    <row r="632">
      <c r="A632" s="8"/>
      <c r="B632" s="56" t="str">
        <f t="shared" si="2"/>
        <v/>
      </c>
      <c r="C632" s="57"/>
      <c r="D632" s="10" t="str">
        <f>IFERROR(__xludf.DUMMYFUNCTION("IF(COUNTA(C632:C1350)=0,"""",IF(ISBLANK(C632),FALSE,IF(NOT(COUNTIF($AA$24:$AA$34,SUBSTITUTE(C632,""Sell_"",""""))),1,IF(REGEXMATCH(C632,""Sell_""),IF(COUNTIF(C$4:C632,SUBSTITUTE(C632,""Sell_"",""""))-COUNTIF(C$4:C631,C632)&lt;1,1),FALSE))))"),"")</f>
        <v/>
      </c>
      <c r="E632" s="59" t="str">
        <f t="array" ref="E632">IF(COUNTA(C632:C1350)=0,"",SUM((COUNTIF(C$4:C632,Upgrades!$B$3:$B$13)-COUNTIF(C$4:C632,"Sell_"&amp;Upgrades!$B$3:$B$13))*Upgrades!$D$3:$D$13))</f>
        <v/>
      </c>
      <c r="F632" s="66" t="str">
        <f>IFERROR(__xludf.DUMMYFUNCTION("IF(COUNTA(C632:C1350)=0,"""",IF(REGEXMATCH(INDEX(FILTER(C$4:C632,C$4:C632&lt;&gt;""""),ROWS(FILTER(C$4:C632,C$4:C632&lt;&gt;""""))),""^Sell_""),INDEX(FILTER(F$4:F631,C$4:C631&lt;&gt;""""),ROWS(FILTER(C$4:C631,C$4:C631&lt;&gt;""""))),$AC$5+E632))"),"")</f>
        <v/>
      </c>
      <c r="G632" s="10" t="str">
        <f>IFERROR(__xludf.DUMMYFUNCTION("IF(COUNTA(C632:C1350)=0,"""",IF(C632="""",0,IF(REGEXMATCH(C632,""^Sell_""),-ROUNDDOWN(ROUNDUP(INDEX(Upgrades!$C$3:$C$13,MATCH(SUBSTITUTE(C632,""Sell_"",""""),Upgrades!$B$3:$B$13,0))*1.15^(COUNTIF(C$4:C631,SUBSTITUTE(C632,""Sell_"",""""))-COUNTIF(C$4:C631,"&amp;"""Sell_""&amp;SUBSTITUTE(C632,""Sell_"",""""))))/2),ROUNDUP(INDEX(Upgrades!$C$3:$C$13,MATCH(C632,Upgrades!$B$3:$B$13,0))*1.15^(COUNTIF(C$4:C631,C632)-COUNTIF(C$4:C631,""Sell_""&amp;C632))))))"),"")</f>
        <v/>
      </c>
      <c r="H632" s="10" t="str">
        <f t="shared" si="3"/>
        <v/>
      </c>
      <c r="I632" s="68" t="str">
        <f t="shared" si="4"/>
        <v/>
      </c>
      <c r="J632" s="59" t="str">
        <f t="shared" si="5"/>
        <v/>
      </c>
      <c r="K632" s="69" t="str">
        <f t="shared" si="6"/>
        <v/>
      </c>
      <c r="L632" s="60" t="str">
        <f t="shared" si="7"/>
        <v/>
      </c>
      <c r="M632" s="61" t="str">
        <f>IFERROR(__xludf.DUMMYFUNCTION("IFS(AND(COUNTA(C632:C1350)=0,COUNTA(Q632:Q1350)=0),"""",OR(AND(K632&gt;=1000000000,OR(Y632&gt;=1000000000,COUNTA(Q632:Q1350)=0)),OR(Y632&gt;=1000000000,AND(COUNTA(C632:C1350)=0,P$3=TRUE))),
ROUNDDOWN((AB$1-AC$1)*MAX(INDEX(T$4:T1350,MATCH(LARGE(FILTER(Y$4:Y1350,Y$4"&amp;":Y1350&lt;1000000000),1),Y$4:Y1350)),INDEX(F$4:F1350,MATCH(LARGE(FILTER(K$4:K1350,K$4:K1350&lt;1000000000),1),K$4:K1350)))),AND(K632&lt;1000000000,COUNTA(C632:C1350)&gt;0,P$3=FALSE),
ROUNDDOWN(INDEX(Y$4:Y1350,MATCH(LARGE(FILTER(W$4:W1350,W$4:W1350&lt;=I632),1),W$4:W1350"&amp;"))+(I632-LARGE(FILTER(W$4:W1350,W$4:W1350&lt;=I632),1))*INDEX(T$4:T1350,MATCH(LARGE(FILTER(W$4:W1350,W$4:W1350&lt;=I632),1),W$4:W1350))-K632),1,
ROUNDDOWN(Y632-INDEX(K$4:K1350,MATCH(LARGE(FILTER(I$4:I1350,I$4:I1350&lt;=W632),1),I$4:I1350))-(W632-LARGE(FILTER(I$4:I"&amp;"1350,I$4:I1350&lt;=W632),1))*INDEX(F$4:F1350,MATCH(LARGE(FILTER(I$4:I1350,I$4:I1350&lt;=W632),1),I$4:I1350))))"),"")</f>
        <v/>
      </c>
      <c r="N632" s="60" t="str">
        <f t="shared" si="8"/>
        <v/>
      </c>
      <c r="O632" s="61" t="str">
        <f t="shared" si="9"/>
        <v/>
      </c>
      <c r="P632" s="56" t="str">
        <f t="shared" si="10"/>
        <v/>
      </c>
      <c r="Q632" s="62"/>
      <c r="R632" s="10" t="str">
        <f>IFERROR(__xludf.DUMMYFUNCTION("IF(COUNTA(Q632:Q1350)=0,"""",IF(ISBLANK(Q632),FALSE,IF(NOT(COUNTIF($AA$24:$AA$34,SUBSTITUTE(Q632,""Sell_"",""""))),1,IF(REGEXMATCH(Q632,""Sell_""),IF(COUNTIF(Q$4:Q632,SUBSTITUTE(Q632,""Sell_"",""""))-COUNTIF(Q$4:Q631,Q632)&lt;1,1),FALSE))))"),"")</f>
        <v/>
      </c>
      <c r="S632" s="59" t="str">
        <f t="array" ref="S632">IF(COUNTA(Q632:Q1350)=0,"",SUM((COUNTIF(Q$4:Q632,Upgrades!$B$3:$B$13)-COUNTIF(Q$4:Q632,"Sell_"&amp;Upgrades!$B$3:$B$13))*Upgrades!$D$3:$D$13))</f>
        <v/>
      </c>
      <c r="T632" s="66" t="str">
        <f>IFERROR(__xludf.DUMMYFUNCTION("IF(COUNTA(Q632:Q1350)=0,"""",IF(REGEXMATCH(INDEX(FILTER(Q$4:Q632,Q$4:Q632&lt;&gt;""""),ROWS(FILTER(Q$4:Q632,Q$4:Q632&lt;&gt;""""))),""^Sell_""),INDEX(FILTER(T$4:T631,Q$4:Q631&lt;&gt;""""),ROWS(FILTER(Q$4:Q631,Q$4:Q631&lt;&gt;""""))),$AD$5+S632))"),"")</f>
        <v/>
      </c>
      <c r="U632" s="10" t="str">
        <f>IFERROR(__xludf.DUMMYFUNCTION("IF(COUNTA(Q632:Q1350)=0,"""",IF(Q632="""",0,IF(REGEXMATCH(Q632,""^Sell_""),-ROUNDDOWN(ROUNDUP(INDEX(Upgrades!$C$3:$C$13,MATCH(SUBSTITUTE(Q632,""Sell_"",""""),Upgrades!$B$3:$B$13,0))*1.15^(COUNTIF(Q$4:Q631,SUBSTITUTE(Q632,""Sell_"",""""))-COUNTIF(Q$4:Q631,"&amp;"""Sell_""&amp;SUBSTITUTE(Q632,""Sell_"",""""))))/2),ROUNDUP(INDEX(Upgrades!$C$3:$C$13,MATCH(Q632,Upgrades!$B$3:$B$13,0))*1.15^(COUNTIF(Q$4:Q631,Q632)-COUNTIF(Q$4:Q631,""Sell_""&amp;Q632))))))"),"")</f>
        <v/>
      </c>
      <c r="V632" s="10" t="str">
        <f t="shared" si="11"/>
        <v/>
      </c>
      <c r="W632" s="68" t="str">
        <f t="shared" si="12"/>
        <v/>
      </c>
      <c r="X632" s="59" t="str">
        <f t="shared" si="13"/>
        <v/>
      </c>
      <c r="Y632" s="69" t="str">
        <f t="shared" si="14"/>
        <v/>
      </c>
      <c r="Z632" s="11"/>
    </row>
    <row r="633">
      <c r="A633" s="8"/>
      <c r="B633" s="56" t="str">
        <f t="shared" si="2"/>
        <v/>
      </c>
      <c r="C633" s="57"/>
      <c r="D633" s="10" t="str">
        <f>IFERROR(__xludf.DUMMYFUNCTION("IF(COUNTA(C633:C1350)=0,"""",IF(ISBLANK(C633),FALSE,IF(NOT(COUNTIF($AA$24:$AA$34,SUBSTITUTE(C633,""Sell_"",""""))),1,IF(REGEXMATCH(C633,""Sell_""),IF(COUNTIF(C$4:C633,SUBSTITUTE(C633,""Sell_"",""""))-COUNTIF(C$4:C632,C633)&lt;1,1),FALSE))))"),"")</f>
        <v/>
      </c>
      <c r="E633" s="59" t="str">
        <f t="array" ref="E633">IF(COUNTA(C633:C1350)=0,"",SUM((COUNTIF(C$4:C633,Upgrades!$B$3:$B$13)-COUNTIF(C$4:C633,"Sell_"&amp;Upgrades!$B$3:$B$13))*Upgrades!$D$3:$D$13))</f>
        <v/>
      </c>
      <c r="F633" s="66" t="str">
        <f>IFERROR(__xludf.DUMMYFUNCTION("IF(COUNTA(C633:C1350)=0,"""",IF(REGEXMATCH(INDEX(FILTER(C$4:C633,C$4:C633&lt;&gt;""""),ROWS(FILTER(C$4:C633,C$4:C633&lt;&gt;""""))),""^Sell_""),INDEX(FILTER(F$4:F632,C$4:C632&lt;&gt;""""),ROWS(FILTER(C$4:C632,C$4:C632&lt;&gt;""""))),$AC$5+E633))"),"")</f>
        <v/>
      </c>
      <c r="G633" s="10" t="str">
        <f>IFERROR(__xludf.DUMMYFUNCTION("IF(COUNTA(C633:C1350)=0,"""",IF(C633="""",0,IF(REGEXMATCH(C633,""^Sell_""),-ROUNDDOWN(ROUNDUP(INDEX(Upgrades!$C$3:$C$13,MATCH(SUBSTITUTE(C633,""Sell_"",""""),Upgrades!$B$3:$B$13,0))*1.15^(COUNTIF(C$4:C632,SUBSTITUTE(C633,""Sell_"",""""))-COUNTIF(C$4:C632,"&amp;"""Sell_""&amp;SUBSTITUTE(C633,""Sell_"",""""))))/2),ROUNDUP(INDEX(Upgrades!$C$3:$C$13,MATCH(C633,Upgrades!$B$3:$B$13,0))*1.15^(COUNTIF(C$4:C632,C633)-COUNTIF(C$4:C632,""Sell_""&amp;C633))))))"),"")</f>
        <v/>
      </c>
      <c r="H633" s="10" t="str">
        <f t="shared" si="3"/>
        <v/>
      </c>
      <c r="I633" s="68" t="str">
        <f t="shared" si="4"/>
        <v/>
      </c>
      <c r="J633" s="59" t="str">
        <f t="shared" si="5"/>
        <v/>
      </c>
      <c r="K633" s="69" t="str">
        <f t="shared" si="6"/>
        <v/>
      </c>
      <c r="L633" s="60" t="str">
        <f t="shared" si="7"/>
        <v/>
      </c>
      <c r="M633" s="61" t="str">
        <f>IFERROR(__xludf.DUMMYFUNCTION("IFS(AND(COUNTA(C633:C1350)=0,COUNTA(Q633:Q1350)=0),"""",OR(AND(K633&gt;=1000000000,OR(Y633&gt;=1000000000,COUNTA(Q633:Q1350)=0)),OR(Y633&gt;=1000000000,AND(COUNTA(C633:C1350)=0,P$3=TRUE))),
ROUNDDOWN((AB$1-AC$1)*MAX(INDEX(T$4:T1350,MATCH(LARGE(FILTER(Y$4:Y1350,Y$4"&amp;":Y1350&lt;1000000000),1),Y$4:Y1350)),INDEX(F$4:F1350,MATCH(LARGE(FILTER(K$4:K1350,K$4:K1350&lt;1000000000),1),K$4:K1350)))),AND(K633&lt;1000000000,COUNTA(C633:C1350)&gt;0,P$3=FALSE),
ROUNDDOWN(INDEX(Y$4:Y1350,MATCH(LARGE(FILTER(W$4:W1350,W$4:W1350&lt;=I633),1),W$4:W1350"&amp;"))+(I633-LARGE(FILTER(W$4:W1350,W$4:W1350&lt;=I633),1))*INDEX(T$4:T1350,MATCH(LARGE(FILTER(W$4:W1350,W$4:W1350&lt;=I633),1),W$4:W1350))-K633),1,
ROUNDDOWN(Y633-INDEX(K$4:K1350,MATCH(LARGE(FILTER(I$4:I1350,I$4:I1350&lt;=W633),1),I$4:I1350))-(W633-LARGE(FILTER(I$4:I"&amp;"1350,I$4:I1350&lt;=W633),1))*INDEX(F$4:F1350,MATCH(LARGE(FILTER(I$4:I1350,I$4:I1350&lt;=W633),1),I$4:I1350))))"),"")</f>
        <v/>
      </c>
      <c r="N633" s="60" t="str">
        <f t="shared" si="8"/>
        <v/>
      </c>
      <c r="O633" s="61" t="str">
        <f t="shared" si="9"/>
        <v/>
      </c>
      <c r="P633" s="56" t="str">
        <f t="shared" si="10"/>
        <v/>
      </c>
      <c r="Q633" s="62"/>
      <c r="R633" s="10" t="str">
        <f>IFERROR(__xludf.DUMMYFUNCTION("IF(COUNTA(Q633:Q1350)=0,"""",IF(ISBLANK(Q633),FALSE,IF(NOT(COUNTIF($AA$24:$AA$34,SUBSTITUTE(Q633,""Sell_"",""""))),1,IF(REGEXMATCH(Q633,""Sell_""),IF(COUNTIF(Q$4:Q633,SUBSTITUTE(Q633,""Sell_"",""""))-COUNTIF(Q$4:Q632,Q633)&lt;1,1),FALSE))))"),"")</f>
        <v/>
      </c>
      <c r="S633" s="59" t="str">
        <f t="array" ref="S633">IF(COUNTA(Q633:Q1350)=0,"",SUM((COUNTIF(Q$4:Q633,Upgrades!$B$3:$B$13)-COUNTIF(Q$4:Q633,"Sell_"&amp;Upgrades!$B$3:$B$13))*Upgrades!$D$3:$D$13))</f>
        <v/>
      </c>
      <c r="T633" s="66" t="str">
        <f>IFERROR(__xludf.DUMMYFUNCTION("IF(COUNTA(Q633:Q1350)=0,"""",IF(REGEXMATCH(INDEX(FILTER(Q$4:Q633,Q$4:Q633&lt;&gt;""""),ROWS(FILTER(Q$4:Q633,Q$4:Q633&lt;&gt;""""))),""^Sell_""),INDEX(FILTER(T$4:T632,Q$4:Q632&lt;&gt;""""),ROWS(FILTER(Q$4:Q632,Q$4:Q632&lt;&gt;""""))),$AD$5+S633))"),"")</f>
        <v/>
      </c>
      <c r="U633" s="10" t="str">
        <f>IFERROR(__xludf.DUMMYFUNCTION("IF(COUNTA(Q633:Q1350)=0,"""",IF(Q633="""",0,IF(REGEXMATCH(Q633,""^Sell_""),-ROUNDDOWN(ROUNDUP(INDEX(Upgrades!$C$3:$C$13,MATCH(SUBSTITUTE(Q633,""Sell_"",""""),Upgrades!$B$3:$B$13,0))*1.15^(COUNTIF(Q$4:Q632,SUBSTITUTE(Q633,""Sell_"",""""))-COUNTIF(Q$4:Q632,"&amp;"""Sell_""&amp;SUBSTITUTE(Q633,""Sell_"",""""))))/2),ROUNDUP(INDEX(Upgrades!$C$3:$C$13,MATCH(Q633,Upgrades!$B$3:$B$13,0))*1.15^(COUNTIF(Q$4:Q632,Q633)-COUNTIF(Q$4:Q632,""Sell_""&amp;Q633))))))"),"")</f>
        <v/>
      </c>
      <c r="V633" s="10" t="str">
        <f t="shared" si="11"/>
        <v/>
      </c>
      <c r="W633" s="68" t="str">
        <f t="shared" si="12"/>
        <v/>
      </c>
      <c r="X633" s="59" t="str">
        <f t="shared" si="13"/>
        <v/>
      </c>
      <c r="Y633" s="69" t="str">
        <f t="shared" si="14"/>
        <v/>
      </c>
      <c r="Z633" s="11"/>
    </row>
    <row r="634">
      <c r="A634" s="8"/>
      <c r="B634" s="56" t="str">
        <f t="shared" si="2"/>
        <v/>
      </c>
      <c r="C634" s="57"/>
      <c r="D634" s="10" t="str">
        <f>IFERROR(__xludf.DUMMYFUNCTION("IF(COUNTA(C634:C1350)=0,"""",IF(ISBLANK(C634),FALSE,IF(NOT(COUNTIF($AA$24:$AA$34,SUBSTITUTE(C634,""Sell_"",""""))),1,IF(REGEXMATCH(C634,""Sell_""),IF(COUNTIF(C$4:C634,SUBSTITUTE(C634,""Sell_"",""""))-COUNTIF(C$4:C633,C634)&lt;1,1),FALSE))))"),"")</f>
        <v/>
      </c>
      <c r="E634" s="59" t="str">
        <f t="array" ref="E634">IF(COUNTA(C634:C1350)=0,"",SUM((COUNTIF(C$4:C634,Upgrades!$B$3:$B$13)-COUNTIF(C$4:C634,"Sell_"&amp;Upgrades!$B$3:$B$13))*Upgrades!$D$3:$D$13))</f>
        <v/>
      </c>
      <c r="F634" s="66" t="str">
        <f>IFERROR(__xludf.DUMMYFUNCTION("IF(COUNTA(C634:C1350)=0,"""",IF(REGEXMATCH(INDEX(FILTER(C$4:C634,C$4:C634&lt;&gt;""""),ROWS(FILTER(C$4:C634,C$4:C634&lt;&gt;""""))),""^Sell_""),INDEX(FILTER(F$4:F633,C$4:C633&lt;&gt;""""),ROWS(FILTER(C$4:C633,C$4:C633&lt;&gt;""""))),$AC$5+E634))"),"")</f>
        <v/>
      </c>
      <c r="G634" s="10" t="str">
        <f>IFERROR(__xludf.DUMMYFUNCTION("IF(COUNTA(C634:C1350)=0,"""",IF(C634="""",0,IF(REGEXMATCH(C634,""^Sell_""),-ROUNDDOWN(ROUNDUP(INDEX(Upgrades!$C$3:$C$13,MATCH(SUBSTITUTE(C634,""Sell_"",""""),Upgrades!$B$3:$B$13,0))*1.15^(COUNTIF(C$4:C633,SUBSTITUTE(C634,""Sell_"",""""))-COUNTIF(C$4:C633,"&amp;"""Sell_""&amp;SUBSTITUTE(C634,""Sell_"",""""))))/2),ROUNDUP(INDEX(Upgrades!$C$3:$C$13,MATCH(C634,Upgrades!$B$3:$B$13,0))*1.15^(COUNTIF(C$4:C633,C634)-COUNTIF(C$4:C633,""Sell_""&amp;C634))))))"),"")</f>
        <v/>
      </c>
      <c r="H634" s="10" t="str">
        <f t="shared" si="3"/>
        <v/>
      </c>
      <c r="I634" s="68" t="str">
        <f t="shared" si="4"/>
        <v/>
      </c>
      <c r="J634" s="59" t="str">
        <f t="shared" si="5"/>
        <v/>
      </c>
      <c r="K634" s="69" t="str">
        <f t="shared" si="6"/>
        <v/>
      </c>
      <c r="L634" s="60" t="str">
        <f t="shared" si="7"/>
        <v/>
      </c>
      <c r="M634" s="61" t="str">
        <f>IFERROR(__xludf.DUMMYFUNCTION("IFS(AND(COUNTA(C634:C1350)=0,COUNTA(Q634:Q1350)=0),"""",OR(AND(K634&gt;=1000000000,OR(Y634&gt;=1000000000,COUNTA(Q634:Q1350)=0)),OR(Y634&gt;=1000000000,AND(COUNTA(C634:C1350)=0,P$3=TRUE))),
ROUNDDOWN((AB$1-AC$1)*MAX(INDEX(T$4:T1350,MATCH(LARGE(FILTER(Y$4:Y1350,Y$4"&amp;":Y1350&lt;1000000000),1),Y$4:Y1350)),INDEX(F$4:F1350,MATCH(LARGE(FILTER(K$4:K1350,K$4:K1350&lt;1000000000),1),K$4:K1350)))),AND(K634&lt;1000000000,COUNTA(C634:C1350)&gt;0,P$3=FALSE),
ROUNDDOWN(INDEX(Y$4:Y1350,MATCH(LARGE(FILTER(W$4:W1350,W$4:W1350&lt;=I634),1),W$4:W1350"&amp;"))+(I634-LARGE(FILTER(W$4:W1350,W$4:W1350&lt;=I634),1))*INDEX(T$4:T1350,MATCH(LARGE(FILTER(W$4:W1350,W$4:W1350&lt;=I634),1),W$4:W1350))-K634),1,
ROUNDDOWN(Y634-INDEX(K$4:K1350,MATCH(LARGE(FILTER(I$4:I1350,I$4:I1350&lt;=W634),1),I$4:I1350))-(W634-LARGE(FILTER(I$4:I"&amp;"1350,I$4:I1350&lt;=W634),1))*INDEX(F$4:F1350,MATCH(LARGE(FILTER(I$4:I1350,I$4:I1350&lt;=W634),1),I$4:I1350))))"),"")</f>
        <v/>
      </c>
      <c r="N634" s="60" t="str">
        <f t="shared" si="8"/>
        <v/>
      </c>
      <c r="O634" s="61" t="str">
        <f t="shared" si="9"/>
        <v/>
      </c>
      <c r="P634" s="56" t="str">
        <f t="shared" si="10"/>
        <v/>
      </c>
      <c r="Q634" s="62"/>
      <c r="R634" s="10" t="str">
        <f>IFERROR(__xludf.DUMMYFUNCTION("IF(COUNTA(Q634:Q1350)=0,"""",IF(ISBLANK(Q634),FALSE,IF(NOT(COUNTIF($AA$24:$AA$34,SUBSTITUTE(Q634,""Sell_"",""""))),1,IF(REGEXMATCH(Q634,""Sell_""),IF(COUNTIF(Q$4:Q634,SUBSTITUTE(Q634,""Sell_"",""""))-COUNTIF(Q$4:Q633,Q634)&lt;1,1),FALSE))))"),"")</f>
        <v/>
      </c>
      <c r="S634" s="59" t="str">
        <f t="array" ref="S634">IF(COUNTA(Q634:Q1350)=0,"",SUM((COUNTIF(Q$4:Q634,Upgrades!$B$3:$B$13)-COUNTIF(Q$4:Q634,"Sell_"&amp;Upgrades!$B$3:$B$13))*Upgrades!$D$3:$D$13))</f>
        <v/>
      </c>
      <c r="T634" s="66" t="str">
        <f>IFERROR(__xludf.DUMMYFUNCTION("IF(COUNTA(Q634:Q1350)=0,"""",IF(REGEXMATCH(INDEX(FILTER(Q$4:Q634,Q$4:Q634&lt;&gt;""""),ROWS(FILTER(Q$4:Q634,Q$4:Q634&lt;&gt;""""))),""^Sell_""),INDEX(FILTER(T$4:T633,Q$4:Q633&lt;&gt;""""),ROWS(FILTER(Q$4:Q633,Q$4:Q633&lt;&gt;""""))),$AD$5+S634))"),"")</f>
        <v/>
      </c>
      <c r="U634" s="10" t="str">
        <f>IFERROR(__xludf.DUMMYFUNCTION("IF(COUNTA(Q634:Q1350)=0,"""",IF(Q634="""",0,IF(REGEXMATCH(Q634,""^Sell_""),-ROUNDDOWN(ROUNDUP(INDEX(Upgrades!$C$3:$C$13,MATCH(SUBSTITUTE(Q634,""Sell_"",""""),Upgrades!$B$3:$B$13,0))*1.15^(COUNTIF(Q$4:Q633,SUBSTITUTE(Q634,""Sell_"",""""))-COUNTIF(Q$4:Q633,"&amp;"""Sell_""&amp;SUBSTITUTE(Q634,""Sell_"",""""))))/2),ROUNDUP(INDEX(Upgrades!$C$3:$C$13,MATCH(Q634,Upgrades!$B$3:$B$13,0))*1.15^(COUNTIF(Q$4:Q633,Q634)-COUNTIF(Q$4:Q633,""Sell_""&amp;Q634))))))"),"")</f>
        <v/>
      </c>
      <c r="V634" s="10" t="str">
        <f t="shared" si="11"/>
        <v/>
      </c>
      <c r="W634" s="68" t="str">
        <f t="shared" si="12"/>
        <v/>
      </c>
      <c r="X634" s="59" t="str">
        <f t="shared" si="13"/>
        <v/>
      </c>
      <c r="Y634" s="69" t="str">
        <f t="shared" si="14"/>
        <v/>
      </c>
      <c r="Z634" s="11"/>
    </row>
    <row r="635">
      <c r="A635" s="8"/>
      <c r="B635" s="56" t="str">
        <f t="shared" si="2"/>
        <v/>
      </c>
      <c r="C635" s="57"/>
      <c r="D635" s="10" t="str">
        <f>IFERROR(__xludf.DUMMYFUNCTION("IF(COUNTA(C635:C1350)=0,"""",IF(ISBLANK(C635),FALSE,IF(NOT(COUNTIF($AA$24:$AA$34,SUBSTITUTE(C635,""Sell_"",""""))),1,IF(REGEXMATCH(C635,""Sell_""),IF(COUNTIF(C$4:C635,SUBSTITUTE(C635,""Sell_"",""""))-COUNTIF(C$4:C634,C635)&lt;1,1),FALSE))))"),"")</f>
        <v/>
      </c>
      <c r="E635" s="59" t="str">
        <f t="array" ref="E635">IF(COUNTA(C635:C1350)=0,"",SUM((COUNTIF(C$4:C635,Upgrades!$B$3:$B$13)-COUNTIF(C$4:C635,"Sell_"&amp;Upgrades!$B$3:$B$13))*Upgrades!$D$3:$D$13))</f>
        <v/>
      </c>
      <c r="F635" s="66" t="str">
        <f>IFERROR(__xludf.DUMMYFUNCTION("IF(COUNTA(C635:C1350)=0,"""",IF(REGEXMATCH(INDEX(FILTER(C$4:C635,C$4:C635&lt;&gt;""""),ROWS(FILTER(C$4:C635,C$4:C635&lt;&gt;""""))),""^Sell_""),INDEX(FILTER(F$4:F634,C$4:C634&lt;&gt;""""),ROWS(FILTER(C$4:C634,C$4:C634&lt;&gt;""""))),$AC$5+E635))"),"")</f>
        <v/>
      </c>
      <c r="G635" s="10" t="str">
        <f>IFERROR(__xludf.DUMMYFUNCTION("IF(COUNTA(C635:C1350)=0,"""",IF(C635="""",0,IF(REGEXMATCH(C635,""^Sell_""),-ROUNDDOWN(ROUNDUP(INDEX(Upgrades!$C$3:$C$13,MATCH(SUBSTITUTE(C635,""Sell_"",""""),Upgrades!$B$3:$B$13,0))*1.15^(COUNTIF(C$4:C634,SUBSTITUTE(C635,""Sell_"",""""))-COUNTIF(C$4:C634,"&amp;"""Sell_""&amp;SUBSTITUTE(C635,""Sell_"",""""))))/2),ROUNDUP(INDEX(Upgrades!$C$3:$C$13,MATCH(C635,Upgrades!$B$3:$B$13,0))*1.15^(COUNTIF(C$4:C634,C635)-COUNTIF(C$4:C634,""Sell_""&amp;C635))))))"),"")</f>
        <v/>
      </c>
      <c r="H635" s="10" t="str">
        <f t="shared" si="3"/>
        <v/>
      </c>
      <c r="I635" s="68" t="str">
        <f t="shared" si="4"/>
        <v/>
      </c>
      <c r="J635" s="59" t="str">
        <f t="shared" si="5"/>
        <v/>
      </c>
      <c r="K635" s="69" t="str">
        <f t="shared" si="6"/>
        <v/>
      </c>
      <c r="L635" s="60" t="str">
        <f t="shared" si="7"/>
        <v/>
      </c>
      <c r="M635" s="61" t="str">
        <f>IFERROR(__xludf.DUMMYFUNCTION("IFS(AND(COUNTA(C635:C1350)=0,COUNTA(Q635:Q1350)=0),"""",OR(AND(K635&gt;=1000000000,OR(Y635&gt;=1000000000,COUNTA(Q635:Q1350)=0)),OR(Y635&gt;=1000000000,AND(COUNTA(C635:C1350)=0,P$3=TRUE))),
ROUNDDOWN((AB$1-AC$1)*MAX(INDEX(T$4:T1350,MATCH(LARGE(FILTER(Y$4:Y1350,Y$4"&amp;":Y1350&lt;1000000000),1),Y$4:Y1350)),INDEX(F$4:F1350,MATCH(LARGE(FILTER(K$4:K1350,K$4:K1350&lt;1000000000),1),K$4:K1350)))),AND(K635&lt;1000000000,COUNTA(C635:C1350)&gt;0,P$3=FALSE),
ROUNDDOWN(INDEX(Y$4:Y1350,MATCH(LARGE(FILTER(W$4:W1350,W$4:W1350&lt;=I635),1),W$4:W1350"&amp;"))+(I635-LARGE(FILTER(W$4:W1350,W$4:W1350&lt;=I635),1))*INDEX(T$4:T1350,MATCH(LARGE(FILTER(W$4:W1350,W$4:W1350&lt;=I635),1),W$4:W1350))-K635),1,
ROUNDDOWN(Y635-INDEX(K$4:K1350,MATCH(LARGE(FILTER(I$4:I1350,I$4:I1350&lt;=W635),1),I$4:I1350))-(W635-LARGE(FILTER(I$4:I"&amp;"1350,I$4:I1350&lt;=W635),1))*INDEX(F$4:F1350,MATCH(LARGE(FILTER(I$4:I1350,I$4:I1350&lt;=W635),1),I$4:I1350))))"),"")</f>
        <v/>
      </c>
      <c r="N635" s="60" t="str">
        <f t="shared" si="8"/>
        <v/>
      </c>
      <c r="O635" s="61" t="str">
        <f t="shared" si="9"/>
        <v/>
      </c>
      <c r="P635" s="56" t="str">
        <f t="shared" si="10"/>
        <v/>
      </c>
      <c r="Q635" s="62"/>
      <c r="R635" s="10" t="str">
        <f>IFERROR(__xludf.DUMMYFUNCTION("IF(COUNTA(Q635:Q1350)=0,"""",IF(ISBLANK(Q635),FALSE,IF(NOT(COUNTIF($AA$24:$AA$34,SUBSTITUTE(Q635,""Sell_"",""""))),1,IF(REGEXMATCH(Q635,""Sell_""),IF(COUNTIF(Q$4:Q635,SUBSTITUTE(Q635,""Sell_"",""""))-COUNTIF(Q$4:Q634,Q635)&lt;1,1),FALSE))))"),"")</f>
        <v/>
      </c>
      <c r="S635" s="59" t="str">
        <f t="array" ref="S635">IF(COUNTA(Q635:Q1350)=0,"",SUM((COUNTIF(Q$4:Q635,Upgrades!$B$3:$B$13)-COUNTIF(Q$4:Q635,"Sell_"&amp;Upgrades!$B$3:$B$13))*Upgrades!$D$3:$D$13))</f>
        <v/>
      </c>
      <c r="T635" s="66" t="str">
        <f>IFERROR(__xludf.DUMMYFUNCTION("IF(COUNTA(Q635:Q1350)=0,"""",IF(REGEXMATCH(INDEX(FILTER(Q$4:Q635,Q$4:Q635&lt;&gt;""""),ROWS(FILTER(Q$4:Q635,Q$4:Q635&lt;&gt;""""))),""^Sell_""),INDEX(FILTER(T$4:T634,Q$4:Q634&lt;&gt;""""),ROWS(FILTER(Q$4:Q634,Q$4:Q634&lt;&gt;""""))),$AD$5+S635))"),"")</f>
        <v/>
      </c>
      <c r="U635" s="10" t="str">
        <f>IFERROR(__xludf.DUMMYFUNCTION("IF(COUNTA(Q635:Q1350)=0,"""",IF(Q635="""",0,IF(REGEXMATCH(Q635,""^Sell_""),-ROUNDDOWN(ROUNDUP(INDEX(Upgrades!$C$3:$C$13,MATCH(SUBSTITUTE(Q635,""Sell_"",""""),Upgrades!$B$3:$B$13,0))*1.15^(COUNTIF(Q$4:Q634,SUBSTITUTE(Q635,""Sell_"",""""))-COUNTIF(Q$4:Q634,"&amp;"""Sell_""&amp;SUBSTITUTE(Q635,""Sell_"",""""))))/2),ROUNDUP(INDEX(Upgrades!$C$3:$C$13,MATCH(Q635,Upgrades!$B$3:$B$13,0))*1.15^(COUNTIF(Q$4:Q634,Q635)-COUNTIF(Q$4:Q634,""Sell_""&amp;Q635))))))"),"")</f>
        <v/>
      </c>
      <c r="V635" s="10" t="str">
        <f t="shared" si="11"/>
        <v/>
      </c>
      <c r="W635" s="68" t="str">
        <f t="shared" si="12"/>
        <v/>
      </c>
      <c r="X635" s="59" t="str">
        <f t="shared" si="13"/>
        <v/>
      </c>
      <c r="Y635" s="69" t="str">
        <f t="shared" si="14"/>
        <v/>
      </c>
      <c r="Z635" s="11"/>
    </row>
    <row r="636">
      <c r="A636" s="8"/>
      <c r="B636" s="56" t="str">
        <f t="shared" si="2"/>
        <v/>
      </c>
      <c r="C636" s="57"/>
      <c r="D636" s="10" t="str">
        <f>IFERROR(__xludf.DUMMYFUNCTION("IF(COUNTA(C636:C1350)=0,"""",IF(ISBLANK(C636),FALSE,IF(NOT(COUNTIF($AA$24:$AA$34,SUBSTITUTE(C636,""Sell_"",""""))),1,IF(REGEXMATCH(C636,""Sell_""),IF(COUNTIF(C$4:C636,SUBSTITUTE(C636,""Sell_"",""""))-COUNTIF(C$4:C635,C636)&lt;1,1),FALSE))))"),"")</f>
        <v/>
      </c>
      <c r="E636" s="59" t="str">
        <f t="array" ref="E636">IF(COUNTA(C636:C1350)=0,"",SUM((COUNTIF(C$4:C636,Upgrades!$B$3:$B$13)-COUNTIF(C$4:C636,"Sell_"&amp;Upgrades!$B$3:$B$13))*Upgrades!$D$3:$D$13))</f>
        <v/>
      </c>
      <c r="F636" s="66" t="str">
        <f>IFERROR(__xludf.DUMMYFUNCTION("IF(COUNTA(C636:C1350)=0,"""",IF(REGEXMATCH(INDEX(FILTER(C$4:C636,C$4:C636&lt;&gt;""""),ROWS(FILTER(C$4:C636,C$4:C636&lt;&gt;""""))),""^Sell_""),INDEX(FILTER(F$4:F635,C$4:C635&lt;&gt;""""),ROWS(FILTER(C$4:C635,C$4:C635&lt;&gt;""""))),$AC$5+E636))"),"")</f>
        <v/>
      </c>
      <c r="G636" s="10" t="str">
        <f>IFERROR(__xludf.DUMMYFUNCTION("IF(COUNTA(C636:C1350)=0,"""",IF(C636="""",0,IF(REGEXMATCH(C636,""^Sell_""),-ROUNDDOWN(ROUNDUP(INDEX(Upgrades!$C$3:$C$13,MATCH(SUBSTITUTE(C636,""Sell_"",""""),Upgrades!$B$3:$B$13,0))*1.15^(COUNTIF(C$4:C635,SUBSTITUTE(C636,""Sell_"",""""))-COUNTIF(C$4:C635,"&amp;"""Sell_""&amp;SUBSTITUTE(C636,""Sell_"",""""))))/2),ROUNDUP(INDEX(Upgrades!$C$3:$C$13,MATCH(C636,Upgrades!$B$3:$B$13,0))*1.15^(COUNTIF(C$4:C635,C636)-COUNTIF(C$4:C635,""Sell_""&amp;C636))))))"),"")</f>
        <v/>
      </c>
      <c r="H636" s="10" t="str">
        <f t="shared" si="3"/>
        <v/>
      </c>
      <c r="I636" s="68" t="str">
        <f t="shared" si="4"/>
        <v/>
      </c>
      <c r="J636" s="59" t="str">
        <f t="shared" si="5"/>
        <v/>
      </c>
      <c r="K636" s="69" t="str">
        <f t="shared" si="6"/>
        <v/>
      </c>
      <c r="L636" s="60" t="str">
        <f t="shared" si="7"/>
        <v/>
      </c>
      <c r="M636" s="61" t="str">
        <f>IFERROR(__xludf.DUMMYFUNCTION("IFS(AND(COUNTA(C636:C1350)=0,COUNTA(Q636:Q1350)=0),"""",OR(AND(K636&gt;=1000000000,OR(Y636&gt;=1000000000,COUNTA(Q636:Q1350)=0)),OR(Y636&gt;=1000000000,AND(COUNTA(C636:C1350)=0,P$3=TRUE))),
ROUNDDOWN((AB$1-AC$1)*MAX(INDEX(T$4:T1350,MATCH(LARGE(FILTER(Y$4:Y1350,Y$4"&amp;":Y1350&lt;1000000000),1),Y$4:Y1350)),INDEX(F$4:F1350,MATCH(LARGE(FILTER(K$4:K1350,K$4:K1350&lt;1000000000),1),K$4:K1350)))),AND(K636&lt;1000000000,COUNTA(C636:C1350)&gt;0,P$3=FALSE),
ROUNDDOWN(INDEX(Y$4:Y1350,MATCH(LARGE(FILTER(W$4:W1350,W$4:W1350&lt;=I636),1),W$4:W1350"&amp;"))+(I636-LARGE(FILTER(W$4:W1350,W$4:W1350&lt;=I636),1))*INDEX(T$4:T1350,MATCH(LARGE(FILTER(W$4:W1350,W$4:W1350&lt;=I636),1),W$4:W1350))-K636),1,
ROUNDDOWN(Y636-INDEX(K$4:K1350,MATCH(LARGE(FILTER(I$4:I1350,I$4:I1350&lt;=W636),1),I$4:I1350))-(W636-LARGE(FILTER(I$4:I"&amp;"1350,I$4:I1350&lt;=W636),1))*INDEX(F$4:F1350,MATCH(LARGE(FILTER(I$4:I1350,I$4:I1350&lt;=W636),1),I$4:I1350))))"),"")</f>
        <v/>
      </c>
      <c r="N636" s="60" t="str">
        <f t="shared" si="8"/>
        <v/>
      </c>
      <c r="O636" s="61" t="str">
        <f t="shared" si="9"/>
        <v/>
      </c>
      <c r="P636" s="56" t="str">
        <f t="shared" si="10"/>
        <v/>
      </c>
      <c r="Q636" s="62"/>
      <c r="R636" s="10" t="str">
        <f>IFERROR(__xludf.DUMMYFUNCTION("IF(COUNTA(Q636:Q1350)=0,"""",IF(ISBLANK(Q636),FALSE,IF(NOT(COUNTIF($AA$24:$AA$34,SUBSTITUTE(Q636,""Sell_"",""""))),1,IF(REGEXMATCH(Q636,""Sell_""),IF(COUNTIF(Q$4:Q636,SUBSTITUTE(Q636,""Sell_"",""""))-COUNTIF(Q$4:Q635,Q636)&lt;1,1),FALSE))))"),"")</f>
        <v/>
      </c>
      <c r="S636" s="59" t="str">
        <f t="array" ref="S636">IF(COUNTA(Q636:Q1350)=0,"",SUM((COUNTIF(Q$4:Q636,Upgrades!$B$3:$B$13)-COUNTIF(Q$4:Q636,"Sell_"&amp;Upgrades!$B$3:$B$13))*Upgrades!$D$3:$D$13))</f>
        <v/>
      </c>
      <c r="T636" s="66" t="str">
        <f>IFERROR(__xludf.DUMMYFUNCTION("IF(COUNTA(Q636:Q1350)=0,"""",IF(REGEXMATCH(INDEX(FILTER(Q$4:Q636,Q$4:Q636&lt;&gt;""""),ROWS(FILTER(Q$4:Q636,Q$4:Q636&lt;&gt;""""))),""^Sell_""),INDEX(FILTER(T$4:T635,Q$4:Q635&lt;&gt;""""),ROWS(FILTER(Q$4:Q635,Q$4:Q635&lt;&gt;""""))),$AD$5+S636))"),"")</f>
        <v/>
      </c>
      <c r="U636" s="10" t="str">
        <f>IFERROR(__xludf.DUMMYFUNCTION("IF(COUNTA(Q636:Q1350)=0,"""",IF(Q636="""",0,IF(REGEXMATCH(Q636,""^Sell_""),-ROUNDDOWN(ROUNDUP(INDEX(Upgrades!$C$3:$C$13,MATCH(SUBSTITUTE(Q636,""Sell_"",""""),Upgrades!$B$3:$B$13,0))*1.15^(COUNTIF(Q$4:Q635,SUBSTITUTE(Q636,""Sell_"",""""))-COUNTIF(Q$4:Q635,"&amp;"""Sell_""&amp;SUBSTITUTE(Q636,""Sell_"",""""))))/2),ROUNDUP(INDEX(Upgrades!$C$3:$C$13,MATCH(Q636,Upgrades!$B$3:$B$13,0))*1.15^(COUNTIF(Q$4:Q635,Q636)-COUNTIF(Q$4:Q635,""Sell_""&amp;Q636))))))"),"")</f>
        <v/>
      </c>
      <c r="V636" s="10" t="str">
        <f t="shared" si="11"/>
        <v/>
      </c>
      <c r="W636" s="68" t="str">
        <f t="shared" si="12"/>
        <v/>
      </c>
      <c r="X636" s="59" t="str">
        <f t="shared" si="13"/>
        <v/>
      </c>
      <c r="Y636" s="69" t="str">
        <f t="shared" si="14"/>
        <v/>
      </c>
      <c r="Z636" s="11"/>
    </row>
    <row r="637">
      <c r="A637" s="8"/>
      <c r="B637" s="56" t="str">
        <f t="shared" si="2"/>
        <v/>
      </c>
      <c r="C637" s="57"/>
      <c r="D637" s="10" t="str">
        <f>IFERROR(__xludf.DUMMYFUNCTION("IF(COUNTA(C637:C1350)=0,"""",IF(ISBLANK(C637),FALSE,IF(NOT(COUNTIF($AA$24:$AA$34,SUBSTITUTE(C637,""Sell_"",""""))),1,IF(REGEXMATCH(C637,""Sell_""),IF(COUNTIF(C$4:C637,SUBSTITUTE(C637,""Sell_"",""""))-COUNTIF(C$4:C636,C637)&lt;1,1),FALSE))))"),"")</f>
        <v/>
      </c>
      <c r="E637" s="59" t="str">
        <f t="array" ref="E637">IF(COUNTA(C637:C1350)=0,"",SUM((COUNTIF(C$4:C637,Upgrades!$B$3:$B$13)-COUNTIF(C$4:C637,"Sell_"&amp;Upgrades!$B$3:$B$13))*Upgrades!$D$3:$D$13))</f>
        <v/>
      </c>
      <c r="F637" s="66" t="str">
        <f>IFERROR(__xludf.DUMMYFUNCTION("IF(COUNTA(C637:C1350)=0,"""",IF(REGEXMATCH(INDEX(FILTER(C$4:C637,C$4:C637&lt;&gt;""""),ROWS(FILTER(C$4:C637,C$4:C637&lt;&gt;""""))),""^Sell_""),INDEX(FILTER(F$4:F636,C$4:C636&lt;&gt;""""),ROWS(FILTER(C$4:C636,C$4:C636&lt;&gt;""""))),$AC$5+E637))"),"")</f>
        <v/>
      </c>
      <c r="G637" s="10" t="str">
        <f>IFERROR(__xludf.DUMMYFUNCTION("IF(COUNTA(C637:C1350)=0,"""",IF(C637="""",0,IF(REGEXMATCH(C637,""^Sell_""),-ROUNDDOWN(ROUNDUP(INDEX(Upgrades!$C$3:$C$13,MATCH(SUBSTITUTE(C637,""Sell_"",""""),Upgrades!$B$3:$B$13,0))*1.15^(COUNTIF(C$4:C636,SUBSTITUTE(C637,""Sell_"",""""))-COUNTIF(C$4:C636,"&amp;"""Sell_""&amp;SUBSTITUTE(C637,""Sell_"",""""))))/2),ROUNDUP(INDEX(Upgrades!$C$3:$C$13,MATCH(C637,Upgrades!$B$3:$B$13,0))*1.15^(COUNTIF(C$4:C636,C637)-COUNTIF(C$4:C636,""Sell_""&amp;C637))))))"),"")</f>
        <v/>
      </c>
      <c r="H637" s="10" t="str">
        <f t="shared" si="3"/>
        <v/>
      </c>
      <c r="I637" s="68" t="str">
        <f t="shared" si="4"/>
        <v/>
      </c>
      <c r="J637" s="59" t="str">
        <f t="shared" si="5"/>
        <v/>
      </c>
      <c r="K637" s="69" t="str">
        <f t="shared" si="6"/>
        <v/>
      </c>
      <c r="L637" s="60" t="str">
        <f t="shared" si="7"/>
        <v/>
      </c>
      <c r="M637" s="61" t="str">
        <f>IFERROR(__xludf.DUMMYFUNCTION("IFS(AND(COUNTA(C637:C1350)=0,COUNTA(Q637:Q1350)=0),"""",OR(AND(K637&gt;=1000000000,OR(Y637&gt;=1000000000,COUNTA(Q637:Q1350)=0)),OR(Y637&gt;=1000000000,AND(COUNTA(C637:C1350)=0,P$3=TRUE))),
ROUNDDOWN((AB$1-AC$1)*MAX(INDEX(T$4:T1350,MATCH(LARGE(FILTER(Y$4:Y1350,Y$4"&amp;":Y1350&lt;1000000000),1),Y$4:Y1350)),INDEX(F$4:F1350,MATCH(LARGE(FILTER(K$4:K1350,K$4:K1350&lt;1000000000),1),K$4:K1350)))),AND(K637&lt;1000000000,COUNTA(C637:C1350)&gt;0,P$3=FALSE),
ROUNDDOWN(INDEX(Y$4:Y1350,MATCH(LARGE(FILTER(W$4:W1350,W$4:W1350&lt;=I637),1),W$4:W1350"&amp;"))+(I637-LARGE(FILTER(W$4:W1350,W$4:W1350&lt;=I637),1))*INDEX(T$4:T1350,MATCH(LARGE(FILTER(W$4:W1350,W$4:W1350&lt;=I637),1),W$4:W1350))-K637),1,
ROUNDDOWN(Y637-INDEX(K$4:K1350,MATCH(LARGE(FILTER(I$4:I1350,I$4:I1350&lt;=W637),1),I$4:I1350))-(W637-LARGE(FILTER(I$4:I"&amp;"1350,I$4:I1350&lt;=W637),1))*INDEX(F$4:F1350,MATCH(LARGE(FILTER(I$4:I1350,I$4:I1350&lt;=W637),1),I$4:I1350))))"),"")</f>
        <v/>
      </c>
      <c r="N637" s="60" t="str">
        <f t="shared" si="8"/>
        <v/>
      </c>
      <c r="O637" s="61" t="str">
        <f t="shared" si="9"/>
        <v/>
      </c>
      <c r="P637" s="56" t="str">
        <f t="shared" si="10"/>
        <v/>
      </c>
      <c r="Q637" s="62"/>
      <c r="R637" s="10" t="str">
        <f>IFERROR(__xludf.DUMMYFUNCTION("IF(COUNTA(Q637:Q1350)=0,"""",IF(ISBLANK(Q637),FALSE,IF(NOT(COUNTIF($AA$24:$AA$34,SUBSTITUTE(Q637,""Sell_"",""""))),1,IF(REGEXMATCH(Q637,""Sell_""),IF(COUNTIF(Q$4:Q637,SUBSTITUTE(Q637,""Sell_"",""""))-COUNTIF(Q$4:Q636,Q637)&lt;1,1),FALSE))))"),"")</f>
        <v/>
      </c>
      <c r="S637" s="59" t="str">
        <f t="array" ref="S637">IF(COUNTA(Q637:Q1350)=0,"",SUM((COUNTIF(Q$4:Q637,Upgrades!$B$3:$B$13)-COUNTIF(Q$4:Q637,"Sell_"&amp;Upgrades!$B$3:$B$13))*Upgrades!$D$3:$D$13))</f>
        <v/>
      </c>
      <c r="T637" s="66" t="str">
        <f>IFERROR(__xludf.DUMMYFUNCTION("IF(COUNTA(Q637:Q1350)=0,"""",IF(REGEXMATCH(INDEX(FILTER(Q$4:Q637,Q$4:Q637&lt;&gt;""""),ROWS(FILTER(Q$4:Q637,Q$4:Q637&lt;&gt;""""))),""^Sell_""),INDEX(FILTER(T$4:T636,Q$4:Q636&lt;&gt;""""),ROWS(FILTER(Q$4:Q636,Q$4:Q636&lt;&gt;""""))),$AD$5+S637))"),"")</f>
        <v/>
      </c>
      <c r="U637" s="10" t="str">
        <f>IFERROR(__xludf.DUMMYFUNCTION("IF(COUNTA(Q637:Q1350)=0,"""",IF(Q637="""",0,IF(REGEXMATCH(Q637,""^Sell_""),-ROUNDDOWN(ROUNDUP(INDEX(Upgrades!$C$3:$C$13,MATCH(SUBSTITUTE(Q637,""Sell_"",""""),Upgrades!$B$3:$B$13,0))*1.15^(COUNTIF(Q$4:Q636,SUBSTITUTE(Q637,""Sell_"",""""))-COUNTIF(Q$4:Q636,"&amp;"""Sell_""&amp;SUBSTITUTE(Q637,""Sell_"",""""))))/2),ROUNDUP(INDEX(Upgrades!$C$3:$C$13,MATCH(Q637,Upgrades!$B$3:$B$13,0))*1.15^(COUNTIF(Q$4:Q636,Q637)-COUNTIF(Q$4:Q636,""Sell_""&amp;Q637))))))"),"")</f>
        <v/>
      </c>
      <c r="V637" s="10" t="str">
        <f t="shared" si="11"/>
        <v/>
      </c>
      <c r="W637" s="68" t="str">
        <f t="shared" si="12"/>
        <v/>
      </c>
      <c r="X637" s="59" t="str">
        <f t="shared" si="13"/>
        <v/>
      </c>
      <c r="Y637" s="69" t="str">
        <f t="shared" si="14"/>
        <v/>
      </c>
      <c r="Z637" s="11"/>
    </row>
    <row r="638">
      <c r="A638" s="8"/>
      <c r="B638" s="56" t="str">
        <f t="shared" si="2"/>
        <v/>
      </c>
      <c r="C638" s="57"/>
      <c r="D638" s="10" t="str">
        <f>IFERROR(__xludf.DUMMYFUNCTION("IF(COUNTA(C638:C1350)=0,"""",IF(ISBLANK(C638),FALSE,IF(NOT(COUNTIF($AA$24:$AA$34,SUBSTITUTE(C638,""Sell_"",""""))),1,IF(REGEXMATCH(C638,""Sell_""),IF(COUNTIF(C$4:C638,SUBSTITUTE(C638,""Sell_"",""""))-COUNTIF(C$4:C637,C638)&lt;1,1),FALSE))))"),"")</f>
        <v/>
      </c>
      <c r="E638" s="59" t="str">
        <f t="array" ref="E638">IF(COUNTA(C638:C1350)=0,"",SUM((COUNTIF(C$4:C638,Upgrades!$B$3:$B$13)-COUNTIF(C$4:C638,"Sell_"&amp;Upgrades!$B$3:$B$13))*Upgrades!$D$3:$D$13))</f>
        <v/>
      </c>
      <c r="F638" s="66" t="str">
        <f>IFERROR(__xludf.DUMMYFUNCTION("IF(COUNTA(C638:C1350)=0,"""",IF(REGEXMATCH(INDEX(FILTER(C$4:C638,C$4:C638&lt;&gt;""""),ROWS(FILTER(C$4:C638,C$4:C638&lt;&gt;""""))),""^Sell_""),INDEX(FILTER(F$4:F637,C$4:C637&lt;&gt;""""),ROWS(FILTER(C$4:C637,C$4:C637&lt;&gt;""""))),$AC$5+E638))"),"")</f>
        <v/>
      </c>
      <c r="G638" s="10" t="str">
        <f>IFERROR(__xludf.DUMMYFUNCTION("IF(COUNTA(C638:C1350)=0,"""",IF(C638="""",0,IF(REGEXMATCH(C638,""^Sell_""),-ROUNDDOWN(ROUNDUP(INDEX(Upgrades!$C$3:$C$13,MATCH(SUBSTITUTE(C638,""Sell_"",""""),Upgrades!$B$3:$B$13,0))*1.15^(COUNTIF(C$4:C637,SUBSTITUTE(C638,""Sell_"",""""))-COUNTIF(C$4:C637,"&amp;"""Sell_""&amp;SUBSTITUTE(C638,""Sell_"",""""))))/2),ROUNDUP(INDEX(Upgrades!$C$3:$C$13,MATCH(C638,Upgrades!$B$3:$B$13,0))*1.15^(COUNTIF(C$4:C637,C638)-COUNTIF(C$4:C637,""Sell_""&amp;C638))))))"),"")</f>
        <v/>
      </c>
      <c r="H638" s="10" t="str">
        <f t="shared" si="3"/>
        <v/>
      </c>
      <c r="I638" s="68" t="str">
        <f t="shared" si="4"/>
        <v/>
      </c>
      <c r="J638" s="59" t="str">
        <f t="shared" si="5"/>
        <v/>
      </c>
      <c r="K638" s="69" t="str">
        <f t="shared" si="6"/>
        <v/>
      </c>
      <c r="L638" s="60" t="str">
        <f t="shared" si="7"/>
        <v/>
      </c>
      <c r="M638" s="61" t="str">
        <f>IFERROR(__xludf.DUMMYFUNCTION("IFS(AND(COUNTA(C638:C1350)=0,COUNTA(Q638:Q1350)=0),"""",OR(AND(K638&gt;=1000000000,OR(Y638&gt;=1000000000,COUNTA(Q638:Q1350)=0)),OR(Y638&gt;=1000000000,AND(COUNTA(C638:C1350)=0,P$3=TRUE))),
ROUNDDOWN((AB$1-AC$1)*MAX(INDEX(T$4:T1350,MATCH(LARGE(FILTER(Y$4:Y1350,Y$4"&amp;":Y1350&lt;1000000000),1),Y$4:Y1350)),INDEX(F$4:F1350,MATCH(LARGE(FILTER(K$4:K1350,K$4:K1350&lt;1000000000),1),K$4:K1350)))),AND(K638&lt;1000000000,COUNTA(C638:C1350)&gt;0,P$3=FALSE),
ROUNDDOWN(INDEX(Y$4:Y1350,MATCH(LARGE(FILTER(W$4:W1350,W$4:W1350&lt;=I638),1),W$4:W1350"&amp;"))+(I638-LARGE(FILTER(W$4:W1350,W$4:W1350&lt;=I638),1))*INDEX(T$4:T1350,MATCH(LARGE(FILTER(W$4:W1350,W$4:W1350&lt;=I638),1),W$4:W1350))-K638),1,
ROUNDDOWN(Y638-INDEX(K$4:K1350,MATCH(LARGE(FILTER(I$4:I1350,I$4:I1350&lt;=W638),1),I$4:I1350))-(W638-LARGE(FILTER(I$4:I"&amp;"1350,I$4:I1350&lt;=W638),1))*INDEX(F$4:F1350,MATCH(LARGE(FILTER(I$4:I1350,I$4:I1350&lt;=W638),1),I$4:I1350))))"),"")</f>
        <v/>
      </c>
      <c r="N638" s="60" t="str">
        <f t="shared" si="8"/>
        <v/>
      </c>
      <c r="O638" s="61" t="str">
        <f t="shared" si="9"/>
        <v/>
      </c>
      <c r="P638" s="56" t="str">
        <f t="shared" si="10"/>
        <v/>
      </c>
      <c r="Q638" s="62"/>
      <c r="R638" s="10" t="str">
        <f>IFERROR(__xludf.DUMMYFUNCTION("IF(COUNTA(Q638:Q1350)=0,"""",IF(ISBLANK(Q638),FALSE,IF(NOT(COUNTIF($AA$24:$AA$34,SUBSTITUTE(Q638,""Sell_"",""""))),1,IF(REGEXMATCH(Q638,""Sell_""),IF(COUNTIF(Q$4:Q638,SUBSTITUTE(Q638,""Sell_"",""""))-COUNTIF(Q$4:Q637,Q638)&lt;1,1),FALSE))))"),"")</f>
        <v/>
      </c>
      <c r="S638" s="59" t="str">
        <f t="array" ref="S638">IF(COUNTA(Q638:Q1350)=0,"",SUM((COUNTIF(Q$4:Q638,Upgrades!$B$3:$B$13)-COUNTIF(Q$4:Q638,"Sell_"&amp;Upgrades!$B$3:$B$13))*Upgrades!$D$3:$D$13))</f>
        <v/>
      </c>
      <c r="T638" s="66" t="str">
        <f>IFERROR(__xludf.DUMMYFUNCTION("IF(COUNTA(Q638:Q1350)=0,"""",IF(REGEXMATCH(INDEX(FILTER(Q$4:Q638,Q$4:Q638&lt;&gt;""""),ROWS(FILTER(Q$4:Q638,Q$4:Q638&lt;&gt;""""))),""^Sell_""),INDEX(FILTER(T$4:T637,Q$4:Q637&lt;&gt;""""),ROWS(FILTER(Q$4:Q637,Q$4:Q637&lt;&gt;""""))),$AD$5+S638))"),"")</f>
        <v/>
      </c>
      <c r="U638" s="10" t="str">
        <f>IFERROR(__xludf.DUMMYFUNCTION("IF(COUNTA(Q638:Q1350)=0,"""",IF(Q638="""",0,IF(REGEXMATCH(Q638,""^Sell_""),-ROUNDDOWN(ROUNDUP(INDEX(Upgrades!$C$3:$C$13,MATCH(SUBSTITUTE(Q638,""Sell_"",""""),Upgrades!$B$3:$B$13,0))*1.15^(COUNTIF(Q$4:Q637,SUBSTITUTE(Q638,""Sell_"",""""))-COUNTIF(Q$4:Q637,"&amp;"""Sell_""&amp;SUBSTITUTE(Q638,""Sell_"",""""))))/2),ROUNDUP(INDEX(Upgrades!$C$3:$C$13,MATCH(Q638,Upgrades!$B$3:$B$13,0))*1.15^(COUNTIF(Q$4:Q637,Q638)-COUNTIF(Q$4:Q637,""Sell_""&amp;Q638))))))"),"")</f>
        <v/>
      </c>
      <c r="V638" s="10" t="str">
        <f t="shared" si="11"/>
        <v/>
      </c>
      <c r="W638" s="68" t="str">
        <f t="shared" si="12"/>
        <v/>
      </c>
      <c r="X638" s="59" t="str">
        <f t="shared" si="13"/>
        <v/>
      </c>
      <c r="Y638" s="69" t="str">
        <f t="shared" si="14"/>
        <v/>
      </c>
      <c r="Z638" s="11"/>
    </row>
    <row r="639">
      <c r="A639" s="8"/>
      <c r="B639" s="56" t="str">
        <f t="shared" si="2"/>
        <v/>
      </c>
      <c r="C639" s="57"/>
      <c r="D639" s="10" t="str">
        <f>IFERROR(__xludf.DUMMYFUNCTION("IF(COUNTA(C639:C1350)=0,"""",IF(ISBLANK(C639),FALSE,IF(NOT(COUNTIF($AA$24:$AA$34,SUBSTITUTE(C639,""Sell_"",""""))),1,IF(REGEXMATCH(C639,""Sell_""),IF(COUNTIF(C$4:C639,SUBSTITUTE(C639,""Sell_"",""""))-COUNTIF(C$4:C638,C639)&lt;1,1),FALSE))))"),"")</f>
        <v/>
      </c>
      <c r="E639" s="59" t="str">
        <f t="array" ref="E639">IF(COUNTA(C639:C1350)=0,"",SUM((COUNTIF(C$4:C639,Upgrades!$B$3:$B$13)-COUNTIF(C$4:C639,"Sell_"&amp;Upgrades!$B$3:$B$13))*Upgrades!$D$3:$D$13))</f>
        <v/>
      </c>
      <c r="F639" s="66" t="str">
        <f>IFERROR(__xludf.DUMMYFUNCTION("IF(COUNTA(C639:C1350)=0,"""",IF(REGEXMATCH(INDEX(FILTER(C$4:C639,C$4:C639&lt;&gt;""""),ROWS(FILTER(C$4:C639,C$4:C639&lt;&gt;""""))),""^Sell_""),INDEX(FILTER(F$4:F638,C$4:C638&lt;&gt;""""),ROWS(FILTER(C$4:C638,C$4:C638&lt;&gt;""""))),$AC$5+E639))"),"")</f>
        <v/>
      </c>
      <c r="G639" s="10" t="str">
        <f>IFERROR(__xludf.DUMMYFUNCTION("IF(COUNTA(C639:C1350)=0,"""",IF(C639="""",0,IF(REGEXMATCH(C639,""^Sell_""),-ROUNDDOWN(ROUNDUP(INDEX(Upgrades!$C$3:$C$13,MATCH(SUBSTITUTE(C639,""Sell_"",""""),Upgrades!$B$3:$B$13,0))*1.15^(COUNTIF(C$4:C638,SUBSTITUTE(C639,""Sell_"",""""))-COUNTIF(C$4:C638,"&amp;"""Sell_""&amp;SUBSTITUTE(C639,""Sell_"",""""))))/2),ROUNDUP(INDEX(Upgrades!$C$3:$C$13,MATCH(C639,Upgrades!$B$3:$B$13,0))*1.15^(COUNTIF(C$4:C638,C639)-COUNTIF(C$4:C638,""Sell_""&amp;C639))))))"),"")</f>
        <v/>
      </c>
      <c r="H639" s="10" t="str">
        <f t="shared" si="3"/>
        <v/>
      </c>
      <c r="I639" s="68" t="str">
        <f t="shared" si="4"/>
        <v/>
      </c>
      <c r="J639" s="59" t="str">
        <f t="shared" si="5"/>
        <v/>
      </c>
      <c r="K639" s="69" t="str">
        <f t="shared" si="6"/>
        <v/>
      </c>
      <c r="L639" s="60" t="str">
        <f t="shared" si="7"/>
        <v/>
      </c>
      <c r="M639" s="61" t="str">
        <f>IFERROR(__xludf.DUMMYFUNCTION("IFS(AND(COUNTA(C639:C1350)=0,COUNTA(Q639:Q1350)=0),"""",OR(AND(K639&gt;=1000000000,OR(Y639&gt;=1000000000,COUNTA(Q639:Q1350)=0)),OR(Y639&gt;=1000000000,AND(COUNTA(C639:C1350)=0,P$3=TRUE))),
ROUNDDOWN((AB$1-AC$1)*MAX(INDEX(T$4:T1350,MATCH(LARGE(FILTER(Y$4:Y1350,Y$4"&amp;":Y1350&lt;1000000000),1),Y$4:Y1350)),INDEX(F$4:F1350,MATCH(LARGE(FILTER(K$4:K1350,K$4:K1350&lt;1000000000),1),K$4:K1350)))),AND(K639&lt;1000000000,COUNTA(C639:C1350)&gt;0,P$3=FALSE),
ROUNDDOWN(INDEX(Y$4:Y1350,MATCH(LARGE(FILTER(W$4:W1350,W$4:W1350&lt;=I639),1),W$4:W1350"&amp;"))+(I639-LARGE(FILTER(W$4:W1350,W$4:W1350&lt;=I639),1))*INDEX(T$4:T1350,MATCH(LARGE(FILTER(W$4:W1350,W$4:W1350&lt;=I639),1),W$4:W1350))-K639),1,
ROUNDDOWN(Y639-INDEX(K$4:K1350,MATCH(LARGE(FILTER(I$4:I1350,I$4:I1350&lt;=W639),1),I$4:I1350))-(W639-LARGE(FILTER(I$4:I"&amp;"1350,I$4:I1350&lt;=W639),1))*INDEX(F$4:F1350,MATCH(LARGE(FILTER(I$4:I1350,I$4:I1350&lt;=W639),1),I$4:I1350))))"),"")</f>
        <v/>
      </c>
      <c r="N639" s="60" t="str">
        <f t="shared" si="8"/>
        <v/>
      </c>
      <c r="O639" s="61" t="str">
        <f t="shared" si="9"/>
        <v/>
      </c>
      <c r="P639" s="56" t="str">
        <f t="shared" si="10"/>
        <v/>
      </c>
      <c r="Q639" s="62"/>
      <c r="R639" s="10" t="str">
        <f>IFERROR(__xludf.DUMMYFUNCTION("IF(COUNTA(Q639:Q1350)=0,"""",IF(ISBLANK(Q639),FALSE,IF(NOT(COUNTIF($AA$24:$AA$34,SUBSTITUTE(Q639,""Sell_"",""""))),1,IF(REGEXMATCH(Q639,""Sell_""),IF(COUNTIF(Q$4:Q639,SUBSTITUTE(Q639,""Sell_"",""""))-COUNTIF(Q$4:Q638,Q639)&lt;1,1),FALSE))))"),"")</f>
        <v/>
      </c>
      <c r="S639" s="59" t="str">
        <f t="array" ref="S639">IF(COUNTA(Q639:Q1350)=0,"",SUM((COUNTIF(Q$4:Q639,Upgrades!$B$3:$B$13)-COUNTIF(Q$4:Q639,"Sell_"&amp;Upgrades!$B$3:$B$13))*Upgrades!$D$3:$D$13))</f>
        <v/>
      </c>
      <c r="T639" s="66" t="str">
        <f>IFERROR(__xludf.DUMMYFUNCTION("IF(COUNTA(Q639:Q1350)=0,"""",IF(REGEXMATCH(INDEX(FILTER(Q$4:Q639,Q$4:Q639&lt;&gt;""""),ROWS(FILTER(Q$4:Q639,Q$4:Q639&lt;&gt;""""))),""^Sell_""),INDEX(FILTER(T$4:T638,Q$4:Q638&lt;&gt;""""),ROWS(FILTER(Q$4:Q638,Q$4:Q638&lt;&gt;""""))),$AD$5+S639))"),"")</f>
        <v/>
      </c>
      <c r="U639" s="10" t="str">
        <f>IFERROR(__xludf.DUMMYFUNCTION("IF(COUNTA(Q639:Q1350)=0,"""",IF(Q639="""",0,IF(REGEXMATCH(Q639,""^Sell_""),-ROUNDDOWN(ROUNDUP(INDEX(Upgrades!$C$3:$C$13,MATCH(SUBSTITUTE(Q639,""Sell_"",""""),Upgrades!$B$3:$B$13,0))*1.15^(COUNTIF(Q$4:Q638,SUBSTITUTE(Q639,""Sell_"",""""))-COUNTIF(Q$4:Q638,"&amp;"""Sell_""&amp;SUBSTITUTE(Q639,""Sell_"",""""))))/2),ROUNDUP(INDEX(Upgrades!$C$3:$C$13,MATCH(Q639,Upgrades!$B$3:$B$13,0))*1.15^(COUNTIF(Q$4:Q638,Q639)-COUNTIF(Q$4:Q638,""Sell_""&amp;Q639))))))"),"")</f>
        <v/>
      </c>
      <c r="V639" s="10" t="str">
        <f t="shared" si="11"/>
        <v/>
      </c>
      <c r="W639" s="68" t="str">
        <f t="shared" si="12"/>
        <v/>
      </c>
      <c r="X639" s="59" t="str">
        <f t="shared" si="13"/>
        <v/>
      </c>
      <c r="Y639" s="69" t="str">
        <f t="shared" si="14"/>
        <v/>
      </c>
      <c r="Z639" s="11"/>
    </row>
    <row r="640">
      <c r="A640" s="8"/>
      <c r="B640" s="56" t="str">
        <f t="shared" si="2"/>
        <v/>
      </c>
      <c r="C640" s="57"/>
      <c r="D640" s="10" t="str">
        <f>IFERROR(__xludf.DUMMYFUNCTION("IF(COUNTA(C640:C1350)=0,"""",IF(ISBLANK(C640),FALSE,IF(NOT(COUNTIF($AA$24:$AA$34,SUBSTITUTE(C640,""Sell_"",""""))),1,IF(REGEXMATCH(C640,""Sell_""),IF(COUNTIF(C$4:C640,SUBSTITUTE(C640,""Sell_"",""""))-COUNTIF(C$4:C639,C640)&lt;1,1),FALSE))))"),"")</f>
        <v/>
      </c>
      <c r="E640" s="59" t="str">
        <f t="array" ref="E640">IF(COUNTA(C640:C1350)=0,"",SUM((COUNTIF(C$4:C640,Upgrades!$B$3:$B$13)-COUNTIF(C$4:C640,"Sell_"&amp;Upgrades!$B$3:$B$13))*Upgrades!$D$3:$D$13))</f>
        <v/>
      </c>
      <c r="F640" s="66" t="str">
        <f>IFERROR(__xludf.DUMMYFUNCTION("IF(COUNTA(C640:C1350)=0,"""",IF(REGEXMATCH(INDEX(FILTER(C$4:C640,C$4:C640&lt;&gt;""""),ROWS(FILTER(C$4:C640,C$4:C640&lt;&gt;""""))),""^Sell_""),INDEX(FILTER(F$4:F639,C$4:C639&lt;&gt;""""),ROWS(FILTER(C$4:C639,C$4:C639&lt;&gt;""""))),$AC$5+E640))"),"")</f>
        <v/>
      </c>
      <c r="G640" s="10" t="str">
        <f>IFERROR(__xludf.DUMMYFUNCTION("IF(COUNTA(C640:C1350)=0,"""",IF(C640="""",0,IF(REGEXMATCH(C640,""^Sell_""),-ROUNDDOWN(ROUNDUP(INDEX(Upgrades!$C$3:$C$13,MATCH(SUBSTITUTE(C640,""Sell_"",""""),Upgrades!$B$3:$B$13,0))*1.15^(COUNTIF(C$4:C639,SUBSTITUTE(C640,""Sell_"",""""))-COUNTIF(C$4:C639,"&amp;"""Sell_""&amp;SUBSTITUTE(C640,""Sell_"",""""))))/2),ROUNDUP(INDEX(Upgrades!$C$3:$C$13,MATCH(C640,Upgrades!$B$3:$B$13,0))*1.15^(COUNTIF(C$4:C639,C640)-COUNTIF(C$4:C639,""Sell_""&amp;C640))))))"),"")</f>
        <v/>
      </c>
      <c r="H640" s="10" t="str">
        <f t="shared" si="3"/>
        <v/>
      </c>
      <c r="I640" s="68" t="str">
        <f t="shared" si="4"/>
        <v/>
      </c>
      <c r="J640" s="59" t="str">
        <f t="shared" si="5"/>
        <v/>
      </c>
      <c r="K640" s="69" t="str">
        <f t="shared" si="6"/>
        <v/>
      </c>
      <c r="L640" s="60" t="str">
        <f t="shared" si="7"/>
        <v/>
      </c>
      <c r="M640" s="61" t="str">
        <f>IFERROR(__xludf.DUMMYFUNCTION("IFS(AND(COUNTA(C640:C1350)=0,COUNTA(Q640:Q1350)=0),"""",OR(AND(K640&gt;=1000000000,OR(Y640&gt;=1000000000,COUNTA(Q640:Q1350)=0)),OR(Y640&gt;=1000000000,AND(COUNTA(C640:C1350)=0,P$3=TRUE))),
ROUNDDOWN((AB$1-AC$1)*MAX(INDEX(T$4:T1350,MATCH(LARGE(FILTER(Y$4:Y1350,Y$4"&amp;":Y1350&lt;1000000000),1),Y$4:Y1350)),INDEX(F$4:F1350,MATCH(LARGE(FILTER(K$4:K1350,K$4:K1350&lt;1000000000),1),K$4:K1350)))),AND(K640&lt;1000000000,COUNTA(C640:C1350)&gt;0,P$3=FALSE),
ROUNDDOWN(INDEX(Y$4:Y1350,MATCH(LARGE(FILTER(W$4:W1350,W$4:W1350&lt;=I640),1),W$4:W1350"&amp;"))+(I640-LARGE(FILTER(W$4:W1350,W$4:W1350&lt;=I640),1))*INDEX(T$4:T1350,MATCH(LARGE(FILTER(W$4:W1350,W$4:W1350&lt;=I640),1),W$4:W1350))-K640),1,
ROUNDDOWN(Y640-INDEX(K$4:K1350,MATCH(LARGE(FILTER(I$4:I1350,I$4:I1350&lt;=W640),1),I$4:I1350))-(W640-LARGE(FILTER(I$4:I"&amp;"1350,I$4:I1350&lt;=W640),1))*INDEX(F$4:F1350,MATCH(LARGE(FILTER(I$4:I1350,I$4:I1350&lt;=W640),1),I$4:I1350))))"),"")</f>
        <v/>
      </c>
      <c r="N640" s="60" t="str">
        <f t="shared" si="8"/>
        <v/>
      </c>
      <c r="O640" s="61" t="str">
        <f t="shared" si="9"/>
        <v/>
      </c>
      <c r="P640" s="56" t="str">
        <f t="shared" si="10"/>
        <v/>
      </c>
      <c r="Q640" s="62"/>
      <c r="R640" s="10" t="str">
        <f>IFERROR(__xludf.DUMMYFUNCTION("IF(COUNTA(Q640:Q1350)=0,"""",IF(ISBLANK(Q640),FALSE,IF(NOT(COUNTIF($AA$24:$AA$34,SUBSTITUTE(Q640,""Sell_"",""""))),1,IF(REGEXMATCH(Q640,""Sell_""),IF(COUNTIF(Q$4:Q640,SUBSTITUTE(Q640,""Sell_"",""""))-COUNTIF(Q$4:Q639,Q640)&lt;1,1),FALSE))))"),"")</f>
        <v/>
      </c>
      <c r="S640" s="59" t="str">
        <f t="array" ref="S640">IF(COUNTA(Q640:Q1350)=0,"",SUM((COUNTIF(Q$4:Q640,Upgrades!$B$3:$B$13)-COUNTIF(Q$4:Q640,"Sell_"&amp;Upgrades!$B$3:$B$13))*Upgrades!$D$3:$D$13))</f>
        <v/>
      </c>
      <c r="T640" s="66" t="str">
        <f>IFERROR(__xludf.DUMMYFUNCTION("IF(COUNTA(Q640:Q1350)=0,"""",IF(REGEXMATCH(INDEX(FILTER(Q$4:Q640,Q$4:Q640&lt;&gt;""""),ROWS(FILTER(Q$4:Q640,Q$4:Q640&lt;&gt;""""))),""^Sell_""),INDEX(FILTER(T$4:T639,Q$4:Q639&lt;&gt;""""),ROWS(FILTER(Q$4:Q639,Q$4:Q639&lt;&gt;""""))),$AD$5+S640))"),"")</f>
        <v/>
      </c>
      <c r="U640" s="10" t="str">
        <f>IFERROR(__xludf.DUMMYFUNCTION("IF(COUNTA(Q640:Q1350)=0,"""",IF(Q640="""",0,IF(REGEXMATCH(Q640,""^Sell_""),-ROUNDDOWN(ROUNDUP(INDEX(Upgrades!$C$3:$C$13,MATCH(SUBSTITUTE(Q640,""Sell_"",""""),Upgrades!$B$3:$B$13,0))*1.15^(COUNTIF(Q$4:Q639,SUBSTITUTE(Q640,""Sell_"",""""))-COUNTIF(Q$4:Q639,"&amp;"""Sell_""&amp;SUBSTITUTE(Q640,""Sell_"",""""))))/2),ROUNDUP(INDEX(Upgrades!$C$3:$C$13,MATCH(Q640,Upgrades!$B$3:$B$13,0))*1.15^(COUNTIF(Q$4:Q639,Q640)-COUNTIF(Q$4:Q639,""Sell_""&amp;Q640))))))"),"")</f>
        <v/>
      </c>
      <c r="V640" s="10" t="str">
        <f t="shared" si="11"/>
        <v/>
      </c>
      <c r="W640" s="68" t="str">
        <f t="shared" si="12"/>
        <v/>
      </c>
      <c r="X640" s="59" t="str">
        <f t="shared" si="13"/>
        <v/>
      </c>
      <c r="Y640" s="69" t="str">
        <f t="shared" si="14"/>
        <v/>
      </c>
      <c r="Z640" s="11"/>
    </row>
    <row r="641">
      <c r="A641" s="8"/>
      <c r="B641" s="56" t="str">
        <f t="shared" si="2"/>
        <v/>
      </c>
      <c r="C641" s="57"/>
      <c r="D641" s="10" t="str">
        <f>IFERROR(__xludf.DUMMYFUNCTION("IF(COUNTA(C641:C1350)=0,"""",IF(ISBLANK(C641),FALSE,IF(NOT(COUNTIF($AA$24:$AA$34,SUBSTITUTE(C641,""Sell_"",""""))),1,IF(REGEXMATCH(C641,""Sell_""),IF(COUNTIF(C$4:C641,SUBSTITUTE(C641,""Sell_"",""""))-COUNTIF(C$4:C640,C641)&lt;1,1),FALSE))))"),"")</f>
        <v/>
      </c>
      <c r="E641" s="59" t="str">
        <f t="array" ref="E641">IF(COUNTA(C641:C1350)=0,"",SUM((COUNTIF(C$4:C641,Upgrades!$B$3:$B$13)-COUNTIF(C$4:C641,"Sell_"&amp;Upgrades!$B$3:$B$13))*Upgrades!$D$3:$D$13))</f>
        <v/>
      </c>
      <c r="F641" s="66" t="str">
        <f>IFERROR(__xludf.DUMMYFUNCTION("IF(COUNTA(C641:C1350)=0,"""",IF(REGEXMATCH(INDEX(FILTER(C$4:C641,C$4:C641&lt;&gt;""""),ROWS(FILTER(C$4:C641,C$4:C641&lt;&gt;""""))),""^Sell_""),INDEX(FILTER(F$4:F640,C$4:C640&lt;&gt;""""),ROWS(FILTER(C$4:C640,C$4:C640&lt;&gt;""""))),$AC$5+E641))"),"")</f>
        <v/>
      </c>
      <c r="G641" s="10" t="str">
        <f>IFERROR(__xludf.DUMMYFUNCTION("IF(COUNTA(C641:C1350)=0,"""",IF(C641="""",0,IF(REGEXMATCH(C641,""^Sell_""),-ROUNDDOWN(ROUNDUP(INDEX(Upgrades!$C$3:$C$13,MATCH(SUBSTITUTE(C641,""Sell_"",""""),Upgrades!$B$3:$B$13,0))*1.15^(COUNTIF(C$4:C640,SUBSTITUTE(C641,""Sell_"",""""))-COUNTIF(C$4:C640,"&amp;"""Sell_""&amp;SUBSTITUTE(C641,""Sell_"",""""))))/2),ROUNDUP(INDEX(Upgrades!$C$3:$C$13,MATCH(C641,Upgrades!$B$3:$B$13,0))*1.15^(COUNTIF(C$4:C640,C641)-COUNTIF(C$4:C640,""Sell_""&amp;C641))))))"),"")</f>
        <v/>
      </c>
      <c r="H641" s="10" t="str">
        <f t="shared" si="3"/>
        <v/>
      </c>
      <c r="I641" s="68" t="str">
        <f t="shared" si="4"/>
        <v/>
      </c>
      <c r="J641" s="59" t="str">
        <f t="shared" si="5"/>
        <v/>
      </c>
      <c r="K641" s="69" t="str">
        <f t="shared" si="6"/>
        <v/>
      </c>
      <c r="L641" s="60" t="str">
        <f t="shared" si="7"/>
        <v/>
      </c>
      <c r="M641" s="61" t="str">
        <f>IFERROR(__xludf.DUMMYFUNCTION("IFS(AND(COUNTA(C641:C1350)=0,COUNTA(Q641:Q1350)=0),"""",OR(AND(K641&gt;=1000000000,OR(Y641&gt;=1000000000,COUNTA(Q641:Q1350)=0)),OR(Y641&gt;=1000000000,AND(COUNTA(C641:C1350)=0,P$3=TRUE))),
ROUNDDOWN((AB$1-AC$1)*MAX(INDEX(T$4:T1350,MATCH(LARGE(FILTER(Y$4:Y1350,Y$4"&amp;":Y1350&lt;1000000000),1),Y$4:Y1350)),INDEX(F$4:F1350,MATCH(LARGE(FILTER(K$4:K1350,K$4:K1350&lt;1000000000),1),K$4:K1350)))),AND(K641&lt;1000000000,COUNTA(C641:C1350)&gt;0,P$3=FALSE),
ROUNDDOWN(INDEX(Y$4:Y1350,MATCH(LARGE(FILTER(W$4:W1350,W$4:W1350&lt;=I641),1),W$4:W1350"&amp;"))+(I641-LARGE(FILTER(W$4:W1350,W$4:W1350&lt;=I641),1))*INDEX(T$4:T1350,MATCH(LARGE(FILTER(W$4:W1350,W$4:W1350&lt;=I641),1),W$4:W1350))-K641),1,
ROUNDDOWN(Y641-INDEX(K$4:K1350,MATCH(LARGE(FILTER(I$4:I1350,I$4:I1350&lt;=W641),1),I$4:I1350))-(W641-LARGE(FILTER(I$4:I"&amp;"1350,I$4:I1350&lt;=W641),1))*INDEX(F$4:F1350,MATCH(LARGE(FILTER(I$4:I1350,I$4:I1350&lt;=W641),1),I$4:I1350))))"),"")</f>
        <v/>
      </c>
      <c r="N641" s="60" t="str">
        <f t="shared" si="8"/>
        <v/>
      </c>
      <c r="O641" s="61" t="str">
        <f t="shared" si="9"/>
        <v/>
      </c>
      <c r="P641" s="56" t="str">
        <f t="shared" si="10"/>
        <v/>
      </c>
      <c r="Q641" s="62"/>
      <c r="R641" s="10" t="str">
        <f>IFERROR(__xludf.DUMMYFUNCTION("IF(COUNTA(Q641:Q1350)=0,"""",IF(ISBLANK(Q641),FALSE,IF(NOT(COUNTIF($AA$24:$AA$34,SUBSTITUTE(Q641,""Sell_"",""""))),1,IF(REGEXMATCH(Q641,""Sell_""),IF(COUNTIF(Q$4:Q641,SUBSTITUTE(Q641,""Sell_"",""""))-COUNTIF(Q$4:Q640,Q641)&lt;1,1),FALSE))))"),"")</f>
        <v/>
      </c>
      <c r="S641" s="59" t="str">
        <f t="array" ref="S641">IF(COUNTA(Q641:Q1350)=0,"",SUM((COUNTIF(Q$4:Q641,Upgrades!$B$3:$B$13)-COUNTIF(Q$4:Q641,"Sell_"&amp;Upgrades!$B$3:$B$13))*Upgrades!$D$3:$D$13))</f>
        <v/>
      </c>
      <c r="T641" s="66" t="str">
        <f>IFERROR(__xludf.DUMMYFUNCTION("IF(COUNTA(Q641:Q1350)=0,"""",IF(REGEXMATCH(INDEX(FILTER(Q$4:Q641,Q$4:Q641&lt;&gt;""""),ROWS(FILTER(Q$4:Q641,Q$4:Q641&lt;&gt;""""))),""^Sell_""),INDEX(FILTER(T$4:T640,Q$4:Q640&lt;&gt;""""),ROWS(FILTER(Q$4:Q640,Q$4:Q640&lt;&gt;""""))),$AD$5+S641))"),"")</f>
        <v/>
      </c>
      <c r="U641" s="10" t="str">
        <f>IFERROR(__xludf.DUMMYFUNCTION("IF(COUNTA(Q641:Q1350)=0,"""",IF(Q641="""",0,IF(REGEXMATCH(Q641,""^Sell_""),-ROUNDDOWN(ROUNDUP(INDEX(Upgrades!$C$3:$C$13,MATCH(SUBSTITUTE(Q641,""Sell_"",""""),Upgrades!$B$3:$B$13,0))*1.15^(COUNTIF(Q$4:Q640,SUBSTITUTE(Q641,""Sell_"",""""))-COUNTIF(Q$4:Q640,"&amp;"""Sell_""&amp;SUBSTITUTE(Q641,""Sell_"",""""))))/2),ROUNDUP(INDEX(Upgrades!$C$3:$C$13,MATCH(Q641,Upgrades!$B$3:$B$13,0))*1.15^(COUNTIF(Q$4:Q640,Q641)-COUNTIF(Q$4:Q640,""Sell_""&amp;Q641))))))"),"")</f>
        <v/>
      </c>
      <c r="V641" s="10" t="str">
        <f t="shared" si="11"/>
        <v/>
      </c>
      <c r="W641" s="68" t="str">
        <f t="shared" si="12"/>
        <v/>
      </c>
      <c r="X641" s="59" t="str">
        <f t="shared" si="13"/>
        <v/>
      </c>
      <c r="Y641" s="69" t="str">
        <f t="shared" si="14"/>
        <v/>
      </c>
      <c r="Z641" s="11"/>
    </row>
    <row r="642">
      <c r="A642" s="8"/>
      <c r="B642" s="56" t="str">
        <f t="shared" si="2"/>
        <v/>
      </c>
      <c r="C642" s="57"/>
      <c r="D642" s="10" t="str">
        <f>IFERROR(__xludf.DUMMYFUNCTION("IF(COUNTA(C642:C1350)=0,"""",IF(ISBLANK(C642),FALSE,IF(NOT(COUNTIF($AA$24:$AA$34,SUBSTITUTE(C642,""Sell_"",""""))),1,IF(REGEXMATCH(C642,""Sell_""),IF(COUNTIF(C$4:C642,SUBSTITUTE(C642,""Sell_"",""""))-COUNTIF(C$4:C641,C642)&lt;1,1),FALSE))))"),"")</f>
        <v/>
      </c>
      <c r="E642" s="59" t="str">
        <f t="array" ref="E642">IF(COUNTA(C642:C1350)=0,"",SUM((COUNTIF(C$4:C642,Upgrades!$B$3:$B$13)-COUNTIF(C$4:C642,"Sell_"&amp;Upgrades!$B$3:$B$13))*Upgrades!$D$3:$D$13))</f>
        <v/>
      </c>
      <c r="F642" s="66" t="str">
        <f>IFERROR(__xludf.DUMMYFUNCTION("IF(COUNTA(C642:C1350)=0,"""",IF(REGEXMATCH(INDEX(FILTER(C$4:C642,C$4:C642&lt;&gt;""""),ROWS(FILTER(C$4:C642,C$4:C642&lt;&gt;""""))),""^Sell_""),INDEX(FILTER(F$4:F641,C$4:C641&lt;&gt;""""),ROWS(FILTER(C$4:C641,C$4:C641&lt;&gt;""""))),$AC$5+E642))"),"")</f>
        <v/>
      </c>
      <c r="G642" s="10" t="str">
        <f>IFERROR(__xludf.DUMMYFUNCTION("IF(COUNTA(C642:C1350)=0,"""",IF(C642="""",0,IF(REGEXMATCH(C642,""^Sell_""),-ROUNDDOWN(ROUNDUP(INDEX(Upgrades!$C$3:$C$13,MATCH(SUBSTITUTE(C642,""Sell_"",""""),Upgrades!$B$3:$B$13,0))*1.15^(COUNTIF(C$4:C641,SUBSTITUTE(C642,""Sell_"",""""))-COUNTIF(C$4:C641,"&amp;"""Sell_""&amp;SUBSTITUTE(C642,""Sell_"",""""))))/2),ROUNDUP(INDEX(Upgrades!$C$3:$C$13,MATCH(C642,Upgrades!$B$3:$B$13,0))*1.15^(COUNTIF(C$4:C641,C642)-COUNTIF(C$4:C641,""Sell_""&amp;C642))))))"),"")</f>
        <v/>
      </c>
      <c r="H642" s="10" t="str">
        <f t="shared" si="3"/>
        <v/>
      </c>
      <c r="I642" s="68" t="str">
        <f t="shared" si="4"/>
        <v/>
      </c>
      <c r="J642" s="59" t="str">
        <f t="shared" si="5"/>
        <v/>
      </c>
      <c r="K642" s="69" t="str">
        <f t="shared" si="6"/>
        <v/>
      </c>
      <c r="L642" s="60" t="str">
        <f t="shared" si="7"/>
        <v/>
      </c>
      <c r="M642" s="61" t="str">
        <f>IFERROR(__xludf.DUMMYFUNCTION("IFS(AND(COUNTA(C642:C1350)=0,COUNTA(Q642:Q1350)=0),"""",OR(AND(K642&gt;=1000000000,OR(Y642&gt;=1000000000,COUNTA(Q642:Q1350)=0)),OR(Y642&gt;=1000000000,AND(COUNTA(C642:C1350)=0,P$3=TRUE))),
ROUNDDOWN((AB$1-AC$1)*MAX(INDEX(T$4:T1350,MATCH(LARGE(FILTER(Y$4:Y1350,Y$4"&amp;":Y1350&lt;1000000000),1),Y$4:Y1350)),INDEX(F$4:F1350,MATCH(LARGE(FILTER(K$4:K1350,K$4:K1350&lt;1000000000),1),K$4:K1350)))),AND(K642&lt;1000000000,COUNTA(C642:C1350)&gt;0,P$3=FALSE),
ROUNDDOWN(INDEX(Y$4:Y1350,MATCH(LARGE(FILTER(W$4:W1350,W$4:W1350&lt;=I642),1),W$4:W1350"&amp;"))+(I642-LARGE(FILTER(W$4:W1350,W$4:W1350&lt;=I642),1))*INDEX(T$4:T1350,MATCH(LARGE(FILTER(W$4:W1350,W$4:W1350&lt;=I642),1),W$4:W1350))-K642),1,
ROUNDDOWN(Y642-INDEX(K$4:K1350,MATCH(LARGE(FILTER(I$4:I1350,I$4:I1350&lt;=W642),1),I$4:I1350))-(W642-LARGE(FILTER(I$4:I"&amp;"1350,I$4:I1350&lt;=W642),1))*INDEX(F$4:F1350,MATCH(LARGE(FILTER(I$4:I1350,I$4:I1350&lt;=W642),1),I$4:I1350))))"),"")</f>
        <v/>
      </c>
      <c r="N642" s="60" t="str">
        <f t="shared" si="8"/>
        <v/>
      </c>
      <c r="O642" s="61" t="str">
        <f t="shared" si="9"/>
        <v/>
      </c>
      <c r="P642" s="56" t="str">
        <f t="shared" si="10"/>
        <v/>
      </c>
      <c r="Q642" s="62"/>
      <c r="R642" s="10" t="str">
        <f>IFERROR(__xludf.DUMMYFUNCTION("IF(COUNTA(Q642:Q1350)=0,"""",IF(ISBLANK(Q642),FALSE,IF(NOT(COUNTIF($AA$24:$AA$34,SUBSTITUTE(Q642,""Sell_"",""""))),1,IF(REGEXMATCH(Q642,""Sell_""),IF(COUNTIF(Q$4:Q642,SUBSTITUTE(Q642,""Sell_"",""""))-COUNTIF(Q$4:Q641,Q642)&lt;1,1),FALSE))))"),"")</f>
        <v/>
      </c>
      <c r="S642" s="59" t="str">
        <f t="array" ref="S642">IF(COUNTA(Q642:Q1350)=0,"",SUM((COUNTIF(Q$4:Q642,Upgrades!$B$3:$B$13)-COUNTIF(Q$4:Q642,"Sell_"&amp;Upgrades!$B$3:$B$13))*Upgrades!$D$3:$D$13))</f>
        <v/>
      </c>
      <c r="T642" s="66" t="str">
        <f>IFERROR(__xludf.DUMMYFUNCTION("IF(COUNTA(Q642:Q1350)=0,"""",IF(REGEXMATCH(INDEX(FILTER(Q$4:Q642,Q$4:Q642&lt;&gt;""""),ROWS(FILTER(Q$4:Q642,Q$4:Q642&lt;&gt;""""))),""^Sell_""),INDEX(FILTER(T$4:T641,Q$4:Q641&lt;&gt;""""),ROWS(FILTER(Q$4:Q641,Q$4:Q641&lt;&gt;""""))),$AD$5+S642))"),"")</f>
        <v/>
      </c>
      <c r="U642" s="10" t="str">
        <f>IFERROR(__xludf.DUMMYFUNCTION("IF(COUNTA(Q642:Q1350)=0,"""",IF(Q642="""",0,IF(REGEXMATCH(Q642,""^Sell_""),-ROUNDDOWN(ROUNDUP(INDEX(Upgrades!$C$3:$C$13,MATCH(SUBSTITUTE(Q642,""Sell_"",""""),Upgrades!$B$3:$B$13,0))*1.15^(COUNTIF(Q$4:Q641,SUBSTITUTE(Q642,""Sell_"",""""))-COUNTIF(Q$4:Q641,"&amp;"""Sell_""&amp;SUBSTITUTE(Q642,""Sell_"",""""))))/2),ROUNDUP(INDEX(Upgrades!$C$3:$C$13,MATCH(Q642,Upgrades!$B$3:$B$13,0))*1.15^(COUNTIF(Q$4:Q641,Q642)-COUNTIF(Q$4:Q641,""Sell_""&amp;Q642))))))"),"")</f>
        <v/>
      </c>
      <c r="V642" s="10" t="str">
        <f t="shared" si="11"/>
        <v/>
      </c>
      <c r="W642" s="68" t="str">
        <f t="shared" si="12"/>
        <v/>
      </c>
      <c r="X642" s="59" t="str">
        <f t="shared" si="13"/>
        <v/>
      </c>
      <c r="Y642" s="69" t="str">
        <f t="shared" si="14"/>
        <v/>
      </c>
      <c r="Z642" s="11"/>
    </row>
    <row r="643">
      <c r="A643" s="8"/>
      <c r="B643" s="56" t="str">
        <f t="shared" si="2"/>
        <v/>
      </c>
      <c r="C643" s="57"/>
      <c r="D643" s="10" t="str">
        <f>IFERROR(__xludf.DUMMYFUNCTION("IF(COUNTA(C643:C1350)=0,"""",IF(ISBLANK(C643),FALSE,IF(NOT(COUNTIF($AA$24:$AA$34,SUBSTITUTE(C643,""Sell_"",""""))),1,IF(REGEXMATCH(C643,""Sell_""),IF(COUNTIF(C$4:C643,SUBSTITUTE(C643,""Sell_"",""""))-COUNTIF(C$4:C642,C643)&lt;1,1),FALSE))))"),"")</f>
        <v/>
      </c>
      <c r="E643" s="59" t="str">
        <f t="array" ref="E643">IF(COUNTA(C643:C1350)=0,"",SUM((COUNTIF(C$4:C643,Upgrades!$B$3:$B$13)-COUNTIF(C$4:C643,"Sell_"&amp;Upgrades!$B$3:$B$13))*Upgrades!$D$3:$D$13))</f>
        <v/>
      </c>
      <c r="F643" s="66" t="str">
        <f>IFERROR(__xludf.DUMMYFUNCTION("IF(COUNTA(C643:C1350)=0,"""",IF(REGEXMATCH(INDEX(FILTER(C$4:C643,C$4:C643&lt;&gt;""""),ROWS(FILTER(C$4:C643,C$4:C643&lt;&gt;""""))),""^Sell_""),INDEX(FILTER(F$4:F642,C$4:C642&lt;&gt;""""),ROWS(FILTER(C$4:C642,C$4:C642&lt;&gt;""""))),$AC$5+E643))"),"")</f>
        <v/>
      </c>
      <c r="G643" s="10" t="str">
        <f>IFERROR(__xludf.DUMMYFUNCTION("IF(COUNTA(C643:C1350)=0,"""",IF(C643="""",0,IF(REGEXMATCH(C643,""^Sell_""),-ROUNDDOWN(ROUNDUP(INDEX(Upgrades!$C$3:$C$13,MATCH(SUBSTITUTE(C643,""Sell_"",""""),Upgrades!$B$3:$B$13,0))*1.15^(COUNTIF(C$4:C642,SUBSTITUTE(C643,""Sell_"",""""))-COUNTIF(C$4:C642,"&amp;"""Sell_""&amp;SUBSTITUTE(C643,""Sell_"",""""))))/2),ROUNDUP(INDEX(Upgrades!$C$3:$C$13,MATCH(C643,Upgrades!$B$3:$B$13,0))*1.15^(COUNTIF(C$4:C642,C643)-COUNTIF(C$4:C642,""Sell_""&amp;C643))))))"),"")</f>
        <v/>
      </c>
      <c r="H643" s="10" t="str">
        <f t="shared" si="3"/>
        <v/>
      </c>
      <c r="I643" s="68" t="str">
        <f t="shared" si="4"/>
        <v/>
      </c>
      <c r="J643" s="59" t="str">
        <f t="shared" si="5"/>
        <v/>
      </c>
      <c r="K643" s="69" t="str">
        <f t="shared" si="6"/>
        <v/>
      </c>
      <c r="L643" s="60" t="str">
        <f t="shared" si="7"/>
        <v/>
      </c>
      <c r="M643" s="61" t="str">
        <f>IFERROR(__xludf.DUMMYFUNCTION("IFS(AND(COUNTA(C643:C1350)=0,COUNTA(Q643:Q1350)=0),"""",OR(AND(K643&gt;=1000000000,OR(Y643&gt;=1000000000,COUNTA(Q643:Q1350)=0)),OR(Y643&gt;=1000000000,AND(COUNTA(C643:C1350)=0,P$3=TRUE))),
ROUNDDOWN((AB$1-AC$1)*MAX(INDEX(T$4:T1350,MATCH(LARGE(FILTER(Y$4:Y1350,Y$4"&amp;":Y1350&lt;1000000000),1),Y$4:Y1350)),INDEX(F$4:F1350,MATCH(LARGE(FILTER(K$4:K1350,K$4:K1350&lt;1000000000),1),K$4:K1350)))),AND(K643&lt;1000000000,COUNTA(C643:C1350)&gt;0,P$3=FALSE),
ROUNDDOWN(INDEX(Y$4:Y1350,MATCH(LARGE(FILTER(W$4:W1350,W$4:W1350&lt;=I643),1),W$4:W1350"&amp;"))+(I643-LARGE(FILTER(W$4:W1350,W$4:W1350&lt;=I643),1))*INDEX(T$4:T1350,MATCH(LARGE(FILTER(W$4:W1350,W$4:W1350&lt;=I643),1),W$4:W1350))-K643),1,
ROUNDDOWN(Y643-INDEX(K$4:K1350,MATCH(LARGE(FILTER(I$4:I1350,I$4:I1350&lt;=W643),1),I$4:I1350))-(W643-LARGE(FILTER(I$4:I"&amp;"1350,I$4:I1350&lt;=W643),1))*INDEX(F$4:F1350,MATCH(LARGE(FILTER(I$4:I1350,I$4:I1350&lt;=W643),1),I$4:I1350))))"),"")</f>
        <v/>
      </c>
      <c r="N643" s="60" t="str">
        <f t="shared" si="8"/>
        <v/>
      </c>
      <c r="O643" s="61" t="str">
        <f t="shared" si="9"/>
        <v/>
      </c>
      <c r="P643" s="56" t="str">
        <f t="shared" si="10"/>
        <v/>
      </c>
      <c r="Q643" s="62"/>
      <c r="R643" s="10" t="str">
        <f>IFERROR(__xludf.DUMMYFUNCTION("IF(COUNTA(Q643:Q1350)=0,"""",IF(ISBLANK(Q643),FALSE,IF(NOT(COUNTIF($AA$24:$AA$34,SUBSTITUTE(Q643,""Sell_"",""""))),1,IF(REGEXMATCH(Q643,""Sell_""),IF(COUNTIF(Q$4:Q643,SUBSTITUTE(Q643,""Sell_"",""""))-COUNTIF(Q$4:Q642,Q643)&lt;1,1),FALSE))))"),"")</f>
        <v/>
      </c>
      <c r="S643" s="59" t="str">
        <f t="array" ref="S643">IF(COUNTA(Q643:Q1350)=0,"",SUM((COUNTIF(Q$4:Q643,Upgrades!$B$3:$B$13)-COUNTIF(Q$4:Q643,"Sell_"&amp;Upgrades!$B$3:$B$13))*Upgrades!$D$3:$D$13))</f>
        <v/>
      </c>
      <c r="T643" s="66" t="str">
        <f>IFERROR(__xludf.DUMMYFUNCTION("IF(COUNTA(Q643:Q1350)=0,"""",IF(REGEXMATCH(INDEX(FILTER(Q$4:Q643,Q$4:Q643&lt;&gt;""""),ROWS(FILTER(Q$4:Q643,Q$4:Q643&lt;&gt;""""))),""^Sell_""),INDEX(FILTER(T$4:T642,Q$4:Q642&lt;&gt;""""),ROWS(FILTER(Q$4:Q642,Q$4:Q642&lt;&gt;""""))),$AD$5+S643))"),"")</f>
        <v/>
      </c>
      <c r="U643" s="10" t="str">
        <f>IFERROR(__xludf.DUMMYFUNCTION("IF(COUNTA(Q643:Q1350)=0,"""",IF(Q643="""",0,IF(REGEXMATCH(Q643,""^Sell_""),-ROUNDDOWN(ROUNDUP(INDEX(Upgrades!$C$3:$C$13,MATCH(SUBSTITUTE(Q643,""Sell_"",""""),Upgrades!$B$3:$B$13,0))*1.15^(COUNTIF(Q$4:Q642,SUBSTITUTE(Q643,""Sell_"",""""))-COUNTIF(Q$4:Q642,"&amp;"""Sell_""&amp;SUBSTITUTE(Q643,""Sell_"",""""))))/2),ROUNDUP(INDEX(Upgrades!$C$3:$C$13,MATCH(Q643,Upgrades!$B$3:$B$13,0))*1.15^(COUNTIF(Q$4:Q642,Q643)-COUNTIF(Q$4:Q642,""Sell_""&amp;Q643))))))"),"")</f>
        <v/>
      </c>
      <c r="V643" s="10" t="str">
        <f t="shared" si="11"/>
        <v/>
      </c>
      <c r="W643" s="68" t="str">
        <f t="shared" si="12"/>
        <v/>
      </c>
      <c r="X643" s="59" t="str">
        <f t="shared" si="13"/>
        <v/>
      </c>
      <c r="Y643" s="69" t="str">
        <f t="shared" si="14"/>
        <v/>
      </c>
      <c r="Z643" s="11"/>
    </row>
    <row r="644">
      <c r="A644" s="8"/>
      <c r="B644" s="56" t="str">
        <f t="shared" si="2"/>
        <v/>
      </c>
      <c r="C644" s="57"/>
      <c r="D644" s="10" t="str">
        <f>IFERROR(__xludf.DUMMYFUNCTION("IF(COUNTA(C644:C1350)=0,"""",IF(ISBLANK(C644),FALSE,IF(NOT(COUNTIF($AA$24:$AA$34,SUBSTITUTE(C644,""Sell_"",""""))),1,IF(REGEXMATCH(C644,""Sell_""),IF(COUNTIF(C$4:C644,SUBSTITUTE(C644,""Sell_"",""""))-COUNTIF(C$4:C643,C644)&lt;1,1),FALSE))))"),"")</f>
        <v/>
      </c>
      <c r="E644" s="59" t="str">
        <f t="array" ref="E644">IF(COUNTA(C644:C1350)=0,"",SUM((COUNTIF(C$4:C644,Upgrades!$B$3:$B$13)-COUNTIF(C$4:C644,"Sell_"&amp;Upgrades!$B$3:$B$13))*Upgrades!$D$3:$D$13))</f>
        <v/>
      </c>
      <c r="F644" s="66" t="str">
        <f>IFERROR(__xludf.DUMMYFUNCTION("IF(COUNTA(C644:C1350)=0,"""",IF(REGEXMATCH(INDEX(FILTER(C$4:C644,C$4:C644&lt;&gt;""""),ROWS(FILTER(C$4:C644,C$4:C644&lt;&gt;""""))),""^Sell_""),INDEX(FILTER(F$4:F643,C$4:C643&lt;&gt;""""),ROWS(FILTER(C$4:C643,C$4:C643&lt;&gt;""""))),$AC$5+E644))"),"")</f>
        <v/>
      </c>
      <c r="G644" s="10" t="str">
        <f>IFERROR(__xludf.DUMMYFUNCTION("IF(COUNTA(C644:C1350)=0,"""",IF(C644="""",0,IF(REGEXMATCH(C644,""^Sell_""),-ROUNDDOWN(ROUNDUP(INDEX(Upgrades!$C$3:$C$13,MATCH(SUBSTITUTE(C644,""Sell_"",""""),Upgrades!$B$3:$B$13,0))*1.15^(COUNTIF(C$4:C643,SUBSTITUTE(C644,""Sell_"",""""))-COUNTIF(C$4:C643,"&amp;"""Sell_""&amp;SUBSTITUTE(C644,""Sell_"",""""))))/2),ROUNDUP(INDEX(Upgrades!$C$3:$C$13,MATCH(C644,Upgrades!$B$3:$B$13,0))*1.15^(COUNTIF(C$4:C643,C644)-COUNTIF(C$4:C643,""Sell_""&amp;C644))))))"),"")</f>
        <v/>
      </c>
      <c r="H644" s="10" t="str">
        <f t="shared" si="3"/>
        <v/>
      </c>
      <c r="I644" s="68" t="str">
        <f t="shared" si="4"/>
        <v/>
      </c>
      <c r="J644" s="59" t="str">
        <f t="shared" si="5"/>
        <v/>
      </c>
      <c r="K644" s="69" t="str">
        <f t="shared" si="6"/>
        <v/>
      </c>
      <c r="L644" s="60" t="str">
        <f t="shared" si="7"/>
        <v/>
      </c>
      <c r="M644" s="61" t="str">
        <f>IFERROR(__xludf.DUMMYFUNCTION("IFS(AND(COUNTA(C644:C1350)=0,COUNTA(Q644:Q1350)=0),"""",OR(AND(K644&gt;=1000000000,OR(Y644&gt;=1000000000,COUNTA(Q644:Q1350)=0)),OR(Y644&gt;=1000000000,AND(COUNTA(C644:C1350)=0,P$3=TRUE))),
ROUNDDOWN((AB$1-AC$1)*MAX(INDEX(T$4:T1350,MATCH(LARGE(FILTER(Y$4:Y1350,Y$4"&amp;":Y1350&lt;1000000000),1),Y$4:Y1350)),INDEX(F$4:F1350,MATCH(LARGE(FILTER(K$4:K1350,K$4:K1350&lt;1000000000),1),K$4:K1350)))),AND(K644&lt;1000000000,COUNTA(C644:C1350)&gt;0,P$3=FALSE),
ROUNDDOWN(INDEX(Y$4:Y1350,MATCH(LARGE(FILTER(W$4:W1350,W$4:W1350&lt;=I644),1),W$4:W1350"&amp;"))+(I644-LARGE(FILTER(W$4:W1350,W$4:W1350&lt;=I644),1))*INDEX(T$4:T1350,MATCH(LARGE(FILTER(W$4:W1350,W$4:W1350&lt;=I644),1),W$4:W1350))-K644),1,
ROUNDDOWN(Y644-INDEX(K$4:K1350,MATCH(LARGE(FILTER(I$4:I1350,I$4:I1350&lt;=W644),1),I$4:I1350))-(W644-LARGE(FILTER(I$4:I"&amp;"1350,I$4:I1350&lt;=W644),1))*INDEX(F$4:F1350,MATCH(LARGE(FILTER(I$4:I1350,I$4:I1350&lt;=W644),1),I$4:I1350))))"),"")</f>
        <v/>
      </c>
      <c r="N644" s="60" t="str">
        <f t="shared" si="8"/>
        <v/>
      </c>
      <c r="O644" s="61" t="str">
        <f t="shared" si="9"/>
        <v/>
      </c>
      <c r="P644" s="56" t="str">
        <f t="shared" si="10"/>
        <v/>
      </c>
      <c r="Q644" s="62"/>
      <c r="R644" s="10" t="str">
        <f>IFERROR(__xludf.DUMMYFUNCTION("IF(COUNTA(Q644:Q1350)=0,"""",IF(ISBLANK(Q644),FALSE,IF(NOT(COUNTIF($AA$24:$AA$34,SUBSTITUTE(Q644,""Sell_"",""""))),1,IF(REGEXMATCH(Q644,""Sell_""),IF(COUNTIF(Q$4:Q644,SUBSTITUTE(Q644,""Sell_"",""""))-COUNTIF(Q$4:Q643,Q644)&lt;1,1),FALSE))))"),"")</f>
        <v/>
      </c>
      <c r="S644" s="59" t="str">
        <f t="array" ref="S644">IF(COUNTA(Q644:Q1350)=0,"",SUM((COUNTIF(Q$4:Q644,Upgrades!$B$3:$B$13)-COUNTIF(Q$4:Q644,"Sell_"&amp;Upgrades!$B$3:$B$13))*Upgrades!$D$3:$D$13))</f>
        <v/>
      </c>
      <c r="T644" s="66" t="str">
        <f>IFERROR(__xludf.DUMMYFUNCTION("IF(COUNTA(Q644:Q1350)=0,"""",IF(REGEXMATCH(INDEX(FILTER(Q$4:Q644,Q$4:Q644&lt;&gt;""""),ROWS(FILTER(Q$4:Q644,Q$4:Q644&lt;&gt;""""))),""^Sell_""),INDEX(FILTER(T$4:T643,Q$4:Q643&lt;&gt;""""),ROWS(FILTER(Q$4:Q643,Q$4:Q643&lt;&gt;""""))),$AD$5+S644))"),"")</f>
        <v/>
      </c>
      <c r="U644" s="10" t="str">
        <f>IFERROR(__xludf.DUMMYFUNCTION("IF(COUNTA(Q644:Q1350)=0,"""",IF(Q644="""",0,IF(REGEXMATCH(Q644,""^Sell_""),-ROUNDDOWN(ROUNDUP(INDEX(Upgrades!$C$3:$C$13,MATCH(SUBSTITUTE(Q644,""Sell_"",""""),Upgrades!$B$3:$B$13,0))*1.15^(COUNTIF(Q$4:Q643,SUBSTITUTE(Q644,""Sell_"",""""))-COUNTIF(Q$4:Q643,"&amp;"""Sell_""&amp;SUBSTITUTE(Q644,""Sell_"",""""))))/2),ROUNDUP(INDEX(Upgrades!$C$3:$C$13,MATCH(Q644,Upgrades!$B$3:$B$13,0))*1.15^(COUNTIF(Q$4:Q643,Q644)-COUNTIF(Q$4:Q643,""Sell_""&amp;Q644))))))"),"")</f>
        <v/>
      </c>
      <c r="V644" s="10" t="str">
        <f t="shared" si="11"/>
        <v/>
      </c>
      <c r="W644" s="68" t="str">
        <f t="shared" si="12"/>
        <v/>
      </c>
      <c r="X644" s="59" t="str">
        <f t="shared" si="13"/>
        <v/>
      </c>
      <c r="Y644" s="69" t="str">
        <f t="shared" si="14"/>
        <v/>
      </c>
      <c r="Z644" s="11"/>
    </row>
    <row r="645">
      <c r="A645" s="8"/>
      <c r="B645" s="56" t="str">
        <f t="shared" si="2"/>
        <v/>
      </c>
      <c r="C645" s="57"/>
      <c r="D645" s="10" t="str">
        <f>IFERROR(__xludf.DUMMYFUNCTION("IF(COUNTA(C645:C1350)=0,"""",IF(ISBLANK(C645),FALSE,IF(NOT(COUNTIF($AA$24:$AA$34,SUBSTITUTE(C645,""Sell_"",""""))),1,IF(REGEXMATCH(C645,""Sell_""),IF(COUNTIF(C$4:C645,SUBSTITUTE(C645,""Sell_"",""""))-COUNTIF(C$4:C644,C645)&lt;1,1),FALSE))))"),"")</f>
        <v/>
      </c>
      <c r="E645" s="59" t="str">
        <f t="array" ref="E645">IF(COUNTA(C645:C1350)=0,"",SUM((COUNTIF(C$4:C645,Upgrades!$B$3:$B$13)-COUNTIF(C$4:C645,"Sell_"&amp;Upgrades!$B$3:$B$13))*Upgrades!$D$3:$D$13))</f>
        <v/>
      </c>
      <c r="F645" s="66" t="str">
        <f>IFERROR(__xludf.DUMMYFUNCTION("IF(COUNTA(C645:C1350)=0,"""",IF(REGEXMATCH(INDEX(FILTER(C$4:C645,C$4:C645&lt;&gt;""""),ROWS(FILTER(C$4:C645,C$4:C645&lt;&gt;""""))),""^Sell_""),INDEX(FILTER(F$4:F644,C$4:C644&lt;&gt;""""),ROWS(FILTER(C$4:C644,C$4:C644&lt;&gt;""""))),$AC$5+E645))"),"")</f>
        <v/>
      </c>
      <c r="G645" s="10" t="str">
        <f>IFERROR(__xludf.DUMMYFUNCTION("IF(COUNTA(C645:C1350)=0,"""",IF(C645="""",0,IF(REGEXMATCH(C645,""^Sell_""),-ROUNDDOWN(ROUNDUP(INDEX(Upgrades!$C$3:$C$13,MATCH(SUBSTITUTE(C645,""Sell_"",""""),Upgrades!$B$3:$B$13,0))*1.15^(COUNTIF(C$4:C644,SUBSTITUTE(C645,""Sell_"",""""))-COUNTIF(C$4:C644,"&amp;"""Sell_""&amp;SUBSTITUTE(C645,""Sell_"",""""))))/2),ROUNDUP(INDEX(Upgrades!$C$3:$C$13,MATCH(C645,Upgrades!$B$3:$B$13,0))*1.15^(COUNTIF(C$4:C644,C645)-COUNTIF(C$4:C644,""Sell_""&amp;C645))))))"),"")</f>
        <v/>
      </c>
      <c r="H645" s="10" t="str">
        <f t="shared" si="3"/>
        <v/>
      </c>
      <c r="I645" s="68" t="str">
        <f t="shared" si="4"/>
        <v/>
      </c>
      <c r="J645" s="59" t="str">
        <f t="shared" si="5"/>
        <v/>
      </c>
      <c r="K645" s="69" t="str">
        <f t="shared" si="6"/>
        <v/>
      </c>
      <c r="L645" s="60" t="str">
        <f t="shared" si="7"/>
        <v/>
      </c>
      <c r="M645" s="61" t="str">
        <f>IFERROR(__xludf.DUMMYFUNCTION("IFS(AND(COUNTA(C645:C1350)=0,COUNTA(Q645:Q1350)=0),"""",OR(AND(K645&gt;=1000000000,OR(Y645&gt;=1000000000,COUNTA(Q645:Q1350)=0)),OR(Y645&gt;=1000000000,AND(COUNTA(C645:C1350)=0,P$3=TRUE))),
ROUNDDOWN((AB$1-AC$1)*MAX(INDEX(T$4:T1350,MATCH(LARGE(FILTER(Y$4:Y1350,Y$4"&amp;":Y1350&lt;1000000000),1),Y$4:Y1350)),INDEX(F$4:F1350,MATCH(LARGE(FILTER(K$4:K1350,K$4:K1350&lt;1000000000),1),K$4:K1350)))),AND(K645&lt;1000000000,COUNTA(C645:C1350)&gt;0,P$3=FALSE),
ROUNDDOWN(INDEX(Y$4:Y1350,MATCH(LARGE(FILTER(W$4:W1350,W$4:W1350&lt;=I645),1),W$4:W1350"&amp;"))+(I645-LARGE(FILTER(W$4:W1350,W$4:W1350&lt;=I645),1))*INDEX(T$4:T1350,MATCH(LARGE(FILTER(W$4:W1350,W$4:W1350&lt;=I645),1),W$4:W1350))-K645),1,
ROUNDDOWN(Y645-INDEX(K$4:K1350,MATCH(LARGE(FILTER(I$4:I1350,I$4:I1350&lt;=W645),1),I$4:I1350))-(W645-LARGE(FILTER(I$4:I"&amp;"1350,I$4:I1350&lt;=W645),1))*INDEX(F$4:F1350,MATCH(LARGE(FILTER(I$4:I1350,I$4:I1350&lt;=W645),1),I$4:I1350))))"),"")</f>
        <v/>
      </c>
      <c r="N645" s="60" t="str">
        <f t="shared" si="8"/>
        <v/>
      </c>
      <c r="O645" s="61" t="str">
        <f t="shared" si="9"/>
        <v/>
      </c>
      <c r="P645" s="56" t="str">
        <f t="shared" si="10"/>
        <v/>
      </c>
      <c r="Q645" s="62"/>
      <c r="R645" s="10" t="str">
        <f>IFERROR(__xludf.DUMMYFUNCTION("IF(COUNTA(Q645:Q1350)=0,"""",IF(ISBLANK(Q645),FALSE,IF(NOT(COUNTIF($AA$24:$AA$34,SUBSTITUTE(Q645,""Sell_"",""""))),1,IF(REGEXMATCH(Q645,""Sell_""),IF(COUNTIF(Q$4:Q645,SUBSTITUTE(Q645,""Sell_"",""""))-COUNTIF(Q$4:Q644,Q645)&lt;1,1),FALSE))))"),"")</f>
        <v/>
      </c>
      <c r="S645" s="59" t="str">
        <f t="array" ref="S645">IF(COUNTA(Q645:Q1350)=0,"",SUM((COUNTIF(Q$4:Q645,Upgrades!$B$3:$B$13)-COUNTIF(Q$4:Q645,"Sell_"&amp;Upgrades!$B$3:$B$13))*Upgrades!$D$3:$D$13))</f>
        <v/>
      </c>
      <c r="T645" s="66" t="str">
        <f>IFERROR(__xludf.DUMMYFUNCTION("IF(COUNTA(Q645:Q1350)=0,"""",IF(REGEXMATCH(INDEX(FILTER(Q$4:Q645,Q$4:Q645&lt;&gt;""""),ROWS(FILTER(Q$4:Q645,Q$4:Q645&lt;&gt;""""))),""^Sell_""),INDEX(FILTER(T$4:T644,Q$4:Q644&lt;&gt;""""),ROWS(FILTER(Q$4:Q644,Q$4:Q644&lt;&gt;""""))),$AD$5+S645))"),"")</f>
        <v/>
      </c>
      <c r="U645" s="10" t="str">
        <f>IFERROR(__xludf.DUMMYFUNCTION("IF(COUNTA(Q645:Q1350)=0,"""",IF(Q645="""",0,IF(REGEXMATCH(Q645,""^Sell_""),-ROUNDDOWN(ROUNDUP(INDEX(Upgrades!$C$3:$C$13,MATCH(SUBSTITUTE(Q645,""Sell_"",""""),Upgrades!$B$3:$B$13,0))*1.15^(COUNTIF(Q$4:Q644,SUBSTITUTE(Q645,""Sell_"",""""))-COUNTIF(Q$4:Q644,"&amp;"""Sell_""&amp;SUBSTITUTE(Q645,""Sell_"",""""))))/2),ROUNDUP(INDEX(Upgrades!$C$3:$C$13,MATCH(Q645,Upgrades!$B$3:$B$13,0))*1.15^(COUNTIF(Q$4:Q644,Q645)-COUNTIF(Q$4:Q644,""Sell_""&amp;Q645))))))"),"")</f>
        <v/>
      </c>
      <c r="V645" s="10" t="str">
        <f t="shared" si="11"/>
        <v/>
      </c>
      <c r="W645" s="68" t="str">
        <f t="shared" si="12"/>
        <v/>
      </c>
      <c r="X645" s="59" t="str">
        <f t="shared" si="13"/>
        <v/>
      </c>
      <c r="Y645" s="69" t="str">
        <f t="shared" si="14"/>
        <v/>
      </c>
      <c r="Z645" s="11"/>
    </row>
    <row r="646">
      <c r="A646" s="8"/>
      <c r="B646" s="56" t="str">
        <f t="shared" si="2"/>
        <v/>
      </c>
      <c r="C646" s="57"/>
      <c r="D646" s="10" t="str">
        <f>IFERROR(__xludf.DUMMYFUNCTION("IF(COUNTA(C646:C1350)=0,"""",IF(ISBLANK(C646),FALSE,IF(NOT(COUNTIF($AA$24:$AA$34,SUBSTITUTE(C646,""Sell_"",""""))),1,IF(REGEXMATCH(C646,""Sell_""),IF(COUNTIF(C$4:C646,SUBSTITUTE(C646,""Sell_"",""""))-COUNTIF(C$4:C645,C646)&lt;1,1),FALSE))))"),"")</f>
        <v/>
      </c>
      <c r="E646" s="59" t="str">
        <f t="array" ref="E646">IF(COUNTA(C646:C1350)=0,"",SUM((COUNTIF(C$4:C646,Upgrades!$B$3:$B$13)-COUNTIF(C$4:C646,"Sell_"&amp;Upgrades!$B$3:$B$13))*Upgrades!$D$3:$D$13))</f>
        <v/>
      </c>
      <c r="F646" s="66" t="str">
        <f>IFERROR(__xludf.DUMMYFUNCTION("IF(COUNTA(C646:C1350)=0,"""",IF(REGEXMATCH(INDEX(FILTER(C$4:C646,C$4:C646&lt;&gt;""""),ROWS(FILTER(C$4:C646,C$4:C646&lt;&gt;""""))),""^Sell_""),INDEX(FILTER(F$4:F645,C$4:C645&lt;&gt;""""),ROWS(FILTER(C$4:C645,C$4:C645&lt;&gt;""""))),$AC$5+E646))"),"")</f>
        <v/>
      </c>
      <c r="G646" s="10" t="str">
        <f>IFERROR(__xludf.DUMMYFUNCTION("IF(COUNTA(C646:C1350)=0,"""",IF(C646="""",0,IF(REGEXMATCH(C646,""^Sell_""),-ROUNDDOWN(ROUNDUP(INDEX(Upgrades!$C$3:$C$13,MATCH(SUBSTITUTE(C646,""Sell_"",""""),Upgrades!$B$3:$B$13,0))*1.15^(COUNTIF(C$4:C645,SUBSTITUTE(C646,""Sell_"",""""))-COUNTIF(C$4:C645,"&amp;"""Sell_""&amp;SUBSTITUTE(C646,""Sell_"",""""))))/2),ROUNDUP(INDEX(Upgrades!$C$3:$C$13,MATCH(C646,Upgrades!$B$3:$B$13,0))*1.15^(COUNTIF(C$4:C645,C646)-COUNTIF(C$4:C645,""Sell_""&amp;C646))))))"),"")</f>
        <v/>
      </c>
      <c r="H646" s="10" t="str">
        <f t="shared" si="3"/>
        <v/>
      </c>
      <c r="I646" s="68" t="str">
        <f t="shared" si="4"/>
        <v/>
      </c>
      <c r="J646" s="59" t="str">
        <f t="shared" si="5"/>
        <v/>
      </c>
      <c r="K646" s="69" t="str">
        <f t="shared" si="6"/>
        <v/>
      </c>
      <c r="L646" s="60" t="str">
        <f t="shared" si="7"/>
        <v/>
      </c>
      <c r="M646" s="61" t="str">
        <f>IFERROR(__xludf.DUMMYFUNCTION("IFS(AND(COUNTA(C646:C1350)=0,COUNTA(Q646:Q1350)=0),"""",OR(AND(K646&gt;=1000000000,OR(Y646&gt;=1000000000,COUNTA(Q646:Q1350)=0)),OR(Y646&gt;=1000000000,AND(COUNTA(C646:C1350)=0,P$3=TRUE))),
ROUNDDOWN((AB$1-AC$1)*MAX(INDEX(T$4:T1350,MATCH(LARGE(FILTER(Y$4:Y1350,Y$4"&amp;":Y1350&lt;1000000000),1),Y$4:Y1350)),INDEX(F$4:F1350,MATCH(LARGE(FILTER(K$4:K1350,K$4:K1350&lt;1000000000),1),K$4:K1350)))),AND(K646&lt;1000000000,COUNTA(C646:C1350)&gt;0,P$3=FALSE),
ROUNDDOWN(INDEX(Y$4:Y1350,MATCH(LARGE(FILTER(W$4:W1350,W$4:W1350&lt;=I646),1),W$4:W1350"&amp;"))+(I646-LARGE(FILTER(W$4:W1350,W$4:W1350&lt;=I646),1))*INDEX(T$4:T1350,MATCH(LARGE(FILTER(W$4:W1350,W$4:W1350&lt;=I646),1),W$4:W1350))-K646),1,
ROUNDDOWN(Y646-INDEX(K$4:K1350,MATCH(LARGE(FILTER(I$4:I1350,I$4:I1350&lt;=W646),1),I$4:I1350))-(W646-LARGE(FILTER(I$4:I"&amp;"1350,I$4:I1350&lt;=W646),1))*INDEX(F$4:F1350,MATCH(LARGE(FILTER(I$4:I1350,I$4:I1350&lt;=W646),1),I$4:I1350))))"),"")</f>
        <v/>
      </c>
      <c r="N646" s="60" t="str">
        <f t="shared" si="8"/>
        <v/>
      </c>
      <c r="O646" s="61" t="str">
        <f t="shared" si="9"/>
        <v/>
      </c>
      <c r="P646" s="56" t="str">
        <f t="shared" si="10"/>
        <v/>
      </c>
      <c r="Q646" s="62"/>
      <c r="R646" s="10" t="str">
        <f>IFERROR(__xludf.DUMMYFUNCTION("IF(COUNTA(Q646:Q1350)=0,"""",IF(ISBLANK(Q646),FALSE,IF(NOT(COUNTIF($AA$24:$AA$34,SUBSTITUTE(Q646,""Sell_"",""""))),1,IF(REGEXMATCH(Q646,""Sell_""),IF(COUNTIF(Q$4:Q646,SUBSTITUTE(Q646,""Sell_"",""""))-COUNTIF(Q$4:Q645,Q646)&lt;1,1),FALSE))))"),"")</f>
        <v/>
      </c>
      <c r="S646" s="59" t="str">
        <f t="array" ref="S646">IF(COUNTA(Q646:Q1350)=0,"",SUM((COUNTIF(Q$4:Q646,Upgrades!$B$3:$B$13)-COUNTIF(Q$4:Q646,"Sell_"&amp;Upgrades!$B$3:$B$13))*Upgrades!$D$3:$D$13))</f>
        <v/>
      </c>
      <c r="T646" s="66" t="str">
        <f>IFERROR(__xludf.DUMMYFUNCTION("IF(COUNTA(Q646:Q1350)=0,"""",IF(REGEXMATCH(INDEX(FILTER(Q$4:Q646,Q$4:Q646&lt;&gt;""""),ROWS(FILTER(Q$4:Q646,Q$4:Q646&lt;&gt;""""))),""^Sell_""),INDEX(FILTER(T$4:T645,Q$4:Q645&lt;&gt;""""),ROWS(FILTER(Q$4:Q645,Q$4:Q645&lt;&gt;""""))),$AD$5+S646))"),"")</f>
        <v/>
      </c>
      <c r="U646" s="10" t="str">
        <f>IFERROR(__xludf.DUMMYFUNCTION("IF(COUNTA(Q646:Q1350)=0,"""",IF(Q646="""",0,IF(REGEXMATCH(Q646,""^Sell_""),-ROUNDDOWN(ROUNDUP(INDEX(Upgrades!$C$3:$C$13,MATCH(SUBSTITUTE(Q646,""Sell_"",""""),Upgrades!$B$3:$B$13,0))*1.15^(COUNTIF(Q$4:Q645,SUBSTITUTE(Q646,""Sell_"",""""))-COUNTIF(Q$4:Q645,"&amp;"""Sell_""&amp;SUBSTITUTE(Q646,""Sell_"",""""))))/2),ROUNDUP(INDEX(Upgrades!$C$3:$C$13,MATCH(Q646,Upgrades!$B$3:$B$13,0))*1.15^(COUNTIF(Q$4:Q645,Q646)-COUNTIF(Q$4:Q645,""Sell_""&amp;Q646))))))"),"")</f>
        <v/>
      </c>
      <c r="V646" s="10" t="str">
        <f t="shared" si="11"/>
        <v/>
      </c>
      <c r="W646" s="68" t="str">
        <f t="shared" si="12"/>
        <v/>
      </c>
      <c r="X646" s="59" t="str">
        <f t="shared" si="13"/>
        <v/>
      </c>
      <c r="Y646" s="69" t="str">
        <f t="shared" si="14"/>
        <v/>
      </c>
      <c r="Z646" s="11"/>
    </row>
    <row r="647">
      <c r="A647" s="8"/>
      <c r="B647" s="56" t="str">
        <f t="shared" si="2"/>
        <v/>
      </c>
      <c r="C647" s="57"/>
      <c r="D647" s="10" t="str">
        <f>IFERROR(__xludf.DUMMYFUNCTION("IF(COUNTA(C647:C1350)=0,"""",IF(ISBLANK(C647),FALSE,IF(NOT(COUNTIF($AA$24:$AA$34,SUBSTITUTE(C647,""Sell_"",""""))),1,IF(REGEXMATCH(C647,""Sell_""),IF(COUNTIF(C$4:C647,SUBSTITUTE(C647,""Sell_"",""""))-COUNTIF(C$4:C646,C647)&lt;1,1),FALSE))))"),"")</f>
        <v/>
      </c>
      <c r="E647" s="59" t="str">
        <f t="array" ref="E647">IF(COUNTA(C647:C1350)=0,"",SUM((COUNTIF(C$4:C647,Upgrades!$B$3:$B$13)-COUNTIF(C$4:C647,"Sell_"&amp;Upgrades!$B$3:$B$13))*Upgrades!$D$3:$D$13))</f>
        <v/>
      </c>
      <c r="F647" s="66" t="str">
        <f>IFERROR(__xludf.DUMMYFUNCTION("IF(COUNTA(C647:C1350)=0,"""",IF(REGEXMATCH(INDEX(FILTER(C$4:C647,C$4:C647&lt;&gt;""""),ROWS(FILTER(C$4:C647,C$4:C647&lt;&gt;""""))),""^Sell_""),INDEX(FILTER(F$4:F646,C$4:C646&lt;&gt;""""),ROWS(FILTER(C$4:C646,C$4:C646&lt;&gt;""""))),$AC$5+E647))"),"")</f>
        <v/>
      </c>
      <c r="G647" s="10" t="str">
        <f>IFERROR(__xludf.DUMMYFUNCTION("IF(COUNTA(C647:C1350)=0,"""",IF(C647="""",0,IF(REGEXMATCH(C647,""^Sell_""),-ROUNDDOWN(ROUNDUP(INDEX(Upgrades!$C$3:$C$13,MATCH(SUBSTITUTE(C647,""Sell_"",""""),Upgrades!$B$3:$B$13,0))*1.15^(COUNTIF(C$4:C646,SUBSTITUTE(C647,""Sell_"",""""))-COUNTIF(C$4:C646,"&amp;"""Sell_""&amp;SUBSTITUTE(C647,""Sell_"",""""))))/2),ROUNDUP(INDEX(Upgrades!$C$3:$C$13,MATCH(C647,Upgrades!$B$3:$B$13,0))*1.15^(COUNTIF(C$4:C646,C647)-COUNTIF(C$4:C646,""Sell_""&amp;C647))))))"),"")</f>
        <v/>
      </c>
      <c r="H647" s="10" t="str">
        <f t="shared" si="3"/>
        <v/>
      </c>
      <c r="I647" s="68" t="str">
        <f t="shared" si="4"/>
        <v/>
      </c>
      <c r="J647" s="59" t="str">
        <f t="shared" si="5"/>
        <v/>
      </c>
      <c r="K647" s="69" t="str">
        <f t="shared" si="6"/>
        <v/>
      </c>
      <c r="L647" s="60" t="str">
        <f t="shared" si="7"/>
        <v/>
      </c>
      <c r="M647" s="61" t="str">
        <f>IFERROR(__xludf.DUMMYFUNCTION("IFS(AND(COUNTA(C647:C1350)=0,COUNTA(Q647:Q1350)=0),"""",OR(AND(K647&gt;=1000000000,OR(Y647&gt;=1000000000,COUNTA(Q647:Q1350)=0)),OR(Y647&gt;=1000000000,AND(COUNTA(C647:C1350)=0,P$3=TRUE))),
ROUNDDOWN((AB$1-AC$1)*MAX(INDEX(T$4:T1350,MATCH(LARGE(FILTER(Y$4:Y1350,Y$4"&amp;":Y1350&lt;1000000000),1),Y$4:Y1350)),INDEX(F$4:F1350,MATCH(LARGE(FILTER(K$4:K1350,K$4:K1350&lt;1000000000),1),K$4:K1350)))),AND(K647&lt;1000000000,COUNTA(C647:C1350)&gt;0,P$3=FALSE),
ROUNDDOWN(INDEX(Y$4:Y1350,MATCH(LARGE(FILTER(W$4:W1350,W$4:W1350&lt;=I647),1),W$4:W1350"&amp;"))+(I647-LARGE(FILTER(W$4:W1350,W$4:W1350&lt;=I647),1))*INDEX(T$4:T1350,MATCH(LARGE(FILTER(W$4:W1350,W$4:W1350&lt;=I647),1),W$4:W1350))-K647),1,
ROUNDDOWN(Y647-INDEX(K$4:K1350,MATCH(LARGE(FILTER(I$4:I1350,I$4:I1350&lt;=W647),1),I$4:I1350))-(W647-LARGE(FILTER(I$4:I"&amp;"1350,I$4:I1350&lt;=W647),1))*INDEX(F$4:F1350,MATCH(LARGE(FILTER(I$4:I1350,I$4:I1350&lt;=W647),1),I$4:I1350))))"),"")</f>
        <v/>
      </c>
      <c r="N647" s="60" t="str">
        <f t="shared" si="8"/>
        <v/>
      </c>
      <c r="O647" s="61" t="str">
        <f t="shared" si="9"/>
        <v/>
      </c>
      <c r="P647" s="56" t="str">
        <f t="shared" si="10"/>
        <v/>
      </c>
      <c r="Q647" s="62"/>
      <c r="R647" s="10" t="str">
        <f>IFERROR(__xludf.DUMMYFUNCTION("IF(COUNTA(Q647:Q1350)=0,"""",IF(ISBLANK(Q647),FALSE,IF(NOT(COUNTIF($AA$24:$AA$34,SUBSTITUTE(Q647,""Sell_"",""""))),1,IF(REGEXMATCH(Q647,""Sell_""),IF(COUNTIF(Q$4:Q647,SUBSTITUTE(Q647,""Sell_"",""""))-COUNTIF(Q$4:Q646,Q647)&lt;1,1),FALSE))))"),"")</f>
        <v/>
      </c>
      <c r="S647" s="59" t="str">
        <f t="array" ref="S647">IF(COUNTA(Q647:Q1350)=0,"",SUM((COUNTIF(Q$4:Q647,Upgrades!$B$3:$B$13)-COUNTIF(Q$4:Q647,"Sell_"&amp;Upgrades!$B$3:$B$13))*Upgrades!$D$3:$D$13))</f>
        <v/>
      </c>
      <c r="T647" s="66" t="str">
        <f>IFERROR(__xludf.DUMMYFUNCTION("IF(COUNTA(Q647:Q1350)=0,"""",IF(REGEXMATCH(INDEX(FILTER(Q$4:Q647,Q$4:Q647&lt;&gt;""""),ROWS(FILTER(Q$4:Q647,Q$4:Q647&lt;&gt;""""))),""^Sell_""),INDEX(FILTER(T$4:T646,Q$4:Q646&lt;&gt;""""),ROWS(FILTER(Q$4:Q646,Q$4:Q646&lt;&gt;""""))),$AD$5+S647))"),"")</f>
        <v/>
      </c>
      <c r="U647" s="10" t="str">
        <f>IFERROR(__xludf.DUMMYFUNCTION("IF(COUNTA(Q647:Q1350)=0,"""",IF(Q647="""",0,IF(REGEXMATCH(Q647,""^Sell_""),-ROUNDDOWN(ROUNDUP(INDEX(Upgrades!$C$3:$C$13,MATCH(SUBSTITUTE(Q647,""Sell_"",""""),Upgrades!$B$3:$B$13,0))*1.15^(COUNTIF(Q$4:Q646,SUBSTITUTE(Q647,""Sell_"",""""))-COUNTIF(Q$4:Q646,"&amp;"""Sell_""&amp;SUBSTITUTE(Q647,""Sell_"",""""))))/2),ROUNDUP(INDEX(Upgrades!$C$3:$C$13,MATCH(Q647,Upgrades!$B$3:$B$13,0))*1.15^(COUNTIF(Q$4:Q646,Q647)-COUNTIF(Q$4:Q646,""Sell_""&amp;Q647))))))"),"")</f>
        <v/>
      </c>
      <c r="V647" s="10" t="str">
        <f t="shared" si="11"/>
        <v/>
      </c>
      <c r="W647" s="68" t="str">
        <f t="shared" si="12"/>
        <v/>
      </c>
      <c r="X647" s="59" t="str">
        <f t="shared" si="13"/>
        <v/>
      </c>
      <c r="Y647" s="69" t="str">
        <f t="shared" si="14"/>
        <v/>
      </c>
      <c r="Z647" s="11"/>
    </row>
    <row r="648">
      <c r="A648" s="8"/>
      <c r="B648" s="56" t="str">
        <f t="shared" si="2"/>
        <v/>
      </c>
      <c r="C648" s="57"/>
      <c r="D648" s="10" t="str">
        <f>IFERROR(__xludf.DUMMYFUNCTION("IF(COUNTA(C648:C1350)=0,"""",IF(ISBLANK(C648),FALSE,IF(NOT(COUNTIF($AA$24:$AA$34,SUBSTITUTE(C648,""Sell_"",""""))),1,IF(REGEXMATCH(C648,""Sell_""),IF(COUNTIF(C$4:C648,SUBSTITUTE(C648,""Sell_"",""""))-COUNTIF(C$4:C647,C648)&lt;1,1),FALSE))))"),"")</f>
        <v/>
      </c>
      <c r="E648" s="59" t="str">
        <f t="array" ref="E648">IF(COUNTA(C648:C1350)=0,"",SUM((COUNTIF(C$4:C648,Upgrades!$B$3:$B$13)-COUNTIF(C$4:C648,"Sell_"&amp;Upgrades!$B$3:$B$13))*Upgrades!$D$3:$D$13))</f>
        <v/>
      </c>
      <c r="F648" s="66" t="str">
        <f>IFERROR(__xludf.DUMMYFUNCTION("IF(COUNTA(C648:C1350)=0,"""",IF(REGEXMATCH(INDEX(FILTER(C$4:C648,C$4:C648&lt;&gt;""""),ROWS(FILTER(C$4:C648,C$4:C648&lt;&gt;""""))),""^Sell_""),INDEX(FILTER(F$4:F647,C$4:C647&lt;&gt;""""),ROWS(FILTER(C$4:C647,C$4:C647&lt;&gt;""""))),$AC$5+E648))"),"")</f>
        <v/>
      </c>
      <c r="G648" s="10" t="str">
        <f>IFERROR(__xludf.DUMMYFUNCTION("IF(COUNTA(C648:C1350)=0,"""",IF(C648="""",0,IF(REGEXMATCH(C648,""^Sell_""),-ROUNDDOWN(ROUNDUP(INDEX(Upgrades!$C$3:$C$13,MATCH(SUBSTITUTE(C648,""Sell_"",""""),Upgrades!$B$3:$B$13,0))*1.15^(COUNTIF(C$4:C647,SUBSTITUTE(C648,""Sell_"",""""))-COUNTIF(C$4:C647,"&amp;"""Sell_""&amp;SUBSTITUTE(C648,""Sell_"",""""))))/2),ROUNDUP(INDEX(Upgrades!$C$3:$C$13,MATCH(C648,Upgrades!$B$3:$B$13,0))*1.15^(COUNTIF(C$4:C647,C648)-COUNTIF(C$4:C647,""Sell_""&amp;C648))))))"),"")</f>
        <v/>
      </c>
      <c r="H648" s="10" t="str">
        <f t="shared" si="3"/>
        <v/>
      </c>
      <c r="I648" s="68" t="str">
        <f t="shared" si="4"/>
        <v/>
      </c>
      <c r="J648" s="59" t="str">
        <f t="shared" si="5"/>
        <v/>
      </c>
      <c r="K648" s="69" t="str">
        <f t="shared" si="6"/>
        <v/>
      </c>
      <c r="L648" s="60" t="str">
        <f t="shared" si="7"/>
        <v/>
      </c>
      <c r="M648" s="61" t="str">
        <f>IFERROR(__xludf.DUMMYFUNCTION("IFS(AND(COUNTA(C648:C1350)=0,COUNTA(Q648:Q1350)=0),"""",OR(AND(K648&gt;=1000000000,OR(Y648&gt;=1000000000,COUNTA(Q648:Q1350)=0)),OR(Y648&gt;=1000000000,AND(COUNTA(C648:C1350)=0,P$3=TRUE))),
ROUNDDOWN((AB$1-AC$1)*MAX(INDEX(T$4:T1350,MATCH(LARGE(FILTER(Y$4:Y1350,Y$4"&amp;":Y1350&lt;1000000000),1),Y$4:Y1350)),INDEX(F$4:F1350,MATCH(LARGE(FILTER(K$4:K1350,K$4:K1350&lt;1000000000),1),K$4:K1350)))),AND(K648&lt;1000000000,COUNTA(C648:C1350)&gt;0,P$3=FALSE),
ROUNDDOWN(INDEX(Y$4:Y1350,MATCH(LARGE(FILTER(W$4:W1350,W$4:W1350&lt;=I648),1),W$4:W1350"&amp;"))+(I648-LARGE(FILTER(W$4:W1350,W$4:W1350&lt;=I648),1))*INDEX(T$4:T1350,MATCH(LARGE(FILTER(W$4:W1350,W$4:W1350&lt;=I648),1),W$4:W1350))-K648),1,
ROUNDDOWN(Y648-INDEX(K$4:K1350,MATCH(LARGE(FILTER(I$4:I1350,I$4:I1350&lt;=W648),1),I$4:I1350))-(W648-LARGE(FILTER(I$4:I"&amp;"1350,I$4:I1350&lt;=W648),1))*INDEX(F$4:F1350,MATCH(LARGE(FILTER(I$4:I1350,I$4:I1350&lt;=W648),1),I$4:I1350))))"),"")</f>
        <v/>
      </c>
      <c r="N648" s="60" t="str">
        <f t="shared" si="8"/>
        <v/>
      </c>
      <c r="O648" s="61" t="str">
        <f t="shared" si="9"/>
        <v/>
      </c>
      <c r="P648" s="56" t="str">
        <f t="shared" si="10"/>
        <v/>
      </c>
      <c r="Q648" s="62"/>
      <c r="R648" s="10" t="str">
        <f>IFERROR(__xludf.DUMMYFUNCTION("IF(COUNTA(Q648:Q1350)=0,"""",IF(ISBLANK(Q648),FALSE,IF(NOT(COUNTIF($AA$24:$AA$34,SUBSTITUTE(Q648,""Sell_"",""""))),1,IF(REGEXMATCH(Q648,""Sell_""),IF(COUNTIF(Q$4:Q648,SUBSTITUTE(Q648,""Sell_"",""""))-COUNTIF(Q$4:Q647,Q648)&lt;1,1),FALSE))))"),"")</f>
        <v/>
      </c>
      <c r="S648" s="59" t="str">
        <f t="array" ref="S648">IF(COUNTA(Q648:Q1350)=0,"",SUM((COUNTIF(Q$4:Q648,Upgrades!$B$3:$B$13)-COUNTIF(Q$4:Q648,"Sell_"&amp;Upgrades!$B$3:$B$13))*Upgrades!$D$3:$D$13))</f>
        <v/>
      </c>
      <c r="T648" s="66" t="str">
        <f>IFERROR(__xludf.DUMMYFUNCTION("IF(COUNTA(Q648:Q1350)=0,"""",IF(REGEXMATCH(INDEX(FILTER(Q$4:Q648,Q$4:Q648&lt;&gt;""""),ROWS(FILTER(Q$4:Q648,Q$4:Q648&lt;&gt;""""))),""^Sell_""),INDEX(FILTER(T$4:T647,Q$4:Q647&lt;&gt;""""),ROWS(FILTER(Q$4:Q647,Q$4:Q647&lt;&gt;""""))),$AD$5+S648))"),"")</f>
        <v/>
      </c>
      <c r="U648" s="10" t="str">
        <f>IFERROR(__xludf.DUMMYFUNCTION("IF(COUNTA(Q648:Q1350)=0,"""",IF(Q648="""",0,IF(REGEXMATCH(Q648,""^Sell_""),-ROUNDDOWN(ROUNDUP(INDEX(Upgrades!$C$3:$C$13,MATCH(SUBSTITUTE(Q648,""Sell_"",""""),Upgrades!$B$3:$B$13,0))*1.15^(COUNTIF(Q$4:Q647,SUBSTITUTE(Q648,""Sell_"",""""))-COUNTIF(Q$4:Q647,"&amp;"""Sell_""&amp;SUBSTITUTE(Q648,""Sell_"",""""))))/2),ROUNDUP(INDEX(Upgrades!$C$3:$C$13,MATCH(Q648,Upgrades!$B$3:$B$13,0))*1.15^(COUNTIF(Q$4:Q647,Q648)-COUNTIF(Q$4:Q647,""Sell_""&amp;Q648))))))"),"")</f>
        <v/>
      </c>
      <c r="V648" s="10" t="str">
        <f t="shared" si="11"/>
        <v/>
      </c>
      <c r="W648" s="68" t="str">
        <f t="shared" si="12"/>
        <v/>
      </c>
      <c r="X648" s="59" t="str">
        <f t="shared" si="13"/>
        <v/>
      </c>
      <c r="Y648" s="69" t="str">
        <f t="shared" si="14"/>
        <v/>
      </c>
      <c r="Z648" s="11"/>
    </row>
    <row r="649">
      <c r="A649" s="8"/>
      <c r="B649" s="56" t="str">
        <f t="shared" si="2"/>
        <v/>
      </c>
      <c r="C649" s="57"/>
      <c r="D649" s="10" t="str">
        <f>IFERROR(__xludf.DUMMYFUNCTION("IF(COUNTA(C649:C1350)=0,"""",IF(ISBLANK(C649),FALSE,IF(NOT(COUNTIF($AA$24:$AA$34,SUBSTITUTE(C649,""Sell_"",""""))),1,IF(REGEXMATCH(C649,""Sell_""),IF(COUNTIF(C$4:C649,SUBSTITUTE(C649,""Sell_"",""""))-COUNTIF(C$4:C648,C649)&lt;1,1),FALSE))))"),"")</f>
        <v/>
      </c>
      <c r="E649" s="59" t="str">
        <f t="array" ref="E649">IF(COUNTA(C649:C1350)=0,"",SUM((COUNTIF(C$4:C649,Upgrades!$B$3:$B$13)-COUNTIF(C$4:C649,"Sell_"&amp;Upgrades!$B$3:$B$13))*Upgrades!$D$3:$D$13))</f>
        <v/>
      </c>
      <c r="F649" s="66" t="str">
        <f>IFERROR(__xludf.DUMMYFUNCTION("IF(COUNTA(C649:C1350)=0,"""",IF(REGEXMATCH(INDEX(FILTER(C$4:C649,C$4:C649&lt;&gt;""""),ROWS(FILTER(C$4:C649,C$4:C649&lt;&gt;""""))),""^Sell_""),INDEX(FILTER(F$4:F648,C$4:C648&lt;&gt;""""),ROWS(FILTER(C$4:C648,C$4:C648&lt;&gt;""""))),$AC$5+E649))"),"")</f>
        <v/>
      </c>
      <c r="G649" s="10" t="str">
        <f>IFERROR(__xludf.DUMMYFUNCTION("IF(COUNTA(C649:C1350)=0,"""",IF(C649="""",0,IF(REGEXMATCH(C649,""^Sell_""),-ROUNDDOWN(ROUNDUP(INDEX(Upgrades!$C$3:$C$13,MATCH(SUBSTITUTE(C649,""Sell_"",""""),Upgrades!$B$3:$B$13,0))*1.15^(COUNTIF(C$4:C648,SUBSTITUTE(C649,""Sell_"",""""))-COUNTIF(C$4:C648,"&amp;"""Sell_""&amp;SUBSTITUTE(C649,""Sell_"",""""))))/2),ROUNDUP(INDEX(Upgrades!$C$3:$C$13,MATCH(C649,Upgrades!$B$3:$B$13,0))*1.15^(COUNTIF(C$4:C648,C649)-COUNTIF(C$4:C648,""Sell_""&amp;C649))))))"),"")</f>
        <v/>
      </c>
      <c r="H649" s="10" t="str">
        <f t="shared" si="3"/>
        <v/>
      </c>
      <c r="I649" s="68" t="str">
        <f t="shared" si="4"/>
        <v/>
      </c>
      <c r="J649" s="59" t="str">
        <f t="shared" si="5"/>
        <v/>
      </c>
      <c r="K649" s="69" t="str">
        <f t="shared" si="6"/>
        <v/>
      </c>
      <c r="L649" s="60" t="str">
        <f t="shared" si="7"/>
        <v/>
      </c>
      <c r="M649" s="61" t="str">
        <f>IFERROR(__xludf.DUMMYFUNCTION("IFS(AND(COUNTA(C649:C1350)=0,COUNTA(Q649:Q1350)=0),"""",OR(AND(K649&gt;=1000000000,OR(Y649&gt;=1000000000,COUNTA(Q649:Q1350)=0)),OR(Y649&gt;=1000000000,AND(COUNTA(C649:C1350)=0,P$3=TRUE))),
ROUNDDOWN((AB$1-AC$1)*MAX(INDEX(T$4:T1350,MATCH(LARGE(FILTER(Y$4:Y1350,Y$4"&amp;":Y1350&lt;1000000000),1),Y$4:Y1350)),INDEX(F$4:F1350,MATCH(LARGE(FILTER(K$4:K1350,K$4:K1350&lt;1000000000),1),K$4:K1350)))),AND(K649&lt;1000000000,COUNTA(C649:C1350)&gt;0,P$3=FALSE),
ROUNDDOWN(INDEX(Y$4:Y1350,MATCH(LARGE(FILTER(W$4:W1350,W$4:W1350&lt;=I649),1),W$4:W1350"&amp;"))+(I649-LARGE(FILTER(W$4:W1350,W$4:W1350&lt;=I649),1))*INDEX(T$4:T1350,MATCH(LARGE(FILTER(W$4:W1350,W$4:W1350&lt;=I649),1),W$4:W1350))-K649),1,
ROUNDDOWN(Y649-INDEX(K$4:K1350,MATCH(LARGE(FILTER(I$4:I1350,I$4:I1350&lt;=W649),1),I$4:I1350))-(W649-LARGE(FILTER(I$4:I"&amp;"1350,I$4:I1350&lt;=W649),1))*INDEX(F$4:F1350,MATCH(LARGE(FILTER(I$4:I1350,I$4:I1350&lt;=W649),1),I$4:I1350))))"),"")</f>
        <v/>
      </c>
      <c r="N649" s="60" t="str">
        <f t="shared" si="8"/>
        <v/>
      </c>
      <c r="O649" s="61" t="str">
        <f t="shared" si="9"/>
        <v/>
      </c>
      <c r="P649" s="56" t="str">
        <f t="shared" si="10"/>
        <v/>
      </c>
      <c r="Q649" s="62"/>
      <c r="R649" s="10" t="str">
        <f>IFERROR(__xludf.DUMMYFUNCTION("IF(COUNTA(Q649:Q1350)=0,"""",IF(ISBLANK(Q649),FALSE,IF(NOT(COUNTIF($AA$24:$AA$34,SUBSTITUTE(Q649,""Sell_"",""""))),1,IF(REGEXMATCH(Q649,""Sell_""),IF(COUNTIF(Q$4:Q649,SUBSTITUTE(Q649,""Sell_"",""""))-COUNTIF(Q$4:Q648,Q649)&lt;1,1),FALSE))))"),"")</f>
        <v/>
      </c>
      <c r="S649" s="59" t="str">
        <f t="array" ref="S649">IF(COUNTA(Q649:Q1350)=0,"",SUM((COUNTIF(Q$4:Q649,Upgrades!$B$3:$B$13)-COUNTIF(Q$4:Q649,"Sell_"&amp;Upgrades!$B$3:$B$13))*Upgrades!$D$3:$D$13))</f>
        <v/>
      </c>
      <c r="T649" s="66" t="str">
        <f>IFERROR(__xludf.DUMMYFUNCTION("IF(COUNTA(Q649:Q1350)=0,"""",IF(REGEXMATCH(INDEX(FILTER(Q$4:Q649,Q$4:Q649&lt;&gt;""""),ROWS(FILTER(Q$4:Q649,Q$4:Q649&lt;&gt;""""))),""^Sell_""),INDEX(FILTER(T$4:T648,Q$4:Q648&lt;&gt;""""),ROWS(FILTER(Q$4:Q648,Q$4:Q648&lt;&gt;""""))),$AD$5+S649))"),"")</f>
        <v/>
      </c>
      <c r="U649" s="10" t="str">
        <f>IFERROR(__xludf.DUMMYFUNCTION("IF(COUNTA(Q649:Q1350)=0,"""",IF(Q649="""",0,IF(REGEXMATCH(Q649,""^Sell_""),-ROUNDDOWN(ROUNDUP(INDEX(Upgrades!$C$3:$C$13,MATCH(SUBSTITUTE(Q649,""Sell_"",""""),Upgrades!$B$3:$B$13,0))*1.15^(COUNTIF(Q$4:Q648,SUBSTITUTE(Q649,""Sell_"",""""))-COUNTIF(Q$4:Q648,"&amp;"""Sell_""&amp;SUBSTITUTE(Q649,""Sell_"",""""))))/2),ROUNDUP(INDEX(Upgrades!$C$3:$C$13,MATCH(Q649,Upgrades!$B$3:$B$13,0))*1.15^(COUNTIF(Q$4:Q648,Q649)-COUNTIF(Q$4:Q648,""Sell_""&amp;Q649))))))"),"")</f>
        <v/>
      </c>
      <c r="V649" s="10" t="str">
        <f t="shared" si="11"/>
        <v/>
      </c>
      <c r="W649" s="68" t="str">
        <f t="shared" si="12"/>
        <v/>
      </c>
      <c r="X649" s="59" t="str">
        <f t="shared" si="13"/>
        <v/>
      </c>
      <c r="Y649" s="69" t="str">
        <f t="shared" si="14"/>
        <v/>
      </c>
      <c r="Z649" s="11"/>
    </row>
    <row r="650">
      <c r="A650" s="8"/>
      <c r="B650" s="56" t="str">
        <f t="shared" si="2"/>
        <v/>
      </c>
      <c r="C650" s="57"/>
      <c r="D650" s="10" t="str">
        <f>IFERROR(__xludf.DUMMYFUNCTION("IF(COUNTA(C650:C1350)=0,"""",IF(ISBLANK(C650),FALSE,IF(NOT(COUNTIF($AA$24:$AA$34,SUBSTITUTE(C650,""Sell_"",""""))),1,IF(REGEXMATCH(C650,""Sell_""),IF(COUNTIF(C$4:C650,SUBSTITUTE(C650,""Sell_"",""""))-COUNTIF(C$4:C649,C650)&lt;1,1),FALSE))))"),"")</f>
        <v/>
      </c>
      <c r="E650" s="59" t="str">
        <f t="array" ref="E650">IF(COUNTA(C650:C1350)=0,"",SUM((COUNTIF(C$4:C650,Upgrades!$B$3:$B$13)-COUNTIF(C$4:C650,"Sell_"&amp;Upgrades!$B$3:$B$13))*Upgrades!$D$3:$D$13))</f>
        <v/>
      </c>
      <c r="F650" s="66" t="str">
        <f>IFERROR(__xludf.DUMMYFUNCTION("IF(COUNTA(C650:C1350)=0,"""",IF(REGEXMATCH(INDEX(FILTER(C$4:C650,C$4:C650&lt;&gt;""""),ROWS(FILTER(C$4:C650,C$4:C650&lt;&gt;""""))),""^Sell_""),INDEX(FILTER(F$4:F649,C$4:C649&lt;&gt;""""),ROWS(FILTER(C$4:C649,C$4:C649&lt;&gt;""""))),$AC$5+E650))"),"")</f>
        <v/>
      </c>
      <c r="G650" s="10" t="str">
        <f>IFERROR(__xludf.DUMMYFUNCTION("IF(COUNTA(C650:C1350)=0,"""",IF(C650="""",0,IF(REGEXMATCH(C650,""^Sell_""),-ROUNDDOWN(ROUNDUP(INDEX(Upgrades!$C$3:$C$13,MATCH(SUBSTITUTE(C650,""Sell_"",""""),Upgrades!$B$3:$B$13,0))*1.15^(COUNTIF(C$4:C649,SUBSTITUTE(C650,""Sell_"",""""))-COUNTIF(C$4:C649,"&amp;"""Sell_""&amp;SUBSTITUTE(C650,""Sell_"",""""))))/2),ROUNDUP(INDEX(Upgrades!$C$3:$C$13,MATCH(C650,Upgrades!$B$3:$B$13,0))*1.15^(COUNTIF(C$4:C649,C650)-COUNTIF(C$4:C649,""Sell_""&amp;C650))))))"),"")</f>
        <v/>
      </c>
      <c r="H650" s="10" t="str">
        <f t="shared" si="3"/>
        <v/>
      </c>
      <c r="I650" s="68" t="str">
        <f t="shared" si="4"/>
        <v/>
      </c>
      <c r="J650" s="59" t="str">
        <f t="shared" si="5"/>
        <v/>
      </c>
      <c r="K650" s="69" t="str">
        <f t="shared" si="6"/>
        <v/>
      </c>
      <c r="L650" s="60" t="str">
        <f t="shared" si="7"/>
        <v/>
      </c>
      <c r="M650" s="61" t="str">
        <f>IFERROR(__xludf.DUMMYFUNCTION("IFS(AND(COUNTA(C650:C1350)=0,COUNTA(Q650:Q1350)=0),"""",OR(AND(K650&gt;=1000000000,OR(Y650&gt;=1000000000,COUNTA(Q650:Q1350)=0)),OR(Y650&gt;=1000000000,AND(COUNTA(C650:C1350)=0,P$3=TRUE))),
ROUNDDOWN((AB$1-AC$1)*MAX(INDEX(T$4:T1350,MATCH(LARGE(FILTER(Y$4:Y1350,Y$4"&amp;":Y1350&lt;1000000000),1),Y$4:Y1350)),INDEX(F$4:F1350,MATCH(LARGE(FILTER(K$4:K1350,K$4:K1350&lt;1000000000),1),K$4:K1350)))),AND(K650&lt;1000000000,COUNTA(C650:C1350)&gt;0,P$3=FALSE),
ROUNDDOWN(INDEX(Y$4:Y1350,MATCH(LARGE(FILTER(W$4:W1350,W$4:W1350&lt;=I650),1),W$4:W1350"&amp;"))+(I650-LARGE(FILTER(W$4:W1350,W$4:W1350&lt;=I650),1))*INDEX(T$4:T1350,MATCH(LARGE(FILTER(W$4:W1350,W$4:W1350&lt;=I650),1),W$4:W1350))-K650),1,
ROUNDDOWN(Y650-INDEX(K$4:K1350,MATCH(LARGE(FILTER(I$4:I1350,I$4:I1350&lt;=W650),1),I$4:I1350))-(W650-LARGE(FILTER(I$4:I"&amp;"1350,I$4:I1350&lt;=W650),1))*INDEX(F$4:F1350,MATCH(LARGE(FILTER(I$4:I1350,I$4:I1350&lt;=W650),1),I$4:I1350))))"),"")</f>
        <v/>
      </c>
      <c r="N650" s="60" t="str">
        <f t="shared" si="8"/>
        <v/>
      </c>
      <c r="O650" s="61" t="str">
        <f t="shared" si="9"/>
        <v/>
      </c>
      <c r="P650" s="56" t="str">
        <f t="shared" si="10"/>
        <v/>
      </c>
      <c r="Q650" s="62"/>
      <c r="R650" s="10" t="str">
        <f>IFERROR(__xludf.DUMMYFUNCTION("IF(COUNTA(Q650:Q1350)=0,"""",IF(ISBLANK(Q650),FALSE,IF(NOT(COUNTIF($AA$24:$AA$34,SUBSTITUTE(Q650,""Sell_"",""""))),1,IF(REGEXMATCH(Q650,""Sell_""),IF(COUNTIF(Q$4:Q650,SUBSTITUTE(Q650,""Sell_"",""""))-COUNTIF(Q$4:Q649,Q650)&lt;1,1),FALSE))))"),"")</f>
        <v/>
      </c>
      <c r="S650" s="59" t="str">
        <f t="array" ref="S650">IF(COUNTA(Q650:Q1350)=0,"",SUM((COUNTIF(Q$4:Q650,Upgrades!$B$3:$B$13)-COUNTIF(Q$4:Q650,"Sell_"&amp;Upgrades!$B$3:$B$13))*Upgrades!$D$3:$D$13))</f>
        <v/>
      </c>
      <c r="T650" s="66" t="str">
        <f>IFERROR(__xludf.DUMMYFUNCTION("IF(COUNTA(Q650:Q1350)=0,"""",IF(REGEXMATCH(INDEX(FILTER(Q$4:Q650,Q$4:Q650&lt;&gt;""""),ROWS(FILTER(Q$4:Q650,Q$4:Q650&lt;&gt;""""))),""^Sell_""),INDEX(FILTER(T$4:T649,Q$4:Q649&lt;&gt;""""),ROWS(FILTER(Q$4:Q649,Q$4:Q649&lt;&gt;""""))),$AD$5+S650))"),"")</f>
        <v/>
      </c>
      <c r="U650" s="10" t="str">
        <f>IFERROR(__xludf.DUMMYFUNCTION("IF(COUNTA(Q650:Q1350)=0,"""",IF(Q650="""",0,IF(REGEXMATCH(Q650,""^Sell_""),-ROUNDDOWN(ROUNDUP(INDEX(Upgrades!$C$3:$C$13,MATCH(SUBSTITUTE(Q650,""Sell_"",""""),Upgrades!$B$3:$B$13,0))*1.15^(COUNTIF(Q$4:Q649,SUBSTITUTE(Q650,""Sell_"",""""))-COUNTIF(Q$4:Q649,"&amp;"""Sell_""&amp;SUBSTITUTE(Q650,""Sell_"",""""))))/2),ROUNDUP(INDEX(Upgrades!$C$3:$C$13,MATCH(Q650,Upgrades!$B$3:$B$13,0))*1.15^(COUNTIF(Q$4:Q649,Q650)-COUNTIF(Q$4:Q649,""Sell_""&amp;Q650))))))"),"")</f>
        <v/>
      </c>
      <c r="V650" s="10" t="str">
        <f t="shared" si="11"/>
        <v/>
      </c>
      <c r="W650" s="68" t="str">
        <f t="shared" si="12"/>
        <v/>
      </c>
      <c r="X650" s="59" t="str">
        <f t="shared" si="13"/>
        <v/>
      </c>
      <c r="Y650" s="69" t="str">
        <f t="shared" si="14"/>
        <v/>
      </c>
      <c r="Z650" s="11"/>
    </row>
    <row r="651">
      <c r="A651" s="8"/>
      <c r="B651" s="56" t="str">
        <f t="shared" si="2"/>
        <v/>
      </c>
      <c r="C651" s="57"/>
      <c r="D651" s="10" t="str">
        <f>IFERROR(__xludf.DUMMYFUNCTION("IF(COUNTA(C651:C1350)=0,"""",IF(ISBLANK(C651),FALSE,IF(NOT(COUNTIF($AA$24:$AA$34,SUBSTITUTE(C651,""Sell_"",""""))),1,IF(REGEXMATCH(C651,""Sell_""),IF(COUNTIF(C$4:C651,SUBSTITUTE(C651,""Sell_"",""""))-COUNTIF(C$4:C650,C651)&lt;1,1),FALSE))))"),"")</f>
        <v/>
      </c>
      <c r="E651" s="59" t="str">
        <f t="array" ref="E651">IF(COUNTA(C651:C1350)=0,"",SUM((COUNTIF(C$4:C651,Upgrades!$B$3:$B$13)-COUNTIF(C$4:C651,"Sell_"&amp;Upgrades!$B$3:$B$13))*Upgrades!$D$3:$D$13))</f>
        <v/>
      </c>
      <c r="F651" s="66" t="str">
        <f>IFERROR(__xludf.DUMMYFUNCTION("IF(COUNTA(C651:C1350)=0,"""",IF(REGEXMATCH(INDEX(FILTER(C$4:C651,C$4:C651&lt;&gt;""""),ROWS(FILTER(C$4:C651,C$4:C651&lt;&gt;""""))),""^Sell_""),INDEX(FILTER(F$4:F650,C$4:C650&lt;&gt;""""),ROWS(FILTER(C$4:C650,C$4:C650&lt;&gt;""""))),$AC$5+E651))"),"")</f>
        <v/>
      </c>
      <c r="G651" s="10" t="str">
        <f>IFERROR(__xludf.DUMMYFUNCTION("IF(COUNTA(C651:C1350)=0,"""",IF(C651="""",0,IF(REGEXMATCH(C651,""^Sell_""),-ROUNDDOWN(ROUNDUP(INDEX(Upgrades!$C$3:$C$13,MATCH(SUBSTITUTE(C651,""Sell_"",""""),Upgrades!$B$3:$B$13,0))*1.15^(COUNTIF(C$4:C650,SUBSTITUTE(C651,""Sell_"",""""))-COUNTIF(C$4:C650,"&amp;"""Sell_""&amp;SUBSTITUTE(C651,""Sell_"",""""))))/2),ROUNDUP(INDEX(Upgrades!$C$3:$C$13,MATCH(C651,Upgrades!$B$3:$B$13,0))*1.15^(COUNTIF(C$4:C650,C651)-COUNTIF(C$4:C650,""Sell_""&amp;C651))))))"),"")</f>
        <v/>
      </c>
      <c r="H651" s="10" t="str">
        <f t="shared" si="3"/>
        <v/>
      </c>
      <c r="I651" s="68" t="str">
        <f t="shared" si="4"/>
        <v/>
      </c>
      <c r="J651" s="59" t="str">
        <f t="shared" si="5"/>
        <v/>
      </c>
      <c r="K651" s="69" t="str">
        <f t="shared" si="6"/>
        <v/>
      </c>
      <c r="L651" s="60" t="str">
        <f t="shared" si="7"/>
        <v/>
      </c>
      <c r="M651" s="61" t="str">
        <f>IFERROR(__xludf.DUMMYFUNCTION("IFS(AND(COUNTA(C651:C1350)=0,COUNTA(Q651:Q1350)=0),"""",OR(AND(K651&gt;=1000000000,OR(Y651&gt;=1000000000,COUNTA(Q651:Q1350)=0)),OR(Y651&gt;=1000000000,AND(COUNTA(C651:C1350)=0,P$3=TRUE))),
ROUNDDOWN((AB$1-AC$1)*MAX(INDEX(T$4:T1350,MATCH(LARGE(FILTER(Y$4:Y1350,Y$4"&amp;":Y1350&lt;1000000000),1),Y$4:Y1350)),INDEX(F$4:F1350,MATCH(LARGE(FILTER(K$4:K1350,K$4:K1350&lt;1000000000),1),K$4:K1350)))),AND(K651&lt;1000000000,COUNTA(C651:C1350)&gt;0,P$3=FALSE),
ROUNDDOWN(INDEX(Y$4:Y1350,MATCH(LARGE(FILTER(W$4:W1350,W$4:W1350&lt;=I651),1),W$4:W1350"&amp;"))+(I651-LARGE(FILTER(W$4:W1350,W$4:W1350&lt;=I651),1))*INDEX(T$4:T1350,MATCH(LARGE(FILTER(W$4:W1350,W$4:W1350&lt;=I651),1),W$4:W1350))-K651),1,
ROUNDDOWN(Y651-INDEX(K$4:K1350,MATCH(LARGE(FILTER(I$4:I1350,I$4:I1350&lt;=W651),1),I$4:I1350))-(W651-LARGE(FILTER(I$4:I"&amp;"1350,I$4:I1350&lt;=W651),1))*INDEX(F$4:F1350,MATCH(LARGE(FILTER(I$4:I1350,I$4:I1350&lt;=W651),1),I$4:I1350))))"),"")</f>
        <v/>
      </c>
      <c r="N651" s="60" t="str">
        <f t="shared" si="8"/>
        <v/>
      </c>
      <c r="O651" s="61" t="str">
        <f t="shared" si="9"/>
        <v/>
      </c>
      <c r="P651" s="56" t="str">
        <f t="shared" si="10"/>
        <v/>
      </c>
      <c r="Q651" s="62"/>
      <c r="R651" s="10" t="str">
        <f>IFERROR(__xludf.DUMMYFUNCTION("IF(COUNTA(Q651:Q1350)=0,"""",IF(ISBLANK(Q651),FALSE,IF(NOT(COUNTIF($AA$24:$AA$34,SUBSTITUTE(Q651,""Sell_"",""""))),1,IF(REGEXMATCH(Q651,""Sell_""),IF(COUNTIF(Q$4:Q651,SUBSTITUTE(Q651,""Sell_"",""""))-COUNTIF(Q$4:Q650,Q651)&lt;1,1),FALSE))))"),"")</f>
        <v/>
      </c>
      <c r="S651" s="59" t="str">
        <f t="array" ref="S651">IF(COUNTA(Q651:Q1350)=0,"",SUM((COUNTIF(Q$4:Q651,Upgrades!$B$3:$B$13)-COUNTIF(Q$4:Q651,"Sell_"&amp;Upgrades!$B$3:$B$13))*Upgrades!$D$3:$D$13))</f>
        <v/>
      </c>
      <c r="T651" s="66" t="str">
        <f>IFERROR(__xludf.DUMMYFUNCTION("IF(COUNTA(Q651:Q1350)=0,"""",IF(REGEXMATCH(INDEX(FILTER(Q$4:Q651,Q$4:Q651&lt;&gt;""""),ROWS(FILTER(Q$4:Q651,Q$4:Q651&lt;&gt;""""))),""^Sell_""),INDEX(FILTER(T$4:T650,Q$4:Q650&lt;&gt;""""),ROWS(FILTER(Q$4:Q650,Q$4:Q650&lt;&gt;""""))),$AD$5+S651))"),"")</f>
        <v/>
      </c>
      <c r="U651" s="10" t="str">
        <f>IFERROR(__xludf.DUMMYFUNCTION("IF(COUNTA(Q651:Q1350)=0,"""",IF(Q651="""",0,IF(REGEXMATCH(Q651,""^Sell_""),-ROUNDDOWN(ROUNDUP(INDEX(Upgrades!$C$3:$C$13,MATCH(SUBSTITUTE(Q651,""Sell_"",""""),Upgrades!$B$3:$B$13,0))*1.15^(COUNTIF(Q$4:Q650,SUBSTITUTE(Q651,""Sell_"",""""))-COUNTIF(Q$4:Q650,"&amp;"""Sell_""&amp;SUBSTITUTE(Q651,""Sell_"",""""))))/2),ROUNDUP(INDEX(Upgrades!$C$3:$C$13,MATCH(Q651,Upgrades!$B$3:$B$13,0))*1.15^(COUNTIF(Q$4:Q650,Q651)-COUNTIF(Q$4:Q650,""Sell_""&amp;Q651))))))"),"")</f>
        <v/>
      </c>
      <c r="V651" s="10" t="str">
        <f t="shared" si="11"/>
        <v/>
      </c>
      <c r="W651" s="68" t="str">
        <f t="shared" si="12"/>
        <v/>
      </c>
      <c r="X651" s="59" t="str">
        <f t="shared" si="13"/>
        <v/>
      </c>
      <c r="Y651" s="69" t="str">
        <f t="shared" si="14"/>
        <v/>
      </c>
      <c r="Z651" s="11"/>
    </row>
    <row r="652">
      <c r="A652" s="8"/>
      <c r="B652" s="56" t="str">
        <f t="shared" si="2"/>
        <v/>
      </c>
      <c r="C652" s="57"/>
      <c r="D652" s="10" t="str">
        <f>IFERROR(__xludf.DUMMYFUNCTION("IF(COUNTA(C652:C1350)=0,"""",IF(ISBLANK(C652),FALSE,IF(NOT(COUNTIF($AA$24:$AA$34,SUBSTITUTE(C652,""Sell_"",""""))),1,IF(REGEXMATCH(C652,""Sell_""),IF(COUNTIF(C$4:C652,SUBSTITUTE(C652,""Sell_"",""""))-COUNTIF(C$4:C651,C652)&lt;1,1),FALSE))))"),"")</f>
        <v/>
      </c>
      <c r="E652" s="59" t="str">
        <f t="array" ref="E652">IF(COUNTA(C652:C1350)=0,"",SUM((COUNTIF(C$4:C652,Upgrades!$B$3:$B$13)-COUNTIF(C$4:C652,"Sell_"&amp;Upgrades!$B$3:$B$13))*Upgrades!$D$3:$D$13))</f>
        <v/>
      </c>
      <c r="F652" s="66" t="str">
        <f>IFERROR(__xludf.DUMMYFUNCTION("IF(COUNTA(C652:C1350)=0,"""",IF(REGEXMATCH(INDEX(FILTER(C$4:C652,C$4:C652&lt;&gt;""""),ROWS(FILTER(C$4:C652,C$4:C652&lt;&gt;""""))),""^Sell_""),INDEX(FILTER(F$4:F651,C$4:C651&lt;&gt;""""),ROWS(FILTER(C$4:C651,C$4:C651&lt;&gt;""""))),$AC$5+E652))"),"")</f>
        <v/>
      </c>
      <c r="G652" s="10" t="str">
        <f>IFERROR(__xludf.DUMMYFUNCTION("IF(COUNTA(C652:C1350)=0,"""",IF(C652="""",0,IF(REGEXMATCH(C652,""^Sell_""),-ROUNDDOWN(ROUNDUP(INDEX(Upgrades!$C$3:$C$13,MATCH(SUBSTITUTE(C652,""Sell_"",""""),Upgrades!$B$3:$B$13,0))*1.15^(COUNTIF(C$4:C651,SUBSTITUTE(C652,""Sell_"",""""))-COUNTIF(C$4:C651,"&amp;"""Sell_""&amp;SUBSTITUTE(C652,""Sell_"",""""))))/2),ROUNDUP(INDEX(Upgrades!$C$3:$C$13,MATCH(C652,Upgrades!$B$3:$B$13,0))*1.15^(COUNTIF(C$4:C651,C652)-COUNTIF(C$4:C651,""Sell_""&amp;C652))))))"),"")</f>
        <v/>
      </c>
      <c r="H652" s="10" t="str">
        <f t="shared" si="3"/>
        <v/>
      </c>
      <c r="I652" s="68" t="str">
        <f t="shared" si="4"/>
        <v/>
      </c>
      <c r="J652" s="59" t="str">
        <f t="shared" si="5"/>
        <v/>
      </c>
      <c r="K652" s="69" t="str">
        <f t="shared" si="6"/>
        <v/>
      </c>
      <c r="L652" s="60" t="str">
        <f t="shared" si="7"/>
        <v/>
      </c>
      <c r="M652" s="61" t="str">
        <f>IFERROR(__xludf.DUMMYFUNCTION("IFS(AND(COUNTA(C652:C1350)=0,COUNTA(Q652:Q1350)=0),"""",OR(AND(K652&gt;=1000000000,OR(Y652&gt;=1000000000,COUNTA(Q652:Q1350)=0)),OR(Y652&gt;=1000000000,AND(COUNTA(C652:C1350)=0,P$3=TRUE))),
ROUNDDOWN((AB$1-AC$1)*MAX(INDEX(T$4:T1350,MATCH(LARGE(FILTER(Y$4:Y1350,Y$4"&amp;":Y1350&lt;1000000000),1),Y$4:Y1350)),INDEX(F$4:F1350,MATCH(LARGE(FILTER(K$4:K1350,K$4:K1350&lt;1000000000),1),K$4:K1350)))),AND(K652&lt;1000000000,COUNTA(C652:C1350)&gt;0,P$3=FALSE),
ROUNDDOWN(INDEX(Y$4:Y1350,MATCH(LARGE(FILTER(W$4:W1350,W$4:W1350&lt;=I652),1),W$4:W1350"&amp;"))+(I652-LARGE(FILTER(W$4:W1350,W$4:W1350&lt;=I652),1))*INDEX(T$4:T1350,MATCH(LARGE(FILTER(W$4:W1350,W$4:W1350&lt;=I652),1),W$4:W1350))-K652),1,
ROUNDDOWN(Y652-INDEX(K$4:K1350,MATCH(LARGE(FILTER(I$4:I1350,I$4:I1350&lt;=W652),1),I$4:I1350))-(W652-LARGE(FILTER(I$4:I"&amp;"1350,I$4:I1350&lt;=W652),1))*INDEX(F$4:F1350,MATCH(LARGE(FILTER(I$4:I1350,I$4:I1350&lt;=W652),1),I$4:I1350))))"),"")</f>
        <v/>
      </c>
      <c r="N652" s="60" t="str">
        <f t="shared" si="8"/>
        <v/>
      </c>
      <c r="O652" s="61" t="str">
        <f t="shared" si="9"/>
        <v/>
      </c>
      <c r="P652" s="56" t="str">
        <f t="shared" si="10"/>
        <v/>
      </c>
      <c r="Q652" s="62"/>
      <c r="R652" s="10" t="str">
        <f>IFERROR(__xludf.DUMMYFUNCTION("IF(COUNTA(Q652:Q1350)=0,"""",IF(ISBLANK(Q652),FALSE,IF(NOT(COUNTIF($AA$24:$AA$34,SUBSTITUTE(Q652,""Sell_"",""""))),1,IF(REGEXMATCH(Q652,""Sell_""),IF(COUNTIF(Q$4:Q652,SUBSTITUTE(Q652,""Sell_"",""""))-COUNTIF(Q$4:Q651,Q652)&lt;1,1),FALSE))))"),"")</f>
        <v/>
      </c>
      <c r="S652" s="59" t="str">
        <f t="array" ref="S652">IF(COUNTA(Q652:Q1350)=0,"",SUM((COUNTIF(Q$4:Q652,Upgrades!$B$3:$B$13)-COUNTIF(Q$4:Q652,"Sell_"&amp;Upgrades!$B$3:$B$13))*Upgrades!$D$3:$D$13))</f>
        <v/>
      </c>
      <c r="T652" s="66" t="str">
        <f>IFERROR(__xludf.DUMMYFUNCTION("IF(COUNTA(Q652:Q1350)=0,"""",IF(REGEXMATCH(INDEX(FILTER(Q$4:Q652,Q$4:Q652&lt;&gt;""""),ROWS(FILTER(Q$4:Q652,Q$4:Q652&lt;&gt;""""))),""^Sell_""),INDEX(FILTER(T$4:T651,Q$4:Q651&lt;&gt;""""),ROWS(FILTER(Q$4:Q651,Q$4:Q651&lt;&gt;""""))),$AD$5+S652))"),"")</f>
        <v/>
      </c>
      <c r="U652" s="10" t="str">
        <f>IFERROR(__xludf.DUMMYFUNCTION("IF(COUNTA(Q652:Q1350)=0,"""",IF(Q652="""",0,IF(REGEXMATCH(Q652,""^Sell_""),-ROUNDDOWN(ROUNDUP(INDEX(Upgrades!$C$3:$C$13,MATCH(SUBSTITUTE(Q652,""Sell_"",""""),Upgrades!$B$3:$B$13,0))*1.15^(COUNTIF(Q$4:Q651,SUBSTITUTE(Q652,""Sell_"",""""))-COUNTIF(Q$4:Q651,"&amp;"""Sell_""&amp;SUBSTITUTE(Q652,""Sell_"",""""))))/2),ROUNDUP(INDEX(Upgrades!$C$3:$C$13,MATCH(Q652,Upgrades!$B$3:$B$13,0))*1.15^(COUNTIF(Q$4:Q651,Q652)-COUNTIF(Q$4:Q651,""Sell_""&amp;Q652))))))"),"")</f>
        <v/>
      </c>
      <c r="V652" s="10" t="str">
        <f t="shared" si="11"/>
        <v/>
      </c>
      <c r="W652" s="68" t="str">
        <f t="shared" si="12"/>
        <v/>
      </c>
      <c r="X652" s="59" t="str">
        <f t="shared" si="13"/>
        <v/>
      </c>
      <c r="Y652" s="69" t="str">
        <f t="shared" si="14"/>
        <v/>
      </c>
      <c r="Z652" s="11"/>
    </row>
    <row r="653">
      <c r="A653" s="8"/>
      <c r="B653" s="56" t="str">
        <f t="shared" si="2"/>
        <v/>
      </c>
      <c r="C653" s="57"/>
      <c r="D653" s="10" t="str">
        <f>IFERROR(__xludf.DUMMYFUNCTION("IF(COUNTA(C653:C1350)=0,"""",IF(ISBLANK(C653),FALSE,IF(NOT(COUNTIF($AA$24:$AA$34,SUBSTITUTE(C653,""Sell_"",""""))),1,IF(REGEXMATCH(C653,""Sell_""),IF(COUNTIF(C$4:C653,SUBSTITUTE(C653,""Sell_"",""""))-COUNTIF(C$4:C652,C653)&lt;1,1),FALSE))))"),"")</f>
        <v/>
      </c>
      <c r="E653" s="59" t="str">
        <f t="array" ref="E653">IF(COUNTA(C653:C1350)=0,"",SUM((COUNTIF(C$4:C653,Upgrades!$B$3:$B$13)-COUNTIF(C$4:C653,"Sell_"&amp;Upgrades!$B$3:$B$13))*Upgrades!$D$3:$D$13))</f>
        <v/>
      </c>
      <c r="F653" s="66" t="str">
        <f>IFERROR(__xludf.DUMMYFUNCTION("IF(COUNTA(C653:C1350)=0,"""",IF(REGEXMATCH(INDEX(FILTER(C$4:C653,C$4:C653&lt;&gt;""""),ROWS(FILTER(C$4:C653,C$4:C653&lt;&gt;""""))),""^Sell_""),INDEX(FILTER(F$4:F652,C$4:C652&lt;&gt;""""),ROWS(FILTER(C$4:C652,C$4:C652&lt;&gt;""""))),$AC$5+E653))"),"")</f>
        <v/>
      </c>
      <c r="G653" s="10" t="str">
        <f>IFERROR(__xludf.DUMMYFUNCTION("IF(COUNTA(C653:C1350)=0,"""",IF(C653="""",0,IF(REGEXMATCH(C653,""^Sell_""),-ROUNDDOWN(ROUNDUP(INDEX(Upgrades!$C$3:$C$13,MATCH(SUBSTITUTE(C653,""Sell_"",""""),Upgrades!$B$3:$B$13,0))*1.15^(COUNTIF(C$4:C652,SUBSTITUTE(C653,""Sell_"",""""))-COUNTIF(C$4:C652,"&amp;"""Sell_""&amp;SUBSTITUTE(C653,""Sell_"",""""))))/2),ROUNDUP(INDEX(Upgrades!$C$3:$C$13,MATCH(C653,Upgrades!$B$3:$B$13,0))*1.15^(COUNTIF(C$4:C652,C653)-COUNTIF(C$4:C652,""Sell_""&amp;C653))))))"),"")</f>
        <v/>
      </c>
      <c r="H653" s="10" t="str">
        <f t="shared" si="3"/>
        <v/>
      </c>
      <c r="I653" s="68" t="str">
        <f t="shared" si="4"/>
        <v/>
      </c>
      <c r="J653" s="59" t="str">
        <f t="shared" si="5"/>
        <v/>
      </c>
      <c r="K653" s="69" t="str">
        <f t="shared" si="6"/>
        <v/>
      </c>
      <c r="L653" s="60" t="str">
        <f t="shared" si="7"/>
        <v/>
      </c>
      <c r="M653" s="61" t="str">
        <f>IFERROR(__xludf.DUMMYFUNCTION("IFS(AND(COUNTA(C653:C1350)=0,COUNTA(Q653:Q1350)=0),"""",OR(AND(K653&gt;=1000000000,OR(Y653&gt;=1000000000,COUNTA(Q653:Q1350)=0)),OR(Y653&gt;=1000000000,AND(COUNTA(C653:C1350)=0,P$3=TRUE))),
ROUNDDOWN((AB$1-AC$1)*MAX(INDEX(T$4:T1350,MATCH(LARGE(FILTER(Y$4:Y1350,Y$4"&amp;":Y1350&lt;1000000000),1),Y$4:Y1350)),INDEX(F$4:F1350,MATCH(LARGE(FILTER(K$4:K1350,K$4:K1350&lt;1000000000),1),K$4:K1350)))),AND(K653&lt;1000000000,COUNTA(C653:C1350)&gt;0,P$3=FALSE),
ROUNDDOWN(INDEX(Y$4:Y1350,MATCH(LARGE(FILTER(W$4:W1350,W$4:W1350&lt;=I653),1),W$4:W1350"&amp;"))+(I653-LARGE(FILTER(W$4:W1350,W$4:W1350&lt;=I653),1))*INDEX(T$4:T1350,MATCH(LARGE(FILTER(W$4:W1350,W$4:W1350&lt;=I653),1),W$4:W1350))-K653),1,
ROUNDDOWN(Y653-INDEX(K$4:K1350,MATCH(LARGE(FILTER(I$4:I1350,I$4:I1350&lt;=W653),1),I$4:I1350))-(W653-LARGE(FILTER(I$4:I"&amp;"1350,I$4:I1350&lt;=W653),1))*INDEX(F$4:F1350,MATCH(LARGE(FILTER(I$4:I1350,I$4:I1350&lt;=W653),1),I$4:I1350))))"),"")</f>
        <v/>
      </c>
      <c r="N653" s="60" t="str">
        <f t="shared" si="8"/>
        <v/>
      </c>
      <c r="O653" s="61" t="str">
        <f t="shared" si="9"/>
        <v/>
      </c>
      <c r="P653" s="56" t="str">
        <f t="shared" si="10"/>
        <v/>
      </c>
      <c r="Q653" s="62"/>
      <c r="R653" s="10" t="str">
        <f>IFERROR(__xludf.DUMMYFUNCTION("IF(COUNTA(Q653:Q1350)=0,"""",IF(ISBLANK(Q653),FALSE,IF(NOT(COUNTIF($AA$24:$AA$34,SUBSTITUTE(Q653,""Sell_"",""""))),1,IF(REGEXMATCH(Q653,""Sell_""),IF(COUNTIF(Q$4:Q653,SUBSTITUTE(Q653,""Sell_"",""""))-COUNTIF(Q$4:Q652,Q653)&lt;1,1),FALSE))))"),"")</f>
        <v/>
      </c>
      <c r="S653" s="59" t="str">
        <f t="array" ref="S653">IF(COUNTA(Q653:Q1350)=0,"",SUM((COUNTIF(Q$4:Q653,Upgrades!$B$3:$B$13)-COUNTIF(Q$4:Q653,"Sell_"&amp;Upgrades!$B$3:$B$13))*Upgrades!$D$3:$D$13))</f>
        <v/>
      </c>
      <c r="T653" s="66" t="str">
        <f>IFERROR(__xludf.DUMMYFUNCTION("IF(COUNTA(Q653:Q1350)=0,"""",IF(REGEXMATCH(INDEX(FILTER(Q$4:Q653,Q$4:Q653&lt;&gt;""""),ROWS(FILTER(Q$4:Q653,Q$4:Q653&lt;&gt;""""))),""^Sell_""),INDEX(FILTER(T$4:T652,Q$4:Q652&lt;&gt;""""),ROWS(FILTER(Q$4:Q652,Q$4:Q652&lt;&gt;""""))),$AD$5+S653))"),"")</f>
        <v/>
      </c>
      <c r="U653" s="10" t="str">
        <f>IFERROR(__xludf.DUMMYFUNCTION("IF(COUNTA(Q653:Q1350)=0,"""",IF(Q653="""",0,IF(REGEXMATCH(Q653,""^Sell_""),-ROUNDDOWN(ROUNDUP(INDEX(Upgrades!$C$3:$C$13,MATCH(SUBSTITUTE(Q653,""Sell_"",""""),Upgrades!$B$3:$B$13,0))*1.15^(COUNTIF(Q$4:Q652,SUBSTITUTE(Q653,""Sell_"",""""))-COUNTIF(Q$4:Q652,"&amp;"""Sell_""&amp;SUBSTITUTE(Q653,""Sell_"",""""))))/2),ROUNDUP(INDEX(Upgrades!$C$3:$C$13,MATCH(Q653,Upgrades!$B$3:$B$13,0))*1.15^(COUNTIF(Q$4:Q652,Q653)-COUNTIF(Q$4:Q652,""Sell_""&amp;Q653))))))"),"")</f>
        <v/>
      </c>
      <c r="V653" s="10" t="str">
        <f t="shared" si="11"/>
        <v/>
      </c>
      <c r="W653" s="68" t="str">
        <f t="shared" si="12"/>
        <v/>
      </c>
      <c r="X653" s="59" t="str">
        <f t="shared" si="13"/>
        <v/>
      </c>
      <c r="Y653" s="69" t="str">
        <f t="shared" si="14"/>
        <v/>
      </c>
      <c r="Z653" s="11"/>
    </row>
    <row r="654">
      <c r="A654" s="8"/>
      <c r="B654" s="56" t="str">
        <f t="shared" si="2"/>
        <v/>
      </c>
      <c r="C654" s="57"/>
      <c r="D654" s="10" t="str">
        <f>IFERROR(__xludf.DUMMYFUNCTION("IF(COUNTA(C654:C1350)=0,"""",IF(ISBLANK(C654),FALSE,IF(NOT(COUNTIF($AA$24:$AA$34,SUBSTITUTE(C654,""Sell_"",""""))),1,IF(REGEXMATCH(C654,""Sell_""),IF(COUNTIF(C$4:C654,SUBSTITUTE(C654,""Sell_"",""""))-COUNTIF(C$4:C653,C654)&lt;1,1),FALSE))))"),"")</f>
        <v/>
      </c>
      <c r="E654" s="59" t="str">
        <f t="array" ref="E654">IF(COUNTA(C654:C1350)=0,"",SUM((COUNTIF(C$4:C654,Upgrades!$B$3:$B$13)-COUNTIF(C$4:C654,"Sell_"&amp;Upgrades!$B$3:$B$13))*Upgrades!$D$3:$D$13))</f>
        <v/>
      </c>
      <c r="F654" s="66" t="str">
        <f>IFERROR(__xludf.DUMMYFUNCTION("IF(COUNTA(C654:C1350)=0,"""",IF(REGEXMATCH(INDEX(FILTER(C$4:C654,C$4:C654&lt;&gt;""""),ROWS(FILTER(C$4:C654,C$4:C654&lt;&gt;""""))),""^Sell_""),INDEX(FILTER(F$4:F653,C$4:C653&lt;&gt;""""),ROWS(FILTER(C$4:C653,C$4:C653&lt;&gt;""""))),$AC$5+E654))"),"")</f>
        <v/>
      </c>
      <c r="G654" s="10" t="str">
        <f>IFERROR(__xludf.DUMMYFUNCTION("IF(COUNTA(C654:C1350)=0,"""",IF(C654="""",0,IF(REGEXMATCH(C654,""^Sell_""),-ROUNDDOWN(ROUNDUP(INDEX(Upgrades!$C$3:$C$13,MATCH(SUBSTITUTE(C654,""Sell_"",""""),Upgrades!$B$3:$B$13,0))*1.15^(COUNTIF(C$4:C653,SUBSTITUTE(C654,""Sell_"",""""))-COUNTIF(C$4:C653,"&amp;"""Sell_""&amp;SUBSTITUTE(C654,""Sell_"",""""))))/2),ROUNDUP(INDEX(Upgrades!$C$3:$C$13,MATCH(C654,Upgrades!$B$3:$B$13,0))*1.15^(COUNTIF(C$4:C653,C654)-COUNTIF(C$4:C653,""Sell_""&amp;C654))))))"),"")</f>
        <v/>
      </c>
      <c r="H654" s="10" t="str">
        <f t="shared" si="3"/>
        <v/>
      </c>
      <c r="I654" s="68" t="str">
        <f t="shared" si="4"/>
        <v/>
      </c>
      <c r="J654" s="59" t="str">
        <f t="shared" si="5"/>
        <v/>
      </c>
      <c r="K654" s="69" t="str">
        <f t="shared" si="6"/>
        <v/>
      </c>
      <c r="L654" s="60" t="str">
        <f t="shared" si="7"/>
        <v/>
      </c>
      <c r="M654" s="61" t="str">
        <f>IFERROR(__xludf.DUMMYFUNCTION("IFS(AND(COUNTA(C654:C1350)=0,COUNTA(Q654:Q1350)=0),"""",OR(AND(K654&gt;=1000000000,OR(Y654&gt;=1000000000,COUNTA(Q654:Q1350)=0)),OR(Y654&gt;=1000000000,AND(COUNTA(C654:C1350)=0,P$3=TRUE))),
ROUNDDOWN((AB$1-AC$1)*MAX(INDEX(T$4:T1350,MATCH(LARGE(FILTER(Y$4:Y1350,Y$4"&amp;":Y1350&lt;1000000000),1),Y$4:Y1350)),INDEX(F$4:F1350,MATCH(LARGE(FILTER(K$4:K1350,K$4:K1350&lt;1000000000),1),K$4:K1350)))),AND(K654&lt;1000000000,COUNTA(C654:C1350)&gt;0,P$3=FALSE),
ROUNDDOWN(INDEX(Y$4:Y1350,MATCH(LARGE(FILTER(W$4:W1350,W$4:W1350&lt;=I654),1),W$4:W1350"&amp;"))+(I654-LARGE(FILTER(W$4:W1350,W$4:W1350&lt;=I654),1))*INDEX(T$4:T1350,MATCH(LARGE(FILTER(W$4:W1350,W$4:W1350&lt;=I654),1),W$4:W1350))-K654),1,
ROUNDDOWN(Y654-INDEX(K$4:K1350,MATCH(LARGE(FILTER(I$4:I1350,I$4:I1350&lt;=W654),1),I$4:I1350))-(W654-LARGE(FILTER(I$4:I"&amp;"1350,I$4:I1350&lt;=W654),1))*INDEX(F$4:F1350,MATCH(LARGE(FILTER(I$4:I1350,I$4:I1350&lt;=W654),1),I$4:I1350))))"),"")</f>
        <v/>
      </c>
      <c r="N654" s="60" t="str">
        <f t="shared" si="8"/>
        <v/>
      </c>
      <c r="O654" s="61" t="str">
        <f t="shared" si="9"/>
        <v/>
      </c>
      <c r="P654" s="56" t="str">
        <f t="shared" si="10"/>
        <v/>
      </c>
      <c r="Q654" s="62"/>
      <c r="R654" s="10" t="str">
        <f>IFERROR(__xludf.DUMMYFUNCTION("IF(COUNTA(Q654:Q1350)=0,"""",IF(ISBLANK(Q654),FALSE,IF(NOT(COUNTIF($AA$24:$AA$34,SUBSTITUTE(Q654,""Sell_"",""""))),1,IF(REGEXMATCH(Q654,""Sell_""),IF(COUNTIF(Q$4:Q654,SUBSTITUTE(Q654,""Sell_"",""""))-COUNTIF(Q$4:Q653,Q654)&lt;1,1),FALSE))))"),"")</f>
        <v/>
      </c>
      <c r="S654" s="59" t="str">
        <f t="array" ref="S654">IF(COUNTA(Q654:Q1350)=0,"",SUM((COUNTIF(Q$4:Q654,Upgrades!$B$3:$B$13)-COUNTIF(Q$4:Q654,"Sell_"&amp;Upgrades!$B$3:$B$13))*Upgrades!$D$3:$D$13))</f>
        <v/>
      </c>
      <c r="T654" s="66" t="str">
        <f>IFERROR(__xludf.DUMMYFUNCTION("IF(COUNTA(Q654:Q1350)=0,"""",IF(REGEXMATCH(INDEX(FILTER(Q$4:Q654,Q$4:Q654&lt;&gt;""""),ROWS(FILTER(Q$4:Q654,Q$4:Q654&lt;&gt;""""))),""^Sell_""),INDEX(FILTER(T$4:T653,Q$4:Q653&lt;&gt;""""),ROWS(FILTER(Q$4:Q653,Q$4:Q653&lt;&gt;""""))),$AD$5+S654))"),"")</f>
        <v/>
      </c>
      <c r="U654" s="10" t="str">
        <f>IFERROR(__xludf.DUMMYFUNCTION("IF(COUNTA(Q654:Q1350)=0,"""",IF(Q654="""",0,IF(REGEXMATCH(Q654,""^Sell_""),-ROUNDDOWN(ROUNDUP(INDEX(Upgrades!$C$3:$C$13,MATCH(SUBSTITUTE(Q654,""Sell_"",""""),Upgrades!$B$3:$B$13,0))*1.15^(COUNTIF(Q$4:Q653,SUBSTITUTE(Q654,""Sell_"",""""))-COUNTIF(Q$4:Q653,"&amp;"""Sell_""&amp;SUBSTITUTE(Q654,""Sell_"",""""))))/2),ROUNDUP(INDEX(Upgrades!$C$3:$C$13,MATCH(Q654,Upgrades!$B$3:$B$13,0))*1.15^(COUNTIF(Q$4:Q653,Q654)-COUNTIF(Q$4:Q653,""Sell_""&amp;Q654))))))"),"")</f>
        <v/>
      </c>
      <c r="V654" s="10" t="str">
        <f t="shared" si="11"/>
        <v/>
      </c>
      <c r="W654" s="68" t="str">
        <f t="shared" si="12"/>
        <v/>
      </c>
      <c r="X654" s="59" t="str">
        <f t="shared" si="13"/>
        <v/>
      </c>
      <c r="Y654" s="69" t="str">
        <f t="shared" si="14"/>
        <v/>
      </c>
      <c r="Z654" s="11"/>
    </row>
    <row r="655">
      <c r="A655" s="8"/>
      <c r="B655" s="56" t="str">
        <f t="shared" si="2"/>
        <v/>
      </c>
      <c r="C655" s="57"/>
      <c r="D655" s="10" t="str">
        <f>IFERROR(__xludf.DUMMYFUNCTION("IF(COUNTA(C655:C1350)=0,"""",IF(ISBLANK(C655),FALSE,IF(NOT(COUNTIF($AA$24:$AA$34,SUBSTITUTE(C655,""Sell_"",""""))),1,IF(REGEXMATCH(C655,""Sell_""),IF(COUNTIF(C$4:C655,SUBSTITUTE(C655,""Sell_"",""""))-COUNTIF(C$4:C654,C655)&lt;1,1),FALSE))))"),"")</f>
        <v/>
      </c>
      <c r="E655" s="59" t="str">
        <f t="array" ref="E655">IF(COUNTA(C655:C1350)=0,"",SUM((COUNTIF(C$4:C655,Upgrades!$B$3:$B$13)-COUNTIF(C$4:C655,"Sell_"&amp;Upgrades!$B$3:$B$13))*Upgrades!$D$3:$D$13))</f>
        <v/>
      </c>
      <c r="F655" s="66" t="str">
        <f>IFERROR(__xludf.DUMMYFUNCTION("IF(COUNTA(C655:C1350)=0,"""",IF(REGEXMATCH(INDEX(FILTER(C$4:C655,C$4:C655&lt;&gt;""""),ROWS(FILTER(C$4:C655,C$4:C655&lt;&gt;""""))),""^Sell_""),INDEX(FILTER(F$4:F654,C$4:C654&lt;&gt;""""),ROWS(FILTER(C$4:C654,C$4:C654&lt;&gt;""""))),$AC$5+E655))"),"")</f>
        <v/>
      </c>
      <c r="G655" s="10" t="str">
        <f>IFERROR(__xludf.DUMMYFUNCTION("IF(COUNTA(C655:C1350)=0,"""",IF(C655="""",0,IF(REGEXMATCH(C655,""^Sell_""),-ROUNDDOWN(ROUNDUP(INDEX(Upgrades!$C$3:$C$13,MATCH(SUBSTITUTE(C655,""Sell_"",""""),Upgrades!$B$3:$B$13,0))*1.15^(COUNTIF(C$4:C654,SUBSTITUTE(C655,""Sell_"",""""))-COUNTIF(C$4:C654,"&amp;"""Sell_""&amp;SUBSTITUTE(C655,""Sell_"",""""))))/2),ROUNDUP(INDEX(Upgrades!$C$3:$C$13,MATCH(C655,Upgrades!$B$3:$B$13,0))*1.15^(COUNTIF(C$4:C654,C655)-COUNTIF(C$4:C654,""Sell_""&amp;C655))))))"),"")</f>
        <v/>
      </c>
      <c r="H655" s="10" t="str">
        <f t="shared" si="3"/>
        <v/>
      </c>
      <c r="I655" s="68" t="str">
        <f t="shared" si="4"/>
        <v/>
      </c>
      <c r="J655" s="59" t="str">
        <f t="shared" si="5"/>
        <v/>
      </c>
      <c r="K655" s="69" t="str">
        <f t="shared" si="6"/>
        <v/>
      </c>
      <c r="L655" s="60" t="str">
        <f t="shared" si="7"/>
        <v/>
      </c>
      <c r="M655" s="61" t="str">
        <f>IFERROR(__xludf.DUMMYFUNCTION("IFS(AND(COUNTA(C655:C1350)=0,COUNTA(Q655:Q1350)=0),"""",OR(AND(K655&gt;=1000000000,OR(Y655&gt;=1000000000,COUNTA(Q655:Q1350)=0)),OR(Y655&gt;=1000000000,AND(COUNTA(C655:C1350)=0,P$3=TRUE))),
ROUNDDOWN((AB$1-AC$1)*MAX(INDEX(T$4:T1350,MATCH(LARGE(FILTER(Y$4:Y1350,Y$4"&amp;":Y1350&lt;1000000000),1),Y$4:Y1350)),INDEX(F$4:F1350,MATCH(LARGE(FILTER(K$4:K1350,K$4:K1350&lt;1000000000),1),K$4:K1350)))),AND(K655&lt;1000000000,COUNTA(C655:C1350)&gt;0,P$3=FALSE),
ROUNDDOWN(INDEX(Y$4:Y1350,MATCH(LARGE(FILTER(W$4:W1350,W$4:W1350&lt;=I655),1),W$4:W1350"&amp;"))+(I655-LARGE(FILTER(W$4:W1350,W$4:W1350&lt;=I655),1))*INDEX(T$4:T1350,MATCH(LARGE(FILTER(W$4:W1350,W$4:W1350&lt;=I655),1),W$4:W1350))-K655),1,
ROUNDDOWN(Y655-INDEX(K$4:K1350,MATCH(LARGE(FILTER(I$4:I1350,I$4:I1350&lt;=W655),1),I$4:I1350))-(W655-LARGE(FILTER(I$4:I"&amp;"1350,I$4:I1350&lt;=W655),1))*INDEX(F$4:F1350,MATCH(LARGE(FILTER(I$4:I1350,I$4:I1350&lt;=W655),1),I$4:I1350))))"),"")</f>
        <v/>
      </c>
      <c r="N655" s="60" t="str">
        <f t="shared" si="8"/>
        <v/>
      </c>
      <c r="O655" s="61" t="str">
        <f t="shared" si="9"/>
        <v/>
      </c>
      <c r="P655" s="56" t="str">
        <f t="shared" si="10"/>
        <v/>
      </c>
      <c r="Q655" s="62"/>
      <c r="R655" s="10" t="str">
        <f>IFERROR(__xludf.DUMMYFUNCTION("IF(COUNTA(Q655:Q1350)=0,"""",IF(ISBLANK(Q655),FALSE,IF(NOT(COUNTIF($AA$24:$AA$34,SUBSTITUTE(Q655,""Sell_"",""""))),1,IF(REGEXMATCH(Q655,""Sell_""),IF(COUNTIF(Q$4:Q655,SUBSTITUTE(Q655,""Sell_"",""""))-COUNTIF(Q$4:Q654,Q655)&lt;1,1),FALSE))))"),"")</f>
        <v/>
      </c>
      <c r="S655" s="59" t="str">
        <f t="array" ref="S655">IF(COUNTA(Q655:Q1350)=0,"",SUM((COUNTIF(Q$4:Q655,Upgrades!$B$3:$B$13)-COUNTIF(Q$4:Q655,"Sell_"&amp;Upgrades!$B$3:$B$13))*Upgrades!$D$3:$D$13))</f>
        <v/>
      </c>
      <c r="T655" s="66" t="str">
        <f>IFERROR(__xludf.DUMMYFUNCTION("IF(COUNTA(Q655:Q1350)=0,"""",IF(REGEXMATCH(INDEX(FILTER(Q$4:Q655,Q$4:Q655&lt;&gt;""""),ROWS(FILTER(Q$4:Q655,Q$4:Q655&lt;&gt;""""))),""^Sell_""),INDEX(FILTER(T$4:T654,Q$4:Q654&lt;&gt;""""),ROWS(FILTER(Q$4:Q654,Q$4:Q654&lt;&gt;""""))),$AD$5+S655))"),"")</f>
        <v/>
      </c>
      <c r="U655" s="10" t="str">
        <f>IFERROR(__xludf.DUMMYFUNCTION("IF(COUNTA(Q655:Q1350)=0,"""",IF(Q655="""",0,IF(REGEXMATCH(Q655,""^Sell_""),-ROUNDDOWN(ROUNDUP(INDEX(Upgrades!$C$3:$C$13,MATCH(SUBSTITUTE(Q655,""Sell_"",""""),Upgrades!$B$3:$B$13,0))*1.15^(COUNTIF(Q$4:Q654,SUBSTITUTE(Q655,""Sell_"",""""))-COUNTIF(Q$4:Q654,"&amp;"""Sell_""&amp;SUBSTITUTE(Q655,""Sell_"",""""))))/2),ROUNDUP(INDEX(Upgrades!$C$3:$C$13,MATCH(Q655,Upgrades!$B$3:$B$13,0))*1.15^(COUNTIF(Q$4:Q654,Q655)-COUNTIF(Q$4:Q654,""Sell_""&amp;Q655))))))"),"")</f>
        <v/>
      </c>
      <c r="V655" s="10" t="str">
        <f t="shared" si="11"/>
        <v/>
      </c>
      <c r="W655" s="68" t="str">
        <f t="shared" si="12"/>
        <v/>
      </c>
      <c r="X655" s="59" t="str">
        <f t="shared" si="13"/>
        <v/>
      </c>
      <c r="Y655" s="69" t="str">
        <f t="shared" si="14"/>
        <v/>
      </c>
      <c r="Z655" s="11"/>
    </row>
    <row r="656">
      <c r="A656" s="8"/>
      <c r="B656" s="56" t="str">
        <f t="shared" si="2"/>
        <v/>
      </c>
      <c r="C656" s="57"/>
      <c r="D656" s="10" t="str">
        <f>IFERROR(__xludf.DUMMYFUNCTION("IF(COUNTA(C656:C1350)=0,"""",IF(ISBLANK(C656),FALSE,IF(NOT(COUNTIF($AA$24:$AA$34,SUBSTITUTE(C656,""Sell_"",""""))),1,IF(REGEXMATCH(C656,""Sell_""),IF(COUNTIF(C$4:C656,SUBSTITUTE(C656,""Sell_"",""""))-COUNTIF(C$4:C655,C656)&lt;1,1),FALSE))))"),"")</f>
        <v/>
      </c>
      <c r="E656" s="59" t="str">
        <f t="array" ref="E656">IF(COUNTA(C656:C1350)=0,"",SUM((COUNTIF(C$4:C656,Upgrades!$B$3:$B$13)-COUNTIF(C$4:C656,"Sell_"&amp;Upgrades!$B$3:$B$13))*Upgrades!$D$3:$D$13))</f>
        <v/>
      </c>
      <c r="F656" s="66" t="str">
        <f>IFERROR(__xludf.DUMMYFUNCTION("IF(COUNTA(C656:C1350)=0,"""",IF(REGEXMATCH(INDEX(FILTER(C$4:C656,C$4:C656&lt;&gt;""""),ROWS(FILTER(C$4:C656,C$4:C656&lt;&gt;""""))),""^Sell_""),INDEX(FILTER(F$4:F655,C$4:C655&lt;&gt;""""),ROWS(FILTER(C$4:C655,C$4:C655&lt;&gt;""""))),$AC$5+E656))"),"")</f>
        <v/>
      </c>
      <c r="G656" s="10" t="str">
        <f>IFERROR(__xludf.DUMMYFUNCTION("IF(COUNTA(C656:C1350)=0,"""",IF(C656="""",0,IF(REGEXMATCH(C656,""^Sell_""),-ROUNDDOWN(ROUNDUP(INDEX(Upgrades!$C$3:$C$13,MATCH(SUBSTITUTE(C656,""Sell_"",""""),Upgrades!$B$3:$B$13,0))*1.15^(COUNTIF(C$4:C655,SUBSTITUTE(C656,""Sell_"",""""))-COUNTIF(C$4:C655,"&amp;"""Sell_""&amp;SUBSTITUTE(C656,""Sell_"",""""))))/2),ROUNDUP(INDEX(Upgrades!$C$3:$C$13,MATCH(C656,Upgrades!$B$3:$B$13,0))*1.15^(COUNTIF(C$4:C655,C656)-COUNTIF(C$4:C655,""Sell_""&amp;C656))))))"),"")</f>
        <v/>
      </c>
      <c r="H656" s="10" t="str">
        <f t="shared" si="3"/>
        <v/>
      </c>
      <c r="I656" s="68" t="str">
        <f t="shared" si="4"/>
        <v/>
      </c>
      <c r="J656" s="59" t="str">
        <f t="shared" si="5"/>
        <v/>
      </c>
      <c r="K656" s="69" t="str">
        <f t="shared" si="6"/>
        <v/>
      </c>
      <c r="L656" s="60" t="str">
        <f t="shared" si="7"/>
        <v/>
      </c>
      <c r="M656" s="61" t="str">
        <f>IFERROR(__xludf.DUMMYFUNCTION("IFS(AND(COUNTA(C656:C1350)=0,COUNTA(Q656:Q1350)=0),"""",OR(AND(K656&gt;=1000000000,OR(Y656&gt;=1000000000,COUNTA(Q656:Q1350)=0)),OR(Y656&gt;=1000000000,AND(COUNTA(C656:C1350)=0,P$3=TRUE))),
ROUNDDOWN((AB$1-AC$1)*MAX(INDEX(T$4:T1350,MATCH(LARGE(FILTER(Y$4:Y1350,Y$4"&amp;":Y1350&lt;1000000000),1),Y$4:Y1350)),INDEX(F$4:F1350,MATCH(LARGE(FILTER(K$4:K1350,K$4:K1350&lt;1000000000),1),K$4:K1350)))),AND(K656&lt;1000000000,COUNTA(C656:C1350)&gt;0,P$3=FALSE),
ROUNDDOWN(INDEX(Y$4:Y1350,MATCH(LARGE(FILTER(W$4:W1350,W$4:W1350&lt;=I656),1),W$4:W1350"&amp;"))+(I656-LARGE(FILTER(W$4:W1350,W$4:W1350&lt;=I656),1))*INDEX(T$4:T1350,MATCH(LARGE(FILTER(W$4:W1350,W$4:W1350&lt;=I656),1),W$4:W1350))-K656),1,
ROUNDDOWN(Y656-INDEX(K$4:K1350,MATCH(LARGE(FILTER(I$4:I1350,I$4:I1350&lt;=W656),1),I$4:I1350))-(W656-LARGE(FILTER(I$4:I"&amp;"1350,I$4:I1350&lt;=W656),1))*INDEX(F$4:F1350,MATCH(LARGE(FILTER(I$4:I1350,I$4:I1350&lt;=W656),1),I$4:I1350))))"),"")</f>
        <v/>
      </c>
      <c r="N656" s="60" t="str">
        <f t="shared" si="8"/>
        <v/>
      </c>
      <c r="O656" s="61" t="str">
        <f t="shared" si="9"/>
        <v/>
      </c>
      <c r="P656" s="56" t="str">
        <f t="shared" si="10"/>
        <v/>
      </c>
      <c r="Q656" s="62"/>
      <c r="R656" s="10" t="str">
        <f>IFERROR(__xludf.DUMMYFUNCTION("IF(COUNTA(Q656:Q1350)=0,"""",IF(ISBLANK(Q656),FALSE,IF(NOT(COUNTIF($AA$24:$AA$34,SUBSTITUTE(Q656,""Sell_"",""""))),1,IF(REGEXMATCH(Q656,""Sell_""),IF(COUNTIF(Q$4:Q656,SUBSTITUTE(Q656,""Sell_"",""""))-COUNTIF(Q$4:Q655,Q656)&lt;1,1),FALSE))))"),"")</f>
        <v/>
      </c>
      <c r="S656" s="59" t="str">
        <f t="array" ref="S656">IF(COUNTA(Q656:Q1350)=0,"",SUM((COUNTIF(Q$4:Q656,Upgrades!$B$3:$B$13)-COUNTIF(Q$4:Q656,"Sell_"&amp;Upgrades!$B$3:$B$13))*Upgrades!$D$3:$D$13))</f>
        <v/>
      </c>
      <c r="T656" s="66" t="str">
        <f>IFERROR(__xludf.DUMMYFUNCTION("IF(COUNTA(Q656:Q1350)=0,"""",IF(REGEXMATCH(INDEX(FILTER(Q$4:Q656,Q$4:Q656&lt;&gt;""""),ROWS(FILTER(Q$4:Q656,Q$4:Q656&lt;&gt;""""))),""^Sell_""),INDEX(FILTER(T$4:T655,Q$4:Q655&lt;&gt;""""),ROWS(FILTER(Q$4:Q655,Q$4:Q655&lt;&gt;""""))),$AD$5+S656))"),"")</f>
        <v/>
      </c>
      <c r="U656" s="10" t="str">
        <f>IFERROR(__xludf.DUMMYFUNCTION("IF(COUNTA(Q656:Q1350)=0,"""",IF(Q656="""",0,IF(REGEXMATCH(Q656,""^Sell_""),-ROUNDDOWN(ROUNDUP(INDEX(Upgrades!$C$3:$C$13,MATCH(SUBSTITUTE(Q656,""Sell_"",""""),Upgrades!$B$3:$B$13,0))*1.15^(COUNTIF(Q$4:Q655,SUBSTITUTE(Q656,""Sell_"",""""))-COUNTIF(Q$4:Q655,"&amp;"""Sell_""&amp;SUBSTITUTE(Q656,""Sell_"",""""))))/2),ROUNDUP(INDEX(Upgrades!$C$3:$C$13,MATCH(Q656,Upgrades!$B$3:$B$13,0))*1.15^(COUNTIF(Q$4:Q655,Q656)-COUNTIF(Q$4:Q655,""Sell_""&amp;Q656))))))"),"")</f>
        <v/>
      </c>
      <c r="V656" s="10" t="str">
        <f t="shared" si="11"/>
        <v/>
      </c>
      <c r="W656" s="68" t="str">
        <f t="shared" si="12"/>
        <v/>
      </c>
      <c r="X656" s="59" t="str">
        <f t="shared" si="13"/>
        <v/>
      </c>
      <c r="Y656" s="69" t="str">
        <f t="shared" si="14"/>
        <v/>
      </c>
      <c r="Z656" s="11"/>
    </row>
    <row r="657">
      <c r="A657" s="8"/>
      <c r="B657" s="56" t="str">
        <f t="shared" si="2"/>
        <v/>
      </c>
      <c r="C657" s="57"/>
      <c r="D657" s="10" t="str">
        <f>IFERROR(__xludf.DUMMYFUNCTION("IF(COUNTA(C657:C1350)=0,"""",IF(ISBLANK(C657),FALSE,IF(NOT(COUNTIF($AA$24:$AA$34,SUBSTITUTE(C657,""Sell_"",""""))),1,IF(REGEXMATCH(C657,""Sell_""),IF(COUNTIF(C$4:C657,SUBSTITUTE(C657,""Sell_"",""""))-COUNTIF(C$4:C656,C657)&lt;1,1),FALSE))))"),"")</f>
        <v/>
      </c>
      <c r="E657" s="59" t="str">
        <f t="array" ref="E657">IF(COUNTA(C657:C1350)=0,"",SUM((COUNTIF(C$4:C657,Upgrades!$B$3:$B$13)-COUNTIF(C$4:C657,"Sell_"&amp;Upgrades!$B$3:$B$13))*Upgrades!$D$3:$D$13))</f>
        <v/>
      </c>
      <c r="F657" s="66" t="str">
        <f>IFERROR(__xludf.DUMMYFUNCTION("IF(COUNTA(C657:C1350)=0,"""",IF(REGEXMATCH(INDEX(FILTER(C$4:C657,C$4:C657&lt;&gt;""""),ROWS(FILTER(C$4:C657,C$4:C657&lt;&gt;""""))),""^Sell_""),INDEX(FILTER(F$4:F656,C$4:C656&lt;&gt;""""),ROWS(FILTER(C$4:C656,C$4:C656&lt;&gt;""""))),$AC$5+E657))"),"")</f>
        <v/>
      </c>
      <c r="G657" s="10" t="str">
        <f>IFERROR(__xludf.DUMMYFUNCTION("IF(COUNTA(C657:C1350)=0,"""",IF(C657="""",0,IF(REGEXMATCH(C657,""^Sell_""),-ROUNDDOWN(ROUNDUP(INDEX(Upgrades!$C$3:$C$13,MATCH(SUBSTITUTE(C657,""Sell_"",""""),Upgrades!$B$3:$B$13,0))*1.15^(COUNTIF(C$4:C656,SUBSTITUTE(C657,""Sell_"",""""))-COUNTIF(C$4:C656,"&amp;"""Sell_""&amp;SUBSTITUTE(C657,""Sell_"",""""))))/2),ROUNDUP(INDEX(Upgrades!$C$3:$C$13,MATCH(C657,Upgrades!$B$3:$B$13,0))*1.15^(COUNTIF(C$4:C656,C657)-COUNTIF(C$4:C656,""Sell_""&amp;C657))))))"),"")</f>
        <v/>
      </c>
      <c r="H657" s="10" t="str">
        <f t="shared" si="3"/>
        <v/>
      </c>
      <c r="I657" s="68" t="str">
        <f t="shared" si="4"/>
        <v/>
      </c>
      <c r="J657" s="59" t="str">
        <f t="shared" si="5"/>
        <v/>
      </c>
      <c r="K657" s="69" t="str">
        <f t="shared" si="6"/>
        <v/>
      </c>
      <c r="L657" s="60" t="str">
        <f t="shared" si="7"/>
        <v/>
      </c>
      <c r="M657" s="61" t="str">
        <f>IFERROR(__xludf.DUMMYFUNCTION("IFS(AND(COUNTA(C657:C1350)=0,COUNTA(Q657:Q1350)=0),"""",OR(AND(K657&gt;=1000000000,OR(Y657&gt;=1000000000,COUNTA(Q657:Q1350)=0)),OR(Y657&gt;=1000000000,AND(COUNTA(C657:C1350)=0,P$3=TRUE))),
ROUNDDOWN((AB$1-AC$1)*MAX(INDEX(T$4:T1350,MATCH(LARGE(FILTER(Y$4:Y1350,Y$4"&amp;":Y1350&lt;1000000000),1),Y$4:Y1350)),INDEX(F$4:F1350,MATCH(LARGE(FILTER(K$4:K1350,K$4:K1350&lt;1000000000),1),K$4:K1350)))),AND(K657&lt;1000000000,COUNTA(C657:C1350)&gt;0,P$3=FALSE),
ROUNDDOWN(INDEX(Y$4:Y1350,MATCH(LARGE(FILTER(W$4:W1350,W$4:W1350&lt;=I657),1),W$4:W1350"&amp;"))+(I657-LARGE(FILTER(W$4:W1350,W$4:W1350&lt;=I657),1))*INDEX(T$4:T1350,MATCH(LARGE(FILTER(W$4:W1350,W$4:W1350&lt;=I657),1),W$4:W1350))-K657),1,
ROUNDDOWN(Y657-INDEX(K$4:K1350,MATCH(LARGE(FILTER(I$4:I1350,I$4:I1350&lt;=W657),1),I$4:I1350))-(W657-LARGE(FILTER(I$4:I"&amp;"1350,I$4:I1350&lt;=W657),1))*INDEX(F$4:F1350,MATCH(LARGE(FILTER(I$4:I1350,I$4:I1350&lt;=W657),1),I$4:I1350))))"),"")</f>
        <v/>
      </c>
      <c r="N657" s="60" t="str">
        <f t="shared" si="8"/>
        <v/>
      </c>
      <c r="O657" s="61" t="str">
        <f t="shared" si="9"/>
        <v/>
      </c>
      <c r="P657" s="56" t="str">
        <f t="shared" si="10"/>
        <v/>
      </c>
      <c r="Q657" s="62"/>
      <c r="R657" s="10" t="str">
        <f>IFERROR(__xludf.DUMMYFUNCTION("IF(COUNTA(Q657:Q1350)=0,"""",IF(ISBLANK(Q657),FALSE,IF(NOT(COUNTIF($AA$24:$AA$34,SUBSTITUTE(Q657,""Sell_"",""""))),1,IF(REGEXMATCH(Q657,""Sell_""),IF(COUNTIF(Q$4:Q657,SUBSTITUTE(Q657,""Sell_"",""""))-COUNTIF(Q$4:Q656,Q657)&lt;1,1),FALSE))))"),"")</f>
        <v/>
      </c>
      <c r="S657" s="59" t="str">
        <f t="array" ref="S657">IF(COUNTA(Q657:Q1350)=0,"",SUM((COUNTIF(Q$4:Q657,Upgrades!$B$3:$B$13)-COUNTIF(Q$4:Q657,"Sell_"&amp;Upgrades!$B$3:$B$13))*Upgrades!$D$3:$D$13))</f>
        <v/>
      </c>
      <c r="T657" s="66" t="str">
        <f>IFERROR(__xludf.DUMMYFUNCTION("IF(COUNTA(Q657:Q1350)=0,"""",IF(REGEXMATCH(INDEX(FILTER(Q$4:Q657,Q$4:Q657&lt;&gt;""""),ROWS(FILTER(Q$4:Q657,Q$4:Q657&lt;&gt;""""))),""^Sell_""),INDEX(FILTER(T$4:T656,Q$4:Q656&lt;&gt;""""),ROWS(FILTER(Q$4:Q656,Q$4:Q656&lt;&gt;""""))),$AD$5+S657))"),"")</f>
        <v/>
      </c>
      <c r="U657" s="10" t="str">
        <f>IFERROR(__xludf.DUMMYFUNCTION("IF(COUNTA(Q657:Q1350)=0,"""",IF(Q657="""",0,IF(REGEXMATCH(Q657,""^Sell_""),-ROUNDDOWN(ROUNDUP(INDEX(Upgrades!$C$3:$C$13,MATCH(SUBSTITUTE(Q657,""Sell_"",""""),Upgrades!$B$3:$B$13,0))*1.15^(COUNTIF(Q$4:Q656,SUBSTITUTE(Q657,""Sell_"",""""))-COUNTIF(Q$4:Q656,"&amp;"""Sell_""&amp;SUBSTITUTE(Q657,""Sell_"",""""))))/2),ROUNDUP(INDEX(Upgrades!$C$3:$C$13,MATCH(Q657,Upgrades!$B$3:$B$13,0))*1.15^(COUNTIF(Q$4:Q656,Q657)-COUNTIF(Q$4:Q656,""Sell_""&amp;Q657))))))"),"")</f>
        <v/>
      </c>
      <c r="V657" s="10" t="str">
        <f t="shared" si="11"/>
        <v/>
      </c>
      <c r="W657" s="68" t="str">
        <f t="shared" si="12"/>
        <v/>
      </c>
      <c r="X657" s="59" t="str">
        <f t="shared" si="13"/>
        <v/>
      </c>
      <c r="Y657" s="69" t="str">
        <f t="shared" si="14"/>
        <v/>
      </c>
      <c r="Z657" s="11"/>
    </row>
    <row r="658">
      <c r="A658" s="8"/>
      <c r="B658" s="56" t="str">
        <f t="shared" si="2"/>
        <v/>
      </c>
      <c r="C658" s="57"/>
      <c r="D658" s="10" t="str">
        <f>IFERROR(__xludf.DUMMYFUNCTION("IF(COUNTA(C658:C1350)=0,"""",IF(ISBLANK(C658),FALSE,IF(NOT(COUNTIF($AA$24:$AA$34,SUBSTITUTE(C658,""Sell_"",""""))),1,IF(REGEXMATCH(C658,""Sell_""),IF(COUNTIF(C$4:C658,SUBSTITUTE(C658,""Sell_"",""""))-COUNTIF(C$4:C657,C658)&lt;1,1),FALSE))))"),"")</f>
        <v/>
      </c>
      <c r="E658" s="59" t="str">
        <f t="array" ref="E658">IF(COUNTA(C658:C1350)=0,"",SUM((COUNTIF(C$4:C658,Upgrades!$B$3:$B$13)-COUNTIF(C$4:C658,"Sell_"&amp;Upgrades!$B$3:$B$13))*Upgrades!$D$3:$D$13))</f>
        <v/>
      </c>
      <c r="F658" s="66" t="str">
        <f>IFERROR(__xludf.DUMMYFUNCTION("IF(COUNTA(C658:C1350)=0,"""",IF(REGEXMATCH(INDEX(FILTER(C$4:C658,C$4:C658&lt;&gt;""""),ROWS(FILTER(C$4:C658,C$4:C658&lt;&gt;""""))),""^Sell_""),INDEX(FILTER(F$4:F657,C$4:C657&lt;&gt;""""),ROWS(FILTER(C$4:C657,C$4:C657&lt;&gt;""""))),$AC$5+E658))"),"")</f>
        <v/>
      </c>
      <c r="G658" s="10" t="str">
        <f>IFERROR(__xludf.DUMMYFUNCTION("IF(COUNTA(C658:C1350)=0,"""",IF(C658="""",0,IF(REGEXMATCH(C658,""^Sell_""),-ROUNDDOWN(ROUNDUP(INDEX(Upgrades!$C$3:$C$13,MATCH(SUBSTITUTE(C658,""Sell_"",""""),Upgrades!$B$3:$B$13,0))*1.15^(COUNTIF(C$4:C657,SUBSTITUTE(C658,""Sell_"",""""))-COUNTIF(C$4:C657,"&amp;"""Sell_""&amp;SUBSTITUTE(C658,""Sell_"",""""))))/2),ROUNDUP(INDEX(Upgrades!$C$3:$C$13,MATCH(C658,Upgrades!$B$3:$B$13,0))*1.15^(COUNTIF(C$4:C657,C658)-COUNTIF(C$4:C657,""Sell_""&amp;C658))))))"),"")</f>
        <v/>
      </c>
      <c r="H658" s="10" t="str">
        <f t="shared" si="3"/>
        <v/>
      </c>
      <c r="I658" s="68" t="str">
        <f t="shared" si="4"/>
        <v/>
      </c>
      <c r="J658" s="59" t="str">
        <f t="shared" si="5"/>
        <v/>
      </c>
      <c r="K658" s="69" t="str">
        <f t="shared" si="6"/>
        <v/>
      </c>
      <c r="L658" s="60" t="str">
        <f t="shared" si="7"/>
        <v/>
      </c>
      <c r="M658" s="61" t="str">
        <f>IFERROR(__xludf.DUMMYFUNCTION("IFS(AND(COUNTA(C658:C1350)=0,COUNTA(Q658:Q1350)=0),"""",OR(AND(K658&gt;=1000000000,OR(Y658&gt;=1000000000,COUNTA(Q658:Q1350)=0)),OR(Y658&gt;=1000000000,AND(COUNTA(C658:C1350)=0,P$3=TRUE))),
ROUNDDOWN((AB$1-AC$1)*MAX(INDEX(T$4:T1350,MATCH(LARGE(FILTER(Y$4:Y1350,Y$4"&amp;":Y1350&lt;1000000000),1),Y$4:Y1350)),INDEX(F$4:F1350,MATCH(LARGE(FILTER(K$4:K1350,K$4:K1350&lt;1000000000),1),K$4:K1350)))),AND(K658&lt;1000000000,COUNTA(C658:C1350)&gt;0,P$3=FALSE),
ROUNDDOWN(INDEX(Y$4:Y1350,MATCH(LARGE(FILTER(W$4:W1350,W$4:W1350&lt;=I658),1),W$4:W1350"&amp;"))+(I658-LARGE(FILTER(W$4:W1350,W$4:W1350&lt;=I658),1))*INDEX(T$4:T1350,MATCH(LARGE(FILTER(W$4:W1350,W$4:W1350&lt;=I658),1),W$4:W1350))-K658),1,
ROUNDDOWN(Y658-INDEX(K$4:K1350,MATCH(LARGE(FILTER(I$4:I1350,I$4:I1350&lt;=W658),1),I$4:I1350))-(W658-LARGE(FILTER(I$4:I"&amp;"1350,I$4:I1350&lt;=W658),1))*INDEX(F$4:F1350,MATCH(LARGE(FILTER(I$4:I1350,I$4:I1350&lt;=W658),1),I$4:I1350))))"),"")</f>
        <v/>
      </c>
      <c r="N658" s="60" t="str">
        <f t="shared" si="8"/>
        <v/>
      </c>
      <c r="O658" s="61" t="str">
        <f t="shared" si="9"/>
        <v/>
      </c>
      <c r="P658" s="56" t="str">
        <f t="shared" si="10"/>
        <v/>
      </c>
      <c r="Q658" s="62"/>
      <c r="R658" s="10" t="str">
        <f>IFERROR(__xludf.DUMMYFUNCTION("IF(COUNTA(Q658:Q1350)=0,"""",IF(ISBLANK(Q658),FALSE,IF(NOT(COUNTIF($AA$24:$AA$34,SUBSTITUTE(Q658,""Sell_"",""""))),1,IF(REGEXMATCH(Q658,""Sell_""),IF(COUNTIF(Q$4:Q658,SUBSTITUTE(Q658,""Sell_"",""""))-COUNTIF(Q$4:Q657,Q658)&lt;1,1),FALSE))))"),"")</f>
        <v/>
      </c>
      <c r="S658" s="59" t="str">
        <f t="array" ref="S658">IF(COUNTA(Q658:Q1350)=0,"",SUM((COUNTIF(Q$4:Q658,Upgrades!$B$3:$B$13)-COUNTIF(Q$4:Q658,"Sell_"&amp;Upgrades!$B$3:$B$13))*Upgrades!$D$3:$D$13))</f>
        <v/>
      </c>
      <c r="T658" s="66" t="str">
        <f>IFERROR(__xludf.DUMMYFUNCTION("IF(COUNTA(Q658:Q1350)=0,"""",IF(REGEXMATCH(INDEX(FILTER(Q$4:Q658,Q$4:Q658&lt;&gt;""""),ROWS(FILTER(Q$4:Q658,Q$4:Q658&lt;&gt;""""))),""^Sell_""),INDEX(FILTER(T$4:T657,Q$4:Q657&lt;&gt;""""),ROWS(FILTER(Q$4:Q657,Q$4:Q657&lt;&gt;""""))),$AD$5+S658))"),"")</f>
        <v/>
      </c>
      <c r="U658" s="10" t="str">
        <f>IFERROR(__xludf.DUMMYFUNCTION("IF(COUNTA(Q658:Q1350)=0,"""",IF(Q658="""",0,IF(REGEXMATCH(Q658,""^Sell_""),-ROUNDDOWN(ROUNDUP(INDEX(Upgrades!$C$3:$C$13,MATCH(SUBSTITUTE(Q658,""Sell_"",""""),Upgrades!$B$3:$B$13,0))*1.15^(COUNTIF(Q$4:Q657,SUBSTITUTE(Q658,""Sell_"",""""))-COUNTIF(Q$4:Q657,"&amp;"""Sell_""&amp;SUBSTITUTE(Q658,""Sell_"",""""))))/2),ROUNDUP(INDEX(Upgrades!$C$3:$C$13,MATCH(Q658,Upgrades!$B$3:$B$13,0))*1.15^(COUNTIF(Q$4:Q657,Q658)-COUNTIF(Q$4:Q657,""Sell_""&amp;Q658))))))"),"")</f>
        <v/>
      </c>
      <c r="V658" s="10" t="str">
        <f t="shared" si="11"/>
        <v/>
      </c>
      <c r="W658" s="68" t="str">
        <f t="shared" si="12"/>
        <v/>
      </c>
      <c r="X658" s="59" t="str">
        <f t="shared" si="13"/>
        <v/>
      </c>
      <c r="Y658" s="69" t="str">
        <f t="shared" si="14"/>
        <v/>
      </c>
      <c r="Z658" s="11"/>
    </row>
    <row r="659">
      <c r="A659" s="8"/>
      <c r="B659" s="56" t="str">
        <f t="shared" si="2"/>
        <v/>
      </c>
      <c r="C659" s="57"/>
      <c r="D659" s="10" t="str">
        <f>IFERROR(__xludf.DUMMYFUNCTION("IF(COUNTA(C659:C1350)=0,"""",IF(ISBLANK(C659),FALSE,IF(NOT(COUNTIF($AA$24:$AA$34,SUBSTITUTE(C659,""Sell_"",""""))),1,IF(REGEXMATCH(C659,""Sell_""),IF(COUNTIF(C$4:C659,SUBSTITUTE(C659,""Sell_"",""""))-COUNTIF(C$4:C658,C659)&lt;1,1),FALSE))))"),"")</f>
        <v/>
      </c>
      <c r="E659" s="59" t="str">
        <f t="array" ref="E659">IF(COUNTA(C659:C1350)=0,"",SUM((COUNTIF(C$4:C659,Upgrades!$B$3:$B$13)-COUNTIF(C$4:C659,"Sell_"&amp;Upgrades!$B$3:$B$13))*Upgrades!$D$3:$D$13))</f>
        <v/>
      </c>
      <c r="F659" s="66" t="str">
        <f>IFERROR(__xludf.DUMMYFUNCTION("IF(COUNTA(C659:C1350)=0,"""",IF(REGEXMATCH(INDEX(FILTER(C$4:C659,C$4:C659&lt;&gt;""""),ROWS(FILTER(C$4:C659,C$4:C659&lt;&gt;""""))),""^Sell_""),INDEX(FILTER(F$4:F658,C$4:C658&lt;&gt;""""),ROWS(FILTER(C$4:C658,C$4:C658&lt;&gt;""""))),$AC$5+E659))"),"")</f>
        <v/>
      </c>
      <c r="G659" s="10" t="str">
        <f>IFERROR(__xludf.DUMMYFUNCTION("IF(COUNTA(C659:C1350)=0,"""",IF(C659="""",0,IF(REGEXMATCH(C659,""^Sell_""),-ROUNDDOWN(ROUNDUP(INDEX(Upgrades!$C$3:$C$13,MATCH(SUBSTITUTE(C659,""Sell_"",""""),Upgrades!$B$3:$B$13,0))*1.15^(COUNTIF(C$4:C658,SUBSTITUTE(C659,""Sell_"",""""))-COUNTIF(C$4:C658,"&amp;"""Sell_""&amp;SUBSTITUTE(C659,""Sell_"",""""))))/2),ROUNDUP(INDEX(Upgrades!$C$3:$C$13,MATCH(C659,Upgrades!$B$3:$B$13,0))*1.15^(COUNTIF(C$4:C658,C659)-COUNTIF(C$4:C658,""Sell_""&amp;C659))))))"),"")</f>
        <v/>
      </c>
      <c r="H659" s="10" t="str">
        <f t="shared" si="3"/>
        <v/>
      </c>
      <c r="I659" s="68" t="str">
        <f t="shared" si="4"/>
        <v/>
      </c>
      <c r="J659" s="59" t="str">
        <f t="shared" si="5"/>
        <v/>
      </c>
      <c r="K659" s="69" t="str">
        <f t="shared" si="6"/>
        <v/>
      </c>
      <c r="L659" s="60" t="str">
        <f t="shared" si="7"/>
        <v/>
      </c>
      <c r="M659" s="61" t="str">
        <f>IFERROR(__xludf.DUMMYFUNCTION("IFS(AND(COUNTA(C659:C1350)=0,COUNTA(Q659:Q1350)=0),"""",OR(AND(K659&gt;=1000000000,OR(Y659&gt;=1000000000,COUNTA(Q659:Q1350)=0)),OR(Y659&gt;=1000000000,AND(COUNTA(C659:C1350)=0,P$3=TRUE))),
ROUNDDOWN((AB$1-AC$1)*MAX(INDEX(T$4:T1350,MATCH(LARGE(FILTER(Y$4:Y1350,Y$4"&amp;":Y1350&lt;1000000000),1),Y$4:Y1350)),INDEX(F$4:F1350,MATCH(LARGE(FILTER(K$4:K1350,K$4:K1350&lt;1000000000),1),K$4:K1350)))),AND(K659&lt;1000000000,COUNTA(C659:C1350)&gt;0,P$3=FALSE),
ROUNDDOWN(INDEX(Y$4:Y1350,MATCH(LARGE(FILTER(W$4:W1350,W$4:W1350&lt;=I659),1),W$4:W1350"&amp;"))+(I659-LARGE(FILTER(W$4:W1350,W$4:W1350&lt;=I659),1))*INDEX(T$4:T1350,MATCH(LARGE(FILTER(W$4:W1350,W$4:W1350&lt;=I659),1),W$4:W1350))-K659),1,
ROUNDDOWN(Y659-INDEX(K$4:K1350,MATCH(LARGE(FILTER(I$4:I1350,I$4:I1350&lt;=W659),1),I$4:I1350))-(W659-LARGE(FILTER(I$4:I"&amp;"1350,I$4:I1350&lt;=W659),1))*INDEX(F$4:F1350,MATCH(LARGE(FILTER(I$4:I1350,I$4:I1350&lt;=W659),1),I$4:I1350))))"),"")</f>
        <v/>
      </c>
      <c r="N659" s="60" t="str">
        <f t="shared" si="8"/>
        <v/>
      </c>
      <c r="O659" s="61" t="str">
        <f t="shared" si="9"/>
        <v/>
      </c>
      <c r="P659" s="56" t="str">
        <f t="shared" si="10"/>
        <v/>
      </c>
      <c r="Q659" s="62"/>
      <c r="R659" s="10" t="str">
        <f>IFERROR(__xludf.DUMMYFUNCTION("IF(COUNTA(Q659:Q1350)=0,"""",IF(ISBLANK(Q659),FALSE,IF(NOT(COUNTIF($AA$24:$AA$34,SUBSTITUTE(Q659,""Sell_"",""""))),1,IF(REGEXMATCH(Q659,""Sell_""),IF(COUNTIF(Q$4:Q659,SUBSTITUTE(Q659,""Sell_"",""""))-COUNTIF(Q$4:Q658,Q659)&lt;1,1),FALSE))))"),"")</f>
        <v/>
      </c>
      <c r="S659" s="59" t="str">
        <f t="array" ref="S659">IF(COUNTA(Q659:Q1350)=0,"",SUM((COUNTIF(Q$4:Q659,Upgrades!$B$3:$B$13)-COUNTIF(Q$4:Q659,"Sell_"&amp;Upgrades!$B$3:$B$13))*Upgrades!$D$3:$D$13))</f>
        <v/>
      </c>
      <c r="T659" s="66" t="str">
        <f>IFERROR(__xludf.DUMMYFUNCTION("IF(COUNTA(Q659:Q1350)=0,"""",IF(REGEXMATCH(INDEX(FILTER(Q$4:Q659,Q$4:Q659&lt;&gt;""""),ROWS(FILTER(Q$4:Q659,Q$4:Q659&lt;&gt;""""))),""^Sell_""),INDEX(FILTER(T$4:T658,Q$4:Q658&lt;&gt;""""),ROWS(FILTER(Q$4:Q658,Q$4:Q658&lt;&gt;""""))),$AD$5+S659))"),"")</f>
        <v/>
      </c>
      <c r="U659" s="10" t="str">
        <f>IFERROR(__xludf.DUMMYFUNCTION("IF(COUNTA(Q659:Q1350)=0,"""",IF(Q659="""",0,IF(REGEXMATCH(Q659,""^Sell_""),-ROUNDDOWN(ROUNDUP(INDEX(Upgrades!$C$3:$C$13,MATCH(SUBSTITUTE(Q659,""Sell_"",""""),Upgrades!$B$3:$B$13,0))*1.15^(COUNTIF(Q$4:Q658,SUBSTITUTE(Q659,""Sell_"",""""))-COUNTIF(Q$4:Q658,"&amp;"""Sell_""&amp;SUBSTITUTE(Q659,""Sell_"",""""))))/2),ROUNDUP(INDEX(Upgrades!$C$3:$C$13,MATCH(Q659,Upgrades!$B$3:$B$13,0))*1.15^(COUNTIF(Q$4:Q658,Q659)-COUNTIF(Q$4:Q658,""Sell_""&amp;Q659))))))"),"")</f>
        <v/>
      </c>
      <c r="V659" s="10" t="str">
        <f t="shared" si="11"/>
        <v/>
      </c>
      <c r="W659" s="68" t="str">
        <f t="shared" si="12"/>
        <v/>
      </c>
      <c r="X659" s="59" t="str">
        <f t="shared" si="13"/>
        <v/>
      </c>
      <c r="Y659" s="69" t="str">
        <f t="shared" si="14"/>
        <v/>
      </c>
      <c r="Z659" s="11"/>
    </row>
    <row r="660">
      <c r="A660" s="8"/>
      <c r="B660" s="56" t="str">
        <f t="shared" si="2"/>
        <v/>
      </c>
      <c r="C660" s="57"/>
      <c r="D660" s="10" t="str">
        <f>IFERROR(__xludf.DUMMYFUNCTION("IF(COUNTA(C660:C1350)=0,"""",IF(ISBLANK(C660),FALSE,IF(NOT(COUNTIF($AA$24:$AA$34,SUBSTITUTE(C660,""Sell_"",""""))),1,IF(REGEXMATCH(C660,""Sell_""),IF(COUNTIF(C$4:C660,SUBSTITUTE(C660,""Sell_"",""""))-COUNTIF(C$4:C659,C660)&lt;1,1),FALSE))))"),"")</f>
        <v/>
      </c>
      <c r="E660" s="59" t="str">
        <f t="array" ref="E660">IF(COUNTA(C660:C1350)=0,"",SUM((COUNTIF(C$4:C660,Upgrades!$B$3:$B$13)-COUNTIF(C$4:C660,"Sell_"&amp;Upgrades!$B$3:$B$13))*Upgrades!$D$3:$D$13))</f>
        <v/>
      </c>
      <c r="F660" s="66" t="str">
        <f>IFERROR(__xludf.DUMMYFUNCTION("IF(COUNTA(C660:C1350)=0,"""",IF(REGEXMATCH(INDEX(FILTER(C$4:C660,C$4:C660&lt;&gt;""""),ROWS(FILTER(C$4:C660,C$4:C660&lt;&gt;""""))),""^Sell_""),INDEX(FILTER(F$4:F659,C$4:C659&lt;&gt;""""),ROWS(FILTER(C$4:C659,C$4:C659&lt;&gt;""""))),$AC$5+E660))"),"")</f>
        <v/>
      </c>
      <c r="G660" s="10" t="str">
        <f>IFERROR(__xludf.DUMMYFUNCTION("IF(COUNTA(C660:C1350)=0,"""",IF(C660="""",0,IF(REGEXMATCH(C660,""^Sell_""),-ROUNDDOWN(ROUNDUP(INDEX(Upgrades!$C$3:$C$13,MATCH(SUBSTITUTE(C660,""Sell_"",""""),Upgrades!$B$3:$B$13,0))*1.15^(COUNTIF(C$4:C659,SUBSTITUTE(C660,""Sell_"",""""))-COUNTIF(C$4:C659,"&amp;"""Sell_""&amp;SUBSTITUTE(C660,""Sell_"",""""))))/2),ROUNDUP(INDEX(Upgrades!$C$3:$C$13,MATCH(C660,Upgrades!$B$3:$B$13,0))*1.15^(COUNTIF(C$4:C659,C660)-COUNTIF(C$4:C659,""Sell_""&amp;C660))))))"),"")</f>
        <v/>
      </c>
      <c r="H660" s="10" t="str">
        <f t="shared" si="3"/>
        <v/>
      </c>
      <c r="I660" s="68" t="str">
        <f t="shared" si="4"/>
        <v/>
      </c>
      <c r="J660" s="59" t="str">
        <f t="shared" si="5"/>
        <v/>
      </c>
      <c r="K660" s="69" t="str">
        <f t="shared" si="6"/>
        <v/>
      </c>
      <c r="L660" s="60" t="str">
        <f t="shared" si="7"/>
        <v/>
      </c>
      <c r="M660" s="61" t="str">
        <f>IFERROR(__xludf.DUMMYFUNCTION("IFS(AND(COUNTA(C660:C1350)=0,COUNTA(Q660:Q1350)=0),"""",OR(AND(K660&gt;=1000000000,OR(Y660&gt;=1000000000,COUNTA(Q660:Q1350)=0)),OR(Y660&gt;=1000000000,AND(COUNTA(C660:C1350)=0,P$3=TRUE))),
ROUNDDOWN((AB$1-AC$1)*MAX(INDEX(T$4:T1350,MATCH(LARGE(FILTER(Y$4:Y1350,Y$4"&amp;":Y1350&lt;1000000000),1),Y$4:Y1350)),INDEX(F$4:F1350,MATCH(LARGE(FILTER(K$4:K1350,K$4:K1350&lt;1000000000),1),K$4:K1350)))),AND(K660&lt;1000000000,COUNTA(C660:C1350)&gt;0,P$3=FALSE),
ROUNDDOWN(INDEX(Y$4:Y1350,MATCH(LARGE(FILTER(W$4:W1350,W$4:W1350&lt;=I660),1),W$4:W1350"&amp;"))+(I660-LARGE(FILTER(W$4:W1350,W$4:W1350&lt;=I660),1))*INDEX(T$4:T1350,MATCH(LARGE(FILTER(W$4:W1350,W$4:W1350&lt;=I660),1),W$4:W1350))-K660),1,
ROUNDDOWN(Y660-INDEX(K$4:K1350,MATCH(LARGE(FILTER(I$4:I1350,I$4:I1350&lt;=W660),1),I$4:I1350))-(W660-LARGE(FILTER(I$4:I"&amp;"1350,I$4:I1350&lt;=W660),1))*INDEX(F$4:F1350,MATCH(LARGE(FILTER(I$4:I1350,I$4:I1350&lt;=W660),1),I$4:I1350))))"),"")</f>
        <v/>
      </c>
      <c r="N660" s="60" t="str">
        <f t="shared" si="8"/>
        <v/>
      </c>
      <c r="O660" s="61" t="str">
        <f t="shared" si="9"/>
        <v/>
      </c>
      <c r="P660" s="56" t="str">
        <f t="shared" si="10"/>
        <v/>
      </c>
      <c r="Q660" s="62"/>
      <c r="R660" s="10" t="str">
        <f>IFERROR(__xludf.DUMMYFUNCTION("IF(COUNTA(Q660:Q1350)=0,"""",IF(ISBLANK(Q660),FALSE,IF(NOT(COUNTIF($AA$24:$AA$34,SUBSTITUTE(Q660,""Sell_"",""""))),1,IF(REGEXMATCH(Q660,""Sell_""),IF(COUNTIF(Q$4:Q660,SUBSTITUTE(Q660,""Sell_"",""""))-COUNTIF(Q$4:Q659,Q660)&lt;1,1),FALSE))))"),"")</f>
        <v/>
      </c>
      <c r="S660" s="59" t="str">
        <f t="array" ref="S660">IF(COUNTA(Q660:Q1350)=0,"",SUM((COUNTIF(Q$4:Q660,Upgrades!$B$3:$B$13)-COUNTIF(Q$4:Q660,"Sell_"&amp;Upgrades!$B$3:$B$13))*Upgrades!$D$3:$D$13))</f>
        <v/>
      </c>
      <c r="T660" s="66" t="str">
        <f>IFERROR(__xludf.DUMMYFUNCTION("IF(COUNTA(Q660:Q1350)=0,"""",IF(REGEXMATCH(INDEX(FILTER(Q$4:Q660,Q$4:Q660&lt;&gt;""""),ROWS(FILTER(Q$4:Q660,Q$4:Q660&lt;&gt;""""))),""^Sell_""),INDEX(FILTER(T$4:T659,Q$4:Q659&lt;&gt;""""),ROWS(FILTER(Q$4:Q659,Q$4:Q659&lt;&gt;""""))),$AD$5+S660))"),"")</f>
        <v/>
      </c>
      <c r="U660" s="10" t="str">
        <f>IFERROR(__xludf.DUMMYFUNCTION("IF(COUNTA(Q660:Q1350)=0,"""",IF(Q660="""",0,IF(REGEXMATCH(Q660,""^Sell_""),-ROUNDDOWN(ROUNDUP(INDEX(Upgrades!$C$3:$C$13,MATCH(SUBSTITUTE(Q660,""Sell_"",""""),Upgrades!$B$3:$B$13,0))*1.15^(COUNTIF(Q$4:Q659,SUBSTITUTE(Q660,""Sell_"",""""))-COUNTIF(Q$4:Q659,"&amp;"""Sell_""&amp;SUBSTITUTE(Q660,""Sell_"",""""))))/2),ROUNDUP(INDEX(Upgrades!$C$3:$C$13,MATCH(Q660,Upgrades!$B$3:$B$13,0))*1.15^(COUNTIF(Q$4:Q659,Q660)-COUNTIF(Q$4:Q659,""Sell_""&amp;Q660))))))"),"")</f>
        <v/>
      </c>
      <c r="V660" s="10" t="str">
        <f t="shared" si="11"/>
        <v/>
      </c>
      <c r="W660" s="68" t="str">
        <f t="shared" si="12"/>
        <v/>
      </c>
      <c r="X660" s="59" t="str">
        <f t="shared" si="13"/>
        <v/>
      </c>
      <c r="Y660" s="69" t="str">
        <f t="shared" si="14"/>
        <v/>
      </c>
      <c r="Z660" s="11"/>
    </row>
    <row r="661">
      <c r="A661" s="8"/>
      <c r="B661" s="56" t="str">
        <f t="shared" si="2"/>
        <v/>
      </c>
      <c r="C661" s="57"/>
      <c r="D661" s="10" t="str">
        <f>IFERROR(__xludf.DUMMYFUNCTION("IF(COUNTA(C661:C1350)=0,"""",IF(ISBLANK(C661),FALSE,IF(NOT(COUNTIF($AA$24:$AA$34,SUBSTITUTE(C661,""Sell_"",""""))),1,IF(REGEXMATCH(C661,""Sell_""),IF(COUNTIF(C$4:C661,SUBSTITUTE(C661,""Sell_"",""""))-COUNTIF(C$4:C660,C661)&lt;1,1),FALSE))))"),"")</f>
        <v/>
      </c>
      <c r="E661" s="59" t="str">
        <f t="array" ref="E661">IF(COUNTA(C661:C1350)=0,"",SUM((COUNTIF(C$4:C661,Upgrades!$B$3:$B$13)-COUNTIF(C$4:C661,"Sell_"&amp;Upgrades!$B$3:$B$13))*Upgrades!$D$3:$D$13))</f>
        <v/>
      </c>
      <c r="F661" s="66" t="str">
        <f>IFERROR(__xludf.DUMMYFUNCTION("IF(COUNTA(C661:C1350)=0,"""",IF(REGEXMATCH(INDEX(FILTER(C$4:C661,C$4:C661&lt;&gt;""""),ROWS(FILTER(C$4:C661,C$4:C661&lt;&gt;""""))),""^Sell_""),INDEX(FILTER(F$4:F660,C$4:C660&lt;&gt;""""),ROWS(FILTER(C$4:C660,C$4:C660&lt;&gt;""""))),$AC$5+E661))"),"")</f>
        <v/>
      </c>
      <c r="G661" s="10" t="str">
        <f>IFERROR(__xludf.DUMMYFUNCTION("IF(COUNTA(C661:C1350)=0,"""",IF(C661="""",0,IF(REGEXMATCH(C661,""^Sell_""),-ROUNDDOWN(ROUNDUP(INDEX(Upgrades!$C$3:$C$13,MATCH(SUBSTITUTE(C661,""Sell_"",""""),Upgrades!$B$3:$B$13,0))*1.15^(COUNTIF(C$4:C660,SUBSTITUTE(C661,""Sell_"",""""))-COUNTIF(C$4:C660,"&amp;"""Sell_""&amp;SUBSTITUTE(C661,""Sell_"",""""))))/2),ROUNDUP(INDEX(Upgrades!$C$3:$C$13,MATCH(C661,Upgrades!$B$3:$B$13,0))*1.15^(COUNTIF(C$4:C660,C661)-COUNTIF(C$4:C660,""Sell_""&amp;C661))))))"),"")</f>
        <v/>
      </c>
      <c r="H661" s="10" t="str">
        <f t="shared" si="3"/>
        <v/>
      </c>
      <c r="I661" s="68" t="str">
        <f t="shared" si="4"/>
        <v/>
      </c>
      <c r="J661" s="59" t="str">
        <f t="shared" si="5"/>
        <v/>
      </c>
      <c r="K661" s="69" t="str">
        <f t="shared" si="6"/>
        <v/>
      </c>
      <c r="L661" s="60" t="str">
        <f t="shared" si="7"/>
        <v/>
      </c>
      <c r="M661" s="61" t="str">
        <f>IFERROR(__xludf.DUMMYFUNCTION("IFS(AND(COUNTA(C661:C1350)=0,COUNTA(Q661:Q1350)=0),"""",OR(AND(K661&gt;=1000000000,OR(Y661&gt;=1000000000,COUNTA(Q661:Q1350)=0)),OR(Y661&gt;=1000000000,AND(COUNTA(C661:C1350)=0,P$3=TRUE))),
ROUNDDOWN((AB$1-AC$1)*MAX(INDEX(T$4:T1350,MATCH(LARGE(FILTER(Y$4:Y1350,Y$4"&amp;":Y1350&lt;1000000000),1),Y$4:Y1350)),INDEX(F$4:F1350,MATCH(LARGE(FILTER(K$4:K1350,K$4:K1350&lt;1000000000),1),K$4:K1350)))),AND(K661&lt;1000000000,COUNTA(C661:C1350)&gt;0,P$3=FALSE),
ROUNDDOWN(INDEX(Y$4:Y1350,MATCH(LARGE(FILTER(W$4:W1350,W$4:W1350&lt;=I661),1),W$4:W1350"&amp;"))+(I661-LARGE(FILTER(W$4:W1350,W$4:W1350&lt;=I661),1))*INDEX(T$4:T1350,MATCH(LARGE(FILTER(W$4:W1350,W$4:W1350&lt;=I661),1),W$4:W1350))-K661),1,
ROUNDDOWN(Y661-INDEX(K$4:K1350,MATCH(LARGE(FILTER(I$4:I1350,I$4:I1350&lt;=W661),1),I$4:I1350))-(W661-LARGE(FILTER(I$4:I"&amp;"1350,I$4:I1350&lt;=W661),1))*INDEX(F$4:F1350,MATCH(LARGE(FILTER(I$4:I1350,I$4:I1350&lt;=W661),1),I$4:I1350))))"),"")</f>
        <v/>
      </c>
      <c r="N661" s="60" t="str">
        <f t="shared" si="8"/>
        <v/>
      </c>
      <c r="O661" s="61" t="str">
        <f t="shared" si="9"/>
        <v/>
      </c>
      <c r="P661" s="56" t="str">
        <f t="shared" si="10"/>
        <v/>
      </c>
      <c r="Q661" s="62"/>
      <c r="R661" s="10" t="str">
        <f>IFERROR(__xludf.DUMMYFUNCTION("IF(COUNTA(Q661:Q1350)=0,"""",IF(ISBLANK(Q661),FALSE,IF(NOT(COUNTIF($AA$24:$AA$34,SUBSTITUTE(Q661,""Sell_"",""""))),1,IF(REGEXMATCH(Q661,""Sell_""),IF(COUNTIF(Q$4:Q661,SUBSTITUTE(Q661,""Sell_"",""""))-COUNTIF(Q$4:Q660,Q661)&lt;1,1),FALSE))))"),"")</f>
        <v/>
      </c>
      <c r="S661" s="59" t="str">
        <f t="array" ref="S661">IF(COUNTA(Q661:Q1350)=0,"",SUM((COUNTIF(Q$4:Q661,Upgrades!$B$3:$B$13)-COUNTIF(Q$4:Q661,"Sell_"&amp;Upgrades!$B$3:$B$13))*Upgrades!$D$3:$D$13))</f>
        <v/>
      </c>
      <c r="T661" s="66" t="str">
        <f>IFERROR(__xludf.DUMMYFUNCTION("IF(COUNTA(Q661:Q1350)=0,"""",IF(REGEXMATCH(INDEX(FILTER(Q$4:Q661,Q$4:Q661&lt;&gt;""""),ROWS(FILTER(Q$4:Q661,Q$4:Q661&lt;&gt;""""))),""^Sell_""),INDEX(FILTER(T$4:T660,Q$4:Q660&lt;&gt;""""),ROWS(FILTER(Q$4:Q660,Q$4:Q660&lt;&gt;""""))),$AD$5+S661))"),"")</f>
        <v/>
      </c>
      <c r="U661" s="10" t="str">
        <f>IFERROR(__xludf.DUMMYFUNCTION("IF(COUNTA(Q661:Q1350)=0,"""",IF(Q661="""",0,IF(REGEXMATCH(Q661,""^Sell_""),-ROUNDDOWN(ROUNDUP(INDEX(Upgrades!$C$3:$C$13,MATCH(SUBSTITUTE(Q661,""Sell_"",""""),Upgrades!$B$3:$B$13,0))*1.15^(COUNTIF(Q$4:Q660,SUBSTITUTE(Q661,""Sell_"",""""))-COUNTIF(Q$4:Q660,"&amp;"""Sell_""&amp;SUBSTITUTE(Q661,""Sell_"",""""))))/2),ROUNDUP(INDEX(Upgrades!$C$3:$C$13,MATCH(Q661,Upgrades!$B$3:$B$13,0))*1.15^(COUNTIF(Q$4:Q660,Q661)-COUNTIF(Q$4:Q660,""Sell_""&amp;Q661))))))"),"")</f>
        <v/>
      </c>
      <c r="V661" s="10" t="str">
        <f t="shared" si="11"/>
        <v/>
      </c>
      <c r="W661" s="68" t="str">
        <f t="shared" si="12"/>
        <v/>
      </c>
      <c r="X661" s="59" t="str">
        <f t="shared" si="13"/>
        <v/>
      </c>
      <c r="Y661" s="69" t="str">
        <f t="shared" si="14"/>
        <v/>
      </c>
      <c r="Z661" s="11"/>
    </row>
    <row r="662">
      <c r="A662" s="8"/>
      <c r="B662" s="56" t="str">
        <f t="shared" si="2"/>
        <v/>
      </c>
      <c r="C662" s="57"/>
      <c r="D662" s="10" t="str">
        <f>IFERROR(__xludf.DUMMYFUNCTION("IF(COUNTA(C662:C1350)=0,"""",IF(ISBLANK(C662),FALSE,IF(NOT(COUNTIF($AA$24:$AA$34,SUBSTITUTE(C662,""Sell_"",""""))),1,IF(REGEXMATCH(C662,""Sell_""),IF(COUNTIF(C$4:C662,SUBSTITUTE(C662,""Sell_"",""""))-COUNTIF(C$4:C661,C662)&lt;1,1),FALSE))))"),"")</f>
        <v/>
      </c>
      <c r="E662" s="59" t="str">
        <f t="array" ref="E662">IF(COUNTA(C662:C1350)=0,"",SUM((COUNTIF(C$4:C662,Upgrades!$B$3:$B$13)-COUNTIF(C$4:C662,"Sell_"&amp;Upgrades!$B$3:$B$13))*Upgrades!$D$3:$D$13))</f>
        <v/>
      </c>
      <c r="F662" s="66" t="str">
        <f>IFERROR(__xludf.DUMMYFUNCTION("IF(COUNTA(C662:C1350)=0,"""",IF(REGEXMATCH(INDEX(FILTER(C$4:C662,C$4:C662&lt;&gt;""""),ROWS(FILTER(C$4:C662,C$4:C662&lt;&gt;""""))),""^Sell_""),INDEX(FILTER(F$4:F661,C$4:C661&lt;&gt;""""),ROWS(FILTER(C$4:C661,C$4:C661&lt;&gt;""""))),$AC$5+E662))"),"")</f>
        <v/>
      </c>
      <c r="G662" s="10" t="str">
        <f>IFERROR(__xludf.DUMMYFUNCTION("IF(COUNTA(C662:C1350)=0,"""",IF(C662="""",0,IF(REGEXMATCH(C662,""^Sell_""),-ROUNDDOWN(ROUNDUP(INDEX(Upgrades!$C$3:$C$13,MATCH(SUBSTITUTE(C662,""Sell_"",""""),Upgrades!$B$3:$B$13,0))*1.15^(COUNTIF(C$4:C661,SUBSTITUTE(C662,""Sell_"",""""))-COUNTIF(C$4:C661,"&amp;"""Sell_""&amp;SUBSTITUTE(C662,""Sell_"",""""))))/2),ROUNDUP(INDEX(Upgrades!$C$3:$C$13,MATCH(C662,Upgrades!$B$3:$B$13,0))*1.15^(COUNTIF(C$4:C661,C662)-COUNTIF(C$4:C661,""Sell_""&amp;C662))))))"),"")</f>
        <v/>
      </c>
      <c r="H662" s="10" t="str">
        <f t="shared" si="3"/>
        <v/>
      </c>
      <c r="I662" s="68" t="str">
        <f t="shared" si="4"/>
        <v/>
      </c>
      <c r="J662" s="59" t="str">
        <f t="shared" si="5"/>
        <v/>
      </c>
      <c r="K662" s="69" t="str">
        <f t="shared" si="6"/>
        <v/>
      </c>
      <c r="L662" s="60" t="str">
        <f t="shared" si="7"/>
        <v/>
      </c>
      <c r="M662" s="61" t="str">
        <f>IFERROR(__xludf.DUMMYFUNCTION("IFS(AND(COUNTA(C662:C1350)=0,COUNTA(Q662:Q1350)=0),"""",OR(AND(K662&gt;=1000000000,OR(Y662&gt;=1000000000,COUNTA(Q662:Q1350)=0)),OR(Y662&gt;=1000000000,AND(COUNTA(C662:C1350)=0,P$3=TRUE))),
ROUNDDOWN((AB$1-AC$1)*MAX(INDEX(T$4:T1350,MATCH(LARGE(FILTER(Y$4:Y1350,Y$4"&amp;":Y1350&lt;1000000000),1),Y$4:Y1350)),INDEX(F$4:F1350,MATCH(LARGE(FILTER(K$4:K1350,K$4:K1350&lt;1000000000),1),K$4:K1350)))),AND(K662&lt;1000000000,COUNTA(C662:C1350)&gt;0,P$3=FALSE),
ROUNDDOWN(INDEX(Y$4:Y1350,MATCH(LARGE(FILTER(W$4:W1350,W$4:W1350&lt;=I662),1),W$4:W1350"&amp;"))+(I662-LARGE(FILTER(W$4:W1350,W$4:W1350&lt;=I662),1))*INDEX(T$4:T1350,MATCH(LARGE(FILTER(W$4:W1350,W$4:W1350&lt;=I662),1),W$4:W1350))-K662),1,
ROUNDDOWN(Y662-INDEX(K$4:K1350,MATCH(LARGE(FILTER(I$4:I1350,I$4:I1350&lt;=W662),1),I$4:I1350))-(W662-LARGE(FILTER(I$4:I"&amp;"1350,I$4:I1350&lt;=W662),1))*INDEX(F$4:F1350,MATCH(LARGE(FILTER(I$4:I1350,I$4:I1350&lt;=W662),1),I$4:I1350))))"),"")</f>
        <v/>
      </c>
      <c r="N662" s="60" t="str">
        <f t="shared" si="8"/>
        <v/>
      </c>
      <c r="O662" s="61" t="str">
        <f t="shared" si="9"/>
        <v/>
      </c>
      <c r="P662" s="56" t="str">
        <f t="shared" si="10"/>
        <v/>
      </c>
      <c r="Q662" s="62"/>
      <c r="R662" s="10" t="str">
        <f>IFERROR(__xludf.DUMMYFUNCTION("IF(COUNTA(Q662:Q1350)=0,"""",IF(ISBLANK(Q662),FALSE,IF(NOT(COUNTIF($AA$24:$AA$34,SUBSTITUTE(Q662,""Sell_"",""""))),1,IF(REGEXMATCH(Q662,""Sell_""),IF(COUNTIF(Q$4:Q662,SUBSTITUTE(Q662,""Sell_"",""""))-COUNTIF(Q$4:Q661,Q662)&lt;1,1),FALSE))))"),"")</f>
        <v/>
      </c>
      <c r="S662" s="59" t="str">
        <f t="array" ref="S662">IF(COUNTA(Q662:Q1350)=0,"",SUM((COUNTIF(Q$4:Q662,Upgrades!$B$3:$B$13)-COUNTIF(Q$4:Q662,"Sell_"&amp;Upgrades!$B$3:$B$13))*Upgrades!$D$3:$D$13))</f>
        <v/>
      </c>
      <c r="T662" s="66" t="str">
        <f>IFERROR(__xludf.DUMMYFUNCTION("IF(COUNTA(Q662:Q1350)=0,"""",IF(REGEXMATCH(INDEX(FILTER(Q$4:Q662,Q$4:Q662&lt;&gt;""""),ROWS(FILTER(Q$4:Q662,Q$4:Q662&lt;&gt;""""))),""^Sell_""),INDEX(FILTER(T$4:T661,Q$4:Q661&lt;&gt;""""),ROWS(FILTER(Q$4:Q661,Q$4:Q661&lt;&gt;""""))),$AD$5+S662))"),"")</f>
        <v/>
      </c>
      <c r="U662" s="10" t="str">
        <f>IFERROR(__xludf.DUMMYFUNCTION("IF(COUNTA(Q662:Q1350)=0,"""",IF(Q662="""",0,IF(REGEXMATCH(Q662,""^Sell_""),-ROUNDDOWN(ROUNDUP(INDEX(Upgrades!$C$3:$C$13,MATCH(SUBSTITUTE(Q662,""Sell_"",""""),Upgrades!$B$3:$B$13,0))*1.15^(COUNTIF(Q$4:Q661,SUBSTITUTE(Q662,""Sell_"",""""))-COUNTIF(Q$4:Q661,"&amp;"""Sell_""&amp;SUBSTITUTE(Q662,""Sell_"",""""))))/2),ROUNDUP(INDEX(Upgrades!$C$3:$C$13,MATCH(Q662,Upgrades!$B$3:$B$13,0))*1.15^(COUNTIF(Q$4:Q661,Q662)-COUNTIF(Q$4:Q661,""Sell_""&amp;Q662))))))"),"")</f>
        <v/>
      </c>
      <c r="V662" s="10" t="str">
        <f t="shared" si="11"/>
        <v/>
      </c>
      <c r="W662" s="68" t="str">
        <f t="shared" si="12"/>
        <v/>
      </c>
      <c r="X662" s="59" t="str">
        <f t="shared" si="13"/>
        <v/>
      </c>
      <c r="Y662" s="69" t="str">
        <f t="shared" si="14"/>
        <v/>
      </c>
      <c r="Z662" s="11"/>
    </row>
    <row r="663">
      <c r="A663" s="8"/>
      <c r="B663" s="56" t="str">
        <f t="shared" si="2"/>
        <v/>
      </c>
      <c r="C663" s="57"/>
      <c r="D663" s="10" t="str">
        <f>IFERROR(__xludf.DUMMYFUNCTION("IF(COUNTA(C663:C1350)=0,"""",IF(ISBLANK(C663),FALSE,IF(NOT(COUNTIF($AA$24:$AA$34,SUBSTITUTE(C663,""Sell_"",""""))),1,IF(REGEXMATCH(C663,""Sell_""),IF(COUNTIF(C$4:C663,SUBSTITUTE(C663,""Sell_"",""""))-COUNTIF(C$4:C662,C663)&lt;1,1),FALSE))))"),"")</f>
        <v/>
      </c>
      <c r="E663" s="59" t="str">
        <f t="array" ref="E663">IF(COUNTA(C663:C1350)=0,"",SUM((COUNTIF(C$4:C663,Upgrades!$B$3:$B$13)-COUNTIF(C$4:C663,"Sell_"&amp;Upgrades!$B$3:$B$13))*Upgrades!$D$3:$D$13))</f>
        <v/>
      </c>
      <c r="F663" s="66" t="str">
        <f>IFERROR(__xludf.DUMMYFUNCTION("IF(COUNTA(C663:C1350)=0,"""",IF(REGEXMATCH(INDEX(FILTER(C$4:C663,C$4:C663&lt;&gt;""""),ROWS(FILTER(C$4:C663,C$4:C663&lt;&gt;""""))),""^Sell_""),INDEX(FILTER(F$4:F662,C$4:C662&lt;&gt;""""),ROWS(FILTER(C$4:C662,C$4:C662&lt;&gt;""""))),$AC$5+E663))"),"")</f>
        <v/>
      </c>
      <c r="G663" s="10" t="str">
        <f>IFERROR(__xludf.DUMMYFUNCTION("IF(COUNTA(C663:C1350)=0,"""",IF(C663="""",0,IF(REGEXMATCH(C663,""^Sell_""),-ROUNDDOWN(ROUNDUP(INDEX(Upgrades!$C$3:$C$13,MATCH(SUBSTITUTE(C663,""Sell_"",""""),Upgrades!$B$3:$B$13,0))*1.15^(COUNTIF(C$4:C662,SUBSTITUTE(C663,""Sell_"",""""))-COUNTIF(C$4:C662,"&amp;"""Sell_""&amp;SUBSTITUTE(C663,""Sell_"",""""))))/2),ROUNDUP(INDEX(Upgrades!$C$3:$C$13,MATCH(C663,Upgrades!$B$3:$B$13,0))*1.15^(COUNTIF(C$4:C662,C663)-COUNTIF(C$4:C662,""Sell_""&amp;C663))))))"),"")</f>
        <v/>
      </c>
      <c r="H663" s="10" t="str">
        <f t="shared" si="3"/>
        <v/>
      </c>
      <c r="I663" s="68" t="str">
        <f t="shared" si="4"/>
        <v/>
      </c>
      <c r="J663" s="59" t="str">
        <f t="shared" si="5"/>
        <v/>
      </c>
      <c r="K663" s="69" t="str">
        <f t="shared" si="6"/>
        <v/>
      </c>
      <c r="L663" s="60" t="str">
        <f t="shared" si="7"/>
        <v/>
      </c>
      <c r="M663" s="61" t="str">
        <f>IFERROR(__xludf.DUMMYFUNCTION("IFS(AND(COUNTA(C663:C1350)=0,COUNTA(Q663:Q1350)=0),"""",OR(AND(K663&gt;=1000000000,OR(Y663&gt;=1000000000,COUNTA(Q663:Q1350)=0)),OR(Y663&gt;=1000000000,AND(COUNTA(C663:C1350)=0,P$3=TRUE))),
ROUNDDOWN((AB$1-AC$1)*MAX(INDEX(T$4:T1350,MATCH(LARGE(FILTER(Y$4:Y1350,Y$4"&amp;":Y1350&lt;1000000000),1),Y$4:Y1350)),INDEX(F$4:F1350,MATCH(LARGE(FILTER(K$4:K1350,K$4:K1350&lt;1000000000),1),K$4:K1350)))),AND(K663&lt;1000000000,COUNTA(C663:C1350)&gt;0,P$3=FALSE),
ROUNDDOWN(INDEX(Y$4:Y1350,MATCH(LARGE(FILTER(W$4:W1350,W$4:W1350&lt;=I663),1),W$4:W1350"&amp;"))+(I663-LARGE(FILTER(W$4:W1350,W$4:W1350&lt;=I663),1))*INDEX(T$4:T1350,MATCH(LARGE(FILTER(W$4:W1350,W$4:W1350&lt;=I663),1),W$4:W1350))-K663),1,
ROUNDDOWN(Y663-INDEX(K$4:K1350,MATCH(LARGE(FILTER(I$4:I1350,I$4:I1350&lt;=W663),1),I$4:I1350))-(W663-LARGE(FILTER(I$4:I"&amp;"1350,I$4:I1350&lt;=W663),1))*INDEX(F$4:F1350,MATCH(LARGE(FILTER(I$4:I1350,I$4:I1350&lt;=W663),1),I$4:I1350))))"),"")</f>
        <v/>
      </c>
      <c r="N663" s="60" t="str">
        <f t="shared" si="8"/>
        <v/>
      </c>
      <c r="O663" s="61" t="str">
        <f t="shared" si="9"/>
        <v/>
      </c>
      <c r="P663" s="56" t="str">
        <f t="shared" si="10"/>
        <v/>
      </c>
      <c r="Q663" s="62"/>
      <c r="R663" s="10" t="str">
        <f>IFERROR(__xludf.DUMMYFUNCTION("IF(COUNTA(Q663:Q1350)=0,"""",IF(ISBLANK(Q663),FALSE,IF(NOT(COUNTIF($AA$24:$AA$34,SUBSTITUTE(Q663,""Sell_"",""""))),1,IF(REGEXMATCH(Q663,""Sell_""),IF(COUNTIF(Q$4:Q663,SUBSTITUTE(Q663,""Sell_"",""""))-COUNTIF(Q$4:Q662,Q663)&lt;1,1),FALSE))))"),"")</f>
        <v/>
      </c>
      <c r="S663" s="59" t="str">
        <f t="array" ref="S663">IF(COUNTA(Q663:Q1350)=0,"",SUM((COUNTIF(Q$4:Q663,Upgrades!$B$3:$B$13)-COUNTIF(Q$4:Q663,"Sell_"&amp;Upgrades!$B$3:$B$13))*Upgrades!$D$3:$D$13))</f>
        <v/>
      </c>
      <c r="T663" s="66" t="str">
        <f>IFERROR(__xludf.DUMMYFUNCTION("IF(COUNTA(Q663:Q1350)=0,"""",IF(REGEXMATCH(INDEX(FILTER(Q$4:Q663,Q$4:Q663&lt;&gt;""""),ROWS(FILTER(Q$4:Q663,Q$4:Q663&lt;&gt;""""))),""^Sell_""),INDEX(FILTER(T$4:T662,Q$4:Q662&lt;&gt;""""),ROWS(FILTER(Q$4:Q662,Q$4:Q662&lt;&gt;""""))),$AD$5+S663))"),"")</f>
        <v/>
      </c>
      <c r="U663" s="10" t="str">
        <f>IFERROR(__xludf.DUMMYFUNCTION("IF(COUNTA(Q663:Q1350)=0,"""",IF(Q663="""",0,IF(REGEXMATCH(Q663,""^Sell_""),-ROUNDDOWN(ROUNDUP(INDEX(Upgrades!$C$3:$C$13,MATCH(SUBSTITUTE(Q663,""Sell_"",""""),Upgrades!$B$3:$B$13,0))*1.15^(COUNTIF(Q$4:Q662,SUBSTITUTE(Q663,""Sell_"",""""))-COUNTIF(Q$4:Q662,"&amp;"""Sell_""&amp;SUBSTITUTE(Q663,""Sell_"",""""))))/2),ROUNDUP(INDEX(Upgrades!$C$3:$C$13,MATCH(Q663,Upgrades!$B$3:$B$13,0))*1.15^(COUNTIF(Q$4:Q662,Q663)-COUNTIF(Q$4:Q662,""Sell_""&amp;Q663))))))"),"")</f>
        <v/>
      </c>
      <c r="V663" s="10" t="str">
        <f t="shared" si="11"/>
        <v/>
      </c>
      <c r="W663" s="68" t="str">
        <f t="shared" si="12"/>
        <v/>
      </c>
      <c r="X663" s="59" t="str">
        <f t="shared" si="13"/>
        <v/>
      </c>
      <c r="Y663" s="69" t="str">
        <f t="shared" si="14"/>
        <v/>
      </c>
      <c r="Z663" s="11"/>
    </row>
    <row r="664">
      <c r="A664" s="8"/>
      <c r="B664" s="56" t="str">
        <f t="shared" si="2"/>
        <v/>
      </c>
      <c r="C664" s="57"/>
      <c r="D664" s="10" t="str">
        <f>IFERROR(__xludf.DUMMYFUNCTION("IF(COUNTA(C664:C1350)=0,"""",IF(ISBLANK(C664),FALSE,IF(NOT(COUNTIF($AA$24:$AA$34,SUBSTITUTE(C664,""Sell_"",""""))),1,IF(REGEXMATCH(C664,""Sell_""),IF(COUNTIF(C$4:C664,SUBSTITUTE(C664,""Sell_"",""""))-COUNTIF(C$4:C663,C664)&lt;1,1),FALSE))))"),"")</f>
        <v/>
      </c>
      <c r="E664" s="59" t="str">
        <f t="array" ref="E664">IF(COUNTA(C664:C1350)=0,"",SUM((COUNTIF(C$4:C664,Upgrades!$B$3:$B$13)-COUNTIF(C$4:C664,"Sell_"&amp;Upgrades!$B$3:$B$13))*Upgrades!$D$3:$D$13))</f>
        <v/>
      </c>
      <c r="F664" s="66" t="str">
        <f>IFERROR(__xludf.DUMMYFUNCTION("IF(COUNTA(C664:C1350)=0,"""",IF(REGEXMATCH(INDEX(FILTER(C$4:C664,C$4:C664&lt;&gt;""""),ROWS(FILTER(C$4:C664,C$4:C664&lt;&gt;""""))),""^Sell_""),INDEX(FILTER(F$4:F663,C$4:C663&lt;&gt;""""),ROWS(FILTER(C$4:C663,C$4:C663&lt;&gt;""""))),$AC$5+E664))"),"")</f>
        <v/>
      </c>
      <c r="G664" s="10" t="str">
        <f>IFERROR(__xludf.DUMMYFUNCTION("IF(COUNTA(C664:C1350)=0,"""",IF(C664="""",0,IF(REGEXMATCH(C664,""^Sell_""),-ROUNDDOWN(ROUNDUP(INDEX(Upgrades!$C$3:$C$13,MATCH(SUBSTITUTE(C664,""Sell_"",""""),Upgrades!$B$3:$B$13,0))*1.15^(COUNTIF(C$4:C663,SUBSTITUTE(C664,""Sell_"",""""))-COUNTIF(C$4:C663,"&amp;"""Sell_""&amp;SUBSTITUTE(C664,""Sell_"",""""))))/2),ROUNDUP(INDEX(Upgrades!$C$3:$C$13,MATCH(C664,Upgrades!$B$3:$B$13,0))*1.15^(COUNTIF(C$4:C663,C664)-COUNTIF(C$4:C663,""Sell_""&amp;C664))))))"),"")</f>
        <v/>
      </c>
      <c r="H664" s="10" t="str">
        <f t="shared" si="3"/>
        <v/>
      </c>
      <c r="I664" s="68" t="str">
        <f t="shared" si="4"/>
        <v/>
      </c>
      <c r="J664" s="59" t="str">
        <f t="shared" si="5"/>
        <v/>
      </c>
      <c r="K664" s="69" t="str">
        <f t="shared" si="6"/>
        <v/>
      </c>
      <c r="L664" s="60" t="str">
        <f t="shared" si="7"/>
        <v/>
      </c>
      <c r="M664" s="61" t="str">
        <f>IFERROR(__xludf.DUMMYFUNCTION("IFS(AND(COUNTA(C664:C1350)=0,COUNTA(Q664:Q1350)=0),"""",OR(AND(K664&gt;=1000000000,OR(Y664&gt;=1000000000,COUNTA(Q664:Q1350)=0)),OR(Y664&gt;=1000000000,AND(COUNTA(C664:C1350)=0,P$3=TRUE))),
ROUNDDOWN((AB$1-AC$1)*MAX(INDEX(T$4:T1350,MATCH(LARGE(FILTER(Y$4:Y1350,Y$4"&amp;":Y1350&lt;1000000000),1),Y$4:Y1350)),INDEX(F$4:F1350,MATCH(LARGE(FILTER(K$4:K1350,K$4:K1350&lt;1000000000),1),K$4:K1350)))),AND(K664&lt;1000000000,COUNTA(C664:C1350)&gt;0,P$3=FALSE),
ROUNDDOWN(INDEX(Y$4:Y1350,MATCH(LARGE(FILTER(W$4:W1350,W$4:W1350&lt;=I664),1),W$4:W1350"&amp;"))+(I664-LARGE(FILTER(W$4:W1350,W$4:W1350&lt;=I664),1))*INDEX(T$4:T1350,MATCH(LARGE(FILTER(W$4:W1350,W$4:W1350&lt;=I664),1),W$4:W1350))-K664),1,
ROUNDDOWN(Y664-INDEX(K$4:K1350,MATCH(LARGE(FILTER(I$4:I1350,I$4:I1350&lt;=W664),1),I$4:I1350))-(W664-LARGE(FILTER(I$4:I"&amp;"1350,I$4:I1350&lt;=W664),1))*INDEX(F$4:F1350,MATCH(LARGE(FILTER(I$4:I1350,I$4:I1350&lt;=W664),1),I$4:I1350))))"),"")</f>
        <v/>
      </c>
      <c r="N664" s="60" t="str">
        <f t="shared" si="8"/>
        <v/>
      </c>
      <c r="O664" s="61" t="str">
        <f t="shared" si="9"/>
        <v/>
      </c>
      <c r="P664" s="56" t="str">
        <f t="shared" si="10"/>
        <v/>
      </c>
      <c r="Q664" s="62"/>
      <c r="R664" s="10" t="str">
        <f>IFERROR(__xludf.DUMMYFUNCTION("IF(COUNTA(Q664:Q1350)=0,"""",IF(ISBLANK(Q664),FALSE,IF(NOT(COUNTIF($AA$24:$AA$34,SUBSTITUTE(Q664,""Sell_"",""""))),1,IF(REGEXMATCH(Q664,""Sell_""),IF(COUNTIF(Q$4:Q664,SUBSTITUTE(Q664,""Sell_"",""""))-COUNTIF(Q$4:Q663,Q664)&lt;1,1),FALSE))))"),"")</f>
        <v/>
      </c>
      <c r="S664" s="59" t="str">
        <f t="array" ref="S664">IF(COUNTA(Q664:Q1350)=0,"",SUM((COUNTIF(Q$4:Q664,Upgrades!$B$3:$B$13)-COUNTIF(Q$4:Q664,"Sell_"&amp;Upgrades!$B$3:$B$13))*Upgrades!$D$3:$D$13))</f>
        <v/>
      </c>
      <c r="T664" s="66" t="str">
        <f>IFERROR(__xludf.DUMMYFUNCTION("IF(COUNTA(Q664:Q1350)=0,"""",IF(REGEXMATCH(INDEX(FILTER(Q$4:Q664,Q$4:Q664&lt;&gt;""""),ROWS(FILTER(Q$4:Q664,Q$4:Q664&lt;&gt;""""))),""^Sell_""),INDEX(FILTER(T$4:T663,Q$4:Q663&lt;&gt;""""),ROWS(FILTER(Q$4:Q663,Q$4:Q663&lt;&gt;""""))),$AD$5+S664))"),"")</f>
        <v/>
      </c>
      <c r="U664" s="10" t="str">
        <f>IFERROR(__xludf.DUMMYFUNCTION("IF(COUNTA(Q664:Q1350)=0,"""",IF(Q664="""",0,IF(REGEXMATCH(Q664,""^Sell_""),-ROUNDDOWN(ROUNDUP(INDEX(Upgrades!$C$3:$C$13,MATCH(SUBSTITUTE(Q664,""Sell_"",""""),Upgrades!$B$3:$B$13,0))*1.15^(COUNTIF(Q$4:Q663,SUBSTITUTE(Q664,""Sell_"",""""))-COUNTIF(Q$4:Q663,"&amp;"""Sell_""&amp;SUBSTITUTE(Q664,""Sell_"",""""))))/2),ROUNDUP(INDEX(Upgrades!$C$3:$C$13,MATCH(Q664,Upgrades!$B$3:$B$13,0))*1.15^(COUNTIF(Q$4:Q663,Q664)-COUNTIF(Q$4:Q663,""Sell_""&amp;Q664))))))"),"")</f>
        <v/>
      </c>
      <c r="V664" s="10" t="str">
        <f t="shared" si="11"/>
        <v/>
      </c>
      <c r="W664" s="68" t="str">
        <f t="shared" si="12"/>
        <v/>
      </c>
      <c r="X664" s="59" t="str">
        <f t="shared" si="13"/>
        <v/>
      </c>
      <c r="Y664" s="69" t="str">
        <f t="shared" si="14"/>
        <v/>
      </c>
      <c r="Z664" s="11"/>
    </row>
    <row r="665">
      <c r="A665" s="8"/>
      <c r="B665" s="56" t="str">
        <f t="shared" si="2"/>
        <v/>
      </c>
      <c r="C665" s="57"/>
      <c r="D665" s="10" t="str">
        <f>IFERROR(__xludf.DUMMYFUNCTION("IF(COUNTA(C665:C1350)=0,"""",IF(ISBLANK(C665),FALSE,IF(NOT(COUNTIF($AA$24:$AA$34,SUBSTITUTE(C665,""Sell_"",""""))),1,IF(REGEXMATCH(C665,""Sell_""),IF(COUNTIF(C$4:C665,SUBSTITUTE(C665,""Sell_"",""""))-COUNTIF(C$4:C664,C665)&lt;1,1),FALSE))))"),"")</f>
        <v/>
      </c>
      <c r="E665" s="59" t="str">
        <f t="array" ref="E665">IF(COUNTA(C665:C1350)=0,"",SUM((COUNTIF(C$4:C665,Upgrades!$B$3:$B$13)-COUNTIF(C$4:C665,"Sell_"&amp;Upgrades!$B$3:$B$13))*Upgrades!$D$3:$D$13))</f>
        <v/>
      </c>
      <c r="F665" s="66" t="str">
        <f>IFERROR(__xludf.DUMMYFUNCTION("IF(COUNTA(C665:C1350)=0,"""",IF(REGEXMATCH(INDEX(FILTER(C$4:C665,C$4:C665&lt;&gt;""""),ROWS(FILTER(C$4:C665,C$4:C665&lt;&gt;""""))),""^Sell_""),INDEX(FILTER(F$4:F664,C$4:C664&lt;&gt;""""),ROWS(FILTER(C$4:C664,C$4:C664&lt;&gt;""""))),$AC$5+E665))"),"")</f>
        <v/>
      </c>
      <c r="G665" s="10" t="str">
        <f>IFERROR(__xludf.DUMMYFUNCTION("IF(COUNTA(C665:C1350)=0,"""",IF(C665="""",0,IF(REGEXMATCH(C665,""^Sell_""),-ROUNDDOWN(ROUNDUP(INDEX(Upgrades!$C$3:$C$13,MATCH(SUBSTITUTE(C665,""Sell_"",""""),Upgrades!$B$3:$B$13,0))*1.15^(COUNTIF(C$4:C664,SUBSTITUTE(C665,""Sell_"",""""))-COUNTIF(C$4:C664,"&amp;"""Sell_""&amp;SUBSTITUTE(C665,""Sell_"",""""))))/2),ROUNDUP(INDEX(Upgrades!$C$3:$C$13,MATCH(C665,Upgrades!$B$3:$B$13,0))*1.15^(COUNTIF(C$4:C664,C665)-COUNTIF(C$4:C664,""Sell_""&amp;C665))))))"),"")</f>
        <v/>
      </c>
      <c r="H665" s="10" t="str">
        <f t="shared" si="3"/>
        <v/>
      </c>
      <c r="I665" s="68" t="str">
        <f t="shared" si="4"/>
        <v/>
      </c>
      <c r="J665" s="59" t="str">
        <f t="shared" si="5"/>
        <v/>
      </c>
      <c r="K665" s="69" t="str">
        <f t="shared" si="6"/>
        <v/>
      </c>
      <c r="L665" s="60" t="str">
        <f t="shared" si="7"/>
        <v/>
      </c>
      <c r="M665" s="61" t="str">
        <f>IFERROR(__xludf.DUMMYFUNCTION("IFS(AND(COUNTA(C665:C1350)=0,COUNTA(Q665:Q1350)=0),"""",OR(AND(K665&gt;=1000000000,OR(Y665&gt;=1000000000,COUNTA(Q665:Q1350)=0)),OR(Y665&gt;=1000000000,AND(COUNTA(C665:C1350)=0,P$3=TRUE))),
ROUNDDOWN((AB$1-AC$1)*MAX(INDEX(T$4:T1350,MATCH(LARGE(FILTER(Y$4:Y1350,Y$4"&amp;":Y1350&lt;1000000000),1),Y$4:Y1350)),INDEX(F$4:F1350,MATCH(LARGE(FILTER(K$4:K1350,K$4:K1350&lt;1000000000),1),K$4:K1350)))),AND(K665&lt;1000000000,COUNTA(C665:C1350)&gt;0,P$3=FALSE),
ROUNDDOWN(INDEX(Y$4:Y1350,MATCH(LARGE(FILTER(W$4:W1350,W$4:W1350&lt;=I665),1),W$4:W1350"&amp;"))+(I665-LARGE(FILTER(W$4:W1350,W$4:W1350&lt;=I665),1))*INDEX(T$4:T1350,MATCH(LARGE(FILTER(W$4:W1350,W$4:W1350&lt;=I665),1),W$4:W1350))-K665),1,
ROUNDDOWN(Y665-INDEX(K$4:K1350,MATCH(LARGE(FILTER(I$4:I1350,I$4:I1350&lt;=W665),1),I$4:I1350))-(W665-LARGE(FILTER(I$4:I"&amp;"1350,I$4:I1350&lt;=W665),1))*INDEX(F$4:F1350,MATCH(LARGE(FILTER(I$4:I1350,I$4:I1350&lt;=W665),1),I$4:I1350))))"),"")</f>
        <v/>
      </c>
      <c r="N665" s="60" t="str">
        <f t="shared" si="8"/>
        <v/>
      </c>
      <c r="O665" s="61" t="str">
        <f t="shared" si="9"/>
        <v/>
      </c>
      <c r="P665" s="56" t="str">
        <f t="shared" si="10"/>
        <v/>
      </c>
      <c r="Q665" s="62"/>
      <c r="R665" s="10" t="str">
        <f>IFERROR(__xludf.DUMMYFUNCTION("IF(COUNTA(Q665:Q1350)=0,"""",IF(ISBLANK(Q665),FALSE,IF(NOT(COUNTIF($AA$24:$AA$34,SUBSTITUTE(Q665,""Sell_"",""""))),1,IF(REGEXMATCH(Q665,""Sell_""),IF(COUNTIF(Q$4:Q665,SUBSTITUTE(Q665,""Sell_"",""""))-COUNTIF(Q$4:Q664,Q665)&lt;1,1),FALSE))))"),"")</f>
        <v/>
      </c>
      <c r="S665" s="59" t="str">
        <f t="array" ref="S665">IF(COUNTA(Q665:Q1350)=0,"",SUM((COUNTIF(Q$4:Q665,Upgrades!$B$3:$B$13)-COUNTIF(Q$4:Q665,"Sell_"&amp;Upgrades!$B$3:$B$13))*Upgrades!$D$3:$D$13))</f>
        <v/>
      </c>
      <c r="T665" s="66" t="str">
        <f>IFERROR(__xludf.DUMMYFUNCTION("IF(COUNTA(Q665:Q1350)=0,"""",IF(REGEXMATCH(INDEX(FILTER(Q$4:Q665,Q$4:Q665&lt;&gt;""""),ROWS(FILTER(Q$4:Q665,Q$4:Q665&lt;&gt;""""))),""^Sell_""),INDEX(FILTER(T$4:T664,Q$4:Q664&lt;&gt;""""),ROWS(FILTER(Q$4:Q664,Q$4:Q664&lt;&gt;""""))),$AD$5+S665))"),"")</f>
        <v/>
      </c>
      <c r="U665" s="10" t="str">
        <f>IFERROR(__xludf.DUMMYFUNCTION("IF(COUNTA(Q665:Q1350)=0,"""",IF(Q665="""",0,IF(REGEXMATCH(Q665,""^Sell_""),-ROUNDDOWN(ROUNDUP(INDEX(Upgrades!$C$3:$C$13,MATCH(SUBSTITUTE(Q665,""Sell_"",""""),Upgrades!$B$3:$B$13,0))*1.15^(COUNTIF(Q$4:Q664,SUBSTITUTE(Q665,""Sell_"",""""))-COUNTIF(Q$4:Q664,"&amp;"""Sell_""&amp;SUBSTITUTE(Q665,""Sell_"",""""))))/2),ROUNDUP(INDEX(Upgrades!$C$3:$C$13,MATCH(Q665,Upgrades!$B$3:$B$13,0))*1.15^(COUNTIF(Q$4:Q664,Q665)-COUNTIF(Q$4:Q664,""Sell_""&amp;Q665))))))"),"")</f>
        <v/>
      </c>
      <c r="V665" s="10" t="str">
        <f t="shared" si="11"/>
        <v/>
      </c>
      <c r="W665" s="68" t="str">
        <f t="shared" si="12"/>
        <v/>
      </c>
      <c r="X665" s="59" t="str">
        <f t="shared" si="13"/>
        <v/>
      </c>
      <c r="Y665" s="69" t="str">
        <f t="shared" si="14"/>
        <v/>
      </c>
      <c r="Z665" s="11"/>
    </row>
    <row r="666">
      <c r="A666" s="8"/>
      <c r="B666" s="56" t="str">
        <f t="shared" si="2"/>
        <v/>
      </c>
      <c r="C666" s="57"/>
      <c r="D666" s="10" t="str">
        <f>IFERROR(__xludf.DUMMYFUNCTION("IF(COUNTA(C666:C1350)=0,"""",IF(ISBLANK(C666),FALSE,IF(NOT(COUNTIF($AA$24:$AA$34,SUBSTITUTE(C666,""Sell_"",""""))),1,IF(REGEXMATCH(C666,""Sell_""),IF(COUNTIF(C$4:C666,SUBSTITUTE(C666,""Sell_"",""""))-COUNTIF(C$4:C665,C666)&lt;1,1),FALSE))))"),"")</f>
        <v/>
      </c>
      <c r="E666" s="59" t="str">
        <f t="array" ref="E666">IF(COUNTA(C666:C1350)=0,"",SUM((COUNTIF(C$4:C666,Upgrades!$B$3:$B$13)-COUNTIF(C$4:C666,"Sell_"&amp;Upgrades!$B$3:$B$13))*Upgrades!$D$3:$D$13))</f>
        <v/>
      </c>
      <c r="F666" s="66" t="str">
        <f>IFERROR(__xludf.DUMMYFUNCTION("IF(COUNTA(C666:C1350)=0,"""",IF(REGEXMATCH(INDEX(FILTER(C$4:C666,C$4:C666&lt;&gt;""""),ROWS(FILTER(C$4:C666,C$4:C666&lt;&gt;""""))),""^Sell_""),INDEX(FILTER(F$4:F665,C$4:C665&lt;&gt;""""),ROWS(FILTER(C$4:C665,C$4:C665&lt;&gt;""""))),$AC$5+E666))"),"")</f>
        <v/>
      </c>
      <c r="G666" s="10" t="str">
        <f>IFERROR(__xludf.DUMMYFUNCTION("IF(COUNTA(C666:C1350)=0,"""",IF(C666="""",0,IF(REGEXMATCH(C666,""^Sell_""),-ROUNDDOWN(ROUNDUP(INDEX(Upgrades!$C$3:$C$13,MATCH(SUBSTITUTE(C666,""Sell_"",""""),Upgrades!$B$3:$B$13,0))*1.15^(COUNTIF(C$4:C665,SUBSTITUTE(C666,""Sell_"",""""))-COUNTIF(C$4:C665,"&amp;"""Sell_""&amp;SUBSTITUTE(C666,""Sell_"",""""))))/2),ROUNDUP(INDEX(Upgrades!$C$3:$C$13,MATCH(C666,Upgrades!$B$3:$B$13,0))*1.15^(COUNTIF(C$4:C665,C666)-COUNTIF(C$4:C665,""Sell_""&amp;C666))))))"),"")</f>
        <v/>
      </c>
      <c r="H666" s="10" t="str">
        <f t="shared" si="3"/>
        <v/>
      </c>
      <c r="I666" s="68" t="str">
        <f t="shared" si="4"/>
        <v/>
      </c>
      <c r="J666" s="59" t="str">
        <f t="shared" si="5"/>
        <v/>
      </c>
      <c r="K666" s="69" t="str">
        <f t="shared" si="6"/>
        <v/>
      </c>
      <c r="L666" s="60" t="str">
        <f t="shared" si="7"/>
        <v/>
      </c>
      <c r="M666" s="61" t="str">
        <f>IFERROR(__xludf.DUMMYFUNCTION("IFS(AND(COUNTA(C666:C1350)=0,COUNTA(Q666:Q1350)=0),"""",OR(AND(K666&gt;=1000000000,OR(Y666&gt;=1000000000,COUNTA(Q666:Q1350)=0)),OR(Y666&gt;=1000000000,AND(COUNTA(C666:C1350)=0,P$3=TRUE))),
ROUNDDOWN((AB$1-AC$1)*MAX(INDEX(T$4:T1350,MATCH(LARGE(FILTER(Y$4:Y1350,Y$4"&amp;":Y1350&lt;1000000000),1),Y$4:Y1350)),INDEX(F$4:F1350,MATCH(LARGE(FILTER(K$4:K1350,K$4:K1350&lt;1000000000),1),K$4:K1350)))),AND(K666&lt;1000000000,COUNTA(C666:C1350)&gt;0,P$3=FALSE),
ROUNDDOWN(INDEX(Y$4:Y1350,MATCH(LARGE(FILTER(W$4:W1350,W$4:W1350&lt;=I666),1),W$4:W1350"&amp;"))+(I666-LARGE(FILTER(W$4:W1350,W$4:W1350&lt;=I666),1))*INDEX(T$4:T1350,MATCH(LARGE(FILTER(W$4:W1350,W$4:W1350&lt;=I666),1),W$4:W1350))-K666),1,
ROUNDDOWN(Y666-INDEX(K$4:K1350,MATCH(LARGE(FILTER(I$4:I1350,I$4:I1350&lt;=W666),1),I$4:I1350))-(W666-LARGE(FILTER(I$4:I"&amp;"1350,I$4:I1350&lt;=W666),1))*INDEX(F$4:F1350,MATCH(LARGE(FILTER(I$4:I1350,I$4:I1350&lt;=W666),1),I$4:I1350))))"),"")</f>
        <v/>
      </c>
      <c r="N666" s="60" t="str">
        <f t="shared" si="8"/>
        <v/>
      </c>
      <c r="O666" s="61" t="str">
        <f t="shared" si="9"/>
        <v/>
      </c>
      <c r="P666" s="56" t="str">
        <f t="shared" si="10"/>
        <v/>
      </c>
      <c r="Q666" s="62"/>
      <c r="R666" s="10" t="str">
        <f>IFERROR(__xludf.DUMMYFUNCTION("IF(COUNTA(Q666:Q1350)=0,"""",IF(ISBLANK(Q666),FALSE,IF(NOT(COUNTIF($AA$24:$AA$34,SUBSTITUTE(Q666,""Sell_"",""""))),1,IF(REGEXMATCH(Q666,""Sell_""),IF(COUNTIF(Q$4:Q666,SUBSTITUTE(Q666,""Sell_"",""""))-COUNTIF(Q$4:Q665,Q666)&lt;1,1),FALSE))))"),"")</f>
        <v/>
      </c>
      <c r="S666" s="59" t="str">
        <f t="array" ref="S666">IF(COUNTA(Q666:Q1350)=0,"",SUM((COUNTIF(Q$4:Q666,Upgrades!$B$3:$B$13)-COUNTIF(Q$4:Q666,"Sell_"&amp;Upgrades!$B$3:$B$13))*Upgrades!$D$3:$D$13))</f>
        <v/>
      </c>
      <c r="T666" s="66" t="str">
        <f>IFERROR(__xludf.DUMMYFUNCTION("IF(COUNTA(Q666:Q1350)=0,"""",IF(REGEXMATCH(INDEX(FILTER(Q$4:Q666,Q$4:Q666&lt;&gt;""""),ROWS(FILTER(Q$4:Q666,Q$4:Q666&lt;&gt;""""))),""^Sell_""),INDEX(FILTER(T$4:T665,Q$4:Q665&lt;&gt;""""),ROWS(FILTER(Q$4:Q665,Q$4:Q665&lt;&gt;""""))),$AD$5+S666))"),"")</f>
        <v/>
      </c>
      <c r="U666" s="10" t="str">
        <f>IFERROR(__xludf.DUMMYFUNCTION("IF(COUNTA(Q666:Q1350)=0,"""",IF(Q666="""",0,IF(REGEXMATCH(Q666,""^Sell_""),-ROUNDDOWN(ROUNDUP(INDEX(Upgrades!$C$3:$C$13,MATCH(SUBSTITUTE(Q666,""Sell_"",""""),Upgrades!$B$3:$B$13,0))*1.15^(COUNTIF(Q$4:Q665,SUBSTITUTE(Q666,""Sell_"",""""))-COUNTIF(Q$4:Q665,"&amp;"""Sell_""&amp;SUBSTITUTE(Q666,""Sell_"",""""))))/2),ROUNDUP(INDEX(Upgrades!$C$3:$C$13,MATCH(Q666,Upgrades!$B$3:$B$13,0))*1.15^(COUNTIF(Q$4:Q665,Q666)-COUNTIF(Q$4:Q665,""Sell_""&amp;Q666))))))"),"")</f>
        <v/>
      </c>
      <c r="V666" s="10" t="str">
        <f t="shared" si="11"/>
        <v/>
      </c>
      <c r="W666" s="68" t="str">
        <f t="shared" si="12"/>
        <v/>
      </c>
      <c r="X666" s="59" t="str">
        <f t="shared" si="13"/>
        <v/>
      </c>
      <c r="Y666" s="69" t="str">
        <f t="shared" si="14"/>
        <v/>
      </c>
      <c r="Z666" s="11"/>
    </row>
    <row r="667">
      <c r="A667" s="8"/>
      <c r="B667" s="56" t="str">
        <f t="shared" si="2"/>
        <v/>
      </c>
      <c r="C667" s="57"/>
      <c r="D667" s="10" t="str">
        <f>IFERROR(__xludf.DUMMYFUNCTION("IF(COUNTA(C667:C1350)=0,"""",IF(ISBLANK(C667),FALSE,IF(NOT(COUNTIF($AA$24:$AA$34,SUBSTITUTE(C667,""Sell_"",""""))),1,IF(REGEXMATCH(C667,""Sell_""),IF(COUNTIF(C$4:C667,SUBSTITUTE(C667,""Sell_"",""""))-COUNTIF(C$4:C666,C667)&lt;1,1),FALSE))))"),"")</f>
        <v/>
      </c>
      <c r="E667" s="59" t="str">
        <f t="array" ref="E667">IF(COUNTA(C667:C1350)=0,"",SUM((COUNTIF(C$4:C667,Upgrades!$B$3:$B$13)-COUNTIF(C$4:C667,"Sell_"&amp;Upgrades!$B$3:$B$13))*Upgrades!$D$3:$D$13))</f>
        <v/>
      </c>
      <c r="F667" s="66" t="str">
        <f>IFERROR(__xludf.DUMMYFUNCTION("IF(COUNTA(C667:C1350)=0,"""",IF(REGEXMATCH(INDEX(FILTER(C$4:C667,C$4:C667&lt;&gt;""""),ROWS(FILTER(C$4:C667,C$4:C667&lt;&gt;""""))),""^Sell_""),INDEX(FILTER(F$4:F666,C$4:C666&lt;&gt;""""),ROWS(FILTER(C$4:C666,C$4:C666&lt;&gt;""""))),$AC$5+E667))"),"")</f>
        <v/>
      </c>
      <c r="G667" s="10" t="str">
        <f>IFERROR(__xludf.DUMMYFUNCTION("IF(COUNTA(C667:C1350)=0,"""",IF(C667="""",0,IF(REGEXMATCH(C667,""^Sell_""),-ROUNDDOWN(ROUNDUP(INDEX(Upgrades!$C$3:$C$13,MATCH(SUBSTITUTE(C667,""Sell_"",""""),Upgrades!$B$3:$B$13,0))*1.15^(COUNTIF(C$4:C666,SUBSTITUTE(C667,""Sell_"",""""))-COUNTIF(C$4:C666,"&amp;"""Sell_""&amp;SUBSTITUTE(C667,""Sell_"",""""))))/2),ROUNDUP(INDEX(Upgrades!$C$3:$C$13,MATCH(C667,Upgrades!$B$3:$B$13,0))*1.15^(COUNTIF(C$4:C666,C667)-COUNTIF(C$4:C666,""Sell_""&amp;C667))))))"),"")</f>
        <v/>
      </c>
      <c r="H667" s="10" t="str">
        <f t="shared" si="3"/>
        <v/>
      </c>
      <c r="I667" s="68" t="str">
        <f t="shared" si="4"/>
        <v/>
      </c>
      <c r="J667" s="59" t="str">
        <f t="shared" si="5"/>
        <v/>
      </c>
      <c r="K667" s="69" t="str">
        <f t="shared" si="6"/>
        <v/>
      </c>
      <c r="L667" s="60" t="str">
        <f t="shared" si="7"/>
        <v/>
      </c>
      <c r="M667" s="61" t="str">
        <f>IFERROR(__xludf.DUMMYFUNCTION("IFS(AND(COUNTA(C667:C1350)=0,COUNTA(Q667:Q1350)=0),"""",OR(AND(K667&gt;=1000000000,OR(Y667&gt;=1000000000,COUNTA(Q667:Q1350)=0)),OR(Y667&gt;=1000000000,AND(COUNTA(C667:C1350)=0,P$3=TRUE))),
ROUNDDOWN((AB$1-AC$1)*MAX(INDEX(T$4:T1350,MATCH(LARGE(FILTER(Y$4:Y1350,Y$4"&amp;":Y1350&lt;1000000000),1),Y$4:Y1350)),INDEX(F$4:F1350,MATCH(LARGE(FILTER(K$4:K1350,K$4:K1350&lt;1000000000),1),K$4:K1350)))),AND(K667&lt;1000000000,COUNTA(C667:C1350)&gt;0,P$3=FALSE),
ROUNDDOWN(INDEX(Y$4:Y1350,MATCH(LARGE(FILTER(W$4:W1350,W$4:W1350&lt;=I667),1),W$4:W1350"&amp;"))+(I667-LARGE(FILTER(W$4:W1350,W$4:W1350&lt;=I667),1))*INDEX(T$4:T1350,MATCH(LARGE(FILTER(W$4:W1350,W$4:W1350&lt;=I667),1),W$4:W1350))-K667),1,
ROUNDDOWN(Y667-INDEX(K$4:K1350,MATCH(LARGE(FILTER(I$4:I1350,I$4:I1350&lt;=W667),1),I$4:I1350))-(W667-LARGE(FILTER(I$4:I"&amp;"1350,I$4:I1350&lt;=W667),1))*INDEX(F$4:F1350,MATCH(LARGE(FILTER(I$4:I1350,I$4:I1350&lt;=W667),1),I$4:I1350))))"),"")</f>
        <v/>
      </c>
      <c r="N667" s="60" t="str">
        <f t="shared" si="8"/>
        <v/>
      </c>
      <c r="O667" s="61" t="str">
        <f t="shared" si="9"/>
        <v/>
      </c>
      <c r="P667" s="56" t="str">
        <f t="shared" si="10"/>
        <v/>
      </c>
      <c r="Q667" s="62"/>
      <c r="R667" s="10" t="str">
        <f>IFERROR(__xludf.DUMMYFUNCTION("IF(COUNTA(Q667:Q1350)=0,"""",IF(ISBLANK(Q667),FALSE,IF(NOT(COUNTIF($AA$24:$AA$34,SUBSTITUTE(Q667,""Sell_"",""""))),1,IF(REGEXMATCH(Q667,""Sell_""),IF(COUNTIF(Q$4:Q667,SUBSTITUTE(Q667,""Sell_"",""""))-COUNTIF(Q$4:Q666,Q667)&lt;1,1),FALSE))))"),"")</f>
        <v/>
      </c>
      <c r="S667" s="59" t="str">
        <f t="array" ref="S667">IF(COUNTA(Q667:Q1350)=0,"",SUM((COUNTIF(Q$4:Q667,Upgrades!$B$3:$B$13)-COUNTIF(Q$4:Q667,"Sell_"&amp;Upgrades!$B$3:$B$13))*Upgrades!$D$3:$D$13))</f>
        <v/>
      </c>
      <c r="T667" s="66" t="str">
        <f>IFERROR(__xludf.DUMMYFUNCTION("IF(COUNTA(Q667:Q1350)=0,"""",IF(REGEXMATCH(INDEX(FILTER(Q$4:Q667,Q$4:Q667&lt;&gt;""""),ROWS(FILTER(Q$4:Q667,Q$4:Q667&lt;&gt;""""))),""^Sell_""),INDEX(FILTER(T$4:T666,Q$4:Q666&lt;&gt;""""),ROWS(FILTER(Q$4:Q666,Q$4:Q666&lt;&gt;""""))),$AD$5+S667))"),"")</f>
        <v/>
      </c>
      <c r="U667" s="10" t="str">
        <f>IFERROR(__xludf.DUMMYFUNCTION("IF(COUNTA(Q667:Q1350)=0,"""",IF(Q667="""",0,IF(REGEXMATCH(Q667,""^Sell_""),-ROUNDDOWN(ROUNDUP(INDEX(Upgrades!$C$3:$C$13,MATCH(SUBSTITUTE(Q667,""Sell_"",""""),Upgrades!$B$3:$B$13,0))*1.15^(COUNTIF(Q$4:Q666,SUBSTITUTE(Q667,""Sell_"",""""))-COUNTIF(Q$4:Q666,"&amp;"""Sell_""&amp;SUBSTITUTE(Q667,""Sell_"",""""))))/2),ROUNDUP(INDEX(Upgrades!$C$3:$C$13,MATCH(Q667,Upgrades!$B$3:$B$13,0))*1.15^(COUNTIF(Q$4:Q666,Q667)-COUNTIF(Q$4:Q666,""Sell_""&amp;Q667))))))"),"")</f>
        <v/>
      </c>
      <c r="V667" s="10" t="str">
        <f t="shared" si="11"/>
        <v/>
      </c>
      <c r="W667" s="68" t="str">
        <f t="shared" si="12"/>
        <v/>
      </c>
      <c r="X667" s="59" t="str">
        <f t="shared" si="13"/>
        <v/>
      </c>
      <c r="Y667" s="69" t="str">
        <f t="shared" si="14"/>
        <v/>
      </c>
      <c r="Z667" s="11"/>
    </row>
    <row r="668">
      <c r="A668" s="8"/>
      <c r="B668" s="56" t="str">
        <f t="shared" si="2"/>
        <v/>
      </c>
      <c r="C668" s="57"/>
      <c r="D668" s="10" t="str">
        <f>IFERROR(__xludf.DUMMYFUNCTION("IF(COUNTA(C668:C1350)=0,"""",IF(ISBLANK(C668),FALSE,IF(NOT(COUNTIF($AA$24:$AA$34,SUBSTITUTE(C668,""Sell_"",""""))),1,IF(REGEXMATCH(C668,""Sell_""),IF(COUNTIF(C$4:C668,SUBSTITUTE(C668,""Sell_"",""""))-COUNTIF(C$4:C667,C668)&lt;1,1),FALSE))))"),"")</f>
        <v/>
      </c>
      <c r="E668" s="59" t="str">
        <f t="array" ref="E668">IF(COUNTA(C668:C1350)=0,"",SUM((COUNTIF(C$4:C668,Upgrades!$B$3:$B$13)-COUNTIF(C$4:C668,"Sell_"&amp;Upgrades!$B$3:$B$13))*Upgrades!$D$3:$D$13))</f>
        <v/>
      </c>
      <c r="F668" s="66" t="str">
        <f>IFERROR(__xludf.DUMMYFUNCTION("IF(COUNTA(C668:C1350)=0,"""",IF(REGEXMATCH(INDEX(FILTER(C$4:C668,C$4:C668&lt;&gt;""""),ROWS(FILTER(C$4:C668,C$4:C668&lt;&gt;""""))),""^Sell_""),INDEX(FILTER(F$4:F667,C$4:C667&lt;&gt;""""),ROWS(FILTER(C$4:C667,C$4:C667&lt;&gt;""""))),$AC$5+E668))"),"")</f>
        <v/>
      </c>
      <c r="G668" s="10" t="str">
        <f>IFERROR(__xludf.DUMMYFUNCTION("IF(COUNTA(C668:C1350)=0,"""",IF(C668="""",0,IF(REGEXMATCH(C668,""^Sell_""),-ROUNDDOWN(ROUNDUP(INDEX(Upgrades!$C$3:$C$13,MATCH(SUBSTITUTE(C668,""Sell_"",""""),Upgrades!$B$3:$B$13,0))*1.15^(COUNTIF(C$4:C667,SUBSTITUTE(C668,""Sell_"",""""))-COUNTIF(C$4:C667,"&amp;"""Sell_""&amp;SUBSTITUTE(C668,""Sell_"",""""))))/2),ROUNDUP(INDEX(Upgrades!$C$3:$C$13,MATCH(C668,Upgrades!$B$3:$B$13,0))*1.15^(COUNTIF(C$4:C667,C668)-COUNTIF(C$4:C667,""Sell_""&amp;C668))))))"),"")</f>
        <v/>
      </c>
      <c r="H668" s="10" t="str">
        <f t="shared" si="3"/>
        <v/>
      </c>
      <c r="I668" s="68" t="str">
        <f t="shared" si="4"/>
        <v/>
      </c>
      <c r="J668" s="59" t="str">
        <f t="shared" si="5"/>
        <v/>
      </c>
      <c r="K668" s="69" t="str">
        <f t="shared" si="6"/>
        <v/>
      </c>
      <c r="L668" s="60" t="str">
        <f t="shared" si="7"/>
        <v/>
      </c>
      <c r="M668" s="61" t="str">
        <f>IFERROR(__xludf.DUMMYFUNCTION("IFS(AND(COUNTA(C668:C1350)=0,COUNTA(Q668:Q1350)=0),"""",OR(AND(K668&gt;=1000000000,OR(Y668&gt;=1000000000,COUNTA(Q668:Q1350)=0)),OR(Y668&gt;=1000000000,AND(COUNTA(C668:C1350)=0,P$3=TRUE))),
ROUNDDOWN((AB$1-AC$1)*MAX(INDEX(T$4:T1350,MATCH(LARGE(FILTER(Y$4:Y1350,Y$4"&amp;":Y1350&lt;1000000000),1),Y$4:Y1350)),INDEX(F$4:F1350,MATCH(LARGE(FILTER(K$4:K1350,K$4:K1350&lt;1000000000),1),K$4:K1350)))),AND(K668&lt;1000000000,COUNTA(C668:C1350)&gt;0,P$3=FALSE),
ROUNDDOWN(INDEX(Y$4:Y1350,MATCH(LARGE(FILTER(W$4:W1350,W$4:W1350&lt;=I668),1),W$4:W1350"&amp;"))+(I668-LARGE(FILTER(W$4:W1350,W$4:W1350&lt;=I668),1))*INDEX(T$4:T1350,MATCH(LARGE(FILTER(W$4:W1350,W$4:W1350&lt;=I668),1),W$4:W1350))-K668),1,
ROUNDDOWN(Y668-INDEX(K$4:K1350,MATCH(LARGE(FILTER(I$4:I1350,I$4:I1350&lt;=W668),1),I$4:I1350))-(W668-LARGE(FILTER(I$4:I"&amp;"1350,I$4:I1350&lt;=W668),1))*INDEX(F$4:F1350,MATCH(LARGE(FILTER(I$4:I1350,I$4:I1350&lt;=W668),1),I$4:I1350))))"),"")</f>
        <v/>
      </c>
      <c r="N668" s="60" t="str">
        <f t="shared" si="8"/>
        <v/>
      </c>
      <c r="O668" s="61" t="str">
        <f t="shared" si="9"/>
        <v/>
      </c>
      <c r="P668" s="56" t="str">
        <f t="shared" si="10"/>
        <v/>
      </c>
      <c r="Q668" s="62"/>
      <c r="R668" s="10" t="str">
        <f>IFERROR(__xludf.DUMMYFUNCTION("IF(COUNTA(Q668:Q1350)=0,"""",IF(ISBLANK(Q668),FALSE,IF(NOT(COUNTIF($AA$24:$AA$34,SUBSTITUTE(Q668,""Sell_"",""""))),1,IF(REGEXMATCH(Q668,""Sell_""),IF(COUNTIF(Q$4:Q668,SUBSTITUTE(Q668,""Sell_"",""""))-COUNTIF(Q$4:Q667,Q668)&lt;1,1),FALSE))))"),"")</f>
        <v/>
      </c>
      <c r="S668" s="59" t="str">
        <f t="array" ref="S668">IF(COUNTA(Q668:Q1350)=0,"",SUM((COUNTIF(Q$4:Q668,Upgrades!$B$3:$B$13)-COUNTIF(Q$4:Q668,"Sell_"&amp;Upgrades!$B$3:$B$13))*Upgrades!$D$3:$D$13))</f>
        <v/>
      </c>
      <c r="T668" s="66" t="str">
        <f>IFERROR(__xludf.DUMMYFUNCTION("IF(COUNTA(Q668:Q1350)=0,"""",IF(REGEXMATCH(INDEX(FILTER(Q$4:Q668,Q$4:Q668&lt;&gt;""""),ROWS(FILTER(Q$4:Q668,Q$4:Q668&lt;&gt;""""))),""^Sell_""),INDEX(FILTER(T$4:T667,Q$4:Q667&lt;&gt;""""),ROWS(FILTER(Q$4:Q667,Q$4:Q667&lt;&gt;""""))),$AD$5+S668))"),"")</f>
        <v/>
      </c>
      <c r="U668" s="10" t="str">
        <f>IFERROR(__xludf.DUMMYFUNCTION("IF(COUNTA(Q668:Q1350)=0,"""",IF(Q668="""",0,IF(REGEXMATCH(Q668,""^Sell_""),-ROUNDDOWN(ROUNDUP(INDEX(Upgrades!$C$3:$C$13,MATCH(SUBSTITUTE(Q668,""Sell_"",""""),Upgrades!$B$3:$B$13,0))*1.15^(COUNTIF(Q$4:Q667,SUBSTITUTE(Q668,""Sell_"",""""))-COUNTIF(Q$4:Q667,"&amp;"""Sell_""&amp;SUBSTITUTE(Q668,""Sell_"",""""))))/2),ROUNDUP(INDEX(Upgrades!$C$3:$C$13,MATCH(Q668,Upgrades!$B$3:$B$13,0))*1.15^(COUNTIF(Q$4:Q667,Q668)-COUNTIF(Q$4:Q667,""Sell_""&amp;Q668))))))"),"")</f>
        <v/>
      </c>
      <c r="V668" s="10" t="str">
        <f t="shared" si="11"/>
        <v/>
      </c>
      <c r="W668" s="68" t="str">
        <f t="shared" si="12"/>
        <v/>
      </c>
      <c r="X668" s="59" t="str">
        <f t="shared" si="13"/>
        <v/>
      </c>
      <c r="Y668" s="69" t="str">
        <f t="shared" si="14"/>
        <v/>
      </c>
      <c r="Z668" s="11"/>
    </row>
    <row r="669">
      <c r="A669" s="8"/>
      <c r="B669" s="56" t="str">
        <f t="shared" si="2"/>
        <v/>
      </c>
      <c r="C669" s="57"/>
      <c r="D669" s="10" t="str">
        <f>IFERROR(__xludf.DUMMYFUNCTION("IF(COUNTA(C669:C1350)=0,"""",IF(ISBLANK(C669),FALSE,IF(NOT(COUNTIF($AA$24:$AA$34,SUBSTITUTE(C669,""Sell_"",""""))),1,IF(REGEXMATCH(C669,""Sell_""),IF(COUNTIF(C$4:C669,SUBSTITUTE(C669,""Sell_"",""""))-COUNTIF(C$4:C668,C669)&lt;1,1),FALSE))))"),"")</f>
        <v/>
      </c>
      <c r="E669" s="59" t="str">
        <f t="array" ref="E669">IF(COUNTA(C669:C1350)=0,"",SUM((COUNTIF(C$4:C669,Upgrades!$B$3:$B$13)-COUNTIF(C$4:C669,"Sell_"&amp;Upgrades!$B$3:$B$13))*Upgrades!$D$3:$D$13))</f>
        <v/>
      </c>
      <c r="F669" s="66" t="str">
        <f>IFERROR(__xludf.DUMMYFUNCTION("IF(COUNTA(C669:C1350)=0,"""",IF(REGEXMATCH(INDEX(FILTER(C$4:C669,C$4:C669&lt;&gt;""""),ROWS(FILTER(C$4:C669,C$4:C669&lt;&gt;""""))),""^Sell_""),INDEX(FILTER(F$4:F668,C$4:C668&lt;&gt;""""),ROWS(FILTER(C$4:C668,C$4:C668&lt;&gt;""""))),$AC$5+E669))"),"")</f>
        <v/>
      </c>
      <c r="G669" s="10" t="str">
        <f>IFERROR(__xludf.DUMMYFUNCTION("IF(COUNTA(C669:C1350)=0,"""",IF(C669="""",0,IF(REGEXMATCH(C669,""^Sell_""),-ROUNDDOWN(ROUNDUP(INDEX(Upgrades!$C$3:$C$13,MATCH(SUBSTITUTE(C669,""Sell_"",""""),Upgrades!$B$3:$B$13,0))*1.15^(COUNTIF(C$4:C668,SUBSTITUTE(C669,""Sell_"",""""))-COUNTIF(C$4:C668,"&amp;"""Sell_""&amp;SUBSTITUTE(C669,""Sell_"",""""))))/2),ROUNDUP(INDEX(Upgrades!$C$3:$C$13,MATCH(C669,Upgrades!$B$3:$B$13,0))*1.15^(COUNTIF(C$4:C668,C669)-COUNTIF(C$4:C668,""Sell_""&amp;C669))))))"),"")</f>
        <v/>
      </c>
      <c r="H669" s="10" t="str">
        <f t="shared" si="3"/>
        <v/>
      </c>
      <c r="I669" s="68" t="str">
        <f t="shared" si="4"/>
        <v/>
      </c>
      <c r="J669" s="59" t="str">
        <f t="shared" si="5"/>
        <v/>
      </c>
      <c r="K669" s="69" t="str">
        <f t="shared" si="6"/>
        <v/>
      </c>
      <c r="L669" s="60" t="str">
        <f t="shared" si="7"/>
        <v/>
      </c>
      <c r="M669" s="61" t="str">
        <f>IFERROR(__xludf.DUMMYFUNCTION("IFS(AND(COUNTA(C669:C1350)=0,COUNTA(Q669:Q1350)=0),"""",OR(AND(K669&gt;=1000000000,OR(Y669&gt;=1000000000,COUNTA(Q669:Q1350)=0)),OR(Y669&gt;=1000000000,AND(COUNTA(C669:C1350)=0,P$3=TRUE))),
ROUNDDOWN((AB$1-AC$1)*MAX(INDEX(T$4:T1350,MATCH(LARGE(FILTER(Y$4:Y1350,Y$4"&amp;":Y1350&lt;1000000000),1),Y$4:Y1350)),INDEX(F$4:F1350,MATCH(LARGE(FILTER(K$4:K1350,K$4:K1350&lt;1000000000),1),K$4:K1350)))),AND(K669&lt;1000000000,COUNTA(C669:C1350)&gt;0,P$3=FALSE),
ROUNDDOWN(INDEX(Y$4:Y1350,MATCH(LARGE(FILTER(W$4:W1350,W$4:W1350&lt;=I669),1),W$4:W1350"&amp;"))+(I669-LARGE(FILTER(W$4:W1350,W$4:W1350&lt;=I669),1))*INDEX(T$4:T1350,MATCH(LARGE(FILTER(W$4:W1350,W$4:W1350&lt;=I669),1),W$4:W1350))-K669),1,
ROUNDDOWN(Y669-INDEX(K$4:K1350,MATCH(LARGE(FILTER(I$4:I1350,I$4:I1350&lt;=W669),1),I$4:I1350))-(W669-LARGE(FILTER(I$4:I"&amp;"1350,I$4:I1350&lt;=W669),1))*INDEX(F$4:F1350,MATCH(LARGE(FILTER(I$4:I1350,I$4:I1350&lt;=W669),1),I$4:I1350))))"),"")</f>
        <v/>
      </c>
      <c r="N669" s="60" t="str">
        <f t="shared" si="8"/>
        <v/>
      </c>
      <c r="O669" s="61" t="str">
        <f t="shared" si="9"/>
        <v/>
      </c>
      <c r="P669" s="56" t="str">
        <f t="shared" si="10"/>
        <v/>
      </c>
      <c r="Q669" s="62"/>
      <c r="R669" s="10" t="str">
        <f>IFERROR(__xludf.DUMMYFUNCTION("IF(COUNTA(Q669:Q1350)=0,"""",IF(ISBLANK(Q669),FALSE,IF(NOT(COUNTIF($AA$24:$AA$34,SUBSTITUTE(Q669,""Sell_"",""""))),1,IF(REGEXMATCH(Q669,""Sell_""),IF(COUNTIF(Q$4:Q669,SUBSTITUTE(Q669,""Sell_"",""""))-COUNTIF(Q$4:Q668,Q669)&lt;1,1),FALSE))))"),"")</f>
        <v/>
      </c>
      <c r="S669" s="59" t="str">
        <f t="array" ref="S669">IF(COUNTA(Q669:Q1350)=0,"",SUM((COUNTIF(Q$4:Q669,Upgrades!$B$3:$B$13)-COUNTIF(Q$4:Q669,"Sell_"&amp;Upgrades!$B$3:$B$13))*Upgrades!$D$3:$D$13))</f>
        <v/>
      </c>
      <c r="T669" s="66" t="str">
        <f>IFERROR(__xludf.DUMMYFUNCTION("IF(COUNTA(Q669:Q1350)=0,"""",IF(REGEXMATCH(INDEX(FILTER(Q$4:Q669,Q$4:Q669&lt;&gt;""""),ROWS(FILTER(Q$4:Q669,Q$4:Q669&lt;&gt;""""))),""^Sell_""),INDEX(FILTER(T$4:T668,Q$4:Q668&lt;&gt;""""),ROWS(FILTER(Q$4:Q668,Q$4:Q668&lt;&gt;""""))),$AD$5+S669))"),"")</f>
        <v/>
      </c>
      <c r="U669" s="10" t="str">
        <f>IFERROR(__xludf.DUMMYFUNCTION("IF(COUNTA(Q669:Q1350)=0,"""",IF(Q669="""",0,IF(REGEXMATCH(Q669,""^Sell_""),-ROUNDDOWN(ROUNDUP(INDEX(Upgrades!$C$3:$C$13,MATCH(SUBSTITUTE(Q669,""Sell_"",""""),Upgrades!$B$3:$B$13,0))*1.15^(COUNTIF(Q$4:Q668,SUBSTITUTE(Q669,""Sell_"",""""))-COUNTIF(Q$4:Q668,"&amp;"""Sell_""&amp;SUBSTITUTE(Q669,""Sell_"",""""))))/2),ROUNDUP(INDEX(Upgrades!$C$3:$C$13,MATCH(Q669,Upgrades!$B$3:$B$13,0))*1.15^(COUNTIF(Q$4:Q668,Q669)-COUNTIF(Q$4:Q668,""Sell_""&amp;Q669))))))"),"")</f>
        <v/>
      </c>
      <c r="V669" s="10" t="str">
        <f t="shared" si="11"/>
        <v/>
      </c>
      <c r="W669" s="68" t="str">
        <f t="shared" si="12"/>
        <v/>
      </c>
      <c r="X669" s="59" t="str">
        <f t="shared" si="13"/>
        <v/>
      </c>
      <c r="Y669" s="69" t="str">
        <f t="shared" si="14"/>
        <v/>
      </c>
      <c r="Z669" s="11"/>
    </row>
    <row r="670">
      <c r="A670" s="8"/>
      <c r="B670" s="56" t="str">
        <f t="shared" si="2"/>
        <v/>
      </c>
      <c r="C670" s="57"/>
      <c r="D670" s="10" t="str">
        <f>IFERROR(__xludf.DUMMYFUNCTION("IF(COUNTA(C670:C1350)=0,"""",IF(ISBLANK(C670),FALSE,IF(NOT(COUNTIF($AA$24:$AA$34,SUBSTITUTE(C670,""Sell_"",""""))),1,IF(REGEXMATCH(C670,""Sell_""),IF(COUNTIF(C$4:C670,SUBSTITUTE(C670,""Sell_"",""""))-COUNTIF(C$4:C669,C670)&lt;1,1),FALSE))))"),"")</f>
        <v/>
      </c>
      <c r="E670" s="59" t="str">
        <f t="array" ref="E670">IF(COUNTA(C670:C1350)=0,"",SUM((COUNTIF(C$4:C670,Upgrades!$B$3:$B$13)-COUNTIF(C$4:C670,"Sell_"&amp;Upgrades!$B$3:$B$13))*Upgrades!$D$3:$D$13))</f>
        <v/>
      </c>
      <c r="F670" s="66" t="str">
        <f>IFERROR(__xludf.DUMMYFUNCTION("IF(COUNTA(C670:C1350)=0,"""",IF(REGEXMATCH(INDEX(FILTER(C$4:C670,C$4:C670&lt;&gt;""""),ROWS(FILTER(C$4:C670,C$4:C670&lt;&gt;""""))),""^Sell_""),INDEX(FILTER(F$4:F669,C$4:C669&lt;&gt;""""),ROWS(FILTER(C$4:C669,C$4:C669&lt;&gt;""""))),$AC$5+E670))"),"")</f>
        <v/>
      </c>
      <c r="G670" s="10" t="str">
        <f>IFERROR(__xludf.DUMMYFUNCTION("IF(COUNTA(C670:C1350)=0,"""",IF(C670="""",0,IF(REGEXMATCH(C670,""^Sell_""),-ROUNDDOWN(ROUNDUP(INDEX(Upgrades!$C$3:$C$13,MATCH(SUBSTITUTE(C670,""Sell_"",""""),Upgrades!$B$3:$B$13,0))*1.15^(COUNTIF(C$4:C669,SUBSTITUTE(C670,""Sell_"",""""))-COUNTIF(C$4:C669,"&amp;"""Sell_""&amp;SUBSTITUTE(C670,""Sell_"",""""))))/2),ROUNDUP(INDEX(Upgrades!$C$3:$C$13,MATCH(C670,Upgrades!$B$3:$B$13,0))*1.15^(COUNTIF(C$4:C669,C670)-COUNTIF(C$4:C669,""Sell_""&amp;C670))))))"),"")</f>
        <v/>
      </c>
      <c r="H670" s="10" t="str">
        <f t="shared" si="3"/>
        <v/>
      </c>
      <c r="I670" s="68" t="str">
        <f t="shared" si="4"/>
        <v/>
      </c>
      <c r="J670" s="59" t="str">
        <f t="shared" si="5"/>
        <v/>
      </c>
      <c r="K670" s="69" t="str">
        <f t="shared" si="6"/>
        <v/>
      </c>
      <c r="L670" s="60" t="str">
        <f t="shared" si="7"/>
        <v/>
      </c>
      <c r="M670" s="61" t="str">
        <f>IFERROR(__xludf.DUMMYFUNCTION("IFS(AND(COUNTA(C670:C1350)=0,COUNTA(Q670:Q1350)=0),"""",OR(AND(K670&gt;=1000000000,OR(Y670&gt;=1000000000,COUNTA(Q670:Q1350)=0)),OR(Y670&gt;=1000000000,AND(COUNTA(C670:C1350)=0,P$3=TRUE))),
ROUNDDOWN((AB$1-AC$1)*MAX(INDEX(T$4:T1350,MATCH(LARGE(FILTER(Y$4:Y1350,Y$4"&amp;":Y1350&lt;1000000000),1),Y$4:Y1350)),INDEX(F$4:F1350,MATCH(LARGE(FILTER(K$4:K1350,K$4:K1350&lt;1000000000),1),K$4:K1350)))),AND(K670&lt;1000000000,COUNTA(C670:C1350)&gt;0,P$3=FALSE),
ROUNDDOWN(INDEX(Y$4:Y1350,MATCH(LARGE(FILTER(W$4:W1350,W$4:W1350&lt;=I670),1),W$4:W1350"&amp;"))+(I670-LARGE(FILTER(W$4:W1350,W$4:W1350&lt;=I670),1))*INDEX(T$4:T1350,MATCH(LARGE(FILTER(W$4:W1350,W$4:W1350&lt;=I670),1),W$4:W1350))-K670),1,
ROUNDDOWN(Y670-INDEX(K$4:K1350,MATCH(LARGE(FILTER(I$4:I1350,I$4:I1350&lt;=W670),1),I$4:I1350))-(W670-LARGE(FILTER(I$4:I"&amp;"1350,I$4:I1350&lt;=W670),1))*INDEX(F$4:F1350,MATCH(LARGE(FILTER(I$4:I1350,I$4:I1350&lt;=W670),1),I$4:I1350))))"),"")</f>
        <v/>
      </c>
      <c r="N670" s="60" t="str">
        <f t="shared" si="8"/>
        <v/>
      </c>
      <c r="O670" s="61" t="str">
        <f t="shared" si="9"/>
        <v/>
      </c>
      <c r="P670" s="56" t="str">
        <f t="shared" si="10"/>
        <v/>
      </c>
      <c r="Q670" s="62"/>
      <c r="R670" s="10" t="str">
        <f>IFERROR(__xludf.DUMMYFUNCTION("IF(COUNTA(Q670:Q1350)=0,"""",IF(ISBLANK(Q670),FALSE,IF(NOT(COUNTIF($AA$24:$AA$34,SUBSTITUTE(Q670,""Sell_"",""""))),1,IF(REGEXMATCH(Q670,""Sell_""),IF(COUNTIF(Q$4:Q670,SUBSTITUTE(Q670,""Sell_"",""""))-COUNTIF(Q$4:Q669,Q670)&lt;1,1),FALSE))))"),"")</f>
        <v/>
      </c>
      <c r="S670" s="59" t="str">
        <f t="array" ref="S670">IF(COUNTA(Q670:Q1350)=0,"",SUM((COUNTIF(Q$4:Q670,Upgrades!$B$3:$B$13)-COUNTIF(Q$4:Q670,"Sell_"&amp;Upgrades!$B$3:$B$13))*Upgrades!$D$3:$D$13))</f>
        <v/>
      </c>
      <c r="T670" s="66" t="str">
        <f>IFERROR(__xludf.DUMMYFUNCTION("IF(COUNTA(Q670:Q1350)=0,"""",IF(REGEXMATCH(INDEX(FILTER(Q$4:Q670,Q$4:Q670&lt;&gt;""""),ROWS(FILTER(Q$4:Q670,Q$4:Q670&lt;&gt;""""))),""^Sell_""),INDEX(FILTER(T$4:T669,Q$4:Q669&lt;&gt;""""),ROWS(FILTER(Q$4:Q669,Q$4:Q669&lt;&gt;""""))),$AD$5+S670))"),"")</f>
        <v/>
      </c>
      <c r="U670" s="10" t="str">
        <f>IFERROR(__xludf.DUMMYFUNCTION("IF(COUNTA(Q670:Q1350)=0,"""",IF(Q670="""",0,IF(REGEXMATCH(Q670,""^Sell_""),-ROUNDDOWN(ROUNDUP(INDEX(Upgrades!$C$3:$C$13,MATCH(SUBSTITUTE(Q670,""Sell_"",""""),Upgrades!$B$3:$B$13,0))*1.15^(COUNTIF(Q$4:Q669,SUBSTITUTE(Q670,""Sell_"",""""))-COUNTIF(Q$4:Q669,"&amp;"""Sell_""&amp;SUBSTITUTE(Q670,""Sell_"",""""))))/2),ROUNDUP(INDEX(Upgrades!$C$3:$C$13,MATCH(Q670,Upgrades!$B$3:$B$13,0))*1.15^(COUNTIF(Q$4:Q669,Q670)-COUNTIF(Q$4:Q669,""Sell_""&amp;Q670))))))"),"")</f>
        <v/>
      </c>
      <c r="V670" s="10" t="str">
        <f t="shared" si="11"/>
        <v/>
      </c>
      <c r="W670" s="68" t="str">
        <f t="shared" si="12"/>
        <v/>
      </c>
      <c r="X670" s="59" t="str">
        <f t="shared" si="13"/>
        <v/>
      </c>
      <c r="Y670" s="69" t="str">
        <f t="shared" si="14"/>
        <v/>
      </c>
      <c r="Z670" s="11"/>
    </row>
    <row r="671">
      <c r="A671" s="8"/>
      <c r="B671" s="56" t="str">
        <f t="shared" si="2"/>
        <v/>
      </c>
      <c r="C671" s="57"/>
      <c r="D671" s="10" t="str">
        <f>IFERROR(__xludf.DUMMYFUNCTION("IF(COUNTA(C671:C1350)=0,"""",IF(ISBLANK(C671),FALSE,IF(NOT(COUNTIF($AA$24:$AA$34,SUBSTITUTE(C671,""Sell_"",""""))),1,IF(REGEXMATCH(C671,""Sell_""),IF(COUNTIF(C$4:C671,SUBSTITUTE(C671,""Sell_"",""""))-COUNTIF(C$4:C670,C671)&lt;1,1),FALSE))))"),"")</f>
        <v/>
      </c>
      <c r="E671" s="59" t="str">
        <f t="array" ref="E671">IF(COUNTA(C671:C1350)=0,"",SUM((COUNTIF(C$4:C671,Upgrades!$B$3:$B$13)-COUNTIF(C$4:C671,"Sell_"&amp;Upgrades!$B$3:$B$13))*Upgrades!$D$3:$D$13))</f>
        <v/>
      </c>
      <c r="F671" s="66" t="str">
        <f>IFERROR(__xludf.DUMMYFUNCTION("IF(COUNTA(C671:C1350)=0,"""",IF(REGEXMATCH(INDEX(FILTER(C$4:C671,C$4:C671&lt;&gt;""""),ROWS(FILTER(C$4:C671,C$4:C671&lt;&gt;""""))),""^Sell_""),INDEX(FILTER(F$4:F670,C$4:C670&lt;&gt;""""),ROWS(FILTER(C$4:C670,C$4:C670&lt;&gt;""""))),$AC$5+E671))"),"")</f>
        <v/>
      </c>
      <c r="G671" s="10" t="str">
        <f>IFERROR(__xludf.DUMMYFUNCTION("IF(COUNTA(C671:C1350)=0,"""",IF(C671="""",0,IF(REGEXMATCH(C671,""^Sell_""),-ROUNDDOWN(ROUNDUP(INDEX(Upgrades!$C$3:$C$13,MATCH(SUBSTITUTE(C671,""Sell_"",""""),Upgrades!$B$3:$B$13,0))*1.15^(COUNTIF(C$4:C670,SUBSTITUTE(C671,""Sell_"",""""))-COUNTIF(C$4:C670,"&amp;"""Sell_""&amp;SUBSTITUTE(C671,""Sell_"",""""))))/2),ROUNDUP(INDEX(Upgrades!$C$3:$C$13,MATCH(C671,Upgrades!$B$3:$B$13,0))*1.15^(COUNTIF(C$4:C670,C671)-COUNTIF(C$4:C670,""Sell_""&amp;C671))))))"),"")</f>
        <v/>
      </c>
      <c r="H671" s="10" t="str">
        <f t="shared" si="3"/>
        <v/>
      </c>
      <c r="I671" s="68" t="str">
        <f t="shared" si="4"/>
        <v/>
      </c>
      <c r="J671" s="59" t="str">
        <f t="shared" si="5"/>
        <v/>
      </c>
      <c r="K671" s="69" t="str">
        <f t="shared" si="6"/>
        <v/>
      </c>
      <c r="L671" s="60" t="str">
        <f t="shared" si="7"/>
        <v/>
      </c>
      <c r="M671" s="61" t="str">
        <f>IFERROR(__xludf.DUMMYFUNCTION("IFS(AND(COUNTA(C671:C1350)=0,COUNTA(Q671:Q1350)=0),"""",OR(AND(K671&gt;=1000000000,OR(Y671&gt;=1000000000,COUNTA(Q671:Q1350)=0)),OR(Y671&gt;=1000000000,AND(COUNTA(C671:C1350)=0,P$3=TRUE))),
ROUNDDOWN((AB$1-AC$1)*MAX(INDEX(T$4:T1350,MATCH(LARGE(FILTER(Y$4:Y1350,Y$4"&amp;":Y1350&lt;1000000000),1),Y$4:Y1350)),INDEX(F$4:F1350,MATCH(LARGE(FILTER(K$4:K1350,K$4:K1350&lt;1000000000),1),K$4:K1350)))),AND(K671&lt;1000000000,COUNTA(C671:C1350)&gt;0,P$3=FALSE),
ROUNDDOWN(INDEX(Y$4:Y1350,MATCH(LARGE(FILTER(W$4:W1350,W$4:W1350&lt;=I671),1),W$4:W1350"&amp;"))+(I671-LARGE(FILTER(W$4:W1350,W$4:W1350&lt;=I671),1))*INDEX(T$4:T1350,MATCH(LARGE(FILTER(W$4:W1350,W$4:W1350&lt;=I671),1),W$4:W1350))-K671),1,
ROUNDDOWN(Y671-INDEX(K$4:K1350,MATCH(LARGE(FILTER(I$4:I1350,I$4:I1350&lt;=W671),1),I$4:I1350))-(W671-LARGE(FILTER(I$4:I"&amp;"1350,I$4:I1350&lt;=W671),1))*INDEX(F$4:F1350,MATCH(LARGE(FILTER(I$4:I1350,I$4:I1350&lt;=W671),1),I$4:I1350))))"),"")</f>
        <v/>
      </c>
      <c r="N671" s="60" t="str">
        <f t="shared" si="8"/>
        <v/>
      </c>
      <c r="O671" s="61" t="str">
        <f t="shared" si="9"/>
        <v/>
      </c>
      <c r="P671" s="56" t="str">
        <f t="shared" si="10"/>
        <v/>
      </c>
      <c r="Q671" s="62"/>
      <c r="R671" s="10" t="str">
        <f>IFERROR(__xludf.DUMMYFUNCTION("IF(COUNTA(Q671:Q1350)=0,"""",IF(ISBLANK(Q671),FALSE,IF(NOT(COUNTIF($AA$24:$AA$34,SUBSTITUTE(Q671,""Sell_"",""""))),1,IF(REGEXMATCH(Q671,""Sell_""),IF(COUNTIF(Q$4:Q671,SUBSTITUTE(Q671,""Sell_"",""""))-COUNTIF(Q$4:Q670,Q671)&lt;1,1),FALSE))))"),"")</f>
        <v/>
      </c>
      <c r="S671" s="59" t="str">
        <f t="array" ref="S671">IF(COUNTA(Q671:Q1350)=0,"",SUM((COUNTIF(Q$4:Q671,Upgrades!$B$3:$B$13)-COUNTIF(Q$4:Q671,"Sell_"&amp;Upgrades!$B$3:$B$13))*Upgrades!$D$3:$D$13))</f>
        <v/>
      </c>
      <c r="T671" s="66" t="str">
        <f>IFERROR(__xludf.DUMMYFUNCTION("IF(COUNTA(Q671:Q1350)=0,"""",IF(REGEXMATCH(INDEX(FILTER(Q$4:Q671,Q$4:Q671&lt;&gt;""""),ROWS(FILTER(Q$4:Q671,Q$4:Q671&lt;&gt;""""))),""^Sell_""),INDEX(FILTER(T$4:T670,Q$4:Q670&lt;&gt;""""),ROWS(FILTER(Q$4:Q670,Q$4:Q670&lt;&gt;""""))),$AD$5+S671))"),"")</f>
        <v/>
      </c>
      <c r="U671" s="10" t="str">
        <f>IFERROR(__xludf.DUMMYFUNCTION("IF(COUNTA(Q671:Q1350)=0,"""",IF(Q671="""",0,IF(REGEXMATCH(Q671,""^Sell_""),-ROUNDDOWN(ROUNDUP(INDEX(Upgrades!$C$3:$C$13,MATCH(SUBSTITUTE(Q671,""Sell_"",""""),Upgrades!$B$3:$B$13,0))*1.15^(COUNTIF(Q$4:Q670,SUBSTITUTE(Q671,""Sell_"",""""))-COUNTIF(Q$4:Q670,"&amp;"""Sell_""&amp;SUBSTITUTE(Q671,""Sell_"",""""))))/2),ROUNDUP(INDEX(Upgrades!$C$3:$C$13,MATCH(Q671,Upgrades!$B$3:$B$13,0))*1.15^(COUNTIF(Q$4:Q670,Q671)-COUNTIF(Q$4:Q670,""Sell_""&amp;Q671))))))"),"")</f>
        <v/>
      </c>
      <c r="V671" s="10" t="str">
        <f t="shared" si="11"/>
        <v/>
      </c>
      <c r="W671" s="68" t="str">
        <f t="shared" si="12"/>
        <v/>
      </c>
      <c r="X671" s="59" t="str">
        <f t="shared" si="13"/>
        <v/>
      </c>
      <c r="Y671" s="69" t="str">
        <f t="shared" si="14"/>
        <v/>
      </c>
      <c r="Z671" s="11"/>
    </row>
    <row r="672">
      <c r="A672" s="8"/>
      <c r="B672" s="56" t="str">
        <f t="shared" si="2"/>
        <v/>
      </c>
      <c r="C672" s="57"/>
      <c r="D672" s="10" t="str">
        <f>IFERROR(__xludf.DUMMYFUNCTION("IF(COUNTA(C672:C1350)=0,"""",IF(ISBLANK(C672),FALSE,IF(NOT(COUNTIF($AA$24:$AA$34,SUBSTITUTE(C672,""Sell_"",""""))),1,IF(REGEXMATCH(C672,""Sell_""),IF(COUNTIF(C$4:C672,SUBSTITUTE(C672,""Sell_"",""""))-COUNTIF(C$4:C671,C672)&lt;1,1),FALSE))))"),"")</f>
        <v/>
      </c>
      <c r="E672" s="59" t="str">
        <f t="array" ref="E672">IF(COUNTA(C672:C1350)=0,"",SUM((COUNTIF(C$4:C672,Upgrades!$B$3:$B$13)-COUNTIF(C$4:C672,"Sell_"&amp;Upgrades!$B$3:$B$13))*Upgrades!$D$3:$D$13))</f>
        <v/>
      </c>
      <c r="F672" s="66" t="str">
        <f>IFERROR(__xludf.DUMMYFUNCTION("IF(COUNTA(C672:C1350)=0,"""",IF(REGEXMATCH(INDEX(FILTER(C$4:C672,C$4:C672&lt;&gt;""""),ROWS(FILTER(C$4:C672,C$4:C672&lt;&gt;""""))),""^Sell_""),INDEX(FILTER(F$4:F671,C$4:C671&lt;&gt;""""),ROWS(FILTER(C$4:C671,C$4:C671&lt;&gt;""""))),$AC$5+E672))"),"")</f>
        <v/>
      </c>
      <c r="G672" s="10" t="str">
        <f>IFERROR(__xludf.DUMMYFUNCTION("IF(COUNTA(C672:C1350)=0,"""",IF(C672="""",0,IF(REGEXMATCH(C672,""^Sell_""),-ROUNDDOWN(ROUNDUP(INDEX(Upgrades!$C$3:$C$13,MATCH(SUBSTITUTE(C672,""Sell_"",""""),Upgrades!$B$3:$B$13,0))*1.15^(COUNTIF(C$4:C671,SUBSTITUTE(C672,""Sell_"",""""))-COUNTIF(C$4:C671,"&amp;"""Sell_""&amp;SUBSTITUTE(C672,""Sell_"",""""))))/2),ROUNDUP(INDEX(Upgrades!$C$3:$C$13,MATCH(C672,Upgrades!$B$3:$B$13,0))*1.15^(COUNTIF(C$4:C671,C672)-COUNTIF(C$4:C671,""Sell_""&amp;C672))))))"),"")</f>
        <v/>
      </c>
      <c r="H672" s="10" t="str">
        <f t="shared" si="3"/>
        <v/>
      </c>
      <c r="I672" s="68" t="str">
        <f t="shared" si="4"/>
        <v/>
      </c>
      <c r="J672" s="59" t="str">
        <f t="shared" si="5"/>
        <v/>
      </c>
      <c r="K672" s="69" t="str">
        <f t="shared" si="6"/>
        <v/>
      </c>
      <c r="L672" s="60" t="str">
        <f t="shared" si="7"/>
        <v/>
      </c>
      <c r="M672" s="61" t="str">
        <f>IFERROR(__xludf.DUMMYFUNCTION("IFS(AND(COUNTA(C672:C1350)=0,COUNTA(Q672:Q1350)=0),"""",OR(AND(K672&gt;=1000000000,OR(Y672&gt;=1000000000,COUNTA(Q672:Q1350)=0)),OR(Y672&gt;=1000000000,AND(COUNTA(C672:C1350)=0,P$3=TRUE))),
ROUNDDOWN((AB$1-AC$1)*MAX(INDEX(T$4:T1350,MATCH(LARGE(FILTER(Y$4:Y1350,Y$4"&amp;":Y1350&lt;1000000000),1),Y$4:Y1350)),INDEX(F$4:F1350,MATCH(LARGE(FILTER(K$4:K1350,K$4:K1350&lt;1000000000),1),K$4:K1350)))),AND(K672&lt;1000000000,COUNTA(C672:C1350)&gt;0,P$3=FALSE),
ROUNDDOWN(INDEX(Y$4:Y1350,MATCH(LARGE(FILTER(W$4:W1350,W$4:W1350&lt;=I672),1),W$4:W1350"&amp;"))+(I672-LARGE(FILTER(W$4:W1350,W$4:W1350&lt;=I672),1))*INDEX(T$4:T1350,MATCH(LARGE(FILTER(W$4:W1350,W$4:W1350&lt;=I672),1),W$4:W1350))-K672),1,
ROUNDDOWN(Y672-INDEX(K$4:K1350,MATCH(LARGE(FILTER(I$4:I1350,I$4:I1350&lt;=W672),1),I$4:I1350))-(W672-LARGE(FILTER(I$4:I"&amp;"1350,I$4:I1350&lt;=W672),1))*INDEX(F$4:F1350,MATCH(LARGE(FILTER(I$4:I1350,I$4:I1350&lt;=W672),1),I$4:I1350))))"),"")</f>
        <v/>
      </c>
      <c r="N672" s="60" t="str">
        <f t="shared" si="8"/>
        <v/>
      </c>
      <c r="O672" s="61" t="str">
        <f t="shared" si="9"/>
        <v/>
      </c>
      <c r="P672" s="56" t="str">
        <f t="shared" si="10"/>
        <v/>
      </c>
      <c r="Q672" s="62"/>
      <c r="R672" s="10" t="str">
        <f>IFERROR(__xludf.DUMMYFUNCTION("IF(COUNTA(Q672:Q1350)=0,"""",IF(ISBLANK(Q672),FALSE,IF(NOT(COUNTIF($AA$24:$AA$34,SUBSTITUTE(Q672,""Sell_"",""""))),1,IF(REGEXMATCH(Q672,""Sell_""),IF(COUNTIF(Q$4:Q672,SUBSTITUTE(Q672,""Sell_"",""""))-COUNTIF(Q$4:Q671,Q672)&lt;1,1),FALSE))))"),"")</f>
        <v/>
      </c>
      <c r="S672" s="59" t="str">
        <f t="array" ref="S672">IF(COUNTA(Q672:Q1350)=0,"",SUM((COUNTIF(Q$4:Q672,Upgrades!$B$3:$B$13)-COUNTIF(Q$4:Q672,"Sell_"&amp;Upgrades!$B$3:$B$13))*Upgrades!$D$3:$D$13))</f>
        <v/>
      </c>
      <c r="T672" s="66" t="str">
        <f>IFERROR(__xludf.DUMMYFUNCTION("IF(COUNTA(Q672:Q1350)=0,"""",IF(REGEXMATCH(INDEX(FILTER(Q$4:Q672,Q$4:Q672&lt;&gt;""""),ROWS(FILTER(Q$4:Q672,Q$4:Q672&lt;&gt;""""))),""^Sell_""),INDEX(FILTER(T$4:T671,Q$4:Q671&lt;&gt;""""),ROWS(FILTER(Q$4:Q671,Q$4:Q671&lt;&gt;""""))),$AD$5+S672))"),"")</f>
        <v/>
      </c>
      <c r="U672" s="10" t="str">
        <f>IFERROR(__xludf.DUMMYFUNCTION("IF(COUNTA(Q672:Q1350)=0,"""",IF(Q672="""",0,IF(REGEXMATCH(Q672,""^Sell_""),-ROUNDDOWN(ROUNDUP(INDEX(Upgrades!$C$3:$C$13,MATCH(SUBSTITUTE(Q672,""Sell_"",""""),Upgrades!$B$3:$B$13,0))*1.15^(COUNTIF(Q$4:Q671,SUBSTITUTE(Q672,""Sell_"",""""))-COUNTIF(Q$4:Q671,"&amp;"""Sell_""&amp;SUBSTITUTE(Q672,""Sell_"",""""))))/2),ROUNDUP(INDEX(Upgrades!$C$3:$C$13,MATCH(Q672,Upgrades!$B$3:$B$13,0))*1.15^(COUNTIF(Q$4:Q671,Q672)-COUNTIF(Q$4:Q671,""Sell_""&amp;Q672))))))"),"")</f>
        <v/>
      </c>
      <c r="V672" s="10" t="str">
        <f t="shared" si="11"/>
        <v/>
      </c>
      <c r="W672" s="68" t="str">
        <f t="shared" si="12"/>
        <v/>
      </c>
      <c r="X672" s="59" t="str">
        <f t="shared" si="13"/>
        <v/>
      </c>
      <c r="Y672" s="69" t="str">
        <f t="shared" si="14"/>
        <v/>
      </c>
      <c r="Z672" s="11"/>
    </row>
    <row r="673">
      <c r="A673" s="8"/>
      <c r="B673" s="56" t="str">
        <f t="shared" si="2"/>
        <v/>
      </c>
      <c r="C673" s="57"/>
      <c r="D673" s="10" t="str">
        <f>IFERROR(__xludf.DUMMYFUNCTION("IF(COUNTA(C673:C1350)=0,"""",IF(ISBLANK(C673),FALSE,IF(NOT(COUNTIF($AA$24:$AA$34,SUBSTITUTE(C673,""Sell_"",""""))),1,IF(REGEXMATCH(C673,""Sell_""),IF(COUNTIF(C$4:C673,SUBSTITUTE(C673,""Sell_"",""""))-COUNTIF(C$4:C672,C673)&lt;1,1),FALSE))))"),"")</f>
        <v/>
      </c>
      <c r="E673" s="59" t="str">
        <f t="array" ref="E673">IF(COUNTA(C673:C1350)=0,"",SUM((COUNTIF(C$4:C673,Upgrades!$B$3:$B$13)-COUNTIF(C$4:C673,"Sell_"&amp;Upgrades!$B$3:$B$13))*Upgrades!$D$3:$D$13))</f>
        <v/>
      </c>
      <c r="F673" s="66" t="str">
        <f>IFERROR(__xludf.DUMMYFUNCTION("IF(COUNTA(C673:C1350)=0,"""",IF(REGEXMATCH(INDEX(FILTER(C$4:C673,C$4:C673&lt;&gt;""""),ROWS(FILTER(C$4:C673,C$4:C673&lt;&gt;""""))),""^Sell_""),INDEX(FILTER(F$4:F672,C$4:C672&lt;&gt;""""),ROWS(FILTER(C$4:C672,C$4:C672&lt;&gt;""""))),$AC$5+E673))"),"")</f>
        <v/>
      </c>
      <c r="G673" s="10" t="str">
        <f>IFERROR(__xludf.DUMMYFUNCTION("IF(COUNTA(C673:C1350)=0,"""",IF(C673="""",0,IF(REGEXMATCH(C673,""^Sell_""),-ROUNDDOWN(ROUNDUP(INDEX(Upgrades!$C$3:$C$13,MATCH(SUBSTITUTE(C673,""Sell_"",""""),Upgrades!$B$3:$B$13,0))*1.15^(COUNTIF(C$4:C672,SUBSTITUTE(C673,""Sell_"",""""))-COUNTIF(C$4:C672,"&amp;"""Sell_""&amp;SUBSTITUTE(C673,""Sell_"",""""))))/2),ROUNDUP(INDEX(Upgrades!$C$3:$C$13,MATCH(C673,Upgrades!$B$3:$B$13,0))*1.15^(COUNTIF(C$4:C672,C673)-COUNTIF(C$4:C672,""Sell_""&amp;C673))))))"),"")</f>
        <v/>
      </c>
      <c r="H673" s="10" t="str">
        <f t="shared" si="3"/>
        <v/>
      </c>
      <c r="I673" s="68" t="str">
        <f t="shared" si="4"/>
        <v/>
      </c>
      <c r="J673" s="59" t="str">
        <f t="shared" si="5"/>
        <v/>
      </c>
      <c r="K673" s="69" t="str">
        <f t="shared" si="6"/>
        <v/>
      </c>
      <c r="L673" s="60" t="str">
        <f t="shared" si="7"/>
        <v/>
      </c>
      <c r="M673" s="61" t="str">
        <f>IFERROR(__xludf.DUMMYFUNCTION("IFS(AND(COUNTA(C673:C1350)=0,COUNTA(Q673:Q1350)=0),"""",OR(AND(K673&gt;=1000000000,OR(Y673&gt;=1000000000,COUNTA(Q673:Q1350)=0)),OR(Y673&gt;=1000000000,AND(COUNTA(C673:C1350)=0,P$3=TRUE))),
ROUNDDOWN((AB$1-AC$1)*MAX(INDEX(T$4:T1350,MATCH(LARGE(FILTER(Y$4:Y1350,Y$4"&amp;":Y1350&lt;1000000000),1),Y$4:Y1350)),INDEX(F$4:F1350,MATCH(LARGE(FILTER(K$4:K1350,K$4:K1350&lt;1000000000),1),K$4:K1350)))),AND(K673&lt;1000000000,COUNTA(C673:C1350)&gt;0,P$3=FALSE),
ROUNDDOWN(INDEX(Y$4:Y1350,MATCH(LARGE(FILTER(W$4:W1350,W$4:W1350&lt;=I673),1),W$4:W1350"&amp;"))+(I673-LARGE(FILTER(W$4:W1350,W$4:W1350&lt;=I673),1))*INDEX(T$4:T1350,MATCH(LARGE(FILTER(W$4:W1350,W$4:W1350&lt;=I673),1),W$4:W1350))-K673),1,
ROUNDDOWN(Y673-INDEX(K$4:K1350,MATCH(LARGE(FILTER(I$4:I1350,I$4:I1350&lt;=W673),1),I$4:I1350))-(W673-LARGE(FILTER(I$4:I"&amp;"1350,I$4:I1350&lt;=W673),1))*INDEX(F$4:F1350,MATCH(LARGE(FILTER(I$4:I1350,I$4:I1350&lt;=W673),1),I$4:I1350))))"),"")</f>
        <v/>
      </c>
      <c r="N673" s="60" t="str">
        <f t="shared" si="8"/>
        <v/>
      </c>
      <c r="O673" s="61" t="str">
        <f t="shared" si="9"/>
        <v/>
      </c>
      <c r="P673" s="56" t="str">
        <f t="shared" si="10"/>
        <v/>
      </c>
      <c r="Q673" s="62"/>
      <c r="R673" s="10" t="str">
        <f>IFERROR(__xludf.DUMMYFUNCTION("IF(COUNTA(Q673:Q1350)=0,"""",IF(ISBLANK(Q673),FALSE,IF(NOT(COUNTIF($AA$24:$AA$34,SUBSTITUTE(Q673,""Sell_"",""""))),1,IF(REGEXMATCH(Q673,""Sell_""),IF(COUNTIF(Q$4:Q673,SUBSTITUTE(Q673,""Sell_"",""""))-COUNTIF(Q$4:Q672,Q673)&lt;1,1),FALSE))))"),"")</f>
        <v/>
      </c>
      <c r="S673" s="59" t="str">
        <f t="array" ref="S673">IF(COUNTA(Q673:Q1350)=0,"",SUM((COUNTIF(Q$4:Q673,Upgrades!$B$3:$B$13)-COUNTIF(Q$4:Q673,"Sell_"&amp;Upgrades!$B$3:$B$13))*Upgrades!$D$3:$D$13))</f>
        <v/>
      </c>
      <c r="T673" s="66" t="str">
        <f>IFERROR(__xludf.DUMMYFUNCTION("IF(COUNTA(Q673:Q1350)=0,"""",IF(REGEXMATCH(INDEX(FILTER(Q$4:Q673,Q$4:Q673&lt;&gt;""""),ROWS(FILTER(Q$4:Q673,Q$4:Q673&lt;&gt;""""))),""^Sell_""),INDEX(FILTER(T$4:T672,Q$4:Q672&lt;&gt;""""),ROWS(FILTER(Q$4:Q672,Q$4:Q672&lt;&gt;""""))),$AD$5+S673))"),"")</f>
        <v/>
      </c>
      <c r="U673" s="10" t="str">
        <f>IFERROR(__xludf.DUMMYFUNCTION("IF(COUNTA(Q673:Q1350)=0,"""",IF(Q673="""",0,IF(REGEXMATCH(Q673,""^Sell_""),-ROUNDDOWN(ROUNDUP(INDEX(Upgrades!$C$3:$C$13,MATCH(SUBSTITUTE(Q673,""Sell_"",""""),Upgrades!$B$3:$B$13,0))*1.15^(COUNTIF(Q$4:Q672,SUBSTITUTE(Q673,""Sell_"",""""))-COUNTIF(Q$4:Q672,"&amp;"""Sell_""&amp;SUBSTITUTE(Q673,""Sell_"",""""))))/2),ROUNDUP(INDEX(Upgrades!$C$3:$C$13,MATCH(Q673,Upgrades!$B$3:$B$13,0))*1.15^(COUNTIF(Q$4:Q672,Q673)-COUNTIF(Q$4:Q672,""Sell_""&amp;Q673))))))"),"")</f>
        <v/>
      </c>
      <c r="V673" s="10" t="str">
        <f t="shared" si="11"/>
        <v/>
      </c>
      <c r="W673" s="68" t="str">
        <f t="shared" si="12"/>
        <v/>
      </c>
      <c r="X673" s="59" t="str">
        <f t="shared" si="13"/>
        <v/>
      </c>
      <c r="Y673" s="69" t="str">
        <f t="shared" si="14"/>
        <v/>
      </c>
      <c r="Z673" s="11"/>
    </row>
    <row r="674">
      <c r="A674" s="8"/>
      <c r="B674" s="56" t="str">
        <f t="shared" si="2"/>
        <v/>
      </c>
      <c r="C674" s="57"/>
      <c r="D674" s="10" t="str">
        <f>IFERROR(__xludf.DUMMYFUNCTION("IF(COUNTA(C674:C1350)=0,"""",IF(ISBLANK(C674),FALSE,IF(NOT(COUNTIF($AA$24:$AA$34,SUBSTITUTE(C674,""Sell_"",""""))),1,IF(REGEXMATCH(C674,""Sell_""),IF(COUNTIF(C$4:C674,SUBSTITUTE(C674,""Sell_"",""""))-COUNTIF(C$4:C673,C674)&lt;1,1),FALSE))))"),"")</f>
        <v/>
      </c>
      <c r="E674" s="59" t="str">
        <f t="array" ref="E674">IF(COUNTA(C674:C1350)=0,"",SUM((COUNTIF(C$4:C674,Upgrades!$B$3:$B$13)-COUNTIF(C$4:C674,"Sell_"&amp;Upgrades!$B$3:$B$13))*Upgrades!$D$3:$D$13))</f>
        <v/>
      </c>
      <c r="F674" s="66" t="str">
        <f>IFERROR(__xludf.DUMMYFUNCTION("IF(COUNTA(C674:C1350)=0,"""",IF(REGEXMATCH(INDEX(FILTER(C$4:C674,C$4:C674&lt;&gt;""""),ROWS(FILTER(C$4:C674,C$4:C674&lt;&gt;""""))),""^Sell_""),INDEX(FILTER(F$4:F673,C$4:C673&lt;&gt;""""),ROWS(FILTER(C$4:C673,C$4:C673&lt;&gt;""""))),$AC$5+E674))"),"")</f>
        <v/>
      </c>
      <c r="G674" s="10" t="str">
        <f>IFERROR(__xludf.DUMMYFUNCTION("IF(COUNTA(C674:C1350)=0,"""",IF(C674="""",0,IF(REGEXMATCH(C674,""^Sell_""),-ROUNDDOWN(ROUNDUP(INDEX(Upgrades!$C$3:$C$13,MATCH(SUBSTITUTE(C674,""Sell_"",""""),Upgrades!$B$3:$B$13,0))*1.15^(COUNTIF(C$4:C673,SUBSTITUTE(C674,""Sell_"",""""))-COUNTIF(C$4:C673,"&amp;"""Sell_""&amp;SUBSTITUTE(C674,""Sell_"",""""))))/2),ROUNDUP(INDEX(Upgrades!$C$3:$C$13,MATCH(C674,Upgrades!$B$3:$B$13,0))*1.15^(COUNTIF(C$4:C673,C674)-COUNTIF(C$4:C673,""Sell_""&amp;C674))))))"),"")</f>
        <v/>
      </c>
      <c r="H674" s="10" t="str">
        <f t="shared" si="3"/>
        <v/>
      </c>
      <c r="I674" s="68" t="str">
        <f t="shared" si="4"/>
        <v/>
      </c>
      <c r="J674" s="59" t="str">
        <f t="shared" si="5"/>
        <v/>
      </c>
      <c r="K674" s="69" t="str">
        <f t="shared" si="6"/>
        <v/>
      </c>
      <c r="L674" s="60" t="str">
        <f t="shared" si="7"/>
        <v/>
      </c>
      <c r="M674" s="61" t="str">
        <f>IFERROR(__xludf.DUMMYFUNCTION("IFS(AND(COUNTA(C674:C1350)=0,COUNTA(Q674:Q1350)=0),"""",OR(AND(K674&gt;=1000000000,OR(Y674&gt;=1000000000,COUNTA(Q674:Q1350)=0)),OR(Y674&gt;=1000000000,AND(COUNTA(C674:C1350)=0,P$3=TRUE))),
ROUNDDOWN((AB$1-AC$1)*MAX(INDEX(T$4:T1350,MATCH(LARGE(FILTER(Y$4:Y1350,Y$4"&amp;":Y1350&lt;1000000000),1),Y$4:Y1350)),INDEX(F$4:F1350,MATCH(LARGE(FILTER(K$4:K1350,K$4:K1350&lt;1000000000),1),K$4:K1350)))),AND(K674&lt;1000000000,COUNTA(C674:C1350)&gt;0,P$3=FALSE),
ROUNDDOWN(INDEX(Y$4:Y1350,MATCH(LARGE(FILTER(W$4:W1350,W$4:W1350&lt;=I674),1),W$4:W1350"&amp;"))+(I674-LARGE(FILTER(W$4:W1350,W$4:W1350&lt;=I674),1))*INDEX(T$4:T1350,MATCH(LARGE(FILTER(W$4:W1350,W$4:W1350&lt;=I674),1),W$4:W1350))-K674),1,
ROUNDDOWN(Y674-INDEX(K$4:K1350,MATCH(LARGE(FILTER(I$4:I1350,I$4:I1350&lt;=W674),1),I$4:I1350))-(W674-LARGE(FILTER(I$4:I"&amp;"1350,I$4:I1350&lt;=W674),1))*INDEX(F$4:F1350,MATCH(LARGE(FILTER(I$4:I1350,I$4:I1350&lt;=W674),1),I$4:I1350))))"),"")</f>
        <v/>
      </c>
      <c r="N674" s="60" t="str">
        <f t="shared" si="8"/>
        <v/>
      </c>
      <c r="O674" s="61" t="str">
        <f t="shared" si="9"/>
        <v/>
      </c>
      <c r="P674" s="56" t="str">
        <f t="shared" si="10"/>
        <v/>
      </c>
      <c r="Q674" s="62"/>
      <c r="R674" s="10" t="str">
        <f>IFERROR(__xludf.DUMMYFUNCTION("IF(COUNTA(Q674:Q1350)=0,"""",IF(ISBLANK(Q674),FALSE,IF(NOT(COUNTIF($AA$24:$AA$34,SUBSTITUTE(Q674,""Sell_"",""""))),1,IF(REGEXMATCH(Q674,""Sell_""),IF(COUNTIF(Q$4:Q674,SUBSTITUTE(Q674,""Sell_"",""""))-COUNTIF(Q$4:Q673,Q674)&lt;1,1),FALSE))))"),"")</f>
        <v/>
      </c>
      <c r="S674" s="59" t="str">
        <f t="array" ref="S674">IF(COUNTA(Q674:Q1350)=0,"",SUM((COUNTIF(Q$4:Q674,Upgrades!$B$3:$B$13)-COUNTIF(Q$4:Q674,"Sell_"&amp;Upgrades!$B$3:$B$13))*Upgrades!$D$3:$D$13))</f>
        <v/>
      </c>
      <c r="T674" s="66" t="str">
        <f>IFERROR(__xludf.DUMMYFUNCTION("IF(COUNTA(Q674:Q1350)=0,"""",IF(REGEXMATCH(INDEX(FILTER(Q$4:Q674,Q$4:Q674&lt;&gt;""""),ROWS(FILTER(Q$4:Q674,Q$4:Q674&lt;&gt;""""))),""^Sell_""),INDEX(FILTER(T$4:T673,Q$4:Q673&lt;&gt;""""),ROWS(FILTER(Q$4:Q673,Q$4:Q673&lt;&gt;""""))),$AD$5+S674))"),"")</f>
        <v/>
      </c>
      <c r="U674" s="10" t="str">
        <f>IFERROR(__xludf.DUMMYFUNCTION("IF(COUNTA(Q674:Q1350)=0,"""",IF(Q674="""",0,IF(REGEXMATCH(Q674,""^Sell_""),-ROUNDDOWN(ROUNDUP(INDEX(Upgrades!$C$3:$C$13,MATCH(SUBSTITUTE(Q674,""Sell_"",""""),Upgrades!$B$3:$B$13,0))*1.15^(COUNTIF(Q$4:Q673,SUBSTITUTE(Q674,""Sell_"",""""))-COUNTIF(Q$4:Q673,"&amp;"""Sell_""&amp;SUBSTITUTE(Q674,""Sell_"",""""))))/2),ROUNDUP(INDEX(Upgrades!$C$3:$C$13,MATCH(Q674,Upgrades!$B$3:$B$13,0))*1.15^(COUNTIF(Q$4:Q673,Q674)-COUNTIF(Q$4:Q673,""Sell_""&amp;Q674))))))"),"")</f>
        <v/>
      </c>
      <c r="V674" s="10" t="str">
        <f t="shared" si="11"/>
        <v/>
      </c>
      <c r="W674" s="68" t="str">
        <f t="shared" si="12"/>
        <v/>
      </c>
      <c r="X674" s="59" t="str">
        <f t="shared" si="13"/>
        <v/>
      </c>
      <c r="Y674" s="69" t="str">
        <f t="shared" si="14"/>
        <v/>
      </c>
      <c r="Z674" s="11"/>
    </row>
    <row r="675">
      <c r="A675" s="8"/>
      <c r="B675" s="56" t="str">
        <f t="shared" si="2"/>
        <v/>
      </c>
      <c r="C675" s="57"/>
      <c r="D675" s="10" t="str">
        <f>IFERROR(__xludf.DUMMYFUNCTION("IF(COUNTA(C675:C1350)=0,"""",IF(ISBLANK(C675),FALSE,IF(NOT(COUNTIF($AA$24:$AA$34,SUBSTITUTE(C675,""Sell_"",""""))),1,IF(REGEXMATCH(C675,""Sell_""),IF(COUNTIF(C$4:C675,SUBSTITUTE(C675,""Sell_"",""""))-COUNTIF(C$4:C674,C675)&lt;1,1),FALSE))))"),"")</f>
        <v/>
      </c>
      <c r="E675" s="59" t="str">
        <f t="array" ref="E675">IF(COUNTA(C675:C1350)=0,"",SUM((COUNTIF(C$4:C675,Upgrades!$B$3:$B$13)-COUNTIF(C$4:C675,"Sell_"&amp;Upgrades!$B$3:$B$13))*Upgrades!$D$3:$D$13))</f>
        <v/>
      </c>
      <c r="F675" s="66" t="str">
        <f>IFERROR(__xludf.DUMMYFUNCTION("IF(COUNTA(C675:C1350)=0,"""",IF(REGEXMATCH(INDEX(FILTER(C$4:C675,C$4:C675&lt;&gt;""""),ROWS(FILTER(C$4:C675,C$4:C675&lt;&gt;""""))),""^Sell_""),INDEX(FILTER(F$4:F674,C$4:C674&lt;&gt;""""),ROWS(FILTER(C$4:C674,C$4:C674&lt;&gt;""""))),$AC$5+E675))"),"")</f>
        <v/>
      </c>
      <c r="G675" s="10" t="str">
        <f>IFERROR(__xludf.DUMMYFUNCTION("IF(COUNTA(C675:C1350)=0,"""",IF(C675="""",0,IF(REGEXMATCH(C675,""^Sell_""),-ROUNDDOWN(ROUNDUP(INDEX(Upgrades!$C$3:$C$13,MATCH(SUBSTITUTE(C675,""Sell_"",""""),Upgrades!$B$3:$B$13,0))*1.15^(COUNTIF(C$4:C674,SUBSTITUTE(C675,""Sell_"",""""))-COUNTIF(C$4:C674,"&amp;"""Sell_""&amp;SUBSTITUTE(C675,""Sell_"",""""))))/2),ROUNDUP(INDEX(Upgrades!$C$3:$C$13,MATCH(C675,Upgrades!$B$3:$B$13,0))*1.15^(COUNTIF(C$4:C674,C675)-COUNTIF(C$4:C674,""Sell_""&amp;C675))))))"),"")</f>
        <v/>
      </c>
      <c r="H675" s="10" t="str">
        <f t="shared" si="3"/>
        <v/>
      </c>
      <c r="I675" s="68" t="str">
        <f t="shared" si="4"/>
        <v/>
      </c>
      <c r="J675" s="59" t="str">
        <f t="shared" si="5"/>
        <v/>
      </c>
      <c r="K675" s="69" t="str">
        <f t="shared" si="6"/>
        <v/>
      </c>
      <c r="L675" s="60" t="str">
        <f t="shared" si="7"/>
        <v/>
      </c>
      <c r="M675" s="61" t="str">
        <f>IFERROR(__xludf.DUMMYFUNCTION("IFS(AND(COUNTA(C675:C1350)=0,COUNTA(Q675:Q1350)=0),"""",OR(AND(K675&gt;=1000000000,OR(Y675&gt;=1000000000,COUNTA(Q675:Q1350)=0)),OR(Y675&gt;=1000000000,AND(COUNTA(C675:C1350)=0,P$3=TRUE))),
ROUNDDOWN((AB$1-AC$1)*MAX(INDEX(T$4:T1350,MATCH(LARGE(FILTER(Y$4:Y1350,Y$4"&amp;":Y1350&lt;1000000000),1),Y$4:Y1350)),INDEX(F$4:F1350,MATCH(LARGE(FILTER(K$4:K1350,K$4:K1350&lt;1000000000),1),K$4:K1350)))),AND(K675&lt;1000000000,COUNTA(C675:C1350)&gt;0,P$3=FALSE),
ROUNDDOWN(INDEX(Y$4:Y1350,MATCH(LARGE(FILTER(W$4:W1350,W$4:W1350&lt;=I675),1),W$4:W1350"&amp;"))+(I675-LARGE(FILTER(W$4:W1350,W$4:W1350&lt;=I675),1))*INDEX(T$4:T1350,MATCH(LARGE(FILTER(W$4:W1350,W$4:W1350&lt;=I675),1),W$4:W1350))-K675),1,
ROUNDDOWN(Y675-INDEX(K$4:K1350,MATCH(LARGE(FILTER(I$4:I1350,I$4:I1350&lt;=W675),1),I$4:I1350))-(W675-LARGE(FILTER(I$4:I"&amp;"1350,I$4:I1350&lt;=W675),1))*INDEX(F$4:F1350,MATCH(LARGE(FILTER(I$4:I1350,I$4:I1350&lt;=W675),1),I$4:I1350))))"),"")</f>
        <v/>
      </c>
      <c r="N675" s="60" t="str">
        <f t="shared" si="8"/>
        <v/>
      </c>
      <c r="O675" s="61" t="str">
        <f t="shared" si="9"/>
        <v/>
      </c>
      <c r="P675" s="56" t="str">
        <f t="shared" si="10"/>
        <v/>
      </c>
      <c r="Q675" s="62"/>
      <c r="R675" s="10" t="str">
        <f>IFERROR(__xludf.DUMMYFUNCTION("IF(COUNTA(Q675:Q1350)=0,"""",IF(ISBLANK(Q675),FALSE,IF(NOT(COUNTIF($AA$24:$AA$34,SUBSTITUTE(Q675,""Sell_"",""""))),1,IF(REGEXMATCH(Q675,""Sell_""),IF(COUNTIF(Q$4:Q675,SUBSTITUTE(Q675,""Sell_"",""""))-COUNTIF(Q$4:Q674,Q675)&lt;1,1),FALSE))))"),"")</f>
        <v/>
      </c>
      <c r="S675" s="59" t="str">
        <f t="array" ref="S675">IF(COUNTA(Q675:Q1350)=0,"",SUM((COUNTIF(Q$4:Q675,Upgrades!$B$3:$B$13)-COUNTIF(Q$4:Q675,"Sell_"&amp;Upgrades!$B$3:$B$13))*Upgrades!$D$3:$D$13))</f>
        <v/>
      </c>
      <c r="T675" s="66" t="str">
        <f>IFERROR(__xludf.DUMMYFUNCTION("IF(COUNTA(Q675:Q1350)=0,"""",IF(REGEXMATCH(INDEX(FILTER(Q$4:Q675,Q$4:Q675&lt;&gt;""""),ROWS(FILTER(Q$4:Q675,Q$4:Q675&lt;&gt;""""))),""^Sell_""),INDEX(FILTER(T$4:T674,Q$4:Q674&lt;&gt;""""),ROWS(FILTER(Q$4:Q674,Q$4:Q674&lt;&gt;""""))),$AD$5+S675))"),"")</f>
        <v/>
      </c>
      <c r="U675" s="10" t="str">
        <f>IFERROR(__xludf.DUMMYFUNCTION("IF(COUNTA(Q675:Q1350)=0,"""",IF(Q675="""",0,IF(REGEXMATCH(Q675,""^Sell_""),-ROUNDDOWN(ROUNDUP(INDEX(Upgrades!$C$3:$C$13,MATCH(SUBSTITUTE(Q675,""Sell_"",""""),Upgrades!$B$3:$B$13,0))*1.15^(COUNTIF(Q$4:Q674,SUBSTITUTE(Q675,""Sell_"",""""))-COUNTIF(Q$4:Q674,"&amp;"""Sell_""&amp;SUBSTITUTE(Q675,""Sell_"",""""))))/2),ROUNDUP(INDEX(Upgrades!$C$3:$C$13,MATCH(Q675,Upgrades!$B$3:$B$13,0))*1.15^(COUNTIF(Q$4:Q674,Q675)-COUNTIF(Q$4:Q674,""Sell_""&amp;Q675))))))"),"")</f>
        <v/>
      </c>
      <c r="V675" s="10" t="str">
        <f t="shared" si="11"/>
        <v/>
      </c>
      <c r="W675" s="68" t="str">
        <f t="shared" si="12"/>
        <v/>
      </c>
      <c r="X675" s="59" t="str">
        <f t="shared" si="13"/>
        <v/>
      </c>
      <c r="Y675" s="69" t="str">
        <f t="shared" si="14"/>
        <v/>
      </c>
      <c r="Z675" s="11"/>
    </row>
    <row r="676">
      <c r="A676" s="8"/>
      <c r="B676" s="56" t="str">
        <f t="shared" si="2"/>
        <v/>
      </c>
      <c r="C676" s="57"/>
      <c r="D676" s="10" t="str">
        <f>IFERROR(__xludf.DUMMYFUNCTION("IF(COUNTA(C676:C1350)=0,"""",IF(ISBLANK(C676),FALSE,IF(NOT(COUNTIF($AA$24:$AA$34,SUBSTITUTE(C676,""Sell_"",""""))),1,IF(REGEXMATCH(C676,""Sell_""),IF(COUNTIF(C$4:C676,SUBSTITUTE(C676,""Sell_"",""""))-COUNTIF(C$4:C675,C676)&lt;1,1),FALSE))))"),"")</f>
        <v/>
      </c>
      <c r="E676" s="59" t="str">
        <f t="array" ref="E676">IF(COUNTA(C676:C1350)=0,"",SUM((COUNTIF(C$4:C676,Upgrades!$B$3:$B$13)-COUNTIF(C$4:C676,"Sell_"&amp;Upgrades!$B$3:$B$13))*Upgrades!$D$3:$D$13))</f>
        <v/>
      </c>
      <c r="F676" s="66" t="str">
        <f>IFERROR(__xludf.DUMMYFUNCTION("IF(COUNTA(C676:C1350)=0,"""",IF(REGEXMATCH(INDEX(FILTER(C$4:C676,C$4:C676&lt;&gt;""""),ROWS(FILTER(C$4:C676,C$4:C676&lt;&gt;""""))),""^Sell_""),INDEX(FILTER(F$4:F675,C$4:C675&lt;&gt;""""),ROWS(FILTER(C$4:C675,C$4:C675&lt;&gt;""""))),$AC$5+E676))"),"")</f>
        <v/>
      </c>
      <c r="G676" s="10" t="str">
        <f>IFERROR(__xludf.DUMMYFUNCTION("IF(COUNTA(C676:C1350)=0,"""",IF(C676="""",0,IF(REGEXMATCH(C676,""^Sell_""),-ROUNDDOWN(ROUNDUP(INDEX(Upgrades!$C$3:$C$13,MATCH(SUBSTITUTE(C676,""Sell_"",""""),Upgrades!$B$3:$B$13,0))*1.15^(COUNTIF(C$4:C675,SUBSTITUTE(C676,""Sell_"",""""))-COUNTIF(C$4:C675,"&amp;"""Sell_""&amp;SUBSTITUTE(C676,""Sell_"",""""))))/2),ROUNDUP(INDEX(Upgrades!$C$3:$C$13,MATCH(C676,Upgrades!$B$3:$B$13,0))*1.15^(COUNTIF(C$4:C675,C676)-COUNTIF(C$4:C675,""Sell_""&amp;C676))))))"),"")</f>
        <v/>
      </c>
      <c r="H676" s="10" t="str">
        <f t="shared" si="3"/>
        <v/>
      </c>
      <c r="I676" s="68" t="str">
        <f t="shared" si="4"/>
        <v/>
      </c>
      <c r="J676" s="59" t="str">
        <f t="shared" si="5"/>
        <v/>
      </c>
      <c r="K676" s="69" t="str">
        <f t="shared" si="6"/>
        <v/>
      </c>
      <c r="L676" s="60" t="str">
        <f t="shared" si="7"/>
        <v/>
      </c>
      <c r="M676" s="61" t="str">
        <f>IFERROR(__xludf.DUMMYFUNCTION("IFS(AND(COUNTA(C676:C1350)=0,COUNTA(Q676:Q1350)=0),"""",OR(AND(K676&gt;=1000000000,OR(Y676&gt;=1000000000,COUNTA(Q676:Q1350)=0)),OR(Y676&gt;=1000000000,AND(COUNTA(C676:C1350)=0,P$3=TRUE))),
ROUNDDOWN((AB$1-AC$1)*MAX(INDEX(T$4:T1350,MATCH(LARGE(FILTER(Y$4:Y1350,Y$4"&amp;":Y1350&lt;1000000000),1),Y$4:Y1350)),INDEX(F$4:F1350,MATCH(LARGE(FILTER(K$4:K1350,K$4:K1350&lt;1000000000),1),K$4:K1350)))),AND(K676&lt;1000000000,COUNTA(C676:C1350)&gt;0,P$3=FALSE),
ROUNDDOWN(INDEX(Y$4:Y1350,MATCH(LARGE(FILTER(W$4:W1350,W$4:W1350&lt;=I676),1),W$4:W1350"&amp;"))+(I676-LARGE(FILTER(W$4:W1350,W$4:W1350&lt;=I676),1))*INDEX(T$4:T1350,MATCH(LARGE(FILTER(W$4:W1350,W$4:W1350&lt;=I676),1),W$4:W1350))-K676),1,
ROUNDDOWN(Y676-INDEX(K$4:K1350,MATCH(LARGE(FILTER(I$4:I1350,I$4:I1350&lt;=W676),1),I$4:I1350))-(W676-LARGE(FILTER(I$4:I"&amp;"1350,I$4:I1350&lt;=W676),1))*INDEX(F$4:F1350,MATCH(LARGE(FILTER(I$4:I1350,I$4:I1350&lt;=W676),1),I$4:I1350))))"),"")</f>
        <v/>
      </c>
      <c r="N676" s="60" t="str">
        <f t="shared" si="8"/>
        <v/>
      </c>
      <c r="O676" s="61" t="str">
        <f t="shared" si="9"/>
        <v/>
      </c>
      <c r="P676" s="56" t="str">
        <f t="shared" si="10"/>
        <v/>
      </c>
      <c r="Q676" s="62"/>
      <c r="R676" s="10" t="str">
        <f>IFERROR(__xludf.DUMMYFUNCTION("IF(COUNTA(Q676:Q1350)=0,"""",IF(ISBLANK(Q676),FALSE,IF(NOT(COUNTIF($AA$24:$AA$34,SUBSTITUTE(Q676,""Sell_"",""""))),1,IF(REGEXMATCH(Q676,""Sell_""),IF(COUNTIF(Q$4:Q676,SUBSTITUTE(Q676,""Sell_"",""""))-COUNTIF(Q$4:Q675,Q676)&lt;1,1),FALSE))))"),"")</f>
        <v/>
      </c>
      <c r="S676" s="59" t="str">
        <f t="array" ref="S676">IF(COUNTA(Q676:Q1350)=0,"",SUM((COUNTIF(Q$4:Q676,Upgrades!$B$3:$B$13)-COUNTIF(Q$4:Q676,"Sell_"&amp;Upgrades!$B$3:$B$13))*Upgrades!$D$3:$D$13))</f>
        <v/>
      </c>
      <c r="T676" s="66" t="str">
        <f>IFERROR(__xludf.DUMMYFUNCTION("IF(COUNTA(Q676:Q1350)=0,"""",IF(REGEXMATCH(INDEX(FILTER(Q$4:Q676,Q$4:Q676&lt;&gt;""""),ROWS(FILTER(Q$4:Q676,Q$4:Q676&lt;&gt;""""))),""^Sell_""),INDEX(FILTER(T$4:T675,Q$4:Q675&lt;&gt;""""),ROWS(FILTER(Q$4:Q675,Q$4:Q675&lt;&gt;""""))),$AD$5+S676))"),"")</f>
        <v/>
      </c>
      <c r="U676" s="10" t="str">
        <f>IFERROR(__xludf.DUMMYFUNCTION("IF(COUNTA(Q676:Q1350)=0,"""",IF(Q676="""",0,IF(REGEXMATCH(Q676,""^Sell_""),-ROUNDDOWN(ROUNDUP(INDEX(Upgrades!$C$3:$C$13,MATCH(SUBSTITUTE(Q676,""Sell_"",""""),Upgrades!$B$3:$B$13,0))*1.15^(COUNTIF(Q$4:Q675,SUBSTITUTE(Q676,""Sell_"",""""))-COUNTIF(Q$4:Q675,"&amp;"""Sell_""&amp;SUBSTITUTE(Q676,""Sell_"",""""))))/2),ROUNDUP(INDEX(Upgrades!$C$3:$C$13,MATCH(Q676,Upgrades!$B$3:$B$13,0))*1.15^(COUNTIF(Q$4:Q675,Q676)-COUNTIF(Q$4:Q675,""Sell_""&amp;Q676))))))"),"")</f>
        <v/>
      </c>
      <c r="V676" s="10" t="str">
        <f t="shared" si="11"/>
        <v/>
      </c>
      <c r="W676" s="68" t="str">
        <f t="shared" si="12"/>
        <v/>
      </c>
      <c r="X676" s="59" t="str">
        <f t="shared" si="13"/>
        <v/>
      </c>
      <c r="Y676" s="69" t="str">
        <f t="shared" si="14"/>
        <v/>
      </c>
      <c r="Z676" s="11"/>
    </row>
    <row r="677">
      <c r="A677" s="8"/>
      <c r="B677" s="56" t="str">
        <f t="shared" si="2"/>
        <v/>
      </c>
      <c r="C677" s="57"/>
      <c r="D677" s="10" t="str">
        <f>IFERROR(__xludf.DUMMYFUNCTION("IF(COUNTA(C677:C1350)=0,"""",IF(ISBLANK(C677),FALSE,IF(NOT(COUNTIF($AA$24:$AA$34,SUBSTITUTE(C677,""Sell_"",""""))),1,IF(REGEXMATCH(C677,""Sell_""),IF(COUNTIF(C$4:C677,SUBSTITUTE(C677,""Sell_"",""""))-COUNTIF(C$4:C676,C677)&lt;1,1),FALSE))))"),"")</f>
        <v/>
      </c>
      <c r="E677" s="59" t="str">
        <f t="array" ref="E677">IF(COUNTA(C677:C1350)=0,"",SUM((COUNTIF(C$4:C677,Upgrades!$B$3:$B$13)-COUNTIF(C$4:C677,"Sell_"&amp;Upgrades!$B$3:$B$13))*Upgrades!$D$3:$D$13))</f>
        <v/>
      </c>
      <c r="F677" s="66" t="str">
        <f>IFERROR(__xludf.DUMMYFUNCTION("IF(COUNTA(C677:C1350)=0,"""",IF(REGEXMATCH(INDEX(FILTER(C$4:C677,C$4:C677&lt;&gt;""""),ROWS(FILTER(C$4:C677,C$4:C677&lt;&gt;""""))),""^Sell_""),INDEX(FILTER(F$4:F676,C$4:C676&lt;&gt;""""),ROWS(FILTER(C$4:C676,C$4:C676&lt;&gt;""""))),$AC$5+E677))"),"")</f>
        <v/>
      </c>
      <c r="G677" s="10" t="str">
        <f>IFERROR(__xludf.DUMMYFUNCTION("IF(COUNTA(C677:C1350)=0,"""",IF(C677="""",0,IF(REGEXMATCH(C677,""^Sell_""),-ROUNDDOWN(ROUNDUP(INDEX(Upgrades!$C$3:$C$13,MATCH(SUBSTITUTE(C677,""Sell_"",""""),Upgrades!$B$3:$B$13,0))*1.15^(COUNTIF(C$4:C676,SUBSTITUTE(C677,""Sell_"",""""))-COUNTIF(C$4:C676,"&amp;"""Sell_""&amp;SUBSTITUTE(C677,""Sell_"",""""))))/2),ROUNDUP(INDEX(Upgrades!$C$3:$C$13,MATCH(C677,Upgrades!$B$3:$B$13,0))*1.15^(COUNTIF(C$4:C676,C677)-COUNTIF(C$4:C676,""Sell_""&amp;C677))))))"),"")</f>
        <v/>
      </c>
      <c r="H677" s="10" t="str">
        <f t="shared" si="3"/>
        <v/>
      </c>
      <c r="I677" s="68" t="str">
        <f t="shared" si="4"/>
        <v/>
      </c>
      <c r="J677" s="59" t="str">
        <f t="shared" si="5"/>
        <v/>
      </c>
      <c r="K677" s="69" t="str">
        <f t="shared" si="6"/>
        <v/>
      </c>
      <c r="L677" s="60" t="str">
        <f t="shared" si="7"/>
        <v/>
      </c>
      <c r="M677" s="61" t="str">
        <f>IFERROR(__xludf.DUMMYFUNCTION("IFS(AND(COUNTA(C677:C1350)=0,COUNTA(Q677:Q1350)=0),"""",OR(AND(K677&gt;=1000000000,OR(Y677&gt;=1000000000,COUNTA(Q677:Q1350)=0)),OR(Y677&gt;=1000000000,AND(COUNTA(C677:C1350)=0,P$3=TRUE))),
ROUNDDOWN((AB$1-AC$1)*MAX(INDEX(T$4:T1350,MATCH(LARGE(FILTER(Y$4:Y1350,Y$4"&amp;":Y1350&lt;1000000000),1),Y$4:Y1350)),INDEX(F$4:F1350,MATCH(LARGE(FILTER(K$4:K1350,K$4:K1350&lt;1000000000),1),K$4:K1350)))),AND(K677&lt;1000000000,COUNTA(C677:C1350)&gt;0,P$3=FALSE),
ROUNDDOWN(INDEX(Y$4:Y1350,MATCH(LARGE(FILTER(W$4:W1350,W$4:W1350&lt;=I677),1),W$4:W1350"&amp;"))+(I677-LARGE(FILTER(W$4:W1350,W$4:W1350&lt;=I677),1))*INDEX(T$4:T1350,MATCH(LARGE(FILTER(W$4:W1350,W$4:W1350&lt;=I677),1),W$4:W1350))-K677),1,
ROUNDDOWN(Y677-INDEX(K$4:K1350,MATCH(LARGE(FILTER(I$4:I1350,I$4:I1350&lt;=W677),1),I$4:I1350))-(W677-LARGE(FILTER(I$4:I"&amp;"1350,I$4:I1350&lt;=W677),1))*INDEX(F$4:F1350,MATCH(LARGE(FILTER(I$4:I1350,I$4:I1350&lt;=W677),1),I$4:I1350))))"),"")</f>
        <v/>
      </c>
      <c r="N677" s="60" t="str">
        <f t="shared" si="8"/>
        <v/>
      </c>
      <c r="O677" s="61" t="str">
        <f t="shared" si="9"/>
        <v/>
      </c>
      <c r="P677" s="56" t="str">
        <f t="shared" si="10"/>
        <v/>
      </c>
      <c r="Q677" s="62"/>
      <c r="R677" s="10" t="str">
        <f>IFERROR(__xludf.DUMMYFUNCTION("IF(COUNTA(Q677:Q1350)=0,"""",IF(ISBLANK(Q677),FALSE,IF(NOT(COUNTIF($AA$24:$AA$34,SUBSTITUTE(Q677,""Sell_"",""""))),1,IF(REGEXMATCH(Q677,""Sell_""),IF(COUNTIF(Q$4:Q677,SUBSTITUTE(Q677,""Sell_"",""""))-COUNTIF(Q$4:Q676,Q677)&lt;1,1),FALSE))))"),"")</f>
        <v/>
      </c>
      <c r="S677" s="59" t="str">
        <f t="array" ref="S677">IF(COUNTA(Q677:Q1350)=0,"",SUM((COUNTIF(Q$4:Q677,Upgrades!$B$3:$B$13)-COUNTIF(Q$4:Q677,"Sell_"&amp;Upgrades!$B$3:$B$13))*Upgrades!$D$3:$D$13))</f>
        <v/>
      </c>
      <c r="T677" s="66" t="str">
        <f>IFERROR(__xludf.DUMMYFUNCTION("IF(COUNTA(Q677:Q1350)=0,"""",IF(REGEXMATCH(INDEX(FILTER(Q$4:Q677,Q$4:Q677&lt;&gt;""""),ROWS(FILTER(Q$4:Q677,Q$4:Q677&lt;&gt;""""))),""^Sell_""),INDEX(FILTER(T$4:T676,Q$4:Q676&lt;&gt;""""),ROWS(FILTER(Q$4:Q676,Q$4:Q676&lt;&gt;""""))),$AD$5+S677))"),"")</f>
        <v/>
      </c>
      <c r="U677" s="10" t="str">
        <f>IFERROR(__xludf.DUMMYFUNCTION("IF(COUNTA(Q677:Q1350)=0,"""",IF(Q677="""",0,IF(REGEXMATCH(Q677,""^Sell_""),-ROUNDDOWN(ROUNDUP(INDEX(Upgrades!$C$3:$C$13,MATCH(SUBSTITUTE(Q677,""Sell_"",""""),Upgrades!$B$3:$B$13,0))*1.15^(COUNTIF(Q$4:Q676,SUBSTITUTE(Q677,""Sell_"",""""))-COUNTIF(Q$4:Q676,"&amp;"""Sell_""&amp;SUBSTITUTE(Q677,""Sell_"",""""))))/2),ROUNDUP(INDEX(Upgrades!$C$3:$C$13,MATCH(Q677,Upgrades!$B$3:$B$13,0))*1.15^(COUNTIF(Q$4:Q676,Q677)-COUNTIF(Q$4:Q676,""Sell_""&amp;Q677))))))"),"")</f>
        <v/>
      </c>
      <c r="V677" s="10" t="str">
        <f t="shared" si="11"/>
        <v/>
      </c>
      <c r="W677" s="68" t="str">
        <f t="shared" si="12"/>
        <v/>
      </c>
      <c r="X677" s="59" t="str">
        <f t="shared" si="13"/>
        <v/>
      </c>
      <c r="Y677" s="69" t="str">
        <f t="shared" si="14"/>
        <v/>
      </c>
      <c r="Z677" s="11"/>
    </row>
    <row r="678">
      <c r="A678" s="8"/>
      <c r="B678" s="56" t="str">
        <f t="shared" si="2"/>
        <v/>
      </c>
      <c r="C678" s="57"/>
      <c r="D678" s="10" t="str">
        <f>IFERROR(__xludf.DUMMYFUNCTION("IF(COUNTA(C678:C1350)=0,"""",IF(ISBLANK(C678),FALSE,IF(NOT(COUNTIF($AA$24:$AA$34,SUBSTITUTE(C678,""Sell_"",""""))),1,IF(REGEXMATCH(C678,""Sell_""),IF(COUNTIF(C$4:C678,SUBSTITUTE(C678,""Sell_"",""""))-COUNTIF(C$4:C677,C678)&lt;1,1),FALSE))))"),"")</f>
        <v/>
      </c>
      <c r="E678" s="59" t="str">
        <f t="array" ref="E678">IF(COUNTA(C678:C1350)=0,"",SUM((COUNTIF(C$4:C678,Upgrades!$B$3:$B$13)-COUNTIF(C$4:C678,"Sell_"&amp;Upgrades!$B$3:$B$13))*Upgrades!$D$3:$D$13))</f>
        <v/>
      </c>
      <c r="F678" s="66" t="str">
        <f>IFERROR(__xludf.DUMMYFUNCTION("IF(COUNTA(C678:C1350)=0,"""",IF(REGEXMATCH(INDEX(FILTER(C$4:C678,C$4:C678&lt;&gt;""""),ROWS(FILTER(C$4:C678,C$4:C678&lt;&gt;""""))),""^Sell_""),INDEX(FILTER(F$4:F677,C$4:C677&lt;&gt;""""),ROWS(FILTER(C$4:C677,C$4:C677&lt;&gt;""""))),$AC$5+E678))"),"")</f>
        <v/>
      </c>
      <c r="G678" s="10" t="str">
        <f>IFERROR(__xludf.DUMMYFUNCTION("IF(COUNTA(C678:C1350)=0,"""",IF(C678="""",0,IF(REGEXMATCH(C678,""^Sell_""),-ROUNDDOWN(ROUNDUP(INDEX(Upgrades!$C$3:$C$13,MATCH(SUBSTITUTE(C678,""Sell_"",""""),Upgrades!$B$3:$B$13,0))*1.15^(COUNTIF(C$4:C677,SUBSTITUTE(C678,""Sell_"",""""))-COUNTIF(C$4:C677,"&amp;"""Sell_""&amp;SUBSTITUTE(C678,""Sell_"",""""))))/2),ROUNDUP(INDEX(Upgrades!$C$3:$C$13,MATCH(C678,Upgrades!$B$3:$B$13,0))*1.15^(COUNTIF(C$4:C677,C678)-COUNTIF(C$4:C677,""Sell_""&amp;C678))))))"),"")</f>
        <v/>
      </c>
      <c r="H678" s="10" t="str">
        <f t="shared" si="3"/>
        <v/>
      </c>
      <c r="I678" s="68" t="str">
        <f t="shared" si="4"/>
        <v/>
      </c>
      <c r="J678" s="59" t="str">
        <f t="shared" si="5"/>
        <v/>
      </c>
      <c r="K678" s="69" t="str">
        <f t="shared" si="6"/>
        <v/>
      </c>
      <c r="L678" s="60" t="str">
        <f t="shared" si="7"/>
        <v/>
      </c>
      <c r="M678" s="61" t="str">
        <f>IFERROR(__xludf.DUMMYFUNCTION("IFS(AND(COUNTA(C678:C1350)=0,COUNTA(Q678:Q1350)=0),"""",OR(AND(K678&gt;=1000000000,OR(Y678&gt;=1000000000,COUNTA(Q678:Q1350)=0)),OR(Y678&gt;=1000000000,AND(COUNTA(C678:C1350)=0,P$3=TRUE))),
ROUNDDOWN((AB$1-AC$1)*MAX(INDEX(T$4:T1350,MATCH(LARGE(FILTER(Y$4:Y1350,Y$4"&amp;":Y1350&lt;1000000000),1),Y$4:Y1350)),INDEX(F$4:F1350,MATCH(LARGE(FILTER(K$4:K1350,K$4:K1350&lt;1000000000),1),K$4:K1350)))),AND(K678&lt;1000000000,COUNTA(C678:C1350)&gt;0,P$3=FALSE),
ROUNDDOWN(INDEX(Y$4:Y1350,MATCH(LARGE(FILTER(W$4:W1350,W$4:W1350&lt;=I678),1),W$4:W1350"&amp;"))+(I678-LARGE(FILTER(W$4:W1350,W$4:W1350&lt;=I678),1))*INDEX(T$4:T1350,MATCH(LARGE(FILTER(W$4:W1350,W$4:W1350&lt;=I678),1),W$4:W1350))-K678),1,
ROUNDDOWN(Y678-INDEX(K$4:K1350,MATCH(LARGE(FILTER(I$4:I1350,I$4:I1350&lt;=W678),1),I$4:I1350))-(W678-LARGE(FILTER(I$4:I"&amp;"1350,I$4:I1350&lt;=W678),1))*INDEX(F$4:F1350,MATCH(LARGE(FILTER(I$4:I1350,I$4:I1350&lt;=W678),1),I$4:I1350))))"),"")</f>
        <v/>
      </c>
      <c r="N678" s="60" t="str">
        <f t="shared" si="8"/>
        <v/>
      </c>
      <c r="O678" s="61" t="str">
        <f t="shared" si="9"/>
        <v/>
      </c>
      <c r="P678" s="56" t="str">
        <f t="shared" si="10"/>
        <v/>
      </c>
      <c r="Q678" s="62"/>
      <c r="R678" s="10" t="str">
        <f>IFERROR(__xludf.DUMMYFUNCTION("IF(COUNTA(Q678:Q1350)=0,"""",IF(ISBLANK(Q678),FALSE,IF(NOT(COUNTIF($AA$24:$AA$34,SUBSTITUTE(Q678,""Sell_"",""""))),1,IF(REGEXMATCH(Q678,""Sell_""),IF(COUNTIF(Q$4:Q678,SUBSTITUTE(Q678,""Sell_"",""""))-COUNTIF(Q$4:Q677,Q678)&lt;1,1),FALSE))))"),"")</f>
        <v/>
      </c>
      <c r="S678" s="59" t="str">
        <f t="array" ref="S678">IF(COUNTA(Q678:Q1350)=0,"",SUM((COUNTIF(Q$4:Q678,Upgrades!$B$3:$B$13)-COUNTIF(Q$4:Q678,"Sell_"&amp;Upgrades!$B$3:$B$13))*Upgrades!$D$3:$D$13))</f>
        <v/>
      </c>
      <c r="T678" s="66" t="str">
        <f>IFERROR(__xludf.DUMMYFUNCTION("IF(COUNTA(Q678:Q1350)=0,"""",IF(REGEXMATCH(INDEX(FILTER(Q$4:Q678,Q$4:Q678&lt;&gt;""""),ROWS(FILTER(Q$4:Q678,Q$4:Q678&lt;&gt;""""))),""^Sell_""),INDEX(FILTER(T$4:T677,Q$4:Q677&lt;&gt;""""),ROWS(FILTER(Q$4:Q677,Q$4:Q677&lt;&gt;""""))),$AD$5+S678))"),"")</f>
        <v/>
      </c>
      <c r="U678" s="10" t="str">
        <f>IFERROR(__xludf.DUMMYFUNCTION("IF(COUNTA(Q678:Q1350)=0,"""",IF(Q678="""",0,IF(REGEXMATCH(Q678,""^Sell_""),-ROUNDDOWN(ROUNDUP(INDEX(Upgrades!$C$3:$C$13,MATCH(SUBSTITUTE(Q678,""Sell_"",""""),Upgrades!$B$3:$B$13,0))*1.15^(COUNTIF(Q$4:Q677,SUBSTITUTE(Q678,""Sell_"",""""))-COUNTIF(Q$4:Q677,"&amp;"""Sell_""&amp;SUBSTITUTE(Q678,""Sell_"",""""))))/2),ROUNDUP(INDEX(Upgrades!$C$3:$C$13,MATCH(Q678,Upgrades!$B$3:$B$13,0))*1.15^(COUNTIF(Q$4:Q677,Q678)-COUNTIF(Q$4:Q677,""Sell_""&amp;Q678))))))"),"")</f>
        <v/>
      </c>
      <c r="V678" s="10" t="str">
        <f t="shared" si="11"/>
        <v/>
      </c>
      <c r="W678" s="68" t="str">
        <f t="shared" si="12"/>
        <v/>
      </c>
      <c r="X678" s="59" t="str">
        <f t="shared" si="13"/>
        <v/>
      </c>
      <c r="Y678" s="69" t="str">
        <f t="shared" si="14"/>
        <v/>
      </c>
      <c r="Z678" s="11"/>
    </row>
    <row r="679">
      <c r="A679" s="8"/>
      <c r="B679" s="56" t="str">
        <f t="shared" si="2"/>
        <v/>
      </c>
      <c r="C679" s="57"/>
      <c r="D679" s="10" t="str">
        <f>IFERROR(__xludf.DUMMYFUNCTION("IF(COUNTA(C679:C1350)=0,"""",IF(ISBLANK(C679),FALSE,IF(NOT(COUNTIF($AA$24:$AA$34,SUBSTITUTE(C679,""Sell_"",""""))),1,IF(REGEXMATCH(C679,""Sell_""),IF(COUNTIF(C$4:C679,SUBSTITUTE(C679,""Sell_"",""""))-COUNTIF(C$4:C678,C679)&lt;1,1),FALSE))))"),"")</f>
        <v/>
      </c>
      <c r="E679" s="59" t="str">
        <f t="array" ref="E679">IF(COUNTA(C679:C1350)=0,"",SUM((COUNTIF(C$4:C679,Upgrades!$B$3:$B$13)-COUNTIF(C$4:C679,"Sell_"&amp;Upgrades!$B$3:$B$13))*Upgrades!$D$3:$D$13))</f>
        <v/>
      </c>
      <c r="F679" s="66" t="str">
        <f>IFERROR(__xludf.DUMMYFUNCTION("IF(COUNTA(C679:C1350)=0,"""",IF(REGEXMATCH(INDEX(FILTER(C$4:C679,C$4:C679&lt;&gt;""""),ROWS(FILTER(C$4:C679,C$4:C679&lt;&gt;""""))),""^Sell_""),INDEX(FILTER(F$4:F678,C$4:C678&lt;&gt;""""),ROWS(FILTER(C$4:C678,C$4:C678&lt;&gt;""""))),$AC$5+E679))"),"")</f>
        <v/>
      </c>
      <c r="G679" s="10" t="str">
        <f>IFERROR(__xludf.DUMMYFUNCTION("IF(COUNTA(C679:C1350)=0,"""",IF(C679="""",0,IF(REGEXMATCH(C679,""^Sell_""),-ROUNDDOWN(ROUNDUP(INDEX(Upgrades!$C$3:$C$13,MATCH(SUBSTITUTE(C679,""Sell_"",""""),Upgrades!$B$3:$B$13,0))*1.15^(COUNTIF(C$4:C678,SUBSTITUTE(C679,""Sell_"",""""))-COUNTIF(C$4:C678,"&amp;"""Sell_""&amp;SUBSTITUTE(C679,""Sell_"",""""))))/2),ROUNDUP(INDEX(Upgrades!$C$3:$C$13,MATCH(C679,Upgrades!$B$3:$B$13,0))*1.15^(COUNTIF(C$4:C678,C679)-COUNTIF(C$4:C678,""Sell_""&amp;C679))))))"),"")</f>
        <v/>
      </c>
      <c r="H679" s="10" t="str">
        <f t="shared" si="3"/>
        <v/>
      </c>
      <c r="I679" s="68" t="str">
        <f t="shared" si="4"/>
        <v/>
      </c>
      <c r="J679" s="59" t="str">
        <f t="shared" si="5"/>
        <v/>
      </c>
      <c r="K679" s="69" t="str">
        <f t="shared" si="6"/>
        <v/>
      </c>
      <c r="L679" s="60" t="str">
        <f t="shared" si="7"/>
        <v/>
      </c>
      <c r="M679" s="61" t="str">
        <f>IFERROR(__xludf.DUMMYFUNCTION("IFS(AND(COUNTA(C679:C1350)=0,COUNTA(Q679:Q1350)=0),"""",OR(AND(K679&gt;=1000000000,OR(Y679&gt;=1000000000,COUNTA(Q679:Q1350)=0)),OR(Y679&gt;=1000000000,AND(COUNTA(C679:C1350)=0,P$3=TRUE))),
ROUNDDOWN((AB$1-AC$1)*MAX(INDEX(T$4:T1350,MATCH(LARGE(FILTER(Y$4:Y1350,Y$4"&amp;":Y1350&lt;1000000000),1),Y$4:Y1350)),INDEX(F$4:F1350,MATCH(LARGE(FILTER(K$4:K1350,K$4:K1350&lt;1000000000),1),K$4:K1350)))),AND(K679&lt;1000000000,COUNTA(C679:C1350)&gt;0,P$3=FALSE),
ROUNDDOWN(INDEX(Y$4:Y1350,MATCH(LARGE(FILTER(W$4:W1350,W$4:W1350&lt;=I679),1),W$4:W1350"&amp;"))+(I679-LARGE(FILTER(W$4:W1350,W$4:W1350&lt;=I679),1))*INDEX(T$4:T1350,MATCH(LARGE(FILTER(W$4:W1350,W$4:W1350&lt;=I679),1),W$4:W1350))-K679),1,
ROUNDDOWN(Y679-INDEX(K$4:K1350,MATCH(LARGE(FILTER(I$4:I1350,I$4:I1350&lt;=W679),1),I$4:I1350))-(W679-LARGE(FILTER(I$4:I"&amp;"1350,I$4:I1350&lt;=W679),1))*INDEX(F$4:F1350,MATCH(LARGE(FILTER(I$4:I1350,I$4:I1350&lt;=W679),1),I$4:I1350))))"),"")</f>
        <v/>
      </c>
      <c r="N679" s="60" t="str">
        <f t="shared" si="8"/>
        <v/>
      </c>
      <c r="O679" s="61" t="str">
        <f t="shared" si="9"/>
        <v/>
      </c>
      <c r="P679" s="56" t="str">
        <f t="shared" si="10"/>
        <v/>
      </c>
      <c r="Q679" s="62"/>
      <c r="R679" s="10" t="str">
        <f>IFERROR(__xludf.DUMMYFUNCTION("IF(COUNTA(Q679:Q1350)=0,"""",IF(ISBLANK(Q679),FALSE,IF(NOT(COUNTIF($AA$24:$AA$34,SUBSTITUTE(Q679,""Sell_"",""""))),1,IF(REGEXMATCH(Q679,""Sell_""),IF(COUNTIF(Q$4:Q679,SUBSTITUTE(Q679,""Sell_"",""""))-COUNTIF(Q$4:Q678,Q679)&lt;1,1),FALSE))))"),"")</f>
        <v/>
      </c>
      <c r="S679" s="59" t="str">
        <f t="array" ref="S679">IF(COUNTA(Q679:Q1350)=0,"",SUM((COUNTIF(Q$4:Q679,Upgrades!$B$3:$B$13)-COUNTIF(Q$4:Q679,"Sell_"&amp;Upgrades!$B$3:$B$13))*Upgrades!$D$3:$D$13))</f>
        <v/>
      </c>
      <c r="T679" s="66" t="str">
        <f>IFERROR(__xludf.DUMMYFUNCTION("IF(COUNTA(Q679:Q1350)=0,"""",IF(REGEXMATCH(INDEX(FILTER(Q$4:Q679,Q$4:Q679&lt;&gt;""""),ROWS(FILTER(Q$4:Q679,Q$4:Q679&lt;&gt;""""))),""^Sell_""),INDEX(FILTER(T$4:T678,Q$4:Q678&lt;&gt;""""),ROWS(FILTER(Q$4:Q678,Q$4:Q678&lt;&gt;""""))),$AD$5+S679))"),"")</f>
        <v/>
      </c>
      <c r="U679" s="10" t="str">
        <f>IFERROR(__xludf.DUMMYFUNCTION("IF(COUNTA(Q679:Q1350)=0,"""",IF(Q679="""",0,IF(REGEXMATCH(Q679,""^Sell_""),-ROUNDDOWN(ROUNDUP(INDEX(Upgrades!$C$3:$C$13,MATCH(SUBSTITUTE(Q679,""Sell_"",""""),Upgrades!$B$3:$B$13,0))*1.15^(COUNTIF(Q$4:Q678,SUBSTITUTE(Q679,""Sell_"",""""))-COUNTIF(Q$4:Q678,"&amp;"""Sell_""&amp;SUBSTITUTE(Q679,""Sell_"",""""))))/2),ROUNDUP(INDEX(Upgrades!$C$3:$C$13,MATCH(Q679,Upgrades!$B$3:$B$13,0))*1.15^(COUNTIF(Q$4:Q678,Q679)-COUNTIF(Q$4:Q678,""Sell_""&amp;Q679))))))"),"")</f>
        <v/>
      </c>
      <c r="V679" s="10" t="str">
        <f t="shared" si="11"/>
        <v/>
      </c>
      <c r="W679" s="68" t="str">
        <f t="shared" si="12"/>
        <v/>
      </c>
      <c r="X679" s="59" t="str">
        <f t="shared" si="13"/>
        <v/>
      </c>
      <c r="Y679" s="69" t="str">
        <f t="shared" si="14"/>
        <v/>
      </c>
      <c r="Z679" s="11"/>
    </row>
    <row r="680">
      <c r="A680" s="8"/>
      <c r="B680" s="56" t="str">
        <f t="shared" si="2"/>
        <v/>
      </c>
      <c r="C680" s="57"/>
      <c r="D680" s="10" t="str">
        <f>IFERROR(__xludf.DUMMYFUNCTION("IF(COUNTA(C680:C1350)=0,"""",IF(ISBLANK(C680),FALSE,IF(NOT(COUNTIF($AA$24:$AA$34,SUBSTITUTE(C680,""Sell_"",""""))),1,IF(REGEXMATCH(C680,""Sell_""),IF(COUNTIF(C$4:C680,SUBSTITUTE(C680,""Sell_"",""""))-COUNTIF(C$4:C679,C680)&lt;1,1),FALSE))))"),"")</f>
        <v/>
      </c>
      <c r="E680" s="59" t="str">
        <f t="array" ref="E680">IF(COUNTA(C680:C1350)=0,"",SUM((COUNTIF(C$4:C680,Upgrades!$B$3:$B$13)-COUNTIF(C$4:C680,"Sell_"&amp;Upgrades!$B$3:$B$13))*Upgrades!$D$3:$D$13))</f>
        <v/>
      </c>
      <c r="F680" s="66" t="str">
        <f>IFERROR(__xludf.DUMMYFUNCTION("IF(COUNTA(C680:C1350)=0,"""",IF(REGEXMATCH(INDEX(FILTER(C$4:C680,C$4:C680&lt;&gt;""""),ROWS(FILTER(C$4:C680,C$4:C680&lt;&gt;""""))),""^Sell_""),INDEX(FILTER(F$4:F679,C$4:C679&lt;&gt;""""),ROWS(FILTER(C$4:C679,C$4:C679&lt;&gt;""""))),$AC$5+E680))"),"")</f>
        <v/>
      </c>
      <c r="G680" s="10" t="str">
        <f>IFERROR(__xludf.DUMMYFUNCTION("IF(COUNTA(C680:C1350)=0,"""",IF(C680="""",0,IF(REGEXMATCH(C680,""^Sell_""),-ROUNDDOWN(ROUNDUP(INDEX(Upgrades!$C$3:$C$13,MATCH(SUBSTITUTE(C680,""Sell_"",""""),Upgrades!$B$3:$B$13,0))*1.15^(COUNTIF(C$4:C679,SUBSTITUTE(C680,""Sell_"",""""))-COUNTIF(C$4:C679,"&amp;"""Sell_""&amp;SUBSTITUTE(C680,""Sell_"",""""))))/2),ROUNDUP(INDEX(Upgrades!$C$3:$C$13,MATCH(C680,Upgrades!$B$3:$B$13,0))*1.15^(COUNTIF(C$4:C679,C680)-COUNTIF(C$4:C679,""Sell_""&amp;C680))))))"),"")</f>
        <v/>
      </c>
      <c r="H680" s="10" t="str">
        <f t="shared" si="3"/>
        <v/>
      </c>
      <c r="I680" s="68" t="str">
        <f t="shared" si="4"/>
        <v/>
      </c>
      <c r="J680" s="59" t="str">
        <f t="shared" si="5"/>
        <v/>
      </c>
      <c r="K680" s="69" t="str">
        <f t="shared" si="6"/>
        <v/>
      </c>
      <c r="L680" s="60" t="str">
        <f t="shared" si="7"/>
        <v/>
      </c>
      <c r="M680" s="61" t="str">
        <f>IFERROR(__xludf.DUMMYFUNCTION("IFS(AND(COUNTA(C680:C1350)=0,COUNTA(Q680:Q1350)=0),"""",OR(AND(K680&gt;=1000000000,OR(Y680&gt;=1000000000,COUNTA(Q680:Q1350)=0)),OR(Y680&gt;=1000000000,AND(COUNTA(C680:C1350)=0,P$3=TRUE))),
ROUNDDOWN((AB$1-AC$1)*MAX(INDEX(T$4:T1350,MATCH(LARGE(FILTER(Y$4:Y1350,Y$4"&amp;":Y1350&lt;1000000000),1),Y$4:Y1350)),INDEX(F$4:F1350,MATCH(LARGE(FILTER(K$4:K1350,K$4:K1350&lt;1000000000),1),K$4:K1350)))),AND(K680&lt;1000000000,COUNTA(C680:C1350)&gt;0,P$3=FALSE),
ROUNDDOWN(INDEX(Y$4:Y1350,MATCH(LARGE(FILTER(W$4:W1350,W$4:W1350&lt;=I680),1),W$4:W1350"&amp;"))+(I680-LARGE(FILTER(W$4:W1350,W$4:W1350&lt;=I680),1))*INDEX(T$4:T1350,MATCH(LARGE(FILTER(W$4:W1350,W$4:W1350&lt;=I680),1),W$4:W1350))-K680),1,
ROUNDDOWN(Y680-INDEX(K$4:K1350,MATCH(LARGE(FILTER(I$4:I1350,I$4:I1350&lt;=W680),1),I$4:I1350))-(W680-LARGE(FILTER(I$4:I"&amp;"1350,I$4:I1350&lt;=W680),1))*INDEX(F$4:F1350,MATCH(LARGE(FILTER(I$4:I1350,I$4:I1350&lt;=W680),1),I$4:I1350))))"),"")</f>
        <v/>
      </c>
      <c r="N680" s="60" t="str">
        <f t="shared" si="8"/>
        <v/>
      </c>
      <c r="O680" s="61" t="str">
        <f t="shared" si="9"/>
        <v/>
      </c>
      <c r="P680" s="56" t="str">
        <f t="shared" si="10"/>
        <v/>
      </c>
      <c r="Q680" s="62"/>
      <c r="R680" s="10" t="str">
        <f>IFERROR(__xludf.DUMMYFUNCTION("IF(COUNTA(Q680:Q1350)=0,"""",IF(ISBLANK(Q680),FALSE,IF(NOT(COUNTIF($AA$24:$AA$34,SUBSTITUTE(Q680,""Sell_"",""""))),1,IF(REGEXMATCH(Q680,""Sell_""),IF(COUNTIF(Q$4:Q680,SUBSTITUTE(Q680,""Sell_"",""""))-COUNTIF(Q$4:Q679,Q680)&lt;1,1),FALSE))))"),"")</f>
        <v/>
      </c>
      <c r="S680" s="59" t="str">
        <f t="array" ref="S680">IF(COUNTA(Q680:Q1350)=0,"",SUM((COUNTIF(Q$4:Q680,Upgrades!$B$3:$B$13)-COUNTIF(Q$4:Q680,"Sell_"&amp;Upgrades!$B$3:$B$13))*Upgrades!$D$3:$D$13))</f>
        <v/>
      </c>
      <c r="T680" s="66" t="str">
        <f>IFERROR(__xludf.DUMMYFUNCTION("IF(COUNTA(Q680:Q1350)=0,"""",IF(REGEXMATCH(INDEX(FILTER(Q$4:Q680,Q$4:Q680&lt;&gt;""""),ROWS(FILTER(Q$4:Q680,Q$4:Q680&lt;&gt;""""))),""^Sell_""),INDEX(FILTER(T$4:T679,Q$4:Q679&lt;&gt;""""),ROWS(FILTER(Q$4:Q679,Q$4:Q679&lt;&gt;""""))),$AD$5+S680))"),"")</f>
        <v/>
      </c>
      <c r="U680" s="10" t="str">
        <f>IFERROR(__xludf.DUMMYFUNCTION("IF(COUNTA(Q680:Q1350)=0,"""",IF(Q680="""",0,IF(REGEXMATCH(Q680,""^Sell_""),-ROUNDDOWN(ROUNDUP(INDEX(Upgrades!$C$3:$C$13,MATCH(SUBSTITUTE(Q680,""Sell_"",""""),Upgrades!$B$3:$B$13,0))*1.15^(COUNTIF(Q$4:Q679,SUBSTITUTE(Q680,""Sell_"",""""))-COUNTIF(Q$4:Q679,"&amp;"""Sell_""&amp;SUBSTITUTE(Q680,""Sell_"",""""))))/2),ROUNDUP(INDEX(Upgrades!$C$3:$C$13,MATCH(Q680,Upgrades!$B$3:$B$13,0))*1.15^(COUNTIF(Q$4:Q679,Q680)-COUNTIF(Q$4:Q679,""Sell_""&amp;Q680))))))"),"")</f>
        <v/>
      </c>
      <c r="V680" s="10" t="str">
        <f t="shared" si="11"/>
        <v/>
      </c>
      <c r="W680" s="68" t="str">
        <f t="shared" si="12"/>
        <v/>
      </c>
      <c r="X680" s="59" t="str">
        <f t="shared" si="13"/>
        <v/>
      </c>
      <c r="Y680" s="69" t="str">
        <f t="shared" si="14"/>
        <v/>
      </c>
      <c r="Z680" s="11"/>
    </row>
    <row r="681">
      <c r="A681" s="8"/>
      <c r="B681" s="56" t="str">
        <f t="shared" si="2"/>
        <v/>
      </c>
      <c r="C681" s="57"/>
      <c r="D681" s="10" t="str">
        <f>IFERROR(__xludf.DUMMYFUNCTION("IF(COUNTA(C681:C1350)=0,"""",IF(ISBLANK(C681),FALSE,IF(NOT(COUNTIF($AA$24:$AA$34,SUBSTITUTE(C681,""Sell_"",""""))),1,IF(REGEXMATCH(C681,""Sell_""),IF(COUNTIF(C$4:C681,SUBSTITUTE(C681,""Sell_"",""""))-COUNTIF(C$4:C680,C681)&lt;1,1),FALSE))))"),"")</f>
        <v/>
      </c>
      <c r="E681" s="59" t="str">
        <f t="array" ref="E681">IF(COUNTA(C681:C1350)=0,"",SUM((COUNTIF(C$4:C681,Upgrades!$B$3:$B$13)-COUNTIF(C$4:C681,"Sell_"&amp;Upgrades!$B$3:$B$13))*Upgrades!$D$3:$D$13))</f>
        <v/>
      </c>
      <c r="F681" s="66" t="str">
        <f>IFERROR(__xludf.DUMMYFUNCTION("IF(COUNTA(C681:C1350)=0,"""",IF(REGEXMATCH(INDEX(FILTER(C$4:C681,C$4:C681&lt;&gt;""""),ROWS(FILTER(C$4:C681,C$4:C681&lt;&gt;""""))),""^Sell_""),INDEX(FILTER(F$4:F680,C$4:C680&lt;&gt;""""),ROWS(FILTER(C$4:C680,C$4:C680&lt;&gt;""""))),$AC$5+E681))"),"")</f>
        <v/>
      </c>
      <c r="G681" s="10" t="str">
        <f>IFERROR(__xludf.DUMMYFUNCTION("IF(COUNTA(C681:C1350)=0,"""",IF(C681="""",0,IF(REGEXMATCH(C681,""^Sell_""),-ROUNDDOWN(ROUNDUP(INDEX(Upgrades!$C$3:$C$13,MATCH(SUBSTITUTE(C681,""Sell_"",""""),Upgrades!$B$3:$B$13,0))*1.15^(COUNTIF(C$4:C680,SUBSTITUTE(C681,""Sell_"",""""))-COUNTIF(C$4:C680,"&amp;"""Sell_""&amp;SUBSTITUTE(C681,""Sell_"",""""))))/2),ROUNDUP(INDEX(Upgrades!$C$3:$C$13,MATCH(C681,Upgrades!$B$3:$B$13,0))*1.15^(COUNTIF(C$4:C680,C681)-COUNTIF(C$4:C680,""Sell_""&amp;C681))))))"),"")</f>
        <v/>
      </c>
      <c r="H681" s="10" t="str">
        <f t="shared" si="3"/>
        <v/>
      </c>
      <c r="I681" s="68" t="str">
        <f t="shared" si="4"/>
        <v/>
      </c>
      <c r="J681" s="59" t="str">
        <f t="shared" si="5"/>
        <v/>
      </c>
      <c r="K681" s="69" t="str">
        <f t="shared" si="6"/>
        <v/>
      </c>
      <c r="L681" s="60" t="str">
        <f t="shared" si="7"/>
        <v/>
      </c>
      <c r="M681" s="61" t="str">
        <f>IFERROR(__xludf.DUMMYFUNCTION("IFS(AND(COUNTA(C681:C1350)=0,COUNTA(Q681:Q1350)=0),"""",OR(AND(K681&gt;=1000000000,OR(Y681&gt;=1000000000,COUNTA(Q681:Q1350)=0)),OR(Y681&gt;=1000000000,AND(COUNTA(C681:C1350)=0,P$3=TRUE))),
ROUNDDOWN((AB$1-AC$1)*MAX(INDEX(T$4:T1350,MATCH(LARGE(FILTER(Y$4:Y1350,Y$4"&amp;":Y1350&lt;1000000000),1),Y$4:Y1350)),INDEX(F$4:F1350,MATCH(LARGE(FILTER(K$4:K1350,K$4:K1350&lt;1000000000),1),K$4:K1350)))),AND(K681&lt;1000000000,COUNTA(C681:C1350)&gt;0,P$3=FALSE),
ROUNDDOWN(INDEX(Y$4:Y1350,MATCH(LARGE(FILTER(W$4:W1350,W$4:W1350&lt;=I681),1),W$4:W1350"&amp;"))+(I681-LARGE(FILTER(W$4:W1350,W$4:W1350&lt;=I681),1))*INDEX(T$4:T1350,MATCH(LARGE(FILTER(W$4:W1350,W$4:W1350&lt;=I681),1),W$4:W1350))-K681),1,
ROUNDDOWN(Y681-INDEX(K$4:K1350,MATCH(LARGE(FILTER(I$4:I1350,I$4:I1350&lt;=W681),1),I$4:I1350))-(W681-LARGE(FILTER(I$4:I"&amp;"1350,I$4:I1350&lt;=W681),1))*INDEX(F$4:F1350,MATCH(LARGE(FILTER(I$4:I1350,I$4:I1350&lt;=W681),1),I$4:I1350))))"),"")</f>
        <v/>
      </c>
      <c r="N681" s="60" t="str">
        <f t="shared" si="8"/>
        <v/>
      </c>
      <c r="O681" s="61" t="str">
        <f t="shared" si="9"/>
        <v/>
      </c>
      <c r="P681" s="56" t="str">
        <f t="shared" si="10"/>
        <v/>
      </c>
      <c r="Q681" s="62"/>
      <c r="R681" s="10" t="str">
        <f>IFERROR(__xludf.DUMMYFUNCTION("IF(COUNTA(Q681:Q1350)=0,"""",IF(ISBLANK(Q681),FALSE,IF(NOT(COUNTIF($AA$24:$AA$34,SUBSTITUTE(Q681,""Sell_"",""""))),1,IF(REGEXMATCH(Q681,""Sell_""),IF(COUNTIF(Q$4:Q681,SUBSTITUTE(Q681,""Sell_"",""""))-COUNTIF(Q$4:Q680,Q681)&lt;1,1),FALSE))))"),"")</f>
        <v/>
      </c>
      <c r="S681" s="59" t="str">
        <f t="array" ref="S681">IF(COUNTA(Q681:Q1350)=0,"",SUM((COUNTIF(Q$4:Q681,Upgrades!$B$3:$B$13)-COUNTIF(Q$4:Q681,"Sell_"&amp;Upgrades!$B$3:$B$13))*Upgrades!$D$3:$D$13))</f>
        <v/>
      </c>
      <c r="T681" s="66" t="str">
        <f>IFERROR(__xludf.DUMMYFUNCTION("IF(COUNTA(Q681:Q1350)=0,"""",IF(REGEXMATCH(INDEX(FILTER(Q$4:Q681,Q$4:Q681&lt;&gt;""""),ROWS(FILTER(Q$4:Q681,Q$4:Q681&lt;&gt;""""))),""^Sell_""),INDEX(FILTER(T$4:T680,Q$4:Q680&lt;&gt;""""),ROWS(FILTER(Q$4:Q680,Q$4:Q680&lt;&gt;""""))),$AD$5+S681))"),"")</f>
        <v/>
      </c>
      <c r="U681" s="10" t="str">
        <f>IFERROR(__xludf.DUMMYFUNCTION("IF(COUNTA(Q681:Q1350)=0,"""",IF(Q681="""",0,IF(REGEXMATCH(Q681,""^Sell_""),-ROUNDDOWN(ROUNDUP(INDEX(Upgrades!$C$3:$C$13,MATCH(SUBSTITUTE(Q681,""Sell_"",""""),Upgrades!$B$3:$B$13,0))*1.15^(COUNTIF(Q$4:Q680,SUBSTITUTE(Q681,""Sell_"",""""))-COUNTIF(Q$4:Q680,"&amp;"""Sell_""&amp;SUBSTITUTE(Q681,""Sell_"",""""))))/2),ROUNDUP(INDEX(Upgrades!$C$3:$C$13,MATCH(Q681,Upgrades!$B$3:$B$13,0))*1.15^(COUNTIF(Q$4:Q680,Q681)-COUNTIF(Q$4:Q680,""Sell_""&amp;Q681))))))"),"")</f>
        <v/>
      </c>
      <c r="V681" s="10" t="str">
        <f t="shared" si="11"/>
        <v/>
      </c>
      <c r="W681" s="68" t="str">
        <f t="shared" si="12"/>
        <v/>
      </c>
      <c r="X681" s="59" t="str">
        <f t="shared" si="13"/>
        <v/>
      </c>
      <c r="Y681" s="69" t="str">
        <f t="shared" si="14"/>
        <v/>
      </c>
      <c r="Z681" s="11"/>
    </row>
    <row r="682">
      <c r="A682" s="8"/>
      <c r="B682" s="56" t="str">
        <f t="shared" si="2"/>
        <v/>
      </c>
      <c r="C682" s="57"/>
      <c r="D682" s="10" t="str">
        <f>IFERROR(__xludf.DUMMYFUNCTION("IF(COUNTA(C682:C1350)=0,"""",IF(ISBLANK(C682),FALSE,IF(NOT(COUNTIF($AA$24:$AA$34,SUBSTITUTE(C682,""Sell_"",""""))),1,IF(REGEXMATCH(C682,""Sell_""),IF(COUNTIF(C$4:C682,SUBSTITUTE(C682,""Sell_"",""""))-COUNTIF(C$4:C681,C682)&lt;1,1),FALSE))))"),"")</f>
        <v/>
      </c>
      <c r="E682" s="59" t="str">
        <f t="array" ref="E682">IF(COUNTA(C682:C1350)=0,"",SUM((COUNTIF(C$4:C682,Upgrades!$B$3:$B$13)-COUNTIF(C$4:C682,"Sell_"&amp;Upgrades!$B$3:$B$13))*Upgrades!$D$3:$D$13))</f>
        <v/>
      </c>
      <c r="F682" s="66" t="str">
        <f>IFERROR(__xludf.DUMMYFUNCTION("IF(COUNTA(C682:C1350)=0,"""",IF(REGEXMATCH(INDEX(FILTER(C$4:C682,C$4:C682&lt;&gt;""""),ROWS(FILTER(C$4:C682,C$4:C682&lt;&gt;""""))),""^Sell_""),INDEX(FILTER(F$4:F681,C$4:C681&lt;&gt;""""),ROWS(FILTER(C$4:C681,C$4:C681&lt;&gt;""""))),$AC$5+E682))"),"")</f>
        <v/>
      </c>
      <c r="G682" s="10" t="str">
        <f>IFERROR(__xludf.DUMMYFUNCTION("IF(COUNTA(C682:C1350)=0,"""",IF(C682="""",0,IF(REGEXMATCH(C682,""^Sell_""),-ROUNDDOWN(ROUNDUP(INDEX(Upgrades!$C$3:$C$13,MATCH(SUBSTITUTE(C682,""Sell_"",""""),Upgrades!$B$3:$B$13,0))*1.15^(COUNTIF(C$4:C681,SUBSTITUTE(C682,""Sell_"",""""))-COUNTIF(C$4:C681,"&amp;"""Sell_""&amp;SUBSTITUTE(C682,""Sell_"",""""))))/2),ROUNDUP(INDEX(Upgrades!$C$3:$C$13,MATCH(C682,Upgrades!$B$3:$B$13,0))*1.15^(COUNTIF(C$4:C681,C682)-COUNTIF(C$4:C681,""Sell_""&amp;C682))))))"),"")</f>
        <v/>
      </c>
      <c r="H682" s="10" t="str">
        <f t="shared" si="3"/>
        <v/>
      </c>
      <c r="I682" s="68" t="str">
        <f t="shared" si="4"/>
        <v/>
      </c>
      <c r="J682" s="59" t="str">
        <f t="shared" si="5"/>
        <v/>
      </c>
      <c r="K682" s="69" t="str">
        <f t="shared" si="6"/>
        <v/>
      </c>
      <c r="L682" s="60" t="str">
        <f t="shared" si="7"/>
        <v/>
      </c>
      <c r="M682" s="61" t="str">
        <f>IFERROR(__xludf.DUMMYFUNCTION("IFS(AND(COUNTA(C682:C1350)=0,COUNTA(Q682:Q1350)=0),"""",OR(AND(K682&gt;=1000000000,OR(Y682&gt;=1000000000,COUNTA(Q682:Q1350)=0)),OR(Y682&gt;=1000000000,AND(COUNTA(C682:C1350)=0,P$3=TRUE))),
ROUNDDOWN((AB$1-AC$1)*MAX(INDEX(T$4:T1350,MATCH(LARGE(FILTER(Y$4:Y1350,Y$4"&amp;":Y1350&lt;1000000000),1),Y$4:Y1350)),INDEX(F$4:F1350,MATCH(LARGE(FILTER(K$4:K1350,K$4:K1350&lt;1000000000),1),K$4:K1350)))),AND(K682&lt;1000000000,COUNTA(C682:C1350)&gt;0,P$3=FALSE),
ROUNDDOWN(INDEX(Y$4:Y1350,MATCH(LARGE(FILTER(W$4:W1350,W$4:W1350&lt;=I682),1),W$4:W1350"&amp;"))+(I682-LARGE(FILTER(W$4:W1350,W$4:W1350&lt;=I682),1))*INDEX(T$4:T1350,MATCH(LARGE(FILTER(W$4:W1350,W$4:W1350&lt;=I682),1),W$4:W1350))-K682),1,
ROUNDDOWN(Y682-INDEX(K$4:K1350,MATCH(LARGE(FILTER(I$4:I1350,I$4:I1350&lt;=W682),1),I$4:I1350))-(W682-LARGE(FILTER(I$4:I"&amp;"1350,I$4:I1350&lt;=W682),1))*INDEX(F$4:F1350,MATCH(LARGE(FILTER(I$4:I1350,I$4:I1350&lt;=W682),1),I$4:I1350))))"),"")</f>
        <v/>
      </c>
      <c r="N682" s="60" t="str">
        <f t="shared" si="8"/>
        <v/>
      </c>
      <c r="O682" s="61" t="str">
        <f t="shared" si="9"/>
        <v/>
      </c>
      <c r="P682" s="56" t="str">
        <f t="shared" si="10"/>
        <v/>
      </c>
      <c r="Q682" s="62"/>
      <c r="R682" s="10" t="str">
        <f>IFERROR(__xludf.DUMMYFUNCTION("IF(COUNTA(Q682:Q1350)=0,"""",IF(ISBLANK(Q682),FALSE,IF(NOT(COUNTIF($AA$24:$AA$34,SUBSTITUTE(Q682,""Sell_"",""""))),1,IF(REGEXMATCH(Q682,""Sell_""),IF(COUNTIF(Q$4:Q682,SUBSTITUTE(Q682,""Sell_"",""""))-COUNTIF(Q$4:Q681,Q682)&lt;1,1),FALSE))))"),"")</f>
        <v/>
      </c>
      <c r="S682" s="59" t="str">
        <f t="array" ref="S682">IF(COUNTA(Q682:Q1350)=0,"",SUM((COUNTIF(Q$4:Q682,Upgrades!$B$3:$B$13)-COUNTIF(Q$4:Q682,"Sell_"&amp;Upgrades!$B$3:$B$13))*Upgrades!$D$3:$D$13))</f>
        <v/>
      </c>
      <c r="T682" s="66" t="str">
        <f>IFERROR(__xludf.DUMMYFUNCTION("IF(COUNTA(Q682:Q1350)=0,"""",IF(REGEXMATCH(INDEX(FILTER(Q$4:Q682,Q$4:Q682&lt;&gt;""""),ROWS(FILTER(Q$4:Q682,Q$4:Q682&lt;&gt;""""))),""^Sell_""),INDEX(FILTER(T$4:T681,Q$4:Q681&lt;&gt;""""),ROWS(FILTER(Q$4:Q681,Q$4:Q681&lt;&gt;""""))),$AD$5+S682))"),"")</f>
        <v/>
      </c>
      <c r="U682" s="10" t="str">
        <f>IFERROR(__xludf.DUMMYFUNCTION("IF(COUNTA(Q682:Q1350)=0,"""",IF(Q682="""",0,IF(REGEXMATCH(Q682,""^Sell_""),-ROUNDDOWN(ROUNDUP(INDEX(Upgrades!$C$3:$C$13,MATCH(SUBSTITUTE(Q682,""Sell_"",""""),Upgrades!$B$3:$B$13,0))*1.15^(COUNTIF(Q$4:Q681,SUBSTITUTE(Q682,""Sell_"",""""))-COUNTIF(Q$4:Q681,"&amp;"""Sell_""&amp;SUBSTITUTE(Q682,""Sell_"",""""))))/2),ROUNDUP(INDEX(Upgrades!$C$3:$C$13,MATCH(Q682,Upgrades!$B$3:$B$13,0))*1.15^(COUNTIF(Q$4:Q681,Q682)-COUNTIF(Q$4:Q681,""Sell_""&amp;Q682))))))"),"")</f>
        <v/>
      </c>
      <c r="V682" s="10" t="str">
        <f t="shared" si="11"/>
        <v/>
      </c>
      <c r="W682" s="68" t="str">
        <f t="shared" si="12"/>
        <v/>
      </c>
      <c r="X682" s="59" t="str">
        <f t="shared" si="13"/>
        <v/>
      </c>
      <c r="Y682" s="69" t="str">
        <f t="shared" si="14"/>
        <v/>
      </c>
      <c r="Z682" s="11"/>
    </row>
    <row r="683">
      <c r="A683" s="8"/>
      <c r="B683" s="56" t="str">
        <f t="shared" si="2"/>
        <v/>
      </c>
      <c r="C683" s="57"/>
      <c r="D683" s="10" t="str">
        <f>IFERROR(__xludf.DUMMYFUNCTION("IF(COUNTA(C683:C1350)=0,"""",IF(ISBLANK(C683),FALSE,IF(NOT(COUNTIF($AA$24:$AA$34,SUBSTITUTE(C683,""Sell_"",""""))),1,IF(REGEXMATCH(C683,""Sell_""),IF(COUNTIF(C$4:C683,SUBSTITUTE(C683,""Sell_"",""""))-COUNTIF(C$4:C682,C683)&lt;1,1),FALSE))))"),"")</f>
        <v/>
      </c>
      <c r="E683" s="59" t="str">
        <f t="array" ref="E683">IF(COUNTA(C683:C1350)=0,"",SUM((COUNTIF(C$4:C683,Upgrades!$B$3:$B$13)-COUNTIF(C$4:C683,"Sell_"&amp;Upgrades!$B$3:$B$13))*Upgrades!$D$3:$D$13))</f>
        <v/>
      </c>
      <c r="F683" s="66" t="str">
        <f>IFERROR(__xludf.DUMMYFUNCTION("IF(COUNTA(C683:C1350)=0,"""",IF(REGEXMATCH(INDEX(FILTER(C$4:C683,C$4:C683&lt;&gt;""""),ROWS(FILTER(C$4:C683,C$4:C683&lt;&gt;""""))),""^Sell_""),INDEX(FILTER(F$4:F682,C$4:C682&lt;&gt;""""),ROWS(FILTER(C$4:C682,C$4:C682&lt;&gt;""""))),$AC$5+E683))"),"")</f>
        <v/>
      </c>
      <c r="G683" s="10" t="str">
        <f>IFERROR(__xludf.DUMMYFUNCTION("IF(COUNTA(C683:C1350)=0,"""",IF(C683="""",0,IF(REGEXMATCH(C683,""^Sell_""),-ROUNDDOWN(ROUNDUP(INDEX(Upgrades!$C$3:$C$13,MATCH(SUBSTITUTE(C683,""Sell_"",""""),Upgrades!$B$3:$B$13,0))*1.15^(COUNTIF(C$4:C682,SUBSTITUTE(C683,""Sell_"",""""))-COUNTIF(C$4:C682,"&amp;"""Sell_""&amp;SUBSTITUTE(C683,""Sell_"",""""))))/2),ROUNDUP(INDEX(Upgrades!$C$3:$C$13,MATCH(C683,Upgrades!$B$3:$B$13,0))*1.15^(COUNTIF(C$4:C682,C683)-COUNTIF(C$4:C682,""Sell_""&amp;C683))))))"),"")</f>
        <v/>
      </c>
      <c r="H683" s="10" t="str">
        <f t="shared" si="3"/>
        <v/>
      </c>
      <c r="I683" s="68" t="str">
        <f t="shared" si="4"/>
        <v/>
      </c>
      <c r="J683" s="59" t="str">
        <f t="shared" si="5"/>
        <v/>
      </c>
      <c r="K683" s="69" t="str">
        <f t="shared" si="6"/>
        <v/>
      </c>
      <c r="L683" s="60" t="str">
        <f t="shared" si="7"/>
        <v/>
      </c>
      <c r="M683" s="61" t="str">
        <f>IFERROR(__xludf.DUMMYFUNCTION("IFS(AND(COUNTA(C683:C1350)=0,COUNTA(Q683:Q1350)=0),"""",OR(AND(K683&gt;=1000000000,OR(Y683&gt;=1000000000,COUNTA(Q683:Q1350)=0)),OR(Y683&gt;=1000000000,AND(COUNTA(C683:C1350)=0,P$3=TRUE))),
ROUNDDOWN((AB$1-AC$1)*MAX(INDEX(T$4:T1350,MATCH(LARGE(FILTER(Y$4:Y1350,Y$4"&amp;":Y1350&lt;1000000000),1),Y$4:Y1350)),INDEX(F$4:F1350,MATCH(LARGE(FILTER(K$4:K1350,K$4:K1350&lt;1000000000),1),K$4:K1350)))),AND(K683&lt;1000000000,COUNTA(C683:C1350)&gt;0,P$3=FALSE),
ROUNDDOWN(INDEX(Y$4:Y1350,MATCH(LARGE(FILTER(W$4:W1350,W$4:W1350&lt;=I683),1),W$4:W1350"&amp;"))+(I683-LARGE(FILTER(W$4:W1350,W$4:W1350&lt;=I683),1))*INDEX(T$4:T1350,MATCH(LARGE(FILTER(W$4:W1350,W$4:W1350&lt;=I683),1),W$4:W1350))-K683),1,
ROUNDDOWN(Y683-INDEX(K$4:K1350,MATCH(LARGE(FILTER(I$4:I1350,I$4:I1350&lt;=W683),1),I$4:I1350))-(W683-LARGE(FILTER(I$4:I"&amp;"1350,I$4:I1350&lt;=W683),1))*INDEX(F$4:F1350,MATCH(LARGE(FILTER(I$4:I1350,I$4:I1350&lt;=W683),1),I$4:I1350))))"),"")</f>
        <v/>
      </c>
      <c r="N683" s="60" t="str">
        <f t="shared" si="8"/>
        <v/>
      </c>
      <c r="O683" s="61" t="str">
        <f t="shared" si="9"/>
        <v/>
      </c>
      <c r="P683" s="56" t="str">
        <f t="shared" si="10"/>
        <v/>
      </c>
      <c r="Q683" s="62"/>
      <c r="R683" s="10" t="str">
        <f>IFERROR(__xludf.DUMMYFUNCTION("IF(COUNTA(Q683:Q1350)=0,"""",IF(ISBLANK(Q683),FALSE,IF(NOT(COUNTIF($AA$24:$AA$34,SUBSTITUTE(Q683,""Sell_"",""""))),1,IF(REGEXMATCH(Q683,""Sell_""),IF(COUNTIF(Q$4:Q683,SUBSTITUTE(Q683,""Sell_"",""""))-COUNTIF(Q$4:Q682,Q683)&lt;1,1),FALSE))))"),"")</f>
        <v/>
      </c>
      <c r="S683" s="59" t="str">
        <f t="array" ref="S683">IF(COUNTA(Q683:Q1350)=0,"",SUM((COUNTIF(Q$4:Q683,Upgrades!$B$3:$B$13)-COUNTIF(Q$4:Q683,"Sell_"&amp;Upgrades!$B$3:$B$13))*Upgrades!$D$3:$D$13))</f>
        <v/>
      </c>
      <c r="T683" s="66" t="str">
        <f>IFERROR(__xludf.DUMMYFUNCTION("IF(COUNTA(Q683:Q1350)=0,"""",IF(REGEXMATCH(INDEX(FILTER(Q$4:Q683,Q$4:Q683&lt;&gt;""""),ROWS(FILTER(Q$4:Q683,Q$4:Q683&lt;&gt;""""))),""^Sell_""),INDEX(FILTER(T$4:T682,Q$4:Q682&lt;&gt;""""),ROWS(FILTER(Q$4:Q682,Q$4:Q682&lt;&gt;""""))),$AD$5+S683))"),"")</f>
        <v/>
      </c>
      <c r="U683" s="10" t="str">
        <f>IFERROR(__xludf.DUMMYFUNCTION("IF(COUNTA(Q683:Q1350)=0,"""",IF(Q683="""",0,IF(REGEXMATCH(Q683,""^Sell_""),-ROUNDDOWN(ROUNDUP(INDEX(Upgrades!$C$3:$C$13,MATCH(SUBSTITUTE(Q683,""Sell_"",""""),Upgrades!$B$3:$B$13,0))*1.15^(COUNTIF(Q$4:Q682,SUBSTITUTE(Q683,""Sell_"",""""))-COUNTIF(Q$4:Q682,"&amp;"""Sell_""&amp;SUBSTITUTE(Q683,""Sell_"",""""))))/2),ROUNDUP(INDEX(Upgrades!$C$3:$C$13,MATCH(Q683,Upgrades!$B$3:$B$13,0))*1.15^(COUNTIF(Q$4:Q682,Q683)-COUNTIF(Q$4:Q682,""Sell_""&amp;Q683))))))"),"")</f>
        <v/>
      </c>
      <c r="V683" s="10" t="str">
        <f t="shared" si="11"/>
        <v/>
      </c>
      <c r="W683" s="68" t="str">
        <f t="shared" si="12"/>
        <v/>
      </c>
      <c r="X683" s="59" t="str">
        <f t="shared" si="13"/>
        <v/>
      </c>
      <c r="Y683" s="69" t="str">
        <f t="shared" si="14"/>
        <v/>
      </c>
      <c r="Z683" s="11"/>
    </row>
    <row r="684">
      <c r="A684" s="8"/>
      <c r="B684" s="56" t="str">
        <f t="shared" si="2"/>
        <v/>
      </c>
      <c r="C684" s="57"/>
      <c r="D684" s="10" t="str">
        <f>IFERROR(__xludf.DUMMYFUNCTION("IF(COUNTA(C684:C1350)=0,"""",IF(ISBLANK(C684),FALSE,IF(NOT(COUNTIF($AA$24:$AA$34,SUBSTITUTE(C684,""Sell_"",""""))),1,IF(REGEXMATCH(C684,""Sell_""),IF(COUNTIF(C$4:C684,SUBSTITUTE(C684,""Sell_"",""""))-COUNTIF(C$4:C683,C684)&lt;1,1),FALSE))))"),"")</f>
        <v/>
      </c>
      <c r="E684" s="59" t="str">
        <f t="array" ref="E684">IF(COUNTA(C684:C1350)=0,"",SUM((COUNTIF(C$4:C684,Upgrades!$B$3:$B$13)-COUNTIF(C$4:C684,"Sell_"&amp;Upgrades!$B$3:$B$13))*Upgrades!$D$3:$D$13))</f>
        <v/>
      </c>
      <c r="F684" s="66" t="str">
        <f>IFERROR(__xludf.DUMMYFUNCTION("IF(COUNTA(C684:C1350)=0,"""",IF(REGEXMATCH(INDEX(FILTER(C$4:C684,C$4:C684&lt;&gt;""""),ROWS(FILTER(C$4:C684,C$4:C684&lt;&gt;""""))),""^Sell_""),INDEX(FILTER(F$4:F683,C$4:C683&lt;&gt;""""),ROWS(FILTER(C$4:C683,C$4:C683&lt;&gt;""""))),$AC$5+E684))"),"")</f>
        <v/>
      </c>
      <c r="G684" s="10" t="str">
        <f>IFERROR(__xludf.DUMMYFUNCTION("IF(COUNTA(C684:C1350)=0,"""",IF(C684="""",0,IF(REGEXMATCH(C684,""^Sell_""),-ROUNDDOWN(ROUNDUP(INDEX(Upgrades!$C$3:$C$13,MATCH(SUBSTITUTE(C684,""Sell_"",""""),Upgrades!$B$3:$B$13,0))*1.15^(COUNTIF(C$4:C683,SUBSTITUTE(C684,""Sell_"",""""))-COUNTIF(C$4:C683,"&amp;"""Sell_""&amp;SUBSTITUTE(C684,""Sell_"",""""))))/2),ROUNDUP(INDEX(Upgrades!$C$3:$C$13,MATCH(C684,Upgrades!$B$3:$B$13,0))*1.15^(COUNTIF(C$4:C683,C684)-COUNTIF(C$4:C683,""Sell_""&amp;C684))))))"),"")</f>
        <v/>
      </c>
      <c r="H684" s="10" t="str">
        <f t="shared" si="3"/>
        <v/>
      </c>
      <c r="I684" s="68" t="str">
        <f t="shared" si="4"/>
        <v/>
      </c>
      <c r="J684" s="59" t="str">
        <f t="shared" si="5"/>
        <v/>
      </c>
      <c r="K684" s="69" t="str">
        <f t="shared" si="6"/>
        <v/>
      </c>
      <c r="L684" s="60" t="str">
        <f t="shared" si="7"/>
        <v/>
      </c>
      <c r="M684" s="61" t="str">
        <f>IFERROR(__xludf.DUMMYFUNCTION("IFS(AND(COUNTA(C684:C1350)=0,COUNTA(Q684:Q1350)=0),"""",OR(AND(K684&gt;=1000000000,OR(Y684&gt;=1000000000,COUNTA(Q684:Q1350)=0)),OR(Y684&gt;=1000000000,AND(COUNTA(C684:C1350)=0,P$3=TRUE))),
ROUNDDOWN((AB$1-AC$1)*MAX(INDEX(T$4:T1350,MATCH(LARGE(FILTER(Y$4:Y1350,Y$4"&amp;":Y1350&lt;1000000000),1),Y$4:Y1350)),INDEX(F$4:F1350,MATCH(LARGE(FILTER(K$4:K1350,K$4:K1350&lt;1000000000),1),K$4:K1350)))),AND(K684&lt;1000000000,COUNTA(C684:C1350)&gt;0,P$3=FALSE),
ROUNDDOWN(INDEX(Y$4:Y1350,MATCH(LARGE(FILTER(W$4:W1350,W$4:W1350&lt;=I684),1),W$4:W1350"&amp;"))+(I684-LARGE(FILTER(W$4:W1350,W$4:W1350&lt;=I684),1))*INDEX(T$4:T1350,MATCH(LARGE(FILTER(W$4:W1350,W$4:W1350&lt;=I684),1),W$4:W1350))-K684),1,
ROUNDDOWN(Y684-INDEX(K$4:K1350,MATCH(LARGE(FILTER(I$4:I1350,I$4:I1350&lt;=W684),1),I$4:I1350))-(W684-LARGE(FILTER(I$4:I"&amp;"1350,I$4:I1350&lt;=W684),1))*INDEX(F$4:F1350,MATCH(LARGE(FILTER(I$4:I1350,I$4:I1350&lt;=W684),1),I$4:I1350))))"),"")</f>
        <v/>
      </c>
      <c r="N684" s="60" t="str">
        <f t="shared" si="8"/>
        <v/>
      </c>
      <c r="O684" s="61" t="str">
        <f t="shared" si="9"/>
        <v/>
      </c>
      <c r="P684" s="56" t="str">
        <f t="shared" si="10"/>
        <v/>
      </c>
      <c r="Q684" s="62"/>
      <c r="R684" s="10" t="str">
        <f>IFERROR(__xludf.DUMMYFUNCTION("IF(COUNTA(Q684:Q1350)=0,"""",IF(ISBLANK(Q684),FALSE,IF(NOT(COUNTIF($AA$24:$AA$34,SUBSTITUTE(Q684,""Sell_"",""""))),1,IF(REGEXMATCH(Q684,""Sell_""),IF(COUNTIF(Q$4:Q684,SUBSTITUTE(Q684,""Sell_"",""""))-COUNTIF(Q$4:Q683,Q684)&lt;1,1),FALSE))))"),"")</f>
        <v/>
      </c>
      <c r="S684" s="59" t="str">
        <f t="array" ref="S684">IF(COUNTA(Q684:Q1350)=0,"",SUM((COUNTIF(Q$4:Q684,Upgrades!$B$3:$B$13)-COUNTIF(Q$4:Q684,"Sell_"&amp;Upgrades!$B$3:$B$13))*Upgrades!$D$3:$D$13))</f>
        <v/>
      </c>
      <c r="T684" s="66" t="str">
        <f>IFERROR(__xludf.DUMMYFUNCTION("IF(COUNTA(Q684:Q1350)=0,"""",IF(REGEXMATCH(INDEX(FILTER(Q$4:Q684,Q$4:Q684&lt;&gt;""""),ROWS(FILTER(Q$4:Q684,Q$4:Q684&lt;&gt;""""))),""^Sell_""),INDEX(FILTER(T$4:T683,Q$4:Q683&lt;&gt;""""),ROWS(FILTER(Q$4:Q683,Q$4:Q683&lt;&gt;""""))),$AD$5+S684))"),"")</f>
        <v/>
      </c>
      <c r="U684" s="10" t="str">
        <f>IFERROR(__xludf.DUMMYFUNCTION("IF(COUNTA(Q684:Q1350)=0,"""",IF(Q684="""",0,IF(REGEXMATCH(Q684,""^Sell_""),-ROUNDDOWN(ROUNDUP(INDEX(Upgrades!$C$3:$C$13,MATCH(SUBSTITUTE(Q684,""Sell_"",""""),Upgrades!$B$3:$B$13,0))*1.15^(COUNTIF(Q$4:Q683,SUBSTITUTE(Q684,""Sell_"",""""))-COUNTIF(Q$4:Q683,"&amp;"""Sell_""&amp;SUBSTITUTE(Q684,""Sell_"",""""))))/2),ROUNDUP(INDEX(Upgrades!$C$3:$C$13,MATCH(Q684,Upgrades!$B$3:$B$13,0))*1.15^(COUNTIF(Q$4:Q683,Q684)-COUNTIF(Q$4:Q683,""Sell_""&amp;Q684))))))"),"")</f>
        <v/>
      </c>
      <c r="V684" s="10" t="str">
        <f t="shared" si="11"/>
        <v/>
      </c>
      <c r="W684" s="68" t="str">
        <f t="shared" si="12"/>
        <v/>
      </c>
      <c r="X684" s="59" t="str">
        <f t="shared" si="13"/>
        <v/>
      </c>
      <c r="Y684" s="69" t="str">
        <f t="shared" si="14"/>
        <v/>
      </c>
      <c r="Z684" s="11"/>
    </row>
    <row r="685">
      <c r="A685" s="8"/>
      <c r="B685" s="56" t="str">
        <f t="shared" si="2"/>
        <v/>
      </c>
      <c r="C685" s="57"/>
      <c r="D685" s="10" t="str">
        <f>IFERROR(__xludf.DUMMYFUNCTION("IF(COUNTA(C685:C1350)=0,"""",IF(ISBLANK(C685),FALSE,IF(NOT(COUNTIF($AA$24:$AA$34,SUBSTITUTE(C685,""Sell_"",""""))),1,IF(REGEXMATCH(C685,""Sell_""),IF(COUNTIF(C$4:C685,SUBSTITUTE(C685,""Sell_"",""""))-COUNTIF(C$4:C684,C685)&lt;1,1),FALSE))))"),"")</f>
        <v/>
      </c>
      <c r="E685" s="59" t="str">
        <f t="array" ref="E685">IF(COUNTA(C685:C1350)=0,"",SUM((COUNTIF(C$4:C685,Upgrades!$B$3:$B$13)-COUNTIF(C$4:C685,"Sell_"&amp;Upgrades!$B$3:$B$13))*Upgrades!$D$3:$D$13))</f>
        <v/>
      </c>
      <c r="F685" s="66" t="str">
        <f>IFERROR(__xludf.DUMMYFUNCTION("IF(COUNTA(C685:C1350)=0,"""",IF(REGEXMATCH(INDEX(FILTER(C$4:C685,C$4:C685&lt;&gt;""""),ROWS(FILTER(C$4:C685,C$4:C685&lt;&gt;""""))),""^Sell_""),INDEX(FILTER(F$4:F684,C$4:C684&lt;&gt;""""),ROWS(FILTER(C$4:C684,C$4:C684&lt;&gt;""""))),$AC$5+E685))"),"")</f>
        <v/>
      </c>
      <c r="G685" s="10" t="str">
        <f>IFERROR(__xludf.DUMMYFUNCTION("IF(COUNTA(C685:C1350)=0,"""",IF(C685="""",0,IF(REGEXMATCH(C685,""^Sell_""),-ROUNDDOWN(ROUNDUP(INDEX(Upgrades!$C$3:$C$13,MATCH(SUBSTITUTE(C685,""Sell_"",""""),Upgrades!$B$3:$B$13,0))*1.15^(COUNTIF(C$4:C684,SUBSTITUTE(C685,""Sell_"",""""))-COUNTIF(C$4:C684,"&amp;"""Sell_""&amp;SUBSTITUTE(C685,""Sell_"",""""))))/2),ROUNDUP(INDEX(Upgrades!$C$3:$C$13,MATCH(C685,Upgrades!$B$3:$B$13,0))*1.15^(COUNTIF(C$4:C684,C685)-COUNTIF(C$4:C684,""Sell_""&amp;C685))))))"),"")</f>
        <v/>
      </c>
      <c r="H685" s="10" t="str">
        <f t="shared" si="3"/>
        <v/>
      </c>
      <c r="I685" s="68" t="str">
        <f t="shared" si="4"/>
        <v/>
      </c>
      <c r="J685" s="59" t="str">
        <f t="shared" si="5"/>
        <v/>
      </c>
      <c r="K685" s="69" t="str">
        <f t="shared" si="6"/>
        <v/>
      </c>
      <c r="L685" s="60" t="str">
        <f t="shared" si="7"/>
        <v/>
      </c>
      <c r="M685" s="61" t="str">
        <f>IFERROR(__xludf.DUMMYFUNCTION("IFS(AND(COUNTA(C685:C1350)=0,COUNTA(Q685:Q1350)=0),"""",OR(AND(K685&gt;=1000000000,OR(Y685&gt;=1000000000,COUNTA(Q685:Q1350)=0)),OR(Y685&gt;=1000000000,AND(COUNTA(C685:C1350)=0,P$3=TRUE))),
ROUNDDOWN((AB$1-AC$1)*MAX(INDEX(T$4:T1350,MATCH(LARGE(FILTER(Y$4:Y1350,Y$4"&amp;":Y1350&lt;1000000000),1),Y$4:Y1350)),INDEX(F$4:F1350,MATCH(LARGE(FILTER(K$4:K1350,K$4:K1350&lt;1000000000),1),K$4:K1350)))),AND(K685&lt;1000000000,COUNTA(C685:C1350)&gt;0,P$3=FALSE),
ROUNDDOWN(INDEX(Y$4:Y1350,MATCH(LARGE(FILTER(W$4:W1350,W$4:W1350&lt;=I685),1),W$4:W1350"&amp;"))+(I685-LARGE(FILTER(W$4:W1350,W$4:W1350&lt;=I685),1))*INDEX(T$4:T1350,MATCH(LARGE(FILTER(W$4:W1350,W$4:W1350&lt;=I685),1),W$4:W1350))-K685),1,
ROUNDDOWN(Y685-INDEX(K$4:K1350,MATCH(LARGE(FILTER(I$4:I1350,I$4:I1350&lt;=W685),1),I$4:I1350))-(W685-LARGE(FILTER(I$4:I"&amp;"1350,I$4:I1350&lt;=W685),1))*INDEX(F$4:F1350,MATCH(LARGE(FILTER(I$4:I1350,I$4:I1350&lt;=W685),1),I$4:I1350))))"),"")</f>
        <v/>
      </c>
      <c r="N685" s="60" t="str">
        <f t="shared" si="8"/>
        <v/>
      </c>
      <c r="O685" s="61" t="str">
        <f t="shared" si="9"/>
        <v/>
      </c>
      <c r="P685" s="56" t="str">
        <f t="shared" si="10"/>
        <v/>
      </c>
      <c r="Q685" s="62"/>
      <c r="R685" s="10" t="str">
        <f>IFERROR(__xludf.DUMMYFUNCTION("IF(COUNTA(Q685:Q1350)=0,"""",IF(ISBLANK(Q685),FALSE,IF(NOT(COUNTIF($AA$24:$AA$34,SUBSTITUTE(Q685,""Sell_"",""""))),1,IF(REGEXMATCH(Q685,""Sell_""),IF(COUNTIF(Q$4:Q685,SUBSTITUTE(Q685,""Sell_"",""""))-COUNTIF(Q$4:Q684,Q685)&lt;1,1),FALSE))))"),"")</f>
        <v/>
      </c>
      <c r="S685" s="59" t="str">
        <f t="array" ref="S685">IF(COUNTA(Q685:Q1350)=0,"",SUM((COUNTIF(Q$4:Q685,Upgrades!$B$3:$B$13)-COUNTIF(Q$4:Q685,"Sell_"&amp;Upgrades!$B$3:$B$13))*Upgrades!$D$3:$D$13))</f>
        <v/>
      </c>
      <c r="T685" s="66" t="str">
        <f>IFERROR(__xludf.DUMMYFUNCTION("IF(COUNTA(Q685:Q1350)=0,"""",IF(REGEXMATCH(INDEX(FILTER(Q$4:Q685,Q$4:Q685&lt;&gt;""""),ROWS(FILTER(Q$4:Q685,Q$4:Q685&lt;&gt;""""))),""^Sell_""),INDEX(FILTER(T$4:T684,Q$4:Q684&lt;&gt;""""),ROWS(FILTER(Q$4:Q684,Q$4:Q684&lt;&gt;""""))),$AD$5+S685))"),"")</f>
        <v/>
      </c>
      <c r="U685" s="10" t="str">
        <f>IFERROR(__xludf.DUMMYFUNCTION("IF(COUNTA(Q685:Q1350)=0,"""",IF(Q685="""",0,IF(REGEXMATCH(Q685,""^Sell_""),-ROUNDDOWN(ROUNDUP(INDEX(Upgrades!$C$3:$C$13,MATCH(SUBSTITUTE(Q685,""Sell_"",""""),Upgrades!$B$3:$B$13,0))*1.15^(COUNTIF(Q$4:Q684,SUBSTITUTE(Q685,""Sell_"",""""))-COUNTIF(Q$4:Q684,"&amp;"""Sell_""&amp;SUBSTITUTE(Q685,""Sell_"",""""))))/2),ROUNDUP(INDEX(Upgrades!$C$3:$C$13,MATCH(Q685,Upgrades!$B$3:$B$13,0))*1.15^(COUNTIF(Q$4:Q684,Q685)-COUNTIF(Q$4:Q684,""Sell_""&amp;Q685))))))"),"")</f>
        <v/>
      </c>
      <c r="V685" s="10" t="str">
        <f t="shared" si="11"/>
        <v/>
      </c>
      <c r="W685" s="68" t="str">
        <f t="shared" si="12"/>
        <v/>
      </c>
      <c r="X685" s="59" t="str">
        <f t="shared" si="13"/>
        <v/>
      </c>
      <c r="Y685" s="69" t="str">
        <f t="shared" si="14"/>
        <v/>
      </c>
      <c r="Z685" s="11"/>
    </row>
    <row r="686">
      <c r="A686" s="8"/>
      <c r="B686" s="56" t="str">
        <f t="shared" si="2"/>
        <v/>
      </c>
      <c r="C686" s="57"/>
      <c r="D686" s="10" t="str">
        <f>IFERROR(__xludf.DUMMYFUNCTION("IF(COUNTA(C686:C1350)=0,"""",IF(ISBLANK(C686),FALSE,IF(NOT(COUNTIF($AA$24:$AA$34,SUBSTITUTE(C686,""Sell_"",""""))),1,IF(REGEXMATCH(C686,""Sell_""),IF(COUNTIF(C$4:C686,SUBSTITUTE(C686,""Sell_"",""""))-COUNTIF(C$4:C685,C686)&lt;1,1),FALSE))))"),"")</f>
        <v/>
      </c>
      <c r="E686" s="59" t="str">
        <f t="array" ref="E686">IF(COUNTA(C686:C1350)=0,"",SUM((COUNTIF(C$4:C686,Upgrades!$B$3:$B$13)-COUNTIF(C$4:C686,"Sell_"&amp;Upgrades!$B$3:$B$13))*Upgrades!$D$3:$D$13))</f>
        <v/>
      </c>
      <c r="F686" s="66" t="str">
        <f>IFERROR(__xludf.DUMMYFUNCTION("IF(COUNTA(C686:C1350)=0,"""",IF(REGEXMATCH(INDEX(FILTER(C$4:C686,C$4:C686&lt;&gt;""""),ROWS(FILTER(C$4:C686,C$4:C686&lt;&gt;""""))),""^Sell_""),INDEX(FILTER(F$4:F685,C$4:C685&lt;&gt;""""),ROWS(FILTER(C$4:C685,C$4:C685&lt;&gt;""""))),$AC$5+E686))"),"")</f>
        <v/>
      </c>
      <c r="G686" s="10" t="str">
        <f>IFERROR(__xludf.DUMMYFUNCTION("IF(COUNTA(C686:C1350)=0,"""",IF(C686="""",0,IF(REGEXMATCH(C686,""^Sell_""),-ROUNDDOWN(ROUNDUP(INDEX(Upgrades!$C$3:$C$13,MATCH(SUBSTITUTE(C686,""Sell_"",""""),Upgrades!$B$3:$B$13,0))*1.15^(COUNTIF(C$4:C685,SUBSTITUTE(C686,""Sell_"",""""))-COUNTIF(C$4:C685,"&amp;"""Sell_""&amp;SUBSTITUTE(C686,""Sell_"",""""))))/2),ROUNDUP(INDEX(Upgrades!$C$3:$C$13,MATCH(C686,Upgrades!$B$3:$B$13,0))*1.15^(COUNTIF(C$4:C685,C686)-COUNTIF(C$4:C685,""Sell_""&amp;C686))))))"),"")</f>
        <v/>
      </c>
      <c r="H686" s="10" t="str">
        <f t="shared" si="3"/>
        <v/>
      </c>
      <c r="I686" s="68" t="str">
        <f t="shared" si="4"/>
        <v/>
      </c>
      <c r="J686" s="59" t="str">
        <f t="shared" si="5"/>
        <v/>
      </c>
      <c r="K686" s="69" t="str">
        <f t="shared" si="6"/>
        <v/>
      </c>
      <c r="L686" s="60" t="str">
        <f t="shared" si="7"/>
        <v/>
      </c>
      <c r="M686" s="61" t="str">
        <f>IFERROR(__xludf.DUMMYFUNCTION("IFS(AND(COUNTA(C686:C1350)=0,COUNTA(Q686:Q1350)=0),"""",OR(AND(K686&gt;=1000000000,OR(Y686&gt;=1000000000,COUNTA(Q686:Q1350)=0)),OR(Y686&gt;=1000000000,AND(COUNTA(C686:C1350)=0,P$3=TRUE))),
ROUNDDOWN((AB$1-AC$1)*MAX(INDEX(T$4:T1350,MATCH(LARGE(FILTER(Y$4:Y1350,Y$4"&amp;":Y1350&lt;1000000000),1),Y$4:Y1350)),INDEX(F$4:F1350,MATCH(LARGE(FILTER(K$4:K1350,K$4:K1350&lt;1000000000),1),K$4:K1350)))),AND(K686&lt;1000000000,COUNTA(C686:C1350)&gt;0,P$3=FALSE),
ROUNDDOWN(INDEX(Y$4:Y1350,MATCH(LARGE(FILTER(W$4:W1350,W$4:W1350&lt;=I686),1),W$4:W1350"&amp;"))+(I686-LARGE(FILTER(W$4:W1350,W$4:W1350&lt;=I686),1))*INDEX(T$4:T1350,MATCH(LARGE(FILTER(W$4:W1350,W$4:W1350&lt;=I686),1),W$4:W1350))-K686),1,
ROUNDDOWN(Y686-INDEX(K$4:K1350,MATCH(LARGE(FILTER(I$4:I1350,I$4:I1350&lt;=W686),1),I$4:I1350))-(W686-LARGE(FILTER(I$4:I"&amp;"1350,I$4:I1350&lt;=W686),1))*INDEX(F$4:F1350,MATCH(LARGE(FILTER(I$4:I1350,I$4:I1350&lt;=W686),1),I$4:I1350))))"),"")</f>
        <v/>
      </c>
      <c r="N686" s="60" t="str">
        <f t="shared" si="8"/>
        <v/>
      </c>
      <c r="O686" s="61" t="str">
        <f t="shared" si="9"/>
        <v/>
      </c>
      <c r="P686" s="56" t="str">
        <f t="shared" si="10"/>
        <v/>
      </c>
      <c r="Q686" s="62"/>
      <c r="R686" s="10" t="str">
        <f>IFERROR(__xludf.DUMMYFUNCTION("IF(COUNTA(Q686:Q1350)=0,"""",IF(ISBLANK(Q686),FALSE,IF(NOT(COUNTIF($AA$24:$AA$34,SUBSTITUTE(Q686,""Sell_"",""""))),1,IF(REGEXMATCH(Q686,""Sell_""),IF(COUNTIF(Q$4:Q686,SUBSTITUTE(Q686,""Sell_"",""""))-COUNTIF(Q$4:Q685,Q686)&lt;1,1),FALSE))))"),"")</f>
        <v/>
      </c>
      <c r="S686" s="59" t="str">
        <f t="array" ref="S686">IF(COUNTA(Q686:Q1350)=0,"",SUM((COUNTIF(Q$4:Q686,Upgrades!$B$3:$B$13)-COUNTIF(Q$4:Q686,"Sell_"&amp;Upgrades!$B$3:$B$13))*Upgrades!$D$3:$D$13))</f>
        <v/>
      </c>
      <c r="T686" s="66" t="str">
        <f>IFERROR(__xludf.DUMMYFUNCTION("IF(COUNTA(Q686:Q1350)=0,"""",IF(REGEXMATCH(INDEX(FILTER(Q$4:Q686,Q$4:Q686&lt;&gt;""""),ROWS(FILTER(Q$4:Q686,Q$4:Q686&lt;&gt;""""))),""^Sell_""),INDEX(FILTER(T$4:T685,Q$4:Q685&lt;&gt;""""),ROWS(FILTER(Q$4:Q685,Q$4:Q685&lt;&gt;""""))),$AD$5+S686))"),"")</f>
        <v/>
      </c>
      <c r="U686" s="10" t="str">
        <f>IFERROR(__xludf.DUMMYFUNCTION("IF(COUNTA(Q686:Q1350)=0,"""",IF(Q686="""",0,IF(REGEXMATCH(Q686,""^Sell_""),-ROUNDDOWN(ROUNDUP(INDEX(Upgrades!$C$3:$C$13,MATCH(SUBSTITUTE(Q686,""Sell_"",""""),Upgrades!$B$3:$B$13,0))*1.15^(COUNTIF(Q$4:Q685,SUBSTITUTE(Q686,""Sell_"",""""))-COUNTIF(Q$4:Q685,"&amp;"""Sell_""&amp;SUBSTITUTE(Q686,""Sell_"",""""))))/2),ROUNDUP(INDEX(Upgrades!$C$3:$C$13,MATCH(Q686,Upgrades!$B$3:$B$13,0))*1.15^(COUNTIF(Q$4:Q685,Q686)-COUNTIF(Q$4:Q685,""Sell_""&amp;Q686))))))"),"")</f>
        <v/>
      </c>
      <c r="V686" s="10" t="str">
        <f t="shared" si="11"/>
        <v/>
      </c>
      <c r="W686" s="68" t="str">
        <f t="shared" si="12"/>
        <v/>
      </c>
      <c r="X686" s="59" t="str">
        <f t="shared" si="13"/>
        <v/>
      </c>
      <c r="Y686" s="69" t="str">
        <f t="shared" si="14"/>
        <v/>
      </c>
      <c r="Z686" s="11"/>
    </row>
    <row r="687">
      <c r="A687" s="8"/>
      <c r="B687" s="56" t="str">
        <f t="shared" si="2"/>
        <v/>
      </c>
      <c r="C687" s="57"/>
      <c r="D687" s="10" t="str">
        <f>IFERROR(__xludf.DUMMYFUNCTION("IF(COUNTA(C687:C1350)=0,"""",IF(ISBLANK(C687),FALSE,IF(NOT(COUNTIF($AA$24:$AA$34,SUBSTITUTE(C687,""Sell_"",""""))),1,IF(REGEXMATCH(C687,""Sell_""),IF(COUNTIF(C$4:C687,SUBSTITUTE(C687,""Sell_"",""""))-COUNTIF(C$4:C686,C687)&lt;1,1),FALSE))))"),"")</f>
        <v/>
      </c>
      <c r="E687" s="59" t="str">
        <f t="array" ref="E687">IF(COUNTA(C687:C1350)=0,"",SUM((COUNTIF(C$4:C687,Upgrades!$B$3:$B$13)-COUNTIF(C$4:C687,"Sell_"&amp;Upgrades!$B$3:$B$13))*Upgrades!$D$3:$D$13))</f>
        <v/>
      </c>
      <c r="F687" s="66" t="str">
        <f>IFERROR(__xludf.DUMMYFUNCTION("IF(COUNTA(C687:C1350)=0,"""",IF(REGEXMATCH(INDEX(FILTER(C$4:C687,C$4:C687&lt;&gt;""""),ROWS(FILTER(C$4:C687,C$4:C687&lt;&gt;""""))),""^Sell_""),INDEX(FILTER(F$4:F686,C$4:C686&lt;&gt;""""),ROWS(FILTER(C$4:C686,C$4:C686&lt;&gt;""""))),$AC$5+E687))"),"")</f>
        <v/>
      </c>
      <c r="G687" s="10" t="str">
        <f>IFERROR(__xludf.DUMMYFUNCTION("IF(COUNTA(C687:C1350)=0,"""",IF(C687="""",0,IF(REGEXMATCH(C687,""^Sell_""),-ROUNDDOWN(ROUNDUP(INDEX(Upgrades!$C$3:$C$13,MATCH(SUBSTITUTE(C687,""Sell_"",""""),Upgrades!$B$3:$B$13,0))*1.15^(COUNTIF(C$4:C686,SUBSTITUTE(C687,""Sell_"",""""))-COUNTIF(C$4:C686,"&amp;"""Sell_""&amp;SUBSTITUTE(C687,""Sell_"",""""))))/2),ROUNDUP(INDEX(Upgrades!$C$3:$C$13,MATCH(C687,Upgrades!$B$3:$B$13,0))*1.15^(COUNTIF(C$4:C686,C687)-COUNTIF(C$4:C686,""Sell_""&amp;C687))))))"),"")</f>
        <v/>
      </c>
      <c r="H687" s="10" t="str">
        <f t="shared" si="3"/>
        <v/>
      </c>
      <c r="I687" s="68" t="str">
        <f t="shared" si="4"/>
        <v/>
      </c>
      <c r="J687" s="59" t="str">
        <f t="shared" si="5"/>
        <v/>
      </c>
      <c r="K687" s="69" t="str">
        <f t="shared" si="6"/>
        <v/>
      </c>
      <c r="L687" s="60" t="str">
        <f t="shared" si="7"/>
        <v/>
      </c>
      <c r="M687" s="61" t="str">
        <f>IFERROR(__xludf.DUMMYFUNCTION("IFS(AND(COUNTA(C687:C1350)=0,COUNTA(Q687:Q1350)=0),"""",OR(AND(K687&gt;=1000000000,OR(Y687&gt;=1000000000,COUNTA(Q687:Q1350)=0)),OR(Y687&gt;=1000000000,AND(COUNTA(C687:C1350)=0,P$3=TRUE))),
ROUNDDOWN((AB$1-AC$1)*MAX(INDEX(T$4:T1350,MATCH(LARGE(FILTER(Y$4:Y1350,Y$4"&amp;":Y1350&lt;1000000000),1),Y$4:Y1350)),INDEX(F$4:F1350,MATCH(LARGE(FILTER(K$4:K1350,K$4:K1350&lt;1000000000),1),K$4:K1350)))),AND(K687&lt;1000000000,COUNTA(C687:C1350)&gt;0,P$3=FALSE),
ROUNDDOWN(INDEX(Y$4:Y1350,MATCH(LARGE(FILTER(W$4:W1350,W$4:W1350&lt;=I687),1),W$4:W1350"&amp;"))+(I687-LARGE(FILTER(W$4:W1350,W$4:W1350&lt;=I687),1))*INDEX(T$4:T1350,MATCH(LARGE(FILTER(W$4:W1350,W$4:W1350&lt;=I687),1),W$4:W1350))-K687),1,
ROUNDDOWN(Y687-INDEX(K$4:K1350,MATCH(LARGE(FILTER(I$4:I1350,I$4:I1350&lt;=W687),1),I$4:I1350))-(W687-LARGE(FILTER(I$4:I"&amp;"1350,I$4:I1350&lt;=W687),1))*INDEX(F$4:F1350,MATCH(LARGE(FILTER(I$4:I1350,I$4:I1350&lt;=W687),1),I$4:I1350))))"),"")</f>
        <v/>
      </c>
      <c r="N687" s="60" t="str">
        <f t="shared" si="8"/>
        <v/>
      </c>
      <c r="O687" s="61" t="str">
        <f t="shared" si="9"/>
        <v/>
      </c>
      <c r="P687" s="56" t="str">
        <f t="shared" si="10"/>
        <v/>
      </c>
      <c r="Q687" s="62"/>
      <c r="R687" s="10" t="str">
        <f>IFERROR(__xludf.DUMMYFUNCTION("IF(COUNTA(Q687:Q1350)=0,"""",IF(ISBLANK(Q687),FALSE,IF(NOT(COUNTIF($AA$24:$AA$34,SUBSTITUTE(Q687,""Sell_"",""""))),1,IF(REGEXMATCH(Q687,""Sell_""),IF(COUNTIF(Q$4:Q687,SUBSTITUTE(Q687,""Sell_"",""""))-COUNTIF(Q$4:Q686,Q687)&lt;1,1),FALSE))))"),"")</f>
        <v/>
      </c>
      <c r="S687" s="59" t="str">
        <f t="array" ref="S687">IF(COUNTA(Q687:Q1350)=0,"",SUM((COUNTIF(Q$4:Q687,Upgrades!$B$3:$B$13)-COUNTIF(Q$4:Q687,"Sell_"&amp;Upgrades!$B$3:$B$13))*Upgrades!$D$3:$D$13))</f>
        <v/>
      </c>
      <c r="T687" s="66" t="str">
        <f>IFERROR(__xludf.DUMMYFUNCTION("IF(COUNTA(Q687:Q1350)=0,"""",IF(REGEXMATCH(INDEX(FILTER(Q$4:Q687,Q$4:Q687&lt;&gt;""""),ROWS(FILTER(Q$4:Q687,Q$4:Q687&lt;&gt;""""))),""^Sell_""),INDEX(FILTER(T$4:T686,Q$4:Q686&lt;&gt;""""),ROWS(FILTER(Q$4:Q686,Q$4:Q686&lt;&gt;""""))),$AD$5+S687))"),"")</f>
        <v/>
      </c>
      <c r="U687" s="10" t="str">
        <f>IFERROR(__xludf.DUMMYFUNCTION("IF(COUNTA(Q687:Q1350)=0,"""",IF(Q687="""",0,IF(REGEXMATCH(Q687,""^Sell_""),-ROUNDDOWN(ROUNDUP(INDEX(Upgrades!$C$3:$C$13,MATCH(SUBSTITUTE(Q687,""Sell_"",""""),Upgrades!$B$3:$B$13,0))*1.15^(COUNTIF(Q$4:Q686,SUBSTITUTE(Q687,""Sell_"",""""))-COUNTIF(Q$4:Q686,"&amp;"""Sell_""&amp;SUBSTITUTE(Q687,""Sell_"",""""))))/2),ROUNDUP(INDEX(Upgrades!$C$3:$C$13,MATCH(Q687,Upgrades!$B$3:$B$13,0))*1.15^(COUNTIF(Q$4:Q686,Q687)-COUNTIF(Q$4:Q686,""Sell_""&amp;Q687))))))"),"")</f>
        <v/>
      </c>
      <c r="V687" s="10" t="str">
        <f t="shared" si="11"/>
        <v/>
      </c>
      <c r="W687" s="68" t="str">
        <f t="shared" si="12"/>
        <v/>
      </c>
      <c r="X687" s="59" t="str">
        <f t="shared" si="13"/>
        <v/>
      </c>
      <c r="Y687" s="69" t="str">
        <f t="shared" si="14"/>
        <v/>
      </c>
      <c r="Z687" s="11"/>
    </row>
    <row r="688">
      <c r="A688" s="8"/>
      <c r="B688" s="56" t="str">
        <f t="shared" si="2"/>
        <v/>
      </c>
      <c r="C688" s="57"/>
      <c r="D688" s="10" t="str">
        <f>IFERROR(__xludf.DUMMYFUNCTION("IF(COUNTA(C688:C1350)=0,"""",IF(ISBLANK(C688),FALSE,IF(NOT(COUNTIF($AA$24:$AA$34,SUBSTITUTE(C688,""Sell_"",""""))),1,IF(REGEXMATCH(C688,""Sell_""),IF(COUNTIF(C$4:C688,SUBSTITUTE(C688,""Sell_"",""""))-COUNTIF(C$4:C687,C688)&lt;1,1),FALSE))))"),"")</f>
        <v/>
      </c>
      <c r="E688" s="59" t="str">
        <f t="array" ref="E688">IF(COUNTA(C688:C1350)=0,"",SUM((COUNTIF(C$4:C688,Upgrades!$B$3:$B$13)-COUNTIF(C$4:C688,"Sell_"&amp;Upgrades!$B$3:$B$13))*Upgrades!$D$3:$D$13))</f>
        <v/>
      </c>
      <c r="F688" s="66" t="str">
        <f>IFERROR(__xludf.DUMMYFUNCTION("IF(COUNTA(C688:C1350)=0,"""",IF(REGEXMATCH(INDEX(FILTER(C$4:C688,C$4:C688&lt;&gt;""""),ROWS(FILTER(C$4:C688,C$4:C688&lt;&gt;""""))),""^Sell_""),INDEX(FILTER(F$4:F687,C$4:C687&lt;&gt;""""),ROWS(FILTER(C$4:C687,C$4:C687&lt;&gt;""""))),$AC$5+E688))"),"")</f>
        <v/>
      </c>
      <c r="G688" s="10" t="str">
        <f>IFERROR(__xludf.DUMMYFUNCTION("IF(COUNTA(C688:C1350)=0,"""",IF(C688="""",0,IF(REGEXMATCH(C688,""^Sell_""),-ROUNDDOWN(ROUNDUP(INDEX(Upgrades!$C$3:$C$13,MATCH(SUBSTITUTE(C688,""Sell_"",""""),Upgrades!$B$3:$B$13,0))*1.15^(COUNTIF(C$4:C687,SUBSTITUTE(C688,""Sell_"",""""))-COUNTIF(C$4:C687,"&amp;"""Sell_""&amp;SUBSTITUTE(C688,""Sell_"",""""))))/2),ROUNDUP(INDEX(Upgrades!$C$3:$C$13,MATCH(C688,Upgrades!$B$3:$B$13,0))*1.15^(COUNTIF(C$4:C687,C688)-COUNTIF(C$4:C687,""Sell_""&amp;C688))))))"),"")</f>
        <v/>
      </c>
      <c r="H688" s="10" t="str">
        <f t="shared" si="3"/>
        <v/>
      </c>
      <c r="I688" s="68" t="str">
        <f t="shared" si="4"/>
        <v/>
      </c>
      <c r="J688" s="59" t="str">
        <f t="shared" si="5"/>
        <v/>
      </c>
      <c r="K688" s="69" t="str">
        <f t="shared" si="6"/>
        <v/>
      </c>
      <c r="L688" s="60" t="str">
        <f t="shared" si="7"/>
        <v/>
      </c>
      <c r="M688" s="61" t="str">
        <f>IFERROR(__xludf.DUMMYFUNCTION("IFS(AND(COUNTA(C688:C1350)=0,COUNTA(Q688:Q1350)=0),"""",OR(AND(K688&gt;=1000000000,OR(Y688&gt;=1000000000,COUNTA(Q688:Q1350)=0)),OR(Y688&gt;=1000000000,AND(COUNTA(C688:C1350)=0,P$3=TRUE))),
ROUNDDOWN((AB$1-AC$1)*MAX(INDEX(T$4:T1350,MATCH(LARGE(FILTER(Y$4:Y1350,Y$4"&amp;":Y1350&lt;1000000000),1),Y$4:Y1350)),INDEX(F$4:F1350,MATCH(LARGE(FILTER(K$4:K1350,K$4:K1350&lt;1000000000),1),K$4:K1350)))),AND(K688&lt;1000000000,COUNTA(C688:C1350)&gt;0,P$3=FALSE),
ROUNDDOWN(INDEX(Y$4:Y1350,MATCH(LARGE(FILTER(W$4:W1350,W$4:W1350&lt;=I688),1),W$4:W1350"&amp;"))+(I688-LARGE(FILTER(W$4:W1350,W$4:W1350&lt;=I688),1))*INDEX(T$4:T1350,MATCH(LARGE(FILTER(W$4:W1350,W$4:W1350&lt;=I688),1),W$4:W1350))-K688),1,
ROUNDDOWN(Y688-INDEX(K$4:K1350,MATCH(LARGE(FILTER(I$4:I1350,I$4:I1350&lt;=W688),1),I$4:I1350))-(W688-LARGE(FILTER(I$4:I"&amp;"1350,I$4:I1350&lt;=W688),1))*INDEX(F$4:F1350,MATCH(LARGE(FILTER(I$4:I1350,I$4:I1350&lt;=W688),1),I$4:I1350))))"),"")</f>
        <v/>
      </c>
      <c r="N688" s="60" t="str">
        <f t="shared" si="8"/>
        <v/>
      </c>
      <c r="O688" s="61" t="str">
        <f t="shared" si="9"/>
        <v/>
      </c>
      <c r="P688" s="56" t="str">
        <f t="shared" si="10"/>
        <v/>
      </c>
      <c r="Q688" s="62"/>
      <c r="R688" s="10" t="str">
        <f>IFERROR(__xludf.DUMMYFUNCTION("IF(COUNTA(Q688:Q1350)=0,"""",IF(ISBLANK(Q688),FALSE,IF(NOT(COUNTIF($AA$24:$AA$34,SUBSTITUTE(Q688,""Sell_"",""""))),1,IF(REGEXMATCH(Q688,""Sell_""),IF(COUNTIF(Q$4:Q688,SUBSTITUTE(Q688,""Sell_"",""""))-COUNTIF(Q$4:Q687,Q688)&lt;1,1),FALSE))))"),"")</f>
        <v/>
      </c>
      <c r="S688" s="59" t="str">
        <f t="array" ref="S688">IF(COUNTA(Q688:Q1350)=0,"",SUM((COUNTIF(Q$4:Q688,Upgrades!$B$3:$B$13)-COUNTIF(Q$4:Q688,"Sell_"&amp;Upgrades!$B$3:$B$13))*Upgrades!$D$3:$D$13))</f>
        <v/>
      </c>
      <c r="T688" s="66" t="str">
        <f>IFERROR(__xludf.DUMMYFUNCTION("IF(COUNTA(Q688:Q1350)=0,"""",IF(REGEXMATCH(INDEX(FILTER(Q$4:Q688,Q$4:Q688&lt;&gt;""""),ROWS(FILTER(Q$4:Q688,Q$4:Q688&lt;&gt;""""))),""^Sell_""),INDEX(FILTER(T$4:T687,Q$4:Q687&lt;&gt;""""),ROWS(FILTER(Q$4:Q687,Q$4:Q687&lt;&gt;""""))),$AD$5+S688))"),"")</f>
        <v/>
      </c>
      <c r="U688" s="10" t="str">
        <f>IFERROR(__xludf.DUMMYFUNCTION("IF(COUNTA(Q688:Q1350)=0,"""",IF(Q688="""",0,IF(REGEXMATCH(Q688,""^Sell_""),-ROUNDDOWN(ROUNDUP(INDEX(Upgrades!$C$3:$C$13,MATCH(SUBSTITUTE(Q688,""Sell_"",""""),Upgrades!$B$3:$B$13,0))*1.15^(COUNTIF(Q$4:Q687,SUBSTITUTE(Q688,""Sell_"",""""))-COUNTIF(Q$4:Q687,"&amp;"""Sell_""&amp;SUBSTITUTE(Q688,""Sell_"",""""))))/2),ROUNDUP(INDEX(Upgrades!$C$3:$C$13,MATCH(Q688,Upgrades!$B$3:$B$13,0))*1.15^(COUNTIF(Q$4:Q687,Q688)-COUNTIF(Q$4:Q687,""Sell_""&amp;Q688))))))"),"")</f>
        <v/>
      </c>
      <c r="V688" s="10" t="str">
        <f t="shared" si="11"/>
        <v/>
      </c>
      <c r="W688" s="68" t="str">
        <f t="shared" si="12"/>
        <v/>
      </c>
      <c r="X688" s="59" t="str">
        <f t="shared" si="13"/>
        <v/>
      </c>
      <c r="Y688" s="69" t="str">
        <f t="shared" si="14"/>
        <v/>
      </c>
      <c r="Z688" s="11"/>
    </row>
    <row r="689">
      <c r="A689" s="8"/>
      <c r="B689" s="56" t="str">
        <f t="shared" si="2"/>
        <v/>
      </c>
      <c r="C689" s="57"/>
      <c r="D689" s="10" t="str">
        <f>IFERROR(__xludf.DUMMYFUNCTION("IF(COUNTA(C689:C1350)=0,"""",IF(ISBLANK(C689),FALSE,IF(NOT(COUNTIF($AA$24:$AA$34,SUBSTITUTE(C689,""Sell_"",""""))),1,IF(REGEXMATCH(C689,""Sell_""),IF(COUNTIF(C$4:C689,SUBSTITUTE(C689,""Sell_"",""""))-COUNTIF(C$4:C688,C689)&lt;1,1),FALSE))))"),"")</f>
        <v/>
      </c>
      <c r="E689" s="59" t="str">
        <f t="array" ref="E689">IF(COUNTA(C689:C1350)=0,"",SUM((COUNTIF(C$4:C689,Upgrades!$B$3:$B$13)-COUNTIF(C$4:C689,"Sell_"&amp;Upgrades!$B$3:$B$13))*Upgrades!$D$3:$D$13))</f>
        <v/>
      </c>
      <c r="F689" s="66" t="str">
        <f>IFERROR(__xludf.DUMMYFUNCTION("IF(COUNTA(C689:C1350)=0,"""",IF(REGEXMATCH(INDEX(FILTER(C$4:C689,C$4:C689&lt;&gt;""""),ROWS(FILTER(C$4:C689,C$4:C689&lt;&gt;""""))),""^Sell_""),INDEX(FILTER(F$4:F688,C$4:C688&lt;&gt;""""),ROWS(FILTER(C$4:C688,C$4:C688&lt;&gt;""""))),$AC$5+E689))"),"")</f>
        <v/>
      </c>
      <c r="G689" s="10" t="str">
        <f>IFERROR(__xludf.DUMMYFUNCTION("IF(COUNTA(C689:C1350)=0,"""",IF(C689="""",0,IF(REGEXMATCH(C689,""^Sell_""),-ROUNDDOWN(ROUNDUP(INDEX(Upgrades!$C$3:$C$13,MATCH(SUBSTITUTE(C689,""Sell_"",""""),Upgrades!$B$3:$B$13,0))*1.15^(COUNTIF(C$4:C688,SUBSTITUTE(C689,""Sell_"",""""))-COUNTIF(C$4:C688,"&amp;"""Sell_""&amp;SUBSTITUTE(C689,""Sell_"",""""))))/2),ROUNDUP(INDEX(Upgrades!$C$3:$C$13,MATCH(C689,Upgrades!$B$3:$B$13,0))*1.15^(COUNTIF(C$4:C688,C689)-COUNTIF(C$4:C688,""Sell_""&amp;C689))))))"),"")</f>
        <v/>
      </c>
      <c r="H689" s="10" t="str">
        <f t="shared" si="3"/>
        <v/>
      </c>
      <c r="I689" s="68" t="str">
        <f t="shared" si="4"/>
        <v/>
      </c>
      <c r="J689" s="59" t="str">
        <f t="shared" si="5"/>
        <v/>
      </c>
      <c r="K689" s="69" t="str">
        <f t="shared" si="6"/>
        <v/>
      </c>
      <c r="L689" s="60" t="str">
        <f t="shared" si="7"/>
        <v/>
      </c>
      <c r="M689" s="61" t="str">
        <f>IFERROR(__xludf.DUMMYFUNCTION("IFS(AND(COUNTA(C689:C1350)=0,COUNTA(Q689:Q1350)=0),"""",OR(AND(K689&gt;=1000000000,OR(Y689&gt;=1000000000,COUNTA(Q689:Q1350)=0)),OR(Y689&gt;=1000000000,AND(COUNTA(C689:C1350)=0,P$3=TRUE))),
ROUNDDOWN((AB$1-AC$1)*MAX(INDEX(T$4:T1350,MATCH(LARGE(FILTER(Y$4:Y1350,Y$4"&amp;":Y1350&lt;1000000000),1),Y$4:Y1350)),INDEX(F$4:F1350,MATCH(LARGE(FILTER(K$4:K1350,K$4:K1350&lt;1000000000),1),K$4:K1350)))),AND(K689&lt;1000000000,COUNTA(C689:C1350)&gt;0,P$3=FALSE),
ROUNDDOWN(INDEX(Y$4:Y1350,MATCH(LARGE(FILTER(W$4:W1350,W$4:W1350&lt;=I689),1),W$4:W1350"&amp;"))+(I689-LARGE(FILTER(W$4:W1350,W$4:W1350&lt;=I689),1))*INDEX(T$4:T1350,MATCH(LARGE(FILTER(W$4:W1350,W$4:W1350&lt;=I689),1),W$4:W1350))-K689),1,
ROUNDDOWN(Y689-INDEX(K$4:K1350,MATCH(LARGE(FILTER(I$4:I1350,I$4:I1350&lt;=W689),1),I$4:I1350))-(W689-LARGE(FILTER(I$4:I"&amp;"1350,I$4:I1350&lt;=W689),1))*INDEX(F$4:F1350,MATCH(LARGE(FILTER(I$4:I1350,I$4:I1350&lt;=W689),1),I$4:I1350))))"),"")</f>
        <v/>
      </c>
      <c r="N689" s="60" t="str">
        <f t="shared" si="8"/>
        <v/>
      </c>
      <c r="O689" s="61" t="str">
        <f t="shared" si="9"/>
        <v/>
      </c>
      <c r="P689" s="56" t="str">
        <f t="shared" si="10"/>
        <v/>
      </c>
      <c r="Q689" s="62"/>
      <c r="R689" s="10" t="str">
        <f>IFERROR(__xludf.DUMMYFUNCTION("IF(COUNTA(Q689:Q1350)=0,"""",IF(ISBLANK(Q689),FALSE,IF(NOT(COUNTIF($AA$24:$AA$34,SUBSTITUTE(Q689,""Sell_"",""""))),1,IF(REGEXMATCH(Q689,""Sell_""),IF(COUNTIF(Q$4:Q689,SUBSTITUTE(Q689,""Sell_"",""""))-COUNTIF(Q$4:Q688,Q689)&lt;1,1),FALSE))))"),"")</f>
        <v/>
      </c>
      <c r="S689" s="59" t="str">
        <f t="array" ref="S689">IF(COUNTA(Q689:Q1350)=0,"",SUM((COUNTIF(Q$4:Q689,Upgrades!$B$3:$B$13)-COUNTIF(Q$4:Q689,"Sell_"&amp;Upgrades!$B$3:$B$13))*Upgrades!$D$3:$D$13))</f>
        <v/>
      </c>
      <c r="T689" s="66" t="str">
        <f>IFERROR(__xludf.DUMMYFUNCTION("IF(COUNTA(Q689:Q1350)=0,"""",IF(REGEXMATCH(INDEX(FILTER(Q$4:Q689,Q$4:Q689&lt;&gt;""""),ROWS(FILTER(Q$4:Q689,Q$4:Q689&lt;&gt;""""))),""^Sell_""),INDEX(FILTER(T$4:T688,Q$4:Q688&lt;&gt;""""),ROWS(FILTER(Q$4:Q688,Q$4:Q688&lt;&gt;""""))),$AD$5+S689))"),"")</f>
        <v/>
      </c>
      <c r="U689" s="10" t="str">
        <f>IFERROR(__xludf.DUMMYFUNCTION("IF(COUNTA(Q689:Q1350)=0,"""",IF(Q689="""",0,IF(REGEXMATCH(Q689,""^Sell_""),-ROUNDDOWN(ROUNDUP(INDEX(Upgrades!$C$3:$C$13,MATCH(SUBSTITUTE(Q689,""Sell_"",""""),Upgrades!$B$3:$B$13,0))*1.15^(COUNTIF(Q$4:Q688,SUBSTITUTE(Q689,""Sell_"",""""))-COUNTIF(Q$4:Q688,"&amp;"""Sell_""&amp;SUBSTITUTE(Q689,""Sell_"",""""))))/2),ROUNDUP(INDEX(Upgrades!$C$3:$C$13,MATCH(Q689,Upgrades!$B$3:$B$13,0))*1.15^(COUNTIF(Q$4:Q688,Q689)-COUNTIF(Q$4:Q688,""Sell_""&amp;Q689))))))"),"")</f>
        <v/>
      </c>
      <c r="V689" s="10" t="str">
        <f t="shared" si="11"/>
        <v/>
      </c>
      <c r="W689" s="68" t="str">
        <f t="shared" si="12"/>
        <v/>
      </c>
      <c r="X689" s="59" t="str">
        <f t="shared" si="13"/>
        <v/>
      </c>
      <c r="Y689" s="69" t="str">
        <f t="shared" si="14"/>
        <v/>
      </c>
      <c r="Z689" s="11"/>
    </row>
    <row r="690">
      <c r="A690" s="8"/>
      <c r="B690" s="56" t="str">
        <f t="shared" si="2"/>
        <v/>
      </c>
      <c r="C690" s="57"/>
      <c r="D690" s="10" t="str">
        <f>IFERROR(__xludf.DUMMYFUNCTION("IF(COUNTA(C690:C1350)=0,"""",IF(ISBLANK(C690),FALSE,IF(NOT(COUNTIF($AA$24:$AA$34,SUBSTITUTE(C690,""Sell_"",""""))),1,IF(REGEXMATCH(C690,""Sell_""),IF(COUNTIF(C$4:C690,SUBSTITUTE(C690,""Sell_"",""""))-COUNTIF(C$4:C689,C690)&lt;1,1),FALSE))))"),"")</f>
        <v/>
      </c>
      <c r="E690" s="59" t="str">
        <f t="array" ref="E690">IF(COUNTA(C690:C1350)=0,"",SUM((COUNTIF(C$4:C690,Upgrades!$B$3:$B$13)-COUNTIF(C$4:C690,"Sell_"&amp;Upgrades!$B$3:$B$13))*Upgrades!$D$3:$D$13))</f>
        <v/>
      </c>
      <c r="F690" s="66" t="str">
        <f>IFERROR(__xludf.DUMMYFUNCTION("IF(COUNTA(C690:C1350)=0,"""",IF(REGEXMATCH(INDEX(FILTER(C$4:C690,C$4:C690&lt;&gt;""""),ROWS(FILTER(C$4:C690,C$4:C690&lt;&gt;""""))),""^Sell_""),INDEX(FILTER(F$4:F689,C$4:C689&lt;&gt;""""),ROWS(FILTER(C$4:C689,C$4:C689&lt;&gt;""""))),$AC$5+E690))"),"")</f>
        <v/>
      </c>
      <c r="G690" s="10" t="str">
        <f>IFERROR(__xludf.DUMMYFUNCTION("IF(COUNTA(C690:C1350)=0,"""",IF(C690="""",0,IF(REGEXMATCH(C690,""^Sell_""),-ROUNDDOWN(ROUNDUP(INDEX(Upgrades!$C$3:$C$13,MATCH(SUBSTITUTE(C690,""Sell_"",""""),Upgrades!$B$3:$B$13,0))*1.15^(COUNTIF(C$4:C689,SUBSTITUTE(C690,""Sell_"",""""))-COUNTIF(C$4:C689,"&amp;"""Sell_""&amp;SUBSTITUTE(C690,""Sell_"",""""))))/2),ROUNDUP(INDEX(Upgrades!$C$3:$C$13,MATCH(C690,Upgrades!$B$3:$B$13,0))*1.15^(COUNTIF(C$4:C689,C690)-COUNTIF(C$4:C689,""Sell_""&amp;C690))))))"),"")</f>
        <v/>
      </c>
      <c r="H690" s="10" t="str">
        <f t="shared" si="3"/>
        <v/>
      </c>
      <c r="I690" s="68" t="str">
        <f t="shared" si="4"/>
        <v/>
      </c>
      <c r="J690" s="59" t="str">
        <f t="shared" si="5"/>
        <v/>
      </c>
      <c r="K690" s="69" t="str">
        <f t="shared" si="6"/>
        <v/>
      </c>
      <c r="L690" s="60" t="str">
        <f t="shared" si="7"/>
        <v/>
      </c>
      <c r="M690" s="61" t="str">
        <f>IFERROR(__xludf.DUMMYFUNCTION("IFS(AND(COUNTA(C690:C1350)=0,COUNTA(Q690:Q1350)=0),"""",OR(AND(K690&gt;=1000000000,OR(Y690&gt;=1000000000,COUNTA(Q690:Q1350)=0)),OR(Y690&gt;=1000000000,AND(COUNTA(C690:C1350)=0,P$3=TRUE))),
ROUNDDOWN((AB$1-AC$1)*MAX(INDEX(T$4:T1350,MATCH(LARGE(FILTER(Y$4:Y1350,Y$4"&amp;":Y1350&lt;1000000000),1),Y$4:Y1350)),INDEX(F$4:F1350,MATCH(LARGE(FILTER(K$4:K1350,K$4:K1350&lt;1000000000),1),K$4:K1350)))),AND(K690&lt;1000000000,COUNTA(C690:C1350)&gt;0,P$3=FALSE),
ROUNDDOWN(INDEX(Y$4:Y1350,MATCH(LARGE(FILTER(W$4:W1350,W$4:W1350&lt;=I690),1),W$4:W1350"&amp;"))+(I690-LARGE(FILTER(W$4:W1350,W$4:W1350&lt;=I690),1))*INDEX(T$4:T1350,MATCH(LARGE(FILTER(W$4:W1350,W$4:W1350&lt;=I690),1),W$4:W1350))-K690),1,
ROUNDDOWN(Y690-INDEX(K$4:K1350,MATCH(LARGE(FILTER(I$4:I1350,I$4:I1350&lt;=W690),1),I$4:I1350))-(W690-LARGE(FILTER(I$4:I"&amp;"1350,I$4:I1350&lt;=W690),1))*INDEX(F$4:F1350,MATCH(LARGE(FILTER(I$4:I1350,I$4:I1350&lt;=W690),1),I$4:I1350))))"),"")</f>
        <v/>
      </c>
      <c r="N690" s="60" t="str">
        <f t="shared" si="8"/>
        <v/>
      </c>
      <c r="O690" s="61" t="str">
        <f t="shared" si="9"/>
        <v/>
      </c>
      <c r="P690" s="56" t="str">
        <f t="shared" si="10"/>
        <v/>
      </c>
      <c r="Q690" s="62"/>
      <c r="R690" s="10" t="str">
        <f>IFERROR(__xludf.DUMMYFUNCTION("IF(COUNTA(Q690:Q1350)=0,"""",IF(ISBLANK(Q690),FALSE,IF(NOT(COUNTIF($AA$24:$AA$34,SUBSTITUTE(Q690,""Sell_"",""""))),1,IF(REGEXMATCH(Q690,""Sell_""),IF(COUNTIF(Q$4:Q690,SUBSTITUTE(Q690,""Sell_"",""""))-COUNTIF(Q$4:Q689,Q690)&lt;1,1),FALSE))))"),"")</f>
        <v/>
      </c>
      <c r="S690" s="59" t="str">
        <f t="array" ref="S690">IF(COUNTA(Q690:Q1350)=0,"",SUM((COUNTIF(Q$4:Q690,Upgrades!$B$3:$B$13)-COUNTIF(Q$4:Q690,"Sell_"&amp;Upgrades!$B$3:$B$13))*Upgrades!$D$3:$D$13))</f>
        <v/>
      </c>
      <c r="T690" s="66" t="str">
        <f>IFERROR(__xludf.DUMMYFUNCTION("IF(COUNTA(Q690:Q1350)=0,"""",IF(REGEXMATCH(INDEX(FILTER(Q$4:Q690,Q$4:Q690&lt;&gt;""""),ROWS(FILTER(Q$4:Q690,Q$4:Q690&lt;&gt;""""))),""^Sell_""),INDEX(FILTER(T$4:T689,Q$4:Q689&lt;&gt;""""),ROWS(FILTER(Q$4:Q689,Q$4:Q689&lt;&gt;""""))),$AD$5+S690))"),"")</f>
        <v/>
      </c>
      <c r="U690" s="10" t="str">
        <f>IFERROR(__xludf.DUMMYFUNCTION("IF(COUNTA(Q690:Q1350)=0,"""",IF(Q690="""",0,IF(REGEXMATCH(Q690,""^Sell_""),-ROUNDDOWN(ROUNDUP(INDEX(Upgrades!$C$3:$C$13,MATCH(SUBSTITUTE(Q690,""Sell_"",""""),Upgrades!$B$3:$B$13,0))*1.15^(COUNTIF(Q$4:Q689,SUBSTITUTE(Q690,""Sell_"",""""))-COUNTIF(Q$4:Q689,"&amp;"""Sell_""&amp;SUBSTITUTE(Q690,""Sell_"",""""))))/2),ROUNDUP(INDEX(Upgrades!$C$3:$C$13,MATCH(Q690,Upgrades!$B$3:$B$13,0))*1.15^(COUNTIF(Q$4:Q689,Q690)-COUNTIF(Q$4:Q689,""Sell_""&amp;Q690))))))"),"")</f>
        <v/>
      </c>
      <c r="V690" s="10" t="str">
        <f t="shared" si="11"/>
        <v/>
      </c>
      <c r="W690" s="68" t="str">
        <f t="shared" si="12"/>
        <v/>
      </c>
      <c r="X690" s="59" t="str">
        <f t="shared" si="13"/>
        <v/>
      </c>
      <c r="Y690" s="69" t="str">
        <f t="shared" si="14"/>
        <v/>
      </c>
      <c r="Z690" s="11"/>
    </row>
    <row r="691">
      <c r="A691" s="8"/>
      <c r="B691" s="56" t="str">
        <f t="shared" si="2"/>
        <v/>
      </c>
      <c r="C691" s="57"/>
      <c r="D691" s="10" t="str">
        <f>IFERROR(__xludf.DUMMYFUNCTION("IF(COUNTA(C691:C1350)=0,"""",IF(ISBLANK(C691),FALSE,IF(NOT(COUNTIF($AA$24:$AA$34,SUBSTITUTE(C691,""Sell_"",""""))),1,IF(REGEXMATCH(C691,""Sell_""),IF(COUNTIF(C$4:C691,SUBSTITUTE(C691,""Sell_"",""""))-COUNTIF(C$4:C690,C691)&lt;1,1),FALSE))))"),"")</f>
        <v/>
      </c>
      <c r="E691" s="59" t="str">
        <f t="array" ref="E691">IF(COUNTA(C691:C1350)=0,"",SUM((COUNTIF(C$4:C691,Upgrades!$B$3:$B$13)-COUNTIF(C$4:C691,"Sell_"&amp;Upgrades!$B$3:$B$13))*Upgrades!$D$3:$D$13))</f>
        <v/>
      </c>
      <c r="F691" s="66" t="str">
        <f>IFERROR(__xludf.DUMMYFUNCTION("IF(COUNTA(C691:C1350)=0,"""",IF(REGEXMATCH(INDEX(FILTER(C$4:C691,C$4:C691&lt;&gt;""""),ROWS(FILTER(C$4:C691,C$4:C691&lt;&gt;""""))),""^Sell_""),INDEX(FILTER(F$4:F690,C$4:C690&lt;&gt;""""),ROWS(FILTER(C$4:C690,C$4:C690&lt;&gt;""""))),$AC$5+E691))"),"")</f>
        <v/>
      </c>
      <c r="G691" s="10" t="str">
        <f>IFERROR(__xludf.DUMMYFUNCTION("IF(COUNTA(C691:C1350)=0,"""",IF(C691="""",0,IF(REGEXMATCH(C691,""^Sell_""),-ROUNDDOWN(ROUNDUP(INDEX(Upgrades!$C$3:$C$13,MATCH(SUBSTITUTE(C691,""Sell_"",""""),Upgrades!$B$3:$B$13,0))*1.15^(COUNTIF(C$4:C690,SUBSTITUTE(C691,""Sell_"",""""))-COUNTIF(C$4:C690,"&amp;"""Sell_""&amp;SUBSTITUTE(C691,""Sell_"",""""))))/2),ROUNDUP(INDEX(Upgrades!$C$3:$C$13,MATCH(C691,Upgrades!$B$3:$B$13,0))*1.15^(COUNTIF(C$4:C690,C691)-COUNTIF(C$4:C690,""Sell_""&amp;C691))))))"),"")</f>
        <v/>
      </c>
      <c r="H691" s="10" t="str">
        <f t="shared" si="3"/>
        <v/>
      </c>
      <c r="I691" s="68" t="str">
        <f t="shared" si="4"/>
        <v/>
      </c>
      <c r="J691" s="59" t="str">
        <f t="shared" si="5"/>
        <v/>
      </c>
      <c r="K691" s="69" t="str">
        <f t="shared" si="6"/>
        <v/>
      </c>
      <c r="L691" s="60" t="str">
        <f t="shared" si="7"/>
        <v/>
      </c>
      <c r="M691" s="61" t="str">
        <f>IFERROR(__xludf.DUMMYFUNCTION("IFS(AND(COUNTA(C691:C1350)=0,COUNTA(Q691:Q1350)=0),"""",OR(AND(K691&gt;=1000000000,OR(Y691&gt;=1000000000,COUNTA(Q691:Q1350)=0)),OR(Y691&gt;=1000000000,AND(COUNTA(C691:C1350)=0,P$3=TRUE))),
ROUNDDOWN((AB$1-AC$1)*MAX(INDEX(T$4:T1350,MATCH(LARGE(FILTER(Y$4:Y1350,Y$4"&amp;":Y1350&lt;1000000000),1),Y$4:Y1350)),INDEX(F$4:F1350,MATCH(LARGE(FILTER(K$4:K1350,K$4:K1350&lt;1000000000),1),K$4:K1350)))),AND(K691&lt;1000000000,COUNTA(C691:C1350)&gt;0,P$3=FALSE),
ROUNDDOWN(INDEX(Y$4:Y1350,MATCH(LARGE(FILTER(W$4:W1350,W$4:W1350&lt;=I691),1),W$4:W1350"&amp;"))+(I691-LARGE(FILTER(W$4:W1350,W$4:W1350&lt;=I691),1))*INDEX(T$4:T1350,MATCH(LARGE(FILTER(W$4:W1350,W$4:W1350&lt;=I691),1),W$4:W1350))-K691),1,
ROUNDDOWN(Y691-INDEX(K$4:K1350,MATCH(LARGE(FILTER(I$4:I1350,I$4:I1350&lt;=W691),1),I$4:I1350))-(W691-LARGE(FILTER(I$4:I"&amp;"1350,I$4:I1350&lt;=W691),1))*INDEX(F$4:F1350,MATCH(LARGE(FILTER(I$4:I1350,I$4:I1350&lt;=W691),1),I$4:I1350))))"),"")</f>
        <v/>
      </c>
      <c r="N691" s="60" t="str">
        <f t="shared" si="8"/>
        <v/>
      </c>
      <c r="O691" s="61" t="str">
        <f t="shared" si="9"/>
        <v/>
      </c>
      <c r="P691" s="56" t="str">
        <f t="shared" si="10"/>
        <v/>
      </c>
      <c r="Q691" s="62"/>
      <c r="R691" s="10" t="str">
        <f>IFERROR(__xludf.DUMMYFUNCTION("IF(COUNTA(Q691:Q1350)=0,"""",IF(ISBLANK(Q691),FALSE,IF(NOT(COUNTIF($AA$24:$AA$34,SUBSTITUTE(Q691,""Sell_"",""""))),1,IF(REGEXMATCH(Q691,""Sell_""),IF(COUNTIF(Q$4:Q691,SUBSTITUTE(Q691,""Sell_"",""""))-COUNTIF(Q$4:Q690,Q691)&lt;1,1),FALSE))))"),"")</f>
        <v/>
      </c>
      <c r="S691" s="59" t="str">
        <f t="array" ref="S691">IF(COUNTA(Q691:Q1350)=0,"",SUM((COUNTIF(Q$4:Q691,Upgrades!$B$3:$B$13)-COUNTIF(Q$4:Q691,"Sell_"&amp;Upgrades!$B$3:$B$13))*Upgrades!$D$3:$D$13))</f>
        <v/>
      </c>
      <c r="T691" s="66" t="str">
        <f>IFERROR(__xludf.DUMMYFUNCTION("IF(COUNTA(Q691:Q1350)=0,"""",IF(REGEXMATCH(INDEX(FILTER(Q$4:Q691,Q$4:Q691&lt;&gt;""""),ROWS(FILTER(Q$4:Q691,Q$4:Q691&lt;&gt;""""))),""^Sell_""),INDEX(FILTER(T$4:T690,Q$4:Q690&lt;&gt;""""),ROWS(FILTER(Q$4:Q690,Q$4:Q690&lt;&gt;""""))),$AD$5+S691))"),"")</f>
        <v/>
      </c>
      <c r="U691" s="10" t="str">
        <f>IFERROR(__xludf.DUMMYFUNCTION("IF(COUNTA(Q691:Q1350)=0,"""",IF(Q691="""",0,IF(REGEXMATCH(Q691,""^Sell_""),-ROUNDDOWN(ROUNDUP(INDEX(Upgrades!$C$3:$C$13,MATCH(SUBSTITUTE(Q691,""Sell_"",""""),Upgrades!$B$3:$B$13,0))*1.15^(COUNTIF(Q$4:Q690,SUBSTITUTE(Q691,""Sell_"",""""))-COUNTIF(Q$4:Q690,"&amp;"""Sell_""&amp;SUBSTITUTE(Q691,""Sell_"",""""))))/2),ROUNDUP(INDEX(Upgrades!$C$3:$C$13,MATCH(Q691,Upgrades!$B$3:$B$13,0))*1.15^(COUNTIF(Q$4:Q690,Q691)-COUNTIF(Q$4:Q690,""Sell_""&amp;Q691))))))"),"")</f>
        <v/>
      </c>
      <c r="V691" s="10" t="str">
        <f t="shared" si="11"/>
        <v/>
      </c>
      <c r="W691" s="68" t="str">
        <f t="shared" si="12"/>
        <v/>
      </c>
      <c r="X691" s="59" t="str">
        <f t="shared" si="13"/>
        <v/>
      </c>
      <c r="Y691" s="69" t="str">
        <f t="shared" si="14"/>
        <v/>
      </c>
      <c r="Z691" s="11"/>
    </row>
    <row r="692">
      <c r="A692" s="8"/>
      <c r="B692" s="56" t="str">
        <f t="shared" si="2"/>
        <v/>
      </c>
      <c r="C692" s="57"/>
      <c r="D692" s="10" t="str">
        <f>IFERROR(__xludf.DUMMYFUNCTION("IF(COUNTA(C692:C1350)=0,"""",IF(ISBLANK(C692),FALSE,IF(NOT(COUNTIF($AA$24:$AA$34,SUBSTITUTE(C692,""Sell_"",""""))),1,IF(REGEXMATCH(C692,""Sell_""),IF(COUNTIF(C$4:C692,SUBSTITUTE(C692,""Sell_"",""""))-COUNTIF(C$4:C691,C692)&lt;1,1),FALSE))))"),"")</f>
        <v/>
      </c>
      <c r="E692" s="59" t="str">
        <f t="array" ref="E692">IF(COUNTA(C692:C1350)=0,"",SUM((COUNTIF(C$4:C692,Upgrades!$B$3:$B$13)-COUNTIF(C$4:C692,"Sell_"&amp;Upgrades!$B$3:$B$13))*Upgrades!$D$3:$D$13))</f>
        <v/>
      </c>
      <c r="F692" s="66" t="str">
        <f>IFERROR(__xludf.DUMMYFUNCTION("IF(COUNTA(C692:C1350)=0,"""",IF(REGEXMATCH(INDEX(FILTER(C$4:C692,C$4:C692&lt;&gt;""""),ROWS(FILTER(C$4:C692,C$4:C692&lt;&gt;""""))),""^Sell_""),INDEX(FILTER(F$4:F691,C$4:C691&lt;&gt;""""),ROWS(FILTER(C$4:C691,C$4:C691&lt;&gt;""""))),$AC$5+E692))"),"")</f>
        <v/>
      </c>
      <c r="G692" s="10" t="str">
        <f>IFERROR(__xludf.DUMMYFUNCTION("IF(COUNTA(C692:C1350)=0,"""",IF(C692="""",0,IF(REGEXMATCH(C692,""^Sell_""),-ROUNDDOWN(ROUNDUP(INDEX(Upgrades!$C$3:$C$13,MATCH(SUBSTITUTE(C692,""Sell_"",""""),Upgrades!$B$3:$B$13,0))*1.15^(COUNTIF(C$4:C691,SUBSTITUTE(C692,""Sell_"",""""))-COUNTIF(C$4:C691,"&amp;"""Sell_""&amp;SUBSTITUTE(C692,""Sell_"",""""))))/2),ROUNDUP(INDEX(Upgrades!$C$3:$C$13,MATCH(C692,Upgrades!$B$3:$B$13,0))*1.15^(COUNTIF(C$4:C691,C692)-COUNTIF(C$4:C691,""Sell_""&amp;C692))))))"),"")</f>
        <v/>
      </c>
      <c r="H692" s="10" t="str">
        <f t="shared" si="3"/>
        <v/>
      </c>
      <c r="I692" s="68" t="str">
        <f t="shared" si="4"/>
        <v/>
      </c>
      <c r="J692" s="59" t="str">
        <f t="shared" si="5"/>
        <v/>
      </c>
      <c r="K692" s="69" t="str">
        <f t="shared" si="6"/>
        <v/>
      </c>
      <c r="L692" s="60" t="str">
        <f t="shared" si="7"/>
        <v/>
      </c>
      <c r="M692" s="61" t="str">
        <f>IFERROR(__xludf.DUMMYFUNCTION("IFS(AND(COUNTA(C692:C1350)=0,COUNTA(Q692:Q1350)=0),"""",OR(AND(K692&gt;=1000000000,OR(Y692&gt;=1000000000,COUNTA(Q692:Q1350)=0)),OR(Y692&gt;=1000000000,AND(COUNTA(C692:C1350)=0,P$3=TRUE))),
ROUNDDOWN((AB$1-AC$1)*MAX(INDEX(T$4:T1350,MATCH(LARGE(FILTER(Y$4:Y1350,Y$4"&amp;":Y1350&lt;1000000000),1),Y$4:Y1350)),INDEX(F$4:F1350,MATCH(LARGE(FILTER(K$4:K1350,K$4:K1350&lt;1000000000),1),K$4:K1350)))),AND(K692&lt;1000000000,COUNTA(C692:C1350)&gt;0,P$3=FALSE),
ROUNDDOWN(INDEX(Y$4:Y1350,MATCH(LARGE(FILTER(W$4:W1350,W$4:W1350&lt;=I692),1),W$4:W1350"&amp;"))+(I692-LARGE(FILTER(W$4:W1350,W$4:W1350&lt;=I692),1))*INDEX(T$4:T1350,MATCH(LARGE(FILTER(W$4:W1350,W$4:W1350&lt;=I692),1),W$4:W1350))-K692),1,
ROUNDDOWN(Y692-INDEX(K$4:K1350,MATCH(LARGE(FILTER(I$4:I1350,I$4:I1350&lt;=W692),1),I$4:I1350))-(W692-LARGE(FILTER(I$4:I"&amp;"1350,I$4:I1350&lt;=W692),1))*INDEX(F$4:F1350,MATCH(LARGE(FILTER(I$4:I1350,I$4:I1350&lt;=W692),1),I$4:I1350))))"),"")</f>
        <v/>
      </c>
      <c r="N692" s="60" t="str">
        <f t="shared" si="8"/>
        <v/>
      </c>
      <c r="O692" s="61" t="str">
        <f t="shared" si="9"/>
        <v/>
      </c>
      <c r="P692" s="56" t="str">
        <f t="shared" si="10"/>
        <v/>
      </c>
      <c r="Q692" s="62"/>
      <c r="R692" s="10" t="str">
        <f>IFERROR(__xludf.DUMMYFUNCTION("IF(COUNTA(Q692:Q1350)=0,"""",IF(ISBLANK(Q692),FALSE,IF(NOT(COUNTIF($AA$24:$AA$34,SUBSTITUTE(Q692,""Sell_"",""""))),1,IF(REGEXMATCH(Q692,""Sell_""),IF(COUNTIF(Q$4:Q692,SUBSTITUTE(Q692,""Sell_"",""""))-COUNTIF(Q$4:Q691,Q692)&lt;1,1),FALSE))))"),"")</f>
        <v/>
      </c>
      <c r="S692" s="59" t="str">
        <f t="array" ref="S692">IF(COUNTA(Q692:Q1350)=0,"",SUM((COUNTIF(Q$4:Q692,Upgrades!$B$3:$B$13)-COUNTIF(Q$4:Q692,"Sell_"&amp;Upgrades!$B$3:$B$13))*Upgrades!$D$3:$D$13))</f>
        <v/>
      </c>
      <c r="T692" s="66" t="str">
        <f>IFERROR(__xludf.DUMMYFUNCTION("IF(COUNTA(Q692:Q1350)=0,"""",IF(REGEXMATCH(INDEX(FILTER(Q$4:Q692,Q$4:Q692&lt;&gt;""""),ROWS(FILTER(Q$4:Q692,Q$4:Q692&lt;&gt;""""))),""^Sell_""),INDEX(FILTER(T$4:T691,Q$4:Q691&lt;&gt;""""),ROWS(FILTER(Q$4:Q691,Q$4:Q691&lt;&gt;""""))),$AD$5+S692))"),"")</f>
        <v/>
      </c>
      <c r="U692" s="10" t="str">
        <f>IFERROR(__xludf.DUMMYFUNCTION("IF(COUNTA(Q692:Q1350)=0,"""",IF(Q692="""",0,IF(REGEXMATCH(Q692,""^Sell_""),-ROUNDDOWN(ROUNDUP(INDEX(Upgrades!$C$3:$C$13,MATCH(SUBSTITUTE(Q692,""Sell_"",""""),Upgrades!$B$3:$B$13,0))*1.15^(COUNTIF(Q$4:Q691,SUBSTITUTE(Q692,""Sell_"",""""))-COUNTIF(Q$4:Q691,"&amp;"""Sell_""&amp;SUBSTITUTE(Q692,""Sell_"",""""))))/2),ROUNDUP(INDEX(Upgrades!$C$3:$C$13,MATCH(Q692,Upgrades!$B$3:$B$13,0))*1.15^(COUNTIF(Q$4:Q691,Q692)-COUNTIF(Q$4:Q691,""Sell_""&amp;Q692))))))"),"")</f>
        <v/>
      </c>
      <c r="V692" s="10" t="str">
        <f t="shared" si="11"/>
        <v/>
      </c>
      <c r="W692" s="68" t="str">
        <f t="shared" si="12"/>
        <v/>
      </c>
      <c r="X692" s="59" t="str">
        <f t="shared" si="13"/>
        <v/>
      </c>
      <c r="Y692" s="69" t="str">
        <f t="shared" si="14"/>
        <v/>
      </c>
      <c r="Z692" s="11"/>
    </row>
    <row r="693">
      <c r="A693" s="8"/>
      <c r="B693" s="56" t="str">
        <f t="shared" si="2"/>
        <v/>
      </c>
      <c r="C693" s="57"/>
      <c r="D693" s="10" t="str">
        <f>IFERROR(__xludf.DUMMYFUNCTION("IF(COUNTA(C693:C1350)=0,"""",IF(ISBLANK(C693),FALSE,IF(NOT(COUNTIF($AA$24:$AA$34,SUBSTITUTE(C693,""Sell_"",""""))),1,IF(REGEXMATCH(C693,""Sell_""),IF(COUNTIF(C$4:C693,SUBSTITUTE(C693,""Sell_"",""""))-COUNTIF(C$4:C692,C693)&lt;1,1),FALSE))))"),"")</f>
        <v/>
      </c>
      <c r="E693" s="59" t="str">
        <f t="array" ref="E693">IF(COUNTA(C693:C1350)=0,"",SUM((COUNTIF(C$4:C693,Upgrades!$B$3:$B$13)-COUNTIF(C$4:C693,"Sell_"&amp;Upgrades!$B$3:$B$13))*Upgrades!$D$3:$D$13))</f>
        <v/>
      </c>
      <c r="F693" s="66" t="str">
        <f>IFERROR(__xludf.DUMMYFUNCTION("IF(COUNTA(C693:C1350)=0,"""",IF(REGEXMATCH(INDEX(FILTER(C$4:C693,C$4:C693&lt;&gt;""""),ROWS(FILTER(C$4:C693,C$4:C693&lt;&gt;""""))),""^Sell_""),INDEX(FILTER(F$4:F692,C$4:C692&lt;&gt;""""),ROWS(FILTER(C$4:C692,C$4:C692&lt;&gt;""""))),$AC$5+E693))"),"")</f>
        <v/>
      </c>
      <c r="G693" s="10" t="str">
        <f>IFERROR(__xludf.DUMMYFUNCTION("IF(COUNTA(C693:C1350)=0,"""",IF(C693="""",0,IF(REGEXMATCH(C693,""^Sell_""),-ROUNDDOWN(ROUNDUP(INDEX(Upgrades!$C$3:$C$13,MATCH(SUBSTITUTE(C693,""Sell_"",""""),Upgrades!$B$3:$B$13,0))*1.15^(COUNTIF(C$4:C692,SUBSTITUTE(C693,""Sell_"",""""))-COUNTIF(C$4:C692,"&amp;"""Sell_""&amp;SUBSTITUTE(C693,""Sell_"",""""))))/2),ROUNDUP(INDEX(Upgrades!$C$3:$C$13,MATCH(C693,Upgrades!$B$3:$B$13,0))*1.15^(COUNTIF(C$4:C692,C693)-COUNTIF(C$4:C692,""Sell_""&amp;C693))))))"),"")</f>
        <v/>
      </c>
      <c r="H693" s="10" t="str">
        <f t="shared" si="3"/>
        <v/>
      </c>
      <c r="I693" s="68" t="str">
        <f t="shared" si="4"/>
        <v/>
      </c>
      <c r="J693" s="59" t="str">
        <f t="shared" si="5"/>
        <v/>
      </c>
      <c r="K693" s="69" t="str">
        <f t="shared" si="6"/>
        <v/>
      </c>
      <c r="L693" s="60" t="str">
        <f t="shared" si="7"/>
        <v/>
      </c>
      <c r="M693" s="61" t="str">
        <f>IFERROR(__xludf.DUMMYFUNCTION("IFS(AND(COUNTA(C693:C1350)=0,COUNTA(Q693:Q1350)=0),"""",OR(AND(K693&gt;=1000000000,OR(Y693&gt;=1000000000,COUNTA(Q693:Q1350)=0)),OR(Y693&gt;=1000000000,AND(COUNTA(C693:C1350)=0,P$3=TRUE))),
ROUNDDOWN((AB$1-AC$1)*MAX(INDEX(T$4:T1350,MATCH(LARGE(FILTER(Y$4:Y1350,Y$4"&amp;":Y1350&lt;1000000000),1),Y$4:Y1350)),INDEX(F$4:F1350,MATCH(LARGE(FILTER(K$4:K1350,K$4:K1350&lt;1000000000),1),K$4:K1350)))),AND(K693&lt;1000000000,COUNTA(C693:C1350)&gt;0,P$3=FALSE),
ROUNDDOWN(INDEX(Y$4:Y1350,MATCH(LARGE(FILTER(W$4:W1350,W$4:W1350&lt;=I693),1),W$4:W1350"&amp;"))+(I693-LARGE(FILTER(W$4:W1350,W$4:W1350&lt;=I693),1))*INDEX(T$4:T1350,MATCH(LARGE(FILTER(W$4:W1350,W$4:W1350&lt;=I693),1),W$4:W1350))-K693),1,
ROUNDDOWN(Y693-INDEX(K$4:K1350,MATCH(LARGE(FILTER(I$4:I1350,I$4:I1350&lt;=W693),1),I$4:I1350))-(W693-LARGE(FILTER(I$4:I"&amp;"1350,I$4:I1350&lt;=W693),1))*INDEX(F$4:F1350,MATCH(LARGE(FILTER(I$4:I1350,I$4:I1350&lt;=W693),1),I$4:I1350))))"),"")</f>
        <v/>
      </c>
      <c r="N693" s="60" t="str">
        <f t="shared" si="8"/>
        <v/>
      </c>
      <c r="O693" s="61" t="str">
        <f t="shared" si="9"/>
        <v/>
      </c>
      <c r="P693" s="56" t="str">
        <f t="shared" si="10"/>
        <v/>
      </c>
      <c r="Q693" s="62"/>
      <c r="R693" s="10" t="str">
        <f>IFERROR(__xludf.DUMMYFUNCTION("IF(COUNTA(Q693:Q1350)=0,"""",IF(ISBLANK(Q693),FALSE,IF(NOT(COUNTIF($AA$24:$AA$34,SUBSTITUTE(Q693,""Sell_"",""""))),1,IF(REGEXMATCH(Q693,""Sell_""),IF(COUNTIF(Q$4:Q693,SUBSTITUTE(Q693,""Sell_"",""""))-COUNTIF(Q$4:Q692,Q693)&lt;1,1),FALSE))))"),"")</f>
        <v/>
      </c>
      <c r="S693" s="59" t="str">
        <f t="array" ref="S693">IF(COUNTA(Q693:Q1350)=0,"",SUM((COUNTIF(Q$4:Q693,Upgrades!$B$3:$B$13)-COUNTIF(Q$4:Q693,"Sell_"&amp;Upgrades!$B$3:$B$13))*Upgrades!$D$3:$D$13))</f>
        <v/>
      </c>
      <c r="T693" s="66" t="str">
        <f>IFERROR(__xludf.DUMMYFUNCTION("IF(COUNTA(Q693:Q1350)=0,"""",IF(REGEXMATCH(INDEX(FILTER(Q$4:Q693,Q$4:Q693&lt;&gt;""""),ROWS(FILTER(Q$4:Q693,Q$4:Q693&lt;&gt;""""))),""^Sell_""),INDEX(FILTER(T$4:T692,Q$4:Q692&lt;&gt;""""),ROWS(FILTER(Q$4:Q692,Q$4:Q692&lt;&gt;""""))),$AD$5+S693))"),"")</f>
        <v/>
      </c>
      <c r="U693" s="10" t="str">
        <f>IFERROR(__xludf.DUMMYFUNCTION("IF(COUNTA(Q693:Q1350)=0,"""",IF(Q693="""",0,IF(REGEXMATCH(Q693,""^Sell_""),-ROUNDDOWN(ROUNDUP(INDEX(Upgrades!$C$3:$C$13,MATCH(SUBSTITUTE(Q693,""Sell_"",""""),Upgrades!$B$3:$B$13,0))*1.15^(COUNTIF(Q$4:Q692,SUBSTITUTE(Q693,""Sell_"",""""))-COUNTIF(Q$4:Q692,"&amp;"""Sell_""&amp;SUBSTITUTE(Q693,""Sell_"",""""))))/2),ROUNDUP(INDEX(Upgrades!$C$3:$C$13,MATCH(Q693,Upgrades!$B$3:$B$13,0))*1.15^(COUNTIF(Q$4:Q692,Q693)-COUNTIF(Q$4:Q692,""Sell_""&amp;Q693))))))"),"")</f>
        <v/>
      </c>
      <c r="V693" s="10" t="str">
        <f t="shared" si="11"/>
        <v/>
      </c>
      <c r="W693" s="68" t="str">
        <f t="shared" si="12"/>
        <v/>
      </c>
      <c r="X693" s="59" t="str">
        <f t="shared" si="13"/>
        <v/>
      </c>
      <c r="Y693" s="69" t="str">
        <f t="shared" si="14"/>
        <v/>
      </c>
      <c r="Z693" s="11"/>
    </row>
    <row r="694">
      <c r="A694" s="8"/>
      <c r="B694" s="56" t="str">
        <f t="shared" si="2"/>
        <v/>
      </c>
      <c r="C694" s="57"/>
      <c r="D694" s="10" t="str">
        <f>IFERROR(__xludf.DUMMYFUNCTION("IF(COUNTA(C694:C1350)=0,"""",IF(ISBLANK(C694),FALSE,IF(NOT(COUNTIF($AA$24:$AA$34,SUBSTITUTE(C694,""Sell_"",""""))),1,IF(REGEXMATCH(C694,""Sell_""),IF(COUNTIF(C$4:C694,SUBSTITUTE(C694,""Sell_"",""""))-COUNTIF(C$4:C693,C694)&lt;1,1),FALSE))))"),"")</f>
        <v/>
      </c>
      <c r="E694" s="59" t="str">
        <f t="array" ref="E694">IF(COUNTA(C694:C1350)=0,"",SUM((COUNTIF(C$4:C694,Upgrades!$B$3:$B$13)-COUNTIF(C$4:C694,"Sell_"&amp;Upgrades!$B$3:$B$13))*Upgrades!$D$3:$D$13))</f>
        <v/>
      </c>
      <c r="F694" s="66" t="str">
        <f>IFERROR(__xludf.DUMMYFUNCTION("IF(COUNTA(C694:C1350)=0,"""",IF(REGEXMATCH(INDEX(FILTER(C$4:C694,C$4:C694&lt;&gt;""""),ROWS(FILTER(C$4:C694,C$4:C694&lt;&gt;""""))),""^Sell_""),INDEX(FILTER(F$4:F693,C$4:C693&lt;&gt;""""),ROWS(FILTER(C$4:C693,C$4:C693&lt;&gt;""""))),$AC$5+E694))"),"")</f>
        <v/>
      </c>
      <c r="G694" s="10" t="str">
        <f>IFERROR(__xludf.DUMMYFUNCTION("IF(COUNTA(C694:C1350)=0,"""",IF(C694="""",0,IF(REGEXMATCH(C694,""^Sell_""),-ROUNDDOWN(ROUNDUP(INDEX(Upgrades!$C$3:$C$13,MATCH(SUBSTITUTE(C694,""Sell_"",""""),Upgrades!$B$3:$B$13,0))*1.15^(COUNTIF(C$4:C693,SUBSTITUTE(C694,""Sell_"",""""))-COUNTIF(C$4:C693,"&amp;"""Sell_""&amp;SUBSTITUTE(C694,""Sell_"",""""))))/2),ROUNDUP(INDEX(Upgrades!$C$3:$C$13,MATCH(C694,Upgrades!$B$3:$B$13,0))*1.15^(COUNTIF(C$4:C693,C694)-COUNTIF(C$4:C693,""Sell_""&amp;C694))))))"),"")</f>
        <v/>
      </c>
      <c r="H694" s="10" t="str">
        <f t="shared" si="3"/>
        <v/>
      </c>
      <c r="I694" s="68" t="str">
        <f t="shared" si="4"/>
        <v/>
      </c>
      <c r="J694" s="59" t="str">
        <f t="shared" si="5"/>
        <v/>
      </c>
      <c r="K694" s="69" t="str">
        <f t="shared" si="6"/>
        <v/>
      </c>
      <c r="L694" s="60" t="str">
        <f t="shared" si="7"/>
        <v/>
      </c>
      <c r="M694" s="61" t="str">
        <f>IFERROR(__xludf.DUMMYFUNCTION("IFS(AND(COUNTA(C694:C1350)=0,COUNTA(Q694:Q1350)=0),"""",OR(AND(K694&gt;=1000000000,OR(Y694&gt;=1000000000,COUNTA(Q694:Q1350)=0)),OR(Y694&gt;=1000000000,AND(COUNTA(C694:C1350)=0,P$3=TRUE))),
ROUNDDOWN((AB$1-AC$1)*MAX(INDEX(T$4:T1350,MATCH(LARGE(FILTER(Y$4:Y1350,Y$4"&amp;":Y1350&lt;1000000000),1),Y$4:Y1350)),INDEX(F$4:F1350,MATCH(LARGE(FILTER(K$4:K1350,K$4:K1350&lt;1000000000),1),K$4:K1350)))),AND(K694&lt;1000000000,COUNTA(C694:C1350)&gt;0,P$3=FALSE),
ROUNDDOWN(INDEX(Y$4:Y1350,MATCH(LARGE(FILTER(W$4:W1350,W$4:W1350&lt;=I694),1),W$4:W1350"&amp;"))+(I694-LARGE(FILTER(W$4:W1350,W$4:W1350&lt;=I694),1))*INDEX(T$4:T1350,MATCH(LARGE(FILTER(W$4:W1350,W$4:W1350&lt;=I694),1),W$4:W1350))-K694),1,
ROUNDDOWN(Y694-INDEX(K$4:K1350,MATCH(LARGE(FILTER(I$4:I1350,I$4:I1350&lt;=W694),1),I$4:I1350))-(W694-LARGE(FILTER(I$4:I"&amp;"1350,I$4:I1350&lt;=W694),1))*INDEX(F$4:F1350,MATCH(LARGE(FILTER(I$4:I1350,I$4:I1350&lt;=W694),1),I$4:I1350))))"),"")</f>
        <v/>
      </c>
      <c r="N694" s="60" t="str">
        <f t="shared" si="8"/>
        <v/>
      </c>
      <c r="O694" s="61" t="str">
        <f t="shared" si="9"/>
        <v/>
      </c>
      <c r="P694" s="56" t="str">
        <f t="shared" si="10"/>
        <v/>
      </c>
      <c r="Q694" s="62"/>
      <c r="R694" s="10" t="str">
        <f>IFERROR(__xludf.DUMMYFUNCTION("IF(COUNTA(Q694:Q1350)=0,"""",IF(ISBLANK(Q694),FALSE,IF(NOT(COUNTIF($AA$24:$AA$34,SUBSTITUTE(Q694,""Sell_"",""""))),1,IF(REGEXMATCH(Q694,""Sell_""),IF(COUNTIF(Q$4:Q694,SUBSTITUTE(Q694,""Sell_"",""""))-COUNTIF(Q$4:Q693,Q694)&lt;1,1),FALSE))))"),"")</f>
        <v/>
      </c>
      <c r="S694" s="59" t="str">
        <f t="array" ref="S694">IF(COUNTA(Q694:Q1350)=0,"",SUM((COUNTIF(Q$4:Q694,Upgrades!$B$3:$B$13)-COUNTIF(Q$4:Q694,"Sell_"&amp;Upgrades!$B$3:$B$13))*Upgrades!$D$3:$D$13))</f>
        <v/>
      </c>
      <c r="T694" s="66" t="str">
        <f>IFERROR(__xludf.DUMMYFUNCTION("IF(COUNTA(Q694:Q1350)=0,"""",IF(REGEXMATCH(INDEX(FILTER(Q$4:Q694,Q$4:Q694&lt;&gt;""""),ROWS(FILTER(Q$4:Q694,Q$4:Q694&lt;&gt;""""))),""^Sell_""),INDEX(FILTER(T$4:T693,Q$4:Q693&lt;&gt;""""),ROWS(FILTER(Q$4:Q693,Q$4:Q693&lt;&gt;""""))),$AD$5+S694))"),"")</f>
        <v/>
      </c>
      <c r="U694" s="10" t="str">
        <f>IFERROR(__xludf.DUMMYFUNCTION("IF(COUNTA(Q694:Q1350)=0,"""",IF(Q694="""",0,IF(REGEXMATCH(Q694,""^Sell_""),-ROUNDDOWN(ROUNDUP(INDEX(Upgrades!$C$3:$C$13,MATCH(SUBSTITUTE(Q694,""Sell_"",""""),Upgrades!$B$3:$B$13,0))*1.15^(COUNTIF(Q$4:Q693,SUBSTITUTE(Q694,""Sell_"",""""))-COUNTIF(Q$4:Q693,"&amp;"""Sell_""&amp;SUBSTITUTE(Q694,""Sell_"",""""))))/2),ROUNDUP(INDEX(Upgrades!$C$3:$C$13,MATCH(Q694,Upgrades!$B$3:$B$13,0))*1.15^(COUNTIF(Q$4:Q693,Q694)-COUNTIF(Q$4:Q693,""Sell_""&amp;Q694))))))"),"")</f>
        <v/>
      </c>
      <c r="V694" s="10" t="str">
        <f t="shared" si="11"/>
        <v/>
      </c>
      <c r="W694" s="68" t="str">
        <f t="shared" si="12"/>
        <v/>
      </c>
      <c r="X694" s="59" t="str">
        <f t="shared" si="13"/>
        <v/>
      </c>
      <c r="Y694" s="69" t="str">
        <f t="shared" si="14"/>
        <v/>
      </c>
      <c r="Z694" s="11"/>
    </row>
    <row r="695">
      <c r="A695" s="8"/>
      <c r="B695" s="56" t="str">
        <f t="shared" si="2"/>
        <v/>
      </c>
      <c r="C695" s="57"/>
      <c r="D695" s="10" t="str">
        <f>IFERROR(__xludf.DUMMYFUNCTION("IF(COUNTA(C695:C1350)=0,"""",IF(ISBLANK(C695),FALSE,IF(NOT(COUNTIF($AA$24:$AA$34,SUBSTITUTE(C695,""Sell_"",""""))),1,IF(REGEXMATCH(C695,""Sell_""),IF(COUNTIF(C$4:C695,SUBSTITUTE(C695,""Sell_"",""""))-COUNTIF(C$4:C694,C695)&lt;1,1),FALSE))))"),"")</f>
        <v/>
      </c>
      <c r="E695" s="59" t="str">
        <f t="array" ref="E695">IF(COUNTA(C695:C1350)=0,"",SUM((COUNTIF(C$4:C695,Upgrades!$B$3:$B$13)-COUNTIF(C$4:C695,"Sell_"&amp;Upgrades!$B$3:$B$13))*Upgrades!$D$3:$D$13))</f>
        <v/>
      </c>
      <c r="F695" s="66" t="str">
        <f>IFERROR(__xludf.DUMMYFUNCTION("IF(COUNTA(C695:C1350)=0,"""",IF(REGEXMATCH(INDEX(FILTER(C$4:C695,C$4:C695&lt;&gt;""""),ROWS(FILTER(C$4:C695,C$4:C695&lt;&gt;""""))),""^Sell_""),INDEX(FILTER(F$4:F694,C$4:C694&lt;&gt;""""),ROWS(FILTER(C$4:C694,C$4:C694&lt;&gt;""""))),$AC$5+E695))"),"")</f>
        <v/>
      </c>
      <c r="G695" s="10" t="str">
        <f>IFERROR(__xludf.DUMMYFUNCTION("IF(COUNTA(C695:C1350)=0,"""",IF(C695="""",0,IF(REGEXMATCH(C695,""^Sell_""),-ROUNDDOWN(ROUNDUP(INDEX(Upgrades!$C$3:$C$13,MATCH(SUBSTITUTE(C695,""Sell_"",""""),Upgrades!$B$3:$B$13,0))*1.15^(COUNTIF(C$4:C694,SUBSTITUTE(C695,""Sell_"",""""))-COUNTIF(C$4:C694,"&amp;"""Sell_""&amp;SUBSTITUTE(C695,""Sell_"",""""))))/2),ROUNDUP(INDEX(Upgrades!$C$3:$C$13,MATCH(C695,Upgrades!$B$3:$B$13,0))*1.15^(COUNTIF(C$4:C694,C695)-COUNTIF(C$4:C694,""Sell_""&amp;C695))))))"),"")</f>
        <v/>
      </c>
      <c r="H695" s="10" t="str">
        <f t="shared" si="3"/>
        <v/>
      </c>
      <c r="I695" s="68" t="str">
        <f t="shared" si="4"/>
        <v/>
      </c>
      <c r="J695" s="59" t="str">
        <f t="shared" si="5"/>
        <v/>
      </c>
      <c r="K695" s="69" t="str">
        <f t="shared" si="6"/>
        <v/>
      </c>
      <c r="L695" s="60" t="str">
        <f t="shared" si="7"/>
        <v/>
      </c>
      <c r="M695" s="61" t="str">
        <f>IFERROR(__xludf.DUMMYFUNCTION("IFS(AND(COUNTA(C695:C1350)=0,COUNTA(Q695:Q1350)=0),"""",OR(AND(K695&gt;=1000000000,OR(Y695&gt;=1000000000,COUNTA(Q695:Q1350)=0)),OR(Y695&gt;=1000000000,AND(COUNTA(C695:C1350)=0,P$3=TRUE))),
ROUNDDOWN((AB$1-AC$1)*MAX(INDEX(T$4:T1350,MATCH(LARGE(FILTER(Y$4:Y1350,Y$4"&amp;":Y1350&lt;1000000000),1),Y$4:Y1350)),INDEX(F$4:F1350,MATCH(LARGE(FILTER(K$4:K1350,K$4:K1350&lt;1000000000),1),K$4:K1350)))),AND(K695&lt;1000000000,COUNTA(C695:C1350)&gt;0,P$3=FALSE),
ROUNDDOWN(INDEX(Y$4:Y1350,MATCH(LARGE(FILTER(W$4:W1350,W$4:W1350&lt;=I695),1),W$4:W1350"&amp;"))+(I695-LARGE(FILTER(W$4:W1350,W$4:W1350&lt;=I695),1))*INDEX(T$4:T1350,MATCH(LARGE(FILTER(W$4:W1350,W$4:W1350&lt;=I695),1),W$4:W1350))-K695),1,
ROUNDDOWN(Y695-INDEX(K$4:K1350,MATCH(LARGE(FILTER(I$4:I1350,I$4:I1350&lt;=W695),1),I$4:I1350))-(W695-LARGE(FILTER(I$4:I"&amp;"1350,I$4:I1350&lt;=W695),1))*INDEX(F$4:F1350,MATCH(LARGE(FILTER(I$4:I1350,I$4:I1350&lt;=W695),1),I$4:I1350))))"),"")</f>
        <v/>
      </c>
      <c r="N695" s="60" t="str">
        <f t="shared" si="8"/>
        <v/>
      </c>
      <c r="O695" s="61" t="str">
        <f t="shared" si="9"/>
        <v/>
      </c>
      <c r="P695" s="56" t="str">
        <f t="shared" si="10"/>
        <v/>
      </c>
      <c r="Q695" s="62"/>
      <c r="R695" s="10" t="str">
        <f>IFERROR(__xludf.DUMMYFUNCTION("IF(COUNTA(Q695:Q1350)=0,"""",IF(ISBLANK(Q695),FALSE,IF(NOT(COUNTIF($AA$24:$AA$34,SUBSTITUTE(Q695,""Sell_"",""""))),1,IF(REGEXMATCH(Q695,""Sell_""),IF(COUNTIF(Q$4:Q695,SUBSTITUTE(Q695,""Sell_"",""""))-COUNTIF(Q$4:Q694,Q695)&lt;1,1),FALSE))))"),"")</f>
        <v/>
      </c>
      <c r="S695" s="59" t="str">
        <f t="array" ref="S695">IF(COUNTA(Q695:Q1350)=0,"",SUM((COUNTIF(Q$4:Q695,Upgrades!$B$3:$B$13)-COUNTIF(Q$4:Q695,"Sell_"&amp;Upgrades!$B$3:$B$13))*Upgrades!$D$3:$D$13))</f>
        <v/>
      </c>
      <c r="T695" s="66" t="str">
        <f>IFERROR(__xludf.DUMMYFUNCTION("IF(COUNTA(Q695:Q1350)=0,"""",IF(REGEXMATCH(INDEX(FILTER(Q$4:Q695,Q$4:Q695&lt;&gt;""""),ROWS(FILTER(Q$4:Q695,Q$4:Q695&lt;&gt;""""))),""^Sell_""),INDEX(FILTER(T$4:T694,Q$4:Q694&lt;&gt;""""),ROWS(FILTER(Q$4:Q694,Q$4:Q694&lt;&gt;""""))),$AD$5+S695))"),"")</f>
        <v/>
      </c>
      <c r="U695" s="10" t="str">
        <f>IFERROR(__xludf.DUMMYFUNCTION("IF(COUNTA(Q695:Q1350)=0,"""",IF(Q695="""",0,IF(REGEXMATCH(Q695,""^Sell_""),-ROUNDDOWN(ROUNDUP(INDEX(Upgrades!$C$3:$C$13,MATCH(SUBSTITUTE(Q695,""Sell_"",""""),Upgrades!$B$3:$B$13,0))*1.15^(COUNTIF(Q$4:Q694,SUBSTITUTE(Q695,""Sell_"",""""))-COUNTIF(Q$4:Q694,"&amp;"""Sell_""&amp;SUBSTITUTE(Q695,""Sell_"",""""))))/2),ROUNDUP(INDEX(Upgrades!$C$3:$C$13,MATCH(Q695,Upgrades!$B$3:$B$13,0))*1.15^(COUNTIF(Q$4:Q694,Q695)-COUNTIF(Q$4:Q694,""Sell_""&amp;Q695))))))"),"")</f>
        <v/>
      </c>
      <c r="V695" s="10" t="str">
        <f t="shared" si="11"/>
        <v/>
      </c>
      <c r="W695" s="68" t="str">
        <f t="shared" si="12"/>
        <v/>
      </c>
      <c r="X695" s="59" t="str">
        <f t="shared" si="13"/>
        <v/>
      </c>
      <c r="Y695" s="69" t="str">
        <f t="shared" si="14"/>
        <v/>
      </c>
      <c r="Z695" s="11"/>
    </row>
    <row r="696">
      <c r="A696" s="8"/>
      <c r="B696" s="56" t="str">
        <f t="shared" si="2"/>
        <v/>
      </c>
      <c r="C696" s="57"/>
      <c r="D696" s="10" t="str">
        <f>IFERROR(__xludf.DUMMYFUNCTION("IF(COUNTA(C696:C1350)=0,"""",IF(ISBLANK(C696),FALSE,IF(NOT(COUNTIF($AA$24:$AA$34,SUBSTITUTE(C696,""Sell_"",""""))),1,IF(REGEXMATCH(C696,""Sell_""),IF(COUNTIF(C$4:C696,SUBSTITUTE(C696,""Sell_"",""""))-COUNTIF(C$4:C695,C696)&lt;1,1),FALSE))))"),"")</f>
        <v/>
      </c>
      <c r="E696" s="59" t="str">
        <f t="array" ref="E696">IF(COUNTA(C696:C1350)=0,"",SUM((COUNTIF(C$4:C696,Upgrades!$B$3:$B$13)-COUNTIF(C$4:C696,"Sell_"&amp;Upgrades!$B$3:$B$13))*Upgrades!$D$3:$D$13))</f>
        <v/>
      </c>
      <c r="F696" s="66" t="str">
        <f>IFERROR(__xludf.DUMMYFUNCTION("IF(COUNTA(C696:C1350)=0,"""",IF(REGEXMATCH(INDEX(FILTER(C$4:C696,C$4:C696&lt;&gt;""""),ROWS(FILTER(C$4:C696,C$4:C696&lt;&gt;""""))),""^Sell_""),INDEX(FILTER(F$4:F695,C$4:C695&lt;&gt;""""),ROWS(FILTER(C$4:C695,C$4:C695&lt;&gt;""""))),$AC$5+E696))"),"")</f>
        <v/>
      </c>
      <c r="G696" s="10" t="str">
        <f>IFERROR(__xludf.DUMMYFUNCTION("IF(COUNTA(C696:C1350)=0,"""",IF(C696="""",0,IF(REGEXMATCH(C696,""^Sell_""),-ROUNDDOWN(ROUNDUP(INDEX(Upgrades!$C$3:$C$13,MATCH(SUBSTITUTE(C696,""Sell_"",""""),Upgrades!$B$3:$B$13,0))*1.15^(COUNTIF(C$4:C695,SUBSTITUTE(C696,""Sell_"",""""))-COUNTIF(C$4:C695,"&amp;"""Sell_""&amp;SUBSTITUTE(C696,""Sell_"",""""))))/2),ROUNDUP(INDEX(Upgrades!$C$3:$C$13,MATCH(C696,Upgrades!$B$3:$B$13,0))*1.15^(COUNTIF(C$4:C695,C696)-COUNTIF(C$4:C695,""Sell_""&amp;C696))))))"),"")</f>
        <v/>
      </c>
      <c r="H696" s="10" t="str">
        <f t="shared" si="3"/>
        <v/>
      </c>
      <c r="I696" s="68" t="str">
        <f t="shared" si="4"/>
        <v/>
      </c>
      <c r="J696" s="59" t="str">
        <f t="shared" si="5"/>
        <v/>
      </c>
      <c r="K696" s="69" t="str">
        <f t="shared" si="6"/>
        <v/>
      </c>
      <c r="L696" s="60" t="str">
        <f t="shared" si="7"/>
        <v/>
      </c>
      <c r="M696" s="61" t="str">
        <f>IFERROR(__xludf.DUMMYFUNCTION("IFS(AND(COUNTA(C696:C1350)=0,COUNTA(Q696:Q1350)=0),"""",OR(AND(K696&gt;=1000000000,OR(Y696&gt;=1000000000,COUNTA(Q696:Q1350)=0)),OR(Y696&gt;=1000000000,AND(COUNTA(C696:C1350)=0,P$3=TRUE))),
ROUNDDOWN((AB$1-AC$1)*MAX(INDEX(T$4:T1350,MATCH(LARGE(FILTER(Y$4:Y1350,Y$4"&amp;":Y1350&lt;1000000000),1),Y$4:Y1350)),INDEX(F$4:F1350,MATCH(LARGE(FILTER(K$4:K1350,K$4:K1350&lt;1000000000),1),K$4:K1350)))),AND(K696&lt;1000000000,COUNTA(C696:C1350)&gt;0,P$3=FALSE),
ROUNDDOWN(INDEX(Y$4:Y1350,MATCH(LARGE(FILTER(W$4:W1350,W$4:W1350&lt;=I696),1),W$4:W1350"&amp;"))+(I696-LARGE(FILTER(W$4:W1350,W$4:W1350&lt;=I696),1))*INDEX(T$4:T1350,MATCH(LARGE(FILTER(W$4:W1350,W$4:W1350&lt;=I696),1),W$4:W1350))-K696),1,
ROUNDDOWN(Y696-INDEX(K$4:K1350,MATCH(LARGE(FILTER(I$4:I1350,I$4:I1350&lt;=W696),1),I$4:I1350))-(W696-LARGE(FILTER(I$4:I"&amp;"1350,I$4:I1350&lt;=W696),1))*INDEX(F$4:F1350,MATCH(LARGE(FILTER(I$4:I1350,I$4:I1350&lt;=W696),1),I$4:I1350))))"),"")</f>
        <v/>
      </c>
      <c r="N696" s="60" t="str">
        <f t="shared" si="8"/>
        <v/>
      </c>
      <c r="O696" s="61" t="str">
        <f t="shared" si="9"/>
        <v/>
      </c>
      <c r="P696" s="56" t="str">
        <f t="shared" si="10"/>
        <v/>
      </c>
      <c r="Q696" s="62"/>
      <c r="R696" s="10" t="str">
        <f>IFERROR(__xludf.DUMMYFUNCTION("IF(COUNTA(Q696:Q1350)=0,"""",IF(ISBLANK(Q696),FALSE,IF(NOT(COUNTIF($AA$24:$AA$34,SUBSTITUTE(Q696,""Sell_"",""""))),1,IF(REGEXMATCH(Q696,""Sell_""),IF(COUNTIF(Q$4:Q696,SUBSTITUTE(Q696,""Sell_"",""""))-COUNTIF(Q$4:Q695,Q696)&lt;1,1),FALSE))))"),"")</f>
        <v/>
      </c>
      <c r="S696" s="59" t="str">
        <f t="array" ref="S696">IF(COUNTA(Q696:Q1350)=0,"",SUM((COUNTIF(Q$4:Q696,Upgrades!$B$3:$B$13)-COUNTIF(Q$4:Q696,"Sell_"&amp;Upgrades!$B$3:$B$13))*Upgrades!$D$3:$D$13))</f>
        <v/>
      </c>
      <c r="T696" s="66" t="str">
        <f>IFERROR(__xludf.DUMMYFUNCTION("IF(COUNTA(Q696:Q1350)=0,"""",IF(REGEXMATCH(INDEX(FILTER(Q$4:Q696,Q$4:Q696&lt;&gt;""""),ROWS(FILTER(Q$4:Q696,Q$4:Q696&lt;&gt;""""))),""^Sell_""),INDEX(FILTER(T$4:T695,Q$4:Q695&lt;&gt;""""),ROWS(FILTER(Q$4:Q695,Q$4:Q695&lt;&gt;""""))),$AD$5+S696))"),"")</f>
        <v/>
      </c>
      <c r="U696" s="10" t="str">
        <f>IFERROR(__xludf.DUMMYFUNCTION("IF(COUNTA(Q696:Q1350)=0,"""",IF(Q696="""",0,IF(REGEXMATCH(Q696,""^Sell_""),-ROUNDDOWN(ROUNDUP(INDEX(Upgrades!$C$3:$C$13,MATCH(SUBSTITUTE(Q696,""Sell_"",""""),Upgrades!$B$3:$B$13,0))*1.15^(COUNTIF(Q$4:Q695,SUBSTITUTE(Q696,""Sell_"",""""))-COUNTIF(Q$4:Q695,"&amp;"""Sell_""&amp;SUBSTITUTE(Q696,""Sell_"",""""))))/2),ROUNDUP(INDEX(Upgrades!$C$3:$C$13,MATCH(Q696,Upgrades!$B$3:$B$13,0))*1.15^(COUNTIF(Q$4:Q695,Q696)-COUNTIF(Q$4:Q695,""Sell_""&amp;Q696))))))"),"")</f>
        <v/>
      </c>
      <c r="V696" s="10" t="str">
        <f t="shared" si="11"/>
        <v/>
      </c>
      <c r="W696" s="68" t="str">
        <f t="shared" si="12"/>
        <v/>
      </c>
      <c r="X696" s="59" t="str">
        <f t="shared" si="13"/>
        <v/>
      </c>
      <c r="Y696" s="69" t="str">
        <f t="shared" si="14"/>
        <v/>
      </c>
      <c r="Z696" s="11"/>
    </row>
    <row r="697">
      <c r="A697" s="8"/>
      <c r="B697" s="56" t="str">
        <f t="shared" si="2"/>
        <v/>
      </c>
      <c r="C697" s="57"/>
      <c r="D697" s="10" t="str">
        <f>IFERROR(__xludf.DUMMYFUNCTION("IF(COUNTA(C697:C1350)=0,"""",IF(ISBLANK(C697),FALSE,IF(NOT(COUNTIF($AA$24:$AA$34,SUBSTITUTE(C697,""Sell_"",""""))),1,IF(REGEXMATCH(C697,""Sell_""),IF(COUNTIF(C$4:C697,SUBSTITUTE(C697,""Sell_"",""""))-COUNTIF(C$4:C696,C697)&lt;1,1),FALSE))))"),"")</f>
        <v/>
      </c>
      <c r="E697" s="59" t="str">
        <f t="array" ref="E697">IF(COUNTA(C697:C1350)=0,"",SUM((COUNTIF(C$4:C697,Upgrades!$B$3:$B$13)-COUNTIF(C$4:C697,"Sell_"&amp;Upgrades!$B$3:$B$13))*Upgrades!$D$3:$D$13))</f>
        <v/>
      </c>
      <c r="F697" s="66" t="str">
        <f>IFERROR(__xludf.DUMMYFUNCTION("IF(COUNTA(C697:C1350)=0,"""",IF(REGEXMATCH(INDEX(FILTER(C$4:C697,C$4:C697&lt;&gt;""""),ROWS(FILTER(C$4:C697,C$4:C697&lt;&gt;""""))),""^Sell_""),INDEX(FILTER(F$4:F696,C$4:C696&lt;&gt;""""),ROWS(FILTER(C$4:C696,C$4:C696&lt;&gt;""""))),$AC$5+E697))"),"")</f>
        <v/>
      </c>
      <c r="G697" s="10" t="str">
        <f>IFERROR(__xludf.DUMMYFUNCTION("IF(COUNTA(C697:C1350)=0,"""",IF(C697="""",0,IF(REGEXMATCH(C697,""^Sell_""),-ROUNDDOWN(ROUNDUP(INDEX(Upgrades!$C$3:$C$13,MATCH(SUBSTITUTE(C697,""Sell_"",""""),Upgrades!$B$3:$B$13,0))*1.15^(COUNTIF(C$4:C696,SUBSTITUTE(C697,""Sell_"",""""))-COUNTIF(C$4:C696,"&amp;"""Sell_""&amp;SUBSTITUTE(C697,""Sell_"",""""))))/2),ROUNDUP(INDEX(Upgrades!$C$3:$C$13,MATCH(C697,Upgrades!$B$3:$B$13,0))*1.15^(COUNTIF(C$4:C696,C697)-COUNTIF(C$4:C696,""Sell_""&amp;C697))))))"),"")</f>
        <v/>
      </c>
      <c r="H697" s="10" t="str">
        <f t="shared" si="3"/>
        <v/>
      </c>
      <c r="I697" s="68" t="str">
        <f t="shared" si="4"/>
        <v/>
      </c>
      <c r="J697" s="59" t="str">
        <f t="shared" si="5"/>
        <v/>
      </c>
      <c r="K697" s="69" t="str">
        <f t="shared" si="6"/>
        <v/>
      </c>
      <c r="L697" s="60" t="str">
        <f t="shared" si="7"/>
        <v/>
      </c>
      <c r="M697" s="61" t="str">
        <f>IFERROR(__xludf.DUMMYFUNCTION("IFS(AND(COUNTA(C697:C1350)=0,COUNTA(Q697:Q1350)=0),"""",OR(AND(K697&gt;=1000000000,OR(Y697&gt;=1000000000,COUNTA(Q697:Q1350)=0)),OR(Y697&gt;=1000000000,AND(COUNTA(C697:C1350)=0,P$3=TRUE))),
ROUNDDOWN((AB$1-AC$1)*MAX(INDEX(T$4:T1350,MATCH(LARGE(FILTER(Y$4:Y1350,Y$4"&amp;":Y1350&lt;1000000000),1),Y$4:Y1350)),INDEX(F$4:F1350,MATCH(LARGE(FILTER(K$4:K1350,K$4:K1350&lt;1000000000),1),K$4:K1350)))),AND(K697&lt;1000000000,COUNTA(C697:C1350)&gt;0,P$3=FALSE),
ROUNDDOWN(INDEX(Y$4:Y1350,MATCH(LARGE(FILTER(W$4:W1350,W$4:W1350&lt;=I697),1),W$4:W1350"&amp;"))+(I697-LARGE(FILTER(W$4:W1350,W$4:W1350&lt;=I697),1))*INDEX(T$4:T1350,MATCH(LARGE(FILTER(W$4:W1350,W$4:W1350&lt;=I697),1),W$4:W1350))-K697),1,
ROUNDDOWN(Y697-INDEX(K$4:K1350,MATCH(LARGE(FILTER(I$4:I1350,I$4:I1350&lt;=W697),1),I$4:I1350))-(W697-LARGE(FILTER(I$4:I"&amp;"1350,I$4:I1350&lt;=W697),1))*INDEX(F$4:F1350,MATCH(LARGE(FILTER(I$4:I1350,I$4:I1350&lt;=W697),1),I$4:I1350))))"),"")</f>
        <v/>
      </c>
      <c r="N697" s="60" t="str">
        <f t="shared" si="8"/>
        <v/>
      </c>
      <c r="O697" s="61" t="str">
        <f t="shared" si="9"/>
        <v/>
      </c>
      <c r="P697" s="56" t="str">
        <f t="shared" si="10"/>
        <v/>
      </c>
      <c r="Q697" s="62"/>
      <c r="R697" s="10" t="str">
        <f>IFERROR(__xludf.DUMMYFUNCTION("IF(COUNTA(Q697:Q1350)=0,"""",IF(ISBLANK(Q697),FALSE,IF(NOT(COUNTIF($AA$24:$AA$34,SUBSTITUTE(Q697,""Sell_"",""""))),1,IF(REGEXMATCH(Q697,""Sell_""),IF(COUNTIF(Q$4:Q697,SUBSTITUTE(Q697,""Sell_"",""""))-COUNTIF(Q$4:Q696,Q697)&lt;1,1),FALSE))))"),"")</f>
        <v/>
      </c>
      <c r="S697" s="59" t="str">
        <f t="array" ref="S697">IF(COUNTA(Q697:Q1350)=0,"",SUM((COUNTIF(Q$4:Q697,Upgrades!$B$3:$B$13)-COUNTIF(Q$4:Q697,"Sell_"&amp;Upgrades!$B$3:$B$13))*Upgrades!$D$3:$D$13))</f>
        <v/>
      </c>
      <c r="T697" s="66" t="str">
        <f>IFERROR(__xludf.DUMMYFUNCTION("IF(COUNTA(Q697:Q1350)=0,"""",IF(REGEXMATCH(INDEX(FILTER(Q$4:Q697,Q$4:Q697&lt;&gt;""""),ROWS(FILTER(Q$4:Q697,Q$4:Q697&lt;&gt;""""))),""^Sell_""),INDEX(FILTER(T$4:T696,Q$4:Q696&lt;&gt;""""),ROWS(FILTER(Q$4:Q696,Q$4:Q696&lt;&gt;""""))),$AD$5+S697))"),"")</f>
        <v/>
      </c>
      <c r="U697" s="10" t="str">
        <f>IFERROR(__xludf.DUMMYFUNCTION("IF(COUNTA(Q697:Q1350)=0,"""",IF(Q697="""",0,IF(REGEXMATCH(Q697,""^Sell_""),-ROUNDDOWN(ROUNDUP(INDEX(Upgrades!$C$3:$C$13,MATCH(SUBSTITUTE(Q697,""Sell_"",""""),Upgrades!$B$3:$B$13,0))*1.15^(COUNTIF(Q$4:Q696,SUBSTITUTE(Q697,""Sell_"",""""))-COUNTIF(Q$4:Q696,"&amp;"""Sell_""&amp;SUBSTITUTE(Q697,""Sell_"",""""))))/2),ROUNDUP(INDEX(Upgrades!$C$3:$C$13,MATCH(Q697,Upgrades!$B$3:$B$13,0))*1.15^(COUNTIF(Q$4:Q696,Q697)-COUNTIF(Q$4:Q696,""Sell_""&amp;Q697))))))"),"")</f>
        <v/>
      </c>
      <c r="V697" s="10" t="str">
        <f t="shared" si="11"/>
        <v/>
      </c>
      <c r="W697" s="68" t="str">
        <f t="shared" si="12"/>
        <v/>
      </c>
      <c r="X697" s="59" t="str">
        <f t="shared" si="13"/>
        <v/>
      </c>
      <c r="Y697" s="69" t="str">
        <f t="shared" si="14"/>
        <v/>
      </c>
      <c r="Z697" s="11"/>
    </row>
    <row r="698">
      <c r="A698" s="8"/>
      <c r="B698" s="56" t="str">
        <f t="shared" si="2"/>
        <v/>
      </c>
      <c r="C698" s="57"/>
      <c r="D698" s="10" t="str">
        <f>IFERROR(__xludf.DUMMYFUNCTION("IF(COUNTA(C698:C1350)=0,"""",IF(ISBLANK(C698),FALSE,IF(NOT(COUNTIF($AA$24:$AA$34,SUBSTITUTE(C698,""Sell_"",""""))),1,IF(REGEXMATCH(C698,""Sell_""),IF(COUNTIF(C$4:C698,SUBSTITUTE(C698,""Sell_"",""""))-COUNTIF(C$4:C697,C698)&lt;1,1),FALSE))))"),"")</f>
        <v/>
      </c>
      <c r="E698" s="59" t="str">
        <f t="array" ref="E698">IF(COUNTA(C698:C1350)=0,"",SUM((COUNTIF(C$4:C698,Upgrades!$B$3:$B$13)-COUNTIF(C$4:C698,"Sell_"&amp;Upgrades!$B$3:$B$13))*Upgrades!$D$3:$D$13))</f>
        <v/>
      </c>
      <c r="F698" s="66" t="str">
        <f>IFERROR(__xludf.DUMMYFUNCTION("IF(COUNTA(C698:C1350)=0,"""",IF(REGEXMATCH(INDEX(FILTER(C$4:C698,C$4:C698&lt;&gt;""""),ROWS(FILTER(C$4:C698,C$4:C698&lt;&gt;""""))),""^Sell_""),INDEX(FILTER(F$4:F697,C$4:C697&lt;&gt;""""),ROWS(FILTER(C$4:C697,C$4:C697&lt;&gt;""""))),$AC$5+E698))"),"")</f>
        <v/>
      </c>
      <c r="G698" s="10" t="str">
        <f>IFERROR(__xludf.DUMMYFUNCTION("IF(COUNTA(C698:C1350)=0,"""",IF(C698="""",0,IF(REGEXMATCH(C698,""^Sell_""),-ROUNDDOWN(ROUNDUP(INDEX(Upgrades!$C$3:$C$13,MATCH(SUBSTITUTE(C698,""Sell_"",""""),Upgrades!$B$3:$B$13,0))*1.15^(COUNTIF(C$4:C697,SUBSTITUTE(C698,""Sell_"",""""))-COUNTIF(C$4:C697,"&amp;"""Sell_""&amp;SUBSTITUTE(C698,""Sell_"",""""))))/2),ROUNDUP(INDEX(Upgrades!$C$3:$C$13,MATCH(C698,Upgrades!$B$3:$B$13,0))*1.15^(COUNTIF(C$4:C697,C698)-COUNTIF(C$4:C697,""Sell_""&amp;C698))))))"),"")</f>
        <v/>
      </c>
      <c r="H698" s="10" t="str">
        <f t="shared" si="3"/>
        <v/>
      </c>
      <c r="I698" s="68" t="str">
        <f t="shared" si="4"/>
        <v/>
      </c>
      <c r="J698" s="59" t="str">
        <f t="shared" si="5"/>
        <v/>
      </c>
      <c r="K698" s="69" t="str">
        <f t="shared" si="6"/>
        <v/>
      </c>
      <c r="L698" s="60" t="str">
        <f t="shared" si="7"/>
        <v/>
      </c>
      <c r="M698" s="61" t="str">
        <f>IFERROR(__xludf.DUMMYFUNCTION("IFS(AND(COUNTA(C698:C1350)=0,COUNTA(Q698:Q1350)=0),"""",OR(AND(K698&gt;=1000000000,OR(Y698&gt;=1000000000,COUNTA(Q698:Q1350)=0)),OR(Y698&gt;=1000000000,AND(COUNTA(C698:C1350)=0,P$3=TRUE))),
ROUNDDOWN((AB$1-AC$1)*MAX(INDEX(T$4:T1350,MATCH(LARGE(FILTER(Y$4:Y1350,Y$4"&amp;":Y1350&lt;1000000000),1),Y$4:Y1350)),INDEX(F$4:F1350,MATCH(LARGE(FILTER(K$4:K1350,K$4:K1350&lt;1000000000),1),K$4:K1350)))),AND(K698&lt;1000000000,COUNTA(C698:C1350)&gt;0,P$3=FALSE),
ROUNDDOWN(INDEX(Y$4:Y1350,MATCH(LARGE(FILTER(W$4:W1350,W$4:W1350&lt;=I698),1),W$4:W1350"&amp;"))+(I698-LARGE(FILTER(W$4:W1350,W$4:W1350&lt;=I698),1))*INDEX(T$4:T1350,MATCH(LARGE(FILTER(W$4:W1350,W$4:W1350&lt;=I698),1),W$4:W1350))-K698),1,
ROUNDDOWN(Y698-INDEX(K$4:K1350,MATCH(LARGE(FILTER(I$4:I1350,I$4:I1350&lt;=W698),1),I$4:I1350))-(W698-LARGE(FILTER(I$4:I"&amp;"1350,I$4:I1350&lt;=W698),1))*INDEX(F$4:F1350,MATCH(LARGE(FILTER(I$4:I1350,I$4:I1350&lt;=W698),1),I$4:I1350))))"),"")</f>
        <v/>
      </c>
      <c r="N698" s="60" t="str">
        <f t="shared" si="8"/>
        <v/>
      </c>
      <c r="O698" s="61" t="str">
        <f t="shared" si="9"/>
        <v/>
      </c>
      <c r="P698" s="56" t="str">
        <f t="shared" si="10"/>
        <v/>
      </c>
      <c r="Q698" s="62"/>
      <c r="R698" s="10" t="str">
        <f>IFERROR(__xludf.DUMMYFUNCTION("IF(COUNTA(Q698:Q1350)=0,"""",IF(ISBLANK(Q698),FALSE,IF(NOT(COUNTIF($AA$24:$AA$34,SUBSTITUTE(Q698,""Sell_"",""""))),1,IF(REGEXMATCH(Q698,""Sell_""),IF(COUNTIF(Q$4:Q698,SUBSTITUTE(Q698,""Sell_"",""""))-COUNTIF(Q$4:Q697,Q698)&lt;1,1),FALSE))))"),"")</f>
        <v/>
      </c>
      <c r="S698" s="59" t="str">
        <f t="array" ref="S698">IF(COUNTA(Q698:Q1350)=0,"",SUM((COUNTIF(Q$4:Q698,Upgrades!$B$3:$B$13)-COUNTIF(Q$4:Q698,"Sell_"&amp;Upgrades!$B$3:$B$13))*Upgrades!$D$3:$D$13))</f>
        <v/>
      </c>
      <c r="T698" s="66" t="str">
        <f>IFERROR(__xludf.DUMMYFUNCTION("IF(COUNTA(Q698:Q1350)=0,"""",IF(REGEXMATCH(INDEX(FILTER(Q$4:Q698,Q$4:Q698&lt;&gt;""""),ROWS(FILTER(Q$4:Q698,Q$4:Q698&lt;&gt;""""))),""^Sell_""),INDEX(FILTER(T$4:T697,Q$4:Q697&lt;&gt;""""),ROWS(FILTER(Q$4:Q697,Q$4:Q697&lt;&gt;""""))),$AD$5+S698))"),"")</f>
        <v/>
      </c>
      <c r="U698" s="10" t="str">
        <f>IFERROR(__xludf.DUMMYFUNCTION("IF(COUNTA(Q698:Q1350)=0,"""",IF(Q698="""",0,IF(REGEXMATCH(Q698,""^Sell_""),-ROUNDDOWN(ROUNDUP(INDEX(Upgrades!$C$3:$C$13,MATCH(SUBSTITUTE(Q698,""Sell_"",""""),Upgrades!$B$3:$B$13,0))*1.15^(COUNTIF(Q$4:Q697,SUBSTITUTE(Q698,""Sell_"",""""))-COUNTIF(Q$4:Q697,"&amp;"""Sell_""&amp;SUBSTITUTE(Q698,""Sell_"",""""))))/2),ROUNDUP(INDEX(Upgrades!$C$3:$C$13,MATCH(Q698,Upgrades!$B$3:$B$13,0))*1.15^(COUNTIF(Q$4:Q697,Q698)-COUNTIF(Q$4:Q697,""Sell_""&amp;Q698))))))"),"")</f>
        <v/>
      </c>
      <c r="V698" s="10" t="str">
        <f t="shared" si="11"/>
        <v/>
      </c>
      <c r="W698" s="68" t="str">
        <f t="shared" si="12"/>
        <v/>
      </c>
      <c r="X698" s="59" t="str">
        <f t="shared" si="13"/>
        <v/>
      </c>
      <c r="Y698" s="69" t="str">
        <f t="shared" si="14"/>
        <v/>
      </c>
      <c r="Z698" s="11"/>
    </row>
    <row r="699">
      <c r="A699" s="8"/>
      <c r="B699" s="56" t="str">
        <f t="shared" si="2"/>
        <v/>
      </c>
      <c r="C699" s="57"/>
      <c r="D699" s="10" t="str">
        <f>IFERROR(__xludf.DUMMYFUNCTION("IF(COUNTA(C699:C1350)=0,"""",IF(ISBLANK(C699),FALSE,IF(NOT(COUNTIF($AA$24:$AA$34,SUBSTITUTE(C699,""Sell_"",""""))),1,IF(REGEXMATCH(C699,""Sell_""),IF(COUNTIF(C$4:C699,SUBSTITUTE(C699,""Sell_"",""""))-COUNTIF(C$4:C698,C699)&lt;1,1),FALSE))))"),"")</f>
        <v/>
      </c>
      <c r="E699" s="59" t="str">
        <f t="array" ref="E699">IF(COUNTA(C699:C1350)=0,"",SUM((COUNTIF(C$4:C699,Upgrades!$B$3:$B$13)-COUNTIF(C$4:C699,"Sell_"&amp;Upgrades!$B$3:$B$13))*Upgrades!$D$3:$D$13))</f>
        <v/>
      </c>
      <c r="F699" s="66" t="str">
        <f>IFERROR(__xludf.DUMMYFUNCTION("IF(COUNTA(C699:C1350)=0,"""",IF(REGEXMATCH(INDEX(FILTER(C$4:C699,C$4:C699&lt;&gt;""""),ROWS(FILTER(C$4:C699,C$4:C699&lt;&gt;""""))),""^Sell_""),INDEX(FILTER(F$4:F698,C$4:C698&lt;&gt;""""),ROWS(FILTER(C$4:C698,C$4:C698&lt;&gt;""""))),$AC$5+E699))"),"")</f>
        <v/>
      </c>
      <c r="G699" s="10" t="str">
        <f>IFERROR(__xludf.DUMMYFUNCTION("IF(COUNTA(C699:C1350)=0,"""",IF(C699="""",0,IF(REGEXMATCH(C699,""^Sell_""),-ROUNDDOWN(ROUNDUP(INDEX(Upgrades!$C$3:$C$13,MATCH(SUBSTITUTE(C699,""Sell_"",""""),Upgrades!$B$3:$B$13,0))*1.15^(COUNTIF(C$4:C698,SUBSTITUTE(C699,""Sell_"",""""))-COUNTIF(C$4:C698,"&amp;"""Sell_""&amp;SUBSTITUTE(C699,""Sell_"",""""))))/2),ROUNDUP(INDEX(Upgrades!$C$3:$C$13,MATCH(C699,Upgrades!$B$3:$B$13,0))*1.15^(COUNTIF(C$4:C698,C699)-COUNTIF(C$4:C698,""Sell_""&amp;C699))))))"),"")</f>
        <v/>
      </c>
      <c r="H699" s="10" t="str">
        <f t="shared" si="3"/>
        <v/>
      </c>
      <c r="I699" s="68" t="str">
        <f t="shared" si="4"/>
        <v/>
      </c>
      <c r="J699" s="59" t="str">
        <f t="shared" si="5"/>
        <v/>
      </c>
      <c r="K699" s="69" t="str">
        <f t="shared" si="6"/>
        <v/>
      </c>
      <c r="L699" s="60" t="str">
        <f t="shared" si="7"/>
        <v/>
      </c>
      <c r="M699" s="61" t="str">
        <f>IFERROR(__xludf.DUMMYFUNCTION("IFS(AND(COUNTA(C699:C1350)=0,COUNTA(Q699:Q1350)=0),"""",OR(AND(K699&gt;=1000000000,OR(Y699&gt;=1000000000,COUNTA(Q699:Q1350)=0)),OR(Y699&gt;=1000000000,AND(COUNTA(C699:C1350)=0,P$3=TRUE))),
ROUNDDOWN((AB$1-AC$1)*MAX(INDEX(T$4:T1350,MATCH(LARGE(FILTER(Y$4:Y1350,Y$4"&amp;":Y1350&lt;1000000000),1),Y$4:Y1350)),INDEX(F$4:F1350,MATCH(LARGE(FILTER(K$4:K1350,K$4:K1350&lt;1000000000),1),K$4:K1350)))),AND(K699&lt;1000000000,COUNTA(C699:C1350)&gt;0,P$3=FALSE),
ROUNDDOWN(INDEX(Y$4:Y1350,MATCH(LARGE(FILTER(W$4:W1350,W$4:W1350&lt;=I699),1),W$4:W1350"&amp;"))+(I699-LARGE(FILTER(W$4:W1350,W$4:W1350&lt;=I699),1))*INDEX(T$4:T1350,MATCH(LARGE(FILTER(W$4:W1350,W$4:W1350&lt;=I699),1),W$4:W1350))-K699),1,
ROUNDDOWN(Y699-INDEX(K$4:K1350,MATCH(LARGE(FILTER(I$4:I1350,I$4:I1350&lt;=W699),1),I$4:I1350))-(W699-LARGE(FILTER(I$4:I"&amp;"1350,I$4:I1350&lt;=W699),1))*INDEX(F$4:F1350,MATCH(LARGE(FILTER(I$4:I1350,I$4:I1350&lt;=W699),1),I$4:I1350))))"),"")</f>
        <v/>
      </c>
      <c r="N699" s="60" t="str">
        <f t="shared" si="8"/>
        <v/>
      </c>
      <c r="O699" s="61" t="str">
        <f t="shared" si="9"/>
        <v/>
      </c>
      <c r="P699" s="56" t="str">
        <f t="shared" si="10"/>
        <v/>
      </c>
      <c r="Q699" s="62"/>
      <c r="R699" s="10" t="str">
        <f>IFERROR(__xludf.DUMMYFUNCTION("IF(COUNTA(Q699:Q1350)=0,"""",IF(ISBLANK(Q699),FALSE,IF(NOT(COUNTIF($AA$24:$AA$34,SUBSTITUTE(Q699,""Sell_"",""""))),1,IF(REGEXMATCH(Q699,""Sell_""),IF(COUNTIF(Q$4:Q699,SUBSTITUTE(Q699,""Sell_"",""""))-COUNTIF(Q$4:Q698,Q699)&lt;1,1),FALSE))))"),"")</f>
        <v/>
      </c>
      <c r="S699" s="59" t="str">
        <f t="array" ref="S699">IF(COUNTA(Q699:Q1350)=0,"",SUM((COUNTIF(Q$4:Q699,Upgrades!$B$3:$B$13)-COUNTIF(Q$4:Q699,"Sell_"&amp;Upgrades!$B$3:$B$13))*Upgrades!$D$3:$D$13))</f>
        <v/>
      </c>
      <c r="T699" s="66" t="str">
        <f>IFERROR(__xludf.DUMMYFUNCTION("IF(COUNTA(Q699:Q1350)=0,"""",IF(REGEXMATCH(INDEX(FILTER(Q$4:Q699,Q$4:Q699&lt;&gt;""""),ROWS(FILTER(Q$4:Q699,Q$4:Q699&lt;&gt;""""))),""^Sell_""),INDEX(FILTER(T$4:T698,Q$4:Q698&lt;&gt;""""),ROWS(FILTER(Q$4:Q698,Q$4:Q698&lt;&gt;""""))),$AD$5+S699))"),"")</f>
        <v/>
      </c>
      <c r="U699" s="10" t="str">
        <f>IFERROR(__xludf.DUMMYFUNCTION("IF(COUNTA(Q699:Q1350)=0,"""",IF(Q699="""",0,IF(REGEXMATCH(Q699,""^Sell_""),-ROUNDDOWN(ROUNDUP(INDEX(Upgrades!$C$3:$C$13,MATCH(SUBSTITUTE(Q699,""Sell_"",""""),Upgrades!$B$3:$B$13,0))*1.15^(COUNTIF(Q$4:Q698,SUBSTITUTE(Q699,""Sell_"",""""))-COUNTIF(Q$4:Q698,"&amp;"""Sell_""&amp;SUBSTITUTE(Q699,""Sell_"",""""))))/2),ROUNDUP(INDEX(Upgrades!$C$3:$C$13,MATCH(Q699,Upgrades!$B$3:$B$13,0))*1.15^(COUNTIF(Q$4:Q698,Q699)-COUNTIF(Q$4:Q698,""Sell_""&amp;Q699))))))"),"")</f>
        <v/>
      </c>
      <c r="V699" s="10" t="str">
        <f t="shared" si="11"/>
        <v/>
      </c>
      <c r="W699" s="68" t="str">
        <f t="shared" si="12"/>
        <v/>
      </c>
      <c r="X699" s="59" t="str">
        <f t="shared" si="13"/>
        <v/>
      </c>
      <c r="Y699" s="69" t="str">
        <f t="shared" si="14"/>
        <v/>
      </c>
      <c r="Z699" s="11"/>
    </row>
    <row r="700">
      <c r="A700" s="8"/>
      <c r="B700" s="56" t="str">
        <f t="shared" si="2"/>
        <v/>
      </c>
      <c r="C700" s="57"/>
      <c r="D700" s="10" t="str">
        <f>IFERROR(__xludf.DUMMYFUNCTION("IF(COUNTA(C700:C1350)=0,"""",IF(ISBLANK(C700),FALSE,IF(NOT(COUNTIF($AA$24:$AA$34,SUBSTITUTE(C700,""Sell_"",""""))),1,IF(REGEXMATCH(C700,""Sell_""),IF(COUNTIF(C$4:C700,SUBSTITUTE(C700,""Sell_"",""""))-COUNTIF(C$4:C699,C700)&lt;1,1),FALSE))))"),"")</f>
        <v/>
      </c>
      <c r="E700" s="59" t="str">
        <f t="array" ref="E700">IF(COUNTA(C700:C1350)=0,"",SUM((COUNTIF(C$4:C700,Upgrades!$B$3:$B$13)-COUNTIF(C$4:C700,"Sell_"&amp;Upgrades!$B$3:$B$13))*Upgrades!$D$3:$D$13))</f>
        <v/>
      </c>
      <c r="F700" s="66" t="str">
        <f>IFERROR(__xludf.DUMMYFUNCTION("IF(COUNTA(C700:C1350)=0,"""",IF(REGEXMATCH(INDEX(FILTER(C$4:C700,C$4:C700&lt;&gt;""""),ROWS(FILTER(C$4:C700,C$4:C700&lt;&gt;""""))),""^Sell_""),INDEX(FILTER(F$4:F699,C$4:C699&lt;&gt;""""),ROWS(FILTER(C$4:C699,C$4:C699&lt;&gt;""""))),$AC$5+E700))"),"")</f>
        <v/>
      </c>
      <c r="G700" s="10" t="str">
        <f>IFERROR(__xludf.DUMMYFUNCTION("IF(COUNTA(C700:C1350)=0,"""",IF(C700="""",0,IF(REGEXMATCH(C700,""^Sell_""),-ROUNDDOWN(ROUNDUP(INDEX(Upgrades!$C$3:$C$13,MATCH(SUBSTITUTE(C700,""Sell_"",""""),Upgrades!$B$3:$B$13,0))*1.15^(COUNTIF(C$4:C699,SUBSTITUTE(C700,""Sell_"",""""))-COUNTIF(C$4:C699,"&amp;"""Sell_""&amp;SUBSTITUTE(C700,""Sell_"",""""))))/2),ROUNDUP(INDEX(Upgrades!$C$3:$C$13,MATCH(C700,Upgrades!$B$3:$B$13,0))*1.15^(COUNTIF(C$4:C699,C700)-COUNTIF(C$4:C699,""Sell_""&amp;C700))))))"),"")</f>
        <v/>
      </c>
      <c r="H700" s="10" t="str">
        <f t="shared" si="3"/>
        <v/>
      </c>
      <c r="I700" s="68" t="str">
        <f t="shared" si="4"/>
        <v/>
      </c>
      <c r="J700" s="59" t="str">
        <f t="shared" si="5"/>
        <v/>
      </c>
      <c r="K700" s="69" t="str">
        <f t="shared" si="6"/>
        <v/>
      </c>
      <c r="L700" s="60" t="str">
        <f t="shared" si="7"/>
        <v/>
      </c>
      <c r="M700" s="61" t="str">
        <f>IFERROR(__xludf.DUMMYFUNCTION("IFS(AND(COUNTA(C700:C1350)=0,COUNTA(Q700:Q1350)=0),"""",OR(AND(K700&gt;=1000000000,OR(Y700&gt;=1000000000,COUNTA(Q700:Q1350)=0)),OR(Y700&gt;=1000000000,AND(COUNTA(C700:C1350)=0,P$3=TRUE))),
ROUNDDOWN((AB$1-AC$1)*MAX(INDEX(T$4:T1350,MATCH(LARGE(FILTER(Y$4:Y1350,Y$4"&amp;":Y1350&lt;1000000000),1),Y$4:Y1350)),INDEX(F$4:F1350,MATCH(LARGE(FILTER(K$4:K1350,K$4:K1350&lt;1000000000),1),K$4:K1350)))),AND(K700&lt;1000000000,COUNTA(C700:C1350)&gt;0,P$3=FALSE),
ROUNDDOWN(INDEX(Y$4:Y1350,MATCH(LARGE(FILTER(W$4:W1350,W$4:W1350&lt;=I700),1),W$4:W1350"&amp;"))+(I700-LARGE(FILTER(W$4:W1350,W$4:W1350&lt;=I700),1))*INDEX(T$4:T1350,MATCH(LARGE(FILTER(W$4:W1350,W$4:W1350&lt;=I700),1),W$4:W1350))-K700),1,
ROUNDDOWN(Y700-INDEX(K$4:K1350,MATCH(LARGE(FILTER(I$4:I1350,I$4:I1350&lt;=W700),1),I$4:I1350))-(W700-LARGE(FILTER(I$4:I"&amp;"1350,I$4:I1350&lt;=W700),1))*INDEX(F$4:F1350,MATCH(LARGE(FILTER(I$4:I1350,I$4:I1350&lt;=W700),1),I$4:I1350))))"),"")</f>
        <v/>
      </c>
      <c r="N700" s="60" t="str">
        <f t="shared" si="8"/>
        <v/>
      </c>
      <c r="O700" s="61" t="str">
        <f t="shared" si="9"/>
        <v/>
      </c>
      <c r="P700" s="56" t="str">
        <f t="shared" si="10"/>
        <v/>
      </c>
      <c r="Q700" s="62"/>
      <c r="R700" s="10" t="str">
        <f>IFERROR(__xludf.DUMMYFUNCTION("IF(COUNTA(Q700:Q1350)=0,"""",IF(ISBLANK(Q700),FALSE,IF(NOT(COUNTIF($AA$24:$AA$34,SUBSTITUTE(Q700,""Sell_"",""""))),1,IF(REGEXMATCH(Q700,""Sell_""),IF(COUNTIF(Q$4:Q700,SUBSTITUTE(Q700,""Sell_"",""""))-COUNTIF(Q$4:Q699,Q700)&lt;1,1),FALSE))))"),"")</f>
        <v/>
      </c>
      <c r="S700" s="59" t="str">
        <f t="array" ref="S700">IF(COUNTA(Q700:Q1350)=0,"",SUM((COUNTIF(Q$4:Q700,Upgrades!$B$3:$B$13)-COUNTIF(Q$4:Q700,"Sell_"&amp;Upgrades!$B$3:$B$13))*Upgrades!$D$3:$D$13))</f>
        <v/>
      </c>
      <c r="T700" s="66" t="str">
        <f>IFERROR(__xludf.DUMMYFUNCTION("IF(COUNTA(Q700:Q1350)=0,"""",IF(REGEXMATCH(INDEX(FILTER(Q$4:Q700,Q$4:Q700&lt;&gt;""""),ROWS(FILTER(Q$4:Q700,Q$4:Q700&lt;&gt;""""))),""^Sell_""),INDEX(FILTER(T$4:T699,Q$4:Q699&lt;&gt;""""),ROWS(FILTER(Q$4:Q699,Q$4:Q699&lt;&gt;""""))),$AD$5+S700))"),"")</f>
        <v/>
      </c>
      <c r="U700" s="10" t="str">
        <f>IFERROR(__xludf.DUMMYFUNCTION("IF(COUNTA(Q700:Q1350)=0,"""",IF(Q700="""",0,IF(REGEXMATCH(Q700,""^Sell_""),-ROUNDDOWN(ROUNDUP(INDEX(Upgrades!$C$3:$C$13,MATCH(SUBSTITUTE(Q700,""Sell_"",""""),Upgrades!$B$3:$B$13,0))*1.15^(COUNTIF(Q$4:Q699,SUBSTITUTE(Q700,""Sell_"",""""))-COUNTIF(Q$4:Q699,"&amp;"""Sell_""&amp;SUBSTITUTE(Q700,""Sell_"",""""))))/2),ROUNDUP(INDEX(Upgrades!$C$3:$C$13,MATCH(Q700,Upgrades!$B$3:$B$13,0))*1.15^(COUNTIF(Q$4:Q699,Q700)-COUNTIF(Q$4:Q699,""Sell_""&amp;Q700))))))"),"")</f>
        <v/>
      </c>
      <c r="V700" s="10" t="str">
        <f t="shared" si="11"/>
        <v/>
      </c>
      <c r="W700" s="68" t="str">
        <f t="shared" si="12"/>
        <v/>
      </c>
      <c r="X700" s="59" t="str">
        <f t="shared" si="13"/>
        <v/>
      </c>
      <c r="Y700" s="69" t="str">
        <f t="shared" si="14"/>
        <v/>
      </c>
      <c r="Z700" s="11"/>
    </row>
    <row r="701">
      <c r="A701" s="8"/>
      <c r="B701" s="56" t="str">
        <f t="shared" si="2"/>
        <v/>
      </c>
      <c r="C701" s="57"/>
      <c r="D701" s="10" t="str">
        <f>IFERROR(__xludf.DUMMYFUNCTION("IF(COUNTA(C701:C1350)=0,"""",IF(ISBLANK(C701),FALSE,IF(NOT(COUNTIF($AA$24:$AA$34,SUBSTITUTE(C701,""Sell_"",""""))),1,IF(REGEXMATCH(C701,""Sell_""),IF(COUNTIF(C$4:C701,SUBSTITUTE(C701,""Sell_"",""""))-COUNTIF(C$4:C700,C701)&lt;1,1),FALSE))))"),"")</f>
        <v/>
      </c>
      <c r="E701" s="59" t="str">
        <f t="array" ref="E701">IF(COUNTA(C701:C1350)=0,"",SUM((COUNTIF(C$4:C701,Upgrades!$B$3:$B$13)-COUNTIF(C$4:C701,"Sell_"&amp;Upgrades!$B$3:$B$13))*Upgrades!$D$3:$D$13))</f>
        <v/>
      </c>
      <c r="F701" s="66" t="str">
        <f>IFERROR(__xludf.DUMMYFUNCTION("IF(COUNTA(C701:C1350)=0,"""",IF(REGEXMATCH(INDEX(FILTER(C$4:C701,C$4:C701&lt;&gt;""""),ROWS(FILTER(C$4:C701,C$4:C701&lt;&gt;""""))),""^Sell_""),INDEX(FILTER(F$4:F700,C$4:C700&lt;&gt;""""),ROWS(FILTER(C$4:C700,C$4:C700&lt;&gt;""""))),$AC$5+E701))"),"")</f>
        <v/>
      </c>
      <c r="G701" s="10" t="str">
        <f>IFERROR(__xludf.DUMMYFUNCTION("IF(COUNTA(C701:C1350)=0,"""",IF(C701="""",0,IF(REGEXMATCH(C701,""^Sell_""),-ROUNDDOWN(ROUNDUP(INDEX(Upgrades!$C$3:$C$13,MATCH(SUBSTITUTE(C701,""Sell_"",""""),Upgrades!$B$3:$B$13,0))*1.15^(COUNTIF(C$4:C700,SUBSTITUTE(C701,""Sell_"",""""))-COUNTIF(C$4:C700,"&amp;"""Sell_""&amp;SUBSTITUTE(C701,""Sell_"",""""))))/2),ROUNDUP(INDEX(Upgrades!$C$3:$C$13,MATCH(C701,Upgrades!$B$3:$B$13,0))*1.15^(COUNTIF(C$4:C700,C701)-COUNTIF(C$4:C700,""Sell_""&amp;C701))))))"),"")</f>
        <v/>
      </c>
      <c r="H701" s="10" t="str">
        <f t="shared" si="3"/>
        <v/>
      </c>
      <c r="I701" s="68" t="str">
        <f t="shared" si="4"/>
        <v/>
      </c>
      <c r="J701" s="59" t="str">
        <f t="shared" si="5"/>
        <v/>
      </c>
      <c r="K701" s="69" t="str">
        <f t="shared" si="6"/>
        <v/>
      </c>
      <c r="L701" s="60" t="str">
        <f t="shared" si="7"/>
        <v/>
      </c>
      <c r="M701" s="61" t="str">
        <f>IFERROR(__xludf.DUMMYFUNCTION("IFS(AND(COUNTA(C701:C1350)=0,COUNTA(Q701:Q1350)=0),"""",OR(AND(K701&gt;=1000000000,OR(Y701&gt;=1000000000,COUNTA(Q701:Q1350)=0)),OR(Y701&gt;=1000000000,AND(COUNTA(C701:C1350)=0,P$3=TRUE))),
ROUNDDOWN((AB$1-AC$1)*MAX(INDEX(T$4:T1350,MATCH(LARGE(FILTER(Y$4:Y1350,Y$4"&amp;":Y1350&lt;1000000000),1),Y$4:Y1350)),INDEX(F$4:F1350,MATCH(LARGE(FILTER(K$4:K1350,K$4:K1350&lt;1000000000),1),K$4:K1350)))),AND(K701&lt;1000000000,COUNTA(C701:C1350)&gt;0,P$3=FALSE),
ROUNDDOWN(INDEX(Y$4:Y1350,MATCH(LARGE(FILTER(W$4:W1350,W$4:W1350&lt;=I701),1),W$4:W1350"&amp;"))+(I701-LARGE(FILTER(W$4:W1350,W$4:W1350&lt;=I701),1))*INDEX(T$4:T1350,MATCH(LARGE(FILTER(W$4:W1350,W$4:W1350&lt;=I701),1),W$4:W1350))-K701),1,
ROUNDDOWN(Y701-INDEX(K$4:K1350,MATCH(LARGE(FILTER(I$4:I1350,I$4:I1350&lt;=W701),1),I$4:I1350))-(W701-LARGE(FILTER(I$4:I"&amp;"1350,I$4:I1350&lt;=W701),1))*INDEX(F$4:F1350,MATCH(LARGE(FILTER(I$4:I1350,I$4:I1350&lt;=W701),1),I$4:I1350))))"),"")</f>
        <v/>
      </c>
      <c r="N701" s="60" t="str">
        <f t="shared" si="8"/>
        <v/>
      </c>
      <c r="O701" s="61" t="str">
        <f t="shared" si="9"/>
        <v/>
      </c>
      <c r="P701" s="56" t="str">
        <f t="shared" si="10"/>
        <v/>
      </c>
      <c r="Q701" s="62"/>
      <c r="R701" s="10" t="str">
        <f>IFERROR(__xludf.DUMMYFUNCTION("IF(COUNTA(Q701:Q1350)=0,"""",IF(ISBLANK(Q701),FALSE,IF(NOT(COUNTIF($AA$24:$AA$34,SUBSTITUTE(Q701,""Sell_"",""""))),1,IF(REGEXMATCH(Q701,""Sell_""),IF(COUNTIF(Q$4:Q701,SUBSTITUTE(Q701,""Sell_"",""""))-COUNTIF(Q$4:Q700,Q701)&lt;1,1),FALSE))))"),"")</f>
        <v/>
      </c>
      <c r="S701" s="59" t="str">
        <f t="array" ref="S701">IF(COUNTA(Q701:Q1350)=0,"",SUM((COUNTIF(Q$4:Q701,Upgrades!$B$3:$B$13)-COUNTIF(Q$4:Q701,"Sell_"&amp;Upgrades!$B$3:$B$13))*Upgrades!$D$3:$D$13))</f>
        <v/>
      </c>
      <c r="T701" s="66" t="str">
        <f>IFERROR(__xludf.DUMMYFUNCTION("IF(COUNTA(Q701:Q1350)=0,"""",IF(REGEXMATCH(INDEX(FILTER(Q$4:Q701,Q$4:Q701&lt;&gt;""""),ROWS(FILTER(Q$4:Q701,Q$4:Q701&lt;&gt;""""))),""^Sell_""),INDEX(FILTER(T$4:T700,Q$4:Q700&lt;&gt;""""),ROWS(FILTER(Q$4:Q700,Q$4:Q700&lt;&gt;""""))),$AD$5+S701))"),"")</f>
        <v/>
      </c>
      <c r="U701" s="10" t="str">
        <f>IFERROR(__xludf.DUMMYFUNCTION("IF(COUNTA(Q701:Q1350)=0,"""",IF(Q701="""",0,IF(REGEXMATCH(Q701,""^Sell_""),-ROUNDDOWN(ROUNDUP(INDEX(Upgrades!$C$3:$C$13,MATCH(SUBSTITUTE(Q701,""Sell_"",""""),Upgrades!$B$3:$B$13,0))*1.15^(COUNTIF(Q$4:Q700,SUBSTITUTE(Q701,""Sell_"",""""))-COUNTIF(Q$4:Q700,"&amp;"""Sell_""&amp;SUBSTITUTE(Q701,""Sell_"",""""))))/2),ROUNDUP(INDEX(Upgrades!$C$3:$C$13,MATCH(Q701,Upgrades!$B$3:$B$13,0))*1.15^(COUNTIF(Q$4:Q700,Q701)-COUNTIF(Q$4:Q700,""Sell_""&amp;Q701))))))"),"")</f>
        <v/>
      </c>
      <c r="V701" s="10" t="str">
        <f t="shared" si="11"/>
        <v/>
      </c>
      <c r="W701" s="68" t="str">
        <f t="shared" si="12"/>
        <v/>
      </c>
      <c r="X701" s="59" t="str">
        <f t="shared" si="13"/>
        <v/>
      </c>
      <c r="Y701" s="69" t="str">
        <f t="shared" si="14"/>
        <v/>
      </c>
      <c r="Z701" s="11"/>
    </row>
    <row r="702">
      <c r="A702" s="8"/>
      <c r="B702" s="56" t="str">
        <f t="shared" si="2"/>
        <v/>
      </c>
      <c r="C702" s="57"/>
      <c r="D702" s="10" t="str">
        <f>IFERROR(__xludf.DUMMYFUNCTION("IF(COUNTA(C702:C1350)=0,"""",IF(ISBLANK(C702),FALSE,IF(NOT(COUNTIF($AA$24:$AA$34,SUBSTITUTE(C702,""Sell_"",""""))),1,IF(REGEXMATCH(C702,""Sell_""),IF(COUNTIF(C$4:C702,SUBSTITUTE(C702,""Sell_"",""""))-COUNTIF(C$4:C701,C702)&lt;1,1),FALSE))))"),"")</f>
        <v/>
      </c>
      <c r="E702" s="59" t="str">
        <f t="array" ref="E702">IF(COUNTA(C702:C1350)=0,"",SUM((COUNTIF(C$4:C702,Upgrades!$B$3:$B$13)-COUNTIF(C$4:C702,"Sell_"&amp;Upgrades!$B$3:$B$13))*Upgrades!$D$3:$D$13))</f>
        <v/>
      </c>
      <c r="F702" s="66" t="str">
        <f>IFERROR(__xludf.DUMMYFUNCTION("IF(COUNTA(C702:C1350)=0,"""",IF(REGEXMATCH(INDEX(FILTER(C$4:C702,C$4:C702&lt;&gt;""""),ROWS(FILTER(C$4:C702,C$4:C702&lt;&gt;""""))),""^Sell_""),INDEX(FILTER(F$4:F701,C$4:C701&lt;&gt;""""),ROWS(FILTER(C$4:C701,C$4:C701&lt;&gt;""""))),$AC$5+E702))"),"")</f>
        <v/>
      </c>
      <c r="G702" s="10" t="str">
        <f>IFERROR(__xludf.DUMMYFUNCTION("IF(COUNTA(C702:C1350)=0,"""",IF(C702="""",0,IF(REGEXMATCH(C702,""^Sell_""),-ROUNDDOWN(ROUNDUP(INDEX(Upgrades!$C$3:$C$13,MATCH(SUBSTITUTE(C702,""Sell_"",""""),Upgrades!$B$3:$B$13,0))*1.15^(COUNTIF(C$4:C701,SUBSTITUTE(C702,""Sell_"",""""))-COUNTIF(C$4:C701,"&amp;"""Sell_""&amp;SUBSTITUTE(C702,""Sell_"",""""))))/2),ROUNDUP(INDEX(Upgrades!$C$3:$C$13,MATCH(C702,Upgrades!$B$3:$B$13,0))*1.15^(COUNTIF(C$4:C701,C702)-COUNTIF(C$4:C701,""Sell_""&amp;C702))))))"),"")</f>
        <v/>
      </c>
      <c r="H702" s="10" t="str">
        <f t="shared" si="3"/>
        <v/>
      </c>
      <c r="I702" s="68" t="str">
        <f t="shared" si="4"/>
        <v/>
      </c>
      <c r="J702" s="59" t="str">
        <f t="shared" si="5"/>
        <v/>
      </c>
      <c r="K702" s="69" t="str">
        <f t="shared" si="6"/>
        <v/>
      </c>
      <c r="L702" s="60" t="str">
        <f t="shared" si="7"/>
        <v/>
      </c>
      <c r="M702" s="61" t="str">
        <f>IFERROR(__xludf.DUMMYFUNCTION("IFS(AND(COUNTA(C702:C1350)=0,COUNTA(Q702:Q1350)=0),"""",OR(AND(K702&gt;=1000000000,OR(Y702&gt;=1000000000,COUNTA(Q702:Q1350)=0)),OR(Y702&gt;=1000000000,AND(COUNTA(C702:C1350)=0,P$3=TRUE))),
ROUNDDOWN((AB$1-AC$1)*MAX(INDEX(T$4:T1350,MATCH(LARGE(FILTER(Y$4:Y1350,Y$4"&amp;":Y1350&lt;1000000000),1),Y$4:Y1350)),INDEX(F$4:F1350,MATCH(LARGE(FILTER(K$4:K1350,K$4:K1350&lt;1000000000),1),K$4:K1350)))),AND(K702&lt;1000000000,COUNTA(C702:C1350)&gt;0,P$3=FALSE),
ROUNDDOWN(INDEX(Y$4:Y1350,MATCH(LARGE(FILTER(W$4:W1350,W$4:W1350&lt;=I702),1),W$4:W1350"&amp;"))+(I702-LARGE(FILTER(W$4:W1350,W$4:W1350&lt;=I702),1))*INDEX(T$4:T1350,MATCH(LARGE(FILTER(W$4:W1350,W$4:W1350&lt;=I702),1),W$4:W1350))-K702),1,
ROUNDDOWN(Y702-INDEX(K$4:K1350,MATCH(LARGE(FILTER(I$4:I1350,I$4:I1350&lt;=W702),1),I$4:I1350))-(W702-LARGE(FILTER(I$4:I"&amp;"1350,I$4:I1350&lt;=W702),1))*INDEX(F$4:F1350,MATCH(LARGE(FILTER(I$4:I1350,I$4:I1350&lt;=W702),1),I$4:I1350))))"),"")</f>
        <v/>
      </c>
      <c r="N702" s="60" t="str">
        <f t="shared" si="8"/>
        <v/>
      </c>
      <c r="O702" s="61" t="str">
        <f t="shared" si="9"/>
        <v/>
      </c>
      <c r="P702" s="56" t="str">
        <f t="shared" si="10"/>
        <v/>
      </c>
      <c r="Q702" s="62"/>
      <c r="R702" s="10" t="str">
        <f>IFERROR(__xludf.DUMMYFUNCTION("IF(COUNTA(Q702:Q1350)=0,"""",IF(ISBLANK(Q702),FALSE,IF(NOT(COUNTIF($AA$24:$AA$34,SUBSTITUTE(Q702,""Sell_"",""""))),1,IF(REGEXMATCH(Q702,""Sell_""),IF(COUNTIF(Q$4:Q702,SUBSTITUTE(Q702,""Sell_"",""""))-COUNTIF(Q$4:Q701,Q702)&lt;1,1),FALSE))))"),"")</f>
        <v/>
      </c>
      <c r="S702" s="59" t="str">
        <f t="array" ref="S702">IF(COUNTA(Q702:Q1350)=0,"",SUM((COUNTIF(Q$4:Q702,Upgrades!$B$3:$B$13)-COUNTIF(Q$4:Q702,"Sell_"&amp;Upgrades!$B$3:$B$13))*Upgrades!$D$3:$D$13))</f>
        <v/>
      </c>
      <c r="T702" s="66" t="str">
        <f>IFERROR(__xludf.DUMMYFUNCTION("IF(COUNTA(Q702:Q1350)=0,"""",IF(REGEXMATCH(INDEX(FILTER(Q$4:Q702,Q$4:Q702&lt;&gt;""""),ROWS(FILTER(Q$4:Q702,Q$4:Q702&lt;&gt;""""))),""^Sell_""),INDEX(FILTER(T$4:T701,Q$4:Q701&lt;&gt;""""),ROWS(FILTER(Q$4:Q701,Q$4:Q701&lt;&gt;""""))),$AD$5+S702))"),"")</f>
        <v/>
      </c>
      <c r="U702" s="10" t="str">
        <f>IFERROR(__xludf.DUMMYFUNCTION("IF(COUNTA(Q702:Q1350)=0,"""",IF(Q702="""",0,IF(REGEXMATCH(Q702,""^Sell_""),-ROUNDDOWN(ROUNDUP(INDEX(Upgrades!$C$3:$C$13,MATCH(SUBSTITUTE(Q702,""Sell_"",""""),Upgrades!$B$3:$B$13,0))*1.15^(COUNTIF(Q$4:Q701,SUBSTITUTE(Q702,""Sell_"",""""))-COUNTIF(Q$4:Q701,"&amp;"""Sell_""&amp;SUBSTITUTE(Q702,""Sell_"",""""))))/2),ROUNDUP(INDEX(Upgrades!$C$3:$C$13,MATCH(Q702,Upgrades!$B$3:$B$13,0))*1.15^(COUNTIF(Q$4:Q701,Q702)-COUNTIF(Q$4:Q701,""Sell_""&amp;Q702))))))"),"")</f>
        <v/>
      </c>
      <c r="V702" s="10" t="str">
        <f t="shared" si="11"/>
        <v/>
      </c>
      <c r="W702" s="68" t="str">
        <f t="shared" si="12"/>
        <v/>
      </c>
      <c r="X702" s="59" t="str">
        <f t="shared" si="13"/>
        <v/>
      </c>
      <c r="Y702" s="69" t="str">
        <f t="shared" si="14"/>
        <v/>
      </c>
      <c r="Z702" s="11"/>
    </row>
    <row r="703">
      <c r="A703" s="8"/>
      <c r="B703" s="56" t="str">
        <f t="shared" si="2"/>
        <v/>
      </c>
      <c r="C703" s="57"/>
      <c r="D703" s="10" t="str">
        <f>IFERROR(__xludf.DUMMYFUNCTION("IF(COUNTA(C703:C1350)=0,"""",IF(ISBLANK(C703),FALSE,IF(NOT(COUNTIF($AA$24:$AA$34,SUBSTITUTE(C703,""Sell_"",""""))),1,IF(REGEXMATCH(C703,""Sell_""),IF(COUNTIF(C$4:C703,SUBSTITUTE(C703,""Sell_"",""""))-COUNTIF(C$4:C702,C703)&lt;1,1),FALSE))))"),"")</f>
        <v/>
      </c>
      <c r="E703" s="59" t="str">
        <f t="array" ref="E703">IF(COUNTA(C703:C1350)=0,"",SUM((COUNTIF(C$4:C703,Upgrades!$B$3:$B$13)-COUNTIF(C$4:C703,"Sell_"&amp;Upgrades!$B$3:$B$13))*Upgrades!$D$3:$D$13))</f>
        <v/>
      </c>
      <c r="F703" s="66" t="str">
        <f>IFERROR(__xludf.DUMMYFUNCTION("IF(COUNTA(C703:C1350)=0,"""",IF(REGEXMATCH(INDEX(FILTER(C$4:C703,C$4:C703&lt;&gt;""""),ROWS(FILTER(C$4:C703,C$4:C703&lt;&gt;""""))),""^Sell_""),INDEX(FILTER(F$4:F702,C$4:C702&lt;&gt;""""),ROWS(FILTER(C$4:C702,C$4:C702&lt;&gt;""""))),$AC$5+E703))"),"")</f>
        <v/>
      </c>
      <c r="G703" s="10" t="str">
        <f>IFERROR(__xludf.DUMMYFUNCTION("IF(COUNTA(C703:C1350)=0,"""",IF(C703="""",0,IF(REGEXMATCH(C703,""^Sell_""),-ROUNDDOWN(ROUNDUP(INDEX(Upgrades!$C$3:$C$13,MATCH(SUBSTITUTE(C703,""Sell_"",""""),Upgrades!$B$3:$B$13,0))*1.15^(COUNTIF(C$4:C702,SUBSTITUTE(C703,""Sell_"",""""))-COUNTIF(C$4:C702,"&amp;"""Sell_""&amp;SUBSTITUTE(C703,""Sell_"",""""))))/2),ROUNDUP(INDEX(Upgrades!$C$3:$C$13,MATCH(C703,Upgrades!$B$3:$B$13,0))*1.15^(COUNTIF(C$4:C702,C703)-COUNTIF(C$4:C702,""Sell_""&amp;C703))))))"),"")</f>
        <v/>
      </c>
      <c r="H703" s="10" t="str">
        <f t="shared" si="3"/>
        <v/>
      </c>
      <c r="I703" s="68" t="str">
        <f t="shared" si="4"/>
        <v/>
      </c>
      <c r="J703" s="59" t="str">
        <f t="shared" si="5"/>
        <v/>
      </c>
      <c r="K703" s="69" t="str">
        <f t="shared" si="6"/>
        <v/>
      </c>
      <c r="L703" s="60" t="str">
        <f t="shared" si="7"/>
        <v/>
      </c>
      <c r="M703" s="61" t="str">
        <f>IFERROR(__xludf.DUMMYFUNCTION("IFS(AND(COUNTA(C703:C1350)=0,COUNTA(Q703:Q1350)=0),"""",OR(AND(K703&gt;=1000000000,OR(Y703&gt;=1000000000,COUNTA(Q703:Q1350)=0)),OR(Y703&gt;=1000000000,AND(COUNTA(C703:C1350)=0,P$3=TRUE))),
ROUNDDOWN((AB$1-AC$1)*MAX(INDEX(T$4:T1350,MATCH(LARGE(FILTER(Y$4:Y1350,Y$4"&amp;":Y1350&lt;1000000000),1),Y$4:Y1350)),INDEX(F$4:F1350,MATCH(LARGE(FILTER(K$4:K1350,K$4:K1350&lt;1000000000),1),K$4:K1350)))),AND(K703&lt;1000000000,COUNTA(C703:C1350)&gt;0,P$3=FALSE),
ROUNDDOWN(INDEX(Y$4:Y1350,MATCH(LARGE(FILTER(W$4:W1350,W$4:W1350&lt;=I703),1),W$4:W1350"&amp;"))+(I703-LARGE(FILTER(W$4:W1350,W$4:W1350&lt;=I703),1))*INDEX(T$4:T1350,MATCH(LARGE(FILTER(W$4:W1350,W$4:W1350&lt;=I703),1),W$4:W1350))-K703),1,
ROUNDDOWN(Y703-INDEX(K$4:K1350,MATCH(LARGE(FILTER(I$4:I1350,I$4:I1350&lt;=W703),1),I$4:I1350))-(W703-LARGE(FILTER(I$4:I"&amp;"1350,I$4:I1350&lt;=W703),1))*INDEX(F$4:F1350,MATCH(LARGE(FILTER(I$4:I1350,I$4:I1350&lt;=W703),1),I$4:I1350))))"),"")</f>
        <v/>
      </c>
      <c r="N703" s="60" t="str">
        <f t="shared" si="8"/>
        <v/>
      </c>
      <c r="O703" s="61" t="str">
        <f t="shared" si="9"/>
        <v/>
      </c>
      <c r="P703" s="56" t="str">
        <f t="shared" si="10"/>
        <v/>
      </c>
      <c r="Q703" s="62"/>
      <c r="R703" s="10" t="str">
        <f>IFERROR(__xludf.DUMMYFUNCTION("IF(COUNTA(Q703:Q1350)=0,"""",IF(ISBLANK(Q703),FALSE,IF(NOT(COUNTIF($AA$24:$AA$34,SUBSTITUTE(Q703,""Sell_"",""""))),1,IF(REGEXMATCH(Q703,""Sell_""),IF(COUNTIF(Q$4:Q703,SUBSTITUTE(Q703,""Sell_"",""""))-COUNTIF(Q$4:Q702,Q703)&lt;1,1),FALSE))))"),"")</f>
        <v/>
      </c>
      <c r="S703" s="59" t="str">
        <f t="array" ref="S703">IF(COUNTA(Q703:Q1350)=0,"",SUM((COUNTIF(Q$4:Q703,Upgrades!$B$3:$B$13)-COUNTIF(Q$4:Q703,"Sell_"&amp;Upgrades!$B$3:$B$13))*Upgrades!$D$3:$D$13))</f>
        <v/>
      </c>
      <c r="T703" s="66" t="str">
        <f>IFERROR(__xludf.DUMMYFUNCTION("IF(COUNTA(Q703:Q1350)=0,"""",IF(REGEXMATCH(INDEX(FILTER(Q$4:Q703,Q$4:Q703&lt;&gt;""""),ROWS(FILTER(Q$4:Q703,Q$4:Q703&lt;&gt;""""))),""^Sell_""),INDEX(FILTER(T$4:T702,Q$4:Q702&lt;&gt;""""),ROWS(FILTER(Q$4:Q702,Q$4:Q702&lt;&gt;""""))),$AD$5+S703))"),"")</f>
        <v/>
      </c>
      <c r="U703" s="10" t="str">
        <f>IFERROR(__xludf.DUMMYFUNCTION("IF(COUNTA(Q703:Q1350)=0,"""",IF(Q703="""",0,IF(REGEXMATCH(Q703,""^Sell_""),-ROUNDDOWN(ROUNDUP(INDEX(Upgrades!$C$3:$C$13,MATCH(SUBSTITUTE(Q703,""Sell_"",""""),Upgrades!$B$3:$B$13,0))*1.15^(COUNTIF(Q$4:Q702,SUBSTITUTE(Q703,""Sell_"",""""))-COUNTIF(Q$4:Q702,"&amp;"""Sell_""&amp;SUBSTITUTE(Q703,""Sell_"",""""))))/2),ROUNDUP(INDEX(Upgrades!$C$3:$C$13,MATCH(Q703,Upgrades!$B$3:$B$13,0))*1.15^(COUNTIF(Q$4:Q702,Q703)-COUNTIF(Q$4:Q702,""Sell_""&amp;Q703))))))"),"")</f>
        <v/>
      </c>
      <c r="V703" s="10" t="str">
        <f t="shared" si="11"/>
        <v/>
      </c>
      <c r="W703" s="68" t="str">
        <f t="shared" si="12"/>
        <v/>
      </c>
      <c r="X703" s="59" t="str">
        <f t="shared" si="13"/>
        <v/>
      </c>
      <c r="Y703" s="69" t="str">
        <f t="shared" si="14"/>
        <v/>
      </c>
      <c r="Z703" s="11"/>
    </row>
    <row r="704">
      <c r="A704" s="8"/>
      <c r="B704" s="56" t="str">
        <f t="shared" si="2"/>
        <v/>
      </c>
      <c r="C704" s="57"/>
      <c r="D704" s="10" t="str">
        <f>IFERROR(__xludf.DUMMYFUNCTION("IF(COUNTA(C704:C1350)=0,"""",IF(ISBLANK(C704),FALSE,IF(NOT(COUNTIF($AA$24:$AA$34,SUBSTITUTE(C704,""Sell_"",""""))),1,IF(REGEXMATCH(C704,""Sell_""),IF(COUNTIF(C$4:C704,SUBSTITUTE(C704,""Sell_"",""""))-COUNTIF(C$4:C703,C704)&lt;1,1),FALSE))))"),"")</f>
        <v/>
      </c>
      <c r="E704" s="59" t="str">
        <f t="array" ref="E704">IF(COUNTA(C704:C1350)=0,"",SUM((COUNTIF(C$4:C704,Upgrades!$B$3:$B$13)-COUNTIF(C$4:C704,"Sell_"&amp;Upgrades!$B$3:$B$13))*Upgrades!$D$3:$D$13))</f>
        <v/>
      </c>
      <c r="F704" s="66" t="str">
        <f>IFERROR(__xludf.DUMMYFUNCTION("IF(COUNTA(C704:C1350)=0,"""",IF(REGEXMATCH(INDEX(FILTER(C$4:C704,C$4:C704&lt;&gt;""""),ROWS(FILTER(C$4:C704,C$4:C704&lt;&gt;""""))),""^Sell_""),INDEX(FILTER(F$4:F703,C$4:C703&lt;&gt;""""),ROWS(FILTER(C$4:C703,C$4:C703&lt;&gt;""""))),$AC$5+E704))"),"")</f>
        <v/>
      </c>
      <c r="G704" s="10" t="str">
        <f>IFERROR(__xludf.DUMMYFUNCTION("IF(COUNTA(C704:C1350)=0,"""",IF(C704="""",0,IF(REGEXMATCH(C704,""^Sell_""),-ROUNDDOWN(ROUNDUP(INDEX(Upgrades!$C$3:$C$13,MATCH(SUBSTITUTE(C704,""Sell_"",""""),Upgrades!$B$3:$B$13,0))*1.15^(COUNTIF(C$4:C703,SUBSTITUTE(C704,""Sell_"",""""))-COUNTIF(C$4:C703,"&amp;"""Sell_""&amp;SUBSTITUTE(C704,""Sell_"",""""))))/2),ROUNDUP(INDEX(Upgrades!$C$3:$C$13,MATCH(C704,Upgrades!$B$3:$B$13,0))*1.15^(COUNTIF(C$4:C703,C704)-COUNTIF(C$4:C703,""Sell_""&amp;C704))))))"),"")</f>
        <v/>
      </c>
      <c r="H704" s="10" t="str">
        <f t="shared" si="3"/>
        <v/>
      </c>
      <c r="I704" s="68" t="str">
        <f t="shared" si="4"/>
        <v/>
      </c>
      <c r="J704" s="59" t="str">
        <f t="shared" si="5"/>
        <v/>
      </c>
      <c r="K704" s="69" t="str">
        <f t="shared" si="6"/>
        <v/>
      </c>
      <c r="L704" s="60" t="str">
        <f t="shared" si="7"/>
        <v/>
      </c>
      <c r="M704" s="61" t="str">
        <f>IFERROR(__xludf.DUMMYFUNCTION("IFS(AND(COUNTA(C704:C1350)=0,COUNTA(Q704:Q1350)=0),"""",OR(AND(K704&gt;=1000000000,OR(Y704&gt;=1000000000,COUNTA(Q704:Q1350)=0)),OR(Y704&gt;=1000000000,AND(COUNTA(C704:C1350)=0,P$3=TRUE))),
ROUNDDOWN((AB$1-AC$1)*MAX(INDEX(T$4:T1350,MATCH(LARGE(FILTER(Y$4:Y1350,Y$4"&amp;":Y1350&lt;1000000000),1),Y$4:Y1350)),INDEX(F$4:F1350,MATCH(LARGE(FILTER(K$4:K1350,K$4:K1350&lt;1000000000),1),K$4:K1350)))),AND(K704&lt;1000000000,COUNTA(C704:C1350)&gt;0,P$3=FALSE),
ROUNDDOWN(INDEX(Y$4:Y1350,MATCH(LARGE(FILTER(W$4:W1350,W$4:W1350&lt;=I704),1),W$4:W1350"&amp;"))+(I704-LARGE(FILTER(W$4:W1350,W$4:W1350&lt;=I704),1))*INDEX(T$4:T1350,MATCH(LARGE(FILTER(W$4:W1350,W$4:W1350&lt;=I704),1),W$4:W1350))-K704),1,
ROUNDDOWN(Y704-INDEX(K$4:K1350,MATCH(LARGE(FILTER(I$4:I1350,I$4:I1350&lt;=W704),1),I$4:I1350))-(W704-LARGE(FILTER(I$4:I"&amp;"1350,I$4:I1350&lt;=W704),1))*INDEX(F$4:F1350,MATCH(LARGE(FILTER(I$4:I1350,I$4:I1350&lt;=W704),1),I$4:I1350))))"),"")</f>
        <v/>
      </c>
      <c r="N704" s="60" t="str">
        <f t="shared" si="8"/>
        <v/>
      </c>
      <c r="O704" s="61" t="str">
        <f t="shared" si="9"/>
        <v/>
      </c>
      <c r="P704" s="56" t="str">
        <f t="shared" si="10"/>
        <v/>
      </c>
      <c r="Q704" s="62"/>
      <c r="R704" s="10" t="str">
        <f>IFERROR(__xludf.DUMMYFUNCTION("IF(COUNTA(Q704:Q1350)=0,"""",IF(ISBLANK(Q704),FALSE,IF(NOT(COUNTIF($AA$24:$AA$34,SUBSTITUTE(Q704,""Sell_"",""""))),1,IF(REGEXMATCH(Q704,""Sell_""),IF(COUNTIF(Q$4:Q704,SUBSTITUTE(Q704,""Sell_"",""""))-COUNTIF(Q$4:Q703,Q704)&lt;1,1),FALSE))))"),"")</f>
        <v/>
      </c>
      <c r="S704" s="59" t="str">
        <f t="array" ref="S704">IF(COUNTA(Q704:Q1350)=0,"",SUM((COUNTIF(Q$4:Q704,Upgrades!$B$3:$B$13)-COUNTIF(Q$4:Q704,"Sell_"&amp;Upgrades!$B$3:$B$13))*Upgrades!$D$3:$D$13))</f>
        <v/>
      </c>
      <c r="T704" s="66" t="str">
        <f>IFERROR(__xludf.DUMMYFUNCTION("IF(COUNTA(Q704:Q1350)=0,"""",IF(REGEXMATCH(INDEX(FILTER(Q$4:Q704,Q$4:Q704&lt;&gt;""""),ROWS(FILTER(Q$4:Q704,Q$4:Q704&lt;&gt;""""))),""^Sell_""),INDEX(FILTER(T$4:T703,Q$4:Q703&lt;&gt;""""),ROWS(FILTER(Q$4:Q703,Q$4:Q703&lt;&gt;""""))),$AD$5+S704))"),"")</f>
        <v/>
      </c>
      <c r="U704" s="10" t="str">
        <f>IFERROR(__xludf.DUMMYFUNCTION("IF(COUNTA(Q704:Q1350)=0,"""",IF(Q704="""",0,IF(REGEXMATCH(Q704,""^Sell_""),-ROUNDDOWN(ROUNDUP(INDEX(Upgrades!$C$3:$C$13,MATCH(SUBSTITUTE(Q704,""Sell_"",""""),Upgrades!$B$3:$B$13,0))*1.15^(COUNTIF(Q$4:Q703,SUBSTITUTE(Q704,""Sell_"",""""))-COUNTIF(Q$4:Q703,"&amp;"""Sell_""&amp;SUBSTITUTE(Q704,""Sell_"",""""))))/2),ROUNDUP(INDEX(Upgrades!$C$3:$C$13,MATCH(Q704,Upgrades!$B$3:$B$13,0))*1.15^(COUNTIF(Q$4:Q703,Q704)-COUNTIF(Q$4:Q703,""Sell_""&amp;Q704))))))"),"")</f>
        <v/>
      </c>
      <c r="V704" s="10" t="str">
        <f t="shared" si="11"/>
        <v/>
      </c>
      <c r="W704" s="68" t="str">
        <f t="shared" si="12"/>
        <v/>
      </c>
      <c r="X704" s="59" t="str">
        <f t="shared" si="13"/>
        <v/>
      </c>
      <c r="Y704" s="69" t="str">
        <f t="shared" si="14"/>
        <v/>
      </c>
      <c r="Z704" s="11"/>
    </row>
    <row r="705">
      <c r="A705" s="8"/>
      <c r="B705" s="56" t="str">
        <f t="shared" si="2"/>
        <v/>
      </c>
      <c r="C705" s="57"/>
      <c r="D705" s="10" t="str">
        <f>IFERROR(__xludf.DUMMYFUNCTION("IF(COUNTA(C705:C1350)=0,"""",IF(ISBLANK(C705),FALSE,IF(NOT(COUNTIF($AA$24:$AA$34,SUBSTITUTE(C705,""Sell_"",""""))),1,IF(REGEXMATCH(C705,""Sell_""),IF(COUNTIF(C$4:C705,SUBSTITUTE(C705,""Sell_"",""""))-COUNTIF(C$4:C704,C705)&lt;1,1),FALSE))))"),"")</f>
        <v/>
      </c>
      <c r="E705" s="59" t="str">
        <f t="array" ref="E705">IF(COUNTA(C705:C1350)=0,"",SUM((COUNTIF(C$4:C705,Upgrades!$B$3:$B$13)-COUNTIF(C$4:C705,"Sell_"&amp;Upgrades!$B$3:$B$13))*Upgrades!$D$3:$D$13))</f>
        <v/>
      </c>
      <c r="F705" s="66" t="str">
        <f>IFERROR(__xludf.DUMMYFUNCTION("IF(COUNTA(C705:C1350)=0,"""",IF(REGEXMATCH(INDEX(FILTER(C$4:C705,C$4:C705&lt;&gt;""""),ROWS(FILTER(C$4:C705,C$4:C705&lt;&gt;""""))),""^Sell_""),INDEX(FILTER(F$4:F704,C$4:C704&lt;&gt;""""),ROWS(FILTER(C$4:C704,C$4:C704&lt;&gt;""""))),$AC$5+E705))"),"")</f>
        <v/>
      </c>
      <c r="G705" s="10" t="str">
        <f>IFERROR(__xludf.DUMMYFUNCTION("IF(COUNTA(C705:C1350)=0,"""",IF(C705="""",0,IF(REGEXMATCH(C705,""^Sell_""),-ROUNDDOWN(ROUNDUP(INDEX(Upgrades!$C$3:$C$13,MATCH(SUBSTITUTE(C705,""Sell_"",""""),Upgrades!$B$3:$B$13,0))*1.15^(COUNTIF(C$4:C704,SUBSTITUTE(C705,""Sell_"",""""))-COUNTIF(C$4:C704,"&amp;"""Sell_""&amp;SUBSTITUTE(C705,""Sell_"",""""))))/2),ROUNDUP(INDEX(Upgrades!$C$3:$C$13,MATCH(C705,Upgrades!$B$3:$B$13,0))*1.15^(COUNTIF(C$4:C704,C705)-COUNTIF(C$4:C704,""Sell_""&amp;C705))))))"),"")</f>
        <v/>
      </c>
      <c r="H705" s="10" t="str">
        <f t="shared" si="3"/>
        <v/>
      </c>
      <c r="I705" s="68" t="str">
        <f t="shared" si="4"/>
        <v/>
      </c>
      <c r="J705" s="59" t="str">
        <f t="shared" si="5"/>
        <v/>
      </c>
      <c r="K705" s="69" t="str">
        <f t="shared" si="6"/>
        <v/>
      </c>
      <c r="L705" s="60" t="str">
        <f t="shared" si="7"/>
        <v/>
      </c>
      <c r="M705" s="61" t="str">
        <f>IFERROR(__xludf.DUMMYFUNCTION("IFS(AND(COUNTA(C705:C1350)=0,COUNTA(Q705:Q1350)=0),"""",OR(AND(K705&gt;=1000000000,OR(Y705&gt;=1000000000,COUNTA(Q705:Q1350)=0)),OR(Y705&gt;=1000000000,AND(COUNTA(C705:C1350)=0,P$3=TRUE))),
ROUNDDOWN((AB$1-AC$1)*MAX(INDEX(T$4:T1350,MATCH(LARGE(FILTER(Y$4:Y1350,Y$4"&amp;":Y1350&lt;1000000000),1),Y$4:Y1350)),INDEX(F$4:F1350,MATCH(LARGE(FILTER(K$4:K1350,K$4:K1350&lt;1000000000),1),K$4:K1350)))),AND(K705&lt;1000000000,COUNTA(C705:C1350)&gt;0,P$3=FALSE),
ROUNDDOWN(INDEX(Y$4:Y1350,MATCH(LARGE(FILTER(W$4:W1350,W$4:W1350&lt;=I705),1),W$4:W1350"&amp;"))+(I705-LARGE(FILTER(W$4:W1350,W$4:W1350&lt;=I705),1))*INDEX(T$4:T1350,MATCH(LARGE(FILTER(W$4:W1350,W$4:W1350&lt;=I705),1),W$4:W1350))-K705),1,
ROUNDDOWN(Y705-INDEX(K$4:K1350,MATCH(LARGE(FILTER(I$4:I1350,I$4:I1350&lt;=W705),1),I$4:I1350))-(W705-LARGE(FILTER(I$4:I"&amp;"1350,I$4:I1350&lt;=W705),1))*INDEX(F$4:F1350,MATCH(LARGE(FILTER(I$4:I1350,I$4:I1350&lt;=W705),1),I$4:I1350))))"),"")</f>
        <v/>
      </c>
      <c r="N705" s="60" t="str">
        <f t="shared" si="8"/>
        <v/>
      </c>
      <c r="O705" s="61" t="str">
        <f t="shared" si="9"/>
        <v/>
      </c>
      <c r="P705" s="56" t="str">
        <f t="shared" si="10"/>
        <v/>
      </c>
      <c r="Q705" s="62"/>
      <c r="R705" s="10" t="str">
        <f>IFERROR(__xludf.DUMMYFUNCTION("IF(COUNTA(Q705:Q1350)=0,"""",IF(ISBLANK(Q705),FALSE,IF(NOT(COUNTIF($AA$24:$AA$34,SUBSTITUTE(Q705,""Sell_"",""""))),1,IF(REGEXMATCH(Q705,""Sell_""),IF(COUNTIF(Q$4:Q705,SUBSTITUTE(Q705,""Sell_"",""""))-COUNTIF(Q$4:Q704,Q705)&lt;1,1),FALSE))))"),"")</f>
        <v/>
      </c>
      <c r="S705" s="59" t="str">
        <f t="array" ref="S705">IF(COUNTA(Q705:Q1350)=0,"",SUM((COUNTIF(Q$4:Q705,Upgrades!$B$3:$B$13)-COUNTIF(Q$4:Q705,"Sell_"&amp;Upgrades!$B$3:$B$13))*Upgrades!$D$3:$D$13))</f>
        <v/>
      </c>
      <c r="T705" s="66" t="str">
        <f>IFERROR(__xludf.DUMMYFUNCTION("IF(COUNTA(Q705:Q1350)=0,"""",IF(REGEXMATCH(INDEX(FILTER(Q$4:Q705,Q$4:Q705&lt;&gt;""""),ROWS(FILTER(Q$4:Q705,Q$4:Q705&lt;&gt;""""))),""^Sell_""),INDEX(FILTER(T$4:T704,Q$4:Q704&lt;&gt;""""),ROWS(FILTER(Q$4:Q704,Q$4:Q704&lt;&gt;""""))),$AD$5+S705))"),"")</f>
        <v/>
      </c>
      <c r="U705" s="10" t="str">
        <f>IFERROR(__xludf.DUMMYFUNCTION("IF(COUNTA(Q705:Q1350)=0,"""",IF(Q705="""",0,IF(REGEXMATCH(Q705,""^Sell_""),-ROUNDDOWN(ROUNDUP(INDEX(Upgrades!$C$3:$C$13,MATCH(SUBSTITUTE(Q705,""Sell_"",""""),Upgrades!$B$3:$B$13,0))*1.15^(COUNTIF(Q$4:Q704,SUBSTITUTE(Q705,""Sell_"",""""))-COUNTIF(Q$4:Q704,"&amp;"""Sell_""&amp;SUBSTITUTE(Q705,""Sell_"",""""))))/2),ROUNDUP(INDEX(Upgrades!$C$3:$C$13,MATCH(Q705,Upgrades!$B$3:$B$13,0))*1.15^(COUNTIF(Q$4:Q704,Q705)-COUNTIF(Q$4:Q704,""Sell_""&amp;Q705))))))"),"")</f>
        <v/>
      </c>
      <c r="V705" s="10" t="str">
        <f t="shared" si="11"/>
        <v/>
      </c>
      <c r="W705" s="68" t="str">
        <f t="shared" si="12"/>
        <v/>
      </c>
      <c r="X705" s="59" t="str">
        <f t="shared" si="13"/>
        <v/>
      </c>
      <c r="Y705" s="69" t="str">
        <f t="shared" si="14"/>
        <v/>
      </c>
      <c r="Z705" s="11"/>
    </row>
    <row r="706">
      <c r="A706" s="8"/>
      <c r="B706" s="56" t="str">
        <f t="shared" si="2"/>
        <v/>
      </c>
      <c r="C706" s="57"/>
      <c r="D706" s="10" t="str">
        <f>IFERROR(__xludf.DUMMYFUNCTION("IF(COUNTA(C706:C1350)=0,"""",IF(ISBLANK(C706),FALSE,IF(NOT(COUNTIF($AA$24:$AA$34,SUBSTITUTE(C706,""Sell_"",""""))),1,IF(REGEXMATCH(C706,""Sell_""),IF(COUNTIF(C$4:C706,SUBSTITUTE(C706,""Sell_"",""""))-COUNTIF(C$4:C705,C706)&lt;1,1),FALSE))))"),"")</f>
        <v/>
      </c>
      <c r="E706" s="59" t="str">
        <f t="array" ref="E706">IF(COUNTA(C706:C1350)=0,"",SUM((COUNTIF(C$4:C706,Upgrades!$B$3:$B$13)-COUNTIF(C$4:C706,"Sell_"&amp;Upgrades!$B$3:$B$13))*Upgrades!$D$3:$D$13))</f>
        <v/>
      </c>
      <c r="F706" s="66" t="str">
        <f>IFERROR(__xludf.DUMMYFUNCTION("IF(COUNTA(C706:C1350)=0,"""",IF(REGEXMATCH(INDEX(FILTER(C$4:C706,C$4:C706&lt;&gt;""""),ROWS(FILTER(C$4:C706,C$4:C706&lt;&gt;""""))),""^Sell_""),INDEX(FILTER(F$4:F705,C$4:C705&lt;&gt;""""),ROWS(FILTER(C$4:C705,C$4:C705&lt;&gt;""""))),$AC$5+E706))"),"")</f>
        <v/>
      </c>
      <c r="G706" s="10" t="str">
        <f>IFERROR(__xludf.DUMMYFUNCTION("IF(COUNTA(C706:C1350)=0,"""",IF(C706="""",0,IF(REGEXMATCH(C706,""^Sell_""),-ROUNDDOWN(ROUNDUP(INDEX(Upgrades!$C$3:$C$13,MATCH(SUBSTITUTE(C706,""Sell_"",""""),Upgrades!$B$3:$B$13,0))*1.15^(COUNTIF(C$4:C705,SUBSTITUTE(C706,""Sell_"",""""))-COUNTIF(C$4:C705,"&amp;"""Sell_""&amp;SUBSTITUTE(C706,""Sell_"",""""))))/2),ROUNDUP(INDEX(Upgrades!$C$3:$C$13,MATCH(C706,Upgrades!$B$3:$B$13,0))*1.15^(COUNTIF(C$4:C705,C706)-COUNTIF(C$4:C705,""Sell_""&amp;C706))))))"),"")</f>
        <v/>
      </c>
      <c r="H706" s="10" t="str">
        <f t="shared" si="3"/>
        <v/>
      </c>
      <c r="I706" s="68" t="str">
        <f t="shared" si="4"/>
        <v/>
      </c>
      <c r="J706" s="59" t="str">
        <f t="shared" si="5"/>
        <v/>
      </c>
      <c r="K706" s="69" t="str">
        <f t="shared" si="6"/>
        <v/>
      </c>
      <c r="L706" s="60" t="str">
        <f t="shared" si="7"/>
        <v/>
      </c>
      <c r="M706" s="61" t="str">
        <f>IFERROR(__xludf.DUMMYFUNCTION("IFS(AND(COUNTA(C706:C1350)=0,COUNTA(Q706:Q1350)=0),"""",OR(AND(K706&gt;=1000000000,OR(Y706&gt;=1000000000,COUNTA(Q706:Q1350)=0)),OR(Y706&gt;=1000000000,AND(COUNTA(C706:C1350)=0,P$3=TRUE))),
ROUNDDOWN((AB$1-AC$1)*MAX(INDEX(T$4:T1350,MATCH(LARGE(FILTER(Y$4:Y1350,Y$4"&amp;":Y1350&lt;1000000000),1),Y$4:Y1350)),INDEX(F$4:F1350,MATCH(LARGE(FILTER(K$4:K1350,K$4:K1350&lt;1000000000),1),K$4:K1350)))),AND(K706&lt;1000000000,COUNTA(C706:C1350)&gt;0,P$3=FALSE),
ROUNDDOWN(INDEX(Y$4:Y1350,MATCH(LARGE(FILTER(W$4:W1350,W$4:W1350&lt;=I706),1),W$4:W1350"&amp;"))+(I706-LARGE(FILTER(W$4:W1350,W$4:W1350&lt;=I706),1))*INDEX(T$4:T1350,MATCH(LARGE(FILTER(W$4:W1350,W$4:W1350&lt;=I706),1),W$4:W1350))-K706),1,
ROUNDDOWN(Y706-INDEX(K$4:K1350,MATCH(LARGE(FILTER(I$4:I1350,I$4:I1350&lt;=W706),1),I$4:I1350))-(W706-LARGE(FILTER(I$4:I"&amp;"1350,I$4:I1350&lt;=W706),1))*INDEX(F$4:F1350,MATCH(LARGE(FILTER(I$4:I1350,I$4:I1350&lt;=W706),1),I$4:I1350))))"),"")</f>
        <v/>
      </c>
      <c r="N706" s="60" t="str">
        <f t="shared" si="8"/>
        <v/>
      </c>
      <c r="O706" s="61" t="str">
        <f t="shared" si="9"/>
        <v/>
      </c>
      <c r="P706" s="56" t="str">
        <f t="shared" si="10"/>
        <v/>
      </c>
      <c r="Q706" s="62"/>
      <c r="R706" s="10" t="str">
        <f>IFERROR(__xludf.DUMMYFUNCTION("IF(COUNTA(Q706:Q1350)=0,"""",IF(ISBLANK(Q706),FALSE,IF(NOT(COUNTIF($AA$24:$AA$34,SUBSTITUTE(Q706,""Sell_"",""""))),1,IF(REGEXMATCH(Q706,""Sell_""),IF(COUNTIF(Q$4:Q706,SUBSTITUTE(Q706,""Sell_"",""""))-COUNTIF(Q$4:Q705,Q706)&lt;1,1),FALSE))))"),"")</f>
        <v/>
      </c>
      <c r="S706" s="59" t="str">
        <f t="array" ref="S706">IF(COUNTA(Q706:Q1350)=0,"",SUM((COUNTIF(Q$4:Q706,Upgrades!$B$3:$B$13)-COUNTIF(Q$4:Q706,"Sell_"&amp;Upgrades!$B$3:$B$13))*Upgrades!$D$3:$D$13))</f>
        <v/>
      </c>
      <c r="T706" s="66" t="str">
        <f>IFERROR(__xludf.DUMMYFUNCTION("IF(COUNTA(Q706:Q1350)=0,"""",IF(REGEXMATCH(INDEX(FILTER(Q$4:Q706,Q$4:Q706&lt;&gt;""""),ROWS(FILTER(Q$4:Q706,Q$4:Q706&lt;&gt;""""))),""^Sell_""),INDEX(FILTER(T$4:T705,Q$4:Q705&lt;&gt;""""),ROWS(FILTER(Q$4:Q705,Q$4:Q705&lt;&gt;""""))),$AD$5+S706))"),"")</f>
        <v/>
      </c>
      <c r="U706" s="10" t="str">
        <f>IFERROR(__xludf.DUMMYFUNCTION("IF(COUNTA(Q706:Q1350)=0,"""",IF(Q706="""",0,IF(REGEXMATCH(Q706,""^Sell_""),-ROUNDDOWN(ROUNDUP(INDEX(Upgrades!$C$3:$C$13,MATCH(SUBSTITUTE(Q706,""Sell_"",""""),Upgrades!$B$3:$B$13,0))*1.15^(COUNTIF(Q$4:Q705,SUBSTITUTE(Q706,""Sell_"",""""))-COUNTIF(Q$4:Q705,"&amp;"""Sell_""&amp;SUBSTITUTE(Q706,""Sell_"",""""))))/2),ROUNDUP(INDEX(Upgrades!$C$3:$C$13,MATCH(Q706,Upgrades!$B$3:$B$13,0))*1.15^(COUNTIF(Q$4:Q705,Q706)-COUNTIF(Q$4:Q705,""Sell_""&amp;Q706))))))"),"")</f>
        <v/>
      </c>
      <c r="V706" s="10" t="str">
        <f t="shared" si="11"/>
        <v/>
      </c>
      <c r="W706" s="68" t="str">
        <f t="shared" si="12"/>
        <v/>
      </c>
      <c r="X706" s="59" t="str">
        <f t="shared" si="13"/>
        <v/>
      </c>
      <c r="Y706" s="69" t="str">
        <f t="shared" si="14"/>
        <v/>
      </c>
      <c r="Z706" s="11"/>
    </row>
    <row r="707">
      <c r="A707" s="8"/>
      <c r="B707" s="56" t="str">
        <f t="shared" si="2"/>
        <v/>
      </c>
      <c r="C707" s="57"/>
      <c r="D707" s="10" t="str">
        <f>IFERROR(__xludf.DUMMYFUNCTION("IF(COUNTA(C707:C1350)=0,"""",IF(ISBLANK(C707),FALSE,IF(NOT(COUNTIF($AA$24:$AA$34,SUBSTITUTE(C707,""Sell_"",""""))),1,IF(REGEXMATCH(C707,""Sell_""),IF(COUNTIF(C$4:C707,SUBSTITUTE(C707,""Sell_"",""""))-COUNTIF(C$4:C706,C707)&lt;1,1),FALSE))))"),"")</f>
        <v/>
      </c>
      <c r="E707" s="59" t="str">
        <f t="array" ref="E707">IF(COUNTA(C707:C1350)=0,"",SUM((COUNTIF(C$4:C707,Upgrades!$B$3:$B$13)-COUNTIF(C$4:C707,"Sell_"&amp;Upgrades!$B$3:$B$13))*Upgrades!$D$3:$D$13))</f>
        <v/>
      </c>
      <c r="F707" s="66" t="str">
        <f>IFERROR(__xludf.DUMMYFUNCTION("IF(COUNTA(C707:C1350)=0,"""",IF(REGEXMATCH(INDEX(FILTER(C$4:C707,C$4:C707&lt;&gt;""""),ROWS(FILTER(C$4:C707,C$4:C707&lt;&gt;""""))),""^Sell_""),INDEX(FILTER(F$4:F706,C$4:C706&lt;&gt;""""),ROWS(FILTER(C$4:C706,C$4:C706&lt;&gt;""""))),$AC$5+E707))"),"")</f>
        <v/>
      </c>
      <c r="G707" s="10" t="str">
        <f>IFERROR(__xludf.DUMMYFUNCTION("IF(COUNTA(C707:C1350)=0,"""",IF(C707="""",0,IF(REGEXMATCH(C707,""^Sell_""),-ROUNDDOWN(ROUNDUP(INDEX(Upgrades!$C$3:$C$13,MATCH(SUBSTITUTE(C707,""Sell_"",""""),Upgrades!$B$3:$B$13,0))*1.15^(COUNTIF(C$4:C706,SUBSTITUTE(C707,""Sell_"",""""))-COUNTIF(C$4:C706,"&amp;"""Sell_""&amp;SUBSTITUTE(C707,""Sell_"",""""))))/2),ROUNDUP(INDEX(Upgrades!$C$3:$C$13,MATCH(C707,Upgrades!$B$3:$B$13,0))*1.15^(COUNTIF(C$4:C706,C707)-COUNTIF(C$4:C706,""Sell_""&amp;C707))))))"),"")</f>
        <v/>
      </c>
      <c r="H707" s="10" t="str">
        <f t="shared" si="3"/>
        <v/>
      </c>
      <c r="I707" s="68" t="str">
        <f t="shared" si="4"/>
        <v/>
      </c>
      <c r="J707" s="59" t="str">
        <f t="shared" si="5"/>
        <v/>
      </c>
      <c r="K707" s="69" t="str">
        <f t="shared" si="6"/>
        <v/>
      </c>
      <c r="L707" s="60" t="str">
        <f t="shared" si="7"/>
        <v/>
      </c>
      <c r="M707" s="61" t="str">
        <f>IFERROR(__xludf.DUMMYFUNCTION("IFS(AND(COUNTA(C707:C1350)=0,COUNTA(Q707:Q1350)=0),"""",OR(AND(K707&gt;=1000000000,OR(Y707&gt;=1000000000,COUNTA(Q707:Q1350)=0)),OR(Y707&gt;=1000000000,AND(COUNTA(C707:C1350)=0,P$3=TRUE))),
ROUNDDOWN((AB$1-AC$1)*MAX(INDEX(T$4:T1350,MATCH(LARGE(FILTER(Y$4:Y1350,Y$4"&amp;":Y1350&lt;1000000000),1),Y$4:Y1350)),INDEX(F$4:F1350,MATCH(LARGE(FILTER(K$4:K1350,K$4:K1350&lt;1000000000),1),K$4:K1350)))),AND(K707&lt;1000000000,COUNTA(C707:C1350)&gt;0,P$3=FALSE),
ROUNDDOWN(INDEX(Y$4:Y1350,MATCH(LARGE(FILTER(W$4:W1350,W$4:W1350&lt;=I707),1),W$4:W1350"&amp;"))+(I707-LARGE(FILTER(W$4:W1350,W$4:W1350&lt;=I707),1))*INDEX(T$4:T1350,MATCH(LARGE(FILTER(W$4:W1350,W$4:W1350&lt;=I707),1),W$4:W1350))-K707),1,
ROUNDDOWN(Y707-INDEX(K$4:K1350,MATCH(LARGE(FILTER(I$4:I1350,I$4:I1350&lt;=W707),1),I$4:I1350))-(W707-LARGE(FILTER(I$4:I"&amp;"1350,I$4:I1350&lt;=W707),1))*INDEX(F$4:F1350,MATCH(LARGE(FILTER(I$4:I1350,I$4:I1350&lt;=W707),1),I$4:I1350))))"),"")</f>
        <v/>
      </c>
      <c r="N707" s="60" t="str">
        <f t="shared" si="8"/>
        <v/>
      </c>
      <c r="O707" s="61" t="str">
        <f t="shared" si="9"/>
        <v/>
      </c>
      <c r="P707" s="56" t="str">
        <f t="shared" si="10"/>
        <v/>
      </c>
      <c r="Q707" s="62"/>
      <c r="R707" s="10" t="str">
        <f>IFERROR(__xludf.DUMMYFUNCTION("IF(COUNTA(Q707:Q1350)=0,"""",IF(ISBLANK(Q707),FALSE,IF(NOT(COUNTIF($AA$24:$AA$34,SUBSTITUTE(Q707,""Sell_"",""""))),1,IF(REGEXMATCH(Q707,""Sell_""),IF(COUNTIF(Q$4:Q707,SUBSTITUTE(Q707,""Sell_"",""""))-COUNTIF(Q$4:Q706,Q707)&lt;1,1),FALSE))))"),"")</f>
        <v/>
      </c>
      <c r="S707" s="59" t="str">
        <f t="array" ref="S707">IF(COUNTA(Q707:Q1350)=0,"",SUM((COUNTIF(Q$4:Q707,Upgrades!$B$3:$B$13)-COUNTIF(Q$4:Q707,"Sell_"&amp;Upgrades!$B$3:$B$13))*Upgrades!$D$3:$D$13))</f>
        <v/>
      </c>
      <c r="T707" s="66" t="str">
        <f>IFERROR(__xludf.DUMMYFUNCTION("IF(COUNTA(Q707:Q1350)=0,"""",IF(REGEXMATCH(INDEX(FILTER(Q$4:Q707,Q$4:Q707&lt;&gt;""""),ROWS(FILTER(Q$4:Q707,Q$4:Q707&lt;&gt;""""))),""^Sell_""),INDEX(FILTER(T$4:T706,Q$4:Q706&lt;&gt;""""),ROWS(FILTER(Q$4:Q706,Q$4:Q706&lt;&gt;""""))),$AD$5+S707))"),"")</f>
        <v/>
      </c>
      <c r="U707" s="10" t="str">
        <f>IFERROR(__xludf.DUMMYFUNCTION("IF(COUNTA(Q707:Q1350)=0,"""",IF(Q707="""",0,IF(REGEXMATCH(Q707,""^Sell_""),-ROUNDDOWN(ROUNDUP(INDEX(Upgrades!$C$3:$C$13,MATCH(SUBSTITUTE(Q707,""Sell_"",""""),Upgrades!$B$3:$B$13,0))*1.15^(COUNTIF(Q$4:Q706,SUBSTITUTE(Q707,""Sell_"",""""))-COUNTIF(Q$4:Q706,"&amp;"""Sell_""&amp;SUBSTITUTE(Q707,""Sell_"",""""))))/2),ROUNDUP(INDEX(Upgrades!$C$3:$C$13,MATCH(Q707,Upgrades!$B$3:$B$13,0))*1.15^(COUNTIF(Q$4:Q706,Q707)-COUNTIF(Q$4:Q706,""Sell_""&amp;Q707))))))"),"")</f>
        <v/>
      </c>
      <c r="V707" s="10" t="str">
        <f t="shared" si="11"/>
        <v/>
      </c>
      <c r="W707" s="68" t="str">
        <f t="shared" si="12"/>
        <v/>
      </c>
      <c r="X707" s="59" t="str">
        <f t="shared" si="13"/>
        <v/>
      </c>
      <c r="Y707" s="69" t="str">
        <f t="shared" si="14"/>
        <v/>
      </c>
      <c r="Z707" s="11"/>
    </row>
    <row r="708">
      <c r="A708" s="8"/>
      <c r="B708" s="56" t="str">
        <f t="shared" si="2"/>
        <v/>
      </c>
      <c r="C708" s="57"/>
      <c r="D708" s="10" t="str">
        <f>IFERROR(__xludf.DUMMYFUNCTION("IF(COUNTA(C708:C1350)=0,"""",IF(ISBLANK(C708),FALSE,IF(NOT(COUNTIF($AA$24:$AA$34,SUBSTITUTE(C708,""Sell_"",""""))),1,IF(REGEXMATCH(C708,""Sell_""),IF(COUNTIF(C$4:C708,SUBSTITUTE(C708,""Sell_"",""""))-COUNTIF(C$4:C707,C708)&lt;1,1),FALSE))))"),"")</f>
        <v/>
      </c>
      <c r="E708" s="59" t="str">
        <f t="array" ref="E708">IF(COUNTA(C708:C1350)=0,"",SUM((COUNTIF(C$4:C708,Upgrades!$B$3:$B$13)-COUNTIF(C$4:C708,"Sell_"&amp;Upgrades!$B$3:$B$13))*Upgrades!$D$3:$D$13))</f>
        <v/>
      </c>
      <c r="F708" s="66" t="str">
        <f>IFERROR(__xludf.DUMMYFUNCTION("IF(COUNTA(C708:C1350)=0,"""",IF(REGEXMATCH(INDEX(FILTER(C$4:C708,C$4:C708&lt;&gt;""""),ROWS(FILTER(C$4:C708,C$4:C708&lt;&gt;""""))),""^Sell_""),INDEX(FILTER(F$4:F707,C$4:C707&lt;&gt;""""),ROWS(FILTER(C$4:C707,C$4:C707&lt;&gt;""""))),$AC$5+E708))"),"")</f>
        <v/>
      </c>
      <c r="G708" s="10" t="str">
        <f>IFERROR(__xludf.DUMMYFUNCTION("IF(COUNTA(C708:C1350)=0,"""",IF(C708="""",0,IF(REGEXMATCH(C708,""^Sell_""),-ROUNDDOWN(ROUNDUP(INDEX(Upgrades!$C$3:$C$13,MATCH(SUBSTITUTE(C708,""Sell_"",""""),Upgrades!$B$3:$B$13,0))*1.15^(COUNTIF(C$4:C707,SUBSTITUTE(C708,""Sell_"",""""))-COUNTIF(C$4:C707,"&amp;"""Sell_""&amp;SUBSTITUTE(C708,""Sell_"",""""))))/2),ROUNDUP(INDEX(Upgrades!$C$3:$C$13,MATCH(C708,Upgrades!$B$3:$B$13,0))*1.15^(COUNTIF(C$4:C707,C708)-COUNTIF(C$4:C707,""Sell_""&amp;C708))))))"),"")</f>
        <v/>
      </c>
      <c r="H708" s="10" t="str">
        <f t="shared" si="3"/>
        <v/>
      </c>
      <c r="I708" s="68" t="str">
        <f t="shared" si="4"/>
        <v/>
      </c>
      <c r="J708" s="59" t="str">
        <f t="shared" si="5"/>
        <v/>
      </c>
      <c r="K708" s="69" t="str">
        <f t="shared" si="6"/>
        <v/>
      </c>
      <c r="L708" s="60" t="str">
        <f t="shared" si="7"/>
        <v/>
      </c>
      <c r="M708" s="61" t="str">
        <f>IFERROR(__xludf.DUMMYFUNCTION("IFS(AND(COUNTA(C708:C1350)=0,COUNTA(Q708:Q1350)=0),"""",OR(AND(K708&gt;=1000000000,OR(Y708&gt;=1000000000,COUNTA(Q708:Q1350)=0)),OR(Y708&gt;=1000000000,AND(COUNTA(C708:C1350)=0,P$3=TRUE))),
ROUNDDOWN((AB$1-AC$1)*MAX(INDEX(T$4:T1350,MATCH(LARGE(FILTER(Y$4:Y1350,Y$4"&amp;":Y1350&lt;1000000000),1),Y$4:Y1350)),INDEX(F$4:F1350,MATCH(LARGE(FILTER(K$4:K1350,K$4:K1350&lt;1000000000),1),K$4:K1350)))),AND(K708&lt;1000000000,COUNTA(C708:C1350)&gt;0,P$3=FALSE),
ROUNDDOWN(INDEX(Y$4:Y1350,MATCH(LARGE(FILTER(W$4:W1350,W$4:W1350&lt;=I708),1),W$4:W1350"&amp;"))+(I708-LARGE(FILTER(W$4:W1350,W$4:W1350&lt;=I708),1))*INDEX(T$4:T1350,MATCH(LARGE(FILTER(W$4:W1350,W$4:W1350&lt;=I708),1),W$4:W1350))-K708),1,
ROUNDDOWN(Y708-INDEX(K$4:K1350,MATCH(LARGE(FILTER(I$4:I1350,I$4:I1350&lt;=W708),1),I$4:I1350))-(W708-LARGE(FILTER(I$4:I"&amp;"1350,I$4:I1350&lt;=W708),1))*INDEX(F$4:F1350,MATCH(LARGE(FILTER(I$4:I1350,I$4:I1350&lt;=W708),1),I$4:I1350))))"),"")</f>
        <v/>
      </c>
      <c r="N708" s="60" t="str">
        <f t="shared" si="8"/>
        <v/>
      </c>
      <c r="O708" s="61" t="str">
        <f t="shared" si="9"/>
        <v/>
      </c>
      <c r="P708" s="56" t="str">
        <f t="shared" si="10"/>
        <v/>
      </c>
      <c r="Q708" s="62"/>
      <c r="R708" s="10" t="str">
        <f>IFERROR(__xludf.DUMMYFUNCTION("IF(COUNTA(Q708:Q1350)=0,"""",IF(ISBLANK(Q708),FALSE,IF(NOT(COUNTIF($AA$24:$AA$34,SUBSTITUTE(Q708,""Sell_"",""""))),1,IF(REGEXMATCH(Q708,""Sell_""),IF(COUNTIF(Q$4:Q708,SUBSTITUTE(Q708,""Sell_"",""""))-COUNTIF(Q$4:Q707,Q708)&lt;1,1),FALSE))))"),"")</f>
        <v/>
      </c>
      <c r="S708" s="59" t="str">
        <f t="array" ref="S708">IF(COUNTA(Q708:Q1350)=0,"",SUM((COUNTIF(Q$4:Q708,Upgrades!$B$3:$B$13)-COUNTIF(Q$4:Q708,"Sell_"&amp;Upgrades!$B$3:$B$13))*Upgrades!$D$3:$D$13))</f>
        <v/>
      </c>
      <c r="T708" s="66" t="str">
        <f>IFERROR(__xludf.DUMMYFUNCTION("IF(COUNTA(Q708:Q1350)=0,"""",IF(REGEXMATCH(INDEX(FILTER(Q$4:Q708,Q$4:Q708&lt;&gt;""""),ROWS(FILTER(Q$4:Q708,Q$4:Q708&lt;&gt;""""))),""^Sell_""),INDEX(FILTER(T$4:T707,Q$4:Q707&lt;&gt;""""),ROWS(FILTER(Q$4:Q707,Q$4:Q707&lt;&gt;""""))),$AD$5+S708))"),"")</f>
        <v/>
      </c>
      <c r="U708" s="10" t="str">
        <f>IFERROR(__xludf.DUMMYFUNCTION("IF(COUNTA(Q708:Q1350)=0,"""",IF(Q708="""",0,IF(REGEXMATCH(Q708,""^Sell_""),-ROUNDDOWN(ROUNDUP(INDEX(Upgrades!$C$3:$C$13,MATCH(SUBSTITUTE(Q708,""Sell_"",""""),Upgrades!$B$3:$B$13,0))*1.15^(COUNTIF(Q$4:Q707,SUBSTITUTE(Q708,""Sell_"",""""))-COUNTIF(Q$4:Q707,"&amp;"""Sell_""&amp;SUBSTITUTE(Q708,""Sell_"",""""))))/2),ROUNDUP(INDEX(Upgrades!$C$3:$C$13,MATCH(Q708,Upgrades!$B$3:$B$13,0))*1.15^(COUNTIF(Q$4:Q707,Q708)-COUNTIF(Q$4:Q707,""Sell_""&amp;Q708))))))"),"")</f>
        <v/>
      </c>
      <c r="V708" s="10" t="str">
        <f t="shared" si="11"/>
        <v/>
      </c>
      <c r="W708" s="68" t="str">
        <f t="shared" si="12"/>
        <v/>
      </c>
      <c r="X708" s="59" t="str">
        <f t="shared" si="13"/>
        <v/>
      </c>
      <c r="Y708" s="69" t="str">
        <f t="shared" si="14"/>
        <v/>
      </c>
      <c r="Z708" s="11"/>
    </row>
    <row r="709">
      <c r="A709" s="8"/>
      <c r="B709" s="56" t="str">
        <f t="shared" si="2"/>
        <v/>
      </c>
      <c r="C709" s="57"/>
      <c r="D709" s="10" t="str">
        <f>IFERROR(__xludf.DUMMYFUNCTION("IF(COUNTA(C709:C1350)=0,"""",IF(ISBLANK(C709),FALSE,IF(NOT(COUNTIF($AA$24:$AA$34,SUBSTITUTE(C709,""Sell_"",""""))),1,IF(REGEXMATCH(C709,""Sell_""),IF(COUNTIF(C$4:C709,SUBSTITUTE(C709,""Sell_"",""""))-COUNTIF(C$4:C708,C709)&lt;1,1),FALSE))))"),"")</f>
        <v/>
      </c>
      <c r="E709" s="59" t="str">
        <f t="array" ref="E709">IF(COUNTA(C709:C1350)=0,"",SUM((COUNTIF(C$4:C709,Upgrades!$B$3:$B$13)-COUNTIF(C$4:C709,"Sell_"&amp;Upgrades!$B$3:$B$13))*Upgrades!$D$3:$D$13))</f>
        <v/>
      </c>
      <c r="F709" s="66" t="str">
        <f>IFERROR(__xludf.DUMMYFUNCTION("IF(COUNTA(C709:C1350)=0,"""",IF(REGEXMATCH(INDEX(FILTER(C$4:C709,C$4:C709&lt;&gt;""""),ROWS(FILTER(C$4:C709,C$4:C709&lt;&gt;""""))),""^Sell_""),INDEX(FILTER(F$4:F708,C$4:C708&lt;&gt;""""),ROWS(FILTER(C$4:C708,C$4:C708&lt;&gt;""""))),$AC$5+E709))"),"")</f>
        <v/>
      </c>
      <c r="G709" s="10" t="str">
        <f>IFERROR(__xludf.DUMMYFUNCTION("IF(COUNTA(C709:C1350)=0,"""",IF(C709="""",0,IF(REGEXMATCH(C709,""^Sell_""),-ROUNDDOWN(ROUNDUP(INDEX(Upgrades!$C$3:$C$13,MATCH(SUBSTITUTE(C709,""Sell_"",""""),Upgrades!$B$3:$B$13,0))*1.15^(COUNTIF(C$4:C708,SUBSTITUTE(C709,""Sell_"",""""))-COUNTIF(C$4:C708,"&amp;"""Sell_""&amp;SUBSTITUTE(C709,""Sell_"",""""))))/2),ROUNDUP(INDEX(Upgrades!$C$3:$C$13,MATCH(C709,Upgrades!$B$3:$B$13,0))*1.15^(COUNTIF(C$4:C708,C709)-COUNTIF(C$4:C708,""Sell_""&amp;C709))))))"),"")</f>
        <v/>
      </c>
      <c r="H709" s="10" t="str">
        <f t="shared" si="3"/>
        <v/>
      </c>
      <c r="I709" s="68" t="str">
        <f t="shared" si="4"/>
        <v/>
      </c>
      <c r="J709" s="59" t="str">
        <f t="shared" si="5"/>
        <v/>
      </c>
      <c r="K709" s="69" t="str">
        <f t="shared" si="6"/>
        <v/>
      </c>
      <c r="L709" s="60" t="str">
        <f t="shared" si="7"/>
        <v/>
      </c>
      <c r="M709" s="61" t="str">
        <f>IFERROR(__xludf.DUMMYFUNCTION("IFS(AND(COUNTA(C709:C1350)=0,COUNTA(Q709:Q1350)=0),"""",OR(AND(K709&gt;=1000000000,OR(Y709&gt;=1000000000,COUNTA(Q709:Q1350)=0)),OR(Y709&gt;=1000000000,AND(COUNTA(C709:C1350)=0,P$3=TRUE))),
ROUNDDOWN((AB$1-AC$1)*MAX(INDEX(T$4:T1350,MATCH(LARGE(FILTER(Y$4:Y1350,Y$4"&amp;":Y1350&lt;1000000000),1),Y$4:Y1350)),INDEX(F$4:F1350,MATCH(LARGE(FILTER(K$4:K1350,K$4:K1350&lt;1000000000),1),K$4:K1350)))),AND(K709&lt;1000000000,COUNTA(C709:C1350)&gt;0,P$3=FALSE),
ROUNDDOWN(INDEX(Y$4:Y1350,MATCH(LARGE(FILTER(W$4:W1350,W$4:W1350&lt;=I709),1),W$4:W1350"&amp;"))+(I709-LARGE(FILTER(W$4:W1350,W$4:W1350&lt;=I709),1))*INDEX(T$4:T1350,MATCH(LARGE(FILTER(W$4:W1350,W$4:W1350&lt;=I709),1),W$4:W1350))-K709),1,
ROUNDDOWN(Y709-INDEX(K$4:K1350,MATCH(LARGE(FILTER(I$4:I1350,I$4:I1350&lt;=W709),1),I$4:I1350))-(W709-LARGE(FILTER(I$4:I"&amp;"1350,I$4:I1350&lt;=W709),1))*INDEX(F$4:F1350,MATCH(LARGE(FILTER(I$4:I1350,I$4:I1350&lt;=W709),1),I$4:I1350))))"),"")</f>
        <v/>
      </c>
      <c r="N709" s="60" t="str">
        <f t="shared" si="8"/>
        <v/>
      </c>
      <c r="O709" s="61" t="str">
        <f t="shared" si="9"/>
        <v/>
      </c>
      <c r="P709" s="56" t="str">
        <f t="shared" si="10"/>
        <v/>
      </c>
      <c r="Q709" s="62"/>
      <c r="R709" s="10" t="str">
        <f>IFERROR(__xludf.DUMMYFUNCTION("IF(COUNTA(Q709:Q1350)=0,"""",IF(ISBLANK(Q709),FALSE,IF(NOT(COUNTIF($AA$24:$AA$34,SUBSTITUTE(Q709,""Sell_"",""""))),1,IF(REGEXMATCH(Q709,""Sell_""),IF(COUNTIF(Q$4:Q709,SUBSTITUTE(Q709,""Sell_"",""""))-COUNTIF(Q$4:Q708,Q709)&lt;1,1),FALSE))))"),"")</f>
        <v/>
      </c>
      <c r="S709" s="59" t="str">
        <f t="array" ref="S709">IF(COUNTA(Q709:Q1350)=0,"",SUM((COUNTIF(Q$4:Q709,Upgrades!$B$3:$B$13)-COUNTIF(Q$4:Q709,"Sell_"&amp;Upgrades!$B$3:$B$13))*Upgrades!$D$3:$D$13))</f>
        <v/>
      </c>
      <c r="T709" s="66" t="str">
        <f>IFERROR(__xludf.DUMMYFUNCTION("IF(COUNTA(Q709:Q1350)=0,"""",IF(REGEXMATCH(INDEX(FILTER(Q$4:Q709,Q$4:Q709&lt;&gt;""""),ROWS(FILTER(Q$4:Q709,Q$4:Q709&lt;&gt;""""))),""^Sell_""),INDEX(FILTER(T$4:T708,Q$4:Q708&lt;&gt;""""),ROWS(FILTER(Q$4:Q708,Q$4:Q708&lt;&gt;""""))),$AD$5+S709))"),"")</f>
        <v/>
      </c>
      <c r="U709" s="10" t="str">
        <f>IFERROR(__xludf.DUMMYFUNCTION("IF(COUNTA(Q709:Q1350)=0,"""",IF(Q709="""",0,IF(REGEXMATCH(Q709,""^Sell_""),-ROUNDDOWN(ROUNDUP(INDEX(Upgrades!$C$3:$C$13,MATCH(SUBSTITUTE(Q709,""Sell_"",""""),Upgrades!$B$3:$B$13,0))*1.15^(COUNTIF(Q$4:Q708,SUBSTITUTE(Q709,""Sell_"",""""))-COUNTIF(Q$4:Q708,"&amp;"""Sell_""&amp;SUBSTITUTE(Q709,""Sell_"",""""))))/2),ROUNDUP(INDEX(Upgrades!$C$3:$C$13,MATCH(Q709,Upgrades!$B$3:$B$13,0))*1.15^(COUNTIF(Q$4:Q708,Q709)-COUNTIF(Q$4:Q708,""Sell_""&amp;Q709))))))"),"")</f>
        <v/>
      </c>
      <c r="V709" s="10" t="str">
        <f t="shared" si="11"/>
        <v/>
      </c>
      <c r="W709" s="68" t="str">
        <f t="shared" si="12"/>
        <v/>
      </c>
      <c r="X709" s="59" t="str">
        <f t="shared" si="13"/>
        <v/>
      </c>
      <c r="Y709" s="69" t="str">
        <f t="shared" si="14"/>
        <v/>
      </c>
      <c r="Z709" s="11"/>
    </row>
    <row r="710">
      <c r="A710" s="8"/>
      <c r="B710" s="56" t="str">
        <f t="shared" si="2"/>
        <v/>
      </c>
      <c r="C710" s="57"/>
      <c r="D710" s="10" t="str">
        <f>IFERROR(__xludf.DUMMYFUNCTION("IF(COUNTA(C710:C1350)=0,"""",IF(ISBLANK(C710),FALSE,IF(NOT(COUNTIF($AA$24:$AA$34,SUBSTITUTE(C710,""Sell_"",""""))),1,IF(REGEXMATCH(C710,""Sell_""),IF(COUNTIF(C$4:C710,SUBSTITUTE(C710,""Sell_"",""""))-COUNTIF(C$4:C709,C710)&lt;1,1),FALSE))))"),"")</f>
        <v/>
      </c>
      <c r="E710" s="59" t="str">
        <f t="array" ref="E710">IF(COUNTA(C710:C1350)=0,"",SUM((COUNTIF(C$4:C710,Upgrades!$B$3:$B$13)-COUNTIF(C$4:C710,"Sell_"&amp;Upgrades!$B$3:$B$13))*Upgrades!$D$3:$D$13))</f>
        <v/>
      </c>
      <c r="F710" s="66" t="str">
        <f>IFERROR(__xludf.DUMMYFUNCTION("IF(COUNTA(C710:C1350)=0,"""",IF(REGEXMATCH(INDEX(FILTER(C$4:C710,C$4:C710&lt;&gt;""""),ROWS(FILTER(C$4:C710,C$4:C710&lt;&gt;""""))),""^Sell_""),INDEX(FILTER(F$4:F709,C$4:C709&lt;&gt;""""),ROWS(FILTER(C$4:C709,C$4:C709&lt;&gt;""""))),$AC$5+E710))"),"")</f>
        <v/>
      </c>
      <c r="G710" s="10" t="str">
        <f>IFERROR(__xludf.DUMMYFUNCTION("IF(COUNTA(C710:C1350)=0,"""",IF(C710="""",0,IF(REGEXMATCH(C710,""^Sell_""),-ROUNDDOWN(ROUNDUP(INDEX(Upgrades!$C$3:$C$13,MATCH(SUBSTITUTE(C710,""Sell_"",""""),Upgrades!$B$3:$B$13,0))*1.15^(COUNTIF(C$4:C709,SUBSTITUTE(C710,""Sell_"",""""))-COUNTIF(C$4:C709,"&amp;"""Sell_""&amp;SUBSTITUTE(C710,""Sell_"",""""))))/2),ROUNDUP(INDEX(Upgrades!$C$3:$C$13,MATCH(C710,Upgrades!$B$3:$B$13,0))*1.15^(COUNTIF(C$4:C709,C710)-COUNTIF(C$4:C709,""Sell_""&amp;C710))))))"),"")</f>
        <v/>
      </c>
      <c r="H710" s="10" t="str">
        <f t="shared" si="3"/>
        <v/>
      </c>
      <c r="I710" s="68" t="str">
        <f t="shared" si="4"/>
        <v/>
      </c>
      <c r="J710" s="59" t="str">
        <f t="shared" si="5"/>
        <v/>
      </c>
      <c r="K710" s="69" t="str">
        <f t="shared" si="6"/>
        <v/>
      </c>
      <c r="L710" s="60" t="str">
        <f t="shared" si="7"/>
        <v/>
      </c>
      <c r="M710" s="61" t="str">
        <f>IFERROR(__xludf.DUMMYFUNCTION("IFS(AND(COUNTA(C710:C1350)=0,COUNTA(Q710:Q1350)=0),"""",OR(AND(K710&gt;=1000000000,OR(Y710&gt;=1000000000,COUNTA(Q710:Q1350)=0)),OR(Y710&gt;=1000000000,AND(COUNTA(C710:C1350)=0,P$3=TRUE))),
ROUNDDOWN((AB$1-AC$1)*MAX(INDEX(T$4:T1350,MATCH(LARGE(FILTER(Y$4:Y1350,Y$4"&amp;":Y1350&lt;1000000000),1),Y$4:Y1350)),INDEX(F$4:F1350,MATCH(LARGE(FILTER(K$4:K1350,K$4:K1350&lt;1000000000),1),K$4:K1350)))),AND(K710&lt;1000000000,COUNTA(C710:C1350)&gt;0,P$3=FALSE),
ROUNDDOWN(INDEX(Y$4:Y1350,MATCH(LARGE(FILTER(W$4:W1350,W$4:W1350&lt;=I710),1),W$4:W1350"&amp;"))+(I710-LARGE(FILTER(W$4:W1350,W$4:W1350&lt;=I710),1))*INDEX(T$4:T1350,MATCH(LARGE(FILTER(W$4:W1350,W$4:W1350&lt;=I710),1),W$4:W1350))-K710),1,
ROUNDDOWN(Y710-INDEX(K$4:K1350,MATCH(LARGE(FILTER(I$4:I1350,I$4:I1350&lt;=W710),1),I$4:I1350))-(W710-LARGE(FILTER(I$4:I"&amp;"1350,I$4:I1350&lt;=W710),1))*INDEX(F$4:F1350,MATCH(LARGE(FILTER(I$4:I1350,I$4:I1350&lt;=W710),1),I$4:I1350))))"),"")</f>
        <v/>
      </c>
      <c r="N710" s="60" t="str">
        <f t="shared" si="8"/>
        <v/>
      </c>
      <c r="O710" s="61" t="str">
        <f t="shared" si="9"/>
        <v/>
      </c>
      <c r="P710" s="56" t="str">
        <f t="shared" si="10"/>
        <v/>
      </c>
      <c r="Q710" s="62"/>
      <c r="R710" s="10" t="str">
        <f>IFERROR(__xludf.DUMMYFUNCTION("IF(COUNTA(Q710:Q1350)=0,"""",IF(ISBLANK(Q710),FALSE,IF(NOT(COUNTIF($AA$24:$AA$34,SUBSTITUTE(Q710,""Sell_"",""""))),1,IF(REGEXMATCH(Q710,""Sell_""),IF(COUNTIF(Q$4:Q710,SUBSTITUTE(Q710,""Sell_"",""""))-COUNTIF(Q$4:Q709,Q710)&lt;1,1),FALSE))))"),"")</f>
        <v/>
      </c>
      <c r="S710" s="59" t="str">
        <f t="array" ref="S710">IF(COUNTA(Q710:Q1350)=0,"",SUM((COUNTIF(Q$4:Q710,Upgrades!$B$3:$B$13)-COUNTIF(Q$4:Q710,"Sell_"&amp;Upgrades!$B$3:$B$13))*Upgrades!$D$3:$D$13))</f>
        <v/>
      </c>
      <c r="T710" s="66" t="str">
        <f>IFERROR(__xludf.DUMMYFUNCTION("IF(COUNTA(Q710:Q1350)=0,"""",IF(REGEXMATCH(INDEX(FILTER(Q$4:Q710,Q$4:Q710&lt;&gt;""""),ROWS(FILTER(Q$4:Q710,Q$4:Q710&lt;&gt;""""))),""^Sell_""),INDEX(FILTER(T$4:T709,Q$4:Q709&lt;&gt;""""),ROWS(FILTER(Q$4:Q709,Q$4:Q709&lt;&gt;""""))),$AD$5+S710))"),"")</f>
        <v/>
      </c>
      <c r="U710" s="10" t="str">
        <f>IFERROR(__xludf.DUMMYFUNCTION("IF(COUNTA(Q710:Q1350)=0,"""",IF(Q710="""",0,IF(REGEXMATCH(Q710,""^Sell_""),-ROUNDDOWN(ROUNDUP(INDEX(Upgrades!$C$3:$C$13,MATCH(SUBSTITUTE(Q710,""Sell_"",""""),Upgrades!$B$3:$B$13,0))*1.15^(COUNTIF(Q$4:Q709,SUBSTITUTE(Q710,""Sell_"",""""))-COUNTIF(Q$4:Q709,"&amp;"""Sell_""&amp;SUBSTITUTE(Q710,""Sell_"",""""))))/2),ROUNDUP(INDEX(Upgrades!$C$3:$C$13,MATCH(Q710,Upgrades!$B$3:$B$13,0))*1.15^(COUNTIF(Q$4:Q709,Q710)-COUNTIF(Q$4:Q709,""Sell_""&amp;Q710))))))"),"")</f>
        <v/>
      </c>
      <c r="V710" s="10" t="str">
        <f t="shared" si="11"/>
        <v/>
      </c>
      <c r="W710" s="68" t="str">
        <f t="shared" si="12"/>
        <v/>
      </c>
      <c r="X710" s="59" t="str">
        <f t="shared" si="13"/>
        <v/>
      </c>
      <c r="Y710" s="69" t="str">
        <f t="shared" si="14"/>
        <v/>
      </c>
      <c r="Z710" s="11"/>
    </row>
    <row r="711">
      <c r="A711" s="8"/>
      <c r="B711" s="56" t="str">
        <f t="shared" si="2"/>
        <v/>
      </c>
      <c r="C711" s="57"/>
      <c r="D711" s="10" t="str">
        <f>IFERROR(__xludf.DUMMYFUNCTION("IF(COUNTA(C711:C1350)=0,"""",IF(ISBLANK(C711),FALSE,IF(NOT(COUNTIF($AA$24:$AA$34,SUBSTITUTE(C711,""Sell_"",""""))),1,IF(REGEXMATCH(C711,""Sell_""),IF(COUNTIF(C$4:C711,SUBSTITUTE(C711,""Sell_"",""""))-COUNTIF(C$4:C710,C711)&lt;1,1),FALSE))))"),"")</f>
        <v/>
      </c>
      <c r="E711" s="59" t="str">
        <f t="array" ref="E711">IF(COUNTA(C711:C1350)=0,"",SUM((COUNTIF(C$4:C711,Upgrades!$B$3:$B$13)-COUNTIF(C$4:C711,"Sell_"&amp;Upgrades!$B$3:$B$13))*Upgrades!$D$3:$D$13))</f>
        <v/>
      </c>
      <c r="F711" s="66" t="str">
        <f>IFERROR(__xludf.DUMMYFUNCTION("IF(COUNTA(C711:C1350)=0,"""",IF(REGEXMATCH(INDEX(FILTER(C$4:C711,C$4:C711&lt;&gt;""""),ROWS(FILTER(C$4:C711,C$4:C711&lt;&gt;""""))),""^Sell_""),INDEX(FILTER(F$4:F710,C$4:C710&lt;&gt;""""),ROWS(FILTER(C$4:C710,C$4:C710&lt;&gt;""""))),$AC$5+E711))"),"")</f>
        <v/>
      </c>
      <c r="G711" s="10" t="str">
        <f>IFERROR(__xludf.DUMMYFUNCTION("IF(COUNTA(C711:C1350)=0,"""",IF(C711="""",0,IF(REGEXMATCH(C711,""^Sell_""),-ROUNDDOWN(ROUNDUP(INDEX(Upgrades!$C$3:$C$13,MATCH(SUBSTITUTE(C711,""Sell_"",""""),Upgrades!$B$3:$B$13,0))*1.15^(COUNTIF(C$4:C710,SUBSTITUTE(C711,""Sell_"",""""))-COUNTIF(C$4:C710,"&amp;"""Sell_""&amp;SUBSTITUTE(C711,""Sell_"",""""))))/2),ROUNDUP(INDEX(Upgrades!$C$3:$C$13,MATCH(C711,Upgrades!$B$3:$B$13,0))*1.15^(COUNTIF(C$4:C710,C711)-COUNTIF(C$4:C710,""Sell_""&amp;C711))))))"),"")</f>
        <v/>
      </c>
      <c r="H711" s="10" t="str">
        <f t="shared" si="3"/>
        <v/>
      </c>
      <c r="I711" s="68" t="str">
        <f t="shared" si="4"/>
        <v/>
      </c>
      <c r="J711" s="59" t="str">
        <f t="shared" si="5"/>
        <v/>
      </c>
      <c r="K711" s="69" t="str">
        <f t="shared" si="6"/>
        <v/>
      </c>
      <c r="L711" s="60" t="str">
        <f t="shared" si="7"/>
        <v/>
      </c>
      <c r="M711" s="61" t="str">
        <f>IFERROR(__xludf.DUMMYFUNCTION("IFS(AND(COUNTA(C711:C1350)=0,COUNTA(Q711:Q1350)=0),"""",OR(AND(K711&gt;=1000000000,OR(Y711&gt;=1000000000,COUNTA(Q711:Q1350)=0)),OR(Y711&gt;=1000000000,AND(COUNTA(C711:C1350)=0,P$3=TRUE))),
ROUNDDOWN((AB$1-AC$1)*MAX(INDEX(T$4:T1350,MATCH(LARGE(FILTER(Y$4:Y1350,Y$4"&amp;":Y1350&lt;1000000000),1),Y$4:Y1350)),INDEX(F$4:F1350,MATCH(LARGE(FILTER(K$4:K1350,K$4:K1350&lt;1000000000),1),K$4:K1350)))),AND(K711&lt;1000000000,COUNTA(C711:C1350)&gt;0,P$3=FALSE),
ROUNDDOWN(INDEX(Y$4:Y1350,MATCH(LARGE(FILTER(W$4:W1350,W$4:W1350&lt;=I711),1),W$4:W1350"&amp;"))+(I711-LARGE(FILTER(W$4:W1350,W$4:W1350&lt;=I711),1))*INDEX(T$4:T1350,MATCH(LARGE(FILTER(W$4:W1350,W$4:W1350&lt;=I711),1),W$4:W1350))-K711),1,
ROUNDDOWN(Y711-INDEX(K$4:K1350,MATCH(LARGE(FILTER(I$4:I1350,I$4:I1350&lt;=W711),1),I$4:I1350))-(W711-LARGE(FILTER(I$4:I"&amp;"1350,I$4:I1350&lt;=W711),1))*INDEX(F$4:F1350,MATCH(LARGE(FILTER(I$4:I1350,I$4:I1350&lt;=W711),1),I$4:I1350))))"),"")</f>
        <v/>
      </c>
      <c r="N711" s="60" t="str">
        <f t="shared" si="8"/>
        <v/>
      </c>
      <c r="O711" s="61" t="str">
        <f t="shared" si="9"/>
        <v/>
      </c>
      <c r="P711" s="56" t="str">
        <f t="shared" si="10"/>
        <v/>
      </c>
      <c r="Q711" s="62"/>
      <c r="R711" s="10" t="str">
        <f>IFERROR(__xludf.DUMMYFUNCTION("IF(COUNTA(Q711:Q1350)=0,"""",IF(ISBLANK(Q711),FALSE,IF(NOT(COUNTIF($AA$24:$AA$34,SUBSTITUTE(Q711,""Sell_"",""""))),1,IF(REGEXMATCH(Q711,""Sell_""),IF(COUNTIF(Q$4:Q711,SUBSTITUTE(Q711,""Sell_"",""""))-COUNTIF(Q$4:Q710,Q711)&lt;1,1),FALSE))))"),"")</f>
        <v/>
      </c>
      <c r="S711" s="59" t="str">
        <f t="array" ref="S711">IF(COUNTA(Q711:Q1350)=0,"",SUM((COUNTIF(Q$4:Q711,Upgrades!$B$3:$B$13)-COUNTIF(Q$4:Q711,"Sell_"&amp;Upgrades!$B$3:$B$13))*Upgrades!$D$3:$D$13))</f>
        <v/>
      </c>
      <c r="T711" s="66" t="str">
        <f>IFERROR(__xludf.DUMMYFUNCTION("IF(COUNTA(Q711:Q1350)=0,"""",IF(REGEXMATCH(INDEX(FILTER(Q$4:Q711,Q$4:Q711&lt;&gt;""""),ROWS(FILTER(Q$4:Q711,Q$4:Q711&lt;&gt;""""))),""^Sell_""),INDEX(FILTER(T$4:T710,Q$4:Q710&lt;&gt;""""),ROWS(FILTER(Q$4:Q710,Q$4:Q710&lt;&gt;""""))),$AD$5+S711))"),"")</f>
        <v/>
      </c>
      <c r="U711" s="10" t="str">
        <f>IFERROR(__xludf.DUMMYFUNCTION("IF(COUNTA(Q711:Q1350)=0,"""",IF(Q711="""",0,IF(REGEXMATCH(Q711,""^Sell_""),-ROUNDDOWN(ROUNDUP(INDEX(Upgrades!$C$3:$C$13,MATCH(SUBSTITUTE(Q711,""Sell_"",""""),Upgrades!$B$3:$B$13,0))*1.15^(COUNTIF(Q$4:Q710,SUBSTITUTE(Q711,""Sell_"",""""))-COUNTIF(Q$4:Q710,"&amp;"""Sell_""&amp;SUBSTITUTE(Q711,""Sell_"",""""))))/2),ROUNDUP(INDEX(Upgrades!$C$3:$C$13,MATCH(Q711,Upgrades!$B$3:$B$13,0))*1.15^(COUNTIF(Q$4:Q710,Q711)-COUNTIF(Q$4:Q710,""Sell_""&amp;Q711))))))"),"")</f>
        <v/>
      </c>
      <c r="V711" s="10" t="str">
        <f t="shared" si="11"/>
        <v/>
      </c>
      <c r="W711" s="68" t="str">
        <f t="shared" si="12"/>
        <v/>
      </c>
      <c r="X711" s="59" t="str">
        <f t="shared" si="13"/>
        <v/>
      </c>
      <c r="Y711" s="69" t="str">
        <f t="shared" si="14"/>
        <v/>
      </c>
      <c r="Z711" s="11"/>
    </row>
    <row r="712">
      <c r="A712" s="8"/>
      <c r="B712" s="56" t="str">
        <f t="shared" si="2"/>
        <v/>
      </c>
      <c r="C712" s="57"/>
      <c r="D712" s="10" t="str">
        <f>IFERROR(__xludf.DUMMYFUNCTION("IF(COUNTA(C712:C1350)=0,"""",IF(ISBLANK(C712),FALSE,IF(NOT(COUNTIF($AA$24:$AA$34,SUBSTITUTE(C712,""Sell_"",""""))),1,IF(REGEXMATCH(C712,""Sell_""),IF(COUNTIF(C$4:C712,SUBSTITUTE(C712,""Sell_"",""""))-COUNTIF(C$4:C711,C712)&lt;1,1),FALSE))))"),"")</f>
        <v/>
      </c>
      <c r="E712" s="59" t="str">
        <f t="array" ref="E712">IF(COUNTA(C712:C1350)=0,"",SUM((COUNTIF(C$4:C712,Upgrades!$B$3:$B$13)-COUNTIF(C$4:C712,"Sell_"&amp;Upgrades!$B$3:$B$13))*Upgrades!$D$3:$D$13))</f>
        <v/>
      </c>
      <c r="F712" s="66" t="str">
        <f>IFERROR(__xludf.DUMMYFUNCTION("IF(COUNTA(C712:C1350)=0,"""",IF(REGEXMATCH(INDEX(FILTER(C$4:C712,C$4:C712&lt;&gt;""""),ROWS(FILTER(C$4:C712,C$4:C712&lt;&gt;""""))),""^Sell_""),INDEX(FILTER(F$4:F711,C$4:C711&lt;&gt;""""),ROWS(FILTER(C$4:C711,C$4:C711&lt;&gt;""""))),$AC$5+E712))"),"")</f>
        <v/>
      </c>
      <c r="G712" s="10" t="str">
        <f>IFERROR(__xludf.DUMMYFUNCTION("IF(COUNTA(C712:C1350)=0,"""",IF(C712="""",0,IF(REGEXMATCH(C712,""^Sell_""),-ROUNDDOWN(ROUNDUP(INDEX(Upgrades!$C$3:$C$13,MATCH(SUBSTITUTE(C712,""Sell_"",""""),Upgrades!$B$3:$B$13,0))*1.15^(COUNTIF(C$4:C711,SUBSTITUTE(C712,""Sell_"",""""))-COUNTIF(C$4:C711,"&amp;"""Sell_""&amp;SUBSTITUTE(C712,""Sell_"",""""))))/2),ROUNDUP(INDEX(Upgrades!$C$3:$C$13,MATCH(C712,Upgrades!$B$3:$B$13,0))*1.15^(COUNTIF(C$4:C711,C712)-COUNTIF(C$4:C711,""Sell_""&amp;C712))))))"),"")</f>
        <v/>
      </c>
      <c r="H712" s="10" t="str">
        <f t="shared" si="3"/>
        <v/>
      </c>
      <c r="I712" s="68" t="str">
        <f t="shared" si="4"/>
        <v/>
      </c>
      <c r="J712" s="59" t="str">
        <f t="shared" si="5"/>
        <v/>
      </c>
      <c r="K712" s="69" t="str">
        <f t="shared" si="6"/>
        <v/>
      </c>
      <c r="L712" s="60" t="str">
        <f t="shared" si="7"/>
        <v/>
      </c>
      <c r="M712" s="61" t="str">
        <f>IFERROR(__xludf.DUMMYFUNCTION("IFS(AND(COUNTA(C712:C1350)=0,COUNTA(Q712:Q1350)=0),"""",OR(AND(K712&gt;=1000000000,OR(Y712&gt;=1000000000,COUNTA(Q712:Q1350)=0)),OR(Y712&gt;=1000000000,AND(COUNTA(C712:C1350)=0,P$3=TRUE))),
ROUNDDOWN((AB$1-AC$1)*MAX(INDEX(T$4:T1350,MATCH(LARGE(FILTER(Y$4:Y1350,Y$4"&amp;":Y1350&lt;1000000000),1),Y$4:Y1350)),INDEX(F$4:F1350,MATCH(LARGE(FILTER(K$4:K1350,K$4:K1350&lt;1000000000),1),K$4:K1350)))),AND(K712&lt;1000000000,COUNTA(C712:C1350)&gt;0,P$3=FALSE),
ROUNDDOWN(INDEX(Y$4:Y1350,MATCH(LARGE(FILTER(W$4:W1350,W$4:W1350&lt;=I712),1),W$4:W1350"&amp;"))+(I712-LARGE(FILTER(W$4:W1350,W$4:W1350&lt;=I712),1))*INDEX(T$4:T1350,MATCH(LARGE(FILTER(W$4:W1350,W$4:W1350&lt;=I712),1),W$4:W1350))-K712),1,
ROUNDDOWN(Y712-INDEX(K$4:K1350,MATCH(LARGE(FILTER(I$4:I1350,I$4:I1350&lt;=W712),1),I$4:I1350))-(W712-LARGE(FILTER(I$4:I"&amp;"1350,I$4:I1350&lt;=W712),1))*INDEX(F$4:F1350,MATCH(LARGE(FILTER(I$4:I1350,I$4:I1350&lt;=W712),1),I$4:I1350))))"),"")</f>
        <v/>
      </c>
      <c r="N712" s="60" t="str">
        <f t="shared" si="8"/>
        <v/>
      </c>
      <c r="O712" s="61" t="str">
        <f t="shared" si="9"/>
        <v/>
      </c>
      <c r="P712" s="56" t="str">
        <f t="shared" si="10"/>
        <v/>
      </c>
      <c r="Q712" s="62"/>
      <c r="R712" s="10" t="str">
        <f>IFERROR(__xludf.DUMMYFUNCTION("IF(COUNTA(Q712:Q1350)=0,"""",IF(ISBLANK(Q712),FALSE,IF(NOT(COUNTIF($AA$24:$AA$34,SUBSTITUTE(Q712,""Sell_"",""""))),1,IF(REGEXMATCH(Q712,""Sell_""),IF(COUNTIF(Q$4:Q712,SUBSTITUTE(Q712,""Sell_"",""""))-COUNTIF(Q$4:Q711,Q712)&lt;1,1),FALSE))))"),"")</f>
        <v/>
      </c>
      <c r="S712" s="59" t="str">
        <f t="array" ref="S712">IF(COUNTA(Q712:Q1350)=0,"",SUM((COUNTIF(Q$4:Q712,Upgrades!$B$3:$B$13)-COUNTIF(Q$4:Q712,"Sell_"&amp;Upgrades!$B$3:$B$13))*Upgrades!$D$3:$D$13))</f>
        <v/>
      </c>
      <c r="T712" s="66" t="str">
        <f>IFERROR(__xludf.DUMMYFUNCTION("IF(COUNTA(Q712:Q1350)=0,"""",IF(REGEXMATCH(INDEX(FILTER(Q$4:Q712,Q$4:Q712&lt;&gt;""""),ROWS(FILTER(Q$4:Q712,Q$4:Q712&lt;&gt;""""))),""^Sell_""),INDEX(FILTER(T$4:T711,Q$4:Q711&lt;&gt;""""),ROWS(FILTER(Q$4:Q711,Q$4:Q711&lt;&gt;""""))),$AD$5+S712))"),"")</f>
        <v/>
      </c>
      <c r="U712" s="10" t="str">
        <f>IFERROR(__xludf.DUMMYFUNCTION("IF(COUNTA(Q712:Q1350)=0,"""",IF(Q712="""",0,IF(REGEXMATCH(Q712,""^Sell_""),-ROUNDDOWN(ROUNDUP(INDEX(Upgrades!$C$3:$C$13,MATCH(SUBSTITUTE(Q712,""Sell_"",""""),Upgrades!$B$3:$B$13,0))*1.15^(COUNTIF(Q$4:Q711,SUBSTITUTE(Q712,""Sell_"",""""))-COUNTIF(Q$4:Q711,"&amp;"""Sell_""&amp;SUBSTITUTE(Q712,""Sell_"",""""))))/2),ROUNDUP(INDEX(Upgrades!$C$3:$C$13,MATCH(Q712,Upgrades!$B$3:$B$13,0))*1.15^(COUNTIF(Q$4:Q711,Q712)-COUNTIF(Q$4:Q711,""Sell_""&amp;Q712))))))"),"")</f>
        <v/>
      </c>
      <c r="V712" s="10" t="str">
        <f t="shared" si="11"/>
        <v/>
      </c>
      <c r="W712" s="68" t="str">
        <f t="shared" si="12"/>
        <v/>
      </c>
      <c r="X712" s="59" t="str">
        <f t="shared" si="13"/>
        <v/>
      </c>
      <c r="Y712" s="69" t="str">
        <f t="shared" si="14"/>
        <v/>
      </c>
      <c r="Z712" s="11"/>
    </row>
    <row r="713">
      <c r="A713" s="8"/>
      <c r="B713" s="56" t="str">
        <f t="shared" si="2"/>
        <v/>
      </c>
      <c r="C713" s="57"/>
      <c r="D713" s="10" t="str">
        <f>IFERROR(__xludf.DUMMYFUNCTION("IF(COUNTA(C713:C1350)=0,"""",IF(ISBLANK(C713),FALSE,IF(NOT(COUNTIF($AA$24:$AA$34,SUBSTITUTE(C713,""Sell_"",""""))),1,IF(REGEXMATCH(C713,""Sell_""),IF(COUNTIF(C$4:C713,SUBSTITUTE(C713,""Sell_"",""""))-COUNTIF(C$4:C712,C713)&lt;1,1),FALSE))))"),"")</f>
        <v/>
      </c>
      <c r="E713" s="59" t="str">
        <f t="array" ref="E713">IF(COUNTA(C713:C1350)=0,"",SUM((COUNTIF(C$4:C713,Upgrades!$B$3:$B$13)-COUNTIF(C$4:C713,"Sell_"&amp;Upgrades!$B$3:$B$13))*Upgrades!$D$3:$D$13))</f>
        <v/>
      </c>
      <c r="F713" s="66" t="str">
        <f>IFERROR(__xludf.DUMMYFUNCTION("IF(COUNTA(C713:C1350)=0,"""",IF(REGEXMATCH(INDEX(FILTER(C$4:C713,C$4:C713&lt;&gt;""""),ROWS(FILTER(C$4:C713,C$4:C713&lt;&gt;""""))),""^Sell_""),INDEX(FILTER(F$4:F712,C$4:C712&lt;&gt;""""),ROWS(FILTER(C$4:C712,C$4:C712&lt;&gt;""""))),$AC$5+E713))"),"")</f>
        <v/>
      </c>
      <c r="G713" s="10" t="str">
        <f>IFERROR(__xludf.DUMMYFUNCTION("IF(COUNTA(C713:C1350)=0,"""",IF(C713="""",0,IF(REGEXMATCH(C713,""^Sell_""),-ROUNDDOWN(ROUNDUP(INDEX(Upgrades!$C$3:$C$13,MATCH(SUBSTITUTE(C713,""Sell_"",""""),Upgrades!$B$3:$B$13,0))*1.15^(COUNTIF(C$4:C712,SUBSTITUTE(C713,""Sell_"",""""))-COUNTIF(C$4:C712,"&amp;"""Sell_""&amp;SUBSTITUTE(C713,""Sell_"",""""))))/2),ROUNDUP(INDEX(Upgrades!$C$3:$C$13,MATCH(C713,Upgrades!$B$3:$B$13,0))*1.15^(COUNTIF(C$4:C712,C713)-COUNTIF(C$4:C712,""Sell_""&amp;C713))))))"),"")</f>
        <v/>
      </c>
      <c r="H713" s="10" t="str">
        <f t="shared" si="3"/>
        <v/>
      </c>
      <c r="I713" s="68" t="str">
        <f t="shared" si="4"/>
        <v/>
      </c>
      <c r="J713" s="59" t="str">
        <f t="shared" si="5"/>
        <v/>
      </c>
      <c r="K713" s="69" t="str">
        <f t="shared" si="6"/>
        <v/>
      </c>
      <c r="L713" s="60" t="str">
        <f t="shared" si="7"/>
        <v/>
      </c>
      <c r="M713" s="61" t="str">
        <f>IFERROR(__xludf.DUMMYFUNCTION("IFS(AND(COUNTA(C713:C1350)=0,COUNTA(Q713:Q1350)=0),"""",OR(AND(K713&gt;=1000000000,OR(Y713&gt;=1000000000,COUNTA(Q713:Q1350)=0)),OR(Y713&gt;=1000000000,AND(COUNTA(C713:C1350)=0,P$3=TRUE))),
ROUNDDOWN((AB$1-AC$1)*MAX(INDEX(T$4:T1350,MATCH(LARGE(FILTER(Y$4:Y1350,Y$4"&amp;":Y1350&lt;1000000000),1),Y$4:Y1350)),INDEX(F$4:F1350,MATCH(LARGE(FILTER(K$4:K1350,K$4:K1350&lt;1000000000),1),K$4:K1350)))),AND(K713&lt;1000000000,COUNTA(C713:C1350)&gt;0,P$3=FALSE),
ROUNDDOWN(INDEX(Y$4:Y1350,MATCH(LARGE(FILTER(W$4:W1350,W$4:W1350&lt;=I713),1),W$4:W1350"&amp;"))+(I713-LARGE(FILTER(W$4:W1350,W$4:W1350&lt;=I713),1))*INDEX(T$4:T1350,MATCH(LARGE(FILTER(W$4:W1350,W$4:W1350&lt;=I713),1),W$4:W1350))-K713),1,
ROUNDDOWN(Y713-INDEX(K$4:K1350,MATCH(LARGE(FILTER(I$4:I1350,I$4:I1350&lt;=W713),1),I$4:I1350))-(W713-LARGE(FILTER(I$4:I"&amp;"1350,I$4:I1350&lt;=W713),1))*INDEX(F$4:F1350,MATCH(LARGE(FILTER(I$4:I1350,I$4:I1350&lt;=W713),1),I$4:I1350))))"),"")</f>
        <v/>
      </c>
      <c r="N713" s="60" t="str">
        <f t="shared" si="8"/>
        <v/>
      </c>
      <c r="O713" s="61" t="str">
        <f t="shared" si="9"/>
        <v/>
      </c>
      <c r="P713" s="56" t="str">
        <f t="shared" si="10"/>
        <v/>
      </c>
      <c r="Q713" s="62"/>
      <c r="R713" s="10" t="str">
        <f>IFERROR(__xludf.DUMMYFUNCTION("IF(COUNTA(Q713:Q1350)=0,"""",IF(ISBLANK(Q713),FALSE,IF(NOT(COUNTIF($AA$24:$AA$34,SUBSTITUTE(Q713,""Sell_"",""""))),1,IF(REGEXMATCH(Q713,""Sell_""),IF(COUNTIF(Q$4:Q713,SUBSTITUTE(Q713,""Sell_"",""""))-COUNTIF(Q$4:Q712,Q713)&lt;1,1),FALSE))))"),"")</f>
        <v/>
      </c>
      <c r="S713" s="59" t="str">
        <f t="array" ref="S713">IF(COUNTA(Q713:Q1350)=0,"",SUM((COUNTIF(Q$4:Q713,Upgrades!$B$3:$B$13)-COUNTIF(Q$4:Q713,"Sell_"&amp;Upgrades!$B$3:$B$13))*Upgrades!$D$3:$D$13))</f>
        <v/>
      </c>
      <c r="T713" s="66" t="str">
        <f>IFERROR(__xludf.DUMMYFUNCTION("IF(COUNTA(Q713:Q1350)=0,"""",IF(REGEXMATCH(INDEX(FILTER(Q$4:Q713,Q$4:Q713&lt;&gt;""""),ROWS(FILTER(Q$4:Q713,Q$4:Q713&lt;&gt;""""))),""^Sell_""),INDEX(FILTER(T$4:T712,Q$4:Q712&lt;&gt;""""),ROWS(FILTER(Q$4:Q712,Q$4:Q712&lt;&gt;""""))),$AD$5+S713))"),"")</f>
        <v/>
      </c>
      <c r="U713" s="10" t="str">
        <f>IFERROR(__xludf.DUMMYFUNCTION("IF(COUNTA(Q713:Q1350)=0,"""",IF(Q713="""",0,IF(REGEXMATCH(Q713,""^Sell_""),-ROUNDDOWN(ROUNDUP(INDEX(Upgrades!$C$3:$C$13,MATCH(SUBSTITUTE(Q713,""Sell_"",""""),Upgrades!$B$3:$B$13,0))*1.15^(COUNTIF(Q$4:Q712,SUBSTITUTE(Q713,""Sell_"",""""))-COUNTIF(Q$4:Q712,"&amp;"""Sell_""&amp;SUBSTITUTE(Q713,""Sell_"",""""))))/2),ROUNDUP(INDEX(Upgrades!$C$3:$C$13,MATCH(Q713,Upgrades!$B$3:$B$13,0))*1.15^(COUNTIF(Q$4:Q712,Q713)-COUNTIF(Q$4:Q712,""Sell_""&amp;Q713))))))"),"")</f>
        <v/>
      </c>
      <c r="V713" s="10" t="str">
        <f t="shared" si="11"/>
        <v/>
      </c>
      <c r="W713" s="68" t="str">
        <f t="shared" si="12"/>
        <v/>
      </c>
      <c r="X713" s="59" t="str">
        <f t="shared" si="13"/>
        <v/>
      </c>
      <c r="Y713" s="69" t="str">
        <f t="shared" si="14"/>
        <v/>
      </c>
      <c r="Z713" s="11"/>
    </row>
    <row r="714">
      <c r="A714" s="8"/>
      <c r="B714" s="56" t="str">
        <f t="shared" si="2"/>
        <v/>
      </c>
      <c r="C714" s="57"/>
      <c r="D714" s="10" t="str">
        <f>IFERROR(__xludf.DUMMYFUNCTION("IF(COUNTA(C714:C1350)=0,"""",IF(ISBLANK(C714),FALSE,IF(NOT(COUNTIF($AA$24:$AA$34,SUBSTITUTE(C714,""Sell_"",""""))),1,IF(REGEXMATCH(C714,""Sell_""),IF(COUNTIF(C$4:C714,SUBSTITUTE(C714,""Sell_"",""""))-COUNTIF(C$4:C713,C714)&lt;1,1),FALSE))))"),"")</f>
        <v/>
      </c>
      <c r="E714" s="59" t="str">
        <f t="array" ref="E714">IF(COUNTA(C714:C1350)=0,"",SUM((COUNTIF(C$4:C714,Upgrades!$B$3:$B$13)-COUNTIF(C$4:C714,"Sell_"&amp;Upgrades!$B$3:$B$13))*Upgrades!$D$3:$D$13))</f>
        <v/>
      </c>
      <c r="F714" s="66" t="str">
        <f>IFERROR(__xludf.DUMMYFUNCTION("IF(COUNTA(C714:C1350)=0,"""",IF(REGEXMATCH(INDEX(FILTER(C$4:C714,C$4:C714&lt;&gt;""""),ROWS(FILTER(C$4:C714,C$4:C714&lt;&gt;""""))),""^Sell_""),INDEX(FILTER(F$4:F713,C$4:C713&lt;&gt;""""),ROWS(FILTER(C$4:C713,C$4:C713&lt;&gt;""""))),$AC$5+E714))"),"")</f>
        <v/>
      </c>
      <c r="G714" s="10" t="str">
        <f>IFERROR(__xludf.DUMMYFUNCTION("IF(COUNTA(C714:C1350)=0,"""",IF(C714="""",0,IF(REGEXMATCH(C714,""^Sell_""),-ROUNDDOWN(ROUNDUP(INDEX(Upgrades!$C$3:$C$13,MATCH(SUBSTITUTE(C714,""Sell_"",""""),Upgrades!$B$3:$B$13,0))*1.15^(COUNTIF(C$4:C713,SUBSTITUTE(C714,""Sell_"",""""))-COUNTIF(C$4:C713,"&amp;"""Sell_""&amp;SUBSTITUTE(C714,""Sell_"",""""))))/2),ROUNDUP(INDEX(Upgrades!$C$3:$C$13,MATCH(C714,Upgrades!$B$3:$B$13,0))*1.15^(COUNTIF(C$4:C713,C714)-COUNTIF(C$4:C713,""Sell_""&amp;C714))))))"),"")</f>
        <v/>
      </c>
      <c r="H714" s="10" t="str">
        <f t="shared" si="3"/>
        <v/>
      </c>
      <c r="I714" s="68" t="str">
        <f t="shared" si="4"/>
        <v/>
      </c>
      <c r="J714" s="59" t="str">
        <f t="shared" si="5"/>
        <v/>
      </c>
      <c r="K714" s="69" t="str">
        <f t="shared" si="6"/>
        <v/>
      </c>
      <c r="L714" s="60" t="str">
        <f t="shared" si="7"/>
        <v/>
      </c>
      <c r="M714" s="61" t="str">
        <f>IFERROR(__xludf.DUMMYFUNCTION("IFS(AND(COUNTA(C714:C1350)=0,COUNTA(Q714:Q1350)=0),"""",OR(AND(K714&gt;=1000000000,OR(Y714&gt;=1000000000,COUNTA(Q714:Q1350)=0)),OR(Y714&gt;=1000000000,AND(COUNTA(C714:C1350)=0,P$3=TRUE))),
ROUNDDOWN((AB$1-AC$1)*MAX(INDEX(T$4:T1350,MATCH(LARGE(FILTER(Y$4:Y1350,Y$4"&amp;":Y1350&lt;1000000000),1),Y$4:Y1350)),INDEX(F$4:F1350,MATCH(LARGE(FILTER(K$4:K1350,K$4:K1350&lt;1000000000),1),K$4:K1350)))),AND(K714&lt;1000000000,COUNTA(C714:C1350)&gt;0,P$3=FALSE),
ROUNDDOWN(INDEX(Y$4:Y1350,MATCH(LARGE(FILTER(W$4:W1350,W$4:W1350&lt;=I714),1),W$4:W1350"&amp;"))+(I714-LARGE(FILTER(W$4:W1350,W$4:W1350&lt;=I714),1))*INDEX(T$4:T1350,MATCH(LARGE(FILTER(W$4:W1350,W$4:W1350&lt;=I714),1),W$4:W1350))-K714),1,
ROUNDDOWN(Y714-INDEX(K$4:K1350,MATCH(LARGE(FILTER(I$4:I1350,I$4:I1350&lt;=W714),1),I$4:I1350))-(W714-LARGE(FILTER(I$4:I"&amp;"1350,I$4:I1350&lt;=W714),1))*INDEX(F$4:F1350,MATCH(LARGE(FILTER(I$4:I1350,I$4:I1350&lt;=W714),1),I$4:I1350))))"),"")</f>
        <v/>
      </c>
      <c r="N714" s="60" t="str">
        <f t="shared" si="8"/>
        <v/>
      </c>
      <c r="O714" s="61" t="str">
        <f t="shared" si="9"/>
        <v/>
      </c>
      <c r="P714" s="56" t="str">
        <f t="shared" si="10"/>
        <v/>
      </c>
      <c r="Q714" s="62"/>
      <c r="R714" s="10" t="str">
        <f>IFERROR(__xludf.DUMMYFUNCTION("IF(COUNTA(Q714:Q1350)=0,"""",IF(ISBLANK(Q714),FALSE,IF(NOT(COUNTIF($AA$24:$AA$34,SUBSTITUTE(Q714,""Sell_"",""""))),1,IF(REGEXMATCH(Q714,""Sell_""),IF(COUNTIF(Q$4:Q714,SUBSTITUTE(Q714,""Sell_"",""""))-COUNTIF(Q$4:Q713,Q714)&lt;1,1),FALSE))))"),"")</f>
        <v/>
      </c>
      <c r="S714" s="59" t="str">
        <f t="array" ref="S714">IF(COUNTA(Q714:Q1350)=0,"",SUM((COUNTIF(Q$4:Q714,Upgrades!$B$3:$B$13)-COUNTIF(Q$4:Q714,"Sell_"&amp;Upgrades!$B$3:$B$13))*Upgrades!$D$3:$D$13))</f>
        <v/>
      </c>
      <c r="T714" s="66" t="str">
        <f>IFERROR(__xludf.DUMMYFUNCTION("IF(COUNTA(Q714:Q1350)=0,"""",IF(REGEXMATCH(INDEX(FILTER(Q$4:Q714,Q$4:Q714&lt;&gt;""""),ROWS(FILTER(Q$4:Q714,Q$4:Q714&lt;&gt;""""))),""^Sell_""),INDEX(FILTER(T$4:T713,Q$4:Q713&lt;&gt;""""),ROWS(FILTER(Q$4:Q713,Q$4:Q713&lt;&gt;""""))),$AD$5+S714))"),"")</f>
        <v/>
      </c>
      <c r="U714" s="10" t="str">
        <f>IFERROR(__xludf.DUMMYFUNCTION("IF(COUNTA(Q714:Q1350)=0,"""",IF(Q714="""",0,IF(REGEXMATCH(Q714,""^Sell_""),-ROUNDDOWN(ROUNDUP(INDEX(Upgrades!$C$3:$C$13,MATCH(SUBSTITUTE(Q714,""Sell_"",""""),Upgrades!$B$3:$B$13,0))*1.15^(COUNTIF(Q$4:Q713,SUBSTITUTE(Q714,""Sell_"",""""))-COUNTIF(Q$4:Q713,"&amp;"""Sell_""&amp;SUBSTITUTE(Q714,""Sell_"",""""))))/2),ROUNDUP(INDEX(Upgrades!$C$3:$C$13,MATCH(Q714,Upgrades!$B$3:$B$13,0))*1.15^(COUNTIF(Q$4:Q713,Q714)-COUNTIF(Q$4:Q713,""Sell_""&amp;Q714))))))"),"")</f>
        <v/>
      </c>
      <c r="V714" s="10" t="str">
        <f t="shared" si="11"/>
        <v/>
      </c>
      <c r="W714" s="68" t="str">
        <f t="shared" si="12"/>
        <v/>
      </c>
      <c r="X714" s="59" t="str">
        <f t="shared" si="13"/>
        <v/>
      </c>
      <c r="Y714" s="69" t="str">
        <f t="shared" si="14"/>
        <v/>
      </c>
      <c r="Z714" s="11"/>
    </row>
    <row r="715">
      <c r="A715" s="8"/>
      <c r="B715" s="56" t="str">
        <f t="shared" si="2"/>
        <v/>
      </c>
      <c r="C715" s="57"/>
      <c r="D715" s="10" t="str">
        <f>IFERROR(__xludf.DUMMYFUNCTION("IF(COUNTA(C715:C1350)=0,"""",IF(ISBLANK(C715),FALSE,IF(NOT(COUNTIF($AA$24:$AA$34,SUBSTITUTE(C715,""Sell_"",""""))),1,IF(REGEXMATCH(C715,""Sell_""),IF(COUNTIF(C$4:C715,SUBSTITUTE(C715,""Sell_"",""""))-COUNTIF(C$4:C714,C715)&lt;1,1),FALSE))))"),"")</f>
        <v/>
      </c>
      <c r="E715" s="59" t="str">
        <f t="array" ref="E715">IF(COUNTA(C715:C1350)=0,"",SUM((COUNTIF(C$4:C715,Upgrades!$B$3:$B$13)-COUNTIF(C$4:C715,"Sell_"&amp;Upgrades!$B$3:$B$13))*Upgrades!$D$3:$D$13))</f>
        <v/>
      </c>
      <c r="F715" s="66" t="str">
        <f>IFERROR(__xludf.DUMMYFUNCTION("IF(COUNTA(C715:C1350)=0,"""",IF(REGEXMATCH(INDEX(FILTER(C$4:C715,C$4:C715&lt;&gt;""""),ROWS(FILTER(C$4:C715,C$4:C715&lt;&gt;""""))),""^Sell_""),INDEX(FILTER(F$4:F714,C$4:C714&lt;&gt;""""),ROWS(FILTER(C$4:C714,C$4:C714&lt;&gt;""""))),$AC$5+E715))"),"")</f>
        <v/>
      </c>
      <c r="G715" s="10" t="str">
        <f>IFERROR(__xludf.DUMMYFUNCTION("IF(COUNTA(C715:C1350)=0,"""",IF(C715="""",0,IF(REGEXMATCH(C715,""^Sell_""),-ROUNDDOWN(ROUNDUP(INDEX(Upgrades!$C$3:$C$13,MATCH(SUBSTITUTE(C715,""Sell_"",""""),Upgrades!$B$3:$B$13,0))*1.15^(COUNTIF(C$4:C714,SUBSTITUTE(C715,""Sell_"",""""))-COUNTIF(C$4:C714,"&amp;"""Sell_""&amp;SUBSTITUTE(C715,""Sell_"",""""))))/2),ROUNDUP(INDEX(Upgrades!$C$3:$C$13,MATCH(C715,Upgrades!$B$3:$B$13,0))*1.15^(COUNTIF(C$4:C714,C715)-COUNTIF(C$4:C714,""Sell_""&amp;C715))))))"),"")</f>
        <v/>
      </c>
      <c r="H715" s="10" t="str">
        <f t="shared" si="3"/>
        <v/>
      </c>
      <c r="I715" s="68" t="str">
        <f t="shared" si="4"/>
        <v/>
      </c>
      <c r="J715" s="59" t="str">
        <f t="shared" si="5"/>
        <v/>
      </c>
      <c r="K715" s="69" t="str">
        <f t="shared" si="6"/>
        <v/>
      </c>
      <c r="L715" s="60" t="str">
        <f t="shared" si="7"/>
        <v/>
      </c>
      <c r="M715" s="61" t="str">
        <f>IFERROR(__xludf.DUMMYFUNCTION("IFS(AND(COUNTA(C715:C1350)=0,COUNTA(Q715:Q1350)=0),"""",OR(AND(K715&gt;=1000000000,OR(Y715&gt;=1000000000,COUNTA(Q715:Q1350)=0)),OR(Y715&gt;=1000000000,AND(COUNTA(C715:C1350)=0,P$3=TRUE))),
ROUNDDOWN((AB$1-AC$1)*MAX(INDEX(T$4:T1350,MATCH(LARGE(FILTER(Y$4:Y1350,Y$4"&amp;":Y1350&lt;1000000000),1),Y$4:Y1350)),INDEX(F$4:F1350,MATCH(LARGE(FILTER(K$4:K1350,K$4:K1350&lt;1000000000),1),K$4:K1350)))),AND(K715&lt;1000000000,COUNTA(C715:C1350)&gt;0,P$3=FALSE),
ROUNDDOWN(INDEX(Y$4:Y1350,MATCH(LARGE(FILTER(W$4:W1350,W$4:W1350&lt;=I715),1),W$4:W1350"&amp;"))+(I715-LARGE(FILTER(W$4:W1350,W$4:W1350&lt;=I715),1))*INDEX(T$4:T1350,MATCH(LARGE(FILTER(W$4:W1350,W$4:W1350&lt;=I715),1),W$4:W1350))-K715),1,
ROUNDDOWN(Y715-INDEX(K$4:K1350,MATCH(LARGE(FILTER(I$4:I1350,I$4:I1350&lt;=W715),1),I$4:I1350))-(W715-LARGE(FILTER(I$4:I"&amp;"1350,I$4:I1350&lt;=W715),1))*INDEX(F$4:F1350,MATCH(LARGE(FILTER(I$4:I1350,I$4:I1350&lt;=W715),1),I$4:I1350))))"),"")</f>
        <v/>
      </c>
      <c r="N715" s="60" t="str">
        <f t="shared" si="8"/>
        <v/>
      </c>
      <c r="O715" s="61" t="str">
        <f t="shared" si="9"/>
        <v/>
      </c>
      <c r="P715" s="56" t="str">
        <f t="shared" si="10"/>
        <v/>
      </c>
      <c r="Q715" s="62"/>
      <c r="R715" s="10" t="str">
        <f>IFERROR(__xludf.DUMMYFUNCTION("IF(COUNTA(Q715:Q1350)=0,"""",IF(ISBLANK(Q715),FALSE,IF(NOT(COUNTIF($AA$24:$AA$34,SUBSTITUTE(Q715,""Sell_"",""""))),1,IF(REGEXMATCH(Q715,""Sell_""),IF(COUNTIF(Q$4:Q715,SUBSTITUTE(Q715,""Sell_"",""""))-COUNTIF(Q$4:Q714,Q715)&lt;1,1),FALSE))))"),"")</f>
        <v/>
      </c>
      <c r="S715" s="59" t="str">
        <f t="array" ref="S715">IF(COUNTA(Q715:Q1350)=0,"",SUM((COUNTIF(Q$4:Q715,Upgrades!$B$3:$B$13)-COUNTIF(Q$4:Q715,"Sell_"&amp;Upgrades!$B$3:$B$13))*Upgrades!$D$3:$D$13))</f>
        <v/>
      </c>
      <c r="T715" s="66" t="str">
        <f>IFERROR(__xludf.DUMMYFUNCTION("IF(COUNTA(Q715:Q1350)=0,"""",IF(REGEXMATCH(INDEX(FILTER(Q$4:Q715,Q$4:Q715&lt;&gt;""""),ROWS(FILTER(Q$4:Q715,Q$4:Q715&lt;&gt;""""))),""^Sell_""),INDEX(FILTER(T$4:T714,Q$4:Q714&lt;&gt;""""),ROWS(FILTER(Q$4:Q714,Q$4:Q714&lt;&gt;""""))),$AD$5+S715))"),"")</f>
        <v/>
      </c>
      <c r="U715" s="10" t="str">
        <f>IFERROR(__xludf.DUMMYFUNCTION("IF(COUNTA(Q715:Q1350)=0,"""",IF(Q715="""",0,IF(REGEXMATCH(Q715,""^Sell_""),-ROUNDDOWN(ROUNDUP(INDEX(Upgrades!$C$3:$C$13,MATCH(SUBSTITUTE(Q715,""Sell_"",""""),Upgrades!$B$3:$B$13,0))*1.15^(COUNTIF(Q$4:Q714,SUBSTITUTE(Q715,""Sell_"",""""))-COUNTIF(Q$4:Q714,"&amp;"""Sell_""&amp;SUBSTITUTE(Q715,""Sell_"",""""))))/2),ROUNDUP(INDEX(Upgrades!$C$3:$C$13,MATCH(Q715,Upgrades!$B$3:$B$13,0))*1.15^(COUNTIF(Q$4:Q714,Q715)-COUNTIF(Q$4:Q714,""Sell_""&amp;Q715))))))"),"")</f>
        <v/>
      </c>
      <c r="V715" s="10" t="str">
        <f t="shared" si="11"/>
        <v/>
      </c>
      <c r="W715" s="68" t="str">
        <f t="shared" si="12"/>
        <v/>
      </c>
      <c r="X715" s="59" t="str">
        <f t="shared" si="13"/>
        <v/>
      </c>
      <c r="Y715" s="69" t="str">
        <f t="shared" si="14"/>
        <v/>
      </c>
      <c r="Z715" s="11"/>
    </row>
    <row r="716">
      <c r="A716" s="8"/>
      <c r="B716" s="56" t="str">
        <f t="shared" si="2"/>
        <v/>
      </c>
      <c r="C716" s="57"/>
      <c r="D716" s="10" t="str">
        <f>IFERROR(__xludf.DUMMYFUNCTION("IF(COUNTA(C716:C1350)=0,"""",IF(ISBLANK(C716),FALSE,IF(NOT(COUNTIF($AA$24:$AA$34,SUBSTITUTE(C716,""Sell_"",""""))),1,IF(REGEXMATCH(C716,""Sell_""),IF(COUNTIF(C$4:C716,SUBSTITUTE(C716,""Sell_"",""""))-COUNTIF(C$4:C715,C716)&lt;1,1),FALSE))))"),"")</f>
        <v/>
      </c>
      <c r="E716" s="59" t="str">
        <f t="array" ref="E716">IF(COUNTA(C716:C1350)=0,"",SUM((COUNTIF(C$4:C716,Upgrades!$B$3:$B$13)-COUNTIF(C$4:C716,"Sell_"&amp;Upgrades!$B$3:$B$13))*Upgrades!$D$3:$D$13))</f>
        <v/>
      </c>
      <c r="F716" s="66" t="str">
        <f>IFERROR(__xludf.DUMMYFUNCTION("IF(COUNTA(C716:C1350)=0,"""",IF(REGEXMATCH(INDEX(FILTER(C$4:C716,C$4:C716&lt;&gt;""""),ROWS(FILTER(C$4:C716,C$4:C716&lt;&gt;""""))),""^Sell_""),INDEX(FILTER(F$4:F715,C$4:C715&lt;&gt;""""),ROWS(FILTER(C$4:C715,C$4:C715&lt;&gt;""""))),$AC$5+E716))"),"")</f>
        <v/>
      </c>
      <c r="G716" s="10" t="str">
        <f>IFERROR(__xludf.DUMMYFUNCTION("IF(COUNTA(C716:C1350)=0,"""",IF(C716="""",0,IF(REGEXMATCH(C716,""^Sell_""),-ROUNDDOWN(ROUNDUP(INDEX(Upgrades!$C$3:$C$13,MATCH(SUBSTITUTE(C716,""Sell_"",""""),Upgrades!$B$3:$B$13,0))*1.15^(COUNTIF(C$4:C715,SUBSTITUTE(C716,""Sell_"",""""))-COUNTIF(C$4:C715,"&amp;"""Sell_""&amp;SUBSTITUTE(C716,""Sell_"",""""))))/2),ROUNDUP(INDEX(Upgrades!$C$3:$C$13,MATCH(C716,Upgrades!$B$3:$B$13,0))*1.15^(COUNTIF(C$4:C715,C716)-COUNTIF(C$4:C715,""Sell_""&amp;C716))))))"),"")</f>
        <v/>
      </c>
      <c r="H716" s="10" t="str">
        <f t="shared" si="3"/>
        <v/>
      </c>
      <c r="I716" s="68" t="str">
        <f t="shared" si="4"/>
        <v/>
      </c>
      <c r="J716" s="59" t="str">
        <f t="shared" si="5"/>
        <v/>
      </c>
      <c r="K716" s="69" t="str">
        <f t="shared" si="6"/>
        <v/>
      </c>
      <c r="L716" s="60" t="str">
        <f t="shared" si="7"/>
        <v/>
      </c>
      <c r="M716" s="61" t="str">
        <f>IFERROR(__xludf.DUMMYFUNCTION("IFS(AND(COUNTA(C716:C1350)=0,COUNTA(Q716:Q1350)=0),"""",OR(AND(K716&gt;=1000000000,OR(Y716&gt;=1000000000,COUNTA(Q716:Q1350)=0)),OR(Y716&gt;=1000000000,AND(COUNTA(C716:C1350)=0,P$3=TRUE))),
ROUNDDOWN((AB$1-AC$1)*MAX(INDEX(T$4:T1350,MATCH(LARGE(FILTER(Y$4:Y1350,Y$4"&amp;":Y1350&lt;1000000000),1),Y$4:Y1350)),INDEX(F$4:F1350,MATCH(LARGE(FILTER(K$4:K1350,K$4:K1350&lt;1000000000),1),K$4:K1350)))),AND(K716&lt;1000000000,COUNTA(C716:C1350)&gt;0,P$3=FALSE),
ROUNDDOWN(INDEX(Y$4:Y1350,MATCH(LARGE(FILTER(W$4:W1350,W$4:W1350&lt;=I716),1),W$4:W1350"&amp;"))+(I716-LARGE(FILTER(W$4:W1350,W$4:W1350&lt;=I716),1))*INDEX(T$4:T1350,MATCH(LARGE(FILTER(W$4:W1350,W$4:W1350&lt;=I716),1),W$4:W1350))-K716),1,
ROUNDDOWN(Y716-INDEX(K$4:K1350,MATCH(LARGE(FILTER(I$4:I1350,I$4:I1350&lt;=W716),1),I$4:I1350))-(W716-LARGE(FILTER(I$4:I"&amp;"1350,I$4:I1350&lt;=W716),1))*INDEX(F$4:F1350,MATCH(LARGE(FILTER(I$4:I1350,I$4:I1350&lt;=W716),1),I$4:I1350))))"),"")</f>
        <v/>
      </c>
      <c r="N716" s="60" t="str">
        <f t="shared" si="8"/>
        <v/>
      </c>
      <c r="O716" s="61" t="str">
        <f t="shared" si="9"/>
        <v/>
      </c>
      <c r="P716" s="56" t="str">
        <f t="shared" si="10"/>
        <v/>
      </c>
      <c r="Q716" s="62"/>
      <c r="R716" s="10" t="str">
        <f>IFERROR(__xludf.DUMMYFUNCTION("IF(COUNTA(Q716:Q1350)=0,"""",IF(ISBLANK(Q716),FALSE,IF(NOT(COUNTIF($AA$24:$AA$34,SUBSTITUTE(Q716,""Sell_"",""""))),1,IF(REGEXMATCH(Q716,""Sell_""),IF(COUNTIF(Q$4:Q716,SUBSTITUTE(Q716,""Sell_"",""""))-COUNTIF(Q$4:Q715,Q716)&lt;1,1),FALSE))))"),"")</f>
        <v/>
      </c>
      <c r="S716" s="59" t="str">
        <f t="array" ref="S716">IF(COUNTA(Q716:Q1350)=0,"",SUM((COUNTIF(Q$4:Q716,Upgrades!$B$3:$B$13)-COUNTIF(Q$4:Q716,"Sell_"&amp;Upgrades!$B$3:$B$13))*Upgrades!$D$3:$D$13))</f>
        <v/>
      </c>
      <c r="T716" s="66" t="str">
        <f>IFERROR(__xludf.DUMMYFUNCTION("IF(COUNTA(Q716:Q1350)=0,"""",IF(REGEXMATCH(INDEX(FILTER(Q$4:Q716,Q$4:Q716&lt;&gt;""""),ROWS(FILTER(Q$4:Q716,Q$4:Q716&lt;&gt;""""))),""^Sell_""),INDEX(FILTER(T$4:T715,Q$4:Q715&lt;&gt;""""),ROWS(FILTER(Q$4:Q715,Q$4:Q715&lt;&gt;""""))),$AD$5+S716))"),"")</f>
        <v/>
      </c>
      <c r="U716" s="10" t="str">
        <f>IFERROR(__xludf.DUMMYFUNCTION("IF(COUNTA(Q716:Q1350)=0,"""",IF(Q716="""",0,IF(REGEXMATCH(Q716,""^Sell_""),-ROUNDDOWN(ROUNDUP(INDEX(Upgrades!$C$3:$C$13,MATCH(SUBSTITUTE(Q716,""Sell_"",""""),Upgrades!$B$3:$B$13,0))*1.15^(COUNTIF(Q$4:Q715,SUBSTITUTE(Q716,""Sell_"",""""))-COUNTIF(Q$4:Q715,"&amp;"""Sell_""&amp;SUBSTITUTE(Q716,""Sell_"",""""))))/2),ROUNDUP(INDEX(Upgrades!$C$3:$C$13,MATCH(Q716,Upgrades!$B$3:$B$13,0))*1.15^(COUNTIF(Q$4:Q715,Q716)-COUNTIF(Q$4:Q715,""Sell_""&amp;Q716))))))"),"")</f>
        <v/>
      </c>
      <c r="V716" s="10" t="str">
        <f t="shared" si="11"/>
        <v/>
      </c>
      <c r="W716" s="68" t="str">
        <f t="shared" si="12"/>
        <v/>
      </c>
      <c r="X716" s="59" t="str">
        <f t="shared" si="13"/>
        <v/>
      </c>
      <c r="Y716" s="69" t="str">
        <f t="shared" si="14"/>
        <v/>
      </c>
      <c r="Z716" s="11"/>
    </row>
    <row r="717">
      <c r="A717" s="8"/>
      <c r="B717" s="56" t="str">
        <f t="shared" si="2"/>
        <v/>
      </c>
      <c r="C717" s="57"/>
      <c r="D717" s="10" t="str">
        <f>IFERROR(__xludf.DUMMYFUNCTION("IF(COUNTA(C717:C1350)=0,"""",IF(ISBLANK(C717),FALSE,IF(NOT(COUNTIF($AA$24:$AA$34,SUBSTITUTE(C717,""Sell_"",""""))),1,IF(REGEXMATCH(C717,""Sell_""),IF(COUNTIF(C$4:C717,SUBSTITUTE(C717,""Sell_"",""""))-COUNTIF(C$4:C716,C717)&lt;1,1),FALSE))))"),"")</f>
        <v/>
      </c>
      <c r="E717" s="59" t="str">
        <f t="array" ref="E717">IF(COUNTA(C717:C1350)=0,"",SUM((COUNTIF(C$4:C717,Upgrades!$B$3:$B$13)-COUNTIF(C$4:C717,"Sell_"&amp;Upgrades!$B$3:$B$13))*Upgrades!$D$3:$D$13))</f>
        <v/>
      </c>
      <c r="F717" s="66" t="str">
        <f>IFERROR(__xludf.DUMMYFUNCTION("IF(COUNTA(C717:C1350)=0,"""",IF(REGEXMATCH(INDEX(FILTER(C$4:C717,C$4:C717&lt;&gt;""""),ROWS(FILTER(C$4:C717,C$4:C717&lt;&gt;""""))),""^Sell_""),INDEX(FILTER(F$4:F716,C$4:C716&lt;&gt;""""),ROWS(FILTER(C$4:C716,C$4:C716&lt;&gt;""""))),$AC$5+E717))"),"")</f>
        <v/>
      </c>
      <c r="G717" s="10" t="str">
        <f>IFERROR(__xludf.DUMMYFUNCTION("IF(COUNTA(C717:C1350)=0,"""",IF(C717="""",0,IF(REGEXMATCH(C717,""^Sell_""),-ROUNDDOWN(ROUNDUP(INDEX(Upgrades!$C$3:$C$13,MATCH(SUBSTITUTE(C717,""Sell_"",""""),Upgrades!$B$3:$B$13,0))*1.15^(COUNTIF(C$4:C716,SUBSTITUTE(C717,""Sell_"",""""))-COUNTIF(C$4:C716,"&amp;"""Sell_""&amp;SUBSTITUTE(C717,""Sell_"",""""))))/2),ROUNDUP(INDEX(Upgrades!$C$3:$C$13,MATCH(C717,Upgrades!$B$3:$B$13,0))*1.15^(COUNTIF(C$4:C716,C717)-COUNTIF(C$4:C716,""Sell_""&amp;C717))))))"),"")</f>
        <v/>
      </c>
      <c r="H717" s="10" t="str">
        <f t="shared" si="3"/>
        <v/>
      </c>
      <c r="I717" s="68" t="str">
        <f t="shared" si="4"/>
        <v/>
      </c>
      <c r="J717" s="59" t="str">
        <f t="shared" si="5"/>
        <v/>
      </c>
      <c r="K717" s="69" t="str">
        <f t="shared" si="6"/>
        <v/>
      </c>
      <c r="L717" s="60" t="str">
        <f t="shared" si="7"/>
        <v/>
      </c>
      <c r="M717" s="61" t="str">
        <f>IFERROR(__xludf.DUMMYFUNCTION("IFS(AND(COUNTA(C717:C1350)=0,COUNTA(Q717:Q1350)=0),"""",OR(AND(K717&gt;=1000000000,OR(Y717&gt;=1000000000,COUNTA(Q717:Q1350)=0)),OR(Y717&gt;=1000000000,AND(COUNTA(C717:C1350)=0,P$3=TRUE))),
ROUNDDOWN((AB$1-AC$1)*MAX(INDEX(T$4:T1350,MATCH(LARGE(FILTER(Y$4:Y1350,Y$4"&amp;":Y1350&lt;1000000000),1),Y$4:Y1350)),INDEX(F$4:F1350,MATCH(LARGE(FILTER(K$4:K1350,K$4:K1350&lt;1000000000),1),K$4:K1350)))),AND(K717&lt;1000000000,COUNTA(C717:C1350)&gt;0,P$3=FALSE),
ROUNDDOWN(INDEX(Y$4:Y1350,MATCH(LARGE(FILTER(W$4:W1350,W$4:W1350&lt;=I717),1),W$4:W1350"&amp;"))+(I717-LARGE(FILTER(W$4:W1350,W$4:W1350&lt;=I717),1))*INDEX(T$4:T1350,MATCH(LARGE(FILTER(W$4:W1350,W$4:W1350&lt;=I717),1),W$4:W1350))-K717),1,
ROUNDDOWN(Y717-INDEX(K$4:K1350,MATCH(LARGE(FILTER(I$4:I1350,I$4:I1350&lt;=W717),1),I$4:I1350))-(W717-LARGE(FILTER(I$4:I"&amp;"1350,I$4:I1350&lt;=W717),1))*INDEX(F$4:F1350,MATCH(LARGE(FILTER(I$4:I1350,I$4:I1350&lt;=W717),1),I$4:I1350))))"),"")</f>
        <v/>
      </c>
      <c r="N717" s="60" t="str">
        <f t="shared" si="8"/>
        <v/>
      </c>
      <c r="O717" s="61" t="str">
        <f t="shared" si="9"/>
        <v/>
      </c>
      <c r="P717" s="56" t="str">
        <f t="shared" si="10"/>
        <v/>
      </c>
      <c r="Q717" s="62"/>
      <c r="R717" s="10" t="str">
        <f>IFERROR(__xludf.DUMMYFUNCTION("IF(COUNTA(Q717:Q1350)=0,"""",IF(ISBLANK(Q717),FALSE,IF(NOT(COUNTIF($AA$24:$AA$34,SUBSTITUTE(Q717,""Sell_"",""""))),1,IF(REGEXMATCH(Q717,""Sell_""),IF(COUNTIF(Q$4:Q717,SUBSTITUTE(Q717,""Sell_"",""""))-COUNTIF(Q$4:Q716,Q717)&lt;1,1),FALSE))))"),"")</f>
        <v/>
      </c>
      <c r="S717" s="59" t="str">
        <f t="array" ref="S717">IF(COUNTA(Q717:Q1350)=0,"",SUM((COUNTIF(Q$4:Q717,Upgrades!$B$3:$B$13)-COUNTIF(Q$4:Q717,"Sell_"&amp;Upgrades!$B$3:$B$13))*Upgrades!$D$3:$D$13))</f>
        <v/>
      </c>
      <c r="T717" s="66" t="str">
        <f>IFERROR(__xludf.DUMMYFUNCTION("IF(COUNTA(Q717:Q1350)=0,"""",IF(REGEXMATCH(INDEX(FILTER(Q$4:Q717,Q$4:Q717&lt;&gt;""""),ROWS(FILTER(Q$4:Q717,Q$4:Q717&lt;&gt;""""))),""^Sell_""),INDEX(FILTER(T$4:T716,Q$4:Q716&lt;&gt;""""),ROWS(FILTER(Q$4:Q716,Q$4:Q716&lt;&gt;""""))),$AD$5+S717))"),"")</f>
        <v/>
      </c>
      <c r="U717" s="10" t="str">
        <f>IFERROR(__xludf.DUMMYFUNCTION("IF(COUNTA(Q717:Q1350)=0,"""",IF(Q717="""",0,IF(REGEXMATCH(Q717,""^Sell_""),-ROUNDDOWN(ROUNDUP(INDEX(Upgrades!$C$3:$C$13,MATCH(SUBSTITUTE(Q717,""Sell_"",""""),Upgrades!$B$3:$B$13,0))*1.15^(COUNTIF(Q$4:Q716,SUBSTITUTE(Q717,""Sell_"",""""))-COUNTIF(Q$4:Q716,"&amp;"""Sell_""&amp;SUBSTITUTE(Q717,""Sell_"",""""))))/2),ROUNDUP(INDEX(Upgrades!$C$3:$C$13,MATCH(Q717,Upgrades!$B$3:$B$13,0))*1.15^(COUNTIF(Q$4:Q716,Q717)-COUNTIF(Q$4:Q716,""Sell_""&amp;Q717))))))"),"")</f>
        <v/>
      </c>
      <c r="V717" s="10" t="str">
        <f t="shared" si="11"/>
        <v/>
      </c>
      <c r="W717" s="68" t="str">
        <f t="shared" si="12"/>
        <v/>
      </c>
      <c r="X717" s="59" t="str">
        <f t="shared" si="13"/>
        <v/>
      </c>
      <c r="Y717" s="69" t="str">
        <f t="shared" si="14"/>
        <v/>
      </c>
      <c r="Z717" s="11"/>
    </row>
    <row r="718">
      <c r="A718" s="8"/>
      <c r="B718" s="56" t="str">
        <f t="shared" si="2"/>
        <v/>
      </c>
      <c r="C718" s="57"/>
      <c r="D718" s="10" t="str">
        <f>IFERROR(__xludf.DUMMYFUNCTION("IF(COUNTA(C718:C1350)=0,"""",IF(ISBLANK(C718),FALSE,IF(NOT(COUNTIF($AA$24:$AA$34,SUBSTITUTE(C718,""Sell_"",""""))),1,IF(REGEXMATCH(C718,""Sell_""),IF(COUNTIF(C$4:C718,SUBSTITUTE(C718,""Sell_"",""""))-COUNTIF(C$4:C717,C718)&lt;1,1),FALSE))))"),"")</f>
        <v/>
      </c>
      <c r="E718" s="59" t="str">
        <f t="array" ref="E718">IF(COUNTA(C718:C1350)=0,"",SUM((COUNTIF(C$4:C718,Upgrades!$B$3:$B$13)-COUNTIF(C$4:C718,"Sell_"&amp;Upgrades!$B$3:$B$13))*Upgrades!$D$3:$D$13))</f>
        <v/>
      </c>
      <c r="F718" s="66" t="str">
        <f>IFERROR(__xludf.DUMMYFUNCTION("IF(COUNTA(C718:C1350)=0,"""",IF(REGEXMATCH(INDEX(FILTER(C$4:C718,C$4:C718&lt;&gt;""""),ROWS(FILTER(C$4:C718,C$4:C718&lt;&gt;""""))),""^Sell_""),INDEX(FILTER(F$4:F717,C$4:C717&lt;&gt;""""),ROWS(FILTER(C$4:C717,C$4:C717&lt;&gt;""""))),$AC$5+E718))"),"")</f>
        <v/>
      </c>
      <c r="G718" s="10" t="str">
        <f>IFERROR(__xludf.DUMMYFUNCTION("IF(COUNTA(C718:C1350)=0,"""",IF(C718="""",0,IF(REGEXMATCH(C718,""^Sell_""),-ROUNDDOWN(ROUNDUP(INDEX(Upgrades!$C$3:$C$13,MATCH(SUBSTITUTE(C718,""Sell_"",""""),Upgrades!$B$3:$B$13,0))*1.15^(COUNTIF(C$4:C717,SUBSTITUTE(C718,""Sell_"",""""))-COUNTIF(C$4:C717,"&amp;"""Sell_""&amp;SUBSTITUTE(C718,""Sell_"",""""))))/2),ROUNDUP(INDEX(Upgrades!$C$3:$C$13,MATCH(C718,Upgrades!$B$3:$B$13,0))*1.15^(COUNTIF(C$4:C717,C718)-COUNTIF(C$4:C717,""Sell_""&amp;C718))))))"),"")</f>
        <v/>
      </c>
      <c r="H718" s="10" t="str">
        <f t="shared" si="3"/>
        <v/>
      </c>
      <c r="I718" s="68" t="str">
        <f t="shared" si="4"/>
        <v/>
      </c>
      <c r="J718" s="59" t="str">
        <f t="shared" si="5"/>
        <v/>
      </c>
      <c r="K718" s="69" t="str">
        <f t="shared" si="6"/>
        <v/>
      </c>
      <c r="L718" s="60" t="str">
        <f t="shared" si="7"/>
        <v/>
      </c>
      <c r="M718" s="61" t="str">
        <f>IFERROR(__xludf.DUMMYFUNCTION("IFS(AND(COUNTA(C718:C1350)=0,COUNTA(Q718:Q1350)=0),"""",OR(AND(K718&gt;=1000000000,OR(Y718&gt;=1000000000,COUNTA(Q718:Q1350)=0)),OR(Y718&gt;=1000000000,AND(COUNTA(C718:C1350)=0,P$3=TRUE))),
ROUNDDOWN((AB$1-AC$1)*MAX(INDEX(T$4:T1350,MATCH(LARGE(FILTER(Y$4:Y1350,Y$4"&amp;":Y1350&lt;1000000000),1),Y$4:Y1350)),INDEX(F$4:F1350,MATCH(LARGE(FILTER(K$4:K1350,K$4:K1350&lt;1000000000),1),K$4:K1350)))),AND(K718&lt;1000000000,COUNTA(C718:C1350)&gt;0,P$3=FALSE),
ROUNDDOWN(INDEX(Y$4:Y1350,MATCH(LARGE(FILTER(W$4:W1350,W$4:W1350&lt;=I718),1),W$4:W1350"&amp;"))+(I718-LARGE(FILTER(W$4:W1350,W$4:W1350&lt;=I718),1))*INDEX(T$4:T1350,MATCH(LARGE(FILTER(W$4:W1350,W$4:W1350&lt;=I718),1),W$4:W1350))-K718),1,
ROUNDDOWN(Y718-INDEX(K$4:K1350,MATCH(LARGE(FILTER(I$4:I1350,I$4:I1350&lt;=W718),1),I$4:I1350))-(W718-LARGE(FILTER(I$4:I"&amp;"1350,I$4:I1350&lt;=W718),1))*INDEX(F$4:F1350,MATCH(LARGE(FILTER(I$4:I1350,I$4:I1350&lt;=W718),1),I$4:I1350))))"),"")</f>
        <v/>
      </c>
      <c r="N718" s="60" t="str">
        <f t="shared" si="8"/>
        <v/>
      </c>
      <c r="O718" s="61" t="str">
        <f t="shared" si="9"/>
        <v/>
      </c>
      <c r="P718" s="56" t="str">
        <f t="shared" si="10"/>
        <v/>
      </c>
      <c r="Q718" s="62"/>
      <c r="R718" s="10" t="str">
        <f>IFERROR(__xludf.DUMMYFUNCTION("IF(COUNTA(Q718:Q1350)=0,"""",IF(ISBLANK(Q718),FALSE,IF(NOT(COUNTIF($AA$24:$AA$34,SUBSTITUTE(Q718,""Sell_"",""""))),1,IF(REGEXMATCH(Q718,""Sell_""),IF(COUNTIF(Q$4:Q718,SUBSTITUTE(Q718,""Sell_"",""""))-COUNTIF(Q$4:Q717,Q718)&lt;1,1),FALSE))))"),"")</f>
        <v/>
      </c>
      <c r="S718" s="59" t="str">
        <f t="array" ref="S718">IF(COUNTA(Q718:Q1350)=0,"",SUM((COUNTIF(Q$4:Q718,Upgrades!$B$3:$B$13)-COUNTIF(Q$4:Q718,"Sell_"&amp;Upgrades!$B$3:$B$13))*Upgrades!$D$3:$D$13))</f>
        <v/>
      </c>
      <c r="T718" s="66" t="str">
        <f>IFERROR(__xludf.DUMMYFUNCTION("IF(COUNTA(Q718:Q1350)=0,"""",IF(REGEXMATCH(INDEX(FILTER(Q$4:Q718,Q$4:Q718&lt;&gt;""""),ROWS(FILTER(Q$4:Q718,Q$4:Q718&lt;&gt;""""))),""^Sell_""),INDEX(FILTER(T$4:T717,Q$4:Q717&lt;&gt;""""),ROWS(FILTER(Q$4:Q717,Q$4:Q717&lt;&gt;""""))),$AD$5+S718))"),"")</f>
        <v/>
      </c>
      <c r="U718" s="10" t="str">
        <f>IFERROR(__xludf.DUMMYFUNCTION("IF(COUNTA(Q718:Q1350)=0,"""",IF(Q718="""",0,IF(REGEXMATCH(Q718,""^Sell_""),-ROUNDDOWN(ROUNDUP(INDEX(Upgrades!$C$3:$C$13,MATCH(SUBSTITUTE(Q718,""Sell_"",""""),Upgrades!$B$3:$B$13,0))*1.15^(COUNTIF(Q$4:Q717,SUBSTITUTE(Q718,""Sell_"",""""))-COUNTIF(Q$4:Q717,"&amp;"""Sell_""&amp;SUBSTITUTE(Q718,""Sell_"",""""))))/2),ROUNDUP(INDEX(Upgrades!$C$3:$C$13,MATCH(Q718,Upgrades!$B$3:$B$13,0))*1.15^(COUNTIF(Q$4:Q717,Q718)-COUNTIF(Q$4:Q717,""Sell_""&amp;Q718))))))"),"")</f>
        <v/>
      </c>
      <c r="V718" s="10" t="str">
        <f t="shared" si="11"/>
        <v/>
      </c>
      <c r="W718" s="68" t="str">
        <f t="shared" si="12"/>
        <v/>
      </c>
      <c r="X718" s="59" t="str">
        <f t="shared" si="13"/>
        <v/>
      </c>
      <c r="Y718" s="69" t="str">
        <f t="shared" si="14"/>
        <v/>
      </c>
      <c r="Z718" s="11"/>
    </row>
    <row r="719">
      <c r="A719" s="8"/>
      <c r="B719" s="56" t="str">
        <f t="shared" si="2"/>
        <v/>
      </c>
      <c r="C719" s="57"/>
      <c r="D719" s="10" t="str">
        <f>IFERROR(__xludf.DUMMYFUNCTION("IF(COUNTA(C719:C1350)=0,"""",IF(ISBLANK(C719),FALSE,IF(NOT(COUNTIF($AA$24:$AA$34,SUBSTITUTE(C719,""Sell_"",""""))),1,IF(REGEXMATCH(C719,""Sell_""),IF(COUNTIF(C$4:C719,SUBSTITUTE(C719,""Sell_"",""""))-COUNTIF(C$4:C718,C719)&lt;1,1),FALSE))))"),"")</f>
        <v/>
      </c>
      <c r="E719" s="59" t="str">
        <f t="array" ref="E719">IF(COUNTA(C719:C1350)=0,"",SUM((COUNTIF(C$4:C719,Upgrades!$B$3:$B$13)-COUNTIF(C$4:C719,"Sell_"&amp;Upgrades!$B$3:$B$13))*Upgrades!$D$3:$D$13))</f>
        <v/>
      </c>
      <c r="F719" s="66" t="str">
        <f>IFERROR(__xludf.DUMMYFUNCTION("IF(COUNTA(C719:C1350)=0,"""",IF(REGEXMATCH(INDEX(FILTER(C$4:C719,C$4:C719&lt;&gt;""""),ROWS(FILTER(C$4:C719,C$4:C719&lt;&gt;""""))),""^Sell_""),INDEX(FILTER(F$4:F718,C$4:C718&lt;&gt;""""),ROWS(FILTER(C$4:C718,C$4:C718&lt;&gt;""""))),$AC$5+E719))"),"")</f>
        <v/>
      </c>
      <c r="G719" s="10" t="str">
        <f>IFERROR(__xludf.DUMMYFUNCTION("IF(COUNTA(C719:C1350)=0,"""",IF(C719="""",0,IF(REGEXMATCH(C719,""^Sell_""),-ROUNDDOWN(ROUNDUP(INDEX(Upgrades!$C$3:$C$13,MATCH(SUBSTITUTE(C719,""Sell_"",""""),Upgrades!$B$3:$B$13,0))*1.15^(COUNTIF(C$4:C718,SUBSTITUTE(C719,""Sell_"",""""))-COUNTIF(C$4:C718,"&amp;"""Sell_""&amp;SUBSTITUTE(C719,""Sell_"",""""))))/2),ROUNDUP(INDEX(Upgrades!$C$3:$C$13,MATCH(C719,Upgrades!$B$3:$B$13,0))*1.15^(COUNTIF(C$4:C718,C719)-COUNTIF(C$4:C718,""Sell_""&amp;C719))))))"),"")</f>
        <v/>
      </c>
      <c r="H719" s="10" t="str">
        <f t="shared" si="3"/>
        <v/>
      </c>
      <c r="I719" s="68" t="str">
        <f t="shared" si="4"/>
        <v/>
      </c>
      <c r="J719" s="59" t="str">
        <f t="shared" si="5"/>
        <v/>
      </c>
      <c r="K719" s="69" t="str">
        <f t="shared" si="6"/>
        <v/>
      </c>
      <c r="L719" s="60" t="str">
        <f t="shared" si="7"/>
        <v/>
      </c>
      <c r="M719" s="61" t="str">
        <f>IFERROR(__xludf.DUMMYFUNCTION("IFS(AND(COUNTA(C719:C1350)=0,COUNTA(Q719:Q1350)=0),"""",OR(AND(K719&gt;=1000000000,OR(Y719&gt;=1000000000,COUNTA(Q719:Q1350)=0)),OR(Y719&gt;=1000000000,AND(COUNTA(C719:C1350)=0,P$3=TRUE))),
ROUNDDOWN((AB$1-AC$1)*MAX(INDEX(T$4:T1350,MATCH(LARGE(FILTER(Y$4:Y1350,Y$4"&amp;":Y1350&lt;1000000000),1),Y$4:Y1350)),INDEX(F$4:F1350,MATCH(LARGE(FILTER(K$4:K1350,K$4:K1350&lt;1000000000),1),K$4:K1350)))),AND(K719&lt;1000000000,COUNTA(C719:C1350)&gt;0,P$3=FALSE),
ROUNDDOWN(INDEX(Y$4:Y1350,MATCH(LARGE(FILTER(W$4:W1350,W$4:W1350&lt;=I719),1),W$4:W1350"&amp;"))+(I719-LARGE(FILTER(W$4:W1350,W$4:W1350&lt;=I719),1))*INDEX(T$4:T1350,MATCH(LARGE(FILTER(W$4:W1350,W$4:W1350&lt;=I719),1),W$4:W1350))-K719),1,
ROUNDDOWN(Y719-INDEX(K$4:K1350,MATCH(LARGE(FILTER(I$4:I1350,I$4:I1350&lt;=W719),1),I$4:I1350))-(W719-LARGE(FILTER(I$4:I"&amp;"1350,I$4:I1350&lt;=W719),1))*INDEX(F$4:F1350,MATCH(LARGE(FILTER(I$4:I1350,I$4:I1350&lt;=W719),1),I$4:I1350))))"),"")</f>
        <v/>
      </c>
      <c r="N719" s="60" t="str">
        <f t="shared" si="8"/>
        <v/>
      </c>
      <c r="O719" s="61" t="str">
        <f t="shared" si="9"/>
        <v/>
      </c>
      <c r="P719" s="56" t="str">
        <f t="shared" si="10"/>
        <v/>
      </c>
      <c r="Q719" s="62"/>
      <c r="R719" s="10" t="str">
        <f>IFERROR(__xludf.DUMMYFUNCTION("IF(COUNTA(Q719:Q1350)=0,"""",IF(ISBLANK(Q719),FALSE,IF(NOT(COUNTIF($AA$24:$AA$34,SUBSTITUTE(Q719,""Sell_"",""""))),1,IF(REGEXMATCH(Q719,""Sell_""),IF(COUNTIF(Q$4:Q719,SUBSTITUTE(Q719,""Sell_"",""""))-COUNTIF(Q$4:Q718,Q719)&lt;1,1),FALSE))))"),"")</f>
        <v/>
      </c>
      <c r="S719" s="59" t="str">
        <f t="array" ref="S719">IF(COUNTA(Q719:Q1350)=0,"",SUM((COUNTIF(Q$4:Q719,Upgrades!$B$3:$B$13)-COUNTIF(Q$4:Q719,"Sell_"&amp;Upgrades!$B$3:$B$13))*Upgrades!$D$3:$D$13))</f>
        <v/>
      </c>
      <c r="T719" s="66" t="str">
        <f>IFERROR(__xludf.DUMMYFUNCTION("IF(COUNTA(Q719:Q1350)=0,"""",IF(REGEXMATCH(INDEX(FILTER(Q$4:Q719,Q$4:Q719&lt;&gt;""""),ROWS(FILTER(Q$4:Q719,Q$4:Q719&lt;&gt;""""))),""^Sell_""),INDEX(FILTER(T$4:T718,Q$4:Q718&lt;&gt;""""),ROWS(FILTER(Q$4:Q718,Q$4:Q718&lt;&gt;""""))),$AD$5+S719))"),"")</f>
        <v/>
      </c>
      <c r="U719" s="10" t="str">
        <f>IFERROR(__xludf.DUMMYFUNCTION("IF(COUNTA(Q719:Q1350)=0,"""",IF(Q719="""",0,IF(REGEXMATCH(Q719,""^Sell_""),-ROUNDDOWN(ROUNDUP(INDEX(Upgrades!$C$3:$C$13,MATCH(SUBSTITUTE(Q719,""Sell_"",""""),Upgrades!$B$3:$B$13,0))*1.15^(COUNTIF(Q$4:Q718,SUBSTITUTE(Q719,""Sell_"",""""))-COUNTIF(Q$4:Q718,"&amp;"""Sell_""&amp;SUBSTITUTE(Q719,""Sell_"",""""))))/2),ROUNDUP(INDEX(Upgrades!$C$3:$C$13,MATCH(Q719,Upgrades!$B$3:$B$13,0))*1.15^(COUNTIF(Q$4:Q718,Q719)-COUNTIF(Q$4:Q718,""Sell_""&amp;Q719))))))"),"")</f>
        <v/>
      </c>
      <c r="V719" s="10" t="str">
        <f t="shared" si="11"/>
        <v/>
      </c>
      <c r="W719" s="68" t="str">
        <f t="shared" si="12"/>
        <v/>
      </c>
      <c r="X719" s="59" t="str">
        <f t="shared" si="13"/>
        <v/>
      </c>
      <c r="Y719" s="69" t="str">
        <f t="shared" si="14"/>
        <v/>
      </c>
      <c r="Z719" s="11"/>
    </row>
    <row r="720">
      <c r="A720" s="8"/>
      <c r="B720" s="56" t="str">
        <f t="shared" si="2"/>
        <v/>
      </c>
      <c r="C720" s="57"/>
      <c r="D720" s="10" t="str">
        <f>IFERROR(__xludf.DUMMYFUNCTION("IF(COUNTA(C720:C1350)=0,"""",IF(ISBLANK(C720),FALSE,IF(NOT(COUNTIF($AA$24:$AA$34,SUBSTITUTE(C720,""Sell_"",""""))),1,IF(REGEXMATCH(C720,""Sell_""),IF(COUNTIF(C$4:C720,SUBSTITUTE(C720,""Sell_"",""""))-COUNTIF(C$4:C719,C720)&lt;1,1),FALSE))))"),"")</f>
        <v/>
      </c>
      <c r="E720" s="59" t="str">
        <f t="array" ref="E720">IF(COUNTA(C720:C1350)=0,"",SUM((COUNTIF(C$4:C720,Upgrades!$B$3:$B$13)-COUNTIF(C$4:C720,"Sell_"&amp;Upgrades!$B$3:$B$13))*Upgrades!$D$3:$D$13))</f>
        <v/>
      </c>
      <c r="F720" s="66" t="str">
        <f>IFERROR(__xludf.DUMMYFUNCTION("IF(COUNTA(C720:C1350)=0,"""",IF(REGEXMATCH(INDEX(FILTER(C$4:C720,C$4:C720&lt;&gt;""""),ROWS(FILTER(C$4:C720,C$4:C720&lt;&gt;""""))),""^Sell_""),INDEX(FILTER(F$4:F719,C$4:C719&lt;&gt;""""),ROWS(FILTER(C$4:C719,C$4:C719&lt;&gt;""""))),$AC$5+E720))"),"")</f>
        <v/>
      </c>
      <c r="G720" s="10" t="str">
        <f>IFERROR(__xludf.DUMMYFUNCTION("IF(COUNTA(C720:C1350)=0,"""",IF(C720="""",0,IF(REGEXMATCH(C720,""^Sell_""),-ROUNDDOWN(ROUNDUP(INDEX(Upgrades!$C$3:$C$13,MATCH(SUBSTITUTE(C720,""Sell_"",""""),Upgrades!$B$3:$B$13,0))*1.15^(COUNTIF(C$4:C719,SUBSTITUTE(C720,""Sell_"",""""))-COUNTIF(C$4:C719,"&amp;"""Sell_""&amp;SUBSTITUTE(C720,""Sell_"",""""))))/2),ROUNDUP(INDEX(Upgrades!$C$3:$C$13,MATCH(C720,Upgrades!$B$3:$B$13,0))*1.15^(COUNTIF(C$4:C719,C720)-COUNTIF(C$4:C719,""Sell_""&amp;C720))))))"),"")</f>
        <v/>
      </c>
      <c r="H720" s="10" t="str">
        <f t="shared" si="3"/>
        <v/>
      </c>
      <c r="I720" s="68" t="str">
        <f t="shared" si="4"/>
        <v/>
      </c>
      <c r="J720" s="59" t="str">
        <f t="shared" si="5"/>
        <v/>
      </c>
      <c r="K720" s="69" t="str">
        <f t="shared" si="6"/>
        <v/>
      </c>
      <c r="L720" s="60" t="str">
        <f t="shared" si="7"/>
        <v/>
      </c>
      <c r="M720" s="61" t="str">
        <f>IFERROR(__xludf.DUMMYFUNCTION("IFS(AND(COUNTA(C720:C1350)=0,COUNTA(Q720:Q1350)=0),"""",OR(AND(K720&gt;=1000000000,OR(Y720&gt;=1000000000,COUNTA(Q720:Q1350)=0)),OR(Y720&gt;=1000000000,AND(COUNTA(C720:C1350)=0,P$3=TRUE))),
ROUNDDOWN((AB$1-AC$1)*MAX(INDEX(T$4:T1350,MATCH(LARGE(FILTER(Y$4:Y1350,Y$4"&amp;":Y1350&lt;1000000000),1),Y$4:Y1350)),INDEX(F$4:F1350,MATCH(LARGE(FILTER(K$4:K1350,K$4:K1350&lt;1000000000),1),K$4:K1350)))),AND(K720&lt;1000000000,COUNTA(C720:C1350)&gt;0,P$3=FALSE),
ROUNDDOWN(INDEX(Y$4:Y1350,MATCH(LARGE(FILTER(W$4:W1350,W$4:W1350&lt;=I720),1),W$4:W1350"&amp;"))+(I720-LARGE(FILTER(W$4:W1350,W$4:W1350&lt;=I720),1))*INDEX(T$4:T1350,MATCH(LARGE(FILTER(W$4:W1350,W$4:W1350&lt;=I720),1),W$4:W1350))-K720),1,
ROUNDDOWN(Y720-INDEX(K$4:K1350,MATCH(LARGE(FILTER(I$4:I1350,I$4:I1350&lt;=W720),1),I$4:I1350))-(W720-LARGE(FILTER(I$4:I"&amp;"1350,I$4:I1350&lt;=W720),1))*INDEX(F$4:F1350,MATCH(LARGE(FILTER(I$4:I1350,I$4:I1350&lt;=W720),1),I$4:I1350))))"),"")</f>
        <v/>
      </c>
      <c r="N720" s="60" t="str">
        <f t="shared" si="8"/>
        <v/>
      </c>
      <c r="O720" s="61" t="str">
        <f t="shared" si="9"/>
        <v/>
      </c>
      <c r="P720" s="56" t="str">
        <f t="shared" si="10"/>
        <v/>
      </c>
      <c r="Q720" s="62"/>
      <c r="R720" s="10" t="str">
        <f>IFERROR(__xludf.DUMMYFUNCTION("IF(COUNTA(Q720:Q1350)=0,"""",IF(ISBLANK(Q720),FALSE,IF(NOT(COUNTIF($AA$24:$AA$34,SUBSTITUTE(Q720,""Sell_"",""""))),1,IF(REGEXMATCH(Q720,""Sell_""),IF(COUNTIF(Q$4:Q720,SUBSTITUTE(Q720,""Sell_"",""""))-COUNTIF(Q$4:Q719,Q720)&lt;1,1),FALSE))))"),"")</f>
        <v/>
      </c>
      <c r="S720" s="59" t="str">
        <f t="array" ref="S720">IF(COUNTA(Q720:Q1350)=0,"",SUM((COUNTIF(Q$4:Q720,Upgrades!$B$3:$B$13)-COUNTIF(Q$4:Q720,"Sell_"&amp;Upgrades!$B$3:$B$13))*Upgrades!$D$3:$D$13))</f>
        <v/>
      </c>
      <c r="T720" s="66" t="str">
        <f>IFERROR(__xludf.DUMMYFUNCTION("IF(COUNTA(Q720:Q1350)=0,"""",IF(REGEXMATCH(INDEX(FILTER(Q$4:Q720,Q$4:Q720&lt;&gt;""""),ROWS(FILTER(Q$4:Q720,Q$4:Q720&lt;&gt;""""))),""^Sell_""),INDEX(FILTER(T$4:T719,Q$4:Q719&lt;&gt;""""),ROWS(FILTER(Q$4:Q719,Q$4:Q719&lt;&gt;""""))),$AD$5+S720))"),"")</f>
        <v/>
      </c>
      <c r="U720" s="10" t="str">
        <f>IFERROR(__xludf.DUMMYFUNCTION("IF(COUNTA(Q720:Q1350)=0,"""",IF(Q720="""",0,IF(REGEXMATCH(Q720,""^Sell_""),-ROUNDDOWN(ROUNDUP(INDEX(Upgrades!$C$3:$C$13,MATCH(SUBSTITUTE(Q720,""Sell_"",""""),Upgrades!$B$3:$B$13,0))*1.15^(COUNTIF(Q$4:Q719,SUBSTITUTE(Q720,""Sell_"",""""))-COUNTIF(Q$4:Q719,"&amp;"""Sell_""&amp;SUBSTITUTE(Q720,""Sell_"",""""))))/2),ROUNDUP(INDEX(Upgrades!$C$3:$C$13,MATCH(Q720,Upgrades!$B$3:$B$13,0))*1.15^(COUNTIF(Q$4:Q719,Q720)-COUNTIF(Q$4:Q719,""Sell_""&amp;Q720))))))"),"")</f>
        <v/>
      </c>
      <c r="V720" s="10" t="str">
        <f t="shared" si="11"/>
        <v/>
      </c>
      <c r="W720" s="68" t="str">
        <f t="shared" si="12"/>
        <v/>
      </c>
      <c r="X720" s="59" t="str">
        <f t="shared" si="13"/>
        <v/>
      </c>
      <c r="Y720" s="69" t="str">
        <f t="shared" si="14"/>
        <v/>
      </c>
      <c r="Z720" s="11"/>
    </row>
    <row r="721">
      <c r="A721" s="8"/>
      <c r="B721" s="56" t="str">
        <f t="shared" si="2"/>
        <v/>
      </c>
      <c r="C721" s="57"/>
      <c r="D721" s="10" t="str">
        <f>IFERROR(__xludf.DUMMYFUNCTION("IF(COUNTA(C721:C1350)=0,"""",IF(ISBLANK(C721),FALSE,IF(NOT(COUNTIF($AA$24:$AA$34,SUBSTITUTE(C721,""Sell_"",""""))),1,IF(REGEXMATCH(C721,""Sell_""),IF(COUNTIF(C$4:C721,SUBSTITUTE(C721,""Sell_"",""""))-COUNTIF(C$4:C720,C721)&lt;1,1),FALSE))))"),"")</f>
        <v/>
      </c>
      <c r="E721" s="59" t="str">
        <f t="array" ref="E721">IF(COUNTA(C721:C1350)=0,"",SUM((COUNTIF(C$4:C721,Upgrades!$B$3:$B$13)-COUNTIF(C$4:C721,"Sell_"&amp;Upgrades!$B$3:$B$13))*Upgrades!$D$3:$D$13))</f>
        <v/>
      </c>
      <c r="F721" s="66" t="str">
        <f>IFERROR(__xludf.DUMMYFUNCTION("IF(COUNTA(C721:C1350)=0,"""",IF(REGEXMATCH(INDEX(FILTER(C$4:C721,C$4:C721&lt;&gt;""""),ROWS(FILTER(C$4:C721,C$4:C721&lt;&gt;""""))),""^Sell_""),INDEX(FILTER(F$4:F720,C$4:C720&lt;&gt;""""),ROWS(FILTER(C$4:C720,C$4:C720&lt;&gt;""""))),$AC$5+E721))"),"")</f>
        <v/>
      </c>
      <c r="G721" s="10" t="str">
        <f>IFERROR(__xludf.DUMMYFUNCTION("IF(COUNTA(C721:C1350)=0,"""",IF(C721="""",0,IF(REGEXMATCH(C721,""^Sell_""),-ROUNDDOWN(ROUNDUP(INDEX(Upgrades!$C$3:$C$13,MATCH(SUBSTITUTE(C721,""Sell_"",""""),Upgrades!$B$3:$B$13,0))*1.15^(COUNTIF(C$4:C720,SUBSTITUTE(C721,""Sell_"",""""))-COUNTIF(C$4:C720,"&amp;"""Sell_""&amp;SUBSTITUTE(C721,""Sell_"",""""))))/2),ROUNDUP(INDEX(Upgrades!$C$3:$C$13,MATCH(C721,Upgrades!$B$3:$B$13,0))*1.15^(COUNTIF(C$4:C720,C721)-COUNTIF(C$4:C720,""Sell_""&amp;C721))))))"),"")</f>
        <v/>
      </c>
      <c r="H721" s="10" t="str">
        <f t="shared" si="3"/>
        <v/>
      </c>
      <c r="I721" s="68" t="str">
        <f t="shared" si="4"/>
        <v/>
      </c>
      <c r="J721" s="59" t="str">
        <f t="shared" si="5"/>
        <v/>
      </c>
      <c r="K721" s="69" t="str">
        <f t="shared" si="6"/>
        <v/>
      </c>
      <c r="L721" s="60" t="str">
        <f t="shared" si="7"/>
        <v/>
      </c>
      <c r="M721" s="61" t="str">
        <f>IFERROR(__xludf.DUMMYFUNCTION("IFS(AND(COUNTA(C721:C1350)=0,COUNTA(Q721:Q1350)=0),"""",OR(AND(K721&gt;=1000000000,OR(Y721&gt;=1000000000,COUNTA(Q721:Q1350)=0)),OR(Y721&gt;=1000000000,AND(COUNTA(C721:C1350)=0,P$3=TRUE))),
ROUNDDOWN((AB$1-AC$1)*MAX(INDEX(T$4:T1350,MATCH(LARGE(FILTER(Y$4:Y1350,Y$4"&amp;":Y1350&lt;1000000000),1),Y$4:Y1350)),INDEX(F$4:F1350,MATCH(LARGE(FILTER(K$4:K1350,K$4:K1350&lt;1000000000),1),K$4:K1350)))),AND(K721&lt;1000000000,COUNTA(C721:C1350)&gt;0,P$3=FALSE),
ROUNDDOWN(INDEX(Y$4:Y1350,MATCH(LARGE(FILTER(W$4:W1350,W$4:W1350&lt;=I721),1),W$4:W1350"&amp;"))+(I721-LARGE(FILTER(W$4:W1350,W$4:W1350&lt;=I721),1))*INDEX(T$4:T1350,MATCH(LARGE(FILTER(W$4:W1350,W$4:W1350&lt;=I721),1),W$4:W1350))-K721),1,
ROUNDDOWN(Y721-INDEX(K$4:K1350,MATCH(LARGE(FILTER(I$4:I1350,I$4:I1350&lt;=W721),1),I$4:I1350))-(W721-LARGE(FILTER(I$4:I"&amp;"1350,I$4:I1350&lt;=W721),1))*INDEX(F$4:F1350,MATCH(LARGE(FILTER(I$4:I1350,I$4:I1350&lt;=W721),1),I$4:I1350))))"),"")</f>
        <v/>
      </c>
      <c r="N721" s="60" t="str">
        <f t="shared" si="8"/>
        <v/>
      </c>
      <c r="O721" s="61" t="str">
        <f t="shared" si="9"/>
        <v/>
      </c>
      <c r="P721" s="56" t="str">
        <f t="shared" si="10"/>
        <v/>
      </c>
      <c r="Q721" s="62"/>
      <c r="R721" s="10" t="str">
        <f>IFERROR(__xludf.DUMMYFUNCTION("IF(COUNTA(Q721:Q1350)=0,"""",IF(ISBLANK(Q721),FALSE,IF(NOT(COUNTIF($AA$24:$AA$34,SUBSTITUTE(Q721,""Sell_"",""""))),1,IF(REGEXMATCH(Q721,""Sell_""),IF(COUNTIF(Q$4:Q721,SUBSTITUTE(Q721,""Sell_"",""""))-COUNTIF(Q$4:Q720,Q721)&lt;1,1),FALSE))))"),"")</f>
        <v/>
      </c>
      <c r="S721" s="59" t="str">
        <f t="array" ref="S721">IF(COUNTA(Q721:Q1350)=0,"",SUM((COUNTIF(Q$4:Q721,Upgrades!$B$3:$B$13)-COUNTIF(Q$4:Q721,"Sell_"&amp;Upgrades!$B$3:$B$13))*Upgrades!$D$3:$D$13))</f>
        <v/>
      </c>
      <c r="T721" s="66" t="str">
        <f>IFERROR(__xludf.DUMMYFUNCTION("IF(COUNTA(Q721:Q1350)=0,"""",IF(REGEXMATCH(INDEX(FILTER(Q$4:Q721,Q$4:Q721&lt;&gt;""""),ROWS(FILTER(Q$4:Q721,Q$4:Q721&lt;&gt;""""))),""^Sell_""),INDEX(FILTER(T$4:T720,Q$4:Q720&lt;&gt;""""),ROWS(FILTER(Q$4:Q720,Q$4:Q720&lt;&gt;""""))),$AD$5+S721))"),"")</f>
        <v/>
      </c>
      <c r="U721" s="10" t="str">
        <f>IFERROR(__xludf.DUMMYFUNCTION("IF(COUNTA(Q721:Q1350)=0,"""",IF(Q721="""",0,IF(REGEXMATCH(Q721,""^Sell_""),-ROUNDDOWN(ROUNDUP(INDEX(Upgrades!$C$3:$C$13,MATCH(SUBSTITUTE(Q721,""Sell_"",""""),Upgrades!$B$3:$B$13,0))*1.15^(COUNTIF(Q$4:Q720,SUBSTITUTE(Q721,""Sell_"",""""))-COUNTIF(Q$4:Q720,"&amp;"""Sell_""&amp;SUBSTITUTE(Q721,""Sell_"",""""))))/2),ROUNDUP(INDEX(Upgrades!$C$3:$C$13,MATCH(Q721,Upgrades!$B$3:$B$13,0))*1.15^(COUNTIF(Q$4:Q720,Q721)-COUNTIF(Q$4:Q720,""Sell_""&amp;Q721))))))"),"")</f>
        <v/>
      </c>
      <c r="V721" s="10" t="str">
        <f t="shared" si="11"/>
        <v/>
      </c>
      <c r="W721" s="68" t="str">
        <f t="shared" si="12"/>
        <v/>
      </c>
      <c r="X721" s="59" t="str">
        <f t="shared" si="13"/>
        <v/>
      </c>
      <c r="Y721" s="69" t="str">
        <f t="shared" si="14"/>
        <v/>
      </c>
      <c r="Z721" s="11"/>
    </row>
    <row r="722">
      <c r="A722" s="8"/>
      <c r="B722" s="56" t="str">
        <f t="shared" si="2"/>
        <v/>
      </c>
      <c r="C722" s="57"/>
      <c r="D722" s="10" t="str">
        <f>IFERROR(__xludf.DUMMYFUNCTION("IF(COUNTA(C722:C1350)=0,"""",IF(ISBLANK(C722),FALSE,IF(NOT(COUNTIF($AA$24:$AA$34,SUBSTITUTE(C722,""Sell_"",""""))),1,IF(REGEXMATCH(C722,""Sell_""),IF(COUNTIF(C$4:C722,SUBSTITUTE(C722,""Sell_"",""""))-COUNTIF(C$4:C721,C722)&lt;1,1),FALSE))))"),"")</f>
        <v/>
      </c>
      <c r="E722" s="59" t="str">
        <f t="array" ref="E722">IF(COUNTA(C722:C1350)=0,"",SUM((COUNTIF(C$4:C722,Upgrades!$B$3:$B$13)-COUNTIF(C$4:C722,"Sell_"&amp;Upgrades!$B$3:$B$13))*Upgrades!$D$3:$D$13))</f>
        <v/>
      </c>
      <c r="F722" s="66" t="str">
        <f>IFERROR(__xludf.DUMMYFUNCTION("IF(COUNTA(C722:C1350)=0,"""",IF(REGEXMATCH(INDEX(FILTER(C$4:C722,C$4:C722&lt;&gt;""""),ROWS(FILTER(C$4:C722,C$4:C722&lt;&gt;""""))),""^Sell_""),INDEX(FILTER(F$4:F721,C$4:C721&lt;&gt;""""),ROWS(FILTER(C$4:C721,C$4:C721&lt;&gt;""""))),$AC$5+E722))"),"")</f>
        <v/>
      </c>
      <c r="G722" s="10" t="str">
        <f>IFERROR(__xludf.DUMMYFUNCTION("IF(COUNTA(C722:C1350)=0,"""",IF(C722="""",0,IF(REGEXMATCH(C722,""^Sell_""),-ROUNDDOWN(ROUNDUP(INDEX(Upgrades!$C$3:$C$13,MATCH(SUBSTITUTE(C722,""Sell_"",""""),Upgrades!$B$3:$B$13,0))*1.15^(COUNTIF(C$4:C721,SUBSTITUTE(C722,""Sell_"",""""))-COUNTIF(C$4:C721,"&amp;"""Sell_""&amp;SUBSTITUTE(C722,""Sell_"",""""))))/2),ROUNDUP(INDEX(Upgrades!$C$3:$C$13,MATCH(C722,Upgrades!$B$3:$B$13,0))*1.15^(COUNTIF(C$4:C721,C722)-COUNTIF(C$4:C721,""Sell_""&amp;C722))))))"),"")</f>
        <v/>
      </c>
      <c r="H722" s="10" t="str">
        <f t="shared" si="3"/>
        <v/>
      </c>
      <c r="I722" s="68" t="str">
        <f t="shared" si="4"/>
        <v/>
      </c>
      <c r="J722" s="59" t="str">
        <f t="shared" si="5"/>
        <v/>
      </c>
      <c r="K722" s="69" t="str">
        <f t="shared" si="6"/>
        <v/>
      </c>
      <c r="L722" s="60" t="str">
        <f t="shared" si="7"/>
        <v/>
      </c>
      <c r="M722" s="61" t="str">
        <f>IFERROR(__xludf.DUMMYFUNCTION("IFS(AND(COUNTA(C722:C1350)=0,COUNTA(Q722:Q1350)=0),"""",OR(AND(K722&gt;=1000000000,OR(Y722&gt;=1000000000,COUNTA(Q722:Q1350)=0)),OR(Y722&gt;=1000000000,AND(COUNTA(C722:C1350)=0,P$3=TRUE))),
ROUNDDOWN((AB$1-AC$1)*MAX(INDEX(T$4:T1350,MATCH(LARGE(FILTER(Y$4:Y1350,Y$4"&amp;":Y1350&lt;1000000000),1),Y$4:Y1350)),INDEX(F$4:F1350,MATCH(LARGE(FILTER(K$4:K1350,K$4:K1350&lt;1000000000),1),K$4:K1350)))),AND(K722&lt;1000000000,COUNTA(C722:C1350)&gt;0,P$3=FALSE),
ROUNDDOWN(INDEX(Y$4:Y1350,MATCH(LARGE(FILTER(W$4:W1350,W$4:W1350&lt;=I722),1),W$4:W1350"&amp;"))+(I722-LARGE(FILTER(W$4:W1350,W$4:W1350&lt;=I722),1))*INDEX(T$4:T1350,MATCH(LARGE(FILTER(W$4:W1350,W$4:W1350&lt;=I722),1),W$4:W1350))-K722),1,
ROUNDDOWN(Y722-INDEX(K$4:K1350,MATCH(LARGE(FILTER(I$4:I1350,I$4:I1350&lt;=W722),1),I$4:I1350))-(W722-LARGE(FILTER(I$4:I"&amp;"1350,I$4:I1350&lt;=W722),1))*INDEX(F$4:F1350,MATCH(LARGE(FILTER(I$4:I1350,I$4:I1350&lt;=W722),1),I$4:I1350))))"),"")</f>
        <v/>
      </c>
      <c r="N722" s="60" t="str">
        <f t="shared" si="8"/>
        <v/>
      </c>
      <c r="O722" s="61" t="str">
        <f t="shared" si="9"/>
        <v/>
      </c>
      <c r="P722" s="56" t="str">
        <f t="shared" si="10"/>
        <v/>
      </c>
      <c r="Q722" s="62"/>
      <c r="R722" s="10" t="str">
        <f>IFERROR(__xludf.DUMMYFUNCTION("IF(COUNTA(Q722:Q1350)=0,"""",IF(ISBLANK(Q722),FALSE,IF(NOT(COUNTIF($AA$24:$AA$34,SUBSTITUTE(Q722,""Sell_"",""""))),1,IF(REGEXMATCH(Q722,""Sell_""),IF(COUNTIF(Q$4:Q722,SUBSTITUTE(Q722,""Sell_"",""""))-COUNTIF(Q$4:Q721,Q722)&lt;1,1),FALSE))))"),"")</f>
        <v/>
      </c>
      <c r="S722" s="59" t="str">
        <f t="array" ref="S722">IF(COUNTA(Q722:Q1350)=0,"",SUM((COUNTIF(Q$4:Q722,Upgrades!$B$3:$B$13)-COUNTIF(Q$4:Q722,"Sell_"&amp;Upgrades!$B$3:$B$13))*Upgrades!$D$3:$D$13))</f>
        <v/>
      </c>
      <c r="T722" s="66" t="str">
        <f>IFERROR(__xludf.DUMMYFUNCTION("IF(COUNTA(Q722:Q1350)=0,"""",IF(REGEXMATCH(INDEX(FILTER(Q$4:Q722,Q$4:Q722&lt;&gt;""""),ROWS(FILTER(Q$4:Q722,Q$4:Q722&lt;&gt;""""))),""^Sell_""),INDEX(FILTER(T$4:T721,Q$4:Q721&lt;&gt;""""),ROWS(FILTER(Q$4:Q721,Q$4:Q721&lt;&gt;""""))),$AD$5+S722))"),"")</f>
        <v/>
      </c>
      <c r="U722" s="10" t="str">
        <f>IFERROR(__xludf.DUMMYFUNCTION("IF(COUNTA(Q722:Q1350)=0,"""",IF(Q722="""",0,IF(REGEXMATCH(Q722,""^Sell_""),-ROUNDDOWN(ROUNDUP(INDEX(Upgrades!$C$3:$C$13,MATCH(SUBSTITUTE(Q722,""Sell_"",""""),Upgrades!$B$3:$B$13,0))*1.15^(COUNTIF(Q$4:Q721,SUBSTITUTE(Q722,""Sell_"",""""))-COUNTIF(Q$4:Q721,"&amp;"""Sell_""&amp;SUBSTITUTE(Q722,""Sell_"",""""))))/2),ROUNDUP(INDEX(Upgrades!$C$3:$C$13,MATCH(Q722,Upgrades!$B$3:$B$13,0))*1.15^(COUNTIF(Q$4:Q721,Q722)-COUNTIF(Q$4:Q721,""Sell_""&amp;Q722))))))"),"")</f>
        <v/>
      </c>
      <c r="V722" s="10" t="str">
        <f t="shared" si="11"/>
        <v/>
      </c>
      <c r="W722" s="68" t="str">
        <f t="shared" si="12"/>
        <v/>
      </c>
      <c r="X722" s="59" t="str">
        <f t="shared" si="13"/>
        <v/>
      </c>
      <c r="Y722" s="69" t="str">
        <f t="shared" si="14"/>
        <v/>
      </c>
      <c r="Z722" s="11"/>
    </row>
    <row r="723">
      <c r="A723" s="8"/>
      <c r="B723" s="56" t="str">
        <f t="shared" si="2"/>
        <v/>
      </c>
      <c r="C723" s="57"/>
      <c r="D723" s="10" t="str">
        <f>IFERROR(__xludf.DUMMYFUNCTION("IF(COUNTA(C723:C1350)=0,"""",IF(ISBLANK(C723),FALSE,IF(NOT(COUNTIF($AA$24:$AA$34,SUBSTITUTE(C723,""Sell_"",""""))),1,IF(REGEXMATCH(C723,""Sell_""),IF(COUNTIF(C$4:C723,SUBSTITUTE(C723,""Sell_"",""""))-COUNTIF(C$4:C722,C723)&lt;1,1),FALSE))))"),"")</f>
        <v/>
      </c>
      <c r="E723" s="59" t="str">
        <f t="array" ref="E723">IF(COUNTA(C723:C1350)=0,"",SUM((COUNTIF(C$4:C723,Upgrades!$B$3:$B$13)-COUNTIF(C$4:C723,"Sell_"&amp;Upgrades!$B$3:$B$13))*Upgrades!$D$3:$D$13))</f>
        <v/>
      </c>
      <c r="F723" s="66" t="str">
        <f>IFERROR(__xludf.DUMMYFUNCTION("IF(COUNTA(C723:C1350)=0,"""",IF(REGEXMATCH(INDEX(FILTER(C$4:C723,C$4:C723&lt;&gt;""""),ROWS(FILTER(C$4:C723,C$4:C723&lt;&gt;""""))),""^Sell_""),INDEX(FILTER(F$4:F722,C$4:C722&lt;&gt;""""),ROWS(FILTER(C$4:C722,C$4:C722&lt;&gt;""""))),$AC$5+E723))"),"")</f>
        <v/>
      </c>
      <c r="G723" s="10" t="str">
        <f>IFERROR(__xludf.DUMMYFUNCTION("IF(COUNTA(C723:C1350)=0,"""",IF(C723="""",0,IF(REGEXMATCH(C723,""^Sell_""),-ROUNDDOWN(ROUNDUP(INDEX(Upgrades!$C$3:$C$13,MATCH(SUBSTITUTE(C723,""Sell_"",""""),Upgrades!$B$3:$B$13,0))*1.15^(COUNTIF(C$4:C722,SUBSTITUTE(C723,""Sell_"",""""))-COUNTIF(C$4:C722,"&amp;"""Sell_""&amp;SUBSTITUTE(C723,""Sell_"",""""))))/2),ROUNDUP(INDEX(Upgrades!$C$3:$C$13,MATCH(C723,Upgrades!$B$3:$B$13,0))*1.15^(COUNTIF(C$4:C722,C723)-COUNTIF(C$4:C722,""Sell_""&amp;C723))))))"),"")</f>
        <v/>
      </c>
      <c r="H723" s="10" t="str">
        <f t="shared" si="3"/>
        <v/>
      </c>
      <c r="I723" s="68" t="str">
        <f t="shared" si="4"/>
        <v/>
      </c>
      <c r="J723" s="59" t="str">
        <f t="shared" si="5"/>
        <v/>
      </c>
      <c r="K723" s="69" t="str">
        <f t="shared" si="6"/>
        <v/>
      </c>
      <c r="L723" s="60" t="str">
        <f t="shared" si="7"/>
        <v/>
      </c>
      <c r="M723" s="61" t="str">
        <f>IFERROR(__xludf.DUMMYFUNCTION("IFS(AND(COUNTA(C723:C1350)=0,COUNTA(Q723:Q1350)=0),"""",OR(AND(K723&gt;=1000000000,OR(Y723&gt;=1000000000,COUNTA(Q723:Q1350)=0)),OR(Y723&gt;=1000000000,AND(COUNTA(C723:C1350)=0,P$3=TRUE))),
ROUNDDOWN((AB$1-AC$1)*MAX(INDEX(T$4:T1350,MATCH(LARGE(FILTER(Y$4:Y1350,Y$4"&amp;":Y1350&lt;1000000000),1),Y$4:Y1350)),INDEX(F$4:F1350,MATCH(LARGE(FILTER(K$4:K1350,K$4:K1350&lt;1000000000),1),K$4:K1350)))),AND(K723&lt;1000000000,COUNTA(C723:C1350)&gt;0,P$3=FALSE),
ROUNDDOWN(INDEX(Y$4:Y1350,MATCH(LARGE(FILTER(W$4:W1350,W$4:W1350&lt;=I723),1),W$4:W1350"&amp;"))+(I723-LARGE(FILTER(W$4:W1350,W$4:W1350&lt;=I723),1))*INDEX(T$4:T1350,MATCH(LARGE(FILTER(W$4:W1350,W$4:W1350&lt;=I723),1),W$4:W1350))-K723),1,
ROUNDDOWN(Y723-INDEX(K$4:K1350,MATCH(LARGE(FILTER(I$4:I1350,I$4:I1350&lt;=W723),1),I$4:I1350))-(W723-LARGE(FILTER(I$4:I"&amp;"1350,I$4:I1350&lt;=W723),1))*INDEX(F$4:F1350,MATCH(LARGE(FILTER(I$4:I1350,I$4:I1350&lt;=W723),1),I$4:I1350))))"),"")</f>
        <v/>
      </c>
      <c r="N723" s="60" t="str">
        <f t="shared" si="8"/>
        <v/>
      </c>
      <c r="O723" s="61" t="str">
        <f t="shared" si="9"/>
        <v/>
      </c>
      <c r="P723" s="56" t="str">
        <f t="shared" si="10"/>
        <v/>
      </c>
      <c r="Q723" s="62"/>
      <c r="R723" s="10" t="str">
        <f>IFERROR(__xludf.DUMMYFUNCTION("IF(COUNTA(Q723:Q1350)=0,"""",IF(ISBLANK(Q723),FALSE,IF(NOT(COUNTIF($AA$24:$AA$34,SUBSTITUTE(Q723,""Sell_"",""""))),1,IF(REGEXMATCH(Q723,""Sell_""),IF(COUNTIF(Q$4:Q723,SUBSTITUTE(Q723,""Sell_"",""""))-COUNTIF(Q$4:Q722,Q723)&lt;1,1),FALSE))))"),"")</f>
        <v/>
      </c>
      <c r="S723" s="59" t="str">
        <f t="array" ref="S723">IF(COUNTA(Q723:Q1350)=0,"",SUM((COUNTIF(Q$4:Q723,Upgrades!$B$3:$B$13)-COUNTIF(Q$4:Q723,"Sell_"&amp;Upgrades!$B$3:$B$13))*Upgrades!$D$3:$D$13))</f>
        <v/>
      </c>
      <c r="T723" s="66" t="str">
        <f>IFERROR(__xludf.DUMMYFUNCTION("IF(COUNTA(Q723:Q1350)=0,"""",IF(REGEXMATCH(INDEX(FILTER(Q$4:Q723,Q$4:Q723&lt;&gt;""""),ROWS(FILTER(Q$4:Q723,Q$4:Q723&lt;&gt;""""))),""^Sell_""),INDEX(FILTER(T$4:T722,Q$4:Q722&lt;&gt;""""),ROWS(FILTER(Q$4:Q722,Q$4:Q722&lt;&gt;""""))),$AD$5+S723))"),"")</f>
        <v/>
      </c>
      <c r="U723" s="10" t="str">
        <f>IFERROR(__xludf.DUMMYFUNCTION("IF(COUNTA(Q723:Q1350)=0,"""",IF(Q723="""",0,IF(REGEXMATCH(Q723,""^Sell_""),-ROUNDDOWN(ROUNDUP(INDEX(Upgrades!$C$3:$C$13,MATCH(SUBSTITUTE(Q723,""Sell_"",""""),Upgrades!$B$3:$B$13,0))*1.15^(COUNTIF(Q$4:Q722,SUBSTITUTE(Q723,""Sell_"",""""))-COUNTIF(Q$4:Q722,"&amp;"""Sell_""&amp;SUBSTITUTE(Q723,""Sell_"",""""))))/2),ROUNDUP(INDEX(Upgrades!$C$3:$C$13,MATCH(Q723,Upgrades!$B$3:$B$13,0))*1.15^(COUNTIF(Q$4:Q722,Q723)-COUNTIF(Q$4:Q722,""Sell_""&amp;Q723))))))"),"")</f>
        <v/>
      </c>
      <c r="V723" s="10" t="str">
        <f t="shared" si="11"/>
        <v/>
      </c>
      <c r="W723" s="68" t="str">
        <f t="shared" si="12"/>
        <v/>
      </c>
      <c r="X723" s="59" t="str">
        <f t="shared" si="13"/>
        <v/>
      </c>
      <c r="Y723" s="69" t="str">
        <f t="shared" si="14"/>
        <v/>
      </c>
      <c r="Z723" s="11"/>
    </row>
    <row r="724">
      <c r="A724" s="8"/>
      <c r="B724" s="56" t="str">
        <f t="shared" si="2"/>
        <v/>
      </c>
      <c r="C724" s="57"/>
      <c r="D724" s="10" t="str">
        <f>IFERROR(__xludf.DUMMYFUNCTION("IF(COUNTA(C724:C1350)=0,"""",IF(ISBLANK(C724),FALSE,IF(NOT(COUNTIF($AA$24:$AA$34,SUBSTITUTE(C724,""Sell_"",""""))),1,IF(REGEXMATCH(C724,""Sell_""),IF(COUNTIF(C$4:C724,SUBSTITUTE(C724,""Sell_"",""""))-COUNTIF(C$4:C723,C724)&lt;1,1),FALSE))))"),"")</f>
        <v/>
      </c>
      <c r="E724" s="59" t="str">
        <f t="array" ref="E724">IF(COUNTA(C724:C1350)=0,"",SUM((COUNTIF(C$4:C724,Upgrades!$B$3:$B$13)-COUNTIF(C$4:C724,"Sell_"&amp;Upgrades!$B$3:$B$13))*Upgrades!$D$3:$D$13))</f>
        <v/>
      </c>
      <c r="F724" s="66" t="str">
        <f>IFERROR(__xludf.DUMMYFUNCTION("IF(COUNTA(C724:C1350)=0,"""",IF(REGEXMATCH(INDEX(FILTER(C$4:C724,C$4:C724&lt;&gt;""""),ROWS(FILTER(C$4:C724,C$4:C724&lt;&gt;""""))),""^Sell_""),INDEX(FILTER(F$4:F723,C$4:C723&lt;&gt;""""),ROWS(FILTER(C$4:C723,C$4:C723&lt;&gt;""""))),$AC$5+E724))"),"")</f>
        <v/>
      </c>
      <c r="G724" s="10" t="str">
        <f>IFERROR(__xludf.DUMMYFUNCTION("IF(COUNTA(C724:C1350)=0,"""",IF(C724="""",0,IF(REGEXMATCH(C724,""^Sell_""),-ROUNDDOWN(ROUNDUP(INDEX(Upgrades!$C$3:$C$13,MATCH(SUBSTITUTE(C724,""Sell_"",""""),Upgrades!$B$3:$B$13,0))*1.15^(COUNTIF(C$4:C723,SUBSTITUTE(C724,""Sell_"",""""))-COUNTIF(C$4:C723,"&amp;"""Sell_""&amp;SUBSTITUTE(C724,""Sell_"",""""))))/2),ROUNDUP(INDEX(Upgrades!$C$3:$C$13,MATCH(C724,Upgrades!$B$3:$B$13,0))*1.15^(COUNTIF(C$4:C723,C724)-COUNTIF(C$4:C723,""Sell_""&amp;C724))))))"),"")</f>
        <v/>
      </c>
      <c r="H724" s="10" t="str">
        <f t="shared" si="3"/>
        <v/>
      </c>
      <c r="I724" s="68" t="str">
        <f t="shared" si="4"/>
        <v/>
      </c>
      <c r="J724" s="59" t="str">
        <f t="shared" si="5"/>
        <v/>
      </c>
      <c r="K724" s="69" t="str">
        <f t="shared" si="6"/>
        <v/>
      </c>
      <c r="L724" s="60" t="str">
        <f t="shared" si="7"/>
        <v/>
      </c>
      <c r="M724" s="61" t="str">
        <f>IFERROR(__xludf.DUMMYFUNCTION("IFS(AND(COUNTA(C724:C1350)=0,COUNTA(Q724:Q1350)=0),"""",OR(AND(K724&gt;=1000000000,OR(Y724&gt;=1000000000,COUNTA(Q724:Q1350)=0)),OR(Y724&gt;=1000000000,AND(COUNTA(C724:C1350)=0,P$3=TRUE))),
ROUNDDOWN((AB$1-AC$1)*MAX(INDEX(T$4:T1350,MATCH(LARGE(FILTER(Y$4:Y1350,Y$4"&amp;":Y1350&lt;1000000000),1),Y$4:Y1350)),INDEX(F$4:F1350,MATCH(LARGE(FILTER(K$4:K1350,K$4:K1350&lt;1000000000),1),K$4:K1350)))),AND(K724&lt;1000000000,COUNTA(C724:C1350)&gt;0,P$3=FALSE),
ROUNDDOWN(INDEX(Y$4:Y1350,MATCH(LARGE(FILTER(W$4:W1350,W$4:W1350&lt;=I724),1),W$4:W1350"&amp;"))+(I724-LARGE(FILTER(W$4:W1350,W$4:W1350&lt;=I724),1))*INDEX(T$4:T1350,MATCH(LARGE(FILTER(W$4:W1350,W$4:W1350&lt;=I724),1),W$4:W1350))-K724),1,
ROUNDDOWN(Y724-INDEX(K$4:K1350,MATCH(LARGE(FILTER(I$4:I1350,I$4:I1350&lt;=W724),1),I$4:I1350))-(W724-LARGE(FILTER(I$4:I"&amp;"1350,I$4:I1350&lt;=W724),1))*INDEX(F$4:F1350,MATCH(LARGE(FILTER(I$4:I1350,I$4:I1350&lt;=W724),1),I$4:I1350))))"),"")</f>
        <v/>
      </c>
      <c r="N724" s="60" t="str">
        <f t="shared" si="8"/>
        <v/>
      </c>
      <c r="O724" s="61" t="str">
        <f t="shared" si="9"/>
        <v/>
      </c>
      <c r="P724" s="56" t="str">
        <f t="shared" si="10"/>
        <v/>
      </c>
      <c r="Q724" s="62"/>
      <c r="R724" s="10" t="str">
        <f>IFERROR(__xludf.DUMMYFUNCTION("IF(COUNTA(Q724:Q1350)=0,"""",IF(ISBLANK(Q724),FALSE,IF(NOT(COUNTIF($AA$24:$AA$34,SUBSTITUTE(Q724,""Sell_"",""""))),1,IF(REGEXMATCH(Q724,""Sell_""),IF(COUNTIF(Q$4:Q724,SUBSTITUTE(Q724,""Sell_"",""""))-COUNTIF(Q$4:Q723,Q724)&lt;1,1),FALSE))))"),"")</f>
        <v/>
      </c>
      <c r="S724" s="59" t="str">
        <f t="array" ref="S724">IF(COUNTA(Q724:Q1350)=0,"",SUM((COUNTIF(Q$4:Q724,Upgrades!$B$3:$B$13)-COUNTIF(Q$4:Q724,"Sell_"&amp;Upgrades!$B$3:$B$13))*Upgrades!$D$3:$D$13))</f>
        <v/>
      </c>
      <c r="T724" s="66" t="str">
        <f>IFERROR(__xludf.DUMMYFUNCTION("IF(COUNTA(Q724:Q1350)=0,"""",IF(REGEXMATCH(INDEX(FILTER(Q$4:Q724,Q$4:Q724&lt;&gt;""""),ROWS(FILTER(Q$4:Q724,Q$4:Q724&lt;&gt;""""))),""^Sell_""),INDEX(FILTER(T$4:T723,Q$4:Q723&lt;&gt;""""),ROWS(FILTER(Q$4:Q723,Q$4:Q723&lt;&gt;""""))),$AD$5+S724))"),"")</f>
        <v/>
      </c>
      <c r="U724" s="10" t="str">
        <f>IFERROR(__xludf.DUMMYFUNCTION("IF(COUNTA(Q724:Q1350)=0,"""",IF(Q724="""",0,IF(REGEXMATCH(Q724,""^Sell_""),-ROUNDDOWN(ROUNDUP(INDEX(Upgrades!$C$3:$C$13,MATCH(SUBSTITUTE(Q724,""Sell_"",""""),Upgrades!$B$3:$B$13,0))*1.15^(COUNTIF(Q$4:Q723,SUBSTITUTE(Q724,""Sell_"",""""))-COUNTIF(Q$4:Q723,"&amp;"""Sell_""&amp;SUBSTITUTE(Q724,""Sell_"",""""))))/2),ROUNDUP(INDEX(Upgrades!$C$3:$C$13,MATCH(Q724,Upgrades!$B$3:$B$13,0))*1.15^(COUNTIF(Q$4:Q723,Q724)-COUNTIF(Q$4:Q723,""Sell_""&amp;Q724))))))"),"")</f>
        <v/>
      </c>
      <c r="V724" s="10" t="str">
        <f t="shared" si="11"/>
        <v/>
      </c>
      <c r="W724" s="68" t="str">
        <f t="shared" si="12"/>
        <v/>
      </c>
      <c r="X724" s="59" t="str">
        <f t="shared" si="13"/>
        <v/>
      </c>
      <c r="Y724" s="69" t="str">
        <f t="shared" si="14"/>
        <v/>
      </c>
      <c r="Z724" s="11"/>
    </row>
    <row r="725">
      <c r="A725" s="8"/>
      <c r="B725" s="56" t="str">
        <f t="shared" si="2"/>
        <v/>
      </c>
      <c r="C725" s="57"/>
      <c r="D725" s="10" t="str">
        <f>IFERROR(__xludf.DUMMYFUNCTION("IF(COUNTA(C725:C1350)=0,"""",IF(ISBLANK(C725),FALSE,IF(NOT(COUNTIF($AA$24:$AA$34,SUBSTITUTE(C725,""Sell_"",""""))),1,IF(REGEXMATCH(C725,""Sell_""),IF(COUNTIF(C$4:C725,SUBSTITUTE(C725,""Sell_"",""""))-COUNTIF(C$4:C724,C725)&lt;1,1),FALSE))))"),"")</f>
        <v/>
      </c>
      <c r="E725" s="59" t="str">
        <f t="array" ref="E725">IF(COUNTA(C725:C1350)=0,"",SUM((COUNTIF(C$4:C725,Upgrades!$B$3:$B$13)-COUNTIF(C$4:C725,"Sell_"&amp;Upgrades!$B$3:$B$13))*Upgrades!$D$3:$D$13))</f>
        <v/>
      </c>
      <c r="F725" s="66" t="str">
        <f>IFERROR(__xludf.DUMMYFUNCTION("IF(COUNTA(C725:C1350)=0,"""",IF(REGEXMATCH(INDEX(FILTER(C$4:C725,C$4:C725&lt;&gt;""""),ROWS(FILTER(C$4:C725,C$4:C725&lt;&gt;""""))),""^Sell_""),INDEX(FILTER(F$4:F724,C$4:C724&lt;&gt;""""),ROWS(FILTER(C$4:C724,C$4:C724&lt;&gt;""""))),$AC$5+E725))"),"")</f>
        <v/>
      </c>
      <c r="G725" s="10" t="str">
        <f>IFERROR(__xludf.DUMMYFUNCTION("IF(COUNTA(C725:C1350)=0,"""",IF(C725="""",0,IF(REGEXMATCH(C725,""^Sell_""),-ROUNDDOWN(ROUNDUP(INDEX(Upgrades!$C$3:$C$13,MATCH(SUBSTITUTE(C725,""Sell_"",""""),Upgrades!$B$3:$B$13,0))*1.15^(COUNTIF(C$4:C724,SUBSTITUTE(C725,""Sell_"",""""))-COUNTIF(C$4:C724,"&amp;"""Sell_""&amp;SUBSTITUTE(C725,""Sell_"",""""))))/2),ROUNDUP(INDEX(Upgrades!$C$3:$C$13,MATCH(C725,Upgrades!$B$3:$B$13,0))*1.15^(COUNTIF(C$4:C724,C725)-COUNTIF(C$4:C724,""Sell_""&amp;C725))))))"),"")</f>
        <v/>
      </c>
      <c r="H725" s="10" t="str">
        <f t="shared" si="3"/>
        <v/>
      </c>
      <c r="I725" s="68" t="str">
        <f t="shared" si="4"/>
        <v/>
      </c>
      <c r="J725" s="59" t="str">
        <f t="shared" si="5"/>
        <v/>
      </c>
      <c r="K725" s="69" t="str">
        <f t="shared" si="6"/>
        <v/>
      </c>
      <c r="L725" s="60" t="str">
        <f t="shared" si="7"/>
        <v/>
      </c>
      <c r="M725" s="61" t="str">
        <f>IFERROR(__xludf.DUMMYFUNCTION("IFS(AND(COUNTA(C725:C1350)=0,COUNTA(Q725:Q1350)=0),"""",OR(AND(K725&gt;=1000000000,OR(Y725&gt;=1000000000,COUNTA(Q725:Q1350)=0)),OR(Y725&gt;=1000000000,AND(COUNTA(C725:C1350)=0,P$3=TRUE))),
ROUNDDOWN((AB$1-AC$1)*MAX(INDEX(T$4:T1350,MATCH(LARGE(FILTER(Y$4:Y1350,Y$4"&amp;":Y1350&lt;1000000000),1),Y$4:Y1350)),INDEX(F$4:F1350,MATCH(LARGE(FILTER(K$4:K1350,K$4:K1350&lt;1000000000),1),K$4:K1350)))),AND(K725&lt;1000000000,COUNTA(C725:C1350)&gt;0,P$3=FALSE),
ROUNDDOWN(INDEX(Y$4:Y1350,MATCH(LARGE(FILTER(W$4:W1350,W$4:W1350&lt;=I725),1),W$4:W1350"&amp;"))+(I725-LARGE(FILTER(W$4:W1350,W$4:W1350&lt;=I725),1))*INDEX(T$4:T1350,MATCH(LARGE(FILTER(W$4:W1350,W$4:W1350&lt;=I725),1),W$4:W1350))-K725),1,
ROUNDDOWN(Y725-INDEX(K$4:K1350,MATCH(LARGE(FILTER(I$4:I1350,I$4:I1350&lt;=W725),1),I$4:I1350))-(W725-LARGE(FILTER(I$4:I"&amp;"1350,I$4:I1350&lt;=W725),1))*INDEX(F$4:F1350,MATCH(LARGE(FILTER(I$4:I1350,I$4:I1350&lt;=W725),1),I$4:I1350))))"),"")</f>
        <v/>
      </c>
      <c r="N725" s="60" t="str">
        <f t="shared" si="8"/>
        <v/>
      </c>
      <c r="O725" s="61" t="str">
        <f t="shared" si="9"/>
        <v/>
      </c>
      <c r="P725" s="56" t="str">
        <f t="shared" si="10"/>
        <v/>
      </c>
      <c r="Q725" s="62"/>
      <c r="R725" s="10" t="str">
        <f>IFERROR(__xludf.DUMMYFUNCTION("IF(COUNTA(Q725:Q1350)=0,"""",IF(ISBLANK(Q725),FALSE,IF(NOT(COUNTIF($AA$24:$AA$34,SUBSTITUTE(Q725,""Sell_"",""""))),1,IF(REGEXMATCH(Q725,""Sell_""),IF(COUNTIF(Q$4:Q725,SUBSTITUTE(Q725,""Sell_"",""""))-COUNTIF(Q$4:Q724,Q725)&lt;1,1),FALSE))))"),"")</f>
        <v/>
      </c>
      <c r="S725" s="59" t="str">
        <f t="array" ref="S725">IF(COUNTA(Q725:Q1350)=0,"",SUM((COUNTIF(Q$4:Q725,Upgrades!$B$3:$B$13)-COUNTIF(Q$4:Q725,"Sell_"&amp;Upgrades!$B$3:$B$13))*Upgrades!$D$3:$D$13))</f>
        <v/>
      </c>
      <c r="T725" s="66" t="str">
        <f>IFERROR(__xludf.DUMMYFUNCTION("IF(COUNTA(Q725:Q1350)=0,"""",IF(REGEXMATCH(INDEX(FILTER(Q$4:Q725,Q$4:Q725&lt;&gt;""""),ROWS(FILTER(Q$4:Q725,Q$4:Q725&lt;&gt;""""))),""^Sell_""),INDEX(FILTER(T$4:T724,Q$4:Q724&lt;&gt;""""),ROWS(FILTER(Q$4:Q724,Q$4:Q724&lt;&gt;""""))),$AD$5+S725))"),"")</f>
        <v/>
      </c>
      <c r="U725" s="10" t="str">
        <f>IFERROR(__xludf.DUMMYFUNCTION("IF(COUNTA(Q725:Q1350)=0,"""",IF(Q725="""",0,IF(REGEXMATCH(Q725,""^Sell_""),-ROUNDDOWN(ROUNDUP(INDEX(Upgrades!$C$3:$C$13,MATCH(SUBSTITUTE(Q725,""Sell_"",""""),Upgrades!$B$3:$B$13,0))*1.15^(COUNTIF(Q$4:Q724,SUBSTITUTE(Q725,""Sell_"",""""))-COUNTIF(Q$4:Q724,"&amp;"""Sell_""&amp;SUBSTITUTE(Q725,""Sell_"",""""))))/2),ROUNDUP(INDEX(Upgrades!$C$3:$C$13,MATCH(Q725,Upgrades!$B$3:$B$13,0))*1.15^(COUNTIF(Q$4:Q724,Q725)-COUNTIF(Q$4:Q724,""Sell_""&amp;Q725))))))"),"")</f>
        <v/>
      </c>
      <c r="V725" s="10" t="str">
        <f t="shared" si="11"/>
        <v/>
      </c>
      <c r="W725" s="68" t="str">
        <f t="shared" si="12"/>
        <v/>
      </c>
      <c r="X725" s="59" t="str">
        <f t="shared" si="13"/>
        <v/>
      </c>
      <c r="Y725" s="69" t="str">
        <f t="shared" si="14"/>
        <v/>
      </c>
      <c r="Z725" s="11"/>
    </row>
    <row r="726">
      <c r="A726" s="8"/>
      <c r="B726" s="56" t="str">
        <f t="shared" si="2"/>
        <v/>
      </c>
      <c r="C726" s="57"/>
      <c r="D726" s="10" t="str">
        <f>IFERROR(__xludf.DUMMYFUNCTION("IF(COUNTA(C726:C1350)=0,"""",IF(ISBLANK(C726),FALSE,IF(NOT(COUNTIF($AA$24:$AA$34,SUBSTITUTE(C726,""Sell_"",""""))),1,IF(REGEXMATCH(C726,""Sell_""),IF(COUNTIF(C$4:C726,SUBSTITUTE(C726,""Sell_"",""""))-COUNTIF(C$4:C725,C726)&lt;1,1),FALSE))))"),"")</f>
        <v/>
      </c>
      <c r="E726" s="59" t="str">
        <f t="array" ref="E726">IF(COUNTA(C726:C1350)=0,"",SUM((COUNTIF(C$4:C726,Upgrades!$B$3:$B$13)-COUNTIF(C$4:C726,"Sell_"&amp;Upgrades!$B$3:$B$13))*Upgrades!$D$3:$D$13))</f>
        <v/>
      </c>
      <c r="F726" s="66" t="str">
        <f>IFERROR(__xludf.DUMMYFUNCTION("IF(COUNTA(C726:C1350)=0,"""",IF(REGEXMATCH(INDEX(FILTER(C$4:C726,C$4:C726&lt;&gt;""""),ROWS(FILTER(C$4:C726,C$4:C726&lt;&gt;""""))),""^Sell_""),INDEX(FILTER(F$4:F725,C$4:C725&lt;&gt;""""),ROWS(FILTER(C$4:C725,C$4:C725&lt;&gt;""""))),$AC$5+E726))"),"")</f>
        <v/>
      </c>
      <c r="G726" s="10" t="str">
        <f>IFERROR(__xludf.DUMMYFUNCTION("IF(COUNTA(C726:C1350)=0,"""",IF(C726="""",0,IF(REGEXMATCH(C726,""^Sell_""),-ROUNDDOWN(ROUNDUP(INDEX(Upgrades!$C$3:$C$13,MATCH(SUBSTITUTE(C726,""Sell_"",""""),Upgrades!$B$3:$B$13,0))*1.15^(COUNTIF(C$4:C725,SUBSTITUTE(C726,""Sell_"",""""))-COUNTIF(C$4:C725,"&amp;"""Sell_""&amp;SUBSTITUTE(C726,""Sell_"",""""))))/2),ROUNDUP(INDEX(Upgrades!$C$3:$C$13,MATCH(C726,Upgrades!$B$3:$B$13,0))*1.15^(COUNTIF(C$4:C725,C726)-COUNTIF(C$4:C725,""Sell_""&amp;C726))))))"),"")</f>
        <v/>
      </c>
      <c r="H726" s="10" t="str">
        <f t="shared" si="3"/>
        <v/>
      </c>
      <c r="I726" s="68" t="str">
        <f t="shared" si="4"/>
        <v/>
      </c>
      <c r="J726" s="59" t="str">
        <f t="shared" si="5"/>
        <v/>
      </c>
      <c r="K726" s="69" t="str">
        <f t="shared" si="6"/>
        <v/>
      </c>
      <c r="L726" s="60" t="str">
        <f t="shared" si="7"/>
        <v/>
      </c>
      <c r="M726" s="61" t="str">
        <f>IFERROR(__xludf.DUMMYFUNCTION("IFS(AND(COUNTA(C726:C1350)=0,COUNTA(Q726:Q1350)=0),"""",OR(AND(K726&gt;=1000000000,OR(Y726&gt;=1000000000,COUNTA(Q726:Q1350)=0)),OR(Y726&gt;=1000000000,AND(COUNTA(C726:C1350)=0,P$3=TRUE))),
ROUNDDOWN((AB$1-AC$1)*MAX(INDEX(T$4:T1350,MATCH(LARGE(FILTER(Y$4:Y1350,Y$4"&amp;":Y1350&lt;1000000000),1),Y$4:Y1350)),INDEX(F$4:F1350,MATCH(LARGE(FILTER(K$4:K1350,K$4:K1350&lt;1000000000),1),K$4:K1350)))),AND(K726&lt;1000000000,COUNTA(C726:C1350)&gt;0,P$3=FALSE),
ROUNDDOWN(INDEX(Y$4:Y1350,MATCH(LARGE(FILTER(W$4:W1350,W$4:W1350&lt;=I726),1),W$4:W1350"&amp;"))+(I726-LARGE(FILTER(W$4:W1350,W$4:W1350&lt;=I726),1))*INDEX(T$4:T1350,MATCH(LARGE(FILTER(W$4:W1350,W$4:W1350&lt;=I726),1),W$4:W1350))-K726),1,
ROUNDDOWN(Y726-INDEX(K$4:K1350,MATCH(LARGE(FILTER(I$4:I1350,I$4:I1350&lt;=W726),1),I$4:I1350))-(W726-LARGE(FILTER(I$4:I"&amp;"1350,I$4:I1350&lt;=W726),1))*INDEX(F$4:F1350,MATCH(LARGE(FILTER(I$4:I1350,I$4:I1350&lt;=W726),1),I$4:I1350))))"),"")</f>
        <v/>
      </c>
      <c r="N726" s="60" t="str">
        <f t="shared" si="8"/>
        <v/>
      </c>
      <c r="O726" s="61" t="str">
        <f t="shared" si="9"/>
        <v/>
      </c>
      <c r="P726" s="56" t="str">
        <f t="shared" si="10"/>
        <v/>
      </c>
      <c r="Q726" s="62"/>
      <c r="R726" s="10" t="str">
        <f>IFERROR(__xludf.DUMMYFUNCTION("IF(COUNTA(Q726:Q1350)=0,"""",IF(ISBLANK(Q726),FALSE,IF(NOT(COUNTIF($AA$24:$AA$34,SUBSTITUTE(Q726,""Sell_"",""""))),1,IF(REGEXMATCH(Q726,""Sell_""),IF(COUNTIF(Q$4:Q726,SUBSTITUTE(Q726,""Sell_"",""""))-COUNTIF(Q$4:Q725,Q726)&lt;1,1),FALSE))))"),"")</f>
        <v/>
      </c>
      <c r="S726" s="59" t="str">
        <f t="array" ref="S726">IF(COUNTA(Q726:Q1350)=0,"",SUM((COUNTIF(Q$4:Q726,Upgrades!$B$3:$B$13)-COUNTIF(Q$4:Q726,"Sell_"&amp;Upgrades!$B$3:$B$13))*Upgrades!$D$3:$D$13))</f>
        <v/>
      </c>
      <c r="T726" s="66" t="str">
        <f>IFERROR(__xludf.DUMMYFUNCTION("IF(COUNTA(Q726:Q1350)=0,"""",IF(REGEXMATCH(INDEX(FILTER(Q$4:Q726,Q$4:Q726&lt;&gt;""""),ROWS(FILTER(Q$4:Q726,Q$4:Q726&lt;&gt;""""))),""^Sell_""),INDEX(FILTER(T$4:T725,Q$4:Q725&lt;&gt;""""),ROWS(FILTER(Q$4:Q725,Q$4:Q725&lt;&gt;""""))),$AD$5+S726))"),"")</f>
        <v/>
      </c>
      <c r="U726" s="10" t="str">
        <f>IFERROR(__xludf.DUMMYFUNCTION("IF(COUNTA(Q726:Q1350)=0,"""",IF(Q726="""",0,IF(REGEXMATCH(Q726,""^Sell_""),-ROUNDDOWN(ROUNDUP(INDEX(Upgrades!$C$3:$C$13,MATCH(SUBSTITUTE(Q726,""Sell_"",""""),Upgrades!$B$3:$B$13,0))*1.15^(COUNTIF(Q$4:Q725,SUBSTITUTE(Q726,""Sell_"",""""))-COUNTIF(Q$4:Q725,"&amp;"""Sell_""&amp;SUBSTITUTE(Q726,""Sell_"",""""))))/2),ROUNDUP(INDEX(Upgrades!$C$3:$C$13,MATCH(Q726,Upgrades!$B$3:$B$13,0))*1.15^(COUNTIF(Q$4:Q725,Q726)-COUNTIF(Q$4:Q725,""Sell_""&amp;Q726))))))"),"")</f>
        <v/>
      </c>
      <c r="V726" s="10" t="str">
        <f t="shared" si="11"/>
        <v/>
      </c>
      <c r="W726" s="68" t="str">
        <f t="shared" si="12"/>
        <v/>
      </c>
      <c r="X726" s="59" t="str">
        <f t="shared" si="13"/>
        <v/>
      </c>
      <c r="Y726" s="69" t="str">
        <f t="shared" si="14"/>
        <v/>
      </c>
      <c r="Z726" s="11"/>
    </row>
    <row r="727">
      <c r="A727" s="8"/>
      <c r="B727" s="56" t="str">
        <f t="shared" si="2"/>
        <v/>
      </c>
      <c r="C727" s="57"/>
      <c r="D727" s="10" t="str">
        <f>IFERROR(__xludf.DUMMYFUNCTION("IF(COUNTA(C727:C1350)=0,"""",IF(ISBLANK(C727),FALSE,IF(NOT(COUNTIF($AA$24:$AA$34,SUBSTITUTE(C727,""Sell_"",""""))),1,IF(REGEXMATCH(C727,""Sell_""),IF(COUNTIF(C$4:C727,SUBSTITUTE(C727,""Sell_"",""""))-COUNTIF(C$4:C726,C727)&lt;1,1),FALSE))))"),"")</f>
        <v/>
      </c>
      <c r="E727" s="59" t="str">
        <f t="array" ref="E727">IF(COUNTA(C727:C1350)=0,"",SUM((COUNTIF(C$4:C727,Upgrades!$B$3:$B$13)-COUNTIF(C$4:C727,"Sell_"&amp;Upgrades!$B$3:$B$13))*Upgrades!$D$3:$D$13))</f>
        <v/>
      </c>
      <c r="F727" s="66" t="str">
        <f>IFERROR(__xludf.DUMMYFUNCTION("IF(COUNTA(C727:C1350)=0,"""",IF(REGEXMATCH(INDEX(FILTER(C$4:C727,C$4:C727&lt;&gt;""""),ROWS(FILTER(C$4:C727,C$4:C727&lt;&gt;""""))),""^Sell_""),INDEX(FILTER(F$4:F726,C$4:C726&lt;&gt;""""),ROWS(FILTER(C$4:C726,C$4:C726&lt;&gt;""""))),$AC$5+E727))"),"")</f>
        <v/>
      </c>
      <c r="G727" s="10" t="str">
        <f>IFERROR(__xludf.DUMMYFUNCTION("IF(COUNTA(C727:C1350)=0,"""",IF(C727="""",0,IF(REGEXMATCH(C727,""^Sell_""),-ROUNDDOWN(ROUNDUP(INDEX(Upgrades!$C$3:$C$13,MATCH(SUBSTITUTE(C727,""Sell_"",""""),Upgrades!$B$3:$B$13,0))*1.15^(COUNTIF(C$4:C726,SUBSTITUTE(C727,""Sell_"",""""))-COUNTIF(C$4:C726,"&amp;"""Sell_""&amp;SUBSTITUTE(C727,""Sell_"",""""))))/2),ROUNDUP(INDEX(Upgrades!$C$3:$C$13,MATCH(C727,Upgrades!$B$3:$B$13,0))*1.15^(COUNTIF(C$4:C726,C727)-COUNTIF(C$4:C726,""Sell_""&amp;C727))))))"),"")</f>
        <v/>
      </c>
      <c r="H727" s="10" t="str">
        <f t="shared" si="3"/>
        <v/>
      </c>
      <c r="I727" s="68" t="str">
        <f t="shared" si="4"/>
        <v/>
      </c>
      <c r="J727" s="59" t="str">
        <f t="shared" si="5"/>
        <v/>
      </c>
      <c r="K727" s="69" t="str">
        <f t="shared" si="6"/>
        <v/>
      </c>
      <c r="L727" s="60" t="str">
        <f t="shared" si="7"/>
        <v/>
      </c>
      <c r="M727" s="61" t="str">
        <f>IFERROR(__xludf.DUMMYFUNCTION("IFS(AND(COUNTA(C727:C1350)=0,COUNTA(Q727:Q1350)=0),"""",OR(AND(K727&gt;=1000000000,OR(Y727&gt;=1000000000,COUNTA(Q727:Q1350)=0)),OR(Y727&gt;=1000000000,AND(COUNTA(C727:C1350)=0,P$3=TRUE))),
ROUNDDOWN((AB$1-AC$1)*MAX(INDEX(T$4:T1350,MATCH(LARGE(FILTER(Y$4:Y1350,Y$4"&amp;":Y1350&lt;1000000000),1),Y$4:Y1350)),INDEX(F$4:F1350,MATCH(LARGE(FILTER(K$4:K1350,K$4:K1350&lt;1000000000),1),K$4:K1350)))),AND(K727&lt;1000000000,COUNTA(C727:C1350)&gt;0,P$3=FALSE),
ROUNDDOWN(INDEX(Y$4:Y1350,MATCH(LARGE(FILTER(W$4:W1350,W$4:W1350&lt;=I727),1),W$4:W1350"&amp;"))+(I727-LARGE(FILTER(W$4:W1350,W$4:W1350&lt;=I727),1))*INDEX(T$4:T1350,MATCH(LARGE(FILTER(W$4:W1350,W$4:W1350&lt;=I727),1),W$4:W1350))-K727),1,
ROUNDDOWN(Y727-INDEX(K$4:K1350,MATCH(LARGE(FILTER(I$4:I1350,I$4:I1350&lt;=W727),1),I$4:I1350))-(W727-LARGE(FILTER(I$4:I"&amp;"1350,I$4:I1350&lt;=W727),1))*INDEX(F$4:F1350,MATCH(LARGE(FILTER(I$4:I1350,I$4:I1350&lt;=W727),1),I$4:I1350))))"),"")</f>
        <v/>
      </c>
      <c r="N727" s="60" t="str">
        <f t="shared" si="8"/>
        <v/>
      </c>
      <c r="O727" s="61" t="str">
        <f t="shared" si="9"/>
        <v/>
      </c>
      <c r="P727" s="56" t="str">
        <f t="shared" si="10"/>
        <v/>
      </c>
      <c r="Q727" s="62"/>
      <c r="R727" s="10" t="str">
        <f>IFERROR(__xludf.DUMMYFUNCTION("IF(COUNTA(Q727:Q1350)=0,"""",IF(ISBLANK(Q727),FALSE,IF(NOT(COUNTIF($AA$24:$AA$34,SUBSTITUTE(Q727,""Sell_"",""""))),1,IF(REGEXMATCH(Q727,""Sell_""),IF(COUNTIF(Q$4:Q727,SUBSTITUTE(Q727,""Sell_"",""""))-COUNTIF(Q$4:Q726,Q727)&lt;1,1),FALSE))))"),"")</f>
        <v/>
      </c>
      <c r="S727" s="59" t="str">
        <f t="array" ref="S727">IF(COUNTA(Q727:Q1350)=0,"",SUM((COUNTIF(Q$4:Q727,Upgrades!$B$3:$B$13)-COUNTIF(Q$4:Q727,"Sell_"&amp;Upgrades!$B$3:$B$13))*Upgrades!$D$3:$D$13))</f>
        <v/>
      </c>
      <c r="T727" s="66" t="str">
        <f>IFERROR(__xludf.DUMMYFUNCTION("IF(COUNTA(Q727:Q1350)=0,"""",IF(REGEXMATCH(INDEX(FILTER(Q$4:Q727,Q$4:Q727&lt;&gt;""""),ROWS(FILTER(Q$4:Q727,Q$4:Q727&lt;&gt;""""))),""^Sell_""),INDEX(FILTER(T$4:T726,Q$4:Q726&lt;&gt;""""),ROWS(FILTER(Q$4:Q726,Q$4:Q726&lt;&gt;""""))),$AD$5+S727))"),"")</f>
        <v/>
      </c>
      <c r="U727" s="10" t="str">
        <f>IFERROR(__xludf.DUMMYFUNCTION("IF(COUNTA(Q727:Q1350)=0,"""",IF(Q727="""",0,IF(REGEXMATCH(Q727,""^Sell_""),-ROUNDDOWN(ROUNDUP(INDEX(Upgrades!$C$3:$C$13,MATCH(SUBSTITUTE(Q727,""Sell_"",""""),Upgrades!$B$3:$B$13,0))*1.15^(COUNTIF(Q$4:Q726,SUBSTITUTE(Q727,""Sell_"",""""))-COUNTIF(Q$4:Q726,"&amp;"""Sell_""&amp;SUBSTITUTE(Q727,""Sell_"",""""))))/2),ROUNDUP(INDEX(Upgrades!$C$3:$C$13,MATCH(Q727,Upgrades!$B$3:$B$13,0))*1.15^(COUNTIF(Q$4:Q726,Q727)-COUNTIF(Q$4:Q726,""Sell_""&amp;Q727))))))"),"")</f>
        <v/>
      </c>
      <c r="V727" s="10" t="str">
        <f t="shared" si="11"/>
        <v/>
      </c>
      <c r="W727" s="68" t="str">
        <f t="shared" si="12"/>
        <v/>
      </c>
      <c r="X727" s="59" t="str">
        <f t="shared" si="13"/>
        <v/>
      </c>
      <c r="Y727" s="69" t="str">
        <f t="shared" si="14"/>
        <v/>
      </c>
      <c r="Z727" s="11"/>
    </row>
    <row r="728">
      <c r="A728" s="8"/>
      <c r="B728" s="56" t="str">
        <f t="shared" si="2"/>
        <v/>
      </c>
      <c r="C728" s="57"/>
      <c r="D728" s="10" t="str">
        <f>IFERROR(__xludf.DUMMYFUNCTION("IF(COUNTA(C728:C1350)=0,"""",IF(ISBLANK(C728),FALSE,IF(NOT(COUNTIF($AA$24:$AA$34,SUBSTITUTE(C728,""Sell_"",""""))),1,IF(REGEXMATCH(C728,""Sell_""),IF(COUNTIF(C$4:C728,SUBSTITUTE(C728,""Sell_"",""""))-COUNTIF(C$4:C727,C728)&lt;1,1),FALSE))))"),"")</f>
        <v/>
      </c>
      <c r="E728" s="59" t="str">
        <f t="array" ref="E728">IF(COUNTA(C728:C1350)=0,"",SUM((COUNTIF(C$4:C728,Upgrades!$B$3:$B$13)-COUNTIF(C$4:C728,"Sell_"&amp;Upgrades!$B$3:$B$13))*Upgrades!$D$3:$D$13))</f>
        <v/>
      </c>
      <c r="F728" s="66" t="str">
        <f>IFERROR(__xludf.DUMMYFUNCTION("IF(COUNTA(C728:C1350)=0,"""",IF(REGEXMATCH(INDEX(FILTER(C$4:C728,C$4:C728&lt;&gt;""""),ROWS(FILTER(C$4:C728,C$4:C728&lt;&gt;""""))),""^Sell_""),INDEX(FILTER(F$4:F727,C$4:C727&lt;&gt;""""),ROWS(FILTER(C$4:C727,C$4:C727&lt;&gt;""""))),$AC$5+E728))"),"")</f>
        <v/>
      </c>
      <c r="G728" s="10" t="str">
        <f>IFERROR(__xludf.DUMMYFUNCTION("IF(COUNTA(C728:C1350)=0,"""",IF(C728="""",0,IF(REGEXMATCH(C728,""^Sell_""),-ROUNDDOWN(ROUNDUP(INDEX(Upgrades!$C$3:$C$13,MATCH(SUBSTITUTE(C728,""Sell_"",""""),Upgrades!$B$3:$B$13,0))*1.15^(COUNTIF(C$4:C727,SUBSTITUTE(C728,""Sell_"",""""))-COUNTIF(C$4:C727,"&amp;"""Sell_""&amp;SUBSTITUTE(C728,""Sell_"",""""))))/2),ROUNDUP(INDEX(Upgrades!$C$3:$C$13,MATCH(C728,Upgrades!$B$3:$B$13,0))*1.15^(COUNTIF(C$4:C727,C728)-COUNTIF(C$4:C727,""Sell_""&amp;C728))))))"),"")</f>
        <v/>
      </c>
      <c r="H728" s="10" t="str">
        <f t="shared" si="3"/>
        <v/>
      </c>
      <c r="I728" s="68" t="str">
        <f t="shared" si="4"/>
        <v/>
      </c>
      <c r="J728" s="59" t="str">
        <f t="shared" si="5"/>
        <v/>
      </c>
      <c r="K728" s="69" t="str">
        <f t="shared" si="6"/>
        <v/>
      </c>
      <c r="L728" s="60" t="str">
        <f t="shared" si="7"/>
        <v/>
      </c>
      <c r="M728" s="61" t="str">
        <f>IFERROR(__xludf.DUMMYFUNCTION("IFS(AND(COUNTA(C728:C1350)=0,COUNTA(Q728:Q1350)=0),"""",OR(AND(K728&gt;=1000000000,OR(Y728&gt;=1000000000,COUNTA(Q728:Q1350)=0)),OR(Y728&gt;=1000000000,AND(COUNTA(C728:C1350)=0,P$3=TRUE))),
ROUNDDOWN((AB$1-AC$1)*MAX(INDEX(T$4:T1350,MATCH(LARGE(FILTER(Y$4:Y1350,Y$4"&amp;":Y1350&lt;1000000000),1),Y$4:Y1350)),INDEX(F$4:F1350,MATCH(LARGE(FILTER(K$4:K1350,K$4:K1350&lt;1000000000),1),K$4:K1350)))),AND(K728&lt;1000000000,COUNTA(C728:C1350)&gt;0,P$3=FALSE),
ROUNDDOWN(INDEX(Y$4:Y1350,MATCH(LARGE(FILTER(W$4:W1350,W$4:W1350&lt;=I728),1),W$4:W1350"&amp;"))+(I728-LARGE(FILTER(W$4:W1350,W$4:W1350&lt;=I728),1))*INDEX(T$4:T1350,MATCH(LARGE(FILTER(W$4:W1350,W$4:W1350&lt;=I728),1),W$4:W1350))-K728),1,
ROUNDDOWN(Y728-INDEX(K$4:K1350,MATCH(LARGE(FILTER(I$4:I1350,I$4:I1350&lt;=W728),1),I$4:I1350))-(W728-LARGE(FILTER(I$4:I"&amp;"1350,I$4:I1350&lt;=W728),1))*INDEX(F$4:F1350,MATCH(LARGE(FILTER(I$4:I1350,I$4:I1350&lt;=W728),1),I$4:I1350))))"),"")</f>
        <v/>
      </c>
      <c r="N728" s="60" t="str">
        <f t="shared" si="8"/>
        <v/>
      </c>
      <c r="O728" s="61" t="str">
        <f t="shared" si="9"/>
        <v/>
      </c>
      <c r="P728" s="56" t="str">
        <f t="shared" si="10"/>
        <v/>
      </c>
      <c r="Q728" s="62"/>
      <c r="R728" s="10" t="str">
        <f>IFERROR(__xludf.DUMMYFUNCTION("IF(COUNTA(Q728:Q1350)=0,"""",IF(ISBLANK(Q728),FALSE,IF(NOT(COUNTIF($AA$24:$AA$34,SUBSTITUTE(Q728,""Sell_"",""""))),1,IF(REGEXMATCH(Q728,""Sell_""),IF(COUNTIF(Q$4:Q728,SUBSTITUTE(Q728,""Sell_"",""""))-COUNTIF(Q$4:Q727,Q728)&lt;1,1),FALSE))))"),"")</f>
        <v/>
      </c>
      <c r="S728" s="59" t="str">
        <f t="array" ref="S728">IF(COUNTA(Q728:Q1350)=0,"",SUM((COUNTIF(Q$4:Q728,Upgrades!$B$3:$B$13)-COUNTIF(Q$4:Q728,"Sell_"&amp;Upgrades!$B$3:$B$13))*Upgrades!$D$3:$D$13))</f>
        <v/>
      </c>
      <c r="T728" s="66" t="str">
        <f>IFERROR(__xludf.DUMMYFUNCTION("IF(COUNTA(Q728:Q1350)=0,"""",IF(REGEXMATCH(INDEX(FILTER(Q$4:Q728,Q$4:Q728&lt;&gt;""""),ROWS(FILTER(Q$4:Q728,Q$4:Q728&lt;&gt;""""))),""^Sell_""),INDEX(FILTER(T$4:T727,Q$4:Q727&lt;&gt;""""),ROWS(FILTER(Q$4:Q727,Q$4:Q727&lt;&gt;""""))),$AD$5+S728))"),"")</f>
        <v/>
      </c>
      <c r="U728" s="10" t="str">
        <f>IFERROR(__xludf.DUMMYFUNCTION("IF(COUNTA(Q728:Q1350)=0,"""",IF(Q728="""",0,IF(REGEXMATCH(Q728,""^Sell_""),-ROUNDDOWN(ROUNDUP(INDEX(Upgrades!$C$3:$C$13,MATCH(SUBSTITUTE(Q728,""Sell_"",""""),Upgrades!$B$3:$B$13,0))*1.15^(COUNTIF(Q$4:Q727,SUBSTITUTE(Q728,""Sell_"",""""))-COUNTIF(Q$4:Q727,"&amp;"""Sell_""&amp;SUBSTITUTE(Q728,""Sell_"",""""))))/2),ROUNDUP(INDEX(Upgrades!$C$3:$C$13,MATCH(Q728,Upgrades!$B$3:$B$13,0))*1.15^(COUNTIF(Q$4:Q727,Q728)-COUNTIF(Q$4:Q727,""Sell_""&amp;Q728))))))"),"")</f>
        <v/>
      </c>
      <c r="V728" s="10" t="str">
        <f t="shared" si="11"/>
        <v/>
      </c>
      <c r="W728" s="68" t="str">
        <f t="shared" si="12"/>
        <v/>
      </c>
      <c r="X728" s="59" t="str">
        <f t="shared" si="13"/>
        <v/>
      </c>
      <c r="Y728" s="69" t="str">
        <f t="shared" si="14"/>
        <v/>
      </c>
      <c r="Z728" s="11"/>
    </row>
    <row r="729">
      <c r="A729" s="8"/>
      <c r="B729" s="56" t="str">
        <f t="shared" si="2"/>
        <v/>
      </c>
      <c r="C729" s="57"/>
      <c r="D729" s="10" t="str">
        <f>IFERROR(__xludf.DUMMYFUNCTION("IF(COUNTA(C729:C1350)=0,"""",IF(ISBLANK(C729),FALSE,IF(NOT(COUNTIF($AA$24:$AA$34,SUBSTITUTE(C729,""Sell_"",""""))),1,IF(REGEXMATCH(C729,""Sell_""),IF(COUNTIF(C$4:C729,SUBSTITUTE(C729,""Sell_"",""""))-COUNTIF(C$4:C728,C729)&lt;1,1),FALSE))))"),"")</f>
        <v/>
      </c>
      <c r="E729" s="59" t="str">
        <f t="array" ref="E729">IF(COUNTA(C729:C1350)=0,"",SUM((COUNTIF(C$4:C729,Upgrades!$B$3:$B$13)-COUNTIF(C$4:C729,"Sell_"&amp;Upgrades!$B$3:$B$13))*Upgrades!$D$3:$D$13))</f>
        <v/>
      </c>
      <c r="F729" s="66" t="str">
        <f>IFERROR(__xludf.DUMMYFUNCTION("IF(COUNTA(C729:C1350)=0,"""",IF(REGEXMATCH(INDEX(FILTER(C$4:C729,C$4:C729&lt;&gt;""""),ROWS(FILTER(C$4:C729,C$4:C729&lt;&gt;""""))),""^Sell_""),INDEX(FILTER(F$4:F728,C$4:C728&lt;&gt;""""),ROWS(FILTER(C$4:C728,C$4:C728&lt;&gt;""""))),$AC$5+E729))"),"")</f>
        <v/>
      </c>
      <c r="G729" s="10" t="str">
        <f>IFERROR(__xludf.DUMMYFUNCTION("IF(COUNTA(C729:C1350)=0,"""",IF(C729="""",0,IF(REGEXMATCH(C729,""^Sell_""),-ROUNDDOWN(ROUNDUP(INDEX(Upgrades!$C$3:$C$13,MATCH(SUBSTITUTE(C729,""Sell_"",""""),Upgrades!$B$3:$B$13,0))*1.15^(COUNTIF(C$4:C728,SUBSTITUTE(C729,""Sell_"",""""))-COUNTIF(C$4:C728,"&amp;"""Sell_""&amp;SUBSTITUTE(C729,""Sell_"",""""))))/2),ROUNDUP(INDEX(Upgrades!$C$3:$C$13,MATCH(C729,Upgrades!$B$3:$B$13,0))*1.15^(COUNTIF(C$4:C728,C729)-COUNTIF(C$4:C728,""Sell_""&amp;C729))))))"),"")</f>
        <v/>
      </c>
      <c r="H729" s="10" t="str">
        <f t="shared" si="3"/>
        <v/>
      </c>
      <c r="I729" s="68" t="str">
        <f t="shared" si="4"/>
        <v/>
      </c>
      <c r="J729" s="59" t="str">
        <f t="shared" si="5"/>
        <v/>
      </c>
      <c r="K729" s="69" t="str">
        <f t="shared" si="6"/>
        <v/>
      </c>
      <c r="L729" s="60" t="str">
        <f t="shared" si="7"/>
        <v/>
      </c>
      <c r="M729" s="61" t="str">
        <f>IFERROR(__xludf.DUMMYFUNCTION("IFS(AND(COUNTA(C729:C1350)=0,COUNTA(Q729:Q1350)=0),"""",OR(AND(K729&gt;=1000000000,OR(Y729&gt;=1000000000,COUNTA(Q729:Q1350)=0)),OR(Y729&gt;=1000000000,AND(COUNTA(C729:C1350)=0,P$3=TRUE))),
ROUNDDOWN((AB$1-AC$1)*MAX(INDEX(T$4:T1350,MATCH(LARGE(FILTER(Y$4:Y1350,Y$4"&amp;":Y1350&lt;1000000000),1),Y$4:Y1350)),INDEX(F$4:F1350,MATCH(LARGE(FILTER(K$4:K1350,K$4:K1350&lt;1000000000),1),K$4:K1350)))),AND(K729&lt;1000000000,COUNTA(C729:C1350)&gt;0,P$3=FALSE),
ROUNDDOWN(INDEX(Y$4:Y1350,MATCH(LARGE(FILTER(W$4:W1350,W$4:W1350&lt;=I729),1),W$4:W1350"&amp;"))+(I729-LARGE(FILTER(W$4:W1350,W$4:W1350&lt;=I729),1))*INDEX(T$4:T1350,MATCH(LARGE(FILTER(W$4:W1350,W$4:W1350&lt;=I729),1),W$4:W1350))-K729),1,
ROUNDDOWN(Y729-INDEX(K$4:K1350,MATCH(LARGE(FILTER(I$4:I1350,I$4:I1350&lt;=W729),1),I$4:I1350))-(W729-LARGE(FILTER(I$4:I"&amp;"1350,I$4:I1350&lt;=W729),1))*INDEX(F$4:F1350,MATCH(LARGE(FILTER(I$4:I1350,I$4:I1350&lt;=W729),1),I$4:I1350))))"),"")</f>
        <v/>
      </c>
      <c r="N729" s="60" t="str">
        <f t="shared" si="8"/>
        <v/>
      </c>
      <c r="O729" s="61" t="str">
        <f t="shared" si="9"/>
        <v/>
      </c>
      <c r="P729" s="56" t="str">
        <f t="shared" si="10"/>
        <v/>
      </c>
      <c r="Q729" s="62"/>
      <c r="R729" s="10" t="str">
        <f>IFERROR(__xludf.DUMMYFUNCTION("IF(COUNTA(Q729:Q1350)=0,"""",IF(ISBLANK(Q729),FALSE,IF(NOT(COUNTIF($AA$24:$AA$34,SUBSTITUTE(Q729,""Sell_"",""""))),1,IF(REGEXMATCH(Q729,""Sell_""),IF(COUNTIF(Q$4:Q729,SUBSTITUTE(Q729,""Sell_"",""""))-COUNTIF(Q$4:Q728,Q729)&lt;1,1),FALSE))))"),"")</f>
        <v/>
      </c>
      <c r="S729" s="59" t="str">
        <f t="array" ref="S729">IF(COUNTA(Q729:Q1350)=0,"",SUM((COUNTIF(Q$4:Q729,Upgrades!$B$3:$B$13)-COUNTIF(Q$4:Q729,"Sell_"&amp;Upgrades!$B$3:$B$13))*Upgrades!$D$3:$D$13))</f>
        <v/>
      </c>
      <c r="T729" s="66" t="str">
        <f>IFERROR(__xludf.DUMMYFUNCTION("IF(COUNTA(Q729:Q1350)=0,"""",IF(REGEXMATCH(INDEX(FILTER(Q$4:Q729,Q$4:Q729&lt;&gt;""""),ROWS(FILTER(Q$4:Q729,Q$4:Q729&lt;&gt;""""))),""^Sell_""),INDEX(FILTER(T$4:T728,Q$4:Q728&lt;&gt;""""),ROWS(FILTER(Q$4:Q728,Q$4:Q728&lt;&gt;""""))),$AD$5+S729))"),"")</f>
        <v/>
      </c>
      <c r="U729" s="10" t="str">
        <f>IFERROR(__xludf.DUMMYFUNCTION("IF(COUNTA(Q729:Q1350)=0,"""",IF(Q729="""",0,IF(REGEXMATCH(Q729,""^Sell_""),-ROUNDDOWN(ROUNDUP(INDEX(Upgrades!$C$3:$C$13,MATCH(SUBSTITUTE(Q729,""Sell_"",""""),Upgrades!$B$3:$B$13,0))*1.15^(COUNTIF(Q$4:Q728,SUBSTITUTE(Q729,""Sell_"",""""))-COUNTIF(Q$4:Q728,"&amp;"""Sell_""&amp;SUBSTITUTE(Q729,""Sell_"",""""))))/2),ROUNDUP(INDEX(Upgrades!$C$3:$C$13,MATCH(Q729,Upgrades!$B$3:$B$13,0))*1.15^(COUNTIF(Q$4:Q728,Q729)-COUNTIF(Q$4:Q728,""Sell_""&amp;Q729))))))"),"")</f>
        <v/>
      </c>
      <c r="V729" s="10" t="str">
        <f t="shared" si="11"/>
        <v/>
      </c>
      <c r="W729" s="68" t="str">
        <f t="shared" si="12"/>
        <v/>
      </c>
      <c r="X729" s="59" t="str">
        <f t="shared" si="13"/>
        <v/>
      </c>
      <c r="Y729" s="69" t="str">
        <f t="shared" si="14"/>
        <v/>
      </c>
      <c r="Z729" s="11"/>
    </row>
    <row r="730">
      <c r="A730" s="8"/>
      <c r="B730" s="56" t="str">
        <f t="shared" si="2"/>
        <v/>
      </c>
      <c r="C730" s="57"/>
      <c r="D730" s="10" t="str">
        <f>IFERROR(__xludf.DUMMYFUNCTION("IF(COUNTA(C730:C1350)=0,"""",IF(ISBLANK(C730),FALSE,IF(NOT(COUNTIF($AA$24:$AA$34,SUBSTITUTE(C730,""Sell_"",""""))),1,IF(REGEXMATCH(C730,""Sell_""),IF(COUNTIF(C$4:C730,SUBSTITUTE(C730,""Sell_"",""""))-COUNTIF(C$4:C729,C730)&lt;1,1),FALSE))))"),"")</f>
        <v/>
      </c>
      <c r="E730" s="59" t="str">
        <f t="array" ref="E730">IF(COUNTA(C730:C1350)=0,"",SUM((COUNTIF(C$4:C730,Upgrades!$B$3:$B$13)-COUNTIF(C$4:C730,"Sell_"&amp;Upgrades!$B$3:$B$13))*Upgrades!$D$3:$D$13))</f>
        <v/>
      </c>
      <c r="F730" s="66" t="str">
        <f>IFERROR(__xludf.DUMMYFUNCTION("IF(COUNTA(C730:C1350)=0,"""",IF(REGEXMATCH(INDEX(FILTER(C$4:C730,C$4:C730&lt;&gt;""""),ROWS(FILTER(C$4:C730,C$4:C730&lt;&gt;""""))),""^Sell_""),INDEX(FILTER(F$4:F729,C$4:C729&lt;&gt;""""),ROWS(FILTER(C$4:C729,C$4:C729&lt;&gt;""""))),$AC$5+E730))"),"")</f>
        <v/>
      </c>
      <c r="G730" s="10" t="str">
        <f>IFERROR(__xludf.DUMMYFUNCTION("IF(COUNTA(C730:C1350)=0,"""",IF(C730="""",0,IF(REGEXMATCH(C730,""^Sell_""),-ROUNDDOWN(ROUNDUP(INDEX(Upgrades!$C$3:$C$13,MATCH(SUBSTITUTE(C730,""Sell_"",""""),Upgrades!$B$3:$B$13,0))*1.15^(COUNTIF(C$4:C729,SUBSTITUTE(C730,""Sell_"",""""))-COUNTIF(C$4:C729,"&amp;"""Sell_""&amp;SUBSTITUTE(C730,""Sell_"",""""))))/2),ROUNDUP(INDEX(Upgrades!$C$3:$C$13,MATCH(C730,Upgrades!$B$3:$B$13,0))*1.15^(COUNTIF(C$4:C729,C730)-COUNTIF(C$4:C729,""Sell_""&amp;C730))))))"),"")</f>
        <v/>
      </c>
      <c r="H730" s="10" t="str">
        <f t="shared" si="3"/>
        <v/>
      </c>
      <c r="I730" s="68" t="str">
        <f t="shared" si="4"/>
        <v/>
      </c>
      <c r="J730" s="59" t="str">
        <f t="shared" si="5"/>
        <v/>
      </c>
      <c r="K730" s="69" t="str">
        <f t="shared" si="6"/>
        <v/>
      </c>
      <c r="L730" s="60" t="str">
        <f t="shared" si="7"/>
        <v/>
      </c>
      <c r="M730" s="61" t="str">
        <f>IFERROR(__xludf.DUMMYFUNCTION("IFS(AND(COUNTA(C730:C1350)=0,COUNTA(Q730:Q1350)=0),"""",OR(AND(K730&gt;=1000000000,OR(Y730&gt;=1000000000,COUNTA(Q730:Q1350)=0)),OR(Y730&gt;=1000000000,AND(COUNTA(C730:C1350)=0,P$3=TRUE))),
ROUNDDOWN((AB$1-AC$1)*MAX(INDEX(T$4:T1350,MATCH(LARGE(FILTER(Y$4:Y1350,Y$4"&amp;":Y1350&lt;1000000000),1),Y$4:Y1350)),INDEX(F$4:F1350,MATCH(LARGE(FILTER(K$4:K1350,K$4:K1350&lt;1000000000),1),K$4:K1350)))),AND(K730&lt;1000000000,COUNTA(C730:C1350)&gt;0,P$3=FALSE),
ROUNDDOWN(INDEX(Y$4:Y1350,MATCH(LARGE(FILTER(W$4:W1350,W$4:W1350&lt;=I730),1),W$4:W1350"&amp;"))+(I730-LARGE(FILTER(W$4:W1350,W$4:W1350&lt;=I730),1))*INDEX(T$4:T1350,MATCH(LARGE(FILTER(W$4:W1350,W$4:W1350&lt;=I730),1),W$4:W1350))-K730),1,
ROUNDDOWN(Y730-INDEX(K$4:K1350,MATCH(LARGE(FILTER(I$4:I1350,I$4:I1350&lt;=W730),1),I$4:I1350))-(W730-LARGE(FILTER(I$4:I"&amp;"1350,I$4:I1350&lt;=W730),1))*INDEX(F$4:F1350,MATCH(LARGE(FILTER(I$4:I1350,I$4:I1350&lt;=W730),1),I$4:I1350))))"),"")</f>
        <v/>
      </c>
      <c r="N730" s="60" t="str">
        <f t="shared" si="8"/>
        <v/>
      </c>
      <c r="O730" s="61" t="str">
        <f t="shared" si="9"/>
        <v/>
      </c>
      <c r="P730" s="56" t="str">
        <f t="shared" si="10"/>
        <v/>
      </c>
      <c r="Q730" s="62"/>
      <c r="R730" s="10" t="str">
        <f>IFERROR(__xludf.DUMMYFUNCTION("IF(COUNTA(Q730:Q1350)=0,"""",IF(ISBLANK(Q730),FALSE,IF(NOT(COUNTIF($AA$24:$AA$34,SUBSTITUTE(Q730,""Sell_"",""""))),1,IF(REGEXMATCH(Q730,""Sell_""),IF(COUNTIF(Q$4:Q730,SUBSTITUTE(Q730,""Sell_"",""""))-COUNTIF(Q$4:Q729,Q730)&lt;1,1),FALSE))))"),"")</f>
        <v/>
      </c>
      <c r="S730" s="59" t="str">
        <f t="array" ref="S730">IF(COUNTA(Q730:Q1350)=0,"",SUM((COUNTIF(Q$4:Q730,Upgrades!$B$3:$B$13)-COUNTIF(Q$4:Q730,"Sell_"&amp;Upgrades!$B$3:$B$13))*Upgrades!$D$3:$D$13))</f>
        <v/>
      </c>
      <c r="T730" s="66" t="str">
        <f>IFERROR(__xludf.DUMMYFUNCTION("IF(COUNTA(Q730:Q1350)=0,"""",IF(REGEXMATCH(INDEX(FILTER(Q$4:Q730,Q$4:Q730&lt;&gt;""""),ROWS(FILTER(Q$4:Q730,Q$4:Q730&lt;&gt;""""))),""^Sell_""),INDEX(FILTER(T$4:T729,Q$4:Q729&lt;&gt;""""),ROWS(FILTER(Q$4:Q729,Q$4:Q729&lt;&gt;""""))),$AD$5+S730))"),"")</f>
        <v/>
      </c>
      <c r="U730" s="10" t="str">
        <f>IFERROR(__xludf.DUMMYFUNCTION("IF(COUNTA(Q730:Q1350)=0,"""",IF(Q730="""",0,IF(REGEXMATCH(Q730,""^Sell_""),-ROUNDDOWN(ROUNDUP(INDEX(Upgrades!$C$3:$C$13,MATCH(SUBSTITUTE(Q730,""Sell_"",""""),Upgrades!$B$3:$B$13,0))*1.15^(COUNTIF(Q$4:Q729,SUBSTITUTE(Q730,""Sell_"",""""))-COUNTIF(Q$4:Q729,"&amp;"""Sell_""&amp;SUBSTITUTE(Q730,""Sell_"",""""))))/2),ROUNDUP(INDEX(Upgrades!$C$3:$C$13,MATCH(Q730,Upgrades!$B$3:$B$13,0))*1.15^(COUNTIF(Q$4:Q729,Q730)-COUNTIF(Q$4:Q729,""Sell_""&amp;Q730))))))"),"")</f>
        <v/>
      </c>
      <c r="V730" s="10" t="str">
        <f t="shared" si="11"/>
        <v/>
      </c>
      <c r="W730" s="68" t="str">
        <f t="shared" si="12"/>
        <v/>
      </c>
      <c r="X730" s="59" t="str">
        <f t="shared" si="13"/>
        <v/>
      </c>
      <c r="Y730" s="69" t="str">
        <f t="shared" si="14"/>
        <v/>
      </c>
      <c r="Z730" s="11"/>
    </row>
    <row r="731">
      <c r="A731" s="8"/>
      <c r="B731" s="56" t="str">
        <f t="shared" si="2"/>
        <v/>
      </c>
      <c r="C731" s="57"/>
      <c r="D731" s="10" t="str">
        <f>IFERROR(__xludf.DUMMYFUNCTION("IF(COUNTA(C731:C1350)=0,"""",IF(ISBLANK(C731),FALSE,IF(NOT(COUNTIF($AA$24:$AA$34,SUBSTITUTE(C731,""Sell_"",""""))),1,IF(REGEXMATCH(C731,""Sell_""),IF(COUNTIF(C$4:C731,SUBSTITUTE(C731,""Sell_"",""""))-COUNTIF(C$4:C730,C731)&lt;1,1),FALSE))))"),"")</f>
        <v/>
      </c>
      <c r="E731" s="59" t="str">
        <f t="array" ref="E731">IF(COUNTA(C731:C1350)=0,"",SUM((COUNTIF(C$4:C731,Upgrades!$B$3:$B$13)-COUNTIF(C$4:C731,"Sell_"&amp;Upgrades!$B$3:$B$13))*Upgrades!$D$3:$D$13))</f>
        <v/>
      </c>
      <c r="F731" s="66" t="str">
        <f>IFERROR(__xludf.DUMMYFUNCTION("IF(COUNTA(C731:C1350)=0,"""",IF(REGEXMATCH(INDEX(FILTER(C$4:C731,C$4:C731&lt;&gt;""""),ROWS(FILTER(C$4:C731,C$4:C731&lt;&gt;""""))),""^Sell_""),INDEX(FILTER(F$4:F730,C$4:C730&lt;&gt;""""),ROWS(FILTER(C$4:C730,C$4:C730&lt;&gt;""""))),$AC$5+E731))"),"")</f>
        <v/>
      </c>
      <c r="G731" s="10" t="str">
        <f>IFERROR(__xludf.DUMMYFUNCTION("IF(COUNTA(C731:C1350)=0,"""",IF(C731="""",0,IF(REGEXMATCH(C731,""^Sell_""),-ROUNDDOWN(ROUNDUP(INDEX(Upgrades!$C$3:$C$13,MATCH(SUBSTITUTE(C731,""Sell_"",""""),Upgrades!$B$3:$B$13,0))*1.15^(COUNTIF(C$4:C730,SUBSTITUTE(C731,""Sell_"",""""))-COUNTIF(C$4:C730,"&amp;"""Sell_""&amp;SUBSTITUTE(C731,""Sell_"",""""))))/2),ROUNDUP(INDEX(Upgrades!$C$3:$C$13,MATCH(C731,Upgrades!$B$3:$B$13,0))*1.15^(COUNTIF(C$4:C730,C731)-COUNTIF(C$4:C730,""Sell_""&amp;C731))))))"),"")</f>
        <v/>
      </c>
      <c r="H731" s="10" t="str">
        <f t="shared" si="3"/>
        <v/>
      </c>
      <c r="I731" s="68" t="str">
        <f t="shared" si="4"/>
        <v/>
      </c>
      <c r="J731" s="59" t="str">
        <f t="shared" si="5"/>
        <v/>
      </c>
      <c r="K731" s="69" t="str">
        <f t="shared" si="6"/>
        <v/>
      </c>
      <c r="L731" s="60" t="str">
        <f t="shared" si="7"/>
        <v/>
      </c>
      <c r="M731" s="61" t="str">
        <f>IFERROR(__xludf.DUMMYFUNCTION("IFS(AND(COUNTA(C731:C1350)=0,COUNTA(Q731:Q1350)=0),"""",OR(AND(K731&gt;=1000000000,OR(Y731&gt;=1000000000,COUNTA(Q731:Q1350)=0)),OR(Y731&gt;=1000000000,AND(COUNTA(C731:C1350)=0,P$3=TRUE))),
ROUNDDOWN((AB$1-AC$1)*MAX(INDEX(T$4:T1350,MATCH(LARGE(FILTER(Y$4:Y1350,Y$4"&amp;":Y1350&lt;1000000000),1),Y$4:Y1350)),INDEX(F$4:F1350,MATCH(LARGE(FILTER(K$4:K1350,K$4:K1350&lt;1000000000),1),K$4:K1350)))),AND(K731&lt;1000000000,COUNTA(C731:C1350)&gt;0,P$3=FALSE),
ROUNDDOWN(INDEX(Y$4:Y1350,MATCH(LARGE(FILTER(W$4:W1350,W$4:W1350&lt;=I731),1),W$4:W1350"&amp;"))+(I731-LARGE(FILTER(W$4:W1350,W$4:W1350&lt;=I731),1))*INDEX(T$4:T1350,MATCH(LARGE(FILTER(W$4:W1350,W$4:W1350&lt;=I731),1),W$4:W1350))-K731),1,
ROUNDDOWN(Y731-INDEX(K$4:K1350,MATCH(LARGE(FILTER(I$4:I1350,I$4:I1350&lt;=W731),1),I$4:I1350))-(W731-LARGE(FILTER(I$4:I"&amp;"1350,I$4:I1350&lt;=W731),1))*INDEX(F$4:F1350,MATCH(LARGE(FILTER(I$4:I1350,I$4:I1350&lt;=W731),1),I$4:I1350))))"),"")</f>
        <v/>
      </c>
      <c r="N731" s="60" t="str">
        <f t="shared" si="8"/>
        <v/>
      </c>
      <c r="O731" s="61" t="str">
        <f t="shared" si="9"/>
        <v/>
      </c>
      <c r="P731" s="56" t="str">
        <f t="shared" si="10"/>
        <v/>
      </c>
      <c r="Q731" s="62"/>
      <c r="R731" s="10" t="str">
        <f>IFERROR(__xludf.DUMMYFUNCTION("IF(COUNTA(Q731:Q1350)=0,"""",IF(ISBLANK(Q731),FALSE,IF(NOT(COUNTIF($AA$24:$AA$34,SUBSTITUTE(Q731,""Sell_"",""""))),1,IF(REGEXMATCH(Q731,""Sell_""),IF(COUNTIF(Q$4:Q731,SUBSTITUTE(Q731,""Sell_"",""""))-COUNTIF(Q$4:Q730,Q731)&lt;1,1),FALSE))))"),"")</f>
        <v/>
      </c>
      <c r="S731" s="59" t="str">
        <f t="array" ref="S731">IF(COUNTA(Q731:Q1350)=0,"",SUM((COUNTIF(Q$4:Q731,Upgrades!$B$3:$B$13)-COUNTIF(Q$4:Q731,"Sell_"&amp;Upgrades!$B$3:$B$13))*Upgrades!$D$3:$D$13))</f>
        <v/>
      </c>
      <c r="T731" s="66" t="str">
        <f>IFERROR(__xludf.DUMMYFUNCTION("IF(COUNTA(Q731:Q1350)=0,"""",IF(REGEXMATCH(INDEX(FILTER(Q$4:Q731,Q$4:Q731&lt;&gt;""""),ROWS(FILTER(Q$4:Q731,Q$4:Q731&lt;&gt;""""))),""^Sell_""),INDEX(FILTER(T$4:T730,Q$4:Q730&lt;&gt;""""),ROWS(FILTER(Q$4:Q730,Q$4:Q730&lt;&gt;""""))),$AD$5+S731))"),"")</f>
        <v/>
      </c>
      <c r="U731" s="10" t="str">
        <f>IFERROR(__xludf.DUMMYFUNCTION("IF(COUNTA(Q731:Q1350)=0,"""",IF(Q731="""",0,IF(REGEXMATCH(Q731,""^Sell_""),-ROUNDDOWN(ROUNDUP(INDEX(Upgrades!$C$3:$C$13,MATCH(SUBSTITUTE(Q731,""Sell_"",""""),Upgrades!$B$3:$B$13,0))*1.15^(COUNTIF(Q$4:Q730,SUBSTITUTE(Q731,""Sell_"",""""))-COUNTIF(Q$4:Q730,"&amp;"""Sell_""&amp;SUBSTITUTE(Q731,""Sell_"",""""))))/2),ROUNDUP(INDEX(Upgrades!$C$3:$C$13,MATCH(Q731,Upgrades!$B$3:$B$13,0))*1.15^(COUNTIF(Q$4:Q730,Q731)-COUNTIF(Q$4:Q730,""Sell_""&amp;Q731))))))"),"")</f>
        <v/>
      </c>
      <c r="V731" s="10" t="str">
        <f t="shared" si="11"/>
        <v/>
      </c>
      <c r="W731" s="68" t="str">
        <f t="shared" si="12"/>
        <v/>
      </c>
      <c r="X731" s="59" t="str">
        <f t="shared" si="13"/>
        <v/>
      </c>
      <c r="Y731" s="69" t="str">
        <f t="shared" si="14"/>
        <v/>
      </c>
      <c r="Z731" s="11"/>
    </row>
    <row r="732">
      <c r="A732" s="8"/>
      <c r="B732" s="56" t="str">
        <f t="shared" si="2"/>
        <v/>
      </c>
      <c r="C732" s="57"/>
      <c r="D732" s="10" t="str">
        <f>IFERROR(__xludf.DUMMYFUNCTION("IF(COUNTA(C732:C1350)=0,"""",IF(ISBLANK(C732),FALSE,IF(NOT(COUNTIF($AA$24:$AA$34,SUBSTITUTE(C732,""Sell_"",""""))),1,IF(REGEXMATCH(C732,""Sell_""),IF(COUNTIF(C$4:C732,SUBSTITUTE(C732,""Sell_"",""""))-COUNTIF(C$4:C731,C732)&lt;1,1),FALSE))))"),"")</f>
        <v/>
      </c>
      <c r="E732" s="59" t="str">
        <f t="array" ref="E732">IF(COUNTA(C732:C1350)=0,"",SUM((COUNTIF(C$4:C732,Upgrades!$B$3:$B$13)-COUNTIF(C$4:C732,"Sell_"&amp;Upgrades!$B$3:$B$13))*Upgrades!$D$3:$D$13))</f>
        <v/>
      </c>
      <c r="F732" s="66" t="str">
        <f>IFERROR(__xludf.DUMMYFUNCTION("IF(COUNTA(C732:C1350)=0,"""",IF(REGEXMATCH(INDEX(FILTER(C$4:C732,C$4:C732&lt;&gt;""""),ROWS(FILTER(C$4:C732,C$4:C732&lt;&gt;""""))),""^Sell_""),INDEX(FILTER(F$4:F731,C$4:C731&lt;&gt;""""),ROWS(FILTER(C$4:C731,C$4:C731&lt;&gt;""""))),$AC$5+E732))"),"")</f>
        <v/>
      </c>
      <c r="G732" s="10" t="str">
        <f>IFERROR(__xludf.DUMMYFUNCTION("IF(COUNTA(C732:C1350)=0,"""",IF(C732="""",0,IF(REGEXMATCH(C732,""^Sell_""),-ROUNDDOWN(ROUNDUP(INDEX(Upgrades!$C$3:$C$13,MATCH(SUBSTITUTE(C732,""Sell_"",""""),Upgrades!$B$3:$B$13,0))*1.15^(COUNTIF(C$4:C731,SUBSTITUTE(C732,""Sell_"",""""))-COUNTIF(C$4:C731,"&amp;"""Sell_""&amp;SUBSTITUTE(C732,""Sell_"",""""))))/2),ROUNDUP(INDEX(Upgrades!$C$3:$C$13,MATCH(C732,Upgrades!$B$3:$B$13,0))*1.15^(COUNTIF(C$4:C731,C732)-COUNTIF(C$4:C731,""Sell_""&amp;C732))))))"),"")</f>
        <v/>
      </c>
      <c r="H732" s="10" t="str">
        <f t="shared" si="3"/>
        <v/>
      </c>
      <c r="I732" s="68" t="str">
        <f t="shared" si="4"/>
        <v/>
      </c>
      <c r="J732" s="59" t="str">
        <f t="shared" si="5"/>
        <v/>
      </c>
      <c r="K732" s="69" t="str">
        <f t="shared" si="6"/>
        <v/>
      </c>
      <c r="L732" s="60" t="str">
        <f t="shared" si="7"/>
        <v/>
      </c>
      <c r="M732" s="61" t="str">
        <f>IFERROR(__xludf.DUMMYFUNCTION("IFS(AND(COUNTA(C732:C1350)=0,COUNTA(Q732:Q1350)=0),"""",OR(AND(K732&gt;=1000000000,OR(Y732&gt;=1000000000,COUNTA(Q732:Q1350)=0)),OR(Y732&gt;=1000000000,AND(COUNTA(C732:C1350)=0,P$3=TRUE))),
ROUNDDOWN((AB$1-AC$1)*MAX(INDEX(T$4:T1350,MATCH(LARGE(FILTER(Y$4:Y1350,Y$4"&amp;":Y1350&lt;1000000000),1),Y$4:Y1350)),INDEX(F$4:F1350,MATCH(LARGE(FILTER(K$4:K1350,K$4:K1350&lt;1000000000),1),K$4:K1350)))),AND(K732&lt;1000000000,COUNTA(C732:C1350)&gt;0,P$3=FALSE),
ROUNDDOWN(INDEX(Y$4:Y1350,MATCH(LARGE(FILTER(W$4:W1350,W$4:W1350&lt;=I732),1),W$4:W1350"&amp;"))+(I732-LARGE(FILTER(W$4:W1350,W$4:W1350&lt;=I732),1))*INDEX(T$4:T1350,MATCH(LARGE(FILTER(W$4:W1350,W$4:W1350&lt;=I732),1),W$4:W1350))-K732),1,
ROUNDDOWN(Y732-INDEX(K$4:K1350,MATCH(LARGE(FILTER(I$4:I1350,I$4:I1350&lt;=W732),1),I$4:I1350))-(W732-LARGE(FILTER(I$4:I"&amp;"1350,I$4:I1350&lt;=W732),1))*INDEX(F$4:F1350,MATCH(LARGE(FILTER(I$4:I1350,I$4:I1350&lt;=W732),1),I$4:I1350))))"),"")</f>
        <v/>
      </c>
      <c r="N732" s="60" t="str">
        <f t="shared" si="8"/>
        <v/>
      </c>
      <c r="O732" s="61" t="str">
        <f t="shared" si="9"/>
        <v/>
      </c>
      <c r="P732" s="56" t="str">
        <f t="shared" si="10"/>
        <v/>
      </c>
      <c r="Q732" s="62"/>
      <c r="R732" s="10" t="str">
        <f>IFERROR(__xludf.DUMMYFUNCTION("IF(COUNTA(Q732:Q1350)=0,"""",IF(ISBLANK(Q732),FALSE,IF(NOT(COUNTIF($AA$24:$AA$34,SUBSTITUTE(Q732,""Sell_"",""""))),1,IF(REGEXMATCH(Q732,""Sell_""),IF(COUNTIF(Q$4:Q732,SUBSTITUTE(Q732,""Sell_"",""""))-COUNTIF(Q$4:Q731,Q732)&lt;1,1),FALSE))))"),"")</f>
        <v/>
      </c>
      <c r="S732" s="59" t="str">
        <f t="array" ref="S732">IF(COUNTA(Q732:Q1350)=0,"",SUM((COUNTIF(Q$4:Q732,Upgrades!$B$3:$B$13)-COUNTIF(Q$4:Q732,"Sell_"&amp;Upgrades!$B$3:$B$13))*Upgrades!$D$3:$D$13))</f>
        <v/>
      </c>
      <c r="T732" s="66" t="str">
        <f>IFERROR(__xludf.DUMMYFUNCTION("IF(COUNTA(Q732:Q1350)=0,"""",IF(REGEXMATCH(INDEX(FILTER(Q$4:Q732,Q$4:Q732&lt;&gt;""""),ROWS(FILTER(Q$4:Q732,Q$4:Q732&lt;&gt;""""))),""^Sell_""),INDEX(FILTER(T$4:T731,Q$4:Q731&lt;&gt;""""),ROWS(FILTER(Q$4:Q731,Q$4:Q731&lt;&gt;""""))),$AD$5+S732))"),"")</f>
        <v/>
      </c>
      <c r="U732" s="10" t="str">
        <f>IFERROR(__xludf.DUMMYFUNCTION("IF(COUNTA(Q732:Q1350)=0,"""",IF(Q732="""",0,IF(REGEXMATCH(Q732,""^Sell_""),-ROUNDDOWN(ROUNDUP(INDEX(Upgrades!$C$3:$C$13,MATCH(SUBSTITUTE(Q732,""Sell_"",""""),Upgrades!$B$3:$B$13,0))*1.15^(COUNTIF(Q$4:Q731,SUBSTITUTE(Q732,""Sell_"",""""))-COUNTIF(Q$4:Q731,"&amp;"""Sell_""&amp;SUBSTITUTE(Q732,""Sell_"",""""))))/2),ROUNDUP(INDEX(Upgrades!$C$3:$C$13,MATCH(Q732,Upgrades!$B$3:$B$13,0))*1.15^(COUNTIF(Q$4:Q731,Q732)-COUNTIF(Q$4:Q731,""Sell_""&amp;Q732))))))"),"")</f>
        <v/>
      </c>
      <c r="V732" s="10" t="str">
        <f t="shared" si="11"/>
        <v/>
      </c>
      <c r="W732" s="68" t="str">
        <f t="shared" si="12"/>
        <v/>
      </c>
      <c r="X732" s="59" t="str">
        <f t="shared" si="13"/>
        <v/>
      </c>
      <c r="Y732" s="69" t="str">
        <f t="shared" si="14"/>
        <v/>
      </c>
      <c r="Z732" s="11"/>
    </row>
    <row r="733">
      <c r="A733" s="8"/>
      <c r="B733" s="56" t="str">
        <f t="shared" si="2"/>
        <v/>
      </c>
      <c r="C733" s="57"/>
      <c r="D733" s="10" t="str">
        <f>IFERROR(__xludf.DUMMYFUNCTION("IF(COUNTA(C733:C1350)=0,"""",IF(ISBLANK(C733),FALSE,IF(NOT(COUNTIF($AA$24:$AA$34,SUBSTITUTE(C733,""Sell_"",""""))),1,IF(REGEXMATCH(C733,""Sell_""),IF(COUNTIF(C$4:C733,SUBSTITUTE(C733,""Sell_"",""""))-COUNTIF(C$4:C732,C733)&lt;1,1),FALSE))))"),"")</f>
        <v/>
      </c>
      <c r="E733" s="59" t="str">
        <f t="array" ref="E733">IF(COUNTA(C733:C1350)=0,"",SUM((COUNTIF(C$4:C733,Upgrades!$B$3:$B$13)-COUNTIF(C$4:C733,"Sell_"&amp;Upgrades!$B$3:$B$13))*Upgrades!$D$3:$D$13))</f>
        <v/>
      </c>
      <c r="F733" s="66" t="str">
        <f>IFERROR(__xludf.DUMMYFUNCTION("IF(COUNTA(C733:C1350)=0,"""",IF(REGEXMATCH(INDEX(FILTER(C$4:C733,C$4:C733&lt;&gt;""""),ROWS(FILTER(C$4:C733,C$4:C733&lt;&gt;""""))),""^Sell_""),INDEX(FILTER(F$4:F732,C$4:C732&lt;&gt;""""),ROWS(FILTER(C$4:C732,C$4:C732&lt;&gt;""""))),$AC$5+E733))"),"")</f>
        <v/>
      </c>
      <c r="G733" s="10" t="str">
        <f>IFERROR(__xludf.DUMMYFUNCTION("IF(COUNTA(C733:C1350)=0,"""",IF(C733="""",0,IF(REGEXMATCH(C733,""^Sell_""),-ROUNDDOWN(ROUNDUP(INDEX(Upgrades!$C$3:$C$13,MATCH(SUBSTITUTE(C733,""Sell_"",""""),Upgrades!$B$3:$B$13,0))*1.15^(COUNTIF(C$4:C732,SUBSTITUTE(C733,""Sell_"",""""))-COUNTIF(C$4:C732,"&amp;"""Sell_""&amp;SUBSTITUTE(C733,""Sell_"",""""))))/2),ROUNDUP(INDEX(Upgrades!$C$3:$C$13,MATCH(C733,Upgrades!$B$3:$B$13,0))*1.15^(COUNTIF(C$4:C732,C733)-COUNTIF(C$4:C732,""Sell_""&amp;C733))))))"),"")</f>
        <v/>
      </c>
      <c r="H733" s="10" t="str">
        <f t="shared" si="3"/>
        <v/>
      </c>
      <c r="I733" s="68" t="str">
        <f t="shared" si="4"/>
        <v/>
      </c>
      <c r="J733" s="59" t="str">
        <f t="shared" si="5"/>
        <v/>
      </c>
      <c r="K733" s="69" t="str">
        <f t="shared" si="6"/>
        <v/>
      </c>
      <c r="L733" s="60" t="str">
        <f t="shared" si="7"/>
        <v/>
      </c>
      <c r="M733" s="61" t="str">
        <f>IFERROR(__xludf.DUMMYFUNCTION("IFS(AND(COUNTA(C733:C1350)=0,COUNTA(Q733:Q1350)=0),"""",OR(AND(K733&gt;=1000000000,OR(Y733&gt;=1000000000,COUNTA(Q733:Q1350)=0)),OR(Y733&gt;=1000000000,AND(COUNTA(C733:C1350)=0,P$3=TRUE))),
ROUNDDOWN((AB$1-AC$1)*MAX(INDEX(T$4:T1350,MATCH(LARGE(FILTER(Y$4:Y1350,Y$4"&amp;":Y1350&lt;1000000000),1),Y$4:Y1350)),INDEX(F$4:F1350,MATCH(LARGE(FILTER(K$4:K1350,K$4:K1350&lt;1000000000),1),K$4:K1350)))),AND(K733&lt;1000000000,COUNTA(C733:C1350)&gt;0,P$3=FALSE),
ROUNDDOWN(INDEX(Y$4:Y1350,MATCH(LARGE(FILTER(W$4:W1350,W$4:W1350&lt;=I733),1),W$4:W1350"&amp;"))+(I733-LARGE(FILTER(W$4:W1350,W$4:W1350&lt;=I733),1))*INDEX(T$4:T1350,MATCH(LARGE(FILTER(W$4:W1350,W$4:W1350&lt;=I733),1),W$4:W1350))-K733),1,
ROUNDDOWN(Y733-INDEX(K$4:K1350,MATCH(LARGE(FILTER(I$4:I1350,I$4:I1350&lt;=W733),1),I$4:I1350))-(W733-LARGE(FILTER(I$4:I"&amp;"1350,I$4:I1350&lt;=W733),1))*INDEX(F$4:F1350,MATCH(LARGE(FILTER(I$4:I1350,I$4:I1350&lt;=W733),1),I$4:I1350))))"),"")</f>
        <v/>
      </c>
      <c r="N733" s="60" t="str">
        <f t="shared" si="8"/>
        <v/>
      </c>
      <c r="O733" s="61" t="str">
        <f t="shared" si="9"/>
        <v/>
      </c>
      <c r="P733" s="56" t="str">
        <f t="shared" si="10"/>
        <v/>
      </c>
      <c r="Q733" s="62"/>
      <c r="R733" s="10" t="str">
        <f>IFERROR(__xludf.DUMMYFUNCTION("IF(COUNTA(Q733:Q1350)=0,"""",IF(ISBLANK(Q733),FALSE,IF(NOT(COUNTIF($AA$24:$AA$34,SUBSTITUTE(Q733,""Sell_"",""""))),1,IF(REGEXMATCH(Q733,""Sell_""),IF(COUNTIF(Q$4:Q733,SUBSTITUTE(Q733,""Sell_"",""""))-COUNTIF(Q$4:Q732,Q733)&lt;1,1),FALSE))))"),"")</f>
        <v/>
      </c>
      <c r="S733" s="59" t="str">
        <f t="array" ref="S733">IF(COUNTA(Q733:Q1350)=0,"",SUM((COUNTIF(Q$4:Q733,Upgrades!$B$3:$B$13)-COUNTIF(Q$4:Q733,"Sell_"&amp;Upgrades!$B$3:$B$13))*Upgrades!$D$3:$D$13))</f>
        <v/>
      </c>
      <c r="T733" s="66" t="str">
        <f>IFERROR(__xludf.DUMMYFUNCTION("IF(COUNTA(Q733:Q1350)=0,"""",IF(REGEXMATCH(INDEX(FILTER(Q$4:Q733,Q$4:Q733&lt;&gt;""""),ROWS(FILTER(Q$4:Q733,Q$4:Q733&lt;&gt;""""))),""^Sell_""),INDEX(FILTER(T$4:T732,Q$4:Q732&lt;&gt;""""),ROWS(FILTER(Q$4:Q732,Q$4:Q732&lt;&gt;""""))),$AD$5+S733))"),"")</f>
        <v/>
      </c>
      <c r="U733" s="10" t="str">
        <f>IFERROR(__xludf.DUMMYFUNCTION("IF(COUNTA(Q733:Q1350)=0,"""",IF(Q733="""",0,IF(REGEXMATCH(Q733,""^Sell_""),-ROUNDDOWN(ROUNDUP(INDEX(Upgrades!$C$3:$C$13,MATCH(SUBSTITUTE(Q733,""Sell_"",""""),Upgrades!$B$3:$B$13,0))*1.15^(COUNTIF(Q$4:Q732,SUBSTITUTE(Q733,""Sell_"",""""))-COUNTIF(Q$4:Q732,"&amp;"""Sell_""&amp;SUBSTITUTE(Q733,""Sell_"",""""))))/2),ROUNDUP(INDEX(Upgrades!$C$3:$C$13,MATCH(Q733,Upgrades!$B$3:$B$13,0))*1.15^(COUNTIF(Q$4:Q732,Q733)-COUNTIF(Q$4:Q732,""Sell_""&amp;Q733))))))"),"")</f>
        <v/>
      </c>
      <c r="V733" s="10" t="str">
        <f t="shared" si="11"/>
        <v/>
      </c>
      <c r="W733" s="68" t="str">
        <f t="shared" si="12"/>
        <v/>
      </c>
      <c r="X733" s="59" t="str">
        <f t="shared" si="13"/>
        <v/>
      </c>
      <c r="Y733" s="69" t="str">
        <f t="shared" si="14"/>
        <v/>
      </c>
      <c r="Z733" s="11"/>
    </row>
    <row r="734">
      <c r="A734" s="8"/>
      <c r="B734" s="56" t="str">
        <f t="shared" si="2"/>
        <v/>
      </c>
      <c r="C734" s="57"/>
      <c r="D734" s="10" t="str">
        <f>IFERROR(__xludf.DUMMYFUNCTION("IF(COUNTA(C734:C1350)=0,"""",IF(ISBLANK(C734),FALSE,IF(NOT(COUNTIF($AA$24:$AA$34,SUBSTITUTE(C734,""Sell_"",""""))),1,IF(REGEXMATCH(C734,""Sell_""),IF(COUNTIF(C$4:C734,SUBSTITUTE(C734,""Sell_"",""""))-COUNTIF(C$4:C733,C734)&lt;1,1),FALSE))))"),"")</f>
        <v/>
      </c>
      <c r="E734" s="59" t="str">
        <f t="array" ref="E734">IF(COUNTA(C734:C1350)=0,"",SUM((COUNTIF(C$4:C734,Upgrades!$B$3:$B$13)-COUNTIF(C$4:C734,"Sell_"&amp;Upgrades!$B$3:$B$13))*Upgrades!$D$3:$D$13))</f>
        <v/>
      </c>
      <c r="F734" s="66" t="str">
        <f>IFERROR(__xludf.DUMMYFUNCTION("IF(COUNTA(C734:C1350)=0,"""",IF(REGEXMATCH(INDEX(FILTER(C$4:C734,C$4:C734&lt;&gt;""""),ROWS(FILTER(C$4:C734,C$4:C734&lt;&gt;""""))),""^Sell_""),INDEX(FILTER(F$4:F733,C$4:C733&lt;&gt;""""),ROWS(FILTER(C$4:C733,C$4:C733&lt;&gt;""""))),$AC$5+E734))"),"")</f>
        <v/>
      </c>
      <c r="G734" s="10" t="str">
        <f>IFERROR(__xludf.DUMMYFUNCTION("IF(COUNTA(C734:C1350)=0,"""",IF(C734="""",0,IF(REGEXMATCH(C734,""^Sell_""),-ROUNDDOWN(ROUNDUP(INDEX(Upgrades!$C$3:$C$13,MATCH(SUBSTITUTE(C734,""Sell_"",""""),Upgrades!$B$3:$B$13,0))*1.15^(COUNTIF(C$4:C733,SUBSTITUTE(C734,""Sell_"",""""))-COUNTIF(C$4:C733,"&amp;"""Sell_""&amp;SUBSTITUTE(C734,""Sell_"",""""))))/2),ROUNDUP(INDEX(Upgrades!$C$3:$C$13,MATCH(C734,Upgrades!$B$3:$B$13,0))*1.15^(COUNTIF(C$4:C733,C734)-COUNTIF(C$4:C733,""Sell_""&amp;C734))))))"),"")</f>
        <v/>
      </c>
      <c r="H734" s="10" t="str">
        <f t="shared" si="3"/>
        <v/>
      </c>
      <c r="I734" s="68" t="str">
        <f t="shared" si="4"/>
        <v/>
      </c>
      <c r="J734" s="59" t="str">
        <f t="shared" si="5"/>
        <v/>
      </c>
      <c r="K734" s="69" t="str">
        <f t="shared" si="6"/>
        <v/>
      </c>
      <c r="L734" s="60" t="str">
        <f t="shared" si="7"/>
        <v/>
      </c>
      <c r="M734" s="61" t="str">
        <f>IFERROR(__xludf.DUMMYFUNCTION("IFS(AND(COUNTA(C734:C1350)=0,COUNTA(Q734:Q1350)=0),"""",OR(AND(K734&gt;=1000000000,OR(Y734&gt;=1000000000,COUNTA(Q734:Q1350)=0)),OR(Y734&gt;=1000000000,AND(COUNTA(C734:C1350)=0,P$3=TRUE))),
ROUNDDOWN((AB$1-AC$1)*MAX(INDEX(T$4:T1350,MATCH(LARGE(FILTER(Y$4:Y1350,Y$4"&amp;":Y1350&lt;1000000000),1),Y$4:Y1350)),INDEX(F$4:F1350,MATCH(LARGE(FILTER(K$4:K1350,K$4:K1350&lt;1000000000),1),K$4:K1350)))),AND(K734&lt;1000000000,COUNTA(C734:C1350)&gt;0,P$3=FALSE),
ROUNDDOWN(INDEX(Y$4:Y1350,MATCH(LARGE(FILTER(W$4:W1350,W$4:W1350&lt;=I734),1),W$4:W1350"&amp;"))+(I734-LARGE(FILTER(W$4:W1350,W$4:W1350&lt;=I734),1))*INDEX(T$4:T1350,MATCH(LARGE(FILTER(W$4:W1350,W$4:W1350&lt;=I734),1),W$4:W1350))-K734),1,
ROUNDDOWN(Y734-INDEX(K$4:K1350,MATCH(LARGE(FILTER(I$4:I1350,I$4:I1350&lt;=W734),1),I$4:I1350))-(W734-LARGE(FILTER(I$4:I"&amp;"1350,I$4:I1350&lt;=W734),1))*INDEX(F$4:F1350,MATCH(LARGE(FILTER(I$4:I1350,I$4:I1350&lt;=W734),1),I$4:I1350))))"),"")</f>
        <v/>
      </c>
      <c r="N734" s="60" t="str">
        <f t="shared" si="8"/>
        <v/>
      </c>
      <c r="O734" s="61" t="str">
        <f t="shared" si="9"/>
        <v/>
      </c>
      <c r="P734" s="56" t="str">
        <f t="shared" si="10"/>
        <v/>
      </c>
      <c r="Q734" s="62"/>
      <c r="R734" s="10" t="str">
        <f>IFERROR(__xludf.DUMMYFUNCTION("IF(COUNTA(Q734:Q1350)=0,"""",IF(ISBLANK(Q734),FALSE,IF(NOT(COUNTIF($AA$24:$AA$34,SUBSTITUTE(Q734,""Sell_"",""""))),1,IF(REGEXMATCH(Q734,""Sell_""),IF(COUNTIF(Q$4:Q734,SUBSTITUTE(Q734,""Sell_"",""""))-COUNTIF(Q$4:Q733,Q734)&lt;1,1),FALSE))))"),"")</f>
        <v/>
      </c>
      <c r="S734" s="59" t="str">
        <f t="array" ref="S734">IF(COUNTA(Q734:Q1350)=0,"",SUM((COUNTIF(Q$4:Q734,Upgrades!$B$3:$B$13)-COUNTIF(Q$4:Q734,"Sell_"&amp;Upgrades!$B$3:$B$13))*Upgrades!$D$3:$D$13))</f>
        <v/>
      </c>
      <c r="T734" s="66" t="str">
        <f>IFERROR(__xludf.DUMMYFUNCTION("IF(COUNTA(Q734:Q1350)=0,"""",IF(REGEXMATCH(INDEX(FILTER(Q$4:Q734,Q$4:Q734&lt;&gt;""""),ROWS(FILTER(Q$4:Q734,Q$4:Q734&lt;&gt;""""))),""^Sell_""),INDEX(FILTER(T$4:T733,Q$4:Q733&lt;&gt;""""),ROWS(FILTER(Q$4:Q733,Q$4:Q733&lt;&gt;""""))),$AD$5+S734))"),"")</f>
        <v/>
      </c>
      <c r="U734" s="10" t="str">
        <f>IFERROR(__xludf.DUMMYFUNCTION("IF(COUNTA(Q734:Q1350)=0,"""",IF(Q734="""",0,IF(REGEXMATCH(Q734,""^Sell_""),-ROUNDDOWN(ROUNDUP(INDEX(Upgrades!$C$3:$C$13,MATCH(SUBSTITUTE(Q734,""Sell_"",""""),Upgrades!$B$3:$B$13,0))*1.15^(COUNTIF(Q$4:Q733,SUBSTITUTE(Q734,""Sell_"",""""))-COUNTIF(Q$4:Q733,"&amp;"""Sell_""&amp;SUBSTITUTE(Q734,""Sell_"",""""))))/2),ROUNDUP(INDEX(Upgrades!$C$3:$C$13,MATCH(Q734,Upgrades!$B$3:$B$13,0))*1.15^(COUNTIF(Q$4:Q733,Q734)-COUNTIF(Q$4:Q733,""Sell_""&amp;Q734))))))"),"")</f>
        <v/>
      </c>
      <c r="V734" s="10" t="str">
        <f t="shared" si="11"/>
        <v/>
      </c>
      <c r="W734" s="68" t="str">
        <f t="shared" si="12"/>
        <v/>
      </c>
      <c r="X734" s="59" t="str">
        <f t="shared" si="13"/>
        <v/>
      </c>
      <c r="Y734" s="69" t="str">
        <f t="shared" si="14"/>
        <v/>
      </c>
      <c r="Z734" s="11"/>
    </row>
    <row r="735">
      <c r="A735" s="8"/>
      <c r="B735" s="56" t="str">
        <f t="shared" si="2"/>
        <v/>
      </c>
      <c r="C735" s="57"/>
      <c r="D735" s="10" t="str">
        <f>IFERROR(__xludf.DUMMYFUNCTION("IF(COUNTA(C735:C1350)=0,"""",IF(ISBLANK(C735),FALSE,IF(NOT(COUNTIF($AA$24:$AA$34,SUBSTITUTE(C735,""Sell_"",""""))),1,IF(REGEXMATCH(C735,""Sell_""),IF(COUNTIF(C$4:C735,SUBSTITUTE(C735,""Sell_"",""""))-COUNTIF(C$4:C734,C735)&lt;1,1),FALSE))))"),"")</f>
        <v/>
      </c>
      <c r="E735" s="59" t="str">
        <f t="array" ref="E735">IF(COUNTA(C735:C1350)=0,"",SUM((COUNTIF(C$4:C735,Upgrades!$B$3:$B$13)-COUNTIF(C$4:C735,"Sell_"&amp;Upgrades!$B$3:$B$13))*Upgrades!$D$3:$D$13))</f>
        <v/>
      </c>
      <c r="F735" s="66" t="str">
        <f>IFERROR(__xludf.DUMMYFUNCTION("IF(COUNTA(C735:C1350)=0,"""",IF(REGEXMATCH(INDEX(FILTER(C$4:C735,C$4:C735&lt;&gt;""""),ROWS(FILTER(C$4:C735,C$4:C735&lt;&gt;""""))),""^Sell_""),INDEX(FILTER(F$4:F734,C$4:C734&lt;&gt;""""),ROWS(FILTER(C$4:C734,C$4:C734&lt;&gt;""""))),$AC$5+E735))"),"")</f>
        <v/>
      </c>
      <c r="G735" s="10" t="str">
        <f>IFERROR(__xludf.DUMMYFUNCTION("IF(COUNTA(C735:C1350)=0,"""",IF(C735="""",0,IF(REGEXMATCH(C735,""^Sell_""),-ROUNDDOWN(ROUNDUP(INDEX(Upgrades!$C$3:$C$13,MATCH(SUBSTITUTE(C735,""Sell_"",""""),Upgrades!$B$3:$B$13,0))*1.15^(COUNTIF(C$4:C734,SUBSTITUTE(C735,""Sell_"",""""))-COUNTIF(C$4:C734,"&amp;"""Sell_""&amp;SUBSTITUTE(C735,""Sell_"",""""))))/2),ROUNDUP(INDEX(Upgrades!$C$3:$C$13,MATCH(C735,Upgrades!$B$3:$B$13,0))*1.15^(COUNTIF(C$4:C734,C735)-COUNTIF(C$4:C734,""Sell_""&amp;C735))))))"),"")</f>
        <v/>
      </c>
      <c r="H735" s="10" t="str">
        <f t="shared" si="3"/>
        <v/>
      </c>
      <c r="I735" s="68" t="str">
        <f t="shared" si="4"/>
        <v/>
      </c>
      <c r="J735" s="59" t="str">
        <f t="shared" si="5"/>
        <v/>
      </c>
      <c r="K735" s="69" t="str">
        <f t="shared" si="6"/>
        <v/>
      </c>
      <c r="L735" s="60" t="str">
        <f t="shared" si="7"/>
        <v/>
      </c>
      <c r="M735" s="61" t="str">
        <f>IFERROR(__xludf.DUMMYFUNCTION("IFS(AND(COUNTA(C735:C1350)=0,COUNTA(Q735:Q1350)=0),"""",OR(AND(K735&gt;=1000000000,OR(Y735&gt;=1000000000,COUNTA(Q735:Q1350)=0)),OR(Y735&gt;=1000000000,AND(COUNTA(C735:C1350)=0,P$3=TRUE))),
ROUNDDOWN((AB$1-AC$1)*MAX(INDEX(T$4:T1350,MATCH(LARGE(FILTER(Y$4:Y1350,Y$4"&amp;":Y1350&lt;1000000000),1),Y$4:Y1350)),INDEX(F$4:F1350,MATCH(LARGE(FILTER(K$4:K1350,K$4:K1350&lt;1000000000),1),K$4:K1350)))),AND(K735&lt;1000000000,COUNTA(C735:C1350)&gt;0,P$3=FALSE),
ROUNDDOWN(INDEX(Y$4:Y1350,MATCH(LARGE(FILTER(W$4:W1350,W$4:W1350&lt;=I735),1),W$4:W1350"&amp;"))+(I735-LARGE(FILTER(W$4:W1350,W$4:W1350&lt;=I735),1))*INDEX(T$4:T1350,MATCH(LARGE(FILTER(W$4:W1350,W$4:W1350&lt;=I735),1),W$4:W1350))-K735),1,
ROUNDDOWN(Y735-INDEX(K$4:K1350,MATCH(LARGE(FILTER(I$4:I1350,I$4:I1350&lt;=W735),1),I$4:I1350))-(W735-LARGE(FILTER(I$4:I"&amp;"1350,I$4:I1350&lt;=W735),1))*INDEX(F$4:F1350,MATCH(LARGE(FILTER(I$4:I1350,I$4:I1350&lt;=W735),1),I$4:I1350))))"),"")</f>
        <v/>
      </c>
      <c r="N735" s="60" t="str">
        <f t="shared" si="8"/>
        <v/>
      </c>
      <c r="O735" s="61" t="str">
        <f t="shared" si="9"/>
        <v/>
      </c>
      <c r="P735" s="56" t="str">
        <f t="shared" si="10"/>
        <v/>
      </c>
      <c r="Q735" s="62"/>
      <c r="R735" s="10" t="str">
        <f>IFERROR(__xludf.DUMMYFUNCTION("IF(COUNTA(Q735:Q1350)=0,"""",IF(ISBLANK(Q735),FALSE,IF(NOT(COUNTIF($AA$24:$AA$34,SUBSTITUTE(Q735,""Sell_"",""""))),1,IF(REGEXMATCH(Q735,""Sell_""),IF(COUNTIF(Q$4:Q735,SUBSTITUTE(Q735,""Sell_"",""""))-COUNTIF(Q$4:Q734,Q735)&lt;1,1),FALSE))))"),"")</f>
        <v/>
      </c>
      <c r="S735" s="59" t="str">
        <f t="array" ref="S735">IF(COUNTA(Q735:Q1350)=0,"",SUM((COUNTIF(Q$4:Q735,Upgrades!$B$3:$B$13)-COUNTIF(Q$4:Q735,"Sell_"&amp;Upgrades!$B$3:$B$13))*Upgrades!$D$3:$D$13))</f>
        <v/>
      </c>
      <c r="T735" s="66" t="str">
        <f>IFERROR(__xludf.DUMMYFUNCTION("IF(COUNTA(Q735:Q1350)=0,"""",IF(REGEXMATCH(INDEX(FILTER(Q$4:Q735,Q$4:Q735&lt;&gt;""""),ROWS(FILTER(Q$4:Q735,Q$4:Q735&lt;&gt;""""))),""^Sell_""),INDEX(FILTER(T$4:T734,Q$4:Q734&lt;&gt;""""),ROWS(FILTER(Q$4:Q734,Q$4:Q734&lt;&gt;""""))),$AD$5+S735))"),"")</f>
        <v/>
      </c>
      <c r="U735" s="10" t="str">
        <f>IFERROR(__xludf.DUMMYFUNCTION("IF(COUNTA(Q735:Q1350)=0,"""",IF(Q735="""",0,IF(REGEXMATCH(Q735,""^Sell_""),-ROUNDDOWN(ROUNDUP(INDEX(Upgrades!$C$3:$C$13,MATCH(SUBSTITUTE(Q735,""Sell_"",""""),Upgrades!$B$3:$B$13,0))*1.15^(COUNTIF(Q$4:Q734,SUBSTITUTE(Q735,""Sell_"",""""))-COUNTIF(Q$4:Q734,"&amp;"""Sell_""&amp;SUBSTITUTE(Q735,""Sell_"",""""))))/2),ROUNDUP(INDEX(Upgrades!$C$3:$C$13,MATCH(Q735,Upgrades!$B$3:$B$13,0))*1.15^(COUNTIF(Q$4:Q734,Q735)-COUNTIF(Q$4:Q734,""Sell_""&amp;Q735))))))"),"")</f>
        <v/>
      </c>
      <c r="V735" s="10" t="str">
        <f t="shared" si="11"/>
        <v/>
      </c>
      <c r="W735" s="68" t="str">
        <f t="shared" si="12"/>
        <v/>
      </c>
      <c r="X735" s="59" t="str">
        <f t="shared" si="13"/>
        <v/>
      </c>
      <c r="Y735" s="69" t="str">
        <f t="shared" si="14"/>
        <v/>
      </c>
      <c r="Z735" s="11"/>
    </row>
    <row r="736">
      <c r="A736" s="8"/>
      <c r="B736" s="56" t="str">
        <f t="shared" si="2"/>
        <v/>
      </c>
      <c r="C736" s="57"/>
      <c r="D736" s="10" t="str">
        <f>IFERROR(__xludf.DUMMYFUNCTION("IF(COUNTA(C736:C1350)=0,"""",IF(ISBLANK(C736),FALSE,IF(NOT(COUNTIF($AA$24:$AA$34,SUBSTITUTE(C736,""Sell_"",""""))),1,IF(REGEXMATCH(C736,""Sell_""),IF(COUNTIF(C$4:C736,SUBSTITUTE(C736,""Sell_"",""""))-COUNTIF(C$4:C735,C736)&lt;1,1),FALSE))))"),"")</f>
        <v/>
      </c>
      <c r="E736" s="59" t="str">
        <f t="array" ref="E736">IF(COUNTA(C736:C1350)=0,"",SUM((COUNTIF(C$4:C736,Upgrades!$B$3:$B$13)-COUNTIF(C$4:C736,"Sell_"&amp;Upgrades!$B$3:$B$13))*Upgrades!$D$3:$D$13))</f>
        <v/>
      </c>
      <c r="F736" s="66" t="str">
        <f>IFERROR(__xludf.DUMMYFUNCTION("IF(COUNTA(C736:C1350)=0,"""",IF(REGEXMATCH(INDEX(FILTER(C$4:C736,C$4:C736&lt;&gt;""""),ROWS(FILTER(C$4:C736,C$4:C736&lt;&gt;""""))),""^Sell_""),INDEX(FILTER(F$4:F735,C$4:C735&lt;&gt;""""),ROWS(FILTER(C$4:C735,C$4:C735&lt;&gt;""""))),$AC$5+E736))"),"")</f>
        <v/>
      </c>
      <c r="G736" s="10" t="str">
        <f>IFERROR(__xludf.DUMMYFUNCTION("IF(COUNTA(C736:C1350)=0,"""",IF(C736="""",0,IF(REGEXMATCH(C736,""^Sell_""),-ROUNDDOWN(ROUNDUP(INDEX(Upgrades!$C$3:$C$13,MATCH(SUBSTITUTE(C736,""Sell_"",""""),Upgrades!$B$3:$B$13,0))*1.15^(COUNTIF(C$4:C735,SUBSTITUTE(C736,""Sell_"",""""))-COUNTIF(C$4:C735,"&amp;"""Sell_""&amp;SUBSTITUTE(C736,""Sell_"",""""))))/2),ROUNDUP(INDEX(Upgrades!$C$3:$C$13,MATCH(C736,Upgrades!$B$3:$B$13,0))*1.15^(COUNTIF(C$4:C735,C736)-COUNTIF(C$4:C735,""Sell_""&amp;C736))))))"),"")</f>
        <v/>
      </c>
      <c r="H736" s="10" t="str">
        <f t="shared" si="3"/>
        <v/>
      </c>
      <c r="I736" s="68" t="str">
        <f t="shared" si="4"/>
        <v/>
      </c>
      <c r="J736" s="59" t="str">
        <f t="shared" si="5"/>
        <v/>
      </c>
      <c r="K736" s="69" t="str">
        <f t="shared" si="6"/>
        <v/>
      </c>
      <c r="L736" s="60" t="str">
        <f t="shared" si="7"/>
        <v/>
      </c>
      <c r="M736" s="61" t="str">
        <f>IFERROR(__xludf.DUMMYFUNCTION("IFS(AND(COUNTA(C736:C1350)=0,COUNTA(Q736:Q1350)=0),"""",OR(AND(K736&gt;=1000000000,OR(Y736&gt;=1000000000,COUNTA(Q736:Q1350)=0)),OR(Y736&gt;=1000000000,AND(COUNTA(C736:C1350)=0,P$3=TRUE))),
ROUNDDOWN((AB$1-AC$1)*MAX(INDEX(T$4:T1350,MATCH(LARGE(FILTER(Y$4:Y1350,Y$4"&amp;":Y1350&lt;1000000000),1),Y$4:Y1350)),INDEX(F$4:F1350,MATCH(LARGE(FILTER(K$4:K1350,K$4:K1350&lt;1000000000),1),K$4:K1350)))),AND(K736&lt;1000000000,COUNTA(C736:C1350)&gt;0,P$3=FALSE),
ROUNDDOWN(INDEX(Y$4:Y1350,MATCH(LARGE(FILTER(W$4:W1350,W$4:W1350&lt;=I736),1),W$4:W1350"&amp;"))+(I736-LARGE(FILTER(W$4:W1350,W$4:W1350&lt;=I736),1))*INDEX(T$4:T1350,MATCH(LARGE(FILTER(W$4:W1350,W$4:W1350&lt;=I736),1),W$4:W1350))-K736),1,
ROUNDDOWN(Y736-INDEX(K$4:K1350,MATCH(LARGE(FILTER(I$4:I1350,I$4:I1350&lt;=W736),1),I$4:I1350))-(W736-LARGE(FILTER(I$4:I"&amp;"1350,I$4:I1350&lt;=W736),1))*INDEX(F$4:F1350,MATCH(LARGE(FILTER(I$4:I1350,I$4:I1350&lt;=W736),1),I$4:I1350))))"),"")</f>
        <v/>
      </c>
      <c r="N736" s="60" t="str">
        <f t="shared" si="8"/>
        <v/>
      </c>
      <c r="O736" s="61" t="str">
        <f t="shared" si="9"/>
        <v/>
      </c>
      <c r="P736" s="56" t="str">
        <f t="shared" si="10"/>
        <v/>
      </c>
      <c r="Q736" s="62"/>
      <c r="R736" s="10" t="str">
        <f>IFERROR(__xludf.DUMMYFUNCTION("IF(COUNTA(Q736:Q1350)=0,"""",IF(ISBLANK(Q736),FALSE,IF(NOT(COUNTIF($AA$24:$AA$34,SUBSTITUTE(Q736,""Sell_"",""""))),1,IF(REGEXMATCH(Q736,""Sell_""),IF(COUNTIF(Q$4:Q736,SUBSTITUTE(Q736,""Sell_"",""""))-COUNTIF(Q$4:Q735,Q736)&lt;1,1),FALSE))))"),"")</f>
        <v/>
      </c>
      <c r="S736" s="59" t="str">
        <f t="array" ref="S736">IF(COUNTA(Q736:Q1350)=0,"",SUM((COUNTIF(Q$4:Q736,Upgrades!$B$3:$B$13)-COUNTIF(Q$4:Q736,"Sell_"&amp;Upgrades!$B$3:$B$13))*Upgrades!$D$3:$D$13))</f>
        <v/>
      </c>
      <c r="T736" s="66" t="str">
        <f>IFERROR(__xludf.DUMMYFUNCTION("IF(COUNTA(Q736:Q1350)=0,"""",IF(REGEXMATCH(INDEX(FILTER(Q$4:Q736,Q$4:Q736&lt;&gt;""""),ROWS(FILTER(Q$4:Q736,Q$4:Q736&lt;&gt;""""))),""^Sell_""),INDEX(FILTER(T$4:T735,Q$4:Q735&lt;&gt;""""),ROWS(FILTER(Q$4:Q735,Q$4:Q735&lt;&gt;""""))),$AD$5+S736))"),"")</f>
        <v/>
      </c>
      <c r="U736" s="10" t="str">
        <f>IFERROR(__xludf.DUMMYFUNCTION("IF(COUNTA(Q736:Q1350)=0,"""",IF(Q736="""",0,IF(REGEXMATCH(Q736,""^Sell_""),-ROUNDDOWN(ROUNDUP(INDEX(Upgrades!$C$3:$C$13,MATCH(SUBSTITUTE(Q736,""Sell_"",""""),Upgrades!$B$3:$B$13,0))*1.15^(COUNTIF(Q$4:Q735,SUBSTITUTE(Q736,""Sell_"",""""))-COUNTIF(Q$4:Q735,"&amp;"""Sell_""&amp;SUBSTITUTE(Q736,""Sell_"",""""))))/2),ROUNDUP(INDEX(Upgrades!$C$3:$C$13,MATCH(Q736,Upgrades!$B$3:$B$13,0))*1.15^(COUNTIF(Q$4:Q735,Q736)-COUNTIF(Q$4:Q735,""Sell_""&amp;Q736))))))"),"")</f>
        <v/>
      </c>
      <c r="V736" s="10" t="str">
        <f t="shared" si="11"/>
        <v/>
      </c>
      <c r="W736" s="68" t="str">
        <f t="shared" si="12"/>
        <v/>
      </c>
      <c r="X736" s="59" t="str">
        <f t="shared" si="13"/>
        <v/>
      </c>
      <c r="Y736" s="69" t="str">
        <f t="shared" si="14"/>
        <v/>
      </c>
      <c r="Z736" s="11"/>
    </row>
    <row r="737">
      <c r="A737" s="8"/>
      <c r="B737" s="56" t="str">
        <f t="shared" si="2"/>
        <v/>
      </c>
      <c r="C737" s="57"/>
      <c r="D737" s="10" t="str">
        <f>IFERROR(__xludf.DUMMYFUNCTION("IF(COUNTA(C737:C1350)=0,"""",IF(ISBLANK(C737),FALSE,IF(NOT(COUNTIF($AA$24:$AA$34,SUBSTITUTE(C737,""Sell_"",""""))),1,IF(REGEXMATCH(C737,""Sell_""),IF(COUNTIF(C$4:C737,SUBSTITUTE(C737,""Sell_"",""""))-COUNTIF(C$4:C736,C737)&lt;1,1),FALSE))))"),"")</f>
        <v/>
      </c>
      <c r="E737" s="59" t="str">
        <f t="array" ref="E737">IF(COUNTA(C737:C1350)=0,"",SUM((COUNTIF(C$4:C737,Upgrades!$B$3:$B$13)-COUNTIF(C$4:C737,"Sell_"&amp;Upgrades!$B$3:$B$13))*Upgrades!$D$3:$D$13))</f>
        <v/>
      </c>
      <c r="F737" s="66" t="str">
        <f>IFERROR(__xludf.DUMMYFUNCTION("IF(COUNTA(C737:C1350)=0,"""",IF(REGEXMATCH(INDEX(FILTER(C$4:C737,C$4:C737&lt;&gt;""""),ROWS(FILTER(C$4:C737,C$4:C737&lt;&gt;""""))),""^Sell_""),INDEX(FILTER(F$4:F736,C$4:C736&lt;&gt;""""),ROWS(FILTER(C$4:C736,C$4:C736&lt;&gt;""""))),$AC$5+E737))"),"")</f>
        <v/>
      </c>
      <c r="G737" s="10" t="str">
        <f>IFERROR(__xludf.DUMMYFUNCTION("IF(COUNTA(C737:C1350)=0,"""",IF(C737="""",0,IF(REGEXMATCH(C737,""^Sell_""),-ROUNDDOWN(ROUNDUP(INDEX(Upgrades!$C$3:$C$13,MATCH(SUBSTITUTE(C737,""Sell_"",""""),Upgrades!$B$3:$B$13,0))*1.15^(COUNTIF(C$4:C736,SUBSTITUTE(C737,""Sell_"",""""))-COUNTIF(C$4:C736,"&amp;"""Sell_""&amp;SUBSTITUTE(C737,""Sell_"",""""))))/2),ROUNDUP(INDEX(Upgrades!$C$3:$C$13,MATCH(C737,Upgrades!$B$3:$B$13,0))*1.15^(COUNTIF(C$4:C736,C737)-COUNTIF(C$4:C736,""Sell_""&amp;C737))))))"),"")</f>
        <v/>
      </c>
      <c r="H737" s="10" t="str">
        <f t="shared" si="3"/>
        <v/>
      </c>
      <c r="I737" s="68" t="str">
        <f t="shared" si="4"/>
        <v/>
      </c>
      <c r="J737" s="59" t="str">
        <f t="shared" si="5"/>
        <v/>
      </c>
      <c r="K737" s="69" t="str">
        <f t="shared" si="6"/>
        <v/>
      </c>
      <c r="L737" s="60" t="str">
        <f t="shared" si="7"/>
        <v/>
      </c>
      <c r="M737" s="61" t="str">
        <f>IFERROR(__xludf.DUMMYFUNCTION("IFS(AND(COUNTA(C737:C1350)=0,COUNTA(Q737:Q1350)=0),"""",OR(AND(K737&gt;=1000000000,OR(Y737&gt;=1000000000,COUNTA(Q737:Q1350)=0)),OR(Y737&gt;=1000000000,AND(COUNTA(C737:C1350)=0,P$3=TRUE))),
ROUNDDOWN((AB$1-AC$1)*MAX(INDEX(T$4:T1350,MATCH(LARGE(FILTER(Y$4:Y1350,Y$4"&amp;":Y1350&lt;1000000000),1),Y$4:Y1350)),INDEX(F$4:F1350,MATCH(LARGE(FILTER(K$4:K1350,K$4:K1350&lt;1000000000),1),K$4:K1350)))),AND(K737&lt;1000000000,COUNTA(C737:C1350)&gt;0,P$3=FALSE),
ROUNDDOWN(INDEX(Y$4:Y1350,MATCH(LARGE(FILTER(W$4:W1350,W$4:W1350&lt;=I737),1),W$4:W1350"&amp;"))+(I737-LARGE(FILTER(W$4:W1350,W$4:W1350&lt;=I737),1))*INDEX(T$4:T1350,MATCH(LARGE(FILTER(W$4:W1350,W$4:W1350&lt;=I737),1),W$4:W1350))-K737),1,
ROUNDDOWN(Y737-INDEX(K$4:K1350,MATCH(LARGE(FILTER(I$4:I1350,I$4:I1350&lt;=W737),1),I$4:I1350))-(W737-LARGE(FILTER(I$4:I"&amp;"1350,I$4:I1350&lt;=W737),1))*INDEX(F$4:F1350,MATCH(LARGE(FILTER(I$4:I1350,I$4:I1350&lt;=W737),1),I$4:I1350))))"),"")</f>
        <v/>
      </c>
      <c r="N737" s="60" t="str">
        <f t="shared" si="8"/>
        <v/>
      </c>
      <c r="O737" s="61" t="str">
        <f t="shared" si="9"/>
        <v/>
      </c>
      <c r="P737" s="56" t="str">
        <f t="shared" si="10"/>
        <v/>
      </c>
      <c r="Q737" s="62"/>
      <c r="R737" s="10" t="str">
        <f>IFERROR(__xludf.DUMMYFUNCTION("IF(COUNTA(Q737:Q1350)=0,"""",IF(ISBLANK(Q737),FALSE,IF(NOT(COUNTIF($AA$24:$AA$34,SUBSTITUTE(Q737,""Sell_"",""""))),1,IF(REGEXMATCH(Q737,""Sell_""),IF(COUNTIF(Q$4:Q737,SUBSTITUTE(Q737,""Sell_"",""""))-COUNTIF(Q$4:Q736,Q737)&lt;1,1),FALSE))))"),"")</f>
        <v/>
      </c>
      <c r="S737" s="59" t="str">
        <f t="array" ref="S737">IF(COUNTA(Q737:Q1350)=0,"",SUM((COUNTIF(Q$4:Q737,Upgrades!$B$3:$B$13)-COUNTIF(Q$4:Q737,"Sell_"&amp;Upgrades!$B$3:$B$13))*Upgrades!$D$3:$D$13))</f>
        <v/>
      </c>
      <c r="T737" s="66" t="str">
        <f>IFERROR(__xludf.DUMMYFUNCTION("IF(COUNTA(Q737:Q1350)=0,"""",IF(REGEXMATCH(INDEX(FILTER(Q$4:Q737,Q$4:Q737&lt;&gt;""""),ROWS(FILTER(Q$4:Q737,Q$4:Q737&lt;&gt;""""))),""^Sell_""),INDEX(FILTER(T$4:T736,Q$4:Q736&lt;&gt;""""),ROWS(FILTER(Q$4:Q736,Q$4:Q736&lt;&gt;""""))),$AD$5+S737))"),"")</f>
        <v/>
      </c>
      <c r="U737" s="10" t="str">
        <f>IFERROR(__xludf.DUMMYFUNCTION("IF(COUNTA(Q737:Q1350)=0,"""",IF(Q737="""",0,IF(REGEXMATCH(Q737,""^Sell_""),-ROUNDDOWN(ROUNDUP(INDEX(Upgrades!$C$3:$C$13,MATCH(SUBSTITUTE(Q737,""Sell_"",""""),Upgrades!$B$3:$B$13,0))*1.15^(COUNTIF(Q$4:Q736,SUBSTITUTE(Q737,""Sell_"",""""))-COUNTIF(Q$4:Q736,"&amp;"""Sell_""&amp;SUBSTITUTE(Q737,""Sell_"",""""))))/2),ROUNDUP(INDEX(Upgrades!$C$3:$C$13,MATCH(Q737,Upgrades!$B$3:$B$13,0))*1.15^(COUNTIF(Q$4:Q736,Q737)-COUNTIF(Q$4:Q736,""Sell_""&amp;Q737))))))"),"")</f>
        <v/>
      </c>
      <c r="V737" s="10" t="str">
        <f t="shared" si="11"/>
        <v/>
      </c>
      <c r="W737" s="68" t="str">
        <f t="shared" si="12"/>
        <v/>
      </c>
      <c r="X737" s="59" t="str">
        <f t="shared" si="13"/>
        <v/>
      </c>
      <c r="Y737" s="69" t="str">
        <f t="shared" si="14"/>
        <v/>
      </c>
      <c r="Z737" s="11"/>
    </row>
    <row r="738">
      <c r="A738" s="8"/>
      <c r="B738" s="56" t="str">
        <f t="shared" si="2"/>
        <v/>
      </c>
      <c r="C738" s="57"/>
      <c r="D738" s="10" t="str">
        <f>IFERROR(__xludf.DUMMYFUNCTION("IF(COUNTA(C738:C1350)=0,"""",IF(ISBLANK(C738),FALSE,IF(NOT(COUNTIF($AA$24:$AA$34,SUBSTITUTE(C738,""Sell_"",""""))),1,IF(REGEXMATCH(C738,""Sell_""),IF(COUNTIF(C$4:C738,SUBSTITUTE(C738,""Sell_"",""""))-COUNTIF(C$4:C737,C738)&lt;1,1),FALSE))))"),"")</f>
        <v/>
      </c>
      <c r="E738" s="59" t="str">
        <f t="array" ref="E738">IF(COUNTA(C738:C1350)=0,"",SUM((COUNTIF(C$4:C738,Upgrades!$B$3:$B$13)-COUNTIF(C$4:C738,"Sell_"&amp;Upgrades!$B$3:$B$13))*Upgrades!$D$3:$D$13))</f>
        <v/>
      </c>
      <c r="F738" s="66" t="str">
        <f>IFERROR(__xludf.DUMMYFUNCTION("IF(COUNTA(C738:C1350)=0,"""",IF(REGEXMATCH(INDEX(FILTER(C$4:C738,C$4:C738&lt;&gt;""""),ROWS(FILTER(C$4:C738,C$4:C738&lt;&gt;""""))),""^Sell_""),INDEX(FILTER(F$4:F737,C$4:C737&lt;&gt;""""),ROWS(FILTER(C$4:C737,C$4:C737&lt;&gt;""""))),$AC$5+E738))"),"")</f>
        <v/>
      </c>
      <c r="G738" s="10" t="str">
        <f>IFERROR(__xludf.DUMMYFUNCTION("IF(COUNTA(C738:C1350)=0,"""",IF(C738="""",0,IF(REGEXMATCH(C738,""^Sell_""),-ROUNDDOWN(ROUNDUP(INDEX(Upgrades!$C$3:$C$13,MATCH(SUBSTITUTE(C738,""Sell_"",""""),Upgrades!$B$3:$B$13,0))*1.15^(COUNTIF(C$4:C737,SUBSTITUTE(C738,""Sell_"",""""))-COUNTIF(C$4:C737,"&amp;"""Sell_""&amp;SUBSTITUTE(C738,""Sell_"",""""))))/2),ROUNDUP(INDEX(Upgrades!$C$3:$C$13,MATCH(C738,Upgrades!$B$3:$B$13,0))*1.15^(COUNTIF(C$4:C737,C738)-COUNTIF(C$4:C737,""Sell_""&amp;C738))))))"),"")</f>
        <v/>
      </c>
      <c r="H738" s="10" t="str">
        <f t="shared" si="3"/>
        <v/>
      </c>
      <c r="I738" s="68" t="str">
        <f t="shared" si="4"/>
        <v/>
      </c>
      <c r="J738" s="59" t="str">
        <f t="shared" si="5"/>
        <v/>
      </c>
      <c r="K738" s="69" t="str">
        <f t="shared" si="6"/>
        <v/>
      </c>
      <c r="L738" s="60" t="str">
        <f t="shared" si="7"/>
        <v/>
      </c>
      <c r="M738" s="61" t="str">
        <f>IFERROR(__xludf.DUMMYFUNCTION("IFS(AND(COUNTA(C738:C1350)=0,COUNTA(Q738:Q1350)=0),"""",OR(AND(K738&gt;=1000000000,OR(Y738&gt;=1000000000,COUNTA(Q738:Q1350)=0)),OR(Y738&gt;=1000000000,AND(COUNTA(C738:C1350)=0,P$3=TRUE))),
ROUNDDOWN((AB$1-AC$1)*MAX(INDEX(T$4:T1350,MATCH(LARGE(FILTER(Y$4:Y1350,Y$4"&amp;":Y1350&lt;1000000000),1),Y$4:Y1350)),INDEX(F$4:F1350,MATCH(LARGE(FILTER(K$4:K1350,K$4:K1350&lt;1000000000),1),K$4:K1350)))),AND(K738&lt;1000000000,COUNTA(C738:C1350)&gt;0,P$3=FALSE),
ROUNDDOWN(INDEX(Y$4:Y1350,MATCH(LARGE(FILTER(W$4:W1350,W$4:W1350&lt;=I738),1),W$4:W1350"&amp;"))+(I738-LARGE(FILTER(W$4:W1350,W$4:W1350&lt;=I738),1))*INDEX(T$4:T1350,MATCH(LARGE(FILTER(W$4:W1350,W$4:W1350&lt;=I738),1),W$4:W1350))-K738),1,
ROUNDDOWN(Y738-INDEX(K$4:K1350,MATCH(LARGE(FILTER(I$4:I1350,I$4:I1350&lt;=W738),1),I$4:I1350))-(W738-LARGE(FILTER(I$4:I"&amp;"1350,I$4:I1350&lt;=W738),1))*INDEX(F$4:F1350,MATCH(LARGE(FILTER(I$4:I1350,I$4:I1350&lt;=W738),1),I$4:I1350))))"),"")</f>
        <v/>
      </c>
      <c r="N738" s="60" t="str">
        <f t="shared" si="8"/>
        <v/>
      </c>
      <c r="O738" s="61" t="str">
        <f t="shared" si="9"/>
        <v/>
      </c>
      <c r="P738" s="56" t="str">
        <f t="shared" si="10"/>
        <v/>
      </c>
      <c r="Q738" s="62"/>
      <c r="R738" s="10" t="str">
        <f>IFERROR(__xludf.DUMMYFUNCTION("IF(COUNTA(Q738:Q1350)=0,"""",IF(ISBLANK(Q738),FALSE,IF(NOT(COUNTIF($AA$24:$AA$34,SUBSTITUTE(Q738,""Sell_"",""""))),1,IF(REGEXMATCH(Q738,""Sell_""),IF(COUNTIF(Q$4:Q738,SUBSTITUTE(Q738,""Sell_"",""""))-COUNTIF(Q$4:Q737,Q738)&lt;1,1),FALSE))))"),"")</f>
        <v/>
      </c>
      <c r="S738" s="59" t="str">
        <f t="array" ref="S738">IF(COUNTA(Q738:Q1350)=0,"",SUM((COUNTIF(Q$4:Q738,Upgrades!$B$3:$B$13)-COUNTIF(Q$4:Q738,"Sell_"&amp;Upgrades!$B$3:$B$13))*Upgrades!$D$3:$D$13))</f>
        <v/>
      </c>
      <c r="T738" s="66" t="str">
        <f>IFERROR(__xludf.DUMMYFUNCTION("IF(COUNTA(Q738:Q1350)=0,"""",IF(REGEXMATCH(INDEX(FILTER(Q$4:Q738,Q$4:Q738&lt;&gt;""""),ROWS(FILTER(Q$4:Q738,Q$4:Q738&lt;&gt;""""))),""^Sell_""),INDEX(FILTER(T$4:T737,Q$4:Q737&lt;&gt;""""),ROWS(FILTER(Q$4:Q737,Q$4:Q737&lt;&gt;""""))),$AD$5+S738))"),"")</f>
        <v/>
      </c>
      <c r="U738" s="10" t="str">
        <f>IFERROR(__xludf.DUMMYFUNCTION("IF(COUNTA(Q738:Q1350)=0,"""",IF(Q738="""",0,IF(REGEXMATCH(Q738,""^Sell_""),-ROUNDDOWN(ROUNDUP(INDEX(Upgrades!$C$3:$C$13,MATCH(SUBSTITUTE(Q738,""Sell_"",""""),Upgrades!$B$3:$B$13,0))*1.15^(COUNTIF(Q$4:Q737,SUBSTITUTE(Q738,""Sell_"",""""))-COUNTIF(Q$4:Q737,"&amp;"""Sell_""&amp;SUBSTITUTE(Q738,""Sell_"",""""))))/2),ROUNDUP(INDEX(Upgrades!$C$3:$C$13,MATCH(Q738,Upgrades!$B$3:$B$13,0))*1.15^(COUNTIF(Q$4:Q737,Q738)-COUNTIF(Q$4:Q737,""Sell_""&amp;Q738))))))"),"")</f>
        <v/>
      </c>
      <c r="V738" s="10" t="str">
        <f t="shared" si="11"/>
        <v/>
      </c>
      <c r="W738" s="68" t="str">
        <f t="shared" si="12"/>
        <v/>
      </c>
      <c r="X738" s="59" t="str">
        <f t="shared" si="13"/>
        <v/>
      </c>
      <c r="Y738" s="69" t="str">
        <f t="shared" si="14"/>
        <v/>
      </c>
      <c r="Z738" s="11"/>
    </row>
    <row r="739">
      <c r="A739" s="8"/>
      <c r="B739" s="56" t="str">
        <f t="shared" si="2"/>
        <v/>
      </c>
      <c r="C739" s="57"/>
      <c r="D739" s="10" t="str">
        <f>IFERROR(__xludf.DUMMYFUNCTION("IF(COUNTA(C739:C1350)=0,"""",IF(ISBLANK(C739),FALSE,IF(NOT(COUNTIF($AA$24:$AA$34,SUBSTITUTE(C739,""Sell_"",""""))),1,IF(REGEXMATCH(C739,""Sell_""),IF(COUNTIF(C$4:C739,SUBSTITUTE(C739,""Sell_"",""""))-COUNTIF(C$4:C738,C739)&lt;1,1),FALSE))))"),"")</f>
        <v/>
      </c>
      <c r="E739" s="59" t="str">
        <f t="array" ref="E739">IF(COUNTA(C739:C1350)=0,"",SUM((COUNTIF(C$4:C739,Upgrades!$B$3:$B$13)-COUNTIF(C$4:C739,"Sell_"&amp;Upgrades!$B$3:$B$13))*Upgrades!$D$3:$D$13))</f>
        <v/>
      </c>
      <c r="F739" s="66" t="str">
        <f>IFERROR(__xludf.DUMMYFUNCTION("IF(COUNTA(C739:C1350)=0,"""",IF(REGEXMATCH(INDEX(FILTER(C$4:C739,C$4:C739&lt;&gt;""""),ROWS(FILTER(C$4:C739,C$4:C739&lt;&gt;""""))),""^Sell_""),INDEX(FILTER(F$4:F738,C$4:C738&lt;&gt;""""),ROWS(FILTER(C$4:C738,C$4:C738&lt;&gt;""""))),$AC$5+E739))"),"")</f>
        <v/>
      </c>
      <c r="G739" s="10" t="str">
        <f>IFERROR(__xludf.DUMMYFUNCTION("IF(COUNTA(C739:C1350)=0,"""",IF(C739="""",0,IF(REGEXMATCH(C739,""^Sell_""),-ROUNDDOWN(ROUNDUP(INDEX(Upgrades!$C$3:$C$13,MATCH(SUBSTITUTE(C739,""Sell_"",""""),Upgrades!$B$3:$B$13,0))*1.15^(COUNTIF(C$4:C738,SUBSTITUTE(C739,""Sell_"",""""))-COUNTIF(C$4:C738,"&amp;"""Sell_""&amp;SUBSTITUTE(C739,""Sell_"",""""))))/2),ROUNDUP(INDEX(Upgrades!$C$3:$C$13,MATCH(C739,Upgrades!$B$3:$B$13,0))*1.15^(COUNTIF(C$4:C738,C739)-COUNTIF(C$4:C738,""Sell_""&amp;C739))))))"),"")</f>
        <v/>
      </c>
      <c r="H739" s="10" t="str">
        <f t="shared" si="3"/>
        <v/>
      </c>
      <c r="I739" s="68" t="str">
        <f t="shared" si="4"/>
        <v/>
      </c>
      <c r="J739" s="59" t="str">
        <f t="shared" si="5"/>
        <v/>
      </c>
      <c r="K739" s="69" t="str">
        <f t="shared" si="6"/>
        <v/>
      </c>
      <c r="L739" s="60" t="str">
        <f t="shared" si="7"/>
        <v/>
      </c>
      <c r="M739" s="61" t="str">
        <f>IFERROR(__xludf.DUMMYFUNCTION("IFS(AND(COUNTA(C739:C1350)=0,COUNTA(Q739:Q1350)=0),"""",OR(AND(K739&gt;=1000000000,OR(Y739&gt;=1000000000,COUNTA(Q739:Q1350)=0)),OR(Y739&gt;=1000000000,AND(COUNTA(C739:C1350)=0,P$3=TRUE))),
ROUNDDOWN((AB$1-AC$1)*MAX(INDEX(T$4:T1350,MATCH(LARGE(FILTER(Y$4:Y1350,Y$4"&amp;":Y1350&lt;1000000000),1),Y$4:Y1350)),INDEX(F$4:F1350,MATCH(LARGE(FILTER(K$4:K1350,K$4:K1350&lt;1000000000),1),K$4:K1350)))),AND(K739&lt;1000000000,COUNTA(C739:C1350)&gt;0,P$3=FALSE),
ROUNDDOWN(INDEX(Y$4:Y1350,MATCH(LARGE(FILTER(W$4:W1350,W$4:W1350&lt;=I739),1),W$4:W1350"&amp;"))+(I739-LARGE(FILTER(W$4:W1350,W$4:W1350&lt;=I739),1))*INDEX(T$4:T1350,MATCH(LARGE(FILTER(W$4:W1350,W$4:W1350&lt;=I739),1),W$4:W1350))-K739),1,
ROUNDDOWN(Y739-INDEX(K$4:K1350,MATCH(LARGE(FILTER(I$4:I1350,I$4:I1350&lt;=W739),1),I$4:I1350))-(W739-LARGE(FILTER(I$4:I"&amp;"1350,I$4:I1350&lt;=W739),1))*INDEX(F$4:F1350,MATCH(LARGE(FILTER(I$4:I1350,I$4:I1350&lt;=W739),1),I$4:I1350))))"),"")</f>
        <v/>
      </c>
      <c r="N739" s="60" t="str">
        <f t="shared" si="8"/>
        <v/>
      </c>
      <c r="O739" s="61" t="str">
        <f t="shared" si="9"/>
        <v/>
      </c>
      <c r="P739" s="56" t="str">
        <f t="shared" si="10"/>
        <v/>
      </c>
      <c r="Q739" s="62"/>
      <c r="R739" s="10" t="str">
        <f>IFERROR(__xludf.DUMMYFUNCTION("IF(COUNTA(Q739:Q1350)=0,"""",IF(ISBLANK(Q739),FALSE,IF(NOT(COUNTIF($AA$24:$AA$34,SUBSTITUTE(Q739,""Sell_"",""""))),1,IF(REGEXMATCH(Q739,""Sell_""),IF(COUNTIF(Q$4:Q739,SUBSTITUTE(Q739,""Sell_"",""""))-COUNTIF(Q$4:Q738,Q739)&lt;1,1),FALSE))))"),"")</f>
        <v/>
      </c>
      <c r="S739" s="59" t="str">
        <f t="array" ref="S739">IF(COUNTA(Q739:Q1350)=0,"",SUM((COUNTIF(Q$4:Q739,Upgrades!$B$3:$B$13)-COUNTIF(Q$4:Q739,"Sell_"&amp;Upgrades!$B$3:$B$13))*Upgrades!$D$3:$D$13))</f>
        <v/>
      </c>
      <c r="T739" s="66" t="str">
        <f>IFERROR(__xludf.DUMMYFUNCTION("IF(COUNTA(Q739:Q1350)=0,"""",IF(REGEXMATCH(INDEX(FILTER(Q$4:Q739,Q$4:Q739&lt;&gt;""""),ROWS(FILTER(Q$4:Q739,Q$4:Q739&lt;&gt;""""))),""^Sell_""),INDEX(FILTER(T$4:T738,Q$4:Q738&lt;&gt;""""),ROWS(FILTER(Q$4:Q738,Q$4:Q738&lt;&gt;""""))),$AD$5+S739))"),"")</f>
        <v/>
      </c>
      <c r="U739" s="10" t="str">
        <f>IFERROR(__xludf.DUMMYFUNCTION("IF(COUNTA(Q739:Q1350)=0,"""",IF(Q739="""",0,IF(REGEXMATCH(Q739,""^Sell_""),-ROUNDDOWN(ROUNDUP(INDEX(Upgrades!$C$3:$C$13,MATCH(SUBSTITUTE(Q739,""Sell_"",""""),Upgrades!$B$3:$B$13,0))*1.15^(COUNTIF(Q$4:Q738,SUBSTITUTE(Q739,""Sell_"",""""))-COUNTIF(Q$4:Q738,"&amp;"""Sell_""&amp;SUBSTITUTE(Q739,""Sell_"",""""))))/2),ROUNDUP(INDEX(Upgrades!$C$3:$C$13,MATCH(Q739,Upgrades!$B$3:$B$13,0))*1.15^(COUNTIF(Q$4:Q738,Q739)-COUNTIF(Q$4:Q738,""Sell_""&amp;Q739))))))"),"")</f>
        <v/>
      </c>
      <c r="V739" s="10" t="str">
        <f t="shared" si="11"/>
        <v/>
      </c>
      <c r="W739" s="68" t="str">
        <f t="shared" si="12"/>
        <v/>
      </c>
      <c r="X739" s="59" t="str">
        <f t="shared" si="13"/>
        <v/>
      </c>
      <c r="Y739" s="69" t="str">
        <f t="shared" si="14"/>
        <v/>
      </c>
      <c r="Z739" s="11"/>
    </row>
    <row r="740">
      <c r="A740" s="8"/>
      <c r="B740" s="56" t="str">
        <f t="shared" si="2"/>
        <v/>
      </c>
      <c r="C740" s="57"/>
      <c r="D740" s="10" t="str">
        <f>IFERROR(__xludf.DUMMYFUNCTION("IF(COUNTA(C740:C1350)=0,"""",IF(ISBLANK(C740),FALSE,IF(NOT(COUNTIF($AA$24:$AA$34,SUBSTITUTE(C740,""Sell_"",""""))),1,IF(REGEXMATCH(C740,""Sell_""),IF(COUNTIF(C$4:C740,SUBSTITUTE(C740,""Sell_"",""""))-COUNTIF(C$4:C739,C740)&lt;1,1),FALSE))))"),"")</f>
        <v/>
      </c>
      <c r="E740" s="59" t="str">
        <f t="array" ref="E740">IF(COUNTA(C740:C1350)=0,"",SUM((COUNTIF(C$4:C740,Upgrades!$B$3:$B$13)-COUNTIF(C$4:C740,"Sell_"&amp;Upgrades!$B$3:$B$13))*Upgrades!$D$3:$D$13))</f>
        <v/>
      </c>
      <c r="F740" s="66" t="str">
        <f>IFERROR(__xludf.DUMMYFUNCTION("IF(COUNTA(C740:C1350)=0,"""",IF(REGEXMATCH(INDEX(FILTER(C$4:C740,C$4:C740&lt;&gt;""""),ROWS(FILTER(C$4:C740,C$4:C740&lt;&gt;""""))),""^Sell_""),INDEX(FILTER(F$4:F739,C$4:C739&lt;&gt;""""),ROWS(FILTER(C$4:C739,C$4:C739&lt;&gt;""""))),$AC$5+E740))"),"")</f>
        <v/>
      </c>
      <c r="G740" s="10" t="str">
        <f>IFERROR(__xludf.DUMMYFUNCTION("IF(COUNTA(C740:C1350)=0,"""",IF(C740="""",0,IF(REGEXMATCH(C740,""^Sell_""),-ROUNDDOWN(ROUNDUP(INDEX(Upgrades!$C$3:$C$13,MATCH(SUBSTITUTE(C740,""Sell_"",""""),Upgrades!$B$3:$B$13,0))*1.15^(COUNTIF(C$4:C739,SUBSTITUTE(C740,""Sell_"",""""))-COUNTIF(C$4:C739,"&amp;"""Sell_""&amp;SUBSTITUTE(C740,""Sell_"",""""))))/2),ROUNDUP(INDEX(Upgrades!$C$3:$C$13,MATCH(C740,Upgrades!$B$3:$B$13,0))*1.15^(COUNTIF(C$4:C739,C740)-COUNTIF(C$4:C739,""Sell_""&amp;C740))))))"),"")</f>
        <v/>
      </c>
      <c r="H740" s="10" t="str">
        <f t="shared" si="3"/>
        <v/>
      </c>
      <c r="I740" s="68" t="str">
        <f t="shared" si="4"/>
        <v/>
      </c>
      <c r="J740" s="59" t="str">
        <f t="shared" si="5"/>
        <v/>
      </c>
      <c r="K740" s="69" t="str">
        <f t="shared" si="6"/>
        <v/>
      </c>
      <c r="L740" s="60" t="str">
        <f t="shared" si="7"/>
        <v/>
      </c>
      <c r="M740" s="61" t="str">
        <f>IFERROR(__xludf.DUMMYFUNCTION("IFS(AND(COUNTA(C740:C1350)=0,COUNTA(Q740:Q1350)=0),"""",OR(AND(K740&gt;=1000000000,OR(Y740&gt;=1000000000,COUNTA(Q740:Q1350)=0)),OR(Y740&gt;=1000000000,AND(COUNTA(C740:C1350)=0,P$3=TRUE))),
ROUNDDOWN((AB$1-AC$1)*MAX(INDEX(T$4:T1350,MATCH(LARGE(FILTER(Y$4:Y1350,Y$4"&amp;":Y1350&lt;1000000000),1),Y$4:Y1350)),INDEX(F$4:F1350,MATCH(LARGE(FILTER(K$4:K1350,K$4:K1350&lt;1000000000),1),K$4:K1350)))),AND(K740&lt;1000000000,COUNTA(C740:C1350)&gt;0,P$3=FALSE),
ROUNDDOWN(INDEX(Y$4:Y1350,MATCH(LARGE(FILTER(W$4:W1350,W$4:W1350&lt;=I740),1),W$4:W1350"&amp;"))+(I740-LARGE(FILTER(W$4:W1350,W$4:W1350&lt;=I740),1))*INDEX(T$4:T1350,MATCH(LARGE(FILTER(W$4:W1350,W$4:W1350&lt;=I740),1),W$4:W1350))-K740),1,
ROUNDDOWN(Y740-INDEX(K$4:K1350,MATCH(LARGE(FILTER(I$4:I1350,I$4:I1350&lt;=W740),1),I$4:I1350))-(W740-LARGE(FILTER(I$4:I"&amp;"1350,I$4:I1350&lt;=W740),1))*INDEX(F$4:F1350,MATCH(LARGE(FILTER(I$4:I1350,I$4:I1350&lt;=W740),1),I$4:I1350))))"),"")</f>
        <v/>
      </c>
      <c r="N740" s="60" t="str">
        <f t="shared" si="8"/>
        <v/>
      </c>
      <c r="O740" s="61" t="str">
        <f t="shared" si="9"/>
        <v/>
      </c>
      <c r="P740" s="56" t="str">
        <f t="shared" si="10"/>
        <v/>
      </c>
      <c r="Q740" s="62"/>
      <c r="R740" s="10" t="str">
        <f>IFERROR(__xludf.DUMMYFUNCTION("IF(COUNTA(Q740:Q1350)=0,"""",IF(ISBLANK(Q740),FALSE,IF(NOT(COUNTIF($AA$24:$AA$34,SUBSTITUTE(Q740,""Sell_"",""""))),1,IF(REGEXMATCH(Q740,""Sell_""),IF(COUNTIF(Q$4:Q740,SUBSTITUTE(Q740,""Sell_"",""""))-COUNTIF(Q$4:Q739,Q740)&lt;1,1),FALSE))))"),"")</f>
        <v/>
      </c>
      <c r="S740" s="59" t="str">
        <f t="array" ref="S740">IF(COUNTA(Q740:Q1350)=0,"",SUM((COUNTIF(Q$4:Q740,Upgrades!$B$3:$B$13)-COUNTIF(Q$4:Q740,"Sell_"&amp;Upgrades!$B$3:$B$13))*Upgrades!$D$3:$D$13))</f>
        <v/>
      </c>
      <c r="T740" s="66" t="str">
        <f>IFERROR(__xludf.DUMMYFUNCTION("IF(COUNTA(Q740:Q1350)=0,"""",IF(REGEXMATCH(INDEX(FILTER(Q$4:Q740,Q$4:Q740&lt;&gt;""""),ROWS(FILTER(Q$4:Q740,Q$4:Q740&lt;&gt;""""))),""^Sell_""),INDEX(FILTER(T$4:T739,Q$4:Q739&lt;&gt;""""),ROWS(FILTER(Q$4:Q739,Q$4:Q739&lt;&gt;""""))),$AD$5+S740))"),"")</f>
        <v/>
      </c>
      <c r="U740" s="10" t="str">
        <f>IFERROR(__xludf.DUMMYFUNCTION("IF(COUNTA(Q740:Q1350)=0,"""",IF(Q740="""",0,IF(REGEXMATCH(Q740,""^Sell_""),-ROUNDDOWN(ROUNDUP(INDEX(Upgrades!$C$3:$C$13,MATCH(SUBSTITUTE(Q740,""Sell_"",""""),Upgrades!$B$3:$B$13,0))*1.15^(COUNTIF(Q$4:Q739,SUBSTITUTE(Q740,""Sell_"",""""))-COUNTIF(Q$4:Q739,"&amp;"""Sell_""&amp;SUBSTITUTE(Q740,""Sell_"",""""))))/2),ROUNDUP(INDEX(Upgrades!$C$3:$C$13,MATCH(Q740,Upgrades!$B$3:$B$13,0))*1.15^(COUNTIF(Q$4:Q739,Q740)-COUNTIF(Q$4:Q739,""Sell_""&amp;Q740))))))"),"")</f>
        <v/>
      </c>
      <c r="V740" s="10" t="str">
        <f t="shared" si="11"/>
        <v/>
      </c>
      <c r="W740" s="68" t="str">
        <f t="shared" si="12"/>
        <v/>
      </c>
      <c r="X740" s="59" t="str">
        <f t="shared" si="13"/>
        <v/>
      </c>
      <c r="Y740" s="69" t="str">
        <f t="shared" si="14"/>
        <v/>
      </c>
      <c r="Z740" s="11"/>
    </row>
    <row r="741">
      <c r="A741" s="8"/>
      <c r="B741" s="56" t="str">
        <f t="shared" si="2"/>
        <v/>
      </c>
      <c r="C741" s="57"/>
      <c r="D741" s="10" t="str">
        <f>IFERROR(__xludf.DUMMYFUNCTION("IF(COUNTA(C741:C1350)=0,"""",IF(ISBLANK(C741),FALSE,IF(NOT(COUNTIF($AA$24:$AA$34,SUBSTITUTE(C741,""Sell_"",""""))),1,IF(REGEXMATCH(C741,""Sell_""),IF(COUNTIF(C$4:C741,SUBSTITUTE(C741,""Sell_"",""""))-COUNTIF(C$4:C740,C741)&lt;1,1),FALSE))))"),"")</f>
        <v/>
      </c>
      <c r="E741" s="59" t="str">
        <f t="array" ref="E741">IF(COUNTA(C741:C1350)=0,"",SUM((COUNTIF(C$4:C741,Upgrades!$B$3:$B$13)-COUNTIF(C$4:C741,"Sell_"&amp;Upgrades!$B$3:$B$13))*Upgrades!$D$3:$D$13))</f>
        <v/>
      </c>
      <c r="F741" s="66" t="str">
        <f>IFERROR(__xludf.DUMMYFUNCTION("IF(COUNTA(C741:C1350)=0,"""",IF(REGEXMATCH(INDEX(FILTER(C$4:C741,C$4:C741&lt;&gt;""""),ROWS(FILTER(C$4:C741,C$4:C741&lt;&gt;""""))),""^Sell_""),INDEX(FILTER(F$4:F740,C$4:C740&lt;&gt;""""),ROWS(FILTER(C$4:C740,C$4:C740&lt;&gt;""""))),$AC$5+E741))"),"")</f>
        <v/>
      </c>
      <c r="G741" s="10" t="str">
        <f>IFERROR(__xludf.DUMMYFUNCTION("IF(COUNTA(C741:C1350)=0,"""",IF(C741="""",0,IF(REGEXMATCH(C741,""^Sell_""),-ROUNDDOWN(ROUNDUP(INDEX(Upgrades!$C$3:$C$13,MATCH(SUBSTITUTE(C741,""Sell_"",""""),Upgrades!$B$3:$B$13,0))*1.15^(COUNTIF(C$4:C740,SUBSTITUTE(C741,""Sell_"",""""))-COUNTIF(C$4:C740,"&amp;"""Sell_""&amp;SUBSTITUTE(C741,""Sell_"",""""))))/2),ROUNDUP(INDEX(Upgrades!$C$3:$C$13,MATCH(C741,Upgrades!$B$3:$B$13,0))*1.15^(COUNTIF(C$4:C740,C741)-COUNTIF(C$4:C740,""Sell_""&amp;C741))))))"),"")</f>
        <v/>
      </c>
      <c r="H741" s="10" t="str">
        <f t="shared" si="3"/>
        <v/>
      </c>
      <c r="I741" s="68" t="str">
        <f t="shared" si="4"/>
        <v/>
      </c>
      <c r="J741" s="59" t="str">
        <f t="shared" si="5"/>
        <v/>
      </c>
      <c r="K741" s="69" t="str">
        <f t="shared" si="6"/>
        <v/>
      </c>
      <c r="L741" s="60" t="str">
        <f t="shared" si="7"/>
        <v/>
      </c>
      <c r="M741" s="61" t="str">
        <f>IFERROR(__xludf.DUMMYFUNCTION("IFS(AND(COUNTA(C741:C1350)=0,COUNTA(Q741:Q1350)=0),"""",OR(AND(K741&gt;=1000000000,OR(Y741&gt;=1000000000,COUNTA(Q741:Q1350)=0)),OR(Y741&gt;=1000000000,AND(COUNTA(C741:C1350)=0,P$3=TRUE))),
ROUNDDOWN((AB$1-AC$1)*MAX(INDEX(T$4:T1350,MATCH(LARGE(FILTER(Y$4:Y1350,Y$4"&amp;":Y1350&lt;1000000000),1),Y$4:Y1350)),INDEX(F$4:F1350,MATCH(LARGE(FILTER(K$4:K1350,K$4:K1350&lt;1000000000),1),K$4:K1350)))),AND(K741&lt;1000000000,COUNTA(C741:C1350)&gt;0,P$3=FALSE),
ROUNDDOWN(INDEX(Y$4:Y1350,MATCH(LARGE(FILTER(W$4:W1350,W$4:W1350&lt;=I741),1),W$4:W1350"&amp;"))+(I741-LARGE(FILTER(W$4:W1350,W$4:W1350&lt;=I741),1))*INDEX(T$4:T1350,MATCH(LARGE(FILTER(W$4:W1350,W$4:W1350&lt;=I741),1),W$4:W1350))-K741),1,
ROUNDDOWN(Y741-INDEX(K$4:K1350,MATCH(LARGE(FILTER(I$4:I1350,I$4:I1350&lt;=W741),1),I$4:I1350))-(W741-LARGE(FILTER(I$4:I"&amp;"1350,I$4:I1350&lt;=W741),1))*INDEX(F$4:F1350,MATCH(LARGE(FILTER(I$4:I1350,I$4:I1350&lt;=W741),1),I$4:I1350))))"),"")</f>
        <v/>
      </c>
      <c r="N741" s="60" t="str">
        <f t="shared" si="8"/>
        <v/>
      </c>
      <c r="O741" s="61" t="str">
        <f t="shared" si="9"/>
        <v/>
      </c>
      <c r="P741" s="56" t="str">
        <f t="shared" si="10"/>
        <v/>
      </c>
      <c r="Q741" s="62"/>
      <c r="R741" s="10" t="str">
        <f>IFERROR(__xludf.DUMMYFUNCTION("IF(COUNTA(Q741:Q1350)=0,"""",IF(ISBLANK(Q741),FALSE,IF(NOT(COUNTIF($AA$24:$AA$34,SUBSTITUTE(Q741,""Sell_"",""""))),1,IF(REGEXMATCH(Q741,""Sell_""),IF(COUNTIF(Q$4:Q741,SUBSTITUTE(Q741,""Sell_"",""""))-COUNTIF(Q$4:Q740,Q741)&lt;1,1),FALSE))))"),"")</f>
        <v/>
      </c>
      <c r="S741" s="59" t="str">
        <f t="array" ref="S741">IF(COUNTA(Q741:Q1350)=0,"",SUM((COUNTIF(Q$4:Q741,Upgrades!$B$3:$B$13)-COUNTIF(Q$4:Q741,"Sell_"&amp;Upgrades!$B$3:$B$13))*Upgrades!$D$3:$D$13))</f>
        <v/>
      </c>
      <c r="T741" s="66" t="str">
        <f>IFERROR(__xludf.DUMMYFUNCTION("IF(COUNTA(Q741:Q1350)=0,"""",IF(REGEXMATCH(INDEX(FILTER(Q$4:Q741,Q$4:Q741&lt;&gt;""""),ROWS(FILTER(Q$4:Q741,Q$4:Q741&lt;&gt;""""))),""^Sell_""),INDEX(FILTER(T$4:T740,Q$4:Q740&lt;&gt;""""),ROWS(FILTER(Q$4:Q740,Q$4:Q740&lt;&gt;""""))),$AD$5+S741))"),"")</f>
        <v/>
      </c>
      <c r="U741" s="10" t="str">
        <f>IFERROR(__xludf.DUMMYFUNCTION("IF(COUNTA(Q741:Q1350)=0,"""",IF(Q741="""",0,IF(REGEXMATCH(Q741,""^Sell_""),-ROUNDDOWN(ROUNDUP(INDEX(Upgrades!$C$3:$C$13,MATCH(SUBSTITUTE(Q741,""Sell_"",""""),Upgrades!$B$3:$B$13,0))*1.15^(COUNTIF(Q$4:Q740,SUBSTITUTE(Q741,""Sell_"",""""))-COUNTIF(Q$4:Q740,"&amp;"""Sell_""&amp;SUBSTITUTE(Q741,""Sell_"",""""))))/2),ROUNDUP(INDEX(Upgrades!$C$3:$C$13,MATCH(Q741,Upgrades!$B$3:$B$13,0))*1.15^(COUNTIF(Q$4:Q740,Q741)-COUNTIF(Q$4:Q740,""Sell_""&amp;Q741))))))"),"")</f>
        <v/>
      </c>
      <c r="V741" s="10" t="str">
        <f t="shared" si="11"/>
        <v/>
      </c>
      <c r="W741" s="68" t="str">
        <f t="shared" si="12"/>
        <v/>
      </c>
      <c r="X741" s="59" t="str">
        <f t="shared" si="13"/>
        <v/>
      </c>
      <c r="Y741" s="69" t="str">
        <f t="shared" si="14"/>
        <v/>
      </c>
      <c r="Z741" s="11"/>
    </row>
    <row r="742">
      <c r="A742" s="8"/>
      <c r="B742" s="56" t="str">
        <f t="shared" si="2"/>
        <v/>
      </c>
      <c r="C742" s="57"/>
      <c r="D742" s="10" t="str">
        <f>IFERROR(__xludf.DUMMYFUNCTION("IF(COUNTA(C742:C1350)=0,"""",IF(ISBLANK(C742),FALSE,IF(NOT(COUNTIF($AA$24:$AA$34,SUBSTITUTE(C742,""Sell_"",""""))),1,IF(REGEXMATCH(C742,""Sell_""),IF(COUNTIF(C$4:C742,SUBSTITUTE(C742,""Sell_"",""""))-COUNTIF(C$4:C741,C742)&lt;1,1),FALSE))))"),"")</f>
        <v/>
      </c>
      <c r="E742" s="59" t="str">
        <f t="array" ref="E742">IF(COUNTA(C742:C1350)=0,"",SUM((COUNTIF(C$4:C742,Upgrades!$B$3:$B$13)-COUNTIF(C$4:C742,"Sell_"&amp;Upgrades!$B$3:$B$13))*Upgrades!$D$3:$D$13))</f>
        <v/>
      </c>
      <c r="F742" s="66" t="str">
        <f>IFERROR(__xludf.DUMMYFUNCTION("IF(COUNTA(C742:C1350)=0,"""",IF(REGEXMATCH(INDEX(FILTER(C$4:C742,C$4:C742&lt;&gt;""""),ROWS(FILTER(C$4:C742,C$4:C742&lt;&gt;""""))),""^Sell_""),INDEX(FILTER(F$4:F741,C$4:C741&lt;&gt;""""),ROWS(FILTER(C$4:C741,C$4:C741&lt;&gt;""""))),$AC$5+E742))"),"")</f>
        <v/>
      </c>
      <c r="G742" s="10" t="str">
        <f>IFERROR(__xludf.DUMMYFUNCTION("IF(COUNTA(C742:C1350)=0,"""",IF(C742="""",0,IF(REGEXMATCH(C742,""^Sell_""),-ROUNDDOWN(ROUNDUP(INDEX(Upgrades!$C$3:$C$13,MATCH(SUBSTITUTE(C742,""Sell_"",""""),Upgrades!$B$3:$B$13,0))*1.15^(COUNTIF(C$4:C741,SUBSTITUTE(C742,""Sell_"",""""))-COUNTIF(C$4:C741,"&amp;"""Sell_""&amp;SUBSTITUTE(C742,""Sell_"",""""))))/2),ROUNDUP(INDEX(Upgrades!$C$3:$C$13,MATCH(C742,Upgrades!$B$3:$B$13,0))*1.15^(COUNTIF(C$4:C741,C742)-COUNTIF(C$4:C741,""Sell_""&amp;C742))))))"),"")</f>
        <v/>
      </c>
      <c r="H742" s="10" t="str">
        <f t="shared" si="3"/>
        <v/>
      </c>
      <c r="I742" s="68" t="str">
        <f t="shared" si="4"/>
        <v/>
      </c>
      <c r="J742" s="59" t="str">
        <f t="shared" si="5"/>
        <v/>
      </c>
      <c r="K742" s="69" t="str">
        <f t="shared" si="6"/>
        <v/>
      </c>
      <c r="L742" s="60" t="str">
        <f t="shared" si="7"/>
        <v/>
      </c>
      <c r="M742" s="61" t="str">
        <f>IFERROR(__xludf.DUMMYFUNCTION("IFS(AND(COUNTA(C742:C1350)=0,COUNTA(Q742:Q1350)=0),"""",OR(AND(K742&gt;=1000000000,OR(Y742&gt;=1000000000,COUNTA(Q742:Q1350)=0)),OR(Y742&gt;=1000000000,AND(COUNTA(C742:C1350)=0,P$3=TRUE))),
ROUNDDOWN((AB$1-AC$1)*MAX(INDEX(T$4:T1350,MATCH(LARGE(FILTER(Y$4:Y1350,Y$4"&amp;":Y1350&lt;1000000000),1),Y$4:Y1350)),INDEX(F$4:F1350,MATCH(LARGE(FILTER(K$4:K1350,K$4:K1350&lt;1000000000),1),K$4:K1350)))),AND(K742&lt;1000000000,COUNTA(C742:C1350)&gt;0,P$3=FALSE),
ROUNDDOWN(INDEX(Y$4:Y1350,MATCH(LARGE(FILTER(W$4:W1350,W$4:W1350&lt;=I742),1),W$4:W1350"&amp;"))+(I742-LARGE(FILTER(W$4:W1350,W$4:W1350&lt;=I742),1))*INDEX(T$4:T1350,MATCH(LARGE(FILTER(W$4:W1350,W$4:W1350&lt;=I742),1),W$4:W1350))-K742),1,
ROUNDDOWN(Y742-INDEX(K$4:K1350,MATCH(LARGE(FILTER(I$4:I1350,I$4:I1350&lt;=W742),1),I$4:I1350))-(W742-LARGE(FILTER(I$4:I"&amp;"1350,I$4:I1350&lt;=W742),1))*INDEX(F$4:F1350,MATCH(LARGE(FILTER(I$4:I1350,I$4:I1350&lt;=W742),1),I$4:I1350))))"),"")</f>
        <v/>
      </c>
      <c r="N742" s="60" t="str">
        <f t="shared" si="8"/>
        <v/>
      </c>
      <c r="O742" s="61" t="str">
        <f t="shared" si="9"/>
        <v/>
      </c>
      <c r="P742" s="56" t="str">
        <f t="shared" si="10"/>
        <v/>
      </c>
      <c r="Q742" s="62"/>
      <c r="R742" s="10" t="str">
        <f>IFERROR(__xludf.DUMMYFUNCTION("IF(COUNTA(Q742:Q1350)=0,"""",IF(ISBLANK(Q742),FALSE,IF(NOT(COUNTIF($AA$24:$AA$34,SUBSTITUTE(Q742,""Sell_"",""""))),1,IF(REGEXMATCH(Q742,""Sell_""),IF(COUNTIF(Q$4:Q742,SUBSTITUTE(Q742,""Sell_"",""""))-COUNTIF(Q$4:Q741,Q742)&lt;1,1),FALSE))))"),"")</f>
        <v/>
      </c>
      <c r="S742" s="59" t="str">
        <f t="array" ref="S742">IF(COUNTA(Q742:Q1350)=0,"",SUM((COUNTIF(Q$4:Q742,Upgrades!$B$3:$B$13)-COUNTIF(Q$4:Q742,"Sell_"&amp;Upgrades!$B$3:$B$13))*Upgrades!$D$3:$D$13))</f>
        <v/>
      </c>
      <c r="T742" s="66" t="str">
        <f>IFERROR(__xludf.DUMMYFUNCTION("IF(COUNTA(Q742:Q1350)=0,"""",IF(REGEXMATCH(INDEX(FILTER(Q$4:Q742,Q$4:Q742&lt;&gt;""""),ROWS(FILTER(Q$4:Q742,Q$4:Q742&lt;&gt;""""))),""^Sell_""),INDEX(FILTER(T$4:T741,Q$4:Q741&lt;&gt;""""),ROWS(FILTER(Q$4:Q741,Q$4:Q741&lt;&gt;""""))),$AD$5+S742))"),"")</f>
        <v/>
      </c>
      <c r="U742" s="10" t="str">
        <f>IFERROR(__xludf.DUMMYFUNCTION("IF(COUNTA(Q742:Q1350)=0,"""",IF(Q742="""",0,IF(REGEXMATCH(Q742,""^Sell_""),-ROUNDDOWN(ROUNDUP(INDEX(Upgrades!$C$3:$C$13,MATCH(SUBSTITUTE(Q742,""Sell_"",""""),Upgrades!$B$3:$B$13,0))*1.15^(COUNTIF(Q$4:Q741,SUBSTITUTE(Q742,""Sell_"",""""))-COUNTIF(Q$4:Q741,"&amp;"""Sell_""&amp;SUBSTITUTE(Q742,""Sell_"",""""))))/2),ROUNDUP(INDEX(Upgrades!$C$3:$C$13,MATCH(Q742,Upgrades!$B$3:$B$13,0))*1.15^(COUNTIF(Q$4:Q741,Q742)-COUNTIF(Q$4:Q741,""Sell_""&amp;Q742))))))"),"")</f>
        <v/>
      </c>
      <c r="V742" s="10" t="str">
        <f t="shared" si="11"/>
        <v/>
      </c>
      <c r="W742" s="68" t="str">
        <f t="shared" si="12"/>
        <v/>
      </c>
      <c r="X742" s="59" t="str">
        <f t="shared" si="13"/>
        <v/>
      </c>
      <c r="Y742" s="69" t="str">
        <f t="shared" si="14"/>
        <v/>
      </c>
      <c r="Z742" s="11"/>
    </row>
    <row r="743">
      <c r="A743" s="8"/>
      <c r="B743" s="56" t="str">
        <f t="shared" si="2"/>
        <v/>
      </c>
      <c r="C743" s="57"/>
      <c r="D743" s="10" t="str">
        <f>IFERROR(__xludf.DUMMYFUNCTION("IF(COUNTA(C743:C1350)=0,"""",IF(ISBLANK(C743),FALSE,IF(NOT(COUNTIF($AA$24:$AA$34,SUBSTITUTE(C743,""Sell_"",""""))),1,IF(REGEXMATCH(C743,""Sell_""),IF(COUNTIF(C$4:C743,SUBSTITUTE(C743,""Sell_"",""""))-COUNTIF(C$4:C742,C743)&lt;1,1),FALSE))))"),"")</f>
        <v/>
      </c>
      <c r="E743" s="59" t="str">
        <f t="array" ref="E743">IF(COUNTA(C743:C1350)=0,"",SUM((COUNTIF(C$4:C743,Upgrades!$B$3:$B$13)-COUNTIF(C$4:C743,"Sell_"&amp;Upgrades!$B$3:$B$13))*Upgrades!$D$3:$D$13))</f>
        <v/>
      </c>
      <c r="F743" s="66" t="str">
        <f>IFERROR(__xludf.DUMMYFUNCTION("IF(COUNTA(C743:C1350)=0,"""",IF(REGEXMATCH(INDEX(FILTER(C$4:C743,C$4:C743&lt;&gt;""""),ROWS(FILTER(C$4:C743,C$4:C743&lt;&gt;""""))),""^Sell_""),INDEX(FILTER(F$4:F742,C$4:C742&lt;&gt;""""),ROWS(FILTER(C$4:C742,C$4:C742&lt;&gt;""""))),$AC$5+E743))"),"")</f>
        <v/>
      </c>
      <c r="G743" s="10" t="str">
        <f>IFERROR(__xludf.DUMMYFUNCTION("IF(COUNTA(C743:C1350)=0,"""",IF(C743="""",0,IF(REGEXMATCH(C743,""^Sell_""),-ROUNDDOWN(ROUNDUP(INDEX(Upgrades!$C$3:$C$13,MATCH(SUBSTITUTE(C743,""Sell_"",""""),Upgrades!$B$3:$B$13,0))*1.15^(COUNTIF(C$4:C742,SUBSTITUTE(C743,""Sell_"",""""))-COUNTIF(C$4:C742,"&amp;"""Sell_""&amp;SUBSTITUTE(C743,""Sell_"",""""))))/2),ROUNDUP(INDEX(Upgrades!$C$3:$C$13,MATCH(C743,Upgrades!$B$3:$B$13,0))*1.15^(COUNTIF(C$4:C742,C743)-COUNTIF(C$4:C742,""Sell_""&amp;C743))))))"),"")</f>
        <v/>
      </c>
      <c r="H743" s="10" t="str">
        <f t="shared" si="3"/>
        <v/>
      </c>
      <c r="I743" s="68" t="str">
        <f t="shared" si="4"/>
        <v/>
      </c>
      <c r="J743" s="59" t="str">
        <f t="shared" si="5"/>
        <v/>
      </c>
      <c r="K743" s="69" t="str">
        <f t="shared" si="6"/>
        <v/>
      </c>
      <c r="L743" s="60" t="str">
        <f t="shared" si="7"/>
        <v/>
      </c>
      <c r="M743" s="61" t="str">
        <f>IFERROR(__xludf.DUMMYFUNCTION("IFS(AND(COUNTA(C743:C1350)=0,COUNTA(Q743:Q1350)=0),"""",OR(AND(K743&gt;=1000000000,OR(Y743&gt;=1000000000,COUNTA(Q743:Q1350)=0)),OR(Y743&gt;=1000000000,AND(COUNTA(C743:C1350)=0,P$3=TRUE))),
ROUNDDOWN((AB$1-AC$1)*MAX(INDEX(T$4:T1350,MATCH(LARGE(FILTER(Y$4:Y1350,Y$4"&amp;":Y1350&lt;1000000000),1),Y$4:Y1350)),INDEX(F$4:F1350,MATCH(LARGE(FILTER(K$4:K1350,K$4:K1350&lt;1000000000),1),K$4:K1350)))),AND(K743&lt;1000000000,COUNTA(C743:C1350)&gt;0,P$3=FALSE),
ROUNDDOWN(INDEX(Y$4:Y1350,MATCH(LARGE(FILTER(W$4:W1350,W$4:W1350&lt;=I743),1),W$4:W1350"&amp;"))+(I743-LARGE(FILTER(W$4:W1350,W$4:W1350&lt;=I743),1))*INDEX(T$4:T1350,MATCH(LARGE(FILTER(W$4:W1350,W$4:W1350&lt;=I743),1),W$4:W1350))-K743),1,
ROUNDDOWN(Y743-INDEX(K$4:K1350,MATCH(LARGE(FILTER(I$4:I1350,I$4:I1350&lt;=W743),1),I$4:I1350))-(W743-LARGE(FILTER(I$4:I"&amp;"1350,I$4:I1350&lt;=W743),1))*INDEX(F$4:F1350,MATCH(LARGE(FILTER(I$4:I1350,I$4:I1350&lt;=W743),1),I$4:I1350))))"),"")</f>
        <v/>
      </c>
      <c r="N743" s="60" t="str">
        <f t="shared" si="8"/>
        <v/>
      </c>
      <c r="O743" s="61" t="str">
        <f t="shared" si="9"/>
        <v/>
      </c>
      <c r="P743" s="56" t="str">
        <f t="shared" si="10"/>
        <v/>
      </c>
      <c r="Q743" s="62"/>
      <c r="R743" s="10" t="str">
        <f>IFERROR(__xludf.DUMMYFUNCTION("IF(COUNTA(Q743:Q1350)=0,"""",IF(ISBLANK(Q743),FALSE,IF(NOT(COUNTIF($AA$24:$AA$34,SUBSTITUTE(Q743,""Sell_"",""""))),1,IF(REGEXMATCH(Q743,""Sell_""),IF(COUNTIF(Q$4:Q743,SUBSTITUTE(Q743,""Sell_"",""""))-COUNTIF(Q$4:Q742,Q743)&lt;1,1),FALSE))))"),"")</f>
        <v/>
      </c>
      <c r="S743" s="59" t="str">
        <f t="array" ref="S743">IF(COUNTA(Q743:Q1350)=0,"",SUM((COUNTIF(Q$4:Q743,Upgrades!$B$3:$B$13)-COUNTIF(Q$4:Q743,"Sell_"&amp;Upgrades!$B$3:$B$13))*Upgrades!$D$3:$D$13))</f>
        <v/>
      </c>
      <c r="T743" s="66" t="str">
        <f>IFERROR(__xludf.DUMMYFUNCTION("IF(COUNTA(Q743:Q1350)=0,"""",IF(REGEXMATCH(INDEX(FILTER(Q$4:Q743,Q$4:Q743&lt;&gt;""""),ROWS(FILTER(Q$4:Q743,Q$4:Q743&lt;&gt;""""))),""^Sell_""),INDEX(FILTER(T$4:T742,Q$4:Q742&lt;&gt;""""),ROWS(FILTER(Q$4:Q742,Q$4:Q742&lt;&gt;""""))),$AD$5+S743))"),"")</f>
        <v/>
      </c>
      <c r="U743" s="10" t="str">
        <f>IFERROR(__xludf.DUMMYFUNCTION("IF(COUNTA(Q743:Q1350)=0,"""",IF(Q743="""",0,IF(REGEXMATCH(Q743,""^Sell_""),-ROUNDDOWN(ROUNDUP(INDEX(Upgrades!$C$3:$C$13,MATCH(SUBSTITUTE(Q743,""Sell_"",""""),Upgrades!$B$3:$B$13,0))*1.15^(COUNTIF(Q$4:Q742,SUBSTITUTE(Q743,""Sell_"",""""))-COUNTIF(Q$4:Q742,"&amp;"""Sell_""&amp;SUBSTITUTE(Q743,""Sell_"",""""))))/2),ROUNDUP(INDEX(Upgrades!$C$3:$C$13,MATCH(Q743,Upgrades!$B$3:$B$13,0))*1.15^(COUNTIF(Q$4:Q742,Q743)-COUNTIF(Q$4:Q742,""Sell_""&amp;Q743))))))"),"")</f>
        <v/>
      </c>
      <c r="V743" s="10" t="str">
        <f t="shared" si="11"/>
        <v/>
      </c>
      <c r="W743" s="68" t="str">
        <f t="shared" si="12"/>
        <v/>
      </c>
      <c r="X743" s="59" t="str">
        <f t="shared" si="13"/>
        <v/>
      </c>
      <c r="Y743" s="69" t="str">
        <f t="shared" si="14"/>
        <v/>
      </c>
      <c r="Z743" s="11"/>
    </row>
    <row r="744">
      <c r="A744" s="8"/>
      <c r="B744" s="56" t="str">
        <f t="shared" si="2"/>
        <v/>
      </c>
      <c r="C744" s="57"/>
      <c r="D744" s="10" t="str">
        <f>IFERROR(__xludf.DUMMYFUNCTION("IF(COUNTA(C744:C1350)=0,"""",IF(ISBLANK(C744),FALSE,IF(NOT(COUNTIF($AA$24:$AA$34,SUBSTITUTE(C744,""Sell_"",""""))),1,IF(REGEXMATCH(C744,""Sell_""),IF(COUNTIF(C$4:C744,SUBSTITUTE(C744,""Sell_"",""""))-COUNTIF(C$4:C743,C744)&lt;1,1),FALSE))))"),"")</f>
        <v/>
      </c>
      <c r="E744" s="59" t="str">
        <f t="array" ref="E744">IF(COUNTA(C744:C1350)=0,"",SUM((COUNTIF(C$4:C744,Upgrades!$B$3:$B$13)-COUNTIF(C$4:C744,"Sell_"&amp;Upgrades!$B$3:$B$13))*Upgrades!$D$3:$D$13))</f>
        <v/>
      </c>
      <c r="F744" s="66" t="str">
        <f>IFERROR(__xludf.DUMMYFUNCTION("IF(COUNTA(C744:C1350)=0,"""",IF(REGEXMATCH(INDEX(FILTER(C$4:C744,C$4:C744&lt;&gt;""""),ROWS(FILTER(C$4:C744,C$4:C744&lt;&gt;""""))),""^Sell_""),INDEX(FILTER(F$4:F743,C$4:C743&lt;&gt;""""),ROWS(FILTER(C$4:C743,C$4:C743&lt;&gt;""""))),$AC$5+E744))"),"")</f>
        <v/>
      </c>
      <c r="G744" s="10" t="str">
        <f>IFERROR(__xludf.DUMMYFUNCTION("IF(COUNTA(C744:C1350)=0,"""",IF(C744="""",0,IF(REGEXMATCH(C744,""^Sell_""),-ROUNDDOWN(ROUNDUP(INDEX(Upgrades!$C$3:$C$13,MATCH(SUBSTITUTE(C744,""Sell_"",""""),Upgrades!$B$3:$B$13,0))*1.15^(COUNTIF(C$4:C743,SUBSTITUTE(C744,""Sell_"",""""))-COUNTIF(C$4:C743,"&amp;"""Sell_""&amp;SUBSTITUTE(C744,""Sell_"",""""))))/2),ROUNDUP(INDEX(Upgrades!$C$3:$C$13,MATCH(C744,Upgrades!$B$3:$B$13,0))*1.15^(COUNTIF(C$4:C743,C744)-COUNTIF(C$4:C743,""Sell_""&amp;C744))))))"),"")</f>
        <v/>
      </c>
      <c r="H744" s="10" t="str">
        <f t="shared" si="3"/>
        <v/>
      </c>
      <c r="I744" s="68" t="str">
        <f t="shared" si="4"/>
        <v/>
      </c>
      <c r="J744" s="59" t="str">
        <f t="shared" si="5"/>
        <v/>
      </c>
      <c r="K744" s="69" t="str">
        <f t="shared" si="6"/>
        <v/>
      </c>
      <c r="L744" s="60" t="str">
        <f t="shared" si="7"/>
        <v/>
      </c>
      <c r="M744" s="61" t="str">
        <f>IFERROR(__xludf.DUMMYFUNCTION("IFS(AND(COUNTA(C744:C1350)=0,COUNTA(Q744:Q1350)=0),"""",OR(AND(K744&gt;=1000000000,OR(Y744&gt;=1000000000,COUNTA(Q744:Q1350)=0)),OR(Y744&gt;=1000000000,AND(COUNTA(C744:C1350)=0,P$3=TRUE))),
ROUNDDOWN((AB$1-AC$1)*MAX(INDEX(T$4:T1350,MATCH(LARGE(FILTER(Y$4:Y1350,Y$4"&amp;":Y1350&lt;1000000000),1),Y$4:Y1350)),INDEX(F$4:F1350,MATCH(LARGE(FILTER(K$4:K1350,K$4:K1350&lt;1000000000),1),K$4:K1350)))),AND(K744&lt;1000000000,COUNTA(C744:C1350)&gt;0,P$3=FALSE),
ROUNDDOWN(INDEX(Y$4:Y1350,MATCH(LARGE(FILTER(W$4:W1350,W$4:W1350&lt;=I744),1),W$4:W1350"&amp;"))+(I744-LARGE(FILTER(W$4:W1350,W$4:W1350&lt;=I744),1))*INDEX(T$4:T1350,MATCH(LARGE(FILTER(W$4:W1350,W$4:W1350&lt;=I744),1),W$4:W1350))-K744),1,
ROUNDDOWN(Y744-INDEX(K$4:K1350,MATCH(LARGE(FILTER(I$4:I1350,I$4:I1350&lt;=W744),1),I$4:I1350))-(W744-LARGE(FILTER(I$4:I"&amp;"1350,I$4:I1350&lt;=W744),1))*INDEX(F$4:F1350,MATCH(LARGE(FILTER(I$4:I1350,I$4:I1350&lt;=W744),1),I$4:I1350))))"),"")</f>
        <v/>
      </c>
      <c r="N744" s="60" t="str">
        <f t="shared" si="8"/>
        <v/>
      </c>
      <c r="O744" s="61" t="str">
        <f t="shared" si="9"/>
        <v/>
      </c>
      <c r="P744" s="56" t="str">
        <f t="shared" si="10"/>
        <v/>
      </c>
      <c r="Q744" s="62"/>
      <c r="R744" s="10" t="str">
        <f>IFERROR(__xludf.DUMMYFUNCTION("IF(COUNTA(Q744:Q1350)=0,"""",IF(ISBLANK(Q744),FALSE,IF(NOT(COUNTIF($AA$24:$AA$34,SUBSTITUTE(Q744,""Sell_"",""""))),1,IF(REGEXMATCH(Q744,""Sell_""),IF(COUNTIF(Q$4:Q744,SUBSTITUTE(Q744,""Sell_"",""""))-COUNTIF(Q$4:Q743,Q744)&lt;1,1),FALSE))))"),"")</f>
        <v/>
      </c>
      <c r="S744" s="59" t="str">
        <f t="array" ref="S744">IF(COUNTA(Q744:Q1350)=0,"",SUM((COUNTIF(Q$4:Q744,Upgrades!$B$3:$B$13)-COUNTIF(Q$4:Q744,"Sell_"&amp;Upgrades!$B$3:$B$13))*Upgrades!$D$3:$D$13))</f>
        <v/>
      </c>
      <c r="T744" s="66" t="str">
        <f>IFERROR(__xludf.DUMMYFUNCTION("IF(COUNTA(Q744:Q1350)=0,"""",IF(REGEXMATCH(INDEX(FILTER(Q$4:Q744,Q$4:Q744&lt;&gt;""""),ROWS(FILTER(Q$4:Q744,Q$4:Q744&lt;&gt;""""))),""^Sell_""),INDEX(FILTER(T$4:T743,Q$4:Q743&lt;&gt;""""),ROWS(FILTER(Q$4:Q743,Q$4:Q743&lt;&gt;""""))),$AD$5+S744))"),"")</f>
        <v/>
      </c>
      <c r="U744" s="10" t="str">
        <f>IFERROR(__xludf.DUMMYFUNCTION("IF(COUNTA(Q744:Q1350)=0,"""",IF(Q744="""",0,IF(REGEXMATCH(Q744,""^Sell_""),-ROUNDDOWN(ROUNDUP(INDEX(Upgrades!$C$3:$C$13,MATCH(SUBSTITUTE(Q744,""Sell_"",""""),Upgrades!$B$3:$B$13,0))*1.15^(COUNTIF(Q$4:Q743,SUBSTITUTE(Q744,""Sell_"",""""))-COUNTIF(Q$4:Q743,"&amp;"""Sell_""&amp;SUBSTITUTE(Q744,""Sell_"",""""))))/2),ROUNDUP(INDEX(Upgrades!$C$3:$C$13,MATCH(Q744,Upgrades!$B$3:$B$13,0))*1.15^(COUNTIF(Q$4:Q743,Q744)-COUNTIF(Q$4:Q743,""Sell_""&amp;Q744))))))"),"")</f>
        <v/>
      </c>
      <c r="V744" s="10" t="str">
        <f t="shared" si="11"/>
        <v/>
      </c>
      <c r="W744" s="68" t="str">
        <f t="shared" si="12"/>
        <v/>
      </c>
      <c r="X744" s="59" t="str">
        <f t="shared" si="13"/>
        <v/>
      </c>
      <c r="Y744" s="69" t="str">
        <f t="shared" si="14"/>
        <v/>
      </c>
      <c r="Z744" s="11"/>
    </row>
    <row r="745">
      <c r="A745" s="8"/>
      <c r="B745" s="56" t="str">
        <f t="shared" si="2"/>
        <v/>
      </c>
      <c r="C745" s="57"/>
      <c r="D745" s="10" t="str">
        <f>IFERROR(__xludf.DUMMYFUNCTION("IF(COUNTA(C745:C1350)=0,"""",IF(ISBLANK(C745),FALSE,IF(NOT(COUNTIF($AA$24:$AA$34,SUBSTITUTE(C745,""Sell_"",""""))),1,IF(REGEXMATCH(C745,""Sell_""),IF(COUNTIF(C$4:C745,SUBSTITUTE(C745,""Sell_"",""""))-COUNTIF(C$4:C744,C745)&lt;1,1),FALSE))))"),"")</f>
        <v/>
      </c>
      <c r="E745" s="59" t="str">
        <f t="array" ref="E745">IF(COUNTA(C745:C1350)=0,"",SUM((COUNTIF(C$4:C745,Upgrades!$B$3:$B$13)-COUNTIF(C$4:C745,"Sell_"&amp;Upgrades!$B$3:$B$13))*Upgrades!$D$3:$D$13))</f>
        <v/>
      </c>
      <c r="F745" s="66" t="str">
        <f>IFERROR(__xludf.DUMMYFUNCTION("IF(COUNTA(C745:C1350)=0,"""",IF(REGEXMATCH(INDEX(FILTER(C$4:C745,C$4:C745&lt;&gt;""""),ROWS(FILTER(C$4:C745,C$4:C745&lt;&gt;""""))),""^Sell_""),INDEX(FILTER(F$4:F744,C$4:C744&lt;&gt;""""),ROWS(FILTER(C$4:C744,C$4:C744&lt;&gt;""""))),$AC$5+E745))"),"")</f>
        <v/>
      </c>
      <c r="G745" s="10" t="str">
        <f>IFERROR(__xludf.DUMMYFUNCTION("IF(COUNTA(C745:C1350)=0,"""",IF(C745="""",0,IF(REGEXMATCH(C745,""^Sell_""),-ROUNDDOWN(ROUNDUP(INDEX(Upgrades!$C$3:$C$13,MATCH(SUBSTITUTE(C745,""Sell_"",""""),Upgrades!$B$3:$B$13,0))*1.15^(COUNTIF(C$4:C744,SUBSTITUTE(C745,""Sell_"",""""))-COUNTIF(C$4:C744,"&amp;"""Sell_""&amp;SUBSTITUTE(C745,""Sell_"",""""))))/2),ROUNDUP(INDEX(Upgrades!$C$3:$C$13,MATCH(C745,Upgrades!$B$3:$B$13,0))*1.15^(COUNTIF(C$4:C744,C745)-COUNTIF(C$4:C744,""Sell_""&amp;C745))))))"),"")</f>
        <v/>
      </c>
      <c r="H745" s="10" t="str">
        <f t="shared" si="3"/>
        <v/>
      </c>
      <c r="I745" s="68" t="str">
        <f t="shared" si="4"/>
        <v/>
      </c>
      <c r="J745" s="59" t="str">
        <f t="shared" si="5"/>
        <v/>
      </c>
      <c r="K745" s="69" t="str">
        <f t="shared" si="6"/>
        <v/>
      </c>
      <c r="L745" s="60" t="str">
        <f t="shared" si="7"/>
        <v/>
      </c>
      <c r="M745" s="61" t="str">
        <f>IFERROR(__xludf.DUMMYFUNCTION("IFS(AND(COUNTA(C745:C1350)=0,COUNTA(Q745:Q1350)=0),"""",OR(AND(K745&gt;=1000000000,OR(Y745&gt;=1000000000,COUNTA(Q745:Q1350)=0)),OR(Y745&gt;=1000000000,AND(COUNTA(C745:C1350)=0,P$3=TRUE))),
ROUNDDOWN((AB$1-AC$1)*MAX(INDEX(T$4:T1350,MATCH(LARGE(FILTER(Y$4:Y1350,Y$4"&amp;":Y1350&lt;1000000000),1),Y$4:Y1350)),INDEX(F$4:F1350,MATCH(LARGE(FILTER(K$4:K1350,K$4:K1350&lt;1000000000),1),K$4:K1350)))),AND(K745&lt;1000000000,COUNTA(C745:C1350)&gt;0,P$3=FALSE),
ROUNDDOWN(INDEX(Y$4:Y1350,MATCH(LARGE(FILTER(W$4:W1350,W$4:W1350&lt;=I745),1),W$4:W1350"&amp;"))+(I745-LARGE(FILTER(W$4:W1350,W$4:W1350&lt;=I745),1))*INDEX(T$4:T1350,MATCH(LARGE(FILTER(W$4:W1350,W$4:W1350&lt;=I745),1),W$4:W1350))-K745),1,
ROUNDDOWN(Y745-INDEX(K$4:K1350,MATCH(LARGE(FILTER(I$4:I1350,I$4:I1350&lt;=W745),1),I$4:I1350))-(W745-LARGE(FILTER(I$4:I"&amp;"1350,I$4:I1350&lt;=W745),1))*INDEX(F$4:F1350,MATCH(LARGE(FILTER(I$4:I1350,I$4:I1350&lt;=W745),1),I$4:I1350))))"),"")</f>
        <v/>
      </c>
      <c r="N745" s="60" t="str">
        <f t="shared" si="8"/>
        <v/>
      </c>
      <c r="O745" s="61" t="str">
        <f t="shared" si="9"/>
        <v/>
      </c>
      <c r="P745" s="56" t="str">
        <f t="shared" si="10"/>
        <v/>
      </c>
      <c r="Q745" s="62"/>
      <c r="R745" s="10" t="str">
        <f>IFERROR(__xludf.DUMMYFUNCTION("IF(COUNTA(Q745:Q1350)=0,"""",IF(ISBLANK(Q745),FALSE,IF(NOT(COUNTIF($AA$24:$AA$34,SUBSTITUTE(Q745,""Sell_"",""""))),1,IF(REGEXMATCH(Q745,""Sell_""),IF(COUNTIF(Q$4:Q745,SUBSTITUTE(Q745,""Sell_"",""""))-COUNTIF(Q$4:Q744,Q745)&lt;1,1),FALSE))))"),"")</f>
        <v/>
      </c>
      <c r="S745" s="59" t="str">
        <f t="array" ref="S745">IF(COUNTA(Q745:Q1350)=0,"",SUM((COUNTIF(Q$4:Q745,Upgrades!$B$3:$B$13)-COUNTIF(Q$4:Q745,"Sell_"&amp;Upgrades!$B$3:$B$13))*Upgrades!$D$3:$D$13))</f>
        <v/>
      </c>
      <c r="T745" s="66" t="str">
        <f>IFERROR(__xludf.DUMMYFUNCTION("IF(COUNTA(Q745:Q1350)=0,"""",IF(REGEXMATCH(INDEX(FILTER(Q$4:Q745,Q$4:Q745&lt;&gt;""""),ROWS(FILTER(Q$4:Q745,Q$4:Q745&lt;&gt;""""))),""^Sell_""),INDEX(FILTER(T$4:T744,Q$4:Q744&lt;&gt;""""),ROWS(FILTER(Q$4:Q744,Q$4:Q744&lt;&gt;""""))),$AD$5+S745))"),"")</f>
        <v/>
      </c>
      <c r="U745" s="10" t="str">
        <f>IFERROR(__xludf.DUMMYFUNCTION("IF(COUNTA(Q745:Q1350)=0,"""",IF(Q745="""",0,IF(REGEXMATCH(Q745,""^Sell_""),-ROUNDDOWN(ROUNDUP(INDEX(Upgrades!$C$3:$C$13,MATCH(SUBSTITUTE(Q745,""Sell_"",""""),Upgrades!$B$3:$B$13,0))*1.15^(COUNTIF(Q$4:Q744,SUBSTITUTE(Q745,""Sell_"",""""))-COUNTIF(Q$4:Q744,"&amp;"""Sell_""&amp;SUBSTITUTE(Q745,""Sell_"",""""))))/2),ROUNDUP(INDEX(Upgrades!$C$3:$C$13,MATCH(Q745,Upgrades!$B$3:$B$13,0))*1.15^(COUNTIF(Q$4:Q744,Q745)-COUNTIF(Q$4:Q744,""Sell_""&amp;Q745))))))"),"")</f>
        <v/>
      </c>
      <c r="V745" s="10" t="str">
        <f t="shared" si="11"/>
        <v/>
      </c>
      <c r="W745" s="68" t="str">
        <f t="shared" si="12"/>
        <v/>
      </c>
      <c r="X745" s="59" t="str">
        <f t="shared" si="13"/>
        <v/>
      </c>
      <c r="Y745" s="69" t="str">
        <f t="shared" si="14"/>
        <v/>
      </c>
      <c r="Z745" s="11"/>
    </row>
    <row r="746">
      <c r="A746" s="8"/>
      <c r="B746" s="56" t="str">
        <f t="shared" si="2"/>
        <v/>
      </c>
      <c r="C746" s="57"/>
      <c r="D746" s="10" t="str">
        <f>IFERROR(__xludf.DUMMYFUNCTION("IF(COUNTA(C746:C1350)=0,"""",IF(ISBLANK(C746),FALSE,IF(NOT(COUNTIF($AA$24:$AA$34,SUBSTITUTE(C746,""Sell_"",""""))),1,IF(REGEXMATCH(C746,""Sell_""),IF(COUNTIF(C$4:C746,SUBSTITUTE(C746,""Sell_"",""""))-COUNTIF(C$4:C745,C746)&lt;1,1),FALSE))))"),"")</f>
        <v/>
      </c>
      <c r="E746" s="59" t="str">
        <f t="array" ref="E746">IF(COUNTA(C746:C1350)=0,"",SUM((COUNTIF(C$4:C746,Upgrades!$B$3:$B$13)-COUNTIF(C$4:C746,"Sell_"&amp;Upgrades!$B$3:$B$13))*Upgrades!$D$3:$D$13))</f>
        <v/>
      </c>
      <c r="F746" s="66" t="str">
        <f>IFERROR(__xludf.DUMMYFUNCTION("IF(COUNTA(C746:C1350)=0,"""",IF(REGEXMATCH(INDEX(FILTER(C$4:C746,C$4:C746&lt;&gt;""""),ROWS(FILTER(C$4:C746,C$4:C746&lt;&gt;""""))),""^Sell_""),INDEX(FILTER(F$4:F745,C$4:C745&lt;&gt;""""),ROWS(FILTER(C$4:C745,C$4:C745&lt;&gt;""""))),$AC$5+E746))"),"")</f>
        <v/>
      </c>
      <c r="G746" s="10" t="str">
        <f>IFERROR(__xludf.DUMMYFUNCTION("IF(COUNTA(C746:C1350)=0,"""",IF(C746="""",0,IF(REGEXMATCH(C746,""^Sell_""),-ROUNDDOWN(ROUNDUP(INDEX(Upgrades!$C$3:$C$13,MATCH(SUBSTITUTE(C746,""Sell_"",""""),Upgrades!$B$3:$B$13,0))*1.15^(COUNTIF(C$4:C745,SUBSTITUTE(C746,""Sell_"",""""))-COUNTIF(C$4:C745,"&amp;"""Sell_""&amp;SUBSTITUTE(C746,""Sell_"",""""))))/2),ROUNDUP(INDEX(Upgrades!$C$3:$C$13,MATCH(C746,Upgrades!$B$3:$B$13,0))*1.15^(COUNTIF(C$4:C745,C746)-COUNTIF(C$4:C745,""Sell_""&amp;C746))))))"),"")</f>
        <v/>
      </c>
      <c r="H746" s="10" t="str">
        <f t="shared" si="3"/>
        <v/>
      </c>
      <c r="I746" s="68" t="str">
        <f t="shared" si="4"/>
        <v/>
      </c>
      <c r="J746" s="59" t="str">
        <f t="shared" si="5"/>
        <v/>
      </c>
      <c r="K746" s="69" t="str">
        <f t="shared" si="6"/>
        <v/>
      </c>
      <c r="L746" s="60" t="str">
        <f t="shared" si="7"/>
        <v/>
      </c>
      <c r="M746" s="61" t="str">
        <f>IFERROR(__xludf.DUMMYFUNCTION("IFS(AND(COUNTA(C746:C1350)=0,COUNTA(Q746:Q1350)=0),"""",OR(AND(K746&gt;=1000000000,OR(Y746&gt;=1000000000,COUNTA(Q746:Q1350)=0)),OR(Y746&gt;=1000000000,AND(COUNTA(C746:C1350)=0,P$3=TRUE))),
ROUNDDOWN((AB$1-AC$1)*MAX(INDEX(T$4:T1350,MATCH(LARGE(FILTER(Y$4:Y1350,Y$4"&amp;":Y1350&lt;1000000000),1),Y$4:Y1350)),INDEX(F$4:F1350,MATCH(LARGE(FILTER(K$4:K1350,K$4:K1350&lt;1000000000),1),K$4:K1350)))),AND(K746&lt;1000000000,COUNTA(C746:C1350)&gt;0,P$3=FALSE),
ROUNDDOWN(INDEX(Y$4:Y1350,MATCH(LARGE(FILTER(W$4:W1350,W$4:W1350&lt;=I746),1),W$4:W1350"&amp;"))+(I746-LARGE(FILTER(W$4:W1350,W$4:W1350&lt;=I746),1))*INDEX(T$4:T1350,MATCH(LARGE(FILTER(W$4:W1350,W$4:W1350&lt;=I746),1),W$4:W1350))-K746),1,
ROUNDDOWN(Y746-INDEX(K$4:K1350,MATCH(LARGE(FILTER(I$4:I1350,I$4:I1350&lt;=W746),1),I$4:I1350))-(W746-LARGE(FILTER(I$4:I"&amp;"1350,I$4:I1350&lt;=W746),1))*INDEX(F$4:F1350,MATCH(LARGE(FILTER(I$4:I1350,I$4:I1350&lt;=W746),1),I$4:I1350))))"),"")</f>
        <v/>
      </c>
      <c r="N746" s="60" t="str">
        <f t="shared" si="8"/>
        <v/>
      </c>
      <c r="O746" s="61" t="str">
        <f t="shared" si="9"/>
        <v/>
      </c>
      <c r="P746" s="56" t="str">
        <f t="shared" si="10"/>
        <v/>
      </c>
      <c r="Q746" s="62"/>
      <c r="R746" s="10" t="str">
        <f>IFERROR(__xludf.DUMMYFUNCTION("IF(COUNTA(Q746:Q1350)=0,"""",IF(ISBLANK(Q746),FALSE,IF(NOT(COUNTIF($AA$24:$AA$34,SUBSTITUTE(Q746,""Sell_"",""""))),1,IF(REGEXMATCH(Q746,""Sell_""),IF(COUNTIF(Q$4:Q746,SUBSTITUTE(Q746,""Sell_"",""""))-COUNTIF(Q$4:Q745,Q746)&lt;1,1),FALSE))))"),"")</f>
        <v/>
      </c>
      <c r="S746" s="59" t="str">
        <f t="array" ref="S746">IF(COUNTA(Q746:Q1350)=0,"",SUM((COUNTIF(Q$4:Q746,Upgrades!$B$3:$B$13)-COUNTIF(Q$4:Q746,"Sell_"&amp;Upgrades!$B$3:$B$13))*Upgrades!$D$3:$D$13))</f>
        <v/>
      </c>
      <c r="T746" s="66" t="str">
        <f>IFERROR(__xludf.DUMMYFUNCTION("IF(COUNTA(Q746:Q1350)=0,"""",IF(REGEXMATCH(INDEX(FILTER(Q$4:Q746,Q$4:Q746&lt;&gt;""""),ROWS(FILTER(Q$4:Q746,Q$4:Q746&lt;&gt;""""))),""^Sell_""),INDEX(FILTER(T$4:T745,Q$4:Q745&lt;&gt;""""),ROWS(FILTER(Q$4:Q745,Q$4:Q745&lt;&gt;""""))),$AD$5+S746))"),"")</f>
        <v/>
      </c>
      <c r="U746" s="10" t="str">
        <f>IFERROR(__xludf.DUMMYFUNCTION("IF(COUNTA(Q746:Q1350)=0,"""",IF(Q746="""",0,IF(REGEXMATCH(Q746,""^Sell_""),-ROUNDDOWN(ROUNDUP(INDEX(Upgrades!$C$3:$C$13,MATCH(SUBSTITUTE(Q746,""Sell_"",""""),Upgrades!$B$3:$B$13,0))*1.15^(COUNTIF(Q$4:Q745,SUBSTITUTE(Q746,""Sell_"",""""))-COUNTIF(Q$4:Q745,"&amp;"""Sell_""&amp;SUBSTITUTE(Q746,""Sell_"",""""))))/2),ROUNDUP(INDEX(Upgrades!$C$3:$C$13,MATCH(Q746,Upgrades!$B$3:$B$13,0))*1.15^(COUNTIF(Q$4:Q745,Q746)-COUNTIF(Q$4:Q745,""Sell_""&amp;Q746))))))"),"")</f>
        <v/>
      </c>
      <c r="V746" s="10" t="str">
        <f t="shared" si="11"/>
        <v/>
      </c>
      <c r="W746" s="68" t="str">
        <f t="shared" si="12"/>
        <v/>
      </c>
      <c r="X746" s="59" t="str">
        <f t="shared" si="13"/>
        <v/>
      </c>
      <c r="Y746" s="69" t="str">
        <f t="shared" si="14"/>
        <v/>
      </c>
      <c r="Z746" s="11"/>
    </row>
    <row r="747">
      <c r="A747" s="8"/>
      <c r="B747" s="56" t="str">
        <f t="shared" si="2"/>
        <v/>
      </c>
      <c r="C747" s="57"/>
      <c r="D747" s="10" t="str">
        <f>IFERROR(__xludf.DUMMYFUNCTION("IF(COUNTA(C747:C1350)=0,"""",IF(ISBLANK(C747),FALSE,IF(NOT(COUNTIF($AA$24:$AA$34,SUBSTITUTE(C747,""Sell_"",""""))),1,IF(REGEXMATCH(C747,""Sell_""),IF(COUNTIF(C$4:C747,SUBSTITUTE(C747,""Sell_"",""""))-COUNTIF(C$4:C746,C747)&lt;1,1),FALSE))))"),"")</f>
        <v/>
      </c>
      <c r="E747" s="59" t="str">
        <f t="array" ref="E747">IF(COUNTA(C747:C1350)=0,"",SUM((COUNTIF(C$4:C747,Upgrades!$B$3:$B$13)-COUNTIF(C$4:C747,"Sell_"&amp;Upgrades!$B$3:$B$13))*Upgrades!$D$3:$D$13))</f>
        <v/>
      </c>
      <c r="F747" s="66" t="str">
        <f>IFERROR(__xludf.DUMMYFUNCTION("IF(COUNTA(C747:C1350)=0,"""",IF(REGEXMATCH(INDEX(FILTER(C$4:C747,C$4:C747&lt;&gt;""""),ROWS(FILTER(C$4:C747,C$4:C747&lt;&gt;""""))),""^Sell_""),INDEX(FILTER(F$4:F746,C$4:C746&lt;&gt;""""),ROWS(FILTER(C$4:C746,C$4:C746&lt;&gt;""""))),$AC$5+E747))"),"")</f>
        <v/>
      </c>
      <c r="G747" s="10" t="str">
        <f>IFERROR(__xludf.DUMMYFUNCTION("IF(COUNTA(C747:C1350)=0,"""",IF(C747="""",0,IF(REGEXMATCH(C747,""^Sell_""),-ROUNDDOWN(ROUNDUP(INDEX(Upgrades!$C$3:$C$13,MATCH(SUBSTITUTE(C747,""Sell_"",""""),Upgrades!$B$3:$B$13,0))*1.15^(COUNTIF(C$4:C746,SUBSTITUTE(C747,""Sell_"",""""))-COUNTIF(C$4:C746,"&amp;"""Sell_""&amp;SUBSTITUTE(C747,""Sell_"",""""))))/2),ROUNDUP(INDEX(Upgrades!$C$3:$C$13,MATCH(C747,Upgrades!$B$3:$B$13,0))*1.15^(COUNTIF(C$4:C746,C747)-COUNTIF(C$4:C746,""Sell_""&amp;C747))))))"),"")</f>
        <v/>
      </c>
      <c r="H747" s="10" t="str">
        <f t="shared" si="3"/>
        <v/>
      </c>
      <c r="I747" s="68" t="str">
        <f t="shared" si="4"/>
        <v/>
      </c>
      <c r="J747" s="59" t="str">
        <f t="shared" si="5"/>
        <v/>
      </c>
      <c r="K747" s="69" t="str">
        <f t="shared" si="6"/>
        <v/>
      </c>
      <c r="L747" s="60" t="str">
        <f t="shared" si="7"/>
        <v/>
      </c>
      <c r="M747" s="61" t="str">
        <f>IFERROR(__xludf.DUMMYFUNCTION("IFS(AND(COUNTA(C747:C1350)=0,COUNTA(Q747:Q1350)=0),"""",OR(AND(K747&gt;=1000000000,OR(Y747&gt;=1000000000,COUNTA(Q747:Q1350)=0)),OR(Y747&gt;=1000000000,AND(COUNTA(C747:C1350)=0,P$3=TRUE))),
ROUNDDOWN((AB$1-AC$1)*MAX(INDEX(T$4:T1350,MATCH(LARGE(FILTER(Y$4:Y1350,Y$4"&amp;":Y1350&lt;1000000000),1),Y$4:Y1350)),INDEX(F$4:F1350,MATCH(LARGE(FILTER(K$4:K1350,K$4:K1350&lt;1000000000),1),K$4:K1350)))),AND(K747&lt;1000000000,COUNTA(C747:C1350)&gt;0,P$3=FALSE),
ROUNDDOWN(INDEX(Y$4:Y1350,MATCH(LARGE(FILTER(W$4:W1350,W$4:W1350&lt;=I747),1),W$4:W1350"&amp;"))+(I747-LARGE(FILTER(W$4:W1350,W$4:W1350&lt;=I747),1))*INDEX(T$4:T1350,MATCH(LARGE(FILTER(W$4:W1350,W$4:W1350&lt;=I747),1),W$4:W1350))-K747),1,
ROUNDDOWN(Y747-INDEX(K$4:K1350,MATCH(LARGE(FILTER(I$4:I1350,I$4:I1350&lt;=W747),1),I$4:I1350))-(W747-LARGE(FILTER(I$4:I"&amp;"1350,I$4:I1350&lt;=W747),1))*INDEX(F$4:F1350,MATCH(LARGE(FILTER(I$4:I1350,I$4:I1350&lt;=W747),1),I$4:I1350))))"),"")</f>
        <v/>
      </c>
      <c r="N747" s="60" t="str">
        <f t="shared" si="8"/>
        <v/>
      </c>
      <c r="O747" s="61" t="str">
        <f t="shared" si="9"/>
        <v/>
      </c>
      <c r="P747" s="56" t="str">
        <f t="shared" si="10"/>
        <v/>
      </c>
      <c r="Q747" s="62"/>
      <c r="R747" s="10" t="str">
        <f>IFERROR(__xludf.DUMMYFUNCTION("IF(COUNTA(Q747:Q1350)=0,"""",IF(ISBLANK(Q747),FALSE,IF(NOT(COUNTIF($AA$24:$AA$34,SUBSTITUTE(Q747,""Sell_"",""""))),1,IF(REGEXMATCH(Q747,""Sell_""),IF(COUNTIF(Q$4:Q747,SUBSTITUTE(Q747,""Sell_"",""""))-COUNTIF(Q$4:Q746,Q747)&lt;1,1),FALSE))))"),"")</f>
        <v/>
      </c>
      <c r="S747" s="59" t="str">
        <f t="array" ref="S747">IF(COUNTA(Q747:Q1350)=0,"",SUM((COUNTIF(Q$4:Q747,Upgrades!$B$3:$B$13)-COUNTIF(Q$4:Q747,"Sell_"&amp;Upgrades!$B$3:$B$13))*Upgrades!$D$3:$D$13))</f>
        <v/>
      </c>
      <c r="T747" s="66" t="str">
        <f>IFERROR(__xludf.DUMMYFUNCTION("IF(COUNTA(Q747:Q1350)=0,"""",IF(REGEXMATCH(INDEX(FILTER(Q$4:Q747,Q$4:Q747&lt;&gt;""""),ROWS(FILTER(Q$4:Q747,Q$4:Q747&lt;&gt;""""))),""^Sell_""),INDEX(FILTER(T$4:T746,Q$4:Q746&lt;&gt;""""),ROWS(FILTER(Q$4:Q746,Q$4:Q746&lt;&gt;""""))),$AD$5+S747))"),"")</f>
        <v/>
      </c>
      <c r="U747" s="10" t="str">
        <f>IFERROR(__xludf.DUMMYFUNCTION("IF(COUNTA(Q747:Q1350)=0,"""",IF(Q747="""",0,IF(REGEXMATCH(Q747,""^Sell_""),-ROUNDDOWN(ROUNDUP(INDEX(Upgrades!$C$3:$C$13,MATCH(SUBSTITUTE(Q747,""Sell_"",""""),Upgrades!$B$3:$B$13,0))*1.15^(COUNTIF(Q$4:Q746,SUBSTITUTE(Q747,""Sell_"",""""))-COUNTIF(Q$4:Q746,"&amp;"""Sell_""&amp;SUBSTITUTE(Q747,""Sell_"",""""))))/2),ROUNDUP(INDEX(Upgrades!$C$3:$C$13,MATCH(Q747,Upgrades!$B$3:$B$13,0))*1.15^(COUNTIF(Q$4:Q746,Q747)-COUNTIF(Q$4:Q746,""Sell_""&amp;Q747))))))"),"")</f>
        <v/>
      </c>
      <c r="V747" s="10" t="str">
        <f t="shared" si="11"/>
        <v/>
      </c>
      <c r="W747" s="68" t="str">
        <f t="shared" si="12"/>
        <v/>
      </c>
      <c r="X747" s="59" t="str">
        <f t="shared" si="13"/>
        <v/>
      </c>
      <c r="Y747" s="69" t="str">
        <f t="shared" si="14"/>
        <v/>
      </c>
      <c r="Z747" s="11"/>
    </row>
    <row r="748">
      <c r="A748" s="8"/>
      <c r="B748" s="56" t="str">
        <f t="shared" si="2"/>
        <v/>
      </c>
      <c r="C748" s="57"/>
      <c r="D748" s="10" t="str">
        <f>IFERROR(__xludf.DUMMYFUNCTION("IF(COUNTA(C748:C1350)=0,"""",IF(ISBLANK(C748),FALSE,IF(NOT(COUNTIF($AA$24:$AA$34,SUBSTITUTE(C748,""Sell_"",""""))),1,IF(REGEXMATCH(C748,""Sell_""),IF(COUNTIF(C$4:C748,SUBSTITUTE(C748,""Sell_"",""""))-COUNTIF(C$4:C747,C748)&lt;1,1),FALSE))))"),"")</f>
        <v/>
      </c>
      <c r="E748" s="59" t="str">
        <f t="array" ref="E748">IF(COUNTA(C748:C1350)=0,"",SUM((COUNTIF(C$4:C748,Upgrades!$B$3:$B$13)-COUNTIF(C$4:C748,"Sell_"&amp;Upgrades!$B$3:$B$13))*Upgrades!$D$3:$D$13))</f>
        <v/>
      </c>
      <c r="F748" s="66" t="str">
        <f>IFERROR(__xludf.DUMMYFUNCTION("IF(COUNTA(C748:C1350)=0,"""",IF(REGEXMATCH(INDEX(FILTER(C$4:C748,C$4:C748&lt;&gt;""""),ROWS(FILTER(C$4:C748,C$4:C748&lt;&gt;""""))),""^Sell_""),INDEX(FILTER(F$4:F747,C$4:C747&lt;&gt;""""),ROWS(FILTER(C$4:C747,C$4:C747&lt;&gt;""""))),$AC$5+E748))"),"")</f>
        <v/>
      </c>
      <c r="G748" s="10" t="str">
        <f>IFERROR(__xludf.DUMMYFUNCTION("IF(COUNTA(C748:C1350)=0,"""",IF(C748="""",0,IF(REGEXMATCH(C748,""^Sell_""),-ROUNDDOWN(ROUNDUP(INDEX(Upgrades!$C$3:$C$13,MATCH(SUBSTITUTE(C748,""Sell_"",""""),Upgrades!$B$3:$B$13,0))*1.15^(COUNTIF(C$4:C747,SUBSTITUTE(C748,""Sell_"",""""))-COUNTIF(C$4:C747,"&amp;"""Sell_""&amp;SUBSTITUTE(C748,""Sell_"",""""))))/2),ROUNDUP(INDEX(Upgrades!$C$3:$C$13,MATCH(C748,Upgrades!$B$3:$B$13,0))*1.15^(COUNTIF(C$4:C747,C748)-COUNTIF(C$4:C747,""Sell_""&amp;C748))))))"),"")</f>
        <v/>
      </c>
      <c r="H748" s="10" t="str">
        <f t="shared" si="3"/>
        <v/>
      </c>
      <c r="I748" s="68" t="str">
        <f t="shared" si="4"/>
        <v/>
      </c>
      <c r="J748" s="59" t="str">
        <f t="shared" si="5"/>
        <v/>
      </c>
      <c r="K748" s="69" t="str">
        <f t="shared" si="6"/>
        <v/>
      </c>
      <c r="L748" s="60" t="str">
        <f t="shared" si="7"/>
        <v/>
      </c>
      <c r="M748" s="61" t="str">
        <f>IFERROR(__xludf.DUMMYFUNCTION("IFS(AND(COUNTA(C748:C1350)=0,COUNTA(Q748:Q1350)=0),"""",OR(AND(K748&gt;=1000000000,OR(Y748&gt;=1000000000,COUNTA(Q748:Q1350)=0)),OR(Y748&gt;=1000000000,AND(COUNTA(C748:C1350)=0,P$3=TRUE))),
ROUNDDOWN((AB$1-AC$1)*MAX(INDEX(T$4:T1350,MATCH(LARGE(FILTER(Y$4:Y1350,Y$4"&amp;":Y1350&lt;1000000000),1),Y$4:Y1350)),INDEX(F$4:F1350,MATCH(LARGE(FILTER(K$4:K1350,K$4:K1350&lt;1000000000),1),K$4:K1350)))),AND(K748&lt;1000000000,COUNTA(C748:C1350)&gt;0,P$3=FALSE),
ROUNDDOWN(INDEX(Y$4:Y1350,MATCH(LARGE(FILTER(W$4:W1350,W$4:W1350&lt;=I748),1),W$4:W1350"&amp;"))+(I748-LARGE(FILTER(W$4:W1350,W$4:W1350&lt;=I748),1))*INDEX(T$4:T1350,MATCH(LARGE(FILTER(W$4:W1350,W$4:W1350&lt;=I748),1),W$4:W1350))-K748),1,
ROUNDDOWN(Y748-INDEX(K$4:K1350,MATCH(LARGE(FILTER(I$4:I1350,I$4:I1350&lt;=W748),1),I$4:I1350))-(W748-LARGE(FILTER(I$4:I"&amp;"1350,I$4:I1350&lt;=W748),1))*INDEX(F$4:F1350,MATCH(LARGE(FILTER(I$4:I1350,I$4:I1350&lt;=W748),1),I$4:I1350))))"),"")</f>
        <v/>
      </c>
      <c r="N748" s="60" t="str">
        <f t="shared" si="8"/>
        <v/>
      </c>
      <c r="O748" s="61" t="str">
        <f t="shared" si="9"/>
        <v/>
      </c>
      <c r="P748" s="56" t="str">
        <f t="shared" si="10"/>
        <v/>
      </c>
      <c r="Q748" s="62"/>
      <c r="R748" s="10" t="str">
        <f>IFERROR(__xludf.DUMMYFUNCTION("IF(COUNTA(Q748:Q1350)=0,"""",IF(ISBLANK(Q748),FALSE,IF(NOT(COUNTIF($AA$24:$AA$34,SUBSTITUTE(Q748,""Sell_"",""""))),1,IF(REGEXMATCH(Q748,""Sell_""),IF(COUNTIF(Q$4:Q748,SUBSTITUTE(Q748,""Sell_"",""""))-COUNTIF(Q$4:Q747,Q748)&lt;1,1),FALSE))))"),"")</f>
        <v/>
      </c>
      <c r="S748" s="59" t="str">
        <f t="array" ref="S748">IF(COUNTA(Q748:Q1350)=0,"",SUM((COUNTIF(Q$4:Q748,Upgrades!$B$3:$B$13)-COUNTIF(Q$4:Q748,"Sell_"&amp;Upgrades!$B$3:$B$13))*Upgrades!$D$3:$D$13))</f>
        <v/>
      </c>
      <c r="T748" s="66" t="str">
        <f>IFERROR(__xludf.DUMMYFUNCTION("IF(COUNTA(Q748:Q1350)=0,"""",IF(REGEXMATCH(INDEX(FILTER(Q$4:Q748,Q$4:Q748&lt;&gt;""""),ROWS(FILTER(Q$4:Q748,Q$4:Q748&lt;&gt;""""))),""^Sell_""),INDEX(FILTER(T$4:T747,Q$4:Q747&lt;&gt;""""),ROWS(FILTER(Q$4:Q747,Q$4:Q747&lt;&gt;""""))),$AD$5+S748))"),"")</f>
        <v/>
      </c>
      <c r="U748" s="10" t="str">
        <f>IFERROR(__xludf.DUMMYFUNCTION("IF(COUNTA(Q748:Q1350)=0,"""",IF(Q748="""",0,IF(REGEXMATCH(Q748,""^Sell_""),-ROUNDDOWN(ROUNDUP(INDEX(Upgrades!$C$3:$C$13,MATCH(SUBSTITUTE(Q748,""Sell_"",""""),Upgrades!$B$3:$B$13,0))*1.15^(COUNTIF(Q$4:Q747,SUBSTITUTE(Q748,""Sell_"",""""))-COUNTIF(Q$4:Q747,"&amp;"""Sell_""&amp;SUBSTITUTE(Q748,""Sell_"",""""))))/2),ROUNDUP(INDEX(Upgrades!$C$3:$C$13,MATCH(Q748,Upgrades!$B$3:$B$13,0))*1.15^(COUNTIF(Q$4:Q747,Q748)-COUNTIF(Q$4:Q747,""Sell_""&amp;Q748))))))"),"")</f>
        <v/>
      </c>
      <c r="V748" s="10" t="str">
        <f t="shared" si="11"/>
        <v/>
      </c>
      <c r="W748" s="68" t="str">
        <f t="shared" si="12"/>
        <v/>
      </c>
      <c r="X748" s="59" t="str">
        <f t="shared" si="13"/>
        <v/>
      </c>
      <c r="Y748" s="69" t="str">
        <f t="shared" si="14"/>
        <v/>
      </c>
      <c r="Z748" s="11"/>
    </row>
    <row r="749">
      <c r="A749" s="8"/>
      <c r="B749" s="56" t="str">
        <f t="shared" si="2"/>
        <v/>
      </c>
      <c r="C749" s="57"/>
      <c r="D749" s="10" t="str">
        <f>IFERROR(__xludf.DUMMYFUNCTION("IF(COUNTA(C749:C1350)=0,"""",IF(ISBLANK(C749),FALSE,IF(NOT(COUNTIF($AA$24:$AA$34,SUBSTITUTE(C749,""Sell_"",""""))),1,IF(REGEXMATCH(C749,""Sell_""),IF(COUNTIF(C$4:C749,SUBSTITUTE(C749,""Sell_"",""""))-COUNTIF(C$4:C748,C749)&lt;1,1),FALSE))))"),"")</f>
        <v/>
      </c>
      <c r="E749" s="59" t="str">
        <f t="array" ref="E749">IF(COUNTA(C749:C1350)=0,"",SUM((COUNTIF(C$4:C749,Upgrades!$B$3:$B$13)-COUNTIF(C$4:C749,"Sell_"&amp;Upgrades!$B$3:$B$13))*Upgrades!$D$3:$D$13))</f>
        <v/>
      </c>
      <c r="F749" s="66" t="str">
        <f>IFERROR(__xludf.DUMMYFUNCTION("IF(COUNTA(C749:C1350)=0,"""",IF(REGEXMATCH(INDEX(FILTER(C$4:C749,C$4:C749&lt;&gt;""""),ROWS(FILTER(C$4:C749,C$4:C749&lt;&gt;""""))),""^Sell_""),INDEX(FILTER(F$4:F748,C$4:C748&lt;&gt;""""),ROWS(FILTER(C$4:C748,C$4:C748&lt;&gt;""""))),$AC$5+E749))"),"")</f>
        <v/>
      </c>
      <c r="G749" s="10" t="str">
        <f>IFERROR(__xludf.DUMMYFUNCTION("IF(COUNTA(C749:C1350)=0,"""",IF(C749="""",0,IF(REGEXMATCH(C749,""^Sell_""),-ROUNDDOWN(ROUNDUP(INDEX(Upgrades!$C$3:$C$13,MATCH(SUBSTITUTE(C749,""Sell_"",""""),Upgrades!$B$3:$B$13,0))*1.15^(COUNTIF(C$4:C748,SUBSTITUTE(C749,""Sell_"",""""))-COUNTIF(C$4:C748,"&amp;"""Sell_""&amp;SUBSTITUTE(C749,""Sell_"",""""))))/2),ROUNDUP(INDEX(Upgrades!$C$3:$C$13,MATCH(C749,Upgrades!$B$3:$B$13,0))*1.15^(COUNTIF(C$4:C748,C749)-COUNTIF(C$4:C748,""Sell_""&amp;C749))))))"),"")</f>
        <v/>
      </c>
      <c r="H749" s="10" t="str">
        <f t="shared" si="3"/>
        <v/>
      </c>
      <c r="I749" s="68" t="str">
        <f t="shared" si="4"/>
        <v/>
      </c>
      <c r="J749" s="59" t="str">
        <f t="shared" si="5"/>
        <v/>
      </c>
      <c r="K749" s="69" t="str">
        <f t="shared" si="6"/>
        <v/>
      </c>
      <c r="L749" s="60" t="str">
        <f t="shared" si="7"/>
        <v/>
      </c>
      <c r="M749" s="61" t="str">
        <f>IFERROR(__xludf.DUMMYFUNCTION("IFS(AND(COUNTA(C749:C1350)=0,COUNTA(Q749:Q1350)=0),"""",OR(AND(K749&gt;=1000000000,OR(Y749&gt;=1000000000,COUNTA(Q749:Q1350)=0)),OR(Y749&gt;=1000000000,AND(COUNTA(C749:C1350)=0,P$3=TRUE))),
ROUNDDOWN((AB$1-AC$1)*MAX(INDEX(T$4:T1350,MATCH(LARGE(FILTER(Y$4:Y1350,Y$4"&amp;":Y1350&lt;1000000000),1),Y$4:Y1350)),INDEX(F$4:F1350,MATCH(LARGE(FILTER(K$4:K1350,K$4:K1350&lt;1000000000),1),K$4:K1350)))),AND(K749&lt;1000000000,COUNTA(C749:C1350)&gt;0,P$3=FALSE),
ROUNDDOWN(INDEX(Y$4:Y1350,MATCH(LARGE(FILTER(W$4:W1350,W$4:W1350&lt;=I749),1),W$4:W1350"&amp;"))+(I749-LARGE(FILTER(W$4:W1350,W$4:W1350&lt;=I749),1))*INDEX(T$4:T1350,MATCH(LARGE(FILTER(W$4:W1350,W$4:W1350&lt;=I749),1),W$4:W1350))-K749),1,
ROUNDDOWN(Y749-INDEX(K$4:K1350,MATCH(LARGE(FILTER(I$4:I1350,I$4:I1350&lt;=W749),1),I$4:I1350))-(W749-LARGE(FILTER(I$4:I"&amp;"1350,I$4:I1350&lt;=W749),1))*INDEX(F$4:F1350,MATCH(LARGE(FILTER(I$4:I1350,I$4:I1350&lt;=W749),1),I$4:I1350))))"),"")</f>
        <v/>
      </c>
      <c r="N749" s="60" t="str">
        <f t="shared" si="8"/>
        <v/>
      </c>
      <c r="O749" s="61" t="str">
        <f t="shared" si="9"/>
        <v/>
      </c>
      <c r="P749" s="56" t="str">
        <f t="shared" si="10"/>
        <v/>
      </c>
      <c r="Q749" s="62"/>
      <c r="R749" s="10" t="str">
        <f>IFERROR(__xludf.DUMMYFUNCTION("IF(COUNTA(Q749:Q1350)=0,"""",IF(ISBLANK(Q749),FALSE,IF(NOT(COUNTIF($AA$24:$AA$34,SUBSTITUTE(Q749,""Sell_"",""""))),1,IF(REGEXMATCH(Q749,""Sell_""),IF(COUNTIF(Q$4:Q749,SUBSTITUTE(Q749,""Sell_"",""""))-COUNTIF(Q$4:Q748,Q749)&lt;1,1),FALSE))))"),"")</f>
        <v/>
      </c>
      <c r="S749" s="59" t="str">
        <f t="array" ref="S749">IF(COUNTA(Q749:Q1350)=0,"",SUM((COUNTIF(Q$4:Q749,Upgrades!$B$3:$B$13)-COUNTIF(Q$4:Q749,"Sell_"&amp;Upgrades!$B$3:$B$13))*Upgrades!$D$3:$D$13))</f>
        <v/>
      </c>
      <c r="T749" s="66" t="str">
        <f>IFERROR(__xludf.DUMMYFUNCTION("IF(COUNTA(Q749:Q1350)=0,"""",IF(REGEXMATCH(INDEX(FILTER(Q$4:Q749,Q$4:Q749&lt;&gt;""""),ROWS(FILTER(Q$4:Q749,Q$4:Q749&lt;&gt;""""))),""^Sell_""),INDEX(FILTER(T$4:T748,Q$4:Q748&lt;&gt;""""),ROWS(FILTER(Q$4:Q748,Q$4:Q748&lt;&gt;""""))),$AD$5+S749))"),"")</f>
        <v/>
      </c>
      <c r="U749" s="10" t="str">
        <f>IFERROR(__xludf.DUMMYFUNCTION("IF(COUNTA(Q749:Q1350)=0,"""",IF(Q749="""",0,IF(REGEXMATCH(Q749,""^Sell_""),-ROUNDDOWN(ROUNDUP(INDEX(Upgrades!$C$3:$C$13,MATCH(SUBSTITUTE(Q749,""Sell_"",""""),Upgrades!$B$3:$B$13,0))*1.15^(COUNTIF(Q$4:Q748,SUBSTITUTE(Q749,""Sell_"",""""))-COUNTIF(Q$4:Q748,"&amp;"""Sell_""&amp;SUBSTITUTE(Q749,""Sell_"",""""))))/2),ROUNDUP(INDEX(Upgrades!$C$3:$C$13,MATCH(Q749,Upgrades!$B$3:$B$13,0))*1.15^(COUNTIF(Q$4:Q748,Q749)-COUNTIF(Q$4:Q748,""Sell_""&amp;Q749))))))"),"")</f>
        <v/>
      </c>
      <c r="V749" s="10" t="str">
        <f t="shared" si="11"/>
        <v/>
      </c>
      <c r="W749" s="68" t="str">
        <f t="shared" si="12"/>
        <v/>
      </c>
      <c r="X749" s="59" t="str">
        <f t="shared" si="13"/>
        <v/>
      </c>
      <c r="Y749" s="69" t="str">
        <f t="shared" si="14"/>
        <v/>
      </c>
      <c r="Z749" s="11"/>
    </row>
    <row r="750">
      <c r="A750" s="8"/>
      <c r="B750" s="56" t="str">
        <f t="shared" si="2"/>
        <v/>
      </c>
      <c r="C750" s="57"/>
      <c r="D750" s="10" t="str">
        <f>IFERROR(__xludf.DUMMYFUNCTION("IF(COUNTA(C750:C1350)=0,"""",IF(ISBLANK(C750),FALSE,IF(NOT(COUNTIF($AA$24:$AA$34,SUBSTITUTE(C750,""Sell_"",""""))),1,IF(REGEXMATCH(C750,""Sell_""),IF(COUNTIF(C$4:C750,SUBSTITUTE(C750,""Sell_"",""""))-COUNTIF(C$4:C749,C750)&lt;1,1),FALSE))))"),"")</f>
        <v/>
      </c>
      <c r="E750" s="59" t="str">
        <f t="array" ref="E750">IF(COUNTA(C750:C1350)=0,"",SUM((COUNTIF(C$4:C750,Upgrades!$B$3:$B$13)-COUNTIF(C$4:C750,"Sell_"&amp;Upgrades!$B$3:$B$13))*Upgrades!$D$3:$D$13))</f>
        <v/>
      </c>
      <c r="F750" s="66" t="str">
        <f>IFERROR(__xludf.DUMMYFUNCTION("IF(COUNTA(C750:C1350)=0,"""",IF(REGEXMATCH(INDEX(FILTER(C$4:C750,C$4:C750&lt;&gt;""""),ROWS(FILTER(C$4:C750,C$4:C750&lt;&gt;""""))),""^Sell_""),INDEX(FILTER(F$4:F749,C$4:C749&lt;&gt;""""),ROWS(FILTER(C$4:C749,C$4:C749&lt;&gt;""""))),$AC$5+E750))"),"")</f>
        <v/>
      </c>
      <c r="G750" s="10" t="str">
        <f>IFERROR(__xludf.DUMMYFUNCTION("IF(COUNTA(C750:C1350)=0,"""",IF(C750="""",0,IF(REGEXMATCH(C750,""^Sell_""),-ROUNDDOWN(ROUNDUP(INDEX(Upgrades!$C$3:$C$13,MATCH(SUBSTITUTE(C750,""Sell_"",""""),Upgrades!$B$3:$B$13,0))*1.15^(COUNTIF(C$4:C749,SUBSTITUTE(C750,""Sell_"",""""))-COUNTIF(C$4:C749,"&amp;"""Sell_""&amp;SUBSTITUTE(C750,""Sell_"",""""))))/2),ROUNDUP(INDEX(Upgrades!$C$3:$C$13,MATCH(C750,Upgrades!$B$3:$B$13,0))*1.15^(COUNTIF(C$4:C749,C750)-COUNTIF(C$4:C749,""Sell_""&amp;C750))))))"),"")</f>
        <v/>
      </c>
      <c r="H750" s="10" t="str">
        <f t="shared" si="3"/>
        <v/>
      </c>
      <c r="I750" s="68" t="str">
        <f t="shared" si="4"/>
        <v/>
      </c>
      <c r="J750" s="59" t="str">
        <f t="shared" si="5"/>
        <v/>
      </c>
      <c r="K750" s="69" t="str">
        <f t="shared" si="6"/>
        <v/>
      </c>
      <c r="L750" s="60" t="str">
        <f t="shared" si="7"/>
        <v/>
      </c>
      <c r="M750" s="61" t="str">
        <f>IFERROR(__xludf.DUMMYFUNCTION("IFS(AND(COUNTA(C750:C1350)=0,COUNTA(Q750:Q1350)=0),"""",OR(AND(K750&gt;=1000000000,OR(Y750&gt;=1000000000,COUNTA(Q750:Q1350)=0)),OR(Y750&gt;=1000000000,AND(COUNTA(C750:C1350)=0,P$3=TRUE))),
ROUNDDOWN((AB$1-AC$1)*MAX(INDEX(T$4:T1350,MATCH(LARGE(FILTER(Y$4:Y1350,Y$4"&amp;":Y1350&lt;1000000000),1),Y$4:Y1350)),INDEX(F$4:F1350,MATCH(LARGE(FILTER(K$4:K1350,K$4:K1350&lt;1000000000),1),K$4:K1350)))),AND(K750&lt;1000000000,COUNTA(C750:C1350)&gt;0,P$3=FALSE),
ROUNDDOWN(INDEX(Y$4:Y1350,MATCH(LARGE(FILTER(W$4:W1350,W$4:W1350&lt;=I750),1),W$4:W1350"&amp;"))+(I750-LARGE(FILTER(W$4:W1350,W$4:W1350&lt;=I750),1))*INDEX(T$4:T1350,MATCH(LARGE(FILTER(W$4:W1350,W$4:W1350&lt;=I750),1),W$4:W1350))-K750),1,
ROUNDDOWN(Y750-INDEX(K$4:K1350,MATCH(LARGE(FILTER(I$4:I1350,I$4:I1350&lt;=W750),1),I$4:I1350))-(W750-LARGE(FILTER(I$4:I"&amp;"1350,I$4:I1350&lt;=W750),1))*INDEX(F$4:F1350,MATCH(LARGE(FILTER(I$4:I1350,I$4:I1350&lt;=W750),1),I$4:I1350))))"),"")</f>
        <v/>
      </c>
      <c r="N750" s="60" t="str">
        <f t="shared" si="8"/>
        <v/>
      </c>
      <c r="O750" s="61" t="str">
        <f t="shared" si="9"/>
        <v/>
      </c>
      <c r="P750" s="56" t="str">
        <f t="shared" si="10"/>
        <v/>
      </c>
      <c r="Q750" s="62"/>
      <c r="R750" s="10" t="str">
        <f>IFERROR(__xludf.DUMMYFUNCTION("IF(COUNTA(Q750:Q1350)=0,"""",IF(ISBLANK(Q750),FALSE,IF(NOT(COUNTIF($AA$24:$AA$34,SUBSTITUTE(Q750,""Sell_"",""""))),1,IF(REGEXMATCH(Q750,""Sell_""),IF(COUNTIF(Q$4:Q750,SUBSTITUTE(Q750,""Sell_"",""""))-COUNTIF(Q$4:Q749,Q750)&lt;1,1),FALSE))))"),"")</f>
        <v/>
      </c>
      <c r="S750" s="59" t="str">
        <f t="array" ref="S750">IF(COUNTA(Q750:Q1350)=0,"",SUM((COUNTIF(Q$4:Q750,Upgrades!$B$3:$B$13)-COUNTIF(Q$4:Q750,"Sell_"&amp;Upgrades!$B$3:$B$13))*Upgrades!$D$3:$D$13))</f>
        <v/>
      </c>
      <c r="T750" s="66" t="str">
        <f>IFERROR(__xludf.DUMMYFUNCTION("IF(COUNTA(Q750:Q1350)=0,"""",IF(REGEXMATCH(INDEX(FILTER(Q$4:Q750,Q$4:Q750&lt;&gt;""""),ROWS(FILTER(Q$4:Q750,Q$4:Q750&lt;&gt;""""))),""^Sell_""),INDEX(FILTER(T$4:T749,Q$4:Q749&lt;&gt;""""),ROWS(FILTER(Q$4:Q749,Q$4:Q749&lt;&gt;""""))),$AD$5+S750))"),"")</f>
        <v/>
      </c>
      <c r="U750" s="10" t="str">
        <f>IFERROR(__xludf.DUMMYFUNCTION("IF(COUNTA(Q750:Q1350)=0,"""",IF(Q750="""",0,IF(REGEXMATCH(Q750,""^Sell_""),-ROUNDDOWN(ROUNDUP(INDEX(Upgrades!$C$3:$C$13,MATCH(SUBSTITUTE(Q750,""Sell_"",""""),Upgrades!$B$3:$B$13,0))*1.15^(COUNTIF(Q$4:Q749,SUBSTITUTE(Q750,""Sell_"",""""))-COUNTIF(Q$4:Q749,"&amp;"""Sell_""&amp;SUBSTITUTE(Q750,""Sell_"",""""))))/2),ROUNDUP(INDEX(Upgrades!$C$3:$C$13,MATCH(Q750,Upgrades!$B$3:$B$13,0))*1.15^(COUNTIF(Q$4:Q749,Q750)-COUNTIF(Q$4:Q749,""Sell_""&amp;Q750))))))"),"")</f>
        <v/>
      </c>
      <c r="V750" s="10" t="str">
        <f t="shared" si="11"/>
        <v/>
      </c>
      <c r="W750" s="68" t="str">
        <f t="shared" si="12"/>
        <v/>
      </c>
      <c r="X750" s="59" t="str">
        <f t="shared" si="13"/>
        <v/>
      </c>
      <c r="Y750" s="69" t="str">
        <f t="shared" si="14"/>
        <v/>
      </c>
      <c r="Z750" s="11"/>
    </row>
    <row r="751">
      <c r="A751" s="8"/>
      <c r="B751" s="56" t="str">
        <f t="shared" si="2"/>
        <v/>
      </c>
      <c r="C751" s="57"/>
      <c r="D751" s="10" t="str">
        <f>IFERROR(__xludf.DUMMYFUNCTION("IF(COUNTA(C751:C1350)=0,"""",IF(ISBLANK(C751),FALSE,IF(NOT(COUNTIF($AA$24:$AA$34,SUBSTITUTE(C751,""Sell_"",""""))),1,IF(REGEXMATCH(C751,""Sell_""),IF(COUNTIF(C$4:C751,SUBSTITUTE(C751,""Sell_"",""""))-COUNTIF(C$4:C750,C751)&lt;1,1),FALSE))))"),"")</f>
        <v/>
      </c>
      <c r="E751" s="59" t="str">
        <f t="array" ref="E751">IF(COUNTA(C751:C1350)=0,"",SUM((COUNTIF(C$4:C751,Upgrades!$B$3:$B$13)-COUNTIF(C$4:C751,"Sell_"&amp;Upgrades!$B$3:$B$13))*Upgrades!$D$3:$D$13))</f>
        <v/>
      </c>
      <c r="F751" s="66" t="str">
        <f>IFERROR(__xludf.DUMMYFUNCTION("IF(COUNTA(C751:C1350)=0,"""",IF(REGEXMATCH(INDEX(FILTER(C$4:C751,C$4:C751&lt;&gt;""""),ROWS(FILTER(C$4:C751,C$4:C751&lt;&gt;""""))),""^Sell_""),INDEX(FILTER(F$4:F750,C$4:C750&lt;&gt;""""),ROWS(FILTER(C$4:C750,C$4:C750&lt;&gt;""""))),$AC$5+E751))"),"")</f>
        <v/>
      </c>
      <c r="G751" s="10" t="str">
        <f>IFERROR(__xludf.DUMMYFUNCTION("IF(COUNTA(C751:C1350)=0,"""",IF(C751="""",0,IF(REGEXMATCH(C751,""^Sell_""),-ROUNDDOWN(ROUNDUP(INDEX(Upgrades!$C$3:$C$13,MATCH(SUBSTITUTE(C751,""Sell_"",""""),Upgrades!$B$3:$B$13,0))*1.15^(COUNTIF(C$4:C750,SUBSTITUTE(C751,""Sell_"",""""))-COUNTIF(C$4:C750,"&amp;"""Sell_""&amp;SUBSTITUTE(C751,""Sell_"",""""))))/2),ROUNDUP(INDEX(Upgrades!$C$3:$C$13,MATCH(C751,Upgrades!$B$3:$B$13,0))*1.15^(COUNTIF(C$4:C750,C751)-COUNTIF(C$4:C750,""Sell_""&amp;C751))))))"),"")</f>
        <v/>
      </c>
      <c r="H751" s="10" t="str">
        <f t="shared" si="3"/>
        <v/>
      </c>
      <c r="I751" s="68" t="str">
        <f t="shared" si="4"/>
        <v/>
      </c>
      <c r="J751" s="59" t="str">
        <f t="shared" si="5"/>
        <v/>
      </c>
      <c r="K751" s="69" t="str">
        <f t="shared" si="6"/>
        <v/>
      </c>
      <c r="L751" s="60" t="str">
        <f t="shared" si="7"/>
        <v/>
      </c>
      <c r="M751" s="61" t="str">
        <f>IFERROR(__xludf.DUMMYFUNCTION("IFS(AND(COUNTA(C751:C1350)=0,COUNTA(Q751:Q1350)=0),"""",OR(AND(K751&gt;=1000000000,OR(Y751&gt;=1000000000,COUNTA(Q751:Q1350)=0)),OR(Y751&gt;=1000000000,AND(COUNTA(C751:C1350)=0,P$3=TRUE))),
ROUNDDOWN((AB$1-AC$1)*MAX(INDEX(T$4:T1350,MATCH(LARGE(FILTER(Y$4:Y1350,Y$4"&amp;":Y1350&lt;1000000000),1),Y$4:Y1350)),INDEX(F$4:F1350,MATCH(LARGE(FILTER(K$4:K1350,K$4:K1350&lt;1000000000),1),K$4:K1350)))),AND(K751&lt;1000000000,COUNTA(C751:C1350)&gt;0,P$3=FALSE),
ROUNDDOWN(INDEX(Y$4:Y1350,MATCH(LARGE(FILTER(W$4:W1350,W$4:W1350&lt;=I751),1),W$4:W1350"&amp;"))+(I751-LARGE(FILTER(W$4:W1350,W$4:W1350&lt;=I751),1))*INDEX(T$4:T1350,MATCH(LARGE(FILTER(W$4:W1350,W$4:W1350&lt;=I751),1),W$4:W1350))-K751),1,
ROUNDDOWN(Y751-INDEX(K$4:K1350,MATCH(LARGE(FILTER(I$4:I1350,I$4:I1350&lt;=W751),1),I$4:I1350))-(W751-LARGE(FILTER(I$4:I"&amp;"1350,I$4:I1350&lt;=W751),1))*INDEX(F$4:F1350,MATCH(LARGE(FILTER(I$4:I1350,I$4:I1350&lt;=W751),1),I$4:I1350))))"),"")</f>
        <v/>
      </c>
      <c r="N751" s="60" t="str">
        <f t="shared" si="8"/>
        <v/>
      </c>
      <c r="O751" s="61" t="str">
        <f t="shared" si="9"/>
        <v/>
      </c>
      <c r="P751" s="56" t="str">
        <f t="shared" si="10"/>
        <v/>
      </c>
      <c r="Q751" s="62"/>
      <c r="R751" s="10" t="str">
        <f>IFERROR(__xludf.DUMMYFUNCTION("IF(COUNTA(Q751:Q1350)=0,"""",IF(ISBLANK(Q751),FALSE,IF(NOT(COUNTIF($AA$24:$AA$34,SUBSTITUTE(Q751,""Sell_"",""""))),1,IF(REGEXMATCH(Q751,""Sell_""),IF(COUNTIF(Q$4:Q751,SUBSTITUTE(Q751,""Sell_"",""""))-COUNTIF(Q$4:Q750,Q751)&lt;1,1),FALSE))))"),"")</f>
        <v/>
      </c>
      <c r="S751" s="59" t="str">
        <f t="array" ref="S751">IF(COUNTA(Q751:Q1350)=0,"",SUM((COUNTIF(Q$4:Q751,Upgrades!$B$3:$B$13)-COUNTIF(Q$4:Q751,"Sell_"&amp;Upgrades!$B$3:$B$13))*Upgrades!$D$3:$D$13))</f>
        <v/>
      </c>
      <c r="T751" s="66" t="str">
        <f>IFERROR(__xludf.DUMMYFUNCTION("IF(COUNTA(Q751:Q1350)=0,"""",IF(REGEXMATCH(INDEX(FILTER(Q$4:Q751,Q$4:Q751&lt;&gt;""""),ROWS(FILTER(Q$4:Q751,Q$4:Q751&lt;&gt;""""))),""^Sell_""),INDEX(FILTER(T$4:T750,Q$4:Q750&lt;&gt;""""),ROWS(FILTER(Q$4:Q750,Q$4:Q750&lt;&gt;""""))),$AD$5+S751))"),"")</f>
        <v/>
      </c>
      <c r="U751" s="10" t="str">
        <f>IFERROR(__xludf.DUMMYFUNCTION("IF(COUNTA(Q751:Q1350)=0,"""",IF(Q751="""",0,IF(REGEXMATCH(Q751,""^Sell_""),-ROUNDDOWN(ROUNDUP(INDEX(Upgrades!$C$3:$C$13,MATCH(SUBSTITUTE(Q751,""Sell_"",""""),Upgrades!$B$3:$B$13,0))*1.15^(COUNTIF(Q$4:Q750,SUBSTITUTE(Q751,""Sell_"",""""))-COUNTIF(Q$4:Q750,"&amp;"""Sell_""&amp;SUBSTITUTE(Q751,""Sell_"",""""))))/2),ROUNDUP(INDEX(Upgrades!$C$3:$C$13,MATCH(Q751,Upgrades!$B$3:$B$13,0))*1.15^(COUNTIF(Q$4:Q750,Q751)-COUNTIF(Q$4:Q750,""Sell_""&amp;Q751))))))"),"")</f>
        <v/>
      </c>
      <c r="V751" s="10" t="str">
        <f t="shared" si="11"/>
        <v/>
      </c>
      <c r="W751" s="68" t="str">
        <f t="shared" si="12"/>
        <v/>
      </c>
      <c r="X751" s="59" t="str">
        <f t="shared" si="13"/>
        <v/>
      </c>
      <c r="Y751" s="69" t="str">
        <f t="shared" si="14"/>
        <v/>
      </c>
      <c r="Z751" s="11"/>
    </row>
    <row r="752">
      <c r="A752" s="8"/>
      <c r="B752" s="56" t="str">
        <f t="shared" si="2"/>
        <v/>
      </c>
      <c r="C752" s="57"/>
      <c r="D752" s="10" t="str">
        <f>IFERROR(__xludf.DUMMYFUNCTION("IF(COUNTA(C752:C1350)=0,"""",IF(ISBLANK(C752),FALSE,IF(NOT(COUNTIF($AA$24:$AA$34,SUBSTITUTE(C752,""Sell_"",""""))),1,IF(REGEXMATCH(C752,""Sell_""),IF(COUNTIF(C$4:C752,SUBSTITUTE(C752,""Sell_"",""""))-COUNTIF(C$4:C751,C752)&lt;1,1),FALSE))))"),"")</f>
        <v/>
      </c>
      <c r="E752" s="59" t="str">
        <f t="array" ref="E752">IF(COUNTA(C752:C1350)=0,"",SUM((COUNTIF(C$4:C752,Upgrades!$B$3:$B$13)-COUNTIF(C$4:C752,"Sell_"&amp;Upgrades!$B$3:$B$13))*Upgrades!$D$3:$D$13))</f>
        <v/>
      </c>
      <c r="F752" s="66" t="str">
        <f>IFERROR(__xludf.DUMMYFUNCTION("IF(COUNTA(C752:C1350)=0,"""",IF(REGEXMATCH(INDEX(FILTER(C$4:C752,C$4:C752&lt;&gt;""""),ROWS(FILTER(C$4:C752,C$4:C752&lt;&gt;""""))),""^Sell_""),INDEX(FILTER(F$4:F751,C$4:C751&lt;&gt;""""),ROWS(FILTER(C$4:C751,C$4:C751&lt;&gt;""""))),$AC$5+E752))"),"")</f>
        <v/>
      </c>
      <c r="G752" s="10" t="str">
        <f>IFERROR(__xludf.DUMMYFUNCTION("IF(COUNTA(C752:C1350)=0,"""",IF(C752="""",0,IF(REGEXMATCH(C752,""^Sell_""),-ROUNDDOWN(ROUNDUP(INDEX(Upgrades!$C$3:$C$13,MATCH(SUBSTITUTE(C752,""Sell_"",""""),Upgrades!$B$3:$B$13,0))*1.15^(COUNTIF(C$4:C751,SUBSTITUTE(C752,""Sell_"",""""))-COUNTIF(C$4:C751,"&amp;"""Sell_""&amp;SUBSTITUTE(C752,""Sell_"",""""))))/2),ROUNDUP(INDEX(Upgrades!$C$3:$C$13,MATCH(C752,Upgrades!$B$3:$B$13,0))*1.15^(COUNTIF(C$4:C751,C752)-COUNTIF(C$4:C751,""Sell_""&amp;C752))))))"),"")</f>
        <v/>
      </c>
      <c r="H752" s="10" t="str">
        <f t="shared" si="3"/>
        <v/>
      </c>
      <c r="I752" s="68" t="str">
        <f t="shared" si="4"/>
        <v/>
      </c>
      <c r="J752" s="59" t="str">
        <f t="shared" si="5"/>
        <v/>
      </c>
      <c r="K752" s="69" t="str">
        <f t="shared" si="6"/>
        <v/>
      </c>
      <c r="L752" s="60" t="str">
        <f t="shared" si="7"/>
        <v/>
      </c>
      <c r="M752" s="61" t="str">
        <f>IFERROR(__xludf.DUMMYFUNCTION("IFS(AND(COUNTA(C752:C1350)=0,COUNTA(Q752:Q1350)=0),"""",OR(AND(K752&gt;=1000000000,OR(Y752&gt;=1000000000,COUNTA(Q752:Q1350)=0)),OR(Y752&gt;=1000000000,AND(COUNTA(C752:C1350)=0,P$3=TRUE))),
ROUNDDOWN((AB$1-AC$1)*MAX(INDEX(T$4:T1350,MATCH(LARGE(FILTER(Y$4:Y1350,Y$4"&amp;":Y1350&lt;1000000000),1),Y$4:Y1350)),INDEX(F$4:F1350,MATCH(LARGE(FILTER(K$4:K1350,K$4:K1350&lt;1000000000),1),K$4:K1350)))),AND(K752&lt;1000000000,COUNTA(C752:C1350)&gt;0,P$3=FALSE),
ROUNDDOWN(INDEX(Y$4:Y1350,MATCH(LARGE(FILTER(W$4:W1350,W$4:W1350&lt;=I752),1),W$4:W1350"&amp;"))+(I752-LARGE(FILTER(W$4:W1350,W$4:W1350&lt;=I752),1))*INDEX(T$4:T1350,MATCH(LARGE(FILTER(W$4:W1350,W$4:W1350&lt;=I752),1),W$4:W1350))-K752),1,
ROUNDDOWN(Y752-INDEX(K$4:K1350,MATCH(LARGE(FILTER(I$4:I1350,I$4:I1350&lt;=W752),1),I$4:I1350))-(W752-LARGE(FILTER(I$4:I"&amp;"1350,I$4:I1350&lt;=W752),1))*INDEX(F$4:F1350,MATCH(LARGE(FILTER(I$4:I1350,I$4:I1350&lt;=W752),1),I$4:I1350))))"),"")</f>
        <v/>
      </c>
      <c r="N752" s="60" t="str">
        <f t="shared" si="8"/>
        <v/>
      </c>
      <c r="O752" s="61" t="str">
        <f t="shared" si="9"/>
        <v/>
      </c>
      <c r="P752" s="56" t="str">
        <f t="shared" si="10"/>
        <v/>
      </c>
      <c r="Q752" s="62"/>
      <c r="R752" s="10" t="str">
        <f>IFERROR(__xludf.DUMMYFUNCTION("IF(COUNTA(Q752:Q1350)=0,"""",IF(ISBLANK(Q752),FALSE,IF(NOT(COUNTIF($AA$24:$AA$34,SUBSTITUTE(Q752,""Sell_"",""""))),1,IF(REGEXMATCH(Q752,""Sell_""),IF(COUNTIF(Q$4:Q752,SUBSTITUTE(Q752,""Sell_"",""""))-COUNTIF(Q$4:Q751,Q752)&lt;1,1),FALSE))))"),"")</f>
        <v/>
      </c>
      <c r="S752" s="59" t="str">
        <f t="array" ref="S752">IF(COUNTA(Q752:Q1350)=0,"",SUM((COUNTIF(Q$4:Q752,Upgrades!$B$3:$B$13)-COUNTIF(Q$4:Q752,"Sell_"&amp;Upgrades!$B$3:$B$13))*Upgrades!$D$3:$D$13))</f>
        <v/>
      </c>
      <c r="T752" s="66" t="str">
        <f>IFERROR(__xludf.DUMMYFUNCTION("IF(COUNTA(Q752:Q1350)=0,"""",IF(REGEXMATCH(INDEX(FILTER(Q$4:Q752,Q$4:Q752&lt;&gt;""""),ROWS(FILTER(Q$4:Q752,Q$4:Q752&lt;&gt;""""))),""^Sell_""),INDEX(FILTER(T$4:T751,Q$4:Q751&lt;&gt;""""),ROWS(FILTER(Q$4:Q751,Q$4:Q751&lt;&gt;""""))),$AD$5+S752))"),"")</f>
        <v/>
      </c>
      <c r="U752" s="10" t="str">
        <f>IFERROR(__xludf.DUMMYFUNCTION("IF(COUNTA(Q752:Q1350)=0,"""",IF(Q752="""",0,IF(REGEXMATCH(Q752,""^Sell_""),-ROUNDDOWN(ROUNDUP(INDEX(Upgrades!$C$3:$C$13,MATCH(SUBSTITUTE(Q752,""Sell_"",""""),Upgrades!$B$3:$B$13,0))*1.15^(COUNTIF(Q$4:Q751,SUBSTITUTE(Q752,""Sell_"",""""))-COUNTIF(Q$4:Q751,"&amp;"""Sell_""&amp;SUBSTITUTE(Q752,""Sell_"",""""))))/2),ROUNDUP(INDEX(Upgrades!$C$3:$C$13,MATCH(Q752,Upgrades!$B$3:$B$13,0))*1.15^(COUNTIF(Q$4:Q751,Q752)-COUNTIF(Q$4:Q751,""Sell_""&amp;Q752))))))"),"")</f>
        <v/>
      </c>
      <c r="V752" s="10" t="str">
        <f t="shared" si="11"/>
        <v/>
      </c>
      <c r="W752" s="68" t="str">
        <f t="shared" si="12"/>
        <v/>
      </c>
      <c r="X752" s="59" t="str">
        <f t="shared" si="13"/>
        <v/>
      </c>
      <c r="Y752" s="69" t="str">
        <f t="shared" si="14"/>
        <v/>
      </c>
      <c r="Z752" s="11"/>
    </row>
    <row r="753">
      <c r="A753" s="8"/>
      <c r="B753" s="56" t="str">
        <f t="shared" si="2"/>
        <v/>
      </c>
      <c r="C753" s="57"/>
      <c r="D753" s="10" t="str">
        <f>IFERROR(__xludf.DUMMYFUNCTION("IF(COUNTA(C753:C1350)=0,"""",IF(ISBLANK(C753),FALSE,IF(NOT(COUNTIF($AA$24:$AA$34,SUBSTITUTE(C753,""Sell_"",""""))),1,IF(REGEXMATCH(C753,""Sell_""),IF(COUNTIF(C$4:C753,SUBSTITUTE(C753,""Sell_"",""""))-COUNTIF(C$4:C752,C753)&lt;1,1),FALSE))))"),"")</f>
        <v/>
      </c>
      <c r="E753" s="59" t="str">
        <f t="array" ref="E753">IF(COUNTA(C753:C1350)=0,"",SUM((COUNTIF(C$4:C753,Upgrades!$B$3:$B$13)-COUNTIF(C$4:C753,"Sell_"&amp;Upgrades!$B$3:$B$13))*Upgrades!$D$3:$D$13))</f>
        <v/>
      </c>
      <c r="F753" s="66" t="str">
        <f>IFERROR(__xludf.DUMMYFUNCTION("IF(COUNTA(C753:C1350)=0,"""",IF(REGEXMATCH(INDEX(FILTER(C$4:C753,C$4:C753&lt;&gt;""""),ROWS(FILTER(C$4:C753,C$4:C753&lt;&gt;""""))),""^Sell_""),INDEX(FILTER(F$4:F752,C$4:C752&lt;&gt;""""),ROWS(FILTER(C$4:C752,C$4:C752&lt;&gt;""""))),$AC$5+E753))"),"")</f>
        <v/>
      </c>
      <c r="G753" s="10" t="str">
        <f>IFERROR(__xludf.DUMMYFUNCTION("IF(COUNTA(C753:C1350)=0,"""",IF(C753="""",0,IF(REGEXMATCH(C753,""^Sell_""),-ROUNDDOWN(ROUNDUP(INDEX(Upgrades!$C$3:$C$13,MATCH(SUBSTITUTE(C753,""Sell_"",""""),Upgrades!$B$3:$B$13,0))*1.15^(COUNTIF(C$4:C752,SUBSTITUTE(C753,""Sell_"",""""))-COUNTIF(C$4:C752,"&amp;"""Sell_""&amp;SUBSTITUTE(C753,""Sell_"",""""))))/2),ROUNDUP(INDEX(Upgrades!$C$3:$C$13,MATCH(C753,Upgrades!$B$3:$B$13,0))*1.15^(COUNTIF(C$4:C752,C753)-COUNTIF(C$4:C752,""Sell_""&amp;C753))))))"),"")</f>
        <v/>
      </c>
      <c r="H753" s="10" t="str">
        <f t="shared" si="3"/>
        <v/>
      </c>
      <c r="I753" s="68" t="str">
        <f t="shared" si="4"/>
        <v/>
      </c>
      <c r="J753" s="59" t="str">
        <f t="shared" si="5"/>
        <v/>
      </c>
      <c r="K753" s="69" t="str">
        <f t="shared" si="6"/>
        <v/>
      </c>
      <c r="L753" s="60" t="str">
        <f t="shared" si="7"/>
        <v/>
      </c>
      <c r="M753" s="61" t="str">
        <f>IFERROR(__xludf.DUMMYFUNCTION("IFS(AND(COUNTA(C753:C1350)=0,COUNTA(Q753:Q1350)=0),"""",OR(AND(K753&gt;=1000000000,OR(Y753&gt;=1000000000,COUNTA(Q753:Q1350)=0)),OR(Y753&gt;=1000000000,AND(COUNTA(C753:C1350)=0,P$3=TRUE))),
ROUNDDOWN((AB$1-AC$1)*MAX(INDEX(T$4:T1350,MATCH(LARGE(FILTER(Y$4:Y1350,Y$4"&amp;":Y1350&lt;1000000000),1),Y$4:Y1350)),INDEX(F$4:F1350,MATCH(LARGE(FILTER(K$4:K1350,K$4:K1350&lt;1000000000),1),K$4:K1350)))),AND(K753&lt;1000000000,COUNTA(C753:C1350)&gt;0,P$3=FALSE),
ROUNDDOWN(INDEX(Y$4:Y1350,MATCH(LARGE(FILTER(W$4:W1350,W$4:W1350&lt;=I753),1),W$4:W1350"&amp;"))+(I753-LARGE(FILTER(W$4:W1350,W$4:W1350&lt;=I753),1))*INDEX(T$4:T1350,MATCH(LARGE(FILTER(W$4:W1350,W$4:W1350&lt;=I753),1),W$4:W1350))-K753),1,
ROUNDDOWN(Y753-INDEX(K$4:K1350,MATCH(LARGE(FILTER(I$4:I1350,I$4:I1350&lt;=W753),1),I$4:I1350))-(W753-LARGE(FILTER(I$4:I"&amp;"1350,I$4:I1350&lt;=W753),1))*INDEX(F$4:F1350,MATCH(LARGE(FILTER(I$4:I1350,I$4:I1350&lt;=W753),1),I$4:I1350))))"),"")</f>
        <v/>
      </c>
      <c r="N753" s="60" t="str">
        <f t="shared" si="8"/>
        <v/>
      </c>
      <c r="O753" s="61" t="str">
        <f t="shared" si="9"/>
        <v/>
      </c>
      <c r="P753" s="56" t="str">
        <f t="shared" si="10"/>
        <v/>
      </c>
      <c r="Q753" s="62"/>
      <c r="R753" s="10" t="str">
        <f>IFERROR(__xludf.DUMMYFUNCTION("IF(COUNTA(Q753:Q1350)=0,"""",IF(ISBLANK(Q753),FALSE,IF(NOT(COUNTIF($AA$24:$AA$34,SUBSTITUTE(Q753,""Sell_"",""""))),1,IF(REGEXMATCH(Q753,""Sell_""),IF(COUNTIF(Q$4:Q753,SUBSTITUTE(Q753,""Sell_"",""""))-COUNTIF(Q$4:Q752,Q753)&lt;1,1),FALSE))))"),"")</f>
        <v/>
      </c>
      <c r="S753" s="59" t="str">
        <f t="array" ref="S753">IF(COUNTA(Q753:Q1350)=0,"",SUM((COUNTIF(Q$4:Q753,Upgrades!$B$3:$B$13)-COUNTIF(Q$4:Q753,"Sell_"&amp;Upgrades!$B$3:$B$13))*Upgrades!$D$3:$D$13))</f>
        <v/>
      </c>
      <c r="T753" s="66" t="str">
        <f>IFERROR(__xludf.DUMMYFUNCTION("IF(COUNTA(Q753:Q1350)=0,"""",IF(REGEXMATCH(INDEX(FILTER(Q$4:Q753,Q$4:Q753&lt;&gt;""""),ROWS(FILTER(Q$4:Q753,Q$4:Q753&lt;&gt;""""))),""^Sell_""),INDEX(FILTER(T$4:T752,Q$4:Q752&lt;&gt;""""),ROWS(FILTER(Q$4:Q752,Q$4:Q752&lt;&gt;""""))),$AD$5+S753))"),"")</f>
        <v/>
      </c>
      <c r="U753" s="10" t="str">
        <f>IFERROR(__xludf.DUMMYFUNCTION("IF(COUNTA(Q753:Q1350)=0,"""",IF(Q753="""",0,IF(REGEXMATCH(Q753,""^Sell_""),-ROUNDDOWN(ROUNDUP(INDEX(Upgrades!$C$3:$C$13,MATCH(SUBSTITUTE(Q753,""Sell_"",""""),Upgrades!$B$3:$B$13,0))*1.15^(COUNTIF(Q$4:Q752,SUBSTITUTE(Q753,""Sell_"",""""))-COUNTIF(Q$4:Q752,"&amp;"""Sell_""&amp;SUBSTITUTE(Q753,""Sell_"",""""))))/2),ROUNDUP(INDEX(Upgrades!$C$3:$C$13,MATCH(Q753,Upgrades!$B$3:$B$13,0))*1.15^(COUNTIF(Q$4:Q752,Q753)-COUNTIF(Q$4:Q752,""Sell_""&amp;Q753))))))"),"")</f>
        <v/>
      </c>
      <c r="V753" s="10" t="str">
        <f t="shared" si="11"/>
        <v/>
      </c>
      <c r="W753" s="68" t="str">
        <f t="shared" si="12"/>
        <v/>
      </c>
      <c r="X753" s="59" t="str">
        <f t="shared" si="13"/>
        <v/>
      </c>
      <c r="Y753" s="69" t="str">
        <f t="shared" si="14"/>
        <v/>
      </c>
      <c r="Z753" s="11"/>
    </row>
    <row r="754">
      <c r="A754" s="8"/>
      <c r="B754" s="56" t="str">
        <f t="shared" si="2"/>
        <v/>
      </c>
      <c r="C754" s="57"/>
      <c r="D754" s="10" t="str">
        <f>IFERROR(__xludf.DUMMYFUNCTION("IF(COUNTA(C754:C1350)=0,"""",IF(ISBLANK(C754),FALSE,IF(NOT(COUNTIF($AA$24:$AA$34,SUBSTITUTE(C754,""Sell_"",""""))),1,IF(REGEXMATCH(C754,""Sell_""),IF(COUNTIF(C$4:C754,SUBSTITUTE(C754,""Sell_"",""""))-COUNTIF(C$4:C753,C754)&lt;1,1),FALSE))))"),"")</f>
        <v/>
      </c>
      <c r="E754" s="59" t="str">
        <f t="array" ref="E754">IF(COUNTA(C754:C1350)=0,"",SUM((COUNTIF(C$4:C754,Upgrades!$B$3:$B$13)-COUNTIF(C$4:C754,"Sell_"&amp;Upgrades!$B$3:$B$13))*Upgrades!$D$3:$D$13))</f>
        <v/>
      </c>
      <c r="F754" s="66" t="str">
        <f>IFERROR(__xludf.DUMMYFUNCTION("IF(COUNTA(C754:C1350)=0,"""",IF(REGEXMATCH(INDEX(FILTER(C$4:C754,C$4:C754&lt;&gt;""""),ROWS(FILTER(C$4:C754,C$4:C754&lt;&gt;""""))),""^Sell_""),INDEX(FILTER(F$4:F753,C$4:C753&lt;&gt;""""),ROWS(FILTER(C$4:C753,C$4:C753&lt;&gt;""""))),$AC$5+E754))"),"")</f>
        <v/>
      </c>
      <c r="G754" s="10" t="str">
        <f>IFERROR(__xludf.DUMMYFUNCTION("IF(COUNTA(C754:C1350)=0,"""",IF(C754="""",0,IF(REGEXMATCH(C754,""^Sell_""),-ROUNDDOWN(ROUNDUP(INDEX(Upgrades!$C$3:$C$13,MATCH(SUBSTITUTE(C754,""Sell_"",""""),Upgrades!$B$3:$B$13,0))*1.15^(COUNTIF(C$4:C753,SUBSTITUTE(C754,""Sell_"",""""))-COUNTIF(C$4:C753,"&amp;"""Sell_""&amp;SUBSTITUTE(C754,""Sell_"",""""))))/2),ROUNDUP(INDEX(Upgrades!$C$3:$C$13,MATCH(C754,Upgrades!$B$3:$B$13,0))*1.15^(COUNTIF(C$4:C753,C754)-COUNTIF(C$4:C753,""Sell_""&amp;C754))))))"),"")</f>
        <v/>
      </c>
      <c r="H754" s="10" t="str">
        <f t="shared" si="3"/>
        <v/>
      </c>
      <c r="I754" s="68" t="str">
        <f t="shared" si="4"/>
        <v/>
      </c>
      <c r="J754" s="59" t="str">
        <f t="shared" si="5"/>
        <v/>
      </c>
      <c r="K754" s="69" t="str">
        <f t="shared" si="6"/>
        <v/>
      </c>
      <c r="L754" s="60" t="str">
        <f t="shared" si="7"/>
        <v/>
      </c>
      <c r="M754" s="61" t="str">
        <f>IFERROR(__xludf.DUMMYFUNCTION("IFS(AND(COUNTA(C754:C1350)=0,COUNTA(Q754:Q1350)=0),"""",OR(AND(K754&gt;=1000000000,OR(Y754&gt;=1000000000,COUNTA(Q754:Q1350)=0)),OR(Y754&gt;=1000000000,AND(COUNTA(C754:C1350)=0,P$3=TRUE))),
ROUNDDOWN((AB$1-AC$1)*MAX(INDEX(T$4:T1350,MATCH(LARGE(FILTER(Y$4:Y1350,Y$4"&amp;":Y1350&lt;1000000000),1),Y$4:Y1350)),INDEX(F$4:F1350,MATCH(LARGE(FILTER(K$4:K1350,K$4:K1350&lt;1000000000),1),K$4:K1350)))),AND(K754&lt;1000000000,COUNTA(C754:C1350)&gt;0,P$3=FALSE),
ROUNDDOWN(INDEX(Y$4:Y1350,MATCH(LARGE(FILTER(W$4:W1350,W$4:W1350&lt;=I754),1),W$4:W1350"&amp;"))+(I754-LARGE(FILTER(W$4:W1350,W$4:W1350&lt;=I754),1))*INDEX(T$4:T1350,MATCH(LARGE(FILTER(W$4:W1350,W$4:W1350&lt;=I754),1),W$4:W1350))-K754),1,
ROUNDDOWN(Y754-INDEX(K$4:K1350,MATCH(LARGE(FILTER(I$4:I1350,I$4:I1350&lt;=W754),1),I$4:I1350))-(W754-LARGE(FILTER(I$4:I"&amp;"1350,I$4:I1350&lt;=W754),1))*INDEX(F$4:F1350,MATCH(LARGE(FILTER(I$4:I1350,I$4:I1350&lt;=W754),1),I$4:I1350))))"),"")</f>
        <v/>
      </c>
      <c r="N754" s="60" t="str">
        <f t="shared" si="8"/>
        <v/>
      </c>
      <c r="O754" s="61" t="str">
        <f t="shared" si="9"/>
        <v/>
      </c>
      <c r="P754" s="56" t="str">
        <f t="shared" si="10"/>
        <v/>
      </c>
      <c r="Q754" s="62"/>
      <c r="R754" s="10" t="str">
        <f>IFERROR(__xludf.DUMMYFUNCTION("IF(COUNTA(Q754:Q1350)=0,"""",IF(ISBLANK(Q754),FALSE,IF(NOT(COUNTIF($AA$24:$AA$34,SUBSTITUTE(Q754,""Sell_"",""""))),1,IF(REGEXMATCH(Q754,""Sell_""),IF(COUNTIF(Q$4:Q754,SUBSTITUTE(Q754,""Sell_"",""""))-COUNTIF(Q$4:Q753,Q754)&lt;1,1),FALSE))))"),"")</f>
        <v/>
      </c>
      <c r="S754" s="59" t="str">
        <f t="array" ref="S754">IF(COUNTA(Q754:Q1350)=0,"",SUM((COUNTIF(Q$4:Q754,Upgrades!$B$3:$B$13)-COUNTIF(Q$4:Q754,"Sell_"&amp;Upgrades!$B$3:$B$13))*Upgrades!$D$3:$D$13))</f>
        <v/>
      </c>
      <c r="T754" s="66" t="str">
        <f>IFERROR(__xludf.DUMMYFUNCTION("IF(COUNTA(Q754:Q1350)=0,"""",IF(REGEXMATCH(INDEX(FILTER(Q$4:Q754,Q$4:Q754&lt;&gt;""""),ROWS(FILTER(Q$4:Q754,Q$4:Q754&lt;&gt;""""))),""^Sell_""),INDEX(FILTER(T$4:T753,Q$4:Q753&lt;&gt;""""),ROWS(FILTER(Q$4:Q753,Q$4:Q753&lt;&gt;""""))),$AD$5+S754))"),"")</f>
        <v/>
      </c>
      <c r="U754" s="10" t="str">
        <f>IFERROR(__xludf.DUMMYFUNCTION("IF(COUNTA(Q754:Q1350)=0,"""",IF(Q754="""",0,IF(REGEXMATCH(Q754,""^Sell_""),-ROUNDDOWN(ROUNDUP(INDEX(Upgrades!$C$3:$C$13,MATCH(SUBSTITUTE(Q754,""Sell_"",""""),Upgrades!$B$3:$B$13,0))*1.15^(COUNTIF(Q$4:Q753,SUBSTITUTE(Q754,""Sell_"",""""))-COUNTIF(Q$4:Q753,"&amp;"""Sell_""&amp;SUBSTITUTE(Q754,""Sell_"",""""))))/2),ROUNDUP(INDEX(Upgrades!$C$3:$C$13,MATCH(Q754,Upgrades!$B$3:$B$13,0))*1.15^(COUNTIF(Q$4:Q753,Q754)-COUNTIF(Q$4:Q753,""Sell_""&amp;Q754))))))"),"")</f>
        <v/>
      </c>
      <c r="V754" s="10" t="str">
        <f t="shared" si="11"/>
        <v/>
      </c>
      <c r="W754" s="68" t="str">
        <f t="shared" si="12"/>
        <v/>
      </c>
      <c r="X754" s="59" t="str">
        <f t="shared" si="13"/>
        <v/>
      </c>
      <c r="Y754" s="69" t="str">
        <f t="shared" si="14"/>
        <v/>
      </c>
      <c r="Z754" s="11"/>
    </row>
    <row r="755">
      <c r="A755" s="8"/>
      <c r="B755" s="56" t="str">
        <f t="shared" si="2"/>
        <v/>
      </c>
      <c r="C755" s="57"/>
      <c r="D755" s="10" t="str">
        <f>IFERROR(__xludf.DUMMYFUNCTION("IF(COUNTA(C755:C1350)=0,"""",IF(ISBLANK(C755),FALSE,IF(NOT(COUNTIF($AA$24:$AA$34,SUBSTITUTE(C755,""Sell_"",""""))),1,IF(REGEXMATCH(C755,""Sell_""),IF(COUNTIF(C$4:C755,SUBSTITUTE(C755,""Sell_"",""""))-COUNTIF(C$4:C754,C755)&lt;1,1),FALSE))))"),"")</f>
        <v/>
      </c>
      <c r="E755" s="59" t="str">
        <f t="array" ref="E755">IF(COUNTA(C755:C1350)=0,"",SUM((COUNTIF(C$4:C755,Upgrades!$B$3:$B$13)-COUNTIF(C$4:C755,"Sell_"&amp;Upgrades!$B$3:$B$13))*Upgrades!$D$3:$D$13))</f>
        <v/>
      </c>
      <c r="F755" s="66" t="str">
        <f>IFERROR(__xludf.DUMMYFUNCTION("IF(COUNTA(C755:C1350)=0,"""",IF(REGEXMATCH(INDEX(FILTER(C$4:C755,C$4:C755&lt;&gt;""""),ROWS(FILTER(C$4:C755,C$4:C755&lt;&gt;""""))),""^Sell_""),INDEX(FILTER(F$4:F754,C$4:C754&lt;&gt;""""),ROWS(FILTER(C$4:C754,C$4:C754&lt;&gt;""""))),$AC$5+E755))"),"")</f>
        <v/>
      </c>
      <c r="G755" s="10" t="str">
        <f>IFERROR(__xludf.DUMMYFUNCTION("IF(COUNTA(C755:C1350)=0,"""",IF(C755="""",0,IF(REGEXMATCH(C755,""^Sell_""),-ROUNDDOWN(ROUNDUP(INDEX(Upgrades!$C$3:$C$13,MATCH(SUBSTITUTE(C755,""Sell_"",""""),Upgrades!$B$3:$B$13,0))*1.15^(COUNTIF(C$4:C754,SUBSTITUTE(C755,""Sell_"",""""))-COUNTIF(C$4:C754,"&amp;"""Sell_""&amp;SUBSTITUTE(C755,""Sell_"",""""))))/2),ROUNDUP(INDEX(Upgrades!$C$3:$C$13,MATCH(C755,Upgrades!$B$3:$B$13,0))*1.15^(COUNTIF(C$4:C754,C755)-COUNTIF(C$4:C754,""Sell_""&amp;C755))))))"),"")</f>
        <v/>
      </c>
      <c r="H755" s="10" t="str">
        <f t="shared" si="3"/>
        <v/>
      </c>
      <c r="I755" s="68" t="str">
        <f t="shared" si="4"/>
        <v/>
      </c>
      <c r="J755" s="59" t="str">
        <f t="shared" si="5"/>
        <v/>
      </c>
      <c r="K755" s="69" t="str">
        <f t="shared" si="6"/>
        <v/>
      </c>
      <c r="L755" s="60" t="str">
        <f t="shared" si="7"/>
        <v/>
      </c>
      <c r="M755" s="61" t="str">
        <f>IFERROR(__xludf.DUMMYFUNCTION("IFS(AND(COUNTA(C755:C1350)=0,COUNTA(Q755:Q1350)=0),"""",OR(AND(K755&gt;=1000000000,OR(Y755&gt;=1000000000,COUNTA(Q755:Q1350)=0)),OR(Y755&gt;=1000000000,AND(COUNTA(C755:C1350)=0,P$3=TRUE))),
ROUNDDOWN((AB$1-AC$1)*MAX(INDEX(T$4:T1350,MATCH(LARGE(FILTER(Y$4:Y1350,Y$4"&amp;":Y1350&lt;1000000000),1),Y$4:Y1350)),INDEX(F$4:F1350,MATCH(LARGE(FILTER(K$4:K1350,K$4:K1350&lt;1000000000),1),K$4:K1350)))),AND(K755&lt;1000000000,COUNTA(C755:C1350)&gt;0,P$3=FALSE),
ROUNDDOWN(INDEX(Y$4:Y1350,MATCH(LARGE(FILTER(W$4:W1350,W$4:W1350&lt;=I755),1),W$4:W1350"&amp;"))+(I755-LARGE(FILTER(W$4:W1350,W$4:W1350&lt;=I755),1))*INDEX(T$4:T1350,MATCH(LARGE(FILTER(W$4:W1350,W$4:W1350&lt;=I755),1),W$4:W1350))-K755),1,
ROUNDDOWN(Y755-INDEX(K$4:K1350,MATCH(LARGE(FILTER(I$4:I1350,I$4:I1350&lt;=W755),1),I$4:I1350))-(W755-LARGE(FILTER(I$4:I"&amp;"1350,I$4:I1350&lt;=W755),1))*INDEX(F$4:F1350,MATCH(LARGE(FILTER(I$4:I1350,I$4:I1350&lt;=W755),1),I$4:I1350))))"),"")</f>
        <v/>
      </c>
      <c r="N755" s="60" t="str">
        <f t="shared" si="8"/>
        <v/>
      </c>
      <c r="O755" s="61" t="str">
        <f t="shared" si="9"/>
        <v/>
      </c>
      <c r="P755" s="56" t="str">
        <f t="shared" si="10"/>
        <v/>
      </c>
      <c r="Q755" s="62"/>
      <c r="R755" s="10" t="str">
        <f>IFERROR(__xludf.DUMMYFUNCTION("IF(COUNTA(Q755:Q1350)=0,"""",IF(ISBLANK(Q755),FALSE,IF(NOT(COUNTIF($AA$24:$AA$34,SUBSTITUTE(Q755,""Sell_"",""""))),1,IF(REGEXMATCH(Q755,""Sell_""),IF(COUNTIF(Q$4:Q755,SUBSTITUTE(Q755,""Sell_"",""""))-COUNTIF(Q$4:Q754,Q755)&lt;1,1),FALSE))))"),"")</f>
        <v/>
      </c>
      <c r="S755" s="59" t="str">
        <f t="array" ref="S755">IF(COUNTA(Q755:Q1350)=0,"",SUM((COUNTIF(Q$4:Q755,Upgrades!$B$3:$B$13)-COUNTIF(Q$4:Q755,"Sell_"&amp;Upgrades!$B$3:$B$13))*Upgrades!$D$3:$D$13))</f>
        <v/>
      </c>
      <c r="T755" s="66" t="str">
        <f>IFERROR(__xludf.DUMMYFUNCTION("IF(COUNTA(Q755:Q1350)=0,"""",IF(REGEXMATCH(INDEX(FILTER(Q$4:Q755,Q$4:Q755&lt;&gt;""""),ROWS(FILTER(Q$4:Q755,Q$4:Q755&lt;&gt;""""))),""^Sell_""),INDEX(FILTER(T$4:T754,Q$4:Q754&lt;&gt;""""),ROWS(FILTER(Q$4:Q754,Q$4:Q754&lt;&gt;""""))),$AD$5+S755))"),"")</f>
        <v/>
      </c>
      <c r="U755" s="10" t="str">
        <f>IFERROR(__xludf.DUMMYFUNCTION("IF(COUNTA(Q755:Q1350)=0,"""",IF(Q755="""",0,IF(REGEXMATCH(Q755,""^Sell_""),-ROUNDDOWN(ROUNDUP(INDEX(Upgrades!$C$3:$C$13,MATCH(SUBSTITUTE(Q755,""Sell_"",""""),Upgrades!$B$3:$B$13,0))*1.15^(COUNTIF(Q$4:Q754,SUBSTITUTE(Q755,""Sell_"",""""))-COUNTIF(Q$4:Q754,"&amp;"""Sell_""&amp;SUBSTITUTE(Q755,""Sell_"",""""))))/2),ROUNDUP(INDEX(Upgrades!$C$3:$C$13,MATCH(Q755,Upgrades!$B$3:$B$13,0))*1.15^(COUNTIF(Q$4:Q754,Q755)-COUNTIF(Q$4:Q754,""Sell_""&amp;Q755))))))"),"")</f>
        <v/>
      </c>
      <c r="V755" s="10" t="str">
        <f t="shared" si="11"/>
        <v/>
      </c>
      <c r="W755" s="68" t="str">
        <f t="shared" si="12"/>
        <v/>
      </c>
      <c r="X755" s="59" t="str">
        <f t="shared" si="13"/>
        <v/>
      </c>
      <c r="Y755" s="69" t="str">
        <f t="shared" si="14"/>
        <v/>
      </c>
      <c r="Z755" s="11"/>
    </row>
    <row r="756">
      <c r="A756" s="8"/>
      <c r="B756" s="56" t="str">
        <f t="shared" si="2"/>
        <v/>
      </c>
      <c r="C756" s="57"/>
      <c r="D756" s="10" t="str">
        <f>IFERROR(__xludf.DUMMYFUNCTION("IF(COUNTA(C756:C1350)=0,"""",IF(ISBLANK(C756),FALSE,IF(NOT(COUNTIF($AA$24:$AA$34,SUBSTITUTE(C756,""Sell_"",""""))),1,IF(REGEXMATCH(C756,""Sell_""),IF(COUNTIF(C$4:C756,SUBSTITUTE(C756,""Sell_"",""""))-COUNTIF(C$4:C755,C756)&lt;1,1),FALSE))))"),"")</f>
        <v/>
      </c>
      <c r="E756" s="59" t="str">
        <f t="array" ref="E756">IF(COUNTA(C756:C1350)=0,"",SUM((COUNTIF(C$4:C756,Upgrades!$B$3:$B$13)-COUNTIF(C$4:C756,"Sell_"&amp;Upgrades!$B$3:$B$13))*Upgrades!$D$3:$D$13))</f>
        <v/>
      </c>
      <c r="F756" s="66" t="str">
        <f>IFERROR(__xludf.DUMMYFUNCTION("IF(COUNTA(C756:C1350)=0,"""",IF(REGEXMATCH(INDEX(FILTER(C$4:C756,C$4:C756&lt;&gt;""""),ROWS(FILTER(C$4:C756,C$4:C756&lt;&gt;""""))),""^Sell_""),INDEX(FILTER(F$4:F755,C$4:C755&lt;&gt;""""),ROWS(FILTER(C$4:C755,C$4:C755&lt;&gt;""""))),$AC$5+E756))"),"")</f>
        <v/>
      </c>
      <c r="G756" s="10" t="str">
        <f>IFERROR(__xludf.DUMMYFUNCTION("IF(COUNTA(C756:C1350)=0,"""",IF(C756="""",0,IF(REGEXMATCH(C756,""^Sell_""),-ROUNDDOWN(ROUNDUP(INDEX(Upgrades!$C$3:$C$13,MATCH(SUBSTITUTE(C756,""Sell_"",""""),Upgrades!$B$3:$B$13,0))*1.15^(COUNTIF(C$4:C755,SUBSTITUTE(C756,""Sell_"",""""))-COUNTIF(C$4:C755,"&amp;"""Sell_""&amp;SUBSTITUTE(C756,""Sell_"",""""))))/2),ROUNDUP(INDEX(Upgrades!$C$3:$C$13,MATCH(C756,Upgrades!$B$3:$B$13,0))*1.15^(COUNTIF(C$4:C755,C756)-COUNTIF(C$4:C755,""Sell_""&amp;C756))))))"),"")</f>
        <v/>
      </c>
      <c r="H756" s="10" t="str">
        <f t="shared" si="3"/>
        <v/>
      </c>
      <c r="I756" s="68" t="str">
        <f t="shared" si="4"/>
        <v/>
      </c>
      <c r="J756" s="59" t="str">
        <f t="shared" si="5"/>
        <v/>
      </c>
      <c r="K756" s="69" t="str">
        <f t="shared" si="6"/>
        <v/>
      </c>
      <c r="L756" s="60" t="str">
        <f t="shared" si="7"/>
        <v/>
      </c>
      <c r="M756" s="61" t="str">
        <f>IFERROR(__xludf.DUMMYFUNCTION("IFS(AND(COUNTA(C756:C1350)=0,COUNTA(Q756:Q1350)=0),"""",OR(AND(K756&gt;=1000000000,OR(Y756&gt;=1000000000,COUNTA(Q756:Q1350)=0)),OR(Y756&gt;=1000000000,AND(COUNTA(C756:C1350)=0,P$3=TRUE))),
ROUNDDOWN((AB$1-AC$1)*MAX(INDEX(T$4:T1350,MATCH(LARGE(FILTER(Y$4:Y1350,Y$4"&amp;":Y1350&lt;1000000000),1),Y$4:Y1350)),INDEX(F$4:F1350,MATCH(LARGE(FILTER(K$4:K1350,K$4:K1350&lt;1000000000),1),K$4:K1350)))),AND(K756&lt;1000000000,COUNTA(C756:C1350)&gt;0,P$3=FALSE),
ROUNDDOWN(INDEX(Y$4:Y1350,MATCH(LARGE(FILTER(W$4:W1350,W$4:W1350&lt;=I756),1),W$4:W1350"&amp;"))+(I756-LARGE(FILTER(W$4:W1350,W$4:W1350&lt;=I756),1))*INDEX(T$4:T1350,MATCH(LARGE(FILTER(W$4:W1350,W$4:W1350&lt;=I756),1),W$4:W1350))-K756),1,
ROUNDDOWN(Y756-INDEX(K$4:K1350,MATCH(LARGE(FILTER(I$4:I1350,I$4:I1350&lt;=W756),1),I$4:I1350))-(W756-LARGE(FILTER(I$4:I"&amp;"1350,I$4:I1350&lt;=W756),1))*INDEX(F$4:F1350,MATCH(LARGE(FILTER(I$4:I1350,I$4:I1350&lt;=W756),1),I$4:I1350))))"),"")</f>
        <v/>
      </c>
      <c r="N756" s="60" t="str">
        <f t="shared" si="8"/>
        <v/>
      </c>
      <c r="O756" s="61" t="str">
        <f t="shared" si="9"/>
        <v/>
      </c>
      <c r="P756" s="56" t="str">
        <f t="shared" si="10"/>
        <v/>
      </c>
      <c r="Q756" s="62"/>
      <c r="R756" s="10" t="str">
        <f>IFERROR(__xludf.DUMMYFUNCTION("IF(COUNTA(Q756:Q1350)=0,"""",IF(ISBLANK(Q756),FALSE,IF(NOT(COUNTIF($AA$24:$AA$34,SUBSTITUTE(Q756,""Sell_"",""""))),1,IF(REGEXMATCH(Q756,""Sell_""),IF(COUNTIF(Q$4:Q756,SUBSTITUTE(Q756,""Sell_"",""""))-COUNTIF(Q$4:Q755,Q756)&lt;1,1),FALSE))))"),"")</f>
        <v/>
      </c>
      <c r="S756" s="59" t="str">
        <f t="array" ref="S756">IF(COUNTA(Q756:Q1350)=0,"",SUM((COUNTIF(Q$4:Q756,Upgrades!$B$3:$B$13)-COUNTIF(Q$4:Q756,"Sell_"&amp;Upgrades!$B$3:$B$13))*Upgrades!$D$3:$D$13))</f>
        <v/>
      </c>
      <c r="T756" s="66" t="str">
        <f>IFERROR(__xludf.DUMMYFUNCTION("IF(COUNTA(Q756:Q1350)=0,"""",IF(REGEXMATCH(INDEX(FILTER(Q$4:Q756,Q$4:Q756&lt;&gt;""""),ROWS(FILTER(Q$4:Q756,Q$4:Q756&lt;&gt;""""))),""^Sell_""),INDEX(FILTER(T$4:T755,Q$4:Q755&lt;&gt;""""),ROWS(FILTER(Q$4:Q755,Q$4:Q755&lt;&gt;""""))),$AD$5+S756))"),"")</f>
        <v/>
      </c>
      <c r="U756" s="10" t="str">
        <f>IFERROR(__xludf.DUMMYFUNCTION("IF(COUNTA(Q756:Q1350)=0,"""",IF(Q756="""",0,IF(REGEXMATCH(Q756,""^Sell_""),-ROUNDDOWN(ROUNDUP(INDEX(Upgrades!$C$3:$C$13,MATCH(SUBSTITUTE(Q756,""Sell_"",""""),Upgrades!$B$3:$B$13,0))*1.15^(COUNTIF(Q$4:Q755,SUBSTITUTE(Q756,""Sell_"",""""))-COUNTIF(Q$4:Q755,"&amp;"""Sell_""&amp;SUBSTITUTE(Q756,""Sell_"",""""))))/2),ROUNDUP(INDEX(Upgrades!$C$3:$C$13,MATCH(Q756,Upgrades!$B$3:$B$13,0))*1.15^(COUNTIF(Q$4:Q755,Q756)-COUNTIF(Q$4:Q755,""Sell_""&amp;Q756))))))"),"")</f>
        <v/>
      </c>
      <c r="V756" s="10" t="str">
        <f t="shared" si="11"/>
        <v/>
      </c>
      <c r="W756" s="68" t="str">
        <f t="shared" si="12"/>
        <v/>
      </c>
      <c r="X756" s="59" t="str">
        <f t="shared" si="13"/>
        <v/>
      </c>
      <c r="Y756" s="69" t="str">
        <f t="shared" si="14"/>
        <v/>
      </c>
      <c r="Z756" s="11"/>
    </row>
    <row r="757">
      <c r="A757" s="8"/>
      <c r="B757" s="56" t="str">
        <f t="shared" si="2"/>
        <v/>
      </c>
      <c r="C757" s="57"/>
      <c r="D757" s="10" t="str">
        <f>IFERROR(__xludf.DUMMYFUNCTION("IF(COUNTA(C757:C1350)=0,"""",IF(ISBLANK(C757),FALSE,IF(NOT(COUNTIF($AA$24:$AA$34,SUBSTITUTE(C757,""Sell_"",""""))),1,IF(REGEXMATCH(C757,""Sell_""),IF(COUNTIF(C$4:C757,SUBSTITUTE(C757,""Sell_"",""""))-COUNTIF(C$4:C756,C757)&lt;1,1),FALSE))))"),"")</f>
        <v/>
      </c>
      <c r="E757" s="59" t="str">
        <f t="array" ref="E757">IF(COUNTA(C757:C1350)=0,"",SUM((COUNTIF(C$4:C757,Upgrades!$B$3:$B$13)-COUNTIF(C$4:C757,"Sell_"&amp;Upgrades!$B$3:$B$13))*Upgrades!$D$3:$D$13))</f>
        <v/>
      </c>
      <c r="F757" s="66" t="str">
        <f>IFERROR(__xludf.DUMMYFUNCTION("IF(COUNTA(C757:C1350)=0,"""",IF(REGEXMATCH(INDEX(FILTER(C$4:C757,C$4:C757&lt;&gt;""""),ROWS(FILTER(C$4:C757,C$4:C757&lt;&gt;""""))),""^Sell_""),INDEX(FILTER(F$4:F756,C$4:C756&lt;&gt;""""),ROWS(FILTER(C$4:C756,C$4:C756&lt;&gt;""""))),$AC$5+E757))"),"")</f>
        <v/>
      </c>
      <c r="G757" s="10" t="str">
        <f>IFERROR(__xludf.DUMMYFUNCTION("IF(COUNTA(C757:C1350)=0,"""",IF(C757="""",0,IF(REGEXMATCH(C757,""^Sell_""),-ROUNDDOWN(ROUNDUP(INDEX(Upgrades!$C$3:$C$13,MATCH(SUBSTITUTE(C757,""Sell_"",""""),Upgrades!$B$3:$B$13,0))*1.15^(COUNTIF(C$4:C756,SUBSTITUTE(C757,""Sell_"",""""))-COUNTIF(C$4:C756,"&amp;"""Sell_""&amp;SUBSTITUTE(C757,""Sell_"",""""))))/2),ROUNDUP(INDEX(Upgrades!$C$3:$C$13,MATCH(C757,Upgrades!$B$3:$B$13,0))*1.15^(COUNTIF(C$4:C756,C757)-COUNTIF(C$4:C756,""Sell_""&amp;C757))))))"),"")</f>
        <v/>
      </c>
      <c r="H757" s="10" t="str">
        <f t="shared" si="3"/>
        <v/>
      </c>
      <c r="I757" s="68" t="str">
        <f t="shared" si="4"/>
        <v/>
      </c>
      <c r="J757" s="59" t="str">
        <f t="shared" si="5"/>
        <v/>
      </c>
      <c r="K757" s="69" t="str">
        <f t="shared" si="6"/>
        <v/>
      </c>
      <c r="L757" s="60" t="str">
        <f t="shared" si="7"/>
        <v/>
      </c>
      <c r="M757" s="61" t="str">
        <f>IFERROR(__xludf.DUMMYFUNCTION("IFS(AND(COUNTA(C757:C1350)=0,COUNTA(Q757:Q1350)=0),"""",OR(AND(K757&gt;=1000000000,OR(Y757&gt;=1000000000,COUNTA(Q757:Q1350)=0)),OR(Y757&gt;=1000000000,AND(COUNTA(C757:C1350)=0,P$3=TRUE))),
ROUNDDOWN((AB$1-AC$1)*MAX(INDEX(T$4:T1350,MATCH(LARGE(FILTER(Y$4:Y1350,Y$4"&amp;":Y1350&lt;1000000000),1),Y$4:Y1350)),INDEX(F$4:F1350,MATCH(LARGE(FILTER(K$4:K1350,K$4:K1350&lt;1000000000),1),K$4:K1350)))),AND(K757&lt;1000000000,COUNTA(C757:C1350)&gt;0,P$3=FALSE),
ROUNDDOWN(INDEX(Y$4:Y1350,MATCH(LARGE(FILTER(W$4:W1350,W$4:W1350&lt;=I757),1),W$4:W1350"&amp;"))+(I757-LARGE(FILTER(W$4:W1350,W$4:W1350&lt;=I757),1))*INDEX(T$4:T1350,MATCH(LARGE(FILTER(W$4:W1350,W$4:W1350&lt;=I757),1),W$4:W1350))-K757),1,
ROUNDDOWN(Y757-INDEX(K$4:K1350,MATCH(LARGE(FILTER(I$4:I1350,I$4:I1350&lt;=W757),1),I$4:I1350))-(W757-LARGE(FILTER(I$4:I"&amp;"1350,I$4:I1350&lt;=W757),1))*INDEX(F$4:F1350,MATCH(LARGE(FILTER(I$4:I1350,I$4:I1350&lt;=W757),1),I$4:I1350))))"),"")</f>
        <v/>
      </c>
      <c r="N757" s="60" t="str">
        <f t="shared" si="8"/>
        <v/>
      </c>
      <c r="O757" s="61" t="str">
        <f t="shared" si="9"/>
        <v/>
      </c>
      <c r="P757" s="56" t="str">
        <f t="shared" si="10"/>
        <v/>
      </c>
      <c r="Q757" s="62"/>
      <c r="R757" s="10" t="str">
        <f>IFERROR(__xludf.DUMMYFUNCTION("IF(COUNTA(Q757:Q1350)=0,"""",IF(ISBLANK(Q757),FALSE,IF(NOT(COUNTIF($AA$24:$AA$34,SUBSTITUTE(Q757,""Sell_"",""""))),1,IF(REGEXMATCH(Q757,""Sell_""),IF(COUNTIF(Q$4:Q757,SUBSTITUTE(Q757,""Sell_"",""""))-COUNTIF(Q$4:Q756,Q757)&lt;1,1),FALSE))))"),"")</f>
        <v/>
      </c>
      <c r="S757" s="59" t="str">
        <f t="array" ref="S757">IF(COUNTA(Q757:Q1350)=0,"",SUM((COUNTIF(Q$4:Q757,Upgrades!$B$3:$B$13)-COUNTIF(Q$4:Q757,"Sell_"&amp;Upgrades!$B$3:$B$13))*Upgrades!$D$3:$D$13))</f>
        <v/>
      </c>
      <c r="T757" s="66" t="str">
        <f>IFERROR(__xludf.DUMMYFUNCTION("IF(COUNTA(Q757:Q1350)=0,"""",IF(REGEXMATCH(INDEX(FILTER(Q$4:Q757,Q$4:Q757&lt;&gt;""""),ROWS(FILTER(Q$4:Q757,Q$4:Q757&lt;&gt;""""))),""^Sell_""),INDEX(FILTER(T$4:T756,Q$4:Q756&lt;&gt;""""),ROWS(FILTER(Q$4:Q756,Q$4:Q756&lt;&gt;""""))),$AD$5+S757))"),"")</f>
        <v/>
      </c>
      <c r="U757" s="10" t="str">
        <f>IFERROR(__xludf.DUMMYFUNCTION("IF(COUNTA(Q757:Q1350)=0,"""",IF(Q757="""",0,IF(REGEXMATCH(Q757,""^Sell_""),-ROUNDDOWN(ROUNDUP(INDEX(Upgrades!$C$3:$C$13,MATCH(SUBSTITUTE(Q757,""Sell_"",""""),Upgrades!$B$3:$B$13,0))*1.15^(COUNTIF(Q$4:Q756,SUBSTITUTE(Q757,""Sell_"",""""))-COUNTIF(Q$4:Q756,"&amp;"""Sell_""&amp;SUBSTITUTE(Q757,""Sell_"",""""))))/2),ROUNDUP(INDEX(Upgrades!$C$3:$C$13,MATCH(Q757,Upgrades!$B$3:$B$13,0))*1.15^(COUNTIF(Q$4:Q756,Q757)-COUNTIF(Q$4:Q756,""Sell_""&amp;Q757))))))"),"")</f>
        <v/>
      </c>
      <c r="V757" s="10" t="str">
        <f t="shared" si="11"/>
        <v/>
      </c>
      <c r="W757" s="68" t="str">
        <f t="shared" si="12"/>
        <v/>
      </c>
      <c r="X757" s="59" t="str">
        <f t="shared" si="13"/>
        <v/>
      </c>
      <c r="Y757" s="69" t="str">
        <f t="shared" si="14"/>
        <v/>
      </c>
      <c r="Z757" s="11"/>
    </row>
    <row r="758">
      <c r="A758" s="8"/>
      <c r="B758" s="56" t="str">
        <f t="shared" si="2"/>
        <v/>
      </c>
      <c r="C758" s="57"/>
      <c r="D758" s="10" t="str">
        <f>IFERROR(__xludf.DUMMYFUNCTION("IF(COUNTA(C758:C1350)=0,"""",IF(ISBLANK(C758),FALSE,IF(NOT(COUNTIF($AA$24:$AA$34,SUBSTITUTE(C758,""Sell_"",""""))),1,IF(REGEXMATCH(C758,""Sell_""),IF(COUNTIF(C$4:C758,SUBSTITUTE(C758,""Sell_"",""""))-COUNTIF(C$4:C757,C758)&lt;1,1),FALSE))))"),"")</f>
        <v/>
      </c>
      <c r="E758" s="59" t="str">
        <f t="array" ref="E758">IF(COUNTA(C758:C1350)=0,"",SUM((COUNTIF(C$4:C758,Upgrades!$B$3:$B$13)-COUNTIF(C$4:C758,"Sell_"&amp;Upgrades!$B$3:$B$13))*Upgrades!$D$3:$D$13))</f>
        <v/>
      </c>
      <c r="F758" s="66" t="str">
        <f>IFERROR(__xludf.DUMMYFUNCTION("IF(COUNTA(C758:C1350)=0,"""",IF(REGEXMATCH(INDEX(FILTER(C$4:C758,C$4:C758&lt;&gt;""""),ROWS(FILTER(C$4:C758,C$4:C758&lt;&gt;""""))),""^Sell_""),INDEX(FILTER(F$4:F757,C$4:C757&lt;&gt;""""),ROWS(FILTER(C$4:C757,C$4:C757&lt;&gt;""""))),$AC$5+E758))"),"")</f>
        <v/>
      </c>
      <c r="G758" s="10" t="str">
        <f>IFERROR(__xludf.DUMMYFUNCTION("IF(COUNTA(C758:C1350)=0,"""",IF(C758="""",0,IF(REGEXMATCH(C758,""^Sell_""),-ROUNDDOWN(ROUNDUP(INDEX(Upgrades!$C$3:$C$13,MATCH(SUBSTITUTE(C758,""Sell_"",""""),Upgrades!$B$3:$B$13,0))*1.15^(COUNTIF(C$4:C757,SUBSTITUTE(C758,""Sell_"",""""))-COUNTIF(C$4:C757,"&amp;"""Sell_""&amp;SUBSTITUTE(C758,""Sell_"",""""))))/2),ROUNDUP(INDEX(Upgrades!$C$3:$C$13,MATCH(C758,Upgrades!$B$3:$B$13,0))*1.15^(COUNTIF(C$4:C757,C758)-COUNTIF(C$4:C757,""Sell_""&amp;C758))))))"),"")</f>
        <v/>
      </c>
      <c r="H758" s="10" t="str">
        <f t="shared" si="3"/>
        <v/>
      </c>
      <c r="I758" s="68" t="str">
        <f t="shared" si="4"/>
        <v/>
      </c>
      <c r="J758" s="59" t="str">
        <f t="shared" si="5"/>
        <v/>
      </c>
      <c r="K758" s="69" t="str">
        <f t="shared" si="6"/>
        <v/>
      </c>
      <c r="L758" s="60" t="str">
        <f t="shared" si="7"/>
        <v/>
      </c>
      <c r="M758" s="61" t="str">
        <f>IFERROR(__xludf.DUMMYFUNCTION("IFS(AND(COUNTA(C758:C1350)=0,COUNTA(Q758:Q1350)=0),"""",OR(AND(K758&gt;=1000000000,OR(Y758&gt;=1000000000,COUNTA(Q758:Q1350)=0)),OR(Y758&gt;=1000000000,AND(COUNTA(C758:C1350)=0,P$3=TRUE))),
ROUNDDOWN((AB$1-AC$1)*MAX(INDEX(T$4:T1350,MATCH(LARGE(FILTER(Y$4:Y1350,Y$4"&amp;":Y1350&lt;1000000000),1),Y$4:Y1350)),INDEX(F$4:F1350,MATCH(LARGE(FILTER(K$4:K1350,K$4:K1350&lt;1000000000),1),K$4:K1350)))),AND(K758&lt;1000000000,COUNTA(C758:C1350)&gt;0,P$3=FALSE),
ROUNDDOWN(INDEX(Y$4:Y1350,MATCH(LARGE(FILTER(W$4:W1350,W$4:W1350&lt;=I758),1),W$4:W1350"&amp;"))+(I758-LARGE(FILTER(W$4:W1350,W$4:W1350&lt;=I758),1))*INDEX(T$4:T1350,MATCH(LARGE(FILTER(W$4:W1350,W$4:W1350&lt;=I758),1),W$4:W1350))-K758),1,
ROUNDDOWN(Y758-INDEX(K$4:K1350,MATCH(LARGE(FILTER(I$4:I1350,I$4:I1350&lt;=W758),1),I$4:I1350))-(W758-LARGE(FILTER(I$4:I"&amp;"1350,I$4:I1350&lt;=W758),1))*INDEX(F$4:F1350,MATCH(LARGE(FILTER(I$4:I1350,I$4:I1350&lt;=W758),1),I$4:I1350))))"),"")</f>
        <v/>
      </c>
      <c r="N758" s="60" t="str">
        <f t="shared" si="8"/>
        <v/>
      </c>
      <c r="O758" s="61" t="str">
        <f t="shared" si="9"/>
        <v/>
      </c>
      <c r="P758" s="56" t="str">
        <f t="shared" si="10"/>
        <v/>
      </c>
      <c r="Q758" s="62"/>
      <c r="R758" s="10" t="str">
        <f>IFERROR(__xludf.DUMMYFUNCTION("IF(COUNTA(Q758:Q1350)=0,"""",IF(ISBLANK(Q758),FALSE,IF(NOT(COUNTIF($AA$24:$AA$34,SUBSTITUTE(Q758,""Sell_"",""""))),1,IF(REGEXMATCH(Q758,""Sell_""),IF(COUNTIF(Q$4:Q758,SUBSTITUTE(Q758,""Sell_"",""""))-COUNTIF(Q$4:Q757,Q758)&lt;1,1),FALSE))))"),"")</f>
        <v/>
      </c>
      <c r="S758" s="59" t="str">
        <f t="array" ref="S758">IF(COUNTA(Q758:Q1350)=0,"",SUM((COUNTIF(Q$4:Q758,Upgrades!$B$3:$B$13)-COUNTIF(Q$4:Q758,"Sell_"&amp;Upgrades!$B$3:$B$13))*Upgrades!$D$3:$D$13))</f>
        <v/>
      </c>
      <c r="T758" s="66" t="str">
        <f>IFERROR(__xludf.DUMMYFUNCTION("IF(COUNTA(Q758:Q1350)=0,"""",IF(REGEXMATCH(INDEX(FILTER(Q$4:Q758,Q$4:Q758&lt;&gt;""""),ROWS(FILTER(Q$4:Q758,Q$4:Q758&lt;&gt;""""))),""^Sell_""),INDEX(FILTER(T$4:T757,Q$4:Q757&lt;&gt;""""),ROWS(FILTER(Q$4:Q757,Q$4:Q757&lt;&gt;""""))),$AD$5+S758))"),"")</f>
        <v/>
      </c>
      <c r="U758" s="10" t="str">
        <f>IFERROR(__xludf.DUMMYFUNCTION("IF(COUNTA(Q758:Q1350)=0,"""",IF(Q758="""",0,IF(REGEXMATCH(Q758,""^Sell_""),-ROUNDDOWN(ROUNDUP(INDEX(Upgrades!$C$3:$C$13,MATCH(SUBSTITUTE(Q758,""Sell_"",""""),Upgrades!$B$3:$B$13,0))*1.15^(COUNTIF(Q$4:Q757,SUBSTITUTE(Q758,""Sell_"",""""))-COUNTIF(Q$4:Q757,"&amp;"""Sell_""&amp;SUBSTITUTE(Q758,""Sell_"",""""))))/2),ROUNDUP(INDEX(Upgrades!$C$3:$C$13,MATCH(Q758,Upgrades!$B$3:$B$13,0))*1.15^(COUNTIF(Q$4:Q757,Q758)-COUNTIF(Q$4:Q757,""Sell_""&amp;Q758))))))"),"")</f>
        <v/>
      </c>
      <c r="V758" s="10" t="str">
        <f t="shared" si="11"/>
        <v/>
      </c>
      <c r="W758" s="68" t="str">
        <f t="shared" si="12"/>
        <v/>
      </c>
      <c r="X758" s="59" t="str">
        <f t="shared" si="13"/>
        <v/>
      </c>
      <c r="Y758" s="69" t="str">
        <f t="shared" si="14"/>
        <v/>
      </c>
      <c r="Z758" s="11"/>
    </row>
    <row r="759">
      <c r="A759" s="8"/>
      <c r="B759" s="56" t="str">
        <f t="shared" si="2"/>
        <v/>
      </c>
      <c r="C759" s="57"/>
      <c r="D759" s="10" t="str">
        <f>IFERROR(__xludf.DUMMYFUNCTION("IF(COUNTA(C759:C1350)=0,"""",IF(ISBLANK(C759),FALSE,IF(NOT(COUNTIF($AA$24:$AA$34,SUBSTITUTE(C759,""Sell_"",""""))),1,IF(REGEXMATCH(C759,""Sell_""),IF(COUNTIF(C$4:C759,SUBSTITUTE(C759,""Sell_"",""""))-COUNTIF(C$4:C758,C759)&lt;1,1),FALSE))))"),"")</f>
        <v/>
      </c>
      <c r="E759" s="59" t="str">
        <f t="array" ref="E759">IF(COUNTA(C759:C1350)=0,"",SUM((COUNTIF(C$4:C759,Upgrades!$B$3:$B$13)-COUNTIF(C$4:C759,"Sell_"&amp;Upgrades!$B$3:$B$13))*Upgrades!$D$3:$D$13))</f>
        <v/>
      </c>
      <c r="F759" s="66" t="str">
        <f>IFERROR(__xludf.DUMMYFUNCTION("IF(COUNTA(C759:C1350)=0,"""",IF(REGEXMATCH(INDEX(FILTER(C$4:C759,C$4:C759&lt;&gt;""""),ROWS(FILTER(C$4:C759,C$4:C759&lt;&gt;""""))),""^Sell_""),INDEX(FILTER(F$4:F758,C$4:C758&lt;&gt;""""),ROWS(FILTER(C$4:C758,C$4:C758&lt;&gt;""""))),$AC$5+E759))"),"")</f>
        <v/>
      </c>
      <c r="G759" s="10" t="str">
        <f>IFERROR(__xludf.DUMMYFUNCTION("IF(COUNTA(C759:C1350)=0,"""",IF(C759="""",0,IF(REGEXMATCH(C759,""^Sell_""),-ROUNDDOWN(ROUNDUP(INDEX(Upgrades!$C$3:$C$13,MATCH(SUBSTITUTE(C759,""Sell_"",""""),Upgrades!$B$3:$B$13,0))*1.15^(COUNTIF(C$4:C758,SUBSTITUTE(C759,""Sell_"",""""))-COUNTIF(C$4:C758,"&amp;"""Sell_""&amp;SUBSTITUTE(C759,""Sell_"",""""))))/2),ROUNDUP(INDEX(Upgrades!$C$3:$C$13,MATCH(C759,Upgrades!$B$3:$B$13,0))*1.15^(COUNTIF(C$4:C758,C759)-COUNTIF(C$4:C758,""Sell_""&amp;C759))))))"),"")</f>
        <v/>
      </c>
      <c r="H759" s="10" t="str">
        <f t="shared" si="3"/>
        <v/>
      </c>
      <c r="I759" s="68" t="str">
        <f t="shared" si="4"/>
        <v/>
      </c>
      <c r="J759" s="59" t="str">
        <f t="shared" si="5"/>
        <v/>
      </c>
      <c r="K759" s="69" t="str">
        <f t="shared" si="6"/>
        <v/>
      </c>
      <c r="L759" s="60" t="str">
        <f t="shared" si="7"/>
        <v/>
      </c>
      <c r="M759" s="61" t="str">
        <f>IFERROR(__xludf.DUMMYFUNCTION("IFS(AND(COUNTA(C759:C1350)=0,COUNTA(Q759:Q1350)=0),"""",OR(AND(K759&gt;=1000000000,OR(Y759&gt;=1000000000,COUNTA(Q759:Q1350)=0)),OR(Y759&gt;=1000000000,AND(COUNTA(C759:C1350)=0,P$3=TRUE))),
ROUNDDOWN((AB$1-AC$1)*MAX(INDEX(T$4:T1350,MATCH(LARGE(FILTER(Y$4:Y1350,Y$4"&amp;":Y1350&lt;1000000000),1),Y$4:Y1350)),INDEX(F$4:F1350,MATCH(LARGE(FILTER(K$4:K1350,K$4:K1350&lt;1000000000),1),K$4:K1350)))),AND(K759&lt;1000000000,COUNTA(C759:C1350)&gt;0,P$3=FALSE),
ROUNDDOWN(INDEX(Y$4:Y1350,MATCH(LARGE(FILTER(W$4:W1350,W$4:W1350&lt;=I759),1),W$4:W1350"&amp;"))+(I759-LARGE(FILTER(W$4:W1350,W$4:W1350&lt;=I759),1))*INDEX(T$4:T1350,MATCH(LARGE(FILTER(W$4:W1350,W$4:W1350&lt;=I759),1),W$4:W1350))-K759),1,
ROUNDDOWN(Y759-INDEX(K$4:K1350,MATCH(LARGE(FILTER(I$4:I1350,I$4:I1350&lt;=W759),1),I$4:I1350))-(W759-LARGE(FILTER(I$4:I"&amp;"1350,I$4:I1350&lt;=W759),1))*INDEX(F$4:F1350,MATCH(LARGE(FILTER(I$4:I1350,I$4:I1350&lt;=W759),1),I$4:I1350))))"),"")</f>
        <v/>
      </c>
      <c r="N759" s="60" t="str">
        <f t="shared" si="8"/>
        <v/>
      </c>
      <c r="O759" s="61" t="str">
        <f t="shared" si="9"/>
        <v/>
      </c>
      <c r="P759" s="56" t="str">
        <f t="shared" si="10"/>
        <v/>
      </c>
      <c r="Q759" s="62"/>
      <c r="R759" s="10" t="str">
        <f>IFERROR(__xludf.DUMMYFUNCTION("IF(COUNTA(Q759:Q1350)=0,"""",IF(ISBLANK(Q759),FALSE,IF(NOT(COUNTIF($AA$24:$AA$34,SUBSTITUTE(Q759,""Sell_"",""""))),1,IF(REGEXMATCH(Q759,""Sell_""),IF(COUNTIF(Q$4:Q759,SUBSTITUTE(Q759,""Sell_"",""""))-COUNTIF(Q$4:Q758,Q759)&lt;1,1),FALSE))))"),"")</f>
        <v/>
      </c>
      <c r="S759" s="59" t="str">
        <f t="array" ref="S759">IF(COUNTA(Q759:Q1350)=0,"",SUM((COUNTIF(Q$4:Q759,Upgrades!$B$3:$B$13)-COUNTIF(Q$4:Q759,"Sell_"&amp;Upgrades!$B$3:$B$13))*Upgrades!$D$3:$D$13))</f>
        <v/>
      </c>
      <c r="T759" s="66" t="str">
        <f>IFERROR(__xludf.DUMMYFUNCTION("IF(COUNTA(Q759:Q1350)=0,"""",IF(REGEXMATCH(INDEX(FILTER(Q$4:Q759,Q$4:Q759&lt;&gt;""""),ROWS(FILTER(Q$4:Q759,Q$4:Q759&lt;&gt;""""))),""^Sell_""),INDEX(FILTER(T$4:T758,Q$4:Q758&lt;&gt;""""),ROWS(FILTER(Q$4:Q758,Q$4:Q758&lt;&gt;""""))),$AD$5+S759))"),"")</f>
        <v/>
      </c>
      <c r="U759" s="10" t="str">
        <f>IFERROR(__xludf.DUMMYFUNCTION("IF(COUNTA(Q759:Q1350)=0,"""",IF(Q759="""",0,IF(REGEXMATCH(Q759,""^Sell_""),-ROUNDDOWN(ROUNDUP(INDEX(Upgrades!$C$3:$C$13,MATCH(SUBSTITUTE(Q759,""Sell_"",""""),Upgrades!$B$3:$B$13,0))*1.15^(COUNTIF(Q$4:Q758,SUBSTITUTE(Q759,""Sell_"",""""))-COUNTIF(Q$4:Q758,"&amp;"""Sell_""&amp;SUBSTITUTE(Q759,""Sell_"",""""))))/2),ROUNDUP(INDEX(Upgrades!$C$3:$C$13,MATCH(Q759,Upgrades!$B$3:$B$13,0))*1.15^(COUNTIF(Q$4:Q758,Q759)-COUNTIF(Q$4:Q758,""Sell_""&amp;Q759))))))"),"")</f>
        <v/>
      </c>
      <c r="V759" s="10" t="str">
        <f t="shared" si="11"/>
        <v/>
      </c>
      <c r="W759" s="68" t="str">
        <f t="shared" si="12"/>
        <v/>
      </c>
      <c r="X759" s="59" t="str">
        <f t="shared" si="13"/>
        <v/>
      </c>
      <c r="Y759" s="69" t="str">
        <f t="shared" si="14"/>
        <v/>
      </c>
      <c r="Z759" s="11"/>
    </row>
    <row r="760">
      <c r="A760" s="8"/>
      <c r="B760" s="56" t="str">
        <f t="shared" si="2"/>
        <v/>
      </c>
      <c r="C760" s="57"/>
      <c r="D760" s="10" t="str">
        <f>IFERROR(__xludf.DUMMYFUNCTION("IF(COUNTA(C760:C1350)=0,"""",IF(ISBLANK(C760),FALSE,IF(NOT(COUNTIF($AA$24:$AA$34,SUBSTITUTE(C760,""Sell_"",""""))),1,IF(REGEXMATCH(C760,""Sell_""),IF(COUNTIF(C$4:C760,SUBSTITUTE(C760,""Sell_"",""""))-COUNTIF(C$4:C759,C760)&lt;1,1),FALSE))))"),"")</f>
        <v/>
      </c>
      <c r="E760" s="59" t="str">
        <f t="array" ref="E760">IF(COUNTA(C760:C1350)=0,"",SUM((COUNTIF(C$4:C760,Upgrades!$B$3:$B$13)-COUNTIF(C$4:C760,"Sell_"&amp;Upgrades!$B$3:$B$13))*Upgrades!$D$3:$D$13))</f>
        <v/>
      </c>
      <c r="F760" s="66" t="str">
        <f>IFERROR(__xludf.DUMMYFUNCTION("IF(COUNTA(C760:C1350)=0,"""",IF(REGEXMATCH(INDEX(FILTER(C$4:C760,C$4:C760&lt;&gt;""""),ROWS(FILTER(C$4:C760,C$4:C760&lt;&gt;""""))),""^Sell_""),INDEX(FILTER(F$4:F759,C$4:C759&lt;&gt;""""),ROWS(FILTER(C$4:C759,C$4:C759&lt;&gt;""""))),$AC$5+E760))"),"")</f>
        <v/>
      </c>
      <c r="G760" s="10" t="str">
        <f>IFERROR(__xludf.DUMMYFUNCTION("IF(COUNTA(C760:C1350)=0,"""",IF(C760="""",0,IF(REGEXMATCH(C760,""^Sell_""),-ROUNDDOWN(ROUNDUP(INDEX(Upgrades!$C$3:$C$13,MATCH(SUBSTITUTE(C760,""Sell_"",""""),Upgrades!$B$3:$B$13,0))*1.15^(COUNTIF(C$4:C759,SUBSTITUTE(C760,""Sell_"",""""))-COUNTIF(C$4:C759,"&amp;"""Sell_""&amp;SUBSTITUTE(C760,""Sell_"",""""))))/2),ROUNDUP(INDEX(Upgrades!$C$3:$C$13,MATCH(C760,Upgrades!$B$3:$B$13,0))*1.15^(COUNTIF(C$4:C759,C760)-COUNTIF(C$4:C759,""Sell_""&amp;C760))))))"),"")</f>
        <v/>
      </c>
      <c r="H760" s="10" t="str">
        <f t="shared" si="3"/>
        <v/>
      </c>
      <c r="I760" s="68" t="str">
        <f t="shared" si="4"/>
        <v/>
      </c>
      <c r="J760" s="59" t="str">
        <f t="shared" si="5"/>
        <v/>
      </c>
      <c r="K760" s="69" t="str">
        <f t="shared" si="6"/>
        <v/>
      </c>
      <c r="L760" s="60" t="str">
        <f t="shared" si="7"/>
        <v/>
      </c>
      <c r="M760" s="61" t="str">
        <f>IFERROR(__xludf.DUMMYFUNCTION("IFS(AND(COUNTA(C760:C1350)=0,COUNTA(Q760:Q1350)=0),"""",OR(AND(K760&gt;=1000000000,OR(Y760&gt;=1000000000,COUNTA(Q760:Q1350)=0)),OR(Y760&gt;=1000000000,AND(COUNTA(C760:C1350)=0,P$3=TRUE))),
ROUNDDOWN((AB$1-AC$1)*MAX(INDEX(T$4:T1350,MATCH(LARGE(FILTER(Y$4:Y1350,Y$4"&amp;":Y1350&lt;1000000000),1),Y$4:Y1350)),INDEX(F$4:F1350,MATCH(LARGE(FILTER(K$4:K1350,K$4:K1350&lt;1000000000),1),K$4:K1350)))),AND(K760&lt;1000000000,COUNTA(C760:C1350)&gt;0,P$3=FALSE),
ROUNDDOWN(INDEX(Y$4:Y1350,MATCH(LARGE(FILTER(W$4:W1350,W$4:W1350&lt;=I760),1),W$4:W1350"&amp;"))+(I760-LARGE(FILTER(W$4:W1350,W$4:W1350&lt;=I760),1))*INDEX(T$4:T1350,MATCH(LARGE(FILTER(W$4:W1350,W$4:W1350&lt;=I760),1),W$4:W1350))-K760),1,
ROUNDDOWN(Y760-INDEX(K$4:K1350,MATCH(LARGE(FILTER(I$4:I1350,I$4:I1350&lt;=W760),1),I$4:I1350))-(W760-LARGE(FILTER(I$4:I"&amp;"1350,I$4:I1350&lt;=W760),1))*INDEX(F$4:F1350,MATCH(LARGE(FILTER(I$4:I1350,I$4:I1350&lt;=W760),1),I$4:I1350))))"),"")</f>
        <v/>
      </c>
      <c r="N760" s="60" t="str">
        <f t="shared" si="8"/>
        <v/>
      </c>
      <c r="O760" s="61" t="str">
        <f t="shared" si="9"/>
        <v/>
      </c>
      <c r="P760" s="56" t="str">
        <f t="shared" si="10"/>
        <v/>
      </c>
      <c r="Q760" s="62"/>
      <c r="R760" s="10" t="str">
        <f>IFERROR(__xludf.DUMMYFUNCTION("IF(COUNTA(Q760:Q1350)=0,"""",IF(ISBLANK(Q760),FALSE,IF(NOT(COUNTIF($AA$24:$AA$34,SUBSTITUTE(Q760,""Sell_"",""""))),1,IF(REGEXMATCH(Q760,""Sell_""),IF(COUNTIF(Q$4:Q760,SUBSTITUTE(Q760,""Sell_"",""""))-COUNTIF(Q$4:Q759,Q760)&lt;1,1),FALSE))))"),"")</f>
        <v/>
      </c>
      <c r="S760" s="59" t="str">
        <f t="array" ref="S760">IF(COUNTA(Q760:Q1350)=0,"",SUM((COUNTIF(Q$4:Q760,Upgrades!$B$3:$B$13)-COUNTIF(Q$4:Q760,"Sell_"&amp;Upgrades!$B$3:$B$13))*Upgrades!$D$3:$D$13))</f>
        <v/>
      </c>
      <c r="T760" s="66" t="str">
        <f>IFERROR(__xludf.DUMMYFUNCTION("IF(COUNTA(Q760:Q1350)=0,"""",IF(REGEXMATCH(INDEX(FILTER(Q$4:Q760,Q$4:Q760&lt;&gt;""""),ROWS(FILTER(Q$4:Q760,Q$4:Q760&lt;&gt;""""))),""^Sell_""),INDEX(FILTER(T$4:T759,Q$4:Q759&lt;&gt;""""),ROWS(FILTER(Q$4:Q759,Q$4:Q759&lt;&gt;""""))),$AD$5+S760))"),"")</f>
        <v/>
      </c>
      <c r="U760" s="10" t="str">
        <f>IFERROR(__xludf.DUMMYFUNCTION("IF(COUNTA(Q760:Q1350)=0,"""",IF(Q760="""",0,IF(REGEXMATCH(Q760,""^Sell_""),-ROUNDDOWN(ROUNDUP(INDEX(Upgrades!$C$3:$C$13,MATCH(SUBSTITUTE(Q760,""Sell_"",""""),Upgrades!$B$3:$B$13,0))*1.15^(COUNTIF(Q$4:Q759,SUBSTITUTE(Q760,""Sell_"",""""))-COUNTIF(Q$4:Q759,"&amp;"""Sell_""&amp;SUBSTITUTE(Q760,""Sell_"",""""))))/2),ROUNDUP(INDEX(Upgrades!$C$3:$C$13,MATCH(Q760,Upgrades!$B$3:$B$13,0))*1.15^(COUNTIF(Q$4:Q759,Q760)-COUNTIF(Q$4:Q759,""Sell_""&amp;Q760))))))"),"")</f>
        <v/>
      </c>
      <c r="V760" s="10" t="str">
        <f t="shared" si="11"/>
        <v/>
      </c>
      <c r="W760" s="68" t="str">
        <f t="shared" si="12"/>
        <v/>
      </c>
      <c r="X760" s="59" t="str">
        <f t="shared" si="13"/>
        <v/>
      </c>
      <c r="Y760" s="69" t="str">
        <f t="shared" si="14"/>
        <v/>
      </c>
      <c r="Z760" s="11"/>
    </row>
    <row r="761">
      <c r="A761" s="8"/>
      <c r="B761" s="56" t="str">
        <f t="shared" si="2"/>
        <v/>
      </c>
      <c r="C761" s="57"/>
      <c r="D761" s="10" t="str">
        <f>IFERROR(__xludf.DUMMYFUNCTION("IF(COUNTA(C761:C1350)=0,"""",IF(ISBLANK(C761),FALSE,IF(NOT(COUNTIF($AA$24:$AA$34,SUBSTITUTE(C761,""Sell_"",""""))),1,IF(REGEXMATCH(C761,""Sell_""),IF(COUNTIF(C$4:C761,SUBSTITUTE(C761,""Sell_"",""""))-COUNTIF(C$4:C760,C761)&lt;1,1),FALSE))))"),"")</f>
        <v/>
      </c>
      <c r="E761" s="59" t="str">
        <f t="array" ref="E761">IF(COUNTA(C761:C1350)=0,"",SUM((COUNTIF(C$4:C761,Upgrades!$B$3:$B$13)-COUNTIF(C$4:C761,"Sell_"&amp;Upgrades!$B$3:$B$13))*Upgrades!$D$3:$D$13))</f>
        <v/>
      </c>
      <c r="F761" s="66" t="str">
        <f>IFERROR(__xludf.DUMMYFUNCTION("IF(COUNTA(C761:C1350)=0,"""",IF(REGEXMATCH(INDEX(FILTER(C$4:C761,C$4:C761&lt;&gt;""""),ROWS(FILTER(C$4:C761,C$4:C761&lt;&gt;""""))),""^Sell_""),INDEX(FILTER(F$4:F760,C$4:C760&lt;&gt;""""),ROWS(FILTER(C$4:C760,C$4:C760&lt;&gt;""""))),$AC$5+E761))"),"")</f>
        <v/>
      </c>
      <c r="G761" s="10" t="str">
        <f>IFERROR(__xludf.DUMMYFUNCTION("IF(COUNTA(C761:C1350)=0,"""",IF(C761="""",0,IF(REGEXMATCH(C761,""^Sell_""),-ROUNDDOWN(ROUNDUP(INDEX(Upgrades!$C$3:$C$13,MATCH(SUBSTITUTE(C761,""Sell_"",""""),Upgrades!$B$3:$B$13,0))*1.15^(COUNTIF(C$4:C760,SUBSTITUTE(C761,""Sell_"",""""))-COUNTIF(C$4:C760,"&amp;"""Sell_""&amp;SUBSTITUTE(C761,""Sell_"",""""))))/2),ROUNDUP(INDEX(Upgrades!$C$3:$C$13,MATCH(C761,Upgrades!$B$3:$B$13,0))*1.15^(COUNTIF(C$4:C760,C761)-COUNTIF(C$4:C760,""Sell_""&amp;C761))))))"),"")</f>
        <v/>
      </c>
      <c r="H761" s="10" t="str">
        <f t="shared" si="3"/>
        <v/>
      </c>
      <c r="I761" s="68" t="str">
        <f t="shared" si="4"/>
        <v/>
      </c>
      <c r="J761" s="59" t="str">
        <f t="shared" si="5"/>
        <v/>
      </c>
      <c r="K761" s="69" t="str">
        <f t="shared" si="6"/>
        <v/>
      </c>
      <c r="L761" s="60" t="str">
        <f t="shared" si="7"/>
        <v/>
      </c>
      <c r="M761" s="61" t="str">
        <f>IFERROR(__xludf.DUMMYFUNCTION("IFS(AND(COUNTA(C761:C1350)=0,COUNTA(Q761:Q1350)=0),"""",OR(AND(K761&gt;=1000000000,OR(Y761&gt;=1000000000,COUNTA(Q761:Q1350)=0)),OR(Y761&gt;=1000000000,AND(COUNTA(C761:C1350)=0,P$3=TRUE))),
ROUNDDOWN((AB$1-AC$1)*MAX(INDEX(T$4:T1350,MATCH(LARGE(FILTER(Y$4:Y1350,Y$4"&amp;":Y1350&lt;1000000000),1),Y$4:Y1350)),INDEX(F$4:F1350,MATCH(LARGE(FILTER(K$4:K1350,K$4:K1350&lt;1000000000),1),K$4:K1350)))),AND(K761&lt;1000000000,COUNTA(C761:C1350)&gt;0,P$3=FALSE),
ROUNDDOWN(INDEX(Y$4:Y1350,MATCH(LARGE(FILTER(W$4:W1350,W$4:W1350&lt;=I761),1),W$4:W1350"&amp;"))+(I761-LARGE(FILTER(W$4:W1350,W$4:W1350&lt;=I761),1))*INDEX(T$4:T1350,MATCH(LARGE(FILTER(W$4:W1350,W$4:W1350&lt;=I761),1),W$4:W1350))-K761),1,
ROUNDDOWN(Y761-INDEX(K$4:K1350,MATCH(LARGE(FILTER(I$4:I1350,I$4:I1350&lt;=W761),1),I$4:I1350))-(W761-LARGE(FILTER(I$4:I"&amp;"1350,I$4:I1350&lt;=W761),1))*INDEX(F$4:F1350,MATCH(LARGE(FILTER(I$4:I1350,I$4:I1350&lt;=W761),1),I$4:I1350))))"),"")</f>
        <v/>
      </c>
      <c r="N761" s="60" t="str">
        <f t="shared" si="8"/>
        <v/>
      </c>
      <c r="O761" s="61" t="str">
        <f t="shared" si="9"/>
        <v/>
      </c>
      <c r="P761" s="56" t="str">
        <f t="shared" si="10"/>
        <v/>
      </c>
      <c r="Q761" s="62"/>
      <c r="R761" s="10" t="str">
        <f>IFERROR(__xludf.DUMMYFUNCTION("IF(COUNTA(Q761:Q1350)=0,"""",IF(ISBLANK(Q761),FALSE,IF(NOT(COUNTIF($AA$24:$AA$34,SUBSTITUTE(Q761,""Sell_"",""""))),1,IF(REGEXMATCH(Q761,""Sell_""),IF(COUNTIF(Q$4:Q761,SUBSTITUTE(Q761,""Sell_"",""""))-COUNTIF(Q$4:Q760,Q761)&lt;1,1),FALSE))))"),"")</f>
        <v/>
      </c>
      <c r="S761" s="59" t="str">
        <f t="array" ref="S761">IF(COUNTA(Q761:Q1350)=0,"",SUM((COUNTIF(Q$4:Q761,Upgrades!$B$3:$B$13)-COUNTIF(Q$4:Q761,"Sell_"&amp;Upgrades!$B$3:$B$13))*Upgrades!$D$3:$D$13))</f>
        <v/>
      </c>
      <c r="T761" s="66" t="str">
        <f>IFERROR(__xludf.DUMMYFUNCTION("IF(COUNTA(Q761:Q1350)=0,"""",IF(REGEXMATCH(INDEX(FILTER(Q$4:Q761,Q$4:Q761&lt;&gt;""""),ROWS(FILTER(Q$4:Q761,Q$4:Q761&lt;&gt;""""))),""^Sell_""),INDEX(FILTER(T$4:T760,Q$4:Q760&lt;&gt;""""),ROWS(FILTER(Q$4:Q760,Q$4:Q760&lt;&gt;""""))),$AD$5+S761))"),"")</f>
        <v/>
      </c>
      <c r="U761" s="10" t="str">
        <f>IFERROR(__xludf.DUMMYFUNCTION("IF(COUNTA(Q761:Q1350)=0,"""",IF(Q761="""",0,IF(REGEXMATCH(Q761,""^Sell_""),-ROUNDDOWN(ROUNDUP(INDEX(Upgrades!$C$3:$C$13,MATCH(SUBSTITUTE(Q761,""Sell_"",""""),Upgrades!$B$3:$B$13,0))*1.15^(COUNTIF(Q$4:Q760,SUBSTITUTE(Q761,""Sell_"",""""))-COUNTIF(Q$4:Q760,"&amp;"""Sell_""&amp;SUBSTITUTE(Q761,""Sell_"",""""))))/2),ROUNDUP(INDEX(Upgrades!$C$3:$C$13,MATCH(Q761,Upgrades!$B$3:$B$13,0))*1.15^(COUNTIF(Q$4:Q760,Q761)-COUNTIF(Q$4:Q760,""Sell_""&amp;Q761))))))"),"")</f>
        <v/>
      </c>
      <c r="V761" s="10" t="str">
        <f t="shared" si="11"/>
        <v/>
      </c>
      <c r="W761" s="68" t="str">
        <f t="shared" si="12"/>
        <v/>
      </c>
      <c r="X761" s="59" t="str">
        <f t="shared" si="13"/>
        <v/>
      </c>
      <c r="Y761" s="69" t="str">
        <f t="shared" si="14"/>
        <v/>
      </c>
      <c r="Z761" s="11"/>
    </row>
    <row r="762">
      <c r="A762" s="8"/>
      <c r="B762" s="56" t="str">
        <f t="shared" si="2"/>
        <v/>
      </c>
      <c r="C762" s="57"/>
      <c r="D762" s="10" t="str">
        <f>IFERROR(__xludf.DUMMYFUNCTION("IF(COUNTA(C762:C1350)=0,"""",IF(ISBLANK(C762),FALSE,IF(NOT(COUNTIF($AA$24:$AA$34,SUBSTITUTE(C762,""Sell_"",""""))),1,IF(REGEXMATCH(C762,""Sell_""),IF(COUNTIF(C$4:C762,SUBSTITUTE(C762,""Sell_"",""""))-COUNTIF(C$4:C761,C762)&lt;1,1),FALSE))))"),"")</f>
        <v/>
      </c>
      <c r="E762" s="59" t="str">
        <f t="array" ref="E762">IF(COUNTA(C762:C1350)=0,"",SUM((COUNTIF(C$4:C762,Upgrades!$B$3:$B$13)-COUNTIF(C$4:C762,"Sell_"&amp;Upgrades!$B$3:$B$13))*Upgrades!$D$3:$D$13))</f>
        <v/>
      </c>
      <c r="F762" s="66" t="str">
        <f>IFERROR(__xludf.DUMMYFUNCTION("IF(COUNTA(C762:C1350)=0,"""",IF(REGEXMATCH(INDEX(FILTER(C$4:C762,C$4:C762&lt;&gt;""""),ROWS(FILTER(C$4:C762,C$4:C762&lt;&gt;""""))),""^Sell_""),INDEX(FILTER(F$4:F761,C$4:C761&lt;&gt;""""),ROWS(FILTER(C$4:C761,C$4:C761&lt;&gt;""""))),$AC$5+E762))"),"")</f>
        <v/>
      </c>
      <c r="G762" s="10" t="str">
        <f>IFERROR(__xludf.DUMMYFUNCTION("IF(COUNTA(C762:C1350)=0,"""",IF(C762="""",0,IF(REGEXMATCH(C762,""^Sell_""),-ROUNDDOWN(ROUNDUP(INDEX(Upgrades!$C$3:$C$13,MATCH(SUBSTITUTE(C762,""Sell_"",""""),Upgrades!$B$3:$B$13,0))*1.15^(COUNTIF(C$4:C761,SUBSTITUTE(C762,""Sell_"",""""))-COUNTIF(C$4:C761,"&amp;"""Sell_""&amp;SUBSTITUTE(C762,""Sell_"",""""))))/2),ROUNDUP(INDEX(Upgrades!$C$3:$C$13,MATCH(C762,Upgrades!$B$3:$B$13,0))*1.15^(COUNTIF(C$4:C761,C762)-COUNTIF(C$4:C761,""Sell_""&amp;C762))))))"),"")</f>
        <v/>
      </c>
      <c r="H762" s="10" t="str">
        <f t="shared" si="3"/>
        <v/>
      </c>
      <c r="I762" s="68" t="str">
        <f t="shared" si="4"/>
        <v/>
      </c>
      <c r="J762" s="59" t="str">
        <f t="shared" si="5"/>
        <v/>
      </c>
      <c r="K762" s="69" t="str">
        <f t="shared" si="6"/>
        <v/>
      </c>
      <c r="L762" s="60" t="str">
        <f t="shared" si="7"/>
        <v/>
      </c>
      <c r="M762" s="61" t="str">
        <f>IFERROR(__xludf.DUMMYFUNCTION("IFS(AND(COUNTA(C762:C1350)=0,COUNTA(Q762:Q1350)=0),"""",OR(AND(K762&gt;=1000000000,OR(Y762&gt;=1000000000,COUNTA(Q762:Q1350)=0)),OR(Y762&gt;=1000000000,AND(COUNTA(C762:C1350)=0,P$3=TRUE))),
ROUNDDOWN((AB$1-AC$1)*MAX(INDEX(T$4:T1350,MATCH(LARGE(FILTER(Y$4:Y1350,Y$4"&amp;":Y1350&lt;1000000000),1),Y$4:Y1350)),INDEX(F$4:F1350,MATCH(LARGE(FILTER(K$4:K1350,K$4:K1350&lt;1000000000),1),K$4:K1350)))),AND(K762&lt;1000000000,COUNTA(C762:C1350)&gt;0,P$3=FALSE),
ROUNDDOWN(INDEX(Y$4:Y1350,MATCH(LARGE(FILTER(W$4:W1350,W$4:W1350&lt;=I762),1),W$4:W1350"&amp;"))+(I762-LARGE(FILTER(W$4:W1350,W$4:W1350&lt;=I762),1))*INDEX(T$4:T1350,MATCH(LARGE(FILTER(W$4:W1350,W$4:W1350&lt;=I762),1),W$4:W1350))-K762),1,
ROUNDDOWN(Y762-INDEX(K$4:K1350,MATCH(LARGE(FILTER(I$4:I1350,I$4:I1350&lt;=W762),1),I$4:I1350))-(W762-LARGE(FILTER(I$4:I"&amp;"1350,I$4:I1350&lt;=W762),1))*INDEX(F$4:F1350,MATCH(LARGE(FILTER(I$4:I1350,I$4:I1350&lt;=W762),1),I$4:I1350))))"),"")</f>
        <v/>
      </c>
      <c r="N762" s="60" t="str">
        <f t="shared" si="8"/>
        <v/>
      </c>
      <c r="O762" s="61" t="str">
        <f t="shared" si="9"/>
        <v/>
      </c>
      <c r="P762" s="56" t="str">
        <f t="shared" si="10"/>
        <v/>
      </c>
      <c r="Q762" s="62"/>
      <c r="R762" s="10" t="str">
        <f>IFERROR(__xludf.DUMMYFUNCTION("IF(COUNTA(Q762:Q1350)=0,"""",IF(ISBLANK(Q762),FALSE,IF(NOT(COUNTIF($AA$24:$AA$34,SUBSTITUTE(Q762,""Sell_"",""""))),1,IF(REGEXMATCH(Q762,""Sell_""),IF(COUNTIF(Q$4:Q762,SUBSTITUTE(Q762,""Sell_"",""""))-COUNTIF(Q$4:Q761,Q762)&lt;1,1),FALSE))))"),"")</f>
        <v/>
      </c>
      <c r="S762" s="59" t="str">
        <f t="array" ref="S762">IF(COUNTA(Q762:Q1350)=0,"",SUM((COUNTIF(Q$4:Q762,Upgrades!$B$3:$B$13)-COUNTIF(Q$4:Q762,"Sell_"&amp;Upgrades!$B$3:$B$13))*Upgrades!$D$3:$D$13))</f>
        <v/>
      </c>
      <c r="T762" s="66" t="str">
        <f>IFERROR(__xludf.DUMMYFUNCTION("IF(COUNTA(Q762:Q1350)=0,"""",IF(REGEXMATCH(INDEX(FILTER(Q$4:Q762,Q$4:Q762&lt;&gt;""""),ROWS(FILTER(Q$4:Q762,Q$4:Q762&lt;&gt;""""))),""^Sell_""),INDEX(FILTER(T$4:T761,Q$4:Q761&lt;&gt;""""),ROWS(FILTER(Q$4:Q761,Q$4:Q761&lt;&gt;""""))),$AD$5+S762))"),"")</f>
        <v/>
      </c>
      <c r="U762" s="10" t="str">
        <f>IFERROR(__xludf.DUMMYFUNCTION("IF(COUNTA(Q762:Q1350)=0,"""",IF(Q762="""",0,IF(REGEXMATCH(Q762,""^Sell_""),-ROUNDDOWN(ROUNDUP(INDEX(Upgrades!$C$3:$C$13,MATCH(SUBSTITUTE(Q762,""Sell_"",""""),Upgrades!$B$3:$B$13,0))*1.15^(COUNTIF(Q$4:Q761,SUBSTITUTE(Q762,""Sell_"",""""))-COUNTIF(Q$4:Q761,"&amp;"""Sell_""&amp;SUBSTITUTE(Q762,""Sell_"",""""))))/2),ROUNDUP(INDEX(Upgrades!$C$3:$C$13,MATCH(Q762,Upgrades!$B$3:$B$13,0))*1.15^(COUNTIF(Q$4:Q761,Q762)-COUNTIF(Q$4:Q761,""Sell_""&amp;Q762))))))"),"")</f>
        <v/>
      </c>
      <c r="V762" s="10" t="str">
        <f t="shared" si="11"/>
        <v/>
      </c>
      <c r="W762" s="68" t="str">
        <f t="shared" si="12"/>
        <v/>
      </c>
      <c r="X762" s="59" t="str">
        <f t="shared" si="13"/>
        <v/>
      </c>
      <c r="Y762" s="69" t="str">
        <f t="shared" si="14"/>
        <v/>
      </c>
      <c r="Z762" s="11"/>
    </row>
    <row r="763">
      <c r="A763" s="8"/>
      <c r="B763" s="56" t="str">
        <f t="shared" si="2"/>
        <v/>
      </c>
      <c r="C763" s="57"/>
      <c r="D763" s="10" t="str">
        <f>IFERROR(__xludf.DUMMYFUNCTION("IF(COUNTA(C763:C1350)=0,"""",IF(ISBLANK(C763),FALSE,IF(NOT(COUNTIF($AA$24:$AA$34,SUBSTITUTE(C763,""Sell_"",""""))),1,IF(REGEXMATCH(C763,""Sell_""),IF(COUNTIF(C$4:C763,SUBSTITUTE(C763,""Sell_"",""""))-COUNTIF(C$4:C762,C763)&lt;1,1),FALSE))))"),"")</f>
        <v/>
      </c>
      <c r="E763" s="59" t="str">
        <f t="array" ref="E763">IF(COUNTA(C763:C1350)=0,"",SUM((COUNTIF(C$4:C763,Upgrades!$B$3:$B$13)-COUNTIF(C$4:C763,"Sell_"&amp;Upgrades!$B$3:$B$13))*Upgrades!$D$3:$D$13))</f>
        <v/>
      </c>
      <c r="F763" s="66" t="str">
        <f>IFERROR(__xludf.DUMMYFUNCTION("IF(COUNTA(C763:C1350)=0,"""",IF(REGEXMATCH(INDEX(FILTER(C$4:C763,C$4:C763&lt;&gt;""""),ROWS(FILTER(C$4:C763,C$4:C763&lt;&gt;""""))),""^Sell_""),INDEX(FILTER(F$4:F762,C$4:C762&lt;&gt;""""),ROWS(FILTER(C$4:C762,C$4:C762&lt;&gt;""""))),$AC$5+E763))"),"")</f>
        <v/>
      </c>
      <c r="G763" s="10" t="str">
        <f>IFERROR(__xludf.DUMMYFUNCTION("IF(COUNTA(C763:C1350)=0,"""",IF(C763="""",0,IF(REGEXMATCH(C763,""^Sell_""),-ROUNDDOWN(ROUNDUP(INDEX(Upgrades!$C$3:$C$13,MATCH(SUBSTITUTE(C763,""Sell_"",""""),Upgrades!$B$3:$B$13,0))*1.15^(COUNTIF(C$4:C762,SUBSTITUTE(C763,""Sell_"",""""))-COUNTIF(C$4:C762,"&amp;"""Sell_""&amp;SUBSTITUTE(C763,""Sell_"",""""))))/2),ROUNDUP(INDEX(Upgrades!$C$3:$C$13,MATCH(C763,Upgrades!$B$3:$B$13,0))*1.15^(COUNTIF(C$4:C762,C763)-COUNTIF(C$4:C762,""Sell_""&amp;C763))))))"),"")</f>
        <v/>
      </c>
      <c r="H763" s="10" t="str">
        <f t="shared" si="3"/>
        <v/>
      </c>
      <c r="I763" s="68" t="str">
        <f t="shared" si="4"/>
        <v/>
      </c>
      <c r="J763" s="59" t="str">
        <f t="shared" si="5"/>
        <v/>
      </c>
      <c r="K763" s="69" t="str">
        <f t="shared" si="6"/>
        <v/>
      </c>
      <c r="L763" s="60" t="str">
        <f t="shared" si="7"/>
        <v/>
      </c>
      <c r="M763" s="61" t="str">
        <f>IFERROR(__xludf.DUMMYFUNCTION("IFS(AND(COUNTA(C763:C1350)=0,COUNTA(Q763:Q1350)=0),"""",OR(AND(K763&gt;=1000000000,OR(Y763&gt;=1000000000,COUNTA(Q763:Q1350)=0)),OR(Y763&gt;=1000000000,AND(COUNTA(C763:C1350)=0,P$3=TRUE))),
ROUNDDOWN((AB$1-AC$1)*MAX(INDEX(T$4:T1350,MATCH(LARGE(FILTER(Y$4:Y1350,Y$4"&amp;":Y1350&lt;1000000000),1),Y$4:Y1350)),INDEX(F$4:F1350,MATCH(LARGE(FILTER(K$4:K1350,K$4:K1350&lt;1000000000),1),K$4:K1350)))),AND(K763&lt;1000000000,COUNTA(C763:C1350)&gt;0,P$3=FALSE),
ROUNDDOWN(INDEX(Y$4:Y1350,MATCH(LARGE(FILTER(W$4:W1350,W$4:W1350&lt;=I763),1),W$4:W1350"&amp;"))+(I763-LARGE(FILTER(W$4:W1350,W$4:W1350&lt;=I763),1))*INDEX(T$4:T1350,MATCH(LARGE(FILTER(W$4:W1350,W$4:W1350&lt;=I763),1),W$4:W1350))-K763),1,
ROUNDDOWN(Y763-INDEX(K$4:K1350,MATCH(LARGE(FILTER(I$4:I1350,I$4:I1350&lt;=W763),1),I$4:I1350))-(W763-LARGE(FILTER(I$4:I"&amp;"1350,I$4:I1350&lt;=W763),1))*INDEX(F$4:F1350,MATCH(LARGE(FILTER(I$4:I1350,I$4:I1350&lt;=W763),1),I$4:I1350))))"),"")</f>
        <v/>
      </c>
      <c r="N763" s="60" t="str">
        <f t="shared" si="8"/>
        <v/>
      </c>
      <c r="O763" s="61" t="str">
        <f t="shared" si="9"/>
        <v/>
      </c>
      <c r="P763" s="56" t="str">
        <f t="shared" si="10"/>
        <v/>
      </c>
      <c r="Q763" s="62"/>
      <c r="R763" s="10" t="str">
        <f>IFERROR(__xludf.DUMMYFUNCTION("IF(COUNTA(Q763:Q1350)=0,"""",IF(ISBLANK(Q763),FALSE,IF(NOT(COUNTIF($AA$24:$AA$34,SUBSTITUTE(Q763,""Sell_"",""""))),1,IF(REGEXMATCH(Q763,""Sell_""),IF(COUNTIF(Q$4:Q763,SUBSTITUTE(Q763,""Sell_"",""""))-COUNTIF(Q$4:Q762,Q763)&lt;1,1),FALSE))))"),"")</f>
        <v/>
      </c>
      <c r="S763" s="59" t="str">
        <f t="array" ref="S763">IF(COUNTA(Q763:Q1350)=0,"",SUM((COUNTIF(Q$4:Q763,Upgrades!$B$3:$B$13)-COUNTIF(Q$4:Q763,"Sell_"&amp;Upgrades!$B$3:$B$13))*Upgrades!$D$3:$D$13))</f>
        <v/>
      </c>
      <c r="T763" s="66" t="str">
        <f>IFERROR(__xludf.DUMMYFUNCTION("IF(COUNTA(Q763:Q1350)=0,"""",IF(REGEXMATCH(INDEX(FILTER(Q$4:Q763,Q$4:Q763&lt;&gt;""""),ROWS(FILTER(Q$4:Q763,Q$4:Q763&lt;&gt;""""))),""^Sell_""),INDEX(FILTER(T$4:T762,Q$4:Q762&lt;&gt;""""),ROWS(FILTER(Q$4:Q762,Q$4:Q762&lt;&gt;""""))),$AD$5+S763))"),"")</f>
        <v/>
      </c>
      <c r="U763" s="10" t="str">
        <f>IFERROR(__xludf.DUMMYFUNCTION("IF(COUNTA(Q763:Q1350)=0,"""",IF(Q763="""",0,IF(REGEXMATCH(Q763,""^Sell_""),-ROUNDDOWN(ROUNDUP(INDEX(Upgrades!$C$3:$C$13,MATCH(SUBSTITUTE(Q763,""Sell_"",""""),Upgrades!$B$3:$B$13,0))*1.15^(COUNTIF(Q$4:Q762,SUBSTITUTE(Q763,""Sell_"",""""))-COUNTIF(Q$4:Q762,"&amp;"""Sell_""&amp;SUBSTITUTE(Q763,""Sell_"",""""))))/2),ROUNDUP(INDEX(Upgrades!$C$3:$C$13,MATCH(Q763,Upgrades!$B$3:$B$13,0))*1.15^(COUNTIF(Q$4:Q762,Q763)-COUNTIF(Q$4:Q762,""Sell_""&amp;Q763))))))"),"")</f>
        <v/>
      </c>
      <c r="V763" s="10" t="str">
        <f t="shared" si="11"/>
        <v/>
      </c>
      <c r="W763" s="68" t="str">
        <f t="shared" si="12"/>
        <v/>
      </c>
      <c r="X763" s="59" t="str">
        <f t="shared" si="13"/>
        <v/>
      </c>
      <c r="Y763" s="69" t="str">
        <f t="shared" si="14"/>
        <v/>
      </c>
      <c r="Z763" s="11"/>
    </row>
    <row r="764">
      <c r="A764" s="8"/>
      <c r="B764" s="56" t="str">
        <f t="shared" si="2"/>
        <v/>
      </c>
      <c r="C764" s="57"/>
      <c r="D764" s="10" t="str">
        <f>IFERROR(__xludf.DUMMYFUNCTION("IF(COUNTA(C764:C1350)=0,"""",IF(ISBLANK(C764),FALSE,IF(NOT(COUNTIF($AA$24:$AA$34,SUBSTITUTE(C764,""Sell_"",""""))),1,IF(REGEXMATCH(C764,""Sell_""),IF(COUNTIF(C$4:C764,SUBSTITUTE(C764,""Sell_"",""""))-COUNTIF(C$4:C763,C764)&lt;1,1),FALSE))))"),"")</f>
        <v/>
      </c>
      <c r="E764" s="59" t="str">
        <f t="array" ref="E764">IF(COUNTA(C764:C1350)=0,"",SUM((COUNTIF(C$4:C764,Upgrades!$B$3:$B$13)-COUNTIF(C$4:C764,"Sell_"&amp;Upgrades!$B$3:$B$13))*Upgrades!$D$3:$D$13))</f>
        <v/>
      </c>
      <c r="F764" s="66" t="str">
        <f>IFERROR(__xludf.DUMMYFUNCTION("IF(COUNTA(C764:C1350)=0,"""",IF(REGEXMATCH(INDEX(FILTER(C$4:C764,C$4:C764&lt;&gt;""""),ROWS(FILTER(C$4:C764,C$4:C764&lt;&gt;""""))),""^Sell_""),INDEX(FILTER(F$4:F763,C$4:C763&lt;&gt;""""),ROWS(FILTER(C$4:C763,C$4:C763&lt;&gt;""""))),$AC$5+E764))"),"")</f>
        <v/>
      </c>
      <c r="G764" s="10" t="str">
        <f>IFERROR(__xludf.DUMMYFUNCTION("IF(COUNTA(C764:C1350)=0,"""",IF(C764="""",0,IF(REGEXMATCH(C764,""^Sell_""),-ROUNDDOWN(ROUNDUP(INDEX(Upgrades!$C$3:$C$13,MATCH(SUBSTITUTE(C764,""Sell_"",""""),Upgrades!$B$3:$B$13,0))*1.15^(COUNTIF(C$4:C763,SUBSTITUTE(C764,""Sell_"",""""))-COUNTIF(C$4:C763,"&amp;"""Sell_""&amp;SUBSTITUTE(C764,""Sell_"",""""))))/2),ROUNDUP(INDEX(Upgrades!$C$3:$C$13,MATCH(C764,Upgrades!$B$3:$B$13,0))*1.15^(COUNTIF(C$4:C763,C764)-COUNTIF(C$4:C763,""Sell_""&amp;C764))))))"),"")</f>
        <v/>
      </c>
      <c r="H764" s="10" t="str">
        <f t="shared" si="3"/>
        <v/>
      </c>
      <c r="I764" s="68" t="str">
        <f t="shared" si="4"/>
        <v/>
      </c>
      <c r="J764" s="59" t="str">
        <f t="shared" si="5"/>
        <v/>
      </c>
      <c r="K764" s="69" t="str">
        <f t="shared" si="6"/>
        <v/>
      </c>
      <c r="L764" s="60" t="str">
        <f t="shared" si="7"/>
        <v/>
      </c>
      <c r="M764" s="61" t="str">
        <f>IFERROR(__xludf.DUMMYFUNCTION("IFS(AND(COUNTA(C764:C1350)=0,COUNTA(Q764:Q1350)=0),"""",OR(AND(K764&gt;=1000000000,OR(Y764&gt;=1000000000,COUNTA(Q764:Q1350)=0)),OR(Y764&gt;=1000000000,AND(COUNTA(C764:C1350)=0,P$3=TRUE))),
ROUNDDOWN((AB$1-AC$1)*MAX(INDEX(T$4:T1350,MATCH(LARGE(FILTER(Y$4:Y1350,Y$4"&amp;":Y1350&lt;1000000000),1),Y$4:Y1350)),INDEX(F$4:F1350,MATCH(LARGE(FILTER(K$4:K1350,K$4:K1350&lt;1000000000),1),K$4:K1350)))),AND(K764&lt;1000000000,COUNTA(C764:C1350)&gt;0,P$3=FALSE),
ROUNDDOWN(INDEX(Y$4:Y1350,MATCH(LARGE(FILTER(W$4:W1350,W$4:W1350&lt;=I764),1),W$4:W1350"&amp;"))+(I764-LARGE(FILTER(W$4:W1350,W$4:W1350&lt;=I764),1))*INDEX(T$4:T1350,MATCH(LARGE(FILTER(W$4:W1350,W$4:W1350&lt;=I764),1),W$4:W1350))-K764),1,
ROUNDDOWN(Y764-INDEX(K$4:K1350,MATCH(LARGE(FILTER(I$4:I1350,I$4:I1350&lt;=W764),1),I$4:I1350))-(W764-LARGE(FILTER(I$4:I"&amp;"1350,I$4:I1350&lt;=W764),1))*INDEX(F$4:F1350,MATCH(LARGE(FILTER(I$4:I1350,I$4:I1350&lt;=W764),1),I$4:I1350))))"),"")</f>
        <v/>
      </c>
      <c r="N764" s="60" t="str">
        <f t="shared" si="8"/>
        <v/>
      </c>
      <c r="O764" s="61" t="str">
        <f t="shared" si="9"/>
        <v/>
      </c>
      <c r="P764" s="56" t="str">
        <f t="shared" si="10"/>
        <v/>
      </c>
      <c r="Q764" s="62"/>
      <c r="R764" s="10" t="str">
        <f>IFERROR(__xludf.DUMMYFUNCTION("IF(COUNTA(Q764:Q1350)=0,"""",IF(ISBLANK(Q764),FALSE,IF(NOT(COUNTIF($AA$24:$AA$34,SUBSTITUTE(Q764,""Sell_"",""""))),1,IF(REGEXMATCH(Q764,""Sell_""),IF(COUNTIF(Q$4:Q764,SUBSTITUTE(Q764,""Sell_"",""""))-COUNTIF(Q$4:Q763,Q764)&lt;1,1),FALSE))))"),"")</f>
        <v/>
      </c>
      <c r="S764" s="59" t="str">
        <f t="array" ref="S764">IF(COUNTA(Q764:Q1350)=0,"",SUM((COUNTIF(Q$4:Q764,Upgrades!$B$3:$B$13)-COUNTIF(Q$4:Q764,"Sell_"&amp;Upgrades!$B$3:$B$13))*Upgrades!$D$3:$D$13))</f>
        <v/>
      </c>
      <c r="T764" s="66" t="str">
        <f>IFERROR(__xludf.DUMMYFUNCTION("IF(COUNTA(Q764:Q1350)=0,"""",IF(REGEXMATCH(INDEX(FILTER(Q$4:Q764,Q$4:Q764&lt;&gt;""""),ROWS(FILTER(Q$4:Q764,Q$4:Q764&lt;&gt;""""))),""^Sell_""),INDEX(FILTER(T$4:T763,Q$4:Q763&lt;&gt;""""),ROWS(FILTER(Q$4:Q763,Q$4:Q763&lt;&gt;""""))),$AD$5+S764))"),"")</f>
        <v/>
      </c>
      <c r="U764" s="10" t="str">
        <f>IFERROR(__xludf.DUMMYFUNCTION("IF(COUNTA(Q764:Q1350)=0,"""",IF(Q764="""",0,IF(REGEXMATCH(Q764,""^Sell_""),-ROUNDDOWN(ROUNDUP(INDEX(Upgrades!$C$3:$C$13,MATCH(SUBSTITUTE(Q764,""Sell_"",""""),Upgrades!$B$3:$B$13,0))*1.15^(COUNTIF(Q$4:Q763,SUBSTITUTE(Q764,""Sell_"",""""))-COUNTIF(Q$4:Q763,"&amp;"""Sell_""&amp;SUBSTITUTE(Q764,""Sell_"",""""))))/2),ROUNDUP(INDEX(Upgrades!$C$3:$C$13,MATCH(Q764,Upgrades!$B$3:$B$13,0))*1.15^(COUNTIF(Q$4:Q763,Q764)-COUNTIF(Q$4:Q763,""Sell_""&amp;Q764))))))"),"")</f>
        <v/>
      </c>
      <c r="V764" s="10" t="str">
        <f t="shared" si="11"/>
        <v/>
      </c>
      <c r="W764" s="68" t="str">
        <f t="shared" si="12"/>
        <v/>
      </c>
      <c r="X764" s="59" t="str">
        <f t="shared" si="13"/>
        <v/>
      </c>
      <c r="Y764" s="69" t="str">
        <f t="shared" si="14"/>
        <v/>
      </c>
      <c r="Z764" s="11"/>
    </row>
    <row r="765">
      <c r="A765" s="8"/>
      <c r="B765" s="56" t="str">
        <f t="shared" si="2"/>
        <v/>
      </c>
      <c r="C765" s="57"/>
      <c r="D765" s="10" t="str">
        <f>IFERROR(__xludf.DUMMYFUNCTION("IF(COUNTA(C765:C1350)=0,"""",IF(ISBLANK(C765),FALSE,IF(NOT(COUNTIF($AA$24:$AA$34,SUBSTITUTE(C765,""Sell_"",""""))),1,IF(REGEXMATCH(C765,""Sell_""),IF(COUNTIF(C$4:C765,SUBSTITUTE(C765,""Sell_"",""""))-COUNTIF(C$4:C764,C765)&lt;1,1),FALSE))))"),"")</f>
        <v/>
      </c>
      <c r="E765" s="59" t="str">
        <f t="array" ref="E765">IF(COUNTA(C765:C1350)=0,"",SUM((COUNTIF(C$4:C765,Upgrades!$B$3:$B$13)-COUNTIF(C$4:C765,"Sell_"&amp;Upgrades!$B$3:$B$13))*Upgrades!$D$3:$D$13))</f>
        <v/>
      </c>
      <c r="F765" s="66" t="str">
        <f>IFERROR(__xludf.DUMMYFUNCTION("IF(COUNTA(C765:C1350)=0,"""",IF(REGEXMATCH(INDEX(FILTER(C$4:C765,C$4:C765&lt;&gt;""""),ROWS(FILTER(C$4:C765,C$4:C765&lt;&gt;""""))),""^Sell_""),INDEX(FILTER(F$4:F764,C$4:C764&lt;&gt;""""),ROWS(FILTER(C$4:C764,C$4:C764&lt;&gt;""""))),$AC$5+E765))"),"")</f>
        <v/>
      </c>
      <c r="G765" s="10" t="str">
        <f>IFERROR(__xludf.DUMMYFUNCTION("IF(COUNTA(C765:C1350)=0,"""",IF(C765="""",0,IF(REGEXMATCH(C765,""^Sell_""),-ROUNDDOWN(ROUNDUP(INDEX(Upgrades!$C$3:$C$13,MATCH(SUBSTITUTE(C765,""Sell_"",""""),Upgrades!$B$3:$B$13,0))*1.15^(COUNTIF(C$4:C764,SUBSTITUTE(C765,""Sell_"",""""))-COUNTIF(C$4:C764,"&amp;"""Sell_""&amp;SUBSTITUTE(C765,""Sell_"",""""))))/2),ROUNDUP(INDEX(Upgrades!$C$3:$C$13,MATCH(C765,Upgrades!$B$3:$B$13,0))*1.15^(COUNTIF(C$4:C764,C765)-COUNTIF(C$4:C764,""Sell_""&amp;C765))))))"),"")</f>
        <v/>
      </c>
      <c r="H765" s="10" t="str">
        <f t="shared" si="3"/>
        <v/>
      </c>
      <c r="I765" s="68" t="str">
        <f t="shared" si="4"/>
        <v/>
      </c>
      <c r="J765" s="59" t="str">
        <f t="shared" si="5"/>
        <v/>
      </c>
      <c r="K765" s="69" t="str">
        <f t="shared" si="6"/>
        <v/>
      </c>
      <c r="L765" s="60" t="str">
        <f t="shared" si="7"/>
        <v/>
      </c>
      <c r="M765" s="61" t="str">
        <f>IFERROR(__xludf.DUMMYFUNCTION("IFS(AND(COUNTA(C765:C1350)=0,COUNTA(Q765:Q1350)=0),"""",OR(AND(K765&gt;=1000000000,OR(Y765&gt;=1000000000,COUNTA(Q765:Q1350)=0)),OR(Y765&gt;=1000000000,AND(COUNTA(C765:C1350)=0,P$3=TRUE))),
ROUNDDOWN((AB$1-AC$1)*MAX(INDEX(T$4:T1350,MATCH(LARGE(FILTER(Y$4:Y1350,Y$4"&amp;":Y1350&lt;1000000000),1),Y$4:Y1350)),INDEX(F$4:F1350,MATCH(LARGE(FILTER(K$4:K1350,K$4:K1350&lt;1000000000),1),K$4:K1350)))),AND(K765&lt;1000000000,COUNTA(C765:C1350)&gt;0,P$3=FALSE),
ROUNDDOWN(INDEX(Y$4:Y1350,MATCH(LARGE(FILTER(W$4:W1350,W$4:W1350&lt;=I765),1),W$4:W1350"&amp;"))+(I765-LARGE(FILTER(W$4:W1350,W$4:W1350&lt;=I765),1))*INDEX(T$4:T1350,MATCH(LARGE(FILTER(W$4:W1350,W$4:W1350&lt;=I765),1),W$4:W1350))-K765),1,
ROUNDDOWN(Y765-INDEX(K$4:K1350,MATCH(LARGE(FILTER(I$4:I1350,I$4:I1350&lt;=W765),1),I$4:I1350))-(W765-LARGE(FILTER(I$4:I"&amp;"1350,I$4:I1350&lt;=W765),1))*INDEX(F$4:F1350,MATCH(LARGE(FILTER(I$4:I1350,I$4:I1350&lt;=W765),1),I$4:I1350))))"),"")</f>
        <v/>
      </c>
      <c r="N765" s="60" t="str">
        <f t="shared" si="8"/>
        <v/>
      </c>
      <c r="O765" s="61" t="str">
        <f t="shared" si="9"/>
        <v/>
      </c>
      <c r="P765" s="56" t="str">
        <f t="shared" si="10"/>
        <v/>
      </c>
      <c r="Q765" s="62"/>
      <c r="R765" s="10" t="str">
        <f>IFERROR(__xludf.DUMMYFUNCTION("IF(COUNTA(Q765:Q1350)=0,"""",IF(ISBLANK(Q765),FALSE,IF(NOT(COUNTIF($AA$24:$AA$34,SUBSTITUTE(Q765,""Sell_"",""""))),1,IF(REGEXMATCH(Q765,""Sell_""),IF(COUNTIF(Q$4:Q765,SUBSTITUTE(Q765,""Sell_"",""""))-COUNTIF(Q$4:Q764,Q765)&lt;1,1),FALSE))))"),"")</f>
        <v/>
      </c>
      <c r="S765" s="59" t="str">
        <f t="array" ref="S765">IF(COUNTA(Q765:Q1350)=0,"",SUM((COUNTIF(Q$4:Q765,Upgrades!$B$3:$B$13)-COUNTIF(Q$4:Q765,"Sell_"&amp;Upgrades!$B$3:$B$13))*Upgrades!$D$3:$D$13))</f>
        <v/>
      </c>
      <c r="T765" s="66" t="str">
        <f>IFERROR(__xludf.DUMMYFUNCTION("IF(COUNTA(Q765:Q1350)=0,"""",IF(REGEXMATCH(INDEX(FILTER(Q$4:Q765,Q$4:Q765&lt;&gt;""""),ROWS(FILTER(Q$4:Q765,Q$4:Q765&lt;&gt;""""))),""^Sell_""),INDEX(FILTER(T$4:T764,Q$4:Q764&lt;&gt;""""),ROWS(FILTER(Q$4:Q764,Q$4:Q764&lt;&gt;""""))),$AD$5+S765))"),"")</f>
        <v/>
      </c>
      <c r="U765" s="10" t="str">
        <f>IFERROR(__xludf.DUMMYFUNCTION("IF(COUNTA(Q765:Q1350)=0,"""",IF(Q765="""",0,IF(REGEXMATCH(Q765,""^Sell_""),-ROUNDDOWN(ROUNDUP(INDEX(Upgrades!$C$3:$C$13,MATCH(SUBSTITUTE(Q765,""Sell_"",""""),Upgrades!$B$3:$B$13,0))*1.15^(COUNTIF(Q$4:Q764,SUBSTITUTE(Q765,""Sell_"",""""))-COUNTIF(Q$4:Q764,"&amp;"""Sell_""&amp;SUBSTITUTE(Q765,""Sell_"",""""))))/2),ROUNDUP(INDEX(Upgrades!$C$3:$C$13,MATCH(Q765,Upgrades!$B$3:$B$13,0))*1.15^(COUNTIF(Q$4:Q764,Q765)-COUNTIF(Q$4:Q764,""Sell_""&amp;Q765))))))"),"")</f>
        <v/>
      </c>
      <c r="V765" s="10" t="str">
        <f t="shared" si="11"/>
        <v/>
      </c>
      <c r="W765" s="68" t="str">
        <f t="shared" si="12"/>
        <v/>
      </c>
      <c r="X765" s="59" t="str">
        <f t="shared" si="13"/>
        <v/>
      </c>
      <c r="Y765" s="69" t="str">
        <f t="shared" si="14"/>
        <v/>
      </c>
      <c r="Z765" s="11"/>
    </row>
    <row r="766">
      <c r="A766" s="8"/>
      <c r="B766" s="56" t="str">
        <f t="shared" si="2"/>
        <v/>
      </c>
      <c r="C766" s="57"/>
      <c r="D766" s="10" t="str">
        <f>IFERROR(__xludf.DUMMYFUNCTION("IF(COUNTA(C766:C1350)=0,"""",IF(ISBLANK(C766),FALSE,IF(NOT(COUNTIF($AA$24:$AA$34,SUBSTITUTE(C766,""Sell_"",""""))),1,IF(REGEXMATCH(C766,""Sell_""),IF(COUNTIF(C$4:C766,SUBSTITUTE(C766,""Sell_"",""""))-COUNTIF(C$4:C765,C766)&lt;1,1),FALSE))))"),"")</f>
        <v/>
      </c>
      <c r="E766" s="59" t="str">
        <f t="array" ref="E766">IF(COUNTA(C766:C1350)=0,"",SUM((COUNTIF(C$4:C766,Upgrades!$B$3:$B$13)-COUNTIF(C$4:C766,"Sell_"&amp;Upgrades!$B$3:$B$13))*Upgrades!$D$3:$D$13))</f>
        <v/>
      </c>
      <c r="F766" s="66" t="str">
        <f>IFERROR(__xludf.DUMMYFUNCTION("IF(COUNTA(C766:C1350)=0,"""",IF(REGEXMATCH(INDEX(FILTER(C$4:C766,C$4:C766&lt;&gt;""""),ROWS(FILTER(C$4:C766,C$4:C766&lt;&gt;""""))),""^Sell_""),INDEX(FILTER(F$4:F765,C$4:C765&lt;&gt;""""),ROWS(FILTER(C$4:C765,C$4:C765&lt;&gt;""""))),$AC$5+E766))"),"")</f>
        <v/>
      </c>
      <c r="G766" s="10" t="str">
        <f>IFERROR(__xludf.DUMMYFUNCTION("IF(COUNTA(C766:C1350)=0,"""",IF(C766="""",0,IF(REGEXMATCH(C766,""^Sell_""),-ROUNDDOWN(ROUNDUP(INDEX(Upgrades!$C$3:$C$13,MATCH(SUBSTITUTE(C766,""Sell_"",""""),Upgrades!$B$3:$B$13,0))*1.15^(COUNTIF(C$4:C765,SUBSTITUTE(C766,""Sell_"",""""))-COUNTIF(C$4:C765,"&amp;"""Sell_""&amp;SUBSTITUTE(C766,""Sell_"",""""))))/2),ROUNDUP(INDEX(Upgrades!$C$3:$C$13,MATCH(C766,Upgrades!$B$3:$B$13,0))*1.15^(COUNTIF(C$4:C765,C766)-COUNTIF(C$4:C765,""Sell_""&amp;C766))))))"),"")</f>
        <v/>
      </c>
      <c r="H766" s="10" t="str">
        <f t="shared" si="3"/>
        <v/>
      </c>
      <c r="I766" s="68" t="str">
        <f t="shared" si="4"/>
        <v/>
      </c>
      <c r="J766" s="59" t="str">
        <f t="shared" si="5"/>
        <v/>
      </c>
      <c r="K766" s="69" t="str">
        <f t="shared" si="6"/>
        <v/>
      </c>
      <c r="L766" s="60" t="str">
        <f t="shared" si="7"/>
        <v/>
      </c>
      <c r="M766" s="61" t="str">
        <f>IFERROR(__xludf.DUMMYFUNCTION("IFS(AND(COUNTA(C766:C1350)=0,COUNTA(Q766:Q1350)=0),"""",OR(AND(K766&gt;=1000000000,OR(Y766&gt;=1000000000,COUNTA(Q766:Q1350)=0)),OR(Y766&gt;=1000000000,AND(COUNTA(C766:C1350)=0,P$3=TRUE))),
ROUNDDOWN((AB$1-AC$1)*MAX(INDEX(T$4:T1350,MATCH(LARGE(FILTER(Y$4:Y1350,Y$4"&amp;":Y1350&lt;1000000000),1),Y$4:Y1350)),INDEX(F$4:F1350,MATCH(LARGE(FILTER(K$4:K1350,K$4:K1350&lt;1000000000),1),K$4:K1350)))),AND(K766&lt;1000000000,COUNTA(C766:C1350)&gt;0,P$3=FALSE),
ROUNDDOWN(INDEX(Y$4:Y1350,MATCH(LARGE(FILTER(W$4:W1350,W$4:W1350&lt;=I766),1),W$4:W1350"&amp;"))+(I766-LARGE(FILTER(W$4:W1350,W$4:W1350&lt;=I766),1))*INDEX(T$4:T1350,MATCH(LARGE(FILTER(W$4:W1350,W$4:W1350&lt;=I766),1),W$4:W1350))-K766),1,
ROUNDDOWN(Y766-INDEX(K$4:K1350,MATCH(LARGE(FILTER(I$4:I1350,I$4:I1350&lt;=W766),1),I$4:I1350))-(W766-LARGE(FILTER(I$4:I"&amp;"1350,I$4:I1350&lt;=W766),1))*INDEX(F$4:F1350,MATCH(LARGE(FILTER(I$4:I1350,I$4:I1350&lt;=W766),1),I$4:I1350))))"),"")</f>
        <v/>
      </c>
      <c r="N766" s="60" t="str">
        <f t="shared" si="8"/>
        <v/>
      </c>
      <c r="O766" s="61" t="str">
        <f t="shared" si="9"/>
        <v/>
      </c>
      <c r="P766" s="56" t="str">
        <f t="shared" si="10"/>
        <v/>
      </c>
      <c r="Q766" s="62"/>
      <c r="R766" s="10" t="str">
        <f>IFERROR(__xludf.DUMMYFUNCTION("IF(COUNTA(Q766:Q1350)=0,"""",IF(ISBLANK(Q766),FALSE,IF(NOT(COUNTIF($AA$24:$AA$34,SUBSTITUTE(Q766,""Sell_"",""""))),1,IF(REGEXMATCH(Q766,""Sell_""),IF(COUNTIF(Q$4:Q766,SUBSTITUTE(Q766,""Sell_"",""""))-COUNTIF(Q$4:Q765,Q766)&lt;1,1),FALSE))))"),"")</f>
        <v/>
      </c>
      <c r="S766" s="59" t="str">
        <f t="array" ref="S766">IF(COUNTA(Q766:Q1350)=0,"",SUM((COUNTIF(Q$4:Q766,Upgrades!$B$3:$B$13)-COUNTIF(Q$4:Q766,"Sell_"&amp;Upgrades!$B$3:$B$13))*Upgrades!$D$3:$D$13))</f>
        <v/>
      </c>
      <c r="T766" s="66" t="str">
        <f>IFERROR(__xludf.DUMMYFUNCTION("IF(COUNTA(Q766:Q1350)=0,"""",IF(REGEXMATCH(INDEX(FILTER(Q$4:Q766,Q$4:Q766&lt;&gt;""""),ROWS(FILTER(Q$4:Q766,Q$4:Q766&lt;&gt;""""))),""^Sell_""),INDEX(FILTER(T$4:T765,Q$4:Q765&lt;&gt;""""),ROWS(FILTER(Q$4:Q765,Q$4:Q765&lt;&gt;""""))),$AD$5+S766))"),"")</f>
        <v/>
      </c>
      <c r="U766" s="10" t="str">
        <f>IFERROR(__xludf.DUMMYFUNCTION("IF(COUNTA(Q766:Q1350)=0,"""",IF(Q766="""",0,IF(REGEXMATCH(Q766,""^Sell_""),-ROUNDDOWN(ROUNDUP(INDEX(Upgrades!$C$3:$C$13,MATCH(SUBSTITUTE(Q766,""Sell_"",""""),Upgrades!$B$3:$B$13,0))*1.15^(COUNTIF(Q$4:Q765,SUBSTITUTE(Q766,""Sell_"",""""))-COUNTIF(Q$4:Q765,"&amp;"""Sell_""&amp;SUBSTITUTE(Q766,""Sell_"",""""))))/2),ROUNDUP(INDEX(Upgrades!$C$3:$C$13,MATCH(Q766,Upgrades!$B$3:$B$13,0))*1.15^(COUNTIF(Q$4:Q765,Q766)-COUNTIF(Q$4:Q765,""Sell_""&amp;Q766))))))"),"")</f>
        <v/>
      </c>
      <c r="V766" s="10" t="str">
        <f t="shared" si="11"/>
        <v/>
      </c>
      <c r="W766" s="68" t="str">
        <f t="shared" si="12"/>
        <v/>
      </c>
      <c r="X766" s="59" t="str">
        <f t="shared" si="13"/>
        <v/>
      </c>
      <c r="Y766" s="69" t="str">
        <f t="shared" si="14"/>
        <v/>
      </c>
      <c r="Z766" s="11"/>
    </row>
    <row r="767">
      <c r="A767" s="8"/>
      <c r="B767" s="56" t="str">
        <f t="shared" si="2"/>
        <v/>
      </c>
      <c r="C767" s="57"/>
      <c r="D767" s="10" t="str">
        <f>IFERROR(__xludf.DUMMYFUNCTION("IF(COUNTA(C767:C1350)=0,"""",IF(ISBLANK(C767),FALSE,IF(NOT(COUNTIF($AA$24:$AA$34,SUBSTITUTE(C767,""Sell_"",""""))),1,IF(REGEXMATCH(C767,""Sell_""),IF(COUNTIF(C$4:C767,SUBSTITUTE(C767,""Sell_"",""""))-COUNTIF(C$4:C766,C767)&lt;1,1),FALSE))))"),"")</f>
        <v/>
      </c>
      <c r="E767" s="59" t="str">
        <f t="array" ref="E767">IF(COUNTA(C767:C1350)=0,"",SUM((COUNTIF(C$4:C767,Upgrades!$B$3:$B$13)-COUNTIF(C$4:C767,"Sell_"&amp;Upgrades!$B$3:$B$13))*Upgrades!$D$3:$D$13))</f>
        <v/>
      </c>
      <c r="F767" s="66" t="str">
        <f>IFERROR(__xludf.DUMMYFUNCTION("IF(COUNTA(C767:C1350)=0,"""",IF(REGEXMATCH(INDEX(FILTER(C$4:C767,C$4:C767&lt;&gt;""""),ROWS(FILTER(C$4:C767,C$4:C767&lt;&gt;""""))),""^Sell_""),INDEX(FILTER(F$4:F766,C$4:C766&lt;&gt;""""),ROWS(FILTER(C$4:C766,C$4:C766&lt;&gt;""""))),$AC$5+E767))"),"")</f>
        <v/>
      </c>
      <c r="G767" s="10" t="str">
        <f>IFERROR(__xludf.DUMMYFUNCTION("IF(COUNTA(C767:C1350)=0,"""",IF(C767="""",0,IF(REGEXMATCH(C767,""^Sell_""),-ROUNDDOWN(ROUNDUP(INDEX(Upgrades!$C$3:$C$13,MATCH(SUBSTITUTE(C767,""Sell_"",""""),Upgrades!$B$3:$B$13,0))*1.15^(COUNTIF(C$4:C766,SUBSTITUTE(C767,""Sell_"",""""))-COUNTIF(C$4:C766,"&amp;"""Sell_""&amp;SUBSTITUTE(C767,""Sell_"",""""))))/2),ROUNDUP(INDEX(Upgrades!$C$3:$C$13,MATCH(C767,Upgrades!$B$3:$B$13,0))*1.15^(COUNTIF(C$4:C766,C767)-COUNTIF(C$4:C766,""Sell_""&amp;C767))))))"),"")</f>
        <v/>
      </c>
      <c r="H767" s="10" t="str">
        <f t="shared" si="3"/>
        <v/>
      </c>
      <c r="I767" s="68" t="str">
        <f t="shared" si="4"/>
        <v/>
      </c>
      <c r="J767" s="59" t="str">
        <f t="shared" si="5"/>
        <v/>
      </c>
      <c r="K767" s="69" t="str">
        <f t="shared" si="6"/>
        <v/>
      </c>
      <c r="L767" s="60" t="str">
        <f t="shared" si="7"/>
        <v/>
      </c>
      <c r="M767" s="61" t="str">
        <f>IFERROR(__xludf.DUMMYFUNCTION("IFS(AND(COUNTA(C767:C1350)=0,COUNTA(Q767:Q1350)=0),"""",OR(AND(K767&gt;=1000000000,OR(Y767&gt;=1000000000,COUNTA(Q767:Q1350)=0)),OR(Y767&gt;=1000000000,AND(COUNTA(C767:C1350)=0,P$3=TRUE))),
ROUNDDOWN((AB$1-AC$1)*MAX(INDEX(T$4:T1350,MATCH(LARGE(FILTER(Y$4:Y1350,Y$4"&amp;":Y1350&lt;1000000000),1),Y$4:Y1350)),INDEX(F$4:F1350,MATCH(LARGE(FILTER(K$4:K1350,K$4:K1350&lt;1000000000),1),K$4:K1350)))),AND(K767&lt;1000000000,COUNTA(C767:C1350)&gt;0,P$3=FALSE),
ROUNDDOWN(INDEX(Y$4:Y1350,MATCH(LARGE(FILTER(W$4:W1350,W$4:W1350&lt;=I767),1),W$4:W1350"&amp;"))+(I767-LARGE(FILTER(W$4:W1350,W$4:W1350&lt;=I767),1))*INDEX(T$4:T1350,MATCH(LARGE(FILTER(W$4:W1350,W$4:W1350&lt;=I767),1),W$4:W1350))-K767),1,
ROUNDDOWN(Y767-INDEX(K$4:K1350,MATCH(LARGE(FILTER(I$4:I1350,I$4:I1350&lt;=W767),1),I$4:I1350))-(W767-LARGE(FILTER(I$4:I"&amp;"1350,I$4:I1350&lt;=W767),1))*INDEX(F$4:F1350,MATCH(LARGE(FILTER(I$4:I1350,I$4:I1350&lt;=W767),1),I$4:I1350))))"),"")</f>
        <v/>
      </c>
      <c r="N767" s="60" t="str">
        <f t="shared" si="8"/>
        <v/>
      </c>
      <c r="O767" s="61" t="str">
        <f t="shared" si="9"/>
        <v/>
      </c>
      <c r="P767" s="56" t="str">
        <f t="shared" si="10"/>
        <v/>
      </c>
      <c r="Q767" s="62"/>
      <c r="R767" s="10" t="str">
        <f>IFERROR(__xludf.DUMMYFUNCTION("IF(COUNTA(Q767:Q1350)=0,"""",IF(ISBLANK(Q767),FALSE,IF(NOT(COUNTIF($AA$24:$AA$34,SUBSTITUTE(Q767,""Sell_"",""""))),1,IF(REGEXMATCH(Q767,""Sell_""),IF(COUNTIF(Q$4:Q767,SUBSTITUTE(Q767,""Sell_"",""""))-COUNTIF(Q$4:Q766,Q767)&lt;1,1),FALSE))))"),"")</f>
        <v/>
      </c>
      <c r="S767" s="59" t="str">
        <f t="array" ref="S767">IF(COUNTA(Q767:Q1350)=0,"",SUM((COUNTIF(Q$4:Q767,Upgrades!$B$3:$B$13)-COUNTIF(Q$4:Q767,"Sell_"&amp;Upgrades!$B$3:$B$13))*Upgrades!$D$3:$D$13))</f>
        <v/>
      </c>
      <c r="T767" s="66" t="str">
        <f>IFERROR(__xludf.DUMMYFUNCTION("IF(COUNTA(Q767:Q1350)=0,"""",IF(REGEXMATCH(INDEX(FILTER(Q$4:Q767,Q$4:Q767&lt;&gt;""""),ROWS(FILTER(Q$4:Q767,Q$4:Q767&lt;&gt;""""))),""^Sell_""),INDEX(FILTER(T$4:T766,Q$4:Q766&lt;&gt;""""),ROWS(FILTER(Q$4:Q766,Q$4:Q766&lt;&gt;""""))),$AD$5+S767))"),"")</f>
        <v/>
      </c>
      <c r="U767" s="10" t="str">
        <f>IFERROR(__xludf.DUMMYFUNCTION("IF(COUNTA(Q767:Q1350)=0,"""",IF(Q767="""",0,IF(REGEXMATCH(Q767,""^Sell_""),-ROUNDDOWN(ROUNDUP(INDEX(Upgrades!$C$3:$C$13,MATCH(SUBSTITUTE(Q767,""Sell_"",""""),Upgrades!$B$3:$B$13,0))*1.15^(COUNTIF(Q$4:Q766,SUBSTITUTE(Q767,""Sell_"",""""))-COUNTIF(Q$4:Q766,"&amp;"""Sell_""&amp;SUBSTITUTE(Q767,""Sell_"",""""))))/2),ROUNDUP(INDEX(Upgrades!$C$3:$C$13,MATCH(Q767,Upgrades!$B$3:$B$13,0))*1.15^(COUNTIF(Q$4:Q766,Q767)-COUNTIF(Q$4:Q766,""Sell_""&amp;Q767))))))"),"")</f>
        <v/>
      </c>
      <c r="V767" s="10" t="str">
        <f t="shared" si="11"/>
        <v/>
      </c>
      <c r="W767" s="68" t="str">
        <f t="shared" si="12"/>
        <v/>
      </c>
      <c r="X767" s="59" t="str">
        <f t="shared" si="13"/>
        <v/>
      </c>
      <c r="Y767" s="69" t="str">
        <f t="shared" si="14"/>
        <v/>
      </c>
      <c r="Z767" s="11"/>
    </row>
    <row r="768">
      <c r="A768" s="8"/>
      <c r="B768" s="56" t="str">
        <f t="shared" si="2"/>
        <v/>
      </c>
      <c r="C768" s="57"/>
      <c r="D768" s="10" t="str">
        <f>IFERROR(__xludf.DUMMYFUNCTION("IF(COUNTA(C768:C1350)=0,"""",IF(ISBLANK(C768),FALSE,IF(NOT(COUNTIF($AA$24:$AA$34,SUBSTITUTE(C768,""Sell_"",""""))),1,IF(REGEXMATCH(C768,""Sell_""),IF(COUNTIF(C$4:C768,SUBSTITUTE(C768,""Sell_"",""""))-COUNTIF(C$4:C767,C768)&lt;1,1),FALSE))))"),"")</f>
        <v/>
      </c>
      <c r="E768" s="59" t="str">
        <f t="array" ref="E768">IF(COUNTA(C768:C1350)=0,"",SUM((COUNTIF(C$4:C768,Upgrades!$B$3:$B$13)-COUNTIF(C$4:C768,"Sell_"&amp;Upgrades!$B$3:$B$13))*Upgrades!$D$3:$D$13))</f>
        <v/>
      </c>
      <c r="F768" s="66" t="str">
        <f>IFERROR(__xludf.DUMMYFUNCTION("IF(COUNTA(C768:C1350)=0,"""",IF(REGEXMATCH(INDEX(FILTER(C$4:C768,C$4:C768&lt;&gt;""""),ROWS(FILTER(C$4:C768,C$4:C768&lt;&gt;""""))),""^Sell_""),INDEX(FILTER(F$4:F767,C$4:C767&lt;&gt;""""),ROWS(FILTER(C$4:C767,C$4:C767&lt;&gt;""""))),$AC$5+E768))"),"")</f>
        <v/>
      </c>
      <c r="G768" s="10" t="str">
        <f>IFERROR(__xludf.DUMMYFUNCTION("IF(COUNTA(C768:C1350)=0,"""",IF(C768="""",0,IF(REGEXMATCH(C768,""^Sell_""),-ROUNDDOWN(ROUNDUP(INDEX(Upgrades!$C$3:$C$13,MATCH(SUBSTITUTE(C768,""Sell_"",""""),Upgrades!$B$3:$B$13,0))*1.15^(COUNTIF(C$4:C767,SUBSTITUTE(C768,""Sell_"",""""))-COUNTIF(C$4:C767,"&amp;"""Sell_""&amp;SUBSTITUTE(C768,""Sell_"",""""))))/2),ROUNDUP(INDEX(Upgrades!$C$3:$C$13,MATCH(C768,Upgrades!$B$3:$B$13,0))*1.15^(COUNTIF(C$4:C767,C768)-COUNTIF(C$4:C767,""Sell_""&amp;C768))))))"),"")</f>
        <v/>
      </c>
      <c r="H768" s="10" t="str">
        <f t="shared" si="3"/>
        <v/>
      </c>
      <c r="I768" s="68" t="str">
        <f t="shared" si="4"/>
        <v/>
      </c>
      <c r="J768" s="59" t="str">
        <f t="shared" si="5"/>
        <v/>
      </c>
      <c r="K768" s="69" t="str">
        <f t="shared" si="6"/>
        <v/>
      </c>
      <c r="L768" s="60" t="str">
        <f t="shared" si="7"/>
        <v/>
      </c>
      <c r="M768" s="61" t="str">
        <f>IFERROR(__xludf.DUMMYFUNCTION("IFS(AND(COUNTA(C768:C1350)=0,COUNTA(Q768:Q1350)=0),"""",OR(AND(K768&gt;=1000000000,OR(Y768&gt;=1000000000,COUNTA(Q768:Q1350)=0)),OR(Y768&gt;=1000000000,AND(COUNTA(C768:C1350)=0,P$3=TRUE))),
ROUNDDOWN((AB$1-AC$1)*MAX(INDEX(T$4:T1350,MATCH(LARGE(FILTER(Y$4:Y1350,Y$4"&amp;":Y1350&lt;1000000000),1),Y$4:Y1350)),INDEX(F$4:F1350,MATCH(LARGE(FILTER(K$4:K1350,K$4:K1350&lt;1000000000),1),K$4:K1350)))),AND(K768&lt;1000000000,COUNTA(C768:C1350)&gt;0,P$3=FALSE),
ROUNDDOWN(INDEX(Y$4:Y1350,MATCH(LARGE(FILTER(W$4:W1350,W$4:W1350&lt;=I768),1),W$4:W1350"&amp;"))+(I768-LARGE(FILTER(W$4:W1350,W$4:W1350&lt;=I768),1))*INDEX(T$4:T1350,MATCH(LARGE(FILTER(W$4:W1350,W$4:W1350&lt;=I768),1),W$4:W1350))-K768),1,
ROUNDDOWN(Y768-INDEX(K$4:K1350,MATCH(LARGE(FILTER(I$4:I1350,I$4:I1350&lt;=W768),1),I$4:I1350))-(W768-LARGE(FILTER(I$4:I"&amp;"1350,I$4:I1350&lt;=W768),1))*INDEX(F$4:F1350,MATCH(LARGE(FILTER(I$4:I1350,I$4:I1350&lt;=W768),1),I$4:I1350))))"),"")</f>
        <v/>
      </c>
      <c r="N768" s="60" t="str">
        <f t="shared" si="8"/>
        <v/>
      </c>
      <c r="O768" s="61" t="str">
        <f t="shared" si="9"/>
        <v/>
      </c>
      <c r="P768" s="56" t="str">
        <f t="shared" si="10"/>
        <v/>
      </c>
      <c r="Q768" s="62"/>
      <c r="R768" s="10" t="str">
        <f>IFERROR(__xludf.DUMMYFUNCTION("IF(COUNTA(Q768:Q1350)=0,"""",IF(ISBLANK(Q768),FALSE,IF(NOT(COUNTIF($AA$24:$AA$34,SUBSTITUTE(Q768,""Sell_"",""""))),1,IF(REGEXMATCH(Q768,""Sell_""),IF(COUNTIF(Q$4:Q768,SUBSTITUTE(Q768,""Sell_"",""""))-COUNTIF(Q$4:Q767,Q768)&lt;1,1),FALSE))))"),"")</f>
        <v/>
      </c>
      <c r="S768" s="59" t="str">
        <f t="array" ref="S768">IF(COUNTA(Q768:Q1350)=0,"",SUM((COUNTIF(Q$4:Q768,Upgrades!$B$3:$B$13)-COUNTIF(Q$4:Q768,"Sell_"&amp;Upgrades!$B$3:$B$13))*Upgrades!$D$3:$D$13))</f>
        <v/>
      </c>
      <c r="T768" s="66" t="str">
        <f>IFERROR(__xludf.DUMMYFUNCTION("IF(COUNTA(Q768:Q1350)=0,"""",IF(REGEXMATCH(INDEX(FILTER(Q$4:Q768,Q$4:Q768&lt;&gt;""""),ROWS(FILTER(Q$4:Q768,Q$4:Q768&lt;&gt;""""))),""^Sell_""),INDEX(FILTER(T$4:T767,Q$4:Q767&lt;&gt;""""),ROWS(FILTER(Q$4:Q767,Q$4:Q767&lt;&gt;""""))),$AD$5+S768))"),"")</f>
        <v/>
      </c>
      <c r="U768" s="10" t="str">
        <f>IFERROR(__xludf.DUMMYFUNCTION("IF(COUNTA(Q768:Q1350)=0,"""",IF(Q768="""",0,IF(REGEXMATCH(Q768,""^Sell_""),-ROUNDDOWN(ROUNDUP(INDEX(Upgrades!$C$3:$C$13,MATCH(SUBSTITUTE(Q768,""Sell_"",""""),Upgrades!$B$3:$B$13,0))*1.15^(COUNTIF(Q$4:Q767,SUBSTITUTE(Q768,""Sell_"",""""))-COUNTIF(Q$4:Q767,"&amp;"""Sell_""&amp;SUBSTITUTE(Q768,""Sell_"",""""))))/2),ROUNDUP(INDEX(Upgrades!$C$3:$C$13,MATCH(Q768,Upgrades!$B$3:$B$13,0))*1.15^(COUNTIF(Q$4:Q767,Q768)-COUNTIF(Q$4:Q767,""Sell_""&amp;Q768))))))"),"")</f>
        <v/>
      </c>
      <c r="V768" s="10" t="str">
        <f t="shared" si="11"/>
        <v/>
      </c>
      <c r="W768" s="68" t="str">
        <f t="shared" si="12"/>
        <v/>
      </c>
      <c r="X768" s="59" t="str">
        <f t="shared" si="13"/>
        <v/>
      </c>
      <c r="Y768" s="69" t="str">
        <f t="shared" si="14"/>
        <v/>
      </c>
      <c r="Z768" s="11"/>
    </row>
    <row r="769">
      <c r="A769" s="8"/>
      <c r="B769" s="56" t="str">
        <f t="shared" si="2"/>
        <v/>
      </c>
      <c r="C769" s="57"/>
      <c r="D769" s="10" t="str">
        <f>IFERROR(__xludf.DUMMYFUNCTION("IF(COUNTA(C769:C1350)=0,"""",IF(ISBLANK(C769),FALSE,IF(NOT(COUNTIF($AA$24:$AA$34,SUBSTITUTE(C769,""Sell_"",""""))),1,IF(REGEXMATCH(C769,""Sell_""),IF(COUNTIF(C$4:C769,SUBSTITUTE(C769,""Sell_"",""""))-COUNTIF(C$4:C768,C769)&lt;1,1),FALSE))))"),"")</f>
        <v/>
      </c>
      <c r="E769" s="59" t="str">
        <f t="array" ref="E769">IF(COUNTA(C769:C1350)=0,"",SUM((COUNTIF(C$4:C769,Upgrades!$B$3:$B$13)-COUNTIF(C$4:C769,"Sell_"&amp;Upgrades!$B$3:$B$13))*Upgrades!$D$3:$D$13))</f>
        <v/>
      </c>
      <c r="F769" s="66" t="str">
        <f>IFERROR(__xludf.DUMMYFUNCTION("IF(COUNTA(C769:C1350)=0,"""",IF(REGEXMATCH(INDEX(FILTER(C$4:C769,C$4:C769&lt;&gt;""""),ROWS(FILTER(C$4:C769,C$4:C769&lt;&gt;""""))),""^Sell_""),INDEX(FILTER(F$4:F768,C$4:C768&lt;&gt;""""),ROWS(FILTER(C$4:C768,C$4:C768&lt;&gt;""""))),$AC$5+E769))"),"")</f>
        <v/>
      </c>
      <c r="G769" s="10" t="str">
        <f>IFERROR(__xludf.DUMMYFUNCTION("IF(COUNTA(C769:C1350)=0,"""",IF(C769="""",0,IF(REGEXMATCH(C769,""^Sell_""),-ROUNDDOWN(ROUNDUP(INDEX(Upgrades!$C$3:$C$13,MATCH(SUBSTITUTE(C769,""Sell_"",""""),Upgrades!$B$3:$B$13,0))*1.15^(COUNTIF(C$4:C768,SUBSTITUTE(C769,""Sell_"",""""))-COUNTIF(C$4:C768,"&amp;"""Sell_""&amp;SUBSTITUTE(C769,""Sell_"",""""))))/2),ROUNDUP(INDEX(Upgrades!$C$3:$C$13,MATCH(C769,Upgrades!$B$3:$B$13,0))*1.15^(COUNTIF(C$4:C768,C769)-COUNTIF(C$4:C768,""Sell_""&amp;C769))))))"),"")</f>
        <v/>
      </c>
      <c r="H769" s="10" t="str">
        <f t="shared" si="3"/>
        <v/>
      </c>
      <c r="I769" s="68" t="str">
        <f t="shared" si="4"/>
        <v/>
      </c>
      <c r="J769" s="59" t="str">
        <f t="shared" si="5"/>
        <v/>
      </c>
      <c r="K769" s="69" t="str">
        <f t="shared" si="6"/>
        <v/>
      </c>
      <c r="L769" s="60" t="str">
        <f t="shared" si="7"/>
        <v/>
      </c>
      <c r="M769" s="61" t="str">
        <f>IFERROR(__xludf.DUMMYFUNCTION("IFS(AND(COUNTA(C769:C1350)=0,COUNTA(Q769:Q1350)=0),"""",OR(AND(K769&gt;=1000000000,OR(Y769&gt;=1000000000,COUNTA(Q769:Q1350)=0)),OR(Y769&gt;=1000000000,AND(COUNTA(C769:C1350)=0,P$3=TRUE))),
ROUNDDOWN((AB$1-AC$1)*MAX(INDEX(T$4:T1350,MATCH(LARGE(FILTER(Y$4:Y1350,Y$4"&amp;":Y1350&lt;1000000000),1),Y$4:Y1350)),INDEX(F$4:F1350,MATCH(LARGE(FILTER(K$4:K1350,K$4:K1350&lt;1000000000),1),K$4:K1350)))),AND(K769&lt;1000000000,COUNTA(C769:C1350)&gt;0,P$3=FALSE),
ROUNDDOWN(INDEX(Y$4:Y1350,MATCH(LARGE(FILTER(W$4:W1350,W$4:W1350&lt;=I769),1),W$4:W1350"&amp;"))+(I769-LARGE(FILTER(W$4:W1350,W$4:W1350&lt;=I769),1))*INDEX(T$4:T1350,MATCH(LARGE(FILTER(W$4:W1350,W$4:W1350&lt;=I769),1),W$4:W1350))-K769),1,
ROUNDDOWN(Y769-INDEX(K$4:K1350,MATCH(LARGE(FILTER(I$4:I1350,I$4:I1350&lt;=W769),1),I$4:I1350))-(W769-LARGE(FILTER(I$4:I"&amp;"1350,I$4:I1350&lt;=W769),1))*INDEX(F$4:F1350,MATCH(LARGE(FILTER(I$4:I1350,I$4:I1350&lt;=W769),1),I$4:I1350))))"),"")</f>
        <v/>
      </c>
      <c r="N769" s="60" t="str">
        <f t="shared" si="8"/>
        <v/>
      </c>
      <c r="O769" s="61" t="str">
        <f t="shared" si="9"/>
        <v/>
      </c>
      <c r="P769" s="56" t="str">
        <f t="shared" si="10"/>
        <v/>
      </c>
      <c r="Q769" s="62"/>
      <c r="R769" s="10" t="str">
        <f>IFERROR(__xludf.DUMMYFUNCTION("IF(COUNTA(Q769:Q1350)=0,"""",IF(ISBLANK(Q769),FALSE,IF(NOT(COUNTIF($AA$24:$AA$34,SUBSTITUTE(Q769,""Sell_"",""""))),1,IF(REGEXMATCH(Q769,""Sell_""),IF(COUNTIF(Q$4:Q769,SUBSTITUTE(Q769,""Sell_"",""""))-COUNTIF(Q$4:Q768,Q769)&lt;1,1),FALSE))))"),"")</f>
        <v/>
      </c>
      <c r="S769" s="59" t="str">
        <f t="array" ref="S769">IF(COUNTA(Q769:Q1350)=0,"",SUM((COUNTIF(Q$4:Q769,Upgrades!$B$3:$B$13)-COUNTIF(Q$4:Q769,"Sell_"&amp;Upgrades!$B$3:$B$13))*Upgrades!$D$3:$D$13))</f>
        <v/>
      </c>
      <c r="T769" s="66" t="str">
        <f>IFERROR(__xludf.DUMMYFUNCTION("IF(COUNTA(Q769:Q1350)=0,"""",IF(REGEXMATCH(INDEX(FILTER(Q$4:Q769,Q$4:Q769&lt;&gt;""""),ROWS(FILTER(Q$4:Q769,Q$4:Q769&lt;&gt;""""))),""^Sell_""),INDEX(FILTER(T$4:T768,Q$4:Q768&lt;&gt;""""),ROWS(FILTER(Q$4:Q768,Q$4:Q768&lt;&gt;""""))),$AD$5+S769))"),"")</f>
        <v/>
      </c>
      <c r="U769" s="10" t="str">
        <f>IFERROR(__xludf.DUMMYFUNCTION("IF(COUNTA(Q769:Q1350)=0,"""",IF(Q769="""",0,IF(REGEXMATCH(Q769,""^Sell_""),-ROUNDDOWN(ROUNDUP(INDEX(Upgrades!$C$3:$C$13,MATCH(SUBSTITUTE(Q769,""Sell_"",""""),Upgrades!$B$3:$B$13,0))*1.15^(COUNTIF(Q$4:Q768,SUBSTITUTE(Q769,""Sell_"",""""))-COUNTIF(Q$4:Q768,"&amp;"""Sell_""&amp;SUBSTITUTE(Q769,""Sell_"",""""))))/2),ROUNDUP(INDEX(Upgrades!$C$3:$C$13,MATCH(Q769,Upgrades!$B$3:$B$13,0))*1.15^(COUNTIF(Q$4:Q768,Q769)-COUNTIF(Q$4:Q768,""Sell_""&amp;Q769))))))"),"")</f>
        <v/>
      </c>
      <c r="V769" s="10" t="str">
        <f t="shared" si="11"/>
        <v/>
      </c>
      <c r="W769" s="68" t="str">
        <f t="shared" si="12"/>
        <v/>
      </c>
      <c r="X769" s="59" t="str">
        <f t="shared" si="13"/>
        <v/>
      </c>
      <c r="Y769" s="69" t="str">
        <f t="shared" si="14"/>
        <v/>
      </c>
      <c r="Z769" s="11"/>
    </row>
    <row r="770">
      <c r="A770" s="8"/>
      <c r="B770" s="56" t="str">
        <f t="shared" si="2"/>
        <v/>
      </c>
      <c r="C770" s="57"/>
      <c r="D770" s="10" t="str">
        <f>IFERROR(__xludf.DUMMYFUNCTION("IF(COUNTA(C770:C1350)=0,"""",IF(ISBLANK(C770),FALSE,IF(NOT(COUNTIF($AA$24:$AA$34,SUBSTITUTE(C770,""Sell_"",""""))),1,IF(REGEXMATCH(C770,""Sell_""),IF(COUNTIF(C$4:C770,SUBSTITUTE(C770,""Sell_"",""""))-COUNTIF(C$4:C769,C770)&lt;1,1),FALSE))))"),"")</f>
        <v/>
      </c>
      <c r="E770" s="59" t="str">
        <f t="array" ref="E770">IF(COUNTA(C770:C1350)=0,"",SUM((COUNTIF(C$4:C770,Upgrades!$B$3:$B$13)-COUNTIF(C$4:C770,"Sell_"&amp;Upgrades!$B$3:$B$13))*Upgrades!$D$3:$D$13))</f>
        <v/>
      </c>
      <c r="F770" s="66" t="str">
        <f>IFERROR(__xludf.DUMMYFUNCTION("IF(COUNTA(C770:C1350)=0,"""",IF(REGEXMATCH(INDEX(FILTER(C$4:C770,C$4:C770&lt;&gt;""""),ROWS(FILTER(C$4:C770,C$4:C770&lt;&gt;""""))),""^Sell_""),INDEX(FILTER(F$4:F769,C$4:C769&lt;&gt;""""),ROWS(FILTER(C$4:C769,C$4:C769&lt;&gt;""""))),$AC$5+E770))"),"")</f>
        <v/>
      </c>
      <c r="G770" s="10" t="str">
        <f>IFERROR(__xludf.DUMMYFUNCTION("IF(COUNTA(C770:C1350)=0,"""",IF(C770="""",0,IF(REGEXMATCH(C770,""^Sell_""),-ROUNDDOWN(ROUNDUP(INDEX(Upgrades!$C$3:$C$13,MATCH(SUBSTITUTE(C770,""Sell_"",""""),Upgrades!$B$3:$B$13,0))*1.15^(COUNTIF(C$4:C769,SUBSTITUTE(C770,""Sell_"",""""))-COUNTIF(C$4:C769,"&amp;"""Sell_""&amp;SUBSTITUTE(C770,""Sell_"",""""))))/2),ROUNDUP(INDEX(Upgrades!$C$3:$C$13,MATCH(C770,Upgrades!$B$3:$B$13,0))*1.15^(COUNTIF(C$4:C769,C770)-COUNTIF(C$4:C769,""Sell_""&amp;C770))))))"),"")</f>
        <v/>
      </c>
      <c r="H770" s="10" t="str">
        <f t="shared" si="3"/>
        <v/>
      </c>
      <c r="I770" s="68" t="str">
        <f t="shared" si="4"/>
        <v/>
      </c>
      <c r="J770" s="59" t="str">
        <f t="shared" si="5"/>
        <v/>
      </c>
      <c r="K770" s="69" t="str">
        <f t="shared" si="6"/>
        <v/>
      </c>
      <c r="L770" s="60" t="str">
        <f t="shared" si="7"/>
        <v/>
      </c>
      <c r="M770" s="61" t="str">
        <f>IFERROR(__xludf.DUMMYFUNCTION("IFS(AND(COUNTA(C770:C1350)=0,COUNTA(Q770:Q1350)=0),"""",OR(AND(K770&gt;=1000000000,OR(Y770&gt;=1000000000,COUNTA(Q770:Q1350)=0)),OR(Y770&gt;=1000000000,AND(COUNTA(C770:C1350)=0,P$3=TRUE))),
ROUNDDOWN((AB$1-AC$1)*MAX(INDEX(T$4:T1350,MATCH(LARGE(FILTER(Y$4:Y1350,Y$4"&amp;":Y1350&lt;1000000000),1),Y$4:Y1350)),INDEX(F$4:F1350,MATCH(LARGE(FILTER(K$4:K1350,K$4:K1350&lt;1000000000),1),K$4:K1350)))),AND(K770&lt;1000000000,COUNTA(C770:C1350)&gt;0,P$3=FALSE),
ROUNDDOWN(INDEX(Y$4:Y1350,MATCH(LARGE(FILTER(W$4:W1350,W$4:W1350&lt;=I770),1),W$4:W1350"&amp;"))+(I770-LARGE(FILTER(W$4:W1350,W$4:W1350&lt;=I770),1))*INDEX(T$4:T1350,MATCH(LARGE(FILTER(W$4:W1350,W$4:W1350&lt;=I770),1),W$4:W1350))-K770),1,
ROUNDDOWN(Y770-INDEX(K$4:K1350,MATCH(LARGE(FILTER(I$4:I1350,I$4:I1350&lt;=W770),1),I$4:I1350))-(W770-LARGE(FILTER(I$4:I"&amp;"1350,I$4:I1350&lt;=W770),1))*INDEX(F$4:F1350,MATCH(LARGE(FILTER(I$4:I1350,I$4:I1350&lt;=W770),1),I$4:I1350))))"),"")</f>
        <v/>
      </c>
      <c r="N770" s="60" t="str">
        <f t="shared" si="8"/>
        <v/>
      </c>
      <c r="O770" s="61" t="str">
        <f t="shared" si="9"/>
        <v/>
      </c>
      <c r="P770" s="56" t="str">
        <f t="shared" si="10"/>
        <v/>
      </c>
      <c r="Q770" s="62"/>
      <c r="R770" s="10" t="str">
        <f>IFERROR(__xludf.DUMMYFUNCTION("IF(COUNTA(Q770:Q1350)=0,"""",IF(ISBLANK(Q770),FALSE,IF(NOT(COUNTIF($AA$24:$AA$34,SUBSTITUTE(Q770,""Sell_"",""""))),1,IF(REGEXMATCH(Q770,""Sell_""),IF(COUNTIF(Q$4:Q770,SUBSTITUTE(Q770,""Sell_"",""""))-COUNTIF(Q$4:Q769,Q770)&lt;1,1),FALSE))))"),"")</f>
        <v/>
      </c>
      <c r="S770" s="59" t="str">
        <f t="array" ref="S770">IF(COUNTA(Q770:Q1350)=0,"",SUM((COUNTIF(Q$4:Q770,Upgrades!$B$3:$B$13)-COUNTIF(Q$4:Q770,"Sell_"&amp;Upgrades!$B$3:$B$13))*Upgrades!$D$3:$D$13))</f>
        <v/>
      </c>
      <c r="T770" s="66" t="str">
        <f>IFERROR(__xludf.DUMMYFUNCTION("IF(COUNTA(Q770:Q1350)=0,"""",IF(REGEXMATCH(INDEX(FILTER(Q$4:Q770,Q$4:Q770&lt;&gt;""""),ROWS(FILTER(Q$4:Q770,Q$4:Q770&lt;&gt;""""))),""^Sell_""),INDEX(FILTER(T$4:T769,Q$4:Q769&lt;&gt;""""),ROWS(FILTER(Q$4:Q769,Q$4:Q769&lt;&gt;""""))),$AD$5+S770))"),"")</f>
        <v/>
      </c>
      <c r="U770" s="10" t="str">
        <f>IFERROR(__xludf.DUMMYFUNCTION("IF(COUNTA(Q770:Q1350)=0,"""",IF(Q770="""",0,IF(REGEXMATCH(Q770,""^Sell_""),-ROUNDDOWN(ROUNDUP(INDEX(Upgrades!$C$3:$C$13,MATCH(SUBSTITUTE(Q770,""Sell_"",""""),Upgrades!$B$3:$B$13,0))*1.15^(COUNTIF(Q$4:Q769,SUBSTITUTE(Q770,""Sell_"",""""))-COUNTIF(Q$4:Q769,"&amp;"""Sell_""&amp;SUBSTITUTE(Q770,""Sell_"",""""))))/2),ROUNDUP(INDEX(Upgrades!$C$3:$C$13,MATCH(Q770,Upgrades!$B$3:$B$13,0))*1.15^(COUNTIF(Q$4:Q769,Q770)-COUNTIF(Q$4:Q769,""Sell_""&amp;Q770))))))"),"")</f>
        <v/>
      </c>
      <c r="V770" s="10" t="str">
        <f t="shared" si="11"/>
        <v/>
      </c>
      <c r="W770" s="68" t="str">
        <f t="shared" si="12"/>
        <v/>
      </c>
      <c r="X770" s="59" t="str">
        <f t="shared" si="13"/>
        <v/>
      </c>
      <c r="Y770" s="69" t="str">
        <f t="shared" si="14"/>
        <v/>
      </c>
      <c r="Z770" s="11"/>
    </row>
    <row r="771">
      <c r="A771" s="8"/>
      <c r="B771" s="56" t="str">
        <f t="shared" si="2"/>
        <v/>
      </c>
      <c r="C771" s="57"/>
      <c r="D771" s="10" t="str">
        <f>IFERROR(__xludf.DUMMYFUNCTION("IF(COUNTA(C771:C1350)=0,"""",IF(ISBLANK(C771),FALSE,IF(NOT(COUNTIF($AA$24:$AA$34,SUBSTITUTE(C771,""Sell_"",""""))),1,IF(REGEXMATCH(C771,""Sell_""),IF(COUNTIF(C$4:C771,SUBSTITUTE(C771,""Sell_"",""""))-COUNTIF(C$4:C770,C771)&lt;1,1),FALSE))))"),"")</f>
        <v/>
      </c>
      <c r="E771" s="59" t="str">
        <f t="array" ref="E771">IF(COUNTA(C771:C1350)=0,"",SUM((COUNTIF(C$4:C771,Upgrades!$B$3:$B$13)-COUNTIF(C$4:C771,"Sell_"&amp;Upgrades!$B$3:$B$13))*Upgrades!$D$3:$D$13))</f>
        <v/>
      </c>
      <c r="F771" s="66" t="str">
        <f>IFERROR(__xludf.DUMMYFUNCTION("IF(COUNTA(C771:C1350)=0,"""",IF(REGEXMATCH(INDEX(FILTER(C$4:C771,C$4:C771&lt;&gt;""""),ROWS(FILTER(C$4:C771,C$4:C771&lt;&gt;""""))),""^Sell_""),INDEX(FILTER(F$4:F770,C$4:C770&lt;&gt;""""),ROWS(FILTER(C$4:C770,C$4:C770&lt;&gt;""""))),$AC$5+E771))"),"")</f>
        <v/>
      </c>
      <c r="G771" s="10" t="str">
        <f>IFERROR(__xludf.DUMMYFUNCTION("IF(COUNTA(C771:C1350)=0,"""",IF(C771="""",0,IF(REGEXMATCH(C771,""^Sell_""),-ROUNDDOWN(ROUNDUP(INDEX(Upgrades!$C$3:$C$13,MATCH(SUBSTITUTE(C771,""Sell_"",""""),Upgrades!$B$3:$B$13,0))*1.15^(COUNTIF(C$4:C770,SUBSTITUTE(C771,""Sell_"",""""))-COUNTIF(C$4:C770,"&amp;"""Sell_""&amp;SUBSTITUTE(C771,""Sell_"",""""))))/2),ROUNDUP(INDEX(Upgrades!$C$3:$C$13,MATCH(C771,Upgrades!$B$3:$B$13,0))*1.15^(COUNTIF(C$4:C770,C771)-COUNTIF(C$4:C770,""Sell_""&amp;C771))))))"),"")</f>
        <v/>
      </c>
      <c r="H771" s="10" t="str">
        <f t="shared" si="3"/>
        <v/>
      </c>
      <c r="I771" s="68" t="str">
        <f t="shared" si="4"/>
        <v/>
      </c>
      <c r="J771" s="59" t="str">
        <f t="shared" si="5"/>
        <v/>
      </c>
      <c r="K771" s="69" t="str">
        <f t="shared" si="6"/>
        <v/>
      </c>
      <c r="L771" s="60" t="str">
        <f t="shared" si="7"/>
        <v/>
      </c>
      <c r="M771" s="61" t="str">
        <f>IFERROR(__xludf.DUMMYFUNCTION("IFS(AND(COUNTA(C771:C1350)=0,COUNTA(Q771:Q1350)=0),"""",OR(AND(K771&gt;=1000000000,OR(Y771&gt;=1000000000,COUNTA(Q771:Q1350)=0)),OR(Y771&gt;=1000000000,AND(COUNTA(C771:C1350)=0,P$3=TRUE))),
ROUNDDOWN((AB$1-AC$1)*MAX(INDEX(T$4:T1350,MATCH(LARGE(FILTER(Y$4:Y1350,Y$4"&amp;":Y1350&lt;1000000000),1),Y$4:Y1350)),INDEX(F$4:F1350,MATCH(LARGE(FILTER(K$4:K1350,K$4:K1350&lt;1000000000),1),K$4:K1350)))),AND(K771&lt;1000000000,COUNTA(C771:C1350)&gt;0,P$3=FALSE),
ROUNDDOWN(INDEX(Y$4:Y1350,MATCH(LARGE(FILTER(W$4:W1350,W$4:W1350&lt;=I771),1),W$4:W1350"&amp;"))+(I771-LARGE(FILTER(W$4:W1350,W$4:W1350&lt;=I771),1))*INDEX(T$4:T1350,MATCH(LARGE(FILTER(W$4:W1350,W$4:W1350&lt;=I771),1),W$4:W1350))-K771),1,
ROUNDDOWN(Y771-INDEX(K$4:K1350,MATCH(LARGE(FILTER(I$4:I1350,I$4:I1350&lt;=W771),1),I$4:I1350))-(W771-LARGE(FILTER(I$4:I"&amp;"1350,I$4:I1350&lt;=W771),1))*INDEX(F$4:F1350,MATCH(LARGE(FILTER(I$4:I1350,I$4:I1350&lt;=W771),1),I$4:I1350))))"),"")</f>
        <v/>
      </c>
      <c r="N771" s="60" t="str">
        <f t="shared" si="8"/>
        <v/>
      </c>
      <c r="O771" s="61" t="str">
        <f t="shared" si="9"/>
        <v/>
      </c>
      <c r="P771" s="56" t="str">
        <f t="shared" si="10"/>
        <v/>
      </c>
      <c r="Q771" s="62"/>
      <c r="R771" s="10" t="str">
        <f>IFERROR(__xludf.DUMMYFUNCTION("IF(COUNTA(Q771:Q1350)=0,"""",IF(ISBLANK(Q771),FALSE,IF(NOT(COUNTIF($AA$24:$AA$34,SUBSTITUTE(Q771,""Sell_"",""""))),1,IF(REGEXMATCH(Q771,""Sell_""),IF(COUNTIF(Q$4:Q771,SUBSTITUTE(Q771,""Sell_"",""""))-COUNTIF(Q$4:Q770,Q771)&lt;1,1),FALSE))))"),"")</f>
        <v/>
      </c>
      <c r="S771" s="59" t="str">
        <f t="array" ref="S771">IF(COUNTA(Q771:Q1350)=0,"",SUM((COUNTIF(Q$4:Q771,Upgrades!$B$3:$B$13)-COUNTIF(Q$4:Q771,"Sell_"&amp;Upgrades!$B$3:$B$13))*Upgrades!$D$3:$D$13))</f>
        <v/>
      </c>
      <c r="T771" s="66" t="str">
        <f>IFERROR(__xludf.DUMMYFUNCTION("IF(COUNTA(Q771:Q1350)=0,"""",IF(REGEXMATCH(INDEX(FILTER(Q$4:Q771,Q$4:Q771&lt;&gt;""""),ROWS(FILTER(Q$4:Q771,Q$4:Q771&lt;&gt;""""))),""^Sell_""),INDEX(FILTER(T$4:T770,Q$4:Q770&lt;&gt;""""),ROWS(FILTER(Q$4:Q770,Q$4:Q770&lt;&gt;""""))),$AD$5+S771))"),"")</f>
        <v/>
      </c>
      <c r="U771" s="10" t="str">
        <f>IFERROR(__xludf.DUMMYFUNCTION("IF(COUNTA(Q771:Q1350)=0,"""",IF(Q771="""",0,IF(REGEXMATCH(Q771,""^Sell_""),-ROUNDDOWN(ROUNDUP(INDEX(Upgrades!$C$3:$C$13,MATCH(SUBSTITUTE(Q771,""Sell_"",""""),Upgrades!$B$3:$B$13,0))*1.15^(COUNTIF(Q$4:Q770,SUBSTITUTE(Q771,""Sell_"",""""))-COUNTIF(Q$4:Q770,"&amp;"""Sell_""&amp;SUBSTITUTE(Q771,""Sell_"",""""))))/2),ROUNDUP(INDEX(Upgrades!$C$3:$C$13,MATCH(Q771,Upgrades!$B$3:$B$13,0))*1.15^(COUNTIF(Q$4:Q770,Q771)-COUNTIF(Q$4:Q770,""Sell_""&amp;Q771))))))"),"")</f>
        <v/>
      </c>
      <c r="V771" s="10" t="str">
        <f t="shared" si="11"/>
        <v/>
      </c>
      <c r="W771" s="68" t="str">
        <f t="shared" si="12"/>
        <v/>
      </c>
      <c r="X771" s="59" t="str">
        <f t="shared" si="13"/>
        <v/>
      </c>
      <c r="Y771" s="69" t="str">
        <f t="shared" si="14"/>
        <v/>
      </c>
      <c r="Z771" s="11"/>
    </row>
    <row r="772">
      <c r="A772" s="8"/>
      <c r="B772" s="56" t="str">
        <f t="shared" si="2"/>
        <v/>
      </c>
      <c r="C772" s="57"/>
      <c r="D772" s="10" t="str">
        <f>IFERROR(__xludf.DUMMYFUNCTION("IF(COUNTA(C772:C1350)=0,"""",IF(ISBLANK(C772),FALSE,IF(NOT(COUNTIF($AA$24:$AA$34,SUBSTITUTE(C772,""Sell_"",""""))),1,IF(REGEXMATCH(C772,""Sell_""),IF(COUNTIF(C$4:C772,SUBSTITUTE(C772,""Sell_"",""""))-COUNTIF(C$4:C771,C772)&lt;1,1),FALSE))))"),"")</f>
        <v/>
      </c>
      <c r="E772" s="59" t="str">
        <f t="array" ref="E772">IF(COUNTA(C772:C1350)=0,"",SUM((COUNTIF(C$4:C772,Upgrades!$B$3:$B$13)-COUNTIF(C$4:C772,"Sell_"&amp;Upgrades!$B$3:$B$13))*Upgrades!$D$3:$D$13))</f>
        <v/>
      </c>
      <c r="F772" s="66" t="str">
        <f>IFERROR(__xludf.DUMMYFUNCTION("IF(COUNTA(C772:C1350)=0,"""",IF(REGEXMATCH(INDEX(FILTER(C$4:C772,C$4:C772&lt;&gt;""""),ROWS(FILTER(C$4:C772,C$4:C772&lt;&gt;""""))),""^Sell_""),INDEX(FILTER(F$4:F771,C$4:C771&lt;&gt;""""),ROWS(FILTER(C$4:C771,C$4:C771&lt;&gt;""""))),$AC$5+E772))"),"")</f>
        <v/>
      </c>
      <c r="G772" s="10" t="str">
        <f>IFERROR(__xludf.DUMMYFUNCTION("IF(COUNTA(C772:C1350)=0,"""",IF(C772="""",0,IF(REGEXMATCH(C772,""^Sell_""),-ROUNDDOWN(ROUNDUP(INDEX(Upgrades!$C$3:$C$13,MATCH(SUBSTITUTE(C772,""Sell_"",""""),Upgrades!$B$3:$B$13,0))*1.15^(COUNTIF(C$4:C771,SUBSTITUTE(C772,""Sell_"",""""))-COUNTIF(C$4:C771,"&amp;"""Sell_""&amp;SUBSTITUTE(C772,""Sell_"",""""))))/2),ROUNDUP(INDEX(Upgrades!$C$3:$C$13,MATCH(C772,Upgrades!$B$3:$B$13,0))*1.15^(COUNTIF(C$4:C771,C772)-COUNTIF(C$4:C771,""Sell_""&amp;C772))))))"),"")</f>
        <v/>
      </c>
      <c r="H772" s="10" t="str">
        <f t="shared" si="3"/>
        <v/>
      </c>
      <c r="I772" s="68" t="str">
        <f t="shared" si="4"/>
        <v/>
      </c>
      <c r="J772" s="59" t="str">
        <f t="shared" si="5"/>
        <v/>
      </c>
      <c r="K772" s="69" t="str">
        <f t="shared" si="6"/>
        <v/>
      </c>
      <c r="L772" s="60" t="str">
        <f t="shared" si="7"/>
        <v/>
      </c>
      <c r="M772" s="61" t="str">
        <f>IFERROR(__xludf.DUMMYFUNCTION("IFS(AND(COUNTA(C772:C1350)=0,COUNTA(Q772:Q1350)=0),"""",OR(AND(K772&gt;=1000000000,OR(Y772&gt;=1000000000,COUNTA(Q772:Q1350)=0)),OR(Y772&gt;=1000000000,AND(COUNTA(C772:C1350)=0,P$3=TRUE))),
ROUNDDOWN((AB$1-AC$1)*MAX(INDEX(T$4:T1350,MATCH(LARGE(FILTER(Y$4:Y1350,Y$4"&amp;":Y1350&lt;1000000000),1),Y$4:Y1350)),INDEX(F$4:F1350,MATCH(LARGE(FILTER(K$4:K1350,K$4:K1350&lt;1000000000),1),K$4:K1350)))),AND(K772&lt;1000000000,COUNTA(C772:C1350)&gt;0,P$3=FALSE),
ROUNDDOWN(INDEX(Y$4:Y1350,MATCH(LARGE(FILTER(W$4:W1350,W$4:W1350&lt;=I772),1),W$4:W1350"&amp;"))+(I772-LARGE(FILTER(W$4:W1350,W$4:W1350&lt;=I772),1))*INDEX(T$4:T1350,MATCH(LARGE(FILTER(W$4:W1350,W$4:W1350&lt;=I772),1),W$4:W1350))-K772),1,
ROUNDDOWN(Y772-INDEX(K$4:K1350,MATCH(LARGE(FILTER(I$4:I1350,I$4:I1350&lt;=W772),1),I$4:I1350))-(W772-LARGE(FILTER(I$4:I"&amp;"1350,I$4:I1350&lt;=W772),1))*INDEX(F$4:F1350,MATCH(LARGE(FILTER(I$4:I1350,I$4:I1350&lt;=W772),1),I$4:I1350))))"),"")</f>
        <v/>
      </c>
      <c r="N772" s="60" t="str">
        <f t="shared" si="8"/>
        <v/>
      </c>
      <c r="O772" s="61" t="str">
        <f t="shared" si="9"/>
        <v/>
      </c>
      <c r="P772" s="56" t="str">
        <f t="shared" si="10"/>
        <v/>
      </c>
      <c r="Q772" s="62"/>
      <c r="R772" s="10" t="str">
        <f>IFERROR(__xludf.DUMMYFUNCTION("IF(COUNTA(Q772:Q1350)=0,"""",IF(ISBLANK(Q772),FALSE,IF(NOT(COUNTIF($AA$24:$AA$34,SUBSTITUTE(Q772,""Sell_"",""""))),1,IF(REGEXMATCH(Q772,""Sell_""),IF(COUNTIF(Q$4:Q772,SUBSTITUTE(Q772,""Sell_"",""""))-COUNTIF(Q$4:Q771,Q772)&lt;1,1),FALSE))))"),"")</f>
        <v/>
      </c>
      <c r="S772" s="59" t="str">
        <f t="array" ref="S772">IF(COUNTA(Q772:Q1350)=0,"",SUM((COUNTIF(Q$4:Q772,Upgrades!$B$3:$B$13)-COUNTIF(Q$4:Q772,"Sell_"&amp;Upgrades!$B$3:$B$13))*Upgrades!$D$3:$D$13))</f>
        <v/>
      </c>
      <c r="T772" s="66" t="str">
        <f>IFERROR(__xludf.DUMMYFUNCTION("IF(COUNTA(Q772:Q1350)=0,"""",IF(REGEXMATCH(INDEX(FILTER(Q$4:Q772,Q$4:Q772&lt;&gt;""""),ROWS(FILTER(Q$4:Q772,Q$4:Q772&lt;&gt;""""))),""^Sell_""),INDEX(FILTER(T$4:T771,Q$4:Q771&lt;&gt;""""),ROWS(FILTER(Q$4:Q771,Q$4:Q771&lt;&gt;""""))),$AD$5+S772))"),"")</f>
        <v/>
      </c>
      <c r="U772" s="10" t="str">
        <f>IFERROR(__xludf.DUMMYFUNCTION("IF(COUNTA(Q772:Q1350)=0,"""",IF(Q772="""",0,IF(REGEXMATCH(Q772,""^Sell_""),-ROUNDDOWN(ROUNDUP(INDEX(Upgrades!$C$3:$C$13,MATCH(SUBSTITUTE(Q772,""Sell_"",""""),Upgrades!$B$3:$B$13,0))*1.15^(COUNTIF(Q$4:Q771,SUBSTITUTE(Q772,""Sell_"",""""))-COUNTIF(Q$4:Q771,"&amp;"""Sell_""&amp;SUBSTITUTE(Q772,""Sell_"",""""))))/2),ROUNDUP(INDEX(Upgrades!$C$3:$C$13,MATCH(Q772,Upgrades!$B$3:$B$13,0))*1.15^(COUNTIF(Q$4:Q771,Q772)-COUNTIF(Q$4:Q771,""Sell_""&amp;Q772))))))"),"")</f>
        <v/>
      </c>
      <c r="V772" s="10" t="str">
        <f t="shared" si="11"/>
        <v/>
      </c>
      <c r="W772" s="68" t="str">
        <f t="shared" si="12"/>
        <v/>
      </c>
      <c r="X772" s="59" t="str">
        <f t="shared" si="13"/>
        <v/>
      </c>
      <c r="Y772" s="69" t="str">
        <f t="shared" si="14"/>
        <v/>
      </c>
      <c r="Z772" s="11"/>
    </row>
    <row r="773">
      <c r="A773" s="8"/>
      <c r="B773" s="56" t="str">
        <f t="shared" si="2"/>
        <v/>
      </c>
      <c r="C773" s="57"/>
      <c r="D773" s="10" t="str">
        <f>IFERROR(__xludf.DUMMYFUNCTION("IF(COUNTA(C773:C1350)=0,"""",IF(ISBLANK(C773),FALSE,IF(NOT(COUNTIF($AA$24:$AA$34,SUBSTITUTE(C773,""Sell_"",""""))),1,IF(REGEXMATCH(C773,""Sell_""),IF(COUNTIF(C$4:C773,SUBSTITUTE(C773,""Sell_"",""""))-COUNTIF(C$4:C772,C773)&lt;1,1),FALSE))))"),"")</f>
        <v/>
      </c>
      <c r="E773" s="59" t="str">
        <f t="array" ref="E773">IF(COUNTA(C773:C1350)=0,"",SUM((COUNTIF(C$4:C773,Upgrades!$B$3:$B$13)-COUNTIF(C$4:C773,"Sell_"&amp;Upgrades!$B$3:$B$13))*Upgrades!$D$3:$D$13))</f>
        <v/>
      </c>
      <c r="F773" s="66" t="str">
        <f>IFERROR(__xludf.DUMMYFUNCTION("IF(COUNTA(C773:C1350)=0,"""",IF(REGEXMATCH(INDEX(FILTER(C$4:C773,C$4:C773&lt;&gt;""""),ROWS(FILTER(C$4:C773,C$4:C773&lt;&gt;""""))),""^Sell_""),INDEX(FILTER(F$4:F772,C$4:C772&lt;&gt;""""),ROWS(FILTER(C$4:C772,C$4:C772&lt;&gt;""""))),$AC$5+E773))"),"")</f>
        <v/>
      </c>
      <c r="G773" s="10" t="str">
        <f>IFERROR(__xludf.DUMMYFUNCTION("IF(COUNTA(C773:C1350)=0,"""",IF(C773="""",0,IF(REGEXMATCH(C773,""^Sell_""),-ROUNDDOWN(ROUNDUP(INDEX(Upgrades!$C$3:$C$13,MATCH(SUBSTITUTE(C773,""Sell_"",""""),Upgrades!$B$3:$B$13,0))*1.15^(COUNTIF(C$4:C772,SUBSTITUTE(C773,""Sell_"",""""))-COUNTIF(C$4:C772,"&amp;"""Sell_""&amp;SUBSTITUTE(C773,""Sell_"",""""))))/2),ROUNDUP(INDEX(Upgrades!$C$3:$C$13,MATCH(C773,Upgrades!$B$3:$B$13,0))*1.15^(COUNTIF(C$4:C772,C773)-COUNTIF(C$4:C772,""Sell_""&amp;C773))))))"),"")</f>
        <v/>
      </c>
      <c r="H773" s="10" t="str">
        <f t="shared" si="3"/>
        <v/>
      </c>
      <c r="I773" s="68" t="str">
        <f t="shared" si="4"/>
        <v/>
      </c>
      <c r="J773" s="59" t="str">
        <f t="shared" si="5"/>
        <v/>
      </c>
      <c r="K773" s="69" t="str">
        <f t="shared" si="6"/>
        <v/>
      </c>
      <c r="L773" s="60" t="str">
        <f t="shared" si="7"/>
        <v/>
      </c>
      <c r="M773" s="61" t="str">
        <f>IFERROR(__xludf.DUMMYFUNCTION("IFS(AND(COUNTA(C773:C1350)=0,COUNTA(Q773:Q1350)=0),"""",OR(AND(K773&gt;=1000000000,OR(Y773&gt;=1000000000,COUNTA(Q773:Q1350)=0)),OR(Y773&gt;=1000000000,AND(COUNTA(C773:C1350)=0,P$3=TRUE))),
ROUNDDOWN((AB$1-AC$1)*MAX(INDEX(T$4:T1350,MATCH(LARGE(FILTER(Y$4:Y1350,Y$4"&amp;":Y1350&lt;1000000000),1),Y$4:Y1350)),INDEX(F$4:F1350,MATCH(LARGE(FILTER(K$4:K1350,K$4:K1350&lt;1000000000),1),K$4:K1350)))),AND(K773&lt;1000000000,COUNTA(C773:C1350)&gt;0,P$3=FALSE),
ROUNDDOWN(INDEX(Y$4:Y1350,MATCH(LARGE(FILTER(W$4:W1350,W$4:W1350&lt;=I773),1),W$4:W1350"&amp;"))+(I773-LARGE(FILTER(W$4:W1350,W$4:W1350&lt;=I773),1))*INDEX(T$4:T1350,MATCH(LARGE(FILTER(W$4:W1350,W$4:W1350&lt;=I773),1),W$4:W1350))-K773),1,
ROUNDDOWN(Y773-INDEX(K$4:K1350,MATCH(LARGE(FILTER(I$4:I1350,I$4:I1350&lt;=W773),1),I$4:I1350))-(W773-LARGE(FILTER(I$4:I"&amp;"1350,I$4:I1350&lt;=W773),1))*INDEX(F$4:F1350,MATCH(LARGE(FILTER(I$4:I1350,I$4:I1350&lt;=W773),1),I$4:I1350))))"),"")</f>
        <v/>
      </c>
      <c r="N773" s="60" t="str">
        <f t="shared" si="8"/>
        <v/>
      </c>
      <c r="O773" s="61" t="str">
        <f t="shared" si="9"/>
        <v/>
      </c>
      <c r="P773" s="56" t="str">
        <f t="shared" si="10"/>
        <v/>
      </c>
      <c r="Q773" s="62"/>
      <c r="R773" s="10" t="str">
        <f>IFERROR(__xludf.DUMMYFUNCTION("IF(COUNTA(Q773:Q1350)=0,"""",IF(ISBLANK(Q773),FALSE,IF(NOT(COUNTIF($AA$24:$AA$34,SUBSTITUTE(Q773,""Sell_"",""""))),1,IF(REGEXMATCH(Q773,""Sell_""),IF(COUNTIF(Q$4:Q773,SUBSTITUTE(Q773,""Sell_"",""""))-COUNTIF(Q$4:Q772,Q773)&lt;1,1),FALSE))))"),"")</f>
        <v/>
      </c>
      <c r="S773" s="59" t="str">
        <f t="array" ref="S773">IF(COUNTA(Q773:Q1350)=0,"",SUM((COUNTIF(Q$4:Q773,Upgrades!$B$3:$B$13)-COUNTIF(Q$4:Q773,"Sell_"&amp;Upgrades!$B$3:$B$13))*Upgrades!$D$3:$D$13))</f>
        <v/>
      </c>
      <c r="T773" s="66" t="str">
        <f>IFERROR(__xludf.DUMMYFUNCTION("IF(COUNTA(Q773:Q1350)=0,"""",IF(REGEXMATCH(INDEX(FILTER(Q$4:Q773,Q$4:Q773&lt;&gt;""""),ROWS(FILTER(Q$4:Q773,Q$4:Q773&lt;&gt;""""))),""^Sell_""),INDEX(FILTER(T$4:T772,Q$4:Q772&lt;&gt;""""),ROWS(FILTER(Q$4:Q772,Q$4:Q772&lt;&gt;""""))),$AD$5+S773))"),"")</f>
        <v/>
      </c>
      <c r="U773" s="10" t="str">
        <f>IFERROR(__xludf.DUMMYFUNCTION("IF(COUNTA(Q773:Q1350)=0,"""",IF(Q773="""",0,IF(REGEXMATCH(Q773,""^Sell_""),-ROUNDDOWN(ROUNDUP(INDEX(Upgrades!$C$3:$C$13,MATCH(SUBSTITUTE(Q773,""Sell_"",""""),Upgrades!$B$3:$B$13,0))*1.15^(COUNTIF(Q$4:Q772,SUBSTITUTE(Q773,""Sell_"",""""))-COUNTIF(Q$4:Q772,"&amp;"""Sell_""&amp;SUBSTITUTE(Q773,""Sell_"",""""))))/2),ROUNDUP(INDEX(Upgrades!$C$3:$C$13,MATCH(Q773,Upgrades!$B$3:$B$13,0))*1.15^(COUNTIF(Q$4:Q772,Q773)-COUNTIF(Q$4:Q772,""Sell_""&amp;Q773))))))"),"")</f>
        <v/>
      </c>
      <c r="V773" s="10" t="str">
        <f t="shared" si="11"/>
        <v/>
      </c>
      <c r="W773" s="68" t="str">
        <f t="shared" si="12"/>
        <v/>
      </c>
      <c r="X773" s="59" t="str">
        <f t="shared" si="13"/>
        <v/>
      </c>
      <c r="Y773" s="69" t="str">
        <f t="shared" si="14"/>
        <v/>
      </c>
      <c r="Z773" s="11"/>
    </row>
    <row r="774">
      <c r="A774" s="8"/>
      <c r="B774" s="56" t="str">
        <f t="shared" si="2"/>
        <v/>
      </c>
      <c r="C774" s="57"/>
      <c r="D774" s="10" t="str">
        <f>IFERROR(__xludf.DUMMYFUNCTION("IF(COUNTA(C774:C1350)=0,"""",IF(ISBLANK(C774),FALSE,IF(NOT(COUNTIF($AA$24:$AA$34,SUBSTITUTE(C774,""Sell_"",""""))),1,IF(REGEXMATCH(C774,""Sell_""),IF(COUNTIF(C$4:C774,SUBSTITUTE(C774,""Sell_"",""""))-COUNTIF(C$4:C773,C774)&lt;1,1),FALSE))))"),"")</f>
        <v/>
      </c>
      <c r="E774" s="59" t="str">
        <f t="array" ref="E774">IF(COUNTA(C774:C1350)=0,"",SUM((COUNTIF(C$4:C774,Upgrades!$B$3:$B$13)-COUNTIF(C$4:C774,"Sell_"&amp;Upgrades!$B$3:$B$13))*Upgrades!$D$3:$D$13))</f>
        <v/>
      </c>
      <c r="F774" s="66" t="str">
        <f>IFERROR(__xludf.DUMMYFUNCTION("IF(COUNTA(C774:C1350)=0,"""",IF(REGEXMATCH(INDEX(FILTER(C$4:C774,C$4:C774&lt;&gt;""""),ROWS(FILTER(C$4:C774,C$4:C774&lt;&gt;""""))),""^Sell_""),INDEX(FILTER(F$4:F773,C$4:C773&lt;&gt;""""),ROWS(FILTER(C$4:C773,C$4:C773&lt;&gt;""""))),$AC$5+E774))"),"")</f>
        <v/>
      </c>
      <c r="G774" s="10" t="str">
        <f>IFERROR(__xludf.DUMMYFUNCTION("IF(COUNTA(C774:C1350)=0,"""",IF(C774="""",0,IF(REGEXMATCH(C774,""^Sell_""),-ROUNDDOWN(ROUNDUP(INDEX(Upgrades!$C$3:$C$13,MATCH(SUBSTITUTE(C774,""Sell_"",""""),Upgrades!$B$3:$B$13,0))*1.15^(COUNTIF(C$4:C773,SUBSTITUTE(C774,""Sell_"",""""))-COUNTIF(C$4:C773,"&amp;"""Sell_""&amp;SUBSTITUTE(C774,""Sell_"",""""))))/2),ROUNDUP(INDEX(Upgrades!$C$3:$C$13,MATCH(C774,Upgrades!$B$3:$B$13,0))*1.15^(COUNTIF(C$4:C773,C774)-COUNTIF(C$4:C773,""Sell_""&amp;C774))))))"),"")</f>
        <v/>
      </c>
      <c r="H774" s="10" t="str">
        <f t="shared" si="3"/>
        <v/>
      </c>
      <c r="I774" s="68" t="str">
        <f t="shared" si="4"/>
        <v/>
      </c>
      <c r="J774" s="59" t="str">
        <f t="shared" si="5"/>
        <v/>
      </c>
      <c r="K774" s="69" t="str">
        <f t="shared" si="6"/>
        <v/>
      </c>
      <c r="L774" s="60" t="str">
        <f t="shared" si="7"/>
        <v/>
      </c>
      <c r="M774" s="61" t="str">
        <f>IFERROR(__xludf.DUMMYFUNCTION("IFS(AND(COUNTA(C774:C1350)=0,COUNTA(Q774:Q1350)=0),"""",OR(AND(K774&gt;=1000000000,OR(Y774&gt;=1000000000,COUNTA(Q774:Q1350)=0)),OR(Y774&gt;=1000000000,AND(COUNTA(C774:C1350)=0,P$3=TRUE))),
ROUNDDOWN((AB$1-AC$1)*MAX(INDEX(T$4:T1350,MATCH(LARGE(FILTER(Y$4:Y1350,Y$4"&amp;":Y1350&lt;1000000000),1),Y$4:Y1350)),INDEX(F$4:F1350,MATCH(LARGE(FILTER(K$4:K1350,K$4:K1350&lt;1000000000),1),K$4:K1350)))),AND(K774&lt;1000000000,COUNTA(C774:C1350)&gt;0,P$3=FALSE),
ROUNDDOWN(INDEX(Y$4:Y1350,MATCH(LARGE(FILTER(W$4:W1350,W$4:W1350&lt;=I774),1),W$4:W1350"&amp;"))+(I774-LARGE(FILTER(W$4:W1350,W$4:W1350&lt;=I774),1))*INDEX(T$4:T1350,MATCH(LARGE(FILTER(W$4:W1350,W$4:W1350&lt;=I774),1),W$4:W1350))-K774),1,
ROUNDDOWN(Y774-INDEX(K$4:K1350,MATCH(LARGE(FILTER(I$4:I1350,I$4:I1350&lt;=W774),1),I$4:I1350))-(W774-LARGE(FILTER(I$4:I"&amp;"1350,I$4:I1350&lt;=W774),1))*INDEX(F$4:F1350,MATCH(LARGE(FILTER(I$4:I1350,I$4:I1350&lt;=W774),1),I$4:I1350))))"),"")</f>
        <v/>
      </c>
      <c r="N774" s="60" t="str">
        <f t="shared" si="8"/>
        <v/>
      </c>
      <c r="O774" s="61" t="str">
        <f t="shared" si="9"/>
        <v/>
      </c>
      <c r="P774" s="56" t="str">
        <f t="shared" si="10"/>
        <v/>
      </c>
      <c r="Q774" s="62"/>
      <c r="R774" s="10" t="str">
        <f>IFERROR(__xludf.DUMMYFUNCTION("IF(COUNTA(Q774:Q1350)=0,"""",IF(ISBLANK(Q774),FALSE,IF(NOT(COUNTIF($AA$24:$AA$34,SUBSTITUTE(Q774,""Sell_"",""""))),1,IF(REGEXMATCH(Q774,""Sell_""),IF(COUNTIF(Q$4:Q774,SUBSTITUTE(Q774,""Sell_"",""""))-COUNTIF(Q$4:Q773,Q774)&lt;1,1),FALSE))))"),"")</f>
        <v/>
      </c>
      <c r="S774" s="59" t="str">
        <f t="array" ref="S774">IF(COUNTA(Q774:Q1350)=0,"",SUM((COUNTIF(Q$4:Q774,Upgrades!$B$3:$B$13)-COUNTIF(Q$4:Q774,"Sell_"&amp;Upgrades!$B$3:$B$13))*Upgrades!$D$3:$D$13))</f>
        <v/>
      </c>
      <c r="T774" s="66" t="str">
        <f>IFERROR(__xludf.DUMMYFUNCTION("IF(COUNTA(Q774:Q1350)=0,"""",IF(REGEXMATCH(INDEX(FILTER(Q$4:Q774,Q$4:Q774&lt;&gt;""""),ROWS(FILTER(Q$4:Q774,Q$4:Q774&lt;&gt;""""))),""^Sell_""),INDEX(FILTER(T$4:T773,Q$4:Q773&lt;&gt;""""),ROWS(FILTER(Q$4:Q773,Q$4:Q773&lt;&gt;""""))),$AD$5+S774))"),"")</f>
        <v/>
      </c>
      <c r="U774" s="10" t="str">
        <f>IFERROR(__xludf.DUMMYFUNCTION("IF(COUNTA(Q774:Q1350)=0,"""",IF(Q774="""",0,IF(REGEXMATCH(Q774,""^Sell_""),-ROUNDDOWN(ROUNDUP(INDEX(Upgrades!$C$3:$C$13,MATCH(SUBSTITUTE(Q774,""Sell_"",""""),Upgrades!$B$3:$B$13,0))*1.15^(COUNTIF(Q$4:Q773,SUBSTITUTE(Q774,""Sell_"",""""))-COUNTIF(Q$4:Q773,"&amp;"""Sell_""&amp;SUBSTITUTE(Q774,""Sell_"",""""))))/2),ROUNDUP(INDEX(Upgrades!$C$3:$C$13,MATCH(Q774,Upgrades!$B$3:$B$13,0))*1.15^(COUNTIF(Q$4:Q773,Q774)-COUNTIF(Q$4:Q773,""Sell_""&amp;Q774))))))"),"")</f>
        <v/>
      </c>
      <c r="V774" s="10" t="str">
        <f t="shared" si="11"/>
        <v/>
      </c>
      <c r="W774" s="68" t="str">
        <f t="shared" si="12"/>
        <v/>
      </c>
      <c r="X774" s="59" t="str">
        <f t="shared" si="13"/>
        <v/>
      </c>
      <c r="Y774" s="69" t="str">
        <f t="shared" si="14"/>
        <v/>
      </c>
      <c r="Z774" s="11"/>
    </row>
    <row r="775">
      <c r="A775" s="8"/>
      <c r="B775" s="56" t="str">
        <f t="shared" si="2"/>
        <v/>
      </c>
      <c r="C775" s="57"/>
      <c r="D775" s="10" t="str">
        <f>IFERROR(__xludf.DUMMYFUNCTION("IF(COUNTA(C775:C1350)=0,"""",IF(ISBLANK(C775),FALSE,IF(NOT(COUNTIF($AA$24:$AA$34,SUBSTITUTE(C775,""Sell_"",""""))),1,IF(REGEXMATCH(C775,""Sell_""),IF(COUNTIF(C$4:C775,SUBSTITUTE(C775,""Sell_"",""""))-COUNTIF(C$4:C774,C775)&lt;1,1),FALSE))))"),"")</f>
        <v/>
      </c>
      <c r="E775" s="59" t="str">
        <f t="array" ref="E775">IF(COUNTA(C775:C1350)=0,"",SUM((COUNTIF(C$4:C775,Upgrades!$B$3:$B$13)-COUNTIF(C$4:C775,"Sell_"&amp;Upgrades!$B$3:$B$13))*Upgrades!$D$3:$D$13))</f>
        <v/>
      </c>
      <c r="F775" s="66" t="str">
        <f>IFERROR(__xludf.DUMMYFUNCTION("IF(COUNTA(C775:C1350)=0,"""",IF(REGEXMATCH(INDEX(FILTER(C$4:C775,C$4:C775&lt;&gt;""""),ROWS(FILTER(C$4:C775,C$4:C775&lt;&gt;""""))),""^Sell_""),INDEX(FILTER(F$4:F774,C$4:C774&lt;&gt;""""),ROWS(FILTER(C$4:C774,C$4:C774&lt;&gt;""""))),$AC$5+E775))"),"")</f>
        <v/>
      </c>
      <c r="G775" s="10" t="str">
        <f>IFERROR(__xludf.DUMMYFUNCTION("IF(COUNTA(C775:C1350)=0,"""",IF(C775="""",0,IF(REGEXMATCH(C775,""^Sell_""),-ROUNDDOWN(ROUNDUP(INDEX(Upgrades!$C$3:$C$13,MATCH(SUBSTITUTE(C775,""Sell_"",""""),Upgrades!$B$3:$B$13,0))*1.15^(COUNTIF(C$4:C774,SUBSTITUTE(C775,""Sell_"",""""))-COUNTIF(C$4:C774,"&amp;"""Sell_""&amp;SUBSTITUTE(C775,""Sell_"",""""))))/2),ROUNDUP(INDEX(Upgrades!$C$3:$C$13,MATCH(C775,Upgrades!$B$3:$B$13,0))*1.15^(COUNTIF(C$4:C774,C775)-COUNTIF(C$4:C774,""Sell_""&amp;C775))))))"),"")</f>
        <v/>
      </c>
      <c r="H775" s="10" t="str">
        <f t="shared" si="3"/>
        <v/>
      </c>
      <c r="I775" s="68" t="str">
        <f t="shared" si="4"/>
        <v/>
      </c>
      <c r="J775" s="59" t="str">
        <f t="shared" si="5"/>
        <v/>
      </c>
      <c r="K775" s="69" t="str">
        <f t="shared" si="6"/>
        <v/>
      </c>
      <c r="L775" s="60" t="str">
        <f t="shared" si="7"/>
        <v/>
      </c>
      <c r="M775" s="61" t="str">
        <f>IFERROR(__xludf.DUMMYFUNCTION("IFS(AND(COUNTA(C775:C1350)=0,COUNTA(Q775:Q1350)=0),"""",OR(AND(K775&gt;=1000000000,OR(Y775&gt;=1000000000,COUNTA(Q775:Q1350)=0)),OR(Y775&gt;=1000000000,AND(COUNTA(C775:C1350)=0,P$3=TRUE))),
ROUNDDOWN((AB$1-AC$1)*MAX(INDEX(T$4:T1350,MATCH(LARGE(FILTER(Y$4:Y1350,Y$4"&amp;":Y1350&lt;1000000000),1),Y$4:Y1350)),INDEX(F$4:F1350,MATCH(LARGE(FILTER(K$4:K1350,K$4:K1350&lt;1000000000),1),K$4:K1350)))),AND(K775&lt;1000000000,COUNTA(C775:C1350)&gt;0,P$3=FALSE),
ROUNDDOWN(INDEX(Y$4:Y1350,MATCH(LARGE(FILTER(W$4:W1350,W$4:W1350&lt;=I775),1),W$4:W1350"&amp;"))+(I775-LARGE(FILTER(W$4:W1350,W$4:W1350&lt;=I775),1))*INDEX(T$4:T1350,MATCH(LARGE(FILTER(W$4:W1350,W$4:W1350&lt;=I775),1),W$4:W1350))-K775),1,
ROUNDDOWN(Y775-INDEX(K$4:K1350,MATCH(LARGE(FILTER(I$4:I1350,I$4:I1350&lt;=W775),1),I$4:I1350))-(W775-LARGE(FILTER(I$4:I"&amp;"1350,I$4:I1350&lt;=W775),1))*INDEX(F$4:F1350,MATCH(LARGE(FILTER(I$4:I1350,I$4:I1350&lt;=W775),1),I$4:I1350))))"),"")</f>
        <v/>
      </c>
      <c r="N775" s="60" t="str">
        <f t="shared" si="8"/>
        <v/>
      </c>
      <c r="O775" s="61" t="str">
        <f t="shared" si="9"/>
        <v/>
      </c>
      <c r="P775" s="56" t="str">
        <f t="shared" si="10"/>
        <v/>
      </c>
      <c r="Q775" s="62"/>
      <c r="R775" s="10" t="str">
        <f>IFERROR(__xludf.DUMMYFUNCTION("IF(COUNTA(Q775:Q1350)=0,"""",IF(ISBLANK(Q775),FALSE,IF(NOT(COUNTIF($AA$24:$AA$34,SUBSTITUTE(Q775,""Sell_"",""""))),1,IF(REGEXMATCH(Q775,""Sell_""),IF(COUNTIF(Q$4:Q775,SUBSTITUTE(Q775,""Sell_"",""""))-COUNTIF(Q$4:Q774,Q775)&lt;1,1),FALSE))))"),"")</f>
        <v/>
      </c>
      <c r="S775" s="59" t="str">
        <f t="array" ref="S775">IF(COUNTA(Q775:Q1350)=0,"",SUM((COUNTIF(Q$4:Q775,Upgrades!$B$3:$B$13)-COUNTIF(Q$4:Q775,"Sell_"&amp;Upgrades!$B$3:$B$13))*Upgrades!$D$3:$D$13))</f>
        <v/>
      </c>
      <c r="T775" s="66" t="str">
        <f>IFERROR(__xludf.DUMMYFUNCTION("IF(COUNTA(Q775:Q1350)=0,"""",IF(REGEXMATCH(INDEX(FILTER(Q$4:Q775,Q$4:Q775&lt;&gt;""""),ROWS(FILTER(Q$4:Q775,Q$4:Q775&lt;&gt;""""))),""^Sell_""),INDEX(FILTER(T$4:T774,Q$4:Q774&lt;&gt;""""),ROWS(FILTER(Q$4:Q774,Q$4:Q774&lt;&gt;""""))),$AD$5+S775))"),"")</f>
        <v/>
      </c>
      <c r="U775" s="10" t="str">
        <f>IFERROR(__xludf.DUMMYFUNCTION("IF(COUNTA(Q775:Q1350)=0,"""",IF(Q775="""",0,IF(REGEXMATCH(Q775,""^Sell_""),-ROUNDDOWN(ROUNDUP(INDEX(Upgrades!$C$3:$C$13,MATCH(SUBSTITUTE(Q775,""Sell_"",""""),Upgrades!$B$3:$B$13,0))*1.15^(COUNTIF(Q$4:Q774,SUBSTITUTE(Q775,""Sell_"",""""))-COUNTIF(Q$4:Q774,"&amp;"""Sell_""&amp;SUBSTITUTE(Q775,""Sell_"",""""))))/2),ROUNDUP(INDEX(Upgrades!$C$3:$C$13,MATCH(Q775,Upgrades!$B$3:$B$13,0))*1.15^(COUNTIF(Q$4:Q774,Q775)-COUNTIF(Q$4:Q774,""Sell_""&amp;Q775))))))"),"")</f>
        <v/>
      </c>
      <c r="V775" s="10" t="str">
        <f t="shared" si="11"/>
        <v/>
      </c>
      <c r="W775" s="68" t="str">
        <f t="shared" si="12"/>
        <v/>
      </c>
      <c r="X775" s="59" t="str">
        <f t="shared" si="13"/>
        <v/>
      </c>
      <c r="Y775" s="69" t="str">
        <f t="shared" si="14"/>
        <v/>
      </c>
      <c r="Z775" s="11"/>
    </row>
    <row r="776">
      <c r="A776" s="8"/>
      <c r="B776" s="56" t="str">
        <f t="shared" si="2"/>
        <v/>
      </c>
      <c r="C776" s="57"/>
      <c r="D776" s="10" t="str">
        <f>IFERROR(__xludf.DUMMYFUNCTION("IF(COUNTA(C776:C1350)=0,"""",IF(ISBLANK(C776),FALSE,IF(NOT(COUNTIF($AA$24:$AA$34,SUBSTITUTE(C776,""Sell_"",""""))),1,IF(REGEXMATCH(C776,""Sell_""),IF(COUNTIF(C$4:C776,SUBSTITUTE(C776,""Sell_"",""""))-COUNTIF(C$4:C775,C776)&lt;1,1),FALSE))))"),"")</f>
        <v/>
      </c>
      <c r="E776" s="59" t="str">
        <f t="array" ref="E776">IF(COUNTA(C776:C1350)=0,"",SUM((COUNTIF(C$4:C776,Upgrades!$B$3:$B$13)-COUNTIF(C$4:C776,"Sell_"&amp;Upgrades!$B$3:$B$13))*Upgrades!$D$3:$D$13))</f>
        <v/>
      </c>
      <c r="F776" s="66" t="str">
        <f>IFERROR(__xludf.DUMMYFUNCTION("IF(COUNTA(C776:C1350)=0,"""",IF(REGEXMATCH(INDEX(FILTER(C$4:C776,C$4:C776&lt;&gt;""""),ROWS(FILTER(C$4:C776,C$4:C776&lt;&gt;""""))),""^Sell_""),INDEX(FILTER(F$4:F775,C$4:C775&lt;&gt;""""),ROWS(FILTER(C$4:C775,C$4:C775&lt;&gt;""""))),$AC$5+E776))"),"")</f>
        <v/>
      </c>
      <c r="G776" s="10" t="str">
        <f>IFERROR(__xludf.DUMMYFUNCTION("IF(COUNTA(C776:C1350)=0,"""",IF(C776="""",0,IF(REGEXMATCH(C776,""^Sell_""),-ROUNDDOWN(ROUNDUP(INDEX(Upgrades!$C$3:$C$13,MATCH(SUBSTITUTE(C776,""Sell_"",""""),Upgrades!$B$3:$B$13,0))*1.15^(COUNTIF(C$4:C775,SUBSTITUTE(C776,""Sell_"",""""))-COUNTIF(C$4:C775,"&amp;"""Sell_""&amp;SUBSTITUTE(C776,""Sell_"",""""))))/2),ROUNDUP(INDEX(Upgrades!$C$3:$C$13,MATCH(C776,Upgrades!$B$3:$B$13,0))*1.15^(COUNTIF(C$4:C775,C776)-COUNTIF(C$4:C775,""Sell_""&amp;C776))))))"),"")</f>
        <v/>
      </c>
      <c r="H776" s="10" t="str">
        <f t="shared" si="3"/>
        <v/>
      </c>
      <c r="I776" s="68" t="str">
        <f t="shared" si="4"/>
        <v/>
      </c>
      <c r="J776" s="59" t="str">
        <f t="shared" si="5"/>
        <v/>
      </c>
      <c r="K776" s="69" t="str">
        <f t="shared" si="6"/>
        <v/>
      </c>
      <c r="L776" s="60" t="str">
        <f t="shared" si="7"/>
        <v/>
      </c>
      <c r="M776" s="61" t="str">
        <f>IFERROR(__xludf.DUMMYFUNCTION("IFS(AND(COUNTA(C776:C1350)=0,COUNTA(Q776:Q1350)=0),"""",OR(AND(K776&gt;=1000000000,OR(Y776&gt;=1000000000,COUNTA(Q776:Q1350)=0)),OR(Y776&gt;=1000000000,AND(COUNTA(C776:C1350)=0,P$3=TRUE))),
ROUNDDOWN((AB$1-AC$1)*MAX(INDEX(T$4:T1350,MATCH(LARGE(FILTER(Y$4:Y1350,Y$4"&amp;":Y1350&lt;1000000000),1),Y$4:Y1350)),INDEX(F$4:F1350,MATCH(LARGE(FILTER(K$4:K1350,K$4:K1350&lt;1000000000),1),K$4:K1350)))),AND(K776&lt;1000000000,COUNTA(C776:C1350)&gt;0,P$3=FALSE),
ROUNDDOWN(INDEX(Y$4:Y1350,MATCH(LARGE(FILTER(W$4:W1350,W$4:W1350&lt;=I776),1),W$4:W1350"&amp;"))+(I776-LARGE(FILTER(W$4:W1350,W$4:W1350&lt;=I776),1))*INDEX(T$4:T1350,MATCH(LARGE(FILTER(W$4:W1350,W$4:W1350&lt;=I776),1),W$4:W1350))-K776),1,
ROUNDDOWN(Y776-INDEX(K$4:K1350,MATCH(LARGE(FILTER(I$4:I1350,I$4:I1350&lt;=W776),1),I$4:I1350))-(W776-LARGE(FILTER(I$4:I"&amp;"1350,I$4:I1350&lt;=W776),1))*INDEX(F$4:F1350,MATCH(LARGE(FILTER(I$4:I1350,I$4:I1350&lt;=W776),1),I$4:I1350))))"),"")</f>
        <v/>
      </c>
      <c r="N776" s="60" t="str">
        <f t="shared" si="8"/>
        <v/>
      </c>
      <c r="O776" s="61" t="str">
        <f t="shared" si="9"/>
        <v/>
      </c>
      <c r="P776" s="56" t="str">
        <f t="shared" si="10"/>
        <v/>
      </c>
      <c r="Q776" s="62"/>
      <c r="R776" s="10" t="str">
        <f>IFERROR(__xludf.DUMMYFUNCTION("IF(COUNTA(Q776:Q1350)=0,"""",IF(ISBLANK(Q776),FALSE,IF(NOT(COUNTIF($AA$24:$AA$34,SUBSTITUTE(Q776,""Sell_"",""""))),1,IF(REGEXMATCH(Q776,""Sell_""),IF(COUNTIF(Q$4:Q776,SUBSTITUTE(Q776,""Sell_"",""""))-COUNTIF(Q$4:Q775,Q776)&lt;1,1),FALSE))))"),"")</f>
        <v/>
      </c>
      <c r="S776" s="59" t="str">
        <f t="array" ref="S776">IF(COUNTA(Q776:Q1350)=0,"",SUM((COUNTIF(Q$4:Q776,Upgrades!$B$3:$B$13)-COUNTIF(Q$4:Q776,"Sell_"&amp;Upgrades!$B$3:$B$13))*Upgrades!$D$3:$D$13))</f>
        <v/>
      </c>
      <c r="T776" s="66" t="str">
        <f>IFERROR(__xludf.DUMMYFUNCTION("IF(COUNTA(Q776:Q1350)=0,"""",IF(REGEXMATCH(INDEX(FILTER(Q$4:Q776,Q$4:Q776&lt;&gt;""""),ROWS(FILTER(Q$4:Q776,Q$4:Q776&lt;&gt;""""))),""^Sell_""),INDEX(FILTER(T$4:T775,Q$4:Q775&lt;&gt;""""),ROWS(FILTER(Q$4:Q775,Q$4:Q775&lt;&gt;""""))),$AD$5+S776))"),"")</f>
        <v/>
      </c>
      <c r="U776" s="10" t="str">
        <f>IFERROR(__xludf.DUMMYFUNCTION("IF(COUNTA(Q776:Q1350)=0,"""",IF(Q776="""",0,IF(REGEXMATCH(Q776,""^Sell_""),-ROUNDDOWN(ROUNDUP(INDEX(Upgrades!$C$3:$C$13,MATCH(SUBSTITUTE(Q776,""Sell_"",""""),Upgrades!$B$3:$B$13,0))*1.15^(COUNTIF(Q$4:Q775,SUBSTITUTE(Q776,""Sell_"",""""))-COUNTIF(Q$4:Q775,"&amp;"""Sell_""&amp;SUBSTITUTE(Q776,""Sell_"",""""))))/2),ROUNDUP(INDEX(Upgrades!$C$3:$C$13,MATCH(Q776,Upgrades!$B$3:$B$13,0))*1.15^(COUNTIF(Q$4:Q775,Q776)-COUNTIF(Q$4:Q775,""Sell_""&amp;Q776))))))"),"")</f>
        <v/>
      </c>
      <c r="V776" s="10" t="str">
        <f t="shared" si="11"/>
        <v/>
      </c>
      <c r="W776" s="68" t="str">
        <f t="shared" si="12"/>
        <v/>
      </c>
      <c r="X776" s="59" t="str">
        <f t="shared" si="13"/>
        <v/>
      </c>
      <c r="Y776" s="69" t="str">
        <f t="shared" si="14"/>
        <v/>
      </c>
      <c r="Z776" s="11"/>
    </row>
    <row r="777">
      <c r="A777" s="8"/>
      <c r="B777" s="56" t="str">
        <f t="shared" si="2"/>
        <v/>
      </c>
      <c r="C777" s="57"/>
      <c r="D777" s="10" t="str">
        <f>IFERROR(__xludf.DUMMYFUNCTION("IF(COUNTA(C777:C1350)=0,"""",IF(ISBLANK(C777),FALSE,IF(NOT(COUNTIF($AA$24:$AA$34,SUBSTITUTE(C777,""Sell_"",""""))),1,IF(REGEXMATCH(C777,""Sell_""),IF(COUNTIF(C$4:C777,SUBSTITUTE(C777,""Sell_"",""""))-COUNTIF(C$4:C776,C777)&lt;1,1),FALSE))))"),"")</f>
        <v/>
      </c>
      <c r="E777" s="59" t="str">
        <f t="array" ref="E777">IF(COUNTA(C777:C1350)=0,"",SUM((COUNTIF(C$4:C777,Upgrades!$B$3:$B$13)-COUNTIF(C$4:C777,"Sell_"&amp;Upgrades!$B$3:$B$13))*Upgrades!$D$3:$D$13))</f>
        <v/>
      </c>
      <c r="F777" s="66" t="str">
        <f>IFERROR(__xludf.DUMMYFUNCTION("IF(COUNTA(C777:C1350)=0,"""",IF(REGEXMATCH(INDEX(FILTER(C$4:C777,C$4:C777&lt;&gt;""""),ROWS(FILTER(C$4:C777,C$4:C777&lt;&gt;""""))),""^Sell_""),INDEX(FILTER(F$4:F776,C$4:C776&lt;&gt;""""),ROWS(FILTER(C$4:C776,C$4:C776&lt;&gt;""""))),$AC$5+E777))"),"")</f>
        <v/>
      </c>
      <c r="G777" s="10" t="str">
        <f>IFERROR(__xludf.DUMMYFUNCTION("IF(COUNTA(C777:C1350)=0,"""",IF(C777="""",0,IF(REGEXMATCH(C777,""^Sell_""),-ROUNDDOWN(ROUNDUP(INDEX(Upgrades!$C$3:$C$13,MATCH(SUBSTITUTE(C777,""Sell_"",""""),Upgrades!$B$3:$B$13,0))*1.15^(COUNTIF(C$4:C776,SUBSTITUTE(C777,""Sell_"",""""))-COUNTIF(C$4:C776,"&amp;"""Sell_""&amp;SUBSTITUTE(C777,""Sell_"",""""))))/2),ROUNDUP(INDEX(Upgrades!$C$3:$C$13,MATCH(C777,Upgrades!$B$3:$B$13,0))*1.15^(COUNTIF(C$4:C776,C777)-COUNTIF(C$4:C776,""Sell_""&amp;C777))))))"),"")</f>
        <v/>
      </c>
      <c r="H777" s="10" t="str">
        <f t="shared" si="3"/>
        <v/>
      </c>
      <c r="I777" s="68" t="str">
        <f t="shared" si="4"/>
        <v/>
      </c>
      <c r="J777" s="59" t="str">
        <f t="shared" si="5"/>
        <v/>
      </c>
      <c r="K777" s="69" t="str">
        <f t="shared" si="6"/>
        <v/>
      </c>
      <c r="L777" s="60" t="str">
        <f t="shared" si="7"/>
        <v/>
      </c>
      <c r="M777" s="61" t="str">
        <f>IFERROR(__xludf.DUMMYFUNCTION("IFS(AND(COUNTA(C777:C1350)=0,COUNTA(Q777:Q1350)=0),"""",OR(AND(K777&gt;=1000000000,OR(Y777&gt;=1000000000,COUNTA(Q777:Q1350)=0)),OR(Y777&gt;=1000000000,AND(COUNTA(C777:C1350)=0,P$3=TRUE))),
ROUNDDOWN((AB$1-AC$1)*MAX(INDEX(T$4:T1350,MATCH(LARGE(FILTER(Y$4:Y1350,Y$4"&amp;":Y1350&lt;1000000000),1),Y$4:Y1350)),INDEX(F$4:F1350,MATCH(LARGE(FILTER(K$4:K1350,K$4:K1350&lt;1000000000),1),K$4:K1350)))),AND(K777&lt;1000000000,COUNTA(C777:C1350)&gt;0,P$3=FALSE),
ROUNDDOWN(INDEX(Y$4:Y1350,MATCH(LARGE(FILTER(W$4:W1350,W$4:W1350&lt;=I777),1),W$4:W1350"&amp;"))+(I777-LARGE(FILTER(W$4:W1350,W$4:W1350&lt;=I777),1))*INDEX(T$4:T1350,MATCH(LARGE(FILTER(W$4:W1350,W$4:W1350&lt;=I777),1),W$4:W1350))-K777),1,
ROUNDDOWN(Y777-INDEX(K$4:K1350,MATCH(LARGE(FILTER(I$4:I1350,I$4:I1350&lt;=W777),1),I$4:I1350))-(W777-LARGE(FILTER(I$4:I"&amp;"1350,I$4:I1350&lt;=W777),1))*INDEX(F$4:F1350,MATCH(LARGE(FILTER(I$4:I1350,I$4:I1350&lt;=W777),1),I$4:I1350))))"),"")</f>
        <v/>
      </c>
      <c r="N777" s="60" t="str">
        <f t="shared" si="8"/>
        <v/>
      </c>
      <c r="O777" s="61" t="str">
        <f t="shared" si="9"/>
        <v/>
      </c>
      <c r="P777" s="56" t="str">
        <f t="shared" si="10"/>
        <v/>
      </c>
      <c r="Q777" s="62"/>
      <c r="R777" s="10" t="str">
        <f>IFERROR(__xludf.DUMMYFUNCTION("IF(COUNTA(Q777:Q1350)=0,"""",IF(ISBLANK(Q777),FALSE,IF(NOT(COUNTIF($AA$24:$AA$34,SUBSTITUTE(Q777,""Sell_"",""""))),1,IF(REGEXMATCH(Q777,""Sell_""),IF(COUNTIF(Q$4:Q777,SUBSTITUTE(Q777,""Sell_"",""""))-COUNTIF(Q$4:Q776,Q777)&lt;1,1),FALSE))))"),"")</f>
        <v/>
      </c>
      <c r="S777" s="59" t="str">
        <f t="array" ref="S777">IF(COUNTA(Q777:Q1350)=0,"",SUM((COUNTIF(Q$4:Q777,Upgrades!$B$3:$B$13)-COUNTIF(Q$4:Q777,"Sell_"&amp;Upgrades!$B$3:$B$13))*Upgrades!$D$3:$D$13))</f>
        <v/>
      </c>
      <c r="T777" s="66" t="str">
        <f>IFERROR(__xludf.DUMMYFUNCTION("IF(COUNTA(Q777:Q1350)=0,"""",IF(REGEXMATCH(INDEX(FILTER(Q$4:Q777,Q$4:Q777&lt;&gt;""""),ROWS(FILTER(Q$4:Q777,Q$4:Q777&lt;&gt;""""))),""^Sell_""),INDEX(FILTER(T$4:T776,Q$4:Q776&lt;&gt;""""),ROWS(FILTER(Q$4:Q776,Q$4:Q776&lt;&gt;""""))),$AD$5+S777))"),"")</f>
        <v/>
      </c>
      <c r="U777" s="10" t="str">
        <f>IFERROR(__xludf.DUMMYFUNCTION("IF(COUNTA(Q777:Q1350)=0,"""",IF(Q777="""",0,IF(REGEXMATCH(Q777,""^Sell_""),-ROUNDDOWN(ROUNDUP(INDEX(Upgrades!$C$3:$C$13,MATCH(SUBSTITUTE(Q777,""Sell_"",""""),Upgrades!$B$3:$B$13,0))*1.15^(COUNTIF(Q$4:Q776,SUBSTITUTE(Q777,""Sell_"",""""))-COUNTIF(Q$4:Q776,"&amp;"""Sell_""&amp;SUBSTITUTE(Q777,""Sell_"",""""))))/2),ROUNDUP(INDEX(Upgrades!$C$3:$C$13,MATCH(Q777,Upgrades!$B$3:$B$13,0))*1.15^(COUNTIF(Q$4:Q776,Q777)-COUNTIF(Q$4:Q776,""Sell_""&amp;Q777))))))"),"")</f>
        <v/>
      </c>
      <c r="V777" s="10" t="str">
        <f t="shared" si="11"/>
        <v/>
      </c>
      <c r="W777" s="68" t="str">
        <f t="shared" si="12"/>
        <v/>
      </c>
      <c r="X777" s="59" t="str">
        <f t="shared" si="13"/>
        <v/>
      </c>
      <c r="Y777" s="69" t="str">
        <f t="shared" si="14"/>
        <v/>
      </c>
      <c r="Z777" s="11"/>
    </row>
    <row r="778">
      <c r="A778" s="8"/>
      <c r="B778" s="56" t="str">
        <f t="shared" si="2"/>
        <v/>
      </c>
      <c r="C778" s="57"/>
      <c r="D778" s="10" t="str">
        <f>IFERROR(__xludf.DUMMYFUNCTION("IF(COUNTA(C778:C1350)=0,"""",IF(ISBLANK(C778),FALSE,IF(NOT(COUNTIF($AA$24:$AA$34,SUBSTITUTE(C778,""Sell_"",""""))),1,IF(REGEXMATCH(C778,""Sell_""),IF(COUNTIF(C$4:C778,SUBSTITUTE(C778,""Sell_"",""""))-COUNTIF(C$4:C777,C778)&lt;1,1),FALSE))))"),"")</f>
        <v/>
      </c>
      <c r="E778" s="59" t="str">
        <f t="array" ref="E778">IF(COUNTA(C778:C1350)=0,"",SUM((COUNTIF(C$4:C778,Upgrades!$B$3:$B$13)-COUNTIF(C$4:C778,"Sell_"&amp;Upgrades!$B$3:$B$13))*Upgrades!$D$3:$D$13))</f>
        <v/>
      </c>
      <c r="F778" s="66" t="str">
        <f>IFERROR(__xludf.DUMMYFUNCTION("IF(COUNTA(C778:C1350)=0,"""",IF(REGEXMATCH(INDEX(FILTER(C$4:C778,C$4:C778&lt;&gt;""""),ROWS(FILTER(C$4:C778,C$4:C778&lt;&gt;""""))),""^Sell_""),INDEX(FILTER(F$4:F777,C$4:C777&lt;&gt;""""),ROWS(FILTER(C$4:C777,C$4:C777&lt;&gt;""""))),$AC$5+E778))"),"")</f>
        <v/>
      </c>
      <c r="G778" s="10" t="str">
        <f>IFERROR(__xludf.DUMMYFUNCTION("IF(COUNTA(C778:C1350)=0,"""",IF(C778="""",0,IF(REGEXMATCH(C778,""^Sell_""),-ROUNDDOWN(ROUNDUP(INDEX(Upgrades!$C$3:$C$13,MATCH(SUBSTITUTE(C778,""Sell_"",""""),Upgrades!$B$3:$B$13,0))*1.15^(COUNTIF(C$4:C777,SUBSTITUTE(C778,""Sell_"",""""))-COUNTIF(C$4:C777,"&amp;"""Sell_""&amp;SUBSTITUTE(C778,""Sell_"",""""))))/2),ROUNDUP(INDEX(Upgrades!$C$3:$C$13,MATCH(C778,Upgrades!$B$3:$B$13,0))*1.15^(COUNTIF(C$4:C777,C778)-COUNTIF(C$4:C777,""Sell_""&amp;C778))))))"),"")</f>
        <v/>
      </c>
      <c r="H778" s="10" t="str">
        <f t="shared" si="3"/>
        <v/>
      </c>
      <c r="I778" s="68" t="str">
        <f t="shared" si="4"/>
        <v/>
      </c>
      <c r="J778" s="59" t="str">
        <f t="shared" si="5"/>
        <v/>
      </c>
      <c r="K778" s="69" t="str">
        <f t="shared" si="6"/>
        <v/>
      </c>
      <c r="L778" s="60" t="str">
        <f t="shared" si="7"/>
        <v/>
      </c>
      <c r="M778" s="61" t="str">
        <f>IFERROR(__xludf.DUMMYFUNCTION("IFS(AND(COUNTA(C778:C1350)=0,COUNTA(Q778:Q1350)=0),"""",OR(AND(K778&gt;=1000000000,OR(Y778&gt;=1000000000,COUNTA(Q778:Q1350)=0)),OR(Y778&gt;=1000000000,AND(COUNTA(C778:C1350)=0,P$3=TRUE))),
ROUNDDOWN((AB$1-AC$1)*MAX(INDEX(T$4:T1350,MATCH(LARGE(FILTER(Y$4:Y1350,Y$4"&amp;":Y1350&lt;1000000000),1),Y$4:Y1350)),INDEX(F$4:F1350,MATCH(LARGE(FILTER(K$4:K1350,K$4:K1350&lt;1000000000),1),K$4:K1350)))),AND(K778&lt;1000000000,COUNTA(C778:C1350)&gt;0,P$3=FALSE),
ROUNDDOWN(INDEX(Y$4:Y1350,MATCH(LARGE(FILTER(W$4:W1350,W$4:W1350&lt;=I778),1),W$4:W1350"&amp;"))+(I778-LARGE(FILTER(W$4:W1350,W$4:W1350&lt;=I778),1))*INDEX(T$4:T1350,MATCH(LARGE(FILTER(W$4:W1350,W$4:W1350&lt;=I778),1),W$4:W1350))-K778),1,
ROUNDDOWN(Y778-INDEX(K$4:K1350,MATCH(LARGE(FILTER(I$4:I1350,I$4:I1350&lt;=W778),1),I$4:I1350))-(W778-LARGE(FILTER(I$4:I"&amp;"1350,I$4:I1350&lt;=W778),1))*INDEX(F$4:F1350,MATCH(LARGE(FILTER(I$4:I1350,I$4:I1350&lt;=W778),1),I$4:I1350))))"),"")</f>
        <v/>
      </c>
      <c r="N778" s="60" t="str">
        <f t="shared" si="8"/>
        <v/>
      </c>
      <c r="O778" s="61" t="str">
        <f t="shared" si="9"/>
        <v/>
      </c>
      <c r="P778" s="56" t="str">
        <f t="shared" si="10"/>
        <v/>
      </c>
      <c r="Q778" s="62"/>
      <c r="R778" s="10" t="str">
        <f>IFERROR(__xludf.DUMMYFUNCTION("IF(COUNTA(Q778:Q1350)=0,"""",IF(ISBLANK(Q778),FALSE,IF(NOT(COUNTIF($AA$24:$AA$34,SUBSTITUTE(Q778,""Sell_"",""""))),1,IF(REGEXMATCH(Q778,""Sell_""),IF(COUNTIF(Q$4:Q778,SUBSTITUTE(Q778,""Sell_"",""""))-COUNTIF(Q$4:Q777,Q778)&lt;1,1),FALSE))))"),"")</f>
        <v/>
      </c>
      <c r="S778" s="59" t="str">
        <f t="array" ref="S778">IF(COUNTA(Q778:Q1350)=0,"",SUM((COUNTIF(Q$4:Q778,Upgrades!$B$3:$B$13)-COUNTIF(Q$4:Q778,"Sell_"&amp;Upgrades!$B$3:$B$13))*Upgrades!$D$3:$D$13))</f>
        <v/>
      </c>
      <c r="T778" s="66" t="str">
        <f>IFERROR(__xludf.DUMMYFUNCTION("IF(COUNTA(Q778:Q1350)=0,"""",IF(REGEXMATCH(INDEX(FILTER(Q$4:Q778,Q$4:Q778&lt;&gt;""""),ROWS(FILTER(Q$4:Q778,Q$4:Q778&lt;&gt;""""))),""^Sell_""),INDEX(FILTER(T$4:T777,Q$4:Q777&lt;&gt;""""),ROWS(FILTER(Q$4:Q777,Q$4:Q777&lt;&gt;""""))),$AD$5+S778))"),"")</f>
        <v/>
      </c>
      <c r="U778" s="10" t="str">
        <f>IFERROR(__xludf.DUMMYFUNCTION("IF(COUNTA(Q778:Q1350)=0,"""",IF(Q778="""",0,IF(REGEXMATCH(Q778,""^Sell_""),-ROUNDDOWN(ROUNDUP(INDEX(Upgrades!$C$3:$C$13,MATCH(SUBSTITUTE(Q778,""Sell_"",""""),Upgrades!$B$3:$B$13,0))*1.15^(COUNTIF(Q$4:Q777,SUBSTITUTE(Q778,""Sell_"",""""))-COUNTIF(Q$4:Q777,"&amp;"""Sell_""&amp;SUBSTITUTE(Q778,""Sell_"",""""))))/2),ROUNDUP(INDEX(Upgrades!$C$3:$C$13,MATCH(Q778,Upgrades!$B$3:$B$13,0))*1.15^(COUNTIF(Q$4:Q777,Q778)-COUNTIF(Q$4:Q777,""Sell_""&amp;Q778))))))"),"")</f>
        <v/>
      </c>
      <c r="V778" s="10" t="str">
        <f t="shared" si="11"/>
        <v/>
      </c>
      <c r="W778" s="68" t="str">
        <f t="shared" si="12"/>
        <v/>
      </c>
      <c r="X778" s="59" t="str">
        <f t="shared" si="13"/>
        <v/>
      </c>
      <c r="Y778" s="69" t="str">
        <f t="shared" si="14"/>
        <v/>
      </c>
      <c r="Z778" s="11"/>
    </row>
    <row r="779">
      <c r="A779" s="8"/>
      <c r="B779" s="56" t="str">
        <f t="shared" si="2"/>
        <v/>
      </c>
      <c r="C779" s="57"/>
      <c r="D779" s="10" t="str">
        <f>IFERROR(__xludf.DUMMYFUNCTION("IF(COUNTA(C779:C1350)=0,"""",IF(ISBLANK(C779),FALSE,IF(NOT(COUNTIF($AA$24:$AA$34,SUBSTITUTE(C779,""Sell_"",""""))),1,IF(REGEXMATCH(C779,""Sell_""),IF(COUNTIF(C$4:C779,SUBSTITUTE(C779,""Sell_"",""""))-COUNTIF(C$4:C778,C779)&lt;1,1),FALSE))))"),"")</f>
        <v/>
      </c>
      <c r="E779" s="59" t="str">
        <f t="array" ref="E779">IF(COUNTA(C779:C1350)=0,"",SUM((COUNTIF(C$4:C779,Upgrades!$B$3:$B$13)-COUNTIF(C$4:C779,"Sell_"&amp;Upgrades!$B$3:$B$13))*Upgrades!$D$3:$D$13))</f>
        <v/>
      </c>
      <c r="F779" s="66" t="str">
        <f>IFERROR(__xludf.DUMMYFUNCTION("IF(COUNTA(C779:C1350)=0,"""",IF(REGEXMATCH(INDEX(FILTER(C$4:C779,C$4:C779&lt;&gt;""""),ROWS(FILTER(C$4:C779,C$4:C779&lt;&gt;""""))),""^Sell_""),INDEX(FILTER(F$4:F778,C$4:C778&lt;&gt;""""),ROWS(FILTER(C$4:C778,C$4:C778&lt;&gt;""""))),$AC$5+E779))"),"")</f>
        <v/>
      </c>
      <c r="G779" s="10" t="str">
        <f>IFERROR(__xludf.DUMMYFUNCTION("IF(COUNTA(C779:C1350)=0,"""",IF(C779="""",0,IF(REGEXMATCH(C779,""^Sell_""),-ROUNDDOWN(ROUNDUP(INDEX(Upgrades!$C$3:$C$13,MATCH(SUBSTITUTE(C779,""Sell_"",""""),Upgrades!$B$3:$B$13,0))*1.15^(COUNTIF(C$4:C778,SUBSTITUTE(C779,""Sell_"",""""))-COUNTIF(C$4:C778,"&amp;"""Sell_""&amp;SUBSTITUTE(C779,""Sell_"",""""))))/2),ROUNDUP(INDEX(Upgrades!$C$3:$C$13,MATCH(C779,Upgrades!$B$3:$B$13,0))*1.15^(COUNTIF(C$4:C778,C779)-COUNTIF(C$4:C778,""Sell_""&amp;C779))))))"),"")</f>
        <v/>
      </c>
      <c r="H779" s="10" t="str">
        <f t="shared" si="3"/>
        <v/>
      </c>
      <c r="I779" s="68" t="str">
        <f t="shared" si="4"/>
        <v/>
      </c>
      <c r="J779" s="59" t="str">
        <f t="shared" si="5"/>
        <v/>
      </c>
      <c r="K779" s="69" t="str">
        <f t="shared" si="6"/>
        <v/>
      </c>
      <c r="L779" s="60" t="str">
        <f t="shared" si="7"/>
        <v/>
      </c>
      <c r="M779" s="61" t="str">
        <f>IFERROR(__xludf.DUMMYFUNCTION("IFS(AND(COUNTA(C779:C1350)=0,COUNTA(Q779:Q1350)=0),"""",OR(AND(K779&gt;=1000000000,OR(Y779&gt;=1000000000,COUNTA(Q779:Q1350)=0)),OR(Y779&gt;=1000000000,AND(COUNTA(C779:C1350)=0,P$3=TRUE))),
ROUNDDOWN((AB$1-AC$1)*MAX(INDEX(T$4:T1350,MATCH(LARGE(FILTER(Y$4:Y1350,Y$4"&amp;":Y1350&lt;1000000000),1),Y$4:Y1350)),INDEX(F$4:F1350,MATCH(LARGE(FILTER(K$4:K1350,K$4:K1350&lt;1000000000),1),K$4:K1350)))),AND(K779&lt;1000000000,COUNTA(C779:C1350)&gt;0,P$3=FALSE),
ROUNDDOWN(INDEX(Y$4:Y1350,MATCH(LARGE(FILTER(W$4:W1350,W$4:W1350&lt;=I779),1),W$4:W1350"&amp;"))+(I779-LARGE(FILTER(W$4:W1350,W$4:W1350&lt;=I779),1))*INDEX(T$4:T1350,MATCH(LARGE(FILTER(W$4:W1350,W$4:W1350&lt;=I779),1),W$4:W1350))-K779),1,
ROUNDDOWN(Y779-INDEX(K$4:K1350,MATCH(LARGE(FILTER(I$4:I1350,I$4:I1350&lt;=W779),1),I$4:I1350))-(W779-LARGE(FILTER(I$4:I"&amp;"1350,I$4:I1350&lt;=W779),1))*INDEX(F$4:F1350,MATCH(LARGE(FILTER(I$4:I1350,I$4:I1350&lt;=W779),1),I$4:I1350))))"),"")</f>
        <v/>
      </c>
      <c r="N779" s="60" t="str">
        <f t="shared" si="8"/>
        <v/>
      </c>
      <c r="O779" s="61" t="str">
        <f t="shared" si="9"/>
        <v/>
      </c>
      <c r="P779" s="56" t="str">
        <f t="shared" si="10"/>
        <v/>
      </c>
      <c r="Q779" s="62"/>
      <c r="R779" s="10" t="str">
        <f>IFERROR(__xludf.DUMMYFUNCTION("IF(COUNTA(Q779:Q1350)=0,"""",IF(ISBLANK(Q779),FALSE,IF(NOT(COUNTIF($AA$24:$AA$34,SUBSTITUTE(Q779,""Sell_"",""""))),1,IF(REGEXMATCH(Q779,""Sell_""),IF(COUNTIF(Q$4:Q779,SUBSTITUTE(Q779,""Sell_"",""""))-COUNTIF(Q$4:Q778,Q779)&lt;1,1),FALSE))))"),"")</f>
        <v/>
      </c>
      <c r="S779" s="59" t="str">
        <f t="array" ref="S779">IF(COUNTA(Q779:Q1350)=0,"",SUM((COUNTIF(Q$4:Q779,Upgrades!$B$3:$B$13)-COUNTIF(Q$4:Q779,"Sell_"&amp;Upgrades!$B$3:$B$13))*Upgrades!$D$3:$D$13))</f>
        <v/>
      </c>
      <c r="T779" s="66" t="str">
        <f>IFERROR(__xludf.DUMMYFUNCTION("IF(COUNTA(Q779:Q1350)=0,"""",IF(REGEXMATCH(INDEX(FILTER(Q$4:Q779,Q$4:Q779&lt;&gt;""""),ROWS(FILTER(Q$4:Q779,Q$4:Q779&lt;&gt;""""))),""^Sell_""),INDEX(FILTER(T$4:T778,Q$4:Q778&lt;&gt;""""),ROWS(FILTER(Q$4:Q778,Q$4:Q778&lt;&gt;""""))),$AD$5+S779))"),"")</f>
        <v/>
      </c>
      <c r="U779" s="10" t="str">
        <f>IFERROR(__xludf.DUMMYFUNCTION("IF(COUNTA(Q779:Q1350)=0,"""",IF(Q779="""",0,IF(REGEXMATCH(Q779,""^Sell_""),-ROUNDDOWN(ROUNDUP(INDEX(Upgrades!$C$3:$C$13,MATCH(SUBSTITUTE(Q779,""Sell_"",""""),Upgrades!$B$3:$B$13,0))*1.15^(COUNTIF(Q$4:Q778,SUBSTITUTE(Q779,""Sell_"",""""))-COUNTIF(Q$4:Q778,"&amp;"""Sell_""&amp;SUBSTITUTE(Q779,""Sell_"",""""))))/2),ROUNDUP(INDEX(Upgrades!$C$3:$C$13,MATCH(Q779,Upgrades!$B$3:$B$13,0))*1.15^(COUNTIF(Q$4:Q778,Q779)-COUNTIF(Q$4:Q778,""Sell_""&amp;Q779))))))"),"")</f>
        <v/>
      </c>
      <c r="V779" s="10" t="str">
        <f t="shared" si="11"/>
        <v/>
      </c>
      <c r="W779" s="68" t="str">
        <f t="shared" si="12"/>
        <v/>
      </c>
      <c r="X779" s="59" t="str">
        <f t="shared" si="13"/>
        <v/>
      </c>
      <c r="Y779" s="69" t="str">
        <f t="shared" si="14"/>
        <v/>
      </c>
      <c r="Z779" s="11"/>
    </row>
    <row r="780">
      <c r="A780" s="8"/>
      <c r="B780" s="56" t="str">
        <f t="shared" si="2"/>
        <v/>
      </c>
      <c r="C780" s="57"/>
      <c r="D780" s="10" t="str">
        <f>IFERROR(__xludf.DUMMYFUNCTION("IF(COUNTA(C780:C1350)=0,"""",IF(ISBLANK(C780),FALSE,IF(NOT(COUNTIF($AA$24:$AA$34,SUBSTITUTE(C780,""Sell_"",""""))),1,IF(REGEXMATCH(C780,""Sell_""),IF(COUNTIF(C$4:C780,SUBSTITUTE(C780,""Sell_"",""""))-COUNTIF(C$4:C779,C780)&lt;1,1),FALSE))))"),"")</f>
        <v/>
      </c>
      <c r="E780" s="59" t="str">
        <f t="array" ref="E780">IF(COUNTA(C780:C1350)=0,"",SUM((COUNTIF(C$4:C780,Upgrades!$B$3:$B$13)-COUNTIF(C$4:C780,"Sell_"&amp;Upgrades!$B$3:$B$13))*Upgrades!$D$3:$D$13))</f>
        <v/>
      </c>
      <c r="F780" s="66" t="str">
        <f>IFERROR(__xludf.DUMMYFUNCTION("IF(COUNTA(C780:C1350)=0,"""",IF(REGEXMATCH(INDEX(FILTER(C$4:C780,C$4:C780&lt;&gt;""""),ROWS(FILTER(C$4:C780,C$4:C780&lt;&gt;""""))),""^Sell_""),INDEX(FILTER(F$4:F779,C$4:C779&lt;&gt;""""),ROWS(FILTER(C$4:C779,C$4:C779&lt;&gt;""""))),$AC$5+E780))"),"")</f>
        <v/>
      </c>
      <c r="G780" s="10" t="str">
        <f>IFERROR(__xludf.DUMMYFUNCTION("IF(COUNTA(C780:C1350)=0,"""",IF(C780="""",0,IF(REGEXMATCH(C780,""^Sell_""),-ROUNDDOWN(ROUNDUP(INDEX(Upgrades!$C$3:$C$13,MATCH(SUBSTITUTE(C780,""Sell_"",""""),Upgrades!$B$3:$B$13,0))*1.15^(COUNTIF(C$4:C779,SUBSTITUTE(C780,""Sell_"",""""))-COUNTIF(C$4:C779,"&amp;"""Sell_""&amp;SUBSTITUTE(C780,""Sell_"",""""))))/2),ROUNDUP(INDEX(Upgrades!$C$3:$C$13,MATCH(C780,Upgrades!$B$3:$B$13,0))*1.15^(COUNTIF(C$4:C779,C780)-COUNTIF(C$4:C779,""Sell_""&amp;C780))))))"),"")</f>
        <v/>
      </c>
      <c r="H780" s="10" t="str">
        <f t="shared" si="3"/>
        <v/>
      </c>
      <c r="I780" s="68" t="str">
        <f t="shared" si="4"/>
        <v/>
      </c>
      <c r="J780" s="59" t="str">
        <f t="shared" si="5"/>
        <v/>
      </c>
      <c r="K780" s="69" t="str">
        <f t="shared" si="6"/>
        <v/>
      </c>
      <c r="L780" s="60" t="str">
        <f t="shared" si="7"/>
        <v/>
      </c>
      <c r="M780" s="61" t="str">
        <f>IFERROR(__xludf.DUMMYFUNCTION("IFS(AND(COUNTA(C780:C1350)=0,COUNTA(Q780:Q1350)=0),"""",OR(AND(K780&gt;=1000000000,OR(Y780&gt;=1000000000,COUNTA(Q780:Q1350)=0)),OR(Y780&gt;=1000000000,AND(COUNTA(C780:C1350)=0,P$3=TRUE))),
ROUNDDOWN((AB$1-AC$1)*MAX(INDEX(T$4:T1350,MATCH(LARGE(FILTER(Y$4:Y1350,Y$4"&amp;":Y1350&lt;1000000000),1),Y$4:Y1350)),INDEX(F$4:F1350,MATCH(LARGE(FILTER(K$4:K1350,K$4:K1350&lt;1000000000),1),K$4:K1350)))),AND(K780&lt;1000000000,COUNTA(C780:C1350)&gt;0,P$3=FALSE),
ROUNDDOWN(INDEX(Y$4:Y1350,MATCH(LARGE(FILTER(W$4:W1350,W$4:W1350&lt;=I780),1),W$4:W1350"&amp;"))+(I780-LARGE(FILTER(W$4:W1350,W$4:W1350&lt;=I780),1))*INDEX(T$4:T1350,MATCH(LARGE(FILTER(W$4:W1350,W$4:W1350&lt;=I780),1),W$4:W1350))-K780),1,
ROUNDDOWN(Y780-INDEX(K$4:K1350,MATCH(LARGE(FILTER(I$4:I1350,I$4:I1350&lt;=W780),1),I$4:I1350))-(W780-LARGE(FILTER(I$4:I"&amp;"1350,I$4:I1350&lt;=W780),1))*INDEX(F$4:F1350,MATCH(LARGE(FILTER(I$4:I1350,I$4:I1350&lt;=W780),1),I$4:I1350))))"),"")</f>
        <v/>
      </c>
      <c r="N780" s="60" t="str">
        <f t="shared" si="8"/>
        <v/>
      </c>
      <c r="O780" s="61" t="str">
        <f t="shared" si="9"/>
        <v/>
      </c>
      <c r="P780" s="56" t="str">
        <f t="shared" si="10"/>
        <v/>
      </c>
      <c r="Q780" s="62"/>
      <c r="R780" s="10" t="str">
        <f>IFERROR(__xludf.DUMMYFUNCTION("IF(COUNTA(Q780:Q1350)=0,"""",IF(ISBLANK(Q780),FALSE,IF(NOT(COUNTIF($AA$24:$AA$34,SUBSTITUTE(Q780,""Sell_"",""""))),1,IF(REGEXMATCH(Q780,""Sell_""),IF(COUNTIF(Q$4:Q780,SUBSTITUTE(Q780,""Sell_"",""""))-COUNTIF(Q$4:Q779,Q780)&lt;1,1),FALSE))))"),"")</f>
        <v/>
      </c>
      <c r="S780" s="59" t="str">
        <f t="array" ref="S780">IF(COUNTA(Q780:Q1350)=0,"",SUM((COUNTIF(Q$4:Q780,Upgrades!$B$3:$B$13)-COUNTIF(Q$4:Q780,"Sell_"&amp;Upgrades!$B$3:$B$13))*Upgrades!$D$3:$D$13))</f>
        <v/>
      </c>
      <c r="T780" s="66" t="str">
        <f>IFERROR(__xludf.DUMMYFUNCTION("IF(COUNTA(Q780:Q1350)=0,"""",IF(REGEXMATCH(INDEX(FILTER(Q$4:Q780,Q$4:Q780&lt;&gt;""""),ROWS(FILTER(Q$4:Q780,Q$4:Q780&lt;&gt;""""))),""^Sell_""),INDEX(FILTER(T$4:T779,Q$4:Q779&lt;&gt;""""),ROWS(FILTER(Q$4:Q779,Q$4:Q779&lt;&gt;""""))),$AD$5+S780))"),"")</f>
        <v/>
      </c>
      <c r="U780" s="10" t="str">
        <f>IFERROR(__xludf.DUMMYFUNCTION("IF(COUNTA(Q780:Q1350)=0,"""",IF(Q780="""",0,IF(REGEXMATCH(Q780,""^Sell_""),-ROUNDDOWN(ROUNDUP(INDEX(Upgrades!$C$3:$C$13,MATCH(SUBSTITUTE(Q780,""Sell_"",""""),Upgrades!$B$3:$B$13,0))*1.15^(COUNTIF(Q$4:Q779,SUBSTITUTE(Q780,""Sell_"",""""))-COUNTIF(Q$4:Q779,"&amp;"""Sell_""&amp;SUBSTITUTE(Q780,""Sell_"",""""))))/2),ROUNDUP(INDEX(Upgrades!$C$3:$C$13,MATCH(Q780,Upgrades!$B$3:$B$13,0))*1.15^(COUNTIF(Q$4:Q779,Q780)-COUNTIF(Q$4:Q779,""Sell_""&amp;Q780))))))"),"")</f>
        <v/>
      </c>
      <c r="V780" s="10" t="str">
        <f t="shared" si="11"/>
        <v/>
      </c>
      <c r="W780" s="68" t="str">
        <f t="shared" si="12"/>
        <v/>
      </c>
      <c r="X780" s="59" t="str">
        <f t="shared" si="13"/>
        <v/>
      </c>
      <c r="Y780" s="69" t="str">
        <f t="shared" si="14"/>
        <v/>
      </c>
      <c r="Z780" s="11"/>
    </row>
    <row r="781">
      <c r="A781" s="8"/>
      <c r="B781" s="56" t="str">
        <f t="shared" si="2"/>
        <v/>
      </c>
      <c r="C781" s="57"/>
      <c r="D781" s="10" t="str">
        <f>IFERROR(__xludf.DUMMYFUNCTION("IF(COUNTA(C781:C1350)=0,"""",IF(ISBLANK(C781),FALSE,IF(NOT(COUNTIF($AA$24:$AA$34,SUBSTITUTE(C781,""Sell_"",""""))),1,IF(REGEXMATCH(C781,""Sell_""),IF(COUNTIF(C$4:C781,SUBSTITUTE(C781,""Sell_"",""""))-COUNTIF(C$4:C780,C781)&lt;1,1),FALSE))))"),"")</f>
        <v/>
      </c>
      <c r="E781" s="59" t="str">
        <f t="array" ref="E781">IF(COUNTA(C781:C1350)=0,"",SUM((COUNTIF(C$4:C781,Upgrades!$B$3:$B$13)-COUNTIF(C$4:C781,"Sell_"&amp;Upgrades!$B$3:$B$13))*Upgrades!$D$3:$D$13))</f>
        <v/>
      </c>
      <c r="F781" s="66" t="str">
        <f>IFERROR(__xludf.DUMMYFUNCTION("IF(COUNTA(C781:C1350)=0,"""",IF(REGEXMATCH(INDEX(FILTER(C$4:C781,C$4:C781&lt;&gt;""""),ROWS(FILTER(C$4:C781,C$4:C781&lt;&gt;""""))),""^Sell_""),INDEX(FILTER(F$4:F780,C$4:C780&lt;&gt;""""),ROWS(FILTER(C$4:C780,C$4:C780&lt;&gt;""""))),$AC$5+E781))"),"")</f>
        <v/>
      </c>
      <c r="G781" s="10" t="str">
        <f>IFERROR(__xludf.DUMMYFUNCTION("IF(COUNTA(C781:C1350)=0,"""",IF(C781="""",0,IF(REGEXMATCH(C781,""^Sell_""),-ROUNDDOWN(ROUNDUP(INDEX(Upgrades!$C$3:$C$13,MATCH(SUBSTITUTE(C781,""Sell_"",""""),Upgrades!$B$3:$B$13,0))*1.15^(COUNTIF(C$4:C780,SUBSTITUTE(C781,""Sell_"",""""))-COUNTIF(C$4:C780,"&amp;"""Sell_""&amp;SUBSTITUTE(C781,""Sell_"",""""))))/2),ROUNDUP(INDEX(Upgrades!$C$3:$C$13,MATCH(C781,Upgrades!$B$3:$B$13,0))*1.15^(COUNTIF(C$4:C780,C781)-COUNTIF(C$4:C780,""Sell_""&amp;C781))))))"),"")</f>
        <v/>
      </c>
      <c r="H781" s="10" t="str">
        <f t="shared" si="3"/>
        <v/>
      </c>
      <c r="I781" s="68" t="str">
        <f t="shared" si="4"/>
        <v/>
      </c>
      <c r="J781" s="59" t="str">
        <f t="shared" si="5"/>
        <v/>
      </c>
      <c r="K781" s="69" t="str">
        <f t="shared" si="6"/>
        <v/>
      </c>
      <c r="L781" s="60" t="str">
        <f t="shared" si="7"/>
        <v/>
      </c>
      <c r="M781" s="61" t="str">
        <f>IFERROR(__xludf.DUMMYFUNCTION("IFS(AND(COUNTA(C781:C1350)=0,COUNTA(Q781:Q1350)=0),"""",OR(AND(K781&gt;=1000000000,OR(Y781&gt;=1000000000,COUNTA(Q781:Q1350)=0)),OR(Y781&gt;=1000000000,AND(COUNTA(C781:C1350)=0,P$3=TRUE))),
ROUNDDOWN((AB$1-AC$1)*MAX(INDEX(T$4:T1350,MATCH(LARGE(FILTER(Y$4:Y1350,Y$4"&amp;":Y1350&lt;1000000000),1),Y$4:Y1350)),INDEX(F$4:F1350,MATCH(LARGE(FILTER(K$4:K1350,K$4:K1350&lt;1000000000),1),K$4:K1350)))),AND(K781&lt;1000000000,COUNTA(C781:C1350)&gt;0,P$3=FALSE),
ROUNDDOWN(INDEX(Y$4:Y1350,MATCH(LARGE(FILTER(W$4:W1350,W$4:W1350&lt;=I781),1),W$4:W1350"&amp;"))+(I781-LARGE(FILTER(W$4:W1350,W$4:W1350&lt;=I781),1))*INDEX(T$4:T1350,MATCH(LARGE(FILTER(W$4:W1350,W$4:W1350&lt;=I781),1),W$4:W1350))-K781),1,
ROUNDDOWN(Y781-INDEX(K$4:K1350,MATCH(LARGE(FILTER(I$4:I1350,I$4:I1350&lt;=W781),1),I$4:I1350))-(W781-LARGE(FILTER(I$4:I"&amp;"1350,I$4:I1350&lt;=W781),1))*INDEX(F$4:F1350,MATCH(LARGE(FILTER(I$4:I1350,I$4:I1350&lt;=W781),1),I$4:I1350))))"),"")</f>
        <v/>
      </c>
      <c r="N781" s="60" t="str">
        <f t="shared" si="8"/>
        <v/>
      </c>
      <c r="O781" s="61" t="str">
        <f t="shared" si="9"/>
        <v/>
      </c>
      <c r="P781" s="56" t="str">
        <f t="shared" si="10"/>
        <v/>
      </c>
      <c r="Q781" s="62"/>
      <c r="R781" s="10" t="str">
        <f>IFERROR(__xludf.DUMMYFUNCTION("IF(COUNTA(Q781:Q1350)=0,"""",IF(ISBLANK(Q781),FALSE,IF(NOT(COUNTIF($AA$24:$AA$34,SUBSTITUTE(Q781,""Sell_"",""""))),1,IF(REGEXMATCH(Q781,""Sell_""),IF(COUNTIF(Q$4:Q781,SUBSTITUTE(Q781,""Sell_"",""""))-COUNTIF(Q$4:Q780,Q781)&lt;1,1),FALSE))))"),"")</f>
        <v/>
      </c>
      <c r="S781" s="59" t="str">
        <f t="array" ref="S781">IF(COUNTA(Q781:Q1350)=0,"",SUM((COUNTIF(Q$4:Q781,Upgrades!$B$3:$B$13)-COUNTIF(Q$4:Q781,"Sell_"&amp;Upgrades!$B$3:$B$13))*Upgrades!$D$3:$D$13))</f>
        <v/>
      </c>
      <c r="T781" s="66" t="str">
        <f>IFERROR(__xludf.DUMMYFUNCTION("IF(COUNTA(Q781:Q1350)=0,"""",IF(REGEXMATCH(INDEX(FILTER(Q$4:Q781,Q$4:Q781&lt;&gt;""""),ROWS(FILTER(Q$4:Q781,Q$4:Q781&lt;&gt;""""))),""^Sell_""),INDEX(FILTER(T$4:T780,Q$4:Q780&lt;&gt;""""),ROWS(FILTER(Q$4:Q780,Q$4:Q780&lt;&gt;""""))),$AD$5+S781))"),"")</f>
        <v/>
      </c>
      <c r="U781" s="10" t="str">
        <f>IFERROR(__xludf.DUMMYFUNCTION("IF(COUNTA(Q781:Q1350)=0,"""",IF(Q781="""",0,IF(REGEXMATCH(Q781,""^Sell_""),-ROUNDDOWN(ROUNDUP(INDEX(Upgrades!$C$3:$C$13,MATCH(SUBSTITUTE(Q781,""Sell_"",""""),Upgrades!$B$3:$B$13,0))*1.15^(COUNTIF(Q$4:Q780,SUBSTITUTE(Q781,""Sell_"",""""))-COUNTIF(Q$4:Q780,"&amp;"""Sell_""&amp;SUBSTITUTE(Q781,""Sell_"",""""))))/2),ROUNDUP(INDEX(Upgrades!$C$3:$C$13,MATCH(Q781,Upgrades!$B$3:$B$13,0))*1.15^(COUNTIF(Q$4:Q780,Q781)-COUNTIF(Q$4:Q780,""Sell_""&amp;Q781))))))"),"")</f>
        <v/>
      </c>
      <c r="V781" s="10" t="str">
        <f t="shared" si="11"/>
        <v/>
      </c>
      <c r="W781" s="68" t="str">
        <f t="shared" si="12"/>
        <v/>
      </c>
      <c r="X781" s="59" t="str">
        <f t="shared" si="13"/>
        <v/>
      </c>
      <c r="Y781" s="69" t="str">
        <f t="shared" si="14"/>
        <v/>
      </c>
      <c r="Z781" s="11"/>
    </row>
    <row r="782">
      <c r="A782" s="8"/>
      <c r="B782" s="56" t="str">
        <f t="shared" si="2"/>
        <v/>
      </c>
      <c r="C782" s="57"/>
      <c r="D782" s="10" t="str">
        <f>IFERROR(__xludf.DUMMYFUNCTION("IF(COUNTA(C782:C1350)=0,"""",IF(ISBLANK(C782),FALSE,IF(NOT(COUNTIF($AA$24:$AA$34,SUBSTITUTE(C782,""Sell_"",""""))),1,IF(REGEXMATCH(C782,""Sell_""),IF(COUNTIF(C$4:C782,SUBSTITUTE(C782,""Sell_"",""""))-COUNTIF(C$4:C781,C782)&lt;1,1),FALSE))))"),"")</f>
        <v/>
      </c>
      <c r="E782" s="59" t="str">
        <f t="array" ref="E782">IF(COUNTA(C782:C1350)=0,"",SUM((COUNTIF(C$4:C782,Upgrades!$B$3:$B$13)-COUNTIF(C$4:C782,"Sell_"&amp;Upgrades!$B$3:$B$13))*Upgrades!$D$3:$D$13))</f>
        <v/>
      </c>
      <c r="F782" s="66" t="str">
        <f>IFERROR(__xludf.DUMMYFUNCTION("IF(COUNTA(C782:C1350)=0,"""",IF(REGEXMATCH(INDEX(FILTER(C$4:C782,C$4:C782&lt;&gt;""""),ROWS(FILTER(C$4:C782,C$4:C782&lt;&gt;""""))),""^Sell_""),INDEX(FILTER(F$4:F781,C$4:C781&lt;&gt;""""),ROWS(FILTER(C$4:C781,C$4:C781&lt;&gt;""""))),$AC$5+E782))"),"")</f>
        <v/>
      </c>
      <c r="G782" s="10" t="str">
        <f>IFERROR(__xludf.DUMMYFUNCTION("IF(COUNTA(C782:C1350)=0,"""",IF(C782="""",0,IF(REGEXMATCH(C782,""^Sell_""),-ROUNDDOWN(ROUNDUP(INDEX(Upgrades!$C$3:$C$13,MATCH(SUBSTITUTE(C782,""Sell_"",""""),Upgrades!$B$3:$B$13,0))*1.15^(COUNTIF(C$4:C781,SUBSTITUTE(C782,""Sell_"",""""))-COUNTIF(C$4:C781,"&amp;"""Sell_""&amp;SUBSTITUTE(C782,""Sell_"",""""))))/2),ROUNDUP(INDEX(Upgrades!$C$3:$C$13,MATCH(C782,Upgrades!$B$3:$B$13,0))*1.15^(COUNTIF(C$4:C781,C782)-COUNTIF(C$4:C781,""Sell_""&amp;C782))))))"),"")</f>
        <v/>
      </c>
      <c r="H782" s="10" t="str">
        <f t="shared" si="3"/>
        <v/>
      </c>
      <c r="I782" s="68" t="str">
        <f t="shared" si="4"/>
        <v/>
      </c>
      <c r="J782" s="59" t="str">
        <f t="shared" si="5"/>
        <v/>
      </c>
      <c r="K782" s="69" t="str">
        <f t="shared" si="6"/>
        <v/>
      </c>
      <c r="L782" s="60" t="str">
        <f t="shared" si="7"/>
        <v/>
      </c>
      <c r="M782" s="61" t="str">
        <f>IFERROR(__xludf.DUMMYFUNCTION("IFS(AND(COUNTA(C782:C1350)=0,COUNTA(Q782:Q1350)=0),"""",OR(AND(K782&gt;=1000000000,OR(Y782&gt;=1000000000,COUNTA(Q782:Q1350)=0)),OR(Y782&gt;=1000000000,AND(COUNTA(C782:C1350)=0,P$3=TRUE))),
ROUNDDOWN((AB$1-AC$1)*MAX(INDEX(T$4:T1350,MATCH(LARGE(FILTER(Y$4:Y1350,Y$4"&amp;":Y1350&lt;1000000000),1),Y$4:Y1350)),INDEX(F$4:F1350,MATCH(LARGE(FILTER(K$4:K1350,K$4:K1350&lt;1000000000),1),K$4:K1350)))),AND(K782&lt;1000000000,COUNTA(C782:C1350)&gt;0,P$3=FALSE),
ROUNDDOWN(INDEX(Y$4:Y1350,MATCH(LARGE(FILTER(W$4:W1350,W$4:W1350&lt;=I782),1),W$4:W1350"&amp;"))+(I782-LARGE(FILTER(W$4:W1350,W$4:W1350&lt;=I782),1))*INDEX(T$4:T1350,MATCH(LARGE(FILTER(W$4:W1350,W$4:W1350&lt;=I782),1),W$4:W1350))-K782),1,
ROUNDDOWN(Y782-INDEX(K$4:K1350,MATCH(LARGE(FILTER(I$4:I1350,I$4:I1350&lt;=W782),1),I$4:I1350))-(W782-LARGE(FILTER(I$4:I"&amp;"1350,I$4:I1350&lt;=W782),1))*INDEX(F$4:F1350,MATCH(LARGE(FILTER(I$4:I1350,I$4:I1350&lt;=W782),1),I$4:I1350))))"),"")</f>
        <v/>
      </c>
      <c r="N782" s="60" t="str">
        <f t="shared" si="8"/>
        <v/>
      </c>
      <c r="O782" s="61" t="str">
        <f t="shared" si="9"/>
        <v/>
      </c>
      <c r="P782" s="56" t="str">
        <f t="shared" si="10"/>
        <v/>
      </c>
      <c r="Q782" s="62"/>
      <c r="R782" s="10" t="str">
        <f>IFERROR(__xludf.DUMMYFUNCTION("IF(COUNTA(Q782:Q1350)=0,"""",IF(ISBLANK(Q782),FALSE,IF(NOT(COUNTIF($AA$24:$AA$34,SUBSTITUTE(Q782,""Sell_"",""""))),1,IF(REGEXMATCH(Q782,""Sell_""),IF(COUNTIF(Q$4:Q782,SUBSTITUTE(Q782,""Sell_"",""""))-COUNTIF(Q$4:Q781,Q782)&lt;1,1),FALSE))))"),"")</f>
        <v/>
      </c>
      <c r="S782" s="59" t="str">
        <f t="array" ref="S782">IF(COUNTA(Q782:Q1350)=0,"",SUM((COUNTIF(Q$4:Q782,Upgrades!$B$3:$B$13)-COUNTIF(Q$4:Q782,"Sell_"&amp;Upgrades!$B$3:$B$13))*Upgrades!$D$3:$D$13))</f>
        <v/>
      </c>
      <c r="T782" s="66" t="str">
        <f>IFERROR(__xludf.DUMMYFUNCTION("IF(COUNTA(Q782:Q1350)=0,"""",IF(REGEXMATCH(INDEX(FILTER(Q$4:Q782,Q$4:Q782&lt;&gt;""""),ROWS(FILTER(Q$4:Q782,Q$4:Q782&lt;&gt;""""))),""^Sell_""),INDEX(FILTER(T$4:T781,Q$4:Q781&lt;&gt;""""),ROWS(FILTER(Q$4:Q781,Q$4:Q781&lt;&gt;""""))),$AD$5+S782))"),"")</f>
        <v/>
      </c>
      <c r="U782" s="10" t="str">
        <f>IFERROR(__xludf.DUMMYFUNCTION("IF(COUNTA(Q782:Q1350)=0,"""",IF(Q782="""",0,IF(REGEXMATCH(Q782,""^Sell_""),-ROUNDDOWN(ROUNDUP(INDEX(Upgrades!$C$3:$C$13,MATCH(SUBSTITUTE(Q782,""Sell_"",""""),Upgrades!$B$3:$B$13,0))*1.15^(COUNTIF(Q$4:Q781,SUBSTITUTE(Q782,""Sell_"",""""))-COUNTIF(Q$4:Q781,"&amp;"""Sell_""&amp;SUBSTITUTE(Q782,""Sell_"",""""))))/2),ROUNDUP(INDEX(Upgrades!$C$3:$C$13,MATCH(Q782,Upgrades!$B$3:$B$13,0))*1.15^(COUNTIF(Q$4:Q781,Q782)-COUNTIF(Q$4:Q781,""Sell_""&amp;Q782))))))"),"")</f>
        <v/>
      </c>
      <c r="V782" s="10" t="str">
        <f t="shared" si="11"/>
        <v/>
      </c>
      <c r="W782" s="68" t="str">
        <f t="shared" si="12"/>
        <v/>
      </c>
      <c r="X782" s="59" t="str">
        <f t="shared" si="13"/>
        <v/>
      </c>
      <c r="Y782" s="69" t="str">
        <f t="shared" si="14"/>
        <v/>
      </c>
      <c r="Z782" s="11"/>
    </row>
    <row r="783">
      <c r="A783" s="8"/>
      <c r="B783" s="56" t="str">
        <f t="shared" si="2"/>
        <v/>
      </c>
      <c r="C783" s="57"/>
      <c r="D783" s="10" t="str">
        <f>IFERROR(__xludf.DUMMYFUNCTION("IF(COUNTA(C783:C1350)=0,"""",IF(ISBLANK(C783),FALSE,IF(NOT(COUNTIF($AA$24:$AA$34,SUBSTITUTE(C783,""Sell_"",""""))),1,IF(REGEXMATCH(C783,""Sell_""),IF(COUNTIF(C$4:C783,SUBSTITUTE(C783,""Sell_"",""""))-COUNTIF(C$4:C782,C783)&lt;1,1),FALSE))))"),"")</f>
        <v/>
      </c>
      <c r="E783" s="59" t="str">
        <f t="array" ref="E783">IF(COUNTA(C783:C1350)=0,"",SUM((COUNTIF(C$4:C783,Upgrades!$B$3:$B$13)-COUNTIF(C$4:C783,"Sell_"&amp;Upgrades!$B$3:$B$13))*Upgrades!$D$3:$D$13))</f>
        <v/>
      </c>
      <c r="F783" s="66" t="str">
        <f>IFERROR(__xludf.DUMMYFUNCTION("IF(COUNTA(C783:C1350)=0,"""",IF(REGEXMATCH(INDEX(FILTER(C$4:C783,C$4:C783&lt;&gt;""""),ROWS(FILTER(C$4:C783,C$4:C783&lt;&gt;""""))),""^Sell_""),INDEX(FILTER(F$4:F782,C$4:C782&lt;&gt;""""),ROWS(FILTER(C$4:C782,C$4:C782&lt;&gt;""""))),$AC$5+E783))"),"")</f>
        <v/>
      </c>
      <c r="G783" s="10" t="str">
        <f>IFERROR(__xludf.DUMMYFUNCTION("IF(COUNTA(C783:C1350)=0,"""",IF(C783="""",0,IF(REGEXMATCH(C783,""^Sell_""),-ROUNDDOWN(ROUNDUP(INDEX(Upgrades!$C$3:$C$13,MATCH(SUBSTITUTE(C783,""Sell_"",""""),Upgrades!$B$3:$B$13,0))*1.15^(COUNTIF(C$4:C782,SUBSTITUTE(C783,""Sell_"",""""))-COUNTIF(C$4:C782,"&amp;"""Sell_""&amp;SUBSTITUTE(C783,""Sell_"",""""))))/2),ROUNDUP(INDEX(Upgrades!$C$3:$C$13,MATCH(C783,Upgrades!$B$3:$B$13,0))*1.15^(COUNTIF(C$4:C782,C783)-COUNTIF(C$4:C782,""Sell_""&amp;C783))))))"),"")</f>
        <v/>
      </c>
      <c r="H783" s="10" t="str">
        <f t="shared" si="3"/>
        <v/>
      </c>
      <c r="I783" s="68" t="str">
        <f t="shared" si="4"/>
        <v/>
      </c>
      <c r="J783" s="59" t="str">
        <f t="shared" si="5"/>
        <v/>
      </c>
      <c r="K783" s="69" t="str">
        <f t="shared" si="6"/>
        <v/>
      </c>
      <c r="L783" s="60" t="str">
        <f t="shared" si="7"/>
        <v/>
      </c>
      <c r="M783" s="61" t="str">
        <f>IFERROR(__xludf.DUMMYFUNCTION("IFS(AND(COUNTA(C783:C1350)=0,COUNTA(Q783:Q1350)=0),"""",OR(AND(K783&gt;=1000000000,OR(Y783&gt;=1000000000,COUNTA(Q783:Q1350)=0)),OR(Y783&gt;=1000000000,AND(COUNTA(C783:C1350)=0,P$3=TRUE))),
ROUNDDOWN((AB$1-AC$1)*MAX(INDEX(T$4:T1350,MATCH(LARGE(FILTER(Y$4:Y1350,Y$4"&amp;":Y1350&lt;1000000000),1),Y$4:Y1350)),INDEX(F$4:F1350,MATCH(LARGE(FILTER(K$4:K1350,K$4:K1350&lt;1000000000),1),K$4:K1350)))),AND(K783&lt;1000000000,COUNTA(C783:C1350)&gt;0,P$3=FALSE),
ROUNDDOWN(INDEX(Y$4:Y1350,MATCH(LARGE(FILTER(W$4:W1350,W$4:W1350&lt;=I783),1),W$4:W1350"&amp;"))+(I783-LARGE(FILTER(W$4:W1350,W$4:W1350&lt;=I783),1))*INDEX(T$4:T1350,MATCH(LARGE(FILTER(W$4:W1350,W$4:W1350&lt;=I783),1),W$4:W1350))-K783),1,
ROUNDDOWN(Y783-INDEX(K$4:K1350,MATCH(LARGE(FILTER(I$4:I1350,I$4:I1350&lt;=W783),1),I$4:I1350))-(W783-LARGE(FILTER(I$4:I"&amp;"1350,I$4:I1350&lt;=W783),1))*INDEX(F$4:F1350,MATCH(LARGE(FILTER(I$4:I1350,I$4:I1350&lt;=W783),1),I$4:I1350))))"),"")</f>
        <v/>
      </c>
      <c r="N783" s="60" t="str">
        <f t="shared" si="8"/>
        <v/>
      </c>
      <c r="O783" s="61" t="str">
        <f t="shared" si="9"/>
        <v/>
      </c>
      <c r="P783" s="56" t="str">
        <f t="shared" si="10"/>
        <v/>
      </c>
      <c r="Q783" s="62"/>
      <c r="R783" s="10" t="str">
        <f>IFERROR(__xludf.DUMMYFUNCTION("IF(COUNTA(Q783:Q1350)=0,"""",IF(ISBLANK(Q783),FALSE,IF(NOT(COUNTIF($AA$24:$AA$34,SUBSTITUTE(Q783,""Sell_"",""""))),1,IF(REGEXMATCH(Q783,""Sell_""),IF(COUNTIF(Q$4:Q783,SUBSTITUTE(Q783,""Sell_"",""""))-COUNTIF(Q$4:Q782,Q783)&lt;1,1),FALSE))))"),"")</f>
        <v/>
      </c>
      <c r="S783" s="59" t="str">
        <f t="array" ref="S783">IF(COUNTA(Q783:Q1350)=0,"",SUM((COUNTIF(Q$4:Q783,Upgrades!$B$3:$B$13)-COUNTIF(Q$4:Q783,"Sell_"&amp;Upgrades!$B$3:$B$13))*Upgrades!$D$3:$D$13))</f>
        <v/>
      </c>
      <c r="T783" s="66" t="str">
        <f>IFERROR(__xludf.DUMMYFUNCTION("IF(COUNTA(Q783:Q1350)=0,"""",IF(REGEXMATCH(INDEX(FILTER(Q$4:Q783,Q$4:Q783&lt;&gt;""""),ROWS(FILTER(Q$4:Q783,Q$4:Q783&lt;&gt;""""))),""^Sell_""),INDEX(FILTER(T$4:T782,Q$4:Q782&lt;&gt;""""),ROWS(FILTER(Q$4:Q782,Q$4:Q782&lt;&gt;""""))),$AD$5+S783))"),"")</f>
        <v/>
      </c>
      <c r="U783" s="10" t="str">
        <f>IFERROR(__xludf.DUMMYFUNCTION("IF(COUNTA(Q783:Q1350)=0,"""",IF(Q783="""",0,IF(REGEXMATCH(Q783,""^Sell_""),-ROUNDDOWN(ROUNDUP(INDEX(Upgrades!$C$3:$C$13,MATCH(SUBSTITUTE(Q783,""Sell_"",""""),Upgrades!$B$3:$B$13,0))*1.15^(COUNTIF(Q$4:Q782,SUBSTITUTE(Q783,""Sell_"",""""))-COUNTIF(Q$4:Q782,"&amp;"""Sell_""&amp;SUBSTITUTE(Q783,""Sell_"",""""))))/2),ROUNDUP(INDEX(Upgrades!$C$3:$C$13,MATCH(Q783,Upgrades!$B$3:$B$13,0))*1.15^(COUNTIF(Q$4:Q782,Q783)-COUNTIF(Q$4:Q782,""Sell_""&amp;Q783))))))"),"")</f>
        <v/>
      </c>
      <c r="V783" s="10" t="str">
        <f t="shared" si="11"/>
        <v/>
      </c>
      <c r="W783" s="68" t="str">
        <f t="shared" si="12"/>
        <v/>
      </c>
      <c r="X783" s="59" t="str">
        <f t="shared" si="13"/>
        <v/>
      </c>
      <c r="Y783" s="69" t="str">
        <f t="shared" si="14"/>
        <v/>
      </c>
      <c r="Z783" s="11"/>
    </row>
    <row r="784">
      <c r="A784" s="8"/>
      <c r="B784" s="56" t="str">
        <f t="shared" si="2"/>
        <v/>
      </c>
      <c r="C784" s="57"/>
      <c r="D784" s="10" t="str">
        <f>IFERROR(__xludf.DUMMYFUNCTION("IF(COUNTA(C784:C1350)=0,"""",IF(ISBLANK(C784),FALSE,IF(NOT(COUNTIF($AA$24:$AA$34,SUBSTITUTE(C784,""Sell_"",""""))),1,IF(REGEXMATCH(C784,""Sell_""),IF(COUNTIF(C$4:C784,SUBSTITUTE(C784,""Sell_"",""""))-COUNTIF(C$4:C783,C784)&lt;1,1),FALSE))))"),"")</f>
        <v/>
      </c>
      <c r="E784" s="59" t="str">
        <f t="array" ref="E784">IF(COUNTA(C784:C1350)=0,"",SUM((COUNTIF(C$4:C784,Upgrades!$B$3:$B$13)-COUNTIF(C$4:C784,"Sell_"&amp;Upgrades!$B$3:$B$13))*Upgrades!$D$3:$D$13))</f>
        <v/>
      </c>
      <c r="F784" s="66" t="str">
        <f>IFERROR(__xludf.DUMMYFUNCTION("IF(COUNTA(C784:C1350)=0,"""",IF(REGEXMATCH(INDEX(FILTER(C$4:C784,C$4:C784&lt;&gt;""""),ROWS(FILTER(C$4:C784,C$4:C784&lt;&gt;""""))),""^Sell_""),INDEX(FILTER(F$4:F783,C$4:C783&lt;&gt;""""),ROWS(FILTER(C$4:C783,C$4:C783&lt;&gt;""""))),$AC$5+E784))"),"")</f>
        <v/>
      </c>
      <c r="G784" s="10" t="str">
        <f>IFERROR(__xludf.DUMMYFUNCTION("IF(COUNTA(C784:C1350)=0,"""",IF(C784="""",0,IF(REGEXMATCH(C784,""^Sell_""),-ROUNDDOWN(ROUNDUP(INDEX(Upgrades!$C$3:$C$13,MATCH(SUBSTITUTE(C784,""Sell_"",""""),Upgrades!$B$3:$B$13,0))*1.15^(COUNTIF(C$4:C783,SUBSTITUTE(C784,""Sell_"",""""))-COUNTIF(C$4:C783,"&amp;"""Sell_""&amp;SUBSTITUTE(C784,""Sell_"",""""))))/2),ROUNDUP(INDEX(Upgrades!$C$3:$C$13,MATCH(C784,Upgrades!$B$3:$B$13,0))*1.15^(COUNTIF(C$4:C783,C784)-COUNTIF(C$4:C783,""Sell_""&amp;C784))))))"),"")</f>
        <v/>
      </c>
      <c r="H784" s="10" t="str">
        <f t="shared" si="3"/>
        <v/>
      </c>
      <c r="I784" s="68" t="str">
        <f t="shared" si="4"/>
        <v/>
      </c>
      <c r="J784" s="59" t="str">
        <f t="shared" si="5"/>
        <v/>
      </c>
      <c r="K784" s="69" t="str">
        <f t="shared" si="6"/>
        <v/>
      </c>
      <c r="L784" s="60" t="str">
        <f t="shared" si="7"/>
        <v/>
      </c>
      <c r="M784" s="61" t="str">
        <f>IFERROR(__xludf.DUMMYFUNCTION("IFS(AND(COUNTA(C784:C1350)=0,COUNTA(Q784:Q1350)=0),"""",OR(AND(K784&gt;=1000000000,OR(Y784&gt;=1000000000,COUNTA(Q784:Q1350)=0)),OR(Y784&gt;=1000000000,AND(COUNTA(C784:C1350)=0,P$3=TRUE))),
ROUNDDOWN((AB$1-AC$1)*MAX(INDEX(T$4:T1350,MATCH(LARGE(FILTER(Y$4:Y1350,Y$4"&amp;":Y1350&lt;1000000000),1),Y$4:Y1350)),INDEX(F$4:F1350,MATCH(LARGE(FILTER(K$4:K1350,K$4:K1350&lt;1000000000),1),K$4:K1350)))),AND(K784&lt;1000000000,COUNTA(C784:C1350)&gt;0,P$3=FALSE),
ROUNDDOWN(INDEX(Y$4:Y1350,MATCH(LARGE(FILTER(W$4:W1350,W$4:W1350&lt;=I784),1),W$4:W1350"&amp;"))+(I784-LARGE(FILTER(W$4:W1350,W$4:W1350&lt;=I784),1))*INDEX(T$4:T1350,MATCH(LARGE(FILTER(W$4:W1350,W$4:W1350&lt;=I784),1),W$4:W1350))-K784),1,
ROUNDDOWN(Y784-INDEX(K$4:K1350,MATCH(LARGE(FILTER(I$4:I1350,I$4:I1350&lt;=W784),1),I$4:I1350))-(W784-LARGE(FILTER(I$4:I"&amp;"1350,I$4:I1350&lt;=W784),1))*INDEX(F$4:F1350,MATCH(LARGE(FILTER(I$4:I1350,I$4:I1350&lt;=W784),1),I$4:I1350))))"),"")</f>
        <v/>
      </c>
      <c r="N784" s="60" t="str">
        <f t="shared" si="8"/>
        <v/>
      </c>
      <c r="O784" s="61" t="str">
        <f t="shared" si="9"/>
        <v/>
      </c>
      <c r="P784" s="56" t="str">
        <f t="shared" si="10"/>
        <v/>
      </c>
      <c r="Q784" s="62"/>
      <c r="R784" s="10" t="str">
        <f>IFERROR(__xludf.DUMMYFUNCTION("IF(COUNTA(Q784:Q1350)=0,"""",IF(ISBLANK(Q784),FALSE,IF(NOT(COUNTIF($AA$24:$AA$34,SUBSTITUTE(Q784,""Sell_"",""""))),1,IF(REGEXMATCH(Q784,""Sell_""),IF(COUNTIF(Q$4:Q784,SUBSTITUTE(Q784,""Sell_"",""""))-COUNTIF(Q$4:Q783,Q784)&lt;1,1),FALSE))))"),"")</f>
        <v/>
      </c>
      <c r="S784" s="59" t="str">
        <f t="array" ref="S784">IF(COUNTA(Q784:Q1350)=0,"",SUM((COUNTIF(Q$4:Q784,Upgrades!$B$3:$B$13)-COUNTIF(Q$4:Q784,"Sell_"&amp;Upgrades!$B$3:$B$13))*Upgrades!$D$3:$D$13))</f>
        <v/>
      </c>
      <c r="T784" s="66" t="str">
        <f>IFERROR(__xludf.DUMMYFUNCTION("IF(COUNTA(Q784:Q1350)=0,"""",IF(REGEXMATCH(INDEX(FILTER(Q$4:Q784,Q$4:Q784&lt;&gt;""""),ROWS(FILTER(Q$4:Q784,Q$4:Q784&lt;&gt;""""))),""^Sell_""),INDEX(FILTER(T$4:T783,Q$4:Q783&lt;&gt;""""),ROWS(FILTER(Q$4:Q783,Q$4:Q783&lt;&gt;""""))),$AD$5+S784))"),"")</f>
        <v/>
      </c>
      <c r="U784" s="10" t="str">
        <f>IFERROR(__xludf.DUMMYFUNCTION("IF(COUNTA(Q784:Q1350)=0,"""",IF(Q784="""",0,IF(REGEXMATCH(Q784,""^Sell_""),-ROUNDDOWN(ROUNDUP(INDEX(Upgrades!$C$3:$C$13,MATCH(SUBSTITUTE(Q784,""Sell_"",""""),Upgrades!$B$3:$B$13,0))*1.15^(COUNTIF(Q$4:Q783,SUBSTITUTE(Q784,""Sell_"",""""))-COUNTIF(Q$4:Q783,"&amp;"""Sell_""&amp;SUBSTITUTE(Q784,""Sell_"",""""))))/2),ROUNDUP(INDEX(Upgrades!$C$3:$C$13,MATCH(Q784,Upgrades!$B$3:$B$13,0))*1.15^(COUNTIF(Q$4:Q783,Q784)-COUNTIF(Q$4:Q783,""Sell_""&amp;Q784))))))"),"")</f>
        <v/>
      </c>
      <c r="V784" s="10" t="str">
        <f t="shared" si="11"/>
        <v/>
      </c>
      <c r="W784" s="68" t="str">
        <f t="shared" si="12"/>
        <v/>
      </c>
      <c r="X784" s="59" t="str">
        <f t="shared" si="13"/>
        <v/>
      </c>
      <c r="Y784" s="69" t="str">
        <f t="shared" si="14"/>
        <v/>
      </c>
      <c r="Z784" s="11"/>
    </row>
    <row r="785">
      <c r="A785" s="8"/>
      <c r="B785" s="56" t="str">
        <f t="shared" si="2"/>
        <v/>
      </c>
      <c r="C785" s="57"/>
      <c r="D785" s="10" t="str">
        <f>IFERROR(__xludf.DUMMYFUNCTION("IF(COUNTA(C785:C1350)=0,"""",IF(ISBLANK(C785),FALSE,IF(NOT(COUNTIF($AA$24:$AA$34,SUBSTITUTE(C785,""Sell_"",""""))),1,IF(REGEXMATCH(C785,""Sell_""),IF(COUNTIF(C$4:C785,SUBSTITUTE(C785,""Sell_"",""""))-COUNTIF(C$4:C784,C785)&lt;1,1),FALSE))))"),"")</f>
        <v/>
      </c>
      <c r="E785" s="59" t="str">
        <f t="array" ref="E785">IF(COUNTA(C785:C1350)=0,"",SUM((COUNTIF(C$4:C785,Upgrades!$B$3:$B$13)-COUNTIF(C$4:C785,"Sell_"&amp;Upgrades!$B$3:$B$13))*Upgrades!$D$3:$D$13))</f>
        <v/>
      </c>
      <c r="F785" s="66" t="str">
        <f>IFERROR(__xludf.DUMMYFUNCTION("IF(COUNTA(C785:C1350)=0,"""",IF(REGEXMATCH(INDEX(FILTER(C$4:C785,C$4:C785&lt;&gt;""""),ROWS(FILTER(C$4:C785,C$4:C785&lt;&gt;""""))),""^Sell_""),INDEX(FILTER(F$4:F784,C$4:C784&lt;&gt;""""),ROWS(FILTER(C$4:C784,C$4:C784&lt;&gt;""""))),$AC$5+E785))"),"")</f>
        <v/>
      </c>
      <c r="G785" s="10" t="str">
        <f>IFERROR(__xludf.DUMMYFUNCTION("IF(COUNTA(C785:C1350)=0,"""",IF(C785="""",0,IF(REGEXMATCH(C785,""^Sell_""),-ROUNDDOWN(ROUNDUP(INDEX(Upgrades!$C$3:$C$13,MATCH(SUBSTITUTE(C785,""Sell_"",""""),Upgrades!$B$3:$B$13,0))*1.15^(COUNTIF(C$4:C784,SUBSTITUTE(C785,""Sell_"",""""))-COUNTIF(C$4:C784,"&amp;"""Sell_""&amp;SUBSTITUTE(C785,""Sell_"",""""))))/2),ROUNDUP(INDEX(Upgrades!$C$3:$C$13,MATCH(C785,Upgrades!$B$3:$B$13,0))*1.15^(COUNTIF(C$4:C784,C785)-COUNTIF(C$4:C784,""Sell_""&amp;C785))))))"),"")</f>
        <v/>
      </c>
      <c r="H785" s="10" t="str">
        <f t="shared" si="3"/>
        <v/>
      </c>
      <c r="I785" s="68" t="str">
        <f t="shared" si="4"/>
        <v/>
      </c>
      <c r="J785" s="59" t="str">
        <f t="shared" si="5"/>
        <v/>
      </c>
      <c r="K785" s="69" t="str">
        <f t="shared" si="6"/>
        <v/>
      </c>
      <c r="L785" s="60" t="str">
        <f t="shared" si="7"/>
        <v/>
      </c>
      <c r="M785" s="61" t="str">
        <f>IFERROR(__xludf.DUMMYFUNCTION("IFS(AND(COUNTA(C785:C1350)=0,COUNTA(Q785:Q1350)=0),"""",OR(AND(K785&gt;=1000000000,OR(Y785&gt;=1000000000,COUNTA(Q785:Q1350)=0)),OR(Y785&gt;=1000000000,AND(COUNTA(C785:C1350)=0,P$3=TRUE))),
ROUNDDOWN((AB$1-AC$1)*MAX(INDEX(T$4:T1350,MATCH(LARGE(FILTER(Y$4:Y1350,Y$4"&amp;":Y1350&lt;1000000000),1),Y$4:Y1350)),INDEX(F$4:F1350,MATCH(LARGE(FILTER(K$4:K1350,K$4:K1350&lt;1000000000),1),K$4:K1350)))),AND(K785&lt;1000000000,COUNTA(C785:C1350)&gt;0,P$3=FALSE),
ROUNDDOWN(INDEX(Y$4:Y1350,MATCH(LARGE(FILTER(W$4:W1350,W$4:W1350&lt;=I785),1),W$4:W1350"&amp;"))+(I785-LARGE(FILTER(W$4:W1350,W$4:W1350&lt;=I785),1))*INDEX(T$4:T1350,MATCH(LARGE(FILTER(W$4:W1350,W$4:W1350&lt;=I785),1),W$4:W1350))-K785),1,
ROUNDDOWN(Y785-INDEX(K$4:K1350,MATCH(LARGE(FILTER(I$4:I1350,I$4:I1350&lt;=W785),1),I$4:I1350))-(W785-LARGE(FILTER(I$4:I"&amp;"1350,I$4:I1350&lt;=W785),1))*INDEX(F$4:F1350,MATCH(LARGE(FILTER(I$4:I1350,I$4:I1350&lt;=W785),1),I$4:I1350))))"),"")</f>
        <v/>
      </c>
      <c r="N785" s="60" t="str">
        <f t="shared" si="8"/>
        <v/>
      </c>
      <c r="O785" s="61" t="str">
        <f t="shared" si="9"/>
        <v/>
      </c>
      <c r="P785" s="56" t="str">
        <f t="shared" si="10"/>
        <v/>
      </c>
      <c r="Q785" s="62"/>
      <c r="R785" s="10" t="str">
        <f>IFERROR(__xludf.DUMMYFUNCTION("IF(COUNTA(Q785:Q1350)=0,"""",IF(ISBLANK(Q785),FALSE,IF(NOT(COUNTIF($AA$24:$AA$34,SUBSTITUTE(Q785,""Sell_"",""""))),1,IF(REGEXMATCH(Q785,""Sell_""),IF(COUNTIF(Q$4:Q785,SUBSTITUTE(Q785,""Sell_"",""""))-COUNTIF(Q$4:Q784,Q785)&lt;1,1),FALSE))))"),"")</f>
        <v/>
      </c>
      <c r="S785" s="59" t="str">
        <f t="array" ref="S785">IF(COUNTA(Q785:Q1350)=0,"",SUM((COUNTIF(Q$4:Q785,Upgrades!$B$3:$B$13)-COUNTIF(Q$4:Q785,"Sell_"&amp;Upgrades!$B$3:$B$13))*Upgrades!$D$3:$D$13))</f>
        <v/>
      </c>
      <c r="T785" s="66" t="str">
        <f>IFERROR(__xludf.DUMMYFUNCTION("IF(COUNTA(Q785:Q1350)=0,"""",IF(REGEXMATCH(INDEX(FILTER(Q$4:Q785,Q$4:Q785&lt;&gt;""""),ROWS(FILTER(Q$4:Q785,Q$4:Q785&lt;&gt;""""))),""^Sell_""),INDEX(FILTER(T$4:T784,Q$4:Q784&lt;&gt;""""),ROWS(FILTER(Q$4:Q784,Q$4:Q784&lt;&gt;""""))),$AD$5+S785))"),"")</f>
        <v/>
      </c>
      <c r="U785" s="10" t="str">
        <f>IFERROR(__xludf.DUMMYFUNCTION("IF(COUNTA(Q785:Q1350)=0,"""",IF(Q785="""",0,IF(REGEXMATCH(Q785,""^Sell_""),-ROUNDDOWN(ROUNDUP(INDEX(Upgrades!$C$3:$C$13,MATCH(SUBSTITUTE(Q785,""Sell_"",""""),Upgrades!$B$3:$B$13,0))*1.15^(COUNTIF(Q$4:Q784,SUBSTITUTE(Q785,""Sell_"",""""))-COUNTIF(Q$4:Q784,"&amp;"""Sell_""&amp;SUBSTITUTE(Q785,""Sell_"",""""))))/2),ROUNDUP(INDEX(Upgrades!$C$3:$C$13,MATCH(Q785,Upgrades!$B$3:$B$13,0))*1.15^(COUNTIF(Q$4:Q784,Q785)-COUNTIF(Q$4:Q784,""Sell_""&amp;Q785))))))"),"")</f>
        <v/>
      </c>
      <c r="V785" s="10" t="str">
        <f t="shared" si="11"/>
        <v/>
      </c>
      <c r="W785" s="68" t="str">
        <f t="shared" si="12"/>
        <v/>
      </c>
      <c r="X785" s="59" t="str">
        <f t="shared" si="13"/>
        <v/>
      </c>
      <c r="Y785" s="69" t="str">
        <f t="shared" si="14"/>
        <v/>
      </c>
      <c r="Z785" s="11"/>
    </row>
    <row r="786">
      <c r="A786" s="8"/>
      <c r="B786" s="56" t="str">
        <f t="shared" si="2"/>
        <v/>
      </c>
      <c r="C786" s="57"/>
      <c r="D786" s="10" t="str">
        <f>IFERROR(__xludf.DUMMYFUNCTION("IF(COUNTA(C786:C1350)=0,"""",IF(ISBLANK(C786),FALSE,IF(NOT(COUNTIF($AA$24:$AA$34,SUBSTITUTE(C786,""Sell_"",""""))),1,IF(REGEXMATCH(C786,""Sell_""),IF(COUNTIF(C$4:C786,SUBSTITUTE(C786,""Sell_"",""""))-COUNTIF(C$4:C785,C786)&lt;1,1),FALSE))))"),"")</f>
        <v/>
      </c>
      <c r="E786" s="59" t="str">
        <f t="array" ref="E786">IF(COUNTA(C786:C1350)=0,"",SUM((COUNTIF(C$4:C786,Upgrades!$B$3:$B$13)-COUNTIF(C$4:C786,"Sell_"&amp;Upgrades!$B$3:$B$13))*Upgrades!$D$3:$D$13))</f>
        <v/>
      </c>
      <c r="F786" s="66" t="str">
        <f>IFERROR(__xludf.DUMMYFUNCTION("IF(COUNTA(C786:C1350)=0,"""",IF(REGEXMATCH(INDEX(FILTER(C$4:C786,C$4:C786&lt;&gt;""""),ROWS(FILTER(C$4:C786,C$4:C786&lt;&gt;""""))),""^Sell_""),INDEX(FILTER(F$4:F785,C$4:C785&lt;&gt;""""),ROWS(FILTER(C$4:C785,C$4:C785&lt;&gt;""""))),$AC$5+E786))"),"")</f>
        <v/>
      </c>
      <c r="G786" s="10" t="str">
        <f>IFERROR(__xludf.DUMMYFUNCTION("IF(COUNTA(C786:C1350)=0,"""",IF(C786="""",0,IF(REGEXMATCH(C786,""^Sell_""),-ROUNDDOWN(ROUNDUP(INDEX(Upgrades!$C$3:$C$13,MATCH(SUBSTITUTE(C786,""Sell_"",""""),Upgrades!$B$3:$B$13,0))*1.15^(COUNTIF(C$4:C785,SUBSTITUTE(C786,""Sell_"",""""))-COUNTIF(C$4:C785,"&amp;"""Sell_""&amp;SUBSTITUTE(C786,""Sell_"",""""))))/2),ROUNDUP(INDEX(Upgrades!$C$3:$C$13,MATCH(C786,Upgrades!$B$3:$B$13,0))*1.15^(COUNTIF(C$4:C785,C786)-COUNTIF(C$4:C785,""Sell_""&amp;C786))))))"),"")</f>
        <v/>
      </c>
      <c r="H786" s="10" t="str">
        <f t="shared" si="3"/>
        <v/>
      </c>
      <c r="I786" s="68" t="str">
        <f t="shared" si="4"/>
        <v/>
      </c>
      <c r="J786" s="59" t="str">
        <f t="shared" si="5"/>
        <v/>
      </c>
      <c r="K786" s="69" t="str">
        <f t="shared" si="6"/>
        <v/>
      </c>
      <c r="L786" s="60" t="str">
        <f t="shared" si="7"/>
        <v/>
      </c>
      <c r="M786" s="61" t="str">
        <f>IFERROR(__xludf.DUMMYFUNCTION("IFS(AND(COUNTA(C786:C1350)=0,COUNTA(Q786:Q1350)=0),"""",OR(AND(K786&gt;=1000000000,OR(Y786&gt;=1000000000,COUNTA(Q786:Q1350)=0)),OR(Y786&gt;=1000000000,AND(COUNTA(C786:C1350)=0,P$3=TRUE))),
ROUNDDOWN((AB$1-AC$1)*MAX(INDEX(T$4:T1350,MATCH(LARGE(FILTER(Y$4:Y1350,Y$4"&amp;":Y1350&lt;1000000000),1),Y$4:Y1350)),INDEX(F$4:F1350,MATCH(LARGE(FILTER(K$4:K1350,K$4:K1350&lt;1000000000),1),K$4:K1350)))),AND(K786&lt;1000000000,COUNTA(C786:C1350)&gt;0,P$3=FALSE),
ROUNDDOWN(INDEX(Y$4:Y1350,MATCH(LARGE(FILTER(W$4:W1350,W$4:W1350&lt;=I786),1),W$4:W1350"&amp;"))+(I786-LARGE(FILTER(W$4:W1350,W$4:W1350&lt;=I786),1))*INDEX(T$4:T1350,MATCH(LARGE(FILTER(W$4:W1350,W$4:W1350&lt;=I786),1),W$4:W1350))-K786),1,
ROUNDDOWN(Y786-INDEX(K$4:K1350,MATCH(LARGE(FILTER(I$4:I1350,I$4:I1350&lt;=W786),1),I$4:I1350))-(W786-LARGE(FILTER(I$4:I"&amp;"1350,I$4:I1350&lt;=W786),1))*INDEX(F$4:F1350,MATCH(LARGE(FILTER(I$4:I1350,I$4:I1350&lt;=W786),1),I$4:I1350))))"),"")</f>
        <v/>
      </c>
      <c r="N786" s="60" t="str">
        <f t="shared" si="8"/>
        <v/>
      </c>
      <c r="O786" s="61" t="str">
        <f t="shared" si="9"/>
        <v/>
      </c>
      <c r="P786" s="56" t="str">
        <f t="shared" si="10"/>
        <v/>
      </c>
      <c r="Q786" s="62"/>
      <c r="R786" s="10" t="str">
        <f>IFERROR(__xludf.DUMMYFUNCTION("IF(COUNTA(Q786:Q1350)=0,"""",IF(ISBLANK(Q786),FALSE,IF(NOT(COUNTIF($AA$24:$AA$34,SUBSTITUTE(Q786,""Sell_"",""""))),1,IF(REGEXMATCH(Q786,""Sell_""),IF(COUNTIF(Q$4:Q786,SUBSTITUTE(Q786,""Sell_"",""""))-COUNTIF(Q$4:Q785,Q786)&lt;1,1),FALSE))))"),"")</f>
        <v/>
      </c>
      <c r="S786" s="59" t="str">
        <f t="array" ref="S786">IF(COUNTA(Q786:Q1350)=0,"",SUM((COUNTIF(Q$4:Q786,Upgrades!$B$3:$B$13)-COUNTIF(Q$4:Q786,"Sell_"&amp;Upgrades!$B$3:$B$13))*Upgrades!$D$3:$D$13))</f>
        <v/>
      </c>
      <c r="T786" s="66" t="str">
        <f>IFERROR(__xludf.DUMMYFUNCTION("IF(COUNTA(Q786:Q1350)=0,"""",IF(REGEXMATCH(INDEX(FILTER(Q$4:Q786,Q$4:Q786&lt;&gt;""""),ROWS(FILTER(Q$4:Q786,Q$4:Q786&lt;&gt;""""))),""^Sell_""),INDEX(FILTER(T$4:T785,Q$4:Q785&lt;&gt;""""),ROWS(FILTER(Q$4:Q785,Q$4:Q785&lt;&gt;""""))),$AD$5+S786))"),"")</f>
        <v/>
      </c>
      <c r="U786" s="10" t="str">
        <f>IFERROR(__xludf.DUMMYFUNCTION("IF(COUNTA(Q786:Q1350)=0,"""",IF(Q786="""",0,IF(REGEXMATCH(Q786,""^Sell_""),-ROUNDDOWN(ROUNDUP(INDEX(Upgrades!$C$3:$C$13,MATCH(SUBSTITUTE(Q786,""Sell_"",""""),Upgrades!$B$3:$B$13,0))*1.15^(COUNTIF(Q$4:Q785,SUBSTITUTE(Q786,""Sell_"",""""))-COUNTIF(Q$4:Q785,"&amp;"""Sell_""&amp;SUBSTITUTE(Q786,""Sell_"",""""))))/2),ROUNDUP(INDEX(Upgrades!$C$3:$C$13,MATCH(Q786,Upgrades!$B$3:$B$13,0))*1.15^(COUNTIF(Q$4:Q785,Q786)-COUNTIF(Q$4:Q785,""Sell_""&amp;Q786))))))"),"")</f>
        <v/>
      </c>
      <c r="V786" s="10" t="str">
        <f t="shared" si="11"/>
        <v/>
      </c>
      <c r="W786" s="68" t="str">
        <f t="shared" si="12"/>
        <v/>
      </c>
      <c r="X786" s="59" t="str">
        <f t="shared" si="13"/>
        <v/>
      </c>
      <c r="Y786" s="69" t="str">
        <f t="shared" si="14"/>
        <v/>
      </c>
      <c r="Z786" s="11"/>
    </row>
    <row r="787">
      <c r="A787" s="8"/>
      <c r="B787" s="56" t="str">
        <f t="shared" si="2"/>
        <v/>
      </c>
      <c r="C787" s="57"/>
      <c r="D787" s="10" t="str">
        <f>IFERROR(__xludf.DUMMYFUNCTION("IF(COUNTA(C787:C1350)=0,"""",IF(ISBLANK(C787),FALSE,IF(NOT(COUNTIF($AA$24:$AA$34,SUBSTITUTE(C787,""Sell_"",""""))),1,IF(REGEXMATCH(C787,""Sell_""),IF(COUNTIF(C$4:C787,SUBSTITUTE(C787,""Sell_"",""""))-COUNTIF(C$4:C786,C787)&lt;1,1),FALSE))))"),"")</f>
        <v/>
      </c>
      <c r="E787" s="59" t="str">
        <f t="array" ref="E787">IF(COUNTA(C787:C1350)=0,"",SUM((COUNTIF(C$4:C787,Upgrades!$B$3:$B$13)-COUNTIF(C$4:C787,"Sell_"&amp;Upgrades!$B$3:$B$13))*Upgrades!$D$3:$D$13))</f>
        <v/>
      </c>
      <c r="F787" s="66" t="str">
        <f>IFERROR(__xludf.DUMMYFUNCTION("IF(COUNTA(C787:C1350)=0,"""",IF(REGEXMATCH(INDEX(FILTER(C$4:C787,C$4:C787&lt;&gt;""""),ROWS(FILTER(C$4:C787,C$4:C787&lt;&gt;""""))),""^Sell_""),INDEX(FILTER(F$4:F786,C$4:C786&lt;&gt;""""),ROWS(FILTER(C$4:C786,C$4:C786&lt;&gt;""""))),$AC$5+E787))"),"")</f>
        <v/>
      </c>
      <c r="G787" s="10" t="str">
        <f>IFERROR(__xludf.DUMMYFUNCTION("IF(COUNTA(C787:C1350)=0,"""",IF(C787="""",0,IF(REGEXMATCH(C787,""^Sell_""),-ROUNDDOWN(ROUNDUP(INDEX(Upgrades!$C$3:$C$13,MATCH(SUBSTITUTE(C787,""Sell_"",""""),Upgrades!$B$3:$B$13,0))*1.15^(COUNTIF(C$4:C786,SUBSTITUTE(C787,""Sell_"",""""))-COUNTIF(C$4:C786,"&amp;"""Sell_""&amp;SUBSTITUTE(C787,""Sell_"",""""))))/2),ROUNDUP(INDEX(Upgrades!$C$3:$C$13,MATCH(C787,Upgrades!$B$3:$B$13,0))*1.15^(COUNTIF(C$4:C786,C787)-COUNTIF(C$4:C786,""Sell_""&amp;C787))))))"),"")</f>
        <v/>
      </c>
      <c r="H787" s="10" t="str">
        <f t="shared" si="3"/>
        <v/>
      </c>
      <c r="I787" s="68" t="str">
        <f t="shared" si="4"/>
        <v/>
      </c>
      <c r="J787" s="59" t="str">
        <f t="shared" si="5"/>
        <v/>
      </c>
      <c r="K787" s="69" t="str">
        <f t="shared" si="6"/>
        <v/>
      </c>
      <c r="L787" s="60" t="str">
        <f t="shared" si="7"/>
        <v/>
      </c>
      <c r="M787" s="61" t="str">
        <f>IFERROR(__xludf.DUMMYFUNCTION("IFS(AND(COUNTA(C787:C1350)=0,COUNTA(Q787:Q1350)=0),"""",OR(AND(K787&gt;=1000000000,OR(Y787&gt;=1000000000,COUNTA(Q787:Q1350)=0)),OR(Y787&gt;=1000000000,AND(COUNTA(C787:C1350)=0,P$3=TRUE))),
ROUNDDOWN((AB$1-AC$1)*MAX(INDEX(T$4:T1350,MATCH(LARGE(FILTER(Y$4:Y1350,Y$4"&amp;":Y1350&lt;1000000000),1),Y$4:Y1350)),INDEX(F$4:F1350,MATCH(LARGE(FILTER(K$4:K1350,K$4:K1350&lt;1000000000),1),K$4:K1350)))),AND(K787&lt;1000000000,COUNTA(C787:C1350)&gt;0,P$3=FALSE),
ROUNDDOWN(INDEX(Y$4:Y1350,MATCH(LARGE(FILTER(W$4:W1350,W$4:W1350&lt;=I787),1),W$4:W1350"&amp;"))+(I787-LARGE(FILTER(W$4:W1350,W$4:W1350&lt;=I787),1))*INDEX(T$4:T1350,MATCH(LARGE(FILTER(W$4:W1350,W$4:W1350&lt;=I787),1),W$4:W1350))-K787),1,
ROUNDDOWN(Y787-INDEX(K$4:K1350,MATCH(LARGE(FILTER(I$4:I1350,I$4:I1350&lt;=W787),1),I$4:I1350))-(W787-LARGE(FILTER(I$4:I"&amp;"1350,I$4:I1350&lt;=W787),1))*INDEX(F$4:F1350,MATCH(LARGE(FILTER(I$4:I1350,I$4:I1350&lt;=W787),1),I$4:I1350))))"),"")</f>
        <v/>
      </c>
      <c r="N787" s="60" t="str">
        <f t="shared" si="8"/>
        <v/>
      </c>
      <c r="O787" s="61" t="str">
        <f t="shared" si="9"/>
        <v/>
      </c>
      <c r="P787" s="56" t="str">
        <f t="shared" si="10"/>
        <v/>
      </c>
      <c r="Q787" s="62"/>
      <c r="R787" s="10" t="str">
        <f>IFERROR(__xludf.DUMMYFUNCTION("IF(COUNTA(Q787:Q1350)=0,"""",IF(ISBLANK(Q787),FALSE,IF(NOT(COUNTIF($AA$24:$AA$34,SUBSTITUTE(Q787,""Sell_"",""""))),1,IF(REGEXMATCH(Q787,""Sell_""),IF(COUNTIF(Q$4:Q787,SUBSTITUTE(Q787,""Sell_"",""""))-COUNTIF(Q$4:Q786,Q787)&lt;1,1),FALSE))))"),"")</f>
        <v/>
      </c>
      <c r="S787" s="59" t="str">
        <f t="array" ref="S787">IF(COUNTA(Q787:Q1350)=0,"",SUM((COUNTIF(Q$4:Q787,Upgrades!$B$3:$B$13)-COUNTIF(Q$4:Q787,"Sell_"&amp;Upgrades!$B$3:$B$13))*Upgrades!$D$3:$D$13))</f>
        <v/>
      </c>
      <c r="T787" s="66" t="str">
        <f>IFERROR(__xludf.DUMMYFUNCTION("IF(COUNTA(Q787:Q1350)=0,"""",IF(REGEXMATCH(INDEX(FILTER(Q$4:Q787,Q$4:Q787&lt;&gt;""""),ROWS(FILTER(Q$4:Q787,Q$4:Q787&lt;&gt;""""))),""^Sell_""),INDEX(FILTER(T$4:T786,Q$4:Q786&lt;&gt;""""),ROWS(FILTER(Q$4:Q786,Q$4:Q786&lt;&gt;""""))),$AD$5+S787))"),"")</f>
        <v/>
      </c>
      <c r="U787" s="10" t="str">
        <f>IFERROR(__xludf.DUMMYFUNCTION("IF(COUNTA(Q787:Q1350)=0,"""",IF(Q787="""",0,IF(REGEXMATCH(Q787,""^Sell_""),-ROUNDDOWN(ROUNDUP(INDEX(Upgrades!$C$3:$C$13,MATCH(SUBSTITUTE(Q787,""Sell_"",""""),Upgrades!$B$3:$B$13,0))*1.15^(COUNTIF(Q$4:Q786,SUBSTITUTE(Q787,""Sell_"",""""))-COUNTIF(Q$4:Q786,"&amp;"""Sell_""&amp;SUBSTITUTE(Q787,""Sell_"",""""))))/2),ROUNDUP(INDEX(Upgrades!$C$3:$C$13,MATCH(Q787,Upgrades!$B$3:$B$13,0))*1.15^(COUNTIF(Q$4:Q786,Q787)-COUNTIF(Q$4:Q786,""Sell_""&amp;Q787))))))"),"")</f>
        <v/>
      </c>
      <c r="V787" s="10" t="str">
        <f t="shared" si="11"/>
        <v/>
      </c>
      <c r="W787" s="68" t="str">
        <f t="shared" si="12"/>
        <v/>
      </c>
      <c r="X787" s="59" t="str">
        <f t="shared" si="13"/>
        <v/>
      </c>
      <c r="Y787" s="69" t="str">
        <f t="shared" si="14"/>
        <v/>
      </c>
      <c r="Z787" s="11"/>
    </row>
    <row r="788">
      <c r="A788" s="8"/>
      <c r="B788" s="56" t="str">
        <f t="shared" si="2"/>
        <v/>
      </c>
      <c r="C788" s="57"/>
      <c r="D788" s="10" t="str">
        <f>IFERROR(__xludf.DUMMYFUNCTION("IF(COUNTA(C788:C1350)=0,"""",IF(ISBLANK(C788),FALSE,IF(NOT(COUNTIF($AA$24:$AA$34,SUBSTITUTE(C788,""Sell_"",""""))),1,IF(REGEXMATCH(C788,""Sell_""),IF(COUNTIF(C$4:C788,SUBSTITUTE(C788,""Sell_"",""""))-COUNTIF(C$4:C787,C788)&lt;1,1),FALSE))))"),"")</f>
        <v/>
      </c>
      <c r="E788" s="59" t="str">
        <f t="array" ref="E788">IF(COUNTA(C788:C1350)=0,"",SUM((COUNTIF(C$4:C788,Upgrades!$B$3:$B$13)-COUNTIF(C$4:C788,"Sell_"&amp;Upgrades!$B$3:$B$13))*Upgrades!$D$3:$D$13))</f>
        <v/>
      </c>
      <c r="F788" s="66" t="str">
        <f>IFERROR(__xludf.DUMMYFUNCTION("IF(COUNTA(C788:C1350)=0,"""",IF(REGEXMATCH(INDEX(FILTER(C$4:C788,C$4:C788&lt;&gt;""""),ROWS(FILTER(C$4:C788,C$4:C788&lt;&gt;""""))),""^Sell_""),INDEX(FILTER(F$4:F787,C$4:C787&lt;&gt;""""),ROWS(FILTER(C$4:C787,C$4:C787&lt;&gt;""""))),$AC$5+E788))"),"")</f>
        <v/>
      </c>
      <c r="G788" s="10" t="str">
        <f>IFERROR(__xludf.DUMMYFUNCTION("IF(COUNTA(C788:C1350)=0,"""",IF(C788="""",0,IF(REGEXMATCH(C788,""^Sell_""),-ROUNDDOWN(ROUNDUP(INDEX(Upgrades!$C$3:$C$13,MATCH(SUBSTITUTE(C788,""Sell_"",""""),Upgrades!$B$3:$B$13,0))*1.15^(COUNTIF(C$4:C787,SUBSTITUTE(C788,""Sell_"",""""))-COUNTIF(C$4:C787,"&amp;"""Sell_""&amp;SUBSTITUTE(C788,""Sell_"",""""))))/2),ROUNDUP(INDEX(Upgrades!$C$3:$C$13,MATCH(C788,Upgrades!$B$3:$B$13,0))*1.15^(COUNTIF(C$4:C787,C788)-COUNTIF(C$4:C787,""Sell_""&amp;C788))))))"),"")</f>
        <v/>
      </c>
      <c r="H788" s="10" t="str">
        <f t="shared" si="3"/>
        <v/>
      </c>
      <c r="I788" s="68" t="str">
        <f t="shared" si="4"/>
        <v/>
      </c>
      <c r="J788" s="59" t="str">
        <f t="shared" si="5"/>
        <v/>
      </c>
      <c r="K788" s="69" t="str">
        <f t="shared" si="6"/>
        <v/>
      </c>
      <c r="L788" s="60" t="str">
        <f t="shared" si="7"/>
        <v/>
      </c>
      <c r="M788" s="61" t="str">
        <f>IFERROR(__xludf.DUMMYFUNCTION("IFS(AND(COUNTA(C788:C1350)=0,COUNTA(Q788:Q1350)=0),"""",OR(AND(K788&gt;=1000000000,OR(Y788&gt;=1000000000,COUNTA(Q788:Q1350)=0)),OR(Y788&gt;=1000000000,AND(COUNTA(C788:C1350)=0,P$3=TRUE))),
ROUNDDOWN((AB$1-AC$1)*MAX(INDEX(T$4:T1350,MATCH(LARGE(FILTER(Y$4:Y1350,Y$4"&amp;":Y1350&lt;1000000000),1),Y$4:Y1350)),INDEX(F$4:F1350,MATCH(LARGE(FILTER(K$4:K1350,K$4:K1350&lt;1000000000),1),K$4:K1350)))),AND(K788&lt;1000000000,COUNTA(C788:C1350)&gt;0,P$3=FALSE),
ROUNDDOWN(INDEX(Y$4:Y1350,MATCH(LARGE(FILTER(W$4:W1350,W$4:W1350&lt;=I788),1),W$4:W1350"&amp;"))+(I788-LARGE(FILTER(W$4:W1350,W$4:W1350&lt;=I788),1))*INDEX(T$4:T1350,MATCH(LARGE(FILTER(W$4:W1350,W$4:W1350&lt;=I788),1),W$4:W1350))-K788),1,
ROUNDDOWN(Y788-INDEX(K$4:K1350,MATCH(LARGE(FILTER(I$4:I1350,I$4:I1350&lt;=W788),1),I$4:I1350))-(W788-LARGE(FILTER(I$4:I"&amp;"1350,I$4:I1350&lt;=W788),1))*INDEX(F$4:F1350,MATCH(LARGE(FILTER(I$4:I1350,I$4:I1350&lt;=W788),1),I$4:I1350))))"),"")</f>
        <v/>
      </c>
      <c r="N788" s="60" t="str">
        <f t="shared" si="8"/>
        <v/>
      </c>
      <c r="O788" s="61" t="str">
        <f t="shared" si="9"/>
        <v/>
      </c>
      <c r="P788" s="56" t="str">
        <f t="shared" si="10"/>
        <v/>
      </c>
      <c r="Q788" s="62"/>
      <c r="R788" s="10" t="str">
        <f>IFERROR(__xludf.DUMMYFUNCTION("IF(COUNTA(Q788:Q1350)=0,"""",IF(ISBLANK(Q788),FALSE,IF(NOT(COUNTIF($AA$24:$AA$34,SUBSTITUTE(Q788,""Sell_"",""""))),1,IF(REGEXMATCH(Q788,""Sell_""),IF(COUNTIF(Q$4:Q788,SUBSTITUTE(Q788,""Sell_"",""""))-COUNTIF(Q$4:Q787,Q788)&lt;1,1),FALSE))))"),"")</f>
        <v/>
      </c>
      <c r="S788" s="59" t="str">
        <f t="array" ref="S788">IF(COUNTA(Q788:Q1350)=0,"",SUM((COUNTIF(Q$4:Q788,Upgrades!$B$3:$B$13)-COUNTIF(Q$4:Q788,"Sell_"&amp;Upgrades!$B$3:$B$13))*Upgrades!$D$3:$D$13))</f>
        <v/>
      </c>
      <c r="T788" s="66" t="str">
        <f>IFERROR(__xludf.DUMMYFUNCTION("IF(COUNTA(Q788:Q1350)=0,"""",IF(REGEXMATCH(INDEX(FILTER(Q$4:Q788,Q$4:Q788&lt;&gt;""""),ROWS(FILTER(Q$4:Q788,Q$4:Q788&lt;&gt;""""))),""^Sell_""),INDEX(FILTER(T$4:T787,Q$4:Q787&lt;&gt;""""),ROWS(FILTER(Q$4:Q787,Q$4:Q787&lt;&gt;""""))),$AD$5+S788))"),"")</f>
        <v/>
      </c>
      <c r="U788" s="10" t="str">
        <f>IFERROR(__xludf.DUMMYFUNCTION("IF(COUNTA(Q788:Q1350)=0,"""",IF(Q788="""",0,IF(REGEXMATCH(Q788,""^Sell_""),-ROUNDDOWN(ROUNDUP(INDEX(Upgrades!$C$3:$C$13,MATCH(SUBSTITUTE(Q788,""Sell_"",""""),Upgrades!$B$3:$B$13,0))*1.15^(COUNTIF(Q$4:Q787,SUBSTITUTE(Q788,""Sell_"",""""))-COUNTIF(Q$4:Q787,"&amp;"""Sell_""&amp;SUBSTITUTE(Q788,""Sell_"",""""))))/2),ROUNDUP(INDEX(Upgrades!$C$3:$C$13,MATCH(Q788,Upgrades!$B$3:$B$13,0))*1.15^(COUNTIF(Q$4:Q787,Q788)-COUNTIF(Q$4:Q787,""Sell_""&amp;Q788))))))"),"")</f>
        <v/>
      </c>
      <c r="V788" s="10" t="str">
        <f t="shared" si="11"/>
        <v/>
      </c>
      <c r="W788" s="68" t="str">
        <f t="shared" si="12"/>
        <v/>
      </c>
      <c r="X788" s="59" t="str">
        <f t="shared" si="13"/>
        <v/>
      </c>
      <c r="Y788" s="69" t="str">
        <f t="shared" si="14"/>
        <v/>
      </c>
      <c r="Z788" s="11"/>
    </row>
    <row r="789">
      <c r="A789" s="8"/>
      <c r="B789" s="56" t="str">
        <f t="shared" si="2"/>
        <v/>
      </c>
      <c r="C789" s="57"/>
      <c r="D789" s="10" t="str">
        <f>IFERROR(__xludf.DUMMYFUNCTION("IF(COUNTA(C789:C1350)=0,"""",IF(ISBLANK(C789),FALSE,IF(NOT(COUNTIF($AA$24:$AA$34,SUBSTITUTE(C789,""Sell_"",""""))),1,IF(REGEXMATCH(C789,""Sell_""),IF(COUNTIF(C$4:C789,SUBSTITUTE(C789,""Sell_"",""""))-COUNTIF(C$4:C788,C789)&lt;1,1),FALSE))))"),"")</f>
        <v/>
      </c>
      <c r="E789" s="59" t="str">
        <f t="array" ref="E789">IF(COUNTA(C789:C1350)=0,"",SUM((COUNTIF(C$4:C789,Upgrades!$B$3:$B$13)-COUNTIF(C$4:C789,"Sell_"&amp;Upgrades!$B$3:$B$13))*Upgrades!$D$3:$D$13))</f>
        <v/>
      </c>
      <c r="F789" s="66" t="str">
        <f>IFERROR(__xludf.DUMMYFUNCTION("IF(COUNTA(C789:C1350)=0,"""",IF(REGEXMATCH(INDEX(FILTER(C$4:C789,C$4:C789&lt;&gt;""""),ROWS(FILTER(C$4:C789,C$4:C789&lt;&gt;""""))),""^Sell_""),INDEX(FILTER(F$4:F788,C$4:C788&lt;&gt;""""),ROWS(FILTER(C$4:C788,C$4:C788&lt;&gt;""""))),$AC$5+E789))"),"")</f>
        <v/>
      </c>
      <c r="G789" s="10" t="str">
        <f>IFERROR(__xludf.DUMMYFUNCTION("IF(COUNTA(C789:C1350)=0,"""",IF(C789="""",0,IF(REGEXMATCH(C789,""^Sell_""),-ROUNDDOWN(ROUNDUP(INDEX(Upgrades!$C$3:$C$13,MATCH(SUBSTITUTE(C789,""Sell_"",""""),Upgrades!$B$3:$B$13,0))*1.15^(COUNTIF(C$4:C788,SUBSTITUTE(C789,""Sell_"",""""))-COUNTIF(C$4:C788,"&amp;"""Sell_""&amp;SUBSTITUTE(C789,""Sell_"",""""))))/2),ROUNDUP(INDEX(Upgrades!$C$3:$C$13,MATCH(C789,Upgrades!$B$3:$B$13,0))*1.15^(COUNTIF(C$4:C788,C789)-COUNTIF(C$4:C788,""Sell_""&amp;C789))))))"),"")</f>
        <v/>
      </c>
      <c r="H789" s="10" t="str">
        <f t="shared" si="3"/>
        <v/>
      </c>
      <c r="I789" s="68" t="str">
        <f t="shared" si="4"/>
        <v/>
      </c>
      <c r="J789" s="59" t="str">
        <f t="shared" si="5"/>
        <v/>
      </c>
      <c r="K789" s="69" t="str">
        <f t="shared" si="6"/>
        <v/>
      </c>
      <c r="L789" s="60" t="str">
        <f t="shared" si="7"/>
        <v/>
      </c>
      <c r="M789" s="61" t="str">
        <f>IFERROR(__xludf.DUMMYFUNCTION("IFS(AND(COUNTA(C789:C1350)=0,COUNTA(Q789:Q1350)=0),"""",OR(AND(K789&gt;=1000000000,OR(Y789&gt;=1000000000,COUNTA(Q789:Q1350)=0)),OR(Y789&gt;=1000000000,AND(COUNTA(C789:C1350)=0,P$3=TRUE))),
ROUNDDOWN((AB$1-AC$1)*MAX(INDEX(T$4:T1350,MATCH(LARGE(FILTER(Y$4:Y1350,Y$4"&amp;":Y1350&lt;1000000000),1),Y$4:Y1350)),INDEX(F$4:F1350,MATCH(LARGE(FILTER(K$4:K1350,K$4:K1350&lt;1000000000),1),K$4:K1350)))),AND(K789&lt;1000000000,COUNTA(C789:C1350)&gt;0,P$3=FALSE),
ROUNDDOWN(INDEX(Y$4:Y1350,MATCH(LARGE(FILTER(W$4:W1350,W$4:W1350&lt;=I789),1),W$4:W1350"&amp;"))+(I789-LARGE(FILTER(W$4:W1350,W$4:W1350&lt;=I789),1))*INDEX(T$4:T1350,MATCH(LARGE(FILTER(W$4:W1350,W$4:W1350&lt;=I789),1),W$4:W1350))-K789),1,
ROUNDDOWN(Y789-INDEX(K$4:K1350,MATCH(LARGE(FILTER(I$4:I1350,I$4:I1350&lt;=W789),1),I$4:I1350))-(W789-LARGE(FILTER(I$4:I"&amp;"1350,I$4:I1350&lt;=W789),1))*INDEX(F$4:F1350,MATCH(LARGE(FILTER(I$4:I1350,I$4:I1350&lt;=W789),1),I$4:I1350))))"),"")</f>
        <v/>
      </c>
      <c r="N789" s="60" t="str">
        <f t="shared" si="8"/>
        <v/>
      </c>
      <c r="O789" s="61" t="str">
        <f t="shared" si="9"/>
        <v/>
      </c>
      <c r="P789" s="56" t="str">
        <f t="shared" si="10"/>
        <v/>
      </c>
      <c r="Q789" s="62"/>
      <c r="R789" s="10" t="str">
        <f>IFERROR(__xludf.DUMMYFUNCTION("IF(COUNTA(Q789:Q1350)=0,"""",IF(ISBLANK(Q789),FALSE,IF(NOT(COUNTIF($AA$24:$AA$34,SUBSTITUTE(Q789,""Sell_"",""""))),1,IF(REGEXMATCH(Q789,""Sell_""),IF(COUNTIF(Q$4:Q789,SUBSTITUTE(Q789,""Sell_"",""""))-COUNTIF(Q$4:Q788,Q789)&lt;1,1),FALSE))))"),"")</f>
        <v/>
      </c>
      <c r="S789" s="59" t="str">
        <f t="array" ref="S789">IF(COUNTA(Q789:Q1350)=0,"",SUM((COUNTIF(Q$4:Q789,Upgrades!$B$3:$B$13)-COUNTIF(Q$4:Q789,"Sell_"&amp;Upgrades!$B$3:$B$13))*Upgrades!$D$3:$D$13))</f>
        <v/>
      </c>
      <c r="T789" s="66" t="str">
        <f>IFERROR(__xludf.DUMMYFUNCTION("IF(COUNTA(Q789:Q1350)=0,"""",IF(REGEXMATCH(INDEX(FILTER(Q$4:Q789,Q$4:Q789&lt;&gt;""""),ROWS(FILTER(Q$4:Q789,Q$4:Q789&lt;&gt;""""))),""^Sell_""),INDEX(FILTER(T$4:T788,Q$4:Q788&lt;&gt;""""),ROWS(FILTER(Q$4:Q788,Q$4:Q788&lt;&gt;""""))),$AD$5+S789))"),"")</f>
        <v/>
      </c>
      <c r="U789" s="10" t="str">
        <f>IFERROR(__xludf.DUMMYFUNCTION("IF(COUNTA(Q789:Q1350)=0,"""",IF(Q789="""",0,IF(REGEXMATCH(Q789,""^Sell_""),-ROUNDDOWN(ROUNDUP(INDEX(Upgrades!$C$3:$C$13,MATCH(SUBSTITUTE(Q789,""Sell_"",""""),Upgrades!$B$3:$B$13,0))*1.15^(COUNTIF(Q$4:Q788,SUBSTITUTE(Q789,""Sell_"",""""))-COUNTIF(Q$4:Q788,"&amp;"""Sell_""&amp;SUBSTITUTE(Q789,""Sell_"",""""))))/2),ROUNDUP(INDEX(Upgrades!$C$3:$C$13,MATCH(Q789,Upgrades!$B$3:$B$13,0))*1.15^(COUNTIF(Q$4:Q788,Q789)-COUNTIF(Q$4:Q788,""Sell_""&amp;Q789))))))"),"")</f>
        <v/>
      </c>
      <c r="V789" s="10" t="str">
        <f t="shared" si="11"/>
        <v/>
      </c>
      <c r="W789" s="68" t="str">
        <f t="shared" si="12"/>
        <v/>
      </c>
      <c r="X789" s="59" t="str">
        <f t="shared" si="13"/>
        <v/>
      </c>
      <c r="Y789" s="69" t="str">
        <f t="shared" si="14"/>
        <v/>
      </c>
      <c r="Z789" s="11"/>
    </row>
    <row r="790">
      <c r="A790" s="8"/>
      <c r="B790" s="56" t="str">
        <f t="shared" si="2"/>
        <v/>
      </c>
      <c r="C790" s="57"/>
      <c r="D790" s="10" t="str">
        <f>IFERROR(__xludf.DUMMYFUNCTION("IF(COUNTA(C790:C1350)=0,"""",IF(ISBLANK(C790),FALSE,IF(NOT(COUNTIF($AA$24:$AA$34,SUBSTITUTE(C790,""Sell_"",""""))),1,IF(REGEXMATCH(C790,""Sell_""),IF(COUNTIF(C$4:C790,SUBSTITUTE(C790,""Sell_"",""""))-COUNTIF(C$4:C789,C790)&lt;1,1),FALSE))))"),"")</f>
        <v/>
      </c>
      <c r="E790" s="59" t="str">
        <f t="array" ref="E790">IF(COUNTA(C790:C1350)=0,"",SUM((COUNTIF(C$4:C790,Upgrades!$B$3:$B$13)-COUNTIF(C$4:C790,"Sell_"&amp;Upgrades!$B$3:$B$13))*Upgrades!$D$3:$D$13))</f>
        <v/>
      </c>
      <c r="F790" s="66" t="str">
        <f>IFERROR(__xludf.DUMMYFUNCTION("IF(COUNTA(C790:C1350)=0,"""",IF(REGEXMATCH(INDEX(FILTER(C$4:C790,C$4:C790&lt;&gt;""""),ROWS(FILTER(C$4:C790,C$4:C790&lt;&gt;""""))),""^Sell_""),INDEX(FILTER(F$4:F789,C$4:C789&lt;&gt;""""),ROWS(FILTER(C$4:C789,C$4:C789&lt;&gt;""""))),$AC$5+E790))"),"")</f>
        <v/>
      </c>
      <c r="G790" s="10" t="str">
        <f>IFERROR(__xludf.DUMMYFUNCTION("IF(COUNTA(C790:C1350)=0,"""",IF(C790="""",0,IF(REGEXMATCH(C790,""^Sell_""),-ROUNDDOWN(ROUNDUP(INDEX(Upgrades!$C$3:$C$13,MATCH(SUBSTITUTE(C790,""Sell_"",""""),Upgrades!$B$3:$B$13,0))*1.15^(COUNTIF(C$4:C789,SUBSTITUTE(C790,""Sell_"",""""))-COUNTIF(C$4:C789,"&amp;"""Sell_""&amp;SUBSTITUTE(C790,""Sell_"",""""))))/2),ROUNDUP(INDEX(Upgrades!$C$3:$C$13,MATCH(C790,Upgrades!$B$3:$B$13,0))*1.15^(COUNTIF(C$4:C789,C790)-COUNTIF(C$4:C789,""Sell_""&amp;C790))))))"),"")</f>
        <v/>
      </c>
      <c r="H790" s="10" t="str">
        <f t="shared" si="3"/>
        <v/>
      </c>
      <c r="I790" s="68" t="str">
        <f t="shared" si="4"/>
        <v/>
      </c>
      <c r="J790" s="59" t="str">
        <f t="shared" si="5"/>
        <v/>
      </c>
      <c r="K790" s="69" t="str">
        <f t="shared" si="6"/>
        <v/>
      </c>
      <c r="L790" s="60" t="str">
        <f t="shared" si="7"/>
        <v/>
      </c>
      <c r="M790" s="61" t="str">
        <f>IFERROR(__xludf.DUMMYFUNCTION("IFS(AND(COUNTA(C790:C1350)=0,COUNTA(Q790:Q1350)=0),"""",OR(AND(K790&gt;=1000000000,OR(Y790&gt;=1000000000,COUNTA(Q790:Q1350)=0)),OR(Y790&gt;=1000000000,AND(COUNTA(C790:C1350)=0,P$3=TRUE))),
ROUNDDOWN((AB$1-AC$1)*MAX(INDEX(T$4:T1350,MATCH(LARGE(FILTER(Y$4:Y1350,Y$4"&amp;":Y1350&lt;1000000000),1),Y$4:Y1350)),INDEX(F$4:F1350,MATCH(LARGE(FILTER(K$4:K1350,K$4:K1350&lt;1000000000),1),K$4:K1350)))),AND(K790&lt;1000000000,COUNTA(C790:C1350)&gt;0,P$3=FALSE),
ROUNDDOWN(INDEX(Y$4:Y1350,MATCH(LARGE(FILTER(W$4:W1350,W$4:W1350&lt;=I790),1),W$4:W1350"&amp;"))+(I790-LARGE(FILTER(W$4:W1350,W$4:W1350&lt;=I790),1))*INDEX(T$4:T1350,MATCH(LARGE(FILTER(W$4:W1350,W$4:W1350&lt;=I790),1),W$4:W1350))-K790),1,
ROUNDDOWN(Y790-INDEX(K$4:K1350,MATCH(LARGE(FILTER(I$4:I1350,I$4:I1350&lt;=W790),1),I$4:I1350))-(W790-LARGE(FILTER(I$4:I"&amp;"1350,I$4:I1350&lt;=W790),1))*INDEX(F$4:F1350,MATCH(LARGE(FILTER(I$4:I1350,I$4:I1350&lt;=W790),1),I$4:I1350))))"),"")</f>
        <v/>
      </c>
      <c r="N790" s="60" t="str">
        <f t="shared" si="8"/>
        <v/>
      </c>
      <c r="O790" s="61" t="str">
        <f t="shared" si="9"/>
        <v/>
      </c>
      <c r="P790" s="56" t="str">
        <f t="shared" si="10"/>
        <v/>
      </c>
      <c r="Q790" s="62"/>
      <c r="R790" s="10" t="str">
        <f>IFERROR(__xludf.DUMMYFUNCTION("IF(COUNTA(Q790:Q1350)=0,"""",IF(ISBLANK(Q790),FALSE,IF(NOT(COUNTIF($AA$24:$AA$34,SUBSTITUTE(Q790,""Sell_"",""""))),1,IF(REGEXMATCH(Q790,""Sell_""),IF(COUNTIF(Q$4:Q790,SUBSTITUTE(Q790,""Sell_"",""""))-COUNTIF(Q$4:Q789,Q790)&lt;1,1),FALSE))))"),"")</f>
        <v/>
      </c>
      <c r="S790" s="59" t="str">
        <f t="array" ref="S790">IF(COUNTA(Q790:Q1350)=0,"",SUM((COUNTIF(Q$4:Q790,Upgrades!$B$3:$B$13)-COUNTIF(Q$4:Q790,"Sell_"&amp;Upgrades!$B$3:$B$13))*Upgrades!$D$3:$D$13))</f>
        <v/>
      </c>
      <c r="T790" s="66" t="str">
        <f>IFERROR(__xludf.DUMMYFUNCTION("IF(COUNTA(Q790:Q1350)=0,"""",IF(REGEXMATCH(INDEX(FILTER(Q$4:Q790,Q$4:Q790&lt;&gt;""""),ROWS(FILTER(Q$4:Q790,Q$4:Q790&lt;&gt;""""))),""^Sell_""),INDEX(FILTER(T$4:T789,Q$4:Q789&lt;&gt;""""),ROWS(FILTER(Q$4:Q789,Q$4:Q789&lt;&gt;""""))),$AD$5+S790))"),"")</f>
        <v/>
      </c>
      <c r="U790" s="10" t="str">
        <f>IFERROR(__xludf.DUMMYFUNCTION("IF(COUNTA(Q790:Q1350)=0,"""",IF(Q790="""",0,IF(REGEXMATCH(Q790,""^Sell_""),-ROUNDDOWN(ROUNDUP(INDEX(Upgrades!$C$3:$C$13,MATCH(SUBSTITUTE(Q790,""Sell_"",""""),Upgrades!$B$3:$B$13,0))*1.15^(COUNTIF(Q$4:Q789,SUBSTITUTE(Q790,""Sell_"",""""))-COUNTIF(Q$4:Q789,"&amp;"""Sell_""&amp;SUBSTITUTE(Q790,""Sell_"",""""))))/2),ROUNDUP(INDEX(Upgrades!$C$3:$C$13,MATCH(Q790,Upgrades!$B$3:$B$13,0))*1.15^(COUNTIF(Q$4:Q789,Q790)-COUNTIF(Q$4:Q789,""Sell_""&amp;Q790))))))"),"")</f>
        <v/>
      </c>
      <c r="V790" s="10" t="str">
        <f t="shared" si="11"/>
        <v/>
      </c>
      <c r="W790" s="68" t="str">
        <f t="shared" si="12"/>
        <v/>
      </c>
      <c r="X790" s="59" t="str">
        <f t="shared" si="13"/>
        <v/>
      </c>
      <c r="Y790" s="69" t="str">
        <f t="shared" si="14"/>
        <v/>
      </c>
      <c r="Z790" s="11"/>
    </row>
    <row r="791">
      <c r="A791" s="8"/>
      <c r="B791" s="56" t="str">
        <f t="shared" si="2"/>
        <v/>
      </c>
      <c r="C791" s="57"/>
      <c r="D791" s="10" t="str">
        <f>IFERROR(__xludf.DUMMYFUNCTION("IF(COUNTA(C791:C1350)=0,"""",IF(ISBLANK(C791),FALSE,IF(NOT(COUNTIF($AA$24:$AA$34,SUBSTITUTE(C791,""Sell_"",""""))),1,IF(REGEXMATCH(C791,""Sell_""),IF(COUNTIF(C$4:C791,SUBSTITUTE(C791,""Sell_"",""""))-COUNTIF(C$4:C790,C791)&lt;1,1),FALSE))))"),"")</f>
        <v/>
      </c>
      <c r="E791" s="59" t="str">
        <f t="array" ref="E791">IF(COUNTA(C791:C1350)=0,"",SUM((COUNTIF(C$4:C791,Upgrades!$B$3:$B$13)-COUNTIF(C$4:C791,"Sell_"&amp;Upgrades!$B$3:$B$13))*Upgrades!$D$3:$D$13))</f>
        <v/>
      </c>
      <c r="F791" s="66" t="str">
        <f>IFERROR(__xludf.DUMMYFUNCTION("IF(COUNTA(C791:C1350)=0,"""",IF(REGEXMATCH(INDEX(FILTER(C$4:C791,C$4:C791&lt;&gt;""""),ROWS(FILTER(C$4:C791,C$4:C791&lt;&gt;""""))),""^Sell_""),INDEX(FILTER(F$4:F790,C$4:C790&lt;&gt;""""),ROWS(FILTER(C$4:C790,C$4:C790&lt;&gt;""""))),$AC$5+E791))"),"")</f>
        <v/>
      </c>
      <c r="G791" s="10" t="str">
        <f>IFERROR(__xludf.DUMMYFUNCTION("IF(COUNTA(C791:C1350)=0,"""",IF(C791="""",0,IF(REGEXMATCH(C791,""^Sell_""),-ROUNDDOWN(ROUNDUP(INDEX(Upgrades!$C$3:$C$13,MATCH(SUBSTITUTE(C791,""Sell_"",""""),Upgrades!$B$3:$B$13,0))*1.15^(COUNTIF(C$4:C790,SUBSTITUTE(C791,""Sell_"",""""))-COUNTIF(C$4:C790,"&amp;"""Sell_""&amp;SUBSTITUTE(C791,""Sell_"",""""))))/2),ROUNDUP(INDEX(Upgrades!$C$3:$C$13,MATCH(C791,Upgrades!$B$3:$B$13,0))*1.15^(COUNTIF(C$4:C790,C791)-COUNTIF(C$4:C790,""Sell_""&amp;C791))))))"),"")</f>
        <v/>
      </c>
      <c r="H791" s="10" t="str">
        <f t="shared" si="3"/>
        <v/>
      </c>
      <c r="I791" s="68" t="str">
        <f t="shared" si="4"/>
        <v/>
      </c>
      <c r="J791" s="59" t="str">
        <f t="shared" si="5"/>
        <v/>
      </c>
      <c r="K791" s="69" t="str">
        <f t="shared" si="6"/>
        <v/>
      </c>
      <c r="L791" s="60" t="str">
        <f t="shared" si="7"/>
        <v/>
      </c>
      <c r="M791" s="61" t="str">
        <f>IFERROR(__xludf.DUMMYFUNCTION("IFS(AND(COUNTA(C791:C1350)=0,COUNTA(Q791:Q1350)=0),"""",OR(AND(K791&gt;=1000000000,OR(Y791&gt;=1000000000,COUNTA(Q791:Q1350)=0)),OR(Y791&gt;=1000000000,AND(COUNTA(C791:C1350)=0,P$3=TRUE))),
ROUNDDOWN((AB$1-AC$1)*MAX(INDEX(T$4:T1350,MATCH(LARGE(FILTER(Y$4:Y1350,Y$4"&amp;":Y1350&lt;1000000000),1),Y$4:Y1350)),INDEX(F$4:F1350,MATCH(LARGE(FILTER(K$4:K1350,K$4:K1350&lt;1000000000),1),K$4:K1350)))),AND(K791&lt;1000000000,COUNTA(C791:C1350)&gt;0,P$3=FALSE),
ROUNDDOWN(INDEX(Y$4:Y1350,MATCH(LARGE(FILTER(W$4:W1350,W$4:W1350&lt;=I791),1),W$4:W1350"&amp;"))+(I791-LARGE(FILTER(W$4:W1350,W$4:W1350&lt;=I791),1))*INDEX(T$4:T1350,MATCH(LARGE(FILTER(W$4:W1350,W$4:W1350&lt;=I791),1),W$4:W1350))-K791),1,
ROUNDDOWN(Y791-INDEX(K$4:K1350,MATCH(LARGE(FILTER(I$4:I1350,I$4:I1350&lt;=W791),1),I$4:I1350))-(W791-LARGE(FILTER(I$4:I"&amp;"1350,I$4:I1350&lt;=W791),1))*INDEX(F$4:F1350,MATCH(LARGE(FILTER(I$4:I1350,I$4:I1350&lt;=W791),1),I$4:I1350))))"),"")</f>
        <v/>
      </c>
      <c r="N791" s="60" t="str">
        <f t="shared" si="8"/>
        <v/>
      </c>
      <c r="O791" s="61" t="str">
        <f t="shared" si="9"/>
        <v/>
      </c>
      <c r="P791" s="56" t="str">
        <f t="shared" si="10"/>
        <v/>
      </c>
      <c r="Q791" s="62"/>
      <c r="R791" s="10" t="str">
        <f>IFERROR(__xludf.DUMMYFUNCTION("IF(COUNTA(Q791:Q1350)=0,"""",IF(ISBLANK(Q791),FALSE,IF(NOT(COUNTIF($AA$24:$AA$34,SUBSTITUTE(Q791,""Sell_"",""""))),1,IF(REGEXMATCH(Q791,""Sell_""),IF(COUNTIF(Q$4:Q791,SUBSTITUTE(Q791,""Sell_"",""""))-COUNTIF(Q$4:Q790,Q791)&lt;1,1),FALSE))))"),"")</f>
        <v/>
      </c>
      <c r="S791" s="59" t="str">
        <f t="array" ref="S791">IF(COUNTA(Q791:Q1350)=0,"",SUM((COUNTIF(Q$4:Q791,Upgrades!$B$3:$B$13)-COUNTIF(Q$4:Q791,"Sell_"&amp;Upgrades!$B$3:$B$13))*Upgrades!$D$3:$D$13))</f>
        <v/>
      </c>
      <c r="T791" s="66" t="str">
        <f>IFERROR(__xludf.DUMMYFUNCTION("IF(COUNTA(Q791:Q1350)=0,"""",IF(REGEXMATCH(INDEX(FILTER(Q$4:Q791,Q$4:Q791&lt;&gt;""""),ROWS(FILTER(Q$4:Q791,Q$4:Q791&lt;&gt;""""))),""^Sell_""),INDEX(FILTER(T$4:T790,Q$4:Q790&lt;&gt;""""),ROWS(FILTER(Q$4:Q790,Q$4:Q790&lt;&gt;""""))),$AD$5+S791))"),"")</f>
        <v/>
      </c>
      <c r="U791" s="10" t="str">
        <f>IFERROR(__xludf.DUMMYFUNCTION("IF(COUNTA(Q791:Q1350)=0,"""",IF(Q791="""",0,IF(REGEXMATCH(Q791,""^Sell_""),-ROUNDDOWN(ROUNDUP(INDEX(Upgrades!$C$3:$C$13,MATCH(SUBSTITUTE(Q791,""Sell_"",""""),Upgrades!$B$3:$B$13,0))*1.15^(COUNTIF(Q$4:Q790,SUBSTITUTE(Q791,""Sell_"",""""))-COUNTIF(Q$4:Q790,"&amp;"""Sell_""&amp;SUBSTITUTE(Q791,""Sell_"",""""))))/2),ROUNDUP(INDEX(Upgrades!$C$3:$C$13,MATCH(Q791,Upgrades!$B$3:$B$13,0))*1.15^(COUNTIF(Q$4:Q790,Q791)-COUNTIF(Q$4:Q790,""Sell_""&amp;Q791))))))"),"")</f>
        <v/>
      </c>
      <c r="V791" s="10" t="str">
        <f t="shared" si="11"/>
        <v/>
      </c>
      <c r="W791" s="68" t="str">
        <f t="shared" si="12"/>
        <v/>
      </c>
      <c r="X791" s="59" t="str">
        <f t="shared" si="13"/>
        <v/>
      </c>
      <c r="Y791" s="69" t="str">
        <f t="shared" si="14"/>
        <v/>
      </c>
      <c r="Z791" s="11"/>
    </row>
    <row r="792">
      <c r="A792" s="8"/>
      <c r="B792" s="56" t="str">
        <f t="shared" si="2"/>
        <v/>
      </c>
      <c r="C792" s="57"/>
      <c r="D792" s="10" t="str">
        <f>IFERROR(__xludf.DUMMYFUNCTION("IF(COUNTA(C792:C1350)=0,"""",IF(ISBLANK(C792),FALSE,IF(NOT(COUNTIF($AA$24:$AA$34,SUBSTITUTE(C792,""Sell_"",""""))),1,IF(REGEXMATCH(C792,""Sell_""),IF(COUNTIF(C$4:C792,SUBSTITUTE(C792,""Sell_"",""""))-COUNTIF(C$4:C791,C792)&lt;1,1),FALSE))))"),"")</f>
        <v/>
      </c>
      <c r="E792" s="59" t="str">
        <f t="array" ref="E792">IF(COUNTA(C792:C1350)=0,"",SUM((COUNTIF(C$4:C792,Upgrades!$B$3:$B$13)-COUNTIF(C$4:C792,"Sell_"&amp;Upgrades!$B$3:$B$13))*Upgrades!$D$3:$D$13))</f>
        <v/>
      </c>
      <c r="F792" s="66" t="str">
        <f>IFERROR(__xludf.DUMMYFUNCTION("IF(COUNTA(C792:C1350)=0,"""",IF(REGEXMATCH(INDEX(FILTER(C$4:C792,C$4:C792&lt;&gt;""""),ROWS(FILTER(C$4:C792,C$4:C792&lt;&gt;""""))),""^Sell_""),INDEX(FILTER(F$4:F791,C$4:C791&lt;&gt;""""),ROWS(FILTER(C$4:C791,C$4:C791&lt;&gt;""""))),$AC$5+E792))"),"")</f>
        <v/>
      </c>
      <c r="G792" s="10" t="str">
        <f>IFERROR(__xludf.DUMMYFUNCTION("IF(COUNTA(C792:C1350)=0,"""",IF(C792="""",0,IF(REGEXMATCH(C792,""^Sell_""),-ROUNDDOWN(ROUNDUP(INDEX(Upgrades!$C$3:$C$13,MATCH(SUBSTITUTE(C792,""Sell_"",""""),Upgrades!$B$3:$B$13,0))*1.15^(COUNTIF(C$4:C791,SUBSTITUTE(C792,""Sell_"",""""))-COUNTIF(C$4:C791,"&amp;"""Sell_""&amp;SUBSTITUTE(C792,""Sell_"",""""))))/2),ROUNDUP(INDEX(Upgrades!$C$3:$C$13,MATCH(C792,Upgrades!$B$3:$B$13,0))*1.15^(COUNTIF(C$4:C791,C792)-COUNTIF(C$4:C791,""Sell_""&amp;C792))))))"),"")</f>
        <v/>
      </c>
      <c r="H792" s="10" t="str">
        <f t="shared" si="3"/>
        <v/>
      </c>
      <c r="I792" s="68" t="str">
        <f t="shared" si="4"/>
        <v/>
      </c>
      <c r="J792" s="59" t="str">
        <f t="shared" si="5"/>
        <v/>
      </c>
      <c r="K792" s="69" t="str">
        <f t="shared" si="6"/>
        <v/>
      </c>
      <c r="L792" s="60" t="str">
        <f t="shared" si="7"/>
        <v/>
      </c>
      <c r="M792" s="61" t="str">
        <f>IFERROR(__xludf.DUMMYFUNCTION("IFS(AND(COUNTA(C792:C1350)=0,COUNTA(Q792:Q1350)=0),"""",OR(AND(K792&gt;=1000000000,OR(Y792&gt;=1000000000,COUNTA(Q792:Q1350)=0)),OR(Y792&gt;=1000000000,AND(COUNTA(C792:C1350)=0,P$3=TRUE))),
ROUNDDOWN((AB$1-AC$1)*MAX(INDEX(T$4:T1350,MATCH(LARGE(FILTER(Y$4:Y1350,Y$4"&amp;":Y1350&lt;1000000000),1),Y$4:Y1350)),INDEX(F$4:F1350,MATCH(LARGE(FILTER(K$4:K1350,K$4:K1350&lt;1000000000),1),K$4:K1350)))),AND(K792&lt;1000000000,COUNTA(C792:C1350)&gt;0,P$3=FALSE),
ROUNDDOWN(INDEX(Y$4:Y1350,MATCH(LARGE(FILTER(W$4:W1350,W$4:W1350&lt;=I792),1),W$4:W1350"&amp;"))+(I792-LARGE(FILTER(W$4:W1350,W$4:W1350&lt;=I792),1))*INDEX(T$4:T1350,MATCH(LARGE(FILTER(W$4:W1350,W$4:W1350&lt;=I792),1),W$4:W1350))-K792),1,
ROUNDDOWN(Y792-INDEX(K$4:K1350,MATCH(LARGE(FILTER(I$4:I1350,I$4:I1350&lt;=W792),1),I$4:I1350))-(W792-LARGE(FILTER(I$4:I"&amp;"1350,I$4:I1350&lt;=W792),1))*INDEX(F$4:F1350,MATCH(LARGE(FILTER(I$4:I1350,I$4:I1350&lt;=W792),1),I$4:I1350))))"),"")</f>
        <v/>
      </c>
      <c r="N792" s="60" t="str">
        <f t="shared" si="8"/>
        <v/>
      </c>
      <c r="O792" s="61" t="str">
        <f t="shared" si="9"/>
        <v/>
      </c>
      <c r="P792" s="56" t="str">
        <f t="shared" si="10"/>
        <v/>
      </c>
      <c r="Q792" s="62"/>
      <c r="R792" s="10" t="str">
        <f>IFERROR(__xludf.DUMMYFUNCTION("IF(COUNTA(Q792:Q1350)=0,"""",IF(ISBLANK(Q792),FALSE,IF(NOT(COUNTIF($AA$24:$AA$34,SUBSTITUTE(Q792,""Sell_"",""""))),1,IF(REGEXMATCH(Q792,""Sell_""),IF(COUNTIF(Q$4:Q792,SUBSTITUTE(Q792,""Sell_"",""""))-COUNTIF(Q$4:Q791,Q792)&lt;1,1),FALSE))))"),"")</f>
        <v/>
      </c>
      <c r="S792" s="59" t="str">
        <f t="array" ref="S792">IF(COUNTA(Q792:Q1350)=0,"",SUM((COUNTIF(Q$4:Q792,Upgrades!$B$3:$B$13)-COUNTIF(Q$4:Q792,"Sell_"&amp;Upgrades!$B$3:$B$13))*Upgrades!$D$3:$D$13))</f>
        <v/>
      </c>
      <c r="T792" s="66" t="str">
        <f>IFERROR(__xludf.DUMMYFUNCTION("IF(COUNTA(Q792:Q1350)=0,"""",IF(REGEXMATCH(INDEX(FILTER(Q$4:Q792,Q$4:Q792&lt;&gt;""""),ROWS(FILTER(Q$4:Q792,Q$4:Q792&lt;&gt;""""))),""^Sell_""),INDEX(FILTER(T$4:T791,Q$4:Q791&lt;&gt;""""),ROWS(FILTER(Q$4:Q791,Q$4:Q791&lt;&gt;""""))),$AD$5+S792))"),"")</f>
        <v/>
      </c>
      <c r="U792" s="10" t="str">
        <f>IFERROR(__xludf.DUMMYFUNCTION("IF(COUNTA(Q792:Q1350)=0,"""",IF(Q792="""",0,IF(REGEXMATCH(Q792,""^Sell_""),-ROUNDDOWN(ROUNDUP(INDEX(Upgrades!$C$3:$C$13,MATCH(SUBSTITUTE(Q792,""Sell_"",""""),Upgrades!$B$3:$B$13,0))*1.15^(COUNTIF(Q$4:Q791,SUBSTITUTE(Q792,""Sell_"",""""))-COUNTIF(Q$4:Q791,"&amp;"""Sell_""&amp;SUBSTITUTE(Q792,""Sell_"",""""))))/2),ROUNDUP(INDEX(Upgrades!$C$3:$C$13,MATCH(Q792,Upgrades!$B$3:$B$13,0))*1.15^(COUNTIF(Q$4:Q791,Q792)-COUNTIF(Q$4:Q791,""Sell_""&amp;Q792))))))"),"")</f>
        <v/>
      </c>
      <c r="V792" s="10" t="str">
        <f t="shared" si="11"/>
        <v/>
      </c>
      <c r="W792" s="68" t="str">
        <f t="shared" si="12"/>
        <v/>
      </c>
      <c r="X792" s="59" t="str">
        <f t="shared" si="13"/>
        <v/>
      </c>
      <c r="Y792" s="69" t="str">
        <f t="shared" si="14"/>
        <v/>
      </c>
      <c r="Z792" s="11"/>
    </row>
    <row r="793">
      <c r="A793" s="8"/>
      <c r="B793" s="56" t="str">
        <f t="shared" si="2"/>
        <v/>
      </c>
      <c r="C793" s="57"/>
      <c r="D793" s="10" t="str">
        <f>IFERROR(__xludf.DUMMYFUNCTION("IF(COUNTA(C793:C1350)=0,"""",IF(ISBLANK(C793),FALSE,IF(NOT(COUNTIF($AA$24:$AA$34,SUBSTITUTE(C793,""Sell_"",""""))),1,IF(REGEXMATCH(C793,""Sell_""),IF(COUNTIF(C$4:C793,SUBSTITUTE(C793,""Sell_"",""""))-COUNTIF(C$4:C792,C793)&lt;1,1),FALSE))))"),"")</f>
        <v/>
      </c>
      <c r="E793" s="59" t="str">
        <f t="array" ref="E793">IF(COUNTA(C793:C1350)=0,"",SUM((COUNTIF(C$4:C793,Upgrades!$B$3:$B$13)-COUNTIF(C$4:C793,"Sell_"&amp;Upgrades!$B$3:$B$13))*Upgrades!$D$3:$D$13))</f>
        <v/>
      </c>
      <c r="F793" s="66" t="str">
        <f>IFERROR(__xludf.DUMMYFUNCTION("IF(COUNTA(C793:C1350)=0,"""",IF(REGEXMATCH(INDEX(FILTER(C$4:C793,C$4:C793&lt;&gt;""""),ROWS(FILTER(C$4:C793,C$4:C793&lt;&gt;""""))),""^Sell_""),INDEX(FILTER(F$4:F792,C$4:C792&lt;&gt;""""),ROWS(FILTER(C$4:C792,C$4:C792&lt;&gt;""""))),$AC$5+E793))"),"")</f>
        <v/>
      </c>
      <c r="G793" s="10" t="str">
        <f>IFERROR(__xludf.DUMMYFUNCTION("IF(COUNTA(C793:C1350)=0,"""",IF(C793="""",0,IF(REGEXMATCH(C793,""^Sell_""),-ROUNDDOWN(ROUNDUP(INDEX(Upgrades!$C$3:$C$13,MATCH(SUBSTITUTE(C793,""Sell_"",""""),Upgrades!$B$3:$B$13,0))*1.15^(COUNTIF(C$4:C792,SUBSTITUTE(C793,""Sell_"",""""))-COUNTIF(C$4:C792,"&amp;"""Sell_""&amp;SUBSTITUTE(C793,""Sell_"",""""))))/2),ROUNDUP(INDEX(Upgrades!$C$3:$C$13,MATCH(C793,Upgrades!$B$3:$B$13,0))*1.15^(COUNTIF(C$4:C792,C793)-COUNTIF(C$4:C792,""Sell_""&amp;C793))))))"),"")</f>
        <v/>
      </c>
      <c r="H793" s="10" t="str">
        <f t="shared" si="3"/>
        <v/>
      </c>
      <c r="I793" s="68" t="str">
        <f t="shared" si="4"/>
        <v/>
      </c>
      <c r="J793" s="59" t="str">
        <f t="shared" si="5"/>
        <v/>
      </c>
      <c r="K793" s="69" t="str">
        <f t="shared" si="6"/>
        <v/>
      </c>
      <c r="L793" s="60" t="str">
        <f t="shared" si="7"/>
        <v/>
      </c>
      <c r="M793" s="61" t="str">
        <f>IFERROR(__xludf.DUMMYFUNCTION("IFS(AND(COUNTA(C793:C1350)=0,COUNTA(Q793:Q1350)=0),"""",OR(AND(K793&gt;=1000000000,OR(Y793&gt;=1000000000,COUNTA(Q793:Q1350)=0)),OR(Y793&gt;=1000000000,AND(COUNTA(C793:C1350)=0,P$3=TRUE))),
ROUNDDOWN((AB$1-AC$1)*MAX(INDEX(T$4:T1350,MATCH(LARGE(FILTER(Y$4:Y1350,Y$4"&amp;":Y1350&lt;1000000000),1),Y$4:Y1350)),INDEX(F$4:F1350,MATCH(LARGE(FILTER(K$4:K1350,K$4:K1350&lt;1000000000),1),K$4:K1350)))),AND(K793&lt;1000000000,COUNTA(C793:C1350)&gt;0,P$3=FALSE),
ROUNDDOWN(INDEX(Y$4:Y1350,MATCH(LARGE(FILTER(W$4:W1350,W$4:W1350&lt;=I793),1),W$4:W1350"&amp;"))+(I793-LARGE(FILTER(W$4:W1350,W$4:W1350&lt;=I793),1))*INDEX(T$4:T1350,MATCH(LARGE(FILTER(W$4:W1350,W$4:W1350&lt;=I793),1),W$4:W1350))-K793),1,
ROUNDDOWN(Y793-INDEX(K$4:K1350,MATCH(LARGE(FILTER(I$4:I1350,I$4:I1350&lt;=W793),1),I$4:I1350))-(W793-LARGE(FILTER(I$4:I"&amp;"1350,I$4:I1350&lt;=W793),1))*INDEX(F$4:F1350,MATCH(LARGE(FILTER(I$4:I1350,I$4:I1350&lt;=W793),1),I$4:I1350))))"),"")</f>
        <v/>
      </c>
      <c r="N793" s="60" t="str">
        <f t="shared" si="8"/>
        <v/>
      </c>
      <c r="O793" s="61" t="str">
        <f t="shared" si="9"/>
        <v/>
      </c>
      <c r="P793" s="56" t="str">
        <f t="shared" si="10"/>
        <v/>
      </c>
      <c r="Q793" s="62"/>
      <c r="R793" s="10" t="str">
        <f>IFERROR(__xludf.DUMMYFUNCTION("IF(COUNTA(Q793:Q1350)=0,"""",IF(ISBLANK(Q793),FALSE,IF(NOT(COUNTIF($AA$24:$AA$34,SUBSTITUTE(Q793,""Sell_"",""""))),1,IF(REGEXMATCH(Q793,""Sell_""),IF(COUNTIF(Q$4:Q793,SUBSTITUTE(Q793,""Sell_"",""""))-COUNTIF(Q$4:Q792,Q793)&lt;1,1),FALSE))))"),"")</f>
        <v/>
      </c>
      <c r="S793" s="59" t="str">
        <f t="array" ref="S793">IF(COUNTA(Q793:Q1350)=0,"",SUM((COUNTIF(Q$4:Q793,Upgrades!$B$3:$B$13)-COUNTIF(Q$4:Q793,"Sell_"&amp;Upgrades!$B$3:$B$13))*Upgrades!$D$3:$D$13))</f>
        <v/>
      </c>
      <c r="T793" s="66" t="str">
        <f>IFERROR(__xludf.DUMMYFUNCTION("IF(COUNTA(Q793:Q1350)=0,"""",IF(REGEXMATCH(INDEX(FILTER(Q$4:Q793,Q$4:Q793&lt;&gt;""""),ROWS(FILTER(Q$4:Q793,Q$4:Q793&lt;&gt;""""))),""^Sell_""),INDEX(FILTER(T$4:T792,Q$4:Q792&lt;&gt;""""),ROWS(FILTER(Q$4:Q792,Q$4:Q792&lt;&gt;""""))),$AD$5+S793))"),"")</f>
        <v/>
      </c>
      <c r="U793" s="10" t="str">
        <f>IFERROR(__xludf.DUMMYFUNCTION("IF(COUNTA(Q793:Q1350)=0,"""",IF(Q793="""",0,IF(REGEXMATCH(Q793,""^Sell_""),-ROUNDDOWN(ROUNDUP(INDEX(Upgrades!$C$3:$C$13,MATCH(SUBSTITUTE(Q793,""Sell_"",""""),Upgrades!$B$3:$B$13,0))*1.15^(COUNTIF(Q$4:Q792,SUBSTITUTE(Q793,""Sell_"",""""))-COUNTIF(Q$4:Q792,"&amp;"""Sell_""&amp;SUBSTITUTE(Q793,""Sell_"",""""))))/2),ROUNDUP(INDEX(Upgrades!$C$3:$C$13,MATCH(Q793,Upgrades!$B$3:$B$13,0))*1.15^(COUNTIF(Q$4:Q792,Q793)-COUNTIF(Q$4:Q792,""Sell_""&amp;Q793))))))"),"")</f>
        <v/>
      </c>
      <c r="V793" s="10" t="str">
        <f t="shared" si="11"/>
        <v/>
      </c>
      <c r="W793" s="68" t="str">
        <f t="shared" si="12"/>
        <v/>
      </c>
      <c r="X793" s="59" t="str">
        <f t="shared" si="13"/>
        <v/>
      </c>
      <c r="Y793" s="69" t="str">
        <f t="shared" si="14"/>
        <v/>
      </c>
      <c r="Z793" s="11"/>
    </row>
    <row r="794">
      <c r="A794" s="8"/>
      <c r="B794" s="56" t="str">
        <f t="shared" si="2"/>
        <v/>
      </c>
      <c r="C794" s="57"/>
      <c r="D794" s="10" t="str">
        <f>IFERROR(__xludf.DUMMYFUNCTION("IF(COUNTA(C794:C1350)=0,"""",IF(ISBLANK(C794),FALSE,IF(NOT(COUNTIF($AA$24:$AA$34,SUBSTITUTE(C794,""Sell_"",""""))),1,IF(REGEXMATCH(C794,""Sell_""),IF(COUNTIF(C$4:C794,SUBSTITUTE(C794,""Sell_"",""""))-COUNTIF(C$4:C793,C794)&lt;1,1),FALSE))))"),"")</f>
        <v/>
      </c>
      <c r="E794" s="59" t="str">
        <f t="array" ref="E794">IF(COUNTA(C794:C1350)=0,"",SUM((COUNTIF(C$4:C794,Upgrades!$B$3:$B$13)-COUNTIF(C$4:C794,"Sell_"&amp;Upgrades!$B$3:$B$13))*Upgrades!$D$3:$D$13))</f>
        <v/>
      </c>
      <c r="F794" s="66" t="str">
        <f>IFERROR(__xludf.DUMMYFUNCTION("IF(COUNTA(C794:C1350)=0,"""",IF(REGEXMATCH(INDEX(FILTER(C$4:C794,C$4:C794&lt;&gt;""""),ROWS(FILTER(C$4:C794,C$4:C794&lt;&gt;""""))),""^Sell_""),INDEX(FILTER(F$4:F793,C$4:C793&lt;&gt;""""),ROWS(FILTER(C$4:C793,C$4:C793&lt;&gt;""""))),$AC$5+E794))"),"")</f>
        <v/>
      </c>
      <c r="G794" s="10" t="str">
        <f>IFERROR(__xludf.DUMMYFUNCTION("IF(COUNTA(C794:C1350)=0,"""",IF(C794="""",0,IF(REGEXMATCH(C794,""^Sell_""),-ROUNDDOWN(ROUNDUP(INDEX(Upgrades!$C$3:$C$13,MATCH(SUBSTITUTE(C794,""Sell_"",""""),Upgrades!$B$3:$B$13,0))*1.15^(COUNTIF(C$4:C793,SUBSTITUTE(C794,""Sell_"",""""))-COUNTIF(C$4:C793,"&amp;"""Sell_""&amp;SUBSTITUTE(C794,""Sell_"",""""))))/2),ROUNDUP(INDEX(Upgrades!$C$3:$C$13,MATCH(C794,Upgrades!$B$3:$B$13,0))*1.15^(COUNTIF(C$4:C793,C794)-COUNTIF(C$4:C793,""Sell_""&amp;C794))))))"),"")</f>
        <v/>
      </c>
      <c r="H794" s="10" t="str">
        <f t="shared" si="3"/>
        <v/>
      </c>
      <c r="I794" s="68" t="str">
        <f t="shared" si="4"/>
        <v/>
      </c>
      <c r="J794" s="59" t="str">
        <f t="shared" si="5"/>
        <v/>
      </c>
      <c r="K794" s="69" t="str">
        <f t="shared" si="6"/>
        <v/>
      </c>
      <c r="L794" s="60" t="str">
        <f t="shared" si="7"/>
        <v/>
      </c>
      <c r="M794" s="61" t="str">
        <f>IFERROR(__xludf.DUMMYFUNCTION("IFS(AND(COUNTA(C794:C1350)=0,COUNTA(Q794:Q1350)=0),"""",OR(AND(K794&gt;=1000000000,OR(Y794&gt;=1000000000,COUNTA(Q794:Q1350)=0)),OR(Y794&gt;=1000000000,AND(COUNTA(C794:C1350)=0,P$3=TRUE))),
ROUNDDOWN((AB$1-AC$1)*MAX(INDEX(T$4:T1350,MATCH(LARGE(FILTER(Y$4:Y1350,Y$4"&amp;":Y1350&lt;1000000000),1),Y$4:Y1350)),INDEX(F$4:F1350,MATCH(LARGE(FILTER(K$4:K1350,K$4:K1350&lt;1000000000),1),K$4:K1350)))),AND(K794&lt;1000000000,COUNTA(C794:C1350)&gt;0,P$3=FALSE),
ROUNDDOWN(INDEX(Y$4:Y1350,MATCH(LARGE(FILTER(W$4:W1350,W$4:W1350&lt;=I794),1),W$4:W1350"&amp;"))+(I794-LARGE(FILTER(W$4:W1350,W$4:W1350&lt;=I794),1))*INDEX(T$4:T1350,MATCH(LARGE(FILTER(W$4:W1350,W$4:W1350&lt;=I794),1),W$4:W1350))-K794),1,
ROUNDDOWN(Y794-INDEX(K$4:K1350,MATCH(LARGE(FILTER(I$4:I1350,I$4:I1350&lt;=W794),1),I$4:I1350))-(W794-LARGE(FILTER(I$4:I"&amp;"1350,I$4:I1350&lt;=W794),1))*INDEX(F$4:F1350,MATCH(LARGE(FILTER(I$4:I1350,I$4:I1350&lt;=W794),1),I$4:I1350))))"),"")</f>
        <v/>
      </c>
      <c r="N794" s="60" t="str">
        <f t="shared" si="8"/>
        <v/>
      </c>
      <c r="O794" s="61" t="str">
        <f t="shared" si="9"/>
        <v/>
      </c>
      <c r="P794" s="56" t="str">
        <f t="shared" si="10"/>
        <v/>
      </c>
      <c r="Q794" s="62"/>
      <c r="R794" s="10" t="str">
        <f>IFERROR(__xludf.DUMMYFUNCTION("IF(COUNTA(Q794:Q1350)=0,"""",IF(ISBLANK(Q794),FALSE,IF(NOT(COUNTIF($AA$24:$AA$34,SUBSTITUTE(Q794,""Sell_"",""""))),1,IF(REGEXMATCH(Q794,""Sell_""),IF(COUNTIF(Q$4:Q794,SUBSTITUTE(Q794,""Sell_"",""""))-COUNTIF(Q$4:Q793,Q794)&lt;1,1),FALSE))))"),"")</f>
        <v/>
      </c>
      <c r="S794" s="59" t="str">
        <f t="array" ref="S794">IF(COUNTA(Q794:Q1350)=0,"",SUM((COUNTIF(Q$4:Q794,Upgrades!$B$3:$B$13)-COUNTIF(Q$4:Q794,"Sell_"&amp;Upgrades!$B$3:$B$13))*Upgrades!$D$3:$D$13))</f>
        <v/>
      </c>
      <c r="T794" s="66" t="str">
        <f>IFERROR(__xludf.DUMMYFUNCTION("IF(COUNTA(Q794:Q1350)=0,"""",IF(REGEXMATCH(INDEX(FILTER(Q$4:Q794,Q$4:Q794&lt;&gt;""""),ROWS(FILTER(Q$4:Q794,Q$4:Q794&lt;&gt;""""))),""^Sell_""),INDEX(FILTER(T$4:T793,Q$4:Q793&lt;&gt;""""),ROWS(FILTER(Q$4:Q793,Q$4:Q793&lt;&gt;""""))),$AD$5+S794))"),"")</f>
        <v/>
      </c>
      <c r="U794" s="10" t="str">
        <f>IFERROR(__xludf.DUMMYFUNCTION("IF(COUNTA(Q794:Q1350)=0,"""",IF(Q794="""",0,IF(REGEXMATCH(Q794,""^Sell_""),-ROUNDDOWN(ROUNDUP(INDEX(Upgrades!$C$3:$C$13,MATCH(SUBSTITUTE(Q794,""Sell_"",""""),Upgrades!$B$3:$B$13,0))*1.15^(COUNTIF(Q$4:Q793,SUBSTITUTE(Q794,""Sell_"",""""))-COUNTIF(Q$4:Q793,"&amp;"""Sell_""&amp;SUBSTITUTE(Q794,""Sell_"",""""))))/2),ROUNDUP(INDEX(Upgrades!$C$3:$C$13,MATCH(Q794,Upgrades!$B$3:$B$13,0))*1.15^(COUNTIF(Q$4:Q793,Q794)-COUNTIF(Q$4:Q793,""Sell_""&amp;Q794))))))"),"")</f>
        <v/>
      </c>
      <c r="V794" s="10" t="str">
        <f t="shared" si="11"/>
        <v/>
      </c>
      <c r="W794" s="68" t="str">
        <f t="shared" si="12"/>
        <v/>
      </c>
      <c r="X794" s="59" t="str">
        <f t="shared" si="13"/>
        <v/>
      </c>
      <c r="Y794" s="69" t="str">
        <f t="shared" si="14"/>
        <v/>
      </c>
      <c r="Z794" s="11"/>
    </row>
    <row r="795">
      <c r="A795" s="8"/>
      <c r="B795" s="56" t="str">
        <f t="shared" si="2"/>
        <v/>
      </c>
      <c r="C795" s="57"/>
      <c r="D795" s="10" t="str">
        <f>IFERROR(__xludf.DUMMYFUNCTION("IF(COUNTA(C795:C1350)=0,"""",IF(ISBLANK(C795),FALSE,IF(NOT(COUNTIF($AA$24:$AA$34,SUBSTITUTE(C795,""Sell_"",""""))),1,IF(REGEXMATCH(C795,""Sell_""),IF(COUNTIF(C$4:C795,SUBSTITUTE(C795,""Sell_"",""""))-COUNTIF(C$4:C794,C795)&lt;1,1),FALSE))))"),"")</f>
        <v/>
      </c>
      <c r="E795" s="59" t="str">
        <f t="array" ref="E795">IF(COUNTA(C795:C1350)=0,"",SUM((COUNTIF(C$4:C795,Upgrades!$B$3:$B$13)-COUNTIF(C$4:C795,"Sell_"&amp;Upgrades!$B$3:$B$13))*Upgrades!$D$3:$D$13))</f>
        <v/>
      </c>
      <c r="F795" s="66" t="str">
        <f>IFERROR(__xludf.DUMMYFUNCTION("IF(COUNTA(C795:C1350)=0,"""",IF(REGEXMATCH(INDEX(FILTER(C$4:C795,C$4:C795&lt;&gt;""""),ROWS(FILTER(C$4:C795,C$4:C795&lt;&gt;""""))),""^Sell_""),INDEX(FILTER(F$4:F794,C$4:C794&lt;&gt;""""),ROWS(FILTER(C$4:C794,C$4:C794&lt;&gt;""""))),$AC$5+E795))"),"")</f>
        <v/>
      </c>
      <c r="G795" s="10" t="str">
        <f>IFERROR(__xludf.DUMMYFUNCTION("IF(COUNTA(C795:C1350)=0,"""",IF(C795="""",0,IF(REGEXMATCH(C795,""^Sell_""),-ROUNDDOWN(ROUNDUP(INDEX(Upgrades!$C$3:$C$13,MATCH(SUBSTITUTE(C795,""Sell_"",""""),Upgrades!$B$3:$B$13,0))*1.15^(COUNTIF(C$4:C794,SUBSTITUTE(C795,""Sell_"",""""))-COUNTIF(C$4:C794,"&amp;"""Sell_""&amp;SUBSTITUTE(C795,""Sell_"",""""))))/2),ROUNDUP(INDEX(Upgrades!$C$3:$C$13,MATCH(C795,Upgrades!$B$3:$B$13,0))*1.15^(COUNTIF(C$4:C794,C795)-COUNTIF(C$4:C794,""Sell_""&amp;C795))))))"),"")</f>
        <v/>
      </c>
      <c r="H795" s="10" t="str">
        <f t="shared" si="3"/>
        <v/>
      </c>
      <c r="I795" s="68" t="str">
        <f t="shared" si="4"/>
        <v/>
      </c>
      <c r="J795" s="59" t="str">
        <f t="shared" si="5"/>
        <v/>
      </c>
      <c r="K795" s="69" t="str">
        <f t="shared" si="6"/>
        <v/>
      </c>
      <c r="L795" s="60" t="str">
        <f t="shared" si="7"/>
        <v/>
      </c>
      <c r="M795" s="61" t="str">
        <f>IFERROR(__xludf.DUMMYFUNCTION("IFS(AND(COUNTA(C795:C1350)=0,COUNTA(Q795:Q1350)=0),"""",OR(AND(K795&gt;=1000000000,OR(Y795&gt;=1000000000,COUNTA(Q795:Q1350)=0)),OR(Y795&gt;=1000000000,AND(COUNTA(C795:C1350)=0,P$3=TRUE))),
ROUNDDOWN((AB$1-AC$1)*MAX(INDEX(T$4:T1350,MATCH(LARGE(FILTER(Y$4:Y1350,Y$4"&amp;":Y1350&lt;1000000000),1),Y$4:Y1350)),INDEX(F$4:F1350,MATCH(LARGE(FILTER(K$4:K1350,K$4:K1350&lt;1000000000),1),K$4:K1350)))),AND(K795&lt;1000000000,COUNTA(C795:C1350)&gt;0,P$3=FALSE),
ROUNDDOWN(INDEX(Y$4:Y1350,MATCH(LARGE(FILTER(W$4:W1350,W$4:W1350&lt;=I795),1),W$4:W1350"&amp;"))+(I795-LARGE(FILTER(W$4:W1350,W$4:W1350&lt;=I795),1))*INDEX(T$4:T1350,MATCH(LARGE(FILTER(W$4:W1350,W$4:W1350&lt;=I795),1),W$4:W1350))-K795),1,
ROUNDDOWN(Y795-INDEX(K$4:K1350,MATCH(LARGE(FILTER(I$4:I1350,I$4:I1350&lt;=W795),1),I$4:I1350))-(W795-LARGE(FILTER(I$4:I"&amp;"1350,I$4:I1350&lt;=W795),1))*INDEX(F$4:F1350,MATCH(LARGE(FILTER(I$4:I1350,I$4:I1350&lt;=W795),1),I$4:I1350))))"),"")</f>
        <v/>
      </c>
      <c r="N795" s="60" t="str">
        <f t="shared" si="8"/>
        <v/>
      </c>
      <c r="O795" s="61" t="str">
        <f t="shared" si="9"/>
        <v/>
      </c>
      <c r="P795" s="56" t="str">
        <f t="shared" si="10"/>
        <v/>
      </c>
      <c r="Q795" s="62"/>
      <c r="R795" s="10" t="str">
        <f>IFERROR(__xludf.DUMMYFUNCTION("IF(COUNTA(Q795:Q1350)=0,"""",IF(ISBLANK(Q795),FALSE,IF(NOT(COUNTIF($AA$24:$AA$34,SUBSTITUTE(Q795,""Sell_"",""""))),1,IF(REGEXMATCH(Q795,""Sell_""),IF(COUNTIF(Q$4:Q795,SUBSTITUTE(Q795,""Sell_"",""""))-COUNTIF(Q$4:Q794,Q795)&lt;1,1),FALSE))))"),"")</f>
        <v/>
      </c>
      <c r="S795" s="59" t="str">
        <f t="array" ref="S795">IF(COUNTA(Q795:Q1350)=0,"",SUM((COUNTIF(Q$4:Q795,Upgrades!$B$3:$B$13)-COUNTIF(Q$4:Q795,"Sell_"&amp;Upgrades!$B$3:$B$13))*Upgrades!$D$3:$D$13))</f>
        <v/>
      </c>
      <c r="T795" s="66" t="str">
        <f>IFERROR(__xludf.DUMMYFUNCTION("IF(COUNTA(Q795:Q1350)=0,"""",IF(REGEXMATCH(INDEX(FILTER(Q$4:Q795,Q$4:Q795&lt;&gt;""""),ROWS(FILTER(Q$4:Q795,Q$4:Q795&lt;&gt;""""))),""^Sell_""),INDEX(FILTER(T$4:T794,Q$4:Q794&lt;&gt;""""),ROWS(FILTER(Q$4:Q794,Q$4:Q794&lt;&gt;""""))),$AD$5+S795))"),"")</f>
        <v/>
      </c>
      <c r="U795" s="10" t="str">
        <f>IFERROR(__xludf.DUMMYFUNCTION("IF(COUNTA(Q795:Q1350)=0,"""",IF(Q795="""",0,IF(REGEXMATCH(Q795,""^Sell_""),-ROUNDDOWN(ROUNDUP(INDEX(Upgrades!$C$3:$C$13,MATCH(SUBSTITUTE(Q795,""Sell_"",""""),Upgrades!$B$3:$B$13,0))*1.15^(COUNTIF(Q$4:Q794,SUBSTITUTE(Q795,""Sell_"",""""))-COUNTIF(Q$4:Q794,"&amp;"""Sell_""&amp;SUBSTITUTE(Q795,""Sell_"",""""))))/2),ROUNDUP(INDEX(Upgrades!$C$3:$C$13,MATCH(Q795,Upgrades!$B$3:$B$13,0))*1.15^(COUNTIF(Q$4:Q794,Q795)-COUNTIF(Q$4:Q794,""Sell_""&amp;Q795))))))"),"")</f>
        <v/>
      </c>
      <c r="V795" s="10" t="str">
        <f t="shared" si="11"/>
        <v/>
      </c>
      <c r="W795" s="68" t="str">
        <f t="shared" si="12"/>
        <v/>
      </c>
      <c r="X795" s="59" t="str">
        <f t="shared" si="13"/>
        <v/>
      </c>
      <c r="Y795" s="69" t="str">
        <f t="shared" si="14"/>
        <v/>
      </c>
      <c r="Z795" s="11"/>
    </row>
    <row r="796">
      <c r="A796" s="8"/>
      <c r="B796" s="56" t="str">
        <f t="shared" si="2"/>
        <v/>
      </c>
      <c r="C796" s="57"/>
      <c r="D796" s="10" t="str">
        <f>IFERROR(__xludf.DUMMYFUNCTION("IF(COUNTA(C796:C1350)=0,"""",IF(ISBLANK(C796),FALSE,IF(NOT(COUNTIF($AA$24:$AA$34,SUBSTITUTE(C796,""Sell_"",""""))),1,IF(REGEXMATCH(C796,""Sell_""),IF(COUNTIF(C$4:C796,SUBSTITUTE(C796,""Sell_"",""""))-COUNTIF(C$4:C795,C796)&lt;1,1),FALSE))))"),"")</f>
        <v/>
      </c>
      <c r="E796" s="59" t="str">
        <f t="array" ref="E796">IF(COUNTA(C796:C1350)=0,"",SUM((COUNTIF(C$4:C796,Upgrades!$B$3:$B$13)-COUNTIF(C$4:C796,"Sell_"&amp;Upgrades!$B$3:$B$13))*Upgrades!$D$3:$D$13))</f>
        <v/>
      </c>
      <c r="F796" s="66" t="str">
        <f>IFERROR(__xludf.DUMMYFUNCTION("IF(COUNTA(C796:C1350)=0,"""",IF(REGEXMATCH(INDEX(FILTER(C$4:C796,C$4:C796&lt;&gt;""""),ROWS(FILTER(C$4:C796,C$4:C796&lt;&gt;""""))),""^Sell_""),INDEX(FILTER(F$4:F795,C$4:C795&lt;&gt;""""),ROWS(FILTER(C$4:C795,C$4:C795&lt;&gt;""""))),$AC$5+E796))"),"")</f>
        <v/>
      </c>
      <c r="G796" s="10" t="str">
        <f>IFERROR(__xludf.DUMMYFUNCTION("IF(COUNTA(C796:C1350)=0,"""",IF(C796="""",0,IF(REGEXMATCH(C796,""^Sell_""),-ROUNDDOWN(ROUNDUP(INDEX(Upgrades!$C$3:$C$13,MATCH(SUBSTITUTE(C796,""Sell_"",""""),Upgrades!$B$3:$B$13,0))*1.15^(COUNTIF(C$4:C795,SUBSTITUTE(C796,""Sell_"",""""))-COUNTIF(C$4:C795,"&amp;"""Sell_""&amp;SUBSTITUTE(C796,""Sell_"",""""))))/2),ROUNDUP(INDEX(Upgrades!$C$3:$C$13,MATCH(C796,Upgrades!$B$3:$B$13,0))*1.15^(COUNTIF(C$4:C795,C796)-COUNTIF(C$4:C795,""Sell_""&amp;C796))))))"),"")</f>
        <v/>
      </c>
      <c r="H796" s="10" t="str">
        <f t="shared" si="3"/>
        <v/>
      </c>
      <c r="I796" s="68" t="str">
        <f t="shared" si="4"/>
        <v/>
      </c>
      <c r="J796" s="59" t="str">
        <f t="shared" si="5"/>
        <v/>
      </c>
      <c r="K796" s="69" t="str">
        <f t="shared" si="6"/>
        <v/>
      </c>
      <c r="L796" s="60" t="str">
        <f t="shared" si="7"/>
        <v/>
      </c>
      <c r="M796" s="61" t="str">
        <f>IFERROR(__xludf.DUMMYFUNCTION("IFS(AND(COUNTA(C796:C1350)=0,COUNTA(Q796:Q1350)=0),"""",OR(AND(K796&gt;=1000000000,OR(Y796&gt;=1000000000,COUNTA(Q796:Q1350)=0)),OR(Y796&gt;=1000000000,AND(COUNTA(C796:C1350)=0,P$3=TRUE))),
ROUNDDOWN((AB$1-AC$1)*MAX(INDEX(T$4:T1350,MATCH(LARGE(FILTER(Y$4:Y1350,Y$4"&amp;":Y1350&lt;1000000000),1),Y$4:Y1350)),INDEX(F$4:F1350,MATCH(LARGE(FILTER(K$4:K1350,K$4:K1350&lt;1000000000),1),K$4:K1350)))),AND(K796&lt;1000000000,COUNTA(C796:C1350)&gt;0,P$3=FALSE),
ROUNDDOWN(INDEX(Y$4:Y1350,MATCH(LARGE(FILTER(W$4:W1350,W$4:W1350&lt;=I796),1),W$4:W1350"&amp;"))+(I796-LARGE(FILTER(W$4:W1350,W$4:W1350&lt;=I796),1))*INDEX(T$4:T1350,MATCH(LARGE(FILTER(W$4:W1350,W$4:W1350&lt;=I796),1),W$4:W1350))-K796),1,
ROUNDDOWN(Y796-INDEX(K$4:K1350,MATCH(LARGE(FILTER(I$4:I1350,I$4:I1350&lt;=W796),1),I$4:I1350))-(W796-LARGE(FILTER(I$4:I"&amp;"1350,I$4:I1350&lt;=W796),1))*INDEX(F$4:F1350,MATCH(LARGE(FILTER(I$4:I1350,I$4:I1350&lt;=W796),1),I$4:I1350))))"),"")</f>
        <v/>
      </c>
      <c r="N796" s="60" t="str">
        <f t="shared" si="8"/>
        <v/>
      </c>
      <c r="O796" s="61" t="str">
        <f t="shared" si="9"/>
        <v/>
      </c>
      <c r="P796" s="56" t="str">
        <f t="shared" si="10"/>
        <v/>
      </c>
      <c r="Q796" s="62"/>
      <c r="R796" s="10" t="str">
        <f>IFERROR(__xludf.DUMMYFUNCTION("IF(COUNTA(Q796:Q1350)=0,"""",IF(ISBLANK(Q796),FALSE,IF(NOT(COUNTIF($AA$24:$AA$34,SUBSTITUTE(Q796,""Sell_"",""""))),1,IF(REGEXMATCH(Q796,""Sell_""),IF(COUNTIF(Q$4:Q796,SUBSTITUTE(Q796,""Sell_"",""""))-COUNTIF(Q$4:Q795,Q796)&lt;1,1),FALSE))))"),"")</f>
        <v/>
      </c>
      <c r="S796" s="59" t="str">
        <f t="array" ref="S796">IF(COUNTA(Q796:Q1350)=0,"",SUM((COUNTIF(Q$4:Q796,Upgrades!$B$3:$B$13)-COUNTIF(Q$4:Q796,"Sell_"&amp;Upgrades!$B$3:$B$13))*Upgrades!$D$3:$D$13))</f>
        <v/>
      </c>
      <c r="T796" s="66" t="str">
        <f>IFERROR(__xludf.DUMMYFUNCTION("IF(COUNTA(Q796:Q1350)=0,"""",IF(REGEXMATCH(INDEX(FILTER(Q$4:Q796,Q$4:Q796&lt;&gt;""""),ROWS(FILTER(Q$4:Q796,Q$4:Q796&lt;&gt;""""))),""^Sell_""),INDEX(FILTER(T$4:T795,Q$4:Q795&lt;&gt;""""),ROWS(FILTER(Q$4:Q795,Q$4:Q795&lt;&gt;""""))),$AD$5+S796))"),"")</f>
        <v/>
      </c>
      <c r="U796" s="10" t="str">
        <f>IFERROR(__xludf.DUMMYFUNCTION("IF(COUNTA(Q796:Q1350)=0,"""",IF(Q796="""",0,IF(REGEXMATCH(Q796,""^Sell_""),-ROUNDDOWN(ROUNDUP(INDEX(Upgrades!$C$3:$C$13,MATCH(SUBSTITUTE(Q796,""Sell_"",""""),Upgrades!$B$3:$B$13,0))*1.15^(COUNTIF(Q$4:Q795,SUBSTITUTE(Q796,""Sell_"",""""))-COUNTIF(Q$4:Q795,"&amp;"""Sell_""&amp;SUBSTITUTE(Q796,""Sell_"",""""))))/2),ROUNDUP(INDEX(Upgrades!$C$3:$C$13,MATCH(Q796,Upgrades!$B$3:$B$13,0))*1.15^(COUNTIF(Q$4:Q795,Q796)-COUNTIF(Q$4:Q795,""Sell_""&amp;Q796))))))"),"")</f>
        <v/>
      </c>
      <c r="V796" s="10" t="str">
        <f t="shared" si="11"/>
        <v/>
      </c>
      <c r="W796" s="68" t="str">
        <f t="shared" si="12"/>
        <v/>
      </c>
      <c r="X796" s="59" t="str">
        <f t="shared" si="13"/>
        <v/>
      </c>
      <c r="Y796" s="69" t="str">
        <f t="shared" si="14"/>
        <v/>
      </c>
      <c r="Z796" s="11"/>
    </row>
    <row r="797">
      <c r="A797" s="8"/>
      <c r="B797" s="56" t="str">
        <f t="shared" si="2"/>
        <v/>
      </c>
      <c r="C797" s="57"/>
      <c r="D797" s="10" t="str">
        <f>IFERROR(__xludf.DUMMYFUNCTION("IF(COUNTA(C797:C1350)=0,"""",IF(ISBLANK(C797),FALSE,IF(NOT(COUNTIF($AA$24:$AA$34,SUBSTITUTE(C797,""Sell_"",""""))),1,IF(REGEXMATCH(C797,""Sell_""),IF(COUNTIF(C$4:C797,SUBSTITUTE(C797,""Sell_"",""""))-COUNTIF(C$4:C796,C797)&lt;1,1),FALSE))))"),"")</f>
        <v/>
      </c>
      <c r="E797" s="59" t="str">
        <f t="array" ref="E797">IF(COUNTA(C797:C1350)=0,"",SUM((COUNTIF(C$4:C797,Upgrades!$B$3:$B$13)-COUNTIF(C$4:C797,"Sell_"&amp;Upgrades!$B$3:$B$13))*Upgrades!$D$3:$D$13))</f>
        <v/>
      </c>
      <c r="F797" s="66" t="str">
        <f>IFERROR(__xludf.DUMMYFUNCTION("IF(COUNTA(C797:C1350)=0,"""",IF(REGEXMATCH(INDEX(FILTER(C$4:C797,C$4:C797&lt;&gt;""""),ROWS(FILTER(C$4:C797,C$4:C797&lt;&gt;""""))),""^Sell_""),INDEX(FILTER(F$4:F796,C$4:C796&lt;&gt;""""),ROWS(FILTER(C$4:C796,C$4:C796&lt;&gt;""""))),$AC$5+E797))"),"")</f>
        <v/>
      </c>
      <c r="G797" s="10" t="str">
        <f>IFERROR(__xludf.DUMMYFUNCTION("IF(COUNTA(C797:C1350)=0,"""",IF(C797="""",0,IF(REGEXMATCH(C797,""^Sell_""),-ROUNDDOWN(ROUNDUP(INDEX(Upgrades!$C$3:$C$13,MATCH(SUBSTITUTE(C797,""Sell_"",""""),Upgrades!$B$3:$B$13,0))*1.15^(COUNTIF(C$4:C796,SUBSTITUTE(C797,""Sell_"",""""))-COUNTIF(C$4:C796,"&amp;"""Sell_""&amp;SUBSTITUTE(C797,""Sell_"",""""))))/2),ROUNDUP(INDEX(Upgrades!$C$3:$C$13,MATCH(C797,Upgrades!$B$3:$B$13,0))*1.15^(COUNTIF(C$4:C796,C797)-COUNTIF(C$4:C796,""Sell_""&amp;C797))))))"),"")</f>
        <v/>
      </c>
      <c r="H797" s="10" t="str">
        <f t="shared" si="3"/>
        <v/>
      </c>
      <c r="I797" s="68" t="str">
        <f t="shared" si="4"/>
        <v/>
      </c>
      <c r="J797" s="59" t="str">
        <f t="shared" si="5"/>
        <v/>
      </c>
      <c r="K797" s="69" t="str">
        <f t="shared" si="6"/>
        <v/>
      </c>
      <c r="L797" s="60" t="str">
        <f t="shared" si="7"/>
        <v/>
      </c>
      <c r="M797" s="61" t="str">
        <f>IFERROR(__xludf.DUMMYFUNCTION("IFS(AND(COUNTA(C797:C1350)=0,COUNTA(Q797:Q1350)=0),"""",OR(AND(K797&gt;=1000000000,OR(Y797&gt;=1000000000,COUNTA(Q797:Q1350)=0)),OR(Y797&gt;=1000000000,AND(COUNTA(C797:C1350)=0,P$3=TRUE))),
ROUNDDOWN((AB$1-AC$1)*MAX(INDEX(T$4:T1350,MATCH(LARGE(FILTER(Y$4:Y1350,Y$4"&amp;":Y1350&lt;1000000000),1),Y$4:Y1350)),INDEX(F$4:F1350,MATCH(LARGE(FILTER(K$4:K1350,K$4:K1350&lt;1000000000),1),K$4:K1350)))),AND(K797&lt;1000000000,COUNTA(C797:C1350)&gt;0,P$3=FALSE),
ROUNDDOWN(INDEX(Y$4:Y1350,MATCH(LARGE(FILTER(W$4:W1350,W$4:W1350&lt;=I797),1),W$4:W1350"&amp;"))+(I797-LARGE(FILTER(W$4:W1350,W$4:W1350&lt;=I797),1))*INDEX(T$4:T1350,MATCH(LARGE(FILTER(W$4:W1350,W$4:W1350&lt;=I797),1),W$4:W1350))-K797),1,
ROUNDDOWN(Y797-INDEX(K$4:K1350,MATCH(LARGE(FILTER(I$4:I1350,I$4:I1350&lt;=W797),1),I$4:I1350))-(W797-LARGE(FILTER(I$4:I"&amp;"1350,I$4:I1350&lt;=W797),1))*INDEX(F$4:F1350,MATCH(LARGE(FILTER(I$4:I1350,I$4:I1350&lt;=W797),1),I$4:I1350))))"),"")</f>
        <v/>
      </c>
      <c r="N797" s="60" t="str">
        <f t="shared" si="8"/>
        <v/>
      </c>
      <c r="O797" s="61" t="str">
        <f t="shared" si="9"/>
        <v/>
      </c>
      <c r="P797" s="56" t="str">
        <f t="shared" si="10"/>
        <v/>
      </c>
      <c r="Q797" s="62"/>
      <c r="R797" s="10" t="str">
        <f>IFERROR(__xludf.DUMMYFUNCTION("IF(COUNTA(Q797:Q1350)=0,"""",IF(ISBLANK(Q797),FALSE,IF(NOT(COUNTIF($AA$24:$AA$34,SUBSTITUTE(Q797,""Sell_"",""""))),1,IF(REGEXMATCH(Q797,""Sell_""),IF(COUNTIF(Q$4:Q797,SUBSTITUTE(Q797,""Sell_"",""""))-COUNTIF(Q$4:Q796,Q797)&lt;1,1),FALSE))))"),"")</f>
        <v/>
      </c>
      <c r="S797" s="59" t="str">
        <f t="array" ref="S797">IF(COUNTA(Q797:Q1350)=0,"",SUM((COUNTIF(Q$4:Q797,Upgrades!$B$3:$B$13)-COUNTIF(Q$4:Q797,"Sell_"&amp;Upgrades!$B$3:$B$13))*Upgrades!$D$3:$D$13))</f>
        <v/>
      </c>
      <c r="T797" s="66" t="str">
        <f>IFERROR(__xludf.DUMMYFUNCTION("IF(COUNTA(Q797:Q1350)=0,"""",IF(REGEXMATCH(INDEX(FILTER(Q$4:Q797,Q$4:Q797&lt;&gt;""""),ROWS(FILTER(Q$4:Q797,Q$4:Q797&lt;&gt;""""))),""^Sell_""),INDEX(FILTER(T$4:T796,Q$4:Q796&lt;&gt;""""),ROWS(FILTER(Q$4:Q796,Q$4:Q796&lt;&gt;""""))),$AD$5+S797))"),"")</f>
        <v/>
      </c>
      <c r="U797" s="10" t="str">
        <f>IFERROR(__xludf.DUMMYFUNCTION("IF(COUNTA(Q797:Q1350)=0,"""",IF(Q797="""",0,IF(REGEXMATCH(Q797,""^Sell_""),-ROUNDDOWN(ROUNDUP(INDEX(Upgrades!$C$3:$C$13,MATCH(SUBSTITUTE(Q797,""Sell_"",""""),Upgrades!$B$3:$B$13,0))*1.15^(COUNTIF(Q$4:Q796,SUBSTITUTE(Q797,""Sell_"",""""))-COUNTIF(Q$4:Q796,"&amp;"""Sell_""&amp;SUBSTITUTE(Q797,""Sell_"",""""))))/2),ROUNDUP(INDEX(Upgrades!$C$3:$C$13,MATCH(Q797,Upgrades!$B$3:$B$13,0))*1.15^(COUNTIF(Q$4:Q796,Q797)-COUNTIF(Q$4:Q796,""Sell_""&amp;Q797))))))"),"")</f>
        <v/>
      </c>
      <c r="V797" s="10" t="str">
        <f t="shared" si="11"/>
        <v/>
      </c>
      <c r="W797" s="68" t="str">
        <f t="shared" si="12"/>
        <v/>
      </c>
      <c r="X797" s="59" t="str">
        <f t="shared" si="13"/>
        <v/>
      </c>
      <c r="Y797" s="69" t="str">
        <f t="shared" si="14"/>
        <v/>
      </c>
      <c r="Z797" s="11"/>
    </row>
    <row r="798">
      <c r="A798" s="8"/>
      <c r="B798" s="56" t="str">
        <f t="shared" si="2"/>
        <v/>
      </c>
      <c r="C798" s="57"/>
      <c r="D798" s="10" t="str">
        <f>IFERROR(__xludf.DUMMYFUNCTION("IF(COUNTA(C798:C1350)=0,"""",IF(ISBLANK(C798),FALSE,IF(NOT(COUNTIF($AA$24:$AA$34,SUBSTITUTE(C798,""Sell_"",""""))),1,IF(REGEXMATCH(C798,""Sell_""),IF(COUNTIF(C$4:C798,SUBSTITUTE(C798,""Sell_"",""""))-COUNTIF(C$4:C797,C798)&lt;1,1),FALSE))))"),"")</f>
        <v/>
      </c>
      <c r="E798" s="59" t="str">
        <f t="array" ref="E798">IF(COUNTA(C798:C1350)=0,"",SUM((COUNTIF(C$4:C798,Upgrades!$B$3:$B$13)-COUNTIF(C$4:C798,"Sell_"&amp;Upgrades!$B$3:$B$13))*Upgrades!$D$3:$D$13))</f>
        <v/>
      </c>
      <c r="F798" s="66" t="str">
        <f>IFERROR(__xludf.DUMMYFUNCTION("IF(COUNTA(C798:C1350)=0,"""",IF(REGEXMATCH(INDEX(FILTER(C$4:C798,C$4:C798&lt;&gt;""""),ROWS(FILTER(C$4:C798,C$4:C798&lt;&gt;""""))),""^Sell_""),INDEX(FILTER(F$4:F797,C$4:C797&lt;&gt;""""),ROWS(FILTER(C$4:C797,C$4:C797&lt;&gt;""""))),$AC$5+E798))"),"")</f>
        <v/>
      </c>
      <c r="G798" s="10" t="str">
        <f>IFERROR(__xludf.DUMMYFUNCTION("IF(COUNTA(C798:C1350)=0,"""",IF(C798="""",0,IF(REGEXMATCH(C798,""^Sell_""),-ROUNDDOWN(ROUNDUP(INDEX(Upgrades!$C$3:$C$13,MATCH(SUBSTITUTE(C798,""Sell_"",""""),Upgrades!$B$3:$B$13,0))*1.15^(COUNTIF(C$4:C797,SUBSTITUTE(C798,""Sell_"",""""))-COUNTIF(C$4:C797,"&amp;"""Sell_""&amp;SUBSTITUTE(C798,""Sell_"",""""))))/2),ROUNDUP(INDEX(Upgrades!$C$3:$C$13,MATCH(C798,Upgrades!$B$3:$B$13,0))*1.15^(COUNTIF(C$4:C797,C798)-COUNTIF(C$4:C797,""Sell_""&amp;C798))))))"),"")</f>
        <v/>
      </c>
      <c r="H798" s="10" t="str">
        <f t="shared" si="3"/>
        <v/>
      </c>
      <c r="I798" s="68" t="str">
        <f t="shared" si="4"/>
        <v/>
      </c>
      <c r="J798" s="59" t="str">
        <f t="shared" si="5"/>
        <v/>
      </c>
      <c r="K798" s="69" t="str">
        <f t="shared" si="6"/>
        <v/>
      </c>
      <c r="L798" s="60" t="str">
        <f t="shared" si="7"/>
        <v/>
      </c>
      <c r="M798" s="61" t="str">
        <f>IFERROR(__xludf.DUMMYFUNCTION("IFS(AND(COUNTA(C798:C1350)=0,COUNTA(Q798:Q1350)=0),"""",OR(AND(K798&gt;=1000000000,OR(Y798&gt;=1000000000,COUNTA(Q798:Q1350)=0)),OR(Y798&gt;=1000000000,AND(COUNTA(C798:C1350)=0,P$3=TRUE))),
ROUNDDOWN((AB$1-AC$1)*MAX(INDEX(T$4:T1350,MATCH(LARGE(FILTER(Y$4:Y1350,Y$4"&amp;":Y1350&lt;1000000000),1),Y$4:Y1350)),INDEX(F$4:F1350,MATCH(LARGE(FILTER(K$4:K1350,K$4:K1350&lt;1000000000),1),K$4:K1350)))),AND(K798&lt;1000000000,COUNTA(C798:C1350)&gt;0,P$3=FALSE),
ROUNDDOWN(INDEX(Y$4:Y1350,MATCH(LARGE(FILTER(W$4:W1350,W$4:W1350&lt;=I798),1),W$4:W1350"&amp;"))+(I798-LARGE(FILTER(W$4:W1350,W$4:W1350&lt;=I798),1))*INDEX(T$4:T1350,MATCH(LARGE(FILTER(W$4:W1350,W$4:W1350&lt;=I798),1),W$4:W1350))-K798),1,
ROUNDDOWN(Y798-INDEX(K$4:K1350,MATCH(LARGE(FILTER(I$4:I1350,I$4:I1350&lt;=W798),1),I$4:I1350))-(W798-LARGE(FILTER(I$4:I"&amp;"1350,I$4:I1350&lt;=W798),1))*INDEX(F$4:F1350,MATCH(LARGE(FILTER(I$4:I1350,I$4:I1350&lt;=W798),1),I$4:I1350))))"),"")</f>
        <v/>
      </c>
      <c r="N798" s="60" t="str">
        <f t="shared" si="8"/>
        <v/>
      </c>
      <c r="O798" s="61" t="str">
        <f t="shared" si="9"/>
        <v/>
      </c>
      <c r="P798" s="56" t="str">
        <f t="shared" si="10"/>
        <v/>
      </c>
      <c r="Q798" s="62"/>
      <c r="R798" s="10" t="str">
        <f>IFERROR(__xludf.DUMMYFUNCTION("IF(COUNTA(Q798:Q1350)=0,"""",IF(ISBLANK(Q798),FALSE,IF(NOT(COUNTIF($AA$24:$AA$34,SUBSTITUTE(Q798,""Sell_"",""""))),1,IF(REGEXMATCH(Q798,""Sell_""),IF(COUNTIF(Q$4:Q798,SUBSTITUTE(Q798,""Sell_"",""""))-COUNTIF(Q$4:Q797,Q798)&lt;1,1),FALSE))))"),"")</f>
        <v/>
      </c>
      <c r="S798" s="59" t="str">
        <f t="array" ref="S798">IF(COUNTA(Q798:Q1350)=0,"",SUM((COUNTIF(Q$4:Q798,Upgrades!$B$3:$B$13)-COUNTIF(Q$4:Q798,"Sell_"&amp;Upgrades!$B$3:$B$13))*Upgrades!$D$3:$D$13))</f>
        <v/>
      </c>
      <c r="T798" s="66" t="str">
        <f>IFERROR(__xludf.DUMMYFUNCTION("IF(COUNTA(Q798:Q1350)=0,"""",IF(REGEXMATCH(INDEX(FILTER(Q$4:Q798,Q$4:Q798&lt;&gt;""""),ROWS(FILTER(Q$4:Q798,Q$4:Q798&lt;&gt;""""))),""^Sell_""),INDEX(FILTER(T$4:T797,Q$4:Q797&lt;&gt;""""),ROWS(FILTER(Q$4:Q797,Q$4:Q797&lt;&gt;""""))),$AD$5+S798))"),"")</f>
        <v/>
      </c>
      <c r="U798" s="10" t="str">
        <f>IFERROR(__xludf.DUMMYFUNCTION("IF(COUNTA(Q798:Q1350)=0,"""",IF(Q798="""",0,IF(REGEXMATCH(Q798,""^Sell_""),-ROUNDDOWN(ROUNDUP(INDEX(Upgrades!$C$3:$C$13,MATCH(SUBSTITUTE(Q798,""Sell_"",""""),Upgrades!$B$3:$B$13,0))*1.15^(COUNTIF(Q$4:Q797,SUBSTITUTE(Q798,""Sell_"",""""))-COUNTIF(Q$4:Q797,"&amp;"""Sell_""&amp;SUBSTITUTE(Q798,""Sell_"",""""))))/2),ROUNDUP(INDEX(Upgrades!$C$3:$C$13,MATCH(Q798,Upgrades!$B$3:$B$13,0))*1.15^(COUNTIF(Q$4:Q797,Q798)-COUNTIF(Q$4:Q797,""Sell_""&amp;Q798))))))"),"")</f>
        <v/>
      </c>
      <c r="V798" s="10" t="str">
        <f t="shared" si="11"/>
        <v/>
      </c>
      <c r="W798" s="68" t="str">
        <f t="shared" si="12"/>
        <v/>
      </c>
      <c r="X798" s="59" t="str">
        <f t="shared" si="13"/>
        <v/>
      </c>
      <c r="Y798" s="69" t="str">
        <f t="shared" si="14"/>
        <v/>
      </c>
      <c r="Z798" s="11"/>
    </row>
    <row r="799">
      <c r="A799" s="8"/>
      <c r="B799" s="56" t="str">
        <f t="shared" si="2"/>
        <v/>
      </c>
      <c r="C799" s="57"/>
      <c r="D799" s="10" t="str">
        <f>IFERROR(__xludf.DUMMYFUNCTION("IF(COUNTA(C799:C1350)=0,"""",IF(ISBLANK(C799),FALSE,IF(NOT(COUNTIF($AA$24:$AA$34,SUBSTITUTE(C799,""Sell_"",""""))),1,IF(REGEXMATCH(C799,""Sell_""),IF(COUNTIF(C$4:C799,SUBSTITUTE(C799,""Sell_"",""""))-COUNTIF(C$4:C798,C799)&lt;1,1),FALSE))))"),"")</f>
        <v/>
      </c>
      <c r="E799" s="59" t="str">
        <f t="array" ref="E799">IF(COUNTA(C799:C1350)=0,"",SUM((COUNTIF(C$4:C799,Upgrades!$B$3:$B$13)-COUNTIF(C$4:C799,"Sell_"&amp;Upgrades!$B$3:$B$13))*Upgrades!$D$3:$D$13))</f>
        <v/>
      </c>
      <c r="F799" s="66" t="str">
        <f>IFERROR(__xludf.DUMMYFUNCTION("IF(COUNTA(C799:C1350)=0,"""",IF(REGEXMATCH(INDEX(FILTER(C$4:C799,C$4:C799&lt;&gt;""""),ROWS(FILTER(C$4:C799,C$4:C799&lt;&gt;""""))),""^Sell_""),INDEX(FILTER(F$4:F798,C$4:C798&lt;&gt;""""),ROWS(FILTER(C$4:C798,C$4:C798&lt;&gt;""""))),$AC$5+E799))"),"")</f>
        <v/>
      </c>
      <c r="G799" s="10" t="str">
        <f>IFERROR(__xludf.DUMMYFUNCTION("IF(COUNTA(C799:C1350)=0,"""",IF(C799="""",0,IF(REGEXMATCH(C799,""^Sell_""),-ROUNDDOWN(ROUNDUP(INDEX(Upgrades!$C$3:$C$13,MATCH(SUBSTITUTE(C799,""Sell_"",""""),Upgrades!$B$3:$B$13,0))*1.15^(COUNTIF(C$4:C798,SUBSTITUTE(C799,""Sell_"",""""))-COUNTIF(C$4:C798,"&amp;"""Sell_""&amp;SUBSTITUTE(C799,""Sell_"",""""))))/2),ROUNDUP(INDEX(Upgrades!$C$3:$C$13,MATCH(C799,Upgrades!$B$3:$B$13,0))*1.15^(COUNTIF(C$4:C798,C799)-COUNTIF(C$4:C798,""Sell_""&amp;C799))))))"),"")</f>
        <v/>
      </c>
      <c r="H799" s="10" t="str">
        <f t="shared" si="3"/>
        <v/>
      </c>
      <c r="I799" s="68" t="str">
        <f t="shared" si="4"/>
        <v/>
      </c>
      <c r="J799" s="59" t="str">
        <f t="shared" si="5"/>
        <v/>
      </c>
      <c r="K799" s="69" t="str">
        <f t="shared" si="6"/>
        <v/>
      </c>
      <c r="L799" s="60" t="str">
        <f t="shared" si="7"/>
        <v/>
      </c>
      <c r="M799" s="61" t="str">
        <f>IFERROR(__xludf.DUMMYFUNCTION("IFS(AND(COUNTA(C799:C1350)=0,COUNTA(Q799:Q1350)=0),"""",OR(AND(K799&gt;=1000000000,OR(Y799&gt;=1000000000,COUNTA(Q799:Q1350)=0)),OR(Y799&gt;=1000000000,AND(COUNTA(C799:C1350)=0,P$3=TRUE))),
ROUNDDOWN((AB$1-AC$1)*MAX(INDEX(T$4:T1350,MATCH(LARGE(FILTER(Y$4:Y1350,Y$4"&amp;":Y1350&lt;1000000000),1),Y$4:Y1350)),INDEX(F$4:F1350,MATCH(LARGE(FILTER(K$4:K1350,K$4:K1350&lt;1000000000),1),K$4:K1350)))),AND(K799&lt;1000000000,COUNTA(C799:C1350)&gt;0,P$3=FALSE),
ROUNDDOWN(INDEX(Y$4:Y1350,MATCH(LARGE(FILTER(W$4:W1350,W$4:W1350&lt;=I799),1),W$4:W1350"&amp;"))+(I799-LARGE(FILTER(W$4:W1350,W$4:W1350&lt;=I799),1))*INDEX(T$4:T1350,MATCH(LARGE(FILTER(W$4:W1350,W$4:W1350&lt;=I799),1),W$4:W1350))-K799),1,
ROUNDDOWN(Y799-INDEX(K$4:K1350,MATCH(LARGE(FILTER(I$4:I1350,I$4:I1350&lt;=W799),1),I$4:I1350))-(W799-LARGE(FILTER(I$4:I"&amp;"1350,I$4:I1350&lt;=W799),1))*INDEX(F$4:F1350,MATCH(LARGE(FILTER(I$4:I1350,I$4:I1350&lt;=W799),1),I$4:I1350))))"),"")</f>
        <v/>
      </c>
      <c r="N799" s="60" t="str">
        <f t="shared" si="8"/>
        <v/>
      </c>
      <c r="O799" s="61" t="str">
        <f t="shared" si="9"/>
        <v/>
      </c>
      <c r="P799" s="56" t="str">
        <f t="shared" si="10"/>
        <v/>
      </c>
      <c r="Q799" s="62"/>
      <c r="R799" s="10" t="str">
        <f>IFERROR(__xludf.DUMMYFUNCTION("IF(COUNTA(Q799:Q1350)=0,"""",IF(ISBLANK(Q799),FALSE,IF(NOT(COUNTIF($AA$24:$AA$34,SUBSTITUTE(Q799,""Sell_"",""""))),1,IF(REGEXMATCH(Q799,""Sell_""),IF(COUNTIF(Q$4:Q799,SUBSTITUTE(Q799,""Sell_"",""""))-COUNTIF(Q$4:Q798,Q799)&lt;1,1),FALSE))))"),"")</f>
        <v/>
      </c>
      <c r="S799" s="59" t="str">
        <f t="array" ref="S799">IF(COUNTA(Q799:Q1350)=0,"",SUM((COUNTIF(Q$4:Q799,Upgrades!$B$3:$B$13)-COUNTIF(Q$4:Q799,"Sell_"&amp;Upgrades!$B$3:$B$13))*Upgrades!$D$3:$D$13))</f>
        <v/>
      </c>
      <c r="T799" s="66" t="str">
        <f>IFERROR(__xludf.DUMMYFUNCTION("IF(COUNTA(Q799:Q1350)=0,"""",IF(REGEXMATCH(INDEX(FILTER(Q$4:Q799,Q$4:Q799&lt;&gt;""""),ROWS(FILTER(Q$4:Q799,Q$4:Q799&lt;&gt;""""))),""^Sell_""),INDEX(FILTER(T$4:T798,Q$4:Q798&lt;&gt;""""),ROWS(FILTER(Q$4:Q798,Q$4:Q798&lt;&gt;""""))),$AD$5+S799))"),"")</f>
        <v/>
      </c>
      <c r="U799" s="10" t="str">
        <f>IFERROR(__xludf.DUMMYFUNCTION("IF(COUNTA(Q799:Q1350)=0,"""",IF(Q799="""",0,IF(REGEXMATCH(Q799,""^Sell_""),-ROUNDDOWN(ROUNDUP(INDEX(Upgrades!$C$3:$C$13,MATCH(SUBSTITUTE(Q799,""Sell_"",""""),Upgrades!$B$3:$B$13,0))*1.15^(COUNTIF(Q$4:Q798,SUBSTITUTE(Q799,""Sell_"",""""))-COUNTIF(Q$4:Q798,"&amp;"""Sell_""&amp;SUBSTITUTE(Q799,""Sell_"",""""))))/2),ROUNDUP(INDEX(Upgrades!$C$3:$C$13,MATCH(Q799,Upgrades!$B$3:$B$13,0))*1.15^(COUNTIF(Q$4:Q798,Q799)-COUNTIF(Q$4:Q798,""Sell_""&amp;Q799))))))"),"")</f>
        <v/>
      </c>
      <c r="V799" s="10" t="str">
        <f t="shared" si="11"/>
        <v/>
      </c>
      <c r="W799" s="68" t="str">
        <f t="shared" si="12"/>
        <v/>
      </c>
      <c r="X799" s="59" t="str">
        <f t="shared" si="13"/>
        <v/>
      </c>
      <c r="Y799" s="69" t="str">
        <f t="shared" si="14"/>
        <v/>
      </c>
      <c r="Z799" s="11"/>
    </row>
    <row r="800">
      <c r="A800" s="8"/>
      <c r="B800" s="56" t="str">
        <f t="shared" si="2"/>
        <v/>
      </c>
      <c r="C800" s="57"/>
      <c r="D800" s="10" t="str">
        <f>IFERROR(__xludf.DUMMYFUNCTION("IF(COUNTA(C800:C1350)=0,"""",IF(ISBLANK(C800),FALSE,IF(NOT(COUNTIF($AA$24:$AA$34,SUBSTITUTE(C800,""Sell_"",""""))),1,IF(REGEXMATCH(C800,""Sell_""),IF(COUNTIF(C$4:C800,SUBSTITUTE(C800,""Sell_"",""""))-COUNTIF(C$4:C799,C800)&lt;1,1),FALSE))))"),"")</f>
        <v/>
      </c>
      <c r="E800" s="59" t="str">
        <f t="array" ref="E800">IF(COUNTA(C800:C1350)=0,"",SUM((COUNTIF(C$4:C800,Upgrades!$B$3:$B$13)-COUNTIF(C$4:C800,"Sell_"&amp;Upgrades!$B$3:$B$13))*Upgrades!$D$3:$D$13))</f>
        <v/>
      </c>
      <c r="F800" s="66" t="str">
        <f>IFERROR(__xludf.DUMMYFUNCTION("IF(COUNTA(C800:C1350)=0,"""",IF(REGEXMATCH(INDEX(FILTER(C$4:C800,C$4:C800&lt;&gt;""""),ROWS(FILTER(C$4:C800,C$4:C800&lt;&gt;""""))),""^Sell_""),INDEX(FILTER(F$4:F799,C$4:C799&lt;&gt;""""),ROWS(FILTER(C$4:C799,C$4:C799&lt;&gt;""""))),$AC$5+E800))"),"")</f>
        <v/>
      </c>
      <c r="G800" s="10" t="str">
        <f>IFERROR(__xludf.DUMMYFUNCTION("IF(COUNTA(C800:C1350)=0,"""",IF(C800="""",0,IF(REGEXMATCH(C800,""^Sell_""),-ROUNDDOWN(ROUNDUP(INDEX(Upgrades!$C$3:$C$13,MATCH(SUBSTITUTE(C800,""Sell_"",""""),Upgrades!$B$3:$B$13,0))*1.15^(COUNTIF(C$4:C799,SUBSTITUTE(C800,""Sell_"",""""))-COUNTIF(C$4:C799,"&amp;"""Sell_""&amp;SUBSTITUTE(C800,""Sell_"",""""))))/2),ROUNDUP(INDEX(Upgrades!$C$3:$C$13,MATCH(C800,Upgrades!$B$3:$B$13,0))*1.15^(COUNTIF(C$4:C799,C800)-COUNTIF(C$4:C799,""Sell_""&amp;C800))))))"),"")</f>
        <v/>
      </c>
      <c r="H800" s="10" t="str">
        <f t="shared" si="3"/>
        <v/>
      </c>
      <c r="I800" s="68" t="str">
        <f t="shared" si="4"/>
        <v/>
      </c>
      <c r="J800" s="59" t="str">
        <f t="shared" si="5"/>
        <v/>
      </c>
      <c r="K800" s="69" t="str">
        <f t="shared" si="6"/>
        <v/>
      </c>
      <c r="L800" s="60" t="str">
        <f t="shared" si="7"/>
        <v/>
      </c>
      <c r="M800" s="61" t="str">
        <f>IFERROR(__xludf.DUMMYFUNCTION("IFS(AND(COUNTA(C800:C1350)=0,COUNTA(Q800:Q1350)=0),"""",OR(AND(K800&gt;=1000000000,OR(Y800&gt;=1000000000,COUNTA(Q800:Q1350)=0)),OR(Y800&gt;=1000000000,AND(COUNTA(C800:C1350)=0,P$3=TRUE))),
ROUNDDOWN((AB$1-AC$1)*MAX(INDEX(T$4:T1350,MATCH(LARGE(FILTER(Y$4:Y1350,Y$4"&amp;":Y1350&lt;1000000000),1),Y$4:Y1350)),INDEX(F$4:F1350,MATCH(LARGE(FILTER(K$4:K1350,K$4:K1350&lt;1000000000),1),K$4:K1350)))),AND(K800&lt;1000000000,COUNTA(C800:C1350)&gt;0,P$3=FALSE),
ROUNDDOWN(INDEX(Y$4:Y1350,MATCH(LARGE(FILTER(W$4:W1350,W$4:W1350&lt;=I800),1),W$4:W1350"&amp;"))+(I800-LARGE(FILTER(W$4:W1350,W$4:W1350&lt;=I800),1))*INDEX(T$4:T1350,MATCH(LARGE(FILTER(W$4:W1350,W$4:W1350&lt;=I800),1),W$4:W1350))-K800),1,
ROUNDDOWN(Y800-INDEX(K$4:K1350,MATCH(LARGE(FILTER(I$4:I1350,I$4:I1350&lt;=W800),1),I$4:I1350))-(W800-LARGE(FILTER(I$4:I"&amp;"1350,I$4:I1350&lt;=W800),1))*INDEX(F$4:F1350,MATCH(LARGE(FILTER(I$4:I1350,I$4:I1350&lt;=W800),1),I$4:I1350))))"),"")</f>
        <v/>
      </c>
      <c r="N800" s="60" t="str">
        <f t="shared" si="8"/>
        <v/>
      </c>
      <c r="O800" s="61" t="str">
        <f t="shared" si="9"/>
        <v/>
      </c>
      <c r="P800" s="56" t="str">
        <f t="shared" si="10"/>
        <v/>
      </c>
      <c r="Q800" s="62"/>
      <c r="R800" s="10" t="str">
        <f>IFERROR(__xludf.DUMMYFUNCTION("IF(COUNTA(Q800:Q1350)=0,"""",IF(ISBLANK(Q800),FALSE,IF(NOT(COUNTIF($AA$24:$AA$34,SUBSTITUTE(Q800,""Sell_"",""""))),1,IF(REGEXMATCH(Q800,""Sell_""),IF(COUNTIF(Q$4:Q800,SUBSTITUTE(Q800,""Sell_"",""""))-COUNTIF(Q$4:Q799,Q800)&lt;1,1),FALSE))))"),"")</f>
        <v/>
      </c>
      <c r="S800" s="59" t="str">
        <f t="array" ref="S800">IF(COUNTA(Q800:Q1350)=0,"",SUM((COUNTIF(Q$4:Q800,Upgrades!$B$3:$B$13)-COUNTIF(Q$4:Q800,"Sell_"&amp;Upgrades!$B$3:$B$13))*Upgrades!$D$3:$D$13))</f>
        <v/>
      </c>
      <c r="T800" s="66" t="str">
        <f>IFERROR(__xludf.DUMMYFUNCTION("IF(COUNTA(Q800:Q1350)=0,"""",IF(REGEXMATCH(INDEX(FILTER(Q$4:Q800,Q$4:Q800&lt;&gt;""""),ROWS(FILTER(Q$4:Q800,Q$4:Q800&lt;&gt;""""))),""^Sell_""),INDEX(FILTER(T$4:T799,Q$4:Q799&lt;&gt;""""),ROWS(FILTER(Q$4:Q799,Q$4:Q799&lt;&gt;""""))),$AD$5+S800))"),"")</f>
        <v/>
      </c>
      <c r="U800" s="10" t="str">
        <f>IFERROR(__xludf.DUMMYFUNCTION("IF(COUNTA(Q800:Q1350)=0,"""",IF(Q800="""",0,IF(REGEXMATCH(Q800,""^Sell_""),-ROUNDDOWN(ROUNDUP(INDEX(Upgrades!$C$3:$C$13,MATCH(SUBSTITUTE(Q800,""Sell_"",""""),Upgrades!$B$3:$B$13,0))*1.15^(COUNTIF(Q$4:Q799,SUBSTITUTE(Q800,""Sell_"",""""))-COUNTIF(Q$4:Q799,"&amp;"""Sell_""&amp;SUBSTITUTE(Q800,""Sell_"",""""))))/2),ROUNDUP(INDEX(Upgrades!$C$3:$C$13,MATCH(Q800,Upgrades!$B$3:$B$13,0))*1.15^(COUNTIF(Q$4:Q799,Q800)-COUNTIF(Q$4:Q799,""Sell_""&amp;Q800))))))"),"")</f>
        <v/>
      </c>
      <c r="V800" s="10" t="str">
        <f t="shared" si="11"/>
        <v/>
      </c>
      <c r="W800" s="68" t="str">
        <f t="shared" si="12"/>
        <v/>
      </c>
      <c r="X800" s="59" t="str">
        <f t="shared" si="13"/>
        <v/>
      </c>
      <c r="Y800" s="69" t="str">
        <f t="shared" si="14"/>
        <v/>
      </c>
      <c r="Z800" s="11"/>
    </row>
    <row r="801">
      <c r="A801" s="8"/>
      <c r="B801" s="56" t="str">
        <f t="shared" si="2"/>
        <v/>
      </c>
      <c r="C801" s="57"/>
      <c r="D801" s="10" t="str">
        <f>IFERROR(__xludf.DUMMYFUNCTION("IF(COUNTA(C801:C1350)=0,"""",IF(ISBLANK(C801),FALSE,IF(NOT(COUNTIF($AA$24:$AA$34,SUBSTITUTE(C801,""Sell_"",""""))),1,IF(REGEXMATCH(C801,""Sell_""),IF(COUNTIF(C$4:C801,SUBSTITUTE(C801,""Sell_"",""""))-COUNTIF(C$4:C800,C801)&lt;1,1),FALSE))))"),"")</f>
        <v/>
      </c>
      <c r="E801" s="59" t="str">
        <f t="array" ref="E801">IF(COUNTA(C801:C1350)=0,"",SUM((COUNTIF(C$4:C801,Upgrades!$B$3:$B$13)-COUNTIF(C$4:C801,"Sell_"&amp;Upgrades!$B$3:$B$13))*Upgrades!$D$3:$D$13))</f>
        <v/>
      </c>
      <c r="F801" s="66" t="str">
        <f>IFERROR(__xludf.DUMMYFUNCTION("IF(COUNTA(C801:C1350)=0,"""",IF(REGEXMATCH(INDEX(FILTER(C$4:C801,C$4:C801&lt;&gt;""""),ROWS(FILTER(C$4:C801,C$4:C801&lt;&gt;""""))),""^Sell_""),INDEX(FILTER(F$4:F800,C$4:C800&lt;&gt;""""),ROWS(FILTER(C$4:C800,C$4:C800&lt;&gt;""""))),$AC$5+E801))"),"")</f>
        <v/>
      </c>
      <c r="G801" s="10" t="str">
        <f>IFERROR(__xludf.DUMMYFUNCTION("IF(COUNTA(C801:C1350)=0,"""",IF(C801="""",0,IF(REGEXMATCH(C801,""^Sell_""),-ROUNDDOWN(ROUNDUP(INDEX(Upgrades!$C$3:$C$13,MATCH(SUBSTITUTE(C801,""Sell_"",""""),Upgrades!$B$3:$B$13,0))*1.15^(COUNTIF(C$4:C800,SUBSTITUTE(C801,""Sell_"",""""))-COUNTIF(C$4:C800,"&amp;"""Sell_""&amp;SUBSTITUTE(C801,""Sell_"",""""))))/2),ROUNDUP(INDEX(Upgrades!$C$3:$C$13,MATCH(C801,Upgrades!$B$3:$B$13,0))*1.15^(COUNTIF(C$4:C800,C801)-COUNTIF(C$4:C800,""Sell_""&amp;C801))))))"),"")</f>
        <v/>
      </c>
      <c r="H801" s="10" t="str">
        <f t="shared" si="3"/>
        <v/>
      </c>
      <c r="I801" s="68" t="str">
        <f t="shared" si="4"/>
        <v/>
      </c>
      <c r="J801" s="59" t="str">
        <f t="shared" si="5"/>
        <v/>
      </c>
      <c r="K801" s="69" t="str">
        <f t="shared" si="6"/>
        <v/>
      </c>
      <c r="L801" s="60" t="str">
        <f t="shared" si="7"/>
        <v/>
      </c>
      <c r="M801" s="61" t="str">
        <f>IFERROR(__xludf.DUMMYFUNCTION("IFS(AND(COUNTA(C801:C1350)=0,COUNTA(Q801:Q1350)=0),"""",OR(AND(K801&gt;=1000000000,OR(Y801&gt;=1000000000,COUNTA(Q801:Q1350)=0)),OR(Y801&gt;=1000000000,AND(COUNTA(C801:C1350)=0,P$3=TRUE))),
ROUNDDOWN((AB$1-AC$1)*MAX(INDEX(T$4:T1350,MATCH(LARGE(FILTER(Y$4:Y1350,Y$4"&amp;":Y1350&lt;1000000000),1),Y$4:Y1350)),INDEX(F$4:F1350,MATCH(LARGE(FILTER(K$4:K1350,K$4:K1350&lt;1000000000),1),K$4:K1350)))),AND(K801&lt;1000000000,COUNTA(C801:C1350)&gt;0,P$3=FALSE),
ROUNDDOWN(INDEX(Y$4:Y1350,MATCH(LARGE(FILTER(W$4:W1350,W$4:W1350&lt;=I801),1),W$4:W1350"&amp;"))+(I801-LARGE(FILTER(W$4:W1350,W$4:W1350&lt;=I801),1))*INDEX(T$4:T1350,MATCH(LARGE(FILTER(W$4:W1350,W$4:W1350&lt;=I801),1),W$4:W1350))-K801),1,
ROUNDDOWN(Y801-INDEX(K$4:K1350,MATCH(LARGE(FILTER(I$4:I1350,I$4:I1350&lt;=W801),1),I$4:I1350))-(W801-LARGE(FILTER(I$4:I"&amp;"1350,I$4:I1350&lt;=W801),1))*INDEX(F$4:F1350,MATCH(LARGE(FILTER(I$4:I1350,I$4:I1350&lt;=W801),1),I$4:I1350))))"),"")</f>
        <v/>
      </c>
      <c r="N801" s="60" t="str">
        <f t="shared" si="8"/>
        <v/>
      </c>
      <c r="O801" s="61" t="str">
        <f t="shared" si="9"/>
        <v/>
      </c>
      <c r="P801" s="56" t="str">
        <f t="shared" si="10"/>
        <v/>
      </c>
      <c r="Q801" s="62"/>
      <c r="R801" s="10" t="str">
        <f>IFERROR(__xludf.DUMMYFUNCTION("IF(COUNTA(Q801:Q1350)=0,"""",IF(ISBLANK(Q801),FALSE,IF(NOT(COUNTIF($AA$24:$AA$34,SUBSTITUTE(Q801,""Sell_"",""""))),1,IF(REGEXMATCH(Q801,""Sell_""),IF(COUNTIF(Q$4:Q801,SUBSTITUTE(Q801,""Sell_"",""""))-COUNTIF(Q$4:Q800,Q801)&lt;1,1),FALSE))))"),"")</f>
        <v/>
      </c>
      <c r="S801" s="59" t="str">
        <f t="array" ref="S801">IF(COUNTA(Q801:Q1350)=0,"",SUM((COUNTIF(Q$4:Q801,Upgrades!$B$3:$B$13)-COUNTIF(Q$4:Q801,"Sell_"&amp;Upgrades!$B$3:$B$13))*Upgrades!$D$3:$D$13))</f>
        <v/>
      </c>
      <c r="T801" s="66" t="str">
        <f>IFERROR(__xludf.DUMMYFUNCTION("IF(COUNTA(Q801:Q1350)=0,"""",IF(REGEXMATCH(INDEX(FILTER(Q$4:Q801,Q$4:Q801&lt;&gt;""""),ROWS(FILTER(Q$4:Q801,Q$4:Q801&lt;&gt;""""))),""^Sell_""),INDEX(FILTER(T$4:T800,Q$4:Q800&lt;&gt;""""),ROWS(FILTER(Q$4:Q800,Q$4:Q800&lt;&gt;""""))),$AD$5+S801))"),"")</f>
        <v/>
      </c>
      <c r="U801" s="10" t="str">
        <f>IFERROR(__xludf.DUMMYFUNCTION("IF(COUNTA(Q801:Q1350)=0,"""",IF(Q801="""",0,IF(REGEXMATCH(Q801,""^Sell_""),-ROUNDDOWN(ROUNDUP(INDEX(Upgrades!$C$3:$C$13,MATCH(SUBSTITUTE(Q801,""Sell_"",""""),Upgrades!$B$3:$B$13,0))*1.15^(COUNTIF(Q$4:Q800,SUBSTITUTE(Q801,""Sell_"",""""))-COUNTIF(Q$4:Q800,"&amp;"""Sell_""&amp;SUBSTITUTE(Q801,""Sell_"",""""))))/2),ROUNDUP(INDEX(Upgrades!$C$3:$C$13,MATCH(Q801,Upgrades!$B$3:$B$13,0))*1.15^(COUNTIF(Q$4:Q800,Q801)-COUNTIF(Q$4:Q800,""Sell_""&amp;Q801))))))"),"")</f>
        <v/>
      </c>
      <c r="V801" s="10" t="str">
        <f t="shared" si="11"/>
        <v/>
      </c>
      <c r="W801" s="68" t="str">
        <f t="shared" si="12"/>
        <v/>
      </c>
      <c r="X801" s="59" t="str">
        <f t="shared" si="13"/>
        <v/>
      </c>
      <c r="Y801" s="69" t="str">
        <f t="shared" si="14"/>
        <v/>
      </c>
      <c r="Z801" s="11"/>
    </row>
    <row r="802">
      <c r="A802" s="8"/>
      <c r="B802" s="56" t="str">
        <f t="shared" si="2"/>
        <v/>
      </c>
      <c r="C802" s="57"/>
      <c r="D802" s="10" t="str">
        <f>IFERROR(__xludf.DUMMYFUNCTION("IF(COUNTA(C802:C1350)=0,"""",IF(ISBLANK(C802),FALSE,IF(NOT(COUNTIF($AA$24:$AA$34,SUBSTITUTE(C802,""Sell_"",""""))),1,IF(REGEXMATCH(C802,""Sell_""),IF(COUNTIF(C$4:C802,SUBSTITUTE(C802,""Sell_"",""""))-COUNTIF(C$4:C801,C802)&lt;1,1),FALSE))))"),"")</f>
        <v/>
      </c>
      <c r="E802" s="59" t="str">
        <f t="array" ref="E802">IF(COUNTA(C802:C1350)=0,"",SUM((COUNTIF(C$4:C802,Upgrades!$B$3:$B$13)-COUNTIF(C$4:C802,"Sell_"&amp;Upgrades!$B$3:$B$13))*Upgrades!$D$3:$D$13))</f>
        <v/>
      </c>
      <c r="F802" s="66" t="str">
        <f>IFERROR(__xludf.DUMMYFUNCTION("IF(COUNTA(C802:C1350)=0,"""",IF(REGEXMATCH(INDEX(FILTER(C$4:C802,C$4:C802&lt;&gt;""""),ROWS(FILTER(C$4:C802,C$4:C802&lt;&gt;""""))),""^Sell_""),INDEX(FILTER(F$4:F801,C$4:C801&lt;&gt;""""),ROWS(FILTER(C$4:C801,C$4:C801&lt;&gt;""""))),$AC$5+E802))"),"")</f>
        <v/>
      </c>
      <c r="G802" s="10" t="str">
        <f>IFERROR(__xludf.DUMMYFUNCTION("IF(COUNTA(C802:C1350)=0,"""",IF(C802="""",0,IF(REGEXMATCH(C802,""^Sell_""),-ROUNDDOWN(ROUNDUP(INDEX(Upgrades!$C$3:$C$13,MATCH(SUBSTITUTE(C802,""Sell_"",""""),Upgrades!$B$3:$B$13,0))*1.15^(COUNTIF(C$4:C801,SUBSTITUTE(C802,""Sell_"",""""))-COUNTIF(C$4:C801,"&amp;"""Sell_""&amp;SUBSTITUTE(C802,""Sell_"",""""))))/2),ROUNDUP(INDEX(Upgrades!$C$3:$C$13,MATCH(C802,Upgrades!$B$3:$B$13,0))*1.15^(COUNTIF(C$4:C801,C802)-COUNTIF(C$4:C801,""Sell_""&amp;C802))))))"),"")</f>
        <v/>
      </c>
      <c r="H802" s="10" t="str">
        <f t="shared" si="3"/>
        <v/>
      </c>
      <c r="I802" s="68" t="str">
        <f t="shared" si="4"/>
        <v/>
      </c>
      <c r="J802" s="59" t="str">
        <f t="shared" si="5"/>
        <v/>
      </c>
      <c r="K802" s="69" t="str">
        <f t="shared" si="6"/>
        <v/>
      </c>
      <c r="L802" s="60" t="str">
        <f t="shared" si="7"/>
        <v/>
      </c>
      <c r="M802" s="61" t="str">
        <f>IFERROR(__xludf.DUMMYFUNCTION("IFS(AND(COUNTA(C802:C1350)=0,COUNTA(Q802:Q1350)=0),"""",OR(AND(K802&gt;=1000000000,OR(Y802&gt;=1000000000,COUNTA(Q802:Q1350)=0)),OR(Y802&gt;=1000000000,AND(COUNTA(C802:C1350)=0,P$3=TRUE))),
ROUNDDOWN((AB$1-AC$1)*MAX(INDEX(T$4:T1350,MATCH(LARGE(FILTER(Y$4:Y1350,Y$4"&amp;":Y1350&lt;1000000000),1),Y$4:Y1350)),INDEX(F$4:F1350,MATCH(LARGE(FILTER(K$4:K1350,K$4:K1350&lt;1000000000),1),K$4:K1350)))),AND(K802&lt;1000000000,COUNTA(C802:C1350)&gt;0,P$3=FALSE),
ROUNDDOWN(INDEX(Y$4:Y1350,MATCH(LARGE(FILTER(W$4:W1350,W$4:W1350&lt;=I802),1),W$4:W1350"&amp;"))+(I802-LARGE(FILTER(W$4:W1350,W$4:W1350&lt;=I802),1))*INDEX(T$4:T1350,MATCH(LARGE(FILTER(W$4:W1350,W$4:W1350&lt;=I802),1),W$4:W1350))-K802),1,
ROUNDDOWN(Y802-INDEX(K$4:K1350,MATCH(LARGE(FILTER(I$4:I1350,I$4:I1350&lt;=W802),1),I$4:I1350))-(W802-LARGE(FILTER(I$4:I"&amp;"1350,I$4:I1350&lt;=W802),1))*INDEX(F$4:F1350,MATCH(LARGE(FILTER(I$4:I1350,I$4:I1350&lt;=W802),1),I$4:I1350))))"),"")</f>
        <v/>
      </c>
      <c r="N802" s="60" t="str">
        <f t="shared" si="8"/>
        <v/>
      </c>
      <c r="O802" s="61" t="str">
        <f t="shared" si="9"/>
        <v/>
      </c>
      <c r="P802" s="56" t="str">
        <f t="shared" si="10"/>
        <v/>
      </c>
      <c r="Q802" s="62"/>
      <c r="R802" s="10" t="str">
        <f>IFERROR(__xludf.DUMMYFUNCTION("IF(COUNTA(Q802:Q1350)=0,"""",IF(ISBLANK(Q802),FALSE,IF(NOT(COUNTIF($AA$24:$AA$34,SUBSTITUTE(Q802,""Sell_"",""""))),1,IF(REGEXMATCH(Q802,""Sell_""),IF(COUNTIF(Q$4:Q802,SUBSTITUTE(Q802,""Sell_"",""""))-COUNTIF(Q$4:Q801,Q802)&lt;1,1),FALSE))))"),"")</f>
        <v/>
      </c>
      <c r="S802" s="59" t="str">
        <f t="array" ref="S802">IF(COUNTA(Q802:Q1350)=0,"",SUM((COUNTIF(Q$4:Q802,Upgrades!$B$3:$B$13)-COUNTIF(Q$4:Q802,"Sell_"&amp;Upgrades!$B$3:$B$13))*Upgrades!$D$3:$D$13))</f>
        <v/>
      </c>
      <c r="T802" s="66" t="str">
        <f>IFERROR(__xludf.DUMMYFUNCTION("IF(COUNTA(Q802:Q1350)=0,"""",IF(REGEXMATCH(INDEX(FILTER(Q$4:Q802,Q$4:Q802&lt;&gt;""""),ROWS(FILTER(Q$4:Q802,Q$4:Q802&lt;&gt;""""))),""^Sell_""),INDEX(FILTER(T$4:T801,Q$4:Q801&lt;&gt;""""),ROWS(FILTER(Q$4:Q801,Q$4:Q801&lt;&gt;""""))),$AD$5+S802))"),"")</f>
        <v/>
      </c>
      <c r="U802" s="10" t="str">
        <f>IFERROR(__xludf.DUMMYFUNCTION("IF(COUNTA(Q802:Q1350)=0,"""",IF(Q802="""",0,IF(REGEXMATCH(Q802,""^Sell_""),-ROUNDDOWN(ROUNDUP(INDEX(Upgrades!$C$3:$C$13,MATCH(SUBSTITUTE(Q802,""Sell_"",""""),Upgrades!$B$3:$B$13,0))*1.15^(COUNTIF(Q$4:Q801,SUBSTITUTE(Q802,""Sell_"",""""))-COUNTIF(Q$4:Q801,"&amp;"""Sell_""&amp;SUBSTITUTE(Q802,""Sell_"",""""))))/2),ROUNDUP(INDEX(Upgrades!$C$3:$C$13,MATCH(Q802,Upgrades!$B$3:$B$13,0))*1.15^(COUNTIF(Q$4:Q801,Q802)-COUNTIF(Q$4:Q801,""Sell_""&amp;Q802))))))"),"")</f>
        <v/>
      </c>
      <c r="V802" s="10" t="str">
        <f t="shared" si="11"/>
        <v/>
      </c>
      <c r="W802" s="68" t="str">
        <f t="shared" si="12"/>
        <v/>
      </c>
      <c r="X802" s="59" t="str">
        <f t="shared" si="13"/>
        <v/>
      </c>
      <c r="Y802" s="69" t="str">
        <f t="shared" si="14"/>
        <v/>
      </c>
      <c r="Z802" s="11"/>
    </row>
    <row r="803">
      <c r="A803" s="8"/>
      <c r="B803" s="56" t="str">
        <f t="shared" si="2"/>
        <v/>
      </c>
      <c r="C803" s="57"/>
      <c r="D803" s="10" t="str">
        <f>IFERROR(__xludf.DUMMYFUNCTION("IF(COUNTA(C803:C1350)=0,"""",IF(ISBLANK(C803),FALSE,IF(NOT(COUNTIF($AA$24:$AA$34,SUBSTITUTE(C803,""Sell_"",""""))),1,IF(REGEXMATCH(C803,""Sell_""),IF(COUNTIF(C$4:C803,SUBSTITUTE(C803,""Sell_"",""""))-COUNTIF(C$4:C802,C803)&lt;1,1),FALSE))))"),"")</f>
        <v/>
      </c>
      <c r="E803" s="59" t="str">
        <f t="array" ref="E803">IF(COUNTA(C803:C1350)=0,"",SUM((COUNTIF(C$4:C803,Upgrades!$B$3:$B$13)-COUNTIF(C$4:C803,"Sell_"&amp;Upgrades!$B$3:$B$13))*Upgrades!$D$3:$D$13))</f>
        <v/>
      </c>
      <c r="F803" s="66" t="str">
        <f>IFERROR(__xludf.DUMMYFUNCTION("IF(COUNTA(C803:C1350)=0,"""",IF(REGEXMATCH(INDEX(FILTER(C$4:C803,C$4:C803&lt;&gt;""""),ROWS(FILTER(C$4:C803,C$4:C803&lt;&gt;""""))),""^Sell_""),INDEX(FILTER(F$4:F802,C$4:C802&lt;&gt;""""),ROWS(FILTER(C$4:C802,C$4:C802&lt;&gt;""""))),$AC$5+E803))"),"")</f>
        <v/>
      </c>
      <c r="G803" s="10" t="str">
        <f>IFERROR(__xludf.DUMMYFUNCTION("IF(COUNTA(C803:C1350)=0,"""",IF(C803="""",0,IF(REGEXMATCH(C803,""^Sell_""),-ROUNDDOWN(ROUNDUP(INDEX(Upgrades!$C$3:$C$13,MATCH(SUBSTITUTE(C803,""Sell_"",""""),Upgrades!$B$3:$B$13,0))*1.15^(COUNTIF(C$4:C802,SUBSTITUTE(C803,""Sell_"",""""))-COUNTIF(C$4:C802,"&amp;"""Sell_""&amp;SUBSTITUTE(C803,""Sell_"",""""))))/2),ROUNDUP(INDEX(Upgrades!$C$3:$C$13,MATCH(C803,Upgrades!$B$3:$B$13,0))*1.15^(COUNTIF(C$4:C802,C803)-COUNTIF(C$4:C802,""Sell_""&amp;C803))))))"),"")</f>
        <v/>
      </c>
      <c r="H803" s="10" t="str">
        <f t="shared" si="3"/>
        <v/>
      </c>
      <c r="I803" s="68" t="str">
        <f t="shared" si="4"/>
        <v/>
      </c>
      <c r="J803" s="59" t="str">
        <f t="shared" si="5"/>
        <v/>
      </c>
      <c r="K803" s="69" t="str">
        <f t="shared" si="6"/>
        <v/>
      </c>
      <c r="L803" s="60" t="str">
        <f t="shared" si="7"/>
        <v/>
      </c>
      <c r="M803" s="61" t="str">
        <f>IFERROR(__xludf.DUMMYFUNCTION("IFS(AND(COUNTA(C803:C1350)=0,COUNTA(Q803:Q1350)=0),"""",OR(AND(K803&gt;=1000000000,OR(Y803&gt;=1000000000,COUNTA(Q803:Q1350)=0)),OR(Y803&gt;=1000000000,AND(COUNTA(C803:C1350)=0,P$3=TRUE))),
ROUNDDOWN((AB$1-AC$1)*MAX(INDEX(T$4:T1350,MATCH(LARGE(FILTER(Y$4:Y1350,Y$4"&amp;":Y1350&lt;1000000000),1),Y$4:Y1350)),INDEX(F$4:F1350,MATCH(LARGE(FILTER(K$4:K1350,K$4:K1350&lt;1000000000),1),K$4:K1350)))),AND(K803&lt;1000000000,COUNTA(C803:C1350)&gt;0,P$3=FALSE),
ROUNDDOWN(INDEX(Y$4:Y1350,MATCH(LARGE(FILTER(W$4:W1350,W$4:W1350&lt;=I803),1),W$4:W1350"&amp;"))+(I803-LARGE(FILTER(W$4:W1350,W$4:W1350&lt;=I803),1))*INDEX(T$4:T1350,MATCH(LARGE(FILTER(W$4:W1350,W$4:W1350&lt;=I803),1),W$4:W1350))-K803),1,
ROUNDDOWN(Y803-INDEX(K$4:K1350,MATCH(LARGE(FILTER(I$4:I1350,I$4:I1350&lt;=W803),1),I$4:I1350))-(W803-LARGE(FILTER(I$4:I"&amp;"1350,I$4:I1350&lt;=W803),1))*INDEX(F$4:F1350,MATCH(LARGE(FILTER(I$4:I1350,I$4:I1350&lt;=W803),1),I$4:I1350))))"),"")</f>
        <v/>
      </c>
      <c r="N803" s="60" t="str">
        <f t="shared" si="8"/>
        <v/>
      </c>
      <c r="O803" s="61" t="str">
        <f t="shared" si="9"/>
        <v/>
      </c>
      <c r="P803" s="56" t="str">
        <f t="shared" si="10"/>
        <v/>
      </c>
      <c r="Q803" s="62"/>
      <c r="R803" s="10" t="str">
        <f>IFERROR(__xludf.DUMMYFUNCTION("IF(COUNTA(Q803:Q1350)=0,"""",IF(ISBLANK(Q803),FALSE,IF(NOT(COUNTIF($AA$24:$AA$34,SUBSTITUTE(Q803,""Sell_"",""""))),1,IF(REGEXMATCH(Q803,""Sell_""),IF(COUNTIF(Q$4:Q803,SUBSTITUTE(Q803,""Sell_"",""""))-COUNTIF(Q$4:Q802,Q803)&lt;1,1),FALSE))))"),"")</f>
        <v/>
      </c>
      <c r="S803" s="59" t="str">
        <f t="array" ref="S803">IF(COUNTA(Q803:Q1350)=0,"",SUM((COUNTIF(Q$4:Q803,Upgrades!$B$3:$B$13)-COUNTIF(Q$4:Q803,"Sell_"&amp;Upgrades!$B$3:$B$13))*Upgrades!$D$3:$D$13))</f>
        <v/>
      </c>
      <c r="T803" s="66" t="str">
        <f>IFERROR(__xludf.DUMMYFUNCTION("IF(COUNTA(Q803:Q1350)=0,"""",IF(REGEXMATCH(INDEX(FILTER(Q$4:Q803,Q$4:Q803&lt;&gt;""""),ROWS(FILTER(Q$4:Q803,Q$4:Q803&lt;&gt;""""))),""^Sell_""),INDEX(FILTER(T$4:T802,Q$4:Q802&lt;&gt;""""),ROWS(FILTER(Q$4:Q802,Q$4:Q802&lt;&gt;""""))),$AD$5+S803))"),"")</f>
        <v/>
      </c>
      <c r="U803" s="10" t="str">
        <f>IFERROR(__xludf.DUMMYFUNCTION("IF(COUNTA(Q803:Q1350)=0,"""",IF(Q803="""",0,IF(REGEXMATCH(Q803,""^Sell_""),-ROUNDDOWN(ROUNDUP(INDEX(Upgrades!$C$3:$C$13,MATCH(SUBSTITUTE(Q803,""Sell_"",""""),Upgrades!$B$3:$B$13,0))*1.15^(COUNTIF(Q$4:Q802,SUBSTITUTE(Q803,""Sell_"",""""))-COUNTIF(Q$4:Q802,"&amp;"""Sell_""&amp;SUBSTITUTE(Q803,""Sell_"",""""))))/2),ROUNDUP(INDEX(Upgrades!$C$3:$C$13,MATCH(Q803,Upgrades!$B$3:$B$13,0))*1.15^(COUNTIF(Q$4:Q802,Q803)-COUNTIF(Q$4:Q802,""Sell_""&amp;Q803))))))"),"")</f>
        <v/>
      </c>
      <c r="V803" s="10" t="str">
        <f t="shared" si="11"/>
        <v/>
      </c>
      <c r="W803" s="68" t="str">
        <f t="shared" si="12"/>
        <v/>
      </c>
      <c r="X803" s="59" t="str">
        <f t="shared" si="13"/>
        <v/>
      </c>
      <c r="Y803" s="69" t="str">
        <f t="shared" si="14"/>
        <v/>
      </c>
      <c r="Z803" s="11"/>
    </row>
    <row r="804">
      <c r="A804" s="8"/>
      <c r="B804" s="56" t="str">
        <f t="shared" si="2"/>
        <v/>
      </c>
      <c r="C804" s="57"/>
      <c r="D804" s="10" t="str">
        <f>IFERROR(__xludf.DUMMYFUNCTION("IF(COUNTA(C804:C1350)=0,"""",IF(ISBLANK(C804),FALSE,IF(NOT(COUNTIF($AA$24:$AA$34,SUBSTITUTE(C804,""Sell_"",""""))),1,IF(REGEXMATCH(C804,""Sell_""),IF(COUNTIF(C$4:C804,SUBSTITUTE(C804,""Sell_"",""""))-COUNTIF(C$4:C803,C804)&lt;1,1),FALSE))))"),"")</f>
        <v/>
      </c>
      <c r="E804" s="59" t="str">
        <f t="array" ref="E804">IF(COUNTA(C804:C1350)=0,"",SUM((COUNTIF(C$4:C804,Upgrades!$B$3:$B$13)-COUNTIF(C$4:C804,"Sell_"&amp;Upgrades!$B$3:$B$13))*Upgrades!$D$3:$D$13))</f>
        <v/>
      </c>
      <c r="F804" s="66" t="str">
        <f>IFERROR(__xludf.DUMMYFUNCTION("IF(COUNTA(C804:C1350)=0,"""",IF(REGEXMATCH(INDEX(FILTER(C$4:C804,C$4:C804&lt;&gt;""""),ROWS(FILTER(C$4:C804,C$4:C804&lt;&gt;""""))),""^Sell_""),INDEX(FILTER(F$4:F803,C$4:C803&lt;&gt;""""),ROWS(FILTER(C$4:C803,C$4:C803&lt;&gt;""""))),$AC$5+E804))"),"")</f>
        <v/>
      </c>
      <c r="G804" s="10" t="str">
        <f>IFERROR(__xludf.DUMMYFUNCTION("IF(COUNTA(C804:C1350)=0,"""",IF(C804="""",0,IF(REGEXMATCH(C804,""^Sell_""),-ROUNDDOWN(ROUNDUP(INDEX(Upgrades!$C$3:$C$13,MATCH(SUBSTITUTE(C804,""Sell_"",""""),Upgrades!$B$3:$B$13,0))*1.15^(COUNTIF(C$4:C803,SUBSTITUTE(C804,""Sell_"",""""))-COUNTIF(C$4:C803,"&amp;"""Sell_""&amp;SUBSTITUTE(C804,""Sell_"",""""))))/2),ROUNDUP(INDEX(Upgrades!$C$3:$C$13,MATCH(C804,Upgrades!$B$3:$B$13,0))*1.15^(COUNTIF(C$4:C803,C804)-COUNTIF(C$4:C803,""Sell_""&amp;C804))))))"),"")</f>
        <v/>
      </c>
      <c r="H804" s="10" t="str">
        <f t="shared" si="3"/>
        <v/>
      </c>
      <c r="I804" s="68" t="str">
        <f t="shared" si="4"/>
        <v/>
      </c>
      <c r="J804" s="59" t="str">
        <f t="shared" si="5"/>
        <v/>
      </c>
      <c r="K804" s="69" t="str">
        <f t="shared" si="6"/>
        <v/>
      </c>
      <c r="L804" s="60" t="str">
        <f t="shared" si="7"/>
        <v/>
      </c>
      <c r="M804" s="61" t="str">
        <f>IFERROR(__xludf.DUMMYFUNCTION("IFS(AND(COUNTA(C804:C1350)=0,COUNTA(Q804:Q1350)=0),"""",OR(AND(K804&gt;=1000000000,OR(Y804&gt;=1000000000,COUNTA(Q804:Q1350)=0)),OR(Y804&gt;=1000000000,AND(COUNTA(C804:C1350)=0,P$3=TRUE))),
ROUNDDOWN((AB$1-AC$1)*MAX(INDEX(T$4:T1350,MATCH(LARGE(FILTER(Y$4:Y1350,Y$4"&amp;":Y1350&lt;1000000000),1),Y$4:Y1350)),INDEX(F$4:F1350,MATCH(LARGE(FILTER(K$4:K1350,K$4:K1350&lt;1000000000),1),K$4:K1350)))),AND(K804&lt;1000000000,COUNTA(C804:C1350)&gt;0,P$3=FALSE),
ROUNDDOWN(INDEX(Y$4:Y1350,MATCH(LARGE(FILTER(W$4:W1350,W$4:W1350&lt;=I804),1),W$4:W1350"&amp;"))+(I804-LARGE(FILTER(W$4:W1350,W$4:W1350&lt;=I804),1))*INDEX(T$4:T1350,MATCH(LARGE(FILTER(W$4:W1350,W$4:W1350&lt;=I804),1),W$4:W1350))-K804),1,
ROUNDDOWN(Y804-INDEX(K$4:K1350,MATCH(LARGE(FILTER(I$4:I1350,I$4:I1350&lt;=W804),1),I$4:I1350))-(W804-LARGE(FILTER(I$4:I"&amp;"1350,I$4:I1350&lt;=W804),1))*INDEX(F$4:F1350,MATCH(LARGE(FILTER(I$4:I1350,I$4:I1350&lt;=W804),1),I$4:I1350))))"),"")</f>
        <v/>
      </c>
      <c r="N804" s="60" t="str">
        <f t="shared" si="8"/>
        <v/>
      </c>
      <c r="O804" s="61" t="str">
        <f t="shared" si="9"/>
        <v/>
      </c>
      <c r="P804" s="56" t="str">
        <f t="shared" si="10"/>
        <v/>
      </c>
      <c r="Q804" s="62"/>
      <c r="R804" s="10" t="str">
        <f>IFERROR(__xludf.DUMMYFUNCTION("IF(COUNTA(Q804:Q1350)=0,"""",IF(ISBLANK(Q804),FALSE,IF(NOT(COUNTIF($AA$24:$AA$34,SUBSTITUTE(Q804,""Sell_"",""""))),1,IF(REGEXMATCH(Q804,""Sell_""),IF(COUNTIF(Q$4:Q804,SUBSTITUTE(Q804,""Sell_"",""""))-COUNTIF(Q$4:Q803,Q804)&lt;1,1),FALSE))))"),"")</f>
        <v/>
      </c>
      <c r="S804" s="59" t="str">
        <f t="array" ref="S804">IF(COUNTA(Q804:Q1350)=0,"",SUM((COUNTIF(Q$4:Q804,Upgrades!$B$3:$B$13)-COUNTIF(Q$4:Q804,"Sell_"&amp;Upgrades!$B$3:$B$13))*Upgrades!$D$3:$D$13))</f>
        <v/>
      </c>
      <c r="T804" s="66" t="str">
        <f>IFERROR(__xludf.DUMMYFUNCTION("IF(COUNTA(Q804:Q1350)=0,"""",IF(REGEXMATCH(INDEX(FILTER(Q$4:Q804,Q$4:Q804&lt;&gt;""""),ROWS(FILTER(Q$4:Q804,Q$4:Q804&lt;&gt;""""))),""^Sell_""),INDEX(FILTER(T$4:T803,Q$4:Q803&lt;&gt;""""),ROWS(FILTER(Q$4:Q803,Q$4:Q803&lt;&gt;""""))),$AD$5+S804))"),"")</f>
        <v/>
      </c>
      <c r="U804" s="10" t="str">
        <f>IFERROR(__xludf.DUMMYFUNCTION("IF(COUNTA(Q804:Q1350)=0,"""",IF(Q804="""",0,IF(REGEXMATCH(Q804,""^Sell_""),-ROUNDDOWN(ROUNDUP(INDEX(Upgrades!$C$3:$C$13,MATCH(SUBSTITUTE(Q804,""Sell_"",""""),Upgrades!$B$3:$B$13,0))*1.15^(COUNTIF(Q$4:Q803,SUBSTITUTE(Q804,""Sell_"",""""))-COUNTIF(Q$4:Q803,"&amp;"""Sell_""&amp;SUBSTITUTE(Q804,""Sell_"",""""))))/2),ROUNDUP(INDEX(Upgrades!$C$3:$C$13,MATCH(Q804,Upgrades!$B$3:$B$13,0))*1.15^(COUNTIF(Q$4:Q803,Q804)-COUNTIF(Q$4:Q803,""Sell_""&amp;Q804))))))"),"")</f>
        <v/>
      </c>
      <c r="V804" s="10" t="str">
        <f t="shared" si="11"/>
        <v/>
      </c>
      <c r="W804" s="68" t="str">
        <f t="shared" si="12"/>
        <v/>
      </c>
      <c r="X804" s="59" t="str">
        <f t="shared" si="13"/>
        <v/>
      </c>
      <c r="Y804" s="69" t="str">
        <f t="shared" si="14"/>
        <v/>
      </c>
      <c r="Z804" s="11"/>
    </row>
    <row r="805">
      <c r="A805" s="8"/>
      <c r="B805" s="56" t="str">
        <f t="shared" si="2"/>
        <v/>
      </c>
      <c r="C805" s="57"/>
      <c r="D805" s="10" t="str">
        <f>IFERROR(__xludf.DUMMYFUNCTION("IF(COUNTA(C805:C1350)=0,"""",IF(ISBLANK(C805),FALSE,IF(NOT(COUNTIF($AA$24:$AA$34,SUBSTITUTE(C805,""Sell_"",""""))),1,IF(REGEXMATCH(C805,""Sell_""),IF(COUNTIF(C$4:C805,SUBSTITUTE(C805,""Sell_"",""""))-COUNTIF(C$4:C804,C805)&lt;1,1),FALSE))))"),"")</f>
        <v/>
      </c>
      <c r="E805" s="59" t="str">
        <f t="array" ref="E805">IF(COUNTA(C805:C1350)=0,"",SUM((COUNTIF(C$4:C805,Upgrades!$B$3:$B$13)-COUNTIF(C$4:C805,"Sell_"&amp;Upgrades!$B$3:$B$13))*Upgrades!$D$3:$D$13))</f>
        <v/>
      </c>
      <c r="F805" s="66" t="str">
        <f>IFERROR(__xludf.DUMMYFUNCTION("IF(COUNTA(C805:C1350)=0,"""",IF(REGEXMATCH(INDEX(FILTER(C$4:C805,C$4:C805&lt;&gt;""""),ROWS(FILTER(C$4:C805,C$4:C805&lt;&gt;""""))),""^Sell_""),INDEX(FILTER(F$4:F804,C$4:C804&lt;&gt;""""),ROWS(FILTER(C$4:C804,C$4:C804&lt;&gt;""""))),$AC$5+E805))"),"")</f>
        <v/>
      </c>
      <c r="G805" s="10" t="str">
        <f>IFERROR(__xludf.DUMMYFUNCTION("IF(COUNTA(C805:C1350)=0,"""",IF(C805="""",0,IF(REGEXMATCH(C805,""^Sell_""),-ROUNDDOWN(ROUNDUP(INDEX(Upgrades!$C$3:$C$13,MATCH(SUBSTITUTE(C805,""Sell_"",""""),Upgrades!$B$3:$B$13,0))*1.15^(COUNTIF(C$4:C804,SUBSTITUTE(C805,""Sell_"",""""))-COUNTIF(C$4:C804,"&amp;"""Sell_""&amp;SUBSTITUTE(C805,""Sell_"",""""))))/2),ROUNDUP(INDEX(Upgrades!$C$3:$C$13,MATCH(C805,Upgrades!$B$3:$B$13,0))*1.15^(COUNTIF(C$4:C804,C805)-COUNTIF(C$4:C804,""Sell_""&amp;C805))))))"),"")</f>
        <v/>
      </c>
      <c r="H805" s="10" t="str">
        <f t="shared" si="3"/>
        <v/>
      </c>
      <c r="I805" s="68" t="str">
        <f t="shared" si="4"/>
        <v/>
      </c>
      <c r="J805" s="59" t="str">
        <f t="shared" si="5"/>
        <v/>
      </c>
      <c r="K805" s="69" t="str">
        <f t="shared" si="6"/>
        <v/>
      </c>
      <c r="L805" s="60" t="str">
        <f t="shared" si="7"/>
        <v/>
      </c>
      <c r="M805" s="61" t="str">
        <f>IFERROR(__xludf.DUMMYFUNCTION("IFS(AND(COUNTA(C805:C1350)=0,COUNTA(Q805:Q1350)=0),"""",OR(AND(K805&gt;=1000000000,OR(Y805&gt;=1000000000,COUNTA(Q805:Q1350)=0)),OR(Y805&gt;=1000000000,AND(COUNTA(C805:C1350)=0,P$3=TRUE))),
ROUNDDOWN((AB$1-AC$1)*MAX(INDEX(T$4:T1350,MATCH(LARGE(FILTER(Y$4:Y1350,Y$4"&amp;":Y1350&lt;1000000000),1),Y$4:Y1350)),INDEX(F$4:F1350,MATCH(LARGE(FILTER(K$4:K1350,K$4:K1350&lt;1000000000),1),K$4:K1350)))),AND(K805&lt;1000000000,COUNTA(C805:C1350)&gt;0,P$3=FALSE),
ROUNDDOWN(INDEX(Y$4:Y1350,MATCH(LARGE(FILTER(W$4:W1350,W$4:W1350&lt;=I805),1),W$4:W1350"&amp;"))+(I805-LARGE(FILTER(W$4:W1350,W$4:W1350&lt;=I805),1))*INDEX(T$4:T1350,MATCH(LARGE(FILTER(W$4:W1350,W$4:W1350&lt;=I805),1),W$4:W1350))-K805),1,
ROUNDDOWN(Y805-INDEX(K$4:K1350,MATCH(LARGE(FILTER(I$4:I1350,I$4:I1350&lt;=W805),1),I$4:I1350))-(W805-LARGE(FILTER(I$4:I"&amp;"1350,I$4:I1350&lt;=W805),1))*INDEX(F$4:F1350,MATCH(LARGE(FILTER(I$4:I1350,I$4:I1350&lt;=W805),1),I$4:I1350))))"),"")</f>
        <v/>
      </c>
      <c r="N805" s="60" t="str">
        <f t="shared" si="8"/>
        <v/>
      </c>
      <c r="O805" s="61" t="str">
        <f t="shared" si="9"/>
        <v/>
      </c>
      <c r="P805" s="56" t="str">
        <f t="shared" si="10"/>
        <v/>
      </c>
      <c r="Q805" s="62"/>
      <c r="R805" s="10" t="str">
        <f>IFERROR(__xludf.DUMMYFUNCTION("IF(COUNTA(Q805:Q1350)=0,"""",IF(ISBLANK(Q805),FALSE,IF(NOT(COUNTIF($AA$24:$AA$34,SUBSTITUTE(Q805,""Sell_"",""""))),1,IF(REGEXMATCH(Q805,""Sell_""),IF(COUNTIF(Q$4:Q805,SUBSTITUTE(Q805,""Sell_"",""""))-COUNTIF(Q$4:Q804,Q805)&lt;1,1),FALSE))))"),"")</f>
        <v/>
      </c>
      <c r="S805" s="59" t="str">
        <f t="array" ref="S805">IF(COUNTA(Q805:Q1350)=0,"",SUM((COUNTIF(Q$4:Q805,Upgrades!$B$3:$B$13)-COUNTIF(Q$4:Q805,"Sell_"&amp;Upgrades!$B$3:$B$13))*Upgrades!$D$3:$D$13))</f>
        <v/>
      </c>
      <c r="T805" s="66" t="str">
        <f>IFERROR(__xludf.DUMMYFUNCTION("IF(COUNTA(Q805:Q1350)=0,"""",IF(REGEXMATCH(INDEX(FILTER(Q$4:Q805,Q$4:Q805&lt;&gt;""""),ROWS(FILTER(Q$4:Q805,Q$4:Q805&lt;&gt;""""))),""^Sell_""),INDEX(FILTER(T$4:T804,Q$4:Q804&lt;&gt;""""),ROWS(FILTER(Q$4:Q804,Q$4:Q804&lt;&gt;""""))),$AD$5+S805))"),"")</f>
        <v/>
      </c>
      <c r="U805" s="10" t="str">
        <f>IFERROR(__xludf.DUMMYFUNCTION("IF(COUNTA(Q805:Q1350)=0,"""",IF(Q805="""",0,IF(REGEXMATCH(Q805,""^Sell_""),-ROUNDDOWN(ROUNDUP(INDEX(Upgrades!$C$3:$C$13,MATCH(SUBSTITUTE(Q805,""Sell_"",""""),Upgrades!$B$3:$B$13,0))*1.15^(COUNTIF(Q$4:Q804,SUBSTITUTE(Q805,""Sell_"",""""))-COUNTIF(Q$4:Q804,"&amp;"""Sell_""&amp;SUBSTITUTE(Q805,""Sell_"",""""))))/2),ROUNDUP(INDEX(Upgrades!$C$3:$C$13,MATCH(Q805,Upgrades!$B$3:$B$13,0))*1.15^(COUNTIF(Q$4:Q804,Q805)-COUNTIF(Q$4:Q804,""Sell_""&amp;Q805))))))"),"")</f>
        <v/>
      </c>
      <c r="V805" s="10" t="str">
        <f t="shared" si="11"/>
        <v/>
      </c>
      <c r="W805" s="68" t="str">
        <f t="shared" si="12"/>
        <v/>
      </c>
      <c r="X805" s="59" t="str">
        <f t="shared" si="13"/>
        <v/>
      </c>
      <c r="Y805" s="69" t="str">
        <f t="shared" si="14"/>
        <v/>
      </c>
      <c r="Z805" s="11"/>
    </row>
    <row r="806">
      <c r="A806" s="8"/>
      <c r="B806" s="56" t="str">
        <f t="shared" si="2"/>
        <v/>
      </c>
      <c r="C806" s="57"/>
      <c r="D806" s="10" t="str">
        <f>IFERROR(__xludf.DUMMYFUNCTION("IF(COUNTA(C806:C1350)=0,"""",IF(ISBLANK(C806),FALSE,IF(NOT(COUNTIF($AA$24:$AA$34,SUBSTITUTE(C806,""Sell_"",""""))),1,IF(REGEXMATCH(C806,""Sell_""),IF(COUNTIF(C$4:C806,SUBSTITUTE(C806,""Sell_"",""""))-COUNTIF(C$4:C805,C806)&lt;1,1),FALSE))))"),"")</f>
        <v/>
      </c>
      <c r="E806" s="59" t="str">
        <f t="array" ref="E806">IF(COUNTA(C806:C1350)=0,"",SUM((COUNTIF(C$4:C806,Upgrades!$B$3:$B$13)-COUNTIF(C$4:C806,"Sell_"&amp;Upgrades!$B$3:$B$13))*Upgrades!$D$3:$D$13))</f>
        <v/>
      </c>
      <c r="F806" s="66" t="str">
        <f>IFERROR(__xludf.DUMMYFUNCTION("IF(COUNTA(C806:C1350)=0,"""",IF(REGEXMATCH(INDEX(FILTER(C$4:C806,C$4:C806&lt;&gt;""""),ROWS(FILTER(C$4:C806,C$4:C806&lt;&gt;""""))),""^Sell_""),INDEX(FILTER(F$4:F805,C$4:C805&lt;&gt;""""),ROWS(FILTER(C$4:C805,C$4:C805&lt;&gt;""""))),$AC$5+E806))"),"")</f>
        <v/>
      </c>
      <c r="G806" s="10" t="str">
        <f>IFERROR(__xludf.DUMMYFUNCTION("IF(COUNTA(C806:C1350)=0,"""",IF(C806="""",0,IF(REGEXMATCH(C806,""^Sell_""),-ROUNDDOWN(ROUNDUP(INDEX(Upgrades!$C$3:$C$13,MATCH(SUBSTITUTE(C806,""Sell_"",""""),Upgrades!$B$3:$B$13,0))*1.15^(COUNTIF(C$4:C805,SUBSTITUTE(C806,""Sell_"",""""))-COUNTIF(C$4:C805,"&amp;"""Sell_""&amp;SUBSTITUTE(C806,""Sell_"",""""))))/2),ROUNDUP(INDEX(Upgrades!$C$3:$C$13,MATCH(C806,Upgrades!$B$3:$B$13,0))*1.15^(COUNTIF(C$4:C805,C806)-COUNTIF(C$4:C805,""Sell_""&amp;C806))))))"),"")</f>
        <v/>
      </c>
      <c r="H806" s="10" t="str">
        <f t="shared" si="3"/>
        <v/>
      </c>
      <c r="I806" s="68" t="str">
        <f t="shared" si="4"/>
        <v/>
      </c>
      <c r="J806" s="59" t="str">
        <f t="shared" si="5"/>
        <v/>
      </c>
      <c r="K806" s="69" t="str">
        <f t="shared" si="6"/>
        <v/>
      </c>
      <c r="L806" s="60" t="str">
        <f t="shared" si="7"/>
        <v/>
      </c>
      <c r="M806" s="61" t="str">
        <f>IFERROR(__xludf.DUMMYFUNCTION("IFS(AND(COUNTA(C806:C1350)=0,COUNTA(Q806:Q1350)=0),"""",OR(AND(K806&gt;=1000000000,OR(Y806&gt;=1000000000,COUNTA(Q806:Q1350)=0)),OR(Y806&gt;=1000000000,AND(COUNTA(C806:C1350)=0,P$3=TRUE))),
ROUNDDOWN((AB$1-AC$1)*MAX(INDEX(T$4:T1350,MATCH(LARGE(FILTER(Y$4:Y1350,Y$4"&amp;":Y1350&lt;1000000000),1),Y$4:Y1350)),INDEX(F$4:F1350,MATCH(LARGE(FILTER(K$4:K1350,K$4:K1350&lt;1000000000),1),K$4:K1350)))),AND(K806&lt;1000000000,COUNTA(C806:C1350)&gt;0,P$3=FALSE),
ROUNDDOWN(INDEX(Y$4:Y1350,MATCH(LARGE(FILTER(W$4:W1350,W$4:W1350&lt;=I806),1),W$4:W1350"&amp;"))+(I806-LARGE(FILTER(W$4:W1350,W$4:W1350&lt;=I806),1))*INDEX(T$4:T1350,MATCH(LARGE(FILTER(W$4:W1350,W$4:W1350&lt;=I806),1),W$4:W1350))-K806),1,
ROUNDDOWN(Y806-INDEX(K$4:K1350,MATCH(LARGE(FILTER(I$4:I1350,I$4:I1350&lt;=W806),1),I$4:I1350))-(W806-LARGE(FILTER(I$4:I"&amp;"1350,I$4:I1350&lt;=W806),1))*INDEX(F$4:F1350,MATCH(LARGE(FILTER(I$4:I1350,I$4:I1350&lt;=W806),1),I$4:I1350))))"),"")</f>
        <v/>
      </c>
      <c r="N806" s="60" t="str">
        <f t="shared" si="8"/>
        <v/>
      </c>
      <c r="O806" s="61" t="str">
        <f t="shared" si="9"/>
        <v/>
      </c>
      <c r="P806" s="56" t="str">
        <f t="shared" si="10"/>
        <v/>
      </c>
      <c r="Q806" s="62"/>
      <c r="R806" s="10" t="str">
        <f>IFERROR(__xludf.DUMMYFUNCTION("IF(COUNTA(Q806:Q1350)=0,"""",IF(ISBLANK(Q806),FALSE,IF(NOT(COUNTIF($AA$24:$AA$34,SUBSTITUTE(Q806,""Sell_"",""""))),1,IF(REGEXMATCH(Q806,""Sell_""),IF(COUNTIF(Q$4:Q806,SUBSTITUTE(Q806,""Sell_"",""""))-COUNTIF(Q$4:Q805,Q806)&lt;1,1),FALSE))))"),"")</f>
        <v/>
      </c>
      <c r="S806" s="59" t="str">
        <f t="array" ref="S806">IF(COUNTA(Q806:Q1350)=0,"",SUM((COUNTIF(Q$4:Q806,Upgrades!$B$3:$B$13)-COUNTIF(Q$4:Q806,"Sell_"&amp;Upgrades!$B$3:$B$13))*Upgrades!$D$3:$D$13))</f>
        <v/>
      </c>
      <c r="T806" s="66" t="str">
        <f>IFERROR(__xludf.DUMMYFUNCTION("IF(COUNTA(Q806:Q1350)=0,"""",IF(REGEXMATCH(INDEX(FILTER(Q$4:Q806,Q$4:Q806&lt;&gt;""""),ROWS(FILTER(Q$4:Q806,Q$4:Q806&lt;&gt;""""))),""^Sell_""),INDEX(FILTER(T$4:T805,Q$4:Q805&lt;&gt;""""),ROWS(FILTER(Q$4:Q805,Q$4:Q805&lt;&gt;""""))),$AD$5+S806))"),"")</f>
        <v/>
      </c>
      <c r="U806" s="10" t="str">
        <f>IFERROR(__xludf.DUMMYFUNCTION("IF(COUNTA(Q806:Q1350)=0,"""",IF(Q806="""",0,IF(REGEXMATCH(Q806,""^Sell_""),-ROUNDDOWN(ROUNDUP(INDEX(Upgrades!$C$3:$C$13,MATCH(SUBSTITUTE(Q806,""Sell_"",""""),Upgrades!$B$3:$B$13,0))*1.15^(COUNTIF(Q$4:Q805,SUBSTITUTE(Q806,""Sell_"",""""))-COUNTIF(Q$4:Q805,"&amp;"""Sell_""&amp;SUBSTITUTE(Q806,""Sell_"",""""))))/2),ROUNDUP(INDEX(Upgrades!$C$3:$C$13,MATCH(Q806,Upgrades!$B$3:$B$13,0))*1.15^(COUNTIF(Q$4:Q805,Q806)-COUNTIF(Q$4:Q805,""Sell_""&amp;Q806))))))"),"")</f>
        <v/>
      </c>
      <c r="V806" s="10" t="str">
        <f t="shared" si="11"/>
        <v/>
      </c>
      <c r="W806" s="68" t="str">
        <f t="shared" si="12"/>
        <v/>
      </c>
      <c r="X806" s="59" t="str">
        <f t="shared" si="13"/>
        <v/>
      </c>
      <c r="Y806" s="69" t="str">
        <f t="shared" si="14"/>
        <v/>
      </c>
      <c r="Z806" s="11"/>
    </row>
    <row r="807">
      <c r="A807" s="8"/>
      <c r="B807" s="56" t="str">
        <f t="shared" si="2"/>
        <v/>
      </c>
      <c r="C807" s="57"/>
      <c r="D807" s="10" t="str">
        <f>IFERROR(__xludf.DUMMYFUNCTION("IF(COUNTA(C807:C1350)=0,"""",IF(ISBLANK(C807),FALSE,IF(NOT(COUNTIF($AA$24:$AA$34,SUBSTITUTE(C807,""Sell_"",""""))),1,IF(REGEXMATCH(C807,""Sell_""),IF(COUNTIF(C$4:C807,SUBSTITUTE(C807,""Sell_"",""""))-COUNTIF(C$4:C806,C807)&lt;1,1),FALSE))))"),"")</f>
        <v/>
      </c>
      <c r="E807" s="59" t="str">
        <f t="array" ref="E807">IF(COUNTA(C807:C1350)=0,"",SUM((COUNTIF(C$4:C807,Upgrades!$B$3:$B$13)-COUNTIF(C$4:C807,"Sell_"&amp;Upgrades!$B$3:$B$13))*Upgrades!$D$3:$D$13))</f>
        <v/>
      </c>
      <c r="F807" s="66" t="str">
        <f>IFERROR(__xludf.DUMMYFUNCTION("IF(COUNTA(C807:C1350)=0,"""",IF(REGEXMATCH(INDEX(FILTER(C$4:C807,C$4:C807&lt;&gt;""""),ROWS(FILTER(C$4:C807,C$4:C807&lt;&gt;""""))),""^Sell_""),INDEX(FILTER(F$4:F806,C$4:C806&lt;&gt;""""),ROWS(FILTER(C$4:C806,C$4:C806&lt;&gt;""""))),$AC$5+E807))"),"")</f>
        <v/>
      </c>
      <c r="G807" s="10" t="str">
        <f>IFERROR(__xludf.DUMMYFUNCTION("IF(COUNTA(C807:C1350)=0,"""",IF(C807="""",0,IF(REGEXMATCH(C807,""^Sell_""),-ROUNDDOWN(ROUNDUP(INDEX(Upgrades!$C$3:$C$13,MATCH(SUBSTITUTE(C807,""Sell_"",""""),Upgrades!$B$3:$B$13,0))*1.15^(COUNTIF(C$4:C806,SUBSTITUTE(C807,""Sell_"",""""))-COUNTIF(C$4:C806,"&amp;"""Sell_""&amp;SUBSTITUTE(C807,""Sell_"",""""))))/2),ROUNDUP(INDEX(Upgrades!$C$3:$C$13,MATCH(C807,Upgrades!$B$3:$B$13,0))*1.15^(COUNTIF(C$4:C806,C807)-COUNTIF(C$4:C806,""Sell_""&amp;C807))))))"),"")</f>
        <v/>
      </c>
      <c r="H807" s="10" t="str">
        <f t="shared" si="3"/>
        <v/>
      </c>
      <c r="I807" s="68" t="str">
        <f t="shared" si="4"/>
        <v/>
      </c>
      <c r="J807" s="59" t="str">
        <f t="shared" si="5"/>
        <v/>
      </c>
      <c r="K807" s="69" t="str">
        <f t="shared" si="6"/>
        <v/>
      </c>
      <c r="L807" s="60" t="str">
        <f t="shared" si="7"/>
        <v/>
      </c>
      <c r="M807" s="61" t="str">
        <f>IFERROR(__xludf.DUMMYFUNCTION("IFS(AND(COUNTA(C807:C1350)=0,COUNTA(Q807:Q1350)=0),"""",OR(AND(K807&gt;=1000000000,OR(Y807&gt;=1000000000,COUNTA(Q807:Q1350)=0)),OR(Y807&gt;=1000000000,AND(COUNTA(C807:C1350)=0,P$3=TRUE))),
ROUNDDOWN((AB$1-AC$1)*MAX(INDEX(T$4:T1350,MATCH(LARGE(FILTER(Y$4:Y1350,Y$4"&amp;":Y1350&lt;1000000000),1),Y$4:Y1350)),INDEX(F$4:F1350,MATCH(LARGE(FILTER(K$4:K1350,K$4:K1350&lt;1000000000),1),K$4:K1350)))),AND(K807&lt;1000000000,COUNTA(C807:C1350)&gt;0,P$3=FALSE),
ROUNDDOWN(INDEX(Y$4:Y1350,MATCH(LARGE(FILTER(W$4:W1350,W$4:W1350&lt;=I807),1),W$4:W1350"&amp;"))+(I807-LARGE(FILTER(W$4:W1350,W$4:W1350&lt;=I807),1))*INDEX(T$4:T1350,MATCH(LARGE(FILTER(W$4:W1350,W$4:W1350&lt;=I807),1),W$4:W1350))-K807),1,
ROUNDDOWN(Y807-INDEX(K$4:K1350,MATCH(LARGE(FILTER(I$4:I1350,I$4:I1350&lt;=W807),1),I$4:I1350))-(W807-LARGE(FILTER(I$4:I"&amp;"1350,I$4:I1350&lt;=W807),1))*INDEX(F$4:F1350,MATCH(LARGE(FILTER(I$4:I1350,I$4:I1350&lt;=W807),1),I$4:I1350))))"),"")</f>
        <v/>
      </c>
      <c r="N807" s="60" t="str">
        <f t="shared" si="8"/>
        <v/>
      </c>
      <c r="O807" s="61" t="str">
        <f t="shared" si="9"/>
        <v/>
      </c>
      <c r="P807" s="56" t="str">
        <f t="shared" si="10"/>
        <v/>
      </c>
      <c r="Q807" s="62"/>
      <c r="R807" s="10" t="str">
        <f>IFERROR(__xludf.DUMMYFUNCTION("IF(COUNTA(Q807:Q1350)=0,"""",IF(ISBLANK(Q807),FALSE,IF(NOT(COUNTIF($AA$24:$AA$34,SUBSTITUTE(Q807,""Sell_"",""""))),1,IF(REGEXMATCH(Q807,""Sell_""),IF(COUNTIF(Q$4:Q807,SUBSTITUTE(Q807,""Sell_"",""""))-COUNTIF(Q$4:Q806,Q807)&lt;1,1),FALSE))))"),"")</f>
        <v/>
      </c>
      <c r="S807" s="59" t="str">
        <f t="array" ref="S807">IF(COUNTA(Q807:Q1350)=0,"",SUM((COUNTIF(Q$4:Q807,Upgrades!$B$3:$B$13)-COUNTIF(Q$4:Q807,"Sell_"&amp;Upgrades!$B$3:$B$13))*Upgrades!$D$3:$D$13))</f>
        <v/>
      </c>
      <c r="T807" s="66" t="str">
        <f>IFERROR(__xludf.DUMMYFUNCTION("IF(COUNTA(Q807:Q1350)=0,"""",IF(REGEXMATCH(INDEX(FILTER(Q$4:Q807,Q$4:Q807&lt;&gt;""""),ROWS(FILTER(Q$4:Q807,Q$4:Q807&lt;&gt;""""))),""^Sell_""),INDEX(FILTER(T$4:T806,Q$4:Q806&lt;&gt;""""),ROWS(FILTER(Q$4:Q806,Q$4:Q806&lt;&gt;""""))),$AD$5+S807))"),"")</f>
        <v/>
      </c>
      <c r="U807" s="10" t="str">
        <f>IFERROR(__xludf.DUMMYFUNCTION("IF(COUNTA(Q807:Q1350)=0,"""",IF(Q807="""",0,IF(REGEXMATCH(Q807,""^Sell_""),-ROUNDDOWN(ROUNDUP(INDEX(Upgrades!$C$3:$C$13,MATCH(SUBSTITUTE(Q807,""Sell_"",""""),Upgrades!$B$3:$B$13,0))*1.15^(COUNTIF(Q$4:Q806,SUBSTITUTE(Q807,""Sell_"",""""))-COUNTIF(Q$4:Q806,"&amp;"""Sell_""&amp;SUBSTITUTE(Q807,""Sell_"",""""))))/2),ROUNDUP(INDEX(Upgrades!$C$3:$C$13,MATCH(Q807,Upgrades!$B$3:$B$13,0))*1.15^(COUNTIF(Q$4:Q806,Q807)-COUNTIF(Q$4:Q806,""Sell_""&amp;Q807))))))"),"")</f>
        <v/>
      </c>
      <c r="V807" s="10" t="str">
        <f t="shared" si="11"/>
        <v/>
      </c>
      <c r="W807" s="68" t="str">
        <f t="shared" si="12"/>
        <v/>
      </c>
      <c r="X807" s="59" t="str">
        <f t="shared" si="13"/>
        <v/>
      </c>
      <c r="Y807" s="69" t="str">
        <f t="shared" si="14"/>
        <v/>
      </c>
      <c r="Z807" s="11"/>
    </row>
    <row r="808">
      <c r="A808" s="8"/>
      <c r="B808" s="56" t="str">
        <f t="shared" si="2"/>
        <v/>
      </c>
      <c r="C808" s="57"/>
      <c r="D808" s="10" t="str">
        <f>IFERROR(__xludf.DUMMYFUNCTION("IF(COUNTA(C808:C1350)=0,"""",IF(ISBLANK(C808),FALSE,IF(NOT(COUNTIF($AA$24:$AA$34,SUBSTITUTE(C808,""Sell_"",""""))),1,IF(REGEXMATCH(C808,""Sell_""),IF(COUNTIF(C$4:C808,SUBSTITUTE(C808,""Sell_"",""""))-COUNTIF(C$4:C807,C808)&lt;1,1),FALSE))))"),"")</f>
        <v/>
      </c>
      <c r="E808" s="59" t="str">
        <f t="array" ref="E808">IF(COUNTA(C808:C1350)=0,"",SUM((COUNTIF(C$4:C808,Upgrades!$B$3:$B$13)-COUNTIF(C$4:C808,"Sell_"&amp;Upgrades!$B$3:$B$13))*Upgrades!$D$3:$D$13))</f>
        <v/>
      </c>
      <c r="F808" s="66" t="str">
        <f>IFERROR(__xludf.DUMMYFUNCTION("IF(COUNTA(C808:C1350)=0,"""",IF(REGEXMATCH(INDEX(FILTER(C$4:C808,C$4:C808&lt;&gt;""""),ROWS(FILTER(C$4:C808,C$4:C808&lt;&gt;""""))),""^Sell_""),INDEX(FILTER(F$4:F807,C$4:C807&lt;&gt;""""),ROWS(FILTER(C$4:C807,C$4:C807&lt;&gt;""""))),$AC$5+E808))"),"")</f>
        <v/>
      </c>
      <c r="G808" s="10" t="str">
        <f>IFERROR(__xludf.DUMMYFUNCTION("IF(COUNTA(C808:C1350)=0,"""",IF(C808="""",0,IF(REGEXMATCH(C808,""^Sell_""),-ROUNDDOWN(ROUNDUP(INDEX(Upgrades!$C$3:$C$13,MATCH(SUBSTITUTE(C808,""Sell_"",""""),Upgrades!$B$3:$B$13,0))*1.15^(COUNTIF(C$4:C807,SUBSTITUTE(C808,""Sell_"",""""))-COUNTIF(C$4:C807,"&amp;"""Sell_""&amp;SUBSTITUTE(C808,""Sell_"",""""))))/2),ROUNDUP(INDEX(Upgrades!$C$3:$C$13,MATCH(C808,Upgrades!$B$3:$B$13,0))*1.15^(COUNTIF(C$4:C807,C808)-COUNTIF(C$4:C807,""Sell_""&amp;C808))))))"),"")</f>
        <v/>
      </c>
      <c r="H808" s="10" t="str">
        <f t="shared" si="3"/>
        <v/>
      </c>
      <c r="I808" s="68" t="str">
        <f t="shared" si="4"/>
        <v/>
      </c>
      <c r="J808" s="59" t="str">
        <f t="shared" si="5"/>
        <v/>
      </c>
      <c r="K808" s="69" t="str">
        <f t="shared" si="6"/>
        <v/>
      </c>
      <c r="L808" s="60" t="str">
        <f t="shared" si="7"/>
        <v/>
      </c>
      <c r="M808" s="61" t="str">
        <f>IFERROR(__xludf.DUMMYFUNCTION("IFS(AND(COUNTA(C808:C1350)=0,COUNTA(Q808:Q1350)=0),"""",OR(AND(K808&gt;=1000000000,OR(Y808&gt;=1000000000,COUNTA(Q808:Q1350)=0)),OR(Y808&gt;=1000000000,AND(COUNTA(C808:C1350)=0,P$3=TRUE))),
ROUNDDOWN((AB$1-AC$1)*MAX(INDEX(T$4:T1350,MATCH(LARGE(FILTER(Y$4:Y1350,Y$4"&amp;":Y1350&lt;1000000000),1),Y$4:Y1350)),INDEX(F$4:F1350,MATCH(LARGE(FILTER(K$4:K1350,K$4:K1350&lt;1000000000),1),K$4:K1350)))),AND(K808&lt;1000000000,COUNTA(C808:C1350)&gt;0,P$3=FALSE),
ROUNDDOWN(INDEX(Y$4:Y1350,MATCH(LARGE(FILTER(W$4:W1350,W$4:W1350&lt;=I808),1),W$4:W1350"&amp;"))+(I808-LARGE(FILTER(W$4:W1350,W$4:W1350&lt;=I808),1))*INDEX(T$4:T1350,MATCH(LARGE(FILTER(W$4:W1350,W$4:W1350&lt;=I808),1),W$4:W1350))-K808),1,
ROUNDDOWN(Y808-INDEX(K$4:K1350,MATCH(LARGE(FILTER(I$4:I1350,I$4:I1350&lt;=W808),1),I$4:I1350))-(W808-LARGE(FILTER(I$4:I"&amp;"1350,I$4:I1350&lt;=W808),1))*INDEX(F$4:F1350,MATCH(LARGE(FILTER(I$4:I1350,I$4:I1350&lt;=W808),1),I$4:I1350))))"),"")</f>
        <v/>
      </c>
      <c r="N808" s="60" t="str">
        <f t="shared" si="8"/>
        <v/>
      </c>
      <c r="O808" s="61" t="str">
        <f t="shared" si="9"/>
        <v/>
      </c>
      <c r="P808" s="56" t="str">
        <f t="shared" si="10"/>
        <v/>
      </c>
      <c r="Q808" s="62"/>
      <c r="R808" s="10" t="str">
        <f>IFERROR(__xludf.DUMMYFUNCTION("IF(COUNTA(Q808:Q1350)=0,"""",IF(ISBLANK(Q808),FALSE,IF(NOT(COUNTIF($AA$24:$AA$34,SUBSTITUTE(Q808,""Sell_"",""""))),1,IF(REGEXMATCH(Q808,""Sell_""),IF(COUNTIF(Q$4:Q808,SUBSTITUTE(Q808,""Sell_"",""""))-COUNTIF(Q$4:Q807,Q808)&lt;1,1),FALSE))))"),"")</f>
        <v/>
      </c>
      <c r="S808" s="59" t="str">
        <f t="array" ref="S808">IF(COUNTA(Q808:Q1350)=0,"",SUM((COUNTIF(Q$4:Q808,Upgrades!$B$3:$B$13)-COUNTIF(Q$4:Q808,"Sell_"&amp;Upgrades!$B$3:$B$13))*Upgrades!$D$3:$D$13))</f>
        <v/>
      </c>
      <c r="T808" s="66" t="str">
        <f>IFERROR(__xludf.DUMMYFUNCTION("IF(COUNTA(Q808:Q1350)=0,"""",IF(REGEXMATCH(INDEX(FILTER(Q$4:Q808,Q$4:Q808&lt;&gt;""""),ROWS(FILTER(Q$4:Q808,Q$4:Q808&lt;&gt;""""))),""^Sell_""),INDEX(FILTER(T$4:T807,Q$4:Q807&lt;&gt;""""),ROWS(FILTER(Q$4:Q807,Q$4:Q807&lt;&gt;""""))),$AD$5+S808))"),"")</f>
        <v/>
      </c>
      <c r="U808" s="10" t="str">
        <f>IFERROR(__xludf.DUMMYFUNCTION("IF(COUNTA(Q808:Q1350)=0,"""",IF(Q808="""",0,IF(REGEXMATCH(Q808,""^Sell_""),-ROUNDDOWN(ROUNDUP(INDEX(Upgrades!$C$3:$C$13,MATCH(SUBSTITUTE(Q808,""Sell_"",""""),Upgrades!$B$3:$B$13,0))*1.15^(COUNTIF(Q$4:Q807,SUBSTITUTE(Q808,""Sell_"",""""))-COUNTIF(Q$4:Q807,"&amp;"""Sell_""&amp;SUBSTITUTE(Q808,""Sell_"",""""))))/2),ROUNDUP(INDEX(Upgrades!$C$3:$C$13,MATCH(Q808,Upgrades!$B$3:$B$13,0))*1.15^(COUNTIF(Q$4:Q807,Q808)-COUNTIF(Q$4:Q807,""Sell_""&amp;Q808))))))"),"")</f>
        <v/>
      </c>
      <c r="V808" s="10" t="str">
        <f t="shared" si="11"/>
        <v/>
      </c>
      <c r="W808" s="68" t="str">
        <f t="shared" si="12"/>
        <v/>
      </c>
      <c r="X808" s="59" t="str">
        <f t="shared" si="13"/>
        <v/>
      </c>
      <c r="Y808" s="69" t="str">
        <f t="shared" si="14"/>
        <v/>
      </c>
      <c r="Z808" s="11"/>
    </row>
    <row r="809">
      <c r="A809" s="8"/>
      <c r="B809" s="56" t="str">
        <f t="shared" si="2"/>
        <v/>
      </c>
      <c r="C809" s="57"/>
      <c r="D809" s="10" t="str">
        <f>IFERROR(__xludf.DUMMYFUNCTION("IF(COUNTA(C809:C1350)=0,"""",IF(ISBLANK(C809),FALSE,IF(NOT(COUNTIF($AA$24:$AA$34,SUBSTITUTE(C809,""Sell_"",""""))),1,IF(REGEXMATCH(C809,""Sell_""),IF(COUNTIF(C$4:C809,SUBSTITUTE(C809,""Sell_"",""""))-COUNTIF(C$4:C808,C809)&lt;1,1),FALSE))))"),"")</f>
        <v/>
      </c>
      <c r="E809" s="59" t="str">
        <f t="array" ref="E809">IF(COUNTA(C809:C1350)=0,"",SUM((COUNTIF(C$4:C809,Upgrades!$B$3:$B$13)-COUNTIF(C$4:C809,"Sell_"&amp;Upgrades!$B$3:$B$13))*Upgrades!$D$3:$D$13))</f>
        <v/>
      </c>
      <c r="F809" s="66" t="str">
        <f>IFERROR(__xludf.DUMMYFUNCTION("IF(COUNTA(C809:C1350)=0,"""",IF(REGEXMATCH(INDEX(FILTER(C$4:C809,C$4:C809&lt;&gt;""""),ROWS(FILTER(C$4:C809,C$4:C809&lt;&gt;""""))),""^Sell_""),INDEX(FILTER(F$4:F808,C$4:C808&lt;&gt;""""),ROWS(FILTER(C$4:C808,C$4:C808&lt;&gt;""""))),$AC$5+E809))"),"")</f>
        <v/>
      </c>
      <c r="G809" s="10" t="str">
        <f>IFERROR(__xludf.DUMMYFUNCTION("IF(COUNTA(C809:C1350)=0,"""",IF(C809="""",0,IF(REGEXMATCH(C809,""^Sell_""),-ROUNDDOWN(ROUNDUP(INDEX(Upgrades!$C$3:$C$13,MATCH(SUBSTITUTE(C809,""Sell_"",""""),Upgrades!$B$3:$B$13,0))*1.15^(COUNTIF(C$4:C808,SUBSTITUTE(C809,""Sell_"",""""))-COUNTIF(C$4:C808,"&amp;"""Sell_""&amp;SUBSTITUTE(C809,""Sell_"",""""))))/2),ROUNDUP(INDEX(Upgrades!$C$3:$C$13,MATCH(C809,Upgrades!$B$3:$B$13,0))*1.15^(COUNTIF(C$4:C808,C809)-COUNTIF(C$4:C808,""Sell_""&amp;C809))))))"),"")</f>
        <v/>
      </c>
      <c r="H809" s="10" t="str">
        <f t="shared" si="3"/>
        <v/>
      </c>
      <c r="I809" s="68" t="str">
        <f t="shared" si="4"/>
        <v/>
      </c>
      <c r="J809" s="59" t="str">
        <f t="shared" si="5"/>
        <v/>
      </c>
      <c r="K809" s="69" t="str">
        <f t="shared" si="6"/>
        <v/>
      </c>
      <c r="L809" s="60" t="str">
        <f t="shared" si="7"/>
        <v/>
      </c>
      <c r="M809" s="61" t="str">
        <f>IFERROR(__xludf.DUMMYFUNCTION("IFS(AND(COUNTA(C809:C1350)=0,COUNTA(Q809:Q1350)=0),"""",OR(AND(K809&gt;=1000000000,OR(Y809&gt;=1000000000,COUNTA(Q809:Q1350)=0)),OR(Y809&gt;=1000000000,AND(COUNTA(C809:C1350)=0,P$3=TRUE))),
ROUNDDOWN((AB$1-AC$1)*MAX(INDEX(T$4:T1350,MATCH(LARGE(FILTER(Y$4:Y1350,Y$4"&amp;":Y1350&lt;1000000000),1),Y$4:Y1350)),INDEX(F$4:F1350,MATCH(LARGE(FILTER(K$4:K1350,K$4:K1350&lt;1000000000),1),K$4:K1350)))),AND(K809&lt;1000000000,COUNTA(C809:C1350)&gt;0,P$3=FALSE),
ROUNDDOWN(INDEX(Y$4:Y1350,MATCH(LARGE(FILTER(W$4:W1350,W$4:W1350&lt;=I809),1),W$4:W1350"&amp;"))+(I809-LARGE(FILTER(W$4:W1350,W$4:W1350&lt;=I809),1))*INDEX(T$4:T1350,MATCH(LARGE(FILTER(W$4:W1350,W$4:W1350&lt;=I809),1),W$4:W1350))-K809),1,
ROUNDDOWN(Y809-INDEX(K$4:K1350,MATCH(LARGE(FILTER(I$4:I1350,I$4:I1350&lt;=W809),1),I$4:I1350))-(W809-LARGE(FILTER(I$4:I"&amp;"1350,I$4:I1350&lt;=W809),1))*INDEX(F$4:F1350,MATCH(LARGE(FILTER(I$4:I1350,I$4:I1350&lt;=W809),1),I$4:I1350))))"),"")</f>
        <v/>
      </c>
      <c r="N809" s="60" t="str">
        <f t="shared" si="8"/>
        <v/>
      </c>
      <c r="O809" s="61" t="str">
        <f t="shared" si="9"/>
        <v/>
      </c>
      <c r="P809" s="56" t="str">
        <f t="shared" si="10"/>
        <v/>
      </c>
      <c r="Q809" s="62"/>
      <c r="R809" s="10" t="str">
        <f>IFERROR(__xludf.DUMMYFUNCTION("IF(COUNTA(Q809:Q1350)=0,"""",IF(ISBLANK(Q809),FALSE,IF(NOT(COUNTIF($AA$24:$AA$34,SUBSTITUTE(Q809,""Sell_"",""""))),1,IF(REGEXMATCH(Q809,""Sell_""),IF(COUNTIF(Q$4:Q809,SUBSTITUTE(Q809,""Sell_"",""""))-COUNTIF(Q$4:Q808,Q809)&lt;1,1),FALSE))))"),"")</f>
        <v/>
      </c>
      <c r="S809" s="59" t="str">
        <f t="array" ref="S809">IF(COUNTA(Q809:Q1350)=0,"",SUM((COUNTIF(Q$4:Q809,Upgrades!$B$3:$B$13)-COUNTIF(Q$4:Q809,"Sell_"&amp;Upgrades!$B$3:$B$13))*Upgrades!$D$3:$D$13))</f>
        <v/>
      </c>
      <c r="T809" s="66" t="str">
        <f>IFERROR(__xludf.DUMMYFUNCTION("IF(COUNTA(Q809:Q1350)=0,"""",IF(REGEXMATCH(INDEX(FILTER(Q$4:Q809,Q$4:Q809&lt;&gt;""""),ROWS(FILTER(Q$4:Q809,Q$4:Q809&lt;&gt;""""))),""^Sell_""),INDEX(FILTER(T$4:T808,Q$4:Q808&lt;&gt;""""),ROWS(FILTER(Q$4:Q808,Q$4:Q808&lt;&gt;""""))),$AD$5+S809))"),"")</f>
        <v/>
      </c>
      <c r="U809" s="10" t="str">
        <f>IFERROR(__xludf.DUMMYFUNCTION("IF(COUNTA(Q809:Q1350)=0,"""",IF(Q809="""",0,IF(REGEXMATCH(Q809,""^Sell_""),-ROUNDDOWN(ROUNDUP(INDEX(Upgrades!$C$3:$C$13,MATCH(SUBSTITUTE(Q809,""Sell_"",""""),Upgrades!$B$3:$B$13,0))*1.15^(COUNTIF(Q$4:Q808,SUBSTITUTE(Q809,""Sell_"",""""))-COUNTIF(Q$4:Q808,"&amp;"""Sell_""&amp;SUBSTITUTE(Q809,""Sell_"",""""))))/2),ROUNDUP(INDEX(Upgrades!$C$3:$C$13,MATCH(Q809,Upgrades!$B$3:$B$13,0))*1.15^(COUNTIF(Q$4:Q808,Q809)-COUNTIF(Q$4:Q808,""Sell_""&amp;Q809))))))"),"")</f>
        <v/>
      </c>
      <c r="V809" s="10" t="str">
        <f t="shared" si="11"/>
        <v/>
      </c>
      <c r="W809" s="68" t="str">
        <f t="shared" si="12"/>
        <v/>
      </c>
      <c r="X809" s="59" t="str">
        <f t="shared" si="13"/>
        <v/>
      </c>
      <c r="Y809" s="69" t="str">
        <f t="shared" si="14"/>
        <v/>
      </c>
      <c r="Z809" s="11"/>
    </row>
    <row r="810">
      <c r="A810" s="8"/>
      <c r="B810" s="56" t="str">
        <f t="shared" si="2"/>
        <v/>
      </c>
      <c r="C810" s="57"/>
      <c r="D810" s="10" t="str">
        <f>IFERROR(__xludf.DUMMYFUNCTION("IF(COUNTA(C810:C1350)=0,"""",IF(ISBLANK(C810),FALSE,IF(NOT(COUNTIF($AA$24:$AA$34,SUBSTITUTE(C810,""Sell_"",""""))),1,IF(REGEXMATCH(C810,""Sell_""),IF(COUNTIF(C$4:C810,SUBSTITUTE(C810,""Sell_"",""""))-COUNTIF(C$4:C809,C810)&lt;1,1),FALSE))))"),"")</f>
        <v/>
      </c>
      <c r="E810" s="59" t="str">
        <f t="array" ref="E810">IF(COUNTA(C810:C1350)=0,"",SUM((COUNTIF(C$4:C810,Upgrades!$B$3:$B$13)-COUNTIF(C$4:C810,"Sell_"&amp;Upgrades!$B$3:$B$13))*Upgrades!$D$3:$D$13))</f>
        <v/>
      </c>
      <c r="F810" s="66" t="str">
        <f>IFERROR(__xludf.DUMMYFUNCTION("IF(COUNTA(C810:C1350)=0,"""",IF(REGEXMATCH(INDEX(FILTER(C$4:C810,C$4:C810&lt;&gt;""""),ROWS(FILTER(C$4:C810,C$4:C810&lt;&gt;""""))),""^Sell_""),INDEX(FILTER(F$4:F809,C$4:C809&lt;&gt;""""),ROWS(FILTER(C$4:C809,C$4:C809&lt;&gt;""""))),$AC$5+E810))"),"")</f>
        <v/>
      </c>
      <c r="G810" s="10" t="str">
        <f>IFERROR(__xludf.DUMMYFUNCTION("IF(COUNTA(C810:C1350)=0,"""",IF(C810="""",0,IF(REGEXMATCH(C810,""^Sell_""),-ROUNDDOWN(ROUNDUP(INDEX(Upgrades!$C$3:$C$13,MATCH(SUBSTITUTE(C810,""Sell_"",""""),Upgrades!$B$3:$B$13,0))*1.15^(COUNTIF(C$4:C809,SUBSTITUTE(C810,""Sell_"",""""))-COUNTIF(C$4:C809,"&amp;"""Sell_""&amp;SUBSTITUTE(C810,""Sell_"",""""))))/2),ROUNDUP(INDEX(Upgrades!$C$3:$C$13,MATCH(C810,Upgrades!$B$3:$B$13,0))*1.15^(COUNTIF(C$4:C809,C810)-COUNTIF(C$4:C809,""Sell_""&amp;C810))))))"),"")</f>
        <v/>
      </c>
      <c r="H810" s="10" t="str">
        <f t="shared" si="3"/>
        <v/>
      </c>
      <c r="I810" s="68" t="str">
        <f t="shared" si="4"/>
        <v/>
      </c>
      <c r="J810" s="59" t="str">
        <f t="shared" si="5"/>
        <v/>
      </c>
      <c r="K810" s="69" t="str">
        <f t="shared" si="6"/>
        <v/>
      </c>
      <c r="L810" s="60" t="str">
        <f t="shared" si="7"/>
        <v/>
      </c>
      <c r="M810" s="61" t="str">
        <f>IFERROR(__xludf.DUMMYFUNCTION("IFS(AND(COUNTA(C810:C1350)=0,COUNTA(Q810:Q1350)=0),"""",OR(AND(K810&gt;=1000000000,OR(Y810&gt;=1000000000,COUNTA(Q810:Q1350)=0)),OR(Y810&gt;=1000000000,AND(COUNTA(C810:C1350)=0,P$3=TRUE))),
ROUNDDOWN((AB$1-AC$1)*MAX(INDEX(T$4:T1350,MATCH(LARGE(FILTER(Y$4:Y1350,Y$4"&amp;":Y1350&lt;1000000000),1),Y$4:Y1350)),INDEX(F$4:F1350,MATCH(LARGE(FILTER(K$4:K1350,K$4:K1350&lt;1000000000),1),K$4:K1350)))),AND(K810&lt;1000000000,COUNTA(C810:C1350)&gt;0,P$3=FALSE),
ROUNDDOWN(INDEX(Y$4:Y1350,MATCH(LARGE(FILTER(W$4:W1350,W$4:W1350&lt;=I810),1),W$4:W1350"&amp;"))+(I810-LARGE(FILTER(W$4:W1350,W$4:W1350&lt;=I810),1))*INDEX(T$4:T1350,MATCH(LARGE(FILTER(W$4:W1350,W$4:W1350&lt;=I810),1),W$4:W1350))-K810),1,
ROUNDDOWN(Y810-INDEX(K$4:K1350,MATCH(LARGE(FILTER(I$4:I1350,I$4:I1350&lt;=W810),1),I$4:I1350))-(W810-LARGE(FILTER(I$4:I"&amp;"1350,I$4:I1350&lt;=W810),1))*INDEX(F$4:F1350,MATCH(LARGE(FILTER(I$4:I1350,I$4:I1350&lt;=W810),1),I$4:I1350))))"),"")</f>
        <v/>
      </c>
      <c r="N810" s="60" t="str">
        <f t="shared" si="8"/>
        <v/>
      </c>
      <c r="O810" s="61" t="str">
        <f t="shared" si="9"/>
        <v/>
      </c>
      <c r="P810" s="56" t="str">
        <f t="shared" si="10"/>
        <v/>
      </c>
      <c r="Q810" s="62"/>
      <c r="R810" s="10" t="str">
        <f>IFERROR(__xludf.DUMMYFUNCTION("IF(COUNTA(Q810:Q1350)=0,"""",IF(ISBLANK(Q810),FALSE,IF(NOT(COUNTIF($AA$24:$AA$34,SUBSTITUTE(Q810,""Sell_"",""""))),1,IF(REGEXMATCH(Q810,""Sell_""),IF(COUNTIF(Q$4:Q810,SUBSTITUTE(Q810,""Sell_"",""""))-COUNTIF(Q$4:Q809,Q810)&lt;1,1),FALSE))))"),"")</f>
        <v/>
      </c>
      <c r="S810" s="59" t="str">
        <f t="array" ref="S810">IF(COUNTA(Q810:Q1350)=0,"",SUM((COUNTIF(Q$4:Q810,Upgrades!$B$3:$B$13)-COUNTIF(Q$4:Q810,"Sell_"&amp;Upgrades!$B$3:$B$13))*Upgrades!$D$3:$D$13))</f>
        <v/>
      </c>
      <c r="T810" s="66" t="str">
        <f>IFERROR(__xludf.DUMMYFUNCTION("IF(COUNTA(Q810:Q1350)=0,"""",IF(REGEXMATCH(INDEX(FILTER(Q$4:Q810,Q$4:Q810&lt;&gt;""""),ROWS(FILTER(Q$4:Q810,Q$4:Q810&lt;&gt;""""))),""^Sell_""),INDEX(FILTER(T$4:T809,Q$4:Q809&lt;&gt;""""),ROWS(FILTER(Q$4:Q809,Q$4:Q809&lt;&gt;""""))),$AD$5+S810))"),"")</f>
        <v/>
      </c>
      <c r="U810" s="10" t="str">
        <f>IFERROR(__xludf.DUMMYFUNCTION("IF(COUNTA(Q810:Q1350)=0,"""",IF(Q810="""",0,IF(REGEXMATCH(Q810,""^Sell_""),-ROUNDDOWN(ROUNDUP(INDEX(Upgrades!$C$3:$C$13,MATCH(SUBSTITUTE(Q810,""Sell_"",""""),Upgrades!$B$3:$B$13,0))*1.15^(COUNTIF(Q$4:Q809,SUBSTITUTE(Q810,""Sell_"",""""))-COUNTIF(Q$4:Q809,"&amp;"""Sell_""&amp;SUBSTITUTE(Q810,""Sell_"",""""))))/2),ROUNDUP(INDEX(Upgrades!$C$3:$C$13,MATCH(Q810,Upgrades!$B$3:$B$13,0))*1.15^(COUNTIF(Q$4:Q809,Q810)-COUNTIF(Q$4:Q809,""Sell_""&amp;Q810))))))"),"")</f>
        <v/>
      </c>
      <c r="V810" s="10" t="str">
        <f t="shared" si="11"/>
        <v/>
      </c>
      <c r="W810" s="68" t="str">
        <f t="shared" si="12"/>
        <v/>
      </c>
      <c r="X810" s="59" t="str">
        <f t="shared" si="13"/>
        <v/>
      </c>
      <c r="Y810" s="69" t="str">
        <f t="shared" si="14"/>
        <v/>
      </c>
      <c r="Z810" s="11"/>
    </row>
    <row r="811">
      <c r="A811" s="8"/>
      <c r="B811" s="56" t="str">
        <f t="shared" si="2"/>
        <v/>
      </c>
      <c r="C811" s="57"/>
      <c r="D811" s="10" t="str">
        <f>IFERROR(__xludf.DUMMYFUNCTION("IF(COUNTA(C811:C1350)=0,"""",IF(ISBLANK(C811),FALSE,IF(NOT(COUNTIF($AA$24:$AA$34,SUBSTITUTE(C811,""Sell_"",""""))),1,IF(REGEXMATCH(C811,""Sell_""),IF(COUNTIF(C$4:C811,SUBSTITUTE(C811,""Sell_"",""""))-COUNTIF(C$4:C810,C811)&lt;1,1),FALSE))))"),"")</f>
        <v/>
      </c>
      <c r="E811" s="59" t="str">
        <f t="array" ref="E811">IF(COUNTA(C811:C1350)=0,"",SUM((COUNTIF(C$4:C811,Upgrades!$B$3:$B$13)-COUNTIF(C$4:C811,"Sell_"&amp;Upgrades!$B$3:$B$13))*Upgrades!$D$3:$D$13))</f>
        <v/>
      </c>
      <c r="F811" s="66" t="str">
        <f>IFERROR(__xludf.DUMMYFUNCTION("IF(COUNTA(C811:C1350)=0,"""",IF(REGEXMATCH(INDEX(FILTER(C$4:C811,C$4:C811&lt;&gt;""""),ROWS(FILTER(C$4:C811,C$4:C811&lt;&gt;""""))),""^Sell_""),INDEX(FILTER(F$4:F810,C$4:C810&lt;&gt;""""),ROWS(FILTER(C$4:C810,C$4:C810&lt;&gt;""""))),$AC$5+E811))"),"")</f>
        <v/>
      </c>
      <c r="G811" s="10" t="str">
        <f>IFERROR(__xludf.DUMMYFUNCTION("IF(COUNTA(C811:C1350)=0,"""",IF(C811="""",0,IF(REGEXMATCH(C811,""^Sell_""),-ROUNDDOWN(ROUNDUP(INDEX(Upgrades!$C$3:$C$13,MATCH(SUBSTITUTE(C811,""Sell_"",""""),Upgrades!$B$3:$B$13,0))*1.15^(COUNTIF(C$4:C810,SUBSTITUTE(C811,""Sell_"",""""))-COUNTIF(C$4:C810,"&amp;"""Sell_""&amp;SUBSTITUTE(C811,""Sell_"",""""))))/2),ROUNDUP(INDEX(Upgrades!$C$3:$C$13,MATCH(C811,Upgrades!$B$3:$B$13,0))*1.15^(COUNTIF(C$4:C810,C811)-COUNTIF(C$4:C810,""Sell_""&amp;C811))))))"),"")</f>
        <v/>
      </c>
      <c r="H811" s="10" t="str">
        <f t="shared" si="3"/>
        <v/>
      </c>
      <c r="I811" s="68" t="str">
        <f t="shared" si="4"/>
        <v/>
      </c>
      <c r="J811" s="59" t="str">
        <f t="shared" si="5"/>
        <v/>
      </c>
      <c r="K811" s="69" t="str">
        <f t="shared" si="6"/>
        <v/>
      </c>
      <c r="L811" s="60" t="str">
        <f t="shared" si="7"/>
        <v/>
      </c>
      <c r="M811" s="61" t="str">
        <f>IFERROR(__xludf.DUMMYFUNCTION("IFS(AND(COUNTA(C811:C1350)=0,COUNTA(Q811:Q1350)=0),"""",OR(AND(K811&gt;=1000000000,OR(Y811&gt;=1000000000,COUNTA(Q811:Q1350)=0)),OR(Y811&gt;=1000000000,AND(COUNTA(C811:C1350)=0,P$3=TRUE))),
ROUNDDOWN((AB$1-AC$1)*MAX(INDEX(T$4:T1350,MATCH(LARGE(FILTER(Y$4:Y1350,Y$4"&amp;":Y1350&lt;1000000000),1),Y$4:Y1350)),INDEX(F$4:F1350,MATCH(LARGE(FILTER(K$4:K1350,K$4:K1350&lt;1000000000),1),K$4:K1350)))),AND(K811&lt;1000000000,COUNTA(C811:C1350)&gt;0,P$3=FALSE),
ROUNDDOWN(INDEX(Y$4:Y1350,MATCH(LARGE(FILTER(W$4:W1350,W$4:W1350&lt;=I811),1),W$4:W1350"&amp;"))+(I811-LARGE(FILTER(W$4:W1350,W$4:W1350&lt;=I811),1))*INDEX(T$4:T1350,MATCH(LARGE(FILTER(W$4:W1350,W$4:W1350&lt;=I811),1),W$4:W1350))-K811),1,
ROUNDDOWN(Y811-INDEX(K$4:K1350,MATCH(LARGE(FILTER(I$4:I1350,I$4:I1350&lt;=W811),1),I$4:I1350))-(W811-LARGE(FILTER(I$4:I"&amp;"1350,I$4:I1350&lt;=W811),1))*INDEX(F$4:F1350,MATCH(LARGE(FILTER(I$4:I1350,I$4:I1350&lt;=W811),1),I$4:I1350))))"),"")</f>
        <v/>
      </c>
      <c r="N811" s="60" t="str">
        <f t="shared" si="8"/>
        <v/>
      </c>
      <c r="O811" s="61" t="str">
        <f t="shared" si="9"/>
        <v/>
      </c>
      <c r="P811" s="56" t="str">
        <f t="shared" si="10"/>
        <v/>
      </c>
      <c r="Q811" s="62"/>
      <c r="R811" s="10" t="str">
        <f>IFERROR(__xludf.DUMMYFUNCTION("IF(COUNTA(Q811:Q1350)=0,"""",IF(ISBLANK(Q811),FALSE,IF(NOT(COUNTIF($AA$24:$AA$34,SUBSTITUTE(Q811,""Sell_"",""""))),1,IF(REGEXMATCH(Q811,""Sell_""),IF(COUNTIF(Q$4:Q811,SUBSTITUTE(Q811,""Sell_"",""""))-COUNTIF(Q$4:Q810,Q811)&lt;1,1),FALSE))))"),"")</f>
        <v/>
      </c>
      <c r="S811" s="59" t="str">
        <f t="array" ref="S811">IF(COUNTA(Q811:Q1350)=0,"",SUM((COUNTIF(Q$4:Q811,Upgrades!$B$3:$B$13)-COUNTIF(Q$4:Q811,"Sell_"&amp;Upgrades!$B$3:$B$13))*Upgrades!$D$3:$D$13))</f>
        <v/>
      </c>
      <c r="T811" s="66" t="str">
        <f>IFERROR(__xludf.DUMMYFUNCTION("IF(COUNTA(Q811:Q1350)=0,"""",IF(REGEXMATCH(INDEX(FILTER(Q$4:Q811,Q$4:Q811&lt;&gt;""""),ROWS(FILTER(Q$4:Q811,Q$4:Q811&lt;&gt;""""))),""^Sell_""),INDEX(FILTER(T$4:T810,Q$4:Q810&lt;&gt;""""),ROWS(FILTER(Q$4:Q810,Q$4:Q810&lt;&gt;""""))),$AD$5+S811))"),"")</f>
        <v/>
      </c>
      <c r="U811" s="10" t="str">
        <f>IFERROR(__xludf.DUMMYFUNCTION("IF(COUNTA(Q811:Q1350)=0,"""",IF(Q811="""",0,IF(REGEXMATCH(Q811,""^Sell_""),-ROUNDDOWN(ROUNDUP(INDEX(Upgrades!$C$3:$C$13,MATCH(SUBSTITUTE(Q811,""Sell_"",""""),Upgrades!$B$3:$B$13,0))*1.15^(COUNTIF(Q$4:Q810,SUBSTITUTE(Q811,""Sell_"",""""))-COUNTIF(Q$4:Q810,"&amp;"""Sell_""&amp;SUBSTITUTE(Q811,""Sell_"",""""))))/2),ROUNDUP(INDEX(Upgrades!$C$3:$C$13,MATCH(Q811,Upgrades!$B$3:$B$13,0))*1.15^(COUNTIF(Q$4:Q810,Q811)-COUNTIF(Q$4:Q810,""Sell_""&amp;Q811))))))"),"")</f>
        <v/>
      </c>
      <c r="V811" s="10" t="str">
        <f t="shared" si="11"/>
        <v/>
      </c>
      <c r="W811" s="68" t="str">
        <f t="shared" si="12"/>
        <v/>
      </c>
      <c r="X811" s="59" t="str">
        <f t="shared" si="13"/>
        <v/>
      </c>
      <c r="Y811" s="69" t="str">
        <f t="shared" si="14"/>
        <v/>
      </c>
      <c r="Z811" s="11"/>
    </row>
    <row r="812">
      <c r="A812" s="8"/>
      <c r="B812" s="56" t="str">
        <f t="shared" si="2"/>
        <v/>
      </c>
      <c r="C812" s="57"/>
      <c r="D812" s="10" t="str">
        <f>IFERROR(__xludf.DUMMYFUNCTION("IF(COUNTA(C812:C1350)=0,"""",IF(ISBLANK(C812),FALSE,IF(NOT(COUNTIF($AA$24:$AA$34,SUBSTITUTE(C812,""Sell_"",""""))),1,IF(REGEXMATCH(C812,""Sell_""),IF(COUNTIF(C$4:C812,SUBSTITUTE(C812,""Sell_"",""""))-COUNTIF(C$4:C811,C812)&lt;1,1),FALSE))))"),"")</f>
        <v/>
      </c>
      <c r="E812" s="59" t="str">
        <f t="array" ref="E812">IF(COUNTA(C812:C1350)=0,"",SUM((COUNTIF(C$4:C812,Upgrades!$B$3:$B$13)-COUNTIF(C$4:C812,"Sell_"&amp;Upgrades!$B$3:$B$13))*Upgrades!$D$3:$D$13))</f>
        <v/>
      </c>
      <c r="F812" s="66" t="str">
        <f>IFERROR(__xludf.DUMMYFUNCTION("IF(COUNTA(C812:C1350)=0,"""",IF(REGEXMATCH(INDEX(FILTER(C$4:C812,C$4:C812&lt;&gt;""""),ROWS(FILTER(C$4:C812,C$4:C812&lt;&gt;""""))),""^Sell_""),INDEX(FILTER(F$4:F811,C$4:C811&lt;&gt;""""),ROWS(FILTER(C$4:C811,C$4:C811&lt;&gt;""""))),$AC$5+E812))"),"")</f>
        <v/>
      </c>
      <c r="G812" s="10" t="str">
        <f>IFERROR(__xludf.DUMMYFUNCTION("IF(COUNTA(C812:C1350)=0,"""",IF(C812="""",0,IF(REGEXMATCH(C812,""^Sell_""),-ROUNDDOWN(ROUNDUP(INDEX(Upgrades!$C$3:$C$13,MATCH(SUBSTITUTE(C812,""Sell_"",""""),Upgrades!$B$3:$B$13,0))*1.15^(COUNTIF(C$4:C811,SUBSTITUTE(C812,""Sell_"",""""))-COUNTIF(C$4:C811,"&amp;"""Sell_""&amp;SUBSTITUTE(C812,""Sell_"",""""))))/2),ROUNDUP(INDEX(Upgrades!$C$3:$C$13,MATCH(C812,Upgrades!$B$3:$B$13,0))*1.15^(COUNTIF(C$4:C811,C812)-COUNTIF(C$4:C811,""Sell_""&amp;C812))))))"),"")</f>
        <v/>
      </c>
      <c r="H812" s="10" t="str">
        <f t="shared" si="3"/>
        <v/>
      </c>
      <c r="I812" s="68" t="str">
        <f t="shared" si="4"/>
        <v/>
      </c>
      <c r="J812" s="59" t="str">
        <f t="shared" si="5"/>
        <v/>
      </c>
      <c r="K812" s="69" t="str">
        <f t="shared" si="6"/>
        <v/>
      </c>
      <c r="L812" s="60" t="str">
        <f t="shared" si="7"/>
        <v/>
      </c>
      <c r="M812" s="61" t="str">
        <f>IFERROR(__xludf.DUMMYFUNCTION("IFS(AND(COUNTA(C812:C1350)=0,COUNTA(Q812:Q1350)=0),"""",OR(AND(K812&gt;=1000000000,OR(Y812&gt;=1000000000,COUNTA(Q812:Q1350)=0)),OR(Y812&gt;=1000000000,AND(COUNTA(C812:C1350)=0,P$3=TRUE))),
ROUNDDOWN((AB$1-AC$1)*MAX(INDEX(T$4:T1350,MATCH(LARGE(FILTER(Y$4:Y1350,Y$4"&amp;":Y1350&lt;1000000000),1),Y$4:Y1350)),INDEX(F$4:F1350,MATCH(LARGE(FILTER(K$4:K1350,K$4:K1350&lt;1000000000),1),K$4:K1350)))),AND(K812&lt;1000000000,COUNTA(C812:C1350)&gt;0,P$3=FALSE),
ROUNDDOWN(INDEX(Y$4:Y1350,MATCH(LARGE(FILTER(W$4:W1350,W$4:W1350&lt;=I812),1),W$4:W1350"&amp;"))+(I812-LARGE(FILTER(W$4:W1350,W$4:W1350&lt;=I812),1))*INDEX(T$4:T1350,MATCH(LARGE(FILTER(W$4:W1350,W$4:W1350&lt;=I812),1),W$4:W1350))-K812),1,
ROUNDDOWN(Y812-INDEX(K$4:K1350,MATCH(LARGE(FILTER(I$4:I1350,I$4:I1350&lt;=W812),1),I$4:I1350))-(W812-LARGE(FILTER(I$4:I"&amp;"1350,I$4:I1350&lt;=W812),1))*INDEX(F$4:F1350,MATCH(LARGE(FILTER(I$4:I1350,I$4:I1350&lt;=W812),1),I$4:I1350))))"),"")</f>
        <v/>
      </c>
      <c r="N812" s="60" t="str">
        <f t="shared" si="8"/>
        <v/>
      </c>
      <c r="O812" s="61" t="str">
        <f t="shared" si="9"/>
        <v/>
      </c>
      <c r="P812" s="56" t="str">
        <f t="shared" si="10"/>
        <v/>
      </c>
      <c r="Q812" s="62"/>
      <c r="R812" s="10" t="str">
        <f>IFERROR(__xludf.DUMMYFUNCTION("IF(COUNTA(Q812:Q1350)=0,"""",IF(ISBLANK(Q812),FALSE,IF(NOT(COUNTIF($AA$24:$AA$34,SUBSTITUTE(Q812,""Sell_"",""""))),1,IF(REGEXMATCH(Q812,""Sell_""),IF(COUNTIF(Q$4:Q812,SUBSTITUTE(Q812,""Sell_"",""""))-COUNTIF(Q$4:Q811,Q812)&lt;1,1),FALSE))))"),"")</f>
        <v/>
      </c>
      <c r="S812" s="59" t="str">
        <f t="array" ref="S812">IF(COUNTA(Q812:Q1350)=0,"",SUM((COUNTIF(Q$4:Q812,Upgrades!$B$3:$B$13)-COUNTIF(Q$4:Q812,"Sell_"&amp;Upgrades!$B$3:$B$13))*Upgrades!$D$3:$D$13))</f>
        <v/>
      </c>
      <c r="T812" s="66" t="str">
        <f>IFERROR(__xludf.DUMMYFUNCTION("IF(COUNTA(Q812:Q1350)=0,"""",IF(REGEXMATCH(INDEX(FILTER(Q$4:Q812,Q$4:Q812&lt;&gt;""""),ROWS(FILTER(Q$4:Q812,Q$4:Q812&lt;&gt;""""))),""^Sell_""),INDEX(FILTER(T$4:T811,Q$4:Q811&lt;&gt;""""),ROWS(FILTER(Q$4:Q811,Q$4:Q811&lt;&gt;""""))),$AD$5+S812))"),"")</f>
        <v/>
      </c>
      <c r="U812" s="10" t="str">
        <f>IFERROR(__xludf.DUMMYFUNCTION("IF(COUNTA(Q812:Q1350)=0,"""",IF(Q812="""",0,IF(REGEXMATCH(Q812,""^Sell_""),-ROUNDDOWN(ROUNDUP(INDEX(Upgrades!$C$3:$C$13,MATCH(SUBSTITUTE(Q812,""Sell_"",""""),Upgrades!$B$3:$B$13,0))*1.15^(COUNTIF(Q$4:Q811,SUBSTITUTE(Q812,""Sell_"",""""))-COUNTIF(Q$4:Q811,"&amp;"""Sell_""&amp;SUBSTITUTE(Q812,""Sell_"",""""))))/2),ROUNDUP(INDEX(Upgrades!$C$3:$C$13,MATCH(Q812,Upgrades!$B$3:$B$13,0))*1.15^(COUNTIF(Q$4:Q811,Q812)-COUNTIF(Q$4:Q811,""Sell_""&amp;Q812))))))"),"")</f>
        <v/>
      </c>
      <c r="V812" s="10" t="str">
        <f t="shared" si="11"/>
        <v/>
      </c>
      <c r="W812" s="68" t="str">
        <f t="shared" si="12"/>
        <v/>
      </c>
      <c r="X812" s="59" t="str">
        <f t="shared" si="13"/>
        <v/>
      </c>
      <c r="Y812" s="69" t="str">
        <f t="shared" si="14"/>
        <v/>
      </c>
      <c r="Z812" s="11"/>
    </row>
    <row r="813">
      <c r="A813" s="8"/>
      <c r="B813" s="56" t="str">
        <f t="shared" si="2"/>
        <v/>
      </c>
      <c r="C813" s="57"/>
      <c r="D813" s="10" t="str">
        <f>IFERROR(__xludf.DUMMYFUNCTION("IF(COUNTA(C813:C1350)=0,"""",IF(ISBLANK(C813),FALSE,IF(NOT(COUNTIF($AA$24:$AA$34,SUBSTITUTE(C813,""Sell_"",""""))),1,IF(REGEXMATCH(C813,""Sell_""),IF(COUNTIF(C$4:C813,SUBSTITUTE(C813,""Sell_"",""""))-COUNTIF(C$4:C812,C813)&lt;1,1),FALSE))))"),"")</f>
        <v/>
      </c>
      <c r="E813" s="59" t="str">
        <f t="array" ref="E813">IF(COUNTA(C813:C1350)=0,"",SUM((COUNTIF(C$4:C813,Upgrades!$B$3:$B$13)-COUNTIF(C$4:C813,"Sell_"&amp;Upgrades!$B$3:$B$13))*Upgrades!$D$3:$D$13))</f>
        <v/>
      </c>
      <c r="F813" s="66" t="str">
        <f>IFERROR(__xludf.DUMMYFUNCTION("IF(COUNTA(C813:C1350)=0,"""",IF(REGEXMATCH(INDEX(FILTER(C$4:C813,C$4:C813&lt;&gt;""""),ROWS(FILTER(C$4:C813,C$4:C813&lt;&gt;""""))),""^Sell_""),INDEX(FILTER(F$4:F812,C$4:C812&lt;&gt;""""),ROWS(FILTER(C$4:C812,C$4:C812&lt;&gt;""""))),$AC$5+E813))"),"")</f>
        <v/>
      </c>
      <c r="G813" s="10" t="str">
        <f>IFERROR(__xludf.DUMMYFUNCTION("IF(COUNTA(C813:C1350)=0,"""",IF(C813="""",0,IF(REGEXMATCH(C813,""^Sell_""),-ROUNDDOWN(ROUNDUP(INDEX(Upgrades!$C$3:$C$13,MATCH(SUBSTITUTE(C813,""Sell_"",""""),Upgrades!$B$3:$B$13,0))*1.15^(COUNTIF(C$4:C812,SUBSTITUTE(C813,""Sell_"",""""))-COUNTIF(C$4:C812,"&amp;"""Sell_""&amp;SUBSTITUTE(C813,""Sell_"",""""))))/2),ROUNDUP(INDEX(Upgrades!$C$3:$C$13,MATCH(C813,Upgrades!$B$3:$B$13,0))*1.15^(COUNTIF(C$4:C812,C813)-COUNTIF(C$4:C812,""Sell_""&amp;C813))))))"),"")</f>
        <v/>
      </c>
      <c r="H813" s="10" t="str">
        <f t="shared" si="3"/>
        <v/>
      </c>
      <c r="I813" s="68" t="str">
        <f t="shared" si="4"/>
        <v/>
      </c>
      <c r="J813" s="59" t="str">
        <f t="shared" si="5"/>
        <v/>
      </c>
      <c r="K813" s="69" t="str">
        <f t="shared" si="6"/>
        <v/>
      </c>
      <c r="L813" s="60" t="str">
        <f t="shared" si="7"/>
        <v/>
      </c>
      <c r="M813" s="61" t="str">
        <f>IFERROR(__xludf.DUMMYFUNCTION("IFS(AND(COUNTA(C813:C1350)=0,COUNTA(Q813:Q1350)=0),"""",OR(AND(K813&gt;=1000000000,OR(Y813&gt;=1000000000,COUNTA(Q813:Q1350)=0)),OR(Y813&gt;=1000000000,AND(COUNTA(C813:C1350)=0,P$3=TRUE))),
ROUNDDOWN((AB$1-AC$1)*MAX(INDEX(T$4:T1350,MATCH(LARGE(FILTER(Y$4:Y1350,Y$4"&amp;":Y1350&lt;1000000000),1),Y$4:Y1350)),INDEX(F$4:F1350,MATCH(LARGE(FILTER(K$4:K1350,K$4:K1350&lt;1000000000),1),K$4:K1350)))),AND(K813&lt;1000000000,COUNTA(C813:C1350)&gt;0,P$3=FALSE),
ROUNDDOWN(INDEX(Y$4:Y1350,MATCH(LARGE(FILTER(W$4:W1350,W$4:W1350&lt;=I813),1),W$4:W1350"&amp;"))+(I813-LARGE(FILTER(W$4:W1350,W$4:W1350&lt;=I813),1))*INDEX(T$4:T1350,MATCH(LARGE(FILTER(W$4:W1350,W$4:W1350&lt;=I813),1),W$4:W1350))-K813),1,
ROUNDDOWN(Y813-INDEX(K$4:K1350,MATCH(LARGE(FILTER(I$4:I1350,I$4:I1350&lt;=W813),1),I$4:I1350))-(W813-LARGE(FILTER(I$4:I"&amp;"1350,I$4:I1350&lt;=W813),1))*INDEX(F$4:F1350,MATCH(LARGE(FILTER(I$4:I1350,I$4:I1350&lt;=W813),1),I$4:I1350))))"),"")</f>
        <v/>
      </c>
      <c r="N813" s="60" t="str">
        <f t="shared" si="8"/>
        <v/>
      </c>
      <c r="O813" s="61" t="str">
        <f t="shared" si="9"/>
        <v/>
      </c>
      <c r="P813" s="56" t="str">
        <f t="shared" si="10"/>
        <v/>
      </c>
      <c r="Q813" s="62"/>
      <c r="R813" s="10" t="str">
        <f>IFERROR(__xludf.DUMMYFUNCTION("IF(COUNTA(Q813:Q1350)=0,"""",IF(ISBLANK(Q813),FALSE,IF(NOT(COUNTIF($AA$24:$AA$34,SUBSTITUTE(Q813,""Sell_"",""""))),1,IF(REGEXMATCH(Q813,""Sell_""),IF(COUNTIF(Q$4:Q813,SUBSTITUTE(Q813,""Sell_"",""""))-COUNTIF(Q$4:Q812,Q813)&lt;1,1),FALSE))))"),"")</f>
        <v/>
      </c>
      <c r="S813" s="59" t="str">
        <f t="array" ref="S813">IF(COUNTA(Q813:Q1350)=0,"",SUM((COUNTIF(Q$4:Q813,Upgrades!$B$3:$B$13)-COUNTIF(Q$4:Q813,"Sell_"&amp;Upgrades!$B$3:$B$13))*Upgrades!$D$3:$D$13))</f>
        <v/>
      </c>
      <c r="T813" s="66" t="str">
        <f>IFERROR(__xludf.DUMMYFUNCTION("IF(COUNTA(Q813:Q1350)=0,"""",IF(REGEXMATCH(INDEX(FILTER(Q$4:Q813,Q$4:Q813&lt;&gt;""""),ROWS(FILTER(Q$4:Q813,Q$4:Q813&lt;&gt;""""))),""^Sell_""),INDEX(FILTER(T$4:T812,Q$4:Q812&lt;&gt;""""),ROWS(FILTER(Q$4:Q812,Q$4:Q812&lt;&gt;""""))),$AD$5+S813))"),"")</f>
        <v/>
      </c>
      <c r="U813" s="10" t="str">
        <f>IFERROR(__xludf.DUMMYFUNCTION("IF(COUNTA(Q813:Q1350)=0,"""",IF(Q813="""",0,IF(REGEXMATCH(Q813,""^Sell_""),-ROUNDDOWN(ROUNDUP(INDEX(Upgrades!$C$3:$C$13,MATCH(SUBSTITUTE(Q813,""Sell_"",""""),Upgrades!$B$3:$B$13,0))*1.15^(COUNTIF(Q$4:Q812,SUBSTITUTE(Q813,""Sell_"",""""))-COUNTIF(Q$4:Q812,"&amp;"""Sell_""&amp;SUBSTITUTE(Q813,""Sell_"",""""))))/2),ROUNDUP(INDEX(Upgrades!$C$3:$C$13,MATCH(Q813,Upgrades!$B$3:$B$13,0))*1.15^(COUNTIF(Q$4:Q812,Q813)-COUNTIF(Q$4:Q812,""Sell_""&amp;Q813))))))"),"")</f>
        <v/>
      </c>
      <c r="V813" s="10" t="str">
        <f t="shared" si="11"/>
        <v/>
      </c>
      <c r="W813" s="68" t="str">
        <f t="shared" si="12"/>
        <v/>
      </c>
      <c r="X813" s="59" t="str">
        <f t="shared" si="13"/>
        <v/>
      </c>
      <c r="Y813" s="69" t="str">
        <f t="shared" si="14"/>
        <v/>
      </c>
      <c r="Z813" s="11"/>
    </row>
    <row r="814">
      <c r="A814" s="8"/>
      <c r="B814" s="56" t="str">
        <f t="shared" si="2"/>
        <v/>
      </c>
      <c r="C814" s="57"/>
      <c r="D814" s="10" t="str">
        <f>IFERROR(__xludf.DUMMYFUNCTION("IF(COUNTA(C814:C1350)=0,"""",IF(ISBLANK(C814),FALSE,IF(NOT(COUNTIF($AA$24:$AA$34,SUBSTITUTE(C814,""Sell_"",""""))),1,IF(REGEXMATCH(C814,""Sell_""),IF(COUNTIF(C$4:C814,SUBSTITUTE(C814,""Sell_"",""""))-COUNTIF(C$4:C813,C814)&lt;1,1),FALSE))))"),"")</f>
        <v/>
      </c>
      <c r="E814" s="59" t="str">
        <f t="array" ref="E814">IF(COUNTA(C814:C1350)=0,"",SUM((COUNTIF(C$4:C814,Upgrades!$B$3:$B$13)-COUNTIF(C$4:C814,"Sell_"&amp;Upgrades!$B$3:$B$13))*Upgrades!$D$3:$D$13))</f>
        <v/>
      </c>
      <c r="F814" s="66" t="str">
        <f>IFERROR(__xludf.DUMMYFUNCTION("IF(COUNTA(C814:C1350)=0,"""",IF(REGEXMATCH(INDEX(FILTER(C$4:C814,C$4:C814&lt;&gt;""""),ROWS(FILTER(C$4:C814,C$4:C814&lt;&gt;""""))),""^Sell_""),INDEX(FILTER(F$4:F813,C$4:C813&lt;&gt;""""),ROWS(FILTER(C$4:C813,C$4:C813&lt;&gt;""""))),$AC$5+E814))"),"")</f>
        <v/>
      </c>
      <c r="G814" s="10" t="str">
        <f>IFERROR(__xludf.DUMMYFUNCTION("IF(COUNTA(C814:C1350)=0,"""",IF(C814="""",0,IF(REGEXMATCH(C814,""^Sell_""),-ROUNDDOWN(ROUNDUP(INDEX(Upgrades!$C$3:$C$13,MATCH(SUBSTITUTE(C814,""Sell_"",""""),Upgrades!$B$3:$B$13,0))*1.15^(COUNTIF(C$4:C813,SUBSTITUTE(C814,""Sell_"",""""))-COUNTIF(C$4:C813,"&amp;"""Sell_""&amp;SUBSTITUTE(C814,""Sell_"",""""))))/2),ROUNDUP(INDEX(Upgrades!$C$3:$C$13,MATCH(C814,Upgrades!$B$3:$B$13,0))*1.15^(COUNTIF(C$4:C813,C814)-COUNTIF(C$4:C813,""Sell_""&amp;C814))))))"),"")</f>
        <v/>
      </c>
      <c r="H814" s="10" t="str">
        <f t="shared" si="3"/>
        <v/>
      </c>
      <c r="I814" s="68" t="str">
        <f t="shared" si="4"/>
        <v/>
      </c>
      <c r="J814" s="59" t="str">
        <f t="shared" si="5"/>
        <v/>
      </c>
      <c r="K814" s="69" t="str">
        <f t="shared" si="6"/>
        <v/>
      </c>
      <c r="L814" s="60" t="str">
        <f t="shared" si="7"/>
        <v/>
      </c>
      <c r="M814" s="61" t="str">
        <f>IFERROR(__xludf.DUMMYFUNCTION("IFS(AND(COUNTA(C814:C1350)=0,COUNTA(Q814:Q1350)=0),"""",OR(AND(K814&gt;=1000000000,OR(Y814&gt;=1000000000,COUNTA(Q814:Q1350)=0)),OR(Y814&gt;=1000000000,AND(COUNTA(C814:C1350)=0,P$3=TRUE))),
ROUNDDOWN((AB$1-AC$1)*MAX(INDEX(T$4:T1350,MATCH(LARGE(FILTER(Y$4:Y1350,Y$4"&amp;":Y1350&lt;1000000000),1),Y$4:Y1350)),INDEX(F$4:F1350,MATCH(LARGE(FILTER(K$4:K1350,K$4:K1350&lt;1000000000),1),K$4:K1350)))),AND(K814&lt;1000000000,COUNTA(C814:C1350)&gt;0,P$3=FALSE),
ROUNDDOWN(INDEX(Y$4:Y1350,MATCH(LARGE(FILTER(W$4:W1350,W$4:W1350&lt;=I814),1),W$4:W1350"&amp;"))+(I814-LARGE(FILTER(W$4:W1350,W$4:W1350&lt;=I814),1))*INDEX(T$4:T1350,MATCH(LARGE(FILTER(W$4:W1350,W$4:W1350&lt;=I814),1),W$4:W1350))-K814),1,
ROUNDDOWN(Y814-INDEX(K$4:K1350,MATCH(LARGE(FILTER(I$4:I1350,I$4:I1350&lt;=W814),1),I$4:I1350))-(W814-LARGE(FILTER(I$4:I"&amp;"1350,I$4:I1350&lt;=W814),1))*INDEX(F$4:F1350,MATCH(LARGE(FILTER(I$4:I1350,I$4:I1350&lt;=W814),1),I$4:I1350))))"),"")</f>
        <v/>
      </c>
      <c r="N814" s="60" t="str">
        <f t="shared" si="8"/>
        <v/>
      </c>
      <c r="O814" s="61" t="str">
        <f t="shared" si="9"/>
        <v/>
      </c>
      <c r="P814" s="56" t="str">
        <f t="shared" si="10"/>
        <v/>
      </c>
      <c r="Q814" s="62"/>
      <c r="R814" s="10" t="str">
        <f>IFERROR(__xludf.DUMMYFUNCTION("IF(COUNTA(Q814:Q1350)=0,"""",IF(ISBLANK(Q814),FALSE,IF(NOT(COUNTIF($AA$24:$AA$34,SUBSTITUTE(Q814,""Sell_"",""""))),1,IF(REGEXMATCH(Q814,""Sell_""),IF(COUNTIF(Q$4:Q814,SUBSTITUTE(Q814,""Sell_"",""""))-COUNTIF(Q$4:Q813,Q814)&lt;1,1),FALSE))))"),"")</f>
        <v/>
      </c>
      <c r="S814" s="59" t="str">
        <f t="array" ref="S814">IF(COUNTA(Q814:Q1350)=0,"",SUM((COUNTIF(Q$4:Q814,Upgrades!$B$3:$B$13)-COUNTIF(Q$4:Q814,"Sell_"&amp;Upgrades!$B$3:$B$13))*Upgrades!$D$3:$D$13))</f>
        <v/>
      </c>
      <c r="T814" s="66" t="str">
        <f>IFERROR(__xludf.DUMMYFUNCTION("IF(COUNTA(Q814:Q1350)=0,"""",IF(REGEXMATCH(INDEX(FILTER(Q$4:Q814,Q$4:Q814&lt;&gt;""""),ROWS(FILTER(Q$4:Q814,Q$4:Q814&lt;&gt;""""))),""^Sell_""),INDEX(FILTER(T$4:T813,Q$4:Q813&lt;&gt;""""),ROWS(FILTER(Q$4:Q813,Q$4:Q813&lt;&gt;""""))),$AD$5+S814))"),"")</f>
        <v/>
      </c>
      <c r="U814" s="10" t="str">
        <f>IFERROR(__xludf.DUMMYFUNCTION("IF(COUNTA(Q814:Q1350)=0,"""",IF(Q814="""",0,IF(REGEXMATCH(Q814,""^Sell_""),-ROUNDDOWN(ROUNDUP(INDEX(Upgrades!$C$3:$C$13,MATCH(SUBSTITUTE(Q814,""Sell_"",""""),Upgrades!$B$3:$B$13,0))*1.15^(COUNTIF(Q$4:Q813,SUBSTITUTE(Q814,""Sell_"",""""))-COUNTIF(Q$4:Q813,"&amp;"""Sell_""&amp;SUBSTITUTE(Q814,""Sell_"",""""))))/2),ROUNDUP(INDEX(Upgrades!$C$3:$C$13,MATCH(Q814,Upgrades!$B$3:$B$13,0))*1.15^(COUNTIF(Q$4:Q813,Q814)-COUNTIF(Q$4:Q813,""Sell_""&amp;Q814))))))"),"")</f>
        <v/>
      </c>
      <c r="V814" s="10" t="str">
        <f t="shared" si="11"/>
        <v/>
      </c>
      <c r="W814" s="68" t="str">
        <f t="shared" si="12"/>
        <v/>
      </c>
      <c r="X814" s="59" t="str">
        <f t="shared" si="13"/>
        <v/>
      </c>
      <c r="Y814" s="69" t="str">
        <f t="shared" si="14"/>
        <v/>
      </c>
      <c r="Z814" s="11"/>
    </row>
    <row r="815">
      <c r="A815" s="8"/>
      <c r="B815" s="56" t="str">
        <f t="shared" si="2"/>
        <v/>
      </c>
      <c r="C815" s="57"/>
      <c r="D815" s="10" t="str">
        <f>IFERROR(__xludf.DUMMYFUNCTION("IF(COUNTA(C815:C1350)=0,"""",IF(ISBLANK(C815),FALSE,IF(NOT(COUNTIF($AA$24:$AA$34,SUBSTITUTE(C815,""Sell_"",""""))),1,IF(REGEXMATCH(C815,""Sell_""),IF(COUNTIF(C$4:C815,SUBSTITUTE(C815,""Sell_"",""""))-COUNTIF(C$4:C814,C815)&lt;1,1),FALSE))))"),"")</f>
        <v/>
      </c>
      <c r="E815" s="59" t="str">
        <f t="array" ref="E815">IF(COUNTA(C815:C1350)=0,"",SUM((COUNTIF(C$4:C815,Upgrades!$B$3:$B$13)-COUNTIF(C$4:C815,"Sell_"&amp;Upgrades!$B$3:$B$13))*Upgrades!$D$3:$D$13))</f>
        <v/>
      </c>
      <c r="F815" s="66" t="str">
        <f>IFERROR(__xludf.DUMMYFUNCTION("IF(COUNTA(C815:C1350)=0,"""",IF(REGEXMATCH(INDEX(FILTER(C$4:C815,C$4:C815&lt;&gt;""""),ROWS(FILTER(C$4:C815,C$4:C815&lt;&gt;""""))),""^Sell_""),INDEX(FILTER(F$4:F814,C$4:C814&lt;&gt;""""),ROWS(FILTER(C$4:C814,C$4:C814&lt;&gt;""""))),$AC$5+E815))"),"")</f>
        <v/>
      </c>
      <c r="G815" s="10" t="str">
        <f>IFERROR(__xludf.DUMMYFUNCTION("IF(COUNTA(C815:C1350)=0,"""",IF(C815="""",0,IF(REGEXMATCH(C815,""^Sell_""),-ROUNDDOWN(ROUNDUP(INDEX(Upgrades!$C$3:$C$13,MATCH(SUBSTITUTE(C815,""Sell_"",""""),Upgrades!$B$3:$B$13,0))*1.15^(COUNTIF(C$4:C814,SUBSTITUTE(C815,""Sell_"",""""))-COUNTIF(C$4:C814,"&amp;"""Sell_""&amp;SUBSTITUTE(C815,""Sell_"",""""))))/2),ROUNDUP(INDEX(Upgrades!$C$3:$C$13,MATCH(C815,Upgrades!$B$3:$B$13,0))*1.15^(COUNTIF(C$4:C814,C815)-COUNTIF(C$4:C814,""Sell_""&amp;C815))))))"),"")</f>
        <v/>
      </c>
      <c r="H815" s="10" t="str">
        <f t="shared" si="3"/>
        <v/>
      </c>
      <c r="I815" s="68" t="str">
        <f t="shared" si="4"/>
        <v/>
      </c>
      <c r="J815" s="59" t="str">
        <f t="shared" si="5"/>
        <v/>
      </c>
      <c r="K815" s="69" t="str">
        <f t="shared" si="6"/>
        <v/>
      </c>
      <c r="L815" s="60" t="str">
        <f t="shared" si="7"/>
        <v/>
      </c>
      <c r="M815" s="61" t="str">
        <f>IFERROR(__xludf.DUMMYFUNCTION("IFS(AND(COUNTA(C815:C1350)=0,COUNTA(Q815:Q1350)=0),"""",OR(AND(K815&gt;=1000000000,OR(Y815&gt;=1000000000,COUNTA(Q815:Q1350)=0)),OR(Y815&gt;=1000000000,AND(COUNTA(C815:C1350)=0,P$3=TRUE))),
ROUNDDOWN((AB$1-AC$1)*MAX(INDEX(T$4:T1350,MATCH(LARGE(FILTER(Y$4:Y1350,Y$4"&amp;":Y1350&lt;1000000000),1),Y$4:Y1350)),INDEX(F$4:F1350,MATCH(LARGE(FILTER(K$4:K1350,K$4:K1350&lt;1000000000),1),K$4:K1350)))),AND(K815&lt;1000000000,COUNTA(C815:C1350)&gt;0,P$3=FALSE),
ROUNDDOWN(INDEX(Y$4:Y1350,MATCH(LARGE(FILTER(W$4:W1350,W$4:W1350&lt;=I815),1),W$4:W1350"&amp;"))+(I815-LARGE(FILTER(W$4:W1350,W$4:W1350&lt;=I815),1))*INDEX(T$4:T1350,MATCH(LARGE(FILTER(W$4:W1350,W$4:W1350&lt;=I815),1),W$4:W1350))-K815),1,
ROUNDDOWN(Y815-INDEX(K$4:K1350,MATCH(LARGE(FILTER(I$4:I1350,I$4:I1350&lt;=W815),1),I$4:I1350))-(W815-LARGE(FILTER(I$4:I"&amp;"1350,I$4:I1350&lt;=W815),1))*INDEX(F$4:F1350,MATCH(LARGE(FILTER(I$4:I1350,I$4:I1350&lt;=W815),1),I$4:I1350))))"),"")</f>
        <v/>
      </c>
      <c r="N815" s="60" t="str">
        <f t="shared" si="8"/>
        <v/>
      </c>
      <c r="O815" s="61" t="str">
        <f t="shared" si="9"/>
        <v/>
      </c>
      <c r="P815" s="56" t="str">
        <f t="shared" si="10"/>
        <v/>
      </c>
      <c r="Q815" s="62"/>
      <c r="R815" s="10" t="str">
        <f>IFERROR(__xludf.DUMMYFUNCTION("IF(COUNTA(Q815:Q1350)=0,"""",IF(ISBLANK(Q815),FALSE,IF(NOT(COUNTIF($AA$24:$AA$34,SUBSTITUTE(Q815,""Sell_"",""""))),1,IF(REGEXMATCH(Q815,""Sell_""),IF(COUNTIF(Q$4:Q815,SUBSTITUTE(Q815,""Sell_"",""""))-COUNTIF(Q$4:Q814,Q815)&lt;1,1),FALSE))))"),"")</f>
        <v/>
      </c>
      <c r="S815" s="59" t="str">
        <f t="array" ref="S815">IF(COUNTA(Q815:Q1350)=0,"",SUM((COUNTIF(Q$4:Q815,Upgrades!$B$3:$B$13)-COUNTIF(Q$4:Q815,"Sell_"&amp;Upgrades!$B$3:$B$13))*Upgrades!$D$3:$D$13))</f>
        <v/>
      </c>
      <c r="T815" s="66" t="str">
        <f>IFERROR(__xludf.DUMMYFUNCTION("IF(COUNTA(Q815:Q1350)=0,"""",IF(REGEXMATCH(INDEX(FILTER(Q$4:Q815,Q$4:Q815&lt;&gt;""""),ROWS(FILTER(Q$4:Q815,Q$4:Q815&lt;&gt;""""))),""^Sell_""),INDEX(FILTER(T$4:T814,Q$4:Q814&lt;&gt;""""),ROWS(FILTER(Q$4:Q814,Q$4:Q814&lt;&gt;""""))),$AD$5+S815))"),"")</f>
        <v/>
      </c>
      <c r="U815" s="10" t="str">
        <f>IFERROR(__xludf.DUMMYFUNCTION("IF(COUNTA(Q815:Q1350)=0,"""",IF(Q815="""",0,IF(REGEXMATCH(Q815,""^Sell_""),-ROUNDDOWN(ROUNDUP(INDEX(Upgrades!$C$3:$C$13,MATCH(SUBSTITUTE(Q815,""Sell_"",""""),Upgrades!$B$3:$B$13,0))*1.15^(COUNTIF(Q$4:Q814,SUBSTITUTE(Q815,""Sell_"",""""))-COUNTIF(Q$4:Q814,"&amp;"""Sell_""&amp;SUBSTITUTE(Q815,""Sell_"",""""))))/2),ROUNDUP(INDEX(Upgrades!$C$3:$C$13,MATCH(Q815,Upgrades!$B$3:$B$13,0))*1.15^(COUNTIF(Q$4:Q814,Q815)-COUNTIF(Q$4:Q814,""Sell_""&amp;Q815))))))"),"")</f>
        <v/>
      </c>
      <c r="V815" s="10" t="str">
        <f t="shared" si="11"/>
        <v/>
      </c>
      <c r="W815" s="68" t="str">
        <f t="shared" si="12"/>
        <v/>
      </c>
      <c r="X815" s="59" t="str">
        <f t="shared" si="13"/>
        <v/>
      </c>
      <c r="Y815" s="69" t="str">
        <f t="shared" si="14"/>
        <v/>
      </c>
      <c r="Z815" s="11"/>
    </row>
    <row r="816">
      <c r="A816" s="8"/>
      <c r="B816" s="56" t="str">
        <f t="shared" si="2"/>
        <v/>
      </c>
      <c r="C816" s="57"/>
      <c r="D816" s="10" t="str">
        <f>IFERROR(__xludf.DUMMYFUNCTION("IF(COUNTA(C816:C1350)=0,"""",IF(ISBLANK(C816),FALSE,IF(NOT(COUNTIF($AA$24:$AA$34,SUBSTITUTE(C816,""Sell_"",""""))),1,IF(REGEXMATCH(C816,""Sell_""),IF(COUNTIF(C$4:C816,SUBSTITUTE(C816,""Sell_"",""""))-COUNTIF(C$4:C815,C816)&lt;1,1),FALSE))))"),"")</f>
        <v/>
      </c>
      <c r="E816" s="59" t="str">
        <f t="array" ref="E816">IF(COUNTA(C816:C1350)=0,"",SUM((COUNTIF(C$4:C816,Upgrades!$B$3:$B$13)-COUNTIF(C$4:C816,"Sell_"&amp;Upgrades!$B$3:$B$13))*Upgrades!$D$3:$D$13))</f>
        <v/>
      </c>
      <c r="F816" s="66" t="str">
        <f>IFERROR(__xludf.DUMMYFUNCTION("IF(COUNTA(C816:C1350)=0,"""",IF(REGEXMATCH(INDEX(FILTER(C$4:C816,C$4:C816&lt;&gt;""""),ROWS(FILTER(C$4:C816,C$4:C816&lt;&gt;""""))),""^Sell_""),INDEX(FILTER(F$4:F815,C$4:C815&lt;&gt;""""),ROWS(FILTER(C$4:C815,C$4:C815&lt;&gt;""""))),$AC$5+E816))"),"")</f>
        <v/>
      </c>
      <c r="G816" s="10" t="str">
        <f>IFERROR(__xludf.DUMMYFUNCTION("IF(COUNTA(C816:C1350)=0,"""",IF(C816="""",0,IF(REGEXMATCH(C816,""^Sell_""),-ROUNDDOWN(ROUNDUP(INDEX(Upgrades!$C$3:$C$13,MATCH(SUBSTITUTE(C816,""Sell_"",""""),Upgrades!$B$3:$B$13,0))*1.15^(COUNTIF(C$4:C815,SUBSTITUTE(C816,""Sell_"",""""))-COUNTIF(C$4:C815,"&amp;"""Sell_""&amp;SUBSTITUTE(C816,""Sell_"",""""))))/2),ROUNDUP(INDEX(Upgrades!$C$3:$C$13,MATCH(C816,Upgrades!$B$3:$B$13,0))*1.15^(COUNTIF(C$4:C815,C816)-COUNTIF(C$4:C815,""Sell_""&amp;C816))))))"),"")</f>
        <v/>
      </c>
      <c r="H816" s="10" t="str">
        <f t="shared" si="3"/>
        <v/>
      </c>
      <c r="I816" s="68" t="str">
        <f t="shared" si="4"/>
        <v/>
      </c>
      <c r="J816" s="59" t="str">
        <f t="shared" si="5"/>
        <v/>
      </c>
      <c r="K816" s="69" t="str">
        <f t="shared" si="6"/>
        <v/>
      </c>
      <c r="L816" s="60" t="str">
        <f t="shared" si="7"/>
        <v/>
      </c>
      <c r="M816" s="61" t="str">
        <f>IFERROR(__xludf.DUMMYFUNCTION("IFS(AND(COUNTA(C816:C1350)=0,COUNTA(Q816:Q1350)=0),"""",OR(AND(K816&gt;=1000000000,OR(Y816&gt;=1000000000,COUNTA(Q816:Q1350)=0)),OR(Y816&gt;=1000000000,AND(COUNTA(C816:C1350)=0,P$3=TRUE))),
ROUNDDOWN((AB$1-AC$1)*MAX(INDEX(T$4:T1350,MATCH(LARGE(FILTER(Y$4:Y1350,Y$4"&amp;":Y1350&lt;1000000000),1),Y$4:Y1350)),INDEX(F$4:F1350,MATCH(LARGE(FILTER(K$4:K1350,K$4:K1350&lt;1000000000),1),K$4:K1350)))),AND(K816&lt;1000000000,COUNTA(C816:C1350)&gt;0,P$3=FALSE),
ROUNDDOWN(INDEX(Y$4:Y1350,MATCH(LARGE(FILTER(W$4:W1350,W$4:W1350&lt;=I816),1),W$4:W1350"&amp;"))+(I816-LARGE(FILTER(W$4:W1350,W$4:W1350&lt;=I816),1))*INDEX(T$4:T1350,MATCH(LARGE(FILTER(W$4:W1350,W$4:W1350&lt;=I816),1),W$4:W1350))-K816),1,
ROUNDDOWN(Y816-INDEX(K$4:K1350,MATCH(LARGE(FILTER(I$4:I1350,I$4:I1350&lt;=W816),1),I$4:I1350))-(W816-LARGE(FILTER(I$4:I"&amp;"1350,I$4:I1350&lt;=W816),1))*INDEX(F$4:F1350,MATCH(LARGE(FILTER(I$4:I1350,I$4:I1350&lt;=W816),1),I$4:I1350))))"),"")</f>
        <v/>
      </c>
      <c r="N816" s="60" t="str">
        <f t="shared" si="8"/>
        <v/>
      </c>
      <c r="O816" s="61" t="str">
        <f t="shared" si="9"/>
        <v/>
      </c>
      <c r="P816" s="56" t="str">
        <f t="shared" si="10"/>
        <v/>
      </c>
      <c r="Q816" s="62"/>
      <c r="R816" s="10" t="str">
        <f>IFERROR(__xludf.DUMMYFUNCTION("IF(COUNTA(Q816:Q1350)=0,"""",IF(ISBLANK(Q816),FALSE,IF(NOT(COUNTIF($AA$24:$AA$34,SUBSTITUTE(Q816,""Sell_"",""""))),1,IF(REGEXMATCH(Q816,""Sell_""),IF(COUNTIF(Q$4:Q816,SUBSTITUTE(Q816,""Sell_"",""""))-COUNTIF(Q$4:Q815,Q816)&lt;1,1),FALSE))))"),"")</f>
        <v/>
      </c>
      <c r="S816" s="59" t="str">
        <f t="array" ref="S816">IF(COUNTA(Q816:Q1350)=0,"",SUM((COUNTIF(Q$4:Q816,Upgrades!$B$3:$B$13)-COUNTIF(Q$4:Q816,"Sell_"&amp;Upgrades!$B$3:$B$13))*Upgrades!$D$3:$D$13))</f>
        <v/>
      </c>
      <c r="T816" s="66" t="str">
        <f>IFERROR(__xludf.DUMMYFUNCTION("IF(COUNTA(Q816:Q1350)=0,"""",IF(REGEXMATCH(INDEX(FILTER(Q$4:Q816,Q$4:Q816&lt;&gt;""""),ROWS(FILTER(Q$4:Q816,Q$4:Q816&lt;&gt;""""))),""^Sell_""),INDEX(FILTER(T$4:T815,Q$4:Q815&lt;&gt;""""),ROWS(FILTER(Q$4:Q815,Q$4:Q815&lt;&gt;""""))),$AD$5+S816))"),"")</f>
        <v/>
      </c>
      <c r="U816" s="10" t="str">
        <f>IFERROR(__xludf.DUMMYFUNCTION("IF(COUNTA(Q816:Q1350)=0,"""",IF(Q816="""",0,IF(REGEXMATCH(Q816,""^Sell_""),-ROUNDDOWN(ROUNDUP(INDEX(Upgrades!$C$3:$C$13,MATCH(SUBSTITUTE(Q816,""Sell_"",""""),Upgrades!$B$3:$B$13,0))*1.15^(COUNTIF(Q$4:Q815,SUBSTITUTE(Q816,""Sell_"",""""))-COUNTIF(Q$4:Q815,"&amp;"""Sell_""&amp;SUBSTITUTE(Q816,""Sell_"",""""))))/2),ROUNDUP(INDEX(Upgrades!$C$3:$C$13,MATCH(Q816,Upgrades!$B$3:$B$13,0))*1.15^(COUNTIF(Q$4:Q815,Q816)-COUNTIF(Q$4:Q815,""Sell_""&amp;Q816))))))"),"")</f>
        <v/>
      </c>
      <c r="V816" s="10" t="str">
        <f t="shared" si="11"/>
        <v/>
      </c>
      <c r="W816" s="68" t="str">
        <f t="shared" si="12"/>
        <v/>
      </c>
      <c r="X816" s="59" t="str">
        <f t="shared" si="13"/>
        <v/>
      </c>
      <c r="Y816" s="69" t="str">
        <f t="shared" si="14"/>
        <v/>
      </c>
      <c r="Z816" s="11"/>
    </row>
    <row r="817">
      <c r="A817" s="8"/>
      <c r="B817" s="56" t="str">
        <f t="shared" si="2"/>
        <v/>
      </c>
      <c r="C817" s="57"/>
      <c r="D817" s="10" t="str">
        <f>IFERROR(__xludf.DUMMYFUNCTION("IF(COUNTA(C817:C1350)=0,"""",IF(ISBLANK(C817),FALSE,IF(NOT(COUNTIF($AA$24:$AA$34,SUBSTITUTE(C817,""Sell_"",""""))),1,IF(REGEXMATCH(C817,""Sell_""),IF(COUNTIF(C$4:C817,SUBSTITUTE(C817,""Sell_"",""""))-COUNTIF(C$4:C816,C817)&lt;1,1),FALSE))))"),"")</f>
        <v/>
      </c>
      <c r="E817" s="59" t="str">
        <f t="array" ref="E817">IF(COUNTA(C817:C1350)=0,"",SUM((COUNTIF(C$4:C817,Upgrades!$B$3:$B$13)-COUNTIF(C$4:C817,"Sell_"&amp;Upgrades!$B$3:$B$13))*Upgrades!$D$3:$D$13))</f>
        <v/>
      </c>
      <c r="F817" s="66" t="str">
        <f>IFERROR(__xludf.DUMMYFUNCTION("IF(COUNTA(C817:C1350)=0,"""",IF(REGEXMATCH(INDEX(FILTER(C$4:C817,C$4:C817&lt;&gt;""""),ROWS(FILTER(C$4:C817,C$4:C817&lt;&gt;""""))),""^Sell_""),INDEX(FILTER(F$4:F816,C$4:C816&lt;&gt;""""),ROWS(FILTER(C$4:C816,C$4:C816&lt;&gt;""""))),$AC$5+E817))"),"")</f>
        <v/>
      </c>
      <c r="G817" s="10" t="str">
        <f>IFERROR(__xludf.DUMMYFUNCTION("IF(COUNTA(C817:C1350)=0,"""",IF(C817="""",0,IF(REGEXMATCH(C817,""^Sell_""),-ROUNDDOWN(ROUNDUP(INDEX(Upgrades!$C$3:$C$13,MATCH(SUBSTITUTE(C817,""Sell_"",""""),Upgrades!$B$3:$B$13,0))*1.15^(COUNTIF(C$4:C816,SUBSTITUTE(C817,""Sell_"",""""))-COUNTIF(C$4:C816,"&amp;"""Sell_""&amp;SUBSTITUTE(C817,""Sell_"",""""))))/2),ROUNDUP(INDEX(Upgrades!$C$3:$C$13,MATCH(C817,Upgrades!$B$3:$B$13,0))*1.15^(COUNTIF(C$4:C816,C817)-COUNTIF(C$4:C816,""Sell_""&amp;C817))))))"),"")</f>
        <v/>
      </c>
      <c r="H817" s="10" t="str">
        <f t="shared" si="3"/>
        <v/>
      </c>
      <c r="I817" s="68" t="str">
        <f t="shared" si="4"/>
        <v/>
      </c>
      <c r="J817" s="59" t="str">
        <f t="shared" si="5"/>
        <v/>
      </c>
      <c r="K817" s="69" t="str">
        <f t="shared" si="6"/>
        <v/>
      </c>
      <c r="L817" s="60" t="str">
        <f t="shared" si="7"/>
        <v/>
      </c>
      <c r="M817" s="61" t="str">
        <f>IFERROR(__xludf.DUMMYFUNCTION("IFS(AND(COUNTA(C817:C1350)=0,COUNTA(Q817:Q1350)=0),"""",OR(AND(K817&gt;=1000000000,OR(Y817&gt;=1000000000,COUNTA(Q817:Q1350)=0)),OR(Y817&gt;=1000000000,AND(COUNTA(C817:C1350)=0,P$3=TRUE))),
ROUNDDOWN((AB$1-AC$1)*MAX(INDEX(T$4:T1350,MATCH(LARGE(FILTER(Y$4:Y1350,Y$4"&amp;":Y1350&lt;1000000000),1),Y$4:Y1350)),INDEX(F$4:F1350,MATCH(LARGE(FILTER(K$4:K1350,K$4:K1350&lt;1000000000),1),K$4:K1350)))),AND(K817&lt;1000000000,COUNTA(C817:C1350)&gt;0,P$3=FALSE),
ROUNDDOWN(INDEX(Y$4:Y1350,MATCH(LARGE(FILTER(W$4:W1350,W$4:W1350&lt;=I817),1),W$4:W1350"&amp;"))+(I817-LARGE(FILTER(W$4:W1350,W$4:W1350&lt;=I817),1))*INDEX(T$4:T1350,MATCH(LARGE(FILTER(W$4:W1350,W$4:W1350&lt;=I817),1),W$4:W1350))-K817),1,
ROUNDDOWN(Y817-INDEX(K$4:K1350,MATCH(LARGE(FILTER(I$4:I1350,I$4:I1350&lt;=W817),1),I$4:I1350))-(W817-LARGE(FILTER(I$4:I"&amp;"1350,I$4:I1350&lt;=W817),1))*INDEX(F$4:F1350,MATCH(LARGE(FILTER(I$4:I1350,I$4:I1350&lt;=W817),1),I$4:I1350))))"),"")</f>
        <v/>
      </c>
      <c r="N817" s="60" t="str">
        <f t="shared" si="8"/>
        <v/>
      </c>
      <c r="O817" s="61" t="str">
        <f t="shared" si="9"/>
        <v/>
      </c>
      <c r="P817" s="56" t="str">
        <f t="shared" si="10"/>
        <v/>
      </c>
      <c r="Q817" s="62"/>
      <c r="R817" s="10" t="str">
        <f>IFERROR(__xludf.DUMMYFUNCTION("IF(COUNTA(Q817:Q1350)=0,"""",IF(ISBLANK(Q817),FALSE,IF(NOT(COUNTIF($AA$24:$AA$34,SUBSTITUTE(Q817,""Sell_"",""""))),1,IF(REGEXMATCH(Q817,""Sell_""),IF(COUNTIF(Q$4:Q817,SUBSTITUTE(Q817,""Sell_"",""""))-COUNTIF(Q$4:Q816,Q817)&lt;1,1),FALSE))))"),"")</f>
        <v/>
      </c>
      <c r="S817" s="59" t="str">
        <f t="array" ref="S817">IF(COUNTA(Q817:Q1350)=0,"",SUM((COUNTIF(Q$4:Q817,Upgrades!$B$3:$B$13)-COUNTIF(Q$4:Q817,"Sell_"&amp;Upgrades!$B$3:$B$13))*Upgrades!$D$3:$D$13))</f>
        <v/>
      </c>
      <c r="T817" s="66" t="str">
        <f>IFERROR(__xludf.DUMMYFUNCTION("IF(COUNTA(Q817:Q1350)=0,"""",IF(REGEXMATCH(INDEX(FILTER(Q$4:Q817,Q$4:Q817&lt;&gt;""""),ROWS(FILTER(Q$4:Q817,Q$4:Q817&lt;&gt;""""))),""^Sell_""),INDEX(FILTER(T$4:T816,Q$4:Q816&lt;&gt;""""),ROWS(FILTER(Q$4:Q816,Q$4:Q816&lt;&gt;""""))),$AD$5+S817))"),"")</f>
        <v/>
      </c>
      <c r="U817" s="10" t="str">
        <f>IFERROR(__xludf.DUMMYFUNCTION("IF(COUNTA(Q817:Q1350)=0,"""",IF(Q817="""",0,IF(REGEXMATCH(Q817,""^Sell_""),-ROUNDDOWN(ROUNDUP(INDEX(Upgrades!$C$3:$C$13,MATCH(SUBSTITUTE(Q817,""Sell_"",""""),Upgrades!$B$3:$B$13,0))*1.15^(COUNTIF(Q$4:Q816,SUBSTITUTE(Q817,""Sell_"",""""))-COUNTIF(Q$4:Q816,"&amp;"""Sell_""&amp;SUBSTITUTE(Q817,""Sell_"",""""))))/2),ROUNDUP(INDEX(Upgrades!$C$3:$C$13,MATCH(Q817,Upgrades!$B$3:$B$13,0))*1.15^(COUNTIF(Q$4:Q816,Q817)-COUNTIF(Q$4:Q816,""Sell_""&amp;Q817))))))"),"")</f>
        <v/>
      </c>
      <c r="V817" s="10" t="str">
        <f t="shared" si="11"/>
        <v/>
      </c>
      <c r="W817" s="68" t="str">
        <f t="shared" si="12"/>
        <v/>
      </c>
      <c r="X817" s="59" t="str">
        <f t="shared" si="13"/>
        <v/>
      </c>
      <c r="Y817" s="69" t="str">
        <f t="shared" si="14"/>
        <v/>
      </c>
      <c r="Z817" s="11"/>
    </row>
    <row r="818">
      <c r="A818" s="8"/>
      <c r="B818" s="56" t="str">
        <f t="shared" si="2"/>
        <v/>
      </c>
      <c r="C818" s="57"/>
      <c r="D818" s="10" t="str">
        <f>IFERROR(__xludf.DUMMYFUNCTION("IF(COUNTA(C818:C1350)=0,"""",IF(ISBLANK(C818),FALSE,IF(NOT(COUNTIF($AA$24:$AA$34,SUBSTITUTE(C818,""Sell_"",""""))),1,IF(REGEXMATCH(C818,""Sell_""),IF(COUNTIF(C$4:C818,SUBSTITUTE(C818,""Sell_"",""""))-COUNTIF(C$4:C817,C818)&lt;1,1),FALSE))))"),"")</f>
        <v/>
      </c>
      <c r="E818" s="59" t="str">
        <f t="array" ref="E818">IF(COUNTA(C818:C1350)=0,"",SUM((COUNTIF(C$4:C818,Upgrades!$B$3:$B$13)-COUNTIF(C$4:C818,"Sell_"&amp;Upgrades!$B$3:$B$13))*Upgrades!$D$3:$D$13))</f>
        <v/>
      </c>
      <c r="F818" s="66" t="str">
        <f>IFERROR(__xludf.DUMMYFUNCTION("IF(COUNTA(C818:C1350)=0,"""",IF(REGEXMATCH(INDEX(FILTER(C$4:C818,C$4:C818&lt;&gt;""""),ROWS(FILTER(C$4:C818,C$4:C818&lt;&gt;""""))),""^Sell_""),INDEX(FILTER(F$4:F817,C$4:C817&lt;&gt;""""),ROWS(FILTER(C$4:C817,C$4:C817&lt;&gt;""""))),$AC$5+E818))"),"")</f>
        <v/>
      </c>
      <c r="G818" s="10" t="str">
        <f>IFERROR(__xludf.DUMMYFUNCTION("IF(COUNTA(C818:C1350)=0,"""",IF(C818="""",0,IF(REGEXMATCH(C818,""^Sell_""),-ROUNDDOWN(ROUNDUP(INDEX(Upgrades!$C$3:$C$13,MATCH(SUBSTITUTE(C818,""Sell_"",""""),Upgrades!$B$3:$B$13,0))*1.15^(COUNTIF(C$4:C817,SUBSTITUTE(C818,""Sell_"",""""))-COUNTIF(C$4:C817,"&amp;"""Sell_""&amp;SUBSTITUTE(C818,""Sell_"",""""))))/2),ROUNDUP(INDEX(Upgrades!$C$3:$C$13,MATCH(C818,Upgrades!$B$3:$B$13,0))*1.15^(COUNTIF(C$4:C817,C818)-COUNTIF(C$4:C817,""Sell_""&amp;C818))))))"),"")</f>
        <v/>
      </c>
      <c r="H818" s="10" t="str">
        <f t="shared" si="3"/>
        <v/>
      </c>
      <c r="I818" s="68" t="str">
        <f t="shared" si="4"/>
        <v/>
      </c>
      <c r="J818" s="59" t="str">
        <f t="shared" si="5"/>
        <v/>
      </c>
      <c r="K818" s="69" t="str">
        <f t="shared" si="6"/>
        <v/>
      </c>
      <c r="L818" s="60" t="str">
        <f t="shared" si="7"/>
        <v/>
      </c>
      <c r="M818" s="61" t="str">
        <f>IFERROR(__xludf.DUMMYFUNCTION("IFS(AND(COUNTA(C818:C1350)=0,COUNTA(Q818:Q1350)=0),"""",OR(AND(K818&gt;=1000000000,OR(Y818&gt;=1000000000,COUNTA(Q818:Q1350)=0)),OR(Y818&gt;=1000000000,AND(COUNTA(C818:C1350)=0,P$3=TRUE))),
ROUNDDOWN((AB$1-AC$1)*MAX(INDEX(T$4:T1350,MATCH(LARGE(FILTER(Y$4:Y1350,Y$4"&amp;":Y1350&lt;1000000000),1),Y$4:Y1350)),INDEX(F$4:F1350,MATCH(LARGE(FILTER(K$4:K1350,K$4:K1350&lt;1000000000),1),K$4:K1350)))),AND(K818&lt;1000000000,COUNTA(C818:C1350)&gt;0,P$3=FALSE),
ROUNDDOWN(INDEX(Y$4:Y1350,MATCH(LARGE(FILTER(W$4:W1350,W$4:W1350&lt;=I818),1),W$4:W1350"&amp;"))+(I818-LARGE(FILTER(W$4:W1350,W$4:W1350&lt;=I818),1))*INDEX(T$4:T1350,MATCH(LARGE(FILTER(W$4:W1350,W$4:W1350&lt;=I818),1),W$4:W1350))-K818),1,
ROUNDDOWN(Y818-INDEX(K$4:K1350,MATCH(LARGE(FILTER(I$4:I1350,I$4:I1350&lt;=W818),1),I$4:I1350))-(W818-LARGE(FILTER(I$4:I"&amp;"1350,I$4:I1350&lt;=W818),1))*INDEX(F$4:F1350,MATCH(LARGE(FILTER(I$4:I1350,I$4:I1350&lt;=W818),1),I$4:I1350))))"),"")</f>
        <v/>
      </c>
      <c r="N818" s="60" t="str">
        <f t="shared" si="8"/>
        <v/>
      </c>
      <c r="O818" s="61" t="str">
        <f t="shared" si="9"/>
        <v/>
      </c>
      <c r="P818" s="56" t="str">
        <f t="shared" si="10"/>
        <v/>
      </c>
      <c r="Q818" s="62"/>
      <c r="R818" s="10" t="str">
        <f>IFERROR(__xludf.DUMMYFUNCTION("IF(COUNTA(Q818:Q1350)=0,"""",IF(ISBLANK(Q818),FALSE,IF(NOT(COUNTIF($AA$24:$AA$34,SUBSTITUTE(Q818,""Sell_"",""""))),1,IF(REGEXMATCH(Q818,""Sell_""),IF(COUNTIF(Q$4:Q818,SUBSTITUTE(Q818,""Sell_"",""""))-COUNTIF(Q$4:Q817,Q818)&lt;1,1),FALSE))))"),"")</f>
        <v/>
      </c>
      <c r="S818" s="59" t="str">
        <f t="array" ref="S818">IF(COUNTA(Q818:Q1350)=0,"",SUM((COUNTIF(Q$4:Q818,Upgrades!$B$3:$B$13)-COUNTIF(Q$4:Q818,"Sell_"&amp;Upgrades!$B$3:$B$13))*Upgrades!$D$3:$D$13))</f>
        <v/>
      </c>
      <c r="T818" s="66" t="str">
        <f>IFERROR(__xludf.DUMMYFUNCTION("IF(COUNTA(Q818:Q1350)=0,"""",IF(REGEXMATCH(INDEX(FILTER(Q$4:Q818,Q$4:Q818&lt;&gt;""""),ROWS(FILTER(Q$4:Q818,Q$4:Q818&lt;&gt;""""))),""^Sell_""),INDEX(FILTER(T$4:T817,Q$4:Q817&lt;&gt;""""),ROWS(FILTER(Q$4:Q817,Q$4:Q817&lt;&gt;""""))),$AD$5+S818))"),"")</f>
        <v/>
      </c>
      <c r="U818" s="10" t="str">
        <f>IFERROR(__xludf.DUMMYFUNCTION("IF(COUNTA(Q818:Q1350)=0,"""",IF(Q818="""",0,IF(REGEXMATCH(Q818,""^Sell_""),-ROUNDDOWN(ROUNDUP(INDEX(Upgrades!$C$3:$C$13,MATCH(SUBSTITUTE(Q818,""Sell_"",""""),Upgrades!$B$3:$B$13,0))*1.15^(COUNTIF(Q$4:Q817,SUBSTITUTE(Q818,""Sell_"",""""))-COUNTIF(Q$4:Q817,"&amp;"""Sell_""&amp;SUBSTITUTE(Q818,""Sell_"",""""))))/2),ROUNDUP(INDEX(Upgrades!$C$3:$C$13,MATCH(Q818,Upgrades!$B$3:$B$13,0))*1.15^(COUNTIF(Q$4:Q817,Q818)-COUNTIF(Q$4:Q817,""Sell_""&amp;Q818))))))"),"")</f>
        <v/>
      </c>
      <c r="V818" s="10" t="str">
        <f t="shared" si="11"/>
        <v/>
      </c>
      <c r="W818" s="68" t="str">
        <f t="shared" si="12"/>
        <v/>
      </c>
      <c r="X818" s="59" t="str">
        <f t="shared" si="13"/>
        <v/>
      </c>
      <c r="Y818" s="69" t="str">
        <f t="shared" si="14"/>
        <v/>
      </c>
      <c r="Z818" s="11"/>
    </row>
    <row r="819">
      <c r="A819" s="8"/>
      <c r="B819" s="56" t="str">
        <f t="shared" si="2"/>
        <v/>
      </c>
      <c r="C819" s="57"/>
      <c r="D819" s="10" t="str">
        <f>IFERROR(__xludf.DUMMYFUNCTION("IF(COUNTA(C819:C1350)=0,"""",IF(ISBLANK(C819),FALSE,IF(NOT(COUNTIF($AA$24:$AA$34,SUBSTITUTE(C819,""Sell_"",""""))),1,IF(REGEXMATCH(C819,""Sell_""),IF(COUNTIF(C$4:C819,SUBSTITUTE(C819,""Sell_"",""""))-COUNTIF(C$4:C818,C819)&lt;1,1),FALSE))))"),"")</f>
        <v/>
      </c>
      <c r="E819" s="59" t="str">
        <f t="array" ref="E819">IF(COUNTA(C819:C1350)=0,"",SUM((COUNTIF(C$4:C819,Upgrades!$B$3:$B$13)-COUNTIF(C$4:C819,"Sell_"&amp;Upgrades!$B$3:$B$13))*Upgrades!$D$3:$D$13))</f>
        <v/>
      </c>
      <c r="F819" s="66" t="str">
        <f>IFERROR(__xludf.DUMMYFUNCTION("IF(COUNTA(C819:C1350)=0,"""",IF(REGEXMATCH(INDEX(FILTER(C$4:C819,C$4:C819&lt;&gt;""""),ROWS(FILTER(C$4:C819,C$4:C819&lt;&gt;""""))),""^Sell_""),INDEX(FILTER(F$4:F818,C$4:C818&lt;&gt;""""),ROWS(FILTER(C$4:C818,C$4:C818&lt;&gt;""""))),$AC$5+E819))"),"")</f>
        <v/>
      </c>
      <c r="G819" s="10" t="str">
        <f>IFERROR(__xludf.DUMMYFUNCTION("IF(COUNTA(C819:C1350)=0,"""",IF(C819="""",0,IF(REGEXMATCH(C819,""^Sell_""),-ROUNDDOWN(ROUNDUP(INDEX(Upgrades!$C$3:$C$13,MATCH(SUBSTITUTE(C819,""Sell_"",""""),Upgrades!$B$3:$B$13,0))*1.15^(COUNTIF(C$4:C818,SUBSTITUTE(C819,""Sell_"",""""))-COUNTIF(C$4:C818,"&amp;"""Sell_""&amp;SUBSTITUTE(C819,""Sell_"",""""))))/2),ROUNDUP(INDEX(Upgrades!$C$3:$C$13,MATCH(C819,Upgrades!$B$3:$B$13,0))*1.15^(COUNTIF(C$4:C818,C819)-COUNTIF(C$4:C818,""Sell_""&amp;C819))))))"),"")</f>
        <v/>
      </c>
      <c r="H819" s="10" t="str">
        <f t="shared" si="3"/>
        <v/>
      </c>
      <c r="I819" s="68" t="str">
        <f t="shared" si="4"/>
        <v/>
      </c>
      <c r="J819" s="59" t="str">
        <f t="shared" si="5"/>
        <v/>
      </c>
      <c r="K819" s="69" t="str">
        <f t="shared" si="6"/>
        <v/>
      </c>
      <c r="L819" s="60" t="str">
        <f t="shared" si="7"/>
        <v/>
      </c>
      <c r="M819" s="61" t="str">
        <f>IFERROR(__xludf.DUMMYFUNCTION("IFS(AND(COUNTA(C819:C1350)=0,COUNTA(Q819:Q1350)=0),"""",OR(AND(K819&gt;=1000000000,OR(Y819&gt;=1000000000,COUNTA(Q819:Q1350)=0)),OR(Y819&gt;=1000000000,AND(COUNTA(C819:C1350)=0,P$3=TRUE))),
ROUNDDOWN((AB$1-AC$1)*MAX(INDEX(T$4:T1350,MATCH(LARGE(FILTER(Y$4:Y1350,Y$4"&amp;":Y1350&lt;1000000000),1),Y$4:Y1350)),INDEX(F$4:F1350,MATCH(LARGE(FILTER(K$4:K1350,K$4:K1350&lt;1000000000),1),K$4:K1350)))),AND(K819&lt;1000000000,COUNTA(C819:C1350)&gt;0,P$3=FALSE),
ROUNDDOWN(INDEX(Y$4:Y1350,MATCH(LARGE(FILTER(W$4:W1350,W$4:W1350&lt;=I819),1),W$4:W1350"&amp;"))+(I819-LARGE(FILTER(W$4:W1350,W$4:W1350&lt;=I819),1))*INDEX(T$4:T1350,MATCH(LARGE(FILTER(W$4:W1350,W$4:W1350&lt;=I819),1),W$4:W1350))-K819),1,
ROUNDDOWN(Y819-INDEX(K$4:K1350,MATCH(LARGE(FILTER(I$4:I1350,I$4:I1350&lt;=W819),1),I$4:I1350))-(W819-LARGE(FILTER(I$4:I"&amp;"1350,I$4:I1350&lt;=W819),1))*INDEX(F$4:F1350,MATCH(LARGE(FILTER(I$4:I1350,I$4:I1350&lt;=W819),1),I$4:I1350))))"),"")</f>
        <v/>
      </c>
      <c r="N819" s="60" t="str">
        <f t="shared" si="8"/>
        <v/>
      </c>
      <c r="O819" s="61" t="str">
        <f t="shared" si="9"/>
        <v/>
      </c>
      <c r="P819" s="56" t="str">
        <f t="shared" si="10"/>
        <v/>
      </c>
      <c r="Q819" s="62"/>
      <c r="R819" s="10" t="str">
        <f>IFERROR(__xludf.DUMMYFUNCTION("IF(COUNTA(Q819:Q1350)=0,"""",IF(ISBLANK(Q819),FALSE,IF(NOT(COUNTIF($AA$24:$AA$34,SUBSTITUTE(Q819,""Sell_"",""""))),1,IF(REGEXMATCH(Q819,""Sell_""),IF(COUNTIF(Q$4:Q819,SUBSTITUTE(Q819,""Sell_"",""""))-COUNTIF(Q$4:Q818,Q819)&lt;1,1),FALSE))))"),"")</f>
        <v/>
      </c>
      <c r="S819" s="59" t="str">
        <f t="array" ref="S819">IF(COUNTA(Q819:Q1350)=0,"",SUM((COUNTIF(Q$4:Q819,Upgrades!$B$3:$B$13)-COUNTIF(Q$4:Q819,"Sell_"&amp;Upgrades!$B$3:$B$13))*Upgrades!$D$3:$D$13))</f>
        <v/>
      </c>
      <c r="T819" s="66" t="str">
        <f>IFERROR(__xludf.DUMMYFUNCTION("IF(COUNTA(Q819:Q1350)=0,"""",IF(REGEXMATCH(INDEX(FILTER(Q$4:Q819,Q$4:Q819&lt;&gt;""""),ROWS(FILTER(Q$4:Q819,Q$4:Q819&lt;&gt;""""))),""^Sell_""),INDEX(FILTER(T$4:T818,Q$4:Q818&lt;&gt;""""),ROWS(FILTER(Q$4:Q818,Q$4:Q818&lt;&gt;""""))),$AD$5+S819))"),"")</f>
        <v/>
      </c>
      <c r="U819" s="10" t="str">
        <f>IFERROR(__xludf.DUMMYFUNCTION("IF(COUNTA(Q819:Q1350)=0,"""",IF(Q819="""",0,IF(REGEXMATCH(Q819,""^Sell_""),-ROUNDDOWN(ROUNDUP(INDEX(Upgrades!$C$3:$C$13,MATCH(SUBSTITUTE(Q819,""Sell_"",""""),Upgrades!$B$3:$B$13,0))*1.15^(COUNTIF(Q$4:Q818,SUBSTITUTE(Q819,""Sell_"",""""))-COUNTIF(Q$4:Q818,"&amp;"""Sell_""&amp;SUBSTITUTE(Q819,""Sell_"",""""))))/2),ROUNDUP(INDEX(Upgrades!$C$3:$C$13,MATCH(Q819,Upgrades!$B$3:$B$13,0))*1.15^(COUNTIF(Q$4:Q818,Q819)-COUNTIF(Q$4:Q818,""Sell_""&amp;Q819))))))"),"")</f>
        <v/>
      </c>
      <c r="V819" s="10" t="str">
        <f t="shared" si="11"/>
        <v/>
      </c>
      <c r="W819" s="68" t="str">
        <f t="shared" si="12"/>
        <v/>
      </c>
      <c r="X819" s="59" t="str">
        <f t="shared" si="13"/>
        <v/>
      </c>
      <c r="Y819" s="69" t="str">
        <f t="shared" si="14"/>
        <v/>
      </c>
      <c r="Z819" s="11"/>
    </row>
    <row r="820">
      <c r="A820" s="8"/>
      <c r="B820" s="56" t="str">
        <f t="shared" si="2"/>
        <v/>
      </c>
      <c r="C820" s="57"/>
      <c r="D820" s="10" t="str">
        <f>IFERROR(__xludf.DUMMYFUNCTION("IF(COUNTA(C820:C1350)=0,"""",IF(ISBLANK(C820),FALSE,IF(NOT(COUNTIF($AA$24:$AA$34,SUBSTITUTE(C820,""Sell_"",""""))),1,IF(REGEXMATCH(C820,""Sell_""),IF(COUNTIF(C$4:C820,SUBSTITUTE(C820,""Sell_"",""""))-COUNTIF(C$4:C819,C820)&lt;1,1),FALSE))))"),"")</f>
        <v/>
      </c>
      <c r="E820" s="59" t="str">
        <f t="array" ref="E820">IF(COUNTA(C820:C1350)=0,"",SUM((COUNTIF(C$4:C820,Upgrades!$B$3:$B$13)-COUNTIF(C$4:C820,"Sell_"&amp;Upgrades!$B$3:$B$13))*Upgrades!$D$3:$D$13))</f>
        <v/>
      </c>
      <c r="F820" s="66" t="str">
        <f>IFERROR(__xludf.DUMMYFUNCTION("IF(COUNTA(C820:C1350)=0,"""",IF(REGEXMATCH(INDEX(FILTER(C$4:C820,C$4:C820&lt;&gt;""""),ROWS(FILTER(C$4:C820,C$4:C820&lt;&gt;""""))),""^Sell_""),INDEX(FILTER(F$4:F819,C$4:C819&lt;&gt;""""),ROWS(FILTER(C$4:C819,C$4:C819&lt;&gt;""""))),$AC$5+E820))"),"")</f>
        <v/>
      </c>
      <c r="G820" s="10" t="str">
        <f>IFERROR(__xludf.DUMMYFUNCTION("IF(COUNTA(C820:C1350)=0,"""",IF(C820="""",0,IF(REGEXMATCH(C820,""^Sell_""),-ROUNDDOWN(ROUNDUP(INDEX(Upgrades!$C$3:$C$13,MATCH(SUBSTITUTE(C820,""Sell_"",""""),Upgrades!$B$3:$B$13,0))*1.15^(COUNTIF(C$4:C819,SUBSTITUTE(C820,""Sell_"",""""))-COUNTIF(C$4:C819,"&amp;"""Sell_""&amp;SUBSTITUTE(C820,""Sell_"",""""))))/2),ROUNDUP(INDEX(Upgrades!$C$3:$C$13,MATCH(C820,Upgrades!$B$3:$B$13,0))*1.15^(COUNTIF(C$4:C819,C820)-COUNTIF(C$4:C819,""Sell_""&amp;C820))))))"),"")</f>
        <v/>
      </c>
      <c r="H820" s="10" t="str">
        <f t="shared" si="3"/>
        <v/>
      </c>
      <c r="I820" s="68" t="str">
        <f t="shared" si="4"/>
        <v/>
      </c>
      <c r="J820" s="59" t="str">
        <f t="shared" si="5"/>
        <v/>
      </c>
      <c r="K820" s="69" t="str">
        <f t="shared" si="6"/>
        <v/>
      </c>
      <c r="L820" s="60" t="str">
        <f t="shared" si="7"/>
        <v/>
      </c>
      <c r="M820" s="61" t="str">
        <f>IFERROR(__xludf.DUMMYFUNCTION("IFS(AND(COUNTA(C820:C1350)=0,COUNTA(Q820:Q1350)=0),"""",OR(AND(K820&gt;=1000000000,OR(Y820&gt;=1000000000,COUNTA(Q820:Q1350)=0)),OR(Y820&gt;=1000000000,AND(COUNTA(C820:C1350)=0,P$3=TRUE))),
ROUNDDOWN((AB$1-AC$1)*MAX(INDEX(T$4:T1350,MATCH(LARGE(FILTER(Y$4:Y1350,Y$4"&amp;":Y1350&lt;1000000000),1),Y$4:Y1350)),INDEX(F$4:F1350,MATCH(LARGE(FILTER(K$4:K1350,K$4:K1350&lt;1000000000),1),K$4:K1350)))),AND(K820&lt;1000000000,COUNTA(C820:C1350)&gt;0,P$3=FALSE),
ROUNDDOWN(INDEX(Y$4:Y1350,MATCH(LARGE(FILTER(W$4:W1350,W$4:W1350&lt;=I820),1),W$4:W1350"&amp;"))+(I820-LARGE(FILTER(W$4:W1350,W$4:W1350&lt;=I820),1))*INDEX(T$4:T1350,MATCH(LARGE(FILTER(W$4:W1350,W$4:W1350&lt;=I820),1),W$4:W1350))-K820),1,
ROUNDDOWN(Y820-INDEX(K$4:K1350,MATCH(LARGE(FILTER(I$4:I1350,I$4:I1350&lt;=W820),1),I$4:I1350))-(W820-LARGE(FILTER(I$4:I"&amp;"1350,I$4:I1350&lt;=W820),1))*INDEX(F$4:F1350,MATCH(LARGE(FILTER(I$4:I1350,I$4:I1350&lt;=W820),1),I$4:I1350))))"),"")</f>
        <v/>
      </c>
      <c r="N820" s="60" t="str">
        <f t="shared" si="8"/>
        <v/>
      </c>
      <c r="O820" s="61" t="str">
        <f t="shared" si="9"/>
        <v/>
      </c>
      <c r="P820" s="56" t="str">
        <f t="shared" si="10"/>
        <v/>
      </c>
      <c r="Q820" s="62"/>
      <c r="R820" s="10" t="str">
        <f>IFERROR(__xludf.DUMMYFUNCTION("IF(COUNTA(Q820:Q1350)=0,"""",IF(ISBLANK(Q820),FALSE,IF(NOT(COUNTIF($AA$24:$AA$34,SUBSTITUTE(Q820,""Sell_"",""""))),1,IF(REGEXMATCH(Q820,""Sell_""),IF(COUNTIF(Q$4:Q820,SUBSTITUTE(Q820,""Sell_"",""""))-COUNTIF(Q$4:Q819,Q820)&lt;1,1),FALSE))))"),"")</f>
        <v/>
      </c>
      <c r="S820" s="59" t="str">
        <f t="array" ref="S820">IF(COUNTA(Q820:Q1350)=0,"",SUM((COUNTIF(Q$4:Q820,Upgrades!$B$3:$B$13)-COUNTIF(Q$4:Q820,"Sell_"&amp;Upgrades!$B$3:$B$13))*Upgrades!$D$3:$D$13))</f>
        <v/>
      </c>
      <c r="T820" s="66" t="str">
        <f>IFERROR(__xludf.DUMMYFUNCTION("IF(COUNTA(Q820:Q1350)=0,"""",IF(REGEXMATCH(INDEX(FILTER(Q$4:Q820,Q$4:Q820&lt;&gt;""""),ROWS(FILTER(Q$4:Q820,Q$4:Q820&lt;&gt;""""))),""^Sell_""),INDEX(FILTER(T$4:T819,Q$4:Q819&lt;&gt;""""),ROWS(FILTER(Q$4:Q819,Q$4:Q819&lt;&gt;""""))),$AD$5+S820))"),"")</f>
        <v/>
      </c>
      <c r="U820" s="10" t="str">
        <f>IFERROR(__xludf.DUMMYFUNCTION("IF(COUNTA(Q820:Q1350)=0,"""",IF(Q820="""",0,IF(REGEXMATCH(Q820,""^Sell_""),-ROUNDDOWN(ROUNDUP(INDEX(Upgrades!$C$3:$C$13,MATCH(SUBSTITUTE(Q820,""Sell_"",""""),Upgrades!$B$3:$B$13,0))*1.15^(COUNTIF(Q$4:Q819,SUBSTITUTE(Q820,""Sell_"",""""))-COUNTIF(Q$4:Q819,"&amp;"""Sell_""&amp;SUBSTITUTE(Q820,""Sell_"",""""))))/2),ROUNDUP(INDEX(Upgrades!$C$3:$C$13,MATCH(Q820,Upgrades!$B$3:$B$13,0))*1.15^(COUNTIF(Q$4:Q819,Q820)-COUNTIF(Q$4:Q819,""Sell_""&amp;Q820))))))"),"")</f>
        <v/>
      </c>
      <c r="V820" s="10" t="str">
        <f t="shared" si="11"/>
        <v/>
      </c>
      <c r="W820" s="68" t="str">
        <f t="shared" si="12"/>
        <v/>
      </c>
      <c r="X820" s="59" t="str">
        <f t="shared" si="13"/>
        <v/>
      </c>
      <c r="Y820" s="69" t="str">
        <f t="shared" si="14"/>
        <v/>
      </c>
      <c r="Z820" s="11"/>
    </row>
    <row r="821">
      <c r="A821" s="8"/>
      <c r="B821" s="56" t="str">
        <f t="shared" si="2"/>
        <v/>
      </c>
      <c r="C821" s="57"/>
      <c r="D821" s="10" t="str">
        <f>IFERROR(__xludf.DUMMYFUNCTION("IF(COUNTA(C821:C1350)=0,"""",IF(ISBLANK(C821),FALSE,IF(NOT(COUNTIF($AA$24:$AA$34,SUBSTITUTE(C821,""Sell_"",""""))),1,IF(REGEXMATCH(C821,""Sell_""),IF(COUNTIF(C$4:C821,SUBSTITUTE(C821,""Sell_"",""""))-COUNTIF(C$4:C820,C821)&lt;1,1),FALSE))))"),"")</f>
        <v/>
      </c>
      <c r="E821" s="59" t="str">
        <f t="array" ref="E821">IF(COUNTA(C821:C1350)=0,"",SUM((COUNTIF(C$4:C821,Upgrades!$B$3:$B$13)-COUNTIF(C$4:C821,"Sell_"&amp;Upgrades!$B$3:$B$13))*Upgrades!$D$3:$D$13))</f>
        <v/>
      </c>
      <c r="F821" s="66" t="str">
        <f>IFERROR(__xludf.DUMMYFUNCTION("IF(COUNTA(C821:C1350)=0,"""",IF(REGEXMATCH(INDEX(FILTER(C$4:C821,C$4:C821&lt;&gt;""""),ROWS(FILTER(C$4:C821,C$4:C821&lt;&gt;""""))),""^Sell_""),INDEX(FILTER(F$4:F820,C$4:C820&lt;&gt;""""),ROWS(FILTER(C$4:C820,C$4:C820&lt;&gt;""""))),$AC$5+E821))"),"")</f>
        <v/>
      </c>
      <c r="G821" s="10" t="str">
        <f>IFERROR(__xludf.DUMMYFUNCTION("IF(COUNTA(C821:C1350)=0,"""",IF(C821="""",0,IF(REGEXMATCH(C821,""^Sell_""),-ROUNDDOWN(ROUNDUP(INDEX(Upgrades!$C$3:$C$13,MATCH(SUBSTITUTE(C821,""Sell_"",""""),Upgrades!$B$3:$B$13,0))*1.15^(COUNTIF(C$4:C820,SUBSTITUTE(C821,""Sell_"",""""))-COUNTIF(C$4:C820,"&amp;"""Sell_""&amp;SUBSTITUTE(C821,""Sell_"",""""))))/2),ROUNDUP(INDEX(Upgrades!$C$3:$C$13,MATCH(C821,Upgrades!$B$3:$B$13,0))*1.15^(COUNTIF(C$4:C820,C821)-COUNTIF(C$4:C820,""Sell_""&amp;C821))))))"),"")</f>
        <v/>
      </c>
      <c r="H821" s="10" t="str">
        <f t="shared" si="3"/>
        <v/>
      </c>
      <c r="I821" s="68" t="str">
        <f t="shared" si="4"/>
        <v/>
      </c>
      <c r="J821" s="59" t="str">
        <f t="shared" si="5"/>
        <v/>
      </c>
      <c r="K821" s="69" t="str">
        <f t="shared" si="6"/>
        <v/>
      </c>
      <c r="L821" s="60" t="str">
        <f t="shared" si="7"/>
        <v/>
      </c>
      <c r="M821" s="61" t="str">
        <f>IFERROR(__xludf.DUMMYFUNCTION("IFS(AND(COUNTA(C821:C1350)=0,COUNTA(Q821:Q1350)=0),"""",OR(AND(K821&gt;=1000000000,OR(Y821&gt;=1000000000,COUNTA(Q821:Q1350)=0)),OR(Y821&gt;=1000000000,AND(COUNTA(C821:C1350)=0,P$3=TRUE))),
ROUNDDOWN((AB$1-AC$1)*MAX(INDEX(T$4:T1350,MATCH(LARGE(FILTER(Y$4:Y1350,Y$4"&amp;":Y1350&lt;1000000000),1),Y$4:Y1350)),INDEX(F$4:F1350,MATCH(LARGE(FILTER(K$4:K1350,K$4:K1350&lt;1000000000),1),K$4:K1350)))),AND(K821&lt;1000000000,COUNTA(C821:C1350)&gt;0,P$3=FALSE),
ROUNDDOWN(INDEX(Y$4:Y1350,MATCH(LARGE(FILTER(W$4:W1350,W$4:W1350&lt;=I821),1),W$4:W1350"&amp;"))+(I821-LARGE(FILTER(W$4:W1350,W$4:W1350&lt;=I821),1))*INDEX(T$4:T1350,MATCH(LARGE(FILTER(W$4:W1350,W$4:W1350&lt;=I821),1),W$4:W1350))-K821),1,
ROUNDDOWN(Y821-INDEX(K$4:K1350,MATCH(LARGE(FILTER(I$4:I1350,I$4:I1350&lt;=W821),1),I$4:I1350))-(W821-LARGE(FILTER(I$4:I"&amp;"1350,I$4:I1350&lt;=W821),1))*INDEX(F$4:F1350,MATCH(LARGE(FILTER(I$4:I1350,I$4:I1350&lt;=W821),1),I$4:I1350))))"),"")</f>
        <v/>
      </c>
      <c r="N821" s="60" t="str">
        <f t="shared" si="8"/>
        <v/>
      </c>
      <c r="O821" s="61" t="str">
        <f t="shared" si="9"/>
        <v/>
      </c>
      <c r="P821" s="56" t="str">
        <f t="shared" si="10"/>
        <v/>
      </c>
      <c r="Q821" s="62"/>
      <c r="R821" s="10" t="str">
        <f>IFERROR(__xludf.DUMMYFUNCTION("IF(COUNTA(Q821:Q1350)=0,"""",IF(ISBLANK(Q821),FALSE,IF(NOT(COUNTIF($AA$24:$AA$34,SUBSTITUTE(Q821,""Sell_"",""""))),1,IF(REGEXMATCH(Q821,""Sell_""),IF(COUNTIF(Q$4:Q821,SUBSTITUTE(Q821,""Sell_"",""""))-COUNTIF(Q$4:Q820,Q821)&lt;1,1),FALSE))))"),"")</f>
        <v/>
      </c>
      <c r="S821" s="59" t="str">
        <f t="array" ref="S821">IF(COUNTA(Q821:Q1350)=0,"",SUM((COUNTIF(Q$4:Q821,Upgrades!$B$3:$B$13)-COUNTIF(Q$4:Q821,"Sell_"&amp;Upgrades!$B$3:$B$13))*Upgrades!$D$3:$D$13))</f>
        <v/>
      </c>
      <c r="T821" s="66" t="str">
        <f>IFERROR(__xludf.DUMMYFUNCTION("IF(COUNTA(Q821:Q1350)=0,"""",IF(REGEXMATCH(INDEX(FILTER(Q$4:Q821,Q$4:Q821&lt;&gt;""""),ROWS(FILTER(Q$4:Q821,Q$4:Q821&lt;&gt;""""))),""^Sell_""),INDEX(FILTER(T$4:T820,Q$4:Q820&lt;&gt;""""),ROWS(FILTER(Q$4:Q820,Q$4:Q820&lt;&gt;""""))),$AD$5+S821))"),"")</f>
        <v/>
      </c>
      <c r="U821" s="10" t="str">
        <f>IFERROR(__xludf.DUMMYFUNCTION("IF(COUNTA(Q821:Q1350)=0,"""",IF(Q821="""",0,IF(REGEXMATCH(Q821,""^Sell_""),-ROUNDDOWN(ROUNDUP(INDEX(Upgrades!$C$3:$C$13,MATCH(SUBSTITUTE(Q821,""Sell_"",""""),Upgrades!$B$3:$B$13,0))*1.15^(COUNTIF(Q$4:Q820,SUBSTITUTE(Q821,""Sell_"",""""))-COUNTIF(Q$4:Q820,"&amp;"""Sell_""&amp;SUBSTITUTE(Q821,""Sell_"",""""))))/2),ROUNDUP(INDEX(Upgrades!$C$3:$C$13,MATCH(Q821,Upgrades!$B$3:$B$13,0))*1.15^(COUNTIF(Q$4:Q820,Q821)-COUNTIF(Q$4:Q820,""Sell_""&amp;Q821))))))"),"")</f>
        <v/>
      </c>
      <c r="V821" s="10" t="str">
        <f t="shared" si="11"/>
        <v/>
      </c>
      <c r="W821" s="68" t="str">
        <f t="shared" si="12"/>
        <v/>
      </c>
      <c r="X821" s="59" t="str">
        <f t="shared" si="13"/>
        <v/>
      </c>
      <c r="Y821" s="69" t="str">
        <f t="shared" si="14"/>
        <v/>
      </c>
      <c r="Z821" s="11"/>
    </row>
    <row r="822">
      <c r="A822" s="8"/>
      <c r="B822" s="56" t="str">
        <f t="shared" si="2"/>
        <v/>
      </c>
      <c r="C822" s="57"/>
      <c r="D822" s="10" t="str">
        <f>IFERROR(__xludf.DUMMYFUNCTION("IF(COUNTA(C822:C1350)=0,"""",IF(ISBLANK(C822),FALSE,IF(NOT(COUNTIF($AA$24:$AA$34,SUBSTITUTE(C822,""Sell_"",""""))),1,IF(REGEXMATCH(C822,""Sell_""),IF(COUNTIF(C$4:C822,SUBSTITUTE(C822,""Sell_"",""""))-COUNTIF(C$4:C821,C822)&lt;1,1),FALSE))))"),"")</f>
        <v/>
      </c>
      <c r="E822" s="59" t="str">
        <f t="array" ref="E822">IF(COUNTA(C822:C1350)=0,"",SUM((COUNTIF(C$4:C822,Upgrades!$B$3:$B$13)-COUNTIF(C$4:C822,"Sell_"&amp;Upgrades!$B$3:$B$13))*Upgrades!$D$3:$D$13))</f>
        <v/>
      </c>
      <c r="F822" s="66" t="str">
        <f>IFERROR(__xludf.DUMMYFUNCTION("IF(COUNTA(C822:C1350)=0,"""",IF(REGEXMATCH(INDEX(FILTER(C$4:C822,C$4:C822&lt;&gt;""""),ROWS(FILTER(C$4:C822,C$4:C822&lt;&gt;""""))),""^Sell_""),INDEX(FILTER(F$4:F821,C$4:C821&lt;&gt;""""),ROWS(FILTER(C$4:C821,C$4:C821&lt;&gt;""""))),$AC$5+E822))"),"")</f>
        <v/>
      </c>
      <c r="G822" s="10" t="str">
        <f>IFERROR(__xludf.DUMMYFUNCTION("IF(COUNTA(C822:C1350)=0,"""",IF(C822="""",0,IF(REGEXMATCH(C822,""^Sell_""),-ROUNDDOWN(ROUNDUP(INDEX(Upgrades!$C$3:$C$13,MATCH(SUBSTITUTE(C822,""Sell_"",""""),Upgrades!$B$3:$B$13,0))*1.15^(COUNTIF(C$4:C821,SUBSTITUTE(C822,""Sell_"",""""))-COUNTIF(C$4:C821,"&amp;"""Sell_""&amp;SUBSTITUTE(C822,""Sell_"",""""))))/2),ROUNDUP(INDEX(Upgrades!$C$3:$C$13,MATCH(C822,Upgrades!$B$3:$B$13,0))*1.15^(COUNTIF(C$4:C821,C822)-COUNTIF(C$4:C821,""Sell_""&amp;C822))))))"),"")</f>
        <v/>
      </c>
      <c r="H822" s="10" t="str">
        <f t="shared" si="3"/>
        <v/>
      </c>
      <c r="I822" s="68" t="str">
        <f t="shared" si="4"/>
        <v/>
      </c>
      <c r="J822" s="59" t="str">
        <f t="shared" si="5"/>
        <v/>
      </c>
      <c r="K822" s="69" t="str">
        <f t="shared" si="6"/>
        <v/>
      </c>
      <c r="L822" s="60" t="str">
        <f t="shared" si="7"/>
        <v/>
      </c>
      <c r="M822" s="61" t="str">
        <f>IFERROR(__xludf.DUMMYFUNCTION("IFS(AND(COUNTA(C822:C1350)=0,COUNTA(Q822:Q1350)=0),"""",OR(AND(K822&gt;=1000000000,OR(Y822&gt;=1000000000,COUNTA(Q822:Q1350)=0)),OR(Y822&gt;=1000000000,AND(COUNTA(C822:C1350)=0,P$3=TRUE))),
ROUNDDOWN((AB$1-AC$1)*MAX(INDEX(T$4:T1350,MATCH(LARGE(FILTER(Y$4:Y1350,Y$4"&amp;":Y1350&lt;1000000000),1),Y$4:Y1350)),INDEX(F$4:F1350,MATCH(LARGE(FILTER(K$4:K1350,K$4:K1350&lt;1000000000),1),K$4:K1350)))),AND(K822&lt;1000000000,COUNTA(C822:C1350)&gt;0,P$3=FALSE),
ROUNDDOWN(INDEX(Y$4:Y1350,MATCH(LARGE(FILTER(W$4:W1350,W$4:W1350&lt;=I822),1),W$4:W1350"&amp;"))+(I822-LARGE(FILTER(W$4:W1350,W$4:W1350&lt;=I822),1))*INDEX(T$4:T1350,MATCH(LARGE(FILTER(W$4:W1350,W$4:W1350&lt;=I822),1),W$4:W1350))-K822),1,
ROUNDDOWN(Y822-INDEX(K$4:K1350,MATCH(LARGE(FILTER(I$4:I1350,I$4:I1350&lt;=W822),1),I$4:I1350))-(W822-LARGE(FILTER(I$4:I"&amp;"1350,I$4:I1350&lt;=W822),1))*INDEX(F$4:F1350,MATCH(LARGE(FILTER(I$4:I1350,I$4:I1350&lt;=W822),1),I$4:I1350))))"),"")</f>
        <v/>
      </c>
      <c r="N822" s="60" t="str">
        <f t="shared" si="8"/>
        <v/>
      </c>
      <c r="O822" s="61" t="str">
        <f t="shared" si="9"/>
        <v/>
      </c>
      <c r="P822" s="56" t="str">
        <f t="shared" si="10"/>
        <v/>
      </c>
      <c r="Q822" s="62"/>
      <c r="R822" s="10" t="str">
        <f>IFERROR(__xludf.DUMMYFUNCTION("IF(COUNTA(Q822:Q1350)=0,"""",IF(ISBLANK(Q822),FALSE,IF(NOT(COUNTIF($AA$24:$AA$34,SUBSTITUTE(Q822,""Sell_"",""""))),1,IF(REGEXMATCH(Q822,""Sell_""),IF(COUNTIF(Q$4:Q822,SUBSTITUTE(Q822,""Sell_"",""""))-COUNTIF(Q$4:Q821,Q822)&lt;1,1),FALSE))))"),"")</f>
        <v/>
      </c>
      <c r="S822" s="59" t="str">
        <f t="array" ref="S822">IF(COUNTA(Q822:Q1350)=0,"",SUM((COUNTIF(Q$4:Q822,Upgrades!$B$3:$B$13)-COUNTIF(Q$4:Q822,"Sell_"&amp;Upgrades!$B$3:$B$13))*Upgrades!$D$3:$D$13))</f>
        <v/>
      </c>
      <c r="T822" s="66" t="str">
        <f>IFERROR(__xludf.DUMMYFUNCTION("IF(COUNTA(Q822:Q1350)=0,"""",IF(REGEXMATCH(INDEX(FILTER(Q$4:Q822,Q$4:Q822&lt;&gt;""""),ROWS(FILTER(Q$4:Q822,Q$4:Q822&lt;&gt;""""))),""^Sell_""),INDEX(FILTER(T$4:T821,Q$4:Q821&lt;&gt;""""),ROWS(FILTER(Q$4:Q821,Q$4:Q821&lt;&gt;""""))),$AD$5+S822))"),"")</f>
        <v/>
      </c>
      <c r="U822" s="10" t="str">
        <f>IFERROR(__xludf.DUMMYFUNCTION("IF(COUNTA(Q822:Q1350)=0,"""",IF(Q822="""",0,IF(REGEXMATCH(Q822,""^Sell_""),-ROUNDDOWN(ROUNDUP(INDEX(Upgrades!$C$3:$C$13,MATCH(SUBSTITUTE(Q822,""Sell_"",""""),Upgrades!$B$3:$B$13,0))*1.15^(COUNTIF(Q$4:Q821,SUBSTITUTE(Q822,""Sell_"",""""))-COUNTIF(Q$4:Q821,"&amp;"""Sell_""&amp;SUBSTITUTE(Q822,""Sell_"",""""))))/2),ROUNDUP(INDEX(Upgrades!$C$3:$C$13,MATCH(Q822,Upgrades!$B$3:$B$13,0))*1.15^(COUNTIF(Q$4:Q821,Q822)-COUNTIF(Q$4:Q821,""Sell_""&amp;Q822))))))"),"")</f>
        <v/>
      </c>
      <c r="V822" s="10" t="str">
        <f t="shared" si="11"/>
        <v/>
      </c>
      <c r="W822" s="68" t="str">
        <f t="shared" si="12"/>
        <v/>
      </c>
      <c r="X822" s="59" t="str">
        <f t="shared" si="13"/>
        <v/>
      </c>
      <c r="Y822" s="69" t="str">
        <f t="shared" si="14"/>
        <v/>
      </c>
      <c r="Z822" s="11"/>
    </row>
    <row r="823">
      <c r="A823" s="8"/>
      <c r="B823" s="56" t="str">
        <f t="shared" si="2"/>
        <v/>
      </c>
      <c r="C823" s="57"/>
      <c r="D823" s="10" t="str">
        <f>IFERROR(__xludf.DUMMYFUNCTION("IF(COUNTA(C823:C1350)=0,"""",IF(ISBLANK(C823),FALSE,IF(NOT(COUNTIF($AA$24:$AA$34,SUBSTITUTE(C823,""Sell_"",""""))),1,IF(REGEXMATCH(C823,""Sell_""),IF(COUNTIF(C$4:C823,SUBSTITUTE(C823,""Sell_"",""""))-COUNTIF(C$4:C822,C823)&lt;1,1),FALSE))))"),"")</f>
        <v/>
      </c>
      <c r="E823" s="59" t="str">
        <f t="array" ref="E823">IF(COUNTA(C823:C1350)=0,"",SUM((COUNTIF(C$4:C823,Upgrades!$B$3:$B$13)-COUNTIF(C$4:C823,"Sell_"&amp;Upgrades!$B$3:$B$13))*Upgrades!$D$3:$D$13))</f>
        <v/>
      </c>
      <c r="F823" s="66" t="str">
        <f>IFERROR(__xludf.DUMMYFUNCTION("IF(COUNTA(C823:C1350)=0,"""",IF(REGEXMATCH(INDEX(FILTER(C$4:C823,C$4:C823&lt;&gt;""""),ROWS(FILTER(C$4:C823,C$4:C823&lt;&gt;""""))),""^Sell_""),INDEX(FILTER(F$4:F822,C$4:C822&lt;&gt;""""),ROWS(FILTER(C$4:C822,C$4:C822&lt;&gt;""""))),$AC$5+E823))"),"")</f>
        <v/>
      </c>
      <c r="G823" s="10" t="str">
        <f>IFERROR(__xludf.DUMMYFUNCTION("IF(COUNTA(C823:C1350)=0,"""",IF(C823="""",0,IF(REGEXMATCH(C823,""^Sell_""),-ROUNDDOWN(ROUNDUP(INDEX(Upgrades!$C$3:$C$13,MATCH(SUBSTITUTE(C823,""Sell_"",""""),Upgrades!$B$3:$B$13,0))*1.15^(COUNTIF(C$4:C822,SUBSTITUTE(C823,""Sell_"",""""))-COUNTIF(C$4:C822,"&amp;"""Sell_""&amp;SUBSTITUTE(C823,""Sell_"",""""))))/2),ROUNDUP(INDEX(Upgrades!$C$3:$C$13,MATCH(C823,Upgrades!$B$3:$B$13,0))*1.15^(COUNTIF(C$4:C822,C823)-COUNTIF(C$4:C822,""Sell_""&amp;C823))))))"),"")</f>
        <v/>
      </c>
      <c r="H823" s="10" t="str">
        <f t="shared" si="3"/>
        <v/>
      </c>
      <c r="I823" s="68" t="str">
        <f t="shared" si="4"/>
        <v/>
      </c>
      <c r="J823" s="59" t="str">
        <f t="shared" si="5"/>
        <v/>
      </c>
      <c r="K823" s="69" t="str">
        <f t="shared" si="6"/>
        <v/>
      </c>
      <c r="L823" s="60" t="str">
        <f t="shared" si="7"/>
        <v/>
      </c>
      <c r="M823" s="61" t="str">
        <f>IFERROR(__xludf.DUMMYFUNCTION("IFS(AND(COUNTA(C823:C1350)=0,COUNTA(Q823:Q1350)=0),"""",OR(AND(K823&gt;=1000000000,OR(Y823&gt;=1000000000,COUNTA(Q823:Q1350)=0)),OR(Y823&gt;=1000000000,AND(COUNTA(C823:C1350)=0,P$3=TRUE))),
ROUNDDOWN((AB$1-AC$1)*MAX(INDEX(T$4:T1350,MATCH(LARGE(FILTER(Y$4:Y1350,Y$4"&amp;":Y1350&lt;1000000000),1),Y$4:Y1350)),INDEX(F$4:F1350,MATCH(LARGE(FILTER(K$4:K1350,K$4:K1350&lt;1000000000),1),K$4:K1350)))),AND(K823&lt;1000000000,COUNTA(C823:C1350)&gt;0,P$3=FALSE),
ROUNDDOWN(INDEX(Y$4:Y1350,MATCH(LARGE(FILTER(W$4:W1350,W$4:W1350&lt;=I823),1),W$4:W1350"&amp;"))+(I823-LARGE(FILTER(W$4:W1350,W$4:W1350&lt;=I823),1))*INDEX(T$4:T1350,MATCH(LARGE(FILTER(W$4:W1350,W$4:W1350&lt;=I823),1),W$4:W1350))-K823),1,
ROUNDDOWN(Y823-INDEX(K$4:K1350,MATCH(LARGE(FILTER(I$4:I1350,I$4:I1350&lt;=W823),1),I$4:I1350))-(W823-LARGE(FILTER(I$4:I"&amp;"1350,I$4:I1350&lt;=W823),1))*INDEX(F$4:F1350,MATCH(LARGE(FILTER(I$4:I1350,I$4:I1350&lt;=W823),1),I$4:I1350))))"),"")</f>
        <v/>
      </c>
      <c r="N823" s="60" t="str">
        <f t="shared" si="8"/>
        <v/>
      </c>
      <c r="O823" s="61" t="str">
        <f t="shared" si="9"/>
        <v/>
      </c>
      <c r="P823" s="56" t="str">
        <f t="shared" si="10"/>
        <v/>
      </c>
      <c r="Q823" s="62"/>
      <c r="R823" s="10" t="str">
        <f>IFERROR(__xludf.DUMMYFUNCTION("IF(COUNTA(Q823:Q1350)=0,"""",IF(ISBLANK(Q823),FALSE,IF(NOT(COUNTIF($AA$24:$AA$34,SUBSTITUTE(Q823,""Sell_"",""""))),1,IF(REGEXMATCH(Q823,""Sell_""),IF(COUNTIF(Q$4:Q823,SUBSTITUTE(Q823,""Sell_"",""""))-COUNTIF(Q$4:Q822,Q823)&lt;1,1),FALSE))))"),"")</f>
        <v/>
      </c>
      <c r="S823" s="59" t="str">
        <f t="array" ref="S823">IF(COUNTA(Q823:Q1350)=0,"",SUM((COUNTIF(Q$4:Q823,Upgrades!$B$3:$B$13)-COUNTIF(Q$4:Q823,"Sell_"&amp;Upgrades!$B$3:$B$13))*Upgrades!$D$3:$D$13))</f>
        <v/>
      </c>
      <c r="T823" s="66" t="str">
        <f>IFERROR(__xludf.DUMMYFUNCTION("IF(COUNTA(Q823:Q1350)=0,"""",IF(REGEXMATCH(INDEX(FILTER(Q$4:Q823,Q$4:Q823&lt;&gt;""""),ROWS(FILTER(Q$4:Q823,Q$4:Q823&lt;&gt;""""))),""^Sell_""),INDEX(FILTER(T$4:T822,Q$4:Q822&lt;&gt;""""),ROWS(FILTER(Q$4:Q822,Q$4:Q822&lt;&gt;""""))),$AD$5+S823))"),"")</f>
        <v/>
      </c>
      <c r="U823" s="10" t="str">
        <f>IFERROR(__xludf.DUMMYFUNCTION("IF(COUNTA(Q823:Q1350)=0,"""",IF(Q823="""",0,IF(REGEXMATCH(Q823,""^Sell_""),-ROUNDDOWN(ROUNDUP(INDEX(Upgrades!$C$3:$C$13,MATCH(SUBSTITUTE(Q823,""Sell_"",""""),Upgrades!$B$3:$B$13,0))*1.15^(COUNTIF(Q$4:Q822,SUBSTITUTE(Q823,""Sell_"",""""))-COUNTIF(Q$4:Q822,"&amp;"""Sell_""&amp;SUBSTITUTE(Q823,""Sell_"",""""))))/2),ROUNDUP(INDEX(Upgrades!$C$3:$C$13,MATCH(Q823,Upgrades!$B$3:$B$13,0))*1.15^(COUNTIF(Q$4:Q822,Q823)-COUNTIF(Q$4:Q822,""Sell_""&amp;Q823))))))"),"")</f>
        <v/>
      </c>
      <c r="V823" s="10" t="str">
        <f t="shared" si="11"/>
        <v/>
      </c>
      <c r="W823" s="68" t="str">
        <f t="shared" si="12"/>
        <v/>
      </c>
      <c r="X823" s="59" t="str">
        <f t="shared" si="13"/>
        <v/>
      </c>
      <c r="Y823" s="69" t="str">
        <f t="shared" si="14"/>
        <v/>
      </c>
      <c r="Z823" s="11"/>
    </row>
    <row r="824">
      <c r="A824" s="8"/>
      <c r="B824" s="56" t="str">
        <f t="shared" si="2"/>
        <v/>
      </c>
      <c r="C824" s="57"/>
      <c r="D824" s="10" t="str">
        <f>IFERROR(__xludf.DUMMYFUNCTION("IF(COUNTA(C824:C1350)=0,"""",IF(ISBLANK(C824),FALSE,IF(NOT(COUNTIF($AA$24:$AA$34,SUBSTITUTE(C824,""Sell_"",""""))),1,IF(REGEXMATCH(C824,""Sell_""),IF(COUNTIF(C$4:C824,SUBSTITUTE(C824,""Sell_"",""""))-COUNTIF(C$4:C823,C824)&lt;1,1),FALSE))))"),"")</f>
        <v/>
      </c>
      <c r="E824" s="59" t="str">
        <f t="array" ref="E824">IF(COUNTA(C824:C1350)=0,"",SUM((COUNTIF(C$4:C824,Upgrades!$B$3:$B$13)-COUNTIF(C$4:C824,"Sell_"&amp;Upgrades!$B$3:$B$13))*Upgrades!$D$3:$D$13))</f>
        <v/>
      </c>
      <c r="F824" s="66" t="str">
        <f>IFERROR(__xludf.DUMMYFUNCTION("IF(COUNTA(C824:C1350)=0,"""",IF(REGEXMATCH(INDEX(FILTER(C$4:C824,C$4:C824&lt;&gt;""""),ROWS(FILTER(C$4:C824,C$4:C824&lt;&gt;""""))),""^Sell_""),INDEX(FILTER(F$4:F823,C$4:C823&lt;&gt;""""),ROWS(FILTER(C$4:C823,C$4:C823&lt;&gt;""""))),$AC$5+E824))"),"")</f>
        <v/>
      </c>
      <c r="G824" s="10" t="str">
        <f>IFERROR(__xludf.DUMMYFUNCTION("IF(COUNTA(C824:C1350)=0,"""",IF(C824="""",0,IF(REGEXMATCH(C824,""^Sell_""),-ROUNDDOWN(ROUNDUP(INDEX(Upgrades!$C$3:$C$13,MATCH(SUBSTITUTE(C824,""Sell_"",""""),Upgrades!$B$3:$B$13,0))*1.15^(COUNTIF(C$4:C823,SUBSTITUTE(C824,""Sell_"",""""))-COUNTIF(C$4:C823,"&amp;"""Sell_""&amp;SUBSTITUTE(C824,""Sell_"",""""))))/2),ROUNDUP(INDEX(Upgrades!$C$3:$C$13,MATCH(C824,Upgrades!$B$3:$B$13,0))*1.15^(COUNTIF(C$4:C823,C824)-COUNTIF(C$4:C823,""Sell_""&amp;C824))))))"),"")</f>
        <v/>
      </c>
      <c r="H824" s="10" t="str">
        <f t="shared" si="3"/>
        <v/>
      </c>
      <c r="I824" s="68" t="str">
        <f t="shared" si="4"/>
        <v/>
      </c>
      <c r="J824" s="59" t="str">
        <f t="shared" si="5"/>
        <v/>
      </c>
      <c r="K824" s="69" t="str">
        <f t="shared" si="6"/>
        <v/>
      </c>
      <c r="L824" s="60" t="str">
        <f t="shared" si="7"/>
        <v/>
      </c>
      <c r="M824" s="61" t="str">
        <f>IFERROR(__xludf.DUMMYFUNCTION("IFS(AND(COUNTA(C824:C1350)=0,COUNTA(Q824:Q1350)=0),"""",OR(AND(K824&gt;=1000000000,OR(Y824&gt;=1000000000,COUNTA(Q824:Q1350)=0)),OR(Y824&gt;=1000000000,AND(COUNTA(C824:C1350)=0,P$3=TRUE))),
ROUNDDOWN((AB$1-AC$1)*MAX(INDEX(T$4:T1350,MATCH(LARGE(FILTER(Y$4:Y1350,Y$4"&amp;":Y1350&lt;1000000000),1),Y$4:Y1350)),INDEX(F$4:F1350,MATCH(LARGE(FILTER(K$4:K1350,K$4:K1350&lt;1000000000),1),K$4:K1350)))),AND(K824&lt;1000000000,COUNTA(C824:C1350)&gt;0,P$3=FALSE),
ROUNDDOWN(INDEX(Y$4:Y1350,MATCH(LARGE(FILTER(W$4:W1350,W$4:W1350&lt;=I824),1),W$4:W1350"&amp;"))+(I824-LARGE(FILTER(W$4:W1350,W$4:W1350&lt;=I824),1))*INDEX(T$4:T1350,MATCH(LARGE(FILTER(W$4:W1350,W$4:W1350&lt;=I824),1),W$4:W1350))-K824),1,
ROUNDDOWN(Y824-INDEX(K$4:K1350,MATCH(LARGE(FILTER(I$4:I1350,I$4:I1350&lt;=W824),1),I$4:I1350))-(W824-LARGE(FILTER(I$4:I"&amp;"1350,I$4:I1350&lt;=W824),1))*INDEX(F$4:F1350,MATCH(LARGE(FILTER(I$4:I1350,I$4:I1350&lt;=W824),1),I$4:I1350))))"),"")</f>
        <v/>
      </c>
      <c r="N824" s="60" t="str">
        <f t="shared" si="8"/>
        <v/>
      </c>
      <c r="O824" s="61" t="str">
        <f t="shared" si="9"/>
        <v/>
      </c>
      <c r="P824" s="56" t="str">
        <f t="shared" si="10"/>
        <v/>
      </c>
      <c r="Q824" s="62"/>
      <c r="R824" s="10" t="str">
        <f>IFERROR(__xludf.DUMMYFUNCTION("IF(COUNTA(Q824:Q1350)=0,"""",IF(ISBLANK(Q824),FALSE,IF(NOT(COUNTIF($AA$24:$AA$34,SUBSTITUTE(Q824,""Sell_"",""""))),1,IF(REGEXMATCH(Q824,""Sell_""),IF(COUNTIF(Q$4:Q824,SUBSTITUTE(Q824,""Sell_"",""""))-COUNTIF(Q$4:Q823,Q824)&lt;1,1),FALSE))))"),"")</f>
        <v/>
      </c>
      <c r="S824" s="59" t="str">
        <f t="array" ref="S824">IF(COUNTA(Q824:Q1350)=0,"",SUM((COUNTIF(Q$4:Q824,Upgrades!$B$3:$B$13)-COUNTIF(Q$4:Q824,"Sell_"&amp;Upgrades!$B$3:$B$13))*Upgrades!$D$3:$D$13))</f>
        <v/>
      </c>
      <c r="T824" s="66" t="str">
        <f>IFERROR(__xludf.DUMMYFUNCTION("IF(COUNTA(Q824:Q1350)=0,"""",IF(REGEXMATCH(INDEX(FILTER(Q$4:Q824,Q$4:Q824&lt;&gt;""""),ROWS(FILTER(Q$4:Q824,Q$4:Q824&lt;&gt;""""))),""^Sell_""),INDEX(FILTER(T$4:T823,Q$4:Q823&lt;&gt;""""),ROWS(FILTER(Q$4:Q823,Q$4:Q823&lt;&gt;""""))),$AD$5+S824))"),"")</f>
        <v/>
      </c>
      <c r="U824" s="10" t="str">
        <f>IFERROR(__xludf.DUMMYFUNCTION("IF(COUNTA(Q824:Q1350)=0,"""",IF(Q824="""",0,IF(REGEXMATCH(Q824,""^Sell_""),-ROUNDDOWN(ROUNDUP(INDEX(Upgrades!$C$3:$C$13,MATCH(SUBSTITUTE(Q824,""Sell_"",""""),Upgrades!$B$3:$B$13,0))*1.15^(COUNTIF(Q$4:Q823,SUBSTITUTE(Q824,""Sell_"",""""))-COUNTIF(Q$4:Q823,"&amp;"""Sell_""&amp;SUBSTITUTE(Q824,""Sell_"",""""))))/2),ROUNDUP(INDEX(Upgrades!$C$3:$C$13,MATCH(Q824,Upgrades!$B$3:$B$13,0))*1.15^(COUNTIF(Q$4:Q823,Q824)-COUNTIF(Q$4:Q823,""Sell_""&amp;Q824))))))"),"")</f>
        <v/>
      </c>
      <c r="V824" s="10" t="str">
        <f t="shared" si="11"/>
        <v/>
      </c>
      <c r="W824" s="68" t="str">
        <f t="shared" si="12"/>
        <v/>
      </c>
      <c r="X824" s="59" t="str">
        <f t="shared" si="13"/>
        <v/>
      </c>
      <c r="Y824" s="69" t="str">
        <f t="shared" si="14"/>
        <v/>
      </c>
      <c r="Z824" s="11"/>
    </row>
    <row r="825">
      <c r="A825" s="8"/>
      <c r="B825" s="56" t="str">
        <f t="shared" si="2"/>
        <v/>
      </c>
      <c r="C825" s="57"/>
      <c r="D825" s="10" t="str">
        <f>IFERROR(__xludf.DUMMYFUNCTION("IF(COUNTA(C825:C1350)=0,"""",IF(ISBLANK(C825),FALSE,IF(NOT(COUNTIF($AA$24:$AA$34,SUBSTITUTE(C825,""Sell_"",""""))),1,IF(REGEXMATCH(C825,""Sell_""),IF(COUNTIF(C$4:C825,SUBSTITUTE(C825,""Sell_"",""""))-COUNTIF(C$4:C824,C825)&lt;1,1),FALSE))))"),"")</f>
        <v/>
      </c>
      <c r="E825" s="59" t="str">
        <f t="array" ref="E825">IF(COUNTA(C825:C1350)=0,"",SUM((COUNTIF(C$4:C825,Upgrades!$B$3:$B$13)-COUNTIF(C$4:C825,"Sell_"&amp;Upgrades!$B$3:$B$13))*Upgrades!$D$3:$D$13))</f>
        <v/>
      </c>
      <c r="F825" s="66" t="str">
        <f>IFERROR(__xludf.DUMMYFUNCTION("IF(COUNTA(C825:C1350)=0,"""",IF(REGEXMATCH(INDEX(FILTER(C$4:C825,C$4:C825&lt;&gt;""""),ROWS(FILTER(C$4:C825,C$4:C825&lt;&gt;""""))),""^Sell_""),INDEX(FILTER(F$4:F824,C$4:C824&lt;&gt;""""),ROWS(FILTER(C$4:C824,C$4:C824&lt;&gt;""""))),$AC$5+E825))"),"")</f>
        <v/>
      </c>
      <c r="G825" s="10" t="str">
        <f>IFERROR(__xludf.DUMMYFUNCTION("IF(COUNTA(C825:C1350)=0,"""",IF(C825="""",0,IF(REGEXMATCH(C825,""^Sell_""),-ROUNDDOWN(ROUNDUP(INDEX(Upgrades!$C$3:$C$13,MATCH(SUBSTITUTE(C825,""Sell_"",""""),Upgrades!$B$3:$B$13,0))*1.15^(COUNTIF(C$4:C824,SUBSTITUTE(C825,""Sell_"",""""))-COUNTIF(C$4:C824,"&amp;"""Sell_""&amp;SUBSTITUTE(C825,""Sell_"",""""))))/2),ROUNDUP(INDEX(Upgrades!$C$3:$C$13,MATCH(C825,Upgrades!$B$3:$B$13,0))*1.15^(COUNTIF(C$4:C824,C825)-COUNTIF(C$4:C824,""Sell_""&amp;C825))))))"),"")</f>
        <v/>
      </c>
      <c r="H825" s="10" t="str">
        <f t="shared" si="3"/>
        <v/>
      </c>
      <c r="I825" s="68" t="str">
        <f t="shared" si="4"/>
        <v/>
      </c>
      <c r="J825" s="59" t="str">
        <f t="shared" si="5"/>
        <v/>
      </c>
      <c r="K825" s="69" t="str">
        <f t="shared" si="6"/>
        <v/>
      </c>
      <c r="L825" s="60" t="str">
        <f t="shared" si="7"/>
        <v/>
      </c>
      <c r="M825" s="61" t="str">
        <f>IFERROR(__xludf.DUMMYFUNCTION("IFS(AND(COUNTA(C825:C1350)=0,COUNTA(Q825:Q1350)=0),"""",OR(AND(K825&gt;=1000000000,OR(Y825&gt;=1000000000,COUNTA(Q825:Q1350)=0)),OR(Y825&gt;=1000000000,AND(COUNTA(C825:C1350)=0,P$3=TRUE))),
ROUNDDOWN((AB$1-AC$1)*MAX(INDEX(T$4:T1350,MATCH(LARGE(FILTER(Y$4:Y1350,Y$4"&amp;":Y1350&lt;1000000000),1),Y$4:Y1350)),INDEX(F$4:F1350,MATCH(LARGE(FILTER(K$4:K1350,K$4:K1350&lt;1000000000),1),K$4:K1350)))),AND(K825&lt;1000000000,COUNTA(C825:C1350)&gt;0,P$3=FALSE),
ROUNDDOWN(INDEX(Y$4:Y1350,MATCH(LARGE(FILTER(W$4:W1350,W$4:W1350&lt;=I825),1),W$4:W1350"&amp;"))+(I825-LARGE(FILTER(W$4:W1350,W$4:W1350&lt;=I825),1))*INDEX(T$4:T1350,MATCH(LARGE(FILTER(W$4:W1350,W$4:W1350&lt;=I825),1),W$4:W1350))-K825),1,
ROUNDDOWN(Y825-INDEX(K$4:K1350,MATCH(LARGE(FILTER(I$4:I1350,I$4:I1350&lt;=W825),1),I$4:I1350))-(W825-LARGE(FILTER(I$4:I"&amp;"1350,I$4:I1350&lt;=W825),1))*INDEX(F$4:F1350,MATCH(LARGE(FILTER(I$4:I1350,I$4:I1350&lt;=W825),1),I$4:I1350))))"),"")</f>
        <v/>
      </c>
      <c r="N825" s="60" t="str">
        <f t="shared" si="8"/>
        <v/>
      </c>
      <c r="O825" s="61" t="str">
        <f t="shared" si="9"/>
        <v/>
      </c>
      <c r="P825" s="56" t="str">
        <f t="shared" si="10"/>
        <v/>
      </c>
      <c r="Q825" s="62"/>
      <c r="R825" s="10" t="str">
        <f>IFERROR(__xludf.DUMMYFUNCTION("IF(COUNTA(Q825:Q1350)=0,"""",IF(ISBLANK(Q825),FALSE,IF(NOT(COUNTIF($AA$24:$AA$34,SUBSTITUTE(Q825,""Sell_"",""""))),1,IF(REGEXMATCH(Q825,""Sell_""),IF(COUNTIF(Q$4:Q825,SUBSTITUTE(Q825,""Sell_"",""""))-COUNTIF(Q$4:Q824,Q825)&lt;1,1),FALSE))))"),"")</f>
        <v/>
      </c>
      <c r="S825" s="59" t="str">
        <f t="array" ref="S825">IF(COUNTA(Q825:Q1350)=0,"",SUM((COUNTIF(Q$4:Q825,Upgrades!$B$3:$B$13)-COUNTIF(Q$4:Q825,"Sell_"&amp;Upgrades!$B$3:$B$13))*Upgrades!$D$3:$D$13))</f>
        <v/>
      </c>
      <c r="T825" s="66" t="str">
        <f>IFERROR(__xludf.DUMMYFUNCTION("IF(COUNTA(Q825:Q1350)=0,"""",IF(REGEXMATCH(INDEX(FILTER(Q$4:Q825,Q$4:Q825&lt;&gt;""""),ROWS(FILTER(Q$4:Q825,Q$4:Q825&lt;&gt;""""))),""^Sell_""),INDEX(FILTER(T$4:T824,Q$4:Q824&lt;&gt;""""),ROWS(FILTER(Q$4:Q824,Q$4:Q824&lt;&gt;""""))),$AD$5+S825))"),"")</f>
        <v/>
      </c>
      <c r="U825" s="10" t="str">
        <f>IFERROR(__xludf.DUMMYFUNCTION("IF(COUNTA(Q825:Q1350)=0,"""",IF(Q825="""",0,IF(REGEXMATCH(Q825,""^Sell_""),-ROUNDDOWN(ROUNDUP(INDEX(Upgrades!$C$3:$C$13,MATCH(SUBSTITUTE(Q825,""Sell_"",""""),Upgrades!$B$3:$B$13,0))*1.15^(COUNTIF(Q$4:Q824,SUBSTITUTE(Q825,""Sell_"",""""))-COUNTIF(Q$4:Q824,"&amp;"""Sell_""&amp;SUBSTITUTE(Q825,""Sell_"",""""))))/2),ROUNDUP(INDEX(Upgrades!$C$3:$C$13,MATCH(Q825,Upgrades!$B$3:$B$13,0))*1.15^(COUNTIF(Q$4:Q824,Q825)-COUNTIF(Q$4:Q824,""Sell_""&amp;Q825))))))"),"")</f>
        <v/>
      </c>
      <c r="V825" s="10" t="str">
        <f t="shared" si="11"/>
        <v/>
      </c>
      <c r="W825" s="68" t="str">
        <f t="shared" si="12"/>
        <v/>
      </c>
      <c r="X825" s="59" t="str">
        <f t="shared" si="13"/>
        <v/>
      </c>
      <c r="Y825" s="69" t="str">
        <f t="shared" si="14"/>
        <v/>
      </c>
      <c r="Z825" s="11"/>
    </row>
    <row r="826">
      <c r="A826" s="8"/>
      <c r="B826" s="56" t="str">
        <f t="shared" si="2"/>
        <v/>
      </c>
      <c r="C826" s="57"/>
      <c r="D826" s="10" t="str">
        <f>IFERROR(__xludf.DUMMYFUNCTION("IF(COUNTA(C826:C1350)=0,"""",IF(ISBLANK(C826),FALSE,IF(NOT(COUNTIF($AA$24:$AA$34,SUBSTITUTE(C826,""Sell_"",""""))),1,IF(REGEXMATCH(C826,""Sell_""),IF(COUNTIF(C$4:C826,SUBSTITUTE(C826,""Sell_"",""""))-COUNTIF(C$4:C825,C826)&lt;1,1),FALSE))))"),"")</f>
        <v/>
      </c>
      <c r="E826" s="59" t="str">
        <f t="array" ref="E826">IF(COUNTA(C826:C1350)=0,"",SUM((COUNTIF(C$4:C826,Upgrades!$B$3:$B$13)-COUNTIF(C$4:C826,"Sell_"&amp;Upgrades!$B$3:$B$13))*Upgrades!$D$3:$D$13))</f>
        <v/>
      </c>
      <c r="F826" s="66" t="str">
        <f>IFERROR(__xludf.DUMMYFUNCTION("IF(COUNTA(C826:C1350)=0,"""",IF(REGEXMATCH(INDEX(FILTER(C$4:C826,C$4:C826&lt;&gt;""""),ROWS(FILTER(C$4:C826,C$4:C826&lt;&gt;""""))),""^Sell_""),INDEX(FILTER(F$4:F825,C$4:C825&lt;&gt;""""),ROWS(FILTER(C$4:C825,C$4:C825&lt;&gt;""""))),$AC$5+E826))"),"")</f>
        <v/>
      </c>
      <c r="G826" s="10" t="str">
        <f>IFERROR(__xludf.DUMMYFUNCTION("IF(COUNTA(C826:C1350)=0,"""",IF(C826="""",0,IF(REGEXMATCH(C826,""^Sell_""),-ROUNDDOWN(ROUNDUP(INDEX(Upgrades!$C$3:$C$13,MATCH(SUBSTITUTE(C826,""Sell_"",""""),Upgrades!$B$3:$B$13,0))*1.15^(COUNTIF(C$4:C825,SUBSTITUTE(C826,""Sell_"",""""))-COUNTIF(C$4:C825,"&amp;"""Sell_""&amp;SUBSTITUTE(C826,""Sell_"",""""))))/2),ROUNDUP(INDEX(Upgrades!$C$3:$C$13,MATCH(C826,Upgrades!$B$3:$B$13,0))*1.15^(COUNTIF(C$4:C825,C826)-COUNTIF(C$4:C825,""Sell_""&amp;C826))))))"),"")</f>
        <v/>
      </c>
      <c r="H826" s="10" t="str">
        <f t="shared" si="3"/>
        <v/>
      </c>
      <c r="I826" s="68" t="str">
        <f t="shared" si="4"/>
        <v/>
      </c>
      <c r="J826" s="59" t="str">
        <f t="shared" si="5"/>
        <v/>
      </c>
      <c r="K826" s="69" t="str">
        <f t="shared" si="6"/>
        <v/>
      </c>
      <c r="L826" s="60" t="str">
        <f t="shared" si="7"/>
        <v/>
      </c>
      <c r="M826" s="61" t="str">
        <f>IFERROR(__xludf.DUMMYFUNCTION("IFS(AND(COUNTA(C826:C1350)=0,COUNTA(Q826:Q1350)=0),"""",OR(AND(K826&gt;=1000000000,OR(Y826&gt;=1000000000,COUNTA(Q826:Q1350)=0)),OR(Y826&gt;=1000000000,AND(COUNTA(C826:C1350)=0,P$3=TRUE))),
ROUNDDOWN((AB$1-AC$1)*MAX(INDEX(T$4:T1350,MATCH(LARGE(FILTER(Y$4:Y1350,Y$4"&amp;":Y1350&lt;1000000000),1),Y$4:Y1350)),INDEX(F$4:F1350,MATCH(LARGE(FILTER(K$4:K1350,K$4:K1350&lt;1000000000),1),K$4:K1350)))),AND(K826&lt;1000000000,COUNTA(C826:C1350)&gt;0,P$3=FALSE),
ROUNDDOWN(INDEX(Y$4:Y1350,MATCH(LARGE(FILTER(W$4:W1350,W$4:W1350&lt;=I826),1),W$4:W1350"&amp;"))+(I826-LARGE(FILTER(W$4:W1350,W$4:W1350&lt;=I826),1))*INDEX(T$4:T1350,MATCH(LARGE(FILTER(W$4:W1350,W$4:W1350&lt;=I826),1),W$4:W1350))-K826),1,
ROUNDDOWN(Y826-INDEX(K$4:K1350,MATCH(LARGE(FILTER(I$4:I1350,I$4:I1350&lt;=W826),1),I$4:I1350))-(W826-LARGE(FILTER(I$4:I"&amp;"1350,I$4:I1350&lt;=W826),1))*INDEX(F$4:F1350,MATCH(LARGE(FILTER(I$4:I1350,I$4:I1350&lt;=W826),1),I$4:I1350))))"),"")</f>
        <v/>
      </c>
      <c r="N826" s="60" t="str">
        <f t="shared" si="8"/>
        <v/>
      </c>
      <c r="O826" s="61" t="str">
        <f t="shared" si="9"/>
        <v/>
      </c>
      <c r="P826" s="56" t="str">
        <f t="shared" si="10"/>
        <v/>
      </c>
      <c r="Q826" s="62"/>
      <c r="R826" s="10" t="str">
        <f>IFERROR(__xludf.DUMMYFUNCTION("IF(COUNTA(Q826:Q1350)=0,"""",IF(ISBLANK(Q826),FALSE,IF(NOT(COUNTIF($AA$24:$AA$34,SUBSTITUTE(Q826,""Sell_"",""""))),1,IF(REGEXMATCH(Q826,""Sell_""),IF(COUNTIF(Q$4:Q826,SUBSTITUTE(Q826,""Sell_"",""""))-COUNTIF(Q$4:Q825,Q826)&lt;1,1),FALSE))))"),"")</f>
        <v/>
      </c>
      <c r="S826" s="59" t="str">
        <f t="array" ref="S826">IF(COUNTA(Q826:Q1350)=0,"",SUM((COUNTIF(Q$4:Q826,Upgrades!$B$3:$B$13)-COUNTIF(Q$4:Q826,"Sell_"&amp;Upgrades!$B$3:$B$13))*Upgrades!$D$3:$D$13))</f>
        <v/>
      </c>
      <c r="T826" s="66" t="str">
        <f>IFERROR(__xludf.DUMMYFUNCTION("IF(COUNTA(Q826:Q1350)=0,"""",IF(REGEXMATCH(INDEX(FILTER(Q$4:Q826,Q$4:Q826&lt;&gt;""""),ROWS(FILTER(Q$4:Q826,Q$4:Q826&lt;&gt;""""))),""^Sell_""),INDEX(FILTER(T$4:T825,Q$4:Q825&lt;&gt;""""),ROWS(FILTER(Q$4:Q825,Q$4:Q825&lt;&gt;""""))),$AD$5+S826))"),"")</f>
        <v/>
      </c>
      <c r="U826" s="10" t="str">
        <f>IFERROR(__xludf.DUMMYFUNCTION("IF(COUNTA(Q826:Q1350)=0,"""",IF(Q826="""",0,IF(REGEXMATCH(Q826,""^Sell_""),-ROUNDDOWN(ROUNDUP(INDEX(Upgrades!$C$3:$C$13,MATCH(SUBSTITUTE(Q826,""Sell_"",""""),Upgrades!$B$3:$B$13,0))*1.15^(COUNTIF(Q$4:Q825,SUBSTITUTE(Q826,""Sell_"",""""))-COUNTIF(Q$4:Q825,"&amp;"""Sell_""&amp;SUBSTITUTE(Q826,""Sell_"",""""))))/2),ROUNDUP(INDEX(Upgrades!$C$3:$C$13,MATCH(Q826,Upgrades!$B$3:$B$13,0))*1.15^(COUNTIF(Q$4:Q825,Q826)-COUNTIF(Q$4:Q825,""Sell_""&amp;Q826))))))"),"")</f>
        <v/>
      </c>
      <c r="V826" s="10" t="str">
        <f t="shared" si="11"/>
        <v/>
      </c>
      <c r="W826" s="68" t="str">
        <f t="shared" si="12"/>
        <v/>
      </c>
      <c r="X826" s="59" t="str">
        <f t="shared" si="13"/>
        <v/>
      </c>
      <c r="Y826" s="69" t="str">
        <f t="shared" si="14"/>
        <v/>
      </c>
      <c r="Z826" s="11"/>
    </row>
    <row r="827">
      <c r="A827" s="8"/>
      <c r="B827" s="56" t="str">
        <f t="shared" si="2"/>
        <v/>
      </c>
      <c r="C827" s="57"/>
      <c r="D827" s="10" t="str">
        <f>IFERROR(__xludf.DUMMYFUNCTION("IF(COUNTA(C827:C1350)=0,"""",IF(ISBLANK(C827),FALSE,IF(NOT(COUNTIF($AA$24:$AA$34,SUBSTITUTE(C827,""Sell_"",""""))),1,IF(REGEXMATCH(C827,""Sell_""),IF(COUNTIF(C$4:C827,SUBSTITUTE(C827,""Sell_"",""""))-COUNTIF(C$4:C826,C827)&lt;1,1),FALSE))))"),"")</f>
        <v/>
      </c>
      <c r="E827" s="59" t="str">
        <f t="array" ref="E827">IF(COUNTA(C827:C1350)=0,"",SUM((COUNTIF(C$4:C827,Upgrades!$B$3:$B$13)-COUNTIF(C$4:C827,"Sell_"&amp;Upgrades!$B$3:$B$13))*Upgrades!$D$3:$D$13))</f>
        <v/>
      </c>
      <c r="F827" s="66" t="str">
        <f>IFERROR(__xludf.DUMMYFUNCTION("IF(COUNTA(C827:C1350)=0,"""",IF(REGEXMATCH(INDEX(FILTER(C$4:C827,C$4:C827&lt;&gt;""""),ROWS(FILTER(C$4:C827,C$4:C827&lt;&gt;""""))),""^Sell_""),INDEX(FILTER(F$4:F826,C$4:C826&lt;&gt;""""),ROWS(FILTER(C$4:C826,C$4:C826&lt;&gt;""""))),$AC$5+E827))"),"")</f>
        <v/>
      </c>
      <c r="G827" s="10" t="str">
        <f>IFERROR(__xludf.DUMMYFUNCTION("IF(COUNTA(C827:C1350)=0,"""",IF(C827="""",0,IF(REGEXMATCH(C827,""^Sell_""),-ROUNDDOWN(ROUNDUP(INDEX(Upgrades!$C$3:$C$13,MATCH(SUBSTITUTE(C827,""Sell_"",""""),Upgrades!$B$3:$B$13,0))*1.15^(COUNTIF(C$4:C826,SUBSTITUTE(C827,""Sell_"",""""))-COUNTIF(C$4:C826,"&amp;"""Sell_""&amp;SUBSTITUTE(C827,""Sell_"",""""))))/2),ROUNDUP(INDEX(Upgrades!$C$3:$C$13,MATCH(C827,Upgrades!$B$3:$B$13,0))*1.15^(COUNTIF(C$4:C826,C827)-COUNTIF(C$4:C826,""Sell_""&amp;C827))))))"),"")</f>
        <v/>
      </c>
      <c r="H827" s="10" t="str">
        <f t="shared" si="3"/>
        <v/>
      </c>
      <c r="I827" s="68" t="str">
        <f t="shared" si="4"/>
        <v/>
      </c>
      <c r="J827" s="59" t="str">
        <f t="shared" si="5"/>
        <v/>
      </c>
      <c r="K827" s="69" t="str">
        <f t="shared" si="6"/>
        <v/>
      </c>
      <c r="L827" s="60" t="str">
        <f t="shared" si="7"/>
        <v/>
      </c>
      <c r="M827" s="61" t="str">
        <f>IFERROR(__xludf.DUMMYFUNCTION("IFS(AND(COUNTA(C827:C1350)=0,COUNTA(Q827:Q1350)=0),"""",OR(AND(K827&gt;=1000000000,OR(Y827&gt;=1000000000,COUNTA(Q827:Q1350)=0)),OR(Y827&gt;=1000000000,AND(COUNTA(C827:C1350)=0,P$3=TRUE))),
ROUNDDOWN((AB$1-AC$1)*MAX(INDEX(T$4:T1350,MATCH(LARGE(FILTER(Y$4:Y1350,Y$4"&amp;":Y1350&lt;1000000000),1),Y$4:Y1350)),INDEX(F$4:F1350,MATCH(LARGE(FILTER(K$4:K1350,K$4:K1350&lt;1000000000),1),K$4:K1350)))),AND(K827&lt;1000000000,COUNTA(C827:C1350)&gt;0,P$3=FALSE),
ROUNDDOWN(INDEX(Y$4:Y1350,MATCH(LARGE(FILTER(W$4:W1350,W$4:W1350&lt;=I827),1),W$4:W1350"&amp;"))+(I827-LARGE(FILTER(W$4:W1350,W$4:W1350&lt;=I827),1))*INDEX(T$4:T1350,MATCH(LARGE(FILTER(W$4:W1350,W$4:W1350&lt;=I827),1),W$4:W1350))-K827),1,
ROUNDDOWN(Y827-INDEX(K$4:K1350,MATCH(LARGE(FILTER(I$4:I1350,I$4:I1350&lt;=W827),1),I$4:I1350))-(W827-LARGE(FILTER(I$4:I"&amp;"1350,I$4:I1350&lt;=W827),1))*INDEX(F$4:F1350,MATCH(LARGE(FILTER(I$4:I1350,I$4:I1350&lt;=W827),1),I$4:I1350))))"),"")</f>
        <v/>
      </c>
      <c r="N827" s="60" t="str">
        <f t="shared" si="8"/>
        <v/>
      </c>
      <c r="O827" s="61" t="str">
        <f t="shared" si="9"/>
        <v/>
      </c>
      <c r="P827" s="56" t="str">
        <f t="shared" si="10"/>
        <v/>
      </c>
      <c r="Q827" s="62"/>
      <c r="R827" s="10" t="str">
        <f>IFERROR(__xludf.DUMMYFUNCTION("IF(COUNTA(Q827:Q1350)=0,"""",IF(ISBLANK(Q827),FALSE,IF(NOT(COUNTIF($AA$24:$AA$34,SUBSTITUTE(Q827,""Sell_"",""""))),1,IF(REGEXMATCH(Q827,""Sell_""),IF(COUNTIF(Q$4:Q827,SUBSTITUTE(Q827,""Sell_"",""""))-COUNTIF(Q$4:Q826,Q827)&lt;1,1),FALSE))))"),"")</f>
        <v/>
      </c>
      <c r="S827" s="59" t="str">
        <f t="array" ref="S827">IF(COUNTA(Q827:Q1350)=0,"",SUM((COUNTIF(Q$4:Q827,Upgrades!$B$3:$B$13)-COUNTIF(Q$4:Q827,"Sell_"&amp;Upgrades!$B$3:$B$13))*Upgrades!$D$3:$D$13))</f>
        <v/>
      </c>
      <c r="T827" s="66" t="str">
        <f>IFERROR(__xludf.DUMMYFUNCTION("IF(COUNTA(Q827:Q1350)=0,"""",IF(REGEXMATCH(INDEX(FILTER(Q$4:Q827,Q$4:Q827&lt;&gt;""""),ROWS(FILTER(Q$4:Q827,Q$4:Q827&lt;&gt;""""))),""^Sell_""),INDEX(FILTER(T$4:T826,Q$4:Q826&lt;&gt;""""),ROWS(FILTER(Q$4:Q826,Q$4:Q826&lt;&gt;""""))),$AD$5+S827))"),"")</f>
        <v/>
      </c>
      <c r="U827" s="10" t="str">
        <f>IFERROR(__xludf.DUMMYFUNCTION("IF(COUNTA(Q827:Q1350)=0,"""",IF(Q827="""",0,IF(REGEXMATCH(Q827,""^Sell_""),-ROUNDDOWN(ROUNDUP(INDEX(Upgrades!$C$3:$C$13,MATCH(SUBSTITUTE(Q827,""Sell_"",""""),Upgrades!$B$3:$B$13,0))*1.15^(COUNTIF(Q$4:Q826,SUBSTITUTE(Q827,""Sell_"",""""))-COUNTIF(Q$4:Q826,"&amp;"""Sell_""&amp;SUBSTITUTE(Q827,""Sell_"",""""))))/2),ROUNDUP(INDEX(Upgrades!$C$3:$C$13,MATCH(Q827,Upgrades!$B$3:$B$13,0))*1.15^(COUNTIF(Q$4:Q826,Q827)-COUNTIF(Q$4:Q826,""Sell_""&amp;Q827))))))"),"")</f>
        <v/>
      </c>
      <c r="V827" s="10" t="str">
        <f t="shared" si="11"/>
        <v/>
      </c>
      <c r="W827" s="68" t="str">
        <f t="shared" si="12"/>
        <v/>
      </c>
      <c r="X827" s="59" t="str">
        <f t="shared" si="13"/>
        <v/>
      </c>
      <c r="Y827" s="69" t="str">
        <f t="shared" si="14"/>
        <v/>
      </c>
      <c r="Z827" s="11"/>
    </row>
    <row r="828">
      <c r="A828" s="8"/>
      <c r="B828" s="56" t="str">
        <f t="shared" si="2"/>
        <v/>
      </c>
      <c r="C828" s="57"/>
      <c r="D828" s="10" t="str">
        <f>IFERROR(__xludf.DUMMYFUNCTION("IF(COUNTA(C828:C1350)=0,"""",IF(ISBLANK(C828),FALSE,IF(NOT(COUNTIF($AA$24:$AA$34,SUBSTITUTE(C828,""Sell_"",""""))),1,IF(REGEXMATCH(C828,""Sell_""),IF(COUNTIF(C$4:C828,SUBSTITUTE(C828,""Sell_"",""""))-COUNTIF(C$4:C827,C828)&lt;1,1),FALSE))))"),"")</f>
        <v/>
      </c>
      <c r="E828" s="59" t="str">
        <f t="array" ref="E828">IF(COUNTA(C828:C1350)=0,"",SUM((COUNTIF(C$4:C828,Upgrades!$B$3:$B$13)-COUNTIF(C$4:C828,"Sell_"&amp;Upgrades!$B$3:$B$13))*Upgrades!$D$3:$D$13))</f>
        <v/>
      </c>
      <c r="F828" s="66" t="str">
        <f>IFERROR(__xludf.DUMMYFUNCTION("IF(COUNTA(C828:C1350)=0,"""",IF(REGEXMATCH(INDEX(FILTER(C$4:C828,C$4:C828&lt;&gt;""""),ROWS(FILTER(C$4:C828,C$4:C828&lt;&gt;""""))),""^Sell_""),INDEX(FILTER(F$4:F827,C$4:C827&lt;&gt;""""),ROWS(FILTER(C$4:C827,C$4:C827&lt;&gt;""""))),$AC$5+E828))"),"")</f>
        <v/>
      </c>
      <c r="G828" s="10" t="str">
        <f>IFERROR(__xludf.DUMMYFUNCTION("IF(COUNTA(C828:C1350)=0,"""",IF(C828="""",0,IF(REGEXMATCH(C828,""^Sell_""),-ROUNDDOWN(ROUNDUP(INDEX(Upgrades!$C$3:$C$13,MATCH(SUBSTITUTE(C828,""Sell_"",""""),Upgrades!$B$3:$B$13,0))*1.15^(COUNTIF(C$4:C827,SUBSTITUTE(C828,""Sell_"",""""))-COUNTIF(C$4:C827,"&amp;"""Sell_""&amp;SUBSTITUTE(C828,""Sell_"",""""))))/2),ROUNDUP(INDEX(Upgrades!$C$3:$C$13,MATCH(C828,Upgrades!$B$3:$B$13,0))*1.15^(COUNTIF(C$4:C827,C828)-COUNTIF(C$4:C827,""Sell_""&amp;C828))))))"),"")</f>
        <v/>
      </c>
      <c r="H828" s="10" t="str">
        <f t="shared" si="3"/>
        <v/>
      </c>
      <c r="I828" s="68" t="str">
        <f t="shared" si="4"/>
        <v/>
      </c>
      <c r="J828" s="59" t="str">
        <f t="shared" si="5"/>
        <v/>
      </c>
      <c r="K828" s="69" t="str">
        <f t="shared" si="6"/>
        <v/>
      </c>
      <c r="L828" s="60" t="str">
        <f t="shared" si="7"/>
        <v/>
      </c>
      <c r="M828" s="61" t="str">
        <f>IFERROR(__xludf.DUMMYFUNCTION("IFS(AND(COUNTA(C828:C1350)=0,COUNTA(Q828:Q1350)=0),"""",OR(AND(K828&gt;=1000000000,OR(Y828&gt;=1000000000,COUNTA(Q828:Q1350)=0)),OR(Y828&gt;=1000000000,AND(COUNTA(C828:C1350)=0,P$3=TRUE))),
ROUNDDOWN((AB$1-AC$1)*MAX(INDEX(T$4:T1350,MATCH(LARGE(FILTER(Y$4:Y1350,Y$4"&amp;":Y1350&lt;1000000000),1),Y$4:Y1350)),INDEX(F$4:F1350,MATCH(LARGE(FILTER(K$4:K1350,K$4:K1350&lt;1000000000),1),K$4:K1350)))),AND(K828&lt;1000000000,COUNTA(C828:C1350)&gt;0,P$3=FALSE),
ROUNDDOWN(INDEX(Y$4:Y1350,MATCH(LARGE(FILTER(W$4:W1350,W$4:W1350&lt;=I828),1),W$4:W1350"&amp;"))+(I828-LARGE(FILTER(W$4:W1350,W$4:W1350&lt;=I828),1))*INDEX(T$4:T1350,MATCH(LARGE(FILTER(W$4:W1350,W$4:W1350&lt;=I828),1),W$4:W1350))-K828),1,
ROUNDDOWN(Y828-INDEX(K$4:K1350,MATCH(LARGE(FILTER(I$4:I1350,I$4:I1350&lt;=W828),1),I$4:I1350))-(W828-LARGE(FILTER(I$4:I"&amp;"1350,I$4:I1350&lt;=W828),1))*INDEX(F$4:F1350,MATCH(LARGE(FILTER(I$4:I1350,I$4:I1350&lt;=W828),1),I$4:I1350))))"),"")</f>
        <v/>
      </c>
      <c r="N828" s="60" t="str">
        <f t="shared" si="8"/>
        <v/>
      </c>
      <c r="O828" s="61" t="str">
        <f t="shared" si="9"/>
        <v/>
      </c>
      <c r="P828" s="56" t="str">
        <f t="shared" si="10"/>
        <v/>
      </c>
      <c r="Q828" s="62"/>
      <c r="R828" s="10" t="str">
        <f>IFERROR(__xludf.DUMMYFUNCTION("IF(COUNTA(Q828:Q1350)=0,"""",IF(ISBLANK(Q828),FALSE,IF(NOT(COUNTIF($AA$24:$AA$34,SUBSTITUTE(Q828,""Sell_"",""""))),1,IF(REGEXMATCH(Q828,""Sell_""),IF(COUNTIF(Q$4:Q828,SUBSTITUTE(Q828,""Sell_"",""""))-COUNTIF(Q$4:Q827,Q828)&lt;1,1),FALSE))))"),"")</f>
        <v/>
      </c>
      <c r="S828" s="59" t="str">
        <f t="array" ref="S828">IF(COUNTA(Q828:Q1350)=0,"",SUM((COUNTIF(Q$4:Q828,Upgrades!$B$3:$B$13)-COUNTIF(Q$4:Q828,"Sell_"&amp;Upgrades!$B$3:$B$13))*Upgrades!$D$3:$D$13))</f>
        <v/>
      </c>
      <c r="T828" s="66" t="str">
        <f>IFERROR(__xludf.DUMMYFUNCTION("IF(COUNTA(Q828:Q1350)=0,"""",IF(REGEXMATCH(INDEX(FILTER(Q$4:Q828,Q$4:Q828&lt;&gt;""""),ROWS(FILTER(Q$4:Q828,Q$4:Q828&lt;&gt;""""))),""^Sell_""),INDEX(FILTER(T$4:T827,Q$4:Q827&lt;&gt;""""),ROWS(FILTER(Q$4:Q827,Q$4:Q827&lt;&gt;""""))),$AD$5+S828))"),"")</f>
        <v/>
      </c>
      <c r="U828" s="10" t="str">
        <f>IFERROR(__xludf.DUMMYFUNCTION("IF(COUNTA(Q828:Q1350)=0,"""",IF(Q828="""",0,IF(REGEXMATCH(Q828,""^Sell_""),-ROUNDDOWN(ROUNDUP(INDEX(Upgrades!$C$3:$C$13,MATCH(SUBSTITUTE(Q828,""Sell_"",""""),Upgrades!$B$3:$B$13,0))*1.15^(COUNTIF(Q$4:Q827,SUBSTITUTE(Q828,""Sell_"",""""))-COUNTIF(Q$4:Q827,"&amp;"""Sell_""&amp;SUBSTITUTE(Q828,""Sell_"",""""))))/2),ROUNDUP(INDEX(Upgrades!$C$3:$C$13,MATCH(Q828,Upgrades!$B$3:$B$13,0))*1.15^(COUNTIF(Q$4:Q827,Q828)-COUNTIF(Q$4:Q827,""Sell_""&amp;Q828))))))"),"")</f>
        <v/>
      </c>
      <c r="V828" s="10" t="str">
        <f t="shared" si="11"/>
        <v/>
      </c>
      <c r="W828" s="68" t="str">
        <f t="shared" si="12"/>
        <v/>
      </c>
      <c r="X828" s="59" t="str">
        <f t="shared" si="13"/>
        <v/>
      </c>
      <c r="Y828" s="69" t="str">
        <f t="shared" si="14"/>
        <v/>
      </c>
      <c r="Z828" s="11"/>
    </row>
    <row r="829">
      <c r="A829" s="8"/>
      <c r="B829" s="56" t="str">
        <f t="shared" si="2"/>
        <v/>
      </c>
      <c r="C829" s="57"/>
      <c r="D829" s="10" t="str">
        <f>IFERROR(__xludf.DUMMYFUNCTION("IF(COUNTA(C829:C1350)=0,"""",IF(ISBLANK(C829),FALSE,IF(NOT(COUNTIF($AA$24:$AA$34,SUBSTITUTE(C829,""Sell_"",""""))),1,IF(REGEXMATCH(C829,""Sell_""),IF(COUNTIF(C$4:C829,SUBSTITUTE(C829,""Sell_"",""""))-COUNTIF(C$4:C828,C829)&lt;1,1),FALSE))))"),"")</f>
        <v/>
      </c>
      <c r="E829" s="59" t="str">
        <f t="array" ref="E829">IF(COUNTA(C829:C1350)=0,"",SUM((COUNTIF(C$4:C829,Upgrades!$B$3:$B$13)-COUNTIF(C$4:C829,"Sell_"&amp;Upgrades!$B$3:$B$13))*Upgrades!$D$3:$D$13))</f>
        <v/>
      </c>
      <c r="F829" s="66" t="str">
        <f>IFERROR(__xludf.DUMMYFUNCTION("IF(COUNTA(C829:C1350)=0,"""",IF(REGEXMATCH(INDEX(FILTER(C$4:C829,C$4:C829&lt;&gt;""""),ROWS(FILTER(C$4:C829,C$4:C829&lt;&gt;""""))),""^Sell_""),INDEX(FILTER(F$4:F828,C$4:C828&lt;&gt;""""),ROWS(FILTER(C$4:C828,C$4:C828&lt;&gt;""""))),$AC$5+E829))"),"")</f>
        <v/>
      </c>
      <c r="G829" s="10" t="str">
        <f>IFERROR(__xludf.DUMMYFUNCTION("IF(COUNTA(C829:C1350)=0,"""",IF(C829="""",0,IF(REGEXMATCH(C829,""^Sell_""),-ROUNDDOWN(ROUNDUP(INDEX(Upgrades!$C$3:$C$13,MATCH(SUBSTITUTE(C829,""Sell_"",""""),Upgrades!$B$3:$B$13,0))*1.15^(COUNTIF(C$4:C828,SUBSTITUTE(C829,""Sell_"",""""))-COUNTIF(C$4:C828,"&amp;"""Sell_""&amp;SUBSTITUTE(C829,""Sell_"",""""))))/2),ROUNDUP(INDEX(Upgrades!$C$3:$C$13,MATCH(C829,Upgrades!$B$3:$B$13,0))*1.15^(COUNTIF(C$4:C828,C829)-COUNTIF(C$4:C828,""Sell_""&amp;C829))))))"),"")</f>
        <v/>
      </c>
      <c r="H829" s="10" t="str">
        <f t="shared" si="3"/>
        <v/>
      </c>
      <c r="I829" s="68" t="str">
        <f t="shared" si="4"/>
        <v/>
      </c>
      <c r="J829" s="59" t="str">
        <f t="shared" si="5"/>
        <v/>
      </c>
      <c r="K829" s="69" t="str">
        <f t="shared" si="6"/>
        <v/>
      </c>
      <c r="L829" s="60" t="str">
        <f t="shared" si="7"/>
        <v/>
      </c>
      <c r="M829" s="61" t="str">
        <f>IFERROR(__xludf.DUMMYFUNCTION("IFS(AND(COUNTA(C829:C1350)=0,COUNTA(Q829:Q1350)=0),"""",OR(AND(K829&gt;=1000000000,OR(Y829&gt;=1000000000,COUNTA(Q829:Q1350)=0)),OR(Y829&gt;=1000000000,AND(COUNTA(C829:C1350)=0,P$3=TRUE))),
ROUNDDOWN((AB$1-AC$1)*MAX(INDEX(T$4:T1350,MATCH(LARGE(FILTER(Y$4:Y1350,Y$4"&amp;":Y1350&lt;1000000000),1),Y$4:Y1350)),INDEX(F$4:F1350,MATCH(LARGE(FILTER(K$4:K1350,K$4:K1350&lt;1000000000),1),K$4:K1350)))),AND(K829&lt;1000000000,COUNTA(C829:C1350)&gt;0,P$3=FALSE),
ROUNDDOWN(INDEX(Y$4:Y1350,MATCH(LARGE(FILTER(W$4:W1350,W$4:W1350&lt;=I829),1),W$4:W1350"&amp;"))+(I829-LARGE(FILTER(W$4:W1350,W$4:W1350&lt;=I829),1))*INDEX(T$4:T1350,MATCH(LARGE(FILTER(W$4:W1350,W$4:W1350&lt;=I829),1),W$4:W1350))-K829),1,
ROUNDDOWN(Y829-INDEX(K$4:K1350,MATCH(LARGE(FILTER(I$4:I1350,I$4:I1350&lt;=W829),1),I$4:I1350))-(W829-LARGE(FILTER(I$4:I"&amp;"1350,I$4:I1350&lt;=W829),1))*INDEX(F$4:F1350,MATCH(LARGE(FILTER(I$4:I1350,I$4:I1350&lt;=W829),1),I$4:I1350))))"),"")</f>
        <v/>
      </c>
      <c r="N829" s="60" t="str">
        <f t="shared" si="8"/>
        <v/>
      </c>
      <c r="O829" s="61" t="str">
        <f t="shared" si="9"/>
        <v/>
      </c>
      <c r="P829" s="56" t="str">
        <f t="shared" si="10"/>
        <v/>
      </c>
      <c r="Q829" s="62"/>
      <c r="R829" s="10" t="str">
        <f>IFERROR(__xludf.DUMMYFUNCTION("IF(COUNTA(Q829:Q1350)=0,"""",IF(ISBLANK(Q829),FALSE,IF(NOT(COUNTIF($AA$24:$AA$34,SUBSTITUTE(Q829,""Sell_"",""""))),1,IF(REGEXMATCH(Q829,""Sell_""),IF(COUNTIF(Q$4:Q829,SUBSTITUTE(Q829,""Sell_"",""""))-COUNTIF(Q$4:Q828,Q829)&lt;1,1),FALSE))))"),"")</f>
        <v/>
      </c>
      <c r="S829" s="59" t="str">
        <f t="array" ref="S829">IF(COUNTA(Q829:Q1350)=0,"",SUM((COUNTIF(Q$4:Q829,Upgrades!$B$3:$B$13)-COUNTIF(Q$4:Q829,"Sell_"&amp;Upgrades!$B$3:$B$13))*Upgrades!$D$3:$D$13))</f>
        <v/>
      </c>
      <c r="T829" s="66" t="str">
        <f>IFERROR(__xludf.DUMMYFUNCTION("IF(COUNTA(Q829:Q1350)=0,"""",IF(REGEXMATCH(INDEX(FILTER(Q$4:Q829,Q$4:Q829&lt;&gt;""""),ROWS(FILTER(Q$4:Q829,Q$4:Q829&lt;&gt;""""))),""^Sell_""),INDEX(FILTER(T$4:T828,Q$4:Q828&lt;&gt;""""),ROWS(FILTER(Q$4:Q828,Q$4:Q828&lt;&gt;""""))),$AD$5+S829))"),"")</f>
        <v/>
      </c>
      <c r="U829" s="10" t="str">
        <f>IFERROR(__xludf.DUMMYFUNCTION("IF(COUNTA(Q829:Q1350)=0,"""",IF(Q829="""",0,IF(REGEXMATCH(Q829,""^Sell_""),-ROUNDDOWN(ROUNDUP(INDEX(Upgrades!$C$3:$C$13,MATCH(SUBSTITUTE(Q829,""Sell_"",""""),Upgrades!$B$3:$B$13,0))*1.15^(COUNTIF(Q$4:Q828,SUBSTITUTE(Q829,""Sell_"",""""))-COUNTIF(Q$4:Q828,"&amp;"""Sell_""&amp;SUBSTITUTE(Q829,""Sell_"",""""))))/2),ROUNDUP(INDEX(Upgrades!$C$3:$C$13,MATCH(Q829,Upgrades!$B$3:$B$13,0))*1.15^(COUNTIF(Q$4:Q828,Q829)-COUNTIF(Q$4:Q828,""Sell_""&amp;Q829))))))"),"")</f>
        <v/>
      </c>
      <c r="V829" s="10" t="str">
        <f t="shared" si="11"/>
        <v/>
      </c>
      <c r="W829" s="68" t="str">
        <f t="shared" si="12"/>
        <v/>
      </c>
      <c r="X829" s="59" t="str">
        <f t="shared" si="13"/>
        <v/>
      </c>
      <c r="Y829" s="69" t="str">
        <f t="shared" si="14"/>
        <v/>
      </c>
      <c r="Z829" s="11"/>
    </row>
    <row r="830">
      <c r="A830" s="8"/>
      <c r="B830" s="56" t="str">
        <f t="shared" si="2"/>
        <v/>
      </c>
      <c r="C830" s="57"/>
      <c r="D830" s="10" t="str">
        <f>IFERROR(__xludf.DUMMYFUNCTION("IF(COUNTA(C830:C1350)=0,"""",IF(ISBLANK(C830),FALSE,IF(NOT(COUNTIF($AA$24:$AA$34,SUBSTITUTE(C830,""Sell_"",""""))),1,IF(REGEXMATCH(C830,""Sell_""),IF(COUNTIF(C$4:C830,SUBSTITUTE(C830,""Sell_"",""""))-COUNTIF(C$4:C829,C830)&lt;1,1),FALSE))))"),"")</f>
        <v/>
      </c>
      <c r="E830" s="59" t="str">
        <f t="array" ref="E830">IF(COUNTA(C830:C1350)=0,"",SUM((COUNTIF(C$4:C830,Upgrades!$B$3:$B$13)-COUNTIF(C$4:C830,"Sell_"&amp;Upgrades!$B$3:$B$13))*Upgrades!$D$3:$D$13))</f>
        <v/>
      </c>
      <c r="F830" s="66" t="str">
        <f>IFERROR(__xludf.DUMMYFUNCTION("IF(COUNTA(C830:C1350)=0,"""",IF(REGEXMATCH(INDEX(FILTER(C$4:C830,C$4:C830&lt;&gt;""""),ROWS(FILTER(C$4:C830,C$4:C830&lt;&gt;""""))),""^Sell_""),INDEX(FILTER(F$4:F829,C$4:C829&lt;&gt;""""),ROWS(FILTER(C$4:C829,C$4:C829&lt;&gt;""""))),$AC$5+E830))"),"")</f>
        <v/>
      </c>
      <c r="G830" s="10" t="str">
        <f>IFERROR(__xludf.DUMMYFUNCTION("IF(COUNTA(C830:C1350)=0,"""",IF(C830="""",0,IF(REGEXMATCH(C830,""^Sell_""),-ROUNDDOWN(ROUNDUP(INDEX(Upgrades!$C$3:$C$13,MATCH(SUBSTITUTE(C830,""Sell_"",""""),Upgrades!$B$3:$B$13,0))*1.15^(COUNTIF(C$4:C829,SUBSTITUTE(C830,""Sell_"",""""))-COUNTIF(C$4:C829,"&amp;"""Sell_""&amp;SUBSTITUTE(C830,""Sell_"",""""))))/2),ROUNDUP(INDEX(Upgrades!$C$3:$C$13,MATCH(C830,Upgrades!$B$3:$B$13,0))*1.15^(COUNTIF(C$4:C829,C830)-COUNTIF(C$4:C829,""Sell_""&amp;C830))))))"),"")</f>
        <v/>
      </c>
      <c r="H830" s="10" t="str">
        <f t="shared" si="3"/>
        <v/>
      </c>
      <c r="I830" s="68" t="str">
        <f t="shared" si="4"/>
        <v/>
      </c>
      <c r="J830" s="59" t="str">
        <f t="shared" si="5"/>
        <v/>
      </c>
      <c r="K830" s="69" t="str">
        <f t="shared" si="6"/>
        <v/>
      </c>
      <c r="L830" s="60" t="str">
        <f t="shared" si="7"/>
        <v/>
      </c>
      <c r="M830" s="61" t="str">
        <f>IFERROR(__xludf.DUMMYFUNCTION("IFS(AND(COUNTA(C830:C1350)=0,COUNTA(Q830:Q1350)=0),"""",OR(AND(K830&gt;=1000000000,OR(Y830&gt;=1000000000,COUNTA(Q830:Q1350)=0)),OR(Y830&gt;=1000000000,AND(COUNTA(C830:C1350)=0,P$3=TRUE))),
ROUNDDOWN((AB$1-AC$1)*MAX(INDEX(T$4:T1350,MATCH(LARGE(FILTER(Y$4:Y1350,Y$4"&amp;":Y1350&lt;1000000000),1),Y$4:Y1350)),INDEX(F$4:F1350,MATCH(LARGE(FILTER(K$4:K1350,K$4:K1350&lt;1000000000),1),K$4:K1350)))),AND(K830&lt;1000000000,COUNTA(C830:C1350)&gt;0,P$3=FALSE),
ROUNDDOWN(INDEX(Y$4:Y1350,MATCH(LARGE(FILTER(W$4:W1350,W$4:W1350&lt;=I830),1),W$4:W1350"&amp;"))+(I830-LARGE(FILTER(W$4:W1350,W$4:W1350&lt;=I830),1))*INDEX(T$4:T1350,MATCH(LARGE(FILTER(W$4:W1350,W$4:W1350&lt;=I830),1),W$4:W1350))-K830),1,
ROUNDDOWN(Y830-INDEX(K$4:K1350,MATCH(LARGE(FILTER(I$4:I1350,I$4:I1350&lt;=W830),1),I$4:I1350))-(W830-LARGE(FILTER(I$4:I"&amp;"1350,I$4:I1350&lt;=W830),1))*INDEX(F$4:F1350,MATCH(LARGE(FILTER(I$4:I1350,I$4:I1350&lt;=W830),1),I$4:I1350))))"),"")</f>
        <v/>
      </c>
      <c r="N830" s="60" t="str">
        <f t="shared" si="8"/>
        <v/>
      </c>
      <c r="O830" s="61" t="str">
        <f t="shared" si="9"/>
        <v/>
      </c>
      <c r="P830" s="56" t="str">
        <f t="shared" si="10"/>
        <v/>
      </c>
      <c r="Q830" s="62"/>
      <c r="R830" s="10" t="str">
        <f>IFERROR(__xludf.DUMMYFUNCTION("IF(COUNTA(Q830:Q1350)=0,"""",IF(ISBLANK(Q830),FALSE,IF(NOT(COUNTIF($AA$24:$AA$34,SUBSTITUTE(Q830,""Sell_"",""""))),1,IF(REGEXMATCH(Q830,""Sell_""),IF(COUNTIF(Q$4:Q830,SUBSTITUTE(Q830,""Sell_"",""""))-COUNTIF(Q$4:Q829,Q830)&lt;1,1),FALSE))))"),"")</f>
        <v/>
      </c>
      <c r="S830" s="59" t="str">
        <f t="array" ref="S830">IF(COUNTA(Q830:Q1350)=0,"",SUM((COUNTIF(Q$4:Q830,Upgrades!$B$3:$B$13)-COUNTIF(Q$4:Q830,"Sell_"&amp;Upgrades!$B$3:$B$13))*Upgrades!$D$3:$D$13))</f>
        <v/>
      </c>
      <c r="T830" s="66" t="str">
        <f>IFERROR(__xludf.DUMMYFUNCTION("IF(COUNTA(Q830:Q1350)=0,"""",IF(REGEXMATCH(INDEX(FILTER(Q$4:Q830,Q$4:Q830&lt;&gt;""""),ROWS(FILTER(Q$4:Q830,Q$4:Q830&lt;&gt;""""))),""^Sell_""),INDEX(FILTER(T$4:T829,Q$4:Q829&lt;&gt;""""),ROWS(FILTER(Q$4:Q829,Q$4:Q829&lt;&gt;""""))),$AD$5+S830))"),"")</f>
        <v/>
      </c>
      <c r="U830" s="10" t="str">
        <f>IFERROR(__xludf.DUMMYFUNCTION("IF(COUNTA(Q830:Q1350)=0,"""",IF(Q830="""",0,IF(REGEXMATCH(Q830,""^Sell_""),-ROUNDDOWN(ROUNDUP(INDEX(Upgrades!$C$3:$C$13,MATCH(SUBSTITUTE(Q830,""Sell_"",""""),Upgrades!$B$3:$B$13,0))*1.15^(COUNTIF(Q$4:Q829,SUBSTITUTE(Q830,""Sell_"",""""))-COUNTIF(Q$4:Q829,"&amp;"""Sell_""&amp;SUBSTITUTE(Q830,""Sell_"",""""))))/2),ROUNDUP(INDEX(Upgrades!$C$3:$C$13,MATCH(Q830,Upgrades!$B$3:$B$13,0))*1.15^(COUNTIF(Q$4:Q829,Q830)-COUNTIF(Q$4:Q829,""Sell_""&amp;Q830))))))"),"")</f>
        <v/>
      </c>
      <c r="V830" s="10" t="str">
        <f t="shared" si="11"/>
        <v/>
      </c>
      <c r="W830" s="68" t="str">
        <f t="shared" si="12"/>
        <v/>
      </c>
      <c r="X830" s="59" t="str">
        <f t="shared" si="13"/>
        <v/>
      </c>
      <c r="Y830" s="69" t="str">
        <f t="shared" si="14"/>
        <v/>
      </c>
      <c r="Z830" s="11"/>
    </row>
    <row r="831">
      <c r="A831" s="8"/>
      <c r="B831" s="56" t="str">
        <f t="shared" si="2"/>
        <v/>
      </c>
      <c r="C831" s="57"/>
      <c r="D831" s="10" t="str">
        <f>IFERROR(__xludf.DUMMYFUNCTION("IF(COUNTA(C831:C1350)=0,"""",IF(ISBLANK(C831),FALSE,IF(NOT(COUNTIF($AA$24:$AA$34,SUBSTITUTE(C831,""Sell_"",""""))),1,IF(REGEXMATCH(C831,""Sell_""),IF(COUNTIF(C$4:C831,SUBSTITUTE(C831,""Sell_"",""""))-COUNTIF(C$4:C830,C831)&lt;1,1),FALSE))))"),"")</f>
        <v/>
      </c>
      <c r="E831" s="59" t="str">
        <f t="array" ref="E831">IF(COUNTA(C831:C1350)=0,"",SUM((COUNTIF(C$4:C831,Upgrades!$B$3:$B$13)-COUNTIF(C$4:C831,"Sell_"&amp;Upgrades!$B$3:$B$13))*Upgrades!$D$3:$D$13))</f>
        <v/>
      </c>
      <c r="F831" s="66" t="str">
        <f>IFERROR(__xludf.DUMMYFUNCTION("IF(COUNTA(C831:C1350)=0,"""",IF(REGEXMATCH(INDEX(FILTER(C$4:C831,C$4:C831&lt;&gt;""""),ROWS(FILTER(C$4:C831,C$4:C831&lt;&gt;""""))),""^Sell_""),INDEX(FILTER(F$4:F830,C$4:C830&lt;&gt;""""),ROWS(FILTER(C$4:C830,C$4:C830&lt;&gt;""""))),$AC$5+E831))"),"")</f>
        <v/>
      </c>
      <c r="G831" s="10" t="str">
        <f>IFERROR(__xludf.DUMMYFUNCTION("IF(COUNTA(C831:C1350)=0,"""",IF(C831="""",0,IF(REGEXMATCH(C831,""^Sell_""),-ROUNDDOWN(ROUNDUP(INDEX(Upgrades!$C$3:$C$13,MATCH(SUBSTITUTE(C831,""Sell_"",""""),Upgrades!$B$3:$B$13,0))*1.15^(COUNTIF(C$4:C830,SUBSTITUTE(C831,""Sell_"",""""))-COUNTIF(C$4:C830,"&amp;"""Sell_""&amp;SUBSTITUTE(C831,""Sell_"",""""))))/2),ROUNDUP(INDEX(Upgrades!$C$3:$C$13,MATCH(C831,Upgrades!$B$3:$B$13,0))*1.15^(COUNTIF(C$4:C830,C831)-COUNTIF(C$4:C830,""Sell_""&amp;C831))))))"),"")</f>
        <v/>
      </c>
      <c r="H831" s="10" t="str">
        <f t="shared" si="3"/>
        <v/>
      </c>
      <c r="I831" s="68" t="str">
        <f t="shared" si="4"/>
        <v/>
      </c>
      <c r="J831" s="59" t="str">
        <f t="shared" si="5"/>
        <v/>
      </c>
      <c r="K831" s="69" t="str">
        <f t="shared" si="6"/>
        <v/>
      </c>
      <c r="L831" s="60" t="str">
        <f t="shared" si="7"/>
        <v/>
      </c>
      <c r="M831" s="61" t="str">
        <f>IFERROR(__xludf.DUMMYFUNCTION("IFS(AND(COUNTA(C831:C1350)=0,COUNTA(Q831:Q1350)=0),"""",OR(AND(K831&gt;=1000000000,OR(Y831&gt;=1000000000,COUNTA(Q831:Q1350)=0)),OR(Y831&gt;=1000000000,AND(COUNTA(C831:C1350)=0,P$3=TRUE))),
ROUNDDOWN((AB$1-AC$1)*MAX(INDEX(T$4:T1350,MATCH(LARGE(FILTER(Y$4:Y1350,Y$4"&amp;":Y1350&lt;1000000000),1),Y$4:Y1350)),INDEX(F$4:F1350,MATCH(LARGE(FILTER(K$4:K1350,K$4:K1350&lt;1000000000),1),K$4:K1350)))),AND(K831&lt;1000000000,COUNTA(C831:C1350)&gt;0,P$3=FALSE),
ROUNDDOWN(INDEX(Y$4:Y1350,MATCH(LARGE(FILTER(W$4:W1350,W$4:W1350&lt;=I831),1),W$4:W1350"&amp;"))+(I831-LARGE(FILTER(W$4:W1350,W$4:W1350&lt;=I831),1))*INDEX(T$4:T1350,MATCH(LARGE(FILTER(W$4:W1350,W$4:W1350&lt;=I831),1),W$4:W1350))-K831),1,
ROUNDDOWN(Y831-INDEX(K$4:K1350,MATCH(LARGE(FILTER(I$4:I1350,I$4:I1350&lt;=W831),1),I$4:I1350))-(W831-LARGE(FILTER(I$4:I"&amp;"1350,I$4:I1350&lt;=W831),1))*INDEX(F$4:F1350,MATCH(LARGE(FILTER(I$4:I1350,I$4:I1350&lt;=W831),1),I$4:I1350))))"),"")</f>
        <v/>
      </c>
      <c r="N831" s="60" t="str">
        <f t="shared" si="8"/>
        <v/>
      </c>
      <c r="O831" s="61" t="str">
        <f t="shared" si="9"/>
        <v/>
      </c>
      <c r="P831" s="56" t="str">
        <f t="shared" si="10"/>
        <v/>
      </c>
      <c r="Q831" s="62"/>
      <c r="R831" s="10" t="str">
        <f>IFERROR(__xludf.DUMMYFUNCTION("IF(COUNTA(Q831:Q1350)=0,"""",IF(ISBLANK(Q831),FALSE,IF(NOT(COUNTIF($AA$24:$AA$34,SUBSTITUTE(Q831,""Sell_"",""""))),1,IF(REGEXMATCH(Q831,""Sell_""),IF(COUNTIF(Q$4:Q831,SUBSTITUTE(Q831,""Sell_"",""""))-COUNTIF(Q$4:Q830,Q831)&lt;1,1),FALSE))))"),"")</f>
        <v/>
      </c>
      <c r="S831" s="59" t="str">
        <f t="array" ref="S831">IF(COUNTA(Q831:Q1350)=0,"",SUM((COUNTIF(Q$4:Q831,Upgrades!$B$3:$B$13)-COUNTIF(Q$4:Q831,"Sell_"&amp;Upgrades!$B$3:$B$13))*Upgrades!$D$3:$D$13))</f>
        <v/>
      </c>
      <c r="T831" s="66" t="str">
        <f>IFERROR(__xludf.DUMMYFUNCTION("IF(COUNTA(Q831:Q1350)=0,"""",IF(REGEXMATCH(INDEX(FILTER(Q$4:Q831,Q$4:Q831&lt;&gt;""""),ROWS(FILTER(Q$4:Q831,Q$4:Q831&lt;&gt;""""))),""^Sell_""),INDEX(FILTER(T$4:T830,Q$4:Q830&lt;&gt;""""),ROWS(FILTER(Q$4:Q830,Q$4:Q830&lt;&gt;""""))),$AD$5+S831))"),"")</f>
        <v/>
      </c>
      <c r="U831" s="10" t="str">
        <f>IFERROR(__xludf.DUMMYFUNCTION("IF(COUNTA(Q831:Q1350)=0,"""",IF(Q831="""",0,IF(REGEXMATCH(Q831,""^Sell_""),-ROUNDDOWN(ROUNDUP(INDEX(Upgrades!$C$3:$C$13,MATCH(SUBSTITUTE(Q831,""Sell_"",""""),Upgrades!$B$3:$B$13,0))*1.15^(COUNTIF(Q$4:Q830,SUBSTITUTE(Q831,""Sell_"",""""))-COUNTIF(Q$4:Q830,"&amp;"""Sell_""&amp;SUBSTITUTE(Q831,""Sell_"",""""))))/2),ROUNDUP(INDEX(Upgrades!$C$3:$C$13,MATCH(Q831,Upgrades!$B$3:$B$13,0))*1.15^(COUNTIF(Q$4:Q830,Q831)-COUNTIF(Q$4:Q830,""Sell_""&amp;Q831))))))"),"")</f>
        <v/>
      </c>
      <c r="V831" s="10" t="str">
        <f t="shared" si="11"/>
        <v/>
      </c>
      <c r="W831" s="68" t="str">
        <f t="shared" si="12"/>
        <v/>
      </c>
      <c r="X831" s="59" t="str">
        <f t="shared" si="13"/>
        <v/>
      </c>
      <c r="Y831" s="69" t="str">
        <f t="shared" si="14"/>
        <v/>
      </c>
      <c r="Z831" s="11"/>
    </row>
    <row r="832">
      <c r="A832" s="8"/>
      <c r="B832" s="56" t="str">
        <f t="shared" si="2"/>
        <v/>
      </c>
      <c r="C832" s="57"/>
      <c r="D832" s="10" t="str">
        <f>IFERROR(__xludf.DUMMYFUNCTION("IF(COUNTA(C832:C1350)=0,"""",IF(ISBLANK(C832),FALSE,IF(NOT(COUNTIF($AA$24:$AA$34,SUBSTITUTE(C832,""Sell_"",""""))),1,IF(REGEXMATCH(C832,""Sell_""),IF(COUNTIF(C$4:C832,SUBSTITUTE(C832,""Sell_"",""""))-COUNTIF(C$4:C831,C832)&lt;1,1),FALSE))))"),"")</f>
        <v/>
      </c>
      <c r="E832" s="59" t="str">
        <f t="array" ref="E832">IF(COUNTA(C832:C1350)=0,"",SUM((COUNTIF(C$4:C832,Upgrades!$B$3:$B$13)-COUNTIF(C$4:C832,"Sell_"&amp;Upgrades!$B$3:$B$13))*Upgrades!$D$3:$D$13))</f>
        <v/>
      </c>
      <c r="F832" s="66" t="str">
        <f>IFERROR(__xludf.DUMMYFUNCTION("IF(COUNTA(C832:C1350)=0,"""",IF(REGEXMATCH(INDEX(FILTER(C$4:C832,C$4:C832&lt;&gt;""""),ROWS(FILTER(C$4:C832,C$4:C832&lt;&gt;""""))),""^Sell_""),INDEX(FILTER(F$4:F831,C$4:C831&lt;&gt;""""),ROWS(FILTER(C$4:C831,C$4:C831&lt;&gt;""""))),$AC$5+E832))"),"")</f>
        <v/>
      </c>
      <c r="G832" s="10" t="str">
        <f>IFERROR(__xludf.DUMMYFUNCTION("IF(COUNTA(C832:C1350)=0,"""",IF(C832="""",0,IF(REGEXMATCH(C832,""^Sell_""),-ROUNDDOWN(ROUNDUP(INDEX(Upgrades!$C$3:$C$13,MATCH(SUBSTITUTE(C832,""Sell_"",""""),Upgrades!$B$3:$B$13,0))*1.15^(COUNTIF(C$4:C831,SUBSTITUTE(C832,""Sell_"",""""))-COUNTIF(C$4:C831,"&amp;"""Sell_""&amp;SUBSTITUTE(C832,""Sell_"",""""))))/2),ROUNDUP(INDEX(Upgrades!$C$3:$C$13,MATCH(C832,Upgrades!$B$3:$B$13,0))*1.15^(COUNTIF(C$4:C831,C832)-COUNTIF(C$4:C831,""Sell_""&amp;C832))))))"),"")</f>
        <v/>
      </c>
      <c r="H832" s="10" t="str">
        <f t="shared" si="3"/>
        <v/>
      </c>
      <c r="I832" s="68" t="str">
        <f t="shared" si="4"/>
        <v/>
      </c>
      <c r="J832" s="59" t="str">
        <f t="shared" si="5"/>
        <v/>
      </c>
      <c r="K832" s="69" t="str">
        <f t="shared" si="6"/>
        <v/>
      </c>
      <c r="L832" s="60" t="str">
        <f t="shared" si="7"/>
        <v/>
      </c>
      <c r="M832" s="61" t="str">
        <f>IFERROR(__xludf.DUMMYFUNCTION("IFS(AND(COUNTA(C832:C1350)=0,COUNTA(Q832:Q1350)=0),"""",OR(AND(K832&gt;=1000000000,OR(Y832&gt;=1000000000,COUNTA(Q832:Q1350)=0)),OR(Y832&gt;=1000000000,AND(COUNTA(C832:C1350)=0,P$3=TRUE))),
ROUNDDOWN((AB$1-AC$1)*MAX(INDEX(T$4:T1350,MATCH(LARGE(FILTER(Y$4:Y1350,Y$4"&amp;":Y1350&lt;1000000000),1),Y$4:Y1350)),INDEX(F$4:F1350,MATCH(LARGE(FILTER(K$4:K1350,K$4:K1350&lt;1000000000),1),K$4:K1350)))),AND(K832&lt;1000000000,COUNTA(C832:C1350)&gt;0,P$3=FALSE),
ROUNDDOWN(INDEX(Y$4:Y1350,MATCH(LARGE(FILTER(W$4:W1350,W$4:W1350&lt;=I832),1),W$4:W1350"&amp;"))+(I832-LARGE(FILTER(W$4:W1350,W$4:W1350&lt;=I832),1))*INDEX(T$4:T1350,MATCH(LARGE(FILTER(W$4:W1350,W$4:W1350&lt;=I832),1),W$4:W1350))-K832),1,
ROUNDDOWN(Y832-INDEX(K$4:K1350,MATCH(LARGE(FILTER(I$4:I1350,I$4:I1350&lt;=W832),1),I$4:I1350))-(W832-LARGE(FILTER(I$4:I"&amp;"1350,I$4:I1350&lt;=W832),1))*INDEX(F$4:F1350,MATCH(LARGE(FILTER(I$4:I1350,I$4:I1350&lt;=W832),1),I$4:I1350))))"),"")</f>
        <v/>
      </c>
      <c r="N832" s="60" t="str">
        <f t="shared" si="8"/>
        <v/>
      </c>
      <c r="O832" s="61" t="str">
        <f t="shared" si="9"/>
        <v/>
      </c>
      <c r="P832" s="56" t="str">
        <f t="shared" si="10"/>
        <v/>
      </c>
      <c r="Q832" s="62"/>
      <c r="R832" s="10" t="str">
        <f>IFERROR(__xludf.DUMMYFUNCTION("IF(COUNTA(Q832:Q1350)=0,"""",IF(ISBLANK(Q832),FALSE,IF(NOT(COUNTIF($AA$24:$AA$34,SUBSTITUTE(Q832,""Sell_"",""""))),1,IF(REGEXMATCH(Q832,""Sell_""),IF(COUNTIF(Q$4:Q832,SUBSTITUTE(Q832,""Sell_"",""""))-COUNTIF(Q$4:Q831,Q832)&lt;1,1),FALSE))))"),"")</f>
        <v/>
      </c>
      <c r="S832" s="59" t="str">
        <f t="array" ref="S832">IF(COUNTA(Q832:Q1350)=0,"",SUM((COUNTIF(Q$4:Q832,Upgrades!$B$3:$B$13)-COUNTIF(Q$4:Q832,"Sell_"&amp;Upgrades!$B$3:$B$13))*Upgrades!$D$3:$D$13))</f>
        <v/>
      </c>
      <c r="T832" s="66" t="str">
        <f>IFERROR(__xludf.DUMMYFUNCTION("IF(COUNTA(Q832:Q1350)=0,"""",IF(REGEXMATCH(INDEX(FILTER(Q$4:Q832,Q$4:Q832&lt;&gt;""""),ROWS(FILTER(Q$4:Q832,Q$4:Q832&lt;&gt;""""))),""^Sell_""),INDEX(FILTER(T$4:T831,Q$4:Q831&lt;&gt;""""),ROWS(FILTER(Q$4:Q831,Q$4:Q831&lt;&gt;""""))),$AD$5+S832))"),"")</f>
        <v/>
      </c>
      <c r="U832" s="10" t="str">
        <f>IFERROR(__xludf.DUMMYFUNCTION("IF(COUNTA(Q832:Q1350)=0,"""",IF(Q832="""",0,IF(REGEXMATCH(Q832,""^Sell_""),-ROUNDDOWN(ROUNDUP(INDEX(Upgrades!$C$3:$C$13,MATCH(SUBSTITUTE(Q832,""Sell_"",""""),Upgrades!$B$3:$B$13,0))*1.15^(COUNTIF(Q$4:Q831,SUBSTITUTE(Q832,""Sell_"",""""))-COUNTIF(Q$4:Q831,"&amp;"""Sell_""&amp;SUBSTITUTE(Q832,""Sell_"",""""))))/2),ROUNDUP(INDEX(Upgrades!$C$3:$C$13,MATCH(Q832,Upgrades!$B$3:$B$13,0))*1.15^(COUNTIF(Q$4:Q831,Q832)-COUNTIF(Q$4:Q831,""Sell_""&amp;Q832))))))"),"")</f>
        <v/>
      </c>
      <c r="V832" s="10" t="str">
        <f t="shared" si="11"/>
        <v/>
      </c>
      <c r="W832" s="68" t="str">
        <f t="shared" si="12"/>
        <v/>
      </c>
      <c r="X832" s="59" t="str">
        <f t="shared" si="13"/>
        <v/>
      </c>
      <c r="Y832" s="69" t="str">
        <f t="shared" si="14"/>
        <v/>
      </c>
      <c r="Z832" s="11"/>
    </row>
    <row r="833">
      <c r="A833" s="8"/>
      <c r="B833" s="56" t="str">
        <f t="shared" si="2"/>
        <v/>
      </c>
      <c r="C833" s="57"/>
      <c r="D833" s="10" t="str">
        <f>IFERROR(__xludf.DUMMYFUNCTION("IF(COUNTA(C833:C1350)=0,"""",IF(ISBLANK(C833),FALSE,IF(NOT(COUNTIF($AA$24:$AA$34,SUBSTITUTE(C833,""Sell_"",""""))),1,IF(REGEXMATCH(C833,""Sell_""),IF(COUNTIF(C$4:C833,SUBSTITUTE(C833,""Sell_"",""""))-COUNTIF(C$4:C832,C833)&lt;1,1),FALSE))))"),"")</f>
        <v/>
      </c>
      <c r="E833" s="59" t="str">
        <f t="array" ref="E833">IF(COUNTA(C833:C1350)=0,"",SUM((COUNTIF(C$4:C833,Upgrades!$B$3:$B$13)-COUNTIF(C$4:C833,"Sell_"&amp;Upgrades!$B$3:$B$13))*Upgrades!$D$3:$D$13))</f>
        <v/>
      </c>
      <c r="F833" s="66" t="str">
        <f>IFERROR(__xludf.DUMMYFUNCTION("IF(COUNTA(C833:C1350)=0,"""",IF(REGEXMATCH(INDEX(FILTER(C$4:C833,C$4:C833&lt;&gt;""""),ROWS(FILTER(C$4:C833,C$4:C833&lt;&gt;""""))),""^Sell_""),INDEX(FILTER(F$4:F832,C$4:C832&lt;&gt;""""),ROWS(FILTER(C$4:C832,C$4:C832&lt;&gt;""""))),$AC$5+E833))"),"")</f>
        <v/>
      </c>
      <c r="G833" s="10" t="str">
        <f>IFERROR(__xludf.DUMMYFUNCTION("IF(COUNTA(C833:C1350)=0,"""",IF(C833="""",0,IF(REGEXMATCH(C833,""^Sell_""),-ROUNDDOWN(ROUNDUP(INDEX(Upgrades!$C$3:$C$13,MATCH(SUBSTITUTE(C833,""Sell_"",""""),Upgrades!$B$3:$B$13,0))*1.15^(COUNTIF(C$4:C832,SUBSTITUTE(C833,""Sell_"",""""))-COUNTIF(C$4:C832,"&amp;"""Sell_""&amp;SUBSTITUTE(C833,""Sell_"",""""))))/2),ROUNDUP(INDEX(Upgrades!$C$3:$C$13,MATCH(C833,Upgrades!$B$3:$B$13,0))*1.15^(COUNTIF(C$4:C832,C833)-COUNTIF(C$4:C832,""Sell_""&amp;C833))))))"),"")</f>
        <v/>
      </c>
      <c r="H833" s="10" t="str">
        <f t="shared" si="3"/>
        <v/>
      </c>
      <c r="I833" s="68" t="str">
        <f t="shared" si="4"/>
        <v/>
      </c>
      <c r="J833" s="59" t="str">
        <f t="shared" si="5"/>
        <v/>
      </c>
      <c r="K833" s="69" t="str">
        <f t="shared" si="6"/>
        <v/>
      </c>
      <c r="L833" s="60" t="str">
        <f t="shared" si="7"/>
        <v/>
      </c>
      <c r="M833" s="61" t="str">
        <f>IFERROR(__xludf.DUMMYFUNCTION("IFS(AND(COUNTA(C833:C1350)=0,COUNTA(Q833:Q1350)=0),"""",OR(AND(K833&gt;=1000000000,OR(Y833&gt;=1000000000,COUNTA(Q833:Q1350)=0)),OR(Y833&gt;=1000000000,AND(COUNTA(C833:C1350)=0,P$3=TRUE))),
ROUNDDOWN((AB$1-AC$1)*MAX(INDEX(T$4:T1350,MATCH(LARGE(FILTER(Y$4:Y1350,Y$4"&amp;":Y1350&lt;1000000000),1),Y$4:Y1350)),INDEX(F$4:F1350,MATCH(LARGE(FILTER(K$4:K1350,K$4:K1350&lt;1000000000),1),K$4:K1350)))),AND(K833&lt;1000000000,COUNTA(C833:C1350)&gt;0,P$3=FALSE),
ROUNDDOWN(INDEX(Y$4:Y1350,MATCH(LARGE(FILTER(W$4:W1350,W$4:W1350&lt;=I833),1),W$4:W1350"&amp;"))+(I833-LARGE(FILTER(W$4:W1350,W$4:W1350&lt;=I833),1))*INDEX(T$4:T1350,MATCH(LARGE(FILTER(W$4:W1350,W$4:W1350&lt;=I833),1),W$4:W1350))-K833),1,
ROUNDDOWN(Y833-INDEX(K$4:K1350,MATCH(LARGE(FILTER(I$4:I1350,I$4:I1350&lt;=W833),1),I$4:I1350))-(W833-LARGE(FILTER(I$4:I"&amp;"1350,I$4:I1350&lt;=W833),1))*INDEX(F$4:F1350,MATCH(LARGE(FILTER(I$4:I1350,I$4:I1350&lt;=W833),1),I$4:I1350))))"),"")</f>
        <v/>
      </c>
      <c r="N833" s="60" t="str">
        <f t="shared" si="8"/>
        <v/>
      </c>
      <c r="O833" s="61" t="str">
        <f t="shared" si="9"/>
        <v/>
      </c>
      <c r="P833" s="56" t="str">
        <f t="shared" si="10"/>
        <v/>
      </c>
      <c r="Q833" s="62"/>
      <c r="R833" s="10" t="str">
        <f>IFERROR(__xludf.DUMMYFUNCTION("IF(COUNTA(Q833:Q1350)=0,"""",IF(ISBLANK(Q833),FALSE,IF(NOT(COUNTIF($AA$24:$AA$34,SUBSTITUTE(Q833,""Sell_"",""""))),1,IF(REGEXMATCH(Q833,""Sell_""),IF(COUNTIF(Q$4:Q833,SUBSTITUTE(Q833,""Sell_"",""""))-COUNTIF(Q$4:Q832,Q833)&lt;1,1),FALSE))))"),"")</f>
        <v/>
      </c>
      <c r="S833" s="59" t="str">
        <f t="array" ref="S833">IF(COUNTA(Q833:Q1350)=0,"",SUM((COUNTIF(Q$4:Q833,Upgrades!$B$3:$B$13)-COUNTIF(Q$4:Q833,"Sell_"&amp;Upgrades!$B$3:$B$13))*Upgrades!$D$3:$D$13))</f>
        <v/>
      </c>
      <c r="T833" s="66" t="str">
        <f>IFERROR(__xludf.DUMMYFUNCTION("IF(COUNTA(Q833:Q1350)=0,"""",IF(REGEXMATCH(INDEX(FILTER(Q$4:Q833,Q$4:Q833&lt;&gt;""""),ROWS(FILTER(Q$4:Q833,Q$4:Q833&lt;&gt;""""))),""^Sell_""),INDEX(FILTER(T$4:T832,Q$4:Q832&lt;&gt;""""),ROWS(FILTER(Q$4:Q832,Q$4:Q832&lt;&gt;""""))),$AD$5+S833))"),"")</f>
        <v/>
      </c>
      <c r="U833" s="10" t="str">
        <f>IFERROR(__xludf.DUMMYFUNCTION("IF(COUNTA(Q833:Q1350)=0,"""",IF(Q833="""",0,IF(REGEXMATCH(Q833,""^Sell_""),-ROUNDDOWN(ROUNDUP(INDEX(Upgrades!$C$3:$C$13,MATCH(SUBSTITUTE(Q833,""Sell_"",""""),Upgrades!$B$3:$B$13,0))*1.15^(COUNTIF(Q$4:Q832,SUBSTITUTE(Q833,""Sell_"",""""))-COUNTIF(Q$4:Q832,"&amp;"""Sell_""&amp;SUBSTITUTE(Q833,""Sell_"",""""))))/2),ROUNDUP(INDEX(Upgrades!$C$3:$C$13,MATCH(Q833,Upgrades!$B$3:$B$13,0))*1.15^(COUNTIF(Q$4:Q832,Q833)-COUNTIF(Q$4:Q832,""Sell_""&amp;Q833))))))"),"")</f>
        <v/>
      </c>
      <c r="V833" s="10" t="str">
        <f t="shared" si="11"/>
        <v/>
      </c>
      <c r="W833" s="68" t="str">
        <f t="shared" si="12"/>
        <v/>
      </c>
      <c r="X833" s="59" t="str">
        <f t="shared" si="13"/>
        <v/>
      </c>
      <c r="Y833" s="69" t="str">
        <f t="shared" si="14"/>
        <v/>
      </c>
      <c r="Z833" s="11"/>
    </row>
    <row r="834">
      <c r="A834" s="8"/>
      <c r="B834" s="56" t="str">
        <f t="shared" si="2"/>
        <v/>
      </c>
      <c r="C834" s="57"/>
      <c r="D834" s="10" t="str">
        <f>IFERROR(__xludf.DUMMYFUNCTION("IF(COUNTA(C834:C1350)=0,"""",IF(ISBLANK(C834),FALSE,IF(NOT(COUNTIF($AA$24:$AA$34,SUBSTITUTE(C834,""Sell_"",""""))),1,IF(REGEXMATCH(C834,""Sell_""),IF(COUNTIF(C$4:C834,SUBSTITUTE(C834,""Sell_"",""""))-COUNTIF(C$4:C833,C834)&lt;1,1),FALSE))))"),"")</f>
        <v/>
      </c>
      <c r="E834" s="59" t="str">
        <f t="array" ref="E834">IF(COUNTA(C834:C1350)=0,"",SUM((COUNTIF(C$4:C834,Upgrades!$B$3:$B$13)-COUNTIF(C$4:C834,"Sell_"&amp;Upgrades!$B$3:$B$13))*Upgrades!$D$3:$D$13))</f>
        <v/>
      </c>
      <c r="F834" s="66" t="str">
        <f>IFERROR(__xludf.DUMMYFUNCTION("IF(COUNTA(C834:C1350)=0,"""",IF(REGEXMATCH(INDEX(FILTER(C$4:C834,C$4:C834&lt;&gt;""""),ROWS(FILTER(C$4:C834,C$4:C834&lt;&gt;""""))),""^Sell_""),INDEX(FILTER(F$4:F833,C$4:C833&lt;&gt;""""),ROWS(FILTER(C$4:C833,C$4:C833&lt;&gt;""""))),$AC$5+E834))"),"")</f>
        <v/>
      </c>
      <c r="G834" s="10" t="str">
        <f>IFERROR(__xludf.DUMMYFUNCTION("IF(COUNTA(C834:C1350)=0,"""",IF(C834="""",0,IF(REGEXMATCH(C834,""^Sell_""),-ROUNDDOWN(ROUNDUP(INDEX(Upgrades!$C$3:$C$13,MATCH(SUBSTITUTE(C834,""Sell_"",""""),Upgrades!$B$3:$B$13,0))*1.15^(COUNTIF(C$4:C833,SUBSTITUTE(C834,""Sell_"",""""))-COUNTIF(C$4:C833,"&amp;"""Sell_""&amp;SUBSTITUTE(C834,""Sell_"",""""))))/2),ROUNDUP(INDEX(Upgrades!$C$3:$C$13,MATCH(C834,Upgrades!$B$3:$B$13,0))*1.15^(COUNTIF(C$4:C833,C834)-COUNTIF(C$4:C833,""Sell_""&amp;C834))))))"),"")</f>
        <v/>
      </c>
      <c r="H834" s="10" t="str">
        <f t="shared" si="3"/>
        <v/>
      </c>
      <c r="I834" s="68" t="str">
        <f t="shared" si="4"/>
        <v/>
      </c>
      <c r="J834" s="59" t="str">
        <f t="shared" si="5"/>
        <v/>
      </c>
      <c r="K834" s="69" t="str">
        <f t="shared" si="6"/>
        <v/>
      </c>
      <c r="L834" s="60" t="str">
        <f t="shared" si="7"/>
        <v/>
      </c>
      <c r="M834" s="61" t="str">
        <f>IFERROR(__xludf.DUMMYFUNCTION("IFS(AND(COUNTA(C834:C1350)=0,COUNTA(Q834:Q1350)=0),"""",OR(AND(K834&gt;=1000000000,OR(Y834&gt;=1000000000,COUNTA(Q834:Q1350)=0)),OR(Y834&gt;=1000000000,AND(COUNTA(C834:C1350)=0,P$3=TRUE))),
ROUNDDOWN((AB$1-AC$1)*MAX(INDEX(T$4:T1350,MATCH(LARGE(FILTER(Y$4:Y1350,Y$4"&amp;":Y1350&lt;1000000000),1),Y$4:Y1350)),INDEX(F$4:F1350,MATCH(LARGE(FILTER(K$4:K1350,K$4:K1350&lt;1000000000),1),K$4:K1350)))),AND(K834&lt;1000000000,COUNTA(C834:C1350)&gt;0,P$3=FALSE),
ROUNDDOWN(INDEX(Y$4:Y1350,MATCH(LARGE(FILTER(W$4:W1350,W$4:W1350&lt;=I834),1),W$4:W1350"&amp;"))+(I834-LARGE(FILTER(W$4:W1350,W$4:W1350&lt;=I834),1))*INDEX(T$4:T1350,MATCH(LARGE(FILTER(W$4:W1350,W$4:W1350&lt;=I834),1),W$4:W1350))-K834),1,
ROUNDDOWN(Y834-INDEX(K$4:K1350,MATCH(LARGE(FILTER(I$4:I1350,I$4:I1350&lt;=W834),1),I$4:I1350))-(W834-LARGE(FILTER(I$4:I"&amp;"1350,I$4:I1350&lt;=W834),1))*INDEX(F$4:F1350,MATCH(LARGE(FILTER(I$4:I1350,I$4:I1350&lt;=W834),1),I$4:I1350))))"),"")</f>
        <v/>
      </c>
      <c r="N834" s="60" t="str">
        <f t="shared" si="8"/>
        <v/>
      </c>
      <c r="O834" s="61" t="str">
        <f t="shared" si="9"/>
        <v/>
      </c>
      <c r="P834" s="56" t="str">
        <f t="shared" si="10"/>
        <v/>
      </c>
      <c r="Q834" s="62"/>
      <c r="R834" s="10" t="str">
        <f>IFERROR(__xludf.DUMMYFUNCTION("IF(COUNTA(Q834:Q1350)=0,"""",IF(ISBLANK(Q834),FALSE,IF(NOT(COUNTIF($AA$24:$AA$34,SUBSTITUTE(Q834,""Sell_"",""""))),1,IF(REGEXMATCH(Q834,""Sell_""),IF(COUNTIF(Q$4:Q834,SUBSTITUTE(Q834,""Sell_"",""""))-COUNTIF(Q$4:Q833,Q834)&lt;1,1),FALSE))))"),"")</f>
        <v/>
      </c>
      <c r="S834" s="59" t="str">
        <f t="array" ref="S834">IF(COUNTA(Q834:Q1350)=0,"",SUM((COUNTIF(Q$4:Q834,Upgrades!$B$3:$B$13)-COUNTIF(Q$4:Q834,"Sell_"&amp;Upgrades!$B$3:$B$13))*Upgrades!$D$3:$D$13))</f>
        <v/>
      </c>
      <c r="T834" s="66" t="str">
        <f>IFERROR(__xludf.DUMMYFUNCTION("IF(COUNTA(Q834:Q1350)=0,"""",IF(REGEXMATCH(INDEX(FILTER(Q$4:Q834,Q$4:Q834&lt;&gt;""""),ROWS(FILTER(Q$4:Q834,Q$4:Q834&lt;&gt;""""))),""^Sell_""),INDEX(FILTER(T$4:T833,Q$4:Q833&lt;&gt;""""),ROWS(FILTER(Q$4:Q833,Q$4:Q833&lt;&gt;""""))),$AD$5+S834))"),"")</f>
        <v/>
      </c>
      <c r="U834" s="10" t="str">
        <f>IFERROR(__xludf.DUMMYFUNCTION("IF(COUNTA(Q834:Q1350)=0,"""",IF(Q834="""",0,IF(REGEXMATCH(Q834,""^Sell_""),-ROUNDDOWN(ROUNDUP(INDEX(Upgrades!$C$3:$C$13,MATCH(SUBSTITUTE(Q834,""Sell_"",""""),Upgrades!$B$3:$B$13,0))*1.15^(COUNTIF(Q$4:Q833,SUBSTITUTE(Q834,""Sell_"",""""))-COUNTIF(Q$4:Q833,"&amp;"""Sell_""&amp;SUBSTITUTE(Q834,""Sell_"",""""))))/2),ROUNDUP(INDEX(Upgrades!$C$3:$C$13,MATCH(Q834,Upgrades!$B$3:$B$13,0))*1.15^(COUNTIF(Q$4:Q833,Q834)-COUNTIF(Q$4:Q833,""Sell_""&amp;Q834))))))"),"")</f>
        <v/>
      </c>
      <c r="V834" s="10" t="str">
        <f t="shared" si="11"/>
        <v/>
      </c>
      <c r="W834" s="68" t="str">
        <f t="shared" si="12"/>
        <v/>
      </c>
      <c r="X834" s="59" t="str">
        <f t="shared" si="13"/>
        <v/>
      </c>
      <c r="Y834" s="69" t="str">
        <f t="shared" si="14"/>
        <v/>
      </c>
      <c r="Z834" s="11"/>
    </row>
    <row r="835">
      <c r="A835" s="8"/>
      <c r="B835" s="56" t="str">
        <f t="shared" si="2"/>
        <v/>
      </c>
      <c r="C835" s="57"/>
      <c r="D835" s="10" t="str">
        <f>IFERROR(__xludf.DUMMYFUNCTION("IF(COUNTA(C835:C1350)=0,"""",IF(ISBLANK(C835),FALSE,IF(NOT(COUNTIF($AA$24:$AA$34,SUBSTITUTE(C835,""Sell_"",""""))),1,IF(REGEXMATCH(C835,""Sell_""),IF(COUNTIF(C$4:C835,SUBSTITUTE(C835,""Sell_"",""""))-COUNTIF(C$4:C834,C835)&lt;1,1),FALSE))))"),"")</f>
        <v/>
      </c>
      <c r="E835" s="59" t="str">
        <f t="array" ref="E835">IF(COUNTA(C835:C1350)=0,"",SUM((COUNTIF(C$4:C835,Upgrades!$B$3:$B$13)-COUNTIF(C$4:C835,"Sell_"&amp;Upgrades!$B$3:$B$13))*Upgrades!$D$3:$D$13))</f>
        <v/>
      </c>
      <c r="F835" s="66" t="str">
        <f>IFERROR(__xludf.DUMMYFUNCTION("IF(COUNTA(C835:C1350)=0,"""",IF(REGEXMATCH(INDEX(FILTER(C$4:C835,C$4:C835&lt;&gt;""""),ROWS(FILTER(C$4:C835,C$4:C835&lt;&gt;""""))),""^Sell_""),INDEX(FILTER(F$4:F834,C$4:C834&lt;&gt;""""),ROWS(FILTER(C$4:C834,C$4:C834&lt;&gt;""""))),$AC$5+E835))"),"")</f>
        <v/>
      </c>
      <c r="G835" s="10" t="str">
        <f>IFERROR(__xludf.DUMMYFUNCTION("IF(COUNTA(C835:C1350)=0,"""",IF(C835="""",0,IF(REGEXMATCH(C835,""^Sell_""),-ROUNDDOWN(ROUNDUP(INDEX(Upgrades!$C$3:$C$13,MATCH(SUBSTITUTE(C835,""Sell_"",""""),Upgrades!$B$3:$B$13,0))*1.15^(COUNTIF(C$4:C834,SUBSTITUTE(C835,""Sell_"",""""))-COUNTIF(C$4:C834,"&amp;"""Sell_""&amp;SUBSTITUTE(C835,""Sell_"",""""))))/2),ROUNDUP(INDEX(Upgrades!$C$3:$C$13,MATCH(C835,Upgrades!$B$3:$B$13,0))*1.15^(COUNTIF(C$4:C834,C835)-COUNTIF(C$4:C834,""Sell_""&amp;C835))))))"),"")</f>
        <v/>
      </c>
      <c r="H835" s="10" t="str">
        <f t="shared" si="3"/>
        <v/>
      </c>
      <c r="I835" s="68" t="str">
        <f t="shared" si="4"/>
        <v/>
      </c>
      <c r="J835" s="59" t="str">
        <f t="shared" si="5"/>
        <v/>
      </c>
      <c r="K835" s="69" t="str">
        <f t="shared" si="6"/>
        <v/>
      </c>
      <c r="L835" s="60" t="str">
        <f t="shared" si="7"/>
        <v/>
      </c>
      <c r="M835" s="61" t="str">
        <f>IFERROR(__xludf.DUMMYFUNCTION("IFS(AND(COUNTA(C835:C1350)=0,COUNTA(Q835:Q1350)=0),"""",OR(AND(K835&gt;=1000000000,OR(Y835&gt;=1000000000,COUNTA(Q835:Q1350)=0)),OR(Y835&gt;=1000000000,AND(COUNTA(C835:C1350)=0,P$3=TRUE))),
ROUNDDOWN((AB$1-AC$1)*MAX(INDEX(T$4:T1350,MATCH(LARGE(FILTER(Y$4:Y1350,Y$4"&amp;":Y1350&lt;1000000000),1),Y$4:Y1350)),INDEX(F$4:F1350,MATCH(LARGE(FILTER(K$4:K1350,K$4:K1350&lt;1000000000),1),K$4:K1350)))),AND(K835&lt;1000000000,COUNTA(C835:C1350)&gt;0,P$3=FALSE),
ROUNDDOWN(INDEX(Y$4:Y1350,MATCH(LARGE(FILTER(W$4:W1350,W$4:W1350&lt;=I835),1),W$4:W1350"&amp;"))+(I835-LARGE(FILTER(W$4:W1350,W$4:W1350&lt;=I835),1))*INDEX(T$4:T1350,MATCH(LARGE(FILTER(W$4:W1350,W$4:W1350&lt;=I835),1),W$4:W1350))-K835),1,
ROUNDDOWN(Y835-INDEX(K$4:K1350,MATCH(LARGE(FILTER(I$4:I1350,I$4:I1350&lt;=W835),1),I$4:I1350))-(W835-LARGE(FILTER(I$4:I"&amp;"1350,I$4:I1350&lt;=W835),1))*INDEX(F$4:F1350,MATCH(LARGE(FILTER(I$4:I1350,I$4:I1350&lt;=W835),1),I$4:I1350))))"),"")</f>
        <v/>
      </c>
      <c r="N835" s="60" t="str">
        <f t="shared" si="8"/>
        <v/>
      </c>
      <c r="O835" s="61" t="str">
        <f t="shared" si="9"/>
        <v/>
      </c>
      <c r="P835" s="56" t="str">
        <f t="shared" si="10"/>
        <v/>
      </c>
      <c r="Q835" s="62"/>
      <c r="R835" s="10" t="str">
        <f>IFERROR(__xludf.DUMMYFUNCTION("IF(COUNTA(Q835:Q1350)=0,"""",IF(ISBLANK(Q835),FALSE,IF(NOT(COUNTIF($AA$24:$AA$34,SUBSTITUTE(Q835,""Sell_"",""""))),1,IF(REGEXMATCH(Q835,""Sell_""),IF(COUNTIF(Q$4:Q835,SUBSTITUTE(Q835,""Sell_"",""""))-COUNTIF(Q$4:Q834,Q835)&lt;1,1),FALSE))))"),"")</f>
        <v/>
      </c>
      <c r="S835" s="59" t="str">
        <f t="array" ref="S835">IF(COUNTA(Q835:Q1350)=0,"",SUM((COUNTIF(Q$4:Q835,Upgrades!$B$3:$B$13)-COUNTIF(Q$4:Q835,"Sell_"&amp;Upgrades!$B$3:$B$13))*Upgrades!$D$3:$D$13))</f>
        <v/>
      </c>
      <c r="T835" s="66" t="str">
        <f>IFERROR(__xludf.DUMMYFUNCTION("IF(COUNTA(Q835:Q1350)=0,"""",IF(REGEXMATCH(INDEX(FILTER(Q$4:Q835,Q$4:Q835&lt;&gt;""""),ROWS(FILTER(Q$4:Q835,Q$4:Q835&lt;&gt;""""))),""^Sell_""),INDEX(FILTER(T$4:T834,Q$4:Q834&lt;&gt;""""),ROWS(FILTER(Q$4:Q834,Q$4:Q834&lt;&gt;""""))),$AD$5+S835))"),"")</f>
        <v/>
      </c>
      <c r="U835" s="10" t="str">
        <f>IFERROR(__xludf.DUMMYFUNCTION("IF(COUNTA(Q835:Q1350)=0,"""",IF(Q835="""",0,IF(REGEXMATCH(Q835,""^Sell_""),-ROUNDDOWN(ROUNDUP(INDEX(Upgrades!$C$3:$C$13,MATCH(SUBSTITUTE(Q835,""Sell_"",""""),Upgrades!$B$3:$B$13,0))*1.15^(COUNTIF(Q$4:Q834,SUBSTITUTE(Q835,""Sell_"",""""))-COUNTIF(Q$4:Q834,"&amp;"""Sell_""&amp;SUBSTITUTE(Q835,""Sell_"",""""))))/2),ROUNDUP(INDEX(Upgrades!$C$3:$C$13,MATCH(Q835,Upgrades!$B$3:$B$13,0))*1.15^(COUNTIF(Q$4:Q834,Q835)-COUNTIF(Q$4:Q834,""Sell_""&amp;Q835))))))"),"")</f>
        <v/>
      </c>
      <c r="V835" s="10" t="str">
        <f t="shared" si="11"/>
        <v/>
      </c>
      <c r="W835" s="68" t="str">
        <f t="shared" si="12"/>
        <v/>
      </c>
      <c r="X835" s="59" t="str">
        <f t="shared" si="13"/>
        <v/>
      </c>
      <c r="Y835" s="69" t="str">
        <f t="shared" si="14"/>
        <v/>
      </c>
      <c r="Z835" s="11"/>
    </row>
    <row r="836">
      <c r="A836" s="8"/>
      <c r="B836" s="56" t="str">
        <f t="shared" si="2"/>
        <v/>
      </c>
      <c r="C836" s="57"/>
      <c r="D836" s="10" t="str">
        <f>IFERROR(__xludf.DUMMYFUNCTION("IF(COUNTA(C836:C1350)=0,"""",IF(ISBLANK(C836),FALSE,IF(NOT(COUNTIF($AA$24:$AA$34,SUBSTITUTE(C836,""Sell_"",""""))),1,IF(REGEXMATCH(C836,""Sell_""),IF(COUNTIF(C$4:C836,SUBSTITUTE(C836,""Sell_"",""""))-COUNTIF(C$4:C835,C836)&lt;1,1),FALSE))))"),"")</f>
        <v/>
      </c>
      <c r="E836" s="59" t="str">
        <f t="array" ref="E836">IF(COUNTA(C836:C1350)=0,"",SUM((COUNTIF(C$4:C836,Upgrades!$B$3:$B$13)-COUNTIF(C$4:C836,"Sell_"&amp;Upgrades!$B$3:$B$13))*Upgrades!$D$3:$D$13))</f>
        <v/>
      </c>
      <c r="F836" s="66" t="str">
        <f>IFERROR(__xludf.DUMMYFUNCTION("IF(COUNTA(C836:C1350)=0,"""",IF(REGEXMATCH(INDEX(FILTER(C$4:C836,C$4:C836&lt;&gt;""""),ROWS(FILTER(C$4:C836,C$4:C836&lt;&gt;""""))),""^Sell_""),INDEX(FILTER(F$4:F835,C$4:C835&lt;&gt;""""),ROWS(FILTER(C$4:C835,C$4:C835&lt;&gt;""""))),$AC$5+E836))"),"")</f>
        <v/>
      </c>
      <c r="G836" s="10" t="str">
        <f>IFERROR(__xludf.DUMMYFUNCTION("IF(COUNTA(C836:C1350)=0,"""",IF(C836="""",0,IF(REGEXMATCH(C836,""^Sell_""),-ROUNDDOWN(ROUNDUP(INDEX(Upgrades!$C$3:$C$13,MATCH(SUBSTITUTE(C836,""Sell_"",""""),Upgrades!$B$3:$B$13,0))*1.15^(COUNTIF(C$4:C835,SUBSTITUTE(C836,""Sell_"",""""))-COUNTIF(C$4:C835,"&amp;"""Sell_""&amp;SUBSTITUTE(C836,""Sell_"",""""))))/2),ROUNDUP(INDEX(Upgrades!$C$3:$C$13,MATCH(C836,Upgrades!$B$3:$B$13,0))*1.15^(COUNTIF(C$4:C835,C836)-COUNTIF(C$4:C835,""Sell_""&amp;C836))))))"),"")</f>
        <v/>
      </c>
      <c r="H836" s="10" t="str">
        <f t="shared" si="3"/>
        <v/>
      </c>
      <c r="I836" s="68" t="str">
        <f t="shared" si="4"/>
        <v/>
      </c>
      <c r="J836" s="59" t="str">
        <f t="shared" si="5"/>
        <v/>
      </c>
      <c r="K836" s="69" t="str">
        <f t="shared" si="6"/>
        <v/>
      </c>
      <c r="L836" s="60" t="str">
        <f t="shared" si="7"/>
        <v/>
      </c>
      <c r="M836" s="61" t="str">
        <f>IFERROR(__xludf.DUMMYFUNCTION("IFS(AND(COUNTA(C836:C1350)=0,COUNTA(Q836:Q1350)=0),"""",OR(AND(K836&gt;=1000000000,OR(Y836&gt;=1000000000,COUNTA(Q836:Q1350)=0)),OR(Y836&gt;=1000000000,AND(COUNTA(C836:C1350)=0,P$3=TRUE))),
ROUNDDOWN((AB$1-AC$1)*MAX(INDEX(T$4:T1350,MATCH(LARGE(FILTER(Y$4:Y1350,Y$4"&amp;":Y1350&lt;1000000000),1),Y$4:Y1350)),INDEX(F$4:F1350,MATCH(LARGE(FILTER(K$4:K1350,K$4:K1350&lt;1000000000),1),K$4:K1350)))),AND(K836&lt;1000000000,COUNTA(C836:C1350)&gt;0,P$3=FALSE),
ROUNDDOWN(INDEX(Y$4:Y1350,MATCH(LARGE(FILTER(W$4:W1350,W$4:W1350&lt;=I836),1),W$4:W1350"&amp;"))+(I836-LARGE(FILTER(W$4:W1350,W$4:W1350&lt;=I836),1))*INDEX(T$4:T1350,MATCH(LARGE(FILTER(W$4:W1350,W$4:W1350&lt;=I836),1),W$4:W1350))-K836),1,
ROUNDDOWN(Y836-INDEX(K$4:K1350,MATCH(LARGE(FILTER(I$4:I1350,I$4:I1350&lt;=W836),1),I$4:I1350))-(W836-LARGE(FILTER(I$4:I"&amp;"1350,I$4:I1350&lt;=W836),1))*INDEX(F$4:F1350,MATCH(LARGE(FILTER(I$4:I1350,I$4:I1350&lt;=W836),1),I$4:I1350))))"),"")</f>
        <v/>
      </c>
      <c r="N836" s="60" t="str">
        <f t="shared" si="8"/>
        <v/>
      </c>
      <c r="O836" s="61" t="str">
        <f t="shared" si="9"/>
        <v/>
      </c>
      <c r="P836" s="56" t="str">
        <f t="shared" si="10"/>
        <v/>
      </c>
      <c r="Q836" s="62"/>
      <c r="R836" s="10" t="str">
        <f>IFERROR(__xludf.DUMMYFUNCTION("IF(COUNTA(Q836:Q1350)=0,"""",IF(ISBLANK(Q836),FALSE,IF(NOT(COUNTIF($AA$24:$AA$34,SUBSTITUTE(Q836,""Sell_"",""""))),1,IF(REGEXMATCH(Q836,""Sell_""),IF(COUNTIF(Q$4:Q836,SUBSTITUTE(Q836,""Sell_"",""""))-COUNTIF(Q$4:Q835,Q836)&lt;1,1),FALSE))))"),"")</f>
        <v/>
      </c>
      <c r="S836" s="59" t="str">
        <f t="array" ref="S836">IF(COUNTA(Q836:Q1350)=0,"",SUM((COUNTIF(Q$4:Q836,Upgrades!$B$3:$B$13)-COUNTIF(Q$4:Q836,"Sell_"&amp;Upgrades!$B$3:$B$13))*Upgrades!$D$3:$D$13))</f>
        <v/>
      </c>
      <c r="T836" s="66" t="str">
        <f>IFERROR(__xludf.DUMMYFUNCTION("IF(COUNTA(Q836:Q1350)=0,"""",IF(REGEXMATCH(INDEX(FILTER(Q$4:Q836,Q$4:Q836&lt;&gt;""""),ROWS(FILTER(Q$4:Q836,Q$4:Q836&lt;&gt;""""))),""^Sell_""),INDEX(FILTER(T$4:T835,Q$4:Q835&lt;&gt;""""),ROWS(FILTER(Q$4:Q835,Q$4:Q835&lt;&gt;""""))),$AD$5+S836))"),"")</f>
        <v/>
      </c>
      <c r="U836" s="10" t="str">
        <f>IFERROR(__xludf.DUMMYFUNCTION("IF(COUNTA(Q836:Q1350)=0,"""",IF(Q836="""",0,IF(REGEXMATCH(Q836,""^Sell_""),-ROUNDDOWN(ROUNDUP(INDEX(Upgrades!$C$3:$C$13,MATCH(SUBSTITUTE(Q836,""Sell_"",""""),Upgrades!$B$3:$B$13,0))*1.15^(COUNTIF(Q$4:Q835,SUBSTITUTE(Q836,""Sell_"",""""))-COUNTIF(Q$4:Q835,"&amp;"""Sell_""&amp;SUBSTITUTE(Q836,""Sell_"",""""))))/2),ROUNDUP(INDEX(Upgrades!$C$3:$C$13,MATCH(Q836,Upgrades!$B$3:$B$13,0))*1.15^(COUNTIF(Q$4:Q835,Q836)-COUNTIF(Q$4:Q835,""Sell_""&amp;Q836))))))"),"")</f>
        <v/>
      </c>
      <c r="V836" s="10" t="str">
        <f t="shared" si="11"/>
        <v/>
      </c>
      <c r="W836" s="68" t="str">
        <f t="shared" si="12"/>
        <v/>
      </c>
      <c r="X836" s="59" t="str">
        <f t="shared" si="13"/>
        <v/>
      </c>
      <c r="Y836" s="69" t="str">
        <f t="shared" si="14"/>
        <v/>
      </c>
      <c r="Z836" s="11"/>
    </row>
    <row r="837">
      <c r="A837" s="8"/>
      <c r="B837" s="56" t="str">
        <f t="shared" si="2"/>
        <v/>
      </c>
      <c r="C837" s="57"/>
      <c r="D837" s="10" t="str">
        <f>IFERROR(__xludf.DUMMYFUNCTION("IF(COUNTA(C837:C1350)=0,"""",IF(ISBLANK(C837),FALSE,IF(NOT(COUNTIF($AA$24:$AA$34,SUBSTITUTE(C837,""Sell_"",""""))),1,IF(REGEXMATCH(C837,""Sell_""),IF(COUNTIF(C$4:C837,SUBSTITUTE(C837,""Sell_"",""""))-COUNTIF(C$4:C836,C837)&lt;1,1),FALSE))))"),"")</f>
        <v/>
      </c>
      <c r="E837" s="59" t="str">
        <f t="array" ref="E837">IF(COUNTA(C837:C1350)=0,"",SUM((COUNTIF(C$4:C837,Upgrades!$B$3:$B$13)-COUNTIF(C$4:C837,"Sell_"&amp;Upgrades!$B$3:$B$13))*Upgrades!$D$3:$D$13))</f>
        <v/>
      </c>
      <c r="F837" s="66" t="str">
        <f>IFERROR(__xludf.DUMMYFUNCTION("IF(COUNTA(C837:C1350)=0,"""",IF(REGEXMATCH(INDEX(FILTER(C$4:C837,C$4:C837&lt;&gt;""""),ROWS(FILTER(C$4:C837,C$4:C837&lt;&gt;""""))),""^Sell_""),INDEX(FILTER(F$4:F836,C$4:C836&lt;&gt;""""),ROWS(FILTER(C$4:C836,C$4:C836&lt;&gt;""""))),$AC$5+E837))"),"")</f>
        <v/>
      </c>
      <c r="G837" s="10" t="str">
        <f>IFERROR(__xludf.DUMMYFUNCTION("IF(COUNTA(C837:C1350)=0,"""",IF(C837="""",0,IF(REGEXMATCH(C837,""^Sell_""),-ROUNDDOWN(ROUNDUP(INDEX(Upgrades!$C$3:$C$13,MATCH(SUBSTITUTE(C837,""Sell_"",""""),Upgrades!$B$3:$B$13,0))*1.15^(COUNTIF(C$4:C836,SUBSTITUTE(C837,""Sell_"",""""))-COUNTIF(C$4:C836,"&amp;"""Sell_""&amp;SUBSTITUTE(C837,""Sell_"",""""))))/2),ROUNDUP(INDEX(Upgrades!$C$3:$C$13,MATCH(C837,Upgrades!$B$3:$B$13,0))*1.15^(COUNTIF(C$4:C836,C837)-COUNTIF(C$4:C836,""Sell_""&amp;C837))))))"),"")</f>
        <v/>
      </c>
      <c r="H837" s="10" t="str">
        <f t="shared" si="3"/>
        <v/>
      </c>
      <c r="I837" s="68" t="str">
        <f t="shared" si="4"/>
        <v/>
      </c>
      <c r="J837" s="59" t="str">
        <f t="shared" si="5"/>
        <v/>
      </c>
      <c r="K837" s="69" t="str">
        <f t="shared" si="6"/>
        <v/>
      </c>
      <c r="L837" s="60" t="str">
        <f t="shared" si="7"/>
        <v/>
      </c>
      <c r="M837" s="61" t="str">
        <f>IFERROR(__xludf.DUMMYFUNCTION("IFS(AND(COUNTA(C837:C1350)=0,COUNTA(Q837:Q1350)=0),"""",OR(AND(K837&gt;=1000000000,OR(Y837&gt;=1000000000,COUNTA(Q837:Q1350)=0)),OR(Y837&gt;=1000000000,AND(COUNTA(C837:C1350)=0,P$3=TRUE))),
ROUNDDOWN((AB$1-AC$1)*MAX(INDEX(T$4:T1350,MATCH(LARGE(FILTER(Y$4:Y1350,Y$4"&amp;":Y1350&lt;1000000000),1),Y$4:Y1350)),INDEX(F$4:F1350,MATCH(LARGE(FILTER(K$4:K1350,K$4:K1350&lt;1000000000),1),K$4:K1350)))),AND(K837&lt;1000000000,COUNTA(C837:C1350)&gt;0,P$3=FALSE),
ROUNDDOWN(INDEX(Y$4:Y1350,MATCH(LARGE(FILTER(W$4:W1350,W$4:W1350&lt;=I837),1),W$4:W1350"&amp;"))+(I837-LARGE(FILTER(W$4:W1350,W$4:W1350&lt;=I837),1))*INDEX(T$4:T1350,MATCH(LARGE(FILTER(W$4:W1350,W$4:W1350&lt;=I837),1),W$4:W1350))-K837),1,
ROUNDDOWN(Y837-INDEX(K$4:K1350,MATCH(LARGE(FILTER(I$4:I1350,I$4:I1350&lt;=W837),1),I$4:I1350))-(W837-LARGE(FILTER(I$4:I"&amp;"1350,I$4:I1350&lt;=W837),1))*INDEX(F$4:F1350,MATCH(LARGE(FILTER(I$4:I1350,I$4:I1350&lt;=W837),1),I$4:I1350))))"),"")</f>
        <v/>
      </c>
      <c r="N837" s="60" t="str">
        <f t="shared" si="8"/>
        <v/>
      </c>
      <c r="O837" s="61" t="str">
        <f t="shared" si="9"/>
        <v/>
      </c>
      <c r="P837" s="56" t="str">
        <f t="shared" si="10"/>
        <v/>
      </c>
      <c r="Q837" s="62"/>
      <c r="R837" s="10" t="str">
        <f>IFERROR(__xludf.DUMMYFUNCTION("IF(COUNTA(Q837:Q1350)=0,"""",IF(ISBLANK(Q837),FALSE,IF(NOT(COUNTIF($AA$24:$AA$34,SUBSTITUTE(Q837,""Sell_"",""""))),1,IF(REGEXMATCH(Q837,""Sell_""),IF(COUNTIF(Q$4:Q837,SUBSTITUTE(Q837,""Sell_"",""""))-COUNTIF(Q$4:Q836,Q837)&lt;1,1),FALSE))))"),"")</f>
        <v/>
      </c>
      <c r="S837" s="59" t="str">
        <f t="array" ref="S837">IF(COUNTA(Q837:Q1350)=0,"",SUM((COUNTIF(Q$4:Q837,Upgrades!$B$3:$B$13)-COUNTIF(Q$4:Q837,"Sell_"&amp;Upgrades!$B$3:$B$13))*Upgrades!$D$3:$D$13))</f>
        <v/>
      </c>
      <c r="T837" s="66" t="str">
        <f>IFERROR(__xludf.DUMMYFUNCTION("IF(COUNTA(Q837:Q1350)=0,"""",IF(REGEXMATCH(INDEX(FILTER(Q$4:Q837,Q$4:Q837&lt;&gt;""""),ROWS(FILTER(Q$4:Q837,Q$4:Q837&lt;&gt;""""))),""^Sell_""),INDEX(FILTER(T$4:T836,Q$4:Q836&lt;&gt;""""),ROWS(FILTER(Q$4:Q836,Q$4:Q836&lt;&gt;""""))),$AD$5+S837))"),"")</f>
        <v/>
      </c>
      <c r="U837" s="10" t="str">
        <f>IFERROR(__xludf.DUMMYFUNCTION("IF(COUNTA(Q837:Q1350)=0,"""",IF(Q837="""",0,IF(REGEXMATCH(Q837,""^Sell_""),-ROUNDDOWN(ROUNDUP(INDEX(Upgrades!$C$3:$C$13,MATCH(SUBSTITUTE(Q837,""Sell_"",""""),Upgrades!$B$3:$B$13,0))*1.15^(COUNTIF(Q$4:Q836,SUBSTITUTE(Q837,""Sell_"",""""))-COUNTIF(Q$4:Q836,"&amp;"""Sell_""&amp;SUBSTITUTE(Q837,""Sell_"",""""))))/2),ROUNDUP(INDEX(Upgrades!$C$3:$C$13,MATCH(Q837,Upgrades!$B$3:$B$13,0))*1.15^(COUNTIF(Q$4:Q836,Q837)-COUNTIF(Q$4:Q836,""Sell_""&amp;Q837))))))"),"")</f>
        <v/>
      </c>
      <c r="V837" s="10" t="str">
        <f t="shared" si="11"/>
        <v/>
      </c>
      <c r="W837" s="68" t="str">
        <f t="shared" si="12"/>
        <v/>
      </c>
      <c r="X837" s="59" t="str">
        <f t="shared" si="13"/>
        <v/>
      </c>
      <c r="Y837" s="69" t="str">
        <f t="shared" si="14"/>
        <v/>
      </c>
      <c r="Z837" s="11"/>
    </row>
    <row r="838">
      <c r="A838" s="8"/>
      <c r="B838" s="56" t="str">
        <f t="shared" si="2"/>
        <v/>
      </c>
      <c r="C838" s="57"/>
      <c r="D838" s="10" t="str">
        <f>IFERROR(__xludf.DUMMYFUNCTION("IF(COUNTA(C838:C1350)=0,"""",IF(ISBLANK(C838),FALSE,IF(NOT(COUNTIF($AA$24:$AA$34,SUBSTITUTE(C838,""Sell_"",""""))),1,IF(REGEXMATCH(C838,""Sell_""),IF(COUNTIF(C$4:C838,SUBSTITUTE(C838,""Sell_"",""""))-COUNTIF(C$4:C837,C838)&lt;1,1),FALSE))))"),"")</f>
        <v/>
      </c>
      <c r="E838" s="59" t="str">
        <f t="array" ref="E838">IF(COUNTA(C838:C1350)=0,"",SUM((COUNTIF(C$4:C838,Upgrades!$B$3:$B$13)-COUNTIF(C$4:C838,"Sell_"&amp;Upgrades!$B$3:$B$13))*Upgrades!$D$3:$D$13))</f>
        <v/>
      </c>
      <c r="F838" s="66" t="str">
        <f>IFERROR(__xludf.DUMMYFUNCTION("IF(COUNTA(C838:C1350)=0,"""",IF(REGEXMATCH(INDEX(FILTER(C$4:C838,C$4:C838&lt;&gt;""""),ROWS(FILTER(C$4:C838,C$4:C838&lt;&gt;""""))),""^Sell_""),INDEX(FILTER(F$4:F837,C$4:C837&lt;&gt;""""),ROWS(FILTER(C$4:C837,C$4:C837&lt;&gt;""""))),$AC$5+E838))"),"")</f>
        <v/>
      </c>
      <c r="G838" s="10" t="str">
        <f>IFERROR(__xludf.DUMMYFUNCTION("IF(COUNTA(C838:C1350)=0,"""",IF(C838="""",0,IF(REGEXMATCH(C838,""^Sell_""),-ROUNDDOWN(ROUNDUP(INDEX(Upgrades!$C$3:$C$13,MATCH(SUBSTITUTE(C838,""Sell_"",""""),Upgrades!$B$3:$B$13,0))*1.15^(COUNTIF(C$4:C837,SUBSTITUTE(C838,""Sell_"",""""))-COUNTIF(C$4:C837,"&amp;"""Sell_""&amp;SUBSTITUTE(C838,""Sell_"",""""))))/2),ROUNDUP(INDEX(Upgrades!$C$3:$C$13,MATCH(C838,Upgrades!$B$3:$B$13,0))*1.15^(COUNTIF(C$4:C837,C838)-COUNTIF(C$4:C837,""Sell_""&amp;C838))))))"),"")</f>
        <v/>
      </c>
      <c r="H838" s="10" t="str">
        <f t="shared" si="3"/>
        <v/>
      </c>
      <c r="I838" s="68" t="str">
        <f t="shared" si="4"/>
        <v/>
      </c>
      <c r="J838" s="59" t="str">
        <f t="shared" si="5"/>
        <v/>
      </c>
      <c r="K838" s="69" t="str">
        <f t="shared" si="6"/>
        <v/>
      </c>
      <c r="L838" s="60" t="str">
        <f t="shared" si="7"/>
        <v/>
      </c>
      <c r="M838" s="61" t="str">
        <f>IFERROR(__xludf.DUMMYFUNCTION("IFS(AND(COUNTA(C838:C1350)=0,COUNTA(Q838:Q1350)=0),"""",OR(AND(K838&gt;=1000000000,OR(Y838&gt;=1000000000,COUNTA(Q838:Q1350)=0)),OR(Y838&gt;=1000000000,AND(COUNTA(C838:C1350)=0,P$3=TRUE))),
ROUNDDOWN((AB$1-AC$1)*MAX(INDEX(T$4:T1350,MATCH(LARGE(FILTER(Y$4:Y1350,Y$4"&amp;":Y1350&lt;1000000000),1),Y$4:Y1350)),INDEX(F$4:F1350,MATCH(LARGE(FILTER(K$4:K1350,K$4:K1350&lt;1000000000),1),K$4:K1350)))),AND(K838&lt;1000000000,COUNTA(C838:C1350)&gt;0,P$3=FALSE),
ROUNDDOWN(INDEX(Y$4:Y1350,MATCH(LARGE(FILTER(W$4:W1350,W$4:W1350&lt;=I838),1),W$4:W1350"&amp;"))+(I838-LARGE(FILTER(W$4:W1350,W$4:W1350&lt;=I838),1))*INDEX(T$4:T1350,MATCH(LARGE(FILTER(W$4:W1350,W$4:W1350&lt;=I838),1),W$4:W1350))-K838),1,
ROUNDDOWN(Y838-INDEX(K$4:K1350,MATCH(LARGE(FILTER(I$4:I1350,I$4:I1350&lt;=W838),1),I$4:I1350))-(W838-LARGE(FILTER(I$4:I"&amp;"1350,I$4:I1350&lt;=W838),1))*INDEX(F$4:F1350,MATCH(LARGE(FILTER(I$4:I1350,I$4:I1350&lt;=W838),1),I$4:I1350))))"),"")</f>
        <v/>
      </c>
      <c r="N838" s="60" t="str">
        <f t="shared" si="8"/>
        <v/>
      </c>
      <c r="O838" s="61" t="str">
        <f t="shared" si="9"/>
        <v/>
      </c>
      <c r="P838" s="56" t="str">
        <f t="shared" si="10"/>
        <v/>
      </c>
      <c r="Q838" s="62"/>
      <c r="R838" s="10" t="str">
        <f>IFERROR(__xludf.DUMMYFUNCTION("IF(COUNTA(Q838:Q1350)=0,"""",IF(ISBLANK(Q838),FALSE,IF(NOT(COUNTIF($AA$24:$AA$34,SUBSTITUTE(Q838,""Sell_"",""""))),1,IF(REGEXMATCH(Q838,""Sell_""),IF(COUNTIF(Q$4:Q838,SUBSTITUTE(Q838,""Sell_"",""""))-COUNTIF(Q$4:Q837,Q838)&lt;1,1),FALSE))))"),"")</f>
        <v/>
      </c>
      <c r="S838" s="59" t="str">
        <f t="array" ref="S838">IF(COUNTA(Q838:Q1350)=0,"",SUM((COUNTIF(Q$4:Q838,Upgrades!$B$3:$B$13)-COUNTIF(Q$4:Q838,"Sell_"&amp;Upgrades!$B$3:$B$13))*Upgrades!$D$3:$D$13))</f>
        <v/>
      </c>
      <c r="T838" s="66" t="str">
        <f>IFERROR(__xludf.DUMMYFUNCTION("IF(COUNTA(Q838:Q1350)=0,"""",IF(REGEXMATCH(INDEX(FILTER(Q$4:Q838,Q$4:Q838&lt;&gt;""""),ROWS(FILTER(Q$4:Q838,Q$4:Q838&lt;&gt;""""))),""^Sell_""),INDEX(FILTER(T$4:T837,Q$4:Q837&lt;&gt;""""),ROWS(FILTER(Q$4:Q837,Q$4:Q837&lt;&gt;""""))),$AD$5+S838))"),"")</f>
        <v/>
      </c>
      <c r="U838" s="10" t="str">
        <f>IFERROR(__xludf.DUMMYFUNCTION("IF(COUNTA(Q838:Q1350)=0,"""",IF(Q838="""",0,IF(REGEXMATCH(Q838,""^Sell_""),-ROUNDDOWN(ROUNDUP(INDEX(Upgrades!$C$3:$C$13,MATCH(SUBSTITUTE(Q838,""Sell_"",""""),Upgrades!$B$3:$B$13,0))*1.15^(COUNTIF(Q$4:Q837,SUBSTITUTE(Q838,""Sell_"",""""))-COUNTIF(Q$4:Q837,"&amp;"""Sell_""&amp;SUBSTITUTE(Q838,""Sell_"",""""))))/2),ROUNDUP(INDEX(Upgrades!$C$3:$C$13,MATCH(Q838,Upgrades!$B$3:$B$13,0))*1.15^(COUNTIF(Q$4:Q837,Q838)-COUNTIF(Q$4:Q837,""Sell_""&amp;Q838))))))"),"")</f>
        <v/>
      </c>
      <c r="V838" s="10" t="str">
        <f t="shared" si="11"/>
        <v/>
      </c>
      <c r="W838" s="68" t="str">
        <f t="shared" si="12"/>
        <v/>
      </c>
      <c r="X838" s="59" t="str">
        <f t="shared" si="13"/>
        <v/>
      </c>
      <c r="Y838" s="69" t="str">
        <f t="shared" si="14"/>
        <v/>
      </c>
      <c r="Z838" s="11"/>
    </row>
    <row r="839">
      <c r="A839" s="8"/>
      <c r="B839" s="56" t="str">
        <f t="shared" si="2"/>
        <v/>
      </c>
      <c r="C839" s="57"/>
      <c r="D839" s="10" t="str">
        <f>IFERROR(__xludf.DUMMYFUNCTION("IF(COUNTA(C839:C1350)=0,"""",IF(ISBLANK(C839),FALSE,IF(NOT(COUNTIF($AA$24:$AA$34,SUBSTITUTE(C839,""Sell_"",""""))),1,IF(REGEXMATCH(C839,""Sell_""),IF(COUNTIF(C$4:C839,SUBSTITUTE(C839,""Sell_"",""""))-COUNTIF(C$4:C838,C839)&lt;1,1),FALSE))))"),"")</f>
        <v/>
      </c>
      <c r="E839" s="59" t="str">
        <f t="array" ref="E839">IF(COUNTA(C839:C1350)=0,"",SUM((COUNTIF(C$4:C839,Upgrades!$B$3:$B$13)-COUNTIF(C$4:C839,"Sell_"&amp;Upgrades!$B$3:$B$13))*Upgrades!$D$3:$D$13))</f>
        <v/>
      </c>
      <c r="F839" s="66" t="str">
        <f>IFERROR(__xludf.DUMMYFUNCTION("IF(COUNTA(C839:C1350)=0,"""",IF(REGEXMATCH(INDEX(FILTER(C$4:C839,C$4:C839&lt;&gt;""""),ROWS(FILTER(C$4:C839,C$4:C839&lt;&gt;""""))),""^Sell_""),INDEX(FILTER(F$4:F838,C$4:C838&lt;&gt;""""),ROWS(FILTER(C$4:C838,C$4:C838&lt;&gt;""""))),$AC$5+E839))"),"")</f>
        <v/>
      </c>
      <c r="G839" s="10" t="str">
        <f>IFERROR(__xludf.DUMMYFUNCTION("IF(COUNTA(C839:C1350)=0,"""",IF(C839="""",0,IF(REGEXMATCH(C839,""^Sell_""),-ROUNDDOWN(ROUNDUP(INDEX(Upgrades!$C$3:$C$13,MATCH(SUBSTITUTE(C839,""Sell_"",""""),Upgrades!$B$3:$B$13,0))*1.15^(COUNTIF(C$4:C838,SUBSTITUTE(C839,""Sell_"",""""))-COUNTIF(C$4:C838,"&amp;"""Sell_""&amp;SUBSTITUTE(C839,""Sell_"",""""))))/2),ROUNDUP(INDEX(Upgrades!$C$3:$C$13,MATCH(C839,Upgrades!$B$3:$B$13,0))*1.15^(COUNTIF(C$4:C838,C839)-COUNTIF(C$4:C838,""Sell_""&amp;C839))))))"),"")</f>
        <v/>
      </c>
      <c r="H839" s="10" t="str">
        <f t="shared" si="3"/>
        <v/>
      </c>
      <c r="I839" s="68" t="str">
        <f t="shared" si="4"/>
        <v/>
      </c>
      <c r="J839" s="59" t="str">
        <f t="shared" si="5"/>
        <v/>
      </c>
      <c r="K839" s="69" t="str">
        <f t="shared" si="6"/>
        <v/>
      </c>
      <c r="L839" s="60" t="str">
        <f t="shared" si="7"/>
        <v/>
      </c>
      <c r="M839" s="61" t="str">
        <f>IFERROR(__xludf.DUMMYFUNCTION("IFS(AND(COUNTA(C839:C1350)=0,COUNTA(Q839:Q1350)=0),"""",OR(AND(K839&gt;=1000000000,OR(Y839&gt;=1000000000,COUNTA(Q839:Q1350)=0)),OR(Y839&gt;=1000000000,AND(COUNTA(C839:C1350)=0,P$3=TRUE))),
ROUNDDOWN((AB$1-AC$1)*MAX(INDEX(T$4:T1350,MATCH(LARGE(FILTER(Y$4:Y1350,Y$4"&amp;":Y1350&lt;1000000000),1),Y$4:Y1350)),INDEX(F$4:F1350,MATCH(LARGE(FILTER(K$4:K1350,K$4:K1350&lt;1000000000),1),K$4:K1350)))),AND(K839&lt;1000000000,COUNTA(C839:C1350)&gt;0,P$3=FALSE),
ROUNDDOWN(INDEX(Y$4:Y1350,MATCH(LARGE(FILTER(W$4:W1350,W$4:W1350&lt;=I839),1),W$4:W1350"&amp;"))+(I839-LARGE(FILTER(W$4:W1350,W$4:W1350&lt;=I839),1))*INDEX(T$4:T1350,MATCH(LARGE(FILTER(W$4:W1350,W$4:W1350&lt;=I839),1),W$4:W1350))-K839),1,
ROUNDDOWN(Y839-INDEX(K$4:K1350,MATCH(LARGE(FILTER(I$4:I1350,I$4:I1350&lt;=W839),1),I$4:I1350))-(W839-LARGE(FILTER(I$4:I"&amp;"1350,I$4:I1350&lt;=W839),1))*INDEX(F$4:F1350,MATCH(LARGE(FILTER(I$4:I1350,I$4:I1350&lt;=W839),1),I$4:I1350))))"),"")</f>
        <v/>
      </c>
      <c r="N839" s="60" t="str">
        <f t="shared" si="8"/>
        <v/>
      </c>
      <c r="O839" s="61" t="str">
        <f t="shared" si="9"/>
        <v/>
      </c>
      <c r="P839" s="56" t="str">
        <f t="shared" si="10"/>
        <v/>
      </c>
      <c r="Q839" s="62"/>
      <c r="R839" s="10" t="str">
        <f>IFERROR(__xludf.DUMMYFUNCTION("IF(COUNTA(Q839:Q1350)=0,"""",IF(ISBLANK(Q839),FALSE,IF(NOT(COUNTIF($AA$24:$AA$34,SUBSTITUTE(Q839,""Sell_"",""""))),1,IF(REGEXMATCH(Q839,""Sell_""),IF(COUNTIF(Q$4:Q839,SUBSTITUTE(Q839,""Sell_"",""""))-COUNTIF(Q$4:Q838,Q839)&lt;1,1),FALSE))))"),"")</f>
        <v/>
      </c>
      <c r="S839" s="59" t="str">
        <f t="array" ref="S839">IF(COUNTA(Q839:Q1350)=0,"",SUM((COUNTIF(Q$4:Q839,Upgrades!$B$3:$B$13)-COUNTIF(Q$4:Q839,"Sell_"&amp;Upgrades!$B$3:$B$13))*Upgrades!$D$3:$D$13))</f>
        <v/>
      </c>
      <c r="T839" s="66" t="str">
        <f>IFERROR(__xludf.DUMMYFUNCTION("IF(COUNTA(Q839:Q1350)=0,"""",IF(REGEXMATCH(INDEX(FILTER(Q$4:Q839,Q$4:Q839&lt;&gt;""""),ROWS(FILTER(Q$4:Q839,Q$4:Q839&lt;&gt;""""))),""^Sell_""),INDEX(FILTER(T$4:T838,Q$4:Q838&lt;&gt;""""),ROWS(FILTER(Q$4:Q838,Q$4:Q838&lt;&gt;""""))),$AD$5+S839))"),"")</f>
        <v/>
      </c>
      <c r="U839" s="10" t="str">
        <f>IFERROR(__xludf.DUMMYFUNCTION("IF(COUNTA(Q839:Q1350)=0,"""",IF(Q839="""",0,IF(REGEXMATCH(Q839,""^Sell_""),-ROUNDDOWN(ROUNDUP(INDEX(Upgrades!$C$3:$C$13,MATCH(SUBSTITUTE(Q839,""Sell_"",""""),Upgrades!$B$3:$B$13,0))*1.15^(COUNTIF(Q$4:Q838,SUBSTITUTE(Q839,""Sell_"",""""))-COUNTIF(Q$4:Q838,"&amp;"""Sell_""&amp;SUBSTITUTE(Q839,""Sell_"",""""))))/2),ROUNDUP(INDEX(Upgrades!$C$3:$C$13,MATCH(Q839,Upgrades!$B$3:$B$13,0))*1.15^(COUNTIF(Q$4:Q838,Q839)-COUNTIF(Q$4:Q838,""Sell_""&amp;Q839))))))"),"")</f>
        <v/>
      </c>
      <c r="V839" s="10" t="str">
        <f t="shared" si="11"/>
        <v/>
      </c>
      <c r="W839" s="68" t="str">
        <f t="shared" si="12"/>
        <v/>
      </c>
      <c r="X839" s="59" t="str">
        <f t="shared" si="13"/>
        <v/>
      </c>
      <c r="Y839" s="69" t="str">
        <f t="shared" si="14"/>
        <v/>
      </c>
      <c r="Z839" s="11"/>
    </row>
    <row r="840">
      <c r="A840" s="8"/>
      <c r="B840" s="56" t="str">
        <f t="shared" si="2"/>
        <v/>
      </c>
      <c r="C840" s="57"/>
      <c r="D840" s="10" t="str">
        <f>IFERROR(__xludf.DUMMYFUNCTION("IF(COUNTA(C840:C1350)=0,"""",IF(ISBLANK(C840),FALSE,IF(NOT(COUNTIF($AA$24:$AA$34,SUBSTITUTE(C840,""Sell_"",""""))),1,IF(REGEXMATCH(C840,""Sell_""),IF(COUNTIF(C$4:C840,SUBSTITUTE(C840,""Sell_"",""""))-COUNTIF(C$4:C839,C840)&lt;1,1),FALSE))))"),"")</f>
        <v/>
      </c>
      <c r="E840" s="59" t="str">
        <f t="array" ref="E840">IF(COUNTA(C840:C1350)=0,"",SUM((COUNTIF(C$4:C840,Upgrades!$B$3:$B$13)-COUNTIF(C$4:C840,"Sell_"&amp;Upgrades!$B$3:$B$13))*Upgrades!$D$3:$D$13))</f>
        <v/>
      </c>
      <c r="F840" s="66" t="str">
        <f>IFERROR(__xludf.DUMMYFUNCTION("IF(COUNTA(C840:C1350)=0,"""",IF(REGEXMATCH(INDEX(FILTER(C$4:C840,C$4:C840&lt;&gt;""""),ROWS(FILTER(C$4:C840,C$4:C840&lt;&gt;""""))),""^Sell_""),INDEX(FILTER(F$4:F839,C$4:C839&lt;&gt;""""),ROWS(FILTER(C$4:C839,C$4:C839&lt;&gt;""""))),$AC$5+E840))"),"")</f>
        <v/>
      </c>
      <c r="G840" s="10" t="str">
        <f>IFERROR(__xludf.DUMMYFUNCTION("IF(COUNTA(C840:C1350)=0,"""",IF(C840="""",0,IF(REGEXMATCH(C840,""^Sell_""),-ROUNDDOWN(ROUNDUP(INDEX(Upgrades!$C$3:$C$13,MATCH(SUBSTITUTE(C840,""Sell_"",""""),Upgrades!$B$3:$B$13,0))*1.15^(COUNTIF(C$4:C839,SUBSTITUTE(C840,""Sell_"",""""))-COUNTIF(C$4:C839,"&amp;"""Sell_""&amp;SUBSTITUTE(C840,""Sell_"",""""))))/2),ROUNDUP(INDEX(Upgrades!$C$3:$C$13,MATCH(C840,Upgrades!$B$3:$B$13,0))*1.15^(COUNTIF(C$4:C839,C840)-COUNTIF(C$4:C839,""Sell_""&amp;C840))))))"),"")</f>
        <v/>
      </c>
      <c r="H840" s="10" t="str">
        <f t="shared" si="3"/>
        <v/>
      </c>
      <c r="I840" s="68" t="str">
        <f t="shared" si="4"/>
        <v/>
      </c>
      <c r="J840" s="59" t="str">
        <f t="shared" si="5"/>
        <v/>
      </c>
      <c r="K840" s="69" t="str">
        <f t="shared" si="6"/>
        <v/>
      </c>
      <c r="L840" s="60" t="str">
        <f t="shared" si="7"/>
        <v/>
      </c>
      <c r="M840" s="61" t="str">
        <f>IFERROR(__xludf.DUMMYFUNCTION("IFS(AND(COUNTA(C840:C1350)=0,COUNTA(Q840:Q1350)=0),"""",OR(AND(K840&gt;=1000000000,OR(Y840&gt;=1000000000,COUNTA(Q840:Q1350)=0)),OR(Y840&gt;=1000000000,AND(COUNTA(C840:C1350)=0,P$3=TRUE))),
ROUNDDOWN((AB$1-AC$1)*MAX(INDEX(T$4:T1350,MATCH(LARGE(FILTER(Y$4:Y1350,Y$4"&amp;":Y1350&lt;1000000000),1),Y$4:Y1350)),INDEX(F$4:F1350,MATCH(LARGE(FILTER(K$4:K1350,K$4:K1350&lt;1000000000),1),K$4:K1350)))),AND(K840&lt;1000000000,COUNTA(C840:C1350)&gt;0,P$3=FALSE),
ROUNDDOWN(INDEX(Y$4:Y1350,MATCH(LARGE(FILTER(W$4:W1350,W$4:W1350&lt;=I840),1),W$4:W1350"&amp;"))+(I840-LARGE(FILTER(W$4:W1350,W$4:W1350&lt;=I840),1))*INDEX(T$4:T1350,MATCH(LARGE(FILTER(W$4:W1350,W$4:W1350&lt;=I840),1),W$4:W1350))-K840),1,
ROUNDDOWN(Y840-INDEX(K$4:K1350,MATCH(LARGE(FILTER(I$4:I1350,I$4:I1350&lt;=W840),1),I$4:I1350))-(W840-LARGE(FILTER(I$4:I"&amp;"1350,I$4:I1350&lt;=W840),1))*INDEX(F$4:F1350,MATCH(LARGE(FILTER(I$4:I1350,I$4:I1350&lt;=W840),1),I$4:I1350))))"),"")</f>
        <v/>
      </c>
      <c r="N840" s="60" t="str">
        <f t="shared" si="8"/>
        <v/>
      </c>
      <c r="O840" s="61" t="str">
        <f t="shared" si="9"/>
        <v/>
      </c>
      <c r="P840" s="56" t="str">
        <f t="shared" si="10"/>
        <v/>
      </c>
      <c r="Q840" s="62"/>
      <c r="R840" s="10" t="str">
        <f>IFERROR(__xludf.DUMMYFUNCTION("IF(COUNTA(Q840:Q1350)=0,"""",IF(ISBLANK(Q840),FALSE,IF(NOT(COUNTIF($AA$24:$AA$34,SUBSTITUTE(Q840,""Sell_"",""""))),1,IF(REGEXMATCH(Q840,""Sell_""),IF(COUNTIF(Q$4:Q840,SUBSTITUTE(Q840,""Sell_"",""""))-COUNTIF(Q$4:Q839,Q840)&lt;1,1),FALSE))))"),"")</f>
        <v/>
      </c>
      <c r="S840" s="59" t="str">
        <f t="array" ref="S840">IF(COUNTA(Q840:Q1350)=0,"",SUM((COUNTIF(Q$4:Q840,Upgrades!$B$3:$B$13)-COUNTIF(Q$4:Q840,"Sell_"&amp;Upgrades!$B$3:$B$13))*Upgrades!$D$3:$D$13))</f>
        <v/>
      </c>
      <c r="T840" s="66" t="str">
        <f>IFERROR(__xludf.DUMMYFUNCTION("IF(COUNTA(Q840:Q1350)=0,"""",IF(REGEXMATCH(INDEX(FILTER(Q$4:Q840,Q$4:Q840&lt;&gt;""""),ROWS(FILTER(Q$4:Q840,Q$4:Q840&lt;&gt;""""))),""^Sell_""),INDEX(FILTER(T$4:T839,Q$4:Q839&lt;&gt;""""),ROWS(FILTER(Q$4:Q839,Q$4:Q839&lt;&gt;""""))),$AD$5+S840))"),"")</f>
        <v/>
      </c>
      <c r="U840" s="10" t="str">
        <f>IFERROR(__xludf.DUMMYFUNCTION("IF(COUNTA(Q840:Q1350)=0,"""",IF(Q840="""",0,IF(REGEXMATCH(Q840,""^Sell_""),-ROUNDDOWN(ROUNDUP(INDEX(Upgrades!$C$3:$C$13,MATCH(SUBSTITUTE(Q840,""Sell_"",""""),Upgrades!$B$3:$B$13,0))*1.15^(COUNTIF(Q$4:Q839,SUBSTITUTE(Q840,""Sell_"",""""))-COUNTIF(Q$4:Q839,"&amp;"""Sell_""&amp;SUBSTITUTE(Q840,""Sell_"",""""))))/2),ROUNDUP(INDEX(Upgrades!$C$3:$C$13,MATCH(Q840,Upgrades!$B$3:$B$13,0))*1.15^(COUNTIF(Q$4:Q839,Q840)-COUNTIF(Q$4:Q839,""Sell_""&amp;Q840))))))"),"")</f>
        <v/>
      </c>
      <c r="V840" s="10" t="str">
        <f t="shared" si="11"/>
        <v/>
      </c>
      <c r="W840" s="68" t="str">
        <f t="shared" si="12"/>
        <v/>
      </c>
      <c r="X840" s="59" t="str">
        <f t="shared" si="13"/>
        <v/>
      </c>
      <c r="Y840" s="69" t="str">
        <f t="shared" si="14"/>
        <v/>
      </c>
      <c r="Z840" s="11"/>
    </row>
    <row r="841">
      <c r="A841" s="8"/>
      <c r="B841" s="56" t="str">
        <f t="shared" si="2"/>
        <v/>
      </c>
      <c r="C841" s="57"/>
      <c r="D841" s="10" t="str">
        <f>IFERROR(__xludf.DUMMYFUNCTION("IF(COUNTA(C841:C1350)=0,"""",IF(ISBLANK(C841),FALSE,IF(NOT(COUNTIF($AA$24:$AA$34,SUBSTITUTE(C841,""Sell_"",""""))),1,IF(REGEXMATCH(C841,""Sell_""),IF(COUNTIF(C$4:C841,SUBSTITUTE(C841,""Sell_"",""""))-COUNTIF(C$4:C840,C841)&lt;1,1),FALSE))))"),"")</f>
        <v/>
      </c>
      <c r="E841" s="59" t="str">
        <f t="array" ref="E841">IF(COUNTA(C841:C1350)=0,"",SUM((COUNTIF(C$4:C841,Upgrades!$B$3:$B$13)-COUNTIF(C$4:C841,"Sell_"&amp;Upgrades!$B$3:$B$13))*Upgrades!$D$3:$D$13))</f>
        <v/>
      </c>
      <c r="F841" s="66" t="str">
        <f>IFERROR(__xludf.DUMMYFUNCTION("IF(COUNTA(C841:C1350)=0,"""",IF(REGEXMATCH(INDEX(FILTER(C$4:C841,C$4:C841&lt;&gt;""""),ROWS(FILTER(C$4:C841,C$4:C841&lt;&gt;""""))),""^Sell_""),INDEX(FILTER(F$4:F840,C$4:C840&lt;&gt;""""),ROWS(FILTER(C$4:C840,C$4:C840&lt;&gt;""""))),$AC$5+E841))"),"")</f>
        <v/>
      </c>
      <c r="G841" s="10" t="str">
        <f>IFERROR(__xludf.DUMMYFUNCTION("IF(COUNTA(C841:C1350)=0,"""",IF(C841="""",0,IF(REGEXMATCH(C841,""^Sell_""),-ROUNDDOWN(ROUNDUP(INDEX(Upgrades!$C$3:$C$13,MATCH(SUBSTITUTE(C841,""Sell_"",""""),Upgrades!$B$3:$B$13,0))*1.15^(COUNTIF(C$4:C840,SUBSTITUTE(C841,""Sell_"",""""))-COUNTIF(C$4:C840,"&amp;"""Sell_""&amp;SUBSTITUTE(C841,""Sell_"",""""))))/2),ROUNDUP(INDEX(Upgrades!$C$3:$C$13,MATCH(C841,Upgrades!$B$3:$B$13,0))*1.15^(COUNTIF(C$4:C840,C841)-COUNTIF(C$4:C840,""Sell_""&amp;C841))))))"),"")</f>
        <v/>
      </c>
      <c r="H841" s="10" t="str">
        <f t="shared" si="3"/>
        <v/>
      </c>
      <c r="I841" s="68" t="str">
        <f t="shared" si="4"/>
        <v/>
      </c>
      <c r="J841" s="59" t="str">
        <f t="shared" si="5"/>
        <v/>
      </c>
      <c r="K841" s="69" t="str">
        <f t="shared" si="6"/>
        <v/>
      </c>
      <c r="L841" s="60" t="str">
        <f t="shared" si="7"/>
        <v/>
      </c>
      <c r="M841" s="61" t="str">
        <f>IFERROR(__xludf.DUMMYFUNCTION("IFS(AND(COUNTA(C841:C1350)=0,COUNTA(Q841:Q1350)=0),"""",OR(AND(K841&gt;=1000000000,OR(Y841&gt;=1000000000,COUNTA(Q841:Q1350)=0)),OR(Y841&gt;=1000000000,AND(COUNTA(C841:C1350)=0,P$3=TRUE))),
ROUNDDOWN((AB$1-AC$1)*MAX(INDEX(T$4:T1350,MATCH(LARGE(FILTER(Y$4:Y1350,Y$4"&amp;":Y1350&lt;1000000000),1),Y$4:Y1350)),INDEX(F$4:F1350,MATCH(LARGE(FILTER(K$4:K1350,K$4:K1350&lt;1000000000),1),K$4:K1350)))),AND(K841&lt;1000000000,COUNTA(C841:C1350)&gt;0,P$3=FALSE),
ROUNDDOWN(INDEX(Y$4:Y1350,MATCH(LARGE(FILTER(W$4:W1350,W$4:W1350&lt;=I841),1),W$4:W1350"&amp;"))+(I841-LARGE(FILTER(W$4:W1350,W$4:W1350&lt;=I841),1))*INDEX(T$4:T1350,MATCH(LARGE(FILTER(W$4:W1350,W$4:W1350&lt;=I841),1),W$4:W1350))-K841),1,
ROUNDDOWN(Y841-INDEX(K$4:K1350,MATCH(LARGE(FILTER(I$4:I1350,I$4:I1350&lt;=W841),1),I$4:I1350))-(W841-LARGE(FILTER(I$4:I"&amp;"1350,I$4:I1350&lt;=W841),1))*INDEX(F$4:F1350,MATCH(LARGE(FILTER(I$4:I1350,I$4:I1350&lt;=W841),1),I$4:I1350))))"),"")</f>
        <v/>
      </c>
      <c r="N841" s="60" t="str">
        <f t="shared" si="8"/>
        <v/>
      </c>
      <c r="O841" s="61" t="str">
        <f t="shared" si="9"/>
        <v/>
      </c>
      <c r="P841" s="56" t="str">
        <f t="shared" si="10"/>
        <v/>
      </c>
      <c r="Q841" s="62"/>
      <c r="R841" s="10" t="str">
        <f>IFERROR(__xludf.DUMMYFUNCTION("IF(COUNTA(Q841:Q1350)=0,"""",IF(ISBLANK(Q841),FALSE,IF(NOT(COUNTIF($AA$24:$AA$34,SUBSTITUTE(Q841,""Sell_"",""""))),1,IF(REGEXMATCH(Q841,""Sell_""),IF(COUNTIF(Q$4:Q841,SUBSTITUTE(Q841,""Sell_"",""""))-COUNTIF(Q$4:Q840,Q841)&lt;1,1),FALSE))))"),"")</f>
        <v/>
      </c>
      <c r="S841" s="59" t="str">
        <f t="array" ref="S841">IF(COUNTA(Q841:Q1350)=0,"",SUM((COUNTIF(Q$4:Q841,Upgrades!$B$3:$B$13)-COUNTIF(Q$4:Q841,"Sell_"&amp;Upgrades!$B$3:$B$13))*Upgrades!$D$3:$D$13))</f>
        <v/>
      </c>
      <c r="T841" s="66" t="str">
        <f>IFERROR(__xludf.DUMMYFUNCTION("IF(COUNTA(Q841:Q1350)=0,"""",IF(REGEXMATCH(INDEX(FILTER(Q$4:Q841,Q$4:Q841&lt;&gt;""""),ROWS(FILTER(Q$4:Q841,Q$4:Q841&lt;&gt;""""))),""^Sell_""),INDEX(FILTER(T$4:T840,Q$4:Q840&lt;&gt;""""),ROWS(FILTER(Q$4:Q840,Q$4:Q840&lt;&gt;""""))),$AD$5+S841))"),"")</f>
        <v/>
      </c>
      <c r="U841" s="10" t="str">
        <f>IFERROR(__xludf.DUMMYFUNCTION("IF(COUNTA(Q841:Q1350)=0,"""",IF(Q841="""",0,IF(REGEXMATCH(Q841,""^Sell_""),-ROUNDDOWN(ROUNDUP(INDEX(Upgrades!$C$3:$C$13,MATCH(SUBSTITUTE(Q841,""Sell_"",""""),Upgrades!$B$3:$B$13,0))*1.15^(COUNTIF(Q$4:Q840,SUBSTITUTE(Q841,""Sell_"",""""))-COUNTIF(Q$4:Q840,"&amp;"""Sell_""&amp;SUBSTITUTE(Q841,""Sell_"",""""))))/2),ROUNDUP(INDEX(Upgrades!$C$3:$C$13,MATCH(Q841,Upgrades!$B$3:$B$13,0))*1.15^(COUNTIF(Q$4:Q840,Q841)-COUNTIF(Q$4:Q840,""Sell_""&amp;Q841))))))"),"")</f>
        <v/>
      </c>
      <c r="V841" s="10" t="str">
        <f t="shared" si="11"/>
        <v/>
      </c>
      <c r="W841" s="68" t="str">
        <f t="shared" si="12"/>
        <v/>
      </c>
      <c r="X841" s="59" t="str">
        <f t="shared" si="13"/>
        <v/>
      </c>
      <c r="Y841" s="69" t="str">
        <f t="shared" si="14"/>
        <v/>
      </c>
      <c r="Z841" s="11"/>
    </row>
    <row r="842">
      <c r="A842" s="8"/>
      <c r="B842" s="56" t="str">
        <f t="shared" si="2"/>
        <v/>
      </c>
      <c r="C842" s="57"/>
      <c r="D842" s="10" t="str">
        <f>IFERROR(__xludf.DUMMYFUNCTION("IF(COUNTA(C842:C1350)=0,"""",IF(ISBLANK(C842),FALSE,IF(NOT(COUNTIF($AA$24:$AA$34,SUBSTITUTE(C842,""Sell_"",""""))),1,IF(REGEXMATCH(C842,""Sell_""),IF(COUNTIF(C$4:C842,SUBSTITUTE(C842,""Sell_"",""""))-COUNTIF(C$4:C841,C842)&lt;1,1),FALSE))))"),"")</f>
        <v/>
      </c>
      <c r="E842" s="59" t="str">
        <f t="array" ref="E842">IF(COUNTA(C842:C1350)=0,"",SUM((COUNTIF(C$4:C842,Upgrades!$B$3:$B$13)-COUNTIF(C$4:C842,"Sell_"&amp;Upgrades!$B$3:$B$13))*Upgrades!$D$3:$D$13))</f>
        <v/>
      </c>
      <c r="F842" s="66" t="str">
        <f>IFERROR(__xludf.DUMMYFUNCTION("IF(COUNTA(C842:C1350)=0,"""",IF(REGEXMATCH(INDEX(FILTER(C$4:C842,C$4:C842&lt;&gt;""""),ROWS(FILTER(C$4:C842,C$4:C842&lt;&gt;""""))),""^Sell_""),INDEX(FILTER(F$4:F841,C$4:C841&lt;&gt;""""),ROWS(FILTER(C$4:C841,C$4:C841&lt;&gt;""""))),$AC$5+E842))"),"")</f>
        <v/>
      </c>
      <c r="G842" s="10" t="str">
        <f>IFERROR(__xludf.DUMMYFUNCTION("IF(COUNTA(C842:C1350)=0,"""",IF(C842="""",0,IF(REGEXMATCH(C842,""^Sell_""),-ROUNDDOWN(ROUNDUP(INDEX(Upgrades!$C$3:$C$13,MATCH(SUBSTITUTE(C842,""Sell_"",""""),Upgrades!$B$3:$B$13,0))*1.15^(COUNTIF(C$4:C841,SUBSTITUTE(C842,""Sell_"",""""))-COUNTIF(C$4:C841,"&amp;"""Sell_""&amp;SUBSTITUTE(C842,""Sell_"",""""))))/2),ROUNDUP(INDEX(Upgrades!$C$3:$C$13,MATCH(C842,Upgrades!$B$3:$B$13,0))*1.15^(COUNTIF(C$4:C841,C842)-COUNTIF(C$4:C841,""Sell_""&amp;C842))))))"),"")</f>
        <v/>
      </c>
      <c r="H842" s="10" t="str">
        <f t="shared" si="3"/>
        <v/>
      </c>
      <c r="I842" s="68" t="str">
        <f t="shared" si="4"/>
        <v/>
      </c>
      <c r="J842" s="59" t="str">
        <f t="shared" si="5"/>
        <v/>
      </c>
      <c r="K842" s="69" t="str">
        <f t="shared" si="6"/>
        <v/>
      </c>
      <c r="L842" s="60" t="str">
        <f t="shared" si="7"/>
        <v/>
      </c>
      <c r="M842" s="61" t="str">
        <f>IFERROR(__xludf.DUMMYFUNCTION("IFS(AND(COUNTA(C842:C1350)=0,COUNTA(Q842:Q1350)=0),"""",OR(AND(K842&gt;=1000000000,OR(Y842&gt;=1000000000,COUNTA(Q842:Q1350)=0)),OR(Y842&gt;=1000000000,AND(COUNTA(C842:C1350)=0,P$3=TRUE))),
ROUNDDOWN((AB$1-AC$1)*MAX(INDEX(T$4:T1350,MATCH(LARGE(FILTER(Y$4:Y1350,Y$4"&amp;":Y1350&lt;1000000000),1),Y$4:Y1350)),INDEX(F$4:F1350,MATCH(LARGE(FILTER(K$4:K1350,K$4:K1350&lt;1000000000),1),K$4:K1350)))),AND(K842&lt;1000000000,COUNTA(C842:C1350)&gt;0,P$3=FALSE),
ROUNDDOWN(INDEX(Y$4:Y1350,MATCH(LARGE(FILTER(W$4:W1350,W$4:W1350&lt;=I842),1),W$4:W1350"&amp;"))+(I842-LARGE(FILTER(W$4:W1350,W$4:W1350&lt;=I842),1))*INDEX(T$4:T1350,MATCH(LARGE(FILTER(W$4:W1350,W$4:W1350&lt;=I842),1),W$4:W1350))-K842),1,
ROUNDDOWN(Y842-INDEX(K$4:K1350,MATCH(LARGE(FILTER(I$4:I1350,I$4:I1350&lt;=W842),1),I$4:I1350))-(W842-LARGE(FILTER(I$4:I"&amp;"1350,I$4:I1350&lt;=W842),1))*INDEX(F$4:F1350,MATCH(LARGE(FILTER(I$4:I1350,I$4:I1350&lt;=W842),1),I$4:I1350))))"),"")</f>
        <v/>
      </c>
      <c r="N842" s="60" t="str">
        <f t="shared" si="8"/>
        <v/>
      </c>
      <c r="O842" s="61" t="str">
        <f t="shared" si="9"/>
        <v/>
      </c>
      <c r="P842" s="56" t="str">
        <f t="shared" si="10"/>
        <v/>
      </c>
      <c r="Q842" s="62"/>
      <c r="R842" s="10" t="str">
        <f>IFERROR(__xludf.DUMMYFUNCTION("IF(COUNTA(Q842:Q1350)=0,"""",IF(ISBLANK(Q842),FALSE,IF(NOT(COUNTIF($AA$24:$AA$34,SUBSTITUTE(Q842,""Sell_"",""""))),1,IF(REGEXMATCH(Q842,""Sell_""),IF(COUNTIF(Q$4:Q842,SUBSTITUTE(Q842,""Sell_"",""""))-COUNTIF(Q$4:Q841,Q842)&lt;1,1),FALSE))))"),"")</f>
        <v/>
      </c>
      <c r="S842" s="59" t="str">
        <f t="array" ref="S842">IF(COUNTA(Q842:Q1350)=0,"",SUM((COUNTIF(Q$4:Q842,Upgrades!$B$3:$B$13)-COUNTIF(Q$4:Q842,"Sell_"&amp;Upgrades!$B$3:$B$13))*Upgrades!$D$3:$D$13))</f>
        <v/>
      </c>
      <c r="T842" s="66" t="str">
        <f>IFERROR(__xludf.DUMMYFUNCTION("IF(COUNTA(Q842:Q1350)=0,"""",IF(REGEXMATCH(INDEX(FILTER(Q$4:Q842,Q$4:Q842&lt;&gt;""""),ROWS(FILTER(Q$4:Q842,Q$4:Q842&lt;&gt;""""))),""^Sell_""),INDEX(FILTER(T$4:T841,Q$4:Q841&lt;&gt;""""),ROWS(FILTER(Q$4:Q841,Q$4:Q841&lt;&gt;""""))),$AD$5+S842))"),"")</f>
        <v/>
      </c>
      <c r="U842" s="10" t="str">
        <f>IFERROR(__xludf.DUMMYFUNCTION("IF(COUNTA(Q842:Q1350)=0,"""",IF(Q842="""",0,IF(REGEXMATCH(Q842,""^Sell_""),-ROUNDDOWN(ROUNDUP(INDEX(Upgrades!$C$3:$C$13,MATCH(SUBSTITUTE(Q842,""Sell_"",""""),Upgrades!$B$3:$B$13,0))*1.15^(COUNTIF(Q$4:Q841,SUBSTITUTE(Q842,""Sell_"",""""))-COUNTIF(Q$4:Q841,"&amp;"""Sell_""&amp;SUBSTITUTE(Q842,""Sell_"",""""))))/2),ROUNDUP(INDEX(Upgrades!$C$3:$C$13,MATCH(Q842,Upgrades!$B$3:$B$13,0))*1.15^(COUNTIF(Q$4:Q841,Q842)-COUNTIF(Q$4:Q841,""Sell_""&amp;Q842))))))"),"")</f>
        <v/>
      </c>
      <c r="V842" s="10" t="str">
        <f t="shared" si="11"/>
        <v/>
      </c>
      <c r="W842" s="68" t="str">
        <f t="shared" si="12"/>
        <v/>
      </c>
      <c r="X842" s="59" t="str">
        <f t="shared" si="13"/>
        <v/>
      </c>
      <c r="Y842" s="69" t="str">
        <f t="shared" si="14"/>
        <v/>
      </c>
      <c r="Z842" s="11"/>
    </row>
    <row r="843">
      <c r="A843" s="8"/>
      <c r="B843" s="56" t="str">
        <f t="shared" si="2"/>
        <v/>
      </c>
      <c r="C843" s="57"/>
      <c r="D843" s="10" t="str">
        <f>IFERROR(__xludf.DUMMYFUNCTION("IF(COUNTA(C843:C1350)=0,"""",IF(ISBLANK(C843),FALSE,IF(NOT(COUNTIF($AA$24:$AA$34,SUBSTITUTE(C843,""Sell_"",""""))),1,IF(REGEXMATCH(C843,""Sell_""),IF(COUNTIF(C$4:C843,SUBSTITUTE(C843,""Sell_"",""""))-COUNTIF(C$4:C842,C843)&lt;1,1),FALSE))))"),"")</f>
        <v/>
      </c>
      <c r="E843" s="59" t="str">
        <f t="array" ref="E843">IF(COUNTA(C843:C1350)=0,"",SUM((COUNTIF(C$4:C843,Upgrades!$B$3:$B$13)-COUNTIF(C$4:C843,"Sell_"&amp;Upgrades!$B$3:$B$13))*Upgrades!$D$3:$D$13))</f>
        <v/>
      </c>
      <c r="F843" s="66" t="str">
        <f>IFERROR(__xludf.DUMMYFUNCTION("IF(COUNTA(C843:C1350)=0,"""",IF(REGEXMATCH(INDEX(FILTER(C$4:C843,C$4:C843&lt;&gt;""""),ROWS(FILTER(C$4:C843,C$4:C843&lt;&gt;""""))),""^Sell_""),INDEX(FILTER(F$4:F842,C$4:C842&lt;&gt;""""),ROWS(FILTER(C$4:C842,C$4:C842&lt;&gt;""""))),$AC$5+E843))"),"")</f>
        <v/>
      </c>
      <c r="G843" s="10" t="str">
        <f>IFERROR(__xludf.DUMMYFUNCTION("IF(COUNTA(C843:C1350)=0,"""",IF(C843="""",0,IF(REGEXMATCH(C843,""^Sell_""),-ROUNDDOWN(ROUNDUP(INDEX(Upgrades!$C$3:$C$13,MATCH(SUBSTITUTE(C843,""Sell_"",""""),Upgrades!$B$3:$B$13,0))*1.15^(COUNTIF(C$4:C842,SUBSTITUTE(C843,""Sell_"",""""))-COUNTIF(C$4:C842,"&amp;"""Sell_""&amp;SUBSTITUTE(C843,""Sell_"",""""))))/2),ROUNDUP(INDEX(Upgrades!$C$3:$C$13,MATCH(C843,Upgrades!$B$3:$B$13,0))*1.15^(COUNTIF(C$4:C842,C843)-COUNTIF(C$4:C842,""Sell_""&amp;C843))))))"),"")</f>
        <v/>
      </c>
      <c r="H843" s="10" t="str">
        <f t="shared" si="3"/>
        <v/>
      </c>
      <c r="I843" s="68" t="str">
        <f t="shared" si="4"/>
        <v/>
      </c>
      <c r="J843" s="59" t="str">
        <f t="shared" si="5"/>
        <v/>
      </c>
      <c r="K843" s="69" t="str">
        <f t="shared" si="6"/>
        <v/>
      </c>
      <c r="L843" s="60" t="str">
        <f t="shared" si="7"/>
        <v/>
      </c>
      <c r="M843" s="61" t="str">
        <f>IFERROR(__xludf.DUMMYFUNCTION("IFS(AND(COUNTA(C843:C1350)=0,COUNTA(Q843:Q1350)=0),"""",OR(AND(K843&gt;=1000000000,OR(Y843&gt;=1000000000,COUNTA(Q843:Q1350)=0)),OR(Y843&gt;=1000000000,AND(COUNTA(C843:C1350)=0,P$3=TRUE))),
ROUNDDOWN((AB$1-AC$1)*MAX(INDEX(T$4:T1350,MATCH(LARGE(FILTER(Y$4:Y1350,Y$4"&amp;":Y1350&lt;1000000000),1),Y$4:Y1350)),INDEX(F$4:F1350,MATCH(LARGE(FILTER(K$4:K1350,K$4:K1350&lt;1000000000),1),K$4:K1350)))),AND(K843&lt;1000000000,COUNTA(C843:C1350)&gt;0,P$3=FALSE),
ROUNDDOWN(INDEX(Y$4:Y1350,MATCH(LARGE(FILTER(W$4:W1350,W$4:W1350&lt;=I843),1),W$4:W1350"&amp;"))+(I843-LARGE(FILTER(W$4:W1350,W$4:W1350&lt;=I843),1))*INDEX(T$4:T1350,MATCH(LARGE(FILTER(W$4:W1350,W$4:W1350&lt;=I843),1),W$4:W1350))-K843),1,
ROUNDDOWN(Y843-INDEX(K$4:K1350,MATCH(LARGE(FILTER(I$4:I1350,I$4:I1350&lt;=W843),1),I$4:I1350))-(W843-LARGE(FILTER(I$4:I"&amp;"1350,I$4:I1350&lt;=W843),1))*INDEX(F$4:F1350,MATCH(LARGE(FILTER(I$4:I1350,I$4:I1350&lt;=W843),1),I$4:I1350))))"),"")</f>
        <v/>
      </c>
      <c r="N843" s="60" t="str">
        <f t="shared" si="8"/>
        <v/>
      </c>
      <c r="O843" s="61" t="str">
        <f t="shared" si="9"/>
        <v/>
      </c>
      <c r="P843" s="56" t="str">
        <f t="shared" si="10"/>
        <v/>
      </c>
      <c r="Q843" s="62"/>
      <c r="R843" s="10" t="str">
        <f>IFERROR(__xludf.DUMMYFUNCTION("IF(COUNTA(Q843:Q1350)=0,"""",IF(ISBLANK(Q843),FALSE,IF(NOT(COUNTIF($AA$24:$AA$34,SUBSTITUTE(Q843,""Sell_"",""""))),1,IF(REGEXMATCH(Q843,""Sell_""),IF(COUNTIF(Q$4:Q843,SUBSTITUTE(Q843,""Sell_"",""""))-COUNTIF(Q$4:Q842,Q843)&lt;1,1),FALSE))))"),"")</f>
        <v/>
      </c>
      <c r="S843" s="59" t="str">
        <f t="array" ref="S843">IF(COUNTA(Q843:Q1350)=0,"",SUM((COUNTIF(Q$4:Q843,Upgrades!$B$3:$B$13)-COUNTIF(Q$4:Q843,"Sell_"&amp;Upgrades!$B$3:$B$13))*Upgrades!$D$3:$D$13))</f>
        <v/>
      </c>
      <c r="T843" s="66" t="str">
        <f>IFERROR(__xludf.DUMMYFUNCTION("IF(COUNTA(Q843:Q1350)=0,"""",IF(REGEXMATCH(INDEX(FILTER(Q$4:Q843,Q$4:Q843&lt;&gt;""""),ROWS(FILTER(Q$4:Q843,Q$4:Q843&lt;&gt;""""))),""^Sell_""),INDEX(FILTER(T$4:T842,Q$4:Q842&lt;&gt;""""),ROWS(FILTER(Q$4:Q842,Q$4:Q842&lt;&gt;""""))),$AD$5+S843))"),"")</f>
        <v/>
      </c>
      <c r="U843" s="10" t="str">
        <f>IFERROR(__xludf.DUMMYFUNCTION("IF(COUNTA(Q843:Q1350)=0,"""",IF(Q843="""",0,IF(REGEXMATCH(Q843,""^Sell_""),-ROUNDDOWN(ROUNDUP(INDEX(Upgrades!$C$3:$C$13,MATCH(SUBSTITUTE(Q843,""Sell_"",""""),Upgrades!$B$3:$B$13,0))*1.15^(COUNTIF(Q$4:Q842,SUBSTITUTE(Q843,""Sell_"",""""))-COUNTIF(Q$4:Q842,"&amp;"""Sell_""&amp;SUBSTITUTE(Q843,""Sell_"",""""))))/2),ROUNDUP(INDEX(Upgrades!$C$3:$C$13,MATCH(Q843,Upgrades!$B$3:$B$13,0))*1.15^(COUNTIF(Q$4:Q842,Q843)-COUNTIF(Q$4:Q842,""Sell_""&amp;Q843))))))"),"")</f>
        <v/>
      </c>
      <c r="V843" s="10" t="str">
        <f t="shared" si="11"/>
        <v/>
      </c>
      <c r="W843" s="68" t="str">
        <f t="shared" si="12"/>
        <v/>
      </c>
      <c r="X843" s="59" t="str">
        <f t="shared" si="13"/>
        <v/>
      </c>
      <c r="Y843" s="69" t="str">
        <f t="shared" si="14"/>
        <v/>
      </c>
      <c r="Z843" s="11"/>
    </row>
    <row r="844">
      <c r="A844" s="8"/>
      <c r="B844" s="56" t="str">
        <f t="shared" si="2"/>
        <v/>
      </c>
      <c r="C844" s="57"/>
      <c r="D844" s="10" t="str">
        <f>IFERROR(__xludf.DUMMYFUNCTION("IF(COUNTA(C844:C1350)=0,"""",IF(ISBLANK(C844),FALSE,IF(NOT(COUNTIF($AA$24:$AA$34,SUBSTITUTE(C844,""Sell_"",""""))),1,IF(REGEXMATCH(C844,""Sell_""),IF(COUNTIF(C$4:C844,SUBSTITUTE(C844,""Sell_"",""""))-COUNTIF(C$4:C843,C844)&lt;1,1),FALSE))))"),"")</f>
        <v/>
      </c>
      <c r="E844" s="59" t="str">
        <f t="array" ref="E844">IF(COUNTA(C844:C1350)=0,"",SUM((COUNTIF(C$4:C844,Upgrades!$B$3:$B$13)-COUNTIF(C$4:C844,"Sell_"&amp;Upgrades!$B$3:$B$13))*Upgrades!$D$3:$D$13))</f>
        <v/>
      </c>
      <c r="F844" s="66" t="str">
        <f>IFERROR(__xludf.DUMMYFUNCTION("IF(COUNTA(C844:C1350)=0,"""",IF(REGEXMATCH(INDEX(FILTER(C$4:C844,C$4:C844&lt;&gt;""""),ROWS(FILTER(C$4:C844,C$4:C844&lt;&gt;""""))),""^Sell_""),INDEX(FILTER(F$4:F843,C$4:C843&lt;&gt;""""),ROWS(FILTER(C$4:C843,C$4:C843&lt;&gt;""""))),$AC$5+E844))"),"")</f>
        <v/>
      </c>
      <c r="G844" s="10" t="str">
        <f>IFERROR(__xludf.DUMMYFUNCTION("IF(COUNTA(C844:C1350)=0,"""",IF(C844="""",0,IF(REGEXMATCH(C844,""^Sell_""),-ROUNDDOWN(ROUNDUP(INDEX(Upgrades!$C$3:$C$13,MATCH(SUBSTITUTE(C844,""Sell_"",""""),Upgrades!$B$3:$B$13,0))*1.15^(COUNTIF(C$4:C843,SUBSTITUTE(C844,""Sell_"",""""))-COUNTIF(C$4:C843,"&amp;"""Sell_""&amp;SUBSTITUTE(C844,""Sell_"",""""))))/2),ROUNDUP(INDEX(Upgrades!$C$3:$C$13,MATCH(C844,Upgrades!$B$3:$B$13,0))*1.15^(COUNTIF(C$4:C843,C844)-COUNTIF(C$4:C843,""Sell_""&amp;C844))))))"),"")</f>
        <v/>
      </c>
      <c r="H844" s="10" t="str">
        <f t="shared" si="3"/>
        <v/>
      </c>
      <c r="I844" s="68" t="str">
        <f t="shared" si="4"/>
        <v/>
      </c>
      <c r="J844" s="59" t="str">
        <f t="shared" si="5"/>
        <v/>
      </c>
      <c r="K844" s="69" t="str">
        <f t="shared" si="6"/>
        <v/>
      </c>
      <c r="L844" s="60" t="str">
        <f t="shared" si="7"/>
        <v/>
      </c>
      <c r="M844" s="61" t="str">
        <f>IFERROR(__xludf.DUMMYFUNCTION("IFS(AND(COUNTA(C844:C1350)=0,COUNTA(Q844:Q1350)=0),"""",OR(AND(K844&gt;=1000000000,OR(Y844&gt;=1000000000,COUNTA(Q844:Q1350)=0)),OR(Y844&gt;=1000000000,AND(COUNTA(C844:C1350)=0,P$3=TRUE))),
ROUNDDOWN((AB$1-AC$1)*MAX(INDEX(T$4:T1350,MATCH(LARGE(FILTER(Y$4:Y1350,Y$4"&amp;":Y1350&lt;1000000000),1),Y$4:Y1350)),INDEX(F$4:F1350,MATCH(LARGE(FILTER(K$4:K1350,K$4:K1350&lt;1000000000),1),K$4:K1350)))),AND(K844&lt;1000000000,COUNTA(C844:C1350)&gt;0,P$3=FALSE),
ROUNDDOWN(INDEX(Y$4:Y1350,MATCH(LARGE(FILTER(W$4:W1350,W$4:W1350&lt;=I844),1),W$4:W1350"&amp;"))+(I844-LARGE(FILTER(W$4:W1350,W$4:W1350&lt;=I844),1))*INDEX(T$4:T1350,MATCH(LARGE(FILTER(W$4:W1350,W$4:W1350&lt;=I844),1),W$4:W1350))-K844),1,
ROUNDDOWN(Y844-INDEX(K$4:K1350,MATCH(LARGE(FILTER(I$4:I1350,I$4:I1350&lt;=W844),1),I$4:I1350))-(W844-LARGE(FILTER(I$4:I"&amp;"1350,I$4:I1350&lt;=W844),1))*INDEX(F$4:F1350,MATCH(LARGE(FILTER(I$4:I1350,I$4:I1350&lt;=W844),1),I$4:I1350))))"),"")</f>
        <v/>
      </c>
      <c r="N844" s="60" t="str">
        <f t="shared" si="8"/>
        <v/>
      </c>
      <c r="O844" s="61" t="str">
        <f t="shared" si="9"/>
        <v/>
      </c>
      <c r="P844" s="56" t="str">
        <f t="shared" si="10"/>
        <v/>
      </c>
      <c r="Q844" s="62"/>
      <c r="R844" s="10" t="str">
        <f>IFERROR(__xludf.DUMMYFUNCTION("IF(COUNTA(Q844:Q1350)=0,"""",IF(ISBLANK(Q844),FALSE,IF(NOT(COUNTIF($AA$24:$AA$34,SUBSTITUTE(Q844,""Sell_"",""""))),1,IF(REGEXMATCH(Q844,""Sell_""),IF(COUNTIF(Q$4:Q844,SUBSTITUTE(Q844,""Sell_"",""""))-COUNTIF(Q$4:Q843,Q844)&lt;1,1),FALSE))))"),"")</f>
        <v/>
      </c>
      <c r="S844" s="59" t="str">
        <f t="array" ref="S844">IF(COUNTA(Q844:Q1350)=0,"",SUM((COUNTIF(Q$4:Q844,Upgrades!$B$3:$B$13)-COUNTIF(Q$4:Q844,"Sell_"&amp;Upgrades!$B$3:$B$13))*Upgrades!$D$3:$D$13))</f>
        <v/>
      </c>
      <c r="T844" s="66" t="str">
        <f>IFERROR(__xludf.DUMMYFUNCTION("IF(COUNTA(Q844:Q1350)=0,"""",IF(REGEXMATCH(INDEX(FILTER(Q$4:Q844,Q$4:Q844&lt;&gt;""""),ROWS(FILTER(Q$4:Q844,Q$4:Q844&lt;&gt;""""))),""^Sell_""),INDEX(FILTER(T$4:T843,Q$4:Q843&lt;&gt;""""),ROWS(FILTER(Q$4:Q843,Q$4:Q843&lt;&gt;""""))),$AD$5+S844))"),"")</f>
        <v/>
      </c>
      <c r="U844" s="10" t="str">
        <f>IFERROR(__xludf.DUMMYFUNCTION("IF(COUNTA(Q844:Q1350)=0,"""",IF(Q844="""",0,IF(REGEXMATCH(Q844,""^Sell_""),-ROUNDDOWN(ROUNDUP(INDEX(Upgrades!$C$3:$C$13,MATCH(SUBSTITUTE(Q844,""Sell_"",""""),Upgrades!$B$3:$B$13,0))*1.15^(COUNTIF(Q$4:Q843,SUBSTITUTE(Q844,""Sell_"",""""))-COUNTIF(Q$4:Q843,"&amp;"""Sell_""&amp;SUBSTITUTE(Q844,""Sell_"",""""))))/2),ROUNDUP(INDEX(Upgrades!$C$3:$C$13,MATCH(Q844,Upgrades!$B$3:$B$13,0))*1.15^(COUNTIF(Q$4:Q843,Q844)-COUNTIF(Q$4:Q843,""Sell_""&amp;Q844))))))"),"")</f>
        <v/>
      </c>
      <c r="V844" s="10" t="str">
        <f t="shared" si="11"/>
        <v/>
      </c>
      <c r="W844" s="68" t="str">
        <f t="shared" si="12"/>
        <v/>
      </c>
      <c r="X844" s="59" t="str">
        <f t="shared" si="13"/>
        <v/>
      </c>
      <c r="Y844" s="69" t="str">
        <f t="shared" si="14"/>
        <v/>
      </c>
      <c r="Z844" s="11"/>
    </row>
    <row r="845">
      <c r="A845" s="8"/>
      <c r="B845" s="56" t="str">
        <f t="shared" si="2"/>
        <v/>
      </c>
      <c r="C845" s="57"/>
      <c r="D845" s="10" t="str">
        <f>IFERROR(__xludf.DUMMYFUNCTION("IF(COUNTA(C845:C1350)=0,"""",IF(ISBLANK(C845),FALSE,IF(NOT(COUNTIF($AA$24:$AA$34,SUBSTITUTE(C845,""Sell_"",""""))),1,IF(REGEXMATCH(C845,""Sell_""),IF(COUNTIF(C$4:C845,SUBSTITUTE(C845,""Sell_"",""""))-COUNTIF(C$4:C844,C845)&lt;1,1),FALSE))))"),"")</f>
        <v/>
      </c>
      <c r="E845" s="59" t="str">
        <f t="array" ref="E845">IF(COUNTA(C845:C1350)=0,"",SUM((COUNTIF(C$4:C845,Upgrades!$B$3:$B$13)-COUNTIF(C$4:C845,"Sell_"&amp;Upgrades!$B$3:$B$13))*Upgrades!$D$3:$D$13))</f>
        <v/>
      </c>
      <c r="F845" s="66" t="str">
        <f>IFERROR(__xludf.DUMMYFUNCTION("IF(COUNTA(C845:C1350)=0,"""",IF(REGEXMATCH(INDEX(FILTER(C$4:C845,C$4:C845&lt;&gt;""""),ROWS(FILTER(C$4:C845,C$4:C845&lt;&gt;""""))),""^Sell_""),INDEX(FILTER(F$4:F844,C$4:C844&lt;&gt;""""),ROWS(FILTER(C$4:C844,C$4:C844&lt;&gt;""""))),$AC$5+E845))"),"")</f>
        <v/>
      </c>
      <c r="G845" s="10" t="str">
        <f>IFERROR(__xludf.DUMMYFUNCTION("IF(COUNTA(C845:C1350)=0,"""",IF(C845="""",0,IF(REGEXMATCH(C845,""^Sell_""),-ROUNDDOWN(ROUNDUP(INDEX(Upgrades!$C$3:$C$13,MATCH(SUBSTITUTE(C845,""Sell_"",""""),Upgrades!$B$3:$B$13,0))*1.15^(COUNTIF(C$4:C844,SUBSTITUTE(C845,""Sell_"",""""))-COUNTIF(C$4:C844,"&amp;"""Sell_""&amp;SUBSTITUTE(C845,""Sell_"",""""))))/2),ROUNDUP(INDEX(Upgrades!$C$3:$C$13,MATCH(C845,Upgrades!$B$3:$B$13,0))*1.15^(COUNTIF(C$4:C844,C845)-COUNTIF(C$4:C844,""Sell_""&amp;C845))))))"),"")</f>
        <v/>
      </c>
      <c r="H845" s="10" t="str">
        <f t="shared" si="3"/>
        <v/>
      </c>
      <c r="I845" s="68" t="str">
        <f t="shared" si="4"/>
        <v/>
      </c>
      <c r="J845" s="59" t="str">
        <f t="shared" si="5"/>
        <v/>
      </c>
      <c r="K845" s="69" t="str">
        <f t="shared" si="6"/>
        <v/>
      </c>
      <c r="L845" s="60" t="str">
        <f t="shared" si="7"/>
        <v/>
      </c>
      <c r="M845" s="61" t="str">
        <f>IFERROR(__xludf.DUMMYFUNCTION("IFS(AND(COUNTA(C845:C1350)=0,COUNTA(Q845:Q1350)=0),"""",OR(AND(K845&gt;=1000000000,OR(Y845&gt;=1000000000,COUNTA(Q845:Q1350)=0)),OR(Y845&gt;=1000000000,AND(COUNTA(C845:C1350)=0,P$3=TRUE))),
ROUNDDOWN((AB$1-AC$1)*MAX(INDEX(T$4:T1350,MATCH(LARGE(FILTER(Y$4:Y1350,Y$4"&amp;":Y1350&lt;1000000000),1),Y$4:Y1350)),INDEX(F$4:F1350,MATCH(LARGE(FILTER(K$4:K1350,K$4:K1350&lt;1000000000),1),K$4:K1350)))),AND(K845&lt;1000000000,COUNTA(C845:C1350)&gt;0,P$3=FALSE),
ROUNDDOWN(INDEX(Y$4:Y1350,MATCH(LARGE(FILTER(W$4:W1350,W$4:W1350&lt;=I845),1),W$4:W1350"&amp;"))+(I845-LARGE(FILTER(W$4:W1350,W$4:W1350&lt;=I845),1))*INDEX(T$4:T1350,MATCH(LARGE(FILTER(W$4:W1350,W$4:W1350&lt;=I845),1),W$4:W1350))-K845),1,
ROUNDDOWN(Y845-INDEX(K$4:K1350,MATCH(LARGE(FILTER(I$4:I1350,I$4:I1350&lt;=W845),1),I$4:I1350))-(W845-LARGE(FILTER(I$4:I"&amp;"1350,I$4:I1350&lt;=W845),1))*INDEX(F$4:F1350,MATCH(LARGE(FILTER(I$4:I1350,I$4:I1350&lt;=W845),1),I$4:I1350))))"),"")</f>
        <v/>
      </c>
      <c r="N845" s="60" t="str">
        <f t="shared" si="8"/>
        <v/>
      </c>
      <c r="O845" s="61" t="str">
        <f t="shared" si="9"/>
        <v/>
      </c>
      <c r="P845" s="56" t="str">
        <f t="shared" si="10"/>
        <v/>
      </c>
      <c r="Q845" s="62"/>
      <c r="R845" s="10" t="str">
        <f>IFERROR(__xludf.DUMMYFUNCTION("IF(COUNTA(Q845:Q1350)=0,"""",IF(ISBLANK(Q845),FALSE,IF(NOT(COUNTIF($AA$24:$AA$34,SUBSTITUTE(Q845,""Sell_"",""""))),1,IF(REGEXMATCH(Q845,""Sell_""),IF(COUNTIF(Q$4:Q845,SUBSTITUTE(Q845,""Sell_"",""""))-COUNTIF(Q$4:Q844,Q845)&lt;1,1),FALSE))))"),"")</f>
        <v/>
      </c>
      <c r="S845" s="59" t="str">
        <f t="array" ref="S845">IF(COUNTA(Q845:Q1350)=0,"",SUM((COUNTIF(Q$4:Q845,Upgrades!$B$3:$B$13)-COUNTIF(Q$4:Q845,"Sell_"&amp;Upgrades!$B$3:$B$13))*Upgrades!$D$3:$D$13))</f>
        <v/>
      </c>
      <c r="T845" s="66" t="str">
        <f>IFERROR(__xludf.DUMMYFUNCTION("IF(COUNTA(Q845:Q1350)=0,"""",IF(REGEXMATCH(INDEX(FILTER(Q$4:Q845,Q$4:Q845&lt;&gt;""""),ROWS(FILTER(Q$4:Q845,Q$4:Q845&lt;&gt;""""))),""^Sell_""),INDEX(FILTER(T$4:T844,Q$4:Q844&lt;&gt;""""),ROWS(FILTER(Q$4:Q844,Q$4:Q844&lt;&gt;""""))),$AD$5+S845))"),"")</f>
        <v/>
      </c>
      <c r="U845" s="10" t="str">
        <f>IFERROR(__xludf.DUMMYFUNCTION("IF(COUNTA(Q845:Q1350)=0,"""",IF(Q845="""",0,IF(REGEXMATCH(Q845,""^Sell_""),-ROUNDDOWN(ROUNDUP(INDEX(Upgrades!$C$3:$C$13,MATCH(SUBSTITUTE(Q845,""Sell_"",""""),Upgrades!$B$3:$B$13,0))*1.15^(COUNTIF(Q$4:Q844,SUBSTITUTE(Q845,""Sell_"",""""))-COUNTIF(Q$4:Q844,"&amp;"""Sell_""&amp;SUBSTITUTE(Q845,""Sell_"",""""))))/2),ROUNDUP(INDEX(Upgrades!$C$3:$C$13,MATCH(Q845,Upgrades!$B$3:$B$13,0))*1.15^(COUNTIF(Q$4:Q844,Q845)-COUNTIF(Q$4:Q844,""Sell_""&amp;Q845))))))"),"")</f>
        <v/>
      </c>
      <c r="V845" s="10" t="str">
        <f t="shared" si="11"/>
        <v/>
      </c>
      <c r="W845" s="68" t="str">
        <f t="shared" si="12"/>
        <v/>
      </c>
      <c r="X845" s="59" t="str">
        <f t="shared" si="13"/>
        <v/>
      </c>
      <c r="Y845" s="69" t="str">
        <f t="shared" si="14"/>
        <v/>
      </c>
      <c r="Z845" s="11"/>
    </row>
    <row r="846">
      <c r="A846" s="8"/>
      <c r="B846" s="56" t="str">
        <f t="shared" si="2"/>
        <v/>
      </c>
      <c r="C846" s="57"/>
      <c r="D846" s="10" t="str">
        <f>IFERROR(__xludf.DUMMYFUNCTION("IF(COUNTA(C846:C1350)=0,"""",IF(ISBLANK(C846),FALSE,IF(NOT(COUNTIF($AA$24:$AA$34,SUBSTITUTE(C846,""Sell_"",""""))),1,IF(REGEXMATCH(C846,""Sell_""),IF(COUNTIF(C$4:C846,SUBSTITUTE(C846,""Sell_"",""""))-COUNTIF(C$4:C845,C846)&lt;1,1),FALSE))))"),"")</f>
        <v/>
      </c>
      <c r="E846" s="59" t="str">
        <f t="array" ref="E846">IF(COUNTA(C846:C1350)=0,"",SUM((COUNTIF(C$4:C846,Upgrades!$B$3:$B$13)-COUNTIF(C$4:C846,"Sell_"&amp;Upgrades!$B$3:$B$13))*Upgrades!$D$3:$D$13))</f>
        <v/>
      </c>
      <c r="F846" s="66" t="str">
        <f>IFERROR(__xludf.DUMMYFUNCTION("IF(COUNTA(C846:C1350)=0,"""",IF(REGEXMATCH(INDEX(FILTER(C$4:C846,C$4:C846&lt;&gt;""""),ROWS(FILTER(C$4:C846,C$4:C846&lt;&gt;""""))),""^Sell_""),INDEX(FILTER(F$4:F845,C$4:C845&lt;&gt;""""),ROWS(FILTER(C$4:C845,C$4:C845&lt;&gt;""""))),$AC$5+E846))"),"")</f>
        <v/>
      </c>
      <c r="G846" s="10" t="str">
        <f>IFERROR(__xludf.DUMMYFUNCTION("IF(COUNTA(C846:C1350)=0,"""",IF(C846="""",0,IF(REGEXMATCH(C846,""^Sell_""),-ROUNDDOWN(ROUNDUP(INDEX(Upgrades!$C$3:$C$13,MATCH(SUBSTITUTE(C846,""Sell_"",""""),Upgrades!$B$3:$B$13,0))*1.15^(COUNTIF(C$4:C845,SUBSTITUTE(C846,""Sell_"",""""))-COUNTIF(C$4:C845,"&amp;"""Sell_""&amp;SUBSTITUTE(C846,""Sell_"",""""))))/2),ROUNDUP(INDEX(Upgrades!$C$3:$C$13,MATCH(C846,Upgrades!$B$3:$B$13,0))*1.15^(COUNTIF(C$4:C845,C846)-COUNTIF(C$4:C845,""Sell_""&amp;C846))))))"),"")</f>
        <v/>
      </c>
      <c r="H846" s="10" t="str">
        <f t="shared" si="3"/>
        <v/>
      </c>
      <c r="I846" s="68" t="str">
        <f t="shared" si="4"/>
        <v/>
      </c>
      <c r="J846" s="59" t="str">
        <f t="shared" si="5"/>
        <v/>
      </c>
      <c r="K846" s="69" t="str">
        <f t="shared" si="6"/>
        <v/>
      </c>
      <c r="L846" s="60" t="str">
        <f t="shared" si="7"/>
        <v/>
      </c>
      <c r="M846" s="61" t="str">
        <f>IFERROR(__xludf.DUMMYFUNCTION("IFS(AND(COUNTA(C846:C1350)=0,COUNTA(Q846:Q1350)=0),"""",OR(AND(K846&gt;=1000000000,OR(Y846&gt;=1000000000,COUNTA(Q846:Q1350)=0)),OR(Y846&gt;=1000000000,AND(COUNTA(C846:C1350)=0,P$3=TRUE))),
ROUNDDOWN((AB$1-AC$1)*MAX(INDEX(T$4:T1350,MATCH(LARGE(FILTER(Y$4:Y1350,Y$4"&amp;":Y1350&lt;1000000000),1),Y$4:Y1350)),INDEX(F$4:F1350,MATCH(LARGE(FILTER(K$4:K1350,K$4:K1350&lt;1000000000),1),K$4:K1350)))),AND(K846&lt;1000000000,COUNTA(C846:C1350)&gt;0,P$3=FALSE),
ROUNDDOWN(INDEX(Y$4:Y1350,MATCH(LARGE(FILTER(W$4:W1350,W$4:W1350&lt;=I846),1),W$4:W1350"&amp;"))+(I846-LARGE(FILTER(W$4:W1350,W$4:W1350&lt;=I846),1))*INDEX(T$4:T1350,MATCH(LARGE(FILTER(W$4:W1350,W$4:W1350&lt;=I846),1),W$4:W1350))-K846),1,
ROUNDDOWN(Y846-INDEX(K$4:K1350,MATCH(LARGE(FILTER(I$4:I1350,I$4:I1350&lt;=W846),1),I$4:I1350))-(W846-LARGE(FILTER(I$4:I"&amp;"1350,I$4:I1350&lt;=W846),1))*INDEX(F$4:F1350,MATCH(LARGE(FILTER(I$4:I1350,I$4:I1350&lt;=W846),1),I$4:I1350))))"),"")</f>
        <v/>
      </c>
      <c r="N846" s="60" t="str">
        <f t="shared" si="8"/>
        <v/>
      </c>
      <c r="O846" s="61" t="str">
        <f t="shared" si="9"/>
        <v/>
      </c>
      <c r="P846" s="56" t="str">
        <f t="shared" si="10"/>
        <v/>
      </c>
      <c r="Q846" s="62"/>
      <c r="R846" s="10" t="str">
        <f>IFERROR(__xludf.DUMMYFUNCTION("IF(COUNTA(Q846:Q1350)=0,"""",IF(ISBLANK(Q846),FALSE,IF(NOT(COUNTIF($AA$24:$AA$34,SUBSTITUTE(Q846,""Sell_"",""""))),1,IF(REGEXMATCH(Q846,""Sell_""),IF(COUNTIF(Q$4:Q846,SUBSTITUTE(Q846,""Sell_"",""""))-COUNTIF(Q$4:Q845,Q846)&lt;1,1),FALSE))))"),"")</f>
        <v/>
      </c>
      <c r="S846" s="59" t="str">
        <f t="array" ref="S846">IF(COUNTA(Q846:Q1350)=0,"",SUM((COUNTIF(Q$4:Q846,Upgrades!$B$3:$B$13)-COUNTIF(Q$4:Q846,"Sell_"&amp;Upgrades!$B$3:$B$13))*Upgrades!$D$3:$D$13))</f>
        <v/>
      </c>
      <c r="T846" s="66" t="str">
        <f>IFERROR(__xludf.DUMMYFUNCTION("IF(COUNTA(Q846:Q1350)=0,"""",IF(REGEXMATCH(INDEX(FILTER(Q$4:Q846,Q$4:Q846&lt;&gt;""""),ROWS(FILTER(Q$4:Q846,Q$4:Q846&lt;&gt;""""))),""^Sell_""),INDEX(FILTER(T$4:T845,Q$4:Q845&lt;&gt;""""),ROWS(FILTER(Q$4:Q845,Q$4:Q845&lt;&gt;""""))),$AD$5+S846))"),"")</f>
        <v/>
      </c>
      <c r="U846" s="10" t="str">
        <f>IFERROR(__xludf.DUMMYFUNCTION("IF(COUNTA(Q846:Q1350)=0,"""",IF(Q846="""",0,IF(REGEXMATCH(Q846,""^Sell_""),-ROUNDDOWN(ROUNDUP(INDEX(Upgrades!$C$3:$C$13,MATCH(SUBSTITUTE(Q846,""Sell_"",""""),Upgrades!$B$3:$B$13,0))*1.15^(COUNTIF(Q$4:Q845,SUBSTITUTE(Q846,""Sell_"",""""))-COUNTIF(Q$4:Q845,"&amp;"""Sell_""&amp;SUBSTITUTE(Q846,""Sell_"",""""))))/2),ROUNDUP(INDEX(Upgrades!$C$3:$C$13,MATCH(Q846,Upgrades!$B$3:$B$13,0))*1.15^(COUNTIF(Q$4:Q845,Q846)-COUNTIF(Q$4:Q845,""Sell_""&amp;Q846))))))"),"")</f>
        <v/>
      </c>
      <c r="V846" s="10" t="str">
        <f t="shared" si="11"/>
        <v/>
      </c>
      <c r="W846" s="68" t="str">
        <f t="shared" si="12"/>
        <v/>
      </c>
      <c r="X846" s="59" t="str">
        <f t="shared" si="13"/>
        <v/>
      </c>
      <c r="Y846" s="69" t="str">
        <f t="shared" si="14"/>
        <v/>
      </c>
      <c r="Z846" s="11"/>
    </row>
    <row r="847">
      <c r="A847" s="8"/>
      <c r="B847" s="56" t="str">
        <f t="shared" si="2"/>
        <v/>
      </c>
      <c r="C847" s="57"/>
      <c r="D847" s="10" t="str">
        <f>IFERROR(__xludf.DUMMYFUNCTION("IF(COUNTA(C847:C1350)=0,"""",IF(ISBLANK(C847),FALSE,IF(NOT(COUNTIF($AA$24:$AA$34,SUBSTITUTE(C847,""Sell_"",""""))),1,IF(REGEXMATCH(C847,""Sell_""),IF(COUNTIF(C$4:C847,SUBSTITUTE(C847,""Sell_"",""""))-COUNTIF(C$4:C846,C847)&lt;1,1),FALSE))))"),"")</f>
        <v/>
      </c>
      <c r="E847" s="59" t="str">
        <f t="array" ref="E847">IF(COUNTA(C847:C1350)=0,"",SUM((COUNTIF(C$4:C847,Upgrades!$B$3:$B$13)-COUNTIF(C$4:C847,"Sell_"&amp;Upgrades!$B$3:$B$13))*Upgrades!$D$3:$D$13))</f>
        <v/>
      </c>
      <c r="F847" s="66" t="str">
        <f>IFERROR(__xludf.DUMMYFUNCTION("IF(COUNTA(C847:C1350)=0,"""",IF(REGEXMATCH(INDEX(FILTER(C$4:C847,C$4:C847&lt;&gt;""""),ROWS(FILTER(C$4:C847,C$4:C847&lt;&gt;""""))),""^Sell_""),INDEX(FILTER(F$4:F846,C$4:C846&lt;&gt;""""),ROWS(FILTER(C$4:C846,C$4:C846&lt;&gt;""""))),$AC$5+E847))"),"")</f>
        <v/>
      </c>
      <c r="G847" s="10" t="str">
        <f>IFERROR(__xludf.DUMMYFUNCTION("IF(COUNTA(C847:C1350)=0,"""",IF(C847="""",0,IF(REGEXMATCH(C847,""^Sell_""),-ROUNDDOWN(ROUNDUP(INDEX(Upgrades!$C$3:$C$13,MATCH(SUBSTITUTE(C847,""Sell_"",""""),Upgrades!$B$3:$B$13,0))*1.15^(COUNTIF(C$4:C846,SUBSTITUTE(C847,""Sell_"",""""))-COUNTIF(C$4:C846,"&amp;"""Sell_""&amp;SUBSTITUTE(C847,""Sell_"",""""))))/2),ROUNDUP(INDEX(Upgrades!$C$3:$C$13,MATCH(C847,Upgrades!$B$3:$B$13,0))*1.15^(COUNTIF(C$4:C846,C847)-COUNTIF(C$4:C846,""Sell_""&amp;C847))))))"),"")</f>
        <v/>
      </c>
      <c r="H847" s="10" t="str">
        <f t="shared" si="3"/>
        <v/>
      </c>
      <c r="I847" s="68" t="str">
        <f t="shared" si="4"/>
        <v/>
      </c>
      <c r="J847" s="59" t="str">
        <f t="shared" si="5"/>
        <v/>
      </c>
      <c r="K847" s="69" t="str">
        <f t="shared" si="6"/>
        <v/>
      </c>
      <c r="L847" s="60" t="str">
        <f t="shared" si="7"/>
        <v/>
      </c>
      <c r="M847" s="61" t="str">
        <f>IFERROR(__xludf.DUMMYFUNCTION("IFS(AND(COUNTA(C847:C1350)=0,COUNTA(Q847:Q1350)=0),"""",OR(AND(K847&gt;=1000000000,OR(Y847&gt;=1000000000,COUNTA(Q847:Q1350)=0)),OR(Y847&gt;=1000000000,AND(COUNTA(C847:C1350)=0,P$3=TRUE))),
ROUNDDOWN((AB$1-AC$1)*MAX(INDEX(T$4:T1350,MATCH(LARGE(FILTER(Y$4:Y1350,Y$4"&amp;":Y1350&lt;1000000000),1),Y$4:Y1350)),INDEX(F$4:F1350,MATCH(LARGE(FILTER(K$4:K1350,K$4:K1350&lt;1000000000),1),K$4:K1350)))),AND(K847&lt;1000000000,COUNTA(C847:C1350)&gt;0,P$3=FALSE),
ROUNDDOWN(INDEX(Y$4:Y1350,MATCH(LARGE(FILTER(W$4:W1350,W$4:W1350&lt;=I847),1),W$4:W1350"&amp;"))+(I847-LARGE(FILTER(W$4:W1350,W$4:W1350&lt;=I847),1))*INDEX(T$4:T1350,MATCH(LARGE(FILTER(W$4:W1350,W$4:W1350&lt;=I847),1),W$4:W1350))-K847),1,
ROUNDDOWN(Y847-INDEX(K$4:K1350,MATCH(LARGE(FILTER(I$4:I1350,I$4:I1350&lt;=W847),1),I$4:I1350))-(W847-LARGE(FILTER(I$4:I"&amp;"1350,I$4:I1350&lt;=W847),1))*INDEX(F$4:F1350,MATCH(LARGE(FILTER(I$4:I1350,I$4:I1350&lt;=W847),1),I$4:I1350))))"),"")</f>
        <v/>
      </c>
      <c r="N847" s="60" t="str">
        <f t="shared" si="8"/>
        <v/>
      </c>
      <c r="O847" s="61" t="str">
        <f t="shared" si="9"/>
        <v/>
      </c>
      <c r="P847" s="56" t="str">
        <f t="shared" si="10"/>
        <v/>
      </c>
      <c r="Q847" s="62"/>
      <c r="R847" s="10" t="str">
        <f>IFERROR(__xludf.DUMMYFUNCTION("IF(COUNTA(Q847:Q1350)=0,"""",IF(ISBLANK(Q847),FALSE,IF(NOT(COUNTIF($AA$24:$AA$34,SUBSTITUTE(Q847,""Sell_"",""""))),1,IF(REGEXMATCH(Q847,""Sell_""),IF(COUNTIF(Q$4:Q847,SUBSTITUTE(Q847,""Sell_"",""""))-COUNTIF(Q$4:Q846,Q847)&lt;1,1),FALSE))))"),"")</f>
        <v/>
      </c>
      <c r="S847" s="59" t="str">
        <f t="array" ref="S847">IF(COUNTA(Q847:Q1350)=0,"",SUM((COUNTIF(Q$4:Q847,Upgrades!$B$3:$B$13)-COUNTIF(Q$4:Q847,"Sell_"&amp;Upgrades!$B$3:$B$13))*Upgrades!$D$3:$D$13))</f>
        <v/>
      </c>
      <c r="T847" s="66" t="str">
        <f>IFERROR(__xludf.DUMMYFUNCTION("IF(COUNTA(Q847:Q1350)=0,"""",IF(REGEXMATCH(INDEX(FILTER(Q$4:Q847,Q$4:Q847&lt;&gt;""""),ROWS(FILTER(Q$4:Q847,Q$4:Q847&lt;&gt;""""))),""^Sell_""),INDEX(FILTER(T$4:T846,Q$4:Q846&lt;&gt;""""),ROWS(FILTER(Q$4:Q846,Q$4:Q846&lt;&gt;""""))),$AD$5+S847))"),"")</f>
        <v/>
      </c>
      <c r="U847" s="10" t="str">
        <f>IFERROR(__xludf.DUMMYFUNCTION("IF(COUNTA(Q847:Q1350)=0,"""",IF(Q847="""",0,IF(REGEXMATCH(Q847,""^Sell_""),-ROUNDDOWN(ROUNDUP(INDEX(Upgrades!$C$3:$C$13,MATCH(SUBSTITUTE(Q847,""Sell_"",""""),Upgrades!$B$3:$B$13,0))*1.15^(COUNTIF(Q$4:Q846,SUBSTITUTE(Q847,""Sell_"",""""))-COUNTIF(Q$4:Q846,"&amp;"""Sell_""&amp;SUBSTITUTE(Q847,""Sell_"",""""))))/2),ROUNDUP(INDEX(Upgrades!$C$3:$C$13,MATCH(Q847,Upgrades!$B$3:$B$13,0))*1.15^(COUNTIF(Q$4:Q846,Q847)-COUNTIF(Q$4:Q846,""Sell_""&amp;Q847))))))"),"")</f>
        <v/>
      </c>
      <c r="V847" s="10" t="str">
        <f t="shared" si="11"/>
        <v/>
      </c>
      <c r="W847" s="68" t="str">
        <f t="shared" si="12"/>
        <v/>
      </c>
      <c r="X847" s="59" t="str">
        <f t="shared" si="13"/>
        <v/>
      </c>
      <c r="Y847" s="69" t="str">
        <f t="shared" si="14"/>
        <v/>
      </c>
      <c r="Z847" s="11"/>
    </row>
    <row r="848">
      <c r="A848" s="8"/>
      <c r="B848" s="56" t="str">
        <f t="shared" si="2"/>
        <v/>
      </c>
      <c r="C848" s="57"/>
      <c r="D848" s="10" t="str">
        <f>IFERROR(__xludf.DUMMYFUNCTION("IF(COUNTA(C848:C1350)=0,"""",IF(ISBLANK(C848),FALSE,IF(NOT(COUNTIF($AA$24:$AA$34,SUBSTITUTE(C848,""Sell_"",""""))),1,IF(REGEXMATCH(C848,""Sell_""),IF(COUNTIF(C$4:C848,SUBSTITUTE(C848,""Sell_"",""""))-COUNTIF(C$4:C847,C848)&lt;1,1),FALSE))))"),"")</f>
        <v/>
      </c>
      <c r="E848" s="59" t="str">
        <f t="array" ref="E848">IF(COUNTA(C848:C1350)=0,"",SUM((COUNTIF(C$4:C848,Upgrades!$B$3:$B$13)-COUNTIF(C$4:C848,"Sell_"&amp;Upgrades!$B$3:$B$13))*Upgrades!$D$3:$D$13))</f>
        <v/>
      </c>
      <c r="F848" s="66" t="str">
        <f>IFERROR(__xludf.DUMMYFUNCTION("IF(COUNTA(C848:C1350)=0,"""",IF(REGEXMATCH(INDEX(FILTER(C$4:C848,C$4:C848&lt;&gt;""""),ROWS(FILTER(C$4:C848,C$4:C848&lt;&gt;""""))),""^Sell_""),INDEX(FILTER(F$4:F847,C$4:C847&lt;&gt;""""),ROWS(FILTER(C$4:C847,C$4:C847&lt;&gt;""""))),$AC$5+E848))"),"")</f>
        <v/>
      </c>
      <c r="G848" s="10" t="str">
        <f>IFERROR(__xludf.DUMMYFUNCTION("IF(COUNTA(C848:C1350)=0,"""",IF(C848="""",0,IF(REGEXMATCH(C848,""^Sell_""),-ROUNDDOWN(ROUNDUP(INDEX(Upgrades!$C$3:$C$13,MATCH(SUBSTITUTE(C848,""Sell_"",""""),Upgrades!$B$3:$B$13,0))*1.15^(COUNTIF(C$4:C847,SUBSTITUTE(C848,""Sell_"",""""))-COUNTIF(C$4:C847,"&amp;"""Sell_""&amp;SUBSTITUTE(C848,""Sell_"",""""))))/2),ROUNDUP(INDEX(Upgrades!$C$3:$C$13,MATCH(C848,Upgrades!$B$3:$B$13,0))*1.15^(COUNTIF(C$4:C847,C848)-COUNTIF(C$4:C847,""Sell_""&amp;C848))))))"),"")</f>
        <v/>
      </c>
      <c r="H848" s="10" t="str">
        <f t="shared" si="3"/>
        <v/>
      </c>
      <c r="I848" s="68" t="str">
        <f t="shared" si="4"/>
        <v/>
      </c>
      <c r="J848" s="59" t="str">
        <f t="shared" si="5"/>
        <v/>
      </c>
      <c r="K848" s="69" t="str">
        <f t="shared" si="6"/>
        <v/>
      </c>
      <c r="L848" s="60" t="str">
        <f t="shared" si="7"/>
        <v/>
      </c>
      <c r="M848" s="61" t="str">
        <f>IFERROR(__xludf.DUMMYFUNCTION("IFS(AND(COUNTA(C848:C1350)=0,COUNTA(Q848:Q1350)=0),"""",OR(AND(K848&gt;=1000000000,OR(Y848&gt;=1000000000,COUNTA(Q848:Q1350)=0)),OR(Y848&gt;=1000000000,AND(COUNTA(C848:C1350)=0,P$3=TRUE))),
ROUNDDOWN((AB$1-AC$1)*MAX(INDEX(T$4:T1350,MATCH(LARGE(FILTER(Y$4:Y1350,Y$4"&amp;":Y1350&lt;1000000000),1),Y$4:Y1350)),INDEX(F$4:F1350,MATCH(LARGE(FILTER(K$4:K1350,K$4:K1350&lt;1000000000),1),K$4:K1350)))),AND(K848&lt;1000000000,COUNTA(C848:C1350)&gt;0,P$3=FALSE),
ROUNDDOWN(INDEX(Y$4:Y1350,MATCH(LARGE(FILTER(W$4:W1350,W$4:W1350&lt;=I848),1),W$4:W1350"&amp;"))+(I848-LARGE(FILTER(W$4:W1350,W$4:W1350&lt;=I848),1))*INDEX(T$4:T1350,MATCH(LARGE(FILTER(W$4:W1350,W$4:W1350&lt;=I848),1),W$4:W1350))-K848),1,
ROUNDDOWN(Y848-INDEX(K$4:K1350,MATCH(LARGE(FILTER(I$4:I1350,I$4:I1350&lt;=W848),1),I$4:I1350))-(W848-LARGE(FILTER(I$4:I"&amp;"1350,I$4:I1350&lt;=W848),1))*INDEX(F$4:F1350,MATCH(LARGE(FILTER(I$4:I1350,I$4:I1350&lt;=W848),1),I$4:I1350))))"),"")</f>
        <v/>
      </c>
      <c r="N848" s="60" t="str">
        <f t="shared" si="8"/>
        <v/>
      </c>
      <c r="O848" s="61" t="str">
        <f t="shared" si="9"/>
        <v/>
      </c>
      <c r="P848" s="56" t="str">
        <f t="shared" si="10"/>
        <v/>
      </c>
      <c r="Q848" s="62"/>
      <c r="R848" s="10" t="str">
        <f>IFERROR(__xludf.DUMMYFUNCTION("IF(COUNTA(Q848:Q1350)=0,"""",IF(ISBLANK(Q848),FALSE,IF(NOT(COUNTIF($AA$24:$AA$34,SUBSTITUTE(Q848,""Sell_"",""""))),1,IF(REGEXMATCH(Q848,""Sell_""),IF(COUNTIF(Q$4:Q848,SUBSTITUTE(Q848,""Sell_"",""""))-COUNTIF(Q$4:Q847,Q848)&lt;1,1),FALSE))))"),"")</f>
        <v/>
      </c>
      <c r="S848" s="59" t="str">
        <f t="array" ref="S848">IF(COUNTA(Q848:Q1350)=0,"",SUM((COUNTIF(Q$4:Q848,Upgrades!$B$3:$B$13)-COUNTIF(Q$4:Q848,"Sell_"&amp;Upgrades!$B$3:$B$13))*Upgrades!$D$3:$D$13))</f>
        <v/>
      </c>
      <c r="T848" s="66" t="str">
        <f>IFERROR(__xludf.DUMMYFUNCTION("IF(COUNTA(Q848:Q1350)=0,"""",IF(REGEXMATCH(INDEX(FILTER(Q$4:Q848,Q$4:Q848&lt;&gt;""""),ROWS(FILTER(Q$4:Q848,Q$4:Q848&lt;&gt;""""))),""^Sell_""),INDEX(FILTER(T$4:T847,Q$4:Q847&lt;&gt;""""),ROWS(FILTER(Q$4:Q847,Q$4:Q847&lt;&gt;""""))),$AD$5+S848))"),"")</f>
        <v/>
      </c>
      <c r="U848" s="10" t="str">
        <f>IFERROR(__xludf.DUMMYFUNCTION("IF(COUNTA(Q848:Q1350)=0,"""",IF(Q848="""",0,IF(REGEXMATCH(Q848,""^Sell_""),-ROUNDDOWN(ROUNDUP(INDEX(Upgrades!$C$3:$C$13,MATCH(SUBSTITUTE(Q848,""Sell_"",""""),Upgrades!$B$3:$B$13,0))*1.15^(COUNTIF(Q$4:Q847,SUBSTITUTE(Q848,""Sell_"",""""))-COUNTIF(Q$4:Q847,"&amp;"""Sell_""&amp;SUBSTITUTE(Q848,""Sell_"",""""))))/2),ROUNDUP(INDEX(Upgrades!$C$3:$C$13,MATCH(Q848,Upgrades!$B$3:$B$13,0))*1.15^(COUNTIF(Q$4:Q847,Q848)-COUNTIF(Q$4:Q847,""Sell_""&amp;Q848))))))"),"")</f>
        <v/>
      </c>
      <c r="V848" s="10" t="str">
        <f t="shared" si="11"/>
        <v/>
      </c>
      <c r="W848" s="68" t="str">
        <f t="shared" si="12"/>
        <v/>
      </c>
      <c r="X848" s="59" t="str">
        <f t="shared" si="13"/>
        <v/>
      </c>
      <c r="Y848" s="69" t="str">
        <f t="shared" si="14"/>
        <v/>
      </c>
      <c r="Z848" s="11"/>
    </row>
    <row r="849">
      <c r="A849" s="8"/>
      <c r="B849" s="56" t="str">
        <f t="shared" si="2"/>
        <v/>
      </c>
      <c r="C849" s="57"/>
      <c r="D849" s="10" t="str">
        <f>IFERROR(__xludf.DUMMYFUNCTION("IF(COUNTA(C849:C1350)=0,"""",IF(ISBLANK(C849),FALSE,IF(NOT(COUNTIF($AA$24:$AA$34,SUBSTITUTE(C849,""Sell_"",""""))),1,IF(REGEXMATCH(C849,""Sell_""),IF(COUNTIF(C$4:C849,SUBSTITUTE(C849,""Sell_"",""""))-COUNTIF(C$4:C848,C849)&lt;1,1),FALSE))))"),"")</f>
        <v/>
      </c>
      <c r="E849" s="59" t="str">
        <f t="array" ref="E849">IF(COUNTA(C849:C1350)=0,"",SUM((COUNTIF(C$4:C849,Upgrades!$B$3:$B$13)-COUNTIF(C$4:C849,"Sell_"&amp;Upgrades!$B$3:$B$13))*Upgrades!$D$3:$D$13))</f>
        <v/>
      </c>
      <c r="F849" s="66" t="str">
        <f>IFERROR(__xludf.DUMMYFUNCTION("IF(COUNTA(C849:C1350)=0,"""",IF(REGEXMATCH(INDEX(FILTER(C$4:C849,C$4:C849&lt;&gt;""""),ROWS(FILTER(C$4:C849,C$4:C849&lt;&gt;""""))),""^Sell_""),INDEX(FILTER(F$4:F848,C$4:C848&lt;&gt;""""),ROWS(FILTER(C$4:C848,C$4:C848&lt;&gt;""""))),$AC$5+E849))"),"")</f>
        <v/>
      </c>
      <c r="G849" s="10" t="str">
        <f>IFERROR(__xludf.DUMMYFUNCTION("IF(COUNTA(C849:C1350)=0,"""",IF(C849="""",0,IF(REGEXMATCH(C849,""^Sell_""),-ROUNDDOWN(ROUNDUP(INDEX(Upgrades!$C$3:$C$13,MATCH(SUBSTITUTE(C849,""Sell_"",""""),Upgrades!$B$3:$B$13,0))*1.15^(COUNTIF(C$4:C848,SUBSTITUTE(C849,""Sell_"",""""))-COUNTIF(C$4:C848,"&amp;"""Sell_""&amp;SUBSTITUTE(C849,""Sell_"",""""))))/2),ROUNDUP(INDEX(Upgrades!$C$3:$C$13,MATCH(C849,Upgrades!$B$3:$B$13,0))*1.15^(COUNTIF(C$4:C848,C849)-COUNTIF(C$4:C848,""Sell_""&amp;C849))))))"),"")</f>
        <v/>
      </c>
      <c r="H849" s="10" t="str">
        <f t="shared" si="3"/>
        <v/>
      </c>
      <c r="I849" s="68" t="str">
        <f t="shared" si="4"/>
        <v/>
      </c>
      <c r="J849" s="59" t="str">
        <f t="shared" si="5"/>
        <v/>
      </c>
      <c r="K849" s="69" t="str">
        <f t="shared" si="6"/>
        <v/>
      </c>
      <c r="L849" s="60" t="str">
        <f t="shared" si="7"/>
        <v/>
      </c>
      <c r="M849" s="61" t="str">
        <f>IFERROR(__xludf.DUMMYFUNCTION("IFS(AND(COUNTA(C849:C1350)=0,COUNTA(Q849:Q1350)=0),"""",OR(AND(K849&gt;=1000000000,OR(Y849&gt;=1000000000,COUNTA(Q849:Q1350)=0)),OR(Y849&gt;=1000000000,AND(COUNTA(C849:C1350)=0,P$3=TRUE))),
ROUNDDOWN((AB$1-AC$1)*MAX(INDEX(T$4:T1350,MATCH(LARGE(FILTER(Y$4:Y1350,Y$4"&amp;":Y1350&lt;1000000000),1),Y$4:Y1350)),INDEX(F$4:F1350,MATCH(LARGE(FILTER(K$4:K1350,K$4:K1350&lt;1000000000),1),K$4:K1350)))),AND(K849&lt;1000000000,COUNTA(C849:C1350)&gt;0,P$3=FALSE),
ROUNDDOWN(INDEX(Y$4:Y1350,MATCH(LARGE(FILTER(W$4:W1350,W$4:W1350&lt;=I849),1),W$4:W1350"&amp;"))+(I849-LARGE(FILTER(W$4:W1350,W$4:W1350&lt;=I849),1))*INDEX(T$4:T1350,MATCH(LARGE(FILTER(W$4:W1350,W$4:W1350&lt;=I849),1),W$4:W1350))-K849),1,
ROUNDDOWN(Y849-INDEX(K$4:K1350,MATCH(LARGE(FILTER(I$4:I1350,I$4:I1350&lt;=W849),1),I$4:I1350))-(W849-LARGE(FILTER(I$4:I"&amp;"1350,I$4:I1350&lt;=W849),1))*INDEX(F$4:F1350,MATCH(LARGE(FILTER(I$4:I1350,I$4:I1350&lt;=W849),1),I$4:I1350))))"),"")</f>
        <v/>
      </c>
      <c r="N849" s="60" t="str">
        <f t="shared" si="8"/>
        <v/>
      </c>
      <c r="O849" s="61" t="str">
        <f t="shared" si="9"/>
        <v/>
      </c>
      <c r="P849" s="56" t="str">
        <f t="shared" si="10"/>
        <v/>
      </c>
      <c r="Q849" s="62"/>
      <c r="R849" s="10" t="str">
        <f>IFERROR(__xludf.DUMMYFUNCTION("IF(COUNTA(Q849:Q1350)=0,"""",IF(ISBLANK(Q849),FALSE,IF(NOT(COUNTIF($AA$24:$AA$34,SUBSTITUTE(Q849,""Sell_"",""""))),1,IF(REGEXMATCH(Q849,""Sell_""),IF(COUNTIF(Q$4:Q849,SUBSTITUTE(Q849,""Sell_"",""""))-COUNTIF(Q$4:Q848,Q849)&lt;1,1),FALSE))))"),"")</f>
        <v/>
      </c>
      <c r="S849" s="59" t="str">
        <f t="array" ref="S849">IF(COUNTA(Q849:Q1350)=0,"",SUM((COUNTIF(Q$4:Q849,Upgrades!$B$3:$B$13)-COUNTIF(Q$4:Q849,"Sell_"&amp;Upgrades!$B$3:$B$13))*Upgrades!$D$3:$D$13))</f>
        <v/>
      </c>
      <c r="T849" s="66" t="str">
        <f>IFERROR(__xludf.DUMMYFUNCTION("IF(COUNTA(Q849:Q1350)=0,"""",IF(REGEXMATCH(INDEX(FILTER(Q$4:Q849,Q$4:Q849&lt;&gt;""""),ROWS(FILTER(Q$4:Q849,Q$4:Q849&lt;&gt;""""))),""^Sell_""),INDEX(FILTER(T$4:T848,Q$4:Q848&lt;&gt;""""),ROWS(FILTER(Q$4:Q848,Q$4:Q848&lt;&gt;""""))),$AD$5+S849))"),"")</f>
        <v/>
      </c>
      <c r="U849" s="10" t="str">
        <f>IFERROR(__xludf.DUMMYFUNCTION("IF(COUNTA(Q849:Q1350)=0,"""",IF(Q849="""",0,IF(REGEXMATCH(Q849,""^Sell_""),-ROUNDDOWN(ROUNDUP(INDEX(Upgrades!$C$3:$C$13,MATCH(SUBSTITUTE(Q849,""Sell_"",""""),Upgrades!$B$3:$B$13,0))*1.15^(COUNTIF(Q$4:Q848,SUBSTITUTE(Q849,""Sell_"",""""))-COUNTIF(Q$4:Q848,"&amp;"""Sell_""&amp;SUBSTITUTE(Q849,""Sell_"",""""))))/2),ROUNDUP(INDEX(Upgrades!$C$3:$C$13,MATCH(Q849,Upgrades!$B$3:$B$13,0))*1.15^(COUNTIF(Q$4:Q848,Q849)-COUNTIF(Q$4:Q848,""Sell_""&amp;Q849))))))"),"")</f>
        <v/>
      </c>
      <c r="V849" s="10" t="str">
        <f t="shared" si="11"/>
        <v/>
      </c>
      <c r="W849" s="68" t="str">
        <f t="shared" si="12"/>
        <v/>
      </c>
      <c r="X849" s="59" t="str">
        <f t="shared" si="13"/>
        <v/>
      </c>
      <c r="Y849" s="69" t="str">
        <f t="shared" si="14"/>
        <v/>
      </c>
      <c r="Z849" s="11"/>
    </row>
    <row r="850">
      <c r="A850" s="8"/>
      <c r="B850" s="56" t="str">
        <f t="shared" si="2"/>
        <v/>
      </c>
      <c r="C850" s="57"/>
      <c r="D850" s="10" t="str">
        <f>IFERROR(__xludf.DUMMYFUNCTION("IF(COUNTA(C850:C1350)=0,"""",IF(ISBLANK(C850),FALSE,IF(NOT(COUNTIF($AA$24:$AA$34,SUBSTITUTE(C850,""Sell_"",""""))),1,IF(REGEXMATCH(C850,""Sell_""),IF(COUNTIF(C$4:C850,SUBSTITUTE(C850,""Sell_"",""""))-COUNTIF(C$4:C849,C850)&lt;1,1),FALSE))))"),"")</f>
        <v/>
      </c>
      <c r="E850" s="59" t="str">
        <f t="array" ref="E850">IF(COUNTA(C850:C1350)=0,"",SUM((COUNTIF(C$4:C850,Upgrades!$B$3:$B$13)-COUNTIF(C$4:C850,"Sell_"&amp;Upgrades!$B$3:$B$13))*Upgrades!$D$3:$D$13))</f>
        <v/>
      </c>
      <c r="F850" s="66" t="str">
        <f>IFERROR(__xludf.DUMMYFUNCTION("IF(COUNTA(C850:C1350)=0,"""",IF(REGEXMATCH(INDEX(FILTER(C$4:C850,C$4:C850&lt;&gt;""""),ROWS(FILTER(C$4:C850,C$4:C850&lt;&gt;""""))),""^Sell_""),INDEX(FILTER(F$4:F849,C$4:C849&lt;&gt;""""),ROWS(FILTER(C$4:C849,C$4:C849&lt;&gt;""""))),$AC$5+E850))"),"")</f>
        <v/>
      </c>
      <c r="G850" s="10" t="str">
        <f>IFERROR(__xludf.DUMMYFUNCTION("IF(COUNTA(C850:C1350)=0,"""",IF(C850="""",0,IF(REGEXMATCH(C850,""^Sell_""),-ROUNDDOWN(ROUNDUP(INDEX(Upgrades!$C$3:$C$13,MATCH(SUBSTITUTE(C850,""Sell_"",""""),Upgrades!$B$3:$B$13,0))*1.15^(COUNTIF(C$4:C849,SUBSTITUTE(C850,""Sell_"",""""))-COUNTIF(C$4:C849,"&amp;"""Sell_""&amp;SUBSTITUTE(C850,""Sell_"",""""))))/2),ROUNDUP(INDEX(Upgrades!$C$3:$C$13,MATCH(C850,Upgrades!$B$3:$B$13,0))*1.15^(COUNTIF(C$4:C849,C850)-COUNTIF(C$4:C849,""Sell_""&amp;C850))))))"),"")</f>
        <v/>
      </c>
      <c r="H850" s="10" t="str">
        <f t="shared" si="3"/>
        <v/>
      </c>
      <c r="I850" s="68" t="str">
        <f t="shared" si="4"/>
        <v/>
      </c>
      <c r="J850" s="59" t="str">
        <f t="shared" si="5"/>
        <v/>
      </c>
      <c r="K850" s="69" t="str">
        <f t="shared" si="6"/>
        <v/>
      </c>
      <c r="L850" s="60" t="str">
        <f t="shared" si="7"/>
        <v/>
      </c>
      <c r="M850" s="61" t="str">
        <f>IFERROR(__xludf.DUMMYFUNCTION("IFS(AND(COUNTA(C850:C1350)=0,COUNTA(Q850:Q1350)=0),"""",OR(AND(K850&gt;=1000000000,OR(Y850&gt;=1000000000,COUNTA(Q850:Q1350)=0)),OR(Y850&gt;=1000000000,AND(COUNTA(C850:C1350)=0,P$3=TRUE))),
ROUNDDOWN((AB$1-AC$1)*MAX(INDEX(T$4:T1350,MATCH(LARGE(FILTER(Y$4:Y1350,Y$4"&amp;":Y1350&lt;1000000000),1),Y$4:Y1350)),INDEX(F$4:F1350,MATCH(LARGE(FILTER(K$4:K1350,K$4:K1350&lt;1000000000),1),K$4:K1350)))),AND(K850&lt;1000000000,COUNTA(C850:C1350)&gt;0,P$3=FALSE),
ROUNDDOWN(INDEX(Y$4:Y1350,MATCH(LARGE(FILTER(W$4:W1350,W$4:W1350&lt;=I850),1),W$4:W1350"&amp;"))+(I850-LARGE(FILTER(W$4:W1350,W$4:W1350&lt;=I850),1))*INDEX(T$4:T1350,MATCH(LARGE(FILTER(W$4:W1350,W$4:W1350&lt;=I850),1),W$4:W1350))-K850),1,
ROUNDDOWN(Y850-INDEX(K$4:K1350,MATCH(LARGE(FILTER(I$4:I1350,I$4:I1350&lt;=W850),1),I$4:I1350))-(W850-LARGE(FILTER(I$4:I"&amp;"1350,I$4:I1350&lt;=W850),1))*INDEX(F$4:F1350,MATCH(LARGE(FILTER(I$4:I1350,I$4:I1350&lt;=W850),1),I$4:I1350))))"),"")</f>
        <v/>
      </c>
      <c r="N850" s="60" t="str">
        <f t="shared" si="8"/>
        <v/>
      </c>
      <c r="O850" s="61" t="str">
        <f t="shared" si="9"/>
        <v/>
      </c>
      <c r="P850" s="56" t="str">
        <f t="shared" si="10"/>
        <v/>
      </c>
      <c r="Q850" s="62"/>
      <c r="R850" s="10" t="str">
        <f>IFERROR(__xludf.DUMMYFUNCTION("IF(COUNTA(Q850:Q1350)=0,"""",IF(ISBLANK(Q850),FALSE,IF(NOT(COUNTIF($AA$24:$AA$34,SUBSTITUTE(Q850,""Sell_"",""""))),1,IF(REGEXMATCH(Q850,""Sell_""),IF(COUNTIF(Q$4:Q850,SUBSTITUTE(Q850,""Sell_"",""""))-COUNTIF(Q$4:Q849,Q850)&lt;1,1),FALSE))))"),"")</f>
        <v/>
      </c>
      <c r="S850" s="59" t="str">
        <f t="array" ref="S850">IF(COUNTA(Q850:Q1350)=0,"",SUM((COUNTIF(Q$4:Q850,Upgrades!$B$3:$B$13)-COUNTIF(Q$4:Q850,"Sell_"&amp;Upgrades!$B$3:$B$13))*Upgrades!$D$3:$D$13))</f>
        <v/>
      </c>
      <c r="T850" s="66" t="str">
        <f>IFERROR(__xludf.DUMMYFUNCTION("IF(COUNTA(Q850:Q1350)=0,"""",IF(REGEXMATCH(INDEX(FILTER(Q$4:Q850,Q$4:Q850&lt;&gt;""""),ROWS(FILTER(Q$4:Q850,Q$4:Q850&lt;&gt;""""))),""^Sell_""),INDEX(FILTER(T$4:T849,Q$4:Q849&lt;&gt;""""),ROWS(FILTER(Q$4:Q849,Q$4:Q849&lt;&gt;""""))),$AD$5+S850))"),"")</f>
        <v/>
      </c>
      <c r="U850" s="10" t="str">
        <f>IFERROR(__xludf.DUMMYFUNCTION("IF(COUNTA(Q850:Q1350)=0,"""",IF(Q850="""",0,IF(REGEXMATCH(Q850,""^Sell_""),-ROUNDDOWN(ROUNDUP(INDEX(Upgrades!$C$3:$C$13,MATCH(SUBSTITUTE(Q850,""Sell_"",""""),Upgrades!$B$3:$B$13,0))*1.15^(COUNTIF(Q$4:Q849,SUBSTITUTE(Q850,""Sell_"",""""))-COUNTIF(Q$4:Q849,"&amp;"""Sell_""&amp;SUBSTITUTE(Q850,""Sell_"",""""))))/2),ROUNDUP(INDEX(Upgrades!$C$3:$C$13,MATCH(Q850,Upgrades!$B$3:$B$13,0))*1.15^(COUNTIF(Q$4:Q849,Q850)-COUNTIF(Q$4:Q849,""Sell_""&amp;Q850))))))"),"")</f>
        <v/>
      </c>
      <c r="V850" s="10" t="str">
        <f t="shared" si="11"/>
        <v/>
      </c>
      <c r="W850" s="68" t="str">
        <f t="shared" si="12"/>
        <v/>
      </c>
      <c r="X850" s="59" t="str">
        <f t="shared" si="13"/>
        <v/>
      </c>
      <c r="Y850" s="69" t="str">
        <f t="shared" si="14"/>
        <v/>
      </c>
      <c r="Z850" s="11"/>
    </row>
    <row r="851">
      <c r="A851" s="8"/>
      <c r="B851" s="56" t="str">
        <f t="shared" si="2"/>
        <v/>
      </c>
      <c r="C851" s="57"/>
      <c r="D851" s="10" t="str">
        <f>IFERROR(__xludf.DUMMYFUNCTION("IF(COUNTA(C851:C1350)=0,"""",IF(ISBLANK(C851),FALSE,IF(NOT(COUNTIF($AA$24:$AA$34,SUBSTITUTE(C851,""Sell_"",""""))),1,IF(REGEXMATCH(C851,""Sell_""),IF(COUNTIF(C$4:C851,SUBSTITUTE(C851,""Sell_"",""""))-COUNTIF(C$4:C850,C851)&lt;1,1),FALSE))))"),"")</f>
        <v/>
      </c>
      <c r="E851" s="59" t="str">
        <f t="array" ref="E851">IF(COUNTA(C851:C1350)=0,"",SUM((COUNTIF(C$4:C851,Upgrades!$B$3:$B$13)-COUNTIF(C$4:C851,"Sell_"&amp;Upgrades!$B$3:$B$13))*Upgrades!$D$3:$D$13))</f>
        <v/>
      </c>
      <c r="F851" s="66" t="str">
        <f>IFERROR(__xludf.DUMMYFUNCTION("IF(COUNTA(C851:C1350)=0,"""",IF(REGEXMATCH(INDEX(FILTER(C$4:C851,C$4:C851&lt;&gt;""""),ROWS(FILTER(C$4:C851,C$4:C851&lt;&gt;""""))),""^Sell_""),INDEX(FILTER(F$4:F850,C$4:C850&lt;&gt;""""),ROWS(FILTER(C$4:C850,C$4:C850&lt;&gt;""""))),$AC$5+E851))"),"")</f>
        <v/>
      </c>
      <c r="G851" s="10" t="str">
        <f>IFERROR(__xludf.DUMMYFUNCTION("IF(COUNTA(C851:C1350)=0,"""",IF(C851="""",0,IF(REGEXMATCH(C851,""^Sell_""),-ROUNDDOWN(ROUNDUP(INDEX(Upgrades!$C$3:$C$13,MATCH(SUBSTITUTE(C851,""Sell_"",""""),Upgrades!$B$3:$B$13,0))*1.15^(COUNTIF(C$4:C850,SUBSTITUTE(C851,""Sell_"",""""))-COUNTIF(C$4:C850,"&amp;"""Sell_""&amp;SUBSTITUTE(C851,""Sell_"",""""))))/2),ROUNDUP(INDEX(Upgrades!$C$3:$C$13,MATCH(C851,Upgrades!$B$3:$B$13,0))*1.15^(COUNTIF(C$4:C850,C851)-COUNTIF(C$4:C850,""Sell_""&amp;C851))))))"),"")</f>
        <v/>
      </c>
      <c r="H851" s="10" t="str">
        <f t="shared" si="3"/>
        <v/>
      </c>
      <c r="I851" s="68" t="str">
        <f t="shared" si="4"/>
        <v/>
      </c>
      <c r="J851" s="59" t="str">
        <f t="shared" si="5"/>
        <v/>
      </c>
      <c r="K851" s="69" t="str">
        <f t="shared" si="6"/>
        <v/>
      </c>
      <c r="L851" s="60" t="str">
        <f t="shared" si="7"/>
        <v/>
      </c>
      <c r="M851" s="61" t="str">
        <f>IFERROR(__xludf.DUMMYFUNCTION("IFS(AND(COUNTA(C851:C1350)=0,COUNTA(Q851:Q1350)=0),"""",OR(AND(K851&gt;=1000000000,OR(Y851&gt;=1000000000,COUNTA(Q851:Q1350)=0)),OR(Y851&gt;=1000000000,AND(COUNTA(C851:C1350)=0,P$3=TRUE))),
ROUNDDOWN((AB$1-AC$1)*MAX(INDEX(T$4:T1350,MATCH(LARGE(FILTER(Y$4:Y1350,Y$4"&amp;":Y1350&lt;1000000000),1),Y$4:Y1350)),INDEX(F$4:F1350,MATCH(LARGE(FILTER(K$4:K1350,K$4:K1350&lt;1000000000),1),K$4:K1350)))),AND(K851&lt;1000000000,COUNTA(C851:C1350)&gt;0,P$3=FALSE),
ROUNDDOWN(INDEX(Y$4:Y1350,MATCH(LARGE(FILTER(W$4:W1350,W$4:W1350&lt;=I851),1),W$4:W1350"&amp;"))+(I851-LARGE(FILTER(W$4:W1350,W$4:W1350&lt;=I851),1))*INDEX(T$4:T1350,MATCH(LARGE(FILTER(W$4:W1350,W$4:W1350&lt;=I851),1),W$4:W1350))-K851),1,
ROUNDDOWN(Y851-INDEX(K$4:K1350,MATCH(LARGE(FILTER(I$4:I1350,I$4:I1350&lt;=W851),1),I$4:I1350))-(W851-LARGE(FILTER(I$4:I"&amp;"1350,I$4:I1350&lt;=W851),1))*INDEX(F$4:F1350,MATCH(LARGE(FILTER(I$4:I1350,I$4:I1350&lt;=W851),1),I$4:I1350))))"),"")</f>
        <v/>
      </c>
      <c r="N851" s="60" t="str">
        <f t="shared" si="8"/>
        <v/>
      </c>
      <c r="O851" s="61" t="str">
        <f t="shared" si="9"/>
        <v/>
      </c>
      <c r="P851" s="56" t="str">
        <f t="shared" si="10"/>
        <v/>
      </c>
      <c r="Q851" s="62"/>
      <c r="R851" s="10" t="str">
        <f>IFERROR(__xludf.DUMMYFUNCTION("IF(COUNTA(Q851:Q1350)=0,"""",IF(ISBLANK(Q851),FALSE,IF(NOT(COUNTIF($AA$24:$AA$34,SUBSTITUTE(Q851,""Sell_"",""""))),1,IF(REGEXMATCH(Q851,""Sell_""),IF(COUNTIF(Q$4:Q851,SUBSTITUTE(Q851,""Sell_"",""""))-COUNTIF(Q$4:Q850,Q851)&lt;1,1),FALSE))))"),"")</f>
        <v/>
      </c>
      <c r="S851" s="59" t="str">
        <f t="array" ref="S851">IF(COUNTA(Q851:Q1350)=0,"",SUM((COUNTIF(Q$4:Q851,Upgrades!$B$3:$B$13)-COUNTIF(Q$4:Q851,"Sell_"&amp;Upgrades!$B$3:$B$13))*Upgrades!$D$3:$D$13))</f>
        <v/>
      </c>
      <c r="T851" s="66" t="str">
        <f>IFERROR(__xludf.DUMMYFUNCTION("IF(COUNTA(Q851:Q1350)=0,"""",IF(REGEXMATCH(INDEX(FILTER(Q$4:Q851,Q$4:Q851&lt;&gt;""""),ROWS(FILTER(Q$4:Q851,Q$4:Q851&lt;&gt;""""))),""^Sell_""),INDEX(FILTER(T$4:T850,Q$4:Q850&lt;&gt;""""),ROWS(FILTER(Q$4:Q850,Q$4:Q850&lt;&gt;""""))),$AD$5+S851))"),"")</f>
        <v/>
      </c>
      <c r="U851" s="10" t="str">
        <f>IFERROR(__xludf.DUMMYFUNCTION("IF(COUNTA(Q851:Q1350)=0,"""",IF(Q851="""",0,IF(REGEXMATCH(Q851,""^Sell_""),-ROUNDDOWN(ROUNDUP(INDEX(Upgrades!$C$3:$C$13,MATCH(SUBSTITUTE(Q851,""Sell_"",""""),Upgrades!$B$3:$B$13,0))*1.15^(COUNTIF(Q$4:Q850,SUBSTITUTE(Q851,""Sell_"",""""))-COUNTIF(Q$4:Q850,"&amp;"""Sell_""&amp;SUBSTITUTE(Q851,""Sell_"",""""))))/2),ROUNDUP(INDEX(Upgrades!$C$3:$C$13,MATCH(Q851,Upgrades!$B$3:$B$13,0))*1.15^(COUNTIF(Q$4:Q850,Q851)-COUNTIF(Q$4:Q850,""Sell_""&amp;Q851))))))"),"")</f>
        <v/>
      </c>
      <c r="V851" s="10" t="str">
        <f t="shared" si="11"/>
        <v/>
      </c>
      <c r="W851" s="68" t="str">
        <f t="shared" si="12"/>
        <v/>
      </c>
      <c r="X851" s="59" t="str">
        <f t="shared" si="13"/>
        <v/>
      </c>
      <c r="Y851" s="69" t="str">
        <f t="shared" si="14"/>
        <v/>
      </c>
      <c r="Z851" s="11"/>
    </row>
    <row r="852">
      <c r="A852" s="8"/>
      <c r="B852" s="56" t="str">
        <f t="shared" si="2"/>
        <v/>
      </c>
      <c r="C852" s="57"/>
      <c r="D852" s="10" t="str">
        <f>IFERROR(__xludf.DUMMYFUNCTION("IF(COUNTA(C852:C1350)=0,"""",IF(ISBLANK(C852),FALSE,IF(NOT(COUNTIF($AA$24:$AA$34,SUBSTITUTE(C852,""Sell_"",""""))),1,IF(REGEXMATCH(C852,""Sell_""),IF(COUNTIF(C$4:C852,SUBSTITUTE(C852,""Sell_"",""""))-COUNTIF(C$4:C851,C852)&lt;1,1),FALSE))))"),"")</f>
        <v/>
      </c>
      <c r="E852" s="59" t="str">
        <f t="array" ref="E852">IF(COUNTA(C852:C1350)=0,"",SUM((COUNTIF(C$4:C852,Upgrades!$B$3:$B$13)-COUNTIF(C$4:C852,"Sell_"&amp;Upgrades!$B$3:$B$13))*Upgrades!$D$3:$D$13))</f>
        <v/>
      </c>
      <c r="F852" s="66" t="str">
        <f>IFERROR(__xludf.DUMMYFUNCTION("IF(COUNTA(C852:C1350)=0,"""",IF(REGEXMATCH(INDEX(FILTER(C$4:C852,C$4:C852&lt;&gt;""""),ROWS(FILTER(C$4:C852,C$4:C852&lt;&gt;""""))),""^Sell_""),INDEX(FILTER(F$4:F851,C$4:C851&lt;&gt;""""),ROWS(FILTER(C$4:C851,C$4:C851&lt;&gt;""""))),$AC$5+E852))"),"")</f>
        <v/>
      </c>
      <c r="G852" s="10" t="str">
        <f>IFERROR(__xludf.DUMMYFUNCTION("IF(COUNTA(C852:C1350)=0,"""",IF(C852="""",0,IF(REGEXMATCH(C852,""^Sell_""),-ROUNDDOWN(ROUNDUP(INDEX(Upgrades!$C$3:$C$13,MATCH(SUBSTITUTE(C852,""Sell_"",""""),Upgrades!$B$3:$B$13,0))*1.15^(COUNTIF(C$4:C851,SUBSTITUTE(C852,""Sell_"",""""))-COUNTIF(C$4:C851,"&amp;"""Sell_""&amp;SUBSTITUTE(C852,""Sell_"",""""))))/2),ROUNDUP(INDEX(Upgrades!$C$3:$C$13,MATCH(C852,Upgrades!$B$3:$B$13,0))*1.15^(COUNTIF(C$4:C851,C852)-COUNTIF(C$4:C851,""Sell_""&amp;C852))))))"),"")</f>
        <v/>
      </c>
      <c r="H852" s="10" t="str">
        <f t="shared" si="3"/>
        <v/>
      </c>
      <c r="I852" s="68" t="str">
        <f t="shared" si="4"/>
        <v/>
      </c>
      <c r="J852" s="59" t="str">
        <f t="shared" si="5"/>
        <v/>
      </c>
      <c r="K852" s="69" t="str">
        <f t="shared" si="6"/>
        <v/>
      </c>
      <c r="L852" s="60" t="str">
        <f t="shared" si="7"/>
        <v/>
      </c>
      <c r="M852" s="61" t="str">
        <f>IFERROR(__xludf.DUMMYFUNCTION("IFS(AND(COUNTA(C852:C1350)=0,COUNTA(Q852:Q1350)=0),"""",OR(AND(K852&gt;=1000000000,OR(Y852&gt;=1000000000,COUNTA(Q852:Q1350)=0)),OR(Y852&gt;=1000000000,AND(COUNTA(C852:C1350)=0,P$3=TRUE))),
ROUNDDOWN((AB$1-AC$1)*MAX(INDEX(T$4:T1350,MATCH(LARGE(FILTER(Y$4:Y1350,Y$4"&amp;":Y1350&lt;1000000000),1),Y$4:Y1350)),INDEX(F$4:F1350,MATCH(LARGE(FILTER(K$4:K1350,K$4:K1350&lt;1000000000),1),K$4:K1350)))),AND(K852&lt;1000000000,COUNTA(C852:C1350)&gt;0,P$3=FALSE),
ROUNDDOWN(INDEX(Y$4:Y1350,MATCH(LARGE(FILTER(W$4:W1350,W$4:W1350&lt;=I852),1),W$4:W1350"&amp;"))+(I852-LARGE(FILTER(W$4:W1350,W$4:W1350&lt;=I852),1))*INDEX(T$4:T1350,MATCH(LARGE(FILTER(W$4:W1350,W$4:W1350&lt;=I852),1),W$4:W1350))-K852),1,
ROUNDDOWN(Y852-INDEX(K$4:K1350,MATCH(LARGE(FILTER(I$4:I1350,I$4:I1350&lt;=W852),1),I$4:I1350))-(W852-LARGE(FILTER(I$4:I"&amp;"1350,I$4:I1350&lt;=W852),1))*INDEX(F$4:F1350,MATCH(LARGE(FILTER(I$4:I1350,I$4:I1350&lt;=W852),1),I$4:I1350))))"),"")</f>
        <v/>
      </c>
      <c r="N852" s="60" t="str">
        <f t="shared" si="8"/>
        <v/>
      </c>
      <c r="O852" s="61" t="str">
        <f t="shared" si="9"/>
        <v/>
      </c>
      <c r="P852" s="56" t="str">
        <f t="shared" si="10"/>
        <v/>
      </c>
      <c r="Q852" s="62"/>
      <c r="R852" s="10" t="str">
        <f>IFERROR(__xludf.DUMMYFUNCTION("IF(COUNTA(Q852:Q1350)=0,"""",IF(ISBLANK(Q852),FALSE,IF(NOT(COUNTIF($AA$24:$AA$34,SUBSTITUTE(Q852,""Sell_"",""""))),1,IF(REGEXMATCH(Q852,""Sell_""),IF(COUNTIF(Q$4:Q852,SUBSTITUTE(Q852,""Sell_"",""""))-COUNTIF(Q$4:Q851,Q852)&lt;1,1),FALSE))))"),"")</f>
        <v/>
      </c>
      <c r="S852" s="59" t="str">
        <f t="array" ref="S852">IF(COUNTA(Q852:Q1350)=0,"",SUM((COUNTIF(Q$4:Q852,Upgrades!$B$3:$B$13)-COUNTIF(Q$4:Q852,"Sell_"&amp;Upgrades!$B$3:$B$13))*Upgrades!$D$3:$D$13))</f>
        <v/>
      </c>
      <c r="T852" s="66" t="str">
        <f>IFERROR(__xludf.DUMMYFUNCTION("IF(COUNTA(Q852:Q1350)=0,"""",IF(REGEXMATCH(INDEX(FILTER(Q$4:Q852,Q$4:Q852&lt;&gt;""""),ROWS(FILTER(Q$4:Q852,Q$4:Q852&lt;&gt;""""))),""^Sell_""),INDEX(FILTER(T$4:T851,Q$4:Q851&lt;&gt;""""),ROWS(FILTER(Q$4:Q851,Q$4:Q851&lt;&gt;""""))),$AD$5+S852))"),"")</f>
        <v/>
      </c>
      <c r="U852" s="10" t="str">
        <f>IFERROR(__xludf.DUMMYFUNCTION("IF(COUNTA(Q852:Q1350)=0,"""",IF(Q852="""",0,IF(REGEXMATCH(Q852,""^Sell_""),-ROUNDDOWN(ROUNDUP(INDEX(Upgrades!$C$3:$C$13,MATCH(SUBSTITUTE(Q852,""Sell_"",""""),Upgrades!$B$3:$B$13,0))*1.15^(COUNTIF(Q$4:Q851,SUBSTITUTE(Q852,""Sell_"",""""))-COUNTIF(Q$4:Q851,"&amp;"""Sell_""&amp;SUBSTITUTE(Q852,""Sell_"",""""))))/2),ROUNDUP(INDEX(Upgrades!$C$3:$C$13,MATCH(Q852,Upgrades!$B$3:$B$13,0))*1.15^(COUNTIF(Q$4:Q851,Q852)-COUNTIF(Q$4:Q851,""Sell_""&amp;Q852))))))"),"")</f>
        <v/>
      </c>
      <c r="V852" s="10" t="str">
        <f t="shared" si="11"/>
        <v/>
      </c>
      <c r="W852" s="68" t="str">
        <f t="shared" si="12"/>
        <v/>
      </c>
      <c r="X852" s="59" t="str">
        <f t="shared" si="13"/>
        <v/>
      </c>
      <c r="Y852" s="69" t="str">
        <f t="shared" si="14"/>
        <v/>
      </c>
      <c r="Z852" s="11"/>
    </row>
    <row r="853">
      <c r="A853" s="8"/>
      <c r="B853" s="56" t="str">
        <f t="shared" si="2"/>
        <v/>
      </c>
      <c r="C853" s="57"/>
      <c r="D853" s="10" t="str">
        <f>IFERROR(__xludf.DUMMYFUNCTION("IF(COUNTA(C853:C1350)=0,"""",IF(ISBLANK(C853),FALSE,IF(NOT(COUNTIF($AA$24:$AA$34,SUBSTITUTE(C853,""Sell_"",""""))),1,IF(REGEXMATCH(C853,""Sell_""),IF(COUNTIF(C$4:C853,SUBSTITUTE(C853,""Sell_"",""""))-COUNTIF(C$4:C852,C853)&lt;1,1),FALSE))))"),"")</f>
        <v/>
      </c>
      <c r="E853" s="59" t="str">
        <f t="array" ref="E853">IF(COUNTA(C853:C1350)=0,"",SUM((COUNTIF(C$4:C853,Upgrades!$B$3:$B$13)-COUNTIF(C$4:C853,"Sell_"&amp;Upgrades!$B$3:$B$13))*Upgrades!$D$3:$D$13))</f>
        <v/>
      </c>
      <c r="F853" s="66" t="str">
        <f>IFERROR(__xludf.DUMMYFUNCTION("IF(COUNTA(C853:C1350)=0,"""",IF(REGEXMATCH(INDEX(FILTER(C$4:C853,C$4:C853&lt;&gt;""""),ROWS(FILTER(C$4:C853,C$4:C853&lt;&gt;""""))),""^Sell_""),INDEX(FILTER(F$4:F852,C$4:C852&lt;&gt;""""),ROWS(FILTER(C$4:C852,C$4:C852&lt;&gt;""""))),$AC$5+E853))"),"")</f>
        <v/>
      </c>
      <c r="G853" s="10" t="str">
        <f>IFERROR(__xludf.DUMMYFUNCTION("IF(COUNTA(C853:C1350)=0,"""",IF(C853="""",0,IF(REGEXMATCH(C853,""^Sell_""),-ROUNDDOWN(ROUNDUP(INDEX(Upgrades!$C$3:$C$13,MATCH(SUBSTITUTE(C853,""Sell_"",""""),Upgrades!$B$3:$B$13,0))*1.15^(COUNTIF(C$4:C852,SUBSTITUTE(C853,""Sell_"",""""))-COUNTIF(C$4:C852,"&amp;"""Sell_""&amp;SUBSTITUTE(C853,""Sell_"",""""))))/2),ROUNDUP(INDEX(Upgrades!$C$3:$C$13,MATCH(C853,Upgrades!$B$3:$B$13,0))*1.15^(COUNTIF(C$4:C852,C853)-COUNTIF(C$4:C852,""Sell_""&amp;C853))))))"),"")</f>
        <v/>
      </c>
      <c r="H853" s="10" t="str">
        <f t="shared" si="3"/>
        <v/>
      </c>
      <c r="I853" s="68" t="str">
        <f t="shared" si="4"/>
        <v/>
      </c>
      <c r="J853" s="59" t="str">
        <f t="shared" si="5"/>
        <v/>
      </c>
      <c r="K853" s="69" t="str">
        <f t="shared" si="6"/>
        <v/>
      </c>
      <c r="L853" s="60" t="str">
        <f t="shared" si="7"/>
        <v/>
      </c>
      <c r="M853" s="61" t="str">
        <f>IFERROR(__xludf.DUMMYFUNCTION("IFS(AND(COUNTA(C853:C1350)=0,COUNTA(Q853:Q1350)=0),"""",OR(AND(K853&gt;=1000000000,OR(Y853&gt;=1000000000,COUNTA(Q853:Q1350)=0)),OR(Y853&gt;=1000000000,AND(COUNTA(C853:C1350)=0,P$3=TRUE))),
ROUNDDOWN((AB$1-AC$1)*MAX(INDEX(T$4:T1350,MATCH(LARGE(FILTER(Y$4:Y1350,Y$4"&amp;":Y1350&lt;1000000000),1),Y$4:Y1350)),INDEX(F$4:F1350,MATCH(LARGE(FILTER(K$4:K1350,K$4:K1350&lt;1000000000),1),K$4:K1350)))),AND(K853&lt;1000000000,COUNTA(C853:C1350)&gt;0,P$3=FALSE),
ROUNDDOWN(INDEX(Y$4:Y1350,MATCH(LARGE(FILTER(W$4:W1350,W$4:W1350&lt;=I853),1),W$4:W1350"&amp;"))+(I853-LARGE(FILTER(W$4:W1350,W$4:W1350&lt;=I853),1))*INDEX(T$4:T1350,MATCH(LARGE(FILTER(W$4:W1350,W$4:W1350&lt;=I853),1),W$4:W1350))-K853),1,
ROUNDDOWN(Y853-INDEX(K$4:K1350,MATCH(LARGE(FILTER(I$4:I1350,I$4:I1350&lt;=W853),1),I$4:I1350))-(W853-LARGE(FILTER(I$4:I"&amp;"1350,I$4:I1350&lt;=W853),1))*INDEX(F$4:F1350,MATCH(LARGE(FILTER(I$4:I1350,I$4:I1350&lt;=W853),1),I$4:I1350))))"),"")</f>
        <v/>
      </c>
      <c r="N853" s="60" t="str">
        <f t="shared" si="8"/>
        <v/>
      </c>
      <c r="O853" s="61" t="str">
        <f t="shared" si="9"/>
        <v/>
      </c>
      <c r="P853" s="56" t="str">
        <f t="shared" si="10"/>
        <v/>
      </c>
      <c r="Q853" s="62"/>
      <c r="R853" s="10" t="str">
        <f>IFERROR(__xludf.DUMMYFUNCTION("IF(COUNTA(Q853:Q1350)=0,"""",IF(ISBLANK(Q853),FALSE,IF(NOT(COUNTIF($AA$24:$AA$34,SUBSTITUTE(Q853,""Sell_"",""""))),1,IF(REGEXMATCH(Q853,""Sell_""),IF(COUNTIF(Q$4:Q853,SUBSTITUTE(Q853,""Sell_"",""""))-COUNTIF(Q$4:Q852,Q853)&lt;1,1),FALSE))))"),"")</f>
        <v/>
      </c>
      <c r="S853" s="59" t="str">
        <f t="array" ref="S853">IF(COUNTA(Q853:Q1350)=0,"",SUM((COUNTIF(Q$4:Q853,Upgrades!$B$3:$B$13)-COUNTIF(Q$4:Q853,"Sell_"&amp;Upgrades!$B$3:$B$13))*Upgrades!$D$3:$D$13))</f>
        <v/>
      </c>
      <c r="T853" s="66" t="str">
        <f>IFERROR(__xludf.DUMMYFUNCTION("IF(COUNTA(Q853:Q1350)=0,"""",IF(REGEXMATCH(INDEX(FILTER(Q$4:Q853,Q$4:Q853&lt;&gt;""""),ROWS(FILTER(Q$4:Q853,Q$4:Q853&lt;&gt;""""))),""^Sell_""),INDEX(FILTER(T$4:T852,Q$4:Q852&lt;&gt;""""),ROWS(FILTER(Q$4:Q852,Q$4:Q852&lt;&gt;""""))),$AD$5+S853))"),"")</f>
        <v/>
      </c>
      <c r="U853" s="10" t="str">
        <f>IFERROR(__xludf.DUMMYFUNCTION("IF(COUNTA(Q853:Q1350)=0,"""",IF(Q853="""",0,IF(REGEXMATCH(Q853,""^Sell_""),-ROUNDDOWN(ROUNDUP(INDEX(Upgrades!$C$3:$C$13,MATCH(SUBSTITUTE(Q853,""Sell_"",""""),Upgrades!$B$3:$B$13,0))*1.15^(COUNTIF(Q$4:Q852,SUBSTITUTE(Q853,""Sell_"",""""))-COUNTIF(Q$4:Q852,"&amp;"""Sell_""&amp;SUBSTITUTE(Q853,""Sell_"",""""))))/2),ROUNDUP(INDEX(Upgrades!$C$3:$C$13,MATCH(Q853,Upgrades!$B$3:$B$13,0))*1.15^(COUNTIF(Q$4:Q852,Q853)-COUNTIF(Q$4:Q852,""Sell_""&amp;Q853))))))"),"")</f>
        <v/>
      </c>
      <c r="V853" s="10" t="str">
        <f t="shared" si="11"/>
        <v/>
      </c>
      <c r="W853" s="68" t="str">
        <f t="shared" si="12"/>
        <v/>
      </c>
      <c r="X853" s="59" t="str">
        <f t="shared" si="13"/>
        <v/>
      </c>
      <c r="Y853" s="69" t="str">
        <f t="shared" si="14"/>
        <v/>
      </c>
      <c r="Z853" s="11"/>
    </row>
    <row r="854">
      <c r="A854" s="8"/>
      <c r="B854" s="56" t="str">
        <f t="shared" si="2"/>
        <v/>
      </c>
      <c r="C854" s="57"/>
      <c r="D854" s="10" t="str">
        <f>IFERROR(__xludf.DUMMYFUNCTION("IF(COUNTA(C854:C1350)=0,"""",IF(ISBLANK(C854),FALSE,IF(NOT(COUNTIF($AA$24:$AA$34,SUBSTITUTE(C854,""Sell_"",""""))),1,IF(REGEXMATCH(C854,""Sell_""),IF(COUNTIF(C$4:C854,SUBSTITUTE(C854,""Sell_"",""""))-COUNTIF(C$4:C853,C854)&lt;1,1),FALSE))))"),"")</f>
        <v/>
      </c>
      <c r="E854" s="59" t="str">
        <f t="array" ref="E854">IF(COUNTA(C854:C1350)=0,"",SUM((COUNTIF(C$4:C854,Upgrades!$B$3:$B$13)-COUNTIF(C$4:C854,"Sell_"&amp;Upgrades!$B$3:$B$13))*Upgrades!$D$3:$D$13))</f>
        <v/>
      </c>
      <c r="F854" s="66" t="str">
        <f>IFERROR(__xludf.DUMMYFUNCTION("IF(COUNTA(C854:C1350)=0,"""",IF(REGEXMATCH(INDEX(FILTER(C$4:C854,C$4:C854&lt;&gt;""""),ROWS(FILTER(C$4:C854,C$4:C854&lt;&gt;""""))),""^Sell_""),INDEX(FILTER(F$4:F853,C$4:C853&lt;&gt;""""),ROWS(FILTER(C$4:C853,C$4:C853&lt;&gt;""""))),$AC$5+E854))"),"")</f>
        <v/>
      </c>
      <c r="G854" s="10" t="str">
        <f>IFERROR(__xludf.DUMMYFUNCTION("IF(COUNTA(C854:C1350)=0,"""",IF(C854="""",0,IF(REGEXMATCH(C854,""^Sell_""),-ROUNDDOWN(ROUNDUP(INDEX(Upgrades!$C$3:$C$13,MATCH(SUBSTITUTE(C854,""Sell_"",""""),Upgrades!$B$3:$B$13,0))*1.15^(COUNTIF(C$4:C853,SUBSTITUTE(C854,""Sell_"",""""))-COUNTIF(C$4:C853,"&amp;"""Sell_""&amp;SUBSTITUTE(C854,""Sell_"",""""))))/2),ROUNDUP(INDEX(Upgrades!$C$3:$C$13,MATCH(C854,Upgrades!$B$3:$B$13,0))*1.15^(COUNTIF(C$4:C853,C854)-COUNTIF(C$4:C853,""Sell_""&amp;C854))))))"),"")</f>
        <v/>
      </c>
      <c r="H854" s="10" t="str">
        <f t="shared" si="3"/>
        <v/>
      </c>
      <c r="I854" s="68" t="str">
        <f t="shared" si="4"/>
        <v/>
      </c>
      <c r="J854" s="59" t="str">
        <f t="shared" si="5"/>
        <v/>
      </c>
      <c r="K854" s="69" t="str">
        <f t="shared" si="6"/>
        <v/>
      </c>
      <c r="L854" s="60" t="str">
        <f t="shared" si="7"/>
        <v/>
      </c>
      <c r="M854" s="61" t="str">
        <f>IFERROR(__xludf.DUMMYFUNCTION("IFS(AND(COUNTA(C854:C1350)=0,COUNTA(Q854:Q1350)=0),"""",OR(AND(K854&gt;=1000000000,OR(Y854&gt;=1000000000,COUNTA(Q854:Q1350)=0)),OR(Y854&gt;=1000000000,AND(COUNTA(C854:C1350)=0,P$3=TRUE))),
ROUNDDOWN((AB$1-AC$1)*MAX(INDEX(T$4:T1350,MATCH(LARGE(FILTER(Y$4:Y1350,Y$4"&amp;":Y1350&lt;1000000000),1),Y$4:Y1350)),INDEX(F$4:F1350,MATCH(LARGE(FILTER(K$4:K1350,K$4:K1350&lt;1000000000),1),K$4:K1350)))),AND(K854&lt;1000000000,COUNTA(C854:C1350)&gt;0,P$3=FALSE),
ROUNDDOWN(INDEX(Y$4:Y1350,MATCH(LARGE(FILTER(W$4:W1350,W$4:W1350&lt;=I854),1),W$4:W1350"&amp;"))+(I854-LARGE(FILTER(W$4:W1350,W$4:W1350&lt;=I854),1))*INDEX(T$4:T1350,MATCH(LARGE(FILTER(W$4:W1350,W$4:W1350&lt;=I854),1),W$4:W1350))-K854),1,
ROUNDDOWN(Y854-INDEX(K$4:K1350,MATCH(LARGE(FILTER(I$4:I1350,I$4:I1350&lt;=W854),1),I$4:I1350))-(W854-LARGE(FILTER(I$4:I"&amp;"1350,I$4:I1350&lt;=W854),1))*INDEX(F$4:F1350,MATCH(LARGE(FILTER(I$4:I1350,I$4:I1350&lt;=W854),1),I$4:I1350))))"),"")</f>
        <v/>
      </c>
      <c r="N854" s="60" t="str">
        <f t="shared" si="8"/>
        <v/>
      </c>
      <c r="O854" s="61" t="str">
        <f t="shared" si="9"/>
        <v/>
      </c>
      <c r="P854" s="56" t="str">
        <f t="shared" si="10"/>
        <v/>
      </c>
      <c r="Q854" s="62"/>
      <c r="R854" s="10" t="str">
        <f>IFERROR(__xludf.DUMMYFUNCTION("IF(COUNTA(Q854:Q1350)=0,"""",IF(ISBLANK(Q854),FALSE,IF(NOT(COUNTIF($AA$24:$AA$34,SUBSTITUTE(Q854,""Sell_"",""""))),1,IF(REGEXMATCH(Q854,""Sell_""),IF(COUNTIF(Q$4:Q854,SUBSTITUTE(Q854,""Sell_"",""""))-COUNTIF(Q$4:Q853,Q854)&lt;1,1),FALSE))))"),"")</f>
        <v/>
      </c>
      <c r="S854" s="59" t="str">
        <f t="array" ref="S854">IF(COUNTA(Q854:Q1350)=0,"",SUM((COUNTIF(Q$4:Q854,Upgrades!$B$3:$B$13)-COUNTIF(Q$4:Q854,"Sell_"&amp;Upgrades!$B$3:$B$13))*Upgrades!$D$3:$D$13))</f>
        <v/>
      </c>
      <c r="T854" s="66" t="str">
        <f>IFERROR(__xludf.DUMMYFUNCTION("IF(COUNTA(Q854:Q1350)=0,"""",IF(REGEXMATCH(INDEX(FILTER(Q$4:Q854,Q$4:Q854&lt;&gt;""""),ROWS(FILTER(Q$4:Q854,Q$4:Q854&lt;&gt;""""))),""^Sell_""),INDEX(FILTER(T$4:T853,Q$4:Q853&lt;&gt;""""),ROWS(FILTER(Q$4:Q853,Q$4:Q853&lt;&gt;""""))),$AD$5+S854))"),"")</f>
        <v/>
      </c>
      <c r="U854" s="10" t="str">
        <f>IFERROR(__xludf.DUMMYFUNCTION("IF(COUNTA(Q854:Q1350)=0,"""",IF(Q854="""",0,IF(REGEXMATCH(Q854,""^Sell_""),-ROUNDDOWN(ROUNDUP(INDEX(Upgrades!$C$3:$C$13,MATCH(SUBSTITUTE(Q854,""Sell_"",""""),Upgrades!$B$3:$B$13,0))*1.15^(COUNTIF(Q$4:Q853,SUBSTITUTE(Q854,""Sell_"",""""))-COUNTIF(Q$4:Q853,"&amp;"""Sell_""&amp;SUBSTITUTE(Q854,""Sell_"",""""))))/2),ROUNDUP(INDEX(Upgrades!$C$3:$C$13,MATCH(Q854,Upgrades!$B$3:$B$13,0))*1.15^(COUNTIF(Q$4:Q853,Q854)-COUNTIF(Q$4:Q853,""Sell_""&amp;Q854))))))"),"")</f>
        <v/>
      </c>
      <c r="V854" s="10" t="str">
        <f t="shared" si="11"/>
        <v/>
      </c>
      <c r="W854" s="68" t="str">
        <f t="shared" si="12"/>
        <v/>
      </c>
      <c r="X854" s="59" t="str">
        <f t="shared" si="13"/>
        <v/>
      </c>
      <c r="Y854" s="69" t="str">
        <f t="shared" si="14"/>
        <v/>
      </c>
      <c r="Z854" s="11"/>
    </row>
    <row r="855">
      <c r="A855" s="8"/>
      <c r="B855" s="56" t="str">
        <f t="shared" si="2"/>
        <v/>
      </c>
      <c r="C855" s="57"/>
      <c r="D855" s="10" t="str">
        <f>IFERROR(__xludf.DUMMYFUNCTION("IF(COUNTA(C855:C1350)=0,"""",IF(ISBLANK(C855),FALSE,IF(NOT(COUNTIF($AA$24:$AA$34,SUBSTITUTE(C855,""Sell_"",""""))),1,IF(REGEXMATCH(C855,""Sell_""),IF(COUNTIF(C$4:C855,SUBSTITUTE(C855,""Sell_"",""""))-COUNTIF(C$4:C854,C855)&lt;1,1),FALSE))))"),"")</f>
        <v/>
      </c>
      <c r="E855" s="59" t="str">
        <f t="array" ref="E855">IF(COUNTA(C855:C1350)=0,"",SUM((COUNTIF(C$4:C855,Upgrades!$B$3:$B$13)-COUNTIF(C$4:C855,"Sell_"&amp;Upgrades!$B$3:$B$13))*Upgrades!$D$3:$D$13))</f>
        <v/>
      </c>
      <c r="F855" s="66" t="str">
        <f>IFERROR(__xludf.DUMMYFUNCTION("IF(COUNTA(C855:C1350)=0,"""",IF(REGEXMATCH(INDEX(FILTER(C$4:C855,C$4:C855&lt;&gt;""""),ROWS(FILTER(C$4:C855,C$4:C855&lt;&gt;""""))),""^Sell_""),INDEX(FILTER(F$4:F854,C$4:C854&lt;&gt;""""),ROWS(FILTER(C$4:C854,C$4:C854&lt;&gt;""""))),$AC$5+E855))"),"")</f>
        <v/>
      </c>
      <c r="G855" s="10" t="str">
        <f>IFERROR(__xludf.DUMMYFUNCTION("IF(COUNTA(C855:C1350)=0,"""",IF(C855="""",0,IF(REGEXMATCH(C855,""^Sell_""),-ROUNDDOWN(ROUNDUP(INDEX(Upgrades!$C$3:$C$13,MATCH(SUBSTITUTE(C855,""Sell_"",""""),Upgrades!$B$3:$B$13,0))*1.15^(COUNTIF(C$4:C854,SUBSTITUTE(C855,""Sell_"",""""))-COUNTIF(C$4:C854,"&amp;"""Sell_""&amp;SUBSTITUTE(C855,""Sell_"",""""))))/2),ROUNDUP(INDEX(Upgrades!$C$3:$C$13,MATCH(C855,Upgrades!$B$3:$B$13,0))*1.15^(COUNTIF(C$4:C854,C855)-COUNTIF(C$4:C854,""Sell_""&amp;C855))))))"),"")</f>
        <v/>
      </c>
      <c r="H855" s="10" t="str">
        <f t="shared" si="3"/>
        <v/>
      </c>
      <c r="I855" s="68" t="str">
        <f t="shared" si="4"/>
        <v/>
      </c>
      <c r="J855" s="59" t="str">
        <f t="shared" si="5"/>
        <v/>
      </c>
      <c r="K855" s="69" t="str">
        <f t="shared" si="6"/>
        <v/>
      </c>
      <c r="L855" s="60" t="str">
        <f t="shared" si="7"/>
        <v/>
      </c>
      <c r="M855" s="61" t="str">
        <f>IFERROR(__xludf.DUMMYFUNCTION("IFS(AND(COUNTA(C855:C1350)=0,COUNTA(Q855:Q1350)=0),"""",OR(AND(K855&gt;=1000000000,OR(Y855&gt;=1000000000,COUNTA(Q855:Q1350)=0)),OR(Y855&gt;=1000000000,AND(COUNTA(C855:C1350)=0,P$3=TRUE))),
ROUNDDOWN((AB$1-AC$1)*MAX(INDEX(T$4:T1350,MATCH(LARGE(FILTER(Y$4:Y1350,Y$4"&amp;":Y1350&lt;1000000000),1),Y$4:Y1350)),INDEX(F$4:F1350,MATCH(LARGE(FILTER(K$4:K1350,K$4:K1350&lt;1000000000),1),K$4:K1350)))),AND(K855&lt;1000000000,COUNTA(C855:C1350)&gt;0,P$3=FALSE),
ROUNDDOWN(INDEX(Y$4:Y1350,MATCH(LARGE(FILTER(W$4:W1350,W$4:W1350&lt;=I855),1),W$4:W1350"&amp;"))+(I855-LARGE(FILTER(W$4:W1350,W$4:W1350&lt;=I855),1))*INDEX(T$4:T1350,MATCH(LARGE(FILTER(W$4:W1350,W$4:W1350&lt;=I855),1),W$4:W1350))-K855),1,
ROUNDDOWN(Y855-INDEX(K$4:K1350,MATCH(LARGE(FILTER(I$4:I1350,I$4:I1350&lt;=W855),1),I$4:I1350))-(W855-LARGE(FILTER(I$4:I"&amp;"1350,I$4:I1350&lt;=W855),1))*INDEX(F$4:F1350,MATCH(LARGE(FILTER(I$4:I1350,I$4:I1350&lt;=W855),1),I$4:I1350))))"),"")</f>
        <v/>
      </c>
      <c r="N855" s="60" t="str">
        <f t="shared" si="8"/>
        <v/>
      </c>
      <c r="O855" s="61" t="str">
        <f t="shared" si="9"/>
        <v/>
      </c>
      <c r="P855" s="56" t="str">
        <f t="shared" si="10"/>
        <v/>
      </c>
      <c r="Q855" s="62"/>
      <c r="R855" s="10" t="str">
        <f>IFERROR(__xludf.DUMMYFUNCTION("IF(COUNTA(Q855:Q1350)=0,"""",IF(ISBLANK(Q855),FALSE,IF(NOT(COUNTIF($AA$24:$AA$34,SUBSTITUTE(Q855,""Sell_"",""""))),1,IF(REGEXMATCH(Q855,""Sell_""),IF(COUNTIF(Q$4:Q855,SUBSTITUTE(Q855,""Sell_"",""""))-COUNTIF(Q$4:Q854,Q855)&lt;1,1),FALSE))))"),"")</f>
        <v/>
      </c>
      <c r="S855" s="59" t="str">
        <f t="array" ref="S855">IF(COUNTA(Q855:Q1350)=0,"",SUM((COUNTIF(Q$4:Q855,Upgrades!$B$3:$B$13)-COUNTIF(Q$4:Q855,"Sell_"&amp;Upgrades!$B$3:$B$13))*Upgrades!$D$3:$D$13))</f>
        <v/>
      </c>
      <c r="T855" s="66" t="str">
        <f>IFERROR(__xludf.DUMMYFUNCTION("IF(COUNTA(Q855:Q1350)=0,"""",IF(REGEXMATCH(INDEX(FILTER(Q$4:Q855,Q$4:Q855&lt;&gt;""""),ROWS(FILTER(Q$4:Q855,Q$4:Q855&lt;&gt;""""))),""^Sell_""),INDEX(FILTER(T$4:T854,Q$4:Q854&lt;&gt;""""),ROWS(FILTER(Q$4:Q854,Q$4:Q854&lt;&gt;""""))),$AD$5+S855))"),"")</f>
        <v/>
      </c>
      <c r="U855" s="10" t="str">
        <f>IFERROR(__xludf.DUMMYFUNCTION("IF(COUNTA(Q855:Q1350)=0,"""",IF(Q855="""",0,IF(REGEXMATCH(Q855,""^Sell_""),-ROUNDDOWN(ROUNDUP(INDEX(Upgrades!$C$3:$C$13,MATCH(SUBSTITUTE(Q855,""Sell_"",""""),Upgrades!$B$3:$B$13,0))*1.15^(COUNTIF(Q$4:Q854,SUBSTITUTE(Q855,""Sell_"",""""))-COUNTIF(Q$4:Q854,"&amp;"""Sell_""&amp;SUBSTITUTE(Q855,""Sell_"",""""))))/2),ROUNDUP(INDEX(Upgrades!$C$3:$C$13,MATCH(Q855,Upgrades!$B$3:$B$13,0))*1.15^(COUNTIF(Q$4:Q854,Q855)-COUNTIF(Q$4:Q854,""Sell_""&amp;Q855))))))"),"")</f>
        <v/>
      </c>
      <c r="V855" s="10" t="str">
        <f t="shared" si="11"/>
        <v/>
      </c>
      <c r="W855" s="68" t="str">
        <f t="shared" si="12"/>
        <v/>
      </c>
      <c r="X855" s="59" t="str">
        <f t="shared" si="13"/>
        <v/>
      </c>
      <c r="Y855" s="69" t="str">
        <f t="shared" si="14"/>
        <v/>
      </c>
      <c r="Z855" s="11"/>
    </row>
    <row r="856">
      <c r="A856" s="8"/>
      <c r="B856" s="56" t="str">
        <f t="shared" si="2"/>
        <v/>
      </c>
      <c r="C856" s="57"/>
      <c r="D856" s="10" t="str">
        <f>IFERROR(__xludf.DUMMYFUNCTION("IF(COUNTA(C856:C1350)=0,"""",IF(ISBLANK(C856),FALSE,IF(NOT(COUNTIF($AA$24:$AA$34,SUBSTITUTE(C856,""Sell_"",""""))),1,IF(REGEXMATCH(C856,""Sell_""),IF(COUNTIF(C$4:C856,SUBSTITUTE(C856,""Sell_"",""""))-COUNTIF(C$4:C855,C856)&lt;1,1),FALSE))))"),"")</f>
        <v/>
      </c>
      <c r="E856" s="59" t="str">
        <f t="array" ref="E856">IF(COUNTA(C856:C1350)=0,"",SUM((COUNTIF(C$4:C856,Upgrades!$B$3:$B$13)-COUNTIF(C$4:C856,"Sell_"&amp;Upgrades!$B$3:$B$13))*Upgrades!$D$3:$D$13))</f>
        <v/>
      </c>
      <c r="F856" s="66" t="str">
        <f>IFERROR(__xludf.DUMMYFUNCTION("IF(COUNTA(C856:C1350)=0,"""",IF(REGEXMATCH(INDEX(FILTER(C$4:C856,C$4:C856&lt;&gt;""""),ROWS(FILTER(C$4:C856,C$4:C856&lt;&gt;""""))),""^Sell_""),INDEX(FILTER(F$4:F855,C$4:C855&lt;&gt;""""),ROWS(FILTER(C$4:C855,C$4:C855&lt;&gt;""""))),$AC$5+E856))"),"")</f>
        <v/>
      </c>
      <c r="G856" s="10" t="str">
        <f>IFERROR(__xludf.DUMMYFUNCTION("IF(COUNTA(C856:C1350)=0,"""",IF(C856="""",0,IF(REGEXMATCH(C856,""^Sell_""),-ROUNDDOWN(ROUNDUP(INDEX(Upgrades!$C$3:$C$13,MATCH(SUBSTITUTE(C856,""Sell_"",""""),Upgrades!$B$3:$B$13,0))*1.15^(COUNTIF(C$4:C855,SUBSTITUTE(C856,""Sell_"",""""))-COUNTIF(C$4:C855,"&amp;"""Sell_""&amp;SUBSTITUTE(C856,""Sell_"",""""))))/2),ROUNDUP(INDEX(Upgrades!$C$3:$C$13,MATCH(C856,Upgrades!$B$3:$B$13,0))*1.15^(COUNTIF(C$4:C855,C856)-COUNTIF(C$4:C855,""Sell_""&amp;C856))))))"),"")</f>
        <v/>
      </c>
      <c r="H856" s="10" t="str">
        <f t="shared" si="3"/>
        <v/>
      </c>
      <c r="I856" s="68" t="str">
        <f t="shared" si="4"/>
        <v/>
      </c>
      <c r="J856" s="59" t="str">
        <f t="shared" si="5"/>
        <v/>
      </c>
      <c r="K856" s="69" t="str">
        <f t="shared" si="6"/>
        <v/>
      </c>
      <c r="L856" s="60" t="str">
        <f t="shared" si="7"/>
        <v/>
      </c>
      <c r="M856" s="61" t="str">
        <f>IFERROR(__xludf.DUMMYFUNCTION("IFS(AND(COUNTA(C856:C1350)=0,COUNTA(Q856:Q1350)=0),"""",OR(AND(K856&gt;=1000000000,OR(Y856&gt;=1000000000,COUNTA(Q856:Q1350)=0)),OR(Y856&gt;=1000000000,AND(COUNTA(C856:C1350)=0,P$3=TRUE))),
ROUNDDOWN((AB$1-AC$1)*MAX(INDEX(T$4:T1350,MATCH(LARGE(FILTER(Y$4:Y1350,Y$4"&amp;":Y1350&lt;1000000000),1),Y$4:Y1350)),INDEX(F$4:F1350,MATCH(LARGE(FILTER(K$4:K1350,K$4:K1350&lt;1000000000),1),K$4:K1350)))),AND(K856&lt;1000000000,COUNTA(C856:C1350)&gt;0,P$3=FALSE),
ROUNDDOWN(INDEX(Y$4:Y1350,MATCH(LARGE(FILTER(W$4:W1350,W$4:W1350&lt;=I856),1),W$4:W1350"&amp;"))+(I856-LARGE(FILTER(W$4:W1350,W$4:W1350&lt;=I856),1))*INDEX(T$4:T1350,MATCH(LARGE(FILTER(W$4:W1350,W$4:W1350&lt;=I856),1),W$4:W1350))-K856),1,
ROUNDDOWN(Y856-INDEX(K$4:K1350,MATCH(LARGE(FILTER(I$4:I1350,I$4:I1350&lt;=W856),1),I$4:I1350))-(W856-LARGE(FILTER(I$4:I"&amp;"1350,I$4:I1350&lt;=W856),1))*INDEX(F$4:F1350,MATCH(LARGE(FILTER(I$4:I1350,I$4:I1350&lt;=W856),1),I$4:I1350))))"),"")</f>
        <v/>
      </c>
      <c r="N856" s="60" t="str">
        <f t="shared" si="8"/>
        <v/>
      </c>
      <c r="O856" s="61" t="str">
        <f t="shared" si="9"/>
        <v/>
      </c>
      <c r="P856" s="56" t="str">
        <f t="shared" si="10"/>
        <v/>
      </c>
      <c r="Q856" s="62"/>
      <c r="R856" s="10" t="str">
        <f>IFERROR(__xludf.DUMMYFUNCTION("IF(COUNTA(Q856:Q1350)=0,"""",IF(ISBLANK(Q856),FALSE,IF(NOT(COUNTIF($AA$24:$AA$34,SUBSTITUTE(Q856,""Sell_"",""""))),1,IF(REGEXMATCH(Q856,""Sell_""),IF(COUNTIF(Q$4:Q856,SUBSTITUTE(Q856,""Sell_"",""""))-COUNTIF(Q$4:Q855,Q856)&lt;1,1),FALSE))))"),"")</f>
        <v/>
      </c>
      <c r="S856" s="59" t="str">
        <f t="array" ref="S856">IF(COUNTA(Q856:Q1350)=0,"",SUM((COUNTIF(Q$4:Q856,Upgrades!$B$3:$B$13)-COUNTIF(Q$4:Q856,"Sell_"&amp;Upgrades!$B$3:$B$13))*Upgrades!$D$3:$D$13))</f>
        <v/>
      </c>
      <c r="T856" s="66" t="str">
        <f>IFERROR(__xludf.DUMMYFUNCTION("IF(COUNTA(Q856:Q1350)=0,"""",IF(REGEXMATCH(INDEX(FILTER(Q$4:Q856,Q$4:Q856&lt;&gt;""""),ROWS(FILTER(Q$4:Q856,Q$4:Q856&lt;&gt;""""))),""^Sell_""),INDEX(FILTER(T$4:T855,Q$4:Q855&lt;&gt;""""),ROWS(FILTER(Q$4:Q855,Q$4:Q855&lt;&gt;""""))),$AD$5+S856))"),"")</f>
        <v/>
      </c>
      <c r="U856" s="10" t="str">
        <f>IFERROR(__xludf.DUMMYFUNCTION("IF(COUNTA(Q856:Q1350)=0,"""",IF(Q856="""",0,IF(REGEXMATCH(Q856,""^Sell_""),-ROUNDDOWN(ROUNDUP(INDEX(Upgrades!$C$3:$C$13,MATCH(SUBSTITUTE(Q856,""Sell_"",""""),Upgrades!$B$3:$B$13,0))*1.15^(COUNTIF(Q$4:Q855,SUBSTITUTE(Q856,""Sell_"",""""))-COUNTIF(Q$4:Q855,"&amp;"""Sell_""&amp;SUBSTITUTE(Q856,""Sell_"",""""))))/2),ROUNDUP(INDEX(Upgrades!$C$3:$C$13,MATCH(Q856,Upgrades!$B$3:$B$13,0))*1.15^(COUNTIF(Q$4:Q855,Q856)-COUNTIF(Q$4:Q855,""Sell_""&amp;Q856))))))"),"")</f>
        <v/>
      </c>
      <c r="V856" s="10" t="str">
        <f t="shared" si="11"/>
        <v/>
      </c>
      <c r="W856" s="68" t="str">
        <f t="shared" si="12"/>
        <v/>
      </c>
      <c r="X856" s="59" t="str">
        <f t="shared" si="13"/>
        <v/>
      </c>
      <c r="Y856" s="69" t="str">
        <f t="shared" si="14"/>
        <v/>
      </c>
      <c r="Z856" s="11"/>
    </row>
    <row r="857">
      <c r="A857" s="8"/>
      <c r="B857" s="56" t="str">
        <f t="shared" si="2"/>
        <v/>
      </c>
      <c r="C857" s="57"/>
      <c r="D857" s="10" t="str">
        <f>IFERROR(__xludf.DUMMYFUNCTION("IF(COUNTA(C857:C1350)=0,"""",IF(ISBLANK(C857),FALSE,IF(NOT(COUNTIF($AA$24:$AA$34,SUBSTITUTE(C857,""Sell_"",""""))),1,IF(REGEXMATCH(C857,""Sell_""),IF(COUNTIF(C$4:C857,SUBSTITUTE(C857,""Sell_"",""""))-COUNTIF(C$4:C856,C857)&lt;1,1),FALSE))))"),"")</f>
        <v/>
      </c>
      <c r="E857" s="59" t="str">
        <f t="array" ref="E857">IF(COUNTA(C857:C1350)=0,"",SUM((COUNTIF(C$4:C857,Upgrades!$B$3:$B$13)-COUNTIF(C$4:C857,"Sell_"&amp;Upgrades!$B$3:$B$13))*Upgrades!$D$3:$D$13))</f>
        <v/>
      </c>
      <c r="F857" s="66" t="str">
        <f>IFERROR(__xludf.DUMMYFUNCTION("IF(COUNTA(C857:C1350)=0,"""",IF(REGEXMATCH(INDEX(FILTER(C$4:C857,C$4:C857&lt;&gt;""""),ROWS(FILTER(C$4:C857,C$4:C857&lt;&gt;""""))),""^Sell_""),INDEX(FILTER(F$4:F856,C$4:C856&lt;&gt;""""),ROWS(FILTER(C$4:C856,C$4:C856&lt;&gt;""""))),$AC$5+E857))"),"")</f>
        <v/>
      </c>
      <c r="G857" s="10" t="str">
        <f>IFERROR(__xludf.DUMMYFUNCTION("IF(COUNTA(C857:C1350)=0,"""",IF(C857="""",0,IF(REGEXMATCH(C857,""^Sell_""),-ROUNDDOWN(ROUNDUP(INDEX(Upgrades!$C$3:$C$13,MATCH(SUBSTITUTE(C857,""Sell_"",""""),Upgrades!$B$3:$B$13,0))*1.15^(COUNTIF(C$4:C856,SUBSTITUTE(C857,""Sell_"",""""))-COUNTIF(C$4:C856,"&amp;"""Sell_""&amp;SUBSTITUTE(C857,""Sell_"",""""))))/2),ROUNDUP(INDEX(Upgrades!$C$3:$C$13,MATCH(C857,Upgrades!$B$3:$B$13,0))*1.15^(COUNTIF(C$4:C856,C857)-COUNTIF(C$4:C856,""Sell_""&amp;C857))))))"),"")</f>
        <v/>
      </c>
      <c r="H857" s="10" t="str">
        <f t="shared" si="3"/>
        <v/>
      </c>
      <c r="I857" s="68" t="str">
        <f t="shared" si="4"/>
        <v/>
      </c>
      <c r="J857" s="59" t="str">
        <f t="shared" si="5"/>
        <v/>
      </c>
      <c r="K857" s="69" t="str">
        <f t="shared" si="6"/>
        <v/>
      </c>
      <c r="L857" s="60" t="str">
        <f t="shared" si="7"/>
        <v/>
      </c>
      <c r="M857" s="61" t="str">
        <f>IFERROR(__xludf.DUMMYFUNCTION("IFS(AND(COUNTA(C857:C1350)=0,COUNTA(Q857:Q1350)=0),"""",OR(AND(K857&gt;=1000000000,OR(Y857&gt;=1000000000,COUNTA(Q857:Q1350)=0)),OR(Y857&gt;=1000000000,AND(COUNTA(C857:C1350)=0,P$3=TRUE))),
ROUNDDOWN((AB$1-AC$1)*MAX(INDEX(T$4:T1350,MATCH(LARGE(FILTER(Y$4:Y1350,Y$4"&amp;":Y1350&lt;1000000000),1),Y$4:Y1350)),INDEX(F$4:F1350,MATCH(LARGE(FILTER(K$4:K1350,K$4:K1350&lt;1000000000),1),K$4:K1350)))),AND(K857&lt;1000000000,COUNTA(C857:C1350)&gt;0,P$3=FALSE),
ROUNDDOWN(INDEX(Y$4:Y1350,MATCH(LARGE(FILTER(W$4:W1350,W$4:W1350&lt;=I857),1),W$4:W1350"&amp;"))+(I857-LARGE(FILTER(W$4:W1350,W$4:W1350&lt;=I857),1))*INDEX(T$4:T1350,MATCH(LARGE(FILTER(W$4:W1350,W$4:W1350&lt;=I857),1),W$4:W1350))-K857),1,
ROUNDDOWN(Y857-INDEX(K$4:K1350,MATCH(LARGE(FILTER(I$4:I1350,I$4:I1350&lt;=W857),1),I$4:I1350))-(W857-LARGE(FILTER(I$4:I"&amp;"1350,I$4:I1350&lt;=W857),1))*INDEX(F$4:F1350,MATCH(LARGE(FILTER(I$4:I1350,I$4:I1350&lt;=W857),1),I$4:I1350))))"),"")</f>
        <v/>
      </c>
      <c r="N857" s="60" t="str">
        <f t="shared" si="8"/>
        <v/>
      </c>
      <c r="O857" s="61" t="str">
        <f t="shared" si="9"/>
        <v/>
      </c>
      <c r="P857" s="56" t="str">
        <f t="shared" si="10"/>
        <v/>
      </c>
      <c r="Q857" s="62"/>
      <c r="R857" s="10" t="str">
        <f>IFERROR(__xludf.DUMMYFUNCTION("IF(COUNTA(Q857:Q1350)=0,"""",IF(ISBLANK(Q857),FALSE,IF(NOT(COUNTIF($AA$24:$AA$34,SUBSTITUTE(Q857,""Sell_"",""""))),1,IF(REGEXMATCH(Q857,""Sell_""),IF(COUNTIF(Q$4:Q857,SUBSTITUTE(Q857,""Sell_"",""""))-COUNTIF(Q$4:Q856,Q857)&lt;1,1),FALSE))))"),"")</f>
        <v/>
      </c>
      <c r="S857" s="59" t="str">
        <f t="array" ref="S857">IF(COUNTA(Q857:Q1350)=0,"",SUM((COUNTIF(Q$4:Q857,Upgrades!$B$3:$B$13)-COUNTIF(Q$4:Q857,"Sell_"&amp;Upgrades!$B$3:$B$13))*Upgrades!$D$3:$D$13))</f>
        <v/>
      </c>
      <c r="T857" s="66" t="str">
        <f>IFERROR(__xludf.DUMMYFUNCTION("IF(COUNTA(Q857:Q1350)=0,"""",IF(REGEXMATCH(INDEX(FILTER(Q$4:Q857,Q$4:Q857&lt;&gt;""""),ROWS(FILTER(Q$4:Q857,Q$4:Q857&lt;&gt;""""))),""^Sell_""),INDEX(FILTER(T$4:T856,Q$4:Q856&lt;&gt;""""),ROWS(FILTER(Q$4:Q856,Q$4:Q856&lt;&gt;""""))),$AD$5+S857))"),"")</f>
        <v/>
      </c>
      <c r="U857" s="10" t="str">
        <f>IFERROR(__xludf.DUMMYFUNCTION("IF(COUNTA(Q857:Q1350)=0,"""",IF(Q857="""",0,IF(REGEXMATCH(Q857,""^Sell_""),-ROUNDDOWN(ROUNDUP(INDEX(Upgrades!$C$3:$C$13,MATCH(SUBSTITUTE(Q857,""Sell_"",""""),Upgrades!$B$3:$B$13,0))*1.15^(COUNTIF(Q$4:Q856,SUBSTITUTE(Q857,""Sell_"",""""))-COUNTIF(Q$4:Q856,"&amp;"""Sell_""&amp;SUBSTITUTE(Q857,""Sell_"",""""))))/2),ROUNDUP(INDEX(Upgrades!$C$3:$C$13,MATCH(Q857,Upgrades!$B$3:$B$13,0))*1.15^(COUNTIF(Q$4:Q856,Q857)-COUNTIF(Q$4:Q856,""Sell_""&amp;Q857))))))"),"")</f>
        <v/>
      </c>
      <c r="V857" s="10" t="str">
        <f t="shared" si="11"/>
        <v/>
      </c>
      <c r="W857" s="68" t="str">
        <f t="shared" si="12"/>
        <v/>
      </c>
      <c r="X857" s="59" t="str">
        <f t="shared" si="13"/>
        <v/>
      </c>
      <c r="Y857" s="69" t="str">
        <f t="shared" si="14"/>
        <v/>
      </c>
      <c r="Z857" s="11"/>
    </row>
    <row r="858">
      <c r="A858" s="8"/>
      <c r="B858" s="56" t="str">
        <f t="shared" si="2"/>
        <v/>
      </c>
      <c r="C858" s="57"/>
      <c r="D858" s="10" t="str">
        <f>IFERROR(__xludf.DUMMYFUNCTION("IF(COUNTA(C858:C1350)=0,"""",IF(ISBLANK(C858),FALSE,IF(NOT(COUNTIF($AA$24:$AA$34,SUBSTITUTE(C858,""Sell_"",""""))),1,IF(REGEXMATCH(C858,""Sell_""),IF(COUNTIF(C$4:C858,SUBSTITUTE(C858,""Sell_"",""""))-COUNTIF(C$4:C857,C858)&lt;1,1),FALSE))))"),"")</f>
        <v/>
      </c>
      <c r="E858" s="59" t="str">
        <f t="array" ref="E858">IF(COUNTA(C858:C1350)=0,"",SUM((COUNTIF(C$4:C858,Upgrades!$B$3:$B$13)-COUNTIF(C$4:C858,"Sell_"&amp;Upgrades!$B$3:$B$13))*Upgrades!$D$3:$D$13))</f>
        <v/>
      </c>
      <c r="F858" s="66" t="str">
        <f>IFERROR(__xludf.DUMMYFUNCTION("IF(COUNTA(C858:C1350)=0,"""",IF(REGEXMATCH(INDEX(FILTER(C$4:C858,C$4:C858&lt;&gt;""""),ROWS(FILTER(C$4:C858,C$4:C858&lt;&gt;""""))),""^Sell_""),INDEX(FILTER(F$4:F857,C$4:C857&lt;&gt;""""),ROWS(FILTER(C$4:C857,C$4:C857&lt;&gt;""""))),$AC$5+E858))"),"")</f>
        <v/>
      </c>
      <c r="G858" s="10" t="str">
        <f>IFERROR(__xludf.DUMMYFUNCTION("IF(COUNTA(C858:C1350)=0,"""",IF(C858="""",0,IF(REGEXMATCH(C858,""^Sell_""),-ROUNDDOWN(ROUNDUP(INDEX(Upgrades!$C$3:$C$13,MATCH(SUBSTITUTE(C858,""Sell_"",""""),Upgrades!$B$3:$B$13,0))*1.15^(COUNTIF(C$4:C857,SUBSTITUTE(C858,""Sell_"",""""))-COUNTIF(C$4:C857,"&amp;"""Sell_""&amp;SUBSTITUTE(C858,""Sell_"",""""))))/2),ROUNDUP(INDEX(Upgrades!$C$3:$C$13,MATCH(C858,Upgrades!$B$3:$B$13,0))*1.15^(COUNTIF(C$4:C857,C858)-COUNTIF(C$4:C857,""Sell_""&amp;C858))))))"),"")</f>
        <v/>
      </c>
      <c r="H858" s="10" t="str">
        <f t="shared" si="3"/>
        <v/>
      </c>
      <c r="I858" s="68" t="str">
        <f t="shared" si="4"/>
        <v/>
      </c>
      <c r="J858" s="59" t="str">
        <f t="shared" si="5"/>
        <v/>
      </c>
      <c r="K858" s="69" t="str">
        <f t="shared" si="6"/>
        <v/>
      </c>
      <c r="L858" s="60" t="str">
        <f t="shared" si="7"/>
        <v/>
      </c>
      <c r="M858" s="61" t="str">
        <f>IFERROR(__xludf.DUMMYFUNCTION("IFS(AND(COUNTA(C858:C1350)=0,COUNTA(Q858:Q1350)=0),"""",OR(AND(K858&gt;=1000000000,OR(Y858&gt;=1000000000,COUNTA(Q858:Q1350)=0)),OR(Y858&gt;=1000000000,AND(COUNTA(C858:C1350)=0,P$3=TRUE))),
ROUNDDOWN((AB$1-AC$1)*MAX(INDEX(T$4:T1350,MATCH(LARGE(FILTER(Y$4:Y1350,Y$4"&amp;":Y1350&lt;1000000000),1),Y$4:Y1350)),INDEX(F$4:F1350,MATCH(LARGE(FILTER(K$4:K1350,K$4:K1350&lt;1000000000),1),K$4:K1350)))),AND(K858&lt;1000000000,COUNTA(C858:C1350)&gt;0,P$3=FALSE),
ROUNDDOWN(INDEX(Y$4:Y1350,MATCH(LARGE(FILTER(W$4:W1350,W$4:W1350&lt;=I858),1),W$4:W1350"&amp;"))+(I858-LARGE(FILTER(W$4:W1350,W$4:W1350&lt;=I858),1))*INDEX(T$4:T1350,MATCH(LARGE(FILTER(W$4:W1350,W$4:W1350&lt;=I858),1),W$4:W1350))-K858),1,
ROUNDDOWN(Y858-INDEX(K$4:K1350,MATCH(LARGE(FILTER(I$4:I1350,I$4:I1350&lt;=W858),1),I$4:I1350))-(W858-LARGE(FILTER(I$4:I"&amp;"1350,I$4:I1350&lt;=W858),1))*INDEX(F$4:F1350,MATCH(LARGE(FILTER(I$4:I1350,I$4:I1350&lt;=W858),1),I$4:I1350))))"),"")</f>
        <v/>
      </c>
      <c r="N858" s="60" t="str">
        <f t="shared" si="8"/>
        <v/>
      </c>
      <c r="O858" s="61" t="str">
        <f t="shared" si="9"/>
        <v/>
      </c>
      <c r="P858" s="56" t="str">
        <f t="shared" si="10"/>
        <v/>
      </c>
      <c r="Q858" s="62"/>
      <c r="R858" s="10" t="str">
        <f>IFERROR(__xludf.DUMMYFUNCTION("IF(COUNTA(Q858:Q1350)=0,"""",IF(ISBLANK(Q858),FALSE,IF(NOT(COUNTIF($AA$24:$AA$34,SUBSTITUTE(Q858,""Sell_"",""""))),1,IF(REGEXMATCH(Q858,""Sell_""),IF(COUNTIF(Q$4:Q858,SUBSTITUTE(Q858,""Sell_"",""""))-COUNTIF(Q$4:Q857,Q858)&lt;1,1),FALSE))))"),"")</f>
        <v/>
      </c>
      <c r="S858" s="59" t="str">
        <f t="array" ref="S858">IF(COUNTA(Q858:Q1350)=0,"",SUM((COUNTIF(Q$4:Q858,Upgrades!$B$3:$B$13)-COUNTIF(Q$4:Q858,"Sell_"&amp;Upgrades!$B$3:$B$13))*Upgrades!$D$3:$D$13))</f>
        <v/>
      </c>
      <c r="T858" s="66" t="str">
        <f>IFERROR(__xludf.DUMMYFUNCTION("IF(COUNTA(Q858:Q1350)=0,"""",IF(REGEXMATCH(INDEX(FILTER(Q$4:Q858,Q$4:Q858&lt;&gt;""""),ROWS(FILTER(Q$4:Q858,Q$4:Q858&lt;&gt;""""))),""^Sell_""),INDEX(FILTER(T$4:T857,Q$4:Q857&lt;&gt;""""),ROWS(FILTER(Q$4:Q857,Q$4:Q857&lt;&gt;""""))),$AD$5+S858))"),"")</f>
        <v/>
      </c>
      <c r="U858" s="10" t="str">
        <f>IFERROR(__xludf.DUMMYFUNCTION("IF(COUNTA(Q858:Q1350)=0,"""",IF(Q858="""",0,IF(REGEXMATCH(Q858,""^Sell_""),-ROUNDDOWN(ROUNDUP(INDEX(Upgrades!$C$3:$C$13,MATCH(SUBSTITUTE(Q858,""Sell_"",""""),Upgrades!$B$3:$B$13,0))*1.15^(COUNTIF(Q$4:Q857,SUBSTITUTE(Q858,""Sell_"",""""))-COUNTIF(Q$4:Q857,"&amp;"""Sell_""&amp;SUBSTITUTE(Q858,""Sell_"",""""))))/2),ROUNDUP(INDEX(Upgrades!$C$3:$C$13,MATCH(Q858,Upgrades!$B$3:$B$13,0))*1.15^(COUNTIF(Q$4:Q857,Q858)-COUNTIF(Q$4:Q857,""Sell_""&amp;Q858))))))"),"")</f>
        <v/>
      </c>
      <c r="V858" s="10" t="str">
        <f t="shared" si="11"/>
        <v/>
      </c>
      <c r="W858" s="68" t="str">
        <f t="shared" si="12"/>
        <v/>
      </c>
      <c r="X858" s="59" t="str">
        <f t="shared" si="13"/>
        <v/>
      </c>
      <c r="Y858" s="69" t="str">
        <f t="shared" si="14"/>
        <v/>
      </c>
      <c r="Z858" s="11"/>
    </row>
    <row r="859">
      <c r="A859" s="8"/>
      <c r="B859" s="56" t="str">
        <f t="shared" si="2"/>
        <v/>
      </c>
      <c r="C859" s="57"/>
      <c r="D859" s="10" t="str">
        <f>IFERROR(__xludf.DUMMYFUNCTION("IF(COUNTA(C859:C1350)=0,"""",IF(ISBLANK(C859),FALSE,IF(NOT(COUNTIF($AA$24:$AA$34,SUBSTITUTE(C859,""Sell_"",""""))),1,IF(REGEXMATCH(C859,""Sell_""),IF(COUNTIF(C$4:C859,SUBSTITUTE(C859,""Sell_"",""""))-COUNTIF(C$4:C858,C859)&lt;1,1),FALSE))))"),"")</f>
        <v/>
      </c>
      <c r="E859" s="59" t="str">
        <f t="array" ref="E859">IF(COUNTA(C859:C1350)=0,"",SUM((COUNTIF(C$4:C859,Upgrades!$B$3:$B$13)-COUNTIF(C$4:C859,"Sell_"&amp;Upgrades!$B$3:$B$13))*Upgrades!$D$3:$D$13))</f>
        <v/>
      </c>
      <c r="F859" s="66" t="str">
        <f>IFERROR(__xludf.DUMMYFUNCTION("IF(COUNTA(C859:C1350)=0,"""",IF(REGEXMATCH(INDEX(FILTER(C$4:C859,C$4:C859&lt;&gt;""""),ROWS(FILTER(C$4:C859,C$4:C859&lt;&gt;""""))),""^Sell_""),INDEX(FILTER(F$4:F858,C$4:C858&lt;&gt;""""),ROWS(FILTER(C$4:C858,C$4:C858&lt;&gt;""""))),$AC$5+E859))"),"")</f>
        <v/>
      </c>
      <c r="G859" s="10" t="str">
        <f>IFERROR(__xludf.DUMMYFUNCTION("IF(COUNTA(C859:C1350)=0,"""",IF(C859="""",0,IF(REGEXMATCH(C859,""^Sell_""),-ROUNDDOWN(ROUNDUP(INDEX(Upgrades!$C$3:$C$13,MATCH(SUBSTITUTE(C859,""Sell_"",""""),Upgrades!$B$3:$B$13,0))*1.15^(COUNTIF(C$4:C858,SUBSTITUTE(C859,""Sell_"",""""))-COUNTIF(C$4:C858,"&amp;"""Sell_""&amp;SUBSTITUTE(C859,""Sell_"",""""))))/2),ROUNDUP(INDEX(Upgrades!$C$3:$C$13,MATCH(C859,Upgrades!$B$3:$B$13,0))*1.15^(COUNTIF(C$4:C858,C859)-COUNTIF(C$4:C858,""Sell_""&amp;C859))))))"),"")</f>
        <v/>
      </c>
      <c r="H859" s="10" t="str">
        <f t="shared" si="3"/>
        <v/>
      </c>
      <c r="I859" s="68" t="str">
        <f t="shared" si="4"/>
        <v/>
      </c>
      <c r="J859" s="59" t="str">
        <f t="shared" si="5"/>
        <v/>
      </c>
      <c r="K859" s="69" t="str">
        <f t="shared" si="6"/>
        <v/>
      </c>
      <c r="L859" s="60" t="str">
        <f t="shared" si="7"/>
        <v/>
      </c>
      <c r="M859" s="61" t="str">
        <f>IFERROR(__xludf.DUMMYFUNCTION("IFS(AND(COUNTA(C859:C1350)=0,COUNTA(Q859:Q1350)=0),"""",OR(AND(K859&gt;=1000000000,OR(Y859&gt;=1000000000,COUNTA(Q859:Q1350)=0)),OR(Y859&gt;=1000000000,AND(COUNTA(C859:C1350)=0,P$3=TRUE))),
ROUNDDOWN((AB$1-AC$1)*MAX(INDEX(T$4:T1350,MATCH(LARGE(FILTER(Y$4:Y1350,Y$4"&amp;":Y1350&lt;1000000000),1),Y$4:Y1350)),INDEX(F$4:F1350,MATCH(LARGE(FILTER(K$4:K1350,K$4:K1350&lt;1000000000),1),K$4:K1350)))),AND(K859&lt;1000000000,COUNTA(C859:C1350)&gt;0,P$3=FALSE),
ROUNDDOWN(INDEX(Y$4:Y1350,MATCH(LARGE(FILTER(W$4:W1350,W$4:W1350&lt;=I859),1),W$4:W1350"&amp;"))+(I859-LARGE(FILTER(W$4:W1350,W$4:W1350&lt;=I859),1))*INDEX(T$4:T1350,MATCH(LARGE(FILTER(W$4:W1350,W$4:W1350&lt;=I859),1),W$4:W1350))-K859),1,
ROUNDDOWN(Y859-INDEX(K$4:K1350,MATCH(LARGE(FILTER(I$4:I1350,I$4:I1350&lt;=W859),1),I$4:I1350))-(W859-LARGE(FILTER(I$4:I"&amp;"1350,I$4:I1350&lt;=W859),1))*INDEX(F$4:F1350,MATCH(LARGE(FILTER(I$4:I1350,I$4:I1350&lt;=W859),1),I$4:I1350))))"),"")</f>
        <v/>
      </c>
      <c r="N859" s="60" t="str">
        <f t="shared" si="8"/>
        <v/>
      </c>
      <c r="O859" s="61" t="str">
        <f t="shared" si="9"/>
        <v/>
      </c>
      <c r="P859" s="56" t="str">
        <f t="shared" si="10"/>
        <v/>
      </c>
      <c r="Q859" s="62"/>
      <c r="R859" s="10" t="str">
        <f>IFERROR(__xludf.DUMMYFUNCTION("IF(COUNTA(Q859:Q1350)=0,"""",IF(ISBLANK(Q859),FALSE,IF(NOT(COUNTIF($AA$24:$AA$34,SUBSTITUTE(Q859,""Sell_"",""""))),1,IF(REGEXMATCH(Q859,""Sell_""),IF(COUNTIF(Q$4:Q859,SUBSTITUTE(Q859,""Sell_"",""""))-COUNTIF(Q$4:Q858,Q859)&lt;1,1),FALSE))))"),"")</f>
        <v/>
      </c>
      <c r="S859" s="59" t="str">
        <f t="array" ref="S859">IF(COUNTA(Q859:Q1350)=0,"",SUM((COUNTIF(Q$4:Q859,Upgrades!$B$3:$B$13)-COUNTIF(Q$4:Q859,"Sell_"&amp;Upgrades!$B$3:$B$13))*Upgrades!$D$3:$D$13))</f>
        <v/>
      </c>
      <c r="T859" s="66" t="str">
        <f>IFERROR(__xludf.DUMMYFUNCTION("IF(COUNTA(Q859:Q1350)=0,"""",IF(REGEXMATCH(INDEX(FILTER(Q$4:Q859,Q$4:Q859&lt;&gt;""""),ROWS(FILTER(Q$4:Q859,Q$4:Q859&lt;&gt;""""))),""^Sell_""),INDEX(FILTER(T$4:T858,Q$4:Q858&lt;&gt;""""),ROWS(FILTER(Q$4:Q858,Q$4:Q858&lt;&gt;""""))),$AD$5+S859))"),"")</f>
        <v/>
      </c>
      <c r="U859" s="10" t="str">
        <f>IFERROR(__xludf.DUMMYFUNCTION("IF(COUNTA(Q859:Q1350)=0,"""",IF(Q859="""",0,IF(REGEXMATCH(Q859,""^Sell_""),-ROUNDDOWN(ROUNDUP(INDEX(Upgrades!$C$3:$C$13,MATCH(SUBSTITUTE(Q859,""Sell_"",""""),Upgrades!$B$3:$B$13,0))*1.15^(COUNTIF(Q$4:Q858,SUBSTITUTE(Q859,""Sell_"",""""))-COUNTIF(Q$4:Q858,"&amp;"""Sell_""&amp;SUBSTITUTE(Q859,""Sell_"",""""))))/2),ROUNDUP(INDEX(Upgrades!$C$3:$C$13,MATCH(Q859,Upgrades!$B$3:$B$13,0))*1.15^(COUNTIF(Q$4:Q858,Q859)-COUNTIF(Q$4:Q858,""Sell_""&amp;Q859))))))"),"")</f>
        <v/>
      </c>
      <c r="V859" s="10" t="str">
        <f t="shared" si="11"/>
        <v/>
      </c>
      <c r="W859" s="68" t="str">
        <f t="shared" si="12"/>
        <v/>
      </c>
      <c r="X859" s="59" t="str">
        <f t="shared" si="13"/>
        <v/>
      </c>
      <c r="Y859" s="69" t="str">
        <f t="shared" si="14"/>
        <v/>
      </c>
      <c r="Z859" s="11"/>
    </row>
    <row r="860">
      <c r="A860" s="8"/>
      <c r="B860" s="56" t="str">
        <f t="shared" si="2"/>
        <v/>
      </c>
      <c r="C860" s="57"/>
      <c r="D860" s="10" t="str">
        <f>IFERROR(__xludf.DUMMYFUNCTION("IF(COUNTA(C860:C1350)=0,"""",IF(ISBLANK(C860),FALSE,IF(NOT(COUNTIF($AA$24:$AA$34,SUBSTITUTE(C860,""Sell_"",""""))),1,IF(REGEXMATCH(C860,""Sell_""),IF(COUNTIF(C$4:C860,SUBSTITUTE(C860,""Sell_"",""""))-COUNTIF(C$4:C859,C860)&lt;1,1),FALSE))))"),"")</f>
        <v/>
      </c>
      <c r="E860" s="59" t="str">
        <f t="array" ref="E860">IF(COUNTA(C860:C1350)=0,"",SUM((COUNTIF(C$4:C860,Upgrades!$B$3:$B$13)-COUNTIF(C$4:C860,"Sell_"&amp;Upgrades!$B$3:$B$13))*Upgrades!$D$3:$D$13))</f>
        <v/>
      </c>
      <c r="F860" s="66" t="str">
        <f>IFERROR(__xludf.DUMMYFUNCTION("IF(COUNTA(C860:C1350)=0,"""",IF(REGEXMATCH(INDEX(FILTER(C$4:C860,C$4:C860&lt;&gt;""""),ROWS(FILTER(C$4:C860,C$4:C860&lt;&gt;""""))),""^Sell_""),INDEX(FILTER(F$4:F859,C$4:C859&lt;&gt;""""),ROWS(FILTER(C$4:C859,C$4:C859&lt;&gt;""""))),$AC$5+E860))"),"")</f>
        <v/>
      </c>
      <c r="G860" s="10" t="str">
        <f>IFERROR(__xludf.DUMMYFUNCTION("IF(COUNTA(C860:C1350)=0,"""",IF(C860="""",0,IF(REGEXMATCH(C860,""^Sell_""),-ROUNDDOWN(ROUNDUP(INDEX(Upgrades!$C$3:$C$13,MATCH(SUBSTITUTE(C860,""Sell_"",""""),Upgrades!$B$3:$B$13,0))*1.15^(COUNTIF(C$4:C859,SUBSTITUTE(C860,""Sell_"",""""))-COUNTIF(C$4:C859,"&amp;"""Sell_""&amp;SUBSTITUTE(C860,""Sell_"",""""))))/2),ROUNDUP(INDEX(Upgrades!$C$3:$C$13,MATCH(C860,Upgrades!$B$3:$B$13,0))*1.15^(COUNTIF(C$4:C859,C860)-COUNTIF(C$4:C859,""Sell_""&amp;C860))))))"),"")</f>
        <v/>
      </c>
      <c r="H860" s="10" t="str">
        <f t="shared" si="3"/>
        <v/>
      </c>
      <c r="I860" s="68" t="str">
        <f t="shared" si="4"/>
        <v/>
      </c>
      <c r="J860" s="59" t="str">
        <f t="shared" si="5"/>
        <v/>
      </c>
      <c r="K860" s="69" t="str">
        <f t="shared" si="6"/>
        <v/>
      </c>
      <c r="L860" s="60" t="str">
        <f t="shared" si="7"/>
        <v/>
      </c>
      <c r="M860" s="61" t="str">
        <f>IFERROR(__xludf.DUMMYFUNCTION("IFS(AND(COUNTA(C860:C1350)=0,COUNTA(Q860:Q1350)=0),"""",OR(AND(K860&gt;=1000000000,OR(Y860&gt;=1000000000,COUNTA(Q860:Q1350)=0)),OR(Y860&gt;=1000000000,AND(COUNTA(C860:C1350)=0,P$3=TRUE))),
ROUNDDOWN((AB$1-AC$1)*MAX(INDEX(T$4:T1350,MATCH(LARGE(FILTER(Y$4:Y1350,Y$4"&amp;":Y1350&lt;1000000000),1),Y$4:Y1350)),INDEX(F$4:F1350,MATCH(LARGE(FILTER(K$4:K1350,K$4:K1350&lt;1000000000),1),K$4:K1350)))),AND(K860&lt;1000000000,COUNTA(C860:C1350)&gt;0,P$3=FALSE),
ROUNDDOWN(INDEX(Y$4:Y1350,MATCH(LARGE(FILTER(W$4:W1350,W$4:W1350&lt;=I860),1),W$4:W1350"&amp;"))+(I860-LARGE(FILTER(W$4:W1350,W$4:W1350&lt;=I860),1))*INDEX(T$4:T1350,MATCH(LARGE(FILTER(W$4:W1350,W$4:W1350&lt;=I860),1),W$4:W1350))-K860),1,
ROUNDDOWN(Y860-INDEX(K$4:K1350,MATCH(LARGE(FILTER(I$4:I1350,I$4:I1350&lt;=W860),1),I$4:I1350))-(W860-LARGE(FILTER(I$4:I"&amp;"1350,I$4:I1350&lt;=W860),1))*INDEX(F$4:F1350,MATCH(LARGE(FILTER(I$4:I1350,I$4:I1350&lt;=W860),1),I$4:I1350))))"),"")</f>
        <v/>
      </c>
      <c r="N860" s="60" t="str">
        <f t="shared" si="8"/>
        <v/>
      </c>
      <c r="O860" s="61" t="str">
        <f t="shared" si="9"/>
        <v/>
      </c>
      <c r="P860" s="56" t="str">
        <f t="shared" si="10"/>
        <v/>
      </c>
      <c r="Q860" s="62"/>
      <c r="R860" s="10" t="str">
        <f>IFERROR(__xludf.DUMMYFUNCTION("IF(COUNTA(Q860:Q1350)=0,"""",IF(ISBLANK(Q860),FALSE,IF(NOT(COUNTIF($AA$24:$AA$34,SUBSTITUTE(Q860,""Sell_"",""""))),1,IF(REGEXMATCH(Q860,""Sell_""),IF(COUNTIF(Q$4:Q860,SUBSTITUTE(Q860,""Sell_"",""""))-COUNTIF(Q$4:Q859,Q860)&lt;1,1),FALSE))))"),"")</f>
        <v/>
      </c>
      <c r="S860" s="59" t="str">
        <f t="array" ref="S860">IF(COUNTA(Q860:Q1350)=0,"",SUM((COUNTIF(Q$4:Q860,Upgrades!$B$3:$B$13)-COUNTIF(Q$4:Q860,"Sell_"&amp;Upgrades!$B$3:$B$13))*Upgrades!$D$3:$D$13))</f>
        <v/>
      </c>
      <c r="T860" s="66" t="str">
        <f>IFERROR(__xludf.DUMMYFUNCTION("IF(COUNTA(Q860:Q1350)=0,"""",IF(REGEXMATCH(INDEX(FILTER(Q$4:Q860,Q$4:Q860&lt;&gt;""""),ROWS(FILTER(Q$4:Q860,Q$4:Q860&lt;&gt;""""))),""^Sell_""),INDEX(FILTER(T$4:T859,Q$4:Q859&lt;&gt;""""),ROWS(FILTER(Q$4:Q859,Q$4:Q859&lt;&gt;""""))),$AD$5+S860))"),"")</f>
        <v/>
      </c>
      <c r="U860" s="10" t="str">
        <f>IFERROR(__xludf.DUMMYFUNCTION("IF(COUNTA(Q860:Q1350)=0,"""",IF(Q860="""",0,IF(REGEXMATCH(Q860,""^Sell_""),-ROUNDDOWN(ROUNDUP(INDEX(Upgrades!$C$3:$C$13,MATCH(SUBSTITUTE(Q860,""Sell_"",""""),Upgrades!$B$3:$B$13,0))*1.15^(COUNTIF(Q$4:Q859,SUBSTITUTE(Q860,""Sell_"",""""))-COUNTIF(Q$4:Q859,"&amp;"""Sell_""&amp;SUBSTITUTE(Q860,""Sell_"",""""))))/2),ROUNDUP(INDEX(Upgrades!$C$3:$C$13,MATCH(Q860,Upgrades!$B$3:$B$13,0))*1.15^(COUNTIF(Q$4:Q859,Q860)-COUNTIF(Q$4:Q859,""Sell_""&amp;Q860))))))"),"")</f>
        <v/>
      </c>
      <c r="V860" s="10" t="str">
        <f t="shared" si="11"/>
        <v/>
      </c>
      <c r="W860" s="68" t="str">
        <f t="shared" si="12"/>
        <v/>
      </c>
      <c r="X860" s="59" t="str">
        <f t="shared" si="13"/>
        <v/>
      </c>
      <c r="Y860" s="69" t="str">
        <f t="shared" si="14"/>
        <v/>
      </c>
      <c r="Z860" s="11"/>
    </row>
    <row r="861">
      <c r="A861" s="8"/>
      <c r="B861" s="56" t="str">
        <f t="shared" si="2"/>
        <v/>
      </c>
      <c r="C861" s="57"/>
      <c r="D861" s="10" t="str">
        <f>IFERROR(__xludf.DUMMYFUNCTION("IF(COUNTA(C861:C1350)=0,"""",IF(ISBLANK(C861),FALSE,IF(NOT(COUNTIF($AA$24:$AA$34,SUBSTITUTE(C861,""Sell_"",""""))),1,IF(REGEXMATCH(C861,""Sell_""),IF(COUNTIF(C$4:C861,SUBSTITUTE(C861,""Sell_"",""""))-COUNTIF(C$4:C860,C861)&lt;1,1),FALSE))))"),"")</f>
        <v/>
      </c>
      <c r="E861" s="59" t="str">
        <f t="array" ref="E861">IF(COUNTA(C861:C1350)=0,"",SUM((COUNTIF(C$4:C861,Upgrades!$B$3:$B$13)-COUNTIF(C$4:C861,"Sell_"&amp;Upgrades!$B$3:$B$13))*Upgrades!$D$3:$D$13))</f>
        <v/>
      </c>
      <c r="F861" s="66" t="str">
        <f>IFERROR(__xludf.DUMMYFUNCTION("IF(COUNTA(C861:C1350)=0,"""",IF(REGEXMATCH(INDEX(FILTER(C$4:C861,C$4:C861&lt;&gt;""""),ROWS(FILTER(C$4:C861,C$4:C861&lt;&gt;""""))),""^Sell_""),INDEX(FILTER(F$4:F860,C$4:C860&lt;&gt;""""),ROWS(FILTER(C$4:C860,C$4:C860&lt;&gt;""""))),$AC$5+E861))"),"")</f>
        <v/>
      </c>
      <c r="G861" s="10" t="str">
        <f>IFERROR(__xludf.DUMMYFUNCTION("IF(COUNTA(C861:C1350)=0,"""",IF(C861="""",0,IF(REGEXMATCH(C861,""^Sell_""),-ROUNDDOWN(ROUNDUP(INDEX(Upgrades!$C$3:$C$13,MATCH(SUBSTITUTE(C861,""Sell_"",""""),Upgrades!$B$3:$B$13,0))*1.15^(COUNTIF(C$4:C860,SUBSTITUTE(C861,""Sell_"",""""))-COUNTIF(C$4:C860,"&amp;"""Sell_""&amp;SUBSTITUTE(C861,""Sell_"",""""))))/2),ROUNDUP(INDEX(Upgrades!$C$3:$C$13,MATCH(C861,Upgrades!$B$3:$B$13,0))*1.15^(COUNTIF(C$4:C860,C861)-COUNTIF(C$4:C860,""Sell_""&amp;C861))))))"),"")</f>
        <v/>
      </c>
      <c r="H861" s="10" t="str">
        <f t="shared" si="3"/>
        <v/>
      </c>
      <c r="I861" s="68" t="str">
        <f t="shared" si="4"/>
        <v/>
      </c>
      <c r="J861" s="59" t="str">
        <f t="shared" si="5"/>
        <v/>
      </c>
      <c r="K861" s="69" t="str">
        <f t="shared" si="6"/>
        <v/>
      </c>
      <c r="L861" s="60" t="str">
        <f t="shared" si="7"/>
        <v/>
      </c>
      <c r="M861" s="61" t="str">
        <f>IFERROR(__xludf.DUMMYFUNCTION("IFS(AND(COUNTA(C861:C1350)=0,COUNTA(Q861:Q1350)=0),"""",OR(AND(K861&gt;=1000000000,OR(Y861&gt;=1000000000,COUNTA(Q861:Q1350)=0)),OR(Y861&gt;=1000000000,AND(COUNTA(C861:C1350)=0,P$3=TRUE))),
ROUNDDOWN((AB$1-AC$1)*MAX(INDEX(T$4:T1350,MATCH(LARGE(FILTER(Y$4:Y1350,Y$4"&amp;":Y1350&lt;1000000000),1),Y$4:Y1350)),INDEX(F$4:F1350,MATCH(LARGE(FILTER(K$4:K1350,K$4:K1350&lt;1000000000),1),K$4:K1350)))),AND(K861&lt;1000000000,COUNTA(C861:C1350)&gt;0,P$3=FALSE),
ROUNDDOWN(INDEX(Y$4:Y1350,MATCH(LARGE(FILTER(W$4:W1350,W$4:W1350&lt;=I861),1),W$4:W1350"&amp;"))+(I861-LARGE(FILTER(W$4:W1350,W$4:W1350&lt;=I861),1))*INDEX(T$4:T1350,MATCH(LARGE(FILTER(W$4:W1350,W$4:W1350&lt;=I861),1),W$4:W1350))-K861),1,
ROUNDDOWN(Y861-INDEX(K$4:K1350,MATCH(LARGE(FILTER(I$4:I1350,I$4:I1350&lt;=W861),1),I$4:I1350))-(W861-LARGE(FILTER(I$4:I"&amp;"1350,I$4:I1350&lt;=W861),1))*INDEX(F$4:F1350,MATCH(LARGE(FILTER(I$4:I1350,I$4:I1350&lt;=W861),1),I$4:I1350))))"),"")</f>
        <v/>
      </c>
      <c r="N861" s="60" t="str">
        <f t="shared" si="8"/>
        <v/>
      </c>
      <c r="O861" s="61" t="str">
        <f t="shared" si="9"/>
        <v/>
      </c>
      <c r="P861" s="56" t="str">
        <f t="shared" si="10"/>
        <v/>
      </c>
      <c r="Q861" s="62"/>
      <c r="R861" s="10" t="str">
        <f>IFERROR(__xludf.DUMMYFUNCTION("IF(COUNTA(Q861:Q1350)=0,"""",IF(ISBLANK(Q861),FALSE,IF(NOT(COUNTIF($AA$24:$AA$34,SUBSTITUTE(Q861,""Sell_"",""""))),1,IF(REGEXMATCH(Q861,""Sell_""),IF(COUNTIF(Q$4:Q861,SUBSTITUTE(Q861,""Sell_"",""""))-COUNTIF(Q$4:Q860,Q861)&lt;1,1),FALSE))))"),"")</f>
        <v/>
      </c>
      <c r="S861" s="59" t="str">
        <f t="array" ref="S861">IF(COUNTA(Q861:Q1350)=0,"",SUM((COUNTIF(Q$4:Q861,Upgrades!$B$3:$B$13)-COUNTIF(Q$4:Q861,"Sell_"&amp;Upgrades!$B$3:$B$13))*Upgrades!$D$3:$D$13))</f>
        <v/>
      </c>
      <c r="T861" s="66" t="str">
        <f>IFERROR(__xludf.DUMMYFUNCTION("IF(COUNTA(Q861:Q1350)=0,"""",IF(REGEXMATCH(INDEX(FILTER(Q$4:Q861,Q$4:Q861&lt;&gt;""""),ROWS(FILTER(Q$4:Q861,Q$4:Q861&lt;&gt;""""))),""^Sell_""),INDEX(FILTER(T$4:T860,Q$4:Q860&lt;&gt;""""),ROWS(FILTER(Q$4:Q860,Q$4:Q860&lt;&gt;""""))),$AD$5+S861))"),"")</f>
        <v/>
      </c>
      <c r="U861" s="10" t="str">
        <f>IFERROR(__xludf.DUMMYFUNCTION("IF(COUNTA(Q861:Q1350)=0,"""",IF(Q861="""",0,IF(REGEXMATCH(Q861,""^Sell_""),-ROUNDDOWN(ROUNDUP(INDEX(Upgrades!$C$3:$C$13,MATCH(SUBSTITUTE(Q861,""Sell_"",""""),Upgrades!$B$3:$B$13,0))*1.15^(COUNTIF(Q$4:Q860,SUBSTITUTE(Q861,""Sell_"",""""))-COUNTIF(Q$4:Q860,"&amp;"""Sell_""&amp;SUBSTITUTE(Q861,""Sell_"",""""))))/2),ROUNDUP(INDEX(Upgrades!$C$3:$C$13,MATCH(Q861,Upgrades!$B$3:$B$13,0))*1.15^(COUNTIF(Q$4:Q860,Q861)-COUNTIF(Q$4:Q860,""Sell_""&amp;Q861))))))"),"")</f>
        <v/>
      </c>
      <c r="V861" s="10" t="str">
        <f t="shared" si="11"/>
        <v/>
      </c>
      <c r="W861" s="68" t="str">
        <f t="shared" si="12"/>
        <v/>
      </c>
      <c r="X861" s="59" t="str">
        <f t="shared" si="13"/>
        <v/>
      </c>
      <c r="Y861" s="69" t="str">
        <f t="shared" si="14"/>
        <v/>
      </c>
      <c r="Z861" s="11"/>
    </row>
    <row r="862">
      <c r="A862" s="8"/>
      <c r="B862" s="56" t="str">
        <f t="shared" si="2"/>
        <v/>
      </c>
      <c r="C862" s="57"/>
      <c r="D862" s="10" t="str">
        <f>IFERROR(__xludf.DUMMYFUNCTION("IF(COUNTA(C862:C1350)=0,"""",IF(ISBLANK(C862),FALSE,IF(NOT(COUNTIF($AA$24:$AA$34,SUBSTITUTE(C862,""Sell_"",""""))),1,IF(REGEXMATCH(C862,""Sell_""),IF(COUNTIF(C$4:C862,SUBSTITUTE(C862,""Sell_"",""""))-COUNTIF(C$4:C861,C862)&lt;1,1),FALSE))))"),"")</f>
        <v/>
      </c>
      <c r="E862" s="59" t="str">
        <f t="array" ref="E862">IF(COUNTA(C862:C1350)=0,"",SUM((COUNTIF(C$4:C862,Upgrades!$B$3:$B$13)-COUNTIF(C$4:C862,"Sell_"&amp;Upgrades!$B$3:$B$13))*Upgrades!$D$3:$D$13))</f>
        <v/>
      </c>
      <c r="F862" s="66" t="str">
        <f>IFERROR(__xludf.DUMMYFUNCTION("IF(COUNTA(C862:C1350)=0,"""",IF(REGEXMATCH(INDEX(FILTER(C$4:C862,C$4:C862&lt;&gt;""""),ROWS(FILTER(C$4:C862,C$4:C862&lt;&gt;""""))),""^Sell_""),INDEX(FILTER(F$4:F861,C$4:C861&lt;&gt;""""),ROWS(FILTER(C$4:C861,C$4:C861&lt;&gt;""""))),$AC$5+E862))"),"")</f>
        <v/>
      </c>
      <c r="G862" s="10" t="str">
        <f>IFERROR(__xludf.DUMMYFUNCTION("IF(COUNTA(C862:C1350)=0,"""",IF(C862="""",0,IF(REGEXMATCH(C862,""^Sell_""),-ROUNDDOWN(ROUNDUP(INDEX(Upgrades!$C$3:$C$13,MATCH(SUBSTITUTE(C862,""Sell_"",""""),Upgrades!$B$3:$B$13,0))*1.15^(COUNTIF(C$4:C861,SUBSTITUTE(C862,""Sell_"",""""))-COUNTIF(C$4:C861,"&amp;"""Sell_""&amp;SUBSTITUTE(C862,""Sell_"",""""))))/2),ROUNDUP(INDEX(Upgrades!$C$3:$C$13,MATCH(C862,Upgrades!$B$3:$B$13,0))*1.15^(COUNTIF(C$4:C861,C862)-COUNTIF(C$4:C861,""Sell_""&amp;C862))))))"),"")</f>
        <v/>
      </c>
      <c r="H862" s="10" t="str">
        <f t="shared" si="3"/>
        <v/>
      </c>
      <c r="I862" s="68" t="str">
        <f t="shared" si="4"/>
        <v/>
      </c>
      <c r="J862" s="59" t="str">
        <f t="shared" si="5"/>
        <v/>
      </c>
      <c r="K862" s="69" t="str">
        <f t="shared" si="6"/>
        <v/>
      </c>
      <c r="L862" s="60" t="str">
        <f t="shared" si="7"/>
        <v/>
      </c>
      <c r="M862" s="61" t="str">
        <f>IFERROR(__xludf.DUMMYFUNCTION("IFS(AND(COUNTA(C862:C1350)=0,COUNTA(Q862:Q1350)=0),"""",OR(AND(K862&gt;=1000000000,OR(Y862&gt;=1000000000,COUNTA(Q862:Q1350)=0)),OR(Y862&gt;=1000000000,AND(COUNTA(C862:C1350)=0,P$3=TRUE))),
ROUNDDOWN((AB$1-AC$1)*MAX(INDEX(T$4:T1350,MATCH(LARGE(FILTER(Y$4:Y1350,Y$4"&amp;":Y1350&lt;1000000000),1),Y$4:Y1350)),INDEX(F$4:F1350,MATCH(LARGE(FILTER(K$4:K1350,K$4:K1350&lt;1000000000),1),K$4:K1350)))),AND(K862&lt;1000000000,COUNTA(C862:C1350)&gt;0,P$3=FALSE),
ROUNDDOWN(INDEX(Y$4:Y1350,MATCH(LARGE(FILTER(W$4:W1350,W$4:W1350&lt;=I862),1),W$4:W1350"&amp;"))+(I862-LARGE(FILTER(W$4:W1350,W$4:W1350&lt;=I862),1))*INDEX(T$4:T1350,MATCH(LARGE(FILTER(W$4:W1350,W$4:W1350&lt;=I862),1),W$4:W1350))-K862),1,
ROUNDDOWN(Y862-INDEX(K$4:K1350,MATCH(LARGE(FILTER(I$4:I1350,I$4:I1350&lt;=W862),1),I$4:I1350))-(W862-LARGE(FILTER(I$4:I"&amp;"1350,I$4:I1350&lt;=W862),1))*INDEX(F$4:F1350,MATCH(LARGE(FILTER(I$4:I1350,I$4:I1350&lt;=W862),1),I$4:I1350))))"),"")</f>
        <v/>
      </c>
      <c r="N862" s="60" t="str">
        <f t="shared" si="8"/>
        <v/>
      </c>
      <c r="O862" s="61" t="str">
        <f t="shared" si="9"/>
        <v/>
      </c>
      <c r="P862" s="56" t="str">
        <f t="shared" si="10"/>
        <v/>
      </c>
      <c r="Q862" s="62"/>
      <c r="R862" s="10" t="str">
        <f>IFERROR(__xludf.DUMMYFUNCTION("IF(COUNTA(Q862:Q1350)=0,"""",IF(ISBLANK(Q862),FALSE,IF(NOT(COUNTIF($AA$24:$AA$34,SUBSTITUTE(Q862,""Sell_"",""""))),1,IF(REGEXMATCH(Q862,""Sell_""),IF(COUNTIF(Q$4:Q862,SUBSTITUTE(Q862,""Sell_"",""""))-COUNTIF(Q$4:Q861,Q862)&lt;1,1),FALSE))))"),"")</f>
        <v/>
      </c>
      <c r="S862" s="59" t="str">
        <f t="array" ref="S862">IF(COUNTA(Q862:Q1350)=0,"",SUM((COUNTIF(Q$4:Q862,Upgrades!$B$3:$B$13)-COUNTIF(Q$4:Q862,"Sell_"&amp;Upgrades!$B$3:$B$13))*Upgrades!$D$3:$D$13))</f>
        <v/>
      </c>
      <c r="T862" s="66" t="str">
        <f>IFERROR(__xludf.DUMMYFUNCTION("IF(COUNTA(Q862:Q1350)=0,"""",IF(REGEXMATCH(INDEX(FILTER(Q$4:Q862,Q$4:Q862&lt;&gt;""""),ROWS(FILTER(Q$4:Q862,Q$4:Q862&lt;&gt;""""))),""^Sell_""),INDEX(FILTER(T$4:T861,Q$4:Q861&lt;&gt;""""),ROWS(FILTER(Q$4:Q861,Q$4:Q861&lt;&gt;""""))),$AD$5+S862))"),"")</f>
        <v/>
      </c>
      <c r="U862" s="10" t="str">
        <f>IFERROR(__xludf.DUMMYFUNCTION("IF(COUNTA(Q862:Q1350)=0,"""",IF(Q862="""",0,IF(REGEXMATCH(Q862,""^Sell_""),-ROUNDDOWN(ROUNDUP(INDEX(Upgrades!$C$3:$C$13,MATCH(SUBSTITUTE(Q862,""Sell_"",""""),Upgrades!$B$3:$B$13,0))*1.15^(COUNTIF(Q$4:Q861,SUBSTITUTE(Q862,""Sell_"",""""))-COUNTIF(Q$4:Q861,"&amp;"""Sell_""&amp;SUBSTITUTE(Q862,""Sell_"",""""))))/2),ROUNDUP(INDEX(Upgrades!$C$3:$C$13,MATCH(Q862,Upgrades!$B$3:$B$13,0))*1.15^(COUNTIF(Q$4:Q861,Q862)-COUNTIF(Q$4:Q861,""Sell_""&amp;Q862))))))"),"")</f>
        <v/>
      </c>
      <c r="V862" s="10" t="str">
        <f t="shared" si="11"/>
        <v/>
      </c>
      <c r="W862" s="68" t="str">
        <f t="shared" si="12"/>
        <v/>
      </c>
      <c r="X862" s="59" t="str">
        <f t="shared" si="13"/>
        <v/>
      </c>
      <c r="Y862" s="69" t="str">
        <f t="shared" si="14"/>
        <v/>
      </c>
      <c r="Z862" s="11"/>
    </row>
    <row r="863">
      <c r="A863" s="8"/>
      <c r="B863" s="56" t="str">
        <f t="shared" si="2"/>
        <v/>
      </c>
      <c r="C863" s="57"/>
      <c r="D863" s="10" t="str">
        <f>IFERROR(__xludf.DUMMYFUNCTION("IF(COUNTA(C863:C1350)=0,"""",IF(ISBLANK(C863),FALSE,IF(NOT(COUNTIF($AA$24:$AA$34,SUBSTITUTE(C863,""Sell_"",""""))),1,IF(REGEXMATCH(C863,""Sell_""),IF(COUNTIF(C$4:C863,SUBSTITUTE(C863,""Sell_"",""""))-COUNTIF(C$4:C862,C863)&lt;1,1),FALSE))))"),"")</f>
        <v/>
      </c>
      <c r="E863" s="59" t="str">
        <f t="array" ref="E863">IF(COUNTA(C863:C1350)=0,"",SUM((COUNTIF(C$4:C863,Upgrades!$B$3:$B$13)-COUNTIF(C$4:C863,"Sell_"&amp;Upgrades!$B$3:$B$13))*Upgrades!$D$3:$D$13))</f>
        <v/>
      </c>
      <c r="F863" s="66" t="str">
        <f>IFERROR(__xludf.DUMMYFUNCTION("IF(COUNTA(C863:C1350)=0,"""",IF(REGEXMATCH(INDEX(FILTER(C$4:C863,C$4:C863&lt;&gt;""""),ROWS(FILTER(C$4:C863,C$4:C863&lt;&gt;""""))),""^Sell_""),INDEX(FILTER(F$4:F862,C$4:C862&lt;&gt;""""),ROWS(FILTER(C$4:C862,C$4:C862&lt;&gt;""""))),$AC$5+E863))"),"")</f>
        <v/>
      </c>
      <c r="G863" s="10" t="str">
        <f>IFERROR(__xludf.DUMMYFUNCTION("IF(COUNTA(C863:C1350)=0,"""",IF(C863="""",0,IF(REGEXMATCH(C863,""^Sell_""),-ROUNDDOWN(ROUNDUP(INDEX(Upgrades!$C$3:$C$13,MATCH(SUBSTITUTE(C863,""Sell_"",""""),Upgrades!$B$3:$B$13,0))*1.15^(COUNTIF(C$4:C862,SUBSTITUTE(C863,""Sell_"",""""))-COUNTIF(C$4:C862,"&amp;"""Sell_""&amp;SUBSTITUTE(C863,""Sell_"",""""))))/2),ROUNDUP(INDEX(Upgrades!$C$3:$C$13,MATCH(C863,Upgrades!$B$3:$B$13,0))*1.15^(COUNTIF(C$4:C862,C863)-COUNTIF(C$4:C862,""Sell_""&amp;C863))))))"),"")</f>
        <v/>
      </c>
      <c r="H863" s="10" t="str">
        <f t="shared" si="3"/>
        <v/>
      </c>
      <c r="I863" s="68" t="str">
        <f t="shared" si="4"/>
        <v/>
      </c>
      <c r="J863" s="59" t="str">
        <f t="shared" si="5"/>
        <v/>
      </c>
      <c r="K863" s="69" t="str">
        <f t="shared" si="6"/>
        <v/>
      </c>
      <c r="L863" s="60" t="str">
        <f t="shared" si="7"/>
        <v/>
      </c>
      <c r="M863" s="61" t="str">
        <f>IFERROR(__xludf.DUMMYFUNCTION("IFS(AND(COUNTA(C863:C1350)=0,COUNTA(Q863:Q1350)=0),"""",OR(AND(K863&gt;=1000000000,OR(Y863&gt;=1000000000,COUNTA(Q863:Q1350)=0)),OR(Y863&gt;=1000000000,AND(COUNTA(C863:C1350)=0,P$3=TRUE))),
ROUNDDOWN((AB$1-AC$1)*MAX(INDEX(T$4:T1350,MATCH(LARGE(FILTER(Y$4:Y1350,Y$4"&amp;":Y1350&lt;1000000000),1),Y$4:Y1350)),INDEX(F$4:F1350,MATCH(LARGE(FILTER(K$4:K1350,K$4:K1350&lt;1000000000),1),K$4:K1350)))),AND(K863&lt;1000000000,COUNTA(C863:C1350)&gt;0,P$3=FALSE),
ROUNDDOWN(INDEX(Y$4:Y1350,MATCH(LARGE(FILTER(W$4:W1350,W$4:W1350&lt;=I863),1),W$4:W1350"&amp;"))+(I863-LARGE(FILTER(W$4:W1350,W$4:W1350&lt;=I863),1))*INDEX(T$4:T1350,MATCH(LARGE(FILTER(W$4:W1350,W$4:W1350&lt;=I863),1),W$4:W1350))-K863),1,
ROUNDDOWN(Y863-INDEX(K$4:K1350,MATCH(LARGE(FILTER(I$4:I1350,I$4:I1350&lt;=W863),1),I$4:I1350))-(W863-LARGE(FILTER(I$4:I"&amp;"1350,I$4:I1350&lt;=W863),1))*INDEX(F$4:F1350,MATCH(LARGE(FILTER(I$4:I1350,I$4:I1350&lt;=W863),1),I$4:I1350))))"),"")</f>
        <v/>
      </c>
      <c r="N863" s="60" t="str">
        <f t="shared" si="8"/>
        <v/>
      </c>
      <c r="O863" s="61" t="str">
        <f t="shared" si="9"/>
        <v/>
      </c>
      <c r="P863" s="56" t="str">
        <f t="shared" si="10"/>
        <v/>
      </c>
      <c r="Q863" s="62"/>
      <c r="R863" s="10" t="str">
        <f>IFERROR(__xludf.DUMMYFUNCTION("IF(COUNTA(Q863:Q1350)=0,"""",IF(ISBLANK(Q863),FALSE,IF(NOT(COUNTIF($AA$24:$AA$34,SUBSTITUTE(Q863,""Sell_"",""""))),1,IF(REGEXMATCH(Q863,""Sell_""),IF(COUNTIF(Q$4:Q863,SUBSTITUTE(Q863,""Sell_"",""""))-COUNTIF(Q$4:Q862,Q863)&lt;1,1),FALSE))))"),"")</f>
        <v/>
      </c>
      <c r="S863" s="59" t="str">
        <f t="array" ref="S863">IF(COUNTA(Q863:Q1350)=0,"",SUM((COUNTIF(Q$4:Q863,Upgrades!$B$3:$B$13)-COUNTIF(Q$4:Q863,"Sell_"&amp;Upgrades!$B$3:$B$13))*Upgrades!$D$3:$D$13))</f>
        <v/>
      </c>
      <c r="T863" s="66" t="str">
        <f>IFERROR(__xludf.DUMMYFUNCTION("IF(COUNTA(Q863:Q1350)=0,"""",IF(REGEXMATCH(INDEX(FILTER(Q$4:Q863,Q$4:Q863&lt;&gt;""""),ROWS(FILTER(Q$4:Q863,Q$4:Q863&lt;&gt;""""))),""^Sell_""),INDEX(FILTER(T$4:T862,Q$4:Q862&lt;&gt;""""),ROWS(FILTER(Q$4:Q862,Q$4:Q862&lt;&gt;""""))),$AD$5+S863))"),"")</f>
        <v/>
      </c>
      <c r="U863" s="10" t="str">
        <f>IFERROR(__xludf.DUMMYFUNCTION("IF(COUNTA(Q863:Q1350)=0,"""",IF(Q863="""",0,IF(REGEXMATCH(Q863,""^Sell_""),-ROUNDDOWN(ROUNDUP(INDEX(Upgrades!$C$3:$C$13,MATCH(SUBSTITUTE(Q863,""Sell_"",""""),Upgrades!$B$3:$B$13,0))*1.15^(COUNTIF(Q$4:Q862,SUBSTITUTE(Q863,""Sell_"",""""))-COUNTIF(Q$4:Q862,"&amp;"""Sell_""&amp;SUBSTITUTE(Q863,""Sell_"",""""))))/2),ROUNDUP(INDEX(Upgrades!$C$3:$C$13,MATCH(Q863,Upgrades!$B$3:$B$13,0))*1.15^(COUNTIF(Q$4:Q862,Q863)-COUNTIF(Q$4:Q862,""Sell_""&amp;Q863))))))"),"")</f>
        <v/>
      </c>
      <c r="V863" s="10" t="str">
        <f t="shared" si="11"/>
        <v/>
      </c>
      <c r="W863" s="68" t="str">
        <f t="shared" si="12"/>
        <v/>
      </c>
      <c r="X863" s="59" t="str">
        <f t="shared" si="13"/>
        <v/>
      </c>
      <c r="Y863" s="69" t="str">
        <f t="shared" si="14"/>
        <v/>
      </c>
      <c r="Z863" s="11"/>
    </row>
    <row r="864">
      <c r="A864" s="8"/>
      <c r="B864" s="56" t="str">
        <f t="shared" si="2"/>
        <v/>
      </c>
      <c r="C864" s="57"/>
      <c r="D864" s="10" t="str">
        <f>IFERROR(__xludf.DUMMYFUNCTION("IF(COUNTA(C864:C1350)=0,"""",IF(ISBLANK(C864),FALSE,IF(NOT(COUNTIF($AA$24:$AA$34,SUBSTITUTE(C864,""Sell_"",""""))),1,IF(REGEXMATCH(C864,""Sell_""),IF(COUNTIF(C$4:C864,SUBSTITUTE(C864,""Sell_"",""""))-COUNTIF(C$4:C863,C864)&lt;1,1),FALSE))))"),"")</f>
        <v/>
      </c>
      <c r="E864" s="59" t="str">
        <f t="array" ref="E864">IF(COUNTA(C864:C1350)=0,"",SUM((COUNTIF(C$4:C864,Upgrades!$B$3:$B$13)-COUNTIF(C$4:C864,"Sell_"&amp;Upgrades!$B$3:$B$13))*Upgrades!$D$3:$D$13))</f>
        <v/>
      </c>
      <c r="F864" s="66" t="str">
        <f>IFERROR(__xludf.DUMMYFUNCTION("IF(COUNTA(C864:C1350)=0,"""",IF(REGEXMATCH(INDEX(FILTER(C$4:C864,C$4:C864&lt;&gt;""""),ROWS(FILTER(C$4:C864,C$4:C864&lt;&gt;""""))),""^Sell_""),INDEX(FILTER(F$4:F863,C$4:C863&lt;&gt;""""),ROWS(FILTER(C$4:C863,C$4:C863&lt;&gt;""""))),$AC$5+E864))"),"")</f>
        <v/>
      </c>
      <c r="G864" s="10" t="str">
        <f>IFERROR(__xludf.DUMMYFUNCTION("IF(COUNTA(C864:C1350)=0,"""",IF(C864="""",0,IF(REGEXMATCH(C864,""^Sell_""),-ROUNDDOWN(ROUNDUP(INDEX(Upgrades!$C$3:$C$13,MATCH(SUBSTITUTE(C864,""Sell_"",""""),Upgrades!$B$3:$B$13,0))*1.15^(COUNTIF(C$4:C863,SUBSTITUTE(C864,""Sell_"",""""))-COUNTIF(C$4:C863,"&amp;"""Sell_""&amp;SUBSTITUTE(C864,""Sell_"",""""))))/2),ROUNDUP(INDEX(Upgrades!$C$3:$C$13,MATCH(C864,Upgrades!$B$3:$B$13,0))*1.15^(COUNTIF(C$4:C863,C864)-COUNTIF(C$4:C863,""Sell_""&amp;C864))))))"),"")</f>
        <v/>
      </c>
      <c r="H864" s="10" t="str">
        <f t="shared" si="3"/>
        <v/>
      </c>
      <c r="I864" s="68" t="str">
        <f t="shared" si="4"/>
        <v/>
      </c>
      <c r="J864" s="59" t="str">
        <f t="shared" si="5"/>
        <v/>
      </c>
      <c r="K864" s="69" t="str">
        <f t="shared" si="6"/>
        <v/>
      </c>
      <c r="L864" s="60" t="str">
        <f t="shared" si="7"/>
        <v/>
      </c>
      <c r="M864" s="61" t="str">
        <f>IFERROR(__xludf.DUMMYFUNCTION("IFS(AND(COUNTA(C864:C1350)=0,COUNTA(Q864:Q1350)=0),"""",OR(AND(K864&gt;=1000000000,OR(Y864&gt;=1000000000,COUNTA(Q864:Q1350)=0)),OR(Y864&gt;=1000000000,AND(COUNTA(C864:C1350)=0,P$3=TRUE))),
ROUNDDOWN((AB$1-AC$1)*MAX(INDEX(T$4:T1350,MATCH(LARGE(FILTER(Y$4:Y1350,Y$4"&amp;":Y1350&lt;1000000000),1),Y$4:Y1350)),INDEX(F$4:F1350,MATCH(LARGE(FILTER(K$4:K1350,K$4:K1350&lt;1000000000),1),K$4:K1350)))),AND(K864&lt;1000000000,COUNTA(C864:C1350)&gt;0,P$3=FALSE),
ROUNDDOWN(INDEX(Y$4:Y1350,MATCH(LARGE(FILTER(W$4:W1350,W$4:W1350&lt;=I864),1),W$4:W1350"&amp;"))+(I864-LARGE(FILTER(W$4:W1350,W$4:W1350&lt;=I864),1))*INDEX(T$4:T1350,MATCH(LARGE(FILTER(W$4:W1350,W$4:W1350&lt;=I864),1),W$4:W1350))-K864),1,
ROUNDDOWN(Y864-INDEX(K$4:K1350,MATCH(LARGE(FILTER(I$4:I1350,I$4:I1350&lt;=W864),1),I$4:I1350))-(W864-LARGE(FILTER(I$4:I"&amp;"1350,I$4:I1350&lt;=W864),1))*INDEX(F$4:F1350,MATCH(LARGE(FILTER(I$4:I1350,I$4:I1350&lt;=W864),1),I$4:I1350))))"),"")</f>
        <v/>
      </c>
      <c r="N864" s="60" t="str">
        <f t="shared" si="8"/>
        <v/>
      </c>
      <c r="O864" s="61" t="str">
        <f t="shared" si="9"/>
        <v/>
      </c>
      <c r="P864" s="56" t="str">
        <f t="shared" si="10"/>
        <v/>
      </c>
      <c r="Q864" s="62"/>
      <c r="R864" s="10" t="str">
        <f>IFERROR(__xludf.DUMMYFUNCTION("IF(COUNTA(Q864:Q1350)=0,"""",IF(ISBLANK(Q864),FALSE,IF(NOT(COUNTIF($AA$24:$AA$34,SUBSTITUTE(Q864,""Sell_"",""""))),1,IF(REGEXMATCH(Q864,""Sell_""),IF(COUNTIF(Q$4:Q864,SUBSTITUTE(Q864,""Sell_"",""""))-COUNTIF(Q$4:Q863,Q864)&lt;1,1),FALSE))))"),"")</f>
        <v/>
      </c>
      <c r="S864" s="59" t="str">
        <f t="array" ref="S864">IF(COUNTA(Q864:Q1350)=0,"",SUM((COUNTIF(Q$4:Q864,Upgrades!$B$3:$B$13)-COUNTIF(Q$4:Q864,"Sell_"&amp;Upgrades!$B$3:$B$13))*Upgrades!$D$3:$D$13))</f>
        <v/>
      </c>
      <c r="T864" s="66" t="str">
        <f>IFERROR(__xludf.DUMMYFUNCTION("IF(COUNTA(Q864:Q1350)=0,"""",IF(REGEXMATCH(INDEX(FILTER(Q$4:Q864,Q$4:Q864&lt;&gt;""""),ROWS(FILTER(Q$4:Q864,Q$4:Q864&lt;&gt;""""))),""^Sell_""),INDEX(FILTER(T$4:T863,Q$4:Q863&lt;&gt;""""),ROWS(FILTER(Q$4:Q863,Q$4:Q863&lt;&gt;""""))),$AD$5+S864))"),"")</f>
        <v/>
      </c>
      <c r="U864" s="10" t="str">
        <f>IFERROR(__xludf.DUMMYFUNCTION("IF(COUNTA(Q864:Q1350)=0,"""",IF(Q864="""",0,IF(REGEXMATCH(Q864,""^Sell_""),-ROUNDDOWN(ROUNDUP(INDEX(Upgrades!$C$3:$C$13,MATCH(SUBSTITUTE(Q864,""Sell_"",""""),Upgrades!$B$3:$B$13,0))*1.15^(COUNTIF(Q$4:Q863,SUBSTITUTE(Q864,""Sell_"",""""))-COUNTIF(Q$4:Q863,"&amp;"""Sell_""&amp;SUBSTITUTE(Q864,""Sell_"",""""))))/2),ROUNDUP(INDEX(Upgrades!$C$3:$C$13,MATCH(Q864,Upgrades!$B$3:$B$13,0))*1.15^(COUNTIF(Q$4:Q863,Q864)-COUNTIF(Q$4:Q863,""Sell_""&amp;Q864))))))"),"")</f>
        <v/>
      </c>
      <c r="V864" s="10" t="str">
        <f t="shared" si="11"/>
        <v/>
      </c>
      <c r="W864" s="68" t="str">
        <f t="shared" si="12"/>
        <v/>
      </c>
      <c r="X864" s="59" t="str">
        <f t="shared" si="13"/>
        <v/>
      </c>
      <c r="Y864" s="69" t="str">
        <f t="shared" si="14"/>
        <v/>
      </c>
      <c r="Z864" s="11"/>
    </row>
    <row r="865">
      <c r="A865" s="8"/>
      <c r="B865" s="56" t="str">
        <f t="shared" si="2"/>
        <v/>
      </c>
      <c r="C865" s="57"/>
      <c r="D865" s="10" t="str">
        <f>IFERROR(__xludf.DUMMYFUNCTION("IF(COUNTA(C865:C1350)=0,"""",IF(ISBLANK(C865),FALSE,IF(NOT(COUNTIF($AA$24:$AA$34,SUBSTITUTE(C865,""Sell_"",""""))),1,IF(REGEXMATCH(C865,""Sell_""),IF(COUNTIF(C$4:C865,SUBSTITUTE(C865,""Sell_"",""""))-COUNTIF(C$4:C864,C865)&lt;1,1),FALSE))))"),"")</f>
        <v/>
      </c>
      <c r="E865" s="59" t="str">
        <f t="array" ref="E865">IF(COUNTA(C865:C1350)=0,"",SUM((COUNTIF(C$4:C865,Upgrades!$B$3:$B$13)-COUNTIF(C$4:C865,"Sell_"&amp;Upgrades!$B$3:$B$13))*Upgrades!$D$3:$D$13))</f>
        <v/>
      </c>
      <c r="F865" s="66" t="str">
        <f>IFERROR(__xludf.DUMMYFUNCTION("IF(COUNTA(C865:C1350)=0,"""",IF(REGEXMATCH(INDEX(FILTER(C$4:C865,C$4:C865&lt;&gt;""""),ROWS(FILTER(C$4:C865,C$4:C865&lt;&gt;""""))),""^Sell_""),INDEX(FILTER(F$4:F864,C$4:C864&lt;&gt;""""),ROWS(FILTER(C$4:C864,C$4:C864&lt;&gt;""""))),$AC$5+E865))"),"")</f>
        <v/>
      </c>
      <c r="G865" s="10" t="str">
        <f>IFERROR(__xludf.DUMMYFUNCTION("IF(COUNTA(C865:C1350)=0,"""",IF(C865="""",0,IF(REGEXMATCH(C865,""^Sell_""),-ROUNDDOWN(ROUNDUP(INDEX(Upgrades!$C$3:$C$13,MATCH(SUBSTITUTE(C865,""Sell_"",""""),Upgrades!$B$3:$B$13,0))*1.15^(COUNTIF(C$4:C864,SUBSTITUTE(C865,""Sell_"",""""))-COUNTIF(C$4:C864,"&amp;"""Sell_""&amp;SUBSTITUTE(C865,""Sell_"",""""))))/2),ROUNDUP(INDEX(Upgrades!$C$3:$C$13,MATCH(C865,Upgrades!$B$3:$B$13,0))*1.15^(COUNTIF(C$4:C864,C865)-COUNTIF(C$4:C864,""Sell_""&amp;C865))))))"),"")</f>
        <v/>
      </c>
      <c r="H865" s="10" t="str">
        <f t="shared" si="3"/>
        <v/>
      </c>
      <c r="I865" s="68" t="str">
        <f t="shared" si="4"/>
        <v/>
      </c>
      <c r="J865" s="59" t="str">
        <f t="shared" si="5"/>
        <v/>
      </c>
      <c r="K865" s="69" t="str">
        <f t="shared" si="6"/>
        <v/>
      </c>
      <c r="L865" s="60" t="str">
        <f t="shared" si="7"/>
        <v/>
      </c>
      <c r="M865" s="61" t="str">
        <f>IFERROR(__xludf.DUMMYFUNCTION("IFS(AND(COUNTA(C865:C1350)=0,COUNTA(Q865:Q1350)=0),"""",OR(AND(K865&gt;=1000000000,OR(Y865&gt;=1000000000,COUNTA(Q865:Q1350)=0)),OR(Y865&gt;=1000000000,AND(COUNTA(C865:C1350)=0,P$3=TRUE))),
ROUNDDOWN((AB$1-AC$1)*MAX(INDEX(T$4:T1350,MATCH(LARGE(FILTER(Y$4:Y1350,Y$4"&amp;":Y1350&lt;1000000000),1),Y$4:Y1350)),INDEX(F$4:F1350,MATCH(LARGE(FILTER(K$4:K1350,K$4:K1350&lt;1000000000),1),K$4:K1350)))),AND(K865&lt;1000000000,COUNTA(C865:C1350)&gt;0,P$3=FALSE),
ROUNDDOWN(INDEX(Y$4:Y1350,MATCH(LARGE(FILTER(W$4:W1350,W$4:W1350&lt;=I865),1),W$4:W1350"&amp;"))+(I865-LARGE(FILTER(W$4:W1350,W$4:W1350&lt;=I865),1))*INDEX(T$4:T1350,MATCH(LARGE(FILTER(W$4:W1350,W$4:W1350&lt;=I865),1),W$4:W1350))-K865),1,
ROUNDDOWN(Y865-INDEX(K$4:K1350,MATCH(LARGE(FILTER(I$4:I1350,I$4:I1350&lt;=W865),1),I$4:I1350))-(W865-LARGE(FILTER(I$4:I"&amp;"1350,I$4:I1350&lt;=W865),1))*INDEX(F$4:F1350,MATCH(LARGE(FILTER(I$4:I1350,I$4:I1350&lt;=W865),1),I$4:I1350))))"),"")</f>
        <v/>
      </c>
      <c r="N865" s="60" t="str">
        <f t="shared" si="8"/>
        <v/>
      </c>
      <c r="O865" s="61" t="str">
        <f t="shared" si="9"/>
        <v/>
      </c>
      <c r="P865" s="56" t="str">
        <f t="shared" si="10"/>
        <v/>
      </c>
      <c r="Q865" s="62"/>
      <c r="R865" s="10" t="str">
        <f>IFERROR(__xludf.DUMMYFUNCTION("IF(COUNTA(Q865:Q1350)=0,"""",IF(ISBLANK(Q865),FALSE,IF(NOT(COUNTIF($AA$24:$AA$34,SUBSTITUTE(Q865,""Sell_"",""""))),1,IF(REGEXMATCH(Q865,""Sell_""),IF(COUNTIF(Q$4:Q865,SUBSTITUTE(Q865,""Sell_"",""""))-COUNTIF(Q$4:Q864,Q865)&lt;1,1),FALSE))))"),"")</f>
        <v/>
      </c>
      <c r="S865" s="59" t="str">
        <f t="array" ref="S865">IF(COUNTA(Q865:Q1350)=0,"",SUM((COUNTIF(Q$4:Q865,Upgrades!$B$3:$B$13)-COUNTIF(Q$4:Q865,"Sell_"&amp;Upgrades!$B$3:$B$13))*Upgrades!$D$3:$D$13))</f>
        <v/>
      </c>
      <c r="T865" s="66" t="str">
        <f>IFERROR(__xludf.DUMMYFUNCTION("IF(COUNTA(Q865:Q1350)=0,"""",IF(REGEXMATCH(INDEX(FILTER(Q$4:Q865,Q$4:Q865&lt;&gt;""""),ROWS(FILTER(Q$4:Q865,Q$4:Q865&lt;&gt;""""))),""^Sell_""),INDEX(FILTER(T$4:T864,Q$4:Q864&lt;&gt;""""),ROWS(FILTER(Q$4:Q864,Q$4:Q864&lt;&gt;""""))),$AD$5+S865))"),"")</f>
        <v/>
      </c>
      <c r="U865" s="10" t="str">
        <f>IFERROR(__xludf.DUMMYFUNCTION("IF(COUNTA(Q865:Q1350)=0,"""",IF(Q865="""",0,IF(REGEXMATCH(Q865,""^Sell_""),-ROUNDDOWN(ROUNDUP(INDEX(Upgrades!$C$3:$C$13,MATCH(SUBSTITUTE(Q865,""Sell_"",""""),Upgrades!$B$3:$B$13,0))*1.15^(COUNTIF(Q$4:Q864,SUBSTITUTE(Q865,""Sell_"",""""))-COUNTIF(Q$4:Q864,"&amp;"""Sell_""&amp;SUBSTITUTE(Q865,""Sell_"",""""))))/2),ROUNDUP(INDEX(Upgrades!$C$3:$C$13,MATCH(Q865,Upgrades!$B$3:$B$13,0))*1.15^(COUNTIF(Q$4:Q864,Q865)-COUNTIF(Q$4:Q864,""Sell_""&amp;Q865))))))"),"")</f>
        <v/>
      </c>
      <c r="V865" s="10" t="str">
        <f t="shared" si="11"/>
        <v/>
      </c>
      <c r="W865" s="68" t="str">
        <f t="shared" si="12"/>
        <v/>
      </c>
      <c r="X865" s="59" t="str">
        <f t="shared" si="13"/>
        <v/>
      </c>
      <c r="Y865" s="69" t="str">
        <f t="shared" si="14"/>
        <v/>
      </c>
      <c r="Z865" s="11"/>
    </row>
    <row r="866">
      <c r="A866" s="8"/>
      <c r="B866" s="56" t="str">
        <f t="shared" si="2"/>
        <v/>
      </c>
      <c r="C866" s="57"/>
      <c r="D866" s="10" t="str">
        <f>IFERROR(__xludf.DUMMYFUNCTION("IF(COUNTA(C866:C1350)=0,"""",IF(ISBLANK(C866),FALSE,IF(NOT(COUNTIF($AA$24:$AA$34,SUBSTITUTE(C866,""Sell_"",""""))),1,IF(REGEXMATCH(C866,""Sell_""),IF(COUNTIF(C$4:C866,SUBSTITUTE(C866,""Sell_"",""""))-COUNTIF(C$4:C865,C866)&lt;1,1),FALSE))))"),"")</f>
        <v/>
      </c>
      <c r="E866" s="59" t="str">
        <f t="array" ref="E866">IF(COUNTA(C866:C1350)=0,"",SUM((COUNTIF(C$4:C866,Upgrades!$B$3:$B$13)-COUNTIF(C$4:C866,"Sell_"&amp;Upgrades!$B$3:$B$13))*Upgrades!$D$3:$D$13))</f>
        <v/>
      </c>
      <c r="F866" s="66" t="str">
        <f>IFERROR(__xludf.DUMMYFUNCTION("IF(COUNTA(C866:C1350)=0,"""",IF(REGEXMATCH(INDEX(FILTER(C$4:C866,C$4:C866&lt;&gt;""""),ROWS(FILTER(C$4:C866,C$4:C866&lt;&gt;""""))),""^Sell_""),INDEX(FILTER(F$4:F865,C$4:C865&lt;&gt;""""),ROWS(FILTER(C$4:C865,C$4:C865&lt;&gt;""""))),$AC$5+E866))"),"")</f>
        <v/>
      </c>
      <c r="G866" s="10" t="str">
        <f>IFERROR(__xludf.DUMMYFUNCTION("IF(COUNTA(C866:C1350)=0,"""",IF(C866="""",0,IF(REGEXMATCH(C866,""^Sell_""),-ROUNDDOWN(ROUNDUP(INDEX(Upgrades!$C$3:$C$13,MATCH(SUBSTITUTE(C866,""Sell_"",""""),Upgrades!$B$3:$B$13,0))*1.15^(COUNTIF(C$4:C865,SUBSTITUTE(C866,""Sell_"",""""))-COUNTIF(C$4:C865,"&amp;"""Sell_""&amp;SUBSTITUTE(C866,""Sell_"",""""))))/2),ROUNDUP(INDEX(Upgrades!$C$3:$C$13,MATCH(C866,Upgrades!$B$3:$B$13,0))*1.15^(COUNTIF(C$4:C865,C866)-COUNTIF(C$4:C865,""Sell_""&amp;C866))))))"),"")</f>
        <v/>
      </c>
      <c r="H866" s="10" t="str">
        <f t="shared" si="3"/>
        <v/>
      </c>
      <c r="I866" s="68" t="str">
        <f t="shared" si="4"/>
        <v/>
      </c>
      <c r="J866" s="59" t="str">
        <f t="shared" si="5"/>
        <v/>
      </c>
      <c r="K866" s="69" t="str">
        <f t="shared" si="6"/>
        <v/>
      </c>
      <c r="L866" s="60" t="str">
        <f t="shared" si="7"/>
        <v/>
      </c>
      <c r="M866" s="61" t="str">
        <f>IFERROR(__xludf.DUMMYFUNCTION("IFS(AND(COUNTA(C866:C1350)=0,COUNTA(Q866:Q1350)=0),"""",OR(AND(K866&gt;=1000000000,OR(Y866&gt;=1000000000,COUNTA(Q866:Q1350)=0)),OR(Y866&gt;=1000000000,AND(COUNTA(C866:C1350)=0,P$3=TRUE))),
ROUNDDOWN((AB$1-AC$1)*MAX(INDEX(T$4:T1350,MATCH(LARGE(FILTER(Y$4:Y1350,Y$4"&amp;":Y1350&lt;1000000000),1),Y$4:Y1350)),INDEX(F$4:F1350,MATCH(LARGE(FILTER(K$4:K1350,K$4:K1350&lt;1000000000),1),K$4:K1350)))),AND(K866&lt;1000000000,COUNTA(C866:C1350)&gt;0,P$3=FALSE),
ROUNDDOWN(INDEX(Y$4:Y1350,MATCH(LARGE(FILTER(W$4:W1350,W$4:W1350&lt;=I866),1),W$4:W1350"&amp;"))+(I866-LARGE(FILTER(W$4:W1350,W$4:W1350&lt;=I866),1))*INDEX(T$4:T1350,MATCH(LARGE(FILTER(W$4:W1350,W$4:W1350&lt;=I866),1),W$4:W1350))-K866),1,
ROUNDDOWN(Y866-INDEX(K$4:K1350,MATCH(LARGE(FILTER(I$4:I1350,I$4:I1350&lt;=W866),1),I$4:I1350))-(W866-LARGE(FILTER(I$4:I"&amp;"1350,I$4:I1350&lt;=W866),1))*INDEX(F$4:F1350,MATCH(LARGE(FILTER(I$4:I1350,I$4:I1350&lt;=W866),1),I$4:I1350))))"),"")</f>
        <v/>
      </c>
      <c r="N866" s="60" t="str">
        <f t="shared" si="8"/>
        <v/>
      </c>
      <c r="O866" s="61" t="str">
        <f t="shared" si="9"/>
        <v/>
      </c>
      <c r="P866" s="56" t="str">
        <f t="shared" si="10"/>
        <v/>
      </c>
      <c r="Q866" s="62"/>
      <c r="R866" s="10" t="str">
        <f>IFERROR(__xludf.DUMMYFUNCTION("IF(COUNTA(Q866:Q1350)=0,"""",IF(ISBLANK(Q866),FALSE,IF(NOT(COUNTIF($AA$24:$AA$34,SUBSTITUTE(Q866,""Sell_"",""""))),1,IF(REGEXMATCH(Q866,""Sell_""),IF(COUNTIF(Q$4:Q866,SUBSTITUTE(Q866,""Sell_"",""""))-COUNTIF(Q$4:Q865,Q866)&lt;1,1),FALSE))))"),"")</f>
        <v/>
      </c>
      <c r="S866" s="59" t="str">
        <f t="array" ref="S866">IF(COUNTA(Q866:Q1350)=0,"",SUM((COUNTIF(Q$4:Q866,Upgrades!$B$3:$B$13)-COUNTIF(Q$4:Q866,"Sell_"&amp;Upgrades!$B$3:$B$13))*Upgrades!$D$3:$D$13))</f>
        <v/>
      </c>
      <c r="T866" s="66" t="str">
        <f>IFERROR(__xludf.DUMMYFUNCTION("IF(COUNTA(Q866:Q1350)=0,"""",IF(REGEXMATCH(INDEX(FILTER(Q$4:Q866,Q$4:Q866&lt;&gt;""""),ROWS(FILTER(Q$4:Q866,Q$4:Q866&lt;&gt;""""))),""^Sell_""),INDEX(FILTER(T$4:T865,Q$4:Q865&lt;&gt;""""),ROWS(FILTER(Q$4:Q865,Q$4:Q865&lt;&gt;""""))),$AD$5+S866))"),"")</f>
        <v/>
      </c>
      <c r="U866" s="10" t="str">
        <f>IFERROR(__xludf.DUMMYFUNCTION("IF(COUNTA(Q866:Q1350)=0,"""",IF(Q866="""",0,IF(REGEXMATCH(Q866,""^Sell_""),-ROUNDDOWN(ROUNDUP(INDEX(Upgrades!$C$3:$C$13,MATCH(SUBSTITUTE(Q866,""Sell_"",""""),Upgrades!$B$3:$B$13,0))*1.15^(COUNTIF(Q$4:Q865,SUBSTITUTE(Q866,""Sell_"",""""))-COUNTIF(Q$4:Q865,"&amp;"""Sell_""&amp;SUBSTITUTE(Q866,""Sell_"",""""))))/2),ROUNDUP(INDEX(Upgrades!$C$3:$C$13,MATCH(Q866,Upgrades!$B$3:$B$13,0))*1.15^(COUNTIF(Q$4:Q865,Q866)-COUNTIF(Q$4:Q865,""Sell_""&amp;Q866))))))"),"")</f>
        <v/>
      </c>
      <c r="V866" s="10" t="str">
        <f t="shared" si="11"/>
        <v/>
      </c>
      <c r="W866" s="68" t="str">
        <f t="shared" si="12"/>
        <v/>
      </c>
      <c r="X866" s="59" t="str">
        <f t="shared" si="13"/>
        <v/>
      </c>
      <c r="Y866" s="69" t="str">
        <f t="shared" si="14"/>
        <v/>
      </c>
      <c r="Z866" s="11"/>
    </row>
    <row r="867">
      <c r="A867" s="8"/>
      <c r="B867" s="56" t="str">
        <f t="shared" si="2"/>
        <v/>
      </c>
      <c r="C867" s="57"/>
      <c r="D867" s="10" t="str">
        <f>IFERROR(__xludf.DUMMYFUNCTION("IF(COUNTA(C867:C1350)=0,"""",IF(ISBLANK(C867),FALSE,IF(NOT(COUNTIF($AA$24:$AA$34,SUBSTITUTE(C867,""Sell_"",""""))),1,IF(REGEXMATCH(C867,""Sell_""),IF(COUNTIF(C$4:C867,SUBSTITUTE(C867,""Sell_"",""""))-COUNTIF(C$4:C866,C867)&lt;1,1),FALSE))))"),"")</f>
        <v/>
      </c>
      <c r="E867" s="59" t="str">
        <f t="array" ref="E867">IF(COUNTA(C867:C1350)=0,"",SUM((COUNTIF(C$4:C867,Upgrades!$B$3:$B$13)-COUNTIF(C$4:C867,"Sell_"&amp;Upgrades!$B$3:$B$13))*Upgrades!$D$3:$D$13))</f>
        <v/>
      </c>
      <c r="F867" s="66" t="str">
        <f>IFERROR(__xludf.DUMMYFUNCTION("IF(COUNTA(C867:C1350)=0,"""",IF(REGEXMATCH(INDEX(FILTER(C$4:C867,C$4:C867&lt;&gt;""""),ROWS(FILTER(C$4:C867,C$4:C867&lt;&gt;""""))),""^Sell_""),INDEX(FILTER(F$4:F866,C$4:C866&lt;&gt;""""),ROWS(FILTER(C$4:C866,C$4:C866&lt;&gt;""""))),$AC$5+E867))"),"")</f>
        <v/>
      </c>
      <c r="G867" s="10" t="str">
        <f>IFERROR(__xludf.DUMMYFUNCTION("IF(COUNTA(C867:C1350)=0,"""",IF(C867="""",0,IF(REGEXMATCH(C867,""^Sell_""),-ROUNDDOWN(ROUNDUP(INDEX(Upgrades!$C$3:$C$13,MATCH(SUBSTITUTE(C867,""Sell_"",""""),Upgrades!$B$3:$B$13,0))*1.15^(COUNTIF(C$4:C866,SUBSTITUTE(C867,""Sell_"",""""))-COUNTIF(C$4:C866,"&amp;"""Sell_""&amp;SUBSTITUTE(C867,""Sell_"",""""))))/2),ROUNDUP(INDEX(Upgrades!$C$3:$C$13,MATCH(C867,Upgrades!$B$3:$B$13,0))*1.15^(COUNTIF(C$4:C866,C867)-COUNTIF(C$4:C866,""Sell_""&amp;C867))))))"),"")</f>
        <v/>
      </c>
      <c r="H867" s="10" t="str">
        <f t="shared" si="3"/>
        <v/>
      </c>
      <c r="I867" s="68" t="str">
        <f t="shared" si="4"/>
        <v/>
      </c>
      <c r="J867" s="59" t="str">
        <f t="shared" si="5"/>
        <v/>
      </c>
      <c r="K867" s="69" t="str">
        <f t="shared" si="6"/>
        <v/>
      </c>
      <c r="L867" s="60" t="str">
        <f t="shared" si="7"/>
        <v/>
      </c>
      <c r="M867" s="61" t="str">
        <f>IFERROR(__xludf.DUMMYFUNCTION("IFS(AND(COUNTA(C867:C1350)=0,COUNTA(Q867:Q1350)=0),"""",OR(AND(K867&gt;=1000000000,OR(Y867&gt;=1000000000,COUNTA(Q867:Q1350)=0)),OR(Y867&gt;=1000000000,AND(COUNTA(C867:C1350)=0,P$3=TRUE))),
ROUNDDOWN((AB$1-AC$1)*MAX(INDEX(T$4:T1350,MATCH(LARGE(FILTER(Y$4:Y1350,Y$4"&amp;":Y1350&lt;1000000000),1),Y$4:Y1350)),INDEX(F$4:F1350,MATCH(LARGE(FILTER(K$4:K1350,K$4:K1350&lt;1000000000),1),K$4:K1350)))),AND(K867&lt;1000000000,COUNTA(C867:C1350)&gt;0,P$3=FALSE),
ROUNDDOWN(INDEX(Y$4:Y1350,MATCH(LARGE(FILTER(W$4:W1350,W$4:W1350&lt;=I867),1),W$4:W1350"&amp;"))+(I867-LARGE(FILTER(W$4:W1350,W$4:W1350&lt;=I867),1))*INDEX(T$4:T1350,MATCH(LARGE(FILTER(W$4:W1350,W$4:W1350&lt;=I867),1),W$4:W1350))-K867),1,
ROUNDDOWN(Y867-INDEX(K$4:K1350,MATCH(LARGE(FILTER(I$4:I1350,I$4:I1350&lt;=W867),1),I$4:I1350))-(W867-LARGE(FILTER(I$4:I"&amp;"1350,I$4:I1350&lt;=W867),1))*INDEX(F$4:F1350,MATCH(LARGE(FILTER(I$4:I1350,I$4:I1350&lt;=W867),1),I$4:I1350))))"),"")</f>
        <v/>
      </c>
      <c r="N867" s="60" t="str">
        <f t="shared" si="8"/>
        <v/>
      </c>
      <c r="O867" s="61" t="str">
        <f t="shared" si="9"/>
        <v/>
      </c>
      <c r="P867" s="56" t="str">
        <f t="shared" si="10"/>
        <v/>
      </c>
      <c r="Q867" s="62"/>
      <c r="R867" s="10" t="str">
        <f>IFERROR(__xludf.DUMMYFUNCTION("IF(COUNTA(Q867:Q1350)=0,"""",IF(ISBLANK(Q867),FALSE,IF(NOT(COUNTIF($AA$24:$AA$34,SUBSTITUTE(Q867,""Sell_"",""""))),1,IF(REGEXMATCH(Q867,""Sell_""),IF(COUNTIF(Q$4:Q867,SUBSTITUTE(Q867,""Sell_"",""""))-COUNTIF(Q$4:Q866,Q867)&lt;1,1),FALSE))))"),"")</f>
        <v/>
      </c>
      <c r="S867" s="59" t="str">
        <f t="array" ref="S867">IF(COUNTA(Q867:Q1350)=0,"",SUM((COUNTIF(Q$4:Q867,Upgrades!$B$3:$B$13)-COUNTIF(Q$4:Q867,"Sell_"&amp;Upgrades!$B$3:$B$13))*Upgrades!$D$3:$D$13))</f>
        <v/>
      </c>
      <c r="T867" s="66" t="str">
        <f>IFERROR(__xludf.DUMMYFUNCTION("IF(COUNTA(Q867:Q1350)=0,"""",IF(REGEXMATCH(INDEX(FILTER(Q$4:Q867,Q$4:Q867&lt;&gt;""""),ROWS(FILTER(Q$4:Q867,Q$4:Q867&lt;&gt;""""))),""^Sell_""),INDEX(FILTER(T$4:T866,Q$4:Q866&lt;&gt;""""),ROWS(FILTER(Q$4:Q866,Q$4:Q866&lt;&gt;""""))),$AD$5+S867))"),"")</f>
        <v/>
      </c>
      <c r="U867" s="10" t="str">
        <f>IFERROR(__xludf.DUMMYFUNCTION("IF(COUNTA(Q867:Q1350)=0,"""",IF(Q867="""",0,IF(REGEXMATCH(Q867,""^Sell_""),-ROUNDDOWN(ROUNDUP(INDEX(Upgrades!$C$3:$C$13,MATCH(SUBSTITUTE(Q867,""Sell_"",""""),Upgrades!$B$3:$B$13,0))*1.15^(COUNTIF(Q$4:Q866,SUBSTITUTE(Q867,""Sell_"",""""))-COUNTIF(Q$4:Q866,"&amp;"""Sell_""&amp;SUBSTITUTE(Q867,""Sell_"",""""))))/2),ROUNDUP(INDEX(Upgrades!$C$3:$C$13,MATCH(Q867,Upgrades!$B$3:$B$13,0))*1.15^(COUNTIF(Q$4:Q866,Q867)-COUNTIF(Q$4:Q866,""Sell_""&amp;Q867))))))"),"")</f>
        <v/>
      </c>
      <c r="V867" s="10" t="str">
        <f t="shared" si="11"/>
        <v/>
      </c>
      <c r="W867" s="68" t="str">
        <f t="shared" si="12"/>
        <v/>
      </c>
      <c r="X867" s="59" t="str">
        <f t="shared" si="13"/>
        <v/>
      </c>
      <c r="Y867" s="69" t="str">
        <f t="shared" si="14"/>
        <v/>
      </c>
      <c r="Z867" s="11"/>
    </row>
    <row r="868">
      <c r="A868" s="8"/>
      <c r="B868" s="56" t="str">
        <f t="shared" si="2"/>
        <v/>
      </c>
      <c r="C868" s="57"/>
      <c r="D868" s="10" t="str">
        <f>IFERROR(__xludf.DUMMYFUNCTION("IF(COUNTA(C868:C1350)=0,"""",IF(ISBLANK(C868),FALSE,IF(NOT(COUNTIF($AA$24:$AA$34,SUBSTITUTE(C868,""Sell_"",""""))),1,IF(REGEXMATCH(C868,""Sell_""),IF(COUNTIF(C$4:C868,SUBSTITUTE(C868,""Sell_"",""""))-COUNTIF(C$4:C867,C868)&lt;1,1),FALSE))))"),"")</f>
        <v/>
      </c>
      <c r="E868" s="59" t="str">
        <f t="array" ref="E868">IF(COUNTA(C868:C1350)=0,"",SUM((COUNTIF(C$4:C868,Upgrades!$B$3:$B$13)-COUNTIF(C$4:C868,"Sell_"&amp;Upgrades!$B$3:$B$13))*Upgrades!$D$3:$D$13))</f>
        <v/>
      </c>
      <c r="F868" s="66" t="str">
        <f>IFERROR(__xludf.DUMMYFUNCTION("IF(COUNTA(C868:C1350)=0,"""",IF(REGEXMATCH(INDEX(FILTER(C$4:C868,C$4:C868&lt;&gt;""""),ROWS(FILTER(C$4:C868,C$4:C868&lt;&gt;""""))),""^Sell_""),INDEX(FILTER(F$4:F867,C$4:C867&lt;&gt;""""),ROWS(FILTER(C$4:C867,C$4:C867&lt;&gt;""""))),$AC$5+E868))"),"")</f>
        <v/>
      </c>
      <c r="G868" s="10" t="str">
        <f>IFERROR(__xludf.DUMMYFUNCTION("IF(COUNTA(C868:C1350)=0,"""",IF(C868="""",0,IF(REGEXMATCH(C868,""^Sell_""),-ROUNDDOWN(ROUNDUP(INDEX(Upgrades!$C$3:$C$13,MATCH(SUBSTITUTE(C868,""Sell_"",""""),Upgrades!$B$3:$B$13,0))*1.15^(COUNTIF(C$4:C867,SUBSTITUTE(C868,""Sell_"",""""))-COUNTIF(C$4:C867,"&amp;"""Sell_""&amp;SUBSTITUTE(C868,""Sell_"",""""))))/2),ROUNDUP(INDEX(Upgrades!$C$3:$C$13,MATCH(C868,Upgrades!$B$3:$B$13,0))*1.15^(COUNTIF(C$4:C867,C868)-COUNTIF(C$4:C867,""Sell_""&amp;C868))))))"),"")</f>
        <v/>
      </c>
      <c r="H868" s="10" t="str">
        <f t="shared" si="3"/>
        <v/>
      </c>
      <c r="I868" s="68" t="str">
        <f t="shared" si="4"/>
        <v/>
      </c>
      <c r="J868" s="59" t="str">
        <f t="shared" si="5"/>
        <v/>
      </c>
      <c r="K868" s="69" t="str">
        <f t="shared" si="6"/>
        <v/>
      </c>
      <c r="L868" s="60" t="str">
        <f t="shared" si="7"/>
        <v/>
      </c>
      <c r="M868" s="61" t="str">
        <f>IFERROR(__xludf.DUMMYFUNCTION("IFS(AND(COUNTA(C868:C1350)=0,COUNTA(Q868:Q1350)=0),"""",OR(AND(K868&gt;=1000000000,OR(Y868&gt;=1000000000,COUNTA(Q868:Q1350)=0)),OR(Y868&gt;=1000000000,AND(COUNTA(C868:C1350)=0,P$3=TRUE))),
ROUNDDOWN((AB$1-AC$1)*MAX(INDEX(T$4:T1350,MATCH(LARGE(FILTER(Y$4:Y1350,Y$4"&amp;":Y1350&lt;1000000000),1),Y$4:Y1350)),INDEX(F$4:F1350,MATCH(LARGE(FILTER(K$4:K1350,K$4:K1350&lt;1000000000),1),K$4:K1350)))),AND(K868&lt;1000000000,COUNTA(C868:C1350)&gt;0,P$3=FALSE),
ROUNDDOWN(INDEX(Y$4:Y1350,MATCH(LARGE(FILTER(W$4:W1350,W$4:W1350&lt;=I868),1),W$4:W1350"&amp;"))+(I868-LARGE(FILTER(W$4:W1350,W$4:W1350&lt;=I868),1))*INDEX(T$4:T1350,MATCH(LARGE(FILTER(W$4:W1350,W$4:W1350&lt;=I868),1),W$4:W1350))-K868),1,
ROUNDDOWN(Y868-INDEX(K$4:K1350,MATCH(LARGE(FILTER(I$4:I1350,I$4:I1350&lt;=W868),1),I$4:I1350))-(W868-LARGE(FILTER(I$4:I"&amp;"1350,I$4:I1350&lt;=W868),1))*INDEX(F$4:F1350,MATCH(LARGE(FILTER(I$4:I1350,I$4:I1350&lt;=W868),1),I$4:I1350))))"),"")</f>
        <v/>
      </c>
      <c r="N868" s="60" t="str">
        <f t="shared" si="8"/>
        <v/>
      </c>
      <c r="O868" s="61" t="str">
        <f t="shared" si="9"/>
        <v/>
      </c>
      <c r="P868" s="56" t="str">
        <f t="shared" si="10"/>
        <v/>
      </c>
      <c r="Q868" s="62"/>
      <c r="R868" s="10" t="str">
        <f>IFERROR(__xludf.DUMMYFUNCTION("IF(COUNTA(Q868:Q1350)=0,"""",IF(ISBLANK(Q868),FALSE,IF(NOT(COUNTIF($AA$24:$AA$34,SUBSTITUTE(Q868,""Sell_"",""""))),1,IF(REGEXMATCH(Q868,""Sell_""),IF(COUNTIF(Q$4:Q868,SUBSTITUTE(Q868,""Sell_"",""""))-COUNTIF(Q$4:Q867,Q868)&lt;1,1),FALSE))))"),"")</f>
        <v/>
      </c>
      <c r="S868" s="59" t="str">
        <f t="array" ref="S868">IF(COUNTA(Q868:Q1350)=0,"",SUM((COUNTIF(Q$4:Q868,Upgrades!$B$3:$B$13)-COUNTIF(Q$4:Q868,"Sell_"&amp;Upgrades!$B$3:$B$13))*Upgrades!$D$3:$D$13))</f>
        <v/>
      </c>
      <c r="T868" s="66" t="str">
        <f>IFERROR(__xludf.DUMMYFUNCTION("IF(COUNTA(Q868:Q1350)=0,"""",IF(REGEXMATCH(INDEX(FILTER(Q$4:Q868,Q$4:Q868&lt;&gt;""""),ROWS(FILTER(Q$4:Q868,Q$4:Q868&lt;&gt;""""))),""^Sell_""),INDEX(FILTER(T$4:T867,Q$4:Q867&lt;&gt;""""),ROWS(FILTER(Q$4:Q867,Q$4:Q867&lt;&gt;""""))),$AD$5+S868))"),"")</f>
        <v/>
      </c>
      <c r="U868" s="10" t="str">
        <f>IFERROR(__xludf.DUMMYFUNCTION("IF(COUNTA(Q868:Q1350)=0,"""",IF(Q868="""",0,IF(REGEXMATCH(Q868,""^Sell_""),-ROUNDDOWN(ROUNDUP(INDEX(Upgrades!$C$3:$C$13,MATCH(SUBSTITUTE(Q868,""Sell_"",""""),Upgrades!$B$3:$B$13,0))*1.15^(COUNTIF(Q$4:Q867,SUBSTITUTE(Q868,""Sell_"",""""))-COUNTIF(Q$4:Q867,"&amp;"""Sell_""&amp;SUBSTITUTE(Q868,""Sell_"",""""))))/2),ROUNDUP(INDEX(Upgrades!$C$3:$C$13,MATCH(Q868,Upgrades!$B$3:$B$13,0))*1.15^(COUNTIF(Q$4:Q867,Q868)-COUNTIF(Q$4:Q867,""Sell_""&amp;Q868))))))"),"")</f>
        <v/>
      </c>
      <c r="V868" s="10" t="str">
        <f t="shared" si="11"/>
        <v/>
      </c>
      <c r="W868" s="68" t="str">
        <f t="shared" si="12"/>
        <v/>
      </c>
      <c r="X868" s="59" t="str">
        <f t="shared" si="13"/>
        <v/>
      </c>
      <c r="Y868" s="69" t="str">
        <f t="shared" si="14"/>
        <v/>
      </c>
      <c r="Z868" s="11"/>
    </row>
    <row r="869">
      <c r="A869" s="8"/>
      <c r="B869" s="56" t="str">
        <f t="shared" si="2"/>
        <v/>
      </c>
      <c r="C869" s="57"/>
      <c r="D869" s="10" t="str">
        <f>IFERROR(__xludf.DUMMYFUNCTION("IF(COUNTA(C869:C1350)=0,"""",IF(ISBLANK(C869),FALSE,IF(NOT(COUNTIF($AA$24:$AA$34,SUBSTITUTE(C869,""Sell_"",""""))),1,IF(REGEXMATCH(C869,""Sell_""),IF(COUNTIF(C$4:C869,SUBSTITUTE(C869,""Sell_"",""""))-COUNTIF(C$4:C868,C869)&lt;1,1),FALSE))))"),"")</f>
        <v/>
      </c>
      <c r="E869" s="59" t="str">
        <f t="array" ref="E869">IF(COUNTA(C869:C1350)=0,"",SUM((COUNTIF(C$4:C869,Upgrades!$B$3:$B$13)-COUNTIF(C$4:C869,"Sell_"&amp;Upgrades!$B$3:$B$13))*Upgrades!$D$3:$D$13))</f>
        <v/>
      </c>
      <c r="F869" s="66" t="str">
        <f>IFERROR(__xludf.DUMMYFUNCTION("IF(COUNTA(C869:C1350)=0,"""",IF(REGEXMATCH(INDEX(FILTER(C$4:C869,C$4:C869&lt;&gt;""""),ROWS(FILTER(C$4:C869,C$4:C869&lt;&gt;""""))),""^Sell_""),INDEX(FILTER(F$4:F868,C$4:C868&lt;&gt;""""),ROWS(FILTER(C$4:C868,C$4:C868&lt;&gt;""""))),$AC$5+E869))"),"")</f>
        <v/>
      </c>
      <c r="G869" s="10" t="str">
        <f>IFERROR(__xludf.DUMMYFUNCTION("IF(COUNTA(C869:C1350)=0,"""",IF(C869="""",0,IF(REGEXMATCH(C869,""^Sell_""),-ROUNDDOWN(ROUNDUP(INDEX(Upgrades!$C$3:$C$13,MATCH(SUBSTITUTE(C869,""Sell_"",""""),Upgrades!$B$3:$B$13,0))*1.15^(COUNTIF(C$4:C868,SUBSTITUTE(C869,""Sell_"",""""))-COUNTIF(C$4:C868,"&amp;"""Sell_""&amp;SUBSTITUTE(C869,""Sell_"",""""))))/2),ROUNDUP(INDEX(Upgrades!$C$3:$C$13,MATCH(C869,Upgrades!$B$3:$B$13,0))*1.15^(COUNTIF(C$4:C868,C869)-COUNTIF(C$4:C868,""Sell_""&amp;C869))))))"),"")</f>
        <v/>
      </c>
      <c r="H869" s="10" t="str">
        <f t="shared" si="3"/>
        <v/>
      </c>
      <c r="I869" s="68" t="str">
        <f t="shared" si="4"/>
        <v/>
      </c>
      <c r="J869" s="59" t="str">
        <f t="shared" si="5"/>
        <v/>
      </c>
      <c r="K869" s="69" t="str">
        <f t="shared" si="6"/>
        <v/>
      </c>
      <c r="L869" s="60" t="str">
        <f t="shared" si="7"/>
        <v/>
      </c>
      <c r="M869" s="61" t="str">
        <f>IFERROR(__xludf.DUMMYFUNCTION("IFS(AND(COUNTA(C869:C1350)=0,COUNTA(Q869:Q1350)=0),"""",OR(AND(K869&gt;=1000000000,OR(Y869&gt;=1000000000,COUNTA(Q869:Q1350)=0)),OR(Y869&gt;=1000000000,AND(COUNTA(C869:C1350)=0,P$3=TRUE))),
ROUNDDOWN((AB$1-AC$1)*MAX(INDEX(T$4:T1350,MATCH(LARGE(FILTER(Y$4:Y1350,Y$4"&amp;":Y1350&lt;1000000000),1),Y$4:Y1350)),INDEX(F$4:F1350,MATCH(LARGE(FILTER(K$4:K1350,K$4:K1350&lt;1000000000),1),K$4:K1350)))),AND(K869&lt;1000000000,COUNTA(C869:C1350)&gt;0,P$3=FALSE),
ROUNDDOWN(INDEX(Y$4:Y1350,MATCH(LARGE(FILTER(W$4:W1350,W$4:W1350&lt;=I869),1),W$4:W1350"&amp;"))+(I869-LARGE(FILTER(W$4:W1350,W$4:W1350&lt;=I869),1))*INDEX(T$4:T1350,MATCH(LARGE(FILTER(W$4:W1350,W$4:W1350&lt;=I869),1),W$4:W1350))-K869),1,
ROUNDDOWN(Y869-INDEX(K$4:K1350,MATCH(LARGE(FILTER(I$4:I1350,I$4:I1350&lt;=W869),1),I$4:I1350))-(W869-LARGE(FILTER(I$4:I"&amp;"1350,I$4:I1350&lt;=W869),1))*INDEX(F$4:F1350,MATCH(LARGE(FILTER(I$4:I1350,I$4:I1350&lt;=W869),1),I$4:I1350))))"),"")</f>
        <v/>
      </c>
      <c r="N869" s="60" t="str">
        <f t="shared" si="8"/>
        <v/>
      </c>
      <c r="O869" s="61" t="str">
        <f t="shared" si="9"/>
        <v/>
      </c>
      <c r="P869" s="56" t="str">
        <f t="shared" si="10"/>
        <v/>
      </c>
      <c r="Q869" s="62"/>
      <c r="R869" s="10" t="str">
        <f>IFERROR(__xludf.DUMMYFUNCTION("IF(COUNTA(Q869:Q1350)=0,"""",IF(ISBLANK(Q869),FALSE,IF(NOT(COUNTIF($AA$24:$AA$34,SUBSTITUTE(Q869,""Sell_"",""""))),1,IF(REGEXMATCH(Q869,""Sell_""),IF(COUNTIF(Q$4:Q869,SUBSTITUTE(Q869,""Sell_"",""""))-COUNTIF(Q$4:Q868,Q869)&lt;1,1),FALSE))))"),"")</f>
        <v/>
      </c>
      <c r="S869" s="59" t="str">
        <f t="array" ref="S869">IF(COUNTA(Q869:Q1350)=0,"",SUM((COUNTIF(Q$4:Q869,Upgrades!$B$3:$B$13)-COUNTIF(Q$4:Q869,"Sell_"&amp;Upgrades!$B$3:$B$13))*Upgrades!$D$3:$D$13))</f>
        <v/>
      </c>
      <c r="T869" s="66" t="str">
        <f>IFERROR(__xludf.DUMMYFUNCTION("IF(COUNTA(Q869:Q1350)=0,"""",IF(REGEXMATCH(INDEX(FILTER(Q$4:Q869,Q$4:Q869&lt;&gt;""""),ROWS(FILTER(Q$4:Q869,Q$4:Q869&lt;&gt;""""))),""^Sell_""),INDEX(FILTER(T$4:T868,Q$4:Q868&lt;&gt;""""),ROWS(FILTER(Q$4:Q868,Q$4:Q868&lt;&gt;""""))),$AD$5+S869))"),"")</f>
        <v/>
      </c>
      <c r="U869" s="10" t="str">
        <f>IFERROR(__xludf.DUMMYFUNCTION("IF(COUNTA(Q869:Q1350)=0,"""",IF(Q869="""",0,IF(REGEXMATCH(Q869,""^Sell_""),-ROUNDDOWN(ROUNDUP(INDEX(Upgrades!$C$3:$C$13,MATCH(SUBSTITUTE(Q869,""Sell_"",""""),Upgrades!$B$3:$B$13,0))*1.15^(COUNTIF(Q$4:Q868,SUBSTITUTE(Q869,""Sell_"",""""))-COUNTIF(Q$4:Q868,"&amp;"""Sell_""&amp;SUBSTITUTE(Q869,""Sell_"",""""))))/2),ROUNDUP(INDEX(Upgrades!$C$3:$C$13,MATCH(Q869,Upgrades!$B$3:$B$13,0))*1.15^(COUNTIF(Q$4:Q868,Q869)-COUNTIF(Q$4:Q868,""Sell_""&amp;Q869))))))"),"")</f>
        <v/>
      </c>
      <c r="V869" s="10" t="str">
        <f t="shared" si="11"/>
        <v/>
      </c>
      <c r="W869" s="68" t="str">
        <f t="shared" si="12"/>
        <v/>
      </c>
      <c r="X869" s="59" t="str">
        <f t="shared" si="13"/>
        <v/>
      </c>
      <c r="Y869" s="69" t="str">
        <f t="shared" si="14"/>
        <v/>
      </c>
      <c r="Z869" s="11"/>
    </row>
    <row r="870">
      <c r="A870" s="8"/>
      <c r="B870" s="56" t="str">
        <f t="shared" si="2"/>
        <v/>
      </c>
      <c r="C870" s="57"/>
      <c r="D870" s="10" t="str">
        <f>IFERROR(__xludf.DUMMYFUNCTION("IF(COUNTA(C870:C1350)=0,"""",IF(ISBLANK(C870),FALSE,IF(NOT(COUNTIF($AA$24:$AA$34,SUBSTITUTE(C870,""Sell_"",""""))),1,IF(REGEXMATCH(C870,""Sell_""),IF(COUNTIF(C$4:C870,SUBSTITUTE(C870,""Sell_"",""""))-COUNTIF(C$4:C869,C870)&lt;1,1),FALSE))))"),"")</f>
        <v/>
      </c>
      <c r="E870" s="59" t="str">
        <f t="array" ref="E870">IF(COUNTA(C870:C1350)=0,"",SUM((COUNTIF(C$4:C870,Upgrades!$B$3:$B$13)-COUNTIF(C$4:C870,"Sell_"&amp;Upgrades!$B$3:$B$13))*Upgrades!$D$3:$D$13))</f>
        <v/>
      </c>
      <c r="F870" s="66" t="str">
        <f>IFERROR(__xludf.DUMMYFUNCTION("IF(COUNTA(C870:C1350)=0,"""",IF(REGEXMATCH(INDEX(FILTER(C$4:C870,C$4:C870&lt;&gt;""""),ROWS(FILTER(C$4:C870,C$4:C870&lt;&gt;""""))),""^Sell_""),INDEX(FILTER(F$4:F869,C$4:C869&lt;&gt;""""),ROWS(FILTER(C$4:C869,C$4:C869&lt;&gt;""""))),$AC$5+E870))"),"")</f>
        <v/>
      </c>
      <c r="G870" s="10" t="str">
        <f>IFERROR(__xludf.DUMMYFUNCTION("IF(COUNTA(C870:C1350)=0,"""",IF(C870="""",0,IF(REGEXMATCH(C870,""^Sell_""),-ROUNDDOWN(ROUNDUP(INDEX(Upgrades!$C$3:$C$13,MATCH(SUBSTITUTE(C870,""Sell_"",""""),Upgrades!$B$3:$B$13,0))*1.15^(COUNTIF(C$4:C869,SUBSTITUTE(C870,""Sell_"",""""))-COUNTIF(C$4:C869,"&amp;"""Sell_""&amp;SUBSTITUTE(C870,""Sell_"",""""))))/2),ROUNDUP(INDEX(Upgrades!$C$3:$C$13,MATCH(C870,Upgrades!$B$3:$B$13,0))*1.15^(COUNTIF(C$4:C869,C870)-COUNTIF(C$4:C869,""Sell_""&amp;C870))))))"),"")</f>
        <v/>
      </c>
      <c r="H870" s="10" t="str">
        <f t="shared" si="3"/>
        <v/>
      </c>
      <c r="I870" s="68" t="str">
        <f t="shared" si="4"/>
        <v/>
      </c>
      <c r="J870" s="59" t="str">
        <f t="shared" si="5"/>
        <v/>
      </c>
      <c r="K870" s="69" t="str">
        <f t="shared" si="6"/>
        <v/>
      </c>
      <c r="L870" s="60" t="str">
        <f t="shared" si="7"/>
        <v/>
      </c>
      <c r="M870" s="61" t="str">
        <f>IFERROR(__xludf.DUMMYFUNCTION("IFS(AND(COUNTA(C870:C1350)=0,COUNTA(Q870:Q1350)=0),"""",OR(AND(K870&gt;=1000000000,OR(Y870&gt;=1000000000,COUNTA(Q870:Q1350)=0)),OR(Y870&gt;=1000000000,AND(COUNTA(C870:C1350)=0,P$3=TRUE))),
ROUNDDOWN((AB$1-AC$1)*MAX(INDEX(T$4:T1350,MATCH(LARGE(FILTER(Y$4:Y1350,Y$4"&amp;":Y1350&lt;1000000000),1),Y$4:Y1350)),INDEX(F$4:F1350,MATCH(LARGE(FILTER(K$4:K1350,K$4:K1350&lt;1000000000),1),K$4:K1350)))),AND(K870&lt;1000000000,COUNTA(C870:C1350)&gt;0,P$3=FALSE),
ROUNDDOWN(INDEX(Y$4:Y1350,MATCH(LARGE(FILTER(W$4:W1350,W$4:W1350&lt;=I870),1),W$4:W1350"&amp;"))+(I870-LARGE(FILTER(W$4:W1350,W$4:W1350&lt;=I870),1))*INDEX(T$4:T1350,MATCH(LARGE(FILTER(W$4:W1350,W$4:W1350&lt;=I870),1),W$4:W1350))-K870),1,
ROUNDDOWN(Y870-INDEX(K$4:K1350,MATCH(LARGE(FILTER(I$4:I1350,I$4:I1350&lt;=W870),1),I$4:I1350))-(W870-LARGE(FILTER(I$4:I"&amp;"1350,I$4:I1350&lt;=W870),1))*INDEX(F$4:F1350,MATCH(LARGE(FILTER(I$4:I1350,I$4:I1350&lt;=W870),1),I$4:I1350))))"),"")</f>
        <v/>
      </c>
      <c r="N870" s="60" t="str">
        <f t="shared" si="8"/>
        <v/>
      </c>
      <c r="O870" s="61" t="str">
        <f t="shared" si="9"/>
        <v/>
      </c>
      <c r="P870" s="56" t="str">
        <f t="shared" si="10"/>
        <v/>
      </c>
      <c r="Q870" s="62"/>
      <c r="R870" s="10" t="str">
        <f>IFERROR(__xludf.DUMMYFUNCTION("IF(COUNTA(Q870:Q1350)=0,"""",IF(ISBLANK(Q870),FALSE,IF(NOT(COUNTIF($AA$24:$AA$34,SUBSTITUTE(Q870,""Sell_"",""""))),1,IF(REGEXMATCH(Q870,""Sell_""),IF(COUNTIF(Q$4:Q870,SUBSTITUTE(Q870,""Sell_"",""""))-COUNTIF(Q$4:Q869,Q870)&lt;1,1),FALSE))))"),"")</f>
        <v/>
      </c>
      <c r="S870" s="59" t="str">
        <f t="array" ref="S870">IF(COUNTA(Q870:Q1350)=0,"",SUM((COUNTIF(Q$4:Q870,Upgrades!$B$3:$B$13)-COUNTIF(Q$4:Q870,"Sell_"&amp;Upgrades!$B$3:$B$13))*Upgrades!$D$3:$D$13))</f>
        <v/>
      </c>
      <c r="T870" s="66" t="str">
        <f>IFERROR(__xludf.DUMMYFUNCTION("IF(COUNTA(Q870:Q1350)=0,"""",IF(REGEXMATCH(INDEX(FILTER(Q$4:Q870,Q$4:Q870&lt;&gt;""""),ROWS(FILTER(Q$4:Q870,Q$4:Q870&lt;&gt;""""))),""^Sell_""),INDEX(FILTER(T$4:T869,Q$4:Q869&lt;&gt;""""),ROWS(FILTER(Q$4:Q869,Q$4:Q869&lt;&gt;""""))),$AD$5+S870))"),"")</f>
        <v/>
      </c>
      <c r="U870" s="10" t="str">
        <f>IFERROR(__xludf.DUMMYFUNCTION("IF(COUNTA(Q870:Q1350)=0,"""",IF(Q870="""",0,IF(REGEXMATCH(Q870,""^Sell_""),-ROUNDDOWN(ROUNDUP(INDEX(Upgrades!$C$3:$C$13,MATCH(SUBSTITUTE(Q870,""Sell_"",""""),Upgrades!$B$3:$B$13,0))*1.15^(COUNTIF(Q$4:Q869,SUBSTITUTE(Q870,""Sell_"",""""))-COUNTIF(Q$4:Q869,"&amp;"""Sell_""&amp;SUBSTITUTE(Q870,""Sell_"",""""))))/2),ROUNDUP(INDEX(Upgrades!$C$3:$C$13,MATCH(Q870,Upgrades!$B$3:$B$13,0))*1.15^(COUNTIF(Q$4:Q869,Q870)-COUNTIF(Q$4:Q869,""Sell_""&amp;Q870))))))"),"")</f>
        <v/>
      </c>
      <c r="V870" s="10" t="str">
        <f t="shared" si="11"/>
        <v/>
      </c>
      <c r="W870" s="68" t="str">
        <f t="shared" si="12"/>
        <v/>
      </c>
      <c r="X870" s="59" t="str">
        <f t="shared" si="13"/>
        <v/>
      </c>
      <c r="Y870" s="69" t="str">
        <f t="shared" si="14"/>
        <v/>
      </c>
      <c r="Z870" s="11"/>
    </row>
    <row r="871">
      <c r="A871" s="8"/>
      <c r="B871" s="56" t="str">
        <f t="shared" si="2"/>
        <v/>
      </c>
      <c r="C871" s="57"/>
      <c r="D871" s="10" t="str">
        <f>IFERROR(__xludf.DUMMYFUNCTION("IF(COUNTA(C871:C1350)=0,"""",IF(ISBLANK(C871),FALSE,IF(NOT(COUNTIF($AA$24:$AA$34,SUBSTITUTE(C871,""Sell_"",""""))),1,IF(REGEXMATCH(C871,""Sell_""),IF(COUNTIF(C$4:C871,SUBSTITUTE(C871,""Sell_"",""""))-COUNTIF(C$4:C870,C871)&lt;1,1),FALSE))))"),"")</f>
        <v/>
      </c>
      <c r="E871" s="59" t="str">
        <f t="array" ref="E871">IF(COUNTA(C871:C1350)=0,"",SUM((COUNTIF(C$4:C871,Upgrades!$B$3:$B$13)-COUNTIF(C$4:C871,"Sell_"&amp;Upgrades!$B$3:$B$13))*Upgrades!$D$3:$D$13))</f>
        <v/>
      </c>
      <c r="F871" s="66" t="str">
        <f>IFERROR(__xludf.DUMMYFUNCTION("IF(COUNTA(C871:C1350)=0,"""",IF(REGEXMATCH(INDEX(FILTER(C$4:C871,C$4:C871&lt;&gt;""""),ROWS(FILTER(C$4:C871,C$4:C871&lt;&gt;""""))),""^Sell_""),INDEX(FILTER(F$4:F870,C$4:C870&lt;&gt;""""),ROWS(FILTER(C$4:C870,C$4:C870&lt;&gt;""""))),$AC$5+E871))"),"")</f>
        <v/>
      </c>
      <c r="G871" s="10" t="str">
        <f>IFERROR(__xludf.DUMMYFUNCTION("IF(COUNTA(C871:C1350)=0,"""",IF(C871="""",0,IF(REGEXMATCH(C871,""^Sell_""),-ROUNDDOWN(ROUNDUP(INDEX(Upgrades!$C$3:$C$13,MATCH(SUBSTITUTE(C871,""Sell_"",""""),Upgrades!$B$3:$B$13,0))*1.15^(COUNTIF(C$4:C870,SUBSTITUTE(C871,""Sell_"",""""))-COUNTIF(C$4:C870,"&amp;"""Sell_""&amp;SUBSTITUTE(C871,""Sell_"",""""))))/2),ROUNDUP(INDEX(Upgrades!$C$3:$C$13,MATCH(C871,Upgrades!$B$3:$B$13,0))*1.15^(COUNTIF(C$4:C870,C871)-COUNTIF(C$4:C870,""Sell_""&amp;C871))))))"),"")</f>
        <v/>
      </c>
      <c r="H871" s="10" t="str">
        <f t="shared" si="3"/>
        <v/>
      </c>
      <c r="I871" s="68" t="str">
        <f t="shared" si="4"/>
        <v/>
      </c>
      <c r="J871" s="59" t="str">
        <f t="shared" si="5"/>
        <v/>
      </c>
      <c r="K871" s="69" t="str">
        <f t="shared" si="6"/>
        <v/>
      </c>
      <c r="L871" s="60" t="str">
        <f t="shared" si="7"/>
        <v/>
      </c>
      <c r="M871" s="61" t="str">
        <f>IFERROR(__xludf.DUMMYFUNCTION("IFS(AND(COUNTA(C871:C1350)=0,COUNTA(Q871:Q1350)=0),"""",OR(AND(K871&gt;=1000000000,OR(Y871&gt;=1000000000,COUNTA(Q871:Q1350)=0)),OR(Y871&gt;=1000000000,AND(COUNTA(C871:C1350)=0,P$3=TRUE))),
ROUNDDOWN((AB$1-AC$1)*MAX(INDEX(T$4:T1350,MATCH(LARGE(FILTER(Y$4:Y1350,Y$4"&amp;":Y1350&lt;1000000000),1),Y$4:Y1350)),INDEX(F$4:F1350,MATCH(LARGE(FILTER(K$4:K1350,K$4:K1350&lt;1000000000),1),K$4:K1350)))),AND(K871&lt;1000000000,COUNTA(C871:C1350)&gt;0,P$3=FALSE),
ROUNDDOWN(INDEX(Y$4:Y1350,MATCH(LARGE(FILTER(W$4:W1350,W$4:W1350&lt;=I871),1),W$4:W1350"&amp;"))+(I871-LARGE(FILTER(W$4:W1350,W$4:W1350&lt;=I871),1))*INDEX(T$4:T1350,MATCH(LARGE(FILTER(W$4:W1350,W$4:W1350&lt;=I871),1),W$4:W1350))-K871),1,
ROUNDDOWN(Y871-INDEX(K$4:K1350,MATCH(LARGE(FILTER(I$4:I1350,I$4:I1350&lt;=W871),1),I$4:I1350))-(W871-LARGE(FILTER(I$4:I"&amp;"1350,I$4:I1350&lt;=W871),1))*INDEX(F$4:F1350,MATCH(LARGE(FILTER(I$4:I1350,I$4:I1350&lt;=W871),1),I$4:I1350))))"),"")</f>
        <v/>
      </c>
      <c r="N871" s="60" t="str">
        <f t="shared" si="8"/>
        <v/>
      </c>
      <c r="O871" s="61" t="str">
        <f t="shared" si="9"/>
        <v/>
      </c>
      <c r="P871" s="56" t="str">
        <f t="shared" si="10"/>
        <v/>
      </c>
      <c r="Q871" s="62"/>
      <c r="R871" s="10" t="str">
        <f>IFERROR(__xludf.DUMMYFUNCTION("IF(COUNTA(Q871:Q1350)=0,"""",IF(ISBLANK(Q871),FALSE,IF(NOT(COUNTIF($AA$24:$AA$34,SUBSTITUTE(Q871,""Sell_"",""""))),1,IF(REGEXMATCH(Q871,""Sell_""),IF(COUNTIF(Q$4:Q871,SUBSTITUTE(Q871,""Sell_"",""""))-COUNTIF(Q$4:Q870,Q871)&lt;1,1),FALSE))))"),"")</f>
        <v/>
      </c>
      <c r="S871" s="59" t="str">
        <f t="array" ref="S871">IF(COUNTA(Q871:Q1350)=0,"",SUM((COUNTIF(Q$4:Q871,Upgrades!$B$3:$B$13)-COUNTIF(Q$4:Q871,"Sell_"&amp;Upgrades!$B$3:$B$13))*Upgrades!$D$3:$D$13))</f>
        <v/>
      </c>
      <c r="T871" s="66" t="str">
        <f>IFERROR(__xludf.DUMMYFUNCTION("IF(COUNTA(Q871:Q1350)=0,"""",IF(REGEXMATCH(INDEX(FILTER(Q$4:Q871,Q$4:Q871&lt;&gt;""""),ROWS(FILTER(Q$4:Q871,Q$4:Q871&lt;&gt;""""))),""^Sell_""),INDEX(FILTER(T$4:T870,Q$4:Q870&lt;&gt;""""),ROWS(FILTER(Q$4:Q870,Q$4:Q870&lt;&gt;""""))),$AD$5+S871))"),"")</f>
        <v/>
      </c>
      <c r="U871" s="10" t="str">
        <f>IFERROR(__xludf.DUMMYFUNCTION("IF(COUNTA(Q871:Q1350)=0,"""",IF(Q871="""",0,IF(REGEXMATCH(Q871,""^Sell_""),-ROUNDDOWN(ROUNDUP(INDEX(Upgrades!$C$3:$C$13,MATCH(SUBSTITUTE(Q871,""Sell_"",""""),Upgrades!$B$3:$B$13,0))*1.15^(COUNTIF(Q$4:Q870,SUBSTITUTE(Q871,""Sell_"",""""))-COUNTIF(Q$4:Q870,"&amp;"""Sell_""&amp;SUBSTITUTE(Q871,""Sell_"",""""))))/2),ROUNDUP(INDEX(Upgrades!$C$3:$C$13,MATCH(Q871,Upgrades!$B$3:$B$13,0))*1.15^(COUNTIF(Q$4:Q870,Q871)-COUNTIF(Q$4:Q870,""Sell_""&amp;Q871))))))"),"")</f>
        <v/>
      </c>
      <c r="V871" s="10" t="str">
        <f t="shared" si="11"/>
        <v/>
      </c>
      <c r="W871" s="68" t="str">
        <f t="shared" si="12"/>
        <v/>
      </c>
      <c r="X871" s="59" t="str">
        <f t="shared" si="13"/>
        <v/>
      </c>
      <c r="Y871" s="69" t="str">
        <f t="shared" si="14"/>
        <v/>
      </c>
      <c r="Z871" s="11"/>
    </row>
    <row r="872">
      <c r="A872" s="8"/>
      <c r="B872" s="56" t="str">
        <f t="shared" si="2"/>
        <v/>
      </c>
      <c r="C872" s="57"/>
      <c r="D872" s="10" t="str">
        <f>IFERROR(__xludf.DUMMYFUNCTION("IF(COUNTA(C872:C1350)=0,"""",IF(ISBLANK(C872),FALSE,IF(NOT(COUNTIF($AA$24:$AA$34,SUBSTITUTE(C872,""Sell_"",""""))),1,IF(REGEXMATCH(C872,""Sell_""),IF(COUNTIF(C$4:C872,SUBSTITUTE(C872,""Sell_"",""""))-COUNTIF(C$4:C871,C872)&lt;1,1),FALSE))))"),"")</f>
        <v/>
      </c>
      <c r="E872" s="59" t="str">
        <f t="array" ref="E872">IF(COUNTA(C872:C1350)=0,"",SUM((COUNTIF(C$4:C872,Upgrades!$B$3:$B$13)-COUNTIF(C$4:C872,"Sell_"&amp;Upgrades!$B$3:$B$13))*Upgrades!$D$3:$D$13))</f>
        <v/>
      </c>
      <c r="F872" s="66" t="str">
        <f>IFERROR(__xludf.DUMMYFUNCTION("IF(COUNTA(C872:C1350)=0,"""",IF(REGEXMATCH(INDEX(FILTER(C$4:C872,C$4:C872&lt;&gt;""""),ROWS(FILTER(C$4:C872,C$4:C872&lt;&gt;""""))),""^Sell_""),INDEX(FILTER(F$4:F871,C$4:C871&lt;&gt;""""),ROWS(FILTER(C$4:C871,C$4:C871&lt;&gt;""""))),$AC$5+E872))"),"")</f>
        <v/>
      </c>
      <c r="G872" s="10" t="str">
        <f>IFERROR(__xludf.DUMMYFUNCTION("IF(COUNTA(C872:C1350)=0,"""",IF(C872="""",0,IF(REGEXMATCH(C872,""^Sell_""),-ROUNDDOWN(ROUNDUP(INDEX(Upgrades!$C$3:$C$13,MATCH(SUBSTITUTE(C872,""Sell_"",""""),Upgrades!$B$3:$B$13,0))*1.15^(COUNTIF(C$4:C871,SUBSTITUTE(C872,""Sell_"",""""))-COUNTIF(C$4:C871,"&amp;"""Sell_""&amp;SUBSTITUTE(C872,""Sell_"",""""))))/2),ROUNDUP(INDEX(Upgrades!$C$3:$C$13,MATCH(C872,Upgrades!$B$3:$B$13,0))*1.15^(COUNTIF(C$4:C871,C872)-COUNTIF(C$4:C871,""Sell_""&amp;C872))))))"),"")</f>
        <v/>
      </c>
      <c r="H872" s="10" t="str">
        <f t="shared" si="3"/>
        <v/>
      </c>
      <c r="I872" s="68" t="str">
        <f t="shared" si="4"/>
        <v/>
      </c>
      <c r="J872" s="59" t="str">
        <f t="shared" si="5"/>
        <v/>
      </c>
      <c r="K872" s="69" t="str">
        <f t="shared" si="6"/>
        <v/>
      </c>
      <c r="L872" s="60" t="str">
        <f t="shared" si="7"/>
        <v/>
      </c>
      <c r="M872" s="61" t="str">
        <f>IFERROR(__xludf.DUMMYFUNCTION("IFS(AND(COUNTA(C872:C1350)=0,COUNTA(Q872:Q1350)=0),"""",OR(AND(K872&gt;=1000000000,OR(Y872&gt;=1000000000,COUNTA(Q872:Q1350)=0)),OR(Y872&gt;=1000000000,AND(COUNTA(C872:C1350)=0,P$3=TRUE))),
ROUNDDOWN((AB$1-AC$1)*MAX(INDEX(T$4:T1350,MATCH(LARGE(FILTER(Y$4:Y1350,Y$4"&amp;":Y1350&lt;1000000000),1),Y$4:Y1350)),INDEX(F$4:F1350,MATCH(LARGE(FILTER(K$4:K1350,K$4:K1350&lt;1000000000),1),K$4:K1350)))),AND(K872&lt;1000000000,COUNTA(C872:C1350)&gt;0,P$3=FALSE),
ROUNDDOWN(INDEX(Y$4:Y1350,MATCH(LARGE(FILTER(W$4:W1350,W$4:W1350&lt;=I872),1),W$4:W1350"&amp;"))+(I872-LARGE(FILTER(W$4:W1350,W$4:W1350&lt;=I872),1))*INDEX(T$4:T1350,MATCH(LARGE(FILTER(W$4:W1350,W$4:W1350&lt;=I872),1),W$4:W1350))-K872),1,
ROUNDDOWN(Y872-INDEX(K$4:K1350,MATCH(LARGE(FILTER(I$4:I1350,I$4:I1350&lt;=W872),1),I$4:I1350))-(W872-LARGE(FILTER(I$4:I"&amp;"1350,I$4:I1350&lt;=W872),1))*INDEX(F$4:F1350,MATCH(LARGE(FILTER(I$4:I1350,I$4:I1350&lt;=W872),1),I$4:I1350))))"),"")</f>
        <v/>
      </c>
      <c r="N872" s="60" t="str">
        <f t="shared" si="8"/>
        <v/>
      </c>
      <c r="O872" s="61" t="str">
        <f t="shared" si="9"/>
        <v/>
      </c>
      <c r="P872" s="56" t="str">
        <f t="shared" si="10"/>
        <v/>
      </c>
      <c r="Q872" s="62"/>
      <c r="R872" s="10" t="str">
        <f>IFERROR(__xludf.DUMMYFUNCTION("IF(COUNTA(Q872:Q1350)=0,"""",IF(ISBLANK(Q872),FALSE,IF(NOT(COUNTIF($AA$24:$AA$34,SUBSTITUTE(Q872,""Sell_"",""""))),1,IF(REGEXMATCH(Q872,""Sell_""),IF(COUNTIF(Q$4:Q872,SUBSTITUTE(Q872,""Sell_"",""""))-COUNTIF(Q$4:Q871,Q872)&lt;1,1),FALSE))))"),"")</f>
        <v/>
      </c>
      <c r="S872" s="59" t="str">
        <f t="array" ref="S872">IF(COUNTA(Q872:Q1350)=0,"",SUM((COUNTIF(Q$4:Q872,Upgrades!$B$3:$B$13)-COUNTIF(Q$4:Q872,"Sell_"&amp;Upgrades!$B$3:$B$13))*Upgrades!$D$3:$D$13))</f>
        <v/>
      </c>
      <c r="T872" s="66" t="str">
        <f>IFERROR(__xludf.DUMMYFUNCTION("IF(COUNTA(Q872:Q1350)=0,"""",IF(REGEXMATCH(INDEX(FILTER(Q$4:Q872,Q$4:Q872&lt;&gt;""""),ROWS(FILTER(Q$4:Q872,Q$4:Q872&lt;&gt;""""))),""^Sell_""),INDEX(FILTER(T$4:T871,Q$4:Q871&lt;&gt;""""),ROWS(FILTER(Q$4:Q871,Q$4:Q871&lt;&gt;""""))),$AD$5+S872))"),"")</f>
        <v/>
      </c>
      <c r="U872" s="10" t="str">
        <f>IFERROR(__xludf.DUMMYFUNCTION("IF(COUNTA(Q872:Q1350)=0,"""",IF(Q872="""",0,IF(REGEXMATCH(Q872,""^Sell_""),-ROUNDDOWN(ROUNDUP(INDEX(Upgrades!$C$3:$C$13,MATCH(SUBSTITUTE(Q872,""Sell_"",""""),Upgrades!$B$3:$B$13,0))*1.15^(COUNTIF(Q$4:Q871,SUBSTITUTE(Q872,""Sell_"",""""))-COUNTIF(Q$4:Q871,"&amp;"""Sell_""&amp;SUBSTITUTE(Q872,""Sell_"",""""))))/2),ROUNDUP(INDEX(Upgrades!$C$3:$C$13,MATCH(Q872,Upgrades!$B$3:$B$13,0))*1.15^(COUNTIF(Q$4:Q871,Q872)-COUNTIF(Q$4:Q871,""Sell_""&amp;Q872))))))"),"")</f>
        <v/>
      </c>
      <c r="V872" s="10" t="str">
        <f t="shared" si="11"/>
        <v/>
      </c>
      <c r="W872" s="68" t="str">
        <f t="shared" si="12"/>
        <v/>
      </c>
      <c r="X872" s="59" t="str">
        <f t="shared" si="13"/>
        <v/>
      </c>
      <c r="Y872" s="69" t="str">
        <f t="shared" si="14"/>
        <v/>
      </c>
      <c r="Z872" s="11"/>
    </row>
    <row r="873">
      <c r="A873" s="8"/>
      <c r="B873" s="56" t="str">
        <f t="shared" si="2"/>
        <v/>
      </c>
      <c r="C873" s="57"/>
      <c r="D873" s="10" t="str">
        <f>IFERROR(__xludf.DUMMYFUNCTION("IF(COUNTA(C873:C1350)=0,"""",IF(ISBLANK(C873),FALSE,IF(NOT(COUNTIF($AA$24:$AA$34,SUBSTITUTE(C873,""Sell_"",""""))),1,IF(REGEXMATCH(C873,""Sell_""),IF(COUNTIF(C$4:C873,SUBSTITUTE(C873,""Sell_"",""""))-COUNTIF(C$4:C872,C873)&lt;1,1),FALSE))))"),"")</f>
        <v/>
      </c>
      <c r="E873" s="59" t="str">
        <f t="array" ref="E873">IF(COUNTA(C873:C1350)=0,"",SUM((COUNTIF(C$4:C873,Upgrades!$B$3:$B$13)-COUNTIF(C$4:C873,"Sell_"&amp;Upgrades!$B$3:$B$13))*Upgrades!$D$3:$D$13))</f>
        <v/>
      </c>
      <c r="F873" s="66" t="str">
        <f>IFERROR(__xludf.DUMMYFUNCTION("IF(COUNTA(C873:C1350)=0,"""",IF(REGEXMATCH(INDEX(FILTER(C$4:C873,C$4:C873&lt;&gt;""""),ROWS(FILTER(C$4:C873,C$4:C873&lt;&gt;""""))),""^Sell_""),INDEX(FILTER(F$4:F872,C$4:C872&lt;&gt;""""),ROWS(FILTER(C$4:C872,C$4:C872&lt;&gt;""""))),$AC$5+E873))"),"")</f>
        <v/>
      </c>
      <c r="G873" s="10" t="str">
        <f>IFERROR(__xludf.DUMMYFUNCTION("IF(COUNTA(C873:C1350)=0,"""",IF(C873="""",0,IF(REGEXMATCH(C873,""^Sell_""),-ROUNDDOWN(ROUNDUP(INDEX(Upgrades!$C$3:$C$13,MATCH(SUBSTITUTE(C873,""Sell_"",""""),Upgrades!$B$3:$B$13,0))*1.15^(COUNTIF(C$4:C872,SUBSTITUTE(C873,""Sell_"",""""))-COUNTIF(C$4:C872,"&amp;"""Sell_""&amp;SUBSTITUTE(C873,""Sell_"",""""))))/2),ROUNDUP(INDEX(Upgrades!$C$3:$C$13,MATCH(C873,Upgrades!$B$3:$B$13,0))*1.15^(COUNTIF(C$4:C872,C873)-COUNTIF(C$4:C872,""Sell_""&amp;C873))))))"),"")</f>
        <v/>
      </c>
      <c r="H873" s="10" t="str">
        <f t="shared" si="3"/>
        <v/>
      </c>
      <c r="I873" s="68" t="str">
        <f t="shared" si="4"/>
        <v/>
      </c>
      <c r="J873" s="59" t="str">
        <f t="shared" si="5"/>
        <v/>
      </c>
      <c r="K873" s="69" t="str">
        <f t="shared" si="6"/>
        <v/>
      </c>
      <c r="L873" s="60" t="str">
        <f t="shared" si="7"/>
        <v/>
      </c>
      <c r="M873" s="61" t="str">
        <f>IFERROR(__xludf.DUMMYFUNCTION("IFS(AND(COUNTA(C873:C1350)=0,COUNTA(Q873:Q1350)=0),"""",OR(AND(K873&gt;=1000000000,OR(Y873&gt;=1000000000,COUNTA(Q873:Q1350)=0)),OR(Y873&gt;=1000000000,AND(COUNTA(C873:C1350)=0,P$3=TRUE))),
ROUNDDOWN((AB$1-AC$1)*MAX(INDEX(T$4:T1350,MATCH(LARGE(FILTER(Y$4:Y1350,Y$4"&amp;":Y1350&lt;1000000000),1),Y$4:Y1350)),INDEX(F$4:F1350,MATCH(LARGE(FILTER(K$4:K1350,K$4:K1350&lt;1000000000),1),K$4:K1350)))),AND(K873&lt;1000000000,COUNTA(C873:C1350)&gt;0,P$3=FALSE),
ROUNDDOWN(INDEX(Y$4:Y1350,MATCH(LARGE(FILTER(W$4:W1350,W$4:W1350&lt;=I873),1),W$4:W1350"&amp;"))+(I873-LARGE(FILTER(W$4:W1350,W$4:W1350&lt;=I873),1))*INDEX(T$4:T1350,MATCH(LARGE(FILTER(W$4:W1350,W$4:W1350&lt;=I873),1),W$4:W1350))-K873),1,
ROUNDDOWN(Y873-INDEX(K$4:K1350,MATCH(LARGE(FILTER(I$4:I1350,I$4:I1350&lt;=W873),1),I$4:I1350))-(W873-LARGE(FILTER(I$4:I"&amp;"1350,I$4:I1350&lt;=W873),1))*INDEX(F$4:F1350,MATCH(LARGE(FILTER(I$4:I1350,I$4:I1350&lt;=W873),1),I$4:I1350))))"),"")</f>
        <v/>
      </c>
      <c r="N873" s="60" t="str">
        <f t="shared" si="8"/>
        <v/>
      </c>
      <c r="O873" s="61" t="str">
        <f t="shared" si="9"/>
        <v/>
      </c>
      <c r="P873" s="56" t="str">
        <f t="shared" si="10"/>
        <v/>
      </c>
      <c r="Q873" s="62"/>
      <c r="R873" s="10" t="str">
        <f>IFERROR(__xludf.DUMMYFUNCTION("IF(COUNTA(Q873:Q1350)=0,"""",IF(ISBLANK(Q873),FALSE,IF(NOT(COUNTIF($AA$24:$AA$34,SUBSTITUTE(Q873,""Sell_"",""""))),1,IF(REGEXMATCH(Q873,""Sell_""),IF(COUNTIF(Q$4:Q873,SUBSTITUTE(Q873,""Sell_"",""""))-COUNTIF(Q$4:Q872,Q873)&lt;1,1),FALSE))))"),"")</f>
        <v/>
      </c>
      <c r="S873" s="59" t="str">
        <f t="array" ref="S873">IF(COUNTA(Q873:Q1350)=0,"",SUM((COUNTIF(Q$4:Q873,Upgrades!$B$3:$B$13)-COUNTIF(Q$4:Q873,"Sell_"&amp;Upgrades!$B$3:$B$13))*Upgrades!$D$3:$D$13))</f>
        <v/>
      </c>
      <c r="T873" s="66" t="str">
        <f>IFERROR(__xludf.DUMMYFUNCTION("IF(COUNTA(Q873:Q1350)=0,"""",IF(REGEXMATCH(INDEX(FILTER(Q$4:Q873,Q$4:Q873&lt;&gt;""""),ROWS(FILTER(Q$4:Q873,Q$4:Q873&lt;&gt;""""))),""^Sell_""),INDEX(FILTER(T$4:T872,Q$4:Q872&lt;&gt;""""),ROWS(FILTER(Q$4:Q872,Q$4:Q872&lt;&gt;""""))),$AD$5+S873))"),"")</f>
        <v/>
      </c>
      <c r="U873" s="10" t="str">
        <f>IFERROR(__xludf.DUMMYFUNCTION("IF(COUNTA(Q873:Q1350)=0,"""",IF(Q873="""",0,IF(REGEXMATCH(Q873,""^Sell_""),-ROUNDDOWN(ROUNDUP(INDEX(Upgrades!$C$3:$C$13,MATCH(SUBSTITUTE(Q873,""Sell_"",""""),Upgrades!$B$3:$B$13,0))*1.15^(COUNTIF(Q$4:Q872,SUBSTITUTE(Q873,""Sell_"",""""))-COUNTIF(Q$4:Q872,"&amp;"""Sell_""&amp;SUBSTITUTE(Q873,""Sell_"",""""))))/2),ROUNDUP(INDEX(Upgrades!$C$3:$C$13,MATCH(Q873,Upgrades!$B$3:$B$13,0))*1.15^(COUNTIF(Q$4:Q872,Q873)-COUNTIF(Q$4:Q872,""Sell_""&amp;Q873))))))"),"")</f>
        <v/>
      </c>
      <c r="V873" s="10" t="str">
        <f t="shared" si="11"/>
        <v/>
      </c>
      <c r="W873" s="68" t="str">
        <f t="shared" si="12"/>
        <v/>
      </c>
      <c r="X873" s="59" t="str">
        <f t="shared" si="13"/>
        <v/>
      </c>
      <c r="Y873" s="69" t="str">
        <f t="shared" si="14"/>
        <v/>
      </c>
      <c r="Z873" s="11"/>
    </row>
    <row r="874">
      <c r="A874" s="8"/>
      <c r="B874" s="56" t="str">
        <f t="shared" si="2"/>
        <v/>
      </c>
      <c r="C874" s="57"/>
      <c r="D874" s="10" t="str">
        <f>IFERROR(__xludf.DUMMYFUNCTION("IF(COUNTA(C874:C1350)=0,"""",IF(ISBLANK(C874),FALSE,IF(NOT(COUNTIF($AA$24:$AA$34,SUBSTITUTE(C874,""Sell_"",""""))),1,IF(REGEXMATCH(C874,""Sell_""),IF(COUNTIF(C$4:C874,SUBSTITUTE(C874,""Sell_"",""""))-COUNTIF(C$4:C873,C874)&lt;1,1),FALSE))))"),"")</f>
        <v/>
      </c>
      <c r="E874" s="59" t="str">
        <f t="array" ref="E874">IF(COUNTA(C874:C1350)=0,"",SUM((COUNTIF(C$4:C874,Upgrades!$B$3:$B$13)-COUNTIF(C$4:C874,"Sell_"&amp;Upgrades!$B$3:$B$13))*Upgrades!$D$3:$D$13))</f>
        <v/>
      </c>
      <c r="F874" s="66" t="str">
        <f>IFERROR(__xludf.DUMMYFUNCTION("IF(COUNTA(C874:C1350)=0,"""",IF(REGEXMATCH(INDEX(FILTER(C$4:C874,C$4:C874&lt;&gt;""""),ROWS(FILTER(C$4:C874,C$4:C874&lt;&gt;""""))),""^Sell_""),INDEX(FILTER(F$4:F873,C$4:C873&lt;&gt;""""),ROWS(FILTER(C$4:C873,C$4:C873&lt;&gt;""""))),$AC$5+E874))"),"")</f>
        <v/>
      </c>
      <c r="G874" s="10" t="str">
        <f>IFERROR(__xludf.DUMMYFUNCTION("IF(COUNTA(C874:C1350)=0,"""",IF(C874="""",0,IF(REGEXMATCH(C874,""^Sell_""),-ROUNDDOWN(ROUNDUP(INDEX(Upgrades!$C$3:$C$13,MATCH(SUBSTITUTE(C874,""Sell_"",""""),Upgrades!$B$3:$B$13,0))*1.15^(COUNTIF(C$4:C873,SUBSTITUTE(C874,""Sell_"",""""))-COUNTIF(C$4:C873,"&amp;"""Sell_""&amp;SUBSTITUTE(C874,""Sell_"",""""))))/2),ROUNDUP(INDEX(Upgrades!$C$3:$C$13,MATCH(C874,Upgrades!$B$3:$B$13,0))*1.15^(COUNTIF(C$4:C873,C874)-COUNTIF(C$4:C873,""Sell_""&amp;C874))))))"),"")</f>
        <v/>
      </c>
      <c r="H874" s="10" t="str">
        <f t="shared" si="3"/>
        <v/>
      </c>
      <c r="I874" s="68" t="str">
        <f t="shared" si="4"/>
        <v/>
      </c>
      <c r="J874" s="59" t="str">
        <f t="shared" si="5"/>
        <v/>
      </c>
      <c r="K874" s="69" t="str">
        <f t="shared" si="6"/>
        <v/>
      </c>
      <c r="L874" s="60" t="str">
        <f t="shared" si="7"/>
        <v/>
      </c>
      <c r="M874" s="61" t="str">
        <f>IFERROR(__xludf.DUMMYFUNCTION("IFS(AND(COUNTA(C874:C1350)=0,COUNTA(Q874:Q1350)=0),"""",OR(AND(K874&gt;=1000000000,OR(Y874&gt;=1000000000,COUNTA(Q874:Q1350)=0)),OR(Y874&gt;=1000000000,AND(COUNTA(C874:C1350)=0,P$3=TRUE))),
ROUNDDOWN((AB$1-AC$1)*MAX(INDEX(T$4:T1350,MATCH(LARGE(FILTER(Y$4:Y1350,Y$4"&amp;":Y1350&lt;1000000000),1),Y$4:Y1350)),INDEX(F$4:F1350,MATCH(LARGE(FILTER(K$4:K1350,K$4:K1350&lt;1000000000),1),K$4:K1350)))),AND(K874&lt;1000000000,COUNTA(C874:C1350)&gt;0,P$3=FALSE),
ROUNDDOWN(INDEX(Y$4:Y1350,MATCH(LARGE(FILTER(W$4:W1350,W$4:W1350&lt;=I874),1),W$4:W1350"&amp;"))+(I874-LARGE(FILTER(W$4:W1350,W$4:W1350&lt;=I874),1))*INDEX(T$4:T1350,MATCH(LARGE(FILTER(W$4:W1350,W$4:W1350&lt;=I874),1),W$4:W1350))-K874),1,
ROUNDDOWN(Y874-INDEX(K$4:K1350,MATCH(LARGE(FILTER(I$4:I1350,I$4:I1350&lt;=W874),1),I$4:I1350))-(W874-LARGE(FILTER(I$4:I"&amp;"1350,I$4:I1350&lt;=W874),1))*INDEX(F$4:F1350,MATCH(LARGE(FILTER(I$4:I1350,I$4:I1350&lt;=W874),1),I$4:I1350))))"),"")</f>
        <v/>
      </c>
      <c r="N874" s="60" t="str">
        <f t="shared" si="8"/>
        <v/>
      </c>
      <c r="O874" s="61" t="str">
        <f t="shared" si="9"/>
        <v/>
      </c>
      <c r="P874" s="56" t="str">
        <f t="shared" si="10"/>
        <v/>
      </c>
      <c r="Q874" s="62"/>
      <c r="R874" s="10" t="str">
        <f>IFERROR(__xludf.DUMMYFUNCTION("IF(COUNTA(Q874:Q1350)=0,"""",IF(ISBLANK(Q874),FALSE,IF(NOT(COUNTIF($AA$24:$AA$34,SUBSTITUTE(Q874,""Sell_"",""""))),1,IF(REGEXMATCH(Q874,""Sell_""),IF(COUNTIF(Q$4:Q874,SUBSTITUTE(Q874,""Sell_"",""""))-COUNTIF(Q$4:Q873,Q874)&lt;1,1),FALSE))))"),"")</f>
        <v/>
      </c>
      <c r="S874" s="59" t="str">
        <f t="array" ref="S874">IF(COUNTA(Q874:Q1350)=0,"",SUM((COUNTIF(Q$4:Q874,Upgrades!$B$3:$B$13)-COUNTIF(Q$4:Q874,"Sell_"&amp;Upgrades!$B$3:$B$13))*Upgrades!$D$3:$D$13))</f>
        <v/>
      </c>
      <c r="T874" s="66" t="str">
        <f>IFERROR(__xludf.DUMMYFUNCTION("IF(COUNTA(Q874:Q1350)=0,"""",IF(REGEXMATCH(INDEX(FILTER(Q$4:Q874,Q$4:Q874&lt;&gt;""""),ROWS(FILTER(Q$4:Q874,Q$4:Q874&lt;&gt;""""))),""^Sell_""),INDEX(FILTER(T$4:T873,Q$4:Q873&lt;&gt;""""),ROWS(FILTER(Q$4:Q873,Q$4:Q873&lt;&gt;""""))),$AD$5+S874))"),"")</f>
        <v/>
      </c>
      <c r="U874" s="10" t="str">
        <f>IFERROR(__xludf.DUMMYFUNCTION("IF(COUNTA(Q874:Q1350)=0,"""",IF(Q874="""",0,IF(REGEXMATCH(Q874,""^Sell_""),-ROUNDDOWN(ROUNDUP(INDEX(Upgrades!$C$3:$C$13,MATCH(SUBSTITUTE(Q874,""Sell_"",""""),Upgrades!$B$3:$B$13,0))*1.15^(COUNTIF(Q$4:Q873,SUBSTITUTE(Q874,""Sell_"",""""))-COUNTIF(Q$4:Q873,"&amp;"""Sell_""&amp;SUBSTITUTE(Q874,""Sell_"",""""))))/2),ROUNDUP(INDEX(Upgrades!$C$3:$C$13,MATCH(Q874,Upgrades!$B$3:$B$13,0))*1.15^(COUNTIF(Q$4:Q873,Q874)-COUNTIF(Q$4:Q873,""Sell_""&amp;Q874))))))"),"")</f>
        <v/>
      </c>
      <c r="V874" s="10" t="str">
        <f t="shared" si="11"/>
        <v/>
      </c>
      <c r="W874" s="68" t="str">
        <f t="shared" si="12"/>
        <v/>
      </c>
      <c r="X874" s="59" t="str">
        <f t="shared" si="13"/>
        <v/>
      </c>
      <c r="Y874" s="69" t="str">
        <f t="shared" si="14"/>
        <v/>
      </c>
      <c r="Z874" s="11"/>
    </row>
    <row r="875">
      <c r="A875" s="8"/>
      <c r="B875" s="56" t="str">
        <f t="shared" si="2"/>
        <v/>
      </c>
      <c r="C875" s="57"/>
      <c r="D875" s="10" t="str">
        <f>IFERROR(__xludf.DUMMYFUNCTION("IF(COUNTA(C875:C1350)=0,"""",IF(ISBLANK(C875),FALSE,IF(NOT(COUNTIF($AA$24:$AA$34,SUBSTITUTE(C875,""Sell_"",""""))),1,IF(REGEXMATCH(C875,""Sell_""),IF(COUNTIF(C$4:C875,SUBSTITUTE(C875,""Sell_"",""""))-COUNTIF(C$4:C874,C875)&lt;1,1),FALSE))))"),"")</f>
        <v/>
      </c>
      <c r="E875" s="59" t="str">
        <f t="array" ref="E875">IF(COUNTA(C875:C1350)=0,"",SUM((COUNTIF(C$4:C875,Upgrades!$B$3:$B$13)-COUNTIF(C$4:C875,"Sell_"&amp;Upgrades!$B$3:$B$13))*Upgrades!$D$3:$D$13))</f>
        <v/>
      </c>
      <c r="F875" s="66" t="str">
        <f>IFERROR(__xludf.DUMMYFUNCTION("IF(COUNTA(C875:C1350)=0,"""",IF(REGEXMATCH(INDEX(FILTER(C$4:C875,C$4:C875&lt;&gt;""""),ROWS(FILTER(C$4:C875,C$4:C875&lt;&gt;""""))),""^Sell_""),INDEX(FILTER(F$4:F874,C$4:C874&lt;&gt;""""),ROWS(FILTER(C$4:C874,C$4:C874&lt;&gt;""""))),$AC$5+E875))"),"")</f>
        <v/>
      </c>
      <c r="G875" s="10" t="str">
        <f>IFERROR(__xludf.DUMMYFUNCTION("IF(COUNTA(C875:C1350)=0,"""",IF(C875="""",0,IF(REGEXMATCH(C875,""^Sell_""),-ROUNDDOWN(ROUNDUP(INDEX(Upgrades!$C$3:$C$13,MATCH(SUBSTITUTE(C875,""Sell_"",""""),Upgrades!$B$3:$B$13,0))*1.15^(COUNTIF(C$4:C874,SUBSTITUTE(C875,""Sell_"",""""))-COUNTIF(C$4:C874,"&amp;"""Sell_""&amp;SUBSTITUTE(C875,""Sell_"",""""))))/2),ROUNDUP(INDEX(Upgrades!$C$3:$C$13,MATCH(C875,Upgrades!$B$3:$B$13,0))*1.15^(COUNTIF(C$4:C874,C875)-COUNTIF(C$4:C874,""Sell_""&amp;C875))))))"),"")</f>
        <v/>
      </c>
      <c r="H875" s="10" t="str">
        <f t="shared" si="3"/>
        <v/>
      </c>
      <c r="I875" s="68" t="str">
        <f t="shared" si="4"/>
        <v/>
      </c>
      <c r="J875" s="59" t="str">
        <f t="shared" si="5"/>
        <v/>
      </c>
      <c r="K875" s="69" t="str">
        <f t="shared" si="6"/>
        <v/>
      </c>
      <c r="L875" s="60" t="str">
        <f t="shared" si="7"/>
        <v/>
      </c>
      <c r="M875" s="61" t="str">
        <f>IFERROR(__xludf.DUMMYFUNCTION("IFS(AND(COUNTA(C875:C1350)=0,COUNTA(Q875:Q1350)=0),"""",OR(AND(K875&gt;=1000000000,OR(Y875&gt;=1000000000,COUNTA(Q875:Q1350)=0)),OR(Y875&gt;=1000000000,AND(COUNTA(C875:C1350)=0,P$3=TRUE))),
ROUNDDOWN((AB$1-AC$1)*MAX(INDEX(T$4:T1350,MATCH(LARGE(FILTER(Y$4:Y1350,Y$4"&amp;":Y1350&lt;1000000000),1),Y$4:Y1350)),INDEX(F$4:F1350,MATCH(LARGE(FILTER(K$4:K1350,K$4:K1350&lt;1000000000),1),K$4:K1350)))),AND(K875&lt;1000000000,COUNTA(C875:C1350)&gt;0,P$3=FALSE),
ROUNDDOWN(INDEX(Y$4:Y1350,MATCH(LARGE(FILTER(W$4:W1350,W$4:W1350&lt;=I875),1),W$4:W1350"&amp;"))+(I875-LARGE(FILTER(W$4:W1350,W$4:W1350&lt;=I875),1))*INDEX(T$4:T1350,MATCH(LARGE(FILTER(W$4:W1350,W$4:W1350&lt;=I875),1),W$4:W1350))-K875),1,
ROUNDDOWN(Y875-INDEX(K$4:K1350,MATCH(LARGE(FILTER(I$4:I1350,I$4:I1350&lt;=W875),1),I$4:I1350))-(W875-LARGE(FILTER(I$4:I"&amp;"1350,I$4:I1350&lt;=W875),1))*INDEX(F$4:F1350,MATCH(LARGE(FILTER(I$4:I1350,I$4:I1350&lt;=W875),1),I$4:I1350))))"),"")</f>
        <v/>
      </c>
      <c r="N875" s="60" t="str">
        <f t="shared" si="8"/>
        <v/>
      </c>
      <c r="O875" s="61" t="str">
        <f t="shared" si="9"/>
        <v/>
      </c>
      <c r="P875" s="56" t="str">
        <f t="shared" si="10"/>
        <v/>
      </c>
      <c r="Q875" s="62"/>
      <c r="R875" s="10" t="str">
        <f>IFERROR(__xludf.DUMMYFUNCTION("IF(COUNTA(Q875:Q1350)=0,"""",IF(ISBLANK(Q875),FALSE,IF(NOT(COUNTIF($AA$24:$AA$34,SUBSTITUTE(Q875,""Sell_"",""""))),1,IF(REGEXMATCH(Q875,""Sell_""),IF(COUNTIF(Q$4:Q875,SUBSTITUTE(Q875,""Sell_"",""""))-COUNTIF(Q$4:Q874,Q875)&lt;1,1),FALSE))))"),"")</f>
        <v/>
      </c>
      <c r="S875" s="59" t="str">
        <f t="array" ref="S875">IF(COUNTA(Q875:Q1350)=0,"",SUM((COUNTIF(Q$4:Q875,Upgrades!$B$3:$B$13)-COUNTIF(Q$4:Q875,"Sell_"&amp;Upgrades!$B$3:$B$13))*Upgrades!$D$3:$D$13))</f>
        <v/>
      </c>
      <c r="T875" s="66" t="str">
        <f>IFERROR(__xludf.DUMMYFUNCTION("IF(COUNTA(Q875:Q1350)=0,"""",IF(REGEXMATCH(INDEX(FILTER(Q$4:Q875,Q$4:Q875&lt;&gt;""""),ROWS(FILTER(Q$4:Q875,Q$4:Q875&lt;&gt;""""))),""^Sell_""),INDEX(FILTER(T$4:T874,Q$4:Q874&lt;&gt;""""),ROWS(FILTER(Q$4:Q874,Q$4:Q874&lt;&gt;""""))),$AD$5+S875))"),"")</f>
        <v/>
      </c>
      <c r="U875" s="10" t="str">
        <f>IFERROR(__xludf.DUMMYFUNCTION("IF(COUNTA(Q875:Q1350)=0,"""",IF(Q875="""",0,IF(REGEXMATCH(Q875,""^Sell_""),-ROUNDDOWN(ROUNDUP(INDEX(Upgrades!$C$3:$C$13,MATCH(SUBSTITUTE(Q875,""Sell_"",""""),Upgrades!$B$3:$B$13,0))*1.15^(COUNTIF(Q$4:Q874,SUBSTITUTE(Q875,""Sell_"",""""))-COUNTIF(Q$4:Q874,"&amp;"""Sell_""&amp;SUBSTITUTE(Q875,""Sell_"",""""))))/2),ROUNDUP(INDEX(Upgrades!$C$3:$C$13,MATCH(Q875,Upgrades!$B$3:$B$13,0))*1.15^(COUNTIF(Q$4:Q874,Q875)-COUNTIF(Q$4:Q874,""Sell_""&amp;Q875))))))"),"")</f>
        <v/>
      </c>
      <c r="V875" s="10" t="str">
        <f t="shared" si="11"/>
        <v/>
      </c>
      <c r="W875" s="68" t="str">
        <f t="shared" si="12"/>
        <v/>
      </c>
      <c r="X875" s="59" t="str">
        <f t="shared" si="13"/>
        <v/>
      </c>
      <c r="Y875" s="69" t="str">
        <f t="shared" si="14"/>
        <v/>
      </c>
      <c r="Z875" s="11"/>
    </row>
    <row r="876">
      <c r="A876" s="8"/>
      <c r="B876" s="56" t="str">
        <f t="shared" si="2"/>
        <v/>
      </c>
      <c r="C876" s="57"/>
      <c r="D876" s="10" t="str">
        <f>IFERROR(__xludf.DUMMYFUNCTION("IF(COUNTA(C876:C1350)=0,"""",IF(ISBLANK(C876),FALSE,IF(NOT(COUNTIF($AA$24:$AA$34,SUBSTITUTE(C876,""Sell_"",""""))),1,IF(REGEXMATCH(C876,""Sell_""),IF(COUNTIF(C$4:C876,SUBSTITUTE(C876,""Sell_"",""""))-COUNTIF(C$4:C875,C876)&lt;1,1),FALSE))))"),"")</f>
        <v/>
      </c>
      <c r="E876" s="59" t="str">
        <f t="array" ref="E876">IF(COUNTA(C876:C1350)=0,"",SUM((COUNTIF(C$4:C876,Upgrades!$B$3:$B$13)-COUNTIF(C$4:C876,"Sell_"&amp;Upgrades!$B$3:$B$13))*Upgrades!$D$3:$D$13))</f>
        <v/>
      </c>
      <c r="F876" s="66" t="str">
        <f>IFERROR(__xludf.DUMMYFUNCTION("IF(COUNTA(C876:C1350)=0,"""",IF(REGEXMATCH(INDEX(FILTER(C$4:C876,C$4:C876&lt;&gt;""""),ROWS(FILTER(C$4:C876,C$4:C876&lt;&gt;""""))),""^Sell_""),INDEX(FILTER(F$4:F875,C$4:C875&lt;&gt;""""),ROWS(FILTER(C$4:C875,C$4:C875&lt;&gt;""""))),$AC$5+E876))"),"")</f>
        <v/>
      </c>
      <c r="G876" s="10" t="str">
        <f>IFERROR(__xludf.DUMMYFUNCTION("IF(COUNTA(C876:C1350)=0,"""",IF(C876="""",0,IF(REGEXMATCH(C876,""^Sell_""),-ROUNDDOWN(ROUNDUP(INDEX(Upgrades!$C$3:$C$13,MATCH(SUBSTITUTE(C876,""Sell_"",""""),Upgrades!$B$3:$B$13,0))*1.15^(COUNTIF(C$4:C875,SUBSTITUTE(C876,""Sell_"",""""))-COUNTIF(C$4:C875,"&amp;"""Sell_""&amp;SUBSTITUTE(C876,""Sell_"",""""))))/2),ROUNDUP(INDEX(Upgrades!$C$3:$C$13,MATCH(C876,Upgrades!$B$3:$B$13,0))*1.15^(COUNTIF(C$4:C875,C876)-COUNTIF(C$4:C875,""Sell_""&amp;C876))))))"),"")</f>
        <v/>
      </c>
      <c r="H876" s="10" t="str">
        <f t="shared" si="3"/>
        <v/>
      </c>
      <c r="I876" s="68" t="str">
        <f t="shared" si="4"/>
        <v/>
      </c>
      <c r="J876" s="59" t="str">
        <f t="shared" si="5"/>
        <v/>
      </c>
      <c r="K876" s="69" t="str">
        <f t="shared" si="6"/>
        <v/>
      </c>
      <c r="L876" s="60" t="str">
        <f t="shared" si="7"/>
        <v/>
      </c>
      <c r="M876" s="61" t="str">
        <f>IFERROR(__xludf.DUMMYFUNCTION("IFS(AND(COUNTA(C876:C1350)=0,COUNTA(Q876:Q1350)=0),"""",OR(AND(K876&gt;=1000000000,OR(Y876&gt;=1000000000,COUNTA(Q876:Q1350)=0)),OR(Y876&gt;=1000000000,AND(COUNTA(C876:C1350)=0,P$3=TRUE))),
ROUNDDOWN((AB$1-AC$1)*MAX(INDEX(T$4:T1350,MATCH(LARGE(FILTER(Y$4:Y1350,Y$4"&amp;":Y1350&lt;1000000000),1),Y$4:Y1350)),INDEX(F$4:F1350,MATCH(LARGE(FILTER(K$4:K1350,K$4:K1350&lt;1000000000),1),K$4:K1350)))),AND(K876&lt;1000000000,COUNTA(C876:C1350)&gt;0,P$3=FALSE),
ROUNDDOWN(INDEX(Y$4:Y1350,MATCH(LARGE(FILTER(W$4:W1350,W$4:W1350&lt;=I876),1),W$4:W1350"&amp;"))+(I876-LARGE(FILTER(W$4:W1350,W$4:W1350&lt;=I876),1))*INDEX(T$4:T1350,MATCH(LARGE(FILTER(W$4:W1350,W$4:W1350&lt;=I876),1),W$4:W1350))-K876),1,
ROUNDDOWN(Y876-INDEX(K$4:K1350,MATCH(LARGE(FILTER(I$4:I1350,I$4:I1350&lt;=W876),1),I$4:I1350))-(W876-LARGE(FILTER(I$4:I"&amp;"1350,I$4:I1350&lt;=W876),1))*INDEX(F$4:F1350,MATCH(LARGE(FILTER(I$4:I1350,I$4:I1350&lt;=W876),1),I$4:I1350))))"),"")</f>
        <v/>
      </c>
      <c r="N876" s="60" t="str">
        <f t="shared" si="8"/>
        <v/>
      </c>
      <c r="O876" s="61" t="str">
        <f t="shared" si="9"/>
        <v/>
      </c>
      <c r="P876" s="56" t="str">
        <f t="shared" si="10"/>
        <v/>
      </c>
      <c r="Q876" s="62"/>
      <c r="R876" s="10" t="str">
        <f>IFERROR(__xludf.DUMMYFUNCTION("IF(COUNTA(Q876:Q1350)=0,"""",IF(ISBLANK(Q876),FALSE,IF(NOT(COUNTIF($AA$24:$AA$34,SUBSTITUTE(Q876,""Sell_"",""""))),1,IF(REGEXMATCH(Q876,""Sell_""),IF(COUNTIF(Q$4:Q876,SUBSTITUTE(Q876,""Sell_"",""""))-COUNTIF(Q$4:Q875,Q876)&lt;1,1),FALSE))))"),"")</f>
        <v/>
      </c>
      <c r="S876" s="59" t="str">
        <f t="array" ref="S876">IF(COUNTA(Q876:Q1350)=0,"",SUM((COUNTIF(Q$4:Q876,Upgrades!$B$3:$B$13)-COUNTIF(Q$4:Q876,"Sell_"&amp;Upgrades!$B$3:$B$13))*Upgrades!$D$3:$D$13))</f>
        <v/>
      </c>
      <c r="T876" s="66" t="str">
        <f>IFERROR(__xludf.DUMMYFUNCTION("IF(COUNTA(Q876:Q1350)=0,"""",IF(REGEXMATCH(INDEX(FILTER(Q$4:Q876,Q$4:Q876&lt;&gt;""""),ROWS(FILTER(Q$4:Q876,Q$4:Q876&lt;&gt;""""))),""^Sell_""),INDEX(FILTER(T$4:T875,Q$4:Q875&lt;&gt;""""),ROWS(FILTER(Q$4:Q875,Q$4:Q875&lt;&gt;""""))),$AD$5+S876))"),"")</f>
        <v/>
      </c>
      <c r="U876" s="10" t="str">
        <f>IFERROR(__xludf.DUMMYFUNCTION("IF(COUNTA(Q876:Q1350)=0,"""",IF(Q876="""",0,IF(REGEXMATCH(Q876,""^Sell_""),-ROUNDDOWN(ROUNDUP(INDEX(Upgrades!$C$3:$C$13,MATCH(SUBSTITUTE(Q876,""Sell_"",""""),Upgrades!$B$3:$B$13,0))*1.15^(COUNTIF(Q$4:Q875,SUBSTITUTE(Q876,""Sell_"",""""))-COUNTIF(Q$4:Q875,"&amp;"""Sell_""&amp;SUBSTITUTE(Q876,""Sell_"",""""))))/2),ROUNDUP(INDEX(Upgrades!$C$3:$C$13,MATCH(Q876,Upgrades!$B$3:$B$13,0))*1.15^(COUNTIF(Q$4:Q875,Q876)-COUNTIF(Q$4:Q875,""Sell_""&amp;Q876))))))"),"")</f>
        <v/>
      </c>
      <c r="V876" s="10" t="str">
        <f t="shared" si="11"/>
        <v/>
      </c>
      <c r="W876" s="68" t="str">
        <f t="shared" si="12"/>
        <v/>
      </c>
      <c r="X876" s="59" t="str">
        <f t="shared" si="13"/>
        <v/>
      </c>
      <c r="Y876" s="69" t="str">
        <f t="shared" si="14"/>
        <v/>
      </c>
      <c r="Z876" s="11"/>
    </row>
    <row r="877">
      <c r="A877" s="8"/>
      <c r="B877" s="56" t="str">
        <f t="shared" si="2"/>
        <v/>
      </c>
      <c r="C877" s="57"/>
      <c r="D877" s="10" t="str">
        <f>IFERROR(__xludf.DUMMYFUNCTION("IF(COUNTA(C877:C1350)=0,"""",IF(ISBLANK(C877),FALSE,IF(NOT(COUNTIF($AA$24:$AA$34,SUBSTITUTE(C877,""Sell_"",""""))),1,IF(REGEXMATCH(C877,""Sell_""),IF(COUNTIF(C$4:C877,SUBSTITUTE(C877,""Sell_"",""""))-COUNTIF(C$4:C876,C877)&lt;1,1),FALSE))))"),"")</f>
        <v/>
      </c>
      <c r="E877" s="59" t="str">
        <f t="array" ref="E877">IF(COUNTA(C877:C1350)=0,"",SUM((COUNTIF(C$4:C877,Upgrades!$B$3:$B$13)-COUNTIF(C$4:C877,"Sell_"&amp;Upgrades!$B$3:$B$13))*Upgrades!$D$3:$D$13))</f>
        <v/>
      </c>
      <c r="F877" s="66" t="str">
        <f>IFERROR(__xludf.DUMMYFUNCTION("IF(COUNTA(C877:C1350)=0,"""",IF(REGEXMATCH(INDEX(FILTER(C$4:C877,C$4:C877&lt;&gt;""""),ROWS(FILTER(C$4:C877,C$4:C877&lt;&gt;""""))),""^Sell_""),INDEX(FILTER(F$4:F876,C$4:C876&lt;&gt;""""),ROWS(FILTER(C$4:C876,C$4:C876&lt;&gt;""""))),$AC$5+E877))"),"")</f>
        <v/>
      </c>
      <c r="G877" s="10" t="str">
        <f>IFERROR(__xludf.DUMMYFUNCTION("IF(COUNTA(C877:C1350)=0,"""",IF(C877="""",0,IF(REGEXMATCH(C877,""^Sell_""),-ROUNDDOWN(ROUNDUP(INDEX(Upgrades!$C$3:$C$13,MATCH(SUBSTITUTE(C877,""Sell_"",""""),Upgrades!$B$3:$B$13,0))*1.15^(COUNTIF(C$4:C876,SUBSTITUTE(C877,""Sell_"",""""))-COUNTIF(C$4:C876,"&amp;"""Sell_""&amp;SUBSTITUTE(C877,""Sell_"",""""))))/2),ROUNDUP(INDEX(Upgrades!$C$3:$C$13,MATCH(C877,Upgrades!$B$3:$B$13,0))*1.15^(COUNTIF(C$4:C876,C877)-COUNTIF(C$4:C876,""Sell_""&amp;C877))))))"),"")</f>
        <v/>
      </c>
      <c r="H877" s="10" t="str">
        <f t="shared" si="3"/>
        <v/>
      </c>
      <c r="I877" s="68" t="str">
        <f t="shared" si="4"/>
        <v/>
      </c>
      <c r="J877" s="59" t="str">
        <f t="shared" si="5"/>
        <v/>
      </c>
      <c r="K877" s="69" t="str">
        <f t="shared" si="6"/>
        <v/>
      </c>
      <c r="L877" s="60" t="str">
        <f t="shared" si="7"/>
        <v/>
      </c>
      <c r="M877" s="61" t="str">
        <f>IFERROR(__xludf.DUMMYFUNCTION("IFS(AND(COUNTA(C877:C1350)=0,COUNTA(Q877:Q1350)=0),"""",OR(AND(K877&gt;=1000000000,OR(Y877&gt;=1000000000,COUNTA(Q877:Q1350)=0)),OR(Y877&gt;=1000000000,AND(COUNTA(C877:C1350)=0,P$3=TRUE))),
ROUNDDOWN((AB$1-AC$1)*MAX(INDEX(T$4:T1350,MATCH(LARGE(FILTER(Y$4:Y1350,Y$4"&amp;":Y1350&lt;1000000000),1),Y$4:Y1350)),INDEX(F$4:F1350,MATCH(LARGE(FILTER(K$4:K1350,K$4:K1350&lt;1000000000),1),K$4:K1350)))),AND(K877&lt;1000000000,COUNTA(C877:C1350)&gt;0,P$3=FALSE),
ROUNDDOWN(INDEX(Y$4:Y1350,MATCH(LARGE(FILTER(W$4:W1350,W$4:W1350&lt;=I877),1),W$4:W1350"&amp;"))+(I877-LARGE(FILTER(W$4:W1350,W$4:W1350&lt;=I877),1))*INDEX(T$4:T1350,MATCH(LARGE(FILTER(W$4:W1350,W$4:W1350&lt;=I877),1),W$4:W1350))-K877),1,
ROUNDDOWN(Y877-INDEX(K$4:K1350,MATCH(LARGE(FILTER(I$4:I1350,I$4:I1350&lt;=W877),1),I$4:I1350))-(W877-LARGE(FILTER(I$4:I"&amp;"1350,I$4:I1350&lt;=W877),1))*INDEX(F$4:F1350,MATCH(LARGE(FILTER(I$4:I1350,I$4:I1350&lt;=W877),1),I$4:I1350))))"),"")</f>
        <v/>
      </c>
      <c r="N877" s="60" t="str">
        <f t="shared" si="8"/>
        <v/>
      </c>
      <c r="O877" s="61" t="str">
        <f t="shared" si="9"/>
        <v/>
      </c>
      <c r="P877" s="56" t="str">
        <f t="shared" si="10"/>
        <v/>
      </c>
      <c r="Q877" s="62"/>
      <c r="R877" s="10" t="str">
        <f>IFERROR(__xludf.DUMMYFUNCTION("IF(COUNTA(Q877:Q1350)=0,"""",IF(ISBLANK(Q877),FALSE,IF(NOT(COUNTIF($AA$24:$AA$34,SUBSTITUTE(Q877,""Sell_"",""""))),1,IF(REGEXMATCH(Q877,""Sell_""),IF(COUNTIF(Q$4:Q877,SUBSTITUTE(Q877,""Sell_"",""""))-COUNTIF(Q$4:Q876,Q877)&lt;1,1),FALSE))))"),"")</f>
        <v/>
      </c>
      <c r="S877" s="59" t="str">
        <f t="array" ref="S877">IF(COUNTA(Q877:Q1350)=0,"",SUM((COUNTIF(Q$4:Q877,Upgrades!$B$3:$B$13)-COUNTIF(Q$4:Q877,"Sell_"&amp;Upgrades!$B$3:$B$13))*Upgrades!$D$3:$D$13))</f>
        <v/>
      </c>
      <c r="T877" s="66" t="str">
        <f>IFERROR(__xludf.DUMMYFUNCTION("IF(COUNTA(Q877:Q1350)=0,"""",IF(REGEXMATCH(INDEX(FILTER(Q$4:Q877,Q$4:Q877&lt;&gt;""""),ROWS(FILTER(Q$4:Q877,Q$4:Q877&lt;&gt;""""))),""^Sell_""),INDEX(FILTER(T$4:T876,Q$4:Q876&lt;&gt;""""),ROWS(FILTER(Q$4:Q876,Q$4:Q876&lt;&gt;""""))),$AD$5+S877))"),"")</f>
        <v/>
      </c>
      <c r="U877" s="10" t="str">
        <f>IFERROR(__xludf.DUMMYFUNCTION("IF(COUNTA(Q877:Q1350)=0,"""",IF(Q877="""",0,IF(REGEXMATCH(Q877,""^Sell_""),-ROUNDDOWN(ROUNDUP(INDEX(Upgrades!$C$3:$C$13,MATCH(SUBSTITUTE(Q877,""Sell_"",""""),Upgrades!$B$3:$B$13,0))*1.15^(COUNTIF(Q$4:Q876,SUBSTITUTE(Q877,""Sell_"",""""))-COUNTIF(Q$4:Q876,"&amp;"""Sell_""&amp;SUBSTITUTE(Q877,""Sell_"",""""))))/2),ROUNDUP(INDEX(Upgrades!$C$3:$C$13,MATCH(Q877,Upgrades!$B$3:$B$13,0))*1.15^(COUNTIF(Q$4:Q876,Q877)-COUNTIF(Q$4:Q876,""Sell_""&amp;Q877))))))"),"")</f>
        <v/>
      </c>
      <c r="V877" s="10" t="str">
        <f t="shared" si="11"/>
        <v/>
      </c>
      <c r="W877" s="68" t="str">
        <f t="shared" si="12"/>
        <v/>
      </c>
      <c r="X877" s="59" t="str">
        <f t="shared" si="13"/>
        <v/>
      </c>
      <c r="Y877" s="69" t="str">
        <f t="shared" si="14"/>
        <v/>
      </c>
      <c r="Z877" s="11"/>
    </row>
    <row r="878">
      <c r="A878" s="8"/>
      <c r="B878" s="56" t="str">
        <f t="shared" si="2"/>
        <v/>
      </c>
      <c r="C878" s="57"/>
      <c r="D878" s="10" t="str">
        <f>IFERROR(__xludf.DUMMYFUNCTION("IF(COUNTA(C878:C1350)=0,"""",IF(ISBLANK(C878),FALSE,IF(NOT(COUNTIF($AA$24:$AA$34,SUBSTITUTE(C878,""Sell_"",""""))),1,IF(REGEXMATCH(C878,""Sell_""),IF(COUNTIF(C$4:C878,SUBSTITUTE(C878,""Sell_"",""""))-COUNTIF(C$4:C877,C878)&lt;1,1),FALSE))))"),"")</f>
        <v/>
      </c>
      <c r="E878" s="59" t="str">
        <f t="array" ref="E878">IF(COUNTA(C878:C1350)=0,"",SUM((COUNTIF(C$4:C878,Upgrades!$B$3:$B$13)-COUNTIF(C$4:C878,"Sell_"&amp;Upgrades!$B$3:$B$13))*Upgrades!$D$3:$D$13))</f>
        <v/>
      </c>
      <c r="F878" s="66" t="str">
        <f>IFERROR(__xludf.DUMMYFUNCTION("IF(COUNTA(C878:C1350)=0,"""",IF(REGEXMATCH(INDEX(FILTER(C$4:C878,C$4:C878&lt;&gt;""""),ROWS(FILTER(C$4:C878,C$4:C878&lt;&gt;""""))),""^Sell_""),INDEX(FILTER(F$4:F877,C$4:C877&lt;&gt;""""),ROWS(FILTER(C$4:C877,C$4:C877&lt;&gt;""""))),$AC$5+E878))"),"")</f>
        <v/>
      </c>
      <c r="G878" s="10" t="str">
        <f>IFERROR(__xludf.DUMMYFUNCTION("IF(COUNTA(C878:C1350)=0,"""",IF(C878="""",0,IF(REGEXMATCH(C878,""^Sell_""),-ROUNDDOWN(ROUNDUP(INDEX(Upgrades!$C$3:$C$13,MATCH(SUBSTITUTE(C878,""Sell_"",""""),Upgrades!$B$3:$B$13,0))*1.15^(COUNTIF(C$4:C877,SUBSTITUTE(C878,""Sell_"",""""))-COUNTIF(C$4:C877,"&amp;"""Sell_""&amp;SUBSTITUTE(C878,""Sell_"",""""))))/2),ROUNDUP(INDEX(Upgrades!$C$3:$C$13,MATCH(C878,Upgrades!$B$3:$B$13,0))*1.15^(COUNTIF(C$4:C877,C878)-COUNTIF(C$4:C877,""Sell_""&amp;C878))))))"),"")</f>
        <v/>
      </c>
      <c r="H878" s="10" t="str">
        <f t="shared" si="3"/>
        <v/>
      </c>
      <c r="I878" s="68" t="str">
        <f t="shared" si="4"/>
        <v/>
      </c>
      <c r="J878" s="59" t="str">
        <f t="shared" si="5"/>
        <v/>
      </c>
      <c r="K878" s="69" t="str">
        <f t="shared" si="6"/>
        <v/>
      </c>
      <c r="L878" s="60" t="str">
        <f t="shared" si="7"/>
        <v/>
      </c>
      <c r="M878" s="61" t="str">
        <f>IFERROR(__xludf.DUMMYFUNCTION("IFS(AND(COUNTA(C878:C1350)=0,COUNTA(Q878:Q1350)=0),"""",OR(AND(K878&gt;=1000000000,OR(Y878&gt;=1000000000,COUNTA(Q878:Q1350)=0)),OR(Y878&gt;=1000000000,AND(COUNTA(C878:C1350)=0,P$3=TRUE))),
ROUNDDOWN((AB$1-AC$1)*MAX(INDEX(T$4:T1350,MATCH(LARGE(FILTER(Y$4:Y1350,Y$4"&amp;":Y1350&lt;1000000000),1),Y$4:Y1350)),INDEX(F$4:F1350,MATCH(LARGE(FILTER(K$4:K1350,K$4:K1350&lt;1000000000),1),K$4:K1350)))),AND(K878&lt;1000000000,COUNTA(C878:C1350)&gt;0,P$3=FALSE),
ROUNDDOWN(INDEX(Y$4:Y1350,MATCH(LARGE(FILTER(W$4:W1350,W$4:W1350&lt;=I878),1),W$4:W1350"&amp;"))+(I878-LARGE(FILTER(W$4:W1350,W$4:W1350&lt;=I878),1))*INDEX(T$4:T1350,MATCH(LARGE(FILTER(W$4:W1350,W$4:W1350&lt;=I878),1),W$4:W1350))-K878),1,
ROUNDDOWN(Y878-INDEX(K$4:K1350,MATCH(LARGE(FILTER(I$4:I1350,I$4:I1350&lt;=W878),1),I$4:I1350))-(W878-LARGE(FILTER(I$4:I"&amp;"1350,I$4:I1350&lt;=W878),1))*INDEX(F$4:F1350,MATCH(LARGE(FILTER(I$4:I1350,I$4:I1350&lt;=W878),1),I$4:I1350))))"),"")</f>
        <v/>
      </c>
      <c r="N878" s="60" t="str">
        <f t="shared" si="8"/>
        <v/>
      </c>
      <c r="O878" s="61" t="str">
        <f t="shared" si="9"/>
        <v/>
      </c>
      <c r="P878" s="56" t="str">
        <f t="shared" si="10"/>
        <v/>
      </c>
      <c r="Q878" s="62"/>
      <c r="R878" s="10" t="str">
        <f>IFERROR(__xludf.DUMMYFUNCTION("IF(COUNTA(Q878:Q1350)=0,"""",IF(ISBLANK(Q878),FALSE,IF(NOT(COUNTIF($AA$24:$AA$34,SUBSTITUTE(Q878,""Sell_"",""""))),1,IF(REGEXMATCH(Q878,""Sell_""),IF(COUNTIF(Q$4:Q878,SUBSTITUTE(Q878,""Sell_"",""""))-COUNTIF(Q$4:Q877,Q878)&lt;1,1),FALSE))))"),"")</f>
        <v/>
      </c>
      <c r="S878" s="59" t="str">
        <f t="array" ref="S878">IF(COUNTA(Q878:Q1350)=0,"",SUM((COUNTIF(Q$4:Q878,Upgrades!$B$3:$B$13)-COUNTIF(Q$4:Q878,"Sell_"&amp;Upgrades!$B$3:$B$13))*Upgrades!$D$3:$D$13))</f>
        <v/>
      </c>
      <c r="T878" s="66" t="str">
        <f>IFERROR(__xludf.DUMMYFUNCTION("IF(COUNTA(Q878:Q1350)=0,"""",IF(REGEXMATCH(INDEX(FILTER(Q$4:Q878,Q$4:Q878&lt;&gt;""""),ROWS(FILTER(Q$4:Q878,Q$4:Q878&lt;&gt;""""))),""^Sell_""),INDEX(FILTER(T$4:T877,Q$4:Q877&lt;&gt;""""),ROWS(FILTER(Q$4:Q877,Q$4:Q877&lt;&gt;""""))),$AD$5+S878))"),"")</f>
        <v/>
      </c>
      <c r="U878" s="10" t="str">
        <f>IFERROR(__xludf.DUMMYFUNCTION("IF(COUNTA(Q878:Q1350)=0,"""",IF(Q878="""",0,IF(REGEXMATCH(Q878,""^Sell_""),-ROUNDDOWN(ROUNDUP(INDEX(Upgrades!$C$3:$C$13,MATCH(SUBSTITUTE(Q878,""Sell_"",""""),Upgrades!$B$3:$B$13,0))*1.15^(COUNTIF(Q$4:Q877,SUBSTITUTE(Q878,""Sell_"",""""))-COUNTIF(Q$4:Q877,"&amp;"""Sell_""&amp;SUBSTITUTE(Q878,""Sell_"",""""))))/2),ROUNDUP(INDEX(Upgrades!$C$3:$C$13,MATCH(Q878,Upgrades!$B$3:$B$13,0))*1.15^(COUNTIF(Q$4:Q877,Q878)-COUNTIF(Q$4:Q877,""Sell_""&amp;Q878))))))"),"")</f>
        <v/>
      </c>
      <c r="V878" s="10" t="str">
        <f t="shared" si="11"/>
        <v/>
      </c>
      <c r="W878" s="68" t="str">
        <f t="shared" si="12"/>
        <v/>
      </c>
      <c r="X878" s="59" t="str">
        <f t="shared" si="13"/>
        <v/>
      </c>
      <c r="Y878" s="69" t="str">
        <f t="shared" si="14"/>
        <v/>
      </c>
      <c r="Z878" s="11"/>
    </row>
    <row r="879">
      <c r="A879" s="8"/>
      <c r="B879" s="56" t="str">
        <f t="shared" si="2"/>
        <v/>
      </c>
      <c r="C879" s="57"/>
      <c r="D879" s="10" t="str">
        <f>IFERROR(__xludf.DUMMYFUNCTION("IF(COUNTA(C879:C1350)=0,"""",IF(ISBLANK(C879),FALSE,IF(NOT(COUNTIF($AA$24:$AA$34,SUBSTITUTE(C879,""Sell_"",""""))),1,IF(REGEXMATCH(C879,""Sell_""),IF(COUNTIF(C$4:C879,SUBSTITUTE(C879,""Sell_"",""""))-COUNTIF(C$4:C878,C879)&lt;1,1),FALSE))))"),"")</f>
        <v/>
      </c>
      <c r="E879" s="59" t="str">
        <f t="array" ref="E879">IF(COUNTA(C879:C1350)=0,"",SUM((COUNTIF(C$4:C879,Upgrades!$B$3:$B$13)-COUNTIF(C$4:C879,"Sell_"&amp;Upgrades!$B$3:$B$13))*Upgrades!$D$3:$D$13))</f>
        <v/>
      </c>
      <c r="F879" s="66" t="str">
        <f>IFERROR(__xludf.DUMMYFUNCTION("IF(COUNTA(C879:C1350)=0,"""",IF(REGEXMATCH(INDEX(FILTER(C$4:C879,C$4:C879&lt;&gt;""""),ROWS(FILTER(C$4:C879,C$4:C879&lt;&gt;""""))),""^Sell_""),INDEX(FILTER(F$4:F878,C$4:C878&lt;&gt;""""),ROWS(FILTER(C$4:C878,C$4:C878&lt;&gt;""""))),$AC$5+E879))"),"")</f>
        <v/>
      </c>
      <c r="G879" s="10" t="str">
        <f>IFERROR(__xludf.DUMMYFUNCTION("IF(COUNTA(C879:C1350)=0,"""",IF(C879="""",0,IF(REGEXMATCH(C879,""^Sell_""),-ROUNDDOWN(ROUNDUP(INDEX(Upgrades!$C$3:$C$13,MATCH(SUBSTITUTE(C879,""Sell_"",""""),Upgrades!$B$3:$B$13,0))*1.15^(COUNTIF(C$4:C878,SUBSTITUTE(C879,""Sell_"",""""))-COUNTIF(C$4:C878,"&amp;"""Sell_""&amp;SUBSTITUTE(C879,""Sell_"",""""))))/2),ROUNDUP(INDEX(Upgrades!$C$3:$C$13,MATCH(C879,Upgrades!$B$3:$B$13,0))*1.15^(COUNTIF(C$4:C878,C879)-COUNTIF(C$4:C878,""Sell_""&amp;C879))))))"),"")</f>
        <v/>
      </c>
      <c r="H879" s="10" t="str">
        <f t="shared" si="3"/>
        <v/>
      </c>
      <c r="I879" s="68" t="str">
        <f t="shared" si="4"/>
        <v/>
      </c>
      <c r="J879" s="59" t="str">
        <f t="shared" si="5"/>
        <v/>
      </c>
      <c r="K879" s="69" t="str">
        <f t="shared" si="6"/>
        <v/>
      </c>
      <c r="L879" s="60" t="str">
        <f t="shared" si="7"/>
        <v/>
      </c>
      <c r="M879" s="61" t="str">
        <f>IFERROR(__xludf.DUMMYFUNCTION("IFS(AND(COUNTA(C879:C1350)=0,COUNTA(Q879:Q1350)=0),"""",OR(AND(K879&gt;=1000000000,OR(Y879&gt;=1000000000,COUNTA(Q879:Q1350)=0)),OR(Y879&gt;=1000000000,AND(COUNTA(C879:C1350)=0,P$3=TRUE))),
ROUNDDOWN((AB$1-AC$1)*MAX(INDEX(T$4:T1350,MATCH(LARGE(FILTER(Y$4:Y1350,Y$4"&amp;":Y1350&lt;1000000000),1),Y$4:Y1350)),INDEX(F$4:F1350,MATCH(LARGE(FILTER(K$4:K1350,K$4:K1350&lt;1000000000),1),K$4:K1350)))),AND(K879&lt;1000000000,COUNTA(C879:C1350)&gt;0,P$3=FALSE),
ROUNDDOWN(INDEX(Y$4:Y1350,MATCH(LARGE(FILTER(W$4:W1350,W$4:W1350&lt;=I879),1),W$4:W1350"&amp;"))+(I879-LARGE(FILTER(W$4:W1350,W$4:W1350&lt;=I879),1))*INDEX(T$4:T1350,MATCH(LARGE(FILTER(W$4:W1350,W$4:W1350&lt;=I879),1),W$4:W1350))-K879),1,
ROUNDDOWN(Y879-INDEX(K$4:K1350,MATCH(LARGE(FILTER(I$4:I1350,I$4:I1350&lt;=W879),1),I$4:I1350))-(W879-LARGE(FILTER(I$4:I"&amp;"1350,I$4:I1350&lt;=W879),1))*INDEX(F$4:F1350,MATCH(LARGE(FILTER(I$4:I1350,I$4:I1350&lt;=W879),1),I$4:I1350))))"),"")</f>
        <v/>
      </c>
      <c r="N879" s="60" t="str">
        <f t="shared" si="8"/>
        <v/>
      </c>
      <c r="O879" s="61" t="str">
        <f t="shared" si="9"/>
        <v/>
      </c>
      <c r="P879" s="56" t="str">
        <f t="shared" si="10"/>
        <v/>
      </c>
      <c r="Q879" s="62"/>
      <c r="R879" s="10" t="str">
        <f>IFERROR(__xludf.DUMMYFUNCTION("IF(COUNTA(Q879:Q1350)=0,"""",IF(ISBLANK(Q879),FALSE,IF(NOT(COUNTIF($AA$24:$AA$34,SUBSTITUTE(Q879,""Sell_"",""""))),1,IF(REGEXMATCH(Q879,""Sell_""),IF(COUNTIF(Q$4:Q879,SUBSTITUTE(Q879,""Sell_"",""""))-COUNTIF(Q$4:Q878,Q879)&lt;1,1),FALSE))))"),"")</f>
        <v/>
      </c>
      <c r="S879" s="59" t="str">
        <f t="array" ref="S879">IF(COUNTA(Q879:Q1350)=0,"",SUM((COUNTIF(Q$4:Q879,Upgrades!$B$3:$B$13)-COUNTIF(Q$4:Q879,"Sell_"&amp;Upgrades!$B$3:$B$13))*Upgrades!$D$3:$D$13))</f>
        <v/>
      </c>
      <c r="T879" s="66" t="str">
        <f>IFERROR(__xludf.DUMMYFUNCTION("IF(COUNTA(Q879:Q1350)=0,"""",IF(REGEXMATCH(INDEX(FILTER(Q$4:Q879,Q$4:Q879&lt;&gt;""""),ROWS(FILTER(Q$4:Q879,Q$4:Q879&lt;&gt;""""))),""^Sell_""),INDEX(FILTER(T$4:T878,Q$4:Q878&lt;&gt;""""),ROWS(FILTER(Q$4:Q878,Q$4:Q878&lt;&gt;""""))),$AD$5+S879))"),"")</f>
        <v/>
      </c>
      <c r="U879" s="10" t="str">
        <f>IFERROR(__xludf.DUMMYFUNCTION("IF(COUNTA(Q879:Q1350)=0,"""",IF(Q879="""",0,IF(REGEXMATCH(Q879,""^Sell_""),-ROUNDDOWN(ROUNDUP(INDEX(Upgrades!$C$3:$C$13,MATCH(SUBSTITUTE(Q879,""Sell_"",""""),Upgrades!$B$3:$B$13,0))*1.15^(COUNTIF(Q$4:Q878,SUBSTITUTE(Q879,""Sell_"",""""))-COUNTIF(Q$4:Q878,"&amp;"""Sell_""&amp;SUBSTITUTE(Q879,""Sell_"",""""))))/2),ROUNDUP(INDEX(Upgrades!$C$3:$C$13,MATCH(Q879,Upgrades!$B$3:$B$13,0))*1.15^(COUNTIF(Q$4:Q878,Q879)-COUNTIF(Q$4:Q878,""Sell_""&amp;Q879))))))"),"")</f>
        <v/>
      </c>
      <c r="V879" s="10" t="str">
        <f t="shared" si="11"/>
        <v/>
      </c>
      <c r="W879" s="68" t="str">
        <f t="shared" si="12"/>
        <v/>
      </c>
      <c r="X879" s="59" t="str">
        <f t="shared" si="13"/>
        <v/>
      </c>
      <c r="Y879" s="69" t="str">
        <f t="shared" si="14"/>
        <v/>
      </c>
      <c r="Z879" s="11"/>
    </row>
    <row r="880">
      <c r="A880" s="8"/>
      <c r="B880" s="56" t="str">
        <f t="shared" si="2"/>
        <v/>
      </c>
      <c r="C880" s="57"/>
      <c r="D880" s="10" t="str">
        <f>IFERROR(__xludf.DUMMYFUNCTION("IF(COUNTA(C880:C1350)=0,"""",IF(ISBLANK(C880),FALSE,IF(NOT(COUNTIF($AA$24:$AA$34,SUBSTITUTE(C880,""Sell_"",""""))),1,IF(REGEXMATCH(C880,""Sell_""),IF(COUNTIF(C$4:C880,SUBSTITUTE(C880,""Sell_"",""""))-COUNTIF(C$4:C879,C880)&lt;1,1),FALSE))))"),"")</f>
        <v/>
      </c>
      <c r="E880" s="59" t="str">
        <f t="array" ref="E880">IF(COUNTA(C880:C1350)=0,"",SUM((COUNTIF(C$4:C880,Upgrades!$B$3:$B$13)-COUNTIF(C$4:C880,"Sell_"&amp;Upgrades!$B$3:$B$13))*Upgrades!$D$3:$D$13))</f>
        <v/>
      </c>
      <c r="F880" s="66" t="str">
        <f>IFERROR(__xludf.DUMMYFUNCTION("IF(COUNTA(C880:C1350)=0,"""",IF(REGEXMATCH(INDEX(FILTER(C$4:C880,C$4:C880&lt;&gt;""""),ROWS(FILTER(C$4:C880,C$4:C880&lt;&gt;""""))),""^Sell_""),INDEX(FILTER(F$4:F879,C$4:C879&lt;&gt;""""),ROWS(FILTER(C$4:C879,C$4:C879&lt;&gt;""""))),$AC$5+E880))"),"")</f>
        <v/>
      </c>
      <c r="G880" s="10" t="str">
        <f>IFERROR(__xludf.DUMMYFUNCTION("IF(COUNTA(C880:C1350)=0,"""",IF(C880="""",0,IF(REGEXMATCH(C880,""^Sell_""),-ROUNDDOWN(ROUNDUP(INDEX(Upgrades!$C$3:$C$13,MATCH(SUBSTITUTE(C880,""Sell_"",""""),Upgrades!$B$3:$B$13,0))*1.15^(COUNTIF(C$4:C879,SUBSTITUTE(C880,""Sell_"",""""))-COUNTIF(C$4:C879,"&amp;"""Sell_""&amp;SUBSTITUTE(C880,""Sell_"",""""))))/2),ROUNDUP(INDEX(Upgrades!$C$3:$C$13,MATCH(C880,Upgrades!$B$3:$B$13,0))*1.15^(COUNTIF(C$4:C879,C880)-COUNTIF(C$4:C879,""Sell_""&amp;C880))))))"),"")</f>
        <v/>
      </c>
      <c r="H880" s="10" t="str">
        <f t="shared" si="3"/>
        <v/>
      </c>
      <c r="I880" s="68" t="str">
        <f t="shared" si="4"/>
        <v/>
      </c>
      <c r="J880" s="59" t="str">
        <f t="shared" si="5"/>
        <v/>
      </c>
      <c r="K880" s="69" t="str">
        <f t="shared" si="6"/>
        <v/>
      </c>
      <c r="L880" s="60" t="str">
        <f t="shared" si="7"/>
        <v/>
      </c>
      <c r="M880" s="61" t="str">
        <f>IFERROR(__xludf.DUMMYFUNCTION("IFS(AND(COUNTA(C880:C1350)=0,COUNTA(Q880:Q1350)=0),"""",OR(AND(K880&gt;=1000000000,OR(Y880&gt;=1000000000,COUNTA(Q880:Q1350)=0)),OR(Y880&gt;=1000000000,AND(COUNTA(C880:C1350)=0,P$3=TRUE))),
ROUNDDOWN((AB$1-AC$1)*MAX(INDEX(T$4:T1350,MATCH(LARGE(FILTER(Y$4:Y1350,Y$4"&amp;":Y1350&lt;1000000000),1),Y$4:Y1350)),INDEX(F$4:F1350,MATCH(LARGE(FILTER(K$4:K1350,K$4:K1350&lt;1000000000),1),K$4:K1350)))),AND(K880&lt;1000000000,COUNTA(C880:C1350)&gt;0,P$3=FALSE),
ROUNDDOWN(INDEX(Y$4:Y1350,MATCH(LARGE(FILTER(W$4:W1350,W$4:W1350&lt;=I880),1),W$4:W1350"&amp;"))+(I880-LARGE(FILTER(W$4:W1350,W$4:W1350&lt;=I880),1))*INDEX(T$4:T1350,MATCH(LARGE(FILTER(W$4:W1350,W$4:W1350&lt;=I880),1),W$4:W1350))-K880),1,
ROUNDDOWN(Y880-INDEX(K$4:K1350,MATCH(LARGE(FILTER(I$4:I1350,I$4:I1350&lt;=W880),1),I$4:I1350))-(W880-LARGE(FILTER(I$4:I"&amp;"1350,I$4:I1350&lt;=W880),1))*INDEX(F$4:F1350,MATCH(LARGE(FILTER(I$4:I1350,I$4:I1350&lt;=W880),1),I$4:I1350))))"),"")</f>
        <v/>
      </c>
      <c r="N880" s="60" t="str">
        <f t="shared" si="8"/>
        <v/>
      </c>
      <c r="O880" s="61" t="str">
        <f t="shared" si="9"/>
        <v/>
      </c>
      <c r="P880" s="56" t="str">
        <f t="shared" si="10"/>
        <v/>
      </c>
      <c r="Q880" s="62"/>
      <c r="R880" s="10" t="str">
        <f>IFERROR(__xludf.DUMMYFUNCTION("IF(COUNTA(Q880:Q1350)=0,"""",IF(ISBLANK(Q880),FALSE,IF(NOT(COUNTIF($AA$24:$AA$34,SUBSTITUTE(Q880,""Sell_"",""""))),1,IF(REGEXMATCH(Q880,""Sell_""),IF(COUNTIF(Q$4:Q880,SUBSTITUTE(Q880,""Sell_"",""""))-COUNTIF(Q$4:Q879,Q880)&lt;1,1),FALSE))))"),"")</f>
        <v/>
      </c>
      <c r="S880" s="59" t="str">
        <f t="array" ref="S880">IF(COUNTA(Q880:Q1350)=0,"",SUM((COUNTIF(Q$4:Q880,Upgrades!$B$3:$B$13)-COUNTIF(Q$4:Q880,"Sell_"&amp;Upgrades!$B$3:$B$13))*Upgrades!$D$3:$D$13))</f>
        <v/>
      </c>
      <c r="T880" s="66" t="str">
        <f>IFERROR(__xludf.DUMMYFUNCTION("IF(COUNTA(Q880:Q1350)=0,"""",IF(REGEXMATCH(INDEX(FILTER(Q$4:Q880,Q$4:Q880&lt;&gt;""""),ROWS(FILTER(Q$4:Q880,Q$4:Q880&lt;&gt;""""))),""^Sell_""),INDEX(FILTER(T$4:T879,Q$4:Q879&lt;&gt;""""),ROWS(FILTER(Q$4:Q879,Q$4:Q879&lt;&gt;""""))),$AD$5+S880))"),"")</f>
        <v/>
      </c>
      <c r="U880" s="10" t="str">
        <f>IFERROR(__xludf.DUMMYFUNCTION("IF(COUNTA(Q880:Q1350)=0,"""",IF(Q880="""",0,IF(REGEXMATCH(Q880,""^Sell_""),-ROUNDDOWN(ROUNDUP(INDEX(Upgrades!$C$3:$C$13,MATCH(SUBSTITUTE(Q880,""Sell_"",""""),Upgrades!$B$3:$B$13,0))*1.15^(COUNTIF(Q$4:Q879,SUBSTITUTE(Q880,""Sell_"",""""))-COUNTIF(Q$4:Q879,"&amp;"""Sell_""&amp;SUBSTITUTE(Q880,""Sell_"",""""))))/2),ROUNDUP(INDEX(Upgrades!$C$3:$C$13,MATCH(Q880,Upgrades!$B$3:$B$13,0))*1.15^(COUNTIF(Q$4:Q879,Q880)-COUNTIF(Q$4:Q879,""Sell_""&amp;Q880))))))"),"")</f>
        <v/>
      </c>
      <c r="V880" s="10" t="str">
        <f t="shared" si="11"/>
        <v/>
      </c>
      <c r="W880" s="68" t="str">
        <f t="shared" si="12"/>
        <v/>
      </c>
      <c r="X880" s="59" t="str">
        <f t="shared" si="13"/>
        <v/>
      </c>
      <c r="Y880" s="69" t="str">
        <f t="shared" si="14"/>
        <v/>
      </c>
      <c r="Z880" s="11"/>
    </row>
    <row r="881">
      <c r="A881" s="8"/>
      <c r="B881" s="56" t="str">
        <f t="shared" si="2"/>
        <v/>
      </c>
      <c r="C881" s="57"/>
      <c r="D881" s="10" t="str">
        <f>IFERROR(__xludf.DUMMYFUNCTION("IF(COUNTA(C881:C1350)=0,"""",IF(ISBLANK(C881),FALSE,IF(NOT(COUNTIF($AA$24:$AA$34,SUBSTITUTE(C881,""Sell_"",""""))),1,IF(REGEXMATCH(C881,""Sell_""),IF(COUNTIF(C$4:C881,SUBSTITUTE(C881,""Sell_"",""""))-COUNTIF(C$4:C880,C881)&lt;1,1),FALSE))))"),"")</f>
        <v/>
      </c>
      <c r="E881" s="59" t="str">
        <f t="array" ref="E881">IF(COUNTA(C881:C1350)=0,"",SUM((COUNTIF(C$4:C881,Upgrades!$B$3:$B$13)-COUNTIF(C$4:C881,"Sell_"&amp;Upgrades!$B$3:$B$13))*Upgrades!$D$3:$D$13))</f>
        <v/>
      </c>
      <c r="F881" s="66" t="str">
        <f>IFERROR(__xludf.DUMMYFUNCTION("IF(COUNTA(C881:C1350)=0,"""",IF(REGEXMATCH(INDEX(FILTER(C$4:C881,C$4:C881&lt;&gt;""""),ROWS(FILTER(C$4:C881,C$4:C881&lt;&gt;""""))),""^Sell_""),INDEX(FILTER(F$4:F880,C$4:C880&lt;&gt;""""),ROWS(FILTER(C$4:C880,C$4:C880&lt;&gt;""""))),$AC$5+E881))"),"")</f>
        <v/>
      </c>
      <c r="G881" s="10" t="str">
        <f>IFERROR(__xludf.DUMMYFUNCTION("IF(COUNTA(C881:C1350)=0,"""",IF(C881="""",0,IF(REGEXMATCH(C881,""^Sell_""),-ROUNDDOWN(ROUNDUP(INDEX(Upgrades!$C$3:$C$13,MATCH(SUBSTITUTE(C881,""Sell_"",""""),Upgrades!$B$3:$B$13,0))*1.15^(COUNTIF(C$4:C880,SUBSTITUTE(C881,""Sell_"",""""))-COUNTIF(C$4:C880,"&amp;"""Sell_""&amp;SUBSTITUTE(C881,""Sell_"",""""))))/2),ROUNDUP(INDEX(Upgrades!$C$3:$C$13,MATCH(C881,Upgrades!$B$3:$B$13,0))*1.15^(COUNTIF(C$4:C880,C881)-COUNTIF(C$4:C880,""Sell_""&amp;C881))))))"),"")</f>
        <v/>
      </c>
      <c r="H881" s="10" t="str">
        <f t="shared" si="3"/>
        <v/>
      </c>
      <c r="I881" s="68" t="str">
        <f t="shared" si="4"/>
        <v/>
      </c>
      <c r="J881" s="59" t="str">
        <f t="shared" si="5"/>
        <v/>
      </c>
      <c r="K881" s="69" t="str">
        <f t="shared" si="6"/>
        <v/>
      </c>
      <c r="L881" s="60" t="str">
        <f t="shared" si="7"/>
        <v/>
      </c>
      <c r="M881" s="61" t="str">
        <f>IFERROR(__xludf.DUMMYFUNCTION("IFS(AND(COUNTA(C881:C1350)=0,COUNTA(Q881:Q1350)=0),"""",OR(AND(K881&gt;=1000000000,OR(Y881&gt;=1000000000,COUNTA(Q881:Q1350)=0)),OR(Y881&gt;=1000000000,AND(COUNTA(C881:C1350)=0,P$3=TRUE))),
ROUNDDOWN((AB$1-AC$1)*MAX(INDEX(T$4:T1350,MATCH(LARGE(FILTER(Y$4:Y1350,Y$4"&amp;":Y1350&lt;1000000000),1),Y$4:Y1350)),INDEX(F$4:F1350,MATCH(LARGE(FILTER(K$4:K1350,K$4:K1350&lt;1000000000),1),K$4:K1350)))),AND(K881&lt;1000000000,COUNTA(C881:C1350)&gt;0,P$3=FALSE),
ROUNDDOWN(INDEX(Y$4:Y1350,MATCH(LARGE(FILTER(W$4:W1350,W$4:W1350&lt;=I881),1),W$4:W1350"&amp;"))+(I881-LARGE(FILTER(W$4:W1350,W$4:W1350&lt;=I881),1))*INDEX(T$4:T1350,MATCH(LARGE(FILTER(W$4:W1350,W$4:W1350&lt;=I881),1),W$4:W1350))-K881),1,
ROUNDDOWN(Y881-INDEX(K$4:K1350,MATCH(LARGE(FILTER(I$4:I1350,I$4:I1350&lt;=W881),1),I$4:I1350))-(W881-LARGE(FILTER(I$4:I"&amp;"1350,I$4:I1350&lt;=W881),1))*INDEX(F$4:F1350,MATCH(LARGE(FILTER(I$4:I1350,I$4:I1350&lt;=W881),1),I$4:I1350))))"),"")</f>
        <v/>
      </c>
      <c r="N881" s="60" t="str">
        <f t="shared" si="8"/>
        <v/>
      </c>
      <c r="O881" s="61" t="str">
        <f t="shared" si="9"/>
        <v/>
      </c>
      <c r="P881" s="56" t="str">
        <f t="shared" si="10"/>
        <v/>
      </c>
      <c r="Q881" s="62"/>
      <c r="R881" s="10" t="str">
        <f>IFERROR(__xludf.DUMMYFUNCTION("IF(COUNTA(Q881:Q1350)=0,"""",IF(ISBLANK(Q881),FALSE,IF(NOT(COUNTIF($AA$24:$AA$34,SUBSTITUTE(Q881,""Sell_"",""""))),1,IF(REGEXMATCH(Q881,""Sell_""),IF(COUNTIF(Q$4:Q881,SUBSTITUTE(Q881,""Sell_"",""""))-COUNTIF(Q$4:Q880,Q881)&lt;1,1),FALSE))))"),"")</f>
        <v/>
      </c>
      <c r="S881" s="59" t="str">
        <f t="array" ref="S881">IF(COUNTA(Q881:Q1350)=0,"",SUM((COUNTIF(Q$4:Q881,Upgrades!$B$3:$B$13)-COUNTIF(Q$4:Q881,"Sell_"&amp;Upgrades!$B$3:$B$13))*Upgrades!$D$3:$D$13))</f>
        <v/>
      </c>
      <c r="T881" s="66" t="str">
        <f>IFERROR(__xludf.DUMMYFUNCTION("IF(COUNTA(Q881:Q1350)=0,"""",IF(REGEXMATCH(INDEX(FILTER(Q$4:Q881,Q$4:Q881&lt;&gt;""""),ROWS(FILTER(Q$4:Q881,Q$4:Q881&lt;&gt;""""))),""^Sell_""),INDEX(FILTER(T$4:T880,Q$4:Q880&lt;&gt;""""),ROWS(FILTER(Q$4:Q880,Q$4:Q880&lt;&gt;""""))),$AD$5+S881))"),"")</f>
        <v/>
      </c>
      <c r="U881" s="10" t="str">
        <f>IFERROR(__xludf.DUMMYFUNCTION("IF(COUNTA(Q881:Q1350)=0,"""",IF(Q881="""",0,IF(REGEXMATCH(Q881,""^Sell_""),-ROUNDDOWN(ROUNDUP(INDEX(Upgrades!$C$3:$C$13,MATCH(SUBSTITUTE(Q881,""Sell_"",""""),Upgrades!$B$3:$B$13,0))*1.15^(COUNTIF(Q$4:Q880,SUBSTITUTE(Q881,""Sell_"",""""))-COUNTIF(Q$4:Q880,"&amp;"""Sell_""&amp;SUBSTITUTE(Q881,""Sell_"",""""))))/2),ROUNDUP(INDEX(Upgrades!$C$3:$C$13,MATCH(Q881,Upgrades!$B$3:$B$13,0))*1.15^(COUNTIF(Q$4:Q880,Q881)-COUNTIF(Q$4:Q880,""Sell_""&amp;Q881))))))"),"")</f>
        <v/>
      </c>
      <c r="V881" s="10" t="str">
        <f t="shared" si="11"/>
        <v/>
      </c>
      <c r="W881" s="68" t="str">
        <f t="shared" si="12"/>
        <v/>
      </c>
      <c r="X881" s="59" t="str">
        <f t="shared" si="13"/>
        <v/>
      </c>
      <c r="Y881" s="69" t="str">
        <f t="shared" si="14"/>
        <v/>
      </c>
      <c r="Z881" s="11"/>
    </row>
    <row r="882">
      <c r="A882" s="8"/>
      <c r="B882" s="56" t="str">
        <f t="shared" si="2"/>
        <v/>
      </c>
      <c r="C882" s="57"/>
      <c r="D882" s="10" t="str">
        <f>IFERROR(__xludf.DUMMYFUNCTION("IF(COUNTA(C882:C1350)=0,"""",IF(ISBLANK(C882),FALSE,IF(NOT(COUNTIF($AA$24:$AA$34,SUBSTITUTE(C882,""Sell_"",""""))),1,IF(REGEXMATCH(C882,""Sell_""),IF(COUNTIF(C$4:C882,SUBSTITUTE(C882,""Sell_"",""""))-COUNTIF(C$4:C881,C882)&lt;1,1),FALSE))))"),"")</f>
        <v/>
      </c>
      <c r="E882" s="59" t="str">
        <f t="array" ref="E882">IF(COUNTA(C882:C1350)=0,"",SUM((COUNTIF(C$4:C882,Upgrades!$B$3:$B$13)-COUNTIF(C$4:C882,"Sell_"&amp;Upgrades!$B$3:$B$13))*Upgrades!$D$3:$D$13))</f>
        <v/>
      </c>
      <c r="F882" s="66" t="str">
        <f>IFERROR(__xludf.DUMMYFUNCTION("IF(COUNTA(C882:C1350)=0,"""",IF(REGEXMATCH(INDEX(FILTER(C$4:C882,C$4:C882&lt;&gt;""""),ROWS(FILTER(C$4:C882,C$4:C882&lt;&gt;""""))),""^Sell_""),INDEX(FILTER(F$4:F881,C$4:C881&lt;&gt;""""),ROWS(FILTER(C$4:C881,C$4:C881&lt;&gt;""""))),$AC$5+E882))"),"")</f>
        <v/>
      </c>
      <c r="G882" s="10" t="str">
        <f>IFERROR(__xludf.DUMMYFUNCTION("IF(COUNTA(C882:C1350)=0,"""",IF(C882="""",0,IF(REGEXMATCH(C882,""^Sell_""),-ROUNDDOWN(ROUNDUP(INDEX(Upgrades!$C$3:$C$13,MATCH(SUBSTITUTE(C882,""Sell_"",""""),Upgrades!$B$3:$B$13,0))*1.15^(COUNTIF(C$4:C881,SUBSTITUTE(C882,""Sell_"",""""))-COUNTIF(C$4:C881,"&amp;"""Sell_""&amp;SUBSTITUTE(C882,""Sell_"",""""))))/2),ROUNDUP(INDEX(Upgrades!$C$3:$C$13,MATCH(C882,Upgrades!$B$3:$B$13,0))*1.15^(COUNTIF(C$4:C881,C882)-COUNTIF(C$4:C881,""Sell_""&amp;C882))))))"),"")</f>
        <v/>
      </c>
      <c r="H882" s="10" t="str">
        <f t="shared" si="3"/>
        <v/>
      </c>
      <c r="I882" s="68" t="str">
        <f t="shared" si="4"/>
        <v/>
      </c>
      <c r="J882" s="59" t="str">
        <f t="shared" si="5"/>
        <v/>
      </c>
      <c r="K882" s="69" t="str">
        <f t="shared" si="6"/>
        <v/>
      </c>
      <c r="L882" s="60" t="str">
        <f t="shared" si="7"/>
        <v/>
      </c>
      <c r="M882" s="61" t="str">
        <f>IFERROR(__xludf.DUMMYFUNCTION("IFS(AND(COUNTA(C882:C1350)=0,COUNTA(Q882:Q1350)=0),"""",OR(AND(K882&gt;=1000000000,OR(Y882&gt;=1000000000,COUNTA(Q882:Q1350)=0)),OR(Y882&gt;=1000000000,AND(COUNTA(C882:C1350)=0,P$3=TRUE))),
ROUNDDOWN((AB$1-AC$1)*MAX(INDEX(T$4:T1350,MATCH(LARGE(FILTER(Y$4:Y1350,Y$4"&amp;":Y1350&lt;1000000000),1),Y$4:Y1350)),INDEX(F$4:F1350,MATCH(LARGE(FILTER(K$4:K1350,K$4:K1350&lt;1000000000),1),K$4:K1350)))),AND(K882&lt;1000000000,COUNTA(C882:C1350)&gt;0,P$3=FALSE),
ROUNDDOWN(INDEX(Y$4:Y1350,MATCH(LARGE(FILTER(W$4:W1350,W$4:W1350&lt;=I882),1),W$4:W1350"&amp;"))+(I882-LARGE(FILTER(W$4:W1350,W$4:W1350&lt;=I882),1))*INDEX(T$4:T1350,MATCH(LARGE(FILTER(W$4:W1350,W$4:W1350&lt;=I882),1),W$4:W1350))-K882),1,
ROUNDDOWN(Y882-INDEX(K$4:K1350,MATCH(LARGE(FILTER(I$4:I1350,I$4:I1350&lt;=W882),1),I$4:I1350))-(W882-LARGE(FILTER(I$4:I"&amp;"1350,I$4:I1350&lt;=W882),1))*INDEX(F$4:F1350,MATCH(LARGE(FILTER(I$4:I1350,I$4:I1350&lt;=W882),1),I$4:I1350))))"),"")</f>
        <v/>
      </c>
      <c r="N882" s="60" t="str">
        <f t="shared" si="8"/>
        <v/>
      </c>
      <c r="O882" s="61" t="str">
        <f t="shared" si="9"/>
        <v/>
      </c>
      <c r="P882" s="56" t="str">
        <f t="shared" si="10"/>
        <v/>
      </c>
      <c r="Q882" s="62"/>
      <c r="R882" s="10" t="str">
        <f>IFERROR(__xludf.DUMMYFUNCTION("IF(COUNTA(Q882:Q1350)=0,"""",IF(ISBLANK(Q882),FALSE,IF(NOT(COUNTIF($AA$24:$AA$34,SUBSTITUTE(Q882,""Sell_"",""""))),1,IF(REGEXMATCH(Q882,""Sell_""),IF(COUNTIF(Q$4:Q882,SUBSTITUTE(Q882,""Sell_"",""""))-COUNTIF(Q$4:Q881,Q882)&lt;1,1),FALSE))))"),"")</f>
        <v/>
      </c>
      <c r="S882" s="59" t="str">
        <f t="array" ref="S882">IF(COUNTA(Q882:Q1350)=0,"",SUM((COUNTIF(Q$4:Q882,Upgrades!$B$3:$B$13)-COUNTIF(Q$4:Q882,"Sell_"&amp;Upgrades!$B$3:$B$13))*Upgrades!$D$3:$D$13))</f>
        <v/>
      </c>
      <c r="T882" s="66" t="str">
        <f>IFERROR(__xludf.DUMMYFUNCTION("IF(COUNTA(Q882:Q1350)=0,"""",IF(REGEXMATCH(INDEX(FILTER(Q$4:Q882,Q$4:Q882&lt;&gt;""""),ROWS(FILTER(Q$4:Q882,Q$4:Q882&lt;&gt;""""))),""^Sell_""),INDEX(FILTER(T$4:T881,Q$4:Q881&lt;&gt;""""),ROWS(FILTER(Q$4:Q881,Q$4:Q881&lt;&gt;""""))),$AD$5+S882))"),"")</f>
        <v/>
      </c>
      <c r="U882" s="10" t="str">
        <f>IFERROR(__xludf.DUMMYFUNCTION("IF(COUNTA(Q882:Q1350)=0,"""",IF(Q882="""",0,IF(REGEXMATCH(Q882,""^Sell_""),-ROUNDDOWN(ROUNDUP(INDEX(Upgrades!$C$3:$C$13,MATCH(SUBSTITUTE(Q882,""Sell_"",""""),Upgrades!$B$3:$B$13,0))*1.15^(COUNTIF(Q$4:Q881,SUBSTITUTE(Q882,""Sell_"",""""))-COUNTIF(Q$4:Q881,"&amp;"""Sell_""&amp;SUBSTITUTE(Q882,""Sell_"",""""))))/2),ROUNDUP(INDEX(Upgrades!$C$3:$C$13,MATCH(Q882,Upgrades!$B$3:$B$13,0))*1.15^(COUNTIF(Q$4:Q881,Q882)-COUNTIF(Q$4:Q881,""Sell_""&amp;Q882))))))"),"")</f>
        <v/>
      </c>
      <c r="V882" s="10" t="str">
        <f t="shared" si="11"/>
        <v/>
      </c>
      <c r="W882" s="68" t="str">
        <f t="shared" si="12"/>
        <v/>
      </c>
      <c r="X882" s="59" t="str">
        <f t="shared" si="13"/>
        <v/>
      </c>
      <c r="Y882" s="69" t="str">
        <f t="shared" si="14"/>
        <v/>
      </c>
      <c r="Z882" s="11"/>
    </row>
    <row r="883">
      <c r="A883" s="8"/>
      <c r="B883" s="56" t="str">
        <f t="shared" si="2"/>
        <v/>
      </c>
      <c r="C883" s="57"/>
      <c r="D883" s="10" t="str">
        <f>IFERROR(__xludf.DUMMYFUNCTION("IF(COUNTA(C883:C1350)=0,"""",IF(ISBLANK(C883),FALSE,IF(NOT(COUNTIF($AA$24:$AA$34,SUBSTITUTE(C883,""Sell_"",""""))),1,IF(REGEXMATCH(C883,""Sell_""),IF(COUNTIF(C$4:C883,SUBSTITUTE(C883,""Sell_"",""""))-COUNTIF(C$4:C882,C883)&lt;1,1),FALSE))))"),"")</f>
        <v/>
      </c>
      <c r="E883" s="59" t="str">
        <f t="array" ref="E883">IF(COUNTA(C883:C1350)=0,"",SUM((COUNTIF(C$4:C883,Upgrades!$B$3:$B$13)-COUNTIF(C$4:C883,"Sell_"&amp;Upgrades!$B$3:$B$13))*Upgrades!$D$3:$D$13))</f>
        <v/>
      </c>
      <c r="F883" s="66" t="str">
        <f>IFERROR(__xludf.DUMMYFUNCTION("IF(COUNTA(C883:C1350)=0,"""",IF(REGEXMATCH(INDEX(FILTER(C$4:C883,C$4:C883&lt;&gt;""""),ROWS(FILTER(C$4:C883,C$4:C883&lt;&gt;""""))),""^Sell_""),INDEX(FILTER(F$4:F882,C$4:C882&lt;&gt;""""),ROWS(FILTER(C$4:C882,C$4:C882&lt;&gt;""""))),$AC$5+E883))"),"")</f>
        <v/>
      </c>
      <c r="G883" s="10" t="str">
        <f>IFERROR(__xludf.DUMMYFUNCTION("IF(COUNTA(C883:C1350)=0,"""",IF(C883="""",0,IF(REGEXMATCH(C883,""^Sell_""),-ROUNDDOWN(ROUNDUP(INDEX(Upgrades!$C$3:$C$13,MATCH(SUBSTITUTE(C883,""Sell_"",""""),Upgrades!$B$3:$B$13,0))*1.15^(COUNTIF(C$4:C882,SUBSTITUTE(C883,""Sell_"",""""))-COUNTIF(C$4:C882,"&amp;"""Sell_""&amp;SUBSTITUTE(C883,""Sell_"",""""))))/2),ROUNDUP(INDEX(Upgrades!$C$3:$C$13,MATCH(C883,Upgrades!$B$3:$B$13,0))*1.15^(COUNTIF(C$4:C882,C883)-COUNTIF(C$4:C882,""Sell_""&amp;C883))))))"),"")</f>
        <v/>
      </c>
      <c r="H883" s="10" t="str">
        <f t="shared" si="3"/>
        <v/>
      </c>
      <c r="I883" s="68" t="str">
        <f t="shared" si="4"/>
        <v/>
      </c>
      <c r="J883" s="59" t="str">
        <f t="shared" si="5"/>
        <v/>
      </c>
      <c r="K883" s="69" t="str">
        <f t="shared" si="6"/>
        <v/>
      </c>
      <c r="L883" s="60" t="str">
        <f t="shared" si="7"/>
        <v/>
      </c>
      <c r="M883" s="61" t="str">
        <f>IFERROR(__xludf.DUMMYFUNCTION("IFS(AND(COUNTA(C883:C1350)=0,COUNTA(Q883:Q1350)=0),"""",OR(AND(K883&gt;=1000000000,OR(Y883&gt;=1000000000,COUNTA(Q883:Q1350)=0)),OR(Y883&gt;=1000000000,AND(COUNTA(C883:C1350)=0,P$3=TRUE))),
ROUNDDOWN((AB$1-AC$1)*MAX(INDEX(T$4:T1350,MATCH(LARGE(FILTER(Y$4:Y1350,Y$4"&amp;":Y1350&lt;1000000000),1),Y$4:Y1350)),INDEX(F$4:F1350,MATCH(LARGE(FILTER(K$4:K1350,K$4:K1350&lt;1000000000),1),K$4:K1350)))),AND(K883&lt;1000000000,COUNTA(C883:C1350)&gt;0,P$3=FALSE),
ROUNDDOWN(INDEX(Y$4:Y1350,MATCH(LARGE(FILTER(W$4:W1350,W$4:W1350&lt;=I883),1),W$4:W1350"&amp;"))+(I883-LARGE(FILTER(W$4:W1350,W$4:W1350&lt;=I883),1))*INDEX(T$4:T1350,MATCH(LARGE(FILTER(W$4:W1350,W$4:W1350&lt;=I883),1),W$4:W1350))-K883),1,
ROUNDDOWN(Y883-INDEX(K$4:K1350,MATCH(LARGE(FILTER(I$4:I1350,I$4:I1350&lt;=W883),1),I$4:I1350))-(W883-LARGE(FILTER(I$4:I"&amp;"1350,I$4:I1350&lt;=W883),1))*INDEX(F$4:F1350,MATCH(LARGE(FILTER(I$4:I1350,I$4:I1350&lt;=W883),1),I$4:I1350))))"),"")</f>
        <v/>
      </c>
      <c r="N883" s="60" t="str">
        <f t="shared" si="8"/>
        <v/>
      </c>
      <c r="O883" s="61" t="str">
        <f t="shared" si="9"/>
        <v/>
      </c>
      <c r="P883" s="56" t="str">
        <f t="shared" si="10"/>
        <v/>
      </c>
      <c r="Q883" s="62"/>
      <c r="R883" s="10" t="str">
        <f>IFERROR(__xludf.DUMMYFUNCTION("IF(COUNTA(Q883:Q1350)=0,"""",IF(ISBLANK(Q883),FALSE,IF(NOT(COUNTIF($AA$24:$AA$34,SUBSTITUTE(Q883,""Sell_"",""""))),1,IF(REGEXMATCH(Q883,""Sell_""),IF(COUNTIF(Q$4:Q883,SUBSTITUTE(Q883,""Sell_"",""""))-COUNTIF(Q$4:Q882,Q883)&lt;1,1),FALSE))))"),"")</f>
        <v/>
      </c>
      <c r="S883" s="59" t="str">
        <f t="array" ref="S883">IF(COUNTA(Q883:Q1350)=0,"",SUM((COUNTIF(Q$4:Q883,Upgrades!$B$3:$B$13)-COUNTIF(Q$4:Q883,"Sell_"&amp;Upgrades!$B$3:$B$13))*Upgrades!$D$3:$D$13))</f>
        <v/>
      </c>
      <c r="T883" s="66" t="str">
        <f>IFERROR(__xludf.DUMMYFUNCTION("IF(COUNTA(Q883:Q1350)=0,"""",IF(REGEXMATCH(INDEX(FILTER(Q$4:Q883,Q$4:Q883&lt;&gt;""""),ROWS(FILTER(Q$4:Q883,Q$4:Q883&lt;&gt;""""))),""^Sell_""),INDEX(FILTER(T$4:T882,Q$4:Q882&lt;&gt;""""),ROWS(FILTER(Q$4:Q882,Q$4:Q882&lt;&gt;""""))),$AD$5+S883))"),"")</f>
        <v/>
      </c>
      <c r="U883" s="10" t="str">
        <f>IFERROR(__xludf.DUMMYFUNCTION("IF(COUNTA(Q883:Q1350)=0,"""",IF(Q883="""",0,IF(REGEXMATCH(Q883,""^Sell_""),-ROUNDDOWN(ROUNDUP(INDEX(Upgrades!$C$3:$C$13,MATCH(SUBSTITUTE(Q883,""Sell_"",""""),Upgrades!$B$3:$B$13,0))*1.15^(COUNTIF(Q$4:Q882,SUBSTITUTE(Q883,""Sell_"",""""))-COUNTIF(Q$4:Q882,"&amp;"""Sell_""&amp;SUBSTITUTE(Q883,""Sell_"",""""))))/2),ROUNDUP(INDEX(Upgrades!$C$3:$C$13,MATCH(Q883,Upgrades!$B$3:$B$13,0))*1.15^(COUNTIF(Q$4:Q882,Q883)-COUNTIF(Q$4:Q882,""Sell_""&amp;Q883))))))"),"")</f>
        <v/>
      </c>
      <c r="V883" s="10" t="str">
        <f t="shared" si="11"/>
        <v/>
      </c>
      <c r="W883" s="68" t="str">
        <f t="shared" si="12"/>
        <v/>
      </c>
      <c r="X883" s="59" t="str">
        <f t="shared" si="13"/>
        <v/>
      </c>
      <c r="Y883" s="69" t="str">
        <f t="shared" si="14"/>
        <v/>
      </c>
      <c r="Z883" s="11"/>
    </row>
    <row r="884">
      <c r="A884" s="8"/>
      <c r="B884" s="56" t="str">
        <f t="shared" si="2"/>
        <v/>
      </c>
      <c r="C884" s="57"/>
      <c r="D884" s="10" t="str">
        <f>IFERROR(__xludf.DUMMYFUNCTION("IF(COUNTA(C884:C1350)=0,"""",IF(ISBLANK(C884),FALSE,IF(NOT(COUNTIF($AA$24:$AA$34,SUBSTITUTE(C884,""Sell_"",""""))),1,IF(REGEXMATCH(C884,""Sell_""),IF(COUNTIF(C$4:C884,SUBSTITUTE(C884,""Sell_"",""""))-COUNTIF(C$4:C883,C884)&lt;1,1),FALSE))))"),"")</f>
        <v/>
      </c>
      <c r="E884" s="59" t="str">
        <f t="array" ref="E884">IF(COUNTA(C884:C1350)=0,"",SUM((COUNTIF(C$4:C884,Upgrades!$B$3:$B$13)-COUNTIF(C$4:C884,"Sell_"&amp;Upgrades!$B$3:$B$13))*Upgrades!$D$3:$D$13))</f>
        <v/>
      </c>
      <c r="F884" s="66" t="str">
        <f>IFERROR(__xludf.DUMMYFUNCTION("IF(COUNTA(C884:C1350)=0,"""",IF(REGEXMATCH(INDEX(FILTER(C$4:C884,C$4:C884&lt;&gt;""""),ROWS(FILTER(C$4:C884,C$4:C884&lt;&gt;""""))),""^Sell_""),INDEX(FILTER(F$4:F883,C$4:C883&lt;&gt;""""),ROWS(FILTER(C$4:C883,C$4:C883&lt;&gt;""""))),$AC$5+E884))"),"")</f>
        <v/>
      </c>
      <c r="G884" s="10" t="str">
        <f>IFERROR(__xludf.DUMMYFUNCTION("IF(COUNTA(C884:C1350)=0,"""",IF(C884="""",0,IF(REGEXMATCH(C884,""^Sell_""),-ROUNDDOWN(ROUNDUP(INDEX(Upgrades!$C$3:$C$13,MATCH(SUBSTITUTE(C884,""Sell_"",""""),Upgrades!$B$3:$B$13,0))*1.15^(COUNTIF(C$4:C883,SUBSTITUTE(C884,""Sell_"",""""))-COUNTIF(C$4:C883,"&amp;"""Sell_""&amp;SUBSTITUTE(C884,""Sell_"",""""))))/2),ROUNDUP(INDEX(Upgrades!$C$3:$C$13,MATCH(C884,Upgrades!$B$3:$B$13,0))*1.15^(COUNTIF(C$4:C883,C884)-COUNTIF(C$4:C883,""Sell_""&amp;C884))))))"),"")</f>
        <v/>
      </c>
      <c r="H884" s="10" t="str">
        <f t="shared" si="3"/>
        <v/>
      </c>
      <c r="I884" s="68" t="str">
        <f t="shared" si="4"/>
        <v/>
      </c>
      <c r="J884" s="59" t="str">
        <f t="shared" si="5"/>
        <v/>
      </c>
      <c r="K884" s="69" t="str">
        <f t="shared" si="6"/>
        <v/>
      </c>
      <c r="L884" s="60" t="str">
        <f t="shared" si="7"/>
        <v/>
      </c>
      <c r="M884" s="61" t="str">
        <f>IFERROR(__xludf.DUMMYFUNCTION("IFS(AND(COUNTA(C884:C1350)=0,COUNTA(Q884:Q1350)=0),"""",OR(AND(K884&gt;=1000000000,OR(Y884&gt;=1000000000,COUNTA(Q884:Q1350)=0)),OR(Y884&gt;=1000000000,AND(COUNTA(C884:C1350)=0,P$3=TRUE))),
ROUNDDOWN((AB$1-AC$1)*MAX(INDEX(T$4:T1350,MATCH(LARGE(FILTER(Y$4:Y1350,Y$4"&amp;":Y1350&lt;1000000000),1),Y$4:Y1350)),INDEX(F$4:F1350,MATCH(LARGE(FILTER(K$4:K1350,K$4:K1350&lt;1000000000),1),K$4:K1350)))),AND(K884&lt;1000000000,COUNTA(C884:C1350)&gt;0,P$3=FALSE),
ROUNDDOWN(INDEX(Y$4:Y1350,MATCH(LARGE(FILTER(W$4:W1350,W$4:W1350&lt;=I884),1),W$4:W1350"&amp;"))+(I884-LARGE(FILTER(W$4:W1350,W$4:W1350&lt;=I884),1))*INDEX(T$4:T1350,MATCH(LARGE(FILTER(W$4:W1350,W$4:W1350&lt;=I884),1),W$4:W1350))-K884),1,
ROUNDDOWN(Y884-INDEX(K$4:K1350,MATCH(LARGE(FILTER(I$4:I1350,I$4:I1350&lt;=W884),1),I$4:I1350))-(W884-LARGE(FILTER(I$4:I"&amp;"1350,I$4:I1350&lt;=W884),1))*INDEX(F$4:F1350,MATCH(LARGE(FILTER(I$4:I1350,I$4:I1350&lt;=W884),1),I$4:I1350))))"),"")</f>
        <v/>
      </c>
      <c r="N884" s="60" t="str">
        <f t="shared" si="8"/>
        <v/>
      </c>
      <c r="O884" s="61" t="str">
        <f t="shared" si="9"/>
        <v/>
      </c>
      <c r="P884" s="56" t="str">
        <f t="shared" si="10"/>
        <v/>
      </c>
      <c r="Q884" s="62"/>
      <c r="R884" s="10" t="str">
        <f>IFERROR(__xludf.DUMMYFUNCTION("IF(COUNTA(Q884:Q1350)=0,"""",IF(ISBLANK(Q884),FALSE,IF(NOT(COUNTIF($AA$24:$AA$34,SUBSTITUTE(Q884,""Sell_"",""""))),1,IF(REGEXMATCH(Q884,""Sell_""),IF(COUNTIF(Q$4:Q884,SUBSTITUTE(Q884,""Sell_"",""""))-COUNTIF(Q$4:Q883,Q884)&lt;1,1),FALSE))))"),"")</f>
        <v/>
      </c>
      <c r="S884" s="59" t="str">
        <f t="array" ref="S884">IF(COUNTA(Q884:Q1350)=0,"",SUM((COUNTIF(Q$4:Q884,Upgrades!$B$3:$B$13)-COUNTIF(Q$4:Q884,"Sell_"&amp;Upgrades!$B$3:$B$13))*Upgrades!$D$3:$D$13))</f>
        <v/>
      </c>
      <c r="T884" s="66" t="str">
        <f>IFERROR(__xludf.DUMMYFUNCTION("IF(COUNTA(Q884:Q1350)=0,"""",IF(REGEXMATCH(INDEX(FILTER(Q$4:Q884,Q$4:Q884&lt;&gt;""""),ROWS(FILTER(Q$4:Q884,Q$4:Q884&lt;&gt;""""))),""^Sell_""),INDEX(FILTER(T$4:T883,Q$4:Q883&lt;&gt;""""),ROWS(FILTER(Q$4:Q883,Q$4:Q883&lt;&gt;""""))),$AD$5+S884))"),"")</f>
        <v/>
      </c>
      <c r="U884" s="10" t="str">
        <f>IFERROR(__xludf.DUMMYFUNCTION("IF(COUNTA(Q884:Q1350)=0,"""",IF(Q884="""",0,IF(REGEXMATCH(Q884,""^Sell_""),-ROUNDDOWN(ROUNDUP(INDEX(Upgrades!$C$3:$C$13,MATCH(SUBSTITUTE(Q884,""Sell_"",""""),Upgrades!$B$3:$B$13,0))*1.15^(COUNTIF(Q$4:Q883,SUBSTITUTE(Q884,""Sell_"",""""))-COUNTIF(Q$4:Q883,"&amp;"""Sell_""&amp;SUBSTITUTE(Q884,""Sell_"",""""))))/2),ROUNDUP(INDEX(Upgrades!$C$3:$C$13,MATCH(Q884,Upgrades!$B$3:$B$13,0))*1.15^(COUNTIF(Q$4:Q883,Q884)-COUNTIF(Q$4:Q883,""Sell_""&amp;Q884))))))"),"")</f>
        <v/>
      </c>
      <c r="V884" s="10" t="str">
        <f t="shared" si="11"/>
        <v/>
      </c>
      <c r="W884" s="68" t="str">
        <f t="shared" si="12"/>
        <v/>
      </c>
      <c r="X884" s="59" t="str">
        <f t="shared" si="13"/>
        <v/>
      </c>
      <c r="Y884" s="69" t="str">
        <f t="shared" si="14"/>
        <v/>
      </c>
      <c r="Z884" s="11"/>
    </row>
    <row r="885">
      <c r="A885" s="8"/>
      <c r="B885" s="56" t="str">
        <f t="shared" si="2"/>
        <v/>
      </c>
      <c r="C885" s="57"/>
      <c r="D885" s="10" t="str">
        <f>IFERROR(__xludf.DUMMYFUNCTION("IF(COUNTA(C885:C1350)=0,"""",IF(ISBLANK(C885),FALSE,IF(NOT(COUNTIF($AA$24:$AA$34,SUBSTITUTE(C885,""Sell_"",""""))),1,IF(REGEXMATCH(C885,""Sell_""),IF(COUNTIF(C$4:C885,SUBSTITUTE(C885,""Sell_"",""""))-COUNTIF(C$4:C884,C885)&lt;1,1),FALSE))))"),"")</f>
        <v/>
      </c>
      <c r="E885" s="59" t="str">
        <f t="array" ref="E885">IF(COUNTA(C885:C1350)=0,"",SUM((COUNTIF(C$4:C885,Upgrades!$B$3:$B$13)-COUNTIF(C$4:C885,"Sell_"&amp;Upgrades!$B$3:$B$13))*Upgrades!$D$3:$D$13))</f>
        <v/>
      </c>
      <c r="F885" s="66" t="str">
        <f>IFERROR(__xludf.DUMMYFUNCTION("IF(COUNTA(C885:C1350)=0,"""",IF(REGEXMATCH(INDEX(FILTER(C$4:C885,C$4:C885&lt;&gt;""""),ROWS(FILTER(C$4:C885,C$4:C885&lt;&gt;""""))),""^Sell_""),INDEX(FILTER(F$4:F884,C$4:C884&lt;&gt;""""),ROWS(FILTER(C$4:C884,C$4:C884&lt;&gt;""""))),$AC$5+E885))"),"")</f>
        <v/>
      </c>
      <c r="G885" s="10" t="str">
        <f>IFERROR(__xludf.DUMMYFUNCTION("IF(COUNTA(C885:C1350)=0,"""",IF(C885="""",0,IF(REGEXMATCH(C885,""^Sell_""),-ROUNDDOWN(ROUNDUP(INDEX(Upgrades!$C$3:$C$13,MATCH(SUBSTITUTE(C885,""Sell_"",""""),Upgrades!$B$3:$B$13,0))*1.15^(COUNTIF(C$4:C884,SUBSTITUTE(C885,""Sell_"",""""))-COUNTIF(C$4:C884,"&amp;"""Sell_""&amp;SUBSTITUTE(C885,""Sell_"",""""))))/2),ROUNDUP(INDEX(Upgrades!$C$3:$C$13,MATCH(C885,Upgrades!$B$3:$B$13,0))*1.15^(COUNTIF(C$4:C884,C885)-COUNTIF(C$4:C884,""Sell_""&amp;C885))))))"),"")</f>
        <v/>
      </c>
      <c r="H885" s="10" t="str">
        <f t="shared" si="3"/>
        <v/>
      </c>
      <c r="I885" s="68" t="str">
        <f t="shared" si="4"/>
        <v/>
      </c>
      <c r="J885" s="59" t="str">
        <f t="shared" si="5"/>
        <v/>
      </c>
      <c r="K885" s="69" t="str">
        <f t="shared" si="6"/>
        <v/>
      </c>
      <c r="L885" s="60" t="str">
        <f t="shared" si="7"/>
        <v/>
      </c>
      <c r="M885" s="61" t="str">
        <f>IFERROR(__xludf.DUMMYFUNCTION("IFS(AND(COUNTA(C885:C1350)=0,COUNTA(Q885:Q1350)=0),"""",OR(AND(K885&gt;=1000000000,OR(Y885&gt;=1000000000,COUNTA(Q885:Q1350)=0)),OR(Y885&gt;=1000000000,AND(COUNTA(C885:C1350)=0,P$3=TRUE))),
ROUNDDOWN((AB$1-AC$1)*MAX(INDEX(T$4:T1350,MATCH(LARGE(FILTER(Y$4:Y1350,Y$4"&amp;":Y1350&lt;1000000000),1),Y$4:Y1350)),INDEX(F$4:F1350,MATCH(LARGE(FILTER(K$4:K1350,K$4:K1350&lt;1000000000),1),K$4:K1350)))),AND(K885&lt;1000000000,COUNTA(C885:C1350)&gt;0,P$3=FALSE),
ROUNDDOWN(INDEX(Y$4:Y1350,MATCH(LARGE(FILTER(W$4:W1350,W$4:W1350&lt;=I885),1),W$4:W1350"&amp;"))+(I885-LARGE(FILTER(W$4:W1350,W$4:W1350&lt;=I885),1))*INDEX(T$4:T1350,MATCH(LARGE(FILTER(W$4:W1350,W$4:W1350&lt;=I885),1),W$4:W1350))-K885),1,
ROUNDDOWN(Y885-INDEX(K$4:K1350,MATCH(LARGE(FILTER(I$4:I1350,I$4:I1350&lt;=W885),1),I$4:I1350))-(W885-LARGE(FILTER(I$4:I"&amp;"1350,I$4:I1350&lt;=W885),1))*INDEX(F$4:F1350,MATCH(LARGE(FILTER(I$4:I1350,I$4:I1350&lt;=W885),1),I$4:I1350))))"),"")</f>
        <v/>
      </c>
      <c r="N885" s="60" t="str">
        <f t="shared" si="8"/>
        <v/>
      </c>
      <c r="O885" s="61" t="str">
        <f t="shared" si="9"/>
        <v/>
      </c>
      <c r="P885" s="56" t="str">
        <f t="shared" si="10"/>
        <v/>
      </c>
      <c r="Q885" s="62"/>
      <c r="R885" s="10" t="str">
        <f>IFERROR(__xludf.DUMMYFUNCTION("IF(COUNTA(Q885:Q1350)=0,"""",IF(ISBLANK(Q885),FALSE,IF(NOT(COUNTIF($AA$24:$AA$34,SUBSTITUTE(Q885,""Sell_"",""""))),1,IF(REGEXMATCH(Q885,""Sell_""),IF(COUNTIF(Q$4:Q885,SUBSTITUTE(Q885,""Sell_"",""""))-COUNTIF(Q$4:Q884,Q885)&lt;1,1),FALSE))))"),"")</f>
        <v/>
      </c>
      <c r="S885" s="59" t="str">
        <f t="array" ref="S885">IF(COUNTA(Q885:Q1350)=0,"",SUM((COUNTIF(Q$4:Q885,Upgrades!$B$3:$B$13)-COUNTIF(Q$4:Q885,"Sell_"&amp;Upgrades!$B$3:$B$13))*Upgrades!$D$3:$D$13))</f>
        <v/>
      </c>
      <c r="T885" s="66" t="str">
        <f>IFERROR(__xludf.DUMMYFUNCTION("IF(COUNTA(Q885:Q1350)=0,"""",IF(REGEXMATCH(INDEX(FILTER(Q$4:Q885,Q$4:Q885&lt;&gt;""""),ROWS(FILTER(Q$4:Q885,Q$4:Q885&lt;&gt;""""))),""^Sell_""),INDEX(FILTER(T$4:T884,Q$4:Q884&lt;&gt;""""),ROWS(FILTER(Q$4:Q884,Q$4:Q884&lt;&gt;""""))),$AD$5+S885))"),"")</f>
        <v/>
      </c>
      <c r="U885" s="10" t="str">
        <f>IFERROR(__xludf.DUMMYFUNCTION("IF(COUNTA(Q885:Q1350)=0,"""",IF(Q885="""",0,IF(REGEXMATCH(Q885,""^Sell_""),-ROUNDDOWN(ROUNDUP(INDEX(Upgrades!$C$3:$C$13,MATCH(SUBSTITUTE(Q885,""Sell_"",""""),Upgrades!$B$3:$B$13,0))*1.15^(COUNTIF(Q$4:Q884,SUBSTITUTE(Q885,""Sell_"",""""))-COUNTIF(Q$4:Q884,"&amp;"""Sell_""&amp;SUBSTITUTE(Q885,""Sell_"",""""))))/2),ROUNDUP(INDEX(Upgrades!$C$3:$C$13,MATCH(Q885,Upgrades!$B$3:$B$13,0))*1.15^(COUNTIF(Q$4:Q884,Q885)-COUNTIF(Q$4:Q884,""Sell_""&amp;Q885))))))"),"")</f>
        <v/>
      </c>
      <c r="V885" s="10" t="str">
        <f t="shared" si="11"/>
        <v/>
      </c>
      <c r="W885" s="68" t="str">
        <f t="shared" si="12"/>
        <v/>
      </c>
      <c r="X885" s="59" t="str">
        <f t="shared" si="13"/>
        <v/>
      </c>
      <c r="Y885" s="69" t="str">
        <f t="shared" si="14"/>
        <v/>
      </c>
      <c r="Z885" s="11"/>
    </row>
    <row r="886">
      <c r="A886" s="8"/>
      <c r="B886" s="56" t="str">
        <f t="shared" si="2"/>
        <v/>
      </c>
      <c r="C886" s="57"/>
      <c r="D886" s="10" t="str">
        <f>IFERROR(__xludf.DUMMYFUNCTION("IF(COUNTA(C886:C1350)=0,"""",IF(ISBLANK(C886),FALSE,IF(NOT(COUNTIF($AA$24:$AA$34,SUBSTITUTE(C886,""Sell_"",""""))),1,IF(REGEXMATCH(C886,""Sell_""),IF(COUNTIF(C$4:C886,SUBSTITUTE(C886,""Sell_"",""""))-COUNTIF(C$4:C885,C886)&lt;1,1),FALSE))))"),"")</f>
        <v/>
      </c>
      <c r="E886" s="59" t="str">
        <f t="array" ref="E886">IF(COUNTA(C886:C1350)=0,"",SUM((COUNTIF(C$4:C886,Upgrades!$B$3:$B$13)-COUNTIF(C$4:C886,"Sell_"&amp;Upgrades!$B$3:$B$13))*Upgrades!$D$3:$D$13))</f>
        <v/>
      </c>
      <c r="F886" s="66" t="str">
        <f>IFERROR(__xludf.DUMMYFUNCTION("IF(COUNTA(C886:C1350)=0,"""",IF(REGEXMATCH(INDEX(FILTER(C$4:C886,C$4:C886&lt;&gt;""""),ROWS(FILTER(C$4:C886,C$4:C886&lt;&gt;""""))),""^Sell_""),INDEX(FILTER(F$4:F885,C$4:C885&lt;&gt;""""),ROWS(FILTER(C$4:C885,C$4:C885&lt;&gt;""""))),$AC$5+E886))"),"")</f>
        <v/>
      </c>
      <c r="G886" s="10" t="str">
        <f>IFERROR(__xludf.DUMMYFUNCTION("IF(COUNTA(C886:C1350)=0,"""",IF(C886="""",0,IF(REGEXMATCH(C886,""^Sell_""),-ROUNDDOWN(ROUNDUP(INDEX(Upgrades!$C$3:$C$13,MATCH(SUBSTITUTE(C886,""Sell_"",""""),Upgrades!$B$3:$B$13,0))*1.15^(COUNTIF(C$4:C885,SUBSTITUTE(C886,""Sell_"",""""))-COUNTIF(C$4:C885,"&amp;"""Sell_""&amp;SUBSTITUTE(C886,""Sell_"",""""))))/2),ROUNDUP(INDEX(Upgrades!$C$3:$C$13,MATCH(C886,Upgrades!$B$3:$B$13,0))*1.15^(COUNTIF(C$4:C885,C886)-COUNTIF(C$4:C885,""Sell_""&amp;C886))))))"),"")</f>
        <v/>
      </c>
      <c r="H886" s="10" t="str">
        <f t="shared" si="3"/>
        <v/>
      </c>
      <c r="I886" s="68" t="str">
        <f t="shared" si="4"/>
        <v/>
      </c>
      <c r="J886" s="59" t="str">
        <f t="shared" si="5"/>
        <v/>
      </c>
      <c r="K886" s="69" t="str">
        <f t="shared" si="6"/>
        <v/>
      </c>
      <c r="L886" s="60" t="str">
        <f t="shared" si="7"/>
        <v/>
      </c>
      <c r="M886" s="61" t="str">
        <f>IFERROR(__xludf.DUMMYFUNCTION("IFS(AND(COUNTA(C886:C1350)=0,COUNTA(Q886:Q1350)=0),"""",OR(AND(K886&gt;=1000000000,OR(Y886&gt;=1000000000,COUNTA(Q886:Q1350)=0)),OR(Y886&gt;=1000000000,AND(COUNTA(C886:C1350)=0,P$3=TRUE))),
ROUNDDOWN((AB$1-AC$1)*MAX(INDEX(T$4:T1350,MATCH(LARGE(FILTER(Y$4:Y1350,Y$4"&amp;":Y1350&lt;1000000000),1),Y$4:Y1350)),INDEX(F$4:F1350,MATCH(LARGE(FILTER(K$4:K1350,K$4:K1350&lt;1000000000),1),K$4:K1350)))),AND(K886&lt;1000000000,COUNTA(C886:C1350)&gt;0,P$3=FALSE),
ROUNDDOWN(INDEX(Y$4:Y1350,MATCH(LARGE(FILTER(W$4:W1350,W$4:W1350&lt;=I886),1),W$4:W1350"&amp;"))+(I886-LARGE(FILTER(W$4:W1350,W$4:W1350&lt;=I886),1))*INDEX(T$4:T1350,MATCH(LARGE(FILTER(W$4:W1350,W$4:W1350&lt;=I886),1),W$4:W1350))-K886),1,
ROUNDDOWN(Y886-INDEX(K$4:K1350,MATCH(LARGE(FILTER(I$4:I1350,I$4:I1350&lt;=W886),1),I$4:I1350))-(W886-LARGE(FILTER(I$4:I"&amp;"1350,I$4:I1350&lt;=W886),1))*INDEX(F$4:F1350,MATCH(LARGE(FILTER(I$4:I1350,I$4:I1350&lt;=W886),1),I$4:I1350))))"),"")</f>
        <v/>
      </c>
      <c r="N886" s="60" t="str">
        <f t="shared" si="8"/>
        <v/>
      </c>
      <c r="O886" s="61" t="str">
        <f t="shared" si="9"/>
        <v/>
      </c>
      <c r="P886" s="56" t="str">
        <f t="shared" si="10"/>
        <v/>
      </c>
      <c r="Q886" s="62"/>
      <c r="R886" s="10" t="str">
        <f>IFERROR(__xludf.DUMMYFUNCTION("IF(COUNTA(Q886:Q1350)=0,"""",IF(ISBLANK(Q886),FALSE,IF(NOT(COUNTIF($AA$24:$AA$34,SUBSTITUTE(Q886,""Sell_"",""""))),1,IF(REGEXMATCH(Q886,""Sell_""),IF(COUNTIF(Q$4:Q886,SUBSTITUTE(Q886,""Sell_"",""""))-COUNTIF(Q$4:Q885,Q886)&lt;1,1),FALSE))))"),"")</f>
        <v/>
      </c>
      <c r="S886" s="59" t="str">
        <f t="array" ref="S886">IF(COUNTA(Q886:Q1350)=0,"",SUM((COUNTIF(Q$4:Q886,Upgrades!$B$3:$B$13)-COUNTIF(Q$4:Q886,"Sell_"&amp;Upgrades!$B$3:$B$13))*Upgrades!$D$3:$D$13))</f>
        <v/>
      </c>
      <c r="T886" s="66" t="str">
        <f>IFERROR(__xludf.DUMMYFUNCTION("IF(COUNTA(Q886:Q1350)=0,"""",IF(REGEXMATCH(INDEX(FILTER(Q$4:Q886,Q$4:Q886&lt;&gt;""""),ROWS(FILTER(Q$4:Q886,Q$4:Q886&lt;&gt;""""))),""^Sell_""),INDEX(FILTER(T$4:T885,Q$4:Q885&lt;&gt;""""),ROWS(FILTER(Q$4:Q885,Q$4:Q885&lt;&gt;""""))),$AD$5+S886))"),"")</f>
        <v/>
      </c>
      <c r="U886" s="10" t="str">
        <f>IFERROR(__xludf.DUMMYFUNCTION("IF(COUNTA(Q886:Q1350)=0,"""",IF(Q886="""",0,IF(REGEXMATCH(Q886,""^Sell_""),-ROUNDDOWN(ROUNDUP(INDEX(Upgrades!$C$3:$C$13,MATCH(SUBSTITUTE(Q886,""Sell_"",""""),Upgrades!$B$3:$B$13,0))*1.15^(COUNTIF(Q$4:Q885,SUBSTITUTE(Q886,""Sell_"",""""))-COUNTIF(Q$4:Q885,"&amp;"""Sell_""&amp;SUBSTITUTE(Q886,""Sell_"",""""))))/2),ROUNDUP(INDEX(Upgrades!$C$3:$C$13,MATCH(Q886,Upgrades!$B$3:$B$13,0))*1.15^(COUNTIF(Q$4:Q885,Q886)-COUNTIF(Q$4:Q885,""Sell_""&amp;Q886))))))"),"")</f>
        <v/>
      </c>
      <c r="V886" s="10" t="str">
        <f t="shared" si="11"/>
        <v/>
      </c>
      <c r="W886" s="68" t="str">
        <f t="shared" si="12"/>
        <v/>
      </c>
      <c r="X886" s="59" t="str">
        <f t="shared" si="13"/>
        <v/>
      </c>
      <c r="Y886" s="69" t="str">
        <f t="shared" si="14"/>
        <v/>
      </c>
      <c r="Z886" s="11"/>
    </row>
    <row r="887">
      <c r="A887" s="8"/>
      <c r="B887" s="56" t="str">
        <f t="shared" si="2"/>
        <v/>
      </c>
      <c r="C887" s="57"/>
      <c r="D887" s="10" t="str">
        <f>IFERROR(__xludf.DUMMYFUNCTION("IF(COUNTA(C887:C1350)=0,"""",IF(ISBLANK(C887),FALSE,IF(NOT(COUNTIF($AA$24:$AA$34,SUBSTITUTE(C887,""Sell_"",""""))),1,IF(REGEXMATCH(C887,""Sell_""),IF(COUNTIF(C$4:C887,SUBSTITUTE(C887,""Sell_"",""""))-COUNTIF(C$4:C886,C887)&lt;1,1),FALSE))))"),"")</f>
        <v/>
      </c>
      <c r="E887" s="59" t="str">
        <f t="array" ref="E887">IF(COUNTA(C887:C1350)=0,"",SUM((COUNTIF(C$4:C887,Upgrades!$B$3:$B$13)-COUNTIF(C$4:C887,"Sell_"&amp;Upgrades!$B$3:$B$13))*Upgrades!$D$3:$D$13))</f>
        <v/>
      </c>
      <c r="F887" s="66" t="str">
        <f>IFERROR(__xludf.DUMMYFUNCTION("IF(COUNTA(C887:C1350)=0,"""",IF(REGEXMATCH(INDEX(FILTER(C$4:C887,C$4:C887&lt;&gt;""""),ROWS(FILTER(C$4:C887,C$4:C887&lt;&gt;""""))),""^Sell_""),INDEX(FILTER(F$4:F886,C$4:C886&lt;&gt;""""),ROWS(FILTER(C$4:C886,C$4:C886&lt;&gt;""""))),$AC$5+E887))"),"")</f>
        <v/>
      </c>
      <c r="G887" s="10" t="str">
        <f>IFERROR(__xludf.DUMMYFUNCTION("IF(COUNTA(C887:C1350)=0,"""",IF(C887="""",0,IF(REGEXMATCH(C887,""^Sell_""),-ROUNDDOWN(ROUNDUP(INDEX(Upgrades!$C$3:$C$13,MATCH(SUBSTITUTE(C887,""Sell_"",""""),Upgrades!$B$3:$B$13,0))*1.15^(COUNTIF(C$4:C886,SUBSTITUTE(C887,""Sell_"",""""))-COUNTIF(C$4:C886,"&amp;"""Sell_""&amp;SUBSTITUTE(C887,""Sell_"",""""))))/2),ROUNDUP(INDEX(Upgrades!$C$3:$C$13,MATCH(C887,Upgrades!$B$3:$B$13,0))*1.15^(COUNTIF(C$4:C886,C887)-COUNTIF(C$4:C886,""Sell_""&amp;C887))))))"),"")</f>
        <v/>
      </c>
      <c r="H887" s="10" t="str">
        <f t="shared" si="3"/>
        <v/>
      </c>
      <c r="I887" s="68" t="str">
        <f t="shared" si="4"/>
        <v/>
      </c>
      <c r="J887" s="59" t="str">
        <f t="shared" si="5"/>
        <v/>
      </c>
      <c r="K887" s="69" t="str">
        <f t="shared" si="6"/>
        <v/>
      </c>
      <c r="L887" s="60" t="str">
        <f t="shared" si="7"/>
        <v/>
      </c>
      <c r="M887" s="61" t="str">
        <f>IFERROR(__xludf.DUMMYFUNCTION("IFS(AND(COUNTA(C887:C1350)=0,COUNTA(Q887:Q1350)=0),"""",OR(AND(K887&gt;=1000000000,OR(Y887&gt;=1000000000,COUNTA(Q887:Q1350)=0)),OR(Y887&gt;=1000000000,AND(COUNTA(C887:C1350)=0,P$3=TRUE))),
ROUNDDOWN((AB$1-AC$1)*MAX(INDEX(T$4:T1350,MATCH(LARGE(FILTER(Y$4:Y1350,Y$4"&amp;":Y1350&lt;1000000000),1),Y$4:Y1350)),INDEX(F$4:F1350,MATCH(LARGE(FILTER(K$4:K1350,K$4:K1350&lt;1000000000),1),K$4:K1350)))),AND(K887&lt;1000000000,COUNTA(C887:C1350)&gt;0,P$3=FALSE),
ROUNDDOWN(INDEX(Y$4:Y1350,MATCH(LARGE(FILTER(W$4:W1350,W$4:W1350&lt;=I887),1),W$4:W1350"&amp;"))+(I887-LARGE(FILTER(W$4:W1350,W$4:W1350&lt;=I887),1))*INDEX(T$4:T1350,MATCH(LARGE(FILTER(W$4:W1350,W$4:W1350&lt;=I887),1),W$4:W1350))-K887),1,
ROUNDDOWN(Y887-INDEX(K$4:K1350,MATCH(LARGE(FILTER(I$4:I1350,I$4:I1350&lt;=W887),1),I$4:I1350))-(W887-LARGE(FILTER(I$4:I"&amp;"1350,I$4:I1350&lt;=W887),1))*INDEX(F$4:F1350,MATCH(LARGE(FILTER(I$4:I1350,I$4:I1350&lt;=W887),1),I$4:I1350))))"),"")</f>
        <v/>
      </c>
      <c r="N887" s="60" t="str">
        <f t="shared" si="8"/>
        <v/>
      </c>
      <c r="O887" s="61" t="str">
        <f t="shared" si="9"/>
        <v/>
      </c>
      <c r="P887" s="56" t="str">
        <f t="shared" si="10"/>
        <v/>
      </c>
      <c r="Q887" s="62"/>
      <c r="R887" s="10" t="str">
        <f>IFERROR(__xludf.DUMMYFUNCTION("IF(COUNTA(Q887:Q1350)=0,"""",IF(ISBLANK(Q887),FALSE,IF(NOT(COUNTIF($AA$24:$AA$34,SUBSTITUTE(Q887,""Sell_"",""""))),1,IF(REGEXMATCH(Q887,""Sell_""),IF(COUNTIF(Q$4:Q887,SUBSTITUTE(Q887,""Sell_"",""""))-COUNTIF(Q$4:Q886,Q887)&lt;1,1),FALSE))))"),"")</f>
        <v/>
      </c>
      <c r="S887" s="59" t="str">
        <f t="array" ref="S887">IF(COUNTA(Q887:Q1350)=0,"",SUM((COUNTIF(Q$4:Q887,Upgrades!$B$3:$B$13)-COUNTIF(Q$4:Q887,"Sell_"&amp;Upgrades!$B$3:$B$13))*Upgrades!$D$3:$D$13))</f>
        <v/>
      </c>
      <c r="T887" s="66" t="str">
        <f>IFERROR(__xludf.DUMMYFUNCTION("IF(COUNTA(Q887:Q1350)=0,"""",IF(REGEXMATCH(INDEX(FILTER(Q$4:Q887,Q$4:Q887&lt;&gt;""""),ROWS(FILTER(Q$4:Q887,Q$4:Q887&lt;&gt;""""))),""^Sell_""),INDEX(FILTER(T$4:T886,Q$4:Q886&lt;&gt;""""),ROWS(FILTER(Q$4:Q886,Q$4:Q886&lt;&gt;""""))),$AD$5+S887))"),"")</f>
        <v/>
      </c>
      <c r="U887" s="10" t="str">
        <f>IFERROR(__xludf.DUMMYFUNCTION("IF(COUNTA(Q887:Q1350)=0,"""",IF(Q887="""",0,IF(REGEXMATCH(Q887,""^Sell_""),-ROUNDDOWN(ROUNDUP(INDEX(Upgrades!$C$3:$C$13,MATCH(SUBSTITUTE(Q887,""Sell_"",""""),Upgrades!$B$3:$B$13,0))*1.15^(COUNTIF(Q$4:Q886,SUBSTITUTE(Q887,""Sell_"",""""))-COUNTIF(Q$4:Q886,"&amp;"""Sell_""&amp;SUBSTITUTE(Q887,""Sell_"",""""))))/2),ROUNDUP(INDEX(Upgrades!$C$3:$C$13,MATCH(Q887,Upgrades!$B$3:$B$13,0))*1.15^(COUNTIF(Q$4:Q886,Q887)-COUNTIF(Q$4:Q886,""Sell_""&amp;Q887))))))"),"")</f>
        <v/>
      </c>
      <c r="V887" s="10" t="str">
        <f t="shared" si="11"/>
        <v/>
      </c>
      <c r="W887" s="68" t="str">
        <f t="shared" si="12"/>
        <v/>
      </c>
      <c r="X887" s="59" t="str">
        <f t="shared" si="13"/>
        <v/>
      </c>
      <c r="Y887" s="69" t="str">
        <f t="shared" si="14"/>
        <v/>
      </c>
      <c r="Z887" s="11"/>
    </row>
    <row r="888">
      <c r="A888" s="8"/>
      <c r="B888" s="56" t="str">
        <f t="shared" si="2"/>
        <v/>
      </c>
      <c r="C888" s="57"/>
      <c r="D888" s="10" t="str">
        <f>IFERROR(__xludf.DUMMYFUNCTION("IF(COUNTA(C888:C1350)=0,"""",IF(ISBLANK(C888),FALSE,IF(NOT(COUNTIF($AA$24:$AA$34,SUBSTITUTE(C888,""Sell_"",""""))),1,IF(REGEXMATCH(C888,""Sell_""),IF(COUNTIF(C$4:C888,SUBSTITUTE(C888,""Sell_"",""""))-COUNTIF(C$4:C887,C888)&lt;1,1),FALSE))))"),"")</f>
        <v/>
      </c>
      <c r="E888" s="59" t="str">
        <f t="array" ref="E888">IF(COUNTA(C888:C1350)=0,"",SUM((COUNTIF(C$4:C888,Upgrades!$B$3:$B$13)-COUNTIF(C$4:C888,"Sell_"&amp;Upgrades!$B$3:$B$13))*Upgrades!$D$3:$D$13))</f>
        <v/>
      </c>
      <c r="F888" s="66" t="str">
        <f>IFERROR(__xludf.DUMMYFUNCTION("IF(COUNTA(C888:C1350)=0,"""",IF(REGEXMATCH(INDEX(FILTER(C$4:C888,C$4:C888&lt;&gt;""""),ROWS(FILTER(C$4:C888,C$4:C888&lt;&gt;""""))),""^Sell_""),INDEX(FILTER(F$4:F887,C$4:C887&lt;&gt;""""),ROWS(FILTER(C$4:C887,C$4:C887&lt;&gt;""""))),$AC$5+E888))"),"")</f>
        <v/>
      </c>
      <c r="G888" s="10" t="str">
        <f>IFERROR(__xludf.DUMMYFUNCTION("IF(COUNTA(C888:C1350)=0,"""",IF(C888="""",0,IF(REGEXMATCH(C888,""^Sell_""),-ROUNDDOWN(ROUNDUP(INDEX(Upgrades!$C$3:$C$13,MATCH(SUBSTITUTE(C888,""Sell_"",""""),Upgrades!$B$3:$B$13,0))*1.15^(COUNTIF(C$4:C887,SUBSTITUTE(C888,""Sell_"",""""))-COUNTIF(C$4:C887,"&amp;"""Sell_""&amp;SUBSTITUTE(C888,""Sell_"",""""))))/2),ROUNDUP(INDEX(Upgrades!$C$3:$C$13,MATCH(C888,Upgrades!$B$3:$B$13,0))*1.15^(COUNTIF(C$4:C887,C888)-COUNTIF(C$4:C887,""Sell_""&amp;C888))))))"),"")</f>
        <v/>
      </c>
      <c r="H888" s="10" t="str">
        <f t="shared" si="3"/>
        <v/>
      </c>
      <c r="I888" s="68" t="str">
        <f t="shared" si="4"/>
        <v/>
      </c>
      <c r="J888" s="59" t="str">
        <f t="shared" si="5"/>
        <v/>
      </c>
      <c r="K888" s="69" t="str">
        <f t="shared" si="6"/>
        <v/>
      </c>
      <c r="L888" s="60" t="str">
        <f t="shared" si="7"/>
        <v/>
      </c>
      <c r="M888" s="61" t="str">
        <f>IFERROR(__xludf.DUMMYFUNCTION("IFS(AND(COUNTA(C888:C1350)=0,COUNTA(Q888:Q1350)=0),"""",OR(AND(K888&gt;=1000000000,OR(Y888&gt;=1000000000,COUNTA(Q888:Q1350)=0)),OR(Y888&gt;=1000000000,AND(COUNTA(C888:C1350)=0,P$3=TRUE))),
ROUNDDOWN((AB$1-AC$1)*MAX(INDEX(T$4:T1350,MATCH(LARGE(FILTER(Y$4:Y1350,Y$4"&amp;":Y1350&lt;1000000000),1),Y$4:Y1350)),INDEX(F$4:F1350,MATCH(LARGE(FILTER(K$4:K1350,K$4:K1350&lt;1000000000),1),K$4:K1350)))),AND(K888&lt;1000000000,COUNTA(C888:C1350)&gt;0,P$3=FALSE),
ROUNDDOWN(INDEX(Y$4:Y1350,MATCH(LARGE(FILTER(W$4:W1350,W$4:W1350&lt;=I888),1),W$4:W1350"&amp;"))+(I888-LARGE(FILTER(W$4:W1350,W$4:W1350&lt;=I888),1))*INDEX(T$4:T1350,MATCH(LARGE(FILTER(W$4:W1350,W$4:W1350&lt;=I888),1),W$4:W1350))-K888),1,
ROUNDDOWN(Y888-INDEX(K$4:K1350,MATCH(LARGE(FILTER(I$4:I1350,I$4:I1350&lt;=W888),1),I$4:I1350))-(W888-LARGE(FILTER(I$4:I"&amp;"1350,I$4:I1350&lt;=W888),1))*INDEX(F$4:F1350,MATCH(LARGE(FILTER(I$4:I1350,I$4:I1350&lt;=W888),1),I$4:I1350))))"),"")</f>
        <v/>
      </c>
      <c r="N888" s="60" t="str">
        <f t="shared" si="8"/>
        <v/>
      </c>
      <c r="O888" s="61" t="str">
        <f t="shared" si="9"/>
        <v/>
      </c>
      <c r="P888" s="56" t="str">
        <f t="shared" si="10"/>
        <v/>
      </c>
      <c r="Q888" s="62"/>
      <c r="R888" s="10" t="str">
        <f>IFERROR(__xludf.DUMMYFUNCTION("IF(COUNTA(Q888:Q1350)=0,"""",IF(ISBLANK(Q888),FALSE,IF(NOT(COUNTIF($AA$24:$AA$34,SUBSTITUTE(Q888,""Sell_"",""""))),1,IF(REGEXMATCH(Q888,""Sell_""),IF(COUNTIF(Q$4:Q888,SUBSTITUTE(Q888,""Sell_"",""""))-COUNTIF(Q$4:Q887,Q888)&lt;1,1),FALSE))))"),"")</f>
        <v/>
      </c>
      <c r="S888" s="59" t="str">
        <f t="array" ref="S888">IF(COUNTA(Q888:Q1350)=0,"",SUM((COUNTIF(Q$4:Q888,Upgrades!$B$3:$B$13)-COUNTIF(Q$4:Q888,"Sell_"&amp;Upgrades!$B$3:$B$13))*Upgrades!$D$3:$D$13))</f>
        <v/>
      </c>
      <c r="T888" s="66" t="str">
        <f>IFERROR(__xludf.DUMMYFUNCTION("IF(COUNTA(Q888:Q1350)=0,"""",IF(REGEXMATCH(INDEX(FILTER(Q$4:Q888,Q$4:Q888&lt;&gt;""""),ROWS(FILTER(Q$4:Q888,Q$4:Q888&lt;&gt;""""))),""^Sell_""),INDEX(FILTER(T$4:T887,Q$4:Q887&lt;&gt;""""),ROWS(FILTER(Q$4:Q887,Q$4:Q887&lt;&gt;""""))),$AD$5+S888))"),"")</f>
        <v/>
      </c>
      <c r="U888" s="10" t="str">
        <f>IFERROR(__xludf.DUMMYFUNCTION("IF(COUNTA(Q888:Q1350)=0,"""",IF(Q888="""",0,IF(REGEXMATCH(Q888,""^Sell_""),-ROUNDDOWN(ROUNDUP(INDEX(Upgrades!$C$3:$C$13,MATCH(SUBSTITUTE(Q888,""Sell_"",""""),Upgrades!$B$3:$B$13,0))*1.15^(COUNTIF(Q$4:Q887,SUBSTITUTE(Q888,""Sell_"",""""))-COUNTIF(Q$4:Q887,"&amp;"""Sell_""&amp;SUBSTITUTE(Q888,""Sell_"",""""))))/2),ROUNDUP(INDEX(Upgrades!$C$3:$C$13,MATCH(Q888,Upgrades!$B$3:$B$13,0))*1.15^(COUNTIF(Q$4:Q887,Q888)-COUNTIF(Q$4:Q887,""Sell_""&amp;Q888))))))"),"")</f>
        <v/>
      </c>
      <c r="V888" s="10" t="str">
        <f t="shared" si="11"/>
        <v/>
      </c>
      <c r="W888" s="68" t="str">
        <f t="shared" si="12"/>
        <v/>
      </c>
      <c r="X888" s="59" t="str">
        <f t="shared" si="13"/>
        <v/>
      </c>
      <c r="Y888" s="69" t="str">
        <f t="shared" si="14"/>
        <v/>
      </c>
      <c r="Z888" s="11"/>
    </row>
    <row r="889">
      <c r="A889" s="8"/>
      <c r="B889" s="56" t="str">
        <f t="shared" si="2"/>
        <v/>
      </c>
      <c r="C889" s="57"/>
      <c r="D889" s="10" t="str">
        <f>IFERROR(__xludf.DUMMYFUNCTION("IF(COUNTA(C889:C1350)=0,"""",IF(ISBLANK(C889),FALSE,IF(NOT(COUNTIF($AA$24:$AA$34,SUBSTITUTE(C889,""Sell_"",""""))),1,IF(REGEXMATCH(C889,""Sell_""),IF(COUNTIF(C$4:C889,SUBSTITUTE(C889,""Sell_"",""""))-COUNTIF(C$4:C888,C889)&lt;1,1),FALSE))))"),"")</f>
        <v/>
      </c>
      <c r="E889" s="59" t="str">
        <f t="array" ref="E889">IF(COUNTA(C889:C1350)=0,"",SUM((COUNTIF(C$4:C889,Upgrades!$B$3:$B$13)-COUNTIF(C$4:C889,"Sell_"&amp;Upgrades!$B$3:$B$13))*Upgrades!$D$3:$D$13))</f>
        <v/>
      </c>
      <c r="F889" s="66" t="str">
        <f>IFERROR(__xludf.DUMMYFUNCTION("IF(COUNTA(C889:C1350)=0,"""",IF(REGEXMATCH(INDEX(FILTER(C$4:C889,C$4:C889&lt;&gt;""""),ROWS(FILTER(C$4:C889,C$4:C889&lt;&gt;""""))),""^Sell_""),INDEX(FILTER(F$4:F888,C$4:C888&lt;&gt;""""),ROWS(FILTER(C$4:C888,C$4:C888&lt;&gt;""""))),$AC$5+E889))"),"")</f>
        <v/>
      </c>
      <c r="G889" s="10" t="str">
        <f>IFERROR(__xludf.DUMMYFUNCTION("IF(COUNTA(C889:C1350)=0,"""",IF(C889="""",0,IF(REGEXMATCH(C889,""^Sell_""),-ROUNDDOWN(ROUNDUP(INDEX(Upgrades!$C$3:$C$13,MATCH(SUBSTITUTE(C889,""Sell_"",""""),Upgrades!$B$3:$B$13,0))*1.15^(COUNTIF(C$4:C888,SUBSTITUTE(C889,""Sell_"",""""))-COUNTIF(C$4:C888,"&amp;"""Sell_""&amp;SUBSTITUTE(C889,""Sell_"",""""))))/2),ROUNDUP(INDEX(Upgrades!$C$3:$C$13,MATCH(C889,Upgrades!$B$3:$B$13,0))*1.15^(COUNTIF(C$4:C888,C889)-COUNTIF(C$4:C888,""Sell_""&amp;C889))))))"),"")</f>
        <v/>
      </c>
      <c r="H889" s="10" t="str">
        <f t="shared" si="3"/>
        <v/>
      </c>
      <c r="I889" s="68" t="str">
        <f t="shared" si="4"/>
        <v/>
      </c>
      <c r="J889" s="59" t="str">
        <f t="shared" si="5"/>
        <v/>
      </c>
      <c r="K889" s="69" t="str">
        <f t="shared" si="6"/>
        <v/>
      </c>
      <c r="L889" s="60" t="str">
        <f t="shared" si="7"/>
        <v/>
      </c>
      <c r="M889" s="61" t="str">
        <f>IFERROR(__xludf.DUMMYFUNCTION("IFS(AND(COUNTA(C889:C1350)=0,COUNTA(Q889:Q1350)=0),"""",OR(AND(K889&gt;=1000000000,OR(Y889&gt;=1000000000,COUNTA(Q889:Q1350)=0)),OR(Y889&gt;=1000000000,AND(COUNTA(C889:C1350)=0,P$3=TRUE))),
ROUNDDOWN((AB$1-AC$1)*MAX(INDEX(T$4:T1350,MATCH(LARGE(FILTER(Y$4:Y1350,Y$4"&amp;":Y1350&lt;1000000000),1),Y$4:Y1350)),INDEX(F$4:F1350,MATCH(LARGE(FILTER(K$4:K1350,K$4:K1350&lt;1000000000),1),K$4:K1350)))),AND(K889&lt;1000000000,COUNTA(C889:C1350)&gt;0,P$3=FALSE),
ROUNDDOWN(INDEX(Y$4:Y1350,MATCH(LARGE(FILTER(W$4:W1350,W$4:W1350&lt;=I889),1),W$4:W1350"&amp;"))+(I889-LARGE(FILTER(W$4:W1350,W$4:W1350&lt;=I889),1))*INDEX(T$4:T1350,MATCH(LARGE(FILTER(W$4:W1350,W$4:W1350&lt;=I889),1),W$4:W1350))-K889),1,
ROUNDDOWN(Y889-INDEX(K$4:K1350,MATCH(LARGE(FILTER(I$4:I1350,I$4:I1350&lt;=W889),1),I$4:I1350))-(W889-LARGE(FILTER(I$4:I"&amp;"1350,I$4:I1350&lt;=W889),1))*INDEX(F$4:F1350,MATCH(LARGE(FILTER(I$4:I1350,I$4:I1350&lt;=W889),1),I$4:I1350))))"),"")</f>
        <v/>
      </c>
      <c r="N889" s="60" t="str">
        <f t="shared" si="8"/>
        <v/>
      </c>
      <c r="O889" s="61" t="str">
        <f t="shared" si="9"/>
        <v/>
      </c>
      <c r="P889" s="56" t="str">
        <f t="shared" si="10"/>
        <v/>
      </c>
      <c r="Q889" s="62"/>
      <c r="R889" s="10" t="str">
        <f>IFERROR(__xludf.DUMMYFUNCTION("IF(COUNTA(Q889:Q1350)=0,"""",IF(ISBLANK(Q889),FALSE,IF(NOT(COUNTIF($AA$24:$AA$34,SUBSTITUTE(Q889,""Sell_"",""""))),1,IF(REGEXMATCH(Q889,""Sell_""),IF(COUNTIF(Q$4:Q889,SUBSTITUTE(Q889,""Sell_"",""""))-COUNTIF(Q$4:Q888,Q889)&lt;1,1),FALSE))))"),"")</f>
        <v/>
      </c>
      <c r="S889" s="59" t="str">
        <f t="array" ref="S889">IF(COUNTA(Q889:Q1350)=0,"",SUM((COUNTIF(Q$4:Q889,Upgrades!$B$3:$B$13)-COUNTIF(Q$4:Q889,"Sell_"&amp;Upgrades!$B$3:$B$13))*Upgrades!$D$3:$D$13))</f>
        <v/>
      </c>
      <c r="T889" s="66" t="str">
        <f>IFERROR(__xludf.DUMMYFUNCTION("IF(COUNTA(Q889:Q1350)=0,"""",IF(REGEXMATCH(INDEX(FILTER(Q$4:Q889,Q$4:Q889&lt;&gt;""""),ROWS(FILTER(Q$4:Q889,Q$4:Q889&lt;&gt;""""))),""^Sell_""),INDEX(FILTER(T$4:T888,Q$4:Q888&lt;&gt;""""),ROWS(FILTER(Q$4:Q888,Q$4:Q888&lt;&gt;""""))),$AD$5+S889))"),"")</f>
        <v/>
      </c>
      <c r="U889" s="10" t="str">
        <f>IFERROR(__xludf.DUMMYFUNCTION("IF(COUNTA(Q889:Q1350)=0,"""",IF(Q889="""",0,IF(REGEXMATCH(Q889,""^Sell_""),-ROUNDDOWN(ROUNDUP(INDEX(Upgrades!$C$3:$C$13,MATCH(SUBSTITUTE(Q889,""Sell_"",""""),Upgrades!$B$3:$B$13,0))*1.15^(COUNTIF(Q$4:Q888,SUBSTITUTE(Q889,""Sell_"",""""))-COUNTIF(Q$4:Q888,"&amp;"""Sell_""&amp;SUBSTITUTE(Q889,""Sell_"",""""))))/2),ROUNDUP(INDEX(Upgrades!$C$3:$C$13,MATCH(Q889,Upgrades!$B$3:$B$13,0))*1.15^(COUNTIF(Q$4:Q888,Q889)-COUNTIF(Q$4:Q888,""Sell_""&amp;Q889))))))"),"")</f>
        <v/>
      </c>
      <c r="V889" s="10" t="str">
        <f t="shared" si="11"/>
        <v/>
      </c>
      <c r="W889" s="68" t="str">
        <f t="shared" si="12"/>
        <v/>
      </c>
      <c r="X889" s="59" t="str">
        <f t="shared" si="13"/>
        <v/>
      </c>
      <c r="Y889" s="69" t="str">
        <f t="shared" si="14"/>
        <v/>
      </c>
      <c r="Z889" s="11"/>
    </row>
    <row r="890">
      <c r="A890" s="8"/>
      <c r="B890" s="56" t="str">
        <f t="shared" si="2"/>
        <v/>
      </c>
      <c r="C890" s="57"/>
      <c r="D890" s="10" t="str">
        <f>IFERROR(__xludf.DUMMYFUNCTION("IF(COUNTA(C890:C1350)=0,"""",IF(ISBLANK(C890),FALSE,IF(NOT(COUNTIF($AA$24:$AA$34,SUBSTITUTE(C890,""Sell_"",""""))),1,IF(REGEXMATCH(C890,""Sell_""),IF(COUNTIF(C$4:C890,SUBSTITUTE(C890,""Sell_"",""""))-COUNTIF(C$4:C889,C890)&lt;1,1),FALSE))))"),"")</f>
        <v/>
      </c>
      <c r="E890" s="59" t="str">
        <f t="array" ref="E890">IF(COUNTA(C890:C1350)=0,"",SUM((COUNTIF(C$4:C890,Upgrades!$B$3:$B$13)-COUNTIF(C$4:C890,"Sell_"&amp;Upgrades!$B$3:$B$13))*Upgrades!$D$3:$D$13))</f>
        <v/>
      </c>
      <c r="F890" s="66" t="str">
        <f>IFERROR(__xludf.DUMMYFUNCTION("IF(COUNTA(C890:C1350)=0,"""",IF(REGEXMATCH(INDEX(FILTER(C$4:C890,C$4:C890&lt;&gt;""""),ROWS(FILTER(C$4:C890,C$4:C890&lt;&gt;""""))),""^Sell_""),INDEX(FILTER(F$4:F889,C$4:C889&lt;&gt;""""),ROWS(FILTER(C$4:C889,C$4:C889&lt;&gt;""""))),$AC$5+E890))"),"")</f>
        <v/>
      </c>
      <c r="G890" s="10" t="str">
        <f>IFERROR(__xludf.DUMMYFUNCTION("IF(COUNTA(C890:C1350)=0,"""",IF(C890="""",0,IF(REGEXMATCH(C890,""^Sell_""),-ROUNDDOWN(ROUNDUP(INDEX(Upgrades!$C$3:$C$13,MATCH(SUBSTITUTE(C890,""Sell_"",""""),Upgrades!$B$3:$B$13,0))*1.15^(COUNTIF(C$4:C889,SUBSTITUTE(C890,""Sell_"",""""))-COUNTIF(C$4:C889,"&amp;"""Sell_""&amp;SUBSTITUTE(C890,""Sell_"",""""))))/2),ROUNDUP(INDEX(Upgrades!$C$3:$C$13,MATCH(C890,Upgrades!$B$3:$B$13,0))*1.15^(COUNTIF(C$4:C889,C890)-COUNTIF(C$4:C889,""Sell_""&amp;C890))))))"),"")</f>
        <v/>
      </c>
      <c r="H890" s="10" t="str">
        <f t="shared" si="3"/>
        <v/>
      </c>
      <c r="I890" s="68" t="str">
        <f t="shared" si="4"/>
        <v/>
      </c>
      <c r="J890" s="59" t="str">
        <f t="shared" si="5"/>
        <v/>
      </c>
      <c r="K890" s="69" t="str">
        <f t="shared" si="6"/>
        <v/>
      </c>
      <c r="L890" s="60" t="str">
        <f t="shared" si="7"/>
        <v/>
      </c>
      <c r="M890" s="61" t="str">
        <f>IFERROR(__xludf.DUMMYFUNCTION("IFS(AND(COUNTA(C890:C1350)=0,COUNTA(Q890:Q1350)=0),"""",OR(AND(K890&gt;=1000000000,OR(Y890&gt;=1000000000,COUNTA(Q890:Q1350)=0)),OR(Y890&gt;=1000000000,AND(COUNTA(C890:C1350)=0,P$3=TRUE))),
ROUNDDOWN((AB$1-AC$1)*MAX(INDEX(T$4:T1350,MATCH(LARGE(FILTER(Y$4:Y1350,Y$4"&amp;":Y1350&lt;1000000000),1),Y$4:Y1350)),INDEX(F$4:F1350,MATCH(LARGE(FILTER(K$4:K1350,K$4:K1350&lt;1000000000),1),K$4:K1350)))),AND(K890&lt;1000000000,COUNTA(C890:C1350)&gt;0,P$3=FALSE),
ROUNDDOWN(INDEX(Y$4:Y1350,MATCH(LARGE(FILTER(W$4:W1350,W$4:W1350&lt;=I890),1),W$4:W1350"&amp;"))+(I890-LARGE(FILTER(W$4:W1350,W$4:W1350&lt;=I890),1))*INDEX(T$4:T1350,MATCH(LARGE(FILTER(W$4:W1350,W$4:W1350&lt;=I890),1),W$4:W1350))-K890),1,
ROUNDDOWN(Y890-INDEX(K$4:K1350,MATCH(LARGE(FILTER(I$4:I1350,I$4:I1350&lt;=W890),1),I$4:I1350))-(W890-LARGE(FILTER(I$4:I"&amp;"1350,I$4:I1350&lt;=W890),1))*INDEX(F$4:F1350,MATCH(LARGE(FILTER(I$4:I1350,I$4:I1350&lt;=W890),1),I$4:I1350))))"),"")</f>
        <v/>
      </c>
      <c r="N890" s="60" t="str">
        <f t="shared" si="8"/>
        <v/>
      </c>
      <c r="O890" s="61" t="str">
        <f t="shared" si="9"/>
        <v/>
      </c>
      <c r="P890" s="56" t="str">
        <f t="shared" si="10"/>
        <v/>
      </c>
      <c r="Q890" s="62"/>
      <c r="R890" s="10" t="str">
        <f>IFERROR(__xludf.DUMMYFUNCTION("IF(COUNTA(Q890:Q1350)=0,"""",IF(ISBLANK(Q890),FALSE,IF(NOT(COUNTIF($AA$24:$AA$34,SUBSTITUTE(Q890,""Sell_"",""""))),1,IF(REGEXMATCH(Q890,""Sell_""),IF(COUNTIF(Q$4:Q890,SUBSTITUTE(Q890,""Sell_"",""""))-COUNTIF(Q$4:Q889,Q890)&lt;1,1),FALSE))))"),"")</f>
        <v/>
      </c>
      <c r="S890" s="59" t="str">
        <f t="array" ref="S890">IF(COUNTA(Q890:Q1350)=0,"",SUM((COUNTIF(Q$4:Q890,Upgrades!$B$3:$B$13)-COUNTIF(Q$4:Q890,"Sell_"&amp;Upgrades!$B$3:$B$13))*Upgrades!$D$3:$D$13))</f>
        <v/>
      </c>
      <c r="T890" s="66" t="str">
        <f>IFERROR(__xludf.DUMMYFUNCTION("IF(COUNTA(Q890:Q1350)=0,"""",IF(REGEXMATCH(INDEX(FILTER(Q$4:Q890,Q$4:Q890&lt;&gt;""""),ROWS(FILTER(Q$4:Q890,Q$4:Q890&lt;&gt;""""))),""^Sell_""),INDEX(FILTER(T$4:T889,Q$4:Q889&lt;&gt;""""),ROWS(FILTER(Q$4:Q889,Q$4:Q889&lt;&gt;""""))),$AD$5+S890))"),"")</f>
        <v/>
      </c>
      <c r="U890" s="10" t="str">
        <f>IFERROR(__xludf.DUMMYFUNCTION("IF(COUNTA(Q890:Q1350)=0,"""",IF(Q890="""",0,IF(REGEXMATCH(Q890,""^Sell_""),-ROUNDDOWN(ROUNDUP(INDEX(Upgrades!$C$3:$C$13,MATCH(SUBSTITUTE(Q890,""Sell_"",""""),Upgrades!$B$3:$B$13,0))*1.15^(COUNTIF(Q$4:Q889,SUBSTITUTE(Q890,""Sell_"",""""))-COUNTIF(Q$4:Q889,"&amp;"""Sell_""&amp;SUBSTITUTE(Q890,""Sell_"",""""))))/2),ROUNDUP(INDEX(Upgrades!$C$3:$C$13,MATCH(Q890,Upgrades!$B$3:$B$13,0))*1.15^(COUNTIF(Q$4:Q889,Q890)-COUNTIF(Q$4:Q889,""Sell_""&amp;Q890))))))"),"")</f>
        <v/>
      </c>
      <c r="V890" s="10" t="str">
        <f t="shared" si="11"/>
        <v/>
      </c>
      <c r="W890" s="68" t="str">
        <f t="shared" si="12"/>
        <v/>
      </c>
      <c r="X890" s="59" t="str">
        <f t="shared" si="13"/>
        <v/>
      </c>
      <c r="Y890" s="69" t="str">
        <f t="shared" si="14"/>
        <v/>
      </c>
      <c r="Z890" s="11"/>
    </row>
    <row r="891">
      <c r="A891" s="8"/>
      <c r="B891" s="56" t="str">
        <f t="shared" si="2"/>
        <v/>
      </c>
      <c r="C891" s="57"/>
      <c r="D891" s="10" t="str">
        <f>IFERROR(__xludf.DUMMYFUNCTION("IF(COUNTA(C891:C1350)=0,"""",IF(ISBLANK(C891),FALSE,IF(NOT(COUNTIF($AA$24:$AA$34,SUBSTITUTE(C891,""Sell_"",""""))),1,IF(REGEXMATCH(C891,""Sell_""),IF(COUNTIF(C$4:C891,SUBSTITUTE(C891,""Sell_"",""""))-COUNTIF(C$4:C890,C891)&lt;1,1),FALSE))))"),"")</f>
        <v/>
      </c>
      <c r="E891" s="59" t="str">
        <f t="array" ref="E891">IF(COUNTA(C891:C1350)=0,"",SUM((COUNTIF(C$4:C891,Upgrades!$B$3:$B$13)-COUNTIF(C$4:C891,"Sell_"&amp;Upgrades!$B$3:$B$13))*Upgrades!$D$3:$D$13))</f>
        <v/>
      </c>
      <c r="F891" s="66" t="str">
        <f>IFERROR(__xludf.DUMMYFUNCTION("IF(COUNTA(C891:C1350)=0,"""",IF(REGEXMATCH(INDEX(FILTER(C$4:C891,C$4:C891&lt;&gt;""""),ROWS(FILTER(C$4:C891,C$4:C891&lt;&gt;""""))),""^Sell_""),INDEX(FILTER(F$4:F890,C$4:C890&lt;&gt;""""),ROWS(FILTER(C$4:C890,C$4:C890&lt;&gt;""""))),$AC$5+E891))"),"")</f>
        <v/>
      </c>
      <c r="G891" s="10" t="str">
        <f>IFERROR(__xludf.DUMMYFUNCTION("IF(COUNTA(C891:C1350)=0,"""",IF(C891="""",0,IF(REGEXMATCH(C891,""^Sell_""),-ROUNDDOWN(ROUNDUP(INDEX(Upgrades!$C$3:$C$13,MATCH(SUBSTITUTE(C891,""Sell_"",""""),Upgrades!$B$3:$B$13,0))*1.15^(COUNTIF(C$4:C890,SUBSTITUTE(C891,""Sell_"",""""))-COUNTIF(C$4:C890,"&amp;"""Sell_""&amp;SUBSTITUTE(C891,""Sell_"",""""))))/2),ROUNDUP(INDEX(Upgrades!$C$3:$C$13,MATCH(C891,Upgrades!$B$3:$B$13,0))*1.15^(COUNTIF(C$4:C890,C891)-COUNTIF(C$4:C890,""Sell_""&amp;C891))))))"),"")</f>
        <v/>
      </c>
      <c r="H891" s="10" t="str">
        <f t="shared" si="3"/>
        <v/>
      </c>
      <c r="I891" s="68" t="str">
        <f t="shared" si="4"/>
        <v/>
      </c>
      <c r="J891" s="59" t="str">
        <f t="shared" si="5"/>
        <v/>
      </c>
      <c r="K891" s="69" t="str">
        <f t="shared" si="6"/>
        <v/>
      </c>
      <c r="L891" s="60" t="str">
        <f t="shared" si="7"/>
        <v/>
      </c>
      <c r="M891" s="61" t="str">
        <f>IFERROR(__xludf.DUMMYFUNCTION("IFS(AND(COUNTA(C891:C1350)=0,COUNTA(Q891:Q1350)=0),"""",OR(AND(K891&gt;=1000000000,OR(Y891&gt;=1000000000,COUNTA(Q891:Q1350)=0)),OR(Y891&gt;=1000000000,AND(COUNTA(C891:C1350)=0,P$3=TRUE))),
ROUNDDOWN((AB$1-AC$1)*MAX(INDEX(T$4:T1350,MATCH(LARGE(FILTER(Y$4:Y1350,Y$4"&amp;":Y1350&lt;1000000000),1),Y$4:Y1350)),INDEX(F$4:F1350,MATCH(LARGE(FILTER(K$4:K1350,K$4:K1350&lt;1000000000),1),K$4:K1350)))),AND(K891&lt;1000000000,COUNTA(C891:C1350)&gt;0,P$3=FALSE),
ROUNDDOWN(INDEX(Y$4:Y1350,MATCH(LARGE(FILTER(W$4:W1350,W$4:W1350&lt;=I891),1),W$4:W1350"&amp;"))+(I891-LARGE(FILTER(W$4:W1350,W$4:W1350&lt;=I891),1))*INDEX(T$4:T1350,MATCH(LARGE(FILTER(W$4:W1350,W$4:W1350&lt;=I891),1),W$4:W1350))-K891),1,
ROUNDDOWN(Y891-INDEX(K$4:K1350,MATCH(LARGE(FILTER(I$4:I1350,I$4:I1350&lt;=W891),1),I$4:I1350))-(W891-LARGE(FILTER(I$4:I"&amp;"1350,I$4:I1350&lt;=W891),1))*INDEX(F$4:F1350,MATCH(LARGE(FILTER(I$4:I1350,I$4:I1350&lt;=W891),1),I$4:I1350))))"),"")</f>
        <v/>
      </c>
      <c r="N891" s="60" t="str">
        <f t="shared" si="8"/>
        <v/>
      </c>
      <c r="O891" s="61" t="str">
        <f t="shared" si="9"/>
        <v/>
      </c>
      <c r="P891" s="56" t="str">
        <f t="shared" si="10"/>
        <v/>
      </c>
      <c r="Q891" s="62"/>
      <c r="R891" s="10" t="str">
        <f>IFERROR(__xludf.DUMMYFUNCTION("IF(COUNTA(Q891:Q1350)=0,"""",IF(ISBLANK(Q891),FALSE,IF(NOT(COUNTIF($AA$24:$AA$34,SUBSTITUTE(Q891,""Sell_"",""""))),1,IF(REGEXMATCH(Q891,""Sell_""),IF(COUNTIF(Q$4:Q891,SUBSTITUTE(Q891,""Sell_"",""""))-COUNTIF(Q$4:Q890,Q891)&lt;1,1),FALSE))))"),"")</f>
        <v/>
      </c>
      <c r="S891" s="59" t="str">
        <f t="array" ref="S891">IF(COUNTA(Q891:Q1350)=0,"",SUM((COUNTIF(Q$4:Q891,Upgrades!$B$3:$B$13)-COUNTIF(Q$4:Q891,"Sell_"&amp;Upgrades!$B$3:$B$13))*Upgrades!$D$3:$D$13))</f>
        <v/>
      </c>
      <c r="T891" s="66" t="str">
        <f>IFERROR(__xludf.DUMMYFUNCTION("IF(COUNTA(Q891:Q1350)=0,"""",IF(REGEXMATCH(INDEX(FILTER(Q$4:Q891,Q$4:Q891&lt;&gt;""""),ROWS(FILTER(Q$4:Q891,Q$4:Q891&lt;&gt;""""))),""^Sell_""),INDEX(FILTER(T$4:T890,Q$4:Q890&lt;&gt;""""),ROWS(FILTER(Q$4:Q890,Q$4:Q890&lt;&gt;""""))),$AD$5+S891))"),"")</f>
        <v/>
      </c>
      <c r="U891" s="10" t="str">
        <f>IFERROR(__xludf.DUMMYFUNCTION("IF(COUNTA(Q891:Q1350)=0,"""",IF(Q891="""",0,IF(REGEXMATCH(Q891,""^Sell_""),-ROUNDDOWN(ROUNDUP(INDEX(Upgrades!$C$3:$C$13,MATCH(SUBSTITUTE(Q891,""Sell_"",""""),Upgrades!$B$3:$B$13,0))*1.15^(COUNTIF(Q$4:Q890,SUBSTITUTE(Q891,""Sell_"",""""))-COUNTIF(Q$4:Q890,"&amp;"""Sell_""&amp;SUBSTITUTE(Q891,""Sell_"",""""))))/2),ROUNDUP(INDEX(Upgrades!$C$3:$C$13,MATCH(Q891,Upgrades!$B$3:$B$13,0))*1.15^(COUNTIF(Q$4:Q890,Q891)-COUNTIF(Q$4:Q890,""Sell_""&amp;Q891))))))"),"")</f>
        <v/>
      </c>
      <c r="V891" s="10" t="str">
        <f t="shared" si="11"/>
        <v/>
      </c>
      <c r="W891" s="68" t="str">
        <f t="shared" si="12"/>
        <v/>
      </c>
      <c r="X891" s="59" t="str">
        <f t="shared" si="13"/>
        <v/>
      </c>
      <c r="Y891" s="69" t="str">
        <f t="shared" si="14"/>
        <v/>
      </c>
      <c r="Z891" s="11"/>
    </row>
    <row r="892">
      <c r="A892" s="8"/>
      <c r="B892" s="56" t="str">
        <f t="shared" si="2"/>
        <v/>
      </c>
      <c r="C892" s="57"/>
      <c r="D892" s="10" t="str">
        <f>IFERROR(__xludf.DUMMYFUNCTION("IF(COUNTA(C892:C1350)=0,"""",IF(ISBLANK(C892),FALSE,IF(NOT(COUNTIF($AA$24:$AA$34,SUBSTITUTE(C892,""Sell_"",""""))),1,IF(REGEXMATCH(C892,""Sell_""),IF(COUNTIF(C$4:C892,SUBSTITUTE(C892,""Sell_"",""""))-COUNTIF(C$4:C891,C892)&lt;1,1),FALSE))))"),"")</f>
        <v/>
      </c>
      <c r="E892" s="59" t="str">
        <f t="array" ref="E892">IF(COUNTA(C892:C1350)=0,"",SUM((COUNTIF(C$4:C892,Upgrades!$B$3:$B$13)-COUNTIF(C$4:C892,"Sell_"&amp;Upgrades!$B$3:$B$13))*Upgrades!$D$3:$D$13))</f>
        <v/>
      </c>
      <c r="F892" s="66" t="str">
        <f>IFERROR(__xludf.DUMMYFUNCTION("IF(COUNTA(C892:C1350)=0,"""",IF(REGEXMATCH(INDEX(FILTER(C$4:C892,C$4:C892&lt;&gt;""""),ROWS(FILTER(C$4:C892,C$4:C892&lt;&gt;""""))),""^Sell_""),INDEX(FILTER(F$4:F891,C$4:C891&lt;&gt;""""),ROWS(FILTER(C$4:C891,C$4:C891&lt;&gt;""""))),$AC$5+E892))"),"")</f>
        <v/>
      </c>
      <c r="G892" s="10" t="str">
        <f>IFERROR(__xludf.DUMMYFUNCTION("IF(COUNTA(C892:C1350)=0,"""",IF(C892="""",0,IF(REGEXMATCH(C892,""^Sell_""),-ROUNDDOWN(ROUNDUP(INDEX(Upgrades!$C$3:$C$13,MATCH(SUBSTITUTE(C892,""Sell_"",""""),Upgrades!$B$3:$B$13,0))*1.15^(COUNTIF(C$4:C891,SUBSTITUTE(C892,""Sell_"",""""))-COUNTIF(C$4:C891,"&amp;"""Sell_""&amp;SUBSTITUTE(C892,""Sell_"",""""))))/2),ROUNDUP(INDEX(Upgrades!$C$3:$C$13,MATCH(C892,Upgrades!$B$3:$B$13,0))*1.15^(COUNTIF(C$4:C891,C892)-COUNTIF(C$4:C891,""Sell_""&amp;C892))))))"),"")</f>
        <v/>
      </c>
      <c r="H892" s="10" t="str">
        <f t="shared" si="3"/>
        <v/>
      </c>
      <c r="I892" s="68" t="str">
        <f t="shared" si="4"/>
        <v/>
      </c>
      <c r="J892" s="59" t="str">
        <f t="shared" si="5"/>
        <v/>
      </c>
      <c r="K892" s="69" t="str">
        <f t="shared" si="6"/>
        <v/>
      </c>
      <c r="L892" s="60" t="str">
        <f t="shared" si="7"/>
        <v/>
      </c>
      <c r="M892" s="61" t="str">
        <f>IFERROR(__xludf.DUMMYFUNCTION("IFS(AND(COUNTA(C892:C1350)=0,COUNTA(Q892:Q1350)=0),"""",OR(AND(K892&gt;=1000000000,OR(Y892&gt;=1000000000,COUNTA(Q892:Q1350)=0)),OR(Y892&gt;=1000000000,AND(COUNTA(C892:C1350)=0,P$3=TRUE))),
ROUNDDOWN((AB$1-AC$1)*MAX(INDEX(T$4:T1350,MATCH(LARGE(FILTER(Y$4:Y1350,Y$4"&amp;":Y1350&lt;1000000000),1),Y$4:Y1350)),INDEX(F$4:F1350,MATCH(LARGE(FILTER(K$4:K1350,K$4:K1350&lt;1000000000),1),K$4:K1350)))),AND(K892&lt;1000000000,COUNTA(C892:C1350)&gt;0,P$3=FALSE),
ROUNDDOWN(INDEX(Y$4:Y1350,MATCH(LARGE(FILTER(W$4:W1350,W$4:W1350&lt;=I892),1),W$4:W1350"&amp;"))+(I892-LARGE(FILTER(W$4:W1350,W$4:W1350&lt;=I892),1))*INDEX(T$4:T1350,MATCH(LARGE(FILTER(W$4:W1350,W$4:W1350&lt;=I892),1),W$4:W1350))-K892),1,
ROUNDDOWN(Y892-INDEX(K$4:K1350,MATCH(LARGE(FILTER(I$4:I1350,I$4:I1350&lt;=W892),1),I$4:I1350))-(W892-LARGE(FILTER(I$4:I"&amp;"1350,I$4:I1350&lt;=W892),1))*INDEX(F$4:F1350,MATCH(LARGE(FILTER(I$4:I1350,I$4:I1350&lt;=W892),1),I$4:I1350))))"),"")</f>
        <v/>
      </c>
      <c r="N892" s="60" t="str">
        <f t="shared" si="8"/>
        <v/>
      </c>
      <c r="O892" s="61" t="str">
        <f t="shared" si="9"/>
        <v/>
      </c>
      <c r="P892" s="56" t="str">
        <f t="shared" si="10"/>
        <v/>
      </c>
      <c r="Q892" s="62"/>
      <c r="R892" s="10" t="str">
        <f>IFERROR(__xludf.DUMMYFUNCTION("IF(COUNTA(Q892:Q1350)=0,"""",IF(ISBLANK(Q892),FALSE,IF(NOT(COUNTIF($AA$24:$AA$34,SUBSTITUTE(Q892,""Sell_"",""""))),1,IF(REGEXMATCH(Q892,""Sell_""),IF(COUNTIF(Q$4:Q892,SUBSTITUTE(Q892,""Sell_"",""""))-COUNTIF(Q$4:Q891,Q892)&lt;1,1),FALSE))))"),"")</f>
        <v/>
      </c>
      <c r="S892" s="59" t="str">
        <f t="array" ref="S892">IF(COUNTA(Q892:Q1350)=0,"",SUM((COUNTIF(Q$4:Q892,Upgrades!$B$3:$B$13)-COUNTIF(Q$4:Q892,"Sell_"&amp;Upgrades!$B$3:$B$13))*Upgrades!$D$3:$D$13))</f>
        <v/>
      </c>
      <c r="T892" s="66" t="str">
        <f>IFERROR(__xludf.DUMMYFUNCTION("IF(COUNTA(Q892:Q1350)=0,"""",IF(REGEXMATCH(INDEX(FILTER(Q$4:Q892,Q$4:Q892&lt;&gt;""""),ROWS(FILTER(Q$4:Q892,Q$4:Q892&lt;&gt;""""))),""^Sell_""),INDEX(FILTER(T$4:T891,Q$4:Q891&lt;&gt;""""),ROWS(FILTER(Q$4:Q891,Q$4:Q891&lt;&gt;""""))),$AD$5+S892))"),"")</f>
        <v/>
      </c>
      <c r="U892" s="10" t="str">
        <f>IFERROR(__xludf.DUMMYFUNCTION("IF(COUNTA(Q892:Q1350)=0,"""",IF(Q892="""",0,IF(REGEXMATCH(Q892,""^Sell_""),-ROUNDDOWN(ROUNDUP(INDEX(Upgrades!$C$3:$C$13,MATCH(SUBSTITUTE(Q892,""Sell_"",""""),Upgrades!$B$3:$B$13,0))*1.15^(COUNTIF(Q$4:Q891,SUBSTITUTE(Q892,""Sell_"",""""))-COUNTIF(Q$4:Q891,"&amp;"""Sell_""&amp;SUBSTITUTE(Q892,""Sell_"",""""))))/2),ROUNDUP(INDEX(Upgrades!$C$3:$C$13,MATCH(Q892,Upgrades!$B$3:$B$13,0))*1.15^(COUNTIF(Q$4:Q891,Q892)-COUNTIF(Q$4:Q891,""Sell_""&amp;Q892))))))"),"")</f>
        <v/>
      </c>
      <c r="V892" s="10" t="str">
        <f t="shared" si="11"/>
        <v/>
      </c>
      <c r="W892" s="68" t="str">
        <f t="shared" si="12"/>
        <v/>
      </c>
      <c r="X892" s="59" t="str">
        <f t="shared" si="13"/>
        <v/>
      </c>
      <c r="Y892" s="69" t="str">
        <f t="shared" si="14"/>
        <v/>
      </c>
      <c r="Z892" s="11"/>
    </row>
    <row r="893">
      <c r="A893" s="8"/>
      <c r="B893" s="56" t="str">
        <f t="shared" si="2"/>
        <v/>
      </c>
      <c r="C893" s="57"/>
      <c r="D893" s="10" t="str">
        <f>IFERROR(__xludf.DUMMYFUNCTION("IF(COUNTA(C893:C1350)=0,"""",IF(ISBLANK(C893),FALSE,IF(NOT(COUNTIF($AA$24:$AA$34,SUBSTITUTE(C893,""Sell_"",""""))),1,IF(REGEXMATCH(C893,""Sell_""),IF(COUNTIF(C$4:C893,SUBSTITUTE(C893,""Sell_"",""""))-COUNTIF(C$4:C892,C893)&lt;1,1),FALSE))))"),"")</f>
        <v/>
      </c>
      <c r="E893" s="59" t="str">
        <f t="array" ref="E893">IF(COUNTA(C893:C1350)=0,"",SUM((COUNTIF(C$4:C893,Upgrades!$B$3:$B$13)-COUNTIF(C$4:C893,"Sell_"&amp;Upgrades!$B$3:$B$13))*Upgrades!$D$3:$D$13))</f>
        <v/>
      </c>
      <c r="F893" s="66" t="str">
        <f>IFERROR(__xludf.DUMMYFUNCTION("IF(COUNTA(C893:C1350)=0,"""",IF(REGEXMATCH(INDEX(FILTER(C$4:C893,C$4:C893&lt;&gt;""""),ROWS(FILTER(C$4:C893,C$4:C893&lt;&gt;""""))),""^Sell_""),INDEX(FILTER(F$4:F892,C$4:C892&lt;&gt;""""),ROWS(FILTER(C$4:C892,C$4:C892&lt;&gt;""""))),$AC$5+E893))"),"")</f>
        <v/>
      </c>
      <c r="G893" s="10" t="str">
        <f>IFERROR(__xludf.DUMMYFUNCTION("IF(COUNTA(C893:C1350)=0,"""",IF(C893="""",0,IF(REGEXMATCH(C893,""^Sell_""),-ROUNDDOWN(ROUNDUP(INDEX(Upgrades!$C$3:$C$13,MATCH(SUBSTITUTE(C893,""Sell_"",""""),Upgrades!$B$3:$B$13,0))*1.15^(COUNTIF(C$4:C892,SUBSTITUTE(C893,""Sell_"",""""))-COUNTIF(C$4:C892,"&amp;"""Sell_""&amp;SUBSTITUTE(C893,""Sell_"",""""))))/2),ROUNDUP(INDEX(Upgrades!$C$3:$C$13,MATCH(C893,Upgrades!$B$3:$B$13,0))*1.15^(COUNTIF(C$4:C892,C893)-COUNTIF(C$4:C892,""Sell_""&amp;C893))))))"),"")</f>
        <v/>
      </c>
      <c r="H893" s="10" t="str">
        <f t="shared" si="3"/>
        <v/>
      </c>
      <c r="I893" s="68" t="str">
        <f t="shared" si="4"/>
        <v/>
      </c>
      <c r="J893" s="59" t="str">
        <f t="shared" si="5"/>
        <v/>
      </c>
      <c r="K893" s="69" t="str">
        <f t="shared" si="6"/>
        <v/>
      </c>
      <c r="L893" s="60" t="str">
        <f t="shared" si="7"/>
        <v/>
      </c>
      <c r="M893" s="61" t="str">
        <f>IFERROR(__xludf.DUMMYFUNCTION("IFS(AND(COUNTA(C893:C1350)=0,COUNTA(Q893:Q1350)=0),"""",OR(AND(K893&gt;=1000000000,OR(Y893&gt;=1000000000,COUNTA(Q893:Q1350)=0)),OR(Y893&gt;=1000000000,AND(COUNTA(C893:C1350)=0,P$3=TRUE))),
ROUNDDOWN((AB$1-AC$1)*MAX(INDEX(T$4:T1350,MATCH(LARGE(FILTER(Y$4:Y1350,Y$4"&amp;":Y1350&lt;1000000000),1),Y$4:Y1350)),INDEX(F$4:F1350,MATCH(LARGE(FILTER(K$4:K1350,K$4:K1350&lt;1000000000),1),K$4:K1350)))),AND(K893&lt;1000000000,COUNTA(C893:C1350)&gt;0,P$3=FALSE),
ROUNDDOWN(INDEX(Y$4:Y1350,MATCH(LARGE(FILTER(W$4:W1350,W$4:W1350&lt;=I893),1),W$4:W1350"&amp;"))+(I893-LARGE(FILTER(W$4:W1350,W$4:W1350&lt;=I893),1))*INDEX(T$4:T1350,MATCH(LARGE(FILTER(W$4:W1350,W$4:W1350&lt;=I893),1),W$4:W1350))-K893),1,
ROUNDDOWN(Y893-INDEX(K$4:K1350,MATCH(LARGE(FILTER(I$4:I1350,I$4:I1350&lt;=W893),1),I$4:I1350))-(W893-LARGE(FILTER(I$4:I"&amp;"1350,I$4:I1350&lt;=W893),1))*INDEX(F$4:F1350,MATCH(LARGE(FILTER(I$4:I1350,I$4:I1350&lt;=W893),1),I$4:I1350))))"),"")</f>
        <v/>
      </c>
      <c r="N893" s="60" t="str">
        <f t="shared" si="8"/>
        <v/>
      </c>
      <c r="O893" s="61" t="str">
        <f t="shared" si="9"/>
        <v/>
      </c>
      <c r="P893" s="56" t="str">
        <f t="shared" si="10"/>
        <v/>
      </c>
      <c r="Q893" s="62"/>
      <c r="R893" s="10" t="str">
        <f>IFERROR(__xludf.DUMMYFUNCTION("IF(COUNTA(Q893:Q1350)=0,"""",IF(ISBLANK(Q893),FALSE,IF(NOT(COUNTIF($AA$24:$AA$34,SUBSTITUTE(Q893,""Sell_"",""""))),1,IF(REGEXMATCH(Q893,""Sell_""),IF(COUNTIF(Q$4:Q893,SUBSTITUTE(Q893,""Sell_"",""""))-COUNTIF(Q$4:Q892,Q893)&lt;1,1),FALSE))))"),"")</f>
        <v/>
      </c>
      <c r="S893" s="59" t="str">
        <f t="array" ref="S893">IF(COUNTA(Q893:Q1350)=0,"",SUM((COUNTIF(Q$4:Q893,Upgrades!$B$3:$B$13)-COUNTIF(Q$4:Q893,"Sell_"&amp;Upgrades!$B$3:$B$13))*Upgrades!$D$3:$D$13))</f>
        <v/>
      </c>
      <c r="T893" s="66" t="str">
        <f>IFERROR(__xludf.DUMMYFUNCTION("IF(COUNTA(Q893:Q1350)=0,"""",IF(REGEXMATCH(INDEX(FILTER(Q$4:Q893,Q$4:Q893&lt;&gt;""""),ROWS(FILTER(Q$4:Q893,Q$4:Q893&lt;&gt;""""))),""^Sell_""),INDEX(FILTER(T$4:T892,Q$4:Q892&lt;&gt;""""),ROWS(FILTER(Q$4:Q892,Q$4:Q892&lt;&gt;""""))),$AD$5+S893))"),"")</f>
        <v/>
      </c>
      <c r="U893" s="10" t="str">
        <f>IFERROR(__xludf.DUMMYFUNCTION("IF(COUNTA(Q893:Q1350)=0,"""",IF(Q893="""",0,IF(REGEXMATCH(Q893,""^Sell_""),-ROUNDDOWN(ROUNDUP(INDEX(Upgrades!$C$3:$C$13,MATCH(SUBSTITUTE(Q893,""Sell_"",""""),Upgrades!$B$3:$B$13,0))*1.15^(COUNTIF(Q$4:Q892,SUBSTITUTE(Q893,""Sell_"",""""))-COUNTIF(Q$4:Q892,"&amp;"""Sell_""&amp;SUBSTITUTE(Q893,""Sell_"",""""))))/2),ROUNDUP(INDEX(Upgrades!$C$3:$C$13,MATCH(Q893,Upgrades!$B$3:$B$13,0))*1.15^(COUNTIF(Q$4:Q892,Q893)-COUNTIF(Q$4:Q892,""Sell_""&amp;Q893))))))"),"")</f>
        <v/>
      </c>
      <c r="V893" s="10" t="str">
        <f t="shared" si="11"/>
        <v/>
      </c>
      <c r="W893" s="68" t="str">
        <f t="shared" si="12"/>
        <v/>
      </c>
      <c r="X893" s="59" t="str">
        <f t="shared" si="13"/>
        <v/>
      </c>
      <c r="Y893" s="69" t="str">
        <f t="shared" si="14"/>
        <v/>
      </c>
      <c r="Z893" s="11"/>
    </row>
    <row r="894">
      <c r="A894" s="8"/>
      <c r="B894" s="56" t="str">
        <f t="shared" si="2"/>
        <v/>
      </c>
      <c r="C894" s="57"/>
      <c r="D894" s="10" t="str">
        <f>IFERROR(__xludf.DUMMYFUNCTION("IF(COUNTA(C894:C1350)=0,"""",IF(ISBLANK(C894),FALSE,IF(NOT(COUNTIF($AA$24:$AA$34,SUBSTITUTE(C894,""Sell_"",""""))),1,IF(REGEXMATCH(C894,""Sell_""),IF(COUNTIF(C$4:C894,SUBSTITUTE(C894,""Sell_"",""""))-COUNTIF(C$4:C893,C894)&lt;1,1),FALSE))))"),"")</f>
        <v/>
      </c>
      <c r="E894" s="59" t="str">
        <f t="array" ref="E894">IF(COUNTA(C894:C1350)=0,"",SUM((COUNTIF(C$4:C894,Upgrades!$B$3:$B$13)-COUNTIF(C$4:C894,"Sell_"&amp;Upgrades!$B$3:$B$13))*Upgrades!$D$3:$D$13))</f>
        <v/>
      </c>
      <c r="F894" s="66" t="str">
        <f>IFERROR(__xludf.DUMMYFUNCTION("IF(COUNTA(C894:C1350)=0,"""",IF(REGEXMATCH(INDEX(FILTER(C$4:C894,C$4:C894&lt;&gt;""""),ROWS(FILTER(C$4:C894,C$4:C894&lt;&gt;""""))),""^Sell_""),INDEX(FILTER(F$4:F893,C$4:C893&lt;&gt;""""),ROWS(FILTER(C$4:C893,C$4:C893&lt;&gt;""""))),$AC$5+E894))"),"")</f>
        <v/>
      </c>
      <c r="G894" s="10" t="str">
        <f>IFERROR(__xludf.DUMMYFUNCTION("IF(COUNTA(C894:C1350)=0,"""",IF(C894="""",0,IF(REGEXMATCH(C894,""^Sell_""),-ROUNDDOWN(ROUNDUP(INDEX(Upgrades!$C$3:$C$13,MATCH(SUBSTITUTE(C894,""Sell_"",""""),Upgrades!$B$3:$B$13,0))*1.15^(COUNTIF(C$4:C893,SUBSTITUTE(C894,""Sell_"",""""))-COUNTIF(C$4:C893,"&amp;"""Sell_""&amp;SUBSTITUTE(C894,""Sell_"",""""))))/2),ROUNDUP(INDEX(Upgrades!$C$3:$C$13,MATCH(C894,Upgrades!$B$3:$B$13,0))*1.15^(COUNTIF(C$4:C893,C894)-COUNTIF(C$4:C893,""Sell_""&amp;C894))))))"),"")</f>
        <v/>
      </c>
      <c r="H894" s="10" t="str">
        <f t="shared" si="3"/>
        <v/>
      </c>
      <c r="I894" s="68" t="str">
        <f t="shared" si="4"/>
        <v/>
      </c>
      <c r="J894" s="59" t="str">
        <f t="shared" si="5"/>
        <v/>
      </c>
      <c r="K894" s="69" t="str">
        <f t="shared" si="6"/>
        <v/>
      </c>
      <c r="L894" s="60" t="str">
        <f t="shared" si="7"/>
        <v/>
      </c>
      <c r="M894" s="61" t="str">
        <f>IFERROR(__xludf.DUMMYFUNCTION("IFS(AND(COUNTA(C894:C1350)=0,COUNTA(Q894:Q1350)=0),"""",OR(AND(K894&gt;=1000000000,OR(Y894&gt;=1000000000,COUNTA(Q894:Q1350)=0)),OR(Y894&gt;=1000000000,AND(COUNTA(C894:C1350)=0,P$3=TRUE))),
ROUNDDOWN((AB$1-AC$1)*MAX(INDEX(T$4:T1350,MATCH(LARGE(FILTER(Y$4:Y1350,Y$4"&amp;":Y1350&lt;1000000000),1),Y$4:Y1350)),INDEX(F$4:F1350,MATCH(LARGE(FILTER(K$4:K1350,K$4:K1350&lt;1000000000),1),K$4:K1350)))),AND(K894&lt;1000000000,COUNTA(C894:C1350)&gt;0,P$3=FALSE),
ROUNDDOWN(INDEX(Y$4:Y1350,MATCH(LARGE(FILTER(W$4:W1350,W$4:W1350&lt;=I894),1),W$4:W1350"&amp;"))+(I894-LARGE(FILTER(W$4:W1350,W$4:W1350&lt;=I894),1))*INDEX(T$4:T1350,MATCH(LARGE(FILTER(W$4:W1350,W$4:W1350&lt;=I894),1),W$4:W1350))-K894),1,
ROUNDDOWN(Y894-INDEX(K$4:K1350,MATCH(LARGE(FILTER(I$4:I1350,I$4:I1350&lt;=W894),1),I$4:I1350))-(W894-LARGE(FILTER(I$4:I"&amp;"1350,I$4:I1350&lt;=W894),1))*INDEX(F$4:F1350,MATCH(LARGE(FILTER(I$4:I1350,I$4:I1350&lt;=W894),1),I$4:I1350))))"),"")</f>
        <v/>
      </c>
      <c r="N894" s="60" t="str">
        <f t="shared" si="8"/>
        <v/>
      </c>
      <c r="O894" s="61" t="str">
        <f t="shared" si="9"/>
        <v/>
      </c>
      <c r="P894" s="56" t="str">
        <f t="shared" si="10"/>
        <v/>
      </c>
      <c r="Q894" s="62"/>
      <c r="R894" s="10" t="str">
        <f>IFERROR(__xludf.DUMMYFUNCTION("IF(COUNTA(Q894:Q1350)=0,"""",IF(ISBLANK(Q894),FALSE,IF(NOT(COUNTIF($AA$24:$AA$34,SUBSTITUTE(Q894,""Sell_"",""""))),1,IF(REGEXMATCH(Q894,""Sell_""),IF(COUNTIF(Q$4:Q894,SUBSTITUTE(Q894,""Sell_"",""""))-COUNTIF(Q$4:Q893,Q894)&lt;1,1),FALSE))))"),"")</f>
        <v/>
      </c>
      <c r="S894" s="59" t="str">
        <f t="array" ref="S894">IF(COUNTA(Q894:Q1350)=0,"",SUM((COUNTIF(Q$4:Q894,Upgrades!$B$3:$B$13)-COUNTIF(Q$4:Q894,"Sell_"&amp;Upgrades!$B$3:$B$13))*Upgrades!$D$3:$D$13))</f>
        <v/>
      </c>
      <c r="T894" s="66" t="str">
        <f>IFERROR(__xludf.DUMMYFUNCTION("IF(COUNTA(Q894:Q1350)=0,"""",IF(REGEXMATCH(INDEX(FILTER(Q$4:Q894,Q$4:Q894&lt;&gt;""""),ROWS(FILTER(Q$4:Q894,Q$4:Q894&lt;&gt;""""))),""^Sell_""),INDEX(FILTER(T$4:T893,Q$4:Q893&lt;&gt;""""),ROWS(FILTER(Q$4:Q893,Q$4:Q893&lt;&gt;""""))),$AD$5+S894))"),"")</f>
        <v/>
      </c>
      <c r="U894" s="10" t="str">
        <f>IFERROR(__xludf.DUMMYFUNCTION("IF(COUNTA(Q894:Q1350)=0,"""",IF(Q894="""",0,IF(REGEXMATCH(Q894,""^Sell_""),-ROUNDDOWN(ROUNDUP(INDEX(Upgrades!$C$3:$C$13,MATCH(SUBSTITUTE(Q894,""Sell_"",""""),Upgrades!$B$3:$B$13,0))*1.15^(COUNTIF(Q$4:Q893,SUBSTITUTE(Q894,""Sell_"",""""))-COUNTIF(Q$4:Q893,"&amp;"""Sell_""&amp;SUBSTITUTE(Q894,""Sell_"",""""))))/2),ROUNDUP(INDEX(Upgrades!$C$3:$C$13,MATCH(Q894,Upgrades!$B$3:$B$13,0))*1.15^(COUNTIF(Q$4:Q893,Q894)-COUNTIF(Q$4:Q893,""Sell_""&amp;Q894))))))"),"")</f>
        <v/>
      </c>
      <c r="V894" s="10" t="str">
        <f t="shared" si="11"/>
        <v/>
      </c>
      <c r="W894" s="68" t="str">
        <f t="shared" si="12"/>
        <v/>
      </c>
      <c r="X894" s="59" t="str">
        <f t="shared" si="13"/>
        <v/>
      </c>
      <c r="Y894" s="69" t="str">
        <f t="shared" si="14"/>
        <v/>
      </c>
      <c r="Z894" s="11"/>
    </row>
    <row r="895">
      <c r="A895" s="8"/>
      <c r="B895" s="56" t="str">
        <f t="shared" si="2"/>
        <v/>
      </c>
      <c r="C895" s="57"/>
      <c r="D895" s="10" t="str">
        <f>IFERROR(__xludf.DUMMYFUNCTION("IF(COUNTA(C895:C1350)=0,"""",IF(ISBLANK(C895),FALSE,IF(NOT(COUNTIF($AA$24:$AA$34,SUBSTITUTE(C895,""Sell_"",""""))),1,IF(REGEXMATCH(C895,""Sell_""),IF(COUNTIF(C$4:C895,SUBSTITUTE(C895,""Sell_"",""""))-COUNTIF(C$4:C894,C895)&lt;1,1),FALSE))))"),"")</f>
        <v/>
      </c>
      <c r="E895" s="59" t="str">
        <f t="array" ref="E895">IF(COUNTA(C895:C1350)=0,"",SUM((COUNTIF(C$4:C895,Upgrades!$B$3:$B$13)-COUNTIF(C$4:C895,"Sell_"&amp;Upgrades!$B$3:$B$13))*Upgrades!$D$3:$D$13))</f>
        <v/>
      </c>
      <c r="F895" s="66" t="str">
        <f>IFERROR(__xludf.DUMMYFUNCTION("IF(COUNTA(C895:C1350)=0,"""",IF(REGEXMATCH(INDEX(FILTER(C$4:C895,C$4:C895&lt;&gt;""""),ROWS(FILTER(C$4:C895,C$4:C895&lt;&gt;""""))),""^Sell_""),INDEX(FILTER(F$4:F894,C$4:C894&lt;&gt;""""),ROWS(FILTER(C$4:C894,C$4:C894&lt;&gt;""""))),$AC$5+E895))"),"")</f>
        <v/>
      </c>
      <c r="G895" s="10" t="str">
        <f>IFERROR(__xludf.DUMMYFUNCTION("IF(COUNTA(C895:C1350)=0,"""",IF(C895="""",0,IF(REGEXMATCH(C895,""^Sell_""),-ROUNDDOWN(ROUNDUP(INDEX(Upgrades!$C$3:$C$13,MATCH(SUBSTITUTE(C895,""Sell_"",""""),Upgrades!$B$3:$B$13,0))*1.15^(COUNTIF(C$4:C894,SUBSTITUTE(C895,""Sell_"",""""))-COUNTIF(C$4:C894,"&amp;"""Sell_""&amp;SUBSTITUTE(C895,""Sell_"",""""))))/2),ROUNDUP(INDEX(Upgrades!$C$3:$C$13,MATCH(C895,Upgrades!$B$3:$B$13,0))*1.15^(COUNTIF(C$4:C894,C895)-COUNTIF(C$4:C894,""Sell_""&amp;C895))))))"),"")</f>
        <v/>
      </c>
      <c r="H895" s="10" t="str">
        <f t="shared" si="3"/>
        <v/>
      </c>
      <c r="I895" s="68" t="str">
        <f t="shared" si="4"/>
        <v/>
      </c>
      <c r="J895" s="59" t="str">
        <f t="shared" si="5"/>
        <v/>
      </c>
      <c r="K895" s="69" t="str">
        <f t="shared" si="6"/>
        <v/>
      </c>
      <c r="L895" s="60" t="str">
        <f t="shared" si="7"/>
        <v/>
      </c>
      <c r="M895" s="61" t="str">
        <f>IFERROR(__xludf.DUMMYFUNCTION("IFS(AND(COUNTA(C895:C1350)=0,COUNTA(Q895:Q1350)=0),"""",OR(AND(K895&gt;=1000000000,OR(Y895&gt;=1000000000,COUNTA(Q895:Q1350)=0)),OR(Y895&gt;=1000000000,AND(COUNTA(C895:C1350)=0,P$3=TRUE))),
ROUNDDOWN((AB$1-AC$1)*MAX(INDEX(T$4:T1350,MATCH(LARGE(FILTER(Y$4:Y1350,Y$4"&amp;":Y1350&lt;1000000000),1),Y$4:Y1350)),INDEX(F$4:F1350,MATCH(LARGE(FILTER(K$4:K1350,K$4:K1350&lt;1000000000),1),K$4:K1350)))),AND(K895&lt;1000000000,COUNTA(C895:C1350)&gt;0,P$3=FALSE),
ROUNDDOWN(INDEX(Y$4:Y1350,MATCH(LARGE(FILTER(W$4:W1350,W$4:W1350&lt;=I895),1),W$4:W1350"&amp;"))+(I895-LARGE(FILTER(W$4:W1350,W$4:W1350&lt;=I895),1))*INDEX(T$4:T1350,MATCH(LARGE(FILTER(W$4:W1350,W$4:W1350&lt;=I895),1),W$4:W1350))-K895),1,
ROUNDDOWN(Y895-INDEX(K$4:K1350,MATCH(LARGE(FILTER(I$4:I1350,I$4:I1350&lt;=W895),1),I$4:I1350))-(W895-LARGE(FILTER(I$4:I"&amp;"1350,I$4:I1350&lt;=W895),1))*INDEX(F$4:F1350,MATCH(LARGE(FILTER(I$4:I1350,I$4:I1350&lt;=W895),1),I$4:I1350))))"),"")</f>
        <v/>
      </c>
      <c r="N895" s="60" t="str">
        <f t="shared" si="8"/>
        <v/>
      </c>
      <c r="O895" s="61" t="str">
        <f t="shared" si="9"/>
        <v/>
      </c>
      <c r="P895" s="56" t="str">
        <f t="shared" si="10"/>
        <v/>
      </c>
      <c r="Q895" s="62"/>
      <c r="R895" s="10" t="str">
        <f>IFERROR(__xludf.DUMMYFUNCTION("IF(COUNTA(Q895:Q1350)=0,"""",IF(ISBLANK(Q895),FALSE,IF(NOT(COUNTIF($AA$24:$AA$34,SUBSTITUTE(Q895,""Sell_"",""""))),1,IF(REGEXMATCH(Q895,""Sell_""),IF(COUNTIF(Q$4:Q895,SUBSTITUTE(Q895,""Sell_"",""""))-COUNTIF(Q$4:Q894,Q895)&lt;1,1),FALSE))))"),"")</f>
        <v/>
      </c>
      <c r="S895" s="59" t="str">
        <f t="array" ref="S895">IF(COUNTA(Q895:Q1350)=0,"",SUM((COUNTIF(Q$4:Q895,Upgrades!$B$3:$B$13)-COUNTIF(Q$4:Q895,"Sell_"&amp;Upgrades!$B$3:$B$13))*Upgrades!$D$3:$D$13))</f>
        <v/>
      </c>
      <c r="T895" s="66" t="str">
        <f>IFERROR(__xludf.DUMMYFUNCTION("IF(COUNTA(Q895:Q1350)=0,"""",IF(REGEXMATCH(INDEX(FILTER(Q$4:Q895,Q$4:Q895&lt;&gt;""""),ROWS(FILTER(Q$4:Q895,Q$4:Q895&lt;&gt;""""))),""^Sell_""),INDEX(FILTER(T$4:T894,Q$4:Q894&lt;&gt;""""),ROWS(FILTER(Q$4:Q894,Q$4:Q894&lt;&gt;""""))),$AD$5+S895))"),"")</f>
        <v/>
      </c>
      <c r="U895" s="10" t="str">
        <f>IFERROR(__xludf.DUMMYFUNCTION("IF(COUNTA(Q895:Q1350)=0,"""",IF(Q895="""",0,IF(REGEXMATCH(Q895,""^Sell_""),-ROUNDDOWN(ROUNDUP(INDEX(Upgrades!$C$3:$C$13,MATCH(SUBSTITUTE(Q895,""Sell_"",""""),Upgrades!$B$3:$B$13,0))*1.15^(COUNTIF(Q$4:Q894,SUBSTITUTE(Q895,""Sell_"",""""))-COUNTIF(Q$4:Q894,"&amp;"""Sell_""&amp;SUBSTITUTE(Q895,""Sell_"",""""))))/2),ROUNDUP(INDEX(Upgrades!$C$3:$C$13,MATCH(Q895,Upgrades!$B$3:$B$13,0))*1.15^(COUNTIF(Q$4:Q894,Q895)-COUNTIF(Q$4:Q894,""Sell_""&amp;Q895))))))"),"")</f>
        <v/>
      </c>
      <c r="V895" s="10" t="str">
        <f t="shared" si="11"/>
        <v/>
      </c>
      <c r="W895" s="68" t="str">
        <f t="shared" si="12"/>
        <v/>
      </c>
      <c r="X895" s="59" t="str">
        <f t="shared" si="13"/>
        <v/>
      </c>
      <c r="Y895" s="69" t="str">
        <f t="shared" si="14"/>
        <v/>
      </c>
      <c r="Z895" s="11"/>
    </row>
    <row r="896">
      <c r="A896" s="8"/>
      <c r="B896" s="56" t="str">
        <f t="shared" si="2"/>
        <v/>
      </c>
      <c r="C896" s="57"/>
      <c r="D896" s="10" t="str">
        <f>IFERROR(__xludf.DUMMYFUNCTION("IF(COUNTA(C896:C1350)=0,"""",IF(ISBLANK(C896),FALSE,IF(NOT(COUNTIF($AA$24:$AA$34,SUBSTITUTE(C896,""Sell_"",""""))),1,IF(REGEXMATCH(C896,""Sell_""),IF(COUNTIF(C$4:C896,SUBSTITUTE(C896,""Sell_"",""""))-COUNTIF(C$4:C895,C896)&lt;1,1),FALSE))))"),"")</f>
        <v/>
      </c>
      <c r="E896" s="59" t="str">
        <f t="array" ref="E896">IF(COUNTA(C896:C1350)=0,"",SUM((COUNTIF(C$4:C896,Upgrades!$B$3:$B$13)-COUNTIF(C$4:C896,"Sell_"&amp;Upgrades!$B$3:$B$13))*Upgrades!$D$3:$D$13))</f>
        <v/>
      </c>
      <c r="F896" s="66" t="str">
        <f>IFERROR(__xludf.DUMMYFUNCTION("IF(COUNTA(C896:C1350)=0,"""",IF(REGEXMATCH(INDEX(FILTER(C$4:C896,C$4:C896&lt;&gt;""""),ROWS(FILTER(C$4:C896,C$4:C896&lt;&gt;""""))),""^Sell_""),INDEX(FILTER(F$4:F895,C$4:C895&lt;&gt;""""),ROWS(FILTER(C$4:C895,C$4:C895&lt;&gt;""""))),$AC$5+E896))"),"")</f>
        <v/>
      </c>
      <c r="G896" s="10" t="str">
        <f>IFERROR(__xludf.DUMMYFUNCTION("IF(COUNTA(C896:C1350)=0,"""",IF(C896="""",0,IF(REGEXMATCH(C896,""^Sell_""),-ROUNDDOWN(ROUNDUP(INDEX(Upgrades!$C$3:$C$13,MATCH(SUBSTITUTE(C896,""Sell_"",""""),Upgrades!$B$3:$B$13,0))*1.15^(COUNTIF(C$4:C895,SUBSTITUTE(C896,""Sell_"",""""))-COUNTIF(C$4:C895,"&amp;"""Sell_""&amp;SUBSTITUTE(C896,""Sell_"",""""))))/2),ROUNDUP(INDEX(Upgrades!$C$3:$C$13,MATCH(C896,Upgrades!$B$3:$B$13,0))*1.15^(COUNTIF(C$4:C895,C896)-COUNTIF(C$4:C895,""Sell_""&amp;C896))))))"),"")</f>
        <v/>
      </c>
      <c r="H896" s="10" t="str">
        <f t="shared" si="3"/>
        <v/>
      </c>
      <c r="I896" s="68" t="str">
        <f t="shared" si="4"/>
        <v/>
      </c>
      <c r="J896" s="59" t="str">
        <f t="shared" si="5"/>
        <v/>
      </c>
      <c r="K896" s="69" t="str">
        <f t="shared" si="6"/>
        <v/>
      </c>
      <c r="L896" s="60" t="str">
        <f t="shared" si="7"/>
        <v/>
      </c>
      <c r="M896" s="61" t="str">
        <f>IFERROR(__xludf.DUMMYFUNCTION("IFS(AND(COUNTA(C896:C1350)=0,COUNTA(Q896:Q1350)=0),"""",OR(AND(K896&gt;=1000000000,OR(Y896&gt;=1000000000,COUNTA(Q896:Q1350)=0)),OR(Y896&gt;=1000000000,AND(COUNTA(C896:C1350)=0,P$3=TRUE))),
ROUNDDOWN((AB$1-AC$1)*MAX(INDEX(T$4:T1350,MATCH(LARGE(FILTER(Y$4:Y1350,Y$4"&amp;":Y1350&lt;1000000000),1),Y$4:Y1350)),INDEX(F$4:F1350,MATCH(LARGE(FILTER(K$4:K1350,K$4:K1350&lt;1000000000),1),K$4:K1350)))),AND(K896&lt;1000000000,COUNTA(C896:C1350)&gt;0,P$3=FALSE),
ROUNDDOWN(INDEX(Y$4:Y1350,MATCH(LARGE(FILTER(W$4:W1350,W$4:W1350&lt;=I896),1),W$4:W1350"&amp;"))+(I896-LARGE(FILTER(W$4:W1350,W$4:W1350&lt;=I896),1))*INDEX(T$4:T1350,MATCH(LARGE(FILTER(W$4:W1350,W$4:W1350&lt;=I896),1),W$4:W1350))-K896),1,
ROUNDDOWN(Y896-INDEX(K$4:K1350,MATCH(LARGE(FILTER(I$4:I1350,I$4:I1350&lt;=W896),1),I$4:I1350))-(W896-LARGE(FILTER(I$4:I"&amp;"1350,I$4:I1350&lt;=W896),1))*INDEX(F$4:F1350,MATCH(LARGE(FILTER(I$4:I1350,I$4:I1350&lt;=W896),1),I$4:I1350))))"),"")</f>
        <v/>
      </c>
      <c r="N896" s="60" t="str">
        <f t="shared" si="8"/>
        <v/>
      </c>
      <c r="O896" s="61" t="str">
        <f t="shared" si="9"/>
        <v/>
      </c>
      <c r="P896" s="56" t="str">
        <f t="shared" si="10"/>
        <v/>
      </c>
      <c r="Q896" s="62"/>
      <c r="R896" s="10" t="str">
        <f>IFERROR(__xludf.DUMMYFUNCTION("IF(COUNTA(Q896:Q1350)=0,"""",IF(ISBLANK(Q896),FALSE,IF(NOT(COUNTIF($AA$24:$AA$34,SUBSTITUTE(Q896,""Sell_"",""""))),1,IF(REGEXMATCH(Q896,""Sell_""),IF(COUNTIF(Q$4:Q896,SUBSTITUTE(Q896,""Sell_"",""""))-COUNTIF(Q$4:Q895,Q896)&lt;1,1),FALSE))))"),"")</f>
        <v/>
      </c>
      <c r="S896" s="59" t="str">
        <f t="array" ref="S896">IF(COUNTA(Q896:Q1350)=0,"",SUM((COUNTIF(Q$4:Q896,Upgrades!$B$3:$B$13)-COUNTIF(Q$4:Q896,"Sell_"&amp;Upgrades!$B$3:$B$13))*Upgrades!$D$3:$D$13))</f>
        <v/>
      </c>
      <c r="T896" s="66" t="str">
        <f>IFERROR(__xludf.DUMMYFUNCTION("IF(COUNTA(Q896:Q1350)=0,"""",IF(REGEXMATCH(INDEX(FILTER(Q$4:Q896,Q$4:Q896&lt;&gt;""""),ROWS(FILTER(Q$4:Q896,Q$4:Q896&lt;&gt;""""))),""^Sell_""),INDEX(FILTER(T$4:T895,Q$4:Q895&lt;&gt;""""),ROWS(FILTER(Q$4:Q895,Q$4:Q895&lt;&gt;""""))),$AD$5+S896))"),"")</f>
        <v/>
      </c>
      <c r="U896" s="10" t="str">
        <f>IFERROR(__xludf.DUMMYFUNCTION("IF(COUNTA(Q896:Q1350)=0,"""",IF(Q896="""",0,IF(REGEXMATCH(Q896,""^Sell_""),-ROUNDDOWN(ROUNDUP(INDEX(Upgrades!$C$3:$C$13,MATCH(SUBSTITUTE(Q896,""Sell_"",""""),Upgrades!$B$3:$B$13,0))*1.15^(COUNTIF(Q$4:Q895,SUBSTITUTE(Q896,""Sell_"",""""))-COUNTIF(Q$4:Q895,"&amp;"""Sell_""&amp;SUBSTITUTE(Q896,""Sell_"",""""))))/2),ROUNDUP(INDEX(Upgrades!$C$3:$C$13,MATCH(Q896,Upgrades!$B$3:$B$13,0))*1.15^(COUNTIF(Q$4:Q895,Q896)-COUNTIF(Q$4:Q895,""Sell_""&amp;Q896))))))"),"")</f>
        <v/>
      </c>
      <c r="V896" s="10" t="str">
        <f t="shared" si="11"/>
        <v/>
      </c>
      <c r="W896" s="68" t="str">
        <f t="shared" si="12"/>
        <v/>
      </c>
      <c r="X896" s="59" t="str">
        <f t="shared" si="13"/>
        <v/>
      </c>
      <c r="Y896" s="69" t="str">
        <f t="shared" si="14"/>
        <v/>
      </c>
      <c r="Z896" s="11"/>
    </row>
    <row r="897">
      <c r="A897" s="8"/>
      <c r="B897" s="56" t="str">
        <f t="shared" si="2"/>
        <v/>
      </c>
      <c r="C897" s="57"/>
      <c r="D897" s="10" t="str">
        <f>IFERROR(__xludf.DUMMYFUNCTION("IF(COUNTA(C897:C1350)=0,"""",IF(ISBLANK(C897),FALSE,IF(NOT(COUNTIF($AA$24:$AA$34,SUBSTITUTE(C897,""Sell_"",""""))),1,IF(REGEXMATCH(C897,""Sell_""),IF(COUNTIF(C$4:C897,SUBSTITUTE(C897,""Sell_"",""""))-COUNTIF(C$4:C896,C897)&lt;1,1),FALSE))))"),"")</f>
        <v/>
      </c>
      <c r="E897" s="59" t="str">
        <f t="array" ref="E897">IF(COUNTA(C897:C1350)=0,"",SUM((COUNTIF(C$4:C897,Upgrades!$B$3:$B$13)-COUNTIF(C$4:C897,"Sell_"&amp;Upgrades!$B$3:$B$13))*Upgrades!$D$3:$D$13))</f>
        <v/>
      </c>
      <c r="F897" s="66" t="str">
        <f>IFERROR(__xludf.DUMMYFUNCTION("IF(COUNTA(C897:C1350)=0,"""",IF(REGEXMATCH(INDEX(FILTER(C$4:C897,C$4:C897&lt;&gt;""""),ROWS(FILTER(C$4:C897,C$4:C897&lt;&gt;""""))),""^Sell_""),INDEX(FILTER(F$4:F896,C$4:C896&lt;&gt;""""),ROWS(FILTER(C$4:C896,C$4:C896&lt;&gt;""""))),$AC$5+E897))"),"")</f>
        <v/>
      </c>
      <c r="G897" s="10" t="str">
        <f>IFERROR(__xludf.DUMMYFUNCTION("IF(COUNTA(C897:C1350)=0,"""",IF(C897="""",0,IF(REGEXMATCH(C897,""^Sell_""),-ROUNDDOWN(ROUNDUP(INDEX(Upgrades!$C$3:$C$13,MATCH(SUBSTITUTE(C897,""Sell_"",""""),Upgrades!$B$3:$B$13,0))*1.15^(COUNTIF(C$4:C896,SUBSTITUTE(C897,""Sell_"",""""))-COUNTIF(C$4:C896,"&amp;"""Sell_""&amp;SUBSTITUTE(C897,""Sell_"",""""))))/2),ROUNDUP(INDEX(Upgrades!$C$3:$C$13,MATCH(C897,Upgrades!$B$3:$B$13,0))*1.15^(COUNTIF(C$4:C896,C897)-COUNTIF(C$4:C896,""Sell_""&amp;C897))))))"),"")</f>
        <v/>
      </c>
      <c r="H897" s="10" t="str">
        <f t="shared" si="3"/>
        <v/>
      </c>
      <c r="I897" s="68" t="str">
        <f t="shared" si="4"/>
        <v/>
      </c>
      <c r="J897" s="59" t="str">
        <f t="shared" si="5"/>
        <v/>
      </c>
      <c r="K897" s="69" t="str">
        <f t="shared" si="6"/>
        <v/>
      </c>
      <c r="L897" s="60" t="str">
        <f t="shared" si="7"/>
        <v/>
      </c>
      <c r="M897" s="61" t="str">
        <f>IFERROR(__xludf.DUMMYFUNCTION("IFS(AND(COUNTA(C897:C1350)=0,COUNTA(Q897:Q1350)=0),"""",OR(AND(K897&gt;=1000000000,OR(Y897&gt;=1000000000,COUNTA(Q897:Q1350)=0)),OR(Y897&gt;=1000000000,AND(COUNTA(C897:C1350)=0,P$3=TRUE))),
ROUNDDOWN((AB$1-AC$1)*MAX(INDEX(T$4:T1350,MATCH(LARGE(FILTER(Y$4:Y1350,Y$4"&amp;":Y1350&lt;1000000000),1),Y$4:Y1350)),INDEX(F$4:F1350,MATCH(LARGE(FILTER(K$4:K1350,K$4:K1350&lt;1000000000),1),K$4:K1350)))),AND(K897&lt;1000000000,COUNTA(C897:C1350)&gt;0,P$3=FALSE),
ROUNDDOWN(INDEX(Y$4:Y1350,MATCH(LARGE(FILTER(W$4:W1350,W$4:W1350&lt;=I897),1),W$4:W1350"&amp;"))+(I897-LARGE(FILTER(W$4:W1350,W$4:W1350&lt;=I897),1))*INDEX(T$4:T1350,MATCH(LARGE(FILTER(W$4:W1350,W$4:W1350&lt;=I897),1),W$4:W1350))-K897),1,
ROUNDDOWN(Y897-INDEX(K$4:K1350,MATCH(LARGE(FILTER(I$4:I1350,I$4:I1350&lt;=W897),1),I$4:I1350))-(W897-LARGE(FILTER(I$4:I"&amp;"1350,I$4:I1350&lt;=W897),1))*INDEX(F$4:F1350,MATCH(LARGE(FILTER(I$4:I1350,I$4:I1350&lt;=W897),1),I$4:I1350))))"),"")</f>
        <v/>
      </c>
      <c r="N897" s="60" t="str">
        <f t="shared" si="8"/>
        <v/>
      </c>
      <c r="O897" s="61" t="str">
        <f t="shared" si="9"/>
        <v/>
      </c>
      <c r="P897" s="56" t="str">
        <f t="shared" si="10"/>
        <v/>
      </c>
      <c r="Q897" s="62"/>
      <c r="R897" s="10" t="str">
        <f>IFERROR(__xludf.DUMMYFUNCTION("IF(COUNTA(Q897:Q1350)=0,"""",IF(ISBLANK(Q897),FALSE,IF(NOT(COUNTIF($AA$24:$AA$34,SUBSTITUTE(Q897,""Sell_"",""""))),1,IF(REGEXMATCH(Q897,""Sell_""),IF(COUNTIF(Q$4:Q897,SUBSTITUTE(Q897,""Sell_"",""""))-COUNTIF(Q$4:Q896,Q897)&lt;1,1),FALSE))))"),"")</f>
        <v/>
      </c>
      <c r="S897" s="59" t="str">
        <f t="array" ref="S897">IF(COUNTA(Q897:Q1350)=0,"",SUM((COUNTIF(Q$4:Q897,Upgrades!$B$3:$B$13)-COUNTIF(Q$4:Q897,"Sell_"&amp;Upgrades!$B$3:$B$13))*Upgrades!$D$3:$D$13))</f>
        <v/>
      </c>
      <c r="T897" s="66" t="str">
        <f>IFERROR(__xludf.DUMMYFUNCTION("IF(COUNTA(Q897:Q1350)=0,"""",IF(REGEXMATCH(INDEX(FILTER(Q$4:Q897,Q$4:Q897&lt;&gt;""""),ROWS(FILTER(Q$4:Q897,Q$4:Q897&lt;&gt;""""))),""^Sell_""),INDEX(FILTER(T$4:T896,Q$4:Q896&lt;&gt;""""),ROWS(FILTER(Q$4:Q896,Q$4:Q896&lt;&gt;""""))),$AD$5+S897))"),"")</f>
        <v/>
      </c>
      <c r="U897" s="10" t="str">
        <f>IFERROR(__xludf.DUMMYFUNCTION("IF(COUNTA(Q897:Q1350)=0,"""",IF(Q897="""",0,IF(REGEXMATCH(Q897,""^Sell_""),-ROUNDDOWN(ROUNDUP(INDEX(Upgrades!$C$3:$C$13,MATCH(SUBSTITUTE(Q897,""Sell_"",""""),Upgrades!$B$3:$B$13,0))*1.15^(COUNTIF(Q$4:Q896,SUBSTITUTE(Q897,""Sell_"",""""))-COUNTIF(Q$4:Q896,"&amp;"""Sell_""&amp;SUBSTITUTE(Q897,""Sell_"",""""))))/2),ROUNDUP(INDEX(Upgrades!$C$3:$C$13,MATCH(Q897,Upgrades!$B$3:$B$13,0))*1.15^(COUNTIF(Q$4:Q896,Q897)-COUNTIF(Q$4:Q896,""Sell_""&amp;Q897))))))"),"")</f>
        <v/>
      </c>
      <c r="V897" s="10" t="str">
        <f t="shared" si="11"/>
        <v/>
      </c>
      <c r="W897" s="68" t="str">
        <f t="shared" si="12"/>
        <v/>
      </c>
      <c r="X897" s="59" t="str">
        <f t="shared" si="13"/>
        <v/>
      </c>
      <c r="Y897" s="69" t="str">
        <f t="shared" si="14"/>
        <v/>
      </c>
      <c r="Z897" s="11"/>
    </row>
    <row r="898">
      <c r="A898" s="8"/>
      <c r="B898" s="56" t="str">
        <f t="shared" si="2"/>
        <v/>
      </c>
      <c r="C898" s="57"/>
      <c r="D898" s="10" t="str">
        <f>IFERROR(__xludf.DUMMYFUNCTION("IF(COUNTA(C898:C1350)=0,"""",IF(ISBLANK(C898),FALSE,IF(NOT(COUNTIF($AA$24:$AA$34,SUBSTITUTE(C898,""Sell_"",""""))),1,IF(REGEXMATCH(C898,""Sell_""),IF(COUNTIF(C$4:C898,SUBSTITUTE(C898,""Sell_"",""""))-COUNTIF(C$4:C897,C898)&lt;1,1),FALSE))))"),"")</f>
        <v/>
      </c>
      <c r="E898" s="59" t="str">
        <f t="array" ref="E898">IF(COUNTA(C898:C1350)=0,"",SUM((COUNTIF(C$4:C898,Upgrades!$B$3:$B$13)-COUNTIF(C$4:C898,"Sell_"&amp;Upgrades!$B$3:$B$13))*Upgrades!$D$3:$D$13))</f>
        <v/>
      </c>
      <c r="F898" s="66" t="str">
        <f>IFERROR(__xludf.DUMMYFUNCTION("IF(COUNTA(C898:C1350)=0,"""",IF(REGEXMATCH(INDEX(FILTER(C$4:C898,C$4:C898&lt;&gt;""""),ROWS(FILTER(C$4:C898,C$4:C898&lt;&gt;""""))),""^Sell_""),INDEX(FILTER(F$4:F897,C$4:C897&lt;&gt;""""),ROWS(FILTER(C$4:C897,C$4:C897&lt;&gt;""""))),$AC$5+E898))"),"")</f>
        <v/>
      </c>
      <c r="G898" s="10" t="str">
        <f>IFERROR(__xludf.DUMMYFUNCTION("IF(COUNTA(C898:C1350)=0,"""",IF(C898="""",0,IF(REGEXMATCH(C898,""^Sell_""),-ROUNDDOWN(ROUNDUP(INDEX(Upgrades!$C$3:$C$13,MATCH(SUBSTITUTE(C898,""Sell_"",""""),Upgrades!$B$3:$B$13,0))*1.15^(COUNTIF(C$4:C897,SUBSTITUTE(C898,""Sell_"",""""))-COUNTIF(C$4:C897,"&amp;"""Sell_""&amp;SUBSTITUTE(C898,""Sell_"",""""))))/2),ROUNDUP(INDEX(Upgrades!$C$3:$C$13,MATCH(C898,Upgrades!$B$3:$B$13,0))*1.15^(COUNTIF(C$4:C897,C898)-COUNTIF(C$4:C897,""Sell_""&amp;C898))))))"),"")</f>
        <v/>
      </c>
      <c r="H898" s="10" t="str">
        <f t="shared" si="3"/>
        <v/>
      </c>
      <c r="I898" s="68" t="str">
        <f t="shared" si="4"/>
        <v/>
      </c>
      <c r="J898" s="59" t="str">
        <f t="shared" si="5"/>
        <v/>
      </c>
      <c r="K898" s="69" t="str">
        <f t="shared" si="6"/>
        <v/>
      </c>
      <c r="L898" s="60" t="str">
        <f t="shared" si="7"/>
        <v/>
      </c>
      <c r="M898" s="61" t="str">
        <f>IFERROR(__xludf.DUMMYFUNCTION("IFS(AND(COUNTA(C898:C1350)=0,COUNTA(Q898:Q1350)=0),"""",OR(AND(K898&gt;=1000000000,OR(Y898&gt;=1000000000,COUNTA(Q898:Q1350)=0)),OR(Y898&gt;=1000000000,AND(COUNTA(C898:C1350)=0,P$3=TRUE))),
ROUNDDOWN((AB$1-AC$1)*MAX(INDEX(T$4:T1350,MATCH(LARGE(FILTER(Y$4:Y1350,Y$4"&amp;":Y1350&lt;1000000000),1),Y$4:Y1350)),INDEX(F$4:F1350,MATCH(LARGE(FILTER(K$4:K1350,K$4:K1350&lt;1000000000),1),K$4:K1350)))),AND(K898&lt;1000000000,COUNTA(C898:C1350)&gt;0,P$3=FALSE),
ROUNDDOWN(INDEX(Y$4:Y1350,MATCH(LARGE(FILTER(W$4:W1350,W$4:W1350&lt;=I898),1),W$4:W1350"&amp;"))+(I898-LARGE(FILTER(W$4:W1350,W$4:W1350&lt;=I898),1))*INDEX(T$4:T1350,MATCH(LARGE(FILTER(W$4:W1350,W$4:W1350&lt;=I898),1),W$4:W1350))-K898),1,
ROUNDDOWN(Y898-INDEX(K$4:K1350,MATCH(LARGE(FILTER(I$4:I1350,I$4:I1350&lt;=W898),1),I$4:I1350))-(W898-LARGE(FILTER(I$4:I"&amp;"1350,I$4:I1350&lt;=W898),1))*INDEX(F$4:F1350,MATCH(LARGE(FILTER(I$4:I1350,I$4:I1350&lt;=W898),1),I$4:I1350))))"),"")</f>
        <v/>
      </c>
      <c r="N898" s="60" t="str">
        <f t="shared" si="8"/>
        <v/>
      </c>
      <c r="O898" s="61" t="str">
        <f t="shared" si="9"/>
        <v/>
      </c>
      <c r="P898" s="56" t="str">
        <f t="shared" si="10"/>
        <v/>
      </c>
      <c r="Q898" s="62"/>
      <c r="R898" s="10" t="str">
        <f>IFERROR(__xludf.DUMMYFUNCTION("IF(COUNTA(Q898:Q1350)=0,"""",IF(ISBLANK(Q898),FALSE,IF(NOT(COUNTIF($AA$24:$AA$34,SUBSTITUTE(Q898,""Sell_"",""""))),1,IF(REGEXMATCH(Q898,""Sell_""),IF(COUNTIF(Q$4:Q898,SUBSTITUTE(Q898,""Sell_"",""""))-COUNTIF(Q$4:Q897,Q898)&lt;1,1),FALSE))))"),"")</f>
        <v/>
      </c>
      <c r="S898" s="59" t="str">
        <f t="array" ref="S898">IF(COUNTA(Q898:Q1350)=0,"",SUM((COUNTIF(Q$4:Q898,Upgrades!$B$3:$B$13)-COUNTIF(Q$4:Q898,"Sell_"&amp;Upgrades!$B$3:$B$13))*Upgrades!$D$3:$D$13))</f>
        <v/>
      </c>
      <c r="T898" s="66" t="str">
        <f>IFERROR(__xludf.DUMMYFUNCTION("IF(COUNTA(Q898:Q1350)=0,"""",IF(REGEXMATCH(INDEX(FILTER(Q$4:Q898,Q$4:Q898&lt;&gt;""""),ROWS(FILTER(Q$4:Q898,Q$4:Q898&lt;&gt;""""))),""^Sell_""),INDEX(FILTER(T$4:T897,Q$4:Q897&lt;&gt;""""),ROWS(FILTER(Q$4:Q897,Q$4:Q897&lt;&gt;""""))),$AD$5+S898))"),"")</f>
        <v/>
      </c>
      <c r="U898" s="10" t="str">
        <f>IFERROR(__xludf.DUMMYFUNCTION("IF(COUNTA(Q898:Q1350)=0,"""",IF(Q898="""",0,IF(REGEXMATCH(Q898,""^Sell_""),-ROUNDDOWN(ROUNDUP(INDEX(Upgrades!$C$3:$C$13,MATCH(SUBSTITUTE(Q898,""Sell_"",""""),Upgrades!$B$3:$B$13,0))*1.15^(COUNTIF(Q$4:Q897,SUBSTITUTE(Q898,""Sell_"",""""))-COUNTIF(Q$4:Q897,"&amp;"""Sell_""&amp;SUBSTITUTE(Q898,""Sell_"",""""))))/2),ROUNDUP(INDEX(Upgrades!$C$3:$C$13,MATCH(Q898,Upgrades!$B$3:$B$13,0))*1.15^(COUNTIF(Q$4:Q897,Q898)-COUNTIF(Q$4:Q897,""Sell_""&amp;Q898))))))"),"")</f>
        <v/>
      </c>
      <c r="V898" s="10" t="str">
        <f t="shared" si="11"/>
        <v/>
      </c>
      <c r="W898" s="68" t="str">
        <f t="shared" si="12"/>
        <v/>
      </c>
      <c r="X898" s="59" t="str">
        <f t="shared" si="13"/>
        <v/>
      </c>
      <c r="Y898" s="69" t="str">
        <f t="shared" si="14"/>
        <v/>
      </c>
      <c r="Z898" s="11"/>
    </row>
    <row r="899">
      <c r="A899" s="8"/>
      <c r="B899" s="56" t="str">
        <f t="shared" si="2"/>
        <v/>
      </c>
      <c r="C899" s="57"/>
      <c r="D899" s="10" t="str">
        <f>IFERROR(__xludf.DUMMYFUNCTION("IF(COUNTA(C899:C1350)=0,"""",IF(ISBLANK(C899),FALSE,IF(NOT(COUNTIF($AA$24:$AA$34,SUBSTITUTE(C899,""Sell_"",""""))),1,IF(REGEXMATCH(C899,""Sell_""),IF(COUNTIF(C$4:C899,SUBSTITUTE(C899,""Sell_"",""""))-COUNTIF(C$4:C898,C899)&lt;1,1),FALSE))))"),"")</f>
        <v/>
      </c>
      <c r="E899" s="59" t="str">
        <f t="array" ref="E899">IF(COUNTA(C899:C1350)=0,"",SUM((COUNTIF(C$4:C899,Upgrades!$B$3:$B$13)-COUNTIF(C$4:C899,"Sell_"&amp;Upgrades!$B$3:$B$13))*Upgrades!$D$3:$D$13))</f>
        <v/>
      </c>
      <c r="F899" s="66" t="str">
        <f>IFERROR(__xludf.DUMMYFUNCTION("IF(COUNTA(C899:C1350)=0,"""",IF(REGEXMATCH(INDEX(FILTER(C$4:C899,C$4:C899&lt;&gt;""""),ROWS(FILTER(C$4:C899,C$4:C899&lt;&gt;""""))),""^Sell_""),INDEX(FILTER(F$4:F898,C$4:C898&lt;&gt;""""),ROWS(FILTER(C$4:C898,C$4:C898&lt;&gt;""""))),$AC$5+E899))"),"")</f>
        <v/>
      </c>
      <c r="G899" s="10" t="str">
        <f>IFERROR(__xludf.DUMMYFUNCTION("IF(COUNTA(C899:C1350)=0,"""",IF(C899="""",0,IF(REGEXMATCH(C899,""^Sell_""),-ROUNDDOWN(ROUNDUP(INDEX(Upgrades!$C$3:$C$13,MATCH(SUBSTITUTE(C899,""Sell_"",""""),Upgrades!$B$3:$B$13,0))*1.15^(COUNTIF(C$4:C898,SUBSTITUTE(C899,""Sell_"",""""))-COUNTIF(C$4:C898,"&amp;"""Sell_""&amp;SUBSTITUTE(C899,""Sell_"",""""))))/2),ROUNDUP(INDEX(Upgrades!$C$3:$C$13,MATCH(C899,Upgrades!$B$3:$B$13,0))*1.15^(COUNTIF(C$4:C898,C899)-COUNTIF(C$4:C898,""Sell_""&amp;C899))))))"),"")</f>
        <v/>
      </c>
      <c r="H899" s="10" t="str">
        <f t="shared" si="3"/>
        <v/>
      </c>
      <c r="I899" s="68" t="str">
        <f t="shared" si="4"/>
        <v/>
      </c>
      <c r="J899" s="59" t="str">
        <f t="shared" si="5"/>
        <v/>
      </c>
      <c r="K899" s="69" t="str">
        <f t="shared" si="6"/>
        <v/>
      </c>
      <c r="L899" s="60" t="str">
        <f t="shared" si="7"/>
        <v/>
      </c>
      <c r="M899" s="61" t="str">
        <f>IFERROR(__xludf.DUMMYFUNCTION("IFS(AND(COUNTA(C899:C1350)=0,COUNTA(Q899:Q1350)=0),"""",OR(AND(K899&gt;=1000000000,OR(Y899&gt;=1000000000,COUNTA(Q899:Q1350)=0)),OR(Y899&gt;=1000000000,AND(COUNTA(C899:C1350)=0,P$3=TRUE))),
ROUNDDOWN((AB$1-AC$1)*MAX(INDEX(T$4:T1350,MATCH(LARGE(FILTER(Y$4:Y1350,Y$4"&amp;":Y1350&lt;1000000000),1),Y$4:Y1350)),INDEX(F$4:F1350,MATCH(LARGE(FILTER(K$4:K1350,K$4:K1350&lt;1000000000),1),K$4:K1350)))),AND(K899&lt;1000000000,COUNTA(C899:C1350)&gt;0,P$3=FALSE),
ROUNDDOWN(INDEX(Y$4:Y1350,MATCH(LARGE(FILTER(W$4:W1350,W$4:W1350&lt;=I899),1),W$4:W1350"&amp;"))+(I899-LARGE(FILTER(W$4:W1350,W$4:W1350&lt;=I899),1))*INDEX(T$4:T1350,MATCH(LARGE(FILTER(W$4:W1350,W$4:W1350&lt;=I899),1),W$4:W1350))-K899),1,
ROUNDDOWN(Y899-INDEX(K$4:K1350,MATCH(LARGE(FILTER(I$4:I1350,I$4:I1350&lt;=W899),1),I$4:I1350))-(W899-LARGE(FILTER(I$4:I"&amp;"1350,I$4:I1350&lt;=W899),1))*INDEX(F$4:F1350,MATCH(LARGE(FILTER(I$4:I1350,I$4:I1350&lt;=W899),1),I$4:I1350))))"),"")</f>
        <v/>
      </c>
      <c r="N899" s="60" t="str">
        <f t="shared" si="8"/>
        <v/>
      </c>
      <c r="O899" s="61" t="str">
        <f t="shared" si="9"/>
        <v/>
      </c>
      <c r="P899" s="56" t="str">
        <f t="shared" si="10"/>
        <v/>
      </c>
      <c r="Q899" s="62"/>
      <c r="R899" s="10" t="str">
        <f>IFERROR(__xludf.DUMMYFUNCTION("IF(COUNTA(Q899:Q1350)=0,"""",IF(ISBLANK(Q899),FALSE,IF(NOT(COUNTIF($AA$24:$AA$34,SUBSTITUTE(Q899,""Sell_"",""""))),1,IF(REGEXMATCH(Q899,""Sell_""),IF(COUNTIF(Q$4:Q899,SUBSTITUTE(Q899,""Sell_"",""""))-COUNTIF(Q$4:Q898,Q899)&lt;1,1),FALSE))))"),"")</f>
        <v/>
      </c>
      <c r="S899" s="59" t="str">
        <f t="array" ref="S899">IF(COUNTA(Q899:Q1350)=0,"",SUM((COUNTIF(Q$4:Q899,Upgrades!$B$3:$B$13)-COUNTIF(Q$4:Q899,"Sell_"&amp;Upgrades!$B$3:$B$13))*Upgrades!$D$3:$D$13))</f>
        <v/>
      </c>
      <c r="T899" s="66" t="str">
        <f>IFERROR(__xludf.DUMMYFUNCTION("IF(COUNTA(Q899:Q1350)=0,"""",IF(REGEXMATCH(INDEX(FILTER(Q$4:Q899,Q$4:Q899&lt;&gt;""""),ROWS(FILTER(Q$4:Q899,Q$4:Q899&lt;&gt;""""))),""^Sell_""),INDEX(FILTER(T$4:T898,Q$4:Q898&lt;&gt;""""),ROWS(FILTER(Q$4:Q898,Q$4:Q898&lt;&gt;""""))),$AD$5+S899))"),"")</f>
        <v/>
      </c>
      <c r="U899" s="10" t="str">
        <f>IFERROR(__xludf.DUMMYFUNCTION("IF(COUNTA(Q899:Q1350)=0,"""",IF(Q899="""",0,IF(REGEXMATCH(Q899,""^Sell_""),-ROUNDDOWN(ROUNDUP(INDEX(Upgrades!$C$3:$C$13,MATCH(SUBSTITUTE(Q899,""Sell_"",""""),Upgrades!$B$3:$B$13,0))*1.15^(COUNTIF(Q$4:Q898,SUBSTITUTE(Q899,""Sell_"",""""))-COUNTIF(Q$4:Q898,"&amp;"""Sell_""&amp;SUBSTITUTE(Q899,""Sell_"",""""))))/2),ROUNDUP(INDEX(Upgrades!$C$3:$C$13,MATCH(Q899,Upgrades!$B$3:$B$13,0))*1.15^(COUNTIF(Q$4:Q898,Q899)-COUNTIF(Q$4:Q898,""Sell_""&amp;Q899))))))"),"")</f>
        <v/>
      </c>
      <c r="V899" s="10" t="str">
        <f t="shared" si="11"/>
        <v/>
      </c>
      <c r="W899" s="68" t="str">
        <f t="shared" si="12"/>
        <v/>
      </c>
      <c r="X899" s="59" t="str">
        <f t="shared" si="13"/>
        <v/>
      </c>
      <c r="Y899" s="69" t="str">
        <f t="shared" si="14"/>
        <v/>
      </c>
      <c r="Z899" s="11"/>
    </row>
    <row r="900">
      <c r="A900" s="8"/>
      <c r="B900" s="56" t="str">
        <f t="shared" si="2"/>
        <v/>
      </c>
      <c r="C900" s="57"/>
      <c r="D900" s="10" t="str">
        <f>IFERROR(__xludf.DUMMYFUNCTION("IF(COUNTA(C900:C1350)=0,"""",IF(ISBLANK(C900),FALSE,IF(NOT(COUNTIF($AA$24:$AA$34,SUBSTITUTE(C900,""Sell_"",""""))),1,IF(REGEXMATCH(C900,""Sell_""),IF(COUNTIF(C$4:C900,SUBSTITUTE(C900,""Sell_"",""""))-COUNTIF(C$4:C899,C900)&lt;1,1),FALSE))))"),"")</f>
        <v/>
      </c>
      <c r="E900" s="59" t="str">
        <f t="array" ref="E900">IF(COUNTA(C900:C1350)=0,"",SUM((COUNTIF(C$4:C900,Upgrades!$B$3:$B$13)-COUNTIF(C$4:C900,"Sell_"&amp;Upgrades!$B$3:$B$13))*Upgrades!$D$3:$D$13))</f>
        <v/>
      </c>
      <c r="F900" s="66" t="str">
        <f>IFERROR(__xludf.DUMMYFUNCTION("IF(COUNTA(C900:C1350)=0,"""",IF(REGEXMATCH(INDEX(FILTER(C$4:C900,C$4:C900&lt;&gt;""""),ROWS(FILTER(C$4:C900,C$4:C900&lt;&gt;""""))),""^Sell_""),INDEX(FILTER(F$4:F899,C$4:C899&lt;&gt;""""),ROWS(FILTER(C$4:C899,C$4:C899&lt;&gt;""""))),$AC$5+E900))"),"")</f>
        <v/>
      </c>
      <c r="G900" s="10" t="str">
        <f>IFERROR(__xludf.DUMMYFUNCTION("IF(COUNTA(C900:C1350)=0,"""",IF(C900="""",0,IF(REGEXMATCH(C900,""^Sell_""),-ROUNDDOWN(ROUNDUP(INDEX(Upgrades!$C$3:$C$13,MATCH(SUBSTITUTE(C900,""Sell_"",""""),Upgrades!$B$3:$B$13,0))*1.15^(COUNTIF(C$4:C899,SUBSTITUTE(C900,""Sell_"",""""))-COUNTIF(C$4:C899,"&amp;"""Sell_""&amp;SUBSTITUTE(C900,""Sell_"",""""))))/2),ROUNDUP(INDEX(Upgrades!$C$3:$C$13,MATCH(C900,Upgrades!$B$3:$B$13,0))*1.15^(COUNTIF(C$4:C899,C900)-COUNTIF(C$4:C899,""Sell_""&amp;C900))))))"),"")</f>
        <v/>
      </c>
      <c r="H900" s="10" t="str">
        <f t="shared" si="3"/>
        <v/>
      </c>
      <c r="I900" s="68" t="str">
        <f t="shared" si="4"/>
        <v/>
      </c>
      <c r="J900" s="59" t="str">
        <f t="shared" si="5"/>
        <v/>
      </c>
      <c r="K900" s="69" t="str">
        <f t="shared" si="6"/>
        <v/>
      </c>
      <c r="L900" s="60" t="str">
        <f t="shared" si="7"/>
        <v/>
      </c>
      <c r="M900" s="61" t="str">
        <f>IFERROR(__xludf.DUMMYFUNCTION("IFS(AND(COUNTA(C900:C1350)=0,COUNTA(Q900:Q1350)=0),"""",OR(AND(K900&gt;=1000000000,OR(Y900&gt;=1000000000,COUNTA(Q900:Q1350)=0)),OR(Y900&gt;=1000000000,AND(COUNTA(C900:C1350)=0,P$3=TRUE))),
ROUNDDOWN((AB$1-AC$1)*MAX(INDEX(T$4:T1350,MATCH(LARGE(FILTER(Y$4:Y1350,Y$4"&amp;":Y1350&lt;1000000000),1),Y$4:Y1350)),INDEX(F$4:F1350,MATCH(LARGE(FILTER(K$4:K1350,K$4:K1350&lt;1000000000),1),K$4:K1350)))),AND(K900&lt;1000000000,COUNTA(C900:C1350)&gt;0,P$3=FALSE),
ROUNDDOWN(INDEX(Y$4:Y1350,MATCH(LARGE(FILTER(W$4:W1350,W$4:W1350&lt;=I900),1),W$4:W1350"&amp;"))+(I900-LARGE(FILTER(W$4:W1350,W$4:W1350&lt;=I900),1))*INDEX(T$4:T1350,MATCH(LARGE(FILTER(W$4:W1350,W$4:W1350&lt;=I900),1),W$4:W1350))-K900),1,
ROUNDDOWN(Y900-INDEX(K$4:K1350,MATCH(LARGE(FILTER(I$4:I1350,I$4:I1350&lt;=W900),1),I$4:I1350))-(W900-LARGE(FILTER(I$4:I"&amp;"1350,I$4:I1350&lt;=W900),1))*INDEX(F$4:F1350,MATCH(LARGE(FILTER(I$4:I1350,I$4:I1350&lt;=W900),1),I$4:I1350))))"),"")</f>
        <v/>
      </c>
      <c r="N900" s="60" t="str">
        <f t="shared" si="8"/>
        <v/>
      </c>
      <c r="O900" s="61" t="str">
        <f t="shared" si="9"/>
        <v/>
      </c>
      <c r="P900" s="56" t="str">
        <f t="shared" si="10"/>
        <v/>
      </c>
      <c r="Q900" s="62"/>
      <c r="R900" s="10" t="str">
        <f>IFERROR(__xludf.DUMMYFUNCTION("IF(COUNTA(Q900:Q1350)=0,"""",IF(ISBLANK(Q900),FALSE,IF(NOT(COUNTIF($AA$24:$AA$34,SUBSTITUTE(Q900,""Sell_"",""""))),1,IF(REGEXMATCH(Q900,""Sell_""),IF(COUNTIF(Q$4:Q900,SUBSTITUTE(Q900,""Sell_"",""""))-COUNTIF(Q$4:Q899,Q900)&lt;1,1),FALSE))))"),"")</f>
        <v/>
      </c>
      <c r="S900" s="59" t="str">
        <f t="array" ref="S900">IF(COUNTA(Q900:Q1350)=0,"",SUM((COUNTIF(Q$4:Q900,Upgrades!$B$3:$B$13)-COUNTIF(Q$4:Q900,"Sell_"&amp;Upgrades!$B$3:$B$13))*Upgrades!$D$3:$D$13))</f>
        <v/>
      </c>
      <c r="T900" s="66" t="str">
        <f>IFERROR(__xludf.DUMMYFUNCTION("IF(COUNTA(Q900:Q1350)=0,"""",IF(REGEXMATCH(INDEX(FILTER(Q$4:Q900,Q$4:Q900&lt;&gt;""""),ROWS(FILTER(Q$4:Q900,Q$4:Q900&lt;&gt;""""))),""^Sell_""),INDEX(FILTER(T$4:T899,Q$4:Q899&lt;&gt;""""),ROWS(FILTER(Q$4:Q899,Q$4:Q899&lt;&gt;""""))),$AD$5+S900))"),"")</f>
        <v/>
      </c>
      <c r="U900" s="10" t="str">
        <f>IFERROR(__xludf.DUMMYFUNCTION("IF(COUNTA(Q900:Q1350)=0,"""",IF(Q900="""",0,IF(REGEXMATCH(Q900,""^Sell_""),-ROUNDDOWN(ROUNDUP(INDEX(Upgrades!$C$3:$C$13,MATCH(SUBSTITUTE(Q900,""Sell_"",""""),Upgrades!$B$3:$B$13,0))*1.15^(COUNTIF(Q$4:Q899,SUBSTITUTE(Q900,""Sell_"",""""))-COUNTIF(Q$4:Q899,"&amp;"""Sell_""&amp;SUBSTITUTE(Q900,""Sell_"",""""))))/2),ROUNDUP(INDEX(Upgrades!$C$3:$C$13,MATCH(Q900,Upgrades!$B$3:$B$13,0))*1.15^(COUNTIF(Q$4:Q899,Q900)-COUNTIF(Q$4:Q899,""Sell_""&amp;Q900))))))"),"")</f>
        <v/>
      </c>
      <c r="V900" s="10" t="str">
        <f t="shared" si="11"/>
        <v/>
      </c>
      <c r="W900" s="68" t="str">
        <f t="shared" si="12"/>
        <v/>
      </c>
      <c r="X900" s="59" t="str">
        <f t="shared" si="13"/>
        <v/>
      </c>
      <c r="Y900" s="69" t="str">
        <f t="shared" si="14"/>
        <v/>
      </c>
      <c r="Z900" s="11"/>
    </row>
    <row r="901">
      <c r="A901" s="8"/>
      <c r="B901" s="56" t="str">
        <f t="shared" si="2"/>
        <v/>
      </c>
      <c r="C901" s="57"/>
      <c r="D901" s="10" t="str">
        <f>IFERROR(__xludf.DUMMYFUNCTION("IF(COUNTA(C901:C1350)=0,"""",IF(ISBLANK(C901),FALSE,IF(NOT(COUNTIF($AA$24:$AA$34,SUBSTITUTE(C901,""Sell_"",""""))),1,IF(REGEXMATCH(C901,""Sell_""),IF(COUNTIF(C$4:C901,SUBSTITUTE(C901,""Sell_"",""""))-COUNTIF(C$4:C900,C901)&lt;1,1),FALSE))))"),"")</f>
        <v/>
      </c>
      <c r="E901" s="59" t="str">
        <f t="array" ref="E901">IF(COUNTA(C901:C1350)=0,"",SUM((COUNTIF(C$4:C901,Upgrades!$B$3:$B$13)-COUNTIF(C$4:C901,"Sell_"&amp;Upgrades!$B$3:$B$13))*Upgrades!$D$3:$D$13))</f>
        <v/>
      </c>
      <c r="F901" s="66" t="str">
        <f>IFERROR(__xludf.DUMMYFUNCTION("IF(COUNTA(C901:C1350)=0,"""",IF(REGEXMATCH(INDEX(FILTER(C$4:C901,C$4:C901&lt;&gt;""""),ROWS(FILTER(C$4:C901,C$4:C901&lt;&gt;""""))),""^Sell_""),INDEX(FILTER(F$4:F900,C$4:C900&lt;&gt;""""),ROWS(FILTER(C$4:C900,C$4:C900&lt;&gt;""""))),$AC$5+E901))"),"")</f>
        <v/>
      </c>
      <c r="G901" s="10" t="str">
        <f>IFERROR(__xludf.DUMMYFUNCTION("IF(COUNTA(C901:C1350)=0,"""",IF(C901="""",0,IF(REGEXMATCH(C901,""^Sell_""),-ROUNDDOWN(ROUNDUP(INDEX(Upgrades!$C$3:$C$13,MATCH(SUBSTITUTE(C901,""Sell_"",""""),Upgrades!$B$3:$B$13,0))*1.15^(COUNTIF(C$4:C900,SUBSTITUTE(C901,""Sell_"",""""))-COUNTIF(C$4:C900,"&amp;"""Sell_""&amp;SUBSTITUTE(C901,""Sell_"",""""))))/2),ROUNDUP(INDEX(Upgrades!$C$3:$C$13,MATCH(C901,Upgrades!$B$3:$B$13,0))*1.15^(COUNTIF(C$4:C900,C901)-COUNTIF(C$4:C900,""Sell_""&amp;C901))))))"),"")</f>
        <v/>
      </c>
      <c r="H901" s="10" t="str">
        <f t="shared" si="3"/>
        <v/>
      </c>
      <c r="I901" s="68" t="str">
        <f t="shared" si="4"/>
        <v/>
      </c>
      <c r="J901" s="59" t="str">
        <f t="shared" si="5"/>
        <v/>
      </c>
      <c r="K901" s="69" t="str">
        <f t="shared" si="6"/>
        <v/>
      </c>
      <c r="L901" s="60" t="str">
        <f t="shared" si="7"/>
        <v/>
      </c>
      <c r="M901" s="61" t="str">
        <f>IFERROR(__xludf.DUMMYFUNCTION("IFS(AND(COUNTA(C901:C1350)=0,COUNTA(Q901:Q1350)=0),"""",OR(AND(K901&gt;=1000000000,OR(Y901&gt;=1000000000,COUNTA(Q901:Q1350)=0)),OR(Y901&gt;=1000000000,AND(COUNTA(C901:C1350)=0,P$3=TRUE))),
ROUNDDOWN((AB$1-AC$1)*MAX(INDEX(T$4:T1350,MATCH(LARGE(FILTER(Y$4:Y1350,Y$4"&amp;":Y1350&lt;1000000000),1),Y$4:Y1350)),INDEX(F$4:F1350,MATCH(LARGE(FILTER(K$4:K1350,K$4:K1350&lt;1000000000),1),K$4:K1350)))),AND(K901&lt;1000000000,COUNTA(C901:C1350)&gt;0,P$3=FALSE),
ROUNDDOWN(INDEX(Y$4:Y1350,MATCH(LARGE(FILTER(W$4:W1350,W$4:W1350&lt;=I901),1),W$4:W1350"&amp;"))+(I901-LARGE(FILTER(W$4:W1350,W$4:W1350&lt;=I901),1))*INDEX(T$4:T1350,MATCH(LARGE(FILTER(W$4:W1350,W$4:W1350&lt;=I901),1),W$4:W1350))-K901),1,
ROUNDDOWN(Y901-INDEX(K$4:K1350,MATCH(LARGE(FILTER(I$4:I1350,I$4:I1350&lt;=W901),1),I$4:I1350))-(W901-LARGE(FILTER(I$4:I"&amp;"1350,I$4:I1350&lt;=W901),1))*INDEX(F$4:F1350,MATCH(LARGE(FILTER(I$4:I1350,I$4:I1350&lt;=W901),1),I$4:I1350))))"),"")</f>
        <v/>
      </c>
      <c r="N901" s="60" t="str">
        <f t="shared" si="8"/>
        <v/>
      </c>
      <c r="O901" s="61" t="str">
        <f t="shared" si="9"/>
        <v/>
      </c>
      <c r="P901" s="56" t="str">
        <f t="shared" si="10"/>
        <v/>
      </c>
      <c r="Q901" s="62"/>
      <c r="R901" s="10" t="str">
        <f>IFERROR(__xludf.DUMMYFUNCTION("IF(COUNTA(Q901:Q1350)=0,"""",IF(ISBLANK(Q901),FALSE,IF(NOT(COUNTIF($AA$24:$AA$34,SUBSTITUTE(Q901,""Sell_"",""""))),1,IF(REGEXMATCH(Q901,""Sell_""),IF(COUNTIF(Q$4:Q901,SUBSTITUTE(Q901,""Sell_"",""""))-COUNTIF(Q$4:Q900,Q901)&lt;1,1),FALSE))))"),"")</f>
        <v/>
      </c>
      <c r="S901" s="59" t="str">
        <f t="array" ref="S901">IF(COUNTA(Q901:Q1350)=0,"",SUM((COUNTIF(Q$4:Q901,Upgrades!$B$3:$B$13)-COUNTIF(Q$4:Q901,"Sell_"&amp;Upgrades!$B$3:$B$13))*Upgrades!$D$3:$D$13))</f>
        <v/>
      </c>
      <c r="T901" s="66" t="str">
        <f>IFERROR(__xludf.DUMMYFUNCTION("IF(COUNTA(Q901:Q1350)=0,"""",IF(REGEXMATCH(INDEX(FILTER(Q$4:Q901,Q$4:Q901&lt;&gt;""""),ROWS(FILTER(Q$4:Q901,Q$4:Q901&lt;&gt;""""))),""^Sell_""),INDEX(FILTER(T$4:T900,Q$4:Q900&lt;&gt;""""),ROWS(FILTER(Q$4:Q900,Q$4:Q900&lt;&gt;""""))),$AD$5+S901))"),"")</f>
        <v/>
      </c>
      <c r="U901" s="10" t="str">
        <f>IFERROR(__xludf.DUMMYFUNCTION("IF(COUNTA(Q901:Q1350)=0,"""",IF(Q901="""",0,IF(REGEXMATCH(Q901,""^Sell_""),-ROUNDDOWN(ROUNDUP(INDEX(Upgrades!$C$3:$C$13,MATCH(SUBSTITUTE(Q901,""Sell_"",""""),Upgrades!$B$3:$B$13,0))*1.15^(COUNTIF(Q$4:Q900,SUBSTITUTE(Q901,""Sell_"",""""))-COUNTIF(Q$4:Q900,"&amp;"""Sell_""&amp;SUBSTITUTE(Q901,""Sell_"",""""))))/2),ROUNDUP(INDEX(Upgrades!$C$3:$C$13,MATCH(Q901,Upgrades!$B$3:$B$13,0))*1.15^(COUNTIF(Q$4:Q900,Q901)-COUNTIF(Q$4:Q900,""Sell_""&amp;Q901))))))"),"")</f>
        <v/>
      </c>
      <c r="V901" s="10" t="str">
        <f t="shared" si="11"/>
        <v/>
      </c>
      <c r="W901" s="68" t="str">
        <f t="shared" si="12"/>
        <v/>
      </c>
      <c r="X901" s="59" t="str">
        <f t="shared" si="13"/>
        <v/>
      </c>
      <c r="Y901" s="69" t="str">
        <f t="shared" si="14"/>
        <v/>
      </c>
      <c r="Z901" s="11"/>
    </row>
    <row r="902">
      <c r="A902" s="8"/>
      <c r="B902" s="56" t="str">
        <f t="shared" si="2"/>
        <v/>
      </c>
      <c r="C902" s="57"/>
      <c r="D902" s="10" t="str">
        <f>IFERROR(__xludf.DUMMYFUNCTION("IF(COUNTA(C902:C1350)=0,"""",IF(ISBLANK(C902),FALSE,IF(NOT(COUNTIF($AA$24:$AA$34,SUBSTITUTE(C902,""Sell_"",""""))),1,IF(REGEXMATCH(C902,""Sell_""),IF(COUNTIF(C$4:C902,SUBSTITUTE(C902,""Sell_"",""""))-COUNTIF(C$4:C901,C902)&lt;1,1),FALSE))))"),"")</f>
        <v/>
      </c>
      <c r="E902" s="59" t="str">
        <f t="array" ref="E902">IF(COUNTA(C902:C1350)=0,"",SUM((COUNTIF(C$4:C902,Upgrades!$B$3:$B$13)-COUNTIF(C$4:C902,"Sell_"&amp;Upgrades!$B$3:$B$13))*Upgrades!$D$3:$D$13))</f>
        <v/>
      </c>
      <c r="F902" s="66" t="str">
        <f>IFERROR(__xludf.DUMMYFUNCTION("IF(COUNTA(C902:C1350)=0,"""",IF(REGEXMATCH(INDEX(FILTER(C$4:C902,C$4:C902&lt;&gt;""""),ROWS(FILTER(C$4:C902,C$4:C902&lt;&gt;""""))),""^Sell_""),INDEX(FILTER(F$4:F901,C$4:C901&lt;&gt;""""),ROWS(FILTER(C$4:C901,C$4:C901&lt;&gt;""""))),$AC$5+E902))"),"")</f>
        <v/>
      </c>
      <c r="G902" s="10" t="str">
        <f>IFERROR(__xludf.DUMMYFUNCTION("IF(COUNTA(C902:C1350)=0,"""",IF(C902="""",0,IF(REGEXMATCH(C902,""^Sell_""),-ROUNDDOWN(ROUNDUP(INDEX(Upgrades!$C$3:$C$13,MATCH(SUBSTITUTE(C902,""Sell_"",""""),Upgrades!$B$3:$B$13,0))*1.15^(COUNTIF(C$4:C901,SUBSTITUTE(C902,""Sell_"",""""))-COUNTIF(C$4:C901,"&amp;"""Sell_""&amp;SUBSTITUTE(C902,""Sell_"",""""))))/2),ROUNDUP(INDEX(Upgrades!$C$3:$C$13,MATCH(C902,Upgrades!$B$3:$B$13,0))*1.15^(COUNTIF(C$4:C901,C902)-COUNTIF(C$4:C901,""Sell_""&amp;C902))))))"),"")</f>
        <v/>
      </c>
      <c r="H902" s="10" t="str">
        <f t="shared" si="3"/>
        <v/>
      </c>
      <c r="I902" s="68" t="str">
        <f t="shared" si="4"/>
        <v/>
      </c>
      <c r="J902" s="59" t="str">
        <f t="shared" si="5"/>
        <v/>
      </c>
      <c r="K902" s="69" t="str">
        <f t="shared" si="6"/>
        <v/>
      </c>
      <c r="L902" s="60" t="str">
        <f t="shared" si="7"/>
        <v/>
      </c>
      <c r="M902" s="61" t="str">
        <f>IFERROR(__xludf.DUMMYFUNCTION("IFS(AND(COUNTA(C902:C1350)=0,COUNTA(Q902:Q1350)=0),"""",OR(AND(K902&gt;=1000000000,OR(Y902&gt;=1000000000,COUNTA(Q902:Q1350)=0)),OR(Y902&gt;=1000000000,AND(COUNTA(C902:C1350)=0,P$3=TRUE))),
ROUNDDOWN((AB$1-AC$1)*MAX(INDEX(T$4:T1350,MATCH(LARGE(FILTER(Y$4:Y1350,Y$4"&amp;":Y1350&lt;1000000000),1),Y$4:Y1350)),INDEX(F$4:F1350,MATCH(LARGE(FILTER(K$4:K1350,K$4:K1350&lt;1000000000),1),K$4:K1350)))),AND(K902&lt;1000000000,COUNTA(C902:C1350)&gt;0,P$3=FALSE),
ROUNDDOWN(INDEX(Y$4:Y1350,MATCH(LARGE(FILTER(W$4:W1350,W$4:W1350&lt;=I902),1),W$4:W1350"&amp;"))+(I902-LARGE(FILTER(W$4:W1350,W$4:W1350&lt;=I902),1))*INDEX(T$4:T1350,MATCH(LARGE(FILTER(W$4:W1350,W$4:W1350&lt;=I902),1),W$4:W1350))-K902),1,
ROUNDDOWN(Y902-INDEX(K$4:K1350,MATCH(LARGE(FILTER(I$4:I1350,I$4:I1350&lt;=W902),1),I$4:I1350))-(W902-LARGE(FILTER(I$4:I"&amp;"1350,I$4:I1350&lt;=W902),1))*INDEX(F$4:F1350,MATCH(LARGE(FILTER(I$4:I1350,I$4:I1350&lt;=W902),1),I$4:I1350))))"),"")</f>
        <v/>
      </c>
      <c r="N902" s="60" t="str">
        <f t="shared" si="8"/>
        <v/>
      </c>
      <c r="O902" s="61" t="str">
        <f t="shared" si="9"/>
        <v/>
      </c>
      <c r="P902" s="56" t="str">
        <f t="shared" si="10"/>
        <v/>
      </c>
      <c r="Q902" s="62"/>
      <c r="R902" s="10" t="str">
        <f>IFERROR(__xludf.DUMMYFUNCTION("IF(COUNTA(Q902:Q1350)=0,"""",IF(ISBLANK(Q902),FALSE,IF(NOT(COUNTIF($AA$24:$AA$34,SUBSTITUTE(Q902,""Sell_"",""""))),1,IF(REGEXMATCH(Q902,""Sell_""),IF(COUNTIF(Q$4:Q902,SUBSTITUTE(Q902,""Sell_"",""""))-COUNTIF(Q$4:Q901,Q902)&lt;1,1),FALSE))))"),"")</f>
        <v/>
      </c>
      <c r="S902" s="59" t="str">
        <f t="array" ref="S902">IF(COUNTA(Q902:Q1350)=0,"",SUM((COUNTIF(Q$4:Q902,Upgrades!$B$3:$B$13)-COUNTIF(Q$4:Q902,"Sell_"&amp;Upgrades!$B$3:$B$13))*Upgrades!$D$3:$D$13))</f>
        <v/>
      </c>
      <c r="T902" s="66" t="str">
        <f>IFERROR(__xludf.DUMMYFUNCTION("IF(COUNTA(Q902:Q1350)=0,"""",IF(REGEXMATCH(INDEX(FILTER(Q$4:Q902,Q$4:Q902&lt;&gt;""""),ROWS(FILTER(Q$4:Q902,Q$4:Q902&lt;&gt;""""))),""^Sell_""),INDEX(FILTER(T$4:T901,Q$4:Q901&lt;&gt;""""),ROWS(FILTER(Q$4:Q901,Q$4:Q901&lt;&gt;""""))),$AD$5+S902))"),"")</f>
        <v/>
      </c>
      <c r="U902" s="10" t="str">
        <f>IFERROR(__xludf.DUMMYFUNCTION("IF(COUNTA(Q902:Q1350)=0,"""",IF(Q902="""",0,IF(REGEXMATCH(Q902,""^Sell_""),-ROUNDDOWN(ROUNDUP(INDEX(Upgrades!$C$3:$C$13,MATCH(SUBSTITUTE(Q902,""Sell_"",""""),Upgrades!$B$3:$B$13,0))*1.15^(COUNTIF(Q$4:Q901,SUBSTITUTE(Q902,""Sell_"",""""))-COUNTIF(Q$4:Q901,"&amp;"""Sell_""&amp;SUBSTITUTE(Q902,""Sell_"",""""))))/2),ROUNDUP(INDEX(Upgrades!$C$3:$C$13,MATCH(Q902,Upgrades!$B$3:$B$13,0))*1.15^(COUNTIF(Q$4:Q901,Q902)-COUNTIF(Q$4:Q901,""Sell_""&amp;Q902))))))"),"")</f>
        <v/>
      </c>
      <c r="V902" s="10" t="str">
        <f t="shared" si="11"/>
        <v/>
      </c>
      <c r="W902" s="68" t="str">
        <f t="shared" si="12"/>
        <v/>
      </c>
      <c r="X902" s="59" t="str">
        <f t="shared" si="13"/>
        <v/>
      </c>
      <c r="Y902" s="69" t="str">
        <f t="shared" si="14"/>
        <v/>
      </c>
      <c r="Z902" s="11"/>
    </row>
    <row r="903">
      <c r="A903" s="8"/>
      <c r="B903" s="56" t="str">
        <f t="shared" si="2"/>
        <v/>
      </c>
      <c r="C903" s="57"/>
      <c r="D903" s="10" t="str">
        <f>IFERROR(__xludf.DUMMYFUNCTION("IF(COUNTA(C903:C1350)=0,"""",IF(ISBLANK(C903),FALSE,IF(NOT(COUNTIF($AA$24:$AA$34,SUBSTITUTE(C903,""Sell_"",""""))),1,IF(REGEXMATCH(C903,""Sell_""),IF(COUNTIF(C$4:C903,SUBSTITUTE(C903,""Sell_"",""""))-COUNTIF(C$4:C902,C903)&lt;1,1),FALSE))))"),"")</f>
        <v/>
      </c>
      <c r="E903" s="59" t="str">
        <f t="array" ref="E903">IF(COUNTA(C903:C1350)=0,"",SUM((COUNTIF(C$4:C903,Upgrades!$B$3:$B$13)-COUNTIF(C$4:C903,"Sell_"&amp;Upgrades!$B$3:$B$13))*Upgrades!$D$3:$D$13))</f>
        <v/>
      </c>
      <c r="F903" s="66" t="str">
        <f>IFERROR(__xludf.DUMMYFUNCTION("IF(COUNTA(C903:C1350)=0,"""",IF(REGEXMATCH(INDEX(FILTER(C$4:C903,C$4:C903&lt;&gt;""""),ROWS(FILTER(C$4:C903,C$4:C903&lt;&gt;""""))),""^Sell_""),INDEX(FILTER(F$4:F902,C$4:C902&lt;&gt;""""),ROWS(FILTER(C$4:C902,C$4:C902&lt;&gt;""""))),$AC$5+E903))"),"")</f>
        <v/>
      </c>
      <c r="G903" s="10" t="str">
        <f>IFERROR(__xludf.DUMMYFUNCTION("IF(COUNTA(C903:C1350)=0,"""",IF(C903="""",0,IF(REGEXMATCH(C903,""^Sell_""),-ROUNDDOWN(ROUNDUP(INDEX(Upgrades!$C$3:$C$13,MATCH(SUBSTITUTE(C903,""Sell_"",""""),Upgrades!$B$3:$B$13,0))*1.15^(COUNTIF(C$4:C902,SUBSTITUTE(C903,""Sell_"",""""))-COUNTIF(C$4:C902,"&amp;"""Sell_""&amp;SUBSTITUTE(C903,""Sell_"",""""))))/2),ROUNDUP(INDEX(Upgrades!$C$3:$C$13,MATCH(C903,Upgrades!$B$3:$B$13,0))*1.15^(COUNTIF(C$4:C902,C903)-COUNTIF(C$4:C902,""Sell_""&amp;C903))))))"),"")</f>
        <v/>
      </c>
      <c r="H903" s="10" t="str">
        <f t="shared" si="3"/>
        <v/>
      </c>
      <c r="I903" s="68" t="str">
        <f t="shared" si="4"/>
        <v/>
      </c>
      <c r="J903" s="59" t="str">
        <f t="shared" si="5"/>
        <v/>
      </c>
      <c r="K903" s="69" t="str">
        <f t="shared" si="6"/>
        <v/>
      </c>
      <c r="L903" s="60" t="str">
        <f t="shared" si="7"/>
        <v/>
      </c>
      <c r="M903" s="61" t="str">
        <f>IFERROR(__xludf.DUMMYFUNCTION("IFS(AND(COUNTA(C903:C1350)=0,COUNTA(Q903:Q1350)=0),"""",OR(AND(K903&gt;=1000000000,OR(Y903&gt;=1000000000,COUNTA(Q903:Q1350)=0)),OR(Y903&gt;=1000000000,AND(COUNTA(C903:C1350)=0,P$3=TRUE))),
ROUNDDOWN((AB$1-AC$1)*MAX(INDEX(T$4:T1350,MATCH(LARGE(FILTER(Y$4:Y1350,Y$4"&amp;":Y1350&lt;1000000000),1),Y$4:Y1350)),INDEX(F$4:F1350,MATCH(LARGE(FILTER(K$4:K1350,K$4:K1350&lt;1000000000),1),K$4:K1350)))),AND(K903&lt;1000000000,COUNTA(C903:C1350)&gt;0,P$3=FALSE),
ROUNDDOWN(INDEX(Y$4:Y1350,MATCH(LARGE(FILTER(W$4:W1350,W$4:W1350&lt;=I903),1),W$4:W1350"&amp;"))+(I903-LARGE(FILTER(W$4:W1350,W$4:W1350&lt;=I903),1))*INDEX(T$4:T1350,MATCH(LARGE(FILTER(W$4:W1350,W$4:W1350&lt;=I903),1),W$4:W1350))-K903),1,
ROUNDDOWN(Y903-INDEX(K$4:K1350,MATCH(LARGE(FILTER(I$4:I1350,I$4:I1350&lt;=W903),1),I$4:I1350))-(W903-LARGE(FILTER(I$4:I"&amp;"1350,I$4:I1350&lt;=W903),1))*INDEX(F$4:F1350,MATCH(LARGE(FILTER(I$4:I1350,I$4:I1350&lt;=W903),1),I$4:I1350))))"),"")</f>
        <v/>
      </c>
      <c r="N903" s="60" t="str">
        <f t="shared" si="8"/>
        <v/>
      </c>
      <c r="O903" s="61" t="str">
        <f t="shared" si="9"/>
        <v/>
      </c>
      <c r="P903" s="56" t="str">
        <f t="shared" si="10"/>
        <v/>
      </c>
      <c r="Q903" s="62"/>
      <c r="R903" s="10" t="str">
        <f>IFERROR(__xludf.DUMMYFUNCTION("IF(COUNTA(Q903:Q1350)=0,"""",IF(ISBLANK(Q903),FALSE,IF(NOT(COUNTIF($AA$24:$AA$34,SUBSTITUTE(Q903,""Sell_"",""""))),1,IF(REGEXMATCH(Q903,""Sell_""),IF(COUNTIF(Q$4:Q903,SUBSTITUTE(Q903,""Sell_"",""""))-COUNTIF(Q$4:Q902,Q903)&lt;1,1),FALSE))))"),"")</f>
        <v/>
      </c>
      <c r="S903" s="59" t="str">
        <f t="array" ref="S903">IF(COUNTA(Q903:Q1350)=0,"",SUM((COUNTIF(Q$4:Q903,Upgrades!$B$3:$B$13)-COUNTIF(Q$4:Q903,"Sell_"&amp;Upgrades!$B$3:$B$13))*Upgrades!$D$3:$D$13))</f>
        <v/>
      </c>
      <c r="T903" s="66" t="str">
        <f>IFERROR(__xludf.DUMMYFUNCTION("IF(COUNTA(Q903:Q1350)=0,"""",IF(REGEXMATCH(INDEX(FILTER(Q$4:Q903,Q$4:Q903&lt;&gt;""""),ROWS(FILTER(Q$4:Q903,Q$4:Q903&lt;&gt;""""))),""^Sell_""),INDEX(FILTER(T$4:T902,Q$4:Q902&lt;&gt;""""),ROWS(FILTER(Q$4:Q902,Q$4:Q902&lt;&gt;""""))),$AD$5+S903))"),"")</f>
        <v/>
      </c>
      <c r="U903" s="10" t="str">
        <f>IFERROR(__xludf.DUMMYFUNCTION("IF(COUNTA(Q903:Q1350)=0,"""",IF(Q903="""",0,IF(REGEXMATCH(Q903,""^Sell_""),-ROUNDDOWN(ROUNDUP(INDEX(Upgrades!$C$3:$C$13,MATCH(SUBSTITUTE(Q903,""Sell_"",""""),Upgrades!$B$3:$B$13,0))*1.15^(COUNTIF(Q$4:Q902,SUBSTITUTE(Q903,""Sell_"",""""))-COUNTIF(Q$4:Q902,"&amp;"""Sell_""&amp;SUBSTITUTE(Q903,""Sell_"",""""))))/2),ROUNDUP(INDEX(Upgrades!$C$3:$C$13,MATCH(Q903,Upgrades!$B$3:$B$13,0))*1.15^(COUNTIF(Q$4:Q902,Q903)-COUNTIF(Q$4:Q902,""Sell_""&amp;Q903))))))"),"")</f>
        <v/>
      </c>
      <c r="V903" s="10" t="str">
        <f t="shared" si="11"/>
        <v/>
      </c>
      <c r="W903" s="68" t="str">
        <f t="shared" si="12"/>
        <v/>
      </c>
      <c r="X903" s="59" t="str">
        <f t="shared" si="13"/>
        <v/>
      </c>
      <c r="Y903" s="69" t="str">
        <f t="shared" si="14"/>
        <v/>
      </c>
      <c r="Z903" s="11"/>
    </row>
    <row r="904">
      <c r="A904" s="8"/>
      <c r="B904" s="56" t="str">
        <f t="shared" si="2"/>
        <v/>
      </c>
      <c r="C904" s="57"/>
      <c r="D904" s="10" t="str">
        <f>IFERROR(__xludf.DUMMYFUNCTION("IF(COUNTA(C904:C1350)=0,"""",IF(ISBLANK(C904),FALSE,IF(NOT(COUNTIF($AA$24:$AA$34,SUBSTITUTE(C904,""Sell_"",""""))),1,IF(REGEXMATCH(C904,""Sell_""),IF(COUNTIF(C$4:C904,SUBSTITUTE(C904,""Sell_"",""""))-COUNTIF(C$4:C903,C904)&lt;1,1),FALSE))))"),"")</f>
        <v/>
      </c>
      <c r="E904" s="59" t="str">
        <f t="array" ref="E904">IF(COUNTA(C904:C1350)=0,"",SUM((COUNTIF(C$4:C904,Upgrades!$B$3:$B$13)-COUNTIF(C$4:C904,"Sell_"&amp;Upgrades!$B$3:$B$13))*Upgrades!$D$3:$D$13))</f>
        <v/>
      </c>
      <c r="F904" s="66" t="str">
        <f>IFERROR(__xludf.DUMMYFUNCTION("IF(COUNTA(C904:C1350)=0,"""",IF(REGEXMATCH(INDEX(FILTER(C$4:C904,C$4:C904&lt;&gt;""""),ROWS(FILTER(C$4:C904,C$4:C904&lt;&gt;""""))),""^Sell_""),INDEX(FILTER(F$4:F903,C$4:C903&lt;&gt;""""),ROWS(FILTER(C$4:C903,C$4:C903&lt;&gt;""""))),$AC$5+E904))"),"")</f>
        <v/>
      </c>
      <c r="G904" s="10" t="str">
        <f>IFERROR(__xludf.DUMMYFUNCTION("IF(COUNTA(C904:C1350)=0,"""",IF(C904="""",0,IF(REGEXMATCH(C904,""^Sell_""),-ROUNDDOWN(ROUNDUP(INDEX(Upgrades!$C$3:$C$13,MATCH(SUBSTITUTE(C904,""Sell_"",""""),Upgrades!$B$3:$B$13,0))*1.15^(COUNTIF(C$4:C903,SUBSTITUTE(C904,""Sell_"",""""))-COUNTIF(C$4:C903,"&amp;"""Sell_""&amp;SUBSTITUTE(C904,""Sell_"",""""))))/2),ROUNDUP(INDEX(Upgrades!$C$3:$C$13,MATCH(C904,Upgrades!$B$3:$B$13,0))*1.15^(COUNTIF(C$4:C903,C904)-COUNTIF(C$4:C903,""Sell_""&amp;C904))))))"),"")</f>
        <v/>
      </c>
      <c r="H904" s="10" t="str">
        <f t="shared" si="3"/>
        <v/>
      </c>
      <c r="I904" s="68" t="str">
        <f t="shared" si="4"/>
        <v/>
      </c>
      <c r="J904" s="59" t="str">
        <f t="shared" si="5"/>
        <v/>
      </c>
      <c r="K904" s="69" t="str">
        <f t="shared" si="6"/>
        <v/>
      </c>
      <c r="L904" s="60" t="str">
        <f t="shared" si="7"/>
        <v/>
      </c>
      <c r="M904" s="61" t="str">
        <f>IFERROR(__xludf.DUMMYFUNCTION("IFS(AND(COUNTA(C904:C1350)=0,COUNTA(Q904:Q1350)=0),"""",OR(AND(K904&gt;=1000000000,OR(Y904&gt;=1000000000,COUNTA(Q904:Q1350)=0)),OR(Y904&gt;=1000000000,AND(COUNTA(C904:C1350)=0,P$3=TRUE))),
ROUNDDOWN((AB$1-AC$1)*MAX(INDEX(T$4:T1350,MATCH(LARGE(FILTER(Y$4:Y1350,Y$4"&amp;":Y1350&lt;1000000000),1),Y$4:Y1350)),INDEX(F$4:F1350,MATCH(LARGE(FILTER(K$4:K1350,K$4:K1350&lt;1000000000),1),K$4:K1350)))),AND(K904&lt;1000000000,COUNTA(C904:C1350)&gt;0,P$3=FALSE),
ROUNDDOWN(INDEX(Y$4:Y1350,MATCH(LARGE(FILTER(W$4:W1350,W$4:W1350&lt;=I904),1),W$4:W1350"&amp;"))+(I904-LARGE(FILTER(W$4:W1350,W$4:W1350&lt;=I904),1))*INDEX(T$4:T1350,MATCH(LARGE(FILTER(W$4:W1350,W$4:W1350&lt;=I904),1),W$4:W1350))-K904),1,
ROUNDDOWN(Y904-INDEX(K$4:K1350,MATCH(LARGE(FILTER(I$4:I1350,I$4:I1350&lt;=W904),1),I$4:I1350))-(W904-LARGE(FILTER(I$4:I"&amp;"1350,I$4:I1350&lt;=W904),1))*INDEX(F$4:F1350,MATCH(LARGE(FILTER(I$4:I1350,I$4:I1350&lt;=W904),1),I$4:I1350))))"),"")</f>
        <v/>
      </c>
      <c r="N904" s="60" t="str">
        <f t="shared" si="8"/>
        <v/>
      </c>
      <c r="O904" s="61" t="str">
        <f t="shared" si="9"/>
        <v/>
      </c>
      <c r="P904" s="56" t="str">
        <f t="shared" si="10"/>
        <v/>
      </c>
      <c r="Q904" s="62"/>
      <c r="R904" s="10" t="str">
        <f>IFERROR(__xludf.DUMMYFUNCTION("IF(COUNTA(Q904:Q1350)=0,"""",IF(ISBLANK(Q904),FALSE,IF(NOT(COUNTIF($AA$24:$AA$34,SUBSTITUTE(Q904,""Sell_"",""""))),1,IF(REGEXMATCH(Q904,""Sell_""),IF(COUNTIF(Q$4:Q904,SUBSTITUTE(Q904,""Sell_"",""""))-COUNTIF(Q$4:Q903,Q904)&lt;1,1),FALSE))))"),"")</f>
        <v/>
      </c>
      <c r="S904" s="59" t="str">
        <f t="array" ref="S904">IF(COUNTA(Q904:Q1350)=0,"",SUM((COUNTIF(Q$4:Q904,Upgrades!$B$3:$B$13)-COUNTIF(Q$4:Q904,"Sell_"&amp;Upgrades!$B$3:$B$13))*Upgrades!$D$3:$D$13))</f>
        <v/>
      </c>
      <c r="T904" s="66" t="str">
        <f>IFERROR(__xludf.DUMMYFUNCTION("IF(COUNTA(Q904:Q1350)=0,"""",IF(REGEXMATCH(INDEX(FILTER(Q$4:Q904,Q$4:Q904&lt;&gt;""""),ROWS(FILTER(Q$4:Q904,Q$4:Q904&lt;&gt;""""))),""^Sell_""),INDEX(FILTER(T$4:T903,Q$4:Q903&lt;&gt;""""),ROWS(FILTER(Q$4:Q903,Q$4:Q903&lt;&gt;""""))),$AD$5+S904))"),"")</f>
        <v/>
      </c>
      <c r="U904" s="10" t="str">
        <f>IFERROR(__xludf.DUMMYFUNCTION("IF(COUNTA(Q904:Q1350)=0,"""",IF(Q904="""",0,IF(REGEXMATCH(Q904,""^Sell_""),-ROUNDDOWN(ROUNDUP(INDEX(Upgrades!$C$3:$C$13,MATCH(SUBSTITUTE(Q904,""Sell_"",""""),Upgrades!$B$3:$B$13,0))*1.15^(COUNTIF(Q$4:Q903,SUBSTITUTE(Q904,""Sell_"",""""))-COUNTIF(Q$4:Q903,"&amp;"""Sell_""&amp;SUBSTITUTE(Q904,""Sell_"",""""))))/2),ROUNDUP(INDEX(Upgrades!$C$3:$C$13,MATCH(Q904,Upgrades!$B$3:$B$13,0))*1.15^(COUNTIF(Q$4:Q903,Q904)-COUNTIF(Q$4:Q903,""Sell_""&amp;Q904))))))"),"")</f>
        <v/>
      </c>
      <c r="V904" s="10" t="str">
        <f t="shared" si="11"/>
        <v/>
      </c>
      <c r="W904" s="68" t="str">
        <f t="shared" si="12"/>
        <v/>
      </c>
      <c r="X904" s="59" t="str">
        <f t="shared" si="13"/>
        <v/>
      </c>
      <c r="Y904" s="69" t="str">
        <f t="shared" si="14"/>
        <v/>
      </c>
      <c r="Z904" s="11"/>
    </row>
    <row r="905">
      <c r="A905" s="8"/>
      <c r="B905" s="56" t="str">
        <f t="shared" si="2"/>
        <v/>
      </c>
      <c r="C905" s="57"/>
      <c r="D905" s="10" t="str">
        <f>IFERROR(__xludf.DUMMYFUNCTION("IF(COUNTA(C905:C1350)=0,"""",IF(ISBLANK(C905),FALSE,IF(NOT(COUNTIF($AA$24:$AA$34,SUBSTITUTE(C905,""Sell_"",""""))),1,IF(REGEXMATCH(C905,""Sell_""),IF(COUNTIF(C$4:C905,SUBSTITUTE(C905,""Sell_"",""""))-COUNTIF(C$4:C904,C905)&lt;1,1),FALSE))))"),"")</f>
        <v/>
      </c>
      <c r="E905" s="59" t="str">
        <f t="array" ref="E905">IF(COUNTA(C905:C1350)=0,"",SUM((COUNTIF(C$4:C905,Upgrades!$B$3:$B$13)-COUNTIF(C$4:C905,"Sell_"&amp;Upgrades!$B$3:$B$13))*Upgrades!$D$3:$D$13))</f>
        <v/>
      </c>
      <c r="F905" s="66" t="str">
        <f>IFERROR(__xludf.DUMMYFUNCTION("IF(COUNTA(C905:C1350)=0,"""",IF(REGEXMATCH(INDEX(FILTER(C$4:C905,C$4:C905&lt;&gt;""""),ROWS(FILTER(C$4:C905,C$4:C905&lt;&gt;""""))),""^Sell_""),INDEX(FILTER(F$4:F904,C$4:C904&lt;&gt;""""),ROWS(FILTER(C$4:C904,C$4:C904&lt;&gt;""""))),$AC$5+E905))"),"")</f>
        <v/>
      </c>
      <c r="G905" s="10" t="str">
        <f>IFERROR(__xludf.DUMMYFUNCTION("IF(COUNTA(C905:C1350)=0,"""",IF(C905="""",0,IF(REGEXMATCH(C905,""^Sell_""),-ROUNDDOWN(ROUNDUP(INDEX(Upgrades!$C$3:$C$13,MATCH(SUBSTITUTE(C905,""Sell_"",""""),Upgrades!$B$3:$B$13,0))*1.15^(COUNTIF(C$4:C904,SUBSTITUTE(C905,""Sell_"",""""))-COUNTIF(C$4:C904,"&amp;"""Sell_""&amp;SUBSTITUTE(C905,""Sell_"",""""))))/2),ROUNDUP(INDEX(Upgrades!$C$3:$C$13,MATCH(C905,Upgrades!$B$3:$B$13,0))*1.15^(COUNTIF(C$4:C904,C905)-COUNTIF(C$4:C904,""Sell_""&amp;C905))))))"),"")</f>
        <v/>
      </c>
      <c r="H905" s="10" t="str">
        <f t="shared" si="3"/>
        <v/>
      </c>
      <c r="I905" s="68" t="str">
        <f t="shared" si="4"/>
        <v/>
      </c>
      <c r="J905" s="59" t="str">
        <f t="shared" si="5"/>
        <v/>
      </c>
      <c r="K905" s="69" t="str">
        <f t="shared" si="6"/>
        <v/>
      </c>
      <c r="L905" s="60" t="str">
        <f t="shared" si="7"/>
        <v/>
      </c>
      <c r="M905" s="61" t="str">
        <f>IFERROR(__xludf.DUMMYFUNCTION("IFS(AND(COUNTA(C905:C1350)=0,COUNTA(Q905:Q1350)=0),"""",OR(AND(K905&gt;=1000000000,OR(Y905&gt;=1000000000,COUNTA(Q905:Q1350)=0)),OR(Y905&gt;=1000000000,AND(COUNTA(C905:C1350)=0,P$3=TRUE))),
ROUNDDOWN((AB$1-AC$1)*MAX(INDEX(T$4:T1350,MATCH(LARGE(FILTER(Y$4:Y1350,Y$4"&amp;":Y1350&lt;1000000000),1),Y$4:Y1350)),INDEX(F$4:F1350,MATCH(LARGE(FILTER(K$4:K1350,K$4:K1350&lt;1000000000),1),K$4:K1350)))),AND(K905&lt;1000000000,COUNTA(C905:C1350)&gt;0,P$3=FALSE),
ROUNDDOWN(INDEX(Y$4:Y1350,MATCH(LARGE(FILTER(W$4:W1350,W$4:W1350&lt;=I905),1),W$4:W1350"&amp;"))+(I905-LARGE(FILTER(W$4:W1350,W$4:W1350&lt;=I905),1))*INDEX(T$4:T1350,MATCH(LARGE(FILTER(W$4:W1350,W$4:W1350&lt;=I905),1),W$4:W1350))-K905),1,
ROUNDDOWN(Y905-INDEX(K$4:K1350,MATCH(LARGE(FILTER(I$4:I1350,I$4:I1350&lt;=W905),1),I$4:I1350))-(W905-LARGE(FILTER(I$4:I"&amp;"1350,I$4:I1350&lt;=W905),1))*INDEX(F$4:F1350,MATCH(LARGE(FILTER(I$4:I1350,I$4:I1350&lt;=W905),1),I$4:I1350))))"),"")</f>
        <v/>
      </c>
      <c r="N905" s="60" t="str">
        <f t="shared" si="8"/>
        <v/>
      </c>
      <c r="O905" s="61" t="str">
        <f t="shared" si="9"/>
        <v/>
      </c>
      <c r="P905" s="56" t="str">
        <f t="shared" si="10"/>
        <v/>
      </c>
      <c r="Q905" s="62"/>
      <c r="R905" s="10" t="str">
        <f>IFERROR(__xludf.DUMMYFUNCTION("IF(COUNTA(Q905:Q1350)=0,"""",IF(ISBLANK(Q905),FALSE,IF(NOT(COUNTIF($AA$24:$AA$34,SUBSTITUTE(Q905,""Sell_"",""""))),1,IF(REGEXMATCH(Q905,""Sell_""),IF(COUNTIF(Q$4:Q905,SUBSTITUTE(Q905,""Sell_"",""""))-COUNTIF(Q$4:Q904,Q905)&lt;1,1),FALSE))))"),"")</f>
        <v/>
      </c>
      <c r="S905" s="59" t="str">
        <f t="array" ref="S905">IF(COUNTA(Q905:Q1350)=0,"",SUM((COUNTIF(Q$4:Q905,Upgrades!$B$3:$B$13)-COUNTIF(Q$4:Q905,"Sell_"&amp;Upgrades!$B$3:$B$13))*Upgrades!$D$3:$D$13))</f>
        <v/>
      </c>
      <c r="T905" s="66" t="str">
        <f>IFERROR(__xludf.DUMMYFUNCTION("IF(COUNTA(Q905:Q1350)=0,"""",IF(REGEXMATCH(INDEX(FILTER(Q$4:Q905,Q$4:Q905&lt;&gt;""""),ROWS(FILTER(Q$4:Q905,Q$4:Q905&lt;&gt;""""))),""^Sell_""),INDEX(FILTER(T$4:T904,Q$4:Q904&lt;&gt;""""),ROWS(FILTER(Q$4:Q904,Q$4:Q904&lt;&gt;""""))),$AD$5+S905))"),"")</f>
        <v/>
      </c>
      <c r="U905" s="10" t="str">
        <f>IFERROR(__xludf.DUMMYFUNCTION("IF(COUNTA(Q905:Q1350)=0,"""",IF(Q905="""",0,IF(REGEXMATCH(Q905,""^Sell_""),-ROUNDDOWN(ROUNDUP(INDEX(Upgrades!$C$3:$C$13,MATCH(SUBSTITUTE(Q905,""Sell_"",""""),Upgrades!$B$3:$B$13,0))*1.15^(COUNTIF(Q$4:Q904,SUBSTITUTE(Q905,""Sell_"",""""))-COUNTIF(Q$4:Q904,"&amp;"""Sell_""&amp;SUBSTITUTE(Q905,""Sell_"",""""))))/2),ROUNDUP(INDEX(Upgrades!$C$3:$C$13,MATCH(Q905,Upgrades!$B$3:$B$13,0))*1.15^(COUNTIF(Q$4:Q904,Q905)-COUNTIF(Q$4:Q904,""Sell_""&amp;Q905))))))"),"")</f>
        <v/>
      </c>
      <c r="V905" s="10" t="str">
        <f t="shared" si="11"/>
        <v/>
      </c>
      <c r="W905" s="68" t="str">
        <f t="shared" si="12"/>
        <v/>
      </c>
      <c r="X905" s="59" t="str">
        <f t="shared" si="13"/>
        <v/>
      </c>
      <c r="Y905" s="69" t="str">
        <f t="shared" si="14"/>
        <v/>
      </c>
      <c r="Z905" s="11"/>
    </row>
    <row r="906">
      <c r="A906" s="8"/>
      <c r="B906" s="56" t="str">
        <f t="shared" si="2"/>
        <v/>
      </c>
      <c r="C906" s="57"/>
      <c r="D906" s="10" t="str">
        <f>IFERROR(__xludf.DUMMYFUNCTION("IF(COUNTA(C906:C1350)=0,"""",IF(ISBLANK(C906),FALSE,IF(NOT(COUNTIF($AA$24:$AA$34,SUBSTITUTE(C906,""Sell_"",""""))),1,IF(REGEXMATCH(C906,""Sell_""),IF(COUNTIF(C$4:C906,SUBSTITUTE(C906,""Sell_"",""""))-COUNTIF(C$4:C905,C906)&lt;1,1),FALSE))))"),"")</f>
        <v/>
      </c>
      <c r="E906" s="59" t="str">
        <f t="array" ref="E906">IF(COUNTA(C906:C1350)=0,"",SUM((COUNTIF(C$4:C906,Upgrades!$B$3:$B$13)-COUNTIF(C$4:C906,"Sell_"&amp;Upgrades!$B$3:$B$13))*Upgrades!$D$3:$D$13))</f>
        <v/>
      </c>
      <c r="F906" s="66" t="str">
        <f>IFERROR(__xludf.DUMMYFUNCTION("IF(COUNTA(C906:C1350)=0,"""",IF(REGEXMATCH(INDEX(FILTER(C$4:C906,C$4:C906&lt;&gt;""""),ROWS(FILTER(C$4:C906,C$4:C906&lt;&gt;""""))),""^Sell_""),INDEX(FILTER(F$4:F905,C$4:C905&lt;&gt;""""),ROWS(FILTER(C$4:C905,C$4:C905&lt;&gt;""""))),$AC$5+E906))"),"")</f>
        <v/>
      </c>
      <c r="G906" s="10" t="str">
        <f>IFERROR(__xludf.DUMMYFUNCTION("IF(COUNTA(C906:C1350)=0,"""",IF(C906="""",0,IF(REGEXMATCH(C906,""^Sell_""),-ROUNDDOWN(ROUNDUP(INDEX(Upgrades!$C$3:$C$13,MATCH(SUBSTITUTE(C906,""Sell_"",""""),Upgrades!$B$3:$B$13,0))*1.15^(COUNTIF(C$4:C905,SUBSTITUTE(C906,""Sell_"",""""))-COUNTIF(C$4:C905,"&amp;"""Sell_""&amp;SUBSTITUTE(C906,""Sell_"",""""))))/2),ROUNDUP(INDEX(Upgrades!$C$3:$C$13,MATCH(C906,Upgrades!$B$3:$B$13,0))*1.15^(COUNTIF(C$4:C905,C906)-COUNTIF(C$4:C905,""Sell_""&amp;C906))))))"),"")</f>
        <v/>
      </c>
      <c r="H906" s="10" t="str">
        <f t="shared" si="3"/>
        <v/>
      </c>
      <c r="I906" s="68" t="str">
        <f t="shared" si="4"/>
        <v/>
      </c>
      <c r="J906" s="59" t="str">
        <f t="shared" si="5"/>
        <v/>
      </c>
      <c r="K906" s="69" t="str">
        <f t="shared" si="6"/>
        <v/>
      </c>
      <c r="L906" s="60" t="str">
        <f t="shared" si="7"/>
        <v/>
      </c>
      <c r="M906" s="61" t="str">
        <f>IFERROR(__xludf.DUMMYFUNCTION("IFS(AND(COUNTA(C906:C1350)=0,COUNTA(Q906:Q1350)=0),"""",OR(AND(K906&gt;=1000000000,OR(Y906&gt;=1000000000,COUNTA(Q906:Q1350)=0)),OR(Y906&gt;=1000000000,AND(COUNTA(C906:C1350)=0,P$3=TRUE))),
ROUNDDOWN((AB$1-AC$1)*MAX(INDEX(T$4:T1350,MATCH(LARGE(FILTER(Y$4:Y1350,Y$4"&amp;":Y1350&lt;1000000000),1),Y$4:Y1350)),INDEX(F$4:F1350,MATCH(LARGE(FILTER(K$4:K1350,K$4:K1350&lt;1000000000),1),K$4:K1350)))),AND(K906&lt;1000000000,COUNTA(C906:C1350)&gt;0,P$3=FALSE),
ROUNDDOWN(INDEX(Y$4:Y1350,MATCH(LARGE(FILTER(W$4:W1350,W$4:W1350&lt;=I906),1),W$4:W1350"&amp;"))+(I906-LARGE(FILTER(W$4:W1350,W$4:W1350&lt;=I906),1))*INDEX(T$4:T1350,MATCH(LARGE(FILTER(W$4:W1350,W$4:W1350&lt;=I906),1),W$4:W1350))-K906),1,
ROUNDDOWN(Y906-INDEX(K$4:K1350,MATCH(LARGE(FILTER(I$4:I1350,I$4:I1350&lt;=W906),1),I$4:I1350))-(W906-LARGE(FILTER(I$4:I"&amp;"1350,I$4:I1350&lt;=W906),1))*INDEX(F$4:F1350,MATCH(LARGE(FILTER(I$4:I1350,I$4:I1350&lt;=W906),1),I$4:I1350))))"),"")</f>
        <v/>
      </c>
      <c r="N906" s="60" t="str">
        <f t="shared" si="8"/>
        <v/>
      </c>
      <c r="O906" s="61" t="str">
        <f t="shared" si="9"/>
        <v/>
      </c>
      <c r="P906" s="56" t="str">
        <f t="shared" si="10"/>
        <v/>
      </c>
      <c r="Q906" s="62"/>
      <c r="R906" s="10" t="str">
        <f>IFERROR(__xludf.DUMMYFUNCTION("IF(COUNTA(Q906:Q1350)=0,"""",IF(ISBLANK(Q906),FALSE,IF(NOT(COUNTIF($AA$24:$AA$34,SUBSTITUTE(Q906,""Sell_"",""""))),1,IF(REGEXMATCH(Q906,""Sell_""),IF(COUNTIF(Q$4:Q906,SUBSTITUTE(Q906,""Sell_"",""""))-COUNTIF(Q$4:Q905,Q906)&lt;1,1),FALSE))))"),"")</f>
        <v/>
      </c>
      <c r="S906" s="59" t="str">
        <f t="array" ref="S906">IF(COUNTA(Q906:Q1350)=0,"",SUM((COUNTIF(Q$4:Q906,Upgrades!$B$3:$B$13)-COUNTIF(Q$4:Q906,"Sell_"&amp;Upgrades!$B$3:$B$13))*Upgrades!$D$3:$D$13))</f>
        <v/>
      </c>
      <c r="T906" s="66" t="str">
        <f>IFERROR(__xludf.DUMMYFUNCTION("IF(COUNTA(Q906:Q1350)=0,"""",IF(REGEXMATCH(INDEX(FILTER(Q$4:Q906,Q$4:Q906&lt;&gt;""""),ROWS(FILTER(Q$4:Q906,Q$4:Q906&lt;&gt;""""))),""^Sell_""),INDEX(FILTER(T$4:T905,Q$4:Q905&lt;&gt;""""),ROWS(FILTER(Q$4:Q905,Q$4:Q905&lt;&gt;""""))),$AD$5+S906))"),"")</f>
        <v/>
      </c>
      <c r="U906" s="10" t="str">
        <f>IFERROR(__xludf.DUMMYFUNCTION("IF(COUNTA(Q906:Q1350)=0,"""",IF(Q906="""",0,IF(REGEXMATCH(Q906,""^Sell_""),-ROUNDDOWN(ROUNDUP(INDEX(Upgrades!$C$3:$C$13,MATCH(SUBSTITUTE(Q906,""Sell_"",""""),Upgrades!$B$3:$B$13,0))*1.15^(COUNTIF(Q$4:Q905,SUBSTITUTE(Q906,""Sell_"",""""))-COUNTIF(Q$4:Q905,"&amp;"""Sell_""&amp;SUBSTITUTE(Q906,""Sell_"",""""))))/2),ROUNDUP(INDEX(Upgrades!$C$3:$C$13,MATCH(Q906,Upgrades!$B$3:$B$13,0))*1.15^(COUNTIF(Q$4:Q905,Q906)-COUNTIF(Q$4:Q905,""Sell_""&amp;Q906))))))"),"")</f>
        <v/>
      </c>
      <c r="V906" s="10" t="str">
        <f t="shared" si="11"/>
        <v/>
      </c>
      <c r="W906" s="68" t="str">
        <f t="shared" si="12"/>
        <v/>
      </c>
      <c r="X906" s="59" t="str">
        <f t="shared" si="13"/>
        <v/>
      </c>
      <c r="Y906" s="69" t="str">
        <f t="shared" si="14"/>
        <v/>
      </c>
      <c r="Z906" s="11"/>
    </row>
    <row r="907">
      <c r="A907" s="8"/>
      <c r="B907" s="56" t="str">
        <f t="shared" si="2"/>
        <v/>
      </c>
      <c r="C907" s="57"/>
      <c r="D907" s="10" t="str">
        <f>IFERROR(__xludf.DUMMYFUNCTION("IF(COUNTA(C907:C1350)=0,"""",IF(ISBLANK(C907),FALSE,IF(NOT(COUNTIF($AA$24:$AA$34,SUBSTITUTE(C907,""Sell_"",""""))),1,IF(REGEXMATCH(C907,""Sell_""),IF(COUNTIF(C$4:C907,SUBSTITUTE(C907,""Sell_"",""""))-COUNTIF(C$4:C906,C907)&lt;1,1),FALSE))))"),"")</f>
        <v/>
      </c>
      <c r="E907" s="59" t="str">
        <f t="array" ref="E907">IF(COUNTA(C907:C1350)=0,"",SUM((COUNTIF(C$4:C907,Upgrades!$B$3:$B$13)-COUNTIF(C$4:C907,"Sell_"&amp;Upgrades!$B$3:$B$13))*Upgrades!$D$3:$D$13))</f>
        <v/>
      </c>
      <c r="F907" s="66" t="str">
        <f>IFERROR(__xludf.DUMMYFUNCTION("IF(COUNTA(C907:C1350)=0,"""",IF(REGEXMATCH(INDEX(FILTER(C$4:C907,C$4:C907&lt;&gt;""""),ROWS(FILTER(C$4:C907,C$4:C907&lt;&gt;""""))),""^Sell_""),INDEX(FILTER(F$4:F906,C$4:C906&lt;&gt;""""),ROWS(FILTER(C$4:C906,C$4:C906&lt;&gt;""""))),$AC$5+E907))"),"")</f>
        <v/>
      </c>
      <c r="G907" s="10" t="str">
        <f>IFERROR(__xludf.DUMMYFUNCTION("IF(COUNTA(C907:C1350)=0,"""",IF(C907="""",0,IF(REGEXMATCH(C907,""^Sell_""),-ROUNDDOWN(ROUNDUP(INDEX(Upgrades!$C$3:$C$13,MATCH(SUBSTITUTE(C907,""Sell_"",""""),Upgrades!$B$3:$B$13,0))*1.15^(COUNTIF(C$4:C906,SUBSTITUTE(C907,""Sell_"",""""))-COUNTIF(C$4:C906,"&amp;"""Sell_""&amp;SUBSTITUTE(C907,""Sell_"",""""))))/2),ROUNDUP(INDEX(Upgrades!$C$3:$C$13,MATCH(C907,Upgrades!$B$3:$B$13,0))*1.15^(COUNTIF(C$4:C906,C907)-COUNTIF(C$4:C906,""Sell_""&amp;C907))))))"),"")</f>
        <v/>
      </c>
      <c r="H907" s="10" t="str">
        <f t="shared" si="3"/>
        <v/>
      </c>
      <c r="I907" s="68" t="str">
        <f t="shared" si="4"/>
        <v/>
      </c>
      <c r="J907" s="59" t="str">
        <f t="shared" si="5"/>
        <v/>
      </c>
      <c r="K907" s="69" t="str">
        <f t="shared" si="6"/>
        <v/>
      </c>
      <c r="L907" s="60" t="str">
        <f t="shared" si="7"/>
        <v/>
      </c>
      <c r="M907" s="61" t="str">
        <f>IFERROR(__xludf.DUMMYFUNCTION("IFS(AND(COUNTA(C907:C1350)=0,COUNTA(Q907:Q1350)=0),"""",OR(AND(K907&gt;=1000000000,OR(Y907&gt;=1000000000,COUNTA(Q907:Q1350)=0)),OR(Y907&gt;=1000000000,AND(COUNTA(C907:C1350)=0,P$3=TRUE))),
ROUNDDOWN((AB$1-AC$1)*MAX(INDEX(T$4:T1350,MATCH(LARGE(FILTER(Y$4:Y1350,Y$4"&amp;":Y1350&lt;1000000000),1),Y$4:Y1350)),INDEX(F$4:F1350,MATCH(LARGE(FILTER(K$4:K1350,K$4:K1350&lt;1000000000),1),K$4:K1350)))),AND(K907&lt;1000000000,COUNTA(C907:C1350)&gt;0,P$3=FALSE),
ROUNDDOWN(INDEX(Y$4:Y1350,MATCH(LARGE(FILTER(W$4:W1350,W$4:W1350&lt;=I907),1),W$4:W1350"&amp;"))+(I907-LARGE(FILTER(W$4:W1350,W$4:W1350&lt;=I907),1))*INDEX(T$4:T1350,MATCH(LARGE(FILTER(W$4:W1350,W$4:W1350&lt;=I907),1),W$4:W1350))-K907),1,
ROUNDDOWN(Y907-INDEX(K$4:K1350,MATCH(LARGE(FILTER(I$4:I1350,I$4:I1350&lt;=W907),1),I$4:I1350))-(W907-LARGE(FILTER(I$4:I"&amp;"1350,I$4:I1350&lt;=W907),1))*INDEX(F$4:F1350,MATCH(LARGE(FILTER(I$4:I1350,I$4:I1350&lt;=W907),1),I$4:I1350))))"),"")</f>
        <v/>
      </c>
      <c r="N907" s="60" t="str">
        <f t="shared" si="8"/>
        <v/>
      </c>
      <c r="O907" s="61" t="str">
        <f t="shared" si="9"/>
        <v/>
      </c>
      <c r="P907" s="56" t="str">
        <f t="shared" si="10"/>
        <v/>
      </c>
      <c r="Q907" s="62"/>
      <c r="R907" s="10" t="str">
        <f>IFERROR(__xludf.DUMMYFUNCTION("IF(COUNTA(Q907:Q1350)=0,"""",IF(ISBLANK(Q907),FALSE,IF(NOT(COUNTIF($AA$24:$AA$34,SUBSTITUTE(Q907,""Sell_"",""""))),1,IF(REGEXMATCH(Q907,""Sell_""),IF(COUNTIF(Q$4:Q907,SUBSTITUTE(Q907,""Sell_"",""""))-COUNTIF(Q$4:Q906,Q907)&lt;1,1),FALSE))))"),"")</f>
        <v/>
      </c>
      <c r="S907" s="59" t="str">
        <f t="array" ref="S907">IF(COUNTA(Q907:Q1350)=0,"",SUM((COUNTIF(Q$4:Q907,Upgrades!$B$3:$B$13)-COUNTIF(Q$4:Q907,"Sell_"&amp;Upgrades!$B$3:$B$13))*Upgrades!$D$3:$D$13))</f>
        <v/>
      </c>
      <c r="T907" s="66" t="str">
        <f>IFERROR(__xludf.DUMMYFUNCTION("IF(COUNTA(Q907:Q1350)=0,"""",IF(REGEXMATCH(INDEX(FILTER(Q$4:Q907,Q$4:Q907&lt;&gt;""""),ROWS(FILTER(Q$4:Q907,Q$4:Q907&lt;&gt;""""))),""^Sell_""),INDEX(FILTER(T$4:T906,Q$4:Q906&lt;&gt;""""),ROWS(FILTER(Q$4:Q906,Q$4:Q906&lt;&gt;""""))),$AD$5+S907))"),"")</f>
        <v/>
      </c>
      <c r="U907" s="10" t="str">
        <f>IFERROR(__xludf.DUMMYFUNCTION("IF(COUNTA(Q907:Q1350)=0,"""",IF(Q907="""",0,IF(REGEXMATCH(Q907,""^Sell_""),-ROUNDDOWN(ROUNDUP(INDEX(Upgrades!$C$3:$C$13,MATCH(SUBSTITUTE(Q907,""Sell_"",""""),Upgrades!$B$3:$B$13,0))*1.15^(COUNTIF(Q$4:Q906,SUBSTITUTE(Q907,""Sell_"",""""))-COUNTIF(Q$4:Q906,"&amp;"""Sell_""&amp;SUBSTITUTE(Q907,""Sell_"",""""))))/2),ROUNDUP(INDEX(Upgrades!$C$3:$C$13,MATCH(Q907,Upgrades!$B$3:$B$13,0))*1.15^(COUNTIF(Q$4:Q906,Q907)-COUNTIF(Q$4:Q906,""Sell_""&amp;Q907))))))"),"")</f>
        <v/>
      </c>
      <c r="V907" s="10" t="str">
        <f t="shared" si="11"/>
        <v/>
      </c>
      <c r="W907" s="68" t="str">
        <f t="shared" si="12"/>
        <v/>
      </c>
      <c r="X907" s="59" t="str">
        <f t="shared" si="13"/>
        <v/>
      </c>
      <c r="Y907" s="69" t="str">
        <f t="shared" si="14"/>
        <v/>
      </c>
      <c r="Z907" s="11"/>
    </row>
    <row r="908">
      <c r="A908" s="8"/>
      <c r="B908" s="56" t="str">
        <f t="shared" si="2"/>
        <v/>
      </c>
      <c r="C908" s="57"/>
      <c r="D908" s="10" t="str">
        <f>IFERROR(__xludf.DUMMYFUNCTION("IF(COUNTA(C908:C1350)=0,"""",IF(ISBLANK(C908),FALSE,IF(NOT(COUNTIF($AA$24:$AA$34,SUBSTITUTE(C908,""Sell_"",""""))),1,IF(REGEXMATCH(C908,""Sell_""),IF(COUNTIF(C$4:C908,SUBSTITUTE(C908,""Sell_"",""""))-COUNTIF(C$4:C907,C908)&lt;1,1),FALSE))))"),"")</f>
        <v/>
      </c>
      <c r="E908" s="59" t="str">
        <f t="array" ref="E908">IF(COUNTA(C908:C1350)=0,"",SUM((COUNTIF(C$4:C908,Upgrades!$B$3:$B$13)-COUNTIF(C$4:C908,"Sell_"&amp;Upgrades!$B$3:$B$13))*Upgrades!$D$3:$D$13))</f>
        <v/>
      </c>
      <c r="F908" s="66" t="str">
        <f>IFERROR(__xludf.DUMMYFUNCTION("IF(COUNTA(C908:C1350)=0,"""",IF(REGEXMATCH(INDEX(FILTER(C$4:C908,C$4:C908&lt;&gt;""""),ROWS(FILTER(C$4:C908,C$4:C908&lt;&gt;""""))),""^Sell_""),INDEX(FILTER(F$4:F907,C$4:C907&lt;&gt;""""),ROWS(FILTER(C$4:C907,C$4:C907&lt;&gt;""""))),$AC$5+E908))"),"")</f>
        <v/>
      </c>
      <c r="G908" s="10" t="str">
        <f>IFERROR(__xludf.DUMMYFUNCTION("IF(COUNTA(C908:C1350)=0,"""",IF(C908="""",0,IF(REGEXMATCH(C908,""^Sell_""),-ROUNDDOWN(ROUNDUP(INDEX(Upgrades!$C$3:$C$13,MATCH(SUBSTITUTE(C908,""Sell_"",""""),Upgrades!$B$3:$B$13,0))*1.15^(COUNTIF(C$4:C907,SUBSTITUTE(C908,""Sell_"",""""))-COUNTIF(C$4:C907,"&amp;"""Sell_""&amp;SUBSTITUTE(C908,""Sell_"",""""))))/2),ROUNDUP(INDEX(Upgrades!$C$3:$C$13,MATCH(C908,Upgrades!$B$3:$B$13,0))*1.15^(COUNTIF(C$4:C907,C908)-COUNTIF(C$4:C907,""Sell_""&amp;C908))))))"),"")</f>
        <v/>
      </c>
      <c r="H908" s="10" t="str">
        <f t="shared" si="3"/>
        <v/>
      </c>
      <c r="I908" s="68" t="str">
        <f t="shared" si="4"/>
        <v/>
      </c>
      <c r="J908" s="59" t="str">
        <f t="shared" si="5"/>
        <v/>
      </c>
      <c r="K908" s="69" t="str">
        <f t="shared" si="6"/>
        <v/>
      </c>
      <c r="L908" s="60" t="str">
        <f t="shared" si="7"/>
        <v/>
      </c>
      <c r="M908" s="61" t="str">
        <f>IFERROR(__xludf.DUMMYFUNCTION("IFS(AND(COUNTA(C908:C1350)=0,COUNTA(Q908:Q1350)=0),"""",OR(AND(K908&gt;=1000000000,OR(Y908&gt;=1000000000,COUNTA(Q908:Q1350)=0)),OR(Y908&gt;=1000000000,AND(COUNTA(C908:C1350)=0,P$3=TRUE))),
ROUNDDOWN((AB$1-AC$1)*MAX(INDEX(T$4:T1350,MATCH(LARGE(FILTER(Y$4:Y1350,Y$4"&amp;":Y1350&lt;1000000000),1),Y$4:Y1350)),INDEX(F$4:F1350,MATCH(LARGE(FILTER(K$4:K1350,K$4:K1350&lt;1000000000),1),K$4:K1350)))),AND(K908&lt;1000000000,COUNTA(C908:C1350)&gt;0,P$3=FALSE),
ROUNDDOWN(INDEX(Y$4:Y1350,MATCH(LARGE(FILTER(W$4:W1350,W$4:W1350&lt;=I908),1),W$4:W1350"&amp;"))+(I908-LARGE(FILTER(W$4:W1350,W$4:W1350&lt;=I908),1))*INDEX(T$4:T1350,MATCH(LARGE(FILTER(W$4:W1350,W$4:W1350&lt;=I908),1),W$4:W1350))-K908),1,
ROUNDDOWN(Y908-INDEX(K$4:K1350,MATCH(LARGE(FILTER(I$4:I1350,I$4:I1350&lt;=W908),1),I$4:I1350))-(W908-LARGE(FILTER(I$4:I"&amp;"1350,I$4:I1350&lt;=W908),1))*INDEX(F$4:F1350,MATCH(LARGE(FILTER(I$4:I1350,I$4:I1350&lt;=W908),1),I$4:I1350))))"),"")</f>
        <v/>
      </c>
      <c r="N908" s="60" t="str">
        <f t="shared" si="8"/>
        <v/>
      </c>
      <c r="O908" s="61" t="str">
        <f t="shared" si="9"/>
        <v/>
      </c>
      <c r="P908" s="56" t="str">
        <f t="shared" si="10"/>
        <v/>
      </c>
      <c r="Q908" s="62"/>
      <c r="R908" s="10" t="str">
        <f>IFERROR(__xludf.DUMMYFUNCTION("IF(COUNTA(Q908:Q1350)=0,"""",IF(ISBLANK(Q908),FALSE,IF(NOT(COUNTIF($AA$24:$AA$34,SUBSTITUTE(Q908,""Sell_"",""""))),1,IF(REGEXMATCH(Q908,""Sell_""),IF(COUNTIF(Q$4:Q908,SUBSTITUTE(Q908,""Sell_"",""""))-COUNTIF(Q$4:Q907,Q908)&lt;1,1),FALSE))))"),"")</f>
        <v/>
      </c>
      <c r="S908" s="59" t="str">
        <f t="array" ref="S908">IF(COUNTA(Q908:Q1350)=0,"",SUM((COUNTIF(Q$4:Q908,Upgrades!$B$3:$B$13)-COUNTIF(Q$4:Q908,"Sell_"&amp;Upgrades!$B$3:$B$13))*Upgrades!$D$3:$D$13))</f>
        <v/>
      </c>
      <c r="T908" s="66" t="str">
        <f>IFERROR(__xludf.DUMMYFUNCTION("IF(COUNTA(Q908:Q1350)=0,"""",IF(REGEXMATCH(INDEX(FILTER(Q$4:Q908,Q$4:Q908&lt;&gt;""""),ROWS(FILTER(Q$4:Q908,Q$4:Q908&lt;&gt;""""))),""^Sell_""),INDEX(FILTER(T$4:T907,Q$4:Q907&lt;&gt;""""),ROWS(FILTER(Q$4:Q907,Q$4:Q907&lt;&gt;""""))),$AD$5+S908))"),"")</f>
        <v/>
      </c>
      <c r="U908" s="10" t="str">
        <f>IFERROR(__xludf.DUMMYFUNCTION("IF(COUNTA(Q908:Q1350)=0,"""",IF(Q908="""",0,IF(REGEXMATCH(Q908,""^Sell_""),-ROUNDDOWN(ROUNDUP(INDEX(Upgrades!$C$3:$C$13,MATCH(SUBSTITUTE(Q908,""Sell_"",""""),Upgrades!$B$3:$B$13,0))*1.15^(COUNTIF(Q$4:Q907,SUBSTITUTE(Q908,""Sell_"",""""))-COUNTIF(Q$4:Q907,"&amp;"""Sell_""&amp;SUBSTITUTE(Q908,""Sell_"",""""))))/2),ROUNDUP(INDEX(Upgrades!$C$3:$C$13,MATCH(Q908,Upgrades!$B$3:$B$13,0))*1.15^(COUNTIF(Q$4:Q907,Q908)-COUNTIF(Q$4:Q907,""Sell_""&amp;Q908))))))"),"")</f>
        <v/>
      </c>
      <c r="V908" s="10" t="str">
        <f t="shared" si="11"/>
        <v/>
      </c>
      <c r="W908" s="68" t="str">
        <f t="shared" si="12"/>
        <v/>
      </c>
      <c r="X908" s="59" t="str">
        <f t="shared" si="13"/>
        <v/>
      </c>
      <c r="Y908" s="69" t="str">
        <f t="shared" si="14"/>
        <v/>
      </c>
      <c r="Z908" s="11"/>
    </row>
    <row r="909">
      <c r="A909" s="8"/>
      <c r="B909" s="56" t="str">
        <f t="shared" si="2"/>
        <v/>
      </c>
      <c r="C909" s="57"/>
      <c r="D909" s="10" t="str">
        <f>IFERROR(__xludf.DUMMYFUNCTION("IF(COUNTA(C909:C1350)=0,"""",IF(ISBLANK(C909),FALSE,IF(NOT(COUNTIF($AA$24:$AA$34,SUBSTITUTE(C909,""Sell_"",""""))),1,IF(REGEXMATCH(C909,""Sell_""),IF(COUNTIF(C$4:C909,SUBSTITUTE(C909,""Sell_"",""""))-COUNTIF(C$4:C908,C909)&lt;1,1),FALSE))))"),"")</f>
        <v/>
      </c>
      <c r="E909" s="59" t="str">
        <f t="array" ref="E909">IF(COUNTA(C909:C1350)=0,"",SUM((COUNTIF(C$4:C909,Upgrades!$B$3:$B$13)-COUNTIF(C$4:C909,"Sell_"&amp;Upgrades!$B$3:$B$13))*Upgrades!$D$3:$D$13))</f>
        <v/>
      </c>
      <c r="F909" s="66" t="str">
        <f>IFERROR(__xludf.DUMMYFUNCTION("IF(COUNTA(C909:C1350)=0,"""",IF(REGEXMATCH(INDEX(FILTER(C$4:C909,C$4:C909&lt;&gt;""""),ROWS(FILTER(C$4:C909,C$4:C909&lt;&gt;""""))),""^Sell_""),INDEX(FILTER(F$4:F908,C$4:C908&lt;&gt;""""),ROWS(FILTER(C$4:C908,C$4:C908&lt;&gt;""""))),$AC$5+E909))"),"")</f>
        <v/>
      </c>
      <c r="G909" s="10" t="str">
        <f>IFERROR(__xludf.DUMMYFUNCTION("IF(COUNTA(C909:C1350)=0,"""",IF(C909="""",0,IF(REGEXMATCH(C909,""^Sell_""),-ROUNDDOWN(ROUNDUP(INDEX(Upgrades!$C$3:$C$13,MATCH(SUBSTITUTE(C909,""Sell_"",""""),Upgrades!$B$3:$B$13,0))*1.15^(COUNTIF(C$4:C908,SUBSTITUTE(C909,""Sell_"",""""))-COUNTIF(C$4:C908,"&amp;"""Sell_""&amp;SUBSTITUTE(C909,""Sell_"",""""))))/2),ROUNDUP(INDEX(Upgrades!$C$3:$C$13,MATCH(C909,Upgrades!$B$3:$B$13,0))*1.15^(COUNTIF(C$4:C908,C909)-COUNTIF(C$4:C908,""Sell_""&amp;C909))))))"),"")</f>
        <v/>
      </c>
      <c r="H909" s="10" t="str">
        <f t="shared" si="3"/>
        <v/>
      </c>
      <c r="I909" s="68" t="str">
        <f t="shared" si="4"/>
        <v/>
      </c>
      <c r="J909" s="59" t="str">
        <f t="shared" si="5"/>
        <v/>
      </c>
      <c r="K909" s="69" t="str">
        <f t="shared" si="6"/>
        <v/>
      </c>
      <c r="L909" s="60" t="str">
        <f t="shared" si="7"/>
        <v/>
      </c>
      <c r="M909" s="61" t="str">
        <f>IFERROR(__xludf.DUMMYFUNCTION("IFS(AND(COUNTA(C909:C1350)=0,COUNTA(Q909:Q1350)=0),"""",OR(AND(K909&gt;=1000000000,OR(Y909&gt;=1000000000,COUNTA(Q909:Q1350)=0)),OR(Y909&gt;=1000000000,AND(COUNTA(C909:C1350)=0,P$3=TRUE))),
ROUNDDOWN((AB$1-AC$1)*MAX(INDEX(T$4:T1350,MATCH(LARGE(FILTER(Y$4:Y1350,Y$4"&amp;":Y1350&lt;1000000000),1),Y$4:Y1350)),INDEX(F$4:F1350,MATCH(LARGE(FILTER(K$4:K1350,K$4:K1350&lt;1000000000),1),K$4:K1350)))),AND(K909&lt;1000000000,COUNTA(C909:C1350)&gt;0,P$3=FALSE),
ROUNDDOWN(INDEX(Y$4:Y1350,MATCH(LARGE(FILTER(W$4:W1350,W$4:W1350&lt;=I909),1),W$4:W1350"&amp;"))+(I909-LARGE(FILTER(W$4:W1350,W$4:W1350&lt;=I909),1))*INDEX(T$4:T1350,MATCH(LARGE(FILTER(W$4:W1350,W$4:W1350&lt;=I909),1),W$4:W1350))-K909),1,
ROUNDDOWN(Y909-INDEX(K$4:K1350,MATCH(LARGE(FILTER(I$4:I1350,I$4:I1350&lt;=W909),1),I$4:I1350))-(W909-LARGE(FILTER(I$4:I"&amp;"1350,I$4:I1350&lt;=W909),1))*INDEX(F$4:F1350,MATCH(LARGE(FILTER(I$4:I1350,I$4:I1350&lt;=W909),1),I$4:I1350))))"),"")</f>
        <v/>
      </c>
      <c r="N909" s="60" t="str">
        <f t="shared" si="8"/>
        <v/>
      </c>
      <c r="O909" s="61" t="str">
        <f t="shared" si="9"/>
        <v/>
      </c>
      <c r="P909" s="56" t="str">
        <f t="shared" si="10"/>
        <v/>
      </c>
      <c r="Q909" s="62"/>
      <c r="R909" s="10" t="str">
        <f>IFERROR(__xludf.DUMMYFUNCTION("IF(COUNTA(Q909:Q1350)=0,"""",IF(ISBLANK(Q909),FALSE,IF(NOT(COUNTIF($AA$24:$AA$34,SUBSTITUTE(Q909,""Sell_"",""""))),1,IF(REGEXMATCH(Q909,""Sell_""),IF(COUNTIF(Q$4:Q909,SUBSTITUTE(Q909,""Sell_"",""""))-COUNTIF(Q$4:Q908,Q909)&lt;1,1),FALSE))))"),"")</f>
        <v/>
      </c>
      <c r="S909" s="59" t="str">
        <f t="array" ref="S909">IF(COUNTA(Q909:Q1350)=0,"",SUM((COUNTIF(Q$4:Q909,Upgrades!$B$3:$B$13)-COUNTIF(Q$4:Q909,"Sell_"&amp;Upgrades!$B$3:$B$13))*Upgrades!$D$3:$D$13))</f>
        <v/>
      </c>
      <c r="T909" s="66" t="str">
        <f>IFERROR(__xludf.DUMMYFUNCTION("IF(COUNTA(Q909:Q1350)=0,"""",IF(REGEXMATCH(INDEX(FILTER(Q$4:Q909,Q$4:Q909&lt;&gt;""""),ROWS(FILTER(Q$4:Q909,Q$4:Q909&lt;&gt;""""))),""^Sell_""),INDEX(FILTER(T$4:T908,Q$4:Q908&lt;&gt;""""),ROWS(FILTER(Q$4:Q908,Q$4:Q908&lt;&gt;""""))),$AD$5+S909))"),"")</f>
        <v/>
      </c>
      <c r="U909" s="10" t="str">
        <f>IFERROR(__xludf.DUMMYFUNCTION("IF(COUNTA(Q909:Q1350)=0,"""",IF(Q909="""",0,IF(REGEXMATCH(Q909,""^Sell_""),-ROUNDDOWN(ROUNDUP(INDEX(Upgrades!$C$3:$C$13,MATCH(SUBSTITUTE(Q909,""Sell_"",""""),Upgrades!$B$3:$B$13,0))*1.15^(COUNTIF(Q$4:Q908,SUBSTITUTE(Q909,""Sell_"",""""))-COUNTIF(Q$4:Q908,"&amp;"""Sell_""&amp;SUBSTITUTE(Q909,""Sell_"",""""))))/2),ROUNDUP(INDEX(Upgrades!$C$3:$C$13,MATCH(Q909,Upgrades!$B$3:$B$13,0))*1.15^(COUNTIF(Q$4:Q908,Q909)-COUNTIF(Q$4:Q908,""Sell_""&amp;Q909))))))"),"")</f>
        <v/>
      </c>
      <c r="V909" s="10" t="str">
        <f t="shared" si="11"/>
        <v/>
      </c>
      <c r="W909" s="68" t="str">
        <f t="shared" si="12"/>
        <v/>
      </c>
      <c r="X909" s="59" t="str">
        <f t="shared" si="13"/>
        <v/>
      </c>
      <c r="Y909" s="69" t="str">
        <f t="shared" si="14"/>
        <v/>
      </c>
      <c r="Z909" s="11"/>
    </row>
    <row r="910">
      <c r="A910" s="8"/>
      <c r="B910" s="56" t="str">
        <f t="shared" si="2"/>
        <v/>
      </c>
      <c r="C910" s="57"/>
      <c r="D910" s="10" t="str">
        <f>IFERROR(__xludf.DUMMYFUNCTION("IF(COUNTA(C910:C1350)=0,"""",IF(ISBLANK(C910),FALSE,IF(NOT(COUNTIF($AA$24:$AA$34,SUBSTITUTE(C910,""Sell_"",""""))),1,IF(REGEXMATCH(C910,""Sell_""),IF(COUNTIF(C$4:C910,SUBSTITUTE(C910,""Sell_"",""""))-COUNTIF(C$4:C909,C910)&lt;1,1),FALSE))))"),"")</f>
        <v/>
      </c>
      <c r="E910" s="59" t="str">
        <f t="array" ref="E910">IF(COUNTA(C910:C1350)=0,"",SUM((COUNTIF(C$4:C910,Upgrades!$B$3:$B$13)-COUNTIF(C$4:C910,"Sell_"&amp;Upgrades!$B$3:$B$13))*Upgrades!$D$3:$D$13))</f>
        <v/>
      </c>
      <c r="F910" s="66" t="str">
        <f>IFERROR(__xludf.DUMMYFUNCTION("IF(COUNTA(C910:C1350)=0,"""",IF(REGEXMATCH(INDEX(FILTER(C$4:C910,C$4:C910&lt;&gt;""""),ROWS(FILTER(C$4:C910,C$4:C910&lt;&gt;""""))),""^Sell_""),INDEX(FILTER(F$4:F909,C$4:C909&lt;&gt;""""),ROWS(FILTER(C$4:C909,C$4:C909&lt;&gt;""""))),$AC$5+E910))"),"")</f>
        <v/>
      </c>
      <c r="G910" s="10" t="str">
        <f>IFERROR(__xludf.DUMMYFUNCTION("IF(COUNTA(C910:C1350)=0,"""",IF(C910="""",0,IF(REGEXMATCH(C910,""^Sell_""),-ROUNDDOWN(ROUNDUP(INDEX(Upgrades!$C$3:$C$13,MATCH(SUBSTITUTE(C910,""Sell_"",""""),Upgrades!$B$3:$B$13,0))*1.15^(COUNTIF(C$4:C909,SUBSTITUTE(C910,""Sell_"",""""))-COUNTIF(C$4:C909,"&amp;"""Sell_""&amp;SUBSTITUTE(C910,""Sell_"",""""))))/2),ROUNDUP(INDEX(Upgrades!$C$3:$C$13,MATCH(C910,Upgrades!$B$3:$B$13,0))*1.15^(COUNTIF(C$4:C909,C910)-COUNTIF(C$4:C909,""Sell_""&amp;C910))))))"),"")</f>
        <v/>
      </c>
      <c r="H910" s="10" t="str">
        <f t="shared" si="3"/>
        <v/>
      </c>
      <c r="I910" s="68" t="str">
        <f t="shared" si="4"/>
        <v/>
      </c>
      <c r="J910" s="59" t="str">
        <f t="shared" si="5"/>
        <v/>
      </c>
      <c r="K910" s="69" t="str">
        <f t="shared" si="6"/>
        <v/>
      </c>
      <c r="L910" s="60" t="str">
        <f t="shared" si="7"/>
        <v/>
      </c>
      <c r="M910" s="61" t="str">
        <f>IFERROR(__xludf.DUMMYFUNCTION("IFS(AND(COUNTA(C910:C1350)=0,COUNTA(Q910:Q1350)=0),"""",OR(AND(K910&gt;=1000000000,OR(Y910&gt;=1000000000,COUNTA(Q910:Q1350)=0)),OR(Y910&gt;=1000000000,AND(COUNTA(C910:C1350)=0,P$3=TRUE))),
ROUNDDOWN((AB$1-AC$1)*MAX(INDEX(T$4:T1350,MATCH(LARGE(FILTER(Y$4:Y1350,Y$4"&amp;":Y1350&lt;1000000000),1),Y$4:Y1350)),INDEX(F$4:F1350,MATCH(LARGE(FILTER(K$4:K1350,K$4:K1350&lt;1000000000),1),K$4:K1350)))),AND(K910&lt;1000000000,COUNTA(C910:C1350)&gt;0,P$3=FALSE),
ROUNDDOWN(INDEX(Y$4:Y1350,MATCH(LARGE(FILTER(W$4:W1350,W$4:W1350&lt;=I910),1),W$4:W1350"&amp;"))+(I910-LARGE(FILTER(W$4:W1350,W$4:W1350&lt;=I910),1))*INDEX(T$4:T1350,MATCH(LARGE(FILTER(W$4:W1350,W$4:W1350&lt;=I910),1),W$4:W1350))-K910),1,
ROUNDDOWN(Y910-INDEX(K$4:K1350,MATCH(LARGE(FILTER(I$4:I1350,I$4:I1350&lt;=W910),1),I$4:I1350))-(W910-LARGE(FILTER(I$4:I"&amp;"1350,I$4:I1350&lt;=W910),1))*INDEX(F$4:F1350,MATCH(LARGE(FILTER(I$4:I1350,I$4:I1350&lt;=W910),1),I$4:I1350))))"),"")</f>
        <v/>
      </c>
      <c r="N910" s="60" t="str">
        <f t="shared" si="8"/>
        <v/>
      </c>
      <c r="O910" s="61" t="str">
        <f t="shared" si="9"/>
        <v/>
      </c>
      <c r="P910" s="56" t="str">
        <f t="shared" si="10"/>
        <v/>
      </c>
      <c r="Q910" s="62"/>
      <c r="R910" s="10" t="str">
        <f>IFERROR(__xludf.DUMMYFUNCTION("IF(COUNTA(Q910:Q1350)=0,"""",IF(ISBLANK(Q910),FALSE,IF(NOT(COUNTIF($AA$24:$AA$34,SUBSTITUTE(Q910,""Sell_"",""""))),1,IF(REGEXMATCH(Q910,""Sell_""),IF(COUNTIF(Q$4:Q910,SUBSTITUTE(Q910,""Sell_"",""""))-COUNTIF(Q$4:Q909,Q910)&lt;1,1),FALSE))))"),"")</f>
        <v/>
      </c>
      <c r="S910" s="59" t="str">
        <f t="array" ref="S910">IF(COUNTA(Q910:Q1350)=0,"",SUM((COUNTIF(Q$4:Q910,Upgrades!$B$3:$B$13)-COUNTIF(Q$4:Q910,"Sell_"&amp;Upgrades!$B$3:$B$13))*Upgrades!$D$3:$D$13))</f>
        <v/>
      </c>
      <c r="T910" s="66" t="str">
        <f>IFERROR(__xludf.DUMMYFUNCTION("IF(COUNTA(Q910:Q1350)=0,"""",IF(REGEXMATCH(INDEX(FILTER(Q$4:Q910,Q$4:Q910&lt;&gt;""""),ROWS(FILTER(Q$4:Q910,Q$4:Q910&lt;&gt;""""))),""^Sell_""),INDEX(FILTER(T$4:T909,Q$4:Q909&lt;&gt;""""),ROWS(FILTER(Q$4:Q909,Q$4:Q909&lt;&gt;""""))),$AD$5+S910))"),"")</f>
        <v/>
      </c>
      <c r="U910" s="10" t="str">
        <f>IFERROR(__xludf.DUMMYFUNCTION("IF(COUNTA(Q910:Q1350)=0,"""",IF(Q910="""",0,IF(REGEXMATCH(Q910,""^Sell_""),-ROUNDDOWN(ROUNDUP(INDEX(Upgrades!$C$3:$C$13,MATCH(SUBSTITUTE(Q910,""Sell_"",""""),Upgrades!$B$3:$B$13,0))*1.15^(COUNTIF(Q$4:Q909,SUBSTITUTE(Q910,""Sell_"",""""))-COUNTIF(Q$4:Q909,"&amp;"""Sell_""&amp;SUBSTITUTE(Q910,""Sell_"",""""))))/2),ROUNDUP(INDEX(Upgrades!$C$3:$C$13,MATCH(Q910,Upgrades!$B$3:$B$13,0))*1.15^(COUNTIF(Q$4:Q909,Q910)-COUNTIF(Q$4:Q909,""Sell_""&amp;Q910))))))"),"")</f>
        <v/>
      </c>
      <c r="V910" s="10" t="str">
        <f t="shared" si="11"/>
        <v/>
      </c>
      <c r="W910" s="68" t="str">
        <f t="shared" si="12"/>
        <v/>
      </c>
      <c r="X910" s="59" t="str">
        <f t="shared" si="13"/>
        <v/>
      </c>
      <c r="Y910" s="69" t="str">
        <f t="shared" si="14"/>
        <v/>
      </c>
      <c r="Z910" s="11"/>
    </row>
    <row r="911">
      <c r="A911" s="8"/>
      <c r="B911" s="56" t="str">
        <f t="shared" si="2"/>
        <v/>
      </c>
      <c r="C911" s="57"/>
      <c r="D911" s="10" t="str">
        <f>IFERROR(__xludf.DUMMYFUNCTION("IF(COUNTA(C911:C1350)=0,"""",IF(ISBLANK(C911),FALSE,IF(NOT(COUNTIF($AA$24:$AA$34,SUBSTITUTE(C911,""Sell_"",""""))),1,IF(REGEXMATCH(C911,""Sell_""),IF(COUNTIF(C$4:C911,SUBSTITUTE(C911,""Sell_"",""""))-COUNTIF(C$4:C910,C911)&lt;1,1),FALSE))))"),"")</f>
        <v/>
      </c>
      <c r="E911" s="59" t="str">
        <f t="array" ref="E911">IF(COUNTA(C911:C1350)=0,"",SUM((COUNTIF(C$4:C911,Upgrades!$B$3:$B$13)-COUNTIF(C$4:C911,"Sell_"&amp;Upgrades!$B$3:$B$13))*Upgrades!$D$3:$D$13))</f>
        <v/>
      </c>
      <c r="F911" s="66" t="str">
        <f>IFERROR(__xludf.DUMMYFUNCTION("IF(COUNTA(C911:C1350)=0,"""",IF(REGEXMATCH(INDEX(FILTER(C$4:C911,C$4:C911&lt;&gt;""""),ROWS(FILTER(C$4:C911,C$4:C911&lt;&gt;""""))),""^Sell_""),INDEX(FILTER(F$4:F910,C$4:C910&lt;&gt;""""),ROWS(FILTER(C$4:C910,C$4:C910&lt;&gt;""""))),$AC$5+E911))"),"")</f>
        <v/>
      </c>
      <c r="G911" s="10" t="str">
        <f>IFERROR(__xludf.DUMMYFUNCTION("IF(COUNTA(C911:C1350)=0,"""",IF(C911="""",0,IF(REGEXMATCH(C911,""^Sell_""),-ROUNDDOWN(ROUNDUP(INDEX(Upgrades!$C$3:$C$13,MATCH(SUBSTITUTE(C911,""Sell_"",""""),Upgrades!$B$3:$B$13,0))*1.15^(COUNTIF(C$4:C910,SUBSTITUTE(C911,""Sell_"",""""))-COUNTIF(C$4:C910,"&amp;"""Sell_""&amp;SUBSTITUTE(C911,""Sell_"",""""))))/2),ROUNDUP(INDEX(Upgrades!$C$3:$C$13,MATCH(C911,Upgrades!$B$3:$B$13,0))*1.15^(COUNTIF(C$4:C910,C911)-COUNTIF(C$4:C910,""Sell_""&amp;C911))))))"),"")</f>
        <v/>
      </c>
      <c r="H911" s="10" t="str">
        <f t="shared" si="3"/>
        <v/>
      </c>
      <c r="I911" s="68" t="str">
        <f t="shared" si="4"/>
        <v/>
      </c>
      <c r="J911" s="59" t="str">
        <f t="shared" si="5"/>
        <v/>
      </c>
      <c r="K911" s="69" t="str">
        <f t="shared" si="6"/>
        <v/>
      </c>
      <c r="L911" s="60" t="str">
        <f t="shared" si="7"/>
        <v/>
      </c>
      <c r="M911" s="61" t="str">
        <f>IFERROR(__xludf.DUMMYFUNCTION("IFS(AND(COUNTA(C911:C1350)=0,COUNTA(Q911:Q1350)=0),"""",OR(AND(K911&gt;=1000000000,OR(Y911&gt;=1000000000,COUNTA(Q911:Q1350)=0)),OR(Y911&gt;=1000000000,AND(COUNTA(C911:C1350)=0,P$3=TRUE))),
ROUNDDOWN((AB$1-AC$1)*MAX(INDEX(T$4:T1350,MATCH(LARGE(FILTER(Y$4:Y1350,Y$4"&amp;":Y1350&lt;1000000000),1),Y$4:Y1350)),INDEX(F$4:F1350,MATCH(LARGE(FILTER(K$4:K1350,K$4:K1350&lt;1000000000),1),K$4:K1350)))),AND(K911&lt;1000000000,COUNTA(C911:C1350)&gt;0,P$3=FALSE),
ROUNDDOWN(INDEX(Y$4:Y1350,MATCH(LARGE(FILTER(W$4:W1350,W$4:W1350&lt;=I911),1),W$4:W1350"&amp;"))+(I911-LARGE(FILTER(W$4:W1350,W$4:W1350&lt;=I911),1))*INDEX(T$4:T1350,MATCH(LARGE(FILTER(W$4:W1350,W$4:W1350&lt;=I911),1),W$4:W1350))-K911),1,
ROUNDDOWN(Y911-INDEX(K$4:K1350,MATCH(LARGE(FILTER(I$4:I1350,I$4:I1350&lt;=W911),1),I$4:I1350))-(W911-LARGE(FILTER(I$4:I"&amp;"1350,I$4:I1350&lt;=W911),1))*INDEX(F$4:F1350,MATCH(LARGE(FILTER(I$4:I1350,I$4:I1350&lt;=W911),1),I$4:I1350))))"),"")</f>
        <v/>
      </c>
      <c r="N911" s="60" t="str">
        <f t="shared" si="8"/>
        <v/>
      </c>
      <c r="O911" s="61" t="str">
        <f t="shared" si="9"/>
        <v/>
      </c>
      <c r="P911" s="56" t="str">
        <f t="shared" si="10"/>
        <v/>
      </c>
      <c r="Q911" s="62"/>
      <c r="R911" s="10" t="str">
        <f>IFERROR(__xludf.DUMMYFUNCTION("IF(COUNTA(Q911:Q1350)=0,"""",IF(ISBLANK(Q911),FALSE,IF(NOT(COUNTIF($AA$24:$AA$34,SUBSTITUTE(Q911,""Sell_"",""""))),1,IF(REGEXMATCH(Q911,""Sell_""),IF(COUNTIF(Q$4:Q911,SUBSTITUTE(Q911,""Sell_"",""""))-COUNTIF(Q$4:Q910,Q911)&lt;1,1),FALSE))))"),"")</f>
        <v/>
      </c>
      <c r="S911" s="59" t="str">
        <f t="array" ref="S911">IF(COUNTA(Q911:Q1350)=0,"",SUM((COUNTIF(Q$4:Q911,Upgrades!$B$3:$B$13)-COUNTIF(Q$4:Q911,"Sell_"&amp;Upgrades!$B$3:$B$13))*Upgrades!$D$3:$D$13))</f>
        <v/>
      </c>
      <c r="T911" s="66" t="str">
        <f>IFERROR(__xludf.DUMMYFUNCTION("IF(COUNTA(Q911:Q1350)=0,"""",IF(REGEXMATCH(INDEX(FILTER(Q$4:Q911,Q$4:Q911&lt;&gt;""""),ROWS(FILTER(Q$4:Q911,Q$4:Q911&lt;&gt;""""))),""^Sell_""),INDEX(FILTER(T$4:T910,Q$4:Q910&lt;&gt;""""),ROWS(FILTER(Q$4:Q910,Q$4:Q910&lt;&gt;""""))),$AD$5+S911))"),"")</f>
        <v/>
      </c>
      <c r="U911" s="10" t="str">
        <f>IFERROR(__xludf.DUMMYFUNCTION("IF(COUNTA(Q911:Q1350)=0,"""",IF(Q911="""",0,IF(REGEXMATCH(Q911,""^Sell_""),-ROUNDDOWN(ROUNDUP(INDEX(Upgrades!$C$3:$C$13,MATCH(SUBSTITUTE(Q911,""Sell_"",""""),Upgrades!$B$3:$B$13,0))*1.15^(COUNTIF(Q$4:Q910,SUBSTITUTE(Q911,""Sell_"",""""))-COUNTIF(Q$4:Q910,"&amp;"""Sell_""&amp;SUBSTITUTE(Q911,""Sell_"",""""))))/2),ROUNDUP(INDEX(Upgrades!$C$3:$C$13,MATCH(Q911,Upgrades!$B$3:$B$13,0))*1.15^(COUNTIF(Q$4:Q910,Q911)-COUNTIF(Q$4:Q910,""Sell_""&amp;Q911))))))"),"")</f>
        <v/>
      </c>
      <c r="V911" s="10" t="str">
        <f t="shared" si="11"/>
        <v/>
      </c>
      <c r="W911" s="68" t="str">
        <f t="shared" si="12"/>
        <v/>
      </c>
      <c r="X911" s="59" t="str">
        <f t="shared" si="13"/>
        <v/>
      </c>
      <c r="Y911" s="69" t="str">
        <f t="shared" si="14"/>
        <v/>
      </c>
      <c r="Z911" s="11"/>
    </row>
    <row r="912">
      <c r="A912" s="8"/>
      <c r="B912" s="56" t="str">
        <f t="shared" si="2"/>
        <v/>
      </c>
      <c r="C912" s="57"/>
      <c r="D912" s="10" t="str">
        <f>IFERROR(__xludf.DUMMYFUNCTION("IF(COUNTA(C912:C1350)=0,"""",IF(ISBLANK(C912),FALSE,IF(NOT(COUNTIF($AA$24:$AA$34,SUBSTITUTE(C912,""Sell_"",""""))),1,IF(REGEXMATCH(C912,""Sell_""),IF(COUNTIF(C$4:C912,SUBSTITUTE(C912,""Sell_"",""""))-COUNTIF(C$4:C911,C912)&lt;1,1),FALSE))))"),"")</f>
        <v/>
      </c>
      <c r="E912" s="59" t="str">
        <f t="array" ref="E912">IF(COUNTA(C912:C1350)=0,"",SUM((COUNTIF(C$4:C912,Upgrades!$B$3:$B$13)-COUNTIF(C$4:C912,"Sell_"&amp;Upgrades!$B$3:$B$13))*Upgrades!$D$3:$D$13))</f>
        <v/>
      </c>
      <c r="F912" s="66" t="str">
        <f>IFERROR(__xludf.DUMMYFUNCTION("IF(COUNTA(C912:C1350)=0,"""",IF(REGEXMATCH(INDEX(FILTER(C$4:C912,C$4:C912&lt;&gt;""""),ROWS(FILTER(C$4:C912,C$4:C912&lt;&gt;""""))),""^Sell_""),INDEX(FILTER(F$4:F911,C$4:C911&lt;&gt;""""),ROWS(FILTER(C$4:C911,C$4:C911&lt;&gt;""""))),$AC$5+E912))"),"")</f>
        <v/>
      </c>
      <c r="G912" s="10" t="str">
        <f>IFERROR(__xludf.DUMMYFUNCTION("IF(COUNTA(C912:C1350)=0,"""",IF(C912="""",0,IF(REGEXMATCH(C912,""^Sell_""),-ROUNDDOWN(ROUNDUP(INDEX(Upgrades!$C$3:$C$13,MATCH(SUBSTITUTE(C912,""Sell_"",""""),Upgrades!$B$3:$B$13,0))*1.15^(COUNTIF(C$4:C911,SUBSTITUTE(C912,""Sell_"",""""))-COUNTIF(C$4:C911,"&amp;"""Sell_""&amp;SUBSTITUTE(C912,""Sell_"",""""))))/2),ROUNDUP(INDEX(Upgrades!$C$3:$C$13,MATCH(C912,Upgrades!$B$3:$B$13,0))*1.15^(COUNTIF(C$4:C911,C912)-COUNTIF(C$4:C911,""Sell_""&amp;C912))))))"),"")</f>
        <v/>
      </c>
      <c r="H912" s="10" t="str">
        <f t="shared" si="3"/>
        <v/>
      </c>
      <c r="I912" s="68" t="str">
        <f t="shared" si="4"/>
        <v/>
      </c>
      <c r="J912" s="59" t="str">
        <f t="shared" si="5"/>
        <v/>
      </c>
      <c r="K912" s="69" t="str">
        <f t="shared" si="6"/>
        <v/>
      </c>
      <c r="L912" s="60" t="str">
        <f t="shared" si="7"/>
        <v/>
      </c>
      <c r="M912" s="61" t="str">
        <f>IFERROR(__xludf.DUMMYFUNCTION("IFS(AND(COUNTA(C912:C1350)=0,COUNTA(Q912:Q1350)=0),"""",OR(AND(K912&gt;=1000000000,OR(Y912&gt;=1000000000,COUNTA(Q912:Q1350)=0)),OR(Y912&gt;=1000000000,AND(COUNTA(C912:C1350)=0,P$3=TRUE))),
ROUNDDOWN((AB$1-AC$1)*MAX(INDEX(T$4:T1350,MATCH(LARGE(FILTER(Y$4:Y1350,Y$4"&amp;":Y1350&lt;1000000000),1),Y$4:Y1350)),INDEX(F$4:F1350,MATCH(LARGE(FILTER(K$4:K1350,K$4:K1350&lt;1000000000),1),K$4:K1350)))),AND(K912&lt;1000000000,COUNTA(C912:C1350)&gt;0,P$3=FALSE),
ROUNDDOWN(INDEX(Y$4:Y1350,MATCH(LARGE(FILTER(W$4:W1350,W$4:W1350&lt;=I912),1),W$4:W1350"&amp;"))+(I912-LARGE(FILTER(W$4:W1350,W$4:W1350&lt;=I912),1))*INDEX(T$4:T1350,MATCH(LARGE(FILTER(W$4:W1350,W$4:W1350&lt;=I912),1),W$4:W1350))-K912),1,
ROUNDDOWN(Y912-INDEX(K$4:K1350,MATCH(LARGE(FILTER(I$4:I1350,I$4:I1350&lt;=W912),1),I$4:I1350))-(W912-LARGE(FILTER(I$4:I"&amp;"1350,I$4:I1350&lt;=W912),1))*INDEX(F$4:F1350,MATCH(LARGE(FILTER(I$4:I1350,I$4:I1350&lt;=W912),1),I$4:I1350))))"),"")</f>
        <v/>
      </c>
      <c r="N912" s="60" t="str">
        <f t="shared" si="8"/>
        <v/>
      </c>
      <c r="O912" s="61" t="str">
        <f t="shared" si="9"/>
        <v/>
      </c>
      <c r="P912" s="56" t="str">
        <f t="shared" si="10"/>
        <v/>
      </c>
      <c r="Q912" s="62"/>
      <c r="R912" s="10" t="str">
        <f>IFERROR(__xludf.DUMMYFUNCTION("IF(COUNTA(Q912:Q1350)=0,"""",IF(ISBLANK(Q912),FALSE,IF(NOT(COUNTIF($AA$24:$AA$34,SUBSTITUTE(Q912,""Sell_"",""""))),1,IF(REGEXMATCH(Q912,""Sell_""),IF(COUNTIF(Q$4:Q912,SUBSTITUTE(Q912,""Sell_"",""""))-COUNTIF(Q$4:Q911,Q912)&lt;1,1),FALSE))))"),"")</f>
        <v/>
      </c>
      <c r="S912" s="59" t="str">
        <f t="array" ref="S912">IF(COUNTA(Q912:Q1350)=0,"",SUM((COUNTIF(Q$4:Q912,Upgrades!$B$3:$B$13)-COUNTIF(Q$4:Q912,"Sell_"&amp;Upgrades!$B$3:$B$13))*Upgrades!$D$3:$D$13))</f>
        <v/>
      </c>
      <c r="T912" s="66" t="str">
        <f>IFERROR(__xludf.DUMMYFUNCTION("IF(COUNTA(Q912:Q1350)=0,"""",IF(REGEXMATCH(INDEX(FILTER(Q$4:Q912,Q$4:Q912&lt;&gt;""""),ROWS(FILTER(Q$4:Q912,Q$4:Q912&lt;&gt;""""))),""^Sell_""),INDEX(FILTER(T$4:T911,Q$4:Q911&lt;&gt;""""),ROWS(FILTER(Q$4:Q911,Q$4:Q911&lt;&gt;""""))),$AD$5+S912))"),"")</f>
        <v/>
      </c>
      <c r="U912" s="10" t="str">
        <f>IFERROR(__xludf.DUMMYFUNCTION("IF(COUNTA(Q912:Q1350)=0,"""",IF(Q912="""",0,IF(REGEXMATCH(Q912,""^Sell_""),-ROUNDDOWN(ROUNDUP(INDEX(Upgrades!$C$3:$C$13,MATCH(SUBSTITUTE(Q912,""Sell_"",""""),Upgrades!$B$3:$B$13,0))*1.15^(COUNTIF(Q$4:Q911,SUBSTITUTE(Q912,""Sell_"",""""))-COUNTIF(Q$4:Q911,"&amp;"""Sell_""&amp;SUBSTITUTE(Q912,""Sell_"",""""))))/2),ROUNDUP(INDEX(Upgrades!$C$3:$C$13,MATCH(Q912,Upgrades!$B$3:$B$13,0))*1.15^(COUNTIF(Q$4:Q911,Q912)-COUNTIF(Q$4:Q911,""Sell_""&amp;Q912))))))"),"")</f>
        <v/>
      </c>
      <c r="V912" s="10" t="str">
        <f t="shared" si="11"/>
        <v/>
      </c>
      <c r="W912" s="68" t="str">
        <f t="shared" si="12"/>
        <v/>
      </c>
      <c r="X912" s="59" t="str">
        <f t="shared" si="13"/>
        <v/>
      </c>
      <c r="Y912" s="69" t="str">
        <f t="shared" si="14"/>
        <v/>
      </c>
      <c r="Z912" s="11"/>
    </row>
    <row r="913">
      <c r="A913" s="8"/>
      <c r="B913" s="56" t="str">
        <f t="shared" si="2"/>
        <v/>
      </c>
      <c r="C913" s="57"/>
      <c r="D913" s="10" t="str">
        <f>IFERROR(__xludf.DUMMYFUNCTION("IF(COUNTA(C913:C1350)=0,"""",IF(ISBLANK(C913),FALSE,IF(NOT(COUNTIF($AA$24:$AA$34,SUBSTITUTE(C913,""Sell_"",""""))),1,IF(REGEXMATCH(C913,""Sell_""),IF(COUNTIF(C$4:C913,SUBSTITUTE(C913,""Sell_"",""""))-COUNTIF(C$4:C912,C913)&lt;1,1),FALSE))))"),"")</f>
        <v/>
      </c>
      <c r="E913" s="59" t="str">
        <f t="array" ref="E913">IF(COUNTA(C913:C1350)=0,"",SUM((COUNTIF(C$4:C913,Upgrades!$B$3:$B$13)-COUNTIF(C$4:C913,"Sell_"&amp;Upgrades!$B$3:$B$13))*Upgrades!$D$3:$D$13))</f>
        <v/>
      </c>
      <c r="F913" s="66" t="str">
        <f>IFERROR(__xludf.DUMMYFUNCTION("IF(COUNTA(C913:C1350)=0,"""",IF(REGEXMATCH(INDEX(FILTER(C$4:C913,C$4:C913&lt;&gt;""""),ROWS(FILTER(C$4:C913,C$4:C913&lt;&gt;""""))),""^Sell_""),INDEX(FILTER(F$4:F912,C$4:C912&lt;&gt;""""),ROWS(FILTER(C$4:C912,C$4:C912&lt;&gt;""""))),$AC$5+E913))"),"")</f>
        <v/>
      </c>
      <c r="G913" s="10" t="str">
        <f>IFERROR(__xludf.DUMMYFUNCTION("IF(COUNTA(C913:C1350)=0,"""",IF(C913="""",0,IF(REGEXMATCH(C913,""^Sell_""),-ROUNDDOWN(ROUNDUP(INDEX(Upgrades!$C$3:$C$13,MATCH(SUBSTITUTE(C913,""Sell_"",""""),Upgrades!$B$3:$B$13,0))*1.15^(COUNTIF(C$4:C912,SUBSTITUTE(C913,""Sell_"",""""))-COUNTIF(C$4:C912,"&amp;"""Sell_""&amp;SUBSTITUTE(C913,""Sell_"",""""))))/2),ROUNDUP(INDEX(Upgrades!$C$3:$C$13,MATCH(C913,Upgrades!$B$3:$B$13,0))*1.15^(COUNTIF(C$4:C912,C913)-COUNTIF(C$4:C912,""Sell_""&amp;C913))))))"),"")</f>
        <v/>
      </c>
      <c r="H913" s="10" t="str">
        <f t="shared" si="3"/>
        <v/>
      </c>
      <c r="I913" s="68" t="str">
        <f t="shared" si="4"/>
        <v/>
      </c>
      <c r="J913" s="59" t="str">
        <f t="shared" si="5"/>
        <v/>
      </c>
      <c r="K913" s="69" t="str">
        <f t="shared" si="6"/>
        <v/>
      </c>
      <c r="L913" s="60" t="str">
        <f t="shared" si="7"/>
        <v/>
      </c>
      <c r="M913" s="61" t="str">
        <f>IFERROR(__xludf.DUMMYFUNCTION("IFS(AND(COUNTA(C913:C1350)=0,COUNTA(Q913:Q1350)=0),"""",OR(AND(K913&gt;=1000000000,OR(Y913&gt;=1000000000,COUNTA(Q913:Q1350)=0)),OR(Y913&gt;=1000000000,AND(COUNTA(C913:C1350)=0,P$3=TRUE))),
ROUNDDOWN((AB$1-AC$1)*MAX(INDEX(T$4:T1350,MATCH(LARGE(FILTER(Y$4:Y1350,Y$4"&amp;":Y1350&lt;1000000000),1),Y$4:Y1350)),INDEX(F$4:F1350,MATCH(LARGE(FILTER(K$4:K1350,K$4:K1350&lt;1000000000),1),K$4:K1350)))),AND(K913&lt;1000000000,COUNTA(C913:C1350)&gt;0,P$3=FALSE),
ROUNDDOWN(INDEX(Y$4:Y1350,MATCH(LARGE(FILTER(W$4:W1350,W$4:W1350&lt;=I913),1),W$4:W1350"&amp;"))+(I913-LARGE(FILTER(W$4:W1350,W$4:W1350&lt;=I913),1))*INDEX(T$4:T1350,MATCH(LARGE(FILTER(W$4:W1350,W$4:W1350&lt;=I913),1),W$4:W1350))-K913),1,
ROUNDDOWN(Y913-INDEX(K$4:K1350,MATCH(LARGE(FILTER(I$4:I1350,I$4:I1350&lt;=W913),1),I$4:I1350))-(W913-LARGE(FILTER(I$4:I"&amp;"1350,I$4:I1350&lt;=W913),1))*INDEX(F$4:F1350,MATCH(LARGE(FILTER(I$4:I1350,I$4:I1350&lt;=W913),1),I$4:I1350))))"),"")</f>
        <v/>
      </c>
      <c r="N913" s="60" t="str">
        <f t="shared" si="8"/>
        <v/>
      </c>
      <c r="O913" s="61" t="str">
        <f t="shared" si="9"/>
        <v/>
      </c>
      <c r="P913" s="56" t="str">
        <f t="shared" si="10"/>
        <v/>
      </c>
      <c r="Q913" s="62"/>
      <c r="R913" s="10" t="str">
        <f>IFERROR(__xludf.DUMMYFUNCTION("IF(COUNTA(Q913:Q1350)=0,"""",IF(ISBLANK(Q913),FALSE,IF(NOT(COUNTIF($AA$24:$AA$34,SUBSTITUTE(Q913,""Sell_"",""""))),1,IF(REGEXMATCH(Q913,""Sell_""),IF(COUNTIF(Q$4:Q913,SUBSTITUTE(Q913,""Sell_"",""""))-COUNTIF(Q$4:Q912,Q913)&lt;1,1),FALSE))))"),"")</f>
        <v/>
      </c>
      <c r="S913" s="59" t="str">
        <f t="array" ref="S913">IF(COUNTA(Q913:Q1350)=0,"",SUM((COUNTIF(Q$4:Q913,Upgrades!$B$3:$B$13)-COUNTIF(Q$4:Q913,"Sell_"&amp;Upgrades!$B$3:$B$13))*Upgrades!$D$3:$D$13))</f>
        <v/>
      </c>
      <c r="T913" s="66" t="str">
        <f>IFERROR(__xludf.DUMMYFUNCTION("IF(COUNTA(Q913:Q1350)=0,"""",IF(REGEXMATCH(INDEX(FILTER(Q$4:Q913,Q$4:Q913&lt;&gt;""""),ROWS(FILTER(Q$4:Q913,Q$4:Q913&lt;&gt;""""))),""^Sell_""),INDEX(FILTER(T$4:T912,Q$4:Q912&lt;&gt;""""),ROWS(FILTER(Q$4:Q912,Q$4:Q912&lt;&gt;""""))),$AD$5+S913))"),"")</f>
        <v/>
      </c>
      <c r="U913" s="10" t="str">
        <f>IFERROR(__xludf.DUMMYFUNCTION("IF(COUNTA(Q913:Q1350)=0,"""",IF(Q913="""",0,IF(REGEXMATCH(Q913,""^Sell_""),-ROUNDDOWN(ROUNDUP(INDEX(Upgrades!$C$3:$C$13,MATCH(SUBSTITUTE(Q913,""Sell_"",""""),Upgrades!$B$3:$B$13,0))*1.15^(COUNTIF(Q$4:Q912,SUBSTITUTE(Q913,""Sell_"",""""))-COUNTIF(Q$4:Q912,"&amp;"""Sell_""&amp;SUBSTITUTE(Q913,""Sell_"",""""))))/2),ROUNDUP(INDEX(Upgrades!$C$3:$C$13,MATCH(Q913,Upgrades!$B$3:$B$13,0))*1.15^(COUNTIF(Q$4:Q912,Q913)-COUNTIF(Q$4:Q912,""Sell_""&amp;Q913))))))"),"")</f>
        <v/>
      </c>
      <c r="V913" s="10" t="str">
        <f t="shared" si="11"/>
        <v/>
      </c>
      <c r="W913" s="68" t="str">
        <f t="shared" si="12"/>
        <v/>
      </c>
      <c r="X913" s="59" t="str">
        <f t="shared" si="13"/>
        <v/>
      </c>
      <c r="Y913" s="69" t="str">
        <f t="shared" si="14"/>
        <v/>
      </c>
      <c r="Z913" s="11"/>
    </row>
    <row r="914">
      <c r="A914" s="8"/>
      <c r="B914" s="56" t="str">
        <f t="shared" si="2"/>
        <v/>
      </c>
      <c r="C914" s="57"/>
      <c r="D914" s="10" t="str">
        <f>IFERROR(__xludf.DUMMYFUNCTION("IF(COUNTA(C914:C1350)=0,"""",IF(ISBLANK(C914),FALSE,IF(NOT(COUNTIF($AA$24:$AA$34,SUBSTITUTE(C914,""Sell_"",""""))),1,IF(REGEXMATCH(C914,""Sell_""),IF(COUNTIF(C$4:C914,SUBSTITUTE(C914,""Sell_"",""""))-COUNTIF(C$4:C913,C914)&lt;1,1),FALSE))))"),"")</f>
        <v/>
      </c>
      <c r="E914" s="59" t="str">
        <f t="array" ref="E914">IF(COUNTA(C914:C1350)=0,"",SUM((COUNTIF(C$4:C914,Upgrades!$B$3:$B$13)-COUNTIF(C$4:C914,"Sell_"&amp;Upgrades!$B$3:$B$13))*Upgrades!$D$3:$D$13))</f>
        <v/>
      </c>
      <c r="F914" s="66" t="str">
        <f>IFERROR(__xludf.DUMMYFUNCTION("IF(COUNTA(C914:C1350)=0,"""",IF(REGEXMATCH(INDEX(FILTER(C$4:C914,C$4:C914&lt;&gt;""""),ROWS(FILTER(C$4:C914,C$4:C914&lt;&gt;""""))),""^Sell_""),INDEX(FILTER(F$4:F913,C$4:C913&lt;&gt;""""),ROWS(FILTER(C$4:C913,C$4:C913&lt;&gt;""""))),$AC$5+E914))"),"")</f>
        <v/>
      </c>
      <c r="G914" s="10" t="str">
        <f>IFERROR(__xludf.DUMMYFUNCTION("IF(COUNTA(C914:C1350)=0,"""",IF(C914="""",0,IF(REGEXMATCH(C914,""^Sell_""),-ROUNDDOWN(ROUNDUP(INDEX(Upgrades!$C$3:$C$13,MATCH(SUBSTITUTE(C914,""Sell_"",""""),Upgrades!$B$3:$B$13,0))*1.15^(COUNTIF(C$4:C913,SUBSTITUTE(C914,""Sell_"",""""))-COUNTIF(C$4:C913,"&amp;"""Sell_""&amp;SUBSTITUTE(C914,""Sell_"",""""))))/2),ROUNDUP(INDEX(Upgrades!$C$3:$C$13,MATCH(C914,Upgrades!$B$3:$B$13,0))*1.15^(COUNTIF(C$4:C913,C914)-COUNTIF(C$4:C913,""Sell_""&amp;C914))))))"),"")</f>
        <v/>
      </c>
      <c r="H914" s="10" t="str">
        <f t="shared" si="3"/>
        <v/>
      </c>
      <c r="I914" s="68" t="str">
        <f t="shared" si="4"/>
        <v/>
      </c>
      <c r="J914" s="59" t="str">
        <f t="shared" si="5"/>
        <v/>
      </c>
      <c r="K914" s="69" t="str">
        <f t="shared" si="6"/>
        <v/>
      </c>
      <c r="L914" s="60" t="str">
        <f t="shared" si="7"/>
        <v/>
      </c>
      <c r="M914" s="61" t="str">
        <f>IFERROR(__xludf.DUMMYFUNCTION("IFS(AND(COUNTA(C914:C1350)=0,COUNTA(Q914:Q1350)=0),"""",OR(AND(K914&gt;=1000000000,OR(Y914&gt;=1000000000,COUNTA(Q914:Q1350)=0)),OR(Y914&gt;=1000000000,AND(COUNTA(C914:C1350)=0,P$3=TRUE))),
ROUNDDOWN((AB$1-AC$1)*MAX(INDEX(T$4:T1350,MATCH(LARGE(FILTER(Y$4:Y1350,Y$4"&amp;":Y1350&lt;1000000000),1),Y$4:Y1350)),INDEX(F$4:F1350,MATCH(LARGE(FILTER(K$4:K1350,K$4:K1350&lt;1000000000),1),K$4:K1350)))),AND(K914&lt;1000000000,COUNTA(C914:C1350)&gt;0,P$3=FALSE),
ROUNDDOWN(INDEX(Y$4:Y1350,MATCH(LARGE(FILTER(W$4:W1350,W$4:W1350&lt;=I914),1),W$4:W1350"&amp;"))+(I914-LARGE(FILTER(W$4:W1350,W$4:W1350&lt;=I914),1))*INDEX(T$4:T1350,MATCH(LARGE(FILTER(W$4:W1350,W$4:W1350&lt;=I914),1),W$4:W1350))-K914),1,
ROUNDDOWN(Y914-INDEX(K$4:K1350,MATCH(LARGE(FILTER(I$4:I1350,I$4:I1350&lt;=W914),1),I$4:I1350))-(W914-LARGE(FILTER(I$4:I"&amp;"1350,I$4:I1350&lt;=W914),1))*INDEX(F$4:F1350,MATCH(LARGE(FILTER(I$4:I1350,I$4:I1350&lt;=W914),1),I$4:I1350))))"),"")</f>
        <v/>
      </c>
      <c r="N914" s="60" t="str">
        <f t="shared" si="8"/>
        <v/>
      </c>
      <c r="O914" s="61" t="str">
        <f t="shared" si="9"/>
        <v/>
      </c>
      <c r="P914" s="56" t="str">
        <f t="shared" si="10"/>
        <v/>
      </c>
      <c r="Q914" s="62"/>
      <c r="R914" s="10" t="str">
        <f>IFERROR(__xludf.DUMMYFUNCTION("IF(COUNTA(Q914:Q1350)=0,"""",IF(ISBLANK(Q914),FALSE,IF(NOT(COUNTIF($AA$24:$AA$34,SUBSTITUTE(Q914,""Sell_"",""""))),1,IF(REGEXMATCH(Q914,""Sell_""),IF(COUNTIF(Q$4:Q914,SUBSTITUTE(Q914,""Sell_"",""""))-COUNTIF(Q$4:Q913,Q914)&lt;1,1),FALSE))))"),"")</f>
        <v/>
      </c>
      <c r="S914" s="59" t="str">
        <f t="array" ref="S914">IF(COUNTA(Q914:Q1350)=0,"",SUM((COUNTIF(Q$4:Q914,Upgrades!$B$3:$B$13)-COUNTIF(Q$4:Q914,"Sell_"&amp;Upgrades!$B$3:$B$13))*Upgrades!$D$3:$D$13))</f>
        <v/>
      </c>
      <c r="T914" s="66" t="str">
        <f>IFERROR(__xludf.DUMMYFUNCTION("IF(COUNTA(Q914:Q1350)=0,"""",IF(REGEXMATCH(INDEX(FILTER(Q$4:Q914,Q$4:Q914&lt;&gt;""""),ROWS(FILTER(Q$4:Q914,Q$4:Q914&lt;&gt;""""))),""^Sell_""),INDEX(FILTER(T$4:T913,Q$4:Q913&lt;&gt;""""),ROWS(FILTER(Q$4:Q913,Q$4:Q913&lt;&gt;""""))),$AD$5+S914))"),"")</f>
        <v/>
      </c>
      <c r="U914" s="10" t="str">
        <f>IFERROR(__xludf.DUMMYFUNCTION("IF(COUNTA(Q914:Q1350)=0,"""",IF(Q914="""",0,IF(REGEXMATCH(Q914,""^Sell_""),-ROUNDDOWN(ROUNDUP(INDEX(Upgrades!$C$3:$C$13,MATCH(SUBSTITUTE(Q914,""Sell_"",""""),Upgrades!$B$3:$B$13,0))*1.15^(COUNTIF(Q$4:Q913,SUBSTITUTE(Q914,""Sell_"",""""))-COUNTIF(Q$4:Q913,"&amp;"""Sell_""&amp;SUBSTITUTE(Q914,""Sell_"",""""))))/2),ROUNDUP(INDEX(Upgrades!$C$3:$C$13,MATCH(Q914,Upgrades!$B$3:$B$13,0))*1.15^(COUNTIF(Q$4:Q913,Q914)-COUNTIF(Q$4:Q913,""Sell_""&amp;Q914))))))"),"")</f>
        <v/>
      </c>
      <c r="V914" s="10" t="str">
        <f t="shared" si="11"/>
        <v/>
      </c>
      <c r="W914" s="68" t="str">
        <f t="shared" si="12"/>
        <v/>
      </c>
      <c r="X914" s="59" t="str">
        <f t="shared" si="13"/>
        <v/>
      </c>
      <c r="Y914" s="69" t="str">
        <f t="shared" si="14"/>
        <v/>
      </c>
      <c r="Z914" s="11"/>
    </row>
    <row r="915">
      <c r="A915" s="8"/>
      <c r="B915" s="56" t="str">
        <f t="shared" si="2"/>
        <v/>
      </c>
      <c r="C915" s="57"/>
      <c r="D915" s="10" t="str">
        <f>IFERROR(__xludf.DUMMYFUNCTION("IF(COUNTA(C915:C1350)=0,"""",IF(ISBLANK(C915),FALSE,IF(NOT(COUNTIF($AA$24:$AA$34,SUBSTITUTE(C915,""Sell_"",""""))),1,IF(REGEXMATCH(C915,""Sell_""),IF(COUNTIF(C$4:C915,SUBSTITUTE(C915,""Sell_"",""""))-COUNTIF(C$4:C914,C915)&lt;1,1),FALSE))))"),"")</f>
        <v/>
      </c>
      <c r="E915" s="59" t="str">
        <f t="array" ref="E915">IF(COUNTA(C915:C1350)=0,"",SUM((COUNTIF(C$4:C915,Upgrades!$B$3:$B$13)-COUNTIF(C$4:C915,"Sell_"&amp;Upgrades!$B$3:$B$13))*Upgrades!$D$3:$D$13))</f>
        <v/>
      </c>
      <c r="F915" s="66" t="str">
        <f>IFERROR(__xludf.DUMMYFUNCTION("IF(COUNTA(C915:C1350)=0,"""",IF(REGEXMATCH(INDEX(FILTER(C$4:C915,C$4:C915&lt;&gt;""""),ROWS(FILTER(C$4:C915,C$4:C915&lt;&gt;""""))),""^Sell_""),INDEX(FILTER(F$4:F914,C$4:C914&lt;&gt;""""),ROWS(FILTER(C$4:C914,C$4:C914&lt;&gt;""""))),$AC$5+E915))"),"")</f>
        <v/>
      </c>
      <c r="G915" s="10" t="str">
        <f>IFERROR(__xludf.DUMMYFUNCTION("IF(COUNTA(C915:C1350)=0,"""",IF(C915="""",0,IF(REGEXMATCH(C915,""^Sell_""),-ROUNDDOWN(ROUNDUP(INDEX(Upgrades!$C$3:$C$13,MATCH(SUBSTITUTE(C915,""Sell_"",""""),Upgrades!$B$3:$B$13,0))*1.15^(COUNTIF(C$4:C914,SUBSTITUTE(C915,""Sell_"",""""))-COUNTIF(C$4:C914,"&amp;"""Sell_""&amp;SUBSTITUTE(C915,""Sell_"",""""))))/2),ROUNDUP(INDEX(Upgrades!$C$3:$C$13,MATCH(C915,Upgrades!$B$3:$B$13,0))*1.15^(COUNTIF(C$4:C914,C915)-COUNTIF(C$4:C914,""Sell_""&amp;C915))))))"),"")</f>
        <v/>
      </c>
      <c r="H915" s="10" t="str">
        <f t="shared" si="3"/>
        <v/>
      </c>
      <c r="I915" s="68" t="str">
        <f t="shared" si="4"/>
        <v/>
      </c>
      <c r="J915" s="59" t="str">
        <f t="shared" si="5"/>
        <v/>
      </c>
      <c r="K915" s="69" t="str">
        <f t="shared" si="6"/>
        <v/>
      </c>
      <c r="L915" s="60" t="str">
        <f t="shared" si="7"/>
        <v/>
      </c>
      <c r="M915" s="61" t="str">
        <f>IFERROR(__xludf.DUMMYFUNCTION("IFS(AND(COUNTA(C915:C1350)=0,COUNTA(Q915:Q1350)=0),"""",OR(AND(K915&gt;=1000000000,OR(Y915&gt;=1000000000,COUNTA(Q915:Q1350)=0)),OR(Y915&gt;=1000000000,AND(COUNTA(C915:C1350)=0,P$3=TRUE))),
ROUNDDOWN((AB$1-AC$1)*MAX(INDEX(T$4:T1350,MATCH(LARGE(FILTER(Y$4:Y1350,Y$4"&amp;":Y1350&lt;1000000000),1),Y$4:Y1350)),INDEX(F$4:F1350,MATCH(LARGE(FILTER(K$4:K1350,K$4:K1350&lt;1000000000),1),K$4:K1350)))),AND(K915&lt;1000000000,COUNTA(C915:C1350)&gt;0,P$3=FALSE),
ROUNDDOWN(INDEX(Y$4:Y1350,MATCH(LARGE(FILTER(W$4:W1350,W$4:W1350&lt;=I915),1),W$4:W1350"&amp;"))+(I915-LARGE(FILTER(W$4:W1350,W$4:W1350&lt;=I915),1))*INDEX(T$4:T1350,MATCH(LARGE(FILTER(W$4:W1350,W$4:W1350&lt;=I915),1),W$4:W1350))-K915),1,
ROUNDDOWN(Y915-INDEX(K$4:K1350,MATCH(LARGE(FILTER(I$4:I1350,I$4:I1350&lt;=W915),1),I$4:I1350))-(W915-LARGE(FILTER(I$4:I"&amp;"1350,I$4:I1350&lt;=W915),1))*INDEX(F$4:F1350,MATCH(LARGE(FILTER(I$4:I1350,I$4:I1350&lt;=W915),1),I$4:I1350))))"),"")</f>
        <v/>
      </c>
      <c r="N915" s="60" t="str">
        <f t="shared" si="8"/>
        <v/>
      </c>
      <c r="O915" s="61" t="str">
        <f t="shared" si="9"/>
        <v/>
      </c>
      <c r="P915" s="56" t="str">
        <f t="shared" si="10"/>
        <v/>
      </c>
      <c r="Q915" s="62"/>
      <c r="R915" s="10" t="str">
        <f>IFERROR(__xludf.DUMMYFUNCTION("IF(COUNTA(Q915:Q1350)=0,"""",IF(ISBLANK(Q915),FALSE,IF(NOT(COUNTIF($AA$24:$AA$34,SUBSTITUTE(Q915,""Sell_"",""""))),1,IF(REGEXMATCH(Q915,""Sell_""),IF(COUNTIF(Q$4:Q915,SUBSTITUTE(Q915,""Sell_"",""""))-COUNTIF(Q$4:Q914,Q915)&lt;1,1),FALSE))))"),"")</f>
        <v/>
      </c>
      <c r="S915" s="59" t="str">
        <f t="array" ref="S915">IF(COUNTA(Q915:Q1350)=0,"",SUM((COUNTIF(Q$4:Q915,Upgrades!$B$3:$B$13)-COUNTIF(Q$4:Q915,"Sell_"&amp;Upgrades!$B$3:$B$13))*Upgrades!$D$3:$D$13))</f>
        <v/>
      </c>
      <c r="T915" s="66" t="str">
        <f>IFERROR(__xludf.DUMMYFUNCTION("IF(COUNTA(Q915:Q1350)=0,"""",IF(REGEXMATCH(INDEX(FILTER(Q$4:Q915,Q$4:Q915&lt;&gt;""""),ROWS(FILTER(Q$4:Q915,Q$4:Q915&lt;&gt;""""))),""^Sell_""),INDEX(FILTER(T$4:T914,Q$4:Q914&lt;&gt;""""),ROWS(FILTER(Q$4:Q914,Q$4:Q914&lt;&gt;""""))),$AD$5+S915))"),"")</f>
        <v/>
      </c>
      <c r="U915" s="10" t="str">
        <f>IFERROR(__xludf.DUMMYFUNCTION("IF(COUNTA(Q915:Q1350)=0,"""",IF(Q915="""",0,IF(REGEXMATCH(Q915,""^Sell_""),-ROUNDDOWN(ROUNDUP(INDEX(Upgrades!$C$3:$C$13,MATCH(SUBSTITUTE(Q915,""Sell_"",""""),Upgrades!$B$3:$B$13,0))*1.15^(COUNTIF(Q$4:Q914,SUBSTITUTE(Q915,""Sell_"",""""))-COUNTIF(Q$4:Q914,"&amp;"""Sell_""&amp;SUBSTITUTE(Q915,""Sell_"",""""))))/2),ROUNDUP(INDEX(Upgrades!$C$3:$C$13,MATCH(Q915,Upgrades!$B$3:$B$13,0))*1.15^(COUNTIF(Q$4:Q914,Q915)-COUNTIF(Q$4:Q914,""Sell_""&amp;Q915))))))"),"")</f>
        <v/>
      </c>
      <c r="V915" s="10" t="str">
        <f t="shared" si="11"/>
        <v/>
      </c>
      <c r="W915" s="68" t="str">
        <f t="shared" si="12"/>
        <v/>
      </c>
      <c r="X915" s="59" t="str">
        <f t="shared" si="13"/>
        <v/>
      </c>
      <c r="Y915" s="69" t="str">
        <f t="shared" si="14"/>
        <v/>
      </c>
      <c r="Z915" s="11"/>
    </row>
    <row r="916">
      <c r="A916" s="8"/>
      <c r="B916" s="56" t="str">
        <f t="shared" si="2"/>
        <v/>
      </c>
      <c r="C916" s="57"/>
      <c r="D916" s="10" t="str">
        <f>IFERROR(__xludf.DUMMYFUNCTION("IF(COUNTA(C916:C1350)=0,"""",IF(ISBLANK(C916),FALSE,IF(NOT(COUNTIF($AA$24:$AA$34,SUBSTITUTE(C916,""Sell_"",""""))),1,IF(REGEXMATCH(C916,""Sell_""),IF(COUNTIF(C$4:C916,SUBSTITUTE(C916,""Sell_"",""""))-COUNTIF(C$4:C915,C916)&lt;1,1),FALSE))))"),"")</f>
        <v/>
      </c>
      <c r="E916" s="59" t="str">
        <f t="array" ref="E916">IF(COUNTA(C916:C1350)=0,"",SUM((COUNTIF(C$4:C916,Upgrades!$B$3:$B$13)-COUNTIF(C$4:C916,"Sell_"&amp;Upgrades!$B$3:$B$13))*Upgrades!$D$3:$D$13))</f>
        <v/>
      </c>
      <c r="F916" s="66" t="str">
        <f>IFERROR(__xludf.DUMMYFUNCTION("IF(COUNTA(C916:C1350)=0,"""",IF(REGEXMATCH(INDEX(FILTER(C$4:C916,C$4:C916&lt;&gt;""""),ROWS(FILTER(C$4:C916,C$4:C916&lt;&gt;""""))),""^Sell_""),INDEX(FILTER(F$4:F915,C$4:C915&lt;&gt;""""),ROWS(FILTER(C$4:C915,C$4:C915&lt;&gt;""""))),$AC$5+E916))"),"")</f>
        <v/>
      </c>
      <c r="G916" s="10" t="str">
        <f>IFERROR(__xludf.DUMMYFUNCTION("IF(COUNTA(C916:C1350)=0,"""",IF(C916="""",0,IF(REGEXMATCH(C916,""^Sell_""),-ROUNDDOWN(ROUNDUP(INDEX(Upgrades!$C$3:$C$13,MATCH(SUBSTITUTE(C916,""Sell_"",""""),Upgrades!$B$3:$B$13,0))*1.15^(COUNTIF(C$4:C915,SUBSTITUTE(C916,""Sell_"",""""))-COUNTIF(C$4:C915,"&amp;"""Sell_""&amp;SUBSTITUTE(C916,""Sell_"",""""))))/2),ROUNDUP(INDEX(Upgrades!$C$3:$C$13,MATCH(C916,Upgrades!$B$3:$B$13,0))*1.15^(COUNTIF(C$4:C915,C916)-COUNTIF(C$4:C915,""Sell_""&amp;C916))))))"),"")</f>
        <v/>
      </c>
      <c r="H916" s="10" t="str">
        <f t="shared" si="3"/>
        <v/>
      </c>
      <c r="I916" s="68" t="str">
        <f t="shared" si="4"/>
        <v/>
      </c>
      <c r="J916" s="59" t="str">
        <f t="shared" si="5"/>
        <v/>
      </c>
      <c r="K916" s="69" t="str">
        <f t="shared" si="6"/>
        <v/>
      </c>
      <c r="L916" s="60" t="str">
        <f t="shared" si="7"/>
        <v/>
      </c>
      <c r="M916" s="61" t="str">
        <f>IFERROR(__xludf.DUMMYFUNCTION("IFS(AND(COUNTA(C916:C1350)=0,COUNTA(Q916:Q1350)=0),"""",OR(AND(K916&gt;=1000000000,OR(Y916&gt;=1000000000,COUNTA(Q916:Q1350)=0)),OR(Y916&gt;=1000000000,AND(COUNTA(C916:C1350)=0,P$3=TRUE))),
ROUNDDOWN((AB$1-AC$1)*MAX(INDEX(T$4:T1350,MATCH(LARGE(FILTER(Y$4:Y1350,Y$4"&amp;":Y1350&lt;1000000000),1),Y$4:Y1350)),INDEX(F$4:F1350,MATCH(LARGE(FILTER(K$4:K1350,K$4:K1350&lt;1000000000),1),K$4:K1350)))),AND(K916&lt;1000000000,COUNTA(C916:C1350)&gt;0,P$3=FALSE),
ROUNDDOWN(INDEX(Y$4:Y1350,MATCH(LARGE(FILTER(W$4:W1350,W$4:W1350&lt;=I916),1),W$4:W1350"&amp;"))+(I916-LARGE(FILTER(W$4:W1350,W$4:W1350&lt;=I916),1))*INDEX(T$4:T1350,MATCH(LARGE(FILTER(W$4:W1350,W$4:W1350&lt;=I916),1),W$4:W1350))-K916),1,
ROUNDDOWN(Y916-INDEX(K$4:K1350,MATCH(LARGE(FILTER(I$4:I1350,I$4:I1350&lt;=W916),1),I$4:I1350))-(W916-LARGE(FILTER(I$4:I"&amp;"1350,I$4:I1350&lt;=W916),1))*INDEX(F$4:F1350,MATCH(LARGE(FILTER(I$4:I1350,I$4:I1350&lt;=W916),1),I$4:I1350))))"),"")</f>
        <v/>
      </c>
      <c r="N916" s="60" t="str">
        <f t="shared" si="8"/>
        <v/>
      </c>
      <c r="O916" s="61" t="str">
        <f t="shared" si="9"/>
        <v/>
      </c>
      <c r="P916" s="56" t="str">
        <f t="shared" si="10"/>
        <v/>
      </c>
      <c r="Q916" s="62"/>
      <c r="R916" s="10" t="str">
        <f>IFERROR(__xludf.DUMMYFUNCTION("IF(COUNTA(Q916:Q1350)=0,"""",IF(ISBLANK(Q916),FALSE,IF(NOT(COUNTIF($AA$24:$AA$34,SUBSTITUTE(Q916,""Sell_"",""""))),1,IF(REGEXMATCH(Q916,""Sell_""),IF(COUNTIF(Q$4:Q916,SUBSTITUTE(Q916,""Sell_"",""""))-COUNTIF(Q$4:Q915,Q916)&lt;1,1),FALSE))))"),"")</f>
        <v/>
      </c>
      <c r="S916" s="59" t="str">
        <f t="array" ref="S916">IF(COUNTA(Q916:Q1350)=0,"",SUM((COUNTIF(Q$4:Q916,Upgrades!$B$3:$B$13)-COUNTIF(Q$4:Q916,"Sell_"&amp;Upgrades!$B$3:$B$13))*Upgrades!$D$3:$D$13))</f>
        <v/>
      </c>
      <c r="T916" s="66" t="str">
        <f>IFERROR(__xludf.DUMMYFUNCTION("IF(COUNTA(Q916:Q1350)=0,"""",IF(REGEXMATCH(INDEX(FILTER(Q$4:Q916,Q$4:Q916&lt;&gt;""""),ROWS(FILTER(Q$4:Q916,Q$4:Q916&lt;&gt;""""))),""^Sell_""),INDEX(FILTER(T$4:T915,Q$4:Q915&lt;&gt;""""),ROWS(FILTER(Q$4:Q915,Q$4:Q915&lt;&gt;""""))),$AD$5+S916))"),"")</f>
        <v/>
      </c>
      <c r="U916" s="10" t="str">
        <f>IFERROR(__xludf.DUMMYFUNCTION("IF(COUNTA(Q916:Q1350)=0,"""",IF(Q916="""",0,IF(REGEXMATCH(Q916,""^Sell_""),-ROUNDDOWN(ROUNDUP(INDEX(Upgrades!$C$3:$C$13,MATCH(SUBSTITUTE(Q916,""Sell_"",""""),Upgrades!$B$3:$B$13,0))*1.15^(COUNTIF(Q$4:Q915,SUBSTITUTE(Q916,""Sell_"",""""))-COUNTIF(Q$4:Q915,"&amp;"""Sell_""&amp;SUBSTITUTE(Q916,""Sell_"",""""))))/2),ROUNDUP(INDEX(Upgrades!$C$3:$C$13,MATCH(Q916,Upgrades!$B$3:$B$13,0))*1.15^(COUNTIF(Q$4:Q915,Q916)-COUNTIF(Q$4:Q915,""Sell_""&amp;Q916))))))"),"")</f>
        <v/>
      </c>
      <c r="V916" s="10" t="str">
        <f t="shared" si="11"/>
        <v/>
      </c>
      <c r="W916" s="68" t="str">
        <f t="shared" si="12"/>
        <v/>
      </c>
      <c r="X916" s="59" t="str">
        <f t="shared" si="13"/>
        <v/>
      </c>
      <c r="Y916" s="69" t="str">
        <f t="shared" si="14"/>
        <v/>
      </c>
      <c r="Z916" s="11"/>
    </row>
    <row r="917">
      <c r="A917" s="8"/>
      <c r="B917" s="56" t="str">
        <f t="shared" si="2"/>
        <v/>
      </c>
      <c r="C917" s="57"/>
      <c r="D917" s="10" t="str">
        <f>IFERROR(__xludf.DUMMYFUNCTION("IF(COUNTA(C917:C1350)=0,"""",IF(ISBLANK(C917),FALSE,IF(NOT(COUNTIF($AA$24:$AA$34,SUBSTITUTE(C917,""Sell_"",""""))),1,IF(REGEXMATCH(C917,""Sell_""),IF(COUNTIF(C$4:C917,SUBSTITUTE(C917,""Sell_"",""""))-COUNTIF(C$4:C916,C917)&lt;1,1),FALSE))))"),"")</f>
        <v/>
      </c>
      <c r="E917" s="59" t="str">
        <f t="array" ref="E917">IF(COUNTA(C917:C1350)=0,"",SUM((COUNTIF(C$4:C917,Upgrades!$B$3:$B$13)-COUNTIF(C$4:C917,"Sell_"&amp;Upgrades!$B$3:$B$13))*Upgrades!$D$3:$D$13))</f>
        <v/>
      </c>
      <c r="F917" s="66" t="str">
        <f>IFERROR(__xludf.DUMMYFUNCTION("IF(COUNTA(C917:C1350)=0,"""",IF(REGEXMATCH(INDEX(FILTER(C$4:C917,C$4:C917&lt;&gt;""""),ROWS(FILTER(C$4:C917,C$4:C917&lt;&gt;""""))),""^Sell_""),INDEX(FILTER(F$4:F916,C$4:C916&lt;&gt;""""),ROWS(FILTER(C$4:C916,C$4:C916&lt;&gt;""""))),$AC$5+E917))"),"")</f>
        <v/>
      </c>
      <c r="G917" s="10" t="str">
        <f>IFERROR(__xludf.DUMMYFUNCTION("IF(COUNTA(C917:C1350)=0,"""",IF(C917="""",0,IF(REGEXMATCH(C917,""^Sell_""),-ROUNDDOWN(ROUNDUP(INDEX(Upgrades!$C$3:$C$13,MATCH(SUBSTITUTE(C917,""Sell_"",""""),Upgrades!$B$3:$B$13,0))*1.15^(COUNTIF(C$4:C916,SUBSTITUTE(C917,""Sell_"",""""))-COUNTIF(C$4:C916,"&amp;"""Sell_""&amp;SUBSTITUTE(C917,""Sell_"",""""))))/2),ROUNDUP(INDEX(Upgrades!$C$3:$C$13,MATCH(C917,Upgrades!$B$3:$B$13,0))*1.15^(COUNTIF(C$4:C916,C917)-COUNTIF(C$4:C916,""Sell_""&amp;C917))))))"),"")</f>
        <v/>
      </c>
      <c r="H917" s="10" t="str">
        <f t="shared" si="3"/>
        <v/>
      </c>
      <c r="I917" s="68" t="str">
        <f t="shared" si="4"/>
        <v/>
      </c>
      <c r="J917" s="59" t="str">
        <f t="shared" si="5"/>
        <v/>
      </c>
      <c r="K917" s="69" t="str">
        <f t="shared" si="6"/>
        <v/>
      </c>
      <c r="L917" s="60" t="str">
        <f t="shared" si="7"/>
        <v/>
      </c>
      <c r="M917" s="61" t="str">
        <f>IFERROR(__xludf.DUMMYFUNCTION("IFS(AND(COUNTA(C917:C1350)=0,COUNTA(Q917:Q1350)=0),"""",OR(AND(K917&gt;=1000000000,OR(Y917&gt;=1000000000,COUNTA(Q917:Q1350)=0)),OR(Y917&gt;=1000000000,AND(COUNTA(C917:C1350)=0,P$3=TRUE))),
ROUNDDOWN((AB$1-AC$1)*MAX(INDEX(T$4:T1350,MATCH(LARGE(FILTER(Y$4:Y1350,Y$4"&amp;":Y1350&lt;1000000000),1),Y$4:Y1350)),INDEX(F$4:F1350,MATCH(LARGE(FILTER(K$4:K1350,K$4:K1350&lt;1000000000),1),K$4:K1350)))),AND(K917&lt;1000000000,COUNTA(C917:C1350)&gt;0,P$3=FALSE),
ROUNDDOWN(INDEX(Y$4:Y1350,MATCH(LARGE(FILTER(W$4:W1350,W$4:W1350&lt;=I917),1),W$4:W1350"&amp;"))+(I917-LARGE(FILTER(W$4:W1350,W$4:W1350&lt;=I917),1))*INDEX(T$4:T1350,MATCH(LARGE(FILTER(W$4:W1350,W$4:W1350&lt;=I917),1),W$4:W1350))-K917),1,
ROUNDDOWN(Y917-INDEX(K$4:K1350,MATCH(LARGE(FILTER(I$4:I1350,I$4:I1350&lt;=W917),1),I$4:I1350))-(W917-LARGE(FILTER(I$4:I"&amp;"1350,I$4:I1350&lt;=W917),1))*INDEX(F$4:F1350,MATCH(LARGE(FILTER(I$4:I1350,I$4:I1350&lt;=W917),1),I$4:I1350))))"),"")</f>
        <v/>
      </c>
      <c r="N917" s="60" t="str">
        <f t="shared" si="8"/>
        <v/>
      </c>
      <c r="O917" s="61" t="str">
        <f t="shared" si="9"/>
        <v/>
      </c>
      <c r="P917" s="56" t="str">
        <f t="shared" si="10"/>
        <v/>
      </c>
      <c r="Q917" s="62"/>
      <c r="R917" s="10" t="str">
        <f>IFERROR(__xludf.DUMMYFUNCTION("IF(COUNTA(Q917:Q1350)=0,"""",IF(ISBLANK(Q917),FALSE,IF(NOT(COUNTIF($AA$24:$AA$34,SUBSTITUTE(Q917,""Sell_"",""""))),1,IF(REGEXMATCH(Q917,""Sell_""),IF(COUNTIF(Q$4:Q917,SUBSTITUTE(Q917,""Sell_"",""""))-COUNTIF(Q$4:Q916,Q917)&lt;1,1),FALSE))))"),"")</f>
        <v/>
      </c>
      <c r="S917" s="59" t="str">
        <f t="array" ref="S917">IF(COUNTA(Q917:Q1350)=0,"",SUM((COUNTIF(Q$4:Q917,Upgrades!$B$3:$B$13)-COUNTIF(Q$4:Q917,"Sell_"&amp;Upgrades!$B$3:$B$13))*Upgrades!$D$3:$D$13))</f>
        <v/>
      </c>
      <c r="T917" s="66" t="str">
        <f>IFERROR(__xludf.DUMMYFUNCTION("IF(COUNTA(Q917:Q1350)=0,"""",IF(REGEXMATCH(INDEX(FILTER(Q$4:Q917,Q$4:Q917&lt;&gt;""""),ROWS(FILTER(Q$4:Q917,Q$4:Q917&lt;&gt;""""))),""^Sell_""),INDEX(FILTER(T$4:T916,Q$4:Q916&lt;&gt;""""),ROWS(FILTER(Q$4:Q916,Q$4:Q916&lt;&gt;""""))),$AD$5+S917))"),"")</f>
        <v/>
      </c>
      <c r="U917" s="10" t="str">
        <f>IFERROR(__xludf.DUMMYFUNCTION("IF(COUNTA(Q917:Q1350)=0,"""",IF(Q917="""",0,IF(REGEXMATCH(Q917,""^Sell_""),-ROUNDDOWN(ROUNDUP(INDEX(Upgrades!$C$3:$C$13,MATCH(SUBSTITUTE(Q917,""Sell_"",""""),Upgrades!$B$3:$B$13,0))*1.15^(COUNTIF(Q$4:Q916,SUBSTITUTE(Q917,""Sell_"",""""))-COUNTIF(Q$4:Q916,"&amp;"""Sell_""&amp;SUBSTITUTE(Q917,""Sell_"",""""))))/2),ROUNDUP(INDEX(Upgrades!$C$3:$C$13,MATCH(Q917,Upgrades!$B$3:$B$13,0))*1.15^(COUNTIF(Q$4:Q916,Q917)-COUNTIF(Q$4:Q916,""Sell_""&amp;Q917))))))"),"")</f>
        <v/>
      </c>
      <c r="V917" s="10" t="str">
        <f t="shared" si="11"/>
        <v/>
      </c>
      <c r="W917" s="68" t="str">
        <f t="shared" si="12"/>
        <v/>
      </c>
      <c r="X917" s="59" t="str">
        <f t="shared" si="13"/>
        <v/>
      </c>
      <c r="Y917" s="69" t="str">
        <f t="shared" si="14"/>
        <v/>
      </c>
      <c r="Z917" s="11"/>
    </row>
    <row r="918">
      <c r="A918" s="8"/>
      <c r="B918" s="56" t="str">
        <f t="shared" si="2"/>
        <v/>
      </c>
      <c r="C918" s="57"/>
      <c r="D918" s="10" t="str">
        <f>IFERROR(__xludf.DUMMYFUNCTION("IF(COUNTA(C918:C1350)=0,"""",IF(ISBLANK(C918),FALSE,IF(NOT(COUNTIF($AA$24:$AA$34,SUBSTITUTE(C918,""Sell_"",""""))),1,IF(REGEXMATCH(C918,""Sell_""),IF(COUNTIF(C$4:C918,SUBSTITUTE(C918,""Sell_"",""""))-COUNTIF(C$4:C917,C918)&lt;1,1),FALSE))))"),"")</f>
        <v/>
      </c>
      <c r="E918" s="59" t="str">
        <f t="array" ref="E918">IF(COUNTA(C918:C1350)=0,"",SUM((COUNTIF(C$4:C918,Upgrades!$B$3:$B$13)-COUNTIF(C$4:C918,"Sell_"&amp;Upgrades!$B$3:$B$13))*Upgrades!$D$3:$D$13))</f>
        <v/>
      </c>
      <c r="F918" s="66" t="str">
        <f>IFERROR(__xludf.DUMMYFUNCTION("IF(COUNTA(C918:C1350)=0,"""",IF(REGEXMATCH(INDEX(FILTER(C$4:C918,C$4:C918&lt;&gt;""""),ROWS(FILTER(C$4:C918,C$4:C918&lt;&gt;""""))),""^Sell_""),INDEX(FILTER(F$4:F917,C$4:C917&lt;&gt;""""),ROWS(FILTER(C$4:C917,C$4:C917&lt;&gt;""""))),$AC$5+E918))"),"")</f>
        <v/>
      </c>
      <c r="G918" s="10" t="str">
        <f>IFERROR(__xludf.DUMMYFUNCTION("IF(COUNTA(C918:C1350)=0,"""",IF(C918="""",0,IF(REGEXMATCH(C918,""^Sell_""),-ROUNDDOWN(ROUNDUP(INDEX(Upgrades!$C$3:$C$13,MATCH(SUBSTITUTE(C918,""Sell_"",""""),Upgrades!$B$3:$B$13,0))*1.15^(COUNTIF(C$4:C917,SUBSTITUTE(C918,""Sell_"",""""))-COUNTIF(C$4:C917,"&amp;"""Sell_""&amp;SUBSTITUTE(C918,""Sell_"",""""))))/2),ROUNDUP(INDEX(Upgrades!$C$3:$C$13,MATCH(C918,Upgrades!$B$3:$B$13,0))*1.15^(COUNTIF(C$4:C917,C918)-COUNTIF(C$4:C917,""Sell_""&amp;C918))))))"),"")</f>
        <v/>
      </c>
      <c r="H918" s="10" t="str">
        <f t="shared" si="3"/>
        <v/>
      </c>
      <c r="I918" s="68" t="str">
        <f t="shared" si="4"/>
        <v/>
      </c>
      <c r="J918" s="59" t="str">
        <f t="shared" si="5"/>
        <v/>
      </c>
      <c r="K918" s="69" t="str">
        <f t="shared" si="6"/>
        <v/>
      </c>
      <c r="L918" s="60" t="str">
        <f t="shared" si="7"/>
        <v/>
      </c>
      <c r="M918" s="61" t="str">
        <f>IFERROR(__xludf.DUMMYFUNCTION("IFS(AND(COUNTA(C918:C1350)=0,COUNTA(Q918:Q1350)=0),"""",OR(AND(K918&gt;=1000000000,OR(Y918&gt;=1000000000,COUNTA(Q918:Q1350)=0)),OR(Y918&gt;=1000000000,AND(COUNTA(C918:C1350)=0,P$3=TRUE))),
ROUNDDOWN((AB$1-AC$1)*MAX(INDEX(T$4:T1350,MATCH(LARGE(FILTER(Y$4:Y1350,Y$4"&amp;":Y1350&lt;1000000000),1),Y$4:Y1350)),INDEX(F$4:F1350,MATCH(LARGE(FILTER(K$4:K1350,K$4:K1350&lt;1000000000),1),K$4:K1350)))),AND(K918&lt;1000000000,COUNTA(C918:C1350)&gt;0,P$3=FALSE),
ROUNDDOWN(INDEX(Y$4:Y1350,MATCH(LARGE(FILTER(W$4:W1350,W$4:W1350&lt;=I918),1),W$4:W1350"&amp;"))+(I918-LARGE(FILTER(W$4:W1350,W$4:W1350&lt;=I918),1))*INDEX(T$4:T1350,MATCH(LARGE(FILTER(W$4:W1350,W$4:W1350&lt;=I918),1),W$4:W1350))-K918),1,
ROUNDDOWN(Y918-INDEX(K$4:K1350,MATCH(LARGE(FILTER(I$4:I1350,I$4:I1350&lt;=W918),1),I$4:I1350))-(W918-LARGE(FILTER(I$4:I"&amp;"1350,I$4:I1350&lt;=W918),1))*INDEX(F$4:F1350,MATCH(LARGE(FILTER(I$4:I1350,I$4:I1350&lt;=W918),1),I$4:I1350))))"),"")</f>
        <v/>
      </c>
      <c r="N918" s="60" t="str">
        <f t="shared" si="8"/>
        <v/>
      </c>
      <c r="O918" s="61" t="str">
        <f t="shared" si="9"/>
        <v/>
      </c>
      <c r="P918" s="56" t="str">
        <f t="shared" si="10"/>
        <v/>
      </c>
      <c r="Q918" s="62"/>
      <c r="R918" s="10" t="str">
        <f>IFERROR(__xludf.DUMMYFUNCTION("IF(COUNTA(Q918:Q1350)=0,"""",IF(ISBLANK(Q918),FALSE,IF(NOT(COUNTIF($AA$24:$AA$34,SUBSTITUTE(Q918,""Sell_"",""""))),1,IF(REGEXMATCH(Q918,""Sell_""),IF(COUNTIF(Q$4:Q918,SUBSTITUTE(Q918,""Sell_"",""""))-COUNTIF(Q$4:Q917,Q918)&lt;1,1),FALSE))))"),"")</f>
        <v/>
      </c>
      <c r="S918" s="59" t="str">
        <f t="array" ref="S918">IF(COUNTA(Q918:Q1350)=0,"",SUM((COUNTIF(Q$4:Q918,Upgrades!$B$3:$B$13)-COUNTIF(Q$4:Q918,"Sell_"&amp;Upgrades!$B$3:$B$13))*Upgrades!$D$3:$D$13))</f>
        <v/>
      </c>
      <c r="T918" s="66" t="str">
        <f>IFERROR(__xludf.DUMMYFUNCTION("IF(COUNTA(Q918:Q1350)=0,"""",IF(REGEXMATCH(INDEX(FILTER(Q$4:Q918,Q$4:Q918&lt;&gt;""""),ROWS(FILTER(Q$4:Q918,Q$4:Q918&lt;&gt;""""))),""^Sell_""),INDEX(FILTER(T$4:T917,Q$4:Q917&lt;&gt;""""),ROWS(FILTER(Q$4:Q917,Q$4:Q917&lt;&gt;""""))),$AD$5+S918))"),"")</f>
        <v/>
      </c>
      <c r="U918" s="10" t="str">
        <f>IFERROR(__xludf.DUMMYFUNCTION("IF(COUNTA(Q918:Q1350)=0,"""",IF(Q918="""",0,IF(REGEXMATCH(Q918,""^Sell_""),-ROUNDDOWN(ROUNDUP(INDEX(Upgrades!$C$3:$C$13,MATCH(SUBSTITUTE(Q918,""Sell_"",""""),Upgrades!$B$3:$B$13,0))*1.15^(COUNTIF(Q$4:Q917,SUBSTITUTE(Q918,""Sell_"",""""))-COUNTIF(Q$4:Q917,"&amp;"""Sell_""&amp;SUBSTITUTE(Q918,""Sell_"",""""))))/2),ROUNDUP(INDEX(Upgrades!$C$3:$C$13,MATCH(Q918,Upgrades!$B$3:$B$13,0))*1.15^(COUNTIF(Q$4:Q917,Q918)-COUNTIF(Q$4:Q917,""Sell_""&amp;Q918))))))"),"")</f>
        <v/>
      </c>
      <c r="V918" s="10" t="str">
        <f t="shared" si="11"/>
        <v/>
      </c>
      <c r="W918" s="68" t="str">
        <f t="shared" si="12"/>
        <v/>
      </c>
      <c r="X918" s="59" t="str">
        <f t="shared" si="13"/>
        <v/>
      </c>
      <c r="Y918" s="69" t="str">
        <f t="shared" si="14"/>
        <v/>
      </c>
      <c r="Z918" s="11"/>
    </row>
    <row r="919">
      <c r="A919" s="8"/>
      <c r="B919" s="56" t="str">
        <f t="shared" si="2"/>
        <v/>
      </c>
      <c r="C919" s="57"/>
      <c r="D919" s="10" t="str">
        <f>IFERROR(__xludf.DUMMYFUNCTION("IF(COUNTA(C919:C1350)=0,"""",IF(ISBLANK(C919),FALSE,IF(NOT(COUNTIF($AA$24:$AA$34,SUBSTITUTE(C919,""Sell_"",""""))),1,IF(REGEXMATCH(C919,""Sell_""),IF(COUNTIF(C$4:C919,SUBSTITUTE(C919,""Sell_"",""""))-COUNTIF(C$4:C918,C919)&lt;1,1),FALSE))))"),"")</f>
        <v/>
      </c>
      <c r="E919" s="59" t="str">
        <f t="array" ref="E919">IF(COUNTA(C919:C1350)=0,"",SUM((COUNTIF(C$4:C919,Upgrades!$B$3:$B$13)-COUNTIF(C$4:C919,"Sell_"&amp;Upgrades!$B$3:$B$13))*Upgrades!$D$3:$D$13))</f>
        <v/>
      </c>
      <c r="F919" s="66" t="str">
        <f>IFERROR(__xludf.DUMMYFUNCTION("IF(COUNTA(C919:C1350)=0,"""",IF(REGEXMATCH(INDEX(FILTER(C$4:C919,C$4:C919&lt;&gt;""""),ROWS(FILTER(C$4:C919,C$4:C919&lt;&gt;""""))),""^Sell_""),INDEX(FILTER(F$4:F918,C$4:C918&lt;&gt;""""),ROWS(FILTER(C$4:C918,C$4:C918&lt;&gt;""""))),$AC$5+E919))"),"")</f>
        <v/>
      </c>
      <c r="G919" s="10" t="str">
        <f>IFERROR(__xludf.DUMMYFUNCTION("IF(COUNTA(C919:C1350)=0,"""",IF(C919="""",0,IF(REGEXMATCH(C919,""^Sell_""),-ROUNDDOWN(ROUNDUP(INDEX(Upgrades!$C$3:$C$13,MATCH(SUBSTITUTE(C919,""Sell_"",""""),Upgrades!$B$3:$B$13,0))*1.15^(COUNTIF(C$4:C918,SUBSTITUTE(C919,""Sell_"",""""))-COUNTIF(C$4:C918,"&amp;"""Sell_""&amp;SUBSTITUTE(C919,""Sell_"",""""))))/2),ROUNDUP(INDEX(Upgrades!$C$3:$C$13,MATCH(C919,Upgrades!$B$3:$B$13,0))*1.15^(COUNTIF(C$4:C918,C919)-COUNTIF(C$4:C918,""Sell_""&amp;C919))))))"),"")</f>
        <v/>
      </c>
      <c r="H919" s="10" t="str">
        <f t="shared" si="3"/>
        <v/>
      </c>
      <c r="I919" s="68" t="str">
        <f t="shared" si="4"/>
        <v/>
      </c>
      <c r="J919" s="59" t="str">
        <f t="shared" si="5"/>
        <v/>
      </c>
      <c r="K919" s="69" t="str">
        <f t="shared" si="6"/>
        <v/>
      </c>
      <c r="L919" s="60" t="str">
        <f t="shared" si="7"/>
        <v/>
      </c>
      <c r="M919" s="61" t="str">
        <f>IFERROR(__xludf.DUMMYFUNCTION("IFS(AND(COUNTA(C919:C1350)=0,COUNTA(Q919:Q1350)=0),"""",OR(AND(K919&gt;=1000000000,OR(Y919&gt;=1000000000,COUNTA(Q919:Q1350)=0)),OR(Y919&gt;=1000000000,AND(COUNTA(C919:C1350)=0,P$3=TRUE))),
ROUNDDOWN((AB$1-AC$1)*MAX(INDEX(T$4:T1350,MATCH(LARGE(FILTER(Y$4:Y1350,Y$4"&amp;":Y1350&lt;1000000000),1),Y$4:Y1350)),INDEX(F$4:F1350,MATCH(LARGE(FILTER(K$4:K1350,K$4:K1350&lt;1000000000),1),K$4:K1350)))),AND(K919&lt;1000000000,COUNTA(C919:C1350)&gt;0,P$3=FALSE),
ROUNDDOWN(INDEX(Y$4:Y1350,MATCH(LARGE(FILTER(W$4:W1350,W$4:W1350&lt;=I919),1),W$4:W1350"&amp;"))+(I919-LARGE(FILTER(W$4:W1350,W$4:W1350&lt;=I919),1))*INDEX(T$4:T1350,MATCH(LARGE(FILTER(W$4:W1350,W$4:W1350&lt;=I919),1),W$4:W1350))-K919),1,
ROUNDDOWN(Y919-INDEX(K$4:K1350,MATCH(LARGE(FILTER(I$4:I1350,I$4:I1350&lt;=W919),1),I$4:I1350))-(W919-LARGE(FILTER(I$4:I"&amp;"1350,I$4:I1350&lt;=W919),1))*INDEX(F$4:F1350,MATCH(LARGE(FILTER(I$4:I1350,I$4:I1350&lt;=W919),1),I$4:I1350))))"),"")</f>
        <v/>
      </c>
      <c r="N919" s="60" t="str">
        <f t="shared" si="8"/>
        <v/>
      </c>
      <c r="O919" s="61" t="str">
        <f t="shared" si="9"/>
        <v/>
      </c>
      <c r="P919" s="56" t="str">
        <f t="shared" si="10"/>
        <v/>
      </c>
      <c r="Q919" s="62"/>
      <c r="R919" s="10" t="str">
        <f>IFERROR(__xludf.DUMMYFUNCTION("IF(COUNTA(Q919:Q1350)=0,"""",IF(ISBLANK(Q919),FALSE,IF(NOT(COUNTIF($AA$24:$AA$34,SUBSTITUTE(Q919,""Sell_"",""""))),1,IF(REGEXMATCH(Q919,""Sell_""),IF(COUNTIF(Q$4:Q919,SUBSTITUTE(Q919,""Sell_"",""""))-COUNTIF(Q$4:Q918,Q919)&lt;1,1),FALSE))))"),"")</f>
        <v/>
      </c>
      <c r="S919" s="59" t="str">
        <f t="array" ref="S919">IF(COUNTA(Q919:Q1350)=0,"",SUM((COUNTIF(Q$4:Q919,Upgrades!$B$3:$B$13)-COUNTIF(Q$4:Q919,"Sell_"&amp;Upgrades!$B$3:$B$13))*Upgrades!$D$3:$D$13))</f>
        <v/>
      </c>
      <c r="T919" s="66" t="str">
        <f>IFERROR(__xludf.DUMMYFUNCTION("IF(COUNTA(Q919:Q1350)=0,"""",IF(REGEXMATCH(INDEX(FILTER(Q$4:Q919,Q$4:Q919&lt;&gt;""""),ROWS(FILTER(Q$4:Q919,Q$4:Q919&lt;&gt;""""))),""^Sell_""),INDEX(FILTER(T$4:T918,Q$4:Q918&lt;&gt;""""),ROWS(FILTER(Q$4:Q918,Q$4:Q918&lt;&gt;""""))),$AD$5+S919))"),"")</f>
        <v/>
      </c>
      <c r="U919" s="10" t="str">
        <f>IFERROR(__xludf.DUMMYFUNCTION("IF(COUNTA(Q919:Q1350)=0,"""",IF(Q919="""",0,IF(REGEXMATCH(Q919,""^Sell_""),-ROUNDDOWN(ROUNDUP(INDEX(Upgrades!$C$3:$C$13,MATCH(SUBSTITUTE(Q919,""Sell_"",""""),Upgrades!$B$3:$B$13,0))*1.15^(COUNTIF(Q$4:Q918,SUBSTITUTE(Q919,""Sell_"",""""))-COUNTIF(Q$4:Q918,"&amp;"""Sell_""&amp;SUBSTITUTE(Q919,""Sell_"",""""))))/2),ROUNDUP(INDEX(Upgrades!$C$3:$C$13,MATCH(Q919,Upgrades!$B$3:$B$13,0))*1.15^(COUNTIF(Q$4:Q918,Q919)-COUNTIF(Q$4:Q918,""Sell_""&amp;Q919))))))"),"")</f>
        <v/>
      </c>
      <c r="V919" s="10" t="str">
        <f t="shared" si="11"/>
        <v/>
      </c>
      <c r="W919" s="68" t="str">
        <f t="shared" si="12"/>
        <v/>
      </c>
      <c r="X919" s="59" t="str">
        <f t="shared" si="13"/>
        <v/>
      </c>
      <c r="Y919" s="69" t="str">
        <f t="shared" si="14"/>
        <v/>
      </c>
      <c r="Z919" s="11"/>
    </row>
    <row r="920">
      <c r="A920" s="8"/>
      <c r="B920" s="56" t="str">
        <f t="shared" si="2"/>
        <v/>
      </c>
      <c r="C920" s="57"/>
      <c r="D920" s="10" t="str">
        <f>IFERROR(__xludf.DUMMYFUNCTION("IF(COUNTA(C920:C1350)=0,"""",IF(ISBLANK(C920),FALSE,IF(NOT(COUNTIF($AA$24:$AA$34,SUBSTITUTE(C920,""Sell_"",""""))),1,IF(REGEXMATCH(C920,""Sell_""),IF(COUNTIF(C$4:C920,SUBSTITUTE(C920,""Sell_"",""""))-COUNTIF(C$4:C919,C920)&lt;1,1),FALSE))))"),"")</f>
        <v/>
      </c>
      <c r="E920" s="59" t="str">
        <f t="array" ref="E920">IF(COUNTA(C920:C1350)=0,"",SUM((COUNTIF(C$4:C920,Upgrades!$B$3:$B$13)-COUNTIF(C$4:C920,"Sell_"&amp;Upgrades!$B$3:$B$13))*Upgrades!$D$3:$D$13))</f>
        <v/>
      </c>
      <c r="F920" s="66" t="str">
        <f>IFERROR(__xludf.DUMMYFUNCTION("IF(COUNTA(C920:C1350)=0,"""",IF(REGEXMATCH(INDEX(FILTER(C$4:C920,C$4:C920&lt;&gt;""""),ROWS(FILTER(C$4:C920,C$4:C920&lt;&gt;""""))),""^Sell_""),INDEX(FILTER(F$4:F919,C$4:C919&lt;&gt;""""),ROWS(FILTER(C$4:C919,C$4:C919&lt;&gt;""""))),$AC$5+E920))"),"")</f>
        <v/>
      </c>
      <c r="G920" s="10" t="str">
        <f>IFERROR(__xludf.DUMMYFUNCTION("IF(COUNTA(C920:C1350)=0,"""",IF(C920="""",0,IF(REGEXMATCH(C920,""^Sell_""),-ROUNDDOWN(ROUNDUP(INDEX(Upgrades!$C$3:$C$13,MATCH(SUBSTITUTE(C920,""Sell_"",""""),Upgrades!$B$3:$B$13,0))*1.15^(COUNTIF(C$4:C919,SUBSTITUTE(C920,""Sell_"",""""))-COUNTIF(C$4:C919,"&amp;"""Sell_""&amp;SUBSTITUTE(C920,""Sell_"",""""))))/2),ROUNDUP(INDEX(Upgrades!$C$3:$C$13,MATCH(C920,Upgrades!$B$3:$B$13,0))*1.15^(COUNTIF(C$4:C919,C920)-COUNTIF(C$4:C919,""Sell_""&amp;C920))))))"),"")</f>
        <v/>
      </c>
      <c r="H920" s="10" t="str">
        <f t="shared" si="3"/>
        <v/>
      </c>
      <c r="I920" s="68" t="str">
        <f t="shared" si="4"/>
        <v/>
      </c>
      <c r="J920" s="59" t="str">
        <f t="shared" si="5"/>
        <v/>
      </c>
      <c r="K920" s="69" t="str">
        <f t="shared" si="6"/>
        <v/>
      </c>
      <c r="L920" s="60" t="str">
        <f t="shared" si="7"/>
        <v/>
      </c>
      <c r="M920" s="61" t="str">
        <f>IFERROR(__xludf.DUMMYFUNCTION("IFS(AND(COUNTA(C920:C1350)=0,COUNTA(Q920:Q1350)=0),"""",OR(AND(K920&gt;=1000000000,OR(Y920&gt;=1000000000,COUNTA(Q920:Q1350)=0)),OR(Y920&gt;=1000000000,AND(COUNTA(C920:C1350)=0,P$3=TRUE))),
ROUNDDOWN((AB$1-AC$1)*MAX(INDEX(T$4:T1350,MATCH(LARGE(FILTER(Y$4:Y1350,Y$4"&amp;":Y1350&lt;1000000000),1),Y$4:Y1350)),INDEX(F$4:F1350,MATCH(LARGE(FILTER(K$4:K1350,K$4:K1350&lt;1000000000),1),K$4:K1350)))),AND(K920&lt;1000000000,COUNTA(C920:C1350)&gt;0,P$3=FALSE),
ROUNDDOWN(INDEX(Y$4:Y1350,MATCH(LARGE(FILTER(W$4:W1350,W$4:W1350&lt;=I920),1),W$4:W1350"&amp;"))+(I920-LARGE(FILTER(W$4:W1350,W$4:W1350&lt;=I920),1))*INDEX(T$4:T1350,MATCH(LARGE(FILTER(W$4:W1350,W$4:W1350&lt;=I920),1),W$4:W1350))-K920),1,
ROUNDDOWN(Y920-INDEX(K$4:K1350,MATCH(LARGE(FILTER(I$4:I1350,I$4:I1350&lt;=W920),1),I$4:I1350))-(W920-LARGE(FILTER(I$4:I"&amp;"1350,I$4:I1350&lt;=W920),1))*INDEX(F$4:F1350,MATCH(LARGE(FILTER(I$4:I1350,I$4:I1350&lt;=W920),1),I$4:I1350))))"),"")</f>
        <v/>
      </c>
      <c r="N920" s="60" t="str">
        <f t="shared" si="8"/>
        <v/>
      </c>
      <c r="O920" s="61" t="str">
        <f t="shared" si="9"/>
        <v/>
      </c>
      <c r="P920" s="56" t="str">
        <f t="shared" si="10"/>
        <v/>
      </c>
      <c r="Q920" s="62"/>
      <c r="R920" s="10" t="str">
        <f>IFERROR(__xludf.DUMMYFUNCTION("IF(COUNTA(Q920:Q1350)=0,"""",IF(ISBLANK(Q920),FALSE,IF(NOT(COUNTIF($AA$24:$AA$34,SUBSTITUTE(Q920,""Sell_"",""""))),1,IF(REGEXMATCH(Q920,""Sell_""),IF(COUNTIF(Q$4:Q920,SUBSTITUTE(Q920,""Sell_"",""""))-COUNTIF(Q$4:Q919,Q920)&lt;1,1),FALSE))))"),"")</f>
        <v/>
      </c>
      <c r="S920" s="59" t="str">
        <f t="array" ref="S920">IF(COUNTA(Q920:Q1350)=0,"",SUM((COUNTIF(Q$4:Q920,Upgrades!$B$3:$B$13)-COUNTIF(Q$4:Q920,"Sell_"&amp;Upgrades!$B$3:$B$13))*Upgrades!$D$3:$D$13))</f>
        <v/>
      </c>
      <c r="T920" s="66" t="str">
        <f>IFERROR(__xludf.DUMMYFUNCTION("IF(COUNTA(Q920:Q1350)=0,"""",IF(REGEXMATCH(INDEX(FILTER(Q$4:Q920,Q$4:Q920&lt;&gt;""""),ROWS(FILTER(Q$4:Q920,Q$4:Q920&lt;&gt;""""))),""^Sell_""),INDEX(FILTER(T$4:T919,Q$4:Q919&lt;&gt;""""),ROWS(FILTER(Q$4:Q919,Q$4:Q919&lt;&gt;""""))),$AD$5+S920))"),"")</f>
        <v/>
      </c>
      <c r="U920" s="10" t="str">
        <f>IFERROR(__xludf.DUMMYFUNCTION("IF(COUNTA(Q920:Q1350)=0,"""",IF(Q920="""",0,IF(REGEXMATCH(Q920,""^Sell_""),-ROUNDDOWN(ROUNDUP(INDEX(Upgrades!$C$3:$C$13,MATCH(SUBSTITUTE(Q920,""Sell_"",""""),Upgrades!$B$3:$B$13,0))*1.15^(COUNTIF(Q$4:Q919,SUBSTITUTE(Q920,""Sell_"",""""))-COUNTIF(Q$4:Q919,"&amp;"""Sell_""&amp;SUBSTITUTE(Q920,""Sell_"",""""))))/2),ROUNDUP(INDEX(Upgrades!$C$3:$C$13,MATCH(Q920,Upgrades!$B$3:$B$13,0))*1.15^(COUNTIF(Q$4:Q919,Q920)-COUNTIF(Q$4:Q919,""Sell_""&amp;Q920))))))"),"")</f>
        <v/>
      </c>
      <c r="V920" s="10" t="str">
        <f t="shared" si="11"/>
        <v/>
      </c>
      <c r="W920" s="68" t="str">
        <f t="shared" si="12"/>
        <v/>
      </c>
      <c r="X920" s="59" t="str">
        <f t="shared" si="13"/>
        <v/>
      </c>
      <c r="Y920" s="69" t="str">
        <f t="shared" si="14"/>
        <v/>
      </c>
      <c r="Z920" s="11"/>
    </row>
    <row r="921">
      <c r="A921" s="8"/>
      <c r="B921" s="56" t="str">
        <f t="shared" si="2"/>
        <v/>
      </c>
      <c r="C921" s="57"/>
      <c r="D921" s="10" t="str">
        <f>IFERROR(__xludf.DUMMYFUNCTION("IF(COUNTA(C921:C1350)=0,"""",IF(ISBLANK(C921),FALSE,IF(NOT(COUNTIF($AA$24:$AA$34,SUBSTITUTE(C921,""Sell_"",""""))),1,IF(REGEXMATCH(C921,""Sell_""),IF(COUNTIF(C$4:C921,SUBSTITUTE(C921,""Sell_"",""""))-COUNTIF(C$4:C920,C921)&lt;1,1),FALSE))))"),"")</f>
        <v/>
      </c>
      <c r="E921" s="59" t="str">
        <f t="array" ref="E921">IF(COUNTA(C921:C1350)=0,"",SUM((COUNTIF(C$4:C921,Upgrades!$B$3:$B$13)-COUNTIF(C$4:C921,"Sell_"&amp;Upgrades!$B$3:$B$13))*Upgrades!$D$3:$D$13))</f>
        <v/>
      </c>
      <c r="F921" s="66" t="str">
        <f>IFERROR(__xludf.DUMMYFUNCTION("IF(COUNTA(C921:C1350)=0,"""",IF(REGEXMATCH(INDEX(FILTER(C$4:C921,C$4:C921&lt;&gt;""""),ROWS(FILTER(C$4:C921,C$4:C921&lt;&gt;""""))),""^Sell_""),INDEX(FILTER(F$4:F920,C$4:C920&lt;&gt;""""),ROWS(FILTER(C$4:C920,C$4:C920&lt;&gt;""""))),$AC$5+E921))"),"")</f>
        <v/>
      </c>
      <c r="G921" s="10" t="str">
        <f>IFERROR(__xludf.DUMMYFUNCTION("IF(COUNTA(C921:C1350)=0,"""",IF(C921="""",0,IF(REGEXMATCH(C921,""^Sell_""),-ROUNDDOWN(ROUNDUP(INDEX(Upgrades!$C$3:$C$13,MATCH(SUBSTITUTE(C921,""Sell_"",""""),Upgrades!$B$3:$B$13,0))*1.15^(COUNTIF(C$4:C920,SUBSTITUTE(C921,""Sell_"",""""))-COUNTIF(C$4:C920,"&amp;"""Sell_""&amp;SUBSTITUTE(C921,""Sell_"",""""))))/2),ROUNDUP(INDEX(Upgrades!$C$3:$C$13,MATCH(C921,Upgrades!$B$3:$B$13,0))*1.15^(COUNTIF(C$4:C920,C921)-COUNTIF(C$4:C920,""Sell_""&amp;C921))))))"),"")</f>
        <v/>
      </c>
      <c r="H921" s="10" t="str">
        <f t="shared" si="3"/>
        <v/>
      </c>
      <c r="I921" s="68" t="str">
        <f t="shared" si="4"/>
        <v/>
      </c>
      <c r="J921" s="59" t="str">
        <f t="shared" si="5"/>
        <v/>
      </c>
      <c r="K921" s="69" t="str">
        <f t="shared" si="6"/>
        <v/>
      </c>
      <c r="L921" s="60" t="str">
        <f t="shared" si="7"/>
        <v/>
      </c>
      <c r="M921" s="61" t="str">
        <f>IFERROR(__xludf.DUMMYFUNCTION("IFS(AND(COUNTA(C921:C1350)=0,COUNTA(Q921:Q1350)=0),"""",OR(AND(K921&gt;=1000000000,OR(Y921&gt;=1000000000,COUNTA(Q921:Q1350)=0)),OR(Y921&gt;=1000000000,AND(COUNTA(C921:C1350)=0,P$3=TRUE))),
ROUNDDOWN((AB$1-AC$1)*MAX(INDEX(T$4:T1350,MATCH(LARGE(FILTER(Y$4:Y1350,Y$4"&amp;":Y1350&lt;1000000000),1),Y$4:Y1350)),INDEX(F$4:F1350,MATCH(LARGE(FILTER(K$4:K1350,K$4:K1350&lt;1000000000),1),K$4:K1350)))),AND(K921&lt;1000000000,COUNTA(C921:C1350)&gt;0,P$3=FALSE),
ROUNDDOWN(INDEX(Y$4:Y1350,MATCH(LARGE(FILTER(W$4:W1350,W$4:W1350&lt;=I921),1),W$4:W1350"&amp;"))+(I921-LARGE(FILTER(W$4:W1350,W$4:W1350&lt;=I921),1))*INDEX(T$4:T1350,MATCH(LARGE(FILTER(W$4:W1350,W$4:W1350&lt;=I921),1),W$4:W1350))-K921),1,
ROUNDDOWN(Y921-INDEX(K$4:K1350,MATCH(LARGE(FILTER(I$4:I1350,I$4:I1350&lt;=W921),1),I$4:I1350))-(W921-LARGE(FILTER(I$4:I"&amp;"1350,I$4:I1350&lt;=W921),1))*INDEX(F$4:F1350,MATCH(LARGE(FILTER(I$4:I1350,I$4:I1350&lt;=W921),1),I$4:I1350))))"),"")</f>
        <v/>
      </c>
      <c r="N921" s="60" t="str">
        <f t="shared" si="8"/>
        <v/>
      </c>
      <c r="O921" s="61" t="str">
        <f t="shared" si="9"/>
        <v/>
      </c>
      <c r="P921" s="56" t="str">
        <f t="shared" si="10"/>
        <v/>
      </c>
      <c r="Q921" s="62"/>
      <c r="R921" s="10" t="str">
        <f>IFERROR(__xludf.DUMMYFUNCTION("IF(COUNTA(Q921:Q1350)=0,"""",IF(ISBLANK(Q921),FALSE,IF(NOT(COUNTIF($AA$24:$AA$34,SUBSTITUTE(Q921,""Sell_"",""""))),1,IF(REGEXMATCH(Q921,""Sell_""),IF(COUNTIF(Q$4:Q921,SUBSTITUTE(Q921,""Sell_"",""""))-COUNTIF(Q$4:Q920,Q921)&lt;1,1),FALSE))))"),"")</f>
        <v/>
      </c>
      <c r="S921" s="59" t="str">
        <f t="array" ref="S921">IF(COUNTA(Q921:Q1350)=0,"",SUM((COUNTIF(Q$4:Q921,Upgrades!$B$3:$B$13)-COUNTIF(Q$4:Q921,"Sell_"&amp;Upgrades!$B$3:$B$13))*Upgrades!$D$3:$D$13))</f>
        <v/>
      </c>
      <c r="T921" s="66" t="str">
        <f>IFERROR(__xludf.DUMMYFUNCTION("IF(COUNTA(Q921:Q1350)=0,"""",IF(REGEXMATCH(INDEX(FILTER(Q$4:Q921,Q$4:Q921&lt;&gt;""""),ROWS(FILTER(Q$4:Q921,Q$4:Q921&lt;&gt;""""))),""^Sell_""),INDEX(FILTER(T$4:T920,Q$4:Q920&lt;&gt;""""),ROWS(FILTER(Q$4:Q920,Q$4:Q920&lt;&gt;""""))),$AD$5+S921))"),"")</f>
        <v/>
      </c>
      <c r="U921" s="10" t="str">
        <f>IFERROR(__xludf.DUMMYFUNCTION("IF(COUNTA(Q921:Q1350)=0,"""",IF(Q921="""",0,IF(REGEXMATCH(Q921,""^Sell_""),-ROUNDDOWN(ROUNDUP(INDEX(Upgrades!$C$3:$C$13,MATCH(SUBSTITUTE(Q921,""Sell_"",""""),Upgrades!$B$3:$B$13,0))*1.15^(COUNTIF(Q$4:Q920,SUBSTITUTE(Q921,""Sell_"",""""))-COUNTIF(Q$4:Q920,"&amp;"""Sell_""&amp;SUBSTITUTE(Q921,""Sell_"",""""))))/2),ROUNDUP(INDEX(Upgrades!$C$3:$C$13,MATCH(Q921,Upgrades!$B$3:$B$13,0))*1.15^(COUNTIF(Q$4:Q920,Q921)-COUNTIF(Q$4:Q920,""Sell_""&amp;Q921))))))"),"")</f>
        <v/>
      </c>
      <c r="V921" s="10" t="str">
        <f t="shared" si="11"/>
        <v/>
      </c>
      <c r="W921" s="68" t="str">
        <f t="shared" si="12"/>
        <v/>
      </c>
      <c r="X921" s="59" t="str">
        <f t="shared" si="13"/>
        <v/>
      </c>
      <c r="Y921" s="69" t="str">
        <f t="shared" si="14"/>
        <v/>
      </c>
      <c r="Z921" s="11"/>
    </row>
    <row r="922">
      <c r="A922" s="8"/>
      <c r="B922" s="56" t="str">
        <f t="shared" si="2"/>
        <v/>
      </c>
      <c r="C922" s="57"/>
      <c r="D922" s="10" t="str">
        <f>IFERROR(__xludf.DUMMYFUNCTION("IF(COUNTA(C922:C1350)=0,"""",IF(ISBLANK(C922),FALSE,IF(NOT(COUNTIF($AA$24:$AA$34,SUBSTITUTE(C922,""Sell_"",""""))),1,IF(REGEXMATCH(C922,""Sell_""),IF(COUNTIF(C$4:C922,SUBSTITUTE(C922,""Sell_"",""""))-COUNTIF(C$4:C921,C922)&lt;1,1),FALSE))))"),"")</f>
        <v/>
      </c>
      <c r="E922" s="59" t="str">
        <f t="array" ref="E922">IF(COUNTA(C922:C1350)=0,"",SUM((COUNTIF(C$4:C922,Upgrades!$B$3:$B$13)-COUNTIF(C$4:C922,"Sell_"&amp;Upgrades!$B$3:$B$13))*Upgrades!$D$3:$D$13))</f>
        <v/>
      </c>
      <c r="F922" s="66" t="str">
        <f>IFERROR(__xludf.DUMMYFUNCTION("IF(COUNTA(C922:C1350)=0,"""",IF(REGEXMATCH(INDEX(FILTER(C$4:C922,C$4:C922&lt;&gt;""""),ROWS(FILTER(C$4:C922,C$4:C922&lt;&gt;""""))),""^Sell_""),INDEX(FILTER(F$4:F921,C$4:C921&lt;&gt;""""),ROWS(FILTER(C$4:C921,C$4:C921&lt;&gt;""""))),$AC$5+E922))"),"")</f>
        <v/>
      </c>
      <c r="G922" s="10" t="str">
        <f>IFERROR(__xludf.DUMMYFUNCTION("IF(COUNTA(C922:C1350)=0,"""",IF(C922="""",0,IF(REGEXMATCH(C922,""^Sell_""),-ROUNDDOWN(ROUNDUP(INDEX(Upgrades!$C$3:$C$13,MATCH(SUBSTITUTE(C922,""Sell_"",""""),Upgrades!$B$3:$B$13,0))*1.15^(COUNTIF(C$4:C921,SUBSTITUTE(C922,""Sell_"",""""))-COUNTIF(C$4:C921,"&amp;"""Sell_""&amp;SUBSTITUTE(C922,""Sell_"",""""))))/2),ROUNDUP(INDEX(Upgrades!$C$3:$C$13,MATCH(C922,Upgrades!$B$3:$B$13,0))*1.15^(COUNTIF(C$4:C921,C922)-COUNTIF(C$4:C921,""Sell_""&amp;C922))))))"),"")</f>
        <v/>
      </c>
      <c r="H922" s="10" t="str">
        <f t="shared" si="3"/>
        <v/>
      </c>
      <c r="I922" s="68" t="str">
        <f t="shared" si="4"/>
        <v/>
      </c>
      <c r="J922" s="59" t="str">
        <f t="shared" si="5"/>
        <v/>
      </c>
      <c r="K922" s="69" t="str">
        <f t="shared" si="6"/>
        <v/>
      </c>
      <c r="L922" s="60" t="str">
        <f t="shared" si="7"/>
        <v/>
      </c>
      <c r="M922" s="61" t="str">
        <f>IFERROR(__xludf.DUMMYFUNCTION("IFS(AND(COUNTA(C922:C1350)=0,COUNTA(Q922:Q1350)=0),"""",OR(AND(K922&gt;=1000000000,OR(Y922&gt;=1000000000,COUNTA(Q922:Q1350)=0)),OR(Y922&gt;=1000000000,AND(COUNTA(C922:C1350)=0,P$3=TRUE))),
ROUNDDOWN((AB$1-AC$1)*MAX(INDEX(T$4:T1350,MATCH(LARGE(FILTER(Y$4:Y1350,Y$4"&amp;":Y1350&lt;1000000000),1),Y$4:Y1350)),INDEX(F$4:F1350,MATCH(LARGE(FILTER(K$4:K1350,K$4:K1350&lt;1000000000),1),K$4:K1350)))),AND(K922&lt;1000000000,COUNTA(C922:C1350)&gt;0,P$3=FALSE),
ROUNDDOWN(INDEX(Y$4:Y1350,MATCH(LARGE(FILTER(W$4:W1350,W$4:W1350&lt;=I922),1),W$4:W1350"&amp;"))+(I922-LARGE(FILTER(W$4:W1350,W$4:W1350&lt;=I922),1))*INDEX(T$4:T1350,MATCH(LARGE(FILTER(W$4:W1350,W$4:W1350&lt;=I922),1),W$4:W1350))-K922),1,
ROUNDDOWN(Y922-INDEX(K$4:K1350,MATCH(LARGE(FILTER(I$4:I1350,I$4:I1350&lt;=W922),1),I$4:I1350))-(W922-LARGE(FILTER(I$4:I"&amp;"1350,I$4:I1350&lt;=W922),1))*INDEX(F$4:F1350,MATCH(LARGE(FILTER(I$4:I1350,I$4:I1350&lt;=W922),1),I$4:I1350))))"),"")</f>
        <v/>
      </c>
      <c r="N922" s="60" t="str">
        <f t="shared" si="8"/>
        <v/>
      </c>
      <c r="O922" s="61" t="str">
        <f t="shared" si="9"/>
        <v/>
      </c>
      <c r="P922" s="56" t="str">
        <f t="shared" si="10"/>
        <v/>
      </c>
      <c r="Q922" s="62"/>
      <c r="R922" s="10" t="str">
        <f>IFERROR(__xludf.DUMMYFUNCTION("IF(COUNTA(Q922:Q1350)=0,"""",IF(ISBLANK(Q922),FALSE,IF(NOT(COUNTIF($AA$24:$AA$34,SUBSTITUTE(Q922,""Sell_"",""""))),1,IF(REGEXMATCH(Q922,""Sell_""),IF(COUNTIF(Q$4:Q922,SUBSTITUTE(Q922,""Sell_"",""""))-COUNTIF(Q$4:Q921,Q922)&lt;1,1),FALSE))))"),"")</f>
        <v/>
      </c>
      <c r="S922" s="59" t="str">
        <f t="array" ref="S922">IF(COUNTA(Q922:Q1350)=0,"",SUM((COUNTIF(Q$4:Q922,Upgrades!$B$3:$B$13)-COUNTIF(Q$4:Q922,"Sell_"&amp;Upgrades!$B$3:$B$13))*Upgrades!$D$3:$D$13))</f>
        <v/>
      </c>
      <c r="T922" s="66" t="str">
        <f>IFERROR(__xludf.DUMMYFUNCTION("IF(COUNTA(Q922:Q1350)=0,"""",IF(REGEXMATCH(INDEX(FILTER(Q$4:Q922,Q$4:Q922&lt;&gt;""""),ROWS(FILTER(Q$4:Q922,Q$4:Q922&lt;&gt;""""))),""^Sell_""),INDEX(FILTER(T$4:T921,Q$4:Q921&lt;&gt;""""),ROWS(FILTER(Q$4:Q921,Q$4:Q921&lt;&gt;""""))),$AD$5+S922))"),"")</f>
        <v/>
      </c>
      <c r="U922" s="10" t="str">
        <f>IFERROR(__xludf.DUMMYFUNCTION("IF(COUNTA(Q922:Q1350)=0,"""",IF(Q922="""",0,IF(REGEXMATCH(Q922,""^Sell_""),-ROUNDDOWN(ROUNDUP(INDEX(Upgrades!$C$3:$C$13,MATCH(SUBSTITUTE(Q922,""Sell_"",""""),Upgrades!$B$3:$B$13,0))*1.15^(COUNTIF(Q$4:Q921,SUBSTITUTE(Q922,""Sell_"",""""))-COUNTIF(Q$4:Q921,"&amp;"""Sell_""&amp;SUBSTITUTE(Q922,""Sell_"",""""))))/2),ROUNDUP(INDEX(Upgrades!$C$3:$C$13,MATCH(Q922,Upgrades!$B$3:$B$13,0))*1.15^(COUNTIF(Q$4:Q921,Q922)-COUNTIF(Q$4:Q921,""Sell_""&amp;Q922))))))"),"")</f>
        <v/>
      </c>
      <c r="V922" s="10" t="str">
        <f t="shared" si="11"/>
        <v/>
      </c>
      <c r="W922" s="68" t="str">
        <f t="shared" si="12"/>
        <v/>
      </c>
      <c r="X922" s="59" t="str">
        <f t="shared" si="13"/>
        <v/>
      </c>
      <c r="Y922" s="69" t="str">
        <f t="shared" si="14"/>
        <v/>
      </c>
      <c r="Z922" s="11"/>
    </row>
    <row r="923">
      <c r="A923" s="8"/>
      <c r="B923" s="56" t="str">
        <f t="shared" si="2"/>
        <v/>
      </c>
      <c r="C923" s="57"/>
      <c r="D923" s="10" t="str">
        <f>IFERROR(__xludf.DUMMYFUNCTION("IF(COUNTA(C923:C1350)=0,"""",IF(ISBLANK(C923),FALSE,IF(NOT(COUNTIF($AA$24:$AA$34,SUBSTITUTE(C923,""Sell_"",""""))),1,IF(REGEXMATCH(C923,""Sell_""),IF(COUNTIF(C$4:C923,SUBSTITUTE(C923,""Sell_"",""""))-COUNTIF(C$4:C922,C923)&lt;1,1),FALSE))))"),"")</f>
        <v/>
      </c>
      <c r="E923" s="59" t="str">
        <f t="array" ref="E923">IF(COUNTA(C923:C1350)=0,"",SUM((COUNTIF(C$4:C923,Upgrades!$B$3:$B$13)-COUNTIF(C$4:C923,"Sell_"&amp;Upgrades!$B$3:$B$13))*Upgrades!$D$3:$D$13))</f>
        <v/>
      </c>
      <c r="F923" s="66" t="str">
        <f>IFERROR(__xludf.DUMMYFUNCTION("IF(COUNTA(C923:C1350)=0,"""",IF(REGEXMATCH(INDEX(FILTER(C$4:C923,C$4:C923&lt;&gt;""""),ROWS(FILTER(C$4:C923,C$4:C923&lt;&gt;""""))),""^Sell_""),INDEX(FILTER(F$4:F922,C$4:C922&lt;&gt;""""),ROWS(FILTER(C$4:C922,C$4:C922&lt;&gt;""""))),$AC$5+E923))"),"")</f>
        <v/>
      </c>
      <c r="G923" s="10" t="str">
        <f>IFERROR(__xludf.DUMMYFUNCTION("IF(COUNTA(C923:C1350)=0,"""",IF(C923="""",0,IF(REGEXMATCH(C923,""^Sell_""),-ROUNDDOWN(ROUNDUP(INDEX(Upgrades!$C$3:$C$13,MATCH(SUBSTITUTE(C923,""Sell_"",""""),Upgrades!$B$3:$B$13,0))*1.15^(COUNTIF(C$4:C922,SUBSTITUTE(C923,""Sell_"",""""))-COUNTIF(C$4:C922,"&amp;"""Sell_""&amp;SUBSTITUTE(C923,""Sell_"",""""))))/2),ROUNDUP(INDEX(Upgrades!$C$3:$C$13,MATCH(C923,Upgrades!$B$3:$B$13,0))*1.15^(COUNTIF(C$4:C922,C923)-COUNTIF(C$4:C922,""Sell_""&amp;C923))))))"),"")</f>
        <v/>
      </c>
      <c r="H923" s="10" t="str">
        <f t="shared" si="3"/>
        <v/>
      </c>
      <c r="I923" s="68" t="str">
        <f t="shared" si="4"/>
        <v/>
      </c>
      <c r="J923" s="59" t="str">
        <f t="shared" si="5"/>
        <v/>
      </c>
      <c r="K923" s="69" t="str">
        <f t="shared" si="6"/>
        <v/>
      </c>
      <c r="L923" s="60" t="str">
        <f t="shared" si="7"/>
        <v/>
      </c>
      <c r="M923" s="61" t="str">
        <f>IFERROR(__xludf.DUMMYFUNCTION("IFS(AND(COUNTA(C923:C1350)=0,COUNTA(Q923:Q1350)=0),"""",OR(AND(K923&gt;=1000000000,OR(Y923&gt;=1000000000,COUNTA(Q923:Q1350)=0)),OR(Y923&gt;=1000000000,AND(COUNTA(C923:C1350)=0,P$3=TRUE))),
ROUNDDOWN((AB$1-AC$1)*MAX(INDEX(T$4:T1350,MATCH(LARGE(FILTER(Y$4:Y1350,Y$4"&amp;":Y1350&lt;1000000000),1),Y$4:Y1350)),INDEX(F$4:F1350,MATCH(LARGE(FILTER(K$4:K1350,K$4:K1350&lt;1000000000),1),K$4:K1350)))),AND(K923&lt;1000000000,COUNTA(C923:C1350)&gt;0,P$3=FALSE),
ROUNDDOWN(INDEX(Y$4:Y1350,MATCH(LARGE(FILTER(W$4:W1350,W$4:W1350&lt;=I923),1),W$4:W1350"&amp;"))+(I923-LARGE(FILTER(W$4:W1350,W$4:W1350&lt;=I923),1))*INDEX(T$4:T1350,MATCH(LARGE(FILTER(W$4:W1350,W$4:W1350&lt;=I923),1),W$4:W1350))-K923),1,
ROUNDDOWN(Y923-INDEX(K$4:K1350,MATCH(LARGE(FILTER(I$4:I1350,I$4:I1350&lt;=W923),1),I$4:I1350))-(W923-LARGE(FILTER(I$4:I"&amp;"1350,I$4:I1350&lt;=W923),1))*INDEX(F$4:F1350,MATCH(LARGE(FILTER(I$4:I1350,I$4:I1350&lt;=W923),1),I$4:I1350))))"),"")</f>
        <v/>
      </c>
      <c r="N923" s="60" t="str">
        <f t="shared" si="8"/>
        <v/>
      </c>
      <c r="O923" s="61" t="str">
        <f t="shared" si="9"/>
        <v/>
      </c>
      <c r="P923" s="56" t="str">
        <f t="shared" si="10"/>
        <v/>
      </c>
      <c r="Q923" s="62"/>
      <c r="R923" s="10" t="str">
        <f>IFERROR(__xludf.DUMMYFUNCTION("IF(COUNTA(Q923:Q1350)=0,"""",IF(ISBLANK(Q923),FALSE,IF(NOT(COUNTIF($AA$24:$AA$34,SUBSTITUTE(Q923,""Sell_"",""""))),1,IF(REGEXMATCH(Q923,""Sell_""),IF(COUNTIF(Q$4:Q923,SUBSTITUTE(Q923,""Sell_"",""""))-COUNTIF(Q$4:Q922,Q923)&lt;1,1),FALSE))))"),"")</f>
        <v/>
      </c>
      <c r="S923" s="59" t="str">
        <f t="array" ref="S923">IF(COUNTA(Q923:Q1350)=0,"",SUM((COUNTIF(Q$4:Q923,Upgrades!$B$3:$B$13)-COUNTIF(Q$4:Q923,"Sell_"&amp;Upgrades!$B$3:$B$13))*Upgrades!$D$3:$D$13))</f>
        <v/>
      </c>
      <c r="T923" s="66" t="str">
        <f>IFERROR(__xludf.DUMMYFUNCTION("IF(COUNTA(Q923:Q1350)=0,"""",IF(REGEXMATCH(INDEX(FILTER(Q$4:Q923,Q$4:Q923&lt;&gt;""""),ROWS(FILTER(Q$4:Q923,Q$4:Q923&lt;&gt;""""))),""^Sell_""),INDEX(FILTER(T$4:T922,Q$4:Q922&lt;&gt;""""),ROWS(FILTER(Q$4:Q922,Q$4:Q922&lt;&gt;""""))),$AD$5+S923))"),"")</f>
        <v/>
      </c>
      <c r="U923" s="10" t="str">
        <f>IFERROR(__xludf.DUMMYFUNCTION("IF(COUNTA(Q923:Q1350)=0,"""",IF(Q923="""",0,IF(REGEXMATCH(Q923,""^Sell_""),-ROUNDDOWN(ROUNDUP(INDEX(Upgrades!$C$3:$C$13,MATCH(SUBSTITUTE(Q923,""Sell_"",""""),Upgrades!$B$3:$B$13,0))*1.15^(COUNTIF(Q$4:Q922,SUBSTITUTE(Q923,""Sell_"",""""))-COUNTIF(Q$4:Q922,"&amp;"""Sell_""&amp;SUBSTITUTE(Q923,""Sell_"",""""))))/2),ROUNDUP(INDEX(Upgrades!$C$3:$C$13,MATCH(Q923,Upgrades!$B$3:$B$13,0))*1.15^(COUNTIF(Q$4:Q922,Q923)-COUNTIF(Q$4:Q922,""Sell_""&amp;Q923))))))"),"")</f>
        <v/>
      </c>
      <c r="V923" s="10" t="str">
        <f t="shared" si="11"/>
        <v/>
      </c>
      <c r="W923" s="68" t="str">
        <f t="shared" si="12"/>
        <v/>
      </c>
      <c r="X923" s="59" t="str">
        <f t="shared" si="13"/>
        <v/>
      </c>
      <c r="Y923" s="69" t="str">
        <f t="shared" si="14"/>
        <v/>
      </c>
      <c r="Z923" s="11"/>
    </row>
    <row r="924">
      <c r="A924" s="8"/>
      <c r="B924" s="56" t="str">
        <f t="shared" si="2"/>
        <v/>
      </c>
      <c r="C924" s="57"/>
      <c r="D924" s="10" t="str">
        <f>IFERROR(__xludf.DUMMYFUNCTION("IF(COUNTA(C924:C1350)=0,"""",IF(ISBLANK(C924),FALSE,IF(NOT(COUNTIF($AA$24:$AA$34,SUBSTITUTE(C924,""Sell_"",""""))),1,IF(REGEXMATCH(C924,""Sell_""),IF(COUNTIF(C$4:C924,SUBSTITUTE(C924,""Sell_"",""""))-COUNTIF(C$4:C923,C924)&lt;1,1),FALSE))))"),"")</f>
        <v/>
      </c>
      <c r="E924" s="59" t="str">
        <f t="array" ref="E924">IF(COUNTA(C924:C1350)=0,"",SUM((COUNTIF(C$4:C924,Upgrades!$B$3:$B$13)-COUNTIF(C$4:C924,"Sell_"&amp;Upgrades!$B$3:$B$13))*Upgrades!$D$3:$D$13))</f>
        <v/>
      </c>
      <c r="F924" s="66" t="str">
        <f>IFERROR(__xludf.DUMMYFUNCTION("IF(COUNTA(C924:C1350)=0,"""",IF(REGEXMATCH(INDEX(FILTER(C$4:C924,C$4:C924&lt;&gt;""""),ROWS(FILTER(C$4:C924,C$4:C924&lt;&gt;""""))),""^Sell_""),INDEX(FILTER(F$4:F923,C$4:C923&lt;&gt;""""),ROWS(FILTER(C$4:C923,C$4:C923&lt;&gt;""""))),$AC$5+E924))"),"")</f>
        <v/>
      </c>
      <c r="G924" s="10" t="str">
        <f>IFERROR(__xludf.DUMMYFUNCTION("IF(COUNTA(C924:C1350)=0,"""",IF(C924="""",0,IF(REGEXMATCH(C924,""^Sell_""),-ROUNDDOWN(ROUNDUP(INDEX(Upgrades!$C$3:$C$13,MATCH(SUBSTITUTE(C924,""Sell_"",""""),Upgrades!$B$3:$B$13,0))*1.15^(COUNTIF(C$4:C923,SUBSTITUTE(C924,""Sell_"",""""))-COUNTIF(C$4:C923,"&amp;"""Sell_""&amp;SUBSTITUTE(C924,""Sell_"",""""))))/2),ROUNDUP(INDEX(Upgrades!$C$3:$C$13,MATCH(C924,Upgrades!$B$3:$B$13,0))*1.15^(COUNTIF(C$4:C923,C924)-COUNTIF(C$4:C923,""Sell_""&amp;C924))))))"),"")</f>
        <v/>
      </c>
      <c r="H924" s="10" t="str">
        <f t="shared" si="3"/>
        <v/>
      </c>
      <c r="I924" s="68" t="str">
        <f t="shared" si="4"/>
        <v/>
      </c>
      <c r="J924" s="59" t="str">
        <f t="shared" si="5"/>
        <v/>
      </c>
      <c r="K924" s="69" t="str">
        <f t="shared" si="6"/>
        <v/>
      </c>
      <c r="L924" s="60" t="str">
        <f t="shared" si="7"/>
        <v/>
      </c>
      <c r="M924" s="61" t="str">
        <f>IFERROR(__xludf.DUMMYFUNCTION("IFS(AND(COUNTA(C924:C1350)=0,COUNTA(Q924:Q1350)=0),"""",OR(AND(K924&gt;=1000000000,OR(Y924&gt;=1000000000,COUNTA(Q924:Q1350)=0)),OR(Y924&gt;=1000000000,AND(COUNTA(C924:C1350)=0,P$3=TRUE))),
ROUNDDOWN((AB$1-AC$1)*MAX(INDEX(T$4:T1350,MATCH(LARGE(FILTER(Y$4:Y1350,Y$4"&amp;":Y1350&lt;1000000000),1),Y$4:Y1350)),INDEX(F$4:F1350,MATCH(LARGE(FILTER(K$4:K1350,K$4:K1350&lt;1000000000),1),K$4:K1350)))),AND(K924&lt;1000000000,COUNTA(C924:C1350)&gt;0,P$3=FALSE),
ROUNDDOWN(INDEX(Y$4:Y1350,MATCH(LARGE(FILTER(W$4:W1350,W$4:W1350&lt;=I924),1),W$4:W1350"&amp;"))+(I924-LARGE(FILTER(W$4:W1350,W$4:W1350&lt;=I924),1))*INDEX(T$4:T1350,MATCH(LARGE(FILTER(W$4:W1350,W$4:W1350&lt;=I924),1),W$4:W1350))-K924),1,
ROUNDDOWN(Y924-INDEX(K$4:K1350,MATCH(LARGE(FILTER(I$4:I1350,I$4:I1350&lt;=W924),1),I$4:I1350))-(W924-LARGE(FILTER(I$4:I"&amp;"1350,I$4:I1350&lt;=W924),1))*INDEX(F$4:F1350,MATCH(LARGE(FILTER(I$4:I1350,I$4:I1350&lt;=W924),1),I$4:I1350))))"),"")</f>
        <v/>
      </c>
      <c r="N924" s="60" t="str">
        <f t="shared" si="8"/>
        <v/>
      </c>
      <c r="O924" s="61" t="str">
        <f t="shared" si="9"/>
        <v/>
      </c>
      <c r="P924" s="56" t="str">
        <f t="shared" si="10"/>
        <v/>
      </c>
      <c r="Q924" s="62"/>
      <c r="R924" s="10" t="str">
        <f>IFERROR(__xludf.DUMMYFUNCTION("IF(COUNTA(Q924:Q1350)=0,"""",IF(ISBLANK(Q924),FALSE,IF(NOT(COUNTIF($AA$24:$AA$34,SUBSTITUTE(Q924,""Sell_"",""""))),1,IF(REGEXMATCH(Q924,""Sell_""),IF(COUNTIF(Q$4:Q924,SUBSTITUTE(Q924,""Sell_"",""""))-COUNTIF(Q$4:Q923,Q924)&lt;1,1),FALSE))))"),"")</f>
        <v/>
      </c>
      <c r="S924" s="59" t="str">
        <f t="array" ref="S924">IF(COUNTA(Q924:Q1350)=0,"",SUM((COUNTIF(Q$4:Q924,Upgrades!$B$3:$B$13)-COUNTIF(Q$4:Q924,"Sell_"&amp;Upgrades!$B$3:$B$13))*Upgrades!$D$3:$D$13))</f>
        <v/>
      </c>
      <c r="T924" s="66" t="str">
        <f>IFERROR(__xludf.DUMMYFUNCTION("IF(COUNTA(Q924:Q1350)=0,"""",IF(REGEXMATCH(INDEX(FILTER(Q$4:Q924,Q$4:Q924&lt;&gt;""""),ROWS(FILTER(Q$4:Q924,Q$4:Q924&lt;&gt;""""))),""^Sell_""),INDEX(FILTER(T$4:T923,Q$4:Q923&lt;&gt;""""),ROWS(FILTER(Q$4:Q923,Q$4:Q923&lt;&gt;""""))),$AD$5+S924))"),"")</f>
        <v/>
      </c>
      <c r="U924" s="10" t="str">
        <f>IFERROR(__xludf.DUMMYFUNCTION("IF(COUNTA(Q924:Q1350)=0,"""",IF(Q924="""",0,IF(REGEXMATCH(Q924,""^Sell_""),-ROUNDDOWN(ROUNDUP(INDEX(Upgrades!$C$3:$C$13,MATCH(SUBSTITUTE(Q924,""Sell_"",""""),Upgrades!$B$3:$B$13,0))*1.15^(COUNTIF(Q$4:Q923,SUBSTITUTE(Q924,""Sell_"",""""))-COUNTIF(Q$4:Q923,"&amp;"""Sell_""&amp;SUBSTITUTE(Q924,""Sell_"",""""))))/2),ROUNDUP(INDEX(Upgrades!$C$3:$C$13,MATCH(Q924,Upgrades!$B$3:$B$13,0))*1.15^(COUNTIF(Q$4:Q923,Q924)-COUNTIF(Q$4:Q923,""Sell_""&amp;Q924))))))"),"")</f>
        <v/>
      </c>
      <c r="V924" s="10" t="str">
        <f t="shared" si="11"/>
        <v/>
      </c>
      <c r="W924" s="68" t="str">
        <f t="shared" si="12"/>
        <v/>
      </c>
      <c r="X924" s="59" t="str">
        <f t="shared" si="13"/>
        <v/>
      </c>
      <c r="Y924" s="69" t="str">
        <f t="shared" si="14"/>
        <v/>
      </c>
      <c r="Z924" s="11"/>
    </row>
    <row r="925">
      <c r="A925" s="8"/>
      <c r="B925" s="56" t="str">
        <f t="shared" si="2"/>
        <v/>
      </c>
      <c r="C925" s="57"/>
      <c r="D925" s="10" t="str">
        <f>IFERROR(__xludf.DUMMYFUNCTION("IF(COUNTA(C925:C1350)=0,"""",IF(ISBLANK(C925),FALSE,IF(NOT(COUNTIF($AA$24:$AA$34,SUBSTITUTE(C925,""Sell_"",""""))),1,IF(REGEXMATCH(C925,""Sell_""),IF(COUNTIF(C$4:C925,SUBSTITUTE(C925,""Sell_"",""""))-COUNTIF(C$4:C924,C925)&lt;1,1),FALSE))))"),"")</f>
        <v/>
      </c>
      <c r="E925" s="59" t="str">
        <f t="array" ref="E925">IF(COUNTA(C925:C1350)=0,"",SUM((COUNTIF(C$4:C925,Upgrades!$B$3:$B$13)-COUNTIF(C$4:C925,"Sell_"&amp;Upgrades!$B$3:$B$13))*Upgrades!$D$3:$D$13))</f>
        <v/>
      </c>
      <c r="F925" s="66" t="str">
        <f>IFERROR(__xludf.DUMMYFUNCTION("IF(COUNTA(C925:C1350)=0,"""",IF(REGEXMATCH(INDEX(FILTER(C$4:C925,C$4:C925&lt;&gt;""""),ROWS(FILTER(C$4:C925,C$4:C925&lt;&gt;""""))),""^Sell_""),INDEX(FILTER(F$4:F924,C$4:C924&lt;&gt;""""),ROWS(FILTER(C$4:C924,C$4:C924&lt;&gt;""""))),$AC$5+E925))"),"")</f>
        <v/>
      </c>
      <c r="G925" s="10" t="str">
        <f>IFERROR(__xludf.DUMMYFUNCTION("IF(COUNTA(C925:C1350)=0,"""",IF(C925="""",0,IF(REGEXMATCH(C925,""^Sell_""),-ROUNDDOWN(ROUNDUP(INDEX(Upgrades!$C$3:$C$13,MATCH(SUBSTITUTE(C925,""Sell_"",""""),Upgrades!$B$3:$B$13,0))*1.15^(COUNTIF(C$4:C924,SUBSTITUTE(C925,""Sell_"",""""))-COUNTIF(C$4:C924,"&amp;"""Sell_""&amp;SUBSTITUTE(C925,""Sell_"",""""))))/2),ROUNDUP(INDEX(Upgrades!$C$3:$C$13,MATCH(C925,Upgrades!$B$3:$B$13,0))*1.15^(COUNTIF(C$4:C924,C925)-COUNTIF(C$4:C924,""Sell_""&amp;C925))))))"),"")</f>
        <v/>
      </c>
      <c r="H925" s="10" t="str">
        <f t="shared" si="3"/>
        <v/>
      </c>
      <c r="I925" s="68" t="str">
        <f t="shared" si="4"/>
        <v/>
      </c>
      <c r="J925" s="59" t="str">
        <f t="shared" si="5"/>
        <v/>
      </c>
      <c r="K925" s="69" t="str">
        <f t="shared" si="6"/>
        <v/>
      </c>
      <c r="L925" s="60" t="str">
        <f t="shared" si="7"/>
        <v/>
      </c>
      <c r="M925" s="61" t="str">
        <f>IFERROR(__xludf.DUMMYFUNCTION("IFS(AND(COUNTA(C925:C1350)=0,COUNTA(Q925:Q1350)=0),"""",OR(AND(K925&gt;=1000000000,OR(Y925&gt;=1000000000,COUNTA(Q925:Q1350)=0)),OR(Y925&gt;=1000000000,AND(COUNTA(C925:C1350)=0,P$3=TRUE))),
ROUNDDOWN((AB$1-AC$1)*MAX(INDEX(T$4:T1350,MATCH(LARGE(FILTER(Y$4:Y1350,Y$4"&amp;":Y1350&lt;1000000000),1),Y$4:Y1350)),INDEX(F$4:F1350,MATCH(LARGE(FILTER(K$4:K1350,K$4:K1350&lt;1000000000),1),K$4:K1350)))),AND(K925&lt;1000000000,COUNTA(C925:C1350)&gt;0,P$3=FALSE),
ROUNDDOWN(INDEX(Y$4:Y1350,MATCH(LARGE(FILTER(W$4:W1350,W$4:W1350&lt;=I925),1),W$4:W1350"&amp;"))+(I925-LARGE(FILTER(W$4:W1350,W$4:W1350&lt;=I925),1))*INDEX(T$4:T1350,MATCH(LARGE(FILTER(W$4:W1350,W$4:W1350&lt;=I925),1),W$4:W1350))-K925),1,
ROUNDDOWN(Y925-INDEX(K$4:K1350,MATCH(LARGE(FILTER(I$4:I1350,I$4:I1350&lt;=W925),1),I$4:I1350))-(W925-LARGE(FILTER(I$4:I"&amp;"1350,I$4:I1350&lt;=W925),1))*INDEX(F$4:F1350,MATCH(LARGE(FILTER(I$4:I1350,I$4:I1350&lt;=W925),1),I$4:I1350))))"),"")</f>
        <v/>
      </c>
      <c r="N925" s="60" t="str">
        <f t="shared" si="8"/>
        <v/>
      </c>
      <c r="O925" s="61" t="str">
        <f t="shared" si="9"/>
        <v/>
      </c>
      <c r="P925" s="56" t="str">
        <f t="shared" si="10"/>
        <v/>
      </c>
      <c r="Q925" s="62"/>
      <c r="R925" s="10" t="str">
        <f>IFERROR(__xludf.DUMMYFUNCTION("IF(COUNTA(Q925:Q1350)=0,"""",IF(ISBLANK(Q925),FALSE,IF(NOT(COUNTIF($AA$24:$AA$34,SUBSTITUTE(Q925,""Sell_"",""""))),1,IF(REGEXMATCH(Q925,""Sell_""),IF(COUNTIF(Q$4:Q925,SUBSTITUTE(Q925,""Sell_"",""""))-COUNTIF(Q$4:Q924,Q925)&lt;1,1),FALSE))))"),"")</f>
        <v/>
      </c>
      <c r="S925" s="59" t="str">
        <f t="array" ref="S925">IF(COUNTA(Q925:Q1350)=0,"",SUM((COUNTIF(Q$4:Q925,Upgrades!$B$3:$B$13)-COUNTIF(Q$4:Q925,"Sell_"&amp;Upgrades!$B$3:$B$13))*Upgrades!$D$3:$D$13))</f>
        <v/>
      </c>
      <c r="T925" s="66" t="str">
        <f>IFERROR(__xludf.DUMMYFUNCTION("IF(COUNTA(Q925:Q1350)=0,"""",IF(REGEXMATCH(INDEX(FILTER(Q$4:Q925,Q$4:Q925&lt;&gt;""""),ROWS(FILTER(Q$4:Q925,Q$4:Q925&lt;&gt;""""))),""^Sell_""),INDEX(FILTER(T$4:T924,Q$4:Q924&lt;&gt;""""),ROWS(FILTER(Q$4:Q924,Q$4:Q924&lt;&gt;""""))),$AD$5+S925))"),"")</f>
        <v/>
      </c>
      <c r="U925" s="10" t="str">
        <f>IFERROR(__xludf.DUMMYFUNCTION("IF(COUNTA(Q925:Q1350)=0,"""",IF(Q925="""",0,IF(REGEXMATCH(Q925,""^Sell_""),-ROUNDDOWN(ROUNDUP(INDEX(Upgrades!$C$3:$C$13,MATCH(SUBSTITUTE(Q925,""Sell_"",""""),Upgrades!$B$3:$B$13,0))*1.15^(COUNTIF(Q$4:Q924,SUBSTITUTE(Q925,""Sell_"",""""))-COUNTIF(Q$4:Q924,"&amp;"""Sell_""&amp;SUBSTITUTE(Q925,""Sell_"",""""))))/2),ROUNDUP(INDEX(Upgrades!$C$3:$C$13,MATCH(Q925,Upgrades!$B$3:$B$13,0))*1.15^(COUNTIF(Q$4:Q924,Q925)-COUNTIF(Q$4:Q924,""Sell_""&amp;Q925))))))"),"")</f>
        <v/>
      </c>
      <c r="V925" s="10" t="str">
        <f t="shared" si="11"/>
        <v/>
      </c>
      <c r="W925" s="68" t="str">
        <f t="shared" si="12"/>
        <v/>
      </c>
      <c r="X925" s="59" t="str">
        <f t="shared" si="13"/>
        <v/>
      </c>
      <c r="Y925" s="69" t="str">
        <f t="shared" si="14"/>
        <v/>
      </c>
      <c r="Z925" s="11"/>
    </row>
    <row r="926">
      <c r="A926" s="8"/>
      <c r="B926" s="56" t="str">
        <f t="shared" si="2"/>
        <v/>
      </c>
      <c r="C926" s="57"/>
      <c r="D926" s="10" t="str">
        <f>IFERROR(__xludf.DUMMYFUNCTION("IF(COUNTA(C926:C1350)=0,"""",IF(ISBLANK(C926),FALSE,IF(NOT(COUNTIF($AA$24:$AA$34,SUBSTITUTE(C926,""Sell_"",""""))),1,IF(REGEXMATCH(C926,""Sell_""),IF(COUNTIF(C$4:C926,SUBSTITUTE(C926,""Sell_"",""""))-COUNTIF(C$4:C925,C926)&lt;1,1),FALSE))))"),"")</f>
        <v/>
      </c>
      <c r="E926" s="59" t="str">
        <f t="array" ref="E926">IF(COUNTA(C926:C1350)=0,"",SUM((COUNTIF(C$4:C926,Upgrades!$B$3:$B$13)-COUNTIF(C$4:C926,"Sell_"&amp;Upgrades!$B$3:$B$13))*Upgrades!$D$3:$D$13))</f>
        <v/>
      </c>
      <c r="F926" s="66" t="str">
        <f>IFERROR(__xludf.DUMMYFUNCTION("IF(COUNTA(C926:C1350)=0,"""",IF(REGEXMATCH(INDEX(FILTER(C$4:C926,C$4:C926&lt;&gt;""""),ROWS(FILTER(C$4:C926,C$4:C926&lt;&gt;""""))),""^Sell_""),INDEX(FILTER(F$4:F925,C$4:C925&lt;&gt;""""),ROWS(FILTER(C$4:C925,C$4:C925&lt;&gt;""""))),$AC$5+E926))"),"")</f>
        <v/>
      </c>
      <c r="G926" s="10" t="str">
        <f>IFERROR(__xludf.DUMMYFUNCTION("IF(COUNTA(C926:C1350)=0,"""",IF(C926="""",0,IF(REGEXMATCH(C926,""^Sell_""),-ROUNDDOWN(ROUNDUP(INDEX(Upgrades!$C$3:$C$13,MATCH(SUBSTITUTE(C926,""Sell_"",""""),Upgrades!$B$3:$B$13,0))*1.15^(COUNTIF(C$4:C925,SUBSTITUTE(C926,""Sell_"",""""))-COUNTIF(C$4:C925,"&amp;"""Sell_""&amp;SUBSTITUTE(C926,""Sell_"",""""))))/2),ROUNDUP(INDEX(Upgrades!$C$3:$C$13,MATCH(C926,Upgrades!$B$3:$B$13,0))*1.15^(COUNTIF(C$4:C925,C926)-COUNTIF(C$4:C925,""Sell_""&amp;C926))))))"),"")</f>
        <v/>
      </c>
      <c r="H926" s="10" t="str">
        <f t="shared" si="3"/>
        <v/>
      </c>
      <c r="I926" s="68" t="str">
        <f t="shared" si="4"/>
        <v/>
      </c>
      <c r="J926" s="59" t="str">
        <f t="shared" si="5"/>
        <v/>
      </c>
      <c r="K926" s="69" t="str">
        <f t="shared" si="6"/>
        <v/>
      </c>
      <c r="L926" s="60" t="str">
        <f t="shared" si="7"/>
        <v/>
      </c>
      <c r="M926" s="61" t="str">
        <f>IFERROR(__xludf.DUMMYFUNCTION("IFS(AND(COUNTA(C926:C1350)=0,COUNTA(Q926:Q1350)=0),"""",OR(AND(K926&gt;=1000000000,OR(Y926&gt;=1000000000,COUNTA(Q926:Q1350)=0)),OR(Y926&gt;=1000000000,AND(COUNTA(C926:C1350)=0,P$3=TRUE))),
ROUNDDOWN((AB$1-AC$1)*MAX(INDEX(T$4:T1350,MATCH(LARGE(FILTER(Y$4:Y1350,Y$4"&amp;":Y1350&lt;1000000000),1),Y$4:Y1350)),INDEX(F$4:F1350,MATCH(LARGE(FILTER(K$4:K1350,K$4:K1350&lt;1000000000),1),K$4:K1350)))),AND(K926&lt;1000000000,COUNTA(C926:C1350)&gt;0,P$3=FALSE),
ROUNDDOWN(INDEX(Y$4:Y1350,MATCH(LARGE(FILTER(W$4:W1350,W$4:W1350&lt;=I926),1),W$4:W1350"&amp;"))+(I926-LARGE(FILTER(W$4:W1350,W$4:W1350&lt;=I926),1))*INDEX(T$4:T1350,MATCH(LARGE(FILTER(W$4:W1350,W$4:W1350&lt;=I926),1),W$4:W1350))-K926),1,
ROUNDDOWN(Y926-INDEX(K$4:K1350,MATCH(LARGE(FILTER(I$4:I1350,I$4:I1350&lt;=W926),1),I$4:I1350))-(W926-LARGE(FILTER(I$4:I"&amp;"1350,I$4:I1350&lt;=W926),1))*INDEX(F$4:F1350,MATCH(LARGE(FILTER(I$4:I1350,I$4:I1350&lt;=W926),1),I$4:I1350))))"),"")</f>
        <v/>
      </c>
      <c r="N926" s="60" t="str">
        <f t="shared" si="8"/>
        <v/>
      </c>
      <c r="O926" s="61" t="str">
        <f t="shared" si="9"/>
        <v/>
      </c>
      <c r="P926" s="56" t="str">
        <f t="shared" si="10"/>
        <v/>
      </c>
      <c r="Q926" s="62"/>
      <c r="R926" s="10" t="str">
        <f>IFERROR(__xludf.DUMMYFUNCTION("IF(COUNTA(Q926:Q1350)=0,"""",IF(ISBLANK(Q926),FALSE,IF(NOT(COUNTIF($AA$24:$AA$34,SUBSTITUTE(Q926,""Sell_"",""""))),1,IF(REGEXMATCH(Q926,""Sell_""),IF(COUNTIF(Q$4:Q926,SUBSTITUTE(Q926,""Sell_"",""""))-COUNTIF(Q$4:Q925,Q926)&lt;1,1),FALSE))))"),"")</f>
        <v/>
      </c>
      <c r="S926" s="59" t="str">
        <f t="array" ref="S926">IF(COUNTA(Q926:Q1350)=0,"",SUM((COUNTIF(Q$4:Q926,Upgrades!$B$3:$B$13)-COUNTIF(Q$4:Q926,"Sell_"&amp;Upgrades!$B$3:$B$13))*Upgrades!$D$3:$D$13))</f>
        <v/>
      </c>
      <c r="T926" s="66" t="str">
        <f>IFERROR(__xludf.DUMMYFUNCTION("IF(COUNTA(Q926:Q1350)=0,"""",IF(REGEXMATCH(INDEX(FILTER(Q$4:Q926,Q$4:Q926&lt;&gt;""""),ROWS(FILTER(Q$4:Q926,Q$4:Q926&lt;&gt;""""))),""^Sell_""),INDEX(FILTER(T$4:T925,Q$4:Q925&lt;&gt;""""),ROWS(FILTER(Q$4:Q925,Q$4:Q925&lt;&gt;""""))),$AD$5+S926))"),"")</f>
        <v/>
      </c>
      <c r="U926" s="10" t="str">
        <f>IFERROR(__xludf.DUMMYFUNCTION("IF(COUNTA(Q926:Q1350)=0,"""",IF(Q926="""",0,IF(REGEXMATCH(Q926,""^Sell_""),-ROUNDDOWN(ROUNDUP(INDEX(Upgrades!$C$3:$C$13,MATCH(SUBSTITUTE(Q926,""Sell_"",""""),Upgrades!$B$3:$B$13,0))*1.15^(COUNTIF(Q$4:Q925,SUBSTITUTE(Q926,""Sell_"",""""))-COUNTIF(Q$4:Q925,"&amp;"""Sell_""&amp;SUBSTITUTE(Q926,""Sell_"",""""))))/2),ROUNDUP(INDEX(Upgrades!$C$3:$C$13,MATCH(Q926,Upgrades!$B$3:$B$13,0))*1.15^(COUNTIF(Q$4:Q925,Q926)-COUNTIF(Q$4:Q925,""Sell_""&amp;Q926))))))"),"")</f>
        <v/>
      </c>
      <c r="V926" s="10" t="str">
        <f t="shared" si="11"/>
        <v/>
      </c>
      <c r="W926" s="68" t="str">
        <f t="shared" si="12"/>
        <v/>
      </c>
      <c r="X926" s="59" t="str">
        <f t="shared" si="13"/>
        <v/>
      </c>
      <c r="Y926" s="69" t="str">
        <f t="shared" si="14"/>
        <v/>
      </c>
      <c r="Z926" s="11"/>
    </row>
    <row r="927">
      <c r="A927" s="8"/>
      <c r="B927" s="56" t="str">
        <f t="shared" si="2"/>
        <v/>
      </c>
      <c r="C927" s="57"/>
      <c r="D927" s="10" t="str">
        <f>IFERROR(__xludf.DUMMYFUNCTION("IF(COUNTA(C927:C1350)=0,"""",IF(ISBLANK(C927),FALSE,IF(NOT(COUNTIF($AA$24:$AA$34,SUBSTITUTE(C927,""Sell_"",""""))),1,IF(REGEXMATCH(C927,""Sell_""),IF(COUNTIF(C$4:C927,SUBSTITUTE(C927,""Sell_"",""""))-COUNTIF(C$4:C926,C927)&lt;1,1),FALSE))))"),"")</f>
        <v/>
      </c>
      <c r="E927" s="59" t="str">
        <f t="array" ref="E927">IF(COUNTA(C927:C1350)=0,"",SUM((COUNTIF(C$4:C927,Upgrades!$B$3:$B$13)-COUNTIF(C$4:C927,"Sell_"&amp;Upgrades!$B$3:$B$13))*Upgrades!$D$3:$D$13))</f>
        <v/>
      </c>
      <c r="F927" s="66" t="str">
        <f>IFERROR(__xludf.DUMMYFUNCTION("IF(COUNTA(C927:C1350)=0,"""",IF(REGEXMATCH(INDEX(FILTER(C$4:C927,C$4:C927&lt;&gt;""""),ROWS(FILTER(C$4:C927,C$4:C927&lt;&gt;""""))),""^Sell_""),INDEX(FILTER(F$4:F926,C$4:C926&lt;&gt;""""),ROWS(FILTER(C$4:C926,C$4:C926&lt;&gt;""""))),$AC$5+E927))"),"")</f>
        <v/>
      </c>
      <c r="G927" s="10" t="str">
        <f>IFERROR(__xludf.DUMMYFUNCTION("IF(COUNTA(C927:C1350)=0,"""",IF(C927="""",0,IF(REGEXMATCH(C927,""^Sell_""),-ROUNDDOWN(ROUNDUP(INDEX(Upgrades!$C$3:$C$13,MATCH(SUBSTITUTE(C927,""Sell_"",""""),Upgrades!$B$3:$B$13,0))*1.15^(COUNTIF(C$4:C926,SUBSTITUTE(C927,""Sell_"",""""))-COUNTIF(C$4:C926,"&amp;"""Sell_""&amp;SUBSTITUTE(C927,""Sell_"",""""))))/2),ROUNDUP(INDEX(Upgrades!$C$3:$C$13,MATCH(C927,Upgrades!$B$3:$B$13,0))*1.15^(COUNTIF(C$4:C926,C927)-COUNTIF(C$4:C926,""Sell_""&amp;C927))))))"),"")</f>
        <v/>
      </c>
      <c r="H927" s="10" t="str">
        <f t="shared" si="3"/>
        <v/>
      </c>
      <c r="I927" s="68" t="str">
        <f t="shared" si="4"/>
        <v/>
      </c>
      <c r="J927" s="59" t="str">
        <f t="shared" si="5"/>
        <v/>
      </c>
      <c r="K927" s="69" t="str">
        <f t="shared" si="6"/>
        <v/>
      </c>
      <c r="L927" s="60" t="str">
        <f t="shared" si="7"/>
        <v/>
      </c>
      <c r="M927" s="61" t="str">
        <f>IFERROR(__xludf.DUMMYFUNCTION("IFS(AND(COUNTA(C927:C1350)=0,COUNTA(Q927:Q1350)=0),"""",OR(AND(K927&gt;=1000000000,OR(Y927&gt;=1000000000,COUNTA(Q927:Q1350)=0)),OR(Y927&gt;=1000000000,AND(COUNTA(C927:C1350)=0,P$3=TRUE))),
ROUNDDOWN((AB$1-AC$1)*MAX(INDEX(T$4:T1350,MATCH(LARGE(FILTER(Y$4:Y1350,Y$4"&amp;":Y1350&lt;1000000000),1),Y$4:Y1350)),INDEX(F$4:F1350,MATCH(LARGE(FILTER(K$4:K1350,K$4:K1350&lt;1000000000),1),K$4:K1350)))),AND(K927&lt;1000000000,COUNTA(C927:C1350)&gt;0,P$3=FALSE),
ROUNDDOWN(INDEX(Y$4:Y1350,MATCH(LARGE(FILTER(W$4:W1350,W$4:W1350&lt;=I927),1),W$4:W1350"&amp;"))+(I927-LARGE(FILTER(W$4:W1350,W$4:W1350&lt;=I927),1))*INDEX(T$4:T1350,MATCH(LARGE(FILTER(W$4:W1350,W$4:W1350&lt;=I927),1),W$4:W1350))-K927),1,
ROUNDDOWN(Y927-INDEX(K$4:K1350,MATCH(LARGE(FILTER(I$4:I1350,I$4:I1350&lt;=W927),1),I$4:I1350))-(W927-LARGE(FILTER(I$4:I"&amp;"1350,I$4:I1350&lt;=W927),1))*INDEX(F$4:F1350,MATCH(LARGE(FILTER(I$4:I1350,I$4:I1350&lt;=W927),1),I$4:I1350))))"),"")</f>
        <v/>
      </c>
      <c r="N927" s="60" t="str">
        <f t="shared" si="8"/>
        <v/>
      </c>
      <c r="O927" s="61" t="str">
        <f t="shared" si="9"/>
        <v/>
      </c>
      <c r="P927" s="56" t="str">
        <f t="shared" si="10"/>
        <v/>
      </c>
      <c r="Q927" s="62"/>
      <c r="R927" s="10" t="str">
        <f>IFERROR(__xludf.DUMMYFUNCTION("IF(COUNTA(Q927:Q1350)=0,"""",IF(ISBLANK(Q927),FALSE,IF(NOT(COUNTIF($AA$24:$AA$34,SUBSTITUTE(Q927,""Sell_"",""""))),1,IF(REGEXMATCH(Q927,""Sell_""),IF(COUNTIF(Q$4:Q927,SUBSTITUTE(Q927,""Sell_"",""""))-COUNTIF(Q$4:Q926,Q927)&lt;1,1),FALSE))))"),"")</f>
        <v/>
      </c>
      <c r="S927" s="59" t="str">
        <f t="array" ref="S927">IF(COUNTA(Q927:Q1350)=0,"",SUM((COUNTIF(Q$4:Q927,Upgrades!$B$3:$B$13)-COUNTIF(Q$4:Q927,"Sell_"&amp;Upgrades!$B$3:$B$13))*Upgrades!$D$3:$D$13))</f>
        <v/>
      </c>
      <c r="T927" s="66" t="str">
        <f>IFERROR(__xludf.DUMMYFUNCTION("IF(COUNTA(Q927:Q1350)=0,"""",IF(REGEXMATCH(INDEX(FILTER(Q$4:Q927,Q$4:Q927&lt;&gt;""""),ROWS(FILTER(Q$4:Q927,Q$4:Q927&lt;&gt;""""))),""^Sell_""),INDEX(FILTER(T$4:T926,Q$4:Q926&lt;&gt;""""),ROWS(FILTER(Q$4:Q926,Q$4:Q926&lt;&gt;""""))),$AD$5+S927))"),"")</f>
        <v/>
      </c>
      <c r="U927" s="10" t="str">
        <f>IFERROR(__xludf.DUMMYFUNCTION("IF(COUNTA(Q927:Q1350)=0,"""",IF(Q927="""",0,IF(REGEXMATCH(Q927,""^Sell_""),-ROUNDDOWN(ROUNDUP(INDEX(Upgrades!$C$3:$C$13,MATCH(SUBSTITUTE(Q927,""Sell_"",""""),Upgrades!$B$3:$B$13,0))*1.15^(COUNTIF(Q$4:Q926,SUBSTITUTE(Q927,""Sell_"",""""))-COUNTIF(Q$4:Q926,"&amp;"""Sell_""&amp;SUBSTITUTE(Q927,""Sell_"",""""))))/2),ROUNDUP(INDEX(Upgrades!$C$3:$C$13,MATCH(Q927,Upgrades!$B$3:$B$13,0))*1.15^(COUNTIF(Q$4:Q926,Q927)-COUNTIF(Q$4:Q926,""Sell_""&amp;Q927))))))"),"")</f>
        <v/>
      </c>
      <c r="V927" s="10" t="str">
        <f t="shared" si="11"/>
        <v/>
      </c>
      <c r="W927" s="68" t="str">
        <f t="shared" si="12"/>
        <v/>
      </c>
      <c r="X927" s="59" t="str">
        <f t="shared" si="13"/>
        <v/>
      </c>
      <c r="Y927" s="69" t="str">
        <f t="shared" si="14"/>
        <v/>
      </c>
      <c r="Z927" s="11"/>
    </row>
    <row r="928">
      <c r="A928" s="8"/>
      <c r="B928" s="56" t="str">
        <f t="shared" si="2"/>
        <v/>
      </c>
      <c r="C928" s="57"/>
      <c r="D928" s="10" t="str">
        <f>IFERROR(__xludf.DUMMYFUNCTION("IF(COUNTA(C928:C1350)=0,"""",IF(ISBLANK(C928),FALSE,IF(NOT(COUNTIF($AA$24:$AA$34,SUBSTITUTE(C928,""Sell_"",""""))),1,IF(REGEXMATCH(C928,""Sell_""),IF(COUNTIF(C$4:C928,SUBSTITUTE(C928,""Sell_"",""""))-COUNTIF(C$4:C927,C928)&lt;1,1),FALSE))))"),"")</f>
        <v/>
      </c>
      <c r="E928" s="59" t="str">
        <f t="array" ref="E928">IF(COUNTA(C928:C1350)=0,"",SUM((COUNTIF(C$4:C928,Upgrades!$B$3:$B$13)-COUNTIF(C$4:C928,"Sell_"&amp;Upgrades!$B$3:$B$13))*Upgrades!$D$3:$D$13))</f>
        <v/>
      </c>
      <c r="F928" s="66" t="str">
        <f>IFERROR(__xludf.DUMMYFUNCTION("IF(COUNTA(C928:C1350)=0,"""",IF(REGEXMATCH(INDEX(FILTER(C$4:C928,C$4:C928&lt;&gt;""""),ROWS(FILTER(C$4:C928,C$4:C928&lt;&gt;""""))),""^Sell_""),INDEX(FILTER(F$4:F927,C$4:C927&lt;&gt;""""),ROWS(FILTER(C$4:C927,C$4:C927&lt;&gt;""""))),$AC$5+E928))"),"")</f>
        <v/>
      </c>
      <c r="G928" s="10" t="str">
        <f>IFERROR(__xludf.DUMMYFUNCTION("IF(COUNTA(C928:C1350)=0,"""",IF(C928="""",0,IF(REGEXMATCH(C928,""^Sell_""),-ROUNDDOWN(ROUNDUP(INDEX(Upgrades!$C$3:$C$13,MATCH(SUBSTITUTE(C928,""Sell_"",""""),Upgrades!$B$3:$B$13,0))*1.15^(COUNTIF(C$4:C927,SUBSTITUTE(C928,""Sell_"",""""))-COUNTIF(C$4:C927,"&amp;"""Sell_""&amp;SUBSTITUTE(C928,""Sell_"",""""))))/2),ROUNDUP(INDEX(Upgrades!$C$3:$C$13,MATCH(C928,Upgrades!$B$3:$B$13,0))*1.15^(COUNTIF(C$4:C927,C928)-COUNTIF(C$4:C927,""Sell_""&amp;C928))))))"),"")</f>
        <v/>
      </c>
      <c r="H928" s="10" t="str">
        <f t="shared" si="3"/>
        <v/>
      </c>
      <c r="I928" s="68" t="str">
        <f t="shared" si="4"/>
        <v/>
      </c>
      <c r="J928" s="59" t="str">
        <f t="shared" si="5"/>
        <v/>
      </c>
      <c r="K928" s="69" t="str">
        <f t="shared" si="6"/>
        <v/>
      </c>
      <c r="L928" s="60" t="str">
        <f t="shared" si="7"/>
        <v/>
      </c>
      <c r="M928" s="61" t="str">
        <f>IFERROR(__xludf.DUMMYFUNCTION("IFS(AND(COUNTA(C928:C1350)=0,COUNTA(Q928:Q1350)=0),"""",OR(AND(K928&gt;=1000000000,OR(Y928&gt;=1000000000,COUNTA(Q928:Q1350)=0)),OR(Y928&gt;=1000000000,AND(COUNTA(C928:C1350)=0,P$3=TRUE))),
ROUNDDOWN((AB$1-AC$1)*MAX(INDEX(T$4:T1350,MATCH(LARGE(FILTER(Y$4:Y1350,Y$4"&amp;":Y1350&lt;1000000000),1),Y$4:Y1350)),INDEX(F$4:F1350,MATCH(LARGE(FILTER(K$4:K1350,K$4:K1350&lt;1000000000),1),K$4:K1350)))),AND(K928&lt;1000000000,COUNTA(C928:C1350)&gt;0,P$3=FALSE),
ROUNDDOWN(INDEX(Y$4:Y1350,MATCH(LARGE(FILTER(W$4:W1350,W$4:W1350&lt;=I928),1),W$4:W1350"&amp;"))+(I928-LARGE(FILTER(W$4:W1350,W$4:W1350&lt;=I928),1))*INDEX(T$4:T1350,MATCH(LARGE(FILTER(W$4:W1350,W$4:W1350&lt;=I928),1),W$4:W1350))-K928),1,
ROUNDDOWN(Y928-INDEX(K$4:K1350,MATCH(LARGE(FILTER(I$4:I1350,I$4:I1350&lt;=W928),1),I$4:I1350))-(W928-LARGE(FILTER(I$4:I"&amp;"1350,I$4:I1350&lt;=W928),1))*INDEX(F$4:F1350,MATCH(LARGE(FILTER(I$4:I1350,I$4:I1350&lt;=W928),1),I$4:I1350))))"),"")</f>
        <v/>
      </c>
      <c r="N928" s="60" t="str">
        <f t="shared" si="8"/>
        <v/>
      </c>
      <c r="O928" s="61" t="str">
        <f t="shared" si="9"/>
        <v/>
      </c>
      <c r="P928" s="56" t="str">
        <f t="shared" si="10"/>
        <v/>
      </c>
      <c r="Q928" s="62"/>
      <c r="R928" s="10" t="str">
        <f>IFERROR(__xludf.DUMMYFUNCTION("IF(COUNTA(Q928:Q1350)=0,"""",IF(ISBLANK(Q928),FALSE,IF(NOT(COUNTIF($AA$24:$AA$34,SUBSTITUTE(Q928,""Sell_"",""""))),1,IF(REGEXMATCH(Q928,""Sell_""),IF(COUNTIF(Q$4:Q928,SUBSTITUTE(Q928,""Sell_"",""""))-COUNTIF(Q$4:Q927,Q928)&lt;1,1),FALSE))))"),"")</f>
        <v/>
      </c>
      <c r="S928" s="59" t="str">
        <f t="array" ref="S928">IF(COUNTA(Q928:Q1350)=0,"",SUM((COUNTIF(Q$4:Q928,Upgrades!$B$3:$B$13)-COUNTIF(Q$4:Q928,"Sell_"&amp;Upgrades!$B$3:$B$13))*Upgrades!$D$3:$D$13))</f>
        <v/>
      </c>
      <c r="T928" s="66" t="str">
        <f>IFERROR(__xludf.DUMMYFUNCTION("IF(COUNTA(Q928:Q1350)=0,"""",IF(REGEXMATCH(INDEX(FILTER(Q$4:Q928,Q$4:Q928&lt;&gt;""""),ROWS(FILTER(Q$4:Q928,Q$4:Q928&lt;&gt;""""))),""^Sell_""),INDEX(FILTER(T$4:T927,Q$4:Q927&lt;&gt;""""),ROWS(FILTER(Q$4:Q927,Q$4:Q927&lt;&gt;""""))),$AD$5+S928))"),"")</f>
        <v/>
      </c>
      <c r="U928" s="10" t="str">
        <f>IFERROR(__xludf.DUMMYFUNCTION("IF(COUNTA(Q928:Q1350)=0,"""",IF(Q928="""",0,IF(REGEXMATCH(Q928,""^Sell_""),-ROUNDDOWN(ROUNDUP(INDEX(Upgrades!$C$3:$C$13,MATCH(SUBSTITUTE(Q928,""Sell_"",""""),Upgrades!$B$3:$B$13,0))*1.15^(COUNTIF(Q$4:Q927,SUBSTITUTE(Q928,""Sell_"",""""))-COUNTIF(Q$4:Q927,"&amp;"""Sell_""&amp;SUBSTITUTE(Q928,""Sell_"",""""))))/2),ROUNDUP(INDEX(Upgrades!$C$3:$C$13,MATCH(Q928,Upgrades!$B$3:$B$13,0))*1.15^(COUNTIF(Q$4:Q927,Q928)-COUNTIF(Q$4:Q927,""Sell_""&amp;Q928))))))"),"")</f>
        <v/>
      </c>
      <c r="V928" s="10" t="str">
        <f t="shared" si="11"/>
        <v/>
      </c>
      <c r="W928" s="68" t="str">
        <f t="shared" si="12"/>
        <v/>
      </c>
      <c r="X928" s="59" t="str">
        <f t="shared" si="13"/>
        <v/>
      </c>
      <c r="Y928" s="69" t="str">
        <f t="shared" si="14"/>
        <v/>
      </c>
      <c r="Z928" s="11"/>
    </row>
    <row r="929">
      <c r="A929" s="8"/>
      <c r="B929" s="56" t="str">
        <f t="shared" si="2"/>
        <v/>
      </c>
      <c r="C929" s="57"/>
      <c r="D929" s="10" t="str">
        <f>IFERROR(__xludf.DUMMYFUNCTION("IF(COUNTA(C929:C1350)=0,"""",IF(ISBLANK(C929),FALSE,IF(NOT(COUNTIF($AA$24:$AA$34,SUBSTITUTE(C929,""Sell_"",""""))),1,IF(REGEXMATCH(C929,""Sell_""),IF(COUNTIF(C$4:C929,SUBSTITUTE(C929,""Sell_"",""""))-COUNTIF(C$4:C928,C929)&lt;1,1),FALSE))))"),"")</f>
        <v/>
      </c>
      <c r="E929" s="59" t="str">
        <f t="array" ref="E929">IF(COUNTA(C929:C1350)=0,"",SUM((COUNTIF(C$4:C929,Upgrades!$B$3:$B$13)-COUNTIF(C$4:C929,"Sell_"&amp;Upgrades!$B$3:$B$13))*Upgrades!$D$3:$D$13))</f>
        <v/>
      </c>
      <c r="F929" s="66" t="str">
        <f>IFERROR(__xludf.DUMMYFUNCTION("IF(COUNTA(C929:C1350)=0,"""",IF(REGEXMATCH(INDEX(FILTER(C$4:C929,C$4:C929&lt;&gt;""""),ROWS(FILTER(C$4:C929,C$4:C929&lt;&gt;""""))),""^Sell_""),INDEX(FILTER(F$4:F928,C$4:C928&lt;&gt;""""),ROWS(FILTER(C$4:C928,C$4:C928&lt;&gt;""""))),$AC$5+E929))"),"")</f>
        <v/>
      </c>
      <c r="G929" s="10" t="str">
        <f>IFERROR(__xludf.DUMMYFUNCTION("IF(COUNTA(C929:C1350)=0,"""",IF(C929="""",0,IF(REGEXMATCH(C929,""^Sell_""),-ROUNDDOWN(ROUNDUP(INDEX(Upgrades!$C$3:$C$13,MATCH(SUBSTITUTE(C929,""Sell_"",""""),Upgrades!$B$3:$B$13,0))*1.15^(COUNTIF(C$4:C928,SUBSTITUTE(C929,""Sell_"",""""))-COUNTIF(C$4:C928,"&amp;"""Sell_""&amp;SUBSTITUTE(C929,""Sell_"",""""))))/2),ROUNDUP(INDEX(Upgrades!$C$3:$C$13,MATCH(C929,Upgrades!$B$3:$B$13,0))*1.15^(COUNTIF(C$4:C928,C929)-COUNTIF(C$4:C928,""Sell_""&amp;C929))))))"),"")</f>
        <v/>
      </c>
      <c r="H929" s="10" t="str">
        <f t="shared" si="3"/>
        <v/>
      </c>
      <c r="I929" s="68" t="str">
        <f t="shared" si="4"/>
        <v/>
      </c>
      <c r="J929" s="59" t="str">
        <f t="shared" si="5"/>
        <v/>
      </c>
      <c r="K929" s="69" t="str">
        <f t="shared" si="6"/>
        <v/>
      </c>
      <c r="L929" s="60" t="str">
        <f t="shared" si="7"/>
        <v/>
      </c>
      <c r="M929" s="61" t="str">
        <f>IFERROR(__xludf.DUMMYFUNCTION("IFS(AND(COUNTA(C929:C1350)=0,COUNTA(Q929:Q1350)=0),"""",OR(AND(K929&gt;=1000000000,OR(Y929&gt;=1000000000,COUNTA(Q929:Q1350)=0)),OR(Y929&gt;=1000000000,AND(COUNTA(C929:C1350)=0,P$3=TRUE))),
ROUNDDOWN((AB$1-AC$1)*MAX(INDEX(T$4:T1350,MATCH(LARGE(FILTER(Y$4:Y1350,Y$4"&amp;":Y1350&lt;1000000000),1),Y$4:Y1350)),INDEX(F$4:F1350,MATCH(LARGE(FILTER(K$4:K1350,K$4:K1350&lt;1000000000),1),K$4:K1350)))),AND(K929&lt;1000000000,COUNTA(C929:C1350)&gt;0,P$3=FALSE),
ROUNDDOWN(INDEX(Y$4:Y1350,MATCH(LARGE(FILTER(W$4:W1350,W$4:W1350&lt;=I929),1),W$4:W1350"&amp;"))+(I929-LARGE(FILTER(W$4:W1350,W$4:W1350&lt;=I929),1))*INDEX(T$4:T1350,MATCH(LARGE(FILTER(W$4:W1350,W$4:W1350&lt;=I929),1),W$4:W1350))-K929),1,
ROUNDDOWN(Y929-INDEX(K$4:K1350,MATCH(LARGE(FILTER(I$4:I1350,I$4:I1350&lt;=W929),1),I$4:I1350))-(W929-LARGE(FILTER(I$4:I"&amp;"1350,I$4:I1350&lt;=W929),1))*INDEX(F$4:F1350,MATCH(LARGE(FILTER(I$4:I1350,I$4:I1350&lt;=W929),1),I$4:I1350))))"),"")</f>
        <v/>
      </c>
      <c r="N929" s="60" t="str">
        <f t="shared" si="8"/>
        <v/>
      </c>
      <c r="O929" s="61" t="str">
        <f t="shared" si="9"/>
        <v/>
      </c>
      <c r="P929" s="56" t="str">
        <f t="shared" si="10"/>
        <v/>
      </c>
      <c r="Q929" s="62"/>
      <c r="R929" s="10" t="str">
        <f>IFERROR(__xludf.DUMMYFUNCTION("IF(COUNTA(Q929:Q1350)=0,"""",IF(ISBLANK(Q929),FALSE,IF(NOT(COUNTIF($AA$24:$AA$34,SUBSTITUTE(Q929,""Sell_"",""""))),1,IF(REGEXMATCH(Q929,""Sell_""),IF(COUNTIF(Q$4:Q929,SUBSTITUTE(Q929,""Sell_"",""""))-COUNTIF(Q$4:Q928,Q929)&lt;1,1),FALSE))))"),"")</f>
        <v/>
      </c>
      <c r="S929" s="59" t="str">
        <f t="array" ref="S929">IF(COUNTA(Q929:Q1350)=0,"",SUM((COUNTIF(Q$4:Q929,Upgrades!$B$3:$B$13)-COUNTIF(Q$4:Q929,"Sell_"&amp;Upgrades!$B$3:$B$13))*Upgrades!$D$3:$D$13))</f>
        <v/>
      </c>
      <c r="T929" s="66" t="str">
        <f>IFERROR(__xludf.DUMMYFUNCTION("IF(COUNTA(Q929:Q1350)=0,"""",IF(REGEXMATCH(INDEX(FILTER(Q$4:Q929,Q$4:Q929&lt;&gt;""""),ROWS(FILTER(Q$4:Q929,Q$4:Q929&lt;&gt;""""))),""^Sell_""),INDEX(FILTER(T$4:T928,Q$4:Q928&lt;&gt;""""),ROWS(FILTER(Q$4:Q928,Q$4:Q928&lt;&gt;""""))),$AD$5+S929))"),"")</f>
        <v/>
      </c>
      <c r="U929" s="10" t="str">
        <f>IFERROR(__xludf.DUMMYFUNCTION("IF(COUNTA(Q929:Q1350)=0,"""",IF(Q929="""",0,IF(REGEXMATCH(Q929,""^Sell_""),-ROUNDDOWN(ROUNDUP(INDEX(Upgrades!$C$3:$C$13,MATCH(SUBSTITUTE(Q929,""Sell_"",""""),Upgrades!$B$3:$B$13,0))*1.15^(COUNTIF(Q$4:Q928,SUBSTITUTE(Q929,""Sell_"",""""))-COUNTIF(Q$4:Q928,"&amp;"""Sell_""&amp;SUBSTITUTE(Q929,""Sell_"",""""))))/2),ROUNDUP(INDEX(Upgrades!$C$3:$C$13,MATCH(Q929,Upgrades!$B$3:$B$13,0))*1.15^(COUNTIF(Q$4:Q928,Q929)-COUNTIF(Q$4:Q928,""Sell_""&amp;Q929))))))"),"")</f>
        <v/>
      </c>
      <c r="V929" s="10" t="str">
        <f t="shared" si="11"/>
        <v/>
      </c>
      <c r="W929" s="68" t="str">
        <f t="shared" si="12"/>
        <v/>
      </c>
      <c r="X929" s="59" t="str">
        <f t="shared" si="13"/>
        <v/>
      </c>
      <c r="Y929" s="69" t="str">
        <f t="shared" si="14"/>
        <v/>
      </c>
      <c r="Z929" s="11"/>
    </row>
    <row r="930">
      <c r="A930" s="8"/>
      <c r="B930" s="56" t="str">
        <f t="shared" si="2"/>
        <v/>
      </c>
      <c r="C930" s="57"/>
      <c r="D930" s="10" t="str">
        <f>IFERROR(__xludf.DUMMYFUNCTION("IF(COUNTA(C930:C1350)=0,"""",IF(ISBLANK(C930),FALSE,IF(NOT(COUNTIF($AA$24:$AA$34,SUBSTITUTE(C930,""Sell_"",""""))),1,IF(REGEXMATCH(C930,""Sell_""),IF(COUNTIF(C$4:C930,SUBSTITUTE(C930,""Sell_"",""""))-COUNTIF(C$4:C929,C930)&lt;1,1),FALSE))))"),"")</f>
        <v/>
      </c>
      <c r="E930" s="59" t="str">
        <f t="array" ref="E930">IF(COUNTA(C930:C1350)=0,"",SUM((COUNTIF(C$4:C930,Upgrades!$B$3:$B$13)-COUNTIF(C$4:C930,"Sell_"&amp;Upgrades!$B$3:$B$13))*Upgrades!$D$3:$D$13))</f>
        <v/>
      </c>
      <c r="F930" s="66" t="str">
        <f>IFERROR(__xludf.DUMMYFUNCTION("IF(COUNTA(C930:C1350)=0,"""",IF(REGEXMATCH(INDEX(FILTER(C$4:C930,C$4:C930&lt;&gt;""""),ROWS(FILTER(C$4:C930,C$4:C930&lt;&gt;""""))),""^Sell_""),INDEX(FILTER(F$4:F929,C$4:C929&lt;&gt;""""),ROWS(FILTER(C$4:C929,C$4:C929&lt;&gt;""""))),$AC$5+E930))"),"")</f>
        <v/>
      </c>
      <c r="G930" s="10" t="str">
        <f>IFERROR(__xludf.DUMMYFUNCTION("IF(COUNTA(C930:C1350)=0,"""",IF(C930="""",0,IF(REGEXMATCH(C930,""^Sell_""),-ROUNDDOWN(ROUNDUP(INDEX(Upgrades!$C$3:$C$13,MATCH(SUBSTITUTE(C930,""Sell_"",""""),Upgrades!$B$3:$B$13,0))*1.15^(COUNTIF(C$4:C929,SUBSTITUTE(C930,""Sell_"",""""))-COUNTIF(C$4:C929,"&amp;"""Sell_""&amp;SUBSTITUTE(C930,""Sell_"",""""))))/2),ROUNDUP(INDEX(Upgrades!$C$3:$C$13,MATCH(C930,Upgrades!$B$3:$B$13,0))*1.15^(COUNTIF(C$4:C929,C930)-COUNTIF(C$4:C929,""Sell_""&amp;C930))))))"),"")</f>
        <v/>
      </c>
      <c r="H930" s="10" t="str">
        <f t="shared" si="3"/>
        <v/>
      </c>
      <c r="I930" s="68" t="str">
        <f t="shared" si="4"/>
        <v/>
      </c>
      <c r="J930" s="59" t="str">
        <f t="shared" si="5"/>
        <v/>
      </c>
      <c r="K930" s="69" t="str">
        <f t="shared" si="6"/>
        <v/>
      </c>
      <c r="L930" s="60" t="str">
        <f t="shared" si="7"/>
        <v/>
      </c>
      <c r="M930" s="61" t="str">
        <f>IFERROR(__xludf.DUMMYFUNCTION("IFS(AND(COUNTA(C930:C1350)=0,COUNTA(Q930:Q1350)=0),"""",OR(AND(K930&gt;=1000000000,OR(Y930&gt;=1000000000,COUNTA(Q930:Q1350)=0)),OR(Y930&gt;=1000000000,AND(COUNTA(C930:C1350)=0,P$3=TRUE))),
ROUNDDOWN((AB$1-AC$1)*MAX(INDEX(T$4:T1350,MATCH(LARGE(FILTER(Y$4:Y1350,Y$4"&amp;":Y1350&lt;1000000000),1),Y$4:Y1350)),INDEX(F$4:F1350,MATCH(LARGE(FILTER(K$4:K1350,K$4:K1350&lt;1000000000),1),K$4:K1350)))),AND(K930&lt;1000000000,COUNTA(C930:C1350)&gt;0,P$3=FALSE),
ROUNDDOWN(INDEX(Y$4:Y1350,MATCH(LARGE(FILTER(W$4:W1350,W$4:W1350&lt;=I930),1),W$4:W1350"&amp;"))+(I930-LARGE(FILTER(W$4:W1350,W$4:W1350&lt;=I930),1))*INDEX(T$4:T1350,MATCH(LARGE(FILTER(W$4:W1350,W$4:W1350&lt;=I930),1),W$4:W1350))-K930),1,
ROUNDDOWN(Y930-INDEX(K$4:K1350,MATCH(LARGE(FILTER(I$4:I1350,I$4:I1350&lt;=W930),1),I$4:I1350))-(W930-LARGE(FILTER(I$4:I"&amp;"1350,I$4:I1350&lt;=W930),1))*INDEX(F$4:F1350,MATCH(LARGE(FILTER(I$4:I1350,I$4:I1350&lt;=W930),1),I$4:I1350))))"),"")</f>
        <v/>
      </c>
      <c r="N930" s="60" t="str">
        <f t="shared" si="8"/>
        <v/>
      </c>
      <c r="O930" s="61" t="str">
        <f t="shared" si="9"/>
        <v/>
      </c>
      <c r="P930" s="56" t="str">
        <f t="shared" si="10"/>
        <v/>
      </c>
      <c r="Q930" s="62"/>
      <c r="R930" s="10" t="str">
        <f>IFERROR(__xludf.DUMMYFUNCTION("IF(COUNTA(Q930:Q1350)=0,"""",IF(ISBLANK(Q930),FALSE,IF(NOT(COUNTIF($AA$24:$AA$34,SUBSTITUTE(Q930,""Sell_"",""""))),1,IF(REGEXMATCH(Q930,""Sell_""),IF(COUNTIF(Q$4:Q930,SUBSTITUTE(Q930,""Sell_"",""""))-COUNTIF(Q$4:Q929,Q930)&lt;1,1),FALSE))))"),"")</f>
        <v/>
      </c>
      <c r="S930" s="59" t="str">
        <f t="array" ref="S930">IF(COUNTA(Q930:Q1350)=0,"",SUM((COUNTIF(Q$4:Q930,Upgrades!$B$3:$B$13)-COUNTIF(Q$4:Q930,"Sell_"&amp;Upgrades!$B$3:$B$13))*Upgrades!$D$3:$D$13))</f>
        <v/>
      </c>
      <c r="T930" s="66" t="str">
        <f>IFERROR(__xludf.DUMMYFUNCTION("IF(COUNTA(Q930:Q1350)=0,"""",IF(REGEXMATCH(INDEX(FILTER(Q$4:Q930,Q$4:Q930&lt;&gt;""""),ROWS(FILTER(Q$4:Q930,Q$4:Q930&lt;&gt;""""))),""^Sell_""),INDEX(FILTER(T$4:T929,Q$4:Q929&lt;&gt;""""),ROWS(FILTER(Q$4:Q929,Q$4:Q929&lt;&gt;""""))),$AD$5+S930))"),"")</f>
        <v/>
      </c>
      <c r="U930" s="10" t="str">
        <f>IFERROR(__xludf.DUMMYFUNCTION("IF(COUNTA(Q930:Q1350)=0,"""",IF(Q930="""",0,IF(REGEXMATCH(Q930,""^Sell_""),-ROUNDDOWN(ROUNDUP(INDEX(Upgrades!$C$3:$C$13,MATCH(SUBSTITUTE(Q930,""Sell_"",""""),Upgrades!$B$3:$B$13,0))*1.15^(COUNTIF(Q$4:Q929,SUBSTITUTE(Q930,""Sell_"",""""))-COUNTIF(Q$4:Q929,"&amp;"""Sell_""&amp;SUBSTITUTE(Q930,""Sell_"",""""))))/2),ROUNDUP(INDEX(Upgrades!$C$3:$C$13,MATCH(Q930,Upgrades!$B$3:$B$13,0))*1.15^(COUNTIF(Q$4:Q929,Q930)-COUNTIF(Q$4:Q929,""Sell_""&amp;Q930))))))"),"")</f>
        <v/>
      </c>
      <c r="V930" s="10" t="str">
        <f t="shared" si="11"/>
        <v/>
      </c>
      <c r="W930" s="68" t="str">
        <f t="shared" si="12"/>
        <v/>
      </c>
      <c r="X930" s="59" t="str">
        <f t="shared" si="13"/>
        <v/>
      </c>
      <c r="Y930" s="69" t="str">
        <f t="shared" si="14"/>
        <v/>
      </c>
      <c r="Z930" s="11"/>
    </row>
    <row r="931">
      <c r="A931" s="8"/>
      <c r="B931" s="56" t="str">
        <f t="shared" si="2"/>
        <v/>
      </c>
      <c r="C931" s="57"/>
      <c r="D931" s="10" t="str">
        <f>IFERROR(__xludf.DUMMYFUNCTION("IF(COUNTA(C931:C1350)=0,"""",IF(ISBLANK(C931),FALSE,IF(NOT(COUNTIF($AA$24:$AA$34,SUBSTITUTE(C931,""Sell_"",""""))),1,IF(REGEXMATCH(C931,""Sell_""),IF(COUNTIF(C$4:C931,SUBSTITUTE(C931,""Sell_"",""""))-COUNTIF(C$4:C930,C931)&lt;1,1),FALSE))))"),"")</f>
        <v/>
      </c>
      <c r="E931" s="59" t="str">
        <f t="array" ref="E931">IF(COUNTA(C931:C1350)=0,"",SUM((COUNTIF(C$4:C931,Upgrades!$B$3:$B$13)-COUNTIF(C$4:C931,"Sell_"&amp;Upgrades!$B$3:$B$13))*Upgrades!$D$3:$D$13))</f>
        <v/>
      </c>
      <c r="F931" s="66" t="str">
        <f>IFERROR(__xludf.DUMMYFUNCTION("IF(COUNTA(C931:C1350)=0,"""",IF(REGEXMATCH(INDEX(FILTER(C$4:C931,C$4:C931&lt;&gt;""""),ROWS(FILTER(C$4:C931,C$4:C931&lt;&gt;""""))),""^Sell_""),INDEX(FILTER(F$4:F930,C$4:C930&lt;&gt;""""),ROWS(FILTER(C$4:C930,C$4:C930&lt;&gt;""""))),$AC$5+E931))"),"")</f>
        <v/>
      </c>
      <c r="G931" s="10" t="str">
        <f>IFERROR(__xludf.DUMMYFUNCTION("IF(COUNTA(C931:C1350)=0,"""",IF(C931="""",0,IF(REGEXMATCH(C931,""^Sell_""),-ROUNDDOWN(ROUNDUP(INDEX(Upgrades!$C$3:$C$13,MATCH(SUBSTITUTE(C931,""Sell_"",""""),Upgrades!$B$3:$B$13,0))*1.15^(COUNTIF(C$4:C930,SUBSTITUTE(C931,""Sell_"",""""))-COUNTIF(C$4:C930,"&amp;"""Sell_""&amp;SUBSTITUTE(C931,""Sell_"",""""))))/2),ROUNDUP(INDEX(Upgrades!$C$3:$C$13,MATCH(C931,Upgrades!$B$3:$B$13,0))*1.15^(COUNTIF(C$4:C930,C931)-COUNTIF(C$4:C930,""Sell_""&amp;C931))))))"),"")</f>
        <v/>
      </c>
      <c r="H931" s="10" t="str">
        <f t="shared" si="3"/>
        <v/>
      </c>
      <c r="I931" s="68" t="str">
        <f t="shared" si="4"/>
        <v/>
      </c>
      <c r="J931" s="59" t="str">
        <f t="shared" si="5"/>
        <v/>
      </c>
      <c r="K931" s="69" t="str">
        <f t="shared" si="6"/>
        <v/>
      </c>
      <c r="L931" s="60" t="str">
        <f t="shared" si="7"/>
        <v/>
      </c>
      <c r="M931" s="61" t="str">
        <f>IFERROR(__xludf.DUMMYFUNCTION("IFS(AND(COUNTA(C931:C1350)=0,COUNTA(Q931:Q1350)=0),"""",OR(AND(K931&gt;=1000000000,OR(Y931&gt;=1000000000,COUNTA(Q931:Q1350)=0)),OR(Y931&gt;=1000000000,AND(COUNTA(C931:C1350)=0,P$3=TRUE))),
ROUNDDOWN((AB$1-AC$1)*MAX(INDEX(T$4:T1350,MATCH(LARGE(FILTER(Y$4:Y1350,Y$4"&amp;":Y1350&lt;1000000000),1),Y$4:Y1350)),INDEX(F$4:F1350,MATCH(LARGE(FILTER(K$4:K1350,K$4:K1350&lt;1000000000),1),K$4:K1350)))),AND(K931&lt;1000000000,COUNTA(C931:C1350)&gt;0,P$3=FALSE),
ROUNDDOWN(INDEX(Y$4:Y1350,MATCH(LARGE(FILTER(W$4:W1350,W$4:W1350&lt;=I931),1),W$4:W1350"&amp;"))+(I931-LARGE(FILTER(W$4:W1350,W$4:W1350&lt;=I931),1))*INDEX(T$4:T1350,MATCH(LARGE(FILTER(W$4:W1350,W$4:W1350&lt;=I931),1),W$4:W1350))-K931),1,
ROUNDDOWN(Y931-INDEX(K$4:K1350,MATCH(LARGE(FILTER(I$4:I1350,I$4:I1350&lt;=W931),1),I$4:I1350))-(W931-LARGE(FILTER(I$4:I"&amp;"1350,I$4:I1350&lt;=W931),1))*INDEX(F$4:F1350,MATCH(LARGE(FILTER(I$4:I1350,I$4:I1350&lt;=W931),1),I$4:I1350))))"),"")</f>
        <v/>
      </c>
      <c r="N931" s="60" t="str">
        <f t="shared" si="8"/>
        <v/>
      </c>
      <c r="O931" s="61" t="str">
        <f t="shared" si="9"/>
        <v/>
      </c>
      <c r="P931" s="56" t="str">
        <f t="shared" si="10"/>
        <v/>
      </c>
      <c r="Q931" s="62"/>
      <c r="R931" s="10" t="str">
        <f>IFERROR(__xludf.DUMMYFUNCTION("IF(COUNTA(Q931:Q1350)=0,"""",IF(ISBLANK(Q931),FALSE,IF(NOT(COUNTIF($AA$24:$AA$34,SUBSTITUTE(Q931,""Sell_"",""""))),1,IF(REGEXMATCH(Q931,""Sell_""),IF(COUNTIF(Q$4:Q931,SUBSTITUTE(Q931,""Sell_"",""""))-COUNTIF(Q$4:Q930,Q931)&lt;1,1),FALSE))))"),"")</f>
        <v/>
      </c>
      <c r="S931" s="59" t="str">
        <f t="array" ref="S931">IF(COUNTA(Q931:Q1350)=0,"",SUM((COUNTIF(Q$4:Q931,Upgrades!$B$3:$B$13)-COUNTIF(Q$4:Q931,"Sell_"&amp;Upgrades!$B$3:$B$13))*Upgrades!$D$3:$D$13))</f>
        <v/>
      </c>
      <c r="T931" s="66" t="str">
        <f>IFERROR(__xludf.DUMMYFUNCTION("IF(COUNTA(Q931:Q1350)=0,"""",IF(REGEXMATCH(INDEX(FILTER(Q$4:Q931,Q$4:Q931&lt;&gt;""""),ROWS(FILTER(Q$4:Q931,Q$4:Q931&lt;&gt;""""))),""^Sell_""),INDEX(FILTER(T$4:T930,Q$4:Q930&lt;&gt;""""),ROWS(FILTER(Q$4:Q930,Q$4:Q930&lt;&gt;""""))),$AD$5+S931))"),"")</f>
        <v/>
      </c>
      <c r="U931" s="10" t="str">
        <f>IFERROR(__xludf.DUMMYFUNCTION("IF(COUNTA(Q931:Q1350)=0,"""",IF(Q931="""",0,IF(REGEXMATCH(Q931,""^Sell_""),-ROUNDDOWN(ROUNDUP(INDEX(Upgrades!$C$3:$C$13,MATCH(SUBSTITUTE(Q931,""Sell_"",""""),Upgrades!$B$3:$B$13,0))*1.15^(COUNTIF(Q$4:Q930,SUBSTITUTE(Q931,""Sell_"",""""))-COUNTIF(Q$4:Q930,"&amp;"""Sell_""&amp;SUBSTITUTE(Q931,""Sell_"",""""))))/2),ROUNDUP(INDEX(Upgrades!$C$3:$C$13,MATCH(Q931,Upgrades!$B$3:$B$13,0))*1.15^(COUNTIF(Q$4:Q930,Q931)-COUNTIF(Q$4:Q930,""Sell_""&amp;Q931))))))"),"")</f>
        <v/>
      </c>
      <c r="V931" s="10" t="str">
        <f t="shared" si="11"/>
        <v/>
      </c>
      <c r="W931" s="68" t="str">
        <f t="shared" si="12"/>
        <v/>
      </c>
      <c r="X931" s="59" t="str">
        <f t="shared" si="13"/>
        <v/>
      </c>
      <c r="Y931" s="69" t="str">
        <f t="shared" si="14"/>
        <v/>
      </c>
      <c r="Z931" s="11"/>
    </row>
    <row r="932">
      <c r="A932" s="8"/>
      <c r="B932" s="56" t="str">
        <f t="shared" si="2"/>
        <v/>
      </c>
      <c r="C932" s="57"/>
      <c r="D932" s="10" t="str">
        <f>IFERROR(__xludf.DUMMYFUNCTION("IF(COUNTA(C932:C1350)=0,"""",IF(ISBLANK(C932),FALSE,IF(NOT(COUNTIF($AA$24:$AA$34,SUBSTITUTE(C932,""Sell_"",""""))),1,IF(REGEXMATCH(C932,""Sell_""),IF(COUNTIF(C$4:C932,SUBSTITUTE(C932,""Sell_"",""""))-COUNTIF(C$4:C931,C932)&lt;1,1),FALSE))))"),"")</f>
        <v/>
      </c>
      <c r="E932" s="59" t="str">
        <f t="array" ref="E932">IF(COUNTA(C932:C1350)=0,"",SUM((COUNTIF(C$4:C932,Upgrades!$B$3:$B$13)-COUNTIF(C$4:C932,"Sell_"&amp;Upgrades!$B$3:$B$13))*Upgrades!$D$3:$D$13))</f>
        <v/>
      </c>
      <c r="F932" s="66" t="str">
        <f>IFERROR(__xludf.DUMMYFUNCTION("IF(COUNTA(C932:C1350)=0,"""",IF(REGEXMATCH(INDEX(FILTER(C$4:C932,C$4:C932&lt;&gt;""""),ROWS(FILTER(C$4:C932,C$4:C932&lt;&gt;""""))),""^Sell_""),INDEX(FILTER(F$4:F931,C$4:C931&lt;&gt;""""),ROWS(FILTER(C$4:C931,C$4:C931&lt;&gt;""""))),$AC$5+E932))"),"")</f>
        <v/>
      </c>
      <c r="G932" s="10" t="str">
        <f>IFERROR(__xludf.DUMMYFUNCTION("IF(COUNTA(C932:C1350)=0,"""",IF(C932="""",0,IF(REGEXMATCH(C932,""^Sell_""),-ROUNDDOWN(ROUNDUP(INDEX(Upgrades!$C$3:$C$13,MATCH(SUBSTITUTE(C932,""Sell_"",""""),Upgrades!$B$3:$B$13,0))*1.15^(COUNTIF(C$4:C931,SUBSTITUTE(C932,""Sell_"",""""))-COUNTIF(C$4:C931,"&amp;"""Sell_""&amp;SUBSTITUTE(C932,""Sell_"",""""))))/2),ROUNDUP(INDEX(Upgrades!$C$3:$C$13,MATCH(C932,Upgrades!$B$3:$B$13,0))*1.15^(COUNTIF(C$4:C931,C932)-COUNTIF(C$4:C931,""Sell_""&amp;C932))))))"),"")</f>
        <v/>
      </c>
      <c r="H932" s="10" t="str">
        <f t="shared" si="3"/>
        <v/>
      </c>
      <c r="I932" s="68" t="str">
        <f t="shared" si="4"/>
        <v/>
      </c>
      <c r="J932" s="59" t="str">
        <f t="shared" si="5"/>
        <v/>
      </c>
      <c r="K932" s="69" t="str">
        <f t="shared" si="6"/>
        <v/>
      </c>
      <c r="L932" s="60" t="str">
        <f t="shared" si="7"/>
        <v/>
      </c>
      <c r="M932" s="61" t="str">
        <f>IFERROR(__xludf.DUMMYFUNCTION("IFS(AND(COUNTA(C932:C1350)=0,COUNTA(Q932:Q1350)=0),"""",OR(AND(K932&gt;=1000000000,OR(Y932&gt;=1000000000,COUNTA(Q932:Q1350)=0)),OR(Y932&gt;=1000000000,AND(COUNTA(C932:C1350)=0,P$3=TRUE))),
ROUNDDOWN((AB$1-AC$1)*MAX(INDEX(T$4:T1350,MATCH(LARGE(FILTER(Y$4:Y1350,Y$4"&amp;":Y1350&lt;1000000000),1),Y$4:Y1350)),INDEX(F$4:F1350,MATCH(LARGE(FILTER(K$4:K1350,K$4:K1350&lt;1000000000),1),K$4:K1350)))),AND(K932&lt;1000000000,COUNTA(C932:C1350)&gt;0,P$3=FALSE),
ROUNDDOWN(INDEX(Y$4:Y1350,MATCH(LARGE(FILTER(W$4:W1350,W$4:W1350&lt;=I932),1),W$4:W1350"&amp;"))+(I932-LARGE(FILTER(W$4:W1350,W$4:W1350&lt;=I932),1))*INDEX(T$4:T1350,MATCH(LARGE(FILTER(W$4:W1350,W$4:W1350&lt;=I932),1),W$4:W1350))-K932),1,
ROUNDDOWN(Y932-INDEX(K$4:K1350,MATCH(LARGE(FILTER(I$4:I1350,I$4:I1350&lt;=W932),1),I$4:I1350))-(W932-LARGE(FILTER(I$4:I"&amp;"1350,I$4:I1350&lt;=W932),1))*INDEX(F$4:F1350,MATCH(LARGE(FILTER(I$4:I1350,I$4:I1350&lt;=W932),1),I$4:I1350))))"),"")</f>
        <v/>
      </c>
      <c r="N932" s="60" t="str">
        <f t="shared" si="8"/>
        <v/>
      </c>
      <c r="O932" s="61" t="str">
        <f t="shared" si="9"/>
        <v/>
      </c>
      <c r="P932" s="56" t="str">
        <f t="shared" si="10"/>
        <v/>
      </c>
      <c r="Q932" s="62"/>
      <c r="R932" s="10" t="str">
        <f>IFERROR(__xludf.DUMMYFUNCTION("IF(COUNTA(Q932:Q1350)=0,"""",IF(ISBLANK(Q932),FALSE,IF(NOT(COUNTIF($AA$24:$AA$34,SUBSTITUTE(Q932,""Sell_"",""""))),1,IF(REGEXMATCH(Q932,""Sell_""),IF(COUNTIF(Q$4:Q932,SUBSTITUTE(Q932,""Sell_"",""""))-COUNTIF(Q$4:Q931,Q932)&lt;1,1),FALSE))))"),"")</f>
        <v/>
      </c>
      <c r="S932" s="59" t="str">
        <f t="array" ref="S932">IF(COUNTA(Q932:Q1350)=0,"",SUM((COUNTIF(Q$4:Q932,Upgrades!$B$3:$B$13)-COUNTIF(Q$4:Q932,"Sell_"&amp;Upgrades!$B$3:$B$13))*Upgrades!$D$3:$D$13))</f>
        <v/>
      </c>
      <c r="T932" s="66" t="str">
        <f>IFERROR(__xludf.DUMMYFUNCTION("IF(COUNTA(Q932:Q1350)=0,"""",IF(REGEXMATCH(INDEX(FILTER(Q$4:Q932,Q$4:Q932&lt;&gt;""""),ROWS(FILTER(Q$4:Q932,Q$4:Q932&lt;&gt;""""))),""^Sell_""),INDEX(FILTER(T$4:T931,Q$4:Q931&lt;&gt;""""),ROWS(FILTER(Q$4:Q931,Q$4:Q931&lt;&gt;""""))),$AD$5+S932))"),"")</f>
        <v/>
      </c>
      <c r="U932" s="10" t="str">
        <f>IFERROR(__xludf.DUMMYFUNCTION("IF(COUNTA(Q932:Q1350)=0,"""",IF(Q932="""",0,IF(REGEXMATCH(Q932,""^Sell_""),-ROUNDDOWN(ROUNDUP(INDEX(Upgrades!$C$3:$C$13,MATCH(SUBSTITUTE(Q932,""Sell_"",""""),Upgrades!$B$3:$B$13,0))*1.15^(COUNTIF(Q$4:Q931,SUBSTITUTE(Q932,""Sell_"",""""))-COUNTIF(Q$4:Q931,"&amp;"""Sell_""&amp;SUBSTITUTE(Q932,""Sell_"",""""))))/2),ROUNDUP(INDEX(Upgrades!$C$3:$C$13,MATCH(Q932,Upgrades!$B$3:$B$13,0))*1.15^(COUNTIF(Q$4:Q931,Q932)-COUNTIF(Q$4:Q931,""Sell_""&amp;Q932))))))"),"")</f>
        <v/>
      </c>
      <c r="V932" s="10" t="str">
        <f t="shared" si="11"/>
        <v/>
      </c>
      <c r="W932" s="68" t="str">
        <f t="shared" si="12"/>
        <v/>
      </c>
      <c r="X932" s="59" t="str">
        <f t="shared" si="13"/>
        <v/>
      </c>
      <c r="Y932" s="69" t="str">
        <f t="shared" si="14"/>
        <v/>
      </c>
      <c r="Z932" s="11"/>
    </row>
    <row r="933">
      <c r="A933" s="8"/>
      <c r="B933" s="56" t="str">
        <f t="shared" si="2"/>
        <v/>
      </c>
      <c r="C933" s="57"/>
      <c r="D933" s="10" t="str">
        <f>IFERROR(__xludf.DUMMYFUNCTION("IF(COUNTA(C933:C1350)=0,"""",IF(ISBLANK(C933),FALSE,IF(NOT(COUNTIF($AA$24:$AA$34,SUBSTITUTE(C933,""Sell_"",""""))),1,IF(REGEXMATCH(C933,""Sell_""),IF(COUNTIF(C$4:C933,SUBSTITUTE(C933,""Sell_"",""""))-COUNTIF(C$4:C932,C933)&lt;1,1),FALSE))))"),"")</f>
        <v/>
      </c>
      <c r="E933" s="59" t="str">
        <f t="array" ref="E933">IF(COUNTA(C933:C1350)=0,"",SUM((COUNTIF(C$4:C933,Upgrades!$B$3:$B$13)-COUNTIF(C$4:C933,"Sell_"&amp;Upgrades!$B$3:$B$13))*Upgrades!$D$3:$D$13))</f>
        <v/>
      </c>
      <c r="F933" s="66" t="str">
        <f>IFERROR(__xludf.DUMMYFUNCTION("IF(COUNTA(C933:C1350)=0,"""",IF(REGEXMATCH(INDEX(FILTER(C$4:C933,C$4:C933&lt;&gt;""""),ROWS(FILTER(C$4:C933,C$4:C933&lt;&gt;""""))),""^Sell_""),INDEX(FILTER(F$4:F932,C$4:C932&lt;&gt;""""),ROWS(FILTER(C$4:C932,C$4:C932&lt;&gt;""""))),$AC$5+E933))"),"")</f>
        <v/>
      </c>
      <c r="G933" s="10" t="str">
        <f>IFERROR(__xludf.DUMMYFUNCTION("IF(COUNTA(C933:C1350)=0,"""",IF(C933="""",0,IF(REGEXMATCH(C933,""^Sell_""),-ROUNDDOWN(ROUNDUP(INDEX(Upgrades!$C$3:$C$13,MATCH(SUBSTITUTE(C933,""Sell_"",""""),Upgrades!$B$3:$B$13,0))*1.15^(COUNTIF(C$4:C932,SUBSTITUTE(C933,""Sell_"",""""))-COUNTIF(C$4:C932,"&amp;"""Sell_""&amp;SUBSTITUTE(C933,""Sell_"",""""))))/2),ROUNDUP(INDEX(Upgrades!$C$3:$C$13,MATCH(C933,Upgrades!$B$3:$B$13,0))*1.15^(COUNTIF(C$4:C932,C933)-COUNTIF(C$4:C932,""Sell_""&amp;C933))))))"),"")</f>
        <v/>
      </c>
      <c r="H933" s="10" t="str">
        <f t="shared" si="3"/>
        <v/>
      </c>
      <c r="I933" s="68" t="str">
        <f t="shared" si="4"/>
        <v/>
      </c>
      <c r="J933" s="59" t="str">
        <f t="shared" si="5"/>
        <v/>
      </c>
      <c r="K933" s="69" t="str">
        <f t="shared" si="6"/>
        <v/>
      </c>
      <c r="L933" s="60" t="str">
        <f t="shared" si="7"/>
        <v/>
      </c>
      <c r="M933" s="61" t="str">
        <f>IFERROR(__xludf.DUMMYFUNCTION("IFS(AND(COUNTA(C933:C1350)=0,COUNTA(Q933:Q1350)=0),"""",OR(AND(K933&gt;=1000000000,OR(Y933&gt;=1000000000,COUNTA(Q933:Q1350)=0)),OR(Y933&gt;=1000000000,AND(COUNTA(C933:C1350)=0,P$3=TRUE))),
ROUNDDOWN((AB$1-AC$1)*MAX(INDEX(T$4:T1350,MATCH(LARGE(FILTER(Y$4:Y1350,Y$4"&amp;":Y1350&lt;1000000000),1),Y$4:Y1350)),INDEX(F$4:F1350,MATCH(LARGE(FILTER(K$4:K1350,K$4:K1350&lt;1000000000),1),K$4:K1350)))),AND(K933&lt;1000000000,COUNTA(C933:C1350)&gt;0,P$3=FALSE),
ROUNDDOWN(INDEX(Y$4:Y1350,MATCH(LARGE(FILTER(W$4:W1350,W$4:W1350&lt;=I933),1),W$4:W1350"&amp;"))+(I933-LARGE(FILTER(W$4:W1350,W$4:W1350&lt;=I933),1))*INDEX(T$4:T1350,MATCH(LARGE(FILTER(W$4:W1350,W$4:W1350&lt;=I933),1),W$4:W1350))-K933),1,
ROUNDDOWN(Y933-INDEX(K$4:K1350,MATCH(LARGE(FILTER(I$4:I1350,I$4:I1350&lt;=W933),1),I$4:I1350))-(W933-LARGE(FILTER(I$4:I"&amp;"1350,I$4:I1350&lt;=W933),1))*INDEX(F$4:F1350,MATCH(LARGE(FILTER(I$4:I1350,I$4:I1350&lt;=W933),1),I$4:I1350))))"),"")</f>
        <v/>
      </c>
      <c r="N933" s="60" t="str">
        <f t="shared" si="8"/>
        <v/>
      </c>
      <c r="O933" s="61" t="str">
        <f t="shared" si="9"/>
        <v/>
      </c>
      <c r="P933" s="56" t="str">
        <f t="shared" si="10"/>
        <v/>
      </c>
      <c r="Q933" s="62"/>
      <c r="R933" s="10" t="str">
        <f>IFERROR(__xludf.DUMMYFUNCTION("IF(COUNTA(Q933:Q1350)=0,"""",IF(ISBLANK(Q933),FALSE,IF(NOT(COUNTIF($AA$24:$AA$34,SUBSTITUTE(Q933,""Sell_"",""""))),1,IF(REGEXMATCH(Q933,""Sell_""),IF(COUNTIF(Q$4:Q933,SUBSTITUTE(Q933,""Sell_"",""""))-COUNTIF(Q$4:Q932,Q933)&lt;1,1),FALSE))))"),"")</f>
        <v/>
      </c>
      <c r="S933" s="59" t="str">
        <f t="array" ref="S933">IF(COUNTA(Q933:Q1350)=0,"",SUM((COUNTIF(Q$4:Q933,Upgrades!$B$3:$B$13)-COUNTIF(Q$4:Q933,"Sell_"&amp;Upgrades!$B$3:$B$13))*Upgrades!$D$3:$D$13))</f>
        <v/>
      </c>
      <c r="T933" s="66" t="str">
        <f>IFERROR(__xludf.DUMMYFUNCTION("IF(COUNTA(Q933:Q1350)=0,"""",IF(REGEXMATCH(INDEX(FILTER(Q$4:Q933,Q$4:Q933&lt;&gt;""""),ROWS(FILTER(Q$4:Q933,Q$4:Q933&lt;&gt;""""))),""^Sell_""),INDEX(FILTER(T$4:T932,Q$4:Q932&lt;&gt;""""),ROWS(FILTER(Q$4:Q932,Q$4:Q932&lt;&gt;""""))),$AD$5+S933))"),"")</f>
        <v/>
      </c>
      <c r="U933" s="10" t="str">
        <f>IFERROR(__xludf.DUMMYFUNCTION("IF(COUNTA(Q933:Q1350)=0,"""",IF(Q933="""",0,IF(REGEXMATCH(Q933,""^Sell_""),-ROUNDDOWN(ROUNDUP(INDEX(Upgrades!$C$3:$C$13,MATCH(SUBSTITUTE(Q933,""Sell_"",""""),Upgrades!$B$3:$B$13,0))*1.15^(COUNTIF(Q$4:Q932,SUBSTITUTE(Q933,""Sell_"",""""))-COUNTIF(Q$4:Q932,"&amp;"""Sell_""&amp;SUBSTITUTE(Q933,""Sell_"",""""))))/2),ROUNDUP(INDEX(Upgrades!$C$3:$C$13,MATCH(Q933,Upgrades!$B$3:$B$13,0))*1.15^(COUNTIF(Q$4:Q932,Q933)-COUNTIF(Q$4:Q932,""Sell_""&amp;Q933))))))"),"")</f>
        <v/>
      </c>
      <c r="V933" s="10" t="str">
        <f t="shared" si="11"/>
        <v/>
      </c>
      <c r="W933" s="68" t="str">
        <f t="shared" si="12"/>
        <v/>
      </c>
      <c r="X933" s="59" t="str">
        <f t="shared" si="13"/>
        <v/>
      </c>
      <c r="Y933" s="69" t="str">
        <f t="shared" si="14"/>
        <v/>
      </c>
      <c r="Z933" s="11"/>
    </row>
    <row r="934">
      <c r="A934" s="8"/>
      <c r="B934" s="56" t="str">
        <f t="shared" si="2"/>
        <v/>
      </c>
      <c r="C934" s="57"/>
      <c r="D934" s="10" t="str">
        <f>IFERROR(__xludf.DUMMYFUNCTION("IF(COUNTA(C934:C1350)=0,"""",IF(ISBLANK(C934),FALSE,IF(NOT(COUNTIF($AA$24:$AA$34,SUBSTITUTE(C934,""Sell_"",""""))),1,IF(REGEXMATCH(C934,""Sell_""),IF(COUNTIF(C$4:C934,SUBSTITUTE(C934,""Sell_"",""""))-COUNTIF(C$4:C933,C934)&lt;1,1),FALSE))))"),"")</f>
        <v/>
      </c>
      <c r="E934" s="59" t="str">
        <f t="array" ref="E934">IF(COUNTA(C934:C1350)=0,"",SUM((COUNTIF(C$4:C934,Upgrades!$B$3:$B$13)-COUNTIF(C$4:C934,"Sell_"&amp;Upgrades!$B$3:$B$13))*Upgrades!$D$3:$D$13))</f>
        <v/>
      </c>
      <c r="F934" s="66" t="str">
        <f>IFERROR(__xludf.DUMMYFUNCTION("IF(COUNTA(C934:C1350)=0,"""",IF(REGEXMATCH(INDEX(FILTER(C$4:C934,C$4:C934&lt;&gt;""""),ROWS(FILTER(C$4:C934,C$4:C934&lt;&gt;""""))),""^Sell_""),INDEX(FILTER(F$4:F933,C$4:C933&lt;&gt;""""),ROWS(FILTER(C$4:C933,C$4:C933&lt;&gt;""""))),$AC$5+E934))"),"")</f>
        <v/>
      </c>
      <c r="G934" s="10" t="str">
        <f>IFERROR(__xludf.DUMMYFUNCTION("IF(COUNTA(C934:C1350)=0,"""",IF(C934="""",0,IF(REGEXMATCH(C934,""^Sell_""),-ROUNDDOWN(ROUNDUP(INDEX(Upgrades!$C$3:$C$13,MATCH(SUBSTITUTE(C934,""Sell_"",""""),Upgrades!$B$3:$B$13,0))*1.15^(COUNTIF(C$4:C933,SUBSTITUTE(C934,""Sell_"",""""))-COUNTIF(C$4:C933,"&amp;"""Sell_""&amp;SUBSTITUTE(C934,""Sell_"",""""))))/2),ROUNDUP(INDEX(Upgrades!$C$3:$C$13,MATCH(C934,Upgrades!$B$3:$B$13,0))*1.15^(COUNTIF(C$4:C933,C934)-COUNTIF(C$4:C933,""Sell_""&amp;C934))))))"),"")</f>
        <v/>
      </c>
      <c r="H934" s="10" t="str">
        <f t="shared" si="3"/>
        <v/>
      </c>
      <c r="I934" s="68" t="str">
        <f t="shared" si="4"/>
        <v/>
      </c>
      <c r="J934" s="59" t="str">
        <f t="shared" si="5"/>
        <v/>
      </c>
      <c r="K934" s="69" t="str">
        <f t="shared" si="6"/>
        <v/>
      </c>
      <c r="L934" s="60" t="str">
        <f t="shared" si="7"/>
        <v/>
      </c>
      <c r="M934" s="61" t="str">
        <f>IFERROR(__xludf.DUMMYFUNCTION("IFS(AND(COUNTA(C934:C1350)=0,COUNTA(Q934:Q1350)=0),"""",OR(AND(K934&gt;=1000000000,OR(Y934&gt;=1000000000,COUNTA(Q934:Q1350)=0)),OR(Y934&gt;=1000000000,AND(COUNTA(C934:C1350)=0,P$3=TRUE))),
ROUNDDOWN((AB$1-AC$1)*MAX(INDEX(T$4:T1350,MATCH(LARGE(FILTER(Y$4:Y1350,Y$4"&amp;":Y1350&lt;1000000000),1),Y$4:Y1350)),INDEX(F$4:F1350,MATCH(LARGE(FILTER(K$4:K1350,K$4:K1350&lt;1000000000),1),K$4:K1350)))),AND(K934&lt;1000000000,COUNTA(C934:C1350)&gt;0,P$3=FALSE),
ROUNDDOWN(INDEX(Y$4:Y1350,MATCH(LARGE(FILTER(W$4:W1350,W$4:W1350&lt;=I934),1),W$4:W1350"&amp;"))+(I934-LARGE(FILTER(W$4:W1350,W$4:W1350&lt;=I934),1))*INDEX(T$4:T1350,MATCH(LARGE(FILTER(W$4:W1350,W$4:W1350&lt;=I934),1),W$4:W1350))-K934),1,
ROUNDDOWN(Y934-INDEX(K$4:K1350,MATCH(LARGE(FILTER(I$4:I1350,I$4:I1350&lt;=W934),1),I$4:I1350))-(W934-LARGE(FILTER(I$4:I"&amp;"1350,I$4:I1350&lt;=W934),1))*INDEX(F$4:F1350,MATCH(LARGE(FILTER(I$4:I1350,I$4:I1350&lt;=W934),1),I$4:I1350))))"),"")</f>
        <v/>
      </c>
      <c r="N934" s="60" t="str">
        <f t="shared" si="8"/>
        <v/>
      </c>
      <c r="O934" s="61" t="str">
        <f t="shared" si="9"/>
        <v/>
      </c>
      <c r="P934" s="56" t="str">
        <f t="shared" si="10"/>
        <v/>
      </c>
      <c r="Q934" s="62"/>
      <c r="R934" s="10" t="str">
        <f>IFERROR(__xludf.DUMMYFUNCTION("IF(COUNTA(Q934:Q1350)=0,"""",IF(ISBLANK(Q934),FALSE,IF(NOT(COUNTIF($AA$24:$AA$34,SUBSTITUTE(Q934,""Sell_"",""""))),1,IF(REGEXMATCH(Q934,""Sell_""),IF(COUNTIF(Q$4:Q934,SUBSTITUTE(Q934,""Sell_"",""""))-COUNTIF(Q$4:Q933,Q934)&lt;1,1),FALSE))))"),"")</f>
        <v/>
      </c>
      <c r="S934" s="59" t="str">
        <f t="array" ref="S934">IF(COUNTA(Q934:Q1350)=0,"",SUM((COUNTIF(Q$4:Q934,Upgrades!$B$3:$B$13)-COUNTIF(Q$4:Q934,"Sell_"&amp;Upgrades!$B$3:$B$13))*Upgrades!$D$3:$D$13))</f>
        <v/>
      </c>
      <c r="T934" s="66" t="str">
        <f>IFERROR(__xludf.DUMMYFUNCTION("IF(COUNTA(Q934:Q1350)=0,"""",IF(REGEXMATCH(INDEX(FILTER(Q$4:Q934,Q$4:Q934&lt;&gt;""""),ROWS(FILTER(Q$4:Q934,Q$4:Q934&lt;&gt;""""))),""^Sell_""),INDEX(FILTER(T$4:T933,Q$4:Q933&lt;&gt;""""),ROWS(FILTER(Q$4:Q933,Q$4:Q933&lt;&gt;""""))),$AD$5+S934))"),"")</f>
        <v/>
      </c>
      <c r="U934" s="10" t="str">
        <f>IFERROR(__xludf.DUMMYFUNCTION("IF(COUNTA(Q934:Q1350)=0,"""",IF(Q934="""",0,IF(REGEXMATCH(Q934,""^Sell_""),-ROUNDDOWN(ROUNDUP(INDEX(Upgrades!$C$3:$C$13,MATCH(SUBSTITUTE(Q934,""Sell_"",""""),Upgrades!$B$3:$B$13,0))*1.15^(COUNTIF(Q$4:Q933,SUBSTITUTE(Q934,""Sell_"",""""))-COUNTIF(Q$4:Q933,"&amp;"""Sell_""&amp;SUBSTITUTE(Q934,""Sell_"",""""))))/2),ROUNDUP(INDEX(Upgrades!$C$3:$C$13,MATCH(Q934,Upgrades!$B$3:$B$13,0))*1.15^(COUNTIF(Q$4:Q933,Q934)-COUNTIF(Q$4:Q933,""Sell_""&amp;Q934))))))"),"")</f>
        <v/>
      </c>
      <c r="V934" s="10" t="str">
        <f t="shared" si="11"/>
        <v/>
      </c>
      <c r="W934" s="68" t="str">
        <f t="shared" si="12"/>
        <v/>
      </c>
      <c r="X934" s="59" t="str">
        <f t="shared" si="13"/>
        <v/>
      </c>
      <c r="Y934" s="69" t="str">
        <f t="shared" si="14"/>
        <v/>
      </c>
      <c r="Z934" s="11"/>
    </row>
    <row r="935">
      <c r="A935" s="8"/>
      <c r="B935" s="56" t="str">
        <f t="shared" si="2"/>
        <v/>
      </c>
      <c r="C935" s="57"/>
      <c r="D935" s="10" t="str">
        <f>IFERROR(__xludf.DUMMYFUNCTION("IF(COUNTA(C935:C1350)=0,"""",IF(ISBLANK(C935),FALSE,IF(NOT(COUNTIF($AA$24:$AA$34,SUBSTITUTE(C935,""Sell_"",""""))),1,IF(REGEXMATCH(C935,""Sell_""),IF(COUNTIF(C$4:C935,SUBSTITUTE(C935,""Sell_"",""""))-COUNTIF(C$4:C934,C935)&lt;1,1),FALSE))))"),"")</f>
        <v/>
      </c>
      <c r="E935" s="59" t="str">
        <f t="array" ref="E935">IF(COUNTA(C935:C1350)=0,"",SUM((COUNTIF(C$4:C935,Upgrades!$B$3:$B$13)-COUNTIF(C$4:C935,"Sell_"&amp;Upgrades!$B$3:$B$13))*Upgrades!$D$3:$D$13))</f>
        <v/>
      </c>
      <c r="F935" s="66" t="str">
        <f>IFERROR(__xludf.DUMMYFUNCTION("IF(COUNTA(C935:C1350)=0,"""",IF(REGEXMATCH(INDEX(FILTER(C$4:C935,C$4:C935&lt;&gt;""""),ROWS(FILTER(C$4:C935,C$4:C935&lt;&gt;""""))),""^Sell_""),INDEX(FILTER(F$4:F934,C$4:C934&lt;&gt;""""),ROWS(FILTER(C$4:C934,C$4:C934&lt;&gt;""""))),$AC$5+E935))"),"")</f>
        <v/>
      </c>
      <c r="G935" s="10" t="str">
        <f>IFERROR(__xludf.DUMMYFUNCTION("IF(COUNTA(C935:C1350)=0,"""",IF(C935="""",0,IF(REGEXMATCH(C935,""^Sell_""),-ROUNDDOWN(ROUNDUP(INDEX(Upgrades!$C$3:$C$13,MATCH(SUBSTITUTE(C935,""Sell_"",""""),Upgrades!$B$3:$B$13,0))*1.15^(COUNTIF(C$4:C934,SUBSTITUTE(C935,""Sell_"",""""))-COUNTIF(C$4:C934,"&amp;"""Sell_""&amp;SUBSTITUTE(C935,""Sell_"",""""))))/2),ROUNDUP(INDEX(Upgrades!$C$3:$C$13,MATCH(C935,Upgrades!$B$3:$B$13,0))*1.15^(COUNTIF(C$4:C934,C935)-COUNTIF(C$4:C934,""Sell_""&amp;C935))))))"),"")</f>
        <v/>
      </c>
      <c r="H935" s="10" t="str">
        <f t="shared" si="3"/>
        <v/>
      </c>
      <c r="I935" s="68" t="str">
        <f t="shared" si="4"/>
        <v/>
      </c>
      <c r="J935" s="59" t="str">
        <f t="shared" si="5"/>
        <v/>
      </c>
      <c r="K935" s="69" t="str">
        <f t="shared" si="6"/>
        <v/>
      </c>
      <c r="L935" s="60" t="str">
        <f t="shared" si="7"/>
        <v/>
      </c>
      <c r="M935" s="61" t="str">
        <f>IFERROR(__xludf.DUMMYFUNCTION("IFS(AND(COUNTA(C935:C1350)=0,COUNTA(Q935:Q1350)=0),"""",OR(AND(K935&gt;=1000000000,OR(Y935&gt;=1000000000,COUNTA(Q935:Q1350)=0)),OR(Y935&gt;=1000000000,AND(COUNTA(C935:C1350)=0,P$3=TRUE))),
ROUNDDOWN((AB$1-AC$1)*MAX(INDEX(T$4:T1350,MATCH(LARGE(FILTER(Y$4:Y1350,Y$4"&amp;":Y1350&lt;1000000000),1),Y$4:Y1350)),INDEX(F$4:F1350,MATCH(LARGE(FILTER(K$4:K1350,K$4:K1350&lt;1000000000),1),K$4:K1350)))),AND(K935&lt;1000000000,COUNTA(C935:C1350)&gt;0,P$3=FALSE),
ROUNDDOWN(INDEX(Y$4:Y1350,MATCH(LARGE(FILTER(W$4:W1350,W$4:W1350&lt;=I935),1),W$4:W1350"&amp;"))+(I935-LARGE(FILTER(W$4:W1350,W$4:W1350&lt;=I935),1))*INDEX(T$4:T1350,MATCH(LARGE(FILTER(W$4:W1350,W$4:W1350&lt;=I935),1),W$4:W1350))-K935),1,
ROUNDDOWN(Y935-INDEX(K$4:K1350,MATCH(LARGE(FILTER(I$4:I1350,I$4:I1350&lt;=W935),1),I$4:I1350))-(W935-LARGE(FILTER(I$4:I"&amp;"1350,I$4:I1350&lt;=W935),1))*INDEX(F$4:F1350,MATCH(LARGE(FILTER(I$4:I1350,I$4:I1350&lt;=W935),1),I$4:I1350))))"),"")</f>
        <v/>
      </c>
      <c r="N935" s="60" t="str">
        <f t="shared" si="8"/>
        <v/>
      </c>
      <c r="O935" s="61" t="str">
        <f t="shared" si="9"/>
        <v/>
      </c>
      <c r="P935" s="56" t="str">
        <f t="shared" si="10"/>
        <v/>
      </c>
      <c r="Q935" s="62"/>
      <c r="R935" s="10" t="str">
        <f>IFERROR(__xludf.DUMMYFUNCTION("IF(COUNTA(Q935:Q1350)=0,"""",IF(ISBLANK(Q935),FALSE,IF(NOT(COUNTIF($AA$24:$AA$34,SUBSTITUTE(Q935,""Sell_"",""""))),1,IF(REGEXMATCH(Q935,""Sell_""),IF(COUNTIF(Q$4:Q935,SUBSTITUTE(Q935,""Sell_"",""""))-COUNTIF(Q$4:Q934,Q935)&lt;1,1),FALSE))))"),"")</f>
        <v/>
      </c>
      <c r="S935" s="59" t="str">
        <f t="array" ref="S935">IF(COUNTA(Q935:Q1350)=0,"",SUM((COUNTIF(Q$4:Q935,Upgrades!$B$3:$B$13)-COUNTIF(Q$4:Q935,"Sell_"&amp;Upgrades!$B$3:$B$13))*Upgrades!$D$3:$D$13))</f>
        <v/>
      </c>
      <c r="T935" s="66" t="str">
        <f>IFERROR(__xludf.DUMMYFUNCTION("IF(COUNTA(Q935:Q1350)=0,"""",IF(REGEXMATCH(INDEX(FILTER(Q$4:Q935,Q$4:Q935&lt;&gt;""""),ROWS(FILTER(Q$4:Q935,Q$4:Q935&lt;&gt;""""))),""^Sell_""),INDEX(FILTER(T$4:T934,Q$4:Q934&lt;&gt;""""),ROWS(FILTER(Q$4:Q934,Q$4:Q934&lt;&gt;""""))),$AD$5+S935))"),"")</f>
        <v/>
      </c>
      <c r="U935" s="10" t="str">
        <f>IFERROR(__xludf.DUMMYFUNCTION("IF(COUNTA(Q935:Q1350)=0,"""",IF(Q935="""",0,IF(REGEXMATCH(Q935,""^Sell_""),-ROUNDDOWN(ROUNDUP(INDEX(Upgrades!$C$3:$C$13,MATCH(SUBSTITUTE(Q935,""Sell_"",""""),Upgrades!$B$3:$B$13,0))*1.15^(COUNTIF(Q$4:Q934,SUBSTITUTE(Q935,""Sell_"",""""))-COUNTIF(Q$4:Q934,"&amp;"""Sell_""&amp;SUBSTITUTE(Q935,""Sell_"",""""))))/2),ROUNDUP(INDEX(Upgrades!$C$3:$C$13,MATCH(Q935,Upgrades!$B$3:$B$13,0))*1.15^(COUNTIF(Q$4:Q934,Q935)-COUNTIF(Q$4:Q934,""Sell_""&amp;Q935))))))"),"")</f>
        <v/>
      </c>
      <c r="V935" s="10" t="str">
        <f t="shared" si="11"/>
        <v/>
      </c>
      <c r="W935" s="68" t="str">
        <f t="shared" si="12"/>
        <v/>
      </c>
      <c r="X935" s="59" t="str">
        <f t="shared" si="13"/>
        <v/>
      </c>
      <c r="Y935" s="69" t="str">
        <f t="shared" si="14"/>
        <v/>
      </c>
      <c r="Z935" s="11"/>
    </row>
    <row r="936">
      <c r="A936" s="8"/>
      <c r="B936" s="56" t="str">
        <f t="shared" si="2"/>
        <v/>
      </c>
      <c r="C936" s="57"/>
      <c r="D936" s="10" t="str">
        <f>IFERROR(__xludf.DUMMYFUNCTION("IF(COUNTA(C936:C1350)=0,"""",IF(ISBLANK(C936),FALSE,IF(NOT(COUNTIF($AA$24:$AA$34,SUBSTITUTE(C936,""Sell_"",""""))),1,IF(REGEXMATCH(C936,""Sell_""),IF(COUNTIF(C$4:C936,SUBSTITUTE(C936,""Sell_"",""""))-COUNTIF(C$4:C935,C936)&lt;1,1),FALSE))))"),"")</f>
        <v/>
      </c>
      <c r="E936" s="59" t="str">
        <f t="array" ref="E936">IF(COUNTA(C936:C1350)=0,"",SUM((COUNTIF(C$4:C936,Upgrades!$B$3:$B$13)-COUNTIF(C$4:C936,"Sell_"&amp;Upgrades!$B$3:$B$13))*Upgrades!$D$3:$D$13))</f>
        <v/>
      </c>
      <c r="F936" s="66" t="str">
        <f>IFERROR(__xludf.DUMMYFUNCTION("IF(COUNTA(C936:C1350)=0,"""",IF(REGEXMATCH(INDEX(FILTER(C$4:C936,C$4:C936&lt;&gt;""""),ROWS(FILTER(C$4:C936,C$4:C936&lt;&gt;""""))),""^Sell_""),INDEX(FILTER(F$4:F935,C$4:C935&lt;&gt;""""),ROWS(FILTER(C$4:C935,C$4:C935&lt;&gt;""""))),$AC$5+E936))"),"")</f>
        <v/>
      </c>
      <c r="G936" s="10" t="str">
        <f>IFERROR(__xludf.DUMMYFUNCTION("IF(COUNTA(C936:C1350)=0,"""",IF(C936="""",0,IF(REGEXMATCH(C936,""^Sell_""),-ROUNDDOWN(ROUNDUP(INDEX(Upgrades!$C$3:$C$13,MATCH(SUBSTITUTE(C936,""Sell_"",""""),Upgrades!$B$3:$B$13,0))*1.15^(COUNTIF(C$4:C935,SUBSTITUTE(C936,""Sell_"",""""))-COUNTIF(C$4:C935,"&amp;"""Sell_""&amp;SUBSTITUTE(C936,""Sell_"",""""))))/2),ROUNDUP(INDEX(Upgrades!$C$3:$C$13,MATCH(C936,Upgrades!$B$3:$B$13,0))*1.15^(COUNTIF(C$4:C935,C936)-COUNTIF(C$4:C935,""Sell_""&amp;C936))))))"),"")</f>
        <v/>
      </c>
      <c r="H936" s="10" t="str">
        <f t="shared" si="3"/>
        <v/>
      </c>
      <c r="I936" s="68" t="str">
        <f t="shared" si="4"/>
        <v/>
      </c>
      <c r="J936" s="59" t="str">
        <f t="shared" si="5"/>
        <v/>
      </c>
      <c r="K936" s="69" t="str">
        <f t="shared" si="6"/>
        <v/>
      </c>
      <c r="L936" s="60" t="str">
        <f t="shared" si="7"/>
        <v/>
      </c>
      <c r="M936" s="61" t="str">
        <f>IFERROR(__xludf.DUMMYFUNCTION("IFS(AND(COUNTA(C936:C1350)=0,COUNTA(Q936:Q1350)=0),"""",OR(AND(K936&gt;=1000000000,OR(Y936&gt;=1000000000,COUNTA(Q936:Q1350)=0)),OR(Y936&gt;=1000000000,AND(COUNTA(C936:C1350)=0,P$3=TRUE))),
ROUNDDOWN((AB$1-AC$1)*MAX(INDEX(T$4:T1350,MATCH(LARGE(FILTER(Y$4:Y1350,Y$4"&amp;":Y1350&lt;1000000000),1),Y$4:Y1350)),INDEX(F$4:F1350,MATCH(LARGE(FILTER(K$4:K1350,K$4:K1350&lt;1000000000),1),K$4:K1350)))),AND(K936&lt;1000000000,COUNTA(C936:C1350)&gt;0,P$3=FALSE),
ROUNDDOWN(INDEX(Y$4:Y1350,MATCH(LARGE(FILTER(W$4:W1350,W$4:W1350&lt;=I936),1),W$4:W1350"&amp;"))+(I936-LARGE(FILTER(W$4:W1350,W$4:W1350&lt;=I936),1))*INDEX(T$4:T1350,MATCH(LARGE(FILTER(W$4:W1350,W$4:W1350&lt;=I936),1),W$4:W1350))-K936),1,
ROUNDDOWN(Y936-INDEX(K$4:K1350,MATCH(LARGE(FILTER(I$4:I1350,I$4:I1350&lt;=W936),1),I$4:I1350))-(W936-LARGE(FILTER(I$4:I"&amp;"1350,I$4:I1350&lt;=W936),1))*INDEX(F$4:F1350,MATCH(LARGE(FILTER(I$4:I1350,I$4:I1350&lt;=W936),1),I$4:I1350))))"),"")</f>
        <v/>
      </c>
      <c r="N936" s="60" t="str">
        <f t="shared" si="8"/>
        <v/>
      </c>
      <c r="O936" s="61" t="str">
        <f t="shared" si="9"/>
        <v/>
      </c>
      <c r="P936" s="56" t="str">
        <f t="shared" si="10"/>
        <v/>
      </c>
      <c r="Q936" s="62"/>
      <c r="R936" s="10" t="str">
        <f>IFERROR(__xludf.DUMMYFUNCTION("IF(COUNTA(Q936:Q1350)=0,"""",IF(ISBLANK(Q936),FALSE,IF(NOT(COUNTIF($AA$24:$AA$34,SUBSTITUTE(Q936,""Sell_"",""""))),1,IF(REGEXMATCH(Q936,""Sell_""),IF(COUNTIF(Q$4:Q936,SUBSTITUTE(Q936,""Sell_"",""""))-COUNTIF(Q$4:Q935,Q936)&lt;1,1),FALSE))))"),"")</f>
        <v/>
      </c>
      <c r="S936" s="59" t="str">
        <f t="array" ref="S936">IF(COUNTA(Q936:Q1350)=0,"",SUM((COUNTIF(Q$4:Q936,Upgrades!$B$3:$B$13)-COUNTIF(Q$4:Q936,"Sell_"&amp;Upgrades!$B$3:$B$13))*Upgrades!$D$3:$D$13))</f>
        <v/>
      </c>
      <c r="T936" s="66" t="str">
        <f>IFERROR(__xludf.DUMMYFUNCTION("IF(COUNTA(Q936:Q1350)=0,"""",IF(REGEXMATCH(INDEX(FILTER(Q$4:Q936,Q$4:Q936&lt;&gt;""""),ROWS(FILTER(Q$4:Q936,Q$4:Q936&lt;&gt;""""))),""^Sell_""),INDEX(FILTER(T$4:T935,Q$4:Q935&lt;&gt;""""),ROWS(FILTER(Q$4:Q935,Q$4:Q935&lt;&gt;""""))),$AD$5+S936))"),"")</f>
        <v/>
      </c>
      <c r="U936" s="10" t="str">
        <f>IFERROR(__xludf.DUMMYFUNCTION("IF(COUNTA(Q936:Q1350)=0,"""",IF(Q936="""",0,IF(REGEXMATCH(Q936,""^Sell_""),-ROUNDDOWN(ROUNDUP(INDEX(Upgrades!$C$3:$C$13,MATCH(SUBSTITUTE(Q936,""Sell_"",""""),Upgrades!$B$3:$B$13,0))*1.15^(COUNTIF(Q$4:Q935,SUBSTITUTE(Q936,""Sell_"",""""))-COUNTIF(Q$4:Q935,"&amp;"""Sell_""&amp;SUBSTITUTE(Q936,""Sell_"",""""))))/2),ROUNDUP(INDEX(Upgrades!$C$3:$C$13,MATCH(Q936,Upgrades!$B$3:$B$13,0))*1.15^(COUNTIF(Q$4:Q935,Q936)-COUNTIF(Q$4:Q935,""Sell_""&amp;Q936))))))"),"")</f>
        <v/>
      </c>
      <c r="V936" s="10" t="str">
        <f t="shared" si="11"/>
        <v/>
      </c>
      <c r="W936" s="68" t="str">
        <f t="shared" si="12"/>
        <v/>
      </c>
      <c r="X936" s="59" t="str">
        <f t="shared" si="13"/>
        <v/>
      </c>
      <c r="Y936" s="69" t="str">
        <f t="shared" si="14"/>
        <v/>
      </c>
      <c r="Z936" s="11"/>
    </row>
    <row r="937">
      <c r="A937" s="8"/>
      <c r="B937" s="56" t="str">
        <f t="shared" si="2"/>
        <v/>
      </c>
      <c r="C937" s="57"/>
      <c r="D937" s="10" t="str">
        <f>IFERROR(__xludf.DUMMYFUNCTION("IF(COUNTA(C937:C1350)=0,"""",IF(ISBLANK(C937),FALSE,IF(NOT(COUNTIF($AA$24:$AA$34,SUBSTITUTE(C937,""Sell_"",""""))),1,IF(REGEXMATCH(C937,""Sell_""),IF(COUNTIF(C$4:C937,SUBSTITUTE(C937,""Sell_"",""""))-COUNTIF(C$4:C936,C937)&lt;1,1),FALSE))))"),"")</f>
        <v/>
      </c>
      <c r="E937" s="59" t="str">
        <f t="array" ref="E937">IF(COUNTA(C937:C1350)=0,"",SUM((COUNTIF(C$4:C937,Upgrades!$B$3:$B$13)-COUNTIF(C$4:C937,"Sell_"&amp;Upgrades!$B$3:$B$13))*Upgrades!$D$3:$D$13))</f>
        <v/>
      </c>
      <c r="F937" s="66" t="str">
        <f>IFERROR(__xludf.DUMMYFUNCTION("IF(COUNTA(C937:C1350)=0,"""",IF(REGEXMATCH(INDEX(FILTER(C$4:C937,C$4:C937&lt;&gt;""""),ROWS(FILTER(C$4:C937,C$4:C937&lt;&gt;""""))),""^Sell_""),INDEX(FILTER(F$4:F936,C$4:C936&lt;&gt;""""),ROWS(FILTER(C$4:C936,C$4:C936&lt;&gt;""""))),$AC$5+E937))"),"")</f>
        <v/>
      </c>
      <c r="G937" s="10" t="str">
        <f>IFERROR(__xludf.DUMMYFUNCTION("IF(COUNTA(C937:C1350)=0,"""",IF(C937="""",0,IF(REGEXMATCH(C937,""^Sell_""),-ROUNDDOWN(ROUNDUP(INDEX(Upgrades!$C$3:$C$13,MATCH(SUBSTITUTE(C937,""Sell_"",""""),Upgrades!$B$3:$B$13,0))*1.15^(COUNTIF(C$4:C936,SUBSTITUTE(C937,""Sell_"",""""))-COUNTIF(C$4:C936,"&amp;"""Sell_""&amp;SUBSTITUTE(C937,""Sell_"",""""))))/2),ROUNDUP(INDEX(Upgrades!$C$3:$C$13,MATCH(C937,Upgrades!$B$3:$B$13,0))*1.15^(COUNTIF(C$4:C936,C937)-COUNTIF(C$4:C936,""Sell_""&amp;C937))))))"),"")</f>
        <v/>
      </c>
      <c r="H937" s="10" t="str">
        <f t="shared" si="3"/>
        <v/>
      </c>
      <c r="I937" s="68" t="str">
        <f t="shared" si="4"/>
        <v/>
      </c>
      <c r="J937" s="59" t="str">
        <f t="shared" si="5"/>
        <v/>
      </c>
      <c r="K937" s="69" t="str">
        <f t="shared" si="6"/>
        <v/>
      </c>
      <c r="L937" s="60" t="str">
        <f t="shared" si="7"/>
        <v/>
      </c>
      <c r="M937" s="61" t="str">
        <f>IFERROR(__xludf.DUMMYFUNCTION("IFS(AND(COUNTA(C937:C1350)=0,COUNTA(Q937:Q1350)=0),"""",OR(AND(K937&gt;=1000000000,OR(Y937&gt;=1000000000,COUNTA(Q937:Q1350)=0)),OR(Y937&gt;=1000000000,AND(COUNTA(C937:C1350)=0,P$3=TRUE))),
ROUNDDOWN((AB$1-AC$1)*MAX(INDEX(T$4:T1350,MATCH(LARGE(FILTER(Y$4:Y1350,Y$4"&amp;":Y1350&lt;1000000000),1),Y$4:Y1350)),INDEX(F$4:F1350,MATCH(LARGE(FILTER(K$4:K1350,K$4:K1350&lt;1000000000),1),K$4:K1350)))),AND(K937&lt;1000000000,COUNTA(C937:C1350)&gt;0,P$3=FALSE),
ROUNDDOWN(INDEX(Y$4:Y1350,MATCH(LARGE(FILTER(W$4:W1350,W$4:W1350&lt;=I937),1),W$4:W1350"&amp;"))+(I937-LARGE(FILTER(W$4:W1350,W$4:W1350&lt;=I937),1))*INDEX(T$4:T1350,MATCH(LARGE(FILTER(W$4:W1350,W$4:W1350&lt;=I937),1),W$4:W1350))-K937),1,
ROUNDDOWN(Y937-INDEX(K$4:K1350,MATCH(LARGE(FILTER(I$4:I1350,I$4:I1350&lt;=W937),1),I$4:I1350))-(W937-LARGE(FILTER(I$4:I"&amp;"1350,I$4:I1350&lt;=W937),1))*INDEX(F$4:F1350,MATCH(LARGE(FILTER(I$4:I1350,I$4:I1350&lt;=W937),1),I$4:I1350))))"),"")</f>
        <v/>
      </c>
      <c r="N937" s="60" t="str">
        <f t="shared" si="8"/>
        <v/>
      </c>
      <c r="O937" s="61" t="str">
        <f t="shared" si="9"/>
        <v/>
      </c>
      <c r="P937" s="56" t="str">
        <f t="shared" si="10"/>
        <v/>
      </c>
      <c r="Q937" s="62"/>
      <c r="R937" s="10" t="str">
        <f>IFERROR(__xludf.DUMMYFUNCTION("IF(COUNTA(Q937:Q1350)=0,"""",IF(ISBLANK(Q937),FALSE,IF(NOT(COUNTIF($AA$24:$AA$34,SUBSTITUTE(Q937,""Sell_"",""""))),1,IF(REGEXMATCH(Q937,""Sell_""),IF(COUNTIF(Q$4:Q937,SUBSTITUTE(Q937,""Sell_"",""""))-COUNTIF(Q$4:Q936,Q937)&lt;1,1),FALSE))))"),"")</f>
        <v/>
      </c>
      <c r="S937" s="59" t="str">
        <f t="array" ref="S937">IF(COUNTA(Q937:Q1350)=0,"",SUM((COUNTIF(Q$4:Q937,Upgrades!$B$3:$B$13)-COUNTIF(Q$4:Q937,"Sell_"&amp;Upgrades!$B$3:$B$13))*Upgrades!$D$3:$D$13))</f>
        <v/>
      </c>
      <c r="T937" s="66" t="str">
        <f>IFERROR(__xludf.DUMMYFUNCTION("IF(COUNTA(Q937:Q1350)=0,"""",IF(REGEXMATCH(INDEX(FILTER(Q$4:Q937,Q$4:Q937&lt;&gt;""""),ROWS(FILTER(Q$4:Q937,Q$4:Q937&lt;&gt;""""))),""^Sell_""),INDEX(FILTER(T$4:T936,Q$4:Q936&lt;&gt;""""),ROWS(FILTER(Q$4:Q936,Q$4:Q936&lt;&gt;""""))),$AD$5+S937))"),"")</f>
        <v/>
      </c>
      <c r="U937" s="10" t="str">
        <f>IFERROR(__xludf.DUMMYFUNCTION("IF(COUNTA(Q937:Q1350)=0,"""",IF(Q937="""",0,IF(REGEXMATCH(Q937,""^Sell_""),-ROUNDDOWN(ROUNDUP(INDEX(Upgrades!$C$3:$C$13,MATCH(SUBSTITUTE(Q937,""Sell_"",""""),Upgrades!$B$3:$B$13,0))*1.15^(COUNTIF(Q$4:Q936,SUBSTITUTE(Q937,""Sell_"",""""))-COUNTIF(Q$4:Q936,"&amp;"""Sell_""&amp;SUBSTITUTE(Q937,""Sell_"",""""))))/2),ROUNDUP(INDEX(Upgrades!$C$3:$C$13,MATCH(Q937,Upgrades!$B$3:$B$13,0))*1.15^(COUNTIF(Q$4:Q936,Q937)-COUNTIF(Q$4:Q936,""Sell_""&amp;Q937))))))"),"")</f>
        <v/>
      </c>
      <c r="V937" s="10" t="str">
        <f t="shared" si="11"/>
        <v/>
      </c>
      <c r="W937" s="68" t="str">
        <f t="shared" si="12"/>
        <v/>
      </c>
      <c r="X937" s="59" t="str">
        <f t="shared" si="13"/>
        <v/>
      </c>
      <c r="Y937" s="69" t="str">
        <f t="shared" si="14"/>
        <v/>
      </c>
      <c r="Z937" s="11"/>
    </row>
    <row r="938">
      <c r="A938" s="8"/>
      <c r="B938" s="56" t="str">
        <f t="shared" si="2"/>
        <v/>
      </c>
      <c r="C938" s="57"/>
      <c r="D938" s="10" t="str">
        <f>IFERROR(__xludf.DUMMYFUNCTION("IF(COUNTA(C938:C1350)=0,"""",IF(ISBLANK(C938),FALSE,IF(NOT(COUNTIF($AA$24:$AA$34,SUBSTITUTE(C938,""Sell_"",""""))),1,IF(REGEXMATCH(C938,""Sell_""),IF(COUNTIF(C$4:C938,SUBSTITUTE(C938,""Sell_"",""""))-COUNTIF(C$4:C937,C938)&lt;1,1),FALSE))))"),"")</f>
        <v/>
      </c>
      <c r="E938" s="59" t="str">
        <f t="array" ref="E938">IF(COUNTA(C938:C1350)=0,"",SUM((COUNTIF(C$4:C938,Upgrades!$B$3:$B$13)-COUNTIF(C$4:C938,"Sell_"&amp;Upgrades!$B$3:$B$13))*Upgrades!$D$3:$D$13))</f>
        <v/>
      </c>
      <c r="F938" s="66" t="str">
        <f>IFERROR(__xludf.DUMMYFUNCTION("IF(COUNTA(C938:C1350)=0,"""",IF(REGEXMATCH(INDEX(FILTER(C$4:C938,C$4:C938&lt;&gt;""""),ROWS(FILTER(C$4:C938,C$4:C938&lt;&gt;""""))),""^Sell_""),INDEX(FILTER(F$4:F937,C$4:C937&lt;&gt;""""),ROWS(FILTER(C$4:C937,C$4:C937&lt;&gt;""""))),$AC$5+E938))"),"")</f>
        <v/>
      </c>
      <c r="G938" s="10" t="str">
        <f>IFERROR(__xludf.DUMMYFUNCTION("IF(COUNTA(C938:C1350)=0,"""",IF(C938="""",0,IF(REGEXMATCH(C938,""^Sell_""),-ROUNDDOWN(ROUNDUP(INDEX(Upgrades!$C$3:$C$13,MATCH(SUBSTITUTE(C938,""Sell_"",""""),Upgrades!$B$3:$B$13,0))*1.15^(COUNTIF(C$4:C937,SUBSTITUTE(C938,""Sell_"",""""))-COUNTIF(C$4:C937,"&amp;"""Sell_""&amp;SUBSTITUTE(C938,""Sell_"",""""))))/2),ROUNDUP(INDEX(Upgrades!$C$3:$C$13,MATCH(C938,Upgrades!$B$3:$B$13,0))*1.15^(COUNTIF(C$4:C937,C938)-COUNTIF(C$4:C937,""Sell_""&amp;C938))))))"),"")</f>
        <v/>
      </c>
      <c r="H938" s="10" t="str">
        <f t="shared" si="3"/>
        <v/>
      </c>
      <c r="I938" s="68" t="str">
        <f t="shared" si="4"/>
        <v/>
      </c>
      <c r="J938" s="59" t="str">
        <f t="shared" si="5"/>
        <v/>
      </c>
      <c r="K938" s="69" t="str">
        <f t="shared" si="6"/>
        <v/>
      </c>
      <c r="L938" s="60" t="str">
        <f t="shared" si="7"/>
        <v/>
      </c>
      <c r="M938" s="61" t="str">
        <f>IFERROR(__xludf.DUMMYFUNCTION("IFS(AND(COUNTA(C938:C1350)=0,COUNTA(Q938:Q1350)=0),"""",OR(AND(K938&gt;=1000000000,OR(Y938&gt;=1000000000,COUNTA(Q938:Q1350)=0)),OR(Y938&gt;=1000000000,AND(COUNTA(C938:C1350)=0,P$3=TRUE))),
ROUNDDOWN((AB$1-AC$1)*MAX(INDEX(T$4:T1350,MATCH(LARGE(FILTER(Y$4:Y1350,Y$4"&amp;":Y1350&lt;1000000000),1),Y$4:Y1350)),INDEX(F$4:F1350,MATCH(LARGE(FILTER(K$4:K1350,K$4:K1350&lt;1000000000),1),K$4:K1350)))),AND(K938&lt;1000000000,COUNTA(C938:C1350)&gt;0,P$3=FALSE),
ROUNDDOWN(INDEX(Y$4:Y1350,MATCH(LARGE(FILTER(W$4:W1350,W$4:W1350&lt;=I938),1),W$4:W1350"&amp;"))+(I938-LARGE(FILTER(W$4:W1350,W$4:W1350&lt;=I938),1))*INDEX(T$4:T1350,MATCH(LARGE(FILTER(W$4:W1350,W$4:W1350&lt;=I938),1),W$4:W1350))-K938),1,
ROUNDDOWN(Y938-INDEX(K$4:K1350,MATCH(LARGE(FILTER(I$4:I1350,I$4:I1350&lt;=W938),1),I$4:I1350))-(W938-LARGE(FILTER(I$4:I"&amp;"1350,I$4:I1350&lt;=W938),1))*INDEX(F$4:F1350,MATCH(LARGE(FILTER(I$4:I1350,I$4:I1350&lt;=W938),1),I$4:I1350))))"),"")</f>
        <v/>
      </c>
      <c r="N938" s="60" t="str">
        <f t="shared" si="8"/>
        <v/>
      </c>
      <c r="O938" s="61" t="str">
        <f t="shared" si="9"/>
        <v/>
      </c>
      <c r="P938" s="56" t="str">
        <f t="shared" si="10"/>
        <v/>
      </c>
      <c r="Q938" s="62"/>
      <c r="R938" s="10" t="str">
        <f>IFERROR(__xludf.DUMMYFUNCTION("IF(COUNTA(Q938:Q1350)=0,"""",IF(ISBLANK(Q938),FALSE,IF(NOT(COUNTIF($AA$24:$AA$34,SUBSTITUTE(Q938,""Sell_"",""""))),1,IF(REGEXMATCH(Q938,""Sell_""),IF(COUNTIF(Q$4:Q938,SUBSTITUTE(Q938,""Sell_"",""""))-COUNTIF(Q$4:Q937,Q938)&lt;1,1),FALSE))))"),"")</f>
        <v/>
      </c>
      <c r="S938" s="59" t="str">
        <f t="array" ref="S938">IF(COUNTA(Q938:Q1350)=0,"",SUM((COUNTIF(Q$4:Q938,Upgrades!$B$3:$B$13)-COUNTIF(Q$4:Q938,"Sell_"&amp;Upgrades!$B$3:$B$13))*Upgrades!$D$3:$D$13))</f>
        <v/>
      </c>
      <c r="T938" s="66" t="str">
        <f>IFERROR(__xludf.DUMMYFUNCTION("IF(COUNTA(Q938:Q1350)=0,"""",IF(REGEXMATCH(INDEX(FILTER(Q$4:Q938,Q$4:Q938&lt;&gt;""""),ROWS(FILTER(Q$4:Q938,Q$4:Q938&lt;&gt;""""))),""^Sell_""),INDEX(FILTER(T$4:T937,Q$4:Q937&lt;&gt;""""),ROWS(FILTER(Q$4:Q937,Q$4:Q937&lt;&gt;""""))),$AD$5+S938))"),"")</f>
        <v/>
      </c>
      <c r="U938" s="10" t="str">
        <f>IFERROR(__xludf.DUMMYFUNCTION("IF(COUNTA(Q938:Q1350)=0,"""",IF(Q938="""",0,IF(REGEXMATCH(Q938,""^Sell_""),-ROUNDDOWN(ROUNDUP(INDEX(Upgrades!$C$3:$C$13,MATCH(SUBSTITUTE(Q938,""Sell_"",""""),Upgrades!$B$3:$B$13,0))*1.15^(COUNTIF(Q$4:Q937,SUBSTITUTE(Q938,""Sell_"",""""))-COUNTIF(Q$4:Q937,"&amp;"""Sell_""&amp;SUBSTITUTE(Q938,""Sell_"",""""))))/2),ROUNDUP(INDEX(Upgrades!$C$3:$C$13,MATCH(Q938,Upgrades!$B$3:$B$13,0))*1.15^(COUNTIF(Q$4:Q937,Q938)-COUNTIF(Q$4:Q937,""Sell_""&amp;Q938))))))"),"")</f>
        <v/>
      </c>
      <c r="V938" s="10" t="str">
        <f t="shared" si="11"/>
        <v/>
      </c>
      <c r="W938" s="68" t="str">
        <f t="shared" si="12"/>
        <v/>
      </c>
      <c r="X938" s="59" t="str">
        <f t="shared" si="13"/>
        <v/>
      </c>
      <c r="Y938" s="69" t="str">
        <f t="shared" si="14"/>
        <v/>
      </c>
      <c r="Z938" s="11"/>
    </row>
    <row r="939">
      <c r="A939" s="8"/>
      <c r="B939" s="56" t="str">
        <f t="shared" si="2"/>
        <v/>
      </c>
      <c r="C939" s="57"/>
      <c r="D939" s="10" t="str">
        <f>IFERROR(__xludf.DUMMYFUNCTION("IF(COUNTA(C939:C1350)=0,"""",IF(ISBLANK(C939),FALSE,IF(NOT(COUNTIF($AA$24:$AA$34,SUBSTITUTE(C939,""Sell_"",""""))),1,IF(REGEXMATCH(C939,""Sell_""),IF(COUNTIF(C$4:C939,SUBSTITUTE(C939,""Sell_"",""""))-COUNTIF(C$4:C938,C939)&lt;1,1),FALSE))))"),"")</f>
        <v/>
      </c>
      <c r="E939" s="59" t="str">
        <f t="array" ref="E939">IF(COUNTA(C939:C1350)=0,"",SUM((COUNTIF(C$4:C939,Upgrades!$B$3:$B$13)-COUNTIF(C$4:C939,"Sell_"&amp;Upgrades!$B$3:$B$13))*Upgrades!$D$3:$D$13))</f>
        <v/>
      </c>
      <c r="F939" s="66" t="str">
        <f>IFERROR(__xludf.DUMMYFUNCTION("IF(COUNTA(C939:C1350)=0,"""",IF(REGEXMATCH(INDEX(FILTER(C$4:C939,C$4:C939&lt;&gt;""""),ROWS(FILTER(C$4:C939,C$4:C939&lt;&gt;""""))),""^Sell_""),INDEX(FILTER(F$4:F938,C$4:C938&lt;&gt;""""),ROWS(FILTER(C$4:C938,C$4:C938&lt;&gt;""""))),$AC$5+E939))"),"")</f>
        <v/>
      </c>
      <c r="G939" s="10" t="str">
        <f>IFERROR(__xludf.DUMMYFUNCTION("IF(COUNTA(C939:C1350)=0,"""",IF(C939="""",0,IF(REGEXMATCH(C939,""^Sell_""),-ROUNDDOWN(ROUNDUP(INDEX(Upgrades!$C$3:$C$13,MATCH(SUBSTITUTE(C939,""Sell_"",""""),Upgrades!$B$3:$B$13,0))*1.15^(COUNTIF(C$4:C938,SUBSTITUTE(C939,""Sell_"",""""))-COUNTIF(C$4:C938,"&amp;"""Sell_""&amp;SUBSTITUTE(C939,""Sell_"",""""))))/2),ROUNDUP(INDEX(Upgrades!$C$3:$C$13,MATCH(C939,Upgrades!$B$3:$B$13,0))*1.15^(COUNTIF(C$4:C938,C939)-COUNTIF(C$4:C938,""Sell_""&amp;C939))))))"),"")</f>
        <v/>
      </c>
      <c r="H939" s="10" t="str">
        <f t="shared" si="3"/>
        <v/>
      </c>
      <c r="I939" s="68" t="str">
        <f t="shared" si="4"/>
        <v/>
      </c>
      <c r="J939" s="59" t="str">
        <f t="shared" si="5"/>
        <v/>
      </c>
      <c r="K939" s="69" t="str">
        <f t="shared" si="6"/>
        <v/>
      </c>
      <c r="L939" s="60" t="str">
        <f t="shared" si="7"/>
        <v/>
      </c>
      <c r="M939" s="61" t="str">
        <f>IFERROR(__xludf.DUMMYFUNCTION("IFS(AND(COUNTA(C939:C1350)=0,COUNTA(Q939:Q1350)=0),"""",OR(AND(K939&gt;=1000000000,OR(Y939&gt;=1000000000,COUNTA(Q939:Q1350)=0)),OR(Y939&gt;=1000000000,AND(COUNTA(C939:C1350)=0,P$3=TRUE))),
ROUNDDOWN((AB$1-AC$1)*MAX(INDEX(T$4:T1350,MATCH(LARGE(FILTER(Y$4:Y1350,Y$4"&amp;":Y1350&lt;1000000000),1),Y$4:Y1350)),INDEX(F$4:F1350,MATCH(LARGE(FILTER(K$4:K1350,K$4:K1350&lt;1000000000),1),K$4:K1350)))),AND(K939&lt;1000000000,COUNTA(C939:C1350)&gt;0,P$3=FALSE),
ROUNDDOWN(INDEX(Y$4:Y1350,MATCH(LARGE(FILTER(W$4:W1350,W$4:W1350&lt;=I939),1),W$4:W1350"&amp;"))+(I939-LARGE(FILTER(W$4:W1350,W$4:W1350&lt;=I939),1))*INDEX(T$4:T1350,MATCH(LARGE(FILTER(W$4:W1350,W$4:W1350&lt;=I939),1),W$4:W1350))-K939),1,
ROUNDDOWN(Y939-INDEX(K$4:K1350,MATCH(LARGE(FILTER(I$4:I1350,I$4:I1350&lt;=W939),1),I$4:I1350))-(W939-LARGE(FILTER(I$4:I"&amp;"1350,I$4:I1350&lt;=W939),1))*INDEX(F$4:F1350,MATCH(LARGE(FILTER(I$4:I1350,I$4:I1350&lt;=W939),1),I$4:I1350))))"),"")</f>
        <v/>
      </c>
      <c r="N939" s="60" t="str">
        <f t="shared" si="8"/>
        <v/>
      </c>
      <c r="O939" s="61" t="str">
        <f t="shared" si="9"/>
        <v/>
      </c>
      <c r="P939" s="56" t="str">
        <f t="shared" si="10"/>
        <v/>
      </c>
      <c r="Q939" s="62"/>
      <c r="R939" s="10" t="str">
        <f>IFERROR(__xludf.DUMMYFUNCTION("IF(COUNTA(Q939:Q1350)=0,"""",IF(ISBLANK(Q939),FALSE,IF(NOT(COUNTIF($AA$24:$AA$34,SUBSTITUTE(Q939,""Sell_"",""""))),1,IF(REGEXMATCH(Q939,""Sell_""),IF(COUNTIF(Q$4:Q939,SUBSTITUTE(Q939,""Sell_"",""""))-COUNTIF(Q$4:Q938,Q939)&lt;1,1),FALSE))))"),"")</f>
        <v/>
      </c>
      <c r="S939" s="59" t="str">
        <f t="array" ref="S939">IF(COUNTA(Q939:Q1350)=0,"",SUM((COUNTIF(Q$4:Q939,Upgrades!$B$3:$B$13)-COUNTIF(Q$4:Q939,"Sell_"&amp;Upgrades!$B$3:$B$13))*Upgrades!$D$3:$D$13))</f>
        <v/>
      </c>
      <c r="T939" s="66" t="str">
        <f>IFERROR(__xludf.DUMMYFUNCTION("IF(COUNTA(Q939:Q1350)=0,"""",IF(REGEXMATCH(INDEX(FILTER(Q$4:Q939,Q$4:Q939&lt;&gt;""""),ROWS(FILTER(Q$4:Q939,Q$4:Q939&lt;&gt;""""))),""^Sell_""),INDEX(FILTER(T$4:T938,Q$4:Q938&lt;&gt;""""),ROWS(FILTER(Q$4:Q938,Q$4:Q938&lt;&gt;""""))),$AD$5+S939))"),"")</f>
        <v/>
      </c>
      <c r="U939" s="10" t="str">
        <f>IFERROR(__xludf.DUMMYFUNCTION("IF(COUNTA(Q939:Q1350)=0,"""",IF(Q939="""",0,IF(REGEXMATCH(Q939,""^Sell_""),-ROUNDDOWN(ROUNDUP(INDEX(Upgrades!$C$3:$C$13,MATCH(SUBSTITUTE(Q939,""Sell_"",""""),Upgrades!$B$3:$B$13,0))*1.15^(COUNTIF(Q$4:Q938,SUBSTITUTE(Q939,""Sell_"",""""))-COUNTIF(Q$4:Q938,"&amp;"""Sell_""&amp;SUBSTITUTE(Q939,""Sell_"",""""))))/2),ROUNDUP(INDEX(Upgrades!$C$3:$C$13,MATCH(Q939,Upgrades!$B$3:$B$13,0))*1.15^(COUNTIF(Q$4:Q938,Q939)-COUNTIF(Q$4:Q938,""Sell_""&amp;Q939))))))"),"")</f>
        <v/>
      </c>
      <c r="V939" s="10" t="str">
        <f t="shared" si="11"/>
        <v/>
      </c>
      <c r="W939" s="68" t="str">
        <f t="shared" si="12"/>
        <v/>
      </c>
      <c r="X939" s="59" t="str">
        <f t="shared" si="13"/>
        <v/>
      </c>
      <c r="Y939" s="69" t="str">
        <f t="shared" si="14"/>
        <v/>
      </c>
      <c r="Z939" s="11"/>
    </row>
    <row r="940">
      <c r="A940" s="8"/>
      <c r="B940" s="56" t="str">
        <f t="shared" si="2"/>
        <v/>
      </c>
      <c r="C940" s="57"/>
      <c r="D940" s="10" t="str">
        <f>IFERROR(__xludf.DUMMYFUNCTION("IF(COUNTA(C940:C1350)=0,"""",IF(ISBLANK(C940),FALSE,IF(NOT(COUNTIF($AA$24:$AA$34,SUBSTITUTE(C940,""Sell_"",""""))),1,IF(REGEXMATCH(C940,""Sell_""),IF(COUNTIF(C$4:C940,SUBSTITUTE(C940,""Sell_"",""""))-COUNTIF(C$4:C939,C940)&lt;1,1),FALSE))))"),"")</f>
        <v/>
      </c>
      <c r="E940" s="59" t="str">
        <f t="array" ref="E940">IF(COUNTA(C940:C1350)=0,"",SUM((COUNTIF(C$4:C940,Upgrades!$B$3:$B$13)-COUNTIF(C$4:C940,"Sell_"&amp;Upgrades!$B$3:$B$13))*Upgrades!$D$3:$D$13))</f>
        <v/>
      </c>
      <c r="F940" s="66" t="str">
        <f>IFERROR(__xludf.DUMMYFUNCTION("IF(COUNTA(C940:C1350)=0,"""",IF(REGEXMATCH(INDEX(FILTER(C$4:C940,C$4:C940&lt;&gt;""""),ROWS(FILTER(C$4:C940,C$4:C940&lt;&gt;""""))),""^Sell_""),INDEX(FILTER(F$4:F939,C$4:C939&lt;&gt;""""),ROWS(FILTER(C$4:C939,C$4:C939&lt;&gt;""""))),$AC$5+E940))"),"")</f>
        <v/>
      </c>
      <c r="G940" s="10" t="str">
        <f>IFERROR(__xludf.DUMMYFUNCTION("IF(COUNTA(C940:C1350)=0,"""",IF(C940="""",0,IF(REGEXMATCH(C940,""^Sell_""),-ROUNDDOWN(ROUNDUP(INDEX(Upgrades!$C$3:$C$13,MATCH(SUBSTITUTE(C940,""Sell_"",""""),Upgrades!$B$3:$B$13,0))*1.15^(COUNTIF(C$4:C939,SUBSTITUTE(C940,""Sell_"",""""))-COUNTIF(C$4:C939,"&amp;"""Sell_""&amp;SUBSTITUTE(C940,""Sell_"",""""))))/2),ROUNDUP(INDEX(Upgrades!$C$3:$C$13,MATCH(C940,Upgrades!$B$3:$B$13,0))*1.15^(COUNTIF(C$4:C939,C940)-COUNTIF(C$4:C939,""Sell_""&amp;C940))))))"),"")</f>
        <v/>
      </c>
      <c r="H940" s="10" t="str">
        <f t="shared" si="3"/>
        <v/>
      </c>
      <c r="I940" s="68" t="str">
        <f t="shared" si="4"/>
        <v/>
      </c>
      <c r="J940" s="59" t="str">
        <f t="shared" si="5"/>
        <v/>
      </c>
      <c r="K940" s="69" t="str">
        <f t="shared" si="6"/>
        <v/>
      </c>
      <c r="L940" s="60" t="str">
        <f t="shared" si="7"/>
        <v/>
      </c>
      <c r="M940" s="61" t="str">
        <f>IFERROR(__xludf.DUMMYFUNCTION("IFS(AND(COUNTA(C940:C1350)=0,COUNTA(Q940:Q1350)=0),"""",OR(AND(K940&gt;=1000000000,OR(Y940&gt;=1000000000,COUNTA(Q940:Q1350)=0)),OR(Y940&gt;=1000000000,AND(COUNTA(C940:C1350)=0,P$3=TRUE))),
ROUNDDOWN((AB$1-AC$1)*MAX(INDEX(T$4:T1350,MATCH(LARGE(FILTER(Y$4:Y1350,Y$4"&amp;":Y1350&lt;1000000000),1),Y$4:Y1350)),INDEX(F$4:F1350,MATCH(LARGE(FILTER(K$4:K1350,K$4:K1350&lt;1000000000),1),K$4:K1350)))),AND(K940&lt;1000000000,COUNTA(C940:C1350)&gt;0,P$3=FALSE),
ROUNDDOWN(INDEX(Y$4:Y1350,MATCH(LARGE(FILTER(W$4:W1350,W$4:W1350&lt;=I940),1),W$4:W1350"&amp;"))+(I940-LARGE(FILTER(W$4:W1350,W$4:W1350&lt;=I940),1))*INDEX(T$4:T1350,MATCH(LARGE(FILTER(W$4:W1350,W$4:W1350&lt;=I940),1),W$4:W1350))-K940),1,
ROUNDDOWN(Y940-INDEX(K$4:K1350,MATCH(LARGE(FILTER(I$4:I1350,I$4:I1350&lt;=W940),1),I$4:I1350))-(W940-LARGE(FILTER(I$4:I"&amp;"1350,I$4:I1350&lt;=W940),1))*INDEX(F$4:F1350,MATCH(LARGE(FILTER(I$4:I1350,I$4:I1350&lt;=W940),1),I$4:I1350))))"),"")</f>
        <v/>
      </c>
      <c r="N940" s="60" t="str">
        <f t="shared" si="8"/>
        <v/>
      </c>
      <c r="O940" s="61" t="str">
        <f t="shared" si="9"/>
        <v/>
      </c>
      <c r="P940" s="56" t="str">
        <f t="shared" si="10"/>
        <v/>
      </c>
      <c r="Q940" s="62"/>
      <c r="R940" s="10" t="str">
        <f>IFERROR(__xludf.DUMMYFUNCTION("IF(COUNTA(Q940:Q1350)=0,"""",IF(ISBLANK(Q940),FALSE,IF(NOT(COUNTIF($AA$24:$AA$34,SUBSTITUTE(Q940,""Sell_"",""""))),1,IF(REGEXMATCH(Q940,""Sell_""),IF(COUNTIF(Q$4:Q940,SUBSTITUTE(Q940,""Sell_"",""""))-COUNTIF(Q$4:Q939,Q940)&lt;1,1),FALSE))))"),"")</f>
        <v/>
      </c>
      <c r="S940" s="59" t="str">
        <f t="array" ref="S940">IF(COUNTA(Q940:Q1350)=0,"",SUM((COUNTIF(Q$4:Q940,Upgrades!$B$3:$B$13)-COUNTIF(Q$4:Q940,"Sell_"&amp;Upgrades!$B$3:$B$13))*Upgrades!$D$3:$D$13))</f>
        <v/>
      </c>
      <c r="T940" s="66" t="str">
        <f>IFERROR(__xludf.DUMMYFUNCTION("IF(COUNTA(Q940:Q1350)=0,"""",IF(REGEXMATCH(INDEX(FILTER(Q$4:Q940,Q$4:Q940&lt;&gt;""""),ROWS(FILTER(Q$4:Q940,Q$4:Q940&lt;&gt;""""))),""^Sell_""),INDEX(FILTER(T$4:T939,Q$4:Q939&lt;&gt;""""),ROWS(FILTER(Q$4:Q939,Q$4:Q939&lt;&gt;""""))),$AD$5+S940))"),"")</f>
        <v/>
      </c>
      <c r="U940" s="10" t="str">
        <f>IFERROR(__xludf.DUMMYFUNCTION("IF(COUNTA(Q940:Q1350)=0,"""",IF(Q940="""",0,IF(REGEXMATCH(Q940,""^Sell_""),-ROUNDDOWN(ROUNDUP(INDEX(Upgrades!$C$3:$C$13,MATCH(SUBSTITUTE(Q940,""Sell_"",""""),Upgrades!$B$3:$B$13,0))*1.15^(COUNTIF(Q$4:Q939,SUBSTITUTE(Q940,""Sell_"",""""))-COUNTIF(Q$4:Q939,"&amp;"""Sell_""&amp;SUBSTITUTE(Q940,""Sell_"",""""))))/2),ROUNDUP(INDEX(Upgrades!$C$3:$C$13,MATCH(Q940,Upgrades!$B$3:$B$13,0))*1.15^(COUNTIF(Q$4:Q939,Q940)-COUNTIF(Q$4:Q939,""Sell_""&amp;Q940))))))"),"")</f>
        <v/>
      </c>
      <c r="V940" s="10" t="str">
        <f t="shared" si="11"/>
        <v/>
      </c>
      <c r="W940" s="68" t="str">
        <f t="shared" si="12"/>
        <v/>
      </c>
      <c r="X940" s="59" t="str">
        <f t="shared" si="13"/>
        <v/>
      </c>
      <c r="Y940" s="69" t="str">
        <f t="shared" si="14"/>
        <v/>
      </c>
      <c r="Z940" s="11"/>
    </row>
    <row r="941">
      <c r="A941" s="8"/>
      <c r="B941" s="56" t="str">
        <f t="shared" si="2"/>
        <v/>
      </c>
      <c r="C941" s="57"/>
      <c r="D941" s="10" t="str">
        <f>IFERROR(__xludf.DUMMYFUNCTION("IF(COUNTA(C941:C1350)=0,"""",IF(ISBLANK(C941),FALSE,IF(NOT(COUNTIF($AA$24:$AA$34,SUBSTITUTE(C941,""Sell_"",""""))),1,IF(REGEXMATCH(C941,""Sell_""),IF(COUNTIF(C$4:C941,SUBSTITUTE(C941,""Sell_"",""""))-COUNTIF(C$4:C940,C941)&lt;1,1),FALSE))))"),"")</f>
        <v/>
      </c>
      <c r="E941" s="59" t="str">
        <f t="array" ref="E941">IF(COUNTA(C941:C1350)=0,"",SUM((COUNTIF(C$4:C941,Upgrades!$B$3:$B$13)-COUNTIF(C$4:C941,"Sell_"&amp;Upgrades!$B$3:$B$13))*Upgrades!$D$3:$D$13))</f>
        <v/>
      </c>
      <c r="F941" s="66" t="str">
        <f>IFERROR(__xludf.DUMMYFUNCTION("IF(COUNTA(C941:C1350)=0,"""",IF(REGEXMATCH(INDEX(FILTER(C$4:C941,C$4:C941&lt;&gt;""""),ROWS(FILTER(C$4:C941,C$4:C941&lt;&gt;""""))),""^Sell_""),INDEX(FILTER(F$4:F940,C$4:C940&lt;&gt;""""),ROWS(FILTER(C$4:C940,C$4:C940&lt;&gt;""""))),$AC$5+E941))"),"")</f>
        <v/>
      </c>
      <c r="G941" s="10" t="str">
        <f>IFERROR(__xludf.DUMMYFUNCTION("IF(COUNTA(C941:C1350)=0,"""",IF(C941="""",0,IF(REGEXMATCH(C941,""^Sell_""),-ROUNDDOWN(ROUNDUP(INDEX(Upgrades!$C$3:$C$13,MATCH(SUBSTITUTE(C941,""Sell_"",""""),Upgrades!$B$3:$B$13,0))*1.15^(COUNTIF(C$4:C940,SUBSTITUTE(C941,""Sell_"",""""))-COUNTIF(C$4:C940,"&amp;"""Sell_""&amp;SUBSTITUTE(C941,""Sell_"",""""))))/2),ROUNDUP(INDEX(Upgrades!$C$3:$C$13,MATCH(C941,Upgrades!$B$3:$B$13,0))*1.15^(COUNTIF(C$4:C940,C941)-COUNTIF(C$4:C940,""Sell_""&amp;C941))))))"),"")</f>
        <v/>
      </c>
      <c r="H941" s="10" t="str">
        <f t="shared" si="3"/>
        <v/>
      </c>
      <c r="I941" s="68" t="str">
        <f t="shared" si="4"/>
        <v/>
      </c>
      <c r="J941" s="59" t="str">
        <f t="shared" si="5"/>
        <v/>
      </c>
      <c r="K941" s="69" t="str">
        <f t="shared" si="6"/>
        <v/>
      </c>
      <c r="L941" s="60" t="str">
        <f t="shared" si="7"/>
        <v/>
      </c>
      <c r="M941" s="61" t="str">
        <f>IFERROR(__xludf.DUMMYFUNCTION("IFS(AND(COUNTA(C941:C1350)=0,COUNTA(Q941:Q1350)=0),"""",OR(AND(K941&gt;=1000000000,OR(Y941&gt;=1000000000,COUNTA(Q941:Q1350)=0)),OR(Y941&gt;=1000000000,AND(COUNTA(C941:C1350)=0,P$3=TRUE))),
ROUNDDOWN((AB$1-AC$1)*MAX(INDEX(T$4:T1350,MATCH(LARGE(FILTER(Y$4:Y1350,Y$4"&amp;":Y1350&lt;1000000000),1),Y$4:Y1350)),INDEX(F$4:F1350,MATCH(LARGE(FILTER(K$4:K1350,K$4:K1350&lt;1000000000),1),K$4:K1350)))),AND(K941&lt;1000000000,COUNTA(C941:C1350)&gt;0,P$3=FALSE),
ROUNDDOWN(INDEX(Y$4:Y1350,MATCH(LARGE(FILTER(W$4:W1350,W$4:W1350&lt;=I941),1),W$4:W1350"&amp;"))+(I941-LARGE(FILTER(W$4:W1350,W$4:W1350&lt;=I941),1))*INDEX(T$4:T1350,MATCH(LARGE(FILTER(W$4:W1350,W$4:W1350&lt;=I941),1),W$4:W1350))-K941),1,
ROUNDDOWN(Y941-INDEX(K$4:K1350,MATCH(LARGE(FILTER(I$4:I1350,I$4:I1350&lt;=W941),1),I$4:I1350))-(W941-LARGE(FILTER(I$4:I"&amp;"1350,I$4:I1350&lt;=W941),1))*INDEX(F$4:F1350,MATCH(LARGE(FILTER(I$4:I1350,I$4:I1350&lt;=W941),1),I$4:I1350))))"),"")</f>
        <v/>
      </c>
      <c r="N941" s="60" t="str">
        <f t="shared" si="8"/>
        <v/>
      </c>
      <c r="O941" s="61" t="str">
        <f t="shared" si="9"/>
        <v/>
      </c>
      <c r="P941" s="56" t="str">
        <f t="shared" si="10"/>
        <v/>
      </c>
      <c r="Q941" s="62"/>
      <c r="R941" s="10" t="str">
        <f>IFERROR(__xludf.DUMMYFUNCTION("IF(COUNTA(Q941:Q1350)=0,"""",IF(ISBLANK(Q941),FALSE,IF(NOT(COUNTIF($AA$24:$AA$34,SUBSTITUTE(Q941,""Sell_"",""""))),1,IF(REGEXMATCH(Q941,""Sell_""),IF(COUNTIF(Q$4:Q941,SUBSTITUTE(Q941,""Sell_"",""""))-COUNTIF(Q$4:Q940,Q941)&lt;1,1),FALSE))))"),"")</f>
        <v/>
      </c>
      <c r="S941" s="59" t="str">
        <f t="array" ref="S941">IF(COUNTA(Q941:Q1350)=0,"",SUM((COUNTIF(Q$4:Q941,Upgrades!$B$3:$B$13)-COUNTIF(Q$4:Q941,"Sell_"&amp;Upgrades!$B$3:$B$13))*Upgrades!$D$3:$D$13))</f>
        <v/>
      </c>
      <c r="T941" s="66" t="str">
        <f>IFERROR(__xludf.DUMMYFUNCTION("IF(COUNTA(Q941:Q1350)=0,"""",IF(REGEXMATCH(INDEX(FILTER(Q$4:Q941,Q$4:Q941&lt;&gt;""""),ROWS(FILTER(Q$4:Q941,Q$4:Q941&lt;&gt;""""))),""^Sell_""),INDEX(FILTER(T$4:T940,Q$4:Q940&lt;&gt;""""),ROWS(FILTER(Q$4:Q940,Q$4:Q940&lt;&gt;""""))),$AD$5+S941))"),"")</f>
        <v/>
      </c>
      <c r="U941" s="10" t="str">
        <f>IFERROR(__xludf.DUMMYFUNCTION("IF(COUNTA(Q941:Q1350)=0,"""",IF(Q941="""",0,IF(REGEXMATCH(Q941,""^Sell_""),-ROUNDDOWN(ROUNDUP(INDEX(Upgrades!$C$3:$C$13,MATCH(SUBSTITUTE(Q941,""Sell_"",""""),Upgrades!$B$3:$B$13,0))*1.15^(COUNTIF(Q$4:Q940,SUBSTITUTE(Q941,""Sell_"",""""))-COUNTIF(Q$4:Q940,"&amp;"""Sell_""&amp;SUBSTITUTE(Q941,""Sell_"",""""))))/2),ROUNDUP(INDEX(Upgrades!$C$3:$C$13,MATCH(Q941,Upgrades!$B$3:$B$13,0))*1.15^(COUNTIF(Q$4:Q940,Q941)-COUNTIF(Q$4:Q940,""Sell_""&amp;Q941))))))"),"")</f>
        <v/>
      </c>
      <c r="V941" s="10" t="str">
        <f t="shared" si="11"/>
        <v/>
      </c>
      <c r="W941" s="68" t="str">
        <f t="shared" si="12"/>
        <v/>
      </c>
      <c r="X941" s="59" t="str">
        <f t="shared" si="13"/>
        <v/>
      </c>
      <c r="Y941" s="69" t="str">
        <f t="shared" si="14"/>
        <v/>
      </c>
      <c r="Z941" s="11"/>
    </row>
    <row r="942">
      <c r="A942" s="8"/>
      <c r="B942" s="56" t="str">
        <f t="shared" si="2"/>
        <v/>
      </c>
      <c r="C942" s="57"/>
      <c r="D942" s="10" t="str">
        <f>IFERROR(__xludf.DUMMYFUNCTION("IF(COUNTA(C942:C1350)=0,"""",IF(ISBLANK(C942),FALSE,IF(NOT(COUNTIF($AA$24:$AA$34,SUBSTITUTE(C942,""Sell_"",""""))),1,IF(REGEXMATCH(C942,""Sell_""),IF(COUNTIF(C$4:C942,SUBSTITUTE(C942,""Sell_"",""""))-COUNTIF(C$4:C941,C942)&lt;1,1),FALSE))))"),"")</f>
        <v/>
      </c>
      <c r="E942" s="59" t="str">
        <f t="array" ref="E942">IF(COUNTA(C942:C1350)=0,"",SUM((COUNTIF(C$4:C942,Upgrades!$B$3:$B$13)-COUNTIF(C$4:C942,"Sell_"&amp;Upgrades!$B$3:$B$13))*Upgrades!$D$3:$D$13))</f>
        <v/>
      </c>
      <c r="F942" s="66" t="str">
        <f>IFERROR(__xludf.DUMMYFUNCTION("IF(COUNTA(C942:C1350)=0,"""",IF(REGEXMATCH(INDEX(FILTER(C$4:C942,C$4:C942&lt;&gt;""""),ROWS(FILTER(C$4:C942,C$4:C942&lt;&gt;""""))),""^Sell_""),INDEX(FILTER(F$4:F941,C$4:C941&lt;&gt;""""),ROWS(FILTER(C$4:C941,C$4:C941&lt;&gt;""""))),$AC$5+E942))"),"")</f>
        <v/>
      </c>
      <c r="G942" s="10" t="str">
        <f>IFERROR(__xludf.DUMMYFUNCTION("IF(COUNTA(C942:C1350)=0,"""",IF(C942="""",0,IF(REGEXMATCH(C942,""^Sell_""),-ROUNDDOWN(ROUNDUP(INDEX(Upgrades!$C$3:$C$13,MATCH(SUBSTITUTE(C942,""Sell_"",""""),Upgrades!$B$3:$B$13,0))*1.15^(COUNTIF(C$4:C941,SUBSTITUTE(C942,""Sell_"",""""))-COUNTIF(C$4:C941,"&amp;"""Sell_""&amp;SUBSTITUTE(C942,""Sell_"",""""))))/2),ROUNDUP(INDEX(Upgrades!$C$3:$C$13,MATCH(C942,Upgrades!$B$3:$B$13,0))*1.15^(COUNTIF(C$4:C941,C942)-COUNTIF(C$4:C941,""Sell_""&amp;C942))))))"),"")</f>
        <v/>
      </c>
      <c r="H942" s="10" t="str">
        <f t="shared" si="3"/>
        <v/>
      </c>
      <c r="I942" s="68" t="str">
        <f t="shared" si="4"/>
        <v/>
      </c>
      <c r="J942" s="59" t="str">
        <f t="shared" si="5"/>
        <v/>
      </c>
      <c r="K942" s="69" t="str">
        <f t="shared" si="6"/>
        <v/>
      </c>
      <c r="L942" s="60" t="str">
        <f t="shared" si="7"/>
        <v/>
      </c>
      <c r="M942" s="61" t="str">
        <f>IFERROR(__xludf.DUMMYFUNCTION("IFS(AND(COUNTA(C942:C1350)=0,COUNTA(Q942:Q1350)=0),"""",OR(AND(K942&gt;=1000000000,OR(Y942&gt;=1000000000,COUNTA(Q942:Q1350)=0)),OR(Y942&gt;=1000000000,AND(COUNTA(C942:C1350)=0,P$3=TRUE))),
ROUNDDOWN((AB$1-AC$1)*MAX(INDEX(T$4:T1350,MATCH(LARGE(FILTER(Y$4:Y1350,Y$4"&amp;":Y1350&lt;1000000000),1),Y$4:Y1350)),INDEX(F$4:F1350,MATCH(LARGE(FILTER(K$4:K1350,K$4:K1350&lt;1000000000),1),K$4:K1350)))),AND(K942&lt;1000000000,COUNTA(C942:C1350)&gt;0,P$3=FALSE),
ROUNDDOWN(INDEX(Y$4:Y1350,MATCH(LARGE(FILTER(W$4:W1350,W$4:W1350&lt;=I942),1),W$4:W1350"&amp;"))+(I942-LARGE(FILTER(W$4:W1350,W$4:W1350&lt;=I942),1))*INDEX(T$4:T1350,MATCH(LARGE(FILTER(W$4:W1350,W$4:W1350&lt;=I942),1),W$4:W1350))-K942),1,
ROUNDDOWN(Y942-INDEX(K$4:K1350,MATCH(LARGE(FILTER(I$4:I1350,I$4:I1350&lt;=W942),1),I$4:I1350))-(W942-LARGE(FILTER(I$4:I"&amp;"1350,I$4:I1350&lt;=W942),1))*INDEX(F$4:F1350,MATCH(LARGE(FILTER(I$4:I1350,I$4:I1350&lt;=W942),1),I$4:I1350))))"),"")</f>
        <v/>
      </c>
      <c r="N942" s="60" t="str">
        <f t="shared" si="8"/>
        <v/>
      </c>
      <c r="O942" s="61" t="str">
        <f t="shared" si="9"/>
        <v/>
      </c>
      <c r="P942" s="56" t="str">
        <f t="shared" si="10"/>
        <v/>
      </c>
      <c r="Q942" s="62"/>
      <c r="R942" s="10" t="str">
        <f>IFERROR(__xludf.DUMMYFUNCTION("IF(COUNTA(Q942:Q1350)=0,"""",IF(ISBLANK(Q942),FALSE,IF(NOT(COUNTIF($AA$24:$AA$34,SUBSTITUTE(Q942,""Sell_"",""""))),1,IF(REGEXMATCH(Q942,""Sell_""),IF(COUNTIF(Q$4:Q942,SUBSTITUTE(Q942,""Sell_"",""""))-COUNTIF(Q$4:Q941,Q942)&lt;1,1),FALSE))))"),"")</f>
        <v/>
      </c>
      <c r="S942" s="59" t="str">
        <f t="array" ref="S942">IF(COUNTA(Q942:Q1350)=0,"",SUM((COUNTIF(Q$4:Q942,Upgrades!$B$3:$B$13)-COUNTIF(Q$4:Q942,"Sell_"&amp;Upgrades!$B$3:$B$13))*Upgrades!$D$3:$D$13))</f>
        <v/>
      </c>
      <c r="T942" s="66" t="str">
        <f>IFERROR(__xludf.DUMMYFUNCTION("IF(COUNTA(Q942:Q1350)=0,"""",IF(REGEXMATCH(INDEX(FILTER(Q$4:Q942,Q$4:Q942&lt;&gt;""""),ROWS(FILTER(Q$4:Q942,Q$4:Q942&lt;&gt;""""))),""^Sell_""),INDEX(FILTER(T$4:T941,Q$4:Q941&lt;&gt;""""),ROWS(FILTER(Q$4:Q941,Q$4:Q941&lt;&gt;""""))),$AD$5+S942))"),"")</f>
        <v/>
      </c>
      <c r="U942" s="10" t="str">
        <f>IFERROR(__xludf.DUMMYFUNCTION("IF(COUNTA(Q942:Q1350)=0,"""",IF(Q942="""",0,IF(REGEXMATCH(Q942,""^Sell_""),-ROUNDDOWN(ROUNDUP(INDEX(Upgrades!$C$3:$C$13,MATCH(SUBSTITUTE(Q942,""Sell_"",""""),Upgrades!$B$3:$B$13,0))*1.15^(COUNTIF(Q$4:Q941,SUBSTITUTE(Q942,""Sell_"",""""))-COUNTIF(Q$4:Q941,"&amp;"""Sell_""&amp;SUBSTITUTE(Q942,""Sell_"",""""))))/2),ROUNDUP(INDEX(Upgrades!$C$3:$C$13,MATCH(Q942,Upgrades!$B$3:$B$13,0))*1.15^(COUNTIF(Q$4:Q941,Q942)-COUNTIF(Q$4:Q941,""Sell_""&amp;Q942))))))"),"")</f>
        <v/>
      </c>
      <c r="V942" s="10" t="str">
        <f t="shared" si="11"/>
        <v/>
      </c>
      <c r="W942" s="68" t="str">
        <f t="shared" si="12"/>
        <v/>
      </c>
      <c r="X942" s="59" t="str">
        <f t="shared" si="13"/>
        <v/>
      </c>
      <c r="Y942" s="69" t="str">
        <f t="shared" si="14"/>
        <v/>
      </c>
      <c r="Z942" s="11"/>
    </row>
    <row r="943">
      <c r="A943" s="8"/>
      <c r="B943" s="56" t="str">
        <f t="shared" si="2"/>
        <v/>
      </c>
      <c r="C943" s="57"/>
      <c r="D943" s="10" t="str">
        <f>IFERROR(__xludf.DUMMYFUNCTION("IF(COUNTA(C943:C1350)=0,"""",IF(ISBLANK(C943),FALSE,IF(NOT(COUNTIF($AA$24:$AA$34,SUBSTITUTE(C943,""Sell_"",""""))),1,IF(REGEXMATCH(C943,""Sell_""),IF(COUNTIF(C$4:C943,SUBSTITUTE(C943,""Sell_"",""""))-COUNTIF(C$4:C942,C943)&lt;1,1),FALSE))))"),"")</f>
        <v/>
      </c>
      <c r="E943" s="59" t="str">
        <f t="array" ref="E943">IF(COUNTA(C943:C1350)=0,"",SUM((COUNTIF(C$4:C943,Upgrades!$B$3:$B$13)-COUNTIF(C$4:C943,"Sell_"&amp;Upgrades!$B$3:$B$13))*Upgrades!$D$3:$D$13))</f>
        <v/>
      </c>
      <c r="F943" s="66" t="str">
        <f>IFERROR(__xludf.DUMMYFUNCTION("IF(COUNTA(C943:C1350)=0,"""",IF(REGEXMATCH(INDEX(FILTER(C$4:C943,C$4:C943&lt;&gt;""""),ROWS(FILTER(C$4:C943,C$4:C943&lt;&gt;""""))),""^Sell_""),INDEX(FILTER(F$4:F942,C$4:C942&lt;&gt;""""),ROWS(FILTER(C$4:C942,C$4:C942&lt;&gt;""""))),$AC$5+E943))"),"")</f>
        <v/>
      </c>
      <c r="G943" s="10" t="str">
        <f>IFERROR(__xludf.DUMMYFUNCTION("IF(COUNTA(C943:C1350)=0,"""",IF(C943="""",0,IF(REGEXMATCH(C943,""^Sell_""),-ROUNDDOWN(ROUNDUP(INDEX(Upgrades!$C$3:$C$13,MATCH(SUBSTITUTE(C943,""Sell_"",""""),Upgrades!$B$3:$B$13,0))*1.15^(COUNTIF(C$4:C942,SUBSTITUTE(C943,""Sell_"",""""))-COUNTIF(C$4:C942,"&amp;"""Sell_""&amp;SUBSTITUTE(C943,""Sell_"",""""))))/2),ROUNDUP(INDEX(Upgrades!$C$3:$C$13,MATCH(C943,Upgrades!$B$3:$B$13,0))*1.15^(COUNTIF(C$4:C942,C943)-COUNTIF(C$4:C942,""Sell_""&amp;C943))))))"),"")</f>
        <v/>
      </c>
      <c r="H943" s="10" t="str">
        <f t="shared" si="3"/>
        <v/>
      </c>
      <c r="I943" s="68" t="str">
        <f t="shared" si="4"/>
        <v/>
      </c>
      <c r="J943" s="59" t="str">
        <f t="shared" si="5"/>
        <v/>
      </c>
      <c r="K943" s="69" t="str">
        <f t="shared" si="6"/>
        <v/>
      </c>
      <c r="L943" s="60" t="str">
        <f t="shared" si="7"/>
        <v/>
      </c>
      <c r="M943" s="61" t="str">
        <f>IFERROR(__xludf.DUMMYFUNCTION("IFS(AND(COUNTA(C943:C1350)=0,COUNTA(Q943:Q1350)=0),"""",OR(AND(K943&gt;=1000000000,OR(Y943&gt;=1000000000,COUNTA(Q943:Q1350)=0)),OR(Y943&gt;=1000000000,AND(COUNTA(C943:C1350)=0,P$3=TRUE))),
ROUNDDOWN((AB$1-AC$1)*MAX(INDEX(T$4:T1350,MATCH(LARGE(FILTER(Y$4:Y1350,Y$4"&amp;":Y1350&lt;1000000000),1),Y$4:Y1350)),INDEX(F$4:F1350,MATCH(LARGE(FILTER(K$4:K1350,K$4:K1350&lt;1000000000),1),K$4:K1350)))),AND(K943&lt;1000000000,COUNTA(C943:C1350)&gt;0,P$3=FALSE),
ROUNDDOWN(INDEX(Y$4:Y1350,MATCH(LARGE(FILTER(W$4:W1350,W$4:W1350&lt;=I943),1),W$4:W1350"&amp;"))+(I943-LARGE(FILTER(W$4:W1350,W$4:W1350&lt;=I943),1))*INDEX(T$4:T1350,MATCH(LARGE(FILTER(W$4:W1350,W$4:W1350&lt;=I943),1),W$4:W1350))-K943),1,
ROUNDDOWN(Y943-INDEX(K$4:K1350,MATCH(LARGE(FILTER(I$4:I1350,I$4:I1350&lt;=W943),1),I$4:I1350))-(W943-LARGE(FILTER(I$4:I"&amp;"1350,I$4:I1350&lt;=W943),1))*INDEX(F$4:F1350,MATCH(LARGE(FILTER(I$4:I1350,I$4:I1350&lt;=W943),1),I$4:I1350))))"),"")</f>
        <v/>
      </c>
      <c r="N943" s="60" t="str">
        <f t="shared" si="8"/>
        <v/>
      </c>
      <c r="O943" s="61" t="str">
        <f t="shared" si="9"/>
        <v/>
      </c>
      <c r="P943" s="56" t="str">
        <f t="shared" si="10"/>
        <v/>
      </c>
      <c r="Q943" s="62"/>
      <c r="R943" s="10" t="str">
        <f>IFERROR(__xludf.DUMMYFUNCTION("IF(COUNTA(Q943:Q1350)=0,"""",IF(ISBLANK(Q943),FALSE,IF(NOT(COUNTIF($AA$24:$AA$34,SUBSTITUTE(Q943,""Sell_"",""""))),1,IF(REGEXMATCH(Q943,""Sell_""),IF(COUNTIF(Q$4:Q943,SUBSTITUTE(Q943,""Sell_"",""""))-COUNTIF(Q$4:Q942,Q943)&lt;1,1),FALSE))))"),"")</f>
        <v/>
      </c>
      <c r="S943" s="59" t="str">
        <f t="array" ref="S943">IF(COUNTA(Q943:Q1350)=0,"",SUM((COUNTIF(Q$4:Q943,Upgrades!$B$3:$B$13)-COUNTIF(Q$4:Q943,"Sell_"&amp;Upgrades!$B$3:$B$13))*Upgrades!$D$3:$D$13))</f>
        <v/>
      </c>
      <c r="T943" s="66" t="str">
        <f>IFERROR(__xludf.DUMMYFUNCTION("IF(COUNTA(Q943:Q1350)=0,"""",IF(REGEXMATCH(INDEX(FILTER(Q$4:Q943,Q$4:Q943&lt;&gt;""""),ROWS(FILTER(Q$4:Q943,Q$4:Q943&lt;&gt;""""))),""^Sell_""),INDEX(FILTER(T$4:T942,Q$4:Q942&lt;&gt;""""),ROWS(FILTER(Q$4:Q942,Q$4:Q942&lt;&gt;""""))),$AD$5+S943))"),"")</f>
        <v/>
      </c>
      <c r="U943" s="10" t="str">
        <f>IFERROR(__xludf.DUMMYFUNCTION("IF(COUNTA(Q943:Q1350)=0,"""",IF(Q943="""",0,IF(REGEXMATCH(Q943,""^Sell_""),-ROUNDDOWN(ROUNDUP(INDEX(Upgrades!$C$3:$C$13,MATCH(SUBSTITUTE(Q943,""Sell_"",""""),Upgrades!$B$3:$B$13,0))*1.15^(COUNTIF(Q$4:Q942,SUBSTITUTE(Q943,""Sell_"",""""))-COUNTIF(Q$4:Q942,"&amp;"""Sell_""&amp;SUBSTITUTE(Q943,""Sell_"",""""))))/2),ROUNDUP(INDEX(Upgrades!$C$3:$C$13,MATCH(Q943,Upgrades!$B$3:$B$13,0))*1.15^(COUNTIF(Q$4:Q942,Q943)-COUNTIF(Q$4:Q942,""Sell_""&amp;Q943))))))"),"")</f>
        <v/>
      </c>
      <c r="V943" s="10" t="str">
        <f t="shared" si="11"/>
        <v/>
      </c>
      <c r="W943" s="68" t="str">
        <f t="shared" si="12"/>
        <v/>
      </c>
      <c r="X943" s="59" t="str">
        <f t="shared" si="13"/>
        <v/>
      </c>
      <c r="Y943" s="69" t="str">
        <f t="shared" si="14"/>
        <v/>
      </c>
      <c r="Z943" s="11"/>
    </row>
    <row r="944">
      <c r="A944" s="8"/>
      <c r="B944" s="56" t="str">
        <f t="shared" si="2"/>
        <v/>
      </c>
      <c r="C944" s="57"/>
      <c r="D944" s="10" t="str">
        <f>IFERROR(__xludf.DUMMYFUNCTION("IF(COUNTA(C944:C1350)=0,"""",IF(ISBLANK(C944),FALSE,IF(NOT(COUNTIF($AA$24:$AA$34,SUBSTITUTE(C944,""Sell_"",""""))),1,IF(REGEXMATCH(C944,""Sell_""),IF(COUNTIF(C$4:C944,SUBSTITUTE(C944,""Sell_"",""""))-COUNTIF(C$4:C943,C944)&lt;1,1),FALSE))))"),"")</f>
        <v/>
      </c>
      <c r="E944" s="59" t="str">
        <f t="array" ref="E944">IF(COUNTA(C944:C1350)=0,"",SUM((COUNTIF(C$4:C944,Upgrades!$B$3:$B$13)-COUNTIF(C$4:C944,"Sell_"&amp;Upgrades!$B$3:$B$13))*Upgrades!$D$3:$D$13))</f>
        <v/>
      </c>
      <c r="F944" s="66" t="str">
        <f>IFERROR(__xludf.DUMMYFUNCTION("IF(COUNTA(C944:C1350)=0,"""",IF(REGEXMATCH(INDEX(FILTER(C$4:C944,C$4:C944&lt;&gt;""""),ROWS(FILTER(C$4:C944,C$4:C944&lt;&gt;""""))),""^Sell_""),INDEX(FILTER(F$4:F943,C$4:C943&lt;&gt;""""),ROWS(FILTER(C$4:C943,C$4:C943&lt;&gt;""""))),$AC$5+E944))"),"")</f>
        <v/>
      </c>
      <c r="G944" s="10" t="str">
        <f>IFERROR(__xludf.DUMMYFUNCTION("IF(COUNTA(C944:C1350)=0,"""",IF(C944="""",0,IF(REGEXMATCH(C944,""^Sell_""),-ROUNDDOWN(ROUNDUP(INDEX(Upgrades!$C$3:$C$13,MATCH(SUBSTITUTE(C944,""Sell_"",""""),Upgrades!$B$3:$B$13,0))*1.15^(COUNTIF(C$4:C943,SUBSTITUTE(C944,""Sell_"",""""))-COUNTIF(C$4:C943,"&amp;"""Sell_""&amp;SUBSTITUTE(C944,""Sell_"",""""))))/2),ROUNDUP(INDEX(Upgrades!$C$3:$C$13,MATCH(C944,Upgrades!$B$3:$B$13,0))*1.15^(COUNTIF(C$4:C943,C944)-COUNTIF(C$4:C943,""Sell_""&amp;C944))))))"),"")</f>
        <v/>
      </c>
      <c r="H944" s="10" t="str">
        <f t="shared" si="3"/>
        <v/>
      </c>
      <c r="I944" s="68" t="str">
        <f t="shared" si="4"/>
        <v/>
      </c>
      <c r="J944" s="59" t="str">
        <f t="shared" si="5"/>
        <v/>
      </c>
      <c r="K944" s="69" t="str">
        <f t="shared" si="6"/>
        <v/>
      </c>
      <c r="L944" s="60" t="str">
        <f t="shared" si="7"/>
        <v/>
      </c>
      <c r="M944" s="61" t="str">
        <f>IFERROR(__xludf.DUMMYFUNCTION("IFS(AND(COUNTA(C944:C1350)=0,COUNTA(Q944:Q1350)=0),"""",OR(AND(K944&gt;=1000000000,OR(Y944&gt;=1000000000,COUNTA(Q944:Q1350)=0)),OR(Y944&gt;=1000000000,AND(COUNTA(C944:C1350)=0,P$3=TRUE))),
ROUNDDOWN((AB$1-AC$1)*MAX(INDEX(T$4:T1350,MATCH(LARGE(FILTER(Y$4:Y1350,Y$4"&amp;":Y1350&lt;1000000000),1),Y$4:Y1350)),INDEX(F$4:F1350,MATCH(LARGE(FILTER(K$4:K1350,K$4:K1350&lt;1000000000),1),K$4:K1350)))),AND(K944&lt;1000000000,COUNTA(C944:C1350)&gt;0,P$3=FALSE),
ROUNDDOWN(INDEX(Y$4:Y1350,MATCH(LARGE(FILTER(W$4:W1350,W$4:W1350&lt;=I944),1),W$4:W1350"&amp;"))+(I944-LARGE(FILTER(W$4:W1350,W$4:W1350&lt;=I944),1))*INDEX(T$4:T1350,MATCH(LARGE(FILTER(W$4:W1350,W$4:W1350&lt;=I944),1),W$4:W1350))-K944),1,
ROUNDDOWN(Y944-INDEX(K$4:K1350,MATCH(LARGE(FILTER(I$4:I1350,I$4:I1350&lt;=W944),1),I$4:I1350))-(W944-LARGE(FILTER(I$4:I"&amp;"1350,I$4:I1350&lt;=W944),1))*INDEX(F$4:F1350,MATCH(LARGE(FILTER(I$4:I1350,I$4:I1350&lt;=W944),1),I$4:I1350))))"),"")</f>
        <v/>
      </c>
      <c r="N944" s="60" t="str">
        <f t="shared" si="8"/>
        <v/>
      </c>
      <c r="O944" s="61" t="str">
        <f t="shared" si="9"/>
        <v/>
      </c>
      <c r="P944" s="56" t="str">
        <f t="shared" si="10"/>
        <v/>
      </c>
      <c r="Q944" s="62"/>
      <c r="R944" s="10" t="str">
        <f>IFERROR(__xludf.DUMMYFUNCTION("IF(COUNTA(Q944:Q1350)=0,"""",IF(ISBLANK(Q944),FALSE,IF(NOT(COUNTIF($AA$24:$AA$34,SUBSTITUTE(Q944,""Sell_"",""""))),1,IF(REGEXMATCH(Q944,""Sell_""),IF(COUNTIF(Q$4:Q944,SUBSTITUTE(Q944,""Sell_"",""""))-COUNTIF(Q$4:Q943,Q944)&lt;1,1),FALSE))))"),"")</f>
        <v/>
      </c>
      <c r="S944" s="59" t="str">
        <f t="array" ref="S944">IF(COUNTA(Q944:Q1350)=0,"",SUM((COUNTIF(Q$4:Q944,Upgrades!$B$3:$B$13)-COUNTIF(Q$4:Q944,"Sell_"&amp;Upgrades!$B$3:$B$13))*Upgrades!$D$3:$D$13))</f>
        <v/>
      </c>
      <c r="T944" s="66" t="str">
        <f>IFERROR(__xludf.DUMMYFUNCTION("IF(COUNTA(Q944:Q1350)=0,"""",IF(REGEXMATCH(INDEX(FILTER(Q$4:Q944,Q$4:Q944&lt;&gt;""""),ROWS(FILTER(Q$4:Q944,Q$4:Q944&lt;&gt;""""))),""^Sell_""),INDEX(FILTER(T$4:T943,Q$4:Q943&lt;&gt;""""),ROWS(FILTER(Q$4:Q943,Q$4:Q943&lt;&gt;""""))),$AD$5+S944))"),"")</f>
        <v/>
      </c>
      <c r="U944" s="10" t="str">
        <f>IFERROR(__xludf.DUMMYFUNCTION("IF(COUNTA(Q944:Q1350)=0,"""",IF(Q944="""",0,IF(REGEXMATCH(Q944,""^Sell_""),-ROUNDDOWN(ROUNDUP(INDEX(Upgrades!$C$3:$C$13,MATCH(SUBSTITUTE(Q944,""Sell_"",""""),Upgrades!$B$3:$B$13,0))*1.15^(COUNTIF(Q$4:Q943,SUBSTITUTE(Q944,""Sell_"",""""))-COUNTIF(Q$4:Q943,"&amp;"""Sell_""&amp;SUBSTITUTE(Q944,""Sell_"",""""))))/2),ROUNDUP(INDEX(Upgrades!$C$3:$C$13,MATCH(Q944,Upgrades!$B$3:$B$13,0))*1.15^(COUNTIF(Q$4:Q943,Q944)-COUNTIF(Q$4:Q943,""Sell_""&amp;Q944))))))"),"")</f>
        <v/>
      </c>
      <c r="V944" s="10" t="str">
        <f t="shared" si="11"/>
        <v/>
      </c>
      <c r="W944" s="68" t="str">
        <f t="shared" si="12"/>
        <v/>
      </c>
      <c r="X944" s="59" t="str">
        <f t="shared" si="13"/>
        <v/>
      </c>
      <c r="Y944" s="69" t="str">
        <f t="shared" si="14"/>
        <v/>
      </c>
      <c r="Z944" s="11"/>
    </row>
    <row r="945">
      <c r="A945" s="8"/>
      <c r="B945" s="56" t="str">
        <f t="shared" si="2"/>
        <v/>
      </c>
      <c r="C945" s="57"/>
      <c r="D945" s="10" t="str">
        <f>IFERROR(__xludf.DUMMYFUNCTION("IF(COUNTA(C945:C1350)=0,"""",IF(ISBLANK(C945),FALSE,IF(NOT(COUNTIF($AA$24:$AA$34,SUBSTITUTE(C945,""Sell_"",""""))),1,IF(REGEXMATCH(C945,""Sell_""),IF(COUNTIF(C$4:C945,SUBSTITUTE(C945,""Sell_"",""""))-COUNTIF(C$4:C944,C945)&lt;1,1),FALSE))))"),"")</f>
        <v/>
      </c>
      <c r="E945" s="59" t="str">
        <f t="array" ref="E945">IF(COUNTA(C945:C1350)=0,"",SUM((COUNTIF(C$4:C945,Upgrades!$B$3:$B$13)-COUNTIF(C$4:C945,"Sell_"&amp;Upgrades!$B$3:$B$13))*Upgrades!$D$3:$D$13))</f>
        <v/>
      </c>
      <c r="F945" s="66" t="str">
        <f>IFERROR(__xludf.DUMMYFUNCTION("IF(COUNTA(C945:C1350)=0,"""",IF(REGEXMATCH(INDEX(FILTER(C$4:C945,C$4:C945&lt;&gt;""""),ROWS(FILTER(C$4:C945,C$4:C945&lt;&gt;""""))),""^Sell_""),INDEX(FILTER(F$4:F944,C$4:C944&lt;&gt;""""),ROWS(FILTER(C$4:C944,C$4:C944&lt;&gt;""""))),$AC$5+E945))"),"")</f>
        <v/>
      </c>
      <c r="G945" s="10" t="str">
        <f>IFERROR(__xludf.DUMMYFUNCTION("IF(COUNTA(C945:C1350)=0,"""",IF(C945="""",0,IF(REGEXMATCH(C945,""^Sell_""),-ROUNDDOWN(ROUNDUP(INDEX(Upgrades!$C$3:$C$13,MATCH(SUBSTITUTE(C945,""Sell_"",""""),Upgrades!$B$3:$B$13,0))*1.15^(COUNTIF(C$4:C944,SUBSTITUTE(C945,""Sell_"",""""))-COUNTIF(C$4:C944,"&amp;"""Sell_""&amp;SUBSTITUTE(C945,""Sell_"",""""))))/2),ROUNDUP(INDEX(Upgrades!$C$3:$C$13,MATCH(C945,Upgrades!$B$3:$B$13,0))*1.15^(COUNTIF(C$4:C944,C945)-COUNTIF(C$4:C944,""Sell_""&amp;C945))))))"),"")</f>
        <v/>
      </c>
      <c r="H945" s="10" t="str">
        <f t="shared" si="3"/>
        <v/>
      </c>
      <c r="I945" s="68" t="str">
        <f t="shared" si="4"/>
        <v/>
      </c>
      <c r="J945" s="59" t="str">
        <f t="shared" si="5"/>
        <v/>
      </c>
      <c r="K945" s="69" t="str">
        <f t="shared" si="6"/>
        <v/>
      </c>
      <c r="L945" s="60" t="str">
        <f t="shared" si="7"/>
        <v/>
      </c>
      <c r="M945" s="61" t="str">
        <f>IFERROR(__xludf.DUMMYFUNCTION("IFS(AND(COUNTA(C945:C1350)=0,COUNTA(Q945:Q1350)=0),"""",OR(AND(K945&gt;=1000000000,OR(Y945&gt;=1000000000,COUNTA(Q945:Q1350)=0)),OR(Y945&gt;=1000000000,AND(COUNTA(C945:C1350)=0,P$3=TRUE))),
ROUNDDOWN((AB$1-AC$1)*MAX(INDEX(T$4:T1350,MATCH(LARGE(FILTER(Y$4:Y1350,Y$4"&amp;":Y1350&lt;1000000000),1),Y$4:Y1350)),INDEX(F$4:F1350,MATCH(LARGE(FILTER(K$4:K1350,K$4:K1350&lt;1000000000),1),K$4:K1350)))),AND(K945&lt;1000000000,COUNTA(C945:C1350)&gt;0,P$3=FALSE),
ROUNDDOWN(INDEX(Y$4:Y1350,MATCH(LARGE(FILTER(W$4:W1350,W$4:W1350&lt;=I945),1),W$4:W1350"&amp;"))+(I945-LARGE(FILTER(W$4:W1350,W$4:W1350&lt;=I945),1))*INDEX(T$4:T1350,MATCH(LARGE(FILTER(W$4:W1350,W$4:W1350&lt;=I945),1),W$4:W1350))-K945),1,
ROUNDDOWN(Y945-INDEX(K$4:K1350,MATCH(LARGE(FILTER(I$4:I1350,I$4:I1350&lt;=W945),1),I$4:I1350))-(W945-LARGE(FILTER(I$4:I"&amp;"1350,I$4:I1350&lt;=W945),1))*INDEX(F$4:F1350,MATCH(LARGE(FILTER(I$4:I1350,I$4:I1350&lt;=W945),1),I$4:I1350))))"),"")</f>
        <v/>
      </c>
      <c r="N945" s="60" t="str">
        <f t="shared" si="8"/>
        <v/>
      </c>
      <c r="O945" s="61" t="str">
        <f t="shared" si="9"/>
        <v/>
      </c>
      <c r="P945" s="56" t="str">
        <f t="shared" si="10"/>
        <v/>
      </c>
      <c r="Q945" s="62"/>
      <c r="R945" s="10" t="str">
        <f>IFERROR(__xludf.DUMMYFUNCTION("IF(COUNTA(Q945:Q1350)=0,"""",IF(ISBLANK(Q945),FALSE,IF(NOT(COUNTIF($AA$24:$AA$34,SUBSTITUTE(Q945,""Sell_"",""""))),1,IF(REGEXMATCH(Q945,""Sell_""),IF(COUNTIF(Q$4:Q945,SUBSTITUTE(Q945,""Sell_"",""""))-COUNTIF(Q$4:Q944,Q945)&lt;1,1),FALSE))))"),"")</f>
        <v/>
      </c>
      <c r="S945" s="59" t="str">
        <f t="array" ref="S945">IF(COUNTA(Q945:Q1350)=0,"",SUM((COUNTIF(Q$4:Q945,Upgrades!$B$3:$B$13)-COUNTIF(Q$4:Q945,"Sell_"&amp;Upgrades!$B$3:$B$13))*Upgrades!$D$3:$D$13))</f>
        <v/>
      </c>
      <c r="T945" s="66" t="str">
        <f>IFERROR(__xludf.DUMMYFUNCTION("IF(COUNTA(Q945:Q1350)=0,"""",IF(REGEXMATCH(INDEX(FILTER(Q$4:Q945,Q$4:Q945&lt;&gt;""""),ROWS(FILTER(Q$4:Q945,Q$4:Q945&lt;&gt;""""))),""^Sell_""),INDEX(FILTER(T$4:T944,Q$4:Q944&lt;&gt;""""),ROWS(FILTER(Q$4:Q944,Q$4:Q944&lt;&gt;""""))),$AD$5+S945))"),"")</f>
        <v/>
      </c>
      <c r="U945" s="10" t="str">
        <f>IFERROR(__xludf.DUMMYFUNCTION("IF(COUNTA(Q945:Q1350)=0,"""",IF(Q945="""",0,IF(REGEXMATCH(Q945,""^Sell_""),-ROUNDDOWN(ROUNDUP(INDEX(Upgrades!$C$3:$C$13,MATCH(SUBSTITUTE(Q945,""Sell_"",""""),Upgrades!$B$3:$B$13,0))*1.15^(COUNTIF(Q$4:Q944,SUBSTITUTE(Q945,""Sell_"",""""))-COUNTIF(Q$4:Q944,"&amp;"""Sell_""&amp;SUBSTITUTE(Q945,""Sell_"",""""))))/2),ROUNDUP(INDEX(Upgrades!$C$3:$C$13,MATCH(Q945,Upgrades!$B$3:$B$13,0))*1.15^(COUNTIF(Q$4:Q944,Q945)-COUNTIF(Q$4:Q944,""Sell_""&amp;Q945))))))"),"")</f>
        <v/>
      </c>
      <c r="V945" s="10" t="str">
        <f t="shared" si="11"/>
        <v/>
      </c>
      <c r="W945" s="68" t="str">
        <f t="shared" si="12"/>
        <v/>
      </c>
      <c r="X945" s="59" t="str">
        <f t="shared" si="13"/>
        <v/>
      </c>
      <c r="Y945" s="69" t="str">
        <f t="shared" si="14"/>
        <v/>
      </c>
      <c r="Z945" s="11"/>
    </row>
    <row r="946">
      <c r="A946" s="8"/>
      <c r="B946" s="56" t="str">
        <f t="shared" si="2"/>
        <v/>
      </c>
      <c r="C946" s="57"/>
      <c r="D946" s="10" t="str">
        <f>IFERROR(__xludf.DUMMYFUNCTION("IF(COUNTA(C946:C1350)=0,"""",IF(ISBLANK(C946),FALSE,IF(NOT(COUNTIF($AA$24:$AA$34,SUBSTITUTE(C946,""Sell_"",""""))),1,IF(REGEXMATCH(C946,""Sell_""),IF(COUNTIF(C$4:C946,SUBSTITUTE(C946,""Sell_"",""""))-COUNTIF(C$4:C945,C946)&lt;1,1),FALSE))))"),"")</f>
        <v/>
      </c>
      <c r="E946" s="59" t="str">
        <f t="array" ref="E946">IF(COUNTA(C946:C1350)=0,"",SUM((COUNTIF(C$4:C946,Upgrades!$B$3:$B$13)-COUNTIF(C$4:C946,"Sell_"&amp;Upgrades!$B$3:$B$13))*Upgrades!$D$3:$D$13))</f>
        <v/>
      </c>
      <c r="F946" s="66" t="str">
        <f>IFERROR(__xludf.DUMMYFUNCTION("IF(COUNTA(C946:C1350)=0,"""",IF(REGEXMATCH(INDEX(FILTER(C$4:C946,C$4:C946&lt;&gt;""""),ROWS(FILTER(C$4:C946,C$4:C946&lt;&gt;""""))),""^Sell_""),INDEX(FILTER(F$4:F945,C$4:C945&lt;&gt;""""),ROWS(FILTER(C$4:C945,C$4:C945&lt;&gt;""""))),$AC$5+E946))"),"")</f>
        <v/>
      </c>
      <c r="G946" s="10" t="str">
        <f>IFERROR(__xludf.DUMMYFUNCTION("IF(COUNTA(C946:C1350)=0,"""",IF(C946="""",0,IF(REGEXMATCH(C946,""^Sell_""),-ROUNDDOWN(ROUNDUP(INDEX(Upgrades!$C$3:$C$13,MATCH(SUBSTITUTE(C946,""Sell_"",""""),Upgrades!$B$3:$B$13,0))*1.15^(COUNTIF(C$4:C945,SUBSTITUTE(C946,""Sell_"",""""))-COUNTIF(C$4:C945,"&amp;"""Sell_""&amp;SUBSTITUTE(C946,""Sell_"",""""))))/2),ROUNDUP(INDEX(Upgrades!$C$3:$C$13,MATCH(C946,Upgrades!$B$3:$B$13,0))*1.15^(COUNTIF(C$4:C945,C946)-COUNTIF(C$4:C945,""Sell_""&amp;C946))))))"),"")</f>
        <v/>
      </c>
      <c r="H946" s="10" t="str">
        <f t="shared" si="3"/>
        <v/>
      </c>
      <c r="I946" s="68" t="str">
        <f t="shared" si="4"/>
        <v/>
      </c>
      <c r="J946" s="59" t="str">
        <f t="shared" si="5"/>
        <v/>
      </c>
      <c r="K946" s="69" t="str">
        <f t="shared" si="6"/>
        <v/>
      </c>
      <c r="L946" s="60" t="str">
        <f t="shared" si="7"/>
        <v/>
      </c>
      <c r="M946" s="61" t="str">
        <f>IFERROR(__xludf.DUMMYFUNCTION("IFS(AND(COUNTA(C946:C1350)=0,COUNTA(Q946:Q1350)=0),"""",OR(AND(K946&gt;=1000000000,OR(Y946&gt;=1000000000,COUNTA(Q946:Q1350)=0)),OR(Y946&gt;=1000000000,AND(COUNTA(C946:C1350)=0,P$3=TRUE))),
ROUNDDOWN((AB$1-AC$1)*MAX(INDEX(T$4:T1350,MATCH(LARGE(FILTER(Y$4:Y1350,Y$4"&amp;":Y1350&lt;1000000000),1),Y$4:Y1350)),INDEX(F$4:F1350,MATCH(LARGE(FILTER(K$4:K1350,K$4:K1350&lt;1000000000),1),K$4:K1350)))),AND(K946&lt;1000000000,COUNTA(C946:C1350)&gt;0,P$3=FALSE),
ROUNDDOWN(INDEX(Y$4:Y1350,MATCH(LARGE(FILTER(W$4:W1350,W$4:W1350&lt;=I946),1),W$4:W1350"&amp;"))+(I946-LARGE(FILTER(W$4:W1350,W$4:W1350&lt;=I946),1))*INDEX(T$4:T1350,MATCH(LARGE(FILTER(W$4:W1350,W$4:W1350&lt;=I946),1),W$4:W1350))-K946),1,
ROUNDDOWN(Y946-INDEX(K$4:K1350,MATCH(LARGE(FILTER(I$4:I1350,I$4:I1350&lt;=W946),1),I$4:I1350))-(W946-LARGE(FILTER(I$4:I"&amp;"1350,I$4:I1350&lt;=W946),1))*INDEX(F$4:F1350,MATCH(LARGE(FILTER(I$4:I1350,I$4:I1350&lt;=W946),1),I$4:I1350))))"),"")</f>
        <v/>
      </c>
      <c r="N946" s="60" t="str">
        <f t="shared" si="8"/>
        <v/>
      </c>
      <c r="O946" s="61" t="str">
        <f t="shared" si="9"/>
        <v/>
      </c>
      <c r="P946" s="56" t="str">
        <f t="shared" si="10"/>
        <v/>
      </c>
      <c r="Q946" s="62"/>
      <c r="R946" s="10" t="str">
        <f>IFERROR(__xludf.DUMMYFUNCTION("IF(COUNTA(Q946:Q1350)=0,"""",IF(ISBLANK(Q946),FALSE,IF(NOT(COUNTIF($AA$24:$AA$34,SUBSTITUTE(Q946,""Sell_"",""""))),1,IF(REGEXMATCH(Q946,""Sell_""),IF(COUNTIF(Q$4:Q946,SUBSTITUTE(Q946,""Sell_"",""""))-COUNTIF(Q$4:Q945,Q946)&lt;1,1),FALSE))))"),"")</f>
        <v/>
      </c>
      <c r="S946" s="59" t="str">
        <f t="array" ref="S946">IF(COUNTA(Q946:Q1350)=0,"",SUM((COUNTIF(Q$4:Q946,Upgrades!$B$3:$B$13)-COUNTIF(Q$4:Q946,"Sell_"&amp;Upgrades!$B$3:$B$13))*Upgrades!$D$3:$D$13))</f>
        <v/>
      </c>
      <c r="T946" s="66" t="str">
        <f>IFERROR(__xludf.DUMMYFUNCTION("IF(COUNTA(Q946:Q1350)=0,"""",IF(REGEXMATCH(INDEX(FILTER(Q$4:Q946,Q$4:Q946&lt;&gt;""""),ROWS(FILTER(Q$4:Q946,Q$4:Q946&lt;&gt;""""))),""^Sell_""),INDEX(FILTER(T$4:T945,Q$4:Q945&lt;&gt;""""),ROWS(FILTER(Q$4:Q945,Q$4:Q945&lt;&gt;""""))),$AD$5+S946))"),"")</f>
        <v/>
      </c>
      <c r="U946" s="10" t="str">
        <f>IFERROR(__xludf.DUMMYFUNCTION("IF(COUNTA(Q946:Q1350)=0,"""",IF(Q946="""",0,IF(REGEXMATCH(Q946,""^Sell_""),-ROUNDDOWN(ROUNDUP(INDEX(Upgrades!$C$3:$C$13,MATCH(SUBSTITUTE(Q946,""Sell_"",""""),Upgrades!$B$3:$B$13,0))*1.15^(COUNTIF(Q$4:Q945,SUBSTITUTE(Q946,""Sell_"",""""))-COUNTIF(Q$4:Q945,"&amp;"""Sell_""&amp;SUBSTITUTE(Q946,""Sell_"",""""))))/2),ROUNDUP(INDEX(Upgrades!$C$3:$C$13,MATCH(Q946,Upgrades!$B$3:$B$13,0))*1.15^(COUNTIF(Q$4:Q945,Q946)-COUNTIF(Q$4:Q945,""Sell_""&amp;Q946))))))"),"")</f>
        <v/>
      </c>
      <c r="V946" s="10" t="str">
        <f t="shared" si="11"/>
        <v/>
      </c>
      <c r="W946" s="68" t="str">
        <f t="shared" si="12"/>
        <v/>
      </c>
      <c r="X946" s="59" t="str">
        <f t="shared" si="13"/>
        <v/>
      </c>
      <c r="Y946" s="69" t="str">
        <f t="shared" si="14"/>
        <v/>
      </c>
      <c r="Z946" s="11"/>
    </row>
    <row r="947">
      <c r="A947" s="8"/>
      <c r="B947" s="56" t="str">
        <f t="shared" si="2"/>
        <v/>
      </c>
      <c r="C947" s="57"/>
      <c r="D947" s="10" t="str">
        <f>IFERROR(__xludf.DUMMYFUNCTION("IF(COUNTA(C947:C1350)=0,"""",IF(ISBLANK(C947),FALSE,IF(NOT(COUNTIF($AA$24:$AA$34,SUBSTITUTE(C947,""Sell_"",""""))),1,IF(REGEXMATCH(C947,""Sell_""),IF(COUNTIF(C$4:C947,SUBSTITUTE(C947,""Sell_"",""""))-COUNTIF(C$4:C946,C947)&lt;1,1),FALSE))))"),"")</f>
        <v/>
      </c>
      <c r="E947" s="59" t="str">
        <f t="array" ref="E947">IF(COUNTA(C947:C1350)=0,"",SUM((COUNTIF(C$4:C947,Upgrades!$B$3:$B$13)-COUNTIF(C$4:C947,"Sell_"&amp;Upgrades!$B$3:$B$13))*Upgrades!$D$3:$D$13))</f>
        <v/>
      </c>
      <c r="F947" s="66" t="str">
        <f>IFERROR(__xludf.DUMMYFUNCTION("IF(COUNTA(C947:C1350)=0,"""",IF(REGEXMATCH(INDEX(FILTER(C$4:C947,C$4:C947&lt;&gt;""""),ROWS(FILTER(C$4:C947,C$4:C947&lt;&gt;""""))),""^Sell_""),INDEX(FILTER(F$4:F946,C$4:C946&lt;&gt;""""),ROWS(FILTER(C$4:C946,C$4:C946&lt;&gt;""""))),$AC$5+E947))"),"")</f>
        <v/>
      </c>
      <c r="G947" s="10" t="str">
        <f>IFERROR(__xludf.DUMMYFUNCTION("IF(COUNTA(C947:C1350)=0,"""",IF(C947="""",0,IF(REGEXMATCH(C947,""^Sell_""),-ROUNDDOWN(ROUNDUP(INDEX(Upgrades!$C$3:$C$13,MATCH(SUBSTITUTE(C947,""Sell_"",""""),Upgrades!$B$3:$B$13,0))*1.15^(COUNTIF(C$4:C946,SUBSTITUTE(C947,""Sell_"",""""))-COUNTIF(C$4:C946,"&amp;"""Sell_""&amp;SUBSTITUTE(C947,""Sell_"",""""))))/2),ROUNDUP(INDEX(Upgrades!$C$3:$C$13,MATCH(C947,Upgrades!$B$3:$B$13,0))*1.15^(COUNTIF(C$4:C946,C947)-COUNTIF(C$4:C946,""Sell_""&amp;C947))))))"),"")</f>
        <v/>
      </c>
      <c r="H947" s="10" t="str">
        <f t="shared" si="3"/>
        <v/>
      </c>
      <c r="I947" s="68" t="str">
        <f t="shared" si="4"/>
        <v/>
      </c>
      <c r="J947" s="59" t="str">
        <f t="shared" si="5"/>
        <v/>
      </c>
      <c r="K947" s="69" t="str">
        <f t="shared" si="6"/>
        <v/>
      </c>
      <c r="L947" s="60" t="str">
        <f t="shared" si="7"/>
        <v/>
      </c>
      <c r="M947" s="61" t="str">
        <f>IFERROR(__xludf.DUMMYFUNCTION("IFS(AND(COUNTA(C947:C1350)=0,COUNTA(Q947:Q1350)=0),"""",OR(AND(K947&gt;=1000000000,OR(Y947&gt;=1000000000,COUNTA(Q947:Q1350)=0)),OR(Y947&gt;=1000000000,AND(COUNTA(C947:C1350)=0,P$3=TRUE))),
ROUNDDOWN((AB$1-AC$1)*MAX(INDEX(T$4:T1350,MATCH(LARGE(FILTER(Y$4:Y1350,Y$4"&amp;":Y1350&lt;1000000000),1),Y$4:Y1350)),INDEX(F$4:F1350,MATCH(LARGE(FILTER(K$4:K1350,K$4:K1350&lt;1000000000),1),K$4:K1350)))),AND(K947&lt;1000000000,COUNTA(C947:C1350)&gt;0,P$3=FALSE),
ROUNDDOWN(INDEX(Y$4:Y1350,MATCH(LARGE(FILTER(W$4:W1350,W$4:W1350&lt;=I947),1),W$4:W1350"&amp;"))+(I947-LARGE(FILTER(W$4:W1350,W$4:W1350&lt;=I947),1))*INDEX(T$4:T1350,MATCH(LARGE(FILTER(W$4:W1350,W$4:W1350&lt;=I947),1),W$4:W1350))-K947),1,
ROUNDDOWN(Y947-INDEX(K$4:K1350,MATCH(LARGE(FILTER(I$4:I1350,I$4:I1350&lt;=W947),1),I$4:I1350))-(W947-LARGE(FILTER(I$4:I"&amp;"1350,I$4:I1350&lt;=W947),1))*INDEX(F$4:F1350,MATCH(LARGE(FILTER(I$4:I1350,I$4:I1350&lt;=W947),1),I$4:I1350))))"),"")</f>
        <v/>
      </c>
      <c r="N947" s="60" t="str">
        <f t="shared" si="8"/>
        <v/>
      </c>
      <c r="O947" s="61" t="str">
        <f t="shared" si="9"/>
        <v/>
      </c>
      <c r="P947" s="56" t="str">
        <f t="shared" si="10"/>
        <v/>
      </c>
      <c r="Q947" s="62"/>
      <c r="R947" s="10" t="str">
        <f>IFERROR(__xludf.DUMMYFUNCTION("IF(COUNTA(Q947:Q1350)=0,"""",IF(ISBLANK(Q947),FALSE,IF(NOT(COUNTIF($AA$24:$AA$34,SUBSTITUTE(Q947,""Sell_"",""""))),1,IF(REGEXMATCH(Q947,""Sell_""),IF(COUNTIF(Q$4:Q947,SUBSTITUTE(Q947,""Sell_"",""""))-COUNTIF(Q$4:Q946,Q947)&lt;1,1),FALSE))))"),"")</f>
        <v/>
      </c>
      <c r="S947" s="59" t="str">
        <f t="array" ref="S947">IF(COUNTA(Q947:Q1350)=0,"",SUM((COUNTIF(Q$4:Q947,Upgrades!$B$3:$B$13)-COUNTIF(Q$4:Q947,"Sell_"&amp;Upgrades!$B$3:$B$13))*Upgrades!$D$3:$D$13))</f>
        <v/>
      </c>
      <c r="T947" s="66" t="str">
        <f>IFERROR(__xludf.DUMMYFUNCTION("IF(COUNTA(Q947:Q1350)=0,"""",IF(REGEXMATCH(INDEX(FILTER(Q$4:Q947,Q$4:Q947&lt;&gt;""""),ROWS(FILTER(Q$4:Q947,Q$4:Q947&lt;&gt;""""))),""^Sell_""),INDEX(FILTER(T$4:T946,Q$4:Q946&lt;&gt;""""),ROWS(FILTER(Q$4:Q946,Q$4:Q946&lt;&gt;""""))),$AD$5+S947))"),"")</f>
        <v/>
      </c>
      <c r="U947" s="10" t="str">
        <f>IFERROR(__xludf.DUMMYFUNCTION("IF(COUNTA(Q947:Q1350)=0,"""",IF(Q947="""",0,IF(REGEXMATCH(Q947,""^Sell_""),-ROUNDDOWN(ROUNDUP(INDEX(Upgrades!$C$3:$C$13,MATCH(SUBSTITUTE(Q947,""Sell_"",""""),Upgrades!$B$3:$B$13,0))*1.15^(COUNTIF(Q$4:Q946,SUBSTITUTE(Q947,""Sell_"",""""))-COUNTIF(Q$4:Q946,"&amp;"""Sell_""&amp;SUBSTITUTE(Q947,""Sell_"",""""))))/2),ROUNDUP(INDEX(Upgrades!$C$3:$C$13,MATCH(Q947,Upgrades!$B$3:$B$13,0))*1.15^(COUNTIF(Q$4:Q946,Q947)-COUNTIF(Q$4:Q946,""Sell_""&amp;Q947))))))"),"")</f>
        <v/>
      </c>
      <c r="V947" s="10" t="str">
        <f t="shared" si="11"/>
        <v/>
      </c>
      <c r="W947" s="68" t="str">
        <f t="shared" si="12"/>
        <v/>
      </c>
      <c r="X947" s="59" t="str">
        <f t="shared" si="13"/>
        <v/>
      </c>
      <c r="Y947" s="69" t="str">
        <f t="shared" si="14"/>
        <v/>
      </c>
      <c r="Z947" s="11"/>
    </row>
    <row r="948">
      <c r="A948" s="8"/>
      <c r="B948" s="56" t="str">
        <f t="shared" si="2"/>
        <v/>
      </c>
      <c r="C948" s="57"/>
      <c r="D948" s="10" t="str">
        <f>IFERROR(__xludf.DUMMYFUNCTION("IF(COUNTA(C948:C1350)=0,"""",IF(ISBLANK(C948),FALSE,IF(NOT(COUNTIF($AA$24:$AA$34,SUBSTITUTE(C948,""Sell_"",""""))),1,IF(REGEXMATCH(C948,""Sell_""),IF(COUNTIF(C$4:C948,SUBSTITUTE(C948,""Sell_"",""""))-COUNTIF(C$4:C947,C948)&lt;1,1),FALSE))))"),"")</f>
        <v/>
      </c>
      <c r="E948" s="59" t="str">
        <f t="array" ref="E948">IF(COUNTA(C948:C1350)=0,"",SUM((COUNTIF(C$4:C948,Upgrades!$B$3:$B$13)-COUNTIF(C$4:C948,"Sell_"&amp;Upgrades!$B$3:$B$13))*Upgrades!$D$3:$D$13))</f>
        <v/>
      </c>
      <c r="F948" s="66" t="str">
        <f>IFERROR(__xludf.DUMMYFUNCTION("IF(COUNTA(C948:C1350)=0,"""",IF(REGEXMATCH(INDEX(FILTER(C$4:C948,C$4:C948&lt;&gt;""""),ROWS(FILTER(C$4:C948,C$4:C948&lt;&gt;""""))),""^Sell_""),INDEX(FILTER(F$4:F947,C$4:C947&lt;&gt;""""),ROWS(FILTER(C$4:C947,C$4:C947&lt;&gt;""""))),$AC$5+E948))"),"")</f>
        <v/>
      </c>
      <c r="G948" s="10" t="str">
        <f>IFERROR(__xludf.DUMMYFUNCTION("IF(COUNTA(C948:C1350)=0,"""",IF(C948="""",0,IF(REGEXMATCH(C948,""^Sell_""),-ROUNDDOWN(ROUNDUP(INDEX(Upgrades!$C$3:$C$13,MATCH(SUBSTITUTE(C948,""Sell_"",""""),Upgrades!$B$3:$B$13,0))*1.15^(COUNTIF(C$4:C947,SUBSTITUTE(C948,""Sell_"",""""))-COUNTIF(C$4:C947,"&amp;"""Sell_""&amp;SUBSTITUTE(C948,""Sell_"",""""))))/2),ROUNDUP(INDEX(Upgrades!$C$3:$C$13,MATCH(C948,Upgrades!$B$3:$B$13,0))*1.15^(COUNTIF(C$4:C947,C948)-COUNTIF(C$4:C947,""Sell_""&amp;C948))))))"),"")</f>
        <v/>
      </c>
      <c r="H948" s="10" t="str">
        <f t="shared" si="3"/>
        <v/>
      </c>
      <c r="I948" s="68" t="str">
        <f t="shared" si="4"/>
        <v/>
      </c>
      <c r="J948" s="59" t="str">
        <f t="shared" si="5"/>
        <v/>
      </c>
      <c r="K948" s="69" t="str">
        <f t="shared" si="6"/>
        <v/>
      </c>
      <c r="L948" s="60" t="str">
        <f t="shared" si="7"/>
        <v/>
      </c>
      <c r="M948" s="61" t="str">
        <f>IFERROR(__xludf.DUMMYFUNCTION("IFS(AND(COUNTA(C948:C1350)=0,COUNTA(Q948:Q1350)=0),"""",OR(AND(K948&gt;=1000000000,OR(Y948&gt;=1000000000,COUNTA(Q948:Q1350)=0)),OR(Y948&gt;=1000000000,AND(COUNTA(C948:C1350)=0,P$3=TRUE))),
ROUNDDOWN((AB$1-AC$1)*MAX(INDEX(T$4:T1350,MATCH(LARGE(FILTER(Y$4:Y1350,Y$4"&amp;":Y1350&lt;1000000000),1),Y$4:Y1350)),INDEX(F$4:F1350,MATCH(LARGE(FILTER(K$4:K1350,K$4:K1350&lt;1000000000),1),K$4:K1350)))),AND(K948&lt;1000000000,COUNTA(C948:C1350)&gt;0,P$3=FALSE),
ROUNDDOWN(INDEX(Y$4:Y1350,MATCH(LARGE(FILTER(W$4:W1350,W$4:W1350&lt;=I948),1),W$4:W1350"&amp;"))+(I948-LARGE(FILTER(W$4:W1350,W$4:W1350&lt;=I948),1))*INDEX(T$4:T1350,MATCH(LARGE(FILTER(W$4:W1350,W$4:W1350&lt;=I948),1),W$4:W1350))-K948),1,
ROUNDDOWN(Y948-INDEX(K$4:K1350,MATCH(LARGE(FILTER(I$4:I1350,I$4:I1350&lt;=W948),1),I$4:I1350))-(W948-LARGE(FILTER(I$4:I"&amp;"1350,I$4:I1350&lt;=W948),1))*INDEX(F$4:F1350,MATCH(LARGE(FILTER(I$4:I1350,I$4:I1350&lt;=W948),1),I$4:I1350))))"),"")</f>
        <v/>
      </c>
      <c r="N948" s="60" t="str">
        <f t="shared" si="8"/>
        <v/>
      </c>
      <c r="O948" s="61" t="str">
        <f t="shared" si="9"/>
        <v/>
      </c>
      <c r="P948" s="56" t="str">
        <f t="shared" si="10"/>
        <v/>
      </c>
      <c r="Q948" s="62"/>
      <c r="R948" s="10" t="str">
        <f>IFERROR(__xludf.DUMMYFUNCTION("IF(COUNTA(Q948:Q1350)=0,"""",IF(ISBLANK(Q948),FALSE,IF(NOT(COUNTIF($AA$24:$AA$34,SUBSTITUTE(Q948,""Sell_"",""""))),1,IF(REGEXMATCH(Q948,""Sell_""),IF(COUNTIF(Q$4:Q948,SUBSTITUTE(Q948,""Sell_"",""""))-COUNTIF(Q$4:Q947,Q948)&lt;1,1),FALSE))))"),"")</f>
        <v/>
      </c>
      <c r="S948" s="59" t="str">
        <f t="array" ref="S948">IF(COUNTA(Q948:Q1350)=0,"",SUM((COUNTIF(Q$4:Q948,Upgrades!$B$3:$B$13)-COUNTIF(Q$4:Q948,"Sell_"&amp;Upgrades!$B$3:$B$13))*Upgrades!$D$3:$D$13))</f>
        <v/>
      </c>
      <c r="T948" s="66" t="str">
        <f>IFERROR(__xludf.DUMMYFUNCTION("IF(COUNTA(Q948:Q1350)=0,"""",IF(REGEXMATCH(INDEX(FILTER(Q$4:Q948,Q$4:Q948&lt;&gt;""""),ROWS(FILTER(Q$4:Q948,Q$4:Q948&lt;&gt;""""))),""^Sell_""),INDEX(FILTER(T$4:T947,Q$4:Q947&lt;&gt;""""),ROWS(FILTER(Q$4:Q947,Q$4:Q947&lt;&gt;""""))),$AD$5+S948))"),"")</f>
        <v/>
      </c>
      <c r="U948" s="10" t="str">
        <f>IFERROR(__xludf.DUMMYFUNCTION("IF(COUNTA(Q948:Q1350)=0,"""",IF(Q948="""",0,IF(REGEXMATCH(Q948,""^Sell_""),-ROUNDDOWN(ROUNDUP(INDEX(Upgrades!$C$3:$C$13,MATCH(SUBSTITUTE(Q948,""Sell_"",""""),Upgrades!$B$3:$B$13,0))*1.15^(COUNTIF(Q$4:Q947,SUBSTITUTE(Q948,""Sell_"",""""))-COUNTIF(Q$4:Q947,"&amp;"""Sell_""&amp;SUBSTITUTE(Q948,""Sell_"",""""))))/2),ROUNDUP(INDEX(Upgrades!$C$3:$C$13,MATCH(Q948,Upgrades!$B$3:$B$13,0))*1.15^(COUNTIF(Q$4:Q947,Q948)-COUNTIF(Q$4:Q947,""Sell_""&amp;Q948))))))"),"")</f>
        <v/>
      </c>
      <c r="V948" s="10" t="str">
        <f t="shared" si="11"/>
        <v/>
      </c>
      <c r="W948" s="68" t="str">
        <f t="shared" si="12"/>
        <v/>
      </c>
      <c r="X948" s="59" t="str">
        <f t="shared" si="13"/>
        <v/>
      </c>
      <c r="Y948" s="69" t="str">
        <f t="shared" si="14"/>
        <v/>
      </c>
      <c r="Z948" s="11"/>
    </row>
    <row r="949">
      <c r="A949" s="8"/>
      <c r="B949" s="56" t="str">
        <f t="shared" si="2"/>
        <v/>
      </c>
      <c r="C949" s="57"/>
      <c r="D949" s="10" t="str">
        <f>IFERROR(__xludf.DUMMYFUNCTION("IF(COUNTA(C949:C1350)=0,"""",IF(ISBLANK(C949),FALSE,IF(NOT(COUNTIF($AA$24:$AA$34,SUBSTITUTE(C949,""Sell_"",""""))),1,IF(REGEXMATCH(C949,""Sell_""),IF(COUNTIF(C$4:C949,SUBSTITUTE(C949,""Sell_"",""""))-COUNTIF(C$4:C948,C949)&lt;1,1),FALSE))))"),"")</f>
        <v/>
      </c>
      <c r="E949" s="59" t="str">
        <f t="array" ref="E949">IF(COUNTA(C949:C1350)=0,"",SUM((COUNTIF(C$4:C949,Upgrades!$B$3:$B$13)-COUNTIF(C$4:C949,"Sell_"&amp;Upgrades!$B$3:$B$13))*Upgrades!$D$3:$D$13))</f>
        <v/>
      </c>
      <c r="F949" s="66" t="str">
        <f>IFERROR(__xludf.DUMMYFUNCTION("IF(COUNTA(C949:C1350)=0,"""",IF(REGEXMATCH(INDEX(FILTER(C$4:C949,C$4:C949&lt;&gt;""""),ROWS(FILTER(C$4:C949,C$4:C949&lt;&gt;""""))),""^Sell_""),INDEX(FILTER(F$4:F948,C$4:C948&lt;&gt;""""),ROWS(FILTER(C$4:C948,C$4:C948&lt;&gt;""""))),$AC$5+E949))"),"")</f>
        <v/>
      </c>
      <c r="G949" s="10" t="str">
        <f>IFERROR(__xludf.DUMMYFUNCTION("IF(COUNTA(C949:C1350)=0,"""",IF(C949="""",0,IF(REGEXMATCH(C949,""^Sell_""),-ROUNDDOWN(ROUNDUP(INDEX(Upgrades!$C$3:$C$13,MATCH(SUBSTITUTE(C949,""Sell_"",""""),Upgrades!$B$3:$B$13,0))*1.15^(COUNTIF(C$4:C948,SUBSTITUTE(C949,""Sell_"",""""))-COUNTIF(C$4:C948,"&amp;"""Sell_""&amp;SUBSTITUTE(C949,""Sell_"",""""))))/2),ROUNDUP(INDEX(Upgrades!$C$3:$C$13,MATCH(C949,Upgrades!$B$3:$B$13,0))*1.15^(COUNTIF(C$4:C948,C949)-COUNTIF(C$4:C948,""Sell_""&amp;C949))))))"),"")</f>
        <v/>
      </c>
      <c r="H949" s="10" t="str">
        <f t="shared" si="3"/>
        <v/>
      </c>
      <c r="I949" s="68" t="str">
        <f t="shared" si="4"/>
        <v/>
      </c>
      <c r="J949" s="59" t="str">
        <f t="shared" si="5"/>
        <v/>
      </c>
      <c r="K949" s="69" t="str">
        <f t="shared" si="6"/>
        <v/>
      </c>
      <c r="L949" s="60" t="str">
        <f t="shared" si="7"/>
        <v/>
      </c>
      <c r="M949" s="61" t="str">
        <f>IFERROR(__xludf.DUMMYFUNCTION("IFS(AND(COUNTA(C949:C1350)=0,COUNTA(Q949:Q1350)=0),"""",OR(AND(K949&gt;=1000000000,OR(Y949&gt;=1000000000,COUNTA(Q949:Q1350)=0)),OR(Y949&gt;=1000000000,AND(COUNTA(C949:C1350)=0,P$3=TRUE))),
ROUNDDOWN((AB$1-AC$1)*MAX(INDEX(T$4:T1350,MATCH(LARGE(FILTER(Y$4:Y1350,Y$4"&amp;":Y1350&lt;1000000000),1),Y$4:Y1350)),INDEX(F$4:F1350,MATCH(LARGE(FILTER(K$4:K1350,K$4:K1350&lt;1000000000),1),K$4:K1350)))),AND(K949&lt;1000000000,COUNTA(C949:C1350)&gt;0,P$3=FALSE),
ROUNDDOWN(INDEX(Y$4:Y1350,MATCH(LARGE(FILTER(W$4:W1350,W$4:W1350&lt;=I949),1),W$4:W1350"&amp;"))+(I949-LARGE(FILTER(W$4:W1350,W$4:W1350&lt;=I949),1))*INDEX(T$4:T1350,MATCH(LARGE(FILTER(W$4:W1350,W$4:W1350&lt;=I949),1),W$4:W1350))-K949),1,
ROUNDDOWN(Y949-INDEX(K$4:K1350,MATCH(LARGE(FILTER(I$4:I1350,I$4:I1350&lt;=W949),1),I$4:I1350))-(W949-LARGE(FILTER(I$4:I"&amp;"1350,I$4:I1350&lt;=W949),1))*INDEX(F$4:F1350,MATCH(LARGE(FILTER(I$4:I1350,I$4:I1350&lt;=W949),1),I$4:I1350))))"),"")</f>
        <v/>
      </c>
      <c r="N949" s="60" t="str">
        <f t="shared" si="8"/>
        <v/>
      </c>
      <c r="O949" s="61" t="str">
        <f t="shared" si="9"/>
        <v/>
      </c>
      <c r="P949" s="56" t="str">
        <f t="shared" si="10"/>
        <v/>
      </c>
      <c r="Q949" s="62"/>
      <c r="R949" s="10" t="str">
        <f>IFERROR(__xludf.DUMMYFUNCTION("IF(COUNTA(Q949:Q1350)=0,"""",IF(ISBLANK(Q949),FALSE,IF(NOT(COUNTIF($AA$24:$AA$34,SUBSTITUTE(Q949,""Sell_"",""""))),1,IF(REGEXMATCH(Q949,""Sell_""),IF(COUNTIF(Q$4:Q949,SUBSTITUTE(Q949,""Sell_"",""""))-COUNTIF(Q$4:Q948,Q949)&lt;1,1),FALSE))))"),"")</f>
        <v/>
      </c>
      <c r="S949" s="59" t="str">
        <f t="array" ref="S949">IF(COUNTA(Q949:Q1350)=0,"",SUM((COUNTIF(Q$4:Q949,Upgrades!$B$3:$B$13)-COUNTIF(Q$4:Q949,"Sell_"&amp;Upgrades!$B$3:$B$13))*Upgrades!$D$3:$D$13))</f>
        <v/>
      </c>
      <c r="T949" s="66" t="str">
        <f>IFERROR(__xludf.DUMMYFUNCTION("IF(COUNTA(Q949:Q1350)=0,"""",IF(REGEXMATCH(INDEX(FILTER(Q$4:Q949,Q$4:Q949&lt;&gt;""""),ROWS(FILTER(Q$4:Q949,Q$4:Q949&lt;&gt;""""))),""^Sell_""),INDEX(FILTER(T$4:T948,Q$4:Q948&lt;&gt;""""),ROWS(FILTER(Q$4:Q948,Q$4:Q948&lt;&gt;""""))),$AD$5+S949))"),"")</f>
        <v/>
      </c>
      <c r="U949" s="10" t="str">
        <f>IFERROR(__xludf.DUMMYFUNCTION("IF(COUNTA(Q949:Q1350)=0,"""",IF(Q949="""",0,IF(REGEXMATCH(Q949,""^Sell_""),-ROUNDDOWN(ROUNDUP(INDEX(Upgrades!$C$3:$C$13,MATCH(SUBSTITUTE(Q949,""Sell_"",""""),Upgrades!$B$3:$B$13,0))*1.15^(COUNTIF(Q$4:Q948,SUBSTITUTE(Q949,""Sell_"",""""))-COUNTIF(Q$4:Q948,"&amp;"""Sell_""&amp;SUBSTITUTE(Q949,""Sell_"",""""))))/2),ROUNDUP(INDEX(Upgrades!$C$3:$C$13,MATCH(Q949,Upgrades!$B$3:$B$13,0))*1.15^(COUNTIF(Q$4:Q948,Q949)-COUNTIF(Q$4:Q948,""Sell_""&amp;Q949))))))"),"")</f>
        <v/>
      </c>
      <c r="V949" s="10" t="str">
        <f t="shared" si="11"/>
        <v/>
      </c>
      <c r="W949" s="68" t="str">
        <f t="shared" si="12"/>
        <v/>
      </c>
      <c r="X949" s="59" t="str">
        <f t="shared" si="13"/>
        <v/>
      </c>
      <c r="Y949" s="69" t="str">
        <f t="shared" si="14"/>
        <v/>
      </c>
      <c r="Z949" s="11"/>
    </row>
    <row r="950">
      <c r="A950" s="8"/>
      <c r="B950" s="56" t="str">
        <f t="shared" si="2"/>
        <v/>
      </c>
      <c r="C950" s="57"/>
      <c r="D950" s="10" t="str">
        <f>IFERROR(__xludf.DUMMYFUNCTION("IF(COUNTA(C950:C1350)=0,"""",IF(ISBLANK(C950),FALSE,IF(NOT(COUNTIF($AA$24:$AA$34,SUBSTITUTE(C950,""Sell_"",""""))),1,IF(REGEXMATCH(C950,""Sell_""),IF(COUNTIF(C$4:C950,SUBSTITUTE(C950,""Sell_"",""""))-COUNTIF(C$4:C949,C950)&lt;1,1),FALSE))))"),"")</f>
        <v/>
      </c>
      <c r="E950" s="59" t="str">
        <f t="array" ref="E950">IF(COUNTA(C950:C1350)=0,"",SUM((COUNTIF(C$4:C950,Upgrades!$B$3:$B$13)-COUNTIF(C$4:C950,"Sell_"&amp;Upgrades!$B$3:$B$13))*Upgrades!$D$3:$D$13))</f>
        <v/>
      </c>
      <c r="F950" s="66" t="str">
        <f>IFERROR(__xludf.DUMMYFUNCTION("IF(COUNTA(C950:C1350)=0,"""",IF(REGEXMATCH(INDEX(FILTER(C$4:C950,C$4:C950&lt;&gt;""""),ROWS(FILTER(C$4:C950,C$4:C950&lt;&gt;""""))),""^Sell_""),INDEX(FILTER(F$4:F949,C$4:C949&lt;&gt;""""),ROWS(FILTER(C$4:C949,C$4:C949&lt;&gt;""""))),$AC$5+E950))"),"")</f>
        <v/>
      </c>
      <c r="G950" s="10" t="str">
        <f>IFERROR(__xludf.DUMMYFUNCTION("IF(COUNTA(C950:C1350)=0,"""",IF(C950="""",0,IF(REGEXMATCH(C950,""^Sell_""),-ROUNDDOWN(ROUNDUP(INDEX(Upgrades!$C$3:$C$13,MATCH(SUBSTITUTE(C950,""Sell_"",""""),Upgrades!$B$3:$B$13,0))*1.15^(COUNTIF(C$4:C949,SUBSTITUTE(C950,""Sell_"",""""))-COUNTIF(C$4:C949,"&amp;"""Sell_""&amp;SUBSTITUTE(C950,""Sell_"",""""))))/2),ROUNDUP(INDEX(Upgrades!$C$3:$C$13,MATCH(C950,Upgrades!$B$3:$B$13,0))*1.15^(COUNTIF(C$4:C949,C950)-COUNTIF(C$4:C949,""Sell_""&amp;C950))))))"),"")</f>
        <v/>
      </c>
      <c r="H950" s="10" t="str">
        <f t="shared" si="3"/>
        <v/>
      </c>
      <c r="I950" s="68" t="str">
        <f t="shared" si="4"/>
        <v/>
      </c>
      <c r="J950" s="59" t="str">
        <f t="shared" si="5"/>
        <v/>
      </c>
      <c r="K950" s="69" t="str">
        <f t="shared" si="6"/>
        <v/>
      </c>
      <c r="L950" s="60" t="str">
        <f t="shared" si="7"/>
        <v/>
      </c>
      <c r="M950" s="61" t="str">
        <f>IFERROR(__xludf.DUMMYFUNCTION("IFS(AND(COUNTA(C950:C1350)=0,COUNTA(Q950:Q1350)=0),"""",OR(AND(K950&gt;=1000000000,OR(Y950&gt;=1000000000,COUNTA(Q950:Q1350)=0)),OR(Y950&gt;=1000000000,AND(COUNTA(C950:C1350)=0,P$3=TRUE))),
ROUNDDOWN((AB$1-AC$1)*MAX(INDEX(T$4:T1350,MATCH(LARGE(FILTER(Y$4:Y1350,Y$4"&amp;":Y1350&lt;1000000000),1),Y$4:Y1350)),INDEX(F$4:F1350,MATCH(LARGE(FILTER(K$4:K1350,K$4:K1350&lt;1000000000),1),K$4:K1350)))),AND(K950&lt;1000000000,COUNTA(C950:C1350)&gt;0,P$3=FALSE),
ROUNDDOWN(INDEX(Y$4:Y1350,MATCH(LARGE(FILTER(W$4:W1350,W$4:W1350&lt;=I950),1),W$4:W1350"&amp;"))+(I950-LARGE(FILTER(W$4:W1350,W$4:W1350&lt;=I950),1))*INDEX(T$4:T1350,MATCH(LARGE(FILTER(W$4:W1350,W$4:W1350&lt;=I950),1),W$4:W1350))-K950),1,
ROUNDDOWN(Y950-INDEX(K$4:K1350,MATCH(LARGE(FILTER(I$4:I1350,I$4:I1350&lt;=W950),1),I$4:I1350))-(W950-LARGE(FILTER(I$4:I"&amp;"1350,I$4:I1350&lt;=W950),1))*INDEX(F$4:F1350,MATCH(LARGE(FILTER(I$4:I1350,I$4:I1350&lt;=W950),1),I$4:I1350))))"),"")</f>
        <v/>
      </c>
      <c r="N950" s="60" t="str">
        <f t="shared" si="8"/>
        <v/>
      </c>
      <c r="O950" s="61" t="str">
        <f t="shared" si="9"/>
        <v/>
      </c>
      <c r="P950" s="56" t="str">
        <f t="shared" si="10"/>
        <v/>
      </c>
      <c r="Q950" s="62"/>
      <c r="R950" s="10" t="str">
        <f>IFERROR(__xludf.DUMMYFUNCTION("IF(COUNTA(Q950:Q1350)=0,"""",IF(ISBLANK(Q950),FALSE,IF(NOT(COUNTIF($AA$24:$AA$34,SUBSTITUTE(Q950,""Sell_"",""""))),1,IF(REGEXMATCH(Q950,""Sell_""),IF(COUNTIF(Q$4:Q950,SUBSTITUTE(Q950,""Sell_"",""""))-COUNTIF(Q$4:Q949,Q950)&lt;1,1),FALSE))))"),"")</f>
        <v/>
      </c>
      <c r="S950" s="59" t="str">
        <f t="array" ref="S950">IF(COUNTA(Q950:Q1350)=0,"",SUM((COUNTIF(Q$4:Q950,Upgrades!$B$3:$B$13)-COUNTIF(Q$4:Q950,"Sell_"&amp;Upgrades!$B$3:$B$13))*Upgrades!$D$3:$D$13))</f>
        <v/>
      </c>
      <c r="T950" s="66" t="str">
        <f>IFERROR(__xludf.DUMMYFUNCTION("IF(COUNTA(Q950:Q1350)=0,"""",IF(REGEXMATCH(INDEX(FILTER(Q$4:Q950,Q$4:Q950&lt;&gt;""""),ROWS(FILTER(Q$4:Q950,Q$4:Q950&lt;&gt;""""))),""^Sell_""),INDEX(FILTER(T$4:T949,Q$4:Q949&lt;&gt;""""),ROWS(FILTER(Q$4:Q949,Q$4:Q949&lt;&gt;""""))),$AD$5+S950))"),"")</f>
        <v/>
      </c>
      <c r="U950" s="10" t="str">
        <f>IFERROR(__xludf.DUMMYFUNCTION("IF(COUNTA(Q950:Q1350)=0,"""",IF(Q950="""",0,IF(REGEXMATCH(Q950,""^Sell_""),-ROUNDDOWN(ROUNDUP(INDEX(Upgrades!$C$3:$C$13,MATCH(SUBSTITUTE(Q950,""Sell_"",""""),Upgrades!$B$3:$B$13,0))*1.15^(COUNTIF(Q$4:Q949,SUBSTITUTE(Q950,""Sell_"",""""))-COUNTIF(Q$4:Q949,"&amp;"""Sell_""&amp;SUBSTITUTE(Q950,""Sell_"",""""))))/2),ROUNDUP(INDEX(Upgrades!$C$3:$C$13,MATCH(Q950,Upgrades!$B$3:$B$13,0))*1.15^(COUNTIF(Q$4:Q949,Q950)-COUNTIF(Q$4:Q949,""Sell_""&amp;Q950))))))"),"")</f>
        <v/>
      </c>
      <c r="V950" s="10" t="str">
        <f t="shared" si="11"/>
        <v/>
      </c>
      <c r="W950" s="68" t="str">
        <f t="shared" si="12"/>
        <v/>
      </c>
      <c r="X950" s="59" t="str">
        <f t="shared" si="13"/>
        <v/>
      </c>
      <c r="Y950" s="69" t="str">
        <f t="shared" si="14"/>
        <v/>
      </c>
      <c r="Z950" s="11"/>
    </row>
    <row r="951">
      <c r="A951" s="8"/>
      <c r="B951" s="56" t="str">
        <f t="shared" si="2"/>
        <v/>
      </c>
      <c r="C951" s="57"/>
      <c r="D951" s="10" t="str">
        <f>IFERROR(__xludf.DUMMYFUNCTION("IF(COUNTA(C951:C1350)=0,"""",IF(ISBLANK(C951),FALSE,IF(NOT(COUNTIF($AA$24:$AA$34,SUBSTITUTE(C951,""Sell_"",""""))),1,IF(REGEXMATCH(C951,""Sell_""),IF(COUNTIF(C$4:C951,SUBSTITUTE(C951,""Sell_"",""""))-COUNTIF(C$4:C950,C951)&lt;1,1),FALSE))))"),"")</f>
        <v/>
      </c>
      <c r="E951" s="59" t="str">
        <f t="array" ref="E951">IF(COUNTA(C951:C1350)=0,"",SUM((COUNTIF(C$4:C951,Upgrades!$B$3:$B$13)-COUNTIF(C$4:C951,"Sell_"&amp;Upgrades!$B$3:$B$13))*Upgrades!$D$3:$D$13))</f>
        <v/>
      </c>
      <c r="F951" s="66" t="str">
        <f>IFERROR(__xludf.DUMMYFUNCTION("IF(COUNTA(C951:C1350)=0,"""",IF(REGEXMATCH(INDEX(FILTER(C$4:C951,C$4:C951&lt;&gt;""""),ROWS(FILTER(C$4:C951,C$4:C951&lt;&gt;""""))),""^Sell_""),INDEX(FILTER(F$4:F950,C$4:C950&lt;&gt;""""),ROWS(FILTER(C$4:C950,C$4:C950&lt;&gt;""""))),$AC$5+E951))"),"")</f>
        <v/>
      </c>
      <c r="G951" s="10" t="str">
        <f>IFERROR(__xludf.DUMMYFUNCTION("IF(COUNTA(C951:C1350)=0,"""",IF(C951="""",0,IF(REGEXMATCH(C951,""^Sell_""),-ROUNDDOWN(ROUNDUP(INDEX(Upgrades!$C$3:$C$13,MATCH(SUBSTITUTE(C951,""Sell_"",""""),Upgrades!$B$3:$B$13,0))*1.15^(COUNTIF(C$4:C950,SUBSTITUTE(C951,""Sell_"",""""))-COUNTIF(C$4:C950,"&amp;"""Sell_""&amp;SUBSTITUTE(C951,""Sell_"",""""))))/2),ROUNDUP(INDEX(Upgrades!$C$3:$C$13,MATCH(C951,Upgrades!$B$3:$B$13,0))*1.15^(COUNTIF(C$4:C950,C951)-COUNTIF(C$4:C950,""Sell_""&amp;C951))))))"),"")</f>
        <v/>
      </c>
      <c r="H951" s="10" t="str">
        <f t="shared" si="3"/>
        <v/>
      </c>
      <c r="I951" s="68" t="str">
        <f t="shared" si="4"/>
        <v/>
      </c>
      <c r="J951" s="59" t="str">
        <f t="shared" si="5"/>
        <v/>
      </c>
      <c r="K951" s="69" t="str">
        <f t="shared" si="6"/>
        <v/>
      </c>
      <c r="L951" s="60" t="str">
        <f t="shared" si="7"/>
        <v/>
      </c>
      <c r="M951" s="61" t="str">
        <f>IFERROR(__xludf.DUMMYFUNCTION("IFS(AND(COUNTA(C951:C1350)=0,COUNTA(Q951:Q1350)=0),"""",OR(AND(K951&gt;=1000000000,OR(Y951&gt;=1000000000,COUNTA(Q951:Q1350)=0)),OR(Y951&gt;=1000000000,AND(COUNTA(C951:C1350)=0,P$3=TRUE))),
ROUNDDOWN((AB$1-AC$1)*MAX(INDEX(T$4:T1350,MATCH(LARGE(FILTER(Y$4:Y1350,Y$4"&amp;":Y1350&lt;1000000000),1),Y$4:Y1350)),INDEX(F$4:F1350,MATCH(LARGE(FILTER(K$4:K1350,K$4:K1350&lt;1000000000),1),K$4:K1350)))),AND(K951&lt;1000000000,COUNTA(C951:C1350)&gt;0,P$3=FALSE),
ROUNDDOWN(INDEX(Y$4:Y1350,MATCH(LARGE(FILTER(W$4:W1350,W$4:W1350&lt;=I951),1),W$4:W1350"&amp;"))+(I951-LARGE(FILTER(W$4:W1350,W$4:W1350&lt;=I951),1))*INDEX(T$4:T1350,MATCH(LARGE(FILTER(W$4:W1350,W$4:W1350&lt;=I951),1),W$4:W1350))-K951),1,
ROUNDDOWN(Y951-INDEX(K$4:K1350,MATCH(LARGE(FILTER(I$4:I1350,I$4:I1350&lt;=W951),1),I$4:I1350))-(W951-LARGE(FILTER(I$4:I"&amp;"1350,I$4:I1350&lt;=W951),1))*INDEX(F$4:F1350,MATCH(LARGE(FILTER(I$4:I1350,I$4:I1350&lt;=W951),1),I$4:I1350))))"),"")</f>
        <v/>
      </c>
      <c r="N951" s="60" t="str">
        <f t="shared" si="8"/>
        <v/>
      </c>
      <c r="O951" s="61" t="str">
        <f t="shared" si="9"/>
        <v/>
      </c>
      <c r="P951" s="56" t="str">
        <f t="shared" si="10"/>
        <v/>
      </c>
      <c r="Q951" s="62"/>
      <c r="R951" s="10" t="str">
        <f>IFERROR(__xludf.DUMMYFUNCTION("IF(COUNTA(Q951:Q1350)=0,"""",IF(ISBLANK(Q951),FALSE,IF(NOT(COUNTIF($AA$24:$AA$34,SUBSTITUTE(Q951,""Sell_"",""""))),1,IF(REGEXMATCH(Q951,""Sell_""),IF(COUNTIF(Q$4:Q951,SUBSTITUTE(Q951,""Sell_"",""""))-COUNTIF(Q$4:Q950,Q951)&lt;1,1),FALSE))))"),"")</f>
        <v/>
      </c>
      <c r="S951" s="59" t="str">
        <f t="array" ref="S951">IF(COUNTA(Q951:Q1350)=0,"",SUM((COUNTIF(Q$4:Q951,Upgrades!$B$3:$B$13)-COUNTIF(Q$4:Q951,"Sell_"&amp;Upgrades!$B$3:$B$13))*Upgrades!$D$3:$D$13))</f>
        <v/>
      </c>
      <c r="T951" s="66" t="str">
        <f>IFERROR(__xludf.DUMMYFUNCTION("IF(COUNTA(Q951:Q1350)=0,"""",IF(REGEXMATCH(INDEX(FILTER(Q$4:Q951,Q$4:Q951&lt;&gt;""""),ROWS(FILTER(Q$4:Q951,Q$4:Q951&lt;&gt;""""))),""^Sell_""),INDEX(FILTER(T$4:T950,Q$4:Q950&lt;&gt;""""),ROWS(FILTER(Q$4:Q950,Q$4:Q950&lt;&gt;""""))),$AD$5+S951))"),"")</f>
        <v/>
      </c>
      <c r="U951" s="10" t="str">
        <f>IFERROR(__xludf.DUMMYFUNCTION("IF(COUNTA(Q951:Q1350)=0,"""",IF(Q951="""",0,IF(REGEXMATCH(Q951,""^Sell_""),-ROUNDDOWN(ROUNDUP(INDEX(Upgrades!$C$3:$C$13,MATCH(SUBSTITUTE(Q951,""Sell_"",""""),Upgrades!$B$3:$B$13,0))*1.15^(COUNTIF(Q$4:Q950,SUBSTITUTE(Q951,""Sell_"",""""))-COUNTIF(Q$4:Q950,"&amp;"""Sell_""&amp;SUBSTITUTE(Q951,""Sell_"",""""))))/2),ROUNDUP(INDEX(Upgrades!$C$3:$C$13,MATCH(Q951,Upgrades!$B$3:$B$13,0))*1.15^(COUNTIF(Q$4:Q950,Q951)-COUNTIF(Q$4:Q950,""Sell_""&amp;Q951))))))"),"")</f>
        <v/>
      </c>
      <c r="V951" s="10" t="str">
        <f t="shared" si="11"/>
        <v/>
      </c>
      <c r="W951" s="68" t="str">
        <f t="shared" si="12"/>
        <v/>
      </c>
      <c r="X951" s="59" t="str">
        <f t="shared" si="13"/>
        <v/>
      </c>
      <c r="Y951" s="69" t="str">
        <f t="shared" si="14"/>
        <v/>
      </c>
      <c r="Z951" s="11"/>
    </row>
    <row r="952">
      <c r="A952" s="8"/>
      <c r="B952" s="56" t="str">
        <f t="shared" si="2"/>
        <v/>
      </c>
      <c r="C952" s="57"/>
      <c r="D952" s="10" t="str">
        <f>IFERROR(__xludf.DUMMYFUNCTION("IF(COUNTA(C952:C1350)=0,"""",IF(ISBLANK(C952),FALSE,IF(NOT(COUNTIF($AA$24:$AA$34,SUBSTITUTE(C952,""Sell_"",""""))),1,IF(REGEXMATCH(C952,""Sell_""),IF(COUNTIF(C$4:C952,SUBSTITUTE(C952,""Sell_"",""""))-COUNTIF(C$4:C951,C952)&lt;1,1),FALSE))))"),"")</f>
        <v/>
      </c>
      <c r="E952" s="59" t="str">
        <f t="array" ref="E952">IF(COUNTA(C952:C1350)=0,"",SUM((COUNTIF(C$4:C952,Upgrades!$B$3:$B$13)-COUNTIF(C$4:C952,"Sell_"&amp;Upgrades!$B$3:$B$13))*Upgrades!$D$3:$D$13))</f>
        <v/>
      </c>
      <c r="F952" s="66" t="str">
        <f>IFERROR(__xludf.DUMMYFUNCTION("IF(COUNTA(C952:C1350)=0,"""",IF(REGEXMATCH(INDEX(FILTER(C$4:C952,C$4:C952&lt;&gt;""""),ROWS(FILTER(C$4:C952,C$4:C952&lt;&gt;""""))),""^Sell_""),INDEX(FILTER(F$4:F951,C$4:C951&lt;&gt;""""),ROWS(FILTER(C$4:C951,C$4:C951&lt;&gt;""""))),$AC$5+E952))"),"")</f>
        <v/>
      </c>
      <c r="G952" s="10" t="str">
        <f>IFERROR(__xludf.DUMMYFUNCTION("IF(COUNTA(C952:C1350)=0,"""",IF(C952="""",0,IF(REGEXMATCH(C952,""^Sell_""),-ROUNDDOWN(ROUNDUP(INDEX(Upgrades!$C$3:$C$13,MATCH(SUBSTITUTE(C952,""Sell_"",""""),Upgrades!$B$3:$B$13,0))*1.15^(COUNTIF(C$4:C951,SUBSTITUTE(C952,""Sell_"",""""))-COUNTIF(C$4:C951,"&amp;"""Sell_""&amp;SUBSTITUTE(C952,""Sell_"",""""))))/2),ROUNDUP(INDEX(Upgrades!$C$3:$C$13,MATCH(C952,Upgrades!$B$3:$B$13,0))*1.15^(COUNTIF(C$4:C951,C952)-COUNTIF(C$4:C951,""Sell_""&amp;C952))))))"),"")</f>
        <v/>
      </c>
      <c r="H952" s="10" t="str">
        <f t="shared" si="3"/>
        <v/>
      </c>
      <c r="I952" s="68" t="str">
        <f t="shared" si="4"/>
        <v/>
      </c>
      <c r="J952" s="59" t="str">
        <f t="shared" si="5"/>
        <v/>
      </c>
      <c r="K952" s="69" t="str">
        <f t="shared" si="6"/>
        <v/>
      </c>
      <c r="L952" s="60" t="str">
        <f t="shared" si="7"/>
        <v/>
      </c>
      <c r="M952" s="61" t="str">
        <f>IFERROR(__xludf.DUMMYFUNCTION("IFS(AND(COUNTA(C952:C1350)=0,COUNTA(Q952:Q1350)=0),"""",OR(AND(K952&gt;=1000000000,OR(Y952&gt;=1000000000,COUNTA(Q952:Q1350)=0)),OR(Y952&gt;=1000000000,AND(COUNTA(C952:C1350)=0,P$3=TRUE))),
ROUNDDOWN((AB$1-AC$1)*MAX(INDEX(T$4:T1350,MATCH(LARGE(FILTER(Y$4:Y1350,Y$4"&amp;":Y1350&lt;1000000000),1),Y$4:Y1350)),INDEX(F$4:F1350,MATCH(LARGE(FILTER(K$4:K1350,K$4:K1350&lt;1000000000),1),K$4:K1350)))),AND(K952&lt;1000000000,COUNTA(C952:C1350)&gt;0,P$3=FALSE),
ROUNDDOWN(INDEX(Y$4:Y1350,MATCH(LARGE(FILTER(W$4:W1350,W$4:W1350&lt;=I952),1),W$4:W1350"&amp;"))+(I952-LARGE(FILTER(W$4:W1350,W$4:W1350&lt;=I952),1))*INDEX(T$4:T1350,MATCH(LARGE(FILTER(W$4:W1350,W$4:W1350&lt;=I952),1),W$4:W1350))-K952),1,
ROUNDDOWN(Y952-INDEX(K$4:K1350,MATCH(LARGE(FILTER(I$4:I1350,I$4:I1350&lt;=W952),1),I$4:I1350))-(W952-LARGE(FILTER(I$4:I"&amp;"1350,I$4:I1350&lt;=W952),1))*INDEX(F$4:F1350,MATCH(LARGE(FILTER(I$4:I1350,I$4:I1350&lt;=W952),1),I$4:I1350))))"),"")</f>
        <v/>
      </c>
      <c r="N952" s="60" t="str">
        <f t="shared" si="8"/>
        <v/>
      </c>
      <c r="O952" s="61" t="str">
        <f t="shared" si="9"/>
        <v/>
      </c>
      <c r="P952" s="56" t="str">
        <f t="shared" si="10"/>
        <v/>
      </c>
      <c r="Q952" s="62"/>
      <c r="R952" s="10" t="str">
        <f>IFERROR(__xludf.DUMMYFUNCTION("IF(COUNTA(Q952:Q1350)=0,"""",IF(ISBLANK(Q952),FALSE,IF(NOT(COUNTIF($AA$24:$AA$34,SUBSTITUTE(Q952,""Sell_"",""""))),1,IF(REGEXMATCH(Q952,""Sell_""),IF(COUNTIF(Q$4:Q952,SUBSTITUTE(Q952,""Sell_"",""""))-COUNTIF(Q$4:Q951,Q952)&lt;1,1),FALSE))))"),"")</f>
        <v/>
      </c>
      <c r="S952" s="59" t="str">
        <f t="array" ref="S952">IF(COUNTA(Q952:Q1350)=0,"",SUM((COUNTIF(Q$4:Q952,Upgrades!$B$3:$B$13)-COUNTIF(Q$4:Q952,"Sell_"&amp;Upgrades!$B$3:$B$13))*Upgrades!$D$3:$D$13))</f>
        <v/>
      </c>
      <c r="T952" s="66" t="str">
        <f>IFERROR(__xludf.DUMMYFUNCTION("IF(COUNTA(Q952:Q1350)=0,"""",IF(REGEXMATCH(INDEX(FILTER(Q$4:Q952,Q$4:Q952&lt;&gt;""""),ROWS(FILTER(Q$4:Q952,Q$4:Q952&lt;&gt;""""))),""^Sell_""),INDEX(FILTER(T$4:T951,Q$4:Q951&lt;&gt;""""),ROWS(FILTER(Q$4:Q951,Q$4:Q951&lt;&gt;""""))),$AD$5+S952))"),"")</f>
        <v/>
      </c>
      <c r="U952" s="10" t="str">
        <f>IFERROR(__xludf.DUMMYFUNCTION("IF(COUNTA(Q952:Q1350)=0,"""",IF(Q952="""",0,IF(REGEXMATCH(Q952,""^Sell_""),-ROUNDDOWN(ROUNDUP(INDEX(Upgrades!$C$3:$C$13,MATCH(SUBSTITUTE(Q952,""Sell_"",""""),Upgrades!$B$3:$B$13,0))*1.15^(COUNTIF(Q$4:Q951,SUBSTITUTE(Q952,""Sell_"",""""))-COUNTIF(Q$4:Q951,"&amp;"""Sell_""&amp;SUBSTITUTE(Q952,""Sell_"",""""))))/2),ROUNDUP(INDEX(Upgrades!$C$3:$C$13,MATCH(Q952,Upgrades!$B$3:$B$13,0))*1.15^(COUNTIF(Q$4:Q951,Q952)-COUNTIF(Q$4:Q951,""Sell_""&amp;Q952))))))"),"")</f>
        <v/>
      </c>
      <c r="V952" s="10" t="str">
        <f t="shared" si="11"/>
        <v/>
      </c>
      <c r="W952" s="68" t="str">
        <f t="shared" si="12"/>
        <v/>
      </c>
      <c r="X952" s="59" t="str">
        <f t="shared" si="13"/>
        <v/>
      </c>
      <c r="Y952" s="69" t="str">
        <f t="shared" si="14"/>
        <v/>
      </c>
      <c r="Z952" s="11"/>
    </row>
    <row r="953">
      <c r="A953" s="8"/>
      <c r="B953" s="56" t="str">
        <f t="shared" si="2"/>
        <v/>
      </c>
      <c r="C953" s="57"/>
      <c r="D953" s="10" t="str">
        <f>IFERROR(__xludf.DUMMYFUNCTION("IF(COUNTA(C953:C1350)=0,"""",IF(ISBLANK(C953),FALSE,IF(NOT(COUNTIF($AA$24:$AA$34,SUBSTITUTE(C953,""Sell_"",""""))),1,IF(REGEXMATCH(C953,""Sell_""),IF(COUNTIF(C$4:C953,SUBSTITUTE(C953,""Sell_"",""""))-COUNTIF(C$4:C952,C953)&lt;1,1),FALSE))))"),"")</f>
        <v/>
      </c>
      <c r="E953" s="59" t="str">
        <f t="array" ref="E953">IF(COUNTA(C953:C1350)=0,"",SUM((COUNTIF(C$4:C953,Upgrades!$B$3:$B$13)-COUNTIF(C$4:C953,"Sell_"&amp;Upgrades!$B$3:$B$13))*Upgrades!$D$3:$D$13))</f>
        <v/>
      </c>
      <c r="F953" s="66" t="str">
        <f>IFERROR(__xludf.DUMMYFUNCTION("IF(COUNTA(C953:C1350)=0,"""",IF(REGEXMATCH(INDEX(FILTER(C$4:C953,C$4:C953&lt;&gt;""""),ROWS(FILTER(C$4:C953,C$4:C953&lt;&gt;""""))),""^Sell_""),INDEX(FILTER(F$4:F952,C$4:C952&lt;&gt;""""),ROWS(FILTER(C$4:C952,C$4:C952&lt;&gt;""""))),$AC$5+E953))"),"")</f>
        <v/>
      </c>
      <c r="G953" s="10" t="str">
        <f>IFERROR(__xludf.DUMMYFUNCTION("IF(COUNTA(C953:C1350)=0,"""",IF(C953="""",0,IF(REGEXMATCH(C953,""^Sell_""),-ROUNDDOWN(ROUNDUP(INDEX(Upgrades!$C$3:$C$13,MATCH(SUBSTITUTE(C953,""Sell_"",""""),Upgrades!$B$3:$B$13,0))*1.15^(COUNTIF(C$4:C952,SUBSTITUTE(C953,""Sell_"",""""))-COUNTIF(C$4:C952,"&amp;"""Sell_""&amp;SUBSTITUTE(C953,""Sell_"",""""))))/2),ROUNDUP(INDEX(Upgrades!$C$3:$C$13,MATCH(C953,Upgrades!$B$3:$B$13,0))*1.15^(COUNTIF(C$4:C952,C953)-COUNTIF(C$4:C952,""Sell_""&amp;C953))))))"),"")</f>
        <v/>
      </c>
      <c r="H953" s="10" t="str">
        <f t="shared" si="3"/>
        <v/>
      </c>
      <c r="I953" s="68" t="str">
        <f t="shared" si="4"/>
        <v/>
      </c>
      <c r="J953" s="59" t="str">
        <f t="shared" si="5"/>
        <v/>
      </c>
      <c r="K953" s="69" t="str">
        <f t="shared" si="6"/>
        <v/>
      </c>
      <c r="L953" s="60" t="str">
        <f t="shared" si="7"/>
        <v/>
      </c>
      <c r="M953" s="61" t="str">
        <f>IFERROR(__xludf.DUMMYFUNCTION("IFS(AND(COUNTA(C953:C1350)=0,COUNTA(Q953:Q1350)=0),"""",OR(AND(K953&gt;=1000000000,OR(Y953&gt;=1000000000,COUNTA(Q953:Q1350)=0)),OR(Y953&gt;=1000000000,AND(COUNTA(C953:C1350)=0,P$3=TRUE))),
ROUNDDOWN((AB$1-AC$1)*MAX(INDEX(T$4:T1350,MATCH(LARGE(FILTER(Y$4:Y1350,Y$4"&amp;":Y1350&lt;1000000000),1),Y$4:Y1350)),INDEX(F$4:F1350,MATCH(LARGE(FILTER(K$4:K1350,K$4:K1350&lt;1000000000),1),K$4:K1350)))),AND(K953&lt;1000000000,COUNTA(C953:C1350)&gt;0,P$3=FALSE),
ROUNDDOWN(INDEX(Y$4:Y1350,MATCH(LARGE(FILTER(W$4:W1350,W$4:W1350&lt;=I953),1),W$4:W1350"&amp;"))+(I953-LARGE(FILTER(W$4:W1350,W$4:W1350&lt;=I953),1))*INDEX(T$4:T1350,MATCH(LARGE(FILTER(W$4:W1350,W$4:W1350&lt;=I953),1),W$4:W1350))-K953),1,
ROUNDDOWN(Y953-INDEX(K$4:K1350,MATCH(LARGE(FILTER(I$4:I1350,I$4:I1350&lt;=W953),1),I$4:I1350))-(W953-LARGE(FILTER(I$4:I"&amp;"1350,I$4:I1350&lt;=W953),1))*INDEX(F$4:F1350,MATCH(LARGE(FILTER(I$4:I1350,I$4:I1350&lt;=W953),1),I$4:I1350))))"),"")</f>
        <v/>
      </c>
      <c r="N953" s="60" t="str">
        <f t="shared" si="8"/>
        <v/>
      </c>
      <c r="O953" s="61" t="str">
        <f t="shared" si="9"/>
        <v/>
      </c>
      <c r="P953" s="56" t="str">
        <f t="shared" si="10"/>
        <v/>
      </c>
      <c r="Q953" s="62"/>
      <c r="R953" s="10" t="str">
        <f>IFERROR(__xludf.DUMMYFUNCTION("IF(COUNTA(Q953:Q1350)=0,"""",IF(ISBLANK(Q953),FALSE,IF(NOT(COUNTIF($AA$24:$AA$34,SUBSTITUTE(Q953,""Sell_"",""""))),1,IF(REGEXMATCH(Q953,""Sell_""),IF(COUNTIF(Q$4:Q953,SUBSTITUTE(Q953,""Sell_"",""""))-COUNTIF(Q$4:Q952,Q953)&lt;1,1),FALSE))))"),"")</f>
        <v/>
      </c>
      <c r="S953" s="59" t="str">
        <f t="array" ref="S953">IF(COUNTA(Q953:Q1350)=0,"",SUM((COUNTIF(Q$4:Q953,Upgrades!$B$3:$B$13)-COUNTIF(Q$4:Q953,"Sell_"&amp;Upgrades!$B$3:$B$13))*Upgrades!$D$3:$D$13))</f>
        <v/>
      </c>
      <c r="T953" s="66" t="str">
        <f>IFERROR(__xludf.DUMMYFUNCTION("IF(COUNTA(Q953:Q1350)=0,"""",IF(REGEXMATCH(INDEX(FILTER(Q$4:Q953,Q$4:Q953&lt;&gt;""""),ROWS(FILTER(Q$4:Q953,Q$4:Q953&lt;&gt;""""))),""^Sell_""),INDEX(FILTER(T$4:T952,Q$4:Q952&lt;&gt;""""),ROWS(FILTER(Q$4:Q952,Q$4:Q952&lt;&gt;""""))),$AD$5+S953))"),"")</f>
        <v/>
      </c>
      <c r="U953" s="10" t="str">
        <f>IFERROR(__xludf.DUMMYFUNCTION("IF(COUNTA(Q953:Q1350)=0,"""",IF(Q953="""",0,IF(REGEXMATCH(Q953,""^Sell_""),-ROUNDDOWN(ROUNDUP(INDEX(Upgrades!$C$3:$C$13,MATCH(SUBSTITUTE(Q953,""Sell_"",""""),Upgrades!$B$3:$B$13,0))*1.15^(COUNTIF(Q$4:Q952,SUBSTITUTE(Q953,""Sell_"",""""))-COUNTIF(Q$4:Q952,"&amp;"""Sell_""&amp;SUBSTITUTE(Q953,""Sell_"",""""))))/2),ROUNDUP(INDEX(Upgrades!$C$3:$C$13,MATCH(Q953,Upgrades!$B$3:$B$13,0))*1.15^(COUNTIF(Q$4:Q952,Q953)-COUNTIF(Q$4:Q952,""Sell_""&amp;Q953))))))"),"")</f>
        <v/>
      </c>
      <c r="V953" s="10" t="str">
        <f t="shared" si="11"/>
        <v/>
      </c>
      <c r="W953" s="68" t="str">
        <f t="shared" si="12"/>
        <v/>
      </c>
      <c r="X953" s="59" t="str">
        <f t="shared" si="13"/>
        <v/>
      </c>
      <c r="Y953" s="69" t="str">
        <f t="shared" si="14"/>
        <v/>
      </c>
      <c r="Z953" s="11"/>
    </row>
    <row r="954">
      <c r="A954" s="8"/>
      <c r="B954" s="56" t="str">
        <f t="shared" si="2"/>
        <v/>
      </c>
      <c r="C954" s="57"/>
      <c r="D954" s="10" t="str">
        <f>IFERROR(__xludf.DUMMYFUNCTION("IF(COUNTA(C954:C1350)=0,"""",IF(ISBLANK(C954),FALSE,IF(NOT(COUNTIF($AA$24:$AA$34,SUBSTITUTE(C954,""Sell_"",""""))),1,IF(REGEXMATCH(C954,""Sell_""),IF(COUNTIF(C$4:C954,SUBSTITUTE(C954,""Sell_"",""""))-COUNTIF(C$4:C953,C954)&lt;1,1),FALSE))))"),"")</f>
        <v/>
      </c>
      <c r="E954" s="59" t="str">
        <f t="array" ref="E954">IF(COUNTA(C954:C1350)=0,"",SUM((COUNTIF(C$4:C954,Upgrades!$B$3:$B$13)-COUNTIF(C$4:C954,"Sell_"&amp;Upgrades!$B$3:$B$13))*Upgrades!$D$3:$D$13))</f>
        <v/>
      </c>
      <c r="F954" s="66" t="str">
        <f>IFERROR(__xludf.DUMMYFUNCTION("IF(COUNTA(C954:C1350)=0,"""",IF(REGEXMATCH(INDEX(FILTER(C$4:C954,C$4:C954&lt;&gt;""""),ROWS(FILTER(C$4:C954,C$4:C954&lt;&gt;""""))),""^Sell_""),INDEX(FILTER(F$4:F953,C$4:C953&lt;&gt;""""),ROWS(FILTER(C$4:C953,C$4:C953&lt;&gt;""""))),$AC$5+E954))"),"")</f>
        <v/>
      </c>
      <c r="G954" s="10" t="str">
        <f>IFERROR(__xludf.DUMMYFUNCTION("IF(COUNTA(C954:C1350)=0,"""",IF(C954="""",0,IF(REGEXMATCH(C954,""^Sell_""),-ROUNDDOWN(ROUNDUP(INDEX(Upgrades!$C$3:$C$13,MATCH(SUBSTITUTE(C954,""Sell_"",""""),Upgrades!$B$3:$B$13,0))*1.15^(COUNTIF(C$4:C953,SUBSTITUTE(C954,""Sell_"",""""))-COUNTIF(C$4:C953,"&amp;"""Sell_""&amp;SUBSTITUTE(C954,""Sell_"",""""))))/2),ROUNDUP(INDEX(Upgrades!$C$3:$C$13,MATCH(C954,Upgrades!$B$3:$B$13,0))*1.15^(COUNTIF(C$4:C953,C954)-COUNTIF(C$4:C953,""Sell_""&amp;C954))))))"),"")</f>
        <v/>
      </c>
      <c r="H954" s="10" t="str">
        <f t="shared" si="3"/>
        <v/>
      </c>
      <c r="I954" s="68" t="str">
        <f t="shared" si="4"/>
        <v/>
      </c>
      <c r="J954" s="59" t="str">
        <f t="shared" si="5"/>
        <v/>
      </c>
      <c r="K954" s="69" t="str">
        <f t="shared" si="6"/>
        <v/>
      </c>
      <c r="L954" s="60" t="str">
        <f t="shared" si="7"/>
        <v/>
      </c>
      <c r="M954" s="61" t="str">
        <f>IFERROR(__xludf.DUMMYFUNCTION("IFS(AND(COUNTA(C954:C1350)=0,COUNTA(Q954:Q1350)=0),"""",OR(AND(K954&gt;=1000000000,OR(Y954&gt;=1000000000,COUNTA(Q954:Q1350)=0)),OR(Y954&gt;=1000000000,AND(COUNTA(C954:C1350)=0,P$3=TRUE))),
ROUNDDOWN((AB$1-AC$1)*MAX(INDEX(T$4:T1350,MATCH(LARGE(FILTER(Y$4:Y1350,Y$4"&amp;":Y1350&lt;1000000000),1),Y$4:Y1350)),INDEX(F$4:F1350,MATCH(LARGE(FILTER(K$4:K1350,K$4:K1350&lt;1000000000),1),K$4:K1350)))),AND(K954&lt;1000000000,COUNTA(C954:C1350)&gt;0,P$3=FALSE),
ROUNDDOWN(INDEX(Y$4:Y1350,MATCH(LARGE(FILTER(W$4:W1350,W$4:W1350&lt;=I954),1),W$4:W1350"&amp;"))+(I954-LARGE(FILTER(W$4:W1350,W$4:W1350&lt;=I954),1))*INDEX(T$4:T1350,MATCH(LARGE(FILTER(W$4:W1350,W$4:W1350&lt;=I954),1),W$4:W1350))-K954),1,
ROUNDDOWN(Y954-INDEX(K$4:K1350,MATCH(LARGE(FILTER(I$4:I1350,I$4:I1350&lt;=W954),1),I$4:I1350))-(W954-LARGE(FILTER(I$4:I"&amp;"1350,I$4:I1350&lt;=W954),1))*INDEX(F$4:F1350,MATCH(LARGE(FILTER(I$4:I1350,I$4:I1350&lt;=W954),1),I$4:I1350))))"),"")</f>
        <v/>
      </c>
      <c r="N954" s="60" t="str">
        <f t="shared" si="8"/>
        <v/>
      </c>
      <c r="O954" s="61" t="str">
        <f t="shared" si="9"/>
        <v/>
      </c>
      <c r="P954" s="56" t="str">
        <f t="shared" si="10"/>
        <v/>
      </c>
      <c r="Q954" s="62"/>
      <c r="R954" s="10" t="str">
        <f>IFERROR(__xludf.DUMMYFUNCTION("IF(COUNTA(Q954:Q1350)=0,"""",IF(ISBLANK(Q954),FALSE,IF(NOT(COUNTIF($AA$24:$AA$34,SUBSTITUTE(Q954,""Sell_"",""""))),1,IF(REGEXMATCH(Q954,""Sell_""),IF(COUNTIF(Q$4:Q954,SUBSTITUTE(Q954,""Sell_"",""""))-COUNTIF(Q$4:Q953,Q954)&lt;1,1),FALSE))))"),"")</f>
        <v/>
      </c>
      <c r="S954" s="59" t="str">
        <f t="array" ref="S954">IF(COUNTA(Q954:Q1350)=0,"",SUM((COUNTIF(Q$4:Q954,Upgrades!$B$3:$B$13)-COUNTIF(Q$4:Q954,"Sell_"&amp;Upgrades!$B$3:$B$13))*Upgrades!$D$3:$D$13))</f>
        <v/>
      </c>
      <c r="T954" s="66" t="str">
        <f>IFERROR(__xludf.DUMMYFUNCTION("IF(COUNTA(Q954:Q1350)=0,"""",IF(REGEXMATCH(INDEX(FILTER(Q$4:Q954,Q$4:Q954&lt;&gt;""""),ROWS(FILTER(Q$4:Q954,Q$4:Q954&lt;&gt;""""))),""^Sell_""),INDEX(FILTER(T$4:T953,Q$4:Q953&lt;&gt;""""),ROWS(FILTER(Q$4:Q953,Q$4:Q953&lt;&gt;""""))),$AD$5+S954))"),"")</f>
        <v/>
      </c>
      <c r="U954" s="10" t="str">
        <f>IFERROR(__xludf.DUMMYFUNCTION("IF(COUNTA(Q954:Q1350)=0,"""",IF(Q954="""",0,IF(REGEXMATCH(Q954,""^Sell_""),-ROUNDDOWN(ROUNDUP(INDEX(Upgrades!$C$3:$C$13,MATCH(SUBSTITUTE(Q954,""Sell_"",""""),Upgrades!$B$3:$B$13,0))*1.15^(COUNTIF(Q$4:Q953,SUBSTITUTE(Q954,""Sell_"",""""))-COUNTIF(Q$4:Q953,"&amp;"""Sell_""&amp;SUBSTITUTE(Q954,""Sell_"",""""))))/2),ROUNDUP(INDEX(Upgrades!$C$3:$C$13,MATCH(Q954,Upgrades!$B$3:$B$13,0))*1.15^(COUNTIF(Q$4:Q953,Q954)-COUNTIF(Q$4:Q953,""Sell_""&amp;Q954))))))"),"")</f>
        <v/>
      </c>
      <c r="V954" s="10" t="str">
        <f t="shared" si="11"/>
        <v/>
      </c>
      <c r="W954" s="68" t="str">
        <f t="shared" si="12"/>
        <v/>
      </c>
      <c r="X954" s="59" t="str">
        <f t="shared" si="13"/>
        <v/>
      </c>
      <c r="Y954" s="69" t="str">
        <f t="shared" si="14"/>
        <v/>
      </c>
      <c r="Z954" s="11"/>
    </row>
    <row r="955">
      <c r="A955" s="8"/>
      <c r="B955" s="56" t="str">
        <f t="shared" si="2"/>
        <v/>
      </c>
      <c r="C955" s="57"/>
      <c r="D955" s="10" t="str">
        <f>IFERROR(__xludf.DUMMYFUNCTION("IF(COUNTA(C955:C1350)=0,"""",IF(ISBLANK(C955),FALSE,IF(NOT(COUNTIF($AA$24:$AA$34,SUBSTITUTE(C955,""Sell_"",""""))),1,IF(REGEXMATCH(C955,""Sell_""),IF(COUNTIF(C$4:C955,SUBSTITUTE(C955,""Sell_"",""""))-COUNTIF(C$4:C954,C955)&lt;1,1),FALSE))))"),"")</f>
        <v/>
      </c>
      <c r="E955" s="59" t="str">
        <f t="array" ref="E955">IF(COUNTA(C955:C1350)=0,"",SUM((COUNTIF(C$4:C955,Upgrades!$B$3:$B$13)-COUNTIF(C$4:C955,"Sell_"&amp;Upgrades!$B$3:$B$13))*Upgrades!$D$3:$D$13))</f>
        <v/>
      </c>
      <c r="F955" s="66" t="str">
        <f>IFERROR(__xludf.DUMMYFUNCTION("IF(COUNTA(C955:C1350)=0,"""",IF(REGEXMATCH(INDEX(FILTER(C$4:C955,C$4:C955&lt;&gt;""""),ROWS(FILTER(C$4:C955,C$4:C955&lt;&gt;""""))),""^Sell_""),INDEX(FILTER(F$4:F954,C$4:C954&lt;&gt;""""),ROWS(FILTER(C$4:C954,C$4:C954&lt;&gt;""""))),$AC$5+E955))"),"")</f>
        <v/>
      </c>
      <c r="G955" s="10" t="str">
        <f>IFERROR(__xludf.DUMMYFUNCTION("IF(COUNTA(C955:C1350)=0,"""",IF(C955="""",0,IF(REGEXMATCH(C955,""^Sell_""),-ROUNDDOWN(ROUNDUP(INDEX(Upgrades!$C$3:$C$13,MATCH(SUBSTITUTE(C955,""Sell_"",""""),Upgrades!$B$3:$B$13,0))*1.15^(COUNTIF(C$4:C954,SUBSTITUTE(C955,""Sell_"",""""))-COUNTIF(C$4:C954,"&amp;"""Sell_""&amp;SUBSTITUTE(C955,""Sell_"",""""))))/2),ROUNDUP(INDEX(Upgrades!$C$3:$C$13,MATCH(C955,Upgrades!$B$3:$B$13,0))*1.15^(COUNTIF(C$4:C954,C955)-COUNTIF(C$4:C954,""Sell_""&amp;C955))))))"),"")</f>
        <v/>
      </c>
      <c r="H955" s="10" t="str">
        <f t="shared" si="3"/>
        <v/>
      </c>
      <c r="I955" s="68" t="str">
        <f t="shared" si="4"/>
        <v/>
      </c>
      <c r="J955" s="59" t="str">
        <f t="shared" si="5"/>
        <v/>
      </c>
      <c r="K955" s="69" t="str">
        <f t="shared" si="6"/>
        <v/>
      </c>
      <c r="L955" s="60" t="str">
        <f t="shared" si="7"/>
        <v/>
      </c>
      <c r="M955" s="61" t="str">
        <f>IFERROR(__xludf.DUMMYFUNCTION("IFS(AND(COUNTA(C955:C1350)=0,COUNTA(Q955:Q1350)=0),"""",OR(AND(K955&gt;=1000000000,OR(Y955&gt;=1000000000,COUNTA(Q955:Q1350)=0)),OR(Y955&gt;=1000000000,AND(COUNTA(C955:C1350)=0,P$3=TRUE))),
ROUNDDOWN((AB$1-AC$1)*MAX(INDEX(T$4:T1350,MATCH(LARGE(FILTER(Y$4:Y1350,Y$4"&amp;":Y1350&lt;1000000000),1),Y$4:Y1350)),INDEX(F$4:F1350,MATCH(LARGE(FILTER(K$4:K1350,K$4:K1350&lt;1000000000),1),K$4:K1350)))),AND(K955&lt;1000000000,COUNTA(C955:C1350)&gt;0,P$3=FALSE),
ROUNDDOWN(INDEX(Y$4:Y1350,MATCH(LARGE(FILTER(W$4:W1350,W$4:W1350&lt;=I955),1),W$4:W1350"&amp;"))+(I955-LARGE(FILTER(W$4:W1350,W$4:W1350&lt;=I955),1))*INDEX(T$4:T1350,MATCH(LARGE(FILTER(W$4:W1350,W$4:W1350&lt;=I955),1),W$4:W1350))-K955),1,
ROUNDDOWN(Y955-INDEX(K$4:K1350,MATCH(LARGE(FILTER(I$4:I1350,I$4:I1350&lt;=W955),1),I$4:I1350))-(W955-LARGE(FILTER(I$4:I"&amp;"1350,I$4:I1350&lt;=W955),1))*INDEX(F$4:F1350,MATCH(LARGE(FILTER(I$4:I1350,I$4:I1350&lt;=W955),1),I$4:I1350))))"),"")</f>
        <v/>
      </c>
      <c r="N955" s="60" t="str">
        <f t="shared" si="8"/>
        <v/>
      </c>
      <c r="O955" s="61" t="str">
        <f t="shared" si="9"/>
        <v/>
      </c>
      <c r="P955" s="56" t="str">
        <f t="shared" si="10"/>
        <v/>
      </c>
      <c r="Q955" s="62"/>
      <c r="R955" s="10" t="str">
        <f>IFERROR(__xludf.DUMMYFUNCTION("IF(COUNTA(Q955:Q1350)=0,"""",IF(ISBLANK(Q955),FALSE,IF(NOT(COUNTIF($AA$24:$AA$34,SUBSTITUTE(Q955,""Sell_"",""""))),1,IF(REGEXMATCH(Q955,""Sell_""),IF(COUNTIF(Q$4:Q955,SUBSTITUTE(Q955,""Sell_"",""""))-COUNTIF(Q$4:Q954,Q955)&lt;1,1),FALSE))))"),"")</f>
        <v/>
      </c>
      <c r="S955" s="59" t="str">
        <f t="array" ref="S955">IF(COUNTA(Q955:Q1350)=0,"",SUM((COUNTIF(Q$4:Q955,Upgrades!$B$3:$B$13)-COUNTIF(Q$4:Q955,"Sell_"&amp;Upgrades!$B$3:$B$13))*Upgrades!$D$3:$D$13))</f>
        <v/>
      </c>
      <c r="T955" s="66" t="str">
        <f>IFERROR(__xludf.DUMMYFUNCTION("IF(COUNTA(Q955:Q1350)=0,"""",IF(REGEXMATCH(INDEX(FILTER(Q$4:Q955,Q$4:Q955&lt;&gt;""""),ROWS(FILTER(Q$4:Q955,Q$4:Q955&lt;&gt;""""))),""^Sell_""),INDEX(FILTER(T$4:T954,Q$4:Q954&lt;&gt;""""),ROWS(FILTER(Q$4:Q954,Q$4:Q954&lt;&gt;""""))),$AD$5+S955))"),"")</f>
        <v/>
      </c>
      <c r="U955" s="10" t="str">
        <f>IFERROR(__xludf.DUMMYFUNCTION("IF(COUNTA(Q955:Q1350)=0,"""",IF(Q955="""",0,IF(REGEXMATCH(Q955,""^Sell_""),-ROUNDDOWN(ROUNDUP(INDEX(Upgrades!$C$3:$C$13,MATCH(SUBSTITUTE(Q955,""Sell_"",""""),Upgrades!$B$3:$B$13,0))*1.15^(COUNTIF(Q$4:Q954,SUBSTITUTE(Q955,""Sell_"",""""))-COUNTIF(Q$4:Q954,"&amp;"""Sell_""&amp;SUBSTITUTE(Q955,""Sell_"",""""))))/2),ROUNDUP(INDEX(Upgrades!$C$3:$C$13,MATCH(Q955,Upgrades!$B$3:$B$13,0))*1.15^(COUNTIF(Q$4:Q954,Q955)-COUNTIF(Q$4:Q954,""Sell_""&amp;Q955))))))"),"")</f>
        <v/>
      </c>
      <c r="V955" s="10" t="str">
        <f t="shared" si="11"/>
        <v/>
      </c>
      <c r="W955" s="68" t="str">
        <f t="shared" si="12"/>
        <v/>
      </c>
      <c r="X955" s="59" t="str">
        <f t="shared" si="13"/>
        <v/>
      </c>
      <c r="Y955" s="69" t="str">
        <f t="shared" si="14"/>
        <v/>
      </c>
      <c r="Z955" s="11"/>
    </row>
    <row r="956">
      <c r="A956" s="8"/>
      <c r="B956" s="56" t="str">
        <f t="shared" si="2"/>
        <v/>
      </c>
      <c r="C956" s="57"/>
      <c r="D956" s="10" t="str">
        <f>IFERROR(__xludf.DUMMYFUNCTION("IF(COUNTA(C956:C1350)=0,"""",IF(ISBLANK(C956),FALSE,IF(NOT(COUNTIF($AA$24:$AA$34,SUBSTITUTE(C956,""Sell_"",""""))),1,IF(REGEXMATCH(C956,""Sell_""),IF(COUNTIF(C$4:C956,SUBSTITUTE(C956,""Sell_"",""""))-COUNTIF(C$4:C955,C956)&lt;1,1),FALSE))))"),"")</f>
        <v/>
      </c>
      <c r="E956" s="59" t="str">
        <f t="array" ref="E956">IF(COUNTA(C956:C1350)=0,"",SUM((COUNTIF(C$4:C956,Upgrades!$B$3:$B$13)-COUNTIF(C$4:C956,"Sell_"&amp;Upgrades!$B$3:$B$13))*Upgrades!$D$3:$D$13))</f>
        <v/>
      </c>
      <c r="F956" s="66" t="str">
        <f>IFERROR(__xludf.DUMMYFUNCTION("IF(COUNTA(C956:C1350)=0,"""",IF(REGEXMATCH(INDEX(FILTER(C$4:C956,C$4:C956&lt;&gt;""""),ROWS(FILTER(C$4:C956,C$4:C956&lt;&gt;""""))),""^Sell_""),INDEX(FILTER(F$4:F955,C$4:C955&lt;&gt;""""),ROWS(FILTER(C$4:C955,C$4:C955&lt;&gt;""""))),$AC$5+E956))"),"")</f>
        <v/>
      </c>
      <c r="G956" s="10" t="str">
        <f>IFERROR(__xludf.DUMMYFUNCTION("IF(COUNTA(C956:C1350)=0,"""",IF(C956="""",0,IF(REGEXMATCH(C956,""^Sell_""),-ROUNDDOWN(ROUNDUP(INDEX(Upgrades!$C$3:$C$13,MATCH(SUBSTITUTE(C956,""Sell_"",""""),Upgrades!$B$3:$B$13,0))*1.15^(COUNTIF(C$4:C955,SUBSTITUTE(C956,""Sell_"",""""))-COUNTIF(C$4:C955,"&amp;"""Sell_""&amp;SUBSTITUTE(C956,""Sell_"",""""))))/2),ROUNDUP(INDEX(Upgrades!$C$3:$C$13,MATCH(C956,Upgrades!$B$3:$B$13,0))*1.15^(COUNTIF(C$4:C955,C956)-COUNTIF(C$4:C955,""Sell_""&amp;C956))))))"),"")</f>
        <v/>
      </c>
      <c r="H956" s="10" t="str">
        <f t="shared" si="3"/>
        <v/>
      </c>
      <c r="I956" s="68" t="str">
        <f t="shared" si="4"/>
        <v/>
      </c>
      <c r="J956" s="59" t="str">
        <f t="shared" si="5"/>
        <v/>
      </c>
      <c r="K956" s="69" t="str">
        <f t="shared" si="6"/>
        <v/>
      </c>
      <c r="L956" s="60" t="str">
        <f t="shared" si="7"/>
        <v/>
      </c>
      <c r="M956" s="61" t="str">
        <f>IFERROR(__xludf.DUMMYFUNCTION("IFS(AND(COUNTA(C956:C1350)=0,COUNTA(Q956:Q1350)=0),"""",OR(AND(K956&gt;=1000000000,OR(Y956&gt;=1000000000,COUNTA(Q956:Q1350)=0)),OR(Y956&gt;=1000000000,AND(COUNTA(C956:C1350)=0,P$3=TRUE))),
ROUNDDOWN((AB$1-AC$1)*MAX(INDEX(T$4:T1350,MATCH(LARGE(FILTER(Y$4:Y1350,Y$4"&amp;":Y1350&lt;1000000000),1),Y$4:Y1350)),INDEX(F$4:F1350,MATCH(LARGE(FILTER(K$4:K1350,K$4:K1350&lt;1000000000),1),K$4:K1350)))),AND(K956&lt;1000000000,COUNTA(C956:C1350)&gt;0,P$3=FALSE),
ROUNDDOWN(INDEX(Y$4:Y1350,MATCH(LARGE(FILTER(W$4:W1350,W$4:W1350&lt;=I956),1),W$4:W1350"&amp;"))+(I956-LARGE(FILTER(W$4:W1350,W$4:W1350&lt;=I956),1))*INDEX(T$4:T1350,MATCH(LARGE(FILTER(W$4:W1350,W$4:W1350&lt;=I956),1),W$4:W1350))-K956),1,
ROUNDDOWN(Y956-INDEX(K$4:K1350,MATCH(LARGE(FILTER(I$4:I1350,I$4:I1350&lt;=W956),1),I$4:I1350))-(W956-LARGE(FILTER(I$4:I"&amp;"1350,I$4:I1350&lt;=W956),1))*INDEX(F$4:F1350,MATCH(LARGE(FILTER(I$4:I1350,I$4:I1350&lt;=W956),1),I$4:I1350))))"),"")</f>
        <v/>
      </c>
      <c r="N956" s="60" t="str">
        <f t="shared" si="8"/>
        <v/>
      </c>
      <c r="O956" s="61" t="str">
        <f t="shared" si="9"/>
        <v/>
      </c>
      <c r="P956" s="56" t="str">
        <f t="shared" si="10"/>
        <v/>
      </c>
      <c r="Q956" s="62"/>
      <c r="R956" s="10" t="str">
        <f>IFERROR(__xludf.DUMMYFUNCTION("IF(COUNTA(Q956:Q1350)=0,"""",IF(ISBLANK(Q956),FALSE,IF(NOT(COUNTIF($AA$24:$AA$34,SUBSTITUTE(Q956,""Sell_"",""""))),1,IF(REGEXMATCH(Q956,""Sell_""),IF(COUNTIF(Q$4:Q956,SUBSTITUTE(Q956,""Sell_"",""""))-COUNTIF(Q$4:Q955,Q956)&lt;1,1),FALSE))))"),"")</f>
        <v/>
      </c>
      <c r="S956" s="59" t="str">
        <f t="array" ref="S956">IF(COUNTA(Q956:Q1350)=0,"",SUM((COUNTIF(Q$4:Q956,Upgrades!$B$3:$B$13)-COUNTIF(Q$4:Q956,"Sell_"&amp;Upgrades!$B$3:$B$13))*Upgrades!$D$3:$D$13))</f>
        <v/>
      </c>
      <c r="T956" s="66" t="str">
        <f>IFERROR(__xludf.DUMMYFUNCTION("IF(COUNTA(Q956:Q1350)=0,"""",IF(REGEXMATCH(INDEX(FILTER(Q$4:Q956,Q$4:Q956&lt;&gt;""""),ROWS(FILTER(Q$4:Q956,Q$4:Q956&lt;&gt;""""))),""^Sell_""),INDEX(FILTER(T$4:T955,Q$4:Q955&lt;&gt;""""),ROWS(FILTER(Q$4:Q955,Q$4:Q955&lt;&gt;""""))),$AD$5+S956))"),"")</f>
        <v/>
      </c>
      <c r="U956" s="10" t="str">
        <f>IFERROR(__xludf.DUMMYFUNCTION("IF(COUNTA(Q956:Q1350)=0,"""",IF(Q956="""",0,IF(REGEXMATCH(Q956,""^Sell_""),-ROUNDDOWN(ROUNDUP(INDEX(Upgrades!$C$3:$C$13,MATCH(SUBSTITUTE(Q956,""Sell_"",""""),Upgrades!$B$3:$B$13,0))*1.15^(COUNTIF(Q$4:Q955,SUBSTITUTE(Q956,""Sell_"",""""))-COUNTIF(Q$4:Q955,"&amp;"""Sell_""&amp;SUBSTITUTE(Q956,""Sell_"",""""))))/2),ROUNDUP(INDEX(Upgrades!$C$3:$C$13,MATCH(Q956,Upgrades!$B$3:$B$13,0))*1.15^(COUNTIF(Q$4:Q955,Q956)-COUNTIF(Q$4:Q955,""Sell_""&amp;Q956))))))"),"")</f>
        <v/>
      </c>
      <c r="V956" s="10" t="str">
        <f t="shared" si="11"/>
        <v/>
      </c>
      <c r="W956" s="68" t="str">
        <f t="shared" si="12"/>
        <v/>
      </c>
      <c r="X956" s="59" t="str">
        <f t="shared" si="13"/>
        <v/>
      </c>
      <c r="Y956" s="69" t="str">
        <f t="shared" si="14"/>
        <v/>
      </c>
      <c r="Z956" s="11"/>
    </row>
    <row r="957">
      <c r="A957" s="8"/>
      <c r="B957" s="56" t="str">
        <f t="shared" si="2"/>
        <v/>
      </c>
      <c r="C957" s="57"/>
      <c r="D957" s="10" t="str">
        <f>IFERROR(__xludf.DUMMYFUNCTION("IF(COUNTA(C957:C1350)=0,"""",IF(ISBLANK(C957),FALSE,IF(NOT(COUNTIF($AA$24:$AA$34,SUBSTITUTE(C957,""Sell_"",""""))),1,IF(REGEXMATCH(C957,""Sell_""),IF(COUNTIF(C$4:C957,SUBSTITUTE(C957,""Sell_"",""""))-COUNTIF(C$4:C956,C957)&lt;1,1),FALSE))))"),"")</f>
        <v/>
      </c>
      <c r="E957" s="59" t="str">
        <f t="array" ref="E957">IF(COUNTA(C957:C1350)=0,"",SUM((COUNTIF(C$4:C957,Upgrades!$B$3:$B$13)-COUNTIF(C$4:C957,"Sell_"&amp;Upgrades!$B$3:$B$13))*Upgrades!$D$3:$D$13))</f>
        <v/>
      </c>
      <c r="F957" s="66" t="str">
        <f>IFERROR(__xludf.DUMMYFUNCTION("IF(COUNTA(C957:C1350)=0,"""",IF(REGEXMATCH(INDEX(FILTER(C$4:C957,C$4:C957&lt;&gt;""""),ROWS(FILTER(C$4:C957,C$4:C957&lt;&gt;""""))),""^Sell_""),INDEX(FILTER(F$4:F956,C$4:C956&lt;&gt;""""),ROWS(FILTER(C$4:C956,C$4:C956&lt;&gt;""""))),$AC$5+E957))"),"")</f>
        <v/>
      </c>
      <c r="G957" s="10" t="str">
        <f>IFERROR(__xludf.DUMMYFUNCTION("IF(COUNTA(C957:C1350)=0,"""",IF(C957="""",0,IF(REGEXMATCH(C957,""^Sell_""),-ROUNDDOWN(ROUNDUP(INDEX(Upgrades!$C$3:$C$13,MATCH(SUBSTITUTE(C957,""Sell_"",""""),Upgrades!$B$3:$B$13,0))*1.15^(COUNTIF(C$4:C956,SUBSTITUTE(C957,""Sell_"",""""))-COUNTIF(C$4:C956,"&amp;"""Sell_""&amp;SUBSTITUTE(C957,""Sell_"",""""))))/2),ROUNDUP(INDEX(Upgrades!$C$3:$C$13,MATCH(C957,Upgrades!$B$3:$B$13,0))*1.15^(COUNTIF(C$4:C956,C957)-COUNTIF(C$4:C956,""Sell_""&amp;C957))))))"),"")</f>
        <v/>
      </c>
      <c r="H957" s="10" t="str">
        <f t="shared" si="3"/>
        <v/>
      </c>
      <c r="I957" s="68" t="str">
        <f t="shared" si="4"/>
        <v/>
      </c>
      <c r="J957" s="59" t="str">
        <f t="shared" si="5"/>
        <v/>
      </c>
      <c r="K957" s="69" t="str">
        <f t="shared" si="6"/>
        <v/>
      </c>
      <c r="L957" s="60" t="str">
        <f t="shared" si="7"/>
        <v/>
      </c>
      <c r="M957" s="61" t="str">
        <f>IFERROR(__xludf.DUMMYFUNCTION("IFS(AND(COUNTA(C957:C1350)=0,COUNTA(Q957:Q1350)=0),"""",OR(AND(K957&gt;=1000000000,OR(Y957&gt;=1000000000,COUNTA(Q957:Q1350)=0)),OR(Y957&gt;=1000000000,AND(COUNTA(C957:C1350)=0,P$3=TRUE))),
ROUNDDOWN((AB$1-AC$1)*MAX(INDEX(T$4:T1350,MATCH(LARGE(FILTER(Y$4:Y1350,Y$4"&amp;":Y1350&lt;1000000000),1),Y$4:Y1350)),INDEX(F$4:F1350,MATCH(LARGE(FILTER(K$4:K1350,K$4:K1350&lt;1000000000),1),K$4:K1350)))),AND(K957&lt;1000000000,COUNTA(C957:C1350)&gt;0,P$3=FALSE),
ROUNDDOWN(INDEX(Y$4:Y1350,MATCH(LARGE(FILTER(W$4:W1350,W$4:W1350&lt;=I957),1),W$4:W1350"&amp;"))+(I957-LARGE(FILTER(W$4:W1350,W$4:W1350&lt;=I957),1))*INDEX(T$4:T1350,MATCH(LARGE(FILTER(W$4:W1350,W$4:W1350&lt;=I957),1),W$4:W1350))-K957),1,
ROUNDDOWN(Y957-INDEX(K$4:K1350,MATCH(LARGE(FILTER(I$4:I1350,I$4:I1350&lt;=W957),1),I$4:I1350))-(W957-LARGE(FILTER(I$4:I"&amp;"1350,I$4:I1350&lt;=W957),1))*INDEX(F$4:F1350,MATCH(LARGE(FILTER(I$4:I1350,I$4:I1350&lt;=W957),1),I$4:I1350))))"),"")</f>
        <v/>
      </c>
      <c r="N957" s="60" t="str">
        <f t="shared" si="8"/>
        <v/>
      </c>
      <c r="O957" s="61" t="str">
        <f t="shared" si="9"/>
        <v/>
      </c>
      <c r="P957" s="56" t="str">
        <f t="shared" si="10"/>
        <v/>
      </c>
      <c r="Q957" s="62"/>
      <c r="R957" s="10" t="str">
        <f>IFERROR(__xludf.DUMMYFUNCTION("IF(COUNTA(Q957:Q1350)=0,"""",IF(ISBLANK(Q957),FALSE,IF(NOT(COUNTIF($AA$24:$AA$34,SUBSTITUTE(Q957,""Sell_"",""""))),1,IF(REGEXMATCH(Q957,""Sell_""),IF(COUNTIF(Q$4:Q957,SUBSTITUTE(Q957,""Sell_"",""""))-COUNTIF(Q$4:Q956,Q957)&lt;1,1),FALSE))))"),"")</f>
        <v/>
      </c>
      <c r="S957" s="59" t="str">
        <f t="array" ref="S957">IF(COUNTA(Q957:Q1350)=0,"",SUM((COUNTIF(Q$4:Q957,Upgrades!$B$3:$B$13)-COUNTIF(Q$4:Q957,"Sell_"&amp;Upgrades!$B$3:$B$13))*Upgrades!$D$3:$D$13))</f>
        <v/>
      </c>
      <c r="T957" s="66" t="str">
        <f>IFERROR(__xludf.DUMMYFUNCTION("IF(COUNTA(Q957:Q1350)=0,"""",IF(REGEXMATCH(INDEX(FILTER(Q$4:Q957,Q$4:Q957&lt;&gt;""""),ROWS(FILTER(Q$4:Q957,Q$4:Q957&lt;&gt;""""))),""^Sell_""),INDEX(FILTER(T$4:T956,Q$4:Q956&lt;&gt;""""),ROWS(FILTER(Q$4:Q956,Q$4:Q956&lt;&gt;""""))),$AD$5+S957))"),"")</f>
        <v/>
      </c>
      <c r="U957" s="10" t="str">
        <f>IFERROR(__xludf.DUMMYFUNCTION("IF(COUNTA(Q957:Q1350)=0,"""",IF(Q957="""",0,IF(REGEXMATCH(Q957,""^Sell_""),-ROUNDDOWN(ROUNDUP(INDEX(Upgrades!$C$3:$C$13,MATCH(SUBSTITUTE(Q957,""Sell_"",""""),Upgrades!$B$3:$B$13,0))*1.15^(COUNTIF(Q$4:Q956,SUBSTITUTE(Q957,""Sell_"",""""))-COUNTIF(Q$4:Q956,"&amp;"""Sell_""&amp;SUBSTITUTE(Q957,""Sell_"",""""))))/2),ROUNDUP(INDEX(Upgrades!$C$3:$C$13,MATCH(Q957,Upgrades!$B$3:$B$13,0))*1.15^(COUNTIF(Q$4:Q956,Q957)-COUNTIF(Q$4:Q956,""Sell_""&amp;Q957))))))"),"")</f>
        <v/>
      </c>
      <c r="V957" s="10" t="str">
        <f t="shared" si="11"/>
        <v/>
      </c>
      <c r="W957" s="68" t="str">
        <f t="shared" si="12"/>
        <v/>
      </c>
      <c r="X957" s="59" t="str">
        <f t="shared" si="13"/>
        <v/>
      </c>
      <c r="Y957" s="69" t="str">
        <f t="shared" si="14"/>
        <v/>
      </c>
      <c r="Z957" s="11"/>
    </row>
    <row r="958">
      <c r="A958" s="8"/>
      <c r="B958" s="56" t="str">
        <f t="shared" si="2"/>
        <v/>
      </c>
      <c r="C958" s="57"/>
      <c r="D958" s="10" t="str">
        <f>IFERROR(__xludf.DUMMYFUNCTION("IF(COUNTA(C958:C1350)=0,"""",IF(ISBLANK(C958),FALSE,IF(NOT(COUNTIF($AA$24:$AA$34,SUBSTITUTE(C958,""Sell_"",""""))),1,IF(REGEXMATCH(C958,""Sell_""),IF(COUNTIF(C$4:C958,SUBSTITUTE(C958,""Sell_"",""""))-COUNTIF(C$4:C957,C958)&lt;1,1),FALSE))))"),"")</f>
        <v/>
      </c>
      <c r="E958" s="59" t="str">
        <f t="array" ref="E958">IF(COUNTA(C958:C1350)=0,"",SUM((COUNTIF(C$4:C958,Upgrades!$B$3:$B$13)-COUNTIF(C$4:C958,"Sell_"&amp;Upgrades!$B$3:$B$13))*Upgrades!$D$3:$D$13))</f>
        <v/>
      </c>
      <c r="F958" s="66" t="str">
        <f>IFERROR(__xludf.DUMMYFUNCTION("IF(COUNTA(C958:C1350)=0,"""",IF(REGEXMATCH(INDEX(FILTER(C$4:C958,C$4:C958&lt;&gt;""""),ROWS(FILTER(C$4:C958,C$4:C958&lt;&gt;""""))),""^Sell_""),INDEX(FILTER(F$4:F957,C$4:C957&lt;&gt;""""),ROWS(FILTER(C$4:C957,C$4:C957&lt;&gt;""""))),$AC$5+E958))"),"")</f>
        <v/>
      </c>
      <c r="G958" s="10" t="str">
        <f>IFERROR(__xludf.DUMMYFUNCTION("IF(COUNTA(C958:C1350)=0,"""",IF(C958="""",0,IF(REGEXMATCH(C958,""^Sell_""),-ROUNDDOWN(ROUNDUP(INDEX(Upgrades!$C$3:$C$13,MATCH(SUBSTITUTE(C958,""Sell_"",""""),Upgrades!$B$3:$B$13,0))*1.15^(COUNTIF(C$4:C957,SUBSTITUTE(C958,""Sell_"",""""))-COUNTIF(C$4:C957,"&amp;"""Sell_""&amp;SUBSTITUTE(C958,""Sell_"",""""))))/2),ROUNDUP(INDEX(Upgrades!$C$3:$C$13,MATCH(C958,Upgrades!$B$3:$B$13,0))*1.15^(COUNTIF(C$4:C957,C958)-COUNTIF(C$4:C957,""Sell_""&amp;C958))))))"),"")</f>
        <v/>
      </c>
      <c r="H958" s="10" t="str">
        <f t="shared" si="3"/>
        <v/>
      </c>
      <c r="I958" s="68" t="str">
        <f t="shared" si="4"/>
        <v/>
      </c>
      <c r="J958" s="59" t="str">
        <f t="shared" si="5"/>
        <v/>
      </c>
      <c r="K958" s="69" t="str">
        <f t="shared" si="6"/>
        <v/>
      </c>
      <c r="L958" s="60" t="str">
        <f t="shared" si="7"/>
        <v/>
      </c>
      <c r="M958" s="61" t="str">
        <f>IFERROR(__xludf.DUMMYFUNCTION("IFS(AND(COUNTA(C958:C1350)=0,COUNTA(Q958:Q1350)=0),"""",OR(AND(K958&gt;=1000000000,OR(Y958&gt;=1000000000,COUNTA(Q958:Q1350)=0)),OR(Y958&gt;=1000000000,AND(COUNTA(C958:C1350)=0,P$3=TRUE))),
ROUNDDOWN((AB$1-AC$1)*MAX(INDEX(T$4:T1350,MATCH(LARGE(FILTER(Y$4:Y1350,Y$4"&amp;":Y1350&lt;1000000000),1),Y$4:Y1350)),INDEX(F$4:F1350,MATCH(LARGE(FILTER(K$4:K1350,K$4:K1350&lt;1000000000),1),K$4:K1350)))),AND(K958&lt;1000000000,COUNTA(C958:C1350)&gt;0,P$3=FALSE),
ROUNDDOWN(INDEX(Y$4:Y1350,MATCH(LARGE(FILTER(W$4:W1350,W$4:W1350&lt;=I958),1),W$4:W1350"&amp;"))+(I958-LARGE(FILTER(W$4:W1350,W$4:W1350&lt;=I958),1))*INDEX(T$4:T1350,MATCH(LARGE(FILTER(W$4:W1350,W$4:W1350&lt;=I958),1),W$4:W1350))-K958),1,
ROUNDDOWN(Y958-INDEX(K$4:K1350,MATCH(LARGE(FILTER(I$4:I1350,I$4:I1350&lt;=W958),1),I$4:I1350))-(W958-LARGE(FILTER(I$4:I"&amp;"1350,I$4:I1350&lt;=W958),1))*INDEX(F$4:F1350,MATCH(LARGE(FILTER(I$4:I1350,I$4:I1350&lt;=W958),1),I$4:I1350))))"),"")</f>
        <v/>
      </c>
      <c r="N958" s="60" t="str">
        <f t="shared" si="8"/>
        <v/>
      </c>
      <c r="O958" s="61" t="str">
        <f t="shared" si="9"/>
        <v/>
      </c>
      <c r="P958" s="56" t="str">
        <f t="shared" si="10"/>
        <v/>
      </c>
      <c r="Q958" s="62"/>
      <c r="R958" s="10" t="str">
        <f>IFERROR(__xludf.DUMMYFUNCTION("IF(COUNTA(Q958:Q1350)=0,"""",IF(ISBLANK(Q958),FALSE,IF(NOT(COUNTIF($AA$24:$AA$34,SUBSTITUTE(Q958,""Sell_"",""""))),1,IF(REGEXMATCH(Q958,""Sell_""),IF(COUNTIF(Q$4:Q958,SUBSTITUTE(Q958,""Sell_"",""""))-COUNTIF(Q$4:Q957,Q958)&lt;1,1),FALSE))))"),"")</f>
        <v/>
      </c>
      <c r="S958" s="59" t="str">
        <f t="array" ref="S958">IF(COUNTA(Q958:Q1350)=0,"",SUM((COUNTIF(Q$4:Q958,Upgrades!$B$3:$B$13)-COUNTIF(Q$4:Q958,"Sell_"&amp;Upgrades!$B$3:$B$13))*Upgrades!$D$3:$D$13))</f>
        <v/>
      </c>
      <c r="T958" s="66" t="str">
        <f>IFERROR(__xludf.DUMMYFUNCTION("IF(COUNTA(Q958:Q1350)=0,"""",IF(REGEXMATCH(INDEX(FILTER(Q$4:Q958,Q$4:Q958&lt;&gt;""""),ROWS(FILTER(Q$4:Q958,Q$4:Q958&lt;&gt;""""))),""^Sell_""),INDEX(FILTER(T$4:T957,Q$4:Q957&lt;&gt;""""),ROWS(FILTER(Q$4:Q957,Q$4:Q957&lt;&gt;""""))),$AD$5+S958))"),"")</f>
        <v/>
      </c>
      <c r="U958" s="10" t="str">
        <f>IFERROR(__xludf.DUMMYFUNCTION("IF(COUNTA(Q958:Q1350)=0,"""",IF(Q958="""",0,IF(REGEXMATCH(Q958,""^Sell_""),-ROUNDDOWN(ROUNDUP(INDEX(Upgrades!$C$3:$C$13,MATCH(SUBSTITUTE(Q958,""Sell_"",""""),Upgrades!$B$3:$B$13,0))*1.15^(COUNTIF(Q$4:Q957,SUBSTITUTE(Q958,""Sell_"",""""))-COUNTIF(Q$4:Q957,"&amp;"""Sell_""&amp;SUBSTITUTE(Q958,""Sell_"",""""))))/2),ROUNDUP(INDEX(Upgrades!$C$3:$C$13,MATCH(Q958,Upgrades!$B$3:$B$13,0))*1.15^(COUNTIF(Q$4:Q957,Q958)-COUNTIF(Q$4:Q957,""Sell_""&amp;Q958))))))"),"")</f>
        <v/>
      </c>
      <c r="V958" s="10" t="str">
        <f t="shared" si="11"/>
        <v/>
      </c>
      <c r="W958" s="68" t="str">
        <f t="shared" si="12"/>
        <v/>
      </c>
      <c r="X958" s="59" t="str">
        <f t="shared" si="13"/>
        <v/>
      </c>
      <c r="Y958" s="69" t="str">
        <f t="shared" si="14"/>
        <v/>
      </c>
      <c r="Z958" s="11"/>
    </row>
    <row r="959">
      <c r="A959" s="8"/>
      <c r="B959" s="56" t="str">
        <f t="shared" si="2"/>
        <v/>
      </c>
      <c r="C959" s="57"/>
      <c r="D959" s="10" t="str">
        <f>IFERROR(__xludf.DUMMYFUNCTION("IF(COUNTA(C959:C1350)=0,"""",IF(ISBLANK(C959),FALSE,IF(NOT(COUNTIF($AA$24:$AA$34,SUBSTITUTE(C959,""Sell_"",""""))),1,IF(REGEXMATCH(C959,""Sell_""),IF(COUNTIF(C$4:C959,SUBSTITUTE(C959,""Sell_"",""""))-COUNTIF(C$4:C958,C959)&lt;1,1),FALSE))))"),"")</f>
        <v/>
      </c>
      <c r="E959" s="59" t="str">
        <f t="array" ref="E959">IF(COUNTA(C959:C1350)=0,"",SUM((COUNTIF(C$4:C959,Upgrades!$B$3:$B$13)-COUNTIF(C$4:C959,"Sell_"&amp;Upgrades!$B$3:$B$13))*Upgrades!$D$3:$D$13))</f>
        <v/>
      </c>
      <c r="F959" s="66" t="str">
        <f>IFERROR(__xludf.DUMMYFUNCTION("IF(COUNTA(C959:C1350)=0,"""",IF(REGEXMATCH(INDEX(FILTER(C$4:C959,C$4:C959&lt;&gt;""""),ROWS(FILTER(C$4:C959,C$4:C959&lt;&gt;""""))),""^Sell_""),INDEX(FILTER(F$4:F958,C$4:C958&lt;&gt;""""),ROWS(FILTER(C$4:C958,C$4:C958&lt;&gt;""""))),$AC$5+E959))"),"")</f>
        <v/>
      </c>
      <c r="G959" s="10" t="str">
        <f>IFERROR(__xludf.DUMMYFUNCTION("IF(COUNTA(C959:C1350)=0,"""",IF(C959="""",0,IF(REGEXMATCH(C959,""^Sell_""),-ROUNDDOWN(ROUNDUP(INDEX(Upgrades!$C$3:$C$13,MATCH(SUBSTITUTE(C959,""Sell_"",""""),Upgrades!$B$3:$B$13,0))*1.15^(COUNTIF(C$4:C958,SUBSTITUTE(C959,""Sell_"",""""))-COUNTIF(C$4:C958,"&amp;"""Sell_""&amp;SUBSTITUTE(C959,""Sell_"",""""))))/2),ROUNDUP(INDEX(Upgrades!$C$3:$C$13,MATCH(C959,Upgrades!$B$3:$B$13,0))*1.15^(COUNTIF(C$4:C958,C959)-COUNTIF(C$4:C958,""Sell_""&amp;C959))))))"),"")</f>
        <v/>
      </c>
      <c r="H959" s="10" t="str">
        <f t="shared" si="3"/>
        <v/>
      </c>
      <c r="I959" s="68" t="str">
        <f t="shared" si="4"/>
        <v/>
      </c>
      <c r="J959" s="59" t="str">
        <f t="shared" si="5"/>
        <v/>
      </c>
      <c r="K959" s="69" t="str">
        <f t="shared" si="6"/>
        <v/>
      </c>
      <c r="L959" s="60" t="str">
        <f t="shared" si="7"/>
        <v/>
      </c>
      <c r="M959" s="61" t="str">
        <f>IFERROR(__xludf.DUMMYFUNCTION("IFS(AND(COUNTA(C959:C1350)=0,COUNTA(Q959:Q1350)=0),"""",OR(AND(K959&gt;=1000000000,OR(Y959&gt;=1000000000,COUNTA(Q959:Q1350)=0)),OR(Y959&gt;=1000000000,AND(COUNTA(C959:C1350)=0,P$3=TRUE))),
ROUNDDOWN((AB$1-AC$1)*MAX(INDEX(T$4:T1350,MATCH(LARGE(FILTER(Y$4:Y1350,Y$4"&amp;":Y1350&lt;1000000000),1),Y$4:Y1350)),INDEX(F$4:F1350,MATCH(LARGE(FILTER(K$4:K1350,K$4:K1350&lt;1000000000),1),K$4:K1350)))),AND(K959&lt;1000000000,COUNTA(C959:C1350)&gt;0,P$3=FALSE),
ROUNDDOWN(INDEX(Y$4:Y1350,MATCH(LARGE(FILTER(W$4:W1350,W$4:W1350&lt;=I959),1),W$4:W1350"&amp;"))+(I959-LARGE(FILTER(W$4:W1350,W$4:W1350&lt;=I959),1))*INDEX(T$4:T1350,MATCH(LARGE(FILTER(W$4:W1350,W$4:W1350&lt;=I959),1),W$4:W1350))-K959),1,
ROUNDDOWN(Y959-INDEX(K$4:K1350,MATCH(LARGE(FILTER(I$4:I1350,I$4:I1350&lt;=W959),1),I$4:I1350))-(W959-LARGE(FILTER(I$4:I"&amp;"1350,I$4:I1350&lt;=W959),1))*INDEX(F$4:F1350,MATCH(LARGE(FILTER(I$4:I1350,I$4:I1350&lt;=W959),1),I$4:I1350))))"),"")</f>
        <v/>
      </c>
      <c r="N959" s="60" t="str">
        <f t="shared" si="8"/>
        <v/>
      </c>
      <c r="O959" s="61" t="str">
        <f t="shared" si="9"/>
        <v/>
      </c>
      <c r="P959" s="56" t="str">
        <f t="shared" si="10"/>
        <v/>
      </c>
      <c r="Q959" s="62"/>
      <c r="R959" s="10" t="str">
        <f>IFERROR(__xludf.DUMMYFUNCTION("IF(COUNTA(Q959:Q1350)=0,"""",IF(ISBLANK(Q959),FALSE,IF(NOT(COUNTIF($AA$24:$AA$34,SUBSTITUTE(Q959,""Sell_"",""""))),1,IF(REGEXMATCH(Q959,""Sell_""),IF(COUNTIF(Q$4:Q959,SUBSTITUTE(Q959,""Sell_"",""""))-COUNTIF(Q$4:Q958,Q959)&lt;1,1),FALSE))))"),"")</f>
        <v/>
      </c>
      <c r="S959" s="59" t="str">
        <f t="array" ref="S959">IF(COUNTA(Q959:Q1350)=0,"",SUM((COUNTIF(Q$4:Q959,Upgrades!$B$3:$B$13)-COUNTIF(Q$4:Q959,"Sell_"&amp;Upgrades!$B$3:$B$13))*Upgrades!$D$3:$D$13))</f>
        <v/>
      </c>
      <c r="T959" s="66" t="str">
        <f>IFERROR(__xludf.DUMMYFUNCTION("IF(COUNTA(Q959:Q1350)=0,"""",IF(REGEXMATCH(INDEX(FILTER(Q$4:Q959,Q$4:Q959&lt;&gt;""""),ROWS(FILTER(Q$4:Q959,Q$4:Q959&lt;&gt;""""))),""^Sell_""),INDEX(FILTER(T$4:T958,Q$4:Q958&lt;&gt;""""),ROWS(FILTER(Q$4:Q958,Q$4:Q958&lt;&gt;""""))),$AD$5+S959))"),"")</f>
        <v/>
      </c>
      <c r="U959" s="10" t="str">
        <f>IFERROR(__xludf.DUMMYFUNCTION("IF(COUNTA(Q959:Q1350)=0,"""",IF(Q959="""",0,IF(REGEXMATCH(Q959,""^Sell_""),-ROUNDDOWN(ROUNDUP(INDEX(Upgrades!$C$3:$C$13,MATCH(SUBSTITUTE(Q959,""Sell_"",""""),Upgrades!$B$3:$B$13,0))*1.15^(COUNTIF(Q$4:Q958,SUBSTITUTE(Q959,""Sell_"",""""))-COUNTIF(Q$4:Q958,"&amp;"""Sell_""&amp;SUBSTITUTE(Q959,""Sell_"",""""))))/2),ROUNDUP(INDEX(Upgrades!$C$3:$C$13,MATCH(Q959,Upgrades!$B$3:$B$13,0))*1.15^(COUNTIF(Q$4:Q958,Q959)-COUNTIF(Q$4:Q958,""Sell_""&amp;Q959))))))"),"")</f>
        <v/>
      </c>
      <c r="V959" s="10" t="str">
        <f t="shared" si="11"/>
        <v/>
      </c>
      <c r="W959" s="68" t="str">
        <f t="shared" si="12"/>
        <v/>
      </c>
      <c r="X959" s="59" t="str">
        <f t="shared" si="13"/>
        <v/>
      </c>
      <c r="Y959" s="69" t="str">
        <f t="shared" si="14"/>
        <v/>
      </c>
      <c r="Z959" s="11"/>
    </row>
    <row r="960">
      <c r="A960" s="8"/>
      <c r="B960" s="56" t="str">
        <f t="shared" si="2"/>
        <v/>
      </c>
      <c r="C960" s="57"/>
      <c r="D960" s="10" t="str">
        <f>IFERROR(__xludf.DUMMYFUNCTION("IF(COUNTA(C960:C1350)=0,"""",IF(ISBLANK(C960),FALSE,IF(NOT(COUNTIF($AA$24:$AA$34,SUBSTITUTE(C960,""Sell_"",""""))),1,IF(REGEXMATCH(C960,""Sell_""),IF(COUNTIF(C$4:C960,SUBSTITUTE(C960,""Sell_"",""""))-COUNTIF(C$4:C959,C960)&lt;1,1),FALSE))))"),"")</f>
        <v/>
      </c>
      <c r="E960" s="59" t="str">
        <f t="array" ref="E960">IF(COUNTA(C960:C1350)=0,"",SUM((COUNTIF(C$4:C960,Upgrades!$B$3:$B$13)-COUNTIF(C$4:C960,"Sell_"&amp;Upgrades!$B$3:$B$13))*Upgrades!$D$3:$D$13))</f>
        <v/>
      </c>
      <c r="F960" s="66" t="str">
        <f>IFERROR(__xludf.DUMMYFUNCTION("IF(COUNTA(C960:C1350)=0,"""",IF(REGEXMATCH(INDEX(FILTER(C$4:C960,C$4:C960&lt;&gt;""""),ROWS(FILTER(C$4:C960,C$4:C960&lt;&gt;""""))),""^Sell_""),INDEX(FILTER(F$4:F959,C$4:C959&lt;&gt;""""),ROWS(FILTER(C$4:C959,C$4:C959&lt;&gt;""""))),$AC$5+E960))"),"")</f>
        <v/>
      </c>
      <c r="G960" s="10" t="str">
        <f>IFERROR(__xludf.DUMMYFUNCTION("IF(COUNTA(C960:C1350)=0,"""",IF(C960="""",0,IF(REGEXMATCH(C960,""^Sell_""),-ROUNDDOWN(ROUNDUP(INDEX(Upgrades!$C$3:$C$13,MATCH(SUBSTITUTE(C960,""Sell_"",""""),Upgrades!$B$3:$B$13,0))*1.15^(COUNTIF(C$4:C959,SUBSTITUTE(C960,""Sell_"",""""))-COUNTIF(C$4:C959,"&amp;"""Sell_""&amp;SUBSTITUTE(C960,""Sell_"",""""))))/2),ROUNDUP(INDEX(Upgrades!$C$3:$C$13,MATCH(C960,Upgrades!$B$3:$B$13,0))*1.15^(COUNTIF(C$4:C959,C960)-COUNTIF(C$4:C959,""Sell_""&amp;C960))))))"),"")</f>
        <v/>
      </c>
      <c r="H960" s="10" t="str">
        <f t="shared" si="3"/>
        <v/>
      </c>
      <c r="I960" s="68" t="str">
        <f t="shared" si="4"/>
        <v/>
      </c>
      <c r="J960" s="59" t="str">
        <f t="shared" si="5"/>
        <v/>
      </c>
      <c r="K960" s="69" t="str">
        <f t="shared" si="6"/>
        <v/>
      </c>
      <c r="L960" s="60" t="str">
        <f t="shared" si="7"/>
        <v/>
      </c>
      <c r="M960" s="61" t="str">
        <f>IFERROR(__xludf.DUMMYFUNCTION("IFS(AND(COUNTA(C960:C1350)=0,COUNTA(Q960:Q1350)=0),"""",OR(AND(K960&gt;=1000000000,OR(Y960&gt;=1000000000,COUNTA(Q960:Q1350)=0)),OR(Y960&gt;=1000000000,AND(COUNTA(C960:C1350)=0,P$3=TRUE))),
ROUNDDOWN((AB$1-AC$1)*MAX(INDEX(T$4:T1350,MATCH(LARGE(FILTER(Y$4:Y1350,Y$4"&amp;":Y1350&lt;1000000000),1),Y$4:Y1350)),INDEX(F$4:F1350,MATCH(LARGE(FILTER(K$4:K1350,K$4:K1350&lt;1000000000),1),K$4:K1350)))),AND(K960&lt;1000000000,COUNTA(C960:C1350)&gt;0,P$3=FALSE),
ROUNDDOWN(INDEX(Y$4:Y1350,MATCH(LARGE(FILTER(W$4:W1350,W$4:W1350&lt;=I960),1),W$4:W1350"&amp;"))+(I960-LARGE(FILTER(W$4:W1350,W$4:W1350&lt;=I960),1))*INDEX(T$4:T1350,MATCH(LARGE(FILTER(W$4:W1350,W$4:W1350&lt;=I960),1),W$4:W1350))-K960),1,
ROUNDDOWN(Y960-INDEX(K$4:K1350,MATCH(LARGE(FILTER(I$4:I1350,I$4:I1350&lt;=W960),1),I$4:I1350))-(W960-LARGE(FILTER(I$4:I"&amp;"1350,I$4:I1350&lt;=W960),1))*INDEX(F$4:F1350,MATCH(LARGE(FILTER(I$4:I1350,I$4:I1350&lt;=W960),1),I$4:I1350))))"),"")</f>
        <v/>
      </c>
      <c r="N960" s="60" t="str">
        <f t="shared" si="8"/>
        <v/>
      </c>
      <c r="O960" s="61" t="str">
        <f t="shared" si="9"/>
        <v/>
      </c>
      <c r="P960" s="56" t="str">
        <f t="shared" si="10"/>
        <v/>
      </c>
      <c r="Q960" s="62"/>
      <c r="R960" s="10" t="str">
        <f>IFERROR(__xludf.DUMMYFUNCTION("IF(COUNTA(Q960:Q1350)=0,"""",IF(ISBLANK(Q960),FALSE,IF(NOT(COUNTIF($AA$24:$AA$34,SUBSTITUTE(Q960,""Sell_"",""""))),1,IF(REGEXMATCH(Q960,""Sell_""),IF(COUNTIF(Q$4:Q960,SUBSTITUTE(Q960,""Sell_"",""""))-COUNTIF(Q$4:Q959,Q960)&lt;1,1),FALSE))))"),"")</f>
        <v/>
      </c>
      <c r="S960" s="59" t="str">
        <f t="array" ref="S960">IF(COUNTA(Q960:Q1350)=0,"",SUM((COUNTIF(Q$4:Q960,Upgrades!$B$3:$B$13)-COUNTIF(Q$4:Q960,"Sell_"&amp;Upgrades!$B$3:$B$13))*Upgrades!$D$3:$D$13))</f>
        <v/>
      </c>
      <c r="T960" s="66" t="str">
        <f>IFERROR(__xludf.DUMMYFUNCTION("IF(COUNTA(Q960:Q1350)=0,"""",IF(REGEXMATCH(INDEX(FILTER(Q$4:Q960,Q$4:Q960&lt;&gt;""""),ROWS(FILTER(Q$4:Q960,Q$4:Q960&lt;&gt;""""))),""^Sell_""),INDEX(FILTER(T$4:T959,Q$4:Q959&lt;&gt;""""),ROWS(FILTER(Q$4:Q959,Q$4:Q959&lt;&gt;""""))),$AD$5+S960))"),"")</f>
        <v/>
      </c>
      <c r="U960" s="10" t="str">
        <f>IFERROR(__xludf.DUMMYFUNCTION("IF(COUNTA(Q960:Q1350)=0,"""",IF(Q960="""",0,IF(REGEXMATCH(Q960,""^Sell_""),-ROUNDDOWN(ROUNDUP(INDEX(Upgrades!$C$3:$C$13,MATCH(SUBSTITUTE(Q960,""Sell_"",""""),Upgrades!$B$3:$B$13,0))*1.15^(COUNTIF(Q$4:Q959,SUBSTITUTE(Q960,""Sell_"",""""))-COUNTIF(Q$4:Q959,"&amp;"""Sell_""&amp;SUBSTITUTE(Q960,""Sell_"",""""))))/2),ROUNDUP(INDEX(Upgrades!$C$3:$C$13,MATCH(Q960,Upgrades!$B$3:$B$13,0))*1.15^(COUNTIF(Q$4:Q959,Q960)-COUNTIF(Q$4:Q959,""Sell_""&amp;Q960))))))"),"")</f>
        <v/>
      </c>
      <c r="V960" s="10" t="str">
        <f t="shared" si="11"/>
        <v/>
      </c>
      <c r="W960" s="68" t="str">
        <f t="shared" si="12"/>
        <v/>
      </c>
      <c r="X960" s="59" t="str">
        <f t="shared" si="13"/>
        <v/>
      </c>
      <c r="Y960" s="69" t="str">
        <f t="shared" si="14"/>
        <v/>
      </c>
      <c r="Z960" s="11"/>
    </row>
    <row r="961">
      <c r="A961" s="8"/>
      <c r="B961" s="56" t="str">
        <f t="shared" si="2"/>
        <v/>
      </c>
      <c r="C961" s="57"/>
      <c r="D961" s="10" t="str">
        <f>IFERROR(__xludf.DUMMYFUNCTION("IF(COUNTA(C961:C1350)=0,"""",IF(ISBLANK(C961),FALSE,IF(NOT(COUNTIF($AA$24:$AA$34,SUBSTITUTE(C961,""Sell_"",""""))),1,IF(REGEXMATCH(C961,""Sell_""),IF(COUNTIF(C$4:C961,SUBSTITUTE(C961,""Sell_"",""""))-COUNTIF(C$4:C960,C961)&lt;1,1),FALSE))))"),"")</f>
        <v/>
      </c>
      <c r="E961" s="59" t="str">
        <f t="array" ref="E961">IF(COUNTA(C961:C1350)=0,"",SUM((COUNTIF(C$4:C961,Upgrades!$B$3:$B$13)-COUNTIF(C$4:C961,"Sell_"&amp;Upgrades!$B$3:$B$13))*Upgrades!$D$3:$D$13))</f>
        <v/>
      </c>
      <c r="F961" s="66" t="str">
        <f>IFERROR(__xludf.DUMMYFUNCTION("IF(COUNTA(C961:C1350)=0,"""",IF(REGEXMATCH(INDEX(FILTER(C$4:C961,C$4:C961&lt;&gt;""""),ROWS(FILTER(C$4:C961,C$4:C961&lt;&gt;""""))),""^Sell_""),INDEX(FILTER(F$4:F960,C$4:C960&lt;&gt;""""),ROWS(FILTER(C$4:C960,C$4:C960&lt;&gt;""""))),$AC$5+E961))"),"")</f>
        <v/>
      </c>
      <c r="G961" s="10" t="str">
        <f>IFERROR(__xludf.DUMMYFUNCTION("IF(COUNTA(C961:C1350)=0,"""",IF(C961="""",0,IF(REGEXMATCH(C961,""^Sell_""),-ROUNDDOWN(ROUNDUP(INDEX(Upgrades!$C$3:$C$13,MATCH(SUBSTITUTE(C961,""Sell_"",""""),Upgrades!$B$3:$B$13,0))*1.15^(COUNTIF(C$4:C960,SUBSTITUTE(C961,""Sell_"",""""))-COUNTIF(C$4:C960,"&amp;"""Sell_""&amp;SUBSTITUTE(C961,""Sell_"",""""))))/2),ROUNDUP(INDEX(Upgrades!$C$3:$C$13,MATCH(C961,Upgrades!$B$3:$B$13,0))*1.15^(COUNTIF(C$4:C960,C961)-COUNTIF(C$4:C960,""Sell_""&amp;C961))))))"),"")</f>
        <v/>
      </c>
      <c r="H961" s="10" t="str">
        <f t="shared" si="3"/>
        <v/>
      </c>
      <c r="I961" s="68" t="str">
        <f t="shared" si="4"/>
        <v/>
      </c>
      <c r="J961" s="59" t="str">
        <f t="shared" si="5"/>
        <v/>
      </c>
      <c r="K961" s="69" t="str">
        <f t="shared" si="6"/>
        <v/>
      </c>
      <c r="L961" s="60" t="str">
        <f t="shared" si="7"/>
        <v/>
      </c>
      <c r="M961" s="61" t="str">
        <f>IFERROR(__xludf.DUMMYFUNCTION("IFS(AND(COUNTA(C961:C1350)=0,COUNTA(Q961:Q1350)=0),"""",OR(AND(K961&gt;=1000000000,OR(Y961&gt;=1000000000,COUNTA(Q961:Q1350)=0)),OR(Y961&gt;=1000000000,AND(COUNTA(C961:C1350)=0,P$3=TRUE))),
ROUNDDOWN((AB$1-AC$1)*MAX(INDEX(T$4:T1350,MATCH(LARGE(FILTER(Y$4:Y1350,Y$4"&amp;":Y1350&lt;1000000000),1),Y$4:Y1350)),INDEX(F$4:F1350,MATCH(LARGE(FILTER(K$4:K1350,K$4:K1350&lt;1000000000),1),K$4:K1350)))),AND(K961&lt;1000000000,COUNTA(C961:C1350)&gt;0,P$3=FALSE),
ROUNDDOWN(INDEX(Y$4:Y1350,MATCH(LARGE(FILTER(W$4:W1350,W$4:W1350&lt;=I961),1),W$4:W1350"&amp;"))+(I961-LARGE(FILTER(W$4:W1350,W$4:W1350&lt;=I961),1))*INDEX(T$4:T1350,MATCH(LARGE(FILTER(W$4:W1350,W$4:W1350&lt;=I961),1),W$4:W1350))-K961),1,
ROUNDDOWN(Y961-INDEX(K$4:K1350,MATCH(LARGE(FILTER(I$4:I1350,I$4:I1350&lt;=W961),1),I$4:I1350))-(W961-LARGE(FILTER(I$4:I"&amp;"1350,I$4:I1350&lt;=W961),1))*INDEX(F$4:F1350,MATCH(LARGE(FILTER(I$4:I1350,I$4:I1350&lt;=W961),1),I$4:I1350))))"),"")</f>
        <v/>
      </c>
      <c r="N961" s="60" t="str">
        <f t="shared" si="8"/>
        <v/>
      </c>
      <c r="O961" s="61" t="str">
        <f t="shared" si="9"/>
        <v/>
      </c>
      <c r="P961" s="56" t="str">
        <f t="shared" si="10"/>
        <v/>
      </c>
      <c r="Q961" s="62"/>
      <c r="R961" s="10" t="str">
        <f>IFERROR(__xludf.DUMMYFUNCTION("IF(COUNTA(Q961:Q1350)=0,"""",IF(ISBLANK(Q961),FALSE,IF(NOT(COUNTIF($AA$24:$AA$34,SUBSTITUTE(Q961,""Sell_"",""""))),1,IF(REGEXMATCH(Q961,""Sell_""),IF(COUNTIF(Q$4:Q961,SUBSTITUTE(Q961,""Sell_"",""""))-COUNTIF(Q$4:Q960,Q961)&lt;1,1),FALSE))))"),"")</f>
        <v/>
      </c>
      <c r="S961" s="59" t="str">
        <f t="array" ref="S961">IF(COUNTA(Q961:Q1350)=0,"",SUM((COUNTIF(Q$4:Q961,Upgrades!$B$3:$B$13)-COUNTIF(Q$4:Q961,"Sell_"&amp;Upgrades!$B$3:$B$13))*Upgrades!$D$3:$D$13))</f>
        <v/>
      </c>
      <c r="T961" s="66" t="str">
        <f>IFERROR(__xludf.DUMMYFUNCTION("IF(COUNTA(Q961:Q1350)=0,"""",IF(REGEXMATCH(INDEX(FILTER(Q$4:Q961,Q$4:Q961&lt;&gt;""""),ROWS(FILTER(Q$4:Q961,Q$4:Q961&lt;&gt;""""))),""^Sell_""),INDEX(FILTER(T$4:T960,Q$4:Q960&lt;&gt;""""),ROWS(FILTER(Q$4:Q960,Q$4:Q960&lt;&gt;""""))),$AD$5+S961))"),"")</f>
        <v/>
      </c>
      <c r="U961" s="10" t="str">
        <f>IFERROR(__xludf.DUMMYFUNCTION("IF(COUNTA(Q961:Q1350)=0,"""",IF(Q961="""",0,IF(REGEXMATCH(Q961,""^Sell_""),-ROUNDDOWN(ROUNDUP(INDEX(Upgrades!$C$3:$C$13,MATCH(SUBSTITUTE(Q961,""Sell_"",""""),Upgrades!$B$3:$B$13,0))*1.15^(COUNTIF(Q$4:Q960,SUBSTITUTE(Q961,""Sell_"",""""))-COUNTIF(Q$4:Q960,"&amp;"""Sell_""&amp;SUBSTITUTE(Q961,""Sell_"",""""))))/2),ROUNDUP(INDEX(Upgrades!$C$3:$C$13,MATCH(Q961,Upgrades!$B$3:$B$13,0))*1.15^(COUNTIF(Q$4:Q960,Q961)-COUNTIF(Q$4:Q960,""Sell_""&amp;Q961))))))"),"")</f>
        <v/>
      </c>
      <c r="V961" s="10" t="str">
        <f t="shared" si="11"/>
        <v/>
      </c>
      <c r="W961" s="68" t="str">
        <f t="shared" si="12"/>
        <v/>
      </c>
      <c r="X961" s="59" t="str">
        <f t="shared" si="13"/>
        <v/>
      </c>
      <c r="Y961" s="69" t="str">
        <f t="shared" si="14"/>
        <v/>
      </c>
      <c r="Z961" s="11"/>
    </row>
    <row r="962">
      <c r="A962" s="8"/>
      <c r="B962" s="56" t="str">
        <f t="shared" si="2"/>
        <v/>
      </c>
      <c r="C962" s="57"/>
      <c r="D962" s="10" t="str">
        <f>IFERROR(__xludf.DUMMYFUNCTION("IF(COUNTA(C962:C1350)=0,"""",IF(ISBLANK(C962),FALSE,IF(NOT(COUNTIF($AA$24:$AA$34,SUBSTITUTE(C962,""Sell_"",""""))),1,IF(REGEXMATCH(C962,""Sell_""),IF(COUNTIF(C$4:C962,SUBSTITUTE(C962,""Sell_"",""""))-COUNTIF(C$4:C961,C962)&lt;1,1),FALSE))))"),"")</f>
        <v/>
      </c>
      <c r="E962" s="59" t="str">
        <f t="array" ref="E962">IF(COUNTA(C962:C1350)=0,"",SUM((COUNTIF(C$4:C962,Upgrades!$B$3:$B$13)-COUNTIF(C$4:C962,"Sell_"&amp;Upgrades!$B$3:$B$13))*Upgrades!$D$3:$D$13))</f>
        <v/>
      </c>
      <c r="F962" s="66" t="str">
        <f>IFERROR(__xludf.DUMMYFUNCTION("IF(COUNTA(C962:C1350)=0,"""",IF(REGEXMATCH(INDEX(FILTER(C$4:C962,C$4:C962&lt;&gt;""""),ROWS(FILTER(C$4:C962,C$4:C962&lt;&gt;""""))),""^Sell_""),INDEX(FILTER(F$4:F961,C$4:C961&lt;&gt;""""),ROWS(FILTER(C$4:C961,C$4:C961&lt;&gt;""""))),$AC$5+E962))"),"")</f>
        <v/>
      </c>
      <c r="G962" s="10" t="str">
        <f>IFERROR(__xludf.DUMMYFUNCTION("IF(COUNTA(C962:C1350)=0,"""",IF(C962="""",0,IF(REGEXMATCH(C962,""^Sell_""),-ROUNDDOWN(ROUNDUP(INDEX(Upgrades!$C$3:$C$13,MATCH(SUBSTITUTE(C962,""Sell_"",""""),Upgrades!$B$3:$B$13,0))*1.15^(COUNTIF(C$4:C961,SUBSTITUTE(C962,""Sell_"",""""))-COUNTIF(C$4:C961,"&amp;"""Sell_""&amp;SUBSTITUTE(C962,""Sell_"",""""))))/2),ROUNDUP(INDEX(Upgrades!$C$3:$C$13,MATCH(C962,Upgrades!$B$3:$B$13,0))*1.15^(COUNTIF(C$4:C961,C962)-COUNTIF(C$4:C961,""Sell_""&amp;C962))))))"),"")</f>
        <v/>
      </c>
      <c r="H962" s="10" t="str">
        <f t="shared" si="3"/>
        <v/>
      </c>
      <c r="I962" s="68" t="str">
        <f t="shared" si="4"/>
        <v/>
      </c>
      <c r="J962" s="59" t="str">
        <f t="shared" si="5"/>
        <v/>
      </c>
      <c r="K962" s="69" t="str">
        <f t="shared" si="6"/>
        <v/>
      </c>
      <c r="L962" s="60" t="str">
        <f t="shared" si="7"/>
        <v/>
      </c>
      <c r="M962" s="61" t="str">
        <f>IFERROR(__xludf.DUMMYFUNCTION("IFS(AND(COUNTA(C962:C1350)=0,COUNTA(Q962:Q1350)=0),"""",OR(AND(K962&gt;=1000000000,OR(Y962&gt;=1000000000,COUNTA(Q962:Q1350)=0)),OR(Y962&gt;=1000000000,AND(COUNTA(C962:C1350)=0,P$3=TRUE))),
ROUNDDOWN((AB$1-AC$1)*MAX(INDEX(T$4:T1350,MATCH(LARGE(FILTER(Y$4:Y1350,Y$4"&amp;":Y1350&lt;1000000000),1),Y$4:Y1350)),INDEX(F$4:F1350,MATCH(LARGE(FILTER(K$4:K1350,K$4:K1350&lt;1000000000),1),K$4:K1350)))),AND(K962&lt;1000000000,COUNTA(C962:C1350)&gt;0,P$3=FALSE),
ROUNDDOWN(INDEX(Y$4:Y1350,MATCH(LARGE(FILTER(W$4:W1350,W$4:W1350&lt;=I962),1),W$4:W1350"&amp;"))+(I962-LARGE(FILTER(W$4:W1350,W$4:W1350&lt;=I962),1))*INDEX(T$4:T1350,MATCH(LARGE(FILTER(W$4:W1350,W$4:W1350&lt;=I962),1),W$4:W1350))-K962),1,
ROUNDDOWN(Y962-INDEX(K$4:K1350,MATCH(LARGE(FILTER(I$4:I1350,I$4:I1350&lt;=W962),1),I$4:I1350))-(W962-LARGE(FILTER(I$4:I"&amp;"1350,I$4:I1350&lt;=W962),1))*INDEX(F$4:F1350,MATCH(LARGE(FILTER(I$4:I1350,I$4:I1350&lt;=W962),1),I$4:I1350))))"),"")</f>
        <v/>
      </c>
      <c r="N962" s="60" t="str">
        <f t="shared" si="8"/>
        <v/>
      </c>
      <c r="O962" s="61" t="str">
        <f t="shared" si="9"/>
        <v/>
      </c>
      <c r="P962" s="56" t="str">
        <f t="shared" si="10"/>
        <v/>
      </c>
      <c r="Q962" s="62"/>
      <c r="R962" s="10" t="str">
        <f>IFERROR(__xludf.DUMMYFUNCTION("IF(COUNTA(Q962:Q1350)=0,"""",IF(ISBLANK(Q962),FALSE,IF(NOT(COUNTIF($AA$24:$AA$34,SUBSTITUTE(Q962,""Sell_"",""""))),1,IF(REGEXMATCH(Q962,""Sell_""),IF(COUNTIF(Q$4:Q962,SUBSTITUTE(Q962,""Sell_"",""""))-COUNTIF(Q$4:Q961,Q962)&lt;1,1),FALSE))))"),"")</f>
        <v/>
      </c>
      <c r="S962" s="59" t="str">
        <f t="array" ref="S962">IF(COUNTA(Q962:Q1350)=0,"",SUM((COUNTIF(Q$4:Q962,Upgrades!$B$3:$B$13)-COUNTIF(Q$4:Q962,"Sell_"&amp;Upgrades!$B$3:$B$13))*Upgrades!$D$3:$D$13))</f>
        <v/>
      </c>
      <c r="T962" s="66" t="str">
        <f>IFERROR(__xludf.DUMMYFUNCTION("IF(COUNTA(Q962:Q1350)=0,"""",IF(REGEXMATCH(INDEX(FILTER(Q$4:Q962,Q$4:Q962&lt;&gt;""""),ROWS(FILTER(Q$4:Q962,Q$4:Q962&lt;&gt;""""))),""^Sell_""),INDEX(FILTER(T$4:T961,Q$4:Q961&lt;&gt;""""),ROWS(FILTER(Q$4:Q961,Q$4:Q961&lt;&gt;""""))),$AD$5+S962))"),"")</f>
        <v/>
      </c>
      <c r="U962" s="10" t="str">
        <f>IFERROR(__xludf.DUMMYFUNCTION("IF(COUNTA(Q962:Q1350)=0,"""",IF(Q962="""",0,IF(REGEXMATCH(Q962,""^Sell_""),-ROUNDDOWN(ROUNDUP(INDEX(Upgrades!$C$3:$C$13,MATCH(SUBSTITUTE(Q962,""Sell_"",""""),Upgrades!$B$3:$B$13,0))*1.15^(COUNTIF(Q$4:Q961,SUBSTITUTE(Q962,""Sell_"",""""))-COUNTIF(Q$4:Q961,"&amp;"""Sell_""&amp;SUBSTITUTE(Q962,""Sell_"",""""))))/2),ROUNDUP(INDEX(Upgrades!$C$3:$C$13,MATCH(Q962,Upgrades!$B$3:$B$13,0))*1.15^(COUNTIF(Q$4:Q961,Q962)-COUNTIF(Q$4:Q961,""Sell_""&amp;Q962))))))"),"")</f>
        <v/>
      </c>
      <c r="V962" s="10" t="str">
        <f t="shared" si="11"/>
        <v/>
      </c>
      <c r="W962" s="68" t="str">
        <f t="shared" si="12"/>
        <v/>
      </c>
      <c r="X962" s="59" t="str">
        <f t="shared" si="13"/>
        <v/>
      </c>
      <c r="Y962" s="69" t="str">
        <f t="shared" si="14"/>
        <v/>
      </c>
      <c r="Z962" s="11"/>
    </row>
    <row r="963">
      <c r="A963" s="8"/>
      <c r="B963" s="56" t="str">
        <f t="shared" si="2"/>
        <v/>
      </c>
      <c r="C963" s="57"/>
      <c r="D963" s="10" t="str">
        <f>IFERROR(__xludf.DUMMYFUNCTION("IF(COUNTA(C963:C1350)=0,"""",IF(ISBLANK(C963),FALSE,IF(NOT(COUNTIF($AA$24:$AA$34,SUBSTITUTE(C963,""Sell_"",""""))),1,IF(REGEXMATCH(C963,""Sell_""),IF(COUNTIF(C$4:C963,SUBSTITUTE(C963,""Sell_"",""""))-COUNTIF(C$4:C962,C963)&lt;1,1),FALSE))))"),"")</f>
        <v/>
      </c>
      <c r="E963" s="59" t="str">
        <f t="array" ref="E963">IF(COUNTA(C963:C1350)=0,"",SUM((COUNTIF(C$4:C963,Upgrades!$B$3:$B$13)-COUNTIF(C$4:C963,"Sell_"&amp;Upgrades!$B$3:$B$13))*Upgrades!$D$3:$D$13))</f>
        <v/>
      </c>
      <c r="F963" s="66" t="str">
        <f>IFERROR(__xludf.DUMMYFUNCTION("IF(COUNTA(C963:C1350)=0,"""",IF(REGEXMATCH(INDEX(FILTER(C$4:C963,C$4:C963&lt;&gt;""""),ROWS(FILTER(C$4:C963,C$4:C963&lt;&gt;""""))),""^Sell_""),INDEX(FILTER(F$4:F962,C$4:C962&lt;&gt;""""),ROWS(FILTER(C$4:C962,C$4:C962&lt;&gt;""""))),$AC$5+E963))"),"")</f>
        <v/>
      </c>
      <c r="G963" s="10" t="str">
        <f>IFERROR(__xludf.DUMMYFUNCTION("IF(COUNTA(C963:C1350)=0,"""",IF(C963="""",0,IF(REGEXMATCH(C963,""^Sell_""),-ROUNDDOWN(ROUNDUP(INDEX(Upgrades!$C$3:$C$13,MATCH(SUBSTITUTE(C963,""Sell_"",""""),Upgrades!$B$3:$B$13,0))*1.15^(COUNTIF(C$4:C962,SUBSTITUTE(C963,""Sell_"",""""))-COUNTIF(C$4:C962,"&amp;"""Sell_""&amp;SUBSTITUTE(C963,""Sell_"",""""))))/2),ROUNDUP(INDEX(Upgrades!$C$3:$C$13,MATCH(C963,Upgrades!$B$3:$B$13,0))*1.15^(COUNTIF(C$4:C962,C963)-COUNTIF(C$4:C962,""Sell_""&amp;C963))))))"),"")</f>
        <v/>
      </c>
      <c r="H963" s="10" t="str">
        <f t="shared" si="3"/>
        <v/>
      </c>
      <c r="I963" s="68" t="str">
        <f t="shared" si="4"/>
        <v/>
      </c>
      <c r="J963" s="59" t="str">
        <f t="shared" si="5"/>
        <v/>
      </c>
      <c r="K963" s="69" t="str">
        <f t="shared" si="6"/>
        <v/>
      </c>
      <c r="L963" s="60" t="str">
        <f t="shared" si="7"/>
        <v/>
      </c>
      <c r="M963" s="61" t="str">
        <f>IFERROR(__xludf.DUMMYFUNCTION("IFS(AND(COUNTA(C963:C1350)=0,COUNTA(Q963:Q1350)=0),"""",OR(AND(K963&gt;=1000000000,OR(Y963&gt;=1000000000,COUNTA(Q963:Q1350)=0)),OR(Y963&gt;=1000000000,AND(COUNTA(C963:C1350)=0,P$3=TRUE))),
ROUNDDOWN((AB$1-AC$1)*MAX(INDEX(T$4:T1350,MATCH(LARGE(FILTER(Y$4:Y1350,Y$4"&amp;":Y1350&lt;1000000000),1),Y$4:Y1350)),INDEX(F$4:F1350,MATCH(LARGE(FILTER(K$4:K1350,K$4:K1350&lt;1000000000),1),K$4:K1350)))),AND(K963&lt;1000000000,COUNTA(C963:C1350)&gt;0,P$3=FALSE),
ROUNDDOWN(INDEX(Y$4:Y1350,MATCH(LARGE(FILTER(W$4:W1350,W$4:W1350&lt;=I963),1),W$4:W1350"&amp;"))+(I963-LARGE(FILTER(W$4:W1350,W$4:W1350&lt;=I963),1))*INDEX(T$4:T1350,MATCH(LARGE(FILTER(W$4:W1350,W$4:W1350&lt;=I963),1),W$4:W1350))-K963),1,
ROUNDDOWN(Y963-INDEX(K$4:K1350,MATCH(LARGE(FILTER(I$4:I1350,I$4:I1350&lt;=W963),1),I$4:I1350))-(W963-LARGE(FILTER(I$4:I"&amp;"1350,I$4:I1350&lt;=W963),1))*INDEX(F$4:F1350,MATCH(LARGE(FILTER(I$4:I1350,I$4:I1350&lt;=W963),1),I$4:I1350))))"),"")</f>
        <v/>
      </c>
      <c r="N963" s="60" t="str">
        <f t="shared" si="8"/>
        <v/>
      </c>
      <c r="O963" s="61" t="str">
        <f t="shared" si="9"/>
        <v/>
      </c>
      <c r="P963" s="56" t="str">
        <f t="shared" si="10"/>
        <v/>
      </c>
      <c r="Q963" s="62"/>
      <c r="R963" s="10" t="str">
        <f>IFERROR(__xludf.DUMMYFUNCTION("IF(COUNTA(Q963:Q1350)=0,"""",IF(ISBLANK(Q963),FALSE,IF(NOT(COUNTIF($AA$24:$AA$34,SUBSTITUTE(Q963,""Sell_"",""""))),1,IF(REGEXMATCH(Q963,""Sell_""),IF(COUNTIF(Q$4:Q963,SUBSTITUTE(Q963,""Sell_"",""""))-COUNTIF(Q$4:Q962,Q963)&lt;1,1),FALSE))))"),"")</f>
        <v/>
      </c>
      <c r="S963" s="59" t="str">
        <f t="array" ref="S963">IF(COUNTA(Q963:Q1350)=0,"",SUM((COUNTIF(Q$4:Q963,Upgrades!$B$3:$B$13)-COUNTIF(Q$4:Q963,"Sell_"&amp;Upgrades!$B$3:$B$13))*Upgrades!$D$3:$D$13))</f>
        <v/>
      </c>
      <c r="T963" s="66" t="str">
        <f>IFERROR(__xludf.DUMMYFUNCTION("IF(COUNTA(Q963:Q1350)=0,"""",IF(REGEXMATCH(INDEX(FILTER(Q$4:Q963,Q$4:Q963&lt;&gt;""""),ROWS(FILTER(Q$4:Q963,Q$4:Q963&lt;&gt;""""))),""^Sell_""),INDEX(FILTER(T$4:T962,Q$4:Q962&lt;&gt;""""),ROWS(FILTER(Q$4:Q962,Q$4:Q962&lt;&gt;""""))),$AD$5+S963))"),"")</f>
        <v/>
      </c>
      <c r="U963" s="10" t="str">
        <f>IFERROR(__xludf.DUMMYFUNCTION("IF(COUNTA(Q963:Q1350)=0,"""",IF(Q963="""",0,IF(REGEXMATCH(Q963,""^Sell_""),-ROUNDDOWN(ROUNDUP(INDEX(Upgrades!$C$3:$C$13,MATCH(SUBSTITUTE(Q963,""Sell_"",""""),Upgrades!$B$3:$B$13,0))*1.15^(COUNTIF(Q$4:Q962,SUBSTITUTE(Q963,""Sell_"",""""))-COUNTIF(Q$4:Q962,"&amp;"""Sell_""&amp;SUBSTITUTE(Q963,""Sell_"",""""))))/2),ROUNDUP(INDEX(Upgrades!$C$3:$C$13,MATCH(Q963,Upgrades!$B$3:$B$13,0))*1.15^(COUNTIF(Q$4:Q962,Q963)-COUNTIF(Q$4:Q962,""Sell_""&amp;Q963))))))"),"")</f>
        <v/>
      </c>
      <c r="V963" s="10" t="str">
        <f t="shared" si="11"/>
        <v/>
      </c>
      <c r="W963" s="68" t="str">
        <f t="shared" si="12"/>
        <v/>
      </c>
      <c r="X963" s="59" t="str">
        <f t="shared" si="13"/>
        <v/>
      </c>
      <c r="Y963" s="69" t="str">
        <f t="shared" si="14"/>
        <v/>
      </c>
      <c r="Z963" s="11"/>
    </row>
    <row r="964">
      <c r="A964" s="8"/>
      <c r="B964" s="56" t="str">
        <f t="shared" si="2"/>
        <v/>
      </c>
      <c r="C964" s="57"/>
      <c r="D964" s="10" t="str">
        <f>IFERROR(__xludf.DUMMYFUNCTION("IF(COUNTA(C964:C1350)=0,"""",IF(ISBLANK(C964),FALSE,IF(NOT(COUNTIF($AA$24:$AA$34,SUBSTITUTE(C964,""Sell_"",""""))),1,IF(REGEXMATCH(C964,""Sell_""),IF(COUNTIF(C$4:C964,SUBSTITUTE(C964,""Sell_"",""""))-COUNTIF(C$4:C963,C964)&lt;1,1),FALSE))))"),"")</f>
        <v/>
      </c>
      <c r="E964" s="59" t="str">
        <f t="array" ref="E964">IF(COUNTA(C964:C1350)=0,"",SUM((COUNTIF(C$4:C964,Upgrades!$B$3:$B$13)-COUNTIF(C$4:C964,"Sell_"&amp;Upgrades!$B$3:$B$13))*Upgrades!$D$3:$D$13))</f>
        <v/>
      </c>
      <c r="F964" s="66" t="str">
        <f>IFERROR(__xludf.DUMMYFUNCTION("IF(COUNTA(C964:C1350)=0,"""",IF(REGEXMATCH(INDEX(FILTER(C$4:C964,C$4:C964&lt;&gt;""""),ROWS(FILTER(C$4:C964,C$4:C964&lt;&gt;""""))),""^Sell_""),INDEX(FILTER(F$4:F963,C$4:C963&lt;&gt;""""),ROWS(FILTER(C$4:C963,C$4:C963&lt;&gt;""""))),$AC$5+E964))"),"")</f>
        <v/>
      </c>
      <c r="G964" s="10" t="str">
        <f>IFERROR(__xludf.DUMMYFUNCTION("IF(COUNTA(C964:C1350)=0,"""",IF(C964="""",0,IF(REGEXMATCH(C964,""^Sell_""),-ROUNDDOWN(ROUNDUP(INDEX(Upgrades!$C$3:$C$13,MATCH(SUBSTITUTE(C964,""Sell_"",""""),Upgrades!$B$3:$B$13,0))*1.15^(COUNTIF(C$4:C963,SUBSTITUTE(C964,""Sell_"",""""))-COUNTIF(C$4:C963,"&amp;"""Sell_""&amp;SUBSTITUTE(C964,""Sell_"",""""))))/2),ROUNDUP(INDEX(Upgrades!$C$3:$C$13,MATCH(C964,Upgrades!$B$3:$B$13,0))*1.15^(COUNTIF(C$4:C963,C964)-COUNTIF(C$4:C963,""Sell_""&amp;C964))))))"),"")</f>
        <v/>
      </c>
      <c r="H964" s="10" t="str">
        <f t="shared" si="3"/>
        <v/>
      </c>
      <c r="I964" s="68" t="str">
        <f t="shared" si="4"/>
        <v/>
      </c>
      <c r="J964" s="59" t="str">
        <f t="shared" si="5"/>
        <v/>
      </c>
      <c r="K964" s="69" t="str">
        <f t="shared" si="6"/>
        <v/>
      </c>
      <c r="L964" s="60" t="str">
        <f t="shared" si="7"/>
        <v/>
      </c>
      <c r="M964" s="61" t="str">
        <f>IFERROR(__xludf.DUMMYFUNCTION("IFS(AND(COUNTA(C964:C1350)=0,COUNTA(Q964:Q1350)=0),"""",OR(AND(K964&gt;=1000000000,OR(Y964&gt;=1000000000,COUNTA(Q964:Q1350)=0)),OR(Y964&gt;=1000000000,AND(COUNTA(C964:C1350)=0,P$3=TRUE))),
ROUNDDOWN((AB$1-AC$1)*MAX(INDEX(T$4:T1350,MATCH(LARGE(FILTER(Y$4:Y1350,Y$4"&amp;":Y1350&lt;1000000000),1),Y$4:Y1350)),INDEX(F$4:F1350,MATCH(LARGE(FILTER(K$4:K1350,K$4:K1350&lt;1000000000),1),K$4:K1350)))),AND(K964&lt;1000000000,COUNTA(C964:C1350)&gt;0,P$3=FALSE),
ROUNDDOWN(INDEX(Y$4:Y1350,MATCH(LARGE(FILTER(W$4:W1350,W$4:W1350&lt;=I964),1),W$4:W1350"&amp;"))+(I964-LARGE(FILTER(W$4:W1350,W$4:W1350&lt;=I964),1))*INDEX(T$4:T1350,MATCH(LARGE(FILTER(W$4:W1350,W$4:W1350&lt;=I964),1),W$4:W1350))-K964),1,
ROUNDDOWN(Y964-INDEX(K$4:K1350,MATCH(LARGE(FILTER(I$4:I1350,I$4:I1350&lt;=W964),1),I$4:I1350))-(W964-LARGE(FILTER(I$4:I"&amp;"1350,I$4:I1350&lt;=W964),1))*INDEX(F$4:F1350,MATCH(LARGE(FILTER(I$4:I1350,I$4:I1350&lt;=W964),1),I$4:I1350))))"),"")</f>
        <v/>
      </c>
      <c r="N964" s="60" t="str">
        <f t="shared" si="8"/>
        <v/>
      </c>
      <c r="O964" s="61" t="str">
        <f t="shared" si="9"/>
        <v/>
      </c>
      <c r="P964" s="56" t="str">
        <f t="shared" si="10"/>
        <v/>
      </c>
      <c r="Q964" s="62"/>
      <c r="R964" s="10" t="str">
        <f>IFERROR(__xludf.DUMMYFUNCTION("IF(COUNTA(Q964:Q1350)=0,"""",IF(ISBLANK(Q964),FALSE,IF(NOT(COUNTIF($AA$24:$AA$34,SUBSTITUTE(Q964,""Sell_"",""""))),1,IF(REGEXMATCH(Q964,""Sell_""),IF(COUNTIF(Q$4:Q964,SUBSTITUTE(Q964,""Sell_"",""""))-COUNTIF(Q$4:Q963,Q964)&lt;1,1),FALSE))))"),"")</f>
        <v/>
      </c>
      <c r="S964" s="59" t="str">
        <f t="array" ref="S964">IF(COUNTA(Q964:Q1350)=0,"",SUM((COUNTIF(Q$4:Q964,Upgrades!$B$3:$B$13)-COUNTIF(Q$4:Q964,"Sell_"&amp;Upgrades!$B$3:$B$13))*Upgrades!$D$3:$D$13))</f>
        <v/>
      </c>
      <c r="T964" s="66" t="str">
        <f>IFERROR(__xludf.DUMMYFUNCTION("IF(COUNTA(Q964:Q1350)=0,"""",IF(REGEXMATCH(INDEX(FILTER(Q$4:Q964,Q$4:Q964&lt;&gt;""""),ROWS(FILTER(Q$4:Q964,Q$4:Q964&lt;&gt;""""))),""^Sell_""),INDEX(FILTER(T$4:T963,Q$4:Q963&lt;&gt;""""),ROWS(FILTER(Q$4:Q963,Q$4:Q963&lt;&gt;""""))),$AD$5+S964))"),"")</f>
        <v/>
      </c>
      <c r="U964" s="10" t="str">
        <f>IFERROR(__xludf.DUMMYFUNCTION("IF(COUNTA(Q964:Q1350)=0,"""",IF(Q964="""",0,IF(REGEXMATCH(Q964,""^Sell_""),-ROUNDDOWN(ROUNDUP(INDEX(Upgrades!$C$3:$C$13,MATCH(SUBSTITUTE(Q964,""Sell_"",""""),Upgrades!$B$3:$B$13,0))*1.15^(COUNTIF(Q$4:Q963,SUBSTITUTE(Q964,""Sell_"",""""))-COUNTIF(Q$4:Q963,"&amp;"""Sell_""&amp;SUBSTITUTE(Q964,""Sell_"",""""))))/2),ROUNDUP(INDEX(Upgrades!$C$3:$C$13,MATCH(Q964,Upgrades!$B$3:$B$13,0))*1.15^(COUNTIF(Q$4:Q963,Q964)-COUNTIF(Q$4:Q963,""Sell_""&amp;Q964))))))"),"")</f>
        <v/>
      </c>
      <c r="V964" s="10" t="str">
        <f t="shared" si="11"/>
        <v/>
      </c>
      <c r="W964" s="68" t="str">
        <f t="shared" si="12"/>
        <v/>
      </c>
      <c r="X964" s="59" t="str">
        <f t="shared" si="13"/>
        <v/>
      </c>
      <c r="Y964" s="69" t="str">
        <f t="shared" si="14"/>
        <v/>
      </c>
      <c r="Z964" s="11"/>
    </row>
    <row r="965">
      <c r="A965" s="8"/>
      <c r="B965" s="56" t="str">
        <f t="shared" si="2"/>
        <v/>
      </c>
      <c r="C965" s="57"/>
      <c r="D965" s="10" t="str">
        <f>IFERROR(__xludf.DUMMYFUNCTION("IF(COUNTA(C965:C1350)=0,"""",IF(ISBLANK(C965),FALSE,IF(NOT(COUNTIF($AA$24:$AA$34,SUBSTITUTE(C965,""Sell_"",""""))),1,IF(REGEXMATCH(C965,""Sell_""),IF(COUNTIF(C$4:C965,SUBSTITUTE(C965,""Sell_"",""""))-COUNTIF(C$4:C964,C965)&lt;1,1),FALSE))))"),"")</f>
        <v/>
      </c>
      <c r="E965" s="59" t="str">
        <f t="array" ref="E965">IF(COUNTA(C965:C1350)=0,"",SUM((COUNTIF(C$4:C965,Upgrades!$B$3:$B$13)-COUNTIF(C$4:C965,"Sell_"&amp;Upgrades!$B$3:$B$13))*Upgrades!$D$3:$D$13))</f>
        <v/>
      </c>
      <c r="F965" s="66" t="str">
        <f>IFERROR(__xludf.DUMMYFUNCTION("IF(COUNTA(C965:C1350)=0,"""",IF(REGEXMATCH(INDEX(FILTER(C$4:C965,C$4:C965&lt;&gt;""""),ROWS(FILTER(C$4:C965,C$4:C965&lt;&gt;""""))),""^Sell_""),INDEX(FILTER(F$4:F964,C$4:C964&lt;&gt;""""),ROWS(FILTER(C$4:C964,C$4:C964&lt;&gt;""""))),$AC$5+E965))"),"")</f>
        <v/>
      </c>
      <c r="G965" s="10" t="str">
        <f>IFERROR(__xludf.DUMMYFUNCTION("IF(COUNTA(C965:C1350)=0,"""",IF(C965="""",0,IF(REGEXMATCH(C965,""^Sell_""),-ROUNDDOWN(ROUNDUP(INDEX(Upgrades!$C$3:$C$13,MATCH(SUBSTITUTE(C965,""Sell_"",""""),Upgrades!$B$3:$B$13,0))*1.15^(COUNTIF(C$4:C964,SUBSTITUTE(C965,""Sell_"",""""))-COUNTIF(C$4:C964,"&amp;"""Sell_""&amp;SUBSTITUTE(C965,""Sell_"",""""))))/2),ROUNDUP(INDEX(Upgrades!$C$3:$C$13,MATCH(C965,Upgrades!$B$3:$B$13,0))*1.15^(COUNTIF(C$4:C964,C965)-COUNTIF(C$4:C964,""Sell_""&amp;C965))))))"),"")</f>
        <v/>
      </c>
      <c r="H965" s="10" t="str">
        <f t="shared" si="3"/>
        <v/>
      </c>
      <c r="I965" s="68" t="str">
        <f t="shared" si="4"/>
        <v/>
      </c>
      <c r="J965" s="59" t="str">
        <f t="shared" si="5"/>
        <v/>
      </c>
      <c r="K965" s="69" t="str">
        <f t="shared" si="6"/>
        <v/>
      </c>
      <c r="L965" s="60" t="str">
        <f t="shared" si="7"/>
        <v/>
      </c>
      <c r="M965" s="61" t="str">
        <f>IFERROR(__xludf.DUMMYFUNCTION("IFS(AND(COUNTA(C965:C1350)=0,COUNTA(Q965:Q1350)=0),"""",OR(AND(K965&gt;=1000000000,OR(Y965&gt;=1000000000,COUNTA(Q965:Q1350)=0)),OR(Y965&gt;=1000000000,AND(COUNTA(C965:C1350)=0,P$3=TRUE))),
ROUNDDOWN((AB$1-AC$1)*MAX(INDEX(T$4:T1350,MATCH(LARGE(FILTER(Y$4:Y1350,Y$4"&amp;":Y1350&lt;1000000000),1),Y$4:Y1350)),INDEX(F$4:F1350,MATCH(LARGE(FILTER(K$4:K1350,K$4:K1350&lt;1000000000),1),K$4:K1350)))),AND(K965&lt;1000000000,COUNTA(C965:C1350)&gt;0,P$3=FALSE),
ROUNDDOWN(INDEX(Y$4:Y1350,MATCH(LARGE(FILTER(W$4:W1350,W$4:W1350&lt;=I965),1),W$4:W1350"&amp;"))+(I965-LARGE(FILTER(W$4:W1350,W$4:W1350&lt;=I965),1))*INDEX(T$4:T1350,MATCH(LARGE(FILTER(W$4:W1350,W$4:W1350&lt;=I965),1),W$4:W1350))-K965),1,
ROUNDDOWN(Y965-INDEX(K$4:K1350,MATCH(LARGE(FILTER(I$4:I1350,I$4:I1350&lt;=W965),1),I$4:I1350))-(W965-LARGE(FILTER(I$4:I"&amp;"1350,I$4:I1350&lt;=W965),1))*INDEX(F$4:F1350,MATCH(LARGE(FILTER(I$4:I1350,I$4:I1350&lt;=W965),1),I$4:I1350))))"),"")</f>
        <v/>
      </c>
      <c r="N965" s="60" t="str">
        <f t="shared" si="8"/>
        <v/>
      </c>
      <c r="O965" s="61" t="str">
        <f t="shared" si="9"/>
        <v/>
      </c>
      <c r="P965" s="56" t="str">
        <f t="shared" si="10"/>
        <v/>
      </c>
      <c r="Q965" s="62"/>
      <c r="R965" s="10" t="str">
        <f>IFERROR(__xludf.DUMMYFUNCTION("IF(COUNTA(Q965:Q1350)=0,"""",IF(ISBLANK(Q965),FALSE,IF(NOT(COUNTIF($AA$24:$AA$34,SUBSTITUTE(Q965,""Sell_"",""""))),1,IF(REGEXMATCH(Q965,""Sell_""),IF(COUNTIF(Q$4:Q965,SUBSTITUTE(Q965,""Sell_"",""""))-COUNTIF(Q$4:Q964,Q965)&lt;1,1),FALSE))))"),"")</f>
        <v/>
      </c>
      <c r="S965" s="59" t="str">
        <f t="array" ref="S965">IF(COUNTA(Q965:Q1350)=0,"",SUM((COUNTIF(Q$4:Q965,Upgrades!$B$3:$B$13)-COUNTIF(Q$4:Q965,"Sell_"&amp;Upgrades!$B$3:$B$13))*Upgrades!$D$3:$D$13))</f>
        <v/>
      </c>
      <c r="T965" s="66" t="str">
        <f>IFERROR(__xludf.DUMMYFUNCTION("IF(COUNTA(Q965:Q1350)=0,"""",IF(REGEXMATCH(INDEX(FILTER(Q$4:Q965,Q$4:Q965&lt;&gt;""""),ROWS(FILTER(Q$4:Q965,Q$4:Q965&lt;&gt;""""))),""^Sell_""),INDEX(FILTER(T$4:T964,Q$4:Q964&lt;&gt;""""),ROWS(FILTER(Q$4:Q964,Q$4:Q964&lt;&gt;""""))),$AD$5+S965))"),"")</f>
        <v/>
      </c>
      <c r="U965" s="10" t="str">
        <f>IFERROR(__xludf.DUMMYFUNCTION("IF(COUNTA(Q965:Q1350)=0,"""",IF(Q965="""",0,IF(REGEXMATCH(Q965,""^Sell_""),-ROUNDDOWN(ROUNDUP(INDEX(Upgrades!$C$3:$C$13,MATCH(SUBSTITUTE(Q965,""Sell_"",""""),Upgrades!$B$3:$B$13,0))*1.15^(COUNTIF(Q$4:Q964,SUBSTITUTE(Q965,""Sell_"",""""))-COUNTIF(Q$4:Q964,"&amp;"""Sell_""&amp;SUBSTITUTE(Q965,""Sell_"",""""))))/2),ROUNDUP(INDEX(Upgrades!$C$3:$C$13,MATCH(Q965,Upgrades!$B$3:$B$13,0))*1.15^(COUNTIF(Q$4:Q964,Q965)-COUNTIF(Q$4:Q964,""Sell_""&amp;Q965))))))"),"")</f>
        <v/>
      </c>
      <c r="V965" s="10" t="str">
        <f t="shared" si="11"/>
        <v/>
      </c>
      <c r="W965" s="68" t="str">
        <f t="shared" si="12"/>
        <v/>
      </c>
      <c r="X965" s="59" t="str">
        <f t="shared" si="13"/>
        <v/>
      </c>
      <c r="Y965" s="69" t="str">
        <f t="shared" si="14"/>
        <v/>
      </c>
      <c r="Z965" s="11"/>
    </row>
    <row r="966">
      <c r="A966" s="8"/>
      <c r="B966" s="56" t="str">
        <f t="shared" si="2"/>
        <v/>
      </c>
      <c r="C966" s="57"/>
      <c r="D966" s="10" t="str">
        <f>IFERROR(__xludf.DUMMYFUNCTION("IF(COUNTA(C966:C1350)=0,"""",IF(ISBLANK(C966),FALSE,IF(NOT(COUNTIF($AA$24:$AA$34,SUBSTITUTE(C966,""Sell_"",""""))),1,IF(REGEXMATCH(C966,""Sell_""),IF(COUNTIF(C$4:C966,SUBSTITUTE(C966,""Sell_"",""""))-COUNTIF(C$4:C965,C966)&lt;1,1),FALSE))))"),"")</f>
        <v/>
      </c>
      <c r="E966" s="59" t="str">
        <f t="array" ref="E966">IF(COUNTA(C966:C1350)=0,"",SUM((COUNTIF(C$4:C966,Upgrades!$B$3:$B$13)-COUNTIF(C$4:C966,"Sell_"&amp;Upgrades!$B$3:$B$13))*Upgrades!$D$3:$D$13))</f>
        <v/>
      </c>
      <c r="F966" s="66" t="str">
        <f>IFERROR(__xludf.DUMMYFUNCTION("IF(COUNTA(C966:C1350)=0,"""",IF(REGEXMATCH(INDEX(FILTER(C$4:C966,C$4:C966&lt;&gt;""""),ROWS(FILTER(C$4:C966,C$4:C966&lt;&gt;""""))),""^Sell_""),INDEX(FILTER(F$4:F965,C$4:C965&lt;&gt;""""),ROWS(FILTER(C$4:C965,C$4:C965&lt;&gt;""""))),$AC$5+E966))"),"")</f>
        <v/>
      </c>
      <c r="G966" s="10" t="str">
        <f>IFERROR(__xludf.DUMMYFUNCTION("IF(COUNTA(C966:C1350)=0,"""",IF(C966="""",0,IF(REGEXMATCH(C966,""^Sell_""),-ROUNDDOWN(ROUNDUP(INDEX(Upgrades!$C$3:$C$13,MATCH(SUBSTITUTE(C966,""Sell_"",""""),Upgrades!$B$3:$B$13,0))*1.15^(COUNTIF(C$4:C965,SUBSTITUTE(C966,""Sell_"",""""))-COUNTIF(C$4:C965,"&amp;"""Sell_""&amp;SUBSTITUTE(C966,""Sell_"",""""))))/2),ROUNDUP(INDEX(Upgrades!$C$3:$C$13,MATCH(C966,Upgrades!$B$3:$B$13,0))*1.15^(COUNTIF(C$4:C965,C966)-COUNTIF(C$4:C965,""Sell_""&amp;C966))))))"),"")</f>
        <v/>
      </c>
      <c r="H966" s="10" t="str">
        <f t="shared" si="3"/>
        <v/>
      </c>
      <c r="I966" s="68" t="str">
        <f t="shared" si="4"/>
        <v/>
      </c>
      <c r="J966" s="59" t="str">
        <f t="shared" si="5"/>
        <v/>
      </c>
      <c r="K966" s="69" t="str">
        <f t="shared" si="6"/>
        <v/>
      </c>
      <c r="L966" s="60" t="str">
        <f t="shared" si="7"/>
        <v/>
      </c>
      <c r="M966" s="61" t="str">
        <f>IFERROR(__xludf.DUMMYFUNCTION("IFS(AND(COUNTA(C966:C1350)=0,COUNTA(Q966:Q1350)=0),"""",OR(AND(K966&gt;=1000000000,OR(Y966&gt;=1000000000,COUNTA(Q966:Q1350)=0)),OR(Y966&gt;=1000000000,AND(COUNTA(C966:C1350)=0,P$3=TRUE))),
ROUNDDOWN((AB$1-AC$1)*MAX(INDEX(T$4:T1350,MATCH(LARGE(FILTER(Y$4:Y1350,Y$4"&amp;":Y1350&lt;1000000000),1),Y$4:Y1350)),INDEX(F$4:F1350,MATCH(LARGE(FILTER(K$4:K1350,K$4:K1350&lt;1000000000),1),K$4:K1350)))),AND(K966&lt;1000000000,COUNTA(C966:C1350)&gt;0,P$3=FALSE),
ROUNDDOWN(INDEX(Y$4:Y1350,MATCH(LARGE(FILTER(W$4:W1350,W$4:W1350&lt;=I966),1),W$4:W1350"&amp;"))+(I966-LARGE(FILTER(W$4:W1350,W$4:W1350&lt;=I966),1))*INDEX(T$4:T1350,MATCH(LARGE(FILTER(W$4:W1350,W$4:W1350&lt;=I966),1),W$4:W1350))-K966),1,
ROUNDDOWN(Y966-INDEX(K$4:K1350,MATCH(LARGE(FILTER(I$4:I1350,I$4:I1350&lt;=W966),1),I$4:I1350))-(W966-LARGE(FILTER(I$4:I"&amp;"1350,I$4:I1350&lt;=W966),1))*INDEX(F$4:F1350,MATCH(LARGE(FILTER(I$4:I1350,I$4:I1350&lt;=W966),1),I$4:I1350))))"),"")</f>
        <v/>
      </c>
      <c r="N966" s="60" t="str">
        <f t="shared" si="8"/>
        <v/>
      </c>
      <c r="O966" s="61" t="str">
        <f t="shared" si="9"/>
        <v/>
      </c>
      <c r="P966" s="56" t="str">
        <f t="shared" si="10"/>
        <v/>
      </c>
      <c r="Q966" s="62"/>
      <c r="R966" s="10" t="str">
        <f>IFERROR(__xludf.DUMMYFUNCTION("IF(COUNTA(Q966:Q1350)=0,"""",IF(ISBLANK(Q966),FALSE,IF(NOT(COUNTIF($AA$24:$AA$34,SUBSTITUTE(Q966,""Sell_"",""""))),1,IF(REGEXMATCH(Q966,""Sell_""),IF(COUNTIF(Q$4:Q966,SUBSTITUTE(Q966,""Sell_"",""""))-COUNTIF(Q$4:Q965,Q966)&lt;1,1),FALSE))))"),"")</f>
        <v/>
      </c>
      <c r="S966" s="59" t="str">
        <f t="array" ref="S966">IF(COUNTA(Q966:Q1350)=0,"",SUM((COUNTIF(Q$4:Q966,Upgrades!$B$3:$B$13)-COUNTIF(Q$4:Q966,"Sell_"&amp;Upgrades!$B$3:$B$13))*Upgrades!$D$3:$D$13))</f>
        <v/>
      </c>
      <c r="T966" s="66" t="str">
        <f>IFERROR(__xludf.DUMMYFUNCTION("IF(COUNTA(Q966:Q1350)=0,"""",IF(REGEXMATCH(INDEX(FILTER(Q$4:Q966,Q$4:Q966&lt;&gt;""""),ROWS(FILTER(Q$4:Q966,Q$4:Q966&lt;&gt;""""))),""^Sell_""),INDEX(FILTER(T$4:T965,Q$4:Q965&lt;&gt;""""),ROWS(FILTER(Q$4:Q965,Q$4:Q965&lt;&gt;""""))),$AD$5+S966))"),"")</f>
        <v/>
      </c>
      <c r="U966" s="10" t="str">
        <f>IFERROR(__xludf.DUMMYFUNCTION("IF(COUNTA(Q966:Q1350)=0,"""",IF(Q966="""",0,IF(REGEXMATCH(Q966,""^Sell_""),-ROUNDDOWN(ROUNDUP(INDEX(Upgrades!$C$3:$C$13,MATCH(SUBSTITUTE(Q966,""Sell_"",""""),Upgrades!$B$3:$B$13,0))*1.15^(COUNTIF(Q$4:Q965,SUBSTITUTE(Q966,""Sell_"",""""))-COUNTIF(Q$4:Q965,"&amp;"""Sell_""&amp;SUBSTITUTE(Q966,""Sell_"",""""))))/2),ROUNDUP(INDEX(Upgrades!$C$3:$C$13,MATCH(Q966,Upgrades!$B$3:$B$13,0))*1.15^(COUNTIF(Q$4:Q965,Q966)-COUNTIF(Q$4:Q965,""Sell_""&amp;Q966))))))"),"")</f>
        <v/>
      </c>
      <c r="V966" s="10" t="str">
        <f t="shared" si="11"/>
        <v/>
      </c>
      <c r="W966" s="68" t="str">
        <f t="shared" si="12"/>
        <v/>
      </c>
      <c r="X966" s="59" t="str">
        <f t="shared" si="13"/>
        <v/>
      </c>
      <c r="Y966" s="69" t="str">
        <f t="shared" si="14"/>
        <v/>
      </c>
      <c r="Z966" s="11"/>
    </row>
    <row r="967">
      <c r="A967" s="8"/>
      <c r="B967" s="56" t="str">
        <f t="shared" si="2"/>
        <v/>
      </c>
      <c r="C967" s="57"/>
      <c r="D967" s="10" t="str">
        <f>IFERROR(__xludf.DUMMYFUNCTION("IF(COUNTA(C967:C1350)=0,"""",IF(ISBLANK(C967),FALSE,IF(NOT(COUNTIF($AA$24:$AA$34,SUBSTITUTE(C967,""Sell_"",""""))),1,IF(REGEXMATCH(C967,""Sell_""),IF(COUNTIF(C$4:C967,SUBSTITUTE(C967,""Sell_"",""""))-COUNTIF(C$4:C966,C967)&lt;1,1),FALSE))))"),"")</f>
        <v/>
      </c>
      <c r="E967" s="59" t="str">
        <f t="array" ref="E967">IF(COUNTA(C967:C1350)=0,"",SUM((COUNTIF(C$4:C967,Upgrades!$B$3:$B$13)-COUNTIF(C$4:C967,"Sell_"&amp;Upgrades!$B$3:$B$13))*Upgrades!$D$3:$D$13))</f>
        <v/>
      </c>
      <c r="F967" s="66" t="str">
        <f>IFERROR(__xludf.DUMMYFUNCTION("IF(COUNTA(C967:C1350)=0,"""",IF(REGEXMATCH(INDEX(FILTER(C$4:C967,C$4:C967&lt;&gt;""""),ROWS(FILTER(C$4:C967,C$4:C967&lt;&gt;""""))),""^Sell_""),INDEX(FILTER(F$4:F966,C$4:C966&lt;&gt;""""),ROWS(FILTER(C$4:C966,C$4:C966&lt;&gt;""""))),$AC$5+E967))"),"")</f>
        <v/>
      </c>
      <c r="G967" s="10" t="str">
        <f>IFERROR(__xludf.DUMMYFUNCTION("IF(COUNTA(C967:C1350)=0,"""",IF(C967="""",0,IF(REGEXMATCH(C967,""^Sell_""),-ROUNDDOWN(ROUNDUP(INDEX(Upgrades!$C$3:$C$13,MATCH(SUBSTITUTE(C967,""Sell_"",""""),Upgrades!$B$3:$B$13,0))*1.15^(COUNTIF(C$4:C966,SUBSTITUTE(C967,""Sell_"",""""))-COUNTIF(C$4:C966,"&amp;"""Sell_""&amp;SUBSTITUTE(C967,""Sell_"",""""))))/2),ROUNDUP(INDEX(Upgrades!$C$3:$C$13,MATCH(C967,Upgrades!$B$3:$B$13,0))*1.15^(COUNTIF(C$4:C966,C967)-COUNTIF(C$4:C966,""Sell_""&amp;C967))))))"),"")</f>
        <v/>
      </c>
      <c r="H967" s="10" t="str">
        <f t="shared" si="3"/>
        <v/>
      </c>
      <c r="I967" s="68" t="str">
        <f t="shared" si="4"/>
        <v/>
      </c>
      <c r="J967" s="59" t="str">
        <f t="shared" si="5"/>
        <v/>
      </c>
      <c r="K967" s="69" t="str">
        <f t="shared" si="6"/>
        <v/>
      </c>
      <c r="L967" s="60" t="str">
        <f t="shared" si="7"/>
        <v/>
      </c>
      <c r="M967" s="61" t="str">
        <f>IFERROR(__xludf.DUMMYFUNCTION("IFS(AND(COUNTA(C967:C1350)=0,COUNTA(Q967:Q1350)=0),"""",OR(AND(K967&gt;=1000000000,OR(Y967&gt;=1000000000,COUNTA(Q967:Q1350)=0)),OR(Y967&gt;=1000000000,AND(COUNTA(C967:C1350)=0,P$3=TRUE))),
ROUNDDOWN((AB$1-AC$1)*MAX(INDEX(T$4:T1350,MATCH(LARGE(FILTER(Y$4:Y1350,Y$4"&amp;":Y1350&lt;1000000000),1),Y$4:Y1350)),INDEX(F$4:F1350,MATCH(LARGE(FILTER(K$4:K1350,K$4:K1350&lt;1000000000),1),K$4:K1350)))),AND(K967&lt;1000000000,COUNTA(C967:C1350)&gt;0,P$3=FALSE),
ROUNDDOWN(INDEX(Y$4:Y1350,MATCH(LARGE(FILTER(W$4:W1350,W$4:W1350&lt;=I967),1),W$4:W1350"&amp;"))+(I967-LARGE(FILTER(W$4:W1350,W$4:W1350&lt;=I967),1))*INDEX(T$4:T1350,MATCH(LARGE(FILTER(W$4:W1350,W$4:W1350&lt;=I967),1),W$4:W1350))-K967),1,
ROUNDDOWN(Y967-INDEX(K$4:K1350,MATCH(LARGE(FILTER(I$4:I1350,I$4:I1350&lt;=W967),1),I$4:I1350))-(W967-LARGE(FILTER(I$4:I"&amp;"1350,I$4:I1350&lt;=W967),1))*INDEX(F$4:F1350,MATCH(LARGE(FILTER(I$4:I1350,I$4:I1350&lt;=W967),1),I$4:I1350))))"),"")</f>
        <v/>
      </c>
      <c r="N967" s="60" t="str">
        <f t="shared" si="8"/>
        <v/>
      </c>
      <c r="O967" s="61" t="str">
        <f t="shared" si="9"/>
        <v/>
      </c>
      <c r="P967" s="56" t="str">
        <f t="shared" si="10"/>
        <v/>
      </c>
      <c r="Q967" s="62"/>
      <c r="R967" s="10" t="str">
        <f>IFERROR(__xludf.DUMMYFUNCTION("IF(COUNTA(Q967:Q1350)=0,"""",IF(ISBLANK(Q967),FALSE,IF(NOT(COUNTIF($AA$24:$AA$34,SUBSTITUTE(Q967,""Sell_"",""""))),1,IF(REGEXMATCH(Q967,""Sell_""),IF(COUNTIF(Q$4:Q967,SUBSTITUTE(Q967,""Sell_"",""""))-COUNTIF(Q$4:Q966,Q967)&lt;1,1),FALSE))))"),"")</f>
        <v/>
      </c>
      <c r="S967" s="59" t="str">
        <f t="array" ref="S967">IF(COUNTA(Q967:Q1350)=0,"",SUM((COUNTIF(Q$4:Q967,Upgrades!$B$3:$B$13)-COUNTIF(Q$4:Q967,"Sell_"&amp;Upgrades!$B$3:$B$13))*Upgrades!$D$3:$D$13))</f>
        <v/>
      </c>
      <c r="T967" s="66" t="str">
        <f>IFERROR(__xludf.DUMMYFUNCTION("IF(COUNTA(Q967:Q1350)=0,"""",IF(REGEXMATCH(INDEX(FILTER(Q$4:Q967,Q$4:Q967&lt;&gt;""""),ROWS(FILTER(Q$4:Q967,Q$4:Q967&lt;&gt;""""))),""^Sell_""),INDEX(FILTER(T$4:T966,Q$4:Q966&lt;&gt;""""),ROWS(FILTER(Q$4:Q966,Q$4:Q966&lt;&gt;""""))),$AD$5+S967))"),"")</f>
        <v/>
      </c>
      <c r="U967" s="10" t="str">
        <f>IFERROR(__xludf.DUMMYFUNCTION("IF(COUNTA(Q967:Q1350)=0,"""",IF(Q967="""",0,IF(REGEXMATCH(Q967,""^Sell_""),-ROUNDDOWN(ROUNDUP(INDEX(Upgrades!$C$3:$C$13,MATCH(SUBSTITUTE(Q967,""Sell_"",""""),Upgrades!$B$3:$B$13,0))*1.15^(COUNTIF(Q$4:Q966,SUBSTITUTE(Q967,""Sell_"",""""))-COUNTIF(Q$4:Q966,"&amp;"""Sell_""&amp;SUBSTITUTE(Q967,""Sell_"",""""))))/2),ROUNDUP(INDEX(Upgrades!$C$3:$C$13,MATCH(Q967,Upgrades!$B$3:$B$13,0))*1.15^(COUNTIF(Q$4:Q966,Q967)-COUNTIF(Q$4:Q966,""Sell_""&amp;Q967))))))"),"")</f>
        <v/>
      </c>
      <c r="V967" s="10" t="str">
        <f t="shared" si="11"/>
        <v/>
      </c>
      <c r="W967" s="68" t="str">
        <f t="shared" si="12"/>
        <v/>
      </c>
      <c r="X967" s="59" t="str">
        <f t="shared" si="13"/>
        <v/>
      </c>
      <c r="Y967" s="69" t="str">
        <f t="shared" si="14"/>
        <v/>
      </c>
      <c r="Z967" s="11"/>
    </row>
    <row r="968">
      <c r="A968" s="8"/>
      <c r="B968" s="56" t="str">
        <f t="shared" si="2"/>
        <v/>
      </c>
      <c r="C968" s="57"/>
      <c r="D968" s="10" t="str">
        <f>IFERROR(__xludf.DUMMYFUNCTION("IF(COUNTA(C968:C1350)=0,"""",IF(ISBLANK(C968),FALSE,IF(NOT(COUNTIF($AA$24:$AA$34,SUBSTITUTE(C968,""Sell_"",""""))),1,IF(REGEXMATCH(C968,""Sell_""),IF(COUNTIF(C$4:C968,SUBSTITUTE(C968,""Sell_"",""""))-COUNTIF(C$4:C967,C968)&lt;1,1),FALSE))))"),"")</f>
        <v/>
      </c>
      <c r="E968" s="59" t="str">
        <f t="array" ref="E968">IF(COUNTA(C968:C1350)=0,"",SUM((COUNTIF(C$4:C968,Upgrades!$B$3:$B$13)-COUNTIF(C$4:C968,"Sell_"&amp;Upgrades!$B$3:$B$13))*Upgrades!$D$3:$D$13))</f>
        <v/>
      </c>
      <c r="F968" s="66" t="str">
        <f>IFERROR(__xludf.DUMMYFUNCTION("IF(COUNTA(C968:C1350)=0,"""",IF(REGEXMATCH(INDEX(FILTER(C$4:C968,C$4:C968&lt;&gt;""""),ROWS(FILTER(C$4:C968,C$4:C968&lt;&gt;""""))),""^Sell_""),INDEX(FILTER(F$4:F967,C$4:C967&lt;&gt;""""),ROWS(FILTER(C$4:C967,C$4:C967&lt;&gt;""""))),$AC$5+E968))"),"")</f>
        <v/>
      </c>
      <c r="G968" s="10" t="str">
        <f>IFERROR(__xludf.DUMMYFUNCTION("IF(COUNTA(C968:C1350)=0,"""",IF(C968="""",0,IF(REGEXMATCH(C968,""^Sell_""),-ROUNDDOWN(ROUNDUP(INDEX(Upgrades!$C$3:$C$13,MATCH(SUBSTITUTE(C968,""Sell_"",""""),Upgrades!$B$3:$B$13,0))*1.15^(COUNTIF(C$4:C967,SUBSTITUTE(C968,""Sell_"",""""))-COUNTIF(C$4:C967,"&amp;"""Sell_""&amp;SUBSTITUTE(C968,""Sell_"",""""))))/2),ROUNDUP(INDEX(Upgrades!$C$3:$C$13,MATCH(C968,Upgrades!$B$3:$B$13,0))*1.15^(COUNTIF(C$4:C967,C968)-COUNTIF(C$4:C967,""Sell_""&amp;C968))))))"),"")</f>
        <v/>
      </c>
      <c r="H968" s="10" t="str">
        <f t="shared" si="3"/>
        <v/>
      </c>
      <c r="I968" s="68" t="str">
        <f t="shared" si="4"/>
        <v/>
      </c>
      <c r="J968" s="59" t="str">
        <f t="shared" si="5"/>
        <v/>
      </c>
      <c r="K968" s="69" t="str">
        <f t="shared" si="6"/>
        <v/>
      </c>
      <c r="L968" s="60" t="str">
        <f t="shared" si="7"/>
        <v/>
      </c>
      <c r="M968" s="61" t="str">
        <f>IFERROR(__xludf.DUMMYFUNCTION("IFS(AND(COUNTA(C968:C1350)=0,COUNTA(Q968:Q1350)=0),"""",OR(AND(K968&gt;=1000000000,OR(Y968&gt;=1000000000,COUNTA(Q968:Q1350)=0)),OR(Y968&gt;=1000000000,AND(COUNTA(C968:C1350)=0,P$3=TRUE))),
ROUNDDOWN((AB$1-AC$1)*MAX(INDEX(T$4:T1350,MATCH(LARGE(FILTER(Y$4:Y1350,Y$4"&amp;":Y1350&lt;1000000000),1),Y$4:Y1350)),INDEX(F$4:F1350,MATCH(LARGE(FILTER(K$4:K1350,K$4:K1350&lt;1000000000),1),K$4:K1350)))),AND(K968&lt;1000000000,COUNTA(C968:C1350)&gt;0,P$3=FALSE),
ROUNDDOWN(INDEX(Y$4:Y1350,MATCH(LARGE(FILTER(W$4:W1350,W$4:W1350&lt;=I968),1),W$4:W1350"&amp;"))+(I968-LARGE(FILTER(W$4:W1350,W$4:W1350&lt;=I968),1))*INDEX(T$4:T1350,MATCH(LARGE(FILTER(W$4:W1350,W$4:W1350&lt;=I968),1),W$4:W1350))-K968),1,
ROUNDDOWN(Y968-INDEX(K$4:K1350,MATCH(LARGE(FILTER(I$4:I1350,I$4:I1350&lt;=W968),1),I$4:I1350))-(W968-LARGE(FILTER(I$4:I"&amp;"1350,I$4:I1350&lt;=W968),1))*INDEX(F$4:F1350,MATCH(LARGE(FILTER(I$4:I1350,I$4:I1350&lt;=W968),1),I$4:I1350))))"),"")</f>
        <v/>
      </c>
      <c r="N968" s="60" t="str">
        <f t="shared" si="8"/>
        <v/>
      </c>
      <c r="O968" s="61" t="str">
        <f t="shared" si="9"/>
        <v/>
      </c>
      <c r="P968" s="56" t="str">
        <f t="shared" si="10"/>
        <v/>
      </c>
      <c r="Q968" s="62"/>
      <c r="R968" s="10" t="str">
        <f>IFERROR(__xludf.DUMMYFUNCTION("IF(COUNTA(Q968:Q1350)=0,"""",IF(ISBLANK(Q968),FALSE,IF(NOT(COUNTIF($AA$24:$AA$34,SUBSTITUTE(Q968,""Sell_"",""""))),1,IF(REGEXMATCH(Q968,""Sell_""),IF(COUNTIF(Q$4:Q968,SUBSTITUTE(Q968,""Sell_"",""""))-COUNTIF(Q$4:Q967,Q968)&lt;1,1),FALSE))))"),"")</f>
        <v/>
      </c>
      <c r="S968" s="59" t="str">
        <f t="array" ref="S968">IF(COUNTA(Q968:Q1350)=0,"",SUM((COUNTIF(Q$4:Q968,Upgrades!$B$3:$B$13)-COUNTIF(Q$4:Q968,"Sell_"&amp;Upgrades!$B$3:$B$13))*Upgrades!$D$3:$D$13))</f>
        <v/>
      </c>
      <c r="T968" s="66" t="str">
        <f>IFERROR(__xludf.DUMMYFUNCTION("IF(COUNTA(Q968:Q1350)=0,"""",IF(REGEXMATCH(INDEX(FILTER(Q$4:Q968,Q$4:Q968&lt;&gt;""""),ROWS(FILTER(Q$4:Q968,Q$4:Q968&lt;&gt;""""))),""^Sell_""),INDEX(FILTER(T$4:T967,Q$4:Q967&lt;&gt;""""),ROWS(FILTER(Q$4:Q967,Q$4:Q967&lt;&gt;""""))),$AD$5+S968))"),"")</f>
        <v/>
      </c>
      <c r="U968" s="10" t="str">
        <f>IFERROR(__xludf.DUMMYFUNCTION("IF(COUNTA(Q968:Q1350)=0,"""",IF(Q968="""",0,IF(REGEXMATCH(Q968,""^Sell_""),-ROUNDDOWN(ROUNDUP(INDEX(Upgrades!$C$3:$C$13,MATCH(SUBSTITUTE(Q968,""Sell_"",""""),Upgrades!$B$3:$B$13,0))*1.15^(COUNTIF(Q$4:Q967,SUBSTITUTE(Q968,""Sell_"",""""))-COUNTIF(Q$4:Q967,"&amp;"""Sell_""&amp;SUBSTITUTE(Q968,""Sell_"",""""))))/2),ROUNDUP(INDEX(Upgrades!$C$3:$C$13,MATCH(Q968,Upgrades!$B$3:$B$13,0))*1.15^(COUNTIF(Q$4:Q967,Q968)-COUNTIF(Q$4:Q967,""Sell_""&amp;Q968))))))"),"")</f>
        <v/>
      </c>
      <c r="V968" s="10" t="str">
        <f t="shared" si="11"/>
        <v/>
      </c>
      <c r="W968" s="68" t="str">
        <f t="shared" si="12"/>
        <v/>
      </c>
      <c r="X968" s="59" t="str">
        <f t="shared" si="13"/>
        <v/>
      </c>
      <c r="Y968" s="69" t="str">
        <f t="shared" si="14"/>
        <v/>
      </c>
      <c r="Z968" s="11"/>
    </row>
    <row r="969">
      <c r="A969" s="8"/>
      <c r="B969" s="56" t="str">
        <f t="shared" si="2"/>
        <v/>
      </c>
      <c r="C969" s="57"/>
      <c r="D969" s="10" t="str">
        <f>IFERROR(__xludf.DUMMYFUNCTION("IF(COUNTA(C969:C1350)=0,"""",IF(ISBLANK(C969),FALSE,IF(NOT(COUNTIF($AA$24:$AA$34,SUBSTITUTE(C969,""Sell_"",""""))),1,IF(REGEXMATCH(C969,""Sell_""),IF(COUNTIF(C$4:C969,SUBSTITUTE(C969,""Sell_"",""""))-COUNTIF(C$4:C968,C969)&lt;1,1),FALSE))))"),"")</f>
        <v/>
      </c>
      <c r="E969" s="59" t="str">
        <f t="array" ref="E969">IF(COUNTA(C969:C1350)=0,"",SUM((COUNTIF(C$4:C969,Upgrades!$B$3:$B$13)-COUNTIF(C$4:C969,"Sell_"&amp;Upgrades!$B$3:$B$13))*Upgrades!$D$3:$D$13))</f>
        <v/>
      </c>
      <c r="F969" s="66" t="str">
        <f>IFERROR(__xludf.DUMMYFUNCTION("IF(COUNTA(C969:C1350)=0,"""",IF(REGEXMATCH(INDEX(FILTER(C$4:C969,C$4:C969&lt;&gt;""""),ROWS(FILTER(C$4:C969,C$4:C969&lt;&gt;""""))),""^Sell_""),INDEX(FILTER(F$4:F968,C$4:C968&lt;&gt;""""),ROWS(FILTER(C$4:C968,C$4:C968&lt;&gt;""""))),$AC$5+E969))"),"")</f>
        <v/>
      </c>
      <c r="G969" s="10" t="str">
        <f>IFERROR(__xludf.DUMMYFUNCTION("IF(COUNTA(C969:C1350)=0,"""",IF(C969="""",0,IF(REGEXMATCH(C969,""^Sell_""),-ROUNDDOWN(ROUNDUP(INDEX(Upgrades!$C$3:$C$13,MATCH(SUBSTITUTE(C969,""Sell_"",""""),Upgrades!$B$3:$B$13,0))*1.15^(COUNTIF(C$4:C968,SUBSTITUTE(C969,""Sell_"",""""))-COUNTIF(C$4:C968,"&amp;"""Sell_""&amp;SUBSTITUTE(C969,""Sell_"",""""))))/2),ROUNDUP(INDEX(Upgrades!$C$3:$C$13,MATCH(C969,Upgrades!$B$3:$B$13,0))*1.15^(COUNTIF(C$4:C968,C969)-COUNTIF(C$4:C968,""Sell_""&amp;C969))))))"),"")</f>
        <v/>
      </c>
      <c r="H969" s="10" t="str">
        <f t="shared" si="3"/>
        <v/>
      </c>
      <c r="I969" s="68" t="str">
        <f t="shared" si="4"/>
        <v/>
      </c>
      <c r="J969" s="59" t="str">
        <f t="shared" si="5"/>
        <v/>
      </c>
      <c r="K969" s="69" t="str">
        <f t="shared" si="6"/>
        <v/>
      </c>
      <c r="L969" s="60" t="str">
        <f t="shared" si="7"/>
        <v/>
      </c>
      <c r="M969" s="61" t="str">
        <f>IFERROR(__xludf.DUMMYFUNCTION("IFS(AND(COUNTA(C969:C1350)=0,COUNTA(Q969:Q1350)=0),"""",OR(AND(K969&gt;=1000000000,OR(Y969&gt;=1000000000,COUNTA(Q969:Q1350)=0)),OR(Y969&gt;=1000000000,AND(COUNTA(C969:C1350)=0,P$3=TRUE))),
ROUNDDOWN((AB$1-AC$1)*MAX(INDEX(T$4:T1350,MATCH(LARGE(FILTER(Y$4:Y1350,Y$4"&amp;":Y1350&lt;1000000000),1),Y$4:Y1350)),INDEX(F$4:F1350,MATCH(LARGE(FILTER(K$4:K1350,K$4:K1350&lt;1000000000),1),K$4:K1350)))),AND(K969&lt;1000000000,COUNTA(C969:C1350)&gt;0,P$3=FALSE),
ROUNDDOWN(INDEX(Y$4:Y1350,MATCH(LARGE(FILTER(W$4:W1350,W$4:W1350&lt;=I969),1),W$4:W1350"&amp;"))+(I969-LARGE(FILTER(W$4:W1350,W$4:W1350&lt;=I969),1))*INDEX(T$4:T1350,MATCH(LARGE(FILTER(W$4:W1350,W$4:W1350&lt;=I969),1),W$4:W1350))-K969),1,
ROUNDDOWN(Y969-INDEX(K$4:K1350,MATCH(LARGE(FILTER(I$4:I1350,I$4:I1350&lt;=W969),1),I$4:I1350))-(W969-LARGE(FILTER(I$4:I"&amp;"1350,I$4:I1350&lt;=W969),1))*INDEX(F$4:F1350,MATCH(LARGE(FILTER(I$4:I1350,I$4:I1350&lt;=W969),1),I$4:I1350))))"),"")</f>
        <v/>
      </c>
      <c r="N969" s="60" t="str">
        <f t="shared" si="8"/>
        <v/>
      </c>
      <c r="O969" s="61" t="str">
        <f t="shared" si="9"/>
        <v/>
      </c>
      <c r="P969" s="56" t="str">
        <f t="shared" si="10"/>
        <v/>
      </c>
      <c r="Q969" s="62"/>
      <c r="R969" s="10" t="str">
        <f>IFERROR(__xludf.DUMMYFUNCTION("IF(COUNTA(Q969:Q1350)=0,"""",IF(ISBLANK(Q969),FALSE,IF(NOT(COUNTIF($AA$24:$AA$34,SUBSTITUTE(Q969,""Sell_"",""""))),1,IF(REGEXMATCH(Q969,""Sell_""),IF(COUNTIF(Q$4:Q969,SUBSTITUTE(Q969,""Sell_"",""""))-COUNTIF(Q$4:Q968,Q969)&lt;1,1),FALSE))))"),"")</f>
        <v/>
      </c>
      <c r="S969" s="59" t="str">
        <f t="array" ref="S969">IF(COUNTA(Q969:Q1350)=0,"",SUM((COUNTIF(Q$4:Q969,Upgrades!$B$3:$B$13)-COUNTIF(Q$4:Q969,"Sell_"&amp;Upgrades!$B$3:$B$13))*Upgrades!$D$3:$D$13))</f>
        <v/>
      </c>
      <c r="T969" s="66" t="str">
        <f>IFERROR(__xludf.DUMMYFUNCTION("IF(COUNTA(Q969:Q1350)=0,"""",IF(REGEXMATCH(INDEX(FILTER(Q$4:Q969,Q$4:Q969&lt;&gt;""""),ROWS(FILTER(Q$4:Q969,Q$4:Q969&lt;&gt;""""))),""^Sell_""),INDEX(FILTER(T$4:T968,Q$4:Q968&lt;&gt;""""),ROWS(FILTER(Q$4:Q968,Q$4:Q968&lt;&gt;""""))),$AD$5+S969))"),"")</f>
        <v/>
      </c>
      <c r="U969" s="10" t="str">
        <f>IFERROR(__xludf.DUMMYFUNCTION("IF(COUNTA(Q969:Q1350)=0,"""",IF(Q969="""",0,IF(REGEXMATCH(Q969,""^Sell_""),-ROUNDDOWN(ROUNDUP(INDEX(Upgrades!$C$3:$C$13,MATCH(SUBSTITUTE(Q969,""Sell_"",""""),Upgrades!$B$3:$B$13,0))*1.15^(COUNTIF(Q$4:Q968,SUBSTITUTE(Q969,""Sell_"",""""))-COUNTIF(Q$4:Q968,"&amp;"""Sell_""&amp;SUBSTITUTE(Q969,""Sell_"",""""))))/2),ROUNDUP(INDEX(Upgrades!$C$3:$C$13,MATCH(Q969,Upgrades!$B$3:$B$13,0))*1.15^(COUNTIF(Q$4:Q968,Q969)-COUNTIF(Q$4:Q968,""Sell_""&amp;Q969))))))"),"")</f>
        <v/>
      </c>
      <c r="V969" s="10" t="str">
        <f t="shared" si="11"/>
        <v/>
      </c>
      <c r="W969" s="68" t="str">
        <f t="shared" si="12"/>
        <v/>
      </c>
      <c r="X969" s="59" t="str">
        <f t="shared" si="13"/>
        <v/>
      </c>
      <c r="Y969" s="69" t="str">
        <f t="shared" si="14"/>
        <v/>
      </c>
      <c r="Z969" s="11"/>
    </row>
    <row r="970">
      <c r="A970" s="8"/>
      <c r="B970" s="56" t="str">
        <f t="shared" si="2"/>
        <v/>
      </c>
      <c r="C970" s="57"/>
      <c r="D970" s="10" t="str">
        <f>IFERROR(__xludf.DUMMYFUNCTION("IF(COUNTA(C970:C1350)=0,"""",IF(ISBLANK(C970),FALSE,IF(NOT(COUNTIF($AA$24:$AA$34,SUBSTITUTE(C970,""Sell_"",""""))),1,IF(REGEXMATCH(C970,""Sell_""),IF(COUNTIF(C$4:C970,SUBSTITUTE(C970,""Sell_"",""""))-COUNTIF(C$4:C969,C970)&lt;1,1),FALSE))))"),"")</f>
        <v/>
      </c>
      <c r="E970" s="59" t="str">
        <f t="array" ref="E970">IF(COUNTA(C970:C1350)=0,"",SUM((COUNTIF(C$4:C970,Upgrades!$B$3:$B$13)-COUNTIF(C$4:C970,"Sell_"&amp;Upgrades!$B$3:$B$13))*Upgrades!$D$3:$D$13))</f>
        <v/>
      </c>
      <c r="F970" s="66" t="str">
        <f>IFERROR(__xludf.DUMMYFUNCTION("IF(COUNTA(C970:C1350)=0,"""",IF(REGEXMATCH(INDEX(FILTER(C$4:C970,C$4:C970&lt;&gt;""""),ROWS(FILTER(C$4:C970,C$4:C970&lt;&gt;""""))),""^Sell_""),INDEX(FILTER(F$4:F969,C$4:C969&lt;&gt;""""),ROWS(FILTER(C$4:C969,C$4:C969&lt;&gt;""""))),$AC$5+E970))"),"")</f>
        <v/>
      </c>
      <c r="G970" s="10" t="str">
        <f>IFERROR(__xludf.DUMMYFUNCTION("IF(COUNTA(C970:C1350)=0,"""",IF(C970="""",0,IF(REGEXMATCH(C970,""^Sell_""),-ROUNDDOWN(ROUNDUP(INDEX(Upgrades!$C$3:$C$13,MATCH(SUBSTITUTE(C970,""Sell_"",""""),Upgrades!$B$3:$B$13,0))*1.15^(COUNTIF(C$4:C969,SUBSTITUTE(C970,""Sell_"",""""))-COUNTIF(C$4:C969,"&amp;"""Sell_""&amp;SUBSTITUTE(C970,""Sell_"",""""))))/2),ROUNDUP(INDEX(Upgrades!$C$3:$C$13,MATCH(C970,Upgrades!$B$3:$B$13,0))*1.15^(COUNTIF(C$4:C969,C970)-COUNTIF(C$4:C969,""Sell_""&amp;C970))))))"),"")</f>
        <v/>
      </c>
      <c r="H970" s="10" t="str">
        <f t="shared" si="3"/>
        <v/>
      </c>
      <c r="I970" s="68" t="str">
        <f t="shared" si="4"/>
        <v/>
      </c>
      <c r="J970" s="59" t="str">
        <f t="shared" si="5"/>
        <v/>
      </c>
      <c r="K970" s="69" t="str">
        <f t="shared" si="6"/>
        <v/>
      </c>
      <c r="L970" s="60" t="str">
        <f t="shared" si="7"/>
        <v/>
      </c>
      <c r="M970" s="61" t="str">
        <f>IFERROR(__xludf.DUMMYFUNCTION("IFS(AND(COUNTA(C970:C1350)=0,COUNTA(Q970:Q1350)=0),"""",OR(AND(K970&gt;=1000000000,OR(Y970&gt;=1000000000,COUNTA(Q970:Q1350)=0)),OR(Y970&gt;=1000000000,AND(COUNTA(C970:C1350)=0,P$3=TRUE))),
ROUNDDOWN((AB$1-AC$1)*MAX(INDEX(T$4:T1350,MATCH(LARGE(FILTER(Y$4:Y1350,Y$4"&amp;":Y1350&lt;1000000000),1),Y$4:Y1350)),INDEX(F$4:F1350,MATCH(LARGE(FILTER(K$4:K1350,K$4:K1350&lt;1000000000),1),K$4:K1350)))),AND(K970&lt;1000000000,COUNTA(C970:C1350)&gt;0,P$3=FALSE),
ROUNDDOWN(INDEX(Y$4:Y1350,MATCH(LARGE(FILTER(W$4:W1350,W$4:W1350&lt;=I970),1),W$4:W1350"&amp;"))+(I970-LARGE(FILTER(W$4:W1350,W$4:W1350&lt;=I970),1))*INDEX(T$4:T1350,MATCH(LARGE(FILTER(W$4:W1350,W$4:W1350&lt;=I970),1),W$4:W1350))-K970),1,
ROUNDDOWN(Y970-INDEX(K$4:K1350,MATCH(LARGE(FILTER(I$4:I1350,I$4:I1350&lt;=W970),1),I$4:I1350))-(W970-LARGE(FILTER(I$4:I"&amp;"1350,I$4:I1350&lt;=W970),1))*INDEX(F$4:F1350,MATCH(LARGE(FILTER(I$4:I1350,I$4:I1350&lt;=W970),1),I$4:I1350))))"),"")</f>
        <v/>
      </c>
      <c r="N970" s="60" t="str">
        <f t="shared" si="8"/>
        <v/>
      </c>
      <c r="O970" s="61" t="str">
        <f t="shared" si="9"/>
        <v/>
      </c>
      <c r="P970" s="56" t="str">
        <f t="shared" si="10"/>
        <v/>
      </c>
      <c r="Q970" s="62"/>
      <c r="R970" s="10" t="str">
        <f>IFERROR(__xludf.DUMMYFUNCTION("IF(COUNTA(Q970:Q1350)=0,"""",IF(ISBLANK(Q970),FALSE,IF(NOT(COUNTIF($AA$24:$AA$34,SUBSTITUTE(Q970,""Sell_"",""""))),1,IF(REGEXMATCH(Q970,""Sell_""),IF(COUNTIF(Q$4:Q970,SUBSTITUTE(Q970,""Sell_"",""""))-COUNTIF(Q$4:Q969,Q970)&lt;1,1),FALSE))))"),"")</f>
        <v/>
      </c>
      <c r="S970" s="59" t="str">
        <f t="array" ref="S970">IF(COUNTA(Q970:Q1350)=0,"",SUM((COUNTIF(Q$4:Q970,Upgrades!$B$3:$B$13)-COUNTIF(Q$4:Q970,"Sell_"&amp;Upgrades!$B$3:$B$13))*Upgrades!$D$3:$D$13))</f>
        <v/>
      </c>
      <c r="T970" s="66" t="str">
        <f>IFERROR(__xludf.DUMMYFUNCTION("IF(COUNTA(Q970:Q1350)=0,"""",IF(REGEXMATCH(INDEX(FILTER(Q$4:Q970,Q$4:Q970&lt;&gt;""""),ROWS(FILTER(Q$4:Q970,Q$4:Q970&lt;&gt;""""))),""^Sell_""),INDEX(FILTER(T$4:T969,Q$4:Q969&lt;&gt;""""),ROWS(FILTER(Q$4:Q969,Q$4:Q969&lt;&gt;""""))),$AD$5+S970))"),"")</f>
        <v/>
      </c>
      <c r="U970" s="10" t="str">
        <f>IFERROR(__xludf.DUMMYFUNCTION("IF(COUNTA(Q970:Q1350)=0,"""",IF(Q970="""",0,IF(REGEXMATCH(Q970,""^Sell_""),-ROUNDDOWN(ROUNDUP(INDEX(Upgrades!$C$3:$C$13,MATCH(SUBSTITUTE(Q970,""Sell_"",""""),Upgrades!$B$3:$B$13,0))*1.15^(COUNTIF(Q$4:Q969,SUBSTITUTE(Q970,""Sell_"",""""))-COUNTIF(Q$4:Q969,"&amp;"""Sell_""&amp;SUBSTITUTE(Q970,""Sell_"",""""))))/2),ROUNDUP(INDEX(Upgrades!$C$3:$C$13,MATCH(Q970,Upgrades!$B$3:$B$13,0))*1.15^(COUNTIF(Q$4:Q969,Q970)-COUNTIF(Q$4:Q969,""Sell_""&amp;Q970))))))"),"")</f>
        <v/>
      </c>
      <c r="V970" s="10" t="str">
        <f t="shared" si="11"/>
        <v/>
      </c>
      <c r="W970" s="68" t="str">
        <f t="shared" si="12"/>
        <v/>
      </c>
      <c r="X970" s="59" t="str">
        <f t="shared" si="13"/>
        <v/>
      </c>
      <c r="Y970" s="69" t="str">
        <f t="shared" si="14"/>
        <v/>
      </c>
      <c r="Z970" s="11"/>
    </row>
    <row r="971">
      <c r="A971" s="8"/>
      <c r="B971" s="56" t="str">
        <f t="shared" si="2"/>
        <v/>
      </c>
      <c r="C971" s="57"/>
      <c r="D971" s="10" t="str">
        <f>IFERROR(__xludf.DUMMYFUNCTION("IF(COUNTA(C971:C1350)=0,"""",IF(ISBLANK(C971),FALSE,IF(NOT(COUNTIF($AA$24:$AA$34,SUBSTITUTE(C971,""Sell_"",""""))),1,IF(REGEXMATCH(C971,""Sell_""),IF(COUNTIF(C$4:C971,SUBSTITUTE(C971,""Sell_"",""""))-COUNTIF(C$4:C970,C971)&lt;1,1),FALSE))))"),"")</f>
        <v/>
      </c>
      <c r="E971" s="59" t="str">
        <f t="array" ref="E971">IF(COUNTA(C971:C1350)=0,"",SUM((COUNTIF(C$4:C971,Upgrades!$B$3:$B$13)-COUNTIF(C$4:C971,"Sell_"&amp;Upgrades!$B$3:$B$13))*Upgrades!$D$3:$D$13))</f>
        <v/>
      </c>
      <c r="F971" s="66" t="str">
        <f>IFERROR(__xludf.DUMMYFUNCTION("IF(COUNTA(C971:C1350)=0,"""",IF(REGEXMATCH(INDEX(FILTER(C$4:C971,C$4:C971&lt;&gt;""""),ROWS(FILTER(C$4:C971,C$4:C971&lt;&gt;""""))),""^Sell_""),INDEX(FILTER(F$4:F970,C$4:C970&lt;&gt;""""),ROWS(FILTER(C$4:C970,C$4:C970&lt;&gt;""""))),$AC$5+E971))"),"")</f>
        <v/>
      </c>
      <c r="G971" s="10" t="str">
        <f>IFERROR(__xludf.DUMMYFUNCTION("IF(COUNTA(C971:C1350)=0,"""",IF(C971="""",0,IF(REGEXMATCH(C971,""^Sell_""),-ROUNDDOWN(ROUNDUP(INDEX(Upgrades!$C$3:$C$13,MATCH(SUBSTITUTE(C971,""Sell_"",""""),Upgrades!$B$3:$B$13,0))*1.15^(COUNTIF(C$4:C970,SUBSTITUTE(C971,""Sell_"",""""))-COUNTIF(C$4:C970,"&amp;"""Sell_""&amp;SUBSTITUTE(C971,""Sell_"",""""))))/2),ROUNDUP(INDEX(Upgrades!$C$3:$C$13,MATCH(C971,Upgrades!$B$3:$B$13,0))*1.15^(COUNTIF(C$4:C970,C971)-COUNTIF(C$4:C970,""Sell_""&amp;C971))))))"),"")</f>
        <v/>
      </c>
      <c r="H971" s="10" t="str">
        <f t="shared" si="3"/>
        <v/>
      </c>
      <c r="I971" s="68" t="str">
        <f t="shared" si="4"/>
        <v/>
      </c>
      <c r="J971" s="59" t="str">
        <f t="shared" si="5"/>
        <v/>
      </c>
      <c r="K971" s="69" t="str">
        <f t="shared" si="6"/>
        <v/>
      </c>
      <c r="L971" s="60" t="str">
        <f t="shared" si="7"/>
        <v/>
      </c>
      <c r="M971" s="61" t="str">
        <f>IFERROR(__xludf.DUMMYFUNCTION("IFS(AND(COUNTA(C971:C1350)=0,COUNTA(Q971:Q1350)=0),"""",OR(AND(K971&gt;=1000000000,OR(Y971&gt;=1000000000,COUNTA(Q971:Q1350)=0)),OR(Y971&gt;=1000000000,AND(COUNTA(C971:C1350)=0,P$3=TRUE))),
ROUNDDOWN((AB$1-AC$1)*MAX(INDEX(T$4:T1350,MATCH(LARGE(FILTER(Y$4:Y1350,Y$4"&amp;":Y1350&lt;1000000000),1),Y$4:Y1350)),INDEX(F$4:F1350,MATCH(LARGE(FILTER(K$4:K1350,K$4:K1350&lt;1000000000),1),K$4:K1350)))),AND(K971&lt;1000000000,COUNTA(C971:C1350)&gt;0,P$3=FALSE),
ROUNDDOWN(INDEX(Y$4:Y1350,MATCH(LARGE(FILTER(W$4:W1350,W$4:W1350&lt;=I971),1),W$4:W1350"&amp;"))+(I971-LARGE(FILTER(W$4:W1350,W$4:W1350&lt;=I971),1))*INDEX(T$4:T1350,MATCH(LARGE(FILTER(W$4:W1350,W$4:W1350&lt;=I971),1),W$4:W1350))-K971),1,
ROUNDDOWN(Y971-INDEX(K$4:K1350,MATCH(LARGE(FILTER(I$4:I1350,I$4:I1350&lt;=W971),1),I$4:I1350))-(W971-LARGE(FILTER(I$4:I"&amp;"1350,I$4:I1350&lt;=W971),1))*INDEX(F$4:F1350,MATCH(LARGE(FILTER(I$4:I1350,I$4:I1350&lt;=W971),1),I$4:I1350))))"),"")</f>
        <v/>
      </c>
      <c r="N971" s="60" t="str">
        <f t="shared" si="8"/>
        <v/>
      </c>
      <c r="O971" s="61" t="str">
        <f t="shared" si="9"/>
        <v/>
      </c>
      <c r="P971" s="56" t="str">
        <f t="shared" si="10"/>
        <v/>
      </c>
      <c r="Q971" s="62"/>
      <c r="R971" s="10" t="str">
        <f>IFERROR(__xludf.DUMMYFUNCTION("IF(COUNTA(Q971:Q1350)=0,"""",IF(ISBLANK(Q971),FALSE,IF(NOT(COUNTIF($AA$24:$AA$34,SUBSTITUTE(Q971,""Sell_"",""""))),1,IF(REGEXMATCH(Q971,""Sell_""),IF(COUNTIF(Q$4:Q971,SUBSTITUTE(Q971,""Sell_"",""""))-COUNTIF(Q$4:Q970,Q971)&lt;1,1),FALSE))))"),"")</f>
        <v/>
      </c>
      <c r="S971" s="59" t="str">
        <f t="array" ref="S971">IF(COUNTA(Q971:Q1350)=0,"",SUM((COUNTIF(Q$4:Q971,Upgrades!$B$3:$B$13)-COUNTIF(Q$4:Q971,"Sell_"&amp;Upgrades!$B$3:$B$13))*Upgrades!$D$3:$D$13))</f>
        <v/>
      </c>
      <c r="T971" s="66" t="str">
        <f>IFERROR(__xludf.DUMMYFUNCTION("IF(COUNTA(Q971:Q1350)=0,"""",IF(REGEXMATCH(INDEX(FILTER(Q$4:Q971,Q$4:Q971&lt;&gt;""""),ROWS(FILTER(Q$4:Q971,Q$4:Q971&lt;&gt;""""))),""^Sell_""),INDEX(FILTER(T$4:T970,Q$4:Q970&lt;&gt;""""),ROWS(FILTER(Q$4:Q970,Q$4:Q970&lt;&gt;""""))),$AD$5+S971))"),"")</f>
        <v/>
      </c>
      <c r="U971" s="10" t="str">
        <f>IFERROR(__xludf.DUMMYFUNCTION("IF(COUNTA(Q971:Q1350)=0,"""",IF(Q971="""",0,IF(REGEXMATCH(Q971,""^Sell_""),-ROUNDDOWN(ROUNDUP(INDEX(Upgrades!$C$3:$C$13,MATCH(SUBSTITUTE(Q971,""Sell_"",""""),Upgrades!$B$3:$B$13,0))*1.15^(COUNTIF(Q$4:Q970,SUBSTITUTE(Q971,""Sell_"",""""))-COUNTIF(Q$4:Q970,"&amp;"""Sell_""&amp;SUBSTITUTE(Q971,""Sell_"",""""))))/2),ROUNDUP(INDEX(Upgrades!$C$3:$C$13,MATCH(Q971,Upgrades!$B$3:$B$13,0))*1.15^(COUNTIF(Q$4:Q970,Q971)-COUNTIF(Q$4:Q970,""Sell_""&amp;Q971))))))"),"")</f>
        <v/>
      </c>
      <c r="V971" s="10" t="str">
        <f t="shared" si="11"/>
        <v/>
      </c>
      <c r="W971" s="68" t="str">
        <f t="shared" si="12"/>
        <v/>
      </c>
      <c r="X971" s="59" t="str">
        <f t="shared" si="13"/>
        <v/>
      </c>
      <c r="Y971" s="69" t="str">
        <f t="shared" si="14"/>
        <v/>
      </c>
      <c r="Z971" s="11"/>
    </row>
    <row r="972">
      <c r="A972" s="8"/>
      <c r="B972" s="56" t="str">
        <f t="shared" si="2"/>
        <v/>
      </c>
      <c r="C972" s="57"/>
      <c r="D972" s="10" t="str">
        <f>IFERROR(__xludf.DUMMYFUNCTION("IF(COUNTA(C972:C1350)=0,"""",IF(ISBLANK(C972),FALSE,IF(NOT(COUNTIF($AA$24:$AA$34,SUBSTITUTE(C972,""Sell_"",""""))),1,IF(REGEXMATCH(C972,""Sell_""),IF(COUNTIF(C$4:C972,SUBSTITUTE(C972,""Sell_"",""""))-COUNTIF(C$4:C971,C972)&lt;1,1),FALSE))))"),"")</f>
        <v/>
      </c>
      <c r="E972" s="59" t="str">
        <f t="array" ref="E972">IF(COUNTA(C972:C1350)=0,"",SUM((COUNTIF(C$4:C972,Upgrades!$B$3:$B$13)-COUNTIF(C$4:C972,"Sell_"&amp;Upgrades!$B$3:$B$13))*Upgrades!$D$3:$D$13))</f>
        <v/>
      </c>
      <c r="F972" s="66" t="str">
        <f>IFERROR(__xludf.DUMMYFUNCTION("IF(COUNTA(C972:C1350)=0,"""",IF(REGEXMATCH(INDEX(FILTER(C$4:C972,C$4:C972&lt;&gt;""""),ROWS(FILTER(C$4:C972,C$4:C972&lt;&gt;""""))),""^Sell_""),INDEX(FILTER(F$4:F971,C$4:C971&lt;&gt;""""),ROWS(FILTER(C$4:C971,C$4:C971&lt;&gt;""""))),$AC$5+E972))"),"")</f>
        <v/>
      </c>
      <c r="G972" s="10" t="str">
        <f>IFERROR(__xludf.DUMMYFUNCTION("IF(COUNTA(C972:C1350)=0,"""",IF(C972="""",0,IF(REGEXMATCH(C972,""^Sell_""),-ROUNDDOWN(ROUNDUP(INDEX(Upgrades!$C$3:$C$13,MATCH(SUBSTITUTE(C972,""Sell_"",""""),Upgrades!$B$3:$B$13,0))*1.15^(COUNTIF(C$4:C971,SUBSTITUTE(C972,""Sell_"",""""))-COUNTIF(C$4:C971,"&amp;"""Sell_""&amp;SUBSTITUTE(C972,""Sell_"",""""))))/2),ROUNDUP(INDEX(Upgrades!$C$3:$C$13,MATCH(C972,Upgrades!$B$3:$B$13,0))*1.15^(COUNTIF(C$4:C971,C972)-COUNTIF(C$4:C971,""Sell_""&amp;C972))))))"),"")</f>
        <v/>
      </c>
      <c r="H972" s="10" t="str">
        <f t="shared" si="3"/>
        <v/>
      </c>
      <c r="I972" s="68" t="str">
        <f t="shared" si="4"/>
        <v/>
      </c>
      <c r="J972" s="59" t="str">
        <f t="shared" si="5"/>
        <v/>
      </c>
      <c r="K972" s="69" t="str">
        <f t="shared" si="6"/>
        <v/>
      </c>
      <c r="L972" s="60" t="str">
        <f t="shared" si="7"/>
        <v/>
      </c>
      <c r="M972" s="61" t="str">
        <f>IFERROR(__xludf.DUMMYFUNCTION("IFS(AND(COUNTA(C972:C1350)=0,COUNTA(Q972:Q1350)=0),"""",OR(AND(K972&gt;=1000000000,OR(Y972&gt;=1000000000,COUNTA(Q972:Q1350)=0)),OR(Y972&gt;=1000000000,AND(COUNTA(C972:C1350)=0,P$3=TRUE))),
ROUNDDOWN((AB$1-AC$1)*MAX(INDEX(T$4:T1350,MATCH(LARGE(FILTER(Y$4:Y1350,Y$4"&amp;":Y1350&lt;1000000000),1),Y$4:Y1350)),INDEX(F$4:F1350,MATCH(LARGE(FILTER(K$4:K1350,K$4:K1350&lt;1000000000),1),K$4:K1350)))),AND(K972&lt;1000000000,COUNTA(C972:C1350)&gt;0,P$3=FALSE),
ROUNDDOWN(INDEX(Y$4:Y1350,MATCH(LARGE(FILTER(W$4:W1350,W$4:W1350&lt;=I972),1),W$4:W1350"&amp;"))+(I972-LARGE(FILTER(W$4:W1350,W$4:W1350&lt;=I972),1))*INDEX(T$4:T1350,MATCH(LARGE(FILTER(W$4:W1350,W$4:W1350&lt;=I972),1),W$4:W1350))-K972),1,
ROUNDDOWN(Y972-INDEX(K$4:K1350,MATCH(LARGE(FILTER(I$4:I1350,I$4:I1350&lt;=W972),1),I$4:I1350))-(W972-LARGE(FILTER(I$4:I"&amp;"1350,I$4:I1350&lt;=W972),1))*INDEX(F$4:F1350,MATCH(LARGE(FILTER(I$4:I1350,I$4:I1350&lt;=W972),1),I$4:I1350))))"),"")</f>
        <v/>
      </c>
      <c r="N972" s="60" t="str">
        <f t="shared" si="8"/>
        <v/>
      </c>
      <c r="O972" s="61" t="str">
        <f t="shared" si="9"/>
        <v/>
      </c>
      <c r="P972" s="56" t="str">
        <f t="shared" si="10"/>
        <v/>
      </c>
      <c r="Q972" s="62"/>
      <c r="R972" s="10" t="str">
        <f>IFERROR(__xludf.DUMMYFUNCTION("IF(COUNTA(Q972:Q1350)=0,"""",IF(ISBLANK(Q972),FALSE,IF(NOT(COUNTIF($AA$24:$AA$34,SUBSTITUTE(Q972,""Sell_"",""""))),1,IF(REGEXMATCH(Q972,""Sell_""),IF(COUNTIF(Q$4:Q972,SUBSTITUTE(Q972,""Sell_"",""""))-COUNTIF(Q$4:Q971,Q972)&lt;1,1),FALSE))))"),"")</f>
        <v/>
      </c>
      <c r="S972" s="59" t="str">
        <f t="array" ref="S972">IF(COUNTA(Q972:Q1350)=0,"",SUM((COUNTIF(Q$4:Q972,Upgrades!$B$3:$B$13)-COUNTIF(Q$4:Q972,"Sell_"&amp;Upgrades!$B$3:$B$13))*Upgrades!$D$3:$D$13))</f>
        <v/>
      </c>
      <c r="T972" s="66" t="str">
        <f>IFERROR(__xludf.DUMMYFUNCTION("IF(COUNTA(Q972:Q1350)=0,"""",IF(REGEXMATCH(INDEX(FILTER(Q$4:Q972,Q$4:Q972&lt;&gt;""""),ROWS(FILTER(Q$4:Q972,Q$4:Q972&lt;&gt;""""))),""^Sell_""),INDEX(FILTER(T$4:T971,Q$4:Q971&lt;&gt;""""),ROWS(FILTER(Q$4:Q971,Q$4:Q971&lt;&gt;""""))),$AD$5+S972))"),"")</f>
        <v/>
      </c>
      <c r="U972" s="10" t="str">
        <f>IFERROR(__xludf.DUMMYFUNCTION("IF(COUNTA(Q972:Q1350)=0,"""",IF(Q972="""",0,IF(REGEXMATCH(Q972,""^Sell_""),-ROUNDDOWN(ROUNDUP(INDEX(Upgrades!$C$3:$C$13,MATCH(SUBSTITUTE(Q972,""Sell_"",""""),Upgrades!$B$3:$B$13,0))*1.15^(COUNTIF(Q$4:Q971,SUBSTITUTE(Q972,""Sell_"",""""))-COUNTIF(Q$4:Q971,"&amp;"""Sell_""&amp;SUBSTITUTE(Q972,""Sell_"",""""))))/2),ROUNDUP(INDEX(Upgrades!$C$3:$C$13,MATCH(Q972,Upgrades!$B$3:$B$13,0))*1.15^(COUNTIF(Q$4:Q971,Q972)-COUNTIF(Q$4:Q971,""Sell_""&amp;Q972))))))"),"")</f>
        <v/>
      </c>
      <c r="V972" s="10" t="str">
        <f t="shared" si="11"/>
        <v/>
      </c>
      <c r="W972" s="68" t="str">
        <f t="shared" si="12"/>
        <v/>
      </c>
      <c r="X972" s="59" t="str">
        <f t="shared" si="13"/>
        <v/>
      </c>
      <c r="Y972" s="69" t="str">
        <f t="shared" si="14"/>
        <v/>
      </c>
      <c r="Z972" s="11"/>
    </row>
    <row r="973">
      <c r="A973" s="8"/>
      <c r="B973" s="56" t="str">
        <f t="shared" si="2"/>
        <v/>
      </c>
      <c r="C973" s="57"/>
      <c r="D973" s="10" t="str">
        <f>IFERROR(__xludf.DUMMYFUNCTION("IF(COUNTA(C973:C1350)=0,"""",IF(ISBLANK(C973),FALSE,IF(NOT(COUNTIF($AA$24:$AA$34,SUBSTITUTE(C973,""Sell_"",""""))),1,IF(REGEXMATCH(C973,""Sell_""),IF(COUNTIF(C$4:C973,SUBSTITUTE(C973,""Sell_"",""""))-COUNTIF(C$4:C972,C973)&lt;1,1),FALSE))))"),"")</f>
        <v/>
      </c>
      <c r="E973" s="59" t="str">
        <f t="array" ref="E973">IF(COUNTA(C973:C1350)=0,"",SUM((COUNTIF(C$4:C973,Upgrades!$B$3:$B$13)-COUNTIF(C$4:C973,"Sell_"&amp;Upgrades!$B$3:$B$13))*Upgrades!$D$3:$D$13))</f>
        <v/>
      </c>
      <c r="F973" s="66" t="str">
        <f>IFERROR(__xludf.DUMMYFUNCTION("IF(COUNTA(C973:C1350)=0,"""",IF(REGEXMATCH(INDEX(FILTER(C$4:C973,C$4:C973&lt;&gt;""""),ROWS(FILTER(C$4:C973,C$4:C973&lt;&gt;""""))),""^Sell_""),INDEX(FILTER(F$4:F972,C$4:C972&lt;&gt;""""),ROWS(FILTER(C$4:C972,C$4:C972&lt;&gt;""""))),$AC$5+E973))"),"")</f>
        <v/>
      </c>
      <c r="G973" s="10" t="str">
        <f>IFERROR(__xludf.DUMMYFUNCTION("IF(COUNTA(C973:C1350)=0,"""",IF(C973="""",0,IF(REGEXMATCH(C973,""^Sell_""),-ROUNDDOWN(ROUNDUP(INDEX(Upgrades!$C$3:$C$13,MATCH(SUBSTITUTE(C973,""Sell_"",""""),Upgrades!$B$3:$B$13,0))*1.15^(COUNTIF(C$4:C972,SUBSTITUTE(C973,""Sell_"",""""))-COUNTIF(C$4:C972,"&amp;"""Sell_""&amp;SUBSTITUTE(C973,""Sell_"",""""))))/2),ROUNDUP(INDEX(Upgrades!$C$3:$C$13,MATCH(C973,Upgrades!$B$3:$B$13,0))*1.15^(COUNTIF(C$4:C972,C973)-COUNTIF(C$4:C972,""Sell_""&amp;C973))))))"),"")</f>
        <v/>
      </c>
      <c r="H973" s="10" t="str">
        <f t="shared" si="3"/>
        <v/>
      </c>
      <c r="I973" s="68" t="str">
        <f t="shared" si="4"/>
        <v/>
      </c>
      <c r="J973" s="59" t="str">
        <f t="shared" si="5"/>
        <v/>
      </c>
      <c r="K973" s="69" t="str">
        <f t="shared" si="6"/>
        <v/>
      </c>
      <c r="L973" s="60" t="str">
        <f t="shared" si="7"/>
        <v/>
      </c>
      <c r="M973" s="61" t="str">
        <f>IFERROR(__xludf.DUMMYFUNCTION("IFS(AND(COUNTA(C973:C1350)=0,COUNTA(Q973:Q1350)=0),"""",OR(AND(K973&gt;=1000000000,OR(Y973&gt;=1000000000,COUNTA(Q973:Q1350)=0)),OR(Y973&gt;=1000000000,AND(COUNTA(C973:C1350)=0,P$3=TRUE))),
ROUNDDOWN((AB$1-AC$1)*MAX(INDEX(T$4:T1350,MATCH(LARGE(FILTER(Y$4:Y1350,Y$4"&amp;":Y1350&lt;1000000000),1),Y$4:Y1350)),INDEX(F$4:F1350,MATCH(LARGE(FILTER(K$4:K1350,K$4:K1350&lt;1000000000),1),K$4:K1350)))),AND(K973&lt;1000000000,COUNTA(C973:C1350)&gt;0,P$3=FALSE),
ROUNDDOWN(INDEX(Y$4:Y1350,MATCH(LARGE(FILTER(W$4:W1350,W$4:W1350&lt;=I973),1),W$4:W1350"&amp;"))+(I973-LARGE(FILTER(W$4:W1350,W$4:W1350&lt;=I973),1))*INDEX(T$4:T1350,MATCH(LARGE(FILTER(W$4:W1350,W$4:W1350&lt;=I973),1),W$4:W1350))-K973),1,
ROUNDDOWN(Y973-INDEX(K$4:K1350,MATCH(LARGE(FILTER(I$4:I1350,I$4:I1350&lt;=W973),1),I$4:I1350))-(W973-LARGE(FILTER(I$4:I"&amp;"1350,I$4:I1350&lt;=W973),1))*INDEX(F$4:F1350,MATCH(LARGE(FILTER(I$4:I1350,I$4:I1350&lt;=W973),1),I$4:I1350))))"),"")</f>
        <v/>
      </c>
      <c r="N973" s="60" t="str">
        <f t="shared" si="8"/>
        <v/>
      </c>
      <c r="O973" s="61" t="str">
        <f t="shared" si="9"/>
        <v/>
      </c>
      <c r="P973" s="56" t="str">
        <f t="shared" si="10"/>
        <v/>
      </c>
      <c r="Q973" s="62"/>
      <c r="R973" s="10" t="str">
        <f>IFERROR(__xludf.DUMMYFUNCTION("IF(COUNTA(Q973:Q1350)=0,"""",IF(ISBLANK(Q973),FALSE,IF(NOT(COUNTIF($AA$24:$AA$34,SUBSTITUTE(Q973,""Sell_"",""""))),1,IF(REGEXMATCH(Q973,""Sell_""),IF(COUNTIF(Q$4:Q973,SUBSTITUTE(Q973,""Sell_"",""""))-COUNTIF(Q$4:Q972,Q973)&lt;1,1),FALSE))))"),"")</f>
        <v/>
      </c>
      <c r="S973" s="59" t="str">
        <f t="array" ref="S973">IF(COUNTA(Q973:Q1350)=0,"",SUM((COUNTIF(Q$4:Q973,Upgrades!$B$3:$B$13)-COUNTIF(Q$4:Q973,"Sell_"&amp;Upgrades!$B$3:$B$13))*Upgrades!$D$3:$D$13))</f>
        <v/>
      </c>
      <c r="T973" s="66" t="str">
        <f>IFERROR(__xludf.DUMMYFUNCTION("IF(COUNTA(Q973:Q1350)=0,"""",IF(REGEXMATCH(INDEX(FILTER(Q$4:Q973,Q$4:Q973&lt;&gt;""""),ROWS(FILTER(Q$4:Q973,Q$4:Q973&lt;&gt;""""))),""^Sell_""),INDEX(FILTER(T$4:T972,Q$4:Q972&lt;&gt;""""),ROWS(FILTER(Q$4:Q972,Q$4:Q972&lt;&gt;""""))),$AD$5+S973))"),"")</f>
        <v/>
      </c>
      <c r="U973" s="10" t="str">
        <f>IFERROR(__xludf.DUMMYFUNCTION("IF(COUNTA(Q973:Q1350)=0,"""",IF(Q973="""",0,IF(REGEXMATCH(Q973,""^Sell_""),-ROUNDDOWN(ROUNDUP(INDEX(Upgrades!$C$3:$C$13,MATCH(SUBSTITUTE(Q973,""Sell_"",""""),Upgrades!$B$3:$B$13,0))*1.15^(COUNTIF(Q$4:Q972,SUBSTITUTE(Q973,""Sell_"",""""))-COUNTIF(Q$4:Q972,"&amp;"""Sell_""&amp;SUBSTITUTE(Q973,""Sell_"",""""))))/2),ROUNDUP(INDEX(Upgrades!$C$3:$C$13,MATCH(Q973,Upgrades!$B$3:$B$13,0))*1.15^(COUNTIF(Q$4:Q972,Q973)-COUNTIF(Q$4:Q972,""Sell_""&amp;Q973))))))"),"")</f>
        <v/>
      </c>
      <c r="V973" s="10" t="str">
        <f t="shared" si="11"/>
        <v/>
      </c>
      <c r="W973" s="68" t="str">
        <f t="shared" si="12"/>
        <v/>
      </c>
      <c r="X973" s="59" t="str">
        <f t="shared" si="13"/>
        <v/>
      </c>
      <c r="Y973" s="69" t="str">
        <f t="shared" si="14"/>
        <v/>
      </c>
      <c r="Z973" s="11"/>
    </row>
    <row r="974">
      <c r="A974" s="8"/>
      <c r="B974" s="56" t="str">
        <f t="shared" si="2"/>
        <v/>
      </c>
      <c r="C974" s="57"/>
      <c r="D974" s="10" t="str">
        <f>IFERROR(__xludf.DUMMYFUNCTION("IF(COUNTA(C974:C1350)=0,"""",IF(ISBLANK(C974),FALSE,IF(NOT(COUNTIF($AA$24:$AA$34,SUBSTITUTE(C974,""Sell_"",""""))),1,IF(REGEXMATCH(C974,""Sell_""),IF(COUNTIF(C$4:C974,SUBSTITUTE(C974,""Sell_"",""""))-COUNTIF(C$4:C973,C974)&lt;1,1),FALSE))))"),"")</f>
        <v/>
      </c>
      <c r="E974" s="59" t="str">
        <f t="array" ref="E974">IF(COUNTA(C974:C1350)=0,"",SUM((COUNTIF(C$4:C974,Upgrades!$B$3:$B$13)-COUNTIF(C$4:C974,"Sell_"&amp;Upgrades!$B$3:$B$13))*Upgrades!$D$3:$D$13))</f>
        <v/>
      </c>
      <c r="F974" s="66" t="str">
        <f>IFERROR(__xludf.DUMMYFUNCTION("IF(COUNTA(C974:C1350)=0,"""",IF(REGEXMATCH(INDEX(FILTER(C$4:C974,C$4:C974&lt;&gt;""""),ROWS(FILTER(C$4:C974,C$4:C974&lt;&gt;""""))),""^Sell_""),INDEX(FILTER(F$4:F973,C$4:C973&lt;&gt;""""),ROWS(FILTER(C$4:C973,C$4:C973&lt;&gt;""""))),$AC$5+E974))"),"")</f>
        <v/>
      </c>
      <c r="G974" s="10" t="str">
        <f>IFERROR(__xludf.DUMMYFUNCTION("IF(COUNTA(C974:C1350)=0,"""",IF(C974="""",0,IF(REGEXMATCH(C974,""^Sell_""),-ROUNDDOWN(ROUNDUP(INDEX(Upgrades!$C$3:$C$13,MATCH(SUBSTITUTE(C974,""Sell_"",""""),Upgrades!$B$3:$B$13,0))*1.15^(COUNTIF(C$4:C973,SUBSTITUTE(C974,""Sell_"",""""))-COUNTIF(C$4:C973,"&amp;"""Sell_""&amp;SUBSTITUTE(C974,""Sell_"",""""))))/2),ROUNDUP(INDEX(Upgrades!$C$3:$C$13,MATCH(C974,Upgrades!$B$3:$B$13,0))*1.15^(COUNTIF(C$4:C973,C974)-COUNTIF(C$4:C973,""Sell_""&amp;C974))))))"),"")</f>
        <v/>
      </c>
      <c r="H974" s="10" t="str">
        <f t="shared" si="3"/>
        <v/>
      </c>
      <c r="I974" s="68" t="str">
        <f t="shared" si="4"/>
        <v/>
      </c>
      <c r="J974" s="59" t="str">
        <f t="shared" si="5"/>
        <v/>
      </c>
      <c r="K974" s="69" t="str">
        <f t="shared" si="6"/>
        <v/>
      </c>
      <c r="L974" s="60" t="str">
        <f t="shared" si="7"/>
        <v/>
      </c>
      <c r="M974" s="61" t="str">
        <f>IFERROR(__xludf.DUMMYFUNCTION("IFS(AND(COUNTA(C974:C1350)=0,COUNTA(Q974:Q1350)=0),"""",OR(AND(K974&gt;=1000000000,OR(Y974&gt;=1000000000,COUNTA(Q974:Q1350)=0)),OR(Y974&gt;=1000000000,AND(COUNTA(C974:C1350)=0,P$3=TRUE))),
ROUNDDOWN((AB$1-AC$1)*MAX(INDEX(T$4:T1350,MATCH(LARGE(FILTER(Y$4:Y1350,Y$4"&amp;":Y1350&lt;1000000000),1),Y$4:Y1350)),INDEX(F$4:F1350,MATCH(LARGE(FILTER(K$4:K1350,K$4:K1350&lt;1000000000),1),K$4:K1350)))),AND(K974&lt;1000000000,COUNTA(C974:C1350)&gt;0,P$3=FALSE),
ROUNDDOWN(INDEX(Y$4:Y1350,MATCH(LARGE(FILTER(W$4:W1350,W$4:W1350&lt;=I974),1),W$4:W1350"&amp;"))+(I974-LARGE(FILTER(W$4:W1350,W$4:W1350&lt;=I974),1))*INDEX(T$4:T1350,MATCH(LARGE(FILTER(W$4:W1350,W$4:W1350&lt;=I974),1),W$4:W1350))-K974),1,
ROUNDDOWN(Y974-INDEX(K$4:K1350,MATCH(LARGE(FILTER(I$4:I1350,I$4:I1350&lt;=W974),1),I$4:I1350))-(W974-LARGE(FILTER(I$4:I"&amp;"1350,I$4:I1350&lt;=W974),1))*INDEX(F$4:F1350,MATCH(LARGE(FILTER(I$4:I1350,I$4:I1350&lt;=W974),1),I$4:I1350))))"),"")</f>
        <v/>
      </c>
      <c r="N974" s="60" t="str">
        <f t="shared" si="8"/>
        <v/>
      </c>
      <c r="O974" s="61" t="str">
        <f t="shared" si="9"/>
        <v/>
      </c>
      <c r="P974" s="56" t="str">
        <f t="shared" si="10"/>
        <v/>
      </c>
      <c r="Q974" s="62"/>
      <c r="R974" s="10" t="str">
        <f>IFERROR(__xludf.DUMMYFUNCTION("IF(COUNTA(Q974:Q1350)=0,"""",IF(ISBLANK(Q974),FALSE,IF(NOT(COUNTIF($AA$24:$AA$34,SUBSTITUTE(Q974,""Sell_"",""""))),1,IF(REGEXMATCH(Q974,""Sell_""),IF(COUNTIF(Q$4:Q974,SUBSTITUTE(Q974,""Sell_"",""""))-COUNTIF(Q$4:Q973,Q974)&lt;1,1),FALSE))))"),"")</f>
        <v/>
      </c>
      <c r="S974" s="59" t="str">
        <f t="array" ref="S974">IF(COUNTA(Q974:Q1350)=0,"",SUM((COUNTIF(Q$4:Q974,Upgrades!$B$3:$B$13)-COUNTIF(Q$4:Q974,"Sell_"&amp;Upgrades!$B$3:$B$13))*Upgrades!$D$3:$D$13))</f>
        <v/>
      </c>
      <c r="T974" s="66" t="str">
        <f>IFERROR(__xludf.DUMMYFUNCTION("IF(COUNTA(Q974:Q1350)=0,"""",IF(REGEXMATCH(INDEX(FILTER(Q$4:Q974,Q$4:Q974&lt;&gt;""""),ROWS(FILTER(Q$4:Q974,Q$4:Q974&lt;&gt;""""))),""^Sell_""),INDEX(FILTER(T$4:T973,Q$4:Q973&lt;&gt;""""),ROWS(FILTER(Q$4:Q973,Q$4:Q973&lt;&gt;""""))),$AD$5+S974))"),"")</f>
        <v/>
      </c>
      <c r="U974" s="10" t="str">
        <f>IFERROR(__xludf.DUMMYFUNCTION("IF(COUNTA(Q974:Q1350)=0,"""",IF(Q974="""",0,IF(REGEXMATCH(Q974,""^Sell_""),-ROUNDDOWN(ROUNDUP(INDEX(Upgrades!$C$3:$C$13,MATCH(SUBSTITUTE(Q974,""Sell_"",""""),Upgrades!$B$3:$B$13,0))*1.15^(COUNTIF(Q$4:Q973,SUBSTITUTE(Q974,""Sell_"",""""))-COUNTIF(Q$4:Q973,"&amp;"""Sell_""&amp;SUBSTITUTE(Q974,""Sell_"",""""))))/2),ROUNDUP(INDEX(Upgrades!$C$3:$C$13,MATCH(Q974,Upgrades!$B$3:$B$13,0))*1.15^(COUNTIF(Q$4:Q973,Q974)-COUNTIF(Q$4:Q973,""Sell_""&amp;Q974))))))"),"")</f>
        <v/>
      </c>
      <c r="V974" s="10" t="str">
        <f t="shared" si="11"/>
        <v/>
      </c>
      <c r="W974" s="68" t="str">
        <f t="shared" si="12"/>
        <v/>
      </c>
      <c r="X974" s="59" t="str">
        <f t="shared" si="13"/>
        <v/>
      </c>
      <c r="Y974" s="69" t="str">
        <f t="shared" si="14"/>
        <v/>
      </c>
      <c r="Z974" s="11"/>
    </row>
    <row r="975">
      <c r="A975" s="8"/>
      <c r="B975" s="56" t="str">
        <f t="shared" si="2"/>
        <v/>
      </c>
      <c r="C975" s="57"/>
      <c r="D975" s="10" t="str">
        <f>IFERROR(__xludf.DUMMYFUNCTION("IF(COUNTA(C975:C1350)=0,"""",IF(ISBLANK(C975),FALSE,IF(NOT(COUNTIF($AA$24:$AA$34,SUBSTITUTE(C975,""Sell_"",""""))),1,IF(REGEXMATCH(C975,""Sell_""),IF(COUNTIF(C$4:C975,SUBSTITUTE(C975,""Sell_"",""""))-COUNTIF(C$4:C974,C975)&lt;1,1),FALSE))))"),"")</f>
        <v/>
      </c>
      <c r="E975" s="59" t="str">
        <f t="array" ref="E975">IF(COUNTA(C975:C1350)=0,"",SUM((COUNTIF(C$4:C975,Upgrades!$B$3:$B$13)-COUNTIF(C$4:C975,"Sell_"&amp;Upgrades!$B$3:$B$13))*Upgrades!$D$3:$D$13))</f>
        <v/>
      </c>
      <c r="F975" s="66" t="str">
        <f>IFERROR(__xludf.DUMMYFUNCTION("IF(COUNTA(C975:C1350)=0,"""",IF(REGEXMATCH(INDEX(FILTER(C$4:C975,C$4:C975&lt;&gt;""""),ROWS(FILTER(C$4:C975,C$4:C975&lt;&gt;""""))),""^Sell_""),INDEX(FILTER(F$4:F974,C$4:C974&lt;&gt;""""),ROWS(FILTER(C$4:C974,C$4:C974&lt;&gt;""""))),$AC$5+E975))"),"")</f>
        <v/>
      </c>
      <c r="G975" s="10" t="str">
        <f>IFERROR(__xludf.DUMMYFUNCTION("IF(COUNTA(C975:C1350)=0,"""",IF(C975="""",0,IF(REGEXMATCH(C975,""^Sell_""),-ROUNDDOWN(ROUNDUP(INDEX(Upgrades!$C$3:$C$13,MATCH(SUBSTITUTE(C975,""Sell_"",""""),Upgrades!$B$3:$B$13,0))*1.15^(COUNTIF(C$4:C974,SUBSTITUTE(C975,""Sell_"",""""))-COUNTIF(C$4:C974,"&amp;"""Sell_""&amp;SUBSTITUTE(C975,""Sell_"",""""))))/2),ROUNDUP(INDEX(Upgrades!$C$3:$C$13,MATCH(C975,Upgrades!$B$3:$B$13,0))*1.15^(COUNTIF(C$4:C974,C975)-COUNTIF(C$4:C974,""Sell_""&amp;C975))))))"),"")</f>
        <v/>
      </c>
      <c r="H975" s="10" t="str">
        <f t="shared" si="3"/>
        <v/>
      </c>
      <c r="I975" s="68" t="str">
        <f t="shared" si="4"/>
        <v/>
      </c>
      <c r="J975" s="59" t="str">
        <f t="shared" si="5"/>
        <v/>
      </c>
      <c r="K975" s="69" t="str">
        <f t="shared" si="6"/>
        <v/>
      </c>
      <c r="L975" s="60" t="str">
        <f t="shared" si="7"/>
        <v/>
      </c>
      <c r="M975" s="61" t="str">
        <f>IFERROR(__xludf.DUMMYFUNCTION("IFS(AND(COUNTA(C975:C1350)=0,COUNTA(Q975:Q1350)=0),"""",OR(AND(K975&gt;=1000000000,OR(Y975&gt;=1000000000,COUNTA(Q975:Q1350)=0)),OR(Y975&gt;=1000000000,AND(COUNTA(C975:C1350)=0,P$3=TRUE))),
ROUNDDOWN((AB$1-AC$1)*MAX(INDEX(T$4:T1350,MATCH(LARGE(FILTER(Y$4:Y1350,Y$4"&amp;":Y1350&lt;1000000000),1),Y$4:Y1350)),INDEX(F$4:F1350,MATCH(LARGE(FILTER(K$4:K1350,K$4:K1350&lt;1000000000),1),K$4:K1350)))),AND(K975&lt;1000000000,COUNTA(C975:C1350)&gt;0,P$3=FALSE),
ROUNDDOWN(INDEX(Y$4:Y1350,MATCH(LARGE(FILTER(W$4:W1350,W$4:W1350&lt;=I975),1),W$4:W1350"&amp;"))+(I975-LARGE(FILTER(W$4:W1350,W$4:W1350&lt;=I975),1))*INDEX(T$4:T1350,MATCH(LARGE(FILTER(W$4:W1350,W$4:W1350&lt;=I975),1),W$4:W1350))-K975),1,
ROUNDDOWN(Y975-INDEX(K$4:K1350,MATCH(LARGE(FILTER(I$4:I1350,I$4:I1350&lt;=W975),1),I$4:I1350))-(W975-LARGE(FILTER(I$4:I"&amp;"1350,I$4:I1350&lt;=W975),1))*INDEX(F$4:F1350,MATCH(LARGE(FILTER(I$4:I1350,I$4:I1350&lt;=W975),1),I$4:I1350))))"),"")</f>
        <v/>
      </c>
      <c r="N975" s="60" t="str">
        <f t="shared" si="8"/>
        <v/>
      </c>
      <c r="O975" s="61" t="str">
        <f t="shared" si="9"/>
        <v/>
      </c>
      <c r="P975" s="56" t="str">
        <f t="shared" si="10"/>
        <v/>
      </c>
      <c r="Q975" s="62"/>
      <c r="R975" s="10" t="str">
        <f>IFERROR(__xludf.DUMMYFUNCTION("IF(COUNTA(Q975:Q1350)=0,"""",IF(ISBLANK(Q975),FALSE,IF(NOT(COUNTIF($AA$24:$AA$34,SUBSTITUTE(Q975,""Sell_"",""""))),1,IF(REGEXMATCH(Q975,""Sell_""),IF(COUNTIF(Q$4:Q975,SUBSTITUTE(Q975,""Sell_"",""""))-COUNTIF(Q$4:Q974,Q975)&lt;1,1),FALSE))))"),"")</f>
        <v/>
      </c>
      <c r="S975" s="59" t="str">
        <f t="array" ref="S975">IF(COUNTA(Q975:Q1350)=0,"",SUM((COUNTIF(Q$4:Q975,Upgrades!$B$3:$B$13)-COUNTIF(Q$4:Q975,"Sell_"&amp;Upgrades!$B$3:$B$13))*Upgrades!$D$3:$D$13))</f>
        <v/>
      </c>
      <c r="T975" s="66" t="str">
        <f>IFERROR(__xludf.DUMMYFUNCTION("IF(COUNTA(Q975:Q1350)=0,"""",IF(REGEXMATCH(INDEX(FILTER(Q$4:Q975,Q$4:Q975&lt;&gt;""""),ROWS(FILTER(Q$4:Q975,Q$4:Q975&lt;&gt;""""))),""^Sell_""),INDEX(FILTER(T$4:T974,Q$4:Q974&lt;&gt;""""),ROWS(FILTER(Q$4:Q974,Q$4:Q974&lt;&gt;""""))),$AD$5+S975))"),"")</f>
        <v/>
      </c>
      <c r="U975" s="10" t="str">
        <f>IFERROR(__xludf.DUMMYFUNCTION("IF(COUNTA(Q975:Q1350)=0,"""",IF(Q975="""",0,IF(REGEXMATCH(Q975,""^Sell_""),-ROUNDDOWN(ROUNDUP(INDEX(Upgrades!$C$3:$C$13,MATCH(SUBSTITUTE(Q975,""Sell_"",""""),Upgrades!$B$3:$B$13,0))*1.15^(COUNTIF(Q$4:Q974,SUBSTITUTE(Q975,""Sell_"",""""))-COUNTIF(Q$4:Q974,"&amp;"""Sell_""&amp;SUBSTITUTE(Q975,""Sell_"",""""))))/2),ROUNDUP(INDEX(Upgrades!$C$3:$C$13,MATCH(Q975,Upgrades!$B$3:$B$13,0))*1.15^(COUNTIF(Q$4:Q974,Q975)-COUNTIF(Q$4:Q974,""Sell_""&amp;Q975))))))"),"")</f>
        <v/>
      </c>
      <c r="V975" s="10" t="str">
        <f t="shared" si="11"/>
        <v/>
      </c>
      <c r="W975" s="68" t="str">
        <f t="shared" si="12"/>
        <v/>
      </c>
      <c r="X975" s="59" t="str">
        <f t="shared" si="13"/>
        <v/>
      </c>
      <c r="Y975" s="69" t="str">
        <f t="shared" si="14"/>
        <v/>
      </c>
      <c r="Z975" s="11"/>
    </row>
    <row r="976">
      <c r="A976" s="8"/>
      <c r="B976" s="56" t="str">
        <f t="shared" si="2"/>
        <v/>
      </c>
      <c r="C976" s="57"/>
      <c r="D976" s="10" t="str">
        <f>IFERROR(__xludf.DUMMYFUNCTION("IF(COUNTA(C976:C1350)=0,"""",IF(ISBLANK(C976),FALSE,IF(NOT(COUNTIF($AA$24:$AA$34,SUBSTITUTE(C976,""Sell_"",""""))),1,IF(REGEXMATCH(C976,""Sell_""),IF(COUNTIF(C$4:C976,SUBSTITUTE(C976,""Sell_"",""""))-COUNTIF(C$4:C975,C976)&lt;1,1),FALSE))))"),"")</f>
        <v/>
      </c>
      <c r="E976" s="59" t="str">
        <f t="array" ref="E976">IF(COUNTA(C976:C1350)=0,"",SUM((COUNTIF(C$4:C976,Upgrades!$B$3:$B$13)-COUNTIF(C$4:C976,"Sell_"&amp;Upgrades!$B$3:$B$13))*Upgrades!$D$3:$D$13))</f>
        <v/>
      </c>
      <c r="F976" s="66" t="str">
        <f>IFERROR(__xludf.DUMMYFUNCTION("IF(COUNTA(C976:C1350)=0,"""",IF(REGEXMATCH(INDEX(FILTER(C$4:C976,C$4:C976&lt;&gt;""""),ROWS(FILTER(C$4:C976,C$4:C976&lt;&gt;""""))),""^Sell_""),INDEX(FILTER(F$4:F975,C$4:C975&lt;&gt;""""),ROWS(FILTER(C$4:C975,C$4:C975&lt;&gt;""""))),$AC$5+E976))"),"")</f>
        <v/>
      </c>
      <c r="G976" s="10" t="str">
        <f>IFERROR(__xludf.DUMMYFUNCTION("IF(COUNTA(C976:C1350)=0,"""",IF(C976="""",0,IF(REGEXMATCH(C976,""^Sell_""),-ROUNDDOWN(ROUNDUP(INDEX(Upgrades!$C$3:$C$13,MATCH(SUBSTITUTE(C976,""Sell_"",""""),Upgrades!$B$3:$B$13,0))*1.15^(COUNTIF(C$4:C975,SUBSTITUTE(C976,""Sell_"",""""))-COUNTIF(C$4:C975,"&amp;"""Sell_""&amp;SUBSTITUTE(C976,""Sell_"",""""))))/2),ROUNDUP(INDEX(Upgrades!$C$3:$C$13,MATCH(C976,Upgrades!$B$3:$B$13,0))*1.15^(COUNTIF(C$4:C975,C976)-COUNTIF(C$4:C975,""Sell_""&amp;C976))))))"),"")</f>
        <v/>
      </c>
      <c r="H976" s="10" t="str">
        <f t="shared" si="3"/>
        <v/>
      </c>
      <c r="I976" s="68" t="str">
        <f t="shared" si="4"/>
        <v/>
      </c>
      <c r="J976" s="59" t="str">
        <f t="shared" si="5"/>
        <v/>
      </c>
      <c r="K976" s="69" t="str">
        <f t="shared" si="6"/>
        <v/>
      </c>
      <c r="L976" s="60" t="str">
        <f t="shared" si="7"/>
        <v/>
      </c>
      <c r="M976" s="61" t="str">
        <f>IFERROR(__xludf.DUMMYFUNCTION("IFS(AND(COUNTA(C976:C1350)=0,COUNTA(Q976:Q1350)=0),"""",OR(AND(K976&gt;=1000000000,OR(Y976&gt;=1000000000,COUNTA(Q976:Q1350)=0)),OR(Y976&gt;=1000000000,AND(COUNTA(C976:C1350)=0,P$3=TRUE))),
ROUNDDOWN((AB$1-AC$1)*MAX(INDEX(T$4:T1350,MATCH(LARGE(FILTER(Y$4:Y1350,Y$4"&amp;":Y1350&lt;1000000000),1),Y$4:Y1350)),INDEX(F$4:F1350,MATCH(LARGE(FILTER(K$4:K1350,K$4:K1350&lt;1000000000),1),K$4:K1350)))),AND(K976&lt;1000000000,COUNTA(C976:C1350)&gt;0,P$3=FALSE),
ROUNDDOWN(INDEX(Y$4:Y1350,MATCH(LARGE(FILTER(W$4:W1350,W$4:W1350&lt;=I976),1),W$4:W1350"&amp;"))+(I976-LARGE(FILTER(W$4:W1350,W$4:W1350&lt;=I976),1))*INDEX(T$4:T1350,MATCH(LARGE(FILTER(W$4:W1350,W$4:W1350&lt;=I976),1),W$4:W1350))-K976),1,
ROUNDDOWN(Y976-INDEX(K$4:K1350,MATCH(LARGE(FILTER(I$4:I1350,I$4:I1350&lt;=W976),1),I$4:I1350))-(W976-LARGE(FILTER(I$4:I"&amp;"1350,I$4:I1350&lt;=W976),1))*INDEX(F$4:F1350,MATCH(LARGE(FILTER(I$4:I1350,I$4:I1350&lt;=W976),1),I$4:I1350))))"),"")</f>
        <v/>
      </c>
      <c r="N976" s="60" t="str">
        <f t="shared" si="8"/>
        <v/>
      </c>
      <c r="O976" s="61" t="str">
        <f t="shared" si="9"/>
        <v/>
      </c>
      <c r="P976" s="56" t="str">
        <f t="shared" si="10"/>
        <v/>
      </c>
      <c r="Q976" s="62"/>
      <c r="R976" s="10" t="str">
        <f>IFERROR(__xludf.DUMMYFUNCTION("IF(COUNTA(Q976:Q1350)=0,"""",IF(ISBLANK(Q976),FALSE,IF(NOT(COUNTIF($AA$24:$AA$34,SUBSTITUTE(Q976,""Sell_"",""""))),1,IF(REGEXMATCH(Q976,""Sell_""),IF(COUNTIF(Q$4:Q976,SUBSTITUTE(Q976,""Sell_"",""""))-COUNTIF(Q$4:Q975,Q976)&lt;1,1),FALSE))))"),"")</f>
        <v/>
      </c>
      <c r="S976" s="59" t="str">
        <f t="array" ref="S976">IF(COUNTA(Q976:Q1350)=0,"",SUM((COUNTIF(Q$4:Q976,Upgrades!$B$3:$B$13)-COUNTIF(Q$4:Q976,"Sell_"&amp;Upgrades!$B$3:$B$13))*Upgrades!$D$3:$D$13))</f>
        <v/>
      </c>
      <c r="T976" s="66" t="str">
        <f>IFERROR(__xludf.DUMMYFUNCTION("IF(COUNTA(Q976:Q1350)=0,"""",IF(REGEXMATCH(INDEX(FILTER(Q$4:Q976,Q$4:Q976&lt;&gt;""""),ROWS(FILTER(Q$4:Q976,Q$4:Q976&lt;&gt;""""))),""^Sell_""),INDEX(FILTER(T$4:T975,Q$4:Q975&lt;&gt;""""),ROWS(FILTER(Q$4:Q975,Q$4:Q975&lt;&gt;""""))),$AD$5+S976))"),"")</f>
        <v/>
      </c>
      <c r="U976" s="10" t="str">
        <f>IFERROR(__xludf.DUMMYFUNCTION("IF(COUNTA(Q976:Q1350)=0,"""",IF(Q976="""",0,IF(REGEXMATCH(Q976,""^Sell_""),-ROUNDDOWN(ROUNDUP(INDEX(Upgrades!$C$3:$C$13,MATCH(SUBSTITUTE(Q976,""Sell_"",""""),Upgrades!$B$3:$B$13,0))*1.15^(COUNTIF(Q$4:Q975,SUBSTITUTE(Q976,""Sell_"",""""))-COUNTIF(Q$4:Q975,"&amp;"""Sell_""&amp;SUBSTITUTE(Q976,""Sell_"",""""))))/2),ROUNDUP(INDEX(Upgrades!$C$3:$C$13,MATCH(Q976,Upgrades!$B$3:$B$13,0))*1.15^(COUNTIF(Q$4:Q975,Q976)-COUNTIF(Q$4:Q975,""Sell_""&amp;Q976))))))"),"")</f>
        <v/>
      </c>
      <c r="V976" s="10" t="str">
        <f t="shared" si="11"/>
        <v/>
      </c>
      <c r="W976" s="68" t="str">
        <f t="shared" si="12"/>
        <v/>
      </c>
      <c r="X976" s="59" t="str">
        <f t="shared" si="13"/>
        <v/>
      </c>
      <c r="Y976" s="69" t="str">
        <f t="shared" si="14"/>
        <v/>
      </c>
      <c r="Z976" s="11"/>
    </row>
    <row r="977">
      <c r="A977" s="8"/>
      <c r="B977" s="56" t="str">
        <f t="shared" si="2"/>
        <v/>
      </c>
      <c r="C977" s="57"/>
      <c r="D977" s="10" t="str">
        <f>IFERROR(__xludf.DUMMYFUNCTION("IF(COUNTA(C977:C1350)=0,"""",IF(ISBLANK(C977),FALSE,IF(NOT(COUNTIF($AA$24:$AA$34,SUBSTITUTE(C977,""Sell_"",""""))),1,IF(REGEXMATCH(C977,""Sell_""),IF(COUNTIF(C$4:C977,SUBSTITUTE(C977,""Sell_"",""""))-COUNTIF(C$4:C976,C977)&lt;1,1),FALSE))))"),"")</f>
        <v/>
      </c>
      <c r="E977" s="59" t="str">
        <f t="array" ref="E977">IF(COUNTA(C977:C1350)=0,"",SUM((COUNTIF(C$4:C977,Upgrades!$B$3:$B$13)-COUNTIF(C$4:C977,"Sell_"&amp;Upgrades!$B$3:$B$13))*Upgrades!$D$3:$D$13))</f>
        <v/>
      </c>
      <c r="F977" s="66" t="str">
        <f>IFERROR(__xludf.DUMMYFUNCTION("IF(COUNTA(C977:C1350)=0,"""",IF(REGEXMATCH(INDEX(FILTER(C$4:C977,C$4:C977&lt;&gt;""""),ROWS(FILTER(C$4:C977,C$4:C977&lt;&gt;""""))),""^Sell_""),INDEX(FILTER(F$4:F976,C$4:C976&lt;&gt;""""),ROWS(FILTER(C$4:C976,C$4:C976&lt;&gt;""""))),$AC$5+E977))"),"")</f>
        <v/>
      </c>
      <c r="G977" s="10" t="str">
        <f>IFERROR(__xludf.DUMMYFUNCTION("IF(COUNTA(C977:C1350)=0,"""",IF(C977="""",0,IF(REGEXMATCH(C977,""^Sell_""),-ROUNDDOWN(ROUNDUP(INDEX(Upgrades!$C$3:$C$13,MATCH(SUBSTITUTE(C977,""Sell_"",""""),Upgrades!$B$3:$B$13,0))*1.15^(COUNTIF(C$4:C976,SUBSTITUTE(C977,""Sell_"",""""))-COUNTIF(C$4:C976,"&amp;"""Sell_""&amp;SUBSTITUTE(C977,""Sell_"",""""))))/2),ROUNDUP(INDEX(Upgrades!$C$3:$C$13,MATCH(C977,Upgrades!$B$3:$B$13,0))*1.15^(COUNTIF(C$4:C976,C977)-COUNTIF(C$4:C976,""Sell_""&amp;C977))))))"),"")</f>
        <v/>
      </c>
      <c r="H977" s="10" t="str">
        <f t="shared" si="3"/>
        <v/>
      </c>
      <c r="I977" s="68" t="str">
        <f t="shared" si="4"/>
        <v/>
      </c>
      <c r="J977" s="59" t="str">
        <f t="shared" si="5"/>
        <v/>
      </c>
      <c r="K977" s="69" t="str">
        <f t="shared" si="6"/>
        <v/>
      </c>
      <c r="L977" s="60" t="str">
        <f t="shared" si="7"/>
        <v/>
      </c>
      <c r="M977" s="61" t="str">
        <f>IFERROR(__xludf.DUMMYFUNCTION("IFS(AND(COUNTA(C977:C1350)=0,COUNTA(Q977:Q1350)=0),"""",OR(AND(K977&gt;=1000000000,OR(Y977&gt;=1000000000,COUNTA(Q977:Q1350)=0)),OR(Y977&gt;=1000000000,AND(COUNTA(C977:C1350)=0,P$3=TRUE))),
ROUNDDOWN((AB$1-AC$1)*MAX(INDEX(T$4:T1350,MATCH(LARGE(FILTER(Y$4:Y1350,Y$4"&amp;":Y1350&lt;1000000000),1),Y$4:Y1350)),INDEX(F$4:F1350,MATCH(LARGE(FILTER(K$4:K1350,K$4:K1350&lt;1000000000),1),K$4:K1350)))),AND(K977&lt;1000000000,COUNTA(C977:C1350)&gt;0,P$3=FALSE),
ROUNDDOWN(INDEX(Y$4:Y1350,MATCH(LARGE(FILTER(W$4:W1350,W$4:W1350&lt;=I977),1),W$4:W1350"&amp;"))+(I977-LARGE(FILTER(W$4:W1350,W$4:W1350&lt;=I977),1))*INDEX(T$4:T1350,MATCH(LARGE(FILTER(W$4:W1350,W$4:W1350&lt;=I977),1),W$4:W1350))-K977),1,
ROUNDDOWN(Y977-INDEX(K$4:K1350,MATCH(LARGE(FILTER(I$4:I1350,I$4:I1350&lt;=W977),1),I$4:I1350))-(W977-LARGE(FILTER(I$4:I"&amp;"1350,I$4:I1350&lt;=W977),1))*INDEX(F$4:F1350,MATCH(LARGE(FILTER(I$4:I1350,I$4:I1350&lt;=W977),1),I$4:I1350))))"),"")</f>
        <v/>
      </c>
      <c r="N977" s="60" t="str">
        <f t="shared" si="8"/>
        <v/>
      </c>
      <c r="O977" s="61" t="str">
        <f t="shared" si="9"/>
        <v/>
      </c>
      <c r="P977" s="56" t="str">
        <f t="shared" si="10"/>
        <v/>
      </c>
      <c r="Q977" s="62"/>
      <c r="R977" s="10" t="str">
        <f>IFERROR(__xludf.DUMMYFUNCTION("IF(COUNTA(Q977:Q1350)=0,"""",IF(ISBLANK(Q977),FALSE,IF(NOT(COUNTIF($AA$24:$AA$34,SUBSTITUTE(Q977,""Sell_"",""""))),1,IF(REGEXMATCH(Q977,""Sell_""),IF(COUNTIF(Q$4:Q977,SUBSTITUTE(Q977,""Sell_"",""""))-COUNTIF(Q$4:Q976,Q977)&lt;1,1),FALSE))))"),"")</f>
        <v/>
      </c>
      <c r="S977" s="59" t="str">
        <f t="array" ref="S977">IF(COUNTA(Q977:Q1350)=0,"",SUM((COUNTIF(Q$4:Q977,Upgrades!$B$3:$B$13)-COUNTIF(Q$4:Q977,"Sell_"&amp;Upgrades!$B$3:$B$13))*Upgrades!$D$3:$D$13))</f>
        <v/>
      </c>
      <c r="T977" s="66" t="str">
        <f>IFERROR(__xludf.DUMMYFUNCTION("IF(COUNTA(Q977:Q1350)=0,"""",IF(REGEXMATCH(INDEX(FILTER(Q$4:Q977,Q$4:Q977&lt;&gt;""""),ROWS(FILTER(Q$4:Q977,Q$4:Q977&lt;&gt;""""))),""^Sell_""),INDEX(FILTER(T$4:T976,Q$4:Q976&lt;&gt;""""),ROWS(FILTER(Q$4:Q976,Q$4:Q976&lt;&gt;""""))),$AD$5+S977))"),"")</f>
        <v/>
      </c>
      <c r="U977" s="10" t="str">
        <f>IFERROR(__xludf.DUMMYFUNCTION("IF(COUNTA(Q977:Q1350)=0,"""",IF(Q977="""",0,IF(REGEXMATCH(Q977,""^Sell_""),-ROUNDDOWN(ROUNDUP(INDEX(Upgrades!$C$3:$C$13,MATCH(SUBSTITUTE(Q977,""Sell_"",""""),Upgrades!$B$3:$B$13,0))*1.15^(COUNTIF(Q$4:Q976,SUBSTITUTE(Q977,""Sell_"",""""))-COUNTIF(Q$4:Q976,"&amp;"""Sell_""&amp;SUBSTITUTE(Q977,""Sell_"",""""))))/2),ROUNDUP(INDEX(Upgrades!$C$3:$C$13,MATCH(Q977,Upgrades!$B$3:$B$13,0))*1.15^(COUNTIF(Q$4:Q976,Q977)-COUNTIF(Q$4:Q976,""Sell_""&amp;Q977))))))"),"")</f>
        <v/>
      </c>
      <c r="V977" s="10" t="str">
        <f t="shared" si="11"/>
        <v/>
      </c>
      <c r="W977" s="68" t="str">
        <f t="shared" si="12"/>
        <v/>
      </c>
      <c r="X977" s="59" t="str">
        <f t="shared" si="13"/>
        <v/>
      </c>
      <c r="Y977" s="69" t="str">
        <f t="shared" si="14"/>
        <v/>
      </c>
      <c r="Z977" s="11"/>
    </row>
    <row r="978">
      <c r="A978" s="8"/>
      <c r="B978" s="56" t="str">
        <f t="shared" si="2"/>
        <v/>
      </c>
      <c r="C978" s="57"/>
      <c r="D978" s="10" t="str">
        <f>IFERROR(__xludf.DUMMYFUNCTION("IF(COUNTA(C978:C1350)=0,"""",IF(ISBLANK(C978),FALSE,IF(NOT(COUNTIF($AA$24:$AA$34,SUBSTITUTE(C978,""Sell_"",""""))),1,IF(REGEXMATCH(C978,""Sell_""),IF(COUNTIF(C$4:C978,SUBSTITUTE(C978,""Sell_"",""""))-COUNTIF(C$4:C977,C978)&lt;1,1),FALSE))))"),"")</f>
        <v/>
      </c>
      <c r="E978" s="59" t="str">
        <f t="array" ref="E978">IF(COUNTA(C978:C1350)=0,"",SUM((COUNTIF(C$4:C978,Upgrades!$B$3:$B$13)-COUNTIF(C$4:C978,"Sell_"&amp;Upgrades!$B$3:$B$13))*Upgrades!$D$3:$D$13))</f>
        <v/>
      </c>
      <c r="F978" s="66" t="str">
        <f>IFERROR(__xludf.DUMMYFUNCTION("IF(COUNTA(C978:C1350)=0,"""",IF(REGEXMATCH(INDEX(FILTER(C$4:C978,C$4:C978&lt;&gt;""""),ROWS(FILTER(C$4:C978,C$4:C978&lt;&gt;""""))),""^Sell_""),INDEX(FILTER(F$4:F977,C$4:C977&lt;&gt;""""),ROWS(FILTER(C$4:C977,C$4:C977&lt;&gt;""""))),$AC$5+E978))"),"")</f>
        <v/>
      </c>
      <c r="G978" s="10" t="str">
        <f>IFERROR(__xludf.DUMMYFUNCTION("IF(COUNTA(C978:C1350)=0,"""",IF(C978="""",0,IF(REGEXMATCH(C978,""^Sell_""),-ROUNDDOWN(ROUNDUP(INDEX(Upgrades!$C$3:$C$13,MATCH(SUBSTITUTE(C978,""Sell_"",""""),Upgrades!$B$3:$B$13,0))*1.15^(COUNTIF(C$4:C977,SUBSTITUTE(C978,""Sell_"",""""))-COUNTIF(C$4:C977,"&amp;"""Sell_""&amp;SUBSTITUTE(C978,""Sell_"",""""))))/2),ROUNDUP(INDEX(Upgrades!$C$3:$C$13,MATCH(C978,Upgrades!$B$3:$B$13,0))*1.15^(COUNTIF(C$4:C977,C978)-COUNTIF(C$4:C977,""Sell_""&amp;C978))))))"),"")</f>
        <v/>
      </c>
      <c r="H978" s="10" t="str">
        <f t="shared" si="3"/>
        <v/>
      </c>
      <c r="I978" s="68" t="str">
        <f t="shared" si="4"/>
        <v/>
      </c>
      <c r="J978" s="59" t="str">
        <f t="shared" si="5"/>
        <v/>
      </c>
      <c r="K978" s="69" t="str">
        <f t="shared" si="6"/>
        <v/>
      </c>
      <c r="L978" s="60" t="str">
        <f t="shared" si="7"/>
        <v/>
      </c>
      <c r="M978" s="61" t="str">
        <f>IFERROR(__xludf.DUMMYFUNCTION("IFS(AND(COUNTA(C978:C1350)=0,COUNTA(Q978:Q1350)=0),"""",OR(AND(K978&gt;=1000000000,OR(Y978&gt;=1000000000,COUNTA(Q978:Q1350)=0)),OR(Y978&gt;=1000000000,AND(COUNTA(C978:C1350)=0,P$3=TRUE))),
ROUNDDOWN((AB$1-AC$1)*MAX(INDEX(T$4:T1350,MATCH(LARGE(FILTER(Y$4:Y1350,Y$4"&amp;":Y1350&lt;1000000000),1),Y$4:Y1350)),INDEX(F$4:F1350,MATCH(LARGE(FILTER(K$4:K1350,K$4:K1350&lt;1000000000),1),K$4:K1350)))),AND(K978&lt;1000000000,COUNTA(C978:C1350)&gt;0,P$3=FALSE),
ROUNDDOWN(INDEX(Y$4:Y1350,MATCH(LARGE(FILTER(W$4:W1350,W$4:W1350&lt;=I978),1),W$4:W1350"&amp;"))+(I978-LARGE(FILTER(W$4:W1350,W$4:W1350&lt;=I978),1))*INDEX(T$4:T1350,MATCH(LARGE(FILTER(W$4:W1350,W$4:W1350&lt;=I978),1),W$4:W1350))-K978),1,
ROUNDDOWN(Y978-INDEX(K$4:K1350,MATCH(LARGE(FILTER(I$4:I1350,I$4:I1350&lt;=W978),1),I$4:I1350))-(W978-LARGE(FILTER(I$4:I"&amp;"1350,I$4:I1350&lt;=W978),1))*INDEX(F$4:F1350,MATCH(LARGE(FILTER(I$4:I1350,I$4:I1350&lt;=W978),1),I$4:I1350))))"),"")</f>
        <v/>
      </c>
      <c r="N978" s="60" t="str">
        <f t="shared" si="8"/>
        <v/>
      </c>
      <c r="O978" s="61" t="str">
        <f t="shared" si="9"/>
        <v/>
      </c>
      <c r="P978" s="56" t="str">
        <f t="shared" si="10"/>
        <v/>
      </c>
      <c r="Q978" s="62"/>
      <c r="R978" s="10" t="str">
        <f>IFERROR(__xludf.DUMMYFUNCTION("IF(COUNTA(Q978:Q1350)=0,"""",IF(ISBLANK(Q978),FALSE,IF(NOT(COUNTIF($AA$24:$AA$34,SUBSTITUTE(Q978,""Sell_"",""""))),1,IF(REGEXMATCH(Q978,""Sell_""),IF(COUNTIF(Q$4:Q978,SUBSTITUTE(Q978,""Sell_"",""""))-COUNTIF(Q$4:Q977,Q978)&lt;1,1),FALSE))))"),"")</f>
        <v/>
      </c>
      <c r="S978" s="59" t="str">
        <f t="array" ref="S978">IF(COUNTA(Q978:Q1350)=0,"",SUM((COUNTIF(Q$4:Q978,Upgrades!$B$3:$B$13)-COUNTIF(Q$4:Q978,"Sell_"&amp;Upgrades!$B$3:$B$13))*Upgrades!$D$3:$D$13))</f>
        <v/>
      </c>
      <c r="T978" s="66" t="str">
        <f>IFERROR(__xludf.DUMMYFUNCTION("IF(COUNTA(Q978:Q1350)=0,"""",IF(REGEXMATCH(INDEX(FILTER(Q$4:Q978,Q$4:Q978&lt;&gt;""""),ROWS(FILTER(Q$4:Q978,Q$4:Q978&lt;&gt;""""))),""^Sell_""),INDEX(FILTER(T$4:T977,Q$4:Q977&lt;&gt;""""),ROWS(FILTER(Q$4:Q977,Q$4:Q977&lt;&gt;""""))),$AD$5+S978))"),"")</f>
        <v/>
      </c>
      <c r="U978" s="10" t="str">
        <f>IFERROR(__xludf.DUMMYFUNCTION("IF(COUNTA(Q978:Q1350)=0,"""",IF(Q978="""",0,IF(REGEXMATCH(Q978,""^Sell_""),-ROUNDDOWN(ROUNDUP(INDEX(Upgrades!$C$3:$C$13,MATCH(SUBSTITUTE(Q978,""Sell_"",""""),Upgrades!$B$3:$B$13,0))*1.15^(COUNTIF(Q$4:Q977,SUBSTITUTE(Q978,""Sell_"",""""))-COUNTIF(Q$4:Q977,"&amp;"""Sell_""&amp;SUBSTITUTE(Q978,""Sell_"",""""))))/2),ROUNDUP(INDEX(Upgrades!$C$3:$C$13,MATCH(Q978,Upgrades!$B$3:$B$13,0))*1.15^(COUNTIF(Q$4:Q977,Q978)-COUNTIF(Q$4:Q977,""Sell_""&amp;Q978))))))"),"")</f>
        <v/>
      </c>
      <c r="V978" s="10" t="str">
        <f t="shared" si="11"/>
        <v/>
      </c>
      <c r="W978" s="68" t="str">
        <f t="shared" si="12"/>
        <v/>
      </c>
      <c r="X978" s="59" t="str">
        <f t="shared" si="13"/>
        <v/>
      </c>
      <c r="Y978" s="69" t="str">
        <f t="shared" si="14"/>
        <v/>
      </c>
      <c r="Z978" s="11"/>
    </row>
    <row r="979">
      <c r="A979" s="8"/>
      <c r="B979" s="56" t="str">
        <f t="shared" si="2"/>
        <v/>
      </c>
      <c r="C979" s="57"/>
      <c r="D979" s="10" t="str">
        <f>IFERROR(__xludf.DUMMYFUNCTION("IF(COUNTA(C979:C1350)=0,"""",IF(ISBLANK(C979),FALSE,IF(NOT(COUNTIF($AA$24:$AA$34,SUBSTITUTE(C979,""Sell_"",""""))),1,IF(REGEXMATCH(C979,""Sell_""),IF(COUNTIF(C$4:C979,SUBSTITUTE(C979,""Sell_"",""""))-COUNTIF(C$4:C978,C979)&lt;1,1),FALSE))))"),"")</f>
        <v/>
      </c>
      <c r="E979" s="59" t="str">
        <f t="array" ref="E979">IF(COUNTA(C979:C1350)=0,"",SUM((COUNTIF(C$4:C979,Upgrades!$B$3:$B$13)-COUNTIF(C$4:C979,"Sell_"&amp;Upgrades!$B$3:$B$13))*Upgrades!$D$3:$D$13))</f>
        <v/>
      </c>
      <c r="F979" s="66" t="str">
        <f>IFERROR(__xludf.DUMMYFUNCTION("IF(COUNTA(C979:C1350)=0,"""",IF(REGEXMATCH(INDEX(FILTER(C$4:C979,C$4:C979&lt;&gt;""""),ROWS(FILTER(C$4:C979,C$4:C979&lt;&gt;""""))),""^Sell_""),INDEX(FILTER(F$4:F978,C$4:C978&lt;&gt;""""),ROWS(FILTER(C$4:C978,C$4:C978&lt;&gt;""""))),$AC$5+E979))"),"")</f>
        <v/>
      </c>
      <c r="G979" s="10" t="str">
        <f>IFERROR(__xludf.DUMMYFUNCTION("IF(COUNTA(C979:C1350)=0,"""",IF(C979="""",0,IF(REGEXMATCH(C979,""^Sell_""),-ROUNDDOWN(ROUNDUP(INDEX(Upgrades!$C$3:$C$13,MATCH(SUBSTITUTE(C979,""Sell_"",""""),Upgrades!$B$3:$B$13,0))*1.15^(COUNTIF(C$4:C978,SUBSTITUTE(C979,""Sell_"",""""))-COUNTIF(C$4:C978,"&amp;"""Sell_""&amp;SUBSTITUTE(C979,""Sell_"",""""))))/2),ROUNDUP(INDEX(Upgrades!$C$3:$C$13,MATCH(C979,Upgrades!$B$3:$B$13,0))*1.15^(COUNTIF(C$4:C978,C979)-COUNTIF(C$4:C978,""Sell_""&amp;C979))))))"),"")</f>
        <v/>
      </c>
      <c r="H979" s="10" t="str">
        <f t="shared" si="3"/>
        <v/>
      </c>
      <c r="I979" s="68" t="str">
        <f t="shared" si="4"/>
        <v/>
      </c>
      <c r="J979" s="59" t="str">
        <f t="shared" si="5"/>
        <v/>
      </c>
      <c r="K979" s="69" t="str">
        <f t="shared" si="6"/>
        <v/>
      </c>
      <c r="L979" s="60" t="str">
        <f t="shared" si="7"/>
        <v/>
      </c>
      <c r="M979" s="61" t="str">
        <f>IFERROR(__xludf.DUMMYFUNCTION("IFS(AND(COUNTA(C979:C1350)=0,COUNTA(Q979:Q1350)=0),"""",OR(AND(K979&gt;=1000000000,OR(Y979&gt;=1000000000,COUNTA(Q979:Q1350)=0)),OR(Y979&gt;=1000000000,AND(COUNTA(C979:C1350)=0,P$3=TRUE))),
ROUNDDOWN((AB$1-AC$1)*MAX(INDEX(T$4:T1350,MATCH(LARGE(FILTER(Y$4:Y1350,Y$4"&amp;":Y1350&lt;1000000000),1),Y$4:Y1350)),INDEX(F$4:F1350,MATCH(LARGE(FILTER(K$4:K1350,K$4:K1350&lt;1000000000),1),K$4:K1350)))),AND(K979&lt;1000000000,COUNTA(C979:C1350)&gt;0,P$3=FALSE),
ROUNDDOWN(INDEX(Y$4:Y1350,MATCH(LARGE(FILTER(W$4:W1350,W$4:W1350&lt;=I979),1),W$4:W1350"&amp;"))+(I979-LARGE(FILTER(W$4:W1350,W$4:W1350&lt;=I979),1))*INDEX(T$4:T1350,MATCH(LARGE(FILTER(W$4:W1350,W$4:W1350&lt;=I979),1),W$4:W1350))-K979),1,
ROUNDDOWN(Y979-INDEX(K$4:K1350,MATCH(LARGE(FILTER(I$4:I1350,I$4:I1350&lt;=W979),1),I$4:I1350))-(W979-LARGE(FILTER(I$4:I"&amp;"1350,I$4:I1350&lt;=W979),1))*INDEX(F$4:F1350,MATCH(LARGE(FILTER(I$4:I1350,I$4:I1350&lt;=W979),1),I$4:I1350))))"),"")</f>
        <v/>
      </c>
      <c r="N979" s="60" t="str">
        <f t="shared" si="8"/>
        <v/>
      </c>
      <c r="O979" s="61" t="str">
        <f t="shared" si="9"/>
        <v/>
      </c>
      <c r="P979" s="56" t="str">
        <f t="shared" si="10"/>
        <v/>
      </c>
      <c r="Q979" s="62"/>
      <c r="R979" s="10" t="str">
        <f>IFERROR(__xludf.DUMMYFUNCTION("IF(COUNTA(Q979:Q1350)=0,"""",IF(ISBLANK(Q979),FALSE,IF(NOT(COUNTIF($AA$24:$AA$34,SUBSTITUTE(Q979,""Sell_"",""""))),1,IF(REGEXMATCH(Q979,""Sell_""),IF(COUNTIF(Q$4:Q979,SUBSTITUTE(Q979,""Sell_"",""""))-COUNTIF(Q$4:Q978,Q979)&lt;1,1),FALSE))))"),"")</f>
        <v/>
      </c>
      <c r="S979" s="59" t="str">
        <f t="array" ref="S979">IF(COUNTA(Q979:Q1350)=0,"",SUM((COUNTIF(Q$4:Q979,Upgrades!$B$3:$B$13)-COUNTIF(Q$4:Q979,"Sell_"&amp;Upgrades!$B$3:$B$13))*Upgrades!$D$3:$D$13))</f>
        <v/>
      </c>
      <c r="T979" s="66" t="str">
        <f>IFERROR(__xludf.DUMMYFUNCTION("IF(COUNTA(Q979:Q1350)=0,"""",IF(REGEXMATCH(INDEX(FILTER(Q$4:Q979,Q$4:Q979&lt;&gt;""""),ROWS(FILTER(Q$4:Q979,Q$4:Q979&lt;&gt;""""))),""^Sell_""),INDEX(FILTER(T$4:T978,Q$4:Q978&lt;&gt;""""),ROWS(FILTER(Q$4:Q978,Q$4:Q978&lt;&gt;""""))),$AD$5+S979))"),"")</f>
        <v/>
      </c>
      <c r="U979" s="10" t="str">
        <f>IFERROR(__xludf.DUMMYFUNCTION("IF(COUNTA(Q979:Q1350)=0,"""",IF(Q979="""",0,IF(REGEXMATCH(Q979,""^Sell_""),-ROUNDDOWN(ROUNDUP(INDEX(Upgrades!$C$3:$C$13,MATCH(SUBSTITUTE(Q979,""Sell_"",""""),Upgrades!$B$3:$B$13,0))*1.15^(COUNTIF(Q$4:Q978,SUBSTITUTE(Q979,""Sell_"",""""))-COUNTIF(Q$4:Q978,"&amp;"""Sell_""&amp;SUBSTITUTE(Q979,""Sell_"",""""))))/2),ROUNDUP(INDEX(Upgrades!$C$3:$C$13,MATCH(Q979,Upgrades!$B$3:$B$13,0))*1.15^(COUNTIF(Q$4:Q978,Q979)-COUNTIF(Q$4:Q978,""Sell_""&amp;Q979))))))"),"")</f>
        <v/>
      </c>
      <c r="V979" s="10" t="str">
        <f t="shared" si="11"/>
        <v/>
      </c>
      <c r="W979" s="68" t="str">
        <f t="shared" si="12"/>
        <v/>
      </c>
      <c r="X979" s="59" t="str">
        <f t="shared" si="13"/>
        <v/>
      </c>
      <c r="Y979" s="69" t="str">
        <f t="shared" si="14"/>
        <v/>
      </c>
      <c r="Z979" s="11"/>
    </row>
    <row r="980">
      <c r="A980" s="8"/>
      <c r="B980" s="56" t="str">
        <f t="shared" si="2"/>
        <v/>
      </c>
      <c r="C980" s="57"/>
      <c r="D980" s="10" t="str">
        <f>IFERROR(__xludf.DUMMYFUNCTION("IF(COUNTA(C980:C1350)=0,"""",IF(ISBLANK(C980),FALSE,IF(NOT(COUNTIF($AA$24:$AA$34,SUBSTITUTE(C980,""Sell_"",""""))),1,IF(REGEXMATCH(C980,""Sell_""),IF(COUNTIF(C$4:C980,SUBSTITUTE(C980,""Sell_"",""""))-COUNTIF(C$4:C979,C980)&lt;1,1),FALSE))))"),"")</f>
        <v/>
      </c>
      <c r="E980" s="59" t="str">
        <f t="array" ref="E980">IF(COUNTA(C980:C1350)=0,"",SUM((COUNTIF(C$4:C980,Upgrades!$B$3:$B$13)-COUNTIF(C$4:C980,"Sell_"&amp;Upgrades!$B$3:$B$13))*Upgrades!$D$3:$D$13))</f>
        <v/>
      </c>
      <c r="F980" s="66" t="str">
        <f>IFERROR(__xludf.DUMMYFUNCTION("IF(COUNTA(C980:C1350)=0,"""",IF(REGEXMATCH(INDEX(FILTER(C$4:C980,C$4:C980&lt;&gt;""""),ROWS(FILTER(C$4:C980,C$4:C980&lt;&gt;""""))),""^Sell_""),INDEX(FILTER(F$4:F979,C$4:C979&lt;&gt;""""),ROWS(FILTER(C$4:C979,C$4:C979&lt;&gt;""""))),$AC$5+E980))"),"")</f>
        <v/>
      </c>
      <c r="G980" s="10" t="str">
        <f>IFERROR(__xludf.DUMMYFUNCTION("IF(COUNTA(C980:C1350)=0,"""",IF(C980="""",0,IF(REGEXMATCH(C980,""^Sell_""),-ROUNDDOWN(ROUNDUP(INDEX(Upgrades!$C$3:$C$13,MATCH(SUBSTITUTE(C980,""Sell_"",""""),Upgrades!$B$3:$B$13,0))*1.15^(COUNTIF(C$4:C979,SUBSTITUTE(C980,""Sell_"",""""))-COUNTIF(C$4:C979,"&amp;"""Sell_""&amp;SUBSTITUTE(C980,""Sell_"",""""))))/2),ROUNDUP(INDEX(Upgrades!$C$3:$C$13,MATCH(C980,Upgrades!$B$3:$B$13,0))*1.15^(COUNTIF(C$4:C979,C980)-COUNTIF(C$4:C979,""Sell_""&amp;C980))))))"),"")</f>
        <v/>
      </c>
      <c r="H980" s="10" t="str">
        <f t="shared" si="3"/>
        <v/>
      </c>
      <c r="I980" s="68" t="str">
        <f t="shared" si="4"/>
        <v/>
      </c>
      <c r="J980" s="59" t="str">
        <f t="shared" si="5"/>
        <v/>
      </c>
      <c r="K980" s="69" t="str">
        <f t="shared" si="6"/>
        <v/>
      </c>
      <c r="L980" s="60" t="str">
        <f t="shared" si="7"/>
        <v/>
      </c>
      <c r="M980" s="61" t="str">
        <f>IFERROR(__xludf.DUMMYFUNCTION("IFS(AND(COUNTA(C980:C1350)=0,COUNTA(Q980:Q1350)=0),"""",OR(AND(K980&gt;=1000000000,OR(Y980&gt;=1000000000,COUNTA(Q980:Q1350)=0)),OR(Y980&gt;=1000000000,AND(COUNTA(C980:C1350)=0,P$3=TRUE))),
ROUNDDOWN((AB$1-AC$1)*MAX(INDEX(T$4:T1350,MATCH(LARGE(FILTER(Y$4:Y1350,Y$4"&amp;":Y1350&lt;1000000000),1),Y$4:Y1350)),INDEX(F$4:F1350,MATCH(LARGE(FILTER(K$4:K1350,K$4:K1350&lt;1000000000),1),K$4:K1350)))),AND(K980&lt;1000000000,COUNTA(C980:C1350)&gt;0,P$3=FALSE),
ROUNDDOWN(INDEX(Y$4:Y1350,MATCH(LARGE(FILTER(W$4:W1350,W$4:W1350&lt;=I980),1),W$4:W1350"&amp;"))+(I980-LARGE(FILTER(W$4:W1350,W$4:W1350&lt;=I980),1))*INDEX(T$4:T1350,MATCH(LARGE(FILTER(W$4:W1350,W$4:W1350&lt;=I980),1),W$4:W1350))-K980),1,
ROUNDDOWN(Y980-INDEX(K$4:K1350,MATCH(LARGE(FILTER(I$4:I1350,I$4:I1350&lt;=W980),1),I$4:I1350))-(W980-LARGE(FILTER(I$4:I"&amp;"1350,I$4:I1350&lt;=W980),1))*INDEX(F$4:F1350,MATCH(LARGE(FILTER(I$4:I1350,I$4:I1350&lt;=W980),1),I$4:I1350))))"),"")</f>
        <v/>
      </c>
      <c r="N980" s="60" t="str">
        <f t="shared" si="8"/>
        <v/>
      </c>
      <c r="O980" s="61" t="str">
        <f t="shared" si="9"/>
        <v/>
      </c>
      <c r="P980" s="56" t="str">
        <f t="shared" si="10"/>
        <v/>
      </c>
      <c r="Q980" s="62"/>
      <c r="R980" s="10" t="str">
        <f>IFERROR(__xludf.DUMMYFUNCTION("IF(COUNTA(Q980:Q1350)=0,"""",IF(ISBLANK(Q980),FALSE,IF(NOT(COUNTIF($AA$24:$AA$34,SUBSTITUTE(Q980,""Sell_"",""""))),1,IF(REGEXMATCH(Q980,""Sell_""),IF(COUNTIF(Q$4:Q980,SUBSTITUTE(Q980,""Sell_"",""""))-COUNTIF(Q$4:Q979,Q980)&lt;1,1),FALSE))))"),"")</f>
        <v/>
      </c>
      <c r="S980" s="59" t="str">
        <f t="array" ref="S980">IF(COUNTA(Q980:Q1350)=0,"",SUM((COUNTIF(Q$4:Q980,Upgrades!$B$3:$B$13)-COUNTIF(Q$4:Q980,"Sell_"&amp;Upgrades!$B$3:$B$13))*Upgrades!$D$3:$D$13))</f>
        <v/>
      </c>
      <c r="T980" s="66" t="str">
        <f>IFERROR(__xludf.DUMMYFUNCTION("IF(COUNTA(Q980:Q1350)=0,"""",IF(REGEXMATCH(INDEX(FILTER(Q$4:Q980,Q$4:Q980&lt;&gt;""""),ROWS(FILTER(Q$4:Q980,Q$4:Q980&lt;&gt;""""))),""^Sell_""),INDEX(FILTER(T$4:T979,Q$4:Q979&lt;&gt;""""),ROWS(FILTER(Q$4:Q979,Q$4:Q979&lt;&gt;""""))),$AD$5+S980))"),"")</f>
        <v/>
      </c>
      <c r="U980" s="10" t="str">
        <f>IFERROR(__xludf.DUMMYFUNCTION("IF(COUNTA(Q980:Q1350)=0,"""",IF(Q980="""",0,IF(REGEXMATCH(Q980,""^Sell_""),-ROUNDDOWN(ROUNDUP(INDEX(Upgrades!$C$3:$C$13,MATCH(SUBSTITUTE(Q980,""Sell_"",""""),Upgrades!$B$3:$B$13,0))*1.15^(COUNTIF(Q$4:Q979,SUBSTITUTE(Q980,""Sell_"",""""))-COUNTIF(Q$4:Q979,"&amp;"""Sell_""&amp;SUBSTITUTE(Q980,""Sell_"",""""))))/2),ROUNDUP(INDEX(Upgrades!$C$3:$C$13,MATCH(Q980,Upgrades!$B$3:$B$13,0))*1.15^(COUNTIF(Q$4:Q979,Q980)-COUNTIF(Q$4:Q979,""Sell_""&amp;Q980))))))"),"")</f>
        <v/>
      </c>
      <c r="V980" s="10" t="str">
        <f t="shared" si="11"/>
        <v/>
      </c>
      <c r="W980" s="68" t="str">
        <f t="shared" si="12"/>
        <v/>
      </c>
      <c r="X980" s="59" t="str">
        <f t="shared" si="13"/>
        <v/>
      </c>
      <c r="Y980" s="69" t="str">
        <f t="shared" si="14"/>
        <v/>
      </c>
      <c r="Z980" s="11"/>
    </row>
    <row r="981">
      <c r="A981" s="8"/>
      <c r="B981" s="56" t="str">
        <f t="shared" si="2"/>
        <v/>
      </c>
      <c r="C981" s="57"/>
      <c r="D981" s="10" t="str">
        <f>IFERROR(__xludf.DUMMYFUNCTION("IF(COUNTA(C981:C1350)=0,"""",IF(ISBLANK(C981),FALSE,IF(NOT(COUNTIF($AA$24:$AA$34,SUBSTITUTE(C981,""Sell_"",""""))),1,IF(REGEXMATCH(C981,""Sell_""),IF(COUNTIF(C$4:C981,SUBSTITUTE(C981,""Sell_"",""""))-COUNTIF(C$4:C980,C981)&lt;1,1),FALSE))))"),"")</f>
        <v/>
      </c>
      <c r="E981" s="59" t="str">
        <f t="array" ref="E981">IF(COUNTA(C981:C1350)=0,"",SUM((COUNTIF(C$4:C981,Upgrades!$B$3:$B$13)-COUNTIF(C$4:C981,"Sell_"&amp;Upgrades!$B$3:$B$13))*Upgrades!$D$3:$D$13))</f>
        <v/>
      </c>
      <c r="F981" s="66" t="str">
        <f>IFERROR(__xludf.DUMMYFUNCTION("IF(COUNTA(C981:C1350)=0,"""",IF(REGEXMATCH(INDEX(FILTER(C$4:C981,C$4:C981&lt;&gt;""""),ROWS(FILTER(C$4:C981,C$4:C981&lt;&gt;""""))),""^Sell_""),INDEX(FILTER(F$4:F980,C$4:C980&lt;&gt;""""),ROWS(FILTER(C$4:C980,C$4:C980&lt;&gt;""""))),$AC$5+E981))"),"")</f>
        <v/>
      </c>
      <c r="G981" s="10" t="str">
        <f>IFERROR(__xludf.DUMMYFUNCTION("IF(COUNTA(C981:C1350)=0,"""",IF(C981="""",0,IF(REGEXMATCH(C981,""^Sell_""),-ROUNDDOWN(ROUNDUP(INDEX(Upgrades!$C$3:$C$13,MATCH(SUBSTITUTE(C981,""Sell_"",""""),Upgrades!$B$3:$B$13,0))*1.15^(COUNTIF(C$4:C980,SUBSTITUTE(C981,""Sell_"",""""))-COUNTIF(C$4:C980,"&amp;"""Sell_""&amp;SUBSTITUTE(C981,""Sell_"",""""))))/2),ROUNDUP(INDEX(Upgrades!$C$3:$C$13,MATCH(C981,Upgrades!$B$3:$B$13,0))*1.15^(COUNTIF(C$4:C980,C981)-COUNTIF(C$4:C980,""Sell_""&amp;C981))))))"),"")</f>
        <v/>
      </c>
      <c r="H981" s="10" t="str">
        <f t="shared" si="3"/>
        <v/>
      </c>
      <c r="I981" s="68" t="str">
        <f t="shared" si="4"/>
        <v/>
      </c>
      <c r="J981" s="59" t="str">
        <f t="shared" si="5"/>
        <v/>
      </c>
      <c r="K981" s="69" t="str">
        <f t="shared" si="6"/>
        <v/>
      </c>
      <c r="L981" s="60" t="str">
        <f t="shared" si="7"/>
        <v/>
      </c>
      <c r="M981" s="61" t="str">
        <f>IFERROR(__xludf.DUMMYFUNCTION("IFS(AND(COUNTA(C981:C1350)=0,COUNTA(Q981:Q1350)=0),"""",OR(AND(K981&gt;=1000000000,OR(Y981&gt;=1000000000,COUNTA(Q981:Q1350)=0)),OR(Y981&gt;=1000000000,AND(COUNTA(C981:C1350)=0,P$3=TRUE))),
ROUNDDOWN((AB$1-AC$1)*MAX(INDEX(T$4:T1350,MATCH(LARGE(FILTER(Y$4:Y1350,Y$4"&amp;":Y1350&lt;1000000000),1),Y$4:Y1350)),INDEX(F$4:F1350,MATCH(LARGE(FILTER(K$4:K1350,K$4:K1350&lt;1000000000),1),K$4:K1350)))),AND(K981&lt;1000000000,COUNTA(C981:C1350)&gt;0,P$3=FALSE),
ROUNDDOWN(INDEX(Y$4:Y1350,MATCH(LARGE(FILTER(W$4:W1350,W$4:W1350&lt;=I981),1),W$4:W1350"&amp;"))+(I981-LARGE(FILTER(W$4:W1350,W$4:W1350&lt;=I981),1))*INDEX(T$4:T1350,MATCH(LARGE(FILTER(W$4:W1350,W$4:W1350&lt;=I981),1),W$4:W1350))-K981),1,
ROUNDDOWN(Y981-INDEX(K$4:K1350,MATCH(LARGE(FILTER(I$4:I1350,I$4:I1350&lt;=W981),1),I$4:I1350))-(W981-LARGE(FILTER(I$4:I"&amp;"1350,I$4:I1350&lt;=W981),1))*INDEX(F$4:F1350,MATCH(LARGE(FILTER(I$4:I1350,I$4:I1350&lt;=W981),1),I$4:I1350))))"),"")</f>
        <v/>
      </c>
      <c r="N981" s="60" t="str">
        <f t="shared" si="8"/>
        <v/>
      </c>
      <c r="O981" s="61" t="str">
        <f t="shared" si="9"/>
        <v/>
      </c>
      <c r="P981" s="56" t="str">
        <f t="shared" si="10"/>
        <v/>
      </c>
      <c r="Q981" s="62"/>
      <c r="R981" s="10" t="str">
        <f>IFERROR(__xludf.DUMMYFUNCTION("IF(COUNTA(Q981:Q1350)=0,"""",IF(ISBLANK(Q981),FALSE,IF(NOT(COUNTIF($AA$24:$AA$34,SUBSTITUTE(Q981,""Sell_"",""""))),1,IF(REGEXMATCH(Q981,""Sell_""),IF(COUNTIF(Q$4:Q981,SUBSTITUTE(Q981,""Sell_"",""""))-COUNTIF(Q$4:Q980,Q981)&lt;1,1),FALSE))))"),"")</f>
        <v/>
      </c>
      <c r="S981" s="59" t="str">
        <f t="array" ref="S981">IF(COUNTA(Q981:Q1350)=0,"",SUM((COUNTIF(Q$4:Q981,Upgrades!$B$3:$B$13)-COUNTIF(Q$4:Q981,"Sell_"&amp;Upgrades!$B$3:$B$13))*Upgrades!$D$3:$D$13))</f>
        <v/>
      </c>
      <c r="T981" s="66" t="str">
        <f>IFERROR(__xludf.DUMMYFUNCTION("IF(COUNTA(Q981:Q1350)=0,"""",IF(REGEXMATCH(INDEX(FILTER(Q$4:Q981,Q$4:Q981&lt;&gt;""""),ROWS(FILTER(Q$4:Q981,Q$4:Q981&lt;&gt;""""))),""^Sell_""),INDEX(FILTER(T$4:T980,Q$4:Q980&lt;&gt;""""),ROWS(FILTER(Q$4:Q980,Q$4:Q980&lt;&gt;""""))),$AD$5+S981))"),"")</f>
        <v/>
      </c>
      <c r="U981" s="10" t="str">
        <f>IFERROR(__xludf.DUMMYFUNCTION("IF(COUNTA(Q981:Q1350)=0,"""",IF(Q981="""",0,IF(REGEXMATCH(Q981,""^Sell_""),-ROUNDDOWN(ROUNDUP(INDEX(Upgrades!$C$3:$C$13,MATCH(SUBSTITUTE(Q981,""Sell_"",""""),Upgrades!$B$3:$B$13,0))*1.15^(COUNTIF(Q$4:Q980,SUBSTITUTE(Q981,""Sell_"",""""))-COUNTIF(Q$4:Q980,"&amp;"""Sell_""&amp;SUBSTITUTE(Q981,""Sell_"",""""))))/2),ROUNDUP(INDEX(Upgrades!$C$3:$C$13,MATCH(Q981,Upgrades!$B$3:$B$13,0))*1.15^(COUNTIF(Q$4:Q980,Q981)-COUNTIF(Q$4:Q980,""Sell_""&amp;Q981))))))"),"")</f>
        <v/>
      </c>
      <c r="V981" s="10" t="str">
        <f t="shared" si="11"/>
        <v/>
      </c>
      <c r="W981" s="68" t="str">
        <f t="shared" si="12"/>
        <v/>
      </c>
      <c r="X981" s="59" t="str">
        <f t="shared" si="13"/>
        <v/>
      </c>
      <c r="Y981" s="69" t="str">
        <f t="shared" si="14"/>
        <v/>
      </c>
      <c r="Z981" s="11"/>
    </row>
    <row r="982">
      <c r="A982" s="8"/>
      <c r="B982" s="56" t="str">
        <f t="shared" si="2"/>
        <v/>
      </c>
      <c r="C982" s="57"/>
      <c r="D982" s="10" t="str">
        <f>IFERROR(__xludf.DUMMYFUNCTION("IF(COUNTA(C982:C1350)=0,"""",IF(ISBLANK(C982),FALSE,IF(NOT(COUNTIF($AA$24:$AA$34,SUBSTITUTE(C982,""Sell_"",""""))),1,IF(REGEXMATCH(C982,""Sell_""),IF(COUNTIF(C$4:C982,SUBSTITUTE(C982,""Sell_"",""""))-COUNTIF(C$4:C981,C982)&lt;1,1),FALSE))))"),"")</f>
        <v/>
      </c>
      <c r="E982" s="59" t="str">
        <f t="array" ref="E982">IF(COUNTA(C982:C1350)=0,"",SUM((COUNTIF(C$4:C982,Upgrades!$B$3:$B$13)-COUNTIF(C$4:C982,"Sell_"&amp;Upgrades!$B$3:$B$13))*Upgrades!$D$3:$D$13))</f>
        <v/>
      </c>
      <c r="F982" s="66" t="str">
        <f>IFERROR(__xludf.DUMMYFUNCTION("IF(COUNTA(C982:C1350)=0,"""",IF(REGEXMATCH(INDEX(FILTER(C$4:C982,C$4:C982&lt;&gt;""""),ROWS(FILTER(C$4:C982,C$4:C982&lt;&gt;""""))),""^Sell_""),INDEX(FILTER(F$4:F981,C$4:C981&lt;&gt;""""),ROWS(FILTER(C$4:C981,C$4:C981&lt;&gt;""""))),$AC$5+E982))"),"")</f>
        <v/>
      </c>
      <c r="G982" s="10" t="str">
        <f>IFERROR(__xludf.DUMMYFUNCTION("IF(COUNTA(C982:C1350)=0,"""",IF(C982="""",0,IF(REGEXMATCH(C982,""^Sell_""),-ROUNDDOWN(ROUNDUP(INDEX(Upgrades!$C$3:$C$13,MATCH(SUBSTITUTE(C982,""Sell_"",""""),Upgrades!$B$3:$B$13,0))*1.15^(COUNTIF(C$4:C981,SUBSTITUTE(C982,""Sell_"",""""))-COUNTIF(C$4:C981,"&amp;"""Sell_""&amp;SUBSTITUTE(C982,""Sell_"",""""))))/2),ROUNDUP(INDEX(Upgrades!$C$3:$C$13,MATCH(C982,Upgrades!$B$3:$B$13,0))*1.15^(COUNTIF(C$4:C981,C982)-COUNTIF(C$4:C981,""Sell_""&amp;C982))))))"),"")</f>
        <v/>
      </c>
      <c r="H982" s="10" t="str">
        <f t="shared" si="3"/>
        <v/>
      </c>
      <c r="I982" s="68" t="str">
        <f t="shared" si="4"/>
        <v/>
      </c>
      <c r="J982" s="59" t="str">
        <f t="shared" si="5"/>
        <v/>
      </c>
      <c r="K982" s="69" t="str">
        <f t="shared" si="6"/>
        <v/>
      </c>
      <c r="L982" s="60" t="str">
        <f t="shared" si="7"/>
        <v/>
      </c>
      <c r="M982" s="61" t="str">
        <f>IFERROR(__xludf.DUMMYFUNCTION("IFS(AND(COUNTA(C982:C1350)=0,COUNTA(Q982:Q1350)=0),"""",OR(AND(K982&gt;=1000000000,OR(Y982&gt;=1000000000,COUNTA(Q982:Q1350)=0)),OR(Y982&gt;=1000000000,AND(COUNTA(C982:C1350)=0,P$3=TRUE))),
ROUNDDOWN((AB$1-AC$1)*MAX(INDEX(T$4:T1350,MATCH(LARGE(FILTER(Y$4:Y1350,Y$4"&amp;":Y1350&lt;1000000000),1),Y$4:Y1350)),INDEX(F$4:F1350,MATCH(LARGE(FILTER(K$4:K1350,K$4:K1350&lt;1000000000),1),K$4:K1350)))),AND(K982&lt;1000000000,COUNTA(C982:C1350)&gt;0,P$3=FALSE),
ROUNDDOWN(INDEX(Y$4:Y1350,MATCH(LARGE(FILTER(W$4:W1350,W$4:W1350&lt;=I982),1),W$4:W1350"&amp;"))+(I982-LARGE(FILTER(W$4:W1350,W$4:W1350&lt;=I982),1))*INDEX(T$4:T1350,MATCH(LARGE(FILTER(W$4:W1350,W$4:W1350&lt;=I982),1),W$4:W1350))-K982),1,
ROUNDDOWN(Y982-INDEX(K$4:K1350,MATCH(LARGE(FILTER(I$4:I1350,I$4:I1350&lt;=W982),1),I$4:I1350))-(W982-LARGE(FILTER(I$4:I"&amp;"1350,I$4:I1350&lt;=W982),1))*INDEX(F$4:F1350,MATCH(LARGE(FILTER(I$4:I1350,I$4:I1350&lt;=W982),1),I$4:I1350))))"),"")</f>
        <v/>
      </c>
      <c r="N982" s="60" t="str">
        <f t="shared" si="8"/>
        <v/>
      </c>
      <c r="O982" s="61" t="str">
        <f t="shared" si="9"/>
        <v/>
      </c>
      <c r="P982" s="56" t="str">
        <f t="shared" si="10"/>
        <v/>
      </c>
      <c r="Q982" s="62"/>
      <c r="R982" s="10" t="str">
        <f>IFERROR(__xludf.DUMMYFUNCTION("IF(COUNTA(Q982:Q1350)=0,"""",IF(ISBLANK(Q982),FALSE,IF(NOT(COUNTIF($AA$24:$AA$34,SUBSTITUTE(Q982,""Sell_"",""""))),1,IF(REGEXMATCH(Q982,""Sell_""),IF(COUNTIF(Q$4:Q982,SUBSTITUTE(Q982,""Sell_"",""""))-COUNTIF(Q$4:Q981,Q982)&lt;1,1),FALSE))))"),"")</f>
        <v/>
      </c>
      <c r="S982" s="59" t="str">
        <f t="array" ref="S982">IF(COUNTA(Q982:Q1350)=0,"",SUM((COUNTIF(Q$4:Q982,Upgrades!$B$3:$B$13)-COUNTIF(Q$4:Q982,"Sell_"&amp;Upgrades!$B$3:$B$13))*Upgrades!$D$3:$D$13))</f>
        <v/>
      </c>
      <c r="T982" s="66" t="str">
        <f>IFERROR(__xludf.DUMMYFUNCTION("IF(COUNTA(Q982:Q1350)=0,"""",IF(REGEXMATCH(INDEX(FILTER(Q$4:Q982,Q$4:Q982&lt;&gt;""""),ROWS(FILTER(Q$4:Q982,Q$4:Q982&lt;&gt;""""))),""^Sell_""),INDEX(FILTER(T$4:T981,Q$4:Q981&lt;&gt;""""),ROWS(FILTER(Q$4:Q981,Q$4:Q981&lt;&gt;""""))),$AD$5+S982))"),"")</f>
        <v/>
      </c>
      <c r="U982" s="10" t="str">
        <f>IFERROR(__xludf.DUMMYFUNCTION("IF(COUNTA(Q982:Q1350)=0,"""",IF(Q982="""",0,IF(REGEXMATCH(Q982,""^Sell_""),-ROUNDDOWN(ROUNDUP(INDEX(Upgrades!$C$3:$C$13,MATCH(SUBSTITUTE(Q982,""Sell_"",""""),Upgrades!$B$3:$B$13,0))*1.15^(COUNTIF(Q$4:Q981,SUBSTITUTE(Q982,""Sell_"",""""))-COUNTIF(Q$4:Q981,"&amp;"""Sell_""&amp;SUBSTITUTE(Q982,""Sell_"",""""))))/2),ROUNDUP(INDEX(Upgrades!$C$3:$C$13,MATCH(Q982,Upgrades!$B$3:$B$13,0))*1.15^(COUNTIF(Q$4:Q981,Q982)-COUNTIF(Q$4:Q981,""Sell_""&amp;Q982))))))"),"")</f>
        <v/>
      </c>
      <c r="V982" s="10" t="str">
        <f t="shared" si="11"/>
        <v/>
      </c>
      <c r="W982" s="68" t="str">
        <f t="shared" si="12"/>
        <v/>
      </c>
      <c r="X982" s="59" t="str">
        <f t="shared" si="13"/>
        <v/>
      </c>
      <c r="Y982" s="69" t="str">
        <f t="shared" si="14"/>
        <v/>
      </c>
      <c r="Z982" s="11"/>
    </row>
    <row r="983">
      <c r="A983" s="8"/>
      <c r="B983" s="56" t="str">
        <f t="shared" si="2"/>
        <v/>
      </c>
      <c r="C983" s="57"/>
      <c r="D983" s="10" t="str">
        <f>IFERROR(__xludf.DUMMYFUNCTION("IF(COUNTA(C983:C1350)=0,"""",IF(ISBLANK(C983),FALSE,IF(NOT(COUNTIF($AA$24:$AA$34,SUBSTITUTE(C983,""Sell_"",""""))),1,IF(REGEXMATCH(C983,""Sell_""),IF(COUNTIF(C$4:C983,SUBSTITUTE(C983,""Sell_"",""""))-COUNTIF(C$4:C982,C983)&lt;1,1),FALSE))))"),"")</f>
        <v/>
      </c>
      <c r="E983" s="59" t="str">
        <f t="array" ref="E983">IF(COUNTA(C983:C1350)=0,"",SUM((COUNTIF(C$4:C983,Upgrades!$B$3:$B$13)-COUNTIF(C$4:C983,"Sell_"&amp;Upgrades!$B$3:$B$13))*Upgrades!$D$3:$D$13))</f>
        <v/>
      </c>
      <c r="F983" s="66" t="str">
        <f>IFERROR(__xludf.DUMMYFUNCTION("IF(COUNTA(C983:C1350)=0,"""",IF(REGEXMATCH(INDEX(FILTER(C$4:C983,C$4:C983&lt;&gt;""""),ROWS(FILTER(C$4:C983,C$4:C983&lt;&gt;""""))),""^Sell_""),INDEX(FILTER(F$4:F982,C$4:C982&lt;&gt;""""),ROWS(FILTER(C$4:C982,C$4:C982&lt;&gt;""""))),$AC$5+E983))"),"")</f>
        <v/>
      </c>
      <c r="G983" s="10" t="str">
        <f>IFERROR(__xludf.DUMMYFUNCTION("IF(COUNTA(C983:C1350)=0,"""",IF(C983="""",0,IF(REGEXMATCH(C983,""^Sell_""),-ROUNDDOWN(ROUNDUP(INDEX(Upgrades!$C$3:$C$13,MATCH(SUBSTITUTE(C983,""Sell_"",""""),Upgrades!$B$3:$B$13,0))*1.15^(COUNTIF(C$4:C982,SUBSTITUTE(C983,""Sell_"",""""))-COUNTIF(C$4:C982,"&amp;"""Sell_""&amp;SUBSTITUTE(C983,""Sell_"",""""))))/2),ROUNDUP(INDEX(Upgrades!$C$3:$C$13,MATCH(C983,Upgrades!$B$3:$B$13,0))*1.15^(COUNTIF(C$4:C982,C983)-COUNTIF(C$4:C982,""Sell_""&amp;C983))))))"),"")</f>
        <v/>
      </c>
      <c r="H983" s="10" t="str">
        <f t="shared" si="3"/>
        <v/>
      </c>
      <c r="I983" s="68" t="str">
        <f t="shared" si="4"/>
        <v/>
      </c>
      <c r="J983" s="59" t="str">
        <f t="shared" si="5"/>
        <v/>
      </c>
      <c r="K983" s="69" t="str">
        <f t="shared" si="6"/>
        <v/>
      </c>
      <c r="L983" s="60" t="str">
        <f t="shared" si="7"/>
        <v/>
      </c>
      <c r="M983" s="61" t="str">
        <f>IFERROR(__xludf.DUMMYFUNCTION("IFS(AND(COUNTA(C983:C1350)=0,COUNTA(Q983:Q1350)=0),"""",OR(AND(K983&gt;=1000000000,OR(Y983&gt;=1000000000,COUNTA(Q983:Q1350)=0)),OR(Y983&gt;=1000000000,AND(COUNTA(C983:C1350)=0,P$3=TRUE))),
ROUNDDOWN((AB$1-AC$1)*MAX(INDEX(T$4:T1350,MATCH(LARGE(FILTER(Y$4:Y1350,Y$4"&amp;":Y1350&lt;1000000000),1),Y$4:Y1350)),INDEX(F$4:F1350,MATCH(LARGE(FILTER(K$4:K1350,K$4:K1350&lt;1000000000),1),K$4:K1350)))),AND(K983&lt;1000000000,COUNTA(C983:C1350)&gt;0,P$3=FALSE),
ROUNDDOWN(INDEX(Y$4:Y1350,MATCH(LARGE(FILTER(W$4:W1350,W$4:W1350&lt;=I983),1),W$4:W1350"&amp;"))+(I983-LARGE(FILTER(W$4:W1350,W$4:W1350&lt;=I983),1))*INDEX(T$4:T1350,MATCH(LARGE(FILTER(W$4:W1350,W$4:W1350&lt;=I983),1),W$4:W1350))-K983),1,
ROUNDDOWN(Y983-INDEX(K$4:K1350,MATCH(LARGE(FILTER(I$4:I1350,I$4:I1350&lt;=W983),1),I$4:I1350))-(W983-LARGE(FILTER(I$4:I"&amp;"1350,I$4:I1350&lt;=W983),1))*INDEX(F$4:F1350,MATCH(LARGE(FILTER(I$4:I1350,I$4:I1350&lt;=W983),1),I$4:I1350))))"),"")</f>
        <v/>
      </c>
      <c r="N983" s="60" t="str">
        <f t="shared" si="8"/>
        <v/>
      </c>
      <c r="O983" s="61" t="str">
        <f t="shared" si="9"/>
        <v/>
      </c>
      <c r="P983" s="56" t="str">
        <f t="shared" si="10"/>
        <v/>
      </c>
      <c r="Q983" s="62"/>
      <c r="R983" s="10" t="str">
        <f>IFERROR(__xludf.DUMMYFUNCTION("IF(COUNTA(Q983:Q1350)=0,"""",IF(ISBLANK(Q983),FALSE,IF(NOT(COUNTIF($AA$24:$AA$34,SUBSTITUTE(Q983,""Sell_"",""""))),1,IF(REGEXMATCH(Q983,""Sell_""),IF(COUNTIF(Q$4:Q983,SUBSTITUTE(Q983,""Sell_"",""""))-COUNTIF(Q$4:Q982,Q983)&lt;1,1),FALSE))))"),"")</f>
        <v/>
      </c>
      <c r="S983" s="59" t="str">
        <f t="array" ref="S983">IF(COUNTA(Q983:Q1350)=0,"",SUM((COUNTIF(Q$4:Q983,Upgrades!$B$3:$B$13)-COUNTIF(Q$4:Q983,"Sell_"&amp;Upgrades!$B$3:$B$13))*Upgrades!$D$3:$D$13))</f>
        <v/>
      </c>
      <c r="T983" s="66" t="str">
        <f>IFERROR(__xludf.DUMMYFUNCTION("IF(COUNTA(Q983:Q1350)=0,"""",IF(REGEXMATCH(INDEX(FILTER(Q$4:Q983,Q$4:Q983&lt;&gt;""""),ROWS(FILTER(Q$4:Q983,Q$4:Q983&lt;&gt;""""))),""^Sell_""),INDEX(FILTER(T$4:T982,Q$4:Q982&lt;&gt;""""),ROWS(FILTER(Q$4:Q982,Q$4:Q982&lt;&gt;""""))),$AD$5+S983))"),"")</f>
        <v/>
      </c>
      <c r="U983" s="10" t="str">
        <f>IFERROR(__xludf.DUMMYFUNCTION("IF(COUNTA(Q983:Q1350)=0,"""",IF(Q983="""",0,IF(REGEXMATCH(Q983,""^Sell_""),-ROUNDDOWN(ROUNDUP(INDEX(Upgrades!$C$3:$C$13,MATCH(SUBSTITUTE(Q983,""Sell_"",""""),Upgrades!$B$3:$B$13,0))*1.15^(COUNTIF(Q$4:Q982,SUBSTITUTE(Q983,""Sell_"",""""))-COUNTIF(Q$4:Q982,"&amp;"""Sell_""&amp;SUBSTITUTE(Q983,""Sell_"",""""))))/2),ROUNDUP(INDEX(Upgrades!$C$3:$C$13,MATCH(Q983,Upgrades!$B$3:$B$13,0))*1.15^(COUNTIF(Q$4:Q982,Q983)-COUNTIF(Q$4:Q982,""Sell_""&amp;Q983))))))"),"")</f>
        <v/>
      </c>
      <c r="V983" s="10" t="str">
        <f t="shared" si="11"/>
        <v/>
      </c>
      <c r="W983" s="68" t="str">
        <f t="shared" si="12"/>
        <v/>
      </c>
      <c r="X983" s="59" t="str">
        <f t="shared" si="13"/>
        <v/>
      </c>
      <c r="Y983" s="69" t="str">
        <f t="shared" si="14"/>
        <v/>
      </c>
      <c r="Z983" s="11"/>
    </row>
    <row r="984">
      <c r="A984" s="8"/>
      <c r="B984" s="56" t="str">
        <f t="shared" si="2"/>
        <v/>
      </c>
      <c r="C984" s="57"/>
      <c r="D984" s="10" t="str">
        <f>IFERROR(__xludf.DUMMYFUNCTION("IF(COUNTA(C984:C1350)=0,"""",IF(ISBLANK(C984),FALSE,IF(NOT(COUNTIF($AA$24:$AA$34,SUBSTITUTE(C984,""Sell_"",""""))),1,IF(REGEXMATCH(C984,""Sell_""),IF(COUNTIF(C$4:C984,SUBSTITUTE(C984,""Sell_"",""""))-COUNTIF(C$4:C983,C984)&lt;1,1),FALSE))))"),"")</f>
        <v/>
      </c>
      <c r="E984" s="59" t="str">
        <f t="array" ref="E984">IF(COUNTA(C984:C1350)=0,"",SUM((COUNTIF(C$4:C984,Upgrades!$B$3:$B$13)-COUNTIF(C$4:C984,"Sell_"&amp;Upgrades!$B$3:$B$13))*Upgrades!$D$3:$D$13))</f>
        <v/>
      </c>
      <c r="F984" s="66" t="str">
        <f>IFERROR(__xludf.DUMMYFUNCTION("IF(COUNTA(C984:C1350)=0,"""",IF(REGEXMATCH(INDEX(FILTER(C$4:C984,C$4:C984&lt;&gt;""""),ROWS(FILTER(C$4:C984,C$4:C984&lt;&gt;""""))),""^Sell_""),INDEX(FILTER(F$4:F983,C$4:C983&lt;&gt;""""),ROWS(FILTER(C$4:C983,C$4:C983&lt;&gt;""""))),$AC$5+E984))"),"")</f>
        <v/>
      </c>
      <c r="G984" s="10" t="str">
        <f>IFERROR(__xludf.DUMMYFUNCTION("IF(COUNTA(C984:C1350)=0,"""",IF(C984="""",0,IF(REGEXMATCH(C984,""^Sell_""),-ROUNDDOWN(ROUNDUP(INDEX(Upgrades!$C$3:$C$13,MATCH(SUBSTITUTE(C984,""Sell_"",""""),Upgrades!$B$3:$B$13,0))*1.15^(COUNTIF(C$4:C983,SUBSTITUTE(C984,""Sell_"",""""))-COUNTIF(C$4:C983,"&amp;"""Sell_""&amp;SUBSTITUTE(C984,""Sell_"",""""))))/2),ROUNDUP(INDEX(Upgrades!$C$3:$C$13,MATCH(C984,Upgrades!$B$3:$B$13,0))*1.15^(COUNTIF(C$4:C983,C984)-COUNTIF(C$4:C983,""Sell_""&amp;C984))))))"),"")</f>
        <v/>
      </c>
      <c r="H984" s="10" t="str">
        <f t="shared" si="3"/>
        <v/>
      </c>
      <c r="I984" s="68" t="str">
        <f t="shared" si="4"/>
        <v/>
      </c>
      <c r="J984" s="59" t="str">
        <f t="shared" si="5"/>
        <v/>
      </c>
      <c r="K984" s="69" t="str">
        <f t="shared" si="6"/>
        <v/>
      </c>
      <c r="L984" s="60" t="str">
        <f t="shared" si="7"/>
        <v/>
      </c>
      <c r="M984" s="61" t="str">
        <f>IFERROR(__xludf.DUMMYFUNCTION("IFS(AND(COUNTA(C984:C1350)=0,COUNTA(Q984:Q1350)=0),"""",OR(AND(K984&gt;=1000000000,OR(Y984&gt;=1000000000,COUNTA(Q984:Q1350)=0)),OR(Y984&gt;=1000000000,AND(COUNTA(C984:C1350)=0,P$3=TRUE))),
ROUNDDOWN((AB$1-AC$1)*MAX(INDEX(T$4:T1350,MATCH(LARGE(FILTER(Y$4:Y1350,Y$4"&amp;":Y1350&lt;1000000000),1),Y$4:Y1350)),INDEX(F$4:F1350,MATCH(LARGE(FILTER(K$4:K1350,K$4:K1350&lt;1000000000),1),K$4:K1350)))),AND(K984&lt;1000000000,COUNTA(C984:C1350)&gt;0,P$3=FALSE),
ROUNDDOWN(INDEX(Y$4:Y1350,MATCH(LARGE(FILTER(W$4:W1350,W$4:W1350&lt;=I984),1),W$4:W1350"&amp;"))+(I984-LARGE(FILTER(W$4:W1350,W$4:W1350&lt;=I984),1))*INDEX(T$4:T1350,MATCH(LARGE(FILTER(W$4:W1350,W$4:W1350&lt;=I984),1),W$4:W1350))-K984),1,
ROUNDDOWN(Y984-INDEX(K$4:K1350,MATCH(LARGE(FILTER(I$4:I1350,I$4:I1350&lt;=W984),1),I$4:I1350))-(W984-LARGE(FILTER(I$4:I"&amp;"1350,I$4:I1350&lt;=W984),1))*INDEX(F$4:F1350,MATCH(LARGE(FILTER(I$4:I1350,I$4:I1350&lt;=W984),1),I$4:I1350))))"),"")</f>
        <v/>
      </c>
      <c r="N984" s="60" t="str">
        <f t="shared" si="8"/>
        <v/>
      </c>
      <c r="O984" s="61" t="str">
        <f t="shared" si="9"/>
        <v/>
      </c>
      <c r="P984" s="56" t="str">
        <f t="shared" si="10"/>
        <v/>
      </c>
      <c r="Q984" s="62"/>
      <c r="R984" s="10" t="str">
        <f>IFERROR(__xludf.DUMMYFUNCTION("IF(COUNTA(Q984:Q1350)=0,"""",IF(ISBLANK(Q984),FALSE,IF(NOT(COUNTIF($AA$24:$AA$34,SUBSTITUTE(Q984,""Sell_"",""""))),1,IF(REGEXMATCH(Q984,""Sell_""),IF(COUNTIF(Q$4:Q984,SUBSTITUTE(Q984,""Sell_"",""""))-COUNTIF(Q$4:Q983,Q984)&lt;1,1),FALSE))))"),"")</f>
        <v/>
      </c>
      <c r="S984" s="59" t="str">
        <f t="array" ref="S984">IF(COUNTA(Q984:Q1350)=0,"",SUM((COUNTIF(Q$4:Q984,Upgrades!$B$3:$B$13)-COUNTIF(Q$4:Q984,"Sell_"&amp;Upgrades!$B$3:$B$13))*Upgrades!$D$3:$D$13))</f>
        <v/>
      </c>
      <c r="T984" s="66" t="str">
        <f>IFERROR(__xludf.DUMMYFUNCTION("IF(COUNTA(Q984:Q1350)=0,"""",IF(REGEXMATCH(INDEX(FILTER(Q$4:Q984,Q$4:Q984&lt;&gt;""""),ROWS(FILTER(Q$4:Q984,Q$4:Q984&lt;&gt;""""))),""^Sell_""),INDEX(FILTER(T$4:T983,Q$4:Q983&lt;&gt;""""),ROWS(FILTER(Q$4:Q983,Q$4:Q983&lt;&gt;""""))),$AD$5+S984))"),"")</f>
        <v/>
      </c>
      <c r="U984" s="10" t="str">
        <f>IFERROR(__xludf.DUMMYFUNCTION("IF(COUNTA(Q984:Q1350)=0,"""",IF(Q984="""",0,IF(REGEXMATCH(Q984,""^Sell_""),-ROUNDDOWN(ROUNDUP(INDEX(Upgrades!$C$3:$C$13,MATCH(SUBSTITUTE(Q984,""Sell_"",""""),Upgrades!$B$3:$B$13,0))*1.15^(COUNTIF(Q$4:Q983,SUBSTITUTE(Q984,""Sell_"",""""))-COUNTIF(Q$4:Q983,"&amp;"""Sell_""&amp;SUBSTITUTE(Q984,""Sell_"",""""))))/2),ROUNDUP(INDEX(Upgrades!$C$3:$C$13,MATCH(Q984,Upgrades!$B$3:$B$13,0))*1.15^(COUNTIF(Q$4:Q983,Q984)-COUNTIF(Q$4:Q983,""Sell_""&amp;Q984))))))"),"")</f>
        <v/>
      </c>
      <c r="V984" s="10" t="str">
        <f t="shared" si="11"/>
        <v/>
      </c>
      <c r="W984" s="68" t="str">
        <f t="shared" si="12"/>
        <v/>
      </c>
      <c r="X984" s="59" t="str">
        <f t="shared" si="13"/>
        <v/>
      </c>
      <c r="Y984" s="69" t="str">
        <f t="shared" si="14"/>
        <v/>
      </c>
      <c r="Z984" s="11"/>
    </row>
    <row r="985">
      <c r="A985" s="8"/>
      <c r="B985" s="56" t="str">
        <f t="shared" si="2"/>
        <v/>
      </c>
      <c r="C985" s="57"/>
      <c r="D985" s="10" t="str">
        <f>IFERROR(__xludf.DUMMYFUNCTION("IF(COUNTA(C985:C1350)=0,"""",IF(ISBLANK(C985),FALSE,IF(NOT(COUNTIF($AA$24:$AA$34,SUBSTITUTE(C985,""Sell_"",""""))),1,IF(REGEXMATCH(C985,""Sell_""),IF(COUNTIF(C$4:C985,SUBSTITUTE(C985,""Sell_"",""""))-COUNTIF(C$4:C984,C985)&lt;1,1),FALSE))))"),"")</f>
        <v/>
      </c>
      <c r="E985" s="59" t="str">
        <f t="array" ref="E985">IF(COUNTA(C985:C1350)=0,"",SUM((COUNTIF(C$4:C985,Upgrades!$B$3:$B$13)-COUNTIF(C$4:C985,"Sell_"&amp;Upgrades!$B$3:$B$13))*Upgrades!$D$3:$D$13))</f>
        <v/>
      </c>
      <c r="F985" s="66" t="str">
        <f>IFERROR(__xludf.DUMMYFUNCTION("IF(COUNTA(C985:C1350)=0,"""",IF(REGEXMATCH(INDEX(FILTER(C$4:C985,C$4:C985&lt;&gt;""""),ROWS(FILTER(C$4:C985,C$4:C985&lt;&gt;""""))),""^Sell_""),INDEX(FILTER(F$4:F984,C$4:C984&lt;&gt;""""),ROWS(FILTER(C$4:C984,C$4:C984&lt;&gt;""""))),$AC$5+E985))"),"")</f>
        <v/>
      </c>
      <c r="G985" s="10" t="str">
        <f>IFERROR(__xludf.DUMMYFUNCTION("IF(COUNTA(C985:C1350)=0,"""",IF(C985="""",0,IF(REGEXMATCH(C985,""^Sell_""),-ROUNDDOWN(ROUNDUP(INDEX(Upgrades!$C$3:$C$13,MATCH(SUBSTITUTE(C985,""Sell_"",""""),Upgrades!$B$3:$B$13,0))*1.15^(COUNTIF(C$4:C984,SUBSTITUTE(C985,""Sell_"",""""))-COUNTIF(C$4:C984,"&amp;"""Sell_""&amp;SUBSTITUTE(C985,""Sell_"",""""))))/2),ROUNDUP(INDEX(Upgrades!$C$3:$C$13,MATCH(C985,Upgrades!$B$3:$B$13,0))*1.15^(COUNTIF(C$4:C984,C985)-COUNTIF(C$4:C984,""Sell_""&amp;C985))))))"),"")</f>
        <v/>
      </c>
      <c r="H985" s="10" t="str">
        <f t="shared" si="3"/>
        <v/>
      </c>
      <c r="I985" s="68" t="str">
        <f t="shared" si="4"/>
        <v/>
      </c>
      <c r="J985" s="59" t="str">
        <f t="shared" si="5"/>
        <v/>
      </c>
      <c r="K985" s="69" t="str">
        <f t="shared" si="6"/>
        <v/>
      </c>
      <c r="L985" s="60" t="str">
        <f t="shared" si="7"/>
        <v/>
      </c>
      <c r="M985" s="61" t="str">
        <f>IFERROR(__xludf.DUMMYFUNCTION("IFS(AND(COUNTA(C985:C1350)=0,COUNTA(Q985:Q1350)=0),"""",OR(AND(K985&gt;=1000000000,OR(Y985&gt;=1000000000,COUNTA(Q985:Q1350)=0)),OR(Y985&gt;=1000000000,AND(COUNTA(C985:C1350)=0,P$3=TRUE))),
ROUNDDOWN((AB$1-AC$1)*MAX(INDEX(T$4:T1350,MATCH(LARGE(FILTER(Y$4:Y1350,Y$4"&amp;":Y1350&lt;1000000000),1),Y$4:Y1350)),INDEX(F$4:F1350,MATCH(LARGE(FILTER(K$4:K1350,K$4:K1350&lt;1000000000),1),K$4:K1350)))),AND(K985&lt;1000000000,COUNTA(C985:C1350)&gt;0,P$3=FALSE),
ROUNDDOWN(INDEX(Y$4:Y1350,MATCH(LARGE(FILTER(W$4:W1350,W$4:W1350&lt;=I985),1),W$4:W1350"&amp;"))+(I985-LARGE(FILTER(W$4:W1350,W$4:W1350&lt;=I985),1))*INDEX(T$4:T1350,MATCH(LARGE(FILTER(W$4:W1350,W$4:W1350&lt;=I985),1),W$4:W1350))-K985),1,
ROUNDDOWN(Y985-INDEX(K$4:K1350,MATCH(LARGE(FILTER(I$4:I1350,I$4:I1350&lt;=W985),1),I$4:I1350))-(W985-LARGE(FILTER(I$4:I"&amp;"1350,I$4:I1350&lt;=W985),1))*INDEX(F$4:F1350,MATCH(LARGE(FILTER(I$4:I1350,I$4:I1350&lt;=W985),1),I$4:I1350))))"),"")</f>
        <v/>
      </c>
      <c r="N985" s="60" t="str">
        <f t="shared" si="8"/>
        <v/>
      </c>
      <c r="O985" s="61" t="str">
        <f t="shared" si="9"/>
        <v/>
      </c>
      <c r="P985" s="56" t="str">
        <f t="shared" si="10"/>
        <v/>
      </c>
      <c r="Q985" s="62"/>
      <c r="R985" s="10" t="str">
        <f>IFERROR(__xludf.DUMMYFUNCTION("IF(COUNTA(Q985:Q1350)=0,"""",IF(ISBLANK(Q985),FALSE,IF(NOT(COUNTIF($AA$24:$AA$34,SUBSTITUTE(Q985,""Sell_"",""""))),1,IF(REGEXMATCH(Q985,""Sell_""),IF(COUNTIF(Q$4:Q985,SUBSTITUTE(Q985,""Sell_"",""""))-COUNTIF(Q$4:Q984,Q985)&lt;1,1),FALSE))))"),"")</f>
        <v/>
      </c>
      <c r="S985" s="59" t="str">
        <f t="array" ref="S985">IF(COUNTA(Q985:Q1350)=0,"",SUM((COUNTIF(Q$4:Q985,Upgrades!$B$3:$B$13)-COUNTIF(Q$4:Q985,"Sell_"&amp;Upgrades!$B$3:$B$13))*Upgrades!$D$3:$D$13))</f>
        <v/>
      </c>
      <c r="T985" s="66" t="str">
        <f>IFERROR(__xludf.DUMMYFUNCTION("IF(COUNTA(Q985:Q1350)=0,"""",IF(REGEXMATCH(INDEX(FILTER(Q$4:Q985,Q$4:Q985&lt;&gt;""""),ROWS(FILTER(Q$4:Q985,Q$4:Q985&lt;&gt;""""))),""^Sell_""),INDEX(FILTER(T$4:T984,Q$4:Q984&lt;&gt;""""),ROWS(FILTER(Q$4:Q984,Q$4:Q984&lt;&gt;""""))),$AD$5+S985))"),"")</f>
        <v/>
      </c>
      <c r="U985" s="10" t="str">
        <f>IFERROR(__xludf.DUMMYFUNCTION("IF(COUNTA(Q985:Q1350)=0,"""",IF(Q985="""",0,IF(REGEXMATCH(Q985,""^Sell_""),-ROUNDDOWN(ROUNDUP(INDEX(Upgrades!$C$3:$C$13,MATCH(SUBSTITUTE(Q985,""Sell_"",""""),Upgrades!$B$3:$B$13,0))*1.15^(COUNTIF(Q$4:Q984,SUBSTITUTE(Q985,""Sell_"",""""))-COUNTIF(Q$4:Q984,"&amp;"""Sell_""&amp;SUBSTITUTE(Q985,""Sell_"",""""))))/2),ROUNDUP(INDEX(Upgrades!$C$3:$C$13,MATCH(Q985,Upgrades!$B$3:$B$13,0))*1.15^(COUNTIF(Q$4:Q984,Q985)-COUNTIF(Q$4:Q984,""Sell_""&amp;Q985))))))"),"")</f>
        <v/>
      </c>
      <c r="V985" s="10" t="str">
        <f t="shared" si="11"/>
        <v/>
      </c>
      <c r="W985" s="68" t="str">
        <f t="shared" si="12"/>
        <v/>
      </c>
      <c r="X985" s="59" t="str">
        <f t="shared" si="13"/>
        <v/>
      </c>
      <c r="Y985" s="69" t="str">
        <f t="shared" si="14"/>
        <v/>
      </c>
      <c r="Z985" s="11"/>
    </row>
    <row r="986">
      <c r="A986" s="8"/>
      <c r="B986" s="56" t="str">
        <f t="shared" si="2"/>
        <v/>
      </c>
      <c r="C986" s="57"/>
      <c r="D986" s="10" t="str">
        <f>IFERROR(__xludf.DUMMYFUNCTION("IF(COUNTA(C986:C1350)=0,"""",IF(ISBLANK(C986),FALSE,IF(NOT(COUNTIF($AA$24:$AA$34,SUBSTITUTE(C986,""Sell_"",""""))),1,IF(REGEXMATCH(C986,""Sell_""),IF(COUNTIF(C$4:C986,SUBSTITUTE(C986,""Sell_"",""""))-COUNTIF(C$4:C985,C986)&lt;1,1),FALSE))))"),"")</f>
        <v/>
      </c>
      <c r="E986" s="59" t="str">
        <f t="array" ref="E986">IF(COUNTA(C986:C1350)=0,"",SUM((COUNTIF(C$4:C986,Upgrades!$B$3:$B$13)-COUNTIF(C$4:C986,"Sell_"&amp;Upgrades!$B$3:$B$13))*Upgrades!$D$3:$D$13))</f>
        <v/>
      </c>
      <c r="F986" s="66" t="str">
        <f>IFERROR(__xludf.DUMMYFUNCTION("IF(COUNTA(C986:C1350)=0,"""",IF(REGEXMATCH(INDEX(FILTER(C$4:C986,C$4:C986&lt;&gt;""""),ROWS(FILTER(C$4:C986,C$4:C986&lt;&gt;""""))),""^Sell_""),INDEX(FILTER(F$4:F985,C$4:C985&lt;&gt;""""),ROWS(FILTER(C$4:C985,C$4:C985&lt;&gt;""""))),$AC$5+E986))"),"")</f>
        <v/>
      </c>
      <c r="G986" s="10" t="str">
        <f>IFERROR(__xludf.DUMMYFUNCTION("IF(COUNTA(C986:C1350)=0,"""",IF(C986="""",0,IF(REGEXMATCH(C986,""^Sell_""),-ROUNDDOWN(ROUNDUP(INDEX(Upgrades!$C$3:$C$13,MATCH(SUBSTITUTE(C986,""Sell_"",""""),Upgrades!$B$3:$B$13,0))*1.15^(COUNTIF(C$4:C985,SUBSTITUTE(C986,""Sell_"",""""))-COUNTIF(C$4:C985,"&amp;"""Sell_""&amp;SUBSTITUTE(C986,""Sell_"",""""))))/2),ROUNDUP(INDEX(Upgrades!$C$3:$C$13,MATCH(C986,Upgrades!$B$3:$B$13,0))*1.15^(COUNTIF(C$4:C985,C986)-COUNTIF(C$4:C985,""Sell_""&amp;C986))))))"),"")</f>
        <v/>
      </c>
      <c r="H986" s="10" t="str">
        <f t="shared" si="3"/>
        <v/>
      </c>
      <c r="I986" s="68" t="str">
        <f t="shared" si="4"/>
        <v/>
      </c>
      <c r="J986" s="59" t="str">
        <f t="shared" si="5"/>
        <v/>
      </c>
      <c r="K986" s="69" t="str">
        <f t="shared" si="6"/>
        <v/>
      </c>
      <c r="L986" s="60" t="str">
        <f t="shared" si="7"/>
        <v/>
      </c>
      <c r="M986" s="61" t="str">
        <f>IFERROR(__xludf.DUMMYFUNCTION("IFS(AND(COUNTA(C986:C1350)=0,COUNTA(Q986:Q1350)=0),"""",OR(AND(K986&gt;=1000000000,OR(Y986&gt;=1000000000,COUNTA(Q986:Q1350)=0)),OR(Y986&gt;=1000000000,AND(COUNTA(C986:C1350)=0,P$3=TRUE))),
ROUNDDOWN((AB$1-AC$1)*MAX(INDEX(T$4:T1350,MATCH(LARGE(FILTER(Y$4:Y1350,Y$4"&amp;":Y1350&lt;1000000000),1),Y$4:Y1350)),INDEX(F$4:F1350,MATCH(LARGE(FILTER(K$4:K1350,K$4:K1350&lt;1000000000),1),K$4:K1350)))),AND(K986&lt;1000000000,COUNTA(C986:C1350)&gt;0,P$3=FALSE),
ROUNDDOWN(INDEX(Y$4:Y1350,MATCH(LARGE(FILTER(W$4:W1350,W$4:W1350&lt;=I986),1),W$4:W1350"&amp;"))+(I986-LARGE(FILTER(W$4:W1350,W$4:W1350&lt;=I986),1))*INDEX(T$4:T1350,MATCH(LARGE(FILTER(W$4:W1350,W$4:W1350&lt;=I986),1),W$4:W1350))-K986),1,
ROUNDDOWN(Y986-INDEX(K$4:K1350,MATCH(LARGE(FILTER(I$4:I1350,I$4:I1350&lt;=W986),1),I$4:I1350))-(W986-LARGE(FILTER(I$4:I"&amp;"1350,I$4:I1350&lt;=W986),1))*INDEX(F$4:F1350,MATCH(LARGE(FILTER(I$4:I1350,I$4:I1350&lt;=W986),1),I$4:I1350))))"),"")</f>
        <v/>
      </c>
      <c r="N986" s="60" t="str">
        <f t="shared" si="8"/>
        <v/>
      </c>
      <c r="O986" s="61" t="str">
        <f t="shared" si="9"/>
        <v/>
      </c>
      <c r="P986" s="56" t="str">
        <f t="shared" si="10"/>
        <v/>
      </c>
      <c r="Q986" s="62"/>
      <c r="R986" s="10" t="str">
        <f>IFERROR(__xludf.DUMMYFUNCTION("IF(COUNTA(Q986:Q1350)=0,"""",IF(ISBLANK(Q986),FALSE,IF(NOT(COUNTIF($AA$24:$AA$34,SUBSTITUTE(Q986,""Sell_"",""""))),1,IF(REGEXMATCH(Q986,""Sell_""),IF(COUNTIF(Q$4:Q986,SUBSTITUTE(Q986,""Sell_"",""""))-COUNTIF(Q$4:Q985,Q986)&lt;1,1),FALSE))))"),"")</f>
        <v/>
      </c>
      <c r="S986" s="59" t="str">
        <f t="array" ref="S986">IF(COUNTA(Q986:Q1350)=0,"",SUM((COUNTIF(Q$4:Q986,Upgrades!$B$3:$B$13)-COUNTIF(Q$4:Q986,"Sell_"&amp;Upgrades!$B$3:$B$13))*Upgrades!$D$3:$D$13))</f>
        <v/>
      </c>
      <c r="T986" s="66" t="str">
        <f>IFERROR(__xludf.DUMMYFUNCTION("IF(COUNTA(Q986:Q1350)=0,"""",IF(REGEXMATCH(INDEX(FILTER(Q$4:Q986,Q$4:Q986&lt;&gt;""""),ROWS(FILTER(Q$4:Q986,Q$4:Q986&lt;&gt;""""))),""^Sell_""),INDEX(FILTER(T$4:T985,Q$4:Q985&lt;&gt;""""),ROWS(FILTER(Q$4:Q985,Q$4:Q985&lt;&gt;""""))),$AD$5+S986))"),"")</f>
        <v/>
      </c>
      <c r="U986" s="10" t="str">
        <f>IFERROR(__xludf.DUMMYFUNCTION("IF(COUNTA(Q986:Q1350)=0,"""",IF(Q986="""",0,IF(REGEXMATCH(Q986,""^Sell_""),-ROUNDDOWN(ROUNDUP(INDEX(Upgrades!$C$3:$C$13,MATCH(SUBSTITUTE(Q986,""Sell_"",""""),Upgrades!$B$3:$B$13,0))*1.15^(COUNTIF(Q$4:Q985,SUBSTITUTE(Q986,""Sell_"",""""))-COUNTIF(Q$4:Q985,"&amp;"""Sell_""&amp;SUBSTITUTE(Q986,""Sell_"",""""))))/2),ROUNDUP(INDEX(Upgrades!$C$3:$C$13,MATCH(Q986,Upgrades!$B$3:$B$13,0))*1.15^(COUNTIF(Q$4:Q985,Q986)-COUNTIF(Q$4:Q985,""Sell_""&amp;Q986))))))"),"")</f>
        <v/>
      </c>
      <c r="V986" s="10" t="str">
        <f t="shared" si="11"/>
        <v/>
      </c>
      <c r="W986" s="68" t="str">
        <f t="shared" si="12"/>
        <v/>
      </c>
      <c r="X986" s="59" t="str">
        <f t="shared" si="13"/>
        <v/>
      </c>
      <c r="Y986" s="69" t="str">
        <f t="shared" si="14"/>
        <v/>
      </c>
      <c r="Z986" s="11"/>
    </row>
    <row r="987">
      <c r="A987" s="8"/>
      <c r="B987" s="56" t="str">
        <f t="shared" si="2"/>
        <v/>
      </c>
      <c r="C987" s="57"/>
      <c r="D987" s="10" t="str">
        <f>IFERROR(__xludf.DUMMYFUNCTION("IF(COUNTA(C987:C1350)=0,"""",IF(ISBLANK(C987),FALSE,IF(NOT(COUNTIF($AA$24:$AA$34,SUBSTITUTE(C987,""Sell_"",""""))),1,IF(REGEXMATCH(C987,""Sell_""),IF(COUNTIF(C$4:C987,SUBSTITUTE(C987,""Sell_"",""""))-COUNTIF(C$4:C986,C987)&lt;1,1),FALSE))))"),"")</f>
        <v/>
      </c>
      <c r="E987" s="59" t="str">
        <f t="array" ref="E987">IF(COUNTA(C987:C1350)=0,"",SUM((COUNTIF(C$4:C987,Upgrades!$B$3:$B$13)-COUNTIF(C$4:C987,"Sell_"&amp;Upgrades!$B$3:$B$13))*Upgrades!$D$3:$D$13))</f>
        <v/>
      </c>
      <c r="F987" s="66" t="str">
        <f>IFERROR(__xludf.DUMMYFUNCTION("IF(COUNTA(C987:C1350)=0,"""",IF(REGEXMATCH(INDEX(FILTER(C$4:C987,C$4:C987&lt;&gt;""""),ROWS(FILTER(C$4:C987,C$4:C987&lt;&gt;""""))),""^Sell_""),INDEX(FILTER(F$4:F986,C$4:C986&lt;&gt;""""),ROWS(FILTER(C$4:C986,C$4:C986&lt;&gt;""""))),$AC$5+E987))"),"")</f>
        <v/>
      </c>
      <c r="G987" s="10" t="str">
        <f>IFERROR(__xludf.DUMMYFUNCTION("IF(COUNTA(C987:C1350)=0,"""",IF(C987="""",0,IF(REGEXMATCH(C987,""^Sell_""),-ROUNDDOWN(ROUNDUP(INDEX(Upgrades!$C$3:$C$13,MATCH(SUBSTITUTE(C987,""Sell_"",""""),Upgrades!$B$3:$B$13,0))*1.15^(COUNTIF(C$4:C986,SUBSTITUTE(C987,""Sell_"",""""))-COUNTIF(C$4:C986,"&amp;"""Sell_""&amp;SUBSTITUTE(C987,""Sell_"",""""))))/2),ROUNDUP(INDEX(Upgrades!$C$3:$C$13,MATCH(C987,Upgrades!$B$3:$B$13,0))*1.15^(COUNTIF(C$4:C986,C987)-COUNTIF(C$4:C986,""Sell_""&amp;C987))))))"),"")</f>
        <v/>
      </c>
      <c r="H987" s="10" t="str">
        <f t="shared" si="3"/>
        <v/>
      </c>
      <c r="I987" s="68" t="str">
        <f t="shared" si="4"/>
        <v/>
      </c>
      <c r="J987" s="59" t="str">
        <f t="shared" si="5"/>
        <v/>
      </c>
      <c r="K987" s="69" t="str">
        <f t="shared" si="6"/>
        <v/>
      </c>
      <c r="L987" s="60" t="str">
        <f t="shared" si="7"/>
        <v/>
      </c>
      <c r="M987" s="61" t="str">
        <f>IFERROR(__xludf.DUMMYFUNCTION("IFS(AND(COUNTA(C987:C1350)=0,COUNTA(Q987:Q1350)=0),"""",OR(AND(K987&gt;=1000000000,OR(Y987&gt;=1000000000,COUNTA(Q987:Q1350)=0)),OR(Y987&gt;=1000000000,AND(COUNTA(C987:C1350)=0,P$3=TRUE))),
ROUNDDOWN((AB$1-AC$1)*MAX(INDEX(T$4:T1350,MATCH(LARGE(FILTER(Y$4:Y1350,Y$4"&amp;":Y1350&lt;1000000000),1),Y$4:Y1350)),INDEX(F$4:F1350,MATCH(LARGE(FILTER(K$4:K1350,K$4:K1350&lt;1000000000),1),K$4:K1350)))),AND(K987&lt;1000000000,COUNTA(C987:C1350)&gt;0,P$3=FALSE),
ROUNDDOWN(INDEX(Y$4:Y1350,MATCH(LARGE(FILTER(W$4:W1350,W$4:W1350&lt;=I987),1),W$4:W1350"&amp;"))+(I987-LARGE(FILTER(W$4:W1350,W$4:W1350&lt;=I987),1))*INDEX(T$4:T1350,MATCH(LARGE(FILTER(W$4:W1350,W$4:W1350&lt;=I987),1),W$4:W1350))-K987),1,
ROUNDDOWN(Y987-INDEX(K$4:K1350,MATCH(LARGE(FILTER(I$4:I1350,I$4:I1350&lt;=W987),1),I$4:I1350))-(W987-LARGE(FILTER(I$4:I"&amp;"1350,I$4:I1350&lt;=W987),1))*INDEX(F$4:F1350,MATCH(LARGE(FILTER(I$4:I1350,I$4:I1350&lt;=W987),1),I$4:I1350))))"),"")</f>
        <v/>
      </c>
      <c r="N987" s="60" t="str">
        <f t="shared" si="8"/>
        <v/>
      </c>
      <c r="O987" s="61" t="str">
        <f t="shared" si="9"/>
        <v/>
      </c>
      <c r="P987" s="56" t="str">
        <f t="shared" si="10"/>
        <v/>
      </c>
      <c r="Q987" s="62"/>
      <c r="R987" s="10" t="str">
        <f>IFERROR(__xludf.DUMMYFUNCTION("IF(COUNTA(Q987:Q1350)=0,"""",IF(ISBLANK(Q987),FALSE,IF(NOT(COUNTIF($AA$24:$AA$34,SUBSTITUTE(Q987,""Sell_"",""""))),1,IF(REGEXMATCH(Q987,""Sell_""),IF(COUNTIF(Q$4:Q987,SUBSTITUTE(Q987,""Sell_"",""""))-COUNTIF(Q$4:Q986,Q987)&lt;1,1),FALSE))))"),"")</f>
        <v/>
      </c>
      <c r="S987" s="59" t="str">
        <f t="array" ref="S987">IF(COUNTA(Q987:Q1350)=0,"",SUM((COUNTIF(Q$4:Q987,Upgrades!$B$3:$B$13)-COUNTIF(Q$4:Q987,"Sell_"&amp;Upgrades!$B$3:$B$13))*Upgrades!$D$3:$D$13))</f>
        <v/>
      </c>
      <c r="T987" s="66" t="str">
        <f>IFERROR(__xludf.DUMMYFUNCTION("IF(COUNTA(Q987:Q1350)=0,"""",IF(REGEXMATCH(INDEX(FILTER(Q$4:Q987,Q$4:Q987&lt;&gt;""""),ROWS(FILTER(Q$4:Q987,Q$4:Q987&lt;&gt;""""))),""^Sell_""),INDEX(FILTER(T$4:T986,Q$4:Q986&lt;&gt;""""),ROWS(FILTER(Q$4:Q986,Q$4:Q986&lt;&gt;""""))),$AD$5+S987))"),"")</f>
        <v/>
      </c>
      <c r="U987" s="10" t="str">
        <f>IFERROR(__xludf.DUMMYFUNCTION("IF(COUNTA(Q987:Q1350)=0,"""",IF(Q987="""",0,IF(REGEXMATCH(Q987,""^Sell_""),-ROUNDDOWN(ROUNDUP(INDEX(Upgrades!$C$3:$C$13,MATCH(SUBSTITUTE(Q987,""Sell_"",""""),Upgrades!$B$3:$B$13,0))*1.15^(COUNTIF(Q$4:Q986,SUBSTITUTE(Q987,""Sell_"",""""))-COUNTIF(Q$4:Q986,"&amp;"""Sell_""&amp;SUBSTITUTE(Q987,""Sell_"",""""))))/2),ROUNDUP(INDEX(Upgrades!$C$3:$C$13,MATCH(Q987,Upgrades!$B$3:$B$13,0))*1.15^(COUNTIF(Q$4:Q986,Q987)-COUNTIF(Q$4:Q986,""Sell_""&amp;Q987))))))"),"")</f>
        <v/>
      </c>
      <c r="V987" s="10" t="str">
        <f t="shared" si="11"/>
        <v/>
      </c>
      <c r="W987" s="68" t="str">
        <f t="shared" si="12"/>
        <v/>
      </c>
      <c r="X987" s="59" t="str">
        <f t="shared" si="13"/>
        <v/>
      </c>
      <c r="Y987" s="69" t="str">
        <f t="shared" si="14"/>
        <v/>
      </c>
      <c r="Z987" s="11"/>
    </row>
    <row r="988">
      <c r="A988" s="8"/>
      <c r="B988" s="56" t="str">
        <f t="shared" si="2"/>
        <v/>
      </c>
      <c r="C988" s="57"/>
      <c r="D988" s="10" t="str">
        <f>IFERROR(__xludf.DUMMYFUNCTION("IF(COUNTA(C988:C1350)=0,"""",IF(ISBLANK(C988),FALSE,IF(NOT(COUNTIF($AA$24:$AA$34,SUBSTITUTE(C988,""Sell_"",""""))),1,IF(REGEXMATCH(C988,""Sell_""),IF(COUNTIF(C$4:C988,SUBSTITUTE(C988,""Sell_"",""""))-COUNTIF(C$4:C987,C988)&lt;1,1),FALSE))))"),"")</f>
        <v/>
      </c>
      <c r="E988" s="59" t="str">
        <f t="array" ref="E988">IF(COUNTA(C988:C1350)=0,"",SUM((COUNTIF(C$4:C988,Upgrades!$B$3:$B$13)-COUNTIF(C$4:C988,"Sell_"&amp;Upgrades!$B$3:$B$13))*Upgrades!$D$3:$D$13))</f>
        <v/>
      </c>
      <c r="F988" s="66" t="str">
        <f>IFERROR(__xludf.DUMMYFUNCTION("IF(COUNTA(C988:C1350)=0,"""",IF(REGEXMATCH(INDEX(FILTER(C$4:C988,C$4:C988&lt;&gt;""""),ROWS(FILTER(C$4:C988,C$4:C988&lt;&gt;""""))),""^Sell_""),INDEX(FILTER(F$4:F987,C$4:C987&lt;&gt;""""),ROWS(FILTER(C$4:C987,C$4:C987&lt;&gt;""""))),$AC$5+E988))"),"")</f>
        <v/>
      </c>
      <c r="G988" s="10" t="str">
        <f>IFERROR(__xludf.DUMMYFUNCTION("IF(COUNTA(C988:C1350)=0,"""",IF(C988="""",0,IF(REGEXMATCH(C988,""^Sell_""),-ROUNDDOWN(ROUNDUP(INDEX(Upgrades!$C$3:$C$13,MATCH(SUBSTITUTE(C988,""Sell_"",""""),Upgrades!$B$3:$B$13,0))*1.15^(COUNTIF(C$4:C987,SUBSTITUTE(C988,""Sell_"",""""))-COUNTIF(C$4:C987,"&amp;"""Sell_""&amp;SUBSTITUTE(C988,""Sell_"",""""))))/2),ROUNDUP(INDEX(Upgrades!$C$3:$C$13,MATCH(C988,Upgrades!$B$3:$B$13,0))*1.15^(COUNTIF(C$4:C987,C988)-COUNTIF(C$4:C987,""Sell_""&amp;C988))))))"),"")</f>
        <v/>
      </c>
      <c r="H988" s="10" t="str">
        <f t="shared" si="3"/>
        <v/>
      </c>
      <c r="I988" s="68" t="str">
        <f t="shared" si="4"/>
        <v/>
      </c>
      <c r="J988" s="59" t="str">
        <f t="shared" si="5"/>
        <v/>
      </c>
      <c r="K988" s="69" t="str">
        <f t="shared" si="6"/>
        <v/>
      </c>
      <c r="L988" s="60" t="str">
        <f t="shared" si="7"/>
        <v/>
      </c>
      <c r="M988" s="61" t="str">
        <f>IFERROR(__xludf.DUMMYFUNCTION("IFS(AND(COUNTA(C988:C1350)=0,COUNTA(Q988:Q1350)=0),"""",OR(AND(K988&gt;=1000000000,OR(Y988&gt;=1000000000,COUNTA(Q988:Q1350)=0)),OR(Y988&gt;=1000000000,AND(COUNTA(C988:C1350)=0,P$3=TRUE))),
ROUNDDOWN((AB$1-AC$1)*MAX(INDEX(T$4:T1350,MATCH(LARGE(FILTER(Y$4:Y1350,Y$4"&amp;":Y1350&lt;1000000000),1),Y$4:Y1350)),INDEX(F$4:F1350,MATCH(LARGE(FILTER(K$4:K1350,K$4:K1350&lt;1000000000),1),K$4:K1350)))),AND(K988&lt;1000000000,COUNTA(C988:C1350)&gt;0,P$3=FALSE),
ROUNDDOWN(INDEX(Y$4:Y1350,MATCH(LARGE(FILTER(W$4:W1350,W$4:W1350&lt;=I988),1),W$4:W1350"&amp;"))+(I988-LARGE(FILTER(W$4:W1350,W$4:W1350&lt;=I988),1))*INDEX(T$4:T1350,MATCH(LARGE(FILTER(W$4:W1350,W$4:W1350&lt;=I988),1),W$4:W1350))-K988),1,
ROUNDDOWN(Y988-INDEX(K$4:K1350,MATCH(LARGE(FILTER(I$4:I1350,I$4:I1350&lt;=W988),1),I$4:I1350))-(W988-LARGE(FILTER(I$4:I"&amp;"1350,I$4:I1350&lt;=W988),1))*INDEX(F$4:F1350,MATCH(LARGE(FILTER(I$4:I1350,I$4:I1350&lt;=W988),1),I$4:I1350))))"),"")</f>
        <v/>
      </c>
      <c r="N988" s="60" t="str">
        <f t="shared" si="8"/>
        <v/>
      </c>
      <c r="O988" s="61" t="str">
        <f t="shared" si="9"/>
        <v/>
      </c>
      <c r="P988" s="56" t="str">
        <f t="shared" si="10"/>
        <v/>
      </c>
      <c r="Q988" s="62"/>
      <c r="R988" s="10" t="str">
        <f>IFERROR(__xludf.DUMMYFUNCTION("IF(COUNTA(Q988:Q1350)=0,"""",IF(ISBLANK(Q988),FALSE,IF(NOT(COUNTIF($AA$24:$AA$34,SUBSTITUTE(Q988,""Sell_"",""""))),1,IF(REGEXMATCH(Q988,""Sell_""),IF(COUNTIF(Q$4:Q988,SUBSTITUTE(Q988,""Sell_"",""""))-COUNTIF(Q$4:Q987,Q988)&lt;1,1),FALSE))))"),"")</f>
        <v/>
      </c>
      <c r="S988" s="59" t="str">
        <f t="array" ref="S988">IF(COUNTA(Q988:Q1350)=0,"",SUM((COUNTIF(Q$4:Q988,Upgrades!$B$3:$B$13)-COUNTIF(Q$4:Q988,"Sell_"&amp;Upgrades!$B$3:$B$13))*Upgrades!$D$3:$D$13))</f>
        <v/>
      </c>
      <c r="T988" s="66" t="str">
        <f>IFERROR(__xludf.DUMMYFUNCTION("IF(COUNTA(Q988:Q1350)=0,"""",IF(REGEXMATCH(INDEX(FILTER(Q$4:Q988,Q$4:Q988&lt;&gt;""""),ROWS(FILTER(Q$4:Q988,Q$4:Q988&lt;&gt;""""))),""^Sell_""),INDEX(FILTER(T$4:T987,Q$4:Q987&lt;&gt;""""),ROWS(FILTER(Q$4:Q987,Q$4:Q987&lt;&gt;""""))),$AD$5+S988))"),"")</f>
        <v/>
      </c>
      <c r="U988" s="10" t="str">
        <f>IFERROR(__xludf.DUMMYFUNCTION("IF(COUNTA(Q988:Q1350)=0,"""",IF(Q988="""",0,IF(REGEXMATCH(Q988,""^Sell_""),-ROUNDDOWN(ROUNDUP(INDEX(Upgrades!$C$3:$C$13,MATCH(SUBSTITUTE(Q988,""Sell_"",""""),Upgrades!$B$3:$B$13,0))*1.15^(COUNTIF(Q$4:Q987,SUBSTITUTE(Q988,""Sell_"",""""))-COUNTIF(Q$4:Q987,"&amp;"""Sell_""&amp;SUBSTITUTE(Q988,""Sell_"",""""))))/2),ROUNDUP(INDEX(Upgrades!$C$3:$C$13,MATCH(Q988,Upgrades!$B$3:$B$13,0))*1.15^(COUNTIF(Q$4:Q987,Q988)-COUNTIF(Q$4:Q987,""Sell_""&amp;Q988))))))"),"")</f>
        <v/>
      </c>
      <c r="V988" s="10" t="str">
        <f t="shared" si="11"/>
        <v/>
      </c>
      <c r="W988" s="68" t="str">
        <f t="shared" si="12"/>
        <v/>
      </c>
      <c r="X988" s="59" t="str">
        <f t="shared" si="13"/>
        <v/>
      </c>
      <c r="Y988" s="69" t="str">
        <f t="shared" si="14"/>
        <v/>
      </c>
      <c r="Z988" s="11"/>
    </row>
    <row r="989">
      <c r="A989" s="8"/>
      <c r="B989" s="56" t="str">
        <f t="shared" si="2"/>
        <v/>
      </c>
      <c r="C989" s="57"/>
      <c r="D989" s="10" t="str">
        <f>IFERROR(__xludf.DUMMYFUNCTION("IF(COUNTA(C989:C1350)=0,"""",IF(ISBLANK(C989),FALSE,IF(NOT(COUNTIF($AA$24:$AA$34,SUBSTITUTE(C989,""Sell_"",""""))),1,IF(REGEXMATCH(C989,""Sell_""),IF(COUNTIF(C$4:C989,SUBSTITUTE(C989,""Sell_"",""""))-COUNTIF(C$4:C988,C989)&lt;1,1),FALSE))))"),"")</f>
        <v/>
      </c>
      <c r="E989" s="59" t="str">
        <f t="array" ref="E989">IF(COUNTA(C989:C1350)=0,"",SUM((COUNTIF(C$4:C989,Upgrades!$B$3:$B$13)-COUNTIF(C$4:C989,"Sell_"&amp;Upgrades!$B$3:$B$13))*Upgrades!$D$3:$D$13))</f>
        <v/>
      </c>
      <c r="F989" s="66" t="str">
        <f>IFERROR(__xludf.DUMMYFUNCTION("IF(COUNTA(C989:C1350)=0,"""",IF(REGEXMATCH(INDEX(FILTER(C$4:C989,C$4:C989&lt;&gt;""""),ROWS(FILTER(C$4:C989,C$4:C989&lt;&gt;""""))),""^Sell_""),INDEX(FILTER(F$4:F988,C$4:C988&lt;&gt;""""),ROWS(FILTER(C$4:C988,C$4:C988&lt;&gt;""""))),$AC$5+E989))"),"")</f>
        <v/>
      </c>
      <c r="G989" s="10" t="str">
        <f>IFERROR(__xludf.DUMMYFUNCTION("IF(COUNTA(C989:C1350)=0,"""",IF(C989="""",0,IF(REGEXMATCH(C989,""^Sell_""),-ROUNDDOWN(ROUNDUP(INDEX(Upgrades!$C$3:$C$13,MATCH(SUBSTITUTE(C989,""Sell_"",""""),Upgrades!$B$3:$B$13,0))*1.15^(COUNTIF(C$4:C988,SUBSTITUTE(C989,""Sell_"",""""))-COUNTIF(C$4:C988,"&amp;"""Sell_""&amp;SUBSTITUTE(C989,""Sell_"",""""))))/2),ROUNDUP(INDEX(Upgrades!$C$3:$C$13,MATCH(C989,Upgrades!$B$3:$B$13,0))*1.15^(COUNTIF(C$4:C988,C989)-COUNTIF(C$4:C988,""Sell_""&amp;C989))))))"),"")</f>
        <v/>
      </c>
      <c r="H989" s="10" t="str">
        <f t="shared" si="3"/>
        <v/>
      </c>
      <c r="I989" s="68" t="str">
        <f t="shared" si="4"/>
        <v/>
      </c>
      <c r="J989" s="59" t="str">
        <f t="shared" si="5"/>
        <v/>
      </c>
      <c r="K989" s="69" t="str">
        <f t="shared" si="6"/>
        <v/>
      </c>
      <c r="L989" s="60" t="str">
        <f t="shared" si="7"/>
        <v/>
      </c>
      <c r="M989" s="61" t="str">
        <f>IFERROR(__xludf.DUMMYFUNCTION("IFS(AND(COUNTA(C989:C1350)=0,COUNTA(Q989:Q1350)=0),"""",OR(AND(K989&gt;=1000000000,OR(Y989&gt;=1000000000,COUNTA(Q989:Q1350)=0)),OR(Y989&gt;=1000000000,AND(COUNTA(C989:C1350)=0,P$3=TRUE))),
ROUNDDOWN((AB$1-AC$1)*MAX(INDEX(T$4:T1350,MATCH(LARGE(FILTER(Y$4:Y1350,Y$4"&amp;":Y1350&lt;1000000000),1),Y$4:Y1350)),INDEX(F$4:F1350,MATCH(LARGE(FILTER(K$4:K1350,K$4:K1350&lt;1000000000),1),K$4:K1350)))),AND(K989&lt;1000000000,COUNTA(C989:C1350)&gt;0,P$3=FALSE),
ROUNDDOWN(INDEX(Y$4:Y1350,MATCH(LARGE(FILTER(W$4:W1350,W$4:W1350&lt;=I989),1),W$4:W1350"&amp;"))+(I989-LARGE(FILTER(W$4:W1350,W$4:W1350&lt;=I989),1))*INDEX(T$4:T1350,MATCH(LARGE(FILTER(W$4:W1350,W$4:W1350&lt;=I989),1),W$4:W1350))-K989),1,
ROUNDDOWN(Y989-INDEX(K$4:K1350,MATCH(LARGE(FILTER(I$4:I1350,I$4:I1350&lt;=W989),1),I$4:I1350))-(W989-LARGE(FILTER(I$4:I"&amp;"1350,I$4:I1350&lt;=W989),1))*INDEX(F$4:F1350,MATCH(LARGE(FILTER(I$4:I1350,I$4:I1350&lt;=W989),1),I$4:I1350))))"),"")</f>
        <v/>
      </c>
      <c r="N989" s="60" t="str">
        <f t="shared" si="8"/>
        <v/>
      </c>
      <c r="O989" s="61" t="str">
        <f t="shared" si="9"/>
        <v/>
      </c>
      <c r="P989" s="56" t="str">
        <f t="shared" si="10"/>
        <v/>
      </c>
      <c r="Q989" s="62"/>
      <c r="R989" s="10" t="str">
        <f>IFERROR(__xludf.DUMMYFUNCTION("IF(COUNTA(Q989:Q1350)=0,"""",IF(ISBLANK(Q989),FALSE,IF(NOT(COUNTIF($AA$24:$AA$34,SUBSTITUTE(Q989,""Sell_"",""""))),1,IF(REGEXMATCH(Q989,""Sell_""),IF(COUNTIF(Q$4:Q989,SUBSTITUTE(Q989,""Sell_"",""""))-COUNTIF(Q$4:Q988,Q989)&lt;1,1),FALSE))))"),"")</f>
        <v/>
      </c>
      <c r="S989" s="59" t="str">
        <f t="array" ref="S989">IF(COUNTA(Q989:Q1350)=0,"",SUM((COUNTIF(Q$4:Q989,Upgrades!$B$3:$B$13)-COUNTIF(Q$4:Q989,"Sell_"&amp;Upgrades!$B$3:$B$13))*Upgrades!$D$3:$D$13))</f>
        <v/>
      </c>
      <c r="T989" s="66" t="str">
        <f>IFERROR(__xludf.DUMMYFUNCTION("IF(COUNTA(Q989:Q1350)=0,"""",IF(REGEXMATCH(INDEX(FILTER(Q$4:Q989,Q$4:Q989&lt;&gt;""""),ROWS(FILTER(Q$4:Q989,Q$4:Q989&lt;&gt;""""))),""^Sell_""),INDEX(FILTER(T$4:T988,Q$4:Q988&lt;&gt;""""),ROWS(FILTER(Q$4:Q988,Q$4:Q988&lt;&gt;""""))),$AD$5+S989))"),"")</f>
        <v/>
      </c>
      <c r="U989" s="10" t="str">
        <f>IFERROR(__xludf.DUMMYFUNCTION("IF(COUNTA(Q989:Q1350)=0,"""",IF(Q989="""",0,IF(REGEXMATCH(Q989,""^Sell_""),-ROUNDDOWN(ROUNDUP(INDEX(Upgrades!$C$3:$C$13,MATCH(SUBSTITUTE(Q989,""Sell_"",""""),Upgrades!$B$3:$B$13,0))*1.15^(COUNTIF(Q$4:Q988,SUBSTITUTE(Q989,""Sell_"",""""))-COUNTIF(Q$4:Q988,"&amp;"""Sell_""&amp;SUBSTITUTE(Q989,""Sell_"",""""))))/2),ROUNDUP(INDEX(Upgrades!$C$3:$C$13,MATCH(Q989,Upgrades!$B$3:$B$13,0))*1.15^(COUNTIF(Q$4:Q988,Q989)-COUNTIF(Q$4:Q988,""Sell_""&amp;Q989))))))"),"")</f>
        <v/>
      </c>
      <c r="V989" s="10" t="str">
        <f t="shared" si="11"/>
        <v/>
      </c>
      <c r="W989" s="68" t="str">
        <f t="shared" si="12"/>
        <v/>
      </c>
      <c r="X989" s="59" t="str">
        <f t="shared" si="13"/>
        <v/>
      </c>
      <c r="Y989" s="69" t="str">
        <f t="shared" si="14"/>
        <v/>
      </c>
      <c r="Z989" s="11"/>
    </row>
    <row r="990">
      <c r="A990" s="8"/>
      <c r="B990" s="56" t="str">
        <f t="shared" si="2"/>
        <v/>
      </c>
      <c r="C990" s="57"/>
      <c r="D990" s="10" t="str">
        <f>IFERROR(__xludf.DUMMYFUNCTION("IF(COUNTA(C990:C1350)=0,"""",IF(ISBLANK(C990),FALSE,IF(NOT(COUNTIF($AA$24:$AA$34,SUBSTITUTE(C990,""Sell_"",""""))),1,IF(REGEXMATCH(C990,""Sell_""),IF(COUNTIF(C$4:C990,SUBSTITUTE(C990,""Sell_"",""""))-COUNTIF(C$4:C989,C990)&lt;1,1),FALSE))))"),"")</f>
        <v/>
      </c>
      <c r="E990" s="59" t="str">
        <f t="array" ref="E990">IF(COUNTA(C990:C1350)=0,"",SUM((COUNTIF(C$4:C990,Upgrades!$B$3:$B$13)-COUNTIF(C$4:C990,"Sell_"&amp;Upgrades!$B$3:$B$13))*Upgrades!$D$3:$D$13))</f>
        <v/>
      </c>
      <c r="F990" s="66" t="str">
        <f>IFERROR(__xludf.DUMMYFUNCTION("IF(COUNTA(C990:C1350)=0,"""",IF(REGEXMATCH(INDEX(FILTER(C$4:C990,C$4:C990&lt;&gt;""""),ROWS(FILTER(C$4:C990,C$4:C990&lt;&gt;""""))),""^Sell_""),INDEX(FILTER(F$4:F989,C$4:C989&lt;&gt;""""),ROWS(FILTER(C$4:C989,C$4:C989&lt;&gt;""""))),$AC$5+E990))"),"")</f>
        <v/>
      </c>
      <c r="G990" s="10" t="str">
        <f>IFERROR(__xludf.DUMMYFUNCTION("IF(COUNTA(C990:C1350)=0,"""",IF(C990="""",0,IF(REGEXMATCH(C990,""^Sell_""),-ROUNDDOWN(ROUNDUP(INDEX(Upgrades!$C$3:$C$13,MATCH(SUBSTITUTE(C990,""Sell_"",""""),Upgrades!$B$3:$B$13,0))*1.15^(COUNTIF(C$4:C989,SUBSTITUTE(C990,""Sell_"",""""))-COUNTIF(C$4:C989,"&amp;"""Sell_""&amp;SUBSTITUTE(C990,""Sell_"",""""))))/2),ROUNDUP(INDEX(Upgrades!$C$3:$C$13,MATCH(C990,Upgrades!$B$3:$B$13,0))*1.15^(COUNTIF(C$4:C989,C990)-COUNTIF(C$4:C989,""Sell_""&amp;C990))))))"),"")</f>
        <v/>
      </c>
      <c r="H990" s="10" t="str">
        <f t="shared" si="3"/>
        <v/>
      </c>
      <c r="I990" s="68" t="str">
        <f t="shared" si="4"/>
        <v/>
      </c>
      <c r="J990" s="59" t="str">
        <f t="shared" si="5"/>
        <v/>
      </c>
      <c r="K990" s="69" t="str">
        <f t="shared" si="6"/>
        <v/>
      </c>
      <c r="L990" s="60" t="str">
        <f t="shared" si="7"/>
        <v/>
      </c>
      <c r="M990" s="61" t="str">
        <f>IFERROR(__xludf.DUMMYFUNCTION("IFS(AND(COUNTA(C990:C1350)=0,COUNTA(Q990:Q1350)=0),"""",OR(AND(K990&gt;=1000000000,OR(Y990&gt;=1000000000,COUNTA(Q990:Q1350)=0)),OR(Y990&gt;=1000000000,AND(COUNTA(C990:C1350)=0,P$3=TRUE))),
ROUNDDOWN((AB$1-AC$1)*MAX(INDEX(T$4:T1350,MATCH(LARGE(FILTER(Y$4:Y1350,Y$4"&amp;":Y1350&lt;1000000000),1),Y$4:Y1350)),INDEX(F$4:F1350,MATCH(LARGE(FILTER(K$4:K1350,K$4:K1350&lt;1000000000),1),K$4:K1350)))),AND(K990&lt;1000000000,COUNTA(C990:C1350)&gt;0,P$3=FALSE),
ROUNDDOWN(INDEX(Y$4:Y1350,MATCH(LARGE(FILTER(W$4:W1350,W$4:W1350&lt;=I990),1),W$4:W1350"&amp;"))+(I990-LARGE(FILTER(W$4:W1350,W$4:W1350&lt;=I990),1))*INDEX(T$4:T1350,MATCH(LARGE(FILTER(W$4:W1350,W$4:W1350&lt;=I990),1),W$4:W1350))-K990),1,
ROUNDDOWN(Y990-INDEX(K$4:K1350,MATCH(LARGE(FILTER(I$4:I1350,I$4:I1350&lt;=W990),1),I$4:I1350))-(W990-LARGE(FILTER(I$4:I"&amp;"1350,I$4:I1350&lt;=W990),1))*INDEX(F$4:F1350,MATCH(LARGE(FILTER(I$4:I1350,I$4:I1350&lt;=W990),1),I$4:I1350))))"),"")</f>
        <v/>
      </c>
      <c r="N990" s="60" t="str">
        <f t="shared" si="8"/>
        <v/>
      </c>
      <c r="O990" s="61" t="str">
        <f t="shared" si="9"/>
        <v/>
      </c>
      <c r="P990" s="56" t="str">
        <f t="shared" si="10"/>
        <v/>
      </c>
      <c r="Q990" s="62"/>
      <c r="R990" s="10" t="str">
        <f>IFERROR(__xludf.DUMMYFUNCTION("IF(COUNTA(Q990:Q1350)=0,"""",IF(ISBLANK(Q990),FALSE,IF(NOT(COUNTIF($AA$24:$AA$34,SUBSTITUTE(Q990,""Sell_"",""""))),1,IF(REGEXMATCH(Q990,""Sell_""),IF(COUNTIF(Q$4:Q990,SUBSTITUTE(Q990,""Sell_"",""""))-COUNTIF(Q$4:Q989,Q990)&lt;1,1),FALSE))))"),"")</f>
        <v/>
      </c>
      <c r="S990" s="59" t="str">
        <f t="array" ref="S990">IF(COUNTA(Q990:Q1350)=0,"",SUM((COUNTIF(Q$4:Q990,Upgrades!$B$3:$B$13)-COUNTIF(Q$4:Q990,"Sell_"&amp;Upgrades!$B$3:$B$13))*Upgrades!$D$3:$D$13))</f>
        <v/>
      </c>
      <c r="T990" s="66" t="str">
        <f>IFERROR(__xludf.DUMMYFUNCTION("IF(COUNTA(Q990:Q1350)=0,"""",IF(REGEXMATCH(INDEX(FILTER(Q$4:Q990,Q$4:Q990&lt;&gt;""""),ROWS(FILTER(Q$4:Q990,Q$4:Q990&lt;&gt;""""))),""^Sell_""),INDEX(FILTER(T$4:T989,Q$4:Q989&lt;&gt;""""),ROWS(FILTER(Q$4:Q989,Q$4:Q989&lt;&gt;""""))),$AD$5+S990))"),"")</f>
        <v/>
      </c>
      <c r="U990" s="10" t="str">
        <f>IFERROR(__xludf.DUMMYFUNCTION("IF(COUNTA(Q990:Q1350)=0,"""",IF(Q990="""",0,IF(REGEXMATCH(Q990,""^Sell_""),-ROUNDDOWN(ROUNDUP(INDEX(Upgrades!$C$3:$C$13,MATCH(SUBSTITUTE(Q990,""Sell_"",""""),Upgrades!$B$3:$B$13,0))*1.15^(COUNTIF(Q$4:Q989,SUBSTITUTE(Q990,""Sell_"",""""))-COUNTIF(Q$4:Q989,"&amp;"""Sell_""&amp;SUBSTITUTE(Q990,""Sell_"",""""))))/2),ROUNDUP(INDEX(Upgrades!$C$3:$C$13,MATCH(Q990,Upgrades!$B$3:$B$13,0))*1.15^(COUNTIF(Q$4:Q989,Q990)-COUNTIF(Q$4:Q989,""Sell_""&amp;Q990))))))"),"")</f>
        <v/>
      </c>
      <c r="V990" s="10" t="str">
        <f t="shared" si="11"/>
        <v/>
      </c>
      <c r="W990" s="68" t="str">
        <f t="shared" si="12"/>
        <v/>
      </c>
      <c r="X990" s="59" t="str">
        <f t="shared" si="13"/>
        <v/>
      </c>
      <c r="Y990" s="69" t="str">
        <f t="shared" si="14"/>
        <v/>
      </c>
      <c r="Z990" s="11"/>
    </row>
    <row r="991">
      <c r="A991" s="8"/>
      <c r="B991" s="56" t="str">
        <f t="shared" si="2"/>
        <v/>
      </c>
      <c r="C991" s="57"/>
      <c r="D991" s="10" t="str">
        <f>IFERROR(__xludf.DUMMYFUNCTION("IF(COUNTA(C991:C1350)=0,"""",IF(ISBLANK(C991),FALSE,IF(NOT(COUNTIF($AA$24:$AA$34,SUBSTITUTE(C991,""Sell_"",""""))),1,IF(REGEXMATCH(C991,""Sell_""),IF(COUNTIF(C$4:C991,SUBSTITUTE(C991,""Sell_"",""""))-COUNTIF(C$4:C990,C991)&lt;1,1),FALSE))))"),"")</f>
        <v/>
      </c>
      <c r="E991" s="59" t="str">
        <f t="array" ref="E991">IF(COUNTA(C991:C1350)=0,"",SUM((COUNTIF(C$4:C991,Upgrades!$B$3:$B$13)-COUNTIF(C$4:C991,"Sell_"&amp;Upgrades!$B$3:$B$13))*Upgrades!$D$3:$D$13))</f>
        <v/>
      </c>
      <c r="F991" s="66" t="str">
        <f>IFERROR(__xludf.DUMMYFUNCTION("IF(COUNTA(C991:C1350)=0,"""",IF(REGEXMATCH(INDEX(FILTER(C$4:C991,C$4:C991&lt;&gt;""""),ROWS(FILTER(C$4:C991,C$4:C991&lt;&gt;""""))),""^Sell_""),INDEX(FILTER(F$4:F990,C$4:C990&lt;&gt;""""),ROWS(FILTER(C$4:C990,C$4:C990&lt;&gt;""""))),$AC$5+E991))"),"")</f>
        <v/>
      </c>
      <c r="G991" s="10" t="str">
        <f>IFERROR(__xludf.DUMMYFUNCTION("IF(COUNTA(C991:C1350)=0,"""",IF(C991="""",0,IF(REGEXMATCH(C991,""^Sell_""),-ROUNDDOWN(ROUNDUP(INDEX(Upgrades!$C$3:$C$13,MATCH(SUBSTITUTE(C991,""Sell_"",""""),Upgrades!$B$3:$B$13,0))*1.15^(COUNTIF(C$4:C990,SUBSTITUTE(C991,""Sell_"",""""))-COUNTIF(C$4:C990,"&amp;"""Sell_""&amp;SUBSTITUTE(C991,""Sell_"",""""))))/2),ROUNDUP(INDEX(Upgrades!$C$3:$C$13,MATCH(C991,Upgrades!$B$3:$B$13,0))*1.15^(COUNTIF(C$4:C990,C991)-COUNTIF(C$4:C990,""Sell_""&amp;C991))))))"),"")</f>
        <v/>
      </c>
      <c r="H991" s="10" t="str">
        <f t="shared" si="3"/>
        <v/>
      </c>
      <c r="I991" s="68" t="str">
        <f t="shared" si="4"/>
        <v/>
      </c>
      <c r="J991" s="59" t="str">
        <f t="shared" si="5"/>
        <v/>
      </c>
      <c r="K991" s="69" t="str">
        <f t="shared" si="6"/>
        <v/>
      </c>
      <c r="L991" s="60" t="str">
        <f t="shared" si="7"/>
        <v/>
      </c>
      <c r="M991" s="61" t="str">
        <f>IFERROR(__xludf.DUMMYFUNCTION("IFS(AND(COUNTA(C991:C1350)=0,COUNTA(Q991:Q1350)=0),"""",OR(AND(K991&gt;=1000000000,OR(Y991&gt;=1000000000,COUNTA(Q991:Q1350)=0)),OR(Y991&gt;=1000000000,AND(COUNTA(C991:C1350)=0,P$3=TRUE))),
ROUNDDOWN((AB$1-AC$1)*MAX(INDEX(T$4:T1350,MATCH(LARGE(FILTER(Y$4:Y1350,Y$4"&amp;":Y1350&lt;1000000000),1),Y$4:Y1350)),INDEX(F$4:F1350,MATCH(LARGE(FILTER(K$4:K1350,K$4:K1350&lt;1000000000),1),K$4:K1350)))),AND(K991&lt;1000000000,COUNTA(C991:C1350)&gt;0,P$3=FALSE),
ROUNDDOWN(INDEX(Y$4:Y1350,MATCH(LARGE(FILTER(W$4:W1350,W$4:W1350&lt;=I991),1),W$4:W1350"&amp;"))+(I991-LARGE(FILTER(W$4:W1350,W$4:W1350&lt;=I991),1))*INDEX(T$4:T1350,MATCH(LARGE(FILTER(W$4:W1350,W$4:W1350&lt;=I991),1),W$4:W1350))-K991),1,
ROUNDDOWN(Y991-INDEX(K$4:K1350,MATCH(LARGE(FILTER(I$4:I1350,I$4:I1350&lt;=W991),1),I$4:I1350))-(W991-LARGE(FILTER(I$4:I"&amp;"1350,I$4:I1350&lt;=W991),1))*INDEX(F$4:F1350,MATCH(LARGE(FILTER(I$4:I1350,I$4:I1350&lt;=W991),1),I$4:I1350))))"),"")</f>
        <v/>
      </c>
      <c r="N991" s="60" t="str">
        <f t="shared" si="8"/>
        <v/>
      </c>
      <c r="O991" s="61" t="str">
        <f t="shared" si="9"/>
        <v/>
      </c>
      <c r="P991" s="56" t="str">
        <f t="shared" si="10"/>
        <v/>
      </c>
      <c r="Q991" s="62"/>
      <c r="R991" s="10" t="str">
        <f>IFERROR(__xludf.DUMMYFUNCTION("IF(COUNTA(Q991:Q1350)=0,"""",IF(ISBLANK(Q991),FALSE,IF(NOT(COUNTIF($AA$24:$AA$34,SUBSTITUTE(Q991,""Sell_"",""""))),1,IF(REGEXMATCH(Q991,""Sell_""),IF(COUNTIF(Q$4:Q991,SUBSTITUTE(Q991,""Sell_"",""""))-COUNTIF(Q$4:Q990,Q991)&lt;1,1),FALSE))))"),"")</f>
        <v/>
      </c>
      <c r="S991" s="59" t="str">
        <f t="array" ref="S991">IF(COUNTA(Q991:Q1350)=0,"",SUM((COUNTIF(Q$4:Q991,Upgrades!$B$3:$B$13)-COUNTIF(Q$4:Q991,"Sell_"&amp;Upgrades!$B$3:$B$13))*Upgrades!$D$3:$D$13))</f>
        <v/>
      </c>
      <c r="T991" s="66" t="str">
        <f>IFERROR(__xludf.DUMMYFUNCTION("IF(COUNTA(Q991:Q1350)=0,"""",IF(REGEXMATCH(INDEX(FILTER(Q$4:Q991,Q$4:Q991&lt;&gt;""""),ROWS(FILTER(Q$4:Q991,Q$4:Q991&lt;&gt;""""))),""^Sell_""),INDEX(FILTER(T$4:T990,Q$4:Q990&lt;&gt;""""),ROWS(FILTER(Q$4:Q990,Q$4:Q990&lt;&gt;""""))),$AD$5+S991))"),"")</f>
        <v/>
      </c>
      <c r="U991" s="10" t="str">
        <f>IFERROR(__xludf.DUMMYFUNCTION("IF(COUNTA(Q991:Q1350)=0,"""",IF(Q991="""",0,IF(REGEXMATCH(Q991,""^Sell_""),-ROUNDDOWN(ROUNDUP(INDEX(Upgrades!$C$3:$C$13,MATCH(SUBSTITUTE(Q991,""Sell_"",""""),Upgrades!$B$3:$B$13,0))*1.15^(COUNTIF(Q$4:Q990,SUBSTITUTE(Q991,""Sell_"",""""))-COUNTIF(Q$4:Q990,"&amp;"""Sell_""&amp;SUBSTITUTE(Q991,""Sell_"",""""))))/2),ROUNDUP(INDEX(Upgrades!$C$3:$C$13,MATCH(Q991,Upgrades!$B$3:$B$13,0))*1.15^(COUNTIF(Q$4:Q990,Q991)-COUNTIF(Q$4:Q990,""Sell_""&amp;Q991))))))"),"")</f>
        <v/>
      </c>
      <c r="V991" s="10" t="str">
        <f t="shared" si="11"/>
        <v/>
      </c>
      <c r="W991" s="68" t="str">
        <f t="shared" si="12"/>
        <v/>
      </c>
      <c r="X991" s="59" t="str">
        <f t="shared" si="13"/>
        <v/>
      </c>
      <c r="Y991" s="69" t="str">
        <f t="shared" si="14"/>
        <v/>
      </c>
      <c r="Z991" s="11"/>
    </row>
    <row r="992">
      <c r="A992" s="8"/>
      <c r="B992" s="56" t="str">
        <f t="shared" si="2"/>
        <v/>
      </c>
      <c r="C992" s="57"/>
      <c r="D992" s="10" t="str">
        <f>IFERROR(__xludf.DUMMYFUNCTION("IF(COUNTA(C992:C1350)=0,"""",IF(ISBLANK(C992),FALSE,IF(NOT(COUNTIF($AA$24:$AA$34,SUBSTITUTE(C992,""Sell_"",""""))),1,IF(REGEXMATCH(C992,""Sell_""),IF(COUNTIF(C$4:C992,SUBSTITUTE(C992,""Sell_"",""""))-COUNTIF(C$4:C991,C992)&lt;1,1),FALSE))))"),"")</f>
        <v/>
      </c>
      <c r="E992" s="59" t="str">
        <f t="array" ref="E992">IF(COUNTA(C992:C1350)=0,"",SUM((COUNTIF(C$4:C992,Upgrades!$B$3:$B$13)-COUNTIF(C$4:C992,"Sell_"&amp;Upgrades!$B$3:$B$13))*Upgrades!$D$3:$D$13))</f>
        <v/>
      </c>
      <c r="F992" s="66" t="str">
        <f>IFERROR(__xludf.DUMMYFUNCTION("IF(COUNTA(C992:C1350)=0,"""",IF(REGEXMATCH(INDEX(FILTER(C$4:C992,C$4:C992&lt;&gt;""""),ROWS(FILTER(C$4:C992,C$4:C992&lt;&gt;""""))),""^Sell_""),INDEX(FILTER(F$4:F991,C$4:C991&lt;&gt;""""),ROWS(FILTER(C$4:C991,C$4:C991&lt;&gt;""""))),$AC$5+E992))"),"")</f>
        <v/>
      </c>
      <c r="G992" s="10" t="str">
        <f>IFERROR(__xludf.DUMMYFUNCTION("IF(COUNTA(C992:C1350)=0,"""",IF(C992="""",0,IF(REGEXMATCH(C992,""^Sell_""),-ROUNDDOWN(ROUNDUP(INDEX(Upgrades!$C$3:$C$13,MATCH(SUBSTITUTE(C992,""Sell_"",""""),Upgrades!$B$3:$B$13,0))*1.15^(COUNTIF(C$4:C991,SUBSTITUTE(C992,""Sell_"",""""))-COUNTIF(C$4:C991,"&amp;"""Sell_""&amp;SUBSTITUTE(C992,""Sell_"",""""))))/2),ROUNDUP(INDEX(Upgrades!$C$3:$C$13,MATCH(C992,Upgrades!$B$3:$B$13,0))*1.15^(COUNTIF(C$4:C991,C992)-COUNTIF(C$4:C991,""Sell_""&amp;C992))))))"),"")</f>
        <v/>
      </c>
      <c r="H992" s="10" t="str">
        <f t="shared" si="3"/>
        <v/>
      </c>
      <c r="I992" s="68" t="str">
        <f t="shared" si="4"/>
        <v/>
      </c>
      <c r="J992" s="59" t="str">
        <f t="shared" si="5"/>
        <v/>
      </c>
      <c r="K992" s="69" t="str">
        <f t="shared" si="6"/>
        <v/>
      </c>
      <c r="L992" s="60" t="str">
        <f t="shared" si="7"/>
        <v/>
      </c>
      <c r="M992" s="61" t="str">
        <f>IFERROR(__xludf.DUMMYFUNCTION("IFS(AND(COUNTA(C992:C1350)=0,COUNTA(Q992:Q1350)=0),"""",OR(AND(K992&gt;=1000000000,OR(Y992&gt;=1000000000,COUNTA(Q992:Q1350)=0)),OR(Y992&gt;=1000000000,AND(COUNTA(C992:C1350)=0,P$3=TRUE))),
ROUNDDOWN((AB$1-AC$1)*MAX(INDEX(T$4:T1350,MATCH(LARGE(FILTER(Y$4:Y1350,Y$4"&amp;":Y1350&lt;1000000000),1),Y$4:Y1350)),INDEX(F$4:F1350,MATCH(LARGE(FILTER(K$4:K1350,K$4:K1350&lt;1000000000),1),K$4:K1350)))),AND(K992&lt;1000000000,COUNTA(C992:C1350)&gt;0,P$3=FALSE),
ROUNDDOWN(INDEX(Y$4:Y1350,MATCH(LARGE(FILTER(W$4:W1350,W$4:W1350&lt;=I992),1),W$4:W1350"&amp;"))+(I992-LARGE(FILTER(W$4:W1350,W$4:W1350&lt;=I992),1))*INDEX(T$4:T1350,MATCH(LARGE(FILTER(W$4:W1350,W$4:W1350&lt;=I992),1),W$4:W1350))-K992),1,
ROUNDDOWN(Y992-INDEX(K$4:K1350,MATCH(LARGE(FILTER(I$4:I1350,I$4:I1350&lt;=W992),1),I$4:I1350))-(W992-LARGE(FILTER(I$4:I"&amp;"1350,I$4:I1350&lt;=W992),1))*INDEX(F$4:F1350,MATCH(LARGE(FILTER(I$4:I1350,I$4:I1350&lt;=W992),1),I$4:I1350))))"),"")</f>
        <v/>
      </c>
      <c r="N992" s="60" t="str">
        <f t="shared" si="8"/>
        <v/>
      </c>
      <c r="O992" s="61" t="str">
        <f t="shared" si="9"/>
        <v/>
      </c>
      <c r="P992" s="56" t="str">
        <f t="shared" si="10"/>
        <v/>
      </c>
      <c r="Q992" s="62"/>
      <c r="R992" s="10" t="str">
        <f>IFERROR(__xludf.DUMMYFUNCTION("IF(COUNTA(Q992:Q1350)=0,"""",IF(ISBLANK(Q992),FALSE,IF(NOT(COUNTIF($AA$24:$AA$34,SUBSTITUTE(Q992,""Sell_"",""""))),1,IF(REGEXMATCH(Q992,""Sell_""),IF(COUNTIF(Q$4:Q992,SUBSTITUTE(Q992,""Sell_"",""""))-COUNTIF(Q$4:Q991,Q992)&lt;1,1),FALSE))))"),"")</f>
        <v/>
      </c>
      <c r="S992" s="59" t="str">
        <f t="array" ref="S992">IF(COUNTA(Q992:Q1350)=0,"",SUM((COUNTIF(Q$4:Q992,Upgrades!$B$3:$B$13)-COUNTIF(Q$4:Q992,"Sell_"&amp;Upgrades!$B$3:$B$13))*Upgrades!$D$3:$D$13))</f>
        <v/>
      </c>
      <c r="T992" s="66" t="str">
        <f>IFERROR(__xludf.DUMMYFUNCTION("IF(COUNTA(Q992:Q1350)=0,"""",IF(REGEXMATCH(INDEX(FILTER(Q$4:Q992,Q$4:Q992&lt;&gt;""""),ROWS(FILTER(Q$4:Q992,Q$4:Q992&lt;&gt;""""))),""^Sell_""),INDEX(FILTER(T$4:T991,Q$4:Q991&lt;&gt;""""),ROWS(FILTER(Q$4:Q991,Q$4:Q991&lt;&gt;""""))),$AD$5+S992))"),"")</f>
        <v/>
      </c>
      <c r="U992" s="10" t="str">
        <f>IFERROR(__xludf.DUMMYFUNCTION("IF(COUNTA(Q992:Q1350)=0,"""",IF(Q992="""",0,IF(REGEXMATCH(Q992,""^Sell_""),-ROUNDDOWN(ROUNDUP(INDEX(Upgrades!$C$3:$C$13,MATCH(SUBSTITUTE(Q992,""Sell_"",""""),Upgrades!$B$3:$B$13,0))*1.15^(COUNTIF(Q$4:Q991,SUBSTITUTE(Q992,""Sell_"",""""))-COUNTIF(Q$4:Q991,"&amp;"""Sell_""&amp;SUBSTITUTE(Q992,""Sell_"",""""))))/2),ROUNDUP(INDEX(Upgrades!$C$3:$C$13,MATCH(Q992,Upgrades!$B$3:$B$13,0))*1.15^(COUNTIF(Q$4:Q991,Q992)-COUNTIF(Q$4:Q991,""Sell_""&amp;Q992))))))"),"")</f>
        <v/>
      </c>
      <c r="V992" s="10" t="str">
        <f t="shared" si="11"/>
        <v/>
      </c>
      <c r="W992" s="68" t="str">
        <f t="shared" si="12"/>
        <v/>
      </c>
      <c r="X992" s="59" t="str">
        <f t="shared" si="13"/>
        <v/>
      </c>
      <c r="Y992" s="69" t="str">
        <f t="shared" si="14"/>
        <v/>
      </c>
      <c r="Z992" s="11"/>
    </row>
    <row r="993">
      <c r="A993" s="8"/>
      <c r="B993" s="56" t="str">
        <f t="shared" si="2"/>
        <v/>
      </c>
      <c r="C993" s="57"/>
      <c r="D993" s="10" t="str">
        <f>IFERROR(__xludf.DUMMYFUNCTION("IF(COUNTA(C993:C1350)=0,"""",IF(ISBLANK(C993),FALSE,IF(NOT(COUNTIF($AA$24:$AA$34,SUBSTITUTE(C993,""Sell_"",""""))),1,IF(REGEXMATCH(C993,""Sell_""),IF(COUNTIF(C$4:C993,SUBSTITUTE(C993,""Sell_"",""""))-COUNTIF(C$4:C992,C993)&lt;1,1),FALSE))))"),"")</f>
        <v/>
      </c>
      <c r="E993" s="59" t="str">
        <f t="array" ref="E993">IF(COUNTA(C993:C1350)=0,"",SUM((COUNTIF(C$4:C993,Upgrades!$B$3:$B$13)-COUNTIF(C$4:C993,"Sell_"&amp;Upgrades!$B$3:$B$13))*Upgrades!$D$3:$D$13))</f>
        <v/>
      </c>
      <c r="F993" s="66" t="str">
        <f>IFERROR(__xludf.DUMMYFUNCTION("IF(COUNTA(C993:C1350)=0,"""",IF(REGEXMATCH(INDEX(FILTER(C$4:C993,C$4:C993&lt;&gt;""""),ROWS(FILTER(C$4:C993,C$4:C993&lt;&gt;""""))),""^Sell_""),INDEX(FILTER(F$4:F992,C$4:C992&lt;&gt;""""),ROWS(FILTER(C$4:C992,C$4:C992&lt;&gt;""""))),$AC$5+E993))"),"")</f>
        <v/>
      </c>
      <c r="G993" s="10" t="str">
        <f>IFERROR(__xludf.DUMMYFUNCTION("IF(COUNTA(C993:C1350)=0,"""",IF(C993="""",0,IF(REGEXMATCH(C993,""^Sell_""),-ROUNDDOWN(ROUNDUP(INDEX(Upgrades!$C$3:$C$13,MATCH(SUBSTITUTE(C993,""Sell_"",""""),Upgrades!$B$3:$B$13,0))*1.15^(COUNTIF(C$4:C992,SUBSTITUTE(C993,""Sell_"",""""))-COUNTIF(C$4:C992,"&amp;"""Sell_""&amp;SUBSTITUTE(C993,""Sell_"",""""))))/2),ROUNDUP(INDEX(Upgrades!$C$3:$C$13,MATCH(C993,Upgrades!$B$3:$B$13,0))*1.15^(COUNTIF(C$4:C992,C993)-COUNTIF(C$4:C992,""Sell_""&amp;C993))))))"),"")</f>
        <v/>
      </c>
      <c r="H993" s="10" t="str">
        <f t="shared" si="3"/>
        <v/>
      </c>
      <c r="I993" s="68" t="str">
        <f t="shared" si="4"/>
        <v/>
      </c>
      <c r="J993" s="59" t="str">
        <f t="shared" si="5"/>
        <v/>
      </c>
      <c r="K993" s="69" t="str">
        <f t="shared" si="6"/>
        <v/>
      </c>
      <c r="L993" s="60" t="str">
        <f t="shared" si="7"/>
        <v/>
      </c>
      <c r="M993" s="61" t="str">
        <f>IFERROR(__xludf.DUMMYFUNCTION("IFS(AND(COUNTA(C993:C1350)=0,COUNTA(Q993:Q1350)=0),"""",OR(AND(K993&gt;=1000000000,OR(Y993&gt;=1000000000,COUNTA(Q993:Q1350)=0)),OR(Y993&gt;=1000000000,AND(COUNTA(C993:C1350)=0,P$3=TRUE))),
ROUNDDOWN((AB$1-AC$1)*MAX(INDEX(T$4:T1350,MATCH(LARGE(FILTER(Y$4:Y1350,Y$4"&amp;":Y1350&lt;1000000000),1),Y$4:Y1350)),INDEX(F$4:F1350,MATCH(LARGE(FILTER(K$4:K1350,K$4:K1350&lt;1000000000),1),K$4:K1350)))),AND(K993&lt;1000000000,COUNTA(C993:C1350)&gt;0,P$3=FALSE),
ROUNDDOWN(INDEX(Y$4:Y1350,MATCH(LARGE(FILTER(W$4:W1350,W$4:W1350&lt;=I993),1),W$4:W1350"&amp;"))+(I993-LARGE(FILTER(W$4:W1350,W$4:W1350&lt;=I993),1))*INDEX(T$4:T1350,MATCH(LARGE(FILTER(W$4:W1350,W$4:W1350&lt;=I993),1),W$4:W1350))-K993),1,
ROUNDDOWN(Y993-INDEX(K$4:K1350,MATCH(LARGE(FILTER(I$4:I1350,I$4:I1350&lt;=W993),1),I$4:I1350))-(W993-LARGE(FILTER(I$4:I"&amp;"1350,I$4:I1350&lt;=W993),1))*INDEX(F$4:F1350,MATCH(LARGE(FILTER(I$4:I1350,I$4:I1350&lt;=W993),1),I$4:I1350))))"),"")</f>
        <v/>
      </c>
      <c r="N993" s="60" t="str">
        <f t="shared" si="8"/>
        <v/>
      </c>
      <c r="O993" s="61" t="str">
        <f t="shared" si="9"/>
        <v/>
      </c>
      <c r="P993" s="56" t="str">
        <f t="shared" si="10"/>
        <v/>
      </c>
      <c r="Q993" s="62"/>
      <c r="R993" s="10" t="str">
        <f>IFERROR(__xludf.DUMMYFUNCTION("IF(COUNTA(Q993:Q1350)=0,"""",IF(ISBLANK(Q993),FALSE,IF(NOT(COUNTIF($AA$24:$AA$34,SUBSTITUTE(Q993,""Sell_"",""""))),1,IF(REGEXMATCH(Q993,""Sell_""),IF(COUNTIF(Q$4:Q993,SUBSTITUTE(Q993,""Sell_"",""""))-COUNTIF(Q$4:Q992,Q993)&lt;1,1),FALSE))))"),"")</f>
        <v/>
      </c>
      <c r="S993" s="59" t="str">
        <f t="array" ref="S993">IF(COUNTA(Q993:Q1350)=0,"",SUM((COUNTIF(Q$4:Q993,Upgrades!$B$3:$B$13)-COUNTIF(Q$4:Q993,"Sell_"&amp;Upgrades!$B$3:$B$13))*Upgrades!$D$3:$D$13))</f>
        <v/>
      </c>
      <c r="T993" s="66" t="str">
        <f>IFERROR(__xludf.DUMMYFUNCTION("IF(COUNTA(Q993:Q1350)=0,"""",IF(REGEXMATCH(INDEX(FILTER(Q$4:Q993,Q$4:Q993&lt;&gt;""""),ROWS(FILTER(Q$4:Q993,Q$4:Q993&lt;&gt;""""))),""^Sell_""),INDEX(FILTER(T$4:T992,Q$4:Q992&lt;&gt;""""),ROWS(FILTER(Q$4:Q992,Q$4:Q992&lt;&gt;""""))),$AD$5+S993))"),"")</f>
        <v/>
      </c>
      <c r="U993" s="10" t="str">
        <f>IFERROR(__xludf.DUMMYFUNCTION("IF(COUNTA(Q993:Q1350)=0,"""",IF(Q993="""",0,IF(REGEXMATCH(Q993,""^Sell_""),-ROUNDDOWN(ROUNDUP(INDEX(Upgrades!$C$3:$C$13,MATCH(SUBSTITUTE(Q993,""Sell_"",""""),Upgrades!$B$3:$B$13,0))*1.15^(COUNTIF(Q$4:Q992,SUBSTITUTE(Q993,""Sell_"",""""))-COUNTIF(Q$4:Q992,"&amp;"""Sell_""&amp;SUBSTITUTE(Q993,""Sell_"",""""))))/2),ROUNDUP(INDEX(Upgrades!$C$3:$C$13,MATCH(Q993,Upgrades!$B$3:$B$13,0))*1.15^(COUNTIF(Q$4:Q992,Q993)-COUNTIF(Q$4:Q992,""Sell_""&amp;Q993))))))"),"")</f>
        <v/>
      </c>
      <c r="V993" s="10" t="str">
        <f t="shared" si="11"/>
        <v/>
      </c>
      <c r="W993" s="68" t="str">
        <f t="shared" si="12"/>
        <v/>
      </c>
      <c r="X993" s="59" t="str">
        <f t="shared" si="13"/>
        <v/>
      </c>
      <c r="Y993" s="69" t="str">
        <f t="shared" si="14"/>
        <v/>
      </c>
      <c r="Z993" s="11"/>
    </row>
    <row r="994">
      <c r="A994" s="8"/>
      <c r="B994" s="56" t="str">
        <f t="shared" si="2"/>
        <v/>
      </c>
      <c r="C994" s="57"/>
      <c r="D994" s="10" t="str">
        <f>IFERROR(__xludf.DUMMYFUNCTION("IF(COUNTA(C994:C1350)=0,"""",IF(ISBLANK(C994),FALSE,IF(NOT(COUNTIF($AA$24:$AA$34,SUBSTITUTE(C994,""Sell_"",""""))),1,IF(REGEXMATCH(C994,""Sell_""),IF(COUNTIF(C$4:C994,SUBSTITUTE(C994,""Sell_"",""""))-COUNTIF(C$4:C993,C994)&lt;1,1),FALSE))))"),"")</f>
        <v/>
      </c>
      <c r="E994" s="59" t="str">
        <f t="array" ref="E994">IF(COUNTA(C994:C1350)=0,"",SUM((COUNTIF(C$4:C994,Upgrades!$B$3:$B$13)-COUNTIF(C$4:C994,"Sell_"&amp;Upgrades!$B$3:$B$13))*Upgrades!$D$3:$D$13))</f>
        <v/>
      </c>
      <c r="F994" s="66" t="str">
        <f>IFERROR(__xludf.DUMMYFUNCTION("IF(COUNTA(C994:C1350)=0,"""",IF(REGEXMATCH(INDEX(FILTER(C$4:C994,C$4:C994&lt;&gt;""""),ROWS(FILTER(C$4:C994,C$4:C994&lt;&gt;""""))),""^Sell_""),INDEX(FILTER(F$4:F993,C$4:C993&lt;&gt;""""),ROWS(FILTER(C$4:C993,C$4:C993&lt;&gt;""""))),$AC$5+E994))"),"")</f>
        <v/>
      </c>
      <c r="G994" s="10" t="str">
        <f>IFERROR(__xludf.DUMMYFUNCTION("IF(COUNTA(C994:C1350)=0,"""",IF(C994="""",0,IF(REGEXMATCH(C994,""^Sell_""),-ROUNDDOWN(ROUNDUP(INDEX(Upgrades!$C$3:$C$13,MATCH(SUBSTITUTE(C994,""Sell_"",""""),Upgrades!$B$3:$B$13,0))*1.15^(COUNTIF(C$4:C993,SUBSTITUTE(C994,""Sell_"",""""))-COUNTIF(C$4:C993,"&amp;"""Sell_""&amp;SUBSTITUTE(C994,""Sell_"",""""))))/2),ROUNDUP(INDEX(Upgrades!$C$3:$C$13,MATCH(C994,Upgrades!$B$3:$B$13,0))*1.15^(COUNTIF(C$4:C993,C994)-COUNTIF(C$4:C993,""Sell_""&amp;C994))))))"),"")</f>
        <v/>
      </c>
      <c r="H994" s="10" t="str">
        <f t="shared" si="3"/>
        <v/>
      </c>
      <c r="I994" s="68" t="str">
        <f t="shared" si="4"/>
        <v/>
      </c>
      <c r="J994" s="59" t="str">
        <f t="shared" si="5"/>
        <v/>
      </c>
      <c r="K994" s="69" t="str">
        <f t="shared" si="6"/>
        <v/>
      </c>
      <c r="L994" s="60" t="str">
        <f t="shared" si="7"/>
        <v/>
      </c>
      <c r="M994" s="61" t="str">
        <f>IFERROR(__xludf.DUMMYFUNCTION("IFS(AND(COUNTA(C994:C1350)=0,COUNTA(Q994:Q1350)=0),"""",OR(AND(K994&gt;=1000000000,OR(Y994&gt;=1000000000,COUNTA(Q994:Q1350)=0)),OR(Y994&gt;=1000000000,AND(COUNTA(C994:C1350)=0,P$3=TRUE))),
ROUNDDOWN((AB$1-AC$1)*MAX(INDEX(T$4:T1350,MATCH(LARGE(FILTER(Y$4:Y1350,Y$4"&amp;":Y1350&lt;1000000000),1),Y$4:Y1350)),INDEX(F$4:F1350,MATCH(LARGE(FILTER(K$4:K1350,K$4:K1350&lt;1000000000),1),K$4:K1350)))),AND(K994&lt;1000000000,COUNTA(C994:C1350)&gt;0,P$3=FALSE),
ROUNDDOWN(INDEX(Y$4:Y1350,MATCH(LARGE(FILTER(W$4:W1350,W$4:W1350&lt;=I994),1),W$4:W1350"&amp;"))+(I994-LARGE(FILTER(W$4:W1350,W$4:W1350&lt;=I994),1))*INDEX(T$4:T1350,MATCH(LARGE(FILTER(W$4:W1350,W$4:W1350&lt;=I994),1),W$4:W1350))-K994),1,
ROUNDDOWN(Y994-INDEX(K$4:K1350,MATCH(LARGE(FILTER(I$4:I1350,I$4:I1350&lt;=W994),1),I$4:I1350))-(W994-LARGE(FILTER(I$4:I"&amp;"1350,I$4:I1350&lt;=W994),1))*INDEX(F$4:F1350,MATCH(LARGE(FILTER(I$4:I1350,I$4:I1350&lt;=W994),1),I$4:I1350))))"),"")</f>
        <v/>
      </c>
      <c r="N994" s="60" t="str">
        <f t="shared" si="8"/>
        <v/>
      </c>
      <c r="O994" s="61" t="str">
        <f t="shared" si="9"/>
        <v/>
      </c>
      <c r="P994" s="56" t="str">
        <f t="shared" si="10"/>
        <v/>
      </c>
      <c r="Q994" s="62"/>
      <c r="R994" s="10" t="str">
        <f>IFERROR(__xludf.DUMMYFUNCTION("IF(COUNTA(Q994:Q1350)=0,"""",IF(ISBLANK(Q994),FALSE,IF(NOT(COUNTIF($AA$24:$AA$34,SUBSTITUTE(Q994,""Sell_"",""""))),1,IF(REGEXMATCH(Q994,""Sell_""),IF(COUNTIF(Q$4:Q994,SUBSTITUTE(Q994,""Sell_"",""""))-COUNTIF(Q$4:Q993,Q994)&lt;1,1),FALSE))))"),"")</f>
        <v/>
      </c>
      <c r="S994" s="59" t="str">
        <f t="array" ref="S994">IF(COUNTA(Q994:Q1350)=0,"",SUM((COUNTIF(Q$4:Q994,Upgrades!$B$3:$B$13)-COUNTIF(Q$4:Q994,"Sell_"&amp;Upgrades!$B$3:$B$13))*Upgrades!$D$3:$D$13))</f>
        <v/>
      </c>
      <c r="T994" s="66" t="str">
        <f>IFERROR(__xludf.DUMMYFUNCTION("IF(COUNTA(Q994:Q1350)=0,"""",IF(REGEXMATCH(INDEX(FILTER(Q$4:Q994,Q$4:Q994&lt;&gt;""""),ROWS(FILTER(Q$4:Q994,Q$4:Q994&lt;&gt;""""))),""^Sell_""),INDEX(FILTER(T$4:T993,Q$4:Q993&lt;&gt;""""),ROWS(FILTER(Q$4:Q993,Q$4:Q993&lt;&gt;""""))),$AD$5+S994))"),"")</f>
        <v/>
      </c>
      <c r="U994" s="10" t="str">
        <f>IFERROR(__xludf.DUMMYFUNCTION("IF(COUNTA(Q994:Q1350)=0,"""",IF(Q994="""",0,IF(REGEXMATCH(Q994,""^Sell_""),-ROUNDDOWN(ROUNDUP(INDEX(Upgrades!$C$3:$C$13,MATCH(SUBSTITUTE(Q994,""Sell_"",""""),Upgrades!$B$3:$B$13,0))*1.15^(COUNTIF(Q$4:Q993,SUBSTITUTE(Q994,""Sell_"",""""))-COUNTIF(Q$4:Q993,"&amp;"""Sell_""&amp;SUBSTITUTE(Q994,""Sell_"",""""))))/2),ROUNDUP(INDEX(Upgrades!$C$3:$C$13,MATCH(Q994,Upgrades!$B$3:$B$13,0))*1.15^(COUNTIF(Q$4:Q993,Q994)-COUNTIF(Q$4:Q993,""Sell_""&amp;Q994))))))"),"")</f>
        <v/>
      </c>
      <c r="V994" s="10" t="str">
        <f t="shared" si="11"/>
        <v/>
      </c>
      <c r="W994" s="68" t="str">
        <f t="shared" si="12"/>
        <v/>
      </c>
      <c r="X994" s="59" t="str">
        <f t="shared" si="13"/>
        <v/>
      </c>
      <c r="Y994" s="69" t="str">
        <f t="shared" si="14"/>
        <v/>
      </c>
      <c r="Z994" s="11"/>
    </row>
    <row r="995">
      <c r="A995" s="8"/>
      <c r="B995" s="56" t="str">
        <f t="shared" si="2"/>
        <v/>
      </c>
      <c r="C995" s="57"/>
      <c r="D995" s="10" t="str">
        <f>IFERROR(__xludf.DUMMYFUNCTION("IF(COUNTA(C995:C1350)=0,"""",IF(ISBLANK(C995),FALSE,IF(NOT(COUNTIF($AA$24:$AA$34,SUBSTITUTE(C995,""Sell_"",""""))),1,IF(REGEXMATCH(C995,""Sell_""),IF(COUNTIF(C$4:C995,SUBSTITUTE(C995,""Sell_"",""""))-COUNTIF(C$4:C994,C995)&lt;1,1),FALSE))))"),"")</f>
        <v/>
      </c>
      <c r="E995" s="59" t="str">
        <f t="array" ref="E995">IF(COUNTA(C995:C1350)=0,"",SUM((COUNTIF(C$4:C995,Upgrades!$B$3:$B$13)-COUNTIF(C$4:C995,"Sell_"&amp;Upgrades!$B$3:$B$13))*Upgrades!$D$3:$D$13))</f>
        <v/>
      </c>
      <c r="F995" s="66" t="str">
        <f>IFERROR(__xludf.DUMMYFUNCTION("IF(COUNTA(C995:C1350)=0,"""",IF(REGEXMATCH(INDEX(FILTER(C$4:C995,C$4:C995&lt;&gt;""""),ROWS(FILTER(C$4:C995,C$4:C995&lt;&gt;""""))),""^Sell_""),INDEX(FILTER(F$4:F994,C$4:C994&lt;&gt;""""),ROWS(FILTER(C$4:C994,C$4:C994&lt;&gt;""""))),$AC$5+E995))"),"")</f>
        <v/>
      </c>
      <c r="G995" s="10" t="str">
        <f>IFERROR(__xludf.DUMMYFUNCTION("IF(COUNTA(C995:C1350)=0,"""",IF(C995="""",0,IF(REGEXMATCH(C995,""^Sell_""),-ROUNDDOWN(ROUNDUP(INDEX(Upgrades!$C$3:$C$13,MATCH(SUBSTITUTE(C995,""Sell_"",""""),Upgrades!$B$3:$B$13,0))*1.15^(COUNTIF(C$4:C994,SUBSTITUTE(C995,""Sell_"",""""))-COUNTIF(C$4:C994,"&amp;"""Sell_""&amp;SUBSTITUTE(C995,""Sell_"",""""))))/2),ROUNDUP(INDEX(Upgrades!$C$3:$C$13,MATCH(C995,Upgrades!$B$3:$B$13,0))*1.15^(COUNTIF(C$4:C994,C995)-COUNTIF(C$4:C994,""Sell_""&amp;C995))))))"),"")</f>
        <v/>
      </c>
      <c r="H995" s="10" t="str">
        <f t="shared" si="3"/>
        <v/>
      </c>
      <c r="I995" s="68" t="str">
        <f t="shared" si="4"/>
        <v/>
      </c>
      <c r="J995" s="59" t="str">
        <f t="shared" si="5"/>
        <v/>
      </c>
      <c r="K995" s="69" t="str">
        <f t="shared" si="6"/>
        <v/>
      </c>
      <c r="L995" s="60" t="str">
        <f t="shared" si="7"/>
        <v/>
      </c>
      <c r="M995" s="61" t="str">
        <f>IFERROR(__xludf.DUMMYFUNCTION("IFS(AND(COUNTA(C995:C1350)=0,COUNTA(Q995:Q1350)=0),"""",OR(AND(K995&gt;=1000000000,OR(Y995&gt;=1000000000,COUNTA(Q995:Q1350)=0)),OR(Y995&gt;=1000000000,AND(COUNTA(C995:C1350)=0,P$3=TRUE))),
ROUNDDOWN((AB$1-AC$1)*MAX(INDEX(T$4:T1350,MATCH(LARGE(FILTER(Y$4:Y1350,Y$4"&amp;":Y1350&lt;1000000000),1),Y$4:Y1350)),INDEX(F$4:F1350,MATCH(LARGE(FILTER(K$4:K1350,K$4:K1350&lt;1000000000),1),K$4:K1350)))),AND(K995&lt;1000000000,COUNTA(C995:C1350)&gt;0,P$3=FALSE),
ROUNDDOWN(INDEX(Y$4:Y1350,MATCH(LARGE(FILTER(W$4:W1350,W$4:W1350&lt;=I995),1),W$4:W1350"&amp;"))+(I995-LARGE(FILTER(W$4:W1350,W$4:W1350&lt;=I995),1))*INDEX(T$4:T1350,MATCH(LARGE(FILTER(W$4:W1350,W$4:W1350&lt;=I995),1),W$4:W1350))-K995),1,
ROUNDDOWN(Y995-INDEX(K$4:K1350,MATCH(LARGE(FILTER(I$4:I1350,I$4:I1350&lt;=W995),1),I$4:I1350))-(W995-LARGE(FILTER(I$4:I"&amp;"1350,I$4:I1350&lt;=W995),1))*INDEX(F$4:F1350,MATCH(LARGE(FILTER(I$4:I1350,I$4:I1350&lt;=W995),1),I$4:I1350))))"),"")</f>
        <v/>
      </c>
      <c r="N995" s="60" t="str">
        <f t="shared" si="8"/>
        <v/>
      </c>
      <c r="O995" s="61" t="str">
        <f t="shared" si="9"/>
        <v/>
      </c>
      <c r="P995" s="56" t="str">
        <f t="shared" si="10"/>
        <v/>
      </c>
      <c r="Q995" s="62"/>
      <c r="R995" s="10" t="str">
        <f>IFERROR(__xludf.DUMMYFUNCTION("IF(COUNTA(Q995:Q1350)=0,"""",IF(ISBLANK(Q995),FALSE,IF(NOT(COUNTIF($AA$24:$AA$34,SUBSTITUTE(Q995,""Sell_"",""""))),1,IF(REGEXMATCH(Q995,""Sell_""),IF(COUNTIF(Q$4:Q995,SUBSTITUTE(Q995,""Sell_"",""""))-COUNTIF(Q$4:Q994,Q995)&lt;1,1),FALSE))))"),"")</f>
        <v/>
      </c>
      <c r="S995" s="59" t="str">
        <f t="array" ref="S995">IF(COUNTA(Q995:Q1350)=0,"",SUM((COUNTIF(Q$4:Q995,Upgrades!$B$3:$B$13)-COUNTIF(Q$4:Q995,"Sell_"&amp;Upgrades!$B$3:$B$13))*Upgrades!$D$3:$D$13))</f>
        <v/>
      </c>
      <c r="T995" s="66" t="str">
        <f>IFERROR(__xludf.DUMMYFUNCTION("IF(COUNTA(Q995:Q1350)=0,"""",IF(REGEXMATCH(INDEX(FILTER(Q$4:Q995,Q$4:Q995&lt;&gt;""""),ROWS(FILTER(Q$4:Q995,Q$4:Q995&lt;&gt;""""))),""^Sell_""),INDEX(FILTER(T$4:T994,Q$4:Q994&lt;&gt;""""),ROWS(FILTER(Q$4:Q994,Q$4:Q994&lt;&gt;""""))),$AD$5+S995))"),"")</f>
        <v/>
      </c>
      <c r="U995" s="10" t="str">
        <f>IFERROR(__xludf.DUMMYFUNCTION("IF(COUNTA(Q995:Q1350)=0,"""",IF(Q995="""",0,IF(REGEXMATCH(Q995,""^Sell_""),-ROUNDDOWN(ROUNDUP(INDEX(Upgrades!$C$3:$C$13,MATCH(SUBSTITUTE(Q995,""Sell_"",""""),Upgrades!$B$3:$B$13,0))*1.15^(COUNTIF(Q$4:Q994,SUBSTITUTE(Q995,""Sell_"",""""))-COUNTIF(Q$4:Q994,"&amp;"""Sell_""&amp;SUBSTITUTE(Q995,""Sell_"",""""))))/2),ROUNDUP(INDEX(Upgrades!$C$3:$C$13,MATCH(Q995,Upgrades!$B$3:$B$13,0))*1.15^(COUNTIF(Q$4:Q994,Q995)-COUNTIF(Q$4:Q994,""Sell_""&amp;Q995))))))"),"")</f>
        <v/>
      </c>
      <c r="V995" s="10" t="str">
        <f t="shared" si="11"/>
        <v/>
      </c>
      <c r="W995" s="68" t="str">
        <f t="shared" si="12"/>
        <v/>
      </c>
      <c r="X995" s="59" t="str">
        <f t="shared" si="13"/>
        <v/>
      </c>
      <c r="Y995" s="69" t="str">
        <f t="shared" si="14"/>
        <v/>
      </c>
      <c r="Z995" s="11"/>
    </row>
    <row r="996">
      <c r="A996" s="8"/>
      <c r="B996" s="56" t="str">
        <f t="shared" si="2"/>
        <v/>
      </c>
      <c r="C996" s="57"/>
      <c r="D996" s="10" t="str">
        <f>IFERROR(__xludf.DUMMYFUNCTION("IF(COUNTA(C996:C1350)=0,"""",IF(ISBLANK(C996),FALSE,IF(NOT(COUNTIF($AA$24:$AA$34,SUBSTITUTE(C996,""Sell_"",""""))),1,IF(REGEXMATCH(C996,""Sell_""),IF(COUNTIF(C$4:C996,SUBSTITUTE(C996,""Sell_"",""""))-COUNTIF(C$4:C995,C996)&lt;1,1),FALSE))))"),"")</f>
        <v/>
      </c>
      <c r="E996" s="59" t="str">
        <f t="array" ref="E996">IF(COUNTA(C996:C1350)=0,"",SUM((COUNTIF(C$4:C996,Upgrades!$B$3:$B$13)-COUNTIF(C$4:C996,"Sell_"&amp;Upgrades!$B$3:$B$13))*Upgrades!$D$3:$D$13))</f>
        <v/>
      </c>
      <c r="F996" s="66" t="str">
        <f>IFERROR(__xludf.DUMMYFUNCTION("IF(COUNTA(C996:C1350)=0,"""",IF(REGEXMATCH(INDEX(FILTER(C$4:C996,C$4:C996&lt;&gt;""""),ROWS(FILTER(C$4:C996,C$4:C996&lt;&gt;""""))),""^Sell_""),INDEX(FILTER(F$4:F995,C$4:C995&lt;&gt;""""),ROWS(FILTER(C$4:C995,C$4:C995&lt;&gt;""""))),$AC$5+E996))"),"")</f>
        <v/>
      </c>
      <c r="G996" s="10" t="str">
        <f>IFERROR(__xludf.DUMMYFUNCTION("IF(COUNTA(C996:C1350)=0,"""",IF(C996="""",0,IF(REGEXMATCH(C996,""^Sell_""),-ROUNDDOWN(ROUNDUP(INDEX(Upgrades!$C$3:$C$13,MATCH(SUBSTITUTE(C996,""Sell_"",""""),Upgrades!$B$3:$B$13,0))*1.15^(COUNTIF(C$4:C995,SUBSTITUTE(C996,""Sell_"",""""))-COUNTIF(C$4:C995,"&amp;"""Sell_""&amp;SUBSTITUTE(C996,""Sell_"",""""))))/2),ROUNDUP(INDEX(Upgrades!$C$3:$C$13,MATCH(C996,Upgrades!$B$3:$B$13,0))*1.15^(COUNTIF(C$4:C995,C996)-COUNTIF(C$4:C995,""Sell_""&amp;C996))))))"),"")</f>
        <v/>
      </c>
      <c r="H996" s="10" t="str">
        <f t="shared" si="3"/>
        <v/>
      </c>
      <c r="I996" s="68" t="str">
        <f t="shared" si="4"/>
        <v/>
      </c>
      <c r="J996" s="59" t="str">
        <f t="shared" si="5"/>
        <v/>
      </c>
      <c r="K996" s="69" t="str">
        <f t="shared" si="6"/>
        <v/>
      </c>
      <c r="L996" s="60" t="str">
        <f t="shared" si="7"/>
        <v/>
      </c>
      <c r="M996" s="61" t="str">
        <f>IFERROR(__xludf.DUMMYFUNCTION("IFS(AND(COUNTA(C996:C1350)=0,COUNTA(Q996:Q1350)=0),"""",OR(AND(K996&gt;=1000000000,OR(Y996&gt;=1000000000,COUNTA(Q996:Q1350)=0)),OR(Y996&gt;=1000000000,AND(COUNTA(C996:C1350)=0,P$3=TRUE))),
ROUNDDOWN((AB$1-AC$1)*MAX(INDEX(T$4:T1350,MATCH(LARGE(FILTER(Y$4:Y1350,Y$4"&amp;":Y1350&lt;1000000000),1),Y$4:Y1350)),INDEX(F$4:F1350,MATCH(LARGE(FILTER(K$4:K1350,K$4:K1350&lt;1000000000),1),K$4:K1350)))),AND(K996&lt;1000000000,COUNTA(C996:C1350)&gt;0,P$3=FALSE),
ROUNDDOWN(INDEX(Y$4:Y1350,MATCH(LARGE(FILTER(W$4:W1350,W$4:W1350&lt;=I996),1),W$4:W1350"&amp;"))+(I996-LARGE(FILTER(W$4:W1350,W$4:W1350&lt;=I996),1))*INDEX(T$4:T1350,MATCH(LARGE(FILTER(W$4:W1350,W$4:W1350&lt;=I996),1),W$4:W1350))-K996),1,
ROUNDDOWN(Y996-INDEX(K$4:K1350,MATCH(LARGE(FILTER(I$4:I1350,I$4:I1350&lt;=W996),1),I$4:I1350))-(W996-LARGE(FILTER(I$4:I"&amp;"1350,I$4:I1350&lt;=W996),1))*INDEX(F$4:F1350,MATCH(LARGE(FILTER(I$4:I1350,I$4:I1350&lt;=W996),1),I$4:I1350))))"),"")</f>
        <v/>
      </c>
      <c r="N996" s="60" t="str">
        <f t="shared" si="8"/>
        <v/>
      </c>
      <c r="O996" s="61" t="str">
        <f t="shared" si="9"/>
        <v/>
      </c>
      <c r="P996" s="56" t="str">
        <f t="shared" si="10"/>
        <v/>
      </c>
      <c r="Q996" s="62"/>
      <c r="R996" s="10" t="str">
        <f>IFERROR(__xludf.DUMMYFUNCTION("IF(COUNTA(Q996:Q1350)=0,"""",IF(ISBLANK(Q996),FALSE,IF(NOT(COUNTIF($AA$24:$AA$34,SUBSTITUTE(Q996,""Sell_"",""""))),1,IF(REGEXMATCH(Q996,""Sell_""),IF(COUNTIF(Q$4:Q996,SUBSTITUTE(Q996,""Sell_"",""""))-COUNTIF(Q$4:Q995,Q996)&lt;1,1),FALSE))))"),"")</f>
        <v/>
      </c>
      <c r="S996" s="59" t="str">
        <f t="array" ref="S996">IF(COUNTA(Q996:Q1350)=0,"",SUM((COUNTIF(Q$4:Q996,Upgrades!$B$3:$B$13)-COUNTIF(Q$4:Q996,"Sell_"&amp;Upgrades!$B$3:$B$13))*Upgrades!$D$3:$D$13))</f>
        <v/>
      </c>
      <c r="T996" s="66" t="str">
        <f>IFERROR(__xludf.DUMMYFUNCTION("IF(COUNTA(Q996:Q1350)=0,"""",IF(REGEXMATCH(INDEX(FILTER(Q$4:Q996,Q$4:Q996&lt;&gt;""""),ROWS(FILTER(Q$4:Q996,Q$4:Q996&lt;&gt;""""))),""^Sell_""),INDEX(FILTER(T$4:T995,Q$4:Q995&lt;&gt;""""),ROWS(FILTER(Q$4:Q995,Q$4:Q995&lt;&gt;""""))),$AD$5+S996))"),"")</f>
        <v/>
      </c>
      <c r="U996" s="10" t="str">
        <f>IFERROR(__xludf.DUMMYFUNCTION("IF(COUNTA(Q996:Q1350)=0,"""",IF(Q996="""",0,IF(REGEXMATCH(Q996,""^Sell_""),-ROUNDDOWN(ROUNDUP(INDEX(Upgrades!$C$3:$C$13,MATCH(SUBSTITUTE(Q996,""Sell_"",""""),Upgrades!$B$3:$B$13,0))*1.15^(COUNTIF(Q$4:Q995,SUBSTITUTE(Q996,""Sell_"",""""))-COUNTIF(Q$4:Q995,"&amp;"""Sell_""&amp;SUBSTITUTE(Q996,""Sell_"",""""))))/2),ROUNDUP(INDEX(Upgrades!$C$3:$C$13,MATCH(Q996,Upgrades!$B$3:$B$13,0))*1.15^(COUNTIF(Q$4:Q995,Q996)-COUNTIF(Q$4:Q995,""Sell_""&amp;Q996))))))"),"")</f>
        <v/>
      </c>
      <c r="V996" s="10" t="str">
        <f t="shared" si="11"/>
        <v/>
      </c>
      <c r="W996" s="68" t="str">
        <f t="shared" si="12"/>
        <v/>
      </c>
      <c r="X996" s="59" t="str">
        <f t="shared" si="13"/>
        <v/>
      </c>
      <c r="Y996" s="69" t="str">
        <f t="shared" si="14"/>
        <v/>
      </c>
      <c r="Z996" s="11"/>
    </row>
    <row r="997">
      <c r="A997" s="8"/>
      <c r="B997" s="56" t="str">
        <f t="shared" si="2"/>
        <v/>
      </c>
      <c r="C997" s="57"/>
      <c r="D997" s="10" t="str">
        <f>IFERROR(__xludf.DUMMYFUNCTION("IF(COUNTA(C997:C1350)=0,"""",IF(ISBLANK(C997),FALSE,IF(NOT(COUNTIF($AA$24:$AA$34,SUBSTITUTE(C997,""Sell_"",""""))),1,IF(REGEXMATCH(C997,""Sell_""),IF(COUNTIF(C$4:C997,SUBSTITUTE(C997,""Sell_"",""""))-COUNTIF(C$4:C996,C997)&lt;1,1),FALSE))))"),"")</f>
        <v/>
      </c>
      <c r="E997" s="59" t="str">
        <f t="array" ref="E997">IF(COUNTA(C997:C1350)=0,"",SUM((COUNTIF(C$4:C997,Upgrades!$B$3:$B$13)-COUNTIF(C$4:C997,"Sell_"&amp;Upgrades!$B$3:$B$13))*Upgrades!$D$3:$D$13))</f>
        <v/>
      </c>
      <c r="F997" s="66" t="str">
        <f>IFERROR(__xludf.DUMMYFUNCTION("IF(COUNTA(C997:C1350)=0,"""",IF(REGEXMATCH(INDEX(FILTER(C$4:C997,C$4:C997&lt;&gt;""""),ROWS(FILTER(C$4:C997,C$4:C997&lt;&gt;""""))),""^Sell_""),INDEX(FILTER(F$4:F996,C$4:C996&lt;&gt;""""),ROWS(FILTER(C$4:C996,C$4:C996&lt;&gt;""""))),$AC$5+E997))"),"")</f>
        <v/>
      </c>
      <c r="G997" s="10" t="str">
        <f>IFERROR(__xludf.DUMMYFUNCTION("IF(COUNTA(C997:C1350)=0,"""",IF(C997="""",0,IF(REGEXMATCH(C997,""^Sell_""),-ROUNDDOWN(ROUNDUP(INDEX(Upgrades!$C$3:$C$13,MATCH(SUBSTITUTE(C997,""Sell_"",""""),Upgrades!$B$3:$B$13,0))*1.15^(COUNTIF(C$4:C996,SUBSTITUTE(C997,""Sell_"",""""))-COUNTIF(C$4:C996,"&amp;"""Sell_""&amp;SUBSTITUTE(C997,""Sell_"",""""))))/2),ROUNDUP(INDEX(Upgrades!$C$3:$C$13,MATCH(C997,Upgrades!$B$3:$B$13,0))*1.15^(COUNTIF(C$4:C996,C997)-COUNTIF(C$4:C996,""Sell_""&amp;C997))))))"),"")</f>
        <v/>
      </c>
      <c r="H997" s="10" t="str">
        <f t="shared" si="3"/>
        <v/>
      </c>
      <c r="I997" s="68" t="str">
        <f t="shared" si="4"/>
        <v/>
      </c>
      <c r="J997" s="59" t="str">
        <f t="shared" si="5"/>
        <v/>
      </c>
      <c r="K997" s="69" t="str">
        <f t="shared" si="6"/>
        <v/>
      </c>
      <c r="L997" s="60" t="str">
        <f t="shared" si="7"/>
        <v/>
      </c>
      <c r="M997" s="61" t="str">
        <f>IFERROR(__xludf.DUMMYFUNCTION("IFS(AND(COUNTA(C997:C1350)=0,COUNTA(Q997:Q1350)=0),"""",OR(AND(K997&gt;=1000000000,OR(Y997&gt;=1000000000,COUNTA(Q997:Q1350)=0)),OR(Y997&gt;=1000000000,AND(COUNTA(C997:C1350)=0,P$3=TRUE))),
ROUNDDOWN((AB$1-AC$1)*MAX(INDEX(T$4:T1350,MATCH(LARGE(FILTER(Y$4:Y1350,Y$4"&amp;":Y1350&lt;1000000000),1),Y$4:Y1350)),INDEX(F$4:F1350,MATCH(LARGE(FILTER(K$4:K1350,K$4:K1350&lt;1000000000),1),K$4:K1350)))),AND(K997&lt;1000000000,COUNTA(C997:C1350)&gt;0,P$3=FALSE),
ROUNDDOWN(INDEX(Y$4:Y1350,MATCH(LARGE(FILTER(W$4:W1350,W$4:W1350&lt;=I997),1),W$4:W1350"&amp;"))+(I997-LARGE(FILTER(W$4:W1350,W$4:W1350&lt;=I997),1))*INDEX(T$4:T1350,MATCH(LARGE(FILTER(W$4:W1350,W$4:W1350&lt;=I997),1),W$4:W1350))-K997),1,
ROUNDDOWN(Y997-INDEX(K$4:K1350,MATCH(LARGE(FILTER(I$4:I1350,I$4:I1350&lt;=W997),1),I$4:I1350))-(W997-LARGE(FILTER(I$4:I"&amp;"1350,I$4:I1350&lt;=W997),1))*INDEX(F$4:F1350,MATCH(LARGE(FILTER(I$4:I1350,I$4:I1350&lt;=W997),1),I$4:I1350))))"),"")</f>
        <v/>
      </c>
      <c r="N997" s="60" t="str">
        <f t="shared" si="8"/>
        <v/>
      </c>
      <c r="O997" s="61" t="str">
        <f t="shared" si="9"/>
        <v/>
      </c>
      <c r="P997" s="56" t="str">
        <f t="shared" si="10"/>
        <v/>
      </c>
      <c r="Q997" s="62"/>
      <c r="R997" s="10" t="str">
        <f>IFERROR(__xludf.DUMMYFUNCTION("IF(COUNTA(Q997:Q1350)=0,"""",IF(ISBLANK(Q997),FALSE,IF(NOT(COUNTIF($AA$24:$AA$34,SUBSTITUTE(Q997,""Sell_"",""""))),1,IF(REGEXMATCH(Q997,""Sell_""),IF(COUNTIF(Q$4:Q997,SUBSTITUTE(Q997,""Sell_"",""""))-COUNTIF(Q$4:Q996,Q997)&lt;1,1),FALSE))))"),"")</f>
        <v/>
      </c>
      <c r="S997" s="59" t="str">
        <f t="array" ref="S997">IF(COUNTA(Q997:Q1350)=0,"",SUM((COUNTIF(Q$4:Q997,Upgrades!$B$3:$B$13)-COUNTIF(Q$4:Q997,"Sell_"&amp;Upgrades!$B$3:$B$13))*Upgrades!$D$3:$D$13))</f>
        <v/>
      </c>
      <c r="T997" s="66" t="str">
        <f>IFERROR(__xludf.DUMMYFUNCTION("IF(COUNTA(Q997:Q1350)=0,"""",IF(REGEXMATCH(INDEX(FILTER(Q$4:Q997,Q$4:Q997&lt;&gt;""""),ROWS(FILTER(Q$4:Q997,Q$4:Q997&lt;&gt;""""))),""^Sell_""),INDEX(FILTER(T$4:T996,Q$4:Q996&lt;&gt;""""),ROWS(FILTER(Q$4:Q996,Q$4:Q996&lt;&gt;""""))),$AD$5+S997))"),"")</f>
        <v/>
      </c>
      <c r="U997" s="10" t="str">
        <f>IFERROR(__xludf.DUMMYFUNCTION("IF(COUNTA(Q997:Q1350)=0,"""",IF(Q997="""",0,IF(REGEXMATCH(Q997,""^Sell_""),-ROUNDDOWN(ROUNDUP(INDEX(Upgrades!$C$3:$C$13,MATCH(SUBSTITUTE(Q997,""Sell_"",""""),Upgrades!$B$3:$B$13,0))*1.15^(COUNTIF(Q$4:Q996,SUBSTITUTE(Q997,""Sell_"",""""))-COUNTIF(Q$4:Q996,"&amp;"""Sell_""&amp;SUBSTITUTE(Q997,""Sell_"",""""))))/2),ROUNDUP(INDEX(Upgrades!$C$3:$C$13,MATCH(Q997,Upgrades!$B$3:$B$13,0))*1.15^(COUNTIF(Q$4:Q996,Q997)-COUNTIF(Q$4:Q996,""Sell_""&amp;Q997))))))"),"")</f>
        <v/>
      </c>
      <c r="V997" s="10" t="str">
        <f t="shared" si="11"/>
        <v/>
      </c>
      <c r="W997" s="68" t="str">
        <f t="shared" si="12"/>
        <v/>
      </c>
      <c r="X997" s="59" t="str">
        <f t="shared" si="13"/>
        <v/>
      </c>
      <c r="Y997" s="69" t="str">
        <f t="shared" si="14"/>
        <v/>
      </c>
      <c r="Z997" s="11"/>
    </row>
    <row r="998">
      <c r="A998" s="8"/>
      <c r="B998" s="56" t="str">
        <f t="shared" si="2"/>
        <v/>
      </c>
      <c r="C998" s="57"/>
      <c r="D998" s="10" t="str">
        <f>IFERROR(__xludf.DUMMYFUNCTION("IF(COUNTA(C998:C1350)=0,"""",IF(ISBLANK(C998),FALSE,IF(NOT(COUNTIF($AA$24:$AA$34,SUBSTITUTE(C998,""Sell_"",""""))),1,IF(REGEXMATCH(C998,""Sell_""),IF(COUNTIF(C$4:C998,SUBSTITUTE(C998,""Sell_"",""""))-COUNTIF(C$4:C997,C998)&lt;1,1),FALSE))))"),"")</f>
        <v/>
      </c>
      <c r="E998" s="59" t="str">
        <f t="array" ref="E998">IF(COUNTA(C998:C1350)=0,"",SUM((COUNTIF(C$4:C998,Upgrades!$B$3:$B$13)-COUNTIF(C$4:C998,"Sell_"&amp;Upgrades!$B$3:$B$13))*Upgrades!$D$3:$D$13))</f>
        <v/>
      </c>
      <c r="F998" s="66" t="str">
        <f>IFERROR(__xludf.DUMMYFUNCTION("IF(COUNTA(C998:C1350)=0,"""",IF(REGEXMATCH(INDEX(FILTER(C$4:C998,C$4:C998&lt;&gt;""""),ROWS(FILTER(C$4:C998,C$4:C998&lt;&gt;""""))),""^Sell_""),INDEX(FILTER(F$4:F997,C$4:C997&lt;&gt;""""),ROWS(FILTER(C$4:C997,C$4:C997&lt;&gt;""""))),$AC$5+E998))"),"")</f>
        <v/>
      </c>
      <c r="G998" s="10" t="str">
        <f>IFERROR(__xludf.DUMMYFUNCTION("IF(COUNTA(C998:C1350)=0,"""",IF(C998="""",0,IF(REGEXMATCH(C998,""^Sell_""),-ROUNDDOWN(ROUNDUP(INDEX(Upgrades!$C$3:$C$13,MATCH(SUBSTITUTE(C998,""Sell_"",""""),Upgrades!$B$3:$B$13,0))*1.15^(COUNTIF(C$4:C997,SUBSTITUTE(C998,""Sell_"",""""))-COUNTIF(C$4:C997,"&amp;"""Sell_""&amp;SUBSTITUTE(C998,""Sell_"",""""))))/2),ROUNDUP(INDEX(Upgrades!$C$3:$C$13,MATCH(C998,Upgrades!$B$3:$B$13,0))*1.15^(COUNTIF(C$4:C997,C998)-COUNTIF(C$4:C997,""Sell_""&amp;C998))))))"),"")</f>
        <v/>
      </c>
      <c r="H998" s="10" t="str">
        <f t="shared" si="3"/>
        <v/>
      </c>
      <c r="I998" s="68" t="str">
        <f t="shared" si="4"/>
        <v/>
      </c>
      <c r="J998" s="59" t="str">
        <f t="shared" si="5"/>
        <v/>
      </c>
      <c r="K998" s="69" t="str">
        <f t="shared" si="6"/>
        <v/>
      </c>
      <c r="L998" s="60" t="str">
        <f t="shared" si="7"/>
        <v/>
      </c>
      <c r="M998" s="61" t="str">
        <f>IFERROR(__xludf.DUMMYFUNCTION("IFS(AND(COUNTA(C998:C1350)=0,COUNTA(Q998:Q1350)=0),"""",OR(AND(K998&gt;=1000000000,OR(Y998&gt;=1000000000,COUNTA(Q998:Q1350)=0)),OR(Y998&gt;=1000000000,AND(COUNTA(C998:C1350)=0,P$3=TRUE))),
ROUNDDOWN((AB$1-AC$1)*MAX(INDEX(T$4:T1350,MATCH(LARGE(FILTER(Y$4:Y1350,Y$4"&amp;":Y1350&lt;1000000000),1),Y$4:Y1350)),INDEX(F$4:F1350,MATCH(LARGE(FILTER(K$4:K1350,K$4:K1350&lt;1000000000),1),K$4:K1350)))),AND(K998&lt;1000000000,COUNTA(C998:C1350)&gt;0,P$3=FALSE),
ROUNDDOWN(INDEX(Y$4:Y1350,MATCH(LARGE(FILTER(W$4:W1350,W$4:W1350&lt;=I998),1),W$4:W1350"&amp;"))+(I998-LARGE(FILTER(W$4:W1350,W$4:W1350&lt;=I998),1))*INDEX(T$4:T1350,MATCH(LARGE(FILTER(W$4:W1350,W$4:W1350&lt;=I998),1),W$4:W1350))-K998),1,
ROUNDDOWN(Y998-INDEX(K$4:K1350,MATCH(LARGE(FILTER(I$4:I1350,I$4:I1350&lt;=W998),1),I$4:I1350))-(W998-LARGE(FILTER(I$4:I"&amp;"1350,I$4:I1350&lt;=W998),1))*INDEX(F$4:F1350,MATCH(LARGE(FILTER(I$4:I1350,I$4:I1350&lt;=W998),1),I$4:I1350))))"),"")</f>
        <v/>
      </c>
      <c r="N998" s="60" t="str">
        <f t="shared" si="8"/>
        <v/>
      </c>
      <c r="O998" s="61" t="str">
        <f t="shared" si="9"/>
        <v/>
      </c>
      <c r="P998" s="56" t="str">
        <f t="shared" si="10"/>
        <v/>
      </c>
      <c r="Q998" s="62"/>
      <c r="R998" s="10" t="str">
        <f>IFERROR(__xludf.DUMMYFUNCTION("IF(COUNTA(Q998:Q1350)=0,"""",IF(ISBLANK(Q998),FALSE,IF(NOT(COUNTIF($AA$24:$AA$34,SUBSTITUTE(Q998,""Sell_"",""""))),1,IF(REGEXMATCH(Q998,""Sell_""),IF(COUNTIF(Q$4:Q998,SUBSTITUTE(Q998,""Sell_"",""""))-COUNTIF(Q$4:Q997,Q998)&lt;1,1),FALSE))))"),"")</f>
        <v/>
      </c>
      <c r="S998" s="59" t="str">
        <f t="array" ref="S998">IF(COUNTA(Q998:Q1350)=0,"",SUM((COUNTIF(Q$4:Q998,Upgrades!$B$3:$B$13)-COUNTIF(Q$4:Q998,"Sell_"&amp;Upgrades!$B$3:$B$13))*Upgrades!$D$3:$D$13))</f>
        <v/>
      </c>
      <c r="T998" s="66" t="str">
        <f>IFERROR(__xludf.DUMMYFUNCTION("IF(COUNTA(Q998:Q1350)=0,"""",IF(REGEXMATCH(INDEX(FILTER(Q$4:Q998,Q$4:Q998&lt;&gt;""""),ROWS(FILTER(Q$4:Q998,Q$4:Q998&lt;&gt;""""))),""^Sell_""),INDEX(FILTER(T$4:T997,Q$4:Q997&lt;&gt;""""),ROWS(FILTER(Q$4:Q997,Q$4:Q997&lt;&gt;""""))),$AD$5+S998))"),"")</f>
        <v/>
      </c>
      <c r="U998" s="10" t="str">
        <f>IFERROR(__xludf.DUMMYFUNCTION("IF(COUNTA(Q998:Q1350)=0,"""",IF(Q998="""",0,IF(REGEXMATCH(Q998,""^Sell_""),-ROUNDDOWN(ROUNDUP(INDEX(Upgrades!$C$3:$C$13,MATCH(SUBSTITUTE(Q998,""Sell_"",""""),Upgrades!$B$3:$B$13,0))*1.15^(COUNTIF(Q$4:Q997,SUBSTITUTE(Q998,""Sell_"",""""))-COUNTIF(Q$4:Q997,"&amp;"""Sell_""&amp;SUBSTITUTE(Q998,""Sell_"",""""))))/2),ROUNDUP(INDEX(Upgrades!$C$3:$C$13,MATCH(Q998,Upgrades!$B$3:$B$13,0))*1.15^(COUNTIF(Q$4:Q997,Q998)-COUNTIF(Q$4:Q997,""Sell_""&amp;Q998))))))"),"")</f>
        <v/>
      </c>
      <c r="V998" s="10" t="str">
        <f t="shared" si="11"/>
        <v/>
      </c>
      <c r="W998" s="68" t="str">
        <f t="shared" si="12"/>
        <v/>
      </c>
      <c r="X998" s="59" t="str">
        <f t="shared" si="13"/>
        <v/>
      </c>
      <c r="Y998" s="69" t="str">
        <f t="shared" si="14"/>
        <v/>
      </c>
      <c r="Z998" s="11"/>
    </row>
    <row r="999">
      <c r="A999" s="8"/>
      <c r="B999" s="56" t="str">
        <f t="shared" si="2"/>
        <v/>
      </c>
      <c r="C999" s="57"/>
      <c r="D999" s="10" t="str">
        <f>IFERROR(__xludf.DUMMYFUNCTION("IF(COUNTA(C999:C1350)=0,"""",IF(ISBLANK(C999),FALSE,IF(NOT(COUNTIF($AA$24:$AA$34,SUBSTITUTE(C999,""Sell_"",""""))),1,IF(REGEXMATCH(C999,""Sell_""),IF(COUNTIF(C$4:C999,SUBSTITUTE(C999,""Sell_"",""""))-COUNTIF(C$4:C998,C999)&lt;1,1),FALSE))))"),"")</f>
        <v/>
      </c>
      <c r="E999" s="59" t="str">
        <f t="array" ref="E999">IF(COUNTA(C999:C1350)=0,"",SUM((COUNTIF(C$4:C999,Upgrades!$B$3:$B$13)-COUNTIF(C$4:C999,"Sell_"&amp;Upgrades!$B$3:$B$13))*Upgrades!$D$3:$D$13))</f>
        <v/>
      </c>
      <c r="F999" s="66" t="str">
        <f>IFERROR(__xludf.DUMMYFUNCTION("IF(COUNTA(C999:C1350)=0,"""",IF(REGEXMATCH(INDEX(FILTER(C$4:C999,C$4:C999&lt;&gt;""""),ROWS(FILTER(C$4:C999,C$4:C999&lt;&gt;""""))),""^Sell_""),INDEX(FILTER(F$4:F998,C$4:C998&lt;&gt;""""),ROWS(FILTER(C$4:C998,C$4:C998&lt;&gt;""""))),$AC$5+E999))"),"")</f>
        <v/>
      </c>
      <c r="G999" s="10" t="str">
        <f>IFERROR(__xludf.DUMMYFUNCTION("IF(COUNTA(C999:C1350)=0,"""",IF(C999="""",0,IF(REGEXMATCH(C999,""^Sell_""),-ROUNDDOWN(ROUNDUP(INDEX(Upgrades!$C$3:$C$13,MATCH(SUBSTITUTE(C999,""Sell_"",""""),Upgrades!$B$3:$B$13,0))*1.15^(COUNTIF(C$4:C998,SUBSTITUTE(C999,""Sell_"",""""))-COUNTIF(C$4:C998,"&amp;"""Sell_""&amp;SUBSTITUTE(C999,""Sell_"",""""))))/2),ROUNDUP(INDEX(Upgrades!$C$3:$C$13,MATCH(C999,Upgrades!$B$3:$B$13,0))*1.15^(COUNTIF(C$4:C998,C999)-COUNTIF(C$4:C998,""Sell_""&amp;C999))))))"),"")</f>
        <v/>
      </c>
      <c r="H999" s="10" t="str">
        <f t="shared" si="3"/>
        <v/>
      </c>
      <c r="I999" s="68" t="str">
        <f t="shared" si="4"/>
        <v/>
      </c>
      <c r="J999" s="59" t="str">
        <f t="shared" si="5"/>
        <v/>
      </c>
      <c r="K999" s="69" t="str">
        <f t="shared" si="6"/>
        <v/>
      </c>
      <c r="L999" s="60" t="str">
        <f t="shared" si="7"/>
        <v/>
      </c>
      <c r="M999" s="61" t="str">
        <f>IFERROR(__xludf.DUMMYFUNCTION("IFS(AND(COUNTA(C999:C1350)=0,COUNTA(Q999:Q1350)=0),"""",OR(AND(K999&gt;=1000000000,OR(Y999&gt;=1000000000,COUNTA(Q999:Q1350)=0)),OR(Y999&gt;=1000000000,AND(COUNTA(C999:C1350)=0,P$3=TRUE))),
ROUNDDOWN((AB$1-AC$1)*MAX(INDEX(T$4:T1350,MATCH(LARGE(FILTER(Y$4:Y1350,Y$4"&amp;":Y1350&lt;1000000000),1),Y$4:Y1350)),INDEX(F$4:F1350,MATCH(LARGE(FILTER(K$4:K1350,K$4:K1350&lt;1000000000),1),K$4:K1350)))),AND(K999&lt;1000000000,COUNTA(C999:C1350)&gt;0,P$3=FALSE),
ROUNDDOWN(INDEX(Y$4:Y1350,MATCH(LARGE(FILTER(W$4:W1350,W$4:W1350&lt;=I999),1),W$4:W1350"&amp;"))+(I999-LARGE(FILTER(W$4:W1350,W$4:W1350&lt;=I999),1))*INDEX(T$4:T1350,MATCH(LARGE(FILTER(W$4:W1350,W$4:W1350&lt;=I999),1),W$4:W1350))-K999),1,
ROUNDDOWN(Y999-INDEX(K$4:K1350,MATCH(LARGE(FILTER(I$4:I1350,I$4:I1350&lt;=W999),1),I$4:I1350))-(W999-LARGE(FILTER(I$4:I"&amp;"1350,I$4:I1350&lt;=W999),1))*INDEX(F$4:F1350,MATCH(LARGE(FILTER(I$4:I1350,I$4:I1350&lt;=W999),1),I$4:I1350))))"),"")</f>
        <v/>
      </c>
      <c r="N999" s="60" t="str">
        <f t="shared" si="8"/>
        <v/>
      </c>
      <c r="O999" s="61" t="str">
        <f t="shared" si="9"/>
        <v/>
      </c>
      <c r="P999" s="56" t="str">
        <f t="shared" si="10"/>
        <v/>
      </c>
      <c r="Q999" s="62"/>
      <c r="R999" s="10" t="str">
        <f>IFERROR(__xludf.DUMMYFUNCTION("IF(COUNTA(Q999:Q1350)=0,"""",IF(ISBLANK(Q999),FALSE,IF(NOT(COUNTIF($AA$24:$AA$34,SUBSTITUTE(Q999,""Sell_"",""""))),1,IF(REGEXMATCH(Q999,""Sell_""),IF(COUNTIF(Q$4:Q999,SUBSTITUTE(Q999,""Sell_"",""""))-COUNTIF(Q$4:Q998,Q999)&lt;1,1),FALSE))))"),"")</f>
        <v/>
      </c>
      <c r="S999" s="59" t="str">
        <f t="array" ref="S999">IF(COUNTA(Q999:Q1350)=0,"",SUM((COUNTIF(Q$4:Q999,Upgrades!$B$3:$B$13)-COUNTIF(Q$4:Q999,"Sell_"&amp;Upgrades!$B$3:$B$13))*Upgrades!$D$3:$D$13))</f>
        <v/>
      </c>
      <c r="T999" s="66" t="str">
        <f>IFERROR(__xludf.DUMMYFUNCTION("IF(COUNTA(Q999:Q1350)=0,"""",IF(REGEXMATCH(INDEX(FILTER(Q$4:Q999,Q$4:Q999&lt;&gt;""""),ROWS(FILTER(Q$4:Q999,Q$4:Q999&lt;&gt;""""))),""^Sell_""),INDEX(FILTER(T$4:T998,Q$4:Q998&lt;&gt;""""),ROWS(FILTER(Q$4:Q998,Q$4:Q998&lt;&gt;""""))),$AD$5+S999))"),"")</f>
        <v/>
      </c>
      <c r="U999" s="10" t="str">
        <f>IFERROR(__xludf.DUMMYFUNCTION("IF(COUNTA(Q999:Q1350)=0,"""",IF(Q999="""",0,IF(REGEXMATCH(Q999,""^Sell_""),-ROUNDDOWN(ROUNDUP(INDEX(Upgrades!$C$3:$C$13,MATCH(SUBSTITUTE(Q999,""Sell_"",""""),Upgrades!$B$3:$B$13,0))*1.15^(COUNTIF(Q$4:Q998,SUBSTITUTE(Q999,""Sell_"",""""))-COUNTIF(Q$4:Q998,"&amp;"""Sell_""&amp;SUBSTITUTE(Q999,""Sell_"",""""))))/2),ROUNDUP(INDEX(Upgrades!$C$3:$C$13,MATCH(Q999,Upgrades!$B$3:$B$13,0))*1.15^(COUNTIF(Q$4:Q998,Q999)-COUNTIF(Q$4:Q998,""Sell_""&amp;Q999))))))"),"")</f>
        <v/>
      </c>
      <c r="V999" s="10" t="str">
        <f t="shared" si="11"/>
        <v/>
      </c>
      <c r="W999" s="68" t="str">
        <f t="shared" si="12"/>
        <v/>
      </c>
      <c r="X999" s="59" t="str">
        <f t="shared" si="13"/>
        <v/>
      </c>
      <c r="Y999" s="69" t="str">
        <f t="shared" si="14"/>
        <v/>
      </c>
      <c r="Z999" s="11"/>
    </row>
    <row r="1000">
      <c r="A1000" s="8"/>
      <c r="B1000" s="56" t="str">
        <f t="shared" si="2"/>
        <v/>
      </c>
      <c r="C1000" s="57"/>
      <c r="D1000" s="10" t="str">
        <f>IFERROR(__xludf.DUMMYFUNCTION("IF(COUNTA(C1000:C1350)=0,"""",IF(ISBLANK(C1000),FALSE,IF(NOT(COUNTIF($AA$24:$AA$34,SUBSTITUTE(C1000,""Sell_"",""""))),1,IF(REGEXMATCH(C1000,""Sell_""),IF(COUNTIF(C$4:C1000,SUBSTITUTE(C1000,""Sell_"",""""))-COUNTIF(C$4:C999,C1000)&lt;1,1),FALSE))))"),"")</f>
        <v/>
      </c>
      <c r="E1000" s="59" t="str">
        <f t="array" ref="E1000">IF(COUNTA(C1000:C1350)=0,"",SUM((COUNTIF(C$4:C1000,Upgrades!$B$3:$B$13)-COUNTIF(C$4:C1000,"Sell_"&amp;Upgrades!$B$3:$B$13))*Upgrades!$D$3:$D$13))</f>
        <v/>
      </c>
      <c r="F1000" s="66" t="str">
        <f>IFERROR(__xludf.DUMMYFUNCTION("IF(COUNTA(C1000:C1350)=0,"""",IF(REGEXMATCH(INDEX(FILTER(C$4:C1000,C$4:C1000&lt;&gt;""""),ROWS(FILTER(C$4:C1000,C$4:C1000&lt;&gt;""""))),""^Sell_""),INDEX(FILTER(F$4:F999,C$4:C999&lt;&gt;""""),ROWS(FILTER(C$4:C999,C$4:C999&lt;&gt;""""))),$AC$5+E1000))"),"")</f>
        <v/>
      </c>
      <c r="G1000" s="10" t="str">
        <f>IFERROR(__xludf.DUMMYFUNCTION("IF(COUNTA(C1000:C1350)=0,"""",IF(C1000="""",0,IF(REGEXMATCH(C1000,""^Sell_""),-ROUNDDOWN(ROUNDUP(INDEX(Upgrades!$C$3:$C$13,MATCH(SUBSTITUTE(C1000,""Sell_"",""""),Upgrades!$B$3:$B$13,0))*1.15^(COUNTIF(C$4:C999,SUBSTITUTE(C1000,""Sell_"",""""))-COUNTIF(C$4:"&amp;"C999,""Sell_""&amp;SUBSTITUTE(C1000,""Sell_"",""""))))/2),ROUNDUP(INDEX(Upgrades!$C$3:$C$13,MATCH(C1000,Upgrades!$B$3:$B$13,0))*1.15^(COUNTIF(C$4:C999,C1000)-COUNTIF(C$4:C999,""Sell_""&amp;C1000))))))"),"")</f>
        <v/>
      </c>
      <c r="H1000" s="10" t="str">
        <f t="shared" si="3"/>
        <v/>
      </c>
      <c r="I1000" s="68" t="str">
        <f t="shared" si="4"/>
        <v/>
      </c>
      <c r="J1000" s="59" t="str">
        <f t="shared" si="5"/>
        <v/>
      </c>
      <c r="K1000" s="69" t="str">
        <f t="shared" si="6"/>
        <v/>
      </c>
      <c r="L1000" s="60" t="str">
        <f t="shared" si="7"/>
        <v/>
      </c>
      <c r="M1000" s="61" t="str">
        <f>IFERROR(__xludf.DUMMYFUNCTION("IFS(AND(COUNTA(C1000:C1350)=0,COUNTA(Q1000:Q1350)=0),"""",OR(AND(K1000&gt;=1000000000,OR(Y1000&gt;=1000000000,COUNTA(Q1000:Q1350)=0)),OR(Y1000&gt;=1000000000,AND(COUNTA(C1000:C1350)=0,P$3=TRUE))),
ROUNDDOWN((AB$1-AC$1)*MAX(INDEX(T$4:T1350,MATCH(LARGE(FILTER(Y$4:Y1"&amp;"350,Y$4:Y1350&lt;1000000000),1),Y$4:Y1350)),INDEX(F$4:F1350,MATCH(LARGE(FILTER(K$4:K1350,K$4:K1350&lt;1000000000),1),K$4:K1350)))),AND(K1000&lt;1000000000,COUNTA(C1000:C1350)&gt;0,P$3=FALSE),
ROUNDDOWN(INDEX(Y$4:Y1350,MATCH(LARGE(FILTER(W$4:W1350,W$4:W1350&lt;=I1000),1)"&amp;",W$4:W1350))+(I1000-LARGE(FILTER(W$4:W1350,W$4:W1350&lt;=I1000),1))*INDEX(T$4:T1350,MATCH(LARGE(FILTER(W$4:W1350,W$4:W1350&lt;=I1000),1),W$4:W1350))-K1000),1,
ROUNDDOWN(Y1000-INDEX(K$4:K1350,MATCH(LARGE(FILTER(I$4:I1350,I$4:I1350&lt;=W1000),1),I$4:I1350))-(W1000-L"&amp;"ARGE(FILTER(I$4:I1350,I$4:I1350&lt;=W1000),1))*INDEX(F$4:F1350,MATCH(LARGE(FILTER(I$4:I1350,I$4:I1350&lt;=W1000),1),I$4:I1350))))"),"")</f>
        <v/>
      </c>
      <c r="N1000" s="60" t="str">
        <f t="shared" si="8"/>
        <v/>
      </c>
      <c r="O1000" s="61" t="str">
        <f t="shared" si="9"/>
        <v/>
      </c>
      <c r="P1000" s="56" t="str">
        <f t="shared" si="10"/>
        <v/>
      </c>
      <c r="Q1000" s="62"/>
      <c r="R1000" s="10" t="str">
        <f>IFERROR(__xludf.DUMMYFUNCTION("IF(COUNTA(Q1000:Q1350)=0,"""",IF(ISBLANK(Q1000),FALSE,IF(NOT(COUNTIF($AA$24:$AA$34,SUBSTITUTE(Q1000,""Sell_"",""""))),1,IF(REGEXMATCH(Q1000,""Sell_""),IF(COUNTIF(Q$4:Q1000,SUBSTITUTE(Q1000,""Sell_"",""""))-COUNTIF(Q$4:Q999,Q1000)&lt;1,1),FALSE))))"),"")</f>
        <v/>
      </c>
      <c r="S1000" s="59" t="str">
        <f t="array" ref="S1000">IF(COUNTA(Q1000:Q1350)=0,"",SUM((COUNTIF(Q$4:Q1000,Upgrades!$B$3:$B$13)-COUNTIF(Q$4:Q1000,"Sell_"&amp;Upgrades!$B$3:$B$13))*Upgrades!$D$3:$D$13))</f>
        <v/>
      </c>
      <c r="T1000" s="66" t="str">
        <f>IFERROR(__xludf.DUMMYFUNCTION("IF(COUNTA(Q1000:Q1350)=0,"""",IF(REGEXMATCH(INDEX(FILTER(Q$4:Q1000,Q$4:Q1000&lt;&gt;""""),ROWS(FILTER(Q$4:Q1000,Q$4:Q1000&lt;&gt;""""))),""^Sell_""),INDEX(FILTER(T$4:T999,Q$4:Q999&lt;&gt;""""),ROWS(FILTER(Q$4:Q999,Q$4:Q999&lt;&gt;""""))),$AD$5+S1000))"),"")</f>
        <v/>
      </c>
      <c r="U1000" s="10" t="str">
        <f>IFERROR(__xludf.DUMMYFUNCTION("IF(COUNTA(Q1000:Q1350)=0,"""",IF(Q1000="""",0,IF(REGEXMATCH(Q1000,""^Sell_""),-ROUNDDOWN(ROUNDUP(INDEX(Upgrades!$C$3:$C$13,MATCH(SUBSTITUTE(Q1000,""Sell_"",""""),Upgrades!$B$3:$B$13,0))*1.15^(COUNTIF(Q$4:Q999,SUBSTITUTE(Q1000,""Sell_"",""""))-COUNTIF(Q$4:"&amp;"Q999,""Sell_""&amp;SUBSTITUTE(Q1000,""Sell_"",""""))))/2),ROUNDUP(INDEX(Upgrades!$C$3:$C$13,MATCH(Q1000,Upgrades!$B$3:$B$13,0))*1.15^(COUNTIF(Q$4:Q999,Q1000)-COUNTIF(Q$4:Q999,""Sell_""&amp;Q1000))))))"),"")</f>
        <v/>
      </c>
      <c r="V1000" s="10" t="str">
        <f t="shared" si="11"/>
        <v/>
      </c>
      <c r="W1000" s="68" t="str">
        <f t="shared" si="12"/>
        <v/>
      </c>
      <c r="X1000" s="59" t="str">
        <f t="shared" si="13"/>
        <v/>
      </c>
      <c r="Y1000" s="69" t="str">
        <f t="shared" si="14"/>
        <v/>
      </c>
      <c r="Z1000" s="11"/>
    </row>
    <row r="1001">
      <c r="A1001" s="8"/>
      <c r="B1001" s="56" t="str">
        <f t="shared" si="2"/>
        <v/>
      </c>
      <c r="C1001" s="57"/>
      <c r="D1001" s="10" t="str">
        <f>IFERROR(__xludf.DUMMYFUNCTION("IF(COUNTA(C1001:C1350)=0,"""",IF(ISBLANK(C1001),FALSE,IF(NOT(COUNTIF($AA$24:$AA$34,SUBSTITUTE(C1001,""Sell_"",""""))),1,IF(REGEXMATCH(C1001,""Sell_""),IF(COUNTIF(C$4:C1001,SUBSTITUTE(C1001,""Sell_"",""""))-COUNTIF(C$4:C1000,C1001)&lt;1,1),FALSE))))"),"")</f>
        <v/>
      </c>
      <c r="E1001" s="59" t="str">
        <f t="array" ref="E1001">IF(COUNTA(C1001:C1350)=0,"",SUM((COUNTIF(C$4:C1001,Upgrades!$B$3:$B$13)-COUNTIF(C$4:C1001,"Sell_"&amp;Upgrades!$B$3:$B$13))*Upgrades!$D$3:$D$13))</f>
        <v/>
      </c>
      <c r="F1001" s="66" t="str">
        <f>IFERROR(__xludf.DUMMYFUNCTION("IF(COUNTA(C1001:C1350)=0,"""",IF(REGEXMATCH(INDEX(FILTER(C$4:C1001,C$4:C1001&lt;&gt;""""),ROWS(FILTER(C$4:C1001,C$4:C1001&lt;&gt;""""))),""^Sell_""),INDEX(FILTER(F$4:F1000,C$4:C1000&lt;&gt;""""),ROWS(FILTER(C$4:C1000,C$4:C1000&lt;&gt;""""))),$AC$5+E1001))"),"")</f>
        <v/>
      </c>
      <c r="G1001" s="10" t="str">
        <f>IFERROR(__xludf.DUMMYFUNCTION("IF(COUNTA(C1001:C1350)=0,"""",IF(C1001="""",0,IF(REGEXMATCH(C1001,""^Sell_""),-ROUNDDOWN(ROUNDUP(INDEX(Upgrades!$C$3:$C$13,MATCH(SUBSTITUTE(C1001,""Sell_"",""""),Upgrades!$B$3:$B$13,0))*1.15^(COUNTIF(C$4:C1000,SUBSTITUTE(C1001,""Sell_"",""""))-COUNTIF(C$4"&amp;":C1000,""Sell_""&amp;SUBSTITUTE(C1001,""Sell_"",""""))))/2),ROUNDUP(INDEX(Upgrades!$C$3:$C$13,MATCH(C1001,Upgrades!$B$3:$B$13,0))*1.15^(COUNTIF(C$4:C1000,C1001)-COUNTIF(C$4:C1000,""Sell_""&amp;C1001))))))"),"")</f>
        <v/>
      </c>
      <c r="H1001" s="10" t="str">
        <f t="shared" si="3"/>
        <v/>
      </c>
      <c r="I1001" s="68" t="str">
        <f t="shared" si="4"/>
        <v/>
      </c>
      <c r="J1001" s="59" t="str">
        <f t="shared" si="5"/>
        <v/>
      </c>
      <c r="K1001" s="69" t="str">
        <f t="shared" si="6"/>
        <v/>
      </c>
      <c r="L1001" s="60" t="str">
        <f t="shared" si="7"/>
        <v/>
      </c>
      <c r="M1001" s="61" t="str">
        <f>IFERROR(__xludf.DUMMYFUNCTION("IFS(AND(COUNTA(C1001:C1350)=0,COUNTA(Q1001:Q1350)=0),"""",OR(AND(K1001&gt;=1000000000,OR(Y1001&gt;=1000000000,COUNTA(Q1001:Q1350)=0)),OR(Y1001&gt;=1000000000,AND(COUNTA(C1001:C1350)=0,P$3=TRUE))),
ROUNDDOWN((AB$1-AC$1)*MAX(INDEX(T$4:T1350,MATCH(LARGE(FILTER(Y$4:Y1"&amp;"350,Y$4:Y1350&lt;1000000000),1),Y$4:Y1350)),INDEX(F$4:F1350,MATCH(LARGE(FILTER(K$4:K1350,K$4:K1350&lt;1000000000),1),K$4:K1350)))),AND(K1001&lt;1000000000,COUNTA(C1001:C1350)&gt;0,P$3=FALSE),
ROUNDDOWN(INDEX(Y$4:Y1350,MATCH(LARGE(FILTER(W$4:W1350,W$4:W1350&lt;=I1001),1)"&amp;",W$4:W1350))+(I1001-LARGE(FILTER(W$4:W1350,W$4:W1350&lt;=I1001),1))*INDEX(T$4:T1350,MATCH(LARGE(FILTER(W$4:W1350,W$4:W1350&lt;=I1001),1),W$4:W1350))-K1001),1,
ROUNDDOWN(Y1001-INDEX(K$4:K1350,MATCH(LARGE(FILTER(I$4:I1350,I$4:I1350&lt;=W1001),1),I$4:I1350))-(W1001-L"&amp;"ARGE(FILTER(I$4:I1350,I$4:I1350&lt;=W1001),1))*INDEX(F$4:F1350,MATCH(LARGE(FILTER(I$4:I1350,I$4:I1350&lt;=W1001),1),I$4:I1350))))"),"")</f>
        <v/>
      </c>
      <c r="N1001" s="60" t="str">
        <f t="shared" si="8"/>
        <v/>
      </c>
      <c r="O1001" s="61" t="str">
        <f t="shared" si="9"/>
        <v/>
      </c>
      <c r="P1001" s="56" t="str">
        <f t="shared" si="10"/>
        <v/>
      </c>
      <c r="Q1001" s="62"/>
      <c r="R1001" s="10" t="str">
        <f>IFERROR(__xludf.DUMMYFUNCTION("IF(COUNTA(Q1001:Q1350)=0,"""",IF(ISBLANK(Q1001),FALSE,IF(NOT(COUNTIF($AA$24:$AA$34,SUBSTITUTE(Q1001,""Sell_"",""""))),1,IF(REGEXMATCH(Q1001,""Sell_""),IF(COUNTIF(Q$4:Q1001,SUBSTITUTE(Q1001,""Sell_"",""""))-COUNTIF(Q$4:Q1000,Q1001)&lt;1,1),FALSE))))"),"")</f>
        <v/>
      </c>
      <c r="S1001" s="59" t="str">
        <f t="array" ref="S1001">IF(COUNTA(Q1001:Q1350)=0,"",SUM((COUNTIF(Q$4:Q1001,Upgrades!$B$3:$B$13)-COUNTIF(Q$4:Q1001,"Sell_"&amp;Upgrades!$B$3:$B$13))*Upgrades!$D$3:$D$13))</f>
        <v/>
      </c>
      <c r="T1001" s="66" t="str">
        <f>IFERROR(__xludf.DUMMYFUNCTION("IF(COUNTA(Q1001:Q1350)=0,"""",IF(REGEXMATCH(INDEX(FILTER(Q$4:Q1001,Q$4:Q1001&lt;&gt;""""),ROWS(FILTER(Q$4:Q1001,Q$4:Q1001&lt;&gt;""""))),""^Sell_""),INDEX(FILTER(T$4:T1000,Q$4:Q1000&lt;&gt;""""),ROWS(FILTER(Q$4:Q1000,Q$4:Q1000&lt;&gt;""""))),$AD$5+S1001))"),"")</f>
        <v/>
      </c>
      <c r="U1001" s="10" t="str">
        <f>IFERROR(__xludf.DUMMYFUNCTION("IF(COUNTA(Q1001:Q1350)=0,"""",IF(Q1001="""",0,IF(REGEXMATCH(Q1001,""^Sell_""),-ROUNDDOWN(ROUNDUP(INDEX(Upgrades!$C$3:$C$13,MATCH(SUBSTITUTE(Q1001,""Sell_"",""""),Upgrades!$B$3:$B$13,0))*1.15^(COUNTIF(Q$4:Q1000,SUBSTITUTE(Q1001,""Sell_"",""""))-COUNTIF(Q$4"&amp;":Q1000,""Sell_""&amp;SUBSTITUTE(Q1001,""Sell_"",""""))))/2),ROUNDUP(INDEX(Upgrades!$C$3:$C$13,MATCH(Q1001,Upgrades!$B$3:$B$13,0))*1.15^(COUNTIF(Q$4:Q1000,Q1001)-COUNTIF(Q$4:Q1000,""Sell_""&amp;Q1001))))))"),"")</f>
        <v/>
      </c>
      <c r="V1001" s="10" t="str">
        <f t="shared" si="11"/>
        <v/>
      </c>
      <c r="W1001" s="68" t="str">
        <f t="shared" si="12"/>
        <v/>
      </c>
      <c r="X1001" s="59" t="str">
        <f t="shared" si="13"/>
        <v/>
      </c>
      <c r="Y1001" s="69" t="str">
        <f t="shared" si="14"/>
        <v/>
      </c>
      <c r="Z1001" s="11"/>
    </row>
    <row r="1002">
      <c r="A1002" s="8"/>
      <c r="B1002" s="56" t="str">
        <f t="shared" si="2"/>
        <v/>
      </c>
      <c r="C1002" s="57"/>
      <c r="D1002" s="10" t="str">
        <f>IFERROR(__xludf.DUMMYFUNCTION("IF(COUNTA(C1002:C1350)=0,"""",IF(ISBLANK(C1002),FALSE,IF(NOT(COUNTIF($AA$24:$AA$34,SUBSTITUTE(C1002,""Sell_"",""""))),1,IF(REGEXMATCH(C1002,""Sell_""),IF(COUNTIF(C$4:C1002,SUBSTITUTE(C1002,""Sell_"",""""))-COUNTIF(C$4:C1001,C1002)&lt;1,1),FALSE))))"),"")</f>
        <v/>
      </c>
      <c r="E1002" s="59" t="str">
        <f t="array" ref="E1002">IF(COUNTA(C1002:C1350)=0,"",SUM((COUNTIF(C$4:C1002,Upgrades!$B$3:$B$13)-COUNTIF(C$4:C1002,"Sell_"&amp;Upgrades!$B$3:$B$13))*Upgrades!$D$3:$D$13))</f>
        <v/>
      </c>
      <c r="F1002" s="66" t="str">
        <f>IFERROR(__xludf.DUMMYFUNCTION("IF(COUNTA(C1002:C1350)=0,"""",IF(REGEXMATCH(INDEX(FILTER(C$4:C1002,C$4:C1002&lt;&gt;""""),ROWS(FILTER(C$4:C1002,C$4:C1002&lt;&gt;""""))),""^Sell_""),INDEX(FILTER(F$4:F1001,C$4:C1001&lt;&gt;""""),ROWS(FILTER(C$4:C1001,C$4:C1001&lt;&gt;""""))),$AC$5+E1002))"),"")</f>
        <v/>
      </c>
      <c r="G1002" s="10" t="str">
        <f>IFERROR(__xludf.DUMMYFUNCTION("IF(COUNTA(C1002:C1350)=0,"""",IF(C1002="""",0,IF(REGEXMATCH(C1002,""^Sell_""),-ROUNDDOWN(ROUNDUP(INDEX(Upgrades!$C$3:$C$13,MATCH(SUBSTITUTE(C1002,""Sell_"",""""),Upgrades!$B$3:$B$13,0))*1.15^(COUNTIF(C$4:C1001,SUBSTITUTE(C1002,""Sell_"",""""))-COUNTIF(C$4"&amp;":C1001,""Sell_""&amp;SUBSTITUTE(C1002,""Sell_"",""""))))/2),ROUNDUP(INDEX(Upgrades!$C$3:$C$13,MATCH(C1002,Upgrades!$B$3:$B$13,0))*1.15^(COUNTIF(C$4:C1001,C1002)-COUNTIF(C$4:C1001,""Sell_""&amp;C1002))))))"),"")</f>
        <v/>
      </c>
      <c r="H1002" s="10" t="str">
        <f t="shared" si="3"/>
        <v/>
      </c>
      <c r="I1002" s="68" t="str">
        <f t="shared" si="4"/>
        <v/>
      </c>
      <c r="J1002" s="59" t="str">
        <f t="shared" si="5"/>
        <v/>
      </c>
      <c r="K1002" s="69" t="str">
        <f t="shared" si="6"/>
        <v/>
      </c>
      <c r="L1002" s="60" t="str">
        <f t="shared" si="7"/>
        <v/>
      </c>
      <c r="M1002" s="61" t="str">
        <f>IFERROR(__xludf.DUMMYFUNCTION("IFS(AND(COUNTA(C1002:C1350)=0,COUNTA(Q1002:Q1350)=0),"""",OR(AND(K1002&gt;=1000000000,OR(Y1002&gt;=1000000000,COUNTA(Q1002:Q1350)=0)),OR(Y1002&gt;=1000000000,AND(COUNTA(C1002:C1350)=0,P$3=TRUE))),
ROUNDDOWN((AB$1-AC$1)*MAX(INDEX(T$4:T1350,MATCH(LARGE(FILTER(Y$4:Y1"&amp;"350,Y$4:Y1350&lt;1000000000),1),Y$4:Y1350)),INDEX(F$4:F1350,MATCH(LARGE(FILTER(K$4:K1350,K$4:K1350&lt;1000000000),1),K$4:K1350)))),AND(K1002&lt;1000000000,COUNTA(C1002:C1350)&gt;0,P$3=FALSE),
ROUNDDOWN(INDEX(Y$4:Y1350,MATCH(LARGE(FILTER(W$4:W1350,W$4:W1350&lt;=I1002),1)"&amp;",W$4:W1350))+(I1002-LARGE(FILTER(W$4:W1350,W$4:W1350&lt;=I1002),1))*INDEX(T$4:T1350,MATCH(LARGE(FILTER(W$4:W1350,W$4:W1350&lt;=I1002),1),W$4:W1350))-K1002),1,
ROUNDDOWN(Y1002-INDEX(K$4:K1350,MATCH(LARGE(FILTER(I$4:I1350,I$4:I1350&lt;=W1002),1),I$4:I1350))-(W1002-L"&amp;"ARGE(FILTER(I$4:I1350,I$4:I1350&lt;=W1002),1))*INDEX(F$4:F1350,MATCH(LARGE(FILTER(I$4:I1350,I$4:I1350&lt;=W1002),1),I$4:I1350))))"),"")</f>
        <v/>
      </c>
      <c r="N1002" s="60" t="str">
        <f t="shared" si="8"/>
        <v/>
      </c>
      <c r="O1002" s="61" t="str">
        <f t="shared" si="9"/>
        <v/>
      </c>
      <c r="P1002" s="56" t="str">
        <f t="shared" si="10"/>
        <v/>
      </c>
      <c r="Q1002" s="62"/>
      <c r="R1002" s="10" t="str">
        <f>IFERROR(__xludf.DUMMYFUNCTION("IF(COUNTA(Q1002:Q1350)=0,"""",IF(ISBLANK(Q1002),FALSE,IF(NOT(COUNTIF($AA$24:$AA$34,SUBSTITUTE(Q1002,""Sell_"",""""))),1,IF(REGEXMATCH(Q1002,""Sell_""),IF(COUNTIF(Q$4:Q1002,SUBSTITUTE(Q1002,""Sell_"",""""))-COUNTIF(Q$4:Q1001,Q1002)&lt;1,1),FALSE))))"),"")</f>
        <v/>
      </c>
      <c r="S1002" s="59" t="str">
        <f t="array" ref="S1002">IF(COUNTA(Q1002:Q1350)=0,"",SUM((COUNTIF(Q$4:Q1002,Upgrades!$B$3:$B$13)-COUNTIF(Q$4:Q1002,"Sell_"&amp;Upgrades!$B$3:$B$13))*Upgrades!$D$3:$D$13))</f>
        <v/>
      </c>
      <c r="T1002" s="66" t="str">
        <f>IFERROR(__xludf.DUMMYFUNCTION("IF(COUNTA(Q1002:Q1350)=0,"""",IF(REGEXMATCH(INDEX(FILTER(Q$4:Q1002,Q$4:Q1002&lt;&gt;""""),ROWS(FILTER(Q$4:Q1002,Q$4:Q1002&lt;&gt;""""))),""^Sell_""),INDEX(FILTER(T$4:T1001,Q$4:Q1001&lt;&gt;""""),ROWS(FILTER(Q$4:Q1001,Q$4:Q1001&lt;&gt;""""))),$AD$5+S1002))"),"")</f>
        <v/>
      </c>
      <c r="U1002" s="10" t="str">
        <f>IFERROR(__xludf.DUMMYFUNCTION("IF(COUNTA(Q1002:Q1350)=0,"""",IF(Q1002="""",0,IF(REGEXMATCH(Q1002,""^Sell_""),-ROUNDDOWN(ROUNDUP(INDEX(Upgrades!$C$3:$C$13,MATCH(SUBSTITUTE(Q1002,""Sell_"",""""),Upgrades!$B$3:$B$13,0))*1.15^(COUNTIF(Q$4:Q1001,SUBSTITUTE(Q1002,""Sell_"",""""))-COUNTIF(Q$4"&amp;":Q1001,""Sell_""&amp;SUBSTITUTE(Q1002,""Sell_"",""""))))/2),ROUNDUP(INDEX(Upgrades!$C$3:$C$13,MATCH(Q1002,Upgrades!$B$3:$B$13,0))*1.15^(COUNTIF(Q$4:Q1001,Q1002)-COUNTIF(Q$4:Q1001,""Sell_""&amp;Q1002))))))"),"")</f>
        <v/>
      </c>
      <c r="V1002" s="10" t="str">
        <f t="shared" si="11"/>
        <v/>
      </c>
      <c r="W1002" s="68" t="str">
        <f t="shared" si="12"/>
        <v/>
      </c>
      <c r="X1002" s="59" t="str">
        <f t="shared" si="13"/>
        <v/>
      </c>
      <c r="Y1002" s="69" t="str">
        <f t="shared" si="14"/>
        <v/>
      </c>
      <c r="Z1002" s="11"/>
    </row>
    <row r="1003">
      <c r="A1003" s="8"/>
      <c r="B1003" s="56" t="str">
        <f t="shared" si="2"/>
        <v/>
      </c>
      <c r="C1003" s="57"/>
      <c r="D1003" s="10" t="str">
        <f>IFERROR(__xludf.DUMMYFUNCTION("IF(COUNTA(C1003:C1350)=0,"""",IF(ISBLANK(C1003),FALSE,IF(NOT(COUNTIF($AA$24:$AA$34,SUBSTITUTE(C1003,""Sell_"",""""))),1,IF(REGEXMATCH(C1003,""Sell_""),IF(COUNTIF(C$4:C1003,SUBSTITUTE(C1003,""Sell_"",""""))-COUNTIF(C$4:C1002,C1003)&lt;1,1),FALSE))))"),"")</f>
        <v/>
      </c>
      <c r="E1003" s="59" t="str">
        <f t="array" ref="E1003">IF(COUNTA(C1003:C1350)=0,"",SUM((COUNTIF(C$4:C1003,Upgrades!$B$3:$B$13)-COUNTIF(C$4:C1003,"Sell_"&amp;Upgrades!$B$3:$B$13))*Upgrades!$D$3:$D$13))</f>
        <v/>
      </c>
      <c r="F1003" s="66" t="str">
        <f>IFERROR(__xludf.DUMMYFUNCTION("IF(COUNTA(C1003:C1350)=0,"""",IF(REGEXMATCH(INDEX(FILTER(C$4:C1003,C$4:C1003&lt;&gt;""""),ROWS(FILTER(C$4:C1003,C$4:C1003&lt;&gt;""""))),""^Sell_""),INDEX(FILTER(F$4:F1002,C$4:C1002&lt;&gt;""""),ROWS(FILTER(C$4:C1002,C$4:C1002&lt;&gt;""""))),$AC$5+E1003))"),"")</f>
        <v/>
      </c>
      <c r="G1003" s="10" t="str">
        <f>IFERROR(__xludf.DUMMYFUNCTION("IF(COUNTA(C1003:C1350)=0,"""",IF(C1003="""",0,IF(REGEXMATCH(C1003,""^Sell_""),-ROUNDDOWN(ROUNDUP(INDEX(Upgrades!$C$3:$C$13,MATCH(SUBSTITUTE(C1003,""Sell_"",""""),Upgrades!$B$3:$B$13,0))*1.15^(COUNTIF(C$4:C1002,SUBSTITUTE(C1003,""Sell_"",""""))-COUNTIF(C$4"&amp;":C1002,""Sell_""&amp;SUBSTITUTE(C1003,""Sell_"",""""))))/2),ROUNDUP(INDEX(Upgrades!$C$3:$C$13,MATCH(C1003,Upgrades!$B$3:$B$13,0))*1.15^(COUNTIF(C$4:C1002,C1003)-COUNTIF(C$4:C1002,""Sell_""&amp;C1003))))))"),"")</f>
        <v/>
      </c>
      <c r="H1003" s="10" t="str">
        <f t="shared" si="3"/>
        <v/>
      </c>
      <c r="I1003" s="68" t="str">
        <f t="shared" si="4"/>
        <v/>
      </c>
      <c r="J1003" s="59" t="str">
        <f t="shared" si="5"/>
        <v/>
      </c>
      <c r="K1003" s="69" t="str">
        <f t="shared" si="6"/>
        <v/>
      </c>
      <c r="L1003" s="60" t="str">
        <f t="shared" si="7"/>
        <v/>
      </c>
      <c r="M1003" s="61" t="str">
        <f>IFERROR(__xludf.DUMMYFUNCTION("IFS(AND(COUNTA(C1003:C1350)=0,COUNTA(Q1003:Q1350)=0),"""",OR(AND(K1003&gt;=1000000000,OR(Y1003&gt;=1000000000,COUNTA(Q1003:Q1350)=0)),OR(Y1003&gt;=1000000000,AND(COUNTA(C1003:C1350)=0,P$3=TRUE))),
ROUNDDOWN((AB$1-AC$1)*MAX(INDEX(T$4:T1350,MATCH(LARGE(FILTER(Y$4:Y1"&amp;"350,Y$4:Y1350&lt;1000000000),1),Y$4:Y1350)),INDEX(F$4:F1350,MATCH(LARGE(FILTER(K$4:K1350,K$4:K1350&lt;1000000000),1),K$4:K1350)))),AND(K1003&lt;1000000000,COUNTA(C1003:C1350)&gt;0,P$3=FALSE),
ROUNDDOWN(INDEX(Y$4:Y1350,MATCH(LARGE(FILTER(W$4:W1350,W$4:W1350&lt;=I1003),1)"&amp;",W$4:W1350))+(I1003-LARGE(FILTER(W$4:W1350,W$4:W1350&lt;=I1003),1))*INDEX(T$4:T1350,MATCH(LARGE(FILTER(W$4:W1350,W$4:W1350&lt;=I1003),1),W$4:W1350))-K1003),1,
ROUNDDOWN(Y1003-INDEX(K$4:K1350,MATCH(LARGE(FILTER(I$4:I1350,I$4:I1350&lt;=W1003),1),I$4:I1350))-(W1003-L"&amp;"ARGE(FILTER(I$4:I1350,I$4:I1350&lt;=W1003),1))*INDEX(F$4:F1350,MATCH(LARGE(FILTER(I$4:I1350,I$4:I1350&lt;=W1003),1),I$4:I1350))))"),"")</f>
        <v/>
      </c>
      <c r="N1003" s="60" t="str">
        <f t="shared" si="8"/>
        <v/>
      </c>
      <c r="O1003" s="61" t="str">
        <f t="shared" si="9"/>
        <v/>
      </c>
      <c r="P1003" s="56" t="str">
        <f t="shared" si="10"/>
        <v/>
      </c>
      <c r="Q1003" s="62"/>
      <c r="R1003" s="10" t="str">
        <f>IFERROR(__xludf.DUMMYFUNCTION("IF(COUNTA(Q1003:Q1350)=0,"""",IF(ISBLANK(Q1003),FALSE,IF(NOT(COUNTIF($AA$24:$AA$34,SUBSTITUTE(Q1003,""Sell_"",""""))),1,IF(REGEXMATCH(Q1003,""Sell_""),IF(COUNTIF(Q$4:Q1003,SUBSTITUTE(Q1003,""Sell_"",""""))-COUNTIF(Q$4:Q1002,Q1003)&lt;1,1),FALSE))))"),"")</f>
        <v/>
      </c>
      <c r="S1003" s="59" t="str">
        <f t="array" ref="S1003">IF(COUNTA(Q1003:Q1350)=0,"",SUM((COUNTIF(Q$4:Q1003,Upgrades!$B$3:$B$13)-COUNTIF(Q$4:Q1003,"Sell_"&amp;Upgrades!$B$3:$B$13))*Upgrades!$D$3:$D$13))</f>
        <v/>
      </c>
      <c r="T1003" s="66" t="str">
        <f>IFERROR(__xludf.DUMMYFUNCTION("IF(COUNTA(Q1003:Q1350)=0,"""",IF(REGEXMATCH(INDEX(FILTER(Q$4:Q1003,Q$4:Q1003&lt;&gt;""""),ROWS(FILTER(Q$4:Q1003,Q$4:Q1003&lt;&gt;""""))),""^Sell_""),INDEX(FILTER(T$4:T1002,Q$4:Q1002&lt;&gt;""""),ROWS(FILTER(Q$4:Q1002,Q$4:Q1002&lt;&gt;""""))),$AD$5+S1003))"),"")</f>
        <v/>
      </c>
      <c r="U1003" s="10" t="str">
        <f>IFERROR(__xludf.DUMMYFUNCTION("IF(COUNTA(Q1003:Q1350)=0,"""",IF(Q1003="""",0,IF(REGEXMATCH(Q1003,""^Sell_""),-ROUNDDOWN(ROUNDUP(INDEX(Upgrades!$C$3:$C$13,MATCH(SUBSTITUTE(Q1003,""Sell_"",""""),Upgrades!$B$3:$B$13,0))*1.15^(COUNTIF(Q$4:Q1002,SUBSTITUTE(Q1003,""Sell_"",""""))-COUNTIF(Q$4"&amp;":Q1002,""Sell_""&amp;SUBSTITUTE(Q1003,""Sell_"",""""))))/2),ROUNDUP(INDEX(Upgrades!$C$3:$C$13,MATCH(Q1003,Upgrades!$B$3:$B$13,0))*1.15^(COUNTIF(Q$4:Q1002,Q1003)-COUNTIF(Q$4:Q1002,""Sell_""&amp;Q1003))))))"),"")</f>
        <v/>
      </c>
      <c r="V1003" s="10" t="str">
        <f t="shared" si="11"/>
        <v/>
      </c>
      <c r="W1003" s="68" t="str">
        <f t="shared" si="12"/>
        <v/>
      </c>
      <c r="X1003" s="59" t="str">
        <f t="shared" si="13"/>
        <v/>
      </c>
      <c r="Y1003" s="69" t="str">
        <f t="shared" si="14"/>
        <v/>
      </c>
      <c r="Z1003" s="11"/>
    </row>
    <row r="1004">
      <c r="A1004" s="8"/>
      <c r="B1004" s="56" t="str">
        <f t="shared" si="2"/>
        <v/>
      </c>
      <c r="C1004" s="57"/>
      <c r="D1004" s="10" t="str">
        <f>IFERROR(__xludf.DUMMYFUNCTION("IF(COUNTA(C1004:C1350)=0,"""",IF(ISBLANK(C1004),FALSE,IF(NOT(COUNTIF($AA$24:$AA$34,SUBSTITUTE(C1004,""Sell_"",""""))),1,IF(REGEXMATCH(C1004,""Sell_""),IF(COUNTIF(C$4:C1004,SUBSTITUTE(C1004,""Sell_"",""""))-COUNTIF(C$4:C1003,C1004)&lt;1,1),FALSE))))"),"")</f>
        <v/>
      </c>
      <c r="E1004" s="59" t="str">
        <f t="array" ref="E1004">IF(COUNTA(C1004:C1350)=0,"",SUM((COUNTIF(C$4:C1004,Upgrades!$B$3:$B$13)-COUNTIF(C$4:C1004,"Sell_"&amp;Upgrades!$B$3:$B$13))*Upgrades!$D$3:$D$13))</f>
        <v/>
      </c>
      <c r="F1004" s="66" t="str">
        <f>IFERROR(__xludf.DUMMYFUNCTION("IF(COUNTA(C1004:C1350)=0,"""",IF(REGEXMATCH(INDEX(FILTER(C$4:C1004,C$4:C1004&lt;&gt;""""),ROWS(FILTER(C$4:C1004,C$4:C1004&lt;&gt;""""))),""^Sell_""),INDEX(FILTER(F$4:F1003,C$4:C1003&lt;&gt;""""),ROWS(FILTER(C$4:C1003,C$4:C1003&lt;&gt;""""))),$AC$5+E1004))"),"")</f>
        <v/>
      </c>
      <c r="G1004" s="10" t="str">
        <f>IFERROR(__xludf.DUMMYFUNCTION("IF(COUNTA(C1004:C1350)=0,"""",IF(C1004="""",0,IF(REGEXMATCH(C1004,""^Sell_""),-ROUNDDOWN(ROUNDUP(INDEX(Upgrades!$C$3:$C$13,MATCH(SUBSTITUTE(C1004,""Sell_"",""""),Upgrades!$B$3:$B$13,0))*1.15^(COUNTIF(C$4:C1003,SUBSTITUTE(C1004,""Sell_"",""""))-COUNTIF(C$4"&amp;":C1003,""Sell_""&amp;SUBSTITUTE(C1004,""Sell_"",""""))))/2),ROUNDUP(INDEX(Upgrades!$C$3:$C$13,MATCH(C1004,Upgrades!$B$3:$B$13,0))*1.15^(COUNTIF(C$4:C1003,C1004)-COUNTIF(C$4:C1003,""Sell_""&amp;C1004))))))"),"")</f>
        <v/>
      </c>
      <c r="H1004" s="10" t="str">
        <f t="shared" si="3"/>
        <v/>
      </c>
      <c r="I1004" s="68" t="str">
        <f t="shared" si="4"/>
        <v/>
      </c>
      <c r="J1004" s="59" t="str">
        <f t="shared" si="5"/>
        <v/>
      </c>
      <c r="K1004" s="69" t="str">
        <f t="shared" si="6"/>
        <v/>
      </c>
      <c r="L1004" s="60" t="str">
        <f t="shared" si="7"/>
        <v/>
      </c>
      <c r="M1004" s="61" t="str">
        <f>IFERROR(__xludf.DUMMYFUNCTION("IFS(AND(COUNTA(C1004:C1350)=0,COUNTA(Q1004:Q1350)=0),"""",OR(AND(K1004&gt;=1000000000,OR(Y1004&gt;=1000000000,COUNTA(Q1004:Q1350)=0)),OR(Y1004&gt;=1000000000,AND(COUNTA(C1004:C1350)=0,P$3=TRUE))),
ROUNDDOWN((AB$1-AC$1)*MAX(INDEX(T$4:T1350,MATCH(LARGE(FILTER(Y$4:Y1"&amp;"350,Y$4:Y1350&lt;1000000000),1),Y$4:Y1350)),INDEX(F$4:F1350,MATCH(LARGE(FILTER(K$4:K1350,K$4:K1350&lt;1000000000),1),K$4:K1350)))),AND(K1004&lt;1000000000,COUNTA(C1004:C1350)&gt;0,P$3=FALSE),
ROUNDDOWN(INDEX(Y$4:Y1350,MATCH(LARGE(FILTER(W$4:W1350,W$4:W1350&lt;=I1004),1)"&amp;",W$4:W1350))+(I1004-LARGE(FILTER(W$4:W1350,W$4:W1350&lt;=I1004),1))*INDEX(T$4:T1350,MATCH(LARGE(FILTER(W$4:W1350,W$4:W1350&lt;=I1004),1),W$4:W1350))-K1004),1,
ROUNDDOWN(Y1004-INDEX(K$4:K1350,MATCH(LARGE(FILTER(I$4:I1350,I$4:I1350&lt;=W1004),1),I$4:I1350))-(W1004-L"&amp;"ARGE(FILTER(I$4:I1350,I$4:I1350&lt;=W1004),1))*INDEX(F$4:F1350,MATCH(LARGE(FILTER(I$4:I1350,I$4:I1350&lt;=W1004),1),I$4:I1350))))"),"")</f>
        <v/>
      </c>
      <c r="N1004" s="60" t="str">
        <f t="shared" si="8"/>
        <v/>
      </c>
      <c r="O1004" s="61" t="str">
        <f t="shared" si="9"/>
        <v/>
      </c>
      <c r="P1004" s="56" t="str">
        <f t="shared" si="10"/>
        <v/>
      </c>
      <c r="Q1004" s="62"/>
      <c r="R1004" s="10" t="str">
        <f>IFERROR(__xludf.DUMMYFUNCTION("IF(COUNTA(Q1004:Q1350)=0,"""",IF(ISBLANK(Q1004),FALSE,IF(NOT(COUNTIF($AA$24:$AA$34,SUBSTITUTE(Q1004,""Sell_"",""""))),1,IF(REGEXMATCH(Q1004,""Sell_""),IF(COUNTIF(Q$4:Q1004,SUBSTITUTE(Q1004,""Sell_"",""""))-COUNTIF(Q$4:Q1003,Q1004)&lt;1,1),FALSE))))"),"")</f>
        <v/>
      </c>
      <c r="S1004" s="59" t="str">
        <f t="array" ref="S1004">IF(COUNTA(Q1004:Q1350)=0,"",SUM((COUNTIF(Q$4:Q1004,Upgrades!$B$3:$B$13)-COUNTIF(Q$4:Q1004,"Sell_"&amp;Upgrades!$B$3:$B$13))*Upgrades!$D$3:$D$13))</f>
        <v/>
      </c>
      <c r="T1004" s="66" t="str">
        <f>IFERROR(__xludf.DUMMYFUNCTION("IF(COUNTA(Q1004:Q1350)=0,"""",IF(REGEXMATCH(INDEX(FILTER(Q$4:Q1004,Q$4:Q1004&lt;&gt;""""),ROWS(FILTER(Q$4:Q1004,Q$4:Q1004&lt;&gt;""""))),""^Sell_""),INDEX(FILTER(T$4:T1003,Q$4:Q1003&lt;&gt;""""),ROWS(FILTER(Q$4:Q1003,Q$4:Q1003&lt;&gt;""""))),$AD$5+S1004))"),"")</f>
        <v/>
      </c>
      <c r="U1004" s="10" t="str">
        <f>IFERROR(__xludf.DUMMYFUNCTION("IF(COUNTA(Q1004:Q1350)=0,"""",IF(Q1004="""",0,IF(REGEXMATCH(Q1004,""^Sell_""),-ROUNDDOWN(ROUNDUP(INDEX(Upgrades!$C$3:$C$13,MATCH(SUBSTITUTE(Q1004,""Sell_"",""""),Upgrades!$B$3:$B$13,0))*1.15^(COUNTIF(Q$4:Q1003,SUBSTITUTE(Q1004,""Sell_"",""""))-COUNTIF(Q$4"&amp;":Q1003,""Sell_""&amp;SUBSTITUTE(Q1004,""Sell_"",""""))))/2),ROUNDUP(INDEX(Upgrades!$C$3:$C$13,MATCH(Q1004,Upgrades!$B$3:$B$13,0))*1.15^(COUNTIF(Q$4:Q1003,Q1004)-COUNTIF(Q$4:Q1003,""Sell_""&amp;Q1004))))))"),"")</f>
        <v/>
      </c>
      <c r="V1004" s="10" t="str">
        <f t="shared" si="11"/>
        <v/>
      </c>
      <c r="W1004" s="68" t="str">
        <f t="shared" si="12"/>
        <v/>
      </c>
      <c r="X1004" s="59" t="str">
        <f t="shared" si="13"/>
        <v/>
      </c>
      <c r="Y1004" s="69" t="str">
        <f t="shared" si="14"/>
        <v/>
      </c>
      <c r="Z1004" s="11"/>
    </row>
    <row r="1005">
      <c r="A1005" s="8"/>
      <c r="B1005" s="56" t="str">
        <f t="shared" si="2"/>
        <v/>
      </c>
      <c r="C1005" s="57"/>
      <c r="D1005" s="10" t="str">
        <f>IFERROR(__xludf.DUMMYFUNCTION("IF(COUNTA(C1005:C1350)=0,"""",IF(ISBLANK(C1005),FALSE,IF(NOT(COUNTIF($AA$24:$AA$34,SUBSTITUTE(C1005,""Sell_"",""""))),1,IF(REGEXMATCH(C1005,""Sell_""),IF(COUNTIF(C$4:C1005,SUBSTITUTE(C1005,""Sell_"",""""))-COUNTIF(C$4:C1004,C1005)&lt;1,1),FALSE))))"),"")</f>
        <v/>
      </c>
      <c r="E1005" s="59" t="str">
        <f t="array" ref="E1005">IF(COUNTA(C1005:C1350)=0,"",SUM((COUNTIF(C$4:C1005,Upgrades!$B$3:$B$13)-COUNTIF(C$4:C1005,"Sell_"&amp;Upgrades!$B$3:$B$13))*Upgrades!$D$3:$D$13))</f>
        <v/>
      </c>
      <c r="F1005" s="66" t="str">
        <f>IFERROR(__xludf.DUMMYFUNCTION("IF(COUNTA(C1005:C1350)=0,"""",IF(REGEXMATCH(INDEX(FILTER(C$4:C1005,C$4:C1005&lt;&gt;""""),ROWS(FILTER(C$4:C1005,C$4:C1005&lt;&gt;""""))),""^Sell_""),INDEX(FILTER(F$4:F1004,C$4:C1004&lt;&gt;""""),ROWS(FILTER(C$4:C1004,C$4:C1004&lt;&gt;""""))),$AC$5+E1005))"),"")</f>
        <v/>
      </c>
      <c r="G1005" s="10" t="str">
        <f>IFERROR(__xludf.DUMMYFUNCTION("IF(COUNTA(C1005:C1350)=0,"""",IF(C1005="""",0,IF(REGEXMATCH(C1005,""^Sell_""),-ROUNDDOWN(ROUNDUP(INDEX(Upgrades!$C$3:$C$13,MATCH(SUBSTITUTE(C1005,""Sell_"",""""),Upgrades!$B$3:$B$13,0))*1.15^(COUNTIF(C$4:C1004,SUBSTITUTE(C1005,""Sell_"",""""))-COUNTIF(C$4"&amp;":C1004,""Sell_""&amp;SUBSTITUTE(C1005,""Sell_"",""""))))/2),ROUNDUP(INDEX(Upgrades!$C$3:$C$13,MATCH(C1005,Upgrades!$B$3:$B$13,0))*1.15^(COUNTIF(C$4:C1004,C1005)-COUNTIF(C$4:C1004,""Sell_""&amp;C1005))))))"),"")</f>
        <v/>
      </c>
      <c r="H1005" s="10" t="str">
        <f t="shared" si="3"/>
        <v/>
      </c>
      <c r="I1005" s="68" t="str">
        <f t="shared" si="4"/>
        <v/>
      </c>
      <c r="J1005" s="59" t="str">
        <f t="shared" si="5"/>
        <v/>
      </c>
      <c r="K1005" s="69" t="str">
        <f t="shared" si="6"/>
        <v/>
      </c>
      <c r="L1005" s="60" t="str">
        <f t="shared" si="7"/>
        <v/>
      </c>
      <c r="M1005" s="61" t="str">
        <f>IFERROR(__xludf.DUMMYFUNCTION("IFS(AND(COUNTA(C1005:C1350)=0,COUNTA(Q1005:Q1350)=0),"""",OR(AND(K1005&gt;=1000000000,OR(Y1005&gt;=1000000000,COUNTA(Q1005:Q1350)=0)),OR(Y1005&gt;=1000000000,AND(COUNTA(C1005:C1350)=0,P$3=TRUE))),
ROUNDDOWN((AB$1-AC$1)*MAX(INDEX(T$4:T1350,MATCH(LARGE(FILTER(Y$4:Y1"&amp;"350,Y$4:Y1350&lt;1000000000),1),Y$4:Y1350)),INDEX(F$4:F1350,MATCH(LARGE(FILTER(K$4:K1350,K$4:K1350&lt;1000000000),1),K$4:K1350)))),AND(K1005&lt;1000000000,COUNTA(C1005:C1350)&gt;0,P$3=FALSE),
ROUNDDOWN(INDEX(Y$4:Y1350,MATCH(LARGE(FILTER(W$4:W1350,W$4:W1350&lt;=I1005),1)"&amp;",W$4:W1350))+(I1005-LARGE(FILTER(W$4:W1350,W$4:W1350&lt;=I1005),1))*INDEX(T$4:T1350,MATCH(LARGE(FILTER(W$4:W1350,W$4:W1350&lt;=I1005),1),W$4:W1350))-K1005),1,
ROUNDDOWN(Y1005-INDEX(K$4:K1350,MATCH(LARGE(FILTER(I$4:I1350,I$4:I1350&lt;=W1005),1),I$4:I1350))-(W1005-L"&amp;"ARGE(FILTER(I$4:I1350,I$4:I1350&lt;=W1005),1))*INDEX(F$4:F1350,MATCH(LARGE(FILTER(I$4:I1350,I$4:I1350&lt;=W1005),1),I$4:I1350))))"),"")</f>
        <v/>
      </c>
      <c r="N1005" s="60" t="str">
        <f t="shared" si="8"/>
        <v/>
      </c>
      <c r="O1005" s="61" t="str">
        <f t="shared" si="9"/>
        <v/>
      </c>
      <c r="P1005" s="56" t="str">
        <f t="shared" si="10"/>
        <v/>
      </c>
      <c r="Q1005" s="62"/>
      <c r="R1005" s="10" t="str">
        <f>IFERROR(__xludf.DUMMYFUNCTION("IF(COUNTA(Q1005:Q1350)=0,"""",IF(ISBLANK(Q1005),FALSE,IF(NOT(COUNTIF($AA$24:$AA$34,SUBSTITUTE(Q1005,""Sell_"",""""))),1,IF(REGEXMATCH(Q1005,""Sell_""),IF(COUNTIF(Q$4:Q1005,SUBSTITUTE(Q1005,""Sell_"",""""))-COUNTIF(Q$4:Q1004,Q1005)&lt;1,1),FALSE))))"),"")</f>
        <v/>
      </c>
      <c r="S1005" s="59" t="str">
        <f t="array" ref="S1005">IF(COUNTA(Q1005:Q1350)=0,"",SUM((COUNTIF(Q$4:Q1005,Upgrades!$B$3:$B$13)-COUNTIF(Q$4:Q1005,"Sell_"&amp;Upgrades!$B$3:$B$13))*Upgrades!$D$3:$D$13))</f>
        <v/>
      </c>
      <c r="T1005" s="66" t="str">
        <f>IFERROR(__xludf.DUMMYFUNCTION("IF(COUNTA(Q1005:Q1350)=0,"""",IF(REGEXMATCH(INDEX(FILTER(Q$4:Q1005,Q$4:Q1005&lt;&gt;""""),ROWS(FILTER(Q$4:Q1005,Q$4:Q1005&lt;&gt;""""))),""^Sell_""),INDEX(FILTER(T$4:T1004,Q$4:Q1004&lt;&gt;""""),ROWS(FILTER(Q$4:Q1004,Q$4:Q1004&lt;&gt;""""))),$AD$5+S1005))"),"")</f>
        <v/>
      </c>
      <c r="U1005" s="10" t="str">
        <f>IFERROR(__xludf.DUMMYFUNCTION("IF(COUNTA(Q1005:Q1350)=0,"""",IF(Q1005="""",0,IF(REGEXMATCH(Q1005,""^Sell_""),-ROUNDDOWN(ROUNDUP(INDEX(Upgrades!$C$3:$C$13,MATCH(SUBSTITUTE(Q1005,""Sell_"",""""),Upgrades!$B$3:$B$13,0))*1.15^(COUNTIF(Q$4:Q1004,SUBSTITUTE(Q1005,""Sell_"",""""))-COUNTIF(Q$4"&amp;":Q1004,""Sell_""&amp;SUBSTITUTE(Q1005,""Sell_"",""""))))/2),ROUNDUP(INDEX(Upgrades!$C$3:$C$13,MATCH(Q1005,Upgrades!$B$3:$B$13,0))*1.15^(COUNTIF(Q$4:Q1004,Q1005)-COUNTIF(Q$4:Q1004,""Sell_""&amp;Q1005))))))"),"")</f>
        <v/>
      </c>
      <c r="V1005" s="10" t="str">
        <f t="shared" si="11"/>
        <v/>
      </c>
      <c r="W1005" s="68" t="str">
        <f t="shared" si="12"/>
        <v/>
      </c>
      <c r="X1005" s="59" t="str">
        <f t="shared" si="13"/>
        <v/>
      </c>
      <c r="Y1005" s="69" t="str">
        <f t="shared" si="14"/>
        <v/>
      </c>
      <c r="Z1005" s="11"/>
    </row>
    <row r="1006">
      <c r="A1006" s="8"/>
      <c r="B1006" s="56" t="str">
        <f t="shared" si="2"/>
        <v/>
      </c>
      <c r="C1006" s="57"/>
      <c r="D1006" s="10" t="str">
        <f>IFERROR(__xludf.DUMMYFUNCTION("IF(COUNTA(C1006:C1350)=0,"""",IF(ISBLANK(C1006),FALSE,IF(NOT(COUNTIF($AA$24:$AA$34,SUBSTITUTE(C1006,""Sell_"",""""))),1,IF(REGEXMATCH(C1006,""Sell_""),IF(COUNTIF(C$4:C1006,SUBSTITUTE(C1006,""Sell_"",""""))-COUNTIF(C$4:C1005,C1006)&lt;1,1),FALSE))))"),"")</f>
        <v/>
      </c>
      <c r="E1006" s="59" t="str">
        <f t="array" ref="E1006">IF(COUNTA(C1006:C1350)=0,"",SUM((COUNTIF(C$4:C1006,Upgrades!$B$3:$B$13)-COUNTIF(C$4:C1006,"Sell_"&amp;Upgrades!$B$3:$B$13))*Upgrades!$D$3:$D$13))</f>
        <v/>
      </c>
      <c r="F1006" s="66" t="str">
        <f>IFERROR(__xludf.DUMMYFUNCTION("IF(COUNTA(C1006:C1350)=0,"""",IF(REGEXMATCH(INDEX(FILTER(C$4:C1006,C$4:C1006&lt;&gt;""""),ROWS(FILTER(C$4:C1006,C$4:C1006&lt;&gt;""""))),""^Sell_""),INDEX(FILTER(F$4:F1005,C$4:C1005&lt;&gt;""""),ROWS(FILTER(C$4:C1005,C$4:C1005&lt;&gt;""""))),$AC$5+E1006))"),"")</f>
        <v/>
      </c>
      <c r="G1006" s="10" t="str">
        <f>IFERROR(__xludf.DUMMYFUNCTION("IF(COUNTA(C1006:C1350)=0,"""",IF(C1006="""",0,IF(REGEXMATCH(C1006,""^Sell_""),-ROUNDDOWN(ROUNDUP(INDEX(Upgrades!$C$3:$C$13,MATCH(SUBSTITUTE(C1006,""Sell_"",""""),Upgrades!$B$3:$B$13,0))*1.15^(COUNTIF(C$4:C1005,SUBSTITUTE(C1006,""Sell_"",""""))-COUNTIF(C$4"&amp;":C1005,""Sell_""&amp;SUBSTITUTE(C1006,""Sell_"",""""))))/2),ROUNDUP(INDEX(Upgrades!$C$3:$C$13,MATCH(C1006,Upgrades!$B$3:$B$13,0))*1.15^(COUNTIF(C$4:C1005,C1006)-COUNTIF(C$4:C1005,""Sell_""&amp;C1006))))))"),"")</f>
        <v/>
      </c>
      <c r="H1006" s="10" t="str">
        <f t="shared" si="3"/>
        <v/>
      </c>
      <c r="I1006" s="68" t="str">
        <f t="shared" si="4"/>
        <v/>
      </c>
      <c r="J1006" s="59" t="str">
        <f t="shared" si="5"/>
        <v/>
      </c>
      <c r="K1006" s="69" t="str">
        <f t="shared" si="6"/>
        <v/>
      </c>
      <c r="L1006" s="60" t="str">
        <f t="shared" si="7"/>
        <v/>
      </c>
      <c r="M1006" s="61" t="str">
        <f>IFERROR(__xludf.DUMMYFUNCTION("IFS(AND(COUNTA(C1006:C1350)=0,COUNTA(Q1006:Q1350)=0),"""",OR(AND(K1006&gt;=1000000000,OR(Y1006&gt;=1000000000,COUNTA(Q1006:Q1350)=0)),OR(Y1006&gt;=1000000000,AND(COUNTA(C1006:C1350)=0,P$3=TRUE))),
ROUNDDOWN((AB$1-AC$1)*MAX(INDEX(T$4:T1350,MATCH(LARGE(FILTER(Y$4:Y1"&amp;"350,Y$4:Y1350&lt;1000000000),1),Y$4:Y1350)),INDEX(F$4:F1350,MATCH(LARGE(FILTER(K$4:K1350,K$4:K1350&lt;1000000000),1),K$4:K1350)))),AND(K1006&lt;1000000000,COUNTA(C1006:C1350)&gt;0,P$3=FALSE),
ROUNDDOWN(INDEX(Y$4:Y1350,MATCH(LARGE(FILTER(W$4:W1350,W$4:W1350&lt;=I1006),1)"&amp;",W$4:W1350))+(I1006-LARGE(FILTER(W$4:W1350,W$4:W1350&lt;=I1006),1))*INDEX(T$4:T1350,MATCH(LARGE(FILTER(W$4:W1350,W$4:W1350&lt;=I1006),1),W$4:W1350))-K1006),1,
ROUNDDOWN(Y1006-INDEX(K$4:K1350,MATCH(LARGE(FILTER(I$4:I1350,I$4:I1350&lt;=W1006),1),I$4:I1350))-(W1006-L"&amp;"ARGE(FILTER(I$4:I1350,I$4:I1350&lt;=W1006),1))*INDEX(F$4:F1350,MATCH(LARGE(FILTER(I$4:I1350,I$4:I1350&lt;=W1006),1),I$4:I1350))))"),"")</f>
        <v/>
      </c>
      <c r="N1006" s="60" t="str">
        <f t="shared" si="8"/>
        <v/>
      </c>
      <c r="O1006" s="61" t="str">
        <f t="shared" si="9"/>
        <v/>
      </c>
      <c r="P1006" s="56" t="str">
        <f t="shared" si="10"/>
        <v/>
      </c>
      <c r="Q1006" s="62"/>
      <c r="R1006" s="10" t="str">
        <f>IFERROR(__xludf.DUMMYFUNCTION("IF(COUNTA(Q1006:Q1350)=0,"""",IF(ISBLANK(Q1006),FALSE,IF(NOT(COUNTIF($AA$24:$AA$34,SUBSTITUTE(Q1006,""Sell_"",""""))),1,IF(REGEXMATCH(Q1006,""Sell_""),IF(COUNTIF(Q$4:Q1006,SUBSTITUTE(Q1006,""Sell_"",""""))-COUNTIF(Q$4:Q1005,Q1006)&lt;1,1),FALSE))))"),"")</f>
        <v/>
      </c>
      <c r="S1006" s="59" t="str">
        <f t="array" ref="S1006">IF(COUNTA(Q1006:Q1350)=0,"",SUM((COUNTIF(Q$4:Q1006,Upgrades!$B$3:$B$13)-COUNTIF(Q$4:Q1006,"Sell_"&amp;Upgrades!$B$3:$B$13))*Upgrades!$D$3:$D$13))</f>
        <v/>
      </c>
      <c r="T1006" s="66" t="str">
        <f>IFERROR(__xludf.DUMMYFUNCTION("IF(COUNTA(Q1006:Q1350)=0,"""",IF(REGEXMATCH(INDEX(FILTER(Q$4:Q1006,Q$4:Q1006&lt;&gt;""""),ROWS(FILTER(Q$4:Q1006,Q$4:Q1006&lt;&gt;""""))),""^Sell_""),INDEX(FILTER(T$4:T1005,Q$4:Q1005&lt;&gt;""""),ROWS(FILTER(Q$4:Q1005,Q$4:Q1005&lt;&gt;""""))),$AD$5+S1006))"),"")</f>
        <v/>
      </c>
      <c r="U1006" s="10" t="str">
        <f>IFERROR(__xludf.DUMMYFUNCTION("IF(COUNTA(Q1006:Q1350)=0,"""",IF(Q1006="""",0,IF(REGEXMATCH(Q1006,""^Sell_""),-ROUNDDOWN(ROUNDUP(INDEX(Upgrades!$C$3:$C$13,MATCH(SUBSTITUTE(Q1006,""Sell_"",""""),Upgrades!$B$3:$B$13,0))*1.15^(COUNTIF(Q$4:Q1005,SUBSTITUTE(Q1006,""Sell_"",""""))-COUNTIF(Q$4"&amp;":Q1005,""Sell_""&amp;SUBSTITUTE(Q1006,""Sell_"",""""))))/2),ROUNDUP(INDEX(Upgrades!$C$3:$C$13,MATCH(Q1006,Upgrades!$B$3:$B$13,0))*1.15^(COUNTIF(Q$4:Q1005,Q1006)-COUNTIF(Q$4:Q1005,""Sell_""&amp;Q1006))))))"),"")</f>
        <v/>
      </c>
      <c r="V1006" s="10" t="str">
        <f t="shared" si="11"/>
        <v/>
      </c>
      <c r="W1006" s="68" t="str">
        <f t="shared" si="12"/>
        <v/>
      </c>
      <c r="X1006" s="59" t="str">
        <f t="shared" si="13"/>
        <v/>
      </c>
      <c r="Y1006" s="69" t="str">
        <f t="shared" si="14"/>
        <v/>
      </c>
      <c r="Z1006" s="11"/>
    </row>
    <row r="1007">
      <c r="A1007" s="8"/>
      <c r="B1007" s="56" t="str">
        <f t="shared" si="2"/>
        <v/>
      </c>
      <c r="C1007" s="57"/>
      <c r="D1007" s="10" t="str">
        <f>IFERROR(__xludf.DUMMYFUNCTION("IF(COUNTA(C1007:C1350)=0,"""",IF(ISBLANK(C1007),FALSE,IF(NOT(COUNTIF($AA$24:$AA$34,SUBSTITUTE(C1007,""Sell_"",""""))),1,IF(REGEXMATCH(C1007,""Sell_""),IF(COUNTIF(C$4:C1007,SUBSTITUTE(C1007,""Sell_"",""""))-COUNTIF(C$4:C1006,C1007)&lt;1,1),FALSE))))"),"")</f>
        <v/>
      </c>
      <c r="E1007" s="59" t="str">
        <f t="array" ref="E1007">IF(COUNTA(C1007:C1350)=0,"",SUM((COUNTIF(C$4:C1007,Upgrades!$B$3:$B$13)-COUNTIF(C$4:C1007,"Sell_"&amp;Upgrades!$B$3:$B$13))*Upgrades!$D$3:$D$13))</f>
        <v/>
      </c>
      <c r="F1007" s="66" t="str">
        <f>IFERROR(__xludf.DUMMYFUNCTION("IF(COUNTA(C1007:C1350)=0,"""",IF(REGEXMATCH(INDEX(FILTER(C$4:C1007,C$4:C1007&lt;&gt;""""),ROWS(FILTER(C$4:C1007,C$4:C1007&lt;&gt;""""))),""^Sell_""),INDEX(FILTER(F$4:F1006,C$4:C1006&lt;&gt;""""),ROWS(FILTER(C$4:C1006,C$4:C1006&lt;&gt;""""))),$AC$5+E1007))"),"")</f>
        <v/>
      </c>
      <c r="G1007" s="10" t="str">
        <f>IFERROR(__xludf.DUMMYFUNCTION("IF(COUNTA(C1007:C1350)=0,"""",IF(C1007="""",0,IF(REGEXMATCH(C1007,""^Sell_""),-ROUNDDOWN(ROUNDUP(INDEX(Upgrades!$C$3:$C$13,MATCH(SUBSTITUTE(C1007,""Sell_"",""""),Upgrades!$B$3:$B$13,0))*1.15^(COUNTIF(C$4:C1006,SUBSTITUTE(C1007,""Sell_"",""""))-COUNTIF(C$4"&amp;":C1006,""Sell_""&amp;SUBSTITUTE(C1007,""Sell_"",""""))))/2),ROUNDUP(INDEX(Upgrades!$C$3:$C$13,MATCH(C1007,Upgrades!$B$3:$B$13,0))*1.15^(COUNTIF(C$4:C1006,C1007)-COUNTIF(C$4:C1006,""Sell_""&amp;C1007))))))"),"")</f>
        <v/>
      </c>
      <c r="H1007" s="10" t="str">
        <f t="shared" si="3"/>
        <v/>
      </c>
      <c r="I1007" s="68" t="str">
        <f t="shared" si="4"/>
        <v/>
      </c>
      <c r="J1007" s="59" t="str">
        <f t="shared" si="5"/>
        <v/>
      </c>
      <c r="K1007" s="69" t="str">
        <f t="shared" si="6"/>
        <v/>
      </c>
      <c r="L1007" s="60" t="str">
        <f t="shared" si="7"/>
        <v/>
      </c>
      <c r="M1007" s="61" t="str">
        <f>IFERROR(__xludf.DUMMYFUNCTION("IFS(AND(COUNTA(C1007:C1350)=0,COUNTA(Q1007:Q1350)=0),"""",OR(AND(K1007&gt;=1000000000,OR(Y1007&gt;=1000000000,COUNTA(Q1007:Q1350)=0)),OR(Y1007&gt;=1000000000,AND(COUNTA(C1007:C1350)=0,P$3=TRUE))),
ROUNDDOWN((AB$1-AC$1)*MAX(INDEX(T$4:T1350,MATCH(LARGE(FILTER(Y$4:Y1"&amp;"350,Y$4:Y1350&lt;1000000000),1),Y$4:Y1350)),INDEX(F$4:F1350,MATCH(LARGE(FILTER(K$4:K1350,K$4:K1350&lt;1000000000),1),K$4:K1350)))),AND(K1007&lt;1000000000,COUNTA(C1007:C1350)&gt;0,P$3=FALSE),
ROUNDDOWN(INDEX(Y$4:Y1350,MATCH(LARGE(FILTER(W$4:W1350,W$4:W1350&lt;=I1007),1)"&amp;",W$4:W1350))+(I1007-LARGE(FILTER(W$4:W1350,W$4:W1350&lt;=I1007),1))*INDEX(T$4:T1350,MATCH(LARGE(FILTER(W$4:W1350,W$4:W1350&lt;=I1007),1),W$4:W1350))-K1007),1,
ROUNDDOWN(Y1007-INDEX(K$4:K1350,MATCH(LARGE(FILTER(I$4:I1350,I$4:I1350&lt;=W1007),1),I$4:I1350))-(W1007-L"&amp;"ARGE(FILTER(I$4:I1350,I$4:I1350&lt;=W1007),1))*INDEX(F$4:F1350,MATCH(LARGE(FILTER(I$4:I1350,I$4:I1350&lt;=W1007),1),I$4:I1350))))"),"")</f>
        <v/>
      </c>
      <c r="N1007" s="60" t="str">
        <f t="shared" si="8"/>
        <v/>
      </c>
      <c r="O1007" s="61" t="str">
        <f t="shared" si="9"/>
        <v/>
      </c>
      <c r="P1007" s="56" t="str">
        <f t="shared" si="10"/>
        <v/>
      </c>
      <c r="Q1007" s="62"/>
      <c r="R1007" s="10" t="str">
        <f>IFERROR(__xludf.DUMMYFUNCTION("IF(COUNTA(Q1007:Q1350)=0,"""",IF(ISBLANK(Q1007),FALSE,IF(NOT(COUNTIF($AA$24:$AA$34,SUBSTITUTE(Q1007,""Sell_"",""""))),1,IF(REGEXMATCH(Q1007,""Sell_""),IF(COUNTIF(Q$4:Q1007,SUBSTITUTE(Q1007,""Sell_"",""""))-COUNTIF(Q$4:Q1006,Q1007)&lt;1,1),FALSE))))"),"")</f>
        <v/>
      </c>
      <c r="S1007" s="59" t="str">
        <f t="array" ref="S1007">IF(COUNTA(Q1007:Q1350)=0,"",SUM((COUNTIF(Q$4:Q1007,Upgrades!$B$3:$B$13)-COUNTIF(Q$4:Q1007,"Sell_"&amp;Upgrades!$B$3:$B$13))*Upgrades!$D$3:$D$13))</f>
        <v/>
      </c>
      <c r="T1007" s="66" t="str">
        <f>IFERROR(__xludf.DUMMYFUNCTION("IF(COUNTA(Q1007:Q1350)=0,"""",IF(REGEXMATCH(INDEX(FILTER(Q$4:Q1007,Q$4:Q1007&lt;&gt;""""),ROWS(FILTER(Q$4:Q1007,Q$4:Q1007&lt;&gt;""""))),""^Sell_""),INDEX(FILTER(T$4:T1006,Q$4:Q1006&lt;&gt;""""),ROWS(FILTER(Q$4:Q1006,Q$4:Q1006&lt;&gt;""""))),$AD$5+S1007))"),"")</f>
        <v/>
      </c>
      <c r="U1007" s="10" t="str">
        <f>IFERROR(__xludf.DUMMYFUNCTION("IF(COUNTA(Q1007:Q1350)=0,"""",IF(Q1007="""",0,IF(REGEXMATCH(Q1007,""^Sell_""),-ROUNDDOWN(ROUNDUP(INDEX(Upgrades!$C$3:$C$13,MATCH(SUBSTITUTE(Q1007,""Sell_"",""""),Upgrades!$B$3:$B$13,0))*1.15^(COUNTIF(Q$4:Q1006,SUBSTITUTE(Q1007,""Sell_"",""""))-COUNTIF(Q$4"&amp;":Q1006,""Sell_""&amp;SUBSTITUTE(Q1007,""Sell_"",""""))))/2),ROUNDUP(INDEX(Upgrades!$C$3:$C$13,MATCH(Q1007,Upgrades!$B$3:$B$13,0))*1.15^(COUNTIF(Q$4:Q1006,Q1007)-COUNTIF(Q$4:Q1006,""Sell_""&amp;Q1007))))))"),"")</f>
        <v/>
      </c>
      <c r="V1007" s="10" t="str">
        <f t="shared" si="11"/>
        <v/>
      </c>
      <c r="W1007" s="68" t="str">
        <f t="shared" si="12"/>
        <v/>
      </c>
      <c r="X1007" s="59" t="str">
        <f t="shared" si="13"/>
        <v/>
      </c>
      <c r="Y1007" s="69" t="str">
        <f t="shared" si="14"/>
        <v/>
      </c>
      <c r="Z1007" s="11"/>
    </row>
    <row r="1008">
      <c r="A1008" s="8"/>
      <c r="B1008" s="56" t="str">
        <f t="shared" si="2"/>
        <v/>
      </c>
      <c r="C1008" s="57"/>
      <c r="D1008" s="10" t="str">
        <f>IFERROR(__xludf.DUMMYFUNCTION("IF(COUNTA(C1008:C1350)=0,"""",IF(ISBLANK(C1008),FALSE,IF(NOT(COUNTIF($AA$24:$AA$34,SUBSTITUTE(C1008,""Sell_"",""""))),1,IF(REGEXMATCH(C1008,""Sell_""),IF(COUNTIF(C$4:C1008,SUBSTITUTE(C1008,""Sell_"",""""))-COUNTIF(C$4:C1007,C1008)&lt;1,1),FALSE))))"),"")</f>
        <v/>
      </c>
      <c r="E1008" s="59" t="str">
        <f t="array" ref="E1008">IF(COUNTA(C1008:C1350)=0,"",SUM((COUNTIF(C$4:C1008,Upgrades!$B$3:$B$13)-COUNTIF(C$4:C1008,"Sell_"&amp;Upgrades!$B$3:$B$13))*Upgrades!$D$3:$D$13))</f>
        <v/>
      </c>
      <c r="F1008" s="66" t="str">
        <f>IFERROR(__xludf.DUMMYFUNCTION("IF(COUNTA(C1008:C1350)=0,"""",IF(REGEXMATCH(INDEX(FILTER(C$4:C1008,C$4:C1008&lt;&gt;""""),ROWS(FILTER(C$4:C1008,C$4:C1008&lt;&gt;""""))),""^Sell_""),INDEX(FILTER(F$4:F1007,C$4:C1007&lt;&gt;""""),ROWS(FILTER(C$4:C1007,C$4:C1007&lt;&gt;""""))),$AC$5+E1008))"),"")</f>
        <v/>
      </c>
      <c r="G1008" s="10" t="str">
        <f>IFERROR(__xludf.DUMMYFUNCTION("IF(COUNTA(C1008:C1350)=0,"""",IF(C1008="""",0,IF(REGEXMATCH(C1008,""^Sell_""),-ROUNDDOWN(ROUNDUP(INDEX(Upgrades!$C$3:$C$13,MATCH(SUBSTITUTE(C1008,""Sell_"",""""),Upgrades!$B$3:$B$13,0))*1.15^(COUNTIF(C$4:C1007,SUBSTITUTE(C1008,""Sell_"",""""))-COUNTIF(C$4"&amp;":C1007,""Sell_""&amp;SUBSTITUTE(C1008,""Sell_"",""""))))/2),ROUNDUP(INDEX(Upgrades!$C$3:$C$13,MATCH(C1008,Upgrades!$B$3:$B$13,0))*1.15^(COUNTIF(C$4:C1007,C1008)-COUNTIF(C$4:C1007,""Sell_""&amp;C1008))))))"),"")</f>
        <v/>
      </c>
      <c r="H1008" s="10" t="str">
        <f t="shared" si="3"/>
        <v/>
      </c>
      <c r="I1008" s="68" t="str">
        <f t="shared" si="4"/>
        <v/>
      </c>
      <c r="J1008" s="59" t="str">
        <f t="shared" si="5"/>
        <v/>
      </c>
      <c r="K1008" s="69" t="str">
        <f t="shared" si="6"/>
        <v/>
      </c>
      <c r="L1008" s="60" t="str">
        <f t="shared" si="7"/>
        <v/>
      </c>
      <c r="M1008" s="61" t="str">
        <f>IFERROR(__xludf.DUMMYFUNCTION("IFS(AND(COUNTA(C1008:C1350)=0,COUNTA(Q1008:Q1350)=0),"""",OR(AND(K1008&gt;=1000000000,OR(Y1008&gt;=1000000000,COUNTA(Q1008:Q1350)=0)),OR(Y1008&gt;=1000000000,AND(COUNTA(C1008:C1350)=0,P$3=TRUE))),
ROUNDDOWN((AB$1-AC$1)*MAX(INDEX(T$4:T1350,MATCH(LARGE(FILTER(Y$4:Y1"&amp;"350,Y$4:Y1350&lt;1000000000),1),Y$4:Y1350)),INDEX(F$4:F1350,MATCH(LARGE(FILTER(K$4:K1350,K$4:K1350&lt;1000000000),1),K$4:K1350)))),AND(K1008&lt;1000000000,COUNTA(C1008:C1350)&gt;0,P$3=FALSE),
ROUNDDOWN(INDEX(Y$4:Y1350,MATCH(LARGE(FILTER(W$4:W1350,W$4:W1350&lt;=I1008),1)"&amp;",W$4:W1350))+(I1008-LARGE(FILTER(W$4:W1350,W$4:W1350&lt;=I1008),1))*INDEX(T$4:T1350,MATCH(LARGE(FILTER(W$4:W1350,W$4:W1350&lt;=I1008),1),W$4:W1350))-K1008),1,
ROUNDDOWN(Y1008-INDEX(K$4:K1350,MATCH(LARGE(FILTER(I$4:I1350,I$4:I1350&lt;=W1008),1),I$4:I1350))-(W1008-L"&amp;"ARGE(FILTER(I$4:I1350,I$4:I1350&lt;=W1008),1))*INDEX(F$4:F1350,MATCH(LARGE(FILTER(I$4:I1350,I$4:I1350&lt;=W1008),1),I$4:I1350))))"),"")</f>
        <v/>
      </c>
      <c r="N1008" s="60" t="str">
        <f t="shared" si="8"/>
        <v/>
      </c>
      <c r="O1008" s="61" t="str">
        <f t="shared" si="9"/>
        <v/>
      </c>
      <c r="P1008" s="56" t="str">
        <f t="shared" si="10"/>
        <v/>
      </c>
      <c r="Q1008" s="62"/>
      <c r="R1008" s="10" t="str">
        <f>IFERROR(__xludf.DUMMYFUNCTION("IF(COUNTA(Q1008:Q1350)=0,"""",IF(ISBLANK(Q1008),FALSE,IF(NOT(COUNTIF($AA$24:$AA$34,SUBSTITUTE(Q1008,""Sell_"",""""))),1,IF(REGEXMATCH(Q1008,""Sell_""),IF(COUNTIF(Q$4:Q1008,SUBSTITUTE(Q1008,""Sell_"",""""))-COUNTIF(Q$4:Q1007,Q1008)&lt;1,1),FALSE))))"),"")</f>
        <v/>
      </c>
      <c r="S1008" s="59" t="str">
        <f t="array" ref="S1008">IF(COUNTA(Q1008:Q1350)=0,"",SUM((COUNTIF(Q$4:Q1008,Upgrades!$B$3:$B$13)-COUNTIF(Q$4:Q1008,"Sell_"&amp;Upgrades!$B$3:$B$13))*Upgrades!$D$3:$D$13))</f>
        <v/>
      </c>
      <c r="T1008" s="66" t="str">
        <f>IFERROR(__xludf.DUMMYFUNCTION("IF(COUNTA(Q1008:Q1350)=0,"""",IF(REGEXMATCH(INDEX(FILTER(Q$4:Q1008,Q$4:Q1008&lt;&gt;""""),ROWS(FILTER(Q$4:Q1008,Q$4:Q1008&lt;&gt;""""))),""^Sell_""),INDEX(FILTER(T$4:T1007,Q$4:Q1007&lt;&gt;""""),ROWS(FILTER(Q$4:Q1007,Q$4:Q1007&lt;&gt;""""))),$AD$5+S1008))"),"")</f>
        <v/>
      </c>
      <c r="U1008" s="10" t="str">
        <f>IFERROR(__xludf.DUMMYFUNCTION("IF(COUNTA(Q1008:Q1350)=0,"""",IF(Q1008="""",0,IF(REGEXMATCH(Q1008,""^Sell_""),-ROUNDDOWN(ROUNDUP(INDEX(Upgrades!$C$3:$C$13,MATCH(SUBSTITUTE(Q1008,""Sell_"",""""),Upgrades!$B$3:$B$13,0))*1.15^(COUNTIF(Q$4:Q1007,SUBSTITUTE(Q1008,""Sell_"",""""))-COUNTIF(Q$4"&amp;":Q1007,""Sell_""&amp;SUBSTITUTE(Q1008,""Sell_"",""""))))/2),ROUNDUP(INDEX(Upgrades!$C$3:$C$13,MATCH(Q1008,Upgrades!$B$3:$B$13,0))*1.15^(COUNTIF(Q$4:Q1007,Q1008)-COUNTIF(Q$4:Q1007,""Sell_""&amp;Q1008))))))"),"")</f>
        <v/>
      </c>
      <c r="V1008" s="10" t="str">
        <f t="shared" si="11"/>
        <v/>
      </c>
      <c r="W1008" s="68" t="str">
        <f t="shared" si="12"/>
        <v/>
      </c>
      <c r="X1008" s="59" t="str">
        <f t="shared" si="13"/>
        <v/>
      </c>
      <c r="Y1008" s="69" t="str">
        <f t="shared" si="14"/>
        <v/>
      </c>
      <c r="Z1008" s="11"/>
    </row>
    <row r="1009">
      <c r="A1009" s="8"/>
      <c r="B1009" s="56" t="str">
        <f t="shared" si="2"/>
        <v/>
      </c>
      <c r="C1009" s="57"/>
      <c r="D1009" s="10" t="str">
        <f>IFERROR(__xludf.DUMMYFUNCTION("IF(COUNTA(C1009:C1350)=0,"""",IF(ISBLANK(C1009),FALSE,IF(NOT(COUNTIF($AA$24:$AA$34,SUBSTITUTE(C1009,""Sell_"",""""))),1,IF(REGEXMATCH(C1009,""Sell_""),IF(COUNTIF(C$4:C1009,SUBSTITUTE(C1009,""Sell_"",""""))-COUNTIF(C$4:C1008,C1009)&lt;1,1),FALSE))))"),"")</f>
        <v/>
      </c>
      <c r="E1009" s="59" t="str">
        <f t="array" ref="E1009">IF(COUNTA(C1009:C1350)=0,"",SUM((COUNTIF(C$4:C1009,Upgrades!$B$3:$B$13)-COUNTIF(C$4:C1009,"Sell_"&amp;Upgrades!$B$3:$B$13))*Upgrades!$D$3:$D$13))</f>
        <v/>
      </c>
      <c r="F1009" s="66" t="str">
        <f>IFERROR(__xludf.DUMMYFUNCTION("IF(COUNTA(C1009:C1350)=0,"""",IF(REGEXMATCH(INDEX(FILTER(C$4:C1009,C$4:C1009&lt;&gt;""""),ROWS(FILTER(C$4:C1009,C$4:C1009&lt;&gt;""""))),""^Sell_""),INDEX(FILTER(F$4:F1008,C$4:C1008&lt;&gt;""""),ROWS(FILTER(C$4:C1008,C$4:C1008&lt;&gt;""""))),$AC$5+E1009))"),"")</f>
        <v/>
      </c>
      <c r="G1009" s="10" t="str">
        <f>IFERROR(__xludf.DUMMYFUNCTION("IF(COUNTA(C1009:C1350)=0,"""",IF(C1009="""",0,IF(REGEXMATCH(C1009,""^Sell_""),-ROUNDDOWN(ROUNDUP(INDEX(Upgrades!$C$3:$C$13,MATCH(SUBSTITUTE(C1009,""Sell_"",""""),Upgrades!$B$3:$B$13,0))*1.15^(COUNTIF(C$4:C1008,SUBSTITUTE(C1009,""Sell_"",""""))-COUNTIF(C$4"&amp;":C1008,""Sell_""&amp;SUBSTITUTE(C1009,""Sell_"",""""))))/2),ROUNDUP(INDEX(Upgrades!$C$3:$C$13,MATCH(C1009,Upgrades!$B$3:$B$13,0))*1.15^(COUNTIF(C$4:C1008,C1009)-COUNTIF(C$4:C1008,""Sell_""&amp;C1009))))))"),"")</f>
        <v/>
      </c>
      <c r="H1009" s="10" t="str">
        <f t="shared" si="3"/>
        <v/>
      </c>
      <c r="I1009" s="68" t="str">
        <f t="shared" si="4"/>
        <v/>
      </c>
      <c r="J1009" s="59" t="str">
        <f t="shared" si="5"/>
        <v/>
      </c>
      <c r="K1009" s="69" t="str">
        <f t="shared" si="6"/>
        <v/>
      </c>
      <c r="L1009" s="60" t="str">
        <f t="shared" si="7"/>
        <v/>
      </c>
      <c r="M1009" s="61" t="str">
        <f>IFERROR(__xludf.DUMMYFUNCTION("IFS(AND(COUNTA(C1009:C1350)=0,COUNTA(Q1009:Q1350)=0),"""",OR(AND(K1009&gt;=1000000000,OR(Y1009&gt;=1000000000,COUNTA(Q1009:Q1350)=0)),OR(Y1009&gt;=1000000000,AND(COUNTA(C1009:C1350)=0,P$3=TRUE))),
ROUNDDOWN((AB$1-AC$1)*MAX(INDEX(T$4:T1350,MATCH(LARGE(FILTER(Y$4:Y1"&amp;"350,Y$4:Y1350&lt;1000000000),1),Y$4:Y1350)),INDEX(F$4:F1350,MATCH(LARGE(FILTER(K$4:K1350,K$4:K1350&lt;1000000000),1),K$4:K1350)))),AND(K1009&lt;1000000000,COUNTA(C1009:C1350)&gt;0,P$3=FALSE),
ROUNDDOWN(INDEX(Y$4:Y1350,MATCH(LARGE(FILTER(W$4:W1350,W$4:W1350&lt;=I1009),1)"&amp;",W$4:W1350))+(I1009-LARGE(FILTER(W$4:W1350,W$4:W1350&lt;=I1009),1))*INDEX(T$4:T1350,MATCH(LARGE(FILTER(W$4:W1350,W$4:W1350&lt;=I1009),1),W$4:W1350))-K1009),1,
ROUNDDOWN(Y1009-INDEX(K$4:K1350,MATCH(LARGE(FILTER(I$4:I1350,I$4:I1350&lt;=W1009),1),I$4:I1350))-(W1009-L"&amp;"ARGE(FILTER(I$4:I1350,I$4:I1350&lt;=W1009),1))*INDEX(F$4:F1350,MATCH(LARGE(FILTER(I$4:I1350,I$4:I1350&lt;=W1009),1),I$4:I1350))))"),"")</f>
        <v/>
      </c>
      <c r="N1009" s="60" t="str">
        <f t="shared" si="8"/>
        <v/>
      </c>
      <c r="O1009" s="61" t="str">
        <f t="shared" si="9"/>
        <v/>
      </c>
      <c r="P1009" s="56" t="str">
        <f t="shared" si="10"/>
        <v/>
      </c>
      <c r="Q1009" s="62"/>
      <c r="R1009" s="10" t="str">
        <f>IFERROR(__xludf.DUMMYFUNCTION("IF(COUNTA(Q1009:Q1350)=0,"""",IF(ISBLANK(Q1009),FALSE,IF(NOT(COUNTIF($AA$24:$AA$34,SUBSTITUTE(Q1009,""Sell_"",""""))),1,IF(REGEXMATCH(Q1009,""Sell_""),IF(COUNTIF(Q$4:Q1009,SUBSTITUTE(Q1009,""Sell_"",""""))-COUNTIF(Q$4:Q1008,Q1009)&lt;1,1),FALSE))))"),"")</f>
        <v/>
      </c>
      <c r="S1009" s="59" t="str">
        <f t="array" ref="S1009">IF(COUNTA(Q1009:Q1350)=0,"",SUM((COUNTIF(Q$4:Q1009,Upgrades!$B$3:$B$13)-COUNTIF(Q$4:Q1009,"Sell_"&amp;Upgrades!$B$3:$B$13))*Upgrades!$D$3:$D$13))</f>
        <v/>
      </c>
      <c r="T1009" s="66" t="str">
        <f>IFERROR(__xludf.DUMMYFUNCTION("IF(COUNTA(Q1009:Q1350)=0,"""",IF(REGEXMATCH(INDEX(FILTER(Q$4:Q1009,Q$4:Q1009&lt;&gt;""""),ROWS(FILTER(Q$4:Q1009,Q$4:Q1009&lt;&gt;""""))),""^Sell_""),INDEX(FILTER(T$4:T1008,Q$4:Q1008&lt;&gt;""""),ROWS(FILTER(Q$4:Q1008,Q$4:Q1008&lt;&gt;""""))),$AD$5+S1009))"),"")</f>
        <v/>
      </c>
      <c r="U1009" s="10" t="str">
        <f>IFERROR(__xludf.DUMMYFUNCTION("IF(COUNTA(Q1009:Q1350)=0,"""",IF(Q1009="""",0,IF(REGEXMATCH(Q1009,""^Sell_""),-ROUNDDOWN(ROUNDUP(INDEX(Upgrades!$C$3:$C$13,MATCH(SUBSTITUTE(Q1009,""Sell_"",""""),Upgrades!$B$3:$B$13,0))*1.15^(COUNTIF(Q$4:Q1008,SUBSTITUTE(Q1009,""Sell_"",""""))-COUNTIF(Q$4"&amp;":Q1008,""Sell_""&amp;SUBSTITUTE(Q1009,""Sell_"",""""))))/2),ROUNDUP(INDEX(Upgrades!$C$3:$C$13,MATCH(Q1009,Upgrades!$B$3:$B$13,0))*1.15^(COUNTIF(Q$4:Q1008,Q1009)-COUNTIF(Q$4:Q1008,""Sell_""&amp;Q1009))))))"),"")</f>
        <v/>
      </c>
      <c r="V1009" s="10" t="str">
        <f t="shared" si="11"/>
        <v/>
      </c>
      <c r="W1009" s="68" t="str">
        <f t="shared" si="12"/>
        <v/>
      </c>
      <c r="X1009" s="59" t="str">
        <f t="shared" si="13"/>
        <v/>
      </c>
      <c r="Y1009" s="69" t="str">
        <f t="shared" si="14"/>
        <v/>
      </c>
      <c r="Z1009" s="11"/>
    </row>
    <row r="1010">
      <c r="A1010" s="8"/>
      <c r="B1010" s="56" t="str">
        <f t="shared" si="2"/>
        <v/>
      </c>
      <c r="C1010" s="57"/>
      <c r="D1010" s="10" t="str">
        <f>IFERROR(__xludf.DUMMYFUNCTION("IF(COUNTA(C1010:C1350)=0,"""",IF(ISBLANK(C1010),FALSE,IF(NOT(COUNTIF($AA$24:$AA$34,SUBSTITUTE(C1010,""Sell_"",""""))),1,IF(REGEXMATCH(C1010,""Sell_""),IF(COUNTIF(C$4:C1010,SUBSTITUTE(C1010,""Sell_"",""""))-COUNTIF(C$4:C1009,C1010)&lt;1,1),FALSE))))"),"")</f>
        <v/>
      </c>
      <c r="E1010" s="59" t="str">
        <f t="array" ref="E1010">IF(COUNTA(C1010:C1350)=0,"",SUM((COUNTIF(C$4:C1010,Upgrades!$B$3:$B$13)-COUNTIF(C$4:C1010,"Sell_"&amp;Upgrades!$B$3:$B$13))*Upgrades!$D$3:$D$13))</f>
        <v/>
      </c>
      <c r="F1010" s="66" t="str">
        <f>IFERROR(__xludf.DUMMYFUNCTION("IF(COUNTA(C1010:C1350)=0,"""",IF(REGEXMATCH(INDEX(FILTER(C$4:C1010,C$4:C1010&lt;&gt;""""),ROWS(FILTER(C$4:C1010,C$4:C1010&lt;&gt;""""))),""^Sell_""),INDEX(FILTER(F$4:F1009,C$4:C1009&lt;&gt;""""),ROWS(FILTER(C$4:C1009,C$4:C1009&lt;&gt;""""))),$AC$5+E1010))"),"")</f>
        <v/>
      </c>
      <c r="G1010" s="10" t="str">
        <f>IFERROR(__xludf.DUMMYFUNCTION("IF(COUNTA(C1010:C1350)=0,"""",IF(C1010="""",0,IF(REGEXMATCH(C1010,""^Sell_""),-ROUNDDOWN(ROUNDUP(INDEX(Upgrades!$C$3:$C$13,MATCH(SUBSTITUTE(C1010,""Sell_"",""""),Upgrades!$B$3:$B$13,0))*1.15^(COUNTIF(C$4:C1009,SUBSTITUTE(C1010,""Sell_"",""""))-COUNTIF(C$4"&amp;":C1009,""Sell_""&amp;SUBSTITUTE(C1010,""Sell_"",""""))))/2),ROUNDUP(INDEX(Upgrades!$C$3:$C$13,MATCH(C1010,Upgrades!$B$3:$B$13,0))*1.15^(COUNTIF(C$4:C1009,C1010)-COUNTIF(C$4:C1009,""Sell_""&amp;C1010))))))"),"")</f>
        <v/>
      </c>
      <c r="H1010" s="10" t="str">
        <f t="shared" si="3"/>
        <v/>
      </c>
      <c r="I1010" s="68" t="str">
        <f t="shared" si="4"/>
        <v/>
      </c>
      <c r="J1010" s="59" t="str">
        <f t="shared" si="5"/>
        <v/>
      </c>
      <c r="K1010" s="69" t="str">
        <f t="shared" si="6"/>
        <v/>
      </c>
      <c r="L1010" s="60" t="str">
        <f t="shared" si="7"/>
        <v/>
      </c>
      <c r="M1010" s="61" t="str">
        <f>IFERROR(__xludf.DUMMYFUNCTION("IFS(AND(COUNTA(C1010:C1350)=0,COUNTA(Q1010:Q1350)=0),"""",OR(AND(K1010&gt;=1000000000,OR(Y1010&gt;=1000000000,COUNTA(Q1010:Q1350)=0)),OR(Y1010&gt;=1000000000,AND(COUNTA(C1010:C1350)=0,P$3=TRUE))),
ROUNDDOWN((AB$1-AC$1)*MAX(INDEX(T$4:T1350,MATCH(LARGE(FILTER(Y$4:Y1"&amp;"350,Y$4:Y1350&lt;1000000000),1),Y$4:Y1350)),INDEX(F$4:F1350,MATCH(LARGE(FILTER(K$4:K1350,K$4:K1350&lt;1000000000),1),K$4:K1350)))),AND(K1010&lt;1000000000,COUNTA(C1010:C1350)&gt;0,P$3=FALSE),
ROUNDDOWN(INDEX(Y$4:Y1350,MATCH(LARGE(FILTER(W$4:W1350,W$4:W1350&lt;=I1010),1)"&amp;",W$4:W1350))+(I1010-LARGE(FILTER(W$4:W1350,W$4:W1350&lt;=I1010),1))*INDEX(T$4:T1350,MATCH(LARGE(FILTER(W$4:W1350,W$4:W1350&lt;=I1010),1),W$4:W1350))-K1010),1,
ROUNDDOWN(Y1010-INDEX(K$4:K1350,MATCH(LARGE(FILTER(I$4:I1350,I$4:I1350&lt;=W1010),1),I$4:I1350))-(W1010-L"&amp;"ARGE(FILTER(I$4:I1350,I$4:I1350&lt;=W1010),1))*INDEX(F$4:F1350,MATCH(LARGE(FILTER(I$4:I1350,I$4:I1350&lt;=W1010),1),I$4:I1350))))"),"")</f>
        <v/>
      </c>
      <c r="N1010" s="60" t="str">
        <f t="shared" si="8"/>
        <v/>
      </c>
      <c r="O1010" s="61" t="str">
        <f t="shared" si="9"/>
        <v/>
      </c>
      <c r="P1010" s="56" t="str">
        <f t="shared" si="10"/>
        <v/>
      </c>
      <c r="Q1010" s="62"/>
      <c r="R1010" s="10" t="str">
        <f>IFERROR(__xludf.DUMMYFUNCTION("IF(COUNTA(Q1010:Q1350)=0,"""",IF(ISBLANK(Q1010),FALSE,IF(NOT(COUNTIF($AA$24:$AA$34,SUBSTITUTE(Q1010,""Sell_"",""""))),1,IF(REGEXMATCH(Q1010,""Sell_""),IF(COUNTIF(Q$4:Q1010,SUBSTITUTE(Q1010,""Sell_"",""""))-COUNTIF(Q$4:Q1009,Q1010)&lt;1,1),FALSE))))"),"")</f>
        <v/>
      </c>
      <c r="S1010" s="59" t="str">
        <f t="array" ref="S1010">IF(COUNTA(Q1010:Q1350)=0,"",SUM((COUNTIF(Q$4:Q1010,Upgrades!$B$3:$B$13)-COUNTIF(Q$4:Q1010,"Sell_"&amp;Upgrades!$B$3:$B$13))*Upgrades!$D$3:$D$13))</f>
        <v/>
      </c>
      <c r="T1010" s="66" t="str">
        <f>IFERROR(__xludf.DUMMYFUNCTION("IF(COUNTA(Q1010:Q1350)=0,"""",IF(REGEXMATCH(INDEX(FILTER(Q$4:Q1010,Q$4:Q1010&lt;&gt;""""),ROWS(FILTER(Q$4:Q1010,Q$4:Q1010&lt;&gt;""""))),""^Sell_""),INDEX(FILTER(T$4:T1009,Q$4:Q1009&lt;&gt;""""),ROWS(FILTER(Q$4:Q1009,Q$4:Q1009&lt;&gt;""""))),$AD$5+S1010))"),"")</f>
        <v/>
      </c>
      <c r="U1010" s="10" t="str">
        <f>IFERROR(__xludf.DUMMYFUNCTION("IF(COUNTA(Q1010:Q1350)=0,"""",IF(Q1010="""",0,IF(REGEXMATCH(Q1010,""^Sell_""),-ROUNDDOWN(ROUNDUP(INDEX(Upgrades!$C$3:$C$13,MATCH(SUBSTITUTE(Q1010,""Sell_"",""""),Upgrades!$B$3:$B$13,0))*1.15^(COUNTIF(Q$4:Q1009,SUBSTITUTE(Q1010,""Sell_"",""""))-COUNTIF(Q$4"&amp;":Q1009,""Sell_""&amp;SUBSTITUTE(Q1010,""Sell_"",""""))))/2),ROUNDUP(INDEX(Upgrades!$C$3:$C$13,MATCH(Q1010,Upgrades!$B$3:$B$13,0))*1.15^(COUNTIF(Q$4:Q1009,Q1010)-COUNTIF(Q$4:Q1009,""Sell_""&amp;Q1010))))))"),"")</f>
        <v/>
      </c>
      <c r="V1010" s="10" t="str">
        <f t="shared" si="11"/>
        <v/>
      </c>
      <c r="W1010" s="68" t="str">
        <f t="shared" si="12"/>
        <v/>
      </c>
      <c r="X1010" s="59" t="str">
        <f t="shared" si="13"/>
        <v/>
      </c>
      <c r="Y1010" s="69" t="str">
        <f t="shared" si="14"/>
        <v/>
      </c>
      <c r="Z1010" s="11"/>
    </row>
    <row r="1011">
      <c r="A1011" s="8"/>
      <c r="B1011" s="56" t="str">
        <f t="shared" si="2"/>
        <v/>
      </c>
      <c r="C1011" s="57"/>
      <c r="D1011" s="10" t="str">
        <f>IFERROR(__xludf.DUMMYFUNCTION("IF(COUNTA(C1011:C1350)=0,"""",IF(ISBLANK(C1011),FALSE,IF(NOT(COUNTIF($AA$24:$AA$34,SUBSTITUTE(C1011,""Sell_"",""""))),1,IF(REGEXMATCH(C1011,""Sell_""),IF(COUNTIF(C$4:C1011,SUBSTITUTE(C1011,""Sell_"",""""))-COUNTIF(C$4:C1010,C1011)&lt;1,1),FALSE))))"),"")</f>
        <v/>
      </c>
      <c r="E1011" s="59" t="str">
        <f t="array" ref="E1011">IF(COUNTA(C1011:C1350)=0,"",SUM((COUNTIF(C$4:C1011,Upgrades!$B$3:$B$13)-COUNTIF(C$4:C1011,"Sell_"&amp;Upgrades!$B$3:$B$13))*Upgrades!$D$3:$D$13))</f>
        <v/>
      </c>
      <c r="F1011" s="66" t="str">
        <f>IFERROR(__xludf.DUMMYFUNCTION("IF(COUNTA(C1011:C1350)=0,"""",IF(REGEXMATCH(INDEX(FILTER(C$4:C1011,C$4:C1011&lt;&gt;""""),ROWS(FILTER(C$4:C1011,C$4:C1011&lt;&gt;""""))),""^Sell_""),INDEX(FILTER(F$4:F1010,C$4:C1010&lt;&gt;""""),ROWS(FILTER(C$4:C1010,C$4:C1010&lt;&gt;""""))),$AC$5+E1011))"),"")</f>
        <v/>
      </c>
      <c r="G1011" s="10" t="str">
        <f>IFERROR(__xludf.DUMMYFUNCTION("IF(COUNTA(C1011:C1350)=0,"""",IF(C1011="""",0,IF(REGEXMATCH(C1011,""^Sell_""),-ROUNDDOWN(ROUNDUP(INDEX(Upgrades!$C$3:$C$13,MATCH(SUBSTITUTE(C1011,""Sell_"",""""),Upgrades!$B$3:$B$13,0))*1.15^(COUNTIF(C$4:C1010,SUBSTITUTE(C1011,""Sell_"",""""))-COUNTIF(C$4"&amp;":C1010,""Sell_""&amp;SUBSTITUTE(C1011,""Sell_"",""""))))/2),ROUNDUP(INDEX(Upgrades!$C$3:$C$13,MATCH(C1011,Upgrades!$B$3:$B$13,0))*1.15^(COUNTIF(C$4:C1010,C1011)-COUNTIF(C$4:C1010,""Sell_""&amp;C1011))))))"),"")</f>
        <v/>
      </c>
      <c r="H1011" s="10" t="str">
        <f t="shared" si="3"/>
        <v/>
      </c>
      <c r="I1011" s="68" t="str">
        <f t="shared" si="4"/>
        <v/>
      </c>
      <c r="J1011" s="59" t="str">
        <f t="shared" si="5"/>
        <v/>
      </c>
      <c r="K1011" s="69" t="str">
        <f t="shared" si="6"/>
        <v/>
      </c>
      <c r="L1011" s="60" t="str">
        <f t="shared" si="7"/>
        <v/>
      </c>
      <c r="M1011" s="61" t="str">
        <f>IFERROR(__xludf.DUMMYFUNCTION("IFS(AND(COUNTA(C1011:C1350)=0,COUNTA(Q1011:Q1350)=0),"""",OR(AND(K1011&gt;=1000000000,OR(Y1011&gt;=1000000000,COUNTA(Q1011:Q1350)=0)),OR(Y1011&gt;=1000000000,AND(COUNTA(C1011:C1350)=0,P$3=TRUE))),
ROUNDDOWN((AB$1-AC$1)*MAX(INDEX(T$4:T1350,MATCH(LARGE(FILTER(Y$4:Y1"&amp;"350,Y$4:Y1350&lt;1000000000),1),Y$4:Y1350)),INDEX(F$4:F1350,MATCH(LARGE(FILTER(K$4:K1350,K$4:K1350&lt;1000000000),1),K$4:K1350)))),AND(K1011&lt;1000000000,COUNTA(C1011:C1350)&gt;0,P$3=FALSE),
ROUNDDOWN(INDEX(Y$4:Y1350,MATCH(LARGE(FILTER(W$4:W1350,W$4:W1350&lt;=I1011),1)"&amp;",W$4:W1350))+(I1011-LARGE(FILTER(W$4:W1350,W$4:W1350&lt;=I1011),1))*INDEX(T$4:T1350,MATCH(LARGE(FILTER(W$4:W1350,W$4:W1350&lt;=I1011),1),W$4:W1350))-K1011),1,
ROUNDDOWN(Y1011-INDEX(K$4:K1350,MATCH(LARGE(FILTER(I$4:I1350,I$4:I1350&lt;=W1011),1),I$4:I1350))-(W1011-L"&amp;"ARGE(FILTER(I$4:I1350,I$4:I1350&lt;=W1011),1))*INDEX(F$4:F1350,MATCH(LARGE(FILTER(I$4:I1350,I$4:I1350&lt;=W1011),1),I$4:I1350))))"),"")</f>
        <v/>
      </c>
      <c r="N1011" s="60" t="str">
        <f t="shared" si="8"/>
        <v/>
      </c>
      <c r="O1011" s="61" t="str">
        <f t="shared" si="9"/>
        <v/>
      </c>
      <c r="P1011" s="56" t="str">
        <f t="shared" si="10"/>
        <v/>
      </c>
      <c r="Q1011" s="62"/>
      <c r="R1011" s="10" t="str">
        <f>IFERROR(__xludf.DUMMYFUNCTION("IF(COUNTA(Q1011:Q1350)=0,"""",IF(ISBLANK(Q1011),FALSE,IF(NOT(COUNTIF($AA$24:$AA$34,SUBSTITUTE(Q1011,""Sell_"",""""))),1,IF(REGEXMATCH(Q1011,""Sell_""),IF(COUNTIF(Q$4:Q1011,SUBSTITUTE(Q1011,""Sell_"",""""))-COUNTIF(Q$4:Q1010,Q1011)&lt;1,1),FALSE))))"),"")</f>
        <v/>
      </c>
      <c r="S1011" s="59" t="str">
        <f t="array" ref="S1011">IF(COUNTA(Q1011:Q1350)=0,"",SUM((COUNTIF(Q$4:Q1011,Upgrades!$B$3:$B$13)-COUNTIF(Q$4:Q1011,"Sell_"&amp;Upgrades!$B$3:$B$13))*Upgrades!$D$3:$D$13))</f>
        <v/>
      </c>
      <c r="T1011" s="66" t="str">
        <f>IFERROR(__xludf.DUMMYFUNCTION("IF(COUNTA(Q1011:Q1350)=0,"""",IF(REGEXMATCH(INDEX(FILTER(Q$4:Q1011,Q$4:Q1011&lt;&gt;""""),ROWS(FILTER(Q$4:Q1011,Q$4:Q1011&lt;&gt;""""))),""^Sell_""),INDEX(FILTER(T$4:T1010,Q$4:Q1010&lt;&gt;""""),ROWS(FILTER(Q$4:Q1010,Q$4:Q1010&lt;&gt;""""))),$AD$5+S1011))"),"")</f>
        <v/>
      </c>
      <c r="U1011" s="10" t="str">
        <f>IFERROR(__xludf.DUMMYFUNCTION("IF(COUNTA(Q1011:Q1350)=0,"""",IF(Q1011="""",0,IF(REGEXMATCH(Q1011,""^Sell_""),-ROUNDDOWN(ROUNDUP(INDEX(Upgrades!$C$3:$C$13,MATCH(SUBSTITUTE(Q1011,""Sell_"",""""),Upgrades!$B$3:$B$13,0))*1.15^(COUNTIF(Q$4:Q1010,SUBSTITUTE(Q1011,""Sell_"",""""))-COUNTIF(Q$4"&amp;":Q1010,""Sell_""&amp;SUBSTITUTE(Q1011,""Sell_"",""""))))/2),ROUNDUP(INDEX(Upgrades!$C$3:$C$13,MATCH(Q1011,Upgrades!$B$3:$B$13,0))*1.15^(COUNTIF(Q$4:Q1010,Q1011)-COUNTIF(Q$4:Q1010,""Sell_""&amp;Q1011))))))"),"")</f>
        <v/>
      </c>
      <c r="V1011" s="10" t="str">
        <f t="shared" si="11"/>
        <v/>
      </c>
      <c r="W1011" s="68" t="str">
        <f t="shared" si="12"/>
        <v/>
      </c>
      <c r="X1011" s="59" t="str">
        <f t="shared" si="13"/>
        <v/>
      </c>
      <c r="Y1011" s="69" t="str">
        <f t="shared" si="14"/>
        <v/>
      </c>
      <c r="Z1011" s="11"/>
    </row>
    <row r="1012">
      <c r="A1012" s="8"/>
      <c r="B1012" s="56" t="str">
        <f t="shared" si="2"/>
        <v/>
      </c>
      <c r="C1012" s="57"/>
      <c r="D1012" s="10" t="str">
        <f>IFERROR(__xludf.DUMMYFUNCTION("IF(COUNTA(C1012:C1350)=0,"""",IF(ISBLANK(C1012),FALSE,IF(NOT(COUNTIF($AA$24:$AA$34,SUBSTITUTE(C1012,""Sell_"",""""))),1,IF(REGEXMATCH(C1012,""Sell_""),IF(COUNTIF(C$4:C1012,SUBSTITUTE(C1012,""Sell_"",""""))-COUNTIF(C$4:C1011,C1012)&lt;1,1),FALSE))))"),"")</f>
        <v/>
      </c>
      <c r="E1012" s="59" t="str">
        <f t="array" ref="E1012">IF(COUNTA(C1012:C1350)=0,"",SUM((COUNTIF(C$4:C1012,Upgrades!$B$3:$B$13)-COUNTIF(C$4:C1012,"Sell_"&amp;Upgrades!$B$3:$B$13))*Upgrades!$D$3:$D$13))</f>
        <v/>
      </c>
      <c r="F1012" s="66" t="str">
        <f>IFERROR(__xludf.DUMMYFUNCTION("IF(COUNTA(C1012:C1350)=0,"""",IF(REGEXMATCH(INDEX(FILTER(C$4:C1012,C$4:C1012&lt;&gt;""""),ROWS(FILTER(C$4:C1012,C$4:C1012&lt;&gt;""""))),""^Sell_""),INDEX(FILTER(F$4:F1011,C$4:C1011&lt;&gt;""""),ROWS(FILTER(C$4:C1011,C$4:C1011&lt;&gt;""""))),$AC$5+E1012))"),"")</f>
        <v/>
      </c>
      <c r="G1012" s="10" t="str">
        <f>IFERROR(__xludf.DUMMYFUNCTION("IF(COUNTA(C1012:C1350)=0,"""",IF(C1012="""",0,IF(REGEXMATCH(C1012,""^Sell_""),-ROUNDDOWN(ROUNDUP(INDEX(Upgrades!$C$3:$C$13,MATCH(SUBSTITUTE(C1012,""Sell_"",""""),Upgrades!$B$3:$B$13,0))*1.15^(COUNTIF(C$4:C1011,SUBSTITUTE(C1012,""Sell_"",""""))-COUNTIF(C$4"&amp;":C1011,""Sell_""&amp;SUBSTITUTE(C1012,""Sell_"",""""))))/2),ROUNDUP(INDEX(Upgrades!$C$3:$C$13,MATCH(C1012,Upgrades!$B$3:$B$13,0))*1.15^(COUNTIF(C$4:C1011,C1012)-COUNTIF(C$4:C1011,""Sell_""&amp;C1012))))))"),"")</f>
        <v/>
      </c>
      <c r="H1012" s="10" t="str">
        <f t="shared" si="3"/>
        <v/>
      </c>
      <c r="I1012" s="68" t="str">
        <f t="shared" si="4"/>
        <v/>
      </c>
      <c r="J1012" s="59" t="str">
        <f t="shared" si="5"/>
        <v/>
      </c>
      <c r="K1012" s="69" t="str">
        <f t="shared" si="6"/>
        <v/>
      </c>
      <c r="L1012" s="60" t="str">
        <f t="shared" si="7"/>
        <v/>
      </c>
      <c r="M1012" s="61" t="str">
        <f>IFERROR(__xludf.DUMMYFUNCTION("IFS(AND(COUNTA(C1012:C1350)=0,COUNTA(Q1012:Q1350)=0),"""",OR(AND(K1012&gt;=1000000000,OR(Y1012&gt;=1000000000,COUNTA(Q1012:Q1350)=0)),OR(Y1012&gt;=1000000000,AND(COUNTA(C1012:C1350)=0,P$3=TRUE))),
ROUNDDOWN((AB$1-AC$1)*MAX(INDEX(T$4:T1350,MATCH(LARGE(FILTER(Y$4:Y1"&amp;"350,Y$4:Y1350&lt;1000000000),1),Y$4:Y1350)),INDEX(F$4:F1350,MATCH(LARGE(FILTER(K$4:K1350,K$4:K1350&lt;1000000000),1),K$4:K1350)))),AND(K1012&lt;1000000000,COUNTA(C1012:C1350)&gt;0,P$3=FALSE),
ROUNDDOWN(INDEX(Y$4:Y1350,MATCH(LARGE(FILTER(W$4:W1350,W$4:W1350&lt;=I1012),1)"&amp;",W$4:W1350))+(I1012-LARGE(FILTER(W$4:W1350,W$4:W1350&lt;=I1012),1))*INDEX(T$4:T1350,MATCH(LARGE(FILTER(W$4:W1350,W$4:W1350&lt;=I1012),1),W$4:W1350))-K1012),1,
ROUNDDOWN(Y1012-INDEX(K$4:K1350,MATCH(LARGE(FILTER(I$4:I1350,I$4:I1350&lt;=W1012),1),I$4:I1350))-(W1012-L"&amp;"ARGE(FILTER(I$4:I1350,I$4:I1350&lt;=W1012),1))*INDEX(F$4:F1350,MATCH(LARGE(FILTER(I$4:I1350,I$4:I1350&lt;=W1012),1),I$4:I1350))))"),"")</f>
        <v/>
      </c>
      <c r="N1012" s="60" t="str">
        <f t="shared" si="8"/>
        <v/>
      </c>
      <c r="O1012" s="61" t="str">
        <f t="shared" si="9"/>
        <v/>
      </c>
      <c r="P1012" s="56" t="str">
        <f t="shared" si="10"/>
        <v/>
      </c>
      <c r="Q1012" s="62"/>
      <c r="R1012" s="10" t="str">
        <f>IFERROR(__xludf.DUMMYFUNCTION("IF(COUNTA(Q1012:Q1350)=0,"""",IF(ISBLANK(Q1012),FALSE,IF(NOT(COUNTIF($AA$24:$AA$34,SUBSTITUTE(Q1012,""Sell_"",""""))),1,IF(REGEXMATCH(Q1012,""Sell_""),IF(COUNTIF(Q$4:Q1012,SUBSTITUTE(Q1012,""Sell_"",""""))-COUNTIF(Q$4:Q1011,Q1012)&lt;1,1),FALSE))))"),"")</f>
        <v/>
      </c>
      <c r="S1012" s="59" t="str">
        <f t="array" ref="S1012">IF(COUNTA(Q1012:Q1350)=0,"",SUM((COUNTIF(Q$4:Q1012,Upgrades!$B$3:$B$13)-COUNTIF(Q$4:Q1012,"Sell_"&amp;Upgrades!$B$3:$B$13))*Upgrades!$D$3:$D$13))</f>
        <v/>
      </c>
      <c r="T1012" s="66" t="str">
        <f>IFERROR(__xludf.DUMMYFUNCTION("IF(COUNTA(Q1012:Q1350)=0,"""",IF(REGEXMATCH(INDEX(FILTER(Q$4:Q1012,Q$4:Q1012&lt;&gt;""""),ROWS(FILTER(Q$4:Q1012,Q$4:Q1012&lt;&gt;""""))),""^Sell_""),INDEX(FILTER(T$4:T1011,Q$4:Q1011&lt;&gt;""""),ROWS(FILTER(Q$4:Q1011,Q$4:Q1011&lt;&gt;""""))),$AD$5+S1012))"),"")</f>
        <v/>
      </c>
      <c r="U1012" s="10" t="str">
        <f>IFERROR(__xludf.DUMMYFUNCTION("IF(COUNTA(Q1012:Q1350)=0,"""",IF(Q1012="""",0,IF(REGEXMATCH(Q1012,""^Sell_""),-ROUNDDOWN(ROUNDUP(INDEX(Upgrades!$C$3:$C$13,MATCH(SUBSTITUTE(Q1012,""Sell_"",""""),Upgrades!$B$3:$B$13,0))*1.15^(COUNTIF(Q$4:Q1011,SUBSTITUTE(Q1012,""Sell_"",""""))-COUNTIF(Q$4"&amp;":Q1011,""Sell_""&amp;SUBSTITUTE(Q1012,""Sell_"",""""))))/2),ROUNDUP(INDEX(Upgrades!$C$3:$C$13,MATCH(Q1012,Upgrades!$B$3:$B$13,0))*1.15^(COUNTIF(Q$4:Q1011,Q1012)-COUNTIF(Q$4:Q1011,""Sell_""&amp;Q1012))))))"),"")</f>
        <v/>
      </c>
      <c r="V1012" s="10" t="str">
        <f t="shared" si="11"/>
        <v/>
      </c>
      <c r="W1012" s="68" t="str">
        <f t="shared" si="12"/>
        <v/>
      </c>
      <c r="X1012" s="59" t="str">
        <f t="shared" si="13"/>
        <v/>
      </c>
      <c r="Y1012" s="69" t="str">
        <f t="shared" si="14"/>
        <v/>
      </c>
      <c r="Z1012" s="11"/>
    </row>
    <row r="1013">
      <c r="A1013" s="8"/>
      <c r="B1013" s="56" t="str">
        <f t="shared" si="2"/>
        <v/>
      </c>
      <c r="C1013" s="57"/>
      <c r="D1013" s="10" t="str">
        <f>IFERROR(__xludf.DUMMYFUNCTION("IF(COUNTA(C1013:C1350)=0,"""",IF(ISBLANK(C1013),FALSE,IF(NOT(COUNTIF($AA$24:$AA$34,SUBSTITUTE(C1013,""Sell_"",""""))),1,IF(REGEXMATCH(C1013,""Sell_""),IF(COUNTIF(C$4:C1013,SUBSTITUTE(C1013,""Sell_"",""""))-COUNTIF(C$4:C1012,C1013)&lt;1,1),FALSE))))"),"")</f>
        <v/>
      </c>
      <c r="E1013" s="59" t="str">
        <f t="array" ref="E1013">IF(COUNTA(C1013:C1350)=0,"",SUM((COUNTIF(C$4:C1013,Upgrades!$B$3:$B$13)-COUNTIF(C$4:C1013,"Sell_"&amp;Upgrades!$B$3:$B$13))*Upgrades!$D$3:$D$13))</f>
        <v/>
      </c>
      <c r="F1013" s="66" t="str">
        <f>IFERROR(__xludf.DUMMYFUNCTION("IF(COUNTA(C1013:C1350)=0,"""",IF(REGEXMATCH(INDEX(FILTER(C$4:C1013,C$4:C1013&lt;&gt;""""),ROWS(FILTER(C$4:C1013,C$4:C1013&lt;&gt;""""))),""^Sell_""),INDEX(FILTER(F$4:F1012,C$4:C1012&lt;&gt;""""),ROWS(FILTER(C$4:C1012,C$4:C1012&lt;&gt;""""))),$AC$5+E1013))"),"")</f>
        <v/>
      </c>
      <c r="G1013" s="10" t="str">
        <f>IFERROR(__xludf.DUMMYFUNCTION("IF(COUNTA(C1013:C1350)=0,"""",IF(C1013="""",0,IF(REGEXMATCH(C1013,""^Sell_""),-ROUNDDOWN(ROUNDUP(INDEX(Upgrades!$C$3:$C$13,MATCH(SUBSTITUTE(C1013,""Sell_"",""""),Upgrades!$B$3:$B$13,0))*1.15^(COUNTIF(C$4:C1012,SUBSTITUTE(C1013,""Sell_"",""""))-COUNTIF(C$4"&amp;":C1012,""Sell_""&amp;SUBSTITUTE(C1013,""Sell_"",""""))))/2),ROUNDUP(INDEX(Upgrades!$C$3:$C$13,MATCH(C1013,Upgrades!$B$3:$B$13,0))*1.15^(COUNTIF(C$4:C1012,C1013)-COUNTIF(C$4:C1012,""Sell_""&amp;C1013))))))"),"")</f>
        <v/>
      </c>
      <c r="H1013" s="10" t="str">
        <f t="shared" si="3"/>
        <v/>
      </c>
      <c r="I1013" s="68" t="str">
        <f t="shared" si="4"/>
        <v/>
      </c>
      <c r="J1013" s="59" t="str">
        <f t="shared" si="5"/>
        <v/>
      </c>
      <c r="K1013" s="69" t="str">
        <f t="shared" si="6"/>
        <v/>
      </c>
      <c r="L1013" s="60" t="str">
        <f t="shared" si="7"/>
        <v/>
      </c>
      <c r="M1013" s="61" t="str">
        <f>IFERROR(__xludf.DUMMYFUNCTION("IFS(AND(COUNTA(C1013:C1350)=0,COUNTA(Q1013:Q1350)=0),"""",OR(AND(K1013&gt;=1000000000,OR(Y1013&gt;=1000000000,COUNTA(Q1013:Q1350)=0)),OR(Y1013&gt;=1000000000,AND(COUNTA(C1013:C1350)=0,P$3=TRUE))),
ROUNDDOWN((AB$1-AC$1)*MAX(INDEX(T$4:T1350,MATCH(LARGE(FILTER(Y$4:Y1"&amp;"350,Y$4:Y1350&lt;1000000000),1),Y$4:Y1350)),INDEX(F$4:F1350,MATCH(LARGE(FILTER(K$4:K1350,K$4:K1350&lt;1000000000),1),K$4:K1350)))),AND(K1013&lt;1000000000,COUNTA(C1013:C1350)&gt;0,P$3=FALSE),
ROUNDDOWN(INDEX(Y$4:Y1350,MATCH(LARGE(FILTER(W$4:W1350,W$4:W1350&lt;=I1013),1)"&amp;",W$4:W1350))+(I1013-LARGE(FILTER(W$4:W1350,W$4:W1350&lt;=I1013),1))*INDEX(T$4:T1350,MATCH(LARGE(FILTER(W$4:W1350,W$4:W1350&lt;=I1013),1),W$4:W1350))-K1013),1,
ROUNDDOWN(Y1013-INDEX(K$4:K1350,MATCH(LARGE(FILTER(I$4:I1350,I$4:I1350&lt;=W1013),1),I$4:I1350))-(W1013-L"&amp;"ARGE(FILTER(I$4:I1350,I$4:I1350&lt;=W1013),1))*INDEX(F$4:F1350,MATCH(LARGE(FILTER(I$4:I1350,I$4:I1350&lt;=W1013),1),I$4:I1350))))"),"")</f>
        <v/>
      </c>
      <c r="N1013" s="60" t="str">
        <f t="shared" si="8"/>
        <v/>
      </c>
      <c r="O1013" s="61" t="str">
        <f t="shared" si="9"/>
        <v/>
      </c>
      <c r="P1013" s="56" t="str">
        <f t="shared" si="10"/>
        <v/>
      </c>
      <c r="Q1013" s="62"/>
      <c r="R1013" s="10" t="str">
        <f>IFERROR(__xludf.DUMMYFUNCTION("IF(COUNTA(Q1013:Q1350)=0,"""",IF(ISBLANK(Q1013),FALSE,IF(NOT(COUNTIF($AA$24:$AA$34,SUBSTITUTE(Q1013,""Sell_"",""""))),1,IF(REGEXMATCH(Q1013,""Sell_""),IF(COUNTIF(Q$4:Q1013,SUBSTITUTE(Q1013,""Sell_"",""""))-COUNTIF(Q$4:Q1012,Q1013)&lt;1,1),FALSE))))"),"")</f>
        <v/>
      </c>
      <c r="S1013" s="59" t="str">
        <f t="array" ref="S1013">IF(COUNTA(Q1013:Q1350)=0,"",SUM((COUNTIF(Q$4:Q1013,Upgrades!$B$3:$B$13)-COUNTIF(Q$4:Q1013,"Sell_"&amp;Upgrades!$B$3:$B$13))*Upgrades!$D$3:$D$13))</f>
        <v/>
      </c>
      <c r="T1013" s="66" t="str">
        <f>IFERROR(__xludf.DUMMYFUNCTION("IF(COUNTA(Q1013:Q1350)=0,"""",IF(REGEXMATCH(INDEX(FILTER(Q$4:Q1013,Q$4:Q1013&lt;&gt;""""),ROWS(FILTER(Q$4:Q1013,Q$4:Q1013&lt;&gt;""""))),""^Sell_""),INDEX(FILTER(T$4:T1012,Q$4:Q1012&lt;&gt;""""),ROWS(FILTER(Q$4:Q1012,Q$4:Q1012&lt;&gt;""""))),$AD$5+S1013))"),"")</f>
        <v/>
      </c>
      <c r="U1013" s="10" t="str">
        <f>IFERROR(__xludf.DUMMYFUNCTION("IF(COUNTA(Q1013:Q1350)=0,"""",IF(Q1013="""",0,IF(REGEXMATCH(Q1013,""^Sell_""),-ROUNDDOWN(ROUNDUP(INDEX(Upgrades!$C$3:$C$13,MATCH(SUBSTITUTE(Q1013,""Sell_"",""""),Upgrades!$B$3:$B$13,0))*1.15^(COUNTIF(Q$4:Q1012,SUBSTITUTE(Q1013,""Sell_"",""""))-COUNTIF(Q$4"&amp;":Q1012,""Sell_""&amp;SUBSTITUTE(Q1013,""Sell_"",""""))))/2),ROUNDUP(INDEX(Upgrades!$C$3:$C$13,MATCH(Q1013,Upgrades!$B$3:$B$13,0))*1.15^(COUNTIF(Q$4:Q1012,Q1013)-COUNTIF(Q$4:Q1012,""Sell_""&amp;Q1013))))))"),"")</f>
        <v/>
      </c>
      <c r="V1013" s="10" t="str">
        <f t="shared" si="11"/>
        <v/>
      </c>
      <c r="W1013" s="68" t="str">
        <f t="shared" si="12"/>
        <v/>
      </c>
      <c r="X1013" s="59" t="str">
        <f t="shared" si="13"/>
        <v/>
      </c>
      <c r="Y1013" s="69" t="str">
        <f t="shared" si="14"/>
        <v/>
      </c>
      <c r="Z1013" s="11"/>
    </row>
    <row r="1014">
      <c r="A1014" s="8"/>
      <c r="B1014" s="56" t="str">
        <f t="shared" si="2"/>
        <v/>
      </c>
      <c r="C1014" s="57"/>
      <c r="D1014" s="10" t="str">
        <f>IFERROR(__xludf.DUMMYFUNCTION("IF(COUNTA(C1014:C1350)=0,"""",IF(ISBLANK(C1014),FALSE,IF(NOT(COUNTIF($AA$24:$AA$34,SUBSTITUTE(C1014,""Sell_"",""""))),1,IF(REGEXMATCH(C1014,""Sell_""),IF(COUNTIF(C$4:C1014,SUBSTITUTE(C1014,""Sell_"",""""))-COUNTIF(C$4:C1013,C1014)&lt;1,1),FALSE))))"),"")</f>
        <v/>
      </c>
      <c r="E1014" s="59" t="str">
        <f t="array" ref="E1014">IF(COUNTA(C1014:C1350)=0,"",SUM((COUNTIF(C$4:C1014,Upgrades!$B$3:$B$13)-COUNTIF(C$4:C1014,"Sell_"&amp;Upgrades!$B$3:$B$13))*Upgrades!$D$3:$D$13))</f>
        <v/>
      </c>
      <c r="F1014" s="66" t="str">
        <f>IFERROR(__xludf.DUMMYFUNCTION("IF(COUNTA(C1014:C1350)=0,"""",IF(REGEXMATCH(INDEX(FILTER(C$4:C1014,C$4:C1014&lt;&gt;""""),ROWS(FILTER(C$4:C1014,C$4:C1014&lt;&gt;""""))),""^Sell_""),INDEX(FILTER(F$4:F1013,C$4:C1013&lt;&gt;""""),ROWS(FILTER(C$4:C1013,C$4:C1013&lt;&gt;""""))),$AC$5+E1014))"),"")</f>
        <v/>
      </c>
      <c r="G1014" s="10" t="str">
        <f>IFERROR(__xludf.DUMMYFUNCTION("IF(COUNTA(C1014:C1350)=0,"""",IF(C1014="""",0,IF(REGEXMATCH(C1014,""^Sell_""),-ROUNDDOWN(ROUNDUP(INDEX(Upgrades!$C$3:$C$13,MATCH(SUBSTITUTE(C1014,""Sell_"",""""),Upgrades!$B$3:$B$13,0))*1.15^(COUNTIF(C$4:C1013,SUBSTITUTE(C1014,""Sell_"",""""))-COUNTIF(C$4"&amp;":C1013,""Sell_""&amp;SUBSTITUTE(C1014,""Sell_"",""""))))/2),ROUNDUP(INDEX(Upgrades!$C$3:$C$13,MATCH(C1014,Upgrades!$B$3:$B$13,0))*1.15^(COUNTIF(C$4:C1013,C1014)-COUNTIF(C$4:C1013,""Sell_""&amp;C1014))))))"),"")</f>
        <v/>
      </c>
      <c r="H1014" s="10" t="str">
        <f t="shared" si="3"/>
        <v/>
      </c>
      <c r="I1014" s="68" t="str">
        <f t="shared" si="4"/>
        <v/>
      </c>
      <c r="J1014" s="59" t="str">
        <f t="shared" si="5"/>
        <v/>
      </c>
      <c r="K1014" s="69" t="str">
        <f t="shared" si="6"/>
        <v/>
      </c>
      <c r="L1014" s="60" t="str">
        <f t="shared" si="7"/>
        <v/>
      </c>
      <c r="M1014" s="61" t="str">
        <f>IFERROR(__xludf.DUMMYFUNCTION("IFS(AND(COUNTA(C1014:C1350)=0,COUNTA(Q1014:Q1350)=0),"""",OR(AND(K1014&gt;=1000000000,OR(Y1014&gt;=1000000000,COUNTA(Q1014:Q1350)=0)),OR(Y1014&gt;=1000000000,AND(COUNTA(C1014:C1350)=0,P$3=TRUE))),
ROUNDDOWN((AB$1-AC$1)*MAX(INDEX(T$4:T1350,MATCH(LARGE(FILTER(Y$4:Y1"&amp;"350,Y$4:Y1350&lt;1000000000),1),Y$4:Y1350)),INDEX(F$4:F1350,MATCH(LARGE(FILTER(K$4:K1350,K$4:K1350&lt;1000000000),1),K$4:K1350)))),AND(K1014&lt;1000000000,COUNTA(C1014:C1350)&gt;0,P$3=FALSE),
ROUNDDOWN(INDEX(Y$4:Y1350,MATCH(LARGE(FILTER(W$4:W1350,W$4:W1350&lt;=I1014),1)"&amp;",W$4:W1350))+(I1014-LARGE(FILTER(W$4:W1350,W$4:W1350&lt;=I1014),1))*INDEX(T$4:T1350,MATCH(LARGE(FILTER(W$4:W1350,W$4:W1350&lt;=I1014),1),W$4:W1350))-K1014),1,
ROUNDDOWN(Y1014-INDEX(K$4:K1350,MATCH(LARGE(FILTER(I$4:I1350,I$4:I1350&lt;=W1014),1),I$4:I1350))-(W1014-L"&amp;"ARGE(FILTER(I$4:I1350,I$4:I1350&lt;=W1014),1))*INDEX(F$4:F1350,MATCH(LARGE(FILTER(I$4:I1350,I$4:I1350&lt;=W1014),1),I$4:I1350))))"),"")</f>
        <v/>
      </c>
      <c r="N1014" s="60" t="str">
        <f t="shared" si="8"/>
        <v/>
      </c>
      <c r="O1014" s="61" t="str">
        <f t="shared" si="9"/>
        <v/>
      </c>
      <c r="P1014" s="56" t="str">
        <f t="shared" si="10"/>
        <v/>
      </c>
      <c r="Q1014" s="62"/>
      <c r="R1014" s="10" t="str">
        <f>IFERROR(__xludf.DUMMYFUNCTION("IF(COUNTA(Q1014:Q1350)=0,"""",IF(ISBLANK(Q1014),FALSE,IF(NOT(COUNTIF($AA$24:$AA$34,SUBSTITUTE(Q1014,""Sell_"",""""))),1,IF(REGEXMATCH(Q1014,""Sell_""),IF(COUNTIF(Q$4:Q1014,SUBSTITUTE(Q1014,""Sell_"",""""))-COUNTIF(Q$4:Q1013,Q1014)&lt;1,1),FALSE))))"),"")</f>
        <v/>
      </c>
      <c r="S1014" s="59" t="str">
        <f t="array" ref="S1014">IF(COUNTA(Q1014:Q1350)=0,"",SUM((COUNTIF(Q$4:Q1014,Upgrades!$B$3:$B$13)-COUNTIF(Q$4:Q1014,"Sell_"&amp;Upgrades!$B$3:$B$13))*Upgrades!$D$3:$D$13))</f>
        <v/>
      </c>
      <c r="T1014" s="66" t="str">
        <f>IFERROR(__xludf.DUMMYFUNCTION("IF(COUNTA(Q1014:Q1350)=0,"""",IF(REGEXMATCH(INDEX(FILTER(Q$4:Q1014,Q$4:Q1014&lt;&gt;""""),ROWS(FILTER(Q$4:Q1014,Q$4:Q1014&lt;&gt;""""))),""^Sell_""),INDEX(FILTER(T$4:T1013,Q$4:Q1013&lt;&gt;""""),ROWS(FILTER(Q$4:Q1013,Q$4:Q1013&lt;&gt;""""))),$AD$5+S1014))"),"")</f>
        <v/>
      </c>
      <c r="U1014" s="10" t="str">
        <f>IFERROR(__xludf.DUMMYFUNCTION("IF(COUNTA(Q1014:Q1350)=0,"""",IF(Q1014="""",0,IF(REGEXMATCH(Q1014,""^Sell_""),-ROUNDDOWN(ROUNDUP(INDEX(Upgrades!$C$3:$C$13,MATCH(SUBSTITUTE(Q1014,""Sell_"",""""),Upgrades!$B$3:$B$13,0))*1.15^(COUNTIF(Q$4:Q1013,SUBSTITUTE(Q1014,""Sell_"",""""))-COUNTIF(Q$4"&amp;":Q1013,""Sell_""&amp;SUBSTITUTE(Q1014,""Sell_"",""""))))/2),ROUNDUP(INDEX(Upgrades!$C$3:$C$13,MATCH(Q1014,Upgrades!$B$3:$B$13,0))*1.15^(COUNTIF(Q$4:Q1013,Q1014)-COUNTIF(Q$4:Q1013,""Sell_""&amp;Q1014))))))"),"")</f>
        <v/>
      </c>
      <c r="V1014" s="10" t="str">
        <f t="shared" si="11"/>
        <v/>
      </c>
      <c r="W1014" s="68" t="str">
        <f t="shared" si="12"/>
        <v/>
      </c>
      <c r="X1014" s="59" t="str">
        <f t="shared" si="13"/>
        <v/>
      </c>
      <c r="Y1014" s="69" t="str">
        <f t="shared" si="14"/>
        <v/>
      </c>
      <c r="Z1014" s="11"/>
    </row>
    <row r="1015">
      <c r="A1015" s="8"/>
      <c r="B1015" s="56" t="str">
        <f t="shared" si="2"/>
        <v/>
      </c>
      <c r="C1015" s="57"/>
      <c r="D1015" s="10" t="str">
        <f>IFERROR(__xludf.DUMMYFUNCTION("IF(COUNTA(C1015:C1350)=0,"""",IF(ISBLANK(C1015),FALSE,IF(NOT(COUNTIF($AA$24:$AA$34,SUBSTITUTE(C1015,""Sell_"",""""))),1,IF(REGEXMATCH(C1015,""Sell_""),IF(COUNTIF(C$4:C1015,SUBSTITUTE(C1015,""Sell_"",""""))-COUNTIF(C$4:C1014,C1015)&lt;1,1),FALSE))))"),"")</f>
        <v/>
      </c>
      <c r="E1015" s="59" t="str">
        <f t="array" ref="E1015">IF(COUNTA(C1015:C1350)=0,"",SUM((COUNTIF(C$4:C1015,Upgrades!$B$3:$B$13)-COUNTIF(C$4:C1015,"Sell_"&amp;Upgrades!$B$3:$B$13))*Upgrades!$D$3:$D$13))</f>
        <v/>
      </c>
      <c r="F1015" s="66" t="str">
        <f>IFERROR(__xludf.DUMMYFUNCTION("IF(COUNTA(C1015:C1350)=0,"""",IF(REGEXMATCH(INDEX(FILTER(C$4:C1015,C$4:C1015&lt;&gt;""""),ROWS(FILTER(C$4:C1015,C$4:C1015&lt;&gt;""""))),""^Sell_""),INDEX(FILTER(F$4:F1014,C$4:C1014&lt;&gt;""""),ROWS(FILTER(C$4:C1014,C$4:C1014&lt;&gt;""""))),$AC$5+E1015))"),"")</f>
        <v/>
      </c>
      <c r="G1015" s="10" t="str">
        <f>IFERROR(__xludf.DUMMYFUNCTION("IF(COUNTA(C1015:C1350)=0,"""",IF(C1015="""",0,IF(REGEXMATCH(C1015,""^Sell_""),-ROUNDDOWN(ROUNDUP(INDEX(Upgrades!$C$3:$C$13,MATCH(SUBSTITUTE(C1015,""Sell_"",""""),Upgrades!$B$3:$B$13,0))*1.15^(COUNTIF(C$4:C1014,SUBSTITUTE(C1015,""Sell_"",""""))-COUNTIF(C$4"&amp;":C1014,""Sell_""&amp;SUBSTITUTE(C1015,""Sell_"",""""))))/2),ROUNDUP(INDEX(Upgrades!$C$3:$C$13,MATCH(C1015,Upgrades!$B$3:$B$13,0))*1.15^(COUNTIF(C$4:C1014,C1015)-COUNTIF(C$4:C1014,""Sell_""&amp;C1015))))))"),"")</f>
        <v/>
      </c>
      <c r="H1015" s="10" t="str">
        <f t="shared" si="3"/>
        <v/>
      </c>
      <c r="I1015" s="68" t="str">
        <f t="shared" si="4"/>
        <v/>
      </c>
      <c r="J1015" s="59" t="str">
        <f t="shared" si="5"/>
        <v/>
      </c>
      <c r="K1015" s="69" t="str">
        <f t="shared" si="6"/>
        <v/>
      </c>
      <c r="L1015" s="60" t="str">
        <f t="shared" si="7"/>
        <v/>
      </c>
      <c r="M1015" s="61" t="str">
        <f>IFERROR(__xludf.DUMMYFUNCTION("IFS(AND(COUNTA(C1015:C1350)=0,COUNTA(Q1015:Q1350)=0),"""",OR(AND(K1015&gt;=1000000000,OR(Y1015&gt;=1000000000,COUNTA(Q1015:Q1350)=0)),OR(Y1015&gt;=1000000000,AND(COUNTA(C1015:C1350)=0,P$3=TRUE))),
ROUNDDOWN((AB$1-AC$1)*MAX(INDEX(T$4:T1350,MATCH(LARGE(FILTER(Y$4:Y1"&amp;"350,Y$4:Y1350&lt;1000000000),1),Y$4:Y1350)),INDEX(F$4:F1350,MATCH(LARGE(FILTER(K$4:K1350,K$4:K1350&lt;1000000000),1),K$4:K1350)))),AND(K1015&lt;1000000000,COUNTA(C1015:C1350)&gt;0,P$3=FALSE),
ROUNDDOWN(INDEX(Y$4:Y1350,MATCH(LARGE(FILTER(W$4:W1350,W$4:W1350&lt;=I1015),1)"&amp;",W$4:W1350))+(I1015-LARGE(FILTER(W$4:W1350,W$4:W1350&lt;=I1015),1))*INDEX(T$4:T1350,MATCH(LARGE(FILTER(W$4:W1350,W$4:W1350&lt;=I1015),1),W$4:W1350))-K1015),1,
ROUNDDOWN(Y1015-INDEX(K$4:K1350,MATCH(LARGE(FILTER(I$4:I1350,I$4:I1350&lt;=W1015),1),I$4:I1350))-(W1015-L"&amp;"ARGE(FILTER(I$4:I1350,I$4:I1350&lt;=W1015),1))*INDEX(F$4:F1350,MATCH(LARGE(FILTER(I$4:I1350,I$4:I1350&lt;=W1015),1),I$4:I1350))))"),"")</f>
        <v/>
      </c>
      <c r="N1015" s="60" t="str">
        <f t="shared" si="8"/>
        <v/>
      </c>
      <c r="O1015" s="61" t="str">
        <f t="shared" si="9"/>
        <v/>
      </c>
      <c r="P1015" s="56" t="str">
        <f t="shared" si="10"/>
        <v/>
      </c>
      <c r="Q1015" s="62"/>
      <c r="R1015" s="10" t="str">
        <f>IFERROR(__xludf.DUMMYFUNCTION("IF(COUNTA(Q1015:Q1350)=0,"""",IF(ISBLANK(Q1015),FALSE,IF(NOT(COUNTIF($AA$24:$AA$34,SUBSTITUTE(Q1015,""Sell_"",""""))),1,IF(REGEXMATCH(Q1015,""Sell_""),IF(COUNTIF(Q$4:Q1015,SUBSTITUTE(Q1015,""Sell_"",""""))-COUNTIF(Q$4:Q1014,Q1015)&lt;1,1),FALSE))))"),"")</f>
        <v/>
      </c>
      <c r="S1015" s="59" t="str">
        <f t="array" ref="S1015">IF(COUNTA(Q1015:Q1350)=0,"",SUM((COUNTIF(Q$4:Q1015,Upgrades!$B$3:$B$13)-COUNTIF(Q$4:Q1015,"Sell_"&amp;Upgrades!$B$3:$B$13))*Upgrades!$D$3:$D$13))</f>
        <v/>
      </c>
      <c r="T1015" s="66" t="str">
        <f>IFERROR(__xludf.DUMMYFUNCTION("IF(COUNTA(Q1015:Q1350)=0,"""",IF(REGEXMATCH(INDEX(FILTER(Q$4:Q1015,Q$4:Q1015&lt;&gt;""""),ROWS(FILTER(Q$4:Q1015,Q$4:Q1015&lt;&gt;""""))),""^Sell_""),INDEX(FILTER(T$4:T1014,Q$4:Q1014&lt;&gt;""""),ROWS(FILTER(Q$4:Q1014,Q$4:Q1014&lt;&gt;""""))),$AD$5+S1015))"),"")</f>
        <v/>
      </c>
      <c r="U1015" s="10" t="str">
        <f>IFERROR(__xludf.DUMMYFUNCTION("IF(COUNTA(Q1015:Q1350)=0,"""",IF(Q1015="""",0,IF(REGEXMATCH(Q1015,""^Sell_""),-ROUNDDOWN(ROUNDUP(INDEX(Upgrades!$C$3:$C$13,MATCH(SUBSTITUTE(Q1015,""Sell_"",""""),Upgrades!$B$3:$B$13,0))*1.15^(COUNTIF(Q$4:Q1014,SUBSTITUTE(Q1015,""Sell_"",""""))-COUNTIF(Q$4"&amp;":Q1014,""Sell_""&amp;SUBSTITUTE(Q1015,""Sell_"",""""))))/2),ROUNDUP(INDEX(Upgrades!$C$3:$C$13,MATCH(Q1015,Upgrades!$B$3:$B$13,0))*1.15^(COUNTIF(Q$4:Q1014,Q1015)-COUNTIF(Q$4:Q1014,""Sell_""&amp;Q1015))))))"),"")</f>
        <v/>
      </c>
      <c r="V1015" s="10" t="str">
        <f t="shared" si="11"/>
        <v/>
      </c>
      <c r="W1015" s="68" t="str">
        <f t="shared" si="12"/>
        <v/>
      </c>
      <c r="X1015" s="59" t="str">
        <f t="shared" si="13"/>
        <v/>
      </c>
      <c r="Y1015" s="69" t="str">
        <f t="shared" si="14"/>
        <v/>
      </c>
      <c r="Z1015" s="11"/>
    </row>
    <row r="1016">
      <c r="A1016" s="8"/>
      <c r="B1016" s="56" t="str">
        <f t="shared" si="2"/>
        <v/>
      </c>
      <c r="C1016" s="57"/>
      <c r="D1016" s="10" t="str">
        <f>IFERROR(__xludf.DUMMYFUNCTION("IF(COUNTA(C1016:C1350)=0,"""",IF(ISBLANK(C1016),FALSE,IF(NOT(COUNTIF($AA$24:$AA$34,SUBSTITUTE(C1016,""Sell_"",""""))),1,IF(REGEXMATCH(C1016,""Sell_""),IF(COUNTIF(C$4:C1016,SUBSTITUTE(C1016,""Sell_"",""""))-COUNTIF(C$4:C1015,C1016)&lt;1,1),FALSE))))"),"")</f>
        <v/>
      </c>
      <c r="E1016" s="59" t="str">
        <f t="array" ref="E1016">IF(COUNTA(C1016:C1350)=0,"",SUM((COUNTIF(C$4:C1016,Upgrades!$B$3:$B$13)-COUNTIF(C$4:C1016,"Sell_"&amp;Upgrades!$B$3:$B$13))*Upgrades!$D$3:$D$13))</f>
        <v/>
      </c>
      <c r="F1016" s="66" t="str">
        <f>IFERROR(__xludf.DUMMYFUNCTION("IF(COUNTA(C1016:C1350)=0,"""",IF(REGEXMATCH(INDEX(FILTER(C$4:C1016,C$4:C1016&lt;&gt;""""),ROWS(FILTER(C$4:C1016,C$4:C1016&lt;&gt;""""))),""^Sell_""),INDEX(FILTER(F$4:F1015,C$4:C1015&lt;&gt;""""),ROWS(FILTER(C$4:C1015,C$4:C1015&lt;&gt;""""))),$AC$5+E1016))"),"")</f>
        <v/>
      </c>
      <c r="G1016" s="10" t="str">
        <f>IFERROR(__xludf.DUMMYFUNCTION("IF(COUNTA(C1016:C1350)=0,"""",IF(C1016="""",0,IF(REGEXMATCH(C1016,""^Sell_""),-ROUNDDOWN(ROUNDUP(INDEX(Upgrades!$C$3:$C$13,MATCH(SUBSTITUTE(C1016,""Sell_"",""""),Upgrades!$B$3:$B$13,0))*1.15^(COUNTIF(C$4:C1015,SUBSTITUTE(C1016,""Sell_"",""""))-COUNTIF(C$4"&amp;":C1015,""Sell_""&amp;SUBSTITUTE(C1016,""Sell_"",""""))))/2),ROUNDUP(INDEX(Upgrades!$C$3:$C$13,MATCH(C1016,Upgrades!$B$3:$B$13,0))*1.15^(COUNTIF(C$4:C1015,C1016)-COUNTIF(C$4:C1015,""Sell_""&amp;C1016))))))"),"")</f>
        <v/>
      </c>
      <c r="H1016" s="10" t="str">
        <f t="shared" si="3"/>
        <v/>
      </c>
      <c r="I1016" s="68" t="str">
        <f t="shared" si="4"/>
        <v/>
      </c>
      <c r="J1016" s="59" t="str">
        <f t="shared" si="5"/>
        <v/>
      </c>
      <c r="K1016" s="69" t="str">
        <f t="shared" si="6"/>
        <v/>
      </c>
      <c r="L1016" s="60" t="str">
        <f t="shared" si="7"/>
        <v/>
      </c>
      <c r="M1016" s="61" t="str">
        <f>IFERROR(__xludf.DUMMYFUNCTION("IFS(AND(COUNTA(C1016:C1350)=0,COUNTA(Q1016:Q1350)=0),"""",OR(AND(K1016&gt;=1000000000,OR(Y1016&gt;=1000000000,COUNTA(Q1016:Q1350)=0)),OR(Y1016&gt;=1000000000,AND(COUNTA(C1016:C1350)=0,P$3=TRUE))),
ROUNDDOWN((AB$1-AC$1)*MAX(INDEX(T$4:T1350,MATCH(LARGE(FILTER(Y$4:Y1"&amp;"350,Y$4:Y1350&lt;1000000000),1),Y$4:Y1350)),INDEX(F$4:F1350,MATCH(LARGE(FILTER(K$4:K1350,K$4:K1350&lt;1000000000),1),K$4:K1350)))),AND(K1016&lt;1000000000,COUNTA(C1016:C1350)&gt;0,P$3=FALSE),
ROUNDDOWN(INDEX(Y$4:Y1350,MATCH(LARGE(FILTER(W$4:W1350,W$4:W1350&lt;=I1016),1)"&amp;",W$4:W1350))+(I1016-LARGE(FILTER(W$4:W1350,W$4:W1350&lt;=I1016),1))*INDEX(T$4:T1350,MATCH(LARGE(FILTER(W$4:W1350,W$4:W1350&lt;=I1016),1),W$4:W1350))-K1016),1,
ROUNDDOWN(Y1016-INDEX(K$4:K1350,MATCH(LARGE(FILTER(I$4:I1350,I$4:I1350&lt;=W1016),1),I$4:I1350))-(W1016-L"&amp;"ARGE(FILTER(I$4:I1350,I$4:I1350&lt;=W1016),1))*INDEX(F$4:F1350,MATCH(LARGE(FILTER(I$4:I1350,I$4:I1350&lt;=W1016),1),I$4:I1350))))"),"")</f>
        <v/>
      </c>
      <c r="N1016" s="60" t="str">
        <f t="shared" si="8"/>
        <v/>
      </c>
      <c r="O1016" s="61" t="str">
        <f t="shared" si="9"/>
        <v/>
      </c>
      <c r="P1016" s="56" t="str">
        <f t="shared" si="10"/>
        <v/>
      </c>
      <c r="Q1016" s="62"/>
      <c r="R1016" s="10" t="str">
        <f>IFERROR(__xludf.DUMMYFUNCTION("IF(COUNTA(Q1016:Q1350)=0,"""",IF(ISBLANK(Q1016),FALSE,IF(NOT(COUNTIF($AA$24:$AA$34,SUBSTITUTE(Q1016,""Sell_"",""""))),1,IF(REGEXMATCH(Q1016,""Sell_""),IF(COUNTIF(Q$4:Q1016,SUBSTITUTE(Q1016,""Sell_"",""""))-COUNTIF(Q$4:Q1015,Q1016)&lt;1,1),FALSE))))"),"")</f>
        <v/>
      </c>
      <c r="S1016" s="59" t="str">
        <f t="array" ref="S1016">IF(COUNTA(Q1016:Q1350)=0,"",SUM((COUNTIF(Q$4:Q1016,Upgrades!$B$3:$B$13)-COUNTIF(Q$4:Q1016,"Sell_"&amp;Upgrades!$B$3:$B$13))*Upgrades!$D$3:$D$13))</f>
        <v/>
      </c>
      <c r="T1016" s="66" t="str">
        <f>IFERROR(__xludf.DUMMYFUNCTION("IF(COUNTA(Q1016:Q1350)=0,"""",IF(REGEXMATCH(INDEX(FILTER(Q$4:Q1016,Q$4:Q1016&lt;&gt;""""),ROWS(FILTER(Q$4:Q1016,Q$4:Q1016&lt;&gt;""""))),""^Sell_""),INDEX(FILTER(T$4:T1015,Q$4:Q1015&lt;&gt;""""),ROWS(FILTER(Q$4:Q1015,Q$4:Q1015&lt;&gt;""""))),$AD$5+S1016))"),"")</f>
        <v/>
      </c>
      <c r="U1016" s="10" t="str">
        <f>IFERROR(__xludf.DUMMYFUNCTION("IF(COUNTA(Q1016:Q1350)=0,"""",IF(Q1016="""",0,IF(REGEXMATCH(Q1016,""^Sell_""),-ROUNDDOWN(ROUNDUP(INDEX(Upgrades!$C$3:$C$13,MATCH(SUBSTITUTE(Q1016,""Sell_"",""""),Upgrades!$B$3:$B$13,0))*1.15^(COUNTIF(Q$4:Q1015,SUBSTITUTE(Q1016,""Sell_"",""""))-COUNTIF(Q$4"&amp;":Q1015,""Sell_""&amp;SUBSTITUTE(Q1016,""Sell_"",""""))))/2),ROUNDUP(INDEX(Upgrades!$C$3:$C$13,MATCH(Q1016,Upgrades!$B$3:$B$13,0))*1.15^(COUNTIF(Q$4:Q1015,Q1016)-COUNTIF(Q$4:Q1015,""Sell_""&amp;Q1016))))))"),"")</f>
        <v/>
      </c>
      <c r="V1016" s="10" t="str">
        <f t="shared" si="11"/>
        <v/>
      </c>
      <c r="W1016" s="68" t="str">
        <f t="shared" si="12"/>
        <v/>
      </c>
      <c r="X1016" s="59" t="str">
        <f t="shared" si="13"/>
        <v/>
      </c>
      <c r="Y1016" s="69" t="str">
        <f t="shared" si="14"/>
        <v/>
      </c>
      <c r="Z1016" s="11"/>
    </row>
    <row r="1017">
      <c r="A1017" s="8"/>
      <c r="B1017" s="56" t="str">
        <f t="shared" si="2"/>
        <v/>
      </c>
      <c r="C1017" s="57"/>
      <c r="D1017" s="10" t="str">
        <f>IFERROR(__xludf.DUMMYFUNCTION("IF(COUNTA(C1017:C1350)=0,"""",IF(ISBLANK(C1017),FALSE,IF(NOT(COUNTIF($AA$24:$AA$34,SUBSTITUTE(C1017,""Sell_"",""""))),1,IF(REGEXMATCH(C1017,""Sell_""),IF(COUNTIF(C$4:C1017,SUBSTITUTE(C1017,""Sell_"",""""))-COUNTIF(C$4:C1016,C1017)&lt;1,1),FALSE))))"),"")</f>
        <v/>
      </c>
      <c r="E1017" s="59" t="str">
        <f t="array" ref="E1017">IF(COUNTA(C1017:C1350)=0,"",SUM((COUNTIF(C$4:C1017,Upgrades!$B$3:$B$13)-COUNTIF(C$4:C1017,"Sell_"&amp;Upgrades!$B$3:$B$13))*Upgrades!$D$3:$D$13))</f>
        <v/>
      </c>
      <c r="F1017" s="66" t="str">
        <f>IFERROR(__xludf.DUMMYFUNCTION("IF(COUNTA(C1017:C1350)=0,"""",IF(REGEXMATCH(INDEX(FILTER(C$4:C1017,C$4:C1017&lt;&gt;""""),ROWS(FILTER(C$4:C1017,C$4:C1017&lt;&gt;""""))),""^Sell_""),INDEX(FILTER(F$4:F1016,C$4:C1016&lt;&gt;""""),ROWS(FILTER(C$4:C1016,C$4:C1016&lt;&gt;""""))),$AC$5+E1017))"),"")</f>
        <v/>
      </c>
      <c r="G1017" s="10" t="str">
        <f>IFERROR(__xludf.DUMMYFUNCTION("IF(COUNTA(C1017:C1350)=0,"""",IF(C1017="""",0,IF(REGEXMATCH(C1017,""^Sell_""),-ROUNDDOWN(ROUNDUP(INDEX(Upgrades!$C$3:$C$13,MATCH(SUBSTITUTE(C1017,""Sell_"",""""),Upgrades!$B$3:$B$13,0))*1.15^(COUNTIF(C$4:C1016,SUBSTITUTE(C1017,""Sell_"",""""))-COUNTIF(C$4"&amp;":C1016,""Sell_""&amp;SUBSTITUTE(C1017,""Sell_"",""""))))/2),ROUNDUP(INDEX(Upgrades!$C$3:$C$13,MATCH(C1017,Upgrades!$B$3:$B$13,0))*1.15^(COUNTIF(C$4:C1016,C1017)-COUNTIF(C$4:C1016,""Sell_""&amp;C1017))))))"),"")</f>
        <v/>
      </c>
      <c r="H1017" s="10" t="str">
        <f t="shared" si="3"/>
        <v/>
      </c>
      <c r="I1017" s="68" t="str">
        <f t="shared" si="4"/>
        <v/>
      </c>
      <c r="J1017" s="59" t="str">
        <f t="shared" si="5"/>
        <v/>
      </c>
      <c r="K1017" s="69" t="str">
        <f t="shared" si="6"/>
        <v/>
      </c>
      <c r="L1017" s="60" t="str">
        <f t="shared" si="7"/>
        <v/>
      </c>
      <c r="M1017" s="61" t="str">
        <f>IFERROR(__xludf.DUMMYFUNCTION("IFS(AND(COUNTA(C1017:C1350)=0,COUNTA(Q1017:Q1350)=0),"""",OR(AND(K1017&gt;=1000000000,OR(Y1017&gt;=1000000000,COUNTA(Q1017:Q1350)=0)),OR(Y1017&gt;=1000000000,AND(COUNTA(C1017:C1350)=0,P$3=TRUE))),
ROUNDDOWN((AB$1-AC$1)*MAX(INDEX(T$4:T1350,MATCH(LARGE(FILTER(Y$4:Y1"&amp;"350,Y$4:Y1350&lt;1000000000),1),Y$4:Y1350)),INDEX(F$4:F1350,MATCH(LARGE(FILTER(K$4:K1350,K$4:K1350&lt;1000000000),1),K$4:K1350)))),AND(K1017&lt;1000000000,COUNTA(C1017:C1350)&gt;0,P$3=FALSE),
ROUNDDOWN(INDEX(Y$4:Y1350,MATCH(LARGE(FILTER(W$4:W1350,W$4:W1350&lt;=I1017),1)"&amp;",W$4:W1350))+(I1017-LARGE(FILTER(W$4:W1350,W$4:W1350&lt;=I1017),1))*INDEX(T$4:T1350,MATCH(LARGE(FILTER(W$4:W1350,W$4:W1350&lt;=I1017),1),W$4:W1350))-K1017),1,
ROUNDDOWN(Y1017-INDEX(K$4:K1350,MATCH(LARGE(FILTER(I$4:I1350,I$4:I1350&lt;=W1017),1),I$4:I1350))-(W1017-L"&amp;"ARGE(FILTER(I$4:I1350,I$4:I1350&lt;=W1017),1))*INDEX(F$4:F1350,MATCH(LARGE(FILTER(I$4:I1350,I$4:I1350&lt;=W1017),1),I$4:I1350))))"),"")</f>
        <v/>
      </c>
      <c r="N1017" s="60" t="str">
        <f t="shared" si="8"/>
        <v/>
      </c>
      <c r="O1017" s="61" t="str">
        <f t="shared" si="9"/>
        <v/>
      </c>
      <c r="P1017" s="56" t="str">
        <f t="shared" si="10"/>
        <v/>
      </c>
      <c r="Q1017" s="62"/>
      <c r="R1017" s="10" t="str">
        <f>IFERROR(__xludf.DUMMYFUNCTION("IF(COUNTA(Q1017:Q1350)=0,"""",IF(ISBLANK(Q1017),FALSE,IF(NOT(COUNTIF($AA$24:$AA$34,SUBSTITUTE(Q1017,""Sell_"",""""))),1,IF(REGEXMATCH(Q1017,""Sell_""),IF(COUNTIF(Q$4:Q1017,SUBSTITUTE(Q1017,""Sell_"",""""))-COUNTIF(Q$4:Q1016,Q1017)&lt;1,1),FALSE))))"),"")</f>
        <v/>
      </c>
      <c r="S1017" s="59" t="str">
        <f t="array" ref="S1017">IF(COUNTA(Q1017:Q1350)=0,"",SUM((COUNTIF(Q$4:Q1017,Upgrades!$B$3:$B$13)-COUNTIF(Q$4:Q1017,"Sell_"&amp;Upgrades!$B$3:$B$13))*Upgrades!$D$3:$D$13))</f>
        <v/>
      </c>
      <c r="T1017" s="66" t="str">
        <f>IFERROR(__xludf.DUMMYFUNCTION("IF(COUNTA(Q1017:Q1350)=0,"""",IF(REGEXMATCH(INDEX(FILTER(Q$4:Q1017,Q$4:Q1017&lt;&gt;""""),ROWS(FILTER(Q$4:Q1017,Q$4:Q1017&lt;&gt;""""))),""^Sell_""),INDEX(FILTER(T$4:T1016,Q$4:Q1016&lt;&gt;""""),ROWS(FILTER(Q$4:Q1016,Q$4:Q1016&lt;&gt;""""))),$AD$5+S1017))"),"")</f>
        <v/>
      </c>
      <c r="U1017" s="10" t="str">
        <f>IFERROR(__xludf.DUMMYFUNCTION("IF(COUNTA(Q1017:Q1350)=0,"""",IF(Q1017="""",0,IF(REGEXMATCH(Q1017,""^Sell_""),-ROUNDDOWN(ROUNDUP(INDEX(Upgrades!$C$3:$C$13,MATCH(SUBSTITUTE(Q1017,""Sell_"",""""),Upgrades!$B$3:$B$13,0))*1.15^(COUNTIF(Q$4:Q1016,SUBSTITUTE(Q1017,""Sell_"",""""))-COUNTIF(Q$4"&amp;":Q1016,""Sell_""&amp;SUBSTITUTE(Q1017,""Sell_"",""""))))/2),ROUNDUP(INDEX(Upgrades!$C$3:$C$13,MATCH(Q1017,Upgrades!$B$3:$B$13,0))*1.15^(COUNTIF(Q$4:Q1016,Q1017)-COUNTIF(Q$4:Q1016,""Sell_""&amp;Q1017))))))"),"")</f>
        <v/>
      </c>
      <c r="V1017" s="10" t="str">
        <f t="shared" si="11"/>
        <v/>
      </c>
      <c r="W1017" s="68" t="str">
        <f t="shared" si="12"/>
        <v/>
      </c>
      <c r="X1017" s="59" t="str">
        <f t="shared" si="13"/>
        <v/>
      </c>
      <c r="Y1017" s="69" t="str">
        <f t="shared" si="14"/>
        <v/>
      </c>
      <c r="Z1017" s="11"/>
    </row>
    <row r="1018">
      <c r="A1018" s="8"/>
      <c r="B1018" s="56" t="str">
        <f t="shared" si="2"/>
        <v/>
      </c>
      <c r="C1018" s="57"/>
      <c r="D1018" s="10" t="str">
        <f>IFERROR(__xludf.DUMMYFUNCTION("IF(COUNTA(C1018:C1350)=0,"""",IF(ISBLANK(C1018),FALSE,IF(NOT(COUNTIF($AA$24:$AA$34,SUBSTITUTE(C1018,""Sell_"",""""))),1,IF(REGEXMATCH(C1018,""Sell_""),IF(COUNTIF(C$4:C1018,SUBSTITUTE(C1018,""Sell_"",""""))-COUNTIF(C$4:C1017,C1018)&lt;1,1),FALSE))))"),"")</f>
        <v/>
      </c>
      <c r="E1018" s="59" t="str">
        <f t="array" ref="E1018">IF(COUNTA(C1018:C1350)=0,"",SUM((COUNTIF(C$4:C1018,Upgrades!$B$3:$B$13)-COUNTIF(C$4:C1018,"Sell_"&amp;Upgrades!$B$3:$B$13))*Upgrades!$D$3:$D$13))</f>
        <v/>
      </c>
      <c r="F1018" s="66" t="str">
        <f>IFERROR(__xludf.DUMMYFUNCTION("IF(COUNTA(C1018:C1350)=0,"""",IF(REGEXMATCH(INDEX(FILTER(C$4:C1018,C$4:C1018&lt;&gt;""""),ROWS(FILTER(C$4:C1018,C$4:C1018&lt;&gt;""""))),""^Sell_""),INDEX(FILTER(F$4:F1017,C$4:C1017&lt;&gt;""""),ROWS(FILTER(C$4:C1017,C$4:C1017&lt;&gt;""""))),$AC$5+E1018))"),"")</f>
        <v/>
      </c>
      <c r="G1018" s="10" t="str">
        <f>IFERROR(__xludf.DUMMYFUNCTION("IF(COUNTA(C1018:C1350)=0,"""",IF(C1018="""",0,IF(REGEXMATCH(C1018,""^Sell_""),-ROUNDDOWN(ROUNDUP(INDEX(Upgrades!$C$3:$C$13,MATCH(SUBSTITUTE(C1018,""Sell_"",""""),Upgrades!$B$3:$B$13,0))*1.15^(COUNTIF(C$4:C1017,SUBSTITUTE(C1018,""Sell_"",""""))-COUNTIF(C$4"&amp;":C1017,""Sell_""&amp;SUBSTITUTE(C1018,""Sell_"",""""))))/2),ROUNDUP(INDEX(Upgrades!$C$3:$C$13,MATCH(C1018,Upgrades!$B$3:$B$13,0))*1.15^(COUNTIF(C$4:C1017,C1018)-COUNTIF(C$4:C1017,""Sell_""&amp;C1018))))))"),"")</f>
        <v/>
      </c>
      <c r="H1018" s="10" t="str">
        <f t="shared" si="3"/>
        <v/>
      </c>
      <c r="I1018" s="68" t="str">
        <f t="shared" si="4"/>
        <v/>
      </c>
      <c r="J1018" s="59" t="str">
        <f t="shared" si="5"/>
        <v/>
      </c>
      <c r="K1018" s="69" t="str">
        <f t="shared" si="6"/>
        <v/>
      </c>
      <c r="L1018" s="60" t="str">
        <f t="shared" si="7"/>
        <v/>
      </c>
      <c r="M1018" s="61" t="str">
        <f>IFERROR(__xludf.DUMMYFUNCTION("IFS(AND(COUNTA(C1018:C1350)=0,COUNTA(Q1018:Q1350)=0),"""",OR(AND(K1018&gt;=1000000000,OR(Y1018&gt;=1000000000,COUNTA(Q1018:Q1350)=0)),OR(Y1018&gt;=1000000000,AND(COUNTA(C1018:C1350)=0,P$3=TRUE))),
ROUNDDOWN((AB$1-AC$1)*MAX(INDEX(T$4:T1350,MATCH(LARGE(FILTER(Y$4:Y1"&amp;"350,Y$4:Y1350&lt;1000000000),1),Y$4:Y1350)),INDEX(F$4:F1350,MATCH(LARGE(FILTER(K$4:K1350,K$4:K1350&lt;1000000000),1),K$4:K1350)))),AND(K1018&lt;1000000000,COUNTA(C1018:C1350)&gt;0,P$3=FALSE),
ROUNDDOWN(INDEX(Y$4:Y1350,MATCH(LARGE(FILTER(W$4:W1350,W$4:W1350&lt;=I1018),1)"&amp;",W$4:W1350))+(I1018-LARGE(FILTER(W$4:W1350,W$4:W1350&lt;=I1018),1))*INDEX(T$4:T1350,MATCH(LARGE(FILTER(W$4:W1350,W$4:W1350&lt;=I1018),1),W$4:W1350))-K1018),1,
ROUNDDOWN(Y1018-INDEX(K$4:K1350,MATCH(LARGE(FILTER(I$4:I1350,I$4:I1350&lt;=W1018),1),I$4:I1350))-(W1018-L"&amp;"ARGE(FILTER(I$4:I1350,I$4:I1350&lt;=W1018),1))*INDEX(F$4:F1350,MATCH(LARGE(FILTER(I$4:I1350,I$4:I1350&lt;=W1018),1),I$4:I1350))))"),"")</f>
        <v/>
      </c>
      <c r="N1018" s="60" t="str">
        <f t="shared" si="8"/>
        <v/>
      </c>
      <c r="O1018" s="61" t="str">
        <f t="shared" si="9"/>
        <v/>
      </c>
      <c r="P1018" s="56" t="str">
        <f t="shared" si="10"/>
        <v/>
      </c>
      <c r="Q1018" s="62"/>
      <c r="R1018" s="10" t="str">
        <f>IFERROR(__xludf.DUMMYFUNCTION("IF(COUNTA(Q1018:Q1350)=0,"""",IF(ISBLANK(Q1018),FALSE,IF(NOT(COUNTIF($AA$24:$AA$34,SUBSTITUTE(Q1018,""Sell_"",""""))),1,IF(REGEXMATCH(Q1018,""Sell_""),IF(COUNTIF(Q$4:Q1018,SUBSTITUTE(Q1018,""Sell_"",""""))-COUNTIF(Q$4:Q1017,Q1018)&lt;1,1),FALSE))))"),"")</f>
        <v/>
      </c>
      <c r="S1018" s="59" t="str">
        <f t="array" ref="S1018">IF(COUNTA(Q1018:Q1350)=0,"",SUM((COUNTIF(Q$4:Q1018,Upgrades!$B$3:$B$13)-COUNTIF(Q$4:Q1018,"Sell_"&amp;Upgrades!$B$3:$B$13))*Upgrades!$D$3:$D$13))</f>
        <v/>
      </c>
      <c r="T1018" s="66" t="str">
        <f>IFERROR(__xludf.DUMMYFUNCTION("IF(COUNTA(Q1018:Q1350)=0,"""",IF(REGEXMATCH(INDEX(FILTER(Q$4:Q1018,Q$4:Q1018&lt;&gt;""""),ROWS(FILTER(Q$4:Q1018,Q$4:Q1018&lt;&gt;""""))),""^Sell_""),INDEX(FILTER(T$4:T1017,Q$4:Q1017&lt;&gt;""""),ROWS(FILTER(Q$4:Q1017,Q$4:Q1017&lt;&gt;""""))),$AD$5+S1018))"),"")</f>
        <v/>
      </c>
      <c r="U1018" s="10" t="str">
        <f>IFERROR(__xludf.DUMMYFUNCTION("IF(COUNTA(Q1018:Q1350)=0,"""",IF(Q1018="""",0,IF(REGEXMATCH(Q1018,""^Sell_""),-ROUNDDOWN(ROUNDUP(INDEX(Upgrades!$C$3:$C$13,MATCH(SUBSTITUTE(Q1018,""Sell_"",""""),Upgrades!$B$3:$B$13,0))*1.15^(COUNTIF(Q$4:Q1017,SUBSTITUTE(Q1018,""Sell_"",""""))-COUNTIF(Q$4"&amp;":Q1017,""Sell_""&amp;SUBSTITUTE(Q1018,""Sell_"",""""))))/2),ROUNDUP(INDEX(Upgrades!$C$3:$C$13,MATCH(Q1018,Upgrades!$B$3:$B$13,0))*1.15^(COUNTIF(Q$4:Q1017,Q1018)-COUNTIF(Q$4:Q1017,""Sell_""&amp;Q1018))))))"),"")</f>
        <v/>
      </c>
      <c r="V1018" s="10" t="str">
        <f t="shared" si="11"/>
        <v/>
      </c>
      <c r="W1018" s="68" t="str">
        <f t="shared" si="12"/>
        <v/>
      </c>
      <c r="X1018" s="59" t="str">
        <f t="shared" si="13"/>
        <v/>
      </c>
      <c r="Y1018" s="69" t="str">
        <f t="shared" si="14"/>
        <v/>
      </c>
      <c r="Z1018" s="11"/>
    </row>
    <row r="1019">
      <c r="A1019" s="8"/>
      <c r="B1019" s="56" t="str">
        <f t="shared" si="2"/>
        <v/>
      </c>
      <c r="C1019" s="57"/>
      <c r="D1019" s="10" t="str">
        <f>IFERROR(__xludf.DUMMYFUNCTION("IF(COUNTA(C1019:C1350)=0,"""",IF(ISBLANK(C1019),FALSE,IF(NOT(COUNTIF($AA$24:$AA$34,SUBSTITUTE(C1019,""Sell_"",""""))),1,IF(REGEXMATCH(C1019,""Sell_""),IF(COUNTIF(C$4:C1019,SUBSTITUTE(C1019,""Sell_"",""""))-COUNTIF(C$4:C1018,C1019)&lt;1,1),FALSE))))"),"")</f>
        <v/>
      </c>
      <c r="E1019" s="59" t="str">
        <f t="array" ref="E1019">IF(COUNTA(C1019:C1350)=0,"",SUM((COUNTIF(C$4:C1019,Upgrades!$B$3:$B$13)-COUNTIF(C$4:C1019,"Sell_"&amp;Upgrades!$B$3:$B$13))*Upgrades!$D$3:$D$13))</f>
        <v/>
      </c>
      <c r="F1019" s="66" t="str">
        <f>IFERROR(__xludf.DUMMYFUNCTION("IF(COUNTA(C1019:C1350)=0,"""",IF(REGEXMATCH(INDEX(FILTER(C$4:C1019,C$4:C1019&lt;&gt;""""),ROWS(FILTER(C$4:C1019,C$4:C1019&lt;&gt;""""))),""^Sell_""),INDEX(FILTER(F$4:F1018,C$4:C1018&lt;&gt;""""),ROWS(FILTER(C$4:C1018,C$4:C1018&lt;&gt;""""))),$AC$5+E1019))"),"")</f>
        <v/>
      </c>
      <c r="G1019" s="10" t="str">
        <f>IFERROR(__xludf.DUMMYFUNCTION("IF(COUNTA(C1019:C1350)=0,"""",IF(C1019="""",0,IF(REGEXMATCH(C1019,""^Sell_""),-ROUNDDOWN(ROUNDUP(INDEX(Upgrades!$C$3:$C$13,MATCH(SUBSTITUTE(C1019,""Sell_"",""""),Upgrades!$B$3:$B$13,0))*1.15^(COUNTIF(C$4:C1018,SUBSTITUTE(C1019,""Sell_"",""""))-COUNTIF(C$4"&amp;":C1018,""Sell_""&amp;SUBSTITUTE(C1019,""Sell_"",""""))))/2),ROUNDUP(INDEX(Upgrades!$C$3:$C$13,MATCH(C1019,Upgrades!$B$3:$B$13,0))*1.15^(COUNTIF(C$4:C1018,C1019)-COUNTIF(C$4:C1018,""Sell_""&amp;C1019))))))"),"")</f>
        <v/>
      </c>
      <c r="H1019" s="10" t="str">
        <f t="shared" si="3"/>
        <v/>
      </c>
      <c r="I1019" s="68" t="str">
        <f t="shared" si="4"/>
        <v/>
      </c>
      <c r="J1019" s="59" t="str">
        <f t="shared" si="5"/>
        <v/>
      </c>
      <c r="K1019" s="69" t="str">
        <f t="shared" si="6"/>
        <v/>
      </c>
      <c r="L1019" s="60" t="str">
        <f t="shared" si="7"/>
        <v/>
      </c>
      <c r="M1019" s="61" t="str">
        <f>IFERROR(__xludf.DUMMYFUNCTION("IFS(AND(COUNTA(C1019:C1350)=0,COUNTA(Q1019:Q1350)=0),"""",OR(AND(K1019&gt;=1000000000,OR(Y1019&gt;=1000000000,COUNTA(Q1019:Q1350)=0)),OR(Y1019&gt;=1000000000,AND(COUNTA(C1019:C1350)=0,P$3=TRUE))),
ROUNDDOWN((AB$1-AC$1)*MAX(INDEX(T$4:T1350,MATCH(LARGE(FILTER(Y$4:Y1"&amp;"350,Y$4:Y1350&lt;1000000000),1),Y$4:Y1350)),INDEX(F$4:F1350,MATCH(LARGE(FILTER(K$4:K1350,K$4:K1350&lt;1000000000),1),K$4:K1350)))),AND(K1019&lt;1000000000,COUNTA(C1019:C1350)&gt;0,P$3=FALSE),
ROUNDDOWN(INDEX(Y$4:Y1350,MATCH(LARGE(FILTER(W$4:W1350,W$4:W1350&lt;=I1019),1)"&amp;",W$4:W1350))+(I1019-LARGE(FILTER(W$4:W1350,W$4:W1350&lt;=I1019),1))*INDEX(T$4:T1350,MATCH(LARGE(FILTER(W$4:W1350,W$4:W1350&lt;=I1019),1),W$4:W1350))-K1019),1,
ROUNDDOWN(Y1019-INDEX(K$4:K1350,MATCH(LARGE(FILTER(I$4:I1350,I$4:I1350&lt;=W1019),1),I$4:I1350))-(W1019-L"&amp;"ARGE(FILTER(I$4:I1350,I$4:I1350&lt;=W1019),1))*INDEX(F$4:F1350,MATCH(LARGE(FILTER(I$4:I1350,I$4:I1350&lt;=W1019),1),I$4:I1350))))"),"")</f>
        <v/>
      </c>
      <c r="N1019" s="60" t="str">
        <f t="shared" si="8"/>
        <v/>
      </c>
      <c r="O1019" s="61" t="str">
        <f t="shared" si="9"/>
        <v/>
      </c>
      <c r="P1019" s="56" t="str">
        <f t="shared" si="10"/>
        <v/>
      </c>
      <c r="Q1019" s="62"/>
      <c r="R1019" s="10" t="str">
        <f>IFERROR(__xludf.DUMMYFUNCTION("IF(COUNTA(Q1019:Q1350)=0,"""",IF(ISBLANK(Q1019),FALSE,IF(NOT(COUNTIF($AA$24:$AA$34,SUBSTITUTE(Q1019,""Sell_"",""""))),1,IF(REGEXMATCH(Q1019,""Sell_""),IF(COUNTIF(Q$4:Q1019,SUBSTITUTE(Q1019,""Sell_"",""""))-COUNTIF(Q$4:Q1018,Q1019)&lt;1,1),FALSE))))"),"")</f>
        <v/>
      </c>
      <c r="S1019" s="59" t="str">
        <f t="array" ref="S1019">IF(COUNTA(Q1019:Q1350)=0,"",SUM((COUNTIF(Q$4:Q1019,Upgrades!$B$3:$B$13)-COUNTIF(Q$4:Q1019,"Sell_"&amp;Upgrades!$B$3:$B$13))*Upgrades!$D$3:$D$13))</f>
        <v/>
      </c>
      <c r="T1019" s="66" t="str">
        <f>IFERROR(__xludf.DUMMYFUNCTION("IF(COUNTA(Q1019:Q1350)=0,"""",IF(REGEXMATCH(INDEX(FILTER(Q$4:Q1019,Q$4:Q1019&lt;&gt;""""),ROWS(FILTER(Q$4:Q1019,Q$4:Q1019&lt;&gt;""""))),""^Sell_""),INDEX(FILTER(T$4:T1018,Q$4:Q1018&lt;&gt;""""),ROWS(FILTER(Q$4:Q1018,Q$4:Q1018&lt;&gt;""""))),$AD$5+S1019))"),"")</f>
        <v/>
      </c>
      <c r="U1019" s="10" t="str">
        <f>IFERROR(__xludf.DUMMYFUNCTION("IF(COUNTA(Q1019:Q1350)=0,"""",IF(Q1019="""",0,IF(REGEXMATCH(Q1019,""^Sell_""),-ROUNDDOWN(ROUNDUP(INDEX(Upgrades!$C$3:$C$13,MATCH(SUBSTITUTE(Q1019,""Sell_"",""""),Upgrades!$B$3:$B$13,0))*1.15^(COUNTIF(Q$4:Q1018,SUBSTITUTE(Q1019,""Sell_"",""""))-COUNTIF(Q$4"&amp;":Q1018,""Sell_""&amp;SUBSTITUTE(Q1019,""Sell_"",""""))))/2),ROUNDUP(INDEX(Upgrades!$C$3:$C$13,MATCH(Q1019,Upgrades!$B$3:$B$13,0))*1.15^(COUNTIF(Q$4:Q1018,Q1019)-COUNTIF(Q$4:Q1018,""Sell_""&amp;Q1019))))))"),"")</f>
        <v/>
      </c>
      <c r="V1019" s="10" t="str">
        <f t="shared" si="11"/>
        <v/>
      </c>
      <c r="W1019" s="68" t="str">
        <f t="shared" si="12"/>
        <v/>
      </c>
      <c r="X1019" s="59" t="str">
        <f t="shared" si="13"/>
        <v/>
      </c>
      <c r="Y1019" s="69" t="str">
        <f t="shared" si="14"/>
        <v/>
      </c>
      <c r="Z1019" s="11"/>
    </row>
    <row r="1020">
      <c r="A1020" s="8"/>
      <c r="B1020" s="56" t="str">
        <f t="shared" si="2"/>
        <v/>
      </c>
      <c r="C1020" s="57"/>
      <c r="D1020" s="10" t="str">
        <f>IFERROR(__xludf.DUMMYFUNCTION("IF(COUNTA(C1020:C1350)=0,"""",IF(ISBLANK(C1020),FALSE,IF(NOT(COUNTIF($AA$24:$AA$34,SUBSTITUTE(C1020,""Sell_"",""""))),1,IF(REGEXMATCH(C1020,""Sell_""),IF(COUNTIF(C$4:C1020,SUBSTITUTE(C1020,""Sell_"",""""))-COUNTIF(C$4:C1019,C1020)&lt;1,1),FALSE))))"),"")</f>
        <v/>
      </c>
      <c r="E1020" s="59" t="str">
        <f t="array" ref="E1020">IF(COUNTA(C1020:C1350)=0,"",SUM((COUNTIF(C$4:C1020,Upgrades!$B$3:$B$13)-COUNTIF(C$4:C1020,"Sell_"&amp;Upgrades!$B$3:$B$13))*Upgrades!$D$3:$D$13))</f>
        <v/>
      </c>
      <c r="F1020" s="66" t="str">
        <f>IFERROR(__xludf.DUMMYFUNCTION("IF(COUNTA(C1020:C1350)=0,"""",IF(REGEXMATCH(INDEX(FILTER(C$4:C1020,C$4:C1020&lt;&gt;""""),ROWS(FILTER(C$4:C1020,C$4:C1020&lt;&gt;""""))),""^Sell_""),INDEX(FILTER(F$4:F1019,C$4:C1019&lt;&gt;""""),ROWS(FILTER(C$4:C1019,C$4:C1019&lt;&gt;""""))),$AC$5+E1020))"),"")</f>
        <v/>
      </c>
      <c r="G1020" s="10" t="str">
        <f>IFERROR(__xludf.DUMMYFUNCTION("IF(COUNTA(C1020:C1350)=0,"""",IF(C1020="""",0,IF(REGEXMATCH(C1020,""^Sell_""),-ROUNDDOWN(ROUNDUP(INDEX(Upgrades!$C$3:$C$13,MATCH(SUBSTITUTE(C1020,""Sell_"",""""),Upgrades!$B$3:$B$13,0))*1.15^(COUNTIF(C$4:C1019,SUBSTITUTE(C1020,""Sell_"",""""))-COUNTIF(C$4"&amp;":C1019,""Sell_""&amp;SUBSTITUTE(C1020,""Sell_"",""""))))/2),ROUNDUP(INDEX(Upgrades!$C$3:$C$13,MATCH(C1020,Upgrades!$B$3:$B$13,0))*1.15^(COUNTIF(C$4:C1019,C1020)-COUNTIF(C$4:C1019,""Sell_""&amp;C1020))))))"),"")</f>
        <v/>
      </c>
      <c r="H1020" s="10" t="str">
        <f t="shared" si="3"/>
        <v/>
      </c>
      <c r="I1020" s="68" t="str">
        <f t="shared" si="4"/>
        <v/>
      </c>
      <c r="J1020" s="59" t="str">
        <f t="shared" si="5"/>
        <v/>
      </c>
      <c r="K1020" s="69" t="str">
        <f t="shared" si="6"/>
        <v/>
      </c>
      <c r="L1020" s="60" t="str">
        <f t="shared" si="7"/>
        <v/>
      </c>
      <c r="M1020" s="61" t="str">
        <f>IFERROR(__xludf.DUMMYFUNCTION("IFS(AND(COUNTA(C1020:C1350)=0,COUNTA(Q1020:Q1350)=0),"""",OR(AND(K1020&gt;=1000000000,OR(Y1020&gt;=1000000000,COUNTA(Q1020:Q1350)=0)),OR(Y1020&gt;=1000000000,AND(COUNTA(C1020:C1350)=0,P$3=TRUE))),
ROUNDDOWN((AB$1-AC$1)*MAX(INDEX(T$4:T1350,MATCH(LARGE(FILTER(Y$4:Y1"&amp;"350,Y$4:Y1350&lt;1000000000),1),Y$4:Y1350)),INDEX(F$4:F1350,MATCH(LARGE(FILTER(K$4:K1350,K$4:K1350&lt;1000000000),1),K$4:K1350)))),AND(K1020&lt;1000000000,COUNTA(C1020:C1350)&gt;0,P$3=FALSE),
ROUNDDOWN(INDEX(Y$4:Y1350,MATCH(LARGE(FILTER(W$4:W1350,W$4:W1350&lt;=I1020),1)"&amp;",W$4:W1350))+(I1020-LARGE(FILTER(W$4:W1350,W$4:W1350&lt;=I1020),1))*INDEX(T$4:T1350,MATCH(LARGE(FILTER(W$4:W1350,W$4:W1350&lt;=I1020),1),W$4:W1350))-K1020),1,
ROUNDDOWN(Y1020-INDEX(K$4:K1350,MATCH(LARGE(FILTER(I$4:I1350,I$4:I1350&lt;=W1020),1),I$4:I1350))-(W1020-L"&amp;"ARGE(FILTER(I$4:I1350,I$4:I1350&lt;=W1020),1))*INDEX(F$4:F1350,MATCH(LARGE(FILTER(I$4:I1350,I$4:I1350&lt;=W1020),1),I$4:I1350))))"),"")</f>
        <v/>
      </c>
      <c r="N1020" s="60" t="str">
        <f t="shared" si="8"/>
        <v/>
      </c>
      <c r="O1020" s="61" t="str">
        <f t="shared" si="9"/>
        <v/>
      </c>
      <c r="P1020" s="56" t="str">
        <f t="shared" si="10"/>
        <v/>
      </c>
      <c r="Q1020" s="62"/>
      <c r="R1020" s="10" t="str">
        <f>IFERROR(__xludf.DUMMYFUNCTION("IF(COUNTA(Q1020:Q1350)=0,"""",IF(ISBLANK(Q1020),FALSE,IF(NOT(COUNTIF($AA$24:$AA$34,SUBSTITUTE(Q1020,""Sell_"",""""))),1,IF(REGEXMATCH(Q1020,""Sell_""),IF(COUNTIF(Q$4:Q1020,SUBSTITUTE(Q1020,""Sell_"",""""))-COUNTIF(Q$4:Q1019,Q1020)&lt;1,1),FALSE))))"),"")</f>
        <v/>
      </c>
      <c r="S1020" s="59" t="str">
        <f t="array" ref="S1020">IF(COUNTA(Q1020:Q1350)=0,"",SUM((COUNTIF(Q$4:Q1020,Upgrades!$B$3:$B$13)-COUNTIF(Q$4:Q1020,"Sell_"&amp;Upgrades!$B$3:$B$13))*Upgrades!$D$3:$D$13))</f>
        <v/>
      </c>
      <c r="T1020" s="66" t="str">
        <f>IFERROR(__xludf.DUMMYFUNCTION("IF(COUNTA(Q1020:Q1350)=0,"""",IF(REGEXMATCH(INDEX(FILTER(Q$4:Q1020,Q$4:Q1020&lt;&gt;""""),ROWS(FILTER(Q$4:Q1020,Q$4:Q1020&lt;&gt;""""))),""^Sell_""),INDEX(FILTER(T$4:T1019,Q$4:Q1019&lt;&gt;""""),ROWS(FILTER(Q$4:Q1019,Q$4:Q1019&lt;&gt;""""))),$AD$5+S1020))"),"")</f>
        <v/>
      </c>
      <c r="U1020" s="10" t="str">
        <f>IFERROR(__xludf.DUMMYFUNCTION("IF(COUNTA(Q1020:Q1350)=0,"""",IF(Q1020="""",0,IF(REGEXMATCH(Q1020,""^Sell_""),-ROUNDDOWN(ROUNDUP(INDEX(Upgrades!$C$3:$C$13,MATCH(SUBSTITUTE(Q1020,""Sell_"",""""),Upgrades!$B$3:$B$13,0))*1.15^(COUNTIF(Q$4:Q1019,SUBSTITUTE(Q1020,""Sell_"",""""))-COUNTIF(Q$4"&amp;":Q1019,""Sell_""&amp;SUBSTITUTE(Q1020,""Sell_"",""""))))/2),ROUNDUP(INDEX(Upgrades!$C$3:$C$13,MATCH(Q1020,Upgrades!$B$3:$B$13,0))*1.15^(COUNTIF(Q$4:Q1019,Q1020)-COUNTIF(Q$4:Q1019,""Sell_""&amp;Q1020))))))"),"")</f>
        <v/>
      </c>
      <c r="V1020" s="10" t="str">
        <f t="shared" si="11"/>
        <v/>
      </c>
      <c r="W1020" s="68" t="str">
        <f t="shared" si="12"/>
        <v/>
      </c>
      <c r="X1020" s="59" t="str">
        <f t="shared" si="13"/>
        <v/>
      </c>
      <c r="Y1020" s="69" t="str">
        <f t="shared" si="14"/>
        <v/>
      </c>
      <c r="Z1020" s="11"/>
    </row>
    <row r="1021">
      <c r="A1021" s="8"/>
      <c r="B1021" s="56" t="str">
        <f t="shared" si="2"/>
        <v/>
      </c>
      <c r="C1021" s="57"/>
      <c r="D1021" s="10" t="str">
        <f>IFERROR(__xludf.DUMMYFUNCTION("IF(COUNTA(C1021:C1350)=0,"""",IF(ISBLANK(C1021),FALSE,IF(NOT(COUNTIF($AA$24:$AA$34,SUBSTITUTE(C1021,""Sell_"",""""))),1,IF(REGEXMATCH(C1021,""Sell_""),IF(COUNTIF(C$4:C1021,SUBSTITUTE(C1021,""Sell_"",""""))-COUNTIF(C$4:C1020,C1021)&lt;1,1),FALSE))))"),"")</f>
        <v/>
      </c>
      <c r="E1021" s="59" t="str">
        <f t="array" ref="E1021">IF(COUNTA(C1021:C1350)=0,"",SUM((COUNTIF(C$4:C1021,Upgrades!$B$3:$B$13)-COUNTIF(C$4:C1021,"Sell_"&amp;Upgrades!$B$3:$B$13))*Upgrades!$D$3:$D$13))</f>
        <v/>
      </c>
      <c r="F1021" s="66" t="str">
        <f>IFERROR(__xludf.DUMMYFUNCTION("IF(COUNTA(C1021:C1350)=0,"""",IF(REGEXMATCH(INDEX(FILTER(C$4:C1021,C$4:C1021&lt;&gt;""""),ROWS(FILTER(C$4:C1021,C$4:C1021&lt;&gt;""""))),""^Sell_""),INDEX(FILTER(F$4:F1020,C$4:C1020&lt;&gt;""""),ROWS(FILTER(C$4:C1020,C$4:C1020&lt;&gt;""""))),$AC$5+E1021))"),"")</f>
        <v/>
      </c>
      <c r="G1021" s="10" t="str">
        <f>IFERROR(__xludf.DUMMYFUNCTION("IF(COUNTA(C1021:C1350)=0,"""",IF(C1021="""",0,IF(REGEXMATCH(C1021,""^Sell_""),-ROUNDDOWN(ROUNDUP(INDEX(Upgrades!$C$3:$C$13,MATCH(SUBSTITUTE(C1021,""Sell_"",""""),Upgrades!$B$3:$B$13,0))*1.15^(COUNTIF(C$4:C1020,SUBSTITUTE(C1021,""Sell_"",""""))-COUNTIF(C$4"&amp;":C1020,""Sell_""&amp;SUBSTITUTE(C1021,""Sell_"",""""))))/2),ROUNDUP(INDEX(Upgrades!$C$3:$C$13,MATCH(C1021,Upgrades!$B$3:$B$13,0))*1.15^(COUNTIF(C$4:C1020,C1021)-COUNTIF(C$4:C1020,""Sell_""&amp;C1021))))))"),"")</f>
        <v/>
      </c>
      <c r="H1021" s="10" t="str">
        <f t="shared" si="3"/>
        <v/>
      </c>
      <c r="I1021" s="68" t="str">
        <f t="shared" si="4"/>
        <v/>
      </c>
      <c r="J1021" s="59" t="str">
        <f t="shared" si="5"/>
        <v/>
      </c>
      <c r="K1021" s="69" t="str">
        <f t="shared" si="6"/>
        <v/>
      </c>
      <c r="L1021" s="60" t="str">
        <f t="shared" si="7"/>
        <v/>
      </c>
      <c r="M1021" s="61" t="str">
        <f>IFERROR(__xludf.DUMMYFUNCTION("IFS(AND(COUNTA(C1021:C1350)=0,COUNTA(Q1021:Q1350)=0),"""",OR(AND(K1021&gt;=1000000000,OR(Y1021&gt;=1000000000,COUNTA(Q1021:Q1350)=0)),OR(Y1021&gt;=1000000000,AND(COUNTA(C1021:C1350)=0,P$3=TRUE))),
ROUNDDOWN((AB$1-AC$1)*MAX(INDEX(T$4:T1350,MATCH(LARGE(FILTER(Y$4:Y1"&amp;"350,Y$4:Y1350&lt;1000000000),1),Y$4:Y1350)),INDEX(F$4:F1350,MATCH(LARGE(FILTER(K$4:K1350,K$4:K1350&lt;1000000000),1),K$4:K1350)))),AND(K1021&lt;1000000000,COUNTA(C1021:C1350)&gt;0,P$3=FALSE),
ROUNDDOWN(INDEX(Y$4:Y1350,MATCH(LARGE(FILTER(W$4:W1350,W$4:W1350&lt;=I1021),1)"&amp;",W$4:W1350))+(I1021-LARGE(FILTER(W$4:W1350,W$4:W1350&lt;=I1021),1))*INDEX(T$4:T1350,MATCH(LARGE(FILTER(W$4:W1350,W$4:W1350&lt;=I1021),1),W$4:W1350))-K1021),1,
ROUNDDOWN(Y1021-INDEX(K$4:K1350,MATCH(LARGE(FILTER(I$4:I1350,I$4:I1350&lt;=W1021),1),I$4:I1350))-(W1021-L"&amp;"ARGE(FILTER(I$4:I1350,I$4:I1350&lt;=W1021),1))*INDEX(F$4:F1350,MATCH(LARGE(FILTER(I$4:I1350,I$4:I1350&lt;=W1021),1),I$4:I1350))))"),"")</f>
        <v/>
      </c>
      <c r="N1021" s="60" t="str">
        <f t="shared" si="8"/>
        <v/>
      </c>
      <c r="O1021" s="61" t="str">
        <f t="shared" si="9"/>
        <v/>
      </c>
      <c r="P1021" s="56" t="str">
        <f t="shared" si="10"/>
        <v/>
      </c>
      <c r="Q1021" s="62"/>
      <c r="R1021" s="10" t="str">
        <f>IFERROR(__xludf.DUMMYFUNCTION("IF(COUNTA(Q1021:Q1350)=0,"""",IF(ISBLANK(Q1021),FALSE,IF(NOT(COUNTIF($AA$24:$AA$34,SUBSTITUTE(Q1021,""Sell_"",""""))),1,IF(REGEXMATCH(Q1021,""Sell_""),IF(COUNTIF(Q$4:Q1021,SUBSTITUTE(Q1021,""Sell_"",""""))-COUNTIF(Q$4:Q1020,Q1021)&lt;1,1),FALSE))))"),"")</f>
        <v/>
      </c>
      <c r="S1021" s="59" t="str">
        <f t="array" ref="S1021">IF(COUNTA(Q1021:Q1350)=0,"",SUM((COUNTIF(Q$4:Q1021,Upgrades!$B$3:$B$13)-COUNTIF(Q$4:Q1021,"Sell_"&amp;Upgrades!$B$3:$B$13))*Upgrades!$D$3:$D$13))</f>
        <v/>
      </c>
      <c r="T1021" s="66" t="str">
        <f>IFERROR(__xludf.DUMMYFUNCTION("IF(COUNTA(Q1021:Q1350)=0,"""",IF(REGEXMATCH(INDEX(FILTER(Q$4:Q1021,Q$4:Q1021&lt;&gt;""""),ROWS(FILTER(Q$4:Q1021,Q$4:Q1021&lt;&gt;""""))),""^Sell_""),INDEX(FILTER(T$4:T1020,Q$4:Q1020&lt;&gt;""""),ROWS(FILTER(Q$4:Q1020,Q$4:Q1020&lt;&gt;""""))),$AD$5+S1021))"),"")</f>
        <v/>
      </c>
      <c r="U1021" s="10" t="str">
        <f>IFERROR(__xludf.DUMMYFUNCTION("IF(COUNTA(Q1021:Q1350)=0,"""",IF(Q1021="""",0,IF(REGEXMATCH(Q1021,""^Sell_""),-ROUNDDOWN(ROUNDUP(INDEX(Upgrades!$C$3:$C$13,MATCH(SUBSTITUTE(Q1021,""Sell_"",""""),Upgrades!$B$3:$B$13,0))*1.15^(COUNTIF(Q$4:Q1020,SUBSTITUTE(Q1021,""Sell_"",""""))-COUNTIF(Q$4"&amp;":Q1020,""Sell_""&amp;SUBSTITUTE(Q1021,""Sell_"",""""))))/2),ROUNDUP(INDEX(Upgrades!$C$3:$C$13,MATCH(Q1021,Upgrades!$B$3:$B$13,0))*1.15^(COUNTIF(Q$4:Q1020,Q1021)-COUNTIF(Q$4:Q1020,""Sell_""&amp;Q1021))))))"),"")</f>
        <v/>
      </c>
      <c r="V1021" s="10" t="str">
        <f t="shared" si="11"/>
        <v/>
      </c>
      <c r="W1021" s="68" t="str">
        <f t="shared" si="12"/>
        <v/>
      </c>
      <c r="X1021" s="59" t="str">
        <f t="shared" si="13"/>
        <v/>
      </c>
      <c r="Y1021" s="69" t="str">
        <f t="shared" si="14"/>
        <v/>
      </c>
      <c r="Z1021" s="11"/>
    </row>
    <row r="1022">
      <c r="A1022" s="8"/>
      <c r="B1022" s="56" t="str">
        <f t="shared" si="2"/>
        <v/>
      </c>
      <c r="C1022" s="57"/>
      <c r="D1022" s="10" t="str">
        <f>IFERROR(__xludf.DUMMYFUNCTION("IF(COUNTA(C1022:C1350)=0,"""",IF(ISBLANK(C1022),FALSE,IF(NOT(COUNTIF($AA$24:$AA$34,SUBSTITUTE(C1022,""Sell_"",""""))),1,IF(REGEXMATCH(C1022,""Sell_""),IF(COUNTIF(C$4:C1022,SUBSTITUTE(C1022,""Sell_"",""""))-COUNTIF(C$4:C1021,C1022)&lt;1,1),FALSE))))"),"")</f>
        <v/>
      </c>
      <c r="E1022" s="59" t="str">
        <f t="array" ref="E1022">IF(COUNTA(C1022:C1350)=0,"",SUM((COUNTIF(C$4:C1022,Upgrades!$B$3:$B$13)-COUNTIF(C$4:C1022,"Sell_"&amp;Upgrades!$B$3:$B$13))*Upgrades!$D$3:$D$13))</f>
        <v/>
      </c>
      <c r="F1022" s="66" t="str">
        <f>IFERROR(__xludf.DUMMYFUNCTION("IF(COUNTA(C1022:C1350)=0,"""",IF(REGEXMATCH(INDEX(FILTER(C$4:C1022,C$4:C1022&lt;&gt;""""),ROWS(FILTER(C$4:C1022,C$4:C1022&lt;&gt;""""))),""^Sell_""),INDEX(FILTER(F$4:F1021,C$4:C1021&lt;&gt;""""),ROWS(FILTER(C$4:C1021,C$4:C1021&lt;&gt;""""))),$AC$5+E1022))"),"")</f>
        <v/>
      </c>
      <c r="G1022" s="10" t="str">
        <f>IFERROR(__xludf.DUMMYFUNCTION("IF(COUNTA(C1022:C1350)=0,"""",IF(C1022="""",0,IF(REGEXMATCH(C1022,""^Sell_""),-ROUNDDOWN(ROUNDUP(INDEX(Upgrades!$C$3:$C$13,MATCH(SUBSTITUTE(C1022,""Sell_"",""""),Upgrades!$B$3:$B$13,0))*1.15^(COUNTIF(C$4:C1021,SUBSTITUTE(C1022,""Sell_"",""""))-COUNTIF(C$4"&amp;":C1021,""Sell_""&amp;SUBSTITUTE(C1022,""Sell_"",""""))))/2),ROUNDUP(INDEX(Upgrades!$C$3:$C$13,MATCH(C1022,Upgrades!$B$3:$B$13,0))*1.15^(COUNTIF(C$4:C1021,C1022)-COUNTIF(C$4:C1021,""Sell_""&amp;C1022))))))"),"")</f>
        <v/>
      </c>
      <c r="H1022" s="10" t="str">
        <f t="shared" si="3"/>
        <v/>
      </c>
      <c r="I1022" s="68" t="str">
        <f t="shared" si="4"/>
        <v/>
      </c>
      <c r="J1022" s="59" t="str">
        <f t="shared" si="5"/>
        <v/>
      </c>
      <c r="K1022" s="69" t="str">
        <f t="shared" si="6"/>
        <v/>
      </c>
      <c r="L1022" s="60" t="str">
        <f t="shared" si="7"/>
        <v/>
      </c>
      <c r="M1022" s="61" t="str">
        <f>IFERROR(__xludf.DUMMYFUNCTION("IFS(AND(COUNTA(C1022:C1350)=0,COUNTA(Q1022:Q1350)=0),"""",OR(AND(K1022&gt;=1000000000,OR(Y1022&gt;=1000000000,COUNTA(Q1022:Q1350)=0)),OR(Y1022&gt;=1000000000,AND(COUNTA(C1022:C1350)=0,P$3=TRUE))),
ROUNDDOWN((AB$1-AC$1)*MAX(INDEX(T$4:T1350,MATCH(LARGE(FILTER(Y$4:Y1"&amp;"350,Y$4:Y1350&lt;1000000000),1),Y$4:Y1350)),INDEX(F$4:F1350,MATCH(LARGE(FILTER(K$4:K1350,K$4:K1350&lt;1000000000),1),K$4:K1350)))),AND(K1022&lt;1000000000,COUNTA(C1022:C1350)&gt;0,P$3=FALSE),
ROUNDDOWN(INDEX(Y$4:Y1350,MATCH(LARGE(FILTER(W$4:W1350,W$4:W1350&lt;=I1022),1)"&amp;",W$4:W1350))+(I1022-LARGE(FILTER(W$4:W1350,W$4:W1350&lt;=I1022),1))*INDEX(T$4:T1350,MATCH(LARGE(FILTER(W$4:W1350,W$4:W1350&lt;=I1022),1),W$4:W1350))-K1022),1,
ROUNDDOWN(Y1022-INDEX(K$4:K1350,MATCH(LARGE(FILTER(I$4:I1350,I$4:I1350&lt;=W1022),1),I$4:I1350))-(W1022-L"&amp;"ARGE(FILTER(I$4:I1350,I$4:I1350&lt;=W1022),1))*INDEX(F$4:F1350,MATCH(LARGE(FILTER(I$4:I1350,I$4:I1350&lt;=W1022),1),I$4:I1350))))"),"")</f>
        <v/>
      </c>
      <c r="N1022" s="60" t="str">
        <f t="shared" si="8"/>
        <v/>
      </c>
      <c r="O1022" s="61" t="str">
        <f t="shared" si="9"/>
        <v/>
      </c>
      <c r="P1022" s="56" t="str">
        <f t="shared" si="10"/>
        <v/>
      </c>
      <c r="Q1022" s="62"/>
      <c r="R1022" s="10" t="str">
        <f>IFERROR(__xludf.DUMMYFUNCTION("IF(COUNTA(Q1022:Q1350)=0,"""",IF(ISBLANK(Q1022),FALSE,IF(NOT(COUNTIF($AA$24:$AA$34,SUBSTITUTE(Q1022,""Sell_"",""""))),1,IF(REGEXMATCH(Q1022,""Sell_""),IF(COUNTIF(Q$4:Q1022,SUBSTITUTE(Q1022,""Sell_"",""""))-COUNTIF(Q$4:Q1021,Q1022)&lt;1,1),FALSE))))"),"")</f>
        <v/>
      </c>
      <c r="S1022" s="59" t="str">
        <f t="array" ref="S1022">IF(COUNTA(Q1022:Q1350)=0,"",SUM((COUNTIF(Q$4:Q1022,Upgrades!$B$3:$B$13)-COUNTIF(Q$4:Q1022,"Sell_"&amp;Upgrades!$B$3:$B$13))*Upgrades!$D$3:$D$13))</f>
        <v/>
      </c>
      <c r="T1022" s="66" t="str">
        <f>IFERROR(__xludf.DUMMYFUNCTION("IF(COUNTA(Q1022:Q1350)=0,"""",IF(REGEXMATCH(INDEX(FILTER(Q$4:Q1022,Q$4:Q1022&lt;&gt;""""),ROWS(FILTER(Q$4:Q1022,Q$4:Q1022&lt;&gt;""""))),""^Sell_""),INDEX(FILTER(T$4:T1021,Q$4:Q1021&lt;&gt;""""),ROWS(FILTER(Q$4:Q1021,Q$4:Q1021&lt;&gt;""""))),$AD$5+S1022))"),"")</f>
        <v/>
      </c>
      <c r="U1022" s="10" t="str">
        <f>IFERROR(__xludf.DUMMYFUNCTION("IF(COUNTA(Q1022:Q1350)=0,"""",IF(Q1022="""",0,IF(REGEXMATCH(Q1022,""^Sell_""),-ROUNDDOWN(ROUNDUP(INDEX(Upgrades!$C$3:$C$13,MATCH(SUBSTITUTE(Q1022,""Sell_"",""""),Upgrades!$B$3:$B$13,0))*1.15^(COUNTIF(Q$4:Q1021,SUBSTITUTE(Q1022,""Sell_"",""""))-COUNTIF(Q$4"&amp;":Q1021,""Sell_""&amp;SUBSTITUTE(Q1022,""Sell_"",""""))))/2),ROUNDUP(INDEX(Upgrades!$C$3:$C$13,MATCH(Q1022,Upgrades!$B$3:$B$13,0))*1.15^(COUNTIF(Q$4:Q1021,Q1022)-COUNTIF(Q$4:Q1021,""Sell_""&amp;Q1022))))))"),"")</f>
        <v/>
      </c>
      <c r="V1022" s="10" t="str">
        <f t="shared" si="11"/>
        <v/>
      </c>
      <c r="W1022" s="68" t="str">
        <f t="shared" si="12"/>
        <v/>
      </c>
      <c r="X1022" s="59" t="str">
        <f t="shared" si="13"/>
        <v/>
      </c>
      <c r="Y1022" s="69" t="str">
        <f t="shared" si="14"/>
        <v/>
      </c>
      <c r="Z1022" s="11"/>
    </row>
    <row r="1023">
      <c r="A1023" s="8"/>
      <c r="B1023" s="56" t="str">
        <f t="shared" si="2"/>
        <v/>
      </c>
      <c r="C1023" s="57"/>
      <c r="D1023" s="10" t="str">
        <f>IFERROR(__xludf.DUMMYFUNCTION("IF(COUNTA(C1023:C1350)=0,"""",IF(ISBLANK(C1023),FALSE,IF(NOT(COUNTIF($AA$24:$AA$34,SUBSTITUTE(C1023,""Sell_"",""""))),1,IF(REGEXMATCH(C1023,""Sell_""),IF(COUNTIF(C$4:C1023,SUBSTITUTE(C1023,""Sell_"",""""))-COUNTIF(C$4:C1022,C1023)&lt;1,1),FALSE))))"),"")</f>
        <v/>
      </c>
      <c r="E1023" s="59" t="str">
        <f t="array" ref="E1023">IF(COUNTA(C1023:C1350)=0,"",SUM((COUNTIF(C$4:C1023,Upgrades!$B$3:$B$13)-COUNTIF(C$4:C1023,"Sell_"&amp;Upgrades!$B$3:$B$13))*Upgrades!$D$3:$D$13))</f>
        <v/>
      </c>
      <c r="F1023" s="66" t="str">
        <f>IFERROR(__xludf.DUMMYFUNCTION("IF(COUNTA(C1023:C1350)=0,"""",IF(REGEXMATCH(INDEX(FILTER(C$4:C1023,C$4:C1023&lt;&gt;""""),ROWS(FILTER(C$4:C1023,C$4:C1023&lt;&gt;""""))),""^Sell_""),INDEX(FILTER(F$4:F1022,C$4:C1022&lt;&gt;""""),ROWS(FILTER(C$4:C1022,C$4:C1022&lt;&gt;""""))),$AC$5+E1023))"),"")</f>
        <v/>
      </c>
      <c r="G1023" s="10" t="str">
        <f>IFERROR(__xludf.DUMMYFUNCTION("IF(COUNTA(C1023:C1350)=0,"""",IF(C1023="""",0,IF(REGEXMATCH(C1023,""^Sell_""),-ROUNDDOWN(ROUNDUP(INDEX(Upgrades!$C$3:$C$13,MATCH(SUBSTITUTE(C1023,""Sell_"",""""),Upgrades!$B$3:$B$13,0))*1.15^(COUNTIF(C$4:C1022,SUBSTITUTE(C1023,""Sell_"",""""))-COUNTIF(C$4"&amp;":C1022,""Sell_""&amp;SUBSTITUTE(C1023,""Sell_"",""""))))/2),ROUNDUP(INDEX(Upgrades!$C$3:$C$13,MATCH(C1023,Upgrades!$B$3:$B$13,0))*1.15^(COUNTIF(C$4:C1022,C1023)-COUNTIF(C$4:C1022,""Sell_""&amp;C1023))))))"),"")</f>
        <v/>
      </c>
      <c r="H1023" s="10" t="str">
        <f t="shared" si="3"/>
        <v/>
      </c>
      <c r="I1023" s="68" t="str">
        <f t="shared" si="4"/>
        <v/>
      </c>
      <c r="J1023" s="59" t="str">
        <f t="shared" si="5"/>
        <v/>
      </c>
      <c r="K1023" s="69" t="str">
        <f t="shared" si="6"/>
        <v/>
      </c>
      <c r="L1023" s="60" t="str">
        <f t="shared" si="7"/>
        <v/>
      </c>
      <c r="M1023" s="61" t="str">
        <f>IFERROR(__xludf.DUMMYFUNCTION("IFS(AND(COUNTA(C1023:C1350)=0,COUNTA(Q1023:Q1350)=0),"""",OR(AND(K1023&gt;=1000000000,OR(Y1023&gt;=1000000000,COUNTA(Q1023:Q1350)=0)),OR(Y1023&gt;=1000000000,AND(COUNTA(C1023:C1350)=0,P$3=TRUE))),
ROUNDDOWN((AB$1-AC$1)*MAX(INDEX(T$4:T1350,MATCH(LARGE(FILTER(Y$4:Y1"&amp;"350,Y$4:Y1350&lt;1000000000),1),Y$4:Y1350)),INDEX(F$4:F1350,MATCH(LARGE(FILTER(K$4:K1350,K$4:K1350&lt;1000000000),1),K$4:K1350)))),AND(K1023&lt;1000000000,COUNTA(C1023:C1350)&gt;0,P$3=FALSE),
ROUNDDOWN(INDEX(Y$4:Y1350,MATCH(LARGE(FILTER(W$4:W1350,W$4:W1350&lt;=I1023),1)"&amp;",W$4:W1350))+(I1023-LARGE(FILTER(W$4:W1350,W$4:W1350&lt;=I1023),1))*INDEX(T$4:T1350,MATCH(LARGE(FILTER(W$4:W1350,W$4:W1350&lt;=I1023),1),W$4:W1350))-K1023),1,
ROUNDDOWN(Y1023-INDEX(K$4:K1350,MATCH(LARGE(FILTER(I$4:I1350,I$4:I1350&lt;=W1023),1),I$4:I1350))-(W1023-L"&amp;"ARGE(FILTER(I$4:I1350,I$4:I1350&lt;=W1023),1))*INDEX(F$4:F1350,MATCH(LARGE(FILTER(I$4:I1350,I$4:I1350&lt;=W1023),1),I$4:I1350))))"),"")</f>
        <v/>
      </c>
      <c r="N1023" s="60" t="str">
        <f t="shared" si="8"/>
        <v/>
      </c>
      <c r="O1023" s="61" t="str">
        <f t="shared" si="9"/>
        <v/>
      </c>
      <c r="P1023" s="56" t="str">
        <f t="shared" si="10"/>
        <v/>
      </c>
      <c r="Q1023" s="62"/>
      <c r="R1023" s="10" t="str">
        <f>IFERROR(__xludf.DUMMYFUNCTION("IF(COUNTA(Q1023:Q1350)=0,"""",IF(ISBLANK(Q1023),FALSE,IF(NOT(COUNTIF($AA$24:$AA$34,SUBSTITUTE(Q1023,""Sell_"",""""))),1,IF(REGEXMATCH(Q1023,""Sell_""),IF(COUNTIF(Q$4:Q1023,SUBSTITUTE(Q1023,""Sell_"",""""))-COUNTIF(Q$4:Q1022,Q1023)&lt;1,1),FALSE))))"),"")</f>
        <v/>
      </c>
      <c r="S1023" s="59" t="str">
        <f t="array" ref="S1023">IF(COUNTA(Q1023:Q1350)=0,"",SUM((COUNTIF(Q$4:Q1023,Upgrades!$B$3:$B$13)-COUNTIF(Q$4:Q1023,"Sell_"&amp;Upgrades!$B$3:$B$13))*Upgrades!$D$3:$D$13))</f>
        <v/>
      </c>
      <c r="T1023" s="66" t="str">
        <f>IFERROR(__xludf.DUMMYFUNCTION("IF(COUNTA(Q1023:Q1350)=0,"""",IF(REGEXMATCH(INDEX(FILTER(Q$4:Q1023,Q$4:Q1023&lt;&gt;""""),ROWS(FILTER(Q$4:Q1023,Q$4:Q1023&lt;&gt;""""))),""^Sell_""),INDEX(FILTER(T$4:T1022,Q$4:Q1022&lt;&gt;""""),ROWS(FILTER(Q$4:Q1022,Q$4:Q1022&lt;&gt;""""))),$AD$5+S1023))"),"")</f>
        <v/>
      </c>
      <c r="U1023" s="10" t="str">
        <f>IFERROR(__xludf.DUMMYFUNCTION("IF(COUNTA(Q1023:Q1350)=0,"""",IF(Q1023="""",0,IF(REGEXMATCH(Q1023,""^Sell_""),-ROUNDDOWN(ROUNDUP(INDEX(Upgrades!$C$3:$C$13,MATCH(SUBSTITUTE(Q1023,""Sell_"",""""),Upgrades!$B$3:$B$13,0))*1.15^(COUNTIF(Q$4:Q1022,SUBSTITUTE(Q1023,""Sell_"",""""))-COUNTIF(Q$4"&amp;":Q1022,""Sell_""&amp;SUBSTITUTE(Q1023,""Sell_"",""""))))/2),ROUNDUP(INDEX(Upgrades!$C$3:$C$13,MATCH(Q1023,Upgrades!$B$3:$B$13,0))*1.15^(COUNTIF(Q$4:Q1022,Q1023)-COUNTIF(Q$4:Q1022,""Sell_""&amp;Q1023))))))"),"")</f>
        <v/>
      </c>
      <c r="V1023" s="10" t="str">
        <f t="shared" si="11"/>
        <v/>
      </c>
      <c r="W1023" s="68" t="str">
        <f t="shared" si="12"/>
        <v/>
      </c>
      <c r="X1023" s="59" t="str">
        <f t="shared" si="13"/>
        <v/>
      </c>
      <c r="Y1023" s="69" t="str">
        <f t="shared" si="14"/>
        <v/>
      </c>
      <c r="Z1023" s="11"/>
    </row>
    <row r="1024">
      <c r="A1024" s="8"/>
      <c r="B1024" s="56" t="str">
        <f t="shared" si="2"/>
        <v/>
      </c>
      <c r="C1024" s="57"/>
      <c r="D1024" s="10" t="str">
        <f>IFERROR(__xludf.DUMMYFUNCTION("IF(COUNTA(C1024:C1350)=0,"""",IF(ISBLANK(C1024),FALSE,IF(NOT(COUNTIF($AA$24:$AA$34,SUBSTITUTE(C1024,""Sell_"",""""))),1,IF(REGEXMATCH(C1024,""Sell_""),IF(COUNTIF(C$4:C1024,SUBSTITUTE(C1024,""Sell_"",""""))-COUNTIF(C$4:C1023,C1024)&lt;1,1),FALSE))))"),"")</f>
        <v/>
      </c>
      <c r="E1024" s="59" t="str">
        <f t="array" ref="E1024">IF(COUNTA(C1024:C1350)=0,"",SUM((COUNTIF(C$4:C1024,Upgrades!$B$3:$B$13)-COUNTIF(C$4:C1024,"Sell_"&amp;Upgrades!$B$3:$B$13))*Upgrades!$D$3:$D$13))</f>
        <v/>
      </c>
      <c r="F1024" s="66" t="str">
        <f>IFERROR(__xludf.DUMMYFUNCTION("IF(COUNTA(C1024:C1350)=0,"""",IF(REGEXMATCH(INDEX(FILTER(C$4:C1024,C$4:C1024&lt;&gt;""""),ROWS(FILTER(C$4:C1024,C$4:C1024&lt;&gt;""""))),""^Sell_""),INDEX(FILTER(F$4:F1023,C$4:C1023&lt;&gt;""""),ROWS(FILTER(C$4:C1023,C$4:C1023&lt;&gt;""""))),$AC$5+E1024))"),"")</f>
        <v/>
      </c>
      <c r="G1024" s="10" t="str">
        <f>IFERROR(__xludf.DUMMYFUNCTION("IF(COUNTA(C1024:C1350)=0,"""",IF(C1024="""",0,IF(REGEXMATCH(C1024,""^Sell_""),-ROUNDDOWN(ROUNDUP(INDEX(Upgrades!$C$3:$C$13,MATCH(SUBSTITUTE(C1024,""Sell_"",""""),Upgrades!$B$3:$B$13,0))*1.15^(COUNTIF(C$4:C1023,SUBSTITUTE(C1024,""Sell_"",""""))-COUNTIF(C$4"&amp;":C1023,""Sell_""&amp;SUBSTITUTE(C1024,""Sell_"",""""))))/2),ROUNDUP(INDEX(Upgrades!$C$3:$C$13,MATCH(C1024,Upgrades!$B$3:$B$13,0))*1.15^(COUNTIF(C$4:C1023,C1024)-COUNTIF(C$4:C1023,""Sell_""&amp;C1024))))))"),"")</f>
        <v/>
      </c>
      <c r="H1024" s="10" t="str">
        <f t="shared" si="3"/>
        <v/>
      </c>
      <c r="I1024" s="68" t="str">
        <f t="shared" si="4"/>
        <v/>
      </c>
      <c r="J1024" s="59" t="str">
        <f t="shared" si="5"/>
        <v/>
      </c>
      <c r="K1024" s="69" t="str">
        <f t="shared" si="6"/>
        <v/>
      </c>
      <c r="L1024" s="60" t="str">
        <f t="shared" si="7"/>
        <v/>
      </c>
      <c r="M1024" s="61" t="str">
        <f>IFERROR(__xludf.DUMMYFUNCTION("IFS(AND(COUNTA(C1024:C1350)=0,COUNTA(Q1024:Q1350)=0),"""",OR(AND(K1024&gt;=1000000000,OR(Y1024&gt;=1000000000,COUNTA(Q1024:Q1350)=0)),OR(Y1024&gt;=1000000000,AND(COUNTA(C1024:C1350)=0,P$3=TRUE))),
ROUNDDOWN((AB$1-AC$1)*MAX(INDEX(T$4:T1350,MATCH(LARGE(FILTER(Y$4:Y1"&amp;"350,Y$4:Y1350&lt;1000000000),1),Y$4:Y1350)),INDEX(F$4:F1350,MATCH(LARGE(FILTER(K$4:K1350,K$4:K1350&lt;1000000000),1),K$4:K1350)))),AND(K1024&lt;1000000000,COUNTA(C1024:C1350)&gt;0,P$3=FALSE),
ROUNDDOWN(INDEX(Y$4:Y1350,MATCH(LARGE(FILTER(W$4:W1350,W$4:W1350&lt;=I1024),1)"&amp;",W$4:W1350))+(I1024-LARGE(FILTER(W$4:W1350,W$4:W1350&lt;=I1024),1))*INDEX(T$4:T1350,MATCH(LARGE(FILTER(W$4:W1350,W$4:W1350&lt;=I1024),1),W$4:W1350))-K1024),1,
ROUNDDOWN(Y1024-INDEX(K$4:K1350,MATCH(LARGE(FILTER(I$4:I1350,I$4:I1350&lt;=W1024),1),I$4:I1350))-(W1024-L"&amp;"ARGE(FILTER(I$4:I1350,I$4:I1350&lt;=W1024),1))*INDEX(F$4:F1350,MATCH(LARGE(FILTER(I$4:I1350,I$4:I1350&lt;=W1024),1),I$4:I1350))))"),"")</f>
        <v/>
      </c>
      <c r="N1024" s="60" t="str">
        <f t="shared" si="8"/>
        <v/>
      </c>
      <c r="O1024" s="61" t="str">
        <f t="shared" si="9"/>
        <v/>
      </c>
      <c r="P1024" s="56" t="str">
        <f t="shared" si="10"/>
        <v/>
      </c>
      <c r="Q1024" s="62"/>
      <c r="R1024" s="10" t="str">
        <f>IFERROR(__xludf.DUMMYFUNCTION("IF(COUNTA(Q1024:Q1350)=0,"""",IF(ISBLANK(Q1024),FALSE,IF(NOT(COUNTIF($AA$24:$AA$34,SUBSTITUTE(Q1024,""Sell_"",""""))),1,IF(REGEXMATCH(Q1024,""Sell_""),IF(COUNTIF(Q$4:Q1024,SUBSTITUTE(Q1024,""Sell_"",""""))-COUNTIF(Q$4:Q1023,Q1024)&lt;1,1),FALSE))))"),"")</f>
        <v/>
      </c>
      <c r="S1024" s="59" t="str">
        <f t="array" ref="S1024">IF(COUNTA(Q1024:Q1350)=0,"",SUM((COUNTIF(Q$4:Q1024,Upgrades!$B$3:$B$13)-COUNTIF(Q$4:Q1024,"Sell_"&amp;Upgrades!$B$3:$B$13))*Upgrades!$D$3:$D$13))</f>
        <v/>
      </c>
      <c r="T1024" s="66" t="str">
        <f>IFERROR(__xludf.DUMMYFUNCTION("IF(COUNTA(Q1024:Q1350)=0,"""",IF(REGEXMATCH(INDEX(FILTER(Q$4:Q1024,Q$4:Q1024&lt;&gt;""""),ROWS(FILTER(Q$4:Q1024,Q$4:Q1024&lt;&gt;""""))),""^Sell_""),INDEX(FILTER(T$4:T1023,Q$4:Q1023&lt;&gt;""""),ROWS(FILTER(Q$4:Q1023,Q$4:Q1023&lt;&gt;""""))),$AD$5+S1024))"),"")</f>
        <v/>
      </c>
      <c r="U1024" s="10" t="str">
        <f>IFERROR(__xludf.DUMMYFUNCTION("IF(COUNTA(Q1024:Q1350)=0,"""",IF(Q1024="""",0,IF(REGEXMATCH(Q1024,""^Sell_""),-ROUNDDOWN(ROUNDUP(INDEX(Upgrades!$C$3:$C$13,MATCH(SUBSTITUTE(Q1024,""Sell_"",""""),Upgrades!$B$3:$B$13,0))*1.15^(COUNTIF(Q$4:Q1023,SUBSTITUTE(Q1024,""Sell_"",""""))-COUNTIF(Q$4"&amp;":Q1023,""Sell_""&amp;SUBSTITUTE(Q1024,""Sell_"",""""))))/2),ROUNDUP(INDEX(Upgrades!$C$3:$C$13,MATCH(Q1024,Upgrades!$B$3:$B$13,0))*1.15^(COUNTIF(Q$4:Q1023,Q1024)-COUNTIF(Q$4:Q1023,""Sell_""&amp;Q1024))))))"),"")</f>
        <v/>
      </c>
      <c r="V1024" s="10" t="str">
        <f t="shared" si="11"/>
        <v/>
      </c>
      <c r="W1024" s="68" t="str">
        <f t="shared" si="12"/>
        <v/>
      </c>
      <c r="X1024" s="59" t="str">
        <f t="shared" si="13"/>
        <v/>
      </c>
      <c r="Y1024" s="69" t="str">
        <f t="shared" si="14"/>
        <v/>
      </c>
      <c r="Z1024" s="11"/>
    </row>
    <row r="1025">
      <c r="A1025" s="8"/>
      <c r="B1025" s="56" t="str">
        <f t="shared" si="2"/>
        <v/>
      </c>
      <c r="C1025" s="57"/>
      <c r="D1025" s="10" t="str">
        <f>IFERROR(__xludf.DUMMYFUNCTION("IF(COUNTA(C1025:C1350)=0,"""",IF(ISBLANK(C1025),FALSE,IF(NOT(COUNTIF($AA$24:$AA$34,SUBSTITUTE(C1025,""Sell_"",""""))),1,IF(REGEXMATCH(C1025,""Sell_""),IF(COUNTIF(C$4:C1025,SUBSTITUTE(C1025,""Sell_"",""""))-COUNTIF(C$4:C1024,C1025)&lt;1,1),FALSE))))"),"")</f>
        <v/>
      </c>
      <c r="E1025" s="59" t="str">
        <f t="array" ref="E1025">IF(COUNTA(C1025:C1350)=0,"",SUM((COUNTIF(C$4:C1025,Upgrades!$B$3:$B$13)-COUNTIF(C$4:C1025,"Sell_"&amp;Upgrades!$B$3:$B$13))*Upgrades!$D$3:$D$13))</f>
        <v/>
      </c>
      <c r="F1025" s="66" t="str">
        <f>IFERROR(__xludf.DUMMYFUNCTION("IF(COUNTA(C1025:C1350)=0,"""",IF(REGEXMATCH(INDEX(FILTER(C$4:C1025,C$4:C1025&lt;&gt;""""),ROWS(FILTER(C$4:C1025,C$4:C1025&lt;&gt;""""))),""^Sell_""),INDEX(FILTER(F$4:F1024,C$4:C1024&lt;&gt;""""),ROWS(FILTER(C$4:C1024,C$4:C1024&lt;&gt;""""))),$AC$5+E1025))"),"")</f>
        <v/>
      </c>
      <c r="G1025" s="10" t="str">
        <f>IFERROR(__xludf.DUMMYFUNCTION("IF(COUNTA(C1025:C1350)=0,"""",IF(C1025="""",0,IF(REGEXMATCH(C1025,""^Sell_""),-ROUNDDOWN(ROUNDUP(INDEX(Upgrades!$C$3:$C$13,MATCH(SUBSTITUTE(C1025,""Sell_"",""""),Upgrades!$B$3:$B$13,0))*1.15^(COUNTIF(C$4:C1024,SUBSTITUTE(C1025,""Sell_"",""""))-COUNTIF(C$4"&amp;":C1024,""Sell_""&amp;SUBSTITUTE(C1025,""Sell_"",""""))))/2),ROUNDUP(INDEX(Upgrades!$C$3:$C$13,MATCH(C1025,Upgrades!$B$3:$B$13,0))*1.15^(COUNTIF(C$4:C1024,C1025)-COUNTIF(C$4:C1024,""Sell_""&amp;C1025))))))"),"")</f>
        <v/>
      </c>
      <c r="H1025" s="10" t="str">
        <f t="shared" si="3"/>
        <v/>
      </c>
      <c r="I1025" s="68" t="str">
        <f t="shared" si="4"/>
        <v/>
      </c>
      <c r="J1025" s="59" t="str">
        <f t="shared" si="5"/>
        <v/>
      </c>
      <c r="K1025" s="69" t="str">
        <f t="shared" si="6"/>
        <v/>
      </c>
      <c r="L1025" s="60" t="str">
        <f t="shared" si="7"/>
        <v/>
      </c>
      <c r="M1025" s="61" t="str">
        <f>IFERROR(__xludf.DUMMYFUNCTION("IFS(AND(COUNTA(C1025:C1350)=0,COUNTA(Q1025:Q1350)=0),"""",OR(AND(K1025&gt;=1000000000,OR(Y1025&gt;=1000000000,COUNTA(Q1025:Q1350)=0)),OR(Y1025&gt;=1000000000,AND(COUNTA(C1025:C1350)=0,P$3=TRUE))),
ROUNDDOWN((AB$1-AC$1)*MAX(INDEX(T$4:T1350,MATCH(LARGE(FILTER(Y$4:Y1"&amp;"350,Y$4:Y1350&lt;1000000000),1),Y$4:Y1350)),INDEX(F$4:F1350,MATCH(LARGE(FILTER(K$4:K1350,K$4:K1350&lt;1000000000),1),K$4:K1350)))),AND(K1025&lt;1000000000,COUNTA(C1025:C1350)&gt;0,P$3=FALSE),
ROUNDDOWN(INDEX(Y$4:Y1350,MATCH(LARGE(FILTER(W$4:W1350,W$4:W1350&lt;=I1025),1)"&amp;",W$4:W1350))+(I1025-LARGE(FILTER(W$4:W1350,W$4:W1350&lt;=I1025),1))*INDEX(T$4:T1350,MATCH(LARGE(FILTER(W$4:W1350,W$4:W1350&lt;=I1025),1),W$4:W1350))-K1025),1,
ROUNDDOWN(Y1025-INDEX(K$4:K1350,MATCH(LARGE(FILTER(I$4:I1350,I$4:I1350&lt;=W1025),1),I$4:I1350))-(W1025-L"&amp;"ARGE(FILTER(I$4:I1350,I$4:I1350&lt;=W1025),1))*INDEX(F$4:F1350,MATCH(LARGE(FILTER(I$4:I1350,I$4:I1350&lt;=W1025),1),I$4:I1350))))"),"")</f>
        <v/>
      </c>
      <c r="N1025" s="60" t="str">
        <f t="shared" si="8"/>
        <v/>
      </c>
      <c r="O1025" s="61" t="str">
        <f t="shared" si="9"/>
        <v/>
      </c>
      <c r="P1025" s="56" t="str">
        <f t="shared" si="10"/>
        <v/>
      </c>
      <c r="Q1025" s="62"/>
      <c r="R1025" s="10" t="str">
        <f>IFERROR(__xludf.DUMMYFUNCTION("IF(COUNTA(Q1025:Q1350)=0,"""",IF(ISBLANK(Q1025),FALSE,IF(NOT(COUNTIF($AA$24:$AA$34,SUBSTITUTE(Q1025,""Sell_"",""""))),1,IF(REGEXMATCH(Q1025,""Sell_""),IF(COUNTIF(Q$4:Q1025,SUBSTITUTE(Q1025,""Sell_"",""""))-COUNTIF(Q$4:Q1024,Q1025)&lt;1,1),FALSE))))"),"")</f>
        <v/>
      </c>
      <c r="S1025" s="59" t="str">
        <f t="array" ref="S1025">IF(COUNTA(Q1025:Q1350)=0,"",SUM((COUNTIF(Q$4:Q1025,Upgrades!$B$3:$B$13)-COUNTIF(Q$4:Q1025,"Sell_"&amp;Upgrades!$B$3:$B$13))*Upgrades!$D$3:$D$13))</f>
        <v/>
      </c>
      <c r="T1025" s="66" t="str">
        <f>IFERROR(__xludf.DUMMYFUNCTION("IF(COUNTA(Q1025:Q1350)=0,"""",IF(REGEXMATCH(INDEX(FILTER(Q$4:Q1025,Q$4:Q1025&lt;&gt;""""),ROWS(FILTER(Q$4:Q1025,Q$4:Q1025&lt;&gt;""""))),""^Sell_""),INDEX(FILTER(T$4:T1024,Q$4:Q1024&lt;&gt;""""),ROWS(FILTER(Q$4:Q1024,Q$4:Q1024&lt;&gt;""""))),$AD$5+S1025))"),"")</f>
        <v/>
      </c>
      <c r="U1025" s="10" t="str">
        <f>IFERROR(__xludf.DUMMYFUNCTION("IF(COUNTA(Q1025:Q1350)=0,"""",IF(Q1025="""",0,IF(REGEXMATCH(Q1025,""^Sell_""),-ROUNDDOWN(ROUNDUP(INDEX(Upgrades!$C$3:$C$13,MATCH(SUBSTITUTE(Q1025,""Sell_"",""""),Upgrades!$B$3:$B$13,0))*1.15^(COUNTIF(Q$4:Q1024,SUBSTITUTE(Q1025,""Sell_"",""""))-COUNTIF(Q$4"&amp;":Q1024,""Sell_""&amp;SUBSTITUTE(Q1025,""Sell_"",""""))))/2),ROUNDUP(INDEX(Upgrades!$C$3:$C$13,MATCH(Q1025,Upgrades!$B$3:$B$13,0))*1.15^(COUNTIF(Q$4:Q1024,Q1025)-COUNTIF(Q$4:Q1024,""Sell_""&amp;Q1025))))))"),"")</f>
        <v/>
      </c>
      <c r="V1025" s="10" t="str">
        <f t="shared" si="11"/>
        <v/>
      </c>
      <c r="W1025" s="68" t="str">
        <f t="shared" si="12"/>
        <v/>
      </c>
      <c r="X1025" s="59" t="str">
        <f t="shared" si="13"/>
        <v/>
      </c>
      <c r="Y1025" s="69" t="str">
        <f t="shared" si="14"/>
        <v/>
      </c>
      <c r="Z1025" s="11"/>
    </row>
    <row r="1026">
      <c r="A1026" s="8"/>
      <c r="B1026" s="56" t="str">
        <f t="shared" si="2"/>
        <v/>
      </c>
      <c r="C1026" s="57"/>
      <c r="D1026" s="10" t="str">
        <f>IFERROR(__xludf.DUMMYFUNCTION("IF(COUNTA(C1026:C1350)=0,"""",IF(ISBLANK(C1026),FALSE,IF(NOT(COUNTIF($AA$24:$AA$34,SUBSTITUTE(C1026,""Sell_"",""""))),1,IF(REGEXMATCH(C1026,""Sell_""),IF(COUNTIF(C$4:C1026,SUBSTITUTE(C1026,""Sell_"",""""))-COUNTIF(C$4:C1025,C1026)&lt;1,1),FALSE))))"),"")</f>
        <v/>
      </c>
      <c r="E1026" s="59" t="str">
        <f t="array" ref="E1026">IF(COUNTA(C1026:C1350)=0,"",SUM((COUNTIF(C$4:C1026,Upgrades!$B$3:$B$13)-COUNTIF(C$4:C1026,"Sell_"&amp;Upgrades!$B$3:$B$13))*Upgrades!$D$3:$D$13))</f>
        <v/>
      </c>
      <c r="F1026" s="66" t="str">
        <f>IFERROR(__xludf.DUMMYFUNCTION("IF(COUNTA(C1026:C1350)=0,"""",IF(REGEXMATCH(INDEX(FILTER(C$4:C1026,C$4:C1026&lt;&gt;""""),ROWS(FILTER(C$4:C1026,C$4:C1026&lt;&gt;""""))),""^Sell_""),INDEX(FILTER(F$4:F1025,C$4:C1025&lt;&gt;""""),ROWS(FILTER(C$4:C1025,C$4:C1025&lt;&gt;""""))),$AC$5+E1026))"),"")</f>
        <v/>
      </c>
      <c r="G1026" s="10" t="str">
        <f>IFERROR(__xludf.DUMMYFUNCTION("IF(COUNTA(C1026:C1350)=0,"""",IF(C1026="""",0,IF(REGEXMATCH(C1026,""^Sell_""),-ROUNDDOWN(ROUNDUP(INDEX(Upgrades!$C$3:$C$13,MATCH(SUBSTITUTE(C1026,""Sell_"",""""),Upgrades!$B$3:$B$13,0))*1.15^(COUNTIF(C$4:C1025,SUBSTITUTE(C1026,""Sell_"",""""))-COUNTIF(C$4"&amp;":C1025,""Sell_""&amp;SUBSTITUTE(C1026,""Sell_"",""""))))/2),ROUNDUP(INDEX(Upgrades!$C$3:$C$13,MATCH(C1026,Upgrades!$B$3:$B$13,0))*1.15^(COUNTIF(C$4:C1025,C1026)-COUNTIF(C$4:C1025,""Sell_""&amp;C1026))))))"),"")</f>
        <v/>
      </c>
      <c r="H1026" s="10" t="str">
        <f t="shared" si="3"/>
        <v/>
      </c>
      <c r="I1026" s="68" t="str">
        <f t="shared" si="4"/>
        <v/>
      </c>
      <c r="J1026" s="59" t="str">
        <f t="shared" si="5"/>
        <v/>
      </c>
      <c r="K1026" s="69" t="str">
        <f t="shared" si="6"/>
        <v/>
      </c>
      <c r="L1026" s="60" t="str">
        <f t="shared" si="7"/>
        <v/>
      </c>
      <c r="M1026" s="61" t="str">
        <f>IFERROR(__xludf.DUMMYFUNCTION("IFS(AND(COUNTA(C1026:C1350)=0,COUNTA(Q1026:Q1350)=0),"""",OR(AND(K1026&gt;=1000000000,OR(Y1026&gt;=1000000000,COUNTA(Q1026:Q1350)=0)),OR(Y1026&gt;=1000000000,AND(COUNTA(C1026:C1350)=0,P$3=TRUE))),
ROUNDDOWN((AB$1-AC$1)*MAX(INDEX(T$4:T1350,MATCH(LARGE(FILTER(Y$4:Y1"&amp;"350,Y$4:Y1350&lt;1000000000),1),Y$4:Y1350)),INDEX(F$4:F1350,MATCH(LARGE(FILTER(K$4:K1350,K$4:K1350&lt;1000000000),1),K$4:K1350)))),AND(K1026&lt;1000000000,COUNTA(C1026:C1350)&gt;0,P$3=FALSE),
ROUNDDOWN(INDEX(Y$4:Y1350,MATCH(LARGE(FILTER(W$4:W1350,W$4:W1350&lt;=I1026),1)"&amp;",W$4:W1350))+(I1026-LARGE(FILTER(W$4:W1350,W$4:W1350&lt;=I1026),1))*INDEX(T$4:T1350,MATCH(LARGE(FILTER(W$4:W1350,W$4:W1350&lt;=I1026),1),W$4:W1350))-K1026),1,
ROUNDDOWN(Y1026-INDEX(K$4:K1350,MATCH(LARGE(FILTER(I$4:I1350,I$4:I1350&lt;=W1026),1),I$4:I1350))-(W1026-L"&amp;"ARGE(FILTER(I$4:I1350,I$4:I1350&lt;=W1026),1))*INDEX(F$4:F1350,MATCH(LARGE(FILTER(I$4:I1350,I$4:I1350&lt;=W1026),1),I$4:I1350))))"),"")</f>
        <v/>
      </c>
      <c r="N1026" s="60" t="str">
        <f t="shared" si="8"/>
        <v/>
      </c>
      <c r="O1026" s="61" t="str">
        <f t="shared" si="9"/>
        <v/>
      </c>
      <c r="P1026" s="56" t="str">
        <f t="shared" si="10"/>
        <v/>
      </c>
      <c r="Q1026" s="62"/>
      <c r="R1026" s="10" t="str">
        <f>IFERROR(__xludf.DUMMYFUNCTION("IF(COUNTA(Q1026:Q1350)=0,"""",IF(ISBLANK(Q1026),FALSE,IF(NOT(COUNTIF($AA$24:$AA$34,SUBSTITUTE(Q1026,""Sell_"",""""))),1,IF(REGEXMATCH(Q1026,""Sell_""),IF(COUNTIF(Q$4:Q1026,SUBSTITUTE(Q1026,""Sell_"",""""))-COUNTIF(Q$4:Q1025,Q1026)&lt;1,1),FALSE))))"),"")</f>
        <v/>
      </c>
      <c r="S1026" s="59" t="str">
        <f t="array" ref="S1026">IF(COUNTA(Q1026:Q1350)=0,"",SUM((COUNTIF(Q$4:Q1026,Upgrades!$B$3:$B$13)-COUNTIF(Q$4:Q1026,"Sell_"&amp;Upgrades!$B$3:$B$13))*Upgrades!$D$3:$D$13))</f>
        <v/>
      </c>
      <c r="T1026" s="66" t="str">
        <f>IFERROR(__xludf.DUMMYFUNCTION("IF(COUNTA(Q1026:Q1350)=0,"""",IF(REGEXMATCH(INDEX(FILTER(Q$4:Q1026,Q$4:Q1026&lt;&gt;""""),ROWS(FILTER(Q$4:Q1026,Q$4:Q1026&lt;&gt;""""))),""^Sell_""),INDEX(FILTER(T$4:T1025,Q$4:Q1025&lt;&gt;""""),ROWS(FILTER(Q$4:Q1025,Q$4:Q1025&lt;&gt;""""))),$AD$5+S1026))"),"")</f>
        <v/>
      </c>
      <c r="U1026" s="10" t="str">
        <f>IFERROR(__xludf.DUMMYFUNCTION("IF(COUNTA(Q1026:Q1350)=0,"""",IF(Q1026="""",0,IF(REGEXMATCH(Q1026,""^Sell_""),-ROUNDDOWN(ROUNDUP(INDEX(Upgrades!$C$3:$C$13,MATCH(SUBSTITUTE(Q1026,""Sell_"",""""),Upgrades!$B$3:$B$13,0))*1.15^(COUNTIF(Q$4:Q1025,SUBSTITUTE(Q1026,""Sell_"",""""))-COUNTIF(Q$4"&amp;":Q1025,""Sell_""&amp;SUBSTITUTE(Q1026,""Sell_"",""""))))/2),ROUNDUP(INDEX(Upgrades!$C$3:$C$13,MATCH(Q1026,Upgrades!$B$3:$B$13,0))*1.15^(COUNTIF(Q$4:Q1025,Q1026)-COUNTIF(Q$4:Q1025,""Sell_""&amp;Q1026))))))"),"")</f>
        <v/>
      </c>
      <c r="V1026" s="10" t="str">
        <f t="shared" si="11"/>
        <v/>
      </c>
      <c r="W1026" s="68" t="str">
        <f t="shared" si="12"/>
        <v/>
      </c>
      <c r="X1026" s="59" t="str">
        <f t="shared" si="13"/>
        <v/>
      </c>
      <c r="Y1026" s="69" t="str">
        <f t="shared" si="14"/>
        <v/>
      </c>
      <c r="Z1026" s="11"/>
    </row>
    <row r="1027">
      <c r="A1027" s="8"/>
      <c r="B1027" s="56" t="str">
        <f t="shared" si="2"/>
        <v/>
      </c>
      <c r="C1027" s="57"/>
      <c r="D1027" s="10" t="str">
        <f>IFERROR(__xludf.DUMMYFUNCTION("IF(COUNTA(C1027:C1350)=0,"""",IF(ISBLANK(C1027),FALSE,IF(NOT(COUNTIF($AA$24:$AA$34,SUBSTITUTE(C1027,""Sell_"",""""))),1,IF(REGEXMATCH(C1027,""Sell_""),IF(COUNTIF(C$4:C1027,SUBSTITUTE(C1027,""Sell_"",""""))-COUNTIF(C$4:C1026,C1027)&lt;1,1),FALSE))))"),"")</f>
        <v/>
      </c>
      <c r="E1027" s="59" t="str">
        <f t="array" ref="E1027">IF(COUNTA(C1027:C1350)=0,"",SUM((COUNTIF(C$4:C1027,Upgrades!$B$3:$B$13)-COUNTIF(C$4:C1027,"Sell_"&amp;Upgrades!$B$3:$B$13))*Upgrades!$D$3:$D$13))</f>
        <v/>
      </c>
      <c r="F1027" s="66" t="str">
        <f>IFERROR(__xludf.DUMMYFUNCTION("IF(COUNTA(C1027:C1350)=0,"""",IF(REGEXMATCH(INDEX(FILTER(C$4:C1027,C$4:C1027&lt;&gt;""""),ROWS(FILTER(C$4:C1027,C$4:C1027&lt;&gt;""""))),""^Sell_""),INDEX(FILTER(F$4:F1026,C$4:C1026&lt;&gt;""""),ROWS(FILTER(C$4:C1026,C$4:C1026&lt;&gt;""""))),$AC$5+E1027))"),"")</f>
        <v/>
      </c>
      <c r="G1027" s="10" t="str">
        <f>IFERROR(__xludf.DUMMYFUNCTION("IF(COUNTA(C1027:C1350)=0,"""",IF(C1027="""",0,IF(REGEXMATCH(C1027,""^Sell_""),-ROUNDDOWN(ROUNDUP(INDEX(Upgrades!$C$3:$C$13,MATCH(SUBSTITUTE(C1027,""Sell_"",""""),Upgrades!$B$3:$B$13,0))*1.15^(COUNTIF(C$4:C1026,SUBSTITUTE(C1027,""Sell_"",""""))-COUNTIF(C$4"&amp;":C1026,""Sell_""&amp;SUBSTITUTE(C1027,""Sell_"",""""))))/2),ROUNDUP(INDEX(Upgrades!$C$3:$C$13,MATCH(C1027,Upgrades!$B$3:$B$13,0))*1.15^(COUNTIF(C$4:C1026,C1027)-COUNTIF(C$4:C1026,""Sell_""&amp;C1027))))))"),"")</f>
        <v/>
      </c>
      <c r="H1027" s="10" t="str">
        <f t="shared" si="3"/>
        <v/>
      </c>
      <c r="I1027" s="68" t="str">
        <f t="shared" si="4"/>
        <v/>
      </c>
      <c r="J1027" s="59" t="str">
        <f t="shared" si="5"/>
        <v/>
      </c>
      <c r="K1027" s="69" t="str">
        <f t="shared" si="6"/>
        <v/>
      </c>
      <c r="L1027" s="60" t="str">
        <f t="shared" si="7"/>
        <v/>
      </c>
      <c r="M1027" s="61" t="str">
        <f>IFERROR(__xludf.DUMMYFUNCTION("IFS(AND(COUNTA(C1027:C1350)=0,COUNTA(Q1027:Q1350)=0),"""",OR(AND(K1027&gt;=1000000000,OR(Y1027&gt;=1000000000,COUNTA(Q1027:Q1350)=0)),OR(Y1027&gt;=1000000000,AND(COUNTA(C1027:C1350)=0,P$3=TRUE))),
ROUNDDOWN((AB$1-AC$1)*MAX(INDEX(T$4:T1350,MATCH(LARGE(FILTER(Y$4:Y1"&amp;"350,Y$4:Y1350&lt;1000000000),1),Y$4:Y1350)),INDEX(F$4:F1350,MATCH(LARGE(FILTER(K$4:K1350,K$4:K1350&lt;1000000000),1),K$4:K1350)))),AND(K1027&lt;1000000000,COUNTA(C1027:C1350)&gt;0,P$3=FALSE),
ROUNDDOWN(INDEX(Y$4:Y1350,MATCH(LARGE(FILTER(W$4:W1350,W$4:W1350&lt;=I1027),1)"&amp;",W$4:W1350))+(I1027-LARGE(FILTER(W$4:W1350,W$4:W1350&lt;=I1027),1))*INDEX(T$4:T1350,MATCH(LARGE(FILTER(W$4:W1350,W$4:W1350&lt;=I1027),1),W$4:W1350))-K1027),1,
ROUNDDOWN(Y1027-INDEX(K$4:K1350,MATCH(LARGE(FILTER(I$4:I1350,I$4:I1350&lt;=W1027),1),I$4:I1350))-(W1027-L"&amp;"ARGE(FILTER(I$4:I1350,I$4:I1350&lt;=W1027),1))*INDEX(F$4:F1350,MATCH(LARGE(FILTER(I$4:I1350,I$4:I1350&lt;=W1027),1),I$4:I1350))))"),"")</f>
        <v/>
      </c>
      <c r="N1027" s="60" t="str">
        <f t="shared" si="8"/>
        <v/>
      </c>
      <c r="O1027" s="61" t="str">
        <f t="shared" si="9"/>
        <v/>
      </c>
      <c r="P1027" s="56" t="str">
        <f t="shared" si="10"/>
        <v/>
      </c>
      <c r="Q1027" s="62"/>
      <c r="R1027" s="10" t="str">
        <f>IFERROR(__xludf.DUMMYFUNCTION("IF(COUNTA(Q1027:Q1350)=0,"""",IF(ISBLANK(Q1027),FALSE,IF(NOT(COUNTIF($AA$24:$AA$34,SUBSTITUTE(Q1027,""Sell_"",""""))),1,IF(REGEXMATCH(Q1027,""Sell_""),IF(COUNTIF(Q$4:Q1027,SUBSTITUTE(Q1027,""Sell_"",""""))-COUNTIF(Q$4:Q1026,Q1027)&lt;1,1),FALSE))))"),"")</f>
        <v/>
      </c>
      <c r="S1027" s="59" t="str">
        <f t="array" ref="S1027">IF(COUNTA(Q1027:Q1350)=0,"",SUM((COUNTIF(Q$4:Q1027,Upgrades!$B$3:$B$13)-COUNTIF(Q$4:Q1027,"Sell_"&amp;Upgrades!$B$3:$B$13))*Upgrades!$D$3:$D$13))</f>
        <v/>
      </c>
      <c r="T1027" s="66" t="str">
        <f>IFERROR(__xludf.DUMMYFUNCTION("IF(COUNTA(Q1027:Q1350)=0,"""",IF(REGEXMATCH(INDEX(FILTER(Q$4:Q1027,Q$4:Q1027&lt;&gt;""""),ROWS(FILTER(Q$4:Q1027,Q$4:Q1027&lt;&gt;""""))),""^Sell_""),INDEX(FILTER(T$4:T1026,Q$4:Q1026&lt;&gt;""""),ROWS(FILTER(Q$4:Q1026,Q$4:Q1026&lt;&gt;""""))),$AD$5+S1027))"),"")</f>
        <v/>
      </c>
      <c r="U1027" s="10" t="str">
        <f>IFERROR(__xludf.DUMMYFUNCTION("IF(COUNTA(Q1027:Q1350)=0,"""",IF(Q1027="""",0,IF(REGEXMATCH(Q1027,""^Sell_""),-ROUNDDOWN(ROUNDUP(INDEX(Upgrades!$C$3:$C$13,MATCH(SUBSTITUTE(Q1027,""Sell_"",""""),Upgrades!$B$3:$B$13,0))*1.15^(COUNTIF(Q$4:Q1026,SUBSTITUTE(Q1027,""Sell_"",""""))-COUNTIF(Q$4"&amp;":Q1026,""Sell_""&amp;SUBSTITUTE(Q1027,""Sell_"",""""))))/2),ROUNDUP(INDEX(Upgrades!$C$3:$C$13,MATCH(Q1027,Upgrades!$B$3:$B$13,0))*1.15^(COUNTIF(Q$4:Q1026,Q1027)-COUNTIF(Q$4:Q1026,""Sell_""&amp;Q1027))))))"),"")</f>
        <v/>
      </c>
      <c r="V1027" s="10" t="str">
        <f t="shared" si="11"/>
        <v/>
      </c>
      <c r="W1027" s="68" t="str">
        <f t="shared" si="12"/>
        <v/>
      </c>
      <c r="X1027" s="59" t="str">
        <f t="shared" si="13"/>
        <v/>
      </c>
      <c r="Y1027" s="69" t="str">
        <f t="shared" si="14"/>
        <v/>
      </c>
      <c r="Z1027" s="11"/>
    </row>
    <row r="1028">
      <c r="A1028" s="8"/>
      <c r="B1028" s="56" t="str">
        <f t="shared" si="2"/>
        <v/>
      </c>
      <c r="C1028" s="57"/>
      <c r="D1028" s="10" t="str">
        <f>IFERROR(__xludf.DUMMYFUNCTION("IF(COUNTA(C1028:C1350)=0,"""",IF(ISBLANK(C1028),FALSE,IF(NOT(COUNTIF($AA$24:$AA$34,SUBSTITUTE(C1028,""Sell_"",""""))),1,IF(REGEXMATCH(C1028,""Sell_""),IF(COUNTIF(C$4:C1028,SUBSTITUTE(C1028,""Sell_"",""""))-COUNTIF(C$4:C1027,C1028)&lt;1,1),FALSE))))"),"")</f>
        <v/>
      </c>
      <c r="E1028" s="59" t="str">
        <f t="array" ref="E1028">IF(COUNTA(C1028:C1350)=0,"",SUM((COUNTIF(C$4:C1028,Upgrades!$B$3:$B$13)-COUNTIF(C$4:C1028,"Sell_"&amp;Upgrades!$B$3:$B$13))*Upgrades!$D$3:$D$13))</f>
        <v/>
      </c>
      <c r="F1028" s="66" t="str">
        <f>IFERROR(__xludf.DUMMYFUNCTION("IF(COUNTA(C1028:C1350)=0,"""",IF(REGEXMATCH(INDEX(FILTER(C$4:C1028,C$4:C1028&lt;&gt;""""),ROWS(FILTER(C$4:C1028,C$4:C1028&lt;&gt;""""))),""^Sell_""),INDEX(FILTER(F$4:F1027,C$4:C1027&lt;&gt;""""),ROWS(FILTER(C$4:C1027,C$4:C1027&lt;&gt;""""))),$AC$5+E1028))"),"")</f>
        <v/>
      </c>
      <c r="G1028" s="10" t="str">
        <f>IFERROR(__xludf.DUMMYFUNCTION("IF(COUNTA(C1028:C1350)=0,"""",IF(C1028="""",0,IF(REGEXMATCH(C1028,""^Sell_""),-ROUNDDOWN(ROUNDUP(INDEX(Upgrades!$C$3:$C$13,MATCH(SUBSTITUTE(C1028,""Sell_"",""""),Upgrades!$B$3:$B$13,0))*1.15^(COUNTIF(C$4:C1027,SUBSTITUTE(C1028,""Sell_"",""""))-COUNTIF(C$4"&amp;":C1027,""Sell_""&amp;SUBSTITUTE(C1028,""Sell_"",""""))))/2),ROUNDUP(INDEX(Upgrades!$C$3:$C$13,MATCH(C1028,Upgrades!$B$3:$B$13,0))*1.15^(COUNTIF(C$4:C1027,C1028)-COUNTIF(C$4:C1027,""Sell_""&amp;C1028))))))"),"")</f>
        <v/>
      </c>
      <c r="H1028" s="10" t="str">
        <f t="shared" si="3"/>
        <v/>
      </c>
      <c r="I1028" s="68" t="str">
        <f t="shared" si="4"/>
        <v/>
      </c>
      <c r="J1028" s="59" t="str">
        <f t="shared" si="5"/>
        <v/>
      </c>
      <c r="K1028" s="69" t="str">
        <f t="shared" si="6"/>
        <v/>
      </c>
      <c r="L1028" s="60" t="str">
        <f t="shared" si="7"/>
        <v/>
      </c>
      <c r="M1028" s="61" t="str">
        <f>IFERROR(__xludf.DUMMYFUNCTION("IFS(AND(COUNTA(C1028:C1350)=0,COUNTA(Q1028:Q1350)=0),"""",OR(AND(K1028&gt;=1000000000,OR(Y1028&gt;=1000000000,COUNTA(Q1028:Q1350)=0)),OR(Y1028&gt;=1000000000,AND(COUNTA(C1028:C1350)=0,P$3=TRUE))),
ROUNDDOWN((AB$1-AC$1)*MAX(INDEX(T$4:T1350,MATCH(LARGE(FILTER(Y$4:Y1"&amp;"350,Y$4:Y1350&lt;1000000000),1),Y$4:Y1350)),INDEX(F$4:F1350,MATCH(LARGE(FILTER(K$4:K1350,K$4:K1350&lt;1000000000),1),K$4:K1350)))),AND(K1028&lt;1000000000,COUNTA(C1028:C1350)&gt;0,P$3=FALSE),
ROUNDDOWN(INDEX(Y$4:Y1350,MATCH(LARGE(FILTER(W$4:W1350,W$4:W1350&lt;=I1028),1)"&amp;",W$4:W1350))+(I1028-LARGE(FILTER(W$4:W1350,W$4:W1350&lt;=I1028),1))*INDEX(T$4:T1350,MATCH(LARGE(FILTER(W$4:W1350,W$4:W1350&lt;=I1028),1),W$4:W1350))-K1028),1,
ROUNDDOWN(Y1028-INDEX(K$4:K1350,MATCH(LARGE(FILTER(I$4:I1350,I$4:I1350&lt;=W1028),1),I$4:I1350))-(W1028-L"&amp;"ARGE(FILTER(I$4:I1350,I$4:I1350&lt;=W1028),1))*INDEX(F$4:F1350,MATCH(LARGE(FILTER(I$4:I1350,I$4:I1350&lt;=W1028),1),I$4:I1350))))"),"")</f>
        <v/>
      </c>
      <c r="N1028" s="60" t="str">
        <f t="shared" si="8"/>
        <v/>
      </c>
      <c r="O1028" s="61" t="str">
        <f t="shared" si="9"/>
        <v/>
      </c>
      <c r="P1028" s="56" t="str">
        <f t="shared" si="10"/>
        <v/>
      </c>
      <c r="Q1028" s="62"/>
      <c r="R1028" s="10" t="str">
        <f>IFERROR(__xludf.DUMMYFUNCTION("IF(COUNTA(Q1028:Q1350)=0,"""",IF(ISBLANK(Q1028),FALSE,IF(NOT(COUNTIF($AA$24:$AA$34,SUBSTITUTE(Q1028,""Sell_"",""""))),1,IF(REGEXMATCH(Q1028,""Sell_""),IF(COUNTIF(Q$4:Q1028,SUBSTITUTE(Q1028,""Sell_"",""""))-COUNTIF(Q$4:Q1027,Q1028)&lt;1,1),FALSE))))"),"")</f>
        <v/>
      </c>
      <c r="S1028" s="59" t="str">
        <f t="array" ref="S1028">IF(COUNTA(Q1028:Q1350)=0,"",SUM((COUNTIF(Q$4:Q1028,Upgrades!$B$3:$B$13)-COUNTIF(Q$4:Q1028,"Sell_"&amp;Upgrades!$B$3:$B$13))*Upgrades!$D$3:$D$13))</f>
        <v/>
      </c>
      <c r="T1028" s="66" t="str">
        <f>IFERROR(__xludf.DUMMYFUNCTION("IF(COUNTA(Q1028:Q1350)=0,"""",IF(REGEXMATCH(INDEX(FILTER(Q$4:Q1028,Q$4:Q1028&lt;&gt;""""),ROWS(FILTER(Q$4:Q1028,Q$4:Q1028&lt;&gt;""""))),""^Sell_""),INDEX(FILTER(T$4:T1027,Q$4:Q1027&lt;&gt;""""),ROWS(FILTER(Q$4:Q1027,Q$4:Q1027&lt;&gt;""""))),$AD$5+S1028))"),"")</f>
        <v/>
      </c>
      <c r="U1028" s="10" t="str">
        <f>IFERROR(__xludf.DUMMYFUNCTION("IF(COUNTA(Q1028:Q1350)=0,"""",IF(Q1028="""",0,IF(REGEXMATCH(Q1028,""^Sell_""),-ROUNDDOWN(ROUNDUP(INDEX(Upgrades!$C$3:$C$13,MATCH(SUBSTITUTE(Q1028,""Sell_"",""""),Upgrades!$B$3:$B$13,0))*1.15^(COUNTIF(Q$4:Q1027,SUBSTITUTE(Q1028,""Sell_"",""""))-COUNTIF(Q$4"&amp;":Q1027,""Sell_""&amp;SUBSTITUTE(Q1028,""Sell_"",""""))))/2),ROUNDUP(INDEX(Upgrades!$C$3:$C$13,MATCH(Q1028,Upgrades!$B$3:$B$13,0))*1.15^(COUNTIF(Q$4:Q1027,Q1028)-COUNTIF(Q$4:Q1027,""Sell_""&amp;Q1028))))))"),"")</f>
        <v/>
      </c>
      <c r="V1028" s="10" t="str">
        <f t="shared" si="11"/>
        <v/>
      </c>
      <c r="W1028" s="68" t="str">
        <f t="shared" si="12"/>
        <v/>
      </c>
      <c r="X1028" s="59" t="str">
        <f t="shared" si="13"/>
        <v/>
      </c>
      <c r="Y1028" s="69" t="str">
        <f t="shared" si="14"/>
        <v/>
      </c>
      <c r="Z1028" s="11"/>
    </row>
    <row r="1029">
      <c r="A1029" s="8"/>
      <c r="B1029" s="56" t="str">
        <f t="shared" si="2"/>
        <v/>
      </c>
      <c r="C1029" s="57"/>
      <c r="D1029" s="10" t="str">
        <f>IFERROR(__xludf.DUMMYFUNCTION("IF(COUNTA(C1029:C1350)=0,"""",IF(ISBLANK(C1029),FALSE,IF(NOT(COUNTIF($AA$24:$AA$34,SUBSTITUTE(C1029,""Sell_"",""""))),1,IF(REGEXMATCH(C1029,""Sell_""),IF(COUNTIF(C$4:C1029,SUBSTITUTE(C1029,""Sell_"",""""))-COUNTIF(C$4:C1028,C1029)&lt;1,1),FALSE))))"),"")</f>
        <v/>
      </c>
      <c r="E1029" s="59" t="str">
        <f t="array" ref="E1029">IF(COUNTA(C1029:C1350)=0,"",SUM((COUNTIF(C$4:C1029,Upgrades!$B$3:$B$13)-COUNTIF(C$4:C1029,"Sell_"&amp;Upgrades!$B$3:$B$13))*Upgrades!$D$3:$D$13))</f>
        <v/>
      </c>
      <c r="F1029" s="66" t="str">
        <f>IFERROR(__xludf.DUMMYFUNCTION("IF(COUNTA(C1029:C1350)=0,"""",IF(REGEXMATCH(INDEX(FILTER(C$4:C1029,C$4:C1029&lt;&gt;""""),ROWS(FILTER(C$4:C1029,C$4:C1029&lt;&gt;""""))),""^Sell_""),INDEX(FILTER(F$4:F1028,C$4:C1028&lt;&gt;""""),ROWS(FILTER(C$4:C1028,C$4:C1028&lt;&gt;""""))),$AC$5+E1029))"),"")</f>
        <v/>
      </c>
      <c r="G1029" s="10" t="str">
        <f>IFERROR(__xludf.DUMMYFUNCTION("IF(COUNTA(C1029:C1350)=0,"""",IF(C1029="""",0,IF(REGEXMATCH(C1029,""^Sell_""),-ROUNDDOWN(ROUNDUP(INDEX(Upgrades!$C$3:$C$13,MATCH(SUBSTITUTE(C1029,""Sell_"",""""),Upgrades!$B$3:$B$13,0))*1.15^(COUNTIF(C$4:C1028,SUBSTITUTE(C1029,""Sell_"",""""))-COUNTIF(C$4"&amp;":C1028,""Sell_""&amp;SUBSTITUTE(C1029,""Sell_"",""""))))/2),ROUNDUP(INDEX(Upgrades!$C$3:$C$13,MATCH(C1029,Upgrades!$B$3:$B$13,0))*1.15^(COUNTIF(C$4:C1028,C1029)-COUNTIF(C$4:C1028,""Sell_""&amp;C1029))))))"),"")</f>
        <v/>
      </c>
      <c r="H1029" s="10" t="str">
        <f t="shared" si="3"/>
        <v/>
      </c>
      <c r="I1029" s="68" t="str">
        <f t="shared" si="4"/>
        <v/>
      </c>
      <c r="J1029" s="59" t="str">
        <f t="shared" si="5"/>
        <v/>
      </c>
      <c r="K1029" s="69" t="str">
        <f t="shared" si="6"/>
        <v/>
      </c>
      <c r="L1029" s="60" t="str">
        <f t="shared" si="7"/>
        <v/>
      </c>
      <c r="M1029" s="61" t="str">
        <f>IFERROR(__xludf.DUMMYFUNCTION("IFS(AND(COUNTA(C1029:C1350)=0,COUNTA(Q1029:Q1350)=0),"""",OR(AND(K1029&gt;=1000000000,OR(Y1029&gt;=1000000000,COUNTA(Q1029:Q1350)=0)),OR(Y1029&gt;=1000000000,AND(COUNTA(C1029:C1350)=0,P$3=TRUE))),
ROUNDDOWN((AB$1-AC$1)*MAX(INDEX(T$4:T1350,MATCH(LARGE(FILTER(Y$4:Y1"&amp;"350,Y$4:Y1350&lt;1000000000),1),Y$4:Y1350)),INDEX(F$4:F1350,MATCH(LARGE(FILTER(K$4:K1350,K$4:K1350&lt;1000000000),1),K$4:K1350)))),AND(K1029&lt;1000000000,COUNTA(C1029:C1350)&gt;0,P$3=FALSE),
ROUNDDOWN(INDEX(Y$4:Y1350,MATCH(LARGE(FILTER(W$4:W1350,W$4:W1350&lt;=I1029),1)"&amp;",W$4:W1350))+(I1029-LARGE(FILTER(W$4:W1350,W$4:W1350&lt;=I1029),1))*INDEX(T$4:T1350,MATCH(LARGE(FILTER(W$4:W1350,W$4:W1350&lt;=I1029),1),W$4:W1350))-K1029),1,
ROUNDDOWN(Y1029-INDEX(K$4:K1350,MATCH(LARGE(FILTER(I$4:I1350,I$4:I1350&lt;=W1029),1),I$4:I1350))-(W1029-L"&amp;"ARGE(FILTER(I$4:I1350,I$4:I1350&lt;=W1029),1))*INDEX(F$4:F1350,MATCH(LARGE(FILTER(I$4:I1350,I$4:I1350&lt;=W1029),1),I$4:I1350))))"),"")</f>
        <v/>
      </c>
      <c r="N1029" s="60" t="str">
        <f t="shared" si="8"/>
        <v/>
      </c>
      <c r="O1029" s="61" t="str">
        <f t="shared" si="9"/>
        <v/>
      </c>
      <c r="P1029" s="56" t="str">
        <f t="shared" si="10"/>
        <v/>
      </c>
      <c r="Q1029" s="62"/>
      <c r="R1029" s="10" t="str">
        <f>IFERROR(__xludf.DUMMYFUNCTION("IF(COUNTA(Q1029:Q1350)=0,"""",IF(ISBLANK(Q1029),FALSE,IF(NOT(COUNTIF($AA$24:$AA$34,SUBSTITUTE(Q1029,""Sell_"",""""))),1,IF(REGEXMATCH(Q1029,""Sell_""),IF(COUNTIF(Q$4:Q1029,SUBSTITUTE(Q1029,""Sell_"",""""))-COUNTIF(Q$4:Q1028,Q1029)&lt;1,1),FALSE))))"),"")</f>
        <v/>
      </c>
      <c r="S1029" s="59" t="str">
        <f t="array" ref="S1029">IF(COUNTA(Q1029:Q1350)=0,"",SUM((COUNTIF(Q$4:Q1029,Upgrades!$B$3:$B$13)-COUNTIF(Q$4:Q1029,"Sell_"&amp;Upgrades!$B$3:$B$13))*Upgrades!$D$3:$D$13))</f>
        <v/>
      </c>
      <c r="T1029" s="66" t="str">
        <f>IFERROR(__xludf.DUMMYFUNCTION("IF(COUNTA(Q1029:Q1350)=0,"""",IF(REGEXMATCH(INDEX(FILTER(Q$4:Q1029,Q$4:Q1029&lt;&gt;""""),ROWS(FILTER(Q$4:Q1029,Q$4:Q1029&lt;&gt;""""))),""^Sell_""),INDEX(FILTER(T$4:T1028,Q$4:Q1028&lt;&gt;""""),ROWS(FILTER(Q$4:Q1028,Q$4:Q1028&lt;&gt;""""))),$AD$5+S1029))"),"")</f>
        <v/>
      </c>
      <c r="U1029" s="10" t="str">
        <f>IFERROR(__xludf.DUMMYFUNCTION("IF(COUNTA(Q1029:Q1350)=0,"""",IF(Q1029="""",0,IF(REGEXMATCH(Q1029,""^Sell_""),-ROUNDDOWN(ROUNDUP(INDEX(Upgrades!$C$3:$C$13,MATCH(SUBSTITUTE(Q1029,""Sell_"",""""),Upgrades!$B$3:$B$13,0))*1.15^(COUNTIF(Q$4:Q1028,SUBSTITUTE(Q1029,""Sell_"",""""))-COUNTIF(Q$4"&amp;":Q1028,""Sell_""&amp;SUBSTITUTE(Q1029,""Sell_"",""""))))/2),ROUNDUP(INDEX(Upgrades!$C$3:$C$13,MATCH(Q1029,Upgrades!$B$3:$B$13,0))*1.15^(COUNTIF(Q$4:Q1028,Q1029)-COUNTIF(Q$4:Q1028,""Sell_""&amp;Q1029))))))"),"")</f>
        <v/>
      </c>
      <c r="V1029" s="10" t="str">
        <f t="shared" si="11"/>
        <v/>
      </c>
      <c r="W1029" s="68" t="str">
        <f t="shared" si="12"/>
        <v/>
      </c>
      <c r="X1029" s="59" t="str">
        <f t="shared" si="13"/>
        <v/>
      </c>
      <c r="Y1029" s="69" t="str">
        <f t="shared" si="14"/>
        <v/>
      </c>
      <c r="Z1029" s="11"/>
    </row>
    <row r="1030">
      <c r="A1030" s="8"/>
      <c r="B1030" s="56" t="str">
        <f t="shared" si="2"/>
        <v/>
      </c>
      <c r="C1030" s="57"/>
      <c r="D1030" s="10" t="str">
        <f>IFERROR(__xludf.DUMMYFUNCTION("IF(COUNTA(C1030:C1350)=0,"""",IF(ISBLANK(C1030),FALSE,IF(NOT(COUNTIF($AA$24:$AA$34,SUBSTITUTE(C1030,""Sell_"",""""))),1,IF(REGEXMATCH(C1030,""Sell_""),IF(COUNTIF(C$4:C1030,SUBSTITUTE(C1030,""Sell_"",""""))-COUNTIF(C$4:C1029,C1030)&lt;1,1),FALSE))))"),"")</f>
        <v/>
      </c>
      <c r="E1030" s="59" t="str">
        <f t="array" ref="E1030">IF(COUNTA(C1030:C1350)=0,"",SUM((COUNTIF(C$4:C1030,Upgrades!$B$3:$B$13)-COUNTIF(C$4:C1030,"Sell_"&amp;Upgrades!$B$3:$B$13))*Upgrades!$D$3:$D$13))</f>
        <v/>
      </c>
      <c r="F1030" s="66" t="str">
        <f>IFERROR(__xludf.DUMMYFUNCTION("IF(COUNTA(C1030:C1350)=0,"""",IF(REGEXMATCH(INDEX(FILTER(C$4:C1030,C$4:C1030&lt;&gt;""""),ROWS(FILTER(C$4:C1030,C$4:C1030&lt;&gt;""""))),""^Sell_""),INDEX(FILTER(F$4:F1029,C$4:C1029&lt;&gt;""""),ROWS(FILTER(C$4:C1029,C$4:C1029&lt;&gt;""""))),$AC$5+E1030))"),"")</f>
        <v/>
      </c>
      <c r="G1030" s="10" t="str">
        <f>IFERROR(__xludf.DUMMYFUNCTION("IF(COUNTA(C1030:C1350)=0,"""",IF(C1030="""",0,IF(REGEXMATCH(C1030,""^Sell_""),-ROUNDDOWN(ROUNDUP(INDEX(Upgrades!$C$3:$C$13,MATCH(SUBSTITUTE(C1030,""Sell_"",""""),Upgrades!$B$3:$B$13,0))*1.15^(COUNTIF(C$4:C1029,SUBSTITUTE(C1030,""Sell_"",""""))-COUNTIF(C$4"&amp;":C1029,""Sell_""&amp;SUBSTITUTE(C1030,""Sell_"",""""))))/2),ROUNDUP(INDEX(Upgrades!$C$3:$C$13,MATCH(C1030,Upgrades!$B$3:$B$13,0))*1.15^(COUNTIF(C$4:C1029,C1030)-COUNTIF(C$4:C1029,""Sell_""&amp;C1030))))))"),"")</f>
        <v/>
      </c>
      <c r="H1030" s="10" t="str">
        <f t="shared" si="3"/>
        <v/>
      </c>
      <c r="I1030" s="68" t="str">
        <f t="shared" si="4"/>
        <v/>
      </c>
      <c r="J1030" s="59" t="str">
        <f t="shared" si="5"/>
        <v/>
      </c>
      <c r="K1030" s="69" t="str">
        <f t="shared" si="6"/>
        <v/>
      </c>
      <c r="L1030" s="60" t="str">
        <f t="shared" si="7"/>
        <v/>
      </c>
      <c r="M1030" s="61" t="str">
        <f>IFERROR(__xludf.DUMMYFUNCTION("IFS(AND(COUNTA(C1030:C1350)=0,COUNTA(Q1030:Q1350)=0),"""",OR(AND(K1030&gt;=1000000000,OR(Y1030&gt;=1000000000,COUNTA(Q1030:Q1350)=0)),OR(Y1030&gt;=1000000000,AND(COUNTA(C1030:C1350)=0,P$3=TRUE))),
ROUNDDOWN((AB$1-AC$1)*MAX(INDEX(T$4:T1350,MATCH(LARGE(FILTER(Y$4:Y1"&amp;"350,Y$4:Y1350&lt;1000000000),1),Y$4:Y1350)),INDEX(F$4:F1350,MATCH(LARGE(FILTER(K$4:K1350,K$4:K1350&lt;1000000000),1),K$4:K1350)))),AND(K1030&lt;1000000000,COUNTA(C1030:C1350)&gt;0,P$3=FALSE),
ROUNDDOWN(INDEX(Y$4:Y1350,MATCH(LARGE(FILTER(W$4:W1350,W$4:W1350&lt;=I1030),1)"&amp;",W$4:W1350))+(I1030-LARGE(FILTER(W$4:W1350,W$4:W1350&lt;=I1030),1))*INDEX(T$4:T1350,MATCH(LARGE(FILTER(W$4:W1350,W$4:W1350&lt;=I1030),1),W$4:W1350))-K1030),1,
ROUNDDOWN(Y1030-INDEX(K$4:K1350,MATCH(LARGE(FILTER(I$4:I1350,I$4:I1350&lt;=W1030),1),I$4:I1350))-(W1030-L"&amp;"ARGE(FILTER(I$4:I1350,I$4:I1350&lt;=W1030),1))*INDEX(F$4:F1350,MATCH(LARGE(FILTER(I$4:I1350,I$4:I1350&lt;=W1030),1),I$4:I1350))))"),"")</f>
        <v/>
      </c>
      <c r="N1030" s="60" t="str">
        <f t="shared" si="8"/>
        <v/>
      </c>
      <c r="O1030" s="61" t="str">
        <f t="shared" si="9"/>
        <v/>
      </c>
      <c r="P1030" s="56" t="str">
        <f t="shared" si="10"/>
        <v/>
      </c>
      <c r="Q1030" s="62"/>
      <c r="R1030" s="10" t="str">
        <f>IFERROR(__xludf.DUMMYFUNCTION("IF(COUNTA(Q1030:Q1350)=0,"""",IF(ISBLANK(Q1030),FALSE,IF(NOT(COUNTIF($AA$24:$AA$34,SUBSTITUTE(Q1030,""Sell_"",""""))),1,IF(REGEXMATCH(Q1030,""Sell_""),IF(COUNTIF(Q$4:Q1030,SUBSTITUTE(Q1030,""Sell_"",""""))-COUNTIF(Q$4:Q1029,Q1030)&lt;1,1),FALSE))))"),"")</f>
        <v/>
      </c>
      <c r="S1030" s="59" t="str">
        <f t="array" ref="S1030">IF(COUNTA(Q1030:Q1350)=0,"",SUM((COUNTIF(Q$4:Q1030,Upgrades!$B$3:$B$13)-COUNTIF(Q$4:Q1030,"Sell_"&amp;Upgrades!$B$3:$B$13))*Upgrades!$D$3:$D$13))</f>
        <v/>
      </c>
      <c r="T1030" s="66" t="str">
        <f>IFERROR(__xludf.DUMMYFUNCTION("IF(COUNTA(Q1030:Q1350)=0,"""",IF(REGEXMATCH(INDEX(FILTER(Q$4:Q1030,Q$4:Q1030&lt;&gt;""""),ROWS(FILTER(Q$4:Q1030,Q$4:Q1030&lt;&gt;""""))),""^Sell_""),INDEX(FILTER(T$4:T1029,Q$4:Q1029&lt;&gt;""""),ROWS(FILTER(Q$4:Q1029,Q$4:Q1029&lt;&gt;""""))),$AD$5+S1030))"),"")</f>
        <v/>
      </c>
      <c r="U1030" s="10" t="str">
        <f>IFERROR(__xludf.DUMMYFUNCTION("IF(COUNTA(Q1030:Q1350)=0,"""",IF(Q1030="""",0,IF(REGEXMATCH(Q1030,""^Sell_""),-ROUNDDOWN(ROUNDUP(INDEX(Upgrades!$C$3:$C$13,MATCH(SUBSTITUTE(Q1030,""Sell_"",""""),Upgrades!$B$3:$B$13,0))*1.15^(COUNTIF(Q$4:Q1029,SUBSTITUTE(Q1030,""Sell_"",""""))-COUNTIF(Q$4"&amp;":Q1029,""Sell_""&amp;SUBSTITUTE(Q1030,""Sell_"",""""))))/2),ROUNDUP(INDEX(Upgrades!$C$3:$C$13,MATCH(Q1030,Upgrades!$B$3:$B$13,0))*1.15^(COUNTIF(Q$4:Q1029,Q1030)-COUNTIF(Q$4:Q1029,""Sell_""&amp;Q1030))))))"),"")</f>
        <v/>
      </c>
      <c r="V1030" s="10" t="str">
        <f t="shared" si="11"/>
        <v/>
      </c>
      <c r="W1030" s="68" t="str">
        <f t="shared" si="12"/>
        <v/>
      </c>
      <c r="X1030" s="59" t="str">
        <f t="shared" si="13"/>
        <v/>
      </c>
      <c r="Y1030" s="69" t="str">
        <f t="shared" si="14"/>
        <v/>
      </c>
      <c r="Z1030" s="11"/>
    </row>
    <row r="1031">
      <c r="A1031" s="8"/>
      <c r="B1031" s="56" t="str">
        <f t="shared" si="2"/>
        <v/>
      </c>
      <c r="C1031" s="57"/>
      <c r="D1031" s="10" t="str">
        <f>IFERROR(__xludf.DUMMYFUNCTION("IF(COUNTA(C1031:C1350)=0,"""",IF(ISBLANK(C1031),FALSE,IF(NOT(COUNTIF($AA$24:$AA$34,SUBSTITUTE(C1031,""Sell_"",""""))),1,IF(REGEXMATCH(C1031,""Sell_""),IF(COUNTIF(C$4:C1031,SUBSTITUTE(C1031,""Sell_"",""""))-COUNTIF(C$4:C1030,C1031)&lt;1,1),FALSE))))"),"")</f>
        <v/>
      </c>
      <c r="E1031" s="59" t="str">
        <f t="array" ref="E1031">IF(COUNTA(C1031:C1350)=0,"",SUM((COUNTIF(C$4:C1031,Upgrades!$B$3:$B$13)-COUNTIF(C$4:C1031,"Sell_"&amp;Upgrades!$B$3:$B$13))*Upgrades!$D$3:$D$13))</f>
        <v/>
      </c>
      <c r="F1031" s="66" t="str">
        <f>IFERROR(__xludf.DUMMYFUNCTION("IF(COUNTA(C1031:C1350)=0,"""",IF(REGEXMATCH(INDEX(FILTER(C$4:C1031,C$4:C1031&lt;&gt;""""),ROWS(FILTER(C$4:C1031,C$4:C1031&lt;&gt;""""))),""^Sell_""),INDEX(FILTER(F$4:F1030,C$4:C1030&lt;&gt;""""),ROWS(FILTER(C$4:C1030,C$4:C1030&lt;&gt;""""))),$AC$5+E1031))"),"")</f>
        <v/>
      </c>
      <c r="G1031" s="10" t="str">
        <f>IFERROR(__xludf.DUMMYFUNCTION("IF(COUNTA(C1031:C1350)=0,"""",IF(C1031="""",0,IF(REGEXMATCH(C1031,""^Sell_""),-ROUNDDOWN(ROUNDUP(INDEX(Upgrades!$C$3:$C$13,MATCH(SUBSTITUTE(C1031,""Sell_"",""""),Upgrades!$B$3:$B$13,0))*1.15^(COUNTIF(C$4:C1030,SUBSTITUTE(C1031,""Sell_"",""""))-COUNTIF(C$4"&amp;":C1030,""Sell_""&amp;SUBSTITUTE(C1031,""Sell_"",""""))))/2),ROUNDUP(INDEX(Upgrades!$C$3:$C$13,MATCH(C1031,Upgrades!$B$3:$B$13,0))*1.15^(COUNTIF(C$4:C1030,C1031)-COUNTIF(C$4:C1030,""Sell_""&amp;C1031))))))"),"")</f>
        <v/>
      </c>
      <c r="H1031" s="10" t="str">
        <f t="shared" si="3"/>
        <v/>
      </c>
      <c r="I1031" s="68" t="str">
        <f t="shared" si="4"/>
        <v/>
      </c>
      <c r="J1031" s="59" t="str">
        <f t="shared" si="5"/>
        <v/>
      </c>
      <c r="K1031" s="69" t="str">
        <f t="shared" si="6"/>
        <v/>
      </c>
      <c r="L1031" s="60" t="str">
        <f t="shared" si="7"/>
        <v/>
      </c>
      <c r="M1031" s="61" t="str">
        <f>IFERROR(__xludf.DUMMYFUNCTION("IFS(AND(COUNTA(C1031:C1350)=0,COUNTA(Q1031:Q1350)=0),"""",OR(AND(K1031&gt;=1000000000,OR(Y1031&gt;=1000000000,COUNTA(Q1031:Q1350)=0)),OR(Y1031&gt;=1000000000,AND(COUNTA(C1031:C1350)=0,P$3=TRUE))),
ROUNDDOWN((AB$1-AC$1)*MAX(INDEX(T$4:T1350,MATCH(LARGE(FILTER(Y$4:Y1"&amp;"350,Y$4:Y1350&lt;1000000000),1),Y$4:Y1350)),INDEX(F$4:F1350,MATCH(LARGE(FILTER(K$4:K1350,K$4:K1350&lt;1000000000),1),K$4:K1350)))),AND(K1031&lt;1000000000,COUNTA(C1031:C1350)&gt;0,P$3=FALSE),
ROUNDDOWN(INDEX(Y$4:Y1350,MATCH(LARGE(FILTER(W$4:W1350,W$4:W1350&lt;=I1031),1)"&amp;",W$4:W1350))+(I1031-LARGE(FILTER(W$4:W1350,W$4:W1350&lt;=I1031),1))*INDEX(T$4:T1350,MATCH(LARGE(FILTER(W$4:W1350,W$4:W1350&lt;=I1031),1),W$4:W1350))-K1031),1,
ROUNDDOWN(Y1031-INDEX(K$4:K1350,MATCH(LARGE(FILTER(I$4:I1350,I$4:I1350&lt;=W1031),1),I$4:I1350))-(W1031-L"&amp;"ARGE(FILTER(I$4:I1350,I$4:I1350&lt;=W1031),1))*INDEX(F$4:F1350,MATCH(LARGE(FILTER(I$4:I1350,I$4:I1350&lt;=W1031),1),I$4:I1350))))"),"")</f>
        <v/>
      </c>
      <c r="N1031" s="60" t="str">
        <f t="shared" si="8"/>
        <v/>
      </c>
      <c r="O1031" s="61" t="str">
        <f t="shared" si="9"/>
        <v/>
      </c>
      <c r="P1031" s="56" t="str">
        <f t="shared" si="10"/>
        <v/>
      </c>
      <c r="Q1031" s="62"/>
      <c r="R1031" s="10" t="str">
        <f>IFERROR(__xludf.DUMMYFUNCTION("IF(COUNTA(Q1031:Q1350)=0,"""",IF(ISBLANK(Q1031),FALSE,IF(NOT(COUNTIF($AA$24:$AA$34,SUBSTITUTE(Q1031,""Sell_"",""""))),1,IF(REGEXMATCH(Q1031,""Sell_""),IF(COUNTIF(Q$4:Q1031,SUBSTITUTE(Q1031,""Sell_"",""""))-COUNTIF(Q$4:Q1030,Q1031)&lt;1,1),FALSE))))"),"")</f>
        <v/>
      </c>
      <c r="S1031" s="59" t="str">
        <f t="array" ref="S1031">IF(COUNTA(Q1031:Q1350)=0,"",SUM((COUNTIF(Q$4:Q1031,Upgrades!$B$3:$B$13)-COUNTIF(Q$4:Q1031,"Sell_"&amp;Upgrades!$B$3:$B$13))*Upgrades!$D$3:$D$13))</f>
        <v/>
      </c>
      <c r="T1031" s="66" t="str">
        <f>IFERROR(__xludf.DUMMYFUNCTION("IF(COUNTA(Q1031:Q1350)=0,"""",IF(REGEXMATCH(INDEX(FILTER(Q$4:Q1031,Q$4:Q1031&lt;&gt;""""),ROWS(FILTER(Q$4:Q1031,Q$4:Q1031&lt;&gt;""""))),""^Sell_""),INDEX(FILTER(T$4:T1030,Q$4:Q1030&lt;&gt;""""),ROWS(FILTER(Q$4:Q1030,Q$4:Q1030&lt;&gt;""""))),$AD$5+S1031))"),"")</f>
        <v/>
      </c>
      <c r="U1031" s="10" t="str">
        <f>IFERROR(__xludf.DUMMYFUNCTION("IF(COUNTA(Q1031:Q1350)=0,"""",IF(Q1031="""",0,IF(REGEXMATCH(Q1031,""^Sell_""),-ROUNDDOWN(ROUNDUP(INDEX(Upgrades!$C$3:$C$13,MATCH(SUBSTITUTE(Q1031,""Sell_"",""""),Upgrades!$B$3:$B$13,0))*1.15^(COUNTIF(Q$4:Q1030,SUBSTITUTE(Q1031,""Sell_"",""""))-COUNTIF(Q$4"&amp;":Q1030,""Sell_""&amp;SUBSTITUTE(Q1031,""Sell_"",""""))))/2),ROUNDUP(INDEX(Upgrades!$C$3:$C$13,MATCH(Q1031,Upgrades!$B$3:$B$13,0))*1.15^(COUNTIF(Q$4:Q1030,Q1031)-COUNTIF(Q$4:Q1030,""Sell_""&amp;Q1031))))))"),"")</f>
        <v/>
      </c>
      <c r="V1031" s="10" t="str">
        <f t="shared" si="11"/>
        <v/>
      </c>
      <c r="W1031" s="68" t="str">
        <f t="shared" si="12"/>
        <v/>
      </c>
      <c r="X1031" s="59" t="str">
        <f t="shared" si="13"/>
        <v/>
      </c>
      <c r="Y1031" s="69" t="str">
        <f t="shared" si="14"/>
        <v/>
      </c>
      <c r="Z1031" s="11"/>
    </row>
    <row r="1032">
      <c r="A1032" s="8"/>
      <c r="B1032" s="56" t="str">
        <f t="shared" si="2"/>
        <v/>
      </c>
      <c r="C1032" s="57"/>
      <c r="D1032" s="10" t="str">
        <f>IFERROR(__xludf.DUMMYFUNCTION("IF(COUNTA(C1032:C1350)=0,"""",IF(ISBLANK(C1032),FALSE,IF(NOT(COUNTIF($AA$24:$AA$34,SUBSTITUTE(C1032,""Sell_"",""""))),1,IF(REGEXMATCH(C1032,""Sell_""),IF(COUNTIF(C$4:C1032,SUBSTITUTE(C1032,""Sell_"",""""))-COUNTIF(C$4:C1031,C1032)&lt;1,1),FALSE))))"),"")</f>
        <v/>
      </c>
      <c r="E1032" s="59" t="str">
        <f t="array" ref="E1032">IF(COUNTA(C1032:C1350)=0,"",SUM((COUNTIF(C$4:C1032,Upgrades!$B$3:$B$13)-COUNTIF(C$4:C1032,"Sell_"&amp;Upgrades!$B$3:$B$13))*Upgrades!$D$3:$D$13))</f>
        <v/>
      </c>
      <c r="F1032" s="66" t="str">
        <f>IFERROR(__xludf.DUMMYFUNCTION("IF(COUNTA(C1032:C1350)=0,"""",IF(REGEXMATCH(INDEX(FILTER(C$4:C1032,C$4:C1032&lt;&gt;""""),ROWS(FILTER(C$4:C1032,C$4:C1032&lt;&gt;""""))),""^Sell_""),INDEX(FILTER(F$4:F1031,C$4:C1031&lt;&gt;""""),ROWS(FILTER(C$4:C1031,C$4:C1031&lt;&gt;""""))),$AC$5+E1032))"),"")</f>
        <v/>
      </c>
      <c r="G1032" s="10" t="str">
        <f>IFERROR(__xludf.DUMMYFUNCTION("IF(COUNTA(C1032:C1350)=0,"""",IF(C1032="""",0,IF(REGEXMATCH(C1032,""^Sell_""),-ROUNDDOWN(ROUNDUP(INDEX(Upgrades!$C$3:$C$13,MATCH(SUBSTITUTE(C1032,""Sell_"",""""),Upgrades!$B$3:$B$13,0))*1.15^(COUNTIF(C$4:C1031,SUBSTITUTE(C1032,""Sell_"",""""))-COUNTIF(C$4"&amp;":C1031,""Sell_""&amp;SUBSTITUTE(C1032,""Sell_"",""""))))/2),ROUNDUP(INDEX(Upgrades!$C$3:$C$13,MATCH(C1032,Upgrades!$B$3:$B$13,0))*1.15^(COUNTIF(C$4:C1031,C1032)-COUNTIF(C$4:C1031,""Sell_""&amp;C1032))))))"),"")</f>
        <v/>
      </c>
      <c r="H1032" s="10" t="str">
        <f t="shared" si="3"/>
        <v/>
      </c>
      <c r="I1032" s="68" t="str">
        <f t="shared" si="4"/>
        <v/>
      </c>
      <c r="J1032" s="59" t="str">
        <f t="shared" si="5"/>
        <v/>
      </c>
      <c r="K1032" s="69" t="str">
        <f t="shared" si="6"/>
        <v/>
      </c>
      <c r="L1032" s="60" t="str">
        <f t="shared" si="7"/>
        <v/>
      </c>
      <c r="M1032" s="61" t="str">
        <f>IFERROR(__xludf.DUMMYFUNCTION("IFS(AND(COUNTA(C1032:C1350)=0,COUNTA(Q1032:Q1350)=0),"""",OR(AND(K1032&gt;=1000000000,OR(Y1032&gt;=1000000000,COUNTA(Q1032:Q1350)=0)),OR(Y1032&gt;=1000000000,AND(COUNTA(C1032:C1350)=0,P$3=TRUE))),
ROUNDDOWN((AB$1-AC$1)*MAX(INDEX(T$4:T1350,MATCH(LARGE(FILTER(Y$4:Y1"&amp;"350,Y$4:Y1350&lt;1000000000),1),Y$4:Y1350)),INDEX(F$4:F1350,MATCH(LARGE(FILTER(K$4:K1350,K$4:K1350&lt;1000000000),1),K$4:K1350)))),AND(K1032&lt;1000000000,COUNTA(C1032:C1350)&gt;0,P$3=FALSE),
ROUNDDOWN(INDEX(Y$4:Y1350,MATCH(LARGE(FILTER(W$4:W1350,W$4:W1350&lt;=I1032),1)"&amp;",W$4:W1350))+(I1032-LARGE(FILTER(W$4:W1350,W$4:W1350&lt;=I1032),1))*INDEX(T$4:T1350,MATCH(LARGE(FILTER(W$4:W1350,W$4:W1350&lt;=I1032),1),W$4:W1350))-K1032),1,
ROUNDDOWN(Y1032-INDEX(K$4:K1350,MATCH(LARGE(FILTER(I$4:I1350,I$4:I1350&lt;=W1032),1),I$4:I1350))-(W1032-L"&amp;"ARGE(FILTER(I$4:I1350,I$4:I1350&lt;=W1032),1))*INDEX(F$4:F1350,MATCH(LARGE(FILTER(I$4:I1350,I$4:I1350&lt;=W1032),1),I$4:I1350))))"),"")</f>
        <v/>
      </c>
      <c r="N1032" s="60" t="str">
        <f t="shared" si="8"/>
        <v/>
      </c>
      <c r="O1032" s="61" t="str">
        <f t="shared" si="9"/>
        <v/>
      </c>
      <c r="P1032" s="56" t="str">
        <f t="shared" si="10"/>
        <v/>
      </c>
      <c r="Q1032" s="62"/>
      <c r="R1032" s="10" t="str">
        <f>IFERROR(__xludf.DUMMYFUNCTION("IF(COUNTA(Q1032:Q1350)=0,"""",IF(ISBLANK(Q1032),FALSE,IF(NOT(COUNTIF($AA$24:$AA$34,SUBSTITUTE(Q1032,""Sell_"",""""))),1,IF(REGEXMATCH(Q1032,""Sell_""),IF(COUNTIF(Q$4:Q1032,SUBSTITUTE(Q1032,""Sell_"",""""))-COUNTIF(Q$4:Q1031,Q1032)&lt;1,1),FALSE))))"),"")</f>
        <v/>
      </c>
      <c r="S1032" s="59" t="str">
        <f t="array" ref="S1032">IF(COUNTA(Q1032:Q1350)=0,"",SUM((COUNTIF(Q$4:Q1032,Upgrades!$B$3:$B$13)-COUNTIF(Q$4:Q1032,"Sell_"&amp;Upgrades!$B$3:$B$13))*Upgrades!$D$3:$D$13))</f>
        <v/>
      </c>
      <c r="T1032" s="66" t="str">
        <f>IFERROR(__xludf.DUMMYFUNCTION("IF(COUNTA(Q1032:Q1350)=0,"""",IF(REGEXMATCH(INDEX(FILTER(Q$4:Q1032,Q$4:Q1032&lt;&gt;""""),ROWS(FILTER(Q$4:Q1032,Q$4:Q1032&lt;&gt;""""))),""^Sell_""),INDEX(FILTER(T$4:T1031,Q$4:Q1031&lt;&gt;""""),ROWS(FILTER(Q$4:Q1031,Q$4:Q1031&lt;&gt;""""))),$AD$5+S1032))"),"")</f>
        <v/>
      </c>
      <c r="U1032" s="10" t="str">
        <f>IFERROR(__xludf.DUMMYFUNCTION("IF(COUNTA(Q1032:Q1350)=0,"""",IF(Q1032="""",0,IF(REGEXMATCH(Q1032,""^Sell_""),-ROUNDDOWN(ROUNDUP(INDEX(Upgrades!$C$3:$C$13,MATCH(SUBSTITUTE(Q1032,""Sell_"",""""),Upgrades!$B$3:$B$13,0))*1.15^(COUNTIF(Q$4:Q1031,SUBSTITUTE(Q1032,""Sell_"",""""))-COUNTIF(Q$4"&amp;":Q1031,""Sell_""&amp;SUBSTITUTE(Q1032,""Sell_"",""""))))/2),ROUNDUP(INDEX(Upgrades!$C$3:$C$13,MATCH(Q1032,Upgrades!$B$3:$B$13,0))*1.15^(COUNTIF(Q$4:Q1031,Q1032)-COUNTIF(Q$4:Q1031,""Sell_""&amp;Q1032))))))"),"")</f>
        <v/>
      </c>
      <c r="V1032" s="10" t="str">
        <f t="shared" si="11"/>
        <v/>
      </c>
      <c r="W1032" s="68" t="str">
        <f t="shared" si="12"/>
        <v/>
      </c>
      <c r="X1032" s="59" t="str">
        <f t="shared" si="13"/>
        <v/>
      </c>
      <c r="Y1032" s="69" t="str">
        <f t="shared" si="14"/>
        <v/>
      </c>
      <c r="Z1032" s="11"/>
    </row>
    <row r="1033">
      <c r="A1033" s="8"/>
      <c r="B1033" s="56" t="str">
        <f t="shared" si="2"/>
        <v/>
      </c>
      <c r="C1033" s="57"/>
      <c r="D1033" s="10" t="str">
        <f>IFERROR(__xludf.DUMMYFUNCTION("IF(COUNTA(C1033:C1350)=0,"""",IF(ISBLANK(C1033),FALSE,IF(NOT(COUNTIF($AA$24:$AA$34,SUBSTITUTE(C1033,""Sell_"",""""))),1,IF(REGEXMATCH(C1033,""Sell_""),IF(COUNTIF(C$4:C1033,SUBSTITUTE(C1033,""Sell_"",""""))-COUNTIF(C$4:C1032,C1033)&lt;1,1),FALSE))))"),"")</f>
        <v/>
      </c>
      <c r="E1033" s="59" t="str">
        <f t="array" ref="E1033">IF(COUNTA(C1033:C1350)=0,"",SUM((COUNTIF(C$4:C1033,Upgrades!$B$3:$B$13)-COUNTIF(C$4:C1033,"Sell_"&amp;Upgrades!$B$3:$B$13))*Upgrades!$D$3:$D$13))</f>
        <v/>
      </c>
      <c r="F1033" s="66" t="str">
        <f>IFERROR(__xludf.DUMMYFUNCTION("IF(COUNTA(C1033:C1350)=0,"""",IF(REGEXMATCH(INDEX(FILTER(C$4:C1033,C$4:C1033&lt;&gt;""""),ROWS(FILTER(C$4:C1033,C$4:C1033&lt;&gt;""""))),""^Sell_""),INDEX(FILTER(F$4:F1032,C$4:C1032&lt;&gt;""""),ROWS(FILTER(C$4:C1032,C$4:C1032&lt;&gt;""""))),$AC$5+E1033))"),"")</f>
        <v/>
      </c>
      <c r="G1033" s="10" t="str">
        <f>IFERROR(__xludf.DUMMYFUNCTION("IF(COUNTA(C1033:C1350)=0,"""",IF(C1033="""",0,IF(REGEXMATCH(C1033,""^Sell_""),-ROUNDDOWN(ROUNDUP(INDEX(Upgrades!$C$3:$C$13,MATCH(SUBSTITUTE(C1033,""Sell_"",""""),Upgrades!$B$3:$B$13,0))*1.15^(COUNTIF(C$4:C1032,SUBSTITUTE(C1033,""Sell_"",""""))-COUNTIF(C$4"&amp;":C1032,""Sell_""&amp;SUBSTITUTE(C1033,""Sell_"",""""))))/2),ROUNDUP(INDEX(Upgrades!$C$3:$C$13,MATCH(C1033,Upgrades!$B$3:$B$13,0))*1.15^(COUNTIF(C$4:C1032,C1033)-COUNTIF(C$4:C1032,""Sell_""&amp;C1033))))))"),"")</f>
        <v/>
      </c>
      <c r="H1033" s="10" t="str">
        <f t="shared" si="3"/>
        <v/>
      </c>
      <c r="I1033" s="68" t="str">
        <f t="shared" si="4"/>
        <v/>
      </c>
      <c r="J1033" s="59" t="str">
        <f t="shared" si="5"/>
        <v/>
      </c>
      <c r="K1033" s="69" t="str">
        <f t="shared" si="6"/>
        <v/>
      </c>
      <c r="L1033" s="60" t="str">
        <f t="shared" si="7"/>
        <v/>
      </c>
      <c r="M1033" s="61" t="str">
        <f>IFERROR(__xludf.DUMMYFUNCTION("IFS(AND(COUNTA(C1033:C1350)=0,COUNTA(Q1033:Q1350)=0),"""",OR(AND(K1033&gt;=1000000000,OR(Y1033&gt;=1000000000,COUNTA(Q1033:Q1350)=0)),OR(Y1033&gt;=1000000000,AND(COUNTA(C1033:C1350)=0,P$3=TRUE))),
ROUNDDOWN((AB$1-AC$1)*MAX(INDEX(T$4:T1350,MATCH(LARGE(FILTER(Y$4:Y1"&amp;"350,Y$4:Y1350&lt;1000000000),1),Y$4:Y1350)),INDEX(F$4:F1350,MATCH(LARGE(FILTER(K$4:K1350,K$4:K1350&lt;1000000000),1),K$4:K1350)))),AND(K1033&lt;1000000000,COUNTA(C1033:C1350)&gt;0,P$3=FALSE),
ROUNDDOWN(INDEX(Y$4:Y1350,MATCH(LARGE(FILTER(W$4:W1350,W$4:W1350&lt;=I1033),1)"&amp;",W$4:W1350))+(I1033-LARGE(FILTER(W$4:W1350,W$4:W1350&lt;=I1033),1))*INDEX(T$4:T1350,MATCH(LARGE(FILTER(W$4:W1350,W$4:W1350&lt;=I1033),1),W$4:W1350))-K1033),1,
ROUNDDOWN(Y1033-INDEX(K$4:K1350,MATCH(LARGE(FILTER(I$4:I1350,I$4:I1350&lt;=W1033),1),I$4:I1350))-(W1033-L"&amp;"ARGE(FILTER(I$4:I1350,I$4:I1350&lt;=W1033),1))*INDEX(F$4:F1350,MATCH(LARGE(FILTER(I$4:I1350,I$4:I1350&lt;=W1033),1),I$4:I1350))))"),"")</f>
        <v/>
      </c>
      <c r="N1033" s="60" t="str">
        <f t="shared" si="8"/>
        <v/>
      </c>
      <c r="O1033" s="61" t="str">
        <f t="shared" si="9"/>
        <v/>
      </c>
      <c r="P1033" s="56" t="str">
        <f t="shared" si="10"/>
        <v/>
      </c>
      <c r="Q1033" s="62"/>
      <c r="R1033" s="10" t="str">
        <f>IFERROR(__xludf.DUMMYFUNCTION("IF(COUNTA(Q1033:Q1350)=0,"""",IF(ISBLANK(Q1033),FALSE,IF(NOT(COUNTIF($AA$24:$AA$34,SUBSTITUTE(Q1033,""Sell_"",""""))),1,IF(REGEXMATCH(Q1033,""Sell_""),IF(COUNTIF(Q$4:Q1033,SUBSTITUTE(Q1033,""Sell_"",""""))-COUNTIF(Q$4:Q1032,Q1033)&lt;1,1),FALSE))))"),"")</f>
        <v/>
      </c>
      <c r="S1033" s="59" t="str">
        <f t="array" ref="S1033">IF(COUNTA(Q1033:Q1350)=0,"",SUM((COUNTIF(Q$4:Q1033,Upgrades!$B$3:$B$13)-COUNTIF(Q$4:Q1033,"Sell_"&amp;Upgrades!$B$3:$B$13))*Upgrades!$D$3:$D$13))</f>
        <v/>
      </c>
      <c r="T1033" s="66" t="str">
        <f>IFERROR(__xludf.DUMMYFUNCTION("IF(COUNTA(Q1033:Q1350)=0,"""",IF(REGEXMATCH(INDEX(FILTER(Q$4:Q1033,Q$4:Q1033&lt;&gt;""""),ROWS(FILTER(Q$4:Q1033,Q$4:Q1033&lt;&gt;""""))),""^Sell_""),INDEX(FILTER(T$4:T1032,Q$4:Q1032&lt;&gt;""""),ROWS(FILTER(Q$4:Q1032,Q$4:Q1032&lt;&gt;""""))),$AD$5+S1033))"),"")</f>
        <v/>
      </c>
      <c r="U1033" s="10" t="str">
        <f>IFERROR(__xludf.DUMMYFUNCTION("IF(COUNTA(Q1033:Q1350)=0,"""",IF(Q1033="""",0,IF(REGEXMATCH(Q1033,""^Sell_""),-ROUNDDOWN(ROUNDUP(INDEX(Upgrades!$C$3:$C$13,MATCH(SUBSTITUTE(Q1033,""Sell_"",""""),Upgrades!$B$3:$B$13,0))*1.15^(COUNTIF(Q$4:Q1032,SUBSTITUTE(Q1033,""Sell_"",""""))-COUNTIF(Q$4"&amp;":Q1032,""Sell_""&amp;SUBSTITUTE(Q1033,""Sell_"",""""))))/2),ROUNDUP(INDEX(Upgrades!$C$3:$C$13,MATCH(Q1033,Upgrades!$B$3:$B$13,0))*1.15^(COUNTIF(Q$4:Q1032,Q1033)-COUNTIF(Q$4:Q1032,""Sell_""&amp;Q1033))))))"),"")</f>
        <v/>
      </c>
      <c r="V1033" s="10" t="str">
        <f t="shared" si="11"/>
        <v/>
      </c>
      <c r="W1033" s="68" t="str">
        <f t="shared" si="12"/>
        <v/>
      </c>
      <c r="X1033" s="59" t="str">
        <f t="shared" si="13"/>
        <v/>
      </c>
      <c r="Y1033" s="69" t="str">
        <f t="shared" si="14"/>
        <v/>
      </c>
      <c r="Z1033" s="11"/>
    </row>
    <row r="1034">
      <c r="A1034" s="8"/>
      <c r="B1034" s="56" t="str">
        <f t="shared" si="2"/>
        <v/>
      </c>
      <c r="C1034" s="57"/>
      <c r="D1034" s="10" t="str">
        <f>IFERROR(__xludf.DUMMYFUNCTION("IF(COUNTA(C1034:C1350)=0,"""",IF(ISBLANK(C1034),FALSE,IF(NOT(COUNTIF($AA$24:$AA$34,SUBSTITUTE(C1034,""Sell_"",""""))),1,IF(REGEXMATCH(C1034,""Sell_""),IF(COUNTIF(C$4:C1034,SUBSTITUTE(C1034,""Sell_"",""""))-COUNTIF(C$4:C1033,C1034)&lt;1,1),FALSE))))"),"")</f>
        <v/>
      </c>
      <c r="E1034" s="59" t="str">
        <f t="array" ref="E1034">IF(COUNTA(C1034:C1350)=0,"",SUM((COUNTIF(C$4:C1034,Upgrades!$B$3:$B$13)-COUNTIF(C$4:C1034,"Sell_"&amp;Upgrades!$B$3:$B$13))*Upgrades!$D$3:$D$13))</f>
        <v/>
      </c>
      <c r="F1034" s="66" t="str">
        <f>IFERROR(__xludf.DUMMYFUNCTION("IF(COUNTA(C1034:C1350)=0,"""",IF(REGEXMATCH(INDEX(FILTER(C$4:C1034,C$4:C1034&lt;&gt;""""),ROWS(FILTER(C$4:C1034,C$4:C1034&lt;&gt;""""))),""^Sell_""),INDEX(FILTER(F$4:F1033,C$4:C1033&lt;&gt;""""),ROWS(FILTER(C$4:C1033,C$4:C1033&lt;&gt;""""))),$AC$5+E1034))"),"")</f>
        <v/>
      </c>
      <c r="G1034" s="10" t="str">
        <f>IFERROR(__xludf.DUMMYFUNCTION("IF(COUNTA(C1034:C1350)=0,"""",IF(C1034="""",0,IF(REGEXMATCH(C1034,""^Sell_""),-ROUNDDOWN(ROUNDUP(INDEX(Upgrades!$C$3:$C$13,MATCH(SUBSTITUTE(C1034,""Sell_"",""""),Upgrades!$B$3:$B$13,0))*1.15^(COUNTIF(C$4:C1033,SUBSTITUTE(C1034,""Sell_"",""""))-COUNTIF(C$4"&amp;":C1033,""Sell_""&amp;SUBSTITUTE(C1034,""Sell_"",""""))))/2),ROUNDUP(INDEX(Upgrades!$C$3:$C$13,MATCH(C1034,Upgrades!$B$3:$B$13,0))*1.15^(COUNTIF(C$4:C1033,C1034)-COUNTIF(C$4:C1033,""Sell_""&amp;C1034))))))"),"")</f>
        <v/>
      </c>
      <c r="H1034" s="10" t="str">
        <f t="shared" si="3"/>
        <v/>
      </c>
      <c r="I1034" s="68" t="str">
        <f t="shared" si="4"/>
        <v/>
      </c>
      <c r="J1034" s="59" t="str">
        <f t="shared" si="5"/>
        <v/>
      </c>
      <c r="K1034" s="69" t="str">
        <f t="shared" si="6"/>
        <v/>
      </c>
      <c r="L1034" s="60" t="str">
        <f t="shared" si="7"/>
        <v/>
      </c>
      <c r="M1034" s="61" t="str">
        <f>IFERROR(__xludf.DUMMYFUNCTION("IFS(AND(COUNTA(C1034:C1350)=0,COUNTA(Q1034:Q1350)=0),"""",OR(AND(K1034&gt;=1000000000,OR(Y1034&gt;=1000000000,COUNTA(Q1034:Q1350)=0)),OR(Y1034&gt;=1000000000,AND(COUNTA(C1034:C1350)=0,P$3=TRUE))),
ROUNDDOWN((AB$1-AC$1)*MAX(INDEX(T$4:T1350,MATCH(LARGE(FILTER(Y$4:Y1"&amp;"350,Y$4:Y1350&lt;1000000000),1),Y$4:Y1350)),INDEX(F$4:F1350,MATCH(LARGE(FILTER(K$4:K1350,K$4:K1350&lt;1000000000),1),K$4:K1350)))),AND(K1034&lt;1000000000,COUNTA(C1034:C1350)&gt;0,P$3=FALSE),
ROUNDDOWN(INDEX(Y$4:Y1350,MATCH(LARGE(FILTER(W$4:W1350,W$4:W1350&lt;=I1034),1)"&amp;",W$4:W1350))+(I1034-LARGE(FILTER(W$4:W1350,W$4:W1350&lt;=I1034),1))*INDEX(T$4:T1350,MATCH(LARGE(FILTER(W$4:W1350,W$4:W1350&lt;=I1034),1),W$4:W1350))-K1034),1,
ROUNDDOWN(Y1034-INDEX(K$4:K1350,MATCH(LARGE(FILTER(I$4:I1350,I$4:I1350&lt;=W1034),1),I$4:I1350))-(W1034-L"&amp;"ARGE(FILTER(I$4:I1350,I$4:I1350&lt;=W1034),1))*INDEX(F$4:F1350,MATCH(LARGE(FILTER(I$4:I1350,I$4:I1350&lt;=W1034),1),I$4:I1350))))"),"")</f>
        <v/>
      </c>
      <c r="N1034" s="60" t="str">
        <f t="shared" si="8"/>
        <v/>
      </c>
      <c r="O1034" s="61" t="str">
        <f t="shared" si="9"/>
        <v/>
      </c>
      <c r="P1034" s="56" t="str">
        <f t="shared" si="10"/>
        <v/>
      </c>
      <c r="Q1034" s="62"/>
      <c r="R1034" s="10" t="str">
        <f>IFERROR(__xludf.DUMMYFUNCTION("IF(COUNTA(Q1034:Q1350)=0,"""",IF(ISBLANK(Q1034),FALSE,IF(NOT(COUNTIF($AA$24:$AA$34,SUBSTITUTE(Q1034,""Sell_"",""""))),1,IF(REGEXMATCH(Q1034,""Sell_""),IF(COUNTIF(Q$4:Q1034,SUBSTITUTE(Q1034,""Sell_"",""""))-COUNTIF(Q$4:Q1033,Q1034)&lt;1,1),FALSE))))"),"")</f>
        <v/>
      </c>
      <c r="S1034" s="59" t="str">
        <f t="array" ref="S1034">IF(COUNTA(Q1034:Q1350)=0,"",SUM((COUNTIF(Q$4:Q1034,Upgrades!$B$3:$B$13)-COUNTIF(Q$4:Q1034,"Sell_"&amp;Upgrades!$B$3:$B$13))*Upgrades!$D$3:$D$13))</f>
        <v/>
      </c>
      <c r="T1034" s="66" t="str">
        <f>IFERROR(__xludf.DUMMYFUNCTION("IF(COUNTA(Q1034:Q1350)=0,"""",IF(REGEXMATCH(INDEX(FILTER(Q$4:Q1034,Q$4:Q1034&lt;&gt;""""),ROWS(FILTER(Q$4:Q1034,Q$4:Q1034&lt;&gt;""""))),""^Sell_""),INDEX(FILTER(T$4:T1033,Q$4:Q1033&lt;&gt;""""),ROWS(FILTER(Q$4:Q1033,Q$4:Q1033&lt;&gt;""""))),$AD$5+S1034))"),"")</f>
        <v/>
      </c>
      <c r="U1034" s="10" t="str">
        <f>IFERROR(__xludf.DUMMYFUNCTION("IF(COUNTA(Q1034:Q1350)=0,"""",IF(Q1034="""",0,IF(REGEXMATCH(Q1034,""^Sell_""),-ROUNDDOWN(ROUNDUP(INDEX(Upgrades!$C$3:$C$13,MATCH(SUBSTITUTE(Q1034,""Sell_"",""""),Upgrades!$B$3:$B$13,0))*1.15^(COUNTIF(Q$4:Q1033,SUBSTITUTE(Q1034,""Sell_"",""""))-COUNTIF(Q$4"&amp;":Q1033,""Sell_""&amp;SUBSTITUTE(Q1034,""Sell_"",""""))))/2),ROUNDUP(INDEX(Upgrades!$C$3:$C$13,MATCH(Q1034,Upgrades!$B$3:$B$13,0))*1.15^(COUNTIF(Q$4:Q1033,Q1034)-COUNTIF(Q$4:Q1033,""Sell_""&amp;Q1034))))))"),"")</f>
        <v/>
      </c>
      <c r="V1034" s="10" t="str">
        <f t="shared" si="11"/>
        <v/>
      </c>
      <c r="W1034" s="68" t="str">
        <f t="shared" si="12"/>
        <v/>
      </c>
      <c r="X1034" s="59" t="str">
        <f t="shared" si="13"/>
        <v/>
      </c>
      <c r="Y1034" s="69" t="str">
        <f t="shared" si="14"/>
        <v/>
      </c>
      <c r="Z1034" s="11"/>
    </row>
    <row r="1035">
      <c r="A1035" s="8"/>
      <c r="B1035" s="56" t="str">
        <f t="shared" si="2"/>
        <v/>
      </c>
      <c r="C1035" s="57"/>
      <c r="D1035" s="10" t="str">
        <f>IFERROR(__xludf.DUMMYFUNCTION("IF(COUNTA(C1035:C1350)=0,"""",IF(ISBLANK(C1035),FALSE,IF(NOT(COUNTIF($AA$24:$AA$34,SUBSTITUTE(C1035,""Sell_"",""""))),1,IF(REGEXMATCH(C1035,""Sell_""),IF(COUNTIF(C$4:C1035,SUBSTITUTE(C1035,""Sell_"",""""))-COUNTIF(C$4:C1034,C1035)&lt;1,1),FALSE))))"),"")</f>
        <v/>
      </c>
      <c r="E1035" s="59" t="str">
        <f t="array" ref="E1035">IF(COUNTA(C1035:C1350)=0,"",SUM((COUNTIF(C$4:C1035,Upgrades!$B$3:$B$13)-COUNTIF(C$4:C1035,"Sell_"&amp;Upgrades!$B$3:$B$13))*Upgrades!$D$3:$D$13))</f>
        <v/>
      </c>
      <c r="F1035" s="66" t="str">
        <f>IFERROR(__xludf.DUMMYFUNCTION("IF(COUNTA(C1035:C1350)=0,"""",IF(REGEXMATCH(INDEX(FILTER(C$4:C1035,C$4:C1035&lt;&gt;""""),ROWS(FILTER(C$4:C1035,C$4:C1035&lt;&gt;""""))),""^Sell_""),INDEX(FILTER(F$4:F1034,C$4:C1034&lt;&gt;""""),ROWS(FILTER(C$4:C1034,C$4:C1034&lt;&gt;""""))),$AC$5+E1035))"),"")</f>
        <v/>
      </c>
      <c r="G1035" s="10" t="str">
        <f>IFERROR(__xludf.DUMMYFUNCTION("IF(COUNTA(C1035:C1350)=0,"""",IF(C1035="""",0,IF(REGEXMATCH(C1035,""^Sell_""),-ROUNDDOWN(ROUNDUP(INDEX(Upgrades!$C$3:$C$13,MATCH(SUBSTITUTE(C1035,""Sell_"",""""),Upgrades!$B$3:$B$13,0))*1.15^(COUNTIF(C$4:C1034,SUBSTITUTE(C1035,""Sell_"",""""))-COUNTIF(C$4"&amp;":C1034,""Sell_""&amp;SUBSTITUTE(C1035,""Sell_"",""""))))/2),ROUNDUP(INDEX(Upgrades!$C$3:$C$13,MATCH(C1035,Upgrades!$B$3:$B$13,0))*1.15^(COUNTIF(C$4:C1034,C1035)-COUNTIF(C$4:C1034,""Sell_""&amp;C1035))))))"),"")</f>
        <v/>
      </c>
      <c r="H1035" s="10" t="str">
        <f t="shared" si="3"/>
        <v/>
      </c>
      <c r="I1035" s="68" t="str">
        <f t="shared" si="4"/>
        <v/>
      </c>
      <c r="J1035" s="59" t="str">
        <f t="shared" si="5"/>
        <v/>
      </c>
      <c r="K1035" s="69" t="str">
        <f t="shared" si="6"/>
        <v/>
      </c>
      <c r="L1035" s="60" t="str">
        <f t="shared" si="7"/>
        <v/>
      </c>
      <c r="M1035" s="61" t="str">
        <f>IFERROR(__xludf.DUMMYFUNCTION("IFS(AND(COUNTA(C1035:C1350)=0,COUNTA(Q1035:Q1350)=0),"""",OR(AND(K1035&gt;=1000000000,OR(Y1035&gt;=1000000000,COUNTA(Q1035:Q1350)=0)),OR(Y1035&gt;=1000000000,AND(COUNTA(C1035:C1350)=0,P$3=TRUE))),
ROUNDDOWN((AB$1-AC$1)*MAX(INDEX(T$4:T1350,MATCH(LARGE(FILTER(Y$4:Y1"&amp;"350,Y$4:Y1350&lt;1000000000),1),Y$4:Y1350)),INDEX(F$4:F1350,MATCH(LARGE(FILTER(K$4:K1350,K$4:K1350&lt;1000000000),1),K$4:K1350)))),AND(K1035&lt;1000000000,COUNTA(C1035:C1350)&gt;0,P$3=FALSE),
ROUNDDOWN(INDEX(Y$4:Y1350,MATCH(LARGE(FILTER(W$4:W1350,W$4:W1350&lt;=I1035),1)"&amp;",W$4:W1350))+(I1035-LARGE(FILTER(W$4:W1350,W$4:W1350&lt;=I1035),1))*INDEX(T$4:T1350,MATCH(LARGE(FILTER(W$4:W1350,W$4:W1350&lt;=I1035),1),W$4:W1350))-K1035),1,
ROUNDDOWN(Y1035-INDEX(K$4:K1350,MATCH(LARGE(FILTER(I$4:I1350,I$4:I1350&lt;=W1035),1),I$4:I1350))-(W1035-L"&amp;"ARGE(FILTER(I$4:I1350,I$4:I1350&lt;=W1035),1))*INDEX(F$4:F1350,MATCH(LARGE(FILTER(I$4:I1350,I$4:I1350&lt;=W1035),1),I$4:I1350))))"),"")</f>
        <v/>
      </c>
      <c r="N1035" s="60" t="str">
        <f t="shared" si="8"/>
        <v/>
      </c>
      <c r="O1035" s="61" t="str">
        <f t="shared" si="9"/>
        <v/>
      </c>
      <c r="P1035" s="56" t="str">
        <f t="shared" si="10"/>
        <v/>
      </c>
      <c r="Q1035" s="62"/>
      <c r="R1035" s="10" t="str">
        <f>IFERROR(__xludf.DUMMYFUNCTION("IF(COUNTA(Q1035:Q1350)=0,"""",IF(ISBLANK(Q1035),FALSE,IF(NOT(COUNTIF($AA$24:$AA$34,SUBSTITUTE(Q1035,""Sell_"",""""))),1,IF(REGEXMATCH(Q1035,""Sell_""),IF(COUNTIF(Q$4:Q1035,SUBSTITUTE(Q1035,""Sell_"",""""))-COUNTIF(Q$4:Q1034,Q1035)&lt;1,1),FALSE))))"),"")</f>
        <v/>
      </c>
      <c r="S1035" s="59" t="str">
        <f t="array" ref="S1035">IF(COUNTA(Q1035:Q1350)=0,"",SUM((COUNTIF(Q$4:Q1035,Upgrades!$B$3:$B$13)-COUNTIF(Q$4:Q1035,"Sell_"&amp;Upgrades!$B$3:$B$13))*Upgrades!$D$3:$D$13))</f>
        <v/>
      </c>
      <c r="T1035" s="66" t="str">
        <f>IFERROR(__xludf.DUMMYFUNCTION("IF(COUNTA(Q1035:Q1350)=0,"""",IF(REGEXMATCH(INDEX(FILTER(Q$4:Q1035,Q$4:Q1035&lt;&gt;""""),ROWS(FILTER(Q$4:Q1035,Q$4:Q1035&lt;&gt;""""))),""^Sell_""),INDEX(FILTER(T$4:T1034,Q$4:Q1034&lt;&gt;""""),ROWS(FILTER(Q$4:Q1034,Q$4:Q1034&lt;&gt;""""))),$AD$5+S1035))"),"")</f>
        <v/>
      </c>
      <c r="U1035" s="10" t="str">
        <f>IFERROR(__xludf.DUMMYFUNCTION("IF(COUNTA(Q1035:Q1350)=0,"""",IF(Q1035="""",0,IF(REGEXMATCH(Q1035,""^Sell_""),-ROUNDDOWN(ROUNDUP(INDEX(Upgrades!$C$3:$C$13,MATCH(SUBSTITUTE(Q1035,""Sell_"",""""),Upgrades!$B$3:$B$13,0))*1.15^(COUNTIF(Q$4:Q1034,SUBSTITUTE(Q1035,""Sell_"",""""))-COUNTIF(Q$4"&amp;":Q1034,""Sell_""&amp;SUBSTITUTE(Q1035,""Sell_"",""""))))/2),ROUNDUP(INDEX(Upgrades!$C$3:$C$13,MATCH(Q1035,Upgrades!$B$3:$B$13,0))*1.15^(COUNTIF(Q$4:Q1034,Q1035)-COUNTIF(Q$4:Q1034,""Sell_""&amp;Q1035))))))"),"")</f>
        <v/>
      </c>
      <c r="V1035" s="10" t="str">
        <f t="shared" si="11"/>
        <v/>
      </c>
      <c r="W1035" s="68" t="str">
        <f t="shared" si="12"/>
        <v/>
      </c>
      <c r="X1035" s="59" t="str">
        <f t="shared" si="13"/>
        <v/>
      </c>
      <c r="Y1035" s="69" t="str">
        <f t="shared" si="14"/>
        <v/>
      </c>
      <c r="Z1035" s="11"/>
    </row>
    <row r="1036">
      <c r="A1036" s="8"/>
      <c r="B1036" s="56" t="str">
        <f t="shared" si="2"/>
        <v/>
      </c>
      <c r="C1036" s="57"/>
      <c r="D1036" s="10" t="str">
        <f>IFERROR(__xludf.DUMMYFUNCTION("IF(COUNTA(C1036:C1350)=0,"""",IF(ISBLANK(C1036),FALSE,IF(NOT(COUNTIF($AA$24:$AA$34,SUBSTITUTE(C1036,""Sell_"",""""))),1,IF(REGEXMATCH(C1036,""Sell_""),IF(COUNTIF(C$4:C1036,SUBSTITUTE(C1036,""Sell_"",""""))-COUNTIF(C$4:C1035,C1036)&lt;1,1),FALSE))))"),"")</f>
        <v/>
      </c>
      <c r="E1036" s="59" t="str">
        <f t="array" ref="E1036">IF(COUNTA(C1036:C1350)=0,"",SUM((COUNTIF(C$4:C1036,Upgrades!$B$3:$B$13)-COUNTIF(C$4:C1036,"Sell_"&amp;Upgrades!$B$3:$B$13))*Upgrades!$D$3:$D$13))</f>
        <v/>
      </c>
      <c r="F1036" s="66" t="str">
        <f>IFERROR(__xludf.DUMMYFUNCTION("IF(COUNTA(C1036:C1350)=0,"""",IF(REGEXMATCH(INDEX(FILTER(C$4:C1036,C$4:C1036&lt;&gt;""""),ROWS(FILTER(C$4:C1036,C$4:C1036&lt;&gt;""""))),""^Sell_""),INDEX(FILTER(F$4:F1035,C$4:C1035&lt;&gt;""""),ROWS(FILTER(C$4:C1035,C$4:C1035&lt;&gt;""""))),$AC$5+E1036))"),"")</f>
        <v/>
      </c>
      <c r="G1036" s="10" t="str">
        <f>IFERROR(__xludf.DUMMYFUNCTION("IF(COUNTA(C1036:C1350)=0,"""",IF(C1036="""",0,IF(REGEXMATCH(C1036,""^Sell_""),-ROUNDDOWN(ROUNDUP(INDEX(Upgrades!$C$3:$C$13,MATCH(SUBSTITUTE(C1036,""Sell_"",""""),Upgrades!$B$3:$B$13,0))*1.15^(COUNTIF(C$4:C1035,SUBSTITUTE(C1036,""Sell_"",""""))-COUNTIF(C$4"&amp;":C1035,""Sell_""&amp;SUBSTITUTE(C1036,""Sell_"",""""))))/2),ROUNDUP(INDEX(Upgrades!$C$3:$C$13,MATCH(C1036,Upgrades!$B$3:$B$13,0))*1.15^(COUNTIF(C$4:C1035,C1036)-COUNTIF(C$4:C1035,""Sell_""&amp;C1036))))))"),"")</f>
        <v/>
      </c>
      <c r="H1036" s="10" t="str">
        <f t="shared" si="3"/>
        <v/>
      </c>
      <c r="I1036" s="68" t="str">
        <f t="shared" si="4"/>
        <v/>
      </c>
      <c r="J1036" s="59" t="str">
        <f t="shared" si="5"/>
        <v/>
      </c>
      <c r="K1036" s="69" t="str">
        <f t="shared" si="6"/>
        <v/>
      </c>
      <c r="L1036" s="60" t="str">
        <f t="shared" si="7"/>
        <v/>
      </c>
      <c r="M1036" s="61" t="str">
        <f>IFERROR(__xludf.DUMMYFUNCTION("IFS(AND(COUNTA(C1036:C1350)=0,COUNTA(Q1036:Q1350)=0),"""",OR(AND(K1036&gt;=1000000000,OR(Y1036&gt;=1000000000,COUNTA(Q1036:Q1350)=0)),OR(Y1036&gt;=1000000000,AND(COUNTA(C1036:C1350)=0,P$3=TRUE))),
ROUNDDOWN((AB$1-AC$1)*MAX(INDEX(T$4:T1350,MATCH(LARGE(FILTER(Y$4:Y1"&amp;"350,Y$4:Y1350&lt;1000000000),1),Y$4:Y1350)),INDEX(F$4:F1350,MATCH(LARGE(FILTER(K$4:K1350,K$4:K1350&lt;1000000000),1),K$4:K1350)))),AND(K1036&lt;1000000000,COUNTA(C1036:C1350)&gt;0,P$3=FALSE),
ROUNDDOWN(INDEX(Y$4:Y1350,MATCH(LARGE(FILTER(W$4:W1350,W$4:W1350&lt;=I1036),1)"&amp;",W$4:W1350))+(I1036-LARGE(FILTER(W$4:W1350,W$4:W1350&lt;=I1036),1))*INDEX(T$4:T1350,MATCH(LARGE(FILTER(W$4:W1350,W$4:W1350&lt;=I1036),1),W$4:W1350))-K1036),1,
ROUNDDOWN(Y1036-INDEX(K$4:K1350,MATCH(LARGE(FILTER(I$4:I1350,I$4:I1350&lt;=W1036),1),I$4:I1350))-(W1036-L"&amp;"ARGE(FILTER(I$4:I1350,I$4:I1350&lt;=W1036),1))*INDEX(F$4:F1350,MATCH(LARGE(FILTER(I$4:I1350,I$4:I1350&lt;=W1036),1),I$4:I1350))))"),"")</f>
        <v/>
      </c>
      <c r="N1036" s="60" t="str">
        <f t="shared" si="8"/>
        <v/>
      </c>
      <c r="O1036" s="61" t="str">
        <f t="shared" si="9"/>
        <v/>
      </c>
      <c r="P1036" s="56" t="str">
        <f t="shared" si="10"/>
        <v/>
      </c>
      <c r="Q1036" s="62"/>
      <c r="R1036" s="10" t="str">
        <f>IFERROR(__xludf.DUMMYFUNCTION("IF(COUNTA(Q1036:Q1350)=0,"""",IF(ISBLANK(Q1036),FALSE,IF(NOT(COUNTIF($AA$24:$AA$34,SUBSTITUTE(Q1036,""Sell_"",""""))),1,IF(REGEXMATCH(Q1036,""Sell_""),IF(COUNTIF(Q$4:Q1036,SUBSTITUTE(Q1036,""Sell_"",""""))-COUNTIF(Q$4:Q1035,Q1036)&lt;1,1),FALSE))))"),"")</f>
        <v/>
      </c>
      <c r="S1036" s="59" t="str">
        <f t="array" ref="S1036">IF(COUNTA(Q1036:Q1350)=0,"",SUM((COUNTIF(Q$4:Q1036,Upgrades!$B$3:$B$13)-COUNTIF(Q$4:Q1036,"Sell_"&amp;Upgrades!$B$3:$B$13))*Upgrades!$D$3:$D$13))</f>
        <v/>
      </c>
      <c r="T1036" s="66" t="str">
        <f>IFERROR(__xludf.DUMMYFUNCTION("IF(COUNTA(Q1036:Q1350)=0,"""",IF(REGEXMATCH(INDEX(FILTER(Q$4:Q1036,Q$4:Q1036&lt;&gt;""""),ROWS(FILTER(Q$4:Q1036,Q$4:Q1036&lt;&gt;""""))),""^Sell_""),INDEX(FILTER(T$4:T1035,Q$4:Q1035&lt;&gt;""""),ROWS(FILTER(Q$4:Q1035,Q$4:Q1035&lt;&gt;""""))),$AD$5+S1036))"),"")</f>
        <v/>
      </c>
      <c r="U1036" s="10" t="str">
        <f>IFERROR(__xludf.DUMMYFUNCTION("IF(COUNTA(Q1036:Q1350)=0,"""",IF(Q1036="""",0,IF(REGEXMATCH(Q1036,""^Sell_""),-ROUNDDOWN(ROUNDUP(INDEX(Upgrades!$C$3:$C$13,MATCH(SUBSTITUTE(Q1036,""Sell_"",""""),Upgrades!$B$3:$B$13,0))*1.15^(COUNTIF(Q$4:Q1035,SUBSTITUTE(Q1036,""Sell_"",""""))-COUNTIF(Q$4"&amp;":Q1035,""Sell_""&amp;SUBSTITUTE(Q1036,""Sell_"",""""))))/2),ROUNDUP(INDEX(Upgrades!$C$3:$C$13,MATCH(Q1036,Upgrades!$B$3:$B$13,0))*1.15^(COUNTIF(Q$4:Q1035,Q1036)-COUNTIF(Q$4:Q1035,""Sell_""&amp;Q1036))))))"),"")</f>
        <v/>
      </c>
      <c r="V1036" s="10" t="str">
        <f t="shared" si="11"/>
        <v/>
      </c>
      <c r="W1036" s="68" t="str">
        <f t="shared" si="12"/>
        <v/>
      </c>
      <c r="X1036" s="59" t="str">
        <f t="shared" si="13"/>
        <v/>
      </c>
      <c r="Y1036" s="69" t="str">
        <f t="shared" si="14"/>
        <v/>
      </c>
      <c r="Z1036" s="11"/>
    </row>
    <row r="1037">
      <c r="A1037" s="8"/>
      <c r="B1037" s="56" t="str">
        <f t="shared" si="2"/>
        <v/>
      </c>
      <c r="C1037" s="57"/>
      <c r="D1037" s="10" t="str">
        <f>IFERROR(__xludf.DUMMYFUNCTION("IF(COUNTA(C1037:C1350)=0,"""",IF(ISBLANK(C1037),FALSE,IF(NOT(COUNTIF($AA$24:$AA$34,SUBSTITUTE(C1037,""Sell_"",""""))),1,IF(REGEXMATCH(C1037,""Sell_""),IF(COUNTIF(C$4:C1037,SUBSTITUTE(C1037,""Sell_"",""""))-COUNTIF(C$4:C1036,C1037)&lt;1,1),FALSE))))"),"")</f>
        <v/>
      </c>
      <c r="E1037" s="59" t="str">
        <f t="array" ref="E1037">IF(COUNTA(C1037:C1350)=0,"",SUM((COUNTIF(C$4:C1037,Upgrades!$B$3:$B$13)-COUNTIF(C$4:C1037,"Sell_"&amp;Upgrades!$B$3:$B$13))*Upgrades!$D$3:$D$13))</f>
        <v/>
      </c>
      <c r="F1037" s="66" t="str">
        <f>IFERROR(__xludf.DUMMYFUNCTION("IF(COUNTA(C1037:C1350)=0,"""",IF(REGEXMATCH(INDEX(FILTER(C$4:C1037,C$4:C1037&lt;&gt;""""),ROWS(FILTER(C$4:C1037,C$4:C1037&lt;&gt;""""))),""^Sell_""),INDEX(FILTER(F$4:F1036,C$4:C1036&lt;&gt;""""),ROWS(FILTER(C$4:C1036,C$4:C1036&lt;&gt;""""))),$AC$5+E1037))"),"")</f>
        <v/>
      </c>
      <c r="G1037" s="10" t="str">
        <f>IFERROR(__xludf.DUMMYFUNCTION("IF(COUNTA(C1037:C1350)=0,"""",IF(C1037="""",0,IF(REGEXMATCH(C1037,""^Sell_""),-ROUNDDOWN(ROUNDUP(INDEX(Upgrades!$C$3:$C$13,MATCH(SUBSTITUTE(C1037,""Sell_"",""""),Upgrades!$B$3:$B$13,0))*1.15^(COUNTIF(C$4:C1036,SUBSTITUTE(C1037,""Sell_"",""""))-COUNTIF(C$4"&amp;":C1036,""Sell_""&amp;SUBSTITUTE(C1037,""Sell_"",""""))))/2),ROUNDUP(INDEX(Upgrades!$C$3:$C$13,MATCH(C1037,Upgrades!$B$3:$B$13,0))*1.15^(COUNTIF(C$4:C1036,C1037)-COUNTIF(C$4:C1036,""Sell_""&amp;C1037))))))"),"")</f>
        <v/>
      </c>
      <c r="H1037" s="10" t="str">
        <f t="shared" si="3"/>
        <v/>
      </c>
      <c r="I1037" s="68" t="str">
        <f t="shared" si="4"/>
        <v/>
      </c>
      <c r="J1037" s="59" t="str">
        <f t="shared" si="5"/>
        <v/>
      </c>
      <c r="K1037" s="69" t="str">
        <f t="shared" si="6"/>
        <v/>
      </c>
      <c r="L1037" s="60" t="str">
        <f t="shared" si="7"/>
        <v/>
      </c>
      <c r="M1037" s="61" t="str">
        <f>IFERROR(__xludf.DUMMYFUNCTION("IFS(AND(COUNTA(C1037:C1350)=0,COUNTA(Q1037:Q1350)=0),"""",OR(AND(K1037&gt;=1000000000,OR(Y1037&gt;=1000000000,COUNTA(Q1037:Q1350)=0)),OR(Y1037&gt;=1000000000,AND(COUNTA(C1037:C1350)=0,P$3=TRUE))),
ROUNDDOWN((AB$1-AC$1)*MAX(INDEX(T$4:T1350,MATCH(LARGE(FILTER(Y$4:Y1"&amp;"350,Y$4:Y1350&lt;1000000000),1),Y$4:Y1350)),INDEX(F$4:F1350,MATCH(LARGE(FILTER(K$4:K1350,K$4:K1350&lt;1000000000),1),K$4:K1350)))),AND(K1037&lt;1000000000,COUNTA(C1037:C1350)&gt;0,P$3=FALSE),
ROUNDDOWN(INDEX(Y$4:Y1350,MATCH(LARGE(FILTER(W$4:W1350,W$4:W1350&lt;=I1037),1)"&amp;",W$4:W1350))+(I1037-LARGE(FILTER(W$4:W1350,W$4:W1350&lt;=I1037),1))*INDEX(T$4:T1350,MATCH(LARGE(FILTER(W$4:W1350,W$4:W1350&lt;=I1037),1),W$4:W1350))-K1037),1,
ROUNDDOWN(Y1037-INDEX(K$4:K1350,MATCH(LARGE(FILTER(I$4:I1350,I$4:I1350&lt;=W1037),1),I$4:I1350))-(W1037-L"&amp;"ARGE(FILTER(I$4:I1350,I$4:I1350&lt;=W1037),1))*INDEX(F$4:F1350,MATCH(LARGE(FILTER(I$4:I1350,I$4:I1350&lt;=W1037),1),I$4:I1350))))"),"")</f>
        <v/>
      </c>
      <c r="N1037" s="60" t="str">
        <f t="shared" si="8"/>
        <v/>
      </c>
      <c r="O1037" s="61" t="str">
        <f t="shared" si="9"/>
        <v/>
      </c>
      <c r="P1037" s="56" t="str">
        <f t="shared" si="10"/>
        <v/>
      </c>
      <c r="Q1037" s="62"/>
      <c r="R1037" s="10" t="str">
        <f>IFERROR(__xludf.DUMMYFUNCTION("IF(COUNTA(Q1037:Q1350)=0,"""",IF(ISBLANK(Q1037),FALSE,IF(NOT(COUNTIF($AA$24:$AA$34,SUBSTITUTE(Q1037,""Sell_"",""""))),1,IF(REGEXMATCH(Q1037,""Sell_""),IF(COUNTIF(Q$4:Q1037,SUBSTITUTE(Q1037,""Sell_"",""""))-COUNTIF(Q$4:Q1036,Q1037)&lt;1,1),FALSE))))"),"")</f>
        <v/>
      </c>
      <c r="S1037" s="59" t="str">
        <f t="array" ref="S1037">IF(COUNTA(Q1037:Q1350)=0,"",SUM((COUNTIF(Q$4:Q1037,Upgrades!$B$3:$B$13)-COUNTIF(Q$4:Q1037,"Sell_"&amp;Upgrades!$B$3:$B$13))*Upgrades!$D$3:$D$13))</f>
        <v/>
      </c>
      <c r="T1037" s="66" t="str">
        <f>IFERROR(__xludf.DUMMYFUNCTION("IF(COUNTA(Q1037:Q1350)=0,"""",IF(REGEXMATCH(INDEX(FILTER(Q$4:Q1037,Q$4:Q1037&lt;&gt;""""),ROWS(FILTER(Q$4:Q1037,Q$4:Q1037&lt;&gt;""""))),""^Sell_""),INDEX(FILTER(T$4:T1036,Q$4:Q1036&lt;&gt;""""),ROWS(FILTER(Q$4:Q1036,Q$4:Q1036&lt;&gt;""""))),$AD$5+S1037))"),"")</f>
        <v/>
      </c>
      <c r="U1037" s="10" t="str">
        <f>IFERROR(__xludf.DUMMYFUNCTION("IF(COUNTA(Q1037:Q1350)=0,"""",IF(Q1037="""",0,IF(REGEXMATCH(Q1037,""^Sell_""),-ROUNDDOWN(ROUNDUP(INDEX(Upgrades!$C$3:$C$13,MATCH(SUBSTITUTE(Q1037,""Sell_"",""""),Upgrades!$B$3:$B$13,0))*1.15^(COUNTIF(Q$4:Q1036,SUBSTITUTE(Q1037,""Sell_"",""""))-COUNTIF(Q$4"&amp;":Q1036,""Sell_""&amp;SUBSTITUTE(Q1037,""Sell_"",""""))))/2),ROUNDUP(INDEX(Upgrades!$C$3:$C$13,MATCH(Q1037,Upgrades!$B$3:$B$13,0))*1.15^(COUNTIF(Q$4:Q1036,Q1037)-COUNTIF(Q$4:Q1036,""Sell_""&amp;Q1037))))))"),"")</f>
        <v/>
      </c>
      <c r="V1037" s="10" t="str">
        <f t="shared" si="11"/>
        <v/>
      </c>
      <c r="W1037" s="68" t="str">
        <f t="shared" si="12"/>
        <v/>
      </c>
      <c r="X1037" s="59" t="str">
        <f t="shared" si="13"/>
        <v/>
      </c>
      <c r="Y1037" s="69" t="str">
        <f t="shared" si="14"/>
        <v/>
      </c>
      <c r="Z1037" s="11"/>
    </row>
    <row r="1038">
      <c r="A1038" s="8"/>
      <c r="B1038" s="56" t="str">
        <f t="shared" si="2"/>
        <v/>
      </c>
      <c r="C1038" s="57"/>
      <c r="D1038" s="10" t="str">
        <f>IFERROR(__xludf.DUMMYFUNCTION("IF(COUNTA(C1038:C1350)=0,"""",IF(ISBLANK(C1038),FALSE,IF(NOT(COUNTIF($AA$24:$AA$34,SUBSTITUTE(C1038,""Sell_"",""""))),1,IF(REGEXMATCH(C1038,""Sell_""),IF(COUNTIF(C$4:C1038,SUBSTITUTE(C1038,""Sell_"",""""))-COUNTIF(C$4:C1037,C1038)&lt;1,1),FALSE))))"),"")</f>
        <v/>
      </c>
      <c r="E1038" s="59" t="str">
        <f t="array" ref="E1038">IF(COUNTA(C1038:C1350)=0,"",SUM((COUNTIF(C$4:C1038,Upgrades!$B$3:$B$13)-COUNTIF(C$4:C1038,"Sell_"&amp;Upgrades!$B$3:$B$13))*Upgrades!$D$3:$D$13))</f>
        <v/>
      </c>
      <c r="F1038" s="66" t="str">
        <f>IFERROR(__xludf.DUMMYFUNCTION("IF(COUNTA(C1038:C1350)=0,"""",IF(REGEXMATCH(INDEX(FILTER(C$4:C1038,C$4:C1038&lt;&gt;""""),ROWS(FILTER(C$4:C1038,C$4:C1038&lt;&gt;""""))),""^Sell_""),INDEX(FILTER(F$4:F1037,C$4:C1037&lt;&gt;""""),ROWS(FILTER(C$4:C1037,C$4:C1037&lt;&gt;""""))),$AC$5+E1038))"),"")</f>
        <v/>
      </c>
      <c r="G1038" s="10" t="str">
        <f>IFERROR(__xludf.DUMMYFUNCTION("IF(COUNTA(C1038:C1350)=0,"""",IF(C1038="""",0,IF(REGEXMATCH(C1038,""^Sell_""),-ROUNDDOWN(ROUNDUP(INDEX(Upgrades!$C$3:$C$13,MATCH(SUBSTITUTE(C1038,""Sell_"",""""),Upgrades!$B$3:$B$13,0))*1.15^(COUNTIF(C$4:C1037,SUBSTITUTE(C1038,""Sell_"",""""))-COUNTIF(C$4"&amp;":C1037,""Sell_""&amp;SUBSTITUTE(C1038,""Sell_"",""""))))/2),ROUNDUP(INDEX(Upgrades!$C$3:$C$13,MATCH(C1038,Upgrades!$B$3:$B$13,0))*1.15^(COUNTIF(C$4:C1037,C1038)-COUNTIF(C$4:C1037,""Sell_""&amp;C1038))))))"),"")</f>
        <v/>
      </c>
      <c r="H1038" s="10" t="str">
        <f t="shared" si="3"/>
        <v/>
      </c>
      <c r="I1038" s="68" t="str">
        <f t="shared" si="4"/>
        <v/>
      </c>
      <c r="J1038" s="59" t="str">
        <f t="shared" si="5"/>
        <v/>
      </c>
      <c r="K1038" s="69" t="str">
        <f t="shared" si="6"/>
        <v/>
      </c>
      <c r="L1038" s="60" t="str">
        <f t="shared" si="7"/>
        <v/>
      </c>
      <c r="M1038" s="61" t="str">
        <f>IFERROR(__xludf.DUMMYFUNCTION("IFS(AND(COUNTA(C1038:C1350)=0,COUNTA(Q1038:Q1350)=0),"""",OR(AND(K1038&gt;=1000000000,OR(Y1038&gt;=1000000000,COUNTA(Q1038:Q1350)=0)),OR(Y1038&gt;=1000000000,AND(COUNTA(C1038:C1350)=0,P$3=TRUE))),
ROUNDDOWN((AB$1-AC$1)*MAX(INDEX(T$4:T1350,MATCH(LARGE(FILTER(Y$4:Y1"&amp;"350,Y$4:Y1350&lt;1000000000),1),Y$4:Y1350)),INDEX(F$4:F1350,MATCH(LARGE(FILTER(K$4:K1350,K$4:K1350&lt;1000000000),1),K$4:K1350)))),AND(K1038&lt;1000000000,COUNTA(C1038:C1350)&gt;0,P$3=FALSE),
ROUNDDOWN(INDEX(Y$4:Y1350,MATCH(LARGE(FILTER(W$4:W1350,W$4:W1350&lt;=I1038),1)"&amp;",W$4:W1350))+(I1038-LARGE(FILTER(W$4:W1350,W$4:W1350&lt;=I1038),1))*INDEX(T$4:T1350,MATCH(LARGE(FILTER(W$4:W1350,W$4:W1350&lt;=I1038),1),W$4:W1350))-K1038),1,
ROUNDDOWN(Y1038-INDEX(K$4:K1350,MATCH(LARGE(FILTER(I$4:I1350,I$4:I1350&lt;=W1038),1),I$4:I1350))-(W1038-L"&amp;"ARGE(FILTER(I$4:I1350,I$4:I1350&lt;=W1038),1))*INDEX(F$4:F1350,MATCH(LARGE(FILTER(I$4:I1350,I$4:I1350&lt;=W1038),1),I$4:I1350))))"),"")</f>
        <v/>
      </c>
      <c r="N1038" s="60" t="str">
        <f t="shared" si="8"/>
        <v/>
      </c>
      <c r="O1038" s="61" t="str">
        <f t="shared" si="9"/>
        <v/>
      </c>
      <c r="P1038" s="56" t="str">
        <f t="shared" si="10"/>
        <v/>
      </c>
      <c r="Q1038" s="62"/>
      <c r="R1038" s="10" t="str">
        <f>IFERROR(__xludf.DUMMYFUNCTION("IF(COUNTA(Q1038:Q1350)=0,"""",IF(ISBLANK(Q1038),FALSE,IF(NOT(COUNTIF($AA$24:$AA$34,SUBSTITUTE(Q1038,""Sell_"",""""))),1,IF(REGEXMATCH(Q1038,""Sell_""),IF(COUNTIF(Q$4:Q1038,SUBSTITUTE(Q1038,""Sell_"",""""))-COUNTIF(Q$4:Q1037,Q1038)&lt;1,1),FALSE))))"),"")</f>
        <v/>
      </c>
      <c r="S1038" s="59" t="str">
        <f t="array" ref="S1038">IF(COUNTA(Q1038:Q1350)=0,"",SUM((COUNTIF(Q$4:Q1038,Upgrades!$B$3:$B$13)-COUNTIF(Q$4:Q1038,"Sell_"&amp;Upgrades!$B$3:$B$13))*Upgrades!$D$3:$D$13))</f>
        <v/>
      </c>
      <c r="T1038" s="66" t="str">
        <f>IFERROR(__xludf.DUMMYFUNCTION("IF(COUNTA(Q1038:Q1350)=0,"""",IF(REGEXMATCH(INDEX(FILTER(Q$4:Q1038,Q$4:Q1038&lt;&gt;""""),ROWS(FILTER(Q$4:Q1038,Q$4:Q1038&lt;&gt;""""))),""^Sell_""),INDEX(FILTER(T$4:T1037,Q$4:Q1037&lt;&gt;""""),ROWS(FILTER(Q$4:Q1037,Q$4:Q1037&lt;&gt;""""))),$AD$5+S1038))"),"")</f>
        <v/>
      </c>
      <c r="U1038" s="10" t="str">
        <f>IFERROR(__xludf.DUMMYFUNCTION("IF(COUNTA(Q1038:Q1350)=0,"""",IF(Q1038="""",0,IF(REGEXMATCH(Q1038,""^Sell_""),-ROUNDDOWN(ROUNDUP(INDEX(Upgrades!$C$3:$C$13,MATCH(SUBSTITUTE(Q1038,""Sell_"",""""),Upgrades!$B$3:$B$13,0))*1.15^(COUNTIF(Q$4:Q1037,SUBSTITUTE(Q1038,""Sell_"",""""))-COUNTIF(Q$4"&amp;":Q1037,""Sell_""&amp;SUBSTITUTE(Q1038,""Sell_"",""""))))/2),ROUNDUP(INDEX(Upgrades!$C$3:$C$13,MATCH(Q1038,Upgrades!$B$3:$B$13,0))*1.15^(COUNTIF(Q$4:Q1037,Q1038)-COUNTIF(Q$4:Q1037,""Sell_""&amp;Q1038))))))"),"")</f>
        <v/>
      </c>
      <c r="V1038" s="10" t="str">
        <f t="shared" si="11"/>
        <v/>
      </c>
      <c r="W1038" s="68" t="str">
        <f t="shared" si="12"/>
        <v/>
      </c>
      <c r="X1038" s="59" t="str">
        <f t="shared" si="13"/>
        <v/>
      </c>
      <c r="Y1038" s="69" t="str">
        <f t="shared" si="14"/>
        <v/>
      </c>
      <c r="Z1038" s="11"/>
    </row>
    <row r="1039">
      <c r="A1039" s="8"/>
      <c r="B1039" s="56" t="str">
        <f t="shared" si="2"/>
        <v/>
      </c>
      <c r="C1039" s="57"/>
      <c r="D1039" s="10" t="str">
        <f>IFERROR(__xludf.DUMMYFUNCTION("IF(COUNTA(C1039:C1350)=0,"""",IF(ISBLANK(C1039),FALSE,IF(NOT(COUNTIF($AA$24:$AA$34,SUBSTITUTE(C1039,""Sell_"",""""))),1,IF(REGEXMATCH(C1039,""Sell_""),IF(COUNTIF(C$4:C1039,SUBSTITUTE(C1039,""Sell_"",""""))-COUNTIF(C$4:C1038,C1039)&lt;1,1),FALSE))))"),"")</f>
        <v/>
      </c>
      <c r="E1039" s="59" t="str">
        <f t="array" ref="E1039">IF(COUNTA(C1039:C1350)=0,"",SUM((COUNTIF(C$4:C1039,Upgrades!$B$3:$B$13)-COUNTIF(C$4:C1039,"Sell_"&amp;Upgrades!$B$3:$B$13))*Upgrades!$D$3:$D$13))</f>
        <v/>
      </c>
      <c r="F1039" s="66" t="str">
        <f>IFERROR(__xludf.DUMMYFUNCTION("IF(COUNTA(C1039:C1350)=0,"""",IF(REGEXMATCH(INDEX(FILTER(C$4:C1039,C$4:C1039&lt;&gt;""""),ROWS(FILTER(C$4:C1039,C$4:C1039&lt;&gt;""""))),""^Sell_""),INDEX(FILTER(F$4:F1038,C$4:C1038&lt;&gt;""""),ROWS(FILTER(C$4:C1038,C$4:C1038&lt;&gt;""""))),$AC$5+E1039))"),"")</f>
        <v/>
      </c>
      <c r="G1039" s="10" t="str">
        <f>IFERROR(__xludf.DUMMYFUNCTION("IF(COUNTA(C1039:C1350)=0,"""",IF(C1039="""",0,IF(REGEXMATCH(C1039,""^Sell_""),-ROUNDDOWN(ROUNDUP(INDEX(Upgrades!$C$3:$C$13,MATCH(SUBSTITUTE(C1039,""Sell_"",""""),Upgrades!$B$3:$B$13,0))*1.15^(COUNTIF(C$4:C1038,SUBSTITUTE(C1039,""Sell_"",""""))-COUNTIF(C$4"&amp;":C1038,""Sell_""&amp;SUBSTITUTE(C1039,""Sell_"",""""))))/2),ROUNDUP(INDEX(Upgrades!$C$3:$C$13,MATCH(C1039,Upgrades!$B$3:$B$13,0))*1.15^(COUNTIF(C$4:C1038,C1039)-COUNTIF(C$4:C1038,""Sell_""&amp;C1039))))))"),"")</f>
        <v/>
      </c>
      <c r="H1039" s="10" t="str">
        <f t="shared" si="3"/>
        <v/>
      </c>
      <c r="I1039" s="68" t="str">
        <f t="shared" si="4"/>
        <v/>
      </c>
      <c r="J1039" s="59" t="str">
        <f t="shared" si="5"/>
        <v/>
      </c>
      <c r="K1039" s="69" t="str">
        <f t="shared" si="6"/>
        <v/>
      </c>
      <c r="L1039" s="60" t="str">
        <f t="shared" si="7"/>
        <v/>
      </c>
      <c r="M1039" s="61" t="str">
        <f>IFERROR(__xludf.DUMMYFUNCTION("IFS(AND(COUNTA(C1039:C1350)=0,COUNTA(Q1039:Q1350)=0),"""",OR(AND(K1039&gt;=1000000000,OR(Y1039&gt;=1000000000,COUNTA(Q1039:Q1350)=0)),OR(Y1039&gt;=1000000000,AND(COUNTA(C1039:C1350)=0,P$3=TRUE))),
ROUNDDOWN((AB$1-AC$1)*MAX(INDEX(T$4:T1350,MATCH(LARGE(FILTER(Y$4:Y1"&amp;"350,Y$4:Y1350&lt;1000000000),1),Y$4:Y1350)),INDEX(F$4:F1350,MATCH(LARGE(FILTER(K$4:K1350,K$4:K1350&lt;1000000000),1),K$4:K1350)))),AND(K1039&lt;1000000000,COUNTA(C1039:C1350)&gt;0,P$3=FALSE),
ROUNDDOWN(INDEX(Y$4:Y1350,MATCH(LARGE(FILTER(W$4:W1350,W$4:W1350&lt;=I1039),1)"&amp;",W$4:W1350))+(I1039-LARGE(FILTER(W$4:W1350,W$4:W1350&lt;=I1039),1))*INDEX(T$4:T1350,MATCH(LARGE(FILTER(W$4:W1350,W$4:W1350&lt;=I1039),1),W$4:W1350))-K1039),1,
ROUNDDOWN(Y1039-INDEX(K$4:K1350,MATCH(LARGE(FILTER(I$4:I1350,I$4:I1350&lt;=W1039),1),I$4:I1350))-(W1039-L"&amp;"ARGE(FILTER(I$4:I1350,I$4:I1350&lt;=W1039),1))*INDEX(F$4:F1350,MATCH(LARGE(FILTER(I$4:I1350,I$4:I1350&lt;=W1039),1),I$4:I1350))))"),"")</f>
        <v/>
      </c>
      <c r="N1039" s="60" t="str">
        <f t="shared" si="8"/>
        <v/>
      </c>
      <c r="O1039" s="61" t="str">
        <f t="shared" si="9"/>
        <v/>
      </c>
      <c r="P1039" s="56" t="str">
        <f t="shared" si="10"/>
        <v/>
      </c>
      <c r="Q1039" s="62"/>
      <c r="R1039" s="10" t="str">
        <f>IFERROR(__xludf.DUMMYFUNCTION("IF(COUNTA(Q1039:Q1350)=0,"""",IF(ISBLANK(Q1039),FALSE,IF(NOT(COUNTIF($AA$24:$AA$34,SUBSTITUTE(Q1039,""Sell_"",""""))),1,IF(REGEXMATCH(Q1039,""Sell_""),IF(COUNTIF(Q$4:Q1039,SUBSTITUTE(Q1039,""Sell_"",""""))-COUNTIF(Q$4:Q1038,Q1039)&lt;1,1),FALSE))))"),"")</f>
        <v/>
      </c>
      <c r="S1039" s="59" t="str">
        <f t="array" ref="S1039">IF(COUNTA(Q1039:Q1350)=0,"",SUM((COUNTIF(Q$4:Q1039,Upgrades!$B$3:$B$13)-COUNTIF(Q$4:Q1039,"Sell_"&amp;Upgrades!$B$3:$B$13))*Upgrades!$D$3:$D$13))</f>
        <v/>
      </c>
      <c r="T1039" s="66" t="str">
        <f>IFERROR(__xludf.DUMMYFUNCTION("IF(COUNTA(Q1039:Q1350)=0,"""",IF(REGEXMATCH(INDEX(FILTER(Q$4:Q1039,Q$4:Q1039&lt;&gt;""""),ROWS(FILTER(Q$4:Q1039,Q$4:Q1039&lt;&gt;""""))),""^Sell_""),INDEX(FILTER(T$4:T1038,Q$4:Q1038&lt;&gt;""""),ROWS(FILTER(Q$4:Q1038,Q$4:Q1038&lt;&gt;""""))),$AD$5+S1039))"),"")</f>
        <v/>
      </c>
      <c r="U1039" s="10" t="str">
        <f>IFERROR(__xludf.DUMMYFUNCTION("IF(COUNTA(Q1039:Q1350)=0,"""",IF(Q1039="""",0,IF(REGEXMATCH(Q1039,""^Sell_""),-ROUNDDOWN(ROUNDUP(INDEX(Upgrades!$C$3:$C$13,MATCH(SUBSTITUTE(Q1039,""Sell_"",""""),Upgrades!$B$3:$B$13,0))*1.15^(COUNTIF(Q$4:Q1038,SUBSTITUTE(Q1039,""Sell_"",""""))-COUNTIF(Q$4"&amp;":Q1038,""Sell_""&amp;SUBSTITUTE(Q1039,""Sell_"",""""))))/2),ROUNDUP(INDEX(Upgrades!$C$3:$C$13,MATCH(Q1039,Upgrades!$B$3:$B$13,0))*1.15^(COUNTIF(Q$4:Q1038,Q1039)-COUNTIF(Q$4:Q1038,""Sell_""&amp;Q1039))))))"),"")</f>
        <v/>
      </c>
      <c r="V1039" s="10" t="str">
        <f t="shared" si="11"/>
        <v/>
      </c>
      <c r="W1039" s="68" t="str">
        <f t="shared" si="12"/>
        <v/>
      </c>
      <c r="X1039" s="59" t="str">
        <f t="shared" si="13"/>
        <v/>
      </c>
      <c r="Y1039" s="69" t="str">
        <f t="shared" si="14"/>
        <v/>
      </c>
      <c r="Z1039" s="11"/>
    </row>
    <row r="1040">
      <c r="A1040" s="8"/>
      <c r="B1040" s="56" t="str">
        <f t="shared" si="2"/>
        <v/>
      </c>
      <c r="C1040" s="57"/>
      <c r="D1040" s="10" t="str">
        <f>IFERROR(__xludf.DUMMYFUNCTION("IF(COUNTA(C1040:C1350)=0,"""",IF(ISBLANK(C1040),FALSE,IF(NOT(COUNTIF($AA$24:$AA$34,SUBSTITUTE(C1040,""Sell_"",""""))),1,IF(REGEXMATCH(C1040,""Sell_""),IF(COUNTIF(C$4:C1040,SUBSTITUTE(C1040,""Sell_"",""""))-COUNTIF(C$4:C1039,C1040)&lt;1,1),FALSE))))"),"")</f>
        <v/>
      </c>
      <c r="E1040" s="59" t="str">
        <f t="array" ref="E1040">IF(COUNTA(C1040:C1350)=0,"",SUM((COUNTIF(C$4:C1040,Upgrades!$B$3:$B$13)-COUNTIF(C$4:C1040,"Sell_"&amp;Upgrades!$B$3:$B$13))*Upgrades!$D$3:$D$13))</f>
        <v/>
      </c>
      <c r="F1040" s="66" t="str">
        <f>IFERROR(__xludf.DUMMYFUNCTION("IF(COUNTA(C1040:C1350)=0,"""",IF(REGEXMATCH(INDEX(FILTER(C$4:C1040,C$4:C1040&lt;&gt;""""),ROWS(FILTER(C$4:C1040,C$4:C1040&lt;&gt;""""))),""^Sell_""),INDEX(FILTER(F$4:F1039,C$4:C1039&lt;&gt;""""),ROWS(FILTER(C$4:C1039,C$4:C1039&lt;&gt;""""))),$AC$5+E1040))"),"")</f>
        <v/>
      </c>
      <c r="G1040" s="10" t="str">
        <f>IFERROR(__xludf.DUMMYFUNCTION("IF(COUNTA(C1040:C1350)=0,"""",IF(C1040="""",0,IF(REGEXMATCH(C1040,""^Sell_""),-ROUNDDOWN(ROUNDUP(INDEX(Upgrades!$C$3:$C$13,MATCH(SUBSTITUTE(C1040,""Sell_"",""""),Upgrades!$B$3:$B$13,0))*1.15^(COUNTIF(C$4:C1039,SUBSTITUTE(C1040,""Sell_"",""""))-COUNTIF(C$4"&amp;":C1039,""Sell_""&amp;SUBSTITUTE(C1040,""Sell_"",""""))))/2),ROUNDUP(INDEX(Upgrades!$C$3:$C$13,MATCH(C1040,Upgrades!$B$3:$B$13,0))*1.15^(COUNTIF(C$4:C1039,C1040)-COUNTIF(C$4:C1039,""Sell_""&amp;C1040))))))"),"")</f>
        <v/>
      </c>
      <c r="H1040" s="10" t="str">
        <f t="shared" si="3"/>
        <v/>
      </c>
      <c r="I1040" s="68" t="str">
        <f t="shared" si="4"/>
        <v/>
      </c>
      <c r="J1040" s="59" t="str">
        <f t="shared" si="5"/>
        <v/>
      </c>
      <c r="K1040" s="69" t="str">
        <f t="shared" si="6"/>
        <v/>
      </c>
      <c r="L1040" s="60" t="str">
        <f t="shared" si="7"/>
        <v/>
      </c>
      <c r="M1040" s="61" t="str">
        <f>IFERROR(__xludf.DUMMYFUNCTION("IFS(AND(COUNTA(C1040:C1350)=0,COUNTA(Q1040:Q1350)=0),"""",OR(AND(K1040&gt;=1000000000,OR(Y1040&gt;=1000000000,COUNTA(Q1040:Q1350)=0)),OR(Y1040&gt;=1000000000,AND(COUNTA(C1040:C1350)=0,P$3=TRUE))),
ROUNDDOWN((AB$1-AC$1)*MAX(INDEX(T$4:T1350,MATCH(LARGE(FILTER(Y$4:Y1"&amp;"350,Y$4:Y1350&lt;1000000000),1),Y$4:Y1350)),INDEX(F$4:F1350,MATCH(LARGE(FILTER(K$4:K1350,K$4:K1350&lt;1000000000),1),K$4:K1350)))),AND(K1040&lt;1000000000,COUNTA(C1040:C1350)&gt;0,P$3=FALSE),
ROUNDDOWN(INDEX(Y$4:Y1350,MATCH(LARGE(FILTER(W$4:W1350,W$4:W1350&lt;=I1040),1)"&amp;",W$4:W1350))+(I1040-LARGE(FILTER(W$4:W1350,W$4:W1350&lt;=I1040),1))*INDEX(T$4:T1350,MATCH(LARGE(FILTER(W$4:W1350,W$4:W1350&lt;=I1040),1),W$4:W1350))-K1040),1,
ROUNDDOWN(Y1040-INDEX(K$4:K1350,MATCH(LARGE(FILTER(I$4:I1350,I$4:I1350&lt;=W1040),1),I$4:I1350))-(W1040-L"&amp;"ARGE(FILTER(I$4:I1350,I$4:I1350&lt;=W1040),1))*INDEX(F$4:F1350,MATCH(LARGE(FILTER(I$4:I1350,I$4:I1350&lt;=W1040),1),I$4:I1350))))"),"")</f>
        <v/>
      </c>
      <c r="N1040" s="60" t="str">
        <f t="shared" si="8"/>
        <v/>
      </c>
      <c r="O1040" s="61" t="str">
        <f t="shared" si="9"/>
        <v/>
      </c>
      <c r="P1040" s="56" t="str">
        <f t="shared" si="10"/>
        <v/>
      </c>
      <c r="Q1040" s="62"/>
      <c r="R1040" s="10" t="str">
        <f>IFERROR(__xludf.DUMMYFUNCTION("IF(COUNTA(Q1040:Q1350)=0,"""",IF(ISBLANK(Q1040),FALSE,IF(NOT(COUNTIF($AA$24:$AA$34,SUBSTITUTE(Q1040,""Sell_"",""""))),1,IF(REGEXMATCH(Q1040,""Sell_""),IF(COUNTIF(Q$4:Q1040,SUBSTITUTE(Q1040,""Sell_"",""""))-COUNTIF(Q$4:Q1039,Q1040)&lt;1,1),FALSE))))"),"")</f>
        <v/>
      </c>
      <c r="S1040" s="59" t="str">
        <f t="array" ref="S1040">IF(COUNTA(Q1040:Q1350)=0,"",SUM((COUNTIF(Q$4:Q1040,Upgrades!$B$3:$B$13)-COUNTIF(Q$4:Q1040,"Sell_"&amp;Upgrades!$B$3:$B$13))*Upgrades!$D$3:$D$13))</f>
        <v/>
      </c>
      <c r="T1040" s="66" t="str">
        <f>IFERROR(__xludf.DUMMYFUNCTION("IF(COUNTA(Q1040:Q1350)=0,"""",IF(REGEXMATCH(INDEX(FILTER(Q$4:Q1040,Q$4:Q1040&lt;&gt;""""),ROWS(FILTER(Q$4:Q1040,Q$4:Q1040&lt;&gt;""""))),""^Sell_""),INDEX(FILTER(T$4:T1039,Q$4:Q1039&lt;&gt;""""),ROWS(FILTER(Q$4:Q1039,Q$4:Q1039&lt;&gt;""""))),$AD$5+S1040))"),"")</f>
        <v/>
      </c>
      <c r="U1040" s="10" t="str">
        <f>IFERROR(__xludf.DUMMYFUNCTION("IF(COUNTA(Q1040:Q1350)=0,"""",IF(Q1040="""",0,IF(REGEXMATCH(Q1040,""^Sell_""),-ROUNDDOWN(ROUNDUP(INDEX(Upgrades!$C$3:$C$13,MATCH(SUBSTITUTE(Q1040,""Sell_"",""""),Upgrades!$B$3:$B$13,0))*1.15^(COUNTIF(Q$4:Q1039,SUBSTITUTE(Q1040,""Sell_"",""""))-COUNTIF(Q$4"&amp;":Q1039,""Sell_""&amp;SUBSTITUTE(Q1040,""Sell_"",""""))))/2),ROUNDUP(INDEX(Upgrades!$C$3:$C$13,MATCH(Q1040,Upgrades!$B$3:$B$13,0))*1.15^(COUNTIF(Q$4:Q1039,Q1040)-COUNTIF(Q$4:Q1039,""Sell_""&amp;Q1040))))))"),"")</f>
        <v/>
      </c>
      <c r="V1040" s="10" t="str">
        <f t="shared" si="11"/>
        <v/>
      </c>
      <c r="W1040" s="68" t="str">
        <f t="shared" si="12"/>
        <v/>
      </c>
      <c r="X1040" s="59" t="str">
        <f t="shared" si="13"/>
        <v/>
      </c>
      <c r="Y1040" s="69" t="str">
        <f t="shared" si="14"/>
        <v/>
      </c>
      <c r="Z1040" s="11"/>
    </row>
    <row r="1041">
      <c r="A1041" s="8"/>
      <c r="B1041" s="56" t="str">
        <f t="shared" si="2"/>
        <v/>
      </c>
      <c r="C1041" s="57"/>
      <c r="D1041" s="10" t="str">
        <f>IFERROR(__xludf.DUMMYFUNCTION("IF(COUNTA(C1041:C1350)=0,"""",IF(ISBLANK(C1041),FALSE,IF(NOT(COUNTIF($AA$24:$AA$34,SUBSTITUTE(C1041,""Sell_"",""""))),1,IF(REGEXMATCH(C1041,""Sell_""),IF(COUNTIF(C$4:C1041,SUBSTITUTE(C1041,""Sell_"",""""))-COUNTIF(C$4:C1040,C1041)&lt;1,1),FALSE))))"),"")</f>
        <v/>
      </c>
      <c r="E1041" s="59" t="str">
        <f t="array" ref="E1041">IF(COUNTA(C1041:C1350)=0,"",SUM((COUNTIF(C$4:C1041,Upgrades!$B$3:$B$13)-COUNTIF(C$4:C1041,"Sell_"&amp;Upgrades!$B$3:$B$13))*Upgrades!$D$3:$D$13))</f>
        <v/>
      </c>
      <c r="F1041" s="66" t="str">
        <f>IFERROR(__xludf.DUMMYFUNCTION("IF(COUNTA(C1041:C1350)=0,"""",IF(REGEXMATCH(INDEX(FILTER(C$4:C1041,C$4:C1041&lt;&gt;""""),ROWS(FILTER(C$4:C1041,C$4:C1041&lt;&gt;""""))),""^Sell_""),INDEX(FILTER(F$4:F1040,C$4:C1040&lt;&gt;""""),ROWS(FILTER(C$4:C1040,C$4:C1040&lt;&gt;""""))),$AC$5+E1041))"),"")</f>
        <v/>
      </c>
      <c r="G1041" s="10" t="str">
        <f>IFERROR(__xludf.DUMMYFUNCTION("IF(COUNTA(C1041:C1350)=0,"""",IF(C1041="""",0,IF(REGEXMATCH(C1041,""^Sell_""),-ROUNDDOWN(ROUNDUP(INDEX(Upgrades!$C$3:$C$13,MATCH(SUBSTITUTE(C1041,""Sell_"",""""),Upgrades!$B$3:$B$13,0))*1.15^(COUNTIF(C$4:C1040,SUBSTITUTE(C1041,""Sell_"",""""))-COUNTIF(C$4"&amp;":C1040,""Sell_""&amp;SUBSTITUTE(C1041,""Sell_"",""""))))/2),ROUNDUP(INDEX(Upgrades!$C$3:$C$13,MATCH(C1041,Upgrades!$B$3:$B$13,0))*1.15^(COUNTIF(C$4:C1040,C1041)-COUNTIF(C$4:C1040,""Sell_""&amp;C1041))))))"),"")</f>
        <v/>
      </c>
      <c r="H1041" s="10" t="str">
        <f t="shared" si="3"/>
        <v/>
      </c>
      <c r="I1041" s="68" t="str">
        <f t="shared" si="4"/>
        <v/>
      </c>
      <c r="J1041" s="59" t="str">
        <f t="shared" si="5"/>
        <v/>
      </c>
      <c r="K1041" s="69" t="str">
        <f t="shared" si="6"/>
        <v/>
      </c>
      <c r="L1041" s="60" t="str">
        <f t="shared" si="7"/>
        <v/>
      </c>
      <c r="M1041" s="61" t="str">
        <f>IFERROR(__xludf.DUMMYFUNCTION("IFS(AND(COUNTA(C1041:C1350)=0,COUNTA(Q1041:Q1350)=0),"""",OR(AND(K1041&gt;=1000000000,OR(Y1041&gt;=1000000000,COUNTA(Q1041:Q1350)=0)),OR(Y1041&gt;=1000000000,AND(COUNTA(C1041:C1350)=0,P$3=TRUE))),
ROUNDDOWN((AB$1-AC$1)*MAX(INDEX(T$4:T1350,MATCH(LARGE(FILTER(Y$4:Y1"&amp;"350,Y$4:Y1350&lt;1000000000),1),Y$4:Y1350)),INDEX(F$4:F1350,MATCH(LARGE(FILTER(K$4:K1350,K$4:K1350&lt;1000000000),1),K$4:K1350)))),AND(K1041&lt;1000000000,COUNTA(C1041:C1350)&gt;0,P$3=FALSE),
ROUNDDOWN(INDEX(Y$4:Y1350,MATCH(LARGE(FILTER(W$4:W1350,W$4:W1350&lt;=I1041),1)"&amp;",W$4:W1350))+(I1041-LARGE(FILTER(W$4:W1350,W$4:W1350&lt;=I1041),1))*INDEX(T$4:T1350,MATCH(LARGE(FILTER(W$4:W1350,W$4:W1350&lt;=I1041),1),W$4:W1350))-K1041),1,
ROUNDDOWN(Y1041-INDEX(K$4:K1350,MATCH(LARGE(FILTER(I$4:I1350,I$4:I1350&lt;=W1041),1),I$4:I1350))-(W1041-L"&amp;"ARGE(FILTER(I$4:I1350,I$4:I1350&lt;=W1041),1))*INDEX(F$4:F1350,MATCH(LARGE(FILTER(I$4:I1350,I$4:I1350&lt;=W1041),1),I$4:I1350))))"),"")</f>
        <v/>
      </c>
      <c r="N1041" s="60" t="str">
        <f t="shared" si="8"/>
        <v/>
      </c>
      <c r="O1041" s="61" t="str">
        <f t="shared" si="9"/>
        <v/>
      </c>
      <c r="P1041" s="56" t="str">
        <f t="shared" si="10"/>
        <v/>
      </c>
      <c r="Q1041" s="62"/>
      <c r="R1041" s="10" t="str">
        <f>IFERROR(__xludf.DUMMYFUNCTION("IF(COUNTA(Q1041:Q1350)=0,"""",IF(ISBLANK(Q1041),FALSE,IF(NOT(COUNTIF($AA$24:$AA$34,SUBSTITUTE(Q1041,""Sell_"",""""))),1,IF(REGEXMATCH(Q1041,""Sell_""),IF(COUNTIF(Q$4:Q1041,SUBSTITUTE(Q1041,""Sell_"",""""))-COUNTIF(Q$4:Q1040,Q1041)&lt;1,1),FALSE))))"),"")</f>
        <v/>
      </c>
      <c r="S1041" s="59" t="str">
        <f t="array" ref="S1041">IF(COUNTA(Q1041:Q1350)=0,"",SUM((COUNTIF(Q$4:Q1041,Upgrades!$B$3:$B$13)-COUNTIF(Q$4:Q1041,"Sell_"&amp;Upgrades!$B$3:$B$13))*Upgrades!$D$3:$D$13))</f>
        <v/>
      </c>
      <c r="T1041" s="66" t="str">
        <f>IFERROR(__xludf.DUMMYFUNCTION("IF(COUNTA(Q1041:Q1350)=0,"""",IF(REGEXMATCH(INDEX(FILTER(Q$4:Q1041,Q$4:Q1041&lt;&gt;""""),ROWS(FILTER(Q$4:Q1041,Q$4:Q1041&lt;&gt;""""))),""^Sell_""),INDEX(FILTER(T$4:T1040,Q$4:Q1040&lt;&gt;""""),ROWS(FILTER(Q$4:Q1040,Q$4:Q1040&lt;&gt;""""))),$AD$5+S1041))"),"")</f>
        <v/>
      </c>
      <c r="U1041" s="10" t="str">
        <f>IFERROR(__xludf.DUMMYFUNCTION("IF(COUNTA(Q1041:Q1350)=0,"""",IF(Q1041="""",0,IF(REGEXMATCH(Q1041,""^Sell_""),-ROUNDDOWN(ROUNDUP(INDEX(Upgrades!$C$3:$C$13,MATCH(SUBSTITUTE(Q1041,""Sell_"",""""),Upgrades!$B$3:$B$13,0))*1.15^(COUNTIF(Q$4:Q1040,SUBSTITUTE(Q1041,""Sell_"",""""))-COUNTIF(Q$4"&amp;":Q1040,""Sell_""&amp;SUBSTITUTE(Q1041,""Sell_"",""""))))/2),ROUNDUP(INDEX(Upgrades!$C$3:$C$13,MATCH(Q1041,Upgrades!$B$3:$B$13,0))*1.15^(COUNTIF(Q$4:Q1040,Q1041)-COUNTIF(Q$4:Q1040,""Sell_""&amp;Q1041))))))"),"")</f>
        <v/>
      </c>
      <c r="V1041" s="10" t="str">
        <f t="shared" si="11"/>
        <v/>
      </c>
      <c r="W1041" s="68" t="str">
        <f t="shared" si="12"/>
        <v/>
      </c>
      <c r="X1041" s="59" t="str">
        <f t="shared" si="13"/>
        <v/>
      </c>
      <c r="Y1041" s="69" t="str">
        <f t="shared" si="14"/>
        <v/>
      </c>
      <c r="Z1041" s="11"/>
    </row>
    <row r="1042">
      <c r="A1042" s="8"/>
      <c r="B1042" s="56" t="str">
        <f t="shared" si="2"/>
        <v/>
      </c>
      <c r="C1042" s="57"/>
      <c r="D1042" s="10" t="str">
        <f>IFERROR(__xludf.DUMMYFUNCTION("IF(COUNTA(C1042:C1350)=0,"""",IF(ISBLANK(C1042),FALSE,IF(NOT(COUNTIF($AA$24:$AA$34,SUBSTITUTE(C1042,""Sell_"",""""))),1,IF(REGEXMATCH(C1042,""Sell_""),IF(COUNTIF(C$4:C1042,SUBSTITUTE(C1042,""Sell_"",""""))-COUNTIF(C$4:C1041,C1042)&lt;1,1),FALSE))))"),"")</f>
        <v/>
      </c>
      <c r="E1042" s="59" t="str">
        <f t="array" ref="E1042">IF(COUNTA(C1042:C1350)=0,"",SUM((COUNTIF(C$4:C1042,Upgrades!$B$3:$B$13)-COUNTIF(C$4:C1042,"Sell_"&amp;Upgrades!$B$3:$B$13))*Upgrades!$D$3:$D$13))</f>
        <v/>
      </c>
      <c r="F1042" s="66" t="str">
        <f>IFERROR(__xludf.DUMMYFUNCTION("IF(COUNTA(C1042:C1350)=0,"""",IF(REGEXMATCH(INDEX(FILTER(C$4:C1042,C$4:C1042&lt;&gt;""""),ROWS(FILTER(C$4:C1042,C$4:C1042&lt;&gt;""""))),""^Sell_""),INDEX(FILTER(F$4:F1041,C$4:C1041&lt;&gt;""""),ROWS(FILTER(C$4:C1041,C$4:C1041&lt;&gt;""""))),$AC$5+E1042))"),"")</f>
        <v/>
      </c>
      <c r="G1042" s="10" t="str">
        <f>IFERROR(__xludf.DUMMYFUNCTION("IF(COUNTA(C1042:C1350)=0,"""",IF(C1042="""",0,IF(REGEXMATCH(C1042,""^Sell_""),-ROUNDDOWN(ROUNDUP(INDEX(Upgrades!$C$3:$C$13,MATCH(SUBSTITUTE(C1042,""Sell_"",""""),Upgrades!$B$3:$B$13,0))*1.15^(COUNTIF(C$4:C1041,SUBSTITUTE(C1042,""Sell_"",""""))-COUNTIF(C$4"&amp;":C1041,""Sell_""&amp;SUBSTITUTE(C1042,""Sell_"",""""))))/2),ROUNDUP(INDEX(Upgrades!$C$3:$C$13,MATCH(C1042,Upgrades!$B$3:$B$13,0))*1.15^(COUNTIF(C$4:C1041,C1042)-COUNTIF(C$4:C1041,""Sell_""&amp;C1042))))))"),"")</f>
        <v/>
      </c>
      <c r="H1042" s="10" t="str">
        <f t="shared" si="3"/>
        <v/>
      </c>
      <c r="I1042" s="68" t="str">
        <f t="shared" si="4"/>
        <v/>
      </c>
      <c r="J1042" s="59" t="str">
        <f t="shared" si="5"/>
        <v/>
      </c>
      <c r="K1042" s="69" t="str">
        <f t="shared" si="6"/>
        <v/>
      </c>
      <c r="L1042" s="60" t="str">
        <f t="shared" si="7"/>
        <v/>
      </c>
      <c r="M1042" s="61" t="str">
        <f>IFERROR(__xludf.DUMMYFUNCTION("IFS(AND(COUNTA(C1042:C1350)=0,COUNTA(Q1042:Q1350)=0),"""",OR(AND(K1042&gt;=1000000000,OR(Y1042&gt;=1000000000,COUNTA(Q1042:Q1350)=0)),OR(Y1042&gt;=1000000000,AND(COUNTA(C1042:C1350)=0,P$3=TRUE))),
ROUNDDOWN((AB$1-AC$1)*MAX(INDEX(T$4:T1350,MATCH(LARGE(FILTER(Y$4:Y1"&amp;"350,Y$4:Y1350&lt;1000000000),1),Y$4:Y1350)),INDEX(F$4:F1350,MATCH(LARGE(FILTER(K$4:K1350,K$4:K1350&lt;1000000000),1),K$4:K1350)))),AND(K1042&lt;1000000000,COUNTA(C1042:C1350)&gt;0,P$3=FALSE),
ROUNDDOWN(INDEX(Y$4:Y1350,MATCH(LARGE(FILTER(W$4:W1350,W$4:W1350&lt;=I1042),1)"&amp;",W$4:W1350))+(I1042-LARGE(FILTER(W$4:W1350,W$4:W1350&lt;=I1042),1))*INDEX(T$4:T1350,MATCH(LARGE(FILTER(W$4:W1350,W$4:W1350&lt;=I1042),1),W$4:W1350))-K1042),1,
ROUNDDOWN(Y1042-INDEX(K$4:K1350,MATCH(LARGE(FILTER(I$4:I1350,I$4:I1350&lt;=W1042),1),I$4:I1350))-(W1042-L"&amp;"ARGE(FILTER(I$4:I1350,I$4:I1350&lt;=W1042),1))*INDEX(F$4:F1350,MATCH(LARGE(FILTER(I$4:I1350,I$4:I1350&lt;=W1042),1),I$4:I1350))))"),"")</f>
        <v/>
      </c>
      <c r="N1042" s="60" t="str">
        <f t="shared" si="8"/>
        <v/>
      </c>
      <c r="O1042" s="61" t="str">
        <f t="shared" si="9"/>
        <v/>
      </c>
      <c r="P1042" s="56" t="str">
        <f t="shared" si="10"/>
        <v/>
      </c>
      <c r="Q1042" s="62"/>
      <c r="R1042" s="10" t="str">
        <f>IFERROR(__xludf.DUMMYFUNCTION("IF(COUNTA(Q1042:Q1350)=0,"""",IF(ISBLANK(Q1042),FALSE,IF(NOT(COUNTIF($AA$24:$AA$34,SUBSTITUTE(Q1042,""Sell_"",""""))),1,IF(REGEXMATCH(Q1042,""Sell_""),IF(COUNTIF(Q$4:Q1042,SUBSTITUTE(Q1042,""Sell_"",""""))-COUNTIF(Q$4:Q1041,Q1042)&lt;1,1),FALSE))))"),"")</f>
        <v/>
      </c>
      <c r="S1042" s="59" t="str">
        <f t="array" ref="S1042">IF(COUNTA(Q1042:Q1350)=0,"",SUM((COUNTIF(Q$4:Q1042,Upgrades!$B$3:$B$13)-COUNTIF(Q$4:Q1042,"Sell_"&amp;Upgrades!$B$3:$B$13))*Upgrades!$D$3:$D$13))</f>
        <v/>
      </c>
      <c r="T1042" s="66" t="str">
        <f>IFERROR(__xludf.DUMMYFUNCTION("IF(COUNTA(Q1042:Q1350)=0,"""",IF(REGEXMATCH(INDEX(FILTER(Q$4:Q1042,Q$4:Q1042&lt;&gt;""""),ROWS(FILTER(Q$4:Q1042,Q$4:Q1042&lt;&gt;""""))),""^Sell_""),INDEX(FILTER(T$4:T1041,Q$4:Q1041&lt;&gt;""""),ROWS(FILTER(Q$4:Q1041,Q$4:Q1041&lt;&gt;""""))),$AD$5+S1042))"),"")</f>
        <v/>
      </c>
      <c r="U1042" s="10" t="str">
        <f>IFERROR(__xludf.DUMMYFUNCTION("IF(COUNTA(Q1042:Q1350)=0,"""",IF(Q1042="""",0,IF(REGEXMATCH(Q1042,""^Sell_""),-ROUNDDOWN(ROUNDUP(INDEX(Upgrades!$C$3:$C$13,MATCH(SUBSTITUTE(Q1042,""Sell_"",""""),Upgrades!$B$3:$B$13,0))*1.15^(COUNTIF(Q$4:Q1041,SUBSTITUTE(Q1042,""Sell_"",""""))-COUNTIF(Q$4"&amp;":Q1041,""Sell_""&amp;SUBSTITUTE(Q1042,""Sell_"",""""))))/2),ROUNDUP(INDEX(Upgrades!$C$3:$C$13,MATCH(Q1042,Upgrades!$B$3:$B$13,0))*1.15^(COUNTIF(Q$4:Q1041,Q1042)-COUNTIF(Q$4:Q1041,""Sell_""&amp;Q1042))))))"),"")</f>
        <v/>
      </c>
      <c r="V1042" s="10" t="str">
        <f t="shared" si="11"/>
        <v/>
      </c>
      <c r="W1042" s="68" t="str">
        <f t="shared" si="12"/>
        <v/>
      </c>
      <c r="X1042" s="59" t="str">
        <f t="shared" si="13"/>
        <v/>
      </c>
      <c r="Y1042" s="69" t="str">
        <f t="shared" si="14"/>
        <v/>
      </c>
      <c r="Z1042" s="11"/>
    </row>
    <row r="1043">
      <c r="A1043" s="8"/>
      <c r="B1043" s="56" t="str">
        <f t="shared" si="2"/>
        <v/>
      </c>
      <c r="C1043" s="57"/>
      <c r="D1043" s="10" t="str">
        <f>IFERROR(__xludf.DUMMYFUNCTION("IF(COUNTA(C1043:C1350)=0,"""",IF(ISBLANK(C1043),FALSE,IF(NOT(COUNTIF($AA$24:$AA$34,SUBSTITUTE(C1043,""Sell_"",""""))),1,IF(REGEXMATCH(C1043,""Sell_""),IF(COUNTIF(C$4:C1043,SUBSTITUTE(C1043,""Sell_"",""""))-COUNTIF(C$4:C1042,C1043)&lt;1,1),FALSE))))"),"")</f>
        <v/>
      </c>
      <c r="E1043" s="59" t="str">
        <f t="array" ref="E1043">IF(COUNTA(C1043:C1350)=0,"",SUM((COUNTIF(C$4:C1043,Upgrades!$B$3:$B$13)-COUNTIF(C$4:C1043,"Sell_"&amp;Upgrades!$B$3:$B$13))*Upgrades!$D$3:$D$13))</f>
        <v/>
      </c>
      <c r="F1043" s="66" t="str">
        <f>IFERROR(__xludf.DUMMYFUNCTION("IF(COUNTA(C1043:C1350)=0,"""",IF(REGEXMATCH(INDEX(FILTER(C$4:C1043,C$4:C1043&lt;&gt;""""),ROWS(FILTER(C$4:C1043,C$4:C1043&lt;&gt;""""))),""^Sell_""),INDEX(FILTER(F$4:F1042,C$4:C1042&lt;&gt;""""),ROWS(FILTER(C$4:C1042,C$4:C1042&lt;&gt;""""))),$AC$5+E1043))"),"")</f>
        <v/>
      </c>
      <c r="G1043" s="10" t="str">
        <f>IFERROR(__xludf.DUMMYFUNCTION("IF(COUNTA(C1043:C1350)=0,"""",IF(C1043="""",0,IF(REGEXMATCH(C1043,""^Sell_""),-ROUNDDOWN(ROUNDUP(INDEX(Upgrades!$C$3:$C$13,MATCH(SUBSTITUTE(C1043,""Sell_"",""""),Upgrades!$B$3:$B$13,0))*1.15^(COUNTIF(C$4:C1042,SUBSTITUTE(C1043,""Sell_"",""""))-COUNTIF(C$4"&amp;":C1042,""Sell_""&amp;SUBSTITUTE(C1043,""Sell_"",""""))))/2),ROUNDUP(INDEX(Upgrades!$C$3:$C$13,MATCH(C1043,Upgrades!$B$3:$B$13,0))*1.15^(COUNTIF(C$4:C1042,C1043)-COUNTIF(C$4:C1042,""Sell_""&amp;C1043))))))"),"")</f>
        <v/>
      </c>
      <c r="H1043" s="10" t="str">
        <f t="shared" si="3"/>
        <v/>
      </c>
      <c r="I1043" s="68" t="str">
        <f t="shared" si="4"/>
        <v/>
      </c>
      <c r="J1043" s="59" t="str">
        <f t="shared" si="5"/>
        <v/>
      </c>
      <c r="K1043" s="69" t="str">
        <f t="shared" si="6"/>
        <v/>
      </c>
      <c r="L1043" s="60" t="str">
        <f t="shared" si="7"/>
        <v/>
      </c>
      <c r="M1043" s="61" t="str">
        <f>IFERROR(__xludf.DUMMYFUNCTION("IFS(AND(COUNTA(C1043:C1350)=0,COUNTA(Q1043:Q1350)=0),"""",OR(AND(K1043&gt;=1000000000,OR(Y1043&gt;=1000000000,COUNTA(Q1043:Q1350)=0)),OR(Y1043&gt;=1000000000,AND(COUNTA(C1043:C1350)=0,P$3=TRUE))),
ROUNDDOWN((AB$1-AC$1)*MAX(INDEX(T$4:T1350,MATCH(LARGE(FILTER(Y$4:Y1"&amp;"350,Y$4:Y1350&lt;1000000000),1),Y$4:Y1350)),INDEX(F$4:F1350,MATCH(LARGE(FILTER(K$4:K1350,K$4:K1350&lt;1000000000),1),K$4:K1350)))),AND(K1043&lt;1000000000,COUNTA(C1043:C1350)&gt;0,P$3=FALSE),
ROUNDDOWN(INDEX(Y$4:Y1350,MATCH(LARGE(FILTER(W$4:W1350,W$4:W1350&lt;=I1043),1)"&amp;",W$4:W1350))+(I1043-LARGE(FILTER(W$4:W1350,W$4:W1350&lt;=I1043),1))*INDEX(T$4:T1350,MATCH(LARGE(FILTER(W$4:W1350,W$4:W1350&lt;=I1043),1),W$4:W1350))-K1043),1,
ROUNDDOWN(Y1043-INDEX(K$4:K1350,MATCH(LARGE(FILTER(I$4:I1350,I$4:I1350&lt;=W1043),1),I$4:I1350))-(W1043-L"&amp;"ARGE(FILTER(I$4:I1350,I$4:I1350&lt;=W1043),1))*INDEX(F$4:F1350,MATCH(LARGE(FILTER(I$4:I1350,I$4:I1350&lt;=W1043),1),I$4:I1350))))"),"")</f>
        <v/>
      </c>
      <c r="N1043" s="60" t="str">
        <f t="shared" si="8"/>
        <v/>
      </c>
      <c r="O1043" s="61" t="str">
        <f t="shared" si="9"/>
        <v/>
      </c>
      <c r="P1043" s="56" t="str">
        <f t="shared" si="10"/>
        <v/>
      </c>
      <c r="Q1043" s="62"/>
      <c r="R1043" s="10" t="str">
        <f>IFERROR(__xludf.DUMMYFUNCTION("IF(COUNTA(Q1043:Q1350)=0,"""",IF(ISBLANK(Q1043),FALSE,IF(NOT(COUNTIF($AA$24:$AA$34,SUBSTITUTE(Q1043,""Sell_"",""""))),1,IF(REGEXMATCH(Q1043,""Sell_""),IF(COUNTIF(Q$4:Q1043,SUBSTITUTE(Q1043,""Sell_"",""""))-COUNTIF(Q$4:Q1042,Q1043)&lt;1,1),FALSE))))"),"")</f>
        <v/>
      </c>
      <c r="S1043" s="59" t="str">
        <f t="array" ref="S1043">IF(COUNTA(Q1043:Q1350)=0,"",SUM((COUNTIF(Q$4:Q1043,Upgrades!$B$3:$B$13)-COUNTIF(Q$4:Q1043,"Sell_"&amp;Upgrades!$B$3:$B$13))*Upgrades!$D$3:$D$13))</f>
        <v/>
      </c>
      <c r="T1043" s="66" t="str">
        <f>IFERROR(__xludf.DUMMYFUNCTION("IF(COUNTA(Q1043:Q1350)=0,"""",IF(REGEXMATCH(INDEX(FILTER(Q$4:Q1043,Q$4:Q1043&lt;&gt;""""),ROWS(FILTER(Q$4:Q1043,Q$4:Q1043&lt;&gt;""""))),""^Sell_""),INDEX(FILTER(T$4:T1042,Q$4:Q1042&lt;&gt;""""),ROWS(FILTER(Q$4:Q1042,Q$4:Q1042&lt;&gt;""""))),$AD$5+S1043))"),"")</f>
        <v/>
      </c>
      <c r="U1043" s="10" t="str">
        <f>IFERROR(__xludf.DUMMYFUNCTION("IF(COUNTA(Q1043:Q1350)=0,"""",IF(Q1043="""",0,IF(REGEXMATCH(Q1043,""^Sell_""),-ROUNDDOWN(ROUNDUP(INDEX(Upgrades!$C$3:$C$13,MATCH(SUBSTITUTE(Q1043,""Sell_"",""""),Upgrades!$B$3:$B$13,0))*1.15^(COUNTIF(Q$4:Q1042,SUBSTITUTE(Q1043,""Sell_"",""""))-COUNTIF(Q$4"&amp;":Q1042,""Sell_""&amp;SUBSTITUTE(Q1043,""Sell_"",""""))))/2),ROUNDUP(INDEX(Upgrades!$C$3:$C$13,MATCH(Q1043,Upgrades!$B$3:$B$13,0))*1.15^(COUNTIF(Q$4:Q1042,Q1043)-COUNTIF(Q$4:Q1042,""Sell_""&amp;Q1043))))))"),"")</f>
        <v/>
      </c>
      <c r="V1043" s="10" t="str">
        <f t="shared" si="11"/>
        <v/>
      </c>
      <c r="W1043" s="68" t="str">
        <f t="shared" si="12"/>
        <v/>
      </c>
      <c r="X1043" s="59" t="str">
        <f t="shared" si="13"/>
        <v/>
      </c>
      <c r="Y1043" s="69" t="str">
        <f t="shared" si="14"/>
        <v/>
      </c>
      <c r="Z1043" s="11"/>
    </row>
    <row r="1044">
      <c r="A1044" s="8"/>
      <c r="B1044" s="56" t="str">
        <f t="shared" si="2"/>
        <v/>
      </c>
      <c r="C1044" s="57"/>
      <c r="D1044" s="10" t="str">
        <f>IFERROR(__xludf.DUMMYFUNCTION("IF(COUNTA(C1044:C1350)=0,"""",IF(ISBLANK(C1044),FALSE,IF(NOT(COUNTIF($AA$24:$AA$34,SUBSTITUTE(C1044,""Sell_"",""""))),1,IF(REGEXMATCH(C1044,""Sell_""),IF(COUNTIF(C$4:C1044,SUBSTITUTE(C1044,""Sell_"",""""))-COUNTIF(C$4:C1043,C1044)&lt;1,1),FALSE))))"),"")</f>
        <v/>
      </c>
      <c r="E1044" s="59" t="str">
        <f t="array" ref="E1044">IF(COUNTA(C1044:C1350)=0,"",SUM((COUNTIF(C$4:C1044,Upgrades!$B$3:$B$13)-COUNTIF(C$4:C1044,"Sell_"&amp;Upgrades!$B$3:$B$13))*Upgrades!$D$3:$D$13))</f>
        <v/>
      </c>
      <c r="F1044" s="66" t="str">
        <f>IFERROR(__xludf.DUMMYFUNCTION("IF(COUNTA(C1044:C1350)=0,"""",IF(REGEXMATCH(INDEX(FILTER(C$4:C1044,C$4:C1044&lt;&gt;""""),ROWS(FILTER(C$4:C1044,C$4:C1044&lt;&gt;""""))),""^Sell_""),INDEX(FILTER(F$4:F1043,C$4:C1043&lt;&gt;""""),ROWS(FILTER(C$4:C1043,C$4:C1043&lt;&gt;""""))),$AC$5+E1044))"),"")</f>
        <v/>
      </c>
      <c r="G1044" s="10" t="str">
        <f>IFERROR(__xludf.DUMMYFUNCTION("IF(COUNTA(C1044:C1350)=0,"""",IF(C1044="""",0,IF(REGEXMATCH(C1044,""^Sell_""),-ROUNDDOWN(ROUNDUP(INDEX(Upgrades!$C$3:$C$13,MATCH(SUBSTITUTE(C1044,""Sell_"",""""),Upgrades!$B$3:$B$13,0))*1.15^(COUNTIF(C$4:C1043,SUBSTITUTE(C1044,""Sell_"",""""))-COUNTIF(C$4"&amp;":C1043,""Sell_""&amp;SUBSTITUTE(C1044,""Sell_"",""""))))/2),ROUNDUP(INDEX(Upgrades!$C$3:$C$13,MATCH(C1044,Upgrades!$B$3:$B$13,0))*1.15^(COUNTIF(C$4:C1043,C1044)-COUNTIF(C$4:C1043,""Sell_""&amp;C1044))))))"),"")</f>
        <v/>
      </c>
      <c r="H1044" s="10" t="str">
        <f t="shared" si="3"/>
        <v/>
      </c>
      <c r="I1044" s="68" t="str">
        <f t="shared" si="4"/>
        <v/>
      </c>
      <c r="J1044" s="59" t="str">
        <f t="shared" si="5"/>
        <v/>
      </c>
      <c r="K1044" s="69" t="str">
        <f t="shared" si="6"/>
        <v/>
      </c>
      <c r="L1044" s="60" t="str">
        <f t="shared" si="7"/>
        <v/>
      </c>
      <c r="M1044" s="61" t="str">
        <f>IFERROR(__xludf.DUMMYFUNCTION("IFS(AND(COUNTA(C1044:C1350)=0,COUNTA(Q1044:Q1350)=0),"""",OR(AND(K1044&gt;=1000000000,OR(Y1044&gt;=1000000000,COUNTA(Q1044:Q1350)=0)),OR(Y1044&gt;=1000000000,AND(COUNTA(C1044:C1350)=0,P$3=TRUE))),
ROUNDDOWN((AB$1-AC$1)*MAX(INDEX(T$4:T1350,MATCH(LARGE(FILTER(Y$4:Y1"&amp;"350,Y$4:Y1350&lt;1000000000),1),Y$4:Y1350)),INDEX(F$4:F1350,MATCH(LARGE(FILTER(K$4:K1350,K$4:K1350&lt;1000000000),1),K$4:K1350)))),AND(K1044&lt;1000000000,COUNTA(C1044:C1350)&gt;0,P$3=FALSE),
ROUNDDOWN(INDEX(Y$4:Y1350,MATCH(LARGE(FILTER(W$4:W1350,W$4:W1350&lt;=I1044),1)"&amp;",W$4:W1350))+(I1044-LARGE(FILTER(W$4:W1350,W$4:W1350&lt;=I1044),1))*INDEX(T$4:T1350,MATCH(LARGE(FILTER(W$4:W1350,W$4:W1350&lt;=I1044),1),W$4:W1350))-K1044),1,
ROUNDDOWN(Y1044-INDEX(K$4:K1350,MATCH(LARGE(FILTER(I$4:I1350,I$4:I1350&lt;=W1044),1),I$4:I1350))-(W1044-L"&amp;"ARGE(FILTER(I$4:I1350,I$4:I1350&lt;=W1044),1))*INDEX(F$4:F1350,MATCH(LARGE(FILTER(I$4:I1350,I$4:I1350&lt;=W1044),1),I$4:I1350))))"),"")</f>
        <v/>
      </c>
      <c r="N1044" s="60" t="str">
        <f t="shared" si="8"/>
        <v/>
      </c>
      <c r="O1044" s="61" t="str">
        <f t="shared" si="9"/>
        <v/>
      </c>
      <c r="P1044" s="56" t="str">
        <f t="shared" si="10"/>
        <v/>
      </c>
      <c r="Q1044" s="62"/>
      <c r="R1044" s="10" t="str">
        <f>IFERROR(__xludf.DUMMYFUNCTION("IF(COUNTA(Q1044:Q1350)=0,"""",IF(ISBLANK(Q1044),FALSE,IF(NOT(COUNTIF($AA$24:$AA$34,SUBSTITUTE(Q1044,""Sell_"",""""))),1,IF(REGEXMATCH(Q1044,""Sell_""),IF(COUNTIF(Q$4:Q1044,SUBSTITUTE(Q1044,""Sell_"",""""))-COUNTIF(Q$4:Q1043,Q1044)&lt;1,1),FALSE))))"),"")</f>
        <v/>
      </c>
      <c r="S1044" s="59" t="str">
        <f t="array" ref="S1044">IF(COUNTA(Q1044:Q1350)=0,"",SUM((COUNTIF(Q$4:Q1044,Upgrades!$B$3:$B$13)-COUNTIF(Q$4:Q1044,"Sell_"&amp;Upgrades!$B$3:$B$13))*Upgrades!$D$3:$D$13))</f>
        <v/>
      </c>
      <c r="T1044" s="66" t="str">
        <f>IFERROR(__xludf.DUMMYFUNCTION("IF(COUNTA(Q1044:Q1350)=0,"""",IF(REGEXMATCH(INDEX(FILTER(Q$4:Q1044,Q$4:Q1044&lt;&gt;""""),ROWS(FILTER(Q$4:Q1044,Q$4:Q1044&lt;&gt;""""))),""^Sell_""),INDEX(FILTER(T$4:T1043,Q$4:Q1043&lt;&gt;""""),ROWS(FILTER(Q$4:Q1043,Q$4:Q1043&lt;&gt;""""))),$AD$5+S1044))"),"")</f>
        <v/>
      </c>
      <c r="U1044" s="10" t="str">
        <f>IFERROR(__xludf.DUMMYFUNCTION("IF(COUNTA(Q1044:Q1350)=0,"""",IF(Q1044="""",0,IF(REGEXMATCH(Q1044,""^Sell_""),-ROUNDDOWN(ROUNDUP(INDEX(Upgrades!$C$3:$C$13,MATCH(SUBSTITUTE(Q1044,""Sell_"",""""),Upgrades!$B$3:$B$13,0))*1.15^(COUNTIF(Q$4:Q1043,SUBSTITUTE(Q1044,""Sell_"",""""))-COUNTIF(Q$4"&amp;":Q1043,""Sell_""&amp;SUBSTITUTE(Q1044,""Sell_"",""""))))/2),ROUNDUP(INDEX(Upgrades!$C$3:$C$13,MATCH(Q1044,Upgrades!$B$3:$B$13,0))*1.15^(COUNTIF(Q$4:Q1043,Q1044)-COUNTIF(Q$4:Q1043,""Sell_""&amp;Q1044))))))"),"")</f>
        <v/>
      </c>
      <c r="V1044" s="10" t="str">
        <f t="shared" si="11"/>
        <v/>
      </c>
      <c r="W1044" s="68" t="str">
        <f t="shared" si="12"/>
        <v/>
      </c>
      <c r="X1044" s="59" t="str">
        <f t="shared" si="13"/>
        <v/>
      </c>
      <c r="Y1044" s="69" t="str">
        <f t="shared" si="14"/>
        <v/>
      </c>
      <c r="Z1044" s="11"/>
    </row>
    <row r="1045">
      <c r="A1045" s="8"/>
      <c r="B1045" s="56" t="str">
        <f t="shared" si="2"/>
        <v/>
      </c>
      <c r="C1045" s="57"/>
      <c r="D1045" s="10" t="str">
        <f>IFERROR(__xludf.DUMMYFUNCTION("IF(COUNTA(C1045:C1350)=0,"""",IF(ISBLANK(C1045),FALSE,IF(NOT(COUNTIF($AA$24:$AA$34,SUBSTITUTE(C1045,""Sell_"",""""))),1,IF(REGEXMATCH(C1045,""Sell_""),IF(COUNTIF(C$4:C1045,SUBSTITUTE(C1045,""Sell_"",""""))-COUNTIF(C$4:C1044,C1045)&lt;1,1),FALSE))))"),"")</f>
        <v/>
      </c>
      <c r="E1045" s="59" t="str">
        <f t="array" ref="E1045">IF(COUNTA(C1045:C1350)=0,"",SUM((COUNTIF(C$4:C1045,Upgrades!$B$3:$B$13)-COUNTIF(C$4:C1045,"Sell_"&amp;Upgrades!$B$3:$B$13))*Upgrades!$D$3:$D$13))</f>
        <v/>
      </c>
      <c r="F1045" s="66" t="str">
        <f>IFERROR(__xludf.DUMMYFUNCTION("IF(COUNTA(C1045:C1350)=0,"""",IF(REGEXMATCH(INDEX(FILTER(C$4:C1045,C$4:C1045&lt;&gt;""""),ROWS(FILTER(C$4:C1045,C$4:C1045&lt;&gt;""""))),""^Sell_""),INDEX(FILTER(F$4:F1044,C$4:C1044&lt;&gt;""""),ROWS(FILTER(C$4:C1044,C$4:C1044&lt;&gt;""""))),$AC$5+E1045))"),"")</f>
        <v/>
      </c>
      <c r="G1045" s="10" t="str">
        <f>IFERROR(__xludf.DUMMYFUNCTION("IF(COUNTA(C1045:C1350)=0,"""",IF(C1045="""",0,IF(REGEXMATCH(C1045,""^Sell_""),-ROUNDDOWN(ROUNDUP(INDEX(Upgrades!$C$3:$C$13,MATCH(SUBSTITUTE(C1045,""Sell_"",""""),Upgrades!$B$3:$B$13,0))*1.15^(COUNTIF(C$4:C1044,SUBSTITUTE(C1045,""Sell_"",""""))-COUNTIF(C$4"&amp;":C1044,""Sell_""&amp;SUBSTITUTE(C1045,""Sell_"",""""))))/2),ROUNDUP(INDEX(Upgrades!$C$3:$C$13,MATCH(C1045,Upgrades!$B$3:$B$13,0))*1.15^(COUNTIF(C$4:C1044,C1045)-COUNTIF(C$4:C1044,""Sell_""&amp;C1045))))))"),"")</f>
        <v/>
      </c>
      <c r="H1045" s="10" t="str">
        <f t="shared" si="3"/>
        <v/>
      </c>
      <c r="I1045" s="68" t="str">
        <f t="shared" si="4"/>
        <v/>
      </c>
      <c r="J1045" s="59" t="str">
        <f t="shared" si="5"/>
        <v/>
      </c>
      <c r="K1045" s="69" t="str">
        <f t="shared" si="6"/>
        <v/>
      </c>
      <c r="L1045" s="60" t="str">
        <f t="shared" si="7"/>
        <v/>
      </c>
      <c r="M1045" s="61" t="str">
        <f>IFERROR(__xludf.DUMMYFUNCTION("IFS(AND(COUNTA(C1045:C1350)=0,COUNTA(Q1045:Q1350)=0),"""",OR(AND(K1045&gt;=1000000000,OR(Y1045&gt;=1000000000,COUNTA(Q1045:Q1350)=0)),OR(Y1045&gt;=1000000000,AND(COUNTA(C1045:C1350)=0,P$3=TRUE))),
ROUNDDOWN((AB$1-AC$1)*MAX(INDEX(T$4:T1350,MATCH(LARGE(FILTER(Y$4:Y1"&amp;"350,Y$4:Y1350&lt;1000000000),1),Y$4:Y1350)),INDEX(F$4:F1350,MATCH(LARGE(FILTER(K$4:K1350,K$4:K1350&lt;1000000000),1),K$4:K1350)))),AND(K1045&lt;1000000000,COUNTA(C1045:C1350)&gt;0,P$3=FALSE),
ROUNDDOWN(INDEX(Y$4:Y1350,MATCH(LARGE(FILTER(W$4:W1350,W$4:W1350&lt;=I1045),1)"&amp;",W$4:W1350))+(I1045-LARGE(FILTER(W$4:W1350,W$4:W1350&lt;=I1045),1))*INDEX(T$4:T1350,MATCH(LARGE(FILTER(W$4:W1350,W$4:W1350&lt;=I1045),1),W$4:W1350))-K1045),1,
ROUNDDOWN(Y1045-INDEX(K$4:K1350,MATCH(LARGE(FILTER(I$4:I1350,I$4:I1350&lt;=W1045),1),I$4:I1350))-(W1045-L"&amp;"ARGE(FILTER(I$4:I1350,I$4:I1350&lt;=W1045),1))*INDEX(F$4:F1350,MATCH(LARGE(FILTER(I$4:I1350,I$4:I1350&lt;=W1045),1),I$4:I1350))))"),"")</f>
        <v/>
      </c>
      <c r="N1045" s="60" t="str">
        <f t="shared" si="8"/>
        <v/>
      </c>
      <c r="O1045" s="61" t="str">
        <f t="shared" si="9"/>
        <v/>
      </c>
      <c r="P1045" s="56" t="str">
        <f t="shared" si="10"/>
        <v/>
      </c>
      <c r="Q1045" s="62"/>
      <c r="R1045" s="10" t="str">
        <f>IFERROR(__xludf.DUMMYFUNCTION("IF(COUNTA(Q1045:Q1350)=0,"""",IF(ISBLANK(Q1045),FALSE,IF(NOT(COUNTIF($AA$24:$AA$34,SUBSTITUTE(Q1045,""Sell_"",""""))),1,IF(REGEXMATCH(Q1045,""Sell_""),IF(COUNTIF(Q$4:Q1045,SUBSTITUTE(Q1045,""Sell_"",""""))-COUNTIF(Q$4:Q1044,Q1045)&lt;1,1),FALSE))))"),"")</f>
        <v/>
      </c>
      <c r="S1045" s="59" t="str">
        <f t="array" ref="S1045">IF(COUNTA(Q1045:Q1350)=0,"",SUM((COUNTIF(Q$4:Q1045,Upgrades!$B$3:$B$13)-COUNTIF(Q$4:Q1045,"Sell_"&amp;Upgrades!$B$3:$B$13))*Upgrades!$D$3:$D$13))</f>
        <v/>
      </c>
      <c r="T1045" s="66" t="str">
        <f>IFERROR(__xludf.DUMMYFUNCTION("IF(COUNTA(Q1045:Q1350)=0,"""",IF(REGEXMATCH(INDEX(FILTER(Q$4:Q1045,Q$4:Q1045&lt;&gt;""""),ROWS(FILTER(Q$4:Q1045,Q$4:Q1045&lt;&gt;""""))),""^Sell_""),INDEX(FILTER(T$4:T1044,Q$4:Q1044&lt;&gt;""""),ROWS(FILTER(Q$4:Q1044,Q$4:Q1044&lt;&gt;""""))),$AD$5+S1045))"),"")</f>
        <v/>
      </c>
      <c r="U1045" s="10" t="str">
        <f>IFERROR(__xludf.DUMMYFUNCTION("IF(COUNTA(Q1045:Q1350)=0,"""",IF(Q1045="""",0,IF(REGEXMATCH(Q1045,""^Sell_""),-ROUNDDOWN(ROUNDUP(INDEX(Upgrades!$C$3:$C$13,MATCH(SUBSTITUTE(Q1045,""Sell_"",""""),Upgrades!$B$3:$B$13,0))*1.15^(COUNTIF(Q$4:Q1044,SUBSTITUTE(Q1045,""Sell_"",""""))-COUNTIF(Q$4"&amp;":Q1044,""Sell_""&amp;SUBSTITUTE(Q1045,""Sell_"",""""))))/2),ROUNDUP(INDEX(Upgrades!$C$3:$C$13,MATCH(Q1045,Upgrades!$B$3:$B$13,0))*1.15^(COUNTIF(Q$4:Q1044,Q1045)-COUNTIF(Q$4:Q1044,""Sell_""&amp;Q1045))))))"),"")</f>
        <v/>
      </c>
      <c r="V1045" s="10" t="str">
        <f t="shared" si="11"/>
        <v/>
      </c>
      <c r="W1045" s="68" t="str">
        <f t="shared" si="12"/>
        <v/>
      </c>
      <c r="X1045" s="59" t="str">
        <f t="shared" si="13"/>
        <v/>
      </c>
      <c r="Y1045" s="69" t="str">
        <f t="shared" si="14"/>
        <v/>
      </c>
      <c r="Z1045" s="11"/>
    </row>
    <row r="1046">
      <c r="A1046" s="8"/>
      <c r="B1046" s="56" t="str">
        <f t="shared" si="2"/>
        <v/>
      </c>
      <c r="C1046" s="57"/>
      <c r="D1046" s="10" t="str">
        <f>IFERROR(__xludf.DUMMYFUNCTION("IF(COUNTA(C1046:C1350)=0,"""",IF(ISBLANK(C1046),FALSE,IF(NOT(COUNTIF($AA$24:$AA$34,SUBSTITUTE(C1046,""Sell_"",""""))),1,IF(REGEXMATCH(C1046,""Sell_""),IF(COUNTIF(C$4:C1046,SUBSTITUTE(C1046,""Sell_"",""""))-COUNTIF(C$4:C1045,C1046)&lt;1,1),FALSE))))"),"")</f>
        <v/>
      </c>
      <c r="E1046" s="59" t="str">
        <f t="array" ref="E1046">IF(COUNTA(C1046:C1350)=0,"",SUM((COUNTIF(C$4:C1046,Upgrades!$B$3:$B$13)-COUNTIF(C$4:C1046,"Sell_"&amp;Upgrades!$B$3:$B$13))*Upgrades!$D$3:$D$13))</f>
        <v/>
      </c>
      <c r="F1046" s="66" t="str">
        <f>IFERROR(__xludf.DUMMYFUNCTION("IF(COUNTA(C1046:C1350)=0,"""",IF(REGEXMATCH(INDEX(FILTER(C$4:C1046,C$4:C1046&lt;&gt;""""),ROWS(FILTER(C$4:C1046,C$4:C1046&lt;&gt;""""))),""^Sell_""),INDEX(FILTER(F$4:F1045,C$4:C1045&lt;&gt;""""),ROWS(FILTER(C$4:C1045,C$4:C1045&lt;&gt;""""))),$AC$5+E1046))"),"")</f>
        <v/>
      </c>
      <c r="G1046" s="10" t="str">
        <f>IFERROR(__xludf.DUMMYFUNCTION("IF(COUNTA(C1046:C1350)=0,"""",IF(C1046="""",0,IF(REGEXMATCH(C1046,""^Sell_""),-ROUNDDOWN(ROUNDUP(INDEX(Upgrades!$C$3:$C$13,MATCH(SUBSTITUTE(C1046,""Sell_"",""""),Upgrades!$B$3:$B$13,0))*1.15^(COUNTIF(C$4:C1045,SUBSTITUTE(C1046,""Sell_"",""""))-COUNTIF(C$4"&amp;":C1045,""Sell_""&amp;SUBSTITUTE(C1046,""Sell_"",""""))))/2),ROUNDUP(INDEX(Upgrades!$C$3:$C$13,MATCH(C1046,Upgrades!$B$3:$B$13,0))*1.15^(COUNTIF(C$4:C1045,C1046)-COUNTIF(C$4:C1045,""Sell_""&amp;C1046))))))"),"")</f>
        <v/>
      </c>
      <c r="H1046" s="10" t="str">
        <f t="shared" si="3"/>
        <v/>
      </c>
      <c r="I1046" s="68" t="str">
        <f t="shared" si="4"/>
        <v/>
      </c>
      <c r="J1046" s="59" t="str">
        <f t="shared" si="5"/>
        <v/>
      </c>
      <c r="K1046" s="69" t="str">
        <f t="shared" si="6"/>
        <v/>
      </c>
      <c r="L1046" s="60" t="str">
        <f t="shared" si="7"/>
        <v/>
      </c>
      <c r="M1046" s="61" t="str">
        <f>IFERROR(__xludf.DUMMYFUNCTION("IFS(AND(COUNTA(C1046:C1350)=0,COUNTA(Q1046:Q1350)=0),"""",OR(AND(K1046&gt;=1000000000,OR(Y1046&gt;=1000000000,COUNTA(Q1046:Q1350)=0)),OR(Y1046&gt;=1000000000,AND(COUNTA(C1046:C1350)=0,P$3=TRUE))),
ROUNDDOWN((AB$1-AC$1)*MAX(INDEX(T$4:T1350,MATCH(LARGE(FILTER(Y$4:Y1"&amp;"350,Y$4:Y1350&lt;1000000000),1),Y$4:Y1350)),INDEX(F$4:F1350,MATCH(LARGE(FILTER(K$4:K1350,K$4:K1350&lt;1000000000),1),K$4:K1350)))),AND(K1046&lt;1000000000,COUNTA(C1046:C1350)&gt;0,P$3=FALSE),
ROUNDDOWN(INDEX(Y$4:Y1350,MATCH(LARGE(FILTER(W$4:W1350,W$4:W1350&lt;=I1046),1)"&amp;",W$4:W1350))+(I1046-LARGE(FILTER(W$4:W1350,W$4:W1350&lt;=I1046),1))*INDEX(T$4:T1350,MATCH(LARGE(FILTER(W$4:W1350,W$4:W1350&lt;=I1046),1),W$4:W1350))-K1046),1,
ROUNDDOWN(Y1046-INDEX(K$4:K1350,MATCH(LARGE(FILTER(I$4:I1350,I$4:I1350&lt;=W1046),1),I$4:I1350))-(W1046-L"&amp;"ARGE(FILTER(I$4:I1350,I$4:I1350&lt;=W1046),1))*INDEX(F$4:F1350,MATCH(LARGE(FILTER(I$4:I1350,I$4:I1350&lt;=W1046),1),I$4:I1350))))"),"")</f>
        <v/>
      </c>
      <c r="N1046" s="60" t="str">
        <f t="shared" si="8"/>
        <v/>
      </c>
      <c r="O1046" s="61" t="str">
        <f t="shared" si="9"/>
        <v/>
      </c>
      <c r="P1046" s="56" t="str">
        <f t="shared" si="10"/>
        <v/>
      </c>
      <c r="Q1046" s="62"/>
      <c r="R1046" s="10" t="str">
        <f>IFERROR(__xludf.DUMMYFUNCTION("IF(COUNTA(Q1046:Q1350)=0,"""",IF(ISBLANK(Q1046),FALSE,IF(NOT(COUNTIF($AA$24:$AA$34,SUBSTITUTE(Q1046,""Sell_"",""""))),1,IF(REGEXMATCH(Q1046,""Sell_""),IF(COUNTIF(Q$4:Q1046,SUBSTITUTE(Q1046,""Sell_"",""""))-COUNTIF(Q$4:Q1045,Q1046)&lt;1,1),FALSE))))"),"")</f>
        <v/>
      </c>
      <c r="S1046" s="59" t="str">
        <f t="array" ref="S1046">IF(COUNTA(Q1046:Q1350)=0,"",SUM((COUNTIF(Q$4:Q1046,Upgrades!$B$3:$B$13)-COUNTIF(Q$4:Q1046,"Sell_"&amp;Upgrades!$B$3:$B$13))*Upgrades!$D$3:$D$13))</f>
        <v/>
      </c>
      <c r="T1046" s="66" t="str">
        <f>IFERROR(__xludf.DUMMYFUNCTION("IF(COUNTA(Q1046:Q1350)=0,"""",IF(REGEXMATCH(INDEX(FILTER(Q$4:Q1046,Q$4:Q1046&lt;&gt;""""),ROWS(FILTER(Q$4:Q1046,Q$4:Q1046&lt;&gt;""""))),""^Sell_""),INDEX(FILTER(T$4:T1045,Q$4:Q1045&lt;&gt;""""),ROWS(FILTER(Q$4:Q1045,Q$4:Q1045&lt;&gt;""""))),$AD$5+S1046))"),"")</f>
        <v/>
      </c>
      <c r="U1046" s="10" t="str">
        <f>IFERROR(__xludf.DUMMYFUNCTION("IF(COUNTA(Q1046:Q1350)=0,"""",IF(Q1046="""",0,IF(REGEXMATCH(Q1046,""^Sell_""),-ROUNDDOWN(ROUNDUP(INDEX(Upgrades!$C$3:$C$13,MATCH(SUBSTITUTE(Q1046,""Sell_"",""""),Upgrades!$B$3:$B$13,0))*1.15^(COUNTIF(Q$4:Q1045,SUBSTITUTE(Q1046,""Sell_"",""""))-COUNTIF(Q$4"&amp;":Q1045,""Sell_""&amp;SUBSTITUTE(Q1046,""Sell_"",""""))))/2),ROUNDUP(INDEX(Upgrades!$C$3:$C$13,MATCH(Q1046,Upgrades!$B$3:$B$13,0))*1.15^(COUNTIF(Q$4:Q1045,Q1046)-COUNTIF(Q$4:Q1045,""Sell_""&amp;Q1046))))))"),"")</f>
        <v/>
      </c>
      <c r="V1046" s="10" t="str">
        <f t="shared" si="11"/>
        <v/>
      </c>
      <c r="W1046" s="68" t="str">
        <f t="shared" si="12"/>
        <v/>
      </c>
      <c r="X1046" s="59" t="str">
        <f t="shared" si="13"/>
        <v/>
      </c>
      <c r="Y1046" s="69" t="str">
        <f t="shared" si="14"/>
        <v/>
      </c>
      <c r="Z1046" s="11"/>
    </row>
    <row r="1047">
      <c r="A1047" s="8"/>
      <c r="B1047" s="56" t="str">
        <f t="shared" si="2"/>
        <v/>
      </c>
      <c r="C1047" s="57"/>
      <c r="D1047" s="10" t="str">
        <f>IFERROR(__xludf.DUMMYFUNCTION("IF(COUNTA(C1047:C1350)=0,"""",IF(ISBLANK(C1047),FALSE,IF(NOT(COUNTIF($AA$24:$AA$34,SUBSTITUTE(C1047,""Sell_"",""""))),1,IF(REGEXMATCH(C1047,""Sell_""),IF(COUNTIF(C$4:C1047,SUBSTITUTE(C1047,""Sell_"",""""))-COUNTIF(C$4:C1046,C1047)&lt;1,1),FALSE))))"),"")</f>
        <v/>
      </c>
      <c r="E1047" s="59" t="str">
        <f t="array" ref="E1047">IF(COUNTA(C1047:C1350)=0,"",SUM((COUNTIF(C$4:C1047,Upgrades!$B$3:$B$13)-COUNTIF(C$4:C1047,"Sell_"&amp;Upgrades!$B$3:$B$13))*Upgrades!$D$3:$D$13))</f>
        <v/>
      </c>
      <c r="F1047" s="66" t="str">
        <f>IFERROR(__xludf.DUMMYFUNCTION("IF(COUNTA(C1047:C1350)=0,"""",IF(REGEXMATCH(INDEX(FILTER(C$4:C1047,C$4:C1047&lt;&gt;""""),ROWS(FILTER(C$4:C1047,C$4:C1047&lt;&gt;""""))),""^Sell_""),INDEX(FILTER(F$4:F1046,C$4:C1046&lt;&gt;""""),ROWS(FILTER(C$4:C1046,C$4:C1046&lt;&gt;""""))),$AC$5+E1047))"),"")</f>
        <v/>
      </c>
      <c r="G1047" s="10" t="str">
        <f>IFERROR(__xludf.DUMMYFUNCTION("IF(COUNTA(C1047:C1350)=0,"""",IF(C1047="""",0,IF(REGEXMATCH(C1047,""^Sell_""),-ROUNDDOWN(ROUNDUP(INDEX(Upgrades!$C$3:$C$13,MATCH(SUBSTITUTE(C1047,""Sell_"",""""),Upgrades!$B$3:$B$13,0))*1.15^(COUNTIF(C$4:C1046,SUBSTITUTE(C1047,""Sell_"",""""))-COUNTIF(C$4"&amp;":C1046,""Sell_""&amp;SUBSTITUTE(C1047,""Sell_"",""""))))/2),ROUNDUP(INDEX(Upgrades!$C$3:$C$13,MATCH(C1047,Upgrades!$B$3:$B$13,0))*1.15^(COUNTIF(C$4:C1046,C1047)-COUNTIF(C$4:C1046,""Sell_""&amp;C1047))))))"),"")</f>
        <v/>
      </c>
      <c r="H1047" s="10" t="str">
        <f t="shared" si="3"/>
        <v/>
      </c>
      <c r="I1047" s="68" t="str">
        <f t="shared" si="4"/>
        <v/>
      </c>
      <c r="J1047" s="59" t="str">
        <f t="shared" si="5"/>
        <v/>
      </c>
      <c r="K1047" s="69" t="str">
        <f t="shared" si="6"/>
        <v/>
      </c>
      <c r="L1047" s="60" t="str">
        <f t="shared" si="7"/>
        <v/>
      </c>
      <c r="M1047" s="61" t="str">
        <f>IFERROR(__xludf.DUMMYFUNCTION("IFS(AND(COUNTA(C1047:C1350)=0,COUNTA(Q1047:Q1350)=0),"""",OR(AND(K1047&gt;=1000000000,OR(Y1047&gt;=1000000000,COUNTA(Q1047:Q1350)=0)),OR(Y1047&gt;=1000000000,AND(COUNTA(C1047:C1350)=0,P$3=TRUE))),
ROUNDDOWN((AB$1-AC$1)*MAX(INDEX(T$4:T1350,MATCH(LARGE(FILTER(Y$4:Y1"&amp;"350,Y$4:Y1350&lt;1000000000),1),Y$4:Y1350)),INDEX(F$4:F1350,MATCH(LARGE(FILTER(K$4:K1350,K$4:K1350&lt;1000000000),1),K$4:K1350)))),AND(K1047&lt;1000000000,COUNTA(C1047:C1350)&gt;0,P$3=FALSE),
ROUNDDOWN(INDEX(Y$4:Y1350,MATCH(LARGE(FILTER(W$4:W1350,W$4:W1350&lt;=I1047),1)"&amp;",W$4:W1350))+(I1047-LARGE(FILTER(W$4:W1350,W$4:W1350&lt;=I1047),1))*INDEX(T$4:T1350,MATCH(LARGE(FILTER(W$4:W1350,W$4:W1350&lt;=I1047),1),W$4:W1350))-K1047),1,
ROUNDDOWN(Y1047-INDEX(K$4:K1350,MATCH(LARGE(FILTER(I$4:I1350,I$4:I1350&lt;=W1047),1),I$4:I1350))-(W1047-L"&amp;"ARGE(FILTER(I$4:I1350,I$4:I1350&lt;=W1047),1))*INDEX(F$4:F1350,MATCH(LARGE(FILTER(I$4:I1350,I$4:I1350&lt;=W1047),1),I$4:I1350))))"),"")</f>
        <v/>
      </c>
      <c r="N1047" s="60" t="str">
        <f t="shared" si="8"/>
        <v/>
      </c>
      <c r="O1047" s="61" t="str">
        <f t="shared" si="9"/>
        <v/>
      </c>
      <c r="P1047" s="56" t="str">
        <f t="shared" si="10"/>
        <v/>
      </c>
      <c r="Q1047" s="62"/>
      <c r="R1047" s="10" t="str">
        <f>IFERROR(__xludf.DUMMYFUNCTION("IF(COUNTA(Q1047:Q1350)=0,"""",IF(ISBLANK(Q1047),FALSE,IF(NOT(COUNTIF($AA$24:$AA$34,SUBSTITUTE(Q1047,""Sell_"",""""))),1,IF(REGEXMATCH(Q1047,""Sell_""),IF(COUNTIF(Q$4:Q1047,SUBSTITUTE(Q1047,""Sell_"",""""))-COUNTIF(Q$4:Q1046,Q1047)&lt;1,1),FALSE))))"),"")</f>
        <v/>
      </c>
      <c r="S1047" s="59" t="str">
        <f t="array" ref="S1047">IF(COUNTA(Q1047:Q1350)=0,"",SUM((COUNTIF(Q$4:Q1047,Upgrades!$B$3:$B$13)-COUNTIF(Q$4:Q1047,"Sell_"&amp;Upgrades!$B$3:$B$13))*Upgrades!$D$3:$D$13))</f>
        <v/>
      </c>
      <c r="T1047" s="66" t="str">
        <f>IFERROR(__xludf.DUMMYFUNCTION("IF(COUNTA(Q1047:Q1350)=0,"""",IF(REGEXMATCH(INDEX(FILTER(Q$4:Q1047,Q$4:Q1047&lt;&gt;""""),ROWS(FILTER(Q$4:Q1047,Q$4:Q1047&lt;&gt;""""))),""^Sell_""),INDEX(FILTER(T$4:T1046,Q$4:Q1046&lt;&gt;""""),ROWS(FILTER(Q$4:Q1046,Q$4:Q1046&lt;&gt;""""))),$AD$5+S1047))"),"")</f>
        <v/>
      </c>
      <c r="U1047" s="10" t="str">
        <f>IFERROR(__xludf.DUMMYFUNCTION("IF(COUNTA(Q1047:Q1350)=0,"""",IF(Q1047="""",0,IF(REGEXMATCH(Q1047,""^Sell_""),-ROUNDDOWN(ROUNDUP(INDEX(Upgrades!$C$3:$C$13,MATCH(SUBSTITUTE(Q1047,""Sell_"",""""),Upgrades!$B$3:$B$13,0))*1.15^(COUNTIF(Q$4:Q1046,SUBSTITUTE(Q1047,""Sell_"",""""))-COUNTIF(Q$4"&amp;":Q1046,""Sell_""&amp;SUBSTITUTE(Q1047,""Sell_"",""""))))/2),ROUNDUP(INDEX(Upgrades!$C$3:$C$13,MATCH(Q1047,Upgrades!$B$3:$B$13,0))*1.15^(COUNTIF(Q$4:Q1046,Q1047)-COUNTIF(Q$4:Q1046,""Sell_""&amp;Q1047))))))"),"")</f>
        <v/>
      </c>
      <c r="V1047" s="10" t="str">
        <f t="shared" si="11"/>
        <v/>
      </c>
      <c r="W1047" s="68" t="str">
        <f t="shared" si="12"/>
        <v/>
      </c>
      <c r="X1047" s="59" t="str">
        <f t="shared" si="13"/>
        <v/>
      </c>
      <c r="Y1047" s="69" t="str">
        <f t="shared" si="14"/>
        <v/>
      </c>
      <c r="Z1047" s="11"/>
    </row>
    <row r="1048">
      <c r="A1048" s="8"/>
      <c r="B1048" s="56" t="str">
        <f t="shared" si="2"/>
        <v/>
      </c>
      <c r="C1048" s="57"/>
      <c r="D1048" s="10" t="str">
        <f>IFERROR(__xludf.DUMMYFUNCTION("IF(COUNTA(C1048:C1350)=0,"""",IF(ISBLANK(C1048),FALSE,IF(NOT(COUNTIF($AA$24:$AA$34,SUBSTITUTE(C1048,""Sell_"",""""))),1,IF(REGEXMATCH(C1048,""Sell_""),IF(COUNTIF(C$4:C1048,SUBSTITUTE(C1048,""Sell_"",""""))-COUNTIF(C$4:C1047,C1048)&lt;1,1),FALSE))))"),"")</f>
        <v/>
      </c>
      <c r="E1048" s="59" t="str">
        <f t="array" ref="E1048">IF(COUNTA(C1048:C1350)=0,"",SUM((COUNTIF(C$4:C1048,Upgrades!$B$3:$B$13)-COUNTIF(C$4:C1048,"Sell_"&amp;Upgrades!$B$3:$B$13))*Upgrades!$D$3:$D$13))</f>
        <v/>
      </c>
      <c r="F1048" s="66" t="str">
        <f>IFERROR(__xludf.DUMMYFUNCTION("IF(COUNTA(C1048:C1350)=0,"""",IF(REGEXMATCH(INDEX(FILTER(C$4:C1048,C$4:C1048&lt;&gt;""""),ROWS(FILTER(C$4:C1048,C$4:C1048&lt;&gt;""""))),""^Sell_""),INDEX(FILTER(F$4:F1047,C$4:C1047&lt;&gt;""""),ROWS(FILTER(C$4:C1047,C$4:C1047&lt;&gt;""""))),$AC$5+E1048))"),"")</f>
        <v/>
      </c>
      <c r="G1048" s="10" t="str">
        <f>IFERROR(__xludf.DUMMYFUNCTION("IF(COUNTA(C1048:C1350)=0,"""",IF(C1048="""",0,IF(REGEXMATCH(C1048,""^Sell_""),-ROUNDDOWN(ROUNDUP(INDEX(Upgrades!$C$3:$C$13,MATCH(SUBSTITUTE(C1048,""Sell_"",""""),Upgrades!$B$3:$B$13,0))*1.15^(COUNTIF(C$4:C1047,SUBSTITUTE(C1048,""Sell_"",""""))-COUNTIF(C$4"&amp;":C1047,""Sell_""&amp;SUBSTITUTE(C1048,""Sell_"",""""))))/2),ROUNDUP(INDEX(Upgrades!$C$3:$C$13,MATCH(C1048,Upgrades!$B$3:$B$13,0))*1.15^(COUNTIF(C$4:C1047,C1048)-COUNTIF(C$4:C1047,""Sell_""&amp;C1048))))))"),"")</f>
        <v/>
      </c>
      <c r="H1048" s="10" t="str">
        <f t="shared" si="3"/>
        <v/>
      </c>
      <c r="I1048" s="68" t="str">
        <f t="shared" si="4"/>
        <v/>
      </c>
      <c r="J1048" s="59" t="str">
        <f t="shared" si="5"/>
        <v/>
      </c>
      <c r="K1048" s="69" t="str">
        <f t="shared" si="6"/>
        <v/>
      </c>
      <c r="L1048" s="60" t="str">
        <f t="shared" si="7"/>
        <v/>
      </c>
      <c r="M1048" s="61" t="str">
        <f>IFERROR(__xludf.DUMMYFUNCTION("IFS(AND(COUNTA(C1048:C1350)=0,COUNTA(Q1048:Q1350)=0),"""",OR(AND(K1048&gt;=1000000000,OR(Y1048&gt;=1000000000,COUNTA(Q1048:Q1350)=0)),OR(Y1048&gt;=1000000000,AND(COUNTA(C1048:C1350)=0,P$3=TRUE))),
ROUNDDOWN((AB$1-AC$1)*MAX(INDEX(T$4:T1350,MATCH(LARGE(FILTER(Y$4:Y1"&amp;"350,Y$4:Y1350&lt;1000000000),1),Y$4:Y1350)),INDEX(F$4:F1350,MATCH(LARGE(FILTER(K$4:K1350,K$4:K1350&lt;1000000000),1),K$4:K1350)))),AND(K1048&lt;1000000000,COUNTA(C1048:C1350)&gt;0,P$3=FALSE),
ROUNDDOWN(INDEX(Y$4:Y1350,MATCH(LARGE(FILTER(W$4:W1350,W$4:W1350&lt;=I1048),1)"&amp;",W$4:W1350))+(I1048-LARGE(FILTER(W$4:W1350,W$4:W1350&lt;=I1048),1))*INDEX(T$4:T1350,MATCH(LARGE(FILTER(W$4:W1350,W$4:W1350&lt;=I1048),1),W$4:W1350))-K1048),1,
ROUNDDOWN(Y1048-INDEX(K$4:K1350,MATCH(LARGE(FILTER(I$4:I1350,I$4:I1350&lt;=W1048),1),I$4:I1350))-(W1048-L"&amp;"ARGE(FILTER(I$4:I1350,I$4:I1350&lt;=W1048),1))*INDEX(F$4:F1350,MATCH(LARGE(FILTER(I$4:I1350,I$4:I1350&lt;=W1048),1),I$4:I1350))))"),"")</f>
        <v/>
      </c>
      <c r="N1048" s="60" t="str">
        <f t="shared" si="8"/>
        <v/>
      </c>
      <c r="O1048" s="61" t="str">
        <f t="shared" si="9"/>
        <v/>
      </c>
      <c r="P1048" s="56" t="str">
        <f t="shared" si="10"/>
        <v/>
      </c>
      <c r="Q1048" s="62"/>
      <c r="R1048" s="10" t="str">
        <f>IFERROR(__xludf.DUMMYFUNCTION("IF(COUNTA(Q1048:Q1350)=0,"""",IF(ISBLANK(Q1048),FALSE,IF(NOT(COUNTIF($AA$24:$AA$34,SUBSTITUTE(Q1048,""Sell_"",""""))),1,IF(REGEXMATCH(Q1048,""Sell_""),IF(COUNTIF(Q$4:Q1048,SUBSTITUTE(Q1048,""Sell_"",""""))-COUNTIF(Q$4:Q1047,Q1048)&lt;1,1),FALSE))))"),"")</f>
        <v/>
      </c>
      <c r="S1048" s="59" t="str">
        <f t="array" ref="S1048">IF(COUNTA(Q1048:Q1350)=0,"",SUM((COUNTIF(Q$4:Q1048,Upgrades!$B$3:$B$13)-COUNTIF(Q$4:Q1048,"Sell_"&amp;Upgrades!$B$3:$B$13))*Upgrades!$D$3:$D$13))</f>
        <v/>
      </c>
      <c r="T1048" s="66" t="str">
        <f>IFERROR(__xludf.DUMMYFUNCTION("IF(COUNTA(Q1048:Q1350)=0,"""",IF(REGEXMATCH(INDEX(FILTER(Q$4:Q1048,Q$4:Q1048&lt;&gt;""""),ROWS(FILTER(Q$4:Q1048,Q$4:Q1048&lt;&gt;""""))),""^Sell_""),INDEX(FILTER(T$4:T1047,Q$4:Q1047&lt;&gt;""""),ROWS(FILTER(Q$4:Q1047,Q$4:Q1047&lt;&gt;""""))),$AD$5+S1048))"),"")</f>
        <v/>
      </c>
      <c r="U1048" s="10" t="str">
        <f>IFERROR(__xludf.DUMMYFUNCTION("IF(COUNTA(Q1048:Q1350)=0,"""",IF(Q1048="""",0,IF(REGEXMATCH(Q1048,""^Sell_""),-ROUNDDOWN(ROUNDUP(INDEX(Upgrades!$C$3:$C$13,MATCH(SUBSTITUTE(Q1048,""Sell_"",""""),Upgrades!$B$3:$B$13,0))*1.15^(COUNTIF(Q$4:Q1047,SUBSTITUTE(Q1048,""Sell_"",""""))-COUNTIF(Q$4"&amp;":Q1047,""Sell_""&amp;SUBSTITUTE(Q1048,""Sell_"",""""))))/2),ROUNDUP(INDEX(Upgrades!$C$3:$C$13,MATCH(Q1048,Upgrades!$B$3:$B$13,0))*1.15^(COUNTIF(Q$4:Q1047,Q1048)-COUNTIF(Q$4:Q1047,""Sell_""&amp;Q1048))))))"),"")</f>
        <v/>
      </c>
      <c r="V1048" s="10" t="str">
        <f t="shared" si="11"/>
        <v/>
      </c>
      <c r="W1048" s="68" t="str">
        <f t="shared" si="12"/>
        <v/>
      </c>
      <c r="X1048" s="59" t="str">
        <f t="shared" si="13"/>
        <v/>
      </c>
      <c r="Y1048" s="69" t="str">
        <f t="shared" si="14"/>
        <v/>
      </c>
      <c r="Z1048" s="11"/>
    </row>
    <row r="1049">
      <c r="A1049" s="8"/>
      <c r="B1049" s="56" t="str">
        <f t="shared" si="2"/>
        <v/>
      </c>
      <c r="C1049" s="57"/>
      <c r="D1049" s="10" t="str">
        <f>IFERROR(__xludf.DUMMYFUNCTION("IF(COUNTA(C1049:C1350)=0,"""",IF(ISBLANK(C1049),FALSE,IF(NOT(COUNTIF($AA$24:$AA$34,SUBSTITUTE(C1049,""Sell_"",""""))),1,IF(REGEXMATCH(C1049,""Sell_""),IF(COUNTIF(C$4:C1049,SUBSTITUTE(C1049,""Sell_"",""""))-COUNTIF(C$4:C1048,C1049)&lt;1,1),FALSE))))"),"")</f>
        <v/>
      </c>
      <c r="E1049" s="59" t="str">
        <f t="array" ref="E1049">IF(COUNTA(C1049:C1350)=0,"",SUM((COUNTIF(C$4:C1049,Upgrades!$B$3:$B$13)-COUNTIF(C$4:C1049,"Sell_"&amp;Upgrades!$B$3:$B$13))*Upgrades!$D$3:$D$13))</f>
        <v/>
      </c>
      <c r="F1049" s="66" t="str">
        <f>IFERROR(__xludf.DUMMYFUNCTION("IF(COUNTA(C1049:C1350)=0,"""",IF(REGEXMATCH(INDEX(FILTER(C$4:C1049,C$4:C1049&lt;&gt;""""),ROWS(FILTER(C$4:C1049,C$4:C1049&lt;&gt;""""))),""^Sell_""),INDEX(FILTER(F$4:F1048,C$4:C1048&lt;&gt;""""),ROWS(FILTER(C$4:C1048,C$4:C1048&lt;&gt;""""))),$AC$5+E1049))"),"")</f>
        <v/>
      </c>
      <c r="G1049" s="10" t="str">
        <f>IFERROR(__xludf.DUMMYFUNCTION("IF(COUNTA(C1049:C1350)=0,"""",IF(C1049="""",0,IF(REGEXMATCH(C1049,""^Sell_""),-ROUNDDOWN(ROUNDUP(INDEX(Upgrades!$C$3:$C$13,MATCH(SUBSTITUTE(C1049,""Sell_"",""""),Upgrades!$B$3:$B$13,0))*1.15^(COUNTIF(C$4:C1048,SUBSTITUTE(C1049,""Sell_"",""""))-COUNTIF(C$4"&amp;":C1048,""Sell_""&amp;SUBSTITUTE(C1049,""Sell_"",""""))))/2),ROUNDUP(INDEX(Upgrades!$C$3:$C$13,MATCH(C1049,Upgrades!$B$3:$B$13,0))*1.15^(COUNTIF(C$4:C1048,C1049)-COUNTIF(C$4:C1048,""Sell_""&amp;C1049))))))"),"")</f>
        <v/>
      </c>
      <c r="H1049" s="10" t="str">
        <f t="shared" si="3"/>
        <v/>
      </c>
      <c r="I1049" s="68" t="str">
        <f t="shared" si="4"/>
        <v/>
      </c>
      <c r="J1049" s="59" t="str">
        <f t="shared" si="5"/>
        <v/>
      </c>
      <c r="K1049" s="69" t="str">
        <f t="shared" si="6"/>
        <v/>
      </c>
      <c r="L1049" s="60" t="str">
        <f t="shared" si="7"/>
        <v/>
      </c>
      <c r="M1049" s="61" t="str">
        <f>IFERROR(__xludf.DUMMYFUNCTION("IFS(AND(COUNTA(C1049:C1350)=0,COUNTA(Q1049:Q1350)=0),"""",OR(AND(K1049&gt;=1000000000,OR(Y1049&gt;=1000000000,COUNTA(Q1049:Q1350)=0)),OR(Y1049&gt;=1000000000,AND(COUNTA(C1049:C1350)=0,P$3=TRUE))),
ROUNDDOWN((AB$1-AC$1)*MAX(INDEX(T$4:T1350,MATCH(LARGE(FILTER(Y$4:Y1"&amp;"350,Y$4:Y1350&lt;1000000000),1),Y$4:Y1350)),INDEX(F$4:F1350,MATCH(LARGE(FILTER(K$4:K1350,K$4:K1350&lt;1000000000),1),K$4:K1350)))),AND(K1049&lt;1000000000,COUNTA(C1049:C1350)&gt;0,P$3=FALSE),
ROUNDDOWN(INDEX(Y$4:Y1350,MATCH(LARGE(FILTER(W$4:W1350,W$4:W1350&lt;=I1049),1)"&amp;",W$4:W1350))+(I1049-LARGE(FILTER(W$4:W1350,W$4:W1350&lt;=I1049),1))*INDEX(T$4:T1350,MATCH(LARGE(FILTER(W$4:W1350,W$4:W1350&lt;=I1049),1),W$4:W1350))-K1049),1,
ROUNDDOWN(Y1049-INDEX(K$4:K1350,MATCH(LARGE(FILTER(I$4:I1350,I$4:I1350&lt;=W1049),1),I$4:I1350))-(W1049-L"&amp;"ARGE(FILTER(I$4:I1350,I$4:I1350&lt;=W1049),1))*INDEX(F$4:F1350,MATCH(LARGE(FILTER(I$4:I1350,I$4:I1350&lt;=W1049),1),I$4:I1350))))"),"")</f>
        <v/>
      </c>
      <c r="N1049" s="60" t="str">
        <f t="shared" si="8"/>
        <v/>
      </c>
      <c r="O1049" s="61" t="str">
        <f t="shared" si="9"/>
        <v/>
      </c>
      <c r="P1049" s="56" t="str">
        <f t="shared" si="10"/>
        <v/>
      </c>
      <c r="Q1049" s="62"/>
      <c r="R1049" s="10" t="str">
        <f>IFERROR(__xludf.DUMMYFUNCTION("IF(COUNTA(Q1049:Q1350)=0,"""",IF(ISBLANK(Q1049),FALSE,IF(NOT(COUNTIF($AA$24:$AA$34,SUBSTITUTE(Q1049,""Sell_"",""""))),1,IF(REGEXMATCH(Q1049,""Sell_""),IF(COUNTIF(Q$4:Q1049,SUBSTITUTE(Q1049,""Sell_"",""""))-COUNTIF(Q$4:Q1048,Q1049)&lt;1,1),FALSE))))"),"")</f>
        <v/>
      </c>
      <c r="S1049" s="59" t="str">
        <f t="array" ref="S1049">IF(COUNTA(Q1049:Q1350)=0,"",SUM((COUNTIF(Q$4:Q1049,Upgrades!$B$3:$B$13)-COUNTIF(Q$4:Q1049,"Sell_"&amp;Upgrades!$B$3:$B$13))*Upgrades!$D$3:$D$13))</f>
        <v/>
      </c>
      <c r="T1049" s="66" t="str">
        <f>IFERROR(__xludf.DUMMYFUNCTION("IF(COUNTA(Q1049:Q1350)=0,"""",IF(REGEXMATCH(INDEX(FILTER(Q$4:Q1049,Q$4:Q1049&lt;&gt;""""),ROWS(FILTER(Q$4:Q1049,Q$4:Q1049&lt;&gt;""""))),""^Sell_""),INDEX(FILTER(T$4:T1048,Q$4:Q1048&lt;&gt;""""),ROWS(FILTER(Q$4:Q1048,Q$4:Q1048&lt;&gt;""""))),$AD$5+S1049))"),"")</f>
        <v/>
      </c>
      <c r="U1049" s="10" t="str">
        <f>IFERROR(__xludf.DUMMYFUNCTION("IF(COUNTA(Q1049:Q1350)=0,"""",IF(Q1049="""",0,IF(REGEXMATCH(Q1049,""^Sell_""),-ROUNDDOWN(ROUNDUP(INDEX(Upgrades!$C$3:$C$13,MATCH(SUBSTITUTE(Q1049,""Sell_"",""""),Upgrades!$B$3:$B$13,0))*1.15^(COUNTIF(Q$4:Q1048,SUBSTITUTE(Q1049,""Sell_"",""""))-COUNTIF(Q$4"&amp;":Q1048,""Sell_""&amp;SUBSTITUTE(Q1049,""Sell_"",""""))))/2),ROUNDUP(INDEX(Upgrades!$C$3:$C$13,MATCH(Q1049,Upgrades!$B$3:$B$13,0))*1.15^(COUNTIF(Q$4:Q1048,Q1049)-COUNTIF(Q$4:Q1048,""Sell_""&amp;Q1049))))))"),"")</f>
        <v/>
      </c>
      <c r="V1049" s="10" t="str">
        <f t="shared" si="11"/>
        <v/>
      </c>
      <c r="W1049" s="68" t="str">
        <f t="shared" si="12"/>
        <v/>
      </c>
      <c r="X1049" s="59" t="str">
        <f t="shared" si="13"/>
        <v/>
      </c>
      <c r="Y1049" s="69" t="str">
        <f t="shared" si="14"/>
        <v/>
      </c>
      <c r="Z1049" s="11"/>
    </row>
    <row r="1050">
      <c r="A1050" s="8"/>
      <c r="B1050" s="56" t="str">
        <f t="shared" si="2"/>
        <v/>
      </c>
      <c r="C1050" s="57"/>
      <c r="D1050" s="10" t="str">
        <f>IFERROR(__xludf.DUMMYFUNCTION("IF(COUNTA(C1050:C1350)=0,"""",IF(ISBLANK(C1050),FALSE,IF(NOT(COUNTIF($AA$24:$AA$34,SUBSTITUTE(C1050,""Sell_"",""""))),1,IF(REGEXMATCH(C1050,""Sell_""),IF(COUNTIF(C$4:C1050,SUBSTITUTE(C1050,""Sell_"",""""))-COUNTIF(C$4:C1049,C1050)&lt;1,1),FALSE))))"),"")</f>
        <v/>
      </c>
      <c r="E1050" s="59" t="str">
        <f t="array" ref="E1050">IF(COUNTA(C1050:C1350)=0,"",SUM((COUNTIF(C$4:C1050,Upgrades!$B$3:$B$13)-COUNTIF(C$4:C1050,"Sell_"&amp;Upgrades!$B$3:$B$13))*Upgrades!$D$3:$D$13))</f>
        <v/>
      </c>
      <c r="F1050" s="66" t="str">
        <f>IFERROR(__xludf.DUMMYFUNCTION("IF(COUNTA(C1050:C1350)=0,"""",IF(REGEXMATCH(INDEX(FILTER(C$4:C1050,C$4:C1050&lt;&gt;""""),ROWS(FILTER(C$4:C1050,C$4:C1050&lt;&gt;""""))),""^Sell_""),INDEX(FILTER(F$4:F1049,C$4:C1049&lt;&gt;""""),ROWS(FILTER(C$4:C1049,C$4:C1049&lt;&gt;""""))),$AC$5+E1050))"),"")</f>
        <v/>
      </c>
      <c r="G1050" s="10" t="str">
        <f>IFERROR(__xludf.DUMMYFUNCTION("IF(COUNTA(C1050:C1350)=0,"""",IF(C1050="""",0,IF(REGEXMATCH(C1050,""^Sell_""),-ROUNDDOWN(ROUNDUP(INDEX(Upgrades!$C$3:$C$13,MATCH(SUBSTITUTE(C1050,""Sell_"",""""),Upgrades!$B$3:$B$13,0))*1.15^(COUNTIF(C$4:C1049,SUBSTITUTE(C1050,""Sell_"",""""))-COUNTIF(C$4"&amp;":C1049,""Sell_""&amp;SUBSTITUTE(C1050,""Sell_"",""""))))/2),ROUNDUP(INDEX(Upgrades!$C$3:$C$13,MATCH(C1050,Upgrades!$B$3:$B$13,0))*1.15^(COUNTIF(C$4:C1049,C1050)-COUNTIF(C$4:C1049,""Sell_""&amp;C1050))))))"),"")</f>
        <v/>
      </c>
      <c r="H1050" s="10" t="str">
        <f t="shared" si="3"/>
        <v/>
      </c>
      <c r="I1050" s="68" t="str">
        <f t="shared" si="4"/>
        <v/>
      </c>
      <c r="J1050" s="59" t="str">
        <f t="shared" si="5"/>
        <v/>
      </c>
      <c r="K1050" s="69" t="str">
        <f t="shared" si="6"/>
        <v/>
      </c>
      <c r="L1050" s="60" t="str">
        <f t="shared" si="7"/>
        <v/>
      </c>
      <c r="M1050" s="61" t="str">
        <f>IFERROR(__xludf.DUMMYFUNCTION("IFS(AND(COUNTA(C1050:C1350)=0,COUNTA(Q1050:Q1350)=0),"""",OR(AND(K1050&gt;=1000000000,OR(Y1050&gt;=1000000000,COUNTA(Q1050:Q1350)=0)),OR(Y1050&gt;=1000000000,AND(COUNTA(C1050:C1350)=0,P$3=TRUE))),
ROUNDDOWN((AB$1-AC$1)*MAX(INDEX(T$4:T1350,MATCH(LARGE(FILTER(Y$4:Y1"&amp;"350,Y$4:Y1350&lt;1000000000),1),Y$4:Y1350)),INDEX(F$4:F1350,MATCH(LARGE(FILTER(K$4:K1350,K$4:K1350&lt;1000000000),1),K$4:K1350)))),AND(K1050&lt;1000000000,COUNTA(C1050:C1350)&gt;0,P$3=FALSE),
ROUNDDOWN(INDEX(Y$4:Y1350,MATCH(LARGE(FILTER(W$4:W1350,W$4:W1350&lt;=I1050),1)"&amp;",W$4:W1350))+(I1050-LARGE(FILTER(W$4:W1350,W$4:W1350&lt;=I1050),1))*INDEX(T$4:T1350,MATCH(LARGE(FILTER(W$4:W1350,W$4:W1350&lt;=I1050),1),W$4:W1350))-K1050),1,
ROUNDDOWN(Y1050-INDEX(K$4:K1350,MATCH(LARGE(FILTER(I$4:I1350,I$4:I1350&lt;=W1050),1),I$4:I1350))-(W1050-L"&amp;"ARGE(FILTER(I$4:I1350,I$4:I1350&lt;=W1050),1))*INDEX(F$4:F1350,MATCH(LARGE(FILTER(I$4:I1350,I$4:I1350&lt;=W1050),1),I$4:I1350))))"),"")</f>
        <v/>
      </c>
      <c r="N1050" s="60" t="str">
        <f t="shared" si="8"/>
        <v/>
      </c>
      <c r="O1050" s="61" t="str">
        <f t="shared" si="9"/>
        <v/>
      </c>
      <c r="P1050" s="56" t="str">
        <f t="shared" si="10"/>
        <v/>
      </c>
      <c r="Q1050" s="62"/>
      <c r="R1050" s="10" t="str">
        <f>IFERROR(__xludf.DUMMYFUNCTION("IF(COUNTA(Q1050:Q1350)=0,"""",IF(ISBLANK(Q1050),FALSE,IF(NOT(COUNTIF($AA$24:$AA$34,SUBSTITUTE(Q1050,""Sell_"",""""))),1,IF(REGEXMATCH(Q1050,""Sell_""),IF(COUNTIF(Q$4:Q1050,SUBSTITUTE(Q1050,""Sell_"",""""))-COUNTIF(Q$4:Q1049,Q1050)&lt;1,1),FALSE))))"),"")</f>
        <v/>
      </c>
      <c r="S1050" s="59" t="str">
        <f t="array" ref="S1050">IF(COUNTA(Q1050:Q1350)=0,"",SUM((COUNTIF(Q$4:Q1050,Upgrades!$B$3:$B$13)-COUNTIF(Q$4:Q1050,"Sell_"&amp;Upgrades!$B$3:$B$13))*Upgrades!$D$3:$D$13))</f>
        <v/>
      </c>
      <c r="T1050" s="66" t="str">
        <f>IFERROR(__xludf.DUMMYFUNCTION("IF(COUNTA(Q1050:Q1350)=0,"""",IF(REGEXMATCH(INDEX(FILTER(Q$4:Q1050,Q$4:Q1050&lt;&gt;""""),ROWS(FILTER(Q$4:Q1050,Q$4:Q1050&lt;&gt;""""))),""^Sell_""),INDEX(FILTER(T$4:T1049,Q$4:Q1049&lt;&gt;""""),ROWS(FILTER(Q$4:Q1049,Q$4:Q1049&lt;&gt;""""))),$AD$5+S1050))"),"")</f>
        <v/>
      </c>
      <c r="U1050" s="10" t="str">
        <f>IFERROR(__xludf.DUMMYFUNCTION("IF(COUNTA(Q1050:Q1350)=0,"""",IF(Q1050="""",0,IF(REGEXMATCH(Q1050,""^Sell_""),-ROUNDDOWN(ROUNDUP(INDEX(Upgrades!$C$3:$C$13,MATCH(SUBSTITUTE(Q1050,""Sell_"",""""),Upgrades!$B$3:$B$13,0))*1.15^(COUNTIF(Q$4:Q1049,SUBSTITUTE(Q1050,""Sell_"",""""))-COUNTIF(Q$4"&amp;":Q1049,""Sell_""&amp;SUBSTITUTE(Q1050,""Sell_"",""""))))/2),ROUNDUP(INDEX(Upgrades!$C$3:$C$13,MATCH(Q1050,Upgrades!$B$3:$B$13,0))*1.15^(COUNTIF(Q$4:Q1049,Q1050)-COUNTIF(Q$4:Q1049,""Sell_""&amp;Q1050))))))"),"")</f>
        <v/>
      </c>
      <c r="V1050" s="10" t="str">
        <f t="shared" si="11"/>
        <v/>
      </c>
      <c r="W1050" s="68" t="str">
        <f t="shared" si="12"/>
        <v/>
      </c>
      <c r="X1050" s="59" t="str">
        <f t="shared" si="13"/>
        <v/>
      </c>
      <c r="Y1050" s="69" t="str">
        <f t="shared" si="14"/>
        <v/>
      </c>
      <c r="Z1050" s="11"/>
    </row>
    <row r="1051">
      <c r="A1051" s="8"/>
      <c r="B1051" s="56" t="str">
        <f t="shared" si="2"/>
        <v/>
      </c>
      <c r="C1051" s="57"/>
      <c r="D1051" s="10" t="str">
        <f>IFERROR(__xludf.DUMMYFUNCTION("IF(COUNTA(C1051:C1350)=0,"""",IF(ISBLANK(C1051),FALSE,IF(NOT(COUNTIF($AA$24:$AA$34,SUBSTITUTE(C1051,""Sell_"",""""))),1,IF(REGEXMATCH(C1051,""Sell_""),IF(COUNTIF(C$4:C1051,SUBSTITUTE(C1051,""Sell_"",""""))-COUNTIF(C$4:C1050,C1051)&lt;1,1),FALSE))))"),"")</f>
        <v/>
      </c>
      <c r="E1051" s="59" t="str">
        <f t="array" ref="E1051">IF(COUNTA(C1051:C1350)=0,"",SUM((COUNTIF(C$4:C1051,Upgrades!$B$3:$B$13)-COUNTIF(C$4:C1051,"Sell_"&amp;Upgrades!$B$3:$B$13))*Upgrades!$D$3:$D$13))</f>
        <v/>
      </c>
      <c r="F1051" s="66" t="str">
        <f>IFERROR(__xludf.DUMMYFUNCTION("IF(COUNTA(C1051:C1350)=0,"""",IF(REGEXMATCH(INDEX(FILTER(C$4:C1051,C$4:C1051&lt;&gt;""""),ROWS(FILTER(C$4:C1051,C$4:C1051&lt;&gt;""""))),""^Sell_""),INDEX(FILTER(F$4:F1050,C$4:C1050&lt;&gt;""""),ROWS(FILTER(C$4:C1050,C$4:C1050&lt;&gt;""""))),$AC$5+E1051))"),"")</f>
        <v/>
      </c>
      <c r="G1051" s="10" t="str">
        <f>IFERROR(__xludf.DUMMYFUNCTION("IF(COUNTA(C1051:C1350)=0,"""",IF(C1051="""",0,IF(REGEXMATCH(C1051,""^Sell_""),-ROUNDDOWN(ROUNDUP(INDEX(Upgrades!$C$3:$C$13,MATCH(SUBSTITUTE(C1051,""Sell_"",""""),Upgrades!$B$3:$B$13,0))*1.15^(COUNTIF(C$4:C1050,SUBSTITUTE(C1051,""Sell_"",""""))-COUNTIF(C$4"&amp;":C1050,""Sell_""&amp;SUBSTITUTE(C1051,""Sell_"",""""))))/2),ROUNDUP(INDEX(Upgrades!$C$3:$C$13,MATCH(C1051,Upgrades!$B$3:$B$13,0))*1.15^(COUNTIF(C$4:C1050,C1051)-COUNTIF(C$4:C1050,""Sell_""&amp;C1051))))))"),"")</f>
        <v/>
      </c>
      <c r="H1051" s="10" t="str">
        <f t="shared" si="3"/>
        <v/>
      </c>
      <c r="I1051" s="68" t="str">
        <f t="shared" si="4"/>
        <v/>
      </c>
      <c r="J1051" s="59" t="str">
        <f t="shared" si="5"/>
        <v/>
      </c>
      <c r="K1051" s="69" t="str">
        <f t="shared" si="6"/>
        <v/>
      </c>
      <c r="L1051" s="60" t="str">
        <f t="shared" si="7"/>
        <v/>
      </c>
      <c r="M1051" s="61" t="str">
        <f>IFERROR(__xludf.DUMMYFUNCTION("IFS(AND(COUNTA(C1051:C1350)=0,COUNTA(Q1051:Q1350)=0),"""",OR(AND(K1051&gt;=1000000000,OR(Y1051&gt;=1000000000,COUNTA(Q1051:Q1350)=0)),OR(Y1051&gt;=1000000000,AND(COUNTA(C1051:C1350)=0,P$3=TRUE))),
ROUNDDOWN((AB$1-AC$1)*MAX(INDEX(T$4:T1350,MATCH(LARGE(FILTER(Y$4:Y1"&amp;"350,Y$4:Y1350&lt;1000000000),1),Y$4:Y1350)),INDEX(F$4:F1350,MATCH(LARGE(FILTER(K$4:K1350,K$4:K1350&lt;1000000000),1),K$4:K1350)))),AND(K1051&lt;1000000000,COUNTA(C1051:C1350)&gt;0,P$3=FALSE),
ROUNDDOWN(INDEX(Y$4:Y1350,MATCH(LARGE(FILTER(W$4:W1350,W$4:W1350&lt;=I1051),1)"&amp;",W$4:W1350))+(I1051-LARGE(FILTER(W$4:W1350,W$4:W1350&lt;=I1051),1))*INDEX(T$4:T1350,MATCH(LARGE(FILTER(W$4:W1350,W$4:W1350&lt;=I1051),1),W$4:W1350))-K1051),1,
ROUNDDOWN(Y1051-INDEX(K$4:K1350,MATCH(LARGE(FILTER(I$4:I1350,I$4:I1350&lt;=W1051),1),I$4:I1350))-(W1051-L"&amp;"ARGE(FILTER(I$4:I1350,I$4:I1350&lt;=W1051),1))*INDEX(F$4:F1350,MATCH(LARGE(FILTER(I$4:I1350,I$4:I1350&lt;=W1051),1),I$4:I1350))))"),"")</f>
        <v/>
      </c>
      <c r="N1051" s="60" t="str">
        <f t="shared" si="8"/>
        <v/>
      </c>
      <c r="O1051" s="61" t="str">
        <f t="shared" si="9"/>
        <v/>
      </c>
      <c r="P1051" s="56" t="str">
        <f t="shared" si="10"/>
        <v/>
      </c>
      <c r="Q1051" s="62"/>
      <c r="R1051" s="10" t="str">
        <f>IFERROR(__xludf.DUMMYFUNCTION("IF(COUNTA(Q1051:Q1350)=0,"""",IF(ISBLANK(Q1051),FALSE,IF(NOT(COUNTIF($AA$24:$AA$34,SUBSTITUTE(Q1051,""Sell_"",""""))),1,IF(REGEXMATCH(Q1051,""Sell_""),IF(COUNTIF(Q$4:Q1051,SUBSTITUTE(Q1051,""Sell_"",""""))-COUNTIF(Q$4:Q1050,Q1051)&lt;1,1),FALSE))))"),"")</f>
        <v/>
      </c>
      <c r="S1051" s="59" t="str">
        <f t="array" ref="S1051">IF(COUNTA(Q1051:Q1350)=0,"",SUM((COUNTIF(Q$4:Q1051,Upgrades!$B$3:$B$13)-COUNTIF(Q$4:Q1051,"Sell_"&amp;Upgrades!$B$3:$B$13))*Upgrades!$D$3:$D$13))</f>
        <v/>
      </c>
      <c r="T1051" s="66" t="str">
        <f>IFERROR(__xludf.DUMMYFUNCTION("IF(COUNTA(Q1051:Q1350)=0,"""",IF(REGEXMATCH(INDEX(FILTER(Q$4:Q1051,Q$4:Q1051&lt;&gt;""""),ROWS(FILTER(Q$4:Q1051,Q$4:Q1051&lt;&gt;""""))),""^Sell_""),INDEX(FILTER(T$4:T1050,Q$4:Q1050&lt;&gt;""""),ROWS(FILTER(Q$4:Q1050,Q$4:Q1050&lt;&gt;""""))),$AD$5+S1051))"),"")</f>
        <v/>
      </c>
      <c r="U1051" s="10" t="str">
        <f>IFERROR(__xludf.DUMMYFUNCTION("IF(COUNTA(Q1051:Q1350)=0,"""",IF(Q1051="""",0,IF(REGEXMATCH(Q1051,""^Sell_""),-ROUNDDOWN(ROUNDUP(INDEX(Upgrades!$C$3:$C$13,MATCH(SUBSTITUTE(Q1051,""Sell_"",""""),Upgrades!$B$3:$B$13,0))*1.15^(COUNTIF(Q$4:Q1050,SUBSTITUTE(Q1051,""Sell_"",""""))-COUNTIF(Q$4"&amp;":Q1050,""Sell_""&amp;SUBSTITUTE(Q1051,""Sell_"",""""))))/2),ROUNDUP(INDEX(Upgrades!$C$3:$C$13,MATCH(Q1051,Upgrades!$B$3:$B$13,0))*1.15^(COUNTIF(Q$4:Q1050,Q1051)-COUNTIF(Q$4:Q1050,""Sell_""&amp;Q1051))))))"),"")</f>
        <v/>
      </c>
      <c r="V1051" s="10" t="str">
        <f t="shared" si="11"/>
        <v/>
      </c>
      <c r="W1051" s="68" t="str">
        <f t="shared" si="12"/>
        <v/>
      </c>
      <c r="X1051" s="59" t="str">
        <f t="shared" si="13"/>
        <v/>
      </c>
      <c r="Y1051" s="69" t="str">
        <f t="shared" si="14"/>
        <v/>
      </c>
      <c r="Z1051" s="11"/>
    </row>
    <row r="1052">
      <c r="A1052" s="8"/>
      <c r="B1052" s="56" t="str">
        <f t="shared" si="2"/>
        <v/>
      </c>
      <c r="C1052" s="57"/>
      <c r="D1052" s="10" t="str">
        <f>IFERROR(__xludf.DUMMYFUNCTION("IF(COUNTA(C1052:C1350)=0,"""",IF(ISBLANK(C1052),FALSE,IF(NOT(COUNTIF($AA$24:$AA$34,SUBSTITUTE(C1052,""Sell_"",""""))),1,IF(REGEXMATCH(C1052,""Sell_""),IF(COUNTIF(C$4:C1052,SUBSTITUTE(C1052,""Sell_"",""""))-COUNTIF(C$4:C1051,C1052)&lt;1,1),FALSE))))"),"")</f>
        <v/>
      </c>
      <c r="E1052" s="59" t="str">
        <f t="array" ref="E1052">IF(COUNTA(C1052:C1350)=0,"",SUM((COUNTIF(C$4:C1052,Upgrades!$B$3:$B$13)-COUNTIF(C$4:C1052,"Sell_"&amp;Upgrades!$B$3:$B$13))*Upgrades!$D$3:$D$13))</f>
        <v/>
      </c>
      <c r="F1052" s="66" t="str">
        <f>IFERROR(__xludf.DUMMYFUNCTION("IF(COUNTA(C1052:C1350)=0,"""",IF(REGEXMATCH(INDEX(FILTER(C$4:C1052,C$4:C1052&lt;&gt;""""),ROWS(FILTER(C$4:C1052,C$4:C1052&lt;&gt;""""))),""^Sell_""),INDEX(FILTER(F$4:F1051,C$4:C1051&lt;&gt;""""),ROWS(FILTER(C$4:C1051,C$4:C1051&lt;&gt;""""))),$AC$5+E1052))"),"")</f>
        <v/>
      </c>
      <c r="G1052" s="10" t="str">
        <f>IFERROR(__xludf.DUMMYFUNCTION("IF(COUNTA(C1052:C1350)=0,"""",IF(C1052="""",0,IF(REGEXMATCH(C1052,""^Sell_""),-ROUNDDOWN(ROUNDUP(INDEX(Upgrades!$C$3:$C$13,MATCH(SUBSTITUTE(C1052,""Sell_"",""""),Upgrades!$B$3:$B$13,0))*1.15^(COUNTIF(C$4:C1051,SUBSTITUTE(C1052,""Sell_"",""""))-COUNTIF(C$4"&amp;":C1051,""Sell_""&amp;SUBSTITUTE(C1052,""Sell_"",""""))))/2),ROUNDUP(INDEX(Upgrades!$C$3:$C$13,MATCH(C1052,Upgrades!$B$3:$B$13,0))*1.15^(COUNTIF(C$4:C1051,C1052)-COUNTIF(C$4:C1051,""Sell_""&amp;C1052))))))"),"")</f>
        <v/>
      </c>
      <c r="H1052" s="10" t="str">
        <f t="shared" si="3"/>
        <v/>
      </c>
      <c r="I1052" s="68" t="str">
        <f t="shared" si="4"/>
        <v/>
      </c>
      <c r="J1052" s="59" t="str">
        <f t="shared" si="5"/>
        <v/>
      </c>
      <c r="K1052" s="69" t="str">
        <f t="shared" si="6"/>
        <v/>
      </c>
      <c r="L1052" s="60" t="str">
        <f t="shared" si="7"/>
        <v/>
      </c>
      <c r="M1052" s="61" t="str">
        <f>IFERROR(__xludf.DUMMYFUNCTION("IFS(AND(COUNTA(C1052:C1350)=0,COUNTA(Q1052:Q1350)=0),"""",OR(AND(K1052&gt;=1000000000,OR(Y1052&gt;=1000000000,COUNTA(Q1052:Q1350)=0)),OR(Y1052&gt;=1000000000,AND(COUNTA(C1052:C1350)=0,P$3=TRUE))),
ROUNDDOWN((AB$1-AC$1)*MAX(INDEX(T$4:T1350,MATCH(LARGE(FILTER(Y$4:Y1"&amp;"350,Y$4:Y1350&lt;1000000000),1),Y$4:Y1350)),INDEX(F$4:F1350,MATCH(LARGE(FILTER(K$4:K1350,K$4:K1350&lt;1000000000),1),K$4:K1350)))),AND(K1052&lt;1000000000,COUNTA(C1052:C1350)&gt;0,P$3=FALSE),
ROUNDDOWN(INDEX(Y$4:Y1350,MATCH(LARGE(FILTER(W$4:W1350,W$4:W1350&lt;=I1052),1)"&amp;",W$4:W1350))+(I1052-LARGE(FILTER(W$4:W1350,W$4:W1350&lt;=I1052),1))*INDEX(T$4:T1350,MATCH(LARGE(FILTER(W$4:W1350,W$4:W1350&lt;=I1052),1),W$4:W1350))-K1052),1,
ROUNDDOWN(Y1052-INDEX(K$4:K1350,MATCH(LARGE(FILTER(I$4:I1350,I$4:I1350&lt;=W1052),1),I$4:I1350))-(W1052-L"&amp;"ARGE(FILTER(I$4:I1350,I$4:I1350&lt;=W1052),1))*INDEX(F$4:F1350,MATCH(LARGE(FILTER(I$4:I1350,I$4:I1350&lt;=W1052),1),I$4:I1350))))"),"")</f>
        <v/>
      </c>
      <c r="N1052" s="60" t="str">
        <f t="shared" si="8"/>
        <v/>
      </c>
      <c r="O1052" s="61" t="str">
        <f t="shared" si="9"/>
        <v/>
      </c>
      <c r="P1052" s="56" t="str">
        <f t="shared" si="10"/>
        <v/>
      </c>
      <c r="Q1052" s="62"/>
      <c r="R1052" s="10" t="str">
        <f>IFERROR(__xludf.DUMMYFUNCTION("IF(COUNTA(Q1052:Q1350)=0,"""",IF(ISBLANK(Q1052),FALSE,IF(NOT(COUNTIF($AA$24:$AA$34,SUBSTITUTE(Q1052,""Sell_"",""""))),1,IF(REGEXMATCH(Q1052,""Sell_""),IF(COUNTIF(Q$4:Q1052,SUBSTITUTE(Q1052,""Sell_"",""""))-COUNTIF(Q$4:Q1051,Q1052)&lt;1,1),FALSE))))"),"")</f>
        <v/>
      </c>
      <c r="S1052" s="59" t="str">
        <f t="array" ref="S1052">IF(COUNTA(Q1052:Q1350)=0,"",SUM((COUNTIF(Q$4:Q1052,Upgrades!$B$3:$B$13)-COUNTIF(Q$4:Q1052,"Sell_"&amp;Upgrades!$B$3:$B$13))*Upgrades!$D$3:$D$13))</f>
        <v/>
      </c>
      <c r="T1052" s="66" t="str">
        <f>IFERROR(__xludf.DUMMYFUNCTION("IF(COUNTA(Q1052:Q1350)=0,"""",IF(REGEXMATCH(INDEX(FILTER(Q$4:Q1052,Q$4:Q1052&lt;&gt;""""),ROWS(FILTER(Q$4:Q1052,Q$4:Q1052&lt;&gt;""""))),""^Sell_""),INDEX(FILTER(T$4:T1051,Q$4:Q1051&lt;&gt;""""),ROWS(FILTER(Q$4:Q1051,Q$4:Q1051&lt;&gt;""""))),$AD$5+S1052))"),"")</f>
        <v/>
      </c>
      <c r="U1052" s="10" t="str">
        <f>IFERROR(__xludf.DUMMYFUNCTION("IF(COUNTA(Q1052:Q1350)=0,"""",IF(Q1052="""",0,IF(REGEXMATCH(Q1052,""^Sell_""),-ROUNDDOWN(ROUNDUP(INDEX(Upgrades!$C$3:$C$13,MATCH(SUBSTITUTE(Q1052,""Sell_"",""""),Upgrades!$B$3:$B$13,0))*1.15^(COUNTIF(Q$4:Q1051,SUBSTITUTE(Q1052,""Sell_"",""""))-COUNTIF(Q$4"&amp;":Q1051,""Sell_""&amp;SUBSTITUTE(Q1052,""Sell_"",""""))))/2),ROUNDUP(INDEX(Upgrades!$C$3:$C$13,MATCH(Q1052,Upgrades!$B$3:$B$13,0))*1.15^(COUNTIF(Q$4:Q1051,Q1052)-COUNTIF(Q$4:Q1051,""Sell_""&amp;Q1052))))))"),"")</f>
        <v/>
      </c>
      <c r="V1052" s="10" t="str">
        <f t="shared" si="11"/>
        <v/>
      </c>
      <c r="W1052" s="68" t="str">
        <f t="shared" si="12"/>
        <v/>
      </c>
      <c r="X1052" s="59" t="str">
        <f t="shared" si="13"/>
        <v/>
      </c>
      <c r="Y1052" s="69" t="str">
        <f t="shared" si="14"/>
        <v/>
      </c>
      <c r="Z1052" s="11"/>
    </row>
    <row r="1053">
      <c r="A1053" s="8"/>
      <c r="B1053" s="56" t="str">
        <f t="shared" si="2"/>
        <v/>
      </c>
      <c r="C1053" s="57"/>
      <c r="D1053" s="10" t="str">
        <f>IFERROR(__xludf.DUMMYFUNCTION("IF(COUNTA(C1053:C1350)=0,"""",IF(ISBLANK(C1053),FALSE,IF(NOT(COUNTIF($AA$24:$AA$34,SUBSTITUTE(C1053,""Sell_"",""""))),1,IF(REGEXMATCH(C1053,""Sell_""),IF(COUNTIF(C$4:C1053,SUBSTITUTE(C1053,""Sell_"",""""))-COUNTIF(C$4:C1052,C1053)&lt;1,1),FALSE))))"),"")</f>
        <v/>
      </c>
      <c r="E1053" s="59" t="str">
        <f t="array" ref="E1053">IF(COUNTA(C1053:C1350)=0,"",SUM((COUNTIF(C$4:C1053,Upgrades!$B$3:$B$13)-COUNTIF(C$4:C1053,"Sell_"&amp;Upgrades!$B$3:$B$13))*Upgrades!$D$3:$D$13))</f>
        <v/>
      </c>
      <c r="F1053" s="66" t="str">
        <f>IFERROR(__xludf.DUMMYFUNCTION("IF(COUNTA(C1053:C1350)=0,"""",IF(REGEXMATCH(INDEX(FILTER(C$4:C1053,C$4:C1053&lt;&gt;""""),ROWS(FILTER(C$4:C1053,C$4:C1053&lt;&gt;""""))),""^Sell_""),INDEX(FILTER(F$4:F1052,C$4:C1052&lt;&gt;""""),ROWS(FILTER(C$4:C1052,C$4:C1052&lt;&gt;""""))),$AC$5+E1053))"),"")</f>
        <v/>
      </c>
      <c r="G1053" s="10" t="str">
        <f>IFERROR(__xludf.DUMMYFUNCTION("IF(COUNTA(C1053:C1350)=0,"""",IF(C1053="""",0,IF(REGEXMATCH(C1053,""^Sell_""),-ROUNDDOWN(ROUNDUP(INDEX(Upgrades!$C$3:$C$13,MATCH(SUBSTITUTE(C1053,""Sell_"",""""),Upgrades!$B$3:$B$13,0))*1.15^(COUNTIF(C$4:C1052,SUBSTITUTE(C1053,""Sell_"",""""))-COUNTIF(C$4"&amp;":C1052,""Sell_""&amp;SUBSTITUTE(C1053,""Sell_"",""""))))/2),ROUNDUP(INDEX(Upgrades!$C$3:$C$13,MATCH(C1053,Upgrades!$B$3:$B$13,0))*1.15^(COUNTIF(C$4:C1052,C1053)-COUNTIF(C$4:C1052,""Sell_""&amp;C1053))))))"),"")</f>
        <v/>
      </c>
      <c r="H1053" s="10" t="str">
        <f t="shared" si="3"/>
        <v/>
      </c>
      <c r="I1053" s="68" t="str">
        <f t="shared" si="4"/>
        <v/>
      </c>
      <c r="J1053" s="59" t="str">
        <f t="shared" si="5"/>
        <v/>
      </c>
      <c r="K1053" s="69" t="str">
        <f t="shared" si="6"/>
        <v/>
      </c>
      <c r="L1053" s="60" t="str">
        <f t="shared" si="7"/>
        <v/>
      </c>
      <c r="M1053" s="61" t="str">
        <f>IFERROR(__xludf.DUMMYFUNCTION("IFS(AND(COUNTA(C1053:C1350)=0,COUNTA(Q1053:Q1350)=0),"""",OR(AND(K1053&gt;=1000000000,OR(Y1053&gt;=1000000000,COUNTA(Q1053:Q1350)=0)),OR(Y1053&gt;=1000000000,AND(COUNTA(C1053:C1350)=0,P$3=TRUE))),
ROUNDDOWN((AB$1-AC$1)*MAX(INDEX(T$4:T1350,MATCH(LARGE(FILTER(Y$4:Y1"&amp;"350,Y$4:Y1350&lt;1000000000),1),Y$4:Y1350)),INDEX(F$4:F1350,MATCH(LARGE(FILTER(K$4:K1350,K$4:K1350&lt;1000000000),1),K$4:K1350)))),AND(K1053&lt;1000000000,COUNTA(C1053:C1350)&gt;0,P$3=FALSE),
ROUNDDOWN(INDEX(Y$4:Y1350,MATCH(LARGE(FILTER(W$4:W1350,W$4:W1350&lt;=I1053),1)"&amp;",W$4:W1350))+(I1053-LARGE(FILTER(W$4:W1350,W$4:W1350&lt;=I1053),1))*INDEX(T$4:T1350,MATCH(LARGE(FILTER(W$4:W1350,W$4:W1350&lt;=I1053),1),W$4:W1350))-K1053),1,
ROUNDDOWN(Y1053-INDEX(K$4:K1350,MATCH(LARGE(FILTER(I$4:I1350,I$4:I1350&lt;=W1053),1),I$4:I1350))-(W1053-L"&amp;"ARGE(FILTER(I$4:I1350,I$4:I1350&lt;=W1053),1))*INDEX(F$4:F1350,MATCH(LARGE(FILTER(I$4:I1350,I$4:I1350&lt;=W1053),1),I$4:I1350))))"),"")</f>
        <v/>
      </c>
      <c r="N1053" s="60" t="str">
        <f t="shared" si="8"/>
        <v/>
      </c>
      <c r="O1053" s="61" t="str">
        <f t="shared" si="9"/>
        <v/>
      </c>
      <c r="P1053" s="56" t="str">
        <f t="shared" si="10"/>
        <v/>
      </c>
      <c r="Q1053" s="62"/>
      <c r="R1053" s="10" t="str">
        <f>IFERROR(__xludf.DUMMYFUNCTION("IF(COUNTA(Q1053:Q1350)=0,"""",IF(ISBLANK(Q1053),FALSE,IF(NOT(COUNTIF($AA$24:$AA$34,SUBSTITUTE(Q1053,""Sell_"",""""))),1,IF(REGEXMATCH(Q1053,""Sell_""),IF(COUNTIF(Q$4:Q1053,SUBSTITUTE(Q1053,""Sell_"",""""))-COUNTIF(Q$4:Q1052,Q1053)&lt;1,1),FALSE))))"),"")</f>
        <v/>
      </c>
      <c r="S1053" s="59" t="str">
        <f t="array" ref="S1053">IF(COUNTA(Q1053:Q1350)=0,"",SUM((COUNTIF(Q$4:Q1053,Upgrades!$B$3:$B$13)-COUNTIF(Q$4:Q1053,"Sell_"&amp;Upgrades!$B$3:$B$13))*Upgrades!$D$3:$D$13))</f>
        <v/>
      </c>
      <c r="T1053" s="66" t="str">
        <f>IFERROR(__xludf.DUMMYFUNCTION("IF(COUNTA(Q1053:Q1350)=0,"""",IF(REGEXMATCH(INDEX(FILTER(Q$4:Q1053,Q$4:Q1053&lt;&gt;""""),ROWS(FILTER(Q$4:Q1053,Q$4:Q1053&lt;&gt;""""))),""^Sell_""),INDEX(FILTER(T$4:T1052,Q$4:Q1052&lt;&gt;""""),ROWS(FILTER(Q$4:Q1052,Q$4:Q1052&lt;&gt;""""))),$AD$5+S1053))"),"")</f>
        <v/>
      </c>
      <c r="U1053" s="10" t="str">
        <f>IFERROR(__xludf.DUMMYFUNCTION("IF(COUNTA(Q1053:Q1350)=0,"""",IF(Q1053="""",0,IF(REGEXMATCH(Q1053,""^Sell_""),-ROUNDDOWN(ROUNDUP(INDEX(Upgrades!$C$3:$C$13,MATCH(SUBSTITUTE(Q1053,""Sell_"",""""),Upgrades!$B$3:$B$13,0))*1.15^(COUNTIF(Q$4:Q1052,SUBSTITUTE(Q1053,""Sell_"",""""))-COUNTIF(Q$4"&amp;":Q1052,""Sell_""&amp;SUBSTITUTE(Q1053,""Sell_"",""""))))/2),ROUNDUP(INDEX(Upgrades!$C$3:$C$13,MATCH(Q1053,Upgrades!$B$3:$B$13,0))*1.15^(COUNTIF(Q$4:Q1052,Q1053)-COUNTIF(Q$4:Q1052,""Sell_""&amp;Q1053))))))"),"")</f>
        <v/>
      </c>
      <c r="V1053" s="10" t="str">
        <f t="shared" si="11"/>
        <v/>
      </c>
      <c r="W1053" s="68" t="str">
        <f t="shared" si="12"/>
        <v/>
      </c>
      <c r="X1053" s="59" t="str">
        <f t="shared" si="13"/>
        <v/>
      </c>
      <c r="Y1053" s="69" t="str">
        <f t="shared" si="14"/>
        <v/>
      </c>
      <c r="Z1053" s="11"/>
    </row>
    <row r="1054">
      <c r="A1054" s="8"/>
      <c r="B1054" s="56" t="str">
        <f t="shared" si="2"/>
        <v/>
      </c>
      <c r="C1054" s="57"/>
      <c r="D1054" s="10" t="str">
        <f>IFERROR(__xludf.DUMMYFUNCTION("IF(COUNTA(C1054:C1350)=0,"""",IF(ISBLANK(C1054),FALSE,IF(NOT(COUNTIF($AA$24:$AA$34,SUBSTITUTE(C1054,""Sell_"",""""))),1,IF(REGEXMATCH(C1054,""Sell_""),IF(COUNTIF(C$4:C1054,SUBSTITUTE(C1054,""Sell_"",""""))-COUNTIF(C$4:C1053,C1054)&lt;1,1),FALSE))))"),"")</f>
        <v/>
      </c>
      <c r="E1054" s="59" t="str">
        <f t="array" ref="E1054">IF(COUNTA(C1054:C1350)=0,"",SUM((COUNTIF(C$4:C1054,Upgrades!$B$3:$B$13)-COUNTIF(C$4:C1054,"Sell_"&amp;Upgrades!$B$3:$B$13))*Upgrades!$D$3:$D$13))</f>
        <v/>
      </c>
      <c r="F1054" s="66" t="str">
        <f>IFERROR(__xludf.DUMMYFUNCTION("IF(COUNTA(C1054:C1350)=0,"""",IF(REGEXMATCH(INDEX(FILTER(C$4:C1054,C$4:C1054&lt;&gt;""""),ROWS(FILTER(C$4:C1054,C$4:C1054&lt;&gt;""""))),""^Sell_""),INDEX(FILTER(F$4:F1053,C$4:C1053&lt;&gt;""""),ROWS(FILTER(C$4:C1053,C$4:C1053&lt;&gt;""""))),$AC$5+E1054))"),"")</f>
        <v/>
      </c>
      <c r="G1054" s="10" t="str">
        <f>IFERROR(__xludf.DUMMYFUNCTION("IF(COUNTA(C1054:C1350)=0,"""",IF(C1054="""",0,IF(REGEXMATCH(C1054,""^Sell_""),-ROUNDDOWN(ROUNDUP(INDEX(Upgrades!$C$3:$C$13,MATCH(SUBSTITUTE(C1054,""Sell_"",""""),Upgrades!$B$3:$B$13,0))*1.15^(COUNTIF(C$4:C1053,SUBSTITUTE(C1054,""Sell_"",""""))-COUNTIF(C$4"&amp;":C1053,""Sell_""&amp;SUBSTITUTE(C1054,""Sell_"",""""))))/2),ROUNDUP(INDEX(Upgrades!$C$3:$C$13,MATCH(C1054,Upgrades!$B$3:$B$13,0))*1.15^(COUNTIF(C$4:C1053,C1054)-COUNTIF(C$4:C1053,""Sell_""&amp;C1054))))))"),"")</f>
        <v/>
      </c>
      <c r="H1054" s="10" t="str">
        <f t="shared" si="3"/>
        <v/>
      </c>
      <c r="I1054" s="68" t="str">
        <f t="shared" si="4"/>
        <v/>
      </c>
      <c r="J1054" s="59" t="str">
        <f t="shared" si="5"/>
        <v/>
      </c>
      <c r="K1054" s="69" t="str">
        <f t="shared" si="6"/>
        <v/>
      </c>
      <c r="L1054" s="60" t="str">
        <f t="shared" si="7"/>
        <v/>
      </c>
      <c r="M1054" s="61" t="str">
        <f>IFERROR(__xludf.DUMMYFUNCTION("IFS(AND(COUNTA(C1054:C1350)=0,COUNTA(Q1054:Q1350)=0),"""",OR(AND(K1054&gt;=1000000000,OR(Y1054&gt;=1000000000,COUNTA(Q1054:Q1350)=0)),OR(Y1054&gt;=1000000000,AND(COUNTA(C1054:C1350)=0,P$3=TRUE))),
ROUNDDOWN((AB$1-AC$1)*MAX(INDEX(T$4:T1350,MATCH(LARGE(FILTER(Y$4:Y1"&amp;"350,Y$4:Y1350&lt;1000000000),1),Y$4:Y1350)),INDEX(F$4:F1350,MATCH(LARGE(FILTER(K$4:K1350,K$4:K1350&lt;1000000000),1),K$4:K1350)))),AND(K1054&lt;1000000000,COUNTA(C1054:C1350)&gt;0,P$3=FALSE),
ROUNDDOWN(INDEX(Y$4:Y1350,MATCH(LARGE(FILTER(W$4:W1350,W$4:W1350&lt;=I1054),1)"&amp;",W$4:W1350))+(I1054-LARGE(FILTER(W$4:W1350,W$4:W1350&lt;=I1054),1))*INDEX(T$4:T1350,MATCH(LARGE(FILTER(W$4:W1350,W$4:W1350&lt;=I1054),1),W$4:W1350))-K1054),1,
ROUNDDOWN(Y1054-INDEX(K$4:K1350,MATCH(LARGE(FILTER(I$4:I1350,I$4:I1350&lt;=W1054),1),I$4:I1350))-(W1054-L"&amp;"ARGE(FILTER(I$4:I1350,I$4:I1350&lt;=W1054),1))*INDEX(F$4:F1350,MATCH(LARGE(FILTER(I$4:I1350,I$4:I1350&lt;=W1054),1),I$4:I1350))))"),"")</f>
        <v/>
      </c>
      <c r="N1054" s="60" t="str">
        <f t="shared" si="8"/>
        <v/>
      </c>
      <c r="O1054" s="61" t="str">
        <f t="shared" si="9"/>
        <v/>
      </c>
      <c r="P1054" s="56" t="str">
        <f t="shared" si="10"/>
        <v/>
      </c>
      <c r="Q1054" s="62"/>
      <c r="R1054" s="10" t="str">
        <f>IFERROR(__xludf.DUMMYFUNCTION("IF(COUNTA(Q1054:Q1350)=0,"""",IF(ISBLANK(Q1054),FALSE,IF(NOT(COUNTIF($AA$24:$AA$34,SUBSTITUTE(Q1054,""Sell_"",""""))),1,IF(REGEXMATCH(Q1054,""Sell_""),IF(COUNTIF(Q$4:Q1054,SUBSTITUTE(Q1054,""Sell_"",""""))-COUNTIF(Q$4:Q1053,Q1054)&lt;1,1),FALSE))))"),"")</f>
        <v/>
      </c>
      <c r="S1054" s="59" t="str">
        <f t="array" ref="S1054">IF(COUNTA(Q1054:Q1350)=0,"",SUM((COUNTIF(Q$4:Q1054,Upgrades!$B$3:$B$13)-COUNTIF(Q$4:Q1054,"Sell_"&amp;Upgrades!$B$3:$B$13))*Upgrades!$D$3:$D$13))</f>
        <v/>
      </c>
      <c r="T1054" s="66" t="str">
        <f>IFERROR(__xludf.DUMMYFUNCTION("IF(COUNTA(Q1054:Q1350)=0,"""",IF(REGEXMATCH(INDEX(FILTER(Q$4:Q1054,Q$4:Q1054&lt;&gt;""""),ROWS(FILTER(Q$4:Q1054,Q$4:Q1054&lt;&gt;""""))),""^Sell_""),INDEX(FILTER(T$4:T1053,Q$4:Q1053&lt;&gt;""""),ROWS(FILTER(Q$4:Q1053,Q$4:Q1053&lt;&gt;""""))),$AD$5+S1054))"),"")</f>
        <v/>
      </c>
      <c r="U1054" s="10" t="str">
        <f>IFERROR(__xludf.DUMMYFUNCTION("IF(COUNTA(Q1054:Q1350)=0,"""",IF(Q1054="""",0,IF(REGEXMATCH(Q1054,""^Sell_""),-ROUNDDOWN(ROUNDUP(INDEX(Upgrades!$C$3:$C$13,MATCH(SUBSTITUTE(Q1054,""Sell_"",""""),Upgrades!$B$3:$B$13,0))*1.15^(COUNTIF(Q$4:Q1053,SUBSTITUTE(Q1054,""Sell_"",""""))-COUNTIF(Q$4"&amp;":Q1053,""Sell_""&amp;SUBSTITUTE(Q1054,""Sell_"",""""))))/2),ROUNDUP(INDEX(Upgrades!$C$3:$C$13,MATCH(Q1054,Upgrades!$B$3:$B$13,0))*1.15^(COUNTIF(Q$4:Q1053,Q1054)-COUNTIF(Q$4:Q1053,""Sell_""&amp;Q1054))))))"),"")</f>
        <v/>
      </c>
      <c r="V1054" s="10" t="str">
        <f t="shared" si="11"/>
        <v/>
      </c>
      <c r="W1054" s="68" t="str">
        <f t="shared" si="12"/>
        <v/>
      </c>
      <c r="X1054" s="59" t="str">
        <f t="shared" si="13"/>
        <v/>
      </c>
      <c r="Y1054" s="69" t="str">
        <f t="shared" si="14"/>
        <v/>
      </c>
      <c r="Z1054" s="11"/>
    </row>
    <row r="1055">
      <c r="A1055" s="8"/>
      <c r="B1055" s="56" t="str">
        <f t="shared" si="2"/>
        <v/>
      </c>
      <c r="C1055" s="57"/>
      <c r="D1055" s="10" t="str">
        <f>IFERROR(__xludf.DUMMYFUNCTION("IF(COUNTA(C1055:C1350)=0,"""",IF(ISBLANK(C1055),FALSE,IF(NOT(COUNTIF($AA$24:$AA$34,SUBSTITUTE(C1055,""Sell_"",""""))),1,IF(REGEXMATCH(C1055,""Sell_""),IF(COUNTIF(C$4:C1055,SUBSTITUTE(C1055,""Sell_"",""""))-COUNTIF(C$4:C1054,C1055)&lt;1,1),FALSE))))"),"")</f>
        <v/>
      </c>
      <c r="E1055" s="59" t="str">
        <f t="array" ref="E1055">IF(COUNTA(C1055:C1350)=0,"",SUM((COUNTIF(C$4:C1055,Upgrades!$B$3:$B$13)-COUNTIF(C$4:C1055,"Sell_"&amp;Upgrades!$B$3:$B$13))*Upgrades!$D$3:$D$13))</f>
        <v/>
      </c>
      <c r="F1055" s="66" t="str">
        <f>IFERROR(__xludf.DUMMYFUNCTION("IF(COUNTA(C1055:C1350)=0,"""",IF(REGEXMATCH(INDEX(FILTER(C$4:C1055,C$4:C1055&lt;&gt;""""),ROWS(FILTER(C$4:C1055,C$4:C1055&lt;&gt;""""))),""^Sell_""),INDEX(FILTER(F$4:F1054,C$4:C1054&lt;&gt;""""),ROWS(FILTER(C$4:C1054,C$4:C1054&lt;&gt;""""))),$AC$5+E1055))"),"")</f>
        <v/>
      </c>
      <c r="G1055" s="10" t="str">
        <f>IFERROR(__xludf.DUMMYFUNCTION("IF(COUNTA(C1055:C1350)=0,"""",IF(C1055="""",0,IF(REGEXMATCH(C1055,""^Sell_""),-ROUNDDOWN(ROUNDUP(INDEX(Upgrades!$C$3:$C$13,MATCH(SUBSTITUTE(C1055,""Sell_"",""""),Upgrades!$B$3:$B$13,0))*1.15^(COUNTIF(C$4:C1054,SUBSTITUTE(C1055,""Sell_"",""""))-COUNTIF(C$4"&amp;":C1054,""Sell_""&amp;SUBSTITUTE(C1055,""Sell_"",""""))))/2),ROUNDUP(INDEX(Upgrades!$C$3:$C$13,MATCH(C1055,Upgrades!$B$3:$B$13,0))*1.15^(COUNTIF(C$4:C1054,C1055)-COUNTIF(C$4:C1054,""Sell_""&amp;C1055))))))"),"")</f>
        <v/>
      </c>
      <c r="H1055" s="10" t="str">
        <f t="shared" si="3"/>
        <v/>
      </c>
      <c r="I1055" s="68" t="str">
        <f t="shared" si="4"/>
        <v/>
      </c>
      <c r="J1055" s="59" t="str">
        <f t="shared" si="5"/>
        <v/>
      </c>
      <c r="K1055" s="69" t="str">
        <f t="shared" si="6"/>
        <v/>
      </c>
      <c r="L1055" s="60" t="str">
        <f t="shared" si="7"/>
        <v/>
      </c>
      <c r="M1055" s="61" t="str">
        <f>IFERROR(__xludf.DUMMYFUNCTION("IFS(AND(COUNTA(C1055:C1350)=0,COUNTA(Q1055:Q1350)=0),"""",OR(AND(K1055&gt;=1000000000,OR(Y1055&gt;=1000000000,COUNTA(Q1055:Q1350)=0)),OR(Y1055&gt;=1000000000,AND(COUNTA(C1055:C1350)=0,P$3=TRUE))),
ROUNDDOWN((AB$1-AC$1)*MAX(INDEX(T$4:T1350,MATCH(LARGE(FILTER(Y$4:Y1"&amp;"350,Y$4:Y1350&lt;1000000000),1),Y$4:Y1350)),INDEX(F$4:F1350,MATCH(LARGE(FILTER(K$4:K1350,K$4:K1350&lt;1000000000),1),K$4:K1350)))),AND(K1055&lt;1000000000,COUNTA(C1055:C1350)&gt;0,P$3=FALSE),
ROUNDDOWN(INDEX(Y$4:Y1350,MATCH(LARGE(FILTER(W$4:W1350,W$4:W1350&lt;=I1055),1)"&amp;",W$4:W1350))+(I1055-LARGE(FILTER(W$4:W1350,W$4:W1350&lt;=I1055),1))*INDEX(T$4:T1350,MATCH(LARGE(FILTER(W$4:W1350,W$4:W1350&lt;=I1055),1),W$4:W1350))-K1055),1,
ROUNDDOWN(Y1055-INDEX(K$4:K1350,MATCH(LARGE(FILTER(I$4:I1350,I$4:I1350&lt;=W1055),1),I$4:I1350))-(W1055-L"&amp;"ARGE(FILTER(I$4:I1350,I$4:I1350&lt;=W1055),1))*INDEX(F$4:F1350,MATCH(LARGE(FILTER(I$4:I1350,I$4:I1350&lt;=W1055),1),I$4:I1350))))"),"")</f>
        <v/>
      </c>
      <c r="N1055" s="60" t="str">
        <f t="shared" si="8"/>
        <v/>
      </c>
      <c r="O1055" s="61" t="str">
        <f t="shared" si="9"/>
        <v/>
      </c>
      <c r="P1055" s="56" t="str">
        <f t="shared" si="10"/>
        <v/>
      </c>
      <c r="Q1055" s="62"/>
      <c r="R1055" s="10" t="str">
        <f>IFERROR(__xludf.DUMMYFUNCTION("IF(COUNTA(Q1055:Q1350)=0,"""",IF(ISBLANK(Q1055),FALSE,IF(NOT(COUNTIF($AA$24:$AA$34,SUBSTITUTE(Q1055,""Sell_"",""""))),1,IF(REGEXMATCH(Q1055,""Sell_""),IF(COUNTIF(Q$4:Q1055,SUBSTITUTE(Q1055,""Sell_"",""""))-COUNTIF(Q$4:Q1054,Q1055)&lt;1,1),FALSE))))"),"")</f>
        <v/>
      </c>
      <c r="S1055" s="59" t="str">
        <f t="array" ref="S1055">IF(COUNTA(Q1055:Q1350)=0,"",SUM((COUNTIF(Q$4:Q1055,Upgrades!$B$3:$B$13)-COUNTIF(Q$4:Q1055,"Sell_"&amp;Upgrades!$B$3:$B$13))*Upgrades!$D$3:$D$13))</f>
        <v/>
      </c>
      <c r="T1055" s="66" t="str">
        <f>IFERROR(__xludf.DUMMYFUNCTION("IF(COUNTA(Q1055:Q1350)=0,"""",IF(REGEXMATCH(INDEX(FILTER(Q$4:Q1055,Q$4:Q1055&lt;&gt;""""),ROWS(FILTER(Q$4:Q1055,Q$4:Q1055&lt;&gt;""""))),""^Sell_""),INDEX(FILTER(T$4:T1054,Q$4:Q1054&lt;&gt;""""),ROWS(FILTER(Q$4:Q1054,Q$4:Q1054&lt;&gt;""""))),$AD$5+S1055))"),"")</f>
        <v/>
      </c>
      <c r="U1055" s="10" t="str">
        <f>IFERROR(__xludf.DUMMYFUNCTION("IF(COUNTA(Q1055:Q1350)=0,"""",IF(Q1055="""",0,IF(REGEXMATCH(Q1055,""^Sell_""),-ROUNDDOWN(ROUNDUP(INDEX(Upgrades!$C$3:$C$13,MATCH(SUBSTITUTE(Q1055,""Sell_"",""""),Upgrades!$B$3:$B$13,0))*1.15^(COUNTIF(Q$4:Q1054,SUBSTITUTE(Q1055,""Sell_"",""""))-COUNTIF(Q$4"&amp;":Q1054,""Sell_""&amp;SUBSTITUTE(Q1055,""Sell_"",""""))))/2),ROUNDUP(INDEX(Upgrades!$C$3:$C$13,MATCH(Q1055,Upgrades!$B$3:$B$13,0))*1.15^(COUNTIF(Q$4:Q1054,Q1055)-COUNTIF(Q$4:Q1054,""Sell_""&amp;Q1055))))))"),"")</f>
        <v/>
      </c>
      <c r="V1055" s="10" t="str">
        <f t="shared" si="11"/>
        <v/>
      </c>
      <c r="W1055" s="68" t="str">
        <f t="shared" si="12"/>
        <v/>
      </c>
      <c r="X1055" s="59" t="str">
        <f t="shared" si="13"/>
        <v/>
      </c>
      <c r="Y1055" s="69" t="str">
        <f t="shared" si="14"/>
        <v/>
      </c>
      <c r="Z1055" s="11"/>
    </row>
    <row r="1056">
      <c r="A1056" s="8"/>
      <c r="B1056" s="56" t="str">
        <f t="shared" si="2"/>
        <v/>
      </c>
      <c r="C1056" s="57"/>
      <c r="D1056" s="10" t="str">
        <f>IFERROR(__xludf.DUMMYFUNCTION("IF(COUNTA(C1056:C1350)=0,"""",IF(ISBLANK(C1056),FALSE,IF(NOT(COUNTIF($AA$24:$AA$34,SUBSTITUTE(C1056,""Sell_"",""""))),1,IF(REGEXMATCH(C1056,""Sell_""),IF(COUNTIF(C$4:C1056,SUBSTITUTE(C1056,""Sell_"",""""))-COUNTIF(C$4:C1055,C1056)&lt;1,1),FALSE))))"),"")</f>
        <v/>
      </c>
      <c r="E1056" s="59" t="str">
        <f t="array" ref="E1056">IF(COUNTA(C1056:C1350)=0,"",SUM((COUNTIF(C$4:C1056,Upgrades!$B$3:$B$13)-COUNTIF(C$4:C1056,"Sell_"&amp;Upgrades!$B$3:$B$13))*Upgrades!$D$3:$D$13))</f>
        <v/>
      </c>
      <c r="F1056" s="66" t="str">
        <f>IFERROR(__xludf.DUMMYFUNCTION("IF(COUNTA(C1056:C1350)=0,"""",IF(REGEXMATCH(INDEX(FILTER(C$4:C1056,C$4:C1056&lt;&gt;""""),ROWS(FILTER(C$4:C1056,C$4:C1056&lt;&gt;""""))),""^Sell_""),INDEX(FILTER(F$4:F1055,C$4:C1055&lt;&gt;""""),ROWS(FILTER(C$4:C1055,C$4:C1055&lt;&gt;""""))),$AC$5+E1056))"),"")</f>
        <v/>
      </c>
      <c r="G1056" s="10" t="str">
        <f>IFERROR(__xludf.DUMMYFUNCTION("IF(COUNTA(C1056:C1350)=0,"""",IF(C1056="""",0,IF(REGEXMATCH(C1056,""^Sell_""),-ROUNDDOWN(ROUNDUP(INDEX(Upgrades!$C$3:$C$13,MATCH(SUBSTITUTE(C1056,""Sell_"",""""),Upgrades!$B$3:$B$13,0))*1.15^(COUNTIF(C$4:C1055,SUBSTITUTE(C1056,""Sell_"",""""))-COUNTIF(C$4"&amp;":C1055,""Sell_""&amp;SUBSTITUTE(C1056,""Sell_"",""""))))/2),ROUNDUP(INDEX(Upgrades!$C$3:$C$13,MATCH(C1056,Upgrades!$B$3:$B$13,0))*1.15^(COUNTIF(C$4:C1055,C1056)-COUNTIF(C$4:C1055,""Sell_""&amp;C1056))))))"),"")</f>
        <v/>
      </c>
      <c r="H1056" s="10" t="str">
        <f t="shared" si="3"/>
        <v/>
      </c>
      <c r="I1056" s="68" t="str">
        <f t="shared" si="4"/>
        <v/>
      </c>
      <c r="J1056" s="59" t="str">
        <f t="shared" si="5"/>
        <v/>
      </c>
      <c r="K1056" s="69" t="str">
        <f t="shared" si="6"/>
        <v/>
      </c>
      <c r="L1056" s="60" t="str">
        <f t="shared" si="7"/>
        <v/>
      </c>
      <c r="M1056" s="61" t="str">
        <f>IFERROR(__xludf.DUMMYFUNCTION("IFS(AND(COUNTA(C1056:C1350)=0,COUNTA(Q1056:Q1350)=0),"""",OR(AND(K1056&gt;=1000000000,OR(Y1056&gt;=1000000000,COUNTA(Q1056:Q1350)=0)),OR(Y1056&gt;=1000000000,AND(COUNTA(C1056:C1350)=0,P$3=TRUE))),
ROUNDDOWN((AB$1-AC$1)*MAX(INDEX(T$4:T1350,MATCH(LARGE(FILTER(Y$4:Y1"&amp;"350,Y$4:Y1350&lt;1000000000),1),Y$4:Y1350)),INDEX(F$4:F1350,MATCH(LARGE(FILTER(K$4:K1350,K$4:K1350&lt;1000000000),1),K$4:K1350)))),AND(K1056&lt;1000000000,COUNTA(C1056:C1350)&gt;0,P$3=FALSE),
ROUNDDOWN(INDEX(Y$4:Y1350,MATCH(LARGE(FILTER(W$4:W1350,W$4:W1350&lt;=I1056),1)"&amp;",W$4:W1350))+(I1056-LARGE(FILTER(W$4:W1350,W$4:W1350&lt;=I1056),1))*INDEX(T$4:T1350,MATCH(LARGE(FILTER(W$4:W1350,W$4:W1350&lt;=I1056),1),W$4:W1350))-K1056),1,
ROUNDDOWN(Y1056-INDEX(K$4:K1350,MATCH(LARGE(FILTER(I$4:I1350,I$4:I1350&lt;=W1056),1),I$4:I1350))-(W1056-L"&amp;"ARGE(FILTER(I$4:I1350,I$4:I1350&lt;=W1056),1))*INDEX(F$4:F1350,MATCH(LARGE(FILTER(I$4:I1350,I$4:I1350&lt;=W1056),1),I$4:I1350))))"),"")</f>
        <v/>
      </c>
      <c r="N1056" s="60" t="str">
        <f t="shared" si="8"/>
        <v/>
      </c>
      <c r="O1056" s="61" t="str">
        <f t="shared" si="9"/>
        <v/>
      </c>
      <c r="P1056" s="56" t="str">
        <f t="shared" si="10"/>
        <v/>
      </c>
      <c r="Q1056" s="62"/>
      <c r="R1056" s="10" t="str">
        <f>IFERROR(__xludf.DUMMYFUNCTION("IF(COUNTA(Q1056:Q1350)=0,"""",IF(ISBLANK(Q1056),FALSE,IF(NOT(COUNTIF($AA$24:$AA$34,SUBSTITUTE(Q1056,""Sell_"",""""))),1,IF(REGEXMATCH(Q1056,""Sell_""),IF(COUNTIF(Q$4:Q1056,SUBSTITUTE(Q1056,""Sell_"",""""))-COUNTIF(Q$4:Q1055,Q1056)&lt;1,1),FALSE))))"),"")</f>
        <v/>
      </c>
      <c r="S1056" s="59" t="str">
        <f t="array" ref="S1056">IF(COUNTA(Q1056:Q1350)=0,"",SUM((COUNTIF(Q$4:Q1056,Upgrades!$B$3:$B$13)-COUNTIF(Q$4:Q1056,"Sell_"&amp;Upgrades!$B$3:$B$13))*Upgrades!$D$3:$D$13))</f>
        <v/>
      </c>
      <c r="T1056" s="66" t="str">
        <f>IFERROR(__xludf.DUMMYFUNCTION("IF(COUNTA(Q1056:Q1350)=0,"""",IF(REGEXMATCH(INDEX(FILTER(Q$4:Q1056,Q$4:Q1056&lt;&gt;""""),ROWS(FILTER(Q$4:Q1056,Q$4:Q1056&lt;&gt;""""))),""^Sell_""),INDEX(FILTER(T$4:T1055,Q$4:Q1055&lt;&gt;""""),ROWS(FILTER(Q$4:Q1055,Q$4:Q1055&lt;&gt;""""))),$AD$5+S1056))"),"")</f>
        <v/>
      </c>
      <c r="U1056" s="10" t="str">
        <f>IFERROR(__xludf.DUMMYFUNCTION("IF(COUNTA(Q1056:Q1350)=0,"""",IF(Q1056="""",0,IF(REGEXMATCH(Q1056,""^Sell_""),-ROUNDDOWN(ROUNDUP(INDEX(Upgrades!$C$3:$C$13,MATCH(SUBSTITUTE(Q1056,""Sell_"",""""),Upgrades!$B$3:$B$13,0))*1.15^(COUNTIF(Q$4:Q1055,SUBSTITUTE(Q1056,""Sell_"",""""))-COUNTIF(Q$4"&amp;":Q1055,""Sell_""&amp;SUBSTITUTE(Q1056,""Sell_"",""""))))/2),ROUNDUP(INDEX(Upgrades!$C$3:$C$13,MATCH(Q1056,Upgrades!$B$3:$B$13,0))*1.15^(COUNTIF(Q$4:Q1055,Q1056)-COUNTIF(Q$4:Q1055,""Sell_""&amp;Q1056))))))"),"")</f>
        <v/>
      </c>
      <c r="V1056" s="10" t="str">
        <f t="shared" si="11"/>
        <v/>
      </c>
      <c r="W1056" s="68" t="str">
        <f t="shared" si="12"/>
        <v/>
      </c>
      <c r="X1056" s="59" t="str">
        <f t="shared" si="13"/>
        <v/>
      </c>
      <c r="Y1056" s="69" t="str">
        <f t="shared" si="14"/>
        <v/>
      </c>
      <c r="Z1056" s="11"/>
    </row>
    <row r="1057">
      <c r="A1057" s="8"/>
      <c r="B1057" s="56" t="str">
        <f t="shared" si="2"/>
        <v/>
      </c>
      <c r="C1057" s="57"/>
      <c r="D1057" s="10" t="str">
        <f>IFERROR(__xludf.DUMMYFUNCTION("IF(COUNTA(C1057:C1350)=0,"""",IF(ISBLANK(C1057),FALSE,IF(NOT(COUNTIF($AA$24:$AA$34,SUBSTITUTE(C1057,""Sell_"",""""))),1,IF(REGEXMATCH(C1057,""Sell_""),IF(COUNTIF(C$4:C1057,SUBSTITUTE(C1057,""Sell_"",""""))-COUNTIF(C$4:C1056,C1057)&lt;1,1),FALSE))))"),"")</f>
        <v/>
      </c>
      <c r="E1057" s="59" t="str">
        <f t="array" ref="E1057">IF(COUNTA(C1057:C1350)=0,"",SUM((COUNTIF(C$4:C1057,Upgrades!$B$3:$B$13)-COUNTIF(C$4:C1057,"Sell_"&amp;Upgrades!$B$3:$B$13))*Upgrades!$D$3:$D$13))</f>
        <v/>
      </c>
      <c r="F1057" s="66" t="str">
        <f>IFERROR(__xludf.DUMMYFUNCTION("IF(COUNTA(C1057:C1350)=0,"""",IF(REGEXMATCH(INDEX(FILTER(C$4:C1057,C$4:C1057&lt;&gt;""""),ROWS(FILTER(C$4:C1057,C$4:C1057&lt;&gt;""""))),""^Sell_""),INDEX(FILTER(F$4:F1056,C$4:C1056&lt;&gt;""""),ROWS(FILTER(C$4:C1056,C$4:C1056&lt;&gt;""""))),$AC$5+E1057))"),"")</f>
        <v/>
      </c>
      <c r="G1057" s="10" t="str">
        <f>IFERROR(__xludf.DUMMYFUNCTION("IF(COUNTA(C1057:C1350)=0,"""",IF(C1057="""",0,IF(REGEXMATCH(C1057,""^Sell_""),-ROUNDDOWN(ROUNDUP(INDEX(Upgrades!$C$3:$C$13,MATCH(SUBSTITUTE(C1057,""Sell_"",""""),Upgrades!$B$3:$B$13,0))*1.15^(COUNTIF(C$4:C1056,SUBSTITUTE(C1057,""Sell_"",""""))-COUNTIF(C$4"&amp;":C1056,""Sell_""&amp;SUBSTITUTE(C1057,""Sell_"",""""))))/2),ROUNDUP(INDEX(Upgrades!$C$3:$C$13,MATCH(C1057,Upgrades!$B$3:$B$13,0))*1.15^(COUNTIF(C$4:C1056,C1057)-COUNTIF(C$4:C1056,""Sell_""&amp;C1057))))))"),"")</f>
        <v/>
      </c>
      <c r="H1057" s="10" t="str">
        <f t="shared" si="3"/>
        <v/>
      </c>
      <c r="I1057" s="68" t="str">
        <f t="shared" si="4"/>
        <v/>
      </c>
      <c r="J1057" s="59" t="str">
        <f t="shared" si="5"/>
        <v/>
      </c>
      <c r="K1057" s="69" t="str">
        <f t="shared" si="6"/>
        <v/>
      </c>
      <c r="L1057" s="60" t="str">
        <f t="shared" si="7"/>
        <v/>
      </c>
      <c r="M1057" s="61" t="str">
        <f>IFERROR(__xludf.DUMMYFUNCTION("IFS(AND(COUNTA(C1057:C1350)=0,COUNTA(Q1057:Q1350)=0),"""",OR(AND(K1057&gt;=1000000000,OR(Y1057&gt;=1000000000,COUNTA(Q1057:Q1350)=0)),OR(Y1057&gt;=1000000000,AND(COUNTA(C1057:C1350)=0,P$3=TRUE))),
ROUNDDOWN((AB$1-AC$1)*MAX(INDEX(T$4:T1350,MATCH(LARGE(FILTER(Y$4:Y1"&amp;"350,Y$4:Y1350&lt;1000000000),1),Y$4:Y1350)),INDEX(F$4:F1350,MATCH(LARGE(FILTER(K$4:K1350,K$4:K1350&lt;1000000000),1),K$4:K1350)))),AND(K1057&lt;1000000000,COUNTA(C1057:C1350)&gt;0,P$3=FALSE),
ROUNDDOWN(INDEX(Y$4:Y1350,MATCH(LARGE(FILTER(W$4:W1350,W$4:W1350&lt;=I1057),1)"&amp;",W$4:W1350))+(I1057-LARGE(FILTER(W$4:W1350,W$4:W1350&lt;=I1057),1))*INDEX(T$4:T1350,MATCH(LARGE(FILTER(W$4:W1350,W$4:W1350&lt;=I1057),1),W$4:W1350))-K1057),1,
ROUNDDOWN(Y1057-INDEX(K$4:K1350,MATCH(LARGE(FILTER(I$4:I1350,I$4:I1350&lt;=W1057),1),I$4:I1350))-(W1057-L"&amp;"ARGE(FILTER(I$4:I1350,I$4:I1350&lt;=W1057),1))*INDEX(F$4:F1350,MATCH(LARGE(FILTER(I$4:I1350,I$4:I1350&lt;=W1057),1),I$4:I1350))))"),"")</f>
        <v/>
      </c>
      <c r="N1057" s="60" t="str">
        <f t="shared" si="8"/>
        <v/>
      </c>
      <c r="O1057" s="61" t="str">
        <f t="shared" si="9"/>
        <v/>
      </c>
      <c r="P1057" s="56" t="str">
        <f t="shared" si="10"/>
        <v/>
      </c>
      <c r="Q1057" s="62"/>
      <c r="R1057" s="10" t="str">
        <f>IFERROR(__xludf.DUMMYFUNCTION("IF(COUNTA(Q1057:Q1350)=0,"""",IF(ISBLANK(Q1057),FALSE,IF(NOT(COUNTIF($AA$24:$AA$34,SUBSTITUTE(Q1057,""Sell_"",""""))),1,IF(REGEXMATCH(Q1057,""Sell_""),IF(COUNTIF(Q$4:Q1057,SUBSTITUTE(Q1057,""Sell_"",""""))-COUNTIF(Q$4:Q1056,Q1057)&lt;1,1),FALSE))))"),"")</f>
        <v/>
      </c>
      <c r="S1057" s="59" t="str">
        <f t="array" ref="S1057">IF(COUNTA(Q1057:Q1350)=0,"",SUM((COUNTIF(Q$4:Q1057,Upgrades!$B$3:$B$13)-COUNTIF(Q$4:Q1057,"Sell_"&amp;Upgrades!$B$3:$B$13))*Upgrades!$D$3:$D$13))</f>
        <v/>
      </c>
      <c r="T1057" s="66" t="str">
        <f>IFERROR(__xludf.DUMMYFUNCTION("IF(COUNTA(Q1057:Q1350)=0,"""",IF(REGEXMATCH(INDEX(FILTER(Q$4:Q1057,Q$4:Q1057&lt;&gt;""""),ROWS(FILTER(Q$4:Q1057,Q$4:Q1057&lt;&gt;""""))),""^Sell_""),INDEX(FILTER(T$4:T1056,Q$4:Q1056&lt;&gt;""""),ROWS(FILTER(Q$4:Q1056,Q$4:Q1056&lt;&gt;""""))),$AD$5+S1057))"),"")</f>
        <v/>
      </c>
      <c r="U1057" s="10" t="str">
        <f>IFERROR(__xludf.DUMMYFUNCTION("IF(COUNTA(Q1057:Q1350)=0,"""",IF(Q1057="""",0,IF(REGEXMATCH(Q1057,""^Sell_""),-ROUNDDOWN(ROUNDUP(INDEX(Upgrades!$C$3:$C$13,MATCH(SUBSTITUTE(Q1057,""Sell_"",""""),Upgrades!$B$3:$B$13,0))*1.15^(COUNTIF(Q$4:Q1056,SUBSTITUTE(Q1057,""Sell_"",""""))-COUNTIF(Q$4"&amp;":Q1056,""Sell_""&amp;SUBSTITUTE(Q1057,""Sell_"",""""))))/2),ROUNDUP(INDEX(Upgrades!$C$3:$C$13,MATCH(Q1057,Upgrades!$B$3:$B$13,0))*1.15^(COUNTIF(Q$4:Q1056,Q1057)-COUNTIF(Q$4:Q1056,""Sell_""&amp;Q1057))))))"),"")</f>
        <v/>
      </c>
      <c r="V1057" s="10" t="str">
        <f t="shared" si="11"/>
        <v/>
      </c>
      <c r="W1057" s="68" t="str">
        <f t="shared" si="12"/>
        <v/>
      </c>
      <c r="X1057" s="59" t="str">
        <f t="shared" si="13"/>
        <v/>
      </c>
      <c r="Y1057" s="69" t="str">
        <f t="shared" si="14"/>
        <v/>
      </c>
      <c r="Z1057" s="11"/>
    </row>
    <row r="1058">
      <c r="A1058" s="8"/>
      <c r="B1058" s="56" t="str">
        <f t="shared" si="2"/>
        <v/>
      </c>
      <c r="C1058" s="57"/>
      <c r="D1058" s="10" t="str">
        <f>IFERROR(__xludf.DUMMYFUNCTION("IF(COUNTA(C1058:C1350)=0,"""",IF(ISBLANK(C1058),FALSE,IF(NOT(COUNTIF($AA$24:$AA$34,SUBSTITUTE(C1058,""Sell_"",""""))),1,IF(REGEXMATCH(C1058,""Sell_""),IF(COUNTIF(C$4:C1058,SUBSTITUTE(C1058,""Sell_"",""""))-COUNTIF(C$4:C1057,C1058)&lt;1,1),FALSE))))"),"")</f>
        <v/>
      </c>
      <c r="E1058" s="59" t="str">
        <f t="array" ref="E1058">IF(COUNTA(C1058:C1350)=0,"",SUM((COUNTIF(C$4:C1058,Upgrades!$B$3:$B$13)-COUNTIF(C$4:C1058,"Sell_"&amp;Upgrades!$B$3:$B$13))*Upgrades!$D$3:$D$13))</f>
        <v/>
      </c>
      <c r="F1058" s="66" t="str">
        <f>IFERROR(__xludf.DUMMYFUNCTION("IF(COUNTA(C1058:C1350)=0,"""",IF(REGEXMATCH(INDEX(FILTER(C$4:C1058,C$4:C1058&lt;&gt;""""),ROWS(FILTER(C$4:C1058,C$4:C1058&lt;&gt;""""))),""^Sell_""),INDEX(FILTER(F$4:F1057,C$4:C1057&lt;&gt;""""),ROWS(FILTER(C$4:C1057,C$4:C1057&lt;&gt;""""))),$AC$5+E1058))"),"")</f>
        <v/>
      </c>
      <c r="G1058" s="10" t="str">
        <f>IFERROR(__xludf.DUMMYFUNCTION("IF(COUNTA(C1058:C1350)=0,"""",IF(C1058="""",0,IF(REGEXMATCH(C1058,""^Sell_""),-ROUNDDOWN(ROUNDUP(INDEX(Upgrades!$C$3:$C$13,MATCH(SUBSTITUTE(C1058,""Sell_"",""""),Upgrades!$B$3:$B$13,0))*1.15^(COUNTIF(C$4:C1057,SUBSTITUTE(C1058,""Sell_"",""""))-COUNTIF(C$4"&amp;":C1057,""Sell_""&amp;SUBSTITUTE(C1058,""Sell_"",""""))))/2),ROUNDUP(INDEX(Upgrades!$C$3:$C$13,MATCH(C1058,Upgrades!$B$3:$B$13,0))*1.15^(COUNTIF(C$4:C1057,C1058)-COUNTIF(C$4:C1057,""Sell_""&amp;C1058))))))"),"")</f>
        <v/>
      </c>
      <c r="H1058" s="10" t="str">
        <f t="shared" si="3"/>
        <v/>
      </c>
      <c r="I1058" s="68" t="str">
        <f t="shared" si="4"/>
        <v/>
      </c>
      <c r="J1058" s="59" t="str">
        <f t="shared" si="5"/>
        <v/>
      </c>
      <c r="K1058" s="69" t="str">
        <f t="shared" si="6"/>
        <v/>
      </c>
      <c r="L1058" s="60" t="str">
        <f t="shared" si="7"/>
        <v/>
      </c>
      <c r="M1058" s="61" t="str">
        <f>IFERROR(__xludf.DUMMYFUNCTION("IFS(AND(COUNTA(C1058:C1350)=0,COUNTA(Q1058:Q1350)=0),"""",OR(AND(K1058&gt;=1000000000,OR(Y1058&gt;=1000000000,COUNTA(Q1058:Q1350)=0)),OR(Y1058&gt;=1000000000,AND(COUNTA(C1058:C1350)=0,P$3=TRUE))),
ROUNDDOWN((AB$1-AC$1)*MAX(INDEX(T$4:T1350,MATCH(LARGE(FILTER(Y$4:Y1"&amp;"350,Y$4:Y1350&lt;1000000000),1),Y$4:Y1350)),INDEX(F$4:F1350,MATCH(LARGE(FILTER(K$4:K1350,K$4:K1350&lt;1000000000),1),K$4:K1350)))),AND(K1058&lt;1000000000,COUNTA(C1058:C1350)&gt;0,P$3=FALSE),
ROUNDDOWN(INDEX(Y$4:Y1350,MATCH(LARGE(FILTER(W$4:W1350,W$4:W1350&lt;=I1058),1)"&amp;",W$4:W1350))+(I1058-LARGE(FILTER(W$4:W1350,W$4:W1350&lt;=I1058),1))*INDEX(T$4:T1350,MATCH(LARGE(FILTER(W$4:W1350,W$4:W1350&lt;=I1058),1),W$4:W1350))-K1058),1,
ROUNDDOWN(Y1058-INDEX(K$4:K1350,MATCH(LARGE(FILTER(I$4:I1350,I$4:I1350&lt;=W1058),1),I$4:I1350))-(W1058-L"&amp;"ARGE(FILTER(I$4:I1350,I$4:I1350&lt;=W1058),1))*INDEX(F$4:F1350,MATCH(LARGE(FILTER(I$4:I1350,I$4:I1350&lt;=W1058),1),I$4:I1350))))"),"")</f>
        <v/>
      </c>
      <c r="N1058" s="60" t="str">
        <f t="shared" si="8"/>
        <v/>
      </c>
      <c r="O1058" s="61" t="str">
        <f t="shared" si="9"/>
        <v/>
      </c>
      <c r="P1058" s="56" t="str">
        <f t="shared" si="10"/>
        <v/>
      </c>
      <c r="Q1058" s="62"/>
      <c r="R1058" s="10" t="str">
        <f>IFERROR(__xludf.DUMMYFUNCTION("IF(COUNTA(Q1058:Q1350)=0,"""",IF(ISBLANK(Q1058),FALSE,IF(NOT(COUNTIF($AA$24:$AA$34,SUBSTITUTE(Q1058,""Sell_"",""""))),1,IF(REGEXMATCH(Q1058,""Sell_""),IF(COUNTIF(Q$4:Q1058,SUBSTITUTE(Q1058,""Sell_"",""""))-COUNTIF(Q$4:Q1057,Q1058)&lt;1,1),FALSE))))"),"")</f>
        <v/>
      </c>
      <c r="S1058" s="59" t="str">
        <f t="array" ref="S1058">IF(COUNTA(Q1058:Q1350)=0,"",SUM((COUNTIF(Q$4:Q1058,Upgrades!$B$3:$B$13)-COUNTIF(Q$4:Q1058,"Sell_"&amp;Upgrades!$B$3:$B$13))*Upgrades!$D$3:$D$13))</f>
        <v/>
      </c>
      <c r="T1058" s="66" t="str">
        <f>IFERROR(__xludf.DUMMYFUNCTION("IF(COUNTA(Q1058:Q1350)=0,"""",IF(REGEXMATCH(INDEX(FILTER(Q$4:Q1058,Q$4:Q1058&lt;&gt;""""),ROWS(FILTER(Q$4:Q1058,Q$4:Q1058&lt;&gt;""""))),""^Sell_""),INDEX(FILTER(T$4:T1057,Q$4:Q1057&lt;&gt;""""),ROWS(FILTER(Q$4:Q1057,Q$4:Q1057&lt;&gt;""""))),$AD$5+S1058))"),"")</f>
        <v/>
      </c>
      <c r="U1058" s="10" t="str">
        <f>IFERROR(__xludf.DUMMYFUNCTION("IF(COUNTA(Q1058:Q1350)=0,"""",IF(Q1058="""",0,IF(REGEXMATCH(Q1058,""^Sell_""),-ROUNDDOWN(ROUNDUP(INDEX(Upgrades!$C$3:$C$13,MATCH(SUBSTITUTE(Q1058,""Sell_"",""""),Upgrades!$B$3:$B$13,0))*1.15^(COUNTIF(Q$4:Q1057,SUBSTITUTE(Q1058,""Sell_"",""""))-COUNTIF(Q$4"&amp;":Q1057,""Sell_""&amp;SUBSTITUTE(Q1058,""Sell_"",""""))))/2),ROUNDUP(INDEX(Upgrades!$C$3:$C$13,MATCH(Q1058,Upgrades!$B$3:$B$13,0))*1.15^(COUNTIF(Q$4:Q1057,Q1058)-COUNTIF(Q$4:Q1057,""Sell_""&amp;Q1058))))))"),"")</f>
        <v/>
      </c>
      <c r="V1058" s="10" t="str">
        <f t="shared" si="11"/>
        <v/>
      </c>
      <c r="W1058" s="68" t="str">
        <f t="shared" si="12"/>
        <v/>
      </c>
      <c r="X1058" s="59" t="str">
        <f t="shared" si="13"/>
        <v/>
      </c>
      <c r="Y1058" s="69" t="str">
        <f t="shared" si="14"/>
        <v/>
      </c>
      <c r="Z1058" s="11"/>
    </row>
    <row r="1059">
      <c r="A1059" s="8"/>
      <c r="B1059" s="56" t="str">
        <f t="shared" si="2"/>
        <v/>
      </c>
      <c r="C1059" s="57"/>
      <c r="D1059" s="10" t="str">
        <f>IFERROR(__xludf.DUMMYFUNCTION("IF(COUNTA(C1059:C1350)=0,"""",IF(ISBLANK(C1059),FALSE,IF(NOT(COUNTIF($AA$24:$AA$34,SUBSTITUTE(C1059,""Sell_"",""""))),1,IF(REGEXMATCH(C1059,""Sell_""),IF(COUNTIF(C$4:C1059,SUBSTITUTE(C1059,""Sell_"",""""))-COUNTIF(C$4:C1058,C1059)&lt;1,1),FALSE))))"),"")</f>
        <v/>
      </c>
      <c r="E1059" s="59" t="str">
        <f t="array" ref="E1059">IF(COUNTA(C1059:C1350)=0,"",SUM((COUNTIF(C$4:C1059,Upgrades!$B$3:$B$13)-COUNTIF(C$4:C1059,"Sell_"&amp;Upgrades!$B$3:$B$13))*Upgrades!$D$3:$D$13))</f>
        <v/>
      </c>
      <c r="F1059" s="66" t="str">
        <f>IFERROR(__xludf.DUMMYFUNCTION("IF(COUNTA(C1059:C1350)=0,"""",IF(REGEXMATCH(INDEX(FILTER(C$4:C1059,C$4:C1059&lt;&gt;""""),ROWS(FILTER(C$4:C1059,C$4:C1059&lt;&gt;""""))),""^Sell_""),INDEX(FILTER(F$4:F1058,C$4:C1058&lt;&gt;""""),ROWS(FILTER(C$4:C1058,C$4:C1058&lt;&gt;""""))),$AC$5+E1059))"),"")</f>
        <v/>
      </c>
      <c r="G1059" s="10" t="str">
        <f>IFERROR(__xludf.DUMMYFUNCTION("IF(COUNTA(C1059:C1350)=0,"""",IF(C1059="""",0,IF(REGEXMATCH(C1059,""^Sell_""),-ROUNDDOWN(ROUNDUP(INDEX(Upgrades!$C$3:$C$13,MATCH(SUBSTITUTE(C1059,""Sell_"",""""),Upgrades!$B$3:$B$13,0))*1.15^(COUNTIF(C$4:C1058,SUBSTITUTE(C1059,""Sell_"",""""))-COUNTIF(C$4"&amp;":C1058,""Sell_""&amp;SUBSTITUTE(C1059,""Sell_"",""""))))/2),ROUNDUP(INDEX(Upgrades!$C$3:$C$13,MATCH(C1059,Upgrades!$B$3:$B$13,0))*1.15^(COUNTIF(C$4:C1058,C1059)-COUNTIF(C$4:C1058,""Sell_""&amp;C1059))))))"),"")</f>
        <v/>
      </c>
      <c r="H1059" s="10" t="str">
        <f t="shared" si="3"/>
        <v/>
      </c>
      <c r="I1059" s="68" t="str">
        <f t="shared" si="4"/>
        <v/>
      </c>
      <c r="J1059" s="59" t="str">
        <f t="shared" si="5"/>
        <v/>
      </c>
      <c r="K1059" s="69" t="str">
        <f t="shared" si="6"/>
        <v/>
      </c>
      <c r="L1059" s="60" t="str">
        <f t="shared" si="7"/>
        <v/>
      </c>
      <c r="M1059" s="61" t="str">
        <f>IFERROR(__xludf.DUMMYFUNCTION("IFS(AND(COUNTA(C1059:C1350)=0,COUNTA(Q1059:Q1350)=0),"""",OR(AND(K1059&gt;=1000000000,OR(Y1059&gt;=1000000000,COUNTA(Q1059:Q1350)=0)),OR(Y1059&gt;=1000000000,AND(COUNTA(C1059:C1350)=0,P$3=TRUE))),
ROUNDDOWN((AB$1-AC$1)*MAX(INDEX(T$4:T1350,MATCH(LARGE(FILTER(Y$4:Y1"&amp;"350,Y$4:Y1350&lt;1000000000),1),Y$4:Y1350)),INDEX(F$4:F1350,MATCH(LARGE(FILTER(K$4:K1350,K$4:K1350&lt;1000000000),1),K$4:K1350)))),AND(K1059&lt;1000000000,COUNTA(C1059:C1350)&gt;0,P$3=FALSE),
ROUNDDOWN(INDEX(Y$4:Y1350,MATCH(LARGE(FILTER(W$4:W1350,W$4:W1350&lt;=I1059),1)"&amp;",W$4:W1350))+(I1059-LARGE(FILTER(W$4:W1350,W$4:W1350&lt;=I1059),1))*INDEX(T$4:T1350,MATCH(LARGE(FILTER(W$4:W1350,W$4:W1350&lt;=I1059),1),W$4:W1350))-K1059),1,
ROUNDDOWN(Y1059-INDEX(K$4:K1350,MATCH(LARGE(FILTER(I$4:I1350,I$4:I1350&lt;=W1059),1),I$4:I1350))-(W1059-L"&amp;"ARGE(FILTER(I$4:I1350,I$4:I1350&lt;=W1059),1))*INDEX(F$4:F1350,MATCH(LARGE(FILTER(I$4:I1350,I$4:I1350&lt;=W1059),1),I$4:I1350))))"),"")</f>
        <v/>
      </c>
      <c r="N1059" s="60" t="str">
        <f t="shared" si="8"/>
        <v/>
      </c>
      <c r="O1059" s="61" t="str">
        <f t="shared" si="9"/>
        <v/>
      </c>
      <c r="P1059" s="56" t="str">
        <f t="shared" si="10"/>
        <v/>
      </c>
      <c r="Q1059" s="62"/>
      <c r="R1059" s="10" t="str">
        <f>IFERROR(__xludf.DUMMYFUNCTION("IF(COUNTA(Q1059:Q1350)=0,"""",IF(ISBLANK(Q1059),FALSE,IF(NOT(COUNTIF($AA$24:$AA$34,SUBSTITUTE(Q1059,""Sell_"",""""))),1,IF(REGEXMATCH(Q1059,""Sell_""),IF(COUNTIF(Q$4:Q1059,SUBSTITUTE(Q1059,""Sell_"",""""))-COUNTIF(Q$4:Q1058,Q1059)&lt;1,1),FALSE))))"),"")</f>
        <v/>
      </c>
      <c r="S1059" s="59" t="str">
        <f t="array" ref="S1059">IF(COUNTA(Q1059:Q1350)=0,"",SUM((COUNTIF(Q$4:Q1059,Upgrades!$B$3:$B$13)-COUNTIF(Q$4:Q1059,"Sell_"&amp;Upgrades!$B$3:$B$13))*Upgrades!$D$3:$D$13))</f>
        <v/>
      </c>
      <c r="T1059" s="66" t="str">
        <f>IFERROR(__xludf.DUMMYFUNCTION("IF(COUNTA(Q1059:Q1350)=0,"""",IF(REGEXMATCH(INDEX(FILTER(Q$4:Q1059,Q$4:Q1059&lt;&gt;""""),ROWS(FILTER(Q$4:Q1059,Q$4:Q1059&lt;&gt;""""))),""^Sell_""),INDEX(FILTER(T$4:T1058,Q$4:Q1058&lt;&gt;""""),ROWS(FILTER(Q$4:Q1058,Q$4:Q1058&lt;&gt;""""))),$AD$5+S1059))"),"")</f>
        <v/>
      </c>
      <c r="U1059" s="10" t="str">
        <f>IFERROR(__xludf.DUMMYFUNCTION("IF(COUNTA(Q1059:Q1350)=0,"""",IF(Q1059="""",0,IF(REGEXMATCH(Q1059,""^Sell_""),-ROUNDDOWN(ROUNDUP(INDEX(Upgrades!$C$3:$C$13,MATCH(SUBSTITUTE(Q1059,""Sell_"",""""),Upgrades!$B$3:$B$13,0))*1.15^(COUNTIF(Q$4:Q1058,SUBSTITUTE(Q1059,""Sell_"",""""))-COUNTIF(Q$4"&amp;":Q1058,""Sell_""&amp;SUBSTITUTE(Q1059,""Sell_"",""""))))/2),ROUNDUP(INDEX(Upgrades!$C$3:$C$13,MATCH(Q1059,Upgrades!$B$3:$B$13,0))*1.15^(COUNTIF(Q$4:Q1058,Q1059)-COUNTIF(Q$4:Q1058,""Sell_""&amp;Q1059))))))"),"")</f>
        <v/>
      </c>
      <c r="V1059" s="10" t="str">
        <f t="shared" si="11"/>
        <v/>
      </c>
      <c r="W1059" s="68" t="str">
        <f t="shared" si="12"/>
        <v/>
      </c>
      <c r="X1059" s="59" t="str">
        <f t="shared" si="13"/>
        <v/>
      </c>
      <c r="Y1059" s="69" t="str">
        <f t="shared" si="14"/>
        <v/>
      </c>
      <c r="Z1059" s="11"/>
    </row>
    <row r="1060">
      <c r="A1060" s="8"/>
      <c r="B1060" s="56" t="str">
        <f t="shared" si="2"/>
        <v/>
      </c>
      <c r="C1060" s="57"/>
      <c r="D1060" s="10" t="str">
        <f>IFERROR(__xludf.DUMMYFUNCTION("IF(COUNTA(C1060:C1350)=0,"""",IF(ISBLANK(C1060),FALSE,IF(NOT(COUNTIF($AA$24:$AA$34,SUBSTITUTE(C1060,""Sell_"",""""))),1,IF(REGEXMATCH(C1060,""Sell_""),IF(COUNTIF(C$4:C1060,SUBSTITUTE(C1060,""Sell_"",""""))-COUNTIF(C$4:C1059,C1060)&lt;1,1),FALSE))))"),"")</f>
        <v/>
      </c>
      <c r="E1060" s="59" t="str">
        <f t="array" ref="E1060">IF(COUNTA(C1060:C1350)=0,"",SUM((COUNTIF(C$4:C1060,Upgrades!$B$3:$B$13)-COUNTIF(C$4:C1060,"Sell_"&amp;Upgrades!$B$3:$B$13))*Upgrades!$D$3:$D$13))</f>
        <v/>
      </c>
      <c r="F1060" s="66" t="str">
        <f>IFERROR(__xludf.DUMMYFUNCTION("IF(COUNTA(C1060:C1350)=0,"""",IF(REGEXMATCH(INDEX(FILTER(C$4:C1060,C$4:C1060&lt;&gt;""""),ROWS(FILTER(C$4:C1060,C$4:C1060&lt;&gt;""""))),""^Sell_""),INDEX(FILTER(F$4:F1059,C$4:C1059&lt;&gt;""""),ROWS(FILTER(C$4:C1059,C$4:C1059&lt;&gt;""""))),$AC$5+E1060))"),"")</f>
        <v/>
      </c>
      <c r="G1060" s="10" t="str">
        <f>IFERROR(__xludf.DUMMYFUNCTION("IF(COUNTA(C1060:C1350)=0,"""",IF(C1060="""",0,IF(REGEXMATCH(C1060,""^Sell_""),-ROUNDDOWN(ROUNDUP(INDEX(Upgrades!$C$3:$C$13,MATCH(SUBSTITUTE(C1060,""Sell_"",""""),Upgrades!$B$3:$B$13,0))*1.15^(COUNTIF(C$4:C1059,SUBSTITUTE(C1060,""Sell_"",""""))-COUNTIF(C$4"&amp;":C1059,""Sell_""&amp;SUBSTITUTE(C1060,""Sell_"",""""))))/2),ROUNDUP(INDEX(Upgrades!$C$3:$C$13,MATCH(C1060,Upgrades!$B$3:$B$13,0))*1.15^(COUNTIF(C$4:C1059,C1060)-COUNTIF(C$4:C1059,""Sell_""&amp;C1060))))))"),"")</f>
        <v/>
      </c>
      <c r="H1060" s="10" t="str">
        <f t="shared" si="3"/>
        <v/>
      </c>
      <c r="I1060" s="68" t="str">
        <f t="shared" si="4"/>
        <v/>
      </c>
      <c r="J1060" s="59" t="str">
        <f t="shared" si="5"/>
        <v/>
      </c>
      <c r="K1060" s="69" t="str">
        <f t="shared" si="6"/>
        <v/>
      </c>
      <c r="L1060" s="60" t="str">
        <f t="shared" si="7"/>
        <v/>
      </c>
      <c r="M1060" s="61" t="str">
        <f>IFERROR(__xludf.DUMMYFUNCTION("IFS(AND(COUNTA(C1060:C1350)=0,COUNTA(Q1060:Q1350)=0),"""",OR(AND(K1060&gt;=1000000000,OR(Y1060&gt;=1000000000,COUNTA(Q1060:Q1350)=0)),OR(Y1060&gt;=1000000000,AND(COUNTA(C1060:C1350)=0,P$3=TRUE))),
ROUNDDOWN((AB$1-AC$1)*MAX(INDEX(T$4:T1350,MATCH(LARGE(FILTER(Y$4:Y1"&amp;"350,Y$4:Y1350&lt;1000000000),1),Y$4:Y1350)),INDEX(F$4:F1350,MATCH(LARGE(FILTER(K$4:K1350,K$4:K1350&lt;1000000000),1),K$4:K1350)))),AND(K1060&lt;1000000000,COUNTA(C1060:C1350)&gt;0,P$3=FALSE),
ROUNDDOWN(INDEX(Y$4:Y1350,MATCH(LARGE(FILTER(W$4:W1350,W$4:W1350&lt;=I1060),1)"&amp;",W$4:W1350))+(I1060-LARGE(FILTER(W$4:W1350,W$4:W1350&lt;=I1060),1))*INDEX(T$4:T1350,MATCH(LARGE(FILTER(W$4:W1350,W$4:W1350&lt;=I1060),1),W$4:W1350))-K1060),1,
ROUNDDOWN(Y1060-INDEX(K$4:K1350,MATCH(LARGE(FILTER(I$4:I1350,I$4:I1350&lt;=W1060),1),I$4:I1350))-(W1060-L"&amp;"ARGE(FILTER(I$4:I1350,I$4:I1350&lt;=W1060),1))*INDEX(F$4:F1350,MATCH(LARGE(FILTER(I$4:I1350,I$4:I1350&lt;=W1060),1),I$4:I1350))))"),"")</f>
        <v/>
      </c>
      <c r="N1060" s="60" t="str">
        <f t="shared" si="8"/>
        <v/>
      </c>
      <c r="O1060" s="61" t="str">
        <f t="shared" si="9"/>
        <v/>
      </c>
      <c r="P1060" s="56" t="str">
        <f t="shared" si="10"/>
        <v/>
      </c>
      <c r="Q1060" s="62"/>
      <c r="R1060" s="10" t="str">
        <f>IFERROR(__xludf.DUMMYFUNCTION("IF(COUNTA(Q1060:Q1350)=0,"""",IF(ISBLANK(Q1060),FALSE,IF(NOT(COUNTIF($AA$24:$AA$34,SUBSTITUTE(Q1060,""Sell_"",""""))),1,IF(REGEXMATCH(Q1060,""Sell_""),IF(COUNTIF(Q$4:Q1060,SUBSTITUTE(Q1060,""Sell_"",""""))-COUNTIF(Q$4:Q1059,Q1060)&lt;1,1),FALSE))))"),"")</f>
        <v/>
      </c>
      <c r="S1060" s="59" t="str">
        <f t="array" ref="S1060">IF(COUNTA(Q1060:Q1350)=0,"",SUM((COUNTIF(Q$4:Q1060,Upgrades!$B$3:$B$13)-COUNTIF(Q$4:Q1060,"Sell_"&amp;Upgrades!$B$3:$B$13))*Upgrades!$D$3:$D$13))</f>
        <v/>
      </c>
      <c r="T1060" s="66" t="str">
        <f>IFERROR(__xludf.DUMMYFUNCTION("IF(COUNTA(Q1060:Q1350)=0,"""",IF(REGEXMATCH(INDEX(FILTER(Q$4:Q1060,Q$4:Q1060&lt;&gt;""""),ROWS(FILTER(Q$4:Q1060,Q$4:Q1060&lt;&gt;""""))),""^Sell_""),INDEX(FILTER(T$4:T1059,Q$4:Q1059&lt;&gt;""""),ROWS(FILTER(Q$4:Q1059,Q$4:Q1059&lt;&gt;""""))),$AD$5+S1060))"),"")</f>
        <v/>
      </c>
      <c r="U1060" s="10" t="str">
        <f>IFERROR(__xludf.DUMMYFUNCTION("IF(COUNTA(Q1060:Q1350)=0,"""",IF(Q1060="""",0,IF(REGEXMATCH(Q1060,""^Sell_""),-ROUNDDOWN(ROUNDUP(INDEX(Upgrades!$C$3:$C$13,MATCH(SUBSTITUTE(Q1060,""Sell_"",""""),Upgrades!$B$3:$B$13,0))*1.15^(COUNTIF(Q$4:Q1059,SUBSTITUTE(Q1060,""Sell_"",""""))-COUNTIF(Q$4"&amp;":Q1059,""Sell_""&amp;SUBSTITUTE(Q1060,""Sell_"",""""))))/2),ROUNDUP(INDEX(Upgrades!$C$3:$C$13,MATCH(Q1060,Upgrades!$B$3:$B$13,0))*1.15^(COUNTIF(Q$4:Q1059,Q1060)-COUNTIF(Q$4:Q1059,""Sell_""&amp;Q1060))))))"),"")</f>
        <v/>
      </c>
      <c r="V1060" s="10" t="str">
        <f t="shared" si="11"/>
        <v/>
      </c>
      <c r="W1060" s="68" t="str">
        <f t="shared" si="12"/>
        <v/>
      </c>
      <c r="X1060" s="59" t="str">
        <f t="shared" si="13"/>
        <v/>
      </c>
      <c r="Y1060" s="69" t="str">
        <f t="shared" si="14"/>
        <v/>
      </c>
      <c r="Z1060" s="11"/>
    </row>
    <row r="1061">
      <c r="A1061" s="8"/>
      <c r="B1061" s="56" t="str">
        <f t="shared" si="2"/>
        <v/>
      </c>
      <c r="C1061" s="57"/>
      <c r="D1061" s="10" t="str">
        <f>IFERROR(__xludf.DUMMYFUNCTION("IF(COUNTA(C1061:C1350)=0,"""",IF(ISBLANK(C1061),FALSE,IF(NOT(COUNTIF($AA$24:$AA$34,SUBSTITUTE(C1061,""Sell_"",""""))),1,IF(REGEXMATCH(C1061,""Sell_""),IF(COUNTIF(C$4:C1061,SUBSTITUTE(C1061,""Sell_"",""""))-COUNTIF(C$4:C1060,C1061)&lt;1,1),FALSE))))"),"")</f>
        <v/>
      </c>
      <c r="E1061" s="59" t="str">
        <f t="array" ref="E1061">IF(COUNTA(C1061:C1350)=0,"",SUM((COUNTIF(C$4:C1061,Upgrades!$B$3:$B$13)-COUNTIF(C$4:C1061,"Sell_"&amp;Upgrades!$B$3:$B$13))*Upgrades!$D$3:$D$13))</f>
        <v/>
      </c>
      <c r="F1061" s="66" t="str">
        <f>IFERROR(__xludf.DUMMYFUNCTION("IF(COUNTA(C1061:C1350)=0,"""",IF(REGEXMATCH(INDEX(FILTER(C$4:C1061,C$4:C1061&lt;&gt;""""),ROWS(FILTER(C$4:C1061,C$4:C1061&lt;&gt;""""))),""^Sell_""),INDEX(FILTER(F$4:F1060,C$4:C1060&lt;&gt;""""),ROWS(FILTER(C$4:C1060,C$4:C1060&lt;&gt;""""))),$AC$5+E1061))"),"")</f>
        <v/>
      </c>
      <c r="G1061" s="10" t="str">
        <f>IFERROR(__xludf.DUMMYFUNCTION("IF(COUNTA(C1061:C1350)=0,"""",IF(C1061="""",0,IF(REGEXMATCH(C1061,""^Sell_""),-ROUNDDOWN(ROUNDUP(INDEX(Upgrades!$C$3:$C$13,MATCH(SUBSTITUTE(C1061,""Sell_"",""""),Upgrades!$B$3:$B$13,0))*1.15^(COUNTIF(C$4:C1060,SUBSTITUTE(C1061,""Sell_"",""""))-COUNTIF(C$4"&amp;":C1060,""Sell_""&amp;SUBSTITUTE(C1061,""Sell_"",""""))))/2),ROUNDUP(INDEX(Upgrades!$C$3:$C$13,MATCH(C1061,Upgrades!$B$3:$B$13,0))*1.15^(COUNTIF(C$4:C1060,C1061)-COUNTIF(C$4:C1060,""Sell_""&amp;C1061))))))"),"")</f>
        <v/>
      </c>
      <c r="H1061" s="10" t="str">
        <f t="shared" si="3"/>
        <v/>
      </c>
      <c r="I1061" s="68" t="str">
        <f t="shared" si="4"/>
        <v/>
      </c>
      <c r="J1061" s="59" t="str">
        <f t="shared" si="5"/>
        <v/>
      </c>
      <c r="K1061" s="69" t="str">
        <f t="shared" si="6"/>
        <v/>
      </c>
      <c r="L1061" s="60" t="str">
        <f t="shared" si="7"/>
        <v/>
      </c>
      <c r="M1061" s="61" t="str">
        <f>IFERROR(__xludf.DUMMYFUNCTION("IFS(AND(COUNTA(C1061:C1350)=0,COUNTA(Q1061:Q1350)=0),"""",OR(AND(K1061&gt;=1000000000,OR(Y1061&gt;=1000000000,COUNTA(Q1061:Q1350)=0)),OR(Y1061&gt;=1000000000,AND(COUNTA(C1061:C1350)=0,P$3=TRUE))),
ROUNDDOWN((AB$1-AC$1)*MAX(INDEX(T$4:T1350,MATCH(LARGE(FILTER(Y$4:Y1"&amp;"350,Y$4:Y1350&lt;1000000000),1),Y$4:Y1350)),INDEX(F$4:F1350,MATCH(LARGE(FILTER(K$4:K1350,K$4:K1350&lt;1000000000),1),K$4:K1350)))),AND(K1061&lt;1000000000,COUNTA(C1061:C1350)&gt;0,P$3=FALSE),
ROUNDDOWN(INDEX(Y$4:Y1350,MATCH(LARGE(FILTER(W$4:W1350,W$4:W1350&lt;=I1061),1)"&amp;",W$4:W1350))+(I1061-LARGE(FILTER(W$4:W1350,W$4:W1350&lt;=I1061),1))*INDEX(T$4:T1350,MATCH(LARGE(FILTER(W$4:W1350,W$4:W1350&lt;=I1061),1),W$4:W1350))-K1061),1,
ROUNDDOWN(Y1061-INDEX(K$4:K1350,MATCH(LARGE(FILTER(I$4:I1350,I$4:I1350&lt;=W1061),1),I$4:I1350))-(W1061-L"&amp;"ARGE(FILTER(I$4:I1350,I$4:I1350&lt;=W1061),1))*INDEX(F$4:F1350,MATCH(LARGE(FILTER(I$4:I1350,I$4:I1350&lt;=W1061),1),I$4:I1350))))"),"")</f>
        <v/>
      </c>
      <c r="N1061" s="60" t="str">
        <f t="shared" si="8"/>
        <v/>
      </c>
      <c r="O1061" s="61" t="str">
        <f t="shared" si="9"/>
        <v/>
      </c>
      <c r="P1061" s="56" t="str">
        <f t="shared" si="10"/>
        <v/>
      </c>
      <c r="Q1061" s="62"/>
      <c r="R1061" s="10" t="str">
        <f>IFERROR(__xludf.DUMMYFUNCTION("IF(COUNTA(Q1061:Q1350)=0,"""",IF(ISBLANK(Q1061),FALSE,IF(NOT(COUNTIF($AA$24:$AA$34,SUBSTITUTE(Q1061,""Sell_"",""""))),1,IF(REGEXMATCH(Q1061,""Sell_""),IF(COUNTIF(Q$4:Q1061,SUBSTITUTE(Q1061,""Sell_"",""""))-COUNTIF(Q$4:Q1060,Q1061)&lt;1,1),FALSE))))"),"")</f>
        <v/>
      </c>
      <c r="S1061" s="59" t="str">
        <f t="array" ref="S1061">IF(COUNTA(Q1061:Q1350)=0,"",SUM((COUNTIF(Q$4:Q1061,Upgrades!$B$3:$B$13)-COUNTIF(Q$4:Q1061,"Sell_"&amp;Upgrades!$B$3:$B$13))*Upgrades!$D$3:$D$13))</f>
        <v/>
      </c>
      <c r="T1061" s="66" t="str">
        <f>IFERROR(__xludf.DUMMYFUNCTION("IF(COUNTA(Q1061:Q1350)=0,"""",IF(REGEXMATCH(INDEX(FILTER(Q$4:Q1061,Q$4:Q1061&lt;&gt;""""),ROWS(FILTER(Q$4:Q1061,Q$4:Q1061&lt;&gt;""""))),""^Sell_""),INDEX(FILTER(T$4:T1060,Q$4:Q1060&lt;&gt;""""),ROWS(FILTER(Q$4:Q1060,Q$4:Q1060&lt;&gt;""""))),$AD$5+S1061))"),"")</f>
        <v/>
      </c>
      <c r="U1061" s="10" t="str">
        <f>IFERROR(__xludf.DUMMYFUNCTION("IF(COUNTA(Q1061:Q1350)=0,"""",IF(Q1061="""",0,IF(REGEXMATCH(Q1061,""^Sell_""),-ROUNDDOWN(ROUNDUP(INDEX(Upgrades!$C$3:$C$13,MATCH(SUBSTITUTE(Q1061,""Sell_"",""""),Upgrades!$B$3:$B$13,0))*1.15^(COUNTIF(Q$4:Q1060,SUBSTITUTE(Q1061,""Sell_"",""""))-COUNTIF(Q$4"&amp;":Q1060,""Sell_""&amp;SUBSTITUTE(Q1061,""Sell_"",""""))))/2),ROUNDUP(INDEX(Upgrades!$C$3:$C$13,MATCH(Q1061,Upgrades!$B$3:$B$13,0))*1.15^(COUNTIF(Q$4:Q1060,Q1061)-COUNTIF(Q$4:Q1060,""Sell_""&amp;Q1061))))))"),"")</f>
        <v/>
      </c>
      <c r="V1061" s="10" t="str">
        <f t="shared" si="11"/>
        <v/>
      </c>
      <c r="W1061" s="68" t="str">
        <f t="shared" si="12"/>
        <v/>
      </c>
      <c r="X1061" s="59" t="str">
        <f t="shared" si="13"/>
        <v/>
      </c>
      <c r="Y1061" s="69" t="str">
        <f t="shared" si="14"/>
        <v/>
      </c>
      <c r="Z1061" s="11"/>
    </row>
    <row r="1062">
      <c r="A1062" s="8"/>
      <c r="B1062" s="56" t="str">
        <f t="shared" si="2"/>
        <v/>
      </c>
      <c r="C1062" s="57"/>
      <c r="D1062" s="10" t="str">
        <f>IFERROR(__xludf.DUMMYFUNCTION("IF(COUNTA(C1062:C1350)=0,"""",IF(ISBLANK(C1062),FALSE,IF(NOT(COUNTIF($AA$24:$AA$34,SUBSTITUTE(C1062,""Sell_"",""""))),1,IF(REGEXMATCH(C1062,""Sell_""),IF(COUNTIF(C$4:C1062,SUBSTITUTE(C1062,""Sell_"",""""))-COUNTIF(C$4:C1061,C1062)&lt;1,1),FALSE))))"),"")</f>
        <v/>
      </c>
      <c r="E1062" s="59" t="str">
        <f t="array" ref="E1062">IF(COUNTA(C1062:C1350)=0,"",SUM((COUNTIF(C$4:C1062,Upgrades!$B$3:$B$13)-COUNTIF(C$4:C1062,"Sell_"&amp;Upgrades!$B$3:$B$13))*Upgrades!$D$3:$D$13))</f>
        <v/>
      </c>
      <c r="F1062" s="66" t="str">
        <f>IFERROR(__xludf.DUMMYFUNCTION("IF(COUNTA(C1062:C1350)=0,"""",IF(REGEXMATCH(INDEX(FILTER(C$4:C1062,C$4:C1062&lt;&gt;""""),ROWS(FILTER(C$4:C1062,C$4:C1062&lt;&gt;""""))),""^Sell_""),INDEX(FILTER(F$4:F1061,C$4:C1061&lt;&gt;""""),ROWS(FILTER(C$4:C1061,C$4:C1061&lt;&gt;""""))),$AC$5+E1062))"),"")</f>
        <v/>
      </c>
      <c r="G1062" s="10" t="str">
        <f>IFERROR(__xludf.DUMMYFUNCTION("IF(COUNTA(C1062:C1350)=0,"""",IF(C1062="""",0,IF(REGEXMATCH(C1062,""^Sell_""),-ROUNDDOWN(ROUNDUP(INDEX(Upgrades!$C$3:$C$13,MATCH(SUBSTITUTE(C1062,""Sell_"",""""),Upgrades!$B$3:$B$13,0))*1.15^(COUNTIF(C$4:C1061,SUBSTITUTE(C1062,""Sell_"",""""))-COUNTIF(C$4"&amp;":C1061,""Sell_""&amp;SUBSTITUTE(C1062,""Sell_"",""""))))/2),ROUNDUP(INDEX(Upgrades!$C$3:$C$13,MATCH(C1062,Upgrades!$B$3:$B$13,0))*1.15^(COUNTIF(C$4:C1061,C1062)-COUNTIF(C$4:C1061,""Sell_""&amp;C1062))))))"),"")</f>
        <v/>
      </c>
      <c r="H1062" s="10" t="str">
        <f t="shared" si="3"/>
        <v/>
      </c>
      <c r="I1062" s="68" t="str">
        <f t="shared" si="4"/>
        <v/>
      </c>
      <c r="J1062" s="59" t="str">
        <f t="shared" si="5"/>
        <v/>
      </c>
      <c r="K1062" s="69" t="str">
        <f t="shared" si="6"/>
        <v/>
      </c>
      <c r="L1062" s="60" t="str">
        <f t="shared" si="7"/>
        <v/>
      </c>
      <c r="M1062" s="61" t="str">
        <f>IFERROR(__xludf.DUMMYFUNCTION("IFS(AND(COUNTA(C1062:C1350)=0,COUNTA(Q1062:Q1350)=0),"""",OR(AND(K1062&gt;=1000000000,OR(Y1062&gt;=1000000000,COUNTA(Q1062:Q1350)=0)),OR(Y1062&gt;=1000000000,AND(COUNTA(C1062:C1350)=0,P$3=TRUE))),
ROUNDDOWN((AB$1-AC$1)*MAX(INDEX(T$4:T1350,MATCH(LARGE(FILTER(Y$4:Y1"&amp;"350,Y$4:Y1350&lt;1000000000),1),Y$4:Y1350)),INDEX(F$4:F1350,MATCH(LARGE(FILTER(K$4:K1350,K$4:K1350&lt;1000000000),1),K$4:K1350)))),AND(K1062&lt;1000000000,COUNTA(C1062:C1350)&gt;0,P$3=FALSE),
ROUNDDOWN(INDEX(Y$4:Y1350,MATCH(LARGE(FILTER(W$4:W1350,W$4:W1350&lt;=I1062),1)"&amp;",W$4:W1350))+(I1062-LARGE(FILTER(W$4:W1350,W$4:W1350&lt;=I1062),1))*INDEX(T$4:T1350,MATCH(LARGE(FILTER(W$4:W1350,W$4:W1350&lt;=I1062),1),W$4:W1350))-K1062),1,
ROUNDDOWN(Y1062-INDEX(K$4:K1350,MATCH(LARGE(FILTER(I$4:I1350,I$4:I1350&lt;=W1062),1),I$4:I1350))-(W1062-L"&amp;"ARGE(FILTER(I$4:I1350,I$4:I1350&lt;=W1062),1))*INDEX(F$4:F1350,MATCH(LARGE(FILTER(I$4:I1350,I$4:I1350&lt;=W1062),1),I$4:I1350))))"),"")</f>
        <v/>
      </c>
      <c r="N1062" s="60" t="str">
        <f t="shared" si="8"/>
        <v/>
      </c>
      <c r="O1062" s="61" t="str">
        <f t="shared" si="9"/>
        <v/>
      </c>
      <c r="P1062" s="56" t="str">
        <f t="shared" si="10"/>
        <v/>
      </c>
      <c r="Q1062" s="62"/>
      <c r="R1062" s="10" t="str">
        <f>IFERROR(__xludf.DUMMYFUNCTION("IF(COUNTA(Q1062:Q1350)=0,"""",IF(ISBLANK(Q1062),FALSE,IF(NOT(COUNTIF($AA$24:$AA$34,SUBSTITUTE(Q1062,""Sell_"",""""))),1,IF(REGEXMATCH(Q1062,""Sell_""),IF(COUNTIF(Q$4:Q1062,SUBSTITUTE(Q1062,""Sell_"",""""))-COUNTIF(Q$4:Q1061,Q1062)&lt;1,1),FALSE))))"),"")</f>
        <v/>
      </c>
      <c r="S1062" s="59" t="str">
        <f t="array" ref="S1062">IF(COUNTA(Q1062:Q1350)=0,"",SUM((COUNTIF(Q$4:Q1062,Upgrades!$B$3:$B$13)-COUNTIF(Q$4:Q1062,"Sell_"&amp;Upgrades!$B$3:$B$13))*Upgrades!$D$3:$D$13))</f>
        <v/>
      </c>
      <c r="T1062" s="66" t="str">
        <f>IFERROR(__xludf.DUMMYFUNCTION("IF(COUNTA(Q1062:Q1350)=0,"""",IF(REGEXMATCH(INDEX(FILTER(Q$4:Q1062,Q$4:Q1062&lt;&gt;""""),ROWS(FILTER(Q$4:Q1062,Q$4:Q1062&lt;&gt;""""))),""^Sell_""),INDEX(FILTER(T$4:T1061,Q$4:Q1061&lt;&gt;""""),ROWS(FILTER(Q$4:Q1061,Q$4:Q1061&lt;&gt;""""))),$AD$5+S1062))"),"")</f>
        <v/>
      </c>
      <c r="U1062" s="10" t="str">
        <f>IFERROR(__xludf.DUMMYFUNCTION("IF(COUNTA(Q1062:Q1350)=0,"""",IF(Q1062="""",0,IF(REGEXMATCH(Q1062,""^Sell_""),-ROUNDDOWN(ROUNDUP(INDEX(Upgrades!$C$3:$C$13,MATCH(SUBSTITUTE(Q1062,""Sell_"",""""),Upgrades!$B$3:$B$13,0))*1.15^(COUNTIF(Q$4:Q1061,SUBSTITUTE(Q1062,""Sell_"",""""))-COUNTIF(Q$4"&amp;":Q1061,""Sell_""&amp;SUBSTITUTE(Q1062,""Sell_"",""""))))/2),ROUNDUP(INDEX(Upgrades!$C$3:$C$13,MATCH(Q1062,Upgrades!$B$3:$B$13,0))*1.15^(COUNTIF(Q$4:Q1061,Q1062)-COUNTIF(Q$4:Q1061,""Sell_""&amp;Q1062))))))"),"")</f>
        <v/>
      </c>
      <c r="V1062" s="10" t="str">
        <f t="shared" si="11"/>
        <v/>
      </c>
      <c r="W1062" s="68" t="str">
        <f t="shared" si="12"/>
        <v/>
      </c>
      <c r="X1062" s="59" t="str">
        <f t="shared" si="13"/>
        <v/>
      </c>
      <c r="Y1062" s="69" t="str">
        <f t="shared" si="14"/>
        <v/>
      </c>
      <c r="Z1062" s="11"/>
    </row>
    <row r="1063">
      <c r="A1063" s="8"/>
      <c r="B1063" s="56" t="str">
        <f t="shared" si="2"/>
        <v/>
      </c>
      <c r="C1063" s="57"/>
      <c r="D1063" s="10" t="str">
        <f>IFERROR(__xludf.DUMMYFUNCTION("IF(COUNTA(C1063:C1350)=0,"""",IF(ISBLANK(C1063),FALSE,IF(NOT(COUNTIF($AA$24:$AA$34,SUBSTITUTE(C1063,""Sell_"",""""))),1,IF(REGEXMATCH(C1063,""Sell_""),IF(COUNTIF(C$4:C1063,SUBSTITUTE(C1063,""Sell_"",""""))-COUNTIF(C$4:C1062,C1063)&lt;1,1),FALSE))))"),"")</f>
        <v/>
      </c>
      <c r="E1063" s="59" t="str">
        <f t="array" ref="E1063">IF(COUNTA(C1063:C1350)=0,"",SUM((COUNTIF(C$4:C1063,Upgrades!$B$3:$B$13)-COUNTIF(C$4:C1063,"Sell_"&amp;Upgrades!$B$3:$B$13))*Upgrades!$D$3:$D$13))</f>
        <v/>
      </c>
      <c r="F1063" s="66" t="str">
        <f>IFERROR(__xludf.DUMMYFUNCTION("IF(COUNTA(C1063:C1350)=0,"""",IF(REGEXMATCH(INDEX(FILTER(C$4:C1063,C$4:C1063&lt;&gt;""""),ROWS(FILTER(C$4:C1063,C$4:C1063&lt;&gt;""""))),""^Sell_""),INDEX(FILTER(F$4:F1062,C$4:C1062&lt;&gt;""""),ROWS(FILTER(C$4:C1062,C$4:C1062&lt;&gt;""""))),$AC$5+E1063))"),"")</f>
        <v/>
      </c>
      <c r="G1063" s="10" t="str">
        <f>IFERROR(__xludf.DUMMYFUNCTION("IF(COUNTA(C1063:C1350)=0,"""",IF(C1063="""",0,IF(REGEXMATCH(C1063,""^Sell_""),-ROUNDDOWN(ROUNDUP(INDEX(Upgrades!$C$3:$C$13,MATCH(SUBSTITUTE(C1063,""Sell_"",""""),Upgrades!$B$3:$B$13,0))*1.15^(COUNTIF(C$4:C1062,SUBSTITUTE(C1063,""Sell_"",""""))-COUNTIF(C$4"&amp;":C1062,""Sell_""&amp;SUBSTITUTE(C1063,""Sell_"",""""))))/2),ROUNDUP(INDEX(Upgrades!$C$3:$C$13,MATCH(C1063,Upgrades!$B$3:$B$13,0))*1.15^(COUNTIF(C$4:C1062,C1063)-COUNTIF(C$4:C1062,""Sell_""&amp;C1063))))))"),"")</f>
        <v/>
      </c>
      <c r="H1063" s="10" t="str">
        <f t="shared" si="3"/>
        <v/>
      </c>
      <c r="I1063" s="68" t="str">
        <f t="shared" si="4"/>
        <v/>
      </c>
      <c r="J1063" s="59" t="str">
        <f t="shared" si="5"/>
        <v/>
      </c>
      <c r="K1063" s="69" t="str">
        <f t="shared" si="6"/>
        <v/>
      </c>
      <c r="L1063" s="60" t="str">
        <f t="shared" si="7"/>
        <v/>
      </c>
      <c r="M1063" s="61" t="str">
        <f>IFERROR(__xludf.DUMMYFUNCTION("IFS(AND(COUNTA(C1063:C1350)=0,COUNTA(Q1063:Q1350)=0),"""",OR(AND(K1063&gt;=1000000000,OR(Y1063&gt;=1000000000,COUNTA(Q1063:Q1350)=0)),OR(Y1063&gt;=1000000000,AND(COUNTA(C1063:C1350)=0,P$3=TRUE))),
ROUNDDOWN((AB$1-AC$1)*MAX(INDEX(T$4:T1350,MATCH(LARGE(FILTER(Y$4:Y1"&amp;"350,Y$4:Y1350&lt;1000000000),1),Y$4:Y1350)),INDEX(F$4:F1350,MATCH(LARGE(FILTER(K$4:K1350,K$4:K1350&lt;1000000000),1),K$4:K1350)))),AND(K1063&lt;1000000000,COUNTA(C1063:C1350)&gt;0,P$3=FALSE),
ROUNDDOWN(INDEX(Y$4:Y1350,MATCH(LARGE(FILTER(W$4:W1350,W$4:W1350&lt;=I1063),1)"&amp;",W$4:W1350))+(I1063-LARGE(FILTER(W$4:W1350,W$4:W1350&lt;=I1063),1))*INDEX(T$4:T1350,MATCH(LARGE(FILTER(W$4:W1350,W$4:W1350&lt;=I1063),1),W$4:W1350))-K1063),1,
ROUNDDOWN(Y1063-INDEX(K$4:K1350,MATCH(LARGE(FILTER(I$4:I1350,I$4:I1350&lt;=W1063),1),I$4:I1350))-(W1063-L"&amp;"ARGE(FILTER(I$4:I1350,I$4:I1350&lt;=W1063),1))*INDEX(F$4:F1350,MATCH(LARGE(FILTER(I$4:I1350,I$4:I1350&lt;=W1063),1),I$4:I1350))))"),"")</f>
        <v/>
      </c>
      <c r="N1063" s="60" t="str">
        <f t="shared" si="8"/>
        <v/>
      </c>
      <c r="O1063" s="61" t="str">
        <f t="shared" si="9"/>
        <v/>
      </c>
      <c r="P1063" s="56" t="str">
        <f t="shared" si="10"/>
        <v/>
      </c>
      <c r="Q1063" s="62"/>
      <c r="R1063" s="10" t="str">
        <f>IFERROR(__xludf.DUMMYFUNCTION("IF(COUNTA(Q1063:Q1350)=0,"""",IF(ISBLANK(Q1063),FALSE,IF(NOT(COUNTIF($AA$24:$AA$34,SUBSTITUTE(Q1063,""Sell_"",""""))),1,IF(REGEXMATCH(Q1063,""Sell_""),IF(COUNTIF(Q$4:Q1063,SUBSTITUTE(Q1063,""Sell_"",""""))-COUNTIF(Q$4:Q1062,Q1063)&lt;1,1),FALSE))))"),"")</f>
        <v/>
      </c>
      <c r="S1063" s="59" t="str">
        <f t="array" ref="S1063">IF(COUNTA(Q1063:Q1350)=0,"",SUM((COUNTIF(Q$4:Q1063,Upgrades!$B$3:$B$13)-COUNTIF(Q$4:Q1063,"Sell_"&amp;Upgrades!$B$3:$B$13))*Upgrades!$D$3:$D$13))</f>
        <v/>
      </c>
      <c r="T1063" s="66" t="str">
        <f>IFERROR(__xludf.DUMMYFUNCTION("IF(COUNTA(Q1063:Q1350)=0,"""",IF(REGEXMATCH(INDEX(FILTER(Q$4:Q1063,Q$4:Q1063&lt;&gt;""""),ROWS(FILTER(Q$4:Q1063,Q$4:Q1063&lt;&gt;""""))),""^Sell_""),INDEX(FILTER(T$4:T1062,Q$4:Q1062&lt;&gt;""""),ROWS(FILTER(Q$4:Q1062,Q$4:Q1062&lt;&gt;""""))),$AD$5+S1063))"),"")</f>
        <v/>
      </c>
      <c r="U1063" s="10" t="str">
        <f>IFERROR(__xludf.DUMMYFUNCTION("IF(COUNTA(Q1063:Q1350)=0,"""",IF(Q1063="""",0,IF(REGEXMATCH(Q1063,""^Sell_""),-ROUNDDOWN(ROUNDUP(INDEX(Upgrades!$C$3:$C$13,MATCH(SUBSTITUTE(Q1063,""Sell_"",""""),Upgrades!$B$3:$B$13,0))*1.15^(COUNTIF(Q$4:Q1062,SUBSTITUTE(Q1063,""Sell_"",""""))-COUNTIF(Q$4"&amp;":Q1062,""Sell_""&amp;SUBSTITUTE(Q1063,""Sell_"",""""))))/2),ROUNDUP(INDEX(Upgrades!$C$3:$C$13,MATCH(Q1063,Upgrades!$B$3:$B$13,0))*1.15^(COUNTIF(Q$4:Q1062,Q1063)-COUNTIF(Q$4:Q1062,""Sell_""&amp;Q1063))))))"),"")</f>
        <v/>
      </c>
      <c r="V1063" s="10" t="str">
        <f t="shared" si="11"/>
        <v/>
      </c>
      <c r="W1063" s="68" t="str">
        <f t="shared" si="12"/>
        <v/>
      </c>
      <c r="X1063" s="59" t="str">
        <f t="shared" si="13"/>
        <v/>
      </c>
      <c r="Y1063" s="69" t="str">
        <f t="shared" si="14"/>
        <v/>
      </c>
      <c r="Z1063" s="11"/>
    </row>
    <row r="1064">
      <c r="A1064" s="8"/>
      <c r="B1064" s="56" t="str">
        <f t="shared" si="2"/>
        <v/>
      </c>
      <c r="C1064" s="57"/>
      <c r="D1064" s="10" t="str">
        <f>IFERROR(__xludf.DUMMYFUNCTION("IF(COUNTA(C1064:C1350)=0,"""",IF(ISBLANK(C1064),FALSE,IF(NOT(COUNTIF($AA$24:$AA$34,SUBSTITUTE(C1064,""Sell_"",""""))),1,IF(REGEXMATCH(C1064,""Sell_""),IF(COUNTIF(C$4:C1064,SUBSTITUTE(C1064,""Sell_"",""""))-COUNTIF(C$4:C1063,C1064)&lt;1,1),FALSE))))"),"")</f>
        <v/>
      </c>
      <c r="E1064" s="59" t="str">
        <f t="array" ref="E1064">IF(COUNTA(C1064:C1350)=0,"",SUM((COUNTIF(C$4:C1064,Upgrades!$B$3:$B$13)-COUNTIF(C$4:C1064,"Sell_"&amp;Upgrades!$B$3:$B$13))*Upgrades!$D$3:$D$13))</f>
        <v/>
      </c>
      <c r="F1064" s="66" t="str">
        <f>IFERROR(__xludf.DUMMYFUNCTION("IF(COUNTA(C1064:C1350)=0,"""",IF(REGEXMATCH(INDEX(FILTER(C$4:C1064,C$4:C1064&lt;&gt;""""),ROWS(FILTER(C$4:C1064,C$4:C1064&lt;&gt;""""))),""^Sell_""),INDEX(FILTER(F$4:F1063,C$4:C1063&lt;&gt;""""),ROWS(FILTER(C$4:C1063,C$4:C1063&lt;&gt;""""))),$AC$5+E1064))"),"")</f>
        <v/>
      </c>
      <c r="G1064" s="10" t="str">
        <f>IFERROR(__xludf.DUMMYFUNCTION("IF(COUNTA(C1064:C1350)=0,"""",IF(C1064="""",0,IF(REGEXMATCH(C1064,""^Sell_""),-ROUNDDOWN(ROUNDUP(INDEX(Upgrades!$C$3:$C$13,MATCH(SUBSTITUTE(C1064,""Sell_"",""""),Upgrades!$B$3:$B$13,0))*1.15^(COUNTIF(C$4:C1063,SUBSTITUTE(C1064,""Sell_"",""""))-COUNTIF(C$4"&amp;":C1063,""Sell_""&amp;SUBSTITUTE(C1064,""Sell_"",""""))))/2),ROUNDUP(INDEX(Upgrades!$C$3:$C$13,MATCH(C1064,Upgrades!$B$3:$B$13,0))*1.15^(COUNTIF(C$4:C1063,C1064)-COUNTIF(C$4:C1063,""Sell_""&amp;C1064))))))"),"")</f>
        <v/>
      </c>
      <c r="H1064" s="10" t="str">
        <f t="shared" si="3"/>
        <v/>
      </c>
      <c r="I1064" s="68" t="str">
        <f t="shared" si="4"/>
        <v/>
      </c>
      <c r="J1064" s="59" t="str">
        <f t="shared" si="5"/>
        <v/>
      </c>
      <c r="K1064" s="69" t="str">
        <f t="shared" si="6"/>
        <v/>
      </c>
      <c r="L1064" s="60" t="str">
        <f t="shared" si="7"/>
        <v/>
      </c>
      <c r="M1064" s="61" t="str">
        <f>IFERROR(__xludf.DUMMYFUNCTION("IFS(AND(COUNTA(C1064:C1350)=0,COUNTA(Q1064:Q1350)=0),"""",OR(AND(K1064&gt;=1000000000,OR(Y1064&gt;=1000000000,COUNTA(Q1064:Q1350)=0)),OR(Y1064&gt;=1000000000,AND(COUNTA(C1064:C1350)=0,P$3=TRUE))),
ROUNDDOWN((AB$1-AC$1)*MAX(INDEX(T$4:T1350,MATCH(LARGE(FILTER(Y$4:Y1"&amp;"350,Y$4:Y1350&lt;1000000000),1),Y$4:Y1350)),INDEX(F$4:F1350,MATCH(LARGE(FILTER(K$4:K1350,K$4:K1350&lt;1000000000),1),K$4:K1350)))),AND(K1064&lt;1000000000,COUNTA(C1064:C1350)&gt;0,P$3=FALSE),
ROUNDDOWN(INDEX(Y$4:Y1350,MATCH(LARGE(FILTER(W$4:W1350,W$4:W1350&lt;=I1064),1)"&amp;",W$4:W1350))+(I1064-LARGE(FILTER(W$4:W1350,W$4:W1350&lt;=I1064),1))*INDEX(T$4:T1350,MATCH(LARGE(FILTER(W$4:W1350,W$4:W1350&lt;=I1064),1),W$4:W1350))-K1064),1,
ROUNDDOWN(Y1064-INDEX(K$4:K1350,MATCH(LARGE(FILTER(I$4:I1350,I$4:I1350&lt;=W1064),1),I$4:I1350))-(W1064-L"&amp;"ARGE(FILTER(I$4:I1350,I$4:I1350&lt;=W1064),1))*INDEX(F$4:F1350,MATCH(LARGE(FILTER(I$4:I1350,I$4:I1350&lt;=W1064),1),I$4:I1350))))"),"")</f>
        <v/>
      </c>
      <c r="N1064" s="60" t="str">
        <f t="shared" si="8"/>
        <v/>
      </c>
      <c r="O1064" s="61" t="str">
        <f t="shared" si="9"/>
        <v/>
      </c>
      <c r="P1064" s="56" t="str">
        <f t="shared" si="10"/>
        <v/>
      </c>
      <c r="Q1064" s="62"/>
      <c r="R1064" s="10" t="str">
        <f>IFERROR(__xludf.DUMMYFUNCTION("IF(COUNTA(Q1064:Q1350)=0,"""",IF(ISBLANK(Q1064),FALSE,IF(NOT(COUNTIF($AA$24:$AA$34,SUBSTITUTE(Q1064,""Sell_"",""""))),1,IF(REGEXMATCH(Q1064,""Sell_""),IF(COUNTIF(Q$4:Q1064,SUBSTITUTE(Q1064,""Sell_"",""""))-COUNTIF(Q$4:Q1063,Q1064)&lt;1,1),FALSE))))"),"")</f>
        <v/>
      </c>
      <c r="S1064" s="59" t="str">
        <f t="array" ref="S1064">IF(COUNTA(Q1064:Q1350)=0,"",SUM((COUNTIF(Q$4:Q1064,Upgrades!$B$3:$B$13)-COUNTIF(Q$4:Q1064,"Sell_"&amp;Upgrades!$B$3:$B$13))*Upgrades!$D$3:$D$13))</f>
        <v/>
      </c>
      <c r="T1064" s="66" t="str">
        <f>IFERROR(__xludf.DUMMYFUNCTION("IF(COUNTA(Q1064:Q1350)=0,"""",IF(REGEXMATCH(INDEX(FILTER(Q$4:Q1064,Q$4:Q1064&lt;&gt;""""),ROWS(FILTER(Q$4:Q1064,Q$4:Q1064&lt;&gt;""""))),""^Sell_""),INDEX(FILTER(T$4:T1063,Q$4:Q1063&lt;&gt;""""),ROWS(FILTER(Q$4:Q1063,Q$4:Q1063&lt;&gt;""""))),$AD$5+S1064))"),"")</f>
        <v/>
      </c>
      <c r="U1064" s="10" t="str">
        <f>IFERROR(__xludf.DUMMYFUNCTION("IF(COUNTA(Q1064:Q1350)=0,"""",IF(Q1064="""",0,IF(REGEXMATCH(Q1064,""^Sell_""),-ROUNDDOWN(ROUNDUP(INDEX(Upgrades!$C$3:$C$13,MATCH(SUBSTITUTE(Q1064,""Sell_"",""""),Upgrades!$B$3:$B$13,0))*1.15^(COUNTIF(Q$4:Q1063,SUBSTITUTE(Q1064,""Sell_"",""""))-COUNTIF(Q$4"&amp;":Q1063,""Sell_""&amp;SUBSTITUTE(Q1064,""Sell_"",""""))))/2),ROUNDUP(INDEX(Upgrades!$C$3:$C$13,MATCH(Q1064,Upgrades!$B$3:$B$13,0))*1.15^(COUNTIF(Q$4:Q1063,Q1064)-COUNTIF(Q$4:Q1063,""Sell_""&amp;Q1064))))))"),"")</f>
        <v/>
      </c>
      <c r="V1064" s="10" t="str">
        <f t="shared" si="11"/>
        <v/>
      </c>
      <c r="W1064" s="68" t="str">
        <f t="shared" si="12"/>
        <v/>
      </c>
      <c r="X1064" s="59" t="str">
        <f t="shared" si="13"/>
        <v/>
      </c>
      <c r="Y1064" s="69" t="str">
        <f t="shared" si="14"/>
        <v/>
      </c>
      <c r="Z1064" s="11"/>
    </row>
    <row r="1065">
      <c r="A1065" s="8"/>
      <c r="B1065" s="56" t="str">
        <f t="shared" si="2"/>
        <v/>
      </c>
      <c r="C1065" s="57"/>
      <c r="D1065" s="10" t="str">
        <f>IFERROR(__xludf.DUMMYFUNCTION("IF(COUNTA(C1065:C1350)=0,"""",IF(ISBLANK(C1065),FALSE,IF(NOT(COUNTIF($AA$24:$AA$34,SUBSTITUTE(C1065,""Sell_"",""""))),1,IF(REGEXMATCH(C1065,""Sell_""),IF(COUNTIF(C$4:C1065,SUBSTITUTE(C1065,""Sell_"",""""))-COUNTIF(C$4:C1064,C1065)&lt;1,1),FALSE))))"),"")</f>
        <v/>
      </c>
      <c r="E1065" s="59" t="str">
        <f t="array" ref="E1065">IF(COUNTA(C1065:C1350)=0,"",SUM((COUNTIF(C$4:C1065,Upgrades!$B$3:$B$13)-COUNTIF(C$4:C1065,"Sell_"&amp;Upgrades!$B$3:$B$13))*Upgrades!$D$3:$D$13))</f>
        <v/>
      </c>
      <c r="F1065" s="66" t="str">
        <f>IFERROR(__xludf.DUMMYFUNCTION("IF(COUNTA(C1065:C1350)=0,"""",IF(REGEXMATCH(INDEX(FILTER(C$4:C1065,C$4:C1065&lt;&gt;""""),ROWS(FILTER(C$4:C1065,C$4:C1065&lt;&gt;""""))),""^Sell_""),INDEX(FILTER(F$4:F1064,C$4:C1064&lt;&gt;""""),ROWS(FILTER(C$4:C1064,C$4:C1064&lt;&gt;""""))),$AC$5+E1065))"),"")</f>
        <v/>
      </c>
      <c r="G1065" s="10" t="str">
        <f>IFERROR(__xludf.DUMMYFUNCTION("IF(COUNTA(C1065:C1350)=0,"""",IF(C1065="""",0,IF(REGEXMATCH(C1065,""^Sell_""),-ROUNDDOWN(ROUNDUP(INDEX(Upgrades!$C$3:$C$13,MATCH(SUBSTITUTE(C1065,""Sell_"",""""),Upgrades!$B$3:$B$13,0))*1.15^(COUNTIF(C$4:C1064,SUBSTITUTE(C1065,""Sell_"",""""))-COUNTIF(C$4"&amp;":C1064,""Sell_""&amp;SUBSTITUTE(C1065,""Sell_"",""""))))/2),ROUNDUP(INDEX(Upgrades!$C$3:$C$13,MATCH(C1065,Upgrades!$B$3:$B$13,0))*1.15^(COUNTIF(C$4:C1064,C1065)-COUNTIF(C$4:C1064,""Sell_""&amp;C1065))))))"),"")</f>
        <v/>
      </c>
      <c r="H1065" s="10" t="str">
        <f t="shared" si="3"/>
        <v/>
      </c>
      <c r="I1065" s="68" t="str">
        <f t="shared" si="4"/>
        <v/>
      </c>
      <c r="J1065" s="59" t="str">
        <f t="shared" si="5"/>
        <v/>
      </c>
      <c r="K1065" s="69" t="str">
        <f t="shared" si="6"/>
        <v/>
      </c>
      <c r="L1065" s="60" t="str">
        <f t="shared" si="7"/>
        <v/>
      </c>
      <c r="M1065" s="61" t="str">
        <f>IFERROR(__xludf.DUMMYFUNCTION("IFS(AND(COUNTA(C1065:C1350)=0,COUNTA(Q1065:Q1350)=0),"""",OR(AND(K1065&gt;=1000000000,OR(Y1065&gt;=1000000000,COUNTA(Q1065:Q1350)=0)),OR(Y1065&gt;=1000000000,AND(COUNTA(C1065:C1350)=0,P$3=TRUE))),
ROUNDDOWN((AB$1-AC$1)*MAX(INDEX(T$4:T1350,MATCH(LARGE(FILTER(Y$4:Y1"&amp;"350,Y$4:Y1350&lt;1000000000),1),Y$4:Y1350)),INDEX(F$4:F1350,MATCH(LARGE(FILTER(K$4:K1350,K$4:K1350&lt;1000000000),1),K$4:K1350)))),AND(K1065&lt;1000000000,COUNTA(C1065:C1350)&gt;0,P$3=FALSE),
ROUNDDOWN(INDEX(Y$4:Y1350,MATCH(LARGE(FILTER(W$4:W1350,W$4:W1350&lt;=I1065),1)"&amp;",W$4:W1350))+(I1065-LARGE(FILTER(W$4:W1350,W$4:W1350&lt;=I1065),1))*INDEX(T$4:T1350,MATCH(LARGE(FILTER(W$4:W1350,W$4:W1350&lt;=I1065),1),W$4:W1350))-K1065),1,
ROUNDDOWN(Y1065-INDEX(K$4:K1350,MATCH(LARGE(FILTER(I$4:I1350,I$4:I1350&lt;=W1065),1),I$4:I1350))-(W1065-L"&amp;"ARGE(FILTER(I$4:I1350,I$4:I1350&lt;=W1065),1))*INDEX(F$4:F1350,MATCH(LARGE(FILTER(I$4:I1350,I$4:I1350&lt;=W1065),1),I$4:I1350))))"),"")</f>
        <v/>
      </c>
      <c r="N1065" s="60" t="str">
        <f t="shared" si="8"/>
        <v/>
      </c>
      <c r="O1065" s="61" t="str">
        <f t="shared" si="9"/>
        <v/>
      </c>
      <c r="P1065" s="56" t="str">
        <f t="shared" si="10"/>
        <v/>
      </c>
      <c r="Q1065" s="62"/>
      <c r="R1065" s="10" t="str">
        <f>IFERROR(__xludf.DUMMYFUNCTION("IF(COUNTA(Q1065:Q1350)=0,"""",IF(ISBLANK(Q1065),FALSE,IF(NOT(COUNTIF($AA$24:$AA$34,SUBSTITUTE(Q1065,""Sell_"",""""))),1,IF(REGEXMATCH(Q1065,""Sell_""),IF(COUNTIF(Q$4:Q1065,SUBSTITUTE(Q1065,""Sell_"",""""))-COUNTIF(Q$4:Q1064,Q1065)&lt;1,1),FALSE))))"),"")</f>
        <v/>
      </c>
      <c r="S1065" s="59" t="str">
        <f t="array" ref="S1065">IF(COUNTA(Q1065:Q1350)=0,"",SUM((COUNTIF(Q$4:Q1065,Upgrades!$B$3:$B$13)-COUNTIF(Q$4:Q1065,"Sell_"&amp;Upgrades!$B$3:$B$13))*Upgrades!$D$3:$D$13))</f>
        <v/>
      </c>
      <c r="T1065" s="66" t="str">
        <f>IFERROR(__xludf.DUMMYFUNCTION("IF(COUNTA(Q1065:Q1350)=0,"""",IF(REGEXMATCH(INDEX(FILTER(Q$4:Q1065,Q$4:Q1065&lt;&gt;""""),ROWS(FILTER(Q$4:Q1065,Q$4:Q1065&lt;&gt;""""))),""^Sell_""),INDEX(FILTER(T$4:T1064,Q$4:Q1064&lt;&gt;""""),ROWS(FILTER(Q$4:Q1064,Q$4:Q1064&lt;&gt;""""))),$AD$5+S1065))"),"")</f>
        <v/>
      </c>
      <c r="U1065" s="10" t="str">
        <f>IFERROR(__xludf.DUMMYFUNCTION("IF(COUNTA(Q1065:Q1350)=0,"""",IF(Q1065="""",0,IF(REGEXMATCH(Q1065,""^Sell_""),-ROUNDDOWN(ROUNDUP(INDEX(Upgrades!$C$3:$C$13,MATCH(SUBSTITUTE(Q1065,""Sell_"",""""),Upgrades!$B$3:$B$13,0))*1.15^(COUNTIF(Q$4:Q1064,SUBSTITUTE(Q1065,""Sell_"",""""))-COUNTIF(Q$4"&amp;":Q1064,""Sell_""&amp;SUBSTITUTE(Q1065,""Sell_"",""""))))/2),ROUNDUP(INDEX(Upgrades!$C$3:$C$13,MATCH(Q1065,Upgrades!$B$3:$B$13,0))*1.15^(COUNTIF(Q$4:Q1064,Q1065)-COUNTIF(Q$4:Q1064,""Sell_""&amp;Q1065))))))"),"")</f>
        <v/>
      </c>
      <c r="V1065" s="10" t="str">
        <f t="shared" si="11"/>
        <v/>
      </c>
      <c r="W1065" s="68" t="str">
        <f t="shared" si="12"/>
        <v/>
      </c>
      <c r="X1065" s="59" t="str">
        <f t="shared" si="13"/>
        <v/>
      </c>
      <c r="Y1065" s="69" t="str">
        <f t="shared" si="14"/>
        <v/>
      </c>
      <c r="Z1065" s="11"/>
    </row>
    <row r="1066">
      <c r="A1066" s="8"/>
      <c r="B1066" s="56" t="str">
        <f t="shared" si="2"/>
        <v/>
      </c>
      <c r="C1066" s="57"/>
      <c r="D1066" s="10" t="str">
        <f>IFERROR(__xludf.DUMMYFUNCTION("IF(COUNTA(C1066:C1350)=0,"""",IF(ISBLANK(C1066),FALSE,IF(NOT(COUNTIF($AA$24:$AA$34,SUBSTITUTE(C1066,""Sell_"",""""))),1,IF(REGEXMATCH(C1066,""Sell_""),IF(COUNTIF(C$4:C1066,SUBSTITUTE(C1066,""Sell_"",""""))-COUNTIF(C$4:C1065,C1066)&lt;1,1),FALSE))))"),"")</f>
        <v/>
      </c>
      <c r="E1066" s="59" t="str">
        <f t="array" ref="E1066">IF(COUNTA(C1066:C1350)=0,"",SUM((COUNTIF(C$4:C1066,Upgrades!$B$3:$B$13)-COUNTIF(C$4:C1066,"Sell_"&amp;Upgrades!$B$3:$B$13))*Upgrades!$D$3:$D$13))</f>
        <v/>
      </c>
      <c r="F1066" s="66" t="str">
        <f>IFERROR(__xludf.DUMMYFUNCTION("IF(COUNTA(C1066:C1350)=0,"""",IF(REGEXMATCH(INDEX(FILTER(C$4:C1066,C$4:C1066&lt;&gt;""""),ROWS(FILTER(C$4:C1066,C$4:C1066&lt;&gt;""""))),""^Sell_""),INDEX(FILTER(F$4:F1065,C$4:C1065&lt;&gt;""""),ROWS(FILTER(C$4:C1065,C$4:C1065&lt;&gt;""""))),$AC$5+E1066))"),"")</f>
        <v/>
      </c>
      <c r="G1066" s="10" t="str">
        <f>IFERROR(__xludf.DUMMYFUNCTION("IF(COUNTA(C1066:C1350)=0,"""",IF(C1066="""",0,IF(REGEXMATCH(C1066,""^Sell_""),-ROUNDDOWN(ROUNDUP(INDEX(Upgrades!$C$3:$C$13,MATCH(SUBSTITUTE(C1066,""Sell_"",""""),Upgrades!$B$3:$B$13,0))*1.15^(COUNTIF(C$4:C1065,SUBSTITUTE(C1066,""Sell_"",""""))-COUNTIF(C$4"&amp;":C1065,""Sell_""&amp;SUBSTITUTE(C1066,""Sell_"",""""))))/2),ROUNDUP(INDEX(Upgrades!$C$3:$C$13,MATCH(C1066,Upgrades!$B$3:$B$13,0))*1.15^(COUNTIF(C$4:C1065,C1066)-COUNTIF(C$4:C1065,""Sell_""&amp;C1066))))))"),"")</f>
        <v/>
      </c>
      <c r="H1066" s="10" t="str">
        <f t="shared" si="3"/>
        <v/>
      </c>
      <c r="I1066" s="68" t="str">
        <f t="shared" si="4"/>
        <v/>
      </c>
      <c r="J1066" s="59" t="str">
        <f t="shared" si="5"/>
        <v/>
      </c>
      <c r="K1066" s="69" t="str">
        <f t="shared" si="6"/>
        <v/>
      </c>
      <c r="L1066" s="60" t="str">
        <f t="shared" si="7"/>
        <v/>
      </c>
      <c r="M1066" s="61" t="str">
        <f>IFERROR(__xludf.DUMMYFUNCTION("IFS(AND(COUNTA(C1066:C1350)=0,COUNTA(Q1066:Q1350)=0),"""",OR(AND(K1066&gt;=1000000000,OR(Y1066&gt;=1000000000,COUNTA(Q1066:Q1350)=0)),OR(Y1066&gt;=1000000000,AND(COUNTA(C1066:C1350)=0,P$3=TRUE))),
ROUNDDOWN((AB$1-AC$1)*MAX(INDEX(T$4:T1350,MATCH(LARGE(FILTER(Y$4:Y1"&amp;"350,Y$4:Y1350&lt;1000000000),1),Y$4:Y1350)),INDEX(F$4:F1350,MATCH(LARGE(FILTER(K$4:K1350,K$4:K1350&lt;1000000000),1),K$4:K1350)))),AND(K1066&lt;1000000000,COUNTA(C1066:C1350)&gt;0,P$3=FALSE),
ROUNDDOWN(INDEX(Y$4:Y1350,MATCH(LARGE(FILTER(W$4:W1350,W$4:W1350&lt;=I1066),1)"&amp;",W$4:W1350))+(I1066-LARGE(FILTER(W$4:W1350,W$4:W1350&lt;=I1066),1))*INDEX(T$4:T1350,MATCH(LARGE(FILTER(W$4:W1350,W$4:W1350&lt;=I1066),1),W$4:W1350))-K1066),1,
ROUNDDOWN(Y1066-INDEX(K$4:K1350,MATCH(LARGE(FILTER(I$4:I1350,I$4:I1350&lt;=W1066),1),I$4:I1350))-(W1066-L"&amp;"ARGE(FILTER(I$4:I1350,I$4:I1350&lt;=W1066),1))*INDEX(F$4:F1350,MATCH(LARGE(FILTER(I$4:I1350,I$4:I1350&lt;=W1066),1),I$4:I1350))))"),"")</f>
        <v/>
      </c>
      <c r="N1066" s="60" t="str">
        <f t="shared" si="8"/>
        <v/>
      </c>
      <c r="O1066" s="61" t="str">
        <f t="shared" si="9"/>
        <v/>
      </c>
      <c r="P1066" s="56" t="str">
        <f t="shared" si="10"/>
        <v/>
      </c>
      <c r="Q1066" s="62"/>
      <c r="R1066" s="10" t="str">
        <f>IFERROR(__xludf.DUMMYFUNCTION("IF(COUNTA(Q1066:Q1350)=0,"""",IF(ISBLANK(Q1066),FALSE,IF(NOT(COUNTIF($AA$24:$AA$34,SUBSTITUTE(Q1066,""Sell_"",""""))),1,IF(REGEXMATCH(Q1066,""Sell_""),IF(COUNTIF(Q$4:Q1066,SUBSTITUTE(Q1066,""Sell_"",""""))-COUNTIF(Q$4:Q1065,Q1066)&lt;1,1),FALSE))))"),"")</f>
        <v/>
      </c>
      <c r="S1066" s="59" t="str">
        <f t="array" ref="S1066">IF(COUNTA(Q1066:Q1350)=0,"",SUM((COUNTIF(Q$4:Q1066,Upgrades!$B$3:$B$13)-COUNTIF(Q$4:Q1066,"Sell_"&amp;Upgrades!$B$3:$B$13))*Upgrades!$D$3:$D$13))</f>
        <v/>
      </c>
      <c r="T1066" s="66" t="str">
        <f>IFERROR(__xludf.DUMMYFUNCTION("IF(COUNTA(Q1066:Q1350)=0,"""",IF(REGEXMATCH(INDEX(FILTER(Q$4:Q1066,Q$4:Q1066&lt;&gt;""""),ROWS(FILTER(Q$4:Q1066,Q$4:Q1066&lt;&gt;""""))),""^Sell_""),INDEX(FILTER(T$4:T1065,Q$4:Q1065&lt;&gt;""""),ROWS(FILTER(Q$4:Q1065,Q$4:Q1065&lt;&gt;""""))),$AD$5+S1066))"),"")</f>
        <v/>
      </c>
      <c r="U1066" s="10" t="str">
        <f>IFERROR(__xludf.DUMMYFUNCTION("IF(COUNTA(Q1066:Q1350)=0,"""",IF(Q1066="""",0,IF(REGEXMATCH(Q1066,""^Sell_""),-ROUNDDOWN(ROUNDUP(INDEX(Upgrades!$C$3:$C$13,MATCH(SUBSTITUTE(Q1066,""Sell_"",""""),Upgrades!$B$3:$B$13,0))*1.15^(COUNTIF(Q$4:Q1065,SUBSTITUTE(Q1066,""Sell_"",""""))-COUNTIF(Q$4"&amp;":Q1065,""Sell_""&amp;SUBSTITUTE(Q1066,""Sell_"",""""))))/2),ROUNDUP(INDEX(Upgrades!$C$3:$C$13,MATCH(Q1066,Upgrades!$B$3:$B$13,0))*1.15^(COUNTIF(Q$4:Q1065,Q1066)-COUNTIF(Q$4:Q1065,""Sell_""&amp;Q1066))))))"),"")</f>
        <v/>
      </c>
      <c r="V1066" s="10" t="str">
        <f t="shared" si="11"/>
        <v/>
      </c>
      <c r="W1066" s="68" t="str">
        <f t="shared" si="12"/>
        <v/>
      </c>
      <c r="X1066" s="59" t="str">
        <f t="shared" si="13"/>
        <v/>
      </c>
      <c r="Y1066" s="69" t="str">
        <f t="shared" si="14"/>
        <v/>
      </c>
      <c r="Z1066" s="11"/>
    </row>
    <row r="1067">
      <c r="A1067" s="8"/>
      <c r="B1067" s="56" t="str">
        <f t="shared" si="2"/>
        <v/>
      </c>
      <c r="C1067" s="57"/>
      <c r="D1067" s="10" t="str">
        <f>IFERROR(__xludf.DUMMYFUNCTION("IF(COUNTA(C1067:C1350)=0,"""",IF(ISBLANK(C1067),FALSE,IF(NOT(COUNTIF($AA$24:$AA$34,SUBSTITUTE(C1067,""Sell_"",""""))),1,IF(REGEXMATCH(C1067,""Sell_""),IF(COUNTIF(C$4:C1067,SUBSTITUTE(C1067,""Sell_"",""""))-COUNTIF(C$4:C1066,C1067)&lt;1,1),FALSE))))"),"")</f>
        <v/>
      </c>
      <c r="E1067" s="59" t="str">
        <f t="array" ref="E1067">IF(COUNTA(C1067:C1350)=0,"",SUM((COUNTIF(C$4:C1067,Upgrades!$B$3:$B$13)-COUNTIF(C$4:C1067,"Sell_"&amp;Upgrades!$B$3:$B$13))*Upgrades!$D$3:$D$13))</f>
        <v/>
      </c>
      <c r="F1067" s="66" t="str">
        <f>IFERROR(__xludf.DUMMYFUNCTION("IF(COUNTA(C1067:C1350)=0,"""",IF(REGEXMATCH(INDEX(FILTER(C$4:C1067,C$4:C1067&lt;&gt;""""),ROWS(FILTER(C$4:C1067,C$4:C1067&lt;&gt;""""))),""^Sell_""),INDEX(FILTER(F$4:F1066,C$4:C1066&lt;&gt;""""),ROWS(FILTER(C$4:C1066,C$4:C1066&lt;&gt;""""))),$AC$5+E1067))"),"")</f>
        <v/>
      </c>
      <c r="G1067" s="10" t="str">
        <f>IFERROR(__xludf.DUMMYFUNCTION("IF(COUNTA(C1067:C1350)=0,"""",IF(C1067="""",0,IF(REGEXMATCH(C1067,""^Sell_""),-ROUNDDOWN(ROUNDUP(INDEX(Upgrades!$C$3:$C$13,MATCH(SUBSTITUTE(C1067,""Sell_"",""""),Upgrades!$B$3:$B$13,0))*1.15^(COUNTIF(C$4:C1066,SUBSTITUTE(C1067,""Sell_"",""""))-COUNTIF(C$4"&amp;":C1066,""Sell_""&amp;SUBSTITUTE(C1067,""Sell_"",""""))))/2),ROUNDUP(INDEX(Upgrades!$C$3:$C$13,MATCH(C1067,Upgrades!$B$3:$B$13,0))*1.15^(COUNTIF(C$4:C1066,C1067)-COUNTIF(C$4:C1066,""Sell_""&amp;C1067))))))"),"")</f>
        <v/>
      </c>
      <c r="H1067" s="10" t="str">
        <f t="shared" si="3"/>
        <v/>
      </c>
      <c r="I1067" s="68" t="str">
        <f t="shared" si="4"/>
        <v/>
      </c>
      <c r="J1067" s="59" t="str">
        <f t="shared" si="5"/>
        <v/>
      </c>
      <c r="K1067" s="69" t="str">
        <f t="shared" si="6"/>
        <v/>
      </c>
      <c r="L1067" s="60" t="str">
        <f t="shared" si="7"/>
        <v/>
      </c>
      <c r="M1067" s="61" t="str">
        <f>IFERROR(__xludf.DUMMYFUNCTION("IFS(AND(COUNTA(C1067:C1350)=0,COUNTA(Q1067:Q1350)=0),"""",OR(AND(K1067&gt;=1000000000,OR(Y1067&gt;=1000000000,COUNTA(Q1067:Q1350)=0)),OR(Y1067&gt;=1000000000,AND(COUNTA(C1067:C1350)=0,P$3=TRUE))),
ROUNDDOWN((AB$1-AC$1)*MAX(INDEX(T$4:T1350,MATCH(LARGE(FILTER(Y$4:Y1"&amp;"350,Y$4:Y1350&lt;1000000000),1),Y$4:Y1350)),INDEX(F$4:F1350,MATCH(LARGE(FILTER(K$4:K1350,K$4:K1350&lt;1000000000),1),K$4:K1350)))),AND(K1067&lt;1000000000,COUNTA(C1067:C1350)&gt;0,P$3=FALSE),
ROUNDDOWN(INDEX(Y$4:Y1350,MATCH(LARGE(FILTER(W$4:W1350,W$4:W1350&lt;=I1067),1)"&amp;",W$4:W1350))+(I1067-LARGE(FILTER(W$4:W1350,W$4:W1350&lt;=I1067),1))*INDEX(T$4:T1350,MATCH(LARGE(FILTER(W$4:W1350,W$4:W1350&lt;=I1067),1),W$4:W1350))-K1067),1,
ROUNDDOWN(Y1067-INDEX(K$4:K1350,MATCH(LARGE(FILTER(I$4:I1350,I$4:I1350&lt;=W1067),1),I$4:I1350))-(W1067-L"&amp;"ARGE(FILTER(I$4:I1350,I$4:I1350&lt;=W1067),1))*INDEX(F$4:F1350,MATCH(LARGE(FILTER(I$4:I1350,I$4:I1350&lt;=W1067),1),I$4:I1350))))"),"")</f>
        <v/>
      </c>
      <c r="N1067" s="60" t="str">
        <f t="shared" si="8"/>
        <v/>
      </c>
      <c r="O1067" s="61" t="str">
        <f t="shared" si="9"/>
        <v/>
      </c>
      <c r="P1067" s="56" t="str">
        <f t="shared" si="10"/>
        <v/>
      </c>
      <c r="Q1067" s="62"/>
      <c r="R1067" s="10" t="str">
        <f>IFERROR(__xludf.DUMMYFUNCTION("IF(COUNTA(Q1067:Q1350)=0,"""",IF(ISBLANK(Q1067),FALSE,IF(NOT(COUNTIF($AA$24:$AA$34,SUBSTITUTE(Q1067,""Sell_"",""""))),1,IF(REGEXMATCH(Q1067,""Sell_""),IF(COUNTIF(Q$4:Q1067,SUBSTITUTE(Q1067,""Sell_"",""""))-COUNTIF(Q$4:Q1066,Q1067)&lt;1,1),FALSE))))"),"")</f>
        <v/>
      </c>
      <c r="S1067" s="59" t="str">
        <f t="array" ref="S1067">IF(COUNTA(Q1067:Q1350)=0,"",SUM((COUNTIF(Q$4:Q1067,Upgrades!$B$3:$B$13)-COUNTIF(Q$4:Q1067,"Sell_"&amp;Upgrades!$B$3:$B$13))*Upgrades!$D$3:$D$13))</f>
        <v/>
      </c>
      <c r="T1067" s="66" t="str">
        <f>IFERROR(__xludf.DUMMYFUNCTION("IF(COUNTA(Q1067:Q1350)=0,"""",IF(REGEXMATCH(INDEX(FILTER(Q$4:Q1067,Q$4:Q1067&lt;&gt;""""),ROWS(FILTER(Q$4:Q1067,Q$4:Q1067&lt;&gt;""""))),""^Sell_""),INDEX(FILTER(T$4:T1066,Q$4:Q1066&lt;&gt;""""),ROWS(FILTER(Q$4:Q1066,Q$4:Q1066&lt;&gt;""""))),$AD$5+S1067))"),"")</f>
        <v/>
      </c>
      <c r="U1067" s="10" t="str">
        <f>IFERROR(__xludf.DUMMYFUNCTION("IF(COUNTA(Q1067:Q1350)=0,"""",IF(Q1067="""",0,IF(REGEXMATCH(Q1067,""^Sell_""),-ROUNDDOWN(ROUNDUP(INDEX(Upgrades!$C$3:$C$13,MATCH(SUBSTITUTE(Q1067,""Sell_"",""""),Upgrades!$B$3:$B$13,0))*1.15^(COUNTIF(Q$4:Q1066,SUBSTITUTE(Q1067,""Sell_"",""""))-COUNTIF(Q$4"&amp;":Q1066,""Sell_""&amp;SUBSTITUTE(Q1067,""Sell_"",""""))))/2),ROUNDUP(INDEX(Upgrades!$C$3:$C$13,MATCH(Q1067,Upgrades!$B$3:$B$13,0))*1.15^(COUNTIF(Q$4:Q1066,Q1067)-COUNTIF(Q$4:Q1066,""Sell_""&amp;Q1067))))))"),"")</f>
        <v/>
      </c>
      <c r="V1067" s="10" t="str">
        <f t="shared" si="11"/>
        <v/>
      </c>
      <c r="W1067" s="68" t="str">
        <f t="shared" si="12"/>
        <v/>
      </c>
      <c r="X1067" s="59" t="str">
        <f t="shared" si="13"/>
        <v/>
      </c>
      <c r="Y1067" s="69" t="str">
        <f t="shared" si="14"/>
        <v/>
      </c>
      <c r="Z1067" s="11"/>
    </row>
    <row r="1068">
      <c r="A1068" s="8"/>
      <c r="B1068" s="56" t="str">
        <f t="shared" si="2"/>
        <v/>
      </c>
      <c r="C1068" s="57"/>
      <c r="D1068" s="10" t="str">
        <f>IFERROR(__xludf.DUMMYFUNCTION("IF(COUNTA(C1068:C1350)=0,"""",IF(ISBLANK(C1068),FALSE,IF(NOT(COUNTIF($AA$24:$AA$34,SUBSTITUTE(C1068,""Sell_"",""""))),1,IF(REGEXMATCH(C1068,""Sell_""),IF(COUNTIF(C$4:C1068,SUBSTITUTE(C1068,""Sell_"",""""))-COUNTIF(C$4:C1067,C1068)&lt;1,1),FALSE))))"),"")</f>
        <v/>
      </c>
      <c r="E1068" s="59" t="str">
        <f t="array" ref="E1068">IF(COUNTA(C1068:C1350)=0,"",SUM((COUNTIF(C$4:C1068,Upgrades!$B$3:$B$13)-COUNTIF(C$4:C1068,"Sell_"&amp;Upgrades!$B$3:$B$13))*Upgrades!$D$3:$D$13))</f>
        <v/>
      </c>
      <c r="F1068" s="66" t="str">
        <f>IFERROR(__xludf.DUMMYFUNCTION("IF(COUNTA(C1068:C1350)=0,"""",IF(REGEXMATCH(INDEX(FILTER(C$4:C1068,C$4:C1068&lt;&gt;""""),ROWS(FILTER(C$4:C1068,C$4:C1068&lt;&gt;""""))),""^Sell_""),INDEX(FILTER(F$4:F1067,C$4:C1067&lt;&gt;""""),ROWS(FILTER(C$4:C1067,C$4:C1067&lt;&gt;""""))),$AC$5+E1068))"),"")</f>
        <v/>
      </c>
      <c r="G1068" s="10" t="str">
        <f>IFERROR(__xludf.DUMMYFUNCTION("IF(COUNTA(C1068:C1350)=0,"""",IF(C1068="""",0,IF(REGEXMATCH(C1068,""^Sell_""),-ROUNDDOWN(ROUNDUP(INDEX(Upgrades!$C$3:$C$13,MATCH(SUBSTITUTE(C1068,""Sell_"",""""),Upgrades!$B$3:$B$13,0))*1.15^(COUNTIF(C$4:C1067,SUBSTITUTE(C1068,""Sell_"",""""))-COUNTIF(C$4"&amp;":C1067,""Sell_""&amp;SUBSTITUTE(C1068,""Sell_"",""""))))/2),ROUNDUP(INDEX(Upgrades!$C$3:$C$13,MATCH(C1068,Upgrades!$B$3:$B$13,0))*1.15^(COUNTIF(C$4:C1067,C1068)-COUNTIF(C$4:C1067,""Sell_""&amp;C1068))))))"),"")</f>
        <v/>
      </c>
      <c r="H1068" s="10" t="str">
        <f t="shared" si="3"/>
        <v/>
      </c>
      <c r="I1068" s="68" t="str">
        <f t="shared" si="4"/>
        <v/>
      </c>
      <c r="J1068" s="59" t="str">
        <f t="shared" si="5"/>
        <v/>
      </c>
      <c r="K1068" s="69" t="str">
        <f t="shared" si="6"/>
        <v/>
      </c>
      <c r="L1068" s="60" t="str">
        <f t="shared" si="7"/>
        <v/>
      </c>
      <c r="M1068" s="61" t="str">
        <f>IFERROR(__xludf.DUMMYFUNCTION("IFS(AND(COUNTA(C1068:C1350)=0,COUNTA(Q1068:Q1350)=0),"""",OR(AND(K1068&gt;=1000000000,OR(Y1068&gt;=1000000000,COUNTA(Q1068:Q1350)=0)),OR(Y1068&gt;=1000000000,AND(COUNTA(C1068:C1350)=0,P$3=TRUE))),
ROUNDDOWN((AB$1-AC$1)*MAX(INDEX(T$4:T1350,MATCH(LARGE(FILTER(Y$4:Y1"&amp;"350,Y$4:Y1350&lt;1000000000),1),Y$4:Y1350)),INDEX(F$4:F1350,MATCH(LARGE(FILTER(K$4:K1350,K$4:K1350&lt;1000000000),1),K$4:K1350)))),AND(K1068&lt;1000000000,COUNTA(C1068:C1350)&gt;0,P$3=FALSE),
ROUNDDOWN(INDEX(Y$4:Y1350,MATCH(LARGE(FILTER(W$4:W1350,W$4:W1350&lt;=I1068),1)"&amp;",W$4:W1350))+(I1068-LARGE(FILTER(W$4:W1350,W$4:W1350&lt;=I1068),1))*INDEX(T$4:T1350,MATCH(LARGE(FILTER(W$4:W1350,W$4:W1350&lt;=I1068),1),W$4:W1350))-K1068),1,
ROUNDDOWN(Y1068-INDEX(K$4:K1350,MATCH(LARGE(FILTER(I$4:I1350,I$4:I1350&lt;=W1068),1),I$4:I1350))-(W1068-L"&amp;"ARGE(FILTER(I$4:I1350,I$4:I1350&lt;=W1068),1))*INDEX(F$4:F1350,MATCH(LARGE(FILTER(I$4:I1350,I$4:I1350&lt;=W1068),1),I$4:I1350))))"),"")</f>
        <v/>
      </c>
      <c r="N1068" s="60" t="str">
        <f t="shared" si="8"/>
        <v/>
      </c>
      <c r="O1068" s="61" t="str">
        <f t="shared" si="9"/>
        <v/>
      </c>
      <c r="P1068" s="56" t="str">
        <f t="shared" si="10"/>
        <v/>
      </c>
      <c r="Q1068" s="62"/>
      <c r="R1068" s="10" t="str">
        <f>IFERROR(__xludf.DUMMYFUNCTION("IF(COUNTA(Q1068:Q1350)=0,"""",IF(ISBLANK(Q1068),FALSE,IF(NOT(COUNTIF($AA$24:$AA$34,SUBSTITUTE(Q1068,""Sell_"",""""))),1,IF(REGEXMATCH(Q1068,""Sell_""),IF(COUNTIF(Q$4:Q1068,SUBSTITUTE(Q1068,""Sell_"",""""))-COUNTIF(Q$4:Q1067,Q1068)&lt;1,1),FALSE))))"),"")</f>
        <v/>
      </c>
      <c r="S1068" s="59" t="str">
        <f t="array" ref="S1068">IF(COUNTA(Q1068:Q1350)=0,"",SUM((COUNTIF(Q$4:Q1068,Upgrades!$B$3:$B$13)-COUNTIF(Q$4:Q1068,"Sell_"&amp;Upgrades!$B$3:$B$13))*Upgrades!$D$3:$D$13))</f>
        <v/>
      </c>
      <c r="T1068" s="66" t="str">
        <f>IFERROR(__xludf.DUMMYFUNCTION("IF(COUNTA(Q1068:Q1350)=0,"""",IF(REGEXMATCH(INDEX(FILTER(Q$4:Q1068,Q$4:Q1068&lt;&gt;""""),ROWS(FILTER(Q$4:Q1068,Q$4:Q1068&lt;&gt;""""))),""^Sell_""),INDEX(FILTER(T$4:T1067,Q$4:Q1067&lt;&gt;""""),ROWS(FILTER(Q$4:Q1067,Q$4:Q1067&lt;&gt;""""))),$AD$5+S1068))"),"")</f>
        <v/>
      </c>
      <c r="U1068" s="10" t="str">
        <f>IFERROR(__xludf.DUMMYFUNCTION("IF(COUNTA(Q1068:Q1350)=0,"""",IF(Q1068="""",0,IF(REGEXMATCH(Q1068,""^Sell_""),-ROUNDDOWN(ROUNDUP(INDEX(Upgrades!$C$3:$C$13,MATCH(SUBSTITUTE(Q1068,""Sell_"",""""),Upgrades!$B$3:$B$13,0))*1.15^(COUNTIF(Q$4:Q1067,SUBSTITUTE(Q1068,""Sell_"",""""))-COUNTIF(Q$4"&amp;":Q1067,""Sell_""&amp;SUBSTITUTE(Q1068,""Sell_"",""""))))/2),ROUNDUP(INDEX(Upgrades!$C$3:$C$13,MATCH(Q1068,Upgrades!$B$3:$B$13,0))*1.15^(COUNTIF(Q$4:Q1067,Q1068)-COUNTIF(Q$4:Q1067,""Sell_""&amp;Q1068))))))"),"")</f>
        <v/>
      </c>
      <c r="V1068" s="10" t="str">
        <f t="shared" si="11"/>
        <v/>
      </c>
      <c r="W1068" s="68" t="str">
        <f t="shared" si="12"/>
        <v/>
      </c>
      <c r="X1068" s="59" t="str">
        <f t="shared" si="13"/>
        <v/>
      </c>
      <c r="Y1068" s="69" t="str">
        <f t="shared" si="14"/>
        <v/>
      </c>
      <c r="Z1068" s="11"/>
    </row>
    <row r="1069">
      <c r="A1069" s="8"/>
      <c r="B1069" s="56" t="str">
        <f t="shared" si="2"/>
        <v/>
      </c>
      <c r="C1069" s="57"/>
      <c r="D1069" s="10" t="str">
        <f>IFERROR(__xludf.DUMMYFUNCTION("IF(COUNTA(C1069:C1350)=0,"""",IF(ISBLANK(C1069),FALSE,IF(NOT(COUNTIF($AA$24:$AA$34,SUBSTITUTE(C1069,""Sell_"",""""))),1,IF(REGEXMATCH(C1069,""Sell_""),IF(COUNTIF(C$4:C1069,SUBSTITUTE(C1069,""Sell_"",""""))-COUNTIF(C$4:C1068,C1069)&lt;1,1),FALSE))))"),"")</f>
        <v/>
      </c>
      <c r="E1069" s="59" t="str">
        <f t="array" ref="E1069">IF(COUNTA(C1069:C1350)=0,"",SUM((COUNTIF(C$4:C1069,Upgrades!$B$3:$B$13)-COUNTIF(C$4:C1069,"Sell_"&amp;Upgrades!$B$3:$B$13))*Upgrades!$D$3:$D$13))</f>
        <v/>
      </c>
      <c r="F1069" s="66" t="str">
        <f>IFERROR(__xludf.DUMMYFUNCTION("IF(COUNTA(C1069:C1350)=0,"""",IF(REGEXMATCH(INDEX(FILTER(C$4:C1069,C$4:C1069&lt;&gt;""""),ROWS(FILTER(C$4:C1069,C$4:C1069&lt;&gt;""""))),""^Sell_""),INDEX(FILTER(F$4:F1068,C$4:C1068&lt;&gt;""""),ROWS(FILTER(C$4:C1068,C$4:C1068&lt;&gt;""""))),$AC$5+E1069))"),"")</f>
        <v/>
      </c>
      <c r="G1069" s="10" t="str">
        <f>IFERROR(__xludf.DUMMYFUNCTION("IF(COUNTA(C1069:C1350)=0,"""",IF(C1069="""",0,IF(REGEXMATCH(C1069,""^Sell_""),-ROUNDDOWN(ROUNDUP(INDEX(Upgrades!$C$3:$C$13,MATCH(SUBSTITUTE(C1069,""Sell_"",""""),Upgrades!$B$3:$B$13,0))*1.15^(COUNTIF(C$4:C1068,SUBSTITUTE(C1069,""Sell_"",""""))-COUNTIF(C$4"&amp;":C1068,""Sell_""&amp;SUBSTITUTE(C1069,""Sell_"",""""))))/2),ROUNDUP(INDEX(Upgrades!$C$3:$C$13,MATCH(C1069,Upgrades!$B$3:$B$13,0))*1.15^(COUNTIF(C$4:C1068,C1069)-COUNTIF(C$4:C1068,""Sell_""&amp;C1069))))))"),"")</f>
        <v/>
      </c>
      <c r="H1069" s="10" t="str">
        <f t="shared" si="3"/>
        <v/>
      </c>
      <c r="I1069" s="68" t="str">
        <f t="shared" si="4"/>
        <v/>
      </c>
      <c r="J1069" s="59" t="str">
        <f t="shared" si="5"/>
        <v/>
      </c>
      <c r="K1069" s="69" t="str">
        <f t="shared" si="6"/>
        <v/>
      </c>
      <c r="L1069" s="60" t="str">
        <f t="shared" si="7"/>
        <v/>
      </c>
      <c r="M1069" s="61" t="str">
        <f>IFERROR(__xludf.DUMMYFUNCTION("IFS(AND(COUNTA(C1069:C1350)=0,COUNTA(Q1069:Q1350)=0),"""",OR(AND(K1069&gt;=1000000000,OR(Y1069&gt;=1000000000,COUNTA(Q1069:Q1350)=0)),OR(Y1069&gt;=1000000000,AND(COUNTA(C1069:C1350)=0,P$3=TRUE))),
ROUNDDOWN((AB$1-AC$1)*MAX(INDEX(T$4:T1350,MATCH(LARGE(FILTER(Y$4:Y1"&amp;"350,Y$4:Y1350&lt;1000000000),1),Y$4:Y1350)),INDEX(F$4:F1350,MATCH(LARGE(FILTER(K$4:K1350,K$4:K1350&lt;1000000000),1),K$4:K1350)))),AND(K1069&lt;1000000000,COUNTA(C1069:C1350)&gt;0,P$3=FALSE),
ROUNDDOWN(INDEX(Y$4:Y1350,MATCH(LARGE(FILTER(W$4:W1350,W$4:W1350&lt;=I1069),1)"&amp;",W$4:W1350))+(I1069-LARGE(FILTER(W$4:W1350,W$4:W1350&lt;=I1069),1))*INDEX(T$4:T1350,MATCH(LARGE(FILTER(W$4:W1350,W$4:W1350&lt;=I1069),1),W$4:W1350))-K1069),1,
ROUNDDOWN(Y1069-INDEX(K$4:K1350,MATCH(LARGE(FILTER(I$4:I1350,I$4:I1350&lt;=W1069),1),I$4:I1350))-(W1069-L"&amp;"ARGE(FILTER(I$4:I1350,I$4:I1350&lt;=W1069),1))*INDEX(F$4:F1350,MATCH(LARGE(FILTER(I$4:I1350,I$4:I1350&lt;=W1069),1),I$4:I1350))))"),"")</f>
        <v/>
      </c>
      <c r="N1069" s="60" t="str">
        <f t="shared" si="8"/>
        <v/>
      </c>
      <c r="O1069" s="61" t="str">
        <f t="shared" si="9"/>
        <v/>
      </c>
      <c r="P1069" s="56" t="str">
        <f t="shared" si="10"/>
        <v/>
      </c>
      <c r="Q1069" s="62"/>
      <c r="R1069" s="10" t="str">
        <f>IFERROR(__xludf.DUMMYFUNCTION("IF(COUNTA(Q1069:Q1350)=0,"""",IF(ISBLANK(Q1069),FALSE,IF(NOT(COUNTIF($AA$24:$AA$34,SUBSTITUTE(Q1069,""Sell_"",""""))),1,IF(REGEXMATCH(Q1069,""Sell_""),IF(COUNTIF(Q$4:Q1069,SUBSTITUTE(Q1069,""Sell_"",""""))-COUNTIF(Q$4:Q1068,Q1069)&lt;1,1),FALSE))))"),"")</f>
        <v/>
      </c>
      <c r="S1069" s="59" t="str">
        <f t="array" ref="S1069">IF(COUNTA(Q1069:Q1350)=0,"",SUM((COUNTIF(Q$4:Q1069,Upgrades!$B$3:$B$13)-COUNTIF(Q$4:Q1069,"Sell_"&amp;Upgrades!$B$3:$B$13))*Upgrades!$D$3:$D$13))</f>
        <v/>
      </c>
      <c r="T1069" s="66" t="str">
        <f>IFERROR(__xludf.DUMMYFUNCTION("IF(COUNTA(Q1069:Q1350)=0,"""",IF(REGEXMATCH(INDEX(FILTER(Q$4:Q1069,Q$4:Q1069&lt;&gt;""""),ROWS(FILTER(Q$4:Q1069,Q$4:Q1069&lt;&gt;""""))),""^Sell_""),INDEX(FILTER(T$4:T1068,Q$4:Q1068&lt;&gt;""""),ROWS(FILTER(Q$4:Q1068,Q$4:Q1068&lt;&gt;""""))),$AD$5+S1069))"),"")</f>
        <v/>
      </c>
      <c r="U1069" s="10" t="str">
        <f>IFERROR(__xludf.DUMMYFUNCTION("IF(COUNTA(Q1069:Q1350)=0,"""",IF(Q1069="""",0,IF(REGEXMATCH(Q1069,""^Sell_""),-ROUNDDOWN(ROUNDUP(INDEX(Upgrades!$C$3:$C$13,MATCH(SUBSTITUTE(Q1069,""Sell_"",""""),Upgrades!$B$3:$B$13,0))*1.15^(COUNTIF(Q$4:Q1068,SUBSTITUTE(Q1069,""Sell_"",""""))-COUNTIF(Q$4"&amp;":Q1068,""Sell_""&amp;SUBSTITUTE(Q1069,""Sell_"",""""))))/2),ROUNDUP(INDEX(Upgrades!$C$3:$C$13,MATCH(Q1069,Upgrades!$B$3:$B$13,0))*1.15^(COUNTIF(Q$4:Q1068,Q1069)-COUNTIF(Q$4:Q1068,""Sell_""&amp;Q1069))))))"),"")</f>
        <v/>
      </c>
      <c r="V1069" s="10" t="str">
        <f t="shared" si="11"/>
        <v/>
      </c>
      <c r="W1069" s="68" t="str">
        <f t="shared" si="12"/>
        <v/>
      </c>
      <c r="X1069" s="59" t="str">
        <f t="shared" si="13"/>
        <v/>
      </c>
      <c r="Y1069" s="69" t="str">
        <f t="shared" si="14"/>
        <v/>
      </c>
      <c r="Z1069" s="11"/>
    </row>
    <row r="1070">
      <c r="A1070" s="8"/>
      <c r="B1070" s="56" t="str">
        <f t="shared" si="2"/>
        <v/>
      </c>
      <c r="C1070" s="57"/>
      <c r="D1070" s="10" t="str">
        <f>IFERROR(__xludf.DUMMYFUNCTION("IF(COUNTA(C1070:C1350)=0,"""",IF(ISBLANK(C1070),FALSE,IF(NOT(COUNTIF($AA$24:$AA$34,SUBSTITUTE(C1070,""Sell_"",""""))),1,IF(REGEXMATCH(C1070,""Sell_""),IF(COUNTIF(C$4:C1070,SUBSTITUTE(C1070,""Sell_"",""""))-COUNTIF(C$4:C1069,C1070)&lt;1,1),FALSE))))"),"")</f>
        <v/>
      </c>
      <c r="E1070" s="59" t="str">
        <f t="array" ref="E1070">IF(COUNTA(C1070:C1350)=0,"",SUM((COUNTIF(C$4:C1070,Upgrades!$B$3:$B$13)-COUNTIF(C$4:C1070,"Sell_"&amp;Upgrades!$B$3:$B$13))*Upgrades!$D$3:$D$13))</f>
        <v/>
      </c>
      <c r="F1070" s="66" t="str">
        <f>IFERROR(__xludf.DUMMYFUNCTION("IF(COUNTA(C1070:C1350)=0,"""",IF(REGEXMATCH(INDEX(FILTER(C$4:C1070,C$4:C1070&lt;&gt;""""),ROWS(FILTER(C$4:C1070,C$4:C1070&lt;&gt;""""))),""^Sell_""),INDEX(FILTER(F$4:F1069,C$4:C1069&lt;&gt;""""),ROWS(FILTER(C$4:C1069,C$4:C1069&lt;&gt;""""))),$AC$5+E1070))"),"")</f>
        <v/>
      </c>
      <c r="G1070" s="10" t="str">
        <f>IFERROR(__xludf.DUMMYFUNCTION("IF(COUNTA(C1070:C1350)=0,"""",IF(C1070="""",0,IF(REGEXMATCH(C1070,""^Sell_""),-ROUNDDOWN(ROUNDUP(INDEX(Upgrades!$C$3:$C$13,MATCH(SUBSTITUTE(C1070,""Sell_"",""""),Upgrades!$B$3:$B$13,0))*1.15^(COUNTIF(C$4:C1069,SUBSTITUTE(C1070,""Sell_"",""""))-COUNTIF(C$4"&amp;":C1069,""Sell_""&amp;SUBSTITUTE(C1070,""Sell_"",""""))))/2),ROUNDUP(INDEX(Upgrades!$C$3:$C$13,MATCH(C1070,Upgrades!$B$3:$B$13,0))*1.15^(COUNTIF(C$4:C1069,C1070)-COUNTIF(C$4:C1069,""Sell_""&amp;C1070))))))"),"")</f>
        <v/>
      </c>
      <c r="H1070" s="10" t="str">
        <f t="shared" si="3"/>
        <v/>
      </c>
      <c r="I1070" s="68" t="str">
        <f t="shared" si="4"/>
        <v/>
      </c>
      <c r="J1070" s="59" t="str">
        <f t="shared" si="5"/>
        <v/>
      </c>
      <c r="K1070" s="69" t="str">
        <f t="shared" si="6"/>
        <v/>
      </c>
      <c r="L1070" s="60" t="str">
        <f t="shared" si="7"/>
        <v/>
      </c>
      <c r="M1070" s="61" t="str">
        <f>IFERROR(__xludf.DUMMYFUNCTION("IFS(AND(COUNTA(C1070:C1350)=0,COUNTA(Q1070:Q1350)=0),"""",OR(AND(K1070&gt;=1000000000,OR(Y1070&gt;=1000000000,COUNTA(Q1070:Q1350)=0)),OR(Y1070&gt;=1000000000,AND(COUNTA(C1070:C1350)=0,P$3=TRUE))),
ROUNDDOWN((AB$1-AC$1)*MAX(INDEX(T$4:T1350,MATCH(LARGE(FILTER(Y$4:Y1"&amp;"350,Y$4:Y1350&lt;1000000000),1),Y$4:Y1350)),INDEX(F$4:F1350,MATCH(LARGE(FILTER(K$4:K1350,K$4:K1350&lt;1000000000),1),K$4:K1350)))),AND(K1070&lt;1000000000,COUNTA(C1070:C1350)&gt;0,P$3=FALSE),
ROUNDDOWN(INDEX(Y$4:Y1350,MATCH(LARGE(FILTER(W$4:W1350,W$4:W1350&lt;=I1070),1)"&amp;",W$4:W1350))+(I1070-LARGE(FILTER(W$4:W1350,W$4:W1350&lt;=I1070),1))*INDEX(T$4:T1350,MATCH(LARGE(FILTER(W$4:W1350,W$4:W1350&lt;=I1070),1),W$4:W1350))-K1070),1,
ROUNDDOWN(Y1070-INDEX(K$4:K1350,MATCH(LARGE(FILTER(I$4:I1350,I$4:I1350&lt;=W1070),1),I$4:I1350))-(W1070-L"&amp;"ARGE(FILTER(I$4:I1350,I$4:I1350&lt;=W1070),1))*INDEX(F$4:F1350,MATCH(LARGE(FILTER(I$4:I1350,I$4:I1350&lt;=W1070),1),I$4:I1350))))"),"")</f>
        <v/>
      </c>
      <c r="N1070" s="60" t="str">
        <f t="shared" si="8"/>
        <v/>
      </c>
      <c r="O1070" s="61" t="str">
        <f t="shared" si="9"/>
        <v/>
      </c>
      <c r="P1070" s="56" t="str">
        <f t="shared" si="10"/>
        <v/>
      </c>
      <c r="Q1070" s="62"/>
      <c r="R1070" s="10" t="str">
        <f>IFERROR(__xludf.DUMMYFUNCTION("IF(COUNTA(Q1070:Q1350)=0,"""",IF(ISBLANK(Q1070),FALSE,IF(NOT(COUNTIF($AA$24:$AA$34,SUBSTITUTE(Q1070,""Sell_"",""""))),1,IF(REGEXMATCH(Q1070,""Sell_""),IF(COUNTIF(Q$4:Q1070,SUBSTITUTE(Q1070,""Sell_"",""""))-COUNTIF(Q$4:Q1069,Q1070)&lt;1,1),FALSE))))"),"")</f>
        <v/>
      </c>
      <c r="S1070" s="59" t="str">
        <f t="array" ref="S1070">IF(COUNTA(Q1070:Q1350)=0,"",SUM((COUNTIF(Q$4:Q1070,Upgrades!$B$3:$B$13)-COUNTIF(Q$4:Q1070,"Sell_"&amp;Upgrades!$B$3:$B$13))*Upgrades!$D$3:$D$13))</f>
        <v/>
      </c>
      <c r="T1070" s="66" t="str">
        <f>IFERROR(__xludf.DUMMYFUNCTION("IF(COUNTA(Q1070:Q1350)=0,"""",IF(REGEXMATCH(INDEX(FILTER(Q$4:Q1070,Q$4:Q1070&lt;&gt;""""),ROWS(FILTER(Q$4:Q1070,Q$4:Q1070&lt;&gt;""""))),""^Sell_""),INDEX(FILTER(T$4:T1069,Q$4:Q1069&lt;&gt;""""),ROWS(FILTER(Q$4:Q1069,Q$4:Q1069&lt;&gt;""""))),$AD$5+S1070))"),"")</f>
        <v/>
      </c>
      <c r="U1070" s="10" t="str">
        <f>IFERROR(__xludf.DUMMYFUNCTION("IF(COUNTA(Q1070:Q1350)=0,"""",IF(Q1070="""",0,IF(REGEXMATCH(Q1070,""^Sell_""),-ROUNDDOWN(ROUNDUP(INDEX(Upgrades!$C$3:$C$13,MATCH(SUBSTITUTE(Q1070,""Sell_"",""""),Upgrades!$B$3:$B$13,0))*1.15^(COUNTIF(Q$4:Q1069,SUBSTITUTE(Q1070,""Sell_"",""""))-COUNTIF(Q$4"&amp;":Q1069,""Sell_""&amp;SUBSTITUTE(Q1070,""Sell_"",""""))))/2),ROUNDUP(INDEX(Upgrades!$C$3:$C$13,MATCH(Q1070,Upgrades!$B$3:$B$13,0))*1.15^(COUNTIF(Q$4:Q1069,Q1070)-COUNTIF(Q$4:Q1069,""Sell_""&amp;Q1070))))))"),"")</f>
        <v/>
      </c>
      <c r="V1070" s="10" t="str">
        <f t="shared" si="11"/>
        <v/>
      </c>
      <c r="W1070" s="68" t="str">
        <f t="shared" si="12"/>
        <v/>
      </c>
      <c r="X1070" s="59" t="str">
        <f t="shared" si="13"/>
        <v/>
      </c>
      <c r="Y1070" s="69" t="str">
        <f t="shared" si="14"/>
        <v/>
      </c>
      <c r="Z1070" s="11"/>
    </row>
    <row r="1071">
      <c r="A1071" s="8"/>
      <c r="B1071" s="56" t="str">
        <f t="shared" si="2"/>
        <v/>
      </c>
      <c r="C1071" s="57"/>
      <c r="D1071" s="10" t="str">
        <f>IFERROR(__xludf.DUMMYFUNCTION("IF(COUNTA(C1071:C1350)=0,"""",IF(ISBLANK(C1071),FALSE,IF(NOT(COUNTIF($AA$24:$AA$34,SUBSTITUTE(C1071,""Sell_"",""""))),1,IF(REGEXMATCH(C1071,""Sell_""),IF(COUNTIF(C$4:C1071,SUBSTITUTE(C1071,""Sell_"",""""))-COUNTIF(C$4:C1070,C1071)&lt;1,1),FALSE))))"),"")</f>
        <v/>
      </c>
      <c r="E1071" s="59" t="str">
        <f t="array" ref="E1071">IF(COUNTA(C1071:C1350)=0,"",SUM((COUNTIF(C$4:C1071,Upgrades!$B$3:$B$13)-COUNTIF(C$4:C1071,"Sell_"&amp;Upgrades!$B$3:$B$13))*Upgrades!$D$3:$D$13))</f>
        <v/>
      </c>
      <c r="F1071" s="66" t="str">
        <f>IFERROR(__xludf.DUMMYFUNCTION("IF(COUNTA(C1071:C1350)=0,"""",IF(REGEXMATCH(INDEX(FILTER(C$4:C1071,C$4:C1071&lt;&gt;""""),ROWS(FILTER(C$4:C1071,C$4:C1071&lt;&gt;""""))),""^Sell_""),INDEX(FILTER(F$4:F1070,C$4:C1070&lt;&gt;""""),ROWS(FILTER(C$4:C1070,C$4:C1070&lt;&gt;""""))),$AC$5+E1071))"),"")</f>
        <v/>
      </c>
      <c r="G1071" s="10" t="str">
        <f>IFERROR(__xludf.DUMMYFUNCTION("IF(COUNTA(C1071:C1350)=0,"""",IF(C1071="""",0,IF(REGEXMATCH(C1071,""^Sell_""),-ROUNDDOWN(ROUNDUP(INDEX(Upgrades!$C$3:$C$13,MATCH(SUBSTITUTE(C1071,""Sell_"",""""),Upgrades!$B$3:$B$13,0))*1.15^(COUNTIF(C$4:C1070,SUBSTITUTE(C1071,""Sell_"",""""))-COUNTIF(C$4"&amp;":C1070,""Sell_""&amp;SUBSTITUTE(C1071,""Sell_"",""""))))/2),ROUNDUP(INDEX(Upgrades!$C$3:$C$13,MATCH(C1071,Upgrades!$B$3:$B$13,0))*1.15^(COUNTIF(C$4:C1070,C1071)-COUNTIF(C$4:C1070,""Sell_""&amp;C1071))))))"),"")</f>
        <v/>
      </c>
      <c r="H1071" s="10" t="str">
        <f t="shared" si="3"/>
        <v/>
      </c>
      <c r="I1071" s="68" t="str">
        <f t="shared" si="4"/>
        <v/>
      </c>
      <c r="J1071" s="59" t="str">
        <f t="shared" si="5"/>
        <v/>
      </c>
      <c r="K1071" s="69" t="str">
        <f t="shared" si="6"/>
        <v/>
      </c>
      <c r="L1071" s="60" t="str">
        <f t="shared" si="7"/>
        <v/>
      </c>
      <c r="M1071" s="61" t="str">
        <f>IFERROR(__xludf.DUMMYFUNCTION("IFS(AND(COUNTA(C1071:C1350)=0,COUNTA(Q1071:Q1350)=0),"""",OR(AND(K1071&gt;=1000000000,OR(Y1071&gt;=1000000000,COUNTA(Q1071:Q1350)=0)),OR(Y1071&gt;=1000000000,AND(COUNTA(C1071:C1350)=0,P$3=TRUE))),
ROUNDDOWN((AB$1-AC$1)*MAX(INDEX(T$4:T1350,MATCH(LARGE(FILTER(Y$4:Y1"&amp;"350,Y$4:Y1350&lt;1000000000),1),Y$4:Y1350)),INDEX(F$4:F1350,MATCH(LARGE(FILTER(K$4:K1350,K$4:K1350&lt;1000000000),1),K$4:K1350)))),AND(K1071&lt;1000000000,COUNTA(C1071:C1350)&gt;0,P$3=FALSE),
ROUNDDOWN(INDEX(Y$4:Y1350,MATCH(LARGE(FILTER(W$4:W1350,W$4:W1350&lt;=I1071),1)"&amp;",W$4:W1350))+(I1071-LARGE(FILTER(W$4:W1350,W$4:W1350&lt;=I1071),1))*INDEX(T$4:T1350,MATCH(LARGE(FILTER(W$4:W1350,W$4:W1350&lt;=I1071),1),W$4:W1350))-K1071),1,
ROUNDDOWN(Y1071-INDEX(K$4:K1350,MATCH(LARGE(FILTER(I$4:I1350,I$4:I1350&lt;=W1071),1),I$4:I1350))-(W1071-L"&amp;"ARGE(FILTER(I$4:I1350,I$4:I1350&lt;=W1071),1))*INDEX(F$4:F1350,MATCH(LARGE(FILTER(I$4:I1350,I$4:I1350&lt;=W1071),1),I$4:I1350))))"),"")</f>
        <v/>
      </c>
      <c r="N1071" s="60" t="str">
        <f t="shared" si="8"/>
        <v/>
      </c>
      <c r="O1071" s="61" t="str">
        <f t="shared" si="9"/>
        <v/>
      </c>
      <c r="P1071" s="56" t="str">
        <f t="shared" si="10"/>
        <v/>
      </c>
      <c r="Q1071" s="62"/>
      <c r="R1071" s="10" t="str">
        <f>IFERROR(__xludf.DUMMYFUNCTION("IF(COUNTA(Q1071:Q1350)=0,"""",IF(ISBLANK(Q1071),FALSE,IF(NOT(COUNTIF($AA$24:$AA$34,SUBSTITUTE(Q1071,""Sell_"",""""))),1,IF(REGEXMATCH(Q1071,""Sell_""),IF(COUNTIF(Q$4:Q1071,SUBSTITUTE(Q1071,""Sell_"",""""))-COUNTIF(Q$4:Q1070,Q1071)&lt;1,1),FALSE))))"),"")</f>
        <v/>
      </c>
      <c r="S1071" s="59" t="str">
        <f t="array" ref="S1071">IF(COUNTA(Q1071:Q1350)=0,"",SUM((COUNTIF(Q$4:Q1071,Upgrades!$B$3:$B$13)-COUNTIF(Q$4:Q1071,"Sell_"&amp;Upgrades!$B$3:$B$13))*Upgrades!$D$3:$D$13))</f>
        <v/>
      </c>
      <c r="T1071" s="66" t="str">
        <f>IFERROR(__xludf.DUMMYFUNCTION("IF(COUNTA(Q1071:Q1350)=0,"""",IF(REGEXMATCH(INDEX(FILTER(Q$4:Q1071,Q$4:Q1071&lt;&gt;""""),ROWS(FILTER(Q$4:Q1071,Q$4:Q1071&lt;&gt;""""))),""^Sell_""),INDEX(FILTER(T$4:T1070,Q$4:Q1070&lt;&gt;""""),ROWS(FILTER(Q$4:Q1070,Q$4:Q1070&lt;&gt;""""))),$AD$5+S1071))"),"")</f>
        <v/>
      </c>
      <c r="U1071" s="10" t="str">
        <f>IFERROR(__xludf.DUMMYFUNCTION("IF(COUNTA(Q1071:Q1350)=0,"""",IF(Q1071="""",0,IF(REGEXMATCH(Q1071,""^Sell_""),-ROUNDDOWN(ROUNDUP(INDEX(Upgrades!$C$3:$C$13,MATCH(SUBSTITUTE(Q1071,""Sell_"",""""),Upgrades!$B$3:$B$13,0))*1.15^(COUNTIF(Q$4:Q1070,SUBSTITUTE(Q1071,""Sell_"",""""))-COUNTIF(Q$4"&amp;":Q1070,""Sell_""&amp;SUBSTITUTE(Q1071,""Sell_"",""""))))/2),ROUNDUP(INDEX(Upgrades!$C$3:$C$13,MATCH(Q1071,Upgrades!$B$3:$B$13,0))*1.15^(COUNTIF(Q$4:Q1070,Q1071)-COUNTIF(Q$4:Q1070,""Sell_""&amp;Q1071))))))"),"")</f>
        <v/>
      </c>
      <c r="V1071" s="10" t="str">
        <f t="shared" si="11"/>
        <v/>
      </c>
      <c r="W1071" s="68" t="str">
        <f t="shared" si="12"/>
        <v/>
      </c>
      <c r="X1071" s="59" t="str">
        <f t="shared" si="13"/>
        <v/>
      </c>
      <c r="Y1071" s="69" t="str">
        <f t="shared" si="14"/>
        <v/>
      </c>
      <c r="Z1071" s="11"/>
    </row>
    <row r="1072">
      <c r="A1072" s="8"/>
      <c r="B1072" s="56" t="str">
        <f t="shared" si="2"/>
        <v/>
      </c>
      <c r="C1072" s="57"/>
      <c r="D1072" s="10" t="str">
        <f>IFERROR(__xludf.DUMMYFUNCTION("IF(COUNTA(C1072:C1350)=0,"""",IF(ISBLANK(C1072),FALSE,IF(NOT(COUNTIF($AA$24:$AA$34,SUBSTITUTE(C1072,""Sell_"",""""))),1,IF(REGEXMATCH(C1072,""Sell_""),IF(COUNTIF(C$4:C1072,SUBSTITUTE(C1072,""Sell_"",""""))-COUNTIF(C$4:C1071,C1072)&lt;1,1),FALSE))))"),"")</f>
        <v/>
      </c>
      <c r="E1072" s="59" t="str">
        <f t="array" ref="E1072">IF(COUNTA(C1072:C1350)=0,"",SUM((COUNTIF(C$4:C1072,Upgrades!$B$3:$B$13)-COUNTIF(C$4:C1072,"Sell_"&amp;Upgrades!$B$3:$B$13))*Upgrades!$D$3:$D$13))</f>
        <v/>
      </c>
      <c r="F1072" s="66" t="str">
        <f>IFERROR(__xludf.DUMMYFUNCTION("IF(COUNTA(C1072:C1350)=0,"""",IF(REGEXMATCH(INDEX(FILTER(C$4:C1072,C$4:C1072&lt;&gt;""""),ROWS(FILTER(C$4:C1072,C$4:C1072&lt;&gt;""""))),""^Sell_""),INDEX(FILTER(F$4:F1071,C$4:C1071&lt;&gt;""""),ROWS(FILTER(C$4:C1071,C$4:C1071&lt;&gt;""""))),$AC$5+E1072))"),"")</f>
        <v/>
      </c>
      <c r="G1072" s="10" t="str">
        <f>IFERROR(__xludf.DUMMYFUNCTION("IF(COUNTA(C1072:C1350)=0,"""",IF(C1072="""",0,IF(REGEXMATCH(C1072,""^Sell_""),-ROUNDDOWN(ROUNDUP(INDEX(Upgrades!$C$3:$C$13,MATCH(SUBSTITUTE(C1072,""Sell_"",""""),Upgrades!$B$3:$B$13,0))*1.15^(COUNTIF(C$4:C1071,SUBSTITUTE(C1072,""Sell_"",""""))-COUNTIF(C$4"&amp;":C1071,""Sell_""&amp;SUBSTITUTE(C1072,""Sell_"",""""))))/2),ROUNDUP(INDEX(Upgrades!$C$3:$C$13,MATCH(C1072,Upgrades!$B$3:$B$13,0))*1.15^(COUNTIF(C$4:C1071,C1072)-COUNTIF(C$4:C1071,""Sell_""&amp;C1072))))))"),"")</f>
        <v/>
      </c>
      <c r="H1072" s="10" t="str">
        <f t="shared" si="3"/>
        <v/>
      </c>
      <c r="I1072" s="68" t="str">
        <f t="shared" si="4"/>
        <v/>
      </c>
      <c r="J1072" s="59" t="str">
        <f t="shared" si="5"/>
        <v/>
      </c>
      <c r="K1072" s="69" t="str">
        <f t="shared" si="6"/>
        <v/>
      </c>
      <c r="L1072" s="60" t="str">
        <f t="shared" si="7"/>
        <v/>
      </c>
      <c r="M1072" s="61" t="str">
        <f>IFERROR(__xludf.DUMMYFUNCTION("IFS(AND(COUNTA(C1072:C1350)=0,COUNTA(Q1072:Q1350)=0),"""",OR(AND(K1072&gt;=1000000000,OR(Y1072&gt;=1000000000,COUNTA(Q1072:Q1350)=0)),OR(Y1072&gt;=1000000000,AND(COUNTA(C1072:C1350)=0,P$3=TRUE))),
ROUNDDOWN((AB$1-AC$1)*MAX(INDEX(T$4:T1350,MATCH(LARGE(FILTER(Y$4:Y1"&amp;"350,Y$4:Y1350&lt;1000000000),1),Y$4:Y1350)),INDEX(F$4:F1350,MATCH(LARGE(FILTER(K$4:K1350,K$4:K1350&lt;1000000000),1),K$4:K1350)))),AND(K1072&lt;1000000000,COUNTA(C1072:C1350)&gt;0,P$3=FALSE),
ROUNDDOWN(INDEX(Y$4:Y1350,MATCH(LARGE(FILTER(W$4:W1350,W$4:W1350&lt;=I1072),1)"&amp;",W$4:W1350))+(I1072-LARGE(FILTER(W$4:W1350,W$4:W1350&lt;=I1072),1))*INDEX(T$4:T1350,MATCH(LARGE(FILTER(W$4:W1350,W$4:W1350&lt;=I1072),1),W$4:W1350))-K1072),1,
ROUNDDOWN(Y1072-INDEX(K$4:K1350,MATCH(LARGE(FILTER(I$4:I1350,I$4:I1350&lt;=W1072),1),I$4:I1350))-(W1072-L"&amp;"ARGE(FILTER(I$4:I1350,I$4:I1350&lt;=W1072),1))*INDEX(F$4:F1350,MATCH(LARGE(FILTER(I$4:I1350,I$4:I1350&lt;=W1072),1),I$4:I1350))))"),"")</f>
        <v/>
      </c>
      <c r="N1072" s="60" t="str">
        <f t="shared" si="8"/>
        <v/>
      </c>
      <c r="O1072" s="61" t="str">
        <f t="shared" si="9"/>
        <v/>
      </c>
      <c r="P1072" s="56" t="str">
        <f t="shared" si="10"/>
        <v/>
      </c>
      <c r="Q1072" s="62"/>
      <c r="R1072" s="10" t="str">
        <f>IFERROR(__xludf.DUMMYFUNCTION("IF(COUNTA(Q1072:Q1350)=0,"""",IF(ISBLANK(Q1072),FALSE,IF(NOT(COUNTIF($AA$24:$AA$34,SUBSTITUTE(Q1072,""Sell_"",""""))),1,IF(REGEXMATCH(Q1072,""Sell_""),IF(COUNTIF(Q$4:Q1072,SUBSTITUTE(Q1072,""Sell_"",""""))-COUNTIF(Q$4:Q1071,Q1072)&lt;1,1),FALSE))))"),"")</f>
        <v/>
      </c>
      <c r="S1072" s="59" t="str">
        <f t="array" ref="S1072">IF(COUNTA(Q1072:Q1350)=0,"",SUM((COUNTIF(Q$4:Q1072,Upgrades!$B$3:$B$13)-COUNTIF(Q$4:Q1072,"Sell_"&amp;Upgrades!$B$3:$B$13))*Upgrades!$D$3:$D$13))</f>
        <v/>
      </c>
      <c r="T1072" s="66" t="str">
        <f>IFERROR(__xludf.DUMMYFUNCTION("IF(COUNTA(Q1072:Q1350)=0,"""",IF(REGEXMATCH(INDEX(FILTER(Q$4:Q1072,Q$4:Q1072&lt;&gt;""""),ROWS(FILTER(Q$4:Q1072,Q$4:Q1072&lt;&gt;""""))),""^Sell_""),INDEX(FILTER(T$4:T1071,Q$4:Q1071&lt;&gt;""""),ROWS(FILTER(Q$4:Q1071,Q$4:Q1071&lt;&gt;""""))),$AD$5+S1072))"),"")</f>
        <v/>
      </c>
      <c r="U1072" s="10" t="str">
        <f>IFERROR(__xludf.DUMMYFUNCTION("IF(COUNTA(Q1072:Q1350)=0,"""",IF(Q1072="""",0,IF(REGEXMATCH(Q1072,""^Sell_""),-ROUNDDOWN(ROUNDUP(INDEX(Upgrades!$C$3:$C$13,MATCH(SUBSTITUTE(Q1072,""Sell_"",""""),Upgrades!$B$3:$B$13,0))*1.15^(COUNTIF(Q$4:Q1071,SUBSTITUTE(Q1072,""Sell_"",""""))-COUNTIF(Q$4"&amp;":Q1071,""Sell_""&amp;SUBSTITUTE(Q1072,""Sell_"",""""))))/2),ROUNDUP(INDEX(Upgrades!$C$3:$C$13,MATCH(Q1072,Upgrades!$B$3:$B$13,0))*1.15^(COUNTIF(Q$4:Q1071,Q1072)-COUNTIF(Q$4:Q1071,""Sell_""&amp;Q1072))))))"),"")</f>
        <v/>
      </c>
      <c r="V1072" s="10" t="str">
        <f t="shared" si="11"/>
        <v/>
      </c>
      <c r="W1072" s="68" t="str">
        <f t="shared" si="12"/>
        <v/>
      </c>
      <c r="X1072" s="59" t="str">
        <f t="shared" si="13"/>
        <v/>
      </c>
      <c r="Y1072" s="69" t="str">
        <f t="shared" si="14"/>
        <v/>
      </c>
      <c r="Z1072" s="11"/>
    </row>
    <row r="1073">
      <c r="A1073" s="8"/>
      <c r="B1073" s="56" t="str">
        <f t="shared" si="2"/>
        <v/>
      </c>
      <c r="C1073" s="57"/>
      <c r="D1073" s="10" t="str">
        <f>IFERROR(__xludf.DUMMYFUNCTION("IF(COUNTA(C1073:C1350)=0,"""",IF(ISBLANK(C1073),FALSE,IF(NOT(COUNTIF($AA$24:$AA$34,SUBSTITUTE(C1073,""Sell_"",""""))),1,IF(REGEXMATCH(C1073,""Sell_""),IF(COUNTIF(C$4:C1073,SUBSTITUTE(C1073,""Sell_"",""""))-COUNTIF(C$4:C1072,C1073)&lt;1,1),FALSE))))"),"")</f>
        <v/>
      </c>
      <c r="E1073" s="59" t="str">
        <f t="array" ref="E1073">IF(COUNTA(C1073:C1350)=0,"",SUM((COUNTIF(C$4:C1073,Upgrades!$B$3:$B$13)-COUNTIF(C$4:C1073,"Sell_"&amp;Upgrades!$B$3:$B$13))*Upgrades!$D$3:$D$13))</f>
        <v/>
      </c>
      <c r="F1073" s="66" t="str">
        <f>IFERROR(__xludf.DUMMYFUNCTION("IF(COUNTA(C1073:C1350)=0,"""",IF(REGEXMATCH(INDEX(FILTER(C$4:C1073,C$4:C1073&lt;&gt;""""),ROWS(FILTER(C$4:C1073,C$4:C1073&lt;&gt;""""))),""^Sell_""),INDEX(FILTER(F$4:F1072,C$4:C1072&lt;&gt;""""),ROWS(FILTER(C$4:C1072,C$4:C1072&lt;&gt;""""))),$AC$5+E1073))"),"")</f>
        <v/>
      </c>
      <c r="G1073" s="10" t="str">
        <f>IFERROR(__xludf.DUMMYFUNCTION("IF(COUNTA(C1073:C1350)=0,"""",IF(C1073="""",0,IF(REGEXMATCH(C1073,""^Sell_""),-ROUNDDOWN(ROUNDUP(INDEX(Upgrades!$C$3:$C$13,MATCH(SUBSTITUTE(C1073,""Sell_"",""""),Upgrades!$B$3:$B$13,0))*1.15^(COUNTIF(C$4:C1072,SUBSTITUTE(C1073,""Sell_"",""""))-COUNTIF(C$4"&amp;":C1072,""Sell_""&amp;SUBSTITUTE(C1073,""Sell_"",""""))))/2),ROUNDUP(INDEX(Upgrades!$C$3:$C$13,MATCH(C1073,Upgrades!$B$3:$B$13,0))*1.15^(COUNTIF(C$4:C1072,C1073)-COUNTIF(C$4:C1072,""Sell_""&amp;C1073))))))"),"")</f>
        <v/>
      </c>
      <c r="H1073" s="10" t="str">
        <f t="shared" si="3"/>
        <v/>
      </c>
      <c r="I1073" s="68" t="str">
        <f t="shared" si="4"/>
        <v/>
      </c>
      <c r="J1073" s="59" t="str">
        <f t="shared" si="5"/>
        <v/>
      </c>
      <c r="K1073" s="69" t="str">
        <f t="shared" si="6"/>
        <v/>
      </c>
      <c r="L1073" s="60" t="str">
        <f t="shared" si="7"/>
        <v/>
      </c>
      <c r="M1073" s="61" t="str">
        <f>IFERROR(__xludf.DUMMYFUNCTION("IFS(AND(COUNTA(C1073:C1350)=0,COUNTA(Q1073:Q1350)=0),"""",OR(AND(K1073&gt;=1000000000,OR(Y1073&gt;=1000000000,COUNTA(Q1073:Q1350)=0)),OR(Y1073&gt;=1000000000,AND(COUNTA(C1073:C1350)=0,P$3=TRUE))),
ROUNDDOWN((AB$1-AC$1)*MAX(INDEX(T$4:T1350,MATCH(LARGE(FILTER(Y$4:Y1"&amp;"350,Y$4:Y1350&lt;1000000000),1),Y$4:Y1350)),INDEX(F$4:F1350,MATCH(LARGE(FILTER(K$4:K1350,K$4:K1350&lt;1000000000),1),K$4:K1350)))),AND(K1073&lt;1000000000,COUNTA(C1073:C1350)&gt;0,P$3=FALSE),
ROUNDDOWN(INDEX(Y$4:Y1350,MATCH(LARGE(FILTER(W$4:W1350,W$4:W1350&lt;=I1073),1)"&amp;",W$4:W1350))+(I1073-LARGE(FILTER(W$4:W1350,W$4:W1350&lt;=I1073),1))*INDEX(T$4:T1350,MATCH(LARGE(FILTER(W$4:W1350,W$4:W1350&lt;=I1073),1),W$4:W1350))-K1073),1,
ROUNDDOWN(Y1073-INDEX(K$4:K1350,MATCH(LARGE(FILTER(I$4:I1350,I$4:I1350&lt;=W1073),1),I$4:I1350))-(W1073-L"&amp;"ARGE(FILTER(I$4:I1350,I$4:I1350&lt;=W1073),1))*INDEX(F$4:F1350,MATCH(LARGE(FILTER(I$4:I1350,I$4:I1350&lt;=W1073),1),I$4:I1350))))"),"")</f>
        <v/>
      </c>
      <c r="N1073" s="60" t="str">
        <f t="shared" si="8"/>
        <v/>
      </c>
      <c r="O1073" s="61" t="str">
        <f t="shared" si="9"/>
        <v/>
      </c>
      <c r="P1073" s="56" t="str">
        <f t="shared" si="10"/>
        <v/>
      </c>
      <c r="Q1073" s="62"/>
      <c r="R1073" s="10" t="str">
        <f>IFERROR(__xludf.DUMMYFUNCTION("IF(COUNTA(Q1073:Q1350)=0,"""",IF(ISBLANK(Q1073),FALSE,IF(NOT(COUNTIF($AA$24:$AA$34,SUBSTITUTE(Q1073,""Sell_"",""""))),1,IF(REGEXMATCH(Q1073,""Sell_""),IF(COUNTIF(Q$4:Q1073,SUBSTITUTE(Q1073,""Sell_"",""""))-COUNTIF(Q$4:Q1072,Q1073)&lt;1,1),FALSE))))"),"")</f>
        <v/>
      </c>
      <c r="S1073" s="59" t="str">
        <f t="array" ref="S1073">IF(COUNTA(Q1073:Q1350)=0,"",SUM((COUNTIF(Q$4:Q1073,Upgrades!$B$3:$B$13)-COUNTIF(Q$4:Q1073,"Sell_"&amp;Upgrades!$B$3:$B$13))*Upgrades!$D$3:$D$13))</f>
        <v/>
      </c>
      <c r="T1073" s="66" t="str">
        <f>IFERROR(__xludf.DUMMYFUNCTION("IF(COUNTA(Q1073:Q1350)=0,"""",IF(REGEXMATCH(INDEX(FILTER(Q$4:Q1073,Q$4:Q1073&lt;&gt;""""),ROWS(FILTER(Q$4:Q1073,Q$4:Q1073&lt;&gt;""""))),""^Sell_""),INDEX(FILTER(T$4:T1072,Q$4:Q1072&lt;&gt;""""),ROWS(FILTER(Q$4:Q1072,Q$4:Q1072&lt;&gt;""""))),$AD$5+S1073))"),"")</f>
        <v/>
      </c>
      <c r="U1073" s="10" t="str">
        <f>IFERROR(__xludf.DUMMYFUNCTION("IF(COUNTA(Q1073:Q1350)=0,"""",IF(Q1073="""",0,IF(REGEXMATCH(Q1073,""^Sell_""),-ROUNDDOWN(ROUNDUP(INDEX(Upgrades!$C$3:$C$13,MATCH(SUBSTITUTE(Q1073,""Sell_"",""""),Upgrades!$B$3:$B$13,0))*1.15^(COUNTIF(Q$4:Q1072,SUBSTITUTE(Q1073,""Sell_"",""""))-COUNTIF(Q$4"&amp;":Q1072,""Sell_""&amp;SUBSTITUTE(Q1073,""Sell_"",""""))))/2),ROUNDUP(INDEX(Upgrades!$C$3:$C$13,MATCH(Q1073,Upgrades!$B$3:$B$13,0))*1.15^(COUNTIF(Q$4:Q1072,Q1073)-COUNTIF(Q$4:Q1072,""Sell_""&amp;Q1073))))))"),"")</f>
        <v/>
      </c>
      <c r="V1073" s="10" t="str">
        <f t="shared" si="11"/>
        <v/>
      </c>
      <c r="W1073" s="68" t="str">
        <f t="shared" si="12"/>
        <v/>
      </c>
      <c r="X1073" s="59" t="str">
        <f t="shared" si="13"/>
        <v/>
      </c>
      <c r="Y1073" s="69" t="str">
        <f t="shared" si="14"/>
        <v/>
      </c>
      <c r="Z1073" s="11"/>
    </row>
    <row r="1074">
      <c r="A1074" s="8"/>
      <c r="B1074" s="56" t="str">
        <f t="shared" si="2"/>
        <v/>
      </c>
      <c r="C1074" s="57"/>
      <c r="D1074" s="10" t="str">
        <f>IFERROR(__xludf.DUMMYFUNCTION("IF(COUNTA(C1074:C1350)=0,"""",IF(ISBLANK(C1074),FALSE,IF(NOT(COUNTIF($AA$24:$AA$34,SUBSTITUTE(C1074,""Sell_"",""""))),1,IF(REGEXMATCH(C1074,""Sell_""),IF(COUNTIF(C$4:C1074,SUBSTITUTE(C1074,""Sell_"",""""))-COUNTIF(C$4:C1073,C1074)&lt;1,1),FALSE))))"),"")</f>
        <v/>
      </c>
      <c r="E1074" s="59" t="str">
        <f t="array" ref="E1074">IF(COUNTA(C1074:C1350)=0,"",SUM((COUNTIF(C$4:C1074,Upgrades!$B$3:$B$13)-COUNTIF(C$4:C1074,"Sell_"&amp;Upgrades!$B$3:$B$13))*Upgrades!$D$3:$D$13))</f>
        <v/>
      </c>
      <c r="F1074" s="66" t="str">
        <f>IFERROR(__xludf.DUMMYFUNCTION("IF(COUNTA(C1074:C1350)=0,"""",IF(REGEXMATCH(INDEX(FILTER(C$4:C1074,C$4:C1074&lt;&gt;""""),ROWS(FILTER(C$4:C1074,C$4:C1074&lt;&gt;""""))),""^Sell_""),INDEX(FILTER(F$4:F1073,C$4:C1073&lt;&gt;""""),ROWS(FILTER(C$4:C1073,C$4:C1073&lt;&gt;""""))),$AC$5+E1074))"),"")</f>
        <v/>
      </c>
      <c r="G1074" s="10" t="str">
        <f>IFERROR(__xludf.DUMMYFUNCTION("IF(COUNTA(C1074:C1350)=0,"""",IF(C1074="""",0,IF(REGEXMATCH(C1074,""^Sell_""),-ROUNDDOWN(ROUNDUP(INDEX(Upgrades!$C$3:$C$13,MATCH(SUBSTITUTE(C1074,""Sell_"",""""),Upgrades!$B$3:$B$13,0))*1.15^(COUNTIF(C$4:C1073,SUBSTITUTE(C1074,""Sell_"",""""))-COUNTIF(C$4"&amp;":C1073,""Sell_""&amp;SUBSTITUTE(C1074,""Sell_"",""""))))/2),ROUNDUP(INDEX(Upgrades!$C$3:$C$13,MATCH(C1074,Upgrades!$B$3:$B$13,0))*1.15^(COUNTIF(C$4:C1073,C1074)-COUNTIF(C$4:C1073,""Sell_""&amp;C1074))))))"),"")</f>
        <v/>
      </c>
      <c r="H1074" s="10" t="str">
        <f t="shared" si="3"/>
        <v/>
      </c>
      <c r="I1074" s="68" t="str">
        <f t="shared" si="4"/>
        <v/>
      </c>
      <c r="J1074" s="59" t="str">
        <f t="shared" si="5"/>
        <v/>
      </c>
      <c r="K1074" s="69" t="str">
        <f t="shared" si="6"/>
        <v/>
      </c>
      <c r="L1074" s="60" t="str">
        <f t="shared" si="7"/>
        <v/>
      </c>
      <c r="M1074" s="61" t="str">
        <f>IFERROR(__xludf.DUMMYFUNCTION("IFS(AND(COUNTA(C1074:C1350)=0,COUNTA(Q1074:Q1350)=0),"""",OR(AND(K1074&gt;=1000000000,OR(Y1074&gt;=1000000000,COUNTA(Q1074:Q1350)=0)),OR(Y1074&gt;=1000000000,AND(COUNTA(C1074:C1350)=0,P$3=TRUE))),
ROUNDDOWN((AB$1-AC$1)*MAX(INDEX(T$4:T1350,MATCH(LARGE(FILTER(Y$4:Y1"&amp;"350,Y$4:Y1350&lt;1000000000),1),Y$4:Y1350)),INDEX(F$4:F1350,MATCH(LARGE(FILTER(K$4:K1350,K$4:K1350&lt;1000000000),1),K$4:K1350)))),AND(K1074&lt;1000000000,COUNTA(C1074:C1350)&gt;0,P$3=FALSE),
ROUNDDOWN(INDEX(Y$4:Y1350,MATCH(LARGE(FILTER(W$4:W1350,W$4:W1350&lt;=I1074),1)"&amp;",W$4:W1350))+(I1074-LARGE(FILTER(W$4:W1350,W$4:W1350&lt;=I1074),1))*INDEX(T$4:T1350,MATCH(LARGE(FILTER(W$4:W1350,W$4:W1350&lt;=I1074),1),W$4:W1350))-K1074),1,
ROUNDDOWN(Y1074-INDEX(K$4:K1350,MATCH(LARGE(FILTER(I$4:I1350,I$4:I1350&lt;=W1074),1),I$4:I1350))-(W1074-L"&amp;"ARGE(FILTER(I$4:I1350,I$4:I1350&lt;=W1074),1))*INDEX(F$4:F1350,MATCH(LARGE(FILTER(I$4:I1350,I$4:I1350&lt;=W1074),1),I$4:I1350))))"),"")</f>
        <v/>
      </c>
      <c r="N1074" s="60" t="str">
        <f t="shared" si="8"/>
        <v/>
      </c>
      <c r="O1074" s="61" t="str">
        <f t="shared" si="9"/>
        <v/>
      </c>
      <c r="P1074" s="56" t="str">
        <f t="shared" si="10"/>
        <v/>
      </c>
      <c r="Q1074" s="62"/>
      <c r="R1074" s="10" t="str">
        <f>IFERROR(__xludf.DUMMYFUNCTION("IF(COUNTA(Q1074:Q1350)=0,"""",IF(ISBLANK(Q1074),FALSE,IF(NOT(COUNTIF($AA$24:$AA$34,SUBSTITUTE(Q1074,""Sell_"",""""))),1,IF(REGEXMATCH(Q1074,""Sell_""),IF(COUNTIF(Q$4:Q1074,SUBSTITUTE(Q1074,""Sell_"",""""))-COUNTIF(Q$4:Q1073,Q1074)&lt;1,1),FALSE))))"),"")</f>
        <v/>
      </c>
      <c r="S1074" s="59" t="str">
        <f t="array" ref="S1074">IF(COUNTA(Q1074:Q1350)=0,"",SUM((COUNTIF(Q$4:Q1074,Upgrades!$B$3:$B$13)-COUNTIF(Q$4:Q1074,"Sell_"&amp;Upgrades!$B$3:$B$13))*Upgrades!$D$3:$D$13))</f>
        <v/>
      </c>
      <c r="T1074" s="66" t="str">
        <f>IFERROR(__xludf.DUMMYFUNCTION("IF(COUNTA(Q1074:Q1350)=0,"""",IF(REGEXMATCH(INDEX(FILTER(Q$4:Q1074,Q$4:Q1074&lt;&gt;""""),ROWS(FILTER(Q$4:Q1074,Q$4:Q1074&lt;&gt;""""))),""^Sell_""),INDEX(FILTER(T$4:T1073,Q$4:Q1073&lt;&gt;""""),ROWS(FILTER(Q$4:Q1073,Q$4:Q1073&lt;&gt;""""))),$AD$5+S1074))"),"")</f>
        <v/>
      </c>
      <c r="U1074" s="10" t="str">
        <f>IFERROR(__xludf.DUMMYFUNCTION("IF(COUNTA(Q1074:Q1350)=0,"""",IF(Q1074="""",0,IF(REGEXMATCH(Q1074,""^Sell_""),-ROUNDDOWN(ROUNDUP(INDEX(Upgrades!$C$3:$C$13,MATCH(SUBSTITUTE(Q1074,""Sell_"",""""),Upgrades!$B$3:$B$13,0))*1.15^(COUNTIF(Q$4:Q1073,SUBSTITUTE(Q1074,""Sell_"",""""))-COUNTIF(Q$4"&amp;":Q1073,""Sell_""&amp;SUBSTITUTE(Q1074,""Sell_"",""""))))/2),ROUNDUP(INDEX(Upgrades!$C$3:$C$13,MATCH(Q1074,Upgrades!$B$3:$B$13,0))*1.15^(COUNTIF(Q$4:Q1073,Q1074)-COUNTIF(Q$4:Q1073,""Sell_""&amp;Q1074))))))"),"")</f>
        <v/>
      </c>
      <c r="V1074" s="10" t="str">
        <f t="shared" si="11"/>
        <v/>
      </c>
      <c r="W1074" s="68" t="str">
        <f t="shared" si="12"/>
        <v/>
      </c>
      <c r="X1074" s="59" t="str">
        <f t="shared" si="13"/>
        <v/>
      </c>
      <c r="Y1074" s="69" t="str">
        <f t="shared" si="14"/>
        <v/>
      </c>
      <c r="Z1074" s="11"/>
    </row>
    <row r="1075">
      <c r="A1075" s="8"/>
      <c r="B1075" s="56" t="str">
        <f t="shared" si="2"/>
        <v/>
      </c>
      <c r="C1075" s="57"/>
      <c r="D1075" s="10" t="str">
        <f>IFERROR(__xludf.DUMMYFUNCTION("IF(COUNTA(C1075:C1350)=0,"""",IF(ISBLANK(C1075),FALSE,IF(NOT(COUNTIF($AA$24:$AA$34,SUBSTITUTE(C1075,""Sell_"",""""))),1,IF(REGEXMATCH(C1075,""Sell_""),IF(COUNTIF(C$4:C1075,SUBSTITUTE(C1075,""Sell_"",""""))-COUNTIF(C$4:C1074,C1075)&lt;1,1),FALSE))))"),"")</f>
        <v/>
      </c>
      <c r="E1075" s="59" t="str">
        <f t="array" ref="E1075">IF(COUNTA(C1075:C1350)=0,"",SUM((COUNTIF(C$4:C1075,Upgrades!$B$3:$B$13)-COUNTIF(C$4:C1075,"Sell_"&amp;Upgrades!$B$3:$B$13))*Upgrades!$D$3:$D$13))</f>
        <v/>
      </c>
      <c r="F1075" s="66" t="str">
        <f>IFERROR(__xludf.DUMMYFUNCTION("IF(COUNTA(C1075:C1350)=0,"""",IF(REGEXMATCH(INDEX(FILTER(C$4:C1075,C$4:C1075&lt;&gt;""""),ROWS(FILTER(C$4:C1075,C$4:C1075&lt;&gt;""""))),""^Sell_""),INDEX(FILTER(F$4:F1074,C$4:C1074&lt;&gt;""""),ROWS(FILTER(C$4:C1074,C$4:C1074&lt;&gt;""""))),$AC$5+E1075))"),"")</f>
        <v/>
      </c>
      <c r="G1075" s="10" t="str">
        <f>IFERROR(__xludf.DUMMYFUNCTION("IF(COUNTA(C1075:C1350)=0,"""",IF(C1075="""",0,IF(REGEXMATCH(C1075,""^Sell_""),-ROUNDDOWN(ROUNDUP(INDEX(Upgrades!$C$3:$C$13,MATCH(SUBSTITUTE(C1075,""Sell_"",""""),Upgrades!$B$3:$B$13,0))*1.15^(COUNTIF(C$4:C1074,SUBSTITUTE(C1075,""Sell_"",""""))-COUNTIF(C$4"&amp;":C1074,""Sell_""&amp;SUBSTITUTE(C1075,""Sell_"",""""))))/2),ROUNDUP(INDEX(Upgrades!$C$3:$C$13,MATCH(C1075,Upgrades!$B$3:$B$13,0))*1.15^(COUNTIF(C$4:C1074,C1075)-COUNTIF(C$4:C1074,""Sell_""&amp;C1075))))))"),"")</f>
        <v/>
      </c>
      <c r="H1075" s="10" t="str">
        <f t="shared" si="3"/>
        <v/>
      </c>
      <c r="I1075" s="68" t="str">
        <f t="shared" si="4"/>
        <v/>
      </c>
      <c r="J1075" s="59" t="str">
        <f t="shared" si="5"/>
        <v/>
      </c>
      <c r="K1075" s="69" t="str">
        <f t="shared" si="6"/>
        <v/>
      </c>
      <c r="L1075" s="60" t="str">
        <f t="shared" si="7"/>
        <v/>
      </c>
      <c r="M1075" s="61" t="str">
        <f>IFERROR(__xludf.DUMMYFUNCTION("IFS(AND(COUNTA(C1075:C1350)=0,COUNTA(Q1075:Q1350)=0),"""",OR(AND(K1075&gt;=1000000000,OR(Y1075&gt;=1000000000,COUNTA(Q1075:Q1350)=0)),OR(Y1075&gt;=1000000000,AND(COUNTA(C1075:C1350)=0,P$3=TRUE))),
ROUNDDOWN((AB$1-AC$1)*MAX(INDEX(T$4:T1350,MATCH(LARGE(FILTER(Y$4:Y1"&amp;"350,Y$4:Y1350&lt;1000000000),1),Y$4:Y1350)),INDEX(F$4:F1350,MATCH(LARGE(FILTER(K$4:K1350,K$4:K1350&lt;1000000000),1),K$4:K1350)))),AND(K1075&lt;1000000000,COUNTA(C1075:C1350)&gt;0,P$3=FALSE),
ROUNDDOWN(INDEX(Y$4:Y1350,MATCH(LARGE(FILTER(W$4:W1350,W$4:W1350&lt;=I1075),1)"&amp;",W$4:W1350))+(I1075-LARGE(FILTER(W$4:W1350,W$4:W1350&lt;=I1075),1))*INDEX(T$4:T1350,MATCH(LARGE(FILTER(W$4:W1350,W$4:W1350&lt;=I1075),1),W$4:W1350))-K1075),1,
ROUNDDOWN(Y1075-INDEX(K$4:K1350,MATCH(LARGE(FILTER(I$4:I1350,I$4:I1350&lt;=W1075),1),I$4:I1350))-(W1075-L"&amp;"ARGE(FILTER(I$4:I1350,I$4:I1350&lt;=W1075),1))*INDEX(F$4:F1350,MATCH(LARGE(FILTER(I$4:I1350,I$4:I1350&lt;=W1075),1),I$4:I1350))))"),"")</f>
        <v/>
      </c>
      <c r="N1075" s="60" t="str">
        <f t="shared" si="8"/>
        <v/>
      </c>
      <c r="O1075" s="61" t="str">
        <f t="shared" si="9"/>
        <v/>
      </c>
      <c r="P1075" s="56" t="str">
        <f t="shared" si="10"/>
        <v/>
      </c>
      <c r="Q1075" s="62"/>
      <c r="R1075" s="10" t="str">
        <f>IFERROR(__xludf.DUMMYFUNCTION("IF(COUNTA(Q1075:Q1350)=0,"""",IF(ISBLANK(Q1075),FALSE,IF(NOT(COUNTIF($AA$24:$AA$34,SUBSTITUTE(Q1075,""Sell_"",""""))),1,IF(REGEXMATCH(Q1075,""Sell_""),IF(COUNTIF(Q$4:Q1075,SUBSTITUTE(Q1075,""Sell_"",""""))-COUNTIF(Q$4:Q1074,Q1075)&lt;1,1),FALSE))))"),"")</f>
        <v/>
      </c>
      <c r="S1075" s="59" t="str">
        <f t="array" ref="S1075">IF(COUNTA(Q1075:Q1350)=0,"",SUM((COUNTIF(Q$4:Q1075,Upgrades!$B$3:$B$13)-COUNTIF(Q$4:Q1075,"Sell_"&amp;Upgrades!$B$3:$B$13))*Upgrades!$D$3:$D$13))</f>
        <v/>
      </c>
      <c r="T1075" s="66" t="str">
        <f>IFERROR(__xludf.DUMMYFUNCTION("IF(COUNTA(Q1075:Q1350)=0,"""",IF(REGEXMATCH(INDEX(FILTER(Q$4:Q1075,Q$4:Q1075&lt;&gt;""""),ROWS(FILTER(Q$4:Q1075,Q$4:Q1075&lt;&gt;""""))),""^Sell_""),INDEX(FILTER(T$4:T1074,Q$4:Q1074&lt;&gt;""""),ROWS(FILTER(Q$4:Q1074,Q$4:Q1074&lt;&gt;""""))),$AD$5+S1075))"),"")</f>
        <v/>
      </c>
      <c r="U1075" s="10" t="str">
        <f>IFERROR(__xludf.DUMMYFUNCTION("IF(COUNTA(Q1075:Q1350)=0,"""",IF(Q1075="""",0,IF(REGEXMATCH(Q1075,""^Sell_""),-ROUNDDOWN(ROUNDUP(INDEX(Upgrades!$C$3:$C$13,MATCH(SUBSTITUTE(Q1075,""Sell_"",""""),Upgrades!$B$3:$B$13,0))*1.15^(COUNTIF(Q$4:Q1074,SUBSTITUTE(Q1075,""Sell_"",""""))-COUNTIF(Q$4"&amp;":Q1074,""Sell_""&amp;SUBSTITUTE(Q1075,""Sell_"",""""))))/2),ROUNDUP(INDEX(Upgrades!$C$3:$C$13,MATCH(Q1075,Upgrades!$B$3:$B$13,0))*1.15^(COUNTIF(Q$4:Q1074,Q1075)-COUNTIF(Q$4:Q1074,""Sell_""&amp;Q1075))))))"),"")</f>
        <v/>
      </c>
      <c r="V1075" s="10" t="str">
        <f t="shared" si="11"/>
        <v/>
      </c>
      <c r="W1075" s="68" t="str">
        <f t="shared" si="12"/>
        <v/>
      </c>
      <c r="X1075" s="59" t="str">
        <f t="shared" si="13"/>
        <v/>
      </c>
      <c r="Y1075" s="69" t="str">
        <f t="shared" si="14"/>
        <v/>
      </c>
      <c r="Z1075" s="11"/>
    </row>
    <row r="1076">
      <c r="A1076" s="8"/>
      <c r="B1076" s="56" t="str">
        <f t="shared" si="2"/>
        <v/>
      </c>
      <c r="C1076" s="57"/>
      <c r="D1076" s="10" t="str">
        <f>IFERROR(__xludf.DUMMYFUNCTION("IF(COUNTA(C1076:C1350)=0,"""",IF(ISBLANK(C1076),FALSE,IF(NOT(COUNTIF($AA$24:$AA$34,SUBSTITUTE(C1076,""Sell_"",""""))),1,IF(REGEXMATCH(C1076,""Sell_""),IF(COUNTIF(C$4:C1076,SUBSTITUTE(C1076,""Sell_"",""""))-COUNTIF(C$4:C1075,C1076)&lt;1,1),FALSE))))"),"")</f>
        <v/>
      </c>
      <c r="E1076" s="59" t="str">
        <f t="array" ref="E1076">IF(COUNTA(C1076:C1350)=0,"",SUM((COUNTIF(C$4:C1076,Upgrades!$B$3:$B$13)-COUNTIF(C$4:C1076,"Sell_"&amp;Upgrades!$B$3:$B$13))*Upgrades!$D$3:$D$13))</f>
        <v/>
      </c>
      <c r="F1076" s="66" t="str">
        <f>IFERROR(__xludf.DUMMYFUNCTION("IF(COUNTA(C1076:C1350)=0,"""",IF(REGEXMATCH(INDEX(FILTER(C$4:C1076,C$4:C1076&lt;&gt;""""),ROWS(FILTER(C$4:C1076,C$4:C1076&lt;&gt;""""))),""^Sell_""),INDEX(FILTER(F$4:F1075,C$4:C1075&lt;&gt;""""),ROWS(FILTER(C$4:C1075,C$4:C1075&lt;&gt;""""))),$AC$5+E1076))"),"")</f>
        <v/>
      </c>
      <c r="G1076" s="10" t="str">
        <f>IFERROR(__xludf.DUMMYFUNCTION("IF(COUNTA(C1076:C1350)=0,"""",IF(C1076="""",0,IF(REGEXMATCH(C1076,""^Sell_""),-ROUNDDOWN(ROUNDUP(INDEX(Upgrades!$C$3:$C$13,MATCH(SUBSTITUTE(C1076,""Sell_"",""""),Upgrades!$B$3:$B$13,0))*1.15^(COUNTIF(C$4:C1075,SUBSTITUTE(C1076,""Sell_"",""""))-COUNTIF(C$4"&amp;":C1075,""Sell_""&amp;SUBSTITUTE(C1076,""Sell_"",""""))))/2),ROUNDUP(INDEX(Upgrades!$C$3:$C$13,MATCH(C1076,Upgrades!$B$3:$B$13,0))*1.15^(COUNTIF(C$4:C1075,C1076)-COUNTIF(C$4:C1075,""Sell_""&amp;C1076))))))"),"")</f>
        <v/>
      </c>
      <c r="H1076" s="10" t="str">
        <f t="shared" si="3"/>
        <v/>
      </c>
      <c r="I1076" s="68" t="str">
        <f t="shared" si="4"/>
        <v/>
      </c>
      <c r="J1076" s="59" t="str">
        <f t="shared" si="5"/>
        <v/>
      </c>
      <c r="K1076" s="69" t="str">
        <f t="shared" si="6"/>
        <v/>
      </c>
      <c r="L1076" s="60" t="str">
        <f t="shared" si="7"/>
        <v/>
      </c>
      <c r="M1076" s="61" t="str">
        <f>IFERROR(__xludf.DUMMYFUNCTION("IFS(AND(COUNTA(C1076:C1350)=0,COUNTA(Q1076:Q1350)=0),"""",OR(AND(K1076&gt;=1000000000,OR(Y1076&gt;=1000000000,COUNTA(Q1076:Q1350)=0)),OR(Y1076&gt;=1000000000,AND(COUNTA(C1076:C1350)=0,P$3=TRUE))),
ROUNDDOWN((AB$1-AC$1)*MAX(INDEX(T$4:T1350,MATCH(LARGE(FILTER(Y$4:Y1"&amp;"350,Y$4:Y1350&lt;1000000000),1),Y$4:Y1350)),INDEX(F$4:F1350,MATCH(LARGE(FILTER(K$4:K1350,K$4:K1350&lt;1000000000),1),K$4:K1350)))),AND(K1076&lt;1000000000,COUNTA(C1076:C1350)&gt;0,P$3=FALSE),
ROUNDDOWN(INDEX(Y$4:Y1350,MATCH(LARGE(FILTER(W$4:W1350,W$4:W1350&lt;=I1076),1)"&amp;",W$4:W1350))+(I1076-LARGE(FILTER(W$4:W1350,W$4:W1350&lt;=I1076),1))*INDEX(T$4:T1350,MATCH(LARGE(FILTER(W$4:W1350,W$4:W1350&lt;=I1076),1),W$4:W1350))-K1076),1,
ROUNDDOWN(Y1076-INDEX(K$4:K1350,MATCH(LARGE(FILTER(I$4:I1350,I$4:I1350&lt;=W1076),1),I$4:I1350))-(W1076-L"&amp;"ARGE(FILTER(I$4:I1350,I$4:I1350&lt;=W1076),1))*INDEX(F$4:F1350,MATCH(LARGE(FILTER(I$4:I1350,I$4:I1350&lt;=W1076),1),I$4:I1350))))"),"")</f>
        <v/>
      </c>
      <c r="N1076" s="60" t="str">
        <f t="shared" si="8"/>
        <v/>
      </c>
      <c r="O1076" s="61" t="str">
        <f t="shared" si="9"/>
        <v/>
      </c>
      <c r="P1076" s="56" t="str">
        <f t="shared" si="10"/>
        <v/>
      </c>
      <c r="Q1076" s="62"/>
      <c r="R1076" s="10" t="str">
        <f>IFERROR(__xludf.DUMMYFUNCTION("IF(COUNTA(Q1076:Q1350)=0,"""",IF(ISBLANK(Q1076),FALSE,IF(NOT(COUNTIF($AA$24:$AA$34,SUBSTITUTE(Q1076,""Sell_"",""""))),1,IF(REGEXMATCH(Q1076,""Sell_""),IF(COUNTIF(Q$4:Q1076,SUBSTITUTE(Q1076,""Sell_"",""""))-COUNTIF(Q$4:Q1075,Q1076)&lt;1,1),FALSE))))"),"")</f>
        <v/>
      </c>
      <c r="S1076" s="59" t="str">
        <f t="array" ref="S1076">IF(COUNTA(Q1076:Q1350)=0,"",SUM((COUNTIF(Q$4:Q1076,Upgrades!$B$3:$B$13)-COUNTIF(Q$4:Q1076,"Sell_"&amp;Upgrades!$B$3:$B$13))*Upgrades!$D$3:$D$13))</f>
        <v/>
      </c>
      <c r="T1076" s="66" t="str">
        <f>IFERROR(__xludf.DUMMYFUNCTION("IF(COUNTA(Q1076:Q1350)=0,"""",IF(REGEXMATCH(INDEX(FILTER(Q$4:Q1076,Q$4:Q1076&lt;&gt;""""),ROWS(FILTER(Q$4:Q1076,Q$4:Q1076&lt;&gt;""""))),""^Sell_""),INDEX(FILTER(T$4:T1075,Q$4:Q1075&lt;&gt;""""),ROWS(FILTER(Q$4:Q1075,Q$4:Q1075&lt;&gt;""""))),$AD$5+S1076))"),"")</f>
        <v/>
      </c>
      <c r="U1076" s="10" t="str">
        <f>IFERROR(__xludf.DUMMYFUNCTION("IF(COUNTA(Q1076:Q1350)=0,"""",IF(Q1076="""",0,IF(REGEXMATCH(Q1076,""^Sell_""),-ROUNDDOWN(ROUNDUP(INDEX(Upgrades!$C$3:$C$13,MATCH(SUBSTITUTE(Q1076,""Sell_"",""""),Upgrades!$B$3:$B$13,0))*1.15^(COUNTIF(Q$4:Q1075,SUBSTITUTE(Q1076,""Sell_"",""""))-COUNTIF(Q$4"&amp;":Q1075,""Sell_""&amp;SUBSTITUTE(Q1076,""Sell_"",""""))))/2),ROUNDUP(INDEX(Upgrades!$C$3:$C$13,MATCH(Q1076,Upgrades!$B$3:$B$13,0))*1.15^(COUNTIF(Q$4:Q1075,Q1076)-COUNTIF(Q$4:Q1075,""Sell_""&amp;Q1076))))))"),"")</f>
        <v/>
      </c>
      <c r="V1076" s="10" t="str">
        <f t="shared" si="11"/>
        <v/>
      </c>
      <c r="W1076" s="68" t="str">
        <f t="shared" si="12"/>
        <v/>
      </c>
      <c r="X1076" s="59" t="str">
        <f t="shared" si="13"/>
        <v/>
      </c>
      <c r="Y1076" s="69" t="str">
        <f t="shared" si="14"/>
        <v/>
      </c>
      <c r="Z1076" s="11"/>
    </row>
    <row r="1077">
      <c r="A1077" s="8"/>
      <c r="B1077" s="56" t="str">
        <f t="shared" si="2"/>
        <v/>
      </c>
      <c r="C1077" s="57"/>
      <c r="D1077" s="10" t="str">
        <f>IFERROR(__xludf.DUMMYFUNCTION("IF(COUNTA(C1077:C1350)=0,"""",IF(ISBLANK(C1077),FALSE,IF(NOT(COUNTIF($AA$24:$AA$34,SUBSTITUTE(C1077,""Sell_"",""""))),1,IF(REGEXMATCH(C1077,""Sell_""),IF(COUNTIF(C$4:C1077,SUBSTITUTE(C1077,""Sell_"",""""))-COUNTIF(C$4:C1076,C1077)&lt;1,1),FALSE))))"),"")</f>
        <v/>
      </c>
      <c r="E1077" s="59" t="str">
        <f t="array" ref="E1077">IF(COUNTA(C1077:C1350)=0,"",SUM((COUNTIF(C$4:C1077,Upgrades!$B$3:$B$13)-COUNTIF(C$4:C1077,"Sell_"&amp;Upgrades!$B$3:$B$13))*Upgrades!$D$3:$D$13))</f>
        <v/>
      </c>
      <c r="F1077" s="66" t="str">
        <f>IFERROR(__xludf.DUMMYFUNCTION("IF(COUNTA(C1077:C1350)=0,"""",IF(REGEXMATCH(INDEX(FILTER(C$4:C1077,C$4:C1077&lt;&gt;""""),ROWS(FILTER(C$4:C1077,C$4:C1077&lt;&gt;""""))),""^Sell_""),INDEX(FILTER(F$4:F1076,C$4:C1076&lt;&gt;""""),ROWS(FILTER(C$4:C1076,C$4:C1076&lt;&gt;""""))),$AC$5+E1077))"),"")</f>
        <v/>
      </c>
      <c r="G1077" s="10" t="str">
        <f>IFERROR(__xludf.DUMMYFUNCTION("IF(COUNTA(C1077:C1350)=0,"""",IF(C1077="""",0,IF(REGEXMATCH(C1077,""^Sell_""),-ROUNDDOWN(ROUNDUP(INDEX(Upgrades!$C$3:$C$13,MATCH(SUBSTITUTE(C1077,""Sell_"",""""),Upgrades!$B$3:$B$13,0))*1.15^(COUNTIF(C$4:C1076,SUBSTITUTE(C1077,""Sell_"",""""))-COUNTIF(C$4"&amp;":C1076,""Sell_""&amp;SUBSTITUTE(C1077,""Sell_"",""""))))/2),ROUNDUP(INDEX(Upgrades!$C$3:$C$13,MATCH(C1077,Upgrades!$B$3:$B$13,0))*1.15^(COUNTIF(C$4:C1076,C1077)-COUNTIF(C$4:C1076,""Sell_""&amp;C1077))))))"),"")</f>
        <v/>
      </c>
      <c r="H1077" s="10" t="str">
        <f t="shared" si="3"/>
        <v/>
      </c>
      <c r="I1077" s="68" t="str">
        <f t="shared" si="4"/>
        <v/>
      </c>
      <c r="J1077" s="59" t="str">
        <f t="shared" si="5"/>
        <v/>
      </c>
      <c r="K1077" s="69" t="str">
        <f t="shared" si="6"/>
        <v/>
      </c>
      <c r="L1077" s="60" t="str">
        <f t="shared" si="7"/>
        <v/>
      </c>
      <c r="M1077" s="61" t="str">
        <f>IFERROR(__xludf.DUMMYFUNCTION("IFS(AND(COUNTA(C1077:C1350)=0,COUNTA(Q1077:Q1350)=0),"""",OR(AND(K1077&gt;=1000000000,OR(Y1077&gt;=1000000000,COUNTA(Q1077:Q1350)=0)),OR(Y1077&gt;=1000000000,AND(COUNTA(C1077:C1350)=0,P$3=TRUE))),
ROUNDDOWN((AB$1-AC$1)*MAX(INDEX(T$4:T1350,MATCH(LARGE(FILTER(Y$4:Y1"&amp;"350,Y$4:Y1350&lt;1000000000),1),Y$4:Y1350)),INDEX(F$4:F1350,MATCH(LARGE(FILTER(K$4:K1350,K$4:K1350&lt;1000000000),1),K$4:K1350)))),AND(K1077&lt;1000000000,COUNTA(C1077:C1350)&gt;0,P$3=FALSE),
ROUNDDOWN(INDEX(Y$4:Y1350,MATCH(LARGE(FILTER(W$4:W1350,W$4:W1350&lt;=I1077),1)"&amp;",W$4:W1350))+(I1077-LARGE(FILTER(W$4:W1350,W$4:W1350&lt;=I1077),1))*INDEX(T$4:T1350,MATCH(LARGE(FILTER(W$4:W1350,W$4:W1350&lt;=I1077),1),W$4:W1350))-K1077),1,
ROUNDDOWN(Y1077-INDEX(K$4:K1350,MATCH(LARGE(FILTER(I$4:I1350,I$4:I1350&lt;=W1077),1),I$4:I1350))-(W1077-L"&amp;"ARGE(FILTER(I$4:I1350,I$4:I1350&lt;=W1077),1))*INDEX(F$4:F1350,MATCH(LARGE(FILTER(I$4:I1350,I$4:I1350&lt;=W1077),1),I$4:I1350))))"),"")</f>
        <v/>
      </c>
      <c r="N1077" s="60" t="str">
        <f t="shared" si="8"/>
        <v/>
      </c>
      <c r="O1077" s="61" t="str">
        <f t="shared" si="9"/>
        <v/>
      </c>
      <c r="P1077" s="56" t="str">
        <f t="shared" si="10"/>
        <v/>
      </c>
      <c r="Q1077" s="62"/>
      <c r="R1077" s="10" t="str">
        <f>IFERROR(__xludf.DUMMYFUNCTION("IF(COUNTA(Q1077:Q1350)=0,"""",IF(ISBLANK(Q1077),FALSE,IF(NOT(COUNTIF($AA$24:$AA$34,SUBSTITUTE(Q1077,""Sell_"",""""))),1,IF(REGEXMATCH(Q1077,""Sell_""),IF(COUNTIF(Q$4:Q1077,SUBSTITUTE(Q1077,""Sell_"",""""))-COUNTIF(Q$4:Q1076,Q1077)&lt;1,1),FALSE))))"),"")</f>
        <v/>
      </c>
      <c r="S1077" s="59" t="str">
        <f t="array" ref="S1077">IF(COUNTA(Q1077:Q1350)=0,"",SUM((COUNTIF(Q$4:Q1077,Upgrades!$B$3:$B$13)-COUNTIF(Q$4:Q1077,"Sell_"&amp;Upgrades!$B$3:$B$13))*Upgrades!$D$3:$D$13))</f>
        <v/>
      </c>
      <c r="T1077" s="66" t="str">
        <f>IFERROR(__xludf.DUMMYFUNCTION("IF(COUNTA(Q1077:Q1350)=0,"""",IF(REGEXMATCH(INDEX(FILTER(Q$4:Q1077,Q$4:Q1077&lt;&gt;""""),ROWS(FILTER(Q$4:Q1077,Q$4:Q1077&lt;&gt;""""))),""^Sell_""),INDEX(FILTER(T$4:T1076,Q$4:Q1076&lt;&gt;""""),ROWS(FILTER(Q$4:Q1076,Q$4:Q1076&lt;&gt;""""))),$AD$5+S1077))"),"")</f>
        <v/>
      </c>
      <c r="U1077" s="10" t="str">
        <f>IFERROR(__xludf.DUMMYFUNCTION("IF(COUNTA(Q1077:Q1350)=0,"""",IF(Q1077="""",0,IF(REGEXMATCH(Q1077,""^Sell_""),-ROUNDDOWN(ROUNDUP(INDEX(Upgrades!$C$3:$C$13,MATCH(SUBSTITUTE(Q1077,""Sell_"",""""),Upgrades!$B$3:$B$13,0))*1.15^(COUNTIF(Q$4:Q1076,SUBSTITUTE(Q1077,""Sell_"",""""))-COUNTIF(Q$4"&amp;":Q1076,""Sell_""&amp;SUBSTITUTE(Q1077,""Sell_"",""""))))/2),ROUNDUP(INDEX(Upgrades!$C$3:$C$13,MATCH(Q1077,Upgrades!$B$3:$B$13,0))*1.15^(COUNTIF(Q$4:Q1076,Q1077)-COUNTIF(Q$4:Q1076,""Sell_""&amp;Q1077))))))"),"")</f>
        <v/>
      </c>
      <c r="V1077" s="10" t="str">
        <f t="shared" si="11"/>
        <v/>
      </c>
      <c r="W1077" s="68" t="str">
        <f t="shared" si="12"/>
        <v/>
      </c>
      <c r="X1077" s="59" t="str">
        <f t="shared" si="13"/>
        <v/>
      </c>
      <c r="Y1077" s="69" t="str">
        <f t="shared" si="14"/>
        <v/>
      </c>
      <c r="Z1077" s="11"/>
    </row>
    <row r="1078">
      <c r="A1078" s="8"/>
      <c r="B1078" s="56" t="str">
        <f t="shared" si="2"/>
        <v/>
      </c>
      <c r="C1078" s="57"/>
      <c r="D1078" s="10" t="str">
        <f>IFERROR(__xludf.DUMMYFUNCTION("IF(COUNTA(C1078:C1350)=0,"""",IF(ISBLANK(C1078),FALSE,IF(NOT(COUNTIF($AA$24:$AA$34,SUBSTITUTE(C1078,""Sell_"",""""))),1,IF(REGEXMATCH(C1078,""Sell_""),IF(COUNTIF(C$4:C1078,SUBSTITUTE(C1078,""Sell_"",""""))-COUNTIF(C$4:C1077,C1078)&lt;1,1),FALSE))))"),"")</f>
        <v/>
      </c>
      <c r="E1078" s="59" t="str">
        <f t="array" ref="E1078">IF(COUNTA(C1078:C1350)=0,"",SUM((COUNTIF(C$4:C1078,Upgrades!$B$3:$B$13)-COUNTIF(C$4:C1078,"Sell_"&amp;Upgrades!$B$3:$B$13))*Upgrades!$D$3:$D$13))</f>
        <v/>
      </c>
      <c r="F1078" s="66" t="str">
        <f>IFERROR(__xludf.DUMMYFUNCTION("IF(COUNTA(C1078:C1350)=0,"""",IF(REGEXMATCH(INDEX(FILTER(C$4:C1078,C$4:C1078&lt;&gt;""""),ROWS(FILTER(C$4:C1078,C$4:C1078&lt;&gt;""""))),""^Sell_""),INDEX(FILTER(F$4:F1077,C$4:C1077&lt;&gt;""""),ROWS(FILTER(C$4:C1077,C$4:C1077&lt;&gt;""""))),$AC$5+E1078))"),"")</f>
        <v/>
      </c>
      <c r="G1078" s="10" t="str">
        <f>IFERROR(__xludf.DUMMYFUNCTION("IF(COUNTA(C1078:C1350)=0,"""",IF(C1078="""",0,IF(REGEXMATCH(C1078,""^Sell_""),-ROUNDDOWN(ROUNDUP(INDEX(Upgrades!$C$3:$C$13,MATCH(SUBSTITUTE(C1078,""Sell_"",""""),Upgrades!$B$3:$B$13,0))*1.15^(COUNTIF(C$4:C1077,SUBSTITUTE(C1078,""Sell_"",""""))-COUNTIF(C$4"&amp;":C1077,""Sell_""&amp;SUBSTITUTE(C1078,""Sell_"",""""))))/2),ROUNDUP(INDEX(Upgrades!$C$3:$C$13,MATCH(C1078,Upgrades!$B$3:$B$13,0))*1.15^(COUNTIF(C$4:C1077,C1078)-COUNTIF(C$4:C1077,""Sell_""&amp;C1078))))))"),"")</f>
        <v/>
      </c>
      <c r="H1078" s="10" t="str">
        <f t="shared" si="3"/>
        <v/>
      </c>
      <c r="I1078" s="68" t="str">
        <f t="shared" si="4"/>
        <v/>
      </c>
      <c r="J1078" s="59" t="str">
        <f t="shared" si="5"/>
        <v/>
      </c>
      <c r="K1078" s="69" t="str">
        <f t="shared" si="6"/>
        <v/>
      </c>
      <c r="L1078" s="60" t="str">
        <f t="shared" si="7"/>
        <v/>
      </c>
      <c r="M1078" s="61" t="str">
        <f>IFERROR(__xludf.DUMMYFUNCTION("IFS(AND(COUNTA(C1078:C1350)=0,COUNTA(Q1078:Q1350)=0),"""",OR(AND(K1078&gt;=1000000000,OR(Y1078&gt;=1000000000,COUNTA(Q1078:Q1350)=0)),OR(Y1078&gt;=1000000000,AND(COUNTA(C1078:C1350)=0,P$3=TRUE))),
ROUNDDOWN((AB$1-AC$1)*MAX(INDEX(T$4:T1350,MATCH(LARGE(FILTER(Y$4:Y1"&amp;"350,Y$4:Y1350&lt;1000000000),1),Y$4:Y1350)),INDEX(F$4:F1350,MATCH(LARGE(FILTER(K$4:K1350,K$4:K1350&lt;1000000000),1),K$4:K1350)))),AND(K1078&lt;1000000000,COUNTA(C1078:C1350)&gt;0,P$3=FALSE),
ROUNDDOWN(INDEX(Y$4:Y1350,MATCH(LARGE(FILTER(W$4:W1350,W$4:W1350&lt;=I1078),1)"&amp;",W$4:W1350))+(I1078-LARGE(FILTER(W$4:W1350,W$4:W1350&lt;=I1078),1))*INDEX(T$4:T1350,MATCH(LARGE(FILTER(W$4:W1350,W$4:W1350&lt;=I1078),1),W$4:W1350))-K1078),1,
ROUNDDOWN(Y1078-INDEX(K$4:K1350,MATCH(LARGE(FILTER(I$4:I1350,I$4:I1350&lt;=W1078),1),I$4:I1350))-(W1078-L"&amp;"ARGE(FILTER(I$4:I1350,I$4:I1350&lt;=W1078),1))*INDEX(F$4:F1350,MATCH(LARGE(FILTER(I$4:I1350,I$4:I1350&lt;=W1078),1),I$4:I1350))))"),"")</f>
        <v/>
      </c>
      <c r="N1078" s="60" t="str">
        <f t="shared" si="8"/>
        <v/>
      </c>
      <c r="O1078" s="61" t="str">
        <f t="shared" si="9"/>
        <v/>
      </c>
      <c r="P1078" s="56" t="str">
        <f t="shared" si="10"/>
        <v/>
      </c>
      <c r="Q1078" s="62"/>
      <c r="R1078" s="10" t="str">
        <f>IFERROR(__xludf.DUMMYFUNCTION("IF(COUNTA(Q1078:Q1350)=0,"""",IF(ISBLANK(Q1078),FALSE,IF(NOT(COUNTIF($AA$24:$AA$34,SUBSTITUTE(Q1078,""Sell_"",""""))),1,IF(REGEXMATCH(Q1078,""Sell_""),IF(COUNTIF(Q$4:Q1078,SUBSTITUTE(Q1078,""Sell_"",""""))-COUNTIF(Q$4:Q1077,Q1078)&lt;1,1),FALSE))))"),"")</f>
        <v/>
      </c>
      <c r="S1078" s="59" t="str">
        <f t="array" ref="S1078">IF(COUNTA(Q1078:Q1350)=0,"",SUM((COUNTIF(Q$4:Q1078,Upgrades!$B$3:$B$13)-COUNTIF(Q$4:Q1078,"Sell_"&amp;Upgrades!$B$3:$B$13))*Upgrades!$D$3:$D$13))</f>
        <v/>
      </c>
      <c r="T1078" s="66" t="str">
        <f>IFERROR(__xludf.DUMMYFUNCTION("IF(COUNTA(Q1078:Q1350)=0,"""",IF(REGEXMATCH(INDEX(FILTER(Q$4:Q1078,Q$4:Q1078&lt;&gt;""""),ROWS(FILTER(Q$4:Q1078,Q$4:Q1078&lt;&gt;""""))),""^Sell_""),INDEX(FILTER(T$4:T1077,Q$4:Q1077&lt;&gt;""""),ROWS(FILTER(Q$4:Q1077,Q$4:Q1077&lt;&gt;""""))),$AD$5+S1078))"),"")</f>
        <v/>
      </c>
      <c r="U1078" s="10" t="str">
        <f>IFERROR(__xludf.DUMMYFUNCTION("IF(COUNTA(Q1078:Q1350)=0,"""",IF(Q1078="""",0,IF(REGEXMATCH(Q1078,""^Sell_""),-ROUNDDOWN(ROUNDUP(INDEX(Upgrades!$C$3:$C$13,MATCH(SUBSTITUTE(Q1078,""Sell_"",""""),Upgrades!$B$3:$B$13,0))*1.15^(COUNTIF(Q$4:Q1077,SUBSTITUTE(Q1078,""Sell_"",""""))-COUNTIF(Q$4"&amp;":Q1077,""Sell_""&amp;SUBSTITUTE(Q1078,""Sell_"",""""))))/2),ROUNDUP(INDEX(Upgrades!$C$3:$C$13,MATCH(Q1078,Upgrades!$B$3:$B$13,0))*1.15^(COUNTIF(Q$4:Q1077,Q1078)-COUNTIF(Q$4:Q1077,""Sell_""&amp;Q1078))))))"),"")</f>
        <v/>
      </c>
      <c r="V1078" s="10" t="str">
        <f t="shared" si="11"/>
        <v/>
      </c>
      <c r="W1078" s="68" t="str">
        <f t="shared" si="12"/>
        <v/>
      </c>
      <c r="X1078" s="59" t="str">
        <f t="shared" si="13"/>
        <v/>
      </c>
      <c r="Y1078" s="69" t="str">
        <f t="shared" si="14"/>
        <v/>
      </c>
      <c r="Z1078" s="11"/>
    </row>
    <row r="1079">
      <c r="A1079" s="8"/>
      <c r="B1079" s="56" t="str">
        <f t="shared" si="2"/>
        <v/>
      </c>
      <c r="C1079" s="57"/>
      <c r="D1079" s="10" t="str">
        <f>IFERROR(__xludf.DUMMYFUNCTION("IF(COUNTA(C1079:C1350)=0,"""",IF(ISBLANK(C1079),FALSE,IF(NOT(COUNTIF($AA$24:$AA$34,SUBSTITUTE(C1079,""Sell_"",""""))),1,IF(REGEXMATCH(C1079,""Sell_""),IF(COUNTIF(C$4:C1079,SUBSTITUTE(C1079,""Sell_"",""""))-COUNTIF(C$4:C1078,C1079)&lt;1,1),FALSE))))"),"")</f>
        <v/>
      </c>
      <c r="E1079" s="59" t="str">
        <f t="array" ref="E1079">IF(COUNTA(C1079:C1350)=0,"",SUM((COUNTIF(C$4:C1079,Upgrades!$B$3:$B$13)-COUNTIF(C$4:C1079,"Sell_"&amp;Upgrades!$B$3:$B$13))*Upgrades!$D$3:$D$13))</f>
        <v/>
      </c>
      <c r="F1079" s="66" t="str">
        <f>IFERROR(__xludf.DUMMYFUNCTION("IF(COUNTA(C1079:C1350)=0,"""",IF(REGEXMATCH(INDEX(FILTER(C$4:C1079,C$4:C1079&lt;&gt;""""),ROWS(FILTER(C$4:C1079,C$4:C1079&lt;&gt;""""))),""^Sell_""),INDEX(FILTER(F$4:F1078,C$4:C1078&lt;&gt;""""),ROWS(FILTER(C$4:C1078,C$4:C1078&lt;&gt;""""))),$AC$5+E1079))"),"")</f>
        <v/>
      </c>
      <c r="G1079" s="10" t="str">
        <f>IFERROR(__xludf.DUMMYFUNCTION("IF(COUNTA(C1079:C1350)=0,"""",IF(C1079="""",0,IF(REGEXMATCH(C1079,""^Sell_""),-ROUNDDOWN(ROUNDUP(INDEX(Upgrades!$C$3:$C$13,MATCH(SUBSTITUTE(C1079,""Sell_"",""""),Upgrades!$B$3:$B$13,0))*1.15^(COUNTIF(C$4:C1078,SUBSTITUTE(C1079,""Sell_"",""""))-COUNTIF(C$4"&amp;":C1078,""Sell_""&amp;SUBSTITUTE(C1079,""Sell_"",""""))))/2),ROUNDUP(INDEX(Upgrades!$C$3:$C$13,MATCH(C1079,Upgrades!$B$3:$B$13,0))*1.15^(COUNTIF(C$4:C1078,C1079)-COUNTIF(C$4:C1078,""Sell_""&amp;C1079))))))"),"")</f>
        <v/>
      </c>
      <c r="H1079" s="10" t="str">
        <f t="shared" si="3"/>
        <v/>
      </c>
      <c r="I1079" s="68" t="str">
        <f t="shared" si="4"/>
        <v/>
      </c>
      <c r="J1079" s="59" t="str">
        <f t="shared" si="5"/>
        <v/>
      </c>
      <c r="K1079" s="69" t="str">
        <f t="shared" si="6"/>
        <v/>
      </c>
      <c r="L1079" s="60" t="str">
        <f t="shared" si="7"/>
        <v/>
      </c>
      <c r="M1079" s="61" t="str">
        <f>IFERROR(__xludf.DUMMYFUNCTION("IFS(AND(COUNTA(C1079:C1350)=0,COUNTA(Q1079:Q1350)=0),"""",OR(AND(K1079&gt;=1000000000,OR(Y1079&gt;=1000000000,COUNTA(Q1079:Q1350)=0)),OR(Y1079&gt;=1000000000,AND(COUNTA(C1079:C1350)=0,P$3=TRUE))),
ROUNDDOWN((AB$1-AC$1)*MAX(INDEX(T$4:T1350,MATCH(LARGE(FILTER(Y$4:Y1"&amp;"350,Y$4:Y1350&lt;1000000000),1),Y$4:Y1350)),INDEX(F$4:F1350,MATCH(LARGE(FILTER(K$4:K1350,K$4:K1350&lt;1000000000),1),K$4:K1350)))),AND(K1079&lt;1000000000,COUNTA(C1079:C1350)&gt;0,P$3=FALSE),
ROUNDDOWN(INDEX(Y$4:Y1350,MATCH(LARGE(FILTER(W$4:W1350,W$4:W1350&lt;=I1079),1)"&amp;",W$4:W1350))+(I1079-LARGE(FILTER(W$4:W1350,W$4:W1350&lt;=I1079),1))*INDEX(T$4:T1350,MATCH(LARGE(FILTER(W$4:W1350,W$4:W1350&lt;=I1079),1),W$4:W1350))-K1079),1,
ROUNDDOWN(Y1079-INDEX(K$4:K1350,MATCH(LARGE(FILTER(I$4:I1350,I$4:I1350&lt;=W1079),1),I$4:I1350))-(W1079-L"&amp;"ARGE(FILTER(I$4:I1350,I$4:I1350&lt;=W1079),1))*INDEX(F$4:F1350,MATCH(LARGE(FILTER(I$4:I1350,I$4:I1350&lt;=W1079),1),I$4:I1350))))"),"")</f>
        <v/>
      </c>
      <c r="N1079" s="60" t="str">
        <f t="shared" si="8"/>
        <v/>
      </c>
      <c r="O1079" s="61" t="str">
        <f t="shared" si="9"/>
        <v/>
      </c>
      <c r="P1079" s="56" t="str">
        <f t="shared" si="10"/>
        <v/>
      </c>
      <c r="Q1079" s="62"/>
      <c r="R1079" s="10" t="str">
        <f>IFERROR(__xludf.DUMMYFUNCTION("IF(COUNTA(Q1079:Q1350)=0,"""",IF(ISBLANK(Q1079),FALSE,IF(NOT(COUNTIF($AA$24:$AA$34,SUBSTITUTE(Q1079,""Sell_"",""""))),1,IF(REGEXMATCH(Q1079,""Sell_""),IF(COUNTIF(Q$4:Q1079,SUBSTITUTE(Q1079,""Sell_"",""""))-COUNTIF(Q$4:Q1078,Q1079)&lt;1,1),FALSE))))"),"")</f>
        <v/>
      </c>
      <c r="S1079" s="59" t="str">
        <f t="array" ref="S1079">IF(COUNTA(Q1079:Q1350)=0,"",SUM((COUNTIF(Q$4:Q1079,Upgrades!$B$3:$B$13)-COUNTIF(Q$4:Q1079,"Sell_"&amp;Upgrades!$B$3:$B$13))*Upgrades!$D$3:$D$13))</f>
        <v/>
      </c>
      <c r="T1079" s="66" t="str">
        <f>IFERROR(__xludf.DUMMYFUNCTION("IF(COUNTA(Q1079:Q1350)=0,"""",IF(REGEXMATCH(INDEX(FILTER(Q$4:Q1079,Q$4:Q1079&lt;&gt;""""),ROWS(FILTER(Q$4:Q1079,Q$4:Q1079&lt;&gt;""""))),""^Sell_""),INDEX(FILTER(T$4:T1078,Q$4:Q1078&lt;&gt;""""),ROWS(FILTER(Q$4:Q1078,Q$4:Q1078&lt;&gt;""""))),$AD$5+S1079))"),"")</f>
        <v/>
      </c>
      <c r="U1079" s="10" t="str">
        <f>IFERROR(__xludf.DUMMYFUNCTION("IF(COUNTA(Q1079:Q1350)=0,"""",IF(Q1079="""",0,IF(REGEXMATCH(Q1079,""^Sell_""),-ROUNDDOWN(ROUNDUP(INDEX(Upgrades!$C$3:$C$13,MATCH(SUBSTITUTE(Q1079,""Sell_"",""""),Upgrades!$B$3:$B$13,0))*1.15^(COUNTIF(Q$4:Q1078,SUBSTITUTE(Q1079,""Sell_"",""""))-COUNTIF(Q$4"&amp;":Q1078,""Sell_""&amp;SUBSTITUTE(Q1079,""Sell_"",""""))))/2),ROUNDUP(INDEX(Upgrades!$C$3:$C$13,MATCH(Q1079,Upgrades!$B$3:$B$13,0))*1.15^(COUNTIF(Q$4:Q1078,Q1079)-COUNTIF(Q$4:Q1078,""Sell_""&amp;Q1079))))))"),"")</f>
        <v/>
      </c>
      <c r="V1079" s="10" t="str">
        <f t="shared" si="11"/>
        <v/>
      </c>
      <c r="W1079" s="68" t="str">
        <f t="shared" si="12"/>
        <v/>
      </c>
      <c r="X1079" s="59" t="str">
        <f t="shared" si="13"/>
        <v/>
      </c>
      <c r="Y1079" s="69" t="str">
        <f t="shared" si="14"/>
        <v/>
      </c>
      <c r="Z1079" s="11"/>
    </row>
    <row r="1080">
      <c r="A1080" s="8"/>
      <c r="B1080" s="56" t="str">
        <f t="shared" si="2"/>
        <v/>
      </c>
      <c r="C1080" s="57"/>
      <c r="D1080" s="10" t="str">
        <f>IFERROR(__xludf.DUMMYFUNCTION("IF(COUNTA(C1080:C1350)=0,"""",IF(ISBLANK(C1080),FALSE,IF(NOT(COUNTIF($AA$24:$AA$34,SUBSTITUTE(C1080,""Sell_"",""""))),1,IF(REGEXMATCH(C1080,""Sell_""),IF(COUNTIF(C$4:C1080,SUBSTITUTE(C1080,""Sell_"",""""))-COUNTIF(C$4:C1079,C1080)&lt;1,1),FALSE))))"),"")</f>
        <v/>
      </c>
      <c r="E1080" s="59" t="str">
        <f t="array" ref="E1080">IF(COUNTA(C1080:C1350)=0,"",SUM((COUNTIF(C$4:C1080,Upgrades!$B$3:$B$13)-COUNTIF(C$4:C1080,"Sell_"&amp;Upgrades!$B$3:$B$13))*Upgrades!$D$3:$D$13))</f>
        <v/>
      </c>
      <c r="F1080" s="66" t="str">
        <f>IFERROR(__xludf.DUMMYFUNCTION("IF(COUNTA(C1080:C1350)=0,"""",IF(REGEXMATCH(INDEX(FILTER(C$4:C1080,C$4:C1080&lt;&gt;""""),ROWS(FILTER(C$4:C1080,C$4:C1080&lt;&gt;""""))),""^Sell_""),INDEX(FILTER(F$4:F1079,C$4:C1079&lt;&gt;""""),ROWS(FILTER(C$4:C1079,C$4:C1079&lt;&gt;""""))),$AC$5+E1080))"),"")</f>
        <v/>
      </c>
      <c r="G1080" s="10" t="str">
        <f>IFERROR(__xludf.DUMMYFUNCTION("IF(COUNTA(C1080:C1350)=0,"""",IF(C1080="""",0,IF(REGEXMATCH(C1080,""^Sell_""),-ROUNDDOWN(ROUNDUP(INDEX(Upgrades!$C$3:$C$13,MATCH(SUBSTITUTE(C1080,""Sell_"",""""),Upgrades!$B$3:$B$13,0))*1.15^(COUNTIF(C$4:C1079,SUBSTITUTE(C1080,""Sell_"",""""))-COUNTIF(C$4"&amp;":C1079,""Sell_""&amp;SUBSTITUTE(C1080,""Sell_"",""""))))/2),ROUNDUP(INDEX(Upgrades!$C$3:$C$13,MATCH(C1080,Upgrades!$B$3:$B$13,0))*1.15^(COUNTIF(C$4:C1079,C1080)-COUNTIF(C$4:C1079,""Sell_""&amp;C1080))))))"),"")</f>
        <v/>
      </c>
      <c r="H1080" s="10" t="str">
        <f t="shared" si="3"/>
        <v/>
      </c>
      <c r="I1080" s="68" t="str">
        <f t="shared" si="4"/>
        <v/>
      </c>
      <c r="J1080" s="59" t="str">
        <f t="shared" si="5"/>
        <v/>
      </c>
      <c r="K1080" s="69" t="str">
        <f t="shared" si="6"/>
        <v/>
      </c>
      <c r="L1080" s="60" t="str">
        <f t="shared" si="7"/>
        <v/>
      </c>
      <c r="M1080" s="61" t="str">
        <f>IFERROR(__xludf.DUMMYFUNCTION("IFS(AND(COUNTA(C1080:C1350)=0,COUNTA(Q1080:Q1350)=0),"""",OR(AND(K1080&gt;=1000000000,OR(Y1080&gt;=1000000000,COUNTA(Q1080:Q1350)=0)),OR(Y1080&gt;=1000000000,AND(COUNTA(C1080:C1350)=0,P$3=TRUE))),
ROUNDDOWN((AB$1-AC$1)*MAX(INDEX(T$4:T1350,MATCH(LARGE(FILTER(Y$4:Y1"&amp;"350,Y$4:Y1350&lt;1000000000),1),Y$4:Y1350)),INDEX(F$4:F1350,MATCH(LARGE(FILTER(K$4:K1350,K$4:K1350&lt;1000000000),1),K$4:K1350)))),AND(K1080&lt;1000000000,COUNTA(C1080:C1350)&gt;0,P$3=FALSE),
ROUNDDOWN(INDEX(Y$4:Y1350,MATCH(LARGE(FILTER(W$4:W1350,W$4:W1350&lt;=I1080),1)"&amp;",W$4:W1350))+(I1080-LARGE(FILTER(W$4:W1350,W$4:W1350&lt;=I1080),1))*INDEX(T$4:T1350,MATCH(LARGE(FILTER(W$4:W1350,W$4:W1350&lt;=I1080),1),W$4:W1350))-K1080),1,
ROUNDDOWN(Y1080-INDEX(K$4:K1350,MATCH(LARGE(FILTER(I$4:I1350,I$4:I1350&lt;=W1080),1),I$4:I1350))-(W1080-L"&amp;"ARGE(FILTER(I$4:I1350,I$4:I1350&lt;=W1080),1))*INDEX(F$4:F1350,MATCH(LARGE(FILTER(I$4:I1350,I$4:I1350&lt;=W1080),1),I$4:I1350))))"),"")</f>
        <v/>
      </c>
      <c r="N1080" s="60" t="str">
        <f t="shared" si="8"/>
        <v/>
      </c>
      <c r="O1080" s="61" t="str">
        <f t="shared" si="9"/>
        <v/>
      </c>
      <c r="P1080" s="56" t="str">
        <f t="shared" si="10"/>
        <v/>
      </c>
      <c r="Q1080" s="62"/>
      <c r="R1080" s="10" t="str">
        <f>IFERROR(__xludf.DUMMYFUNCTION("IF(COUNTA(Q1080:Q1350)=0,"""",IF(ISBLANK(Q1080),FALSE,IF(NOT(COUNTIF($AA$24:$AA$34,SUBSTITUTE(Q1080,""Sell_"",""""))),1,IF(REGEXMATCH(Q1080,""Sell_""),IF(COUNTIF(Q$4:Q1080,SUBSTITUTE(Q1080,""Sell_"",""""))-COUNTIF(Q$4:Q1079,Q1080)&lt;1,1),FALSE))))"),"")</f>
        <v/>
      </c>
      <c r="S1080" s="59" t="str">
        <f t="array" ref="S1080">IF(COUNTA(Q1080:Q1350)=0,"",SUM((COUNTIF(Q$4:Q1080,Upgrades!$B$3:$B$13)-COUNTIF(Q$4:Q1080,"Sell_"&amp;Upgrades!$B$3:$B$13))*Upgrades!$D$3:$D$13))</f>
        <v/>
      </c>
      <c r="T1080" s="66" t="str">
        <f>IFERROR(__xludf.DUMMYFUNCTION("IF(COUNTA(Q1080:Q1350)=0,"""",IF(REGEXMATCH(INDEX(FILTER(Q$4:Q1080,Q$4:Q1080&lt;&gt;""""),ROWS(FILTER(Q$4:Q1080,Q$4:Q1080&lt;&gt;""""))),""^Sell_""),INDEX(FILTER(T$4:T1079,Q$4:Q1079&lt;&gt;""""),ROWS(FILTER(Q$4:Q1079,Q$4:Q1079&lt;&gt;""""))),$AD$5+S1080))"),"")</f>
        <v/>
      </c>
      <c r="U1080" s="10" t="str">
        <f>IFERROR(__xludf.DUMMYFUNCTION("IF(COUNTA(Q1080:Q1350)=0,"""",IF(Q1080="""",0,IF(REGEXMATCH(Q1080,""^Sell_""),-ROUNDDOWN(ROUNDUP(INDEX(Upgrades!$C$3:$C$13,MATCH(SUBSTITUTE(Q1080,""Sell_"",""""),Upgrades!$B$3:$B$13,0))*1.15^(COUNTIF(Q$4:Q1079,SUBSTITUTE(Q1080,""Sell_"",""""))-COUNTIF(Q$4"&amp;":Q1079,""Sell_""&amp;SUBSTITUTE(Q1080,""Sell_"",""""))))/2),ROUNDUP(INDEX(Upgrades!$C$3:$C$13,MATCH(Q1080,Upgrades!$B$3:$B$13,0))*1.15^(COUNTIF(Q$4:Q1079,Q1080)-COUNTIF(Q$4:Q1079,""Sell_""&amp;Q1080))))))"),"")</f>
        <v/>
      </c>
      <c r="V1080" s="10" t="str">
        <f t="shared" si="11"/>
        <v/>
      </c>
      <c r="W1080" s="68" t="str">
        <f t="shared" si="12"/>
        <v/>
      </c>
      <c r="X1080" s="59" t="str">
        <f t="shared" si="13"/>
        <v/>
      </c>
      <c r="Y1080" s="69" t="str">
        <f t="shared" si="14"/>
        <v/>
      </c>
      <c r="Z1080" s="11"/>
    </row>
    <row r="1081">
      <c r="A1081" s="8"/>
      <c r="B1081" s="56" t="str">
        <f t="shared" si="2"/>
        <v/>
      </c>
      <c r="C1081" s="57"/>
      <c r="D1081" s="10" t="str">
        <f>IFERROR(__xludf.DUMMYFUNCTION("IF(COUNTA(C1081:C1350)=0,"""",IF(ISBLANK(C1081),FALSE,IF(NOT(COUNTIF($AA$24:$AA$34,SUBSTITUTE(C1081,""Sell_"",""""))),1,IF(REGEXMATCH(C1081,""Sell_""),IF(COUNTIF(C$4:C1081,SUBSTITUTE(C1081,""Sell_"",""""))-COUNTIF(C$4:C1080,C1081)&lt;1,1),FALSE))))"),"")</f>
        <v/>
      </c>
      <c r="E1081" s="59" t="str">
        <f t="array" ref="E1081">IF(COUNTA(C1081:C1350)=0,"",SUM((COUNTIF(C$4:C1081,Upgrades!$B$3:$B$13)-COUNTIF(C$4:C1081,"Sell_"&amp;Upgrades!$B$3:$B$13))*Upgrades!$D$3:$D$13))</f>
        <v/>
      </c>
      <c r="F1081" s="66" t="str">
        <f>IFERROR(__xludf.DUMMYFUNCTION("IF(COUNTA(C1081:C1350)=0,"""",IF(REGEXMATCH(INDEX(FILTER(C$4:C1081,C$4:C1081&lt;&gt;""""),ROWS(FILTER(C$4:C1081,C$4:C1081&lt;&gt;""""))),""^Sell_""),INDEX(FILTER(F$4:F1080,C$4:C1080&lt;&gt;""""),ROWS(FILTER(C$4:C1080,C$4:C1080&lt;&gt;""""))),$AC$5+E1081))"),"")</f>
        <v/>
      </c>
      <c r="G1081" s="10" t="str">
        <f>IFERROR(__xludf.DUMMYFUNCTION("IF(COUNTA(C1081:C1350)=0,"""",IF(C1081="""",0,IF(REGEXMATCH(C1081,""^Sell_""),-ROUNDDOWN(ROUNDUP(INDEX(Upgrades!$C$3:$C$13,MATCH(SUBSTITUTE(C1081,""Sell_"",""""),Upgrades!$B$3:$B$13,0))*1.15^(COUNTIF(C$4:C1080,SUBSTITUTE(C1081,""Sell_"",""""))-COUNTIF(C$4"&amp;":C1080,""Sell_""&amp;SUBSTITUTE(C1081,""Sell_"",""""))))/2),ROUNDUP(INDEX(Upgrades!$C$3:$C$13,MATCH(C1081,Upgrades!$B$3:$B$13,0))*1.15^(COUNTIF(C$4:C1080,C1081)-COUNTIF(C$4:C1080,""Sell_""&amp;C1081))))))"),"")</f>
        <v/>
      </c>
      <c r="H1081" s="10" t="str">
        <f t="shared" si="3"/>
        <v/>
      </c>
      <c r="I1081" s="68" t="str">
        <f t="shared" si="4"/>
        <v/>
      </c>
      <c r="J1081" s="59" t="str">
        <f t="shared" si="5"/>
        <v/>
      </c>
      <c r="K1081" s="69" t="str">
        <f t="shared" si="6"/>
        <v/>
      </c>
      <c r="L1081" s="60" t="str">
        <f t="shared" si="7"/>
        <v/>
      </c>
      <c r="M1081" s="61" t="str">
        <f>IFERROR(__xludf.DUMMYFUNCTION("IFS(AND(COUNTA(C1081:C1350)=0,COUNTA(Q1081:Q1350)=0),"""",OR(AND(K1081&gt;=1000000000,OR(Y1081&gt;=1000000000,COUNTA(Q1081:Q1350)=0)),OR(Y1081&gt;=1000000000,AND(COUNTA(C1081:C1350)=0,P$3=TRUE))),
ROUNDDOWN((AB$1-AC$1)*MAX(INDEX(T$4:T1350,MATCH(LARGE(FILTER(Y$4:Y1"&amp;"350,Y$4:Y1350&lt;1000000000),1),Y$4:Y1350)),INDEX(F$4:F1350,MATCH(LARGE(FILTER(K$4:K1350,K$4:K1350&lt;1000000000),1),K$4:K1350)))),AND(K1081&lt;1000000000,COUNTA(C1081:C1350)&gt;0,P$3=FALSE),
ROUNDDOWN(INDEX(Y$4:Y1350,MATCH(LARGE(FILTER(W$4:W1350,W$4:W1350&lt;=I1081),1)"&amp;",W$4:W1350))+(I1081-LARGE(FILTER(W$4:W1350,W$4:W1350&lt;=I1081),1))*INDEX(T$4:T1350,MATCH(LARGE(FILTER(W$4:W1350,W$4:W1350&lt;=I1081),1),W$4:W1350))-K1081),1,
ROUNDDOWN(Y1081-INDEX(K$4:K1350,MATCH(LARGE(FILTER(I$4:I1350,I$4:I1350&lt;=W1081),1),I$4:I1350))-(W1081-L"&amp;"ARGE(FILTER(I$4:I1350,I$4:I1350&lt;=W1081),1))*INDEX(F$4:F1350,MATCH(LARGE(FILTER(I$4:I1350,I$4:I1350&lt;=W1081),1),I$4:I1350))))"),"")</f>
        <v/>
      </c>
      <c r="N1081" s="60" t="str">
        <f t="shared" si="8"/>
        <v/>
      </c>
      <c r="O1081" s="61" t="str">
        <f t="shared" si="9"/>
        <v/>
      </c>
      <c r="P1081" s="56" t="str">
        <f t="shared" si="10"/>
        <v/>
      </c>
      <c r="Q1081" s="62"/>
      <c r="R1081" s="10" t="str">
        <f>IFERROR(__xludf.DUMMYFUNCTION("IF(COUNTA(Q1081:Q1350)=0,"""",IF(ISBLANK(Q1081),FALSE,IF(NOT(COUNTIF($AA$24:$AA$34,SUBSTITUTE(Q1081,""Sell_"",""""))),1,IF(REGEXMATCH(Q1081,""Sell_""),IF(COUNTIF(Q$4:Q1081,SUBSTITUTE(Q1081,""Sell_"",""""))-COUNTIF(Q$4:Q1080,Q1081)&lt;1,1),FALSE))))"),"")</f>
        <v/>
      </c>
      <c r="S1081" s="59" t="str">
        <f t="array" ref="S1081">IF(COUNTA(Q1081:Q1350)=0,"",SUM((COUNTIF(Q$4:Q1081,Upgrades!$B$3:$B$13)-COUNTIF(Q$4:Q1081,"Sell_"&amp;Upgrades!$B$3:$B$13))*Upgrades!$D$3:$D$13))</f>
        <v/>
      </c>
      <c r="T1081" s="66" t="str">
        <f>IFERROR(__xludf.DUMMYFUNCTION("IF(COUNTA(Q1081:Q1350)=0,"""",IF(REGEXMATCH(INDEX(FILTER(Q$4:Q1081,Q$4:Q1081&lt;&gt;""""),ROWS(FILTER(Q$4:Q1081,Q$4:Q1081&lt;&gt;""""))),""^Sell_""),INDEX(FILTER(T$4:T1080,Q$4:Q1080&lt;&gt;""""),ROWS(FILTER(Q$4:Q1080,Q$4:Q1080&lt;&gt;""""))),$AD$5+S1081))"),"")</f>
        <v/>
      </c>
      <c r="U1081" s="10" t="str">
        <f>IFERROR(__xludf.DUMMYFUNCTION("IF(COUNTA(Q1081:Q1350)=0,"""",IF(Q1081="""",0,IF(REGEXMATCH(Q1081,""^Sell_""),-ROUNDDOWN(ROUNDUP(INDEX(Upgrades!$C$3:$C$13,MATCH(SUBSTITUTE(Q1081,""Sell_"",""""),Upgrades!$B$3:$B$13,0))*1.15^(COUNTIF(Q$4:Q1080,SUBSTITUTE(Q1081,""Sell_"",""""))-COUNTIF(Q$4"&amp;":Q1080,""Sell_""&amp;SUBSTITUTE(Q1081,""Sell_"",""""))))/2),ROUNDUP(INDEX(Upgrades!$C$3:$C$13,MATCH(Q1081,Upgrades!$B$3:$B$13,0))*1.15^(COUNTIF(Q$4:Q1080,Q1081)-COUNTIF(Q$4:Q1080,""Sell_""&amp;Q1081))))))"),"")</f>
        <v/>
      </c>
      <c r="V1081" s="10" t="str">
        <f t="shared" si="11"/>
        <v/>
      </c>
      <c r="W1081" s="68" t="str">
        <f t="shared" si="12"/>
        <v/>
      </c>
      <c r="X1081" s="59" t="str">
        <f t="shared" si="13"/>
        <v/>
      </c>
      <c r="Y1081" s="69" t="str">
        <f t="shared" si="14"/>
        <v/>
      </c>
      <c r="Z1081" s="11"/>
    </row>
    <row r="1082">
      <c r="A1082" s="8"/>
      <c r="B1082" s="56" t="str">
        <f t="shared" si="2"/>
        <v/>
      </c>
      <c r="C1082" s="57"/>
      <c r="D1082" s="10" t="str">
        <f>IFERROR(__xludf.DUMMYFUNCTION("IF(COUNTA(C1082:C1350)=0,"""",IF(ISBLANK(C1082),FALSE,IF(NOT(COUNTIF($AA$24:$AA$34,SUBSTITUTE(C1082,""Sell_"",""""))),1,IF(REGEXMATCH(C1082,""Sell_""),IF(COUNTIF(C$4:C1082,SUBSTITUTE(C1082,""Sell_"",""""))-COUNTIF(C$4:C1081,C1082)&lt;1,1),FALSE))))"),"")</f>
        <v/>
      </c>
      <c r="E1082" s="59" t="str">
        <f t="array" ref="E1082">IF(COUNTA(C1082:C1350)=0,"",SUM((COUNTIF(C$4:C1082,Upgrades!$B$3:$B$13)-COUNTIF(C$4:C1082,"Sell_"&amp;Upgrades!$B$3:$B$13))*Upgrades!$D$3:$D$13))</f>
        <v/>
      </c>
      <c r="F1082" s="66" t="str">
        <f>IFERROR(__xludf.DUMMYFUNCTION("IF(COUNTA(C1082:C1350)=0,"""",IF(REGEXMATCH(INDEX(FILTER(C$4:C1082,C$4:C1082&lt;&gt;""""),ROWS(FILTER(C$4:C1082,C$4:C1082&lt;&gt;""""))),""^Sell_""),INDEX(FILTER(F$4:F1081,C$4:C1081&lt;&gt;""""),ROWS(FILTER(C$4:C1081,C$4:C1081&lt;&gt;""""))),$AC$5+E1082))"),"")</f>
        <v/>
      </c>
      <c r="G1082" s="10" t="str">
        <f>IFERROR(__xludf.DUMMYFUNCTION("IF(COUNTA(C1082:C1350)=0,"""",IF(C1082="""",0,IF(REGEXMATCH(C1082,""^Sell_""),-ROUNDDOWN(ROUNDUP(INDEX(Upgrades!$C$3:$C$13,MATCH(SUBSTITUTE(C1082,""Sell_"",""""),Upgrades!$B$3:$B$13,0))*1.15^(COUNTIF(C$4:C1081,SUBSTITUTE(C1082,""Sell_"",""""))-COUNTIF(C$4"&amp;":C1081,""Sell_""&amp;SUBSTITUTE(C1082,""Sell_"",""""))))/2),ROUNDUP(INDEX(Upgrades!$C$3:$C$13,MATCH(C1082,Upgrades!$B$3:$B$13,0))*1.15^(COUNTIF(C$4:C1081,C1082)-COUNTIF(C$4:C1081,""Sell_""&amp;C1082))))))"),"")</f>
        <v/>
      </c>
      <c r="H1082" s="10" t="str">
        <f t="shared" si="3"/>
        <v/>
      </c>
      <c r="I1082" s="68" t="str">
        <f t="shared" si="4"/>
        <v/>
      </c>
      <c r="J1082" s="59" t="str">
        <f t="shared" si="5"/>
        <v/>
      </c>
      <c r="K1082" s="69" t="str">
        <f t="shared" si="6"/>
        <v/>
      </c>
      <c r="L1082" s="60" t="str">
        <f t="shared" si="7"/>
        <v/>
      </c>
      <c r="M1082" s="61" t="str">
        <f>IFERROR(__xludf.DUMMYFUNCTION("IFS(AND(COUNTA(C1082:C1350)=0,COUNTA(Q1082:Q1350)=0),"""",OR(AND(K1082&gt;=1000000000,OR(Y1082&gt;=1000000000,COUNTA(Q1082:Q1350)=0)),OR(Y1082&gt;=1000000000,AND(COUNTA(C1082:C1350)=0,P$3=TRUE))),
ROUNDDOWN((AB$1-AC$1)*MAX(INDEX(T$4:T1350,MATCH(LARGE(FILTER(Y$4:Y1"&amp;"350,Y$4:Y1350&lt;1000000000),1),Y$4:Y1350)),INDEX(F$4:F1350,MATCH(LARGE(FILTER(K$4:K1350,K$4:K1350&lt;1000000000),1),K$4:K1350)))),AND(K1082&lt;1000000000,COUNTA(C1082:C1350)&gt;0,P$3=FALSE),
ROUNDDOWN(INDEX(Y$4:Y1350,MATCH(LARGE(FILTER(W$4:W1350,W$4:W1350&lt;=I1082),1)"&amp;",W$4:W1350))+(I1082-LARGE(FILTER(W$4:W1350,W$4:W1350&lt;=I1082),1))*INDEX(T$4:T1350,MATCH(LARGE(FILTER(W$4:W1350,W$4:W1350&lt;=I1082),1),W$4:W1350))-K1082),1,
ROUNDDOWN(Y1082-INDEX(K$4:K1350,MATCH(LARGE(FILTER(I$4:I1350,I$4:I1350&lt;=W1082),1),I$4:I1350))-(W1082-L"&amp;"ARGE(FILTER(I$4:I1350,I$4:I1350&lt;=W1082),1))*INDEX(F$4:F1350,MATCH(LARGE(FILTER(I$4:I1350,I$4:I1350&lt;=W1082),1),I$4:I1350))))"),"")</f>
        <v/>
      </c>
      <c r="N1082" s="60" t="str">
        <f t="shared" si="8"/>
        <v/>
      </c>
      <c r="O1082" s="61" t="str">
        <f t="shared" si="9"/>
        <v/>
      </c>
      <c r="P1082" s="56" t="str">
        <f t="shared" si="10"/>
        <v/>
      </c>
      <c r="Q1082" s="62"/>
      <c r="R1082" s="10" t="str">
        <f>IFERROR(__xludf.DUMMYFUNCTION("IF(COUNTA(Q1082:Q1350)=0,"""",IF(ISBLANK(Q1082),FALSE,IF(NOT(COUNTIF($AA$24:$AA$34,SUBSTITUTE(Q1082,""Sell_"",""""))),1,IF(REGEXMATCH(Q1082,""Sell_""),IF(COUNTIF(Q$4:Q1082,SUBSTITUTE(Q1082,""Sell_"",""""))-COUNTIF(Q$4:Q1081,Q1082)&lt;1,1),FALSE))))"),"")</f>
        <v/>
      </c>
      <c r="S1082" s="59" t="str">
        <f t="array" ref="S1082">IF(COUNTA(Q1082:Q1350)=0,"",SUM((COUNTIF(Q$4:Q1082,Upgrades!$B$3:$B$13)-COUNTIF(Q$4:Q1082,"Sell_"&amp;Upgrades!$B$3:$B$13))*Upgrades!$D$3:$D$13))</f>
        <v/>
      </c>
      <c r="T1082" s="66" t="str">
        <f>IFERROR(__xludf.DUMMYFUNCTION("IF(COUNTA(Q1082:Q1350)=0,"""",IF(REGEXMATCH(INDEX(FILTER(Q$4:Q1082,Q$4:Q1082&lt;&gt;""""),ROWS(FILTER(Q$4:Q1082,Q$4:Q1082&lt;&gt;""""))),""^Sell_""),INDEX(FILTER(T$4:T1081,Q$4:Q1081&lt;&gt;""""),ROWS(FILTER(Q$4:Q1081,Q$4:Q1081&lt;&gt;""""))),$AD$5+S1082))"),"")</f>
        <v/>
      </c>
      <c r="U1082" s="10" t="str">
        <f>IFERROR(__xludf.DUMMYFUNCTION("IF(COUNTA(Q1082:Q1350)=0,"""",IF(Q1082="""",0,IF(REGEXMATCH(Q1082,""^Sell_""),-ROUNDDOWN(ROUNDUP(INDEX(Upgrades!$C$3:$C$13,MATCH(SUBSTITUTE(Q1082,""Sell_"",""""),Upgrades!$B$3:$B$13,0))*1.15^(COUNTIF(Q$4:Q1081,SUBSTITUTE(Q1082,""Sell_"",""""))-COUNTIF(Q$4"&amp;":Q1081,""Sell_""&amp;SUBSTITUTE(Q1082,""Sell_"",""""))))/2),ROUNDUP(INDEX(Upgrades!$C$3:$C$13,MATCH(Q1082,Upgrades!$B$3:$B$13,0))*1.15^(COUNTIF(Q$4:Q1081,Q1082)-COUNTIF(Q$4:Q1081,""Sell_""&amp;Q1082))))))"),"")</f>
        <v/>
      </c>
      <c r="V1082" s="10" t="str">
        <f t="shared" si="11"/>
        <v/>
      </c>
      <c r="W1082" s="68" t="str">
        <f t="shared" si="12"/>
        <v/>
      </c>
      <c r="X1082" s="59" t="str">
        <f t="shared" si="13"/>
        <v/>
      </c>
      <c r="Y1082" s="69" t="str">
        <f t="shared" si="14"/>
        <v/>
      </c>
      <c r="Z1082" s="11"/>
    </row>
    <row r="1083">
      <c r="A1083" s="8"/>
      <c r="B1083" s="56" t="str">
        <f t="shared" si="2"/>
        <v/>
      </c>
      <c r="C1083" s="57"/>
      <c r="D1083" s="10" t="str">
        <f>IFERROR(__xludf.DUMMYFUNCTION("IF(COUNTA(C1083:C1350)=0,"""",IF(ISBLANK(C1083),FALSE,IF(NOT(COUNTIF($AA$24:$AA$34,SUBSTITUTE(C1083,""Sell_"",""""))),1,IF(REGEXMATCH(C1083,""Sell_""),IF(COUNTIF(C$4:C1083,SUBSTITUTE(C1083,""Sell_"",""""))-COUNTIF(C$4:C1082,C1083)&lt;1,1),FALSE))))"),"")</f>
        <v/>
      </c>
      <c r="E1083" s="59" t="str">
        <f t="array" ref="E1083">IF(COUNTA(C1083:C1350)=0,"",SUM((COUNTIF(C$4:C1083,Upgrades!$B$3:$B$13)-COUNTIF(C$4:C1083,"Sell_"&amp;Upgrades!$B$3:$B$13))*Upgrades!$D$3:$D$13))</f>
        <v/>
      </c>
      <c r="F1083" s="66" t="str">
        <f>IFERROR(__xludf.DUMMYFUNCTION("IF(COUNTA(C1083:C1350)=0,"""",IF(REGEXMATCH(INDEX(FILTER(C$4:C1083,C$4:C1083&lt;&gt;""""),ROWS(FILTER(C$4:C1083,C$4:C1083&lt;&gt;""""))),""^Sell_""),INDEX(FILTER(F$4:F1082,C$4:C1082&lt;&gt;""""),ROWS(FILTER(C$4:C1082,C$4:C1082&lt;&gt;""""))),$AC$5+E1083))"),"")</f>
        <v/>
      </c>
      <c r="G1083" s="10" t="str">
        <f>IFERROR(__xludf.DUMMYFUNCTION("IF(COUNTA(C1083:C1350)=0,"""",IF(C1083="""",0,IF(REGEXMATCH(C1083,""^Sell_""),-ROUNDDOWN(ROUNDUP(INDEX(Upgrades!$C$3:$C$13,MATCH(SUBSTITUTE(C1083,""Sell_"",""""),Upgrades!$B$3:$B$13,0))*1.15^(COUNTIF(C$4:C1082,SUBSTITUTE(C1083,""Sell_"",""""))-COUNTIF(C$4"&amp;":C1082,""Sell_""&amp;SUBSTITUTE(C1083,""Sell_"",""""))))/2),ROUNDUP(INDEX(Upgrades!$C$3:$C$13,MATCH(C1083,Upgrades!$B$3:$B$13,0))*1.15^(COUNTIF(C$4:C1082,C1083)-COUNTIF(C$4:C1082,""Sell_""&amp;C1083))))))"),"")</f>
        <v/>
      </c>
      <c r="H1083" s="10" t="str">
        <f t="shared" si="3"/>
        <v/>
      </c>
      <c r="I1083" s="68" t="str">
        <f t="shared" si="4"/>
        <v/>
      </c>
      <c r="J1083" s="59" t="str">
        <f t="shared" si="5"/>
        <v/>
      </c>
      <c r="K1083" s="69" t="str">
        <f t="shared" si="6"/>
        <v/>
      </c>
      <c r="L1083" s="60" t="str">
        <f t="shared" si="7"/>
        <v/>
      </c>
      <c r="M1083" s="61" t="str">
        <f>IFERROR(__xludf.DUMMYFUNCTION("IFS(AND(COUNTA(C1083:C1350)=0,COUNTA(Q1083:Q1350)=0),"""",OR(AND(K1083&gt;=1000000000,OR(Y1083&gt;=1000000000,COUNTA(Q1083:Q1350)=0)),OR(Y1083&gt;=1000000000,AND(COUNTA(C1083:C1350)=0,P$3=TRUE))),
ROUNDDOWN((AB$1-AC$1)*MAX(INDEX(T$4:T1350,MATCH(LARGE(FILTER(Y$4:Y1"&amp;"350,Y$4:Y1350&lt;1000000000),1),Y$4:Y1350)),INDEX(F$4:F1350,MATCH(LARGE(FILTER(K$4:K1350,K$4:K1350&lt;1000000000),1),K$4:K1350)))),AND(K1083&lt;1000000000,COUNTA(C1083:C1350)&gt;0,P$3=FALSE),
ROUNDDOWN(INDEX(Y$4:Y1350,MATCH(LARGE(FILTER(W$4:W1350,W$4:W1350&lt;=I1083),1)"&amp;",W$4:W1350))+(I1083-LARGE(FILTER(W$4:W1350,W$4:W1350&lt;=I1083),1))*INDEX(T$4:T1350,MATCH(LARGE(FILTER(W$4:W1350,W$4:W1350&lt;=I1083),1),W$4:W1350))-K1083),1,
ROUNDDOWN(Y1083-INDEX(K$4:K1350,MATCH(LARGE(FILTER(I$4:I1350,I$4:I1350&lt;=W1083),1),I$4:I1350))-(W1083-L"&amp;"ARGE(FILTER(I$4:I1350,I$4:I1350&lt;=W1083),1))*INDEX(F$4:F1350,MATCH(LARGE(FILTER(I$4:I1350,I$4:I1350&lt;=W1083),1),I$4:I1350))))"),"")</f>
        <v/>
      </c>
      <c r="N1083" s="60" t="str">
        <f t="shared" si="8"/>
        <v/>
      </c>
      <c r="O1083" s="61" t="str">
        <f t="shared" si="9"/>
        <v/>
      </c>
      <c r="P1083" s="56" t="str">
        <f t="shared" si="10"/>
        <v/>
      </c>
      <c r="Q1083" s="62"/>
      <c r="R1083" s="10" t="str">
        <f>IFERROR(__xludf.DUMMYFUNCTION("IF(COUNTA(Q1083:Q1350)=0,"""",IF(ISBLANK(Q1083),FALSE,IF(NOT(COUNTIF($AA$24:$AA$34,SUBSTITUTE(Q1083,""Sell_"",""""))),1,IF(REGEXMATCH(Q1083,""Sell_""),IF(COUNTIF(Q$4:Q1083,SUBSTITUTE(Q1083,""Sell_"",""""))-COUNTIF(Q$4:Q1082,Q1083)&lt;1,1),FALSE))))"),"")</f>
        <v/>
      </c>
      <c r="S1083" s="59" t="str">
        <f t="array" ref="S1083">IF(COUNTA(Q1083:Q1350)=0,"",SUM((COUNTIF(Q$4:Q1083,Upgrades!$B$3:$B$13)-COUNTIF(Q$4:Q1083,"Sell_"&amp;Upgrades!$B$3:$B$13))*Upgrades!$D$3:$D$13))</f>
        <v/>
      </c>
      <c r="T1083" s="66" t="str">
        <f>IFERROR(__xludf.DUMMYFUNCTION("IF(COUNTA(Q1083:Q1350)=0,"""",IF(REGEXMATCH(INDEX(FILTER(Q$4:Q1083,Q$4:Q1083&lt;&gt;""""),ROWS(FILTER(Q$4:Q1083,Q$4:Q1083&lt;&gt;""""))),""^Sell_""),INDEX(FILTER(T$4:T1082,Q$4:Q1082&lt;&gt;""""),ROWS(FILTER(Q$4:Q1082,Q$4:Q1082&lt;&gt;""""))),$AD$5+S1083))"),"")</f>
        <v/>
      </c>
      <c r="U1083" s="10" t="str">
        <f>IFERROR(__xludf.DUMMYFUNCTION("IF(COUNTA(Q1083:Q1350)=0,"""",IF(Q1083="""",0,IF(REGEXMATCH(Q1083,""^Sell_""),-ROUNDDOWN(ROUNDUP(INDEX(Upgrades!$C$3:$C$13,MATCH(SUBSTITUTE(Q1083,""Sell_"",""""),Upgrades!$B$3:$B$13,0))*1.15^(COUNTIF(Q$4:Q1082,SUBSTITUTE(Q1083,""Sell_"",""""))-COUNTIF(Q$4"&amp;":Q1082,""Sell_""&amp;SUBSTITUTE(Q1083,""Sell_"",""""))))/2),ROUNDUP(INDEX(Upgrades!$C$3:$C$13,MATCH(Q1083,Upgrades!$B$3:$B$13,0))*1.15^(COUNTIF(Q$4:Q1082,Q1083)-COUNTIF(Q$4:Q1082,""Sell_""&amp;Q1083))))))"),"")</f>
        <v/>
      </c>
      <c r="V1083" s="10" t="str">
        <f t="shared" si="11"/>
        <v/>
      </c>
      <c r="W1083" s="68" t="str">
        <f t="shared" si="12"/>
        <v/>
      </c>
      <c r="X1083" s="59" t="str">
        <f t="shared" si="13"/>
        <v/>
      </c>
      <c r="Y1083" s="69" t="str">
        <f t="shared" si="14"/>
        <v/>
      </c>
      <c r="Z1083" s="11"/>
    </row>
    <row r="1084">
      <c r="A1084" s="8"/>
      <c r="B1084" s="56" t="str">
        <f t="shared" si="2"/>
        <v/>
      </c>
      <c r="C1084" s="57"/>
      <c r="D1084" s="10" t="str">
        <f>IFERROR(__xludf.DUMMYFUNCTION("IF(COUNTA(C1084:C1350)=0,"""",IF(ISBLANK(C1084),FALSE,IF(NOT(COUNTIF($AA$24:$AA$34,SUBSTITUTE(C1084,""Sell_"",""""))),1,IF(REGEXMATCH(C1084,""Sell_""),IF(COUNTIF(C$4:C1084,SUBSTITUTE(C1084,""Sell_"",""""))-COUNTIF(C$4:C1083,C1084)&lt;1,1),FALSE))))"),"")</f>
        <v/>
      </c>
      <c r="E1084" s="59" t="str">
        <f t="array" ref="E1084">IF(COUNTA(C1084:C1350)=0,"",SUM((COUNTIF(C$4:C1084,Upgrades!$B$3:$B$13)-COUNTIF(C$4:C1084,"Sell_"&amp;Upgrades!$B$3:$B$13))*Upgrades!$D$3:$D$13))</f>
        <v/>
      </c>
      <c r="F1084" s="66" t="str">
        <f>IFERROR(__xludf.DUMMYFUNCTION("IF(COUNTA(C1084:C1350)=0,"""",IF(REGEXMATCH(INDEX(FILTER(C$4:C1084,C$4:C1084&lt;&gt;""""),ROWS(FILTER(C$4:C1084,C$4:C1084&lt;&gt;""""))),""^Sell_""),INDEX(FILTER(F$4:F1083,C$4:C1083&lt;&gt;""""),ROWS(FILTER(C$4:C1083,C$4:C1083&lt;&gt;""""))),$AC$5+E1084))"),"")</f>
        <v/>
      </c>
      <c r="G1084" s="10" t="str">
        <f>IFERROR(__xludf.DUMMYFUNCTION("IF(COUNTA(C1084:C1350)=0,"""",IF(C1084="""",0,IF(REGEXMATCH(C1084,""^Sell_""),-ROUNDDOWN(ROUNDUP(INDEX(Upgrades!$C$3:$C$13,MATCH(SUBSTITUTE(C1084,""Sell_"",""""),Upgrades!$B$3:$B$13,0))*1.15^(COUNTIF(C$4:C1083,SUBSTITUTE(C1084,""Sell_"",""""))-COUNTIF(C$4"&amp;":C1083,""Sell_""&amp;SUBSTITUTE(C1084,""Sell_"",""""))))/2),ROUNDUP(INDEX(Upgrades!$C$3:$C$13,MATCH(C1084,Upgrades!$B$3:$B$13,0))*1.15^(COUNTIF(C$4:C1083,C1084)-COUNTIF(C$4:C1083,""Sell_""&amp;C1084))))))"),"")</f>
        <v/>
      </c>
      <c r="H1084" s="10" t="str">
        <f t="shared" si="3"/>
        <v/>
      </c>
      <c r="I1084" s="68" t="str">
        <f t="shared" si="4"/>
        <v/>
      </c>
      <c r="J1084" s="59" t="str">
        <f t="shared" si="5"/>
        <v/>
      </c>
      <c r="K1084" s="69" t="str">
        <f t="shared" si="6"/>
        <v/>
      </c>
      <c r="L1084" s="60" t="str">
        <f t="shared" si="7"/>
        <v/>
      </c>
      <c r="M1084" s="61" t="str">
        <f>IFERROR(__xludf.DUMMYFUNCTION("IFS(AND(COUNTA(C1084:C1350)=0,COUNTA(Q1084:Q1350)=0),"""",OR(AND(K1084&gt;=1000000000,OR(Y1084&gt;=1000000000,COUNTA(Q1084:Q1350)=0)),OR(Y1084&gt;=1000000000,AND(COUNTA(C1084:C1350)=0,P$3=TRUE))),
ROUNDDOWN((AB$1-AC$1)*MAX(INDEX(T$4:T1350,MATCH(LARGE(FILTER(Y$4:Y1"&amp;"350,Y$4:Y1350&lt;1000000000),1),Y$4:Y1350)),INDEX(F$4:F1350,MATCH(LARGE(FILTER(K$4:K1350,K$4:K1350&lt;1000000000),1),K$4:K1350)))),AND(K1084&lt;1000000000,COUNTA(C1084:C1350)&gt;0,P$3=FALSE),
ROUNDDOWN(INDEX(Y$4:Y1350,MATCH(LARGE(FILTER(W$4:W1350,W$4:W1350&lt;=I1084),1)"&amp;",W$4:W1350))+(I1084-LARGE(FILTER(W$4:W1350,W$4:W1350&lt;=I1084),1))*INDEX(T$4:T1350,MATCH(LARGE(FILTER(W$4:W1350,W$4:W1350&lt;=I1084),1),W$4:W1350))-K1084),1,
ROUNDDOWN(Y1084-INDEX(K$4:K1350,MATCH(LARGE(FILTER(I$4:I1350,I$4:I1350&lt;=W1084),1),I$4:I1350))-(W1084-L"&amp;"ARGE(FILTER(I$4:I1350,I$4:I1350&lt;=W1084),1))*INDEX(F$4:F1350,MATCH(LARGE(FILTER(I$4:I1350,I$4:I1350&lt;=W1084),1),I$4:I1350))))"),"")</f>
        <v/>
      </c>
      <c r="N1084" s="60" t="str">
        <f t="shared" si="8"/>
        <v/>
      </c>
      <c r="O1084" s="61" t="str">
        <f t="shared" si="9"/>
        <v/>
      </c>
      <c r="P1084" s="56" t="str">
        <f t="shared" si="10"/>
        <v/>
      </c>
      <c r="Q1084" s="62"/>
      <c r="R1084" s="10" t="str">
        <f>IFERROR(__xludf.DUMMYFUNCTION("IF(COUNTA(Q1084:Q1350)=0,"""",IF(ISBLANK(Q1084),FALSE,IF(NOT(COUNTIF($AA$24:$AA$34,SUBSTITUTE(Q1084,""Sell_"",""""))),1,IF(REGEXMATCH(Q1084,""Sell_""),IF(COUNTIF(Q$4:Q1084,SUBSTITUTE(Q1084,""Sell_"",""""))-COUNTIF(Q$4:Q1083,Q1084)&lt;1,1),FALSE))))"),"")</f>
        <v/>
      </c>
      <c r="S1084" s="59" t="str">
        <f t="array" ref="S1084">IF(COUNTA(Q1084:Q1350)=0,"",SUM((COUNTIF(Q$4:Q1084,Upgrades!$B$3:$B$13)-COUNTIF(Q$4:Q1084,"Sell_"&amp;Upgrades!$B$3:$B$13))*Upgrades!$D$3:$D$13))</f>
        <v/>
      </c>
      <c r="T1084" s="66" t="str">
        <f>IFERROR(__xludf.DUMMYFUNCTION("IF(COUNTA(Q1084:Q1350)=0,"""",IF(REGEXMATCH(INDEX(FILTER(Q$4:Q1084,Q$4:Q1084&lt;&gt;""""),ROWS(FILTER(Q$4:Q1084,Q$4:Q1084&lt;&gt;""""))),""^Sell_""),INDEX(FILTER(T$4:T1083,Q$4:Q1083&lt;&gt;""""),ROWS(FILTER(Q$4:Q1083,Q$4:Q1083&lt;&gt;""""))),$AD$5+S1084))"),"")</f>
        <v/>
      </c>
      <c r="U1084" s="10" t="str">
        <f>IFERROR(__xludf.DUMMYFUNCTION("IF(COUNTA(Q1084:Q1350)=0,"""",IF(Q1084="""",0,IF(REGEXMATCH(Q1084,""^Sell_""),-ROUNDDOWN(ROUNDUP(INDEX(Upgrades!$C$3:$C$13,MATCH(SUBSTITUTE(Q1084,""Sell_"",""""),Upgrades!$B$3:$B$13,0))*1.15^(COUNTIF(Q$4:Q1083,SUBSTITUTE(Q1084,""Sell_"",""""))-COUNTIF(Q$4"&amp;":Q1083,""Sell_""&amp;SUBSTITUTE(Q1084,""Sell_"",""""))))/2),ROUNDUP(INDEX(Upgrades!$C$3:$C$13,MATCH(Q1084,Upgrades!$B$3:$B$13,0))*1.15^(COUNTIF(Q$4:Q1083,Q1084)-COUNTIF(Q$4:Q1083,""Sell_""&amp;Q1084))))))"),"")</f>
        <v/>
      </c>
      <c r="V1084" s="10" t="str">
        <f t="shared" si="11"/>
        <v/>
      </c>
      <c r="W1084" s="68" t="str">
        <f t="shared" si="12"/>
        <v/>
      </c>
      <c r="X1084" s="59" t="str">
        <f t="shared" si="13"/>
        <v/>
      </c>
      <c r="Y1084" s="69" t="str">
        <f t="shared" si="14"/>
        <v/>
      </c>
      <c r="Z1084" s="11"/>
    </row>
    <row r="1085">
      <c r="A1085" s="8"/>
      <c r="B1085" s="56" t="str">
        <f t="shared" si="2"/>
        <v/>
      </c>
      <c r="C1085" s="57"/>
      <c r="D1085" s="10" t="str">
        <f>IFERROR(__xludf.DUMMYFUNCTION("IF(COUNTA(C1085:C1350)=0,"""",IF(ISBLANK(C1085),FALSE,IF(NOT(COUNTIF($AA$24:$AA$34,SUBSTITUTE(C1085,""Sell_"",""""))),1,IF(REGEXMATCH(C1085,""Sell_""),IF(COUNTIF(C$4:C1085,SUBSTITUTE(C1085,""Sell_"",""""))-COUNTIF(C$4:C1084,C1085)&lt;1,1),FALSE))))"),"")</f>
        <v/>
      </c>
      <c r="E1085" s="59" t="str">
        <f t="array" ref="E1085">IF(COUNTA(C1085:C1350)=0,"",SUM((COUNTIF(C$4:C1085,Upgrades!$B$3:$B$13)-COUNTIF(C$4:C1085,"Sell_"&amp;Upgrades!$B$3:$B$13))*Upgrades!$D$3:$D$13))</f>
        <v/>
      </c>
      <c r="F1085" s="66" t="str">
        <f>IFERROR(__xludf.DUMMYFUNCTION("IF(COUNTA(C1085:C1350)=0,"""",IF(REGEXMATCH(INDEX(FILTER(C$4:C1085,C$4:C1085&lt;&gt;""""),ROWS(FILTER(C$4:C1085,C$4:C1085&lt;&gt;""""))),""^Sell_""),INDEX(FILTER(F$4:F1084,C$4:C1084&lt;&gt;""""),ROWS(FILTER(C$4:C1084,C$4:C1084&lt;&gt;""""))),$AC$5+E1085))"),"")</f>
        <v/>
      </c>
      <c r="G1085" s="10" t="str">
        <f>IFERROR(__xludf.DUMMYFUNCTION("IF(COUNTA(C1085:C1350)=0,"""",IF(C1085="""",0,IF(REGEXMATCH(C1085,""^Sell_""),-ROUNDDOWN(ROUNDUP(INDEX(Upgrades!$C$3:$C$13,MATCH(SUBSTITUTE(C1085,""Sell_"",""""),Upgrades!$B$3:$B$13,0))*1.15^(COUNTIF(C$4:C1084,SUBSTITUTE(C1085,""Sell_"",""""))-COUNTIF(C$4"&amp;":C1084,""Sell_""&amp;SUBSTITUTE(C1085,""Sell_"",""""))))/2),ROUNDUP(INDEX(Upgrades!$C$3:$C$13,MATCH(C1085,Upgrades!$B$3:$B$13,0))*1.15^(COUNTIF(C$4:C1084,C1085)-COUNTIF(C$4:C1084,""Sell_""&amp;C1085))))))"),"")</f>
        <v/>
      </c>
      <c r="H1085" s="10" t="str">
        <f t="shared" si="3"/>
        <v/>
      </c>
      <c r="I1085" s="68" t="str">
        <f t="shared" si="4"/>
        <v/>
      </c>
      <c r="J1085" s="59" t="str">
        <f t="shared" si="5"/>
        <v/>
      </c>
      <c r="K1085" s="69" t="str">
        <f t="shared" si="6"/>
        <v/>
      </c>
      <c r="L1085" s="60" t="str">
        <f t="shared" si="7"/>
        <v/>
      </c>
      <c r="M1085" s="61" t="str">
        <f>IFERROR(__xludf.DUMMYFUNCTION("IFS(AND(COUNTA(C1085:C1350)=0,COUNTA(Q1085:Q1350)=0),"""",OR(AND(K1085&gt;=1000000000,OR(Y1085&gt;=1000000000,COUNTA(Q1085:Q1350)=0)),OR(Y1085&gt;=1000000000,AND(COUNTA(C1085:C1350)=0,P$3=TRUE))),
ROUNDDOWN((AB$1-AC$1)*MAX(INDEX(T$4:T1350,MATCH(LARGE(FILTER(Y$4:Y1"&amp;"350,Y$4:Y1350&lt;1000000000),1),Y$4:Y1350)),INDEX(F$4:F1350,MATCH(LARGE(FILTER(K$4:K1350,K$4:K1350&lt;1000000000),1),K$4:K1350)))),AND(K1085&lt;1000000000,COUNTA(C1085:C1350)&gt;0,P$3=FALSE),
ROUNDDOWN(INDEX(Y$4:Y1350,MATCH(LARGE(FILTER(W$4:W1350,W$4:W1350&lt;=I1085),1)"&amp;",W$4:W1350))+(I1085-LARGE(FILTER(W$4:W1350,W$4:W1350&lt;=I1085),1))*INDEX(T$4:T1350,MATCH(LARGE(FILTER(W$4:W1350,W$4:W1350&lt;=I1085),1),W$4:W1350))-K1085),1,
ROUNDDOWN(Y1085-INDEX(K$4:K1350,MATCH(LARGE(FILTER(I$4:I1350,I$4:I1350&lt;=W1085),1),I$4:I1350))-(W1085-L"&amp;"ARGE(FILTER(I$4:I1350,I$4:I1350&lt;=W1085),1))*INDEX(F$4:F1350,MATCH(LARGE(FILTER(I$4:I1350,I$4:I1350&lt;=W1085),1),I$4:I1350))))"),"")</f>
        <v/>
      </c>
      <c r="N1085" s="60" t="str">
        <f t="shared" si="8"/>
        <v/>
      </c>
      <c r="O1085" s="61" t="str">
        <f t="shared" si="9"/>
        <v/>
      </c>
      <c r="P1085" s="56" t="str">
        <f t="shared" si="10"/>
        <v/>
      </c>
      <c r="Q1085" s="62"/>
      <c r="R1085" s="10" t="str">
        <f>IFERROR(__xludf.DUMMYFUNCTION("IF(COUNTA(Q1085:Q1350)=0,"""",IF(ISBLANK(Q1085),FALSE,IF(NOT(COUNTIF($AA$24:$AA$34,SUBSTITUTE(Q1085,""Sell_"",""""))),1,IF(REGEXMATCH(Q1085,""Sell_""),IF(COUNTIF(Q$4:Q1085,SUBSTITUTE(Q1085,""Sell_"",""""))-COUNTIF(Q$4:Q1084,Q1085)&lt;1,1),FALSE))))"),"")</f>
        <v/>
      </c>
      <c r="S1085" s="59" t="str">
        <f t="array" ref="S1085">IF(COUNTA(Q1085:Q1350)=0,"",SUM((COUNTIF(Q$4:Q1085,Upgrades!$B$3:$B$13)-COUNTIF(Q$4:Q1085,"Sell_"&amp;Upgrades!$B$3:$B$13))*Upgrades!$D$3:$D$13))</f>
        <v/>
      </c>
      <c r="T1085" s="66" t="str">
        <f>IFERROR(__xludf.DUMMYFUNCTION("IF(COUNTA(Q1085:Q1350)=0,"""",IF(REGEXMATCH(INDEX(FILTER(Q$4:Q1085,Q$4:Q1085&lt;&gt;""""),ROWS(FILTER(Q$4:Q1085,Q$4:Q1085&lt;&gt;""""))),""^Sell_""),INDEX(FILTER(T$4:T1084,Q$4:Q1084&lt;&gt;""""),ROWS(FILTER(Q$4:Q1084,Q$4:Q1084&lt;&gt;""""))),$AD$5+S1085))"),"")</f>
        <v/>
      </c>
      <c r="U1085" s="10" t="str">
        <f>IFERROR(__xludf.DUMMYFUNCTION("IF(COUNTA(Q1085:Q1350)=0,"""",IF(Q1085="""",0,IF(REGEXMATCH(Q1085,""^Sell_""),-ROUNDDOWN(ROUNDUP(INDEX(Upgrades!$C$3:$C$13,MATCH(SUBSTITUTE(Q1085,""Sell_"",""""),Upgrades!$B$3:$B$13,0))*1.15^(COUNTIF(Q$4:Q1084,SUBSTITUTE(Q1085,""Sell_"",""""))-COUNTIF(Q$4"&amp;":Q1084,""Sell_""&amp;SUBSTITUTE(Q1085,""Sell_"",""""))))/2),ROUNDUP(INDEX(Upgrades!$C$3:$C$13,MATCH(Q1085,Upgrades!$B$3:$B$13,0))*1.15^(COUNTIF(Q$4:Q1084,Q1085)-COUNTIF(Q$4:Q1084,""Sell_""&amp;Q1085))))))"),"")</f>
        <v/>
      </c>
      <c r="V1085" s="10" t="str">
        <f t="shared" si="11"/>
        <v/>
      </c>
      <c r="W1085" s="68" t="str">
        <f t="shared" si="12"/>
        <v/>
      </c>
      <c r="X1085" s="59" t="str">
        <f t="shared" si="13"/>
        <v/>
      </c>
      <c r="Y1085" s="69" t="str">
        <f t="shared" si="14"/>
        <v/>
      </c>
      <c r="Z1085" s="11"/>
    </row>
    <row r="1086">
      <c r="A1086" s="8"/>
      <c r="B1086" s="56" t="str">
        <f t="shared" si="2"/>
        <v/>
      </c>
      <c r="C1086" s="57"/>
      <c r="D1086" s="10" t="str">
        <f>IFERROR(__xludf.DUMMYFUNCTION("IF(COUNTA(C1086:C1350)=0,"""",IF(ISBLANK(C1086),FALSE,IF(NOT(COUNTIF($AA$24:$AA$34,SUBSTITUTE(C1086,""Sell_"",""""))),1,IF(REGEXMATCH(C1086,""Sell_""),IF(COUNTIF(C$4:C1086,SUBSTITUTE(C1086,""Sell_"",""""))-COUNTIF(C$4:C1085,C1086)&lt;1,1),FALSE))))"),"")</f>
        <v/>
      </c>
      <c r="E1086" s="59" t="str">
        <f t="array" ref="E1086">IF(COUNTA(C1086:C1350)=0,"",SUM((COUNTIF(C$4:C1086,Upgrades!$B$3:$B$13)-COUNTIF(C$4:C1086,"Sell_"&amp;Upgrades!$B$3:$B$13))*Upgrades!$D$3:$D$13))</f>
        <v/>
      </c>
      <c r="F1086" s="66" t="str">
        <f>IFERROR(__xludf.DUMMYFUNCTION("IF(COUNTA(C1086:C1350)=0,"""",IF(REGEXMATCH(INDEX(FILTER(C$4:C1086,C$4:C1086&lt;&gt;""""),ROWS(FILTER(C$4:C1086,C$4:C1086&lt;&gt;""""))),""^Sell_""),INDEX(FILTER(F$4:F1085,C$4:C1085&lt;&gt;""""),ROWS(FILTER(C$4:C1085,C$4:C1085&lt;&gt;""""))),$AC$5+E1086))"),"")</f>
        <v/>
      </c>
      <c r="G1086" s="10" t="str">
        <f>IFERROR(__xludf.DUMMYFUNCTION("IF(COUNTA(C1086:C1350)=0,"""",IF(C1086="""",0,IF(REGEXMATCH(C1086,""^Sell_""),-ROUNDDOWN(ROUNDUP(INDEX(Upgrades!$C$3:$C$13,MATCH(SUBSTITUTE(C1086,""Sell_"",""""),Upgrades!$B$3:$B$13,0))*1.15^(COUNTIF(C$4:C1085,SUBSTITUTE(C1086,""Sell_"",""""))-COUNTIF(C$4"&amp;":C1085,""Sell_""&amp;SUBSTITUTE(C1086,""Sell_"",""""))))/2),ROUNDUP(INDEX(Upgrades!$C$3:$C$13,MATCH(C1086,Upgrades!$B$3:$B$13,0))*1.15^(COUNTIF(C$4:C1085,C1086)-COUNTIF(C$4:C1085,""Sell_""&amp;C1086))))))"),"")</f>
        <v/>
      </c>
      <c r="H1086" s="10" t="str">
        <f t="shared" si="3"/>
        <v/>
      </c>
      <c r="I1086" s="68" t="str">
        <f t="shared" si="4"/>
        <v/>
      </c>
      <c r="J1086" s="59" t="str">
        <f t="shared" si="5"/>
        <v/>
      </c>
      <c r="K1086" s="69" t="str">
        <f t="shared" si="6"/>
        <v/>
      </c>
      <c r="L1086" s="60" t="str">
        <f t="shared" si="7"/>
        <v/>
      </c>
      <c r="M1086" s="61" t="str">
        <f>IFERROR(__xludf.DUMMYFUNCTION("IFS(AND(COUNTA(C1086:C1350)=0,COUNTA(Q1086:Q1350)=0),"""",OR(AND(K1086&gt;=1000000000,OR(Y1086&gt;=1000000000,COUNTA(Q1086:Q1350)=0)),OR(Y1086&gt;=1000000000,AND(COUNTA(C1086:C1350)=0,P$3=TRUE))),
ROUNDDOWN((AB$1-AC$1)*MAX(INDEX(T$4:T1350,MATCH(LARGE(FILTER(Y$4:Y1"&amp;"350,Y$4:Y1350&lt;1000000000),1),Y$4:Y1350)),INDEX(F$4:F1350,MATCH(LARGE(FILTER(K$4:K1350,K$4:K1350&lt;1000000000),1),K$4:K1350)))),AND(K1086&lt;1000000000,COUNTA(C1086:C1350)&gt;0,P$3=FALSE),
ROUNDDOWN(INDEX(Y$4:Y1350,MATCH(LARGE(FILTER(W$4:W1350,W$4:W1350&lt;=I1086),1)"&amp;",W$4:W1350))+(I1086-LARGE(FILTER(W$4:W1350,W$4:W1350&lt;=I1086),1))*INDEX(T$4:T1350,MATCH(LARGE(FILTER(W$4:W1350,W$4:W1350&lt;=I1086),1),W$4:W1350))-K1086),1,
ROUNDDOWN(Y1086-INDEX(K$4:K1350,MATCH(LARGE(FILTER(I$4:I1350,I$4:I1350&lt;=W1086),1),I$4:I1350))-(W1086-L"&amp;"ARGE(FILTER(I$4:I1350,I$4:I1350&lt;=W1086),1))*INDEX(F$4:F1350,MATCH(LARGE(FILTER(I$4:I1350,I$4:I1350&lt;=W1086),1),I$4:I1350))))"),"")</f>
        <v/>
      </c>
      <c r="N1086" s="60" t="str">
        <f t="shared" si="8"/>
        <v/>
      </c>
      <c r="O1086" s="61" t="str">
        <f t="shared" si="9"/>
        <v/>
      </c>
      <c r="P1086" s="56" t="str">
        <f t="shared" si="10"/>
        <v/>
      </c>
      <c r="Q1086" s="62"/>
      <c r="R1086" s="10" t="str">
        <f>IFERROR(__xludf.DUMMYFUNCTION("IF(COUNTA(Q1086:Q1350)=0,"""",IF(ISBLANK(Q1086),FALSE,IF(NOT(COUNTIF($AA$24:$AA$34,SUBSTITUTE(Q1086,""Sell_"",""""))),1,IF(REGEXMATCH(Q1086,""Sell_""),IF(COUNTIF(Q$4:Q1086,SUBSTITUTE(Q1086,""Sell_"",""""))-COUNTIF(Q$4:Q1085,Q1086)&lt;1,1),FALSE))))"),"")</f>
        <v/>
      </c>
      <c r="S1086" s="59" t="str">
        <f t="array" ref="S1086">IF(COUNTA(Q1086:Q1350)=0,"",SUM((COUNTIF(Q$4:Q1086,Upgrades!$B$3:$B$13)-COUNTIF(Q$4:Q1086,"Sell_"&amp;Upgrades!$B$3:$B$13))*Upgrades!$D$3:$D$13))</f>
        <v/>
      </c>
      <c r="T1086" s="66" t="str">
        <f>IFERROR(__xludf.DUMMYFUNCTION("IF(COUNTA(Q1086:Q1350)=0,"""",IF(REGEXMATCH(INDEX(FILTER(Q$4:Q1086,Q$4:Q1086&lt;&gt;""""),ROWS(FILTER(Q$4:Q1086,Q$4:Q1086&lt;&gt;""""))),""^Sell_""),INDEX(FILTER(T$4:T1085,Q$4:Q1085&lt;&gt;""""),ROWS(FILTER(Q$4:Q1085,Q$4:Q1085&lt;&gt;""""))),$AD$5+S1086))"),"")</f>
        <v/>
      </c>
      <c r="U1086" s="10" t="str">
        <f>IFERROR(__xludf.DUMMYFUNCTION("IF(COUNTA(Q1086:Q1350)=0,"""",IF(Q1086="""",0,IF(REGEXMATCH(Q1086,""^Sell_""),-ROUNDDOWN(ROUNDUP(INDEX(Upgrades!$C$3:$C$13,MATCH(SUBSTITUTE(Q1086,""Sell_"",""""),Upgrades!$B$3:$B$13,0))*1.15^(COUNTIF(Q$4:Q1085,SUBSTITUTE(Q1086,""Sell_"",""""))-COUNTIF(Q$4"&amp;":Q1085,""Sell_""&amp;SUBSTITUTE(Q1086,""Sell_"",""""))))/2),ROUNDUP(INDEX(Upgrades!$C$3:$C$13,MATCH(Q1086,Upgrades!$B$3:$B$13,0))*1.15^(COUNTIF(Q$4:Q1085,Q1086)-COUNTIF(Q$4:Q1085,""Sell_""&amp;Q1086))))))"),"")</f>
        <v/>
      </c>
      <c r="V1086" s="10" t="str">
        <f t="shared" si="11"/>
        <v/>
      </c>
      <c r="W1086" s="68" t="str">
        <f t="shared" si="12"/>
        <v/>
      </c>
      <c r="X1086" s="59" t="str">
        <f t="shared" si="13"/>
        <v/>
      </c>
      <c r="Y1086" s="69" t="str">
        <f t="shared" si="14"/>
        <v/>
      </c>
      <c r="Z1086" s="11"/>
    </row>
    <row r="1087">
      <c r="A1087" s="8"/>
      <c r="B1087" s="56" t="str">
        <f t="shared" si="2"/>
        <v/>
      </c>
      <c r="C1087" s="57"/>
      <c r="D1087" s="10" t="str">
        <f>IFERROR(__xludf.DUMMYFUNCTION("IF(COUNTA(C1087:C1350)=0,"""",IF(ISBLANK(C1087),FALSE,IF(NOT(COUNTIF($AA$24:$AA$34,SUBSTITUTE(C1087,""Sell_"",""""))),1,IF(REGEXMATCH(C1087,""Sell_""),IF(COUNTIF(C$4:C1087,SUBSTITUTE(C1087,""Sell_"",""""))-COUNTIF(C$4:C1086,C1087)&lt;1,1),FALSE))))"),"")</f>
        <v/>
      </c>
      <c r="E1087" s="59" t="str">
        <f t="array" ref="E1087">IF(COUNTA(C1087:C1350)=0,"",SUM((COUNTIF(C$4:C1087,Upgrades!$B$3:$B$13)-COUNTIF(C$4:C1087,"Sell_"&amp;Upgrades!$B$3:$B$13))*Upgrades!$D$3:$D$13))</f>
        <v/>
      </c>
      <c r="F1087" s="66" t="str">
        <f>IFERROR(__xludf.DUMMYFUNCTION("IF(COUNTA(C1087:C1350)=0,"""",IF(REGEXMATCH(INDEX(FILTER(C$4:C1087,C$4:C1087&lt;&gt;""""),ROWS(FILTER(C$4:C1087,C$4:C1087&lt;&gt;""""))),""^Sell_""),INDEX(FILTER(F$4:F1086,C$4:C1086&lt;&gt;""""),ROWS(FILTER(C$4:C1086,C$4:C1086&lt;&gt;""""))),$AC$5+E1087))"),"")</f>
        <v/>
      </c>
      <c r="G1087" s="10" t="str">
        <f>IFERROR(__xludf.DUMMYFUNCTION("IF(COUNTA(C1087:C1350)=0,"""",IF(C1087="""",0,IF(REGEXMATCH(C1087,""^Sell_""),-ROUNDDOWN(ROUNDUP(INDEX(Upgrades!$C$3:$C$13,MATCH(SUBSTITUTE(C1087,""Sell_"",""""),Upgrades!$B$3:$B$13,0))*1.15^(COUNTIF(C$4:C1086,SUBSTITUTE(C1087,""Sell_"",""""))-COUNTIF(C$4"&amp;":C1086,""Sell_""&amp;SUBSTITUTE(C1087,""Sell_"",""""))))/2),ROUNDUP(INDEX(Upgrades!$C$3:$C$13,MATCH(C1087,Upgrades!$B$3:$B$13,0))*1.15^(COUNTIF(C$4:C1086,C1087)-COUNTIF(C$4:C1086,""Sell_""&amp;C1087))))))"),"")</f>
        <v/>
      </c>
      <c r="H1087" s="10" t="str">
        <f t="shared" si="3"/>
        <v/>
      </c>
      <c r="I1087" s="68" t="str">
        <f t="shared" si="4"/>
        <v/>
      </c>
      <c r="J1087" s="59" t="str">
        <f t="shared" si="5"/>
        <v/>
      </c>
      <c r="K1087" s="69" t="str">
        <f t="shared" si="6"/>
        <v/>
      </c>
      <c r="L1087" s="60" t="str">
        <f t="shared" si="7"/>
        <v/>
      </c>
      <c r="M1087" s="61" t="str">
        <f>IFERROR(__xludf.DUMMYFUNCTION("IFS(AND(COUNTA(C1087:C1350)=0,COUNTA(Q1087:Q1350)=0),"""",OR(AND(K1087&gt;=1000000000,OR(Y1087&gt;=1000000000,COUNTA(Q1087:Q1350)=0)),OR(Y1087&gt;=1000000000,AND(COUNTA(C1087:C1350)=0,P$3=TRUE))),
ROUNDDOWN((AB$1-AC$1)*MAX(INDEX(T$4:T1350,MATCH(LARGE(FILTER(Y$4:Y1"&amp;"350,Y$4:Y1350&lt;1000000000),1),Y$4:Y1350)),INDEX(F$4:F1350,MATCH(LARGE(FILTER(K$4:K1350,K$4:K1350&lt;1000000000),1),K$4:K1350)))),AND(K1087&lt;1000000000,COUNTA(C1087:C1350)&gt;0,P$3=FALSE),
ROUNDDOWN(INDEX(Y$4:Y1350,MATCH(LARGE(FILTER(W$4:W1350,W$4:W1350&lt;=I1087),1)"&amp;",W$4:W1350))+(I1087-LARGE(FILTER(W$4:W1350,W$4:W1350&lt;=I1087),1))*INDEX(T$4:T1350,MATCH(LARGE(FILTER(W$4:W1350,W$4:W1350&lt;=I1087),1),W$4:W1350))-K1087),1,
ROUNDDOWN(Y1087-INDEX(K$4:K1350,MATCH(LARGE(FILTER(I$4:I1350,I$4:I1350&lt;=W1087),1),I$4:I1350))-(W1087-L"&amp;"ARGE(FILTER(I$4:I1350,I$4:I1350&lt;=W1087),1))*INDEX(F$4:F1350,MATCH(LARGE(FILTER(I$4:I1350,I$4:I1350&lt;=W1087),1),I$4:I1350))))"),"")</f>
        <v/>
      </c>
      <c r="N1087" s="60" t="str">
        <f t="shared" si="8"/>
        <v/>
      </c>
      <c r="O1087" s="61" t="str">
        <f t="shared" si="9"/>
        <v/>
      </c>
      <c r="P1087" s="56" t="str">
        <f t="shared" si="10"/>
        <v/>
      </c>
      <c r="Q1087" s="62"/>
      <c r="R1087" s="10" t="str">
        <f>IFERROR(__xludf.DUMMYFUNCTION("IF(COUNTA(Q1087:Q1350)=0,"""",IF(ISBLANK(Q1087),FALSE,IF(NOT(COUNTIF($AA$24:$AA$34,SUBSTITUTE(Q1087,""Sell_"",""""))),1,IF(REGEXMATCH(Q1087,""Sell_""),IF(COUNTIF(Q$4:Q1087,SUBSTITUTE(Q1087,""Sell_"",""""))-COUNTIF(Q$4:Q1086,Q1087)&lt;1,1),FALSE))))"),"")</f>
        <v/>
      </c>
      <c r="S1087" s="59" t="str">
        <f t="array" ref="S1087">IF(COUNTA(Q1087:Q1350)=0,"",SUM((COUNTIF(Q$4:Q1087,Upgrades!$B$3:$B$13)-COUNTIF(Q$4:Q1087,"Sell_"&amp;Upgrades!$B$3:$B$13))*Upgrades!$D$3:$D$13))</f>
        <v/>
      </c>
      <c r="T1087" s="66" t="str">
        <f>IFERROR(__xludf.DUMMYFUNCTION("IF(COUNTA(Q1087:Q1350)=0,"""",IF(REGEXMATCH(INDEX(FILTER(Q$4:Q1087,Q$4:Q1087&lt;&gt;""""),ROWS(FILTER(Q$4:Q1087,Q$4:Q1087&lt;&gt;""""))),""^Sell_""),INDEX(FILTER(T$4:T1086,Q$4:Q1086&lt;&gt;""""),ROWS(FILTER(Q$4:Q1086,Q$4:Q1086&lt;&gt;""""))),$AD$5+S1087))"),"")</f>
        <v/>
      </c>
      <c r="U1087" s="10" t="str">
        <f>IFERROR(__xludf.DUMMYFUNCTION("IF(COUNTA(Q1087:Q1350)=0,"""",IF(Q1087="""",0,IF(REGEXMATCH(Q1087,""^Sell_""),-ROUNDDOWN(ROUNDUP(INDEX(Upgrades!$C$3:$C$13,MATCH(SUBSTITUTE(Q1087,""Sell_"",""""),Upgrades!$B$3:$B$13,0))*1.15^(COUNTIF(Q$4:Q1086,SUBSTITUTE(Q1087,""Sell_"",""""))-COUNTIF(Q$4"&amp;":Q1086,""Sell_""&amp;SUBSTITUTE(Q1087,""Sell_"",""""))))/2),ROUNDUP(INDEX(Upgrades!$C$3:$C$13,MATCH(Q1087,Upgrades!$B$3:$B$13,0))*1.15^(COUNTIF(Q$4:Q1086,Q1087)-COUNTIF(Q$4:Q1086,""Sell_""&amp;Q1087))))))"),"")</f>
        <v/>
      </c>
      <c r="V1087" s="10" t="str">
        <f t="shared" si="11"/>
        <v/>
      </c>
      <c r="W1087" s="68" t="str">
        <f t="shared" si="12"/>
        <v/>
      </c>
      <c r="X1087" s="59" t="str">
        <f t="shared" si="13"/>
        <v/>
      </c>
      <c r="Y1087" s="69" t="str">
        <f t="shared" si="14"/>
        <v/>
      </c>
      <c r="Z1087" s="11"/>
    </row>
    <row r="1088">
      <c r="A1088" s="8"/>
      <c r="B1088" s="56" t="str">
        <f t="shared" si="2"/>
        <v/>
      </c>
      <c r="C1088" s="57"/>
      <c r="D1088" s="10" t="str">
        <f>IFERROR(__xludf.DUMMYFUNCTION("IF(COUNTA(C1088:C1350)=0,"""",IF(ISBLANK(C1088),FALSE,IF(NOT(COUNTIF($AA$24:$AA$34,SUBSTITUTE(C1088,""Sell_"",""""))),1,IF(REGEXMATCH(C1088,""Sell_""),IF(COUNTIF(C$4:C1088,SUBSTITUTE(C1088,""Sell_"",""""))-COUNTIF(C$4:C1087,C1088)&lt;1,1),FALSE))))"),"")</f>
        <v/>
      </c>
      <c r="E1088" s="59" t="str">
        <f t="array" ref="E1088">IF(COUNTA(C1088:C1350)=0,"",SUM((COUNTIF(C$4:C1088,Upgrades!$B$3:$B$13)-COUNTIF(C$4:C1088,"Sell_"&amp;Upgrades!$B$3:$B$13))*Upgrades!$D$3:$D$13))</f>
        <v/>
      </c>
      <c r="F1088" s="66" t="str">
        <f>IFERROR(__xludf.DUMMYFUNCTION("IF(COUNTA(C1088:C1350)=0,"""",IF(REGEXMATCH(INDEX(FILTER(C$4:C1088,C$4:C1088&lt;&gt;""""),ROWS(FILTER(C$4:C1088,C$4:C1088&lt;&gt;""""))),""^Sell_""),INDEX(FILTER(F$4:F1087,C$4:C1087&lt;&gt;""""),ROWS(FILTER(C$4:C1087,C$4:C1087&lt;&gt;""""))),$AC$5+E1088))"),"")</f>
        <v/>
      </c>
      <c r="G1088" s="10" t="str">
        <f>IFERROR(__xludf.DUMMYFUNCTION("IF(COUNTA(C1088:C1350)=0,"""",IF(C1088="""",0,IF(REGEXMATCH(C1088,""^Sell_""),-ROUNDDOWN(ROUNDUP(INDEX(Upgrades!$C$3:$C$13,MATCH(SUBSTITUTE(C1088,""Sell_"",""""),Upgrades!$B$3:$B$13,0))*1.15^(COUNTIF(C$4:C1087,SUBSTITUTE(C1088,""Sell_"",""""))-COUNTIF(C$4"&amp;":C1087,""Sell_""&amp;SUBSTITUTE(C1088,""Sell_"",""""))))/2),ROUNDUP(INDEX(Upgrades!$C$3:$C$13,MATCH(C1088,Upgrades!$B$3:$B$13,0))*1.15^(COUNTIF(C$4:C1087,C1088)-COUNTIF(C$4:C1087,""Sell_""&amp;C1088))))))"),"")</f>
        <v/>
      </c>
      <c r="H1088" s="10" t="str">
        <f t="shared" si="3"/>
        <v/>
      </c>
      <c r="I1088" s="68" t="str">
        <f t="shared" si="4"/>
        <v/>
      </c>
      <c r="J1088" s="59" t="str">
        <f t="shared" si="5"/>
        <v/>
      </c>
      <c r="K1088" s="69" t="str">
        <f t="shared" si="6"/>
        <v/>
      </c>
      <c r="L1088" s="60" t="str">
        <f t="shared" si="7"/>
        <v/>
      </c>
      <c r="M1088" s="61" t="str">
        <f>IFERROR(__xludf.DUMMYFUNCTION("IFS(AND(COUNTA(C1088:C1350)=0,COUNTA(Q1088:Q1350)=0),"""",OR(AND(K1088&gt;=1000000000,OR(Y1088&gt;=1000000000,COUNTA(Q1088:Q1350)=0)),OR(Y1088&gt;=1000000000,AND(COUNTA(C1088:C1350)=0,P$3=TRUE))),
ROUNDDOWN((AB$1-AC$1)*MAX(INDEX(T$4:T1350,MATCH(LARGE(FILTER(Y$4:Y1"&amp;"350,Y$4:Y1350&lt;1000000000),1),Y$4:Y1350)),INDEX(F$4:F1350,MATCH(LARGE(FILTER(K$4:K1350,K$4:K1350&lt;1000000000),1),K$4:K1350)))),AND(K1088&lt;1000000000,COUNTA(C1088:C1350)&gt;0,P$3=FALSE),
ROUNDDOWN(INDEX(Y$4:Y1350,MATCH(LARGE(FILTER(W$4:W1350,W$4:W1350&lt;=I1088),1)"&amp;",W$4:W1350))+(I1088-LARGE(FILTER(W$4:W1350,W$4:W1350&lt;=I1088),1))*INDEX(T$4:T1350,MATCH(LARGE(FILTER(W$4:W1350,W$4:W1350&lt;=I1088),1),W$4:W1350))-K1088),1,
ROUNDDOWN(Y1088-INDEX(K$4:K1350,MATCH(LARGE(FILTER(I$4:I1350,I$4:I1350&lt;=W1088),1),I$4:I1350))-(W1088-L"&amp;"ARGE(FILTER(I$4:I1350,I$4:I1350&lt;=W1088),1))*INDEX(F$4:F1350,MATCH(LARGE(FILTER(I$4:I1350,I$4:I1350&lt;=W1088),1),I$4:I1350))))"),"")</f>
        <v/>
      </c>
      <c r="N1088" s="60" t="str">
        <f t="shared" si="8"/>
        <v/>
      </c>
      <c r="O1088" s="61" t="str">
        <f t="shared" si="9"/>
        <v/>
      </c>
      <c r="P1088" s="56" t="str">
        <f t="shared" si="10"/>
        <v/>
      </c>
      <c r="Q1088" s="62"/>
      <c r="R1088" s="10" t="str">
        <f>IFERROR(__xludf.DUMMYFUNCTION("IF(COUNTA(Q1088:Q1350)=0,"""",IF(ISBLANK(Q1088),FALSE,IF(NOT(COUNTIF($AA$24:$AA$34,SUBSTITUTE(Q1088,""Sell_"",""""))),1,IF(REGEXMATCH(Q1088,""Sell_""),IF(COUNTIF(Q$4:Q1088,SUBSTITUTE(Q1088,""Sell_"",""""))-COUNTIF(Q$4:Q1087,Q1088)&lt;1,1),FALSE))))"),"")</f>
        <v/>
      </c>
      <c r="S1088" s="59" t="str">
        <f t="array" ref="S1088">IF(COUNTA(Q1088:Q1350)=0,"",SUM((COUNTIF(Q$4:Q1088,Upgrades!$B$3:$B$13)-COUNTIF(Q$4:Q1088,"Sell_"&amp;Upgrades!$B$3:$B$13))*Upgrades!$D$3:$D$13))</f>
        <v/>
      </c>
      <c r="T1088" s="66" t="str">
        <f>IFERROR(__xludf.DUMMYFUNCTION("IF(COUNTA(Q1088:Q1350)=0,"""",IF(REGEXMATCH(INDEX(FILTER(Q$4:Q1088,Q$4:Q1088&lt;&gt;""""),ROWS(FILTER(Q$4:Q1088,Q$4:Q1088&lt;&gt;""""))),""^Sell_""),INDEX(FILTER(T$4:T1087,Q$4:Q1087&lt;&gt;""""),ROWS(FILTER(Q$4:Q1087,Q$4:Q1087&lt;&gt;""""))),$AD$5+S1088))"),"")</f>
        <v/>
      </c>
      <c r="U1088" s="10" t="str">
        <f>IFERROR(__xludf.DUMMYFUNCTION("IF(COUNTA(Q1088:Q1350)=0,"""",IF(Q1088="""",0,IF(REGEXMATCH(Q1088,""^Sell_""),-ROUNDDOWN(ROUNDUP(INDEX(Upgrades!$C$3:$C$13,MATCH(SUBSTITUTE(Q1088,""Sell_"",""""),Upgrades!$B$3:$B$13,0))*1.15^(COUNTIF(Q$4:Q1087,SUBSTITUTE(Q1088,""Sell_"",""""))-COUNTIF(Q$4"&amp;":Q1087,""Sell_""&amp;SUBSTITUTE(Q1088,""Sell_"",""""))))/2),ROUNDUP(INDEX(Upgrades!$C$3:$C$13,MATCH(Q1088,Upgrades!$B$3:$B$13,0))*1.15^(COUNTIF(Q$4:Q1087,Q1088)-COUNTIF(Q$4:Q1087,""Sell_""&amp;Q1088))))))"),"")</f>
        <v/>
      </c>
      <c r="V1088" s="10" t="str">
        <f t="shared" si="11"/>
        <v/>
      </c>
      <c r="W1088" s="68" t="str">
        <f t="shared" si="12"/>
        <v/>
      </c>
      <c r="X1088" s="59" t="str">
        <f t="shared" si="13"/>
        <v/>
      </c>
      <c r="Y1088" s="69" t="str">
        <f t="shared" si="14"/>
        <v/>
      </c>
      <c r="Z1088" s="11"/>
    </row>
    <row r="1089">
      <c r="A1089" s="8"/>
      <c r="B1089" s="56" t="str">
        <f t="shared" si="2"/>
        <v/>
      </c>
      <c r="C1089" s="57"/>
      <c r="D1089" s="10" t="str">
        <f>IFERROR(__xludf.DUMMYFUNCTION("IF(COUNTA(C1089:C1350)=0,"""",IF(ISBLANK(C1089),FALSE,IF(NOT(COUNTIF($AA$24:$AA$34,SUBSTITUTE(C1089,""Sell_"",""""))),1,IF(REGEXMATCH(C1089,""Sell_""),IF(COUNTIF(C$4:C1089,SUBSTITUTE(C1089,""Sell_"",""""))-COUNTIF(C$4:C1088,C1089)&lt;1,1),FALSE))))"),"")</f>
        <v/>
      </c>
      <c r="E1089" s="59" t="str">
        <f t="array" ref="E1089">IF(COUNTA(C1089:C1350)=0,"",SUM((COUNTIF(C$4:C1089,Upgrades!$B$3:$B$13)-COUNTIF(C$4:C1089,"Sell_"&amp;Upgrades!$B$3:$B$13))*Upgrades!$D$3:$D$13))</f>
        <v/>
      </c>
      <c r="F1089" s="66" t="str">
        <f>IFERROR(__xludf.DUMMYFUNCTION("IF(COUNTA(C1089:C1350)=0,"""",IF(REGEXMATCH(INDEX(FILTER(C$4:C1089,C$4:C1089&lt;&gt;""""),ROWS(FILTER(C$4:C1089,C$4:C1089&lt;&gt;""""))),""^Sell_""),INDEX(FILTER(F$4:F1088,C$4:C1088&lt;&gt;""""),ROWS(FILTER(C$4:C1088,C$4:C1088&lt;&gt;""""))),$AC$5+E1089))"),"")</f>
        <v/>
      </c>
      <c r="G1089" s="10" t="str">
        <f>IFERROR(__xludf.DUMMYFUNCTION("IF(COUNTA(C1089:C1350)=0,"""",IF(C1089="""",0,IF(REGEXMATCH(C1089,""^Sell_""),-ROUNDDOWN(ROUNDUP(INDEX(Upgrades!$C$3:$C$13,MATCH(SUBSTITUTE(C1089,""Sell_"",""""),Upgrades!$B$3:$B$13,0))*1.15^(COUNTIF(C$4:C1088,SUBSTITUTE(C1089,""Sell_"",""""))-COUNTIF(C$4"&amp;":C1088,""Sell_""&amp;SUBSTITUTE(C1089,""Sell_"",""""))))/2),ROUNDUP(INDEX(Upgrades!$C$3:$C$13,MATCH(C1089,Upgrades!$B$3:$B$13,0))*1.15^(COUNTIF(C$4:C1088,C1089)-COUNTIF(C$4:C1088,""Sell_""&amp;C1089))))))"),"")</f>
        <v/>
      </c>
      <c r="H1089" s="10" t="str">
        <f t="shared" si="3"/>
        <v/>
      </c>
      <c r="I1089" s="68" t="str">
        <f t="shared" si="4"/>
        <v/>
      </c>
      <c r="J1089" s="59" t="str">
        <f t="shared" si="5"/>
        <v/>
      </c>
      <c r="K1089" s="69" t="str">
        <f t="shared" si="6"/>
        <v/>
      </c>
      <c r="L1089" s="60" t="str">
        <f t="shared" si="7"/>
        <v/>
      </c>
      <c r="M1089" s="61" t="str">
        <f>IFERROR(__xludf.DUMMYFUNCTION("IFS(AND(COUNTA(C1089:C1350)=0,COUNTA(Q1089:Q1350)=0),"""",OR(AND(K1089&gt;=1000000000,OR(Y1089&gt;=1000000000,COUNTA(Q1089:Q1350)=0)),OR(Y1089&gt;=1000000000,AND(COUNTA(C1089:C1350)=0,P$3=TRUE))),
ROUNDDOWN((AB$1-AC$1)*MAX(INDEX(T$4:T1350,MATCH(LARGE(FILTER(Y$4:Y1"&amp;"350,Y$4:Y1350&lt;1000000000),1),Y$4:Y1350)),INDEX(F$4:F1350,MATCH(LARGE(FILTER(K$4:K1350,K$4:K1350&lt;1000000000),1),K$4:K1350)))),AND(K1089&lt;1000000000,COUNTA(C1089:C1350)&gt;0,P$3=FALSE),
ROUNDDOWN(INDEX(Y$4:Y1350,MATCH(LARGE(FILTER(W$4:W1350,W$4:W1350&lt;=I1089),1)"&amp;",W$4:W1350))+(I1089-LARGE(FILTER(W$4:W1350,W$4:W1350&lt;=I1089),1))*INDEX(T$4:T1350,MATCH(LARGE(FILTER(W$4:W1350,W$4:W1350&lt;=I1089),1),W$4:W1350))-K1089),1,
ROUNDDOWN(Y1089-INDEX(K$4:K1350,MATCH(LARGE(FILTER(I$4:I1350,I$4:I1350&lt;=W1089),1),I$4:I1350))-(W1089-L"&amp;"ARGE(FILTER(I$4:I1350,I$4:I1350&lt;=W1089),1))*INDEX(F$4:F1350,MATCH(LARGE(FILTER(I$4:I1350,I$4:I1350&lt;=W1089),1),I$4:I1350))))"),"")</f>
        <v/>
      </c>
      <c r="N1089" s="60" t="str">
        <f t="shared" si="8"/>
        <v/>
      </c>
      <c r="O1089" s="61" t="str">
        <f t="shared" si="9"/>
        <v/>
      </c>
      <c r="P1089" s="56" t="str">
        <f t="shared" si="10"/>
        <v/>
      </c>
      <c r="Q1089" s="62"/>
      <c r="R1089" s="10" t="str">
        <f>IFERROR(__xludf.DUMMYFUNCTION("IF(COUNTA(Q1089:Q1350)=0,"""",IF(ISBLANK(Q1089),FALSE,IF(NOT(COUNTIF($AA$24:$AA$34,SUBSTITUTE(Q1089,""Sell_"",""""))),1,IF(REGEXMATCH(Q1089,""Sell_""),IF(COUNTIF(Q$4:Q1089,SUBSTITUTE(Q1089,""Sell_"",""""))-COUNTIF(Q$4:Q1088,Q1089)&lt;1,1),FALSE))))"),"")</f>
        <v/>
      </c>
      <c r="S1089" s="59" t="str">
        <f t="array" ref="S1089">IF(COUNTA(Q1089:Q1350)=0,"",SUM((COUNTIF(Q$4:Q1089,Upgrades!$B$3:$B$13)-COUNTIF(Q$4:Q1089,"Sell_"&amp;Upgrades!$B$3:$B$13))*Upgrades!$D$3:$D$13))</f>
        <v/>
      </c>
      <c r="T1089" s="66" t="str">
        <f>IFERROR(__xludf.DUMMYFUNCTION("IF(COUNTA(Q1089:Q1350)=0,"""",IF(REGEXMATCH(INDEX(FILTER(Q$4:Q1089,Q$4:Q1089&lt;&gt;""""),ROWS(FILTER(Q$4:Q1089,Q$4:Q1089&lt;&gt;""""))),""^Sell_""),INDEX(FILTER(T$4:T1088,Q$4:Q1088&lt;&gt;""""),ROWS(FILTER(Q$4:Q1088,Q$4:Q1088&lt;&gt;""""))),$AD$5+S1089))"),"")</f>
        <v/>
      </c>
      <c r="U1089" s="10" t="str">
        <f>IFERROR(__xludf.DUMMYFUNCTION("IF(COUNTA(Q1089:Q1350)=0,"""",IF(Q1089="""",0,IF(REGEXMATCH(Q1089,""^Sell_""),-ROUNDDOWN(ROUNDUP(INDEX(Upgrades!$C$3:$C$13,MATCH(SUBSTITUTE(Q1089,""Sell_"",""""),Upgrades!$B$3:$B$13,0))*1.15^(COUNTIF(Q$4:Q1088,SUBSTITUTE(Q1089,""Sell_"",""""))-COUNTIF(Q$4"&amp;":Q1088,""Sell_""&amp;SUBSTITUTE(Q1089,""Sell_"",""""))))/2),ROUNDUP(INDEX(Upgrades!$C$3:$C$13,MATCH(Q1089,Upgrades!$B$3:$B$13,0))*1.15^(COUNTIF(Q$4:Q1088,Q1089)-COUNTIF(Q$4:Q1088,""Sell_""&amp;Q1089))))))"),"")</f>
        <v/>
      </c>
      <c r="V1089" s="10" t="str">
        <f t="shared" si="11"/>
        <v/>
      </c>
      <c r="W1089" s="68" t="str">
        <f t="shared" si="12"/>
        <v/>
      </c>
      <c r="X1089" s="59" t="str">
        <f t="shared" si="13"/>
        <v/>
      </c>
      <c r="Y1089" s="69" t="str">
        <f t="shared" si="14"/>
        <v/>
      </c>
      <c r="Z1089" s="11"/>
    </row>
    <row r="1090">
      <c r="A1090" s="8"/>
      <c r="B1090" s="56" t="str">
        <f t="shared" si="2"/>
        <v/>
      </c>
      <c r="C1090" s="57"/>
      <c r="D1090" s="10" t="str">
        <f>IFERROR(__xludf.DUMMYFUNCTION("IF(COUNTA(C1090:C1350)=0,"""",IF(ISBLANK(C1090),FALSE,IF(NOT(COUNTIF($AA$24:$AA$34,SUBSTITUTE(C1090,""Sell_"",""""))),1,IF(REGEXMATCH(C1090,""Sell_""),IF(COUNTIF(C$4:C1090,SUBSTITUTE(C1090,""Sell_"",""""))-COUNTIF(C$4:C1089,C1090)&lt;1,1),FALSE))))"),"")</f>
        <v/>
      </c>
      <c r="E1090" s="59" t="str">
        <f t="array" ref="E1090">IF(COUNTA(C1090:C1350)=0,"",SUM((COUNTIF(C$4:C1090,Upgrades!$B$3:$B$13)-COUNTIF(C$4:C1090,"Sell_"&amp;Upgrades!$B$3:$B$13))*Upgrades!$D$3:$D$13))</f>
        <v/>
      </c>
      <c r="F1090" s="66" t="str">
        <f>IFERROR(__xludf.DUMMYFUNCTION("IF(COUNTA(C1090:C1350)=0,"""",IF(REGEXMATCH(INDEX(FILTER(C$4:C1090,C$4:C1090&lt;&gt;""""),ROWS(FILTER(C$4:C1090,C$4:C1090&lt;&gt;""""))),""^Sell_""),INDEX(FILTER(F$4:F1089,C$4:C1089&lt;&gt;""""),ROWS(FILTER(C$4:C1089,C$4:C1089&lt;&gt;""""))),$AC$5+E1090))"),"")</f>
        <v/>
      </c>
      <c r="G1090" s="10" t="str">
        <f>IFERROR(__xludf.DUMMYFUNCTION("IF(COUNTA(C1090:C1350)=0,"""",IF(C1090="""",0,IF(REGEXMATCH(C1090,""^Sell_""),-ROUNDDOWN(ROUNDUP(INDEX(Upgrades!$C$3:$C$13,MATCH(SUBSTITUTE(C1090,""Sell_"",""""),Upgrades!$B$3:$B$13,0))*1.15^(COUNTIF(C$4:C1089,SUBSTITUTE(C1090,""Sell_"",""""))-COUNTIF(C$4"&amp;":C1089,""Sell_""&amp;SUBSTITUTE(C1090,""Sell_"",""""))))/2),ROUNDUP(INDEX(Upgrades!$C$3:$C$13,MATCH(C1090,Upgrades!$B$3:$B$13,0))*1.15^(COUNTIF(C$4:C1089,C1090)-COUNTIF(C$4:C1089,""Sell_""&amp;C1090))))))"),"")</f>
        <v/>
      </c>
      <c r="H1090" s="10" t="str">
        <f t="shared" si="3"/>
        <v/>
      </c>
      <c r="I1090" s="68" t="str">
        <f t="shared" si="4"/>
        <v/>
      </c>
      <c r="J1090" s="59" t="str">
        <f t="shared" si="5"/>
        <v/>
      </c>
      <c r="K1090" s="69" t="str">
        <f t="shared" si="6"/>
        <v/>
      </c>
      <c r="L1090" s="60" t="str">
        <f t="shared" si="7"/>
        <v/>
      </c>
      <c r="M1090" s="61" t="str">
        <f>IFERROR(__xludf.DUMMYFUNCTION("IFS(AND(COUNTA(C1090:C1350)=0,COUNTA(Q1090:Q1350)=0),"""",OR(AND(K1090&gt;=1000000000,OR(Y1090&gt;=1000000000,COUNTA(Q1090:Q1350)=0)),OR(Y1090&gt;=1000000000,AND(COUNTA(C1090:C1350)=0,P$3=TRUE))),
ROUNDDOWN((AB$1-AC$1)*MAX(INDEX(T$4:T1350,MATCH(LARGE(FILTER(Y$4:Y1"&amp;"350,Y$4:Y1350&lt;1000000000),1),Y$4:Y1350)),INDEX(F$4:F1350,MATCH(LARGE(FILTER(K$4:K1350,K$4:K1350&lt;1000000000),1),K$4:K1350)))),AND(K1090&lt;1000000000,COUNTA(C1090:C1350)&gt;0,P$3=FALSE),
ROUNDDOWN(INDEX(Y$4:Y1350,MATCH(LARGE(FILTER(W$4:W1350,W$4:W1350&lt;=I1090),1)"&amp;",W$4:W1350))+(I1090-LARGE(FILTER(W$4:W1350,W$4:W1350&lt;=I1090),1))*INDEX(T$4:T1350,MATCH(LARGE(FILTER(W$4:W1350,W$4:W1350&lt;=I1090),1),W$4:W1350))-K1090),1,
ROUNDDOWN(Y1090-INDEX(K$4:K1350,MATCH(LARGE(FILTER(I$4:I1350,I$4:I1350&lt;=W1090),1),I$4:I1350))-(W1090-L"&amp;"ARGE(FILTER(I$4:I1350,I$4:I1350&lt;=W1090),1))*INDEX(F$4:F1350,MATCH(LARGE(FILTER(I$4:I1350,I$4:I1350&lt;=W1090),1),I$4:I1350))))"),"")</f>
        <v/>
      </c>
      <c r="N1090" s="60" t="str">
        <f t="shared" si="8"/>
        <v/>
      </c>
      <c r="O1090" s="61" t="str">
        <f t="shared" si="9"/>
        <v/>
      </c>
      <c r="P1090" s="56" t="str">
        <f t="shared" si="10"/>
        <v/>
      </c>
      <c r="Q1090" s="62"/>
      <c r="R1090" s="10" t="str">
        <f>IFERROR(__xludf.DUMMYFUNCTION("IF(COUNTA(Q1090:Q1350)=0,"""",IF(ISBLANK(Q1090),FALSE,IF(NOT(COUNTIF($AA$24:$AA$34,SUBSTITUTE(Q1090,""Sell_"",""""))),1,IF(REGEXMATCH(Q1090,""Sell_""),IF(COUNTIF(Q$4:Q1090,SUBSTITUTE(Q1090,""Sell_"",""""))-COUNTIF(Q$4:Q1089,Q1090)&lt;1,1),FALSE))))"),"")</f>
        <v/>
      </c>
      <c r="S1090" s="59" t="str">
        <f t="array" ref="S1090">IF(COUNTA(Q1090:Q1350)=0,"",SUM((COUNTIF(Q$4:Q1090,Upgrades!$B$3:$B$13)-COUNTIF(Q$4:Q1090,"Sell_"&amp;Upgrades!$B$3:$B$13))*Upgrades!$D$3:$D$13))</f>
        <v/>
      </c>
      <c r="T1090" s="66" t="str">
        <f>IFERROR(__xludf.DUMMYFUNCTION("IF(COUNTA(Q1090:Q1350)=0,"""",IF(REGEXMATCH(INDEX(FILTER(Q$4:Q1090,Q$4:Q1090&lt;&gt;""""),ROWS(FILTER(Q$4:Q1090,Q$4:Q1090&lt;&gt;""""))),""^Sell_""),INDEX(FILTER(T$4:T1089,Q$4:Q1089&lt;&gt;""""),ROWS(FILTER(Q$4:Q1089,Q$4:Q1089&lt;&gt;""""))),$AD$5+S1090))"),"")</f>
        <v/>
      </c>
      <c r="U1090" s="10" t="str">
        <f>IFERROR(__xludf.DUMMYFUNCTION("IF(COUNTA(Q1090:Q1350)=0,"""",IF(Q1090="""",0,IF(REGEXMATCH(Q1090,""^Sell_""),-ROUNDDOWN(ROUNDUP(INDEX(Upgrades!$C$3:$C$13,MATCH(SUBSTITUTE(Q1090,""Sell_"",""""),Upgrades!$B$3:$B$13,0))*1.15^(COUNTIF(Q$4:Q1089,SUBSTITUTE(Q1090,""Sell_"",""""))-COUNTIF(Q$4"&amp;":Q1089,""Sell_""&amp;SUBSTITUTE(Q1090,""Sell_"",""""))))/2),ROUNDUP(INDEX(Upgrades!$C$3:$C$13,MATCH(Q1090,Upgrades!$B$3:$B$13,0))*1.15^(COUNTIF(Q$4:Q1089,Q1090)-COUNTIF(Q$4:Q1089,""Sell_""&amp;Q1090))))))"),"")</f>
        <v/>
      </c>
      <c r="V1090" s="10" t="str">
        <f t="shared" si="11"/>
        <v/>
      </c>
      <c r="W1090" s="68" t="str">
        <f t="shared" si="12"/>
        <v/>
      </c>
      <c r="X1090" s="59" t="str">
        <f t="shared" si="13"/>
        <v/>
      </c>
      <c r="Y1090" s="69" t="str">
        <f t="shared" si="14"/>
        <v/>
      </c>
      <c r="Z1090" s="11"/>
    </row>
    <row r="1091">
      <c r="A1091" s="8"/>
      <c r="B1091" s="56" t="str">
        <f t="shared" si="2"/>
        <v/>
      </c>
      <c r="C1091" s="57"/>
      <c r="D1091" s="10" t="str">
        <f>IFERROR(__xludf.DUMMYFUNCTION("IF(COUNTA(C1091:C1350)=0,"""",IF(ISBLANK(C1091),FALSE,IF(NOT(COUNTIF($AA$24:$AA$34,SUBSTITUTE(C1091,""Sell_"",""""))),1,IF(REGEXMATCH(C1091,""Sell_""),IF(COUNTIF(C$4:C1091,SUBSTITUTE(C1091,""Sell_"",""""))-COUNTIF(C$4:C1090,C1091)&lt;1,1),FALSE))))"),"")</f>
        <v/>
      </c>
      <c r="E1091" s="59" t="str">
        <f t="array" ref="E1091">IF(COUNTA(C1091:C1350)=0,"",SUM((COUNTIF(C$4:C1091,Upgrades!$B$3:$B$13)-COUNTIF(C$4:C1091,"Sell_"&amp;Upgrades!$B$3:$B$13))*Upgrades!$D$3:$D$13))</f>
        <v/>
      </c>
      <c r="F1091" s="66" t="str">
        <f>IFERROR(__xludf.DUMMYFUNCTION("IF(COUNTA(C1091:C1350)=0,"""",IF(REGEXMATCH(INDEX(FILTER(C$4:C1091,C$4:C1091&lt;&gt;""""),ROWS(FILTER(C$4:C1091,C$4:C1091&lt;&gt;""""))),""^Sell_""),INDEX(FILTER(F$4:F1090,C$4:C1090&lt;&gt;""""),ROWS(FILTER(C$4:C1090,C$4:C1090&lt;&gt;""""))),$AC$5+E1091))"),"")</f>
        <v/>
      </c>
      <c r="G1091" s="10" t="str">
        <f>IFERROR(__xludf.DUMMYFUNCTION("IF(COUNTA(C1091:C1350)=0,"""",IF(C1091="""",0,IF(REGEXMATCH(C1091,""^Sell_""),-ROUNDDOWN(ROUNDUP(INDEX(Upgrades!$C$3:$C$13,MATCH(SUBSTITUTE(C1091,""Sell_"",""""),Upgrades!$B$3:$B$13,0))*1.15^(COUNTIF(C$4:C1090,SUBSTITUTE(C1091,""Sell_"",""""))-COUNTIF(C$4"&amp;":C1090,""Sell_""&amp;SUBSTITUTE(C1091,""Sell_"",""""))))/2),ROUNDUP(INDEX(Upgrades!$C$3:$C$13,MATCH(C1091,Upgrades!$B$3:$B$13,0))*1.15^(COUNTIF(C$4:C1090,C1091)-COUNTIF(C$4:C1090,""Sell_""&amp;C1091))))))"),"")</f>
        <v/>
      </c>
      <c r="H1091" s="10" t="str">
        <f t="shared" si="3"/>
        <v/>
      </c>
      <c r="I1091" s="68" t="str">
        <f t="shared" si="4"/>
        <v/>
      </c>
      <c r="J1091" s="59" t="str">
        <f t="shared" si="5"/>
        <v/>
      </c>
      <c r="K1091" s="69" t="str">
        <f t="shared" si="6"/>
        <v/>
      </c>
      <c r="L1091" s="60" t="str">
        <f t="shared" si="7"/>
        <v/>
      </c>
      <c r="M1091" s="61" t="str">
        <f>IFERROR(__xludf.DUMMYFUNCTION("IFS(AND(COUNTA(C1091:C1350)=0,COUNTA(Q1091:Q1350)=0),"""",OR(AND(K1091&gt;=1000000000,OR(Y1091&gt;=1000000000,COUNTA(Q1091:Q1350)=0)),OR(Y1091&gt;=1000000000,AND(COUNTA(C1091:C1350)=0,P$3=TRUE))),
ROUNDDOWN((AB$1-AC$1)*MAX(INDEX(T$4:T1350,MATCH(LARGE(FILTER(Y$4:Y1"&amp;"350,Y$4:Y1350&lt;1000000000),1),Y$4:Y1350)),INDEX(F$4:F1350,MATCH(LARGE(FILTER(K$4:K1350,K$4:K1350&lt;1000000000),1),K$4:K1350)))),AND(K1091&lt;1000000000,COUNTA(C1091:C1350)&gt;0,P$3=FALSE),
ROUNDDOWN(INDEX(Y$4:Y1350,MATCH(LARGE(FILTER(W$4:W1350,W$4:W1350&lt;=I1091),1)"&amp;",W$4:W1350))+(I1091-LARGE(FILTER(W$4:W1350,W$4:W1350&lt;=I1091),1))*INDEX(T$4:T1350,MATCH(LARGE(FILTER(W$4:W1350,W$4:W1350&lt;=I1091),1),W$4:W1350))-K1091),1,
ROUNDDOWN(Y1091-INDEX(K$4:K1350,MATCH(LARGE(FILTER(I$4:I1350,I$4:I1350&lt;=W1091),1),I$4:I1350))-(W1091-L"&amp;"ARGE(FILTER(I$4:I1350,I$4:I1350&lt;=W1091),1))*INDEX(F$4:F1350,MATCH(LARGE(FILTER(I$4:I1350,I$4:I1350&lt;=W1091),1),I$4:I1350))))"),"")</f>
        <v/>
      </c>
      <c r="N1091" s="60" t="str">
        <f t="shared" si="8"/>
        <v/>
      </c>
      <c r="O1091" s="61" t="str">
        <f t="shared" si="9"/>
        <v/>
      </c>
      <c r="P1091" s="56" t="str">
        <f t="shared" si="10"/>
        <v/>
      </c>
      <c r="Q1091" s="62"/>
      <c r="R1091" s="10" t="str">
        <f>IFERROR(__xludf.DUMMYFUNCTION("IF(COUNTA(Q1091:Q1350)=0,"""",IF(ISBLANK(Q1091),FALSE,IF(NOT(COUNTIF($AA$24:$AA$34,SUBSTITUTE(Q1091,""Sell_"",""""))),1,IF(REGEXMATCH(Q1091,""Sell_""),IF(COUNTIF(Q$4:Q1091,SUBSTITUTE(Q1091,""Sell_"",""""))-COUNTIF(Q$4:Q1090,Q1091)&lt;1,1),FALSE))))"),"")</f>
        <v/>
      </c>
      <c r="S1091" s="59" t="str">
        <f t="array" ref="S1091">IF(COUNTA(Q1091:Q1350)=0,"",SUM((COUNTIF(Q$4:Q1091,Upgrades!$B$3:$B$13)-COUNTIF(Q$4:Q1091,"Sell_"&amp;Upgrades!$B$3:$B$13))*Upgrades!$D$3:$D$13))</f>
        <v/>
      </c>
      <c r="T1091" s="66" t="str">
        <f>IFERROR(__xludf.DUMMYFUNCTION("IF(COUNTA(Q1091:Q1350)=0,"""",IF(REGEXMATCH(INDEX(FILTER(Q$4:Q1091,Q$4:Q1091&lt;&gt;""""),ROWS(FILTER(Q$4:Q1091,Q$4:Q1091&lt;&gt;""""))),""^Sell_""),INDEX(FILTER(T$4:T1090,Q$4:Q1090&lt;&gt;""""),ROWS(FILTER(Q$4:Q1090,Q$4:Q1090&lt;&gt;""""))),$AD$5+S1091))"),"")</f>
        <v/>
      </c>
      <c r="U1091" s="10" t="str">
        <f>IFERROR(__xludf.DUMMYFUNCTION("IF(COUNTA(Q1091:Q1350)=0,"""",IF(Q1091="""",0,IF(REGEXMATCH(Q1091,""^Sell_""),-ROUNDDOWN(ROUNDUP(INDEX(Upgrades!$C$3:$C$13,MATCH(SUBSTITUTE(Q1091,""Sell_"",""""),Upgrades!$B$3:$B$13,0))*1.15^(COUNTIF(Q$4:Q1090,SUBSTITUTE(Q1091,""Sell_"",""""))-COUNTIF(Q$4"&amp;":Q1090,""Sell_""&amp;SUBSTITUTE(Q1091,""Sell_"",""""))))/2),ROUNDUP(INDEX(Upgrades!$C$3:$C$13,MATCH(Q1091,Upgrades!$B$3:$B$13,0))*1.15^(COUNTIF(Q$4:Q1090,Q1091)-COUNTIF(Q$4:Q1090,""Sell_""&amp;Q1091))))))"),"")</f>
        <v/>
      </c>
      <c r="V1091" s="10" t="str">
        <f t="shared" si="11"/>
        <v/>
      </c>
      <c r="W1091" s="68" t="str">
        <f t="shared" si="12"/>
        <v/>
      </c>
      <c r="X1091" s="59" t="str">
        <f t="shared" si="13"/>
        <v/>
      </c>
      <c r="Y1091" s="69" t="str">
        <f t="shared" si="14"/>
        <v/>
      </c>
      <c r="Z1091" s="11"/>
    </row>
    <row r="1092">
      <c r="A1092" s="8"/>
      <c r="B1092" s="56" t="str">
        <f t="shared" si="2"/>
        <v/>
      </c>
      <c r="C1092" s="57"/>
      <c r="D1092" s="10" t="str">
        <f>IFERROR(__xludf.DUMMYFUNCTION("IF(COUNTA(C1092:C1350)=0,"""",IF(ISBLANK(C1092),FALSE,IF(NOT(COUNTIF($AA$24:$AA$34,SUBSTITUTE(C1092,""Sell_"",""""))),1,IF(REGEXMATCH(C1092,""Sell_""),IF(COUNTIF(C$4:C1092,SUBSTITUTE(C1092,""Sell_"",""""))-COUNTIF(C$4:C1091,C1092)&lt;1,1),FALSE))))"),"")</f>
        <v/>
      </c>
      <c r="E1092" s="59" t="str">
        <f t="array" ref="E1092">IF(COUNTA(C1092:C1350)=0,"",SUM((COUNTIF(C$4:C1092,Upgrades!$B$3:$B$13)-COUNTIF(C$4:C1092,"Sell_"&amp;Upgrades!$B$3:$B$13))*Upgrades!$D$3:$D$13))</f>
        <v/>
      </c>
      <c r="F1092" s="66" t="str">
        <f>IFERROR(__xludf.DUMMYFUNCTION("IF(COUNTA(C1092:C1350)=0,"""",IF(REGEXMATCH(INDEX(FILTER(C$4:C1092,C$4:C1092&lt;&gt;""""),ROWS(FILTER(C$4:C1092,C$4:C1092&lt;&gt;""""))),""^Sell_""),INDEX(FILTER(F$4:F1091,C$4:C1091&lt;&gt;""""),ROWS(FILTER(C$4:C1091,C$4:C1091&lt;&gt;""""))),$AC$5+E1092))"),"")</f>
        <v/>
      </c>
      <c r="G1092" s="10" t="str">
        <f>IFERROR(__xludf.DUMMYFUNCTION("IF(COUNTA(C1092:C1350)=0,"""",IF(C1092="""",0,IF(REGEXMATCH(C1092,""^Sell_""),-ROUNDDOWN(ROUNDUP(INDEX(Upgrades!$C$3:$C$13,MATCH(SUBSTITUTE(C1092,""Sell_"",""""),Upgrades!$B$3:$B$13,0))*1.15^(COUNTIF(C$4:C1091,SUBSTITUTE(C1092,""Sell_"",""""))-COUNTIF(C$4"&amp;":C1091,""Sell_""&amp;SUBSTITUTE(C1092,""Sell_"",""""))))/2),ROUNDUP(INDEX(Upgrades!$C$3:$C$13,MATCH(C1092,Upgrades!$B$3:$B$13,0))*1.15^(COUNTIF(C$4:C1091,C1092)-COUNTIF(C$4:C1091,""Sell_""&amp;C1092))))))"),"")</f>
        <v/>
      </c>
      <c r="H1092" s="10" t="str">
        <f t="shared" si="3"/>
        <v/>
      </c>
      <c r="I1092" s="68" t="str">
        <f t="shared" si="4"/>
        <v/>
      </c>
      <c r="J1092" s="59" t="str">
        <f t="shared" si="5"/>
        <v/>
      </c>
      <c r="K1092" s="69" t="str">
        <f t="shared" si="6"/>
        <v/>
      </c>
      <c r="L1092" s="60" t="str">
        <f t="shared" si="7"/>
        <v/>
      </c>
      <c r="M1092" s="61" t="str">
        <f>IFERROR(__xludf.DUMMYFUNCTION("IFS(AND(COUNTA(C1092:C1350)=0,COUNTA(Q1092:Q1350)=0),"""",OR(AND(K1092&gt;=1000000000,OR(Y1092&gt;=1000000000,COUNTA(Q1092:Q1350)=0)),OR(Y1092&gt;=1000000000,AND(COUNTA(C1092:C1350)=0,P$3=TRUE))),
ROUNDDOWN((AB$1-AC$1)*MAX(INDEX(T$4:T1350,MATCH(LARGE(FILTER(Y$4:Y1"&amp;"350,Y$4:Y1350&lt;1000000000),1),Y$4:Y1350)),INDEX(F$4:F1350,MATCH(LARGE(FILTER(K$4:K1350,K$4:K1350&lt;1000000000),1),K$4:K1350)))),AND(K1092&lt;1000000000,COUNTA(C1092:C1350)&gt;0,P$3=FALSE),
ROUNDDOWN(INDEX(Y$4:Y1350,MATCH(LARGE(FILTER(W$4:W1350,W$4:W1350&lt;=I1092),1)"&amp;",W$4:W1350))+(I1092-LARGE(FILTER(W$4:W1350,W$4:W1350&lt;=I1092),1))*INDEX(T$4:T1350,MATCH(LARGE(FILTER(W$4:W1350,W$4:W1350&lt;=I1092),1),W$4:W1350))-K1092),1,
ROUNDDOWN(Y1092-INDEX(K$4:K1350,MATCH(LARGE(FILTER(I$4:I1350,I$4:I1350&lt;=W1092),1),I$4:I1350))-(W1092-L"&amp;"ARGE(FILTER(I$4:I1350,I$4:I1350&lt;=W1092),1))*INDEX(F$4:F1350,MATCH(LARGE(FILTER(I$4:I1350,I$4:I1350&lt;=W1092),1),I$4:I1350))))"),"")</f>
        <v/>
      </c>
      <c r="N1092" s="60" t="str">
        <f t="shared" si="8"/>
        <v/>
      </c>
      <c r="O1092" s="61" t="str">
        <f t="shared" si="9"/>
        <v/>
      </c>
      <c r="P1092" s="56" t="str">
        <f t="shared" si="10"/>
        <v/>
      </c>
      <c r="Q1092" s="62"/>
      <c r="R1092" s="10" t="str">
        <f>IFERROR(__xludf.DUMMYFUNCTION("IF(COUNTA(Q1092:Q1350)=0,"""",IF(ISBLANK(Q1092),FALSE,IF(NOT(COUNTIF($AA$24:$AA$34,SUBSTITUTE(Q1092,""Sell_"",""""))),1,IF(REGEXMATCH(Q1092,""Sell_""),IF(COUNTIF(Q$4:Q1092,SUBSTITUTE(Q1092,""Sell_"",""""))-COUNTIF(Q$4:Q1091,Q1092)&lt;1,1),FALSE))))"),"")</f>
        <v/>
      </c>
      <c r="S1092" s="59" t="str">
        <f t="array" ref="S1092">IF(COUNTA(Q1092:Q1350)=0,"",SUM((COUNTIF(Q$4:Q1092,Upgrades!$B$3:$B$13)-COUNTIF(Q$4:Q1092,"Sell_"&amp;Upgrades!$B$3:$B$13))*Upgrades!$D$3:$D$13))</f>
        <v/>
      </c>
      <c r="T1092" s="66" t="str">
        <f>IFERROR(__xludf.DUMMYFUNCTION("IF(COUNTA(Q1092:Q1350)=0,"""",IF(REGEXMATCH(INDEX(FILTER(Q$4:Q1092,Q$4:Q1092&lt;&gt;""""),ROWS(FILTER(Q$4:Q1092,Q$4:Q1092&lt;&gt;""""))),""^Sell_""),INDEX(FILTER(T$4:T1091,Q$4:Q1091&lt;&gt;""""),ROWS(FILTER(Q$4:Q1091,Q$4:Q1091&lt;&gt;""""))),$AD$5+S1092))"),"")</f>
        <v/>
      </c>
      <c r="U1092" s="10" t="str">
        <f>IFERROR(__xludf.DUMMYFUNCTION("IF(COUNTA(Q1092:Q1350)=0,"""",IF(Q1092="""",0,IF(REGEXMATCH(Q1092,""^Sell_""),-ROUNDDOWN(ROUNDUP(INDEX(Upgrades!$C$3:$C$13,MATCH(SUBSTITUTE(Q1092,""Sell_"",""""),Upgrades!$B$3:$B$13,0))*1.15^(COUNTIF(Q$4:Q1091,SUBSTITUTE(Q1092,""Sell_"",""""))-COUNTIF(Q$4"&amp;":Q1091,""Sell_""&amp;SUBSTITUTE(Q1092,""Sell_"",""""))))/2),ROUNDUP(INDEX(Upgrades!$C$3:$C$13,MATCH(Q1092,Upgrades!$B$3:$B$13,0))*1.15^(COUNTIF(Q$4:Q1091,Q1092)-COUNTIF(Q$4:Q1091,""Sell_""&amp;Q1092))))))"),"")</f>
        <v/>
      </c>
      <c r="V1092" s="10" t="str">
        <f t="shared" si="11"/>
        <v/>
      </c>
      <c r="W1092" s="68" t="str">
        <f t="shared" si="12"/>
        <v/>
      </c>
      <c r="X1092" s="59" t="str">
        <f t="shared" si="13"/>
        <v/>
      </c>
      <c r="Y1092" s="69" t="str">
        <f t="shared" si="14"/>
        <v/>
      </c>
      <c r="Z1092" s="11"/>
    </row>
    <row r="1093">
      <c r="A1093" s="8"/>
      <c r="B1093" s="56" t="str">
        <f t="shared" si="2"/>
        <v/>
      </c>
      <c r="C1093" s="57"/>
      <c r="D1093" s="10" t="str">
        <f>IFERROR(__xludf.DUMMYFUNCTION("IF(COUNTA(C1093:C1350)=0,"""",IF(ISBLANK(C1093),FALSE,IF(NOT(COUNTIF($AA$24:$AA$34,SUBSTITUTE(C1093,""Sell_"",""""))),1,IF(REGEXMATCH(C1093,""Sell_""),IF(COUNTIF(C$4:C1093,SUBSTITUTE(C1093,""Sell_"",""""))-COUNTIF(C$4:C1092,C1093)&lt;1,1),FALSE))))"),"")</f>
        <v/>
      </c>
      <c r="E1093" s="59" t="str">
        <f t="array" ref="E1093">IF(COUNTA(C1093:C1350)=0,"",SUM((COUNTIF(C$4:C1093,Upgrades!$B$3:$B$13)-COUNTIF(C$4:C1093,"Sell_"&amp;Upgrades!$B$3:$B$13))*Upgrades!$D$3:$D$13))</f>
        <v/>
      </c>
      <c r="F1093" s="66" t="str">
        <f>IFERROR(__xludf.DUMMYFUNCTION("IF(COUNTA(C1093:C1350)=0,"""",IF(REGEXMATCH(INDEX(FILTER(C$4:C1093,C$4:C1093&lt;&gt;""""),ROWS(FILTER(C$4:C1093,C$4:C1093&lt;&gt;""""))),""^Sell_""),INDEX(FILTER(F$4:F1092,C$4:C1092&lt;&gt;""""),ROWS(FILTER(C$4:C1092,C$4:C1092&lt;&gt;""""))),$AC$5+E1093))"),"")</f>
        <v/>
      </c>
      <c r="G1093" s="10" t="str">
        <f>IFERROR(__xludf.DUMMYFUNCTION("IF(COUNTA(C1093:C1350)=0,"""",IF(C1093="""",0,IF(REGEXMATCH(C1093,""^Sell_""),-ROUNDDOWN(ROUNDUP(INDEX(Upgrades!$C$3:$C$13,MATCH(SUBSTITUTE(C1093,""Sell_"",""""),Upgrades!$B$3:$B$13,0))*1.15^(COUNTIF(C$4:C1092,SUBSTITUTE(C1093,""Sell_"",""""))-COUNTIF(C$4"&amp;":C1092,""Sell_""&amp;SUBSTITUTE(C1093,""Sell_"",""""))))/2),ROUNDUP(INDEX(Upgrades!$C$3:$C$13,MATCH(C1093,Upgrades!$B$3:$B$13,0))*1.15^(COUNTIF(C$4:C1092,C1093)-COUNTIF(C$4:C1092,""Sell_""&amp;C1093))))))"),"")</f>
        <v/>
      </c>
      <c r="H1093" s="10" t="str">
        <f t="shared" si="3"/>
        <v/>
      </c>
      <c r="I1093" s="68" t="str">
        <f t="shared" si="4"/>
        <v/>
      </c>
      <c r="J1093" s="59" t="str">
        <f t="shared" si="5"/>
        <v/>
      </c>
      <c r="K1093" s="69" t="str">
        <f t="shared" si="6"/>
        <v/>
      </c>
      <c r="L1093" s="60" t="str">
        <f t="shared" si="7"/>
        <v/>
      </c>
      <c r="M1093" s="61" t="str">
        <f>IFERROR(__xludf.DUMMYFUNCTION("IFS(AND(COUNTA(C1093:C1350)=0,COUNTA(Q1093:Q1350)=0),"""",OR(AND(K1093&gt;=1000000000,OR(Y1093&gt;=1000000000,COUNTA(Q1093:Q1350)=0)),OR(Y1093&gt;=1000000000,AND(COUNTA(C1093:C1350)=0,P$3=TRUE))),
ROUNDDOWN((AB$1-AC$1)*MAX(INDEX(T$4:T1350,MATCH(LARGE(FILTER(Y$4:Y1"&amp;"350,Y$4:Y1350&lt;1000000000),1),Y$4:Y1350)),INDEX(F$4:F1350,MATCH(LARGE(FILTER(K$4:K1350,K$4:K1350&lt;1000000000),1),K$4:K1350)))),AND(K1093&lt;1000000000,COUNTA(C1093:C1350)&gt;0,P$3=FALSE),
ROUNDDOWN(INDEX(Y$4:Y1350,MATCH(LARGE(FILTER(W$4:W1350,W$4:W1350&lt;=I1093),1)"&amp;",W$4:W1350))+(I1093-LARGE(FILTER(W$4:W1350,W$4:W1350&lt;=I1093),1))*INDEX(T$4:T1350,MATCH(LARGE(FILTER(W$4:W1350,W$4:W1350&lt;=I1093),1),W$4:W1350))-K1093),1,
ROUNDDOWN(Y1093-INDEX(K$4:K1350,MATCH(LARGE(FILTER(I$4:I1350,I$4:I1350&lt;=W1093),1),I$4:I1350))-(W1093-L"&amp;"ARGE(FILTER(I$4:I1350,I$4:I1350&lt;=W1093),1))*INDEX(F$4:F1350,MATCH(LARGE(FILTER(I$4:I1350,I$4:I1350&lt;=W1093),1),I$4:I1350))))"),"")</f>
        <v/>
      </c>
      <c r="N1093" s="60" t="str">
        <f t="shared" si="8"/>
        <v/>
      </c>
      <c r="O1093" s="61" t="str">
        <f t="shared" si="9"/>
        <v/>
      </c>
      <c r="P1093" s="56" t="str">
        <f t="shared" si="10"/>
        <v/>
      </c>
      <c r="Q1093" s="62"/>
      <c r="R1093" s="10" t="str">
        <f>IFERROR(__xludf.DUMMYFUNCTION("IF(COUNTA(Q1093:Q1350)=0,"""",IF(ISBLANK(Q1093),FALSE,IF(NOT(COUNTIF($AA$24:$AA$34,SUBSTITUTE(Q1093,""Sell_"",""""))),1,IF(REGEXMATCH(Q1093,""Sell_""),IF(COUNTIF(Q$4:Q1093,SUBSTITUTE(Q1093,""Sell_"",""""))-COUNTIF(Q$4:Q1092,Q1093)&lt;1,1),FALSE))))"),"")</f>
        <v/>
      </c>
      <c r="S1093" s="59" t="str">
        <f t="array" ref="S1093">IF(COUNTA(Q1093:Q1350)=0,"",SUM((COUNTIF(Q$4:Q1093,Upgrades!$B$3:$B$13)-COUNTIF(Q$4:Q1093,"Sell_"&amp;Upgrades!$B$3:$B$13))*Upgrades!$D$3:$D$13))</f>
        <v/>
      </c>
      <c r="T1093" s="66" t="str">
        <f>IFERROR(__xludf.DUMMYFUNCTION("IF(COUNTA(Q1093:Q1350)=0,"""",IF(REGEXMATCH(INDEX(FILTER(Q$4:Q1093,Q$4:Q1093&lt;&gt;""""),ROWS(FILTER(Q$4:Q1093,Q$4:Q1093&lt;&gt;""""))),""^Sell_""),INDEX(FILTER(T$4:T1092,Q$4:Q1092&lt;&gt;""""),ROWS(FILTER(Q$4:Q1092,Q$4:Q1092&lt;&gt;""""))),$AD$5+S1093))"),"")</f>
        <v/>
      </c>
      <c r="U1093" s="10" t="str">
        <f>IFERROR(__xludf.DUMMYFUNCTION("IF(COUNTA(Q1093:Q1350)=0,"""",IF(Q1093="""",0,IF(REGEXMATCH(Q1093,""^Sell_""),-ROUNDDOWN(ROUNDUP(INDEX(Upgrades!$C$3:$C$13,MATCH(SUBSTITUTE(Q1093,""Sell_"",""""),Upgrades!$B$3:$B$13,0))*1.15^(COUNTIF(Q$4:Q1092,SUBSTITUTE(Q1093,""Sell_"",""""))-COUNTIF(Q$4"&amp;":Q1092,""Sell_""&amp;SUBSTITUTE(Q1093,""Sell_"",""""))))/2),ROUNDUP(INDEX(Upgrades!$C$3:$C$13,MATCH(Q1093,Upgrades!$B$3:$B$13,0))*1.15^(COUNTIF(Q$4:Q1092,Q1093)-COUNTIF(Q$4:Q1092,""Sell_""&amp;Q1093))))))"),"")</f>
        <v/>
      </c>
      <c r="V1093" s="10" t="str">
        <f t="shared" si="11"/>
        <v/>
      </c>
      <c r="W1093" s="68" t="str">
        <f t="shared" si="12"/>
        <v/>
      </c>
      <c r="X1093" s="59" t="str">
        <f t="shared" si="13"/>
        <v/>
      </c>
      <c r="Y1093" s="69" t="str">
        <f t="shared" si="14"/>
        <v/>
      </c>
      <c r="Z1093" s="11"/>
    </row>
    <row r="1094">
      <c r="A1094" s="8"/>
      <c r="B1094" s="56" t="str">
        <f t="shared" si="2"/>
        <v/>
      </c>
      <c r="C1094" s="57"/>
      <c r="D1094" s="10" t="str">
        <f>IFERROR(__xludf.DUMMYFUNCTION("IF(COUNTA(C1094:C1350)=0,"""",IF(ISBLANK(C1094),FALSE,IF(NOT(COUNTIF($AA$24:$AA$34,SUBSTITUTE(C1094,""Sell_"",""""))),1,IF(REGEXMATCH(C1094,""Sell_""),IF(COUNTIF(C$4:C1094,SUBSTITUTE(C1094,""Sell_"",""""))-COUNTIF(C$4:C1093,C1094)&lt;1,1),FALSE))))"),"")</f>
        <v/>
      </c>
      <c r="E1094" s="59" t="str">
        <f t="array" ref="E1094">IF(COUNTA(C1094:C1350)=0,"",SUM((COUNTIF(C$4:C1094,Upgrades!$B$3:$B$13)-COUNTIF(C$4:C1094,"Sell_"&amp;Upgrades!$B$3:$B$13))*Upgrades!$D$3:$D$13))</f>
        <v/>
      </c>
      <c r="F1094" s="66" t="str">
        <f>IFERROR(__xludf.DUMMYFUNCTION("IF(COUNTA(C1094:C1350)=0,"""",IF(REGEXMATCH(INDEX(FILTER(C$4:C1094,C$4:C1094&lt;&gt;""""),ROWS(FILTER(C$4:C1094,C$4:C1094&lt;&gt;""""))),""^Sell_""),INDEX(FILTER(F$4:F1093,C$4:C1093&lt;&gt;""""),ROWS(FILTER(C$4:C1093,C$4:C1093&lt;&gt;""""))),$AC$5+E1094))"),"")</f>
        <v/>
      </c>
      <c r="G1094" s="10" t="str">
        <f>IFERROR(__xludf.DUMMYFUNCTION("IF(COUNTA(C1094:C1350)=0,"""",IF(C1094="""",0,IF(REGEXMATCH(C1094,""^Sell_""),-ROUNDDOWN(ROUNDUP(INDEX(Upgrades!$C$3:$C$13,MATCH(SUBSTITUTE(C1094,""Sell_"",""""),Upgrades!$B$3:$B$13,0))*1.15^(COUNTIF(C$4:C1093,SUBSTITUTE(C1094,""Sell_"",""""))-COUNTIF(C$4"&amp;":C1093,""Sell_""&amp;SUBSTITUTE(C1094,""Sell_"",""""))))/2),ROUNDUP(INDEX(Upgrades!$C$3:$C$13,MATCH(C1094,Upgrades!$B$3:$B$13,0))*1.15^(COUNTIF(C$4:C1093,C1094)-COUNTIF(C$4:C1093,""Sell_""&amp;C1094))))))"),"")</f>
        <v/>
      </c>
      <c r="H1094" s="10" t="str">
        <f t="shared" si="3"/>
        <v/>
      </c>
      <c r="I1094" s="68" t="str">
        <f t="shared" si="4"/>
        <v/>
      </c>
      <c r="J1094" s="59" t="str">
        <f t="shared" si="5"/>
        <v/>
      </c>
      <c r="K1094" s="69" t="str">
        <f t="shared" si="6"/>
        <v/>
      </c>
      <c r="L1094" s="60" t="str">
        <f t="shared" si="7"/>
        <v/>
      </c>
      <c r="M1094" s="61" t="str">
        <f>IFERROR(__xludf.DUMMYFUNCTION("IFS(AND(COUNTA(C1094:C1350)=0,COUNTA(Q1094:Q1350)=0),"""",OR(AND(K1094&gt;=1000000000,OR(Y1094&gt;=1000000000,COUNTA(Q1094:Q1350)=0)),OR(Y1094&gt;=1000000000,AND(COUNTA(C1094:C1350)=0,P$3=TRUE))),
ROUNDDOWN((AB$1-AC$1)*MAX(INDEX(T$4:T1350,MATCH(LARGE(FILTER(Y$4:Y1"&amp;"350,Y$4:Y1350&lt;1000000000),1),Y$4:Y1350)),INDEX(F$4:F1350,MATCH(LARGE(FILTER(K$4:K1350,K$4:K1350&lt;1000000000),1),K$4:K1350)))),AND(K1094&lt;1000000000,COUNTA(C1094:C1350)&gt;0,P$3=FALSE),
ROUNDDOWN(INDEX(Y$4:Y1350,MATCH(LARGE(FILTER(W$4:W1350,W$4:W1350&lt;=I1094),1)"&amp;",W$4:W1350))+(I1094-LARGE(FILTER(W$4:W1350,W$4:W1350&lt;=I1094),1))*INDEX(T$4:T1350,MATCH(LARGE(FILTER(W$4:W1350,W$4:W1350&lt;=I1094),1),W$4:W1350))-K1094),1,
ROUNDDOWN(Y1094-INDEX(K$4:K1350,MATCH(LARGE(FILTER(I$4:I1350,I$4:I1350&lt;=W1094),1),I$4:I1350))-(W1094-L"&amp;"ARGE(FILTER(I$4:I1350,I$4:I1350&lt;=W1094),1))*INDEX(F$4:F1350,MATCH(LARGE(FILTER(I$4:I1350,I$4:I1350&lt;=W1094),1),I$4:I1350))))"),"")</f>
        <v/>
      </c>
      <c r="N1094" s="60" t="str">
        <f t="shared" si="8"/>
        <v/>
      </c>
      <c r="O1094" s="61" t="str">
        <f t="shared" si="9"/>
        <v/>
      </c>
      <c r="P1094" s="56" t="str">
        <f t="shared" si="10"/>
        <v/>
      </c>
      <c r="Q1094" s="62"/>
      <c r="R1094" s="10" t="str">
        <f>IFERROR(__xludf.DUMMYFUNCTION("IF(COUNTA(Q1094:Q1350)=0,"""",IF(ISBLANK(Q1094),FALSE,IF(NOT(COUNTIF($AA$24:$AA$34,SUBSTITUTE(Q1094,""Sell_"",""""))),1,IF(REGEXMATCH(Q1094,""Sell_""),IF(COUNTIF(Q$4:Q1094,SUBSTITUTE(Q1094,""Sell_"",""""))-COUNTIF(Q$4:Q1093,Q1094)&lt;1,1),FALSE))))"),"")</f>
        <v/>
      </c>
      <c r="S1094" s="59" t="str">
        <f t="array" ref="S1094">IF(COUNTA(Q1094:Q1350)=0,"",SUM((COUNTIF(Q$4:Q1094,Upgrades!$B$3:$B$13)-COUNTIF(Q$4:Q1094,"Sell_"&amp;Upgrades!$B$3:$B$13))*Upgrades!$D$3:$D$13))</f>
        <v/>
      </c>
      <c r="T1094" s="66" t="str">
        <f>IFERROR(__xludf.DUMMYFUNCTION("IF(COUNTA(Q1094:Q1350)=0,"""",IF(REGEXMATCH(INDEX(FILTER(Q$4:Q1094,Q$4:Q1094&lt;&gt;""""),ROWS(FILTER(Q$4:Q1094,Q$4:Q1094&lt;&gt;""""))),""^Sell_""),INDEX(FILTER(T$4:T1093,Q$4:Q1093&lt;&gt;""""),ROWS(FILTER(Q$4:Q1093,Q$4:Q1093&lt;&gt;""""))),$AD$5+S1094))"),"")</f>
        <v/>
      </c>
      <c r="U1094" s="10" t="str">
        <f>IFERROR(__xludf.DUMMYFUNCTION("IF(COUNTA(Q1094:Q1350)=0,"""",IF(Q1094="""",0,IF(REGEXMATCH(Q1094,""^Sell_""),-ROUNDDOWN(ROUNDUP(INDEX(Upgrades!$C$3:$C$13,MATCH(SUBSTITUTE(Q1094,""Sell_"",""""),Upgrades!$B$3:$B$13,0))*1.15^(COUNTIF(Q$4:Q1093,SUBSTITUTE(Q1094,""Sell_"",""""))-COUNTIF(Q$4"&amp;":Q1093,""Sell_""&amp;SUBSTITUTE(Q1094,""Sell_"",""""))))/2),ROUNDUP(INDEX(Upgrades!$C$3:$C$13,MATCH(Q1094,Upgrades!$B$3:$B$13,0))*1.15^(COUNTIF(Q$4:Q1093,Q1094)-COUNTIF(Q$4:Q1093,""Sell_""&amp;Q1094))))))"),"")</f>
        <v/>
      </c>
      <c r="V1094" s="10" t="str">
        <f t="shared" si="11"/>
        <v/>
      </c>
      <c r="W1094" s="68" t="str">
        <f t="shared" si="12"/>
        <v/>
      </c>
      <c r="X1094" s="59" t="str">
        <f t="shared" si="13"/>
        <v/>
      </c>
      <c r="Y1094" s="69" t="str">
        <f t="shared" si="14"/>
        <v/>
      </c>
      <c r="Z1094" s="11"/>
    </row>
    <row r="1095">
      <c r="A1095" s="8"/>
      <c r="B1095" s="56" t="str">
        <f t="shared" si="2"/>
        <v/>
      </c>
      <c r="C1095" s="57"/>
      <c r="D1095" s="10" t="str">
        <f>IFERROR(__xludf.DUMMYFUNCTION("IF(COUNTA(C1095:C1350)=0,"""",IF(ISBLANK(C1095),FALSE,IF(NOT(COUNTIF($AA$24:$AA$34,SUBSTITUTE(C1095,""Sell_"",""""))),1,IF(REGEXMATCH(C1095,""Sell_""),IF(COUNTIF(C$4:C1095,SUBSTITUTE(C1095,""Sell_"",""""))-COUNTIF(C$4:C1094,C1095)&lt;1,1),FALSE))))"),"")</f>
        <v/>
      </c>
      <c r="E1095" s="59" t="str">
        <f t="array" ref="E1095">IF(COUNTA(C1095:C1350)=0,"",SUM((COUNTIF(C$4:C1095,Upgrades!$B$3:$B$13)-COUNTIF(C$4:C1095,"Sell_"&amp;Upgrades!$B$3:$B$13))*Upgrades!$D$3:$D$13))</f>
        <v/>
      </c>
      <c r="F1095" s="66" t="str">
        <f>IFERROR(__xludf.DUMMYFUNCTION("IF(COUNTA(C1095:C1350)=0,"""",IF(REGEXMATCH(INDEX(FILTER(C$4:C1095,C$4:C1095&lt;&gt;""""),ROWS(FILTER(C$4:C1095,C$4:C1095&lt;&gt;""""))),""^Sell_""),INDEX(FILTER(F$4:F1094,C$4:C1094&lt;&gt;""""),ROWS(FILTER(C$4:C1094,C$4:C1094&lt;&gt;""""))),$AC$5+E1095))"),"")</f>
        <v/>
      </c>
      <c r="G1095" s="10" t="str">
        <f>IFERROR(__xludf.DUMMYFUNCTION("IF(COUNTA(C1095:C1350)=0,"""",IF(C1095="""",0,IF(REGEXMATCH(C1095,""^Sell_""),-ROUNDDOWN(ROUNDUP(INDEX(Upgrades!$C$3:$C$13,MATCH(SUBSTITUTE(C1095,""Sell_"",""""),Upgrades!$B$3:$B$13,0))*1.15^(COUNTIF(C$4:C1094,SUBSTITUTE(C1095,""Sell_"",""""))-COUNTIF(C$4"&amp;":C1094,""Sell_""&amp;SUBSTITUTE(C1095,""Sell_"",""""))))/2),ROUNDUP(INDEX(Upgrades!$C$3:$C$13,MATCH(C1095,Upgrades!$B$3:$B$13,0))*1.15^(COUNTIF(C$4:C1094,C1095)-COUNTIF(C$4:C1094,""Sell_""&amp;C1095))))))"),"")</f>
        <v/>
      </c>
      <c r="H1095" s="10" t="str">
        <f t="shared" si="3"/>
        <v/>
      </c>
      <c r="I1095" s="68" t="str">
        <f t="shared" si="4"/>
        <v/>
      </c>
      <c r="J1095" s="59" t="str">
        <f t="shared" si="5"/>
        <v/>
      </c>
      <c r="K1095" s="69" t="str">
        <f t="shared" si="6"/>
        <v/>
      </c>
      <c r="L1095" s="60" t="str">
        <f t="shared" si="7"/>
        <v/>
      </c>
      <c r="M1095" s="61" t="str">
        <f>IFERROR(__xludf.DUMMYFUNCTION("IFS(AND(COUNTA(C1095:C1350)=0,COUNTA(Q1095:Q1350)=0),"""",OR(AND(K1095&gt;=1000000000,OR(Y1095&gt;=1000000000,COUNTA(Q1095:Q1350)=0)),OR(Y1095&gt;=1000000000,AND(COUNTA(C1095:C1350)=0,P$3=TRUE))),
ROUNDDOWN((AB$1-AC$1)*MAX(INDEX(T$4:T1350,MATCH(LARGE(FILTER(Y$4:Y1"&amp;"350,Y$4:Y1350&lt;1000000000),1),Y$4:Y1350)),INDEX(F$4:F1350,MATCH(LARGE(FILTER(K$4:K1350,K$4:K1350&lt;1000000000),1),K$4:K1350)))),AND(K1095&lt;1000000000,COUNTA(C1095:C1350)&gt;0,P$3=FALSE),
ROUNDDOWN(INDEX(Y$4:Y1350,MATCH(LARGE(FILTER(W$4:W1350,W$4:W1350&lt;=I1095),1)"&amp;",W$4:W1350))+(I1095-LARGE(FILTER(W$4:W1350,W$4:W1350&lt;=I1095),1))*INDEX(T$4:T1350,MATCH(LARGE(FILTER(W$4:W1350,W$4:W1350&lt;=I1095),1),W$4:W1350))-K1095),1,
ROUNDDOWN(Y1095-INDEX(K$4:K1350,MATCH(LARGE(FILTER(I$4:I1350,I$4:I1350&lt;=W1095),1),I$4:I1350))-(W1095-L"&amp;"ARGE(FILTER(I$4:I1350,I$4:I1350&lt;=W1095),1))*INDEX(F$4:F1350,MATCH(LARGE(FILTER(I$4:I1350,I$4:I1350&lt;=W1095),1),I$4:I1350))))"),"")</f>
        <v/>
      </c>
      <c r="N1095" s="60" t="str">
        <f t="shared" si="8"/>
        <v/>
      </c>
      <c r="O1095" s="61" t="str">
        <f t="shared" si="9"/>
        <v/>
      </c>
      <c r="P1095" s="56" t="str">
        <f t="shared" si="10"/>
        <v/>
      </c>
      <c r="Q1095" s="62"/>
      <c r="R1095" s="10" t="str">
        <f>IFERROR(__xludf.DUMMYFUNCTION("IF(COUNTA(Q1095:Q1350)=0,"""",IF(ISBLANK(Q1095),FALSE,IF(NOT(COUNTIF($AA$24:$AA$34,SUBSTITUTE(Q1095,""Sell_"",""""))),1,IF(REGEXMATCH(Q1095,""Sell_""),IF(COUNTIF(Q$4:Q1095,SUBSTITUTE(Q1095,""Sell_"",""""))-COUNTIF(Q$4:Q1094,Q1095)&lt;1,1),FALSE))))"),"")</f>
        <v/>
      </c>
      <c r="S1095" s="59" t="str">
        <f t="array" ref="S1095">IF(COUNTA(Q1095:Q1350)=0,"",SUM((COUNTIF(Q$4:Q1095,Upgrades!$B$3:$B$13)-COUNTIF(Q$4:Q1095,"Sell_"&amp;Upgrades!$B$3:$B$13))*Upgrades!$D$3:$D$13))</f>
        <v/>
      </c>
      <c r="T1095" s="66" t="str">
        <f>IFERROR(__xludf.DUMMYFUNCTION("IF(COUNTA(Q1095:Q1350)=0,"""",IF(REGEXMATCH(INDEX(FILTER(Q$4:Q1095,Q$4:Q1095&lt;&gt;""""),ROWS(FILTER(Q$4:Q1095,Q$4:Q1095&lt;&gt;""""))),""^Sell_""),INDEX(FILTER(T$4:T1094,Q$4:Q1094&lt;&gt;""""),ROWS(FILTER(Q$4:Q1094,Q$4:Q1094&lt;&gt;""""))),$AD$5+S1095))"),"")</f>
        <v/>
      </c>
      <c r="U1095" s="10" t="str">
        <f>IFERROR(__xludf.DUMMYFUNCTION("IF(COUNTA(Q1095:Q1350)=0,"""",IF(Q1095="""",0,IF(REGEXMATCH(Q1095,""^Sell_""),-ROUNDDOWN(ROUNDUP(INDEX(Upgrades!$C$3:$C$13,MATCH(SUBSTITUTE(Q1095,""Sell_"",""""),Upgrades!$B$3:$B$13,0))*1.15^(COUNTIF(Q$4:Q1094,SUBSTITUTE(Q1095,""Sell_"",""""))-COUNTIF(Q$4"&amp;":Q1094,""Sell_""&amp;SUBSTITUTE(Q1095,""Sell_"",""""))))/2),ROUNDUP(INDEX(Upgrades!$C$3:$C$13,MATCH(Q1095,Upgrades!$B$3:$B$13,0))*1.15^(COUNTIF(Q$4:Q1094,Q1095)-COUNTIF(Q$4:Q1094,""Sell_""&amp;Q1095))))))"),"")</f>
        <v/>
      </c>
      <c r="V1095" s="10" t="str">
        <f t="shared" si="11"/>
        <v/>
      </c>
      <c r="W1095" s="68" t="str">
        <f t="shared" si="12"/>
        <v/>
      </c>
      <c r="X1095" s="59" t="str">
        <f t="shared" si="13"/>
        <v/>
      </c>
      <c r="Y1095" s="69" t="str">
        <f t="shared" si="14"/>
        <v/>
      </c>
      <c r="Z1095" s="11"/>
    </row>
    <row r="1096">
      <c r="A1096" s="8"/>
      <c r="B1096" s="56" t="str">
        <f t="shared" si="2"/>
        <v/>
      </c>
      <c r="C1096" s="57"/>
      <c r="D1096" s="10" t="str">
        <f>IFERROR(__xludf.DUMMYFUNCTION("IF(COUNTA(C1096:C1350)=0,"""",IF(ISBLANK(C1096),FALSE,IF(NOT(COUNTIF($AA$24:$AA$34,SUBSTITUTE(C1096,""Sell_"",""""))),1,IF(REGEXMATCH(C1096,""Sell_""),IF(COUNTIF(C$4:C1096,SUBSTITUTE(C1096,""Sell_"",""""))-COUNTIF(C$4:C1095,C1096)&lt;1,1),FALSE))))"),"")</f>
        <v/>
      </c>
      <c r="E1096" s="59" t="str">
        <f t="array" ref="E1096">IF(COUNTA(C1096:C1350)=0,"",SUM((COUNTIF(C$4:C1096,Upgrades!$B$3:$B$13)-COUNTIF(C$4:C1096,"Sell_"&amp;Upgrades!$B$3:$B$13))*Upgrades!$D$3:$D$13))</f>
        <v/>
      </c>
      <c r="F1096" s="66" t="str">
        <f>IFERROR(__xludf.DUMMYFUNCTION("IF(COUNTA(C1096:C1350)=0,"""",IF(REGEXMATCH(INDEX(FILTER(C$4:C1096,C$4:C1096&lt;&gt;""""),ROWS(FILTER(C$4:C1096,C$4:C1096&lt;&gt;""""))),""^Sell_""),INDEX(FILTER(F$4:F1095,C$4:C1095&lt;&gt;""""),ROWS(FILTER(C$4:C1095,C$4:C1095&lt;&gt;""""))),$AC$5+E1096))"),"")</f>
        <v/>
      </c>
      <c r="G1096" s="10" t="str">
        <f>IFERROR(__xludf.DUMMYFUNCTION("IF(COUNTA(C1096:C1350)=0,"""",IF(C1096="""",0,IF(REGEXMATCH(C1096,""^Sell_""),-ROUNDDOWN(ROUNDUP(INDEX(Upgrades!$C$3:$C$13,MATCH(SUBSTITUTE(C1096,""Sell_"",""""),Upgrades!$B$3:$B$13,0))*1.15^(COUNTIF(C$4:C1095,SUBSTITUTE(C1096,""Sell_"",""""))-COUNTIF(C$4"&amp;":C1095,""Sell_""&amp;SUBSTITUTE(C1096,""Sell_"",""""))))/2),ROUNDUP(INDEX(Upgrades!$C$3:$C$13,MATCH(C1096,Upgrades!$B$3:$B$13,0))*1.15^(COUNTIF(C$4:C1095,C1096)-COUNTIF(C$4:C1095,""Sell_""&amp;C1096))))))"),"")</f>
        <v/>
      </c>
      <c r="H1096" s="10" t="str">
        <f t="shared" si="3"/>
        <v/>
      </c>
      <c r="I1096" s="68" t="str">
        <f t="shared" si="4"/>
        <v/>
      </c>
      <c r="J1096" s="59" t="str">
        <f t="shared" si="5"/>
        <v/>
      </c>
      <c r="K1096" s="69" t="str">
        <f t="shared" si="6"/>
        <v/>
      </c>
      <c r="L1096" s="60" t="str">
        <f t="shared" si="7"/>
        <v/>
      </c>
      <c r="M1096" s="61" t="str">
        <f>IFERROR(__xludf.DUMMYFUNCTION("IFS(AND(COUNTA(C1096:C1350)=0,COUNTA(Q1096:Q1350)=0),"""",OR(AND(K1096&gt;=1000000000,OR(Y1096&gt;=1000000000,COUNTA(Q1096:Q1350)=0)),OR(Y1096&gt;=1000000000,AND(COUNTA(C1096:C1350)=0,P$3=TRUE))),
ROUNDDOWN((AB$1-AC$1)*MAX(INDEX(T$4:T1350,MATCH(LARGE(FILTER(Y$4:Y1"&amp;"350,Y$4:Y1350&lt;1000000000),1),Y$4:Y1350)),INDEX(F$4:F1350,MATCH(LARGE(FILTER(K$4:K1350,K$4:K1350&lt;1000000000),1),K$4:K1350)))),AND(K1096&lt;1000000000,COUNTA(C1096:C1350)&gt;0,P$3=FALSE),
ROUNDDOWN(INDEX(Y$4:Y1350,MATCH(LARGE(FILTER(W$4:W1350,W$4:W1350&lt;=I1096),1)"&amp;",W$4:W1350))+(I1096-LARGE(FILTER(W$4:W1350,W$4:W1350&lt;=I1096),1))*INDEX(T$4:T1350,MATCH(LARGE(FILTER(W$4:W1350,W$4:W1350&lt;=I1096),1),W$4:W1350))-K1096),1,
ROUNDDOWN(Y1096-INDEX(K$4:K1350,MATCH(LARGE(FILTER(I$4:I1350,I$4:I1350&lt;=W1096),1),I$4:I1350))-(W1096-L"&amp;"ARGE(FILTER(I$4:I1350,I$4:I1350&lt;=W1096),1))*INDEX(F$4:F1350,MATCH(LARGE(FILTER(I$4:I1350,I$4:I1350&lt;=W1096),1),I$4:I1350))))"),"")</f>
        <v/>
      </c>
      <c r="N1096" s="60" t="str">
        <f t="shared" si="8"/>
        <v/>
      </c>
      <c r="O1096" s="61" t="str">
        <f t="shared" si="9"/>
        <v/>
      </c>
      <c r="P1096" s="56" t="str">
        <f t="shared" si="10"/>
        <v/>
      </c>
      <c r="Q1096" s="62"/>
      <c r="R1096" s="10" t="str">
        <f>IFERROR(__xludf.DUMMYFUNCTION("IF(COUNTA(Q1096:Q1350)=0,"""",IF(ISBLANK(Q1096),FALSE,IF(NOT(COUNTIF($AA$24:$AA$34,SUBSTITUTE(Q1096,""Sell_"",""""))),1,IF(REGEXMATCH(Q1096,""Sell_""),IF(COUNTIF(Q$4:Q1096,SUBSTITUTE(Q1096,""Sell_"",""""))-COUNTIF(Q$4:Q1095,Q1096)&lt;1,1),FALSE))))"),"")</f>
        <v/>
      </c>
      <c r="S1096" s="59" t="str">
        <f t="array" ref="S1096">IF(COUNTA(Q1096:Q1350)=0,"",SUM((COUNTIF(Q$4:Q1096,Upgrades!$B$3:$B$13)-COUNTIF(Q$4:Q1096,"Sell_"&amp;Upgrades!$B$3:$B$13))*Upgrades!$D$3:$D$13))</f>
        <v/>
      </c>
      <c r="T1096" s="66" t="str">
        <f>IFERROR(__xludf.DUMMYFUNCTION("IF(COUNTA(Q1096:Q1350)=0,"""",IF(REGEXMATCH(INDEX(FILTER(Q$4:Q1096,Q$4:Q1096&lt;&gt;""""),ROWS(FILTER(Q$4:Q1096,Q$4:Q1096&lt;&gt;""""))),""^Sell_""),INDEX(FILTER(T$4:T1095,Q$4:Q1095&lt;&gt;""""),ROWS(FILTER(Q$4:Q1095,Q$4:Q1095&lt;&gt;""""))),$AD$5+S1096))"),"")</f>
        <v/>
      </c>
      <c r="U1096" s="10" t="str">
        <f>IFERROR(__xludf.DUMMYFUNCTION("IF(COUNTA(Q1096:Q1350)=0,"""",IF(Q1096="""",0,IF(REGEXMATCH(Q1096,""^Sell_""),-ROUNDDOWN(ROUNDUP(INDEX(Upgrades!$C$3:$C$13,MATCH(SUBSTITUTE(Q1096,""Sell_"",""""),Upgrades!$B$3:$B$13,0))*1.15^(COUNTIF(Q$4:Q1095,SUBSTITUTE(Q1096,""Sell_"",""""))-COUNTIF(Q$4"&amp;":Q1095,""Sell_""&amp;SUBSTITUTE(Q1096,""Sell_"",""""))))/2),ROUNDUP(INDEX(Upgrades!$C$3:$C$13,MATCH(Q1096,Upgrades!$B$3:$B$13,0))*1.15^(COUNTIF(Q$4:Q1095,Q1096)-COUNTIF(Q$4:Q1095,""Sell_""&amp;Q1096))))))"),"")</f>
        <v/>
      </c>
      <c r="V1096" s="10" t="str">
        <f t="shared" si="11"/>
        <v/>
      </c>
      <c r="W1096" s="68" t="str">
        <f t="shared" si="12"/>
        <v/>
      </c>
      <c r="X1096" s="59" t="str">
        <f t="shared" si="13"/>
        <v/>
      </c>
      <c r="Y1096" s="69" t="str">
        <f t="shared" si="14"/>
        <v/>
      </c>
      <c r="Z1096" s="11"/>
    </row>
    <row r="1097">
      <c r="A1097" s="8"/>
      <c r="B1097" s="56" t="str">
        <f t="shared" si="2"/>
        <v/>
      </c>
      <c r="C1097" s="57"/>
      <c r="D1097" s="10" t="str">
        <f>IFERROR(__xludf.DUMMYFUNCTION("IF(COUNTA(C1097:C1350)=0,"""",IF(ISBLANK(C1097),FALSE,IF(NOT(COUNTIF($AA$24:$AA$34,SUBSTITUTE(C1097,""Sell_"",""""))),1,IF(REGEXMATCH(C1097,""Sell_""),IF(COUNTIF(C$4:C1097,SUBSTITUTE(C1097,""Sell_"",""""))-COUNTIF(C$4:C1096,C1097)&lt;1,1),FALSE))))"),"")</f>
        <v/>
      </c>
      <c r="E1097" s="59" t="str">
        <f t="array" ref="E1097">IF(COUNTA(C1097:C1350)=0,"",SUM((COUNTIF(C$4:C1097,Upgrades!$B$3:$B$13)-COUNTIF(C$4:C1097,"Sell_"&amp;Upgrades!$B$3:$B$13))*Upgrades!$D$3:$D$13))</f>
        <v/>
      </c>
      <c r="F1097" s="66" t="str">
        <f>IFERROR(__xludf.DUMMYFUNCTION("IF(COUNTA(C1097:C1350)=0,"""",IF(REGEXMATCH(INDEX(FILTER(C$4:C1097,C$4:C1097&lt;&gt;""""),ROWS(FILTER(C$4:C1097,C$4:C1097&lt;&gt;""""))),""^Sell_""),INDEX(FILTER(F$4:F1096,C$4:C1096&lt;&gt;""""),ROWS(FILTER(C$4:C1096,C$4:C1096&lt;&gt;""""))),$AC$5+E1097))"),"")</f>
        <v/>
      </c>
      <c r="G1097" s="10" t="str">
        <f>IFERROR(__xludf.DUMMYFUNCTION("IF(COUNTA(C1097:C1350)=0,"""",IF(C1097="""",0,IF(REGEXMATCH(C1097,""^Sell_""),-ROUNDDOWN(ROUNDUP(INDEX(Upgrades!$C$3:$C$13,MATCH(SUBSTITUTE(C1097,""Sell_"",""""),Upgrades!$B$3:$B$13,0))*1.15^(COUNTIF(C$4:C1096,SUBSTITUTE(C1097,""Sell_"",""""))-COUNTIF(C$4"&amp;":C1096,""Sell_""&amp;SUBSTITUTE(C1097,""Sell_"",""""))))/2),ROUNDUP(INDEX(Upgrades!$C$3:$C$13,MATCH(C1097,Upgrades!$B$3:$B$13,0))*1.15^(COUNTIF(C$4:C1096,C1097)-COUNTIF(C$4:C1096,""Sell_""&amp;C1097))))))"),"")</f>
        <v/>
      </c>
      <c r="H1097" s="10" t="str">
        <f t="shared" si="3"/>
        <v/>
      </c>
      <c r="I1097" s="68" t="str">
        <f t="shared" si="4"/>
        <v/>
      </c>
      <c r="J1097" s="59" t="str">
        <f t="shared" si="5"/>
        <v/>
      </c>
      <c r="K1097" s="69" t="str">
        <f t="shared" si="6"/>
        <v/>
      </c>
      <c r="L1097" s="60" t="str">
        <f t="shared" si="7"/>
        <v/>
      </c>
      <c r="M1097" s="61" t="str">
        <f>IFERROR(__xludf.DUMMYFUNCTION("IFS(AND(COUNTA(C1097:C1350)=0,COUNTA(Q1097:Q1350)=0),"""",OR(AND(K1097&gt;=1000000000,OR(Y1097&gt;=1000000000,COUNTA(Q1097:Q1350)=0)),OR(Y1097&gt;=1000000000,AND(COUNTA(C1097:C1350)=0,P$3=TRUE))),
ROUNDDOWN((AB$1-AC$1)*MAX(INDEX(T$4:T1350,MATCH(LARGE(FILTER(Y$4:Y1"&amp;"350,Y$4:Y1350&lt;1000000000),1),Y$4:Y1350)),INDEX(F$4:F1350,MATCH(LARGE(FILTER(K$4:K1350,K$4:K1350&lt;1000000000),1),K$4:K1350)))),AND(K1097&lt;1000000000,COUNTA(C1097:C1350)&gt;0,P$3=FALSE),
ROUNDDOWN(INDEX(Y$4:Y1350,MATCH(LARGE(FILTER(W$4:W1350,W$4:W1350&lt;=I1097),1)"&amp;",W$4:W1350))+(I1097-LARGE(FILTER(W$4:W1350,W$4:W1350&lt;=I1097),1))*INDEX(T$4:T1350,MATCH(LARGE(FILTER(W$4:W1350,W$4:W1350&lt;=I1097),1),W$4:W1350))-K1097),1,
ROUNDDOWN(Y1097-INDEX(K$4:K1350,MATCH(LARGE(FILTER(I$4:I1350,I$4:I1350&lt;=W1097),1),I$4:I1350))-(W1097-L"&amp;"ARGE(FILTER(I$4:I1350,I$4:I1350&lt;=W1097),1))*INDEX(F$4:F1350,MATCH(LARGE(FILTER(I$4:I1350,I$4:I1350&lt;=W1097),1),I$4:I1350))))"),"")</f>
        <v/>
      </c>
      <c r="N1097" s="60" t="str">
        <f t="shared" si="8"/>
        <v/>
      </c>
      <c r="O1097" s="61" t="str">
        <f t="shared" si="9"/>
        <v/>
      </c>
      <c r="P1097" s="56" t="str">
        <f t="shared" si="10"/>
        <v/>
      </c>
      <c r="Q1097" s="62"/>
      <c r="R1097" s="10" t="str">
        <f>IFERROR(__xludf.DUMMYFUNCTION("IF(COUNTA(Q1097:Q1350)=0,"""",IF(ISBLANK(Q1097),FALSE,IF(NOT(COUNTIF($AA$24:$AA$34,SUBSTITUTE(Q1097,""Sell_"",""""))),1,IF(REGEXMATCH(Q1097,""Sell_""),IF(COUNTIF(Q$4:Q1097,SUBSTITUTE(Q1097,""Sell_"",""""))-COUNTIF(Q$4:Q1096,Q1097)&lt;1,1),FALSE))))"),"")</f>
        <v/>
      </c>
      <c r="S1097" s="59" t="str">
        <f t="array" ref="S1097">IF(COUNTA(Q1097:Q1350)=0,"",SUM((COUNTIF(Q$4:Q1097,Upgrades!$B$3:$B$13)-COUNTIF(Q$4:Q1097,"Sell_"&amp;Upgrades!$B$3:$B$13))*Upgrades!$D$3:$D$13))</f>
        <v/>
      </c>
      <c r="T1097" s="66" t="str">
        <f>IFERROR(__xludf.DUMMYFUNCTION("IF(COUNTA(Q1097:Q1350)=0,"""",IF(REGEXMATCH(INDEX(FILTER(Q$4:Q1097,Q$4:Q1097&lt;&gt;""""),ROWS(FILTER(Q$4:Q1097,Q$4:Q1097&lt;&gt;""""))),""^Sell_""),INDEX(FILTER(T$4:T1096,Q$4:Q1096&lt;&gt;""""),ROWS(FILTER(Q$4:Q1096,Q$4:Q1096&lt;&gt;""""))),$AD$5+S1097))"),"")</f>
        <v/>
      </c>
      <c r="U1097" s="10" t="str">
        <f>IFERROR(__xludf.DUMMYFUNCTION("IF(COUNTA(Q1097:Q1350)=0,"""",IF(Q1097="""",0,IF(REGEXMATCH(Q1097,""^Sell_""),-ROUNDDOWN(ROUNDUP(INDEX(Upgrades!$C$3:$C$13,MATCH(SUBSTITUTE(Q1097,""Sell_"",""""),Upgrades!$B$3:$B$13,0))*1.15^(COUNTIF(Q$4:Q1096,SUBSTITUTE(Q1097,""Sell_"",""""))-COUNTIF(Q$4"&amp;":Q1096,""Sell_""&amp;SUBSTITUTE(Q1097,""Sell_"",""""))))/2),ROUNDUP(INDEX(Upgrades!$C$3:$C$13,MATCH(Q1097,Upgrades!$B$3:$B$13,0))*1.15^(COUNTIF(Q$4:Q1096,Q1097)-COUNTIF(Q$4:Q1096,""Sell_""&amp;Q1097))))))"),"")</f>
        <v/>
      </c>
      <c r="V1097" s="10" t="str">
        <f t="shared" si="11"/>
        <v/>
      </c>
      <c r="W1097" s="68" t="str">
        <f t="shared" si="12"/>
        <v/>
      </c>
      <c r="X1097" s="59" t="str">
        <f t="shared" si="13"/>
        <v/>
      </c>
      <c r="Y1097" s="69" t="str">
        <f t="shared" si="14"/>
        <v/>
      </c>
      <c r="Z1097" s="11"/>
    </row>
    <row r="1098">
      <c r="A1098" s="8"/>
      <c r="B1098" s="56" t="str">
        <f t="shared" si="2"/>
        <v/>
      </c>
      <c r="C1098" s="57"/>
      <c r="D1098" s="10" t="str">
        <f>IFERROR(__xludf.DUMMYFUNCTION("IF(COUNTA(C1098:C1350)=0,"""",IF(ISBLANK(C1098),FALSE,IF(NOT(COUNTIF($AA$24:$AA$34,SUBSTITUTE(C1098,""Sell_"",""""))),1,IF(REGEXMATCH(C1098,""Sell_""),IF(COUNTIF(C$4:C1098,SUBSTITUTE(C1098,""Sell_"",""""))-COUNTIF(C$4:C1097,C1098)&lt;1,1),FALSE))))"),"")</f>
        <v/>
      </c>
      <c r="E1098" s="59" t="str">
        <f t="array" ref="E1098">IF(COUNTA(C1098:C1350)=0,"",SUM((COUNTIF(C$4:C1098,Upgrades!$B$3:$B$13)-COUNTIF(C$4:C1098,"Sell_"&amp;Upgrades!$B$3:$B$13))*Upgrades!$D$3:$D$13))</f>
        <v/>
      </c>
      <c r="F1098" s="66" t="str">
        <f>IFERROR(__xludf.DUMMYFUNCTION("IF(COUNTA(C1098:C1350)=0,"""",IF(REGEXMATCH(INDEX(FILTER(C$4:C1098,C$4:C1098&lt;&gt;""""),ROWS(FILTER(C$4:C1098,C$4:C1098&lt;&gt;""""))),""^Sell_""),INDEX(FILTER(F$4:F1097,C$4:C1097&lt;&gt;""""),ROWS(FILTER(C$4:C1097,C$4:C1097&lt;&gt;""""))),$AC$5+E1098))"),"")</f>
        <v/>
      </c>
      <c r="G1098" s="10" t="str">
        <f>IFERROR(__xludf.DUMMYFUNCTION("IF(COUNTA(C1098:C1350)=0,"""",IF(C1098="""",0,IF(REGEXMATCH(C1098,""^Sell_""),-ROUNDDOWN(ROUNDUP(INDEX(Upgrades!$C$3:$C$13,MATCH(SUBSTITUTE(C1098,""Sell_"",""""),Upgrades!$B$3:$B$13,0))*1.15^(COUNTIF(C$4:C1097,SUBSTITUTE(C1098,""Sell_"",""""))-COUNTIF(C$4"&amp;":C1097,""Sell_""&amp;SUBSTITUTE(C1098,""Sell_"",""""))))/2),ROUNDUP(INDEX(Upgrades!$C$3:$C$13,MATCH(C1098,Upgrades!$B$3:$B$13,0))*1.15^(COUNTIF(C$4:C1097,C1098)-COUNTIF(C$4:C1097,""Sell_""&amp;C1098))))))"),"")</f>
        <v/>
      </c>
      <c r="H1098" s="10" t="str">
        <f t="shared" si="3"/>
        <v/>
      </c>
      <c r="I1098" s="68" t="str">
        <f t="shared" si="4"/>
        <v/>
      </c>
      <c r="J1098" s="59" t="str">
        <f t="shared" si="5"/>
        <v/>
      </c>
      <c r="K1098" s="69" t="str">
        <f t="shared" si="6"/>
        <v/>
      </c>
      <c r="L1098" s="60" t="str">
        <f t="shared" si="7"/>
        <v/>
      </c>
      <c r="M1098" s="61" t="str">
        <f>IFERROR(__xludf.DUMMYFUNCTION("IFS(AND(COUNTA(C1098:C1350)=0,COUNTA(Q1098:Q1350)=0),"""",OR(AND(K1098&gt;=1000000000,OR(Y1098&gt;=1000000000,COUNTA(Q1098:Q1350)=0)),OR(Y1098&gt;=1000000000,AND(COUNTA(C1098:C1350)=0,P$3=TRUE))),
ROUNDDOWN((AB$1-AC$1)*MAX(INDEX(T$4:T1350,MATCH(LARGE(FILTER(Y$4:Y1"&amp;"350,Y$4:Y1350&lt;1000000000),1),Y$4:Y1350)),INDEX(F$4:F1350,MATCH(LARGE(FILTER(K$4:K1350,K$4:K1350&lt;1000000000),1),K$4:K1350)))),AND(K1098&lt;1000000000,COUNTA(C1098:C1350)&gt;0,P$3=FALSE),
ROUNDDOWN(INDEX(Y$4:Y1350,MATCH(LARGE(FILTER(W$4:W1350,W$4:W1350&lt;=I1098),1)"&amp;",W$4:W1350))+(I1098-LARGE(FILTER(W$4:W1350,W$4:W1350&lt;=I1098),1))*INDEX(T$4:T1350,MATCH(LARGE(FILTER(W$4:W1350,W$4:W1350&lt;=I1098),1),W$4:W1350))-K1098),1,
ROUNDDOWN(Y1098-INDEX(K$4:K1350,MATCH(LARGE(FILTER(I$4:I1350,I$4:I1350&lt;=W1098),1),I$4:I1350))-(W1098-L"&amp;"ARGE(FILTER(I$4:I1350,I$4:I1350&lt;=W1098),1))*INDEX(F$4:F1350,MATCH(LARGE(FILTER(I$4:I1350,I$4:I1350&lt;=W1098),1),I$4:I1350))))"),"")</f>
        <v/>
      </c>
      <c r="N1098" s="60" t="str">
        <f t="shared" si="8"/>
        <v/>
      </c>
      <c r="O1098" s="61" t="str">
        <f t="shared" si="9"/>
        <v/>
      </c>
      <c r="P1098" s="56" t="str">
        <f t="shared" si="10"/>
        <v/>
      </c>
      <c r="Q1098" s="62"/>
      <c r="R1098" s="10" t="str">
        <f>IFERROR(__xludf.DUMMYFUNCTION("IF(COUNTA(Q1098:Q1350)=0,"""",IF(ISBLANK(Q1098),FALSE,IF(NOT(COUNTIF($AA$24:$AA$34,SUBSTITUTE(Q1098,""Sell_"",""""))),1,IF(REGEXMATCH(Q1098,""Sell_""),IF(COUNTIF(Q$4:Q1098,SUBSTITUTE(Q1098,""Sell_"",""""))-COUNTIF(Q$4:Q1097,Q1098)&lt;1,1),FALSE))))"),"")</f>
        <v/>
      </c>
      <c r="S1098" s="59" t="str">
        <f t="array" ref="S1098">IF(COUNTA(Q1098:Q1350)=0,"",SUM((COUNTIF(Q$4:Q1098,Upgrades!$B$3:$B$13)-COUNTIF(Q$4:Q1098,"Sell_"&amp;Upgrades!$B$3:$B$13))*Upgrades!$D$3:$D$13))</f>
        <v/>
      </c>
      <c r="T1098" s="66" t="str">
        <f>IFERROR(__xludf.DUMMYFUNCTION("IF(COUNTA(Q1098:Q1350)=0,"""",IF(REGEXMATCH(INDEX(FILTER(Q$4:Q1098,Q$4:Q1098&lt;&gt;""""),ROWS(FILTER(Q$4:Q1098,Q$4:Q1098&lt;&gt;""""))),""^Sell_""),INDEX(FILTER(T$4:T1097,Q$4:Q1097&lt;&gt;""""),ROWS(FILTER(Q$4:Q1097,Q$4:Q1097&lt;&gt;""""))),$AD$5+S1098))"),"")</f>
        <v/>
      </c>
      <c r="U1098" s="10" t="str">
        <f>IFERROR(__xludf.DUMMYFUNCTION("IF(COUNTA(Q1098:Q1350)=0,"""",IF(Q1098="""",0,IF(REGEXMATCH(Q1098,""^Sell_""),-ROUNDDOWN(ROUNDUP(INDEX(Upgrades!$C$3:$C$13,MATCH(SUBSTITUTE(Q1098,""Sell_"",""""),Upgrades!$B$3:$B$13,0))*1.15^(COUNTIF(Q$4:Q1097,SUBSTITUTE(Q1098,""Sell_"",""""))-COUNTIF(Q$4"&amp;":Q1097,""Sell_""&amp;SUBSTITUTE(Q1098,""Sell_"",""""))))/2),ROUNDUP(INDEX(Upgrades!$C$3:$C$13,MATCH(Q1098,Upgrades!$B$3:$B$13,0))*1.15^(COUNTIF(Q$4:Q1097,Q1098)-COUNTIF(Q$4:Q1097,""Sell_""&amp;Q1098))))))"),"")</f>
        <v/>
      </c>
      <c r="V1098" s="10" t="str">
        <f t="shared" si="11"/>
        <v/>
      </c>
      <c r="W1098" s="68" t="str">
        <f t="shared" si="12"/>
        <v/>
      </c>
      <c r="X1098" s="59" t="str">
        <f t="shared" si="13"/>
        <v/>
      </c>
      <c r="Y1098" s="69" t="str">
        <f t="shared" si="14"/>
        <v/>
      </c>
      <c r="Z1098" s="11"/>
    </row>
    <row r="1099">
      <c r="A1099" s="8"/>
      <c r="B1099" s="56" t="str">
        <f t="shared" si="2"/>
        <v/>
      </c>
      <c r="C1099" s="57"/>
      <c r="D1099" s="10" t="str">
        <f>IFERROR(__xludf.DUMMYFUNCTION("IF(COUNTA(C1099:C1350)=0,"""",IF(ISBLANK(C1099),FALSE,IF(NOT(COUNTIF($AA$24:$AA$34,SUBSTITUTE(C1099,""Sell_"",""""))),1,IF(REGEXMATCH(C1099,""Sell_""),IF(COUNTIF(C$4:C1099,SUBSTITUTE(C1099,""Sell_"",""""))-COUNTIF(C$4:C1098,C1099)&lt;1,1),FALSE))))"),"")</f>
        <v/>
      </c>
      <c r="E1099" s="59" t="str">
        <f t="array" ref="E1099">IF(COUNTA(C1099:C1350)=0,"",SUM((COUNTIF(C$4:C1099,Upgrades!$B$3:$B$13)-COUNTIF(C$4:C1099,"Sell_"&amp;Upgrades!$B$3:$B$13))*Upgrades!$D$3:$D$13))</f>
        <v/>
      </c>
      <c r="F1099" s="66" t="str">
        <f>IFERROR(__xludf.DUMMYFUNCTION("IF(COUNTA(C1099:C1350)=0,"""",IF(REGEXMATCH(INDEX(FILTER(C$4:C1099,C$4:C1099&lt;&gt;""""),ROWS(FILTER(C$4:C1099,C$4:C1099&lt;&gt;""""))),""^Sell_""),INDEX(FILTER(F$4:F1098,C$4:C1098&lt;&gt;""""),ROWS(FILTER(C$4:C1098,C$4:C1098&lt;&gt;""""))),$AC$5+E1099))"),"")</f>
        <v/>
      </c>
      <c r="G1099" s="10" t="str">
        <f>IFERROR(__xludf.DUMMYFUNCTION("IF(COUNTA(C1099:C1350)=0,"""",IF(C1099="""",0,IF(REGEXMATCH(C1099,""^Sell_""),-ROUNDDOWN(ROUNDUP(INDEX(Upgrades!$C$3:$C$13,MATCH(SUBSTITUTE(C1099,""Sell_"",""""),Upgrades!$B$3:$B$13,0))*1.15^(COUNTIF(C$4:C1098,SUBSTITUTE(C1099,""Sell_"",""""))-COUNTIF(C$4"&amp;":C1098,""Sell_""&amp;SUBSTITUTE(C1099,""Sell_"",""""))))/2),ROUNDUP(INDEX(Upgrades!$C$3:$C$13,MATCH(C1099,Upgrades!$B$3:$B$13,0))*1.15^(COUNTIF(C$4:C1098,C1099)-COUNTIF(C$4:C1098,""Sell_""&amp;C1099))))))"),"")</f>
        <v/>
      </c>
      <c r="H1099" s="10" t="str">
        <f t="shared" si="3"/>
        <v/>
      </c>
      <c r="I1099" s="68" t="str">
        <f t="shared" si="4"/>
        <v/>
      </c>
      <c r="J1099" s="59" t="str">
        <f t="shared" si="5"/>
        <v/>
      </c>
      <c r="K1099" s="69" t="str">
        <f t="shared" si="6"/>
        <v/>
      </c>
      <c r="L1099" s="60" t="str">
        <f t="shared" si="7"/>
        <v/>
      </c>
      <c r="M1099" s="61" t="str">
        <f>IFERROR(__xludf.DUMMYFUNCTION("IFS(AND(COUNTA(C1099:C1350)=0,COUNTA(Q1099:Q1350)=0),"""",OR(AND(K1099&gt;=1000000000,OR(Y1099&gt;=1000000000,COUNTA(Q1099:Q1350)=0)),OR(Y1099&gt;=1000000000,AND(COUNTA(C1099:C1350)=0,P$3=TRUE))),
ROUNDDOWN((AB$1-AC$1)*MAX(INDEX(T$4:T1350,MATCH(LARGE(FILTER(Y$4:Y1"&amp;"350,Y$4:Y1350&lt;1000000000),1),Y$4:Y1350)),INDEX(F$4:F1350,MATCH(LARGE(FILTER(K$4:K1350,K$4:K1350&lt;1000000000),1),K$4:K1350)))),AND(K1099&lt;1000000000,COUNTA(C1099:C1350)&gt;0,P$3=FALSE),
ROUNDDOWN(INDEX(Y$4:Y1350,MATCH(LARGE(FILTER(W$4:W1350,W$4:W1350&lt;=I1099),1)"&amp;",W$4:W1350))+(I1099-LARGE(FILTER(W$4:W1350,W$4:W1350&lt;=I1099),1))*INDEX(T$4:T1350,MATCH(LARGE(FILTER(W$4:W1350,W$4:W1350&lt;=I1099),1),W$4:W1350))-K1099),1,
ROUNDDOWN(Y1099-INDEX(K$4:K1350,MATCH(LARGE(FILTER(I$4:I1350,I$4:I1350&lt;=W1099),1),I$4:I1350))-(W1099-L"&amp;"ARGE(FILTER(I$4:I1350,I$4:I1350&lt;=W1099),1))*INDEX(F$4:F1350,MATCH(LARGE(FILTER(I$4:I1350,I$4:I1350&lt;=W1099),1),I$4:I1350))))"),"")</f>
        <v/>
      </c>
      <c r="N1099" s="60" t="str">
        <f t="shared" si="8"/>
        <v/>
      </c>
      <c r="O1099" s="61" t="str">
        <f t="shared" si="9"/>
        <v/>
      </c>
      <c r="P1099" s="56" t="str">
        <f t="shared" si="10"/>
        <v/>
      </c>
      <c r="Q1099" s="62"/>
      <c r="R1099" s="10" t="str">
        <f>IFERROR(__xludf.DUMMYFUNCTION("IF(COUNTA(Q1099:Q1350)=0,"""",IF(ISBLANK(Q1099),FALSE,IF(NOT(COUNTIF($AA$24:$AA$34,SUBSTITUTE(Q1099,""Sell_"",""""))),1,IF(REGEXMATCH(Q1099,""Sell_""),IF(COUNTIF(Q$4:Q1099,SUBSTITUTE(Q1099,""Sell_"",""""))-COUNTIF(Q$4:Q1098,Q1099)&lt;1,1),FALSE))))"),"")</f>
        <v/>
      </c>
      <c r="S1099" s="59" t="str">
        <f t="array" ref="S1099">IF(COUNTA(Q1099:Q1350)=0,"",SUM((COUNTIF(Q$4:Q1099,Upgrades!$B$3:$B$13)-COUNTIF(Q$4:Q1099,"Sell_"&amp;Upgrades!$B$3:$B$13))*Upgrades!$D$3:$D$13))</f>
        <v/>
      </c>
      <c r="T1099" s="66" t="str">
        <f>IFERROR(__xludf.DUMMYFUNCTION("IF(COUNTA(Q1099:Q1350)=0,"""",IF(REGEXMATCH(INDEX(FILTER(Q$4:Q1099,Q$4:Q1099&lt;&gt;""""),ROWS(FILTER(Q$4:Q1099,Q$4:Q1099&lt;&gt;""""))),""^Sell_""),INDEX(FILTER(T$4:T1098,Q$4:Q1098&lt;&gt;""""),ROWS(FILTER(Q$4:Q1098,Q$4:Q1098&lt;&gt;""""))),$AD$5+S1099))"),"")</f>
        <v/>
      </c>
      <c r="U1099" s="10" t="str">
        <f>IFERROR(__xludf.DUMMYFUNCTION("IF(COUNTA(Q1099:Q1350)=0,"""",IF(Q1099="""",0,IF(REGEXMATCH(Q1099,""^Sell_""),-ROUNDDOWN(ROUNDUP(INDEX(Upgrades!$C$3:$C$13,MATCH(SUBSTITUTE(Q1099,""Sell_"",""""),Upgrades!$B$3:$B$13,0))*1.15^(COUNTIF(Q$4:Q1098,SUBSTITUTE(Q1099,""Sell_"",""""))-COUNTIF(Q$4"&amp;":Q1098,""Sell_""&amp;SUBSTITUTE(Q1099,""Sell_"",""""))))/2),ROUNDUP(INDEX(Upgrades!$C$3:$C$13,MATCH(Q1099,Upgrades!$B$3:$B$13,0))*1.15^(COUNTIF(Q$4:Q1098,Q1099)-COUNTIF(Q$4:Q1098,""Sell_""&amp;Q1099))))))"),"")</f>
        <v/>
      </c>
      <c r="V1099" s="10" t="str">
        <f t="shared" si="11"/>
        <v/>
      </c>
      <c r="W1099" s="68" t="str">
        <f t="shared" si="12"/>
        <v/>
      </c>
      <c r="X1099" s="59" t="str">
        <f t="shared" si="13"/>
        <v/>
      </c>
      <c r="Y1099" s="69" t="str">
        <f t="shared" si="14"/>
        <v/>
      </c>
      <c r="Z1099" s="11"/>
    </row>
    <row r="1100">
      <c r="A1100" s="8"/>
      <c r="B1100" s="56" t="str">
        <f t="shared" si="2"/>
        <v/>
      </c>
      <c r="C1100" s="57"/>
      <c r="D1100" s="10" t="str">
        <f>IFERROR(__xludf.DUMMYFUNCTION("IF(COUNTA(C1100:C1350)=0,"""",IF(ISBLANK(C1100),FALSE,IF(NOT(COUNTIF($AA$24:$AA$34,SUBSTITUTE(C1100,""Sell_"",""""))),1,IF(REGEXMATCH(C1100,""Sell_""),IF(COUNTIF(C$4:C1100,SUBSTITUTE(C1100,""Sell_"",""""))-COUNTIF(C$4:C1099,C1100)&lt;1,1),FALSE))))"),"")</f>
        <v/>
      </c>
      <c r="E1100" s="59" t="str">
        <f t="array" ref="E1100">IF(COUNTA(C1100:C1350)=0,"",SUM((COUNTIF(C$4:C1100,Upgrades!$B$3:$B$13)-COUNTIF(C$4:C1100,"Sell_"&amp;Upgrades!$B$3:$B$13))*Upgrades!$D$3:$D$13))</f>
        <v/>
      </c>
      <c r="F1100" s="66" t="str">
        <f>IFERROR(__xludf.DUMMYFUNCTION("IF(COUNTA(C1100:C1350)=0,"""",IF(REGEXMATCH(INDEX(FILTER(C$4:C1100,C$4:C1100&lt;&gt;""""),ROWS(FILTER(C$4:C1100,C$4:C1100&lt;&gt;""""))),""^Sell_""),INDEX(FILTER(F$4:F1099,C$4:C1099&lt;&gt;""""),ROWS(FILTER(C$4:C1099,C$4:C1099&lt;&gt;""""))),$AC$5+E1100))"),"")</f>
        <v/>
      </c>
      <c r="G1100" s="10" t="str">
        <f>IFERROR(__xludf.DUMMYFUNCTION("IF(COUNTA(C1100:C1350)=0,"""",IF(C1100="""",0,IF(REGEXMATCH(C1100,""^Sell_""),-ROUNDDOWN(ROUNDUP(INDEX(Upgrades!$C$3:$C$13,MATCH(SUBSTITUTE(C1100,""Sell_"",""""),Upgrades!$B$3:$B$13,0))*1.15^(COUNTIF(C$4:C1099,SUBSTITUTE(C1100,""Sell_"",""""))-COUNTIF(C$4"&amp;":C1099,""Sell_""&amp;SUBSTITUTE(C1100,""Sell_"",""""))))/2),ROUNDUP(INDEX(Upgrades!$C$3:$C$13,MATCH(C1100,Upgrades!$B$3:$B$13,0))*1.15^(COUNTIF(C$4:C1099,C1100)-COUNTIF(C$4:C1099,""Sell_""&amp;C1100))))))"),"")</f>
        <v/>
      </c>
      <c r="H1100" s="10" t="str">
        <f t="shared" si="3"/>
        <v/>
      </c>
      <c r="I1100" s="68" t="str">
        <f t="shared" si="4"/>
        <v/>
      </c>
      <c r="J1100" s="59" t="str">
        <f t="shared" si="5"/>
        <v/>
      </c>
      <c r="K1100" s="69" t="str">
        <f t="shared" si="6"/>
        <v/>
      </c>
      <c r="L1100" s="60" t="str">
        <f t="shared" si="7"/>
        <v/>
      </c>
      <c r="M1100" s="61" t="str">
        <f>IFERROR(__xludf.DUMMYFUNCTION("IFS(AND(COUNTA(C1100:C1350)=0,COUNTA(Q1100:Q1350)=0),"""",OR(AND(K1100&gt;=1000000000,OR(Y1100&gt;=1000000000,COUNTA(Q1100:Q1350)=0)),OR(Y1100&gt;=1000000000,AND(COUNTA(C1100:C1350)=0,P$3=TRUE))),
ROUNDDOWN((AB$1-AC$1)*MAX(INDEX(T$4:T1350,MATCH(LARGE(FILTER(Y$4:Y1"&amp;"350,Y$4:Y1350&lt;1000000000),1),Y$4:Y1350)),INDEX(F$4:F1350,MATCH(LARGE(FILTER(K$4:K1350,K$4:K1350&lt;1000000000),1),K$4:K1350)))),AND(K1100&lt;1000000000,COUNTA(C1100:C1350)&gt;0,P$3=FALSE),
ROUNDDOWN(INDEX(Y$4:Y1350,MATCH(LARGE(FILTER(W$4:W1350,W$4:W1350&lt;=I1100),1)"&amp;",W$4:W1350))+(I1100-LARGE(FILTER(W$4:W1350,W$4:W1350&lt;=I1100),1))*INDEX(T$4:T1350,MATCH(LARGE(FILTER(W$4:W1350,W$4:W1350&lt;=I1100),1),W$4:W1350))-K1100),1,
ROUNDDOWN(Y1100-INDEX(K$4:K1350,MATCH(LARGE(FILTER(I$4:I1350,I$4:I1350&lt;=W1100),1),I$4:I1350))-(W1100-L"&amp;"ARGE(FILTER(I$4:I1350,I$4:I1350&lt;=W1100),1))*INDEX(F$4:F1350,MATCH(LARGE(FILTER(I$4:I1350,I$4:I1350&lt;=W1100),1),I$4:I1350))))"),"")</f>
        <v/>
      </c>
      <c r="N1100" s="60" t="str">
        <f t="shared" si="8"/>
        <v/>
      </c>
      <c r="O1100" s="61" t="str">
        <f t="shared" si="9"/>
        <v/>
      </c>
      <c r="P1100" s="56" t="str">
        <f t="shared" si="10"/>
        <v/>
      </c>
      <c r="Q1100" s="62"/>
      <c r="R1100" s="10" t="str">
        <f>IFERROR(__xludf.DUMMYFUNCTION("IF(COUNTA(Q1100:Q1350)=0,"""",IF(ISBLANK(Q1100),FALSE,IF(NOT(COUNTIF($AA$24:$AA$34,SUBSTITUTE(Q1100,""Sell_"",""""))),1,IF(REGEXMATCH(Q1100,""Sell_""),IF(COUNTIF(Q$4:Q1100,SUBSTITUTE(Q1100,""Sell_"",""""))-COUNTIF(Q$4:Q1099,Q1100)&lt;1,1),FALSE))))"),"")</f>
        <v/>
      </c>
      <c r="S1100" s="59" t="str">
        <f t="array" ref="S1100">IF(COUNTA(Q1100:Q1350)=0,"",SUM((COUNTIF(Q$4:Q1100,Upgrades!$B$3:$B$13)-COUNTIF(Q$4:Q1100,"Sell_"&amp;Upgrades!$B$3:$B$13))*Upgrades!$D$3:$D$13))</f>
        <v/>
      </c>
      <c r="T1100" s="66" t="str">
        <f>IFERROR(__xludf.DUMMYFUNCTION("IF(COUNTA(Q1100:Q1350)=0,"""",IF(REGEXMATCH(INDEX(FILTER(Q$4:Q1100,Q$4:Q1100&lt;&gt;""""),ROWS(FILTER(Q$4:Q1100,Q$4:Q1100&lt;&gt;""""))),""^Sell_""),INDEX(FILTER(T$4:T1099,Q$4:Q1099&lt;&gt;""""),ROWS(FILTER(Q$4:Q1099,Q$4:Q1099&lt;&gt;""""))),$AD$5+S1100))"),"")</f>
        <v/>
      </c>
      <c r="U1100" s="10" t="str">
        <f>IFERROR(__xludf.DUMMYFUNCTION("IF(COUNTA(Q1100:Q1350)=0,"""",IF(Q1100="""",0,IF(REGEXMATCH(Q1100,""^Sell_""),-ROUNDDOWN(ROUNDUP(INDEX(Upgrades!$C$3:$C$13,MATCH(SUBSTITUTE(Q1100,""Sell_"",""""),Upgrades!$B$3:$B$13,0))*1.15^(COUNTIF(Q$4:Q1099,SUBSTITUTE(Q1100,""Sell_"",""""))-COUNTIF(Q$4"&amp;":Q1099,""Sell_""&amp;SUBSTITUTE(Q1100,""Sell_"",""""))))/2),ROUNDUP(INDEX(Upgrades!$C$3:$C$13,MATCH(Q1100,Upgrades!$B$3:$B$13,0))*1.15^(COUNTIF(Q$4:Q1099,Q1100)-COUNTIF(Q$4:Q1099,""Sell_""&amp;Q1100))))))"),"")</f>
        <v/>
      </c>
      <c r="V1100" s="10" t="str">
        <f t="shared" si="11"/>
        <v/>
      </c>
      <c r="W1100" s="68" t="str">
        <f t="shared" si="12"/>
        <v/>
      </c>
      <c r="X1100" s="59" t="str">
        <f t="shared" si="13"/>
        <v/>
      </c>
      <c r="Y1100" s="69" t="str">
        <f t="shared" si="14"/>
        <v/>
      </c>
      <c r="Z1100" s="11"/>
    </row>
    <row r="1101">
      <c r="A1101" s="8"/>
      <c r="B1101" s="56" t="str">
        <f t="shared" si="2"/>
        <v/>
      </c>
      <c r="C1101" s="57"/>
      <c r="D1101" s="10" t="str">
        <f>IFERROR(__xludf.DUMMYFUNCTION("IF(COUNTA(C1101:C1350)=0,"""",IF(ISBLANK(C1101),FALSE,IF(NOT(COUNTIF($AA$24:$AA$34,SUBSTITUTE(C1101,""Sell_"",""""))),1,IF(REGEXMATCH(C1101,""Sell_""),IF(COUNTIF(C$4:C1101,SUBSTITUTE(C1101,""Sell_"",""""))-COUNTIF(C$4:C1100,C1101)&lt;1,1),FALSE))))"),"")</f>
        <v/>
      </c>
      <c r="E1101" s="59" t="str">
        <f t="array" ref="E1101">IF(COUNTA(C1101:C1350)=0,"",SUM((COUNTIF(C$4:C1101,Upgrades!$B$3:$B$13)-COUNTIF(C$4:C1101,"Sell_"&amp;Upgrades!$B$3:$B$13))*Upgrades!$D$3:$D$13))</f>
        <v/>
      </c>
      <c r="F1101" s="66" t="str">
        <f>IFERROR(__xludf.DUMMYFUNCTION("IF(COUNTA(C1101:C1350)=0,"""",IF(REGEXMATCH(INDEX(FILTER(C$4:C1101,C$4:C1101&lt;&gt;""""),ROWS(FILTER(C$4:C1101,C$4:C1101&lt;&gt;""""))),""^Sell_""),INDEX(FILTER(F$4:F1100,C$4:C1100&lt;&gt;""""),ROWS(FILTER(C$4:C1100,C$4:C1100&lt;&gt;""""))),$AC$5+E1101))"),"")</f>
        <v/>
      </c>
      <c r="G1101" s="10" t="str">
        <f>IFERROR(__xludf.DUMMYFUNCTION("IF(COUNTA(C1101:C1350)=0,"""",IF(C1101="""",0,IF(REGEXMATCH(C1101,""^Sell_""),-ROUNDDOWN(ROUNDUP(INDEX(Upgrades!$C$3:$C$13,MATCH(SUBSTITUTE(C1101,""Sell_"",""""),Upgrades!$B$3:$B$13,0))*1.15^(COUNTIF(C$4:C1100,SUBSTITUTE(C1101,""Sell_"",""""))-COUNTIF(C$4"&amp;":C1100,""Sell_""&amp;SUBSTITUTE(C1101,""Sell_"",""""))))/2),ROUNDUP(INDEX(Upgrades!$C$3:$C$13,MATCH(C1101,Upgrades!$B$3:$B$13,0))*1.15^(COUNTIF(C$4:C1100,C1101)-COUNTIF(C$4:C1100,""Sell_""&amp;C1101))))))"),"")</f>
        <v/>
      </c>
      <c r="H1101" s="10" t="str">
        <f t="shared" si="3"/>
        <v/>
      </c>
      <c r="I1101" s="68" t="str">
        <f t="shared" si="4"/>
        <v/>
      </c>
      <c r="J1101" s="59" t="str">
        <f t="shared" si="5"/>
        <v/>
      </c>
      <c r="K1101" s="69" t="str">
        <f t="shared" si="6"/>
        <v/>
      </c>
      <c r="L1101" s="60" t="str">
        <f t="shared" si="7"/>
        <v/>
      </c>
      <c r="M1101" s="61" t="str">
        <f>IFERROR(__xludf.DUMMYFUNCTION("IFS(AND(COUNTA(C1101:C1350)=0,COUNTA(Q1101:Q1350)=0),"""",OR(AND(K1101&gt;=1000000000,OR(Y1101&gt;=1000000000,COUNTA(Q1101:Q1350)=0)),OR(Y1101&gt;=1000000000,AND(COUNTA(C1101:C1350)=0,P$3=TRUE))),
ROUNDDOWN((AB$1-AC$1)*MAX(INDEX(T$4:T1350,MATCH(LARGE(FILTER(Y$4:Y1"&amp;"350,Y$4:Y1350&lt;1000000000),1),Y$4:Y1350)),INDEX(F$4:F1350,MATCH(LARGE(FILTER(K$4:K1350,K$4:K1350&lt;1000000000),1),K$4:K1350)))),AND(K1101&lt;1000000000,COUNTA(C1101:C1350)&gt;0,P$3=FALSE),
ROUNDDOWN(INDEX(Y$4:Y1350,MATCH(LARGE(FILTER(W$4:W1350,W$4:W1350&lt;=I1101),1)"&amp;",W$4:W1350))+(I1101-LARGE(FILTER(W$4:W1350,W$4:W1350&lt;=I1101),1))*INDEX(T$4:T1350,MATCH(LARGE(FILTER(W$4:W1350,W$4:W1350&lt;=I1101),1),W$4:W1350))-K1101),1,
ROUNDDOWN(Y1101-INDEX(K$4:K1350,MATCH(LARGE(FILTER(I$4:I1350,I$4:I1350&lt;=W1101),1),I$4:I1350))-(W1101-L"&amp;"ARGE(FILTER(I$4:I1350,I$4:I1350&lt;=W1101),1))*INDEX(F$4:F1350,MATCH(LARGE(FILTER(I$4:I1350,I$4:I1350&lt;=W1101),1),I$4:I1350))))"),"")</f>
        <v/>
      </c>
      <c r="N1101" s="60" t="str">
        <f t="shared" si="8"/>
        <v/>
      </c>
      <c r="O1101" s="61" t="str">
        <f t="shared" si="9"/>
        <v/>
      </c>
      <c r="P1101" s="56" t="str">
        <f t="shared" si="10"/>
        <v/>
      </c>
      <c r="Q1101" s="62"/>
      <c r="R1101" s="10" t="str">
        <f>IFERROR(__xludf.DUMMYFUNCTION("IF(COUNTA(Q1101:Q1350)=0,"""",IF(ISBLANK(Q1101),FALSE,IF(NOT(COUNTIF($AA$24:$AA$34,SUBSTITUTE(Q1101,""Sell_"",""""))),1,IF(REGEXMATCH(Q1101,""Sell_""),IF(COUNTIF(Q$4:Q1101,SUBSTITUTE(Q1101,""Sell_"",""""))-COUNTIF(Q$4:Q1100,Q1101)&lt;1,1),FALSE))))"),"")</f>
        <v/>
      </c>
      <c r="S1101" s="59" t="str">
        <f t="array" ref="S1101">IF(COUNTA(Q1101:Q1350)=0,"",SUM((COUNTIF(Q$4:Q1101,Upgrades!$B$3:$B$13)-COUNTIF(Q$4:Q1101,"Sell_"&amp;Upgrades!$B$3:$B$13))*Upgrades!$D$3:$D$13))</f>
        <v/>
      </c>
      <c r="T1101" s="66" t="str">
        <f>IFERROR(__xludf.DUMMYFUNCTION("IF(COUNTA(Q1101:Q1350)=0,"""",IF(REGEXMATCH(INDEX(FILTER(Q$4:Q1101,Q$4:Q1101&lt;&gt;""""),ROWS(FILTER(Q$4:Q1101,Q$4:Q1101&lt;&gt;""""))),""^Sell_""),INDEX(FILTER(T$4:T1100,Q$4:Q1100&lt;&gt;""""),ROWS(FILTER(Q$4:Q1100,Q$4:Q1100&lt;&gt;""""))),$AD$5+S1101))"),"")</f>
        <v/>
      </c>
      <c r="U1101" s="10" t="str">
        <f>IFERROR(__xludf.DUMMYFUNCTION("IF(COUNTA(Q1101:Q1350)=0,"""",IF(Q1101="""",0,IF(REGEXMATCH(Q1101,""^Sell_""),-ROUNDDOWN(ROUNDUP(INDEX(Upgrades!$C$3:$C$13,MATCH(SUBSTITUTE(Q1101,""Sell_"",""""),Upgrades!$B$3:$B$13,0))*1.15^(COUNTIF(Q$4:Q1100,SUBSTITUTE(Q1101,""Sell_"",""""))-COUNTIF(Q$4"&amp;":Q1100,""Sell_""&amp;SUBSTITUTE(Q1101,""Sell_"",""""))))/2),ROUNDUP(INDEX(Upgrades!$C$3:$C$13,MATCH(Q1101,Upgrades!$B$3:$B$13,0))*1.15^(COUNTIF(Q$4:Q1100,Q1101)-COUNTIF(Q$4:Q1100,""Sell_""&amp;Q1101))))))"),"")</f>
        <v/>
      </c>
      <c r="V1101" s="10" t="str">
        <f t="shared" si="11"/>
        <v/>
      </c>
      <c r="W1101" s="68" t="str">
        <f t="shared" si="12"/>
        <v/>
      </c>
      <c r="X1101" s="59" t="str">
        <f t="shared" si="13"/>
        <v/>
      </c>
      <c r="Y1101" s="69" t="str">
        <f t="shared" si="14"/>
        <v/>
      </c>
      <c r="Z1101" s="11"/>
    </row>
    <row r="1102">
      <c r="A1102" s="8"/>
      <c r="B1102" s="56" t="str">
        <f t="shared" si="2"/>
        <v/>
      </c>
      <c r="C1102" s="57"/>
      <c r="D1102" s="10" t="str">
        <f>IFERROR(__xludf.DUMMYFUNCTION("IF(COUNTA(C1102:C1350)=0,"""",IF(ISBLANK(C1102),FALSE,IF(NOT(COUNTIF($AA$24:$AA$34,SUBSTITUTE(C1102,""Sell_"",""""))),1,IF(REGEXMATCH(C1102,""Sell_""),IF(COUNTIF(C$4:C1102,SUBSTITUTE(C1102,""Sell_"",""""))-COUNTIF(C$4:C1101,C1102)&lt;1,1),FALSE))))"),"")</f>
        <v/>
      </c>
      <c r="E1102" s="59" t="str">
        <f t="array" ref="E1102">IF(COUNTA(C1102:C1350)=0,"",SUM((COUNTIF(C$4:C1102,Upgrades!$B$3:$B$13)-COUNTIF(C$4:C1102,"Sell_"&amp;Upgrades!$B$3:$B$13))*Upgrades!$D$3:$D$13))</f>
        <v/>
      </c>
      <c r="F1102" s="66" t="str">
        <f>IFERROR(__xludf.DUMMYFUNCTION("IF(COUNTA(C1102:C1350)=0,"""",IF(REGEXMATCH(INDEX(FILTER(C$4:C1102,C$4:C1102&lt;&gt;""""),ROWS(FILTER(C$4:C1102,C$4:C1102&lt;&gt;""""))),""^Sell_""),INDEX(FILTER(F$4:F1101,C$4:C1101&lt;&gt;""""),ROWS(FILTER(C$4:C1101,C$4:C1101&lt;&gt;""""))),$AC$5+E1102))"),"")</f>
        <v/>
      </c>
      <c r="G1102" s="10" t="str">
        <f>IFERROR(__xludf.DUMMYFUNCTION("IF(COUNTA(C1102:C1350)=0,"""",IF(C1102="""",0,IF(REGEXMATCH(C1102,""^Sell_""),-ROUNDDOWN(ROUNDUP(INDEX(Upgrades!$C$3:$C$13,MATCH(SUBSTITUTE(C1102,""Sell_"",""""),Upgrades!$B$3:$B$13,0))*1.15^(COUNTIF(C$4:C1101,SUBSTITUTE(C1102,""Sell_"",""""))-COUNTIF(C$4"&amp;":C1101,""Sell_""&amp;SUBSTITUTE(C1102,""Sell_"",""""))))/2),ROUNDUP(INDEX(Upgrades!$C$3:$C$13,MATCH(C1102,Upgrades!$B$3:$B$13,0))*1.15^(COUNTIF(C$4:C1101,C1102)-COUNTIF(C$4:C1101,""Sell_""&amp;C1102))))))"),"")</f>
        <v/>
      </c>
      <c r="H1102" s="10" t="str">
        <f t="shared" si="3"/>
        <v/>
      </c>
      <c r="I1102" s="68" t="str">
        <f t="shared" si="4"/>
        <v/>
      </c>
      <c r="J1102" s="59" t="str">
        <f t="shared" si="5"/>
        <v/>
      </c>
      <c r="K1102" s="69" t="str">
        <f t="shared" si="6"/>
        <v/>
      </c>
      <c r="L1102" s="60" t="str">
        <f t="shared" si="7"/>
        <v/>
      </c>
      <c r="M1102" s="61" t="str">
        <f>IFERROR(__xludf.DUMMYFUNCTION("IFS(AND(COUNTA(C1102:C1350)=0,COUNTA(Q1102:Q1350)=0),"""",OR(AND(K1102&gt;=1000000000,OR(Y1102&gt;=1000000000,COUNTA(Q1102:Q1350)=0)),OR(Y1102&gt;=1000000000,AND(COUNTA(C1102:C1350)=0,P$3=TRUE))),
ROUNDDOWN((AB$1-AC$1)*MAX(INDEX(T$4:T1350,MATCH(LARGE(FILTER(Y$4:Y1"&amp;"350,Y$4:Y1350&lt;1000000000),1),Y$4:Y1350)),INDEX(F$4:F1350,MATCH(LARGE(FILTER(K$4:K1350,K$4:K1350&lt;1000000000),1),K$4:K1350)))),AND(K1102&lt;1000000000,COUNTA(C1102:C1350)&gt;0,P$3=FALSE),
ROUNDDOWN(INDEX(Y$4:Y1350,MATCH(LARGE(FILTER(W$4:W1350,W$4:W1350&lt;=I1102),1)"&amp;",W$4:W1350))+(I1102-LARGE(FILTER(W$4:W1350,W$4:W1350&lt;=I1102),1))*INDEX(T$4:T1350,MATCH(LARGE(FILTER(W$4:W1350,W$4:W1350&lt;=I1102),1),W$4:W1350))-K1102),1,
ROUNDDOWN(Y1102-INDEX(K$4:K1350,MATCH(LARGE(FILTER(I$4:I1350,I$4:I1350&lt;=W1102),1),I$4:I1350))-(W1102-L"&amp;"ARGE(FILTER(I$4:I1350,I$4:I1350&lt;=W1102),1))*INDEX(F$4:F1350,MATCH(LARGE(FILTER(I$4:I1350,I$4:I1350&lt;=W1102),1),I$4:I1350))))"),"")</f>
        <v/>
      </c>
      <c r="N1102" s="60" t="str">
        <f t="shared" si="8"/>
        <v/>
      </c>
      <c r="O1102" s="61" t="str">
        <f t="shared" si="9"/>
        <v/>
      </c>
      <c r="P1102" s="56" t="str">
        <f t="shared" si="10"/>
        <v/>
      </c>
      <c r="Q1102" s="62"/>
      <c r="R1102" s="10" t="str">
        <f>IFERROR(__xludf.DUMMYFUNCTION("IF(COUNTA(Q1102:Q1350)=0,"""",IF(ISBLANK(Q1102),FALSE,IF(NOT(COUNTIF($AA$24:$AA$34,SUBSTITUTE(Q1102,""Sell_"",""""))),1,IF(REGEXMATCH(Q1102,""Sell_""),IF(COUNTIF(Q$4:Q1102,SUBSTITUTE(Q1102,""Sell_"",""""))-COUNTIF(Q$4:Q1101,Q1102)&lt;1,1),FALSE))))"),"")</f>
        <v/>
      </c>
      <c r="S1102" s="59" t="str">
        <f t="array" ref="S1102">IF(COUNTA(Q1102:Q1350)=0,"",SUM((COUNTIF(Q$4:Q1102,Upgrades!$B$3:$B$13)-COUNTIF(Q$4:Q1102,"Sell_"&amp;Upgrades!$B$3:$B$13))*Upgrades!$D$3:$D$13))</f>
        <v/>
      </c>
      <c r="T1102" s="66" t="str">
        <f>IFERROR(__xludf.DUMMYFUNCTION("IF(COUNTA(Q1102:Q1350)=0,"""",IF(REGEXMATCH(INDEX(FILTER(Q$4:Q1102,Q$4:Q1102&lt;&gt;""""),ROWS(FILTER(Q$4:Q1102,Q$4:Q1102&lt;&gt;""""))),""^Sell_""),INDEX(FILTER(T$4:T1101,Q$4:Q1101&lt;&gt;""""),ROWS(FILTER(Q$4:Q1101,Q$4:Q1101&lt;&gt;""""))),$AD$5+S1102))"),"")</f>
        <v/>
      </c>
      <c r="U1102" s="10" t="str">
        <f>IFERROR(__xludf.DUMMYFUNCTION("IF(COUNTA(Q1102:Q1350)=0,"""",IF(Q1102="""",0,IF(REGEXMATCH(Q1102,""^Sell_""),-ROUNDDOWN(ROUNDUP(INDEX(Upgrades!$C$3:$C$13,MATCH(SUBSTITUTE(Q1102,""Sell_"",""""),Upgrades!$B$3:$B$13,0))*1.15^(COUNTIF(Q$4:Q1101,SUBSTITUTE(Q1102,""Sell_"",""""))-COUNTIF(Q$4"&amp;":Q1101,""Sell_""&amp;SUBSTITUTE(Q1102,""Sell_"",""""))))/2),ROUNDUP(INDEX(Upgrades!$C$3:$C$13,MATCH(Q1102,Upgrades!$B$3:$B$13,0))*1.15^(COUNTIF(Q$4:Q1101,Q1102)-COUNTIF(Q$4:Q1101,""Sell_""&amp;Q1102))))))"),"")</f>
        <v/>
      </c>
      <c r="V1102" s="10" t="str">
        <f t="shared" si="11"/>
        <v/>
      </c>
      <c r="W1102" s="68" t="str">
        <f t="shared" si="12"/>
        <v/>
      </c>
      <c r="X1102" s="59" t="str">
        <f t="shared" si="13"/>
        <v/>
      </c>
      <c r="Y1102" s="69" t="str">
        <f t="shared" si="14"/>
        <v/>
      </c>
      <c r="Z1102" s="11"/>
    </row>
    <row r="1103">
      <c r="A1103" s="8"/>
      <c r="B1103" s="56" t="str">
        <f t="shared" si="2"/>
        <v/>
      </c>
      <c r="C1103" s="57"/>
      <c r="D1103" s="10" t="str">
        <f>IFERROR(__xludf.DUMMYFUNCTION("IF(COUNTA(C1103:C1350)=0,"""",IF(ISBLANK(C1103),FALSE,IF(NOT(COUNTIF($AA$24:$AA$34,SUBSTITUTE(C1103,""Sell_"",""""))),1,IF(REGEXMATCH(C1103,""Sell_""),IF(COUNTIF(C$4:C1103,SUBSTITUTE(C1103,""Sell_"",""""))-COUNTIF(C$4:C1102,C1103)&lt;1,1),FALSE))))"),"")</f>
        <v/>
      </c>
      <c r="E1103" s="59" t="str">
        <f t="array" ref="E1103">IF(COUNTA(C1103:C1350)=0,"",SUM((COUNTIF(C$4:C1103,Upgrades!$B$3:$B$13)-COUNTIF(C$4:C1103,"Sell_"&amp;Upgrades!$B$3:$B$13))*Upgrades!$D$3:$D$13))</f>
        <v/>
      </c>
      <c r="F1103" s="66" t="str">
        <f>IFERROR(__xludf.DUMMYFUNCTION("IF(COUNTA(C1103:C1350)=0,"""",IF(REGEXMATCH(INDEX(FILTER(C$4:C1103,C$4:C1103&lt;&gt;""""),ROWS(FILTER(C$4:C1103,C$4:C1103&lt;&gt;""""))),""^Sell_""),INDEX(FILTER(F$4:F1102,C$4:C1102&lt;&gt;""""),ROWS(FILTER(C$4:C1102,C$4:C1102&lt;&gt;""""))),$AC$5+E1103))"),"")</f>
        <v/>
      </c>
      <c r="G1103" s="10" t="str">
        <f>IFERROR(__xludf.DUMMYFUNCTION("IF(COUNTA(C1103:C1350)=0,"""",IF(C1103="""",0,IF(REGEXMATCH(C1103,""^Sell_""),-ROUNDDOWN(ROUNDUP(INDEX(Upgrades!$C$3:$C$13,MATCH(SUBSTITUTE(C1103,""Sell_"",""""),Upgrades!$B$3:$B$13,0))*1.15^(COUNTIF(C$4:C1102,SUBSTITUTE(C1103,""Sell_"",""""))-COUNTIF(C$4"&amp;":C1102,""Sell_""&amp;SUBSTITUTE(C1103,""Sell_"",""""))))/2),ROUNDUP(INDEX(Upgrades!$C$3:$C$13,MATCH(C1103,Upgrades!$B$3:$B$13,0))*1.15^(COUNTIF(C$4:C1102,C1103)-COUNTIF(C$4:C1102,""Sell_""&amp;C1103))))))"),"")</f>
        <v/>
      </c>
      <c r="H1103" s="10" t="str">
        <f t="shared" si="3"/>
        <v/>
      </c>
      <c r="I1103" s="68" t="str">
        <f t="shared" si="4"/>
        <v/>
      </c>
      <c r="J1103" s="59" t="str">
        <f t="shared" si="5"/>
        <v/>
      </c>
      <c r="K1103" s="69" t="str">
        <f t="shared" si="6"/>
        <v/>
      </c>
      <c r="L1103" s="60" t="str">
        <f t="shared" si="7"/>
        <v/>
      </c>
      <c r="M1103" s="61" t="str">
        <f>IFERROR(__xludf.DUMMYFUNCTION("IFS(AND(COUNTA(C1103:C1350)=0,COUNTA(Q1103:Q1350)=0),"""",OR(AND(K1103&gt;=1000000000,OR(Y1103&gt;=1000000000,COUNTA(Q1103:Q1350)=0)),OR(Y1103&gt;=1000000000,AND(COUNTA(C1103:C1350)=0,P$3=TRUE))),
ROUNDDOWN((AB$1-AC$1)*MAX(INDEX(T$4:T1350,MATCH(LARGE(FILTER(Y$4:Y1"&amp;"350,Y$4:Y1350&lt;1000000000),1),Y$4:Y1350)),INDEX(F$4:F1350,MATCH(LARGE(FILTER(K$4:K1350,K$4:K1350&lt;1000000000),1),K$4:K1350)))),AND(K1103&lt;1000000000,COUNTA(C1103:C1350)&gt;0,P$3=FALSE),
ROUNDDOWN(INDEX(Y$4:Y1350,MATCH(LARGE(FILTER(W$4:W1350,W$4:W1350&lt;=I1103),1)"&amp;",W$4:W1350))+(I1103-LARGE(FILTER(W$4:W1350,W$4:W1350&lt;=I1103),1))*INDEX(T$4:T1350,MATCH(LARGE(FILTER(W$4:W1350,W$4:W1350&lt;=I1103),1),W$4:W1350))-K1103),1,
ROUNDDOWN(Y1103-INDEX(K$4:K1350,MATCH(LARGE(FILTER(I$4:I1350,I$4:I1350&lt;=W1103),1),I$4:I1350))-(W1103-L"&amp;"ARGE(FILTER(I$4:I1350,I$4:I1350&lt;=W1103),1))*INDEX(F$4:F1350,MATCH(LARGE(FILTER(I$4:I1350,I$4:I1350&lt;=W1103),1),I$4:I1350))))"),"")</f>
        <v/>
      </c>
      <c r="N1103" s="60" t="str">
        <f t="shared" si="8"/>
        <v/>
      </c>
      <c r="O1103" s="61" t="str">
        <f t="shared" si="9"/>
        <v/>
      </c>
      <c r="P1103" s="56" t="str">
        <f t="shared" si="10"/>
        <v/>
      </c>
      <c r="Q1103" s="62"/>
      <c r="R1103" s="10" t="str">
        <f>IFERROR(__xludf.DUMMYFUNCTION("IF(COUNTA(Q1103:Q1350)=0,"""",IF(ISBLANK(Q1103),FALSE,IF(NOT(COUNTIF($AA$24:$AA$34,SUBSTITUTE(Q1103,""Sell_"",""""))),1,IF(REGEXMATCH(Q1103,""Sell_""),IF(COUNTIF(Q$4:Q1103,SUBSTITUTE(Q1103,""Sell_"",""""))-COUNTIF(Q$4:Q1102,Q1103)&lt;1,1),FALSE))))"),"")</f>
        <v/>
      </c>
      <c r="S1103" s="59" t="str">
        <f t="array" ref="S1103">IF(COUNTA(Q1103:Q1350)=0,"",SUM((COUNTIF(Q$4:Q1103,Upgrades!$B$3:$B$13)-COUNTIF(Q$4:Q1103,"Sell_"&amp;Upgrades!$B$3:$B$13))*Upgrades!$D$3:$D$13))</f>
        <v/>
      </c>
      <c r="T1103" s="66" t="str">
        <f>IFERROR(__xludf.DUMMYFUNCTION("IF(COUNTA(Q1103:Q1350)=0,"""",IF(REGEXMATCH(INDEX(FILTER(Q$4:Q1103,Q$4:Q1103&lt;&gt;""""),ROWS(FILTER(Q$4:Q1103,Q$4:Q1103&lt;&gt;""""))),""^Sell_""),INDEX(FILTER(T$4:T1102,Q$4:Q1102&lt;&gt;""""),ROWS(FILTER(Q$4:Q1102,Q$4:Q1102&lt;&gt;""""))),$AD$5+S1103))"),"")</f>
        <v/>
      </c>
      <c r="U1103" s="10" t="str">
        <f>IFERROR(__xludf.DUMMYFUNCTION("IF(COUNTA(Q1103:Q1350)=0,"""",IF(Q1103="""",0,IF(REGEXMATCH(Q1103,""^Sell_""),-ROUNDDOWN(ROUNDUP(INDEX(Upgrades!$C$3:$C$13,MATCH(SUBSTITUTE(Q1103,""Sell_"",""""),Upgrades!$B$3:$B$13,0))*1.15^(COUNTIF(Q$4:Q1102,SUBSTITUTE(Q1103,""Sell_"",""""))-COUNTIF(Q$4"&amp;":Q1102,""Sell_""&amp;SUBSTITUTE(Q1103,""Sell_"",""""))))/2),ROUNDUP(INDEX(Upgrades!$C$3:$C$13,MATCH(Q1103,Upgrades!$B$3:$B$13,0))*1.15^(COUNTIF(Q$4:Q1102,Q1103)-COUNTIF(Q$4:Q1102,""Sell_""&amp;Q1103))))))"),"")</f>
        <v/>
      </c>
      <c r="V1103" s="10" t="str">
        <f t="shared" si="11"/>
        <v/>
      </c>
      <c r="W1103" s="68" t="str">
        <f t="shared" si="12"/>
        <v/>
      </c>
      <c r="X1103" s="59" t="str">
        <f t="shared" si="13"/>
        <v/>
      </c>
      <c r="Y1103" s="69" t="str">
        <f t="shared" si="14"/>
        <v/>
      </c>
      <c r="Z1103" s="11"/>
    </row>
    <row r="1104">
      <c r="A1104" s="8"/>
      <c r="B1104" s="56" t="str">
        <f t="shared" si="2"/>
        <v/>
      </c>
      <c r="C1104" s="57"/>
      <c r="D1104" s="10" t="str">
        <f>IFERROR(__xludf.DUMMYFUNCTION("IF(COUNTA(C1104:C1350)=0,"""",IF(ISBLANK(C1104),FALSE,IF(NOT(COUNTIF($AA$24:$AA$34,SUBSTITUTE(C1104,""Sell_"",""""))),1,IF(REGEXMATCH(C1104,""Sell_""),IF(COUNTIF(C$4:C1104,SUBSTITUTE(C1104,""Sell_"",""""))-COUNTIF(C$4:C1103,C1104)&lt;1,1),FALSE))))"),"")</f>
        <v/>
      </c>
      <c r="E1104" s="59" t="str">
        <f t="array" ref="E1104">IF(COUNTA(C1104:C1350)=0,"",SUM((COUNTIF(C$4:C1104,Upgrades!$B$3:$B$13)-COUNTIF(C$4:C1104,"Sell_"&amp;Upgrades!$B$3:$B$13))*Upgrades!$D$3:$D$13))</f>
        <v/>
      </c>
      <c r="F1104" s="66" t="str">
        <f>IFERROR(__xludf.DUMMYFUNCTION("IF(COUNTA(C1104:C1350)=0,"""",IF(REGEXMATCH(INDEX(FILTER(C$4:C1104,C$4:C1104&lt;&gt;""""),ROWS(FILTER(C$4:C1104,C$4:C1104&lt;&gt;""""))),""^Sell_""),INDEX(FILTER(F$4:F1103,C$4:C1103&lt;&gt;""""),ROWS(FILTER(C$4:C1103,C$4:C1103&lt;&gt;""""))),$AC$5+E1104))"),"")</f>
        <v/>
      </c>
      <c r="G1104" s="10" t="str">
        <f>IFERROR(__xludf.DUMMYFUNCTION("IF(COUNTA(C1104:C1350)=0,"""",IF(C1104="""",0,IF(REGEXMATCH(C1104,""^Sell_""),-ROUNDDOWN(ROUNDUP(INDEX(Upgrades!$C$3:$C$13,MATCH(SUBSTITUTE(C1104,""Sell_"",""""),Upgrades!$B$3:$B$13,0))*1.15^(COUNTIF(C$4:C1103,SUBSTITUTE(C1104,""Sell_"",""""))-COUNTIF(C$4"&amp;":C1103,""Sell_""&amp;SUBSTITUTE(C1104,""Sell_"",""""))))/2),ROUNDUP(INDEX(Upgrades!$C$3:$C$13,MATCH(C1104,Upgrades!$B$3:$B$13,0))*1.15^(COUNTIF(C$4:C1103,C1104)-COUNTIF(C$4:C1103,""Sell_""&amp;C1104))))))"),"")</f>
        <v/>
      </c>
      <c r="H1104" s="10" t="str">
        <f t="shared" si="3"/>
        <v/>
      </c>
      <c r="I1104" s="68" t="str">
        <f t="shared" si="4"/>
        <v/>
      </c>
      <c r="J1104" s="59" t="str">
        <f t="shared" si="5"/>
        <v/>
      </c>
      <c r="K1104" s="69" t="str">
        <f t="shared" si="6"/>
        <v/>
      </c>
      <c r="L1104" s="60" t="str">
        <f t="shared" si="7"/>
        <v/>
      </c>
      <c r="M1104" s="61" t="str">
        <f>IFERROR(__xludf.DUMMYFUNCTION("IFS(AND(COUNTA(C1104:C1350)=0,COUNTA(Q1104:Q1350)=0),"""",OR(AND(K1104&gt;=1000000000,OR(Y1104&gt;=1000000000,COUNTA(Q1104:Q1350)=0)),OR(Y1104&gt;=1000000000,AND(COUNTA(C1104:C1350)=0,P$3=TRUE))),
ROUNDDOWN((AB$1-AC$1)*MAX(INDEX(T$4:T1350,MATCH(LARGE(FILTER(Y$4:Y1"&amp;"350,Y$4:Y1350&lt;1000000000),1),Y$4:Y1350)),INDEX(F$4:F1350,MATCH(LARGE(FILTER(K$4:K1350,K$4:K1350&lt;1000000000),1),K$4:K1350)))),AND(K1104&lt;1000000000,COUNTA(C1104:C1350)&gt;0,P$3=FALSE),
ROUNDDOWN(INDEX(Y$4:Y1350,MATCH(LARGE(FILTER(W$4:W1350,W$4:W1350&lt;=I1104),1)"&amp;",W$4:W1350))+(I1104-LARGE(FILTER(W$4:W1350,W$4:W1350&lt;=I1104),1))*INDEX(T$4:T1350,MATCH(LARGE(FILTER(W$4:W1350,W$4:W1350&lt;=I1104),1),W$4:W1350))-K1104),1,
ROUNDDOWN(Y1104-INDEX(K$4:K1350,MATCH(LARGE(FILTER(I$4:I1350,I$4:I1350&lt;=W1104),1),I$4:I1350))-(W1104-L"&amp;"ARGE(FILTER(I$4:I1350,I$4:I1350&lt;=W1104),1))*INDEX(F$4:F1350,MATCH(LARGE(FILTER(I$4:I1350,I$4:I1350&lt;=W1104),1),I$4:I1350))))"),"")</f>
        <v/>
      </c>
      <c r="N1104" s="60" t="str">
        <f t="shared" si="8"/>
        <v/>
      </c>
      <c r="O1104" s="61" t="str">
        <f t="shared" si="9"/>
        <v/>
      </c>
      <c r="P1104" s="56" t="str">
        <f t="shared" si="10"/>
        <v/>
      </c>
      <c r="Q1104" s="62"/>
      <c r="R1104" s="10" t="str">
        <f>IFERROR(__xludf.DUMMYFUNCTION("IF(COUNTA(Q1104:Q1350)=0,"""",IF(ISBLANK(Q1104),FALSE,IF(NOT(COUNTIF($AA$24:$AA$34,SUBSTITUTE(Q1104,""Sell_"",""""))),1,IF(REGEXMATCH(Q1104,""Sell_""),IF(COUNTIF(Q$4:Q1104,SUBSTITUTE(Q1104,""Sell_"",""""))-COUNTIF(Q$4:Q1103,Q1104)&lt;1,1),FALSE))))"),"")</f>
        <v/>
      </c>
      <c r="S1104" s="59" t="str">
        <f t="array" ref="S1104">IF(COUNTA(Q1104:Q1350)=0,"",SUM((COUNTIF(Q$4:Q1104,Upgrades!$B$3:$B$13)-COUNTIF(Q$4:Q1104,"Sell_"&amp;Upgrades!$B$3:$B$13))*Upgrades!$D$3:$D$13))</f>
        <v/>
      </c>
      <c r="T1104" s="66" t="str">
        <f>IFERROR(__xludf.DUMMYFUNCTION("IF(COUNTA(Q1104:Q1350)=0,"""",IF(REGEXMATCH(INDEX(FILTER(Q$4:Q1104,Q$4:Q1104&lt;&gt;""""),ROWS(FILTER(Q$4:Q1104,Q$4:Q1104&lt;&gt;""""))),""^Sell_""),INDEX(FILTER(T$4:T1103,Q$4:Q1103&lt;&gt;""""),ROWS(FILTER(Q$4:Q1103,Q$4:Q1103&lt;&gt;""""))),$AD$5+S1104))"),"")</f>
        <v/>
      </c>
      <c r="U1104" s="10" t="str">
        <f>IFERROR(__xludf.DUMMYFUNCTION("IF(COUNTA(Q1104:Q1350)=0,"""",IF(Q1104="""",0,IF(REGEXMATCH(Q1104,""^Sell_""),-ROUNDDOWN(ROUNDUP(INDEX(Upgrades!$C$3:$C$13,MATCH(SUBSTITUTE(Q1104,""Sell_"",""""),Upgrades!$B$3:$B$13,0))*1.15^(COUNTIF(Q$4:Q1103,SUBSTITUTE(Q1104,""Sell_"",""""))-COUNTIF(Q$4"&amp;":Q1103,""Sell_""&amp;SUBSTITUTE(Q1104,""Sell_"",""""))))/2),ROUNDUP(INDEX(Upgrades!$C$3:$C$13,MATCH(Q1104,Upgrades!$B$3:$B$13,0))*1.15^(COUNTIF(Q$4:Q1103,Q1104)-COUNTIF(Q$4:Q1103,""Sell_""&amp;Q1104))))))"),"")</f>
        <v/>
      </c>
      <c r="V1104" s="10" t="str">
        <f t="shared" si="11"/>
        <v/>
      </c>
      <c r="W1104" s="68" t="str">
        <f t="shared" si="12"/>
        <v/>
      </c>
      <c r="X1104" s="59" t="str">
        <f t="shared" si="13"/>
        <v/>
      </c>
      <c r="Y1104" s="69" t="str">
        <f t="shared" si="14"/>
        <v/>
      </c>
      <c r="Z1104" s="11"/>
    </row>
    <row r="1105">
      <c r="A1105" s="8"/>
      <c r="B1105" s="56" t="str">
        <f t="shared" si="2"/>
        <v/>
      </c>
      <c r="C1105" s="57"/>
      <c r="D1105" s="10" t="str">
        <f>IFERROR(__xludf.DUMMYFUNCTION("IF(COUNTA(C1105:C1350)=0,"""",IF(ISBLANK(C1105),FALSE,IF(NOT(COUNTIF($AA$24:$AA$34,SUBSTITUTE(C1105,""Sell_"",""""))),1,IF(REGEXMATCH(C1105,""Sell_""),IF(COUNTIF(C$4:C1105,SUBSTITUTE(C1105,""Sell_"",""""))-COUNTIF(C$4:C1104,C1105)&lt;1,1),FALSE))))"),"")</f>
        <v/>
      </c>
      <c r="E1105" s="59" t="str">
        <f t="array" ref="E1105">IF(COUNTA(C1105:C1350)=0,"",SUM((COUNTIF(C$4:C1105,Upgrades!$B$3:$B$13)-COUNTIF(C$4:C1105,"Sell_"&amp;Upgrades!$B$3:$B$13))*Upgrades!$D$3:$D$13))</f>
        <v/>
      </c>
      <c r="F1105" s="66" t="str">
        <f>IFERROR(__xludf.DUMMYFUNCTION("IF(COUNTA(C1105:C1350)=0,"""",IF(REGEXMATCH(INDEX(FILTER(C$4:C1105,C$4:C1105&lt;&gt;""""),ROWS(FILTER(C$4:C1105,C$4:C1105&lt;&gt;""""))),""^Sell_""),INDEX(FILTER(F$4:F1104,C$4:C1104&lt;&gt;""""),ROWS(FILTER(C$4:C1104,C$4:C1104&lt;&gt;""""))),$AC$5+E1105))"),"")</f>
        <v/>
      </c>
      <c r="G1105" s="10" t="str">
        <f>IFERROR(__xludf.DUMMYFUNCTION("IF(COUNTA(C1105:C1350)=0,"""",IF(C1105="""",0,IF(REGEXMATCH(C1105,""^Sell_""),-ROUNDDOWN(ROUNDUP(INDEX(Upgrades!$C$3:$C$13,MATCH(SUBSTITUTE(C1105,""Sell_"",""""),Upgrades!$B$3:$B$13,0))*1.15^(COUNTIF(C$4:C1104,SUBSTITUTE(C1105,""Sell_"",""""))-COUNTIF(C$4"&amp;":C1104,""Sell_""&amp;SUBSTITUTE(C1105,""Sell_"",""""))))/2),ROUNDUP(INDEX(Upgrades!$C$3:$C$13,MATCH(C1105,Upgrades!$B$3:$B$13,0))*1.15^(COUNTIF(C$4:C1104,C1105)-COUNTIF(C$4:C1104,""Sell_""&amp;C1105))))))"),"")</f>
        <v/>
      </c>
      <c r="H1105" s="10" t="str">
        <f t="shared" si="3"/>
        <v/>
      </c>
      <c r="I1105" s="68" t="str">
        <f t="shared" si="4"/>
        <v/>
      </c>
      <c r="J1105" s="59" t="str">
        <f t="shared" si="5"/>
        <v/>
      </c>
      <c r="K1105" s="69" t="str">
        <f t="shared" si="6"/>
        <v/>
      </c>
      <c r="L1105" s="60" t="str">
        <f t="shared" si="7"/>
        <v/>
      </c>
      <c r="M1105" s="61" t="str">
        <f>IFERROR(__xludf.DUMMYFUNCTION("IFS(AND(COUNTA(C1105:C1350)=0,COUNTA(Q1105:Q1350)=0),"""",OR(AND(K1105&gt;=1000000000,OR(Y1105&gt;=1000000000,COUNTA(Q1105:Q1350)=0)),OR(Y1105&gt;=1000000000,AND(COUNTA(C1105:C1350)=0,P$3=TRUE))),
ROUNDDOWN((AB$1-AC$1)*MAX(INDEX(T$4:T1350,MATCH(LARGE(FILTER(Y$4:Y1"&amp;"350,Y$4:Y1350&lt;1000000000),1),Y$4:Y1350)),INDEX(F$4:F1350,MATCH(LARGE(FILTER(K$4:K1350,K$4:K1350&lt;1000000000),1),K$4:K1350)))),AND(K1105&lt;1000000000,COUNTA(C1105:C1350)&gt;0,P$3=FALSE),
ROUNDDOWN(INDEX(Y$4:Y1350,MATCH(LARGE(FILTER(W$4:W1350,W$4:W1350&lt;=I1105),1)"&amp;",W$4:W1350))+(I1105-LARGE(FILTER(W$4:W1350,W$4:W1350&lt;=I1105),1))*INDEX(T$4:T1350,MATCH(LARGE(FILTER(W$4:W1350,W$4:W1350&lt;=I1105),1),W$4:W1350))-K1105),1,
ROUNDDOWN(Y1105-INDEX(K$4:K1350,MATCH(LARGE(FILTER(I$4:I1350,I$4:I1350&lt;=W1105),1),I$4:I1350))-(W1105-L"&amp;"ARGE(FILTER(I$4:I1350,I$4:I1350&lt;=W1105),1))*INDEX(F$4:F1350,MATCH(LARGE(FILTER(I$4:I1350,I$4:I1350&lt;=W1105),1),I$4:I1350))))"),"")</f>
        <v/>
      </c>
      <c r="N1105" s="60" t="str">
        <f t="shared" si="8"/>
        <v/>
      </c>
      <c r="O1105" s="61" t="str">
        <f t="shared" si="9"/>
        <v/>
      </c>
      <c r="P1105" s="56" t="str">
        <f t="shared" si="10"/>
        <v/>
      </c>
      <c r="Q1105" s="62"/>
      <c r="R1105" s="10" t="str">
        <f>IFERROR(__xludf.DUMMYFUNCTION("IF(COUNTA(Q1105:Q1350)=0,"""",IF(ISBLANK(Q1105),FALSE,IF(NOT(COUNTIF($AA$24:$AA$34,SUBSTITUTE(Q1105,""Sell_"",""""))),1,IF(REGEXMATCH(Q1105,""Sell_""),IF(COUNTIF(Q$4:Q1105,SUBSTITUTE(Q1105,""Sell_"",""""))-COUNTIF(Q$4:Q1104,Q1105)&lt;1,1),FALSE))))"),"")</f>
        <v/>
      </c>
      <c r="S1105" s="59" t="str">
        <f t="array" ref="S1105">IF(COUNTA(Q1105:Q1350)=0,"",SUM((COUNTIF(Q$4:Q1105,Upgrades!$B$3:$B$13)-COUNTIF(Q$4:Q1105,"Sell_"&amp;Upgrades!$B$3:$B$13))*Upgrades!$D$3:$D$13))</f>
        <v/>
      </c>
      <c r="T1105" s="66" t="str">
        <f>IFERROR(__xludf.DUMMYFUNCTION("IF(COUNTA(Q1105:Q1350)=0,"""",IF(REGEXMATCH(INDEX(FILTER(Q$4:Q1105,Q$4:Q1105&lt;&gt;""""),ROWS(FILTER(Q$4:Q1105,Q$4:Q1105&lt;&gt;""""))),""^Sell_""),INDEX(FILTER(T$4:T1104,Q$4:Q1104&lt;&gt;""""),ROWS(FILTER(Q$4:Q1104,Q$4:Q1104&lt;&gt;""""))),$AD$5+S1105))"),"")</f>
        <v/>
      </c>
      <c r="U1105" s="10" t="str">
        <f>IFERROR(__xludf.DUMMYFUNCTION("IF(COUNTA(Q1105:Q1350)=0,"""",IF(Q1105="""",0,IF(REGEXMATCH(Q1105,""^Sell_""),-ROUNDDOWN(ROUNDUP(INDEX(Upgrades!$C$3:$C$13,MATCH(SUBSTITUTE(Q1105,""Sell_"",""""),Upgrades!$B$3:$B$13,0))*1.15^(COUNTIF(Q$4:Q1104,SUBSTITUTE(Q1105,""Sell_"",""""))-COUNTIF(Q$4"&amp;":Q1104,""Sell_""&amp;SUBSTITUTE(Q1105,""Sell_"",""""))))/2),ROUNDUP(INDEX(Upgrades!$C$3:$C$13,MATCH(Q1105,Upgrades!$B$3:$B$13,0))*1.15^(COUNTIF(Q$4:Q1104,Q1105)-COUNTIF(Q$4:Q1104,""Sell_""&amp;Q1105))))))"),"")</f>
        <v/>
      </c>
      <c r="V1105" s="10" t="str">
        <f t="shared" si="11"/>
        <v/>
      </c>
      <c r="W1105" s="68" t="str">
        <f t="shared" si="12"/>
        <v/>
      </c>
      <c r="X1105" s="59" t="str">
        <f t="shared" si="13"/>
        <v/>
      </c>
      <c r="Y1105" s="69" t="str">
        <f t="shared" si="14"/>
        <v/>
      </c>
      <c r="Z1105" s="11"/>
    </row>
    <row r="1106">
      <c r="A1106" s="8"/>
      <c r="B1106" s="56" t="str">
        <f t="shared" si="2"/>
        <v/>
      </c>
      <c r="C1106" s="57"/>
      <c r="D1106" s="10" t="str">
        <f>IFERROR(__xludf.DUMMYFUNCTION("IF(COUNTA(C1106:C1350)=0,"""",IF(ISBLANK(C1106),FALSE,IF(NOT(COUNTIF($AA$24:$AA$34,SUBSTITUTE(C1106,""Sell_"",""""))),1,IF(REGEXMATCH(C1106,""Sell_""),IF(COUNTIF(C$4:C1106,SUBSTITUTE(C1106,""Sell_"",""""))-COUNTIF(C$4:C1105,C1106)&lt;1,1),FALSE))))"),"")</f>
        <v/>
      </c>
      <c r="E1106" s="59" t="str">
        <f t="array" ref="E1106">IF(COUNTA(C1106:C1350)=0,"",SUM((COUNTIF(C$4:C1106,Upgrades!$B$3:$B$13)-COUNTIF(C$4:C1106,"Sell_"&amp;Upgrades!$B$3:$B$13))*Upgrades!$D$3:$D$13))</f>
        <v/>
      </c>
      <c r="F1106" s="66" t="str">
        <f>IFERROR(__xludf.DUMMYFUNCTION("IF(COUNTA(C1106:C1350)=0,"""",IF(REGEXMATCH(INDEX(FILTER(C$4:C1106,C$4:C1106&lt;&gt;""""),ROWS(FILTER(C$4:C1106,C$4:C1106&lt;&gt;""""))),""^Sell_""),INDEX(FILTER(F$4:F1105,C$4:C1105&lt;&gt;""""),ROWS(FILTER(C$4:C1105,C$4:C1105&lt;&gt;""""))),$AC$5+E1106))"),"")</f>
        <v/>
      </c>
      <c r="G1106" s="10" t="str">
        <f>IFERROR(__xludf.DUMMYFUNCTION("IF(COUNTA(C1106:C1350)=0,"""",IF(C1106="""",0,IF(REGEXMATCH(C1106,""^Sell_""),-ROUNDDOWN(ROUNDUP(INDEX(Upgrades!$C$3:$C$13,MATCH(SUBSTITUTE(C1106,""Sell_"",""""),Upgrades!$B$3:$B$13,0))*1.15^(COUNTIF(C$4:C1105,SUBSTITUTE(C1106,""Sell_"",""""))-COUNTIF(C$4"&amp;":C1105,""Sell_""&amp;SUBSTITUTE(C1106,""Sell_"",""""))))/2),ROUNDUP(INDEX(Upgrades!$C$3:$C$13,MATCH(C1106,Upgrades!$B$3:$B$13,0))*1.15^(COUNTIF(C$4:C1105,C1106)-COUNTIF(C$4:C1105,""Sell_""&amp;C1106))))))"),"")</f>
        <v/>
      </c>
      <c r="H1106" s="10" t="str">
        <f t="shared" si="3"/>
        <v/>
      </c>
      <c r="I1106" s="68" t="str">
        <f t="shared" si="4"/>
        <v/>
      </c>
      <c r="J1106" s="59" t="str">
        <f t="shared" si="5"/>
        <v/>
      </c>
      <c r="K1106" s="69" t="str">
        <f t="shared" si="6"/>
        <v/>
      </c>
      <c r="L1106" s="60" t="str">
        <f t="shared" si="7"/>
        <v/>
      </c>
      <c r="M1106" s="61" t="str">
        <f>IFERROR(__xludf.DUMMYFUNCTION("IFS(AND(COUNTA(C1106:C1350)=0,COUNTA(Q1106:Q1350)=0),"""",OR(AND(K1106&gt;=1000000000,OR(Y1106&gt;=1000000000,COUNTA(Q1106:Q1350)=0)),OR(Y1106&gt;=1000000000,AND(COUNTA(C1106:C1350)=0,P$3=TRUE))),
ROUNDDOWN((AB$1-AC$1)*MAX(INDEX(T$4:T1350,MATCH(LARGE(FILTER(Y$4:Y1"&amp;"350,Y$4:Y1350&lt;1000000000),1),Y$4:Y1350)),INDEX(F$4:F1350,MATCH(LARGE(FILTER(K$4:K1350,K$4:K1350&lt;1000000000),1),K$4:K1350)))),AND(K1106&lt;1000000000,COUNTA(C1106:C1350)&gt;0,P$3=FALSE),
ROUNDDOWN(INDEX(Y$4:Y1350,MATCH(LARGE(FILTER(W$4:W1350,W$4:W1350&lt;=I1106),1)"&amp;",W$4:W1350))+(I1106-LARGE(FILTER(W$4:W1350,W$4:W1350&lt;=I1106),1))*INDEX(T$4:T1350,MATCH(LARGE(FILTER(W$4:W1350,W$4:W1350&lt;=I1106),1),W$4:W1350))-K1106),1,
ROUNDDOWN(Y1106-INDEX(K$4:K1350,MATCH(LARGE(FILTER(I$4:I1350,I$4:I1350&lt;=W1106),1),I$4:I1350))-(W1106-L"&amp;"ARGE(FILTER(I$4:I1350,I$4:I1350&lt;=W1106),1))*INDEX(F$4:F1350,MATCH(LARGE(FILTER(I$4:I1350,I$4:I1350&lt;=W1106),1),I$4:I1350))))"),"")</f>
        <v/>
      </c>
      <c r="N1106" s="60" t="str">
        <f t="shared" si="8"/>
        <v/>
      </c>
      <c r="O1106" s="61" t="str">
        <f t="shared" si="9"/>
        <v/>
      </c>
      <c r="P1106" s="56" t="str">
        <f t="shared" si="10"/>
        <v/>
      </c>
      <c r="Q1106" s="62"/>
      <c r="R1106" s="10" t="str">
        <f>IFERROR(__xludf.DUMMYFUNCTION("IF(COUNTA(Q1106:Q1350)=0,"""",IF(ISBLANK(Q1106),FALSE,IF(NOT(COUNTIF($AA$24:$AA$34,SUBSTITUTE(Q1106,""Sell_"",""""))),1,IF(REGEXMATCH(Q1106,""Sell_""),IF(COUNTIF(Q$4:Q1106,SUBSTITUTE(Q1106,""Sell_"",""""))-COUNTIF(Q$4:Q1105,Q1106)&lt;1,1),FALSE))))"),"")</f>
        <v/>
      </c>
      <c r="S1106" s="59" t="str">
        <f t="array" ref="S1106">IF(COUNTA(Q1106:Q1350)=0,"",SUM((COUNTIF(Q$4:Q1106,Upgrades!$B$3:$B$13)-COUNTIF(Q$4:Q1106,"Sell_"&amp;Upgrades!$B$3:$B$13))*Upgrades!$D$3:$D$13))</f>
        <v/>
      </c>
      <c r="T1106" s="66" t="str">
        <f>IFERROR(__xludf.DUMMYFUNCTION("IF(COUNTA(Q1106:Q1350)=0,"""",IF(REGEXMATCH(INDEX(FILTER(Q$4:Q1106,Q$4:Q1106&lt;&gt;""""),ROWS(FILTER(Q$4:Q1106,Q$4:Q1106&lt;&gt;""""))),""^Sell_""),INDEX(FILTER(T$4:T1105,Q$4:Q1105&lt;&gt;""""),ROWS(FILTER(Q$4:Q1105,Q$4:Q1105&lt;&gt;""""))),$AD$5+S1106))"),"")</f>
        <v/>
      </c>
      <c r="U1106" s="10" t="str">
        <f>IFERROR(__xludf.DUMMYFUNCTION("IF(COUNTA(Q1106:Q1350)=0,"""",IF(Q1106="""",0,IF(REGEXMATCH(Q1106,""^Sell_""),-ROUNDDOWN(ROUNDUP(INDEX(Upgrades!$C$3:$C$13,MATCH(SUBSTITUTE(Q1106,""Sell_"",""""),Upgrades!$B$3:$B$13,0))*1.15^(COUNTIF(Q$4:Q1105,SUBSTITUTE(Q1106,""Sell_"",""""))-COUNTIF(Q$4"&amp;":Q1105,""Sell_""&amp;SUBSTITUTE(Q1106,""Sell_"",""""))))/2),ROUNDUP(INDEX(Upgrades!$C$3:$C$13,MATCH(Q1106,Upgrades!$B$3:$B$13,0))*1.15^(COUNTIF(Q$4:Q1105,Q1106)-COUNTIF(Q$4:Q1105,""Sell_""&amp;Q1106))))))"),"")</f>
        <v/>
      </c>
      <c r="V1106" s="10" t="str">
        <f t="shared" si="11"/>
        <v/>
      </c>
      <c r="W1106" s="68" t="str">
        <f t="shared" si="12"/>
        <v/>
      </c>
      <c r="X1106" s="59" t="str">
        <f t="shared" si="13"/>
        <v/>
      </c>
      <c r="Y1106" s="69" t="str">
        <f t="shared" si="14"/>
        <v/>
      </c>
      <c r="Z1106" s="11"/>
    </row>
    <row r="1107">
      <c r="A1107" s="8"/>
      <c r="B1107" s="56" t="str">
        <f t="shared" si="2"/>
        <v/>
      </c>
      <c r="C1107" s="57"/>
      <c r="D1107" s="10" t="str">
        <f>IFERROR(__xludf.DUMMYFUNCTION("IF(COUNTA(C1107:C1350)=0,"""",IF(ISBLANK(C1107),FALSE,IF(NOT(COUNTIF($AA$24:$AA$34,SUBSTITUTE(C1107,""Sell_"",""""))),1,IF(REGEXMATCH(C1107,""Sell_""),IF(COUNTIF(C$4:C1107,SUBSTITUTE(C1107,""Sell_"",""""))-COUNTIF(C$4:C1106,C1107)&lt;1,1),FALSE))))"),"")</f>
        <v/>
      </c>
      <c r="E1107" s="59" t="str">
        <f t="array" ref="E1107">IF(COUNTA(C1107:C1350)=0,"",SUM((COUNTIF(C$4:C1107,Upgrades!$B$3:$B$13)-COUNTIF(C$4:C1107,"Sell_"&amp;Upgrades!$B$3:$B$13))*Upgrades!$D$3:$D$13))</f>
        <v/>
      </c>
      <c r="F1107" s="66" t="str">
        <f>IFERROR(__xludf.DUMMYFUNCTION("IF(COUNTA(C1107:C1350)=0,"""",IF(REGEXMATCH(INDEX(FILTER(C$4:C1107,C$4:C1107&lt;&gt;""""),ROWS(FILTER(C$4:C1107,C$4:C1107&lt;&gt;""""))),""^Sell_""),INDEX(FILTER(F$4:F1106,C$4:C1106&lt;&gt;""""),ROWS(FILTER(C$4:C1106,C$4:C1106&lt;&gt;""""))),$AC$5+E1107))"),"")</f>
        <v/>
      </c>
      <c r="G1107" s="10" t="str">
        <f>IFERROR(__xludf.DUMMYFUNCTION("IF(COUNTA(C1107:C1350)=0,"""",IF(C1107="""",0,IF(REGEXMATCH(C1107,""^Sell_""),-ROUNDDOWN(ROUNDUP(INDEX(Upgrades!$C$3:$C$13,MATCH(SUBSTITUTE(C1107,""Sell_"",""""),Upgrades!$B$3:$B$13,0))*1.15^(COUNTIF(C$4:C1106,SUBSTITUTE(C1107,""Sell_"",""""))-COUNTIF(C$4"&amp;":C1106,""Sell_""&amp;SUBSTITUTE(C1107,""Sell_"",""""))))/2),ROUNDUP(INDEX(Upgrades!$C$3:$C$13,MATCH(C1107,Upgrades!$B$3:$B$13,0))*1.15^(COUNTIF(C$4:C1106,C1107)-COUNTIF(C$4:C1106,""Sell_""&amp;C1107))))))"),"")</f>
        <v/>
      </c>
      <c r="H1107" s="10" t="str">
        <f t="shared" si="3"/>
        <v/>
      </c>
      <c r="I1107" s="68" t="str">
        <f t="shared" si="4"/>
        <v/>
      </c>
      <c r="J1107" s="59" t="str">
        <f t="shared" si="5"/>
        <v/>
      </c>
      <c r="K1107" s="69" t="str">
        <f t="shared" si="6"/>
        <v/>
      </c>
      <c r="L1107" s="60" t="str">
        <f t="shared" si="7"/>
        <v/>
      </c>
      <c r="M1107" s="61" t="str">
        <f>IFERROR(__xludf.DUMMYFUNCTION("IFS(AND(COUNTA(C1107:C1350)=0,COUNTA(Q1107:Q1350)=0),"""",OR(AND(K1107&gt;=1000000000,OR(Y1107&gt;=1000000000,COUNTA(Q1107:Q1350)=0)),OR(Y1107&gt;=1000000000,AND(COUNTA(C1107:C1350)=0,P$3=TRUE))),
ROUNDDOWN((AB$1-AC$1)*MAX(INDEX(T$4:T1350,MATCH(LARGE(FILTER(Y$4:Y1"&amp;"350,Y$4:Y1350&lt;1000000000),1),Y$4:Y1350)),INDEX(F$4:F1350,MATCH(LARGE(FILTER(K$4:K1350,K$4:K1350&lt;1000000000),1),K$4:K1350)))),AND(K1107&lt;1000000000,COUNTA(C1107:C1350)&gt;0,P$3=FALSE),
ROUNDDOWN(INDEX(Y$4:Y1350,MATCH(LARGE(FILTER(W$4:W1350,W$4:W1350&lt;=I1107),1)"&amp;",W$4:W1350))+(I1107-LARGE(FILTER(W$4:W1350,W$4:W1350&lt;=I1107),1))*INDEX(T$4:T1350,MATCH(LARGE(FILTER(W$4:W1350,W$4:W1350&lt;=I1107),1),W$4:W1350))-K1107),1,
ROUNDDOWN(Y1107-INDEX(K$4:K1350,MATCH(LARGE(FILTER(I$4:I1350,I$4:I1350&lt;=W1107),1),I$4:I1350))-(W1107-L"&amp;"ARGE(FILTER(I$4:I1350,I$4:I1350&lt;=W1107),1))*INDEX(F$4:F1350,MATCH(LARGE(FILTER(I$4:I1350,I$4:I1350&lt;=W1107),1),I$4:I1350))))"),"")</f>
        <v/>
      </c>
      <c r="N1107" s="60" t="str">
        <f t="shared" si="8"/>
        <v/>
      </c>
      <c r="O1107" s="61" t="str">
        <f t="shared" si="9"/>
        <v/>
      </c>
      <c r="P1107" s="56" t="str">
        <f t="shared" si="10"/>
        <v/>
      </c>
      <c r="Q1107" s="62"/>
      <c r="R1107" s="10" t="str">
        <f>IFERROR(__xludf.DUMMYFUNCTION("IF(COUNTA(Q1107:Q1350)=0,"""",IF(ISBLANK(Q1107),FALSE,IF(NOT(COUNTIF($AA$24:$AA$34,SUBSTITUTE(Q1107,""Sell_"",""""))),1,IF(REGEXMATCH(Q1107,""Sell_""),IF(COUNTIF(Q$4:Q1107,SUBSTITUTE(Q1107,""Sell_"",""""))-COUNTIF(Q$4:Q1106,Q1107)&lt;1,1),FALSE))))"),"")</f>
        <v/>
      </c>
      <c r="S1107" s="59" t="str">
        <f t="array" ref="S1107">IF(COUNTA(Q1107:Q1350)=0,"",SUM((COUNTIF(Q$4:Q1107,Upgrades!$B$3:$B$13)-COUNTIF(Q$4:Q1107,"Sell_"&amp;Upgrades!$B$3:$B$13))*Upgrades!$D$3:$D$13))</f>
        <v/>
      </c>
      <c r="T1107" s="66" t="str">
        <f>IFERROR(__xludf.DUMMYFUNCTION("IF(COUNTA(Q1107:Q1350)=0,"""",IF(REGEXMATCH(INDEX(FILTER(Q$4:Q1107,Q$4:Q1107&lt;&gt;""""),ROWS(FILTER(Q$4:Q1107,Q$4:Q1107&lt;&gt;""""))),""^Sell_""),INDEX(FILTER(T$4:T1106,Q$4:Q1106&lt;&gt;""""),ROWS(FILTER(Q$4:Q1106,Q$4:Q1106&lt;&gt;""""))),$AD$5+S1107))"),"")</f>
        <v/>
      </c>
      <c r="U1107" s="10" t="str">
        <f>IFERROR(__xludf.DUMMYFUNCTION("IF(COUNTA(Q1107:Q1350)=0,"""",IF(Q1107="""",0,IF(REGEXMATCH(Q1107,""^Sell_""),-ROUNDDOWN(ROUNDUP(INDEX(Upgrades!$C$3:$C$13,MATCH(SUBSTITUTE(Q1107,""Sell_"",""""),Upgrades!$B$3:$B$13,0))*1.15^(COUNTIF(Q$4:Q1106,SUBSTITUTE(Q1107,""Sell_"",""""))-COUNTIF(Q$4"&amp;":Q1106,""Sell_""&amp;SUBSTITUTE(Q1107,""Sell_"",""""))))/2),ROUNDUP(INDEX(Upgrades!$C$3:$C$13,MATCH(Q1107,Upgrades!$B$3:$B$13,0))*1.15^(COUNTIF(Q$4:Q1106,Q1107)-COUNTIF(Q$4:Q1106,""Sell_""&amp;Q1107))))))"),"")</f>
        <v/>
      </c>
      <c r="V1107" s="10" t="str">
        <f t="shared" si="11"/>
        <v/>
      </c>
      <c r="W1107" s="68" t="str">
        <f t="shared" si="12"/>
        <v/>
      </c>
      <c r="X1107" s="59" t="str">
        <f t="shared" si="13"/>
        <v/>
      </c>
      <c r="Y1107" s="69" t="str">
        <f t="shared" si="14"/>
        <v/>
      </c>
      <c r="Z1107" s="11"/>
    </row>
    <row r="1108">
      <c r="A1108" s="8"/>
      <c r="B1108" s="56" t="str">
        <f t="shared" si="2"/>
        <v/>
      </c>
      <c r="C1108" s="57"/>
      <c r="D1108" s="10" t="str">
        <f>IFERROR(__xludf.DUMMYFUNCTION("IF(COUNTA(C1108:C1350)=0,"""",IF(ISBLANK(C1108),FALSE,IF(NOT(COUNTIF($AA$24:$AA$34,SUBSTITUTE(C1108,""Sell_"",""""))),1,IF(REGEXMATCH(C1108,""Sell_""),IF(COUNTIF(C$4:C1108,SUBSTITUTE(C1108,""Sell_"",""""))-COUNTIF(C$4:C1107,C1108)&lt;1,1),FALSE))))"),"")</f>
        <v/>
      </c>
      <c r="E1108" s="59" t="str">
        <f t="array" ref="E1108">IF(COUNTA(C1108:C1350)=0,"",SUM((COUNTIF(C$4:C1108,Upgrades!$B$3:$B$13)-COUNTIF(C$4:C1108,"Sell_"&amp;Upgrades!$B$3:$B$13))*Upgrades!$D$3:$D$13))</f>
        <v/>
      </c>
      <c r="F1108" s="66" t="str">
        <f>IFERROR(__xludf.DUMMYFUNCTION("IF(COUNTA(C1108:C1350)=0,"""",IF(REGEXMATCH(INDEX(FILTER(C$4:C1108,C$4:C1108&lt;&gt;""""),ROWS(FILTER(C$4:C1108,C$4:C1108&lt;&gt;""""))),""^Sell_""),INDEX(FILTER(F$4:F1107,C$4:C1107&lt;&gt;""""),ROWS(FILTER(C$4:C1107,C$4:C1107&lt;&gt;""""))),$AC$5+E1108))"),"")</f>
        <v/>
      </c>
      <c r="G1108" s="10" t="str">
        <f>IFERROR(__xludf.DUMMYFUNCTION("IF(COUNTA(C1108:C1350)=0,"""",IF(C1108="""",0,IF(REGEXMATCH(C1108,""^Sell_""),-ROUNDDOWN(ROUNDUP(INDEX(Upgrades!$C$3:$C$13,MATCH(SUBSTITUTE(C1108,""Sell_"",""""),Upgrades!$B$3:$B$13,0))*1.15^(COUNTIF(C$4:C1107,SUBSTITUTE(C1108,""Sell_"",""""))-COUNTIF(C$4"&amp;":C1107,""Sell_""&amp;SUBSTITUTE(C1108,""Sell_"",""""))))/2),ROUNDUP(INDEX(Upgrades!$C$3:$C$13,MATCH(C1108,Upgrades!$B$3:$B$13,0))*1.15^(COUNTIF(C$4:C1107,C1108)-COUNTIF(C$4:C1107,""Sell_""&amp;C1108))))))"),"")</f>
        <v/>
      </c>
      <c r="H1108" s="10" t="str">
        <f t="shared" si="3"/>
        <v/>
      </c>
      <c r="I1108" s="68" t="str">
        <f t="shared" si="4"/>
        <v/>
      </c>
      <c r="J1108" s="59" t="str">
        <f t="shared" si="5"/>
        <v/>
      </c>
      <c r="K1108" s="69" t="str">
        <f t="shared" si="6"/>
        <v/>
      </c>
      <c r="L1108" s="60" t="str">
        <f t="shared" si="7"/>
        <v/>
      </c>
      <c r="M1108" s="61" t="str">
        <f>IFERROR(__xludf.DUMMYFUNCTION("IFS(AND(COUNTA(C1108:C1350)=0,COUNTA(Q1108:Q1350)=0),"""",OR(AND(K1108&gt;=1000000000,OR(Y1108&gt;=1000000000,COUNTA(Q1108:Q1350)=0)),OR(Y1108&gt;=1000000000,AND(COUNTA(C1108:C1350)=0,P$3=TRUE))),
ROUNDDOWN((AB$1-AC$1)*MAX(INDEX(T$4:T1350,MATCH(LARGE(FILTER(Y$4:Y1"&amp;"350,Y$4:Y1350&lt;1000000000),1),Y$4:Y1350)),INDEX(F$4:F1350,MATCH(LARGE(FILTER(K$4:K1350,K$4:K1350&lt;1000000000),1),K$4:K1350)))),AND(K1108&lt;1000000000,COUNTA(C1108:C1350)&gt;0,P$3=FALSE),
ROUNDDOWN(INDEX(Y$4:Y1350,MATCH(LARGE(FILTER(W$4:W1350,W$4:W1350&lt;=I1108),1)"&amp;",W$4:W1350))+(I1108-LARGE(FILTER(W$4:W1350,W$4:W1350&lt;=I1108),1))*INDEX(T$4:T1350,MATCH(LARGE(FILTER(W$4:W1350,W$4:W1350&lt;=I1108),1),W$4:W1350))-K1108),1,
ROUNDDOWN(Y1108-INDEX(K$4:K1350,MATCH(LARGE(FILTER(I$4:I1350,I$4:I1350&lt;=W1108),1),I$4:I1350))-(W1108-L"&amp;"ARGE(FILTER(I$4:I1350,I$4:I1350&lt;=W1108),1))*INDEX(F$4:F1350,MATCH(LARGE(FILTER(I$4:I1350,I$4:I1350&lt;=W1108),1),I$4:I1350))))"),"")</f>
        <v/>
      </c>
      <c r="N1108" s="60" t="str">
        <f t="shared" si="8"/>
        <v/>
      </c>
      <c r="O1108" s="61" t="str">
        <f t="shared" si="9"/>
        <v/>
      </c>
      <c r="P1108" s="56" t="str">
        <f t="shared" si="10"/>
        <v/>
      </c>
      <c r="Q1108" s="62"/>
      <c r="R1108" s="10" t="str">
        <f>IFERROR(__xludf.DUMMYFUNCTION("IF(COUNTA(Q1108:Q1350)=0,"""",IF(ISBLANK(Q1108),FALSE,IF(NOT(COUNTIF($AA$24:$AA$34,SUBSTITUTE(Q1108,""Sell_"",""""))),1,IF(REGEXMATCH(Q1108,""Sell_""),IF(COUNTIF(Q$4:Q1108,SUBSTITUTE(Q1108,""Sell_"",""""))-COUNTIF(Q$4:Q1107,Q1108)&lt;1,1),FALSE))))"),"")</f>
        <v/>
      </c>
      <c r="S1108" s="59" t="str">
        <f t="array" ref="S1108">IF(COUNTA(Q1108:Q1350)=0,"",SUM((COUNTIF(Q$4:Q1108,Upgrades!$B$3:$B$13)-COUNTIF(Q$4:Q1108,"Sell_"&amp;Upgrades!$B$3:$B$13))*Upgrades!$D$3:$D$13))</f>
        <v/>
      </c>
      <c r="T1108" s="66" t="str">
        <f>IFERROR(__xludf.DUMMYFUNCTION("IF(COUNTA(Q1108:Q1350)=0,"""",IF(REGEXMATCH(INDEX(FILTER(Q$4:Q1108,Q$4:Q1108&lt;&gt;""""),ROWS(FILTER(Q$4:Q1108,Q$4:Q1108&lt;&gt;""""))),""^Sell_""),INDEX(FILTER(T$4:T1107,Q$4:Q1107&lt;&gt;""""),ROWS(FILTER(Q$4:Q1107,Q$4:Q1107&lt;&gt;""""))),$AD$5+S1108))"),"")</f>
        <v/>
      </c>
      <c r="U1108" s="10" t="str">
        <f>IFERROR(__xludf.DUMMYFUNCTION("IF(COUNTA(Q1108:Q1350)=0,"""",IF(Q1108="""",0,IF(REGEXMATCH(Q1108,""^Sell_""),-ROUNDDOWN(ROUNDUP(INDEX(Upgrades!$C$3:$C$13,MATCH(SUBSTITUTE(Q1108,""Sell_"",""""),Upgrades!$B$3:$B$13,0))*1.15^(COUNTIF(Q$4:Q1107,SUBSTITUTE(Q1108,""Sell_"",""""))-COUNTIF(Q$4"&amp;":Q1107,""Sell_""&amp;SUBSTITUTE(Q1108,""Sell_"",""""))))/2),ROUNDUP(INDEX(Upgrades!$C$3:$C$13,MATCH(Q1108,Upgrades!$B$3:$B$13,0))*1.15^(COUNTIF(Q$4:Q1107,Q1108)-COUNTIF(Q$4:Q1107,""Sell_""&amp;Q1108))))))"),"")</f>
        <v/>
      </c>
      <c r="V1108" s="10" t="str">
        <f t="shared" si="11"/>
        <v/>
      </c>
      <c r="W1108" s="68" t="str">
        <f t="shared" si="12"/>
        <v/>
      </c>
      <c r="X1108" s="59" t="str">
        <f t="shared" si="13"/>
        <v/>
      </c>
      <c r="Y1108" s="69" t="str">
        <f t="shared" si="14"/>
        <v/>
      </c>
      <c r="Z1108" s="11"/>
    </row>
    <row r="1109">
      <c r="A1109" s="8"/>
      <c r="B1109" s="56" t="str">
        <f t="shared" si="2"/>
        <v/>
      </c>
      <c r="C1109" s="57"/>
      <c r="D1109" s="10" t="str">
        <f>IFERROR(__xludf.DUMMYFUNCTION("IF(COUNTA(C1109:C1350)=0,"""",IF(ISBLANK(C1109),FALSE,IF(NOT(COUNTIF($AA$24:$AA$34,SUBSTITUTE(C1109,""Sell_"",""""))),1,IF(REGEXMATCH(C1109,""Sell_""),IF(COUNTIF(C$4:C1109,SUBSTITUTE(C1109,""Sell_"",""""))-COUNTIF(C$4:C1108,C1109)&lt;1,1),FALSE))))"),"")</f>
        <v/>
      </c>
      <c r="E1109" s="59" t="str">
        <f t="array" ref="E1109">IF(COUNTA(C1109:C1350)=0,"",SUM((COUNTIF(C$4:C1109,Upgrades!$B$3:$B$13)-COUNTIF(C$4:C1109,"Sell_"&amp;Upgrades!$B$3:$B$13))*Upgrades!$D$3:$D$13))</f>
        <v/>
      </c>
      <c r="F1109" s="66" t="str">
        <f>IFERROR(__xludf.DUMMYFUNCTION("IF(COUNTA(C1109:C1350)=0,"""",IF(REGEXMATCH(INDEX(FILTER(C$4:C1109,C$4:C1109&lt;&gt;""""),ROWS(FILTER(C$4:C1109,C$4:C1109&lt;&gt;""""))),""^Sell_""),INDEX(FILTER(F$4:F1108,C$4:C1108&lt;&gt;""""),ROWS(FILTER(C$4:C1108,C$4:C1108&lt;&gt;""""))),$AC$5+E1109))"),"")</f>
        <v/>
      </c>
      <c r="G1109" s="10" t="str">
        <f>IFERROR(__xludf.DUMMYFUNCTION("IF(COUNTA(C1109:C1350)=0,"""",IF(C1109="""",0,IF(REGEXMATCH(C1109,""^Sell_""),-ROUNDDOWN(ROUNDUP(INDEX(Upgrades!$C$3:$C$13,MATCH(SUBSTITUTE(C1109,""Sell_"",""""),Upgrades!$B$3:$B$13,0))*1.15^(COUNTIF(C$4:C1108,SUBSTITUTE(C1109,""Sell_"",""""))-COUNTIF(C$4"&amp;":C1108,""Sell_""&amp;SUBSTITUTE(C1109,""Sell_"",""""))))/2),ROUNDUP(INDEX(Upgrades!$C$3:$C$13,MATCH(C1109,Upgrades!$B$3:$B$13,0))*1.15^(COUNTIF(C$4:C1108,C1109)-COUNTIF(C$4:C1108,""Sell_""&amp;C1109))))))"),"")</f>
        <v/>
      </c>
      <c r="H1109" s="10" t="str">
        <f t="shared" si="3"/>
        <v/>
      </c>
      <c r="I1109" s="68" t="str">
        <f t="shared" si="4"/>
        <v/>
      </c>
      <c r="J1109" s="59" t="str">
        <f t="shared" si="5"/>
        <v/>
      </c>
      <c r="K1109" s="69" t="str">
        <f t="shared" si="6"/>
        <v/>
      </c>
      <c r="L1109" s="60" t="str">
        <f t="shared" si="7"/>
        <v/>
      </c>
      <c r="M1109" s="61" t="str">
        <f>IFERROR(__xludf.DUMMYFUNCTION("IFS(AND(COUNTA(C1109:C1350)=0,COUNTA(Q1109:Q1350)=0),"""",OR(AND(K1109&gt;=1000000000,OR(Y1109&gt;=1000000000,COUNTA(Q1109:Q1350)=0)),OR(Y1109&gt;=1000000000,AND(COUNTA(C1109:C1350)=0,P$3=TRUE))),
ROUNDDOWN((AB$1-AC$1)*MAX(INDEX(T$4:T1350,MATCH(LARGE(FILTER(Y$4:Y1"&amp;"350,Y$4:Y1350&lt;1000000000),1),Y$4:Y1350)),INDEX(F$4:F1350,MATCH(LARGE(FILTER(K$4:K1350,K$4:K1350&lt;1000000000),1),K$4:K1350)))),AND(K1109&lt;1000000000,COUNTA(C1109:C1350)&gt;0,P$3=FALSE),
ROUNDDOWN(INDEX(Y$4:Y1350,MATCH(LARGE(FILTER(W$4:W1350,W$4:W1350&lt;=I1109),1)"&amp;",W$4:W1350))+(I1109-LARGE(FILTER(W$4:W1350,W$4:W1350&lt;=I1109),1))*INDEX(T$4:T1350,MATCH(LARGE(FILTER(W$4:W1350,W$4:W1350&lt;=I1109),1),W$4:W1350))-K1109),1,
ROUNDDOWN(Y1109-INDEX(K$4:K1350,MATCH(LARGE(FILTER(I$4:I1350,I$4:I1350&lt;=W1109),1),I$4:I1350))-(W1109-L"&amp;"ARGE(FILTER(I$4:I1350,I$4:I1350&lt;=W1109),1))*INDEX(F$4:F1350,MATCH(LARGE(FILTER(I$4:I1350,I$4:I1350&lt;=W1109),1),I$4:I1350))))"),"")</f>
        <v/>
      </c>
      <c r="N1109" s="60" t="str">
        <f t="shared" si="8"/>
        <v/>
      </c>
      <c r="O1109" s="61" t="str">
        <f t="shared" si="9"/>
        <v/>
      </c>
      <c r="P1109" s="56" t="str">
        <f t="shared" si="10"/>
        <v/>
      </c>
      <c r="Q1109" s="62"/>
      <c r="R1109" s="10" t="str">
        <f>IFERROR(__xludf.DUMMYFUNCTION("IF(COUNTA(Q1109:Q1350)=0,"""",IF(ISBLANK(Q1109),FALSE,IF(NOT(COUNTIF($AA$24:$AA$34,SUBSTITUTE(Q1109,""Sell_"",""""))),1,IF(REGEXMATCH(Q1109,""Sell_""),IF(COUNTIF(Q$4:Q1109,SUBSTITUTE(Q1109,""Sell_"",""""))-COUNTIF(Q$4:Q1108,Q1109)&lt;1,1),FALSE))))"),"")</f>
        <v/>
      </c>
      <c r="S1109" s="59" t="str">
        <f t="array" ref="S1109">IF(COUNTA(Q1109:Q1350)=0,"",SUM((COUNTIF(Q$4:Q1109,Upgrades!$B$3:$B$13)-COUNTIF(Q$4:Q1109,"Sell_"&amp;Upgrades!$B$3:$B$13))*Upgrades!$D$3:$D$13))</f>
        <v/>
      </c>
      <c r="T1109" s="66" t="str">
        <f>IFERROR(__xludf.DUMMYFUNCTION("IF(COUNTA(Q1109:Q1350)=0,"""",IF(REGEXMATCH(INDEX(FILTER(Q$4:Q1109,Q$4:Q1109&lt;&gt;""""),ROWS(FILTER(Q$4:Q1109,Q$4:Q1109&lt;&gt;""""))),""^Sell_""),INDEX(FILTER(T$4:T1108,Q$4:Q1108&lt;&gt;""""),ROWS(FILTER(Q$4:Q1108,Q$4:Q1108&lt;&gt;""""))),$AD$5+S1109))"),"")</f>
        <v/>
      </c>
      <c r="U1109" s="10" t="str">
        <f>IFERROR(__xludf.DUMMYFUNCTION("IF(COUNTA(Q1109:Q1350)=0,"""",IF(Q1109="""",0,IF(REGEXMATCH(Q1109,""^Sell_""),-ROUNDDOWN(ROUNDUP(INDEX(Upgrades!$C$3:$C$13,MATCH(SUBSTITUTE(Q1109,""Sell_"",""""),Upgrades!$B$3:$B$13,0))*1.15^(COUNTIF(Q$4:Q1108,SUBSTITUTE(Q1109,""Sell_"",""""))-COUNTIF(Q$4"&amp;":Q1108,""Sell_""&amp;SUBSTITUTE(Q1109,""Sell_"",""""))))/2),ROUNDUP(INDEX(Upgrades!$C$3:$C$13,MATCH(Q1109,Upgrades!$B$3:$B$13,0))*1.15^(COUNTIF(Q$4:Q1108,Q1109)-COUNTIF(Q$4:Q1108,""Sell_""&amp;Q1109))))))"),"")</f>
        <v/>
      </c>
      <c r="V1109" s="10" t="str">
        <f t="shared" si="11"/>
        <v/>
      </c>
      <c r="W1109" s="68" t="str">
        <f t="shared" si="12"/>
        <v/>
      </c>
      <c r="X1109" s="59" t="str">
        <f t="shared" si="13"/>
        <v/>
      </c>
      <c r="Y1109" s="69" t="str">
        <f t="shared" si="14"/>
        <v/>
      </c>
      <c r="Z1109" s="11"/>
    </row>
    <row r="1110">
      <c r="A1110" s="8"/>
      <c r="B1110" s="56" t="str">
        <f t="shared" si="2"/>
        <v/>
      </c>
      <c r="C1110" s="57"/>
      <c r="D1110" s="10" t="str">
        <f>IFERROR(__xludf.DUMMYFUNCTION("IF(COUNTA(C1110:C1350)=0,"""",IF(ISBLANK(C1110),FALSE,IF(NOT(COUNTIF($AA$24:$AA$34,SUBSTITUTE(C1110,""Sell_"",""""))),1,IF(REGEXMATCH(C1110,""Sell_""),IF(COUNTIF(C$4:C1110,SUBSTITUTE(C1110,""Sell_"",""""))-COUNTIF(C$4:C1109,C1110)&lt;1,1),FALSE))))"),"")</f>
        <v/>
      </c>
      <c r="E1110" s="59" t="str">
        <f t="array" ref="E1110">IF(COUNTA(C1110:C1350)=0,"",SUM((COUNTIF(C$4:C1110,Upgrades!$B$3:$B$13)-COUNTIF(C$4:C1110,"Sell_"&amp;Upgrades!$B$3:$B$13))*Upgrades!$D$3:$D$13))</f>
        <v/>
      </c>
      <c r="F1110" s="66" t="str">
        <f>IFERROR(__xludf.DUMMYFUNCTION("IF(COUNTA(C1110:C1350)=0,"""",IF(REGEXMATCH(INDEX(FILTER(C$4:C1110,C$4:C1110&lt;&gt;""""),ROWS(FILTER(C$4:C1110,C$4:C1110&lt;&gt;""""))),""^Sell_""),INDEX(FILTER(F$4:F1109,C$4:C1109&lt;&gt;""""),ROWS(FILTER(C$4:C1109,C$4:C1109&lt;&gt;""""))),$AC$5+E1110))"),"")</f>
        <v/>
      </c>
      <c r="G1110" s="10" t="str">
        <f>IFERROR(__xludf.DUMMYFUNCTION("IF(COUNTA(C1110:C1350)=0,"""",IF(C1110="""",0,IF(REGEXMATCH(C1110,""^Sell_""),-ROUNDDOWN(ROUNDUP(INDEX(Upgrades!$C$3:$C$13,MATCH(SUBSTITUTE(C1110,""Sell_"",""""),Upgrades!$B$3:$B$13,0))*1.15^(COUNTIF(C$4:C1109,SUBSTITUTE(C1110,""Sell_"",""""))-COUNTIF(C$4"&amp;":C1109,""Sell_""&amp;SUBSTITUTE(C1110,""Sell_"",""""))))/2),ROUNDUP(INDEX(Upgrades!$C$3:$C$13,MATCH(C1110,Upgrades!$B$3:$B$13,0))*1.15^(COUNTIF(C$4:C1109,C1110)-COUNTIF(C$4:C1109,""Sell_""&amp;C1110))))))"),"")</f>
        <v/>
      </c>
      <c r="H1110" s="10" t="str">
        <f t="shared" si="3"/>
        <v/>
      </c>
      <c r="I1110" s="68" t="str">
        <f t="shared" si="4"/>
        <v/>
      </c>
      <c r="J1110" s="59" t="str">
        <f t="shared" si="5"/>
        <v/>
      </c>
      <c r="K1110" s="69" t="str">
        <f t="shared" si="6"/>
        <v/>
      </c>
      <c r="L1110" s="60" t="str">
        <f t="shared" si="7"/>
        <v/>
      </c>
      <c r="M1110" s="61" t="str">
        <f>IFERROR(__xludf.DUMMYFUNCTION("IFS(AND(COUNTA(C1110:C1350)=0,COUNTA(Q1110:Q1350)=0),"""",OR(AND(K1110&gt;=1000000000,OR(Y1110&gt;=1000000000,COUNTA(Q1110:Q1350)=0)),OR(Y1110&gt;=1000000000,AND(COUNTA(C1110:C1350)=0,P$3=TRUE))),
ROUNDDOWN((AB$1-AC$1)*MAX(INDEX(T$4:T1350,MATCH(LARGE(FILTER(Y$4:Y1"&amp;"350,Y$4:Y1350&lt;1000000000),1),Y$4:Y1350)),INDEX(F$4:F1350,MATCH(LARGE(FILTER(K$4:K1350,K$4:K1350&lt;1000000000),1),K$4:K1350)))),AND(K1110&lt;1000000000,COUNTA(C1110:C1350)&gt;0,P$3=FALSE),
ROUNDDOWN(INDEX(Y$4:Y1350,MATCH(LARGE(FILTER(W$4:W1350,W$4:W1350&lt;=I1110),1)"&amp;",W$4:W1350))+(I1110-LARGE(FILTER(W$4:W1350,W$4:W1350&lt;=I1110),1))*INDEX(T$4:T1350,MATCH(LARGE(FILTER(W$4:W1350,W$4:W1350&lt;=I1110),1),W$4:W1350))-K1110),1,
ROUNDDOWN(Y1110-INDEX(K$4:K1350,MATCH(LARGE(FILTER(I$4:I1350,I$4:I1350&lt;=W1110),1),I$4:I1350))-(W1110-L"&amp;"ARGE(FILTER(I$4:I1350,I$4:I1350&lt;=W1110),1))*INDEX(F$4:F1350,MATCH(LARGE(FILTER(I$4:I1350,I$4:I1350&lt;=W1110),1),I$4:I1350))))"),"")</f>
        <v/>
      </c>
      <c r="N1110" s="60" t="str">
        <f t="shared" si="8"/>
        <v/>
      </c>
      <c r="O1110" s="61" t="str">
        <f t="shared" si="9"/>
        <v/>
      </c>
      <c r="P1110" s="56" t="str">
        <f t="shared" si="10"/>
        <v/>
      </c>
      <c r="Q1110" s="62"/>
      <c r="R1110" s="10" t="str">
        <f>IFERROR(__xludf.DUMMYFUNCTION("IF(COUNTA(Q1110:Q1350)=0,"""",IF(ISBLANK(Q1110),FALSE,IF(NOT(COUNTIF($AA$24:$AA$34,SUBSTITUTE(Q1110,""Sell_"",""""))),1,IF(REGEXMATCH(Q1110,""Sell_""),IF(COUNTIF(Q$4:Q1110,SUBSTITUTE(Q1110,""Sell_"",""""))-COUNTIF(Q$4:Q1109,Q1110)&lt;1,1),FALSE))))"),"")</f>
        <v/>
      </c>
      <c r="S1110" s="59" t="str">
        <f t="array" ref="S1110">IF(COUNTA(Q1110:Q1350)=0,"",SUM((COUNTIF(Q$4:Q1110,Upgrades!$B$3:$B$13)-COUNTIF(Q$4:Q1110,"Sell_"&amp;Upgrades!$B$3:$B$13))*Upgrades!$D$3:$D$13))</f>
        <v/>
      </c>
      <c r="T1110" s="66" t="str">
        <f>IFERROR(__xludf.DUMMYFUNCTION("IF(COUNTA(Q1110:Q1350)=0,"""",IF(REGEXMATCH(INDEX(FILTER(Q$4:Q1110,Q$4:Q1110&lt;&gt;""""),ROWS(FILTER(Q$4:Q1110,Q$4:Q1110&lt;&gt;""""))),""^Sell_""),INDEX(FILTER(T$4:T1109,Q$4:Q1109&lt;&gt;""""),ROWS(FILTER(Q$4:Q1109,Q$4:Q1109&lt;&gt;""""))),$AD$5+S1110))"),"")</f>
        <v/>
      </c>
      <c r="U1110" s="10" t="str">
        <f>IFERROR(__xludf.DUMMYFUNCTION("IF(COUNTA(Q1110:Q1350)=0,"""",IF(Q1110="""",0,IF(REGEXMATCH(Q1110,""^Sell_""),-ROUNDDOWN(ROUNDUP(INDEX(Upgrades!$C$3:$C$13,MATCH(SUBSTITUTE(Q1110,""Sell_"",""""),Upgrades!$B$3:$B$13,0))*1.15^(COUNTIF(Q$4:Q1109,SUBSTITUTE(Q1110,""Sell_"",""""))-COUNTIF(Q$4"&amp;":Q1109,""Sell_""&amp;SUBSTITUTE(Q1110,""Sell_"",""""))))/2),ROUNDUP(INDEX(Upgrades!$C$3:$C$13,MATCH(Q1110,Upgrades!$B$3:$B$13,0))*1.15^(COUNTIF(Q$4:Q1109,Q1110)-COUNTIF(Q$4:Q1109,""Sell_""&amp;Q1110))))))"),"")</f>
        <v/>
      </c>
      <c r="V1110" s="10" t="str">
        <f t="shared" si="11"/>
        <v/>
      </c>
      <c r="W1110" s="68" t="str">
        <f t="shared" si="12"/>
        <v/>
      </c>
      <c r="X1110" s="59" t="str">
        <f t="shared" si="13"/>
        <v/>
      </c>
      <c r="Y1110" s="69" t="str">
        <f t="shared" si="14"/>
        <v/>
      </c>
      <c r="Z1110" s="11"/>
    </row>
    <row r="1111">
      <c r="A1111" s="8"/>
      <c r="B1111" s="56" t="str">
        <f t="shared" si="2"/>
        <v/>
      </c>
      <c r="C1111" s="57"/>
      <c r="D1111" s="10" t="str">
        <f>IFERROR(__xludf.DUMMYFUNCTION("IF(COUNTA(C1111:C1350)=0,"""",IF(ISBLANK(C1111),FALSE,IF(NOT(COUNTIF($AA$24:$AA$34,SUBSTITUTE(C1111,""Sell_"",""""))),1,IF(REGEXMATCH(C1111,""Sell_""),IF(COUNTIF(C$4:C1111,SUBSTITUTE(C1111,""Sell_"",""""))-COUNTIF(C$4:C1110,C1111)&lt;1,1),FALSE))))"),"")</f>
        <v/>
      </c>
      <c r="E1111" s="59" t="str">
        <f t="array" ref="E1111">IF(COUNTA(C1111:C1350)=0,"",SUM((COUNTIF(C$4:C1111,Upgrades!$B$3:$B$13)-COUNTIF(C$4:C1111,"Sell_"&amp;Upgrades!$B$3:$B$13))*Upgrades!$D$3:$D$13))</f>
        <v/>
      </c>
      <c r="F1111" s="66" t="str">
        <f>IFERROR(__xludf.DUMMYFUNCTION("IF(COUNTA(C1111:C1350)=0,"""",IF(REGEXMATCH(INDEX(FILTER(C$4:C1111,C$4:C1111&lt;&gt;""""),ROWS(FILTER(C$4:C1111,C$4:C1111&lt;&gt;""""))),""^Sell_""),INDEX(FILTER(F$4:F1110,C$4:C1110&lt;&gt;""""),ROWS(FILTER(C$4:C1110,C$4:C1110&lt;&gt;""""))),$AC$5+E1111))"),"")</f>
        <v/>
      </c>
      <c r="G1111" s="10" t="str">
        <f>IFERROR(__xludf.DUMMYFUNCTION("IF(COUNTA(C1111:C1350)=0,"""",IF(C1111="""",0,IF(REGEXMATCH(C1111,""^Sell_""),-ROUNDDOWN(ROUNDUP(INDEX(Upgrades!$C$3:$C$13,MATCH(SUBSTITUTE(C1111,""Sell_"",""""),Upgrades!$B$3:$B$13,0))*1.15^(COUNTIF(C$4:C1110,SUBSTITUTE(C1111,""Sell_"",""""))-COUNTIF(C$4"&amp;":C1110,""Sell_""&amp;SUBSTITUTE(C1111,""Sell_"",""""))))/2),ROUNDUP(INDEX(Upgrades!$C$3:$C$13,MATCH(C1111,Upgrades!$B$3:$B$13,0))*1.15^(COUNTIF(C$4:C1110,C1111)-COUNTIF(C$4:C1110,""Sell_""&amp;C1111))))))"),"")</f>
        <v/>
      </c>
      <c r="H1111" s="10" t="str">
        <f t="shared" si="3"/>
        <v/>
      </c>
      <c r="I1111" s="68" t="str">
        <f t="shared" si="4"/>
        <v/>
      </c>
      <c r="J1111" s="59" t="str">
        <f t="shared" si="5"/>
        <v/>
      </c>
      <c r="K1111" s="69" t="str">
        <f t="shared" si="6"/>
        <v/>
      </c>
      <c r="L1111" s="60" t="str">
        <f t="shared" si="7"/>
        <v/>
      </c>
      <c r="M1111" s="61" t="str">
        <f>IFERROR(__xludf.DUMMYFUNCTION("IFS(AND(COUNTA(C1111:C1350)=0,COUNTA(Q1111:Q1350)=0),"""",OR(AND(K1111&gt;=1000000000,OR(Y1111&gt;=1000000000,COUNTA(Q1111:Q1350)=0)),OR(Y1111&gt;=1000000000,AND(COUNTA(C1111:C1350)=0,P$3=TRUE))),
ROUNDDOWN((AB$1-AC$1)*MAX(INDEX(T$4:T1350,MATCH(LARGE(FILTER(Y$4:Y1"&amp;"350,Y$4:Y1350&lt;1000000000),1),Y$4:Y1350)),INDEX(F$4:F1350,MATCH(LARGE(FILTER(K$4:K1350,K$4:K1350&lt;1000000000),1),K$4:K1350)))),AND(K1111&lt;1000000000,COUNTA(C1111:C1350)&gt;0,P$3=FALSE),
ROUNDDOWN(INDEX(Y$4:Y1350,MATCH(LARGE(FILTER(W$4:W1350,W$4:W1350&lt;=I1111),1)"&amp;",W$4:W1350))+(I1111-LARGE(FILTER(W$4:W1350,W$4:W1350&lt;=I1111),1))*INDEX(T$4:T1350,MATCH(LARGE(FILTER(W$4:W1350,W$4:W1350&lt;=I1111),1),W$4:W1350))-K1111),1,
ROUNDDOWN(Y1111-INDEX(K$4:K1350,MATCH(LARGE(FILTER(I$4:I1350,I$4:I1350&lt;=W1111),1),I$4:I1350))-(W1111-L"&amp;"ARGE(FILTER(I$4:I1350,I$4:I1350&lt;=W1111),1))*INDEX(F$4:F1350,MATCH(LARGE(FILTER(I$4:I1350,I$4:I1350&lt;=W1111),1),I$4:I1350))))"),"")</f>
        <v/>
      </c>
      <c r="N1111" s="60" t="str">
        <f t="shared" si="8"/>
        <v/>
      </c>
      <c r="O1111" s="61" t="str">
        <f t="shared" si="9"/>
        <v/>
      </c>
      <c r="P1111" s="56" t="str">
        <f t="shared" si="10"/>
        <v/>
      </c>
      <c r="Q1111" s="62"/>
      <c r="R1111" s="10" t="str">
        <f>IFERROR(__xludf.DUMMYFUNCTION("IF(COUNTA(Q1111:Q1350)=0,"""",IF(ISBLANK(Q1111),FALSE,IF(NOT(COUNTIF($AA$24:$AA$34,SUBSTITUTE(Q1111,""Sell_"",""""))),1,IF(REGEXMATCH(Q1111,""Sell_""),IF(COUNTIF(Q$4:Q1111,SUBSTITUTE(Q1111,""Sell_"",""""))-COUNTIF(Q$4:Q1110,Q1111)&lt;1,1),FALSE))))"),"")</f>
        <v/>
      </c>
      <c r="S1111" s="59" t="str">
        <f t="array" ref="S1111">IF(COUNTA(Q1111:Q1350)=0,"",SUM((COUNTIF(Q$4:Q1111,Upgrades!$B$3:$B$13)-COUNTIF(Q$4:Q1111,"Sell_"&amp;Upgrades!$B$3:$B$13))*Upgrades!$D$3:$D$13))</f>
        <v/>
      </c>
      <c r="T1111" s="66" t="str">
        <f>IFERROR(__xludf.DUMMYFUNCTION("IF(COUNTA(Q1111:Q1350)=0,"""",IF(REGEXMATCH(INDEX(FILTER(Q$4:Q1111,Q$4:Q1111&lt;&gt;""""),ROWS(FILTER(Q$4:Q1111,Q$4:Q1111&lt;&gt;""""))),""^Sell_""),INDEX(FILTER(T$4:T1110,Q$4:Q1110&lt;&gt;""""),ROWS(FILTER(Q$4:Q1110,Q$4:Q1110&lt;&gt;""""))),$AD$5+S1111))"),"")</f>
        <v/>
      </c>
      <c r="U1111" s="10" t="str">
        <f>IFERROR(__xludf.DUMMYFUNCTION("IF(COUNTA(Q1111:Q1350)=0,"""",IF(Q1111="""",0,IF(REGEXMATCH(Q1111,""^Sell_""),-ROUNDDOWN(ROUNDUP(INDEX(Upgrades!$C$3:$C$13,MATCH(SUBSTITUTE(Q1111,""Sell_"",""""),Upgrades!$B$3:$B$13,0))*1.15^(COUNTIF(Q$4:Q1110,SUBSTITUTE(Q1111,""Sell_"",""""))-COUNTIF(Q$4"&amp;":Q1110,""Sell_""&amp;SUBSTITUTE(Q1111,""Sell_"",""""))))/2),ROUNDUP(INDEX(Upgrades!$C$3:$C$13,MATCH(Q1111,Upgrades!$B$3:$B$13,0))*1.15^(COUNTIF(Q$4:Q1110,Q1111)-COUNTIF(Q$4:Q1110,""Sell_""&amp;Q1111))))))"),"")</f>
        <v/>
      </c>
      <c r="V1111" s="10" t="str">
        <f t="shared" si="11"/>
        <v/>
      </c>
      <c r="W1111" s="68" t="str">
        <f t="shared" si="12"/>
        <v/>
      </c>
      <c r="X1111" s="59" t="str">
        <f t="shared" si="13"/>
        <v/>
      </c>
      <c r="Y1111" s="69" t="str">
        <f t="shared" si="14"/>
        <v/>
      </c>
      <c r="Z1111" s="11"/>
    </row>
    <row r="1112">
      <c r="A1112" s="8"/>
      <c r="B1112" s="56" t="str">
        <f t="shared" si="2"/>
        <v/>
      </c>
      <c r="C1112" s="57"/>
      <c r="D1112" s="10" t="str">
        <f>IFERROR(__xludf.DUMMYFUNCTION("IF(COUNTA(C1112:C1350)=0,"""",IF(ISBLANK(C1112),FALSE,IF(NOT(COUNTIF($AA$24:$AA$34,SUBSTITUTE(C1112,""Sell_"",""""))),1,IF(REGEXMATCH(C1112,""Sell_""),IF(COUNTIF(C$4:C1112,SUBSTITUTE(C1112,""Sell_"",""""))-COUNTIF(C$4:C1111,C1112)&lt;1,1),FALSE))))"),"")</f>
        <v/>
      </c>
      <c r="E1112" s="59" t="str">
        <f t="array" ref="E1112">IF(COUNTA(C1112:C1350)=0,"",SUM((COUNTIF(C$4:C1112,Upgrades!$B$3:$B$13)-COUNTIF(C$4:C1112,"Sell_"&amp;Upgrades!$B$3:$B$13))*Upgrades!$D$3:$D$13))</f>
        <v/>
      </c>
      <c r="F1112" s="66" t="str">
        <f>IFERROR(__xludf.DUMMYFUNCTION("IF(COUNTA(C1112:C1350)=0,"""",IF(REGEXMATCH(INDEX(FILTER(C$4:C1112,C$4:C1112&lt;&gt;""""),ROWS(FILTER(C$4:C1112,C$4:C1112&lt;&gt;""""))),""^Sell_""),INDEX(FILTER(F$4:F1111,C$4:C1111&lt;&gt;""""),ROWS(FILTER(C$4:C1111,C$4:C1111&lt;&gt;""""))),$AC$5+E1112))"),"")</f>
        <v/>
      </c>
      <c r="G1112" s="10" t="str">
        <f>IFERROR(__xludf.DUMMYFUNCTION("IF(COUNTA(C1112:C1350)=0,"""",IF(C1112="""",0,IF(REGEXMATCH(C1112,""^Sell_""),-ROUNDDOWN(ROUNDUP(INDEX(Upgrades!$C$3:$C$13,MATCH(SUBSTITUTE(C1112,""Sell_"",""""),Upgrades!$B$3:$B$13,0))*1.15^(COUNTIF(C$4:C1111,SUBSTITUTE(C1112,""Sell_"",""""))-COUNTIF(C$4"&amp;":C1111,""Sell_""&amp;SUBSTITUTE(C1112,""Sell_"",""""))))/2),ROUNDUP(INDEX(Upgrades!$C$3:$C$13,MATCH(C1112,Upgrades!$B$3:$B$13,0))*1.15^(COUNTIF(C$4:C1111,C1112)-COUNTIF(C$4:C1111,""Sell_""&amp;C1112))))))"),"")</f>
        <v/>
      </c>
      <c r="H1112" s="10" t="str">
        <f t="shared" si="3"/>
        <v/>
      </c>
      <c r="I1112" s="68" t="str">
        <f t="shared" si="4"/>
        <v/>
      </c>
      <c r="J1112" s="59" t="str">
        <f t="shared" si="5"/>
        <v/>
      </c>
      <c r="K1112" s="69" t="str">
        <f t="shared" si="6"/>
        <v/>
      </c>
      <c r="L1112" s="60" t="str">
        <f t="shared" si="7"/>
        <v/>
      </c>
      <c r="M1112" s="61" t="str">
        <f>IFERROR(__xludf.DUMMYFUNCTION("IFS(AND(COUNTA(C1112:C1350)=0,COUNTA(Q1112:Q1350)=0),"""",OR(AND(K1112&gt;=1000000000,OR(Y1112&gt;=1000000000,COUNTA(Q1112:Q1350)=0)),OR(Y1112&gt;=1000000000,AND(COUNTA(C1112:C1350)=0,P$3=TRUE))),
ROUNDDOWN((AB$1-AC$1)*MAX(INDEX(T$4:T1350,MATCH(LARGE(FILTER(Y$4:Y1"&amp;"350,Y$4:Y1350&lt;1000000000),1),Y$4:Y1350)),INDEX(F$4:F1350,MATCH(LARGE(FILTER(K$4:K1350,K$4:K1350&lt;1000000000),1),K$4:K1350)))),AND(K1112&lt;1000000000,COUNTA(C1112:C1350)&gt;0,P$3=FALSE),
ROUNDDOWN(INDEX(Y$4:Y1350,MATCH(LARGE(FILTER(W$4:W1350,W$4:W1350&lt;=I1112),1)"&amp;",W$4:W1350))+(I1112-LARGE(FILTER(W$4:W1350,W$4:W1350&lt;=I1112),1))*INDEX(T$4:T1350,MATCH(LARGE(FILTER(W$4:W1350,W$4:W1350&lt;=I1112),1),W$4:W1350))-K1112),1,
ROUNDDOWN(Y1112-INDEX(K$4:K1350,MATCH(LARGE(FILTER(I$4:I1350,I$4:I1350&lt;=W1112),1),I$4:I1350))-(W1112-L"&amp;"ARGE(FILTER(I$4:I1350,I$4:I1350&lt;=W1112),1))*INDEX(F$4:F1350,MATCH(LARGE(FILTER(I$4:I1350,I$4:I1350&lt;=W1112),1),I$4:I1350))))"),"")</f>
        <v/>
      </c>
      <c r="N1112" s="60" t="str">
        <f t="shared" si="8"/>
        <v/>
      </c>
      <c r="O1112" s="61" t="str">
        <f t="shared" si="9"/>
        <v/>
      </c>
      <c r="P1112" s="56" t="str">
        <f t="shared" si="10"/>
        <v/>
      </c>
      <c r="Q1112" s="62"/>
      <c r="R1112" s="10" t="str">
        <f>IFERROR(__xludf.DUMMYFUNCTION("IF(COUNTA(Q1112:Q1350)=0,"""",IF(ISBLANK(Q1112),FALSE,IF(NOT(COUNTIF($AA$24:$AA$34,SUBSTITUTE(Q1112,""Sell_"",""""))),1,IF(REGEXMATCH(Q1112,""Sell_""),IF(COUNTIF(Q$4:Q1112,SUBSTITUTE(Q1112,""Sell_"",""""))-COUNTIF(Q$4:Q1111,Q1112)&lt;1,1),FALSE))))"),"")</f>
        <v/>
      </c>
      <c r="S1112" s="59" t="str">
        <f t="array" ref="S1112">IF(COUNTA(Q1112:Q1350)=0,"",SUM((COUNTIF(Q$4:Q1112,Upgrades!$B$3:$B$13)-COUNTIF(Q$4:Q1112,"Sell_"&amp;Upgrades!$B$3:$B$13))*Upgrades!$D$3:$D$13))</f>
        <v/>
      </c>
      <c r="T1112" s="66" t="str">
        <f>IFERROR(__xludf.DUMMYFUNCTION("IF(COUNTA(Q1112:Q1350)=0,"""",IF(REGEXMATCH(INDEX(FILTER(Q$4:Q1112,Q$4:Q1112&lt;&gt;""""),ROWS(FILTER(Q$4:Q1112,Q$4:Q1112&lt;&gt;""""))),""^Sell_""),INDEX(FILTER(T$4:T1111,Q$4:Q1111&lt;&gt;""""),ROWS(FILTER(Q$4:Q1111,Q$4:Q1111&lt;&gt;""""))),$AD$5+S1112))"),"")</f>
        <v/>
      </c>
      <c r="U1112" s="10" t="str">
        <f>IFERROR(__xludf.DUMMYFUNCTION("IF(COUNTA(Q1112:Q1350)=0,"""",IF(Q1112="""",0,IF(REGEXMATCH(Q1112,""^Sell_""),-ROUNDDOWN(ROUNDUP(INDEX(Upgrades!$C$3:$C$13,MATCH(SUBSTITUTE(Q1112,""Sell_"",""""),Upgrades!$B$3:$B$13,0))*1.15^(COUNTIF(Q$4:Q1111,SUBSTITUTE(Q1112,""Sell_"",""""))-COUNTIF(Q$4"&amp;":Q1111,""Sell_""&amp;SUBSTITUTE(Q1112,""Sell_"",""""))))/2),ROUNDUP(INDEX(Upgrades!$C$3:$C$13,MATCH(Q1112,Upgrades!$B$3:$B$13,0))*1.15^(COUNTIF(Q$4:Q1111,Q1112)-COUNTIF(Q$4:Q1111,""Sell_""&amp;Q1112))))))"),"")</f>
        <v/>
      </c>
      <c r="V1112" s="10" t="str">
        <f t="shared" si="11"/>
        <v/>
      </c>
      <c r="W1112" s="68" t="str">
        <f t="shared" si="12"/>
        <v/>
      </c>
      <c r="X1112" s="59" t="str">
        <f t="shared" si="13"/>
        <v/>
      </c>
      <c r="Y1112" s="69" t="str">
        <f t="shared" si="14"/>
        <v/>
      </c>
      <c r="Z1112" s="11"/>
    </row>
    <row r="1113">
      <c r="A1113" s="8"/>
      <c r="B1113" s="56" t="str">
        <f t="shared" si="2"/>
        <v/>
      </c>
      <c r="C1113" s="57"/>
      <c r="D1113" s="10" t="str">
        <f>IFERROR(__xludf.DUMMYFUNCTION("IF(COUNTA(C1113:C1350)=0,"""",IF(ISBLANK(C1113),FALSE,IF(NOT(COUNTIF($AA$24:$AA$34,SUBSTITUTE(C1113,""Sell_"",""""))),1,IF(REGEXMATCH(C1113,""Sell_""),IF(COUNTIF(C$4:C1113,SUBSTITUTE(C1113,""Sell_"",""""))-COUNTIF(C$4:C1112,C1113)&lt;1,1),FALSE))))"),"")</f>
        <v/>
      </c>
      <c r="E1113" s="59" t="str">
        <f t="array" ref="E1113">IF(COUNTA(C1113:C1350)=0,"",SUM((COUNTIF(C$4:C1113,Upgrades!$B$3:$B$13)-COUNTIF(C$4:C1113,"Sell_"&amp;Upgrades!$B$3:$B$13))*Upgrades!$D$3:$D$13))</f>
        <v/>
      </c>
      <c r="F1113" s="66" t="str">
        <f>IFERROR(__xludf.DUMMYFUNCTION("IF(COUNTA(C1113:C1350)=0,"""",IF(REGEXMATCH(INDEX(FILTER(C$4:C1113,C$4:C1113&lt;&gt;""""),ROWS(FILTER(C$4:C1113,C$4:C1113&lt;&gt;""""))),""^Sell_""),INDEX(FILTER(F$4:F1112,C$4:C1112&lt;&gt;""""),ROWS(FILTER(C$4:C1112,C$4:C1112&lt;&gt;""""))),$AC$5+E1113))"),"")</f>
        <v/>
      </c>
      <c r="G1113" s="10" t="str">
        <f>IFERROR(__xludf.DUMMYFUNCTION("IF(COUNTA(C1113:C1350)=0,"""",IF(C1113="""",0,IF(REGEXMATCH(C1113,""^Sell_""),-ROUNDDOWN(ROUNDUP(INDEX(Upgrades!$C$3:$C$13,MATCH(SUBSTITUTE(C1113,""Sell_"",""""),Upgrades!$B$3:$B$13,0))*1.15^(COUNTIF(C$4:C1112,SUBSTITUTE(C1113,""Sell_"",""""))-COUNTIF(C$4"&amp;":C1112,""Sell_""&amp;SUBSTITUTE(C1113,""Sell_"",""""))))/2),ROUNDUP(INDEX(Upgrades!$C$3:$C$13,MATCH(C1113,Upgrades!$B$3:$B$13,0))*1.15^(COUNTIF(C$4:C1112,C1113)-COUNTIF(C$4:C1112,""Sell_""&amp;C1113))))))"),"")</f>
        <v/>
      </c>
      <c r="H1113" s="10" t="str">
        <f t="shared" si="3"/>
        <v/>
      </c>
      <c r="I1113" s="68" t="str">
        <f t="shared" si="4"/>
        <v/>
      </c>
      <c r="J1113" s="59" t="str">
        <f t="shared" si="5"/>
        <v/>
      </c>
      <c r="K1113" s="69" t="str">
        <f t="shared" si="6"/>
        <v/>
      </c>
      <c r="L1113" s="60" t="str">
        <f t="shared" si="7"/>
        <v/>
      </c>
      <c r="M1113" s="61" t="str">
        <f>IFERROR(__xludf.DUMMYFUNCTION("IFS(AND(COUNTA(C1113:C1350)=0,COUNTA(Q1113:Q1350)=0),"""",OR(AND(K1113&gt;=1000000000,OR(Y1113&gt;=1000000000,COUNTA(Q1113:Q1350)=0)),OR(Y1113&gt;=1000000000,AND(COUNTA(C1113:C1350)=0,P$3=TRUE))),
ROUNDDOWN((AB$1-AC$1)*MAX(INDEX(T$4:T1350,MATCH(LARGE(FILTER(Y$4:Y1"&amp;"350,Y$4:Y1350&lt;1000000000),1),Y$4:Y1350)),INDEX(F$4:F1350,MATCH(LARGE(FILTER(K$4:K1350,K$4:K1350&lt;1000000000),1),K$4:K1350)))),AND(K1113&lt;1000000000,COUNTA(C1113:C1350)&gt;0,P$3=FALSE),
ROUNDDOWN(INDEX(Y$4:Y1350,MATCH(LARGE(FILTER(W$4:W1350,W$4:W1350&lt;=I1113),1)"&amp;",W$4:W1350))+(I1113-LARGE(FILTER(W$4:W1350,W$4:W1350&lt;=I1113),1))*INDEX(T$4:T1350,MATCH(LARGE(FILTER(W$4:W1350,W$4:W1350&lt;=I1113),1),W$4:W1350))-K1113),1,
ROUNDDOWN(Y1113-INDEX(K$4:K1350,MATCH(LARGE(FILTER(I$4:I1350,I$4:I1350&lt;=W1113),1),I$4:I1350))-(W1113-L"&amp;"ARGE(FILTER(I$4:I1350,I$4:I1350&lt;=W1113),1))*INDEX(F$4:F1350,MATCH(LARGE(FILTER(I$4:I1350,I$4:I1350&lt;=W1113),1),I$4:I1350))))"),"")</f>
        <v/>
      </c>
      <c r="N1113" s="60" t="str">
        <f t="shared" si="8"/>
        <v/>
      </c>
      <c r="O1113" s="61" t="str">
        <f t="shared" si="9"/>
        <v/>
      </c>
      <c r="P1113" s="56" t="str">
        <f t="shared" si="10"/>
        <v/>
      </c>
      <c r="Q1113" s="62"/>
      <c r="R1113" s="10" t="str">
        <f>IFERROR(__xludf.DUMMYFUNCTION("IF(COUNTA(Q1113:Q1350)=0,"""",IF(ISBLANK(Q1113),FALSE,IF(NOT(COUNTIF($AA$24:$AA$34,SUBSTITUTE(Q1113,""Sell_"",""""))),1,IF(REGEXMATCH(Q1113,""Sell_""),IF(COUNTIF(Q$4:Q1113,SUBSTITUTE(Q1113,""Sell_"",""""))-COUNTIF(Q$4:Q1112,Q1113)&lt;1,1),FALSE))))"),"")</f>
        <v/>
      </c>
      <c r="S1113" s="59" t="str">
        <f t="array" ref="S1113">IF(COUNTA(Q1113:Q1350)=0,"",SUM((COUNTIF(Q$4:Q1113,Upgrades!$B$3:$B$13)-COUNTIF(Q$4:Q1113,"Sell_"&amp;Upgrades!$B$3:$B$13))*Upgrades!$D$3:$D$13))</f>
        <v/>
      </c>
      <c r="T1113" s="66" t="str">
        <f>IFERROR(__xludf.DUMMYFUNCTION("IF(COUNTA(Q1113:Q1350)=0,"""",IF(REGEXMATCH(INDEX(FILTER(Q$4:Q1113,Q$4:Q1113&lt;&gt;""""),ROWS(FILTER(Q$4:Q1113,Q$4:Q1113&lt;&gt;""""))),""^Sell_""),INDEX(FILTER(T$4:T1112,Q$4:Q1112&lt;&gt;""""),ROWS(FILTER(Q$4:Q1112,Q$4:Q1112&lt;&gt;""""))),$AD$5+S1113))"),"")</f>
        <v/>
      </c>
      <c r="U1113" s="10" t="str">
        <f>IFERROR(__xludf.DUMMYFUNCTION("IF(COUNTA(Q1113:Q1350)=0,"""",IF(Q1113="""",0,IF(REGEXMATCH(Q1113,""^Sell_""),-ROUNDDOWN(ROUNDUP(INDEX(Upgrades!$C$3:$C$13,MATCH(SUBSTITUTE(Q1113,""Sell_"",""""),Upgrades!$B$3:$B$13,0))*1.15^(COUNTIF(Q$4:Q1112,SUBSTITUTE(Q1113,""Sell_"",""""))-COUNTIF(Q$4"&amp;":Q1112,""Sell_""&amp;SUBSTITUTE(Q1113,""Sell_"",""""))))/2),ROUNDUP(INDEX(Upgrades!$C$3:$C$13,MATCH(Q1113,Upgrades!$B$3:$B$13,0))*1.15^(COUNTIF(Q$4:Q1112,Q1113)-COUNTIF(Q$4:Q1112,""Sell_""&amp;Q1113))))))"),"")</f>
        <v/>
      </c>
      <c r="V1113" s="10" t="str">
        <f t="shared" si="11"/>
        <v/>
      </c>
      <c r="W1113" s="68" t="str">
        <f t="shared" si="12"/>
        <v/>
      </c>
      <c r="X1113" s="59" t="str">
        <f t="shared" si="13"/>
        <v/>
      </c>
      <c r="Y1113" s="69" t="str">
        <f t="shared" si="14"/>
        <v/>
      </c>
      <c r="Z1113" s="11"/>
    </row>
    <row r="1114">
      <c r="A1114" s="8"/>
      <c r="B1114" s="56" t="str">
        <f t="shared" si="2"/>
        <v/>
      </c>
      <c r="C1114" s="57"/>
      <c r="D1114" s="10" t="str">
        <f>IFERROR(__xludf.DUMMYFUNCTION("IF(COUNTA(C1114:C1350)=0,"""",IF(ISBLANK(C1114),FALSE,IF(NOT(COUNTIF($AA$24:$AA$34,SUBSTITUTE(C1114,""Sell_"",""""))),1,IF(REGEXMATCH(C1114,""Sell_""),IF(COUNTIF(C$4:C1114,SUBSTITUTE(C1114,""Sell_"",""""))-COUNTIF(C$4:C1113,C1114)&lt;1,1),FALSE))))"),"")</f>
        <v/>
      </c>
      <c r="E1114" s="59" t="str">
        <f t="array" ref="E1114">IF(COUNTA(C1114:C1350)=0,"",SUM((COUNTIF(C$4:C1114,Upgrades!$B$3:$B$13)-COUNTIF(C$4:C1114,"Sell_"&amp;Upgrades!$B$3:$B$13))*Upgrades!$D$3:$D$13))</f>
        <v/>
      </c>
      <c r="F1114" s="66" t="str">
        <f>IFERROR(__xludf.DUMMYFUNCTION("IF(COUNTA(C1114:C1350)=0,"""",IF(REGEXMATCH(INDEX(FILTER(C$4:C1114,C$4:C1114&lt;&gt;""""),ROWS(FILTER(C$4:C1114,C$4:C1114&lt;&gt;""""))),""^Sell_""),INDEX(FILTER(F$4:F1113,C$4:C1113&lt;&gt;""""),ROWS(FILTER(C$4:C1113,C$4:C1113&lt;&gt;""""))),$AC$5+E1114))"),"")</f>
        <v/>
      </c>
      <c r="G1114" s="10" t="str">
        <f>IFERROR(__xludf.DUMMYFUNCTION("IF(COUNTA(C1114:C1350)=0,"""",IF(C1114="""",0,IF(REGEXMATCH(C1114,""^Sell_""),-ROUNDDOWN(ROUNDUP(INDEX(Upgrades!$C$3:$C$13,MATCH(SUBSTITUTE(C1114,""Sell_"",""""),Upgrades!$B$3:$B$13,0))*1.15^(COUNTIF(C$4:C1113,SUBSTITUTE(C1114,""Sell_"",""""))-COUNTIF(C$4"&amp;":C1113,""Sell_""&amp;SUBSTITUTE(C1114,""Sell_"",""""))))/2),ROUNDUP(INDEX(Upgrades!$C$3:$C$13,MATCH(C1114,Upgrades!$B$3:$B$13,0))*1.15^(COUNTIF(C$4:C1113,C1114)-COUNTIF(C$4:C1113,""Sell_""&amp;C1114))))))"),"")</f>
        <v/>
      </c>
      <c r="H1114" s="10" t="str">
        <f t="shared" si="3"/>
        <v/>
      </c>
      <c r="I1114" s="68" t="str">
        <f t="shared" si="4"/>
        <v/>
      </c>
      <c r="J1114" s="59" t="str">
        <f t="shared" si="5"/>
        <v/>
      </c>
      <c r="K1114" s="69" t="str">
        <f t="shared" si="6"/>
        <v/>
      </c>
      <c r="L1114" s="60" t="str">
        <f t="shared" si="7"/>
        <v/>
      </c>
      <c r="M1114" s="61" t="str">
        <f>IFERROR(__xludf.DUMMYFUNCTION("IFS(AND(COUNTA(C1114:C1350)=0,COUNTA(Q1114:Q1350)=0),"""",OR(AND(K1114&gt;=1000000000,OR(Y1114&gt;=1000000000,COUNTA(Q1114:Q1350)=0)),OR(Y1114&gt;=1000000000,AND(COUNTA(C1114:C1350)=0,P$3=TRUE))),
ROUNDDOWN((AB$1-AC$1)*MAX(INDEX(T$4:T1350,MATCH(LARGE(FILTER(Y$4:Y1"&amp;"350,Y$4:Y1350&lt;1000000000),1),Y$4:Y1350)),INDEX(F$4:F1350,MATCH(LARGE(FILTER(K$4:K1350,K$4:K1350&lt;1000000000),1),K$4:K1350)))),AND(K1114&lt;1000000000,COUNTA(C1114:C1350)&gt;0,P$3=FALSE),
ROUNDDOWN(INDEX(Y$4:Y1350,MATCH(LARGE(FILTER(W$4:W1350,W$4:W1350&lt;=I1114),1)"&amp;",W$4:W1350))+(I1114-LARGE(FILTER(W$4:W1350,W$4:W1350&lt;=I1114),1))*INDEX(T$4:T1350,MATCH(LARGE(FILTER(W$4:W1350,W$4:W1350&lt;=I1114),1),W$4:W1350))-K1114),1,
ROUNDDOWN(Y1114-INDEX(K$4:K1350,MATCH(LARGE(FILTER(I$4:I1350,I$4:I1350&lt;=W1114),1),I$4:I1350))-(W1114-L"&amp;"ARGE(FILTER(I$4:I1350,I$4:I1350&lt;=W1114),1))*INDEX(F$4:F1350,MATCH(LARGE(FILTER(I$4:I1350,I$4:I1350&lt;=W1114),1),I$4:I1350))))"),"")</f>
        <v/>
      </c>
      <c r="N1114" s="60" t="str">
        <f t="shared" si="8"/>
        <v/>
      </c>
      <c r="O1114" s="61" t="str">
        <f t="shared" si="9"/>
        <v/>
      </c>
      <c r="P1114" s="56" t="str">
        <f t="shared" si="10"/>
        <v/>
      </c>
      <c r="Q1114" s="62"/>
      <c r="R1114" s="10" t="str">
        <f>IFERROR(__xludf.DUMMYFUNCTION("IF(COUNTA(Q1114:Q1350)=0,"""",IF(ISBLANK(Q1114),FALSE,IF(NOT(COUNTIF($AA$24:$AA$34,SUBSTITUTE(Q1114,""Sell_"",""""))),1,IF(REGEXMATCH(Q1114,""Sell_""),IF(COUNTIF(Q$4:Q1114,SUBSTITUTE(Q1114,""Sell_"",""""))-COUNTIF(Q$4:Q1113,Q1114)&lt;1,1),FALSE))))"),"")</f>
        <v/>
      </c>
      <c r="S1114" s="59" t="str">
        <f t="array" ref="S1114">IF(COUNTA(Q1114:Q1350)=0,"",SUM((COUNTIF(Q$4:Q1114,Upgrades!$B$3:$B$13)-COUNTIF(Q$4:Q1114,"Sell_"&amp;Upgrades!$B$3:$B$13))*Upgrades!$D$3:$D$13))</f>
        <v/>
      </c>
      <c r="T1114" s="66" t="str">
        <f>IFERROR(__xludf.DUMMYFUNCTION("IF(COUNTA(Q1114:Q1350)=0,"""",IF(REGEXMATCH(INDEX(FILTER(Q$4:Q1114,Q$4:Q1114&lt;&gt;""""),ROWS(FILTER(Q$4:Q1114,Q$4:Q1114&lt;&gt;""""))),""^Sell_""),INDEX(FILTER(T$4:T1113,Q$4:Q1113&lt;&gt;""""),ROWS(FILTER(Q$4:Q1113,Q$4:Q1113&lt;&gt;""""))),$AD$5+S1114))"),"")</f>
        <v/>
      </c>
      <c r="U1114" s="10" t="str">
        <f>IFERROR(__xludf.DUMMYFUNCTION("IF(COUNTA(Q1114:Q1350)=0,"""",IF(Q1114="""",0,IF(REGEXMATCH(Q1114,""^Sell_""),-ROUNDDOWN(ROUNDUP(INDEX(Upgrades!$C$3:$C$13,MATCH(SUBSTITUTE(Q1114,""Sell_"",""""),Upgrades!$B$3:$B$13,0))*1.15^(COUNTIF(Q$4:Q1113,SUBSTITUTE(Q1114,""Sell_"",""""))-COUNTIF(Q$4"&amp;":Q1113,""Sell_""&amp;SUBSTITUTE(Q1114,""Sell_"",""""))))/2),ROUNDUP(INDEX(Upgrades!$C$3:$C$13,MATCH(Q1114,Upgrades!$B$3:$B$13,0))*1.15^(COUNTIF(Q$4:Q1113,Q1114)-COUNTIF(Q$4:Q1113,""Sell_""&amp;Q1114))))))"),"")</f>
        <v/>
      </c>
      <c r="V1114" s="10" t="str">
        <f t="shared" si="11"/>
        <v/>
      </c>
      <c r="W1114" s="68" t="str">
        <f t="shared" si="12"/>
        <v/>
      </c>
      <c r="X1114" s="59" t="str">
        <f t="shared" si="13"/>
        <v/>
      </c>
      <c r="Y1114" s="69" t="str">
        <f t="shared" si="14"/>
        <v/>
      </c>
      <c r="Z1114" s="11"/>
    </row>
    <row r="1115">
      <c r="A1115" s="8"/>
      <c r="B1115" s="56" t="str">
        <f t="shared" si="2"/>
        <v/>
      </c>
      <c r="C1115" s="57"/>
      <c r="D1115" s="10" t="str">
        <f>IFERROR(__xludf.DUMMYFUNCTION("IF(COUNTA(C1115:C1350)=0,"""",IF(ISBLANK(C1115),FALSE,IF(NOT(COUNTIF($AA$24:$AA$34,SUBSTITUTE(C1115,""Sell_"",""""))),1,IF(REGEXMATCH(C1115,""Sell_""),IF(COUNTIF(C$4:C1115,SUBSTITUTE(C1115,""Sell_"",""""))-COUNTIF(C$4:C1114,C1115)&lt;1,1),FALSE))))"),"")</f>
        <v/>
      </c>
      <c r="E1115" s="59" t="str">
        <f t="array" ref="E1115">IF(COUNTA(C1115:C1350)=0,"",SUM((COUNTIF(C$4:C1115,Upgrades!$B$3:$B$13)-COUNTIF(C$4:C1115,"Sell_"&amp;Upgrades!$B$3:$B$13))*Upgrades!$D$3:$D$13))</f>
        <v/>
      </c>
      <c r="F1115" s="66" t="str">
        <f>IFERROR(__xludf.DUMMYFUNCTION("IF(COUNTA(C1115:C1350)=0,"""",IF(REGEXMATCH(INDEX(FILTER(C$4:C1115,C$4:C1115&lt;&gt;""""),ROWS(FILTER(C$4:C1115,C$4:C1115&lt;&gt;""""))),""^Sell_""),INDEX(FILTER(F$4:F1114,C$4:C1114&lt;&gt;""""),ROWS(FILTER(C$4:C1114,C$4:C1114&lt;&gt;""""))),$AC$5+E1115))"),"")</f>
        <v/>
      </c>
      <c r="G1115" s="10" t="str">
        <f>IFERROR(__xludf.DUMMYFUNCTION("IF(COUNTA(C1115:C1350)=0,"""",IF(C1115="""",0,IF(REGEXMATCH(C1115,""^Sell_""),-ROUNDDOWN(ROUNDUP(INDEX(Upgrades!$C$3:$C$13,MATCH(SUBSTITUTE(C1115,""Sell_"",""""),Upgrades!$B$3:$B$13,0))*1.15^(COUNTIF(C$4:C1114,SUBSTITUTE(C1115,""Sell_"",""""))-COUNTIF(C$4"&amp;":C1114,""Sell_""&amp;SUBSTITUTE(C1115,""Sell_"",""""))))/2),ROUNDUP(INDEX(Upgrades!$C$3:$C$13,MATCH(C1115,Upgrades!$B$3:$B$13,0))*1.15^(COUNTIF(C$4:C1114,C1115)-COUNTIF(C$4:C1114,""Sell_""&amp;C1115))))))"),"")</f>
        <v/>
      </c>
      <c r="H1115" s="10" t="str">
        <f t="shared" si="3"/>
        <v/>
      </c>
      <c r="I1115" s="68" t="str">
        <f t="shared" si="4"/>
        <v/>
      </c>
      <c r="J1115" s="59" t="str">
        <f t="shared" si="5"/>
        <v/>
      </c>
      <c r="K1115" s="69" t="str">
        <f t="shared" si="6"/>
        <v/>
      </c>
      <c r="L1115" s="60" t="str">
        <f t="shared" si="7"/>
        <v/>
      </c>
      <c r="M1115" s="61" t="str">
        <f>IFERROR(__xludf.DUMMYFUNCTION("IFS(AND(COUNTA(C1115:C1350)=0,COUNTA(Q1115:Q1350)=0),"""",OR(AND(K1115&gt;=1000000000,OR(Y1115&gt;=1000000000,COUNTA(Q1115:Q1350)=0)),OR(Y1115&gt;=1000000000,AND(COUNTA(C1115:C1350)=0,P$3=TRUE))),
ROUNDDOWN((AB$1-AC$1)*MAX(INDEX(T$4:T1350,MATCH(LARGE(FILTER(Y$4:Y1"&amp;"350,Y$4:Y1350&lt;1000000000),1),Y$4:Y1350)),INDEX(F$4:F1350,MATCH(LARGE(FILTER(K$4:K1350,K$4:K1350&lt;1000000000),1),K$4:K1350)))),AND(K1115&lt;1000000000,COUNTA(C1115:C1350)&gt;0,P$3=FALSE),
ROUNDDOWN(INDEX(Y$4:Y1350,MATCH(LARGE(FILTER(W$4:W1350,W$4:W1350&lt;=I1115),1)"&amp;",W$4:W1350))+(I1115-LARGE(FILTER(W$4:W1350,W$4:W1350&lt;=I1115),1))*INDEX(T$4:T1350,MATCH(LARGE(FILTER(W$4:W1350,W$4:W1350&lt;=I1115),1),W$4:W1350))-K1115),1,
ROUNDDOWN(Y1115-INDEX(K$4:K1350,MATCH(LARGE(FILTER(I$4:I1350,I$4:I1350&lt;=W1115),1),I$4:I1350))-(W1115-L"&amp;"ARGE(FILTER(I$4:I1350,I$4:I1350&lt;=W1115),1))*INDEX(F$4:F1350,MATCH(LARGE(FILTER(I$4:I1350,I$4:I1350&lt;=W1115),1),I$4:I1350))))"),"")</f>
        <v/>
      </c>
      <c r="N1115" s="60" t="str">
        <f t="shared" si="8"/>
        <v/>
      </c>
      <c r="O1115" s="61" t="str">
        <f t="shared" si="9"/>
        <v/>
      </c>
      <c r="P1115" s="56" t="str">
        <f t="shared" si="10"/>
        <v/>
      </c>
      <c r="Q1115" s="62"/>
      <c r="R1115" s="10" t="str">
        <f>IFERROR(__xludf.DUMMYFUNCTION("IF(COUNTA(Q1115:Q1350)=0,"""",IF(ISBLANK(Q1115),FALSE,IF(NOT(COUNTIF($AA$24:$AA$34,SUBSTITUTE(Q1115,""Sell_"",""""))),1,IF(REGEXMATCH(Q1115,""Sell_""),IF(COUNTIF(Q$4:Q1115,SUBSTITUTE(Q1115,""Sell_"",""""))-COUNTIF(Q$4:Q1114,Q1115)&lt;1,1),FALSE))))"),"")</f>
        <v/>
      </c>
      <c r="S1115" s="59" t="str">
        <f t="array" ref="S1115">IF(COUNTA(Q1115:Q1350)=0,"",SUM((COUNTIF(Q$4:Q1115,Upgrades!$B$3:$B$13)-COUNTIF(Q$4:Q1115,"Sell_"&amp;Upgrades!$B$3:$B$13))*Upgrades!$D$3:$D$13))</f>
        <v/>
      </c>
      <c r="T1115" s="66" t="str">
        <f>IFERROR(__xludf.DUMMYFUNCTION("IF(COUNTA(Q1115:Q1350)=0,"""",IF(REGEXMATCH(INDEX(FILTER(Q$4:Q1115,Q$4:Q1115&lt;&gt;""""),ROWS(FILTER(Q$4:Q1115,Q$4:Q1115&lt;&gt;""""))),""^Sell_""),INDEX(FILTER(T$4:T1114,Q$4:Q1114&lt;&gt;""""),ROWS(FILTER(Q$4:Q1114,Q$4:Q1114&lt;&gt;""""))),$AD$5+S1115))"),"")</f>
        <v/>
      </c>
      <c r="U1115" s="10" t="str">
        <f>IFERROR(__xludf.DUMMYFUNCTION("IF(COUNTA(Q1115:Q1350)=0,"""",IF(Q1115="""",0,IF(REGEXMATCH(Q1115,""^Sell_""),-ROUNDDOWN(ROUNDUP(INDEX(Upgrades!$C$3:$C$13,MATCH(SUBSTITUTE(Q1115,""Sell_"",""""),Upgrades!$B$3:$B$13,0))*1.15^(COUNTIF(Q$4:Q1114,SUBSTITUTE(Q1115,""Sell_"",""""))-COUNTIF(Q$4"&amp;":Q1114,""Sell_""&amp;SUBSTITUTE(Q1115,""Sell_"",""""))))/2),ROUNDUP(INDEX(Upgrades!$C$3:$C$13,MATCH(Q1115,Upgrades!$B$3:$B$13,0))*1.15^(COUNTIF(Q$4:Q1114,Q1115)-COUNTIF(Q$4:Q1114,""Sell_""&amp;Q1115))))))"),"")</f>
        <v/>
      </c>
      <c r="V1115" s="10" t="str">
        <f t="shared" si="11"/>
        <v/>
      </c>
      <c r="W1115" s="68" t="str">
        <f t="shared" si="12"/>
        <v/>
      </c>
      <c r="X1115" s="59" t="str">
        <f t="shared" si="13"/>
        <v/>
      </c>
      <c r="Y1115" s="69" t="str">
        <f t="shared" si="14"/>
        <v/>
      </c>
      <c r="Z1115" s="11"/>
    </row>
    <row r="1116">
      <c r="A1116" s="8"/>
      <c r="B1116" s="56" t="str">
        <f t="shared" si="2"/>
        <v/>
      </c>
      <c r="C1116" s="57"/>
      <c r="D1116" s="10" t="str">
        <f>IFERROR(__xludf.DUMMYFUNCTION("IF(COUNTA(C1116:C1350)=0,"""",IF(ISBLANK(C1116),FALSE,IF(NOT(COUNTIF($AA$24:$AA$34,SUBSTITUTE(C1116,""Sell_"",""""))),1,IF(REGEXMATCH(C1116,""Sell_""),IF(COUNTIF(C$4:C1116,SUBSTITUTE(C1116,""Sell_"",""""))-COUNTIF(C$4:C1115,C1116)&lt;1,1),FALSE))))"),"")</f>
        <v/>
      </c>
      <c r="E1116" s="59" t="str">
        <f t="array" ref="E1116">IF(COUNTA(C1116:C1350)=0,"",SUM((COUNTIF(C$4:C1116,Upgrades!$B$3:$B$13)-COUNTIF(C$4:C1116,"Sell_"&amp;Upgrades!$B$3:$B$13))*Upgrades!$D$3:$D$13))</f>
        <v/>
      </c>
      <c r="F1116" s="66" t="str">
        <f>IFERROR(__xludf.DUMMYFUNCTION("IF(COUNTA(C1116:C1350)=0,"""",IF(REGEXMATCH(INDEX(FILTER(C$4:C1116,C$4:C1116&lt;&gt;""""),ROWS(FILTER(C$4:C1116,C$4:C1116&lt;&gt;""""))),""^Sell_""),INDEX(FILTER(F$4:F1115,C$4:C1115&lt;&gt;""""),ROWS(FILTER(C$4:C1115,C$4:C1115&lt;&gt;""""))),$AC$5+E1116))"),"")</f>
        <v/>
      </c>
      <c r="G1116" s="10" t="str">
        <f>IFERROR(__xludf.DUMMYFUNCTION("IF(COUNTA(C1116:C1350)=0,"""",IF(C1116="""",0,IF(REGEXMATCH(C1116,""^Sell_""),-ROUNDDOWN(ROUNDUP(INDEX(Upgrades!$C$3:$C$13,MATCH(SUBSTITUTE(C1116,""Sell_"",""""),Upgrades!$B$3:$B$13,0))*1.15^(COUNTIF(C$4:C1115,SUBSTITUTE(C1116,""Sell_"",""""))-COUNTIF(C$4"&amp;":C1115,""Sell_""&amp;SUBSTITUTE(C1116,""Sell_"",""""))))/2),ROUNDUP(INDEX(Upgrades!$C$3:$C$13,MATCH(C1116,Upgrades!$B$3:$B$13,0))*1.15^(COUNTIF(C$4:C1115,C1116)-COUNTIF(C$4:C1115,""Sell_""&amp;C1116))))))"),"")</f>
        <v/>
      </c>
      <c r="H1116" s="10" t="str">
        <f t="shared" si="3"/>
        <v/>
      </c>
      <c r="I1116" s="68" t="str">
        <f t="shared" si="4"/>
        <v/>
      </c>
      <c r="J1116" s="59" t="str">
        <f t="shared" si="5"/>
        <v/>
      </c>
      <c r="K1116" s="69" t="str">
        <f t="shared" si="6"/>
        <v/>
      </c>
      <c r="L1116" s="60" t="str">
        <f t="shared" si="7"/>
        <v/>
      </c>
      <c r="M1116" s="61" t="str">
        <f>IFERROR(__xludf.DUMMYFUNCTION("IFS(AND(COUNTA(C1116:C1350)=0,COUNTA(Q1116:Q1350)=0),"""",OR(AND(K1116&gt;=1000000000,OR(Y1116&gt;=1000000000,COUNTA(Q1116:Q1350)=0)),OR(Y1116&gt;=1000000000,AND(COUNTA(C1116:C1350)=0,P$3=TRUE))),
ROUNDDOWN((AB$1-AC$1)*MAX(INDEX(T$4:T1350,MATCH(LARGE(FILTER(Y$4:Y1"&amp;"350,Y$4:Y1350&lt;1000000000),1),Y$4:Y1350)),INDEX(F$4:F1350,MATCH(LARGE(FILTER(K$4:K1350,K$4:K1350&lt;1000000000),1),K$4:K1350)))),AND(K1116&lt;1000000000,COUNTA(C1116:C1350)&gt;0,P$3=FALSE),
ROUNDDOWN(INDEX(Y$4:Y1350,MATCH(LARGE(FILTER(W$4:W1350,W$4:W1350&lt;=I1116),1)"&amp;",W$4:W1350))+(I1116-LARGE(FILTER(W$4:W1350,W$4:W1350&lt;=I1116),1))*INDEX(T$4:T1350,MATCH(LARGE(FILTER(W$4:W1350,W$4:W1350&lt;=I1116),1),W$4:W1350))-K1116),1,
ROUNDDOWN(Y1116-INDEX(K$4:K1350,MATCH(LARGE(FILTER(I$4:I1350,I$4:I1350&lt;=W1116),1),I$4:I1350))-(W1116-L"&amp;"ARGE(FILTER(I$4:I1350,I$4:I1350&lt;=W1116),1))*INDEX(F$4:F1350,MATCH(LARGE(FILTER(I$4:I1350,I$4:I1350&lt;=W1116),1),I$4:I1350))))"),"")</f>
        <v/>
      </c>
      <c r="N1116" s="60" t="str">
        <f t="shared" si="8"/>
        <v/>
      </c>
      <c r="O1116" s="61" t="str">
        <f t="shared" si="9"/>
        <v/>
      </c>
      <c r="P1116" s="56" t="str">
        <f t="shared" si="10"/>
        <v/>
      </c>
      <c r="Q1116" s="62"/>
      <c r="R1116" s="10" t="str">
        <f>IFERROR(__xludf.DUMMYFUNCTION("IF(COUNTA(Q1116:Q1350)=0,"""",IF(ISBLANK(Q1116),FALSE,IF(NOT(COUNTIF($AA$24:$AA$34,SUBSTITUTE(Q1116,""Sell_"",""""))),1,IF(REGEXMATCH(Q1116,""Sell_""),IF(COUNTIF(Q$4:Q1116,SUBSTITUTE(Q1116,""Sell_"",""""))-COUNTIF(Q$4:Q1115,Q1116)&lt;1,1),FALSE))))"),"")</f>
        <v/>
      </c>
      <c r="S1116" s="59" t="str">
        <f t="array" ref="S1116">IF(COUNTA(Q1116:Q1350)=0,"",SUM((COUNTIF(Q$4:Q1116,Upgrades!$B$3:$B$13)-COUNTIF(Q$4:Q1116,"Sell_"&amp;Upgrades!$B$3:$B$13))*Upgrades!$D$3:$D$13))</f>
        <v/>
      </c>
      <c r="T1116" s="66" t="str">
        <f>IFERROR(__xludf.DUMMYFUNCTION("IF(COUNTA(Q1116:Q1350)=0,"""",IF(REGEXMATCH(INDEX(FILTER(Q$4:Q1116,Q$4:Q1116&lt;&gt;""""),ROWS(FILTER(Q$4:Q1116,Q$4:Q1116&lt;&gt;""""))),""^Sell_""),INDEX(FILTER(T$4:T1115,Q$4:Q1115&lt;&gt;""""),ROWS(FILTER(Q$4:Q1115,Q$4:Q1115&lt;&gt;""""))),$AD$5+S1116))"),"")</f>
        <v/>
      </c>
      <c r="U1116" s="10" t="str">
        <f>IFERROR(__xludf.DUMMYFUNCTION("IF(COUNTA(Q1116:Q1350)=0,"""",IF(Q1116="""",0,IF(REGEXMATCH(Q1116,""^Sell_""),-ROUNDDOWN(ROUNDUP(INDEX(Upgrades!$C$3:$C$13,MATCH(SUBSTITUTE(Q1116,""Sell_"",""""),Upgrades!$B$3:$B$13,0))*1.15^(COUNTIF(Q$4:Q1115,SUBSTITUTE(Q1116,""Sell_"",""""))-COUNTIF(Q$4"&amp;":Q1115,""Sell_""&amp;SUBSTITUTE(Q1116,""Sell_"",""""))))/2),ROUNDUP(INDEX(Upgrades!$C$3:$C$13,MATCH(Q1116,Upgrades!$B$3:$B$13,0))*1.15^(COUNTIF(Q$4:Q1115,Q1116)-COUNTIF(Q$4:Q1115,""Sell_""&amp;Q1116))))))"),"")</f>
        <v/>
      </c>
      <c r="V1116" s="10" t="str">
        <f t="shared" si="11"/>
        <v/>
      </c>
      <c r="W1116" s="68" t="str">
        <f t="shared" si="12"/>
        <v/>
      </c>
      <c r="X1116" s="59" t="str">
        <f t="shared" si="13"/>
        <v/>
      </c>
      <c r="Y1116" s="69" t="str">
        <f t="shared" si="14"/>
        <v/>
      </c>
      <c r="Z1116" s="11"/>
    </row>
    <row r="1117">
      <c r="A1117" s="8"/>
      <c r="B1117" s="56" t="str">
        <f t="shared" si="2"/>
        <v/>
      </c>
      <c r="C1117" s="57"/>
      <c r="D1117" s="10" t="str">
        <f>IFERROR(__xludf.DUMMYFUNCTION("IF(COUNTA(C1117:C1350)=0,"""",IF(ISBLANK(C1117),FALSE,IF(NOT(COUNTIF($AA$24:$AA$34,SUBSTITUTE(C1117,""Sell_"",""""))),1,IF(REGEXMATCH(C1117,""Sell_""),IF(COUNTIF(C$4:C1117,SUBSTITUTE(C1117,""Sell_"",""""))-COUNTIF(C$4:C1116,C1117)&lt;1,1),FALSE))))"),"")</f>
        <v/>
      </c>
      <c r="E1117" s="59" t="str">
        <f t="array" ref="E1117">IF(COUNTA(C1117:C1350)=0,"",SUM((COUNTIF(C$4:C1117,Upgrades!$B$3:$B$13)-COUNTIF(C$4:C1117,"Sell_"&amp;Upgrades!$B$3:$B$13))*Upgrades!$D$3:$D$13))</f>
        <v/>
      </c>
      <c r="F1117" s="66" t="str">
        <f>IFERROR(__xludf.DUMMYFUNCTION("IF(COUNTA(C1117:C1350)=0,"""",IF(REGEXMATCH(INDEX(FILTER(C$4:C1117,C$4:C1117&lt;&gt;""""),ROWS(FILTER(C$4:C1117,C$4:C1117&lt;&gt;""""))),""^Sell_""),INDEX(FILTER(F$4:F1116,C$4:C1116&lt;&gt;""""),ROWS(FILTER(C$4:C1116,C$4:C1116&lt;&gt;""""))),$AC$5+E1117))"),"")</f>
        <v/>
      </c>
      <c r="G1117" s="10" t="str">
        <f>IFERROR(__xludf.DUMMYFUNCTION("IF(COUNTA(C1117:C1350)=0,"""",IF(C1117="""",0,IF(REGEXMATCH(C1117,""^Sell_""),-ROUNDDOWN(ROUNDUP(INDEX(Upgrades!$C$3:$C$13,MATCH(SUBSTITUTE(C1117,""Sell_"",""""),Upgrades!$B$3:$B$13,0))*1.15^(COUNTIF(C$4:C1116,SUBSTITUTE(C1117,""Sell_"",""""))-COUNTIF(C$4"&amp;":C1116,""Sell_""&amp;SUBSTITUTE(C1117,""Sell_"",""""))))/2),ROUNDUP(INDEX(Upgrades!$C$3:$C$13,MATCH(C1117,Upgrades!$B$3:$B$13,0))*1.15^(COUNTIF(C$4:C1116,C1117)-COUNTIF(C$4:C1116,""Sell_""&amp;C1117))))))"),"")</f>
        <v/>
      </c>
      <c r="H1117" s="10" t="str">
        <f t="shared" si="3"/>
        <v/>
      </c>
      <c r="I1117" s="68" t="str">
        <f t="shared" si="4"/>
        <v/>
      </c>
      <c r="J1117" s="59" t="str">
        <f t="shared" si="5"/>
        <v/>
      </c>
      <c r="K1117" s="69" t="str">
        <f t="shared" si="6"/>
        <v/>
      </c>
      <c r="L1117" s="60" t="str">
        <f t="shared" si="7"/>
        <v/>
      </c>
      <c r="M1117" s="61" t="str">
        <f>IFERROR(__xludf.DUMMYFUNCTION("IFS(AND(COUNTA(C1117:C1350)=0,COUNTA(Q1117:Q1350)=0),"""",OR(AND(K1117&gt;=1000000000,OR(Y1117&gt;=1000000000,COUNTA(Q1117:Q1350)=0)),OR(Y1117&gt;=1000000000,AND(COUNTA(C1117:C1350)=0,P$3=TRUE))),
ROUNDDOWN((AB$1-AC$1)*MAX(INDEX(T$4:T1350,MATCH(LARGE(FILTER(Y$4:Y1"&amp;"350,Y$4:Y1350&lt;1000000000),1),Y$4:Y1350)),INDEX(F$4:F1350,MATCH(LARGE(FILTER(K$4:K1350,K$4:K1350&lt;1000000000),1),K$4:K1350)))),AND(K1117&lt;1000000000,COUNTA(C1117:C1350)&gt;0,P$3=FALSE),
ROUNDDOWN(INDEX(Y$4:Y1350,MATCH(LARGE(FILTER(W$4:W1350,W$4:W1350&lt;=I1117),1)"&amp;",W$4:W1350))+(I1117-LARGE(FILTER(W$4:W1350,W$4:W1350&lt;=I1117),1))*INDEX(T$4:T1350,MATCH(LARGE(FILTER(W$4:W1350,W$4:W1350&lt;=I1117),1),W$4:W1350))-K1117),1,
ROUNDDOWN(Y1117-INDEX(K$4:K1350,MATCH(LARGE(FILTER(I$4:I1350,I$4:I1350&lt;=W1117),1),I$4:I1350))-(W1117-L"&amp;"ARGE(FILTER(I$4:I1350,I$4:I1350&lt;=W1117),1))*INDEX(F$4:F1350,MATCH(LARGE(FILTER(I$4:I1350,I$4:I1350&lt;=W1117),1),I$4:I1350))))"),"")</f>
        <v/>
      </c>
      <c r="N1117" s="60" t="str">
        <f t="shared" si="8"/>
        <v/>
      </c>
      <c r="O1117" s="61" t="str">
        <f t="shared" si="9"/>
        <v/>
      </c>
      <c r="P1117" s="56" t="str">
        <f t="shared" si="10"/>
        <v/>
      </c>
      <c r="Q1117" s="62"/>
      <c r="R1117" s="10" t="str">
        <f>IFERROR(__xludf.DUMMYFUNCTION("IF(COUNTA(Q1117:Q1350)=0,"""",IF(ISBLANK(Q1117),FALSE,IF(NOT(COUNTIF($AA$24:$AA$34,SUBSTITUTE(Q1117,""Sell_"",""""))),1,IF(REGEXMATCH(Q1117,""Sell_""),IF(COUNTIF(Q$4:Q1117,SUBSTITUTE(Q1117,""Sell_"",""""))-COUNTIF(Q$4:Q1116,Q1117)&lt;1,1),FALSE))))"),"")</f>
        <v/>
      </c>
      <c r="S1117" s="59" t="str">
        <f t="array" ref="S1117">IF(COUNTA(Q1117:Q1350)=0,"",SUM((COUNTIF(Q$4:Q1117,Upgrades!$B$3:$B$13)-COUNTIF(Q$4:Q1117,"Sell_"&amp;Upgrades!$B$3:$B$13))*Upgrades!$D$3:$D$13))</f>
        <v/>
      </c>
      <c r="T1117" s="66" t="str">
        <f>IFERROR(__xludf.DUMMYFUNCTION("IF(COUNTA(Q1117:Q1350)=0,"""",IF(REGEXMATCH(INDEX(FILTER(Q$4:Q1117,Q$4:Q1117&lt;&gt;""""),ROWS(FILTER(Q$4:Q1117,Q$4:Q1117&lt;&gt;""""))),""^Sell_""),INDEX(FILTER(T$4:T1116,Q$4:Q1116&lt;&gt;""""),ROWS(FILTER(Q$4:Q1116,Q$4:Q1116&lt;&gt;""""))),$AD$5+S1117))"),"")</f>
        <v/>
      </c>
      <c r="U1117" s="10" t="str">
        <f>IFERROR(__xludf.DUMMYFUNCTION("IF(COUNTA(Q1117:Q1350)=0,"""",IF(Q1117="""",0,IF(REGEXMATCH(Q1117,""^Sell_""),-ROUNDDOWN(ROUNDUP(INDEX(Upgrades!$C$3:$C$13,MATCH(SUBSTITUTE(Q1117,""Sell_"",""""),Upgrades!$B$3:$B$13,0))*1.15^(COUNTIF(Q$4:Q1116,SUBSTITUTE(Q1117,""Sell_"",""""))-COUNTIF(Q$4"&amp;":Q1116,""Sell_""&amp;SUBSTITUTE(Q1117,""Sell_"",""""))))/2),ROUNDUP(INDEX(Upgrades!$C$3:$C$13,MATCH(Q1117,Upgrades!$B$3:$B$13,0))*1.15^(COUNTIF(Q$4:Q1116,Q1117)-COUNTIF(Q$4:Q1116,""Sell_""&amp;Q1117))))))"),"")</f>
        <v/>
      </c>
      <c r="V1117" s="10" t="str">
        <f t="shared" si="11"/>
        <v/>
      </c>
      <c r="W1117" s="68" t="str">
        <f t="shared" si="12"/>
        <v/>
      </c>
      <c r="X1117" s="59" t="str">
        <f t="shared" si="13"/>
        <v/>
      </c>
      <c r="Y1117" s="69" t="str">
        <f t="shared" si="14"/>
        <v/>
      </c>
      <c r="Z1117" s="11"/>
    </row>
    <row r="1118">
      <c r="A1118" s="8"/>
      <c r="B1118" s="56" t="str">
        <f t="shared" si="2"/>
        <v/>
      </c>
      <c r="C1118" s="57"/>
      <c r="D1118" s="10" t="str">
        <f>IFERROR(__xludf.DUMMYFUNCTION("IF(COUNTA(C1118:C1350)=0,"""",IF(ISBLANK(C1118),FALSE,IF(NOT(COUNTIF($AA$24:$AA$34,SUBSTITUTE(C1118,""Sell_"",""""))),1,IF(REGEXMATCH(C1118,""Sell_""),IF(COUNTIF(C$4:C1118,SUBSTITUTE(C1118,""Sell_"",""""))-COUNTIF(C$4:C1117,C1118)&lt;1,1),FALSE))))"),"")</f>
        <v/>
      </c>
      <c r="E1118" s="59" t="str">
        <f t="array" ref="E1118">IF(COUNTA(C1118:C1350)=0,"",SUM((COUNTIF(C$4:C1118,Upgrades!$B$3:$B$13)-COUNTIF(C$4:C1118,"Sell_"&amp;Upgrades!$B$3:$B$13))*Upgrades!$D$3:$D$13))</f>
        <v/>
      </c>
      <c r="F1118" s="66" t="str">
        <f>IFERROR(__xludf.DUMMYFUNCTION("IF(COUNTA(C1118:C1350)=0,"""",IF(REGEXMATCH(INDEX(FILTER(C$4:C1118,C$4:C1118&lt;&gt;""""),ROWS(FILTER(C$4:C1118,C$4:C1118&lt;&gt;""""))),""^Sell_""),INDEX(FILTER(F$4:F1117,C$4:C1117&lt;&gt;""""),ROWS(FILTER(C$4:C1117,C$4:C1117&lt;&gt;""""))),$AC$5+E1118))"),"")</f>
        <v/>
      </c>
      <c r="G1118" s="10" t="str">
        <f>IFERROR(__xludf.DUMMYFUNCTION("IF(COUNTA(C1118:C1350)=0,"""",IF(C1118="""",0,IF(REGEXMATCH(C1118,""^Sell_""),-ROUNDDOWN(ROUNDUP(INDEX(Upgrades!$C$3:$C$13,MATCH(SUBSTITUTE(C1118,""Sell_"",""""),Upgrades!$B$3:$B$13,0))*1.15^(COUNTIF(C$4:C1117,SUBSTITUTE(C1118,""Sell_"",""""))-COUNTIF(C$4"&amp;":C1117,""Sell_""&amp;SUBSTITUTE(C1118,""Sell_"",""""))))/2),ROUNDUP(INDEX(Upgrades!$C$3:$C$13,MATCH(C1118,Upgrades!$B$3:$B$13,0))*1.15^(COUNTIF(C$4:C1117,C1118)-COUNTIF(C$4:C1117,""Sell_""&amp;C1118))))))"),"")</f>
        <v/>
      </c>
      <c r="H1118" s="10" t="str">
        <f t="shared" si="3"/>
        <v/>
      </c>
      <c r="I1118" s="68" t="str">
        <f t="shared" si="4"/>
        <v/>
      </c>
      <c r="J1118" s="59" t="str">
        <f t="shared" si="5"/>
        <v/>
      </c>
      <c r="K1118" s="69" t="str">
        <f t="shared" si="6"/>
        <v/>
      </c>
      <c r="L1118" s="60" t="str">
        <f t="shared" si="7"/>
        <v/>
      </c>
      <c r="M1118" s="61" t="str">
        <f>IFERROR(__xludf.DUMMYFUNCTION("IFS(AND(COUNTA(C1118:C1350)=0,COUNTA(Q1118:Q1350)=0),"""",OR(AND(K1118&gt;=1000000000,OR(Y1118&gt;=1000000000,COUNTA(Q1118:Q1350)=0)),OR(Y1118&gt;=1000000000,AND(COUNTA(C1118:C1350)=0,P$3=TRUE))),
ROUNDDOWN((AB$1-AC$1)*MAX(INDEX(T$4:T1350,MATCH(LARGE(FILTER(Y$4:Y1"&amp;"350,Y$4:Y1350&lt;1000000000),1),Y$4:Y1350)),INDEX(F$4:F1350,MATCH(LARGE(FILTER(K$4:K1350,K$4:K1350&lt;1000000000),1),K$4:K1350)))),AND(K1118&lt;1000000000,COUNTA(C1118:C1350)&gt;0,P$3=FALSE),
ROUNDDOWN(INDEX(Y$4:Y1350,MATCH(LARGE(FILTER(W$4:W1350,W$4:W1350&lt;=I1118),1)"&amp;",W$4:W1350))+(I1118-LARGE(FILTER(W$4:W1350,W$4:W1350&lt;=I1118),1))*INDEX(T$4:T1350,MATCH(LARGE(FILTER(W$4:W1350,W$4:W1350&lt;=I1118),1),W$4:W1350))-K1118),1,
ROUNDDOWN(Y1118-INDEX(K$4:K1350,MATCH(LARGE(FILTER(I$4:I1350,I$4:I1350&lt;=W1118),1),I$4:I1350))-(W1118-L"&amp;"ARGE(FILTER(I$4:I1350,I$4:I1350&lt;=W1118),1))*INDEX(F$4:F1350,MATCH(LARGE(FILTER(I$4:I1350,I$4:I1350&lt;=W1118),1),I$4:I1350))))"),"")</f>
        <v/>
      </c>
      <c r="N1118" s="60" t="str">
        <f t="shared" si="8"/>
        <v/>
      </c>
      <c r="O1118" s="61" t="str">
        <f t="shared" si="9"/>
        <v/>
      </c>
      <c r="P1118" s="56" t="str">
        <f t="shared" si="10"/>
        <v/>
      </c>
      <c r="Q1118" s="62"/>
      <c r="R1118" s="10" t="str">
        <f>IFERROR(__xludf.DUMMYFUNCTION("IF(COUNTA(Q1118:Q1350)=0,"""",IF(ISBLANK(Q1118),FALSE,IF(NOT(COUNTIF($AA$24:$AA$34,SUBSTITUTE(Q1118,""Sell_"",""""))),1,IF(REGEXMATCH(Q1118,""Sell_""),IF(COUNTIF(Q$4:Q1118,SUBSTITUTE(Q1118,""Sell_"",""""))-COUNTIF(Q$4:Q1117,Q1118)&lt;1,1),FALSE))))"),"")</f>
        <v/>
      </c>
      <c r="S1118" s="59" t="str">
        <f t="array" ref="S1118">IF(COUNTA(Q1118:Q1350)=0,"",SUM((COUNTIF(Q$4:Q1118,Upgrades!$B$3:$B$13)-COUNTIF(Q$4:Q1118,"Sell_"&amp;Upgrades!$B$3:$B$13))*Upgrades!$D$3:$D$13))</f>
        <v/>
      </c>
      <c r="T1118" s="66" t="str">
        <f>IFERROR(__xludf.DUMMYFUNCTION("IF(COUNTA(Q1118:Q1350)=0,"""",IF(REGEXMATCH(INDEX(FILTER(Q$4:Q1118,Q$4:Q1118&lt;&gt;""""),ROWS(FILTER(Q$4:Q1118,Q$4:Q1118&lt;&gt;""""))),""^Sell_""),INDEX(FILTER(T$4:T1117,Q$4:Q1117&lt;&gt;""""),ROWS(FILTER(Q$4:Q1117,Q$4:Q1117&lt;&gt;""""))),$AD$5+S1118))"),"")</f>
        <v/>
      </c>
      <c r="U1118" s="10" t="str">
        <f>IFERROR(__xludf.DUMMYFUNCTION("IF(COUNTA(Q1118:Q1350)=0,"""",IF(Q1118="""",0,IF(REGEXMATCH(Q1118,""^Sell_""),-ROUNDDOWN(ROUNDUP(INDEX(Upgrades!$C$3:$C$13,MATCH(SUBSTITUTE(Q1118,""Sell_"",""""),Upgrades!$B$3:$B$13,0))*1.15^(COUNTIF(Q$4:Q1117,SUBSTITUTE(Q1118,""Sell_"",""""))-COUNTIF(Q$4"&amp;":Q1117,""Sell_""&amp;SUBSTITUTE(Q1118,""Sell_"",""""))))/2),ROUNDUP(INDEX(Upgrades!$C$3:$C$13,MATCH(Q1118,Upgrades!$B$3:$B$13,0))*1.15^(COUNTIF(Q$4:Q1117,Q1118)-COUNTIF(Q$4:Q1117,""Sell_""&amp;Q1118))))))"),"")</f>
        <v/>
      </c>
      <c r="V1118" s="10" t="str">
        <f t="shared" si="11"/>
        <v/>
      </c>
      <c r="W1118" s="68" t="str">
        <f t="shared" si="12"/>
        <v/>
      </c>
      <c r="X1118" s="59" t="str">
        <f t="shared" si="13"/>
        <v/>
      </c>
      <c r="Y1118" s="69" t="str">
        <f t="shared" si="14"/>
        <v/>
      </c>
      <c r="Z1118" s="11"/>
    </row>
    <row r="1119">
      <c r="A1119" s="8"/>
      <c r="B1119" s="56" t="str">
        <f t="shared" si="2"/>
        <v/>
      </c>
      <c r="C1119" s="57"/>
      <c r="D1119" s="10" t="str">
        <f>IFERROR(__xludf.DUMMYFUNCTION("IF(COUNTA(C1119:C1350)=0,"""",IF(ISBLANK(C1119),FALSE,IF(NOT(COUNTIF($AA$24:$AA$34,SUBSTITUTE(C1119,""Sell_"",""""))),1,IF(REGEXMATCH(C1119,""Sell_""),IF(COUNTIF(C$4:C1119,SUBSTITUTE(C1119,""Sell_"",""""))-COUNTIF(C$4:C1118,C1119)&lt;1,1),FALSE))))"),"")</f>
        <v/>
      </c>
      <c r="E1119" s="59" t="str">
        <f t="array" ref="E1119">IF(COUNTA(C1119:C1350)=0,"",SUM((COUNTIF(C$4:C1119,Upgrades!$B$3:$B$13)-COUNTIF(C$4:C1119,"Sell_"&amp;Upgrades!$B$3:$B$13))*Upgrades!$D$3:$D$13))</f>
        <v/>
      </c>
      <c r="F1119" s="66" t="str">
        <f>IFERROR(__xludf.DUMMYFUNCTION("IF(COUNTA(C1119:C1350)=0,"""",IF(REGEXMATCH(INDEX(FILTER(C$4:C1119,C$4:C1119&lt;&gt;""""),ROWS(FILTER(C$4:C1119,C$4:C1119&lt;&gt;""""))),""^Sell_""),INDEX(FILTER(F$4:F1118,C$4:C1118&lt;&gt;""""),ROWS(FILTER(C$4:C1118,C$4:C1118&lt;&gt;""""))),$AC$5+E1119))"),"")</f>
        <v/>
      </c>
      <c r="G1119" s="10" t="str">
        <f>IFERROR(__xludf.DUMMYFUNCTION("IF(COUNTA(C1119:C1350)=0,"""",IF(C1119="""",0,IF(REGEXMATCH(C1119,""^Sell_""),-ROUNDDOWN(ROUNDUP(INDEX(Upgrades!$C$3:$C$13,MATCH(SUBSTITUTE(C1119,""Sell_"",""""),Upgrades!$B$3:$B$13,0))*1.15^(COUNTIF(C$4:C1118,SUBSTITUTE(C1119,""Sell_"",""""))-COUNTIF(C$4"&amp;":C1118,""Sell_""&amp;SUBSTITUTE(C1119,""Sell_"",""""))))/2),ROUNDUP(INDEX(Upgrades!$C$3:$C$13,MATCH(C1119,Upgrades!$B$3:$B$13,0))*1.15^(COUNTIF(C$4:C1118,C1119)-COUNTIF(C$4:C1118,""Sell_""&amp;C1119))))))"),"")</f>
        <v/>
      </c>
      <c r="H1119" s="10" t="str">
        <f t="shared" si="3"/>
        <v/>
      </c>
      <c r="I1119" s="68" t="str">
        <f t="shared" si="4"/>
        <v/>
      </c>
      <c r="J1119" s="59" t="str">
        <f t="shared" si="5"/>
        <v/>
      </c>
      <c r="K1119" s="69" t="str">
        <f t="shared" si="6"/>
        <v/>
      </c>
      <c r="L1119" s="60" t="str">
        <f t="shared" si="7"/>
        <v/>
      </c>
      <c r="M1119" s="61" t="str">
        <f>IFERROR(__xludf.DUMMYFUNCTION("IFS(AND(COUNTA(C1119:C1350)=0,COUNTA(Q1119:Q1350)=0),"""",OR(AND(K1119&gt;=1000000000,OR(Y1119&gt;=1000000000,COUNTA(Q1119:Q1350)=0)),OR(Y1119&gt;=1000000000,AND(COUNTA(C1119:C1350)=0,P$3=TRUE))),
ROUNDDOWN((AB$1-AC$1)*MAX(INDEX(T$4:T1350,MATCH(LARGE(FILTER(Y$4:Y1"&amp;"350,Y$4:Y1350&lt;1000000000),1),Y$4:Y1350)),INDEX(F$4:F1350,MATCH(LARGE(FILTER(K$4:K1350,K$4:K1350&lt;1000000000),1),K$4:K1350)))),AND(K1119&lt;1000000000,COUNTA(C1119:C1350)&gt;0,P$3=FALSE),
ROUNDDOWN(INDEX(Y$4:Y1350,MATCH(LARGE(FILTER(W$4:W1350,W$4:W1350&lt;=I1119),1)"&amp;",W$4:W1350))+(I1119-LARGE(FILTER(W$4:W1350,W$4:W1350&lt;=I1119),1))*INDEX(T$4:T1350,MATCH(LARGE(FILTER(W$4:W1350,W$4:W1350&lt;=I1119),1),W$4:W1350))-K1119),1,
ROUNDDOWN(Y1119-INDEX(K$4:K1350,MATCH(LARGE(FILTER(I$4:I1350,I$4:I1350&lt;=W1119),1),I$4:I1350))-(W1119-L"&amp;"ARGE(FILTER(I$4:I1350,I$4:I1350&lt;=W1119),1))*INDEX(F$4:F1350,MATCH(LARGE(FILTER(I$4:I1350,I$4:I1350&lt;=W1119),1),I$4:I1350))))"),"")</f>
        <v/>
      </c>
      <c r="N1119" s="60" t="str">
        <f t="shared" si="8"/>
        <v/>
      </c>
      <c r="O1119" s="61" t="str">
        <f t="shared" si="9"/>
        <v/>
      </c>
      <c r="P1119" s="56" t="str">
        <f t="shared" si="10"/>
        <v/>
      </c>
      <c r="Q1119" s="62"/>
      <c r="R1119" s="10" t="str">
        <f>IFERROR(__xludf.DUMMYFUNCTION("IF(COUNTA(Q1119:Q1350)=0,"""",IF(ISBLANK(Q1119),FALSE,IF(NOT(COUNTIF($AA$24:$AA$34,SUBSTITUTE(Q1119,""Sell_"",""""))),1,IF(REGEXMATCH(Q1119,""Sell_""),IF(COUNTIF(Q$4:Q1119,SUBSTITUTE(Q1119,""Sell_"",""""))-COUNTIF(Q$4:Q1118,Q1119)&lt;1,1),FALSE))))"),"")</f>
        <v/>
      </c>
      <c r="S1119" s="59" t="str">
        <f t="array" ref="S1119">IF(COUNTA(Q1119:Q1350)=0,"",SUM((COUNTIF(Q$4:Q1119,Upgrades!$B$3:$B$13)-COUNTIF(Q$4:Q1119,"Sell_"&amp;Upgrades!$B$3:$B$13))*Upgrades!$D$3:$D$13))</f>
        <v/>
      </c>
      <c r="T1119" s="66" t="str">
        <f>IFERROR(__xludf.DUMMYFUNCTION("IF(COUNTA(Q1119:Q1350)=0,"""",IF(REGEXMATCH(INDEX(FILTER(Q$4:Q1119,Q$4:Q1119&lt;&gt;""""),ROWS(FILTER(Q$4:Q1119,Q$4:Q1119&lt;&gt;""""))),""^Sell_""),INDEX(FILTER(T$4:T1118,Q$4:Q1118&lt;&gt;""""),ROWS(FILTER(Q$4:Q1118,Q$4:Q1118&lt;&gt;""""))),$AD$5+S1119))"),"")</f>
        <v/>
      </c>
      <c r="U1119" s="10" t="str">
        <f>IFERROR(__xludf.DUMMYFUNCTION("IF(COUNTA(Q1119:Q1350)=0,"""",IF(Q1119="""",0,IF(REGEXMATCH(Q1119,""^Sell_""),-ROUNDDOWN(ROUNDUP(INDEX(Upgrades!$C$3:$C$13,MATCH(SUBSTITUTE(Q1119,""Sell_"",""""),Upgrades!$B$3:$B$13,0))*1.15^(COUNTIF(Q$4:Q1118,SUBSTITUTE(Q1119,""Sell_"",""""))-COUNTIF(Q$4"&amp;":Q1118,""Sell_""&amp;SUBSTITUTE(Q1119,""Sell_"",""""))))/2),ROUNDUP(INDEX(Upgrades!$C$3:$C$13,MATCH(Q1119,Upgrades!$B$3:$B$13,0))*1.15^(COUNTIF(Q$4:Q1118,Q1119)-COUNTIF(Q$4:Q1118,""Sell_""&amp;Q1119))))))"),"")</f>
        <v/>
      </c>
      <c r="V1119" s="10" t="str">
        <f t="shared" si="11"/>
        <v/>
      </c>
      <c r="W1119" s="68" t="str">
        <f t="shared" si="12"/>
        <v/>
      </c>
      <c r="X1119" s="59" t="str">
        <f t="shared" si="13"/>
        <v/>
      </c>
      <c r="Y1119" s="69" t="str">
        <f t="shared" si="14"/>
        <v/>
      </c>
      <c r="Z1119" s="11"/>
    </row>
    <row r="1120">
      <c r="A1120" s="8"/>
      <c r="B1120" s="56" t="str">
        <f t="shared" si="2"/>
        <v/>
      </c>
      <c r="C1120" s="57"/>
      <c r="D1120" s="10" t="str">
        <f>IFERROR(__xludf.DUMMYFUNCTION("IF(COUNTA(C1120:C1350)=0,"""",IF(ISBLANK(C1120),FALSE,IF(NOT(COUNTIF($AA$24:$AA$34,SUBSTITUTE(C1120,""Sell_"",""""))),1,IF(REGEXMATCH(C1120,""Sell_""),IF(COUNTIF(C$4:C1120,SUBSTITUTE(C1120,""Sell_"",""""))-COUNTIF(C$4:C1119,C1120)&lt;1,1),FALSE))))"),"")</f>
        <v/>
      </c>
      <c r="E1120" s="59" t="str">
        <f t="array" ref="E1120">IF(COUNTA(C1120:C1350)=0,"",SUM((COUNTIF(C$4:C1120,Upgrades!$B$3:$B$13)-COUNTIF(C$4:C1120,"Sell_"&amp;Upgrades!$B$3:$B$13))*Upgrades!$D$3:$D$13))</f>
        <v/>
      </c>
      <c r="F1120" s="66" t="str">
        <f>IFERROR(__xludf.DUMMYFUNCTION("IF(COUNTA(C1120:C1350)=0,"""",IF(REGEXMATCH(INDEX(FILTER(C$4:C1120,C$4:C1120&lt;&gt;""""),ROWS(FILTER(C$4:C1120,C$4:C1120&lt;&gt;""""))),""^Sell_""),INDEX(FILTER(F$4:F1119,C$4:C1119&lt;&gt;""""),ROWS(FILTER(C$4:C1119,C$4:C1119&lt;&gt;""""))),$AC$5+E1120))"),"")</f>
        <v/>
      </c>
      <c r="G1120" s="10" t="str">
        <f>IFERROR(__xludf.DUMMYFUNCTION("IF(COUNTA(C1120:C1350)=0,"""",IF(C1120="""",0,IF(REGEXMATCH(C1120,""^Sell_""),-ROUNDDOWN(ROUNDUP(INDEX(Upgrades!$C$3:$C$13,MATCH(SUBSTITUTE(C1120,""Sell_"",""""),Upgrades!$B$3:$B$13,0))*1.15^(COUNTIF(C$4:C1119,SUBSTITUTE(C1120,""Sell_"",""""))-COUNTIF(C$4"&amp;":C1119,""Sell_""&amp;SUBSTITUTE(C1120,""Sell_"",""""))))/2),ROUNDUP(INDEX(Upgrades!$C$3:$C$13,MATCH(C1120,Upgrades!$B$3:$B$13,0))*1.15^(COUNTIF(C$4:C1119,C1120)-COUNTIF(C$4:C1119,""Sell_""&amp;C1120))))))"),"")</f>
        <v/>
      </c>
      <c r="H1120" s="10" t="str">
        <f t="shared" si="3"/>
        <v/>
      </c>
      <c r="I1120" s="68" t="str">
        <f t="shared" si="4"/>
        <v/>
      </c>
      <c r="J1120" s="59" t="str">
        <f t="shared" si="5"/>
        <v/>
      </c>
      <c r="K1120" s="69" t="str">
        <f t="shared" si="6"/>
        <v/>
      </c>
      <c r="L1120" s="60" t="str">
        <f t="shared" si="7"/>
        <v/>
      </c>
      <c r="M1120" s="61" t="str">
        <f>IFERROR(__xludf.DUMMYFUNCTION("IFS(AND(COUNTA(C1120:C1350)=0,COUNTA(Q1120:Q1350)=0),"""",OR(AND(K1120&gt;=1000000000,OR(Y1120&gt;=1000000000,COUNTA(Q1120:Q1350)=0)),OR(Y1120&gt;=1000000000,AND(COUNTA(C1120:C1350)=0,P$3=TRUE))),
ROUNDDOWN((AB$1-AC$1)*MAX(INDEX(T$4:T1350,MATCH(LARGE(FILTER(Y$4:Y1"&amp;"350,Y$4:Y1350&lt;1000000000),1),Y$4:Y1350)),INDEX(F$4:F1350,MATCH(LARGE(FILTER(K$4:K1350,K$4:K1350&lt;1000000000),1),K$4:K1350)))),AND(K1120&lt;1000000000,COUNTA(C1120:C1350)&gt;0,P$3=FALSE),
ROUNDDOWN(INDEX(Y$4:Y1350,MATCH(LARGE(FILTER(W$4:W1350,W$4:W1350&lt;=I1120),1)"&amp;",W$4:W1350))+(I1120-LARGE(FILTER(W$4:W1350,W$4:W1350&lt;=I1120),1))*INDEX(T$4:T1350,MATCH(LARGE(FILTER(W$4:W1350,W$4:W1350&lt;=I1120),1),W$4:W1350))-K1120),1,
ROUNDDOWN(Y1120-INDEX(K$4:K1350,MATCH(LARGE(FILTER(I$4:I1350,I$4:I1350&lt;=W1120),1),I$4:I1350))-(W1120-L"&amp;"ARGE(FILTER(I$4:I1350,I$4:I1350&lt;=W1120),1))*INDEX(F$4:F1350,MATCH(LARGE(FILTER(I$4:I1350,I$4:I1350&lt;=W1120),1),I$4:I1350))))"),"")</f>
        <v/>
      </c>
      <c r="N1120" s="60" t="str">
        <f t="shared" si="8"/>
        <v/>
      </c>
      <c r="O1120" s="61" t="str">
        <f t="shared" si="9"/>
        <v/>
      </c>
      <c r="P1120" s="56" t="str">
        <f t="shared" si="10"/>
        <v/>
      </c>
      <c r="Q1120" s="62"/>
      <c r="R1120" s="10" t="str">
        <f>IFERROR(__xludf.DUMMYFUNCTION("IF(COUNTA(Q1120:Q1350)=0,"""",IF(ISBLANK(Q1120),FALSE,IF(NOT(COUNTIF($AA$24:$AA$34,SUBSTITUTE(Q1120,""Sell_"",""""))),1,IF(REGEXMATCH(Q1120,""Sell_""),IF(COUNTIF(Q$4:Q1120,SUBSTITUTE(Q1120,""Sell_"",""""))-COUNTIF(Q$4:Q1119,Q1120)&lt;1,1),FALSE))))"),"")</f>
        <v/>
      </c>
      <c r="S1120" s="59" t="str">
        <f t="array" ref="S1120">IF(COUNTA(Q1120:Q1350)=0,"",SUM((COUNTIF(Q$4:Q1120,Upgrades!$B$3:$B$13)-COUNTIF(Q$4:Q1120,"Sell_"&amp;Upgrades!$B$3:$B$13))*Upgrades!$D$3:$D$13))</f>
        <v/>
      </c>
      <c r="T1120" s="66" t="str">
        <f>IFERROR(__xludf.DUMMYFUNCTION("IF(COUNTA(Q1120:Q1350)=0,"""",IF(REGEXMATCH(INDEX(FILTER(Q$4:Q1120,Q$4:Q1120&lt;&gt;""""),ROWS(FILTER(Q$4:Q1120,Q$4:Q1120&lt;&gt;""""))),""^Sell_""),INDEX(FILTER(T$4:T1119,Q$4:Q1119&lt;&gt;""""),ROWS(FILTER(Q$4:Q1119,Q$4:Q1119&lt;&gt;""""))),$AD$5+S1120))"),"")</f>
        <v/>
      </c>
      <c r="U1120" s="10" t="str">
        <f>IFERROR(__xludf.DUMMYFUNCTION("IF(COUNTA(Q1120:Q1350)=0,"""",IF(Q1120="""",0,IF(REGEXMATCH(Q1120,""^Sell_""),-ROUNDDOWN(ROUNDUP(INDEX(Upgrades!$C$3:$C$13,MATCH(SUBSTITUTE(Q1120,""Sell_"",""""),Upgrades!$B$3:$B$13,0))*1.15^(COUNTIF(Q$4:Q1119,SUBSTITUTE(Q1120,""Sell_"",""""))-COUNTIF(Q$4"&amp;":Q1119,""Sell_""&amp;SUBSTITUTE(Q1120,""Sell_"",""""))))/2),ROUNDUP(INDEX(Upgrades!$C$3:$C$13,MATCH(Q1120,Upgrades!$B$3:$B$13,0))*1.15^(COUNTIF(Q$4:Q1119,Q1120)-COUNTIF(Q$4:Q1119,""Sell_""&amp;Q1120))))))"),"")</f>
        <v/>
      </c>
      <c r="V1120" s="10" t="str">
        <f t="shared" si="11"/>
        <v/>
      </c>
      <c r="W1120" s="68" t="str">
        <f t="shared" si="12"/>
        <v/>
      </c>
      <c r="X1120" s="59" t="str">
        <f t="shared" si="13"/>
        <v/>
      </c>
      <c r="Y1120" s="69" t="str">
        <f t="shared" si="14"/>
        <v/>
      </c>
      <c r="Z1120" s="11"/>
    </row>
    <row r="1121">
      <c r="A1121" s="8"/>
      <c r="B1121" s="56" t="str">
        <f t="shared" si="2"/>
        <v/>
      </c>
      <c r="C1121" s="57"/>
      <c r="D1121" s="10" t="str">
        <f>IFERROR(__xludf.DUMMYFUNCTION("IF(COUNTA(C1121:C1350)=0,"""",IF(ISBLANK(C1121),FALSE,IF(NOT(COUNTIF($AA$24:$AA$34,SUBSTITUTE(C1121,""Sell_"",""""))),1,IF(REGEXMATCH(C1121,""Sell_""),IF(COUNTIF(C$4:C1121,SUBSTITUTE(C1121,""Sell_"",""""))-COUNTIF(C$4:C1120,C1121)&lt;1,1),FALSE))))"),"")</f>
        <v/>
      </c>
      <c r="E1121" s="59" t="str">
        <f t="array" ref="E1121">IF(COUNTA(C1121:C1350)=0,"",SUM((COUNTIF(C$4:C1121,Upgrades!$B$3:$B$13)-COUNTIF(C$4:C1121,"Sell_"&amp;Upgrades!$B$3:$B$13))*Upgrades!$D$3:$D$13))</f>
        <v/>
      </c>
      <c r="F1121" s="66" t="str">
        <f>IFERROR(__xludf.DUMMYFUNCTION("IF(COUNTA(C1121:C1350)=0,"""",IF(REGEXMATCH(INDEX(FILTER(C$4:C1121,C$4:C1121&lt;&gt;""""),ROWS(FILTER(C$4:C1121,C$4:C1121&lt;&gt;""""))),""^Sell_""),INDEX(FILTER(F$4:F1120,C$4:C1120&lt;&gt;""""),ROWS(FILTER(C$4:C1120,C$4:C1120&lt;&gt;""""))),$AC$5+E1121))"),"")</f>
        <v/>
      </c>
      <c r="G1121" s="10" t="str">
        <f>IFERROR(__xludf.DUMMYFUNCTION("IF(COUNTA(C1121:C1350)=0,"""",IF(C1121="""",0,IF(REGEXMATCH(C1121,""^Sell_""),-ROUNDDOWN(ROUNDUP(INDEX(Upgrades!$C$3:$C$13,MATCH(SUBSTITUTE(C1121,""Sell_"",""""),Upgrades!$B$3:$B$13,0))*1.15^(COUNTIF(C$4:C1120,SUBSTITUTE(C1121,""Sell_"",""""))-COUNTIF(C$4"&amp;":C1120,""Sell_""&amp;SUBSTITUTE(C1121,""Sell_"",""""))))/2),ROUNDUP(INDEX(Upgrades!$C$3:$C$13,MATCH(C1121,Upgrades!$B$3:$B$13,0))*1.15^(COUNTIF(C$4:C1120,C1121)-COUNTIF(C$4:C1120,""Sell_""&amp;C1121))))))"),"")</f>
        <v/>
      </c>
      <c r="H1121" s="10" t="str">
        <f t="shared" si="3"/>
        <v/>
      </c>
      <c r="I1121" s="68" t="str">
        <f t="shared" si="4"/>
        <v/>
      </c>
      <c r="J1121" s="59" t="str">
        <f t="shared" si="5"/>
        <v/>
      </c>
      <c r="K1121" s="69" t="str">
        <f t="shared" si="6"/>
        <v/>
      </c>
      <c r="L1121" s="60" t="str">
        <f t="shared" si="7"/>
        <v/>
      </c>
      <c r="M1121" s="61" t="str">
        <f>IFERROR(__xludf.DUMMYFUNCTION("IFS(AND(COUNTA(C1121:C1350)=0,COUNTA(Q1121:Q1350)=0),"""",OR(AND(K1121&gt;=1000000000,OR(Y1121&gt;=1000000000,COUNTA(Q1121:Q1350)=0)),OR(Y1121&gt;=1000000000,AND(COUNTA(C1121:C1350)=0,P$3=TRUE))),
ROUNDDOWN((AB$1-AC$1)*MAX(INDEX(T$4:T1350,MATCH(LARGE(FILTER(Y$4:Y1"&amp;"350,Y$4:Y1350&lt;1000000000),1),Y$4:Y1350)),INDEX(F$4:F1350,MATCH(LARGE(FILTER(K$4:K1350,K$4:K1350&lt;1000000000),1),K$4:K1350)))),AND(K1121&lt;1000000000,COUNTA(C1121:C1350)&gt;0,P$3=FALSE),
ROUNDDOWN(INDEX(Y$4:Y1350,MATCH(LARGE(FILTER(W$4:W1350,W$4:W1350&lt;=I1121),1)"&amp;",W$4:W1350))+(I1121-LARGE(FILTER(W$4:W1350,W$4:W1350&lt;=I1121),1))*INDEX(T$4:T1350,MATCH(LARGE(FILTER(W$4:W1350,W$4:W1350&lt;=I1121),1),W$4:W1350))-K1121),1,
ROUNDDOWN(Y1121-INDEX(K$4:K1350,MATCH(LARGE(FILTER(I$4:I1350,I$4:I1350&lt;=W1121),1),I$4:I1350))-(W1121-L"&amp;"ARGE(FILTER(I$4:I1350,I$4:I1350&lt;=W1121),1))*INDEX(F$4:F1350,MATCH(LARGE(FILTER(I$4:I1350,I$4:I1350&lt;=W1121),1),I$4:I1350))))"),"")</f>
        <v/>
      </c>
      <c r="N1121" s="60" t="str">
        <f t="shared" si="8"/>
        <v/>
      </c>
      <c r="O1121" s="61" t="str">
        <f t="shared" si="9"/>
        <v/>
      </c>
      <c r="P1121" s="56" t="str">
        <f t="shared" si="10"/>
        <v/>
      </c>
      <c r="Q1121" s="62"/>
      <c r="R1121" s="10" t="str">
        <f>IFERROR(__xludf.DUMMYFUNCTION("IF(COUNTA(Q1121:Q1350)=0,"""",IF(ISBLANK(Q1121),FALSE,IF(NOT(COUNTIF($AA$24:$AA$34,SUBSTITUTE(Q1121,""Sell_"",""""))),1,IF(REGEXMATCH(Q1121,""Sell_""),IF(COUNTIF(Q$4:Q1121,SUBSTITUTE(Q1121,""Sell_"",""""))-COUNTIF(Q$4:Q1120,Q1121)&lt;1,1),FALSE))))"),"")</f>
        <v/>
      </c>
      <c r="S1121" s="59" t="str">
        <f t="array" ref="S1121">IF(COUNTA(Q1121:Q1350)=0,"",SUM((COUNTIF(Q$4:Q1121,Upgrades!$B$3:$B$13)-COUNTIF(Q$4:Q1121,"Sell_"&amp;Upgrades!$B$3:$B$13))*Upgrades!$D$3:$D$13))</f>
        <v/>
      </c>
      <c r="T1121" s="66" t="str">
        <f>IFERROR(__xludf.DUMMYFUNCTION("IF(COUNTA(Q1121:Q1350)=0,"""",IF(REGEXMATCH(INDEX(FILTER(Q$4:Q1121,Q$4:Q1121&lt;&gt;""""),ROWS(FILTER(Q$4:Q1121,Q$4:Q1121&lt;&gt;""""))),""^Sell_""),INDEX(FILTER(T$4:T1120,Q$4:Q1120&lt;&gt;""""),ROWS(FILTER(Q$4:Q1120,Q$4:Q1120&lt;&gt;""""))),$AD$5+S1121))"),"")</f>
        <v/>
      </c>
      <c r="U1121" s="10" t="str">
        <f>IFERROR(__xludf.DUMMYFUNCTION("IF(COUNTA(Q1121:Q1350)=0,"""",IF(Q1121="""",0,IF(REGEXMATCH(Q1121,""^Sell_""),-ROUNDDOWN(ROUNDUP(INDEX(Upgrades!$C$3:$C$13,MATCH(SUBSTITUTE(Q1121,""Sell_"",""""),Upgrades!$B$3:$B$13,0))*1.15^(COUNTIF(Q$4:Q1120,SUBSTITUTE(Q1121,""Sell_"",""""))-COUNTIF(Q$4"&amp;":Q1120,""Sell_""&amp;SUBSTITUTE(Q1121,""Sell_"",""""))))/2),ROUNDUP(INDEX(Upgrades!$C$3:$C$13,MATCH(Q1121,Upgrades!$B$3:$B$13,0))*1.15^(COUNTIF(Q$4:Q1120,Q1121)-COUNTIF(Q$4:Q1120,""Sell_""&amp;Q1121))))))"),"")</f>
        <v/>
      </c>
      <c r="V1121" s="10" t="str">
        <f t="shared" si="11"/>
        <v/>
      </c>
      <c r="W1121" s="68" t="str">
        <f t="shared" si="12"/>
        <v/>
      </c>
      <c r="X1121" s="59" t="str">
        <f t="shared" si="13"/>
        <v/>
      </c>
      <c r="Y1121" s="69" t="str">
        <f t="shared" si="14"/>
        <v/>
      </c>
      <c r="Z1121" s="11"/>
    </row>
    <row r="1122">
      <c r="A1122" s="8"/>
      <c r="B1122" s="56" t="str">
        <f t="shared" si="2"/>
        <v/>
      </c>
      <c r="C1122" s="57"/>
      <c r="D1122" s="10" t="str">
        <f>IFERROR(__xludf.DUMMYFUNCTION("IF(COUNTA(C1122:C1350)=0,"""",IF(ISBLANK(C1122),FALSE,IF(NOT(COUNTIF($AA$24:$AA$34,SUBSTITUTE(C1122,""Sell_"",""""))),1,IF(REGEXMATCH(C1122,""Sell_""),IF(COUNTIF(C$4:C1122,SUBSTITUTE(C1122,""Sell_"",""""))-COUNTIF(C$4:C1121,C1122)&lt;1,1),FALSE))))"),"")</f>
        <v/>
      </c>
      <c r="E1122" s="59" t="str">
        <f t="array" ref="E1122">IF(COUNTA(C1122:C1350)=0,"",SUM((COUNTIF(C$4:C1122,Upgrades!$B$3:$B$13)-COUNTIF(C$4:C1122,"Sell_"&amp;Upgrades!$B$3:$B$13))*Upgrades!$D$3:$D$13))</f>
        <v/>
      </c>
      <c r="F1122" s="66" t="str">
        <f>IFERROR(__xludf.DUMMYFUNCTION("IF(COUNTA(C1122:C1350)=0,"""",IF(REGEXMATCH(INDEX(FILTER(C$4:C1122,C$4:C1122&lt;&gt;""""),ROWS(FILTER(C$4:C1122,C$4:C1122&lt;&gt;""""))),""^Sell_""),INDEX(FILTER(F$4:F1121,C$4:C1121&lt;&gt;""""),ROWS(FILTER(C$4:C1121,C$4:C1121&lt;&gt;""""))),$AC$5+E1122))"),"")</f>
        <v/>
      </c>
      <c r="G1122" s="10" t="str">
        <f>IFERROR(__xludf.DUMMYFUNCTION("IF(COUNTA(C1122:C1350)=0,"""",IF(C1122="""",0,IF(REGEXMATCH(C1122,""^Sell_""),-ROUNDDOWN(ROUNDUP(INDEX(Upgrades!$C$3:$C$13,MATCH(SUBSTITUTE(C1122,""Sell_"",""""),Upgrades!$B$3:$B$13,0))*1.15^(COUNTIF(C$4:C1121,SUBSTITUTE(C1122,""Sell_"",""""))-COUNTIF(C$4"&amp;":C1121,""Sell_""&amp;SUBSTITUTE(C1122,""Sell_"",""""))))/2),ROUNDUP(INDEX(Upgrades!$C$3:$C$13,MATCH(C1122,Upgrades!$B$3:$B$13,0))*1.15^(COUNTIF(C$4:C1121,C1122)-COUNTIF(C$4:C1121,""Sell_""&amp;C1122))))))"),"")</f>
        <v/>
      </c>
      <c r="H1122" s="10" t="str">
        <f t="shared" si="3"/>
        <v/>
      </c>
      <c r="I1122" s="68" t="str">
        <f t="shared" si="4"/>
        <v/>
      </c>
      <c r="J1122" s="59" t="str">
        <f t="shared" si="5"/>
        <v/>
      </c>
      <c r="K1122" s="69" t="str">
        <f t="shared" si="6"/>
        <v/>
      </c>
      <c r="L1122" s="60" t="str">
        <f t="shared" si="7"/>
        <v/>
      </c>
      <c r="M1122" s="61" t="str">
        <f>IFERROR(__xludf.DUMMYFUNCTION("IFS(AND(COUNTA(C1122:C1350)=0,COUNTA(Q1122:Q1350)=0),"""",OR(AND(K1122&gt;=1000000000,OR(Y1122&gt;=1000000000,COUNTA(Q1122:Q1350)=0)),OR(Y1122&gt;=1000000000,AND(COUNTA(C1122:C1350)=0,P$3=TRUE))),
ROUNDDOWN((AB$1-AC$1)*MAX(INDEX(T$4:T1350,MATCH(LARGE(FILTER(Y$4:Y1"&amp;"350,Y$4:Y1350&lt;1000000000),1),Y$4:Y1350)),INDEX(F$4:F1350,MATCH(LARGE(FILTER(K$4:K1350,K$4:K1350&lt;1000000000),1),K$4:K1350)))),AND(K1122&lt;1000000000,COUNTA(C1122:C1350)&gt;0,P$3=FALSE),
ROUNDDOWN(INDEX(Y$4:Y1350,MATCH(LARGE(FILTER(W$4:W1350,W$4:W1350&lt;=I1122),1)"&amp;",W$4:W1350))+(I1122-LARGE(FILTER(W$4:W1350,W$4:W1350&lt;=I1122),1))*INDEX(T$4:T1350,MATCH(LARGE(FILTER(W$4:W1350,W$4:W1350&lt;=I1122),1),W$4:W1350))-K1122),1,
ROUNDDOWN(Y1122-INDEX(K$4:K1350,MATCH(LARGE(FILTER(I$4:I1350,I$4:I1350&lt;=W1122),1),I$4:I1350))-(W1122-L"&amp;"ARGE(FILTER(I$4:I1350,I$4:I1350&lt;=W1122),1))*INDEX(F$4:F1350,MATCH(LARGE(FILTER(I$4:I1350,I$4:I1350&lt;=W1122),1),I$4:I1350))))"),"")</f>
        <v/>
      </c>
      <c r="N1122" s="60" t="str">
        <f t="shared" si="8"/>
        <v/>
      </c>
      <c r="O1122" s="61" t="str">
        <f t="shared" si="9"/>
        <v/>
      </c>
      <c r="P1122" s="56" t="str">
        <f t="shared" si="10"/>
        <v/>
      </c>
      <c r="Q1122" s="62"/>
      <c r="R1122" s="10" t="str">
        <f>IFERROR(__xludf.DUMMYFUNCTION("IF(COUNTA(Q1122:Q1350)=0,"""",IF(ISBLANK(Q1122),FALSE,IF(NOT(COUNTIF($AA$24:$AA$34,SUBSTITUTE(Q1122,""Sell_"",""""))),1,IF(REGEXMATCH(Q1122,""Sell_""),IF(COUNTIF(Q$4:Q1122,SUBSTITUTE(Q1122,""Sell_"",""""))-COUNTIF(Q$4:Q1121,Q1122)&lt;1,1),FALSE))))"),"")</f>
        <v/>
      </c>
      <c r="S1122" s="59" t="str">
        <f t="array" ref="S1122">IF(COUNTA(Q1122:Q1350)=0,"",SUM((COUNTIF(Q$4:Q1122,Upgrades!$B$3:$B$13)-COUNTIF(Q$4:Q1122,"Sell_"&amp;Upgrades!$B$3:$B$13))*Upgrades!$D$3:$D$13))</f>
        <v/>
      </c>
      <c r="T1122" s="66" t="str">
        <f>IFERROR(__xludf.DUMMYFUNCTION("IF(COUNTA(Q1122:Q1350)=0,"""",IF(REGEXMATCH(INDEX(FILTER(Q$4:Q1122,Q$4:Q1122&lt;&gt;""""),ROWS(FILTER(Q$4:Q1122,Q$4:Q1122&lt;&gt;""""))),""^Sell_""),INDEX(FILTER(T$4:T1121,Q$4:Q1121&lt;&gt;""""),ROWS(FILTER(Q$4:Q1121,Q$4:Q1121&lt;&gt;""""))),$AD$5+S1122))"),"")</f>
        <v/>
      </c>
      <c r="U1122" s="10" t="str">
        <f>IFERROR(__xludf.DUMMYFUNCTION("IF(COUNTA(Q1122:Q1350)=0,"""",IF(Q1122="""",0,IF(REGEXMATCH(Q1122,""^Sell_""),-ROUNDDOWN(ROUNDUP(INDEX(Upgrades!$C$3:$C$13,MATCH(SUBSTITUTE(Q1122,""Sell_"",""""),Upgrades!$B$3:$B$13,0))*1.15^(COUNTIF(Q$4:Q1121,SUBSTITUTE(Q1122,""Sell_"",""""))-COUNTIF(Q$4"&amp;":Q1121,""Sell_""&amp;SUBSTITUTE(Q1122,""Sell_"",""""))))/2),ROUNDUP(INDEX(Upgrades!$C$3:$C$13,MATCH(Q1122,Upgrades!$B$3:$B$13,0))*1.15^(COUNTIF(Q$4:Q1121,Q1122)-COUNTIF(Q$4:Q1121,""Sell_""&amp;Q1122))))))"),"")</f>
        <v/>
      </c>
      <c r="V1122" s="10" t="str">
        <f t="shared" si="11"/>
        <v/>
      </c>
      <c r="W1122" s="68" t="str">
        <f t="shared" si="12"/>
        <v/>
      </c>
      <c r="X1122" s="59" t="str">
        <f t="shared" si="13"/>
        <v/>
      </c>
      <c r="Y1122" s="69" t="str">
        <f t="shared" si="14"/>
        <v/>
      </c>
      <c r="Z1122" s="11"/>
    </row>
    <row r="1123">
      <c r="A1123" s="8"/>
      <c r="B1123" s="56" t="str">
        <f t="shared" si="2"/>
        <v/>
      </c>
      <c r="C1123" s="57"/>
      <c r="D1123" s="10" t="str">
        <f>IFERROR(__xludf.DUMMYFUNCTION("IF(COUNTA(C1123:C1350)=0,"""",IF(ISBLANK(C1123),FALSE,IF(NOT(COUNTIF($AA$24:$AA$34,SUBSTITUTE(C1123,""Sell_"",""""))),1,IF(REGEXMATCH(C1123,""Sell_""),IF(COUNTIF(C$4:C1123,SUBSTITUTE(C1123,""Sell_"",""""))-COUNTIF(C$4:C1122,C1123)&lt;1,1),FALSE))))"),"")</f>
        <v/>
      </c>
      <c r="E1123" s="59" t="str">
        <f t="array" ref="E1123">IF(COUNTA(C1123:C1350)=0,"",SUM((COUNTIF(C$4:C1123,Upgrades!$B$3:$B$13)-COUNTIF(C$4:C1123,"Sell_"&amp;Upgrades!$B$3:$B$13))*Upgrades!$D$3:$D$13))</f>
        <v/>
      </c>
      <c r="F1123" s="66" t="str">
        <f>IFERROR(__xludf.DUMMYFUNCTION("IF(COUNTA(C1123:C1350)=0,"""",IF(REGEXMATCH(INDEX(FILTER(C$4:C1123,C$4:C1123&lt;&gt;""""),ROWS(FILTER(C$4:C1123,C$4:C1123&lt;&gt;""""))),""^Sell_""),INDEX(FILTER(F$4:F1122,C$4:C1122&lt;&gt;""""),ROWS(FILTER(C$4:C1122,C$4:C1122&lt;&gt;""""))),$AC$5+E1123))"),"")</f>
        <v/>
      </c>
      <c r="G1123" s="10" t="str">
        <f>IFERROR(__xludf.DUMMYFUNCTION("IF(COUNTA(C1123:C1350)=0,"""",IF(C1123="""",0,IF(REGEXMATCH(C1123,""^Sell_""),-ROUNDDOWN(ROUNDUP(INDEX(Upgrades!$C$3:$C$13,MATCH(SUBSTITUTE(C1123,""Sell_"",""""),Upgrades!$B$3:$B$13,0))*1.15^(COUNTIF(C$4:C1122,SUBSTITUTE(C1123,""Sell_"",""""))-COUNTIF(C$4"&amp;":C1122,""Sell_""&amp;SUBSTITUTE(C1123,""Sell_"",""""))))/2),ROUNDUP(INDEX(Upgrades!$C$3:$C$13,MATCH(C1123,Upgrades!$B$3:$B$13,0))*1.15^(COUNTIF(C$4:C1122,C1123)-COUNTIF(C$4:C1122,""Sell_""&amp;C1123))))))"),"")</f>
        <v/>
      </c>
      <c r="H1123" s="10" t="str">
        <f t="shared" si="3"/>
        <v/>
      </c>
      <c r="I1123" s="68" t="str">
        <f t="shared" si="4"/>
        <v/>
      </c>
      <c r="J1123" s="59" t="str">
        <f t="shared" si="5"/>
        <v/>
      </c>
      <c r="K1123" s="69" t="str">
        <f t="shared" si="6"/>
        <v/>
      </c>
      <c r="L1123" s="60" t="str">
        <f t="shared" si="7"/>
        <v/>
      </c>
      <c r="M1123" s="61" t="str">
        <f>IFERROR(__xludf.DUMMYFUNCTION("IFS(AND(COUNTA(C1123:C1350)=0,COUNTA(Q1123:Q1350)=0),"""",OR(AND(K1123&gt;=1000000000,OR(Y1123&gt;=1000000000,COUNTA(Q1123:Q1350)=0)),OR(Y1123&gt;=1000000000,AND(COUNTA(C1123:C1350)=0,P$3=TRUE))),
ROUNDDOWN((AB$1-AC$1)*MAX(INDEX(T$4:T1350,MATCH(LARGE(FILTER(Y$4:Y1"&amp;"350,Y$4:Y1350&lt;1000000000),1),Y$4:Y1350)),INDEX(F$4:F1350,MATCH(LARGE(FILTER(K$4:K1350,K$4:K1350&lt;1000000000),1),K$4:K1350)))),AND(K1123&lt;1000000000,COUNTA(C1123:C1350)&gt;0,P$3=FALSE),
ROUNDDOWN(INDEX(Y$4:Y1350,MATCH(LARGE(FILTER(W$4:W1350,W$4:W1350&lt;=I1123),1)"&amp;",W$4:W1350))+(I1123-LARGE(FILTER(W$4:W1350,W$4:W1350&lt;=I1123),1))*INDEX(T$4:T1350,MATCH(LARGE(FILTER(W$4:W1350,W$4:W1350&lt;=I1123),1),W$4:W1350))-K1123),1,
ROUNDDOWN(Y1123-INDEX(K$4:K1350,MATCH(LARGE(FILTER(I$4:I1350,I$4:I1350&lt;=W1123),1),I$4:I1350))-(W1123-L"&amp;"ARGE(FILTER(I$4:I1350,I$4:I1350&lt;=W1123),1))*INDEX(F$4:F1350,MATCH(LARGE(FILTER(I$4:I1350,I$4:I1350&lt;=W1123),1),I$4:I1350))))"),"")</f>
        <v/>
      </c>
      <c r="N1123" s="60" t="str">
        <f t="shared" si="8"/>
        <v/>
      </c>
      <c r="O1123" s="61" t="str">
        <f t="shared" si="9"/>
        <v/>
      </c>
      <c r="P1123" s="56" t="str">
        <f t="shared" si="10"/>
        <v/>
      </c>
      <c r="Q1123" s="62"/>
      <c r="R1123" s="10" t="str">
        <f>IFERROR(__xludf.DUMMYFUNCTION("IF(COUNTA(Q1123:Q1350)=0,"""",IF(ISBLANK(Q1123),FALSE,IF(NOT(COUNTIF($AA$24:$AA$34,SUBSTITUTE(Q1123,""Sell_"",""""))),1,IF(REGEXMATCH(Q1123,""Sell_""),IF(COUNTIF(Q$4:Q1123,SUBSTITUTE(Q1123,""Sell_"",""""))-COUNTIF(Q$4:Q1122,Q1123)&lt;1,1),FALSE))))"),"")</f>
        <v/>
      </c>
      <c r="S1123" s="59" t="str">
        <f t="array" ref="S1123">IF(COUNTA(Q1123:Q1350)=0,"",SUM((COUNTIF(Q$4:Q1123,Upgrades!$B$3:$B$13)-COUNTIF(Q$4:Q1123,"Sell_"&amp;Upgrades!$B$3:$B$13))*Upgrades!$D$3:$D$13))</f>
        <v/>
      </c>
      <c r="T1123" s="66" t="str">
        <f>IFERROR(__xludf.DUMMYFUNCTION("IF(COUNTA(Q1123:Q1350)=0,"""",IF(REGEXMATCH(INDEX(FILTER(Q$4:Q1123,Q$4:Q1123&lt;&gt;""""),ROWS(FILTER(Q$4:Q1123,Q$4:Q1123&lt;&gt;""""))),""^Sell_""),INDEX(FILTER(T$4:T1122,Q$4:Q1122&lt;&gt;""""),ROWS(FILTER(Q$4:Q1122,Q$4:Q1122&lt;&gt;""""))),$AD$5+S1123))"),"")</f>
        <v/>
      </c>
      <c r="U1123" s="10" t="str">
        <f>IFERROR(__xludf.DUMMYFUNCTION("IF(COUNTA(Q1123:Q1350)=0,"""",IF(Q1123="""",0,IF(REGEXMATCH(Q1123,""^Sell_""),-ROUNDDOWN(ROUNDUP(INDEX(Upgrades!$C$3:$C$13,MATCH(SUBSTITUTE(Q1123,""Sell_"",""""),Upgrades!$B$3:$B$13,0))*1.15^(COUNTIF(Q$4:Q1122,SUBSTITUTE(Q1123,""Sell_"",""""))-COUNTIF(Q$4"&amp;":Q1122,""Sell_""&amp;SUBSTITUTE(Q1123,""Sell_"",""""))))/2),ROUNDUP(INDEX(Upgrades!$C$3:$C$13,MATCH(Q1123,Upgrades!$B$3:$B$13,0))*1.15^(COUNTIF(Q$4:Q1122,Q1123)-COUNTIF(Q$4:Q1122,""Sell_""&amp;Q1123))))))"),"")</f>
        <v/>
      </c>
      <c r="V1123" s="10" t="str">
        <f t="shared" si="11"/>
        <v/>
      </c>
      <c r="W1123" s="68" t="str">
        <f t="shared" si="12"/>
        <v/>
      </c>
      <c r="X1123" s="59" t="str">
        <f t="shared" si="13"/>
        <v/>
      </c>
      <c r="Y1123" s="69" t="str">
        <f t="shared" si="14"/>
        <v/>
      </c>
      <c r="Z1123" s="11"/>
    </row>
    <row r="1124">
      <c r="A1124" s="8"/>
      <c r="B1124" s="56" t="str">
        <f t="shared" si="2"/>
        <v/>
      </c>
      <c r="C1124" s="57"/>
      <c r="D1124" s="10" t="str">
        <f>IFERROR(__xludf.DUMMYFUNCTION("IF(COUNTA(C1124:C1350)=0,"""",IF(ISBLANK(C1124),FALSE,IF(NOT(COUNTIF($AA$24:$AA$34,SUBSTITUTE(C1124,""Sell_"",""""))),1,IF(REGEXMATCH(C1124,""Sell_""),IF(COUNTIF(C$4:C1124,SUBSTITUTE(C1124,""Sell_"",""""))-COUNTIF(C$4:C1123,C1124)&lt;1,1),FALSE))))"),"")</f>
        <v/>
      </c>
      <c r="E1124" s="59" t="str">
        <f t="array" ref="E1124">IF(COUNTA(C1124:C1350)=0,"",SUM((COUNTIF(C$4:C1124,Upgrades!$B$3:$B$13)-COUNTIF(C$4:C1124,"Sell_"&amp;Upgrades!$B$3:$B$13))*Upgrades!$D$3:$D$13))</f>
        <v/>
      </c>
      <c r="F1124" s="66" t="str">
        <f>IFERROR(__xludf.DUMMYFUNCTION("IF(COUNTA(C1124:C1350)=0,"""",IF(REGEXMATCH(INDEX(FILTER(C$4:C1124,C$4:C1124&lt;&gt;""""),ROWS(FILTER(C$4:C1124,C$4:C1124&lt;&gt;""""))),""^Sell_""),INDEX(FILTER(F$4:F1123,C$4:C1123&lt;&gt;""""),ROWS(FILTER(C$4:C1123,C$4:C1123&lt;&gt;""""))),$AC$5+E1124))"),"")</f>
        <v/>
      </c>
      <c r="G1124" s="10" t="str">
        <f>IFERROR(__xludf.DUMMYFUNCTION("IF(COUNTA(C1124:C1350)=0,"""",IF(C1124="""",0,IF(REGEXMATCH(C1124,""^Sell_""),-ROUNDDOWN(ROUNDUP(INDEX(Upgrades!$C$3:$C$13,MATCH(SUBSTITUTE(C1124,""Sell_"",""""),Upgrades!$B$3:$B$13,0))*1.15^(COUNTIF(C$4:C1123,SUBSTITUTE(C1124,""Sell_"",""""))-COUNTIF(C$4"&amp;":C1123,""Sell_""&amp;SUBSTITUTE(C1124,""Sell_"",""""))))/2),ROUNDUP(INDEX(Upgrades!$C$3:$C$13,MATCH(C1124,Upgrades!$B$3:$B$13,0))*1.15^(COUNTIF(C$4:C1123,C1124)-COUNTIF(C$4:C1123,""Sell_""&amp;C1124))))))"),"")</f>
        <v/>
      </c>
      <c r="H1124" s="10" t="str">
        <f t="shared" si="3"/>
        <v/>
      </c>
      <c r="I1124" s="68" t="str">
        <f t="shared" si="4"/>
        <v/>
      </c>
      <c r="J1124" s="59" t="str">
        <f t="shared" si="5"/>
        <v/>
      </c>
      <c r="K1124" s="69" t="str">
        <f t="shared" si="6"/>
        <v/>
      </c>
      <c r="L1124" s="60" t="str">
        <f t="shared" si="7"/>
        <v/>
      </c>
      <c r="M1124" s="61" t="str">
        <f>IFERROR(__xludf.DUMMYFUNCTION("IFS(AND(COUNTA(C1124:C1350)=0,COUNTA(Q1124:Q1350)=0),"""",OR(AND(K1124&gt;=1000000000,OR(Y1124&gt;=1000000000,COUNTA(Q1124:Q1350)=0)),OR(Y1124&gt;=1000000000,AND(COUNTA(C1124:C1350)=0,P$3=TRUE))),
ROUNDDOWN((AB$1-AC$1)*MAX(INDEX(T$4:T1350,MATCH(LARGE(FILTER(Y$4:Y1"&amp;"350,Y$4:Y1350&lt;1000000000),1),Y$4:Y1350)),INDEX(F$4:F1350,MATCH(LARGE(FILTER(K$4:K1350,K$4:K1350&lt;1000000000),1),K$4:K1350)))),AND(K1124&lt;1000000000,COUNTA(C1124:C1350)&gt;0,P$3=FALSE),
ROUNDDOWN(INDEX(Y$4:Y1350,MATCH(LARGE(FILTER(W$4:W1350,W$4:W1350&lt;=I1124),1)"&amp;",W$4:W1350))+(I1124-LARGE(FILTER(W$4:W1350,W$4:W1350&lt;=I1124),1))*INDEX(T$4:T1350,MATCH(LARGE(FILTER(W$4:W1350,W$4:W1350&lt;=I1124),1),W$4:W1350))-K1124),1,
ROUNDDOWN(Y1124-INDEX(K$4:K1350,MATCH(LARGE(FILTER(I$4:I1350,I$4:I1350&lt;=W1124),1),I$4:I1350))-(W1124-L"&amp;"ARGE(FILTER(I$4:I1350,I$4:I1350&lt;=W1124),1))*INDEX(F$4:F1350,MATCH(LARGE(FILTER(I$4:I1350,I$4:I1350&lt;=W1124),1),I$4:I1350))))"),"")</f>
        <v/>
      </c>
      <c r="N1124" s="60" t="str">
        <f t="shared" si="8"/>
        <v/>
      </c>
      <c r="O1124" s="61" t="str">
        <f t="shared" si="9"/>
        <v/>
      </c>
      <c r="P1124" s="56" t="str">
        <f t="shared" si="10"/>
        <v/>
      </c>
      <c r="Q1124" s="62"/>
      <c r="R1124" s="10" t="str">
        <f>IFERROR(__xludf.DUMMYFUNCTION("IF(COUNTA(Q1124:Q1350)=0,"""",IF(ISBLANK(Q1124),FALSE,IF(NOT(COUNTIF($AA$24:$AA$34,SUBSTITUTE(Q1124,""Sell_"",""""))),1,IF(REGEXMATCH(Q1124,""Sell_""),IF(COUNTIF(Q$4:Q1124,SUBSTITUTE(Q1124,""Sell_"",""""))-COUNTIF(Q$4:Q1123,Q1124)&lt;1,1),FALSE))))"),"")</f>
        <v/>
      </c>
      <c r="S1124" s="59" t="str">
        <f t="array" ref="S1124">IF(COUNTA(Q1124:Q1350)=0,"",SUM((COUNTIF(Q$4:Q1124,Upgrades!$B$3:$B$13)-COUNTIF(Q$4:Q1124,"Sell_"&amp;Upgrades!$B$3:$B$13))*Upgrades!$D$3:$D$13))</f>
        <v/>
      </c>
      <c r="T1124" s="66" t="str">
        <f>IFERROR(__xludf.DUMMYFUNCTION("IF(COUNTA(Q1124:Q1350)=0,"""",IF(REGEXMATCH(INDEX(FILTER(Q$4:Q1124,Q$4:Q1124&lt;&gt;""""),ROWS(FILTER(Q$4:Q1124,Q$4:Q1124&lt;&gt;""""))),""^Sell_""),INDEX(FILTER(T$4:T1123,Q$4:Q1123&lt;&gt;""""),ROWS(FILTER(Q$4:Q1123,Q$4:Q1123&lt;&gt;""""))),$AD$5+S1124))"),"")</f>
        <v/>
      </c>
      <c r="U1124" s="10" t="str">
        <f>IFERROR(__xludf.DUMMYFUNCTION("IF(COUNTA(Q1124:Q1350)=0,"""",IF(Q1124="""",0,IF(REGEXMATCH(Q1124,""^Sell_""),-ROUNDDOWN(ROUNDUP(INDEX(Upgrades!$C$3:$C$13,MATCH(SUBSTITUTE(Q1124,""Sell_"",""""),Upgrades!$B$3:$B$13,0))*1.15^(COUNTIF(Q$4:Q1123,SUBSTITUTE(Q1124,""Sell_"",""""))-COUNTIF(Q$4"&amp;":Q1123,""Sell_""&amp;SUBSTITUTE(Q1124,""Sell_"",""""))))/2),ROUNDUP(INDEX(Upgrades!$C$3:$C$13,MATCH(Q1124,Upgrades!$B$3:$B$13,0))*1.15^(COUNTIF(Q$4:Q1123,Q1124)-COUNTIF(Q$4:Q1123,""Sell_""&amp;Q1124))))))"),"")</f>
        <v/>
      </c>
      <c r="V1124" s="10" t="str">
        <f t="shared" si="11"/>
        <v/>
      </c>
      <c r="W1124" s="68" t="str">
        <f t="shared" si="12"/>
        <v/>
      </c>
      <c r="X1124" s="59" t="str">
        <f t="shared" si="13"/>
        <v/>
      </c>
      <c r="Y1124" s="69" t="str">
        <f t="shared" si="14"/>
        <v/>
      </c>
      <c r="Z1124" s="11"/>
    </row>
    <row r="1125">
      <c r="A1125" s="8"/>
      <c r="B1125" s="56" t="str">
        <f t="shared" si="2"/>
        <v/>
      </c>
      <c r="C1125" s="57"/>
      <c r="D1125" s="10" t="str">
        <f>IFERROR(__xludf.DUMMYFUNCTION("IF(COUNTA(C1125:C1350)=0,"""",IF(ISBLANK(C1125),FALSE,IF(NOT(COUNTIF($AA$24:$AA$34,SUBSTITUTE(C1125,""Sell_"",""""))),1,IF(REGEXMATCH(C1125,""Sell_""),IF(COUNTIF(C$4:C1125,SUBSTITUTE(C1125,""Sell_"",""""))-COUNTIF(C$4:C1124,C1125)&lt;1,1),FALSE))))"),"")</f>
        <v/>
      </c>
      <c r="E1125" s="59" t="str">
        <f t="array" ref="E1125">IF(COUNTA(C1125:C1350)=0,"",SUM((COUNTIF(C$4:C1125,Upgrades!$B$3:$B$13)-COUNTIF(C$4:C1125,"Sell_"&amp;Upgrades!$B$3:$B$13))*Upgrades!$D$3:$D$13))</f>
        <v/>
      </c>
      <c r="F1125" s="66" t="str">
        <f>IFERROR(__xludf.DUMMYFUNCTION("IF(COUNTA(C1125:C1350)=0,"""",IF(REGEXMATCH(INDEX(FILTER(C$4:C1125,C$4:C1125&lt;&gt;""""),ROWS(FILTER(C$4:C1125,C$4:C1125&lt;&gt;""""))),""^Sell_""),INDEX(FILTER(F$4:F1124,C$4:C1124&lt;&gt;""""),ROWS(FILTER(C$4:C1124,C$4:C1124&lt;&gt;""""))),$AC$5+E1125))"),"")</f>
        <v/>
      </c>
      <c r="G1125" s="10" t="str">
        <f>IFERROR(__xludf.DUMMYFUNCTION("IF(COUNTA(C1125:C1350)=0,"""",IF(C1125="""",0,IF(REGEXMATCH(C1125,""^Sell_""),-ROUNDDOWN(ROUNDUP(INDEX(Upgrades!$C$3:$C$13,MATCH(SUBSTITUTE(C1125,""Sell_"",""""),Upgrades!$B$3:$B$13,0))*1.15^(COUNTIF(C$4:C1124,SUBSTITUTE(C1125,""Sell_"",""""))-COUNTIF(C$4"&amp;":C1124,""Sell_""&amp;SUBSTITUTE(C1125,""Sell_"",""""))))/2),ROUNDUP(INDEX(Upgrades!$C$3:$C$13,MATCH(C1125,Upgrades!$B$3:$B$13,0))*1.15^(COUNTIF(C$4:C1124,C1125)-COUNTIF(C$4:C1124,""Sell_""&amp;C1125))))))"),"")</f>
        <v/>
      </c>
      <c r="H1125" s="10" t="str">
        <f t="shared" si="3"/>
        <v/>
      </c>
      <c r="I1125" s="68" t="str">
        <f t="shared" si="4"/>
        <v/>
      </c>
      <c r="J1125" s="59" t="str">
        <f t="shared" si="5"/>
        <v/>
      </c>
      <c r="K1125" s="69" t="str">
        <f t="shared" si="6"/>
        <v/>
      </c>
      <c r="L1125" s="60" t="str">
        <f t="shared" si="7"/>
        <v/>
      </c>
      <c r="M1125" s="61" t="str">
        <f>IFERROR(__xludf.DUMMYFUNCTION("IFS(AND(COUNTA(C1125:C1350)=0,COUNTA(Q1125:Q1350)=0),"""",OR(AND(K1125&gt;=1000000000,OR(Y1125&gt;=1000000000,COUNTA(Q1125:Q1350)=0)),OR(Y1125&gt;=1000000000,AND(COUNTA(C1125:C1350)=0,P$3=TRUE))),
ROUNDDOWN((AB$1-AC$1)*MAX(INDEX(T$4:T1350,MATCH(LARGE(FILTER(Y$4:Y1"&amp;"350,Y$4:Y1350&lt;1000000000),1),Y$4:Y1350)),INDEX(F$4:F1350,MATCH(LARGE(FILTER(K$4:K1350,K$4:K1350&lt;1000000000),1),K$4:K1350)))),AND(K1125&lt;1000000000,COUNTA(C1125:C1350)&gt;0,P$3=FALSE),
ROUNDDOWN(INDEX(Y$4:Y1350,MATCH(LARGE(FILTER(W$4:W1350,W$4:W1350&lt;=I1125),1)"&amp;",W$4:W1350))+(I1125-LARGE(FILTER(W$4:W1350,W$4:W1350&lt;=I1125),1))*INDEX(T$4:T1350,MATCH(LARGE(FILTER(W$4:W1350,W$4:W1350&lt;=I1125),1),W$4:W1350))-K1125),1,
ROUNDDOWN(Y1125-INDEX(K$4:K1350,MATCH(LARGE(FILTER(I$4:I1350,I$4:I1350&lt;=W1125),1),I$4:I1350))-(W1125-L"&amp;"ARGE(FILTER(I$4:I1350,I$4:I1350&lt;=W1125),1))*INDEX(F$4:F1350,MATCH(LARGE(FILTER(I$4:I1350,I$4:I1350&lt;=W1125),1),I$4:I1350))))"),"")</f>
        <v/>
      </c>
      <c r="N1125" s="60" t="str">
        <f t="shared" si="8"/>
        <v/>
      </c>
      <c r="O1125" s="61" t="str">
        <f t="shared" si="9"/>
        <v/>
      </c>
      <c r="P1125" s="56" t="str">
        <f t="shared" si="10"/>
        <v/>
      </c>
      <c r="Q1125" s="62"/>
      <c r="R1125" s="10" t="str">
        <f>IFERROR(__xludf.DUMMYFUNCTION("IF(COUNTA(Q1125:Q1350)=0,"""",IF(ISBLANK(Q1125),FALSE,IF(NOT(COUNTIF($AA$24:$AA$34,SUBSTITUTE(Q1125,""Sell_"",""""))),1,IF(REGEXMATCH(Q1125,""Sell_""),IF(COUNTIF(Q$4:Q1125,SUBSTITUTE(Q1125,""Sell_"",""""))-COUNTIF(Q$4:Q1124,Q1125)&lt;1,1),FALSE))))"),"")</f>
        <v/>
      </c>
      <c r="S1125" s="59" t="str">
        <f t="array" ref="S1125">IF(COUNTA(Q1125:Q1350)=0,"",SUM((COUNTIF(Q$4:Q1125,Upgrades!$B$3:$B$13)-COUNTIF(Q$4:Q1125,"Sell_"&amp;Upgrades!$B$3:$B$13))*Upgrades!$D$3:$D$13))</f>
        <v/>
      </c>
      <c r="T1125" s="66" t="str">
        <f>IFERROR(__xludf.DUMMYFUNCTION("IF(COUNTA(Q1125:Q1350)=0,"""",IF(REGEXMATCH(INDEX(FILTER(Q$4:Q1125,Q$4:Q1125&lt;&gt;""""),ROWS(FILTER(Q$4:Q1125,Q$4:Q1125&lt;&gt;""""))),""^Sell_""),INDEX(FILTER(T$4:T1124,Q$4:Q1124&lt;&gt;""""),ROWS(FILTER(Q$4:Q1124,Q$4:Q1124&lt;&gt;""""))),$AD$5+S1125))"),"")</f>
        <v/>
      </c>
      <c r="U1125" s="10" t="str">
        <f>IFERROR(__xludf.DUMMYFUNCTION("IF(COUNTA(Q1125:Q1350)=0,"""",IF(Q1125="""",0,IF(REGEXMATCH(Q1125,""^Sell_""),-ROUNDDOWN(ROUNDUP(INDEX(Upgrades!$C$3:$C$13,MATCH(SUBSTITUTE(Q1125,""Sell_"",""""),Upgrades!$B$3:$B$13,0))*1.15^(COUNTIF(Q$4:Q1124,SUBSTITUTE(Q1125,""Sell_"",""""))-COUNTIF(Q$4"&amp;":Q1124,""Sell_""&amp;SUBSTITUTE(Q1125,""Sell_"",""""))))/2),ROUNDUP(INDEX(Upgrades!$C$3:$C$13,MATCH(Q1125,Upgrades!$B$3:$B$13,0))*1.15^(COUNTIF(Q$4:Q1124,Q1125)-COUNTIF(Q$4:Q1124,""Sell_""&amp;Q1125))))))"),"")</f>
        <v/>
      </c>
      <c r="V1125" s="10" t="str">
        <f t="shared" si="11"/>
        <v/>
      </c>
      <c r="W1125" s="68" t="str">
        <f t="shared" si="12"/>
        <v/>
      </c>
      <c r="X1125" s="59" t="str">
        <f t="shared" si="13"/>
        <v/>
      </c>
      <c r="Y1125" s="69" t="str">
        <f t="shared" si="14"/>
        <v/>
      </c>
      <c r="Z1125" s="11"/>
    </row>
    <row r="1126">
      <c r="A1126" s="8"/>
      <c r="B1126" s="56" t="str">
        <f t="shared" si="2"/>
        <v/>
      </c>
      <c r="C1126" s="57"/>
      <c r="D1126" s="10" t="str">
        <f>IFERROR(__xludf.DUMMYFUNCTION("IF(COUNTA(C1126:C1350)=0,"""",IF(ISBLANK(C1126),FALSE,IF(NOT(COUNTIF($AA$24:$AA$34,SUBSTITUTE(C1126,""Sell_"",""""))),1,IF(REGEXMATCH(C1126,""Sell_""),IF(COUNTIF(C$4:C1126,SUBSTITUTE(C1126,""Sell_"",""""))-COUNTIF(C$4:C1125,C1126)&lt;1,1),FALSE))))"),"")</f>
        <v/>
      </c>
      <c r="E1126" s="59" t="str">
        <f t="array" ref="E1126">IF(COUNTA(C1126:C1350)=0,"",SUM((COUNTIF(C$4:C1126,Upgrades!$B$3:$B$13)-COUNTIF(C$4:C1126,"Sell_"&amp;Upgrades!$B$3:$B$13))*Upgrades!$D$3:$D$13))</f>
        <v/>
      </c>
      <c r="F1126" s="66" t="str">
        <f>IFERROR(__xludf.DUMMYFUNCTION("IF(COUNTA(C1126:C1350)=0,"""",IF(REGEXMATCH(INDEX(FILTER(C$4:C1126,C$4:C1126&lt;&gt;""""),ROWS(FILTER(C$4:C1126,C$4:C1126&lt;&gt;""""))),""^Sell_""),INDEX(FILTER(F$4:F1125,C$4:C1125&lt;&gt;""""),ROWS(FILTER(C$4:C1125,C$4:C1125&lt;&gt;""""))),$AC$5+E1126))"),"")</f>
        <v/>
      </c>
      <c r="G1126" s="10" t="str">
        <f>IFERROR(__xludf.DUMMYFUNCTION("IF(COUNTA(C1126:C1350)=0,"""",IF(C1126="""",0,IF(REGEXMATCH(C1126,""^Sell_""),-ROUNDDOWN(ROUNDUP(INDEX(Upgrades!$C$3:$C$13,MATCH(SUBSTITUTE(C1126,""Sell_"",""""),Upgrades!$B$3:$B$13,0))*1.15^(COUNTIF(C$4:C1125,SUBSTITUTE(C1126,""Sell_"",""""))-COUNTIF(C$4"&amp;":C1125,""Sell_""&amp;SUBSTITUTE(C1126,""Sell_"",""""))))/2),ROUNDUP(INDEX(Upgrades!$C$3:$C$13,MATCH(C1126,Upgrades!$B$3:$B$13,0))*1.15^(COUNTIF(C$4:C1125,C1126)-COUNTIF(C$4:C1125,""Sell_""&amp;C1126))))))"),"")</f>
        <v/>
      </c>
      <c r="H1126" s="10" t="str">
        <f t="shared" si="3"/>
        <v/>
      </c>
      <c r="I1126" s="68" t="str">
        <f t="shared" si="4"/>
        <v/>
      </c>
      <c r="J1126" s="59" t="str">
        <f t="shared" si="5"/>
        <v/>
      </c>
      <c r="K1126" s="69" t="str">
        <f t="shared" si="6"/>
        <v/>
      </c>
      <c r="L1126" s="60" t="str">
        <f t="shared" si="7"/>
        <v/>
      </c>
      <c r="M1126" s="61" t="str">
        <f>IFERROR(__xludf.DUMMYFUNCTION("IFS(AND(COUNTA(C1126:C1350)=0,COUNTA(Q1126:Q1350)=0),"""",OR(AND(K1126&gt;=1000000000,OR(Y1126&gt;=1000000000,COUNTA(Q1126:Q1350)=0)),OR(Y1126&gt;=1000000000,AND(COUNTA(C1126:C1350)=0,P$3=TRUE))),
ROUNDDOWN((AB$1-AC$1)*MAX(INDEX(T$4:T1350,MATCH(LARGE(FILTER(Y$4:Y1"&amp;"350,Y$4:Y1350&lt;1000000000),1),Y$4:Y1350)),INDEX(F$4:F1350,MATCH(LARGE(FILTER(K$4:K1350,K$4:K1350&lt;1000000000),1),K$4:K1350)))),AND(K1126&lt;1000000000,COUNTA(C1126:C1350)&gt;0,P$3=FALSE),
ROUNDDOWN(INDEX(Y$4:Y1350,MATCH(LARGE(FILTER(W$4:W1350,W$4:W1350&lt;=I1126),1)"&amp;",W$4:W1350))+(I1126-LARGE(FILTER(W$4:W1350,W$4:W1350&lt;=I1126),1))*INDEX(T$4:T1350,MATCH(LARGE(FILTER(W$4:W1350,W$4:W1350&lt;=I1126),1),W$4:W1350))-K1126),1,
ROUNDDOWN(Y1126-INDEX(K$4:K1350,MATCH(LARGE(FILTER(I$4:I1350,I$4:I1350&lt;=W1126),1),I$4:I1350))-(W1126-L"&amp;"ARGE(FILTER(I$4:I1350,I$4:I1350&lt;=W1126),1))*INDEX(F$4:F1350,MATCH(LARGE(FILTER(I$4:I1350,I$4:I1350&lt;=W1126),1),I$4:I1350))))"),"")</f>
        <v/>
      </c>
      <c r="N1126" s="60" t="str">
        <f t="shared" si="8"/>
        <v/>
      </c>
      <c r="O1126" s="61" t="str">
        <f t="shared" si="9"/>
        <v/>
      </c>
      <c r="P1126" s="56" t="str">
        <f t="shared" si="10"/>
        <v/>
      </c>
      <c r="Q1126" s="62"/>
      <c r="R1126" s="10" t="str">
        <f>IFERROR(__xludf.DUMMYFUNCTION("IF(COUNTA(Q1126:Q1350)=0,"""",IF(ISBLANK(Q1126),FALSE,IF(NOT(COUNTIF($AA$24:$AA$34,SUBSTITUTE(Q1126,""Sell_"",""""))),1,IF(REGEXMATCH(Q1126,""Sell_""),IF(COUNTIF(Q$4:Q1126,SUBSTITUTE(Q1126,""Sell_"",""""))-COUNTIF(Q$4:Q1125,Q1126)&lt;1,1),FALSE))))"),"")</f>
        <v/>
      </c>
      <c r="S1126" s="59" t="str">
        <f t="array" ref="S1126">IF(COUNTA(Q1126:Q1350)=0,"",SUM((COUNTIF(Q$4:Q1126,Upgrades!$B$3:$B$13)-COUNTIF(Q$4:Q1126,"Sell_"&amp;Upgrades!$B$3:$B$13))*Upgrades!$D$3:$D$13))</f>
        <v/>
      </c>
      <c r="T1126" s="66" t="str">
        <f>IFERROR(__xludf.DUMMYFUNCTION("IF(COUNTA(Q1126:Q1350)=0,"""",IF(REGEXMATCH(INDEX(FILTER(Q$4:Q1126,Q$4:Q1126&lt;&gt;""""),ROWS(FILTER(Q$4:Q1126,Q$4:Q1126&lt;&gt;""""))),""^Sell_""),INDEX(FILTER(T$4:T1125,Q$4:Q1125&lt;&gt;""""),ROWS(FILTER(Q$4:Q1125,Q$4:Q1125&lt;&gt;""""))),$AD$5+S1126))"),"")</f>
        <v/>
      </c>
      <c r="U1126" s="10" t="str">
        <f>IFERROR(__xludf.DUMMYFUNCTION("IF(COUNTA(Q1126:Q1350)=0,"""",IF(Q1126="""",0,IF(REGEXMATCH(Q1126,""^Sell_""),-ROUNDDOWN(ROUNDUP(INDEX(Upgrades!$C$3:$C$13,MATCH(SUBSTITUTE(Q1126,""Sell_"",""""),Upgrades!$B$3:$B$13,0))*1.15^(COUNTIF(Q$4:Q1125,SUBSTITUTE(Q1126,""Sell_"",""""))-COUNTIF(Q$4"&amp;":Q1125,""Sell_""&amp;SUBSTITUTE(Q1126,""Sell_"",""""))))/2),ROUNDUP(INDEX(Upgrades!$C$3:$C$13,MATCH(Q1126,Upgrades!$B$3:$B$13,0))*1.15^(COUNTIF(Q$4:Q1125,Q1126)-COUNTIF(Q$4:Q1125,""Sell_""&amp;Q1126))))))"),"")</f>
        <v/>
      </c>
      <c r="V1126" s="10" t="str">
        <f t="shared" si="11"/>
        <v/>
      </c>
      <c r="W1126" s="68" t="str">
        <f t="shared" si="12"/>
        <v/>
      </c>
      <c r="X1126" s="59" t="str">
        <f t="shared" si="13"/>
        <v/>
      </c>
      <c r="Y1126" s="69" t="str">
        <f t="shared" si="14"/>
        <v/>
      </c>
      <c r="Z1126" s="11"/>
    </row>
    <row r="1127">
      <c r="A1127" s="8"/>
      <c r="B1127" s="56" t="str">
        <f t="shared" si="2"/>
        <v/>
      </c>
      <c r="C1127" s="57"/>
      <c r="D1127" s="10" t="str">
        <f>IFERROR(__xludf.DUMMYFUNCTION("IF(COUNTA(C1127:C1350)=0,"""",IF(ISBLANK(C1127),FALSE,IF(NOT(COUNTIF($AA$24:$AA$34,SUBSTITUTE(C1127,""Sell_"",""""))),1,IF(REGEXMATCH(C1127,""Sell_""),IF(COUNTIF(C$4:C1127,SUBSTITUTE(C1127,""Sell_"",""""))-COUNTIF(C$4:C1126,C1127)&lt;1,1),FALSE))))"),"")</f>
        <v/>
      </c>
      <c r="E1127" s="59" t="str">
        <f t="array" ref="E1127">IF(COUNTA(C1127:C1350)=0,"",SUM((COUNTIF(C$4:C1127,Upgrades!$B$3:$B$13)-COUNTIF(C$4:C1127,"Sell_"&amp;Upgrades!$B$3:$B$13))*Upgrades!$D$3:$D$13))</f>
        <v/>
      </c>
      <c r="F1127" s="66" t="str">
        <f>IFERROR(__xludf.DUMMYFUNCTION("IF(COUNTA(C1127:C1350)=0,"""",IF(REGEXMATCH(INDEX(FILTER(C$4:C1127,C$4:C1127&lt;&gt;""""),ROWS(FILTER(C$4:C1127,C$4:C1127&lt;&gt;""""))),""^Sell_""),INDEX(FILTER(F$4:F1126,C$4:C1126&lt;&gt;""""),ROWS(FILTER(C$4:C1126,C$4:C1126&lt;&gt;""""))),$AC$5+E1127))"),"")</f>
        <v/>
      </c>
      <c r="G1127" s="10" t="str">
        <f>IFERROR(__xludf.DUMMYFUNCTION("IF(COUNTA(C1127:C1350)=0,"""",IF(C1127="""",0,IF(REGEXMATCH(C1127,""^Sell_""),-ROUNDDOWN(ROUNDUP(INDEX(Upgrades!$C$3:$C$13,MATCH(SUBSTITUTE(C1127,""Sell_"",""""),Upgrades!$B$3:$B$13,0))*1.15^(COUNTIF(C$4:C1126,SUBSTITUTE(C1127,""Sell_"",""""))-COUNTIF(C$4"&amp;":C1126,""Sell_""&amp;SUBSTITUTE(C1127,""Sell_"",""""))))/2),ROUNDUP(INDEX(Upgrades!$C$3:$C$13,MATCH(C1127,Upgrades!$B$3:$B$13,0))*1.15^(COUNTIF(C$4:C1126,C1127)-COUNTIF(C$4:C1126,""Sell_""&amp;C1127))))))"),"")</f>
        <v/>
      </c>
      <c r="H1127" s="10" t="str">
        <f t="shared" si="3"/>
        <v/>
      </c>
      <c r="I1127" s="68" t="str">
        <f t="shared" si="4"/>
        <v/>
      </c>
      <c r="J1127" s="59" t="str">
        <f t="shared" si="5"/>
        <v/>
      </c>
      <c r="K1127" s="69" t="str">
        <f t="shared" si="6"/>
        <v/>
      </c>
      <c r="L1127" s="60" t="str">
        <f t="shared" si="7"/>
        <v/>
      </c>
      <c r="M1127" s="61" t="str">
        <f>IFERROR(__xludf.DUMMYFUNCTION("IFS(AND(COUNTA(C1127:C1350)=0,COUNTA(Q1127:Q1350)=0),"""",OR(AND(K1127&gt;=1000000000,OR(Y1127&gt;=1000000000,COUNTA(Q1127:Q1350)=0)),OR(Y1127&gt;=1000000000,AND(COUNTA(C1127:C1350)=0,P$3=TRUE))),
ROUNDDOWN((AB$1-AC$1)*MAX(INDEX(T$4:T1350,MATCH(LARGE(FILTER(Y$4:Y1"&amp;"350,Y$4:Y1350&lt;1000000000),1),Y$4:Y1350)),INDEX(F$4:F1350,MATCH(LARGE(FILTER(K$4:K1350,K$4:K1350&lt;1000000000),1),K$4:K1350)))),AND(K1127&lt;1000000000,COUNTA(C1127:C1350)&gt;0,P$3=FALSE),
ROUNDDOWN(INDEX(Y$4:Y1350,MATCH(LARGE(FILTER(W$4:W1350,W$4:W1350&lt;=I1127),1)"&amp;",W$4:W1350))+(I1127-LARGE(FILTER(W$4:W1350,W$4:W1350&lt;=I1127),1))*INDEX(T$4:T1350,MATCH(LARGE(FILTER(W$4:W1350,W$4:W1350&lt;=I1127),1),W$4:W1350))-K1127),1,
ROUNDDOWN(Y1127-INDEX(K$4:K1350,MATCH(LARGE(FILTER(I$4:I1350,I$4:I1350&lt;=W1127),1),I$4:I1350))-(W1127-L"&amp;"ARGE(FILTER(I$4:I1350,I$4:I1350&lt;=W1127),1))*INDEX(F$4:F1350,MATCH(LARGE(FILTER(I$4:I1350,I$4:I1350&lt;=W1127),1),I$4:I1350))))"),"")</f>
        <v/>
      </c>
      <c r="N1127" s="60" t="str">
        <f t="shared" si="8"/>
        <v/>
      </c>
      <c r="O1127" s="61" t="str">
        <f t="shared" si="9"/>
        <v/>
      </c>
      <c r="P1127" s="56" t="str">
        <f t="shared" si="10"/>
        <v/>
      </c>
      <c r="Q1127" s="62"/>
      <c r="R1127" s="10" t="str">
        <f>IFERROR(__xludf.DUMMYFUNCTION("IF(COUNTA(Q1127:Q1350)=0,"""",IF(ISBLANK(Q1127),FALSE,IF(NOT(COUNTIF($AA$24:$AA$34,SUBSTITUTE(Q1127,""Sell_"",""""))),1,IF(REGEXMATCH(Q1127,""Sell_""),IF(COUNTIF(Q$4:Q1127,SUBSTITUTE(Q1127,""Sell_"",""""))-COUNTIF(Q$4:Q1126,Q1127)&lt;1,1),FALSE))))"),"")</f>
        <v/>
      </c>
      <c r="S1127" s="59" t="str">
        <f t="array" ref="S1127">IF(COUNTA(Q1127:Q1350)=0,"",SUM((COUNTIF(Q$4:Q1127,Upgrades!$B$3:$B$13)-COUNTIF(Q$4:Q1127,"Sell_"&amp;Upgrades!$B$3:$B$13))*Upgrades!$D$3:$D$13))</f>
        <v/>
      </c>
      <c r="T1127" s="66" t="str">
        <f>IFERROR(__xludf.DUMMYFUNCTION("IF(COUNTA(Q1127:Q1350)=0,"""",IF(REGEXMATCH(INDEX(FILTER(Q$4:Q1127,Q$4:Q1127&lt;&gt;""""),ROWS(FILTER(Q$4:Q1127,Q$4:Q1127&lt;&gt;""""))),""^Sell_""),INDEX(FILTER(T$4:T1126,Q$4:Q1126&lt;&gt;""""),ROWS(FILTER(Q$4:Q1126,Q$4:Q1126&lt;&gt;""""))),$AD$5+S1127))"),"")</f>
        <v/>
      </c>
      <c r="U1127" s="10" t="str">
        <f>IFERROR(__xludf.DUMMYFUNCTION("IF(COUNTA(Q1127:Q1350)=0,"""",IF(Q1127="""",0,IF(REGEXMATCH(Q1127,""^Sell_""),-ROUNDDOWN(ROUNDUP(INDEX(Upgrades!$C$3:$C$13,MATCH(SUBSTITUTE(Q1127,""Sell_"",""""),Upgrades!$B$3:$B$13,0))*1.15^(COUNTIF(Q$4:Q1126,SUBSTITUTE(Q1127,""Sell_"",""""))-COUNTIF(Q$4"&amp;":Q1126,""Sell_""&amp;SUBSTITUTE(Q1127,""Sell_"",""""))))/2),ROUNDUP(INDEX(Upgrades!$C$3:$C$13,MATCH(Q1127,Upgrades!$B$3:$B$13,0))*1.15^(COUNTIF(Q$4:Q1126,Q1127)-COUNTIF(Q$4:Q1126,""Sell_""&amp;Q1127))))))"),"")</f>
        <v/>
      </c>
      <c r="V1127" s="10" t="str">
        <f t="shared" si="11"/>
        <v/>
      </c>
      <c r="W1127" s="68" t="str">
        <f t="shared" si="12"/>
        <v/>
      </c>
      <c r="X1127" s="59" t="str">
        <f t="shared" si="13"/>
        <v/>
      </c>
      <c r="Y1127" s="69" t="str">
        <f t="shared" si="14"/>
        <v/>
      </c>
      <c r="Z1127" s="11"/>
    </row>
    <row r="1128">
      <c r="A1128" s="8"/>
      <c r="B1128" s="56" t="str">
        <f t="shared" si="2"/>
        <v/>
      </c>
      <c r="C1128" s="57"/>
      <c r="D1128" s="10" t="str">
        <f>IFERROR(__xludf.DUMMYFUNCTION("IF(COUNTA(C1128:C1350)=0,"""",IF(ISBLANK(C1128),FALSE,IF(NOT(COUNTIF($AA$24:$AA$34,SUBSTITUTE(C1128,""Sell_"",""""))),1,IF(REGEXMATCH(C1128,""Sell_""),IF(COUNTIF(C$4:C1128,SUBSTITUTE(C1128,""Sell_"",""""))-COUNTIF(C$4:C1127,C1128)&lt;1,1),FALSE))))"),"")</f>
        <v/>
      </c>
      <c r="E1128" s="59" t="str">
        <f t="array" ref="E1128">IF(COUNTA(C1128:C1350)=0,"",SUM((COUNTIF(C$4:C1128,Upgrades!$B$3:$B$13)-COUNTIF(C$4:C1128,"Sell_"&amp;Upgrades!$B$3:$B$13))*Upgrades!$D$3:$D$13))</f>
        <v/>
      </c>
      <c r="F1128" s="66" t="str">
        <f>IFERROR(__xludf.DUMMYFUNCTION("IF(COUNTA(C1128:C1350)=0,"""",IF(REGEXMATCH(INDEX(FILTER(C$4:C1128,C$4:C1128&lt;&gt;""""),ROWS(FILTER(C$4:C1128,C$4:C1128&lt;&gt;""""))),""^Sell_""),INDEX(FILTER(F$4:F1127,C$4:C1127&lt;&gt;""""),ROWS(FILTER(C$4:C1127,C$4:C1127&lt;&gt;""""))),$AC$5+E1128))"),"")</f>
        <v/>
      </c>
      <c r="G1128" s="10" t="str">
        <f>IFERROR(__xludf.DUMMYFUNCTION("IF(COUNTA(C1128:C1350)=0,"""",IF(C1128="""",0,IF(REGEXMATCH(C1128,""^Sell_""),-ROUNDDOWN(ROUNDUP(INDEX(Upgrades!$C$3:$C$13,MATCH(SUBSTITUTE(C1128,""Sell_"",""""),Upgrades!$B$3:$B$13,0))*1.15^(COUNTIF(C$4:C1127,SUBSTITUTE(C1128,""Sell_"",""""))-COUNTIF(C$4"&amp;":C1127,""Sell_""&amp;SUBSTITUTE(C1128,""Sell_"",""""))))/2),ROUNDUP(INDEX(Upgrades!$C$3:$C$13,MATCH(C1128,Upgrades!$B$3:$B$13,0))*1.15^(COUNTIF(C$4:C1127,C1128)-COUNTIF(C$4:C1127,""Sell_""&amp;C1128))))))"),"")</f>
        <v/>
      </c>
      <c r="H1128" s="10" t="str">
        <f t="shared" si="3"/>
        <v/>
      </c>
      <c r="I1128" s="68" t="str">
        <f t="shared" si="4"/>
        <v/>
      </c>
      <c r="J1128" s="59" t="str">
        <f t="shared" si="5"/>
        <v/>
      </c>
      <c r="K1128" s="69" t="str">
        <f t="shared" si="6"/>
        <v/>
      </c>
      <c r="L1128" s="60" t="str">
        <f t="shared" si="7"/>
        <v/>
      </c>
      <c r="M1128" s="61" t="str">
        <f>IFERROR(__xludf.DUMMYFUNCTION("IFS(AND(COUNTA(C1128:C1350)=0,COUNTA(Q1128:Q1350)=0),"""",OR(AND(K1128&gt;=1000000000,OR(Y1128&gt;=1000000000,COUNTA(Q1128:Q1350)=0)),OR(Y1128&gt;=1000000000,AND(COUNTA(C1128:C1350)=0,P$3=TRUE))),
ROUNDDOWN((AB$1-AC$1)*MAX(INDEX(T$4:T1350,MATCH(LARGE(FILTER(Y$4:Y1"&amp;"350,Y$4:Y1350&lt;1000000000),1),Y$4:Y1350)),INDEX(F$4:F1350,MATCH(LARGE(FILTER(K$4:K1350,K$4:K1350&lt;1000000000),1),K$4:K1350)))),AND(K1128&lt;1000000000,COUNTA(C1128:C1350)&gt;0,P$3=FALSE),
ROUNDDOWN(INDEX(Y$4:Y1350,MATCH(LARGE(FILTER(W$4:W1350,W$4:W1350&lt;=I1128),1)"&amp;",W$4:W1350))+(I1128-LARGE(FILTER(W$4:W1350,W$4:W1350&lt;=I1128),1))*INDEX(T$4:T1350,MATCH(LARGE(FILTER(W$4:W1350,W$4:W1350&lt;=I1128),1),W$4:W1350))-K1128),1,
ROUNDDOWN(Y1128-INDEX(K$4:K1350,MATCH(LARGE(FILTER(I$4:I1350,I$4:I1350&lt;=W1128),1),I$4:I1350))-(W1128-L"&amp;"ARGE(FILTER(I$4:I1350,I$4:I1350&lt;=W1128),1))*INDEX(F$4:F1350,MATCH(LARGE(FILTER(I$4:I1350,I$4:I1350&lt;=W1128),1),I$4:I1350))))"),"")</f>
        <v/>
      </c>
      <c r="N1128" s="60" t="str">
        <f t="shared" si="8"/>
        <v/>
      </c>
      <c r="O1128" s="61" t="str">
        <f t="shared" si="9"/>
        <v/>
      </c>
      <c r="P1128" s="56" t="str">
        <f t="shared" si="10"/>
        <v/>
      </c>
      <c r="Q1128" s="62"/>
      <c r="R1128" s="10" t="str">
        <f>IFERROR(__xludf.DUMMYFUNCTION("IF(COUNTA(Q1128:Q1350)=0,"""",IF(ISBLANK(Q1128),FALSE,IF(NOT(COUNTIF($AA$24:$AA$34,SUBSTITUTE(Q1128,""Sell_"",""""))),1,IF(REGEXMATCH(Q1128,""Sell_""),IF(COUNTIF(Q$4:Q1128,SUBSTITUTE(Q1128,""Sell_"",""""))-COUNTIF(Q$4:Q1127,Q1128)&lt;1,1),FALSE))))"),"")</f>
        <v/>
      </c>
      <c r="S1128" s="59" t="str">
        <f t="array" ref="S1128">IF(COUNTA(Q1128:Q1350)=0,"",SUM((COUNTIF(Q$4:Q1128,Upgrades!$B$3:$B$13)-COUNTIF(Q$4:Q1128,"Sell_"&amp;Upgrades!$B$3:$B$13))*Upgrades!$D$3:$D$13))</f>
        <v/>
      </c>
      <c r="T1128" s="66" t="str">
        <f>IFERROR(__xludf.DUMMYFUNCTION("IF(COUNTA(Q1128:Q1350)=0,"""",IF(REGEXMATCH(INDEX(FILTER(Q$4:Q1128,Q$4:Q1128&lt;&gt;""""),ROWS(FILTER(Q$4:Q1128,Q$4:Q1128&lt;&gt;""""))),""^Sell_""),INDEX(FILTER(T$4:T1127,Q$4:Q1127&lt;&gt;""""),ROWS(FILTER(Q$4:Q1127,Q$4:Q1127&lt;&gt;""""))),$AD$5+S1128))"),"")</f>
        <v/>
      </c>
      <c r="U1128" s="10" t="str">
        <f>IFERROR(__xludf.DUMMYFUNCTION("IF(COUNTA(Q1128:Q1350)=0,"""",IF(Q1128="""",0,IF(REGEXMATCH(Q1128,""^Sell_""),-ROUNDDOWN(ROUNDUP(INDEX(Upgrades!$C$3:$C$13,MATCH(SUBSTITUTE(Q1128,""Sell_"",""""),Upgrades!$B$3:$B$13,0))*1.15^(COUNTIF(Q$4:Q1127,SUBSTITUTE(Q1128,""Sell_"",""""))-COUNTIF(Q$4"&amp;":Q1127,""Sell_""&amp;SUBSTITUTE(Q1128,""Sell_"",""""))))/2),ROUNDUP(INDEX(Upgrades!$C$3:$C$13,MATCH(Q1128,Upgrades!$B$3:$B$13,0))*1.15^(COUNTIF(Q$4:Q1127,Q1128)-COUNTIF(Q$4:Q1127,""Sell_""&amp;Q1128))))))"),"")</f>
        <v/>
      </c>
      <c r="V1128" s="10" t="str">
        <f t="shared" si="11"/>
        <v/>
      </c>
      <c r="W1128" s="68" t="str">
        <f t="shared" si="12"/>
        <v/>
      </c>
      <c r="X1128" s="59" t="str">
        <f t="shared" si="13"/>
        <v/>
      </c>
      <c r="Y1128" s="69" t="str">
        <f t="shared" si="14"/>
        <v/>
      </c>
      <c r="Z1128" s="11"/>
    </row>
    <row r="1129">
      <c r="A1129" s="8"/>
      <c r="B1129" s="56" t="str">
        <f t="shared" si="2"/>
        <v/>
      </c>
      <c r="C1129" s="57"/>
      <c r="D1129" s="10" t="str">
        <f>IFERROR(__xludf.DUMMYFUNCTION("IF(COUNTA(C1129:C1350)=0,"""",IF(ISBLANK(C1129),FALSE,IF(NOT(COUNTIF($AA$24:$AA$34,SUBSTITUTE(C1129,""Sell_"",""""))),1,IF(REGEXMATCH(C1129,""Sell_""),IF(COUNTIF(C$4:C1129,SUBSTITUTE(C1129,""Sell_"",""""))-COUNTIF(C$4:C1128,C1129)&lt;1,1),FALSE))))"),"")</f>
        <v/>
      </c>
      <c r="E1129" s="59" t="str">
        <f t="array" ref="E1129">IF(COUNTA(C1129:C1350)=0,"",SUM((COUNTIF(C$4:C1129,Upgrades!$B$3:$B$13)-COUNTIF(C$4:C1129,"Sell_"&amp;Upgrades!$B$3:$B$13))*Upgrades!$D$3:$D$13))</f>
        <v/>
      </c>
      <c r="F1129" s="66" t="str">
        <f>IFERROR(__xludf.DUMMYFUNCTION("IF(COUNTA(C1129:C1350)=0,"""",IF(REGEXMATCH(INDEX(FILTER(C$4:C1129,C$4:C1129&lt;&gt;""""),ROWS(FILTER(C$4:C1129,C$4:C1129&lt;&gt;""""))),""^Sell_""),INDEX(FILTER(F$4:F1128,C$4:C1128&lt;&gt;""""),ROWS(FILTER(C$4:C1128,C$4:C1128&lt;&gt;""""))),$AC$5+E1129))"),"")</f>
        <v/>
      </c>
      <c r="G1129" s="10" t="str">
        <f>IFERROR(__xludf.DUMMYFUNCTION("IF(COUNTA(C1129:C1350)=0,"""",IF(C1129="""",0,IF(REGEXMATCH(C1129,""^Sell_""),-ROUNDDOWN(ROUNDUP(INDEX(Upgrades!$C$3:$C$13,MATCH(SUBSTITUTE(C1129,""Sell_"",""""),Upgrades!$B$3:$B$13,0))*1.15^(COUNTIF(C$4:C1128,SUBSTITUTE(C1129,""Sell_"",""""))-COUNTIF(C$4"&amp;":C1128,""Sell_""&amp;SUBSTITUTE(C1129,""Sell_"",""""))))/2),ROUNDUP(INDEX(Upgrades!$C$3:$C$13,MATCH(C1129,Upgrades!$B$3:$B$13,0))*1.15^(COUNTIF(C$4:C1128,C1129)-COUNTIF(C$4:C1128,""Sell_""&amp;C1129))))))"),"")</f>
        <v/>
      </c>
      <c r="H1129" s="10" t="str">
        <f t="shared" si="3"/>
        <v/>
      </c>
      <c r="I1129" s="68" t="str">
        <f t="shared" si="4"/>
        <v/>
      </c>
      <c r="J1129" s="59" t="str">
        <f t="shared" si="5"/>
        <v/>
      </c>
      <c r="K1129" s="69" t="str">
        <f t="shared" si="6"/>
        <v/>
      </c>
      <c r="L1129" s="60" t="str">
        <f t="shared" si="7"/>
        <v/>
      </c>
      <c r="M1129" s="61" t="str">
        <f>IFERROR(__xludf.DUMMYFUNCTION("IFS(AND(COUNTA(C1129:C1350)=0,COUNTA(Q1129:Q1350)=0),"""",OR(AND(K1129&gt;=1000000000,OR(Y1129&gt;=1000000000,COUNTA(Q1129:Q1350)=0)),OR(Y1129&gt;=1000000000,AND(COUNTA(C1129:C1350)=0,P$3=TRUE))),
ROUNDDOWN((AB$1-AC$1)*MAX(INDEX(T$4:T1350,MATCH(LARGE(FILTER(Y$4:Y1"&amp;"350,Y$4:Y1350&lt;1000000000),1),Y$4:Y1350)),INDEX(F$4:F1350,MATCH(LARGE(FILTER(K$4:K1350,K$4:K1350&lt;1000000000),1),K$4:K1350)))),AND(K1129&lt;1000000000,COUNTA(C1129:C1350)&gt;0,P$3=FALSE),
ROUNDDOWN(INDEX(Y$4:Y1350,MATCH(LARGE(FILTER(W$4:W1350,W$4:W1350&lt;=I1129),1)"&amp;",W$4:W1350))+(I1129-LARGE(FILTER(W$4:W1350,W$4:W1350&lt;=I1129),1))*INDEX(T$4:T1350,MATCH(LARGE(FILTER(W$4:W1350,W$4:W1350&lt;=I1129),1),W$4:W1350))-K1129),1,
ROUNDDOWN(Y1129-INDEX(K$4:K1350,MATCH(LARGE(FILTER(I$4:I1350,I$4:I1350&lt;=W1129),1),I$4:I1350))-(W1129-L"&amp;"ARGE(FILTER(I$4:I1350,I$4:I1350&lt;=W1129),1))*INDEX(F$4:F1350,MATCH(LARGE(FILTER(I$4:I1350,I$4:I1350&lt;=W1129),1),I$4:I1350))))"),"")</f>
        <v/>
      </c>
      <c r="N1129" s="60" t="str">
        <f t="shared" si="8"/>
        <v/>
      </c>
      <c r="O1129" s="61" t="str">
        <f t="shared" si="9"/>
        <v/>
      </c>
      <c r="P1129" s="56" t="str">
        <f t="shared" si="10"/>
        <v/>
      </c>
      <c r="Q1129" s="62"/>
      <c r="R1129" s="10" t="str">
        <f>IFERROR(__xludf.DUMMYFUNCTION("IF(COUNTA(Q1129:Q1350)=0,"""",IF(ISBLANK(Q1129),FALSE,IF(NOT(COUNTIF($AA$24:$AA$34,SUBSTITUTE(Q1129,""Sell_"",""""))),1,IF(REGEXMATCH(Q1129,""Sell_""),IF(COUNTIF(Q$4:Q1129,SUBSTITUTE(Q1129,""Sell_"",""""))-COUNTIF(Q$4:Q1128,Q1129)&lt;1,1),FALSE))))"),"")</f>
        <v/>
      </c>
      <c r="S1129" s="59" t="str">
        <f t="array" ref="S1129">IF(COUNTA(Q1129:Q1350)=0,"",SUM((COUNTIF(Q$4:Q1129,Upgrades!$B$3:$B$13)-COUNTIF(Q$4:Q1129,"Sell_"&amp;Upgrades!$B$3:$B$13))*Upgrades!$D$3:$D$13))</f>
        <v/>
      </c>
      <c r="T1129" s="66" t="str">
        <f>IFERROR(__xludf.DUMMYFUNCTION("IF(COUNTA(Q1129:Q1350)=0,"""",IF(REGEXMATCH(INDEX(FILTER(Q$4:Q1129,Q$4:Q1129&lt;&gt;""""),ROWS(FILTER(Q$4:Q1129,Q$4:Q1129&lt;&gt;""""))),""^Sell_""),INDEX(FILTER(T$4:T1128,Q$4:Q1128&lt;&gt;""""),ROWS(FILTER(Q$4:Q1128,Q$4:Q1128&lt;&gt;""""))),$AD$5+S1129))"),"")</f>
        <v/>
      </c>
      <c r="U1129" s="10" t="str">
        <f>IFERROR(__xludf.DUMMYFUNCTION("IF(COUNTA(Q1129:Q1350)=0,"""",IF(Q1129="""",0,IF(REGEXMATCH(Q1129,""^Sell_""),-ROUNDDOWN(ROUNDUP(INDEX(Upgrades!$C$3:$C$13,MATCH(SUBSTITUTE(Q1129,""Sell_"",""""),Upgrades!$B$3:$B$13,0))*1.15^(COUNTIF(Q$4:Q1128,SUBSTITUTE(Q1129,""Sell_"",""""))-COUNTIF(Q$4"&amp;":Q1128,""Sell_""&amp;SUBSTITUTE(Q1129,""Sell_"",""""))))/2),ROUNDUP(INDEX(Upgrades!$C$3:$C$13,MATCH(Q1129,Upgrades!$B$3:$B$13,0))*1.15^(COUNTIF(Q$4:Q1128,Q1129)-COUNTIF(Q$4:Q1128,""Sell_""&amp;Q1129))))))"),"")</f>
        <v/>
      </c>
      <c r="V1129" s="10" t="str">
        <f t="shared" si="11"/>
        <v/>
      </c>
      <c r="W1129" s="68" t="str">
        <f t="shared" si="12"/>
        <v/>
      </c>
      <c r="X1129" s="59" t="str">
        <f t="shared" si="13"/>
        <v/>
      </c>
      <c r="Y1129" s="69" t="str">
        <f t="shared" si="14"/>
        <v/>
      </c>
      <c r="Z1129" s="11"/>
    </row>
    <row r="1130">
      <c r="A1130" s="8"/>
      <c r="B1130" s="56" t="str">
        <f t="shared" si="2"/>
        <v/>
      </c>
      <c r="C1130" s="57"/>
      <c r="D1130" s="10" t="str">
        <f>IFERROR(__xludf.DUMMYFUNCTION("IF(COUNTA(C1130:C1350)=0,"""",IF(ISBLANK(C1130),FALSE,IF(NOT(COUNTIF($AA$24:$AA$34,SUBSTITUTE(C1130,""Sell_"",""""))),1,IF(REGEXMATCH(C1130,""Sell_""),IF(COUNTIF(C$4:C1130,SUBSTITUTE(C1130,""Sell_"",""""))-COUNTIF(C$4:C1129,C1130)&lt;1,1),FALSE))))"),"")</f>
        <v/>
      </c>
      <c r="E1130" s="59" t="str">
        <f t="array" ref="E1130">IF(COUNTA(C1130:C1350)=0,"",SUM((COUNTIF(C$4:C1130,Upgrades!$B$3:$B$13)-COUNTIF(C$4:C1130,"Sell_"&amp;Upgrades!$B$3:$B$13))*Upgrades!$D$3:$D$13))</f>
        <v/>
      </c>
      <c r="F1130" s="66" t="str">
        <f>IFERROR(__xludf.DUMMYFUNCTION("IF(COUNTA(C1130:C1350)=0,"""",IF(REGEXMATCH(INDEX(FILTER(C$4:C1130,C$4:C1130&lt;&gt;""""),ROWS(FILTER(C$4:C1130,C$4:C1130&lt;&gt;""""))),""^Sell_""),INDEX(FILTER(F$4:F1129,C$4:C1129&lt;&gt;""""),ROWS(FILTER(C$4:C1129,C$4:C1129&lt;&gt;""""))),$AC$5+E1130))"),"")</f>
        <v/>
      </c>
      <c r="G1130" s="10" t="str">
        <f>IFERROR(__xludf.DUMMYFUNCTION("IF(COUNTA(C1130:C1350)=0,"""",IF(C1130="""",0,IF(REGEXMATCH(C1130,""^Sell_""),-ROUNDDOWN(ROUNDUP(INDEX(Upgrades!$C$3:$C$13,MATCH(SUBSTITUTE(C1130,""Sell_"",""""),Upgrades!$B$3:$B$13,0))*1.15^(COUNTIF(C$4:C1129,SUBSTITUTE(C1130,""Sell_"",""""))-COUNTIF(C$4"&amp;":C1129,""Sell_""&amp;SUBSTITUTE(C1130,""Sell_"",""""))))/2),ROUNDUP(INDEX(Upgrades!$C$3:$C$13,MATCH(C1130,Upgrades!$B$3:$B$13,0))*1.15^(COUNTIF(C$4:C1129,C1130)-COUNTIF(C$4:C1129,""Sell_""&amp;C1130))))))"),"")</f>
        <v/>
      </c>
      <c r="H1130" s="10" t="str">
        <f t="shared" si="3"/>
        <v/>
      </c>
      <c r="I1130" s="68" t="str">
        <f t="shared" si="4"/>
        <v/>
      </c>
      <c r="J1130" s="59" t="str">
        <f t="shared" si="5"/>
        <v/>
      </c>
      <c r="K1130" s="69" t="str">
        <f t="shared" si="6"/>
        <v/>
      </c>
      <c r="L1130" s="60" t="str">
        <f t="shared" si="7"/>
        <v/>
      </c>
      <c r="M1130" s="61" t="str">
        <f>IFERROR(__xludf.DUMMYFUNCTION("IFS(AND(COUNTA(C1130:C1350)=0,COUNTA(Q1130:Q1350)=0),"""",OR(AND(K1130&gt;=1000000000,OR(Y1130&gt;=1000000000,COUNTA(Q1130:Q1350)=0)),OR(Y1130&gt;=1000000000,AND(COUNTA(C1130:C1350)=0,P$3=TRUE))),
ROUNDDOWN((AB$1-AC$1)*MAX(INDEX(T$4:T1350,MATCH(LARGE(FILTER(Y$4:Y1"&amp;"350,Y$4:Y1350&lt;1000000000),1),Y$4:Y1350)),INDEX(F$4:F1350,MATCH(LARGE(FILTER(K$4:K1350,K$4:K1350&lt;1000000000),1),K$4:K1350)))),AND(K1130&lt;1000000000,COUNTA(C1130:C1350)&gt;0,P$3=FALSE),
ROUNDDOWN(INDEX(Y$4:Y1350,MATCH(LARGE(FILTER(W$4:W1350,W$4:W1350&lt;=I1130),1)"&amp;",W$4:W1350))+(I1130-LARGE(FILTER(W$4:W1350,W$4:W1350&lt;=I1130),1))*INDEX(T$4:T1350,MATCH(LARGE(FILTER(W$4:W1350,W$4:W1350&lt;=I1130),1),W$4:W1350))-K1130),1,
ROUNDDOWN(Y1130-INDEX(K$4:K1350,MATCH(LARGE(FILTER(I$4:I1350,I$4:I1350&lt;=W1130),1),I$4:I1350))-(W1130-L"&amp;"ARGE(FILTER(I$4:I1350,I$4:I1350&lt;=W1130),1))*INDEX(F$4:F1350,MATCH(LARGE(FILTER(I$4:I1350,I$4:I1350&lt;=W1130),1),I$4:I1350))))"),"")</f>
        <v/>
      </c>
      <c r="N1130" s="60" t="str">
        <f t="shared" si="8"/>
        <v/>
      </c>
      <c r="O1130" s="61" t="str">
        <f t="shared" si="9"/>
        <v/>
      </c>
      <c r="P1130" s="56" t="str">
        <f t="shared" si="10"/>
        <v/>
      </c>
      <c r="Q1130" s="62"/>
      <c r="R1130" s="10" t="str">
        <f>IFERROR(__xludf.DUMMYFUNCTION("IF(COUNTA(Q1130:Q1350)=0,"""",IF(ISBLANK(Q1130),FALSE,IF(NOT(COUNTIF($AA$24:$AA$34,SUBSTITUTE(Q1130,""Sell_"",""""))),1,IF(REGEXMATCH(Q1130,""Sell_""),IF(COUNTIF(Q$4:Q1130,SUBSTITUTE(Q1130,""Sell_"",""""))-COUNTIF(Q$4:Q1129,Q1130)&lt;1,1),FALSE))))"),"")</f>
        <v/>
      </c>
      <c r="S1130" s="59" t="str">
        <f t="array" ref="S1130">IF(COUNTA(Q1130:Q1350)=0,"",SUM((COUNTIF(Q$4:Q1130,Upgrades!$B$3:$B$13)-COUNTIF(Q$4:Q1130,"Sell_"&amp;Upgrades!$B$3:$B$13))*Upgrades!$D$3:$D$13))</f>
        <v/>
      </c>
      <c r="T1130" s="66" t="str">
        <f>IFERROR(__xludf.DUMMYFUNCTION("IF(COUNTA(Q1130:Q1350)=0,"""",IF(REGEXMATCH(INDEX(FILTER(Q$4:Q1130,Q$4:Q1130&lt;&gt;""""),ROWS(FILTER(Q$4:Q1130,Q$4:Q1130&lt;&gt;""""))),""^Sell_""),INDEX(FILTER(T$4:T1129,Q$4:Q1129&lt;&gt;""""),ROWS(FILTER(Q$4:Q1129,Q$4:Q1129&lt;&gt;""""))),$AD$5+S1130))"),"")</f>
        <v/>
      </c>
      <c r="U1130" s="10" t="str">
        <f>IFERROR(__xludf.DUMMYFUNCTION("IF(COUNTA(Q1130:Q1350)=0,"""",IF(Q1130="""",0,IF(REGEXMATCH(Q1130,""^Sell_""),-ROUNDDOWN(ROUNDUP(INDEX(Upgrades!$C$3:$C$13,MATCH(SUBSTITUTE(Q1130,""Sell_"",""""),Upgrades!$B$3:$B$13,0))*1.15^(COUNTIF(Q$4:Q1129,SUBSTITUTE(Q1130,""Sell_"",""""))-COUNTIF(Q$4"&amp;":Q1129,""Sell_""&amp;SUBSTITUTE(Q1130,""Sell_"",""""))))/2),ROUNDUP(INDEX(Upgrades!$C$3:$C$13,MATCH(Q1130,Upgrades!$B$3:$B$13,0))*1.15^(COUNTIF(Q$4:Q1129,Q1130)-COUNTIF(Q$4:Q1129,""Sell_""&amp;Q1130))))))"),"")</f>
        <v/>
      </c>
      <c r="V1130" s="10" t="str">
        <f t="shared" si="11"/>
        <v/>
      </c>
      <c r="W1130" s="68" t="str">
        <f t="shared" si="12"/>
        <v/>
      </c>
      <c r="X1130" s="59" t="str">
        <f t="shared" si="13"/>
        <v/>
      </c>
      <c r="Y1130" s="69" t="str">
        <f t="shared" si="14"/>
        <v/>
      </c>
      <c r="Z1130" s="11"/>
    </row>
    <row r="1131">
      <c r="A1131" s="8"/>
      <c r="B1131" s="56" t="str">
        <f t="shared" si="2"/>
        <v/>
      </c>
      <c r="C1131" s="57"/>
      <c r="D1131" s="10" t="str">
        <f>IFERROR(__xludf.DUMMYFUNCTION("IF(COUNTA(C1131:C1350)=0,"""",IF(ISBLANK(C1131),FALSE,IF(NOT(COUNTIF($AA$24:$AA$34,SUBSTITUTE(C1131,""Sell_"",""""))),1,IF(REGEXMATCH(C1131,""Sell_""),IF(COUNTIF(C$4:C1131,SUBSTITUTE(C1131,""Sell_"",""""))-COUNTIF(C$4:C1130,C1131)&lt;1,1),FALSE))))"),"")</f>
        <v/>
      </c>
      <c r="E1131" s="59" t="str">
        <f t="array" ref="E1131">IF(COUNTA(C1131:C1350)=0,"",SUM((COUNTIF(C$4:C1131,Upgrades!$B$3:$B$13)-COUNTIF(C$4:C1131,"Sell_"&amp;Upgrades!$B$3:$B$13))*Upgrades!$D$3:$D$13))</f>
        <v/>
      </c>
      <c r="F1131" s="66" t="str">
        <f>IFERROR(__xludf.DUMMYFUNCTION("IF(COUNTA(C1131:C1350)=0,"""",IF(REGEXMATCH(INDEX(FILTER(C$4:C1131,C$4:C1131&lt;&gt;""""),ROWS(FILTER(C$4:C1131,C$4:C1131&lt;&gt;""""))),""^Sell_""),INDEX(FILTER(F$4:F1130,C$4:C1130&lt;&gt;""""),ROWS(FILTER(C$4:C1130,C$4:C1130&lt;&gt;""""))),$AC$5+E1131))"),"")</f>
        <v/>
      </c>
      <c r="G1131" s="10" t="str">
        <f>IFERROR(__xludf.DUMMYFUNCTION("IF(COUNTA(C1131:C1350)=0,"""",IF(C1131="""",0,IF(REGEXMATCH(C1131,""^Sell_""),-ROUNDDOWN(ROUNDUP(INDEX(Upgrades!$C$3:$C$13,MATCH(SUBSTITUTE(C1131,""Sell_"",""""),Upgrades!$B$3:$B$13,0))*1.15^(COUNTIF(C$4:C1130,SUBSTITUTE(C1131,""Sell_"",""""))-COUNTIF(C$4"&amp;":C1130,""Sell_""&amp;SUBSTITUTE(C1131,""Sell_"",""""))))/2),ROUNDUP(INDEX(Upgrades!$C$3:$C$13,MATCH(C1131,Upgrades!$B$3:$B$13,0))*1.15^(COUNTIF(C$4:C1130,C1131)-COUNTIF(C$4:C1130,""Sell_""&amp;C1131))))))"),"")</f>
        <v/>
      </c>
      <c r="H1131" s="10" t="str">
        <f t="shared" si="3"/>
        <v/>
      </c>
      <c r="I1131" s="68" t="str">
        <f t="shared" si="4"/>
        <v/>
      </c>
      <c r="J1131" s="59" t="str">
        <f t="shared" si="5"/>
        <v/>
      </c>
      <c r="K1131" s="69" t="str">
        <f t="shared" si="6"/>
        <v/>
      </c>
      <c r="L1131" s="60" t="str">
        <f t="shared" si="7"/>
        <v/>
      </c>
      <c r="M1131" s="61" t="str">
        <f>IFERROR(__xludf.DUMMYFUNCTION("IFS(AND(COUNTA(C1131:C1350)=0,COUNTA(Q1131:Q1350)=0),"""",OR(AND(K1131&gt;=1000000000,OR(Y1131&gt;=1000000000,COUNTA(Q1131:Q1350)=0)),OR(Y1131&gt;=1000000000,AND(COUNTA(C1131:C1350)=0,P$3=TRUE))),
ROUNDDOWN((AB$1-AC$1)*MAX(INDEX(T$4:T1350,MATCH(LARGE(FILTER(Y$4:Y1"&amp;"350,Y$4:Y1350&lt;1000000000),1),Y$4:Y1350)),INDEX(F$4:F1350,MATCH(LARGE(FILTER(K$4:K1350,K$4:K1350&lt;1000000000),1),K$4:K1350)))),AND(K1131&lt;1000000000,COUNTA(C1131:C1350)&gt;0,P$3=FALSE),
ROUNDDOWN(INDEX(Y$4:Y1350,MATCH(LARGE(FILTER(W$4:W1350,W$4:W1350&lt;=I1131),1)"&amp;",W$4:W1350))+(I1131-LARGE(FILTER(W$4:W1350,W$4:W1350&lt;=I1131),1))*INDEX(T$4:T1350,MATCH(LARGE(FILTER(W$4:W1350,W$4:W1350&lt;=I1131),1),W$4:W1350))-K1131),1,
ROUNDDOWN(Y1131-INDEX(K$4:K1350,MATCH(LARGE(FILTER(I$4:I1350,I$4:I1350&lt;=W1131),1),I$4:I1350))-(W1131-L"&amp;"ARGE(FILTER(I$4:I1350,I$4:I1350&lt;=W1131),1))*INDEX(F$4:F1350,MATCH(LARGE(FILTER(I$4:I1350,I$4:I1350&lt;=W1131),1),I$4:I1350))))"),"")</f>
        <v/>
      </c>
      <c r="N1131" s="60" t="str">
        <f t="shared" si="8"/>
        <v/>
      </c>
      <c r="O1131" s="61" t="str">
        <f t="shared" si="9"/>
        <v/>
      </c>
      <c r="P1131" s="56" t="str">
        <f t="shared" si="10"/>
        <v/>
      </c>
      <c r="Q1131" s="62"/>
      <c r="R1131" s="10" t="str">
        <f>IFERROR(__xludf.DUMMYFUNCTION("IF(COUNTA(Q1131:Q1350)=0,"""",IF(ISBLANK(Q1131),FALSE,IF(NOT(COUNTIF($AA$24:$AA$34,SUBSTITUTE(Q1131,""Sell_"",""""))),1,IF(REGEXMATCH(Q1131,""Sell_""),IF(COUNTIF(Q$4:Q1131,SUBSTITUTE(Q1131,""Sell_"",""""))-COUNTIF(Q$4:Q1130,Q1131)&lt;1,1),FALSE))))"),"")</f>
        <v/>
      </c>
      <c r="S1131" s="59" t="str">
        <f t="array" ref="S1131">IF(COUNTA(Q1131:Q1350)=0,"",SUM((COUNTIF(Q$4:Q1131,Upgrades!$B$3:$B$13)-COUNTIF(Q$4:Q1131,"Sell_"&amp;Upgrades!$B$3:$B$13))*Upgrades!$D$3:$D$13))</f>
        <v/>
      </c>
      <c r="T1131" s="66" t="str">
        <f>IFERROR(__xludf.DUMMYFUNCTION("IF(COUNTA(Q1131:Q1350)=0,"""",IF(REGEXMATCH(INDEX(FILTER(Q$4:Q1131,Q$4:Q1131&lt;&gt;""""),ROWS(FILTER(Q$4:Q1131,Q$4:Q1131&lt;&gt;""""))),""^Sell_""),INDEX(FILTER(T$4:T1130,Q$4:Q1130&lt;&gt;""""),ROWS(FILTER(Q$4:Q1130,Q$4:Q1130&lt;&gt;""""))),$AD$5+S1131))"),"")</f>
        <v/>
      </c>
      <c r="U1131" s="10" t="str">
        <f>IFERROR(__xludf.DUMMYFUNCTION("IF(COUNTA(Q1131:Q1350)=0,"""",IF(Q1131="""",0,IF(REGEXMATCH(Q1131,""^Sell_""),-ROUNDDOWN(ROUNDUP(INDEX(Upgrades!$C$3:$C$13,MATCH(SUBSTITUTE(Q1131,""Sell_"",""""),Upgrades!$B$3:$B$13,0))*1.15^(COUNTIF(Q$4:Q1130,SUBSTITUTE(Q1131,""Sell_"",""""))-COUNTIF(Q$4"&amp;":Q1130,""Sell_""&amp;SUBSTITUTE(Q1131,""Sell_"",""""))))/2),ROUNDUP(INDEX(Upgrades!$C$3:$C$13,MATCH(Q1131,Upgrades!$B$3:$B$13,0))*1.15^(COUNTIF(Q$4:Q1130,Q1131)-COUNTIF(Q$4:Q1130,""Sell_""&amp;Q1131))))))"),"")</f>
        <v/>
      </c>
      <c r="V1131" s="10" t="str">
        <f t="shared" si="11"/>
        <v/>
      </c>
      <c r="W1131" s="68" t="str">
        <f t="shared" si="12"/>
        <v/>
      </c>
      <c r="X1131" s="59" t="str">
        <f t="shared" si="13"/>
        <v/>
      </c>
      <c r="Y1131" s="69" t="str">
        <f t="shared" si="14"/>
        <v/>
      </c>
      <c r="Z1131" s="11"/>
    </row>
    <row r="1132">
      <c r="A1132" s="8"/>
      <c r="B1132" s="56" t="str">
        <f t="shared" si="2"/>
        <v/>
      </c>
      <c r="C1132" s="57"/>
      <c r="D1132" s="10" t="str">
        <f>IFERROR(__xludf.DUMMYFUNCTION("IF(COUNTA(C1132:C1350)=0,"""",IF(ISBLANK(C1132),FALSE,IF(NOT(COUNTIF($AA$24:$AA$34,SUBSTITUTE(C1132,""Sell_"",""""))),1,IF(REGEXMATCH(C1132,""Sell_""),IF(COUNTIF(C$4:C1132,SUBSTITUTE(C1132,""Sell_"",""""))-COUNTIF(C$4:C1131,C1132)&lt;1,1),FALSE))))"),"")</f>
        <v/>
      </c>
      <c r="E1132" s="59" t="str">
        <f t="array" ref="E1132">IF(COUNTA(C1132:C1350)=0,"",SUM((COUNTIF(C$4:C1132,Upgrades!$B$3:$B$13)-COUNTIF(C$4:C1132,"Sell_"&amp;Upgrades!$B$3:$B$13))*Upgrades!$D$3:$D$13))</f>
        <v/>
      </c>
      <c r="F1132" s="66" t="str">
        <f>IFERROR(__xludf.DUMMYFUNCTION("IF(COUNTA(C1132:C1350)=0,"""",IF(REGEXMATCH(INDEX(FILTER(C$4:C1132,C$4:C1132&lt;&gt;""""),ROWS(FILTER(C$4:C1132,C$4:C1132&lt;&gt;""""))),""^Sell_""),INDEX(FILTER(F$4:F1131,C$4:C1131&lt;&gt;""""),ROWS(FILTER(C$4:C1131,C$4:C1131&lt;&gt;""""))),$AC$5+E1132))"),"")</f>
        <v/>
      </c>
      <c r="G1132" s="10" t="str">
        <f>IFERROR(__xludf.DUMMYFUNCTION("IF(COUNTA(C1132:C1350)=0,"""",IF(C1132="""",0,IF(REGEXMATCH(C1132,""^Sell_""),-ROUNDDOWN(ROUNDUP(INDEX(Upgrades!$C$3:$C$13,MATCH(SUBSTITUTE(C1132,""Sell_"",""""),Upgrades!$B$3:$B$13,0))*1.15^(COUNTIF(C$4:C1131,SUBSTITUTE(C1132,""Sell_"",""""))-COUNTIF(C$4"&amp;":C1131,""Sell_""&amp;SUBSTITUTE(C1132,""Sell_"",""""))))/2),ROUNDUP(INDEX(Upgrades!$C$3:$C$13,MATCH(C1132,Upgrades!$B$3:$B$13,0))*1.15^(COUNTIF(C$4:C1131,C1132)-COUNTIF(C$4:C1131,""Sell_""&amp;C1132))))))"),"")</f>
        <v/>
      </c>
      <c r="H1132" s="10" t="str">
        <f t="shared" si="3"/>
        <v/>
      </c>
      <c r="I1132" s="68" t="str">
        <f t="shared" si="4"/>
        <v/>
      </c>
      <c r="J1132" s="59" t="str">
        <f t="shared" si="5"/>
        <v/>
      </c>
      <c r="K1132" s="69" t="str">
        <f t="shared" si="6"/>
        <v/>
      </c>
      <c r="L1132" s="60" t="str">
        <f t="shared" si="7"/>
        <v/>
      </c>
      <c r="M1132" s="61" t="str">
        <f>IFERROR(__xludf.DUMMYFUNCTION("IFS(AND(COUNTA(C1132:C1350)=0,COUNTA(Q1132:Q1350)=0),"""",OR(AND(K1132&gt;=1000000000,OR(Y1132&gt;=1000000000,COUNTA(Q1132:Q1350)=0)),OR(Y1132&gt;=1000000000,AND(COUNTA(C1132:C1350)=0,P$3=TRUE))),
ROUNDDOWN((AB$1-AC$1)*MAX(INDEX(T$4:T1350,MATCH(LARGE(FILTER(Y$4:Y1"&amp;"350,Y$4:Y1350&lt;1000000000),1),Y$4:Y1350)),INDEX(F$4:F1350,MATCH(LARGE(FILTER(K$4:K1350,K$4:K1350&lt;1000000000),1),K$4:K1350)))),AND(K1132&lt;1000000000,COUNTA(C1132:C1350)&gt;0,P$3=FALSE),
ROUNDDOWN(INDEX(Y$4:Y1350,MATCH(LARGE(FILTER(W$4:W1350,W$4:W1350&lt;=I1132),1)"&amp;",W$4:W1350))+(I1132-LARGE(FILTER(W$4:W1350,W$4:W1350&lt;=I1132),1))*INDEX(T$4:T1350,MATCH(LARGE(FILTER(W$4:W1350,W$4:W1350&lt;=I1132),1),W$4:W1350))-K1132),1,
ROUNDDOWN(Y1132-INDEX(K$4:K1350,MATCH(LARGE(FILTER(I$4:I1350,I$4:I1350&lt;=W1132),1),I$4:I1350))-(W1132-L"&amp;"ARGE(FILTER(I$4:I1350,I$4:I1350&lt;=W1132),1))*INDEX(F$4:F1350,MATCH(LARGE(FILTER(I$4:I1350,I$4:I1350&lt;=W1132),1),I$4:I1350))))"),"")</f>
        <v/>
      </c>
      <c r="N1132" s="60" t="str">
        <f t="shared" si="8"/>
        <v/>
      </c>
      <c r="O1132" s="61" t="str">
        <f t="shared" si="9"/>
        <v/>
      </c>
      <c r="P1132" s="56" t="str">
        <f t="shared" si="10"/>
        <v/>
      </c>
      <c r="Q1132" s="62"/>
      <c r="R1132" s="10" t="str">
        <f>IFERROR(__xludf.DUMMYFUNCTION("IF(COUNTA(Q1132:Q1350)=0,"""",IF(ISBLANK(Q1132),FALSE,IF(NOT(COUNTIF($AA$24:$AA$34,SUBSTITUTE(Q1132,""Sell_"",""""))),1,IF(REGEXMATCH(Q1132,""Sell_""),IF(COUNTIF(Q$4:Q1132,SUBSTITUTE(Q1132,""Sell_"",""""))-COUNTIF(Q$4:Q1131,Q1132)&lt;1,1),FALSE))))"),"")</f>
        <v/>
      </c>
      <c r="S1132" s="59" t="str">
        <f t="array" ref="S1132">IF(COUNTA(Q1132:Q1350)=0,"",SUM((COUNTIF(Q$4:Q1132,Upgrades!$B$3:$B$13)-COUNTIF(Q$4:Q1132,"Sell_"&amp;Upgrades!$B$3:$B$13))*Upgrades!$D$3:$D$13))</f>
        <v/>
      </c>
      <c r="T1132" s="66" t="str">
        <f>IFERROR(__xludf.DUMMYFUNCTION("IF(COUNTA(Q1132:Q1350)=0,"""",IF(REGEXMATCH(INDEX(FILTER(Q$4:Q1132,Q$4:Q1132&lt;&gt;""""),ROWS(FILTER(Q$4:Q1132,Q$4:Q1132&lt;&gt;""""))),""^Sell_""),INDEX(FILTER(T$4:T1131,Q$4:Q1131&lt;&gt;""""),ROWS(FILTER(Q$4:Q1131,Q$4:Q1131&lt;&gt;""""))),$AD$5+S1132))"),"")</f>
        <v/>
      </c>
      <c r="U1132" s="10" t="str">
        <f>IFERROR(__xludf.DUMMYFUNCTION("IF(COUNTA(Q1132:Q1350)=0,"""",IF(Q1132="""",0,IF(REGEXMATCH(Q1132,""^Sell_""),-ROUNDDOWN(ROUNDUP(INDEX(Upgrades!$C$3:$C$13,MATCH(SUBSTITUTE(Q1132,""Sell_"",""""),Upgrades!$B$3:$B$13,0))*1.15^(COUNTIF(Q$4:Q1131,SUBSTITUTE(Q1132,""Sell_"",""""))-COUNTIF(Q$4"&amp;":Q1131,""Sell_""&amp;SUBSTITUTE(Q1132,""Sell_"",""""))))/2),ROUNDUP(INDEX(Upgrades!$C$3:$C$13,MATCH(Q1132,Upgrades!$B$3:$B$13,0))*1.15^(COUNTIF(Q$4:Q1131,Q1132)-COUNTIF(Q$4:Q1131,""Sell_""&amp;Q1132))))))"),"")</f>
        <v/>
      </c>
      <c r="V1132" s="10" t="str">
        <f t="shared" si="11"/>
        <v/>
      </c>
      <c r="W1132" s="68" t="str">
        <f t="shared" si="12"/>
        <v/>
      </c>
      <c r="X1132" s="59" t="str">
        <f t="shared" si="13"/>
        <v/>
      </c>
      <c r="Y1132" s="69" t="str">
        <f t="shared" si="14"/>
        <v/>
      </c>
      <c r="Z1132" s="11"/>
    </row>
    <row r="1133">
      <c r="A1133" s="8"/>
      <c r="B1133" s="56" t="str">
        <f t="shared" si="2"/>
        <v/>
      </c>
      <c r="C1133" s="57"/>
      <c r="D1133" s="10" t="str">
        <f>IFERROR(__xludf.DUMMYFUNCTION("IF(COUNTA(C1133:C1350)=0,"""",IF(ISBLANK(C1133),FALSE,IF(NOT(COUNTIF($AA$24:$AA$34,SUBSTITUTE(C1133,""Sell_"",""""))),1,IF(REGEXMATCH(C1133,""Sell_""),IF(COUNTIF(C$4:C1133,SUBSTITUTE(C1133,""Sell_"",""""))-COUNTIF(C$4:C1132,C1133)&lt;1,1),FALSE))))"),"")</f>
        <v/>
      </c>
      <c r="E1133" s="59" t="str">
        <f t="array" ref="E1133">IF(COUNTA(C1133:C1350)=0,"",SUM((COUNTIF(C$4:C1133,Upgrades!$B$3:$B$13)-COUNTIF(C$4:C1133,"Sell_"&amp;Upgrades!$B$3:$B$13))*Upgrades!$D$3:$D$13))</f>
        <v/>
      </c>
      <c r="F1133" s="66" t="str">
        <f>IFERROR(__xludf.DUMMYFUNCTION("IF(COUNTA(C1133:C1350)=0,"""",IF(REGEXMATCH(INDEX(FILTER(C$4:C1133,C$4:C1133&lt;&gt;""""),ROWS(FILTER(C$4:C1133,C$4:C1133&lt;&gt;""""))),""^Sell_""),INDEX(FILTER(F$4:F1132,C$4:C1132&lt;&gt;""""),ROWS(FILTER(C$4:C1132,C$4:C1132&lt;&gt;""""))),$AC$5+E1133))"),"")</f>
        <v/>
      </c>
      <c r="G1133" s="10" t="str">
        <f>IFERROR(__xludf.DUMMYFUNCTION("IF(COUNTA(C1133:C1350)=0,"""",IF(C1133="""",0,IF(REGEXMATCH(C1133,""^Sell_""),-ROUNDDOWN(ROUNDUP(INDEX(Upgrades!$C$3:$C$13,MATCH(SUBSTITUTE(C1133,""Sell_"",""""),Upgrades!$B$3:$B$13,0))*1.15^(COUNTIF(C$4:C1132,SUBSTITUTE(C1133,""Sell_"",""""))-COUNTIF(C$4"&amp;":C1132,""Sell_""&amp;SUBSTITUTE(C1133,""Sell_"",""""))))/2),ROUNDUP(INDEX(Upgrades!$C$3:$C$13,MATCH(C1133,Upgrades!$B$3:$B$13,0))*1.15^(COUNTIF(C$4:C1132,C1133)-COUNTIF(C$4:C1132,""Sell_""&amp;C1133))))))"),"")</f>
        <v/>
      </c>
      <c r="H1133" s="10" t="str">
        <f t="shared" si="3"/>
        <v/>
      </c>
      <c r="I1133" s="68" t="str">
        <f t="shared" si="4"/>
        <v/>
      </c>
      <c r="J1133" s="59" t="str">
        <f t="shared" si="5"/>
        <v/>
      </c>
      <c r="K1133" s="69" t="str">
        <f t="shared" si="6"/>
        <v/>
      </c>
      <c r="L1133" s="60" t="str">
        <f t="shared" si="7"/>
        <v/>
      </c>
      <c r="M1133" s="61" t="str">
        <f>IFERROR(__xludf.DUMMYFUNCTION("IFS(AND(COUNTA(C1133:C1350)=0,COUNTA(Q1133:Q1350)=0),"""",OR(AND(K1133&gt;=1000000000,OR(Y1133&gt;=1000000000,COUNTA(Q1133:Q1350)=0)),OR(Y1133&gt;=1000000000,AND(COUNTA(C1133:C1350)=0,P$3=TRUE))),
ROUNDDOWN((AB$1-AC$1)*MAX(INDEX(T$4:T1350,MATCH(LARGE(FILTER(Y$4:Y1"&amp;"350,Y$4:Y1350&lt;1000000000),1),Y$4:Y1350)),INDEX(F$4:F1350,MATCH(LARGE(FILTER(K$4:K1350,K$4:K1350&lt;1000000000),1),K$4:K1350)))),AND(K1133&lt;1000000000,COUNTA(C1133:C1350)&gt;0,P$3=FALSE),
ROUNDDOWN(INDEX(Y$4:Y1350,MATCH(LARGE(FILTER(W$4:W1350,W$4:W1350&lt;=I1133),1)"&amp;",W$4:W1350))+(I1133-LARGE(FILTER(W$4:W1350,W$4:W1350&lt;=I1133),1))*INDEX(T$4:T1350,MATCH(LARGE(FILTER(W$4:W1350,W$4:W1350&lt;=I1133),1),W$4:W1350))-K1133),1,
ROUNDDOWN(Y1133-INDEX(K$4:K1350,MATCH(LARGE(FILTER(I$4:I1350,I$4:I1350&lt;=W1133),1),I$4:I1350))-(W1133-L"&amp;"ARGE(FILTER(I$4:I1350,I$4:I1350&lt;=W1133),1))*INDEX(F$4:F1350,MATCH(LARGE(FILTER(I$4:I1350,I$4:I1350&lt;=W1133),1),I$4:I1350))))"),"")</f>
        <v/>
      </c>
      <c r="N1133" s="60" t="str">
        <f t="shared" si="8"/>
        <v/>
      </c>
      <c r="O1133" s="61" t="str">
        <f t="shared" si="9"/>
        <v/>
      </c>
      <c r="P1133" s="56" t="str">
        <f t="shared" si="10"/>
        <v/>
      </c>
      <c r="Q1133" s="62"/>
      <c r="R1133" s="10" t="str">
        <f>IFERROR(__xludf.DUMMYFUNCTION("IF(COUNTA(Q1133:Q1350)=0,"""",IF(ISBLANK(Q1133),FALSE,IF(NOT(COUNTIF($AA$24:$AA$34,SUBSTITUTE(Q1133,""Sell_"",""""))),1,IF(REGEXMATCH(Q1133,""Sell_""),IF(COUNTIF(Q$4:Q1133,SUBSTITUTE(Q1133,""Sell_"",""""))-COUNTIF(Q$4:Q1132,Q1133)&lt;1,1),FALSE))))"),"")</f>
        <v/>
      </c>
      <c r="S1133" s="59" t="str">
        <f t="array" ref="S1133">IF(COUNTA(Q1133:Q1350)=0,"",SUM((COUNTIF(Q$4:Q1133,Upgrades!$B$3:$B$13)-COUNTIF(Q$4:Q1133,"Sell_"&amp;Upgrades!$B$3:$B$13))*Upgrades!$D$3:$D$13))</f>
        <v/>
      </c>
      <c r="T1133" s="66" t="str">
        <f>IFERROR(__xludf.DUMMYFUNCTION("IF(COUNTA(Q1133:Q1350)=0,"""",IF(REGEXMATCH(INDEX(FILTER(Q$4:Q1133,Q$4:Q1133&lt;&gt;""""),ROWS(FILTER(Q$4:Q1133,Q$4:Q1133&lt;&gt;""""))),""^Sell_""),INDEX(FILTER(T$4:T1132,Q$4:Q1132&lt;&gt;""""),ROWS(FILTER(Q$4:Q1132,Q$4:Q1132&lt;&gt;""""))),$AD$5+S1133))"),"")</f>
        <v/>
      </c>
      <c r="U1133" s="10" t="str">
        <f>IFERROR(__xludf.DUMMYFUNCTION("IF(COUNTA(Q1133:Q1350)=0,"""",IF(Q1133="""",0,IF(REGEXMATCH(Q1133,""^Sell_""),-ROUNDDOWN(ROUNDUP(INDEX(Upgrades!$C$3:$C$13,MATCH(SUBSTITUTE(Q1133,""Sell_"",""""),Upgrades!$B$3:$B$13,0))*1.15^(COUNTIF(Q$4:Q1132,SUBSTITUTE(Q1133,""Sell_"",""""))-COUNTIF(Q$4"&amp;":Q1132,""Sell_""&amp;SUBSTITUTE(Q1133,""Sell_"",""""))))/2),ROUNDUP(INDEX(Upgrades!$C$3:$C$13,MATCH(Q1133,Upgrades!$B$3:$B$13,0))*1.15^(COUNTIF(Q$4:Q1132,Q1133)-COUNTIF(Q$4:Q1132,""Sell_""&amp;Q1133))))))"),"")</f>
        <v/>
      </c>
      <c r="V1133" s="10" t="str">
        <f t="shared" si="11"/>
        <v/>
      </c>
      <c r="W1133" s="68" t="str">
        <f t="shared" si="12"/>
        <v/>
      </c>
      <c r="X1133" s="59" t="str">
        <f t="shared" si="13"/>
        <v/>
      </c>
      <c r="Y1133" s="69" t="str">
        <f t="shared" si="14"/>
        <v/>
      </c>
      <c r="Z1133" s="11"/>
    </row>
    <row r="1134">
      <c r="A1134" s="8"/>
      <c r="B1134" s="56" t="str">
        <f t="shared" si="2"/>
        <v/>
      </c>
      <c r="C1134" s="57"/>
      <c r="D1134" s="10" t="str">
        <f>IFERROR(__xludf.DUMMYFUNCTION("IF(COUNTA(C1134:C1350)=0,"""",IF(ISBLANK(C1134),FALSE,IF(NOT(COUNTIF($AA$24:$AA$34,SUBSTITUTE(C1134,""Sell_"",""""))),1,IF(REGEXMATCH(C1134,""Sell_""),IF(COUNTIF(C$4:C1134,SUBSTITUTE(C1134,""Sell_"",""""))-COUNTIF(C$4:C1133,C1134)&lt;1,1),FALSE))))"),"")</f>
        <v/>
      </c>
      <c r="E1134" s="59" t="str">
        <f t="array" ref="E1134">IF(COUNTA(C1134:C1350)=0,"",SUM((COUNTIF(C$4:C1134,Upgrades!$B$3:$B$13)-COUNTIF(C$4:C1134,"Sell_"&amp;Upgrades!$B$3:$B$13))*Upgrades!$D$3:$D$13))</f>
        <v/>
      </c>
      <c r="F1134" s="66" t="str">
        <f>IFERROR(__xludf.DUMMYFUNCTION("IF(COUNTA(C1134:C1350)=0,"""",IF(REGEXMATCH(INDEX(FILTER(C$4:C1134,C$4:C1134&lt;&gt;""""),ROWS(FILTER(C$4:C1134,C$4:C1134&lt;&gt;""""))),""^Sell_""),INDEX(FILTER(F$4:F1133,C$4:C1133&lt;&gt;""""),ROWS(FILTER(C$4:C1133,C$4:C1133&lt;&gt;""""))),$AC$5+E1134))"),"")</f>
        <v/>
      </c>
      <c r="G1134" s="10" t="str">
        <f>IFERROR(__xludf.DUMMYFUNCTION("IF(COUNTA(C1134:C1350)=0,"""",IF(C1134="""",0,IF(REGEXMATCH(C1134,""^Sell_""),-ROUNDDOWN(ROUNDUP(INDEX(Upgrades!$C$3:$C$13,MATCH(SUBSTITUTE(C1134,""Sell_"",""""),Upgrades!$B$3:$B$13,0))*1.15^(COUNTIF(C$4:C1133,SUBSTITUTE(C1134,""Sell_"",""""))-COUNTIF(C$4"&amp;":C1133,""Sell_""&amp;SUBSTITUTE(C1134,""Sell_"",""""))))/2),ROUNDUP(INDEX(Upgrades!$C$3:$C$13,MATCH(C1134,Upgrades!$B$3:$B$13,0))*1.15^(COUNTIF(C$4:C1133,C1134)-COUNTIF(C$4:C1133,""Sell_""&amp;C1134))))))"),"")</f>
        <v/>
      </c>
      <c r="H1134" s="10" t="str">
        <f t="shared" si="3"/>
        <v/>
      </c>
      <c r="I1134" s="68" t="str">
        <f t="shared" si="4"/>
        <v/>
      </c>
      <c r="J1134" s="59" t="str">
        <f t="shared" si="5"/>
        <v/>
      </c>
      <c r="K1134" s="69" t="str">
        <f t="shared" si="6"/>
        <v/>
      </c>
      <c r="L1134" s="60" t="str">
        <f t="shared" si="7"/>
        <v/>
      </c>
      <c r="M1134" s="61" t="str">
        <f>IFERROR(__xludf.DUMMYFUNCTION("IFS(AND(COUNTA(C1134:C1350)=0,COUNTA(Q1134:Q1350)=0),"""",OR(AND(K1134&gt;=1000000000,OR(Y1134&gt;=1000000000,COUNTA(Q1134:Q1350)=0)),OR(Y1134&gt;=1000000000,AND(COUNTA(C1134:C1350)=0,P$3=TRUE))),
ROUNDDOWN((AB$1-AC$1)*MAX(INDEX(T$4:T1350,MATCH(LARGE(FILTER(Y$4:Y1"&amp;"350,Y$4:Y1350&lt;1000000000),1),Y$4:Y1350)),INDEX(F$4:F1350,MATCH(LARGE(FILTER(K$4:K1350,K$4:K1350&lt;1000000000),1),K$4:K1350)))),AND(K1134&lt;1000000000,COUNTA(C1134:C1350)&gt;0,P$3=FALSE),
ROUNDDOWN(INDEX(Y$4:Y1350,MATCH(LARGE(FILTER(W$4:W1350,W$4:W1350&lt;=I1134),1)"&amp;",W$4:W1350))+(I1134-LARGE(FILTER(W$4:W1350,W$4:W1350&lt;=I1134),1))*INDEX(T$4:T1350,MATCH(LARGE(FILTER(W$4:W1350,W$4:W1350&lt;=I1134),1),W$4:W1350))-K1134),1,
ROUNDDOWN(Y1134-INDEX(K$4:K1350,MATCH(LARGE(FILTER(I$4:I1350,I$4:I1350&lt;=W1134),1),I$4:I1350))-(W1134-L"&amp;"ARGE(FILTER(I$4:I1350,I$4:I1350&lt;=W1134),1))*INDEX(F$4:F1350,MATCH(LARGE(FILTER(I$4:I1350,I$4:I1350&lt;=W1134),1),I$4:I1350))))"),"")</f>
        <v/>
      </c>
      <c r="N1134" s="60" t="str">
        <f t="shared" si="8"/>
        <v/>
      </c>
      <c r="O1134" s="61" t="str">
        <f t="shared" si="9"/>
        <v/>
      </c>
      <c r="P1134" s="56" t="str">
        <f t="shared" si="10"/>
        <v/>
      </c>
      <c r="Q1134" s="62"/>
      <c r="R1134" s="10" t="str">
        <f>IFERROR(__xludf.DUMMYFUNCTION("IF(COUNTA(Q1134:Q1350)=0,"""",IF(ISBLANK(Q1134),FALSE,IF(NOT(COUNTIF($AA$24:$AA$34,SUBSTITUTE(Q1134,""Sell_"",""""))),1,IF(REGEXMATCH(Q1134,""Sell_""),IF(COUNTIF(Q$4:Q1134,SUBSTITUTE(Q1134,""Sell_"",""""))-COUNTIF(Q$4:Q1133,Q1134)&lt;1,1),FALSE))))"),"")</f>
        <v/>
      </c>
      <c r="S1134" s="59" t="str">
        <f t="array" ref="S1134">IF(COUNTA(Q1134:Q1350)=0,"",SUM((COUNTIF(Q$4:Q1134,Upgrades!$B$3:$B$13)-COUNTIF(Q$4:Q1134,"Sell_"&amp;Upgrades!$B$3:$B$13))*Upgrades!$D$3:$D$13))</f>
        <v/>
      </c>
      <c r="T1134" s="66" t="str">
        <f>IFERROR(__xludf.DUMMYFUNCTION("IF(COUNTA(Q1134:Q1350)=0,"""",IF(REGEXMATCH(INDEX(FILTER(Q$4:Q1134,Q$4:Q1134&lt;&gt;""""),ROWS(FILTER(Q$4:Q1134,Q$4:Q1134&lt;&gt;""""))),""^Sell_""),INDEX(FILTER(T$4:T1133,Q$4:Q1133&lt;&gt;""""),ROWS(FILTER(Q$4:Q1133,Q$4:Q1133&lt;&gt;""""))),$AD$5+S1134))"),"")</f>
        <v/>
      </c>
      <c r="U1134" s="10" t="str">
        <f>IFERROR(__xludf.DUMMYFUNCTION("IF(COUNTA(Q1134:Q1350)=0,"""",IF(Q1134="""",0,IF(REGEXMATCH(Q1134,""^Sell_""),-ROUNDDOWN(ROUNDUP(INDEX(Upgrades!$C$3:$C$13,MATCH(SUBSTITUTE(Q1134,""Sell_"",""""),Upgrades!$B$3:$B$13,0))*1.15^(COUNTIF(Q$4:Q1133,SUBSTITUTE(Q1134,""Sell_"",""""))-COUNTIF(Q$4"&amp;":Q1133,""Sell_""&amp;SUBSTITUTE(Q1134,""Sell_"",""""))))/2),ROUNDUP(INDEX(Upgrades!$C$3:$C$13,MATCH(Q1134,Upgrades!$B$3:$B$13,0))*1.15^(COUNTIF(Q$4:Q1133,Q1134)-COUNTIF(Q$4:Q1133,""Sell_""&amp;Q1134))))))"),"")</f>
        <v/>
      </c>
      <c r="V1134" s="10" t="str">
        <f t="shared" si="11"/>
        <v/>
      </c>
      <c r="W1134" s="68" t="str">
        <f t="shared" si="12"/>
        <v/>
      </c>
      <c r="X1134" s="59" t="str">
        <f t="shared" si="13"/>
        <v/>
      </c>
      <c r="Y1134" s="69" t="str">
        <f t="shared" si="14"/>
        <v/>
      </c>
      <c r="Z1134" s="11"/>
    </row>
    <row r="1135">
      <c r="A1135" s="8"/>
      <c r="B1135" s="56" t="str">
        <f t="shared" si="2"/>
        <v/>
      </c>
      <c r="C1135" s="57"/>
      <c r="D1135" s="10" t="str">
        <f>IFERROR(__xludf.DUMMYFUNCTION("IF(COUNTA(C1135:C1350)=0,"""",IF(ISBLANK(C1135),FALSE,IF(NOT(COUNTIF($AA$24:$AA$34,SUBSTITUTE(C1135,""Sell_"",""""))),1,IF(REGEXMATCH(C1135,""Sell_""),IF(COUNTIF(C$4:C1135,SUBSTITUTE(C1135,""Sell_"",""""))-COUNTIF(C$4:C1134,C1135)&lt;1,1),FALSE))))"),"")</f>
        <v/>
      </c>
      <c r="E1135" s="59" t="str">
        <f t="array" ref="E1135">IF(COUNTA(C1135:C1350)=0,"",SUM((COUNTIF(C$4:C1135,Upgrades!$B$3:$B$13)-COUNTIF(C$4:C1135,"Sell_"&amp;Upgrades!$B$3:$B$13))*Upgrades!$D$3:$D$13))</f>
        <v/>
      </c>
      <c r="F1135" s="66" t="str">
        <f>IFERROR(__xludf.DUMMYFUNCTION("IF(COUNTA(C1135:C1350)=0,"""",IF(REGEXMATCH(INDEX(FILTER(C$4:C1135,C$4:C1135&lt;&gt;""""),ROWS(FILTER(C$4:C1135,C$4:C1135&lt;&gt;""""))),""^Sell_""),INDEX(FILTER(F$4:F1134,C$4:C1134&lt;&gt;""""),ROWS(FILTER(C$4:C1134,C$4:C1134&lt;&gt;""""))),$AC$5+E1135))"),"")</f>
        <v/>
      </c>
      <c r="G1135" s="10" t="str">
        <f>IFERROR(__xludf.DUMMYFUNCTION("IF(COUNTA(C1135:C1350)=0,"""",IF(C1135="""",0,IF(REGEXMATCH(C1135,""^Sell_""),-ROUNDDOWN(ROUNDUP(INDEX(Upgrades!$C$3:$C$13,MATCH(SUBSTITUTE(C1135,""Sell_"",""""),Upgrades!$B$3:$B$13,0))*1.15^(COUNTIF(C$4:C1134,SUBSTITUTE(C1135,""Sell_"",""""))-COUNTIF(C$4"&amp;":C1134,""Sell_""&amp;SUBSTITUTE(C1135,""Sell_"",""""))))/2),ROUNDUP(INDEX(Upgrades!$C$3:$C$13,MATCH(C1135,Upgrades!$B$3:$B$13,0))*1.15^(COUNTIF(C$4:C1134,C1135)-COUNTIF(C$4:C1134,""Sell_""&amp;C1135))))))"),"")</f>
        <v/>
      </c>
      <c r="H1135" s="10" t="str">
        <f t="shared" si="3"/>
        <v/>
      </c>
      <c r="I1135" s="68" t="str">
        <f t="shared" si="4"/>
        <v/>
      </c>
      <c r="J1135" s="59" t="str">
        <f t="shared" si="5"/>
        <v/>
      </c>
      <c r="K1135" s="69" t="str">
        <f t="shared" si="6"/>
        <v/>
      </c>
      <c r="L1135" s="60" t="str">
        <f t="shared" si="7"/>
        <v/>
      </c>
      <c r="M1135" s="61" t="str">
        <f>IFERROR(__xludf.DUMMYFUNCTION("IFS(AND(COUNTA(C1135:C1350)=0,COUNTA(Q1135:Q1350)=0),"""",OR(AND(K1135&gt;=1000000000,OR(Y1135&gt;=1000000000,COUNTA(Q1135:Q1350)=0)),OR(Y1135&gt;=1000000000,AND(COUNTA(C1135:C1350)=0,P$3=TRUE))),
ROUNDDOWN((AB$1-AC$1)*MAX(INDEX(T$4:T1350,MATCH(LARGE(FILTER(Y$4:Y1"&amp;"350,Y$4:Y1350&lt;1000000000),1),Y$4:Y1350)),INDEX(F$4:F1350,MATCH(LARGE(FILTER(K$4:K1350,K$4:K1350&lt;1000000000),1),K$4:K1350)))),AND(K1135&lt;1000000000,COUNTA(C1135:C1350)&gt;0,P$3=FALSE),
ROUNDDOWN(INDEX(Y$4:Y1350,MATCH(LARGE(FILTER(W$4:W1350,W$4:W1350&lt;=I1135),1)"&amp;",W$4:W1350))+(I1135-LARGE(FILTER(W$4:W1350,W$4:W1350&lt;=I1135),1))*INDEX(T$4:T1350,MATCH(LARGE(FILTER(W$4:W1350,W$4:W1350&lt;=I1135),1),W$4:W1350))-K1135),1,
ROUNDDOWN(Y1135-INDEX(K$4:K1350,MATCH(LARGE(FILTER(I$4:I1350,I$4:I1350&lt;=W1135),1),I$4:I1350))-(W1135-L"&amp;"ARGE(FILTER(I$4:I1350,I$4:I1350&lt;=W1135),1))*INDEX(F$4:F1350,MATCH(LARGE(FILTER(I$4:I1350,I$4:I1350&lt;=W1135),1),I$4:I1350))))"),"")</f>
        <v/>
      </c>
      <c r="N1135" s="60" t="str">
        <f t="shared" si="8"/>
        <v/>
      </c>
      <c r="O1135" s="61" t="str">
        <f t="shared" si="9"/>
        <v/>
      </c>
      <c r="P1135" s="56" t="str">
        <f t="shared" si="10"/>
        <v/>
      </c>
      <c r="Q1135" s="62"/>
      <c r="R1135" s="10" t="str">
        <f>IFERROR(__xludf.DUMMYFUNCTION("IF(COUNTA(Q1135:Q1350)=0,"""",IF(ISBLANK(Q1135),FALSE,IF(NOT(COUNTIF($AA$24:$AA$34,SUBSTITUTE(Q1135,""Sell_"",""""))),1,IF(REGEXMATCH(Q1135,""Sell_""),IF(COUNTIF(Q$4:Q1135,SUBSTITUTE(Q1135,""Sell_"",""""))-COUNTIF(Q$4:Q1134,Q1135)&lt;1,1),FALSE))))"),"")</f>
        <v/>
      </c>
      <c r="S1135" s="59" t="str">
        <f t="array" ref="S1135">IF(COUNTA(Q1135:Q1350)=0,"",SUM((COUNTIF(Q$4:Q1135,Upgrades!$B$3:$B$13)-COUNTIF(Q$4:Q1135,"Sell_"&amp;Upgrades!$B$3:$B$13))*Upgrades!$D$3:$D$13))</f>
        <v/>
      </c>
      <c r="T1135" s="66" t="str">
        <f>IFERROR(__xludf.DUMMYFUNCTION("IF(COUNTA(Q1135:Q1350)=0,"""",IF(REGEXMATCH(INDEX(FILTER(Q$4:Q1135,Q$4:Q1135&lt;&gt;""""),ROWS(FILTER(Q$4:Q1135,Q$4:Q1135&lt;&gt;""""))),""^Sell_""),INDEX(FILTER(T$4:T1134,Q$4:Q1134&lt;&gt;""""),ROWS(FILTER(Q$4:Q1134,Q$4:Q1134&lt;&gt;""""))),$AD$5+S1135))"),"")</f>
        <v/>
      </c>
      <c r="U1135" s="10" t="str">
        <f>IFERROR(__xludf.DUMMYFUNCTION("IF(COUNTA(Q1135:Q1350)=0,"""",IF(Q1135="""",0,IF(REGEXMATCH(Q1135,""^Sell_""),-ROUNDDOWN(ROUNDUP(INDEX(Upgrades!$C$3:$C$13,MATCH(SUBSTITUTE(Q1135,""Sell_"",""""),Upgrades!$B$3:$B$13,0))*1.15^(COUNTIF(Q$4:Q1134,SUBSTITUTE(Q1135,""Sell_"",""""))-COUNTIF(Q$4"&amp;":Q1134,""Sell_""&amp;SUBSTITUTE(Q1135,""Sell_"",""""))))/2),ROUNDUP(INDEX(Upgrades!$C$3:$C$13,MATCH(Q1135,Upgrades!$B$3:$B$13,0))*1.15^(COUNTIF(Q$4:Q1134,Q1135)-COUNTIF(Q$4:Q1134,""Sell_""&amp;Q1135))))))"),"")</f>
        <v/>
      </c>
      <c r="V1135" s="10" t="str">
        <f t="shared" si="11"/>
        <v/>
      </c>
      <c r="W1135" s="68" t="str">
        <f t="shared" si="12"/>
        <v/>
      </c>
      <c r="X1135" s="59" t="str">
        <f t="shared" si="13"/>
        <v/>
      </c>
      <c r="Y1135" s="69" t="str">
        <f t="shared" si="14"/>
        <v/>
      </c>
      <c r="Z1135" s="11"/>
    </row>
    <row r="1136">
      <c r="A1136" s="8"/>
      <c r="B1136" s="56" t="str">
        <f t="shared" si="2"/>
        <v/>
      </c>
      <c r="C1136" s="57"/>
      <c r="D1136" s="10" t="str">
        <f>IFERROR(__xludf.DUMMYFUNCTION("IF(COUNTA(C1136:C1350)=0,"""",IF(ISBLANK(C1136),FALSE,IF(NOT(COUNTIF($AA$24:$AA$34,SUBSTITUTE(C1136,""Sell_"",""""))),1,IF(REGEXMATCH(C1136,""Sell_""),IF(COUNTIF(C$4:C1136,SUBSTITUTE(C1136,""Sell_"",""""))-COUNTIF(C$4:C1135,C1136)&lt;1,1),FALSE))))"),"")</f>
        <v/>
      </c>
      <c r="E1136" s="59" t="str">
        <f t="array" ref="E1136">IF(COUNTA(C1136:C1350)=0,"",SUM((COUNTIF(C$4:C1136,Upgrades!$B$3:$B$13)-COUNTIF(C$4:C1136,"Sell_"&amp;Upgrades!$B$3:$B$13))*Upgrades!$D$3:$D$13))</f>
        <v/>
      </c>
      <c r="F1136" s="66" t="str">
        <f>IFERROR(__xludf.DUMMYFUNCTION("IF(COUNTA(C1136:C1350)=0,"""",IF(REGEXMATCH(INDEX(FILTER(C$4:C1136,C$4:C1136&lt;&gt;""""),ROWS(FILTER(C$4:C1136,C$4:C1136&lt;&gt;""""))),""^Sell_""),INDEX(FILTER(F$4:F1135,C$4:C1135&lt;&gt;""""),ROWS(FILTER(C$4:C1135,C$4:C1135&lt;&gt;""""))),$AC$5+E1136))"),"")</f>
        <v/>
      </c>
      <c r="G1136" s="10" t="str">
        <f>IFERROR(__xludf.DUMMYFUNCTION("IF(COUNTA(C1136:C1350)=0,"""",IF(C1136="""",0,IF(REGEXMATCH(C1136,""^Sell_""),-ROUNDDOWN(ROUNDUP(INDEX(Upgrades!$C$3:$C$13,MATCH(SUBSTITUTE(C1136,""Sell_"",""""),Upgrades!$B$3:$B$13,0))*1.15^(COUNTIF(C$4:C1135,SUBSTITUTE(C1136,""Sell_"",""""))-COUNTIF(C$4"&amp;":C1135,""Sell_""&amp;SUBSTITUTE(C1136,""Sell_"",""""))))/2),ROUNDUP(INDEX(Upgrades!$C$3:$C$13,MATCH(C1136,Upgrades!$B$3:$B$13,0))*1.15^(COUNTIF(C$4:C1135,C1136)-COUNTIF(C$4:C1135,""Sell_""&amp;C1136))))))"),"")</f>
        <v/>
      </c>
      <c r="H1136" s="10" t="str">
        <f t="shared" si="3"/>
        <v/>
      </c>
      <c r="I1136" s="68" t="str">
        <f t="shared" si="4"/>
        <v/>
      </c>
      <c r="J1136" s="59" t="str">
        <f t="shared" si="5"/>
        <v/>
      </c>
      <c r="K1136" s="69" t="str">
        <f t="shared" si="6"/>
        <v/>
      </c>
      <c r="L1136" s="60" t="str">
        <f t="shared" si="7"/>
        <v/>
      </c>
      <c r="M1136" s="61" t="str">
        <f>IFERROR(__xludf.DUMMYFUNCTION("IFS(AND(COUNTA(C1136:C1350)=0,COUNTA(Q1136:Q1350)=0),"""",OR(AND(K1136&gt;=1000000000,OR(Y1136&gt;=1000000000,COUNTA(Q1136:Q1350)=0)),OR(Y1136&gt;=1000000000,AND(COUNTA(C1136:C1350)=0,P$3=TRUE))),
ROUNDDOWN((AB$1-AC$1)*MAX(INDEX(T$4:T1350,MATCH(LARGE(FILTER(Y$4:Y1"&amp;"350,Y$4:Y1350&lt;1000000000),1),Y$4:Y1350)),INDEX(F$4:F1350,MATCH(LARGE(FILTER(K$4:K1350,K$4:K1350&lt;1000000000),1),K$4:K1350)))),AND(K1136&lt;1000000000,COUNTA(C1136:C1350)&gt;0,P$3=FALSE),
ROUNDDOWN(INDEX(Y$4:Y1350,MATCH(LARGE(FILTER(W$4:W1350,W$4:W1350&lt;=I1136),1)"&amp;",W$4:W1350))+(I1136-LARGE(FILTER(W$4:W1350,W$4:W1350&lt;=I1136),1))*INDEX(T$4:T1350,MATCH(LARGE(FILTER(W$4:W1350,W$4:W1350&lt;=I1136),1),W$4:W1350))-K1136),1,
ROUNDDOWN(Y1136-INDEX(K$4:K1350,MATCH(LARGE(FILTER(I$4:I1350,I$4:I1350&lt;=W1136),1),I$4:I1350))-(W1136-L"&amp;"ARGE(FILTER(I$4:I1350,I$4:I1350&lt;=W1136),1))*INDEX(F$4:F1350,MATCH(LARGE(FILTER(I$4:I1350,I$4:I1350&lt;=W1136),1),I$4:I1350))))"),"")</f>
        <v/>
      </c>
      <c r="N1136" s="60" t="str">
        <f t="shared" si="8"/>
        <v/>
      </c>
      <c r="O1136" s="61" t="str">
        <f t="shared" si="9"/>
        <v/>
      </c>
      <c r="P1136" s="56" t="str">
        <f t="shared" si="10"/>
        <v/>
      </c>
      <c r="Q1136" s="62"/>
      <c r="R1136" s="10" t="str">
        <f>IFERROR(__xludf.DUMMYFUNCTION("IF(COUNTA(Q1136:Q1350)=0,"""",IF(ISBLANK(Q1136),FALSE,IF(NOT(COUNTIF($AA$24:$AA$34,SUBSTITUTE(Q1136,""Sell_"",""""))),1,IF(REGEXMATCH(Q1136,""Sell_""),IF(COUNTIF(Q$4:Q1136,SUBSTITUTE(Q1136,""Sell_"",""""))-COUNTIF(Q$4:Q1135,Q1136)&lt;1,1),FALSE))))"),"")</f>
        <v/>
      </c>
      <c r="S1136" s="59" t="str">
        <f t="array" ref="S1136">IF(COUNTA(Q1136:Q1350)=0,"",SUM((COUNTIF(Q$4:Q1136,Upgrades!$B$3:$B$13)-COUNTIF(Q$4:Q1136,"Sell_"&amp;Upgrades!$B$3:$B$13))*Upgrades!$D$3:$D$13))</f>
        <v/>
      </c>
      <c r="T1136" s="66" t="str">
        <f>IFERROR(__xludf.DUMMYFUNCTION("IF(COUNTA(Q1136:Q1350)=0,"""",IF(REGEXMATCH(INDEX(FILTER(Q$4:Q1136,Q$4:Q1136&lt;&gt;""""),ROWS(FILTER(Q$4:Q1136,Q$4:Q1136&lt;&gt;""""))),""^Sell_""),INDEX(FILTER(T$4:T1135,Q$4:Q1135&lt;&gt;""""),ROWS(FILTER(Q$4:Q1135,Q$4:Q1135&lt;&gt;""""))),$AD$5+S1136))"),"")</f>
        <v/>
      </c>
      <c r="U1136" s="10" t="str">
        <f>IFERROR(__xludf.DUMMYFUNCTION("IF(COUNTA(Q1136:Q1350)=0,"""",IF(Q1136="""",0,IF(REGEXMATCH(Q1136,""^Sell_""),-ROUNDDOWN(ROUNDUP(INDEX(Upgrades!$C$3:$C$13,MATCH(SUBSTITUTE(Q1136,""Sell_"",""""),Upgrades!$B$3:$B$13,0))*1.15^(COUNTIF(Q$4:Q1135,SUBSTITUTE(Q1136,""Sell_"",""""))-COUNTIF(Q$4"&amp;":Q1135,""Sell_""&amp;SUBSTITUTE(Q1136,""Sell_"",""""))))/2),ROUNDUP(INDEX(Upgrades!$C$3:$C$13,MATCH(Q1136,Upgrades!$B$3:$B$13,0))*1.15^(COUNTIF(Q$4:Q1135,Q1136)-COUNTIF(Q$4:Q1135,""Sell_""&amp;Q1136))))))"),"")</f>
        <v/>
      </c>
      <c r="V1136" s="10" t="str">
        <f t="shared" si="11"/>
        <v/>
      </c>
      <c r="W1136" s="68" t="str">
        <f t="shared" si="12"/>
        <v/>
      </c>
      <c r="X1136" s="59" t="str">
        <f t="shared" si="13"/>
        <v/>
      </c>
      <c r="Y1136" s="69" t="str">
        <f t="shared" si="14"/>
        <v/>
      </c>
      <c r="Z1136" s="11"/>
    </row>
    <row r="1137">
      <c r="A1137" s="8"/>
      <c r="B1137" s="56" t="str">
        <f t="shared" si="2"/>
        <v/>
      </c>
      <c r="C1137" s="57"/>
      <c r="D1137" s="10" t="str">
        <f>IFERROR(__xludf.DUMMYFUNCTION("IF(COUNTA(C1137:C1350)=0,"""",IF(ISBLANK(C1137),FALSE,IF(NOT(COUNTIF($AA$24:$AA$34,SUBSTITUTE(C1137,""Sell_"",""""))),1,IF(REGEXMATCH(C1137,""Sell_""),IF(COUNTIF(C$4:C1137,SUBSTITUTE(C1137,""Sell_"",""""))-COUNTIF(C$4:C1136,C1137)&lt;1,1),FALSE))))"),"")</f>
        <v/>
      </c>
      <c r="E1137" s="59" t="str">
        <f t="array" ref="E1137">IF(COUNTA(C1137:C1350)=0,"",SUM((COUNTIF(C$4:C1137,Upgrades!$B$3:$B$13)-COUNTIF(C$4:C1137,"Sell_"&amp;Upgrades!$B$3:$B$13))*Upgrades!$D$3:$D$13))</f>
        <v/>
      </c>
      <c r="F1137" s="66" t="str">
        <f>IFERROR(__xludf.DUMMYFUNCTION("IF(COUNTA(C1137:C1350)=0,"""",IF(REGEXMATCH(INDEX(FILTER(C$4:C1137,C$4:C1137&lt;&gt;""""),ROWS(FILTER(C$4:C1137,C$4:C1137&lt;&gt;""""))),""^Sell_""),INDEX(FILTER(F$4:F1136,C$4:C1136&lt;&gt;""""),ROWS(FILTER(C$4:C1136,C$4:C1136&lt;&gt;""""))),$AC$5+E1137))"),"")</f>
        <v/>
      </c>
      <c r="G1137" s="10" t="str">
        <f>IFERROR(__xludf.DUMMYFUNCTION("IF(COUNTA(C1137:C1350)=0,"""",IF(C1137="""",0,IF(REGEXMATCH(C1137,""^Sell_""),-ROUNDDOWN(ROUNDUP(INDEX(Upgrades!$C$3:$C$13,MATCH(SUBSTITUTE(C1137,""Sell_"",""""),Upgrades!$B$3:$B$13,0))*1.15^(COUNTIF(C$4:C1136,SUBSTITUTE(C1137,""Sell_"",""""))-COUNTIF(C$4"&amp;":C1136,""Sell_""&amp;SUBSTITUTE(C1137,""Sell_"",""""))))/2),ROUNDUP(INDEX(Upgrades!$C$3:$C$13,MATCH(C1137,Upgrades!$B$3:$B$13,0))*1.15^(COUNTIF(C$4:C1136,C1137)-COUNTIF(C$4:C1136,""Sell_""&amp;C1137))))))"),"")</f>
        <v/>
      </c>
      <c r="H1137" s="10" t="str">
        <f t="shared" si="3"/>
        <v/>
      </c>
      <c r="I1137" s="68" t="str">
        <f t="shared" si="4"/>
        <v/>
      </c>
      <c r="J1137" s="59" t="str">
        <f t="shared" si="5"/>
        <v/>
      </c>
      <c r="K1137" s="69" t="str">
        <f t="shared" si="6"/>
        <v/>
      </c>
      <c r="L1137" s="60" t="str">
        <f t="shared" si="7"/>
        <v/>
      </c>
      <c r="M1137" s="61" t="str">
        <f>IFERROR(__xludf.DUMMYFUNCTION("IFS(AND(COUNTA(C1137:C1350)=0,COUNTA(Q1137:Q1350)=0),"""",OR(AND(K1137&gt;=1000000000,OR(Y1137&gt;=1000000000,COUNTA(Q1137:Q1350)=0)),OR(Y1137&gt;=1000000000,AND(COUNTA(C1137:C1350)=0,P$3=TRUE))),
ROUNDDOWN((AB$1-AC$1)*MAX(INDEX(T$4:T1350,MATCH(LARGE(FILTER(Y$4:Y1"&amp;"350,Y$4:Y1350&lt;1000000000),1),Y$4:Y1350)),INDEX(F$4:F1350,MATCH(LARGE(FILTER(K$4:K1350,K$4:K1350&lt;1000000000),1),K$4:K1350)))),AND(K1137&lt;1000000000,COUNTA(C1137:C1350)&gt;0,P$3=FALSE),
ROUNDDOWN(INDEX(Y$4:Y1350,MATCH(LARGE(FILTER(W$4:W1350,W$4:W1350&lt;=I1137),1)"&amp;",W$4:W1350))+(I1137-LARGE(FILTER(W$4:W1350,W$4:W1350&lt;=I1137),1))*INDEX(T$4:T1350,MATCH(LARGE(FILTER(W$4:W1350,W$4:W1350&lt;=I1137),1),W$4:W1350))-K1137),1,
ROUNDDOWN(Y1137-INDEX(K$4:K1350,MATCH(LARGE(FILTER(I$4:I1350,I$4:I1350&lt;=W1137),1),I$4:I1350))-(W1137-L"&amp;"ARGE(FILTER(I$4:I1350,I$4:I1350&lt;=W1137),1))*INDEX(F$4:F1350,MATCH(LARGE(FILTER(I$4:I1350,I$4:I1350&lt;=W1137),1),I$4:I1350))))"),"")</f>
        <v/>
      </c>
      <c r="N1137" s="60" t="str">
        <f t="shared" si="8"/>
        <v/>
      </c>
      <c r="O1137" s="61" t="str">
        <f t="shared" si="9"/>
        <v/>
      </c>
      <c r="P1137" s="56" t="str">
        <f t="shared" si="10"/>
        <v/>
      </c>
      <c r="Q1137" s="62"/>
      <c r="R1137" s="10" t="str">
        <f>IFERROR(__xludf.DUMMYFUNCTION("IF(COUNTA(Q1137:Q1350)=0,"""",IF(ISBLANK(Q1137),FALSE,IF(NOT(COUNTIF($AA$24:$AA$34,SUBSTITUTE(Q1137,""Sell_"",""""))),1,IF(REGEXMATCH(Q1137,""Sell_""),IF(COUNTIF(Q$4:Q1137,SUBSTITUTE(Q1137,""Sell_"",""""))-COUNTIF(Q$4:Q1136,Q1137)&lt;1,1),FALSE))))"),"")</f>
        <v/>
      </c>
      <c r="S1137" s="59" t="str">
        <f t="array" ref="S1137">IF(COUNTA(Q1137:Q1350)=0,"",SUM((COUNTIF(Q$4:Q1137,Upgrades!$B$3:$B$13)-COUNTIF(Q$4:Q1137,"Sell_"&amp;Upgrades!$B$3:$B$13))*Upgrades!$D$3:$D$13))</f>
        <v/>
      </c>
      <c r="T1137" s="66" t="str">
        <f>IFERROR(__xludf.DUMMYFUNCTION("IF(COUNTA(Q1137:Q1350)=0,"""",IF(REGEXMATCH(INDEX(FILTER(Q$4:Q1137,Q$4:Q1137&lt;&gt;""""),ROWS(FILTER(Q$4:Q1137,Q$4:Q1137&lt;&gt;""""))),""^Sell_""),INDEX(FILTER(T$4:T1136,Q$4:Q1136&lt;&gt;""""),ROWS(FILTER(Q$4:Q1136,Q$4:Q1136&lt;&gt;""""))),$AD$5+S1137))"),"")</f>
        <v/>
      </c>
      <c r="U1137" s="10" t="str">
        <f>IFERROR(__xludf.DUMMYFUNCTION("IF(COUNTA(Q1137:Q1350)=0,"""",IF(Q1137="""",0,IF(REGEXMATCH(Q1137,""^Sell_""),-ROUNDDOWN(ROUNDUP(INDEX(Upgrades!$C$3:$C$13,MATCH(SUBSTITUTE(Q1137,""Sell_"",""""),Upgrades!$B$3:$B$13,0))*1.15^(COUNTIF(Q$4:Q1136,SUBSTITUTE(Q1137,""Sell_"",""""))-COUNTIF(Q$4"&amp;":Q1136,""Sell_""&amp;SUBSTITUTE(Q1137,""Sell_"",""""))))/2),ROUNDUP(INDEX(Upgrades!$C$3:$C$13,MATCH(Q1137,Upgrades!$B$3:$B$13,0))*1.15^(COUNTIF(Q$4:Q1136,Q1137)-COUNTIF(Q$4:Q1136,""Sell_""&amp;Q1137))))))"),"")</f>
        <v/>
      </c>
      <c r="V1137" s="10" t="str">
        <f t="shared" si="11"/>
        <v/>
      </c>
      <c r="W1137" s="68" t="str">
        <f t="shared" si="12"/>
        <v/>
      </c>
      <c r="X1137" s="59" t="str">
        <f t="shared" si="13"/>
        <v/>
      </c>
      <c r="Y1137" s="69" t="str">
        <f t="shared" si="14"/>
        <v/>
      </c>
      <c r="Z1137" s="11"/>
    </row>
    <row r="1138">
      <c r="A1138" s="8"/>
      <c r="B1138" s="56" t="str">
        <f t="shared" si="2"/>
        <v/>
      </c>
      <c r="C1138" s="57"/>
      <c r="D1138" s="10" t="str">
        <f>IFERROR(__xludf.DUMMYFUNCTION("IF(COUNTA(C1138:C1350)=0,"""",IF(ISBLANK(C1138),FALSE,IF(NOT(COUNTIF($AA$24:$AA$34,SUBSTITUTE(C1138,""Sell_"",""""))),1,IF(REGEXMATCH(C1138,""Sell_""),IF(COUNTIF(C$4:C1138,SUBSTITUTE(C1138,""Sell_"",""""))-COUNTIF(C$4:C1137,C1138)&lt;1,1),FALSE))))"),"")</f>
        <v/>
      </c>
      <c r="E1138" s="59" t="str">
        <f t="array" ref="E1138">IF(COUNTA(C1138:C1350)=0,"",SUM((COUNTIF(C$4:C1138,Upgrades!$B$3:$B$13)-COUNTIF(C$4:C1138,"Sell_"&amp;Upgrades!$B$3:$B$13))*Upgrades!$D$3:$D$13))</f>
        <v/>
      </c>
      <c r="F1138" s="66" t="str">
        <f>IFERROR(__xludf.DUMMYFUNCTION("IF(COUNTA(C1138:C1350)=0,"""",IF(REGEXMATCH(INDEX(FILTER(C$4:C1138,C$4:C1138&lt;&gt;""""),ROWS(FILTER(C$4:C1138,C$4:C1138&lt;&gt;""""))),""^Sell_""),INDEX(FILTER(F$4:F1137,C$4:C1137&lt;&gt;""""),ROWS(FILTER(C$4:C1137,C$4:C1137&lt;&gt;""""))),$AC$5+E1138))"),"")</f>
        <v/>
      </c>
      <c r="G1138" s="10" t="str">
        <f>IFERROR(__xludf.DUMMYFUNCTION("IF(COUNTA(C1138:C1350)=0,"""",IF(C1138="""",0,IF(REGEXMATCH(C1138,""^Sell_""),-ROUNDDOWN(ROUNDUP(INDEX(Upgrades!$C$3:$C$13,MATCH(SUBSTITUTE(C1138,""Sell_"",""""),Upgrades!$B$3:$B$13,0))*1.15^(COUNTIF(C$4:C1137,SUBSTITUTE(C1138,""Sell_"",""""))-COUNTIF(C$4"&amp;":C1137,""Sell_""&amp;SUBSTITUTE(C1138,""Sell_"",""""))))/2),ROUNDUP(INDEX(Upgrades!$C$3:$C$13,MATCH(C1138,Upgrades!$B$3:$B$13,0))*1.15^(COUNTIF(C$4:C1137,C1138)-COUNTIF(C$4:C1137,""Sell_""&amp;C1138))))))"),"")</f>
        <v/>
      </c>
      <c r="H1138" s="10" t="str">
        <f t="shared" si="3"/>
        <v/>
      </c>
      <c r="I1138" s="68" t="str">
        <f t="shared" si="4"/>
        <v/>
      </c>
      <c r="J1138" s="59" t="str">
        <f t="shared" si="5"/>
        <v/>
      </c>
      <c r="K1138" s="69" t="str">
        <f t="shared" si="6"/>
        <v/>
      </c>
      <c r="L1138" s="60" t="str">
        <f t="shared" si="7"/>
        <v/>
      </c>
      <c r="M1138" s="61" t="str">
        <f>IFERROR(__xludf.DUMMYFUNCTION("IFS(AND(COUNTA(C1138:C1350)=0,COUNTA(Q1138:Q1350)=0),"""",OR(AND(K1138&gt;=1000000000,OR(Y1138&gt;=1000000000,COUNTA(Q1138:Q1350)=0)),OR(Y1138&gt;=1000000000,AND(COUNTA(C1138:C1350)=0,P$3=TRUE))),
ROUNDDOWN((AB$1-AC$1)*MAX(INDEX(T$4:T1350,MATCH(LARGE(FILTER(Y$4:Y1"&amp;"350,Y$4:Y1350&lt;1000000000),1),Y$4:Y1350)),INDEX(F$4:F1350,MATCH(LARGE(FILTER(K$4:K1350,K$4:K1350&lt;1000000000),1),K$4:K1350)))),AND(K1138&lt;1000000000,COUNTA(C1138:C1350)&gt;0,P$3=FALSE),
ROUNDDOWN(INDEX(Y$4:Y1350,MATCH(LARGE(FILTER(W$4:W1350,W$4:W1350&lt;=I1138),1)"&amp;",W$4:W1350))+(I1138-LARGE(FILTER(W$4:W1350,W$4:W1350&lt;=I1138),1))*INDEX(T$4:T1350,MATCH(LARGE(FILTER(W$4:W1350,W$4:W1350&lt;=I1138),1),W$4:W1350))-K1138),1,
ROUNDDOWN(Y1138-INDEX(K$4:K1350,MATCH(LARGE(FILTER(I$4:I1350,I$4:I1350&lt;=W1138),1),I$4:I1350))-(W1138-L"&amp;"ARGE(FILTER(I$4:I1350,I$4:I1350&lt;=W1138),1))*INDEX(F$4:F1350,MATCH(LARGE(FILTER(I$4:I1350,I$4:I1350&lt;=W1138),1),I$4:I1350))))"),"")</f>
        <v/>
      </c>
      <c r="N1138" s="60" t="str">
        <f t="shared" si="8"/>
        <v/>
      </c>
      <c r="O1138" s="61" t="str">
        <f t="shared" si="9"/>
        <v/>
      </c>
      <c r="P1138" s="56" t="str">
        <f t="shared" si="10"/>
        <v/>
      </c>
      <c r="Q1138" s="62"/>
      <c r="R1138" s="10" t="str">
        <f>IFERROR(__xludf.DUMMYFUNCTION("IF(COUNTA(Q1138:Q1350)=0,"""",IF(ISBLANK(Q1138),FALSE,IF(NOT(COUNTIF($AA$24:$AA$34,SUBSTITUTE(Q1138,""Sell_"",""""))),1,IF(REGEXMATCH(Q1138,""Sell_""),IF(COUNTIF(Q$4:Q1138,SUBSTITUTE(Q1138,""Sell_"",""""))-COUNTIF(Q$4:Q1137,Q1138)&lt;1,1),FALSE))))"),"")</f>
        <v/>
      </c>
      <c r="S1138" s="59" t="str">
        <f t="array" ref="S1138">IF(COUNTA(Q1138:Q1350)=0,"",SUM((COUNTIF(Q$4:Q1138,Upgrades!$B$3:$B$13)-COUNTIF(Q$4:Q1138,"Sell_"&amp;Upgrades!$B$3:$B$13))*Upgrades!$D$3:$D$13))</f>
        <v/>
      </c>
      <c r="T1138" s="66" t="str">
        <f>IFERROR(__xludf.DUMMYFUNCTION("IF(COUNTA(Q1138:Q1350)=0,"""",IF(REGEXMATCH(INDEX(FILTER(Q$4:Q1138,Q$4:Q1138&lt;&gt;""""),ROWS(FILTER(Q$4:Q1138,Q$4:Q1138&lt;&gt;""""))),""^Sell_""),INDEX(FILTER(T$4:T1137,Q$4:Q1137&lt;&gt;""""),ROWS(FILTER(Q$4:Q1137,Q$4:Q1137&lt;&gt;""""))),$AD$5+S1138))"),"")</f>
        <v/>
      </c>
      <c r="U1138" s="10" t="str">
        <f>IFERROR(__xludf.DUMMYFUNCTION("IF(COUNTA(Q1138:Q1350)=0,"""",IF(Q1138="""",0,IF(REGEXMATCH(Q1138,""^Sell_""),-ROUNDDOWN(ROUNDUP(INDEX(Upgrades!$C$3:$C$13,MATCH(SUBSTITUTE(Q1138,""Sell_"",""""),Upgrades!$B$3:$B$13,0))*1.15^(COUNTIF(Q$4:Q1137,SUBSTITUTE(Q1138,""Sell_"",""""))-COUNTIF(Q$4"&amp;":Q1137,""Sell_""&amp;SUBSTITUTE(Q1138,""Sell_"",""""))))/2),ROUNDUP(INDEX(Upgrades!$C$3:$C$13,MATCH(Q1138,Upgrades!$B$3:$B$13,0))*1.15^(COUNTIF(Q$4:Q1137,Q1138)-COUNTIF(Q$4:Q1137,""Sell_""&amp;Q1138))))))"),"")</f>
        <v/>
      </c>
      <c r="V1138" s="10" t="str">
        <f t="shared" si="11"/>
        <v/>
      </c>
      <c r="W1138" s="68" t="str">
        <f t="shared" si="12"/>
        <v/>
      </c>
      <c r="X1138" s="59" t="str">
        <f t="shared" si="13"/>
        <v/>
      </c>
      <c r="Y1138" s="69" t="str">
        <f t="shared" si="14"/>
        <v/>
      </c>
      <c r="Z1138" s="11"/>
    </row>
    <row r="1139">
      <c r="A1139" s="8"/>
      <c r="B1139" s="56" t="str">
        <f t="shared" si="2"/>
        <v/>
      </c>
      <c r="C1139" s="57"/>
      <c r="D1139" s="10" t="str">
        <f>IFERROR(__xludf.DUMMYFUNCTION("IF(COUNTA(C1139:C1350)=0,"""",IF(ISBLANK(C1139),FALSE,IF(NOT(COUNTIF($AA$24:$AA$34,SUBSTITUTE(C1139,""Sell_"",""""))),1,IF(REGEXMATCH(C1139,""Sell_""),IF(COUNTIF(C$4:C1139,SUBSTITUTE(C1139,""Sell_"",""""))-COUNTIF(C$4:C1138,C1139)&lt;1,1),FALSE))))"),"")</f>
        <v/>
      </c>
      <c r="E1139" s="59" t="str">
        <f t="array" ref="E1139">IF(COUNTA(C1139:C1350)=0,"",SUM((COUNTIF(C$4:C1139,Upgrades!$B$3:$B$13)-COUNTIF(C$4:C1139,"Sell_"&amp;Upgrades!$B$3:$B$13))*Upgrades!$D$3:$D$13))</f>
        <v/>
      </c>
      <c r="F1139" s="66" t="str">
        <f>IFERROR(__xludf.DUMMYFUNCTION("IF(COUNTA(C1139:C1350)=0,"""",IF(REGEXMATCH(INDEX(FILTER(C$4:C1139,C$4:C1139&lt;&gt;""""),ROWS(FILTER(C$4:C1139,C$4:C1139&lt;&gt;""""))),""^Sell_""),INDEX(FILTER(F$4:F1138,C$4:C1138&lt;&gt;""""),ROWS(FILTER(C$4:C1138,C$4:C1138&lt;&gt;""""))),$AC$5+E1139))"),"")</f>
        <v/>
      </c>
      <c r="G1139" s="10" t="str">
        <f>IFERROR(__xludf.DUMMYFUNCTION("IF(COUNTA(C1139:C1350)=0,"""",IF(C1139="""",0,IF(REGEXMATCH(C1139,""^Sell_""),-ROUNDDOWN(ROUNDUP(INDEX(Upgrades!$C$3:$C$13,MATCH(SUBSTITUTE(C1139,""Sell_"",""""),Upgrades!$B$3:$B$13,0))*1.15^(COUNTIF(C$4:C1138,SUBSTITUTE(C1139,""Sell_"",""""))-COUNTIF(C$4"&amp;":C1138,""Sell_""&amp;SUBSTITUTE(C1139,""Sell_"",""""))))/2),ROUNDUP(INDEX(Upgrades!$C$3:$C$13,MATCH(C1139,Upgrades!$B$3:$B$13,0))*1.15^(COUNTIF(C$4:C1138,C1139)-COUNTIF(C$4:C1138,""Sell_""&amp;C1139))))))"),"")</f>
        <v/>
      </c>
      <c r="H1139" s="10" t="str">
        <f t="shared" si="3"/>
        <v/>
      </c>
      <c r="I1139" s="68" t="str">
        <f t="shared" si="4"/>
        <v/>
      </c>
      <c r="J1139" s="59" t="str">
        <f t="shared" si="5"/>
        <v/>
      </c>
      <c r="K1139" s="69" t="str">
        <f t="shared" si="6"/>
        <v/>
      </c>
      <c r="L1139" s="60" t="str">
        <f t="shared" si="7"/>
        <v/>
      </c>
      <c r="M1139" s="61" t="str">
        <f>IFERROR(__xludf.DUMMYFUNCTION("IFS(AND(COUNTA(C1139:C1350)=0,COUNTA(Q1139:Q1350)=0),"""",OR(AND(K1139&gt;=1000000000,OR(Y1139&gt;=1000000000,COUNTA(Q1139:Q1350)=0)),OR(Y1139&gt;=1000000000,AND(COUNTA(C1139:C1350)=0,P$3=TRUE))),
ROUNDDOWN((AB$1-AC$1)*MAX(INDEX(T$4:T1350,MATCH(LARGE(FILTER(Y$4:Y1"&amp;"350,Y$4:Y1350&lt;1000000000),1),Y$4:Y1350)),INDEX(F$4:F1350,MATCH(LARGE(FILTER(K$4:K1350,K$4:K1350&lt;1000000000),1),K$4:K1350)))),AND(K1139&lt;1000000000,COUNTA(C1139:C1350)&gt;0,P$3=FALSE),
ROUNDDOWN(INDEX(Y$4:Y1350,MATCH(LARGE(FILTER(W$4:W1350,W$4:W1350&lt;=I1139),1)"&amp;",W$4:W1350))+(I1139-LARGE(FILTER(W$4:W1350,W$4:W1350&lt;=I1139),1))*INDEX(T$4:T1350,MATCH(LARGE(FILTER(W$4:W1350,W$4:W1350&lt;=I1139),1),W$4:W1350))-K1139),1,
ROUNDDOWN(Y1139-INDEX(K$4:K1350,MATCH(LARGE(FILTER(I$4:I1350,I$4:I1350&lt;=W1139),1),I$4:I1350))-(W1139-L"&amp;"ARGE(FILTER(I$4:I1350,I$4:I1350&lt;=W1139),1))*INDEX(F$4:F1350,MATCH(LARGE(FILTER(I$4:I1350,I$4:I1350&lt;=W1139),1),I$4:I1350))))"),"")</f>
        <v/>
      </c>
      <c r="N1139" s="60" t="str">
        <f t="shared" si="8"/>
        <v/>
      </c>
      <c r="O1139" s="61" t="str">
        <f t="shared" si="9"/>
        <v/>
      </c>
      <c r="P1139" s="56" t="str">
        <f t="shared" si="10"/>
        <v/>
      </c>
      <c r="Q1139" s="62"/>
      <c r="R1139" s="10" t="str">
        <f>IFERROR(__xludf.DUMMYFUNCTION("IF(COUNTA(Q1139:Q1350)=0,"""",IF(ISBLANK(Q1139),FALSE,IF(NOT(COUNTIF($AA$24:$AA$34,SUBSTITUTE(Q1139,""Sell_"",""""))),1,IF(REGEXMATCH(Q1139,""Sell_""),IF(COUNTIF(Q$4:Q1139,SUBSTITUTE(Q1139,""Sell_"",""""))-COUNTIF(Q$4:Q1138,Q1139)&lt;1,1),FALSE))))"),"")</f>
        <v/>
      </c>
      <c r="S1139" s="59" t="str">
        <f t="array" ref="S1139">IF(COUNTA(Q1139:Q1350)=0,"",SUM((COUNTIF(Q$4:Q1139,Upgrades!$B$3:$B$13)-COUNTIF(Q$4:Q1139,"Sell_"&amp;Upgrades!$B$3:$B$13))*Upgrades!$D$3:$D$13))</f>
        <v/>
      </c>
      <c r="T1139" s="66" t="str">
        <f>IFERROR(__xludf.DUMMYFUNCTION("IF(COUNTA(Q1139:Q1350)=0,"""",IF(REGEXMATCH(INDEX(FILTER(Q$4:Q1139,Q$4:Q1139&lt;&gt;""""),ROWS(FILTER(Q$4:Q1139,Q$4:Q1139&lt;&gt;""""))),""^Sell_""),INDEX(FILTER(T$4:T1138,Q$4:Q1138&lt;&gt;""""),ROWS(FILTER(Q$4:Q1138,Q$4:Q1138&lt;&gt;""""))),$AD$5+S1139))"),"")</f>
        <v/>
      </c>
      <c r="U1139" s="10" t="str">
        <f>IFERROR(__xludf.DUMMYFUNCTION("IF(COUNTA(Q1139:Q1350)=0,"""",IF(Q1139="""",0,IF(REGEXMATCH(Q1139,""^Sell_""),-ROUNDDOWN(ROUNDUP(INDEX(Upgrades!$C$3:$C$13,MATCH(SUBSTITUTE(Q1139,""Sell_"",""""),Upgrades!$B$3:$B$13,0))*1.15^(COUNTIF(Q$4:Q1138,SUBSTITUTE(Q1139,""Sell_"",""""))-COUNTIF(Q$4"&amp;":Q1138,""Sell_""&amp;SUBSTITUTE(Q1139,""Sell_"",""""))))/2),ROUNDUP(INDEX(Upgrades!$C$3:$C$13,MATCH(Q1139,Upgrades!$B$3:$B$13,0))*1.15^(COUNTIF(Q$4:Q1138,Q1139)-COUNTIF(Q$4:Q1138,""Sell_""&amp;Q1139))))))"),"")</f>
        <v/>
      </c>
      <c r="V1139" s="10" t="str">
        <f t="shared" si="11"/>
        <v/>
      </c>
      <c r="W1139" s="68" t="str">
        <f t="shared" si="12"/>
        <v/>
      </c>
      <c r="X1139" s="59" t="str">
        <f t="shared" si="13"/>
        <v/>
      </c>
      <c r="Y1139" s="69" t="str">
        <f t="shared" si="14"/>
        <v/>
      </c>
      <c r="Z1139" s="11"/>
    </row>
    <row r="1140">
      <c r="A1140" s="8"/>
      <c r="B1140" s="56" t="str">
        <f t="shared" si="2"/>
        <v/>
      </c>
      <c r="C1140" s="57"/>
      <c r="D1140" s="10" t="str">
        <f>IFERROR(__xludf.DUMMYFUNCTION("IF(COUNTA(C1140:C1350)=0,"""",IF(ISBLANK(C1140),FALSE,IF(NOT(COUNTIF($AA$24:$AA$34,SUBSTITUTE(C1140,""Sell_"",""""))),1,IF(REGEXMATCH(C1140,""Sell_""),IF(COUNTIF(C$4:C1140,SUBSTITUTE(C1140,""Sell_"",""""))-COUNTIF(C$4:C1139,C1140)&lt;1,1),FALSE))))"),"")</f>
        <v/>
      </c>
      <c r="E1140" s="59" t="str">
        <f t="array" ref="E1140">IF(COUNTA(C1140:C1350)=0,"",SUM((COUNTIF(C$4:C1140,Upgrades!$B$3:$B$13)-COUNTIF(C$4:C1140,"Sell_"&amp;Upgrades!$B$3:$B$13))*Upgrades!$D$3:$D$13))</f>
        <v/>
      </c>
      <c r="F1140" s="66" t="str">
        <f>IFERROR(__xludf.DUMMYFUNCTION("IF(COUNTA(C1140:C1350)=0,"""",IF(REGEXMATCH(INDEX(FILTER(C$4:C1140,C$4:C1140&lt;&gt;""""),ROWS(FILTER(C$4:C1140,C$4:C1140&lt;&gt;""""))),""^Sell_""),INDEX(FILTER(F$4:F1139,C$4:C1139&lt;&gt;""""),ROWS(FILTER(C$4:C1139,C$4:C1139&lt;&gt;""""))),$AC$5+E1140))"),"")</f>
        <v/>
      </c>
      <c r="G1140" s="10" t="str">
        <f>IFERROR(__xludf.DUMMYFUNCTION("IF(COUNTA(C1140:C1350)=0,"""",IF(C1140="""",0,IF(REGEXMATCH(C1140,""^Sell_""),-ROUNDDOWN(ROUNDUP(INDEX(Upgrades!$C$3:$C$13,MATCH(SUBSTITUTE(C1140,""Sell_"",""""),Upgrades!$B$3:$B$13,0))*1.15^(COUNTIF(C$4:C1139,SUBSTITUTE(C1140,""Sell_"",""""))-COUNTIF(C$4"&amp;":C1139,""Sell_""&amp;SUBSTITUTE(C1140,""Sell_"",""""))))/2),ROUNDUP(INDEX(Upgrades!$C$3:$C$13,MATCH(C1140,Upgrades!$B$3:$B$13,0))*1.15^(COUNTIF(C$4:C1139,C1140)-COUNTIF(C$4:C1139,""Sell_""&amp;C1140))))))"),"")</f>
        <v/>
      </c>
      <c r="H1140" s="10" t="str">
        <f t="shared" si="3"/>
        <v/>
      </c>
      <c r="I1140" s="68" t="str">
        <f t="shared" si="4"/>
        <v/>
      </c>
      <c r="J1140" s="59" t="str">
        <f t="shared" si="5"/>
        <v/>
      </c>
      <c r="K1140" s="69" t="str">
        <f t="shared" si="6"/>
        <v/>
      </c>
      <c r="L1140" s="60" t="str">
        <f t="shared" si="7"/>
        <v/>
      </c>
      <c r="M1140" s="61" t="str">
        <f>IFERROR(__xludf.DUMMYFUNCTION("IFS(AND(COUNTA(C1140:C1350)=0,COUNTA(Q1140:Q1350)=0),"""",OR(AND(K1140&gt;=1000000000,OR(Y1140&gt;=1000000000,COUNTA(Q1140:Q1350)=0)),OR(Y1140&gt;=1000000000,AND(COUNTA(C1140:C1350)=0,P$3=TRUE))),
ROUNDDOWN((AB$1-AC$1)*MAX(INDEX(T$4:T1350,MATCH(LARGE(FILTER(Y$4:Y1"&amp;"350,Y$4:Y1350&lt;1000000000),1),Y$4:Y1350)),INDEX(F$4:F1350,MATCH(LARGE(FILTER(K$4:K1350,K$4:K1350&lt;1000000000),1),K$4:K1350)))),AND(K1140&lt;1000000000,COUNTA(C1140:C1350)&gt;0,P$3=FALSE),
ROUNDDOWN(INDEX(Y$4:Y1350,MATCH(LARGE(FILTER(W$4:W1350,W$4:W1350&lt;=I1140),1)"&amp;",W$4:W1350))+(I1140-LARGE(FILTER(W$4:W1350,W$4:W1350&lt;=I1140),1))*INDEX(T$4:T1350,MATCH(LARGE(FILTER(W$4:W1350,W$4:W1350&lt;=I1140),1),W$4:W1350))-K1140),1,
ROUNDDOWN(Y1140-INDEX(K$4:K1350,MATCH(LARGE(FILTER(I$4:I1350,I$4:I1350&lt;=W1140),1),I$4:I1350))-(W1140-L"&amp;"ARGE(FILTER(I$4:I1350,I$4:I1350&lt;=W1140),1))*INDEX(F$4:F1350,MATCH(LARGE(FILTER(I$4:I1350,I$4:I1350&lt;=W1140),1),I$4:I1350))))"),"")</f>
        <v/>
      </c>
      <c r="N1140" s="60" t="str">
        <f t="shared" si="8"/>
        <v/>
      </c>
      <c r="O1140" s="61" t="str">
        <f t="shared" si="9"/>
        <v/>
      </c>
      <c r="P1140" s="56" t="str">
        <f t="shared" si="10"/>
        <v/>
      </c>
      <c r="Q1140" s="62"/>
      <c r="R1140" s="10" t="str">
        <f>IFERROR(__xludf.DUMMYFUNCTION("IF(COUNTA(Q1140:Q1350)=0,"""",IF(ISBLANK(Q1140),FALSE,IF(NOT(COUNTIF($AA$24:$AA$34,SUBSTITUTE(Q1140,""Sell_"",""""))),1,IF(REGEXMATCH(Q1140,""Sell_""),IF(COUNTIF(Q$4:Q1140,SUBSTITUTE(Q1140,""Sell_"",""""))-COUNTIF(Q$4:Q1139,Q1140)&lt;1,1),FALSE))))"),"")</f>
        <v/>
      </c>
      <c r="S1140" s="59" t="str">
        <f t="array" ref="S1140">IF(COUNTA(Q1140:Q1350)=0,"",SUM((COUNTIF(Q$4:Q1140,Upgrades!$B$3:$B$13)-COUNTIF(Q$4:Q1140,"Sell_"&amp;Upgrades!$B$3:$B$13))*Upgrades!$D$3:$D$13))</f>
        <v/>
      </c>
      <c r="T1140" s="66" t="str">
        <f>IFERROR(__xludf.DUMMYFUNCTION("IF(COUNTA(Q1140:Q1350)=0,"""",IF(REGEXMATCH(INDEX(FILTER(Q$4:Q1140,Q$4:Q1140&lt;&gt;""""),ROWS(FILTER(Q$4:Q1140,Q$4:Q1140&lt;&gt;""""))),""^Sell_""),INDEX(FILTER(T$4:T1139,Q$4:Q1139&lt;&gt;""""),ROWS(FILTER(Q$4:Q1139,Q$4:Q1139&lt;&gt;""""))),$AD$5+S1140))"),"")</f>
        <v/>
      </c>
      <c r="U1140" s="10" t="str">
        <f>IFERROR(__xludf.DUMMYFUNCTION("IF(COUNTA(Q1140:Q1350)=0,"""",IF(Q1140="""",0,IF(REGEXMATCH(Q1140,""^Sell_""),-ROUNDDOWN(ROUNDUP(INDEX(Upgrades!$C$3:$C$13,MATCH(SUBSTITUTE(Q1140,""Sell_"",""""),Upgrades!$B$3:$B$13,0))*1.15^(COUNTIF(Q$4:Q1139,SUBSTITUTE(Q1140,""Sell_"",""""))-COUNTIF(Q$4"&amp;":Q1139,""Sell_""&amp;SUBSTITUTE(Q1140,""Sell_"",""""))))/2),ROUNDUP(INDEX(Upgrades!$C$3:$C$13,MATCH(Q1140,Upgrades!$B$3:$B$13,0))*1.15^(COUNTIF(Q$4:Q1139,Q1140)-COUNTIF(Q$4:Q1139,""Sell_""&amp;Q1140))))))"),"")</f>
        <v/>
      </c>
      <c r="V1140" s="10" t="str">
        <f t="shared" si="11"/>
        <v/>
      </c>
      <c r="W1140" s="68" t="str">
        <f t="shared" si="12"/>
        <v/>
      </c>
      <c r="X1140" s="59" t="str">
        <f t="shared" si="13"/>
        <v/>
      </c>
      <c r="Y1140" s="69" t="str">
        <f t="shared" si="14"/>
        <v/>
      </c>
      <c r="Z1140" s="11"/>
    </row>
    <row r="1141">
      <c r="A1141" s="8"/>
      <c r="B1141" s="56" t="str">
        <f t="shared" si="2"/>
        <v/>
      </c>
      <c r="C1141" s="57"/>
      <c r="D1141" s="10" t="str">
        <f>IFERROR(__xludf.DUMMYFUNCTION("IF(COUNTA(C1141:C1350)=0,"""",IF(ISBLANK(C1141),FALSE,IF(NOT(COUNTIF($AA$24:$AA$34,SUBSTITUTE(C1141,""Sell_"",""""))),1,IF(REGEXMATCH(C1141,""Sell_""),IF(COUNTIF(C$4:C1141,SUBSTITUTE(C1141,""Sell_"",""""))-COUNTIF(C$4:C1140,C1141)&lt;1,1),FALSE))))"),"")</f>
        <v/>
      </c>
      <c r="E1141" s="59" t="str">
        <f t="array" ref="E1141">IF(COUNTA(C1141:C1350)=0,"",SUM((COUNTIF(C$4:C1141,Upgrades!$B$3:$B$13)-COUNTIF(C$4:C1141,"Sell_"&amp;Upgrades!$B$3:$B$13))*Upgrades!$D$3:$D$13))</f>
        <v/>
      </c>
      <c r="F1141" s="66" t="str">
        <f>IFERROR(__xludf.DUMMYFUNCTION("IF(COUNTA(C1141:C1350)=0,"""",IF(REGEXMATCH(INDEX(FILTER(C$4:C1141,C$4:C1141&lt;&gt;""""),ROWS(FILTER(C$4:C1141,C$4:C1141&lt;&gt;""""))),""^Sell_""),INDEX(FILTER(F$4:F1140,C$4:C1140&lt;&gt;""""),ROWS(FILTER(C$4:C1140,C$4:C1140&lt;&gt;""""))),$AC$5+E1141))"),"")</f>
        <v/>
      </c>
      <c r="G1141" s="10" t="str">
        <f>IFERROR(__xludf.DUMMYFUNCTION("IF(COUNTA(C1141:C1350)=0,"""",IF(C1141="""",0,IF(REGEXMATCH(C1141,""^Sell_""),-ROUNDDOWN(ROUNDUP(INDEX(Upgrades!$C$3:$C$13,MATCH(SUBSTITUTE(C1141,""Sell_"",""""),Upgrades!$B$3:$B$13,0))*1.15^(COUNTIF(C$4:C1140,SUBSTITUTE(C1141,""Sell_"",""""))-COUNTIF(C$4"&amp;":C1140,""Sell_""&amp;SUBSTITUTE(C1141,""Sell_"",""""))))/2),ROUNDUP(INDEX(Upgrades!$C$3:$C$13,MATCH(C1141,Upgrades!$B$3:$B$13,0))*1.15^(COUNTIF(C$4:C1140,C1141)-COUNTIF(C$4:C1140,""Sell_""&amp;C1141))))))"),"")</f>
        <v/>
      </c>
      <c r="H1141" s="10" t="str">
        <f t="shared" si="3"/>
        <v/>
      </c>
      <c r="I1141" s="68" t="str">
        <f t="shared" si="4"/>
        <v/>
      </c>
      <c r="J1141" s="59" t="str">
        <f t="shared" si="5"/>
        <v/>
      </c>
      <c r="K1141" s="69" t="str">
        <f t="shared" si="6"/>
        <v/>
      </c>
      <c r="L1141" s="60" t="str">
        <f t="shared" si="7"/>
        <v/>
      </c>
      <c r="M1141" s="61" t="str">
        <f>IFERROR(__xludf.DUMMYFUNCTION("IFS(AND(COUNTA(C1141:C1350)=0,COUNTA(Q1141:Q1350)=0),"""",OR(AND(K1141&gt;=1000000000,OR(Y1141&gt;=1000000000,COUNTA(Q1141:Q1350)=0)),OR(Y1141&gt;=1000000000,AND(COUNTA(C1141:C1350)=0,P$3=TRUE))),
ROUNDDOWN((AB$1-AC$1)*MAX(INDEX(T$4:T1350,MATCH(LARGE(FILTER(Y$4:Y1"&amp;"350,Y$4:Y1350&lt;1000000000),1),Y$4:Y1350)),INDEX(F$4:F1350,MATCH(LARGE(FILTER(K$4:K1350,K$4:K1350&lt;1000000000),1),K$4:K1350)))),AND(K1141&lt;1000000000,COUNTA(C1141:C1350)&gt;0,P$3=FALSE),
ROUNDDOWN(INDEX(Y$4:Y1350,MATCH(LARGE(FILTER(W$4:W1350,W$4:W1350&lt;=I1141),1)"&amp;",W$4:W1350))+(I1141-LARGE(FILTER(W$4:W1350,W$4:W1350&lt;=I1141),1))*INDEX(T$4:T1350,MATCH(LARGE(FILTER(W$4:W1350,W$4:W1350&lt;=I1141),1),W$4:W1350))-K1141),1,
ROUNDDOWN(Y1141-INDEX(K$4:K1350,MATCH(LARGE(FILTER(I$4:I1350,I$4:I1350&lt;=W1141),1),I$4:I1350))-(W1141-L"&amp;"ARGE(FILTER(I$4:I1350,I$4:I1350&lt;=W1141),1))*INDEX(F$4:F1350,MATCH(LARGE(FILTER(I$4:I1350,I$4:I1350&lt;=W1141),1),I$4:I1350))))"),"")</f>
        <v/>
      </c>
      <c r="N1141" s="60" t="str">
        <f t="shared" si="8"/>
        <v/>
      </c>
      <c r="O1141" s="61" t="str">
        <f t="shared" si="9"/>
        <v/>
      </c>
      <c r="P1141" s="56" t="str">
        <f t="shared" si="10"/>
        <v/>
      </c>
      <c r="Q1141" s="62"/>
      <c r="R1141" s="10" t="str">
        <f>IFERROR(__xludf.DUMMYFUNCTION("IF(COUNTA(Q1141:Q1350)=0,"""",IF(ISBLANK(Q1141),FALSE,IF(NOT(COUNTIF($AA$24:$AA$34,SUBSTITUTE(Q1141,""Sell_"",""""))),1,IF(REGEXMATCH(Q1141,""Sell_""),IF(COUNTIF(Q$4:Q1141,SUBSTITUTE(Q1141,""Sell_"",""""))-COUNTIF(Q$4:Q1140,Q1141)&lt;1,1),FALSE))))"),"")</f>
        <v/>
      </c>
      <c r="S1141" s="59" t="str">
        <f t="array" ref="S1141">IF(COUNTA(Q1141:Q1350)=0,"",SUM((COUNTIF(Q$4:Q1141,Upgrades!$B$3:$B$13)-COUNTIF(Q$4:Q1141,"Sell_"&amp;Upgrades!$B$3:$B$13))*Upgrades!$D$3:$D$13))</f>
        <v/>
      </c>
      <c r="T1141" s="66" t="str">
        <f>IFERROR(__xludf.DUMMYFUNCTION("IF(COUNTA(Q1141:Q1350)=0,"""",IF(REGEXMATCH(INDEX(FILTER(Q$4:Q1141,Q$4:Q1141&lt;&gt;""""),ROWS(FILTER(Q$4:Q1141,Q$4:Q1141&lt;&gt;""""))),""^Sell_""),INDEX(FILTER(T$4:T1140,Q$4:Q1140&lt;&gt;""""),ROWS(FILTER(Q$4:Q1140,Q$4:Q1140&lt;&gt;""""))),$AD$5+S1141))"),"")</f>
        <v/>
      </c>
      <c r="U1141" s="10" t="str">
        <f>IFERROR(__xludf.DUMMYFUNCTION("IF(COUNTA(Q1141:Q1350)=0,"""",IF(Q1141="""",0,IF(REGEXMATCH(Q1141,""^Sell_""),-ROUNDDOWN(ROUNDUP(INDEX(Upgrades!$C$3:$C$13,MATCH(SUBSTITUTE(Q1141,""Sell_"",""""),Upgrades!$B$3:$B$13,0))*1.15^(COUNTIF(Q$4:Q1140,SUBSTITUTE(Q1141,""Sell_"",""""))-COUNTIF(Q$4"&amp;":Q1140,""Sell_""&amp;SUBSTITUTE(Q1141,""Sell_"",""""))))/2),ROUNDUP(INDEX(Upgrades!$C$3:$C$13,MATCH(Q1141,Upgrades!$B$3:$B$13,0))*1.15^(COUNTIF(Q$4:Q1140,Q1141)-COUNTIF(Q$4:Q1140,""Sell_""&amp;Q1141))))))"),"")</f>
        <v/>
      </c>
      <c r="V1141" s="10" t="str">
        <f t="shared" si="11"/>
        <v/>
      </c>
      <c r="W1141" s="68" t="str">
        <f t="shared" si="12"/>
        <v/>
      </c>
      <c r="X1141" s="59" t="str">
        <f t="shared" si="13"/>
        <v/>
      </c>
      <c r="Y1141" s="69" t="str">
        <f t="shared" si="14"/>
        <v/>
      </c>
      <c r="Z1141" s="11"/>
    </row>
    <row r="1142">
      <c r="A1142" s="8"/>
      <c r="B1142" s="56" t="str">
        <f t="shared" si="2"/>
        <v/>
      </c>
      <c r="C1142" s="57"/>
      <c r="D1142" s="10" t="str">
        <f>IFERROR(__xludf.DUMMYFUNCTION("IF(COUNTA(C1142:C1350)=0,"""",IF(ISBLANK(C1142),FALSE,IF(NOT(COUNTIF($AA$24:$AA$34,SUBSTITUTE(C1142,""Sell_"",""""))),1,IF(REGEXMATCH(C1142,""Sell_""),IF(COUNTIF(C$4:C1142,SUBSTITUTE(C1142,""Sell_"",""""))-COUNTIF(C$4:C1141,C1142)&lt;1,1),FALSE))))"),"")</f>
        <v/>
      </c>
      <c r="E1142" s="59" t="str">
        <f t="array" ref="E1142">IF(COUNTA(C1142:C1350)=0,"",SUM((COUNTIF(C$4:C1142,Upgrades!$B$3:$B$13)-COUNTIF(C$4:C1142,"Sell_"&amp;Upgrades!$B$3:$B$13))*Upgrades!$D$3:$D$13))</f>
        <v/>
      </c>
      <c r="F1142" s="66" t="str">
        <f>IFERROR(__xludf.DUMMYFUNCTION("IF(COUNTA(C1142:C1350)=0,"""",IF(REGEXMATCH(INDEX(FILTER(C$4:C1142,C$4:C1142&lt;&gt;""""),ROWS(FILTER(C$4:C1142,C$4:C1142&lt;&gt;""""))),""^Sell_""),INDEX(FILTER(F$4:F1141,C$4:C1141&lt;&gt;""""),ROWS(FILTER(C$4:C1141,C$4:C1141&lt;&gt;""""))),$AC$5+E1142))"),"")</f>
        <v/>
      </c>
      <c r="G1142" s="10" t="str">
        <f>IFERROR(__xludf.DUMMYFUNCTION("IF(COUNTA(C1142:C1350)=0,"""",IF(C1142="""",0,IF(REGEXMATCH(C1142,""^Sell_""),-ROUNDDOWN(ROUNDUP(INDEX(Upgrades!$C$3:$C$13,MATCH(SUBSTITUTE(C1142,""Sell_"",""""),Upgrades!$B$3:$B$13,0))*1.15^(COUNTIF(C$4:C1141,SUBSTITUTE(C1142,""Sell_"",""""))-COUNTIF(C$4"&amp;":C1141,""Sell_""&amp;SUBSTITUTE(C1142,""Sell_"",""""))))/2),ROUNDUP(INDEX(Upgrades!$C$3:$C$13,MATCH(C1142,Upgrades!$B$3:$B$13,0))*1.15^(COUNTIF(C$4:C1141,C1142)-COUNTIF(C$4:C1141,""Sell_""&amp;C1142))))))"),"")</f>
        <v/>
      </c>
      <c r="H1142" s="10" t="str">
        <f t="shared" si="3"/>
        <v/>
      </c>
      <c r="I1142" s="68" t="str">
        <f t="shared" si="4"/>
        <v/>
      </c>
      <c r="J1142" s="59" t="str">
        <f t="shared" si="5"/>
        <v/>
      </c>
      <c r="K1142" s="69" t="str">
        <f t="shared" si="6"/>
        <v/>
      </c>
      <c r="L1142" s="60" t="str">
        <f t="shared" si="7"/>
        <v/>
      </c>
      <c r="M1142" s="61" t="str">
        <f>IFERROR(__xludf.DUMMYFUNCTION("IFS(AND(COUNTA(C1142:C1350)=0,COUNTA(Q1142:Q1350)=0),"""",OR(AND(K1142&gt;=1000000000,OR(Y1142&gt;=1000000000,COUNTA(Q1142:Q1350)=0)),OR(Y1142&gt;=1000000000,AND(COUNTA(C1142:C1350)=0,P$3=TRUE))),
ROUNDDOWN((AB$1-AC$1)*MAX(INDEX(T$4:T1350,MATCH(LARGE(FILTER(Y$4:Y1"&amp;"350,Y$4:Y1350&lt;1000000000),1),Y$4:Y1350)),INDEX(F$4:F1350,MATCH(LARGE(FILTER(K$4:K1350,K$4:K1350&lt;1000000000),1),K$4:K1350)))),AND(K1142&lt;1000000000,COUNTA(C1142:C1350)&gt;0,P$3=FALSE),
ROUNDDOWN(INDEX(Y$4:Y1350,MATCH(LARGE(FILTER(W$4:W1350,W$4:W1350&lt;=I1142),1)"&amp;",W$4:W1350))+(I1142-LARGE(FILTER(W$4:W1350,W$4:W1350&lt;=I1142),1))*INDEX(T$4:T1350,MATCH(LARGE(FILTER(W$4:W1350,W$4:W1350&lt;=I1142),1),W$4:W1350))-K1142),1,
ROUNDDOWN(Y1142-INDEX(K$4:K1350,MATCH(LARGE(FILTER(I$4:I1350,I$4:I1350&lt;=W1142),1),I$4:I1350))-(W1142-L"&amp;"ARGE(FILTER(I$4:I1350,I$4:I1350&lt;=W1142),1))*INDEX(F$4:F1350,MATCH(LARGE(FILTER(I$4:I1350,I$4:I1350&lt;=W1142),1),I$4:I1350))))"),"")</f>
        <v/>
      </c>
      <c r="N1142" s="60" t="str">
        <f t="shared" si="8"/>
        <v/>
      </c>
      <c r="O1142" s="61" t="str">
        <f t="shared" si="9"/>
        <v/>
      </c>
      <c r="P1142" s="56" t="str">
        <f t="shared" si="10"/>
        <v/>
      </c>
      <c r="Q1142" s="62"/>
      <c r="R1142" s="10" t="str">
        <f>IFERROR(__xludf.DUMMYFUNCTION("IF(COUNTA(Q1142:Q1350)=0,"""",IF(ISBLANK(Q1142),FALSE,IF(NOT(COUNTIF($AA$24:$AA$34,SUBSTITUTE(Q1142,""Sell_"",""""))),1,IF(REGEXMATCH(Q1142,""Sell_""),IF(COUNTIF(Q$4:Q1142,SUBSTITUTE(Q1142,""Sell_"",""""))-COUNTIF(Q$4:Q1141,Q1142)&lt;1,1),FALSE))))"),"")</f>
        <v/>
      </c>
      <c r="S1142" s="59" t="str">
        <f t="array" ref="S1142">IF(COUNTA(Q1142:Q1350)=0,"",SUM((COUNTIF(Q$4:Q1142,Upgrades!$B$3:$B$13)-COUNTIF(Q$4:Q1142,"Sell_"&amp;Upgrades!$B$3:$B$13))*Upgrades!$D$3:$D$13))</f>
        <v/>
      </c>
      <c r="T1142" s="66" t="str">
        <f>IFERROR(__xludf.DUMMYFUNCTION("IF(COUNTA(Q1142:Q1350)=0,"""",IF(REGEXMATCH(INDEX(FILTER(Q$4:Q1142,Q$4:Q1142&lt;&gt;""""),ROWS(FILTER(Q$4:Q1142,Q$4:Q1142&lt;&gt;""""))),""^Sell_""),INDEX(FILTER(T$4:T1141,Q$4:Q1141&lt;&gt;""""),ROWS(FILTER(Q$4:Q1141,Q$4:Q1141&lt;&gt;""""))),$AD$5+S1142))"),"")</f>
        <v/>
      </c>
      <c r="U1142" s="10" t="str">
        <f>IFERROR(__xludf.DUMMYFUNCTION("IF(COUNTA(Q1142:Q1350)=0,"""",IF(Q1142="""",0,IF(REGEXMATCH(Q1142,""^Sell_""),-ROUNDDOWN(ROUNDUP(INDEX(Upgrades!$C$3:$C$13,MATCH(SUBSTITUTE(Q1142,""Sell_"",""""),Upgrades!$B$3:$B$13,0))*1.15^(COUNTIF(Q$4:Q1141,SUBSTITUTE(Q1142,""Sell_"",""""))-COUNTIF(Q$4"&amp;":Q1141,""Sell_""&amp;SUBSTITUTE(Q1142,""Sell_"",""""))))/2),ROUNDUP(INDEX(Upgrades!$C$3:$C$13,MATCH(Q1142,Upgrades!$B$3:$B$13,0))*1.15^(COUNTIF(Q$4:Q1141,Q1142)-COUNTIF(Q$4:Q1141,""Sell_""&amp;Q1142))))))"),"")</f>
        <v/>
      </c>
      <c r="V1142" s="10" t="str">
        <f t="shared" si="11"/>
        <v/>
      </c>
      <c r="W1142" s="68" t="str">
        <f t="shared" si="12"/>
        <v/>
      </c>
      <c r="X1142" s="59" t="str">
        <f t="shared" si="13"/>
        <v/>
      </c>
      <c r="Y1142" s="69" t="str">
        <f t="shared" si="14"/>
        <v/>
      </c>
      <c r="Z1142" s="11"/>
    </row>
    <row r="1143">
      <c r="A1143" s="8"/>
      <c r="B1143" s="56" t="str">
        <f t="shared" si="2"/>
        <v/>
      </c>
      <c r="C1143" s="57"/>
      <c r="D1143" s="10" t="str">
        <f>IFERROR(__xludf.DUMMYFUNCTION("IF(COUNTA(C1143:C1350)=0,"""",IF(ISBLANK(C1143),FALSE,IF(NOT(COUNTIF($AA$24:$AA$34,SUBSTITUTE(C1143,""Sell_"",""""))),1,IF(REGEXMATCH(C1143,""Sell_""),IF(COUNTIF(C$4:C1143,SUBSTITUTE(C1143,""Sell_"",""""))-COUNTIF(C$4:C1142,C1143)&lt;1,1),FALSE))))"),"")</f>
        <v/>
      </c>
      <c r="E1143" s="59" t="str">
        <f t="array" ref="E1143">IF(COUNTA(C1143:C1350)=0,"",SUM((COUNTIF(C$4:C1143,Upgrades!$B$3:$B$13)-COUNTIF(C$4:C1143,"Sell_"&amp;Upgrades!$B$3:$B$13))*Upgrades!$D$3:$D$13))</f>
        <v/>
      </c>
      <c r="F1143" s="66" t="str">
        <f>IFERROR(__xludf.DUMMYFUNCTION("IF(COUNTA(C1143:C1350)=0,"""",IF(REGEXMATCH(INDEX(FILTER(C$4:C1143,C$4:C1143&lt;&gt;""""),ROWS(FILTER(C$4:C1143,C$4:C1143&lt;&gt;""""))),""^Sell_""),INDEX(FILTER(F$4:F1142,C$4:C1142&lt;&gt;""""),ROWS(FILTER(C$4:C1142,C$4:C1142&lt;&gt;""""))),$AC$5+E1143))"),"")</f>
        <v/>
      </c>
      <c r="G1143" s="10" t="str">
        <f>IFERROR(__xludf.DUMMYFUNCTION("IF(COUNTA(C1143:C1350)=0,"""",IF(C1143="""",0,IF(REGEXMATCH(C1143,""^Sell_""),-ROUNDDOWN(ROUNDUP(INDEX(Upgrades!$C$3:$C$13,MATCH(SUBSTITUTE(C1143,""Sell_"",""""),Upgrades!$B$3:$B$13,0))*1.15^(COUNTIF(C$4:C1142,SUBSTITUTE(C1143,""Sell_"",""""))-COUNTIF(C$4"&amp;":C1142,""Sell_""&amp;SUBSTITUTE(C1143,""Sell_"",""""))))/2),ROUNDUP(INDEX(Upgrades!$C$3:$C$13,MATCH(C1143,Upgrades!$B$3:$B$13,0))*1.15^(COUNTIF(C$4:C1142,C1143)-COUNTIF(C$4:C1142,""Sell_""&amp;C1143))))))"),"")</f>
        <v/>
      </c>
      <c r="H1143" s="10" t="str">
        <f t="shared" si="3"/>
        <v/>
      </c>
      <c r="I1143" s="68" t="str">
        <f t="shared" si="4"/>
        <v/>
      </c>
      <c r="J1143" s="59" t="str">
        <f t="shared" si="5"/>
        <v/>
      </c>
      <c r="K1143" s="69" t="str">
        <f t="shared" si="6"/>
        <v/>
      </c>
      <c r="L1143" s="60" t="str">
        <f t="shared" si="7"/>
        <v/>
      </c>
      <c r="M1143" s="61" t="str">
        <f>IFERROR(__xludf.DUMMYFUNCTION("IFS(AND(COUNTA(C1143:C1350)=0,COUNTA(Q1143:Q1350)=0),"""",OR(AND(K1143&gt;=1000000000,OR(Y1143&gt;=1000000000,COUNTA(Q1143:Q1350)=0)),OR(Y1143&gt;=1000000000,AND(COUNTA(C1143:C1350)=0,P$3=TRUE))),
ROUNDDOWN((AB$1-AC$1)*MAX(INDEX(T$4:T1350,MATCH(LARGE(FILTER(Y$4:Y1"&amp;"350,Y$4:Y1350&lt;1000000000),1),Y$4:Y1350)),INDEX(F$4:F1350,MATCH(LARGE(FILTER(K$4:K1350,K$4:K1350&lt;1000000000),1),K$4:K1350)))),AND(K1143&lt;1000000000,COUNTA(C1143:C1350)&gt;0,P$3=FALSE),
ROUNDDOWN(INDEX(Y$4:Y1350,MATCH(LARGE(FILTER(W$4:W1350,W$4:W1350&lt;=I1143),1)"&amp;",W$4:W1350))+(I1143-LARGE(FILTER(W$4:W1350,W$4:W1350&lt;=I1143),1))*INDEX(T$4:T1350,MATCH(LARGE(FILTER(W$4:W1350,W$4:W1350&lt;=I1143),1),W$4:W1350))-K1143),1,
ROUNDDOWN(Y1143-INDEX(K$4:K1350,MATCH(LARGE(FILTER(I$4:I1350,I$4:I1350&lt;=W1143),1),I$4:I1350))-(W1143-L"&amp;"ARGE(FILTER(I$4:I1350,I$4:I1350&lt;=W1143),1))*INDEX(F$4:F1350,MATCH(LARGE(FILTER(I$4:I1350,I$4:I1350&lt;=W1143),1),I$4:I1350))))"),"")</f>
        <v/>
      </c>
      <c r="N1143" s="60" t="str">
        <f t="shared" si="8"/>
        <v/>
      </c>
      <c r="O1143" s="61" t="str">
        <f t="shared" si="9"/>
        <v/>
      </c>
      <c r="P1143" s="56" t="str">
        <f t="shared" si="10"/>
        <v/>
      </c>
      <c r="Q1143" s="62"/>
      <c r="R1143" s="10" t="str">
        <f>IFERROR(__xludf.DUMMYFUNCTION("IF(COUNTA(Q1143:Q1350)=0,"""",IF(ISBLANK(Q1143),FALSE,IF(NOT(COUNTIF($AA$24:$AA$34,SUBSTITUTE(Q1143,""Sell_"",""""))),1,IF(REGEXMATCH(Q1143,""Sell_""),IF(COUNTIF(Q$4:Q1143,SUBSTITUTE(Q1143,""Sell_"",""""))-COUNTIF(Q$4:Q1142,Q1143)&lt;1,1),FALSE))))"),"")</f>
        <v/>
      </c>
      <c r="S1143" s="59" t="str">
        <f t="array" ref="S1143">IF(COUNTA(Q1143:Q1350)=0,"",SUM((COUNTIF(Q$4:Q1143,Upgrades!$B$3:$B$13)-COUNTIF(Q$4:Q1143,"Sell_"&amp;Upgrades!$B$3:$B$13))*Upgrades!$D$3:$D$13))</f>
        <v/>
      </c>
      <c r="T1143" s="66" t="str">
        <f>IFERROR(__xludf.DUMMYFUNCTION("IF(COUNTA(Q1143:Q1350)=0,"""",IF(REGEXMATCH(INDEX(FILTER(Q$4:Q1143,Q$4:Q1143&lt;&gt;""""),ROWS(FILTER(Q$4:Q1143,Q$4:Q1143&lt;&gt;""""))),""^Sell_""),INDEX(FILTER(T$4:T1142,Q$4:Q1142&lt;&gt;""""),ROWS(FILTER(Q$4:Q1142,Q$4:Q1142&lt;&gt;""""))),$AD$5+S1143))"),"")</f>
        <v/>
      </c>
      <c r="U1143" s="10" t="str">
        <f>IFERROR(__xludf.DUMMYFUNCTION("IF(COUNTA(Q1143:Q1350)=0,"""",IF(Q1143="""",0,IF(REGEXMATCH(Q1143,""^Sell_""),-ROUNDDOWN(ROUNDUP(INDEX(Upgrades!$C$3:$C$13,MATCH(SUBSTITUTE(Q1143,""Sell_"",""""),Upgrades!$B$3:$B$13,0))*1.15^(COUNTIF(Q$4:Q1142,SUBSTITUTE(Q1143,""Sell_"",""""))-COUNTIF(Q$4"&amp;":Q1142,""Sell_""&amp;SUBSTITUTE(Q1143,""Sell_"",""""))))/2),ROUNDUP(INDEX(Upgrades!$C$3:$C$13,MATCH(Q1143,Upgrades!$B$3:$B$13,0))*1.15^(COUNTIF(Q$4:Q1142,Q1143)-COUNTIF(Q$4:Q1142,""Sell_""&amp;Q1143))))))"),"")</f>
        <v/>
      </c>
      <c r="V1143" s="10" t="str">
        <f t="shared" si="11"/>
        <v/>
      </c>
      <c r="W1143" s="68" t="str">
        <f t="shared" si="12"/>
        <v/>
      </c>
      <c r="X1143" s="59" t="str">
        <f t="shared" si="13"/>
        <v/>
      </c>
      <c r="Y1143" s="69" t="str">
        <f t="shared" si="14"/>
        <v/>
      </c>
      <c r="Z1143" s="11"/>
    </row>
    <row r="1144">
      <c r="A1144" s="8"/>
      <c r="B1144" s="56" t="str">
        <f t="shared" si="2"/>
        <v/>
      </c>
      <c r="C1144" s="57"/>
      <c r="D1144" s="10" t="str">
        <f>IFERROR(__xludf.DUMMYFUNCTION("IF(COUNTA(C1144:C1350)=0,"""",IF(ISBLANK(C1144),FALSE,IF(NOT(COUNTIF($AA$24:$AA$34,SUBSTITUTE(C1144,""Sell_"",""""))),1,IF(REGEXMATCH(C1144,""Sell_""),IF(COUNTIF(C$4:C1144,SUBSTITUTE(C1144,""Sell_"",""""))-COUNTIF(C$4:C1143,C1144)&lt;1,1),FALSE))))"),"")</f>
        <v/>
      </c>
      <c r="E1144" s="59" t="str">
        <f t="array" ref="E1144">IF(COUNTA(C1144:C1350)=0,"",SUM((COUNTIF(C$4:C1144,Upgrades!$B$3:$B$13)-COUNTIF(C$4:C1144,"Sell_"&amp;Upgrades!$B$3:$B$13))*Upgrades!$D$3:$D$13))</f>
        <v/>
      </c>
      <c r="F1144" s="66" t="str">
        <f>IFERROR(__xludf.DUMMYFUNCTION("IF(COUNTA(C1144:C1350)=0,"""",IF(REGEXMATCH(INDEX(FILTER(C$4:C1144,C$4:C1144&lt;&gt;""""),ROWS(FILTER(C$4:C1144,C$4:C1144&lt;&gt;""""))),""^Sell_""),INDEX(FILTER(F$4:F1143,C$4:C1143&lt;&gt;""""),ROWS(FILTER(C$4:C1143,C$4:C1143&lt;&gt;""""))),$AC$5+E1144))"),"")</f>
        <v/>
      </c>
      <c r="G1144" s="10" t="str">
        <f>IFERROR(__xludf.DUMMYFUNCTION("IF(COUNTA(C1144:C1350)=0,"""",IF(C1144="""",0,IF(REGEXMATCH(C1144,""^Sell_""),-ROUNDDOWN(ROUNDUP(INDEX(Upgrades!$C$3:$C$13,MATCH(SUBSTITUTE(C1144,""Sell_"",""""),Upgrades!$B$3:$B$13,0))*1.15^(COUNTIF(C$4:C1143,SUBSTITUTE(C1144,""Sell_"",""""))-COUNTIF(C$4"&amp;":C1143,""Sell_""&amp;SUBSTITUTE(C1144,""Sell_"",""""))))/2),ROUNDUP(INDEX(Upgrades!$C$3:$C$13,MATCH(C1144,Upgrades!$B$3:$B$13,0))*1.15^(COUNTIF(C$4:C1143,C1144)-COUNTIF(C$4:C1143,""Sell_""&amp;C1144))))))"),"")</f>
        <v/>
      </c>
      <c r="H1144" s="10" t="str">
        <f t="shared" si="3"/>
        <v/>
      </c>
      <c r="I1144" s="68" t="str">
        <f t="shared" si="4"/>
        <v/>
      </c>
      <c r="J1144" s="59" t="str">
        <f t="shared" si="5"/>
        <v/>
      </c>
      <c r="K1144" s="69" t="str">
        <f t="shared" si="6"/>
        <v/>
      </c>
      <c r="L1144" s="60" t="str">
        <f t="shared" si="7"/>
        <v/>
      </c>
      <c r="M1144" s="61" t="str">
        <f>IFERROR(__xludf.DUMMYFUNCTION("IFS(AND(COUNTA(C1144:C1350)=0,COUNTA(Q1144:Q1350)=0),"""",OR(AND(K1144&gt;=1000000000,OR(Y1144&gt;=1000000000,COUNTA(Q1144:Q1350)=0)),OR(Y1144&gt;=1000000000,AND(COUNTA(C1144:C1350)=0,P$3=TRUE))),
ROUNDDOWN((AB$1-AC$1)*MAX(INDEX(T$4:T1350,MATCH(LARGE(FILTER(Y$4:Y1"&amp;"350,Y$4:Y1350&lt;1000000000),1),Y$4:Y1350)),INDEX(F$4:F1350,MATCH(LARGE(FILTER(K$4:K1350,K$4:K1350&lt;1000000000),1),K$4:K1350)))),AND(K1144&lt;1000000000,COUNTA(C1144:C1350)&gt;0,P$3=FALSE),
ROUNDDOWN(INDEX(Y$4:Y1350,MATCH(LARGE(FILTER(W$4:W1350,W$4:W1350&lt;=I1144),1)"&amp;",W$4:W1350))+(I1144-LARGE(FILTER(W$4:W1350,W$4:W1350&lt;=I1144),1))*INDEX(T$4:T1350,MATCH(LARGE(FILTER(W$4:W1350,W$4:W1350&lt;=I1144),1),W$4:W1350))-K1144),1,
ROUNDDOWN(Y1144-INDEX(K$4:K1350,MATCH(LARGE(FILTER(I$4:I1350,I$4:I1350&lt;=W1144),1),I$4:I1350))-(W1144-L"&amp;"ARGE(FILTER(I$4:I1350,I$4:I1350&lt;=W1144),1))*INDEX(F$4:F1350,MATCH(LARGE(FILTER(I$4:I1350,I$4:I1350&lt;=W1144),1),I$4:I1350))))"),"")</f>
        <v/>
      </c>
      <c r="N1144" s="60" t="str">
        <f t="shared" si="8"/>
        <v/>
      </c>
      <c r="O1144" s="61" t="str">
        <f t="shared" si="9"/>
        <v/>
      </c>
      <c r="P1144" s="56" t="str">
        <f t="shared" si="10"/>
        <v/>
      </c>
      <c r="Q1144" s="62"/>
      <c r="R1144" s="10" t="str">
        <f>IFERROR(__xludf.DUMMYFUNCTION("IF(COUNTA(Q1144:Q1350)=0,"""",IF(ISBLANK(Q1144),FALSE,IF(NOT(COUNTIF($AA$24:$AA$34,SUBSTITUTE(Q1144,""Sell_"",""""))),1,IF(REGEXMATCH(Q1144,""Sell_""),IF(COUNTIF(Q$4:Q1144,SUBSTITUTE(Q1144,""Sell_"",""""))-COUNTIF(Q$4:Q1143,Q1144)&lt;1,1),FALSE))))"),"")</f>
        <v/>
      </c>
      <c r="S1144" s="59" t="str">
        <f t="array" ref="S1144">IF(COUNTA(Q1144:Q1350)=0,"",SUM((COUNTIF(Q$4:Q1144,Upgrades!$B$3:$B$13)-COUNTIF(Q$4:Q1144,"Sell_"&amp;Upgrades!$B$3:$B$13))*Upgrades!$D$3:$D$13))</f>
        <v/>
      </c>
      <c r="T1144" s="66" t="str">
        <f>IFERROR(__xludf.DUMMYFUNCTION("IF(COUNTA(Q1144:Q1350)=0,"""",IF(REGEXMATCH(INDEX(FILTER(Q$4:Q1144,Q$4:Q1144&lt;&gt;""""),ROWS(FILTER(Q$4:Q1144,Q$4:Q1144&lt;&gt;""""))),""^Sell_""),INDEX(FILTER(T$4:T1143,Q$4:Q1143&lt;&gt;""""),ROWS(FILTER(Q$4:Q1143,Q$4:Q1143&lt;&gt;""""))),$AD$5+S1144))"),"")</f>
        <v/>
      </c>
      <c r="U1144" s="10" t="str">
        <f>IFERROR(__xludf.DUMMYFUNCTION("IF(COUNTA(Q1144:Q1350)=0,"""",IF(Q1144="""",0,IF(REGEXMATCH(Q1144,""^Sell_""),-ROUNDDOWN(ROUNDUP(INDEX(Upgrades!$C$3:$C$13,MATCH(SUBSTITUTE(Q1144,""Sell_"",""""),Upgrades!$B$3:$B$13,0))*1.15^(COUNTIF(Q$4:Q1143,SUBSTITUTE(Q1144,""Sell_"",""""))-COUNTIF(Q$4"&amp;":Q1143,""Sell_""&amp;SUBSTITUTE(Q1144,""Sell_"",""""))))/2),ROUNDUP(INDEX(Upgrades!$C$3:$C$13,MATCH(Q1144,Upgrades!$B$3:$B$13,0))*1.15^(COUNTIF(Q$4:Q1143,Q1144)-COUNTIF(Q$4:Q1143,""Sell_""&amp;Q1144))))))"),"")</f>
        <v/>
      </c>
      <c r="V1144" s="10" t="str">
        <f t="shared" si="11"/>
        <v/>
      </c>
      <c r="W1144" s="68" t="str">
        <f t="shared" si="12"/>
        <v/>
      </c>
      <c r="X1144" s="59" t="str">
        <f t="shared" si="13"/>
        <v/>
      </c>
      <c r="Y1144" s="69" t="str">
        <f t="shared" si="14"/>
        <v/>
      </c>
      <c r="Z1144" s="11"/>
    </row>
    <row r="1145">
      <c r="A1145" s="8"/>
      <c r="B1145" s="56" t="str">
        <f t="shared" si="2"/>
        <v/>
      </c>
      <c r="C1145" s="57"/>
      <c r="D1145" s="10" t="str">
        <f>IFERROR(__xludf.DUMMYFUNCTION("IF(COUNTA(C1145:C1350)=0,"""",IF(ISBLANK(C1145),FALSE,IF(NOT(COUNTIF($AA$24:$AA$34,SUBSTITUTE(C1145,""Sell_"",""""))),1,IF(REGEXMATCH(C1145,""Sell_""),IF(COUNTIF(C$4:C1145,SUBSTITUTE(C1145,""Sell_"",""""))-COUNTIF(C$4:C1144,C1145)&lt;1,1),FALSE))))"),"")</f>
        <v/>
      </c>
      <c r="E1145" s="59" t="str">
        <f t="array" ref="E1145">IF(COUNTA(C1145:C1350)=0,"",SUM((COUNTIF(C$4:C1145,Upgrades!$B$3:$B$13)-COUNTIF(C$4:C1145,"Sell_"&amp;Upgrades!$B$3:$B$13))*Upgrades!$D$3:$D$13))</f>
        <v/>
      </c>
      <c r="F1145" s="66" t="str">
        <f>IFERROR(__xludf.DUMMYFUNCTION("IF(COUNTA(C1145:C1350)=0,"""",IF(REGEXMATCH(INDEX(FILTER(C$4:C1145,C$4:C1145&lt;&gt;""""),ROWS(FILTER(C$4:C1145,C$4:C1145&lt;&gt;""""))),""^Sell_""),INDEX(FILTER(F$4:F1144,C$4:C1144&lt;&gt;""""),ROWS(FILTER(C$4:C1144,C$4:C1144&lt;&gt;""""))),$AC$5+E1145))"),"")</f>
        <v/>
      </c>
      <c r="G1145" s="10" t="str">
        <f>IFERROR(__xludf.DUMMYFUNCTION("IF(COUNTA(C1145:C1350)=0,"""",IF(C1145="""",0,IF(REGEXMATCH(C1145,""^Sell_""),-ROUNDDOWN(ROUNDUP(INDEX(Upgrades!$C$3:$C$13,MATCH(SUBSTITUTE(C1145,""Sell_"",""""),Upgrades!$B$3:$B$13,0))*1.15^(COUNTIF(C$4:C1144,SUBSTITUTE(C1145,""Sell_"",""""))-COUNTIF(C$4"&amp;":C1144,""Sell_""&amp;SUBSTITUTE(C1145,""Sell_"",""""))))/2),ROUNDUP(INDEX(Upgrades!$C$3:$C$13,MATCH(C1145,Upgrades!$B$3:$B$13,0))*1.15^(COUNTIF(C$4:C1144,C1145)-COUNTIF(C$4:C1144,""Sell_""&amp;C1145))))))"),"")</f>
        <v/>
      </c>
      <c r="H1145" s="10" t="str">
        <f t="shared" si="3"/>
        <v/>
      </c>
      <c r="I1145" s="68" t="str">
        <f t="shared" si="4"/>
        <v/>
      </c>
      <c r="J1145" s="59" t="str">
        <f t="shared" si="5"/>
        <v/>
      </c>
      <c r="K1145" s="69" t="str">
        <f t="shared" si="6"/>
        <v/>
      </c>
      <c r="L1145" s="60" t="str">
        <f t="shared" si="7"/>
        <v/>
      </c>
      <c r="M1145" s="61" t="str">
        <f>IFERROR(__xludf.DUMMYFUNCTION("IFS(AND(COUNTA(C1145:C1350)=0,COUNTA(Q1145:Q1350)=0),"""",OR(AND(K1145&gt;=1000000000,OR(Y1145&gt;=1000000000,COUNTA(Q1145:Q1350)=0)),OR(Y1145&gt;=1000000000,AND(COUNTA(C1145:C1350)=0,P$3=TRUE))),
ROUNDDOWN((AB$1-AC$1)*MAX(INDEX(T$4:T1350,MATCH(LARGE(FILTER(Y$4:Y1"&amp;"350,Y$4:Y1350&lt;1000000000),1),Y$4:Y1350)),INDEX(F$4:F1350,MATCH(LARGE(FILTER(K$4:K1350,K$4:K1350&lt;1000000000),1),K$4:K1350)))),AND(K1145&lt;1000000000,COUNTA(C1145:C1350)&gt;0,P$3=FALSE),
ROUNDDOWN(INDEX(Y$4:Y1350,MATCH(LARGE(FILTER(W$4:W1350,W$4:W1350&lt;=I1145),1)"&amp;",W$4:W1350))+(I1145-LARGE(FILTER(W$4:W1350,W$4:W1350&lt;=I1145),1))*INDEX(T$4:T1350,MATCH(LARGE(FILTER(W$4:W1350,W$4:W1350&lt;=I1145),1),W$4:W1350))-K1145),1,
ROUNDDOWN(Y1145-INDEX(K$4:K1350,MATCH(LARGE(FILTER(I$4:I1350,I$4:I1350&lt;=W1145),1),I$4:I1350))-(W1145-L"&amp;"ARGE(FILTER(I$4:I1350,I$4:I1350&lt;=W1145),1))*INDEX(F$4:F1350,MATCH(LARGE(FILTER(I$4:I1350,I$4:I1350&lt;=W1145),1),I$4:I1350))))"),"")</f>
        <v/>
      </c>
      <c r="N1145" s="60" t="str">
        <f t="shared" si="8"/>
        <v/>
      </c>
      <c r="O1145" s="61" t="str">
        <f t="shared" si="9"/>
        <v/>
      </c>
      <c r="P1145" s="56" t="str">
        <f t="shared" si="10"/>
        <v/>
      </c>
      <c r="Q1145" s="62"/>
      <c r="R1145" s="10" t="str">
        <f>IFERROR(__xludf.DUMMYFUNCTION("IF(COUNTA(Q1145:Q1350)=0,"""",IF(ISBLANK(Q1145),FALSE,IF(NOT(COUNTIF($AA$24:$AA$34,SUBSTITUTE(Q1145,""Sell_"",""""))),1,IF(REGEXMATCH(Q1145,""Sell_""),IF(COUNTIF(Q$4:Q1145,SUBSTITUTE(Q1145,""Sell_"",""""))-COUNTIF(Q$4:Q1144,Q1145)&lt;1,1),FALSE))))"),"")</f>
        <v/>
      </c>
      <c r="S1145" s="59" t="str">
        <f t="array" ref="S1145">IF(COUNTA(Q1145:Q1350)=0,"",SUM((COUNTIF(Q$4:Q1145,Upgrades!$B$3:$B$13)-COUNTIF(Q$4:Q1145,"Sell_"&amp;Upgrades!$B$3:$B$13))*Upgrades!$D$3:$D$13))</f>
        <v/>
      </c>
      <c r="T1145" s="66" t="str">
        <f>IFERROR(__xludf.DUMMYFUNCTION("IF(COUNTA(Q1145:Q1350)=0,"""",IF(REGEXMATCH(INDEX(FILTER(Q$4:Q1145,Q$4:Q1145&lt;&gt;""""),ROWS(FILTER(Q$4:Q1145,Q$4:Q1145&lt;&gt;""""))),""^Sell_""),INDEX(FILTER(T$4:T1144,Q$4:Q1144&lt;&gt;""""),ROWS(FILTER(Q$4:Q1144,Q$4:Q1144&lt;&gt;""""))),$AD$5+S1145))"),"")</f>
        <v/>
      </c>
      <c r="U1145" s="10" t="str">
        <f>IFERROR(__xludf.DUMMYFUNCTION("IF(COUNTA(Q1145:Q1350)=0,"""",IF(Q1145="""",0,IF(REGEXMATCH(Q1145,""^Sell_""),-ROUNDDOWN(ROUNDUP(INDEX(Upgrades!$C$3:$C$13,MATCH(SUBSTITUTE(Q1145,""Sell_"",""""),Upgrades!$B$3:$B$13,0))*1.15^(COUNTIF(Q$4:Q1144,SUBSTITUTE(Q1145,""Sell_"",""""))-COUNTIF(Q$4"&amp;":Q1144,""Sell_""&amp;SUBSTITUTE(Q1145,""Sell_"",""""))))/2),ROUNDUP(INDEX(Upgrades!$C$3:$C$13,MATCH(Q1145,Upgrades!$B$3:$B$13,0))*1.15^(COUNTIF(Q$4:Q1144,Q1145)-COUNTIF(Q$4:Q1144,""Sell_""&amp;Q1145))))))"),"")</f>
        <v/>
      </c>
      <c r="V1145" s="10" t="str">
        <f t="shared" si="11"/>
        <v/>
      </c>
      <c r="W1145" s="68" t="str">
        <f t="shared" si="12"/>
        <v/>
      </c>
      <c r="X1145" s="59" t="str">
        <f t="shared" si="13"/>
        <v/>
      </c>
      <c r="Y1145" s="69" t="str">
        <f t="shared" si="14"/>
        <v/>
      </c>
      <c r="Z1145" s="11"/>
    </row>
    <row r="1146">
      <c r="A1146" s="8"/>
      <c r="B1146" s="56" t="str">
        <f t="shared" si="2"/>
        <v/>
      </c>
      <c r="C1146" s="57"/>
      <c r="D1146" s="10" t="str">
        <f>IFERROR(__xludf.DUMMYFUNCTION("IF(COUNTA(C1146:C1350)=0,"""",IF(ISBLANK(C1146),FALSE,IF(NOT(COUNTIF($AA$24:$AA$34,SUBSTITUTE(C1146,""Sell_"",""""))),1,IF(REGEXMATCH(C1146,""Sell_""),IF(COUNTIF(C$4:C1146,SUBSTITUTE(C1146,""Sell_"",""""))-COUNTIF(C$4:C1145,C1146)&lt;1,1),FALSE))))"),"")</f>
        <v/>
      </c>
      <c r="E1146" s="59" t="str">
        <f t="array" ref="E1146">IF(COUNTA(C1146:C1350)=0,"",SUM((COUNTIF(C$4:C1146,Upgrades!$B$3:$B$13)-COUNTIF(C$4:C1146,"Sell_"&amp;Upgrades!$B$3:$B$13))*Upgrades!$D$3:$D$13))</f>
        <v/>
      </c>
      <c r="F1146" s="66" t="str">
        <f>IFERROR(__xludf.DUMMYFUNCTION("IF(COUNTA(C1146:C1350)=0,"""",IF(REGEXMATCH(INDEX(FILTER(C$4:C1146,C$4:C1146&lt;&gt;""""),ROWS(FILTER(C$4:C1146,C$4:C1146&lt;&gt;""""))),""^Sell_""),INDEX(FILTER(F$4:F1145,C$4:C1145&lt;&gt;""""),ROWS(FILTER(C$4:C1145,C$4:C1145&lt;&gt;""""))),$AC$5+E1146))"),"")</f>
        <v/>
      </c>
      <c r="G1146" s="10" t="str">
        <f>IFERROR(__xludf.DUMMYFUNCTION("IF(COUNTA(C1146:C1350)=0,"""",IF(C1146="""",0,IF(REGEXMATCH(C1146,""^Sell_""),-ROUNDDOWN(ROUNDUP(INDEX(Upgrades!$C$3:$C$13,MATCH(SUBSTITUTE(C1146,""Sell_"",""""),Upgrades!$B$3:$B$13,0))*1.15^(COUNTIF(C$4:C1145,SUBSTITUTE(C1146,""Sell_"",""""))-COUNTIF(C$4"&amp;":C1145,""Sell_""&amp;SUBSTITUTE(C1146,""Sell_"",""""))))/2),ROUNDUP(INDEX(Upgrades!$C$3:$C$13,MATCH(C1146,Upgrades!$B$3:$B$13,0))*1.15^(COUNTIF(C$4:C1145,C1146)-COUNTIF(C$4:C1145,""Sell_""&amp;C1146))))))"),"")</f>
        <v/>
      </c>
      <c r="H1146" s="10" t="str">
        <f t="shared" si="3"/>
        <v/>
      </c>
      <c r="I1146" s="68" t="str">
        <f t="shared" si="4"/>
        <v/>
      </c>
      <c r="J1146" s="59" t="str">
        <f t="shared" si="5"/>
        <v/>
      </c>
      <c r="K1146" s="69" t="str">
        <f t="shared" si="6"/>
        <v/>
      </c>
      <c r="L1146" s="60" t="str">
        <f t="shared" si="7"/>
        <v/>
      </c>
      <c r="M1146" s="61" t="str">
        <f>IFERROR(__xludf.DUMMYFUNCTION("IFS(AND(COUNTA(C1146:C1350)=0,COUNTA(Q1146:Q1350)=0),"""",OR(AND(K1146&gt;=1000000000,OR(Y1146&gt;=1000000000,COUNTA(Q1146:Q1350)=0)),OR(Y1146&gt;=1000000000,AND(COUNTA(C1146:C1350)=0,P$3=TRUE))),
ROUNDDOWN((AB$1-AC$1)*MAX(INDEX(T$4:T1350,MATCH(LARGE(FILTER(Y$4:Y1"&amp;"350,Y$4:Y1350&lt;1000000000),1),Y$4:Y1350)),INDEX(F$4:F1350,MATCH(LARGE(FILTER(K$4:K1350,K$4:K1350&lt;1000000000),1),K$4:K1350)))),AND(K1146&lt;1000000000,COUNTA(C1146:C1350)&gt;0,P$3=FALSE),
ROUNDDOWN(INDEX(Y$4:Y1350,MATCH(LARGE(FILTER(W$4:W1350,W$4:W1350&lt;=I1146),1)"&amp;",W$4:W1350))+(I1146-LARGE(FILTER(W$4:W1350,W$4:W1350&lt;=I1146),1))*INDEX(T$4:T1350,MATCH(LARGE(FILTER(W$4:W1350,W$4:W1350&lt;=I1146),1),W$4:W1350))-K1146),1,
ROUNDDOWN(Y1146-INDEX(K$4:K1350,MATCH(LARGE(FILTER(I$4:I1350,I$4:I1350&lt;=W1146),1),I$4:I1350))-(W1146-L"&amp;"ARGE(FILTER(I$4:I1350,I$4:I1350&lt;=W1146),1))*INDEX(F$4:F1350,MATCH(LARGE(FILTER(I$4:I1350,I$4:I1350&lt;=W1146),1),I$4:I1350))))"),"")</f>
        <v/>
      </c>
      <c r="N1146" s="60" t="str">
        <f t="shared" si="8"/>
        <v/>
      </c>
      <c r="O1146" s="61" t="str">
        <f t="shared" si="9"/>
        <v/>
      </c>
      <c r="P1146" s="56" t="str">
        <f t="shared" si="10"/>
        <v/>
      </c>
      <c r="Q1146" s="62"/>
      <c r="R1146" s="10" t="str">
        <f>IFERROR(__xludf.DUMMYFUNCTION("IF(COUNTA(Q1146:Q1350)=0,"""",IF(ISBLANK(Q1146),FALSE,IF(NOT(COUNTIF($AA$24:$AA$34,SUBSTITUTE(Q1146,""Sell_"",""""))),1,IF(REGEXMATCH(Q1146,""Sell_""),IF(COUNTIF(Q$4:Q1146,SUBSTITUTE(Q1146,""Sell_"",""""))-COUNTIF(Q$4:Q1145,Q1146)&lt;1,1),FALSE))))"),"")</f>
        <v/>
      </c>
      <c r="S1146" s="59" t="str">
        <f t="array" ref="S1146">IF(COUNTA(Q1146:Q1350)=0,"",SUM((COUNTIF(Q$4:Q1146,Upgrades!$B$3:$B$13)-COUNTIF(Q$4:Q1146,"Sell_"&amp;Upgrades!$B$3:$B$13))*Upgrades!$D$3:$D$13))</f>
        <v/>
      </c>
      <c r="T1146" s="66" t="str">
        <f>IFERROR(__xludf.DUMMYFUNCTION("IF(COUNTA(Q1146:Q1350)=0,"""",IF(REGEXMATCH(INDEX(FILTER(Q$4:Q1146,Q$4:Q1146&lt;&gt;""""),ROWS(FILTER(Q$4:Q1146,Q$4:Q1146&lt;&gt;""""))),""^Sell_""),INDEX(FILTER(T$4:T1145,Q$4:Q1145&lt;&gt;""""),ROWS(FILTER(Q$4:Q1145,Q$4:Q1145&lt;&gt;""""))),$AD$5+S1146))"),"")</f>
        <v/>
      </c>
      <c r="U1146" s="10" t="str">
        <f>IFERROR(__xludf.DUMMYFUNCTION("IF(COUNTA(Q1146:Q1350)=0,"""",IF(Q1146="""",0,IF(REGEXMATCH(Q1146,""^Sell_""),-ROUNDDOWN(ROUNDUP(INDEX(Upgrades!$C$3:$C$13,MATCH(SUBSTITUTE(Q1146,""Sell_"",""""),Upgrades!$B$3:$B$13,0))*1.15^(COUNTIF(Q$4:Q1145,SUBSTITUTE(Q1146,""Sell_"",""""))-COUNTIF(Q$4"&amp;":Q1145,""Sell_""&amp;SUBSTITUTE(Q1146,""Sell_"",""""))))/2),ROUNDUP(INDEX(Upgrades!$C$3:$C$13,MATCH(Q1146,Upgrades!$B$3:$B$13,0))*1.15^(COUNTIF(Q$4:Q1145,Q1146)-COUNTIF(Q$4:Q1145,""Sell_""&amp;Q1146))))))"),"")</f>
        <v/>
      </c>
      <c r="V1146" s="10" t="str">
        <f t="shared" si="11"/>
        <v/>
      </c>
      <c r="W1146" s="68" t="str">
        <f t="shared" si="12"/>
        <v/>
      </c>
      <c r="X1146" s="59" t="str">
        <f t="shared" si="13"/>
        <v/>
      </c>
      <c r="Y1146" s="69" t="str">
        <f t="shared" si="14"/>
        <v/>
      </c>
      <c r="Z1146" s="11"/>
    </row>
    <row r="1147">
      <c r="A1147" s="8"/>
      <c r="B1147" s="56" t="str">
        <f t="shared" si="2"/>
        <v/>
      </c>
      <c r="C1147" s="57"/>
      <c r="D1147" s="10" t="str">
        <f>IFERROR(__xludf.DUMMYFUNCTION("IF(COUNTA(C1147:C1350)=0,"""",IF(ISBLANK(C1147),FALSE,IF(NOT(COUNTIF($AA$24:$AA$34,SUBSTITUTE(C1147,""Sell_"",""""))),1,IF(REGEXMATCH(C1147,""Sell_""),IF(COUNTIF(C$4:C1147,SUBSTITUTE(C1147,""Sell_"",""""))-COUNTIF(C$4:C1146,C1147)&lt;1,1),FALSE))))"),"")</f>
        <v/>
      </c>
      <c r="E1147" s="59" t="str">
        <f t="array" ref="E1147">IF(COUNTA(C1147:C1350)=0,"",SUM((COUNTIF(C$4:C1147,Upgrades!$B$3:$B$13)-COUNTIF(C$4:C1147,"Sell_"&amp;Upgrades!$B$3:$B$13))*Upgrades!$D$3:$D$13))</f>
        <v/>
      </c>
      <c r="F1147" s="66" t="str">
        <f>IFERROR(__xludf.DUMMYFUNCTION("IF(COUNTA(C1147:C1350)=0,"""",IF(REGEXMATCH(INDEX(FILTER(C$4:C1147,C$4:C1147&lt;&gt;""""),ROWS(FILTER(C$4:C1147,C$4:C1147&lt;&gt;""""))),""^Sell_""),INDEX(FILTER(F$4:F1146,C$4:C1146&lt;&gt;""""),ROWS(FILTER(C$4:C1146,C$4:C1146&lt;&gt;""""))),$AC$5+E1147))"),"")</f>
        <v/>
      </c>
      <c r="G1147" s="10" t="str">
        <f>IFERROR(__xludf.DUMMYFUNCTION("IF(COUNTA(C1147:C1350)=0,"""",IF(C1147="""",0,IF(REGEXMATCH(C1147,""^Sell_""),-ROUNDDOWN(ROUNDUP(INDEX(Upgrades!$C$3:$C$13,MATCH(SUBSTITUTE(C1147,""Sell_"",""""),Upgrades!$B$3:$B$13,0))*1.15^(COUNTIF(C$4:C1146,SUBSTITUTE(C1147,""Sell_"",""""))-COUNTIF(C$4"&amp;":C1146,""Sell_""&amp;SUBSTITUTE(C1147,""Sell_"",""""))))/2),ROUNDUP(INDEX(Upgrades!$C$3:$C$13,MATCH(C1147,Upgrades!$B$3:$B$13,0))*1.15^(COUNTIF(C$4:C1146,C1147)-COUNTIF(C$4:C1146,""Sell_""&amp;C1147))))))"),"")</f>
        <v/>
      </c>
      <c r="H1147" s="10" t="str">
        <f t="shared" si="3"/>
        <v/>
      </c>
      <c r="I1147" s="68" t="str">
        <f t="shared" si="4"/>
        <v/>
      </c>
      <c r="J1147" s="59" t="str">
        <f t="shared" si="5"/>
        <v/>
      </c>
      <c r="K1147" s="69" t="str">
        <f t="shared" si="6"/>
        <v/>
      </c>
      <c r="L1147" s="60" t="str">
        <f t="shared" si="7"/>
        <v/>
      </c>
      <c r="M1147" s="61" t="str">
        <f>IFERROR(__xludf.DUMMYFUNCTION("IFS(AND(COUNTA(C1147:C1350)=0,COUNTA(Q1147:Q1350)=0),"""",OR(AND(K1147&gt;=1000000000,OR(Y1147&gt;=1000000000,COUNTA(Q1147:Q1350)=0)),OR(Y1147&gt;=1000000000,AND(COUNTA(C1147:C1350)=0,P$3=TRUE))),
ROUNDDOWN((AB$1-AC$1)*MAX(INDEX(T$4:T1350,MATCH(LARGE(FILTER(Y$4:Y1"&amp;"350,Y$4:Y1350&lt;1000000000),1),Y$4:Y1350)),INDEX(F$4:F1350,MATCH(LARGE(FILTER(K$4:K1350,K$4:K1350&lt;1000000000),1),K$4:K1350)))),AND(K1147&lt;1000000000,COUNTA(C1147:C1350)&gt;0,P$3=FALSE),
ROUNDDOWN(INDEX(Y$4:Y1350,MATCH(LARGE(FILTER(W$4:W1350,W$4:W1350&lt;=I1147),1)"&amp;",W$4:W1350))+(I1147-LARGE(FILTER(W$4:W1350,W$4:W1350&lt;=I1147),1))*INDEX(T$4:T1350,MATCH(LARGE(FILTER(W$4:W1350,W$4:W1350&lt;=I1147),1),W$4:W1350))-K1147),1,
ROUNDDOWN(Y1147-INDEX(K$4:K1350,MATCH(LARGE(FILTER(I$4:I1350,I$4:I1350&lt;=W1147),1),I$4:I1350))-(W1147-L"&amp;"ARGE(FILTER(I$4:I1350,I$4:I1350&lt;=W1147),1))*INDEX(F$4:F1350,MATCH(LARGE(FILTER(I$4:I1350,I$4:I1350&lt;=W1147),1),I$4:I1350))))"),"")</f>
        <v/>
      </c>
      <c r="N1147" s="60" t="str">
        <f t="shared" si="8"/>
        <v/>
      </c>
      <c r="O1147" s="61" t="str">
        <f t="shared" si="9"/>
        <v/>
      </c>
      <c r="P1147" s="56" t="str">
        <f t="shared" si="10"/>
        <v/>
      </c>
      <c r="Q1147" s="62"/>
      <c r="R1147" s="10" t="str">
        <f>IFERROR(__xludf.DUMMYFUNCTION("IF(COUNTA(Q1147:Q1350)=0,"""",IF(ISBLANK(Q1147),FALSE,IF(NOT(COUNTIF($AA$24:$AA$34,SUBSTITUTE(Q1147,""Sell_"",""""))),1,IF(REGEXMATCH(Q1147,""Sell_""),IF(COUNTIF(Q$4:Q1147,SUBSTITUTE(Q1147,""Sell_"",""""))-COUNTIF(Q$4:Q1146,Q1147)&lt;1,1),FALSE))))"),"")</f>
        <v/>
      </c>
      <c r="S1147" s="59" t="str">
        <f t="array" ref="S1147">IF(COUNTA(Q1147:Q1350)=0,"",SUM((COUNTIF(Q$4:Q1147,Upgrades!$B$3:$B$13)-COUNTIF(Q$4:Q1147,"Sell_"&amp;Upgrades!$B$3:$B$13))*Upgrades!$D$3:$D$13))</f>
        <v/>
      </c>
      <c r="T1147" s="66" t="str">
        <f>IFERROR(__xludf.DUMMYFUNCTION("IF(COUNTA(Q1147:Q1350)=0,"""",IF(REGEXMATCH(INDEX(FILTER(Q$4:Q1147,Q$4:Q1147&lt;&gt;""""),ROWS(FILTER(Q$4:Q1147,Q$4:Q1147&lt;&gt;""""))),""^Sell_""),INDEX(FILTER(T$4:T1146,Q$4:Q1146&lt;&gt;""""),ROWS(FILTER(Q$4:Q1146,Q$4:Q1146&lt;&gt;""""))),$AD$5+S1147))"),"")</f>
        <v/>
      </c>
      <c r="U1147" s="10" t="str">
        <f>IFERROR(__xludf.DUMMYFUNCTION("IF(COUNTA(Q1147:Q1350)=0,"""",IF(Q1147="""",0,IF(REGEXMATCH(Q1147,""^Sell_""),-ROUNDDOWN(ROUNDUP(INDEX(Upgrades!$C$3:$C$13,MATCH(SUBSTITUTE(Q1147,""Sell_"",""""),Upgrades!$B$3:$B$13,0))*1.15^(COUNTIF(Q$4:Q1146,SUBSTITUTE(Q1147,""Sell_"",""""))-COUNTIF(Q$4"&amp;":Q1146,""Sell_""&amp;SUBSTITUTE(Q1147,""Sell_"",""""))))/2),ROUNDUP(INDEX(Upgrades!$C$3:$C$13,MATCH(Q1147,Upgrades!$B$3:$B$13,0))*1.15^(COUNTIF(Q$4:Q1146,Q1147)-COUNTIF(Q$4:Q1146,""Sell_""&amp;Q1147))))))"),"")</f>
        <v/>
      </c>
      <c r="V1147" s="10" t="str">
        <f t="shared" si="11"/>
        <v/>
      </c>
      <c r="W1147" s="68" t="str">
        <f t="shared" si="12"/>
        <v/>
      </c>
      <c r="X1147" s="59" t="str">
        <f t="shared" si="13"/>
        <v/>
      </c>
      <c r="Y1147" s="69" t="str">
        <f t="shared" si="14"/>
        <v/>
      </c>
      <c r="Z1147" s="11"/>
    </row>
    <row r="1148">
      <c r="A1148" s="8"/>
      <c r="B1148" s="56" t="str">
        <f t="shared" si="2"/>
        <v/>
      </c>
      <c r="C1148" s="57"/>
      <c r="D1148" s="10" t="str">
        <f>IFERROR(__xludf.DUMMYFUNCTION("IF(COUNTA(C1148:C1350)=0,"""",IF(ISBLANK(C1148),FALSE,IF(NOT(COUNTIF($AA$24:$AA$34,SUBSTITUTE(C1148,""Sell_"",""""))),1,IF(REGEXMATCH(C1148,""Sell_""),IF(COUNTIF(C$4:C1148,SUBSTITUTE(C1148,""Sell_"",""""))-COUNTIF(C$4:C1147,C1148)&lt;1,1),FALSE))))"),"")</f>
        <v/>
      </c>
      <c r="E1148" s="59" t="str">
        <f t="array" ref="E1148">IF(COUNTA(C1148:C1350)=0,"",SUM((COUNTIF(C$4:C1148,Upgrades!$B$3:$B$13)-COUNTIF(C$4:C1148,"Sell_"&amp;Upgrades!$B$3:$B$13))*Upgrades!$D$3:$D$13))</f>
        <v/>
      </c>
      <c r="F1148" s="66" t="str">
        <f>IFERROR(__xludf.DUMMYFUNCTION("IF(COUNTA(C1148:C1350)=0,"""",IF(REGEXMATCH(INDEX(FILTER(C$4:C1148,C$4:C1148&lt;&gt;""""),ROWS(FILTER(C$4:C1148,C$4:C1148&lt;&gt;""""))),""^Sell_""),INDEX(FILTER(F$4:F1147,C$4:C1147&lt;&gt;""""),ROWS(FILTER(C$4:C1147,C$4:C1147&lt;&gt;""""))),$AC$5+E1148))"),"")</f>
        <v/>
      </c>
      <c r="G1148" s="10" t="str">
        <f>IFERROR(__xludf.DUMMYFUNCTION("IF(COUNTA(C1148:C1350)=0,"""",IF(C1148="""",0,IF(REGEXMATCH(C1148,""^Sell_""),-ROUNDDOWN(ROUNDUP(INDEX(Upgrades!$C$3:$C$13,MATCH(SUBSTITUTE(C1148,""Sell_"",""""),Upgrades!$B$3:$B$13,0))*1.15^(COUNTIF(C$4:C1147,SUBSTITUTE(C1148,""Sell_"",""""))-COUNTIF(C$4"&amp;":C1147,""Sell_""&amp;SUBSTITUTE(C1148,""Sell_"",""""))))/2),ROUNDUP(INDEX(Upgrades!$C$3:$C$13,MATCH(C1148,Upgrades!$B$3:$B$13,0))*1.15^(COUNTIF(C$4:C1147,C1148)-COUNTIF(C$4:C1147,""Sell_""&amp;C1148))))))"),"")</f>
        <v/>
      </c>
      <c r="H1148" s="10" t="str">
        <f t="shared" si="3"/>
        <v/>
      </c>
      <c r="I1148" s="68" t="str">
        <f t="shared" si="4"/>
        <v/>
      </c>
      <c r="J1148" s="59" t="str">
        <f t="shared" si="5"/>
        <v/>
      </c>
      <c r="K1148" s="69" t="str">
        <f t="shared" si="6"/>
        <v/>
      </c>
      <c r="L1148" s="60" t="str">
        <f t="shared" si="7"/>
        <v/>
      </c>
      <c r="M1148" s="61" t="str">
        <f>IFERROR(__xludf.DUMMYFUNCTION("IFS(AND(COUNTA(C1148:C1350)=0,COUNTA(Q1148:Q1350)=0),"""",OR(AND(K1148&gt;=1000000000,OR(Y1148&gt;=1000000000,COUNTA(Q1148:Q1350)=0)),OR(Y1148&gt;=1000000000,AND(COUNTA(C1148:C1350)=0,P$3=TRUE))),
ROUNDDOWN((AB$1-AC$1)*MAX(INDEX(T$4:T1350,MATCH(LARGE(FILTER(Y$4:Y1"&amp;"350,Y$4:Y1350&lt;1000000000),1),Y$4:Y1350)),INDEX(F$4:F1350,MATCH(LARGE(FILTER(K$4:K1350,K$4:K1350&lt;1000000000),1),K$4:K1350)))),AND(K1148&lt;1000000000,COUNTA(C1148:C1350)&gt;0,P$3=FALSE),
ROUNDDOWN(INDEX(Y$4:Y1350,MATCH(LARGE(FILTER(W$4:W1350,W$4:W1350&lt;=I1148),1)"&amp;",W$4:W1350))+(I1148-LARGE(FILTER(W$4:W1350,W$4:W1350&lt;=I1148),1))*INDEX(T$4:T1350,MATCH(LARGE(FILTER(W$4:W1350,W$4:W1350&lt;=I1148),1),W$4:W1350))-K1148),1,
ROUNDDOWN(Y1148-INDEX(K$4:K1350,MATCH(LARGE(FILTER(I$4:I1350,I$4:I1350&lt;=W1148),1),I$4:I1350))-(W1148-L"&amp;"ARGE(FILTER(I$4:I1350,I$4:I1350&lt;=W1148),1))*INDEX(F$4:F1350,MATCH(LARGE(FILTER(I$4:I1350,I$4:I1350&lt;=W1148),1),I$4:I1350))))"),"")</f>
        <v/>
      </c>
      <c r="N1148" s="60" t="str">
        <f t="shared" si="8"/>
        <v/>
      </c>
      <c r="O1148" s="61" t="str">
        <f t="shared" si="9"/>
        <v/>
      </c>
      <c r="P1148" s="56" t="str">
        <f t="shared" si="10"/>
        <v/>
      </c>
      <c r="Q1148" s="62"/>
      <c r="R1148" s="10" t="str">
        <f>IFERROR(__xludf.DUMMYFUNCTION("IF(COUNTA(Q1148:Q1350)=0,"""",IF(ISBLANK(Q1148),FALSE,IF(NOT(COUNTIF($AA$24:$AA$34,SUBSTITUTE(Q1148,""Sell_"",""""))),1,IF(REGEXMATCH(Q1148,""Sell_""),IF(COUNTIF(Q$4:Q1148,SUBSTITUTE(Q1148,""Sell_"",""""))-COUNTIF(Q$4:Q1147,Q1148)&lt;1,1),FALSE))))"),"")</f>
        <v/>
      </c>
      <c r="S1148" s="59" t="str">
        <f t="array" ref="S1148">IF(COUNTA(Q1148:Q1350)=0,"",SUM((COUNTIF(Q$4:Q1148,Upgrades!$B$3:$B$13)-COUNTIF(Q$4:Q1148,"Sell_"&amp;Upgrades!$B$3:$B$13))*Upgrades!$D$3:$D$13))</f>
        <v/>
      </c>
      <c r="T1148" s="66" t="str">
        <f>IFERROR(__xludf.DUMMYFUNCTION("IF(COUNTA(Q1148:Q1350)=0,"""",IF(REGEXMATCH(INDEX(FILTER(Q$4:Q1148,Q$4:Q1148&lt;&gt;""""),ROWS(FILTER(Q$4:Q1148,Q$4:Q1148&lt;&gt;""""))),""^Sell_""),INDEX(FILTER(T$4:T1147,Q$4:Q1147&lt;&gt;""""),ROWS(FILTER(Q$4:Q1147,Q$4:Q1147&lt;&gt;""""))),$AD$5+S1148))"),"")</f>
        <v/>
      </c>
      <c r="U1148" s="10" t="str">
        <f>IFERROR(__xludf.DUMMYFUNCTION("IF(COUNTA(Q1148:Q1350)=0,"""",IF(Q1148="""",0,IF(REGEXMATCH(Q1148,""^Sell_""),-ROUNDDOWN(ROUNDUP(INDEX(Upgrades!$C$3:$C$13,MATCH(SUBSTITUTE(Q1148,""Sell_"",""""),Upgrades!$B$3:$B$13,0))*1.15^(COUNTIF(Q$4:Q1147,SUBSTITUTE(Q1148,""Sell_"",""""))-COUNTIF(Q$4"&amp;":Q1147,""Sell_""&amp;SUBSTITUTE(Q1148,""Sell_"",""""))))/2),ROUNDUP(INDEX(Upgrades!$C$3:$C$13,MATCH(Q1148,Upgrades!$B$3:$B$13,0))*1.15^(COUNTIF(Q$4:Q1147,Q1148)-COUNTIF(Q$4:Q1147,""Sell_""&amp;Q1148))))))"),"")</f>
        <v/>
      </c>
      <c r="V1148" s="10" t="str">
        <f t="shared" si="11"/>
        <v/>
      </c>
      <c r="W1148" s="68" t="str">
        <f t="shared" si="12"/>
        <v/>
      </c>
      <c r="X1148" s="59" t="str">
        <f t="shared" si="13"/>
        <v/>
      </c>
      <c r="Y1148" s="69" t="str">
        <f t="shared" si="14"/>
        <v/>
      </c>
      <c r="Z1148" s="11"/>
    </row>
    <row r="1149">
      <c r="A1149" s="8"/>
      <c r="B1149" s="56" t="str">
        <f t="shared" si="2"/>
        <v/>
      </c>
      <c r="C1149" s="57"/>
      <c r="D1149" s="10" t="str">
        <f>IFERROR(__xludf.DUMMYFUNCTION("IF(COUNTA(C1149:C1350)=0,"""",IF(ISBLANK(C1149),FALSE,IF(NOT(COUNTIF($AA$24:$AA$34,SUBSTITUTE(C1149,""Sell_"",""""))),1,IF(REGEXMATCH(C1149,""Sell_""),IF(COUNTIF(C$4:C1149,SUBSTITUTE(C1149,""Sell_"",""""))-COUNTIF(C$4:C1148,C1149)&lt;1,1),FALSE))))"),"")</f>
        <v/>
      </c>
      <c r="E1149" s="59" t="str">
        <f t="array" ref="E1149">IF(COUNTA(C1149:C1350)=0,"",SUM((COUNTIF(C$4:C1149,Upgrades!$B$3:$B$13)-COUNTIF(C$4:C1149,"Sell_"&amp;Upgrades!$B$3:$B$13))*Upgrades!$D$3:$D$13))</f>
        <v/>
      </c>
      <c r="F1149" s="66" t="str">
        <f>IFERROR(__xludf.DUMMYFUNCTION("IF(COUNTA(C1149:C1350)=0,"""",IF(REGEXMATCH(INDEX(FILTER(C$4:C1149,C$4:C1149&lt;&gt;""""),ROWS(FILTER(C$4:C1149,C$4:C1149&lt;&gt;""""))),""^Sell_""),INDEX(FILTER(F$4:F1148,C$4:C1148&lt;&gt;""""),ROWS(FILTER(C$4:C1148,C$4:C1148&lt;&gt;""""))),$AC$5+E1149))"),"")</f>
        <v/>
      </c>
      <c r="G1149" s="10" t="str">
        <f>IFERROR(__xludf.DUMMYFUNCTION("IF(COUNTA(C1149:C1350)=0,"""",IF(C1149="""",0,IF(REGEXMATCH(C1149,""^Sell_""),-ROUNDDOWN(ROUNDUP(INDEX(Upgrades!$C$3:$C$13,MATCH(SUBSTITUTE(C1149,""Sell_"",""""),Upgrades!$B$3:$B$13,0))*1.15^(COUNTIF(C$4:C1148,SUBSTITUTE(C1149,""Sell_"",""""))-COUNTIF(C$4"&amp;":C1148,""Sell_""&amp;SUBSTITUTE(C1149,""Sell_"",""""))))/2),ROUNDUP(INDEX(Upgrades!$C$3:$C$13,MATCH(C1149,Upgrades!$B$3:$B$13,0))*1.15^(COUNTIF(C$4:C1148,C1149)-COUNTIF(C$4:C1148,""Sell_""&amp;C1149))))))"),"")</f>
        <v/>
      </c>
      <c r="H1149" s="10" t="str">
        <f t="shared" si="3"/>
        <v/>
      </c>
      <c r="I1149" s="68" t="str">
        <f t="shared" si="4"/>
        <v/>
      </c>
      <c r="J1149" s="59" t="str">
        <f t="shared" si="5"/>
        <v/>
      </c>
      <c r="K1149" s="69" t="str">
        <f t="shared" si="6"/>
        <v/>
      </c>
      <c r="L1149" s="60" t="str">
        <f t="shared" si="7"/>
        <v/>
      </c>
      <c r="M1149" s="61" t="str">
        <f>IFERROR(__xludf.DUMMYFUNCTION("IFS(AND(COUNTA(C1149:C1350)=0,COUNTA(Q1149:Q1350)=0),"""",OR(AND(K1149&gt;=1000000000,OR(Y1149&gt;=1000000000,COUNTA(Q1149:Q1350)=0)),OR(Y1149&gt;=1000000000,AND(COUNTA(C1149:C1350)=0,P$3=TRUE))),
ROUNDDOWN((AB$1-AC$1)*MAX(INDEX(T$4:T1350,MATCH(LARGE(FILTER(Y$4:Y1"&amp;"350,Y$4:Y1350&lt;1000000000),1),Y$4:Y1350)),INDEX(F$4:F1350,MATCH(LARGE(FILTER(K$4:K1350,K$4:K1350&lt;1000000000),1),K$4:K1350)))),AND(K1149&lt;1000000000,COUNTA(C1149:C1350)&gt;0,P$3=FALSE),
ROUNDDOWN(INDEX(Y$4:Y1350,MATCH(LARGE(FILTER(W$4:W1350,W$4:W1350&lt;=I1149),1)"&amp;",W$4:W1350))+(I1149-LARGE(FILTER(W$4:W1350,W$4:W1350&lt;=I1149),1))*INDEX(T$4:T1350,MATCH(LARGE(FILTER(W$4:W1350,W$4:W1350&lt;=I1149),1),W$4:W1350))-K1149),1,
ROUNDDOWN(Y1149-INDEX(K$4:K1350,MATCH(LARGE(FILTER(I$4:I1350,I$4:I1350&lt;=W1149),1),I$4:I1350))-(W1149-L"&amp;"ARGE(FILTER(I$4:I1350,I$4:I1350&lt;=W1149),1))*INDEX(F$4:F1350,MATCH(LARGE(FILTER(I$4:I1350,I$4:I1350&lt;=W1149),1),I$4:I1350))))"),"")</f>
        <v/>
      </c>
      <c r="N1149" s="60" t="str">
        <f t="shared" si="8"/>
        <v/>
      </c>
      <c r="O1149" s="61" t="str">
        <f t="shared" si="9"/>
        <v/>
      </c>
      <c r="P1149" s="56" t="str">
        <f t="shared" si="10"/>
        <v/>
      </c>
      <c r="Q1149" s="62"/>
      <c r="R1149" s="10" t="str">
        <f>IFERROR(__xludf.DUMMYFUNCTION("IF(COUNTA(Q1149:Q1350)=0,"""",IF(ISBLANK(Q1149),FALSE,IF(NOT(COUNTIF($AA$24:$AA$34,SUBSTITUTE(Q1149,""Sell_"",""""))),1,IF(REGEXMATCH(Q1149,""Sell_""),IF(COUNTIF(Q$4:Q1149,SUBSTITUTE(Q1149,""Sell_"",""""))-COUNTIF(Q$4:Q1148,Q1149)&lt;1,1),FALSE))))"),"")</f>
        <v/>
      </c>
      <c r="S1149" s="59" t="str">
        <f t="array" ref="S1149">IF(COUNTA(Q1149:Q1350)=0,"",SUM((COUNTIF(Q$4:Q1149,Upgrades!$B$3:$B$13)-COUNTIF(Q$4:Q1149,"Sell_"&amp;Upgrades!$B$3:$B$13))*Upgrades!$D$3:$D$13))</f>
        <v/>
      </c>
      <c r="T1149" s="66" t="str">
        <f>IFERROR(__xludf.DUMMYFUNCTION("IF(COUNTA(Q1149:Q1350)=0,"""",IF(REGEXMATCH(INDEX(FILTER(Q$4:Q1149,Q$4:Q1149&lt;&gt;""""),ROWS(FILTER(Q$4:Q1149,Q$4:Q1149&lt;&gt;""""))),""^Sell_""),INDEX(FILTER(T$4:T1148,Q$4:Q1148&lt;&gt;""""),ROWS(FILTER(Q$4:Q1148,Q$4:Q1148&lt;&gt;""""))),$AD$5+S1149))"),"")</f>
        <v/>
      </c>
      <c r="U1149" s="10" t="str">
        <f>IFERROR(__xludf.DUMMYFUNCTION("IF(COUNTA(Q1149:Q1350)=0,"""",IF(Q1149="""",0,IF(REGEXMATCH(Q1149,""^Sell_""),-ROUNDDOWN(ROUNDUP(INDEX(Upgrades!$C$3:$C$13,MATCH(SUBSTITUTE(Q1149,""Sell_"",""""),Upgrades!$B$3:$B$13,0))*1.15^(COUNTIF(Q$4:Q1148,SUBSTITUTE(Q1149,""Sell_"",""""))-COUNTIF(Q$4"&amp;":Q1148,""Sell_""&amp;SUBSTITUTE(Q1149,""Sell_"",""""))))/2),ROUNDUP(INDEX(Upgrades!$C$3:$C$13,MATCH(Q1149,Upgrades!$B$3:$B$13,0))*1.15^(COUNTIF(Q$4:Q1148,Q1149)-COUNTIF(Q$4:Q1148,""Sell_""&amp;Q1149))))))"),"")</f>
        <v/>
      </c>
      <c r="V1149" s="10" t="str">
        <f t="shared" si="11"/>
        <v/>
      </c>
      <c r="W1149" s="68" t="str">
        <f t="shared" si="12"/>
        <v/>
      </c>
      <c r="X1149" s="59" t="str">
        <f t="shared" si="13"/>
        <v/>
      </c>
      <c r="Y1149" s="69" t="str">
        <f t="shared" si="14"/>
        <v/>
      </c>
      <c r="Z1149" s="11"/>
    </row>
    <row r="1150">
      <c r="A1150" s="8"/>
      <c r="B1150" s="56" t="str">
        <f t="shared" si="2"/>
        <v/>
      </c>
      <c r="C1150" s="57"/>
      <c r="D1150" s="10" t="str">
        <f>IFERROR(__xludf.DUMMYFUNCTION("IF(COUNTA(C1150:C1350)=0,"""",IF(ISBLANK(C1150),FALSE,IF(NOT(COUNTIF($AA$24:$AA$34,SUBSTITUTE(C1150,""Sell_"",""""))),1,IF(REGEXMATCH(C1150,""Sell_""),IF(COUNTIF(C$4:C1150,SUBSTITUTE(C1150,""Sell_"",""""))-COUNTIF(C$4:C1149,C1150)&lt;1,1),FALSE))))"),"")</f>
        <v/>
      </c>
      <c r="E1150" s="59" t="str">
        <f t="array" ref="E1150">IF(COUNTA(C1150:C1350)=0,"",SUM((COUNTIF(C$4:C1150,Upgrades!$B$3:$B$13)-COUNTIF(C$4:C1150,"Sell_"&amp;Upgrades!$B$3:$B$13))*Upgrades!$D$3:$D$13))</f>
        <v/>
      </c>
      <c r="F1150" s="66" t="str">
        <f>IFERROR(__xludf.DUMMYFUNCTION("IF(COUNTA(C1150:C1350)=0,"""",IF(REGEXMATCH(INDEX(FILTER(C$4:C1150,C$4:C1150&lt;&gt;""""),ROWS(FILTER(C$4:C1150,C$4:C1150&lt;&gt;""""))),""^Sell_""),INDEX(FILTER(F$4:F1149,C$4:C1149&lt;&gt;""""),ROWS(FILTER(C$4:C1149,C$4:C1149&lt;&gt;""""))),$AC$5+E1150))"),"")</f>
        <v/>
      </c>
      <c r="G1150" s="10" t="str">
        <f>IFERROR(__xludf.DUMMYFUNCTION("IF(COUNTA(C1150:C1350)=0,"""",IF(C1150="""",0,IF(REGEXMATCH(C1150,""^Sell_""),-ROUNDDOWN(ROUNDUP(INDEX(Upgrades!$C$3:$C$13,MATCH(SUBSTITUTE(C1150,""Sell_"",""""),Upgrades!$B$3:$B$13,0))*1.15^(COUNTIF(C$4:C1149,SUBSTITUTE(C1150,""Sell_"",""""))-COUNTIF(C$4"&amp;":C1149,""Sell_""&amp;SUBSTITUTE(C1150,""Sell_"",""""))))/2),ROUNDUP(INDEX(Upgrades!$C$3:$C$13,MATCH(C1150,Upgrades!$B$3:$B$13,0))*1.15^(COUNTIF(C$4:C1149,C1150)-COUNTIF(C$4:C1149,""Sell_""&amp;C1150))))))"),"")</f>
        <v/>
      </c>
      <c r="H1150" s="10" t="str">
        <f t="shared" si="3"/>
        <v/>
      </c>
      <c r="I1150" s="68" t="str">
        <f t="shared" si="4"/>
        <v/>
      </c>
      <c r="J1150" s="59" t="str">
        <f t="shared" si="5"/>
        <v/>
      </c>
      <c r="K1150" s="69" t="str">
        <f t="shared" si="6"/>
        <v/>
      </c>
      <c r="L1150" s="60" t="str">
        <f t="shared" si="7"/>
        <v/>
      </c>
      <c r="M1150" s="61" t="str">
        <f>IFERROR(__xludf.DUMMYFUNCTION("IFS(AND(COUNTA(C1150:C1350)=0,COUNTA(Q1150:Q1350)=0),"""",OR(AND(K1150&gt;=1000000000,OR(Y1150&gt;=1000000000,COUNTA(Q1150:Q1350)=0)),OR(Y1150&gt;=1000000000,AND(COUNTA(C1150:C1350)=0,P$3=TRUE))),
ROUNDDOWN((AB$1-AC$1)*MAX(INDEX(T$4:T1350,MATCH(LARGE(FILTER(Y$4:Y1"&amp;"350,Y$4:Y1350&lt;1000000000),1),Y$4:Y1350)),INDEX(F$4:F1350,MATCH(LARGE(FILTER(K$4:K1350,K$4:K1350&lt;1000000000),1),K$4:K1350)))),AND(K1150&lt;1000000000,COUNTA(C1150:C1350)&gt;0,P$3=FALSE),
ROUNDDOWN(INDEX(Y$4:Y1350,MATCH(LARGE(FILTER(W$4:W1350,W$4:W1350&lt;=I1150),1)"&amp;",W$4:W1350))+(I1150-LARGE(FILTER(W$4:W1350,W$4:W1350&lt;=I1150),1))*INDEX(T$4:T1350,MATCH(LARGE(FILTER(W$4:W1350,W$4:W1350&lt;=I1150),1),W$4:W1350))-K1150),1,
ROUNDDOWN(Y1150-INDEX(K$4:K1350,MATCH(LARGE(FILTER(I$4:I1350,I$4:I1350&lt;=W1150),1),I$4:I1350))-(W1150-L"&amp;"ARGE(FILTER(I$4:I1350,I$4:I1350&lt;=W1150),1))*INDEX(F$4:F1350,MATCH(LARGE(FILTER(I$4:I1350,I$4:I1350&lt;=W1150),1),I$4:I1350))))"),"")</f>
        <v/>
      </c>
      <c r="N1150" s="60" t="str">
        <f t="shared" si="8"/>
        <v/>
      </c>
      <c r="O1150" s="61" t="str">
        <f t="shared" si="9"/>
        <v/>
      </c>
      <c r="P1150" s="56" t="str">
        <f t="shared" si="10"/>
        <v/>
      </c>
      <c r="Q1150" s="62"/>
      <c r="R1150" s="10" t="str">
        <f>IFERROR(__xludf.DUMMYFUNCTION("IF(COUNTA(Q1150:Q1350)=0,"""",IF(ISBLANK(Q1150),FALSE,IF(NOT(COUNTIF($AA$24:$AA$34,SUBSTITUTE(Q1150,""Sell_"",""""))),1,IF(REGEXMATCH(Q1150,""Sell_""),IF(COUNTIF(Q$4:Q1150,SUBSTITUTE(Q1150,""Sell_"",""""))-COUNTIF(Q$4:Q1149,Q1150)&lt;1,1),FALSE))))"),"")</f>
        <v/>
      </c>
      <c r="S1150" s="59" t="str">
        <f t="array" ref="S1150">IF(COUNTA(Q1150:Q1350)=0,"",SUM((COUNTIF(Q$4:Q1150,Upgrades!$B$3:$B$13)-COUNTIF(Q$4:Q1150,"Sell_"&amp;Upgrades!$B$3:$B$13))*Upgrades!$D$3:$D$13))</f>
        <v/>
      </c>
      <c r="T1150" s="66" t="str">
        <f>IFERROR(__xludf.DUMMYFUNCTION("IF(COUNTA(Q1150:Q1350)=0,"""",IF(REGEXMATCH(INDEX(FILTER(Q$4:Q1150,Q$4:Q1150&lt;&gt;""""),ROWS(FILTER(Q$4:Q1150,Q$4:Q1150&lt;&gt;""""))),""^Sell_""),INDEX(FILTER(T$4:T1149,Q$4:Q1149&lt;&gt;""""),ROWS(FILTER(Q$4:Q1149,Q$4:Q1149&lt;&gt;""""))),$AD$5+S1150))"),"")</f>
        <v/>
      </c>
      <c r="U1150" s="10" t="str">
        <f>IFERROR(__xludf.DUMMYFUNCTION("IF(COUNTA(Q1150:Q1350)=0,"""",IF(Q1150="""",0,IF(REGEXMATCH(Q1150,""^Sell_""),-ROUNDDOWN(ROUNDUP(INDEX(Upgrades!$C$3:$C$13,MATCH(SUBSTITUTE(Q1150,""Sell_"",""""),Upgrades!$B$3:$B$13,0))*1.15^(COUNTIF(Q$4:Q1149,SUBSTITUTE(Q1150,""Sell_"",""""))-COUNTIF(Q$4"&amp;":Q1149,""Sell_""&amp;SUBSTITUTE(Q1150,""Sell_"",""""))))/2),ROUNDUP(INDEX(Upgrades!$C$3:$C$13,MATCH(Q1150,Upgrades!$B$3:$B$13,0))*1.15^(COUNTIF(Q$4:Q1149,Q1150)-COUNTIF(Q$4:Q1149,""Sell_""&amp;Q1150))))))"),"")</f>
        <v/>
      </c>
      <c r="V1150" s="10" t="str">
        <f t="shared" si="11"/>
        <v/>
      </c>
      <c r="W1150" s="68" t="str">
        <f t="shared" si="12"/>
        <v/>
      </c>
      <c r="X1150" s="59" t="str">
        <f t="shared" si="13"/>
        <v/>
      </c>
      <c r="Y1150" s="69" t="str">
        <f t="shared" si="14"/>
        <v/>
      </c>
      <c r="Z1150" s="11"/>
    </row>
    <row r="1151">
      <c r="A1151" s="8"/>
      <c r="B1151" s="56" t="str">
        <f t="shared" si="2"/>
        <v/>
      </c>
      <c r="C1151" s="57"/>
      <c r="D1151" s="10" t="str">
        <f>IFERROR(__xludf.DUMMYFUNCTION("IF(COUNTA(C1151:C1350)=0,"""",IF(ISBLANK(C1151),FALSE,IF(NOT(COUNTIF($AA$24:$AA$34,SUBSTITUTE(C1151,""Sell_"",""""))),1,IF(REGEXMATCH(C1151,""Sell_""),IF(COUNTIF(C$4:C1151,SUBSTITUTE(C1151,""Sell_"",""""))-COUNTIF(C$4:C1150,C1151)&lt;1,1),FALSE))))"),"")</f>
        <v/>
      </c>
      <c r="E1151" s="59" t="str">
        <f t="array" ref="E1151">IF(COUNTA(C1151:C1350)=0,"",SUM((COUNTIF(C$4:C1151,Upgrades!$B$3:$B$13)-COUNTIF(C$4:C1151,"Sell_"&amp;Upgrades!$B$3:$B$13))*Upgrades!$D$3:$D$13))</f>
        <v/>
      </c>
      <c r="F1151" s="66" t="str">
        <f>IFERROR(__xludf.DUMMYFUNCTION("IF(COUNTA(C1151:C1350)=0,"""",IF(REGEXMATCH(INDEX(FILTER(C$4:C1151,C$4:C1151&lt;&gt;""""),ROWS(FILTER(C$4:C1151,C$4:C1151&lt;&gt;""""))),""^Sell_""),INDEX(FILTER(F$4:F1150,C$4:C1150&lt;&gt;""""),ROWS(FILTER(C$4:C1150,C$4:C1150&lt;&gt;""""))),$AC$5+E1151))"),"")</f>
        <v/>
      </c>
      <c r="G1151" s="10" t="str">
        <f>IFERROR(__xludf.DUMMYFUNCTION("IF(COUNTA(C1151:C1350)=0,"""",IF(C1151="""",0,IF(REGEXMATCH(C1151,""^Sell_""),-ROUNDDOWN(ROUNDUP(INDEX(Upgrades!$C$3:$C$13,MATCH(SUBSTITUTE(C1151,""Sell_"",""""),Upgrades!$B$3:$B$13,0))*1.15^(COUNTIF(C$4:C1150,SUBSTITUTE(C1151,""Sell_"",""""))-COUNTIF(C$4"&amp;":C1150,""Sell_""&amp;SUBSTITUTE(C1151,""Sell_"",""""))))/2),ROUNDUP(INDEX(Upgrades!$C$3:$C$13,MATCH(C1151,Upgrades!$B$3:$B$13,0))*1.15^(COUNTIF(C$4:C1150,C1151)-COUNTIF(C$4:C1150,""Sell_""&amp;C1151))))))"),"")</f>
        <v/>
      </c>
      <c r="H1151" s="10" t="str">
        <f t="shared" si="3"/>
        <v/>
      </c>
      <c r="I1151" s="68" t="str">
        <f t="shared" si="4"/>
        <v/>
      </c>
      <c r="J1151" s="59" t="str">
        <f t="shared" si="5"/>
        <v/>
      </c>
      <c r="K1151" s="69" t="str">
        <f t="shared" si="6"/>
        <v/>
      </c>
      <c r="L1151" s="60" t="str">
        <f t="shared" si="7"/>
        <v/>
      </c>
      <c r="M1151" s="61" t="str">
        <f>IFERROR(__xludf.DUMMYFUNCTION("IFS(AND(COUNTA(C1151:C1350)=0,COUNTA(Q1151:Q1350)=0),"""",OR(AND(K1151&gt;=1000000000,OR(Y1151&gt;=1000000000,COUNTA(Q1151:Q1350)=0)),OR(Y1151&gt;=1000000000,AND(COUNTA(C1151:C1350)=0,P$3=TRUE))),
ROUNDDOWN((AB$1-AC$1)*MAX(INDEX(T$4:T1350,MATCH(LARGE(FILTER(Y$4:Y1"&amp;"350,Y$4:Y1350&lt;1000000000),1),Y$4:Y1350)),INDEX(F$4:F1350,MATCH(LARGE(FILTER(K$4:K1350,K$4:K1350&lt;1000000000),1),K$4:K1350)))),AND(K1151&lt;1000000000,COUNTA(C1151:C1350)&gt;0,P$3=FALSE),
ROUNDDOWN(INDEX(Y$4:Y1350,MATCH(LARGE(FILTER(W$4:W1350,W$4:W1350&lt;=I1151),1)"&amp;",W$4:W1350))+(I1151-LARGE(FILTER(W$4:W1350,W$4:W1350&lt;=I1151),1))*INDEX(T$4:T1350,MATCH(LARGE(FILTER(W$4:W1350,W$4:W1350&lt;=I1151),1),W$4:W1350))-K1151),1,
ROUNDDOWN(Y1151-INDEX(K$4:K1350,MATCH(LARGE(FILTER(I$4:I1350,I$4:I1350&lt;=W1151),1),I$4:I1350))-(W1151-L"&amp;"ARGE(FILTER(I$4:I1350,I$4:I1350&lt;=W1151),1))*INDEX(F$4:F1350,MATCH(LARGE(FILTER(I$4:I1350,I$4:I1350&lt;=W1151),1),I$4:I1350))))"),"")</f>
        <v/>
      </c>
      <c r="N1151" s="60" t="str">
        <f t="shared" si="8"/>
        <v/>
      </c>
      <c r="O1151" s="61" t="str">
        <f t="shared" si="9"/>
        <v/>
      </c>
      <c r="P1151" s="56" t="str">
        <f t="shared" si="10"/>
        <v/>
      </c>
      <c r="Q1151" s="62"/>
      <c r="R1151" s="10" t="str">
        <f>IFERROR(__xludf.DUMMYFUNCTION("IF(COUNTA(Q1151:Q1350)=0,"""",IF(ISBLANK(Q1151),FALSE,IF(NOT(COUNTIF($AA$24:$AA$34,SUBSTITUTE(Q1151,""Sell_"",""""))),1,IF(REGEXMATCH(Q1151,""Sell_""),IF(COUNTIF(Q$4:Q1151,SUBSTITUTE(Q1151,""Sell_"",""""))-COUNTIF(Q$4:Q1150,Q1151)&lt;1,1),FALSE))))"),"")</f>
        <v/>
      </c>
      <c r="S1151" s="59" t="str">
        <f t="array" ref="S1151">IF(COUNTA(Q1151:Q1350)=0,"",SUM((COUNTIF(Q$4:Q1151,Upgrades!$B$3:$B$13)-COUNTIF(Q$4:Q1151,"Sell_"&amp;Upgrades!$B$3:$B$13))*Upgrades!$D$3:$D$13))</f>
        <v/>
      </c>
      <c r="T1151" s="66" t="str">
        <f>IFERROR(__xludf.DUMMYFUNCTION("IF(COUNTA(Q1151:Q1350)=0,"""",IF(REGEXMATCH(INDEX(FILTER(Q$4:Q1151,Q$4:Q1151&lt;&gt;""""),ROWS(FILTER(Q$4:Q1151,Q$4:Q1151&lt;&gt;""""))),""^Sell_""),INDEX(FILTER(T$4:T1150,Q$4:Q1150&lt;&gt;""""),ROWS(FILTER(Q$4:Q1150,Q$4:Q1150&lt;&gt;""""))),$AD$5+S1151))"),"")</f>
        <v/>
      </c>
      <c r="U1151" s="10" t="str">
        <f>IFERROR(__xludf.DUMMYFUNCTION("IF(COUNTA(Q1151:Q1350)=0,"""",IF(Q1151="""",0,IF(REGEXMATCH(Q1151,""^Sell_""),-ROUNDDOWN(ROUNDUP(INDEX(Upgrades!$C$3:$C$13,MATCH(SUBSTITUTE(Q1151,""Sell_"",""""),Upgrades!$B$3:$B$13,0))*1.15^(COUNTIF(Q$4:Q1150,SUBSTITUTE(Q1151,""Sell_"",""""))-COUNTIF(Q$4"&amp;":Q1150,""Sell_""&amp;SUBSTITUTE(Q1151,""Sell_"",""""))))/2),ROUNDUP(INDEX(Upgrades!$C$3:$C$13,MATCH(Q1151,Upgrades!$B$3:$B$13,0))*1.15^(COUNTIF(Q$4:Q1150,Q1151)-COUNTIF(Q$4:Q1150,""Sell_""&amp;Q1151))))))"),"")</f>
        <v/>
      </c>
      <c r="V1151" s="10" t="str">
        <f t="shared" si="11"/>
        <v/>
      </c>
      <c r="W1151" s="68" t="str">
        <f t="shared" si="12"/>
        <v/>
      </c>
      <c r="X1151" s="59" t="str">
        <f t="shared" si="13"/>
        <v/>
      </c>
      <c r="Y1151" s="69" t="str">
        <f t="shared" si="14"/>
        <v/>
      </c>
      <c r="Z1151" s="11"/>
    </row>
    <row r="1152">
      <c r="A1152" s="8"/>
      <c r="B1152" s="56" t="str">
        <f t="shared" si="2"/>
        <v/>
      </c>
      <c r="C1152" s="57"/>
      <c r="D1152" s="10" t="str">
        <f>IFERROR(__xludf.DUMMYFUNCTION("IF(COUNTA(C1152:C1350)=0,"""",IF(ISBLANK(C1152),FALSE,IF(NOT(COUNTIF($AA$24:$AA$34,SUBSTITUTE(C1152,""Sell_"",""""))),1,IF(REGEXMATCH(C1152,""Sell_""),IF(COUNTIF(C$4:C1152,SUBSTITUTE(C1152,""Sell_"",""""))-COUNTIF(C$4:C1151,C1152)&lt;1,1),FALSE))))"),"")</f>
        <v/>
      </c>
      <c r="E1152" s="59" t="str">
        <f t="array" ref="E1152">IF(COUNTA(C1152:C1350)=0,"",SUM((COUNTIF(C$4:C1152,Upgrades!$B$3:$B$13)-COUNTIF(C$4:C1152,"Sell_"&amp;Upgrades!$B$3:$B$13))*Upgrades!$D$3:$D$13))</f>
        <v/>
      </c>
      <c r="F1152" s="66" t="str">
        <f>IFERROR(__xludf.DUMMYFUNCTION("IF(COUNTA(C1152:C1350)=0,"""",IF(REGEXMATCH(INDEX(FILTER(C$4:C1152,C$4:C1152&lt;&gt;""""),ROWS(FILTER(C$4:C1152,C$4:C1152&lt;&gt;""""))),""^Sell_""),INDEX(FILTER(F$4:F1151,C$4:C1151&lt;&gt;""""),ROWS(FILTER(C$4:C1151,C$4:C1151&lt;&gt;""""))),$AC$5+E1152))"),"")</f>
        <v/>
      </c>
      <c r="G1152" s="10" t="str">
        <f>IFERROR(__xludf.DUMMYFUNCTION("IF(COUNTA(C1152:C1350)=0,"""",IF(C1152="""",0,IF(REGEXMATCH(C1152,""^Sell_""),-ROUNDDOWN(ROUNDUP(INDEX(Upgrades!$C$3:$C$13,MATCH(SUBSTITUTE(C1152,""Sell_"",""""),Upgrades!$B$3:$B$13,0))*1.15^(COUNTIF(C$4:C1151,SUBSTITUTE(C1152,""Sell_"",""""))-COUNTIF(C$4"&amp;":C1151,""Sell_""&amp;SUBSTITUTE(C1152,""Sell_"",""""))))/2),ROUNDUP(INDEX(Upgrades!$C$3:$C$13,MATCH(C1152,Upgrades!$B$3:$B$13,0))*1.15^(COUNTIF(C$4:C1151,C1152)-COUNTIF(C$4:C1151,""Sell_""&amp;C1152))))))"),"")</f>
        <v/>
      </c>
      <c r="H1152" s="10" t="str">
        <f t="shared" si="3"/>
        <v/>
      </c>
      <c r="I1152" s="68" t="str">
        <f t="shared" si="4"/>
        <v/>
      </c>
      <c r="J1152" s="59" t="str">
        <f t="shared" si="5"/>
        <v/>
      </c>
      <c r="K1152" s="69" t="str">
        <f t="shared" si="6"/>
        <v/>
      </c>
      <c r="L1152" s="60" t="str">
        <f t="shared" si="7"/>
        <v/>
      </c>
      <c r="M1152" s="61" t="str">
        <f>IFERROR(__xludf.DUMMYFUNCTION("IFS(AND(COUNTA(C1152:C1350)=0,COUNTA(Q1152:Q1350)=0),"""",OR(AND(K1152&gt;=1000000000,OR(Y1152&gt;=1000000000,COUNTA(Q1152:Q1350)=0)),OR(Y1152&gt;=1000000000,AND(COUNTA(C1152:C1350)=0,P$3=TRUE))),
ROUNDDOWN((AB$1-AC$1)*MAX(INDEX(T$4:T1350,MATCH(LARGE(FILTER(Y$4:Y1"&amp;"350,Y$4:Y1350&lt;1000000000),1),Y$4:Y1350)),INDEX(F$4:F1350,MATCH(LARGE(FILTER(K$4:K1350,K$4:K1350&lt;1000000000),1),K$4:K1350)))),AND(K1152&lt;1000000000,COUNTA(C1152:C1350)&gt;0,P$3=FALSE),
ROUNDDOWN(INDEX(Y$4:Y1350,MATCH(LARGE(FILTER(W$4:W1350,W$4:W1350&lt;=I1152),1)"&amp;",W$4:W1350))+(I1152-LARGE(FILTER(W$4:W1350,W$4:W1350&lt;=I1152),1))*INDEX(T$4:T1350,MATCH(LARGE(FILTER(W$4:W1350,W$4:W1350&lt;=I1152),1),W$4:W1350))-K1152),1,
ROUNDDOWN(Y1152-INDEX(K$4:K1350,MATCH(LARGE(FILTER(I$4:I1350,I$4:I1350&lt;=W1152),1),I$4:I1350))-(W1152-L"&amp;"ARGE(FILTER(I$4:I1350,I$4:I1350&lt;=W1152),1))*INDEX(F$4:F1350,MATCH(LARGE(FILTER(I$4:I1350,I$4:I1350&lt;=W1152),1),I$4:I1350))))"),"")</f>
        <v/>
      </c>
      <c r="N1152" s="60" t="str">
        <f t="shared" si="8"/>
        <v/>
      </c>
      <c r="O1152" s="61" t="str">
        <f t="shared" si="9"/>
        <v/>
      </c>
      <c r="P1152" s="56" t="str">
        <f t="shared" si="10"/>
        <v/>
      </c>
      <c r="Q1152" s="62"/>
      <c r="R1152" s="10" t="str">
        <f>IFERROR(__xludf.DUMMYFUNCTION("IF(COUNTA(Q1152:Q1350)=0,"""",IF(ISBLANK(Q1152),FALSE,IF(NOT(COUNTIF($AA$24:$AA$34,SUBSTITUTE(Q1152,""Sell_"",""""))),1,IF(REGEXMATCH(Q1152,""Sell_""),IF(COUNTIF(Q$4:Q1152,SUBSTITUTE(Q1152,""Sell_"",""""))-COUNTIF(Q$4:Q1151,Q1152)&lt;1,1),FALSE))))"),"")</f>
        <v/>
      </c>
      <c r="S1152" s="59" t="str">
        <f t="array" ref="S1152">IF(COUNTA(Q1152:Q1350)=0,"",SUM((COUNTIF(Q$4:Q1152,Upgrades!$B$3:$B$13)-COUNTIF(Q$4:Q1152,"Sell_"&amp;Upgrades!$B$3:$B$13))*Upgrades!$D$3:$D$13))</f>
        <v/>
      </c>
      <c r="T1152" s="66" t="str">
        <f>IFERROR(__xludf.DUMMYFUNCTION("IF(COUNTA(Q1152:Q1350)=0,"""",IF(REGEXMATCH(INDEX(FILTER(Q$4:Q1152,Q$4:Q1152&lt;&gt;""""),ROWS(FILTER(Q$4:Q1152,Q$4:Q1152&lt;&gt;""""))),""^Sell_""),INDEX(FILTER(T$4:T1151,Q$4:Q1151&lt;&gt;""""),ROWS(FILTER(Q$4:Q1151,Q$4:Q1151&lt;&gt;""""))),$AD$5+S1152))"),"")</f>
        <v/>
      </c>
      <c r="U1152" s="10" t="str">
        <f>IFERROR(__xludf.DUMMYFUNCTION("IF(COUNTA(Q1152:Q1350)=0,"""",IF(Q1152="""",0,IF(REGEXMATCH(Q1152,""^Sell_""),-ROUNDDOWN(ROUNDUP(INDEX(Upgrades!$C$3:$C$13,MATCH(SUBSTITUTE(Q1152,""Sell_"",""""),Upgrades!$B$3:$B$13,0))*1.15^(COUNTIF(Q$4:Q1151,SUBSTITUTE(Q1152,""Sell_"",""""))-COUNTIF(Q$4"&amp;":Q1151,""Sell_""&amp;SUBSTITUTE(Q1152,""Sell_"",""""))))/2),ROUNDUP(INDEX(Upgrades!$C$3:$C$13,MATCH(Q1152,Upgrades!$B$3:$B$13,0))*1.15^(COUNTIF(Q$4:Q1151,Q1152)-COUNTIF(Q$4:Q1151,""Sell_""&amp;Q1152))))))"),"")</f>
        <v/>
      </c>
      <c r="V1152" s="10" t="str">
        <f t="shared" si="11"/>
        <v/>
      </c>
      <c r="W1152" s="68" t="str">
        <f t="shared" si="12"/>
        <v/>
      </c>
      <c r="X1152" s="59" t="str">
        <f t="shared" si="13"/>
        <v/>
      </c>
      <c r="Y1152" s="69" t="str">
        <f t="shared" si="14"/>
        <v/>
      </c>
      <c r="Z1152" s="11"/>
    </row>
    <row r="1153">
      <c r="A1153" s="8"/>
      <c r="B1153" s="56" t="str">
        <f t="shared" si="2"/>
        <v/>
      </c>
      <c r="C1153" s="57"/>
      <c r="D1153" s="10" t="str">
        <f>IFERROR(__xludf.DUMMYFUNCTION("IF(COUNTA(C1153:C1350)=0,"""",IF(ISBLANK(C1153),FALSE,IF(NOT(COUNTIF($AA$24:$AA$34,SUBSTITUTE(C1153,""Sell_"",""""))),1,IF(REGEXMATCH(C1153,""Sell_""),IF(COUNTIF(C$4:C1153,SUBSTITUTE(C1153,""Sell_"",""""))-COUNTIF(C$4:C1152,C1153)&lt;1,1),FALSE))))"),"")</f>
        <v/>
      </c>
      <c r="E1153" s="59" t="str">
        <f t="array" ref="E1153">IF(COUNTA(C1153:C1350)=0,"",SUM((COUNTIF(C$4:C1153,Upgrades!$B$3:$B$13)-COUNTIF(C$4:C1153,"Sell_"&amp;Upgrades!$B$3:$B$13))*Upgrades!$D$3:$D$13))</f>
        <v/>
      </c>
      <c r="F1153" s="66" t="str">
        <f>IFERROR(__xludf.DUMMYFUNCTION("IF(COUNTA(C1153:C1350)=0,"""",IF(REGEXMATCH(INDEX(FILTER(C$4:C1153,C$4:C1153&lt;&gt;""""),ROWS(FILTER(C$4:C1153,C$4:C1153&lt;&gt;""""))),""^Sell_""),INDEX(FILTER(F$4:F1152,C$4:C1152&lt;&gt;""""),ROWS(FILTER(C$4:C1152,C$4:C1152&lt;&gt;""""))),$AC$5+E1153))"),"")</f>
        <v/>
      </c>
      <c r="G1153" s="10" t="str">
        <f>IFERROR(__xludf.DUMMYFUNCTION("IF(COUNTA(C1153:C1350)=0,"""",IF(C1153="""",0,IF(REGEXMATCH(C1153,""^Sell_""),-ROUNDDOWN(ROUNDUP(INDEX(Upgrades!$C$3:$C$13,MATCH(SUBSTITUTE(C1153,""Sell_"",""""),Upgrades!$B$3:$B$13,0))*1.15^(COUNTIF(C$4:C1152,SUBSTITUTE(C1153,""Sell_"",""""))-COUNTIF(C$4"&amp;":C1152,""Sell_""&amp;SUBSTITUTE(C1153,""Sell_"",""""))))/2),ROUNDUP(INDEX(Upgrades!$C$3:$C$13,MATCH(C1153,Upgrades!$B$3:$B$13,0))*1.15^(COUNTIF(C$4:C1152,C1153)-COUNTIF(C$4:C1152,""Sell_""&amp;C1153))))))"),"")</f>
        <v/>
      </c>
      <c r="H1153" s="10" t="str">
        <f t="shared" si="3"/>
        <v/>
      </c>
      <c r="I1153" s="68" t="str">
        <f t="shared" si="4"/>
        <v/>
      </c>
      <c r="J1153" s="59" t="str">
        <f t="shared" si="5"/>
        <v/>
      </c>
      <c r="K1153" s="69" t="str">
        <f t="shared" si="6"/>
        <v/>
      </c>
      <c r="L1153" s="60" t="str">
        <f t="shared" si="7"/>
        <v/>
      </c>
      <c r="M1153" s="61" t="str">
        <f>IFERROR(__xludf.DUMMYFUNCTION("IFS(AND(COUNTA(C1153:C1350)=0,COUNTA(Q1153:Q1350)=0),"""",OR(AND(K1153&gt;=1000000000,OR(Y1153&gt;=1000000000,COUNTA(Q1153:Q1350)=0)),OR(Y1153&gt;=1000000000,AND(COUNTA(C1153:C1350)=0,P$3=TRUE))),
ROUNDDOWN((AB$1-AC$1)*MAX(INDEX(T$4:T1350,MATCH(LARGE(FILTER(Y$4:Y1"&amp;"350,Y$4:Y1350&lt;1000000000),1),Y$4:Y1350)),INDEX(F$4:F1350,MATCH(LARGE(FILTER(K$4:K1350,K$4:K1350&lt;1000000000),1),K$4:K1350)))),AND(K1153&lt;1000000000,COUNTA(C1153:C1350)&gt;0,P$3=FALSE),
ROUNDDOWN(INDEX(Y$4:Y1350,MATCH(LARGE(FILTER(W$4:W1350,W$4:W1350&lt;=I1153),1)"&amp;",W$4:W1350))+(I1153-LARGE(FILTER(W$4:W1350,W$4:W1350&lt;=I1153),1))*INDEX(T$4:T1350,MATCH(LARGE(FILTER(W$4:W1350,W$4:W1350&lt;=I1153),1),W$4:W1350))-K1153),1,
ROUNDDOWN(Y1153-INDEX(K$4:K1350,MATCH(LARGE(FILTER(I$4:I1350,I$4:I1350&lt;=W1153),1),I$4:I1350))-(W1153-L"&amp;"ARGE(FILTER(I$4:I1350,I$4:I1350&lt;=W1153),1))*INDEX(F$4:F1350,MATCH(LARGE(FILTER(I$4:I1350,I$4:I1350&lt;=W1153),1),I$4:I1350))))"),"")</f>
        <v/>
      </c>
      <c r="N1153" s="60" t="str">
        <f t="shared" si="8"/>
        <v/>
      </c>
      <c r="O1153" s="61" t="str">
        <f t="shared" si="9"/>
        <v/>
      </c>
      <c r="P1153" s="56" t="str">
        <f t="shared" si="10"/>
        <v/>
      </c>
      <c r="Q1153" s="62"/>
      <c r="R1153" s="10" t="str">
        <f>IFERROR(__xludf.DUMMYFUNCTION("IF(COUNTA(Q1153:Q1350)=0,"""",IF(ISBLANK(Q1153),FALSE,IF(NOT(COUNTIF($AA$24:$AA$34,SUBSTITUTE(Q1153,""Sell_"",""""))),1,IF(REGEXMATCH(Q1153,""Sell_""),IF(COUNTIF(Q$4:Q1153,SUBSTITUTE(Q1153,""Sell_"",""""))-COUNTIF(Q$4:Q1152,Q1153)&lt;1,1),FALSE))))"),"")</f>
        <v/>
      </c>
      <c r="S1153" s="59" t="str">
        <f t="array" ref="S1153">IF(COUNTA(Q1153:Q1350)=0,"",SUM((COUNTIF(Q$4:Q1153,Upgrades!$B$3:$B$13)-COUNTIF(Q$4:Q1153,"Sell_"&amp;Upgrades!$B$3:$B$13))*Upgrades!$D$3:$D$13))</f>
        <v/>
      </c>
      <c r="T1153" s="66" t="str">
        <f>IFERROR(__xludf.DUMMYFUNCTION("IF(COUNTA(Q1153:Q1350)=0,"""",IF(REGEXMATCH(INDEX(FILTER(Q$4:Q1153,Q$4:Q1153&lt;&gt;""""),ROWS(FILTER(Q$4:Q1153,Q$4:Q1153&lt;&gt;""""))),""^Sell_""),INDEX(FILTER(T$4:T1152,Q$4:Q1152&lt;&gt;""""),ROWS(FILTER(Q$4:Q1152,Q$4:Q1152&lt;&gt;""""))),$AD$5+S1153))"),"")</f>
        <v/>
      </c>
      <c r="U1153" s="10" t="str">
        <f>IFERROR(__xludf.DUMMYFUNCTION("IF(COUNTA(Q1153:Q1350)=0,"""",IF(Q1153="""",0,IF(REGEXMATCH(Q1153,""^Sell_""),-ROUNDDOWN(ROUNDUP(INDEX(Upgrades!$C$3:$C$13,MATCH(SUBSTITUTE(Q1153,""Sell_"",""""),Upgrades!$B$3:$B$13,0))*1.15^(COUNTIF(Q$4:Q1152,SUBSTITUTE(Q1153,""Sell_"",""""))-COUNTIF(Q$4"&amp;":Q1152,""Sell_""&amp;SUBSTITUTE(Q1153,""Sell_"",""""))))/2),ROUNDUP(INDEX(Upgrades!$C$3:$C$13,MATCH(Q1153,Upgrades!$B$3:$B$13,0))*1.15^(COUNTIF(Q$4:Q1152,Q1153)-COUNTIF(Q$4:Q1152,""Sell_""&amp;Q1153))))))"),"")</f>
        <v/>
      </c>
      <c r="V1153" s="10" t="str">
        <f t="shared" si="11"/>
        <v/>
      </c>
      <c r="W1153" s="68" t="str">
        <f t="shared" si="12"/>
        <v/>
      </c>
      <c r="X1153" s="59" t="str">
        <f t="shared" si="13"/>
        <v/>
      </c>
      <c r="Y1153" s="69" t="str">
        <f t="shared" si="14"/>
        <v/>
      </c>
      <c r="Z1153" s="11"/>
    </row>
    <row r="1154">
      <c r="A1154" s="8"/>
      <c r="B1154" s="56" t="str">
        <f t="shared" si="2"/>
        <v/>
      </c>
      <c r="C1154" s="57"/>
      <c r="D1154" s="10" t="str">
        <f>IFERROR(__xludf.DUMMYFUNCTION("IF(COUNTA(C1154:C1350)=0,"""",IF(ISBLANK(C1154),FALSE,IF(NOT(COUNTIF($AA$24:$AA$34,SUBSTITUTE(C1154,""Sell_"",""""))),1,IF(REGEXMATCH(C1154,""Sell_""),IF(COUNTIF(C$4:C1154,SUBSTITUTE(C1154,""Sell_"",""""))-COUNTIF(C$4:C1153,C1154)&lt;1,1),FALSE))))"),"")</f>
        <v/>
      </c>
      <c r="E1154" s="59" t="str">
        <f t="array" ref="E1154">IF(COUNTA(C1154:C1350)=0,"",SUM((COUNTIF(C$4:C1154,Upgrades!$B$3:$B$13)-COUNTIF(C$4:C1154,"Sell_"&amp;Upgrades!$B$3:$B$13))*Upgrades!$D$3:$D$13))</f>
        <v/>
      </c>
      <c r="F1154" s="66" t="str">
        <f>IFERROR(__xludf.DUMMYFUNCTION("IF(COUNTA(C1154:C1350)=0,"""",IF(REGEXMATCH(INDEX(FILTER(C$4:C1154,C$4:C1154&lt;&gt;""""),ROWS(FILTER(C$4:C1154,C$4:C1154&lt;&gt;""""))),""^Sell_""),INDEX(FILTER(F$4:F1153,C$4:C1153&lt;&gt;""""),ROWS(FILTER(C$4:C1153,C$4:C1153&lt;&gt;""""))),$AC$5+E1154))"),"")</f>
        <v/>
      </c>
      <c r="G1154" s="10" t="str">
        <f>IFERROR(__xludf.DUMMYFUNCTION("IF(COUNTA(C1154:C1350)=0,"""",IF(C1154="""",0,IF(REGEXMATCH(C1154,""^Sell_""),-ROUNDDOWN(ROUNDUP(INDEX(Upgrades!$C$3:$C$13,MATCH(SUBSTITUTE(C1154,""Sell_"",""""),Upgrades!$B$3:$B$13,0))*1.15^(COUNTIF(C$4:C1153,SUBSTITUTE(C1154,""Sell_"",""""))-COUNTIF(C$4"&amp;":C1153,""Sell_""&amp;SUBSTITUTE(C1154,""Sell_"",""""))))/2),ROUNDUP(INDEX(Upgrades!$C$3:$C$13,MATCH(C1154,Upgrades!$B$3:$B$13,0))*1.15^(COUNTIF(C$4:C1153,C1154)-COUNTIF(C$4:C1153,""Sell_""&amp;C1154))))))"),"")</f>
        <v/>
      </c>
      <c r="H1154" s="10" t="str">
        <f t="shared" si="3"/>
        <v/>
      </c>
      <c r="I1154" s="68" t="str">
        <f t="shared" si="4"/>
        <v/>
      </c>
      <c r="J1154" s="59" t="str">
        <f t="shared" si="5"/>
        <v/>
      </c>
      <c r="K1154" s="69" t="str">
        <f t="shared" si="6"/>
        <v/>
      </c>
      <c r="L1154" s="60" t="str">
        <f t="shared" si="7"/>
        <v/>
      </c>
      <c r="M1154" s="61" t="str">
        <f>IFERROR(__xludf.DUMMYFUNCTION("IFS(AND(COUNTA(C1154:C1350)=0,COUNTA(Q1154:Q1350)=0),"""",OR(AND(K1154&gt;=1000000000,OR(Y1154&gt;=1000000000,COUNTA(Q1154:Q1350)=0)),OR(Y1154&gt;=1000000000,AND(COUNTA(C1154:C1350)=0,P$3=TRUE))),
ROUNDDOWN((AB$1-AC$1)*MAX(INDEX(T$4:T1350,MATCH(LARGE(FILTER(Y$4:Y1"&amp;"350,Y$4:Y1350&lt;1000000000),1),Y$4:Y1350)),INDEX(F$4:F1350,MATCH(LARGE(FILTER(K$4:K1350,K$4:K1350&lt;1000000000),1),K$4:K1350)))),AND(K1154&lt;1000000000,COUNTA(C1154:C1350)&gt;0,P$3=FALSE),
ROUNDDOWN(INDEX(Y$4:Y1350,MATCH(LARGE(FILTER(W$4:W1350,W$4:W1350&lt;=I1154),1)"&amp;",W$4:W1350))+(I1154-LARGE(FILTER(W$4:W1350,W$4:W1350&lt;=I1154),1))*INDEX(T$4:T1350,MATCH(LARGE(FILTER(W$4:W1350,W$4:W1350&lt;=I1154),1),W$4:W1350))-K1154),1,
ROUNDDOWN(Y1154-INDEX(K$4:K1350,MATCH(LARGE(FILTER(I$4:I1350,I$4:I1350&lt;=W1154),1),I$4:I1350))-(W1154-L"&amp;"ARGE(FILTER(I$4:I1350,I$4:I1350&lt;=W1154),1))*INDEX(F$4:F1350,MATCH(LARGE(FILTER(I$4:I1350,I$4:I1350&lt;=W1154),1),I$4:I1350))))"),"")</f>
        <v/>
      </c>
      <c r="N1154" s="60" t="str">
        <f t="shared" si="8"/>
        <v/>
      </c>
      <c r="O1154" s="61" t="str">
        <f t="shared" si="9"/>
        <v/>
      </c>
      <c r="P1154" s="56" t="str">
        <f t="shared" si="10"/>
        <v/>
      </c>
      <c r="Q1154" s="62"/>
      <c r="R1154" s="10" t="str">
        <f>IFERROR(__xludf.DUMMYFUNCTION("IF(COUNTA(Q1154:Q1350)=0,"""",IF(ISBLANK(Q1154),FALSE,IF(NOT(COUNTIF($AA$24:$AA$34,SUBSTITUTE(Q1154,""Sell_"",""""))),1,IF(REGEXMATCH(Q1154,""Sell_""),IF(COUNTIF(Q$4:Q1154,SUBSTITUTE(Q1154,""Sell_"",""""))-COUNTIF(Q$4:Q1153,Q1154)&lt;1,1),FALSE))))"),"")</f>
        <v/>
      </c>
      <c r="S1154" s="59" t="str">
        <f t="array" ref="S1154">IF(COUNTA(Q1154:Q1350)=0,"",SUM((COUNTIF(Q$4:Q1154,Upgrades!$B$3:$B$13)-COUNTIF(Q$4:Q1154,"Sell_"&amp;Upgrades!$B$3:$B$13))*Upgrades!$D$3:$D$13))</f>
        <v/>
      </c>
      <c r="T1154" s="66" t="str">
        <f>IFERROR(__xludf.DUMMYFUNCTION("IF(COUNTA(Q1154:Q1350)=0,"""",IF(REGEXMATCH(INDEX(FILTER(Q$4:Q1154,Q$4:Q1154&lt;&gt;""""),ROWS(FILTER(Q$4:Q1154,Q$4:Q1154&lt;&gt;""""))),""^Sell_""),INDEX(FILTER(T$4:T1153,Q$4:Q1153&lt;&gt;""""),ROWS(FILTER(Q$4:Q1153,Q$4:Q1153&lt;&gt;""""))),$AD$5+S1154))"),"")</f>
        <v/>
      </c>
      <c r="U1154" s="10" t="str">
        <f>IFERROR(__xludf.DUMMYFUNCTION("IF(COUNTA(Q1154:Q1350)=0,"""",IF(Q1154="""",0,IF(REGEXMATCH(Q1154,""^Sell_""),-ROUNDDOWN(ROUNDUP(INDEX(Upgrades!$C$3:$C$13,MATCH(SUBSTITUTE(Q1154,""Sell_"",""""),Upgrades!$B$3:$B$13,0))*1.15^(COUNTIF(Q$4:Q1153,SUBSTITUTE(Q1154,""Sell_"",""""))-COUNTIF(Q$4"&amp;":Q1153,""Sell_""&amp;SUBSTITUTE(Q1154,""Sell_"",""""))))/2),ROUNDUP(INDEX(Upgrades!$C$3:$C$13,MATCH(Q1154,Upgrades!$B$3:$B$13,0))*1.15^(COUNTIF(Q$4:Q1153,Q1154)-COUNTIF(Q$4:Q1153,""Sell_""&amp;Q1154))))))"),"")</f>
        <v/>
      </c>
      <c r="V1154" s="10" t="str">
        <f t="shared" si="11"/>
        <v/>
      </c>
      <c r="W1154" s="68" t="str">
        <f t="shared" si="12"/>
        <v/>
      </c>
      <c r="X1154" s="59" t="str">
        <f t="shared" si="13"/>
        <v/>
      </c>
      <c r="Y1154" s="69" t="str">
        <f t="shared" si="14"/>
        <v/>
      </c>
      <c r="Z1154" s="11"/>
    </row>
    <row r="1155">
      <c r="A1155" s="8"/>
      <c r="B1155" s="56" t="str">
        <f t="shared" si="2"/>
        <v/>
      </c>
      <c r="C1155" s="57"/>
      <c r="D1155" s="10" t="str">
        <f>IFERROR(__xludf.DUMMYFUNCTION("IF(COUNTA(C1155:C1350)=0,"""",IF(ISBLANK(C1155),FALSE,IF(NOT(COUNTIF($AA$24:$AA$34,SUBSTITUTE(C1155,""Sell_"",""""))),1,IF(REGEXMATCH(C1155,""Sell_""),IF(COUNTIF(C$4:C1155,SUBSTITUTE(C1155,""Sell_"",""""))-COUNTIF(C$4:C1154,C1155)&lt;1,1),FALSE))))"),"")</f>
        <v/>
      </c>
      <c r="E1155" s="59" t="str">
        <f t="array" ref="E1155">IF(COUNTA(C1155:C1350)=0,"",SUM((COUNTIF(C$4:C1155,Upgrades!$B$3:$B$13)-COUNTIF(C$4:C1155,"Sell_"&amp;Upgrades!$B$3:$B$13))*Upgrades!$D$3:$D$13))</f>
        <v/>
      </c>
      <c r="F1155" s="66" t="str">
        <f>IFERROR(__xludf.DUMMYFUNCTION("IF(COUNTA(C1155:C1350)=0,"""",IF(REGEXMATCH(INDEX(FILTER(C$4:C1155,C$4:C1155&lt;&gt;""""),ROWS(FILTER(C$4:C1155,C$4:C1155&lt;&gt;""""))),""^Sell_""),INDEX(FILTER(F$4:F1154,C$4:C1154&lt;&gt;""""),ROWS(FILTER(C$4:C1154,C$4:C1154&lt;&gt;""""))),$AC$5+E1155))"),"")</f>
        <v/>
      </c>
      <c r="G1155" s="10" t="str">
        <f>IFERROR(__xludf.DUMMYFUNCTION("IF(COUNTA(C1155:C1350)=0,"""",IF(C1155="""",0,IF(REGEXMATCH(C1155,""^Sell_""),-ROUNDDOWN(ROUNDUP(INDEX(Upgrades!$C$3:$C$13,MATCH(SUBSTITUTE(C1155,""Sell_"",""""),Upgrades!$B$3:$B$13,0))*1.15^(COUNTIF(C$4:C1154,SUBSTITUTE(C1155,""Sell_"",""""))-COUNTIF(C$4"&amp;":C1154,""Sell_""&amp;SUBSTITUTE(C1155,""Sell_"",""""))))/2),ROUNDUP(INDEX(Upgrades!$C$3:$C$13,MATCH(C1155,Upgrades!$B$3:$B$13,0))*1.15^(COUNTIF(C$4:C1154,C1155)-COUNTIF(C$4:C1154,""Sell_""&amp;C1155))))))"),"")</f>
        <v/>
      </c>
      <c r="H1155" s="10" t="str">
        <f t="shared" si="3"/>
        <v/>
      </c>
      <c r="I1155" s="68" t="str">
        <f t="shared" si="4"/>
        <v/>
      </c>
      <c r="J1155" s="59" t="str">
        <f t="shared" si="5"/>
        <v/>
      </c>
      <c r="K1155" s="69" t="str">
        <f t="shared" si="6"/>
        <v/>
      </c>
      <c r="L1155" s="60" t="str">
        <f t="shared" si="7"/>
        <v/>
      </c>
      <c r="M1155" s="61" t="str">
        <f>IFERROR(__xludf.DUMMYFUNCTION("IFS(AND(COUNTA(C1155:C1350)=0,COUNTA(Q1155:Q1350)=0),"""",OR(AND(K1155&gt;=1000000000,OR(Y1155&gt;=1000000000,COUNTA(Q1155:Q1350)=0)),OR(Y1155&gt;=1000000000,AND(COUNTA(C1155:C1350)=0,P$3=TRUE))),
ROUNDDOWN((AB$1-AC$1)*MAX(INDEX(T$4:T1350,MATCH(LARGE(FILTER(Y$4:Y1"&amp;"350,Y$4:Y1350&lt;1000000000),1),Y$4:Y1350)),INDEX(F$4:F1350,MATCH(LARGE(FILTER(K$4:K1350,K$4:K1350&lt;1000000000),1),K$4:K1350)))),AND(K1155&lt;1000000000,COUNTA(C1155:C1350)&gt;0,P$3=FALSE),
ROUNDDOWN(INDEX(Y$4:Y1350,MATCH(LARGE(FILTER(W$4:W1350,W$4:W1350&lt;=I1155),1)"&amp;",W$4:W1350))+(I1155-LARGE(FILTER(W$4:W1350,W$4:W1350&lt;=I1155),1))*INDEX(T$4:T1350,MATCH(LARGE(FILTER(W$4:W1350,W$4:W1350&lt;=I1155),1),W$4:W1350))-K1155),1,
ROUNDDOWN(Y1155-INDEX(K$4:K1350,MATCH(LARGE(FILTER(I$4:I1350,I$4:I1350&lt;=W1155),1),I$4:I1350))-(W1155-L"&amp;"ARGE(FILTER(I$4:I1350,I$4:I1350&lt;=W1155),1))*INDEX(F$4:F1350,MATCH(LARGE(FILTER(I$4:I1350,I$4:I1350&lt;=W1155),1),I$4:I1350))))"),"")</f>
        <v/>
      </c>
      <c r="N1155" s="60" t="str">
        <f t="shared" si="8"/>
        <v/>
      </c>
      <c r="O1155" s="61" t="str">
        <f t="shared" si="9"/>
        <v/>
      </c>
      <c r="P1155" s="56" t="str">
        <f t="shared" si="10"/>
        <v/>
      </c>
      <c r="Q1155" s="62"/>
      <c r="R1155" s="10" t="str">
        <f>IFERROR(__xludf.DUMMYFUNCTION("IF(COUNTA(Q1155:Q1350)=0,"""",IF(ISBLANK(Q1155),FALSE,IF(NOT(COUNTIF($AA$24:$AA$34,SUBSTITUTE(Q1155,""Sell_"",""""))),1,IF(REGEXMATCH(Q1155,""Sell_""),IF(COUNTIF(Q$4:Q1155,SUBSTITUTE(Q1155,""Sell_"",""""))-COUNTIF(Q$4:Q1154,Q1155)&lt;1,1),FALSE))))"),"")</f>
        <v/>
      </c>
      <c r="S1155" s="59" t="str">
        <f t="array" ref="S1155">IF(COUNTA(Q1155:Q1350)=0,"",SUM((COUNTIF(Q$4:Q1155,Upgrades!$B$3:$B$13)-COUNTIF(Q$4:Q1155,"Sell_"&amp;Upgrades!$B$3:$B$13))*Upgrades!$D$3:$D$13))</f>
        <v/>
      </c>
      <c r="T1155" s="66" t="str">
        <f>IFERROR(__xludf.DUMMYFUNCTION("IF(COUNTA(Q1155:Q1350)=0,"""",IF(REGEXMATCH(INDEX(FILTER(Q$4:Q1155,Q$4:Q1155&lt;&gt;""""),ROWS(FILTER(Q$4:Q1155,Q$4:Q1155&lt;&gt;""""))),""^Sell_""),INDEX(FILTER(T$4:T1154,Q$4:Q1154&lt;&gt;""""),ROWS(FILTER(Q$4:Q1154,Q$4:Q1154&lt;&gt;""""))),$AD$5+S1155))"),"")</f>
        <v/>
      </c>
      <c r="U1155" s="10" t="str">
        <f>IFERROR(__xludf.DUMMYFUNCTION("IF(COUNTA(Q1155:Q1350)=0,"""",IF(Q1155="""",0,IF(REGEXMATCH(Q1155,""^Sell_""),-ROUNDDOWN(ROUNDUP(INDEX(Upgrades!$C$3:$C$13,MATCH(SUBSTITUTE(Q1155,""Sell_"",""""),Upgrades!$B$3:$B$13,0))*1.15^(COUNTIF(Q$4:Q1154,SUBSTITUTE(Q1155,""Sell_"",""""))-COUNTIF(Q$4"&amp;":Q1154,""Sell_""&amp;SUBSTITUTE(Q1155,""Sell_"",""""))))/2),ROUNDUP(INDEX(Upgrades!$C$3:$C$13,MATCH(Q1155,Upgrades!$B$3:$B$13,0))*1.15^(COUNTIF(Q$4:Q1154,Q1155)-COUNTIF(Q$4:Q1154,""Sell_""&amp;Q1155))))))"),"")</f>
        <v/>
      </c>
      <c r="V1155" s="10" t="str">
        <f t="shared" si="11"/>
        <v/>
      </c>
      <c r="W1155" s="68" t="str">
        <f t="shared" si="12"/>
        <v/>
      </c>
      <c r="X1155" s="59" t="str">
        <f t="shared" si="13"/>
        <v/>
      </c>
      <c r="Y1155" s="69" t="str">
        <f t="shared" si="14"/>
        <v/>
      </c>
      <c r="Z1155" s="11"/>
    </row>
    <row r="1156">
      <c r="A1156" s="8"/>
      <c r="B1156" s="56" t="str">
        <f t="shared" si="2"/>
        <v/>
      </c>
      <c r="C1156" s="57"/>
      <c r="D1156" s="10" t="str">
        <f>IFERROR(__xludf.DUMMYFUNCTION("IF(COUNTA(C1156:C1350)=0,"""",IF(ISBLANK(C1156),FALSE,IF(NOT(COUNTIF($AA$24:$AA$34,SUBSTITUTE(C1156,""Sell_"",""""))),1,IF(REGEXMATCH(C1156,""Sell_""),IF(COUNTIF(C$4:C1156,SUBSTITUTE(C1156,""Sell_"",""""))-COUNTIF(C$4:C1155,C1156)&lt;1,1),FALSE))))"),"")</f>
        <v/>
      </c>
      <c r="E1156" s="59" t="str">
        <f t="array" ref="E1156">IF(COUNTA(C1156:C1350)=0,"",SUM((COUNTIF(C$4:C1156,Upgrades!$B$3:$B$13)-COUNTIF(C$4:C1156,"Sell_"&amp;Upgrades!$B$3:$B$13))*Upgrades!$D$3:$D$13))</f>
        <v/>
      </c>
      <c r="F1156" s="66" t="str">
        <f>IFERROR(__xludf.DUMMYFUNCTION("IF(COUNTA(C1156:C1350)=0,"""",IF(REGEXMATCH(INDEX(FILTER(C$4:C1156,C$4:C1156&lt;&gt;""""),ROWS(FILTER(C$4:C1156,C$4:C1156&lt;&gt;""""))),""^Sell_""),INDEX(FILTER(F$4:F1155,C$4:C1155&lt;&gt;""""),ROWS(FILTER(C$4:C1155,C$4:C1155&lt;&gt;""""))),$AC$5+E1156))"),"")</f>
        <v/>
      </c>
      <c r="G1156" s="10" t="str">
        <f>IFERROR(__xludf.DUMMYFUNCTION("IF(COUNTA(C1156:C1350)=0,"""",IF(C1156="""",0,IF(REGEXMATCH(C1156,""^Sell_""),-ROUNDDOWN(ROUNDUP(INDEX(Upgrades!$C$3:$C$13,MATCH(SUBSTITUTE(C1156,""Sell_"",""""),Upgrades!$B$3:$B$13,0))*1.15^(COUNTIF(C$4:C1155,SUBSTITUTE(C1156,""Sell_"",""""))-COUNTIF(C$4"&amp;":C1155,""Sell_""&amp;SUBSTITUTE(C1156,""Sell_"",""""))))/2),ROUNDUP(INDEX(Upgrades!$C$3:$C$13,MATCH(C1156,Upgrades!$B$3:$B$13,0))*1.15^(COUNTIF(C$4:C1155,C1156)-COUNTIF(C$4:C1155,""Sell_""&amp;C1156))))))"),"")</f>
        <v/>
      </c>
      <c r="H1156" s="10" t="str">
        <f t="shared" si="3"/>
        <v/>
      </c>
      <c r="I1156" s="68" t="str">
        <f t="shared" si="4"/>
        <v/>
      </c>
      <c r="J1156" s="59" t="str">
        <f t="shared" si="5"/>
        <v/>
      </c>
      <c r="K1156" s="69" t="str">
        <f t="shared" si="6"/>
        <v/>
      </c>
      <c r="L1156" s="60" t="str">
        <f t="shared" si="7"/>
        <v/>
      </c>
      <c r="M1156" s="61" t="str">
        <f>IFERROR(__xludf.DUMMYFUNCTION("IFS(AND(COUNTA(C1156:C1350)=0,COUNTA(Q1156:Q1350)=0),"""",OR(AND(K1156&gt;=1000000000,OR(Y1156&gt;=1000000000,COUNTA(Q1156:Q1350)=0)),OR(Y1156&gt;=1000000000,AND(COUNTA(C1156:C1350)=0,P$3=TRUE))),
ROUNDDOWN((AB$1-AC$1)*MAX(INDEX(T$4:T1350,MATCH(LARGE(FILTER(Y$4:Y1"&amp;"350,Y$4:Y1350&lt;1000000000),1),Y$4:Y1350)),INDEX(F$4:F1350,MATCH(LARGE(FILTER(K$4:K1350,K$4:K1350&lt;1000000000),1),K$4:K1350)))),AND(K1156&lt;1000000000,COUNTA(C1156:C1350)&gt;0,P$3=FALSE),
ROUNDDOWN(INDEX(Y$4:Y1350,MATCH(LARGE(FILTER(W$4:W1350,W$4:W1350&lt;=I1156),1)"&amp;",W$4:W1350))+(I1156-LARGE(FILTER(W$4:W1350,W$4:W1350&lt;=I1156),1))*INDEX(T$4:T1350,MATCH(LARGE(FILTER(W$4:W1350,W$4:W1350&lt;=I1156),1),W$4:W1350))-K1156),1,
ROUNDDOWN(Y1156-INDEX(K$4:K1350,MATCH(LARGE(FILTER(I$4:I1350,I$4:I1350&lt;=W1156),1),I$4:I1350))-(W1156-L"&amp;"ARGE(FILTER(I$4:I1350,I$4:I1350&lt;=W1156),1))*INDEX(F$4:F1350,MATCH(LARGE(FILTER(I$4:I1350,I$4:I1350&lt;=W1156),1),I$4:I1350))))"),"")</f>
        <v/>
      </c>
      <c r="N1156" s="60" t="str">
        <f t="shared" si="8"/>
        <v/>
      </c>
      <c r="O1156" s="61" t="str">
        <f t="shared" si="9"/>
        <v/>
      </c>
      <c r="P1156" s="56" t="str">
        <f t="shared" si="10"/>
        <v/>
      </c>
      <c r="Q1156" s="62"/>
      <c r="R1156" s="10" t="str">
        <f>IFERROR(__xludf.DUMMYFUNCTION("IF(COUNTA(Q1156:Q1350)=0,"""",IF(ISBLANK(Q1156),FALSE,IF(NOT(COUNTIF($AA$24:$AA$34,SUBSTITUTE(Q1156,""Sell_"",""""))),1,IF(REGEXMATCH(Q1156,""Sell_""),IF(COUNTIF(Q$4:Q1156,SUBSTITUTE(Q1156,""Sell_"",""""))-COUNTIF(Q$4:Q1155,Q1156)&lt;1,1),FALSE))))"),"")</f>
        <v/>
      </c>
      <c r="S1156" s="59" t="str">
        <f t="array" ref="S1156">IF(COUNTA(Q1156:Q1350)=0,"",SUM((COUNTIF(Q$4:Q1156,Upgrades!$B$3:$B$13)-COUNTIF(Q$4:Q1156,"Sell_"&amp;Upgrades!$B$3:$B$13))*Upgrades!$D$3:$D$13))</f>
        <v/>
      </c>
      <c r="T1156" s="66" t="str">
        <f>IFERROR(__xludf.DUMMYFUNCTION("IF(COUNTA(Q1156:Q1350)=0,"""",IF(REGEXMATCH(INDEX(FILTER(Q$4:Q1156,Q$4:Q1156&lt;&gt;""""),ROWS(FILTER(Q$4:Q1156,Q$4:Q1156&lt;&gt;""""))),""^Sell_""),INDEX(FILTER(T$4:T1155,Q$4:Q1155&lt;&gt;""""),ROWS(FILTER(Q$4:Q1155,Q$4:Q1155&lt;&gt;""""))),$AD$5+S1156))"),"")</f>
        <v/>
      </c>
      <c r="U1156" s="10" t="str">
        <f>IFERROR(__xludf.DUMMYFUNCTION("IF(COUNTA(Q1156:Q1350)=0,"""",IF(Q1156="""",0,IF(REGEXMATCH(Q1156,""^Sell_""),-ROUNDDOWN(ROUNDUP(INDEX(Upgrades!$C$3:$C$13,MATCH(SUBSTITUTE(Q1156,""Sell_"",""""),Upgrades!$B$3:$B$13,0))*1.15^(COUNTIF(Q$4:Q1155,SUBSTITUTE(Q1156,""Sell_"",""""))-COUNTIF(Q$4"&amp;":Q1155,""Sell_""&amp;SUBSTITUTE(Q1156,""Sell_"",""""))))/2),ROUNDUP(INDEX(Upgrades!$C$3:$C$13,MATCH(Q1156,Upgrades!$B$3:$B$13,0))*1.15^(COUNTIF(Q$4:Q1155,Q1156)-COUNTIF(Q$4:Q1155,""Sell_""&amp;Q1156))))))"),"")</f>
        <v/>
      </c>
      <c r="V1156" s="10" t="str">
        <f t="shared" si="11"/>
        <v/>
      </c>
      <c r="W1156" s="68" t="str">
        <f t="shared" si="12"/>
        <v/>
      </c>
      <c r="X1156" s="59" t="str">
        <f t="shared" si="13"/>
        <v/>
      </c>
      <c r="Y1156" s="69" t="str">
        <f t="shared" si="14"/>
        <v/>
      </c>
      <c r="Z1156" s="11"/>
    </row>
    <row r="1157">
      <c r="A1157" s="8"/>
      <c r="B1157" s="56" t="str">
        <f t="shared" si="2"/>
        <v/>
      </c>
      <c r="C1157" s="57"/>
      <c r="D1157" s="10" t="str">
        <f>IFERROR(__xludf.DUMMYFUNCTION("IF(COUNTA(C1157:C1350)=0,"""",IF(ISBLANK(C1157),FALSE,IF(NOT(COUNTIF($AA$24:$AA$34,SUBSTITUTE(C1157,""Sell_"",""""))),1,IF(REGEXMATCH(C1157,""Sell_""),IF(COUNTIF(C$4:C1157,SUBSTITUTE(C1157,""Sell_"",""""))-COUNTIF(C$4:C1156,C1157)&lt;1,1),FALSE))))"),"")</f>
        <v/>
      </c>
      <c r="E1157" s="59" t="str">
        <f t="array" ref="E1157">IF(COUNTA(C1157:C1350)=0,"",SUM((COUNTIF(C$4:C1157,Upgrades!$B$3:$B$13)-COUNTIF(C$4:C1157,"Sell_"&amp;Upgrades!$B$3:$B$13))*Upgrades!$D$3:$D$13))</f>
        <v/>
      </c>
      <c r="F1157" s="66" t="str">
        <f>IFERROR(__xludf.DUMMYFUNCTION("IF(COUNTA(C1157:C1350)=0,"""",IF(REGEXMATCH(INDEX(FILTER(C$4:C1157,C$4:C1157&lt;&gt;""""),ROWS(FILTER(C$4:C1157,C$4:C1157&lt;&gt;""""))),""^Sell_""),INDEX(FILTER(F$4:F1156,C$4:C1156&lt;&gt;""""),ROWS(FILTER(C$4:C1156,C$4:C1156&lt;&gt;""""))),$AC$5+E1157))"),"")</f>
        <v/>
      </c>
      <c r="G1157" s="10" t="str">
        <f>IFERROR(__xludf.DUMMYFUNCTION("IF(COUNTA(C1157:C1350)=0,"""",IF(C1157="""",0,IF(REGEXMATCH(C1157,""^Sell_""),-ROUNDDOWN(ROUNDUP(INDEX(Upgrades!$C$3:$C$13,MATCH(SUBSTITUTE(C1157,""Sell_"",""""),Upgrades!$B$3:$B$13,0))*1.15^(COUNTIF(C$4:C1156,SUBSTITUTE(C1157,""Sell_"",""""))-COUNTIF(C$4"&amp;":C1156,""Sell_""&amp;SUBSTITUTE(C1157,""Sell_"",""""))))/2),ROUNDUP(INDEX(Upgrades!$C$3:$C$13,MATCH(C1157,Upgrades!$B$3:$B$13,0))*1.15^(COUNTIF(C$4:C1156,C1157)-COUNTIF(C$4:C1156,""Sell_""&amp;C1157))))))"),"")</f>
        <v/>
      </c>
      <c r="H1157" s="10" t="str">
        <f t="shared" si="3"/>
        <v/>
      </c>
      <c r="I1157" s="68" t="str">
        <f t="shared" si="4"/>
        <v/>
      </c>
      <c r="J1157" s="59" t="str">
        <f t="shared" si="5"/>
        <v/>
      </c>
      <c r="K1157" s="69" t="str">
        <f t="shared" si="6"/>
        <v/>
      </c>
      <c r="L1157" s="60" t="str">
        <f t="shared" si="7"/>
        <v/>
      </c>
      <c r="M1157" s="61" t="str">
        <f>IFERROR(__xludf.DUMMYFUNCTION("IFS(AND(COUNTA(C1157:C1350)=0,COUNTA(Q1157:Q1350)=0),"""",OR(AND(K1157&gt;=1000000000,OR(Y1157&gt;=1000000000,COUNTA(Q1157:Q1350)=0)),OR(Y1157&gt;=1000000000,AND(COUNTA(C1157:C1350)=0,P$3=TRUE))),
ROUNDDOWN((AB$1-AC$1)*MAX(INDEX(T$4:T1350,MATCH(LARGE(FILTER(Y$4:Y1"&amp;"350,Y$4:Y1350&lt;1000000000),1),Y$4:Y1350)),INDEX(F$4:F1350,MATCH(LARGE(FILTER(K$4:K1350,K$4:K1350&lt;1000000000),1),K$4:K1350)))),AND(K1157&lt;1000000000,COUNTA(C1157:C1350)&gt;0,P$3=FALSE),
ROUNDDOWN(INDEX(Y$4:Y1350,MATCH(LARGE(FILTER(W$4:W1350,W$4:W1350&lt;=I1157),1)"&amp;",W$4:W1350))+(I1157-LARGE(FILTER(W$4:W1350,W$4:W1350&lt;=I1157),1))*INDEX(T$4:T1350,MATCH(LARGE(FILTER(W$4:W1350,W$4:W1350&lt;=I1157),1),W$4:W1350))-K1157),1,
ROUNDDOWN(Y1157-INDEX(K$4:K1350,MATCH(LARGE(FILTER(I$4:I1350,I$4:I1350&lt;=W1157),1),I$4:I1350))-(W1157-L"&amp;"ARGE(FILTER(I$4:I1350,I$4:I1350&lt;=W1157),1))*INDEX(F$4:F1350,MATCH(LARGE(FILTER(I$4:I1350,I$4:I1350&lt;=W1157),1),I$4:I1350))))"),"")</f>
        <v/>
      </c>
      <c r="N1157" s="60" t="str">
        <f t="shared" si="8"/>
        <v/>
      </c>
      <c r="O1157" s="61" t="str">
        <f t="shared" si="9"/>
        <v/>
      </c>
      <c r="P1157" s="56" t="str">
        <f t="shared" si="10"/>
        <v/>
      </c>
      <c r="Q1157" s="62"/>
      <c r="R1157" s="10" t="str">
        <f>IFERROR(__xludf.DUMMYFUNCTION("IF(COUNTA(Q1157:Q1350)=0,"""",IF(ISBLANK(Q1157),FALSE,IF(NOT(COUNTIF($AA$24:$AA$34,SUBSTITUTE(Q1157,""Sell_"",""""))),1,IF(REGEXMATCH(Q1157,""Sell_""),IF(COUNTIF(Q$4:Q1157,SUBSTITUTE(Q1157,""Sell_"",""""))-COUNTIF(Q$4:Q1156,Q1157)&lt;1,1),FALSE))))"),"")</f>
        <v/>
      </c>
      <c r="S1157" s="59" t="str">
        <f t="array" ref="S1157">IF(COUNTA(Q1157:Q1350)=0,"",SUM((COUNTIF(Q$4:Q1157,Upgrades!$B$3:$B$13)-COUNTIF(Q$4:Q1157,"Sell_"&amp;Upgrades!$B$3:$B$13))*Upgrades!$D$3:$D$13))</f>
        <v/>
      </c>
      <c r="T1157" s="66" t="str">
        <f>IFERROR(__xludf.DUMMYFUNCTION("IF(COUNTA(Q1157:Q1350)=0,"""",IF(REGEXMATCH(INDEX(FILTER(Q$4:Q1157,Q$4:Q1157&lt;&gt;""""),ROWS(FILTER(Q$4:Q1157,Q$4:Q1157&lt;&gt;""""))),""^Sell_""),INDEX(FILTER(T$4:T1156,Q$4:Q1156&lt;&gt;""""),ROWS(FILTER(Q$4:Q1156,Q$4:Q1156&lt;&gt;""""))),$AD$5+S1157))"),"")</f>
        <v/>
      </c>
      <c r="U1157" s="10" t="str">
        <f>IFERROR(__xludf.DUMMYFUNCTION("IF(COUNTA(Q1157:Q1350)=0,"""",IF(Q1157="""",0,IF(REGEXMATCH(Q1157,""^Sell_""),-ROUNDDOWN(ROUNDUP(INDEX(Upgrades!$C$3:$C$13,MATCH(SUBSTITUTE(Q1157,""Sell_"",""""),Upgrades!$B$3:$B$13,0))*1.15^(COUNTIF(Q$4:Q1156,SUBSTITUTE(Q1157,""Sell_"",""""))-COUNTIF(Q$4"&amp;":Q1156,""Sell_""&amp;SUBSTITUTE(Q1157,""Sell_"",""""))))/2),ROUNDUP(INDEX(Upgrades!$C$3:$C$13,MATCH(Q1157,Upgrades!$B$3:$B$13,0))*1.15^(COUNTIF(Q$4:Q1156,Q1157)-COUNTIF(Q$4:Q1156,""Sell_""&amp;Q1157))))))"),"")</f>
        <v/>
      </c>
      <c r="V1157" s="10" t="str">
        <f t="shared" si="11"/>
        <v/>
      </c>
      <c r="W1157" s="68" t="str">
        <f t="shared" si="12"/>
        <v/>
      </c>
      <c r="X1157" s="59" t="str">
        <f t="shared" si="13"/>
        <v/>
      </c>
      <c r="Y1157" s="69" t="str">
        <f t="shared" si="14"/>
        <v/>
      </c>
      <c r="Z1157" s="11"/>
    </row>
    <row r="1158">
      <c r="A1158" s="8"/>
      <c r="B1158" s="56" t="str">
        <f t="shared" si="2"/>
        <v/>
      </c>
      <c r="C1158" s="57"/>
      <c r="D1158" s="10" t="str">
        <f>IFERROR(__xludf.DUMMYFUNCTION("IF(COUNTA(C1158:C1350)=0,"""",IF(ISBLANK(C1158),FALSE,IF(NOT(COUNTIF($AA$24:$AA$34,SUBSTITUTE(C1158,""Sell_"",""""))),1,IF(REGEXMATCH(C1158,""Sell_""),IF(COUNTIF(C$4:C1158,SUBSTITUTE(C1158,""Sell_"",""""))-COUNTIF(C$4:C1157,C1158)&lt;1,1),FALSE))))"),"")</f>
        <v/>
      </c>
      <c r="E1158" s="59" t="str">
        <f t="array" ref="E1158">IF(COUNTA(C1158:C1350)=0,"",SUM((COUNTIF(C$4:C1158,Upgrades!$B$3:$B$13)-COUNTIF(C$4:C1158,"Sell_"&amp;Upgrades!$B$3:$B$13))*Upgrades!$D$3:$D$13))</f>
        <v/>
      </c>
      <c r="F1158" s="66" t="str">
        <f>IFERROR(__xludf.DUMMYFUNCTION("IF(COUNTA(C1158:C1350)=0,"""",IF(REGEXMATCH(INDEX(FILTER(C$4:C1158,C$4:C1158&lt;&gt;""""),ROWS(FILTER(C$4:C1158,C$4:C1158&lt;&gt;""""))),""^Sell_""),INDEX(FILTER(F$4:F1157,C$4:C1157&lt;&gt;""""),ROWS(FILTER(C$4:C1157,C$4:C1157&lt;&gt;""""))),$AC$5+E1158))"),"")</f>
        <v/>
      </c>
      <c r="G1158" s="10" t="str">
        <f>IFERROR(__xludf.DUMMYFUNCTION("IF(COUNTA(C1158:C1350)=0,"""",IF(C1158="""",0,IF(REGEXMATCH(C1158,""^Sell_""),-ROUNDDOWN(ROUNDUP(INDEX(Upgrades!$C$3:$C$13,MATCH(SUBSTITUTE(C1158,""Sell_"",""""),Upgrades!$B$3:$B$13,0))*1.15^(COUNTIF(C$4:C1157,SUBSTITUTE(C1158,""Sell_"",""""))-COUNTIF(C$4"&amp;":C1157,""Sell_""&amp;SUBSTITUTE(C1158,""Sell_"",""""))))/2),ROUNDUP(INDEX(Upgrades!$C$3:$C$13,MATCH(C1158,Upgrades!$B$3:$B$13,0))*1.15^(COUNTIF(C$4:C1157,C1158)-COUNTIF(C$4:C1157,""Sell_""&amp;C1158))))))"),"")</f>
        <v/>
      </c>
      <c r="H1158" s="10" t="str">
        <f t="shared" si="3"/>
        <v/>
      </c>
      <c r="I1158" s="68" t="str">
        <f t="shared" si="4"/>
        <v/>
      </c>
      <c r="J1158" s="59" t="str">
        <f t="shared" si="5"/>
        <v/>
      </c>
      <c r="K1158" s="69" t="str">
        <f t="shared" si="6"/>
        <v/>
      </c>
      <c r="L1158" s="60" t="str">
        <f t="shared" si="7"/>
        <v/>
      </c>
      <c r="M1158" s="61" t="str">
        <f>IFERROR(__xludf.DUMMYFUNCTION("IFS(AND(COUNTA(C1158:C1350)=0,COUNTA(Q1158:Q1350)=0),"""",OR(AND(K1158&gt;=1000000000,OR(Y1158&gt;=1000000000,COUNTA(Q1158:Q1350)=0)),OR(Y1158&gt;=1000000000,AND(COUNTA(C1158:C1350)=0,P$3=TRUE))),
ROUNDDOWN((AB$1-AC$1)*MAX(INDEX(T$4:T1350,MATCH(LARGE(FILTER(Y$4:Y1"&amp;"350,Y$4:Y1350&lt;1000000000),1),Y$4:Y1350)),INDEX(F$4:F1350,MATCH(LARGE(FILTER(K$4:K1350,K$4:K1350&lt;1000000000),1),K$4:K1350)))),AND(K1158&lt;1000000000,COUNTA(C1158:C1350)&gt;0,P$3=FALSE),
ROUNDDOWN(INDEX(Y$4:Y1350,MATCH(LARGE(FILTER(W$4:W1350,W$4:W1350&lt;=I1158),1)"&amp;",W$4:W1350))+(I1158-LARGE(FILTER(W$4:W1350,W$4:W1350&lt;=I1158),1))*INDEX(T$4:T1350,MATCH(LARGE(FILTER(W$4:W1350,W$4:W1350&lt;=I1158),1),W$4:W1350))-K1158),1,
ROUNDDOWN(Y1158-INDEX(K$4:K1350,MATCH(LARGE(FILTER(I$4:I1350,I$4:I1350&lt;=W1158),1),I$4:I1350))-(W1158-L"&amp;"ARGE(FILTER(I$4:I1350,I$4:I1350&lt;=W1158),1))*INDEX(F$4:F1350,MATCH(LARGE(FILTER(I$4:I1350,I$4:I1350&lt;=W1158),1),I$4:I1350))))"),"")</f>
        <v/>
      </c>
      <c r="N1158" s="60" t="str">
        <f t="shared" si="8"/>
        <v/>
      </c>
      <c r="O1158" s="61" t="str">
        <f t="shared" si="9"/>
        <v/>
      </c>
      <c r="P1158" s="56" t="str">
        <f t="shared" si="10"/>
        <v/>
      </c>
      <c r="Q1158" s="62"/>
      <c r="R1158" s="10" t="str">
        <f>IFERROR(__xludf.DUMMYFUNCTION("IF(COUNTA(Q1158:Q1350)=0,"""",IF(ISBLANK(Q1158),FALSE,IF(NOT(COUNTIF($AA$24:$AA$34,SUBSTITUTE(Q1158,""Sell_"",""""))),1,IF(REGEXMATCH(Q1158,""Sell_""),IF(COUNTIF(Q$4:Q1158,SUBSTITUTE(Q1158,""Sell_"",""""))-COUNTIF(Q$4:Q1157,Q1158)&lt;1,1),FALSE))))"),"")</f>
        <v/>
      </c>
      <c r="S1158" s="59" t="str">
        <f t="array" ref="S1158">IF(COUNTA(Q1158:Q1350)=0,"",SUM((COUNTIF(Q$4:Q1158,Upgrades!$B$3:$B$13)-COUNTIF(Q$4:Q1158,"Sell_"&amp;Upgrades!$B$3:$B$13))*Upgrades!$D$3:$D$13))</f>
        <v/>
      </c>
      <c r="T1158" s="66" t="str">
        <f>IFERROR(__xludf.DUMMYFUNCTION("IF(COUNTA(Q1158:Q1350)=0,"""",IF(REGEXMATCH(INDEX(FILTER(Q$4:Q1158,Q$4:Q1158&lt;&gt;""""),ROWS(FILTER(Q$4:Q1158,Q$4:Q1158&lt;&gt;""""))),""^Sell_""),INDEX(FILTER(T$4:T1157,Q$4:Q1157&lt;&gt;""""),ROWS(FILTER(Q$4:Q1157,Q$4:Q1157&lt;&gt;""""))),$AD$5+S1158))"),"")</f>
        <v/>
      </c>
      <c r="U1158" s="10" t="str">
        <f>IFERROR(__xludf.DUMMYFUNCTION("IF(COUNTA(Q1158:Q1350)=0,"""",IF(Q1158="""",0,IF(REGEXMATCH(Q1158,""^Sell_""),-ROUNDDOWN(ROUNDUP(INDEX(Upgrades!$C$3:$C$13,MATCH(SUBSTITUTE(Q1158,""Sell_"",""""),Upgrades!$B$3:$B$13,0))*1.15^(COUNTIF(Q$4:Q1157,SUBSTITUTE(Q1158,""Sell_"",""""))-COUNTIF(Q$4"&amp;":Q1157,""Sell_""&amp;SUBSTITUTE(Q1158,""Sell_"",""""))))/2),ROUNDUP(INDEX(Upgrades!$C$3:$C$13,MATCH(Q1158,Upgrades!$B$3:$B$13,0))*1.15^(COUNTIF(Q$4:Q1157,Q1158)-COUNTIF(Q$4:Q1157,""Sell_""&amp;Q1158))))))"),"")</f>
        <v/>
      </c>
      <c r="V1158" s="10" t="str">
        <f t="shared" si="11"/>
        <v/>
      </c>
      <c r="W1158" s="68" t="str">
        <f t="shared" si="12"/>
        <v/>
      </c>
      <c r="X1158" s="59" t="str">
        <f t="shared" si="13"/>
        <v/>
      </c>
      <c r="Y1158" s="69" t="str">
        <f t="shared" si="14"/>
        <v/>
      </c>
      <c r="Z1158" s="11"/>
    </row>
    <row r="1159">
      <c r="A1159" s="8"/>
      <c r="B1159" s="56" t="str">
        <f t="shared" si="2"/>
        <v/>
      </c>
      <c r="C1159" s="57"/>
      <c r="D1159" s="10" t="str">
        <f>IFERROR(__xludf.DUMMYFUNCTION("IF(COUNTA(C1159:C1350)=0,"""",IF(ISBLANK(C1159),FALSE,IF(NOT(COUNTIF($AA$24:$AA$34,SUBSTITUTE(C1159,""Sell_"",""""))),1,IF(REGEXMATCH(C1159,""Sell_""),IF(COUNTIF(C$4:C1159,SUBSTITUTE(C1159,""Sell_"",""""))-COUNTIF(C$4:C1158,C1159)&lt;1,1),FALSE))))"),"")</f>
        <v/>
      </c>
      <c r="E1159" s="59" t="str">
        <f t="array" ref="E1159">IF(COUNTA(C1159:C1350)=0,"",SUM((COUNTIF(C$4:C1159,Upgrades!$B$3:$B$13)-COUNTIF(C$4:C1159,"Sell_"&amp;Upgrades!$B$3:$B$13))*Upgrades!$D$3:$D$13))</f>
        <v/>
      </c>
      <c r="F1159" s="66" t="str">
        <f>IFERROR(__xludf.DUMMYFUNCTION("IF(COUNTA(C1159:C1350)=0,"""",IF(REGEXMATCH(INDEX(FILTER(C$4:C1159,C$4:C1159&lt;&gt;""""),ROWS(FILTER(C$4:C1159,C$4:C1159&lt;&gt;""""))),""^Sell_""),INDEX(FILTER(F$4:F1158,C$4:C1158&lt;&gt;""""),ROWS(FILTER(C$4:C1158,C$4:C1158&lt;&gt;""""))),$AC$5+E1159))"),"")</f>
        <v/>
      </c>
      <c r="G1159" s="10" t="str">
        <f>IFERROR(__xludf.DUMMYFUNCTION("IF(COUNTA(C1159:C1350)=0,"""",IF(C1159="""",0,IF(REGEXMATCH(C1159,""^Sell_""),-ROUNDDOWN(ROUNDUP(INDEX(Upgrades!$C$3:$C$13,MATCH(SUBSTITUTE(C1159,""Sell_"",""""),Upgrades!$B$3:$B$13,0))*1.15^(COUNTIF(C$4:C1158,SUBSTITUTE(C1159,""Sell_"",""""))-COUNTIF(C$4"&amp;":C1158,""Sell_""&amp;SUBSTITUTE(C1159,""Sell_"",""""))))/2),ROUNDUP(INDEX(Upgrades!$C$3:$C$13,MATCH(C1159,Upgrades!$B$3:$B$13,0))*1.15^(COUNTIF(C$4:C1158,C1159)-COUNTIF(C$4:C1158,""Sell_""&amp;C1159))))))"),"")</f>
        <v/>
      </c>
      <c r="H1159" s="10" t="str">
        <f t="shared" si="3"/>
        <v/>
      </c>
      <c r="I1159" s="68" t="str">
        <f t="shared" si="4"/>
        <v/>
      </c>
      <c r="J1159" s="59" t="str">
        <f t="shared" si="5"/>
        <v/>
      </c>
      <c r="K1159" s="69" t="str">
        <f t="shared" si="6"/>
        <v/>
      </c>
      <c r="L1159" s="60" t="str">
        <f t="shared" si="7"/>
        <v/>
      </c>
      <c r="M1159" s="61" t="str">
        <f>IFERROR(__xludf.DUMMYFUNCTION("IFS(AND(COUNTA(C1159:C1350)=0,COUNTA(Q1159:Q1350)=0),"""",OR(AND(K1159&gt;=1000000000,OR(Y1159&gt;=1000000000,COUNTA(Q1159:Q1350)=0)),OR(Y1159&gt;=1000000000,AND(COUNTA(C1159:C1350)=0,P$3=TRUE))),
ROUNDDOWN((AB$1-AC$1)*MAX(INDEX(T$4:T1350,MATCH(LARGE(FILTER(Y$4:Y1"&amp;"350,Y$4:Y1350&lt;1000000000),1),Y$4:Y1350)),INDEX(F$4:F1350,MATCH(LARGE(FILTER(K$4:K1350,K$4:K1350&lt;1000000000),1),K$4:K1350)))),AND(K1159&lt;1000000000,COUNTA(C1159:C1350)&gt;0,P$3=FALSE),
ROUNDDOWN(INDEX(Y$4:Y1350,MATCH(LARGE(FILTER(W$4:W1350,W$4:W1350&lt;=I1159),1)"&amp;",W$4:W1350))+(I1159-LARGE(FILTER(W$4:W1350,W$4:W1350&lt;=I1159),1))*INDEX(T$4:T1350,MATCH(LARGE(FILTER(W$4:W1350,W$4:W1350&lt;=I1159),1),W$4:W1350))-K1159),1,
ROUNDDOWN(Y1159-INDEX(K$4:K1350,MATCH(LARGE(FILTER(I$4:I1350,I$4:I1350&lt;=W1159),1),I$4:I1350))-(W1159-L"&amp;"ARGE(FILTER(I$4:I1350,I$4:I1350&lt;=W1159),1))*INDEX(F$4:F1350,MATCH(LARGE(FILTER(I$4:I1350,I$4:I1350&lt;=W1159),1),I$4:I1350))))"),"")</f>
        <v/>
      </c>
      <c r="N1159" s="60" t="str">
        <f t="shared" si="8"/>
        <v/>
      </c>
      <c r="O1159" s="61" t="str">
        <f t="shared" si="9"/>
        <v/>
      </c>
      <c r="P1159" s="56" t="str">
        <f t="shared" si="10"/>
        <v/>
      </c>
      <c r="Q1159" s="62"/>
      <c r="R1159" s="10" t="str">
        <f>IFERROR(__xludf.DUMMYFUNCTION("IF(COUNTA(Q1159:Q1350)=0,"""",IF(ISBLANK(Q1159),FALSE,IF(NOT(COUNTIF($AA$24:$AA$34,SUBSTITUTE(Q1159,""Sell_"",""""))),1,IF(REGEXMATCH(Q1159,""Sell_""),IF(COUNTIF(Q$4:Q1159,SUBSTITUTE(Q1159,""Sell_"",""""))-COUNTIF(Q$4:Q1158,Q1159)&lt;1,1),FALSE))))"),"")</f>
        <v/>
      </c>
      <c r="S1159" s="59" t="str">
        <f t="array" ref="S1159">IF(COUNTA(Q1159:Q1350)=0,"",SUM((COUNTIF(Q$4:Q1159,Upgrades!$B$3:$B$13)-COUNTIF(Q$4:Q1159,"Sell_"&amp;Upgrades!$B$3:$B$13))*Upgrades!$D$3:$D$13))</f>
        <v/>
      </c>
      <c r="T1159" s="66" t="str">
        <f>IFERROR(__xludf.DUMMYFUNCTION("IF(COUNTA(Q1159:Q1350)=0,"""",IF(REGEXMATCH(INDEX(FILTER(Q$4:Q1159,Q$4:Q1159&lt;&gt;""""),ROWS(FILTER(Q$4:Q1159,Q$4:Q1159&lt;&gt;""""))),""^Sell_""),INDEX(FILTER(T$4:T1158,Q$4:Q1158&lt;&gt;""""),ROWS(FILTER(Q$4:Q1158,Q$4:Q1158&lt;&gt;""""))),$AD$5+S1159))"),"")</f>
        <v/>
      </c>
      <c r="U1159" s="10" t="str">
        <f>IFERROR(__xludf.DUMMYFUNCTION("IF(COUNTA(Q1159:Q1350)=0,"""",IF(Q1159="""",0,IF(REGEXMATCH(Q1159,""^Sell_""),-ROUNDDOWN(ROUNDUP(INDEX(Upgrades!$C$3:$C$13,MATCH(SUBSTITUTE(Q1159,""Sell_"",""""),Upgrades!$B$3:$B$13,0))*1.15^(COUNTIF(Q$4:Q1158,SUBSTITUTE(Q1159,""Sell_"",""""))-COUNTIF(Q$4"&amp;":Q1158,""Sell_""&amp;SUBSTITUTE(Q1159,""Sell_"",""""))))/2),ROUNDUP(INDEX(Upgrades!$C$3:$C$13,MATCH(Q1159,Upgrades!$B$3:$B$13,0))*1.15^(COUNTIF(Q$4:Q1158,Q1159)-COUNTIF(Q$4:Q1158,""Sell_""&amp;Q1159))))))"),"")</f>
        <v/>
      </c>
      <c r="V1159" s="10" t="str">
        <f t="shared" si="11"/>
        <v/>
      </c>
      <c r="W1159" s="68" t="str">
        <f t="shared" si="12"/>
        <v/>
      </c>
      <c r="X1159" s="59" t="str">
        <f t="shared" si="13"/>
        <v/>
      </c>
      <c r="Y1159" s="69" t="str">
        <f t="shared" si="14"/>
        <v/>
      </c>
      <c r="Z1159" s="11"/>
    </row>
    <row r="1160">
      <c r="A1160" s="8"/>
      <c r="B1160" s="56" t="str">
        <f t="shared" si="2"/>
        <v/>
      </c>
      <c r="C1160" s="57"/>
      <c r="D1160" s="10" t="str">
        <f>IFERROR(__xludf.DUMMYFUNCTION("IF(COUNTA(C1160:C1350)=0,"""",IF(ISBLANK(C1160),FALSE,IF(NOT(COUNTIF($AA$24:$AA$34,SUBSTITUTE(C1160,""Sell_"",""""))),1,IF(REGEXMATCH(C1160,""Sell_""),IF(COUNTIF(C$4:C1160,SUBSTITUTE(C1160,""Sell_"",""""))-COUNTIF(C$4:C1159,C1160)&lt;1,1),FALSE))))"),"")</f>
        <v/>
      </c>
      <c r="E1160" s="59" t="str">
        <f t="array" ref="E1160">IF(COUNTA(C1160:C1350)=0,"",SUM((COUNTIF(C$4:C1160,Upgrades!$B$3:$B$13)-COUNTIF(C$4:C1160,"Sell_"&amp;Upgrades!$B$3:$B$13))*Upgrades!$D$3:$D$13))</f>
        <v/>
      </c>
      <c r="F1160" s="66" t="str">
        <f>IFERROR(__xludf.DUMMYFUNCTION("IF(COUNTA(C1160:C1350)=0,"""",IF(REGEXMATCH(INDEX(FILTER(C$4:C1160,C$4:C1160&lt;&gt;""""),ROWS(FILTER(C$4:C1160,C$4:C1160&lt;&gt;""""))),""^Sell_""),INDEX(FILTER(F$4:F1159,C$4:C1159&lt;&gt;""""),ROWS(FILTER(C$4:C1159,C$4:C1159&lt;&gt;""""))),$AC$5+E1160))"),"")</f>
        <v/>
      </c>
      <c r="G1160" s="10" t="str">
        <f>IFERROR(__xludf.DUMMYFUNCTION("IF(COUNTA(C1160:C1350)=0,"""",IF(C1160="""",0,IF(REGEXMATCH(C1160,""^Sell_""),-ROUNDDOWN(ROUNDUP(INDEX(Upgrades!$C$3:$C$13,MATCH(SUBSTITUTE(C1160,""Sell_"",""""),Upgrades!$B$3:$B$13,0))*1.15^(COUNTIF(C$4:C1159,SUBSTITUTE(C1160,""Sell_"",""""))-COUNTIF(C$4"&amp;":C1159,""Sell_""&amp;SUBSTITUTE(C1160,""Sell_"",""""))))/2),ROUNDUP(INDEX(Upgrades!$C$3:$C$13,MATCH(C1160,Upgrades!$B$3:$B$13,0))*1.15^(COUNTIF(C$4:C1159,C1160)-COUNTIF(C$4:C1159,""Sell_""&amp;C1160))))))"),"")</f>
        <v/>
      </c>
      <c r="H1160" s="10" t="str">
        <f t="shared" si="3"/>
        <v/>
      </c>
      <c r="I1160" s="68" t="str">
        <f t="shared" si="4"/>
        <v/>
      </c>
      <c r="J1160" s="59" t="str">
        <f t="shared" si="5"/>
        <v/>
      </c>
      <c r="K1160" s="69" t="str">
        <f t="shared" si="6"/>
        <v/>
      </c>
      <c r="L1160" s="60" t="str">
        <f t="shared" si="7"/>
        <v/>
      </c>
      <c r="M1160" s="61" t="str">
        <f>IFERROR(__xludf.DUMMYFUNCTION("IFS(AND(COUNTA(C1160:C1350)=0,COUNTA(Q1160:Q1350)=0),"""",OR(AND(K1160&gt;=1000000000,OR(Y1160&gt;=1000000000,COUNTA(Q1160:Q1350)=0)),OR(Y1160&gt;=1000000000,AND(COUNTA(C1160:C1350)=0,P$3=TRUE))),
ROUNDDOWN((AB$1-AC$1)*MAX(INDEX(T$4:T1350,MATCH(LARGE(FILTER(Y$4:Y1"&amp;"350,Y$4:Y1350&lt;1000000000),1),Y$4:Y1350)),INDEX(F$4:F1350,MATCH(LARGE(FILTER(K$4:K1350,K$4:K1350&lt;1000000000),1),K$4:K1350)))),AND(K1160&lt;1000000000,COUNTA(C1160:C1350)&gt;0,P$3=FALSE),
ROUNDDOWN(INDEX(Y$4:Y1350,MATCH(LARGE(FILTER(W$4:W1350,W$4:W1350&lt;=I1160),1)"&amp;",W$4:W1350))+(I1160-LARGE(FILTER(W$4:W1350,W$4:W1350&lt;=I1160),1))*INDEX(T$4:T1350,MATCH(LARGE(FILTER(W$4:W1350,W$4:W1350&lt;=I1160),1),W$4:W1350))-K1160),1,
ROUNDDOWN(Y1160-INDEX(K$4:K1350,MATCH(LARGE(FILTER(I$4:I1350,I$4:I1350&lt;=W1160),1),I$4:I1350))-(W1160-L"&amp;"ARGE(FILTER(I$4:I1350,I$4:I1350&lt;=W1160),1))*INDEX(F$4:F1350,MATCH(LARGE(FILTER(I$4:I1350,I$4:I1350&lt;=W1160),1),I$4:I1350))))"),"")</f>
        <v/>
      </c>
      <c r="N1160" s="60" t="str">
        <f t="shared" si="8"/>
        <v/>
      </c>
      <c r="O1160" s="61" t="str">
        <f t="shared" si="9"/>
        <v/>
      </c>
      <c r="P1160" s="56" t="str">
        <f t="shared" si="10"/>
        <v/>
      </c>
      <c r="Q1160" s="62"/>
      <c r="R1160" s="10" t="str">
        <f>IFERROR(__xludf.DUMMYFUNCTION("IF(COUNTA(Q1160:Q1350)=0,"""",IF(ISBLANK(Q1160),FALSE,IF(NOT(COUNTIF($AA$24:$AA$34,SUBSTITUTE(Q1160,""Sell_"",""""))),1,IF(REGEXMATCH(Q1160,""Sell_""),IF(COUNTIF(Q$4:Q1160,SUBSTITUTE(Q1160,""Sell_"",""""))-COUNTIF(Q$4:Q1159,Q1160)&lt;1,1),FALSE))))"),"")</f>
        <v/>
      </c>
      <c r="S1160" s="59" t="str">
        <f t="array" ref="S1160">IF(COUNTA(Q1160:Q1350)=0,"",SUM((COUNTIF(Q$4:Q1160,Upgrades!$B$3:$B$13)-COUNTIF(Q$4:Q1160,"Sell_"&amp;Upgrades!$B$3:$B$13))*Upgrades!$D$3:$D$13))</f>
        <v/>
      </c>
      <c r="T1160" s="66" t="str">
        <f>IFERROR(__xludf.DUMMYFUNCTION("IF(COUNTA(Q1160:Q1350)=0,"""",IF(REGEXMATCH(INDEX(FILTER(Q$4:Q1160,Q$4:Q1160&lt;&gt;""""),ROWS(FILTER(Q$4:Q1160,Q$4:Q1160&lt;&gt;""""))),""^Sell_""),INDEX(FILTER(T$4:T1159,Q$4:Q1159&lt;&gt;""""),ROWS(FILTER(Q$4:Q1159,Q$4:Q1159&lt;&gt;""""))),$AD$5+S1160))"),"")</f>
        <v/>
      </c>
      <c r="U1160" s="10" t="str">
        <f>IFERROR(__xludf.DUMMYFUNCTION("IF(COUNTA(Q1160:Q1350)=0,"""",IF(Q1160="""",0,IF(REGEXMATCH(Q1160,""^Sell_""),-ROUNDDOWN(ROUNDUP(INDEX(Upgrades!$C$3:$C$13,MATCH(SUBSTITUTE(Q1160,""Sell_"",""""),Upgrades!$B$3:$B$13,0))*1.15^(COUNTIF(Q$4:Q1159,SUBSTITUTE(Q1160,""Sell_"",""""))-COUNTIF(Q$4"&amp;":Q1159,""Sell_""&amp;SUBSTITUTE(Q1160,""Sell_"",""""))))/2),ROUNDUP(INDEX(Upgrades!$C$3:$C$13,MATCH(Q1160,Upgrades!$B$3:$B$13,0))*1.15^(COUNTIF(Q$4:Q1159,Q1160)-COUNTIF(Q$4:Q1159,""Sell_""&amp;Q1160))))))"),"")</f>
        <v/>
      </c>
      <c r="V1160" s="10" t="str">
        <f t="shared" si="11"/>
        <v/>
      </c>
      <c r="W1160" s="68" t="str">
        <f t="shared" si="12"/>
        <v/>
      </c>
      <c r="X1160" s="59" t="str">
        <f t="shared" si="13"/>
        <v/>
      </c>
      <c r="Y1160" s="69" t="str">
        <f t="shared" si="14"/>
        <v/>
      </c>
      <c r="Z1160" s="11"/>
    </row>
    <row r="1161">
      <c r="A1161" s="8"/>
      <c r="B1161" s="56" t="str">
        <f t="shared" si="2"/>
        <v/>
      </c>
      <c r="C1161" s="57"/>
      <c r="D1161" s="10" t="str">
        <f>IFERROR(__xludf.DUMMYFUNCTION("IF(COUNTA(C1161:C1350)=0,"""",IF(ISBLANK(C1161),FALSE,IF(NOT(COUNTIF($AA$24:$AA$34,SUBSTITUTE(C1161,""Sell_"",""""))),1,IF(REGEXMATCH(C1161,""Sell_""),IF(COUNTIF(C$4:C1161,SUBSTITUTE(C1161,""Sell_"",""""))-COUNTIF(C$4:C1160,C1161)&lt;1,1),FALSE))))"),"")</f>
        <v/>
      </c>
      <c r="E1161" s="59" t="str">
        <f t="array" ref="E1161">IF(COUNTA(C1161:C1350)=0,"",SUM((COUNTIF(C$4:C1161,Upgrades!$B$3:$B$13)-COUNTIF(C$4:C1161,"Sell_"&amp;Upgrades!$B$3:$B$13))*Upgrades!$D$3:$D$13))</f>
        <v/>
      </c>
      <c r="F1161" s="66" t="str">
        <f>IFERROR(__xludf.DUMMYFUNCTION("IF(COUNTA(C1161:C1350)=0,"""",IF(REGEXMATCH(INDEX(FILTER(C$4:C1161,C$4:C1161&lt;&gt;""""),ROWS(FILTER(C$4:C1161,C$4:C1161&lt;&gt;""""))),""^Sell_""),INDEX(FILTER(F$4:F1160,C$4:C1160&lt;&gt;""""),ROWS(FILTER(C$4:C1160,C$4:C1160&lt;&gt;""""))),$AC$5+E1161))"),"")</f>
        <v/>
      </c>
      <c r="G1161" s="10" t="str">
        <f>IFERROR(__xludf.DUMMYFUNCTION("IF(COUNTA(C1161:C1350)=0,"""",IF(C1161="""",0,IF(REGEXMATCH(C1161,""^Sell_""),-ROUNDDOWN(ROUNDUP(INDEX(Upgrades!$C$3:$C$13,MATCH(SUBSTITUTE(C1161,""Sell_"",""""),Upgrades!$B$3:$B$13,0))*1.15^(COUNTIF(C$4:C1160,SUBSTITUTE(C1161,""Sell_"",""""))-COUNTIF(C$4"&amp;":C1160,""Sell_""&amp;SUBSTITUTE(C1161,""Sell_"",""""))))/2),ROUNDUP(INDEX(Upgrades!$C$3:$C$13,MATCH(C1161,Upgrades!$B$3:$B$13,0))*1.15^(COUNTIF(C$4:C1160,C1161)-COUNTIF(C$4:C1160,""Sell_""&amp;C1161))))))"),"")</f>
        <v/>
      </c>
      <c r="H1161" s="10" t="str">
        <f t="shared" si="3"/>
        <v/>
      </c>
      <c r="I1161" s="68" t="str">
        <f t="shared" si="4"/>
        <v/>
      </c>
      <c r="J1161" s="59" t="str">
        <f t="shared" si="5"/>
        <v/>
      </c>
      <c r="K1161" s="69" t="str">
        <f t="shared" si="6"/>
        <v/>
      </c>
      <c r="L1161" s="60" t="str">
        <f t="shared" si="7"/>
        <v/>
      </c>
      <c r="M1161" s="61" t="str">
        <f>IFERROR(__xludf.DUMMYFUNCTION("IFS(AND(COUNTA(C1161:C1350)=0,COUNTA(Q1161:Q1350)=0),"""",OR(AND(K1161&gt;=1000000000,OR(Y1161&gt;=1000000000,COUNTA(Q1161:Q1350)=0)),OR(Y1161&gt;=1000000000,AND(COUNTA(C1161:C1350)=0,P$3=TRUE))),
ROUNDDOWN((AB$1-AC$1)*MAX(INDEX(T$4:T1350,MATCH(LARGE(FILTER(Y$4:Y1"&amp;"350,Y$4:Y1350&lt;1000000000),1),Y$4:Y1350)),INDEX(F$4:F1350,MATCH(LARGE(FILTER(K$4:K1350,K$4:K1350&lt;1000000000),1),K$4:K1350)))),AND(K1161&lt;1000000000,COUNTA(C1161:C1350)&gt;0,P$3=FALSE),
ROUNDDOWN(INDEX(Y$4:Y1350,MATCH(LARGE(FILTER(W$4:W1350,W$4:W1350&lt;=I1161),1)"&amp;",W$4:W1350))+(I1161-LARGE(FILTER(W$4:W1350,W$4:W1350&lt;=I1161),1))*INDEX(T$4:T1350,MATCH(LARGE(FILTER(W$4:W1350,W$4:W1350&lt;=I1161),1),W$4:W1350))-K1161),1,
ROUNDDOWN(Y1161-INDEX(K$4:K1350,MATCH(LARGE(FILTER(I$4:I1350,I$4:I1350&lt;=W1161),1),I$4:I1350))-(W1161-L"&amp;"ARGE(FILTER(I$4:I1350,I$4:I1350&lt;=W1161),1))*INDEX(F$4:F1350,MATCH(LARGE(FILTER(I$4:I1350,I$4:I1350&lt;=W1161),1),I$4:I1350))))"),"")</f>
        <v/>
      </c>
      <c r="N1161" s="60" t="str">
        <f t="shared" si="8"/>
        <v/>
      </c>
      <c r="O1161" s="61" t="str">
        <f t="shared" si="9"/>
        <v/>
      </c>
      <c r="P1161" s="56" t="str">
        <f t="shared" si="10"/>
        <v/>
      </c>
      <c r="Q1161" s="62"/>
      <c r="R1161" s="10" t="str">
        <f>IFERROR(__xludf.DUMMYFUNCTION("IF(COUNTA(Q1161:Q1350)=0,"""",IF(ISBLANK(Q1161),FALSE,IF(NOT(COUNTIF($AA$24:$AA$34,SUBSTITUTE(Q1161,""Sell_"",""""))),1,IF(REGEXMATCH(Q1161,""Sell_""),IF(COUNTIF(Q$4:Q1161,SUBSTITUTE(Q1161,""Sell_"",""""))-COUNTIF(Q$4:Q1160,Q1161)&lt;1,1),FALSE))))"),"")</f>
        <v/>
      </c>
      <c r="S1161" s="59" t="str">
        <f t="array" ref="S1161">IF(COUNTA(Q1161:Q1350)=0,"",SUM((COUNTIF(Q$4:Q1161,Upgrades!$B$3:$B$13)-COUNTIF(Q$4:Q1161,"Sell_"&amp;Upgrades!$B$3:$B$13))*Upgrades!$D$3:$D$13))</f>
        <v/>
      </c>
      <c r="T1161" s="66" t="str">
        <f>IFERROR(__xludf.DUMMYFUNCTION("IF(COUNTA(Q1161:Q1350)=0,"""",IF(REGEXMATCH(INDEX(FILTER(Q$4:Q1161,Q$4:Q1161&lt;&gt;""""),ROWS(FILTER(Q$4:Q1161,Q$4:Q1161&lt;&gt;""""))),""^Sell_""),INDEX(FILTER(T$4:T1160,Q$4:Q1160&lt;&gt;""""),ROWS(FILTER(Q$4:Q1160,Q$4:Q1160&lt;&gt;""""))),$AD$5+S1161))"),"")</f>
        <v/>
      </c>
      <c r="U1161" s="10" t="str">
        <f>IFERROR(__xludf.DUMMYFUNCTION("IF(COUNTA(Q1161:Q1350)=0,"""",IF(Q1161="""",0,IF(REGEXMATCH(Q1161,""^Sell_""),-ROUNDDOWN(ROUNDUP(INDEX(Upgrades!$C$3:$C$13,MATCH(SUBSTITUTE(Q1161,""Sell_"",""""),Upgrades!$B$3:$B$13,0))*1.15^(COUNTIF(Q$4:Q1160,SUBSTITUTE(Q1161,""Sell_"",""""))-COUNTIF(Q$4"&amp;":Q1160,""Sell_""&amp;SUBSTITUTE(Q1161,""Sell_"",""""))))/2),ROUNDUP(INDEX(Upgrades!$C$3:$C$13,MATCH(Q1161,Upgrades!$B$3:$B$13,0))*1.15^(COUNTIF(Q$4:Q1160,Q1161)-COUNTIF(Q$4:Q1160,""Sell_""&amp;Q1161))))))"),"")</f>
        <v/>
      </c>
      <c r="V1161" s="10" t="str">
        <f t="shared" si="11"/>
        <v/>
      </c>
      <c r="W1161" s="68" t="str">
        <f t="shared" si="12"/>
        <v/>
      </c>
      <c r="X1161" s="59" t="str">
        <f t="shared" si="13"/>
        <v/>
      </c>
      <c r="Y1161" s="69" t="str">
        <f t="shared" si="14"/>
        <v/>
      </c>
      <c r="Z1161" s="11"/>
    </row>
    <row r="1162">
      <c r="A1162" s="8"/>
      <c r="B1162" s="56" t="str">
        <f t="shared" si="2"/>
        <v/>
      </c>
      <c r="C1162" s="57"/>
      <c r="D1162" s="10" t="str">
        <f>IFERROR(__xludf.DUMMYFUNCTION("IF(COUNTA(C1162:C1350)=0,"""",IF(ISBLANK(C1162),FALSE,IF(NOT(COUNTIF($AA$24:$AA$34,SUBSTITUTE(C1162,""Sell_"",""""))),1,IF(REGEXMATCH(C1162,""Sell_""),IF(COUNTIF(C$4:C1162,SUBSTITUTE(C1162,""Sell_"",""""))-COUNTIF(C$4:C1161,C1162)&lt;1,1),FALSE))))"),"")</f>
        <v/>
      </c>
      <c r="E1162" s="59" t="str">
        <f t="array" ref="E1162">IF(COUNTA(C1162:C1350)=0,"",SUM((COUNTIF(C$4:C1162,Upgrades!$B$3:$B$13)-COUNTIF(C$4:C1162,"Sell_"&amp;Upgrades!$B$3:$B$13))*Upgrades!$D$3:$D$13))</f>
        <v/>
      </c>
      <c r="F1162" s="66" t="str">
        <f>IFERROR(__xludf.DUMMYFUNCTION("IF(COUNTA(C1162:C1350)=0,"""",IF(REGEXMATCH(INDEX(FILTER(C$4:C1162,C$4:C1162&lt;&gt;""""),ROWS(FILTER(C$4:C1162,C$4:C1162&lt;&gt;""""))),""^Sell_""),INDEX(FILTER(F$4:F1161,C$4:C1161&lt;&gt;""""),ROWS(FILTER(C$4:C1161,C$4:C1161&lt;&gt;""""))),$AC$5+E1162))"),"")</f>
        <v/>
      </c>
      <c r="G1162" s="10" t="str">
        <f>IFERROR(__xludf.DUMMYFUNCTION("IF(COUNTA(C1162:C1350)=0,"""",IF(C1162="""",0,IF(REGEXMATCH(C1162,""^Sell_""),-ROUNDDOWN(ROUNDUP(INDEX(Upgrades!$C$3:$C$13,MATCH(SUBSTITUTE(C1162,""Sell_"",""""),Upgrades!$B$3:$B$13,0))*1.15^(COUNTIF(C$4:C1161,SUBSTITUTE(C1162,""Sell_"",""""))-COUNTIF(C$4"&amp;":C1161,""Sell_""&amp;SUBSTITUTE(C1162,""Sell_"",""""))))/2),ROUNDUP(INDEX(Upgrades!$C$3:$C$13,MATCH(C1162,Upgrades!$B$3:$B$13,0))*1.15^(COUNTIF(C$4:C1161,C1162)-COUNTIF(C$4:C1161,""Sell_""&amp;C1162))))))"),"")</f>
        <v/>
      </c>
      <c r="H1162" s="10" t="str">
        <f t="shared" si="3"/>
        <v/>
      </c>
      <c r="I1162" s="68" t="str">
        <f t="shared" si="4"/>
        <v/>
      </c>
      <c r="J1162" s="59" t="str">
        <f t="shared" si="5"/>
        <v/>
      </c>
      <c r="K1162" s="69" t="str">
        <f t="shared" si="6"/>
        <v/>
      </c>
      <c r="L1162" s="60" t="str">
        <f t="shared" si="7"/>
        <v/>
      </c>
      <c r="M1162" s="61" t="str">
        <f>IFERROR(__xludf.DUMMYFUNCTION("IFS(AND(COUNTA(C1162:C1350)=0,COUNTA(Q1162:Q1350)=0),"""",OR(AND(K1162&gt;=1000000000,OR(Y1162&gt;=1000000000,COUNTA(Q1162:Q1350)=0)),OR(Y1162&gt;=1000000000,AND(COUNTA(C1162:C1350)=0,P$3=TRUE))),
ROUNDDOWN((AB$1-AC$1)*MAX(INDEX(T$4:T1350,MATCH(LARGE(FILTER(Y$4:Y1"&amp;"350,Y$4:Y1350&lt;1000000000),1),Y$4:Y1350)),INDEX(F$4:F1350,MATCH(LARGE(FILTER(K$4:K1350,K$4:K1350&lt;1000000000),1),K$4:K1350)))),AND(K1162&lt;1000000000,COUNTA(C1162:C1350)&gt;0,P$3=FALSE),
ROUNDDOWN(INDEX(Y$4:Y1350,MATCH(LARGE(FILTER(W$4:W1350,W$4:W1350&lt;=I1162),1)"&amp;",W$4:W1350))+(I1162-LARGE(FILTER(W$4:W1350,W$4:W1350&lt;=I1162),1))*INDEX(T$4:T1350,MATCH(LARGE(FILTER(W$4:W1350,W$4:W1350&lt;=I1162),1),W$4:W1350))-K1162),1,
ROUNDDOWN(Y1162-INDEX(K$4:K1350,MATCH(LARGE(FILTER(I$4:I1350,I$4:I1350&lt;=W1162),1),I$4:I1350))-(W1162-L"&amp;"ARGE(FILTER(I$4:I1350,I$4:I1350&lt;=W1162),1))*INDEX(F$4:F1350,MATCH(LARGE(FILTER(I$4:I1350,I$4:I1350&lt;=W1162),1),I$4:I1350))))"),"")</f>
        <v/>
      </c>
      <c r="N1162" s="60" t="str">
        <f t="shared" si="8"/>
        <v/>
      </c>
      <c r="O1162" s="61" t="str">
        <f t="shared" si="9"/>
        <v/>
      </c>
      <c r="P1162" s="56" t="str">
        <f t="shared" si="10"/>
        <v/>
      </c>
      <c r="Q1162" s="62"/>
      <c r="R1162" s="10" t="str">
        <f>IFERROR(__xludf.DUMMYFUNCTION("IF(COUNTA(Q1162:Q1350)=0,"""",IF(ISBLANK(Q1162),FALSE,IF(NOT(COUNTIF($AA$24:$AA$34,SUBSTITUTE(Q1162,""Sell_"",""""))),1,IF(REGEXMATCH(Q1162,""Sell_""),IF(COUNTIF(Q$4:Q1162,SUBSTITUTE(Q1162,""Sell_"",""""))-COUNTIF(Q$4:Q1161,Q1162)&lt;1,1),FALSE))))"),"")</f>
        <v/>
      </c>
      <c r="S1162" s="59" t="str">
        <f t="array" ref="S1162">IF(COUNTA(Q1162:Q1350)=0,"",SUM((COUNTIF(Q$4:Q1162,Upgrades!$B$3:$B$13)-COUNTIF(Q$4:Q1162,"Sell_"&amp;Upgrades!$B$3:$B$13))*Upgrades!$D$3:$D$13))</f>
        <v/>
      </c>
      <c r="T1162" s="66" t="str">
        <f>IFERROR(__xludf.DUMMYFUNCTION("IF(COUNTA(Q1162:Q1350)=0,"""",IF(REGEXMATCH(INDEX(FILTER(Q$4:Q1162,Q$4:Q1162&lt;&gt;""""),ROWS(FILTER(Q$4:Q1162,Q$4:Q1162&lt;&gt;""""))),""^Sell_""),INDEX(FILTER(T$4:T1161,Q$4:Q1161&lt;&gt;""""),ROWS(FILTER(Q$4:Q1161,Q$4:Q1161&lt;&gt;""""))),$AD$5+S1162))"),"")</f>
        <v/>
      </c>
      <c r="U1162" s="10" t="str">
        <f>IFERROR(__xludf.DUMMYFUNCTION("IF(COUNTA(Q1162:Q1350)=0,"""",IF(Q1162="""",0,IF(REGEXMATCH(Q1162,""^Sell_""),-ROUNDDOWN(ROUNDUP(INDEX(Upgrades!$C$3:$C$13,MATCH(SUBSTITUTE(Q1162,""Sell_"",""""),Upgrades!$B$3:$B$13,0))*1.15^(COUNTIF(Q$4:Q1161,SUBSTITUTE(Q1162,""Sell_"",""""))-COUNTIF(Q$4"&amp;":Q1161,""Sell_""&amp;SUBSTITUTE(Q1162,""Sell_"",""""))))/2),ROUNDUP(INDEX(Upgrades!$C$3:$C$13,MATCH(Q1162,Upgrades!$B$3:$B$13,0))*1.15^(COUNTIF(Q$4:Q1161,Q1162)-COUNTIF(Q$4:Q1161,""Sell_""&amp;Q1162))))))"),"")</f>
        <v/>
      </c>
      <c r="V1162" s="10" t="str">
        <f t="shared" si="11"/>
        <v/>
      </c>
      <c r="W1162" s="68" t="str">
        <f t="shared" si="12"/>
        <v/>
      </c>
      <c r="X1162" s="59" t="str">
        <f t="shared" si="13"/>
        <v/>
      </c>
      <c r="Y1162" s="69" t="str">
        <f t="shared" si="14"/>
        <v/>
      </c>
      <c r="Z1162" s="11"/>
    </row>
    <row r="1163">
      <c r="A1163" s="8"/>
      <c r="B1163" s="56" t="str">
        <f t="shared" si="2"/>
        <v/>
      </c>
      <c r="C1163" s="57"/>
      <c r="D1163" s="10" t="str">
        <f>IFERROR(__xludf.DUMMYFUNCTION("IF(COUNTA(C1163:C1350)=0,"""",IF(ISBLANK(C1163),FALSE,IF(NOT(COUNTIF($AA$24:$AA$34,SUBSTITUTE(C1163,""Sell_"",""""))),1,IF(REGEXMATCH(C1163,""Sell_""),IF(COUNTIF(C$4:C1163,SUBSTITUTE(C1163,""Sell_"",""""))-COUNTIF(C$4:C1162,C1163)&lt;1,1),FALSE))))"),"")</f>
        <v/>
      </c>
      <c r="E1163" s="59" t="str">
        <f t="array" ref="E1163">IF(COUNTA(C1163:C1350)=0,"",SUM((COUNTIF(C$4:C1163,Upgrades!$B$3:$B$13)-COUNTIF(C$4:C1163,"Sell_"&amp;Upgrades!$B$3:$B$13))*Upgrades!$D$3:$D$13))</f>
        <v/>
      </c>
      <c r="F1163" s="66" t="str">
        <f>IFERROR(__xludf.DUMMYFUNCTION("IF(COUNTA(C1163:C1350)=0,"""",IF(REGEXMATCH(INDEX(FILTER(C$4:C1163,C$4:C1163&lt;&gt;""""),ROWS(FILTER(C$4:C1163,C$4:C1163&lt;&gt;""""))),""^Sell_""),INDEX(FILTER(F$4:F1162,C$4:C1162&lt;&gt;""""),ROWS(FILTER(C$4:C1162,C$4:C1162&lt;&gt;""""))),$AC$5+E1163))"),"")</f>
        <v/>
      </c>
      <c r="G1163" s="10" t="str">
        <f>IFERROR(__xludf.DUMMYFUNCTION("IF(COUNTA(C1163:C1350)=0,"""",IF(C1163="""",0,IF(REGEXMATCH(C1163,""^Sell_""),-ROUNDDOWN(ROUNDUP(INDEX(Upgrades!$C$3:$C$13,MATCH(SUBSTITUTE(C1163,""Sell_"",""""),Upgrades!$B$3:$B$13,0))*1.15^(COUNTIF(C$4:C1162,SUBSTITUTE(C1163,""Sell_"",""""))-COUNTIF(C$4"&amp;":C1162,""Sell_""&amp;SUBSTITUTE(C1163,""Sell_"",""""))))/2),ROUNDUP(INDEX(Upgrades!$C$3:$C$13,MATCH(C1163,Upgrades!$B$3:$B$13,0))*1.15^(COUNTIF(C$4:C1162,C1163)-COUNTIF(C$4:C1162,""Sell_""&amp;C1163))))))"),"")</f>
        <v/>
      </c>
      <c r="H1163" s="10" t="str">
        <f t="shared" si="3"/>
        <v/>
      </c>
      <c r="I1163" s="68" t="str">
        <f t="shared" si="4"/>
        <v/>
      </c>
      <c r="J1163" s="59" t="str">
        <f t="shared" si="5"/>
        <v/>
      </c>
      <c r="K1163" s="69" t="str">
        <f t="shared" si="6"/>
        <v/>
      </c>
      <c r="L1163" s="60" t="str">
        <f t="shared" si="7"/>
        <v/>
      </c>
      <c r="M1163" s="61" t="str">
        <f>IFERROR(__xludf.DUMMYFUNCTION("IFS(AND(COUNTA(C1163:C1350)=0,COUNTA(Q1163:Q1350)=0),"""",OR(AND(K1163&gt;=1000000000,OR(Y1163&gt;=1000000000,COUNTA(Q1163:Q1350)=0)),OR(Y1163&gt;=1000000000,AND(COUNTA(C1163:C1350)=0,P$3=TRUE))),
ROUNDDOWN((AB$1-AC$1)*MAX(INDEX(T$4:T1350,MATCH(LARGE(FILTER(Y$4:Y1"&amp;"350,Y$4:Y1350&lt;1000000000),1),Y$4:Y1350)),INDEX(F$4:F1350,MATCH(LARGE(FILTER(K$4:K1350,K$4:K1350&lt;1000000000),1),K$4:K1350)))),AND(K1163&lt;1000000000,COUNTA(C1163:C1350)&gt;0,P$3=FALSE),
ROUNDDOWN(INDEX(Y$4:Y1350,MATCH(LARGE(FILTER(W$4:W1350,W$4:W1350&lt;=I1163),1)"&amp;",W$4:W1350))+(I1163-LARGE(FILTER(W$4:W1350,W$4:W1350&lt;=I1163),1))*INDEX(T$4:T1350,MATCH(LARGE(FILTER(W$4:W1350,W$4:W1350&lt;=I1163),1),W$4:W1350))-K1163),1,
ROUNDDOWN(Y1163-INDEX(K$4:K1350,MATCH(LARGE(FILTER(I$4:I1350,I$4:I1350&lt;=W1163),1),I$4:I1350))-(W1163-L"&amp;"ARGE(FILTER(I$4:I1350,I$4:I1350&lt;=W1163),1))*INDEX(F$4:F1350,MATCH(LARGE(FILTER(I$4:I1350,I$4:I1350&lt;=W1163),1),I$4:I1350))))"),"")</f>
        <v/>
      </c>
      <c r="N1163" s="60" t="str">
        <f t="shared" si="8"/>
        <v/>
      </c>
      <c r="O1163" s="61" t="str">
        <f t="shared" si="9"/>
        <v/>
      </c>
      <c r="P1163" s="56" t="str">
        <f t="shared" si="10"/>
        <v/>
      </c>
      <c r="Q1163" s="62"/>
      <c r="R1163" s="10" t="str">
        <f>IFERROR(__xludf.DUMMYFUNCTION("IF(COUNTA(Q1163:Q1350)=0,"""",IF(ISBLANK(Q1163),FALSE,IF(NOT(COUNTIF($AA$24:$AA$34,SUBSTITUTE(Q1163,""Sell_"",""""))),1,IF(REGEXMATCH(Q1163,""Sell_""),IF(COUNTIF(Q$4:Q1163,SUBSTITUTE(Q1163,""Sell_"",""""))-COUNTIF(Q$4:Q1162,Q1163)&lt;1,1),FALSE))))"),"")</f>
        <v/>
      </c>
      <c r="S1163" s="59" t="str">
        <f t="array" ref="S1163">IF(COUNTA(Q1163:Q1350)=0,"",SUM((COUNTIF(Q$4:Q1163,Upgrades!$B$3:$B$13)-COUNTIF(Q$4:Q1163,"Sell_"&amp;Upgrades!$B$3:$B$13))*Upgrades!$D$3:$D$13))</f>
        <v/>
      </c>
      <c r="T1163" s="66" t="str">
        <f>IFERROR(__xludf.DUMMYFUNCTION("IF(COUNTA(Q1163:Q1350)=0,"""",IF(REGEXMATCH(INDEX(FILTER(Q$4:Q1163,Q$4:Q1163&lt;&gt;""""),ROWS(FILTER(Q$4:Q1163,Q$4:Q1163&lt;&gt;""""))),""^Sell_""),INDEX(FILTER(T$4:T1162,Q$4:Q1162&lt;&gt;""""),ROWS(FILTER(Q$4:Q1162,Q$4:Q1162&lt;&gt;""""))),$AD$5+S1163))"),"")</f>
        <v/>
      </c>
      <c r="U1163" s="10" t="str">
        <f>IFERROR(__xludf.DUMMYFUNCTION("IF(COUNTA(Q1163:Q1350)=0,"""",IF(Q1163="""",0,IF(REGEXMATCH(Q1163,""^Sell_""),-ROUNDDOWN(ROUNDUP(INDEX(Upgrades!$C$3:$C$13,MATCH(SUBSTITUTE(Q1163,""Sell_"",""""),Upgrades!$B$3:$B$13,0))*1.15^(COUNTIF(Q$4:Q1162,SUBSTITUTE(Q1163,""Sell_"",""""))-COUNTIF(Q$4"&amp;":Q1162,""Sell_""&amp;SUBSTITUTE(Q1163,""Sell_"",""""))))/2),ROUNDUP(INDEX(Upgrades!$C$3:$C$13,MATCH(Q1163,Upgrades!$B$3:$B$13,0))*1.15^(COUNTIF(Q$4:Q1162,Q1163)-COUNTIF(Q$4:Q1162,""Sell_""&amp;Q1163))))))"),"")</f>
        <v/>
      </c>
      <c r="V1163" s="10" t="str">
        <f t="shared" si="11"/>
        <v/>
      </c>
      <c r="W1163" s="68" t="str">
        <f t="shared" si="12"/>
        <v/>
      </c>
      <c r="X1163" s="59" t="str">
        <f t="shared" si="13"/>
        <v/>
      </c>
      <c r="Y1163" s="69" t="str">
        <f t="shared" si="14"/>
        <v/>
      </c>
      <c r="Z1163" s="11"/>
    </row>
    <row r="1164">
      <c r="A1164" s="8"/>
      <c r="B1164" s="56" t="str">
        <f t="shared" si="2"/>
        <v/>
      </c>
      <c r="C1164" s="57"/>
      <c r="D1164" s="10" t="str">
        <f>IFERROR(__xludf.DUMMYFUNCTION("IF(COUNTA(C1164:C1350)=0,"""",IF(ISBLANK(C1164),FALSE,IF(NOT(COUNTIF($AA$24:$AA$34,SUBSTITUTE(C1164,""Sell_"",""""))),1,IF(REGEXMATCH(C1164,""Sell_""),IF(COUNTIF(C$4:C1164,SUBSTITUTE(C1164,""Sell_"",""""))-COUNTIF(C$4:C1163,C1164)&lt;1,1),FALSE))))"),"")</f>
        <v/>
      </c>
      <c r="E1164" s="59" t="str">
        <f t="array" ref="E1164">IF(COUNTA(C1164:C1350)=0,"",SUM((COUNTIF(C$4:C1164,Upgrades!$B$3:$B$13)-COUNTIF(C$4:C1164,"Sell_"&amp;Upgrades!$B$3:$B$13))*Upgrades!$D$3:$D$13))</f>
        <v/>
      </c>
      <c r="F1164" s="66" t="str">
        <f>IFERROR(__xludf.DUMMYFUNCTION("IF(COUNTA(C1164:C1350)=0,"""",IF(REGEXMATCH(INDEX(FILTER(C$4:C1164,C$4:C1164&lt;&gt;""""),ROWS(FILTER(C$4:C1164,C$4:C1164&lt;&gt;""""))),""^Sell_""),INDEX(FILTER(F$4:F1163,C$4:C1163&lt;&gt;""""),ROWS(FILTER(C$4:C1163,C$4:C1163&lt;&gt;""""))),$AC$5+E1164))"),"")</f>
        <v/>
      </c>
      <c r="G1164" s="10" t="str">
        <f>IFERROR(__xludf.DUMMYFUNCTION("IF(COUNTA(C1164:C1350)=0,"""",IF(C1164="""",0,IF(REGEXMATCH(C1164,""^Sell_""),-ROUNDDOWN(ROUNDUP(INDEX(Upgrades!$C$3:$C$13,MATCH(SUBSTITUTE(C1164,""Sell_"",""""),Upgrades!$B$3:$B$13,0))*1.15^(COUNTIF(C$4:C1163,SUBSTITUTE(C1164,""Sell_"",""""))-COUNTIF(C$4"&amp;":C1163,""Sell_""&amp;SUBSTITUTE(C1164,""Sell_"",""""))))/2),ROUNDUP(INDEX(Upgrades!$C$3:$C$13,MATCH(C1164,Upgrades!$B$3:$B$13,0))*1.15^(COUNTIF(C$4:C1163,C1164)-COUNTIF(C$4:C1163,""Sell_""&amp;C1164))))))"),"")</f>
        <v/>
      </c>
      <c r="H1164" s="10" t="str">
        <f t="shared" si="3"/>
        <v/>
      </c>
      <c r="I1164" s="68" t="str">
        <f t="shared" si="4"/>
        <v/>
      </c>
      <c r="J1164" s="59" t="str">
        <f t="shared" si="5"/>
        <v/>
      </c>
      <c r="K1164" s="69" t="str">
        <f t="shared" si="6"/>
        <v/>
      </c>
      <c r="L1164" s="60" t="str">
        <f t="shared" si="7"/>
        <v/>
      </c>
      <c r="M1164" s="61" t="str">
        <f>IFERROR(__xludf.DUMMYFUNCTION("IFS(AND(COUNTA(C1164:C1350)=0,COUNTA(Q1164:Q1350)=0),"""",OR(AND(K1164&gt;=1000000000,OR(Y1164&gt;=1000000000,COUNTA(Q1164:Q1350)=0)),OR(Y1164&gt;=1000000000,AND(COUNTA(C1164:C1350)=0,P$3=TRUE))),
ROUNDDOWN((AB$1-AC$1)*MAX(INDEX(T$4:T1350,MATCH(LARGE(FILTER(Y$4:Y1"&amp;"350,Y$4:Y1350&lt;1000000000),1),Y$4:Y1350)),INDEX(F$4:F1350,MATCH(LARGE(FILTER(K$4:K1350,K$4:K1350&lt;1000000000),1),K$4:K1350)))),AND(K1164&lt;1000000000,COUNTA(C1164:C1350)&gt;0,P$3=FALSE),
ROUNDDOWN(INDEX(Y$4:Y1350,MATCH(LARGE(FILTER(W$4:W1350,W$4:W1350&lt;=I1164),1)"&amp;",W$4:W1350))+(I1164-LARGE(FILTER(W$4:W1350,W$4:W1350&lt;=I1164),1))*INDEX(T$4:T1350,MATCH(LARGE(FILTER(W$4:W1350,W$4:W1350&lt;=I1164),1),W$4:W1350))-K1164),1,
ROUNDDOWN(Y1164-INDEX(K$4:K1350,MATCH(LARGE(FILTER(I$4:I1350,I$4:I1350&lt;=W1164),1),I$4:I1350))-(W1164-L"&amp;"ARGE(FILTER(I$4:I1350,I$4:I1350&lt;=W1164),1))*INDEX(F$4:F1350,MATCH(LARGE(FILTER(I$4:I1350,I$4:I1350&lt;=W1164),1),I$4:I1350))))"),"")</f>
        <v/>
      </c>
      <c r="N1164" s="60" t="str">
        <f t="shared" si="8"/>
        <v/>
      </c>
      <c r="O1164" s="61" t="str">
        <f t="shared" si="9"/>
        <v/>
      </c>
      <c r="P1164" s="56" t="str">
        <f t="shared" si="10"/>
        <v/>
      </c>
      <c r="Q1164" s="62"/>
      <c r="R1164" s="10" t="str">
        <f>IFERROR(__xludf.DUMMYFUNCTION("IF(COUNTA(Q1164:Q1350)=0,"""",IF(ISBLANK(Q1164),FALSE,IF(NOT(COUNTIF($AA$24:$AA$34,SUBSTITUTE(Q1164,""Sell_"",""""))),1,IF(REGEXMATCH(Q1164,""Sell_""),IF(COUNTIF(Q$4:Q1164,SUBSTITUTE(Q1164,""Sell_"",""""))-COUNTIF(Q$4:Q1163,Q1164)&lt;1,1),FALSE))))"),"")</f>
        <v/>
      </c>
      <c r="S1164" s="59" t="str">
        <f t="array" ref="S1164">IF(COUNTA(Q1164:Q1350)=0,"",SUM((COUNTIF(Q$4:Q1164,Upgrades!$B$3:$B$13)-COUNTIF(Q$4:Q1164,"Sell_"&amp;Upgrades!$B$3:$B$13))*Upgrades!$D$3:$D$13))</f>
        <v/>
      </c>
      <c r="T1164" s="66" t="str">
        <f>IFERROR(__xludf.DUMMYFUNCTION("IF(COUNTA(Q1164:Q1350)=0,"""",IF(REGEXMATCH(INDEX(FILTER(Q$4:Q1164,Q$4:Q1164&lt;&gt;""""),ROWS(FILTER(Q$4:Q1164,Q$4:Q1164&lt;&gt;""""))),""^Sell_""),INDEX(FILTER(T$4:T1163,Q$4:Q1163&lt;&gt;""""),ROWS(FILTER(Q$4:Q1163,Q$4:Q1163&lt;&gt;""""))),$AD$5+S1164))"),"")</f>
        <v/>
      </c>
      <c r="U1164" s="10" t="str">
        <f>IFERROR(__xludf.DUMMYFUNCTION("IF(COUNTA(Q1164:Q1350)=0,"""",IF(Q1164="""",0,IF(REGEXMATCH(Q1164,""^Sell_""),-ROUNDDOWN(ROUNDUP(INDEX(Upgrades!$C$3:$C$13,MATCH(SUBSTITUTE(Q1164,""Sell_"",""""),Upgrades!$B$3:$B$13,0))*1.15^(COUNTIF(Q$4:Q1163,SUBSTITUTE(Q1164,""Sell_"",""""))-COUNTIF(Q$4"&amp;":Q1163,""Sell_""&amp;SUBSTITUTE(Q1164,""Sell_"",""""))))/2),ROUNDUP(INDEX(Upgrades!$C$3:$C$13,MATCH(Q1164,Upgrades!$B$3:$B$13,0))*1.15^(COUNTIF(Q$4:Q1163,Q1164)-COUNTIF(Q$4:Q1163,""Sell_""&amp;Q1164))))))"),"")</f>
        <v/>
      </c>
      <c r="V1164" s="10" t="str">
        <f t="shared" si="11"/>
        <v/>
      </c>
      <c r="W1164" s="68" t="str">
        <f t="shared" si="12"/>
        <v/>
      </c>
      <c r="X1164" s="59" t="str">
        <f t="shared" si="13"/>
        <v/>
      </c>
      <c r="Y1164" s="69" t="str">
        <f t="shared" si="14"/>
        <v/>
      </c>
      <c r="Z1164" s="11"/>
    </row>
    <row r="1165">
      <c r="A1165" s="8"/>
      <c r="B1165" s="56" t="str">
        <f t="shared" si="2"/>
        <v/>
      </c>
      <c r="C1165" s="57"/>
      <c r="D1165" s="10" t="str">
        <f>IFERROR(__xludf.DUMMYFUNCTION("IF(COUNTA(C1165:C1350)=0,"""",IF(ISBLANK(C1165),FALSE,IF(NOT(COUNTIF($AA$24:$AA$34,SUBSTITUTE(C1165,""Sell_"",""""))),1,IF(REGEXMATCH(C1165,""Sell_""),IF(COUNTIF(C$4:C1165,SUBSTITUTE(C1165,""Sell_"",""""))-COUNTIF(C$4:C1164,C1165)&lt;1,1),FALSE))))"),"")</f>
        <v/>
      </c>
      <c r="E1165" s="59" t="str">
        <f t="array" ref="E1165">IF(COUNTA(C1165:C1350)=0,"",SUM((COUNTIF(C$4:C1165,Upgrades!$B$3:$B$13)-COUNTIF(C$4:C1165,"Sell_"&amp;Upgrades!$B$3:$B$13))*Upgrades!$D$3:$D$13))</f>
        <v/>
      </c>
      <c r="F1165" s="66" t="str">
        <f>IFERROR(__xludf.DUMMYFUNCTION("IF(COUNTA(C1165:C1350)=0,"""",IF(REGEXMATCH(INDEX(FILTER(C$4:C1165,C$4:C1165&lt;&gt;""""),ROWS(FILTER(C$4:C1165,C$4:C1165&lt;&gt;""""))),""^Sell_""),INDEX(FILTER(F$4:F1164,C$4:C1164&lt;&gt;""""),ROWS(FILTER(C$4:C1164,C$4:C1164&lt;&gt;""""))),$AC$5+E1165))"),"")</f>
        <v/>
      </c>
      <c r="G1165" s="10" t="str">
        <f>IFERROR(__xludf.DUMMYFUNCTION("IF(COUNTA(C1165:C1350)=0,"""",IF(C1165="""",0,IF(REGEXMATCH(C1165,""^Sell_""),-ROUNDDOWN(ROUNDUP(INDEX(Upgrades!$C$3:$C$13,MATCH(SUBSTITUTE(C1165,""Sell_"",""""),Upgrades!$B$3:$B$13,0))*1.15^(COUNTIF(C$4:C1164,SUBSTITUTE(C1165,""Sell_"",""""))-COUNTIF(C$4"&amp;":C1164,""Sell_""&amp;SUBSTITUTE(C1165,""Sell_"",""""))))/2),ROUNDUP(INDEX(Upgrades!$C$3:$C$13,MATCH(C1165,Upgrades!$B$3:$B$13,0))*1.15^(COUNTIF(C$4:C1164,C1165)-COUNTIF(C$4:C1164,""Sell_""&amp;C1165))))))"),"")</f>
        <v/>
      </c>
      <c r="H1165" s="10" t="str">
        <f t="shared" si="3"/>
        <v/>
      </c>
      <c r="I1165" s="68" t="str">
        <f t="shared" si="4"/>
        <v/>
      </c>
      <c r="J1165" s="59" t="str">
        <f t="shared" si="5"/>
        <v/>
      </c>
      <c r="K1165" s="69" t="str">
        <f t="shared" si="6"/>
        <v/>
      </c>
      <c r="L1165" s="60" t="str">
        <f t="shared" si="7"/>
        <v/>
      </c>
      <c r="M1165" s="61" t="str">
        <f>IFERROR(__xludf.DUMMYFUNCTION("IFS(AND(COUNTA(C1165:C1350)=0,COUNTA(Q1165:Q1350)=0),"""",OR(AND(K1165&gt;=1000000000,OR(Y1165&gt;=1000000000,COUNTA(Q1165:Q1350)=0)),OR(Y1165&gt;=1000000000,AND(COUNTA(C1165:C1350)=0,P$3=TRUE))),
ROUNDDOWN((AB$1-AC$1)*MAX(INDEX(T$4:T1350,MATCH(LARGE(FILTER(Y$4:Y1"&amp;"350,Y$4:Y1350&lt;1000000000),1),Y$4:Y1350)),INDEX(F$4:F1350,MATCH(LARGE(FILTER(K$4:K1350,K$4:K1350&lt;1000000000),1),K$4:K1350)))),AND(K1165&lt;1000000000,COUNTA(C1165:C1350)&gt;0,P$3=FALSE),
ROUNDDOWN(INDEX(Y$4:Y1350,MATCH(LARGE(FILTER(W$4:W1350,W$4:W1350&lt;=I1165),1)"&amp;",W$4:W1350))+(I1165-LARGE(FILTER(W$4:W1350,W$4:W1350&lt;=I1165),1))*INDEX(T$4:T1350,MATCH(LARGE(FILTER(W$4:W1350,W$4:W1350&lt;=I1165),1),W$4:W1350))-K1165),1,
ROUNDDOWN(Y1165-INDEX(K$4:K1350,MATCH(LARGE(FILTER(I$4:I1350,I$4:I1350&lt;=W1165),1),I$4:I1350))-(W1165-L"&amp;"ARGE(FILTER(I$4:I1350,I$4:I1350&lt;=W1165),1))*INDEX(F$4:F1350,MATCH(LARGE(FILTER(I$4:I1350,I$4:I1350&lt;=W1165),1),I$4:I1350))))"),"")</f>
        <v/>
      </c>
      <c r="N1165" s="60" t="str">
        <f t="shared" si="8"/>
        <v/>
      </c>
      <c r="O1165" s="61" t="str">
        <f t="shared" si="9"/>
        <v/>
      </c>
      <c r="P1165" s="56" t="str">
        <f t="shared" si="10"/>
        <v/>
      </c>
      <c r="Q1165" s="62"/>
      <c r="R1165" s="10" t="str">
        <f>IFERROR(__xludf.DUMMYFUNCTION("IF(COUNTA(Q1165:Q1350)=0,"""",IF(ISBLANK(Q1165),FALSE,IF(NOT(COUNTIF($AA$24:$AA$34,SUBSTITUTE(Q1165,""Sell_"",""""))),1,IF(REGEXMATCH(Q1165,""Sell_""),IF(COUNTIF(Q$4:Q1165,SUBSTITUTE(Q1165,""Sell_"",""""))-COUNTIF(Q$4:Q1164,Q1165)&lt;1,1),FALSE))))"),"")</f>
        <v/>
      </c>
      <c r="S1165" s="59" t="str">
        <f t="array" ref="S1165">IF(COUNTA(Q1165:Q1350)=0,"",SUM((COUNTIF(Q$4:Q1165,Upgrades!$B$3:$B$13)-COUNTIF(Q$4:Q1165,"Sell_"&amp;Upgrades!$B$3:$B$13))*Upgrades!$D$3:$D$13))</f>
        <v/>
      </c>
      <c r="T1165" s="66" t="str">
        <f>IFERROR(__xludf.DUMMYFUNCTION("IF(COUNTA(Q1165:Q1350)=0,"""",IF(REGEXMATCH(INDEX(FILTER(Q$4:Q1165,Q$4:Q1165&lt;&gt;""""),ROWS(FILTER(Q$4:Q1165,Q$4:Q1165&lt;&gt;""""))),""^Sell_""),INDEX(FILTER(T$4:T1164,Q$4:Q1164&lt;&gt;""""),ROWS(FILTER(Q$4:Q1164,Q$4:Q1164&lt;&gt;""""))),$AD$5+S1165))"),"")</f>
        <v/>
      </c>
      <c r="U1165" s="10" t="str">
        <f>IFERROR(__xludf.DUMMYFUNCTION("IF(COUNTA(Q1165:Q1350)=0,"""",IF(Q1165="""",0,IF(REGEXMATCH(Q1165,""^Sell_""),-ROUNDDOWN(ROUNDUP(INDEX(Upgrades!$C$3:$C$13,MATCH(SUBSTITUTE(Q1165,""Sell_"",""""),Upgrades!$B$3:$B$13,0))*1.15^(COUNTIF(Q$4:Q1164,SUBSTITUTE(Q1165,""Sell_"",""""))-COUNTIF(Q$4"&amp;":Q1164,""Sell_""&amp;SUBSTITUTE(Q1165,""Sell_"",""""))))/2),ROUNDUP(INDEX(Upgrades!$C$3:$C$13,MATCH(Q1165,Upgrades!$B$3:$B$13,0))*1.15^(COUNTIF(Q$4:Q1164,Q1165)-COUNTIF(Q$4:Q1164,""Sell_""&amp;Q1165))))))"),"")</f>
        <v/>
      </c>
      <c r="V1165" s="10" t="str">
        <f t="shared" si="11"/>
        <v/>
      </c>
      <c r="W1165" s="68" t="str">
        <f t="shared" si="12"/>
        <v/>
      </c>
      <c r="X1165" s="59" t="str">
        <f t="shared" si="13"/>
        <v/>
      </c>
      <c r="Y1165" s="69" t="str">
        <f t="shared" si="14"/>
        <v/>
      </c>
      <c r="Z1165" s="11"/>
    </row>
    <row r="1166">
      <c r="A1166" s="8"/>
      <c r="B1166" s="56" t="str">
        <f t="shared" si="2"/>
        <v/>
      </c>
      <c r="C1166" s="57"/>
      <c r="D1166" s="10" t="str">
        <f>IFERROR(__xludf.DUMMYFUNCTION("IF(COUNTA(C1166:C1350)=0,"""",IF(ISBLANK(C1166),FALSE,IF(NOT(COUNTIF($AA$24:$AA$34,SUBSTITUTE(C1166,""Sell_"",""""))),1,IF(REGEXMATCH(C1166,""Sell_""),IF(COUNTIF(C$4:C1166,SUBSTITUTE(C1166,""Sell_"",""""))-COUNTIF(C$4:C1165,C1166)&lt;1,1),FALSE))))"),"")</f>
        <v/>
      </c>
      <c r="E1166" s="59" t="str">
        <f t="array" ref="E1166">IF(COUNTA(C1166:C1350)=0,"",SUM((COUNTIF(C$4:C1166,Upgrades!$B$3:$B$13)-COUNTIF(C$4:C1166,"Sell_"&amp;Upgrades!$B$3:$B$13))*Upgrades!$D$3:$D$13))</f>
        <v/>
      </c>
      <c r="F1166" s="66" t="str">
        <f>IFERROR(__xludf.DUMMYFUNCTION("IF(COUNTA(C1166:C1350)=0,"""",IF(REGEXMATCH(INDEX(FILTER(C$4:C1166,C$4:C1166&lt;&gt;""""),ROWS(FILTER(C$4:C1166,C$4:C1166&lt;&gt;""""))),""^Sell_""),INDEX(FILTER(F$4:F1165,C$4:C1165&lt;&gt;""""),ROWS(FILTER(C$4:C1165,C$4:C1165&lt;&gt;""""))),$AC$5+E1166))"),"")</f>
        <v/>
      </c>
      <c r="G1166" s="10" t="str">
        <f>IFERROR(__xludf.DUMMYFUNCTION("IF(COUNTA(C1166:C1350)=0,"""",IF(C1166="""",0,IF(REGEXMATCH(C1166,""^Sell_""),-ROUNDDOWN(ROUNDUP(INDEX(Upgrades!$C$3:$C$13,MATCH(SUBSTITUTE(C1166,""Sell_"",""""),Upgrades!$B$3:$B$13,0))*1.15^(COUNTIF(C$4:C1165,SUBSTITUTE(C1166,""Sell_"",""""))-COUNTIF(C$4"&amp;":C1165,""Sell_""&amp;SUBSTITUTE(C1166,""Sell_"",""""))))/2),ROUNDUP(INDEX(Upgrades!$C$3:$C$13,MATCH(C1166,Upgrades!$B$3:$B$13,0))*1.15^(COUNTIF(C$4:C1165,C1166)-COUNTIF(C$4:C1165,""Sell_""&amp;C1166))))))"),"")</f>
        <v/>
      </c>
      <c r="H1166" s="10" t="str">
        <f t="shared" si="3"/>
        <v/>
      </c>
      <c r="I1166" s="68" t="str">
        <f t="shared" si="4"/>
        <v/>
      </c>
      <c r="J1166" s="59" t="str">
        <f t="shared" si="5"/>
        <v/>
      </c>
      <c r="K1166" s="69" t="str">
        <f t="shared" si="6"/>
        <v/>
      </c>
      <c r="L1166" s="60" t="str">
        <f t="shared" si="7"/>
        <v/>
      </c>
      <c r="M1166" s="61" t="str">
        <f>IFERROR(__xludf.DUMMYFUNCTION("IFS(AND(COUNTA(C1166:C1350)=0,COUNTA(Q1166:Q1350)=0),"""",OR(AND(K1166&gt;=1000000000,OR(Y1166&gt;=1000000000,COUNTA(Q1166:Q1350)=0)),OR(Y1166&gt;=1000000000,AND(COUNTA(C1166:C1350)=0,P$3=TRUE))),
ROUNDDOWN((AB$1-AC$1)*MAX(INDEX(T$4:T1350,MATCH(LARGE(FILTER(Y$4:Y1"&amp;"350,Y$4:Y1350&lt;1000000000),1),Y$4:Y1350)),INDEX(F$4:F1350,MATCH(LARGE(FILTER(K$4:K1350,K$4:K1350&lt;1000000000),1),K$4:K1350)))),AND(K1166&lt;1000000000,COUNTA(C1166:C1350)&gt;0,P$3=FALSE),
ROUNDDOWN(INDEX(Y$4:Y1350,MATCH(LARGE(FILTER(W$4:W1350,W$4:W1350&lt;=I1166),1)"&amp;",W$4:W1350))+(I1166-LARGE(FILTER(W$4:W1350,W$4:W1350&lt;=I1166),1))*INDEX(T$4:T1350,MATCH(LARGE(FILTER(W$4:W1350,W$4:W1350&lt;=I1166),1),W$4:W1350))-K1166),1,
ROUNDDOWN(Y1166-INDEX(K$4:K1350,MATCH(LARGE(FILTER(I$4:I1350,I$4:I1350&lt;=W1166),1),I$4:I1350))-(W1166-L"&amp;"ARGE(FILTER(I$4:I1350,I$4:I1350&lt;=W1166),1))*INDEX(F$4:F1350,MATCH(LARGE(FILTER(I$4:I1350,I$4:I1350&lt;=W1166),1),I$4:I1350))))"),"")</f>
        <v/>
      </c>
      <c r="N1166" s="60" t="str">
        <f t="shared" si="8"/>
        <v/>
      </c>
      <c r="O1166" s="61" t="str">
        <f t="shared" si="9"/>
        <v/>
      </c>
      <c r="P1166" s="56" t="str">
        <f t="shared" si="10"/>
        <v/>
      </c>
      <c r="Q1166" s="62"/>
      <c r="R1166" s="10" t="str">
        <f>IFERROR(__xludf.DUMMYFUNCTION("IF(COUNTA(Q1166:Q1350)=0,"""",IF(ISBLANK(Q1166),FALSE,IF(NOT(COUNTIF($AA$24:$AA$34,SUBSTITUTE(Q1166,""Sell_"",""""))),1,IF(REGEXMATCH(Q1166,""Sell_""),IF(COUNTIF(Q$4:Q1166,SUBSTITUTE(Q1166,""Sell_"",""""))-COUNTIF(Q$4:Q1165,Q1166)&lt;1,1),FALSE))))"),"")</f>
        <v/>
      </c>
      <c r="S1166" s="59" t="str">
        <f t="array" ref="S1166">IF(COUNTA(Q1166:Q1350)=0,"",SUM((COUNTIF(Q$4:Q1166,Upgrades!$B$3:$B$13)-COUNTIF(Q$4:Q1166,"Sell_"&amp;Upgrades!$B$3:$B$13))*Upgrades!$D$3:$D$13))</f>
        <v/>
      </c>
      <c r="T1166" s="66" t="str">
        <f>IFERROR(__xludf.DUMMYFUNCTION("IF(COUNTA(Q1166:Q1350)=0,"""",IF(REGEXMATCH(INDEX(FILTER(Q$4:Q1166,Q$4:Q1166&lt;&gt;""""),ROWS(FILTER(Q$4:Q1166,Q$4:Q1166&lt;&gt;""""))),""^Sell_""),INDEX(FILTER(T$4:T1165,Q$4:Q1165&lt;&gt;""""),ROWS(FILTER(Q$4:Q1165,Q$4:Q1165&lt;&gt;""""))),$AD$5+S1166))"),"")</f>
        <v/>
      </c>
      <c r="U1166" s="10" t="str">
        <f>IFERROR(__xludf.DUMMYFUNCTION("IF(COUNTA(Q1166:Q1350)=0,"""",IF(Q1166="""",0,IF(REGEXMATCH(Q1166,""^Sell_""),-ROUNDDOWN(ROUNDUP(INDEX(Upgrades!$C$3:$C$13,MATCH(SUBSTITUTE(Q1166,""Sell_"",""""),Upgrades!$B$3:$B$13,0))*1.15^(COUNTIF(Q$4:Q1165,SUBSTITUTE(Q1166,""Sell_"",""""))-COUNTIF(Q$4"&amp;":Q1165,""Sell_""&amp;SUBSTITUTE(Q1166,""Sell_"",""""))))/2),ROUNDUP(INDEX(Upgrades!$C$3:$C$13,MATCH(Q1166,Upgrades!$B$3:$B$13,0))*1.15^(COUNTIF(Q$4:Q1165,Q1166)-COUNTIF(Q$4:Q1165,""Sell_""&amp;Q1166))))))"),"")</f>
        <v/>
      </c>
      <c r="V1166" s="10" t="str">
        <f t="shared" si="11"/>
        <v/>
      </c>
      <c r="W1166" s="68" t="str">
        <f t="shared" si="12"/>
        <v/>
      </c>
      <c r="X1166" s="59" t="str">
        <f t="shared" si="13"/>
        <v/>
      </c>
      <c r="Y1166" s="69" t="str">
        <f t="shared" si="14"/>
        <v/>
      </c>
      <c r="Z1166" s="11"/>
    </row>
    <row r="1167">
      <c r="A1167" s="8"/>
      <c r="B1167" s="56" t="str">
        <f t="shared" si="2"/>
        <v/>
      </c>
      <c r="C1167" s="57"/>
      <c r="D1167" s="10" t="str">
        <f>IFERROR(__xludf.DUMMYFUNCTION("IF(COUNTA(C1167:C1350)=0,"""",IF(ISBLANK(C1167),FALSE,IF(NOT(COUNTIF($AA$24:$AA$34,SUBSTITUTE(C1167,""Sell_"",""""))),1,IF(REGEXMATCH(C1167,""Sell_""),IF(COUNTIF(C$4:C1167,SUBSTITUTE(C1167,""Sell_"",""""))-COUNTIF(C$4:C1166,C1167)&lt;1,1),FALSE))))"),"")</f>
        <v/>
      </c>
      <c r="E1167" s="59" t="str">
        <f t="array" ref="E1167">IF(COUNTA(C1167:C1350)=0,"",SUM((COUNTIF(C$4:C1167,Upgrades!$B$3:$B$13)-COUNTIF(C$4:C1167,"Sell_"&amp;Upgrades!$B$3:$B$13))*Upgrades!$D$3:$D$13))</f>
        <v/>
      </c>
      <c r="F1167" s="66" t="str">
        <f>IFERROR(__xludf.DUMMYFUNCTION("IF(COUNTA(C1167:C1350)=0,"""",IF(REGEXMATCH(INDEX(FILTER(C$4:C1167,C$4:C1167&lt;&gt;""""),ROWS(FILTER(C$4:C1167,C$4:C1167&lt;&gt;""""))),""^Sell_""),INDEX(FILTER(F$4:F1166,C$4:C1166&lt;&gt;""""),ROWS(FILTER(C$4:C1166,C$4:C1166&lt;&gt;""""))),$AC$5+E1167))"),"")</f>
        <v/>
      </c>
      <c r="G1167" s="10" t="str">
        <f>IFERROR(__xludf.DUMMYFUNCTION("IF(COUNTA(C1167:C1350)=0,"""",IF(C1167="""",0,IF(REGEXMATCH(C1167,""^Sell_""),-ROUNDDOWN(ROUNDUP(INDEX(Upgrades!$C$3:$C$13,MATCH(SUBSTITUTE(C1167,""Sell_"",""""),Upgrades!$B$3:$B$13,0))*1.15^(COUNTIF(C$4:C1166,SUBSTITUTE(C1167,""Sell_"",""""))-COUNTIF(C$4"&amp;":C1166,""Sell_""&amp;SUBSTITUTE(C1167,""Sell_"",""""))))/2),ROUNDUP(INDEX(Upgrades!$C$3:$C$13,MATCH(C1167,Upgrades!$B$3:$B$13,0))*1.15^(COUNTIF(C$4:C1166,C1167)-COUNTIF(C$4:C1166,""Sell_""&amp;C1167))))))"),"")</f>
        <v/>
      </c>
      <c r="H1167" s="10" t="str">
        <f t="shared" si="3"/>
        <v/>
      </c>
      <c r="I1167" s="68" t="str">
        <f t="shared" si="4"/>
        <v/>
      </c>
      <c r="J1167" s="59" t="str">
        <f t="shared" si="5"/>
        <v/>
      </c>
      <c r="K1167" s="69" t="str">
        <f t="shared" si="6"/>
        <v/>
      </c>
      <c r="L1167" s="60" t="str">
        <f t="shared" si="7"/>
        <v/>
      </c>
      <c r="M1167" s="61" t="str">
        <f>IFERROR(__xludf.DUMMYFUNCTION("IFS(AND(COUNTA(C1167:C1350)=0,COUNTA(Q1167:Q1350)=0),"""",OR(AND(K1167&gt;=1000000000,OR(Y1167&gt;=1000000000,COUNTA(Q1167:Q1350)=0)),OR(Y1167&gt;=1000000000,AND(COUNTA(C1167:C1350)=0,P$3=TRUE))),
ROUNDDOWN((AB$1-AC$1)*MAX(INDEX(T$4:T1350,MATCH(LARGE(FILTER(Y$4:Y1"&amp;"350,Y$4:Y1350&lt;1000000000),1),Y$4:Y1350)),INDEX(F$4:F1350,MATCH(LARGE(FILTER(K$4:K1350,K$4:K1350&lt;1000000000),1),K$4:K1350)))),AND(K1167&lt;1000000000,COUNTA(C1167:C1350)&gt;0,P$3=FALSE),
ROUNDDOWN(INDEX(Y$4:Y1350,MATCH(LARGE(FILTER(W$4:W1350,W$4:W1350&lt;=I1167),1)"&amp;",W$4:W1350))+(I1167-LARGE(FILTER(W$4:W1350,W$4:W1350&lt;=I1167),1))*INDEX(T$4:T1350,MATCH(LARGE(FILTER(W$4:W1350,W$4:W1350&lt;=I1167),1),W$4:W1350))-K1167),1,
ROUNDDOWN(Y1167-INDEX(K$4:K1350,MATCH(LARGE(FILTER(I$4:I1350,I$4:I1350&lt;=W1167),1),I$4:I1350))-(W1167-L"&amp;"ARGE(FILTER(I$4:I1350,I$4:I1350&lt;=W1167),1))*INDEX(F$4:F1350,MATCH(LARGE(FILTER(I$4:I1350,I$4:I1350&lt;=W1167),1),I$4:I1350))))"),"")</f>
        <v/>
      </c>
      <c r="N1167" s="60" t="str">
        <f t="shared" si="8"/>
        <v/>
      </c>
      <c r="O1167" s="61" t="str">
        <f t="shared" si="9"/>
        <v/>
      </c>
      <c r="P1167" s="56" t="str">
        <f t="shared" si="10"/>
        <v/>
      </c>
      <c r="Q1167" s="62"/>
      <c r="R1167" s="10" t="str">
        <f>IFERROR(__xludf.DUMMYFUNCTION("IF(COUNTA(Q1167:Q1350)=0,"""",IF(ISBLANK(Q1167),FALSE,IF(NOT(COUNTIF($AA$24:$AA$34,SUBSTITUTE(Q1167,""Sell_"",""""))),1,IF(REGEXMATCH(Q1167,""Sell_""),IF(COUNTIF(Q$4:Q1167,SUBSTITUTE(Q1167,""Sell_"",""""))-COUNTIF(Q$4:Q1166,Q1167)&lt;1,1),FALSE))))"),"")</f>
        <v/>
      </c>
      <c r="S1167" s="59" t="str">
        <f t="array" ref="S1167">IF(COUNTA(Q1167:Q1350)=0,"",SUM((COUNTIF(Q$4:Q1167,Upgrades!$B$3:$B$13)-COUNTIF(Q$4:Q1167,"Sell_"&amp;Upgrades!$B$3:$B$13))*Upgrades!$D$3:$D$13))</f>
        <v/>
      </c>
      <c r="T1167" s="66" t="str">
        <f>IFERROR(__xludf.DUMMYFUNCTION("IF(COUNTA(Q1167:Q1350)=0,"""",IF(REGEXMATCH(INDEX(FILTER(Q$4:Q1167,Q$4:Q1167&lt;&gt;""""),ROWS(FILTER(Q$4:Q1167,Q$4:Q1167&lt;&gt;""""))),""^Sell_""),INDEX(FILTER(T$4:T1166,Q$4:Q1166&lt;&gt;""""),ROWS(FILTER(Q$4:Q1166,Q$4:Q1166&lt;&gt;""""))),$AD$5+S1167))"),"")</f>
        <v/>
      </c>
      <c r="U1167" s="10" t="str">
        <f>IFERROR(__xludf.DUMMYFUNCTION("IF(COUNTA(Q1167:Q1350)=0,"""",IF(Q1167="""",0,IF(REGEXMATCH(Q1167,""^Sell_""),-ROUNDDOWN(ROUNDUP(INDEX(Upgrades!$C$3:$C$13,MATCH(SUBSTITUTE(Q1167,""Sell_"",""""),Upgrades!$B$3:$B$13,0))*1.15^(COUNTIF(Q$4:Q1166,SUBSTITUTE(Q1167,""Sell_"",""""))-COUNTIF(Q$4"&amp;":Q1166,""Sell_""&amp;SUBSTITUTE(Q1167,""Sell_"",""""))))/2),ROUNDUP(INDEX(Upgrades!$C$3:$C$13,MATCH(Q1167,Upgrades!$B$3:$B$13,0))*1.15^(COUNTIF(Q$4:Q1166,Q1167)-COUNTIF(Q$4:Q1166,""Sell_""&amp;Q1167))))))"),"")</f>
        <v/>
      </c>
      <c r="V1167" s="10" t="str">
        <f t="shared" si="11"/>
        <v/>
      </c>
      <c r="W1167" s="68" t="str">
        <f t="shared" si="12"/>
        <v/>
      </c>
      <c r="X1167" s="59" t="str">
        <f t="shared" si="13"/>
        <v/>
      </c>
      <c r="Y1167" s="69" t="str">
        <f t="shared" si="14"/>
        <v/>
      </c>
      <c r="Z1167" s="11"/>
    </row>
    <row r="1168">
      <c r="A1168" s="8"/>
      <c r="B1168" s="56" t="str">
        <f t="shared" si="2"/>
        <v/>
      </c>
      <c r="C1168" s="57"/>
      <c r="D1168" s="10" t="str">
        <f>IFERROR(__xludf.DUMMYFUNCTION("IF(COUNTA(C1168:C1350)=0,"""",IF(ISBLANK(C1168),FALSE,IF(NOT(COUNTIF($AA$24:$AA$34,SUBSTITUTE(C1168,""Sell_"",""""))),1,IF(REGEXMATCH(C1168,""Sell_""),IF(COUNTIF(C$4:C1168,SUBSTITUTE(C1168,""Sell_"",""""))-COUNTIF(C$4:C1167,C1168)&lt;1,1),FALSE))))"),"")</f>
        <v/>
      </c>
      <c r="E1168" s="59" t="str">
        <f t="array" ref="E1168">IF(COUNTA(C1168:C1350)=0,"",SUM((COUNTIF(C$4:C1168,Upgrades!$B$3:$B$13)-COUNTIF(C$4:C1168,"Sell_"&amp;Upgrades!$B$3:$B$13))*Upgrades!$D$3:$D$13))</f>
        <v/>
      </c>
      <c r="F1168" s="66" t="str">
        <f>IFERROR(__xludf.DUMMYFUNCTION("IF(COUNTA(C1168:C1350)=0,"""",IF(REGEXMATCH(INDEX(FILTER(C$4:C1168,C$4:C1168&lt;&gt;""""),ROWS(FILTER(C$4:C1168,C$4:C1168&lt;&gt;""""))),""^Sell_""),INDEX(FILTER(F$4:F1167,C$4:C1167&lt;&gt;""""),ROWS(FILTER(C$4:C1167,C$4:C1167&lt;&gt;""""))),$AC$5+E1168))"),"")</f>
        <v/>
      </c>
      <c r="G1168" s="10" t="str">
        <f>IFERROR(__xludf.DUMMYFUNCTION("IF(COUNTA(C1168:C1350)=0,"""",IF(C1168="""",0,IF(REGEXMATCH(C1168,""^Sell_""),-ROUNDDOWN(ROUNDUP(INDEX(Upgrades!$C$3:$C$13,MATCH(SUBSTITUTE(C1168,""Sell_"",""""),Upgrades!$B$3:$B$13,0))*1.15^(COUNTIF(C$4:C1167,SUBSTITUTE(C1168,""Sell_"",""""))-COUNTIF(C$4"&amp;":C1167,""Sell_""&amp;SUBSTITUTE(C1168,""Sell_"",""""))))/2),ROUNDUP(INDEX(Upgrades!$C$3:$C$13,MATCH(C1168,Upgrades!$B$3:$B$13,0))*1.15^(COUNTIF(C$4:C1167,C1168)-COUNTIF(C$4:C1167,""Sell_""&amp;C1168))))))"),"")</f>
        <v/>
      </c>
      <c r="H1168" s="10" t="str">
        <f t="shared" si="3"/>
        <v/>
      </c>
      <c r="I1168" s="68" t="str">
        <f t="shared" si="4"/>
        <v/>
      </c>
      <c r="J1168" s="59" t="str">
        <f t="shared" si="5"/>
        <v/>
      </c>
      <c r="K1168" s="69" t="str">
        <f t="shared" si="6"/>
        <v/>
      </c>
      <c r="L1168" s="60" t="str">
        <f t="shared" si="7"/>
        <v/>
      </c>
      <c r="M1168" s="61" t="str">
        <f>IFERROR(__xludf.DUMMYFUNCTION("IFS(AND(COUNTA(C1168:C1350)=0,COUNTA(Q1168:Q1350)=0),"""",OR(AND(K1168&gt;=1000000000,OR(Y1168&gt;=1000000000,COUNTA(Q1168:Q1350)=0)),OR(Y1168&gt;=1000000000,AND(COUNTA(C1168:C1350)=0,P$3=TRUE))),
ROUNDDOWN((AB$1-AC$1)*MAX(INDEX(T$4:T1350,MATCH(LARGE(FILTER(Y$4:Y1"&amp;"350,Y$4:Y1350&lt;1000000000),1),Y$4:Y1350)),INDEX(F$4:F1350,MATCH(LARGE(FILTER(K$4:K1350,K$4:K1350&lt;1000000000),1),K$4:K1350)))),AND(K1168&lt;1000000000,COUNTA(C1168:C1350)&gt;0,P$3=FALSE),
ROUNDDOWN(INDEX(Y$4:Y1350,MATCH(LARGE(FILTER(W$4:W1350,W$4:W1350&lt;=I1168),1)"&amp;",W$4:W1350))+(I1168-LARGE(FILTER(W$4:W1350,W$4:W1350&lt;=I1168),1))*INDEX(T$4:T1350,MATCH(LARGE(FILTER(W$4:W1350,W$4:W1350&lt;=I1168),1),W$4:W1350))-K1168),1,
ROUNDDOWN(Y1168-INDEX(K$4:K1350,MATCH(LARGE(FILTER(I$4:I1350,I$4:I1350&lt;=W1168),1),I$4:I1350))-(W1168-L"&amp;"ARGE(FILTER(I$4:I1350,I$4:I1350&lt;=W1168),1))*INDEX(F$4:F1350,MATCH(LARGE(FILTER(I$4:I1350,I$4:I1350&lt;=W1168),1),I$4:I1350))))"),"")</f>
        <v/>
      </c>
      <c r="N1168" s="60" t="str">
        <f t="shared" si="8"/>
        <v/>
      </c>
      <c r="O1168" s="61" t="str">
        <f t="shared" si="9"/>
        <v/>
      </c>
      <c r="P1168" s="56" t="str">
        <f t="shared" si="10"/>
        <v/>
      </c>
      <c r="Q1168" s="62"/>
      <c r="R1168" s="10" t="str">
        <f>IFERROR(__xludf.DUMMYFUNCTION("IF(COUNTA(Q1168:Q1350)=0,"""",IF(ISBLANK(Q1168),FALSE,IF(NOT(COUNTIF($AA$24:$AA$34,SUBSTITUTE(Q1168,""Sell_"",""""))),1,IF(REGEXMATCH(Q1168,""Sell_""),IF(COUNTIF(Q$4:Q1168,SUBSTITUTE(Q1168,""Sell_"",""""))-COUNTIF(Q$4:Q1167,Q1168)&lt;1,1),FALSE))))"),"")</f>
        <v/>
      </c>
      <c r="S1168" s="59" t="str">
        <f t="array" ref="S1168">IF(COUNTA(Q1168:Q1350)=0,"",SUM((COUNTIF(Q$4:Q1168,Upgrades!$B$3:$B$13)-COUNTIF(Q$4:Q1168,"Sell_"&amp;Upgrades!$B$3:$B$13))*Upgrades!$D$3:$D$13))</f>
        <v/>
      </c>
      <c r="T1168" s="66" t="str">
        <f>IFERROR(__xludf.DUMMYFUNCTION("IF(COUNTA(Q1168:Q1350)=0,"""",IF(REGEXMATCH(INDEX(FILTER(Q$4:Q1168,Q$4:Q1168&lt;&gt;""""),ROWS(FILTER(Q$4:Q1168,Q$4:Q1168&lt;&gt;""""))),""^Sell_""),INDEX(FILTER(T$4:T1167,Q$4:Q1167&lt;&gt;""""),ROWS(FILTER(Q$4:Q1167,Q$4:Q1167&lt;&gt;""""))),$AD$5+S1168))"),"")</f>
        <v/>
      </c>
      <c r="U1168" s="10" t="str">
        <f>IFERROR(__xludf.DUMMYFUNCTION("IF(COUNTA(Q1168:Q1350)=0,"""",IF(Q1168="""",0,IF(REGEXMATCH(Q1168,""^Sell_""),-ROUNDDOWN(ROUNDUP(INDEX(Upgrades!$C$3:$C$13,MATCH(SUBSTITUTE(Q1168,""Sell_"",""""),Upgrades!$B$3:$B$13,0))*1.15^(COUNTIF(Q$4:Q1167,SUBSTITUTE(Q1168,""Sell_"",""""))-COUNTIF(Q$4"&amp;":Q1167,""Sell_""&amp;SUBSTITUTE(Q1168,""Sell_"",""""))))/2),ROUNDUP(INDEX(Upgrades!$C$3:$C$13,MATCH(Q1168,Upgrades!$B$3:$B$13,0))*1.15^(COUNTIF(Q$4:Q1167,Q1168)-COUNTIF(Q$4:Q1167,""Sell_""&amp;Q1168))))))"),"")</f>
        <v/>
      </c>
      <c r="V1168" s="10" t="str">
        <f t="shared" si="11"/>
        <v/>
      </c>
      <c r="W1168" s="68" t="str">
        <f t="shared" si="12"/>
        <v/>
      </c>
      <c r="X1168" s="59" t="str">
        <f t="shared" si="13"/>
        <v/>
      </c>
      <c r="Y1168" s="69" t="str">
        <f t="shared" si="14"/>
        <v/>
      </c>
      <c r="Z1168" s="11"/>
    </row>
    <row r="1169">
      <c r="A1169" s="8"/>
      <c r="B1169" s="56" t="str">
        <f t="shared" si="2"/>
        <v/>
      </c>
      <c r="C1169" s="57"/>
      <c r="D1169" s="10" t="str">
        <f>IFERROR(__xludf.DUMMYFUNCTION("IF(COUNTA(C1169:C1350)=0,"""",IF(ISBLANK(C1169),FALSE,IF(NOT(COUNTIF($AA$24:$AA$34,SUBSTITUTE(C1169,""Sell_"",""""))),1,IF(REGEXMATCH(C1169,""Sell_""),IF(COUNTIF(C$4:C1169,SUBSTITUTE(C1169,""Sell_"",""""))-COUNTIF(C$4:C1168,C1169)&lt;1,1),FALSE))))"),"")</f>
        <v/>
      </c>
      <c r="E1169" s="59" t="str">
        <f t="array" ref="E1169">IF(COUNTA(C1169:C1350)=0,"",SUM((COUNTIF(C$4:C1169,Upgrades!$B$3:$B$13)-COUNTIF(C$4:C1169,"Sell_"&amp;Upgrades!$B$3:$B$13))*Upgrades!$D$3:$D$13))</f>
        <v/>
      </c>
      <c r="F1169" s="66" t="str">
        <f>IFERROR(__xludf.DUMMYFUNCTION("IF(COUNTA(C1169:C1350)=0,"""",IF(REGEXMATCH(INDEX(FILTER(C$4:C1169,C$4:C1169&lt;&gt;""""),ROWS(FILTER(C$4:C1169,C$4:C1169&lt;&gt;""""))),""^Sell_""),INDEX(FILTER(F$4:F1168,C$4:C1168&lt;&gt;""""),ROWS(FILTER(C$4:C1168,C$4:C1168&lt;&gt;""""))),$AC$5+E1169))"),"")</f>
        <v/>
      </c>
      <c r="G1169" s="10" t="str">
        <f>IFERROR(__xludf.DUMMYFUNCTION("IF(COUNTA(C1169:C1350)=0,"""",IF(C1169="""",0,IF(REGEXMATCH(C1169,""^Sell_""),-ROUNDDOWN(ROUNDUP(INDEX(Upgrades!$C$3:$C$13,MATCH(SUBSTITUTE(C1169,""Sell_"",""""),Upgrades!$B$3:$B$13,0))*1.15^(COUNTIF(C$4:C1168,SUBSTITUTE(C1169,""Sell_"",""""))-COUNTIF(C$4"&amp;":C1168,""Sell_""&amp;SUBSTITUTE(C1169,""Sell_"",""""))))/2),ROUNDUP(INDEX(Upgrades!$C$3:$C$13,MATCH(C1169,Upgrades!$B$3:$B$13,0))*1.15^(COUNTIF(C$4:C1168,C1169)-COUNTIF(C$4:C1168,""Sell_""&amp;C1169))))))"),"")</f>
        <v/>
      </c>
      <c r="H1169" s="10" t="str">
        <f t="shared" si="3"/>
        <v/>
      </c>
      <c r="I1169" s="68" t="str">
        <f t="shared" si="4"/>
        <v/>
      </c>
      <c r="J1169" s="59" t="str">
        <f t="shared" si="5"/>
        <v/>
      </c>
      <c r="K1169" s="69" t="str">
        <f t="shared" si="6"/>
        <v/>
      </c>
      <c r="L1169" s="60" t="str">
        <f t="shared" si="7"/>
        <v/>
      </c>
      <c r="M1169" s="61" t="str">
        <f>IFERROR(__xludf.DUMMYFUNCTION("IFS(AND(COUNTA(C1169:C1350)=0,COUNTA(Q1169:Q1350)=0),"""",OR(AND(K1169&gt;=1000000000,OR(Y1169&gt;=1000000000,COUNTA(Q1169:Q1350)=0)),OR(Y1169&gt;=1000000000,AND(COUNTA(C1169:C1350)=0,P$3=TRUE))),
ROUNDDOWN((AB$1-AC$1)*MAX(INDEX(T$4:T1350,MATCH(LARGE(FILTER(Y$4:Y1"&amp;"350,Y$4:Y1350&lt;1000000000),1),Y$4:Y1350)),INDEX(F$4:F1350,MATCH(LARGE(FILTER(K$4:K1350,K$4:K1350&lt;1000000000),1),K$4:K1350)))),AND(K1169&lt;1000000000,COUNTA(C1169:C1350)&gt;0,P$3=FALSE),
ROUNDDOWN(INDEX(Y$4:Y1350,MATCH(LARGE(FILTER(W$4:W1350,W$4:W1350&lt;=I1169),1)"&amp;",W$4:W1350))+(I1169-LARGE(FILTER(W$4:W1350,W$4:W1350&lt;=I1169),1))*INDEX(T$4:T1350,MATCH(LARGE(FILTER(W$4:W1350,W$4:W1350&lt;=I1169),1),W$4:W1350))-K1169),1,
ROUNDDOWN(Y1169-INDEX(K$4:K1350,MATCH(LARGE(FILTER(I$4:I1350,I$4:I1350&lt;=W1169),1),I$4:I1350))-(W1169-L"&amp;"ARGE(FILTER(I$4:I1350,I$4:I1350&lt;=W1169),1))*INDEX(F$4:F1350,MATCH(LARGE(FILTER(I$4:I1350,I$4:I1350&lt;=W1169),1),I$4:I1350))))"),"")</f>
        <v/>
      </c>
      <c r="N1169" s="60" t="str">
        <f t="shared" si="8"/>
        <v/>
      </c>
      <c r="O1169" s="61" t="str">
        <f t="shared" si="9"/>
        <v/>
      </c>
      <c r="P1169" s="56" t="str">
        <f t="shared" si="10"/>
        <v/>
      </c>
      <c r="Q1169" s="62"/>
      <c r="R1169" s="10" t="str">
        <f>IFERROR(__xludf.DUMMYFUNCTION("IF(COUNTA(Q1169:Q1350)=0,"""",IF(ISBLANK(Q1169),FALSE,IF(NOT(COUNTIF($AA$24:$AA$34,SUBSTITUTE(Q1169,""Sell_"",""""))),1,IF(REGEXMATCH(Q1169,""Sell_""),IF(COUNTIF(Q$4:Q1169,SUBSTITUTE(Q1169,""Sell_"",""""))-COUNTIF(Q$4:Q1168,Q1169)&lt;1,1),FALSE))))"),"")</f>
        <v/>
      </c>
      <c r="S1169" s="59" t="str">
        <f t="array" ref="S1169">IF(COUNTA(Q1169:Q1350)=0,"",SUM((COUNTIF(Q$4:Q1169,Upgrades!$B$3:$B$13)-COUNTIF(Q$4:Q1169,"Sell_"&amp;Upgrades!$B$3:$B$13))*Upgrades!$D$3:$D$13))</f>
        <v/>
      </c>
      <c r="T1169" s="66" t="str">
        <f>IFERROR(__xludf.DUMMYFUNCTION("IF(COUNTA(Q1169:Q1350)=0,"""",IF(REGEXMATCH(INDEX(FILTER(Q$4:Q1169,Q$4:Q1169&lt;&gt;""""),ROWS(FILTER(Q$4:Q1169,Q$4:Q1169&lt;&gt;""""))),""^Sell_""),INDEX(FILTER(T$4:T1168,Q$4:Q1168&lt;&gt;""""),ROWS(FILTER(Q$4:Q1168,Q$4:Q1168&lt;&gt;""""))),$AD$5+S1169))"),"")</f>
        <v/>
      </c>
      <c r="U1169" s="10" t="str">
        <f>IFERROR(__xludf.DUMMYFUNCTION("IF(COUNTA(Q1169:Q1350)=0,"""",IF(Q1169="""",0,IF(REGEXMATCH(Q1169,""^Sell_""),-ROUNDDOWN(ROUNDUP(INDEX(Upgrades!$C$3:$C$13,MATCH(SUBSTITUTE(Q1169,""Sell_"",""""),Upgrades!$B$3:$B$13,0))*1.15^(COUNTIF(Q$4:Q1168,SUBSTITUTE(Q1169,""Sell_"",""""))-COUNTIF(Q$4"&amp;":Q1168,""Sell_""&amp;SUBSTITUTE(Q1169,""Sell_"",""""))))/2),ROUNDUP(INDEX(Upgrades!$C$3:$C$13,MATCH(Q1169,Upgrades!$B$3:$B$13,0))*1.15^(COUNTIF(Q$4:Q1168,Q1169)-COUNTIF(Q$4:Q1168,""Sell_""&amp;Q1169))))))"),"")</f>
        <v/>
      </c>
      <c r="V1169" s="10" t="str">
        <f t="shared" si="11"/>
        <v/>
      </c>
      <c r="W1169" s="68" t="str">
        <f t="shared" si="12"/>
        <v/>
      </c>
      <c r="X1169" s="59" t="str">
        <f t="shared" si="13"/>
        <v/>
      </c>
      <c r="Y1169" s="69" t="str">
        <f t="shared" si="14"/>
        <v/>
      </c>
      <c r="Z1169" s="11"/>
    </row>
    <row r="1170">
      <c r="A1170" s="8"/>
      <c r="B1170" s="56" t="str">
        <f t="shared" si="2"/>
        <v/>
      </c>
      <c r="C1170" s="57"/>
      <c r="D1170" s="10" t="str">
        <f>IFERROR(__xludf.DUMMYFUNCTION("IF(COUNTA(C1170:C1350)=0,"""",IF(ISBLANK(C1170),FALSE,IF(NOT(COUNTIF($AA$24:$AA$34,SUBSTITUTE(C1170,""Sell_"",""""))),1,IF(REGEXMATCH(C1170,""Sell_""),IF(COUNTIF(C$4:C1170,SUBSTITUTE(C1170,""Sell_"",""""))-COUNTIF(C$4:C1169,C1170)&lt;1,1),FALSE))))"),"")</f>
        <v/>
      </c>
      <c r="E1170" s="59" t="str">
        <f t="array" ref="E1170">IF(COUNTA(C1170:C1350)=0,"",SUM((COUNTIF(C$4:C1170,Upgrades!$B$3:$B$13)-COUNTIF(C$4:C1170,"Sell_"&amp;Upgrades!$B$3:$B$13))*Upgrades!$D$3:$D$13))</f>
        <v/>
      </c>
      <c r="F1170" s="66" t="str">
        <f>IFERROR(__xludf.DUMMYFUNCTION("IF(COUNTA(C1170:C1350)=0,"""",IF(REGEXMATCH(INDEX(FILTER(C$4:C1170,C$4:C1170&lt;&gt;""""),ROWS(FILTER(C$4:C1170,C$4:C1170&lt;&gt;""""))),""^Sell_""),INDEX(FILTER(F$4:F1169,C$4:C1169&lt;&gt;""""),ROWS(FILTER(C$4:C1169,C$4:C1169&lt;&gt;""""))),$AC$5+E1170))"),"")</f>
        <v/>
      </c>
      <c r="G1170" s="10" t="str">
        <f>IFERROR(__xludf.DUMMYFUNCTION("IF(COUNTA(C1170:C1350)=0,"""",IF(C1170="""",0,IF(REGEXMATCH(C1170,""^Sell_""),-ROUNDDOWN(ROUNDUP(INDEX(Upgrades!$C$3:$C$13,MATCH(SUBSTITUTE(C1170,""Sell_"",""""),Upgrades!$B$3:$B$13,0))*1.15^(COUNTIF(C$4:C1169,SUBSTITUTE(C1170,""Sell_"",""""))-COUNTIF(C$4"&amp;":C1169,""Sell_""&amp;SUBSTITUTE(C1170,""Sell_"",""""))))/2),ROUNDUP(INDEX(Upgrades!$C$3:$C$13,MATCH(C1170,Upgrades!$B$3:$B$13,0))*1.15^(COUNTIF(C$4:C1169,C1170)-COUNTIF(C$4:C1169,""Sell_""&amp;C1170))))))"),"")</f>
        <v/>
      </c>
      <c r="H1170" s="10" t="str">
        <f t="shared" si="3"/>
        <v/>
      </c>
      <c r="I1170" s="68" t="str">
        <f t="shared" si="4"/>
        <v/>
      </c>
      <c r="J1170" s="59" t="str">
        <f t="shared" si="5"/>
        <v/>
      </c>
      <c r="K1170" s="69" t="str">
        <f t="shared" si="6"/>
        <v/>
      </c>
      <c r="L1170" s="60" t="str">
        <f t="shared" si="7"/>
        <v/>
      </c>
      <c r="M1170" s="61" t="str">
        <f>IFERROR(__xludf.DUMMYFUNCTION("IFS(AND(COUNTA(C1170:C1350)=0,COUNTA(Q1170:Q1350)=0),"""",OR(AND(K1170&gt;=1000000000,OR(Y1170&gt;=1000000000,COUNTA(Q1170:Q1350)=0)),OR(Y1170&gt;=1000000000,AND(COUNTA(C1170:C1350)=0,P$3=TRUE))),
ROUNDDOWN((AB$1-AC$1)*MAX(INDEX(T$4:T1350,MATCH(LARGE(FILTER(Y$4:Y1"&amp;"350,Y$4:Y1350&lt;1000000000),1),Y$4:Y1350)),INDEX(F$4:F1350,MATCH(LARGE(FILTER(K$4:K1350,K$4:K1350&lt;1000000000),1),K$4:K1350)))),AND(K1170&lt;1000000000,COUNTA(C1170:C1350)&gt;0,P$3=FALSE),
ROUNDDOWN(INDEX(Y$4:Y1350,MATCH(LARGE(FILTER(W$4:W1350,W$4:W1350&lt;=I1170),1)"&amp;",W$4:W1350))+(I1170-LARGE(FILTER(W$4:W1350,W$4:W1350&lt;=I1170),1))*INDEX(T$4:T1350,MATCH(LARGE(FILTER(W$4:W1350,W$4:W1350&lt;=I1170),1),W$4:W1350))-K1170),1,
ROUNDDOWN(Y1170-INDEX(K$4:K1350,MATCH(LARGE(FILTER(I$4:I1350,I$4:I1350&lt;=W1170),1),I$4:I1350))-(W1170-L"&amp;"ARGE(FILTER(I$4:I1350,I$4:I1350&lt;=W1170),1))*INDEX(F$4:F1350,MATCH(LARGE(FILTER(I$4:I1350,I$4:I1350&lt;=W1170),1),I$4:I1350))))"),"")</f>
        <v/>
      </c>
      <c r="N1170" s="60" t="str">
        <f t="shared" si="8"/>
        <v/>
      </c>
      <c r="O1170" s="61" t="str">
        <f t="shared" si="9"/>
        <v/>
      </c>
      <c r="P1170" s="56" t="str">
        <f t="shared" si="10"/>
        <v/>
      </c>
      <c r="Q1170" s="62"/>
      <c r="R1170" s="10" t="str">
        <f>IFERROR(__xludf.DUMMYFUNCTION("IF(COUNTA(Q1170:Q1350)=0,"""",IF(ISBLANK(Q1170),FALSE,IF(NOT(COUNTIF($AA$24:$AA$34,SUBSTITUTE(Q1170,""Sell_"",""""))),1,IF(REGEXMATCH(Q1170,""Sell_""),IF(COUNTIF(Q$4:Q1170,SUBSTITUTE(Q1170,""Sell_"",""""))-COUNTIF(Q$4:Q1169,Q1170)&lt;1,1),FALSE))))"),"")</f>
        <v/>
      </c>
      <c r="S1170" s="59" t="str">
        <f t="array" ref="S1170">IF(COUNTA(Q1170:Q1350)=0,"",SUM((COUNTIF(Q$4:Q1170,Upgrades!$B$3:$B$13)-COUNTIF(Q$4:Q1170,"Sell_"&amp;Upgrades!$B$3:$B$13))*Upgrades!$D$3:$D$13))</f>
        <v/>
      </c>
      <c r="T1170" s="66" t="str">
        <f>IFERROR(__xludf.DUMMYFUNCTION("IF(COUNTA(Q1170:Q1350)=0,"""",IF(REGEXMATCH(INDEX(FILTER(Q$4:Q1170,Q$4:Q1170&lt;&gt;""""),ROWS(FILTER(Q$4:Q1170,Q$4:Q1170&lt;&gt;""""))),""^Sell_""),INDEX(FILTER(T$4:T1169,Q$4:Q1169&lt;&gt;""""),ROWS(FILTER(Q$4:Q1169,Q$4:Q1169&lt;&gt;""""))),$AD$5+S1170))"),"")</f>
        <v/>
      </c>
      <c r="U1170" s="10" t="str">
        <f>IFERROR(__xludf.DUMMYFUNCTION("IF(COUNTA(Q1170:Q1350)=0,"""",IF(Q1170="""",0,IF(REGEXMATCH(Q1170,""^Sell_""),-ROUNDDOWN(ROUNDUP(INDEX(Upgrades!$C$3:$C$13,MATCH(SUBSTITUTE(Q1170,""Sell_"",""""),Upgrades!$B$3:$B$13,0))*1.15^(COUNTIF(Q$4:Q1169,SUBSTITUTE(Q1170,""Sell_"",""""))-COUNTIF(Q$4"&amp;":Q1169,""Sell_""&amp;SUBSTITUTE(Q1170,""Sell_"",""""))))/2),ROUNDUP(INDEX(Upgrades!$C$3:$C$13,MATCH(Q1170,Upgrades!$B$3:$B$13,0))*1.15^(COUNTIF(Q$4:Q1169,Q1170)-COUNTIF(Q$4:Q1169,""Sell_""&amp;Q1170))))))"),"")</f>
        <v/>
      </c>
      <c r="V1170" s="10" t="str">
        <f t="shared" si="11"/>
        <v/>
      </c>
      <c r="W1170" s="68" t="str">
        <f t="shared" si="12"/>
        <v/>
      </c>
      <c r="X1170" s="59" t="str">
        <f t="shared" si="13"/>
        <v/>
      </c>
      <c r="Y1170" s="69" t="str">
        <f t="shared" si="14"/>
        <v/>
      </c>
      <c r="Z1170" s="11"/>
    </row>
    <row r="1171">
      <c r="A1171" s="8"/>
      <c r="B1171" s="56" t="str">
        <f t="shared" si="2"/>
        <v/>
      </c>
      <c r="C1171" s="57"/>
      <c r="D1171" s="10" t="str">
        <f>IFERROR(__xludf.DUMMYFUNCTION("IF(COUNTA(C1171:C1350)=0,"""",IF(ISBLANK(C1171),FALSE,IF(NOT(COUNTIF($AA$24:$AA$34,SUBSTITUTE(C1171,""Sell_"",""""))),1,IF(REGEXMATCH(C1171,""Sell_""),IF(COUNTIF(C$4:C1171,SUBSTITUTE(C1171,""Sell_"",""""))-COUNTIF(C$4:C1170,C1171)&lt;1,1),FALSE))))"),"")</f>
        <v/>
      </c>
      <c r="E1171" s="59" t="str">
        <f t="array" ref="E1171">IF(COUNTA(C1171:C1350)=0,"",SUM((COUNTIF(C$4:C1171,Upgrades!$B$3:$B$13)-COUNTIF(C$4:C1171,"Sell_"&amp;Upgrades!$B$3:$B$13))*Upgrades!$D$3:$D$13))</f>
        <v/>
      </c>
      <c r="F1171" s="66" t="str">
        <f>IFERROR(__xludf.DUMMYFUNCTION("IF(COUNTA(C1171:C1350)=0,"""",IF(REGEXMATCH(INDEX(FILTER(C$4:C1171,C$4:C1171&lt;&gt;""""),ROWS(FILTER(C$4:C1171,C$4:C1171&lt;&gt;""""))),""^Sell_""),INDEX(FILTER(F$4:F1170,C$4:C1170&lt;&gt;""""),ROWS(FILTER(C$4:C1170,C$4:C1170&lt;&gt;""""))),$AC$5+E1171))"),"")</f>
        <v/>
      </c>
      <c r="G1171" s="10" t="str">
        <f>IFERROR(__xludf.DUMMYFUNCTION("IF(COUNTA(C1171:C1350)=0,"""",IF(C1171="""",0,IF(REGEXMATCH(C1171,""^Sell_""),-ROUNDDOWN(ROUNDUP(INDEX(Upgrades!$C$3:$C$13,MATCH(SUBSTITUTE(C1171,""Sell_"",""""),Upgrades!$B$3:$B$13,0))*1.15^(COUNTIF(C$4:C1170,SUBSTITUTE(C1171,""Sell_"",""""))-COUNTIF(C$4"&amp;":C1170,""Sell_""&amp;SUBSTITUTE(C1171,""Sell_"",""""))))/2),ROUNDUP(INDEX(Upgrades!$C$3:$C$13,MATCH(C1171,Upgrades!$B$3:$B$13,0))*1.15^(COUNTIF(C$4:C1170,C1171)-COUNTIF(C$4:C1170,""Sell_""&amp;C1171))))))"),"")</f>
        <v/>
      </c>
      <c r="H1171" s="10" t="str">
        <f t="shared" si="3"/>
        <v/>
      </c>
      <c r="I1171" s="68" t="str">
        <f t="shared" si="4"/>
        <v/>
      </c>
      <c r="J1171" s="59" t="str">
        <f t="shared" si="5"/>
        <v/>
      </c>
      <c r="K1171" s="69" t="str">
        <f t="shared" si="6"/>
        <v/>
      </c>
      <c r="L1171" s="60" t="str">
        <f t="shared" si="7"/>
        <v/>
      </c>
      <c r="M1171" s="61" t="str">
        <f>IFERROR(__xludf.DUMMYFUNCTION("IFS(AND(COUNTA(C1171:C1350)=0,COUNTA(Q1171:Q1350)=0),"""",OR(AND(K1171&gt;=1000000000,OR(Y1171&gt;=1000000000,COUNTA(Q1171:Q1350)=0)),OR(Y1171&gt;=1000000000,AND(COUNTA(C1171:C1350)=0,P$3=TRUE))),
ROUNDDOWN((AB$1-AC$1)*MAX(INDEX(T$4:T1350,MATCH(LARGE(FILTER(Y$4:Y1"&amp;"350,Y$4:Y1350&lt;1000000000),1),Y$4:Y1350)),INDEX(F$4:F1350,MATCH(LARGE(FILTER(K$4:K1350,K$4:K1350&lt;1000000000),1),K$4:K1350)))),AND(K1171&lt;1000000000,COUNTA(C1171:C1350)&gt;0,P$3=FALSE),
ROUNDDOWN(INDEX(Y$4:Y1350,MATCH(LARGE(FILTER(W$4:W1350,W$4:W1350&lt;=I1171),1)"&amp;",W$4:W1350))+(I1171-LARGE(FILTER(W$4:W1350,W$4:W1350&lt;=I1171),1))*INDEX(T$4:T1350,MATCH(LARGE(FILTER(W$4:W1350,W$4:W1350&lt;=I1171),1),W$4:W1350))-K1171),1,
ROUNDDOWN(Y1171-INDEX(K$4:K1350,MATCH(LARGE(FILTER(I$4:I1350,I$4:I1350&lt;=W1171),1),I$4:I1350))-(W1171-L"&amp;"ARGE(FILTER(I$4:I1350,I$4:I1350&lt;=W1171),1))*INDEX(F$4:F1350,MATCH(LARGE(FILTER(I$4:I1350,I$4:I1350&lt;=W1171),1),I$4:I1350))))"),"")</f>
        <v/>
      </c>
      <c r="N1171" s="60" t="str">
        <f t="shared" si="8"/>
        <v/>
      </c>
      <c r="O1171" s="61" t="str">
        <f t="shared" si="9"/>
        <v/>
      </c>
      <c r="P1171" s="56" t="str">
        <f t="shared" si="10"/>
        <v/>
      </c>
      <c r="Q1171" s="62"/>
      <c r="R1171" s="10" t="str">
        <f>IFERROR(__xludf.DUMMYFUNCTION("IF(COUNTA(Q1171:Q1350)=0,"""",IF(ISBLANK(Q1171),FALSE,IF(NOT(COUNTIF($AA$24:$AA$34,SUBSTITUTE(Q1171,""Sell_"",""""))),1,IF(REGEXMATCH(Q1171,""Sell_""),IF(COUNTIF(Q$4:Q1171,SUBSTITUTE(Q1171,""Sell_"",""""))-COUNTIF(Q$4:Q1170,Q1171)&lt;1,1),FALSE))))"),"")</f>
        <v/>
      </c>
      <c r="S1171" s="59" t="str">
        <f t="array" ref="S1171">IF(COUNTA(Q1171:Q1350)=0,"",SUM((COUNTIF(Q$4:Q1171,Upgrades!$B$3:$B$13)-COUNTIF(Q$4:Q1171,"Sell_"&amp;Upgrades!$B$3:$B$13))*Upgrades!$D$3:$D$13))</f>
        <v/>
      </c>
      <c r="T1171" s="66" t="str">
        <f>IFERROR(__xludf.DUMMYFUNCTION("IF(COUNTA(Q1171:Q1350)=0,"""",IF(REGEXMATCH(INDEX(FILTER(Q$4:Q1171,Q$4:Q1171&lt;&gt;""""),ROWS(FILTER(Q$4:Q1171,Q$4:Q1171&lt;&gt;""""))),""^Sell_""),INDEX(FILTER(T$4:T1170,Q$4:Q1170&lt;&gt;""""),ROWS(FILTER(Q$4:Q1170,Q$4:Q1170&lt;&gt;""""))),$AD$5+S1171))"),"")</f>
        <v/>
      </c>
      <c r="U1171" s="10" t="str">
        <f>IFERROR(__xludf.DUMMYFUNCTION("IF(COUNTA(Q1171:Q1350)=0,"""",IF(Q1171="""",0,IF(REGEXMATCH(Q1171,""^Sell_""),-ROUNDDOWN(ROUNDUP(INDEX(Upgrades!$C$3:$C$13,MATCH(SUBSTITUTE(Q1171,""Sell_"",""""),Upgrades!$B$3:$B$13,0))*1.15^(COUNTIF(Q$4:Q1170,SUBSTITUTE(Q1171,""Sell_"",""""))-COUNTIF(Q$4"&amp;":Q1170,""Sell_""&amp;SUBSTITUTE(Q1171,""Sell_"",""""))))/2),ROUNDUP(INDEX(Upgrades!$C$3:$C$13,MATCH(Q1171,Upgrades!$B$3:$B$13,0))*1.15^(COUNTIF(Q$4:Q1170,Q1171)-COUNTIF(Q$4:Q1170,""Sell_""&amp;Q1171))))))"),"")</f>
        <v/>
      </c>
      <c r="V1171" s="10" t="str">
        <f t="shared" si="11"/>
        <v/>
      </c>
      <c r="W1171" s="68" t="str">
        <f t="shared" si="12"/>
        <v/>
      </c>
      <c r="X1171" s="59" t="str">
        <f t="shared" si="13"/>
        <v/>
      </c>
      <c r="Y1171" s="69" t="str">
        <f t="shared" si="14"/>
        <v/>
      </c>
      <c r="Z1171" s="11"/>
    </row>
    <row r="1172">
      <c r="A1172" s="8"/>
      <c r="B1172" s="56" t="str">
        <f t="shared" si="2"/>
        <v/>
      </c>
      <c r="C1172" s="57"/>
      <c r="D1172" s="10" t="str">
        <f>IFERROR(__xludf.DUMMYFUNCTION("IF(COUNTA(C1172:C1350)=0,"""",IF(ISBLANK(C1172),FALSE,IF(NOT(COUNTIF($AA$24:$AA$34,SUBSTITUTE(C1172,""Sell_"",""""))),1,IF(REGEXMATCH(C1172,""Sell_""),IF(COUNTIF(C$4:C1172,SUBSTITUTE(C1172,""Sell_"",""""))-COUNTIF(C$4:C1171,C1172)&lt;1,1),FALSE))))"),"")</f>
        <v/>
      </c>
      <c r="E1172" s="59" t="str">
        <f t="array" ref="E1172">IF(COUNTA(C1172:C1350)=0,"",SUM((COUNTIF(C$4:C1172,Upgrades!$B$3:$B$13)-COUNTIF(C$4:C1172,"Sell_"&amp;Upgrades!$B$3:$B$13))*Upgrades!$D$3:$D$13))</f>
        <v/>
      </c>
      <c r="F1172" s="66" t="str">
        <f>IFERROR(__xludf.DUMMYFUNCTION("IF(COUNTA(C1172:C1350)=0,"""",IF(REGEXMATCH(INDEX(FILTER(C$4:C1172,C$4:C1172&lt;&gt;""""),ROWS(FILTER(C$4:C1172,C$4:C1172&lt;&gt;""""))),""^Sell_""),INDEX(FILTER(F$4:F1171,C$4:C1171&lt;&gt;""""),ROWS(FILTER(C$4:C1171,C$4:C1171&lt;&gt;""""))),$AC$5+E1172))"),"")</f>
        <v/>
      </c>
      <c r="G1172" s="10" t="str">
        <f>IFERROR(__xludf.DUMMYFUNCTION("IF(COUNTA(C1172:C1350)=0,"""",IF(C1172="""",0,IF(REGEXMATCH(C1172,""^Sell_""),-ROUNDDOWN(ROUNDUP(INDEX(Upgrades!$C$3:$C$13,MATCH(SUBSTITUTE(C1172,""Sell_"",""""),Upgrades!$B$3:$B$13,0))*1.15^(COUNTIF(C$4:C1171,SUBSTITUTE(C1172,""Sell_"",""""))-COUNTIF(C$4"&amp;":C1171,""Sell_""&amp;SUBSTITUTE(C1172,""Sell_"",""""))))/2),ROUNDUP(INDEX(Upgrades!$C$3:$C$13,MATCH(C1172,Upgrades!$B$3:$B$13,0))*1.15^(COUNTIF(C$4:C1171,C1172)-COUNTIF(C$4:C1171,""Sell_""&amp;C1172))))))"),"")</f>
        <v/>
      </c>
      <c r="H1172" s="10" t="str">
        <f t="shared" si="3"/>
        <v/>
      </c>
      <c r="I1172" s="68" t="str">
        <f t="shared" si="4"/>
        <v/>
      </c>
      <c r="J1172" s="59" t="str">
        <f t="shared" si="5"/>
        <v/>
      </c>
      <c r="K1172" s="69" t="str">
        <f t="shared" si="6"/>
        <v/>
      </c>
      <c r="L1172" s="60" t="str">
        <f t="shared" si="7"/>
        <v/>
      </c>
      <c r="M1172" s="61" t="str">
        <f>IFERROR(__xludf.DUMMYFUNCTION("IFS(AND(COUNTA(C1172:C1350)=0,COUNTA(Q1172:Q1350)=0),"""",OR(AND(K1172&gt;=1000000000,OR(Y1172&gt;=1000000000,COUNTA(Q1172:Q1350)=0)),OR(Y1172&gt;=1000000000,AND(COUNTA(C1172:C1350)=0,P$3=TRUE))),
ROUNDDOWN((AB$1-AC$1)*MAX(INDEX(T$4:T1350,MATCH(LARGE(FILTER(Y$4:Y1"&amp;"350,Y$4:Y1350&lt;1000000000),1),Y$4:Y1350)),INDEX(F$4:F1350,MATCH(LARGE(FILTER(K$4:K1350,K$4:K1350&lt;1000000000),1),K$4:K1350)))),AND(K1172&lt;1000000000,COUNTA(C1172:C1350)&gt;0,P$3=FALSE),
ROUNDDOWN(INDEX(Y$4:Y1350,MATCH(LARGE(FILTER(W$4:W1350,W$4:W1350&lt;=I1172),1)"&amp;",W$4:W1350))+(I1172-LARGE(FILTER(W$4:W1350,W$4:W1350&lt;=I1172),1))*INDEX(T$4:T1350,MATCH(LARGE(FILTER(W$4:W1350,W$4:W1350&lt;=I1172),1),W$4:W1350))-K1172),1,
ROUNDDOWN(Y1172-INDEX(K$4:K1350,MATCH(LARGE(FILTER(I$4:I1350,I$4:I1350&lt;=W1172),1),I$4:I1350))-(W1172-L"&amp;"ARGE(FILTER(I$4:I1350,I$4:I1350&lt;=W1172),1))*INDEX(F$4:F1350,MATCH(LARGE(FILTER(I$4:I1350,I$4:I1350&lt;=W1172),1),I$4:I1350))))"),"")</f>
        <v/>
      </c>
      <c r="N1172" s="60" t="str">
        <f t="shared" si="8"/>
        <v/>
      </c>
      <c r="O1172" s="61" t="str">
        <f t="shared" si="9"/>
        <v/>
      </c>
      <c r="P1172" s="56" t="str">
        <f t="shared" si="10"/>
        <v/>
      </c>
      <c r="Q1172" s="62"/>
      <c r="R1172" s="10" t="str">
        <f>IFERROR(__xludf.DUMMYFUNCTION("IF(COUNTA(Q1172:Q1350)=0,"""",IF(ISBLANK(Q1172),FALSE,IF(NOT(COUNTIF($AA$24:$AA$34,SUBSTITUTE(Q1172,""Sell_"",""""))),1,IF(REGEXMATCH(Q1172,""Sell_""),IF(COUNTIF(Q$4:Q1172,SUBSTITUTE(Q1172,""Sell_"",""""))-COUNTIF(Q$4:Q1171,Q1172)&lt;1,1),FALSE))))"),"")</f>
        <v/>
      </c>
      <c r="S1172" s="59" t="str">
        <f t="array" ref="S1172">IF(COUNTA(Q1172:Q1350)=0,"",SUM((COUNTIF(Q$4:Q1172,Upgrades!$B$3:$B$13)-COUNTIF(Q$4:Q1172,"Sell_"&amp;Upgrades!$B$3:$B$13))*Upgrades!$D$3:$D$13))</f>
        <v/>
      </c>
      <c r="T1172" s="66" t="str">
        <f>IFERROR(__xludf.DUMMYFUNCTION("IF(COUNTA(Q1172:Q1350)=0,"""",IF(REGEXMATCH(INDEX(FILTER(Q$4:Q1172,Q$4:Q1172&lt;&gt;""""),ROWS(FILTER(Q$4:Q1172,Q$4:Q1172&lt;&gt;""""))),""^Sell_""),INDEX(FILTER(T$4:T1171,Q$4:Q1171&lt;&gt;""""),ROWS(FILTER(Q$4:Q1171,Q$4:Q1171&lt;&gt;""""))),$AD$5+S1172))"),"")</f>
        <v/>
      </c>
      <c r="U1172" s="10" t="str">
        <f>IFERROR(__xludf.DUMMYFUNCTION("IF(COUNTA(Q1172:Q1350)=0,"""",IF(Q1172="""",0,IF(REGEXMATCH(Q1172,""^Sell_""),-ROUNDDOWN(ROUNDUP(INDEX(Upgrades!$C$3:$C$13,MATCH(SUBSTITUTE(Q1172,""Sell_"",""""),Upgrades!$B$3:$B$13,0))*1.15^(COUNTIF(Q$4:Q1171,SUBSTITUTE(Q1172,""Sell_"",""""))-COUNTIF(Q$4"&amp;":Q1171,""Sell_""&amp;SUBSTITUTE(Q1172,""Sell_"",""""))))/2),ROUNDUP(INDEX(Upgrades!$C$3:$C$13,MATCH(Q1172,Upgrades!$B$3:$B$13,0))*1.15^(COUNTIF(Q$4:Q1171,Q1172)-COUNTIF(Q$4:Q1171,""Sell_""&amp;Q1172))))))"),"")</f>
        <v/>
      </c>
      <c r="V1172" s="10" t="str">
        <f t="shared" si="11"/>
        <v/>
      </c>
      <c r="W1172" s="68" t="str">
        <f t="shared" si="12"/>
        <v/>
      </c>
      <c r="X1172" s="59" t="str">
        <f t="shared" si="13"/>
        <v/>
      </c>
      <c r="Y1172" s="69" t="str">
        <f t="shared" si="14"/>
        <v/>
      </c>
      <c r="Z1172" s="11"/>
    </row>
    <row r="1173">
      <c r="A1173" s="8"/>
      <c r="B1173" s="56" t="str">
        <f t="shared" si="2"/>
        <v/>
      </c>
      <c r="C1173" s="57"/>
      <c r="D1173" s="10" t="str">
        <f>IFERROR(__xludf.DUMMYFUNCTION("IF(COUNTA(C1173:C1350)=0,"""",IF(ISBLANK(C1173),FALSE,IF(NOT(COUNTIF($AA$24:$AA$34,SUBSTITUTE(C1173,""Sell_"",""""))),1,IF(REGEXMATCH(C1173,""Sell_""),IF(COUNTIF(C$4:C1173,SUBSTITUTE(C1173,""Sell_"",""""))-COUNTIF(C$4:C1172,C1173)&lt;1,1),FALSE))))"),"")</f>
        <v/>
      </c>
      <c r="E1173" s="59" t="str">
        <f t="array" ref="E1173">IF(COUNTA(C1173:C1350)=0,"",SUM((COUNTIF(C$4:C1173,Upgrades!$B$3:$B$13)-COUNTIF(C$4:C1173,"Sell_"&amp;Upgrades!$B$3:$B$13))*Upgrades!$D$3:$D$13))</f>
        <v/>
      </c>
      <c r="F1173" s="66" t="str">
        <f>IFERROR(__xludf.DUMMYFUNCTION("IF(COUNTA(C1173:C1350)=0,"""",IF(REGEXMATCH(INDEX(FILTER(C$4:C1173,C$4:C1173&lt;&gt;""""),ROWS(FILTER(C$4:C1173,C$4:C1173&lt;&gt;""""))),""^Sell_""),INDEX(FILTER(F$4:F1172,C$4:C1172&lt;&gt;""""),ROWS(FILTER(C$4:C1172,C$4:C1172&lt;&gt;""""))),$AC$5+E1173))"),"")</f>
        <v/>
      </c>
      <c r="G1173" s="10" t="str">
        <f>IFERROR(__xludf.DUMMYFUNCTION("IF(COUNTA(C1173:C1350)=0,"""",IF(C1173="""",0,IF(REGEXMATCH(C1173,""^Sell_""),-ROUNDDOWN(ROUNDUP(INDEX(Upgrades!$C$3:$C$13,MATCH(SUBSTITUTE(C1173,""Sell_"",""""),Upgrades!$B$3:$B$13,0))*1.15^(COUNTIF(C$4:C1172,SUBSTITUTE(C1173,""Sell_"",""""))-COUNTIF(C$4"&amp;":C1172,""Sell_""&amp;SUBSTITUTE(C1173,""Sell_"",""""))))/2),ROUNDUP(INDEX(Upgrades!$C$3:$C$13,MATCH(C1173,Upgrades!$B$3:$B$13,0))*1.15^(COUNTIF(C$4:C1172,C1173)-COUNTIF(C$4:C1172,""Sell_""&amp;C1173))))))"),"")</f>
        <v/>
      </c>
      <c r="H1173" s="10" t="str">
        <f t="shared" si="3"/>
        <v/>
      </c>
      <c r="I1173" s="68" t="str">
        <f t="shared" si="4"/>
        <v/>
      </c>
      <c r="J1173" s="59" t="str">
        <f t="shared" si="5"/>
        <v/>
      </c>
      <c r="K1173" s="69" t="str">
        <f t="shared" si="6"/>
        <v/>
      </c>
      <c r="L1173" s="60" t="str">
        <f t="shared" si="7"/>
        <v/>
      </c>
      <c r="M1173" s="61" t="str">
        <f>IFERROR(__xludf.DUMMYFUNCTION("IFS(AND(COUNTA(C1173:C1350)=0,COUNTA(Q1173:Q1350)=0),"""",OR(AND(K1173&gt;=1000000000,OR(Y1173&gt;=1000000000,COUNTA(Q1173:Q1350)=0)),OR(Y1173&gt;=1000000000,AND(COUNTA(C1173:C1350)=0,P$3=TRUE))),
ROUNDDOWN((AB$1-AC$1)*MAX(INDEX(T$4:T1350,MATCH(LARGE(FILTER(Y$4:Y1"&amp;"350,Y$4:Y1350&lt;1000000000),1),Y$4:Y1350)),INDEX(F$4:F1350,MATCH(LARGE(FILTER(K$4:K1350,K$4:K1350&lt;1000000000),1),K$4:K1350)))),AND(K1173&lt;1000000000,COUNTA(C1173:C1350)&gt;0,P$3=FALSE),
ROUNDDOWN(INDEX(Y$4:Y1350,MATCH(LARGE(FILTER(W$4:W1350,W$4:W1350&lt;=I1173),1)"&amp;",W$4:W1350))+(I1173-LARGE(FILTER(W$4:W1350,W$4:W1350&lt;=I1173),1))*INDEX(T$4:T1350,MATCH(LARGE(FILTER(W$4:W1350,W$4:W1350&lt;=I1173),1),W$4:W1350))-K1173),1,
ROUNDDOWN(Y1173-INDEX(K$4:K1350,MATCH(LARGE(FILTER(I$4:I1350,I$4:I1350&lt;=W1173),1),I$4:I1350))-(W1173-L"&amp;"ARGE(FILTER(I$4:I1350,I$4:I1350&lt;=W1173),1))*INDEX(F$4:F1350,MATCH(LARGE(FILTER(I$4:I1350,I$4:I1350&lt;=W1173),1),I$4:I1350))))"),"")</f>
        <v/>
      </c>
      <c r="N1173" s="60" t="str">
        <f t="shared" si="8"/>
        <v/>
      </c>
      <c r="O1173" s="61" t="str">
        <f t="shared" si="9"/>
        <v/>
      </c>
      <c r="P1173" s="56" t="str">
        <f t="shared" si="10"/>
        <v/>
      </c>
      <c r="Q1173" s="62"/>
      <c r="R1173" s="10" t="str">
        <f>IFERROR(__xludf.DUMMYFUNCTION("IF(COUNTA(Q1173:Q1350)=0,"""",IF(ISBLANK(Q1173),FALSE,IF(NOT(COUNTIF($AA$24:$AA$34,SUBSTITUTE(Q1173,""Sell_"",""""))),1,IF(REGEXMATCH(Q1173,""Sell_""),IF(COUNTIF(Q$4:Q1173,SUBSTITUTE(Q1173,""Sell_"",""""))-COUNTIF(Q$4:Q1172,Q1173)&lt;1,1),FALSE))))"),"")</f>
        <v/>
      </c>
      <c r="S1173" s="59" t="str">
        <f t="array" ref="S1173">IF(COUNTA(Q1173:Q1350)=0,"",SUM((COUNTIF(Q$4:Q1173,Upgrades!$B$3:$B$13)-COUNTIF(Q$4:Q1173,"Sell_"&amp;Upgrades!$B$3:$B$13))*Upgrades!$D$3:$D$13))</f>
        <v/>
      </c>
      <c r="T1173" s="66" t="str">
        <f>IFERROR(__xludf.DUMMYFUNCTION("IF(COUNTA(Q1173:Q1350)=0,"""",IF(REGEXMATCH(INDEX(FILTER(Q$4:Q1173,Q$4:Q1173&lt;&gt;""""),ROWS(FILTER(Q$4:Q1173,Q$4:Q1173&lt;&gt;""""))),""^Sell_""),INDEX(FILTER(T$4:T1172,Q$4:Q1172&lt;&gt;""""),ROWS(FILTER(Q$4:Q1172,Q$4:Q1172&lt;&gt;""""))),$AD$5+S1173))"),"")</f>
        <v/>
      </c>
      <c r="U1173" s="10" t="str">
        <f>IFERROR(__xludf.DUMMYFUNCTION("IF(COUNTA(Q1173:Q1350)=0,"""",IF(Q1173="""",0,IF(REGEXMATCH(Q1173,""^Sell_""),-ROUNDDOWN(ROUNDUP(INDEX(Upgrades!$C$3:$C$13,MATCH(SUBSTITUTE(Q1173,""Sell_"",""""),Upgrades!$B$3:$B$13,0))*1.15^(COUNTIF(Q$4:Q1172,SUBSTITUTE(Q1173,""Sell_"",""""))-COUNTIF(Q$4"&amp;":Q1172,""Sell_""&amp;SUBSTITUTE(Q1173,""Sell_"",""""))))/2),ROUNDUP(INDEX(Upgrades!$C$3:$C$13,MATCH(Q1173,Upgrades!$B$3:$B$13,0))*1.15^(COUNTIF(Q$4:Q1172,Q1173)-COUNTIF(Q$4:Q1172,""Sell_""&amp;Q1173))))))"),"")</f>
        <v/>
      </c>
      <c r="V1173" s="10" t="str">
        <f t="shared" si="11"/>
        <v/>
      </c>
      <c r="W1173" s="68" t="str">
        <f t="shared" si="12"/>
        <v/>
      </c>
      <c r="X1173" s="59" t="str">
        <f t="shared" si="13"/>
        <v/>
      </c>
      <c r="Y1173" s="69" t="str">
        <f t="shared" si="14"/>
        <v/>
      </c>
      <c r="Z1173" s="11"/>
    </row>
    <row r="1174">
      <c r="A1174" s="8"/>
      <c r="B1174" s="56" t="str">
        <f t="shared" si="2"/>
        <v/>
      </c>
      <c r="C1174" s="57"/>
      <c r="D1174" s="10" t="str">
        <f>IFERROR(__xludf.DUMMYFUNCTION("IF(COUNTA(C1174:C1350)=0,"""",IF(ISBLANK(C1174),FALSE,IF(NOT(COUNTIF($AA$24:$AA$34,SUBSTITUTE(C1174,""Sell_"",""""))),1,IF(REGEXMATCH(C1174,""Sell_""),IF(COUNTIF(C$4:C1174,SUBSTITUTE(C1174,""Sell_"",""""))-COUNTIF(C$4:C1173,C1174)&lt;1,1),FALSE))))"),"")</f>
        <v/>
      </c>
      <c r="E1174" s="59" t="str">
        <f t="array" ref="E1174">IF(COUNTA(C1174:C1350)=0,"",SUM((COUNTIF(C$4:C1174,Upgrades!$B$3:$B$13)-COUNTIF(C$4:C1174,"Sell_"&amp;Upgrades!$B$3:$B$13))*Upgrades!$D$3:$D$13))</f>
        <v/>
      </c>
      <c r="F1174" s="66" t="str">
        <f>IFERROR(__xludf.DUMMYFUNCTION("IF(COUNTA(C1174:C1350)=0,"""",IF(REGEXMATCH(INDEX(FILTER(C$4:C1174,C$4:C1174&lt;&gt;""""),ROWS(FILTER(C$4:C1174,C$4:C1174&lt;&gt;""""))),""^Sell_""),INDEX(FILTER(F$4:F1173,C$4:C1173&lt;&gt;""""),ROWS(FILTER(C$4:C1173,C$4:C1173&lt;&gt;""""))),$AC$5+E1174))"),"")</f>
        <v/>
      </c>
      <c r="G1174" s="10" t="str">
        <f>IFERROR(__xludf.DUMMYFUNCTION("IF(COUNTA(C1174:C1350)=0,"""",IF(C1174="""",0,IF(REGEXMATCH(C1174,""^Sell_""),-ROUNDDOWN(ROUNDUP(INDEX(Upgrades!$C$3:$C$13,MATCH(SUBSTITUTE(C1174,""Sell_"",""""),Upgrades!$B$3:$B$13,0))*1.15^(COUNTIF(C$4:C1173,SUBSTITUTE(C1174,""Sell_"",""""))-COUNTIF(C$4"&amp;":C1173,""Sell_""&amp;SUBSTITUTE(C1174,""Sell_"",""""))))/2),ROUNDUP(INDEX(Upgrades!$C$3:$C$13,MATCH(C1174,Upgrades!$B$3:$B$13,0))*1.15^(COUNTIF(C$4:C1173,C1174)-COUNTIF(C$4:C1173,""Sell_""&amp;C1174))))))"),"")</f>
        <v/>
      </c>
      <c r="H1174" s="10" t="str">
        <f t="shared" si="3"/>
        <v/>
      </c>
      <c r="I1174" s="68" t="str">
        <f t="shared" si="4"/>
        <v/>
      </c>
      <c r="J1174" s="59" t="str">
        <f t="shared" si="5"/>
        <v/>
      </c>
      <c r="K1174" s="69" t="str">
        <f t="shared" si="6"/>
        <v/>
      </c>
      <c r="L1174" s="60" t="str">
        <f t="shared" si="7"/>
        <v/>
      </c>
      <c r="M1174" s="61" t="str">
        <f>IFERROR(__xludf.DUMMYFUNCTION("IFS(AND(COUNTA(C1174:C1350)=0,COUNTA(Q1174:Q1350)=0),"""",OR(AND(K1174&gt;=1000000000,OR(Y1174&gt;=1000000000,COUNTA(Q1174:Q1350)=0)),OR(Y1174&gt;=1000000000,AND(COUNTA(C1174:C1350)=0,P$3=TRUE))),
ROUNDDOWN((AB$1-AC$1)*MAX(INDEX(T$4:T1350,MATCH(LARGE(FILTER(Y$4:Y1"&amp;"350,Y$4:Y1350&lt;1000000000),1),Y$4:Y1350)),INDEX(F$4:F1350,MATCH(LARGE(FILTER(K$4:K1350,K$4:K1350&lt;1000000000),1),K$4:K1350)))),AND(K1174&lt;1000000000,COUNTA(C1174:C1350)&gt;0,P$3=FALSE),
ROUNDDOWN(INDEX(Y$4:Y1350,MATCH(LARGE(FILTER(W$4:W1350,W$4:W1350&lt;=I1174),1)"&amp;",W$4:W1350))+(I1174-LARGE(FILTER(W$4:W1350,W$4:W1350&lt;=I1174),1))*INDEX(T$4:T1350,MATCH(LARGE(FILTER(W$4:W1350,W$4:W1350&lt;=I1174),1),W$4:W1350))-K1174),1,
ROUNDDOWN(Y1174-INDEX(K$4:K1350,MATCH(LARGE(FILTER(I$4:I1350,I$4:I1350&lt;=W1174),1),I$4:I1350))-(W1174-L"&amp;"ARGE(FILTER(I$4:I1350,I$4:I1350&lt;=W1174),1))*INDEX(F$4:F1350,MATCH(LARGE(FILTER(I$4:I1350,I$4:I1350&lt;=W1174),1),I$4:I1350))))"),"")</f>
        <v/>
      </c>
      <c r="N1174" s="60" t="str">
        <f t="shared" si="8"/>
        <v/>
      </c>
      <c r="O1174" s="61" t="str">
        <f t="shared" si="9"/>
        <v/>
      </c>
      <c r="P1174" s="56" t="str">
        <f t="shared" si="10"/>
        <v/>
      </c>
      <c r="Q1174" s="62"/>
      <c r="R1174" s="10" t="str">
        <f>IFERROR(__xludf.DUMMYFUNCTION("IF(COUNTA(Q1174:Q1350)=0,"""",IF(ISBLANK(Q1174),FALSE,IF(NOT(COUNTIF($AA$24:$AA$34,SUBSTITUTE(Q1174,""Sell_"",""""))),1,IF(REGEXMATCH(Q1174,""Sell_""),IF(COUNTIF(Q$4:Q1174,SUBSTITUTE(Q1174,""Sell_"",""""))-COUNTIF(Q$4:Q1173,Q1174)&lt;1,1),FALSE))))"),"")</f>
        <v/>
      </c>
      <c r="S1174" s="59" t="str">
        <f t="array" ref="S1174">IF(COUNTA(Q1174:Q1350)=0,"",SUM((COUNTIF(Q$4:Q1174,Upgrades!$B$3:$B$13)-COUNTIF(Q$4:Q1174,"Sell_"&amp;Upgrades!$B$3:$B$13))*Upgrades!$D$3:$D$13))</f>
        <v/>
      </c>
      <c r="T1174" s="66" t="str">
        <f>IFERROR(__xludf.DUMMYFUNCTION("IF(COUNTA(Q1174:Q1350)=0,"""",IF(REGEXMATCH(INDEX(FILTER(Q$4:Q1174,Q$4:Q1174&lt;&gt;""""),ROWS(FILTER(Q$4:Q1174,Q$4:Q1174&lt;&gt;""""))),""^Sell_""),INDEX(FILTER(T$4:T1173,Q$4:Q1173&lt;&gt;""""),ROWS(FILTER(Q$4:Q1173,Q$4:Q1173&lt;&gt;""""))),$AD$5+S1174))"),"")</f>
        <v/>
      </c>
      <c r="U1174" s="10" t="str">
        <f>IFERROR(__xludf.DUMMYFUNCTION("IF(COUNTA(Q1174:Q1350)=0,"""",IF(Q1174="""",0,IF(REGEXMATCH(Q1174,""^Sell_""),-ROUNDDOWN(ROUNDUP(INDEX(Upgrades!$C$3:$C$13,MATCH(SUBSTITUTE(Q1174,""Sell_"",""""),Upgrades!$B$3:$B$13,0))*1.15^(COUNTIF(Q$4:Q1173,SUBSTITUTE(Q1174,""Sell_"",""""))-COUNTIF(Q$4"&amp;":Q1173,""Sell_""&amp;SUBSTITUTE(Q1174,""Sell_"",""""))))/2),ROUNDUP(INDEX(Upgrades!$C$3:$C$13,MATCH(Q1174,Upgrades!$B$3:$B$13,0))*1.15^(COUNTIF(Q$4:Q1173,Q1174)-COUNTIF(Q$4:Q1173,""Sell_""&amp;Q1174))))))"),"")</f>
        <v/>
      </c>
      <c r="V1174" s="10" t="str">
        <f t="shared" si="11"/>
        <v/>
      </c>
      <c r="W1174" s="68" t="str">
        <f t="shared" si="12"/>
        <v/>
      </c>
      <c r="X1174" s="59" t="str">
        <f t="shared" si="13"/>
        <v/>
      </c>
      <c r="Y1174" s="69" t="str">
        <f t="shared" si="14"/>
        <v/>
      </c>
      <c r="Z1174" s="11"/>
    </row>
    <row r="1175">
      <c r="A1175" s="8"/>
      <c r="B1175" s="56" t="str">
        <f t="shared" si="2"/>
        <v/>
      </c>
      <c r="C1175" s="57"/>
      <c r="D1175" s="10" t="str">
        <f>IFERROR(__xludf.DUMMYFUNCTION("IF(COUNTA(C1175:C1350)=0,"""",IF(ISBLANK(C1175),FALSE,IF(NOT(COUNTIF($AA$24:$AA$34,SUBSTITUTE(C1175,""Sell_"",""""))),1,IF(REGEXMATCH(C1175,""Sell_""),IF(COUNTIF(C$4:C1175,SUBSTITUTE(C1175,""Sell_"",""""))-COUNTIF(C$4:C1174,C1175)&lt;1,1),FALSE))))"),"")</f>
        <v/>
      </c>
      <c r="E1175" s="59" t="str">
        <f t="array" ref="E1175">IF(COUNTA(C1175:C1350)=0,"",SUM((COUNTIF(C$4:C1175,Upgrades!$B$3:$B$13)-COUNTIF(C$4:C1175,"Sell_"&amp;Upgrades!$B$3:$B$13))*Upgrades!$D$3:$D$13))</f>
        <v/>
      </c>
      <c r="F1175" s="66" t="str">
        <f>IFERROR(__xludf.DUMMYFUNCTION("IF(COUNTA(C1175:C1350)=0,"""",IF(REGEXMATCH(INDEX(FILTER(C$4:C1175,C$4:C1175&lt;&gt;""""),ROWS(FILTER(C$4:C1175,C$4:C1175&lt;&gt;""""))),""^Sell_""),INDEX(FILTER(F$4:F1174,C$4:C1174&lt;&gt;""""),ROWS(FILTER(C$4:C1174,C$4:C1174&lt;&gt;""""))),$AC$5+E1175))"),"")</f>
        <v/>
      </c>
      <c r="G1175" s="10" t="str">
        <f>IFERROR(__xludf.DUMMYFUNCTION("IF(COUNTA(C1175:C1350)=0,"""",IF(C1175="""",0,IF(REGEXMATCH(C1175,""^Sell_""),-ROUNDDOWN(ROUNDUP(INDEX(Upgrades!$C$3:$C$13,MATCH(SUBSTITUTE(C1175,""Sell_"",""""),Upgrades!$B$3:$B$13,0))*1.15^(COUNTIF(C$4:C1174,SUBSTITUTE(C1175,""Sell_"",""""))-COUNTIF(C$4"&amp;":C1174,""Sell_""&amp;SUBSTITUTE(C1175,""Sell_"",""""))))/2),ROUNDUP(INDEX(Upgrades!$C$3:$C$13,MATCH(C1175,Upgrades!$B$3:$B$13,0))*1.15^(COUNTIF(C$4:C1174,C1175)-COUNTIF(C$4:C1174,""Sell_""&amp;C1175))))))"),"")</f>
        <v/>
      </c>
      <c r="H1175" s="10" t="str">
        <f t="shared" si="3"/>
        <v/>
      </c>
      <c r="I1175" s="68" t="str">
        <f t="shared" si="4"/>
        <v/>
      </c>
      <c r="J1175" s="59" t="str">
        <f t="shared" si="5"/>
        <v/>
      </c>
      <c r="K1175" s="69" t="str">
        <f t="shared" si="6"/>
        <v/>
      </c>
      <c r="L1175" s="60" t="str">
        <f t="shared" si="7"/>
        <v/>
      </c>
      <c r="M1175" s="61" t="str">
        <f>IFERROR(__xludf.DUMMYFUNCTION("IFS(AND(COUNTA(C1175:C1350)=0,COUNTA(Q1175:Q1350)=0),"""",OR(AND(K1175&gt;=1000000000,OR(Y1175&gt;=1000000000,COUNTA(Q1175:Q1350)=0)),OR(Y1175&gt;=1000000000,AND(COUNTA(C1175:C1350)=0,P$3=TRUE))),
ROUNDDOWN((AB$1-AC$1)*MAX(INDEX(T$4:T1350,MATCH(LARGE(FILTER(Y$4:Y1"&amp;"350,Y$4:Y1350&lt;1000000000),1),Y$4:Y1350)),INDEX(F$4:F1350,MATCH(LARGE(FILTER(K$4:K1350,K$4:K1350&lt;1000000000),1),K$4:K1350)))),AND(K1175&lt;1000000000,COUNTA(C1175:C1350)&gt;0,P$3=FALSE),
ROUNDDOWN(INDEX(Y$4:Y1350,MATCH(LARGE(FILTER(W$4:W1350,W$4:W1350&lt;=I1175),1)"&amp;",W$4:W1350))+(I1175-LARGE(FILTER(W$4:W1350,W$4:W1350&lt;=I1175),1))*INDEX(T$4:T1350,MATCH(LARGE(FILTER(W$4:W1350,W$4:W1350&lt;=I1175),1),W$4:W1350))-K1175),1,
ROUNDDOWN(Y1175-INDEX(K$4:K1350,MATCH(LARGE(FILTER(I$4:I1350,I$4:I1350&lt;=W1175),1),I$4:I1350))-(W1175-L"&amp;"ARGE(FILTER(I$4:I1350,I$4:I1350&lt;=W1175),1))*INDEX(F$4:F1350,MATCH(LARGE(FILTER(I$4:I1350,I$4:I1350&lt;=W1175),1),I$4:I1350))))"),"")</f>
        <v/>
      </c>
      <c r="N1175" s="60" t="str">
        <f t="shared" si="8"/>
        <v/>
      </c>
      <c r="O1175" s="61" t="str">
        <f t="shared" si="9"/>
        <v/>
      </c>
      <c r="P1175" s="56" t="str">
        <f t="shared" si="10"/>
        <v/>
      </c>
      <c r="Q1175" s="62"/>
      <c r="R1175" s="10" t="str">
        <f>IFERROR(__xludf.DUMMYFUNCTION("IF(COUNTA(Q1175:Q1350)=0,"""",IF(ISBLANK(Q1175),FALSE,IF(NOT(COUNTIF($AA$24:$AA$34,SUBSTITUTE(Q1175,""Sell_"",""""))),1,IF(REGEXMATCH(Q1175,""Sell_""),IF(COUNTIF(Q$4:Q1175,SUBSTITUTE(Q1175,""Sell_"",""""))-COUNTIF(Q$4:Q1174,Q1175)&lt;1,1),FALSE))))"),"")</f>
        <v/>
      </c>
      <c r="S1175" s="59" t="str">
        <f t="array" ref="S1175">IF(COUNTA(Q1175:Q1350)=0,"",SUM((COUNTIF(Q$4:Q1175,Upgrades!$B$3:$B$13)-COUNTIF(Q$4:Q1175,"Sell_"&amp;Upgrades!$B$3:$B$13))*Upgrades!$D$3:$D$13))</f>
        <v/>
      </c>
      <c r="T1175" s="66" t="str">
        <f>IFERROR(__xludf.DUMMYFUNCTION("IF(COUNTA(Q1175:Q1350)=0,"""",IF(REGEXMATCH(INDEX(FILTER(Q$4:Q1175,Q$4:Q1175&lt;&gt;""""),ROWS(FILTER(Q$4:Q1175,Q$4:Q1175&lt;&gt;""""))),""^Sell_""),INDEX(FILTER(T$4:T1174,Q$4:Q1174&lt;&gt;""""),ROWS(FILTER(Q$4:Q1174,Q$4:Q1174&lt;&gt;""""))),$AD$5+S1175))"),"")</f>
        <v/>
      </c>
      <c r="U1175" s="10" t="str">
        <f>IFERROR(__xludf.DUMMYFUNCTION("IF(COUNTA(Q1175:Q1350)=0,"""",IF(Q1175="""",0,IF(REGEXMATCH(Q1175,""^Sell_""),-ROUNDDOWN(ROUNDUP(INDEX(Upgrades!$C$3:$C$13,MATCH(SUBSTITUTE(Q1175,""Sell_"",""""),Upgrades!$B$3:$B$13,0))*1.15^(COUNTIF(Q$4:Q1174,SUBSTITUTE(Q1175,""Sell_"",""""))-COUNTIF(Q$4"&amp;":Q1174,""Sell_""&amp;SUBSTITUTE(Q1175,""Sell_"",""""))))/2),ROUNDUP(INDEX(Upgrades!$C$3:$C$13,MATCH(Q1175,Upgrades!$B$3:$B$13,0))*1.15^(COUNTIF(Q$4:Q1174,Q1175)-COUNTIF(Q$4:Q1174,""Sell_""&amp;Q1175))))))"),"")</f>
        <v/>
      </c>
      <c r="V1175" s="10" t="str">
        <f t="shared" si="11"/>
        <v/>
      </c>
      <c r="W1175" s="68" t="str">
        <f t="shared" si="12"/>
        <v/>
      </c>
      <c r="X1175" s="59" t="str">
        <f t="shared" si="13"/>
        <v/>
      </c>
      <c r="Y1175" s="69" t="str">
        <f t="shared" si="14"/>
        <v/>
      </c>
      <c r="Z1175" s="11"/>
    </row>
    <row r="1176">
      <c r="A1176" s="8"/>
      <c r="B1176" s="56" t="str">
        <f t="shared" si="2"/>
        <v/>
      </c>
      <c r="C1176" s="57"/>
      <c r="D1176" s="10" t="str">
        <f>IFERROR(__xludf.DUMMYFUNCTION("IF(COUNTA(C1176:C1350)=0,"""",IF(ISBLANK(C1176),FALSE,IF(NOT(COUNTIF($AA$24:$AA$34,SUBSTITUTE(C1176,""Sell_"",""""))),1,IF(REGEXMATCH(C1176,""Sell_""),IF(COUNTIF(C$4:C1176,SUBSTITUTE(C1176,""Sell_"",""""))-COUNTIF(C$4:C1175,C1176)&lt;1,1),FALSE))))"),"")</f>
        <v/>
      </c>
      <c r="E1176" s="59" t="str">
        <f t="array" ref="E1176">IF(COUNTA(C1176:C1350)=0,"",SUM((COUNTIF(C$4:C1176,Upgrades!$B$3:$B$13)-COUNTIF(C$4:C1176,"Sell_"&amp;Upgrades!$B$3:$B$13))*Upgrades!$D$3:$D$13))</f>
        <v/>
      </c>
      <c r="F1176" s="66" t="str">
        <f>IFERROR(__xludf.DUMMYFUNCTION("IF(COUNTA(C1176:C1350)=0,"""",IF(REGEXMATCH(INDEX(FILTER(C$4:C1176,C$4:C1176&lt;&gt;""""),ROWS(FILTER(C$4:C1176,C$4:C1176&lt;&gt;""""))),""^Sell_""),INDEX(FILTER(F$4:F1175,C$4:C1175&lt;&gt;""""),ROWS(FILTER(C$4:C1175,C$4:C1175&lt;&gt;""""))),$AC$5+E1176))"),"")</f>
        <v/>
      </c>
      <c r="G1176" s="10" t="str">
        <f>IFERROR(__xludf.DUMMYFUNCTION("IF(COUNTA(C1176:C1350)=0,"""",IF(C1176="""",0,IF(REGEXMATCH(C1176,""^Sell_""),-ROUNDDOWN(ROUNDUP(INDEX(Upgrades!$C$3:$C$13,MATCH(SUBSTITUTE(C1176,""Sell_"",""""),Upgrades!$B$3:$B$13,0))*1.15^(COUNTIF(C$4:C1175,SUBSTITUTE(C1176,""Sell_"",""""))-COUNTIF(C$4"&amp;":C1175,""Sell_""&amp;SUBSTITUTE(C1176,""Sell_"",""""))))/2),ROUNDUP(INDEX(Upgrades!$C$3:$C$13,MATCH(C1176,Upgrades!$B$3:$B$13,0))*1.15^(COUNTIF(C$4:C1175,C1176)-COUNTIF(C$4:C1175,""Sell_""&amp;C1176))))))"),"")</f>
        <v/>
      </c>
      <c r="H1176" s="10" t="str">
        <f t="shared" si="3"/>
        <v/>
      </c>
      <c r="I1176" s="68" t="str">
        <f t="shared" si="4"/>
        <v/>
      </c>
      <c r="J1176" s="59" t="str">
        <f t="shared" si="5"/>
        <v/>
      </c>
      <c r="K1176" s="69" t="str">
        <f t="shared" si="6"/>
        <v/>
      </c>
      <c r="L1176" s="60" t="str">
        <f t="shared" si="7"/>
        <v/>
      </c>
      <c r="M1176" s="61" t="str">
        <f>IFERROR(__xludf.DUMMYFUNCTION("IFS(AND(COUNTA(C1176:C1350)=0,COUNTA(Q1176:Q1350)=0),"""",OR(AND(K1176&gt;=1000000000,OR(Y1176&gt;=1000000000,COUNTA(Q1176:Q1350)=0)),OR(Y1176&gt;=1000000000,AND(COUNTA(C1176:C1350)=0,P$3=TRUE))),
ROUNDDOWN((AB$1-AC$1)*MAX(INDEX(T$4:T1350,MATCH(LARGE(FILTER(Y$4:Y1"&amp;"350,Y$4:Y1350&lt;1000000000),1),Y$4:Y1350)),INDEX(F$4:F1350,MATCH(LARGE(FILTER(K$4:K1350,K$4:K1350&lt;1000000000),1),K$4:K1350)))),AND(K1176&lt;1000000000,COUNTA(C1176:C1350)&gt;0,P$3=FALSE),
ROUNDDOWN(INDEX(Y$4:Y1350,MATCH(LARGE(FILTER(W$4:W1350,W$4:W1350&lt;=I1176),1)"&amp;",W$4:W1350))+(I1176-LARGE(FILTER(W$4:W1350,W$4:W1350&lt;=I1176),1))*INDEX(T$4:T1350,MATCH(LARGE(FILTER(W$4:W1350,W$4:W1350&lt;=I1176),1),W$4:W1350))-K1176),1,
ROUNDDOWN(Y1176-INDEX(K$4:K1350,MATCH(LARGE(FILTER(I$4:I1350,I$4:I1350&lt;=W1176),1),I$4:I1350))-(W1176-L"&amp;"ARGE(FILTER(I$4:I1350,I$4:I1350&lt;=W1176),1))*INDEX(F$4:F1350,MATCH(LARGE(FILTER(I$4:I1350,I$4:I1350&lt;=W1176),1),I$4:I1350))))"),"")</f>
        <v/>
      </c>
      <c r="N1176" s="60" t="str">
        <f t="shared" si="8"/>
        <v/>
      </c>
      <c r="O1176" s="61" t="str">
        <f t="shared" si="9"/>
        <v/>
      </c>
      <c r="P1176" s="56" t="str">
        <f t="shared" si="10"/>
        <v/>
      </c>
      <c r="Q1176" s="62"/>
      <c r="R1176" s="10" t="str">
        <f>IFERROR(__xludf.DUMMYFUNCTION("IF(COUNTA(Q1176:Q1350)=0,"""",IF(ISBLANK(Q1176),FALSE,IF(NOT(COUNTIF($AA$24:$AA$34,SUBSTITUTE(Q1176,""Sell_"",""""))),1,IF(REGEXMATCH(Q1176,""Sell_""),IF(COUNTIF(Q$4:Q1176,SUBSTITUTE(Q1176,""Sell_"",""""))-COUNTIF(Q$4:Q1175,Q1176)&lt;1,1),FALSE))))"),"")</f>
        <v/>
      </c>
      <c r="S1176" s="59" t="str">
        <f t="array" ref="S1176">IF(COUNTA(Q1176:Q1350)=0,"",SUM((COUNTIF(Q$4:Q1176,Upgrades!$B$3:$B$13)-COUNTIF(Q$4:Q1176,"Sell_"&amp;Upgrades!$B$3:$B$13))*Upgrades!$D$3:$D$13))</f>
        <v/>
      </c>
      <c r="T1176" s="66" t="str">
        <f>IFERROR(__xludf.DUMMYFUNCTION("IF(COUNTA(Q1176:Q1350)=0,"""",IF(REGEXMATCH(INDEX(FILTER(Q$4:Q1176,Q$4:Q1176&lt;&gt;""""),ROWS(FILTER(Q$4:Q1176,Q$4:Q1176&lt;&gt;""""))),""^Sell_""),INDEX(FILTER(T$4:T1175,Q$4:Q1175&lt;&gt;""""),ROWS(FILTER(Q$4:Q1175,Q$4:Q1175&lt;&gt;""""))),$AD$5+S1176))"),"")</f>
        <v/>
      </c>
      <c r="U1176" s="10" t="str">
        <f>IFERROR(__xludf.DUMMYFUNCTION("IF(COUNTA(Q1176:Q1350)=0,"""",IF(Q1176="""",0,IF(REGEXMATCH(Q1176,""^Sell_""),-ROUNDDOWN(ROUNDUP(INDEX(Upgrades!$C$3:$C$13,MATCH(SUBSTITUTE(Q1176,""Sell_"",""""),Upgrades!$B$3:$B$13,0))*1.15^(COUNTIF(Q$4:Q1175,SUBSTITUTE(Q1176,""Sell_"",""""))-COUNTIF(Q$4"&amp;":Q1175,""Sell_""&amp;SUBSTITUTE(Q1176,""Sell_"",""""))))/2),ROUNDUP(INDEX(Upgrades!$C$3:$C$13,MATCH(Q1176,Upgrades!$B$3:$B$13,0))*1.15^(COUNTIF(Q$4:Q1175,Q1176)-COUNTIF(Q$4:Q1175,""Sell_""&amp;Q1176))))))"),"")</f>
        <v/>
      </c>
      <c r="V1176" s="10" t="str">
        <f t="shared" si="11"/>
        <v/>
      </c>
      <c r="W1176" s="68" t="str">
        <f t="shared" si="12"/>
        <v/>
      </c>
      <c r="X1176" s="59" t="str">
        <f t="shared" si="13"/>
        <v/>
      </c>
      <c r="Y1176" s="69" t="str">
        <f t="shared" si="14"/>
        <v/>
      </c>
      <c r="Z1176" s="11"/>
    </row>
    <row r="1177">
      <c r="A1177" s="8"/>
      <c r="B1177" s="56" t="str">
        <f t="shared" si="2"/>
        <v/>
      </c>
      <c r="C1177" s="57"/>
      <c r="D1177" s="10" t="str">
        <f>IFERROR(__xludf.DUMMYFUNCTION("IF(COUNTA(C1177:C1350)=0,"""",IF(ISBLANK(C1177),FALSE,IF(NOT(COUNTIF($AA$24:$AA$34,SUBSTITUTE(C1177,""Sell_"",""""))),1,IF(REGEXMATCH(C1177,""Sell_""),IF(COUNTIF(C$4:C1177,SUBSTITUTE(C1177,""Sell_"",""""))-COUNTIF(C$4:C1176,C1177)&lt;1,1),FALSE))))"),"")</f>
        <v/>
      </c>
      <c r="E1177" s="59" t="str">
        <f t="array" ref="E1177">IF(COUNTA(C1177:C1350)=0,"",SUM((COUNTIF(C$4:C1177,Upgrades!$B$3:$B$13)-COUNTIF(C$4:C1177,"Sell_"&amp;Upgrades!$B$3:$B$13))*Upgrades!$D$3:$D$13))</f>
        <v/>
      </c>
      <c r="F1177" s="66" t="str">
        <f>IFERROR(__xludf.DUMMYFUNCTION("IF(COUNTA(C1177:C1350)=0,"""",IF(REGEXMATCH(INDEX(FILTER(C$4:C1177,C$4:C1177&lt;&gt;""""),ROWS(FILTER(C$4:C1177,C$4:C1177&lt;&gt;""""))),""^Sell_""),INDEX(FILTER(F$4:F1176,C$4:C1176&lt;&gt;""""),ROWS(FILTER(C$4:C1176,C$4:C1176&lt;&gt;""""))),$AC$5+E1177))"),"")</f>
        <v/>
      </c>
      <c r="G1177" s="10" t="str">
        <f>IFERROR(__xludf.DUMMYFUNCTION("IF(COUNTA(C1177:C1350)=0,"""",IF(C1177="""",0,IF(REGEXMATCH(C1177,""^Sell_""),-ROUNDDOWN(ROUNDUP(INDEX(Upgrades!$C$3:$C$13,MATCH(SUBSTITUTE(C1177,""Sell_"",""""),Upgrades!$B$3:$B$13,0))*1.15^(COUNTIF(C$4:C1176,SUBSTITUTE(C1177,""Sell_"",""""))-COUNTIF(C$4"&amp;":C1176,""Sell_""&amp;SUBSTITUTE(C1177,""Sell_"",""""))))/2),ROUNDUP(INDEX(Upgrades!$C$3:$C$13,MATCH(C1177,Upgrades!$B$3:$B$13,0))*1.15^(COUNTIF(C$4:C1176,C1177)-COUNTIF(C$4:C1176,""Sell_""&amp;C1177))))))"),"")</f>
        <v/>
      </c>
      <c r="H1177" s="10" t="str">
        <f t="shared" si="3"/>
        <v/>
      </c>
      <c r="I1177" s="68" t="str">
        <f t="shared" si="4"/>
        <v/>
      </c>
      <c r="J1177" s="59" t="str">
        <f t="shared" si="5"/>
        <v/>
      </c>
      <c r="K1177" s="69" t="str">
        <f t="shared" si="6"/>
        <v/>
      </c>
      <c r="L1177" s="60" t="str">
        <f t="shared" si="7"/>
        <v/>
      </c>
      <c r="M1177" s="61" t="str">
        <f>IFERROR(__xludf.DUMMYFUNCTION("IFS(AND(COUNTA(C1177:C1350)=0,COUNTA(Q1177:Q1350)=0),"""",OR(AND(K1177&gt;=1000000000,OR(Y1177&gt;=1000000000,COUNTA(Q1177:Q1350)=0)),OR(Y1177&gt;=1000000000,AND(COUNTA(C1177:C1350)=0,P$3=TRUE))),
ROUNDDOWN((AB$1-AC$1)*MAX(INDEX(T$4:T1350,MATCH(LARGE(FILTER(Y$4:Y1"&amp;"350,Y$4:Y1350&lt;1000000000),1),Y$4:Y1350)),INDEX(F$4:F1350,MATCH(LARGE(FILTER(K$4:K1350,K$4:K1350&lt;1000000000),1),K$4:K1350)))),AND(K1177&lt;1000000000,COUNTA(C1177:C1350)&gt;0,P$3=FALSE),
ROUNDDOWN(INDEX(Y$4:Y1350,MATCH(LARGE(FILTER(W$4:W1350,W$4:W1350&lt;=I1177),1)"&amp;",W$4:W1350))+(I1177-LARGE(FILTER(W$4:W1350,W$4:W1350&lt;=I1177),1))*INDEX(T$4:T1350,MATCH(LARGE(FILTER(W$4:W1350,W$4:W1350&lt;=I1177),1),W$4:W1350))-K1177),1,
ROUNDDOWN(Y1177-INDEX(K$4:K1350,MATCH(LARGE(FILTER(I$4:I1350,I$4:I1350&lt;=W1177),1),I$4:I1350))-(W1177-L"&amp;"ARGE(FILTER(I$4:I1350,I$4:I1350&lt;=W1177),1))*INDEX(F$4:F1350,MATCH(LARGE(FILTER(I$4:I1350,I$4:I1350&lt;=W1177),1),I$4:I1350))))"),"")</f>
        <v/>
      </c>
      <c r="N1177" s="60" t="str">
        <f t="shared" si="8"/>
        <v/>
      </c>
      <c r="O1177" s="61" t="str">
        <f t="shared" si="9"/>
        <v/>
      </c>
      <c r="P1177" s="56" t="str">
        <f t="shared" si="10"/>
        <v/>
      </c>
      <c r="Q1177" s="62"/>
      <c r="R1177" s="10" t="str">
        <f>IFERROR(__xludf.DUMMYFUNCTION("IF(COUNTA(Q1177:Q1350)=0,"""",IF(ISBLANK(Q1177),FALSE,IF(NOT(COUNTIF($AA$24:$AA$34,SUBSTITUTE(Q1177,""Sell_"",""""))),1,IF(REGEXMATCH(Q1177,""Sell_""),IF(COUNTIF(Q$4:Q1177,SUBSTITUTE(Q1177,""Sell_"",""""))-COUNTIF(Q$4:Q1176,Q1177)&lt;1,1),FALSE))))"),"")</f>
        <v/>
      </c>
      <c r="S1177" s="59" t="str">
        <f t="array" ref="S1177">IF(COUNTA(Q1177:Q1350)=0,"",SUM((COUNTIF(Q$4:Q1177,Upgrades!$B$3:$B$13)-COUNTIF(Q$4:Q1177,"Sell_"&amp;Upgrades!$B$3:$B$13))*Upgrades!$D$3:$D$13))</f>
        <v/>
      </c>
      <c r="T1177" s="66" t="str">
        <f>IFERROR(__xludf.DUMMYFUNCTION("IF(COUNTA(Q1177:Q1350)=0,"""",IF(REGEXMATCH(INDEX(FILTER(Q$4:Q1177,Q$4:Q1177&lt;&gt;""""),ROWS(FILTER(Q$4:Q1177,Q$4:Q1177&lt;&gt;""""))),""^Sell_""),INDEX(FILTER(T$4:T1176,Q$4:Q1176&lt;&gt;""""),ROWS(FILTER(Q$4:Q1176,Q$4:Q1176&lt;&gt;""""))),$AD$5+S1177))"),"")</f>
        <v/>
      </c>
      <c r="U1177" s="10" t="str">
        <f>IFERROR(__xludf.DUMMYFUNCTION("IF(COUNTA(Q1177:Q1350)=0,"""",IF(Q1177="""",0,IF(REGEXMATCH(Q1177,""^Sell_""),-ROUNDDOWN(ROUNDUP(INDEX(Upgrades!$C$3:$C$13,MATCH(SUBSTITUTE(Q1177,""Sell_"",""""),Upgrades!$B$3:$B$13,0))*1.15^(COUNTIF(Q$4:Q1176,SUBSTITUTE(Q1177,""Sell_"",""""))-COUNTIF(Q$4"&amp;":Q1176,""Sell_""&amp;SUBSTITUTE(Q1177,""Sell_"",""""))))/2),ROUNDUP(INDEX(Upgrades!$C$3:$C$13,MATCH(Q1177,Upgrades!$B$3:$B$13,0))*1.15^(COUNTIF(Q$4:Q1176,Q1177)-COUNTIF(Q$4:Q1176,""Sell_""&amp;Q1177))))))"),"")</f>
        <v/>
      </c>
      <c r="V1177" s="10" t="str">
        <f t="shared" si="11"/>
        <v/>
      </c>
      <c r="W1177" s="68" t="str">
        <f t="shared" si="12"/>
        <v/>
      </c>
      <c r="X1177" s="59" t="str">
        <f t="shared" si="13"/>
        <v/>
      </c>
      <c r="Y1177" s="69" t="str">
        <f t="shared" si="14"/>
        <v/>
      </c>
      <c r="Z1177" s="11"/>
    </row>
    <row r="1178">
      <c r="A1178" s="8"/>
      <c r="B1178" s="56" t="str">
        <f t="shared" si="2"/>
        <v/>
      </c>
      <c r="C1178" s="57"/>
      <c r="D1178" s="10" t="str">
        <f>IFERROR(__xludf.DUMMYFUNCTION("IF(COUNTA(C1178:C1350)=0,"""",IF(ISBLANK(C1178),FALSE,IF(NOT(COUNTIF($AA$24:$AA$34,SUBSTITUTE(C1178,""Sell_"",""""))),1,IF(REGEXMATCH(C1178,""Sell_""),IF(COUNTIF(C$4:C1178,SUBSTITUTE(C1178,""Sell_"",""""))-COUNTIF(C$4:C1177,C1178)&lt;1,1),FALSE))))"),"")</f>
        <v/>
      </c>
      <c r="E1178" s="59" t="str">
        <f t="array" ref="E1178">IF(COUNTA(C1178:C1350)=0,"",SUM((COUNTIF(C$4:C1178,Upgrades!$B$3:$B$13)-COUNTIF(C$4:C1178,"Sell_"&amp;Upgrades!$B$3:$B$13))*Upgrades!$D$3:$D$13))</f>
        <v/>
      </c>
      <c r="F1178" s="66" t="str">
        <f>IFERROR(__xludf.DUMMYFUNCTION("IF(COUNTA(C1178:C1350)=0,"""",IF(REGEXMATCH(INDEX(FILTER(C$4:C1178,C$4:C1178&lt;&gt;""""),ROWS(FILTER(C$4:C1178,C$4:C1178&lt;&gt;""""))),""^Sell_""),INDEX(FILTER(F$4:F1177,C$4:C1177&lt;&gt;""""),ROWS(FILTER(C$4:C1177,C$4:C1177&lt;&gt;""""))),$AC$5+E1178))"),"")</f>
        <v/>
      </c>
      <c r="G1178" s="10" t="str">
        <f>IFERROR(__xludf.DUMMYFUNCTION("IF(COUNTA(C1178:C1350)=0,"""",IF(C1178="""",0,IF(REGEXMATCH(C1178,""^Sell_""),-ROUNDDOWN(ROUNDUP(INDEX(Upgrades!$C$3:$C$13,MATCH(SUBSTITUTE(C1178,""Sell_"",""""),Upgrades!$B$3:$B$13,0))*1.15^(COUNTIF(C$4:C1177,SUBSTITUTE(C1178,""Sell_"",""""))-COUNTIF(C$4"&amp;":C1177,""Sell_""&amp;SUBSTITUTE(C1178,""Sell_"",""""))))/2),ROUNDUP(INDEX(Upgrades!$C$3:$C$13,MATCH(C1178,Upgrades!$B$3:$B$13,0))*1.15^(COUNTIF(C$4:C1177,C1178)-COUNTIF(C$4:C1177,""Sell_""&amp;C1178))))))"),"")</f>
        <v/>
      </c>
      <c r="H1178" s="10" t="str">
        <f t="shared" si="3"/>
        <v/>
      </c>
      <c r="I1178" s="68" t="str">
        <f t="shared" si="4"/>
        <v/>
      </c>
      <c r="J1178" s="59" t="str">
        <f t="shared" si="5"/>
        <v/>
      </c>
      <c r="K1178" s="69" t="str">
        <f t="shared" si="6"/>
        <v/>
      </c>
      <c r="L1178" s="60" t="str">
        <f t="shared" si="7"/>
        <v/>
      </c>
      <c r="M1178" s="61" t="str">
        <f>IFERROR(__xludf.DUMMYFUNCTION("IFS(AND(COUNTA(C1178:C1350)=0,COUNTA(Q1178:Q1350)=0),"""",OR(AND(K1178&gt;=1000000000,OR(Y1178&gt;=1000000000,COUNTA(Q1178:Q1350)=0)),OR(Y1178&gt;=1000000000,AND(COUNTA(C1178:C1350)=0,P$3=TRUE))),
ROUNDDOWN((AB$1-AC$1)*MAX(INDEX(T$4:T1350,MATCH(LARGE(FILTER(Y$4:Y1"&amp;"350,Y$4:Y1350&lt;1000000000),1),Y$4:Y1350)),INDEX(F$4:F1350,MATCH(LARGE(FILTER(K$4:K1350,K$4:K1350&lt;1000000000),1),K$4:K1350)))),AND(K1178&lt;1000000000,COUNTA(C1178:C1350)&gt;0,P$3=FALSE),
ROUNDDOWN(INDEX(Y$4:Y1350,MATCH(LARGE(FILTER(W$4:W1350,W$4:W1350&lt;=I1178),1)"&amp;",W$4:W1350))+(I1178-LARGE(FILTER(W$4:W1350,W$4:W1350&lt;=I1178),1))*INDEX(T$4:T1350,MATCH(LARGE(FILTER(W$4:W1350,W$4:W1350&lt;=I1178),1),W$4:W1350))-K1178),1,
ROUNDDOWN(Y1178-INDEX(K$4:K1350,MATCH(LARGE(FILTER(I$4:I1350,I$4:I1350&lt;=W1178),1),I$4:I1350))-(W1178-L"&amp;"ARGE(FILTER(I$4:I1350,I$4:I1350&lt;=W1178),1))*INDEX(F$4:F1350,MATCH(LARGE(FILTER(I$4:I1350,I$4:I1350&lt;=W1178),1),I$4:I1350))))"),"")</f>
        <v/>
      </c>
      <c r="N1178" s="60" t="str">
        <f t="shared" si="8"/>
        <v/>
      </c>
      <c r="O1178" s="61" t="str">
        <f t="shared" si="9"/>
        <v/>
      </c>
      <c r="P1178" s="56" t="str">
        <f t="shared" si="10"/>
        <v/>
      </c>
      <c r="Q1178" s="62"/>
      <c r="R1178" s="10" t="str">
        <f>IFERROR(__xludf.DUMMYFUNCTION("IF(COUNTA(Q1178:Q1350)=0,"""",IF(ISBLANK(Q1178),FALSE,IF(NOT(COUNTIF($AA$24:$AA$34,SUBSTITUTE(Q1178,""Sell_"",""""))),1,IF(REGEXMATCH(Q1178,""Sell_""),IF(COUNTIF(Q$4:Q1178,SUBSTITUTE(Q1178,""Sell_"",""""))-COUNTIF(Q$4:Q1177,Q1178)&lt;1,1),FALSE))))"),"")</f>
        <v/>
      </c>
      <c r="S1178" s="59" t="str">
        <f t="array" ref="S1178">IF(COUNTA(Q1178:Q1350)=0,"",SUM((COUNTIF(Q$4:Q1178,Upgrades!$B$3:$B$13)-COUNTIF(Q$4:Q1178,"Sell_"&amp;Upgrades!$B$3:$B$13))*Upgrades!$D$3:$D$13))</f>
        <v/>
      </c>
      <c r="T1178" s="66" t="str">
        <f>IFERROR(__xludf.DUMMYFUNCTION("IF(COUNTA(Q1178:Q1350)=0,"""",IF(REGEXMATCH(INDEX(FILTER(Q$4:Q1178,Q$4:Q1178&lt;&gt;""""),ROWS(FILTER(Q$4:Q1178,Q$4:Q1178&lt;&gt;""""))),""^Sell_""),INDEX(FILTER(T$4:T1177,Q$4:Q1177&lt;&gt;""""),ROWS(FILTER(Q$4:Q1177,Q$4:Q1177&lt;&gt;""""))),$AD$5+S1178))"),"")</f>
        <v/>
      </c>
      <c r="U1178" s="10" t="str">
        <f>IFERROR(__xludf.DUMMYFUNCTION("IF(COUNTA(Q1178:Q1350)=0,"""",IF(Q1178="""",0,IF(REGEXMATCH(Q1178,""^Sell_""),-ROUNDDOWN(ROUNDUP(INDEX(Upgrades!$C$3:$C$13,MATCH(SUBSTITUTE(Q1178,""Sell_"",""""),Upgrades!$B$3:$B$13,0))*1.15^(COUNTIF(Q$4:Q1177,SUBSTITUTE(Q1178,""Sell_"",""""))-COUNTIF(Q$4"&amp;":Q1177,""Sell_""&amp;SUBSTITUTE(Q1178,""Sell_"",""""))))/2),ROUNDUP(INDEX(Upgrades!$C$3:$C$13,MATCH(Q1178,Upgrades!$B$3:$B$13,0))*1.15^(COUNTIF(Q$4:Q1177,Q1178)-COUNTIF(Q$4:Q1177,""Sell_""&amp;Q1178))))))"),"")</f>
        <v/>
      </c>
      <c r="V1178" s="10" t="str">
        <f t="shared" si="11"/>
        <v/>
      </c>
      <c r="W1178" s="68" t="str">
        <f t="shared" si="12"/>
        <v/>
      </c>
      <c r="X1178" s="59" t="str">
        <f t="shared" si="13"/>
        <v/>
      </c>
      <c r="Y1178" s="69" t="str">
        <f t="shared" si="14"/>
        <v/>
      </c>
      <c r="Z1178" s="11"/>
    </row>
    <row r="1179">
      <c r="A1179" s="8"/>
      <c r="B1179" s="56" t="str">
        <f t="shared" si="2"/>
        <v/>
      </c>
      <c r="C1179" s="57"/>
      <c r="D1179" s="10" t="str">
        <f>IFERROR(__xludf.DUMMYFUNCTION("IF(COUNTA(C1179:C1350)=0,"""",IF(ISBLANK(C1179),FALSE,IF(NOT(COUNTIF($AA$24:$AA$34,SUBSTITUTE(C1179,""Sell_"",""""))),1,IF(REGEXMATCH(C1179,""Sell_""),IF(COUNTIF(C$4:C1179,SUBSTITUTE(C1179,""Sell_"",""""))-COUNTIF(C$4:C1178,C1179)&lt;1,1),FALSE))))"),"")</f>
        <v/>
      </c>
      <c r="E1179" s="59" t="str">
        <f t="array" ref="E1179">IF(COUNTA(C1179:C1350)=0,"",SUM((COUNTIF(C$4:C1179,Upgrades!$B$3:$B$13)-COUNTIF(C$4:C1179,"Sell_"&amp;Upgrades!$B$3:$B$13))*Upgrades!$D$3:$D$13))</f>
        <v/>
      </c>
      <c r="F1179" s="66" t="str">
        <f>IFERROR(__xludf.DUMMYFUNCTION("IF(COUNTA(C1179:C1350)=0,"""",IF(REGEXMATCH(INDEX(FILTER(C$4:C1179,C$4:C1179&lt;&gt;""""),ROWS(FILTER(C$4:C1179,C$4:C1179&lt;&gt;""""))),""^Sell_""),INDEX(FILTER(F$4:F1178,C$4:C1178&lt;&gt;""""),ROWS(FILTER(C$4:C1178,C$4:C1178&lt;&gt;""""))),$AC$5+E1179))"),"")</f>
        <v/>
      </c>
      <c r="G1179" s="10" t="str">
        <f>IFERROR(__xludf.DUMMYFUNCTION("IF(COUNTA(C1179:C1350)=0,"""",IF(C1179="""",0,IF(REGEXMATCH(C1179,""^Sell_""),-ROUNDDOWN(ROUNDUP(INDEX(Upgrades!$C$3:$C$13,MATCH(SUBSTITUTE(C1179,""Sell_"",""""),Upgrades!$B$3:$B$13,0))*1.15^(COUNTIF(C$4:C1178,SUBSTITUTE(C1179,""Sell_"",""""))-COUNTIF(C$4"&amp;":C1178,""Sell_""&amp;SUBSTITUTE(C1179,""Sell_"",""""))))/2),ROUNDUP(INDEX(Upgrades!$C$3:$C$13,MATCH(C1179,Upgrades!$B$3:$B$13,0))*1.15^(COUNTIF(C$4:C1178,C1179)-COUNTIF(C$4:C1178,""Sell_""&amp;C1179))))))"),"")</f>
        <v/>
      </c>
      <c r="H1179" s="10" t="str">
        <f t="shared" si="3"/>
        <v/>
      </c>
      <c r="I1179" s="68" t="str">
        <f t="shared" si="4"/>
        <v/>
      </c>
      <c r="J1179" s="59" t="str">
        <f t="shared" si="5"/>
        <v/>
      </c>
      <c r="K1179" s="69" t="str">
        <f t="shared" si="6"/>
        <v/>
      </c>
      <c r="L1179" s="60" t="str">
        <f t="shared" si="7"/>
        <v/>
      </c>
      <c r="M1179" s="61" t="str">
        <f>IFERROR(__xludf.DUMMYFUNCTION("IFS(AND(COUNTA(C1179:C1350)=0,COUNTA(Q1179:Q1350)=0),"""",OR(AND(K1179&gt;=1000000000,OR(Y1179&gt;=1000000000,COUNTA(Q1179:Q1350)=0)),OR(Y1179&gt;=1000000000,AND(COUNTA(C1179:C1350)=0,P$3=TRUE))),
ROUNDDOWN((AB$1-AC$1)*MAX(INDEX(T$4:T1350,MATCH(LARGE(FILTER(Y$4:Y1"&amp;"350,Y$4:Y1350&lt;1000000000),1),Y$4:Y1350)),INDEX(F$4:F1350,MATCH(LARGE(FILTER(K$4:K1350,K$4:K1350&lt;1000000000),1),K$4:K1350)))),AND(K1179&lt;1000000000,COUNTA(C1179:C1350)&gt;0,P$3=FALSE),
ROUNDDOWN(INDEX(Y$4:Y1350,MATCH(LARGE(FILTER(W$4:W1350,W$4:W1350&lt;=I1179),1)"&amp;",W$4:W1350))+(I1179-LARGE(FILTER(W$4:W1350,W$4:W1350&lt;=I1179),1))*INDEX(T$4:T1350,MATCH(LARGE(FILTER(W$4:W1350,W$4:W1350&lt;=I1179),1),W$4:W1350))-K1179),1,
ROUNDDOWN(Y1179-INDEX(K$4:K1350,MATCH(LARGE(FILTER(I$4:I1350,I$4:I1350&lt;=W1179),1),I$4:I1350))-(W1179-L"&amp;"ARGE(FILTER(I$4:I1350,I$4:I1350&lt;=W1179),1))*INDEX(F$4:F1350,MATCH(LARGE(FILTER(I$4:I1350,I$4:I1350&lt;=W1179),1),I$4:I1350))))"),"")</f>
        <v/>
      </c>
      <c r="N1179" s="60" t="str">
        <f t="shared" si="8"/>
        <v/>
      </c>
      <c r="O1179" s="61" t="str">
        <f t="shared" si="9"/>
        <v/>
      </c>
      <c r="P1179" s="56" t="str">
        <f t="shared" si="10"/>
        <v/>
      </c>
      <c r="Q1179" s="62"/>
      <c r="R1179" s="10" t="str">
        <f>IFERROR(__xludf.DUMMYFUNCTION("IF(COUNTA(Q1179:Q1350)=0,"""",IF(ISBLANK(Q1179),FALSE,IF(NOT(COUNTIF($AA$24:$AA$34,SUBSTITUTE(Q1179,""Sell_"",""""))),1,IF(REGEXMATCH(Q1179,""Sell_""),IF(COUNTIF(Q$4:Q1179,SUBSTITUTE(Q1179,""Sell_"",""""))-COUNTIF(Q$4:Q1178,Q1179)&lt;1,1),FALSE))))"),"")</f>
        <v/>
      </c>
      <c r="S1179" s="59" t="str">
        <f t="array" ref="S1179">IF(COUNTA(Q1179:Q1350)=0,"",SUM((COUNTIF(Q$4:Q1179,Upgrades!$B$3:$B$13)-COUNTIF(Q$4:Q1179,"Sell_"&amp;Upgrades!$B$3:$B$13))*Upgrades!$D$3:$D$13))</f>
        <v/>
      </c>
      <c r="T1179" s="66" t="str">
        <f>IFERROR(__xludf.DUMMYFUNCTION("IF(COUNTA(Q1179:Q1350)=0,"""",IF(REGEXMATCH(INDEX(FILTER(Q$4:Q1179,Q$4:Q1179&lt;&gt;""""),ROWS(FILTER(Q$4:Q1179,Q$4:Q1179&lt;&gt;""""))),""^Sell_""),INDEX(FILTER(T$4:T1178,Q$4:Q1178&lt;&gt;""""),ROWS(FILTER(Q$4:Q1178,Q$4:Q1178&lt;&gt;""""))),$AD$5+S1179))"),"")</f>
        <v/>
      </c>
      <c r="U1179" s="10" t="str">
        <f>IFERROR(__xludf.DUMMYFUNCTION("IF(COUNTA(Q1179:Q1350)=0,"""",IF(Q1179="""",0,IF(REGEXMATCH(Q1179,""^Sell_""),-ROUNDDOWN(ROUNDUP(INDEX(Upgrades!$C$3:$C$13,MATCH(SUBSTITUTE(Q1179,""Sell_"",""""),Upgrades!$B$3:$B$13,0))*1.15^(COUNTIF(Q$4:Q1178,SUBSTITUTE(Q1179,""Sell_"",""""))-COUNTIF(Q$4"&amp;":Q1178,""Sell_""&amp;SUBSTITUTE(Q1179,""Sell_"",""""))))/2),ROUNDUP(INDEX(Upgrades!$C$3:$C$13,MATCH(Q1179,Upgrades!$B$3:$B$13,0))*1.15^(COUNTIF(Q$4:Q1178,Q1179)-COUNTIF(Q$4:Q1178,""Sell_""&amp;Q1179))))))"),"")</f>
        <v/>
      </c>
      <c r="V1179" s="10" t="str">
        <f t="shared" si="11"/>
        <v/>
      </c>
      <c r="W1179" s="68" t="str">
        <f t="shared" si="12"/>
        <v/>
      </c>
      <c r="X1179" s="59" t="str">
        <f t="shared" si="13"/>
        <v/>
      </c>
      <c r="Y1179" s="69" t="str">
        <f t="shared" si="14"/>
        <v/>
      </c>
      <c r="Z1179" s="11"/>
    </row>
    <row r="1180">
      <c r="A1180" s="8"/>
      <c r="B1180" s="56" t="str">
        <f t="shared" si="2"/>
        <v/>
      </c>
      <c r="C1180" s="57"/>
      <c r="D1180" s="10" t="str">
        <f>IFERROR(__xludf.DUMMYFUNCTION("IF(COUNTA(C1180:C1350)=0,"""",IF(ISBLANK(C1180),FALSE,IF(NOT(COUNTIF($AA$24:$AA$34,SUBSTITUTE(C1180,""Sell_"",""""))),1,IF(REGEXMATCH(C1180,""Sell_""),IF(COUNTIF(C$4:C1180,SUBSTITUTE(C1180,""Sell_"",""""))-COUNTIF(C$4:C1179,C1180)&lt;1,1),FALSE))))"),"")</f>
        <v/>
      </c>
      <c r="E1180" s="59" t="str">
        <f t="array" ref="E1180">IF(COUNTA(C1180:C1350)=0,"",SUM((COUNTIF(C$4:C1180,Upgrades!$B$3:$B$13)-COUNTIF(C$4:C1180,"Sell_"&amp;Upgrades!$B$3:$B$13))*Upgrades!$D$3:$D$13))</f>
        <v/>
      </c>
      <c r="F1180" s="66" t="str">
        <f>IFERROR(__xludf.DUMMYFUNCTION("IF(COUNTA(C1180:C1350)=0,"""",IF(REGEXMATCH(INDEX(FILTER(C$4:C1180,C$4:C1180&lt;&gt;""""),ROWS(FILTER(C$4:C1180,C$4:C1180&lt;&gt;""""))),""^Sell_""),INDEX(FILTER(F$4:F1179,C$4:C1179&lt;&gt;""""),ROWS(FILTER(C$4:C1179,C$4:C1179&lt;&gt;""""))),$AC$5+E1180))"),"")</f>
        <v/>
      </c>
      <c r="G1180" s="10" t="str">
        <f>IFERROR(__xludf.DUMMYFUNCTION("IF(COUNTA(C1180:C1350)=0,"""",IF(C1180="""",0,IF(REGEXMATCH(C1180,""^Sell_""),-ROUNDDOWN(ROUNDUP(INDEX(Upgrades!$C$3:$C$13,MATCH(SUBSTITUTE(C1180,""Sell_"",""""),Upgrades!$B$3:$B$13,0))*1.15^(COUNTIF(C$4:C1179,SUBSTITUTE(C1180,""Sell_"",""""))-COUNTIF(C$4"&amp;":C1179,""Sell_""&amp;SUBSTITUTE(C1180,""Sell_"",""""))))/2),ROUNDUP(INDEX(Upgrades!$C$3:$C$13,MATCH(C1180,Upgrades!$B$3:$B$13,0))*1.15^(COUNTIF(C$4:C1179,C1180)-COUNTIF(C$4:C1179,""Sell_""&amp;C1180))))))"),"")</f>
        <v/>
      </c>
      <c r="H1180" s="10" t="str">
        <f t="shared" si="3"/>
        <v/>
      </c>
      <c r="I1180" s="68" t="str">
        <f t="shared" si="4"/>
        <v/>
      </c>
      <c r="J1180" s="59" t="str">
        <f t="shared" si="5"/>
        <v/>
      </c>
      <c r="K1180" s="69" t="str">
        <f t="shared" si="6"/>
        <v/>
      </c>
      <c r="L1180" s="60" t="str">
        <f t="shared" si="7"/>
        <v/>
      </c>
      <c r="M1180" s="61" t="str">
        <f>IFERROR(__xludf.DUMMYFUNCTION("IFS(AND(COUNTA(C1180:C1350)=0,COUNTA(Q1180:Q1350)=0),"""",OR(AND(K1180&gt;=1000000000,OR(Y1180&gt;=1000000000,COUNTA(Q1180:Q1350)=0)),OR(Y1180&gt;=1000000000,AND(COUNTA(C1180:C1350)=0,P$3=TRUE))),
ROUNDDOWN((AB$1-AC$1)*MAX(INDEX(T$4:T1350,MATCH(LARGE(FILTER(Y$4:Y1"&amp;"350,Y$4:Y1350&lt;1000000000),1),Y$4:Y1350)),INDEX(F$4:F1350,MATCH(LARGE(FILTER(K$4:K1350,K$4:K1350&lt;1000000000),1),K$4:K1350)))),AND(K1180&lt;1000000000,COUNTA(C1180:C1350)&gt;0,P$3=FALSE),
ROUNDDOWN(INDEX(Y$4:Y1350,MATCH(LARGE(FILTER(W$4:W1350,W$4:W1350&lt;=I1180),1)"&amp;",W$4:W1350))+(I1180-LARGE(FILTER(W$4:W1350,W$4:W1350&lt;=I1180),1))*INDEX(T$4:T1350,MATCH(LARGE(FILTER(W$4:W1350,W$4:W1350&lt;=I1180),1),W$4:W1350))-K1180),1,
ROUNDDOWN(Y1180-INDEX(K$4:K1350,MATCH(LARGE(FILTER(I$4:I1350,I$4:I1350&lt;=W1180),1),I$4:I1350))-(W1180-L"&amp;"ARGE(FILTER(I$4:I1350,I$4:I1350&lt;=W1180),1))*INDEX(F$4:F1350,MATCH(LARGE(FILTER(I$4:I1350,I$4:I1350&lt;=W1180),1),I$4:I1350))))"),"")</f>
        <v/>
      </c>
      <c r="N1180" s="60" t="str">
        <f t="shared" si="8"/>
        <v/>
      </c>
      <c r="O1180" s="61" t="str">
        <f t="shared" si="9"/>
        <v/>
      </c>
      <c r="P1180" s="56" t="str">
        <f t="shared" si="10"/>
        <v/>
      </c>
      <c r="Q1180" s="62"/>
      <c r="R1180" s="10" t="str">
        <f>IFERROR(__xludf.DUMMYFUNCTION("IF(COUNTA(Q1180:Q1350)=0,"""",IF(ISBLANK(Q1180),FALSE,IF(NOT(COUNTIF($AA$24:$AA$34,SUBSTITUTE(Q1180,""Sell_"",""""))),1,IF(REGEXMATCH(Q1180,""Sell_""),IF(COUNTIF(Q$4:Q1180,SUBSTITUTE(Q1180,""Sell_"",""""))-COUNTIF(Q$4:Q1179,Q1180)&lt;1,1),FALSE))))"),"")</f>
        <v/>
      </c>
      <c r="S1180" s="59" t="str">
        <f t="array" ref="S1180">IF(COUNTA(Q1180:Q1350)=0,"",SUM((COUNTIF(Q$4:Q1180,Upgrades!$B$3:$B$13)-COUNTIF(Q$4:Q1180,"Sell_"&amp;Upgrades!$B$3:$B$13))*Upgrades!$D$3:$D$13))</f>
        <v/>
      </c>
      <c r="T1180" s="66" t="str">
        <f>IFERROR(__xludf.DUMMYFUNCTION("IF(COUNTA(Q1180:Q1350)=0,"""",IF(REGEXMATCH(INDEX(FILTER(Q$4:Q1180,Q$4:Q1180&lt;&gt;""""),ROWS(FILTER(Q$4:Q1180,Q$4:Q1180&lt;&gt;""""))),""^Sell_""),INDEX(FILTER(T$4:T1179,Q$4:Q1179&lt;&gt;""""),ROWS(FILTER(Q$4:Q1179,Q$4:Q1179&lt;&gt;""""))),$AD$5+S1180))"),"")</f>
        <v/>
      </c>
      <c r="U1180" s="10" t="str">
        <f>IFERROR(__xludf.DUMMYFUNCTION("IF(COUNTA(Q1180:Q1350)=0,"""",IF(Q1180="""",0,IF(REGEXMATCH(Q1180,""^Sell_""),-ROUNDDOWN(ROUNDUP(INDEX(Upgrades!$C$3:$C$13,MATCH(SUBSTITUTE(Q1180,""Sell_"",""""),Upgrades!$B$3:$B$13,0))*1.15^(COUNTIF(Q$4:Q1179,SUBSTITUTE(Q1180,""Sell_"",""""))-COUNTIF(Q$4"&amp;":Q1179,""Sell_""&amp;SUBSTITUTE(Q1180,""Sell_"",""""))))/2),ROUNDUP(INDEX(Upgrades!$C$3:$C$13,MATCH(Q1180,Upgrades!$B$3:$B$13,0))*1.15^(COUNTIF(Q$4:Q1179,Q1180)-COUNTIF(Q$4:Q1179,""Sell_""&amp;Q1180))))))"),"")</f>
        <v/>
      </c>
      <c r="V1180" s="10" t="str">
        <f t="shared" si="11"/>
        <v/>
      </c>
      <c r="W1180" s="68" t="str">
        <f t="shared" si="12"/>
        <v/>
      </c>
      <c r="X1180" s="59" t="str">
        <f t="shared" si="13"/>
        <v/>
      </c>
      <c r="Y1180" s="69" t="str">
        <f t="shared" si="14"/>
        <v/>
      </c>
      <c r="Z1180" s="11"/>
    </row>
    <row r="1181">
      <c r="A1181" s="8"/>
      <c r="B1181" s="56" t="str">
        <f t="shared" si="2"/>
        <v/>
      </c>
      <c r="C1181" s="57"/>
      <c r="D1181" s="10" t="str">
        <f>IFERROR(__xludf.DUMMYFUNCTION("IF(COUNTA(C1181:C1350)=0,"""",IF(ISBLANK(C1181),FALSE,IF(NOT(COUNTIF($AA$24:$AA$34,SUBSTITUTE(C1181,""Sell_"",""""))),1,IF(REGEXMATCH(C1181,""Sell_""),IF(COUNTIF(C$4:C1181,SUBSTITUTE(C1181,""Sell_"",""""))-COUNTIF(C$4:C1180,C1181)&lt;1,1),FALSE))))"),"")</f>
        <v/>
      </c>
      <c r="E1181" s="59" t="str">
        <f t="array" ref="E1181">IF(COUNTA(C1181:C1350)=0,"",SUM((COUNTIF(C$4:C1181,Upgrades!$B$3:$B$13)-COUNTIF(C$4:C1181,"Sell_"&amp;Upgrades!$B$3:$B$13))*Upgrades!$D$3:$D$13))</f>
        <v/>
      </c>
      <c r="F1181" s="66" t="str">
        <f>IFERROR(__xludf.DUMMYFUNCTION("IF(COUNTA(C1181:C1350)=0,"""",IF(REGEXMATCH(INDEX(FILTER(C$4:C1181,C$4:C1181&lt;&gt;""""),ROWS(FILTER(C$4:C1181,C$4:C1181&lt;&gt;""""))),""^Sell_""),INDEX(FILTER(F$4:F1180,C$4:C1180&lt;&gt;""""),ROWS(FILTER(C$4:C1180,C$4:C1180&lt;&gt;""""))),$AC$5+E1181))"),"")</f>
        <v/>
      </c>
      <c r="G1181" s="10" t="str">
        <f>IFERROR(__xludf.DUMMYFUNCTION("IF(COUNTA(C1181:C1350)=0,"""",IF(C1181="""",0,IF(REGEXMATCH(C1181,""^Sell_""),-ROUNDDOWN(ROUNDUP(INDEX(Upgrades!$C$3:$C$13,MATCH(SUBSTITUTE(C1181,""Sell_"",""""),Upgrades!$B$3:$B$13,0))*1.15^(COUNTIF(C$4:C1180,SUBSTITUTE(C1181,""Sell_"",""""))-COUNTIF(C$4"&amp;":C1180,""Sell_""&amp;SUBSTITUTE(C1181,""Sell_"",""""))))/2),ROUNDUP(INDEX(Upgrades!$C$3:$C$13,MATCH(C1181,Upgrades!$B$3:$B$13,0))*1.15^(COUNTIF(C$4:C1180,C1181)-COUNTIF(C$4:C1180,""Sell_""&amp;C1181))))))"),"")</f>
        <v/>
      </c>
      <c r="H1181" s="10" t="str">
        <f t="shared" si="3"/>
        <v/>
      </c>
      <c r="I1181" s="68" t="str">
        <f t="shared" si="4"/>
        <v/>
      </c>
      <c r="J1181" s="59" t="str">
        <f t="shared" si="5"/>
        <v/>
      </c>
      <c r="K1181" s="69" t="str">
        <f t="shared" si="6"/>
        <v/>
      </c>
      <c r="L1181" s="60" t="str">
        <f t="shared" si="7"/>
        <v/>
      </c>
      <c r="M1181" s="61" t="str">
        <f>IFERROR(__xludf.DUMMYFUNCTION("IFS(AND(COUNTA(C1181:C1350)=0,COUNTA(Q1181:Q1350)=0),"""",OR(AND(K1181&gt;=1000000000,OR(Y1181&gt;=1000000000,COUNTA(Q1181:Q1350)=0)),OR(Y1181&gt;=1000000000,AND(COUNTA(C1181:C1350)=0,P$3=TRUE))),
ROUNDDOWN((AB$1-AC$1)*MAX(INDEX(T$4:T1350,MATCH(LARGE(FILTER(Y$4:Y1"&amp;"350,Y$4:Y1350&lt;1000000000),1),Y$4:Y1350)),INDEX(F$4:F1350,MATCH(LARGE(FILTER(K$4:K1350,K$4:K1350&lt;1000000000),1),K$4:K1350)))),AND(K1181&lt;1000000000,COUNTA(C1181:C1350)&gt;0,P$3=FALSE),
ROUNDDOWN(INDEX(Y$4:Y1350,MATCH(LARGE(FILTER(W$4:W1350,W$4:W1350&lt;=I1181),1)"&amp;",W$4:W1350))+(I1181-LARGE(FILTER(W$4:W1350,W$4:W1350&lt;=I1181),1))*INDEX(T$4:T1350,MATCH(LARGE(FILTER(W$4:W1350,W$4:W1350&lt;=I1181),1),W$4:W1350))-K1181),1,
ROUNDDOWN(Y1181-INDEX(K$4:K1350,MATCH(LARGE(FILTER(I$4:I1350,I$4:I1350&lt;=W1181),1),I$4:I1350))-(W1181-L"&amp;"ARGE(FILTER(I$4:I1350,I$4:I1350&lt;=W1181),1))*INDEX(F$4:F1350,MATCH(LARGE(FILTER(I$4:I1350,I$4:I1350&lt;=W1181),1),I$4:I1350))))"),"")</f>
        <v/>
      </c>
      <c r="N1181" s="60" t="str">
        <f t="shared" si="8"/>
        <v/>
      </c>
      <c r="O1181" s="61" t="str">
        <f t="shared" si="9"/>
        <v/>
      </c>
      <c r="P1181" s="56" t="str">
        <f t="shared" si="10"/>
        <v/>
      </c>
      <c r="Q1181" s="62"/>
      <c r="R1181" s="10" t="str">
        <f>IFERROR(__xludf.DUMMYFUNCTION("IF(COUNTA(Q1181:Q1350)=0,"""",IF(ISBLANK(Q1181),FALSE,IF(NOT(COUNTIF($AA$24:$AA$34,SUBSTITUTE(Q1181,""Sell_"",""""))),1,IF(REGEXMATCH(Q1181,""Sell_""),IF(COUNTIF(Q$4:Q1181,SUBSTITUTE(Q1181,""Sell_"",""""))-COUNTIF(Q$4:Q1180,Q1181)&lt;1,1),FALSE))))"),"")</f>
        <v/>
      </c>
      <c r="S1181" s="59" t="str">
        <f t="array" ref="S1181">IF(COUNTA(Q1181:Q1350)=0,"",SUM((COUNTIF(Q$4:Q1181,Upgrades!$B$3:$B$13)-COUNTIF(Q$4:Q1181,"Sell_"&amp;Upgrades!$B$3:$B$13))*Upgrades!$D$3:$D$13))</f>
        <v/>
      </c>
      <c r="T1181" s="66" t="str">
        <f>IFERROR(__xludf.DUMMYFUNCTION("IF(COUNTA(Q1181:Q1350)=0,"""",IF(REGEXMATCH(INDEX(FILTER(Q$4:Q1181,Q$4:Q1181&lt;&gt;""""),ROWS(FILTER(Q$4:Q1181,Q$4:Q1181&lt;&gt;""""))),""^Sell_""),INDEX(FILTER(T$4:T1180,Q$4:Q1180&lt;&gt;""""),ROWS(FILTER(Q$4:Q1180,Q$4:Q1180&lt;&gt;""""))),$AD$5+S1181))"),"")</f>
        <v/>
      </c>
      <c r="U1181" s="10" t="str">
        <f>IFERROR(__xludf.DUMMYFUNCTION("IF(COUNTA(Q1181:Q1350)=0,"""",IF(Q1181="""",0,IF(REGEXMATCH(Q1181,""^Sell_""),-ROUNDDOWN(ROUNDUP(INDEX(Upgrades!$C$3:$C$13,MATCH(SUBSTITUTE(Q1181,""Sell_"",""""),Upgrades!$B$3:$B$13,0))*1.15^(COUNTIF(Q$4:Q1180,SUBSTITUTE(Q1181,""Sell_"",""""))-COUNTIF(Q$4"&amp;":Q1180,""Sell_""&amp;SUBSTITUTE(Q1181,""Sell_"",""""))))/2),ROUNDUP(INDEX(Upgrades!$C$3:$C$13,MATCH(Q1181,Upgrades!$B$3:$B$13,0))*1.15^(COUNTIF(Q$4:Q1180,Q1181)-COUNTIF(Q$4:Q1180,""Sell_""&amp;Q1181))))))"),"")</f>
        <v/>
      </c>
      <c r="V1181" s="10" t="str">
        <f t="shared" si="11"/>
        <v/>
      </c>
      <c r="W1181" s="68" t="str">
        <f t="shared" si="12"/>
        <v/>
      </c>
      <c r="X1181" s="59" t="str">
        <f t="shared" si="13"/>
        <v/>
      </c>
      <c r="Y1181" s="69" t="str">
        <f t="shared" si="14"/>
        <v/>
      </c>
      <c r="Z1181" s="11"/>
    </row>
    <row r="1182">
      <c r="A1182" s="8"/>
      <c r="B1182" s="56" t="str">
        <f t="shared" si="2"/>
        <v/>
      </c>
      <c r="C1182" s="57"/>
      <c r="D1182" s="10" t="str">
        <f>IFERROR(__xludf.DUMMYFUNCTION("IF(COUNTA(C1182:C1350)=0,"""",IF(ISBLANK(C1182),FALSE,IF(NOT(COUNTIF($AA$24:$AA$34,SUBSTITUTE(C1182,""Sell_"",""""))),1,IF(REGEXMATCH(C1182,""Sell_""),IF(COUNTIF(C$4:C1182,SUBSTITUTE(C1182,""Sell_"",""""))-COUNTIF(C$4:C1181,C1182)&lt;1,1),FALSE))))"),"")</f>
        <v/>
      </c>
      <c r="E1182" s="59" t="str">
        <f t="array" ref="E1182">IF(COUNTA(C1182:C1350)=0,"",SUM((COUNTIF(C$4:C1182,Upgrades!$B$3:$B$13)-COUNTIF(C$4:C1182,"Sell_"&amp;Upgrades!$B$3:$B$13))*Upgrades!$D$3:$D$13))</f>
        <v/>
      </c>
      <c r="F1182" s="66" t="str">
        <f>IFERROR(__xludf.DUMMYFUNCTION("IF(COUNTA(C1182:C1350)=0,"""",IF(REGEXMATCH(INDEX(FILTER(C$4:C1182,C$4:C1182&lt;&gt;""""),ROWS(FILTER(C$4:C1182,C$4:C1182&lt;&gt;""""))),""^Sell_""),INDEX(FILTER(F$4:F1181,C$4:C1181&lt;&gt;""""),ROWS(FILTER(C$4:C1181,C$4:C1181&lt;&gt;""""))),$AC$5+E1182))"),"")</f>
        <v/>
      </c>
      <c r="G1182" s="10" t="str">
        <f>IFERROR(__xludf.DUMMYFUNCTION("IF(COUNTA(C1182:C1350)=0,"""",IF(C1182="""",0,IF(REGEXMATCH(C1182,""^Sell_""),-ROUNDDOWN(ROUNDUP(INDEX(Upgrades!$C$3:$C$13,MATCH(SUBSTITUTE(C1182,""Sell_"",""""),Upgrades!$B$3:$B$13,0))*1.15^(COUNTIF(C$4:C1181,SUBSTITUTE(C1182,""Sell_"",""""))-COUNTIF(C$4"&amp;":C1181,""Sell_""&amp;SUBSTITUTE(C1182,""Sell_"",""""))))/2),ROUNDUP(INDEX(Upgrades!$C$3:$C$13,MATCH(C1182,Upgrades!$B$3:$B$13,0))*1.15^(COUNTIF(C$4:C1181,C1182)-COUNTIF(C$4:C1181,""Sell_""&amp;C1182))))))"),"")</f>
        <v/>
      </c>
      <c r="H1182" s="10" t="str">
        <f t="shared" si="3"/>
        <v/>
      </c>
      <c r="I1182" s="68" t="str">
        <f t="shared" si="4"/>
        <v/>
      </c>
      <c r="J1182" s="59" t="str">
        <f t="shared" si="5"/>
        <v/>
      </c>
      <c r="K1182" s="69" t="str">
        <f t="shared" si="6"/>
        <v/>
      </c>
      <c r="L1182" s="60" t="str">
        <f t="shared" si="7"/>
        <v/>
      </c>
      <c r="M1182" s="61" t="str">
        <f>IFERROR(__xludf.DUMMYFUNCTION("IFS(AND(COUNTA(C1182:C1350)=0,COUNTA(Q1182:Q1350)=0),"""",OR(AND(K1182&gt;=1000000000,OR(Y1182&gt;=1000000000,COUNTA(Q1182:Q1350)=0)),OR(Y1182&gt;=1000000000,AND(COUNTA(C1182:C1350)=0,P$3=TRUE))),
ROUNDDOWN((AB$1-AC$1)*MAX(INDEX(T$4:T1350,MATCH(LARGE(FILTER(Y$4:Y1"&amp;"350,Y$4:Y1350&lt;1000000000),1),Y$4:Y1350)),INDEX(F$4:F1350,MATCH(LARGE(FILTER(K$4:K1350,K$4:K1350&lt;1000000000),1),K$4:K1350)))),AND(K1182&lt;1000000000,COUNTA(C1182:C1350)&gt;0,P$3=FALSE),
ROUNDDOWN(INDEX(Y$4:Y1350,MATCH(LARGE(FILTER(W$4:W1350,W$4:W1350&lt;=I1182),1)"&amp;",W$4:W1350))+(I1182-LARGE(FILTER(W$4:W1350,W$4:W1350&lt;=I1182),1))*INDEX(T$4:T1350,MATCH(LARGE(FILTER(W$4:W1350,W$4:W1350&lt;=I1182),1),W$4:W1350))-K1182),1,
ROUNDDOWN(Y1182-INDEX(K$4:K1350,MATCH(LARGE(FILTER(I$4:I1350,I$4:I1350&lt;=W1182),1),I$4:I1350))-(W1182-L"&amp;"ARGE(FILTER(I$4:I1350,I$4:I1350&lt;=W1182),1))*INDEX(F$4:F1350,MATCH(LARGE(FILTER(I$4:I1350,I$4:I1350&lt;=W1182),1),I$4:I1350))))"),"")</f>
        <v/>
      </c>
      <c r="N1182" s="60" t="str">
        <f t="shared" si="8"/>
        <v/>
      </c>
      <c r="O1182" s="61" t="str">
        <f t="shared" si="9"/>
        <v/>
      </c>
      <c r="P1182" s="56" t="str">
        <f t="shared" si="10"/>
        <v/>
      </c>
      <c r="Q1182" s="62"/>
      <c r="R1182" s="10" t="str">
        <f>IFERROR(__xludf.DUMMYFUNCTION("IF(COUNTA(Q1182:Q1350)=0,"""",IF(ISBLANK(Q1182),FALSE,IF(NOT(COUNTIF($AA$24:$AA$34,SUBSTITUTE(Q1182,""Sell_"",""""))),1,IF(REGEXMATCH(Q1182,""Sell_""),IF(COUNTIF(Q$4:Q1182,SUBSTITUTE(Q1182,""Sell_"",""""))-COUNTIF(Q$4:Q1181,Q1182)&lt;1,1),FALSE))))"),"")</f>
        <v/>
      </c>
      <c r="S1182" s="59" t="str">
        <f t="array" ref="S1182">IF(COUNTA(Q1182:Q1350)=0,"",SUM((COUNTIF(Q$4:Q1182,Upgrades!$B$3:$B$13)-COUNTIF(Q$4:Q1182,"Sell_"&amp;Upgrades!$B$3:$B$13))*Upgrades!$D$3:$D$13))</f>
        <v/>
      </c>
      <c r="T1182" s="66" t="str">
        <f>IFERROR(__xludf.DUMMYFUNCTION("IF(COUNTA(Q1182:Q1350)=0,"""",IF(REGEXMATCH(INDEX(FILTER(Q$4:Q1182,Q$4:Q1182&lt;&gt;""""),ROWS(FILTER(Q$4:Q1182,Q$4:Q1182&lt;&gt;""""))),""^Sell_""),INDEX(FILTER(T$4:T1181,Q$4:Q1181&lt;&gt;""""),ROWS(FILTER(Q$4:Q1181,Q$4:Q1181&lt;&gt;""""))),$AD$5+S1182))"),"")</f>
        <v/>
      </c>
      <c r="U1182" s="10" t="str">
        <f>IFERROR(__xludf.DUMMYFUNCTION("IF(COUNTA(Q1182:Q1350)=0,"""",IF(Q1182="""",0,IF(REGEXMATCH(Q1182,""^Sell_""),-ROUNDDOWN(ROUNDUP(INDEX(Upgrades!$C$3:$C$13,MATCH(SUBSTITUTE(Q1182,""Sell_"",""""),Upgrades!$B$3:$B$13,0))*1.15^(COUNTIF(Q$4:Q1181,SUBSTITUTE(Q1182,""Sell_"",""""))-COUNTIF(Q$4"&amp;":Q1181,""Sell_""&amp;SUBSTITUTE(Q1182,""Sell_"",""""))))/2),ROUNDUP(INDEX(Upgrades!$C$3:$C$13,MATCH(Q1182,Upgrades!$B$3:$B$13,0))*1.15^(COUNTIF(Q$4:Q1181,Q1182)-COUNTIF(Q$4:Q1181,""Sell_""&amp;Q1182))))))"),"")</f>
        <v/>
      </c>
      <c r="V1182" s="10" t="str">
        <f t="shared" si="11"/>
        <v/>
      </c>
      <c r="W1182" s="68" t="str">
        <f t="shared" si="12"/>
        <v/>
      </c>
      <c r="X1182" s="59" t="str">
        <f t="shared" si="13"/>
        <v/>
      </c>
      <c r="Y1182" s="69" t="str">
        <f t="shared" si="14"/>
        <v/>
      </c>
      <c r="Z1182" s="11"/>
    </row>
    <row r="1183">
      <c r="A1183" s="8"/>
      <c r="B1183" s="56" t="str">
        <f t="shared" si="2"/>
        <v/>
      </c>
      <c r="C1183" s="57"/>
      <c r="D1183" s="10" t="str">
        <f>IFERROR(__xludf.DUMMYFUNCTION("IF(COUNTA(C1183:C1350)=0,"""",IF(ISBLANK(C1183),FALSE,IF(NOT(COUNTIF($AA$24:$AA$34,SUBSTITUTE(C1183,""Sell_"",""""))),1,IF(REGEXMATCH(C1183,""Sell_""),IF(COUNTIF(C$4:C1183,SUBSTITUTE(C1183,""Sell_"",""""))-COUNTIF(C$4:C1182,C1183)&lt;1,1),FALSE))))"),"")</f>
        <v/>
      </c>
      <c r="E1183" s="59" t="str">
        <f t="array" ref="E1183">IF(COUNTA(C1183:C1350)=0,"",SUM((COUNTIF(C$4:C1183,Upgrades!$B$3:$B$13)-COUNTIF(C$4:C1183,"Sell_"&amp;Upgrades!$B$3:$B$13))*Upgrades!$D$3:$D$13))</f>
        <v/>
      </c>
      <c r="F1183" s="66" t="str">
        <f>IFERROR(__xludf.DUMMYFUNCTION("IF(COUNTA(C1183:C1350)=0,"""",IF(REGEXMATCH(INDEX(FILTER(C$4:C1183,C$4:C1183&lt;&gt;""""),ROWS(FILTER(C$4:C1183,C$4:C1183&lt;&gt;""""))),""^Sell_""),INDEX(FILTER(F$4:F1182,C$4:C1182&lt;&gt;""""),ROWS(FILTER(C$4:C1182,C$4:C1182&lt;&gt;""""))),$AC$5+E1183))"),"")</f>
        <v/>
      </c>
      <c r="G1183" s="10" t="str">
        <f>IFERROR(__xludf.DUMMYFUNCTION("IF(COUNTA(C1183:C1350)=0,"""",IF(C1183="""",0,IF(REGEXMATCH(C1183,""^Sell_""),-ROUNDDOWN(ROUNDUP(INDEX(Upgrades!$C$3:$C$13,MATCH(SUBSTITUTE(C1183,""Sell_"",""""),Upgrades!$B$3:$B$13,0))*1.15^(COUNTIF(C$4:C1182,SUBSTITUTE(C1183,""Sell_"",""""))-COUNTIF(C$4"&amp;":C1182,""Sell_""&amp;SUBSTITUTE(C1183,""Sell_"",""""))))/2),ROUNDUP(INDEX(Upgrades!$C$3:$C$13,MATCH(C1183,Upgrades!$B$3:$B$13,0))*1.15^(COUNTIF(C$4:C1182,C1183)-COUNTIF(C$4:C1182,""Sell_""&amp;C1183))))))"),"")</f>
        <v/>
      </c>
      <c r="H1183" s="10" t="str">
        <f t="shared" si="3"/>
        <v/>
      </c>
      <c r="I1183" s="68" t="str">
        <f t="shared" si="4"/>
        <v/>
      </c>
      <c r="J1183" s="59" t="str">
        <f t="shared" si="5"/>
        <v/>
      </c>
      <c r="K1183" s="69" t="str">
        <f t="shared" si="6"/>
        <v/>
      </c>
      <c r="L1183" s="60" t="str">
        <f t="shared" si="7"/>
        <v/>
      </c>
      <c r="M1183" s="61" t="str">
        <f>IFERROR(__xludf.DUMMYFUNCTION("IFS(AND(COUNTA(C1183:C1350)=0,COUNTA(Q1183:Q1350)=0),"""",OR(AND(K1183&gt;=1000000000,OR(Y1183&gt;=1000000000,COUNTA(Q1183:Q1350)=0)),OR(Y1183&gt;=1000000000,AND(COUNTA(C1183:C1350)=0,P$3=TRUE))),
ROUNDDOWN((AB$1-AC$1)*MAX(INDEX(T$4:T1350,MATCH(LARGE(FILTER(Y$4:Y1"&amp;"350,Y$4:Y1350&lt;1000000000),1),Y$4:Y1350)),INDEX(F$4:F1350,MATCH(LARGE(FILTER(K$4:K1350,K$4:K1350&lt;1000000000),1),K$4:K1350)))),AND(K1183&lt;1000000000,COUNTA(C1183:C1350)&gt;0,P$3=FALSE),
ROUNDDOWN(INDEX(Y$4:Y1350,MATCH(LARGE(FILTER(W$4:W1350,W$4:W1350&lt;=I1183),1)"&amp;",W$4:W1350))+(I1183-LARGE(FILTER(W$4:W1350,W$4:W1350&lt;=I1183),1))*INDEX(T$4:T1350,MATCH(LARGE(FILTER(W$4:W1350,W$4:W1350&lt;=I1183),1),W$4:W1350))-K1183),1,
ROUNDDOWN(Y1183-INDEX(K$4:K1350,MATCH(LARGE(FILTER(I$4:I1350,I$4:I1350&lt;=W1183),1),I$4:I1350))-(W1183-L"&amp;"ARGE(FILTER(I$4:I1350,I$4:I1350&lt;=W1183),1))*INDEX(F$4:F1350,MATCH(LARGE(FILTER(I$4:I1350,I$4:I1350&lt;=W1183),1),I$4:I1350))))"),"")</f>
        <v/>
      </c>
      <c r="N1183" s="60" t="str">
        <f t="shared" si="8"/>
        <v/>
      </c>
      <c r="O1183" s="61" t="str">
        <f t="shared" si="9"/>
        <v/>
      </c>
      <c r="P1183" s="56" t="str">
        <f t="shared" si="10"/>
        <v/>
      </c>
      <c r="Q1183" s="62"/>
      <c r="R1183" s="10" t="str">
        <f>IFERROR(__xludf.DUMMYFUNCTION("IF(COUNTA(Q1183:Q1350)=0,"""",IF(ISBLANK(Q1183),FALSE,IF(NOT(COUNTIF($AA$24:$AA$34,SUBSTITUTE(Q1183,""Sell_"",""""))),1,IF(REGEXMATCH(Q1183,""Sell_""),IF(COUNTIF(Q$4:Q1183,SUBSTITUTE(Q1183,""Sell_"",""""))-COUNTIF(Q$4:Q1182,Q1183)&lt;1,1),FALSE))))"),"")</f>
        <v/>
      </c>
      <c r="S1183" s="59" t="str">
        <f t="array" ref="S1183">IF(COUNTA(Q1183:Q1350)=0,"",SUM((COUNTIF(Q$4:Q1183,Upgrades!$B$3:$B$13)-COUNTIF(Q$4:Q1183,"Sell_"&amp;Upgrades!$B$3:$B$13))*Upgrades!$D$3:$D$13))</f>
        <v/>
      </c>
      <c r="T1183" s="66" t="str">
        <f>IFERROR(__xludf.DUMMYFUNCTION("IF(COUNTA(Q1183:Q1350)=0,"""",IF(REGEXMATCH(INDEX(FILTER(Q$4:Q1183,Q$4:Q1183&lt;&gt;""""),ROWS(FILTER(Q$4:Q1183,Q$4:Q1183&lt;&gt;""""))),""^Sell_""),INDEX(FILTER(T$4:T1182,Q$4:Q1182&lt;&gt;""""),ROWS(FILTER(Q$4:Q1182,Q$4:Q1182&lt;&gt;""""))),$AD$5+S1183))"),"")</f>
        <v/>
      </c>
      <c r="U1183" s="10" t="str">
        <f>IFERROR(__xludf.DUMMYFUNCTION("IF(COUNTA(Q1183:Q1350)=0,"""",IF(Q1183="""",0,IF(REGEXMATCH(Q1183,""^Sell_""),-ROUNDDOWN(ROUNDUP(INDEX(Upgrades!$C$3:$C$13,MATCH(SUBSTITUTE(Q1183,""Sell_"",""""),Upgrades!$B$3:$B$13,0))*1.15^(COUNTIF(Q$4:Q1182,SUBSTITUTE(Q1183,""Sell_"",""""))-COUNTIF(Q$4"&amp;":Q1182,""Sell_""&amp;SUBSTITUTE(Q1183,""Sell_"",""""))))/2),ROUNDUP(INDEX(Upgrades!$C$3:$C$13,MATCH(Q1183,Upgrades!$B$3:$B$13,0))*1.15^(COUNTIF(Q$4:Q1182,Q1183)-COUNTIF(Q$4:Q1182,""Sell_""&amp;Q1183))))))"),"")</f>
        <v/>
      </c>
      <c r="V1183" s="10" t="str">
        <f t="shared" si="11"/>
        <v/>
      </c>
      <c r="W1183" s="68" t="str">
        <f t="shared" si="12"/>
        <v/>
      </c>
      <c r="X1183" s="59" t="str">
        <f t="shared" si="13"/>
        <v/>
      </c>
      <c r="Y1183" s="69" t="str">
        <f t="shared" si="14"/>
        <v/>
      </c>
      <c r="Z1183" s="11"/>
    </row>
    <row r="1184">
      <c r="A1184" s="8"/>
      <c r="B1184" s="56" t="str">
        <f t="shared" si="2"/>
        <v/>
      </c>
      <c r="C1184" s="57"/>
      <c r="D1184" s="10" t="str">
        <f>IFERROR(__xludf.DUMMYFUNCTION("IF(COUNTA(C1184:C1350)=0,"""",IF(ISBLANK(C1184),FALSE,IF(NOT(COUNTIF($AA$24:$AA$34,SUBSTITUTE(C1184,""Sell_"",""""))),1,IF(REGEXMATCH(C1184,""Sell_""),IF(COUNTIF(C$4:C1184,SUBSTITUTE(C1184,""Sell_"",""""))-COUNTIF(C$4:C1183,C1184)&lt;1,1),FALSE))))"),"")</f>
        <v/>
      </c>
      <c r="E1184" s="59" t="str">
        <f t="array" ref="E1184">IF(COUNTA(C1184:C1350)=0,"",SUM((COUNTIF(C$4:C1184,Upgrades!$B$3:$B$13)-COUNTIF(C$4:C1184,"Sell_"&amp;Upgrades!$B$3:$B$13))*Upgrades!$D$3:$D$13))</f>
        <v/>
      </c>
      <c r="F1184" s="66" t="str">
        <f>IFERROR(__xludf.DUMMYFUNCTION("IF(COUNTA(C1184:C1350)=0,"""",IF(REGEXMATCH(INDEX(FILTER(C$4:C1184,C$4:C1184&lt;&gt;""""),ROWS(FILTER(C$4:C1184,C$4:C1184&lt;&gt;""""))),""^Sell_""),INDEX(FILTER(F$4:F1183,C$4:C1183&lt;&gt;""""),ROWS(FILTER(C$4:C1183,C$4:C1183&lt;&gt;""""))),$AC$5+E1184))"),"")</f>
        <v/>
      </c>
      <c r="G1184" s="10" t="str">
        <f>IFERROR(__xludf.DUMMYFUNCTION("IF(COUNTA(C1184:C1350)=0,"""",IF(C1184="""",0,IF(REGEXMATCH(C1184,""^Sell_""),-ROUNDDOWN(ROUNDUP(INDEX(Upgrades!$C$3:$C$13,MATCH(SUBSTITUTE(C1184,""Sell_"",""""),Upgrades!$B$3:$B$13,0))*1.15^(COUNTIF(C$4:C1183,SUBSTITUTE(C1184,""Sell_"",""""))-COUNTIF(C$4"&amp;":C1183,""Sell_""&amp;SUBSTITUTE(C1184,""Sell_"",""""))))/2),ROUNDUP(INDEX(Upgrades!$C$3:$C$13,MATCH(C1184,Upgrades!$B$3:$B$13,0))*1.15^(COUNTIF(C$4:C1183,C1184)-COUNTIF(C$4:C1183,""Sell_""&amp;C1184))))))"),"")</f>
        <v/>
      </c>
      <c r="H1184" s="10" t="str">
        <f t="shared" si="3"/>
        <v/>
      </c>
      <c r="I1184" s="68" t="str">
        <f t="shared" si="4"/>
        <v/>
      </c>
      <c r="J1184" s="59" t="str">
        <f t="shared" si="5"/>
        <v/>
      </c>
      <c r="K1184" s="69" t="str">
        <f t="shared" si="6"/>
        <v/>
      </c>
      <c r="L1184" s="60" t="str">
        <f t="shared" si="7"/>
        <v/>
      </c>
      <c r="M1184" s="61" t="str">
        <f>IFERROR(__xludf.DUMMYFUNCTION("IFS(AND(COUNTA(C1184:C1350)=0,COUNTA(Q1184:Q1350)=0),"""",OR(AND(K1184&gt;=1000000000,OR(Y1184&gt;=1000000000,COUNTA(Q1184:Q1350)=0)),OR(Y1184&gt;=1000000000,AND(COUNTA(C1184:C1350)=0,P$3=TRUE))),
ROUNDDOWN((AB$1-AC$1)*MAX(INDEX(T$4:T1350,MATCH(LARGE(FILTER(Y$4:Y1"&amp;"350,Y$4:Y1350&lt;1000000000),1),Y$4:Y1350)),INDEX(F$4:F1350,MATCH(LARGE(FILTER(K$4:K1350,K$4:K1350&lt;1000000000),1),K$4:K1350)))),AND(K1184&lt;1000000000,COUNTA(C1184:C1350)&gt;0,P$3=FALSE),
ROUNDDOWN(INDEX(Y$4:Y1350,MATCH(LARGE(FILTER(W$4:W1350,W$4:W1350&lt;=I1184),1)"&amp;",W$4:W1350))+(I1184-LARGE(FILTER(W$4:W1350,W$4:W1350&lt;=I1184),1))*INDEX(T$4:T1350,MATCH(LARGE(FILTER(W$4:W1350,W$4:W1350&lt;=I1184),1),W$4:W1350))-K1184),1,
ROUNDDOWN(Y1184-INDEX(K$4:K1350,MATCH(LARGE(FILTER(I$4:I1350,I$4:I1350&lt;=W1184),1),I$4:I1350))-(W1184-L"&amp;"ARGE(FILTER(I$4:I1350,I$4:I1350&lt;=W1184),1))*INDEX(F$4:F1350,MATCH(LARGE(FILTER(I$4:I1350,I$4:I1350&lt;=W1184),1),I$4:I1350))))"),"")</f>
        <v/>
      </c>
      <c r="N1184" s="60" t="str">
        <f t="shared" si="8"/>
        <v/>
      </c>
      <c r="O1184" s="61" t="str">
        <f t="shared" si="9"/>
        <v/>
      </c>
      <c r="P1184" s="56" t="str">
        <f t="shared" si="10"/>
        <v/>
      </c>
      <c r="Q1184" s="62"/>
      <c r="R1184" s="10" t="str">
        <f>IFERROR(__xludf.DUMMYFUNCTION("IF(COUNTA(Q1184:Q1350)=0,"""",IF(ISBLANK(Q1184),FALSE,IF(NOT(COUNTIF($AA$24:$AA$34,SUBSTITUTE(Q1184,""Sell_"",""""))),1,IF(REGEXMATCH(Q1184,""Sell_""),IF(COUNTIF(Q$4:Q1184,SUBSTITUTE(Q1184,""Sell_"",""""))-COUNTIF(Q$4:Q1183,Q1184)&lt;1,1),FALSE))))"),"")</f>
        <v/>
      </c>
      <c r="S1184" s="59" t="str">
        <f t="array" ref="S1184">IF(COUNTA(Q1184:Q1350)=0,"",SUM((COUNTIF(Q$4:Q1184,Upgrades!$B$3:$B$13)-COUNTIF(Q$4:Q1184,"Sell_"&amp;Upgrades!$B$3:$B$13))*Upgrades!$D$3:$D$13))</f>
        <v/>
      </c>
      <c r="T1184" s="66" t="str">
        <f>IFERROR(__xludf.DUMMYFUNCTION("IF(COUNTA(Q1184:Q1350)=0,"""",IF(REGEXMATCH(INDEX(FILTER(Q$4:Q1184,Q$4:Q1184&lt;&gt;""""),ROWS(FILTER(Q$4:Q1184,Q$4:Q1184&lt;&gt;""""))),""^Sell_""),INDEX(FILTER(T$4:T1183,Q$4:Q1183&lt;&gt;""""),ROWS(FILTER(Q$4:Q1183,Q$4:Q1183&lt;&gt;""""))),$AD$5+S1184))"),"")</f>
        <v/>
      </c>
      <c r="U1184" s="10" t="str">
        <f>IFERROR(__xludf.DUMMYFUNCTION("IF(COUNTA(Q1184:Q1350)=0,"""",IF(Q1184="""",0,IF(REGEXMATCH(Q1184,""^Sell_""),-ROUNDDOWN(ROUNDUP(INDEX(Upgrades!$C$3:$C$13,MATCH(SUBSTITUTE(Q1184,""Sell_"",""""),Upgrades!$B$3:$B$13,0))*1.15^(COUNTIF(Q$4:Q1183,SUBSTITUTE(Q1184,""Sell_"",""""))-COUNTIF(Q$4"&amp;":Q1183,""Sell_""&amp;SUBSTITUTE(Q1184,""Sell_"",""""))))/2),ROUNDUP(INDEX(Upgrades!$C$3:$C$13,MATCH(Q1184,Upgrades!$B$3:$B$13,0))*1.15^(COUNTIF(Q$4:Q1183,Q1184)-COUNTIF(Q$4:Q1183,""Sell_""&amp;Q1184))))))"),"")</f>
        <v/>
      </c>
      <c r="V1184" s="10" t="str">
        <f t="shared" si="11"/>
        <v/>
      </c>
      <c r="W1184" s="68" t="str">
        <f t="shared" si="12"/>
        <v/>
      </c>
      <c r="X1184" s="59" t="str">
        <f t="shared" si="13"/>
        <v/>
      </c>
      <c r="Y1184" s="69" t="str">
        <f t="shared" si="14"/>
        <v/>
      </c>
      <c r="Z1184" s="11"/>
    </row>
    <row r="1185">
      <c r="A1185" s="8"/>
      <c r="B1185" s="56" t="str">
        <f t="shared" si="2"/>
        <v/>
      </c>
      <c r="C1185" s="57"/>
      <c r="D1185" s="10" t="str">
        <f>IFERROR(__xludf.DUMMYFUNCTION("IF(COUNTA(C1185:C1350)=0,"""",IF(ISBLANK(C1185),FALSE,IF(NOT(COUNTIF($AA$24:$AA$34,SUBSTITUTE(C1185,""Sell_"",""""))),1,IF(REGEXMATCH(C1185,""Sell_""),IF(COUNTIF(C$4:C1185,SUBSTITUTE(C1185,""Sell_"",""""))-COUNTIF(C$4:C1184,C1185)&lt;1,1),FALSE))))"),"")</f>
        <v/>
      </c>
      <c r="E1185" s="59" t="str">
        <f t="array" ref="E1185">IF(COUNTA(C1185:C1350)=0,"",SUM((COUNTIF(C$4:C1185,Upgrades!$B$3:$B$13)-COUNTIF(C$4:C1185,"Sell_"&amp;Upgrades!$B$3:$B$13))*Upgrades!$D$3:$D$13))</f>
        <v/>
      </c>
      <c r="F1185" s="66" t="str">
        <f>IFERROR(__xludf.DUMMYFUNCTION("IF(COUNTA(C1185:C1350)=0,"""",IF(REGEXMATCH(INDEX(FILTER(C$4:C1185,C$4:C1185&lt;&gt;""""),ROWS(FILTER(C$4:C1185,C$4:C1185&lt;&gt;""""))),""^Sell_""),INDEX(FILTER(F$4:F1184,C$4:C1184&lt;&gt;""""),ROWS(FILTER(C$4:C1184,C$4:C1184&lt;&gt;""""))),$AC$5+E1185))"),"")</f>
        <v/>
      </c>
      <c r="G1185" s="10" t="str">
        <f>IFERROR(__xludf.DUMMYFUNCTION("IF(COUNTA(C1185:C1350)=0,"""",IF(C1185="""",0,IF(REGEXMATCH(C1185,""^Sell_""),-ROUNDDOWN(ROUNDUP(INDEX(Upgrades!$C$3:$C$13,MATCH(SUBSTITUTE(C1185,""Sell_"",""""),Upgrades!$B$3:$B$13,0))*1.15^(COUNTIF(C$4:C1184,SUBSTITUTE(C1185,""Sell_"",""""))-COUNTIF(C$4"&amp;":C1184,""Sell_""&amp;SUBSTITUTE(C1185,""Sell_"",""""))))/2),ROUNDUP(INDEX(Upgrades!$C$3:$C$13,MATCH(C1185,Upgrades!$B$3:$B$13,0))*1.15^(COUNTIF(C$4:C1184,C1185)-COUNTIF(C$4:C1184,""Sell_""&amp;C1185))))))"),"")</f>
        <v/>
      </c>
      <c r="H1185" s="10" t="str">
        <f t="shared" si="3"/>
        <v/>
      </c>
      <c r="I1185" s="68" t="str">
        <f t="shared" si="4"/>
        <v/>
      </c>
      <c r="J1185" s="59" t="str">
        <f t="shared" si="5"/>
        <v/>
      </c>
      <c r="K1185" s="69" t="str">
        <f t="shared" si="6"/>
        <v/>
      </c>
      <c r="L1185" s="60" t="str">
        <f t="shared" si="7"/>
        <v/>
      </c>
      <c r="M1185" s="61" t="str">
        <f>IFERROR(__xludf.DUMMYFUNCTION("IFS(AND(COUNTA(C1185:C1350)=0,COUNTA(Q1185:Q1350)=0),"""",OR(AND(K1185&gt;=1000000000,OR(Y1185&gt;=1000000000,COUNTA(Q1185:Q1350)=0)),OR(Y1185&gt;=1000000000,AND(COUNTA(C1185:C1350)=0,P$3=TRUE))),
ROUNDDOWN((AB$1-AC$1)*MAX(INDEX(T$4:T1350,MATCH(LARGE(FILTER(Y$4:Y1"&amp;"350,Y$4:Y1350&lt;1000000000),1),Y$4:Y1350)),INDEX(F$4:F1350,MATCH(LARGE(FILTER(K$4:K1350,K$4:K1350&lt;1000000000),1),K$4:K1350)))),AND(K1185&lt;1000000000,COUNTA(C1185:C1350)&gt;0,P$3=FALSE),
ROUNDDOWN(INDEX(Y$4:Y1350,MATCH(LARGE(FILTER(W$4:W1350,W$4:W1350&lt;=I1185),1)"&amp;",W$4:W1350))+(I1185-LARGE(FILTER(W$4:W1350,W$4:W1350&lt;=I1185),1))*INDEX(T$4:T1350,MATCH(LARGE(FILTER(W$4:W1350,W$4:W1350&lt;=I1185),1),W$4:W1350))-K1185),1,
ROUNDDOWN(Y1185-INDEX(K$4:K1350,MATCH(LARGE(FILTER(I$4:I1350,I$4:I1350&lt;=W1185),1),I$4:I1350))-(W1185-L"&amp;"ARGE(FILTER(I$4:I1350,I$4:I1350&lt;=W1185),1))*INDEX(F$4:F1350,MATCH(LARGE(FILTER(I$4:I1350,I$4:I1350&lt;=W1185),1),I$4:I1350))))"),"")</f>
        <v/>
      </c>
      <c r="N1185" s="60" t="str">
        <f t="shared" si="8"/>
        <v/>
      </c>
      <c r="O1185" s="61" t="str">
        <f t="shared" si="9"/>
        <v/>
      </c>
      <c r="P1185" s="56" t="str">
        <f t="shared" si="10"/>
        <v/>
      </c>
      <c r="Q1185" s="62"/>
      <c r="R1185" s="10" t="str">
        <f>IFERROR(__xludf.DUMMYFUNCTION("IF(COUNTA(Q1185:Q1350)=0,"""",IF(ISBLANK(Q1185),FALSE,IF(NOT(COUNTIF($AA$24:$AA$34,SUBSTITUTE(Q1185,""Sell_"",""""))),1,IF(REGEXMATCH(Q1185,""Sell_""),IF(COUNTIF(Q$4:Q1185,SUBSTITUTE(Q1185,""Sell_"",""""))-COUNTIF(Q$4:Q1184,Q1185)&lt;1,1),FALSE))))"),"")</f>
        <v/>
      </c>
      <c r="S1185" s="59" t="str">
        <f t="array" ref="S1185">IF(COUNTA(Q1185:Q1350)=0,"",SUM((COUNTIF(Q$4:Q1185,Upgrades!$B$3:$B$13)-COUNTIF(Q$4:Q1185,"Sell_"&amp;Upgrades!$B$3:$B$13))*Upgrades!$D$3:$D$13))</f>
        <v/>
      </c>
      <c r="T1185" s="66" t="str">
        <f>IFERROR(__xludf.DUMMYFUNCTION("IF(COUNTA(Q1185:Q1350)=0,"""",IF(REGEXMATCH(INDEX(FILTER(Q$4:Q1185,Q$4:Q1185&lt;&gt;""""),ROWS(FILTER(Q$4:Q1185,Q$4:Q1185&lt;&gt;""""))),""^Sell_""),INDEX(FILTER(T$4:T1184,Q$4:Q1184&lt;&gt;""""),ROWS(FILTER(Q$4:Q1184,Q$4:Q1184&lt;&gt;""""))),$AD$5+S1185))"),"")</f>
        <v/>
      </c>
      <c r="U1185" s="10" t="str">
        <f>IFERROR(__xludf.DUMMYFUNCTION("IF(COUNTA(Q1185:Q1350)=0,"""",IF(Q1185="""",0,IF(REGEXMATCH(Q1185,""^Sell_""),-ROUNDDOWN(ROUNDUP(INDEX(Upgrades!$C$3:$C$13,MATCH(SUBSTITUTE(Q1185,""Sell_"",""""),Upgrades!$B$3:$B$13,0))*1.15^(COUNTIF(Q$4:Q1184,SUBSTITUTE(Q1185,""Sell_"",""""))-COUNTIF(Q$4"&amp;":Q1184,""Sell_""&amp;SUBSTITUTE(Q1185,""Sell_"",""""))))/2),ROUNDUP(INDEX(Upgrades!$C$3:$C$13,MATCH(Q1185,Upgrades!$B$3:$B$13,0))*1.15^(COUNTIF(Q$4:Q1184,Q1185)-COUNTIF(Q$4:Q1184,""Sell_""&amp;Q1185))))))"),"")</f>
        <v/>
      </c>
      <c r="V1185" s="10" t="str">
        <f t="shared" si="11"/>
        <v/>
      </c>
      <c r="W1185" s="68" t="str">
        <f t="shared" si="12"/>
        <v/>
      </c>
      <c r="X1185" s="59" t="str">
        <f t="shared" si="13"/>
        <v/>
      </c>
      <c r="Y1185" s="69" t="str">
        <f t="shared" si="14"/>
        <v/>
      </c>
      <c r="Z1185" s="11"/>
    </row>
    <row r="1186">
      <c r="A1186" s="8"/>
      <c r="B1186" s="56" t="str">
        <f t="shared" si="2"/>
        <v/>
      </c>
      <c r="C1186" s="57"/>
      <c r="D1186" s="10" t="str">
        <f>IFERROR(__xludf.DUMMYFUNCTION("IF(COUNTA(C1186:C1350)=0,"""",IF(ISBLANK(C1186),FALSE,IF(NOT(COUNTIF($AA$24:$AA$34,SUBSTITUTE(C1186,""Sell_"",""""))),1,IF(REGEXMATCH(C1186,""Sell_""),IF(COUNTIF(C$4:C1186,SUBSTITUTE(C1186,""Sell_"",""""))-COUNTIF(C$4:C1185,C1186)&lt;1,1),FALSE))))"),"")</f>
        <v/>
      </c>
      <c r="E1186" s="59" t="str">
        <f t="array" ref="E1186">IF(COUNTA(C1186:C1350)=0,"",SUM((COUNTIF(C$4:C1186,Upgrades!$B$3:$B$13)-COUNTIF(C$4:C1186,"Sell_"&amp;Upgrades!$B$3:$B$13))*Upgrades!$D$3:$D$13))</f>
        <v/>
      </c>
      <c r="F1186" s="66" t="str">
        <f>IFERROR(__xludf.DUMMYFUNCTION("IF(COUNTA(C1186:C1350)=0,"""",IF(REGEXMATCH(INDEX(FILTER(C$4:C1186,C$4:C1186&lt;&gt;""""),ROWS(FILTER(C$4:C1186,C$4:C1186&lt;&gt;""""))),""^Sell_""),INDEX(FILTER(F$4:F1185,C$4:C1185&lt;&gt;""""),ROWS(FILTER(C$4:C1185,C$4:C1185&lt;&gt;""""))),$AC$5+E1186))"),"")</f>
        <v/>
      </c>
      <c r="G1186" s="10" t="str">
        <f>IFERROR(__xludf.DUMMYFUNCTION("IF(COUNTA(C1186:C1350)=0,"""",IF(C1186="""",0,IF(REGEXMATCH(C1186,""^Sell_""),-ROUNDDOWN(ROUNDUP(INDEX(Upgrades!$C$3:$C$13,MATCH(SUBSTITUTE(C1186,""Sell_"",""""),Upgrades!$B$3:$B$13,0))*1.15^(COUNTIF(C$4:C1185,SUBSTITUTE(C1186,""Sell_"",""""))-COUNTIF(C$4"&amp;":C1185,""Sell_""&amp;SUBSTITUTE(C1186,""Sell_"",""""))))/2),ROUNDUP(INDEX(Upgrades!$C$3:$C$13,MATCH(C1186,Upgrades!$B$3:$B$13,0))*1.15^(COUNTIF(C$4:C1185,C1186)-COUNTIF(C$4:C1185,""Sell_""&amp;C1186))))))"),"")</f>
        <v/>
      </c>
      <c r="H1186" s="10" t="str">
        <f t="shared" si="3"/>
        <v/>
      </c>
      <c r="I1186" s="68" t="str">
        <f t="shared" si="4"/>
        <v/>
      </c>
      <c r="J1186" s="59" t="str">
        <f t="shared" si="5"/>
        <v/>
      </c>
      <c r="K1186" s="69" t="str">
        <f t="shared" si="6"/>
        <v/>
      </c>
      <c r="L1186" s="60" t="str">
        <f t="shared" si="7"/>
        <v/>
      </c>
      <c r="M1186" s="61" t="str">
        <f>IFERROR(__xludf.DUMMYFUNCTION("IFS(AND(COUNTA(C1186:C1350)=0,COUNTA(Q1186:Q1350)=0),"""",OR(AND(K1186&gt;=1000000000,OR(Y1186&gt;=1000000000,COUNTA(Q1186:Q1350)=0)),OR(Y1186&gt;=1000000000,AND(COUNTA(C1186:C1350)=0,P$3=TRUE))),
ROUNDDOWN((AB$1-AC$1)*MAX(INDEX(T$4:T1350,MATCH(LARGE(FILTER(Y$4:Y1"&amp;"350,Y$4:Y1350&lt;1000000000),1),Y$4:Y1350)),INDEX(F$4:F1350,MATCH(LARGE(FILTER(K$4:K1350,K$4:K1350&lt;1000000000),1),K$4:K1350)))),AND(K1186&lt;1000000000,COUNTA(C1186:C1350)&gt;0,P$3=FALSE),
ROUNDDOWN(INDEX(Y$4:Y1350,MATCH(LARGE(FILTER(W$4:W1350,W$4:W1350&lt;=I1186),1)"&amp;",W$4:W1350))+(I1186-LARGE(FILTER(W$4:W1350,W$4:W1350&lt;=I1186),1))*INDEX(T$4:T1350,MATCH(LARGE(FILTER(W$4:W1350,W$4:W1350&lt;=I1186),1),W$4:W1350))-K1186),1,
ROUNDDOWN(Y1186-INDEX(K$4:K1350,MATCH(LARGE(FILTER(I$4:I1350,I$4:I1350&lt;=W1186),1),I$4:I1350))-(W1186-L"&amp;"ARGE(FILTER(I$4:I1350,I$4:I1350&lt;=W1186),1))*INDEX(F$4:F1350,MATCH(LARGE(FILTER(I$4:I1350,I$4:I1350&lt;=W1186),1),I$4:I1350))))"),"")</f>
        <v/>
      </c>
      <c r="N1186" s="60" t="str">
        <f t="shared" si="8"/>
        <v/>
      </c>
      <c r="O1186" s="61" t="str">
        <f t="shared" si="9"/>
        <v/>
      </c>
      <c r="P1186" s="56" t="str">
        <f t="shared" si="10"/>
        <v/>
      </c>
      <c r="Q1186" s="62"/>
      <c r="R1186" s="10" t="str">
        <f>IFERROR(__xludf.DUMMYFUNCTION("IF(COUNTA(Q1186:Q1350)=0,"""",IF(ISBLANK(Q1186),FALSE,IF(NOT(COUNTIF($AA$24:$AA$34,SUBSTITUTE(Q1186,""Sell_"",""""))),1,IF(REGEXMATCH(Q1186,""Sell_""),IF(COUNTIF(Q$4:Q1186,SUBSTITUTE(Q1186,""Sell_"",""""))-COUNTIF(Q$4:Q1185,Q1186)&lt;1,1),FALSE))))"),"")</f>
        <v/>
      </c>
      <c r="S1186" s="59" t="str">
        <f t="array" ref="S1186">IF(COUNTA(Q1186:Q1350)=0,"",SUM((COUNTIF(Q$4:Q1186,Upgrades!$B$3:$B$13)-COUNTIF(Q$4:Q1186,"Sell_"&amp;Upgrades!$B$3:$B$13))*Upgrades!$D$3:$D$13))</f>
        <v/>
      </c>
      <c r="T1186" s="66" t="str">
        <f>IFERROR(__xludf.DUMMYFUNCTION("IF(COUNTA(Q1186:Q1350)=0,"""",IF(REGEXMATCH(INDEX(FILTER(Q$4:Q1186,Q$4:Q1186&lt;&gt;""""),ROWS(FILTER(Q$4:Q1186,Q$4:Q1186&lt;&gt;""""))),""^Sell_""),INDEX(FILTER(T$4:T1185,Q$4:Q1185&lt;&gt;""""),ROWS(FILTER(Q$4:Q1185,Q$4:Q1185&lt;&gt;""""))),$AD$5+S1186))"),"")</f>
        <v/>
      </c>
      <c r="U1186" s="10" t="str">
        <f>IFERROR(__xludf.DUMMYFUNCTION("IF(COUNTA(Q1186:Q1350)=0,"""",IF(Q1186="""",0,IF(REGEXMATCH(Q1186,""^Sell_""),-ROUNDDOWN(ROUNDUP(INDEX(Upgrades!$C$3:$C$13,MATCH(SUBSTITUTE(Q1186,""Sell_"",""""),Upgrades!$B$3:$B$13,0))*1.15^(COUNTIF(Q$4:Q1185,SUBSTITUTE(Q1186,""Sell_"",""""))-COUNTIF(Q$4"&amp;":Q1185,""Sell_""&amp;SUBSTITUTE(Q1186,""Sell_"",""""))))/2),ROUNDUP(INDEX(Upgrades!$C$3:$C$13,MATCH(Q1186,Upgrades!$B$3:$B$13,0))*1.15^(COUNTIF(Q$4:Q1185,Q1186)-COUNTIF(Q$4:Q1185,""Sell_""&amp;Q1186))))))"),"")</f>
        <v/>
      </c>
      <c r="V1186" s="10" t="str">
        <f t="shared" si="11"/>
        <v/>
      </c>
      <c r="W1186" s="68" t="str">
        <f t="shared" si="12"/>
        <v/>
      </c>
      <c r="X1186" s="59" t="str">
        <f t="shared" si="13"/>
        <v/>
      </c>
      <c r="Y1186" s="69" t="str">
        <f t="shared" si="14"/>
        <v/>
      </c>
      <c r="Z1186" s="11"/>
    </row>
    <row r="1187">
      <c r="A1187" s="8"/>
      <c r="B1187" s="56" t="str">
        <f t="shared" si="2"/>
        <v/>
      </c>
      <c r="C1187" s="57"/>
      <c r="D1187" s="10" t="str">
        <f>IFERROR(__xludf.DUMMYFUNCTION("IF(COUNTA(C1187:C1350)=0,"""",IF(ISBLANK(C1187),FALSE,IF(NOT(COUNTIF($AA$24:$AA$34,SUBSTITUTE(C1187,""Sell_"",""""))),1,IF(REGEXMATCH(C1187,""Sell_""),IF(COUNTIF(C$4:C1187,SUBSTITUTE(C1187,""Sell_"",""""))-COUNTIF(C$4:C1186,C1187)&lt;1,1),FALSE))))"),"")</f>
        <v/>
      </c>
      <c r="E1187" s="59" t="str">
        <f t="array" ref="E1187">IF(COUNTA(C1187:C1350)=0,"",SUM((COUNTIF(C$4:C1187,Upgrades!$B$3:$B$13)-COUNTIF(C$4:C1187,"Sell_"&amp;Upgrades!$B$3:$B$13))*Upgrades!$D$3:$D$13))</f>
        <v/>
      </c>
      <c r="F1187" s="66" t="str">
        <f>IFERROR(__xludf.DUMMYFUNCTION("IF(COUNTA(C1187:C1350)=0,"""",IF(REGEXMATCH(INDEX(FILTER(C$4:C1187,C$4:C1187&lt;&gt;""""),ROWS(FILTER(C$4:C1187,C$4:C1187&lt;&gt;""""))),""^Sell_""),INDEX(FILTER(F$4:F1186,C$4:C1186&lt;&gt;""""),ROWS(FILTER(C$4:C1186,C$4:C1186&lt;&gt;""""))),$AC$5+E1187))"),"")</f>
        <v/>
      </c>
      <c r="G1187" s="10" t="str">
        <f>IFERROR(__xludf.DUMMYFUNCTION("IF(COUNTA(C1187:C1350)=0,"""",IF(C1187="""",0,IF(REGEXMATCH(C1187,""^Sell_""),-ROUNDDOWN(ROUNDUP(INDEX(Upgrades!$C$3:$C$13,MATCH(SUBSTITUTE(C1187,""Sell_"",""""),Upgrades!$B$3:$B$13,0))*1.15^(COUNTIF(C$4:C1186,SUBSTITUTE(C1187,""Sell_"",""""))-COUNTIF(C$4"&amp;":C1186,""Sell_""&amp;SUBSTITUTE(C1187,""Sell_"",""""))))/2),ROUNDUP(INDEX(Upgrades!$C$3:$C$13,MATCH(C1187,Upgrades!$B$3:$B$13,0))*1.15^(COUNTIF(C$4:C1186,C1187)-COUNTIF(C$4:C1186,""Sell_""&amp;C1187))))))"),"")</f>
        <v/>
      </c>
      <c r="H1187" s="10" t="str">
        <f t="shared" si="3"/>
        <v/>
      </c>
      <c r="I1187" s="68" t="str">
        <f t="shared" si="4"/>
        <v/>
      </c>
      <c r="J1187" s="59" t="str">
        <f t="shared" si="5"/>
        <v/>
      </c>
      <c r="K1187" s="69" t="str">
        <f t="shared" si="6"/>
        <v/>
      </c>
      <c r="L1187" s="60" t="str">
        <f t="shared" si="7"/>
        <v/>
      </c>
      <c r="M1187" s="61" t="str">
        <f>IFERROR(__xludf.DUMMYFUNCTION("IFS(AND(COUNTA(C1187:C1350)=0,COUNTA(Q1187:Q1350)=0),"""",OR(AND(K1187&gt;=1000000000,OR(Y1187&gt;=1000000000,COUNTA(Q1187:Q1350)=0)),OR(Y1187&gt;=1000000000,AND(COUNTA(C1187:C1350)=0,P$3=TRUE))),
ROUNDDOWN((AB$1-AC$1)*MAX(INDEX(T$4:T1350,MATCH(LARGE(FILTER(Y$4:Y1"&amp;"350,Y$4:Y1350&lt;1000000000),1),Y$4:Y1350)),INDEX(F$4:F1350,MATCH(LARGE(FILTER(K$4:K1350,K$4:K1350&lt;1000000000),1),K$4:K1350)))),AND(K1187&lt;1000000000,COUNTA(C1187:C1350)&gt;0,P$3=FALSE),
ROUNDDOWN(INDEX(Y$4:Y1350,MATCH(LARGE(FILTER(W$4:W1350,W$4:W1350&lt;=I1187),1)"&amp;",W$4:W1350))+(I1187-LARGE(FILTER(W$4:W1350,W$4:W1350&lt;=I1187),1))*INDEX(T$4:T1350,MATCH(LARGE(FILTER(W$4:W1350,W$4:W1350&lt;=I1187),1),W$4:W1350))-K1187),1,
ROUNDDOWN(Y1187-INDEX(K$4:K1350,MATCH(LARGE(FILTER(I$4:I1350,I$4:I1350&lt;=W1187),1),I$4:I1350))-(W1187-L"&amp;"ARGE(FILTER(I$4:I1350,I$4:I1350&lt;=W1187),1))*INDEX(F$4:F1350,MATCH(LARGE(FILTER(I$4:I1350,I$4:I1350&lt;=W1187),1),I$4:I1350))))"),"")</f>
        <v/>
      </c>
      <c r="N1187" s="60" t="str">
        <f t="shared" si="8"/>
        <v/>
      </c>
      <c r="O1187" s="61" t="str">
        <f t="shared" si="9"/>
        <v/>
      </c>
      <c r="P1187" s="56" t="str">
        <f t="shared" si="10"/>
        <v/>
      </c>
      <c r="Q1187" s="62"/>
      <c r="R1187" s="10" t="str">
        <f>IFERROR(__xludf.DUMMYFUNCTION("IF(COUNTA(Q1187:Q1350)=0,"""",IF(ISBLANK(Q1187),FALSE,IF(NOT(COUNTIF($AA$24:$AA$34,SUBSTITUTE(Q1187,""Sell_"",""""))),1,IF(REGEXMATCH(Q1187,""Sell_""),IF(COUNTIF(Q$4:Q1187,SUBSTITUTE(Q1187,""Sell_"",""""))-COUNTIF(Q$4:Q1186,Q1187)&lt;1,1),FALSE))))"),"")</f>
        <v/>
      </c>
      <c r="S1187" s="59" t="str">
        <f t="array" ref="S1187">IF(COUNTA(Q1187:Q1350)=0,"",SUM((COUNTIF(Q$4:Q1187,Upgrades!$B$3:$B$13)-COUNTIF(Q$4:Q1187,"Sell_"&amp;Upgrades!$B$3:$B$13))*Upgrades!$D$3:$D$13))</f>
        <v/>
      </c>
      <c r="T1187" s="66" t="str">
        <f>IFERROR(__xludf.DUMMYFUNCTION("IF(COUNTA(Q1187:Q1350)=0,"""",IF(REGEXMATCH(INDEX(FILTER(Q$4:Q1187,Q$4:Q1187&lt;&gt;""""),ROWS(FILTER(Q$4:Q1187,Q$4:Q1187&lt;&gt;""""))),""^Sell_""),INDEX(FILTER(T$4:T1186,Q$4:Q1186&lt;&gt;""""),ROWS(FILTER(Q$4:Q1186,Q$4:Q1186&lt;&gt;""""))),$AD$5+S1187))"),"")</f>
        <v/>
      </c>
      <c r="U1187" s="10" t="str">
        <f>IFERROR(__xludf.DUMMYFUNCTION("IF(COUNTA(Q1187:Q1350)=0,"""",IF(Q1187="""",0,IF(REGEXMATCH(Q1187,""^Sell_""),-ROUNDDOWN(ROUNDUP(INDEX(Upgrades!$C$3:$C$13,MATCH(SUBSTITUTE(Q1187,""Sell_"",""""),Upgrades!$B$3:$B$13,0))*1.15^(COUNTIF(Q$4:Q1186,SUBSTITUTE(Q1187,""Sell_"",""""))-COUNTIF(Q$4"&amp;":Q1186,""Sell_""&amp;SUBSTITUTE(Q1187,""Sell_"",""""))))/2),ROUNDUP(INDEX(Upgrades!$C$3:$C$13,MATCH(Q1187,Upgrades!$B$3:$B$13,0))*1.15^(COUNTIF(Q$4:Q1186,Q1187)-COUNTIF(Q$4:Q1186,""Sell_""&amp;Q1187))))))"),"")</f>
        <v/>
      </c>
      <c r="V1187" s="10" t="str">
        <f t="shared" si="11"/>
        <v/>
      </c>
      <c r="W1187" s="68" t="str">
        <f t="shared" si="12"/>
        <v/>
      </c>
      <c r="X1187" s="59" t="str">
        <f t="shared" si="13"/>
        <v/>
      </c>
      <c r="Y1187" s="69" t="str">
        <f t="shared" si="14"/>
        <v/>
      </c>
      <c r="Z1187" s="11"/>
    </row>
    <row r="1188">
      <c r="A1188" s="8"/>
      <c r="B1188" s="56" t="str">
        <f t="shared" si="2"/>
        <v/>
      </c>
      <c r="C1188" s="57"/>
      <c r="D1188" s="10" t="str">
        <f>IFERROR(__xludf.DUMMYFUNCTION("IF(COUNTA(C1188:C1350)=0,"""",IF(ISBLANK(C1188),FALSE,IF(NOT(COUNTIF($AA$24:$AA$34,SUBSTITUTE(C1188,""Sell_"",""""))),1,IF(REGEXMATCH(C1188,""Sell_""),IF(COUNTIF(C$4:C1188,SUBSTITUTE(C1188,""Sell_"",""""))-COUNTIF(C$4:C1187,C1188)&lt;1,1),FALSE))))"),"")</f>
        <v/>
      </c>
      <c r="E1188" s="59" t="str">
        <f t="array" ref="E1188">IF(COUNTA(C1188:C1350)=0,"",SUM((COUNTIF(C$4:C1188,Upgrades!$B$3:$B$13)-COUNTIF(C$4:C1188,"Sell_"&amp;Upgrades!$B$3:$B$13))*Upgrades!$D$3:$D$13))</f>
        <v/>
      </c>
      <c r="F1188" s="66" t="str">
        <f>IFERROR(__xludf.DUMMYFUNCTION("IF(COUNTA(C1188:C1350)=0,"""",IF(REGEXMATCH(INDEX(FILTER(C$4:C1188,C$4:C1188&lt;&gt;""""),ROWS(FILTER(C$4:C1188,C$4:C1188&lt;&gt;""""))),""^Sell_""),INDEX(FILTER(F$4:F1187,C$4:C1187&lt;&gt;""""),ROWS(FILTER(C$4:C1187,C$4:C1187&lt;&gt;""""))),$AC$5+E1188))"),"")</f>
        <v/>
      </c>
      <c r="G1188" s="10" t="str">
        <f>IFERROR(__xludf.DUMMYFUNCTION("IF(COUNTA(C1188:C1350)=0,"""",IF(C1188="""",0,IF(REGEXMATCH(C1188,""^Sell_""),-ROUNDDOWN(ROUNDUP(INDEX(Upgrades!$C$3:$C$13,MATCH(SUBSTITUTE(C1188,""Sell_"",""""),Upgrades!$B$3:$B$13,0))*1.15^(COUNTIF(C$4:C1187,SUBSTITUTE(C1188,""Sell_"",""""))-COUNTIF(C$4"&amp;":C1187,""Sell_""&amp;SUBSTITUTE(C1188,""Sell_"",""""))))/2),ROUNDUP(INDEX(Upgrades!$C$3:$C$13,MATCH(C1188,Upgrades!$B$3:$B$13,0))*1.15^(COUNTIF(C$4:C1187,C1188)-COUNTIF(C$4:C1187,""Sell_""&amp;C1188))))))"),"")</f>
        <v/>
      </c>
      <c r="H1188" s="10" t="str">
        <f t="shared" si="3"/>
        <v/>
      </c>
      <c r="I1188" s="68" t="str">
        <f t="shared" si="4"/>
        <v/>
      </c>
      <c r="J1188" s="59" t="str">
        <f t="shared" si="5"/>
        <v/>
      </c>
      <c r="K1188" s="69" t="str">
        <f t="shared" si="6"/>
        <v/>
      </c>
      <c r="L1188" s="60" t="str">
        <f t="shared" si="7"/>
        <v/>
      </c>
      <c r="M1188" s="61" t="str">
        <f>IFERROR(__xludf.DUMMYFUNCTION("IFS(AND(COUNTA(C1188:C1350)=0,COUNTA(Q1188:Q1350)=0),"""",OR(AND(K1188&gt;=1000000000,OR(Y1188&gt;=1000000000,COUNTA(Q1188:Q1350)=0)),OR(Y1188&gt;=1000000000,AND(COUNTA(C1188:C1350)=0,P$3=TRUE))),
ROUNDDOWN((AB$1-AC$1)*MAX(INDEX(T$4:T1350,MATCH(LARGE(FILTER(Y$4:Y1"&amp;"350,Y$4:Y1350&lt;1000000000),1),Y$4:Y1350)),INDEX(F$4:F1350,MATCH(LARGE(FILTER(K$4:K1350,K$4:K1350&lt;1000000000),1),K$4:K1350)))),AND(K1188&lt;1000000000,COUNTA(C1188:C1350)&gt;0,P$3=FALSE),
ROUNDDOWN(INDEX(Y$4:Y1350,MATCH(LARGE(FILTER(W$4:W1350,W$4:W1350&lt;=I1188),1)"&amp;",W$4:W1350))+(I1188-LARGE(FILTER(W$4:W1350,W$4:W1350&lt;=I1188),1))*INDEX(T$4:T1350,MATCH(LARGE(FILTER(W$4:W1350,W$4:W1350&lt;=I1188),1),W$4:W1350))-K1188),1,
ROUNDDOWN(Y1188-INDEX(K$4:K1350,MATCH(LARGE(FILTER(I$4:I1350,I$4:I1350&lt;=W1188),1),I$4:I1350))-(W1188-L"&amp;"ARGE(FILTER(I$4:I1350,I$4:I1350&lt;=W1188),1))*INDEX(F$4:F1350,MATCH(LARGE(FILTER(I$4:I1350,I$4:I1350&lt;=W1188),1),I$4:I1350))))"),"")</f>
        <v/>
      </c>
      <c r="N1188" s="60" t="str">
        <f t="shared" si="8"/>
        <v/>
      </c>
      <c r="O1188" s="61" t="str">
        <f t="shared" si="9"/>
        <v/>
      </c>
      <c r="P1188" s="56" t="str">
        <f t="shared" si="10"/>
        <v/>
      </c>
      <c r="Q1188" s="62"/>
      <c r="R1188" s="10" t="str">
        <f>IFERROR(__xludf.DUMMYFUNCTION("IF(COUNTA(Q1188:Q1350)=0,"""",IF(ISBLANK(Q1188),FALSE,IF(NOT(COUNTIF($AA$24:$AA$34,SUBSTITUTE(Q1188,""Sell_"",""""))),1,IF(REGEXMATCH(Q1188,""Sell_""),IF(COUNTIF(Q$4:Q1188,SUBSTITUTE(Q1188,""Sell_"",""""))-COUNTIF(Q$4:Q1187,Q1188)&lt;1,1),FALSE))))"),"")</f>
        <v/>
      </c>
      <c r="S1188" s="59" t="str">
        <f t="array" ref="S1188">IF(COUNTA(Q1188:Q1350)=0,"",SUM((COUNTIF(Q$4:Q1188,Upgrades!$B$3:$B$13)-COUNTIF(Q$4:Q1188,"Sell_"&amp;Upgrades!$B$3:$B$13))*Upgrades!$D$3:$D$13))</f>
        <v/>
      </c>
      <c r="T1188" s="66" t="str">
        <f>IFERROR(__xludf.DUMMYFUNCTION("IF(COUNTA(Q1188:Q1350)=0,"""",IF(REGEXMATCH(INDEX(FILTER(Q$4:Q1188,Q$4:Q1188&lt;&gt;""""),ROWS(FILTER(Q$4:Q1188,Q$4:Q1188&lt;&gt;""""))),""^Sell_""),INDEX(FILTER(T$4:T1187,Q$4:Q1187&lt;&gt;""""),ROWS(FILTER(Q$4:Q1187,Q$4:Q1187&lt;&gt;""""))),$AD$5+S1188))"),"")</f>
        <v/>
      </c>
      <c r="U1188" s="10" t="str">
        <f>IFERROR(__xludf.DUMMYFUNCTION("IF(COUNTA(Q1188:Q1350)=0,"""",IF(Q1188="""",0,IF(REGEXMATCH(Q1188,""^Sell_""),-ROUNDDOWN(ROUNDUP(INDEX(Upgrades!$C$3:$C$13,MATCH(SUBSTITUTE(Q1188,""Sell_"",""""),Upgrades!$B$3:$B$13,0))*1.15^(COUNTIF(Q$4:Q1187,SUBSTITUTE(Q1188,""Sell_"",""""))-COUNTIF(Q$4"&amp;":Q1187,""Sell_""&amp;SUBSTITUTE(Q1188,""Sell_"",""""))))/2),ROUNDUP(INDEX(Upgrades!$C$3:$C$13,MATCH(Q1188,Upgrades!$B$3:$B$13,0))*1.15^(COUNTIF(Q$4:Q1187,Q1188)-COUNTIF(Q$4:Q1187,""Sell_""&amp;Q1188))))))"),"")</f>
        <v/>
      </c>
      <c r="V1188" s="10" t="str">
        <f t="shared" si="11"/>
        <v/>
      </c>
      <c r="W1188" s="68" t="str">
        <f t="shared" si="12"/>
        <v/>
      </c>
      <c r="X1188" s="59" t="str">
        <f t="shared" si="13"/>
        <v/>
      </c>
      <c r="Y1188" s="69" t="str">
        <f t="shared" si="14"/>
        <v/>
      </c>
      <c r="Z1188" s="11"/>
    </row>
    <row r="1189">
      <c r="A1189" s="8"/>
      <c r="B1189" s="56" t="str">
        <f t="shared" si="2"/>
        <v/>
      </c>
      <c r="C1189" s="57"/>
      <c r="D1189" s="10" t="str">
        <f>IFERROR(__xludf.DUMMYFUNCTION("IF(COUNTA(C1189:C1350)=0,"""",IF(ISBLANK(C1189),FALSE,IF(NOT(COUNTIF($AA$24:$AA$34,SUBSTITUTE(C1189,""Sell_"",""""))),1,IF(REGEXMATCH(C1189,""Sell_""),IF(COUNTIF(C$4:C1189,SUBSTITUTE(C1189,""Sell_"",""""))-COUNTIF(C$4:C1188,C1189)&lt;1,1),FALSE))))"),"")</f>
        <v/>
      </c>
      <c r="E1189" s="59" t="str">
        <f t="array" ref="E1189">IF(COUNTA(C1189:C1350)=0,"",SUM((COUNTIF(C$4:C1189,Upgrades!$B$3:$B$13)-COUNTIF(C$4:C1189,"Sell_"&amp;Upgrades!$B$3:$B$13))*Upgrades!$D$3:$D$13))</f>
        <v/>
      </c>
      <c r="F1189" s="66" t="str">
        <f>IFERROR(__xludf.DUMMYFUNCTION("IF(COUNTA(C1189:C1350)=0,"""",IF(REGEXMATCH(INDEX(FILTER(C$4:C1189,C$4:C1189&lt;&gt;""""),ROWS(FILTER(C$4:C1189,C$4:C1189&lt;&gt;""""))),""^Sell_""),INDEX(FILTER(F$4:F1188,C$4:C1188&lt;&gt;""""),ROWS(FILTER(C$4:C1188,C$4:C1188&lt;&gt;""""))),$AC$5+E1189))"),"")</f>
        <v/>
      </c>
      <c r="G1189" s="10" t="str">
        <f>IFERROR(__xludf.DUMMYFUNCTION("IF(COUNTA(C1189:C1350)=0,"""",IF(C1189="""",0,IF(REGEXMATCH(C1189,""^Sell_""),-ROUNDDOWN(ROUNDUP(INDEX(Upgrades!$C$3:$C$13,MATCH(SUBSTITUTE(C1189,""Sell_"",""""),Upgrades!$B$3:$B$13,0))*1.15^(COUNTIF(C$4:C1188,SUBSTITUTE(C1189,""Sell_"",""""))-COUNTIF(C$4"&amp;":C1188,""Sell_""&amp;SUBSTITUTE(C1189,""Sell_"",""""))))/2),ROUNDUP(INDEX(Upgrades!$C$3:$C$13,MATCH(C1189,Upgrades!$B$3:$B$13,0))*1.15^(COUNTIF(C$4:C1188,C1189)-COUNTIF(C$4:C1188,""Sell_""&amp;C1189))))))"),"")</f>
        <v/>
      </c>
      <c r="H1189" s="10" t="str">
        <f t="shared" si="3"/>
        <v/>
      </c>
      <c r="I1189" s="68" t="str">
        <f t="shared" si="4"/>
        <v/>
      </c>
      <c r="J1189" s="59" t="str">
        <f t="shared" si="5"/>
        <v/>
      </c>
      <c r="K1189" s="69" t="str">
        <f t="shared" si="6"/>
        <v/>
      </c>
      <c r="L1189" s="60" t="str">
        <f t="shared" si="7"/>
        <v/>
      </c>
      <c r="M1189" s="61" t="str">
        <f>IFERROR(__xludf.DUMMYFUNCTION("IFS(AND(COUNTA(C1189:C1350)=0,COUNTA(Q1189:Q1350)=0),"""",OR(AND(K1189&gt;=1000000000,OR(Y1189&gt;=1000000000,COUNTA(Q1189:Q1350)=0)),OR(Y1189&gt;=1000000000,AND(COUNTA(C1189:C1350)=0,P$3=TRUE))),
ROUNDDOWN((AB$1-AC$1)*MAX(INDEX(T$4:T1350,MATCH(LARGE(FILTER(Y$4:Y1"&amp;"350,Y$4:Y1350&lt;1000000000),1),Y$4:Y1350)),INDEX(F$4:F1350,MATCH(LARGE(FILTER(K$4:K1350,K$4:K1350&lt;1000000000),1),K$4:K1350)))),AND(K1189&lt;1000000000,COUNTA(C1189:C1350)&gt;0,P$3=FALSE),
ROUNDDOWN(INDEX(Y$4:Y1350,MATCH(LARGE(FILTER(W$4:W1350,W$4:W1350&lt;=I1189),1)"&amp;",W$4:W1350))+(I1189-LARGE(FILTER(W$4:W1350,W$4:W1350&lt;=I1189),1))*INDEX(T$4:T1350,MATCH(LARGE(FILTER(W$4:W1350,W$4:W1350&lt;=I1189),1),W$4:W1350))-K1189),1,
ROUNDDOWN(Y1189-INDEX(K$4:K1350,MATCH(LARGE(FILTER(I$4:I1350,I$4:I1350&lt;=W1189),1),I$4:I1350))-(W1189-L"&amp;"ARGE(FILTER(I$4:I1350,I$4:I1350&lt;=W1189),1))*INDEX(F$4:F1350,MATCH(LARGE(FILTER(I$4:I1350,I$4:I1350&lt;=W1189),1),I$4:I1350))))"),"")</f>
        <v/>
      </c>
      <c r="N1189" s="60" t="str">
        <f t="shared" si="8"/>
        <v/>
      </c>
      <c r="O1189" s="61" t="str">
        <f t="shared" si="9"/>
        <v/>
      </c>
      <c r="P1189" s="56" t="str">
        <f t="shared" si="10"/>
        <v/>
      </c>
      <c r="Q1189" s="62"/>
      <c r="R1189" s="10" t="str">
        <f>IFERROR(__xludf.DUMMYFUNCTION("IF(COUNTA(Q1189:Q1350)=0,"""",IF(ISBLANK(Q1189),FALSE,IF(NOT(COUNTIF($AA$24:$AA$34,SUBSTITUTE(Q1189,""Sell_"",""""))),1,IF(REGEXMATCH(Q1189,""Sell_""),IF(COUNTIF(Q$4:Q1189,SUBSTITUTE(Q1189,""Sell_"",""""))-COUNTIF(Q$4:Q1188,Q1189)&lt;1,1),FALSE))))"),"")</f>
        <v/>
      </c>
      <c r="S1189" s="59" t="str">
        <f t="array" ref="S1189">IF(COUNTA(Q1189:Q1350)=0,"",SUM((COUNTIF(Q$4:Q1189,Upgrades!$B$3:$B$13)-COUNTIF(Q$4:Q1189,"Sell_"&amp;Upgrades!$B$3:$B$13))*Upgrades!$D$3:$D$13))</f>
        <v/>
      </c>
      <c r="T1189" s="66" t="str">
        <f>IFERROR(__xludf.DUMMYFUNCTION("IF(COUNTA(Q1189:Q1350)=0,"""",IF(REGEXMATCH(INDEX(FILTER(Q$4:Q1189,Q$4:Q1189&lt;&gt;""""),ROWS(FILTER(Q$4:Q1189,Q$4:Q1189&lt;&gt;""""))),""^Sell_""),INDEX(FILTER(T$4:T1188,Q$4:Q1188&lt;&gt;""""),ROWS(FILTER(Q$4:Q1188,Q$4:Q1188&lt;&gt;""""))),$AD$5+S1189))"),"")</f>
        <v/>
      </c>
      <c r="U1189" s="10" t="str">
        <f>IFERROR(__xludf.DUMMYFUNCTION("IF(COUNTA(Q1189:Q1350)=0,"""",IF(Q1189="""",0,IF(REGEXMATCH(Q1189,""^Sell_""),-ROUNDDOWN(ROUNDUP(INDEX(Upgrades!$C$3:$C$13,MATCH(SUBSTITUTE(Q1189,""Sell_"",""""),Upgrades!$B$3:$B$13,0))*1.15^(COUNTIF(Q$4:Q1188,SUBSTITUTE(Q1189,""Sell_"",""""))-COUNTIF(Q$4"&amp;":Q1188,""Sell_""&amp;SUBSTITUTE(Q1189,""Sell_"",""""))))/2),ROUNDUP(INDEX(Upgrades!$C$3:$C$13,MATCH(Q1189,Upgrades!$B$3:$B$13,0))*1.15^(COUNTIF(Q$4:Q1188,Q1189)-COUNTIF(Q$4:Q1188,""Sell_""&amp;Q1189))))))"),"")</f>
        <v/>
      </c>
      <c r="V1189" s="10" t="str">
        <f t="shared" si="11"/>
        <v/>
      </c>
      <c r="W1189" s="68" t="str">
        <f t="shared" si="12"/>
        <v/>
      </c>
      <c r="X1189" s="59" t="str">
        <f t="shared" si="13"/>
        <v/>
      </c>
      <c r="Y1189" s="69" t="str">
        <f t="shared" si="14"/>
        <v/>
      </c>
      <c r="Z1189" s="11"/>
    </row>
    <row r="1190">
      <c r="A1190" s="8"/>
      <c r="B1190" s="56" t="str">
        <f t="shared" si="2"/>
        <v/>
      </c>
      <c r="C1190" s="57"/>
      <c r="D1190" s="10" t="str">
        <f>IFERROR(__xludf.DUMMYFUNCTION("IF(COUNTA(C1190:C1350)=0,"""",IF(ISBLANK(C1190),FALSE,IF(NOT(COUNTIF($AA$24:$AA$34,SUBSTITUTE(C1190,""Sell_"",""""))),1,IF(REGEXMATCH(C1190,""Sell_""),IF(COUNTIF(C$4:C1190,SUBSTITUTE(C1190,""Sell_"",""""))-COUNTIF(C$4:C1189,C1190)&lt;1,1),FALSE))))"),"")</f>
        <v/>
      </c>
      <c r="E1190" s="59" t="str">
        <f t="array" ref="E1190">IF(COUNTA(C1190:C1350)=0,"",SUM((COUNTIF(C$4:C1190,Upgrades!$B$3:$B$13)-COUNTIF(C$4:C1190,"Sell_"&amp;Upgrades!$B$3:$B$13))*Upgrades!$D$3:$D$13))</f>
        <v/>
      </c>
      <c r="F1190" s="66" t="str">
        <f>IFERROR(__xludf.DUMMYFUNCTION("IF(COUNTA(C1190:C1350)=0,"""",IF(REGEXMATCH(INDEX(FILTER(C$4:C1190,C$4:C1190&lt;&gt;""""),ROWS(FILTER(C$4:C1190,C$4:C1190&lt;&gt;""""))),""^Sell_""),INDEX(FILTER(F$4:F1189,C$4:C1189&lt;&gt;""""),ROWS(FILTER(C$4:C1189,C$4:C1189&lt;&gt;""""))),$AC$5+E1190))"),"")</f>
        <v/>
      </c>
      <c r="G1190" s="10" t="str">
        <f>IFERROR(__xludf.DUMMYFUNCTION("IF(COUNTA(C1190:C1350)=0,"""",IF(C1190="""",0,IF(REGEXMATCH(C1190,""^Sell_""),-ROUNDDOWN(ROUNDUP(INDEX(Upgrades!$C$3:$C$13,MATCH(SUBSTITUTE(C1190,""Sell_"",""""),Upgrades!$B$3:$B$13,0))*1.15^(COUNTIF(C$4:C1189,SUBSTITUTE(C1190,""Sell_"",""""))-COUNTIF(C$4"&amp;":C1189,""Sell_""&amp;SUBSTITUTE(C1190,""Sell_"",""""))))/2),ROUNDUP(INDEX(Upgrades!$C$3:$C$13,MATCH(C1190,Upgrades!$B$3:$B$13,0))*1.15^(COUNTIF(C$4:C1189,C1190)-COUNTIF(C$4:C1189,""Sell_""&amp;C1190))))))"),"")</f>
        <v/>
      </c>
      <c r="H1190" s="10" t="str">
        <f t="shared" si="3"/>
        <v/>
      </c>
      <c r="I1190" s="68" t="str">
        <f t="shared" si="4"/>
        <v/>
      </c>
      <c r="J1190" s="59" t="str">
        <f t="shared" si="5"/>
        <v/>
      </c>
      <c r="K1190" s="69" t="str">
        <f t="shared" si="6"/>
        <v/>
      </c>
      <c r="L1190" s="60" t="str">
        <f t="shared" si="7"/>
        <v/>
      </c>
      <c r="M1190" s="61" t="str">
        <f>IFERROR(__xludf.DUMMYFUNCTION("IFS(AND(COUNTA(C1190:C1350)=0,COUNTA(Q1190:Q1350)=0),"""",OR(AND(K1190&gt;=1000000000,OR(Y1190&gt;=1000000000,COUNTA(Q1190:Q1350)=0)),OR(Y1190&gt;=1000000000,AND(COUNTA(C1190:C1350)=0,P$3=TRUE))),
ROUNDDOWN((AB$1-AC$1)*MAX(INDEX(T$4:T1350,MATCH(LARGE(FILTER(Y$4:Y1"&amp;"350,Y$4:Y1350&lt;1000000000),1),Y$4:Y1350)),INDEX(F$4:F1350,MATCH(LARGE(FILTER(K$4:K1350,K$4:K1350&lt;1000000000),1),K$4:K1350)))),AND(K1190&lt;1000000000,COUNTA(C1190:C1350)&gt;0,P$3=FALSE),
ROUNDDOWN(INDEX(Y$4:Y1350,MATCH(LARGE(FILTER(W$4:W1350,W$4:W1350&lt;=I1190),1)"&amp;",W$4:W1350))+(I1190-LARGE(FILTER(W$4:W1350,W$4:W1350&lt;=I1190),1))*INDEX(T$4:T1350,MATCH(LARGE(FILTER(W$4:W1350,W$4:W1350&lt;=I1190),1),W$4:W1350))-K1190),1,
ROUNDDOWN(Y1190-INDEX(K$4:K1350,MATCH(LARGE(FILTER(I$4:I1350,I$4:I1350&lt;=W1190),1),I$4:I1350))-(W1190-L"&amp;"ARGE(FILTER(I$4:I1350,I$4:I1350&lt;=W1190),1))*INDEX(F$4:F1350,MATCH(LARGE(FILTER(I$4:I1350,I$4:I1350&lt;=W1190),1),I$4:I1350))))"),"")</f>
        <v/>
      </c>
      <c r="N1190" s="60" t="str">
        <f t="shared" si="8"/>
        <v/>
      </c>
      <c r="O1190" s="61" t="str">
        <f t="shared" si="9"/>
        <v/>
      </c>
      <c r="P1190" s="56" t="str">
        <f t="shared" si="10"/>
        <v/>
      </c>
      <c r="Q1190" s="62"/>
      <c r="R1190" s="10" t="str">
        <f>IFERROR(__xludf.DUMMYFUNCTION("IF(COUNTA(Q1190:Q1350)=0,"""",IF(ISBLANK(Q1190),FALSE,IF(NOT(COUNTIF($AA$24:$AA$34,SUBSTITUTE(Q1190,""Sell_"",""""))),1,IF(REGEXMATCH(Q1190,""Sell_""),IF(COUNTIF(Q$4:Q1190,SUBSTITUTE(Q1190,""Sell_"",""""))-COUNTIF(Q$4:Q1189,Q1190)&lt;1,1),FALSE))))"),"")</f>
        <v/>
      </c>
      <c r="S1190" s="59" t="str">
        <f t="array" ref="S1190">IF(COUNTA(Q1190:Q1350)=0,"",SUM((COUNTIF(Q$4:Q1190,Upgrades!$B$3:$B$13)-COUNTIF(Q$4:Q1190,"Sell_"&amp;Upgrades!$B$3:$B$13))*Upgrades!$D$3:$D$13))</f>
        <v/>
      </c>
      <c r="T1190" s="66" t="str">
        <f>IFERROR(__xludf.DUMMYFUNCTION("IF(COUNTA(Q1190:Q1350)=0,"""",IF(REGEXMATCH(INDEX(FILTER(Q$4:Q1190,Q$4:Q1190&lt;&gt;""""),ROWS(FILTER(Q$4:Q1190,Q$4:Q1190&lt;&gt;""""))),""^Sell_""),INDEX(FILTER(T$4:T1189,Q$4:Q1189&lt;&gt;""""),ROWS(FILTER(Q$4:Q1189,Q$4:Q1189&lt;&gt;""""))),$AD$5+S1190))"),"")</f>
        <v/>
      </c>
      <c r="U1190" s="10" t="str">
        <f>IFERROR(__xludf.DUMMYFUNCTION("IF(COUNTA(Q1190:Q1350)=0,"""",IF(Q1190="""",0,IF(REGEXMATCH(Q1190,""^Sell_""),-ROUNDDOWN(ROUNDUP(INDEX(Upgrades!$C$3:$C$13,MATCH(SUBSTITUTE(Q1190,""Sell_"",""""),Upgrades!$B$3:$B$13,0))*1.15^(COUNTIF(Q$4:Q1189,SUBSTITUTE(Q1190,""Sell_"",""""))-COUNTIF(Q$4"&amp;":Q1189,""Sell_""&amp;SUBSTITUTE(Q1190,""Sell_"",""""))))/2),ROUNDUP(INDEX(Upgrades!$C$3:$C$13,MATCH(Q1190,Upgrades!$B$3:$B$13,0))*1.15^(COUNTIF(Q$4:Q1189,Q1190)-COUNTIF(Q$4:Q1189,""Sell_""&amp;Q1190))))))"),"")</f>
        <v/>
      </c>
      <c r="V1190" s="10" t="str">
        <f t="shared" si="11"/>
        <v/>
      </c>
      <c r="W1190" s="68" t="str">
        <f t="shared" si="12"/>
        <v/>
      </c>
      <c r="X1190" s="59" t="str">
        <f t="shared" si="13"/>
        <v/>
      </c>
      <c r="Y1190" s="69" t="str">
        <f t="shared" si="14"/>
        <v/>
      </c>
      <c r="Z1190" s="11"/>
    </row>
    <row r="1191">
      <c r="A1191" s="8"/>
      <c r="B1191" s="56" t="str">
        <f t="shared" si="2"/>
        <v/>
      </c>
      <c r="C1191" s="57"/>
      <c r="D1191" s="10" t="str">
        <f>IFERROR(__xludf.DUMMYFUNCTION("IF(COUNTA(C1191:C1350)=0,"""",IF(ISBLANK(C1191),FALSE,IF(NOT(COUNTIF($AA$24:$AA$34,SUBSTITUTE(C1191,""Sell_"",""""))),1,IF(REGEXMATCH(C1191,""Sell_""),IF(COUNTIF(C$4:C1191,SUBSTITUTE(C1191,""Sell_"",""""))-COUNTIF(C$4:C1190,C1191)&lt;1,1),FALSE))))"),"")</f>
        <v/>
      </c>
      <c r="E1191" s="59" t="str">
        <f t="array" ref="E1191">IF(COUNTA(C1191:C1350)=0,"",SUM((COUNTIF(C$4:C1191,Upgrades!$B$3:$B$13)-COUNTIF(C$4:C1191,"Sell_"&amp;Upgrades!$B$3:$B$13))*Upgrades!$D$3:$D$13))</f>
        <v/>
      </c>
      <c r="F1191" s="66" t="str">
        <f>IFERROR(__xludf.DUMMYFUNCTION("IF(COUNTA(C1191:C1350)=0,"""",IF(REGEXMATCH(INDEX(FILTER(C$4:C1191,C$4:C1191&lt;&gt;""""),ROWS(FILTER(C$4:C1191,C$4:C1191&lt;&gt;""""))),""^Sell_""),INDEX(FILTER(F$4:F1190,C$4:C1190&lt;&gt;""""),ROWS(FILTER(C$4:C1190,C$4:C1190&lt;&gt;""""))),$AC$5+E1191))"),"")</f>
        <v/>
      </c>
      <c r="G1191" s="10" t="str">
        <f>IFERROR(__xludf.DUMMYFUNCTION("IF(COUNTA(C1191:C1350)=0,"""",IF(C1191="""",0,IF(REGEXMATCH(C1191,""^Sell_""),-ROUNDDOWN(ROUNDUP(INDEX(Upgrades!$C$3:$C$13,MATCH(SUBSTITUTE(C1191,""Sell_"",""""),Upgrades!$B$3:$B$13,0))*1.15^(COUNTIF(C$4:C1190,SUBSTITUTE(C1191,""Sell_"",""""))-COUNTIF(C$4"&amp;":C1190,""Sell_""&amp;SUBSTITUTE(C1191,""Sell_"",""""))))/2),ROUNDUP(INDEX(Upgrades!$C$3:$C$13,MATCH(C1191,Upgrades!$B$3:$B$13,0))*1.15^(COUNTIF(C$4:C1190,C1191)-COUNTIF(C$4:C1190,""Sell_""&amp;C1191))))))"),"")</f>
        <v/>
      </c>
      <c r="H1191" s="10" t="str">
        <f t="shared" si="3"/>
        <v/>
      </c>
      <c r="I1191" s="68" t="str">
        <f t="shared" si="4"/>
        <v/>
      </c>
      <c r="J1191" s="59" t="str">
        <f t="shared" si="5"/>
        <v/>
      </c>
      <c r="K1191" s="69" t="str">
        <f t="shared" si="6"/>
        <v/>
      </c>
      <c r="L1191" s="60" t="str">
        <f t="shared" si="7"/>
        <v/>
      </c>
      <c r="M1191" s="61" t="str">
        <f>IFERROR(__xludf.DUMMYFUNCTION("IFS(AND(COUNTA(C1191:C1350)=0,COUNTA(Q1191:Q1350)=0),"""",OR(AND(K1191&gt;=1000000000,OR(Y1191&gt;=1000000000,COUNTA(Q1191:Q1350)=0)),OR(Y1191&gt;=1000000000,AND(COUNTA(C1191:C1350)=0,P$3=TRUE))),
ROUNDDOWN((AB$1-AC$1)*MAX(INDEX(T$4:T1350,MATCH(LARGE(FILTER(Y$4:Y1"&amp;"350,Y$4:Y1350&lt;1000000000),1),Y$4:Y1350)),INDEX(F$4:F1350,MATCH(LARGE(FILTER(K$4:K1350,K$4:K1350&lt;1000000000),1),K$4:K1350)))),AND(K1191&lt;1000000000,COUNTA(C1191:C1350)&gt;0,P$3=FALSE),
ROUNDDOWN(INDEX(Y$4:Y1350,MATCH(LARGE(FILTER(W$4:W1350,W$4:W1350&lt;=I1191),1)"&amp;",W$4:W1350))+(I1191-LARGE(FILTER(W$4:W1350,W$4:W1350&lt;=I1191),1))*INDEX(T$4:T1350,MATCH(LARGE(FILTER(W$4:W1350,W$4:W1350&lt;=I1191),1),W$4:W1350))-K1191),1,
ROUNDDOWN(Y1191-INDEX(K$4:K1350,MATCH(LARGE(FILTER(I$4:I1350,I$4:I1350&lt;=W1191),1),I$4:I1350))-(W1191-L"&amp;"ARGE(FILTER(I$4:I1350,I$4:I1350&lt;=W1191),1))*INDEX(F$4:F1350,MATCH(LARGE(FILTER(I$4:I1350,I$4:I1350&lt;=W1191),1),I$4:I1350))))"),"")</f>
        <v/>
      </c>
      <c r="N1191" s="60" t="str">
        <f t="shared" si="8"/>
        <v/>
      </c>
      <c r="O1191" s="61" t="str">
        <f t="shared" si="9"/>
        <v/>
      </c>
      <c r="P1191" s="56" t="str">
        <f t="shared" si="10"/>
        <v/>
      </c>
      <c r="Q1191" s="62"/>
      <c r="R1191" s="10" t="str">
        <f>IFERROR(__xludf.DUMMYFUNCTION("IF(COUNTA(Q1191:Q1350)=0,"""",IF(ISBLANK(Q1191),FALSE,IF(NOT(COUNTIF($AA$24:$AA$34,SUBSTITUTE(Q1191,""Sell_"",""""))),1,IF(REGEXMATCH(Q1191,""Sell_""),IF(COUNTIF(Q$4:Q1191,SUBSTITUTE(Q1191,""Sell_"",""""))-COUNTIF(Q$4:Q1190,Q1191)&lt;1,1),FALSE))))"),"")</f>
        <v/>
      </c>
      <c r="S1191" s="59" t="str">
        <f t="array" ref="S1191">IF(COUNTA(Q1191:Q1350)=0,"",SUM((COUNTIF(Q$4:Q1191,Upgrades!$B$3:$B$13)-COUNTIF(Q$4:Q1191,"Sell_"&amp;Upgrades!$B$3:$B$13))*Upgrades!$D$3:$D$13))</f>
        <v/>
      </c>
      <c r="T1191" s="66" t="str">
        <f>IFERROR(__xludf.DUMMYFUNCTION("IF(COUNTA(Q1191:Q1350)=0,"""",IF(REGEXMATCH(INDEX(FILTER(Q$4:Q1191,Q$4:Q1191&lt;&gt;""""),ROWS(FILTER(Q$4:Q1191,Q$4:Q1191&lt;&gt;""""))),""^Sell_""),INDEX(FILTER(T$4:T1190,Q$4:Q1190&lt;&gt;""""),ROWS(FILTER(Q$4:Q1190,Q$4:Q1190&lt;&gt;""""))),$AD$5+S1191))"),"")</f>
        <v/>
      </c>
      <c r="U1191" s="10" t="str">
        <f>IFERROR(__xludf.DUMMYFUNCTION("IF(COUNTA(Q1191:Q1350)=0,"""",IF(Q1191="""",0,IF(REGEXMATCH(Q1191,""^Sell_""),-ROUNDDOWN(ROUNDUP(INDEX(Upgrades!$C$3:$C$13,MATCH(SUBSTITUTE(Q1191,""Sell_"",""""),Upgrades!$B$3:$B$13,0))*1.15^(COUNTIF(Q$4:Q1190,SUBSTITUTE(Q1191,""Sell_"",""""))-COUNTIF(Q$4"&amp;":Q1190,""Sell_""&amp;SUBSTITUTE(Q1191,""Sell_"",""""))))/2),ROUNDUP(INDEX(Upgrades!$C$3:$C$13,MATCH(Q1191,Upgrades!$B$3:$B$13,0))*1.15^(COUNTIF(Q$4:Q1190,Q1191)-COUNTIF(Q$4:Q1190,""Sell_""&amp;Q1191))))))"),"")</f>
        <v/>
      </c>
      <c r="V1191" s="10" t="str">
        <f t="shared" si="11"/>
        <v/>
      </c>
      <c r="W1191" s="68" t="str">
        <f t="shared" si="12"/>
        <v/>
      </c>
      <c r="X1191" s="59" t="str">
        <f t="shared" si="13"/>
        <v/>
      </c>
      <c r="Y1191" s="69" t="str">
        <f t="shared" si="14"/>
        <v/>
      </c>
      <c r="Z1191" s="11"/>
    </row>
    <row r="1192">
      <c r="A1192" s="8"/>
      <c r="B1192" s="56" t="str">
        <f t="shared" si="2"/>
        <v/>
      </c>
      <c r="C1192" s="57"/>
      <c r="D1192" s="10" t="str">
        <f>IFERROR(__xludf.DUMMYFUNCTION("IF(COUNTA(C1192:C1350)=0,"""",IF(ISBLANK(C1192),FALSE,IF(NOT(COUNTIF($AA$24:$AA$34,SUBSTITUTE(C1192,""Sell_"",""""))),1,IF(REGEXMATCH(C1192,""Sell_""),IF(COUNTIF(C$4:C1192,SUBSTITUTE(C1192,""Sell_"",""""))-COUNTIF(C$4:C1191,C1192)&lt;1,1),FALSE))))"),"")</f>
        <v/>
      </c>
      <c r="E1192" s="59" t="str">
        <f t="array" ref="E1192">IF(COUNTA(C1192:C1350)=0,"",SUM((COUNTIF(C$4:C1192,Upgrades!$B$3:$B$13)-COUNTIF(C$4:C1192,"Sell_"&amp;Upgrades!$B$3:$B$13))*Upgrades!$D$3:$D$13))</f>
        <v/>
      </c>
      <c r="F1192" s="66" t="str">
        <f>IFERROR(__xludf.DUMMYFUNCTION("IF(COUNTA(C1192:C1350)=0,"""",IF(REGEXMATCH(INDEX(FILTER(C$4:C1192,C$4:C1192&lt;&gt;""""),ROWS(FILTER(C$4:C1192,C$4:C1192&lt;&gt;""""))),""^Sell_""),INDEX(FILTER(F$4:F1191,C$4:C1191&lt;&gt;""""),ROWS(FILTER(C$4:C1191,C$4:C1191&lt;&gt;""""))),$AC$5+E1192))"),"")</f>
        <v/>
      </c>
      <c r="G1192" s="10" t="str">
        <f>IFERROR(__xludf.DUMMYFUNCTION("IF(COUNTA(C1192:C1350)=0,"""",IF(C1192="""",0,IF(REGEXMATCH(C1192,""^Sell_""),-ROUNDDOWN(ROUNDUP(INDEX(Upgrades!$C$3:$C$13,MATCH(SUBSTITUTE(C1192,""Sell_"",""""),Upgrades!$B$3:$B$13,0))*1.15^(COUNTIF(C$4:C1191,SUBSTITUTE(C1192,""Sell_"",""""))-COUNTIF(C$4"&amp;":C1191,""Sell_""&amp;SUBSTITUTE(C1192,""Sell_"",""""))))/2),ROUNDUP(INDEX(Upgrades!$C$3:$C$13,MATCH(C1192,Upgrades!$B$3:$B$13,0))*1.15^(COUNTIF(C$4:C1191,C1192)-COUNTIF(C$4:C1191,""Sell_""&amp;C1192))))))"),"")</f>
        <v/>
      </c>
      <c r="H1192" s="10" t="str">
        <f t="shared" si="3"/>
        <v/>
      </c>
      <c r="I1192" s="68" t="str">
        <f t="shared" si="4"/>
        <v/>
      </c>
      <c r="J1192" s="59" t="str">
        <f t="shared" si="5"/>
        <v/>
      </c>
      <c r="K1192" s="69" t="str">
        <f t="shared" si="6"/>
        <v/>
      </c>
      <c r="L1192" s="60" t="str">
        <f t="shared" si="7"/>
        <v/>
      </c>
      <c r="M1192" s="61" t="str">
        <f>IFERROR(__xludf.DUMMYFUNCTION("IFS(AND(COUNTA(C1192:C1350)=0,COUNTA(Q1192:Q1350)=0),"""",OR(AND(K1192&gt;=1000000000,OR(Y1192&gt;=1000000000,COUNTA(Q1192:Q1350)=0)),OR(Y1192&gt;=1000000000,AND(COUNTA(C1192:C1350)=0,P$3=TRUE))),
ROUNDDOWN((AB$1-AC$1)*MAX(INDEX(T$4:T1350,MATCH(LARGE(FILTER(Y$4:Y1"&amp;"350,Y$4:Y1350&lt;1000000000),1),Y$4:Y1350)),INDEX(F$4:F1350,MATCH(LARGE(FILTER(K$4:K1350,K$4:K1350&lt;1000000000),1),K$4:K1350)))),AND(K1192&lt;1000000000,COUNTA(C1192:C1350)&gt;0,P$3=FALSE),
ROUNDDOWN(INDEX(Y$4:Y1350,MATCH(LARGE(FILTER(W$4:W1350,W$4:W1350&lt;=I1192),1)"&amp;",W$4:W1350))+(I1192-LARGE(FILTER(W$4:W1350,W$4:W1350&lt;=I1192),1))*INDEX(T$4:T1350,MATCH(LARGE(FILTER(W$4:W1350,W$4:W1350&lt;=I1192),1),W$4:W1350))-K1192),1,
ROUNDDOWN(Y1192-INDEX(K$4:K1350,MATCH(LARGE(FILTER(I$4:I1350,I$4:I1350&lt;=W1192),1),I$4:I1350))-(W1192-L"&amp;"ARGE(FILTER(I$4:I1350,I$4:I1350&lt;=W1192),1))*INDEX(F$4:F1350,MATCH(LARGE(FILTER(I$4:I1350,I$4:I1350&lt;=W1192),1),I$4:I1350))))"),"")</f>
        <v/>
      </c>
      <c r="N1192" s="60" t="str">
        <f t="shared" si="8"/>
        <v/>
      </c>
      <c r="O1192" s="61" t="str">
        <f t="shared" si="9"/>
        <v/>
      </c>
      <c r="P1192" s="56" t="str">
        <f t="shared" si="10"/>
        <v/>
      </c>
      <c r="Q1192" s="62"/>
      <c r="R1192" s="10" t="str">
        <f>IFERROR(__xludf.DUMMYFUNCTION("IF(COUNTA(Q1192:Q1350)=0,"""",IF(ISBLANK(Q1192),FALSE,IF(NOT(COUNTIF($AA$24:$AA$34,SUBSTITUTE(Q1192,""Sell_"",""""))),1,IF(REGEXMATCH(Q1192,""Sell_""),IF(COUNTIF(Q$4:Q1192,SUBSTITUTE(Q1192,""Sell_"",""""))-COUNTIF(Q$4:Q1191,Q1192)&lt;1,1),FALSE))))"),"")</f>
        <v/>
      </c>
      <c r="S1192" s="59" t="str">
        <f t="array" ref="S1192">IF(COUNTA(Q1192:Q1350)=0,"",SUM((COUNTIF(Q$4:Q1192,Upgrades!$B$3:$B$13)-COUNTIF(Q$4:Q1192,"Sell_"&amp;Upgrades!$B$3:$B$13))*Upgrades!$D$3:$D$13))</f>
        <v/>
      </c>
      <c r="T1192" s="66" t="str">
        <f>IFERROR(__xludf.DUMMYFUNCTION("IF(COUNTA(Q1192:Q1350)=0,"""",IF(REGEXMATCH(INDEX(FILTER(Q$4:Q1192,Q$4:Q1192&lt;&gt;""""),ROWS(FILTER(Q$4:Q1192,Q$4:Q1192&lt;&gt;""""))),""^Sell_""),INDEX(FILTER(T$4:T1191,Q$4:Q1191&lt;&gt;""""),ROWS(FILTER(Q$4:Q1191,Q$4:Q1191&lt;&gt;""""))),$AD$5+S1192))"),"")</f>
        <v/>
      </c>
      <c r="U1192" s="10" t="str">
        <f>IFERROR(__xludf.DUMMYFUNCTION("IF(COUNTA(Q1192:Q1350)=0,"""",IF(Q1192="""",0,IF(REGEXMATCH(Q1192,""^Sell_""),-ROUNDDOWN(ROUNDUP(INDEX(Upgrades!$C$3:$C$13,MATCH(SUBSTITUTE(Q1192,""Sell_"",""""),Upgrades!$B$3:$B$13,0))*1.15^(COUNTIF(Q$4:Q1191,SUBSTITUTE(Q1192,""Sell_"",""""))-COUNTIF(Q$4"&amp;":Q1191,""Sell_""&amp;SUBSTITUTE(Q1192,""Sell_"",""""))))/2),ROUNDUP(INDEX(Upgrades!$C$3:$C$13,MATCH(Q1192,Upgrades!$B$3:$B$13,0))*1.15^(COUNTIF(Q$4:Q1191,Q1192)-COUNTIF(Q$4:Q1191,""Sell_""&amp;Q1192))))))"),"")</f>
        <v/>
      </c>
      <c r="V1192" s="10" t="str">
        <f t="shared" si="11"/>
        <v/>
      </c>
      <c r="W1192" s="68" t="str">
        <f t="shared" si="12"/>
        <v/>
      </c>
      <c r="X1192" s="59" t="str">
        <f t="shared" si="13"/>
        <v/>
      </c>
      <c r="Y1192" s="69" t="str">
        <f t="shared" si="14"/>
        <v/>
      </c>
      <c r="Z1192" s="11"/>
    </row>
    <row r="1193">
      <c r="A1193" s="8"/>
      <c r="B1193" s="56" t="str">
        <f t="shared" si="2"/>
        <v/>
      </c>
      <c r="C1193" s="57"/>
      <c r="D1193" s="10" t="str">
        <f>IFERROR(__xludf.DUMMYFUNCTION("IF(COUNTA(C1193:C1350)=0,"""",IF(ISBLANK(C1193),FALSE,IF(NOT(COUNTIF($AA$24:$AA$34,SUBSTITUTE(C1193,""Sell_"",""""))),1,IF(REGEXMATCH(C1193,""Sell_""),IF(COUNTIF(C$4:C1193,SUBSTITUTE(C1193,""Sell_"",""""))-COUNTIF(C$4:C1192,C1193)&lt;1,1),FALSE))))"),"")</f>
        <v/>
      </c>
      <c r="E1193" s="59" t="str">
        <f t="array" ref="E1193">IF(COUNTA(C1193:C1350)=0,"",SUM((COUNTIF(C$4:C1193,Upgrades!$B$3:$B$13)-COUNTIF(C$4:C1193,"Sell_"&amp;Upgrades!$B$3:$B$13))*Upgrades!$D$3:$D$13))</f>
        <v/>
      </c>
      <c r="F1193" s="66" t="str">
        <f>IFERROR(__xludf.DUMMYFUNCTION("IF(COUNTA(C1193:C1350)=0,"""",IF(REGEXMATCH(INDEX(FILTER(C$4:C1193,C$4:C1193&lt;&gt;""""),ROWS(FILTER(C$4:C1193,C$4:C1193&lt;&gt;""""))),""^Sell_""),INDEX(FILTER(F$4:F1192,C$4:C1192&lt;&gt;""""),ROWS(FILTER(C$4:C1192,C$4:C1192&lt;&gt;""""))),$AC$5+E1193))"),"")</f>
        <v/>
      </c>
      <c r="G1193" s="10" t="str">
        <f>IFERROR(__xludf.DUMMYFUNCTION("IF(COUNTA(C1193:C1350)=0,"""",IF(C1193="""",0,IF(REGEXMATCH(C1193,""^Sell_""),-ROUNDDOWN(ROUNDUP(INDEX(Upgrades!$C$3:$C$13,MATCH(SUBSTITUTE(C1193,""Sell_"",""""),Upgrades!$B$3:$B$13,0))*1.15^(COUNTIF(C$4:C1192,SUBSTITUTE(C1193,""Sell_"",""""))-COUNTIF(C$4"&amp;":C1192,""Sell_""&amp;SUBSTITUTE(C1193,""Sell_"",""""))))/2),ROUNDUP(INDEX(Upgrades!$C$3:$C$13,MATCH(C1193,Upgrades!$B$3:$B$13,0))*1.15^(COUNTIF(C$4:C1192,C1193)-COUNTIF(C$4:C1192,""Sell_""&amp;C1193))))))"),"")</f>
        <v/>
      </c>
      <c r="H1193" s="10" t="str">
        <f t="shared" si="3"/>
        <v/>
      </c>
      <c r="I1193" s="68" t="str">
        <f t="shared" si="4"/>
        <v/>
      </c>
      <c r="J1193" s="59" t="str">
        <f t="shared" si="5"/>
        <v/>
      </c>
      <c r="K1193" s="69" t="str">
        <f t="shared" si="6"/>
        <v/>
      </c>
      <c r="L1193" s="60" t="str">
        <f t="shared" si="7"/>
        <v/>
      </c>
      <c r="M1193" s="61" t="str">
        <f>IFERROR(__xludf.DUMMYFUNCTION("IFS(AND(COUNTA(C1193:C1350)=0,COUNTA(Q1193:Q1350)=0),"""",OR(AND(K1193&gt;=1000000000,OR(Y1193&gt;=1000000000,COUNTA(Q1193:Q1350)=0)),OR(Y1193&gt;=1000000000,AND(COUNTA(C1193:C1350)=0,P$3=TRUE))),
ROUNDDOWN((AB$1-AC$1)*MAX(INDEX(T$4:T1350,MATCH(LARGE(FILTER(Y$4:Y1"&amp;"350,Y$4:Y1350&lt;1000000000),1),Y$4:Y1350)),INDEX(F$4:F1350,MATCH(LARGE(FILTER(K$4:K1350,K$4:K1350&lt;1000000000),1),K$4:K1350)))),AND(K1193&lt;1000000000,COUNTA(C1193:C1350)&gt;0,P$3=FALSE),
ROUNDDOWN(INDEX(Y$4:Y1350,MATCH(LARGE(FILTER(W$4:W1350,W$4:W1350&lt;=I1193),1)"&amp;",W$4:W1350))+(I1193-LARGE(FILTER(W$4:W1350,W$4:W1350&lt;=I1193),1))*INDEX(T$4:T1350,MATCH(LARGE(FILTER(W$4:W1350,W$4:W1350&lt;=I1193),1),W$4:W1350))-K1193),1,
ROUNDDOWN(Y1193-INDEX(K$4:K1350,MATCH(LARGE(FILTER(I$4:I1350,I$4:I1350&lt;=W1193),1),I$4:I1350))-(W1193-L"&amp;"ARGE(FILTER(I$4:I1350,I$4:I1350&lt;=W1193),1))*INDEX(F$4:F1350,MATCH(LARGE(FILTER(I$4:I1350,I$4:I1350&lt;=W1193),1),I$4:I1350))))"),"")</f>
        <v/>
      </c>
      <c r="N1193" s="60" t="str">
        <f t="shared" si="8"/>
        <v/>
      </c>
      <c r="O1193" s="61" t="str">
        <f t="shared" si="9"/>
        <v/>
      </c>
      <c r="P1193" s="56" t="str">
        <f t="shared" si="10"/>
        <v/>
      </c>
      <c r="Q1193" s="62"/>
      <c r="R1193" s="10" t="str">
        <f>IFERROR(__xludf.DUMMYFUNCTION("IF(COUNTA(Q1193:Q1350)=0,"""",IF(ISBLANK(Q1193),FALSE,IF(NOT(COUNTIF($AA$24:$AA$34,SUBSTITUTE(Q1193,""Sell_"",""""))),1,IF(REGEXMATCH(Q1193,""Sell_""),IF(COUNTIF(Q$4:Q1193,SUBSTITUTE(Q1193,""Sell_"",""""))-COUNTIF(Q$4:Q1192,Q1193)&lt;1,1),FALSE))))"),"")</f>
        <v/>
      </c>
      <c r="S1193" s="59" t="str">
        <f t="array" ref="S1193">IF(COUNTA(Q1193:Q1350)=0,"",SUM((COUNTIF(Q$4:Q1193,Upgrades!$B$3:$B$13)-COUNTIF(Q$4:Q1193,"Sell_"&amp;Upgrades!$B$3:$B$13))*Upgrades!$D$3:$D$13))</f>
        <v/>
      </c>
      <c r="T1193" s="66" t="str">
        <f>IFERROR(__xludf.DUMMYFUNCTION("IF(COUNTA(Q1193:Q1350)=0,"""",IF(REGEXMATCH(INDEX(FILTER(Q$4:Q1193,Q$4:Q1193&lt;&gt;""""),ROWS(FILTER(Q$4:Q1193,Q$4:Q1193&lt;&gt;""""))),""^Sell_""),INDEX(FILTER(T$4:T1192,Q$4:Q1192&lt;&gt;""""),ROWS(FILTER(Q$4:Q1192,Q$4:Q1192&lt;&gt;""""))),$AD$5+S1193))"),"")</f>
        <v/>
      </c>
      <c r="U1193" s="10" t="str">
        <f>IFERROR(__xludf.DUMMYFUNCTION("IF(COUNTA(Q1193:Q1350)=0,"""",IF(Q1193="""",0,IF(REGEXMATCH(Q1193,""^Sell_""),-ROUNDDOWN(ROUNDUP(INDEX(Upgrades!$C$3:$C$13,MATCH(SUBSTITUTE(Q1193,""Sell_"",""""),Upgrades!$B$3:$B$13,0))*1.15^(COUNTIF(Q$4:Q1192,SUBSTITUTE(Q1193,""Sell_"",""""))-COUNTIF(Q$4"&amp;":Q1192,""Sell_""&amp;SUBSTITUTE(Q1193,""Sell_"",""""))))/2),ROUNDUP(INDEX(Upgrades!$C$3:$C$13,MATCH(Q1193,Upgrades!$B$3:$B$13,0))*1.15^(COUNTIF(Q$4:Q1192,Q1193)-COUNTIF(Q$4:Q1192,""Sell_""&amp;Q1193))))))"),"")</f>
        <v/>
      </c>
      <c r="V1193" s="10" t="str">
        <f t="shared" si="11"/>
        <v/>
      </c>
      <c r="W1193" s="68" t="str">
        <f t="shared" si="12"/>
        <v/>
      </c>
      <c r="X1193" s="59" t="str">
        <f t="shared" si="13"/>
        <v/>
      </c>
      <c r="Y1193" s="69" t="str">
        <f t="shared" si="14"/>
        <v/>
      </c>
      <c r="Z1193" s="11"/>
    </row>
    <row r="1194">
      <c r="A1194" s="8"/>
      <c r="B1194" s="56" t="str">
        <f t="shared" si="2"/>
        <v/>
      </c>
      <c r="C1194" s="57"/>
      <c r="D1194" s="10" t="str">
        <f>IFERROR(__xludf.DUMMYFUNCTION("IF(COUNTA(C1194:C1350)=0,"""",IF(ISBLANK(C1194),FALSE,IF(NOT(COUNTIF($AA$24:$AA$34,SUBSTITUTE(C1194,""Sell_"",""""))),1,IF(REGEXMATCH(C1194,""Sell_""),IF(COUNTIF(C$4:C1194,SUBSTITUTE(C1194,""Sell_"",""""))-COUNTIF(C$4:C1193,C1194)&lt;1,1),FALSE))))"),"")</f>
        <v/>
      </c>
      <c r="E1194" s="59" t="str">
        <f t="array" ref="E1194">IF(COUNTA(C1194:C1350)=0,"",SUM((COUNTIF(C$4:C1194,Upgrades!$B$3:$B$13)-COUNTIF(C$4:C1194,"Sell_"&amp;Upgrades!$B$3:$B$13))*Upgrades!$D$3:$D$13))</f>
        <v/>
      </c>
      <c r="F1194" s="66" t="str">
        <f>IFERROR(__xludf.DUMMYFUNCTION("IF(COUNTA(C1194:C1350)=0,"""",IF(REGEXMATCH(INDEX(FILTER(C$4:C1194,C$4:C1194&lt;&gt;""""),ROWS(FILTER(C$4:C1194,C$4:C1194&lt;&gt;""""))),""^Sell_""),INDEX(FILTER(F$4:F1193,C$4:C1193&lt;&gt;""""),ROWS(FILTER(C$4:C1193,C$4:C1193&lt;&gt;""""))),$AC$5+E1194))"),"")</f>
        <v/>
      </c>
      <c r="G1194" s="10" t="str">
        <f>IFERROR(__xludf.DUMMYFUNCTION("IF(COUNTA(C1194:C1350)=0,"""",IF(C1194="""",0,IF(REGEXMATCH(C1194,""^Sell_""),-ROUNDDOWN(ROUNDUP(INDEX(Upgrades!$C$3:$C$13,MATCH(SUBSTITUTE(C1194,""Sell_"",""""),Upgrades!$B$3:$B$13,0))*1.15^(COUNTIF(C$4:C1193,SUBSTITUTE(C1194,""Sell_"",""""))-COUNTIF(C$4"&amp;":C1193,""Sell_""&amp;SUBSTITUTE(C1194,""Sell_"",""""))))/2),ROUNDUP(INDEX(Upgrades!$C$3:$C$13,MATCH(C1194,Upgrades!$B$3:$B$13,0))*1.15^(COUNTIF(C$4:C1193,C1194)-COUNTIF(C$4:C1193,""Sell_""&amp;C1194))))))"),"")</f>
        <v/>
      </c>
      <c r="H1194" s="10" t="str">
        <f t="shared" si="3"/>
        <v/>
      </c>
      <c r="I1194" s="68" t="str">
        <f t="shared" si="4"/>
        <v/>
      </c>
      <c r="J1194" s="59" t="str">
        <f t="shared" si="5"/>
        <v/>
      </c>
      <c r="K1194" s="69" t="str">
        <f t="shared" si="6"/>
        <v/>
      </c>
      <c r="L1194" s="60" t="str">
        <f t="shared" si="7"/>
        <v/>
      </c>
      <c r="M1194" s="61" t="str">
        <f>IFERROR(__xludf.DUMMYFUNCTION("IFS(AND(COUNTA(C1194:C1350)=0,COUNTA(Q1194:Q1350)=0),"""",OR(AND(K1194&gt;=1000000000,OR(Y1194&gt;=1000000000,COUNTA(Q1194:Q1350)=0)),OR(Y1194&gt;=1000000000,AND(COUNTA(C1194:C1350)=0,P$3=TRUE))),
ROUNDDOWN((AB$1-AC$1)*MAX(INDEX(T$4:T1350,MATCH(LARGE(FILTER(Y$4:Y1"&amp;"350,Y$4:Y1350&lt;1000000000),1),Y$4:Y1350)),INDEX(F$4:F1350,MATCH(LARGE(FILTER(K$4:K1350,K$4:K1350&lt;1000000000),1),K$4:K1350)))),AND(K1194&lt;1000000000,COUNTA(C1194:C1350)&gt;0,P$3=FALSE),
ROUNDDOWN(INDEX(Y$4:Y1350,MATCH(LARGE(FILTER(W$4:W1350,W$4:W1350&lt;=I1194),1)"&amp;",W$4:W1350))+(I1194-LARGE(FILTER(W$4:W1350,W$4:W1350&lt;=I1194),1))*INDEX(T$4:T1350,MATCH(LARGE(FILTER(W$4:W1350,W$4:W1350&lt;=I1194),1),W$4:W1350))-K1194),1,
ROUNDDOWN(Y1194-INDEX(K$4:K1350,MATCH(LARGE(FILTER(I$4:I1350,I$4:I1350&lt;=W1194),1),I$4:I1350))-(W1194-L"&amp;"ARGE(FILTER(I$4:I1350,I$4:I1350&lt;=W1194),1))*INDEX(F$4:F1350,MATCH(LARGE(FILTER(I$4:I1350,I$4:I1350&lt;=W1194),1),I$4:I1350))))"),"")</f>
        <v/>
      </c>
      <c r="N1194" s="60" t="str">
        <f t="shared" si="8"/>
        <v/>
      </c>
      <c r="O1194" s="61" t="str">
        <f t="shared" si="9"/>
        <v/>
      </c>
      <c r="P1194" s="56" t="str">
        <f t="shared" si="10"/>
        <v/>
      </c>
      <c r="Q1194" s="62"/>
      <c r="R1194" s="10" t="str">
        <f>IFERROR(__xludf.DUMMYFUNCTION("IF(COUNTA(Q1194:Q1350)=0,"""",IF(ISBLANK(Q1194),FALSE,IF(NOT(COUNTIF($AA$24:$AA$34,SUBSTITUTE(Q1194,""Sell_"",""""))),1,IF(REGEXMATCH(Q1194,""Sell_""),IF(COUNTIF(Q$4:Q1194,SUBSTITUTE(Q1194,""Sell_"",""""))-COUNTIF(Q$4:Q1193,Q1194)&lt;1,1),FALSE))))"),"")</f>
        <v/>
      </c>
      <c r="S1194" s="59" t="str">
        <f t="array" ref="S1194">IF(COUNTA(Q1194:Q1350)=0,"",SUM((COUNTIF(Q$4:Q1194,Upgrades!$B$3:$B$13)-COUNTIF(Q$4:Q1194,"Sell_"&amp;Upgrades!$B$3:$B$13))*Upgrades!$D$3:$D$13))</f>
        <v/>
      </c>
      <c r="T1194" s="66" t="str">
        <f>IFERROR(__xludf.DUMMYFUNCTION("IF(COUNTA(Q1194:Q1350)=0,"""",IF(REGEXMATCH(INDEX(FILTER(Q$4:Q1194,Q$4:Q1194&lt;&gt;""""),ROWS(FILTER(Q$4:Q1194,Q$4:Q1194&lt;&gt;""""))),""^Sell_""),INDEX(FILTER(T$4:T1193,Q$4:Q1193&lt;&gt;""""),ROWS(FILTER(Q$4:Q1193,Q$4:Q1193&lt;&gt;""""))),$AD$5+S1194))"),"")</f>
        <v/>
      </c>
      <c r="U1194" s="10" t="str">
        <f>IFERROR(__xludf.DUMMYFUNCTION("IF(COUNTA(Q1194:Q1350)=0,"""",IF(Q1194="""",0,IF(REGEXMATCH(Q1194,""^Sell_""),-ROUNDDOWN(ROUNDUP(INDEX(Upgrades!$C$3:$C$13,MATCH(SUBSTITUTE(Q1194,""Sell_"",""""),Upgrades!$B$3:$B$13,0))*1.15^(COUNTIF(Q$4:Q1193,SUBSTITUTE(Q1194,""Sell_"",""""))-COUNTIF(Q$4"&amp;":Q1193,""Sell_""&amp;SUBSTITUTE(Q1194,""Sell_"",""""))))/2),ROUNDUP(INDEX(Upgrades!$C$3:$C$13,MATCH(Q1194,Upgrades!$B$3:$B$13,0))*1.15^(COUNTIF(Q$4:Q1193,Q1194)-COUNTIF(Q$4:Q1193,""Sell_""&amp;Q1194))))))"),"")</f>
        <v/>
      </c>
      <c r="V1194" s="10" t="str">
        <f t="shared" si="11"/>
        <v/>
      </c>
      <c r="W1194" s="68" t="str">
        <f t="shared" si="12"/>
        <v/>
      </c>
      <c r="X1194" s="59" t="str">
        <f t="shared" si="13"/>
        <v/>
      </c>
      <c r="Y1194" s="69" t="str">
        <f t="shared" si="14"/>
        <v/>
      </c>
      <c r="Z1194" s="11"/>
    </row>
    <row r="1195">
      <c r="A1195" s="8"/>
      <c r="B1195" s="56" t="str">
        <f t="shared" si="2"/>
        <v/>
      </c>
      <c r="C1195" s="57"/>
      <c r="D1195" s="10" t="str">
        <f>IFERROR(__xludf.DUMMYFUNCTION("IF(COUNTA(C1195:C1350)=0,"""",IF(ISBLANK(C1195),FALSE,IF(NOT(COUNTIF($AA$24:$AA$34,SUBSTITUTE(C1195,""Sell_"",""""))),1,IF(REGEXMATCH(C1195,""Sell_""),IF(COUNTIF(C$4:C1195,SUBSTITUTE(C1195,""Sell_"",""""))-COUNTIF(C$4:C1194,C1195)&lt;1,1),FALSE))))"),"")</f>
        <v/>
      </c>
      <c r="E1195" s="59" t="str">
        <f t="array" ref="E1195">IF(COUNTA(C1195:C1350)=0,"",SUM((COUNTIF(C$4:C1195,Upgrades!$B$3:$B$13)-COUNTIF(C$4:C1195,"Sell_"&amp;Upgrades!$B$3:$B$13))*Upgrades!$D$3:$D$13))</f>
        <v/>
      </c>
      <c r="F1195" s="66" t="str">
        <f>IFERROR(__xludf.DUMMYFUNCTION("IF(COUNTA(C1195:C1350)=0,"""",IF(REGEXMATCH(INDEX(FILTER(C$4:C1195,C$4:C1195&lt;&gt;""""),ROWS(FILTER(C$4:C1195,C$4:C1195&lt;&gt;""""))),""^Sell_""),INDEX(FILTER(F$4:F1194,C$4:C1194&lt;&gt;""""),ROWS(FILTER(C$4:C1194,C$4:C1194&lt;&gt;""""))),$AC$5+E1195))"),"")</f>
        <v/>
      </c>
      <c r="G1195" s="10" t="str">
        <f>IFERROR(__xludf.DUMMYFUNCTION("IF(COUNTA(C1195:C1350)=0,"""",IF(C1195="""",0,IF(REGEXMATCH(C1195,""^Sell_""),-ROUNDDOWN(ROUNDUP(INDEX(Upgrades!$C$3:$C$13,MATCH(SUBSTITUTE(C1195,""Sell_"",""""),Upgrades!$B$3:$B$13,0))*1.15^(COUNTIF(C$4:C1194,SUBSTITUTE(C1195,""Sell_"",""""))-COUNTIF(C$4"&amp;":C1194,""Sell_""&amp;SUBSTITUTE(C1195,""Sell_"",""""))))/2),ROUNDUP(INDEX(Upgrades!$C$3:$C$13,MATCH(C1195,Upgrades!$B$3:$B$13,0))*1.15^(COUNTIF(C$4:C1194,C1195)-COUNTIF(C$4:C1194,""Sell_""&amp;C1195))))))"),"")</f>
        <v/>
      </c>
      <c r="H1195" s="10" t="str">
        <f t="shared" si="3"/>
        <v/>
      </c>
      <c r="I1195" s="68" t="str">
        <f t="shared" si="4"/>
        <v/>
      </c>
      <c r="J1195" s="59" t="str">
        <f t="shared" si="5"/>
        <v/>
      </c>
      <c r="K1195" s="69" t="str">
        <f t="shared" si="6"/>
        <v/>
      </c>
      <c r="L1195" s="60" t="str">
        <f t="shared" si="7"/>
        <v/>
      </c>
      <c r="M1195" s="61" t="str">
        <f>IFERROR(__xludf.DUMMYFUNCTION("IFS(AND(COUNTA(C1195:C1350)=0,COUNTA(Q1195:Q1350)=0),"""",OR(AND(K1195&gt;=1000000000,OR(Y1195&gt;=1000000000,COUNTA(Q1195:Q1350)=0)),OR(Y1195&gt;=1000000000,AND(COUNTA(C1195:C1350)=0,P$3=TRUE))),
ROUNDDOWN((AB$1-AC$1)*MAX(INDEX(T$4:T1350,MATCH(LARGE(FILTER(Y$4:Y1"&amp;"350,Y$4:Y1350&lt;1000000000),1),Y$4:Y1350)),INDEX(F$4:F1350,MATCH(LARGE(FILTER(K$4:K1350,K$4:K1350&lt;1000000000),1),K$4:K1350)))),AND(K1195&lt;1000000000,COUNTA(C1195:C1350)&gt;0,P$3=FALSE),
ROUNDDOWN(INDEX(Y$4:Y1350,MATCH(LARGE(FILTER(W$4:W1350,W$4:W1350&lt;=I1195),1)"&amp;",W$4:W1350))+(I1195-LARGE(FILTER(W$4:W1350,W$4:W1350&lt;=I1195),1))*INDEX(T$4:T1350,MATCH(LARGE(FILTER(W$4:W1350,W$4:W1350&lt;=I1195),1),W$4:W1350))-K1195),1,
ROUNDDOWN(Y1195-INDEX(K$4:K1350,MATCH(LARGE(FILTER(I$4:I1350,I$4:I1350&lt;=W1195),1),I$4:I1350))-(W1195-L"&amp;"ARGE(FILTER(I$4:I1350,I$4:I1350&lt;=W1195),1))*INDEX(F$4:F1350,MATCH(LARGE(FILTER(I$4:I1350,I$4:I1350&lt;=W1195),1),I$4:I1350))))"),"")</f>
        <v/>
      </c>
      <c r="N1195" s="60" t="str">
        <f t="shared" si="8"/>
        <v/>
      </c>
      <c r="O1195" s="61" t="str">
        <f t="shared" si="9"/>
        <v/>
      </c>
      <c r="P1195" s="56" t="str">
        <f t="shared" si="10"/>
        <v/>
      </c>
      <c r="Q1195" s="62"/>
      <c r="R1195" s="10" t="str">
        <f>IFERROR(__xludf.DUMMYFUNCTION("IF(COUNTA(Q1195:Q1350)=0,"""",IF(ISBLANK(Q1195),FALSE,IF(NOT(COUNTIF($AA$24:$AA$34,SUBSTITUTE(Q1195,""Sell_"",""""))),1,IF(REGEXMATCH(Q1195,""Sell_""),IF(COUNTIF(Q$4:Q1195,SUBSTITUTE(Q1195,""Sell_"",""""))-COUNTIF(Q$4:Q1194,Q1195)&lt;1,1),FALSE))))"),"")</f>
        <v/>
      </c>
      <c r="S1195" s="59" t="str">
        <f t="array" ref="S1195">IF(COUNTA(Q1195:Q1350)=0,"",SUM((COUNTIF(Q$4:Q1195,Upgrades!$B$3:$B$13)-COUNTIF(Q$4:Q1195,"Sell_"&amp;Upgrades!$B$3:$B$13))*Upgrades!$D$3:$D$13))</f>
        <v/>
      </c>
      <c r="T1195" s="66" t="str">
        <f>IFERROR(__xludf.DUMMYFUNCTION("IF(COUNTA(Q1195:Q1350)=0,"""",IF(REGEXMATCH(INDEX(FILTER(Q$4:Q1195,Q$4:Q1195&lt;&gt;""""),ROWS(FILTER(Q$4:Q1195,Q$4:Q1195&lt;&gt;""""))),""^Sell_""),INDEX(FILTER(T$4:T1194,Q$4:Q1194&lt;&gt;""""),ROWS(FILTER(Q$4:Q1194,Q$4:Q1194&lt;&gt;""""))),$AD$5+S1195))"),"")</f>
        <v/>
      </c>
      <c r="U1195" s="10" t="str">
        <f>IFERROR(__xludf.DUMMYFUNCTION("IF(COUNTA(Q1195:Q1350)=0,"""",IF(Q1195="""",0,IF(REGEXMATCH(Q1195,""^Sell_""),-ROUNDDOWN(ROUNDUP(INDEX(Upgrades!$C$3:$C$13,MATCH(SUBSTITUTE(Q1195,""Sell_"",""""),Upgrades!$B$3:$B$13,0))*1.15^(COUNTIF(Q$4:Q1194,SUBSTITUTE(Q1195,""Sell_"",""""))-COUNTIF(Q$4"&amp;":Q1194,""Sell_""&amp;SUBSTITUTE(Q1195,""Sell_"",""""))))/2),ROUNDUP(INDEX(Upgrades!$C$3:$C$13,MATCH(Q1195,Upgrades!$B$3:$B$13,0))*1.15^(COUNTIF(Q$4:Q1194,Q1195)-COUNTIF(Q$4:Q1194,""Sell_""&amp;Q1195))))))"),"")</f>
        <v/>
      </c>
      <c r="V1195" s="10" t="str">
        <f t="shared" si="11"/>
        <v/>
      </c>
      <c r="W1195" s="68" t="str">
        <f t="shared" si="12"/>
        <v/>
      </c>
      <c r="X1195" s="59" t="str">
        <f t="shared" si="13"/>
        <v/>
      </c>
      <c r="Y1195" s="69" t="str">
        <f t="shared" si="14"/>
        <v/>
      </c>
      <c r="Z1195" s="11"/>
    </row>
    <row r="1196">
      <c r="A1196" s="8"/>
      <c r="B1196" s="56" t="str">
        <f t="shared" si="2"/>
        <v/>
      </c>
      <c r="C1196" s="57"/>
      <c r="D1196" s="10" t="str">
        <f>IFERROR(__xludf.DUMMYFUNCTION("IF(COUNTA(C1196:C1350)=0,"""",IF(ISBLANK(C1196),FALSE,IF(NOT(COUNTIF($AA$24:$AA$34,SUBSTITUTE(C1196,""Sell_"",""""))),1,IF(REGEXMATCH(C1196,""Sell_""),IF(COUNTIF(C$4:C1196,SUBSTITUTE(C1196,""Sell_"",""""))-COUNTIF(C$4:C1195,C1196)&lt;1,1),FALSE))))"),"")</f>
        <v/>
      </c>
      <c r="E1196" s="59" t="str">
        <f t="array" ref="E1196">IF(COUNTA(C1196:C1350)=0,"",SUM((COUNTIF(C$4:C1196,Upgrades!$B$3:$B$13)-COUNTIF(C$4:C1196,"Sell_"&amp;Upgrades!$B$3:$B$13))*Upgrades!$D$3:$D$13))</f>
        <v/>
      </c>
      <c r="F1196" s="66" t="str">
        <f>IFERROR(__xludf.DUMMYFUNCTION("IF(COUNTA(C1196:C1350)=0,"""",IF(REGEXMATCH(INDEX(FILTER(C$4:C1196,C$4:C1196&lt;&gt;""""),ROWS(FILTER(C$4:C1196,C$4:C1196&lt;&gt;""""))),""^Sell_""),INDEX(FILTER(F$4:F1195,C$4:C1195&lt;&gt;""""),ROWS(FILTER(C$4:C1195,C$4:C1195&lt;&gt;""""))),$AC$5+E1196))"),"")</f>
        <v/>
      </c>
      <c r="G1196" s="10" t="str">
        <f>IFERROR(__xludf.DUMMYFUNCTION("IF(COUNTA(C1196:C1350)=0,"""",IF(C1196="""",0,IF(REGEXMATCH(C1196,""^Sell_""),-ROUNDDOWN(ROUNDUP(INDEX(Upgrades!$C$3:$C$13,MATCH(SUBSTITUTE(C1196,""Sell_"",""""),Upgrades!$B$3:$B$13,0))*1.15^(COUNTIF(C$4:C1195,SUBSTITUTE(C1196,""Sell_"",""""))-COUNTIF(C$4"&amp;":C1195,""Sell_""&amp;SUBSTITUTE(C1196,""Sell_"",""""))))/2),ROUNDUP(INDEX(Upgrades!$C$3:$C$13,MATCH(C1196,Upgrades!$B$3:$B$13,0))*1.15^(COUNTIF(C$4:C1195,C1196)-COUNTIF(C$4:C1195,""Sell_""&amp;C1196))))))"),"")</f>
        <v/>
      </c>
      <c r="H1196" s="10" t="str">
        <f t="shared" si="3"/>
        <v/>
      </c>
      <c r="I1196" s="68" t="str">
        <f t="shared" si="4"/>
        <v/>
      </c>
      <c r="J1196" s="59" t="str">
        <f t="shared" si="5"/>
        <v/>
      </c>
      <c r="K1196" s="69" t="str">
        <f t="shared" si="6"/>
        <v/>
      </c>
      <c r="L1196" s="60" t="str">
        <f t="shared" si="7"/>
        <v/>
      </c>
      <c r="M1196" s="61" t="str">
        <f>IFERROR(__xludf.DUMMYFUNCTION("IFS(AND(COUNTA(C1196:C1350)=0,COUNTA(Q1196:Q1350)=0),"""",OR(AND(K1196&gt;=1000000000,OR(Y1196&gt;=1000000000,COUNTA(Q1196:Q1350)=0)),OR(Y1196&gt;=1000000000,AND(COUNTA(C1196:C1350)=0,P$3=TRUE))),
ROUNDDOWN((AB$1-AC$1)*MAX(INDEX(T$4:T1350,MATCH(LARGE(FILTER(Y$4:Y1"&amp;"350,Y$4:Y1350&lt;1000000000),1),Y$4:Y1350)),INDEX(F$4:F1350,MATCH(LARGE(FILTER(K$4:K1350,K$4:K1350&lt;1000000000),1),K$4:K1350)))),AND(K1196&lt;1000000000,COUNTA(C1196:C1350)&gt;0,P$3=FALSE),
ROUNDDOWN(INDEX(Y$4:Y1350,MATCH(LARGE(FILTER(W$4:W1350,W$4:W1350&lt;=I1196),1)"&amp;",W$4:W1350))+(I1196-LARGE(FILTER(W$4:W1350,W$4:W1350&lt;=I1196),1))*INDEX(T$4:T1350,MATCH(LARGE(FILTER(W$4:W1350,W$4:W1350&lt;=I1196),1),W$4:W1350))-K1196),1,
ROUNDDOWN(Y1196-INDEX(K$4:K1350,MATCH(LARGE(FILTER(I$4:I1350,I$4:I1350&lt;=W1196),1),I$4:I1350))-(W1196-L"&amp;"ARGE(FILTER(I$4:I1350,I$4:I1350&lt;=W1196),1))*INDEX(F$4:F1350,MATCH(LARGE(FILTER(I$4:I1350,I$4:I1350&lt;=W1196),1),I$4:I1350))))"),"")</f>
        <v/>
      </c>
      <c r="N1196" s="60" t="str">
        <f t="shared" si="8"/>
        <v/>
      </c>
      <c r="O1196" s="61" t="str">
        <f t="shared" si="9"/>
        <v/>
      </c>
      <c r="P1196" s="56" t="str">
        <f t="shared" si="10"/>
        <v/>
      </c>
      <c r="Q1196" s="62"/>
      <c r="R1196" s="10" t="str">
        <f>IFERROR(__xludf.DUMMYFUNCTION("IF(COUNTA(Q1196:Q1350)=0,"""",IF(ISBLANK(Q1196),FALSE,IF(NOT(COUNTIF($AA$24:$AA$34,SUBSTITUTE(Q1196,""Sell_"",""""))),1,IF(REGEXMATCH(Q1196,""Sell_""),IF(COUNTIF(Q$4:Q1196,SUBSTITUTE(Q1196,""Sell_"",""""))-COUNTIF(Q$4:Q1195,Q1196)&lt;1,1),FALSE))))"),"")</f>
        <v/>
      </c>
      <c r="S1196" s="59" t="str">
        <f t="array" ref="S1196">IF(COUNTA(Q1196:Q1350)=0,"",SUM((COUNTIF(Q$4:Q1196,Upgrades!$B$3:$B$13)-COUNTIF(Q$4:Q1196,"Sell_"&amp;Upgrades!$B$3:$B$13))*Upgrades!$D$3:$D$13))</f>
        <v/>
      </c>
      <c r="T1196" s="66" t="str">
        <f>IFERROR(__xludf.DUMMYFUNCTION("IF(COUNTA(Q1196:Q1350)=0,"""",IF(REGEXMATCH(INDEX(FILTER(Q$4:Q1196,Q$4:Q1196&lt;&gt;""""),ROWS(FILTER(Q$4:Q1196,Q$4:Q1196&lt;&gt;""""))),""^Sell_""),INDEX(FILTER(T$4:T1195,Q$4:Q1195&lt;&gt;""""),ROWS(FILTER(Q$4:Q1195,Q$4:Q1195&lt;&gt;""""))),$AD$5+S1196))"),"")</f>
        <v/>
      </c>
      <c r="U1196" s="10" t="str">
        <f>IFERROR(__xludf.DUMMYFUNCTION("IF(COUNTA(Q1196:Q1350)=0,"""",IF(Q1196="""",0,IF(REGEXMATCH(Q1196,""^Sell_""),-ROUNDDOWN(ROUNDUP(INDEX(Upgrades!$C$3:$C$13,MATCH(SUBSTITUTE(Q1196,""Sell_"",""""),Upgrades!$B$3:$B$13,0))*1.15^(COUNTIF(Q$4:Q1195,SUBSTITUTE(Q1196,""Sell_"",""""))-COUNTIF(Q$4"&amp;":Q1195,""Sell_""&amp;SUBSTITUTE(Q1196,""Sell_"",""""))))/2),ROUNDUP(INDEX(Upgrades!$C$3:$C$13,MATCH(Q1196,Upgrades!$B$3:$B$13,0))*1.15^(COUNTIF(Q$4:Q1195,Q1196)-COUNTIF(Q$4:Q1195,""Sell_""&amp;Q1196))))))"),"")</f>
        <v/>
      </c>
      <c r="V1196" s="10" t="str">
        <f t="shared" si="11"/>
        <v/>
      </c>
      <c r="W1196" s="68" t="str">
        <f t="shared" si="12"/>
        <v/>
      </c>
      <c r="X1196" s="59" t="str">
        <f t="shared" si="13"/>
        <v/>
      </c>
      <c r="Y1196" s="69" t="str">
        <f t="shared" si="14"/>
        <v/>
      </c>
      <c r="Z1196" s="11"/>
    </row>
    <row r="1197">
      <c r="A1197" s="8"/>
      <c r="B1197" s="56" t="str">
        <f t="shared" si="2"/>
        <v/>
      </c>
      <c r="C1197" s="57"/>
      <c r="D1197" s="10" t="str">
        <f>IFERROR(__xludf.DUMMYFUNCTION("IF(COUNTA(C1197:C1350)=0,"""",IF(ISBLANK(C1197),FALSE,IF(NOT(COUNTIF($AA$24:$AA$34,SUBSTITUTE(C1197,""Sell_"",""""))),1,IF(REGEXMATCH(C1197,""Sell_""),IF(COUNTIF(C$4:C1197,SUBSTITUTE(C1197,""Sell_"",""""))-COUNTIF(C$4:C1196,C1197)&lt;1,1),FALSE))))"),"")</f>
        <v/>
      </c>
      <c r="E1197" s="59" t="str">
        <f t="array" ref="E1197">IF(COUNTA(C1197:C1350)=0,"",SUM((COUNTIF(C$4:C1197,Upgrades!$B$3:$B$13)-COUNTIF(C$4:C1197,"Sell_"&amp;Upgrades!$B$3:$B$13))*Upgrades!$D$3:$D$13))</f>
        <v/>
      </c>
      <c r="F1197" s="66" t="str">
        <f>IFERROR(__xludf.DUMMYFUNCTION("IF(COUNTA(C1197:C1350)=0,"""",IF(REGEXMATCH(INDEX(FILTER(C$4:C1197,C$4:C1197&lt;&gt;""""),ROWS(FILTER(C$4:C1197,C$4:C1197&lt;&gt;""""))),""^Sell_""),INDEX(FILTER(F$4:F1196,C$4:C1196&lt;&gt;""""),ROWS(FILTER(C$4:C1196,C$4:C1196&lt;&gt;""""))),$AC$5+E1197))"),"")</f>
        <v/>
      </c>
      <c r="G1197" s="10" t="str">
        <f>IFERROR(__xludf.DUMMYFUNCTION("IF(COUNTA(C1197:C1350)=0,"""",IF(C1197="""",0,IF(REGEXMATCH(C1197,""^Sell_""),-ROUNDDOWN(ROUNDUP(INDEX(Upgrades!$C$3:$C$13,MATCH(SUBSTITUTE(C1197,""Sell_"",""""),Upgrades!$B$3:$B$13,0))*1.15^(COUNTIF(C$4:C1196,SUBSTITUTE(C1197,""Sell_"",""""))-COUNTIF(C$4"&amp;":C1196,""Sell_""&amp;SUBSTITUTE(C1197,""Sell_"",""""))))/2),ROUNDUP(INDEX(Upgrades!$C$3:$C$13,MATCH(C1197,Upgrades!$B$3:$B$13,0))*1.15^(COUNTIF(C$4:C1196,C1197)-COUNTIF(C$4:C1196,""Sell_""&amp;C1197))))))"),"")</f>
        <v/>
      </c>
      <c r="H1197" s="10" t="str">
        <f t="shared" si="3"/>
        <v/>
      </c>
      <c r="I1197" s="68" t="str">
        <f t="shared" si="4"/>
        <v/>
      </c>
      <c r="J1197" s="59" t="str">
        <f t="shared" si="5"/>
        <v/>
      </c>
      <c r="K1197" s="69" t="str">
        <f t="shared" si="6"/>
        <v/>
      </c>
      <c r="L1197" s="60" t="str">
        <f t="shared" si="7"/>
        <v/>
      </c>
      <c r="M1197" s="61" t="str">
        <f>IFERROR(__xludf.DUMMYFUNCTION("IFS(AND(COUNTA(C1197:C1350)=0,COUNTA(Q1197:Q1350)=0),"""",OR(AND(K1197&gt;=1000000000,OR(Y1197&gt;=1000000000,COUNTA(Q1197:Q1350)=0)),OR(Y1197&gt;=1000000000,AND(COUNTA(C1197:C1350)=0,P$3=TRUE))),
ROUNDDOWN((AB$1-AC$1)*MAX(INDEX(T$4:T1350,MATCH(LARGE(FILTER(Y$4:Y1"&amp;"350,Y$4:Y1350&lt;1000000000),1),Y$4:Y1350)),INDEX(F$4:F1350,MATCH(LARGE(FILTER(K$4:K1350,K$4:K1350&lt;1000000000),1),K$4:K1350)))),AND(K1197&lt;1000000000,COUNTA(C1197:C1350)&gt;0,P$3=FALSE),
ROUNDDOWN(INDEX(Y$4:Y1350,MATCH(LARGE(FILTER(W$4:W1350,W$4:W1350&lt;=I1197),1)"&amp;",W$4:W1350))+(I1197-LARGE(FILTER(W$4:W1350,W$4:W1350&lt;=I1197),1))*INDEX(T$4:T1350,MATCH(LARGE(FILTER(W$4:W1350,W$4:W1350&lt;=I1197),1),W$4:W1350))-K1197),1,
ROUNDDOWN(Y1197-INDEX(K$4:K1350,MATCH(LARGE(FILTER(I$4:I1350,I$4:I1350&lt;=W1197),1),I$4:I1350))-(W1197-L"&amp;"ARGE(FILTER(I$4:I1350,I$4:I1350&lt;=W1197),1))*INDEX(F$4:F1350,MATCH(LARGE(FILTER(I$4:I1350,I$4:I1350&lt;=W1197),1),I$4:I1350))))"),"")</f>
        <v/>
      </c>
      <c r="N1197" s="60" t="str">
        <f t="shared" si="8"/>
        <v/>
      </c>
      <c r="O1197" s="61" t="str">
        <f t="shared" si="9"/>
        <v/>
      </c>
      <c r="P1197" s="56" t="str">
        <f t="shared" si="10"/>
        <v/>
      </c>
      <c r="Q1197" s="62"/>
      <c r="R1197" s="10" t="str">
        <f>IFERROR(__xludf.DUMMYFUNCTION("IF(COUNTA(Q1197:Q1350)=0,"""",IF(ISBLANK(Q1197),FALSE,IF(NOT(COUNTIF($AA$24:$AA$34,SUBSTITUTE(Q1197,""Sell_"",""""))),1,IF(REGEXMATCH(Q1197,""Sell_""),IF(COUNTIF(Q$4:Q1197,SUBSTITUTE(Q1197,""Sell_"",""""))-COUNTIF(Q$4:Q1196,Q1197)&lt;1,1),FALSE))))"),"")</f>
        <v/>
      </c>
      <c r="S1197" s="59" t="str">
        <f t="array" ref="S1197">IF(COUNTA(Q1197:Q1350)=0,"",SUM((COUNTIF(Q$4:Q1197,Upgrades!$B$3:$B$13)-COUNTIF(Q$4:Q1197,"Sell_"&amp;Upgrades!$B$3:$B$13))*Upgrades!$D$3:$D$13))</f>
        <v/>
      </c>
      <c r="T1197" s="66" t="str">
        <f>IFERROR(__xludf.DUMMYFUNCTION("IF(COUNTA(Q1197:Q1350)=0,"""",IF(REGEXMATCH(INDEX(FILTER(Q$4:Q1197,Q$4:Q1197&lt;&gt;""""),ROWS(FILTER(Q$4:Q1197,Q$4:Q1197&lt;&gt;""""))),""^Sell_""),INDEX(FILTER(T$4:T1196,Q$4:Q1196&lt;&gt;""""),ROWS(FILTER(Q$4:Q1196,Q$4:Q1196&lt;&gt;""""))),$AD$5+S1197))"),"")</f>
        <v/>
      </c>
      <c r="U1197" s="10" t="str">
        <f>IFERROR(__xludf.DUMMYFUNCTION("IF(COUNTA(Q1197:Q1350)=0,"""",IF(Q1197="""",0,IF(REGEXMATCH(Q1197,""^Sell_""),-ROUNDDOWN(ROUNDUP(INDEX(Upgrades!$C$3:$C$13,MATCH(SUBSTITUTE(Q1197,""Sell_"",""""),Upgrades!$B$3:$B$13,0))*1.15^(COUNTIF(Q$4:Q1196,SUBSTITUTE(Q1197,""Sell_"",""""))-COUNTIF(Q$4"&amp;":Q1196,""Sell_""&amp;SUBSTITUTE(Q1197,""Sell_"",""""))))/2),ROUNDUP(INDEX(Upgrades!$C$3:$C$13,MATCH(Q1197,Upgrades!$B$3:$B$13,0))*1.15^(COUNTIF(Q$4:Q1196,Q1197)-COUNTIF(Q$4:Q1196,""Sell_""&amp;Q1197))))))"),"")</f>
        <v/>
      </c>
      <c r="V1197" s="10" t="str">
        <f t="shared" si="11"/>
        <v/>
      </c>
      <c r="W1197" s="68" t="str">
        <f t="shared" si="12"/>
        <v/>
      </c>
      <c r="X1197" s="59" t="str">
        <f t="shared" si="13"/>
        <v/>
      </c>
      <c r="Y1197" s="69" t="str">
        <f t="shared" si="14"/>
        <v/>
      </c>
      <c r="Z1197" s="11"/>
    </row>
    <row r="1198">
      <c r="A1198" s="8"/>
      <c r="B1198" s="56" t="str">
        <f t="shared" si="2"/>
        <v/>
      </c>
      <c r="C1198" s="57"/>
      <c r="D1198" s="10" t="str">
        <f>IFERROR(__xludf.DUMMYFUNCTION("IF(COUNTA(C1198:C1350)=0,"""",IF(ISBLANK(C1198),FALSE,IF(NOT(COUNTIF($AA$24:$AA$34,SUBSTITUTE(C1198,""Sell_"",""""))),1,IF(REGEXMATCH(C1198,""Sell_""),IF(COUNTIF(C$4:C1198,SUBSTITUTE(C1198,""Sell_"",""""))-COUNTIF(C$4:C1197,C1198)&lt;1,1),FALSE))))"),"")</f>
        <v/>
      </c>
      <c r="E1198" s="59" t="str">
        <f t="array" ref="E1198">IF(COUNTA(C1198:C1350)=0,"",SUM((COUNTIF(C$4:C1198,Upgrades!$B$3:$B$13)-COUNTIF(C$4:C1198,"Sell_"&amp;Upgrades!$B$3:$B$13))*Upgrades!$D$3:$D$13))</f>
        <v/>
      </c>
      <c r="F1198" s="66" t="str">
        <f>IFERROR(__xludf.DUMMYFUNCTION("IF(COUNTA(C1198:C1350)=0,"""",IF(REGEXMATCH(INDEX(FILTER(C$4:C1198,C$4:C1198&lt;&gt;""""),ROWS(FILTER(C$4:C1198,C$4:C1198&lt;&gt;""""))),""^Sell_""),INDEX(FILTER(F$4:F1197,C$4:C1197&lt;&gt;""""),ROWS(FILTER(C$4:C1197,C$4:C1197&lt;&gt;""""))),$AC$5+E1198))"),"")</f>
        <v/>
      </c>
      <c r="G1198" s="10" t="str">
        <f>IFERROR(__xludf.DUMMYFUNCTION("IF(COUNTA(C1198:C1350)=0,"""",IF(C1198="""",0,IF(REGEXMATCH(C1198,""^Sell_""),-ROUNDDOWN(ROUNDUP(INDEX(Upgrades!$C$3:$C$13,MATCH(SUBSTITUTE(C1198,""Sell_"",""""),Upgrades!$B$3:$B$13,0))*1.15^(COUNTIF(C$4:C1197,SUBSTITUTE(C1198,""Sell_"",""""))-COUNTIF(C$4"&amp;":C1197,""Sell_""&amp;SUBSTITUTE(C1198,""Sell_"",""""))))/2),ROUNDUP(INDEX(Upgrades!$C$3:$C$13,MATCH(C1198,Upgrades!$B$3:$B$13,0))*1.15^(COUNTIF(C$4:C1197,C1198)-COUNTIF(C$4:C1197,""Sell_""&amp;C1198))))))"),"")</f>
        <v/>
      </c>
      <c r="H1198" s="10" t="str">
        <f t="shared" si="3"/>
        <v/>
      </c>
      <c r="I1198" s="68" t="str">
        <f t="shared" si="4"/>
        <v/>
      </c>
      <c r="J1198" s="59" t="str">
        <f t="shared" si="5"/>
        <v/>
      </c>
      <c r="K1198" s="69" t="str">
        <f t="shared" si="6"/>
        <v/>
      </c>
      <c r="L1198" s="60" t="str">
        <f t="shared" si="7"/>
        <v/>
      </c>
      <c r="M1198" s="61" t="str">
        <f>IFERROR(__xludf.DUMMYFUNCTION("IFS(AND(COUNTA(C1198:C1350)=0,COUNTA(Q1198:Q1350)=0),"""",OR(AND(K1198&gt;=1000000000,OR(Y1198&gt;=1000000000,COUNTA(Q1198:Q1350)=0)),OR(Y1198&gt;=1000000000,AND(COUNTA(C1198:C1350)=0,P$3=TRUE))),
ROUNDDOWN((AB$1-AC$1)*MAX(INDEX(T$4:T1350,MATCH(LARGE(FILTER(Y$4:Y1"&amp;"350,Y$4:Y1350&lt;1000000000),1),Y$4:Y1350)),INDEX(F$4:F1350,MATCH(LARGE(FILTER(K$4:K1350,K$4:K1350&lt;1000000000),1),K$4:K1350)))),AND(K1198&lt;1000000000,COUNTA(C1198:C1350)&gt;0,P$3=FALSE),
ROUNDDOWN(INDEX(Y$4:Y1350,MATCH(LARGE(FILTER(W$4:W1350,W$4:W1350&lt;=I1198),1)"&amp;",W$4:W1350))+(I1198-LARGE(FILTER(W$4:W1350,W$4:W1350&lt;=I1198),1))*INDEX(T$4:T1350,MATCH(LARGE(FILTER(W$4:W1350,W$4:W1350&lt;=I1198),1),W$4:W1350))-K1198),1,
ROUNDDOWN(Y1198-INDEX(K$4:K1350,MATCH(LARGE(FILTER(I$4:I1350,I$4:I1350&lt;=W1198),1),I$4:I1350))-(W1198-L"&amp;"ARGE(FILTER(I$4:I1350,I$4:I1350&lt;=W1198),1))*INDEX(F$4:F1350,MATCH(LARGE(FILTER(I$4:I1350,I$4:I1350&lt;=W1198),1),I$4:I1350))))"),"")</f>
        <v/>
      </c>
      <c r="N1198" s="60" t="str">
        <f t="shared" si="8"/>
        <v/>
      </c>
      <c r="O1198" s="61" t="str">
        <f t="shared" si="9"/>
        <v/>
      </c>
      <c r="P1198" s="56" t="str">
        <f t="shared" si="10"/>
        <v/>
      </c>
      <c r="Q1198" s="62"/>
      <c r="R1198" s="10" t="str">
        <f>IFERROR(__xludf.DUMMYFUNCTION("IF(COUNTA(Q1198:Q1350)=0,"""",IF(ISBLANK(Q1198),FALSE,IF(NOT(COUNTIF($AA$24:$AA$34,SUBSTITUTE(Q1198,""Sell_"",""""))),1,IF(REGEXMATCH(Q1198,""Sell_""),IF(COUNTIF(Q$4:Q1198,SUBSTITUTE(Q1198,""Sell_"",""""))-COUNTIF(Q$4:Q1197,Q1198)&lt;1,1),FALSE))))"),"")</f>
        <v/>
      </c>
      <c r="S1198" s="59" t="str">
        <f t="array" ref="S1198">IF(COUNTA(Q1198:Q1350)=0,"",SUM((COUNTIF(Q$4:Q1198,Upgrades!$B$3:$B$13)-COUNTIF(Q$4:Q1198,"Sell_"&amp;Upgrades!$B$3:$B$13))*Upgrades!$D$3:$D$13))</f>
        <v/>
      </c>
      <c r="T1198" s="66" t="str">
        <f>IFERROR(__xludf.DUMMYFUNCTION("IF(COUNTA(Q1198:Q1350)=0,"""",IF(REGEXMATCH(INDEX(FILTER(Q$4:Q1198,Q$4:Q1198&lt;&gt;""""),ROWS(FILTER(Q$4:Q1198,Q$4:Q1198&lt;&gt;""""))),""^Sell_""),INDEX(FILTER(T$4:T1197,Q$4:Q1197&lt;&gt;""""),ROWS(FILTER(Q$4:Q1197,Q$4:Q1197&lt;&gt;""""))),$AD$5+S1198))"),"")</f>
        <v/>
      </c>
      <c r="U1198" s="10" t="str">
        <f>IFERROR(__xludf.DUMMYFUNCTION("IF(COUNTA(Q1198:Q1350)=0,"""",IF(Q1198="""",0,IF(REGEXMATCH(Q1198,""^Sell_""),-ROUNDDOWN(ROUNDUP(INDEX(Upgrades!$C$3:$C$13,MATCH(SUBSTITUTE(Q1198,""Sell_"",""""),Upgrades!$B$3:$B$13,0))*1.15^(COUNTIF(Q$4:Q1197,SUBSTITUTE(Q1198,""Sell_"",""""))-COUNTIF(Q$4"&amp;":Q1197,""Sell_""&amp;SUBSTITUTE(Q1198,""Sell_"",""""))))/2),ROUNDUP(INDEX(Upgrades!$C$3:$C$13,MATCH(Q1198,Upgrades!$B$3:$B$13,0))*1.15^(COUNTIF(Q$4:Q1197,Q1198)-COUNTIF(Q$4:Q1197,""Sell_""&amp;Q1198))))))"),"")</f>
        <v/>
      </c>
      <c r="V1198" s="10" t="str">
        <f t="shared" si="11"/>
        <v/>
      </c>
      <c r="W1198" s="68" t="str">
        <f t="shared" si="12"/>
        <v/>
      </c>
      <c r="X1198" s="59" t="str">
        <f t="shared" si="13"/>
        <v/>
      </c>
      <c r="Y1198" s="69" t="str">
        <f t="shared" si="14"/>
        <v/>
      </c>
      <c r="Z1198" s="11"/>
    </row>
    <row r="1199">
      <c r="A1199" s="8"/>
      <c r="B1199" s="56" t="str">
        <f t="shared" si="2"/>
        <v/>
      </c>
      <c r="C1199" s="57"/>
      <c r="D1199" s="10" t="str">
        <f>IFERROR(__xludf.DUMMYFUNCTION("IF(COUNTA(C1199:C1350)=0,"""",IF(ISBLANK(C1199),FALSE,IF(NOT(COUNTIF($AA$24:$AA$34,SUBSTITUTE(C1199,""Sell_"",""""))),1,IF(REGEXMATCH(C1199,""Sell_""),IF(COUNTIF(C$4:C1199,SUBSTITUTE(C1199,""Sell_"",""""))-COUNTIF(C$4:C1198,C1199)&lt;1,1),FALSE))))"),"")</f>
        <v/>
      </c>
      <c r="E1199" s="59" t="str">
        <f t="array" ref="E1199">IF(COUNTA(C1199:C1350)=0,"",SUM((COUNTIF(C$4:C1199,Upgrades!$B$3:$B$13)-COUNTIF(C$4:C1199,"Sell_"&amp;Upgrades!$B$3:$B$13))*Upgrades!$D$3:$D$13))</f>
        <v/>
      </c>
      <c r="F1199" s="66" t="str">
        <f>IFERROR(__xludf.DUMMYFUNCTION("IF(COUNTA(C1199:C1350)=0,"""",IF(REGEXMATCH(INDEX(FILTER(C$4:C1199,C$4:C1199&lt;&gt;""""),ROWS(FILTER(C$4:C1199,C$4:C1199&lt;&gt;""""))),""^Sell_""),INDEX(FILTER(F$4:F1198,C$4:C1198&lt;&gt;""""),ROWS(FILTER(C$4:C1198,C$4:C1198&lt;&gt;""""))),$AC$5+E1199))"),"")</f>
        <v/>
      </c>
      <c r="G1199" s="10" t="str">
        <f>IFERROR(__xludf.DUMMYFUNCTION("IF(COUNTA(C1199:C1350)=0,"""",IF(C1199="""",0,IF(REGEXMATCH(C1199,""^Sell_""),-ROUNDDOWN(ROUNDUP(INDEX(Upgrades!$C$3:$C$13,MATCH(SUBSTITUTE(C1199,""Sell_"",""""),Upgrades!$B$3:$B$13,0))*1.15^(COUNTIF(C$4:C1198,SUBSTITUTE(C1199,""Sell_"",""""))-COUNTIF(C$4"&amp;":C1198,""Sell_""&amp;SUBSTITUTE(C1199,""Sell_"",""""))))/2),ROUNDUP(INDEX(Upgrades!$C$3:$C$13,MATCH(C1199,Upgrades!$B$3:$B$13,0))*1.15^(COUNTIF(C$4:C1198,C1199)-COUNTIF(C$4:C1198,""Sell_""&amp;C1199))))))"),"")</f>
        <v/>
      </c>
      <c r="H1199" s="10" t="str">
        <f t="shared" si="3"/>
        <v/>
      </c>
      <c r="I1199" s="68" t="str">
        <f t="shared" si="4"/>
        <v/>
      </c>
      <c r="J1199" s="59" t="str">
        <f t="shared" si="5"/>
        <v/>
      </c>
      <c r="K1199" s="69" t="str">
        <f t="shared" si="6"/>
        <v/>
      </c>
      <c r="L1199" s="60" t="str">
        <f t="shared" si="7"/>
        <v/>
      </c>
      <c r="M1199" s="61" t="str">
        <f>IFERROR(__xludf.DUMMYFUNCTION("IFS(AND(COUNTA(C1199:C1350)=0,COUNTA(Q1199:Q1350)=0),"""",OR(AND(K1199&gt;=1000000000,OR(Y1199&gt;=1000000000,COUNTA(Q1199:Q1350)=0)),OR(Y1199&gt;=1000000000,AND(COUNTA(C1199:C1350)=0,P$3=TRUE))),
ROUNDDOWN((AB$1-AC$1)*MAX(INDEX(T$4:T1350,MATCH(LARGE(FILTER(Y$4:Y1"&amp;"350,Y$4:Y1350&lt;1000000000),1),Y$4:Y1350)),INDEX(F$4:F1350,MATCH(LARGE(FILTER(K$4:K1350,K$4:K1350&lt;1000000000),1),K$4:K1350)))),AND(K1199&lt;1000000000,COUNTA(C1199:C1350)&gt;0,P$3=FALSE),
ROUNDDOWN(INDEX(Y$4:Y1350,MATCH(LARGE(FILTER(W$4:W1350,W$4:W1350&lt;=I1199),1)"&amp;",W$4:W1350))+(I1199-LARGE(FILTER(W$4:W1350,W$4:W1350&lt;=I1199),1))*INDEX(T$4:T1350,MATCH(LARGE(FILTER(W$4:W1350,W$4:W1350&lt;=I1199),1),W$4:W1350))-K1199),1,
ROUNDDOWN(Y1199-INDEX(K$4:K1350,MATCH(LARGE(FILTER(I$4:I1350,I$4:I1350&lt;=W1199),1),I$4:I1350))-(W1199-L"&amp;"ARGE(FILTER(I$4:I1350,I$4:I1350&lt;=W1199),1))*INDEX(F$4:F1350,MATCH(LARGE(FILTER(I$4:I1350,I$4:I1350&lt;=W1199),1),I$4:I1350))))"),"")</f>
        <v/>
      </c>
      <c r="N1199" s="60" t="str">
        <f t="shared" si="8"/>
        <v/>
      </c>
      <c r="O1199" s="61" t="str">
        <f t="shared" si="9"/>
        <v/>
      </c>
      <c r="P1199" s="56" t="str">
        <f t="shared" si="10"/>
        <v/>
      </c>
      <c r="Q1199" s="62"/>
      <c r="R1199" s="10" t="str">
        <f>IFERROR(__xludf.DUMMYFUNCTION("IF(COUNTA(Q1199:Q1350)=0,"""",IF(ISBLANK(Q1199),FALSE,IF(NOT(COUNTIF($AA$24:$AA$34,SUBSTITUTE(Q1199,""Sell_"",""""))),1,IF(REGEXMATCH(Q1199,""Sell_""),IF(COUNTIF(Q$4:Q1199,SUBSTITUTE(Q1199,""Sell_"",""""))-COUNTIF(Q$4:Q1198,Q1199)&lt;1,1),FALSE))))"),"")</f>
        <v/>
      </c>
      <c r="S1199" s="59" t="str">
        <f t="array" ref="S1199">IF(COUNTA(Q1199:Q1350)=0,"",SUM((COUNTIF(Q$4:Q1199,Upgrades!$B$3:$B$13)-COUNTIF(Q$4:Q1199,"Sell_"&amp;Upgrades!$B$3:$B$13))*Upgrades!$D$3:$D$13))</f>
        <v/>
      </c>
      <c r="T1199" s="66" t="str">
        <f>IFERROR(__xludf.DUMMYFUNCTION("IF(COUNTA(Q1199:Q1350)=0,"""",IF(REGEXMATCH(INDEX(FILTER(Q$4:Q1199,Q$4:Q1199&lt;&gt;""""),ROWS(FILTER(Q$4:Q1199,Q$4:Q1199&lt;&gt;""""))),""^Sell_""),INDEX(FILTER(T$4:T1198,Q$4:Q1198&lt;&gt;""""),ROWS(FILTER(Q$4:Q1198,Q$4:Q1198&lt;&gt;""""))),$AD$5+S1199))"),"")</f>
        <v/>
      </c>
      <c r="U1199" s="10" t="str">
        <f>IFERROR(__xludf.DUMMYFUNCTION("IF(COUNTA(Q1199:Q1350)=0,"""",IF(Q1199="""",0,IF(REGEXMATCH(Q1199,""^Sell_""),-ROUNDDOWN(ROUNDUP(INDEX(Upgrades!$C$3:$C$13,MATCH(SUBSTITUTE(Q1199,""Sell_"",""""),Upgrades!$B$3:$B$13,0))*1.15^(COUNTIF(Q$4:Q1198,SUBSTITUTE(Q1199,""Sell_"",""""))-COUNTIF(Q$4"&amp;":Q1198,""Sell_""&amp;SUBSTITUTE(Q1199,""Sell_"",""""))))/2),ROUNDUP(INDEX(Upgrades!$C$3:$C$13,MATCH(Q1199,Upgrades!$B$3:$B$13,0))*1.15^(COUNTIF(Q$4:Q1198,Q1199)-COUNTIF(Q$4:Q1198,""Sell_""&amp;Q1199))))))"),"")</f>
        <v/>
      </c>
      <c r="V1199" s="10" t="str">
        <f t="shared" si="11"/>
        <v/>
      </c>
      <c r="W1199" s="68" t="str">
        <f t="shared" si="12"/>
        <v/>
      </c>
      <c r="X1199" s="59" t="str">
        <f t="shared" si="13"/>
        <v/>
      </c>
      <c r="Y1199" s="69" t="str">
        <f t="shared" si="14"/>
        <v/>
      </c>
      <c r="Z1199" s="11"/>
    </row>
    <row r="1200">
      <c r="A1200" s="8"/>
      <c r="B1200" s="56" t="str">
        <f t="shared" si="2"/>
        <v/>
      </c>
      <c r="C1200" s="57"/>
      <c r="D1200" s="10" t="str">
        <f>IFERROR(__xludf.DUMMYFUNCTION("IF(COUNTA(C1200:C1350)=0,"""",IF(ISBLANK(C1200),FALSE,IF(NOT(COUNTIF($AA$24:$AA$34,SUBSTITUTE(C1200,""Sell_"",""""))),1,IF(REGEXMATCH(C1200,""Sell_""),IF(COUNTIF(C$4:C1200,SUBSTITUTE(C1200,""Sell_"",""""))-COUNTIF(C$4:C1199,C1200)&lt;1,1),FALSE))))"),"")</f>
        <v/>
      </c>
      <c r="E1200" s="59" t="str">
        <f t="array" ref="E1200">IF(COUNTA(C1200:C1350)=0,"",SUM((COUNTIF(C$4:C1200,Upgrades!$B$3:$B$13)-COUNTIF(C$4:C1200,"Sell_"&amp;Upgrades!$B$3:$B$13))*Upgrades!$D$3:$D$13))</f>
        <v/>
      </c>
      <c r="F1200" s="66" t="str">
        <f>IFERROR(__xludf.DUMMYFUNCTION("IF(COUNTA(C1200:C1350)=0,"""",IF(REGEXMATCH(INDEX(FILTER(C$4:C1200,C$4:C1200&lt;&gt;""""),ROWS(FILTER(C$4:C1200,C$4:C1200&lt;&gt;""""))),""^Sell_""),INDEX(FILTER(F$4:F1199,C$4:C1199&lt;&gt;""""),ROWS(FILTER(C$4:C1199,C$4:C1199&lt;&gt;""""))),$AC$5+E1200))"),"")</f>
        <v/>
      </c>
      <c r="G1200" s="10" t="str">
        <f>IFERROR(__xludf.DUMMYFUNCTION("IF(COUNTA(C1200:C1350)=0,"""",IF(C1200="""",0,IF(REGEXMATCH(C1200,""^Sell_""),-ROUNDDOWN(ROUNDUP(INDEX(Upgrades!$C$3:$C$13,MATCH(SUBSTITUTE(C1200,""Sell_"",""""),Upgrades!$B$3:$B$13,0))*1.15^(COUNTIF(C$4:C1199,SUBSTITUTE(C1200,""Sell_"",""""))-COUNTIF(C$4"&amp;":C1199,""Sell_""&amp;SUBSTITUTE(C1200,""Sell_"",""""))))/2),ROUNDUP(INDEX(Upgrades!$C$3:$C$13,MATCH(C1200,Upgrades!$B$3:$B$13,0))*1.15^(COUNTIF(C$4:C1199,C1200)-COUNTIF(C$4:C1199,""Sell_""&amp;C1200))))))"),"")</f>
        <v/>
      </c>
      <c r="H1200" s="10" t="str">
        <f t="shared" si="3"/>
        <v/>
      </c>
      <c r="I1200" s="68" t="str">
        <f t="shared" si="4"/>
        <v/>
      </c>
      <c r="J1200" s="59" t="str">
        <f t="shared" si="5"/>
        <v/>
      </c>
      <c r="K1200" s="69" t="str">
        <f t="shared" si="6"/>
        <v/>
      </c>
      <c r="L1200" s="60" t="str">
        <f t="shared" si="7"/>
        <v/>
      </c>
      <c r="M1200" s="61" t="str">
        <f>IFERROR(__xludf.DUMMYFUNCTION("IFS(AND(COUNTA(C1200:C1350)=0,COUNTA(Q1200:Q1350)=0),"""",OR(AND(K1200&gt;=1000000000,OR(Y1200&gt;=1000000000,COUNTA(Q1200:Q1350)=0)),OR(Y1200&gt;=1000000000,AND(COUNTA(C1200:C1350)=0,P$3=TRUE))),
ROUNDDOWN((AB$1-AC$1)*MAX(INDEX(T$4:T1350,MATCH(LARGE(FILTER(Y$4:Y1"&amp;"350,Y$4:Y1350&lt;1000000000),1),Y$4:Y1350)),INDEX(F$4:F1350,MATCH(LARGE(FILTER(K$4:K1350,K$4:K1350&lt;1000000000),1),K$4:K1350)))),AND(K1200&lt;1000000000,COUNTA(C1200:C1350)&gt;0,P$3=FALSE),
ROUNDDOWN(INDEX(Y$4:Y1350,MATCH(LARGE(FILTER(W$4:W1350,W$4:W1350&lt;=I1200),1)"&amp;",W$4:W1350))+(I1200-LARGE(FILTER(W$4:W1350,W$4:W1350&lt;=I1200),1))*INDEX(T$4:T1350,MATCH(LARGE(FILTER(W$4:W1350,W$4:W1350&lt;=I1200),1),W$4:W1350))-K1200),1,
ROUNDDOWN(Y1200-INDEX(K$4:K1350,MATCH(LARGE(FILTER(I$4:I1350,I$4:I1350&lt;=W1200),1),I$4:I1350))-(W1200-L"&amp;"ARGE(FILTER(I$4:I1350,I$4:I1350&lt;=W1200),1))*INDEX(F$4:F1350,MATCH(LARGE(FILTER(I$4:I1350,I$4:I1350&lt;=W1200),1),I$4:I1350))))"),"")</f>
        <v/>
      </c>
      <c r="N1200" s="60" t="str">
        <f t="shared" si="8"/>
        <v/>
      </c>
      <c r="O1200" s="61" t="str">
        <f t="shared" si="9"/>
        <v/>
      </c>
      <c r="P1200" s="56" t="str">
        <f t="shared" si="10"/>
        <v/>
      </c>
      <c r="Q1200" s="62"/>
      <c r="R1200" s="10" t="str">
        <f>IFERROR(__xludf.DUMMYFUNCTION("IF(COUNTA(Q1200:Q1350)=0,"""",IF(ISBLANK(Q1200),FALSE,IF(NOT(COUNTIF($AA$24:$AA$34,SUBSTITUTE(Q1200,""Sell_"",""""))),1,IF(REGEXMATCH(Q1200,""Sell_""),IF(COUNTIF(Q$4:Q1200,SUBSTITUTE(Q1200,""Sell_"",""""))-COUNTIF(Q$4:Q1199,Q1200)&lt;1,1),FALSE))))"),"")</f>
        <v/>
      </c>
      <c r="S1200" s="59" t="str">
        <f t="array" ref="S1200">IF(COUNTA(Q1200:Q1350)=0,"",SUM((COUNTIF(Q$4:Q1200,Upgrades!$B$3:$B$13)-COUNTIF(Q$4:Q1200,"Sell_"&amp;Upgrades!$B$3:$B$13))*Upgrades!$D$3:$D$13))</f>
        <v/>
      </c>
      <c r="T1200" s="66" t="str">
        <f>IFERROR(__xludf.DUMMYFUNCTION("IF(COUNTA(Q1200:Q1350)=0,"""",IF(REGEXMATCH(INDEX(FILTER(Q$4:Q1200,Q$4:Q1200&lt;&gt;""""),ROWS(FILTER(Q$4:Q1200,Q$4:Q1200&lt;&gt;""""))),""^Sell_""),INDEX(FILTER(T$4:T1199,Q$4:Q1199&lt;&gt;""""),ROWS(FILTER(Q$4:Q1199,Q$4:Q1199&lt;&gt;""""))),$AD$5+S1200))"),"")</f>
        <v/>
      </c>
      <c r="U1200" s="10" t="str">
        <f>IFERROR(__xludf.DUMMYFUNCTION("IF(COUNTA(Q1200:Q1350)=0,"""",IF(Q1200="""",0,IF(REGEXMATCH(Q1200,""^Sell_""),-ROUNDDOWN(ROUNDUP(INDEX(Upgrades!$C$3:$C$13,MATCH(SUBSTITUTE(Q1200,""Sell_"",""""),Upgrades!$B$3:$B$13,0))*1.15^(COUNTIF(Q$4:Q1199,SUBSTITUTE(Q1200,""Sell_"",""""))-COUNTIF(Q$4"&amp;":Q1199,""Sell_""&amp;SUBSTITUTE(Q1200,""Sell_"",""""))))/2),ROUNDUP(INDEX(Upgrades!$C$3:$C$13,MATCH(Q1200,Upgrades!$B$3:$B$13,0))*1.15^(COUNTIF(Q$4:Q1199,Q1200)-COUNTIF(Q$4:Q1199,""Sell_""&amp;Q1200))))))"),"")</f>
        <v/>
      </c>
      <c r="V1200" s="10" t="str">
        <f t="shared" si="11"/>
        <v/>
      </c>
      <c r="W1200" s="68" t="str">
        <f t="shared" si="12"/>
        <v/>
      </c>
      <c r="X1200" s="59" t="str">
        <f t="shared" si="13"/>
        <v/>
      </c>
      <c r="Y1200" s="69" t="str">
        <f t="shared" si="14"/>
        <v/>
      </c>
      <c r="Z1200" s="11"/>
    </row>
    <row r="1201">
      <c r="A1201" s="8"/>
      <c r="B1201" s="56" t="str">
        <f t="shared" si="2"/>
        <v/>
      </c>
      <c r="C1201" s="57"/>
      <c r="D1201" s="10" t="str">
        <f>IFERROR(__xludf.DUMMYFUNCTION("IF(COUNTA(C1201:C1350)=0,"""",IF(ISBLANK(C1201),FALSE,IF(NOT(COUNTIF($AA$24:$AA$34,SUBSTITUTE(C1201,""Sell_"",""""))),1,IF(REGEXMATCH(C1201,""Sell_""),IF(COUNTIF(C$4:C1201,SUBSTITUTE(C1201,""Sell_"",""""))-COUNTIF(C$4:C1200,C1201)&lt;1,1),FALSE))))"),"")</f>
        <v/>
      </c>
      <c r="E1201" s="59" t="str">
        <f t="array" ref="E1201">IF(COUNTA(C1201:C1350)=0,"",SUM((COUNTIF(C$4:C1201,Upgrades!$B$3:$B$13)-COUNTIF(C$4:C1201,"Sell_"&amp;Upgrades!$B$3:$B$13))*Upgrades!$D$3:$D$13))</f>
        <v/>
      </c>
      <c r="F1201" s="66" t="str">
        <f>IFERROR(__xludf.DUMMYFUNCTION("IF(COUNTA(C1201:C1350)=0,"""",IF(REGEXMATCH(INDEX(FILTER(C$4:C1201,C$4:C1201&lt;&gt;""""),ROWS(FILTER(C$4:C1201,C$4:C1201&lt;&gt;""""))),""^Sell_""),INDEX(FILTER(F$4:F1200,C$4:C1200&lt;&gt;""""),ROWS(FILTER(C$4:C1200,C$4:C1200&lt;&gt;""""))),$AC$5+E1201))"),"")</f>
        <v/>
      </c>
      <c r="G1201" s="10" t="str">
        <f>IFERROR(__xludf.DUMMYFUNCTION("IF(COUNTA(C1201:C1350)=0,"""",IF(C1201="""",0,IF(REGEXMATCH(C1201,""^Sell_""),-ROUNDDOWN(ROUNDUP(INDEX(Upgrades!$C$3:$C$13,MATCH(SUBSTITUTE(C1201,""Sell_"",""""),Upgrades!$B$3:$B$13,0))*1.15^(COUNTIF(C$4:C1200,SUBSTITUTE(C1201,""Sell_"",""""))-COUNTIF(C$4"&amp;":C1200,""Sell_""&amp;SUBSTITUTE(C1201,""Sell_"",""""))))/2),ROUNDUP(INDEX(Upgrades!$C$3:$C$13,MATCH(C1201,Upgrades!$B$3:$B$13,0))*1.15^(COUNTIF(C$4:C1200,C1201)-COUNTIF(C$4:C1200,""Sell_""&amp;C1201))))))"),"")</f>
        <v/>
      </c>
      <c r="H1201" s="10" t="str">
        <f t="shared" si="3"/>
        <v/>
      </c>
      <c r="I1201" s="68" t="str">
        <f t="shared" si="4"/>
        <v/>
      </c>
      <c r="J1201" s="59" t="str">
        <f t="shared" si="5"/>
        <v/>
      </c>
      <c r="K1201" s="69" t="str">
        <f t="shared" si="6"/>
        <v/>
      </c>
      <c r="L1201" s="60" t="str">
        <f t="shared" si="7"/>
        <v/>
      </c>
      <c r="M1201" s="61" t="str">
        <f>IFERROR(__xludf.DUMMYFUNCTION("IFS(AND(COUNTA(C1201:C1350)=0,COUNTA(Q1201:Q1350)=0),"""",OR(AND(K1201&gt;=1000000000,OR(Y1201&gt;=1000000000,COUNTA(Q1201:Q1350)=0)),OR(Y1201&gt;=1000000000,AND(COUNTA(C1201:C1350)=0,P$3=TRUE))),
ROUNDDOWN((AB$1-AC$1)*MAX(INDEX(T$4:T1350,MATCH(LARGE(FILTER(Y$4:Y1"&amp;"350,Y$4:Y1350&lt;1000000000),1),Y$4:Y1350)),INDEX(F$4:F1350,MATCH(LARGE(FILTER(K$4:K1350,K$4:K1350&lt;1000000000),1),K$4:K1350)))),AND(K1201&lt;1000000000,COUNTA(C1201:C1350)&gt;0,P$3=FALSE),
ROUNDDOWN(INDEX(Y$4:Y1350,MATCH(LARGE(FILTER(W$4:W1350,W$4:W1350&lt;=I1201),1)"&amp;",W$4:W1350))+(I1201-LARGE(FILTER(W$4:W1350,W$4:W1350&lt;=I1201),1))*INDEX(T$4:T1350,MATCH(LARGE(FILTER(W$4:W1350,W$4:W1350&lt;=I1201),1),W$4:W1350))-K1201),1,
ROUNDDOWN(Y1201-INDEX(K$4:K1350,MATCH(LARGE(FILTER(I$4:I1350,I$4:I1350&lt;=W1201),1),I$4:I1350))-(W1201-L"&amp;"ARGE(FILTER(I$4:I1350,I$4:I1350&lt;=W1201),1))*INDEX(F$4:F1350,MATCH(LARGE(FILTER(I$4:I1350,I$4:I1350&lt;=W1201),1),I$4:I1350))))"),"")</f>
        <v/>
      </c>
      <c r="N1201" s="60" t="str">
        <f t="shared" si="8"/>
        <v/>
      </c>
      <c r="O1201" s="61" t="str">
        <f t="shared" si="9"/>
        <v/>
      </c>
      <c r="P1201" s="56" t="str">
        <f t="shared" si="10"/>
        <v/>
      </c>
      <c r="Q1201" s="62"/>
      <c r="R1201" s="10" t="str">
        <f>IFERROR(__xludf.DUMMYFUNCTION("IF(COUNTA(Q1201:Q1350)=0,"""",IF(ISBLANK(Q1201),FALSE,IF(NOT(COUNTIF($AA$24:$AA$34,SUBSTITUTE(Q1201,""Sell_"",""""))),1,IF(REGEXMATCH(Q1201,""Sell_""),IF(COUNTIF(Q$4:Q1201,SUBSTITUTE(Q1201,""Sell_"",""""))-COUNTIF(Q$4:Q1200,Q1201)&lt;1,1),FALSE))))"),"")</f>
        <v/>
      </c>
      <c r="S1201" s="59" t="str">
        <f t="array" ref="S1201">IF(COUNTA(Q1201:Q1350)=0,"",SUM((COUNTIF(Q$4:Q1201,Upgrades!$B$3:$B$13)-COUNTIF(Q$4:Q1201,"Sell_"&amp;Upgrades!$B$3:$B$13))*Upgrades!$D$3:$D$13))</f>
        <v/>
      </c>
      <c r="T1201" s="66" t="str">
        <f>IFERROR(__xludf.DUMMYFUNCTION("IF(COUNTA(Q1201:Q1350)=0,"""",IF(REGEXMATCH(INDEX(FILTER(Q$4:Q1201,Q$4:Q1201&lt;&gt;""""),ROWS(FILTER(Q$4:Q1201,Q$4:Q1201&lt;&gt;""""))),""^Sell_""),INDEX(FILTER(T$4:T1200,Q$4:Q1200&lt;&gt;""""),ROWS(FILTER(Q$4:Q1200,Q$4:Q1200&lt;&gt;""""))),$AD$5+S1201))"),"")</f>
        <v/>
      </c>
      <c r="U1201" s="10" t="str">
        <f>IFERROR(__xludf.DUMMYFUNCTION("IF(COUNTA(Q1201:Q1350)=0,"""",IF(Q1201="""",0,IF(REGEXMATCH(Q1201,""^Sell_""),-ROUNDDOWN(ROUNDUP(INDEX(Upgrades!$C$3:$C$13,MATCH(SUBSTITUTE(Q1201,""Sell_"",""""),Upgrades!$B$3:$B$13,0))*1.15^(COUNTIF(Q$4:Q1200,SUBSTITUTE(Q1201,""Sell_"",""""))-COUNTIF(Q$4"&amp;":Q1200,""Sell_""&amp;SUBSTITUTE(Q1201,""Sell_"",""""))))/2),ROUNDUP(INDEX(Upgrades!$C$3:$C$13,MATCH(Q1201,Upgrades!$B$3:$B$13,0))*1.15^(COUNTIF(Q$4:Q1200,Q1201)-COUNTIF(Q$4:Q1200,""Sell_""&amp;Q1201))))))"),"")</f>
        <v/>
      </c>
      <c r="V1201" s="10" t="str">
        <f t="shared" si="11"/>
        <v/>
      </c>
      <c r="W1201" s="68" t="str">
        <f t="shared" si="12"/>
        <v/>
      </c>
      <c r="X1201" s="59" t="str">
        <f t="shared" si="13"/>
        <v/>
      </c>
      <c r="Y1201" s="69" t="str">
        <f t="shared" si="14"/>
        <v/>
      </c>
      <c r="Z1201" s="11"/>
    </row>
    <row r="1202">
      <c r="A1202" s="8"/>
      <c r="B1202" s="56" t="str">
        <f t="shared" si="2"/>
        <v/>
      </c>
      <c r="C1202" s="57"/>
      <c r="D1202" s="10" t="str">
        <f>IFERROR(__xludf.DUMMYFUNCTION("IF(COUNTA(C1202:C1350)=0,"""",IF(ISBLANK(C1202),FALSE,IF(NOT(COUNTIF($AA$24:$AA$34,SUBSTITUTE(C1202,""Sell_"",""""))),1,IF(REGEXMATCH(C1202,""Sell_""),IF(COUNTIF(C$4:C1202,SUBSTITUTE(C1202,""Sell_"",""""))-COUNTIF(C$4:C1201,C1202)&lt;1,1),FALSE))))"),"")</f>
        <v/>
      </c>
      <c r="E1202" s="59" t="str">
        <f t="array" ref="E1202">IF(COUNTA(C1202:C1350)=0,"",SUM((COUNTIF(C$4:C1202,Upgrades!$B$3:$B$13)-COUNTIF(C$4:C1202,"Sell_"&amp;Upgrades!$B$3:$B$13))*Upgrades!$D$3:$D$13))</f>
        <v/>
      </c>
      <c r="F1202" s="66" t="str">
        <f>IFERROR(__xludf.DUMMYFUNCTION("IF(COUNTA(C1202:C1350)=0,"""",IF(REGEXMATCH(INDEX(FILTER(C$4:C1202,C$4:C1202&lt;&gt;""""),ROWS(FILTER(C$4:C1202,C$4:C1202&lt;&gt;""""))),""^Sell_""),INDEX(FILTER(F$4:F1201,C$4:C1201&lt;&gt;""""),ROWS(FILTER(C$4:C1201,C$4:C1201&lt;&gt;""""))),$AC$5+E1202))"),"")</f>
        <v/>
      </c>
      <c r="G1202" s="10" t="str">
        <f>IFERROR(__xludf.DUMMYFUNCTION("IF(COUNTA(C1202:C1350)=0,"""",IF(C1202="""",0,IF(REGEXMATCH(C1202,""^Sell_""),-ROUNDDOWN(ROUNDUP(INDEX(Upgrades!$C$3:$C$13,MATCH(SUBSTITUTE(C1202,""Sell_"",""""),Upgrades!$B$3:$B$13,0))*1.15^(COUNTIF(C$4:C1201,SUBSTITUTE(C1202,""Sell_"",""""))-COUNTIF(C$4"&amp;":C1201,""Sell_""&amp;SUBSTITUTE(C1202,""Sell_"",""""))))/2),ROUNDUP(INDEX(Upgrades!$C$3:$C$13,MATCH(C1202,Upgrades!$B$3:$B$13,0))*1.15^(COUNTIF(C$4:C1201,C1202)-COUNTIF(C$4:C1201,""Sell_""&amp;C1202))))))"),"")</f>
        <v/>
      </c>
      <c r="H1202" s="10" t="str">
        <f t="shared" si="3"/>
        <v/>
      </c>
      <c r="I1202" s="68" t="str">
        <f t="shared" si="4"/>
        <v/>
      </c>
      <c r="J1202" s="59" t="str">
        <f t="shared" si="5"/>
        <v/>
      </c>
      <c r="K1202" s="69" t="str">
        <f t="shared" si="6"/>
        <v/>
      </c>
      <c r="L1202" s="60" t="str">
        <f t="shared" si="7"/>
        <v/>
      </c>
      <c r="M1202" s="61" t="str">
        <f>IFERROR(__xludf.DUMMYFUNCTION("IFS(AND(COUNTA(C1202:C1350)=0,COUNTA(Q1202:Q1350)=0),"""",OR(AND(K1202&gt;=1000000000,OR(Y1202&gt;=1000000000,COUNTA(Q1202:Q1350)=0)),OR(Y1202&gt;=1000000000,AND(COUNTA(C1202:C1350)=0,P$3=TRUE))),
ROUNDDOWN((AB$1-AC$1)*MAX(INDEX(T$4:T1350,MATCH(LARGE(FILTER(Y$4:Y1"&amp;"350,Y$4:Y1350&lt;1000000000),1),Y$4:Y1350)),INDEX(F$4:F1350,MATCH(LARGE(FILTER(K$4:K1350,K$4:K1350&lt;1000000000),1),K$4:K1350)))),AND(K1202&lt;1000000000,COUNTA(C1202:C1350)&gt;0,P$3=FALSE),
ROUNDDOWN(INDEX(Y$4:Y1350,MATCH(LARGE(FILTER(W$4:W1350,W$4:W1350&lt;=I1202),1)"&amp;",W$4:W1350))+(I1202-LARGE(FILTER(W$4:W1350,W$4:W1350&lt;=I1202),1))*INDEX(T$4:T1350,MATCH(LARGE(FILTER(W$4:W1350,W$4:W1350&lt;=I1202),1),W$4:W1350))-K1202),1,
ROUNDDOWN(Y1202-INDEX(K$4:K1350,MATCH(LARGE(FILTER(I$4:I1350,I$4:I1350&lt;=W1202),1),I$4:I1350))-(W1202-L"&amp;"ARGE(FILTER(I$4:I1350,I$4:I1350&lt;=W1202),1))*INDEX(F$4:F1350,MATCH(LARGE(FILTER(I$4:I1350,I$4:I1350&lt;=W1202),1),I$4:I1350))))"),"")</f>
        <v/>
      </c>
      <c r="N1202" s="60" t="str">
        <f t="shared" si="8"/>
        <v/>
      </c>
      <c r="O1202" s="61" t="str">
        <f t="shared" si="9"/>
        <v/>
      </c>
      <c r="P1202" s="56" t="str">
        <f t="shared" si="10"/>
        <v/>
      </c>
      <c r="Q1202" s="62"/>
      <c r="R1202" s="10" t="str">
        <f>IFERROR(__xludf.DUMMYFUNCTION("IF(COUNTA(Q1202:Q1350)=0,"""",IF(ISBLANK(Q1202),FALSE,IF(NOT(COUNTIF($AA$24:$AA$34,SUBSTITUTE(Q1202,""Sell_"",""""))),1,IF(REGEXMATCH(Q1202,""Sell_""),IF(COUNTIF(Q$4:Q1202,SUBSTITUTE(Q1202,""Sell_"",""""))-COUNTIF(Q$4:Q1201,Q1202)&lt;1,1),FALSE))))"),"")</f>
        <v/>
      </c>
      <c r="S1202" s="59" t="str">
        <f t="array" ref="S1202">IF(COUNTA(Q1202:Q1350)=0,"",SUM((COUNTIF(Q$4:Q1202,Upgrades!$B$3:$B$13)-COUNTIF(Q$4:Q1202,"Sell_"&amp;Upgrades!$B$3:$B$13))*Upgrades!$D$3:$D$13))</f>
        <v/>
      </c>
      <c r="T1202" s="66" t="str">
        <f>IFERROR(__xludf.DUMMYFUNCTION("IF(COUNTA(Q1202:Q1350)=0,"""",IF(REGEXMATCH(INDEX(FILTER(Q$4:Q1202,Q$4:Q1202&lt;&gt;""""),ROWS(FILTER(Q$4:Q1202,Q$4:Q1202&lt;&gt;""""))),""^Sell_""),INDEX(FILTER(T$4:T1201,Q$4:Q1201&lt;&gt;""""),ROWS(FILTER(Q$4:Q1201,Q$4:Q1201&lt;&gt;""""))),$AD$5+S1202))"),"")</f>
        <v/>
      </c>
      <c r="U1202" s="10" t="str">
        <f>IFERROR(__xludf.DUMMYFUNCTION("IF(COUNTA(Q1202:Q1350)=0,"""",IF(Q1202="""",0,IF(REGEXMATCH(Q1202,""^Sell_""),-ROUNDDOWN(ROUNDUP(INDEX(Upgrades!$C$3:$C$13,MATCH(SUBSTITUTE(Q1202,""Sell_"",""""),Upgrades!$B$3:$B$13,0))*1.15^(COUNTIF(Q$4:Q1201,SUBSTITUTE(Q1202,""Sell_"",""""))-COUNTIF(Q$4"&amp;":Q1201,""Sell_""&amp;SUBSTITUTE(Q1202,""Sell_"",""""))))/2),ROUNDUP(INDEX(Upgrades!$C$3:$C$13,MATCH(Q1202,Upgrades!$B$3:$B$13,0))*1.15^(COUNTIF(Q$4:Q1201,Q1202)-COUNTIF(Q$4:Q1201,""Sell_""&amp;Q1202))))))"),"")</f>
        <v/>
      </c>
      <c r="V1202" s="10" t="str">
        <f t="shared" si="11"/>
        <v/>
      </c>
      <c r="W1202" s="68" t="str">
        <f t="shared" si="12"/>
        <v/>
      </c>
      <c r="X1202" s="59" t="str">
        <f t="shared" si="13"/>
        <v/>
      </c>
      <c r="Y1202" s="69" t="str">
        <f t="shared" si="14"/>
        <v/>
      </c>
      <c r="Z1202" s="11"/>
    </row>
    <row r="1203">
      <c r="A1203" s="8"/>
      <c r="B1203" s="56" t="str">
        <f t="shared" si="2"/>
        <v/>
      </c>
      <c r="C1203" s="57"/>
      <c r="D1203" s="10" t="str">
        <f>IFERROR(__xludf.DUMMYFUNCTION("IF(COUNTA(C1203:C1350)=0,"""",IF(ISBLANK(C1203),FALSE,IF(NOT(COUNTIF($AA$24:$AA$34,SUBSTITUTE(C1203,""Sell_"",""""))),1,IF(REGEXMATCH(C1203,""Sell_""),IF(COUNTIF(C$4:C1203,SUBSTITUTE(C1203,""Sell_"",""""))-COUNTIF(C$4:C1202,C1203)&lt;1,1),FALSE))))"),"")</f>
        <v/>
      </c>
      <c r="E1203" s="59" t="str">
        <f t="array" ref="E1203">IF(COUNTA(C1203:C1350)=0,"",SUM((COUNTIF(C$4:C1203,Upgrades!$B$3:$B$13)-COUNTIF(C$4:C1203,"Sell_"&amp;Upgrades!$B$3:$B$13))*Upgrades!$D$3:$D$13))</f>
        <v/>
      </c>
      <c r="F1203" s="66" t="str">
        <f>IFERROR(__xludf.DUMMYFUNCTION("IF(COUNTA(C1203:C1350)=0,"""",IF(REGEXMATCH(INDEX(FILTER(C$4:C1203,C$4:C1203&lt;&gt;""""),ROWS(FILTER(C$4:C1203,C$4:C1203&lt;&gt;""""))),""^Sell_""),INDEX(FILTER(F$4:F1202,C$4:C1202&lt;&gt;""""),ROWS(FILTER(C$4:C1202,C$4:C1202&lt;&gt;""""))),$AC$5+E1203))"),"")</f>
        <v/>
      </c>
      <c r="G1203" s="10" t="str">
        <f>IFERROR(__xludf.DUMMYFUNCTION("IF(COUNTA(C1203:C1350)=0,"""",IF(C1203="""",0,IF(REGEXMATCH(C1203,""^Sell_""),-ROUNDDOWN(ROUNDUP(INDEX(Upgrades!$C$3:$C$13,MATCH(SUBSTITUTE(C1203,""Sell_"",""""),Upgrades!$B$3:$B$13,0))*1.15^(COUNTIF(C$4:C1202,SUBSTITUTE(C1203,""Sell_"",""""))-COUNTIF(C$4"&amp;":C1202,""Sell_""&amp;SUBSTITUTE(C1203,""Sell_"",""""))))/2),ROUNDUP(INDEX(Upgrades!$C$3:$C$13,MATCH(C1203,Upgrades!$B$3:$B$13,0))*1.15^(COUNTIF(C$4:C1202,C1203)-COUNTIF(C$4:C1202,""Sell_""&amp;C1203))))))"),"")</f>
        <v/>
      </c>
      <c r="H1203" s="10" t="str">
        <f t="shared" si="3"/>
        <v/>
      </c>
      <c r="I1203" s="68" t="str">
        <f t="shared" si="4"/>
        <v/>
      </c>
      <c r="J1203" s="59" t="str">
        <f t="shared" si="5"/>
        <v/>
      </c>
      <c r="K1203" s="69" t="str">
        <f t="shared" si="6"/>
        <v/>
      </c>
      <c r="L1203" s="60" t="str">
        <f t="shared" si="7"/>
        <v/>
      </c>
      <c r="M1203" s="61" t="str">
        <f>IFERROR(__xludf.DUMMYFUNCTION("IFS(AND(COUNTA(C1203:C1350)=0,COUNTA(Q1203:Q1350)=0),"""",OR(AND(K1203&gt;=1000000000,OR(Y1203&gt;=1000000000,COUNTA(Q1203:Q1350)=0)),OR(Y1203&gt;=1000000000,AND(COUNTA(C1203:C1350)=0,P$3=TRUE))),
ROUNDDOWN((AB$1-AC$1)*MAX(INDEX(T$4:T1350,MATCH(LARGE(FILTER(Y$4:Y1"&amp;"350,Y$4:Y1350&lt;1000000000),1),Y$4:Y1350)),INDEX(F$4:F1350,MATCH(LARGE(FILTER(K$4:K1350,K$4:K1350&lt;1000000000),1),K$4:K1350)))),AND(K1203&lt;1000000000,COUNTA(C1203:C1350)&gt;0,P$3=FALSE),
ROUNDDOWN(INDEX(Y$4:Y1350,MATCH(LARGE(FILTER(W$4:W1350,W$4:W1350&lt;=I1203),1)"&amp;",W$4:W1350))+(I1203-LARGE(FILTER(W$4:W1350,W$4:W1350&lt;=I1203),1))*INDEX(T$4:T1350,MATCH(LARGE(FILTER(W$4:W1350,W$4:W1350&lt;=I1203),1),W$4:W1350))-K1203),1,
ROUNDDOWN(Y1203-INDEX(K$4:K1350,MATCH(LARGE(FILTER(I$4:I1350,I$4:I1350&lt;=W1203),1),I$4:I1350))-(W1203-L"&amp;"ARGE(FILTER(I$4:I1350,I$4:I1350&lt;=W1203),1))*INDEX(F$4:F1350,MATCH(LARGE(FILTER(I$4:I1350,I$4:I1350&lt;=W1203),1),I$4:I1350))))"),"")</f>
        <v/>
      </c>
      <c r="N1203" s="60" t="str">
        <f t="shared" si="8"/>
        <v/>
      </c>
      <c r="O1203" s="61" t="str">
        <f t="shared" si="9"/>
        <v/>
      </c>
      <c r="P1203" s="56" t="str">
        <f t="shared" si="10"/>
        <v/>
      </c>
      <c r="Q1203" s="62"/>
      <c r="R1203" s="10" t="str">
        <f>IFERROR(__xludf.DUMMYFUNCTION("IF(COUNTA(Q1203:Q1350)=0,"""",IF(ISBLANK(Q1203),FALSE,IF(NOT(COUNTIF($AA$24:$AA$34,SUBSTITUTE(Q1203,""Sell_"",""""))),1,IF(REGEXMATCH(Q1203,""Sell_""),IF(COUNTIF(Q$4:Q1203,SUBSTITUTE(Q1203,""Sell_"",""""))-COUNTIF(Q$4:Q1202,Q1203)&lt;1,1),FALSE))))"),"")</f>
        <v/>
      </c>
      <c r="S1203" s="59" t="str">
        <f t="array" ref="S1203">IF(COUNTA(Q1203:Q1350)=0,"",SUM((COUNTIF(Q$4:Q1203,Upgrades!$B$3:$B$13)-COUNTIF(Q$4:Q1203,"Sell_"&amp;Upgrades!$B$3:$B$13))*Upgrades!$D$3:$D$13))</f>
        <v/>
      </c>
      <c r="T1203" s="66" t="str">
        <f>IFERROR(__xludf.DUMMYFUNCTION("IF(COUNTA(Q1203:Q1350)=0,"""",IF(REGEXMATCH(INDEX(FILTER(Q$4:Q1203,Q$4:Q1203&lt;&gt;""""),ROWS(FILTER(Q$4:Q1203,Q$4:Q1203&lt;&gt;""""))),""^Sell_""),INDEX(FILTER(T$4:T1202,Q$4:Q1202&lt;&gt;""""),ROWS(FILTER(Q$4:Q1202,Q$4:Q1202&lt;&gt;""""))),$AD$5+S1203))"),"")</f>
        <v/>
      </c>
      <c r="U1203" s="10" t="str">
        <f>IFERROR(__xludf.DUMMYFUNCTION("IF(COUNTA(Q1203:Q1350)=0,"""",IF(Q1203="""",0,IF(REGEXMATCH(Q1203,""^Sell_""),-ROUNDDOWN(ROUNDUP(INDEX(Upgrades!$C$3:$C$13,MATCH(SUBSTITUTE(Q1203,""Sell_"",""""),Upgrades!$B$3:$B$13,0))*1.15^(COUNTIF(Q$4:Q1202,SUBSTITUTE(Q1203,""Sell_"",""""))-COUNTIF(Q$4"&amp;":Q1202,""Sell_""&amp;SUBSTITUTE(Q1203,""Sell_"",""""))))/2),ROUNDUP(INDEX(Upgrades!$C$3:$C$13,MATCH(Q1203,Upgrades!$B$3:$B$13,0))*1.15^(COUNTIF(Q$4:Q1202,Q1203)-COUNTIF(Q$4:Q1202,""Sell_""&amp;Q1203))))))"),"")</f>
        <v/>
      </c>
      <c r="V1203" s="10" t="str">
        <f t="shared" si="11"/>
        <v/>
      </c>
      <c r="W1203" s="68" t="str">
        <f t="shared" si="12"/>
        <v/>
      </c>
      <c r="X1203" s="59" t="str">
        <f t="shared" si="13"/>
        <v/>
      </c>
      <c r="Y1203" s="69" t="str">
        <f t="shared" si="14"/>
        <v/>
      </c>
      <c r="Z1203" s="11"/>
    </row>
    <row r="1204">
      <c r="A1204" s="8"/>
      <c r="B1204" s="56" t="str">
        <f t="shared" si="2"/>
        <v/>
      </c>
      <c r="C1204" s="57"/>
      <c r="D1204" s="10" t="str">
        <f>IFERROR(__xludf.DUMMYFUNCTION("IF(COUNTA(C1204:C1350)=0,"""",IF(ISBLANK(C1204),FALSE,IF(NOT(COUNTIF($AA$24:$AA$34,SUBSTITUTE(C1204,""Sell_"",""""))),1,IF(REGEXMATCH(C1204,""Sell_""),IF(COUNTIF(C$4:C1204,SUBSTITUTE(C1204,""Sell_"",""""))-COUNTIF(C$4:C1203,C1204)&lt;1,1),FALSE))))"),"")</f>
        <v/>
      </c>
      <c r="E1204" s="59" t="str">
        <f t="array" ref="E1204">IF(COUNTA(C1204:C1350)=0,"",SUM((COUNTIF(C$4:C1204,Upgrades!$B$3:$B$13)-COUNTIF(C$4:C1204,"Sell_"&amp;Upgrades!$B$3:$B$13))*Upgrades!$D$3:$D$13))</f>
        <v/>
      </c>
      <c r="F1204" s="66" t="str">
        <f>IFERROR(__xludf.DUMMYFUNCTION("IF(COUNTA(C1204:C1350)=0,"""",IF(REGEXMATCH(INDEX(FILTER(C$4:C1204,C$4:C1204&lt;&gt;""""),ROWS(FILTER(C$4:C1204,C$4:C1204&lt;&gt;""""))),""^Sell_""),INDEX(FILTER(F$4:F1203,C$4:C1203&lt;&gt;""""),ROWS(FILTER(C$4:C1203,C$4:C1203&lt;&gt;""""))),$AC$5+E1204))"),"")</f>
        <v/>
      </c>
      <c r="G1204" s="10" t="str">
        <f>IFERROR(__xludf.DUMMYFUNCTION("IF(COUNTA(C1204:C1350)=0,"""",IF(C1204="""",0,IF(REGEXMATCH(C1204,""^Sell_""),-ROUNDDOWN(ROUNDUP(INDEX(Upgrades!$C$3:$C$13,MATCH(SUBSTITUTE(C1204,""Sell_"",""""),Upgrades!$B$3:$B$13,0))*1.15^(COUNTIF(C$4:C1203,SUBSTITUTE(C1204,""Sell_"",""""))-COUNTIF(C$4"&amp;":C1203,""Sell_""&amp;SUBSTITUTE(C1204,""Sell_"",""""))))/2),ROUNDUP(INDEX(Upgrades!$C$3:$C$13,MATCH(C1204,Upgrades!$B$3:$B$13,0))*1.15^(COUNTIF(C$4:C1203,C1204)-COUNTIF(C$4:C1203,""Sell_""&amp;C1204))))))"),"")</f>
        <v/>
      </c>
      <c r="H1204" s="10" t="str">
        <f t="shared" si="3"/>
        <v/>
      </c>
      <c r="I1204" s="68" t="str">
        <f t="shared" si="4"/>
        <v/>
      </c>
      <c r="J1204" s="59" t="str">
        <f t="shared" si="5"/>
        <v/>
      </c>
      <c r="K1204" s="69" t="str">
        <f t="shared" si="6"/>
        <v/>
      </c>
      <c r="L1204" s="60" t="str">
        <f t="shared" si="7"/>
        <v/>
      </c>
      <c r="M1204" s="61" t="str">
        <f>IFERROR(__xludf.DUMMYFUNCTION("IFS(AND(COUNTA(C1204:C1350)=0,COUNTA(Q1204:Q1350)=0),"""",OR(AND(K1204&gt;=1000000000,OR(Y1204&gt;=1000000000,COUNTA(Q1204:Q1350)=0)),OR(Y1204&gt;=1000000000,AND(COUNTA(C1204:C1350)=0,P$3=TRUE))),
ROUNDDOWN((AB$1-AC$1)*MAX(INDEX(T$4:T1350,MATCH(LARGE(FILTER(Y$4:Y1"&amp;"350,Y$4:Y1350&lt;1000000000),1),Y$4:Y1350)),INDEX(F$4:F1350,MATCH(LARGE(FILTER(K$4:K1350,K$4:K1350&lt;1000000000),1),K$4:K1350)))),AND(K1204&lt;1000000000,COUNTA(C1204:C1350)&gt;0,P$3=FALSE),
ROUNDDOWN(INDEX(Y$4:Y1350,MATCH(LARGE(FILTER(W$4:W1350,W$4:W1350&lt;=I1204),1)"&amp;",W$4:W1350))+(I1204-LARGE(FILTER(W$4:W1350,W$4:W1350&lt;=I1204),1))*INDEX(T$4:T1350,MATCH(LARGE(FILTER(W$4:W1350,W$4:W1350&lt;=I1204),1),W$4:W1350))-K1204),1,
ROUNDDOWN(Y1204-INDEX(K$4:K1350,MATCH(LARGE(FILTER(I$4:I1350,I$4:I1350&lt;=W1204),1),I$4:I1350))-(W1204-L"&amp;"ARGE(FILTER(I$4:I1350,I$4:I1350&lt;=W1204),1))*INDEX(F$4:F1350,MATCH(LARGE(FILTER(I$4:I1350,I$4:I1350&lt;=W1204),1),I$4:I1350))))"),"")</f>
        <v/>
      </c>
      <c r="N1204" s="60" t="str">
        <f t="shared" si="8"/>
        <v/>
      </c>
      <c r="O1204" s="61" t="str">
        <f t="shared" si="9"/>
        <v/>
      </c>
      <c r="P1204" s="56" t="str">
        <f t="shared" si="10"/>
        <v/>
      </c>
      <c r="Q1204" s="62"/>
      <c r="R1204" s="10" t="str">
        <f>IFERROR(__xludf.DUMMYFUNCTION("IF(COUNTA(Q1204:Q1350)=0,"""",IF(ISBLANK(Q1204),FALSE,IF(NOT(COUNTIF($AA$24:$AA$34,SUBSTITUTE(Q1204,""Sell_"",""""))),1,IF(REGEXMATCH(Q1204,""Sell_""),IF(COUNTIF(Q$4:Q1204,SUBSTITUTE(Q1204,""Sell_"",""""))-COUNTIF(Q$4:Q1203,Q1204)&lt;1,1),FALSE))))"),"")</f>
        <v/>
      </c>
      <c r="S1204" s="59" t="str">
        <f t="array" ref="S1204">IF(COUNTA(Q1204:Q1350)=0,"",SUM((COUNTIF(Q$4:Q1204,Upgrades!$B$3:$B$13)-COUNTIF(Q$4:Q1204,"Sell_"&amp;Upgrades!$B$3:$B$13))*Upgrades!$D$3:$D$13))</f>
        <v/>
      </c>
      <c r="T1204" s="66" t="str">
        <f>IFERROR(__xludf.DUMMYFUNCTION("IF(COUNTA(Q1204:Q1350)=0,"""",IF(REGEXMATCH(INDEX(FILTER(Q$4:Q1204,Q$4:Q1204&lt;&gt;""""),ROWS(FILTER(Q$4:Q1204,Q$4:Q1204&lt;&gt;""""))),""^Sell_""),INDEX(FILTER(T$4:T1203,Q$4:Q1203&lt;&gt;""""),ROWS(FILTER(Q$4:Q1203,Q$4:Q1203&lt;&gt;""""))),$AD$5+S1204))"),"")</f>
        <v/>
      </c>
      <c r="U1204" s="10" t="str">
        <f>IFERROR(__xludf.DUMMYFUNCTION("IF(COUNTA(Q1204:Q1350)=0,"""",IF(Q1204="""",0,IF(REGEXMATCH(Q1204,""^Sell_""),-ROUNDDOWN(ROUNDUP(INDEX(Upgrades!$C$3:$C$13,MATCH(SUBSTITUTE(Q1204,""Sell_"",""""),Upgrades!$B$3:$B$13,0))*1.15^(COUNTIF(Q$4:Q1203,SUBSTITUTE(Q1204,""Sell_"",""""))-COUNTIF(Q$4"&amp;":Q1203,""Sell_""&amp;SUBSTITUTE(Q1204,""Sell_"",""""))))/2),ROUNDUP(INDEX(Upgrades!$C$3:$C$13,MATCH(Q1204,Upgrades!$B$3:$B$13,0))*1.15^(COUNTIF(Q$4:Q1203,Q1204)-COUNTIF(Q$4:Q1203,""Sell_""&amp;Q1204))))))"),"")</f>
        <v/>
      </c>
      <c r="V1204" s="10" t="str">
        <f t="shared" si="11"/>
        <v/>
      </c>
      <c r="W1204" s="68" t="str">
        <f t="shared" si="12"/>
        <v/>
      </c>
      <c r="X1204" s="59" t="str">
        <f t="shared" si="13"/>
        <v/>
      </c>
      <c r="Y1204" s="69" t="str">
        <f t="shared" si="14"/>
        <v/>
      </c>
      <c r="Z1204" s="11"/>
    </row>
    <row r="1205">
      <c r="A1205" s="8"/>
      <c r="B1205" s="56" t="str">
        <f t="shared" si="2"/>
        <v/>
      </c>
      <c r="C1205" s="57"/>
      <c r="D1205" s="10" t="str">
        <f>IFERROR(__xludf.DUMMYFUNCTION("IF(COUNTA(C1205:C1350)=0,"""",IF(ISBLANK(C1205),FALSE,IF(NOT(COUNTIF($AA$24:$AA$34,SUBSTITUTE(C1205,""Sell_"",""""))),1,IF(REGEXMATCH(C1205,""Sell_""),IF(COUNTIF(C$4:C1205,SUBSTITUTE(C1205,""Sell_"",""""))-COUNTIF(C$4:C1204,C1205)&lt;1,1),FALSE))))"),"")</f>
        <v/>
      </c>
      <c r="E1205" s="59" t="str">
        <f t="array" ref="E1205">IF(COUNTA(C1205:C1350)=0,"",SUM((COUNTIF(C$4:C1205,Upgrades!$B$3:$B$13)-COUNTIF(C$4:C1205,"Sell_"&amp;Upgrades!$B$3:$B$13))*Upgrades!$D$3:$D$13))</f>
        <v/>
      </c>
      <c r="F1205" s="66" t="str">
        <f>IFERROR(__xludf.DUMMYFUNCTION("IF(COUNTA(C1205:C1350)=0,"""",IF(REGEXMATCH(INDEX(FILTER(C$4:C1205,C$4:C1205&lt;&gt;""""),ROWS(FILTER(C$4:C1205,C$4:C1205&lt;&gt;""""))),""^Sell_""),INDEX(FILTER(F$4:F1204,C$4:C1204&lt;&gt;""""),ROWS(FILTER(C$4:C1204,C$4:C1204&lt;&gt;""""))),$AC$5+E1205))"),"")</f>
        <v/>
      </c>
      <c r="G1205" s="10" t="str">
        <f>IFERROR(__xludf.DUMMYFUNCTION("IF(COUNTA(C1205:C1350)=0,"""",IF(C1205="""",0,IF(REGEXMATCH(C1205,""^Sell_""),-ROUNDDOWN(ROUNDUP(INDEX(Upgrades!$C$3:$C$13,MATCH(SUBSTITUTE(C1205,""Sell_"",""""),Upgrades!$B$3:$B$13,0))*1.15^(COUNTIF(C$4:C1204,SUBSTITUTE(C1205,""Sell_"",""""))-COUNTIF(C$4"&amp;":C1204,""Sell_""&amp;SUBSTITUTE(C1205,""Sell_"",""""))))/2),ROUNDUP(INDEX(Upgrades!$C$3:$C$13,MATCH(C1205,Upgrades!$B$3:$B$13,0))*1.15^(COUNTIF(C$4:C1204,C1205)-COUNTIF(C$4:C1204,""Sell_""&amp;C1205))))))"),"")</f>
        <v/>
      </c>
      <c r="H1205" s="10" t="str">
        <f t="shared" si="3"/>
        <v/>
      </c>
      <c r="I1205" s="68" t="str">
        <f t="shared" si="4"/>
        <v/>
      </c>
      <c r="J1205" s="59" t="str">
        <f t="shared" si="5"/>
        <v/>
      </c>
      <c r="K1205" s="69" t="str">
        <f t="shared" si="6"/>
        <v/>
      </c>
      <c r="L1205" s="60" t="str">
        <f t="shared" si="7"/>
        <v/>
      </c>
      <c r="M1205" s="61" t="str">
        <f>IFERROR(__xludf.DUMMYFUNCTION("IFS(AND(COUNTA(C1205:C1350)=0,COUNTA(Q1205:Q1350)=0),"""",OR(AND(K1205&gt;=1000000000,OR(Y1205&gt;=1000000000,COUNTA(Q1205:Q1350)=0)),OR(Y1205&gt;=1000000000,AND(COUNTA(C1205:C1350)=0,P$3=TRUE))),
ROUNDDOWN((AB$1-AC$1)*MAX(INDEX(T$4:T1350,MATCH(LARGE(FILTER(Y$4:Y1"&amp;"350,Y$4:Y1350&lt;1000000000),1),Y$4:Y1350)),INDEX(F$4:F1350,MATCH(LARGE(FILTER(K$4:K1350,K$4:K1350&lt;1000000000),1),K$4:K1350)))),AND(K1205&lt;1000000000,COUNTA(C1205:C1350)&gt;0,P$3=FALSE),
ROUNDDOWN(INDEX(Y$4:Y1350,MATCH(LARGE(FILTER(W$4:W1350,W$4:W1350&lt;=I1205),1)"&amp;",W$4:W1350))+(I1205-LARGE(FILTER(W$4:W1350,W$4:W1350&lt;=I1205),1))*INDEX(T$4:T1350,MATCH(LARGE(FILTER(W$4:W1350,W$4:W1350&lt;=I1205),1),W$4:W1350))-K1205),1,
ROUNDDOWN(Y1205-INDEX(K$4:K1350,MATCH(LARGE(FILTER(I$4:I1350,I$4:I1350&lt;=W1205),1),I$4:I1350))-(W1205-L"&amp;"ARGE(FILTER(I$4:I1350,I$4:I1350&lt;=W1205),1))*INDEX(F$4:F1350,MATCH(LARGE(FILTER(I$4:I1350,I$4:I1350&lt;=W1205),1),I$4:I1350))))"),"")</f>
        <v/>
      </c>
      <c r="N1205" s="60" t="str">
        <f t="shared" si="8"/>
        <v/>
      </c>
      <c r="O1205" s="61" t="str">
        <f t="shared" si="9"/>
        <v/>
      </c>
      <c r="P1205" s="56" t="str">
        <f t="shared" si="10"/>
        <v/>
      </c>
      <c r="Q1205" s="62"/>
      <c r="R1205" s="10" t="str">
        <f>IFERROR(__xludf.DUMMYFUNCTION("IF(COUNTA(Q1205:Q1350)=0,"""",IF(ISBLANK(Q1205),FALSE,IF(NOT(COUNTIF($AA$24:$AA$34,SUBSTITUTE(Q1205,""Sell_"",""""))),1,IF(REGEXMATCH(Q1205,""Sell_""),IF(COUNTIF(Q$4:Q1205,SUBSTITUTE(Q1205,""Sell_"",""""))-COUNTIF(Q$4:Q1204,Q1205)&lt;1,1),FALSE))))"),"")</f>
        <v/>
      </c>
      <c r="S1205" s="59" t="str">
        <f t="array" ref="S1205">IF(COUNTA(Q1205:Q1350)=0,"",SUM((COUNTIF(Q$4:Q1205,Upgrades!$B$3:$B$13)-COUNTIF(Q$4:Q1205,"Sell_"&amp;Upgrades!$B$3:$B$13))*Upgrades!$D$3:$D$13))</f>
        <v/>
      </c>
      <c r="T1205" s="66" t="str">
        <f>IFERROR(__xludf.DUMMYFUNCTION("IF(COUNTA(Q1205:Q1350)=0,"""",IF(REGEXMATCH(INDEX(FILTER(Q$4:Q1205,Q$4:Q1205&lt;&gt;""""),ROWS(FILTER(Q$4:Q1205,Q$4:Q1205&lt;&gt;""""))),""^Sell_""),INDEX(FILTER(T$4:T1204,Q$4:Q1204&lt;&gt;""""),ROWS(FILTER(Q$4:Q1204,Q$4:Q1204&lt;&gt;""""))),$AD$5+S1205))"),"")</f>
        <v/>
      </c>
      <c r="U1205" s="10" t="str">
        <f>IFERROR(__xludf.DUMMYFUNCTION("IF(COUNTA(Q1205:Q1350)=0,"""",IF(Q1205="""",0,IF(REGEXMATCH(Q1205,""^Sell_""),-ROUNDDOWN(ROUNDUP(INDEX(Upgrades!$C$3:$C$13,MATCH(SUBSTITUTE(Q1205,""Sell_"",""""),Upgrades!$B$3:$B$13,0))*1.15^(COUNTIF(Q$4:Q1204,SUBSTITUTE(Q1205,""Sell_"",""""))-COUNTIF(Q$4"&amp;":Q1204,""Sell_""&amp;SUBSTITUTE(Q1205,""Sell_"",""""))))/2),ROUNDUP(INDEX(Upgrades!$C$3:$C$13,MATCH(Q1205,Upgrades!$B$3:$B$13,0))*1.15^(COUNTIF(Q$4:Q1204,Q1205)-COUNTIF(Q$4:Q1204,""Sell_""&amp;Q1205))))))"),"")</f>
        <v/>
      </c>
      <c r="V1205" s="10" t="str">
        <f t="shared" si="11"/>
        <v/>
      </c>
      <c r="W1205" s="68" t="str">
        <f t="shared" si="12"/>
        <v/>
      </c>
      <c r="X1205" s="59" t="str">
        <f t="shared" si="13"/>
        <v/>
      </c>
      <c r="Y1205" s="69" t="str">
        <f t="shared" si="14"/>
        <v/>
      </c>
      <c r="Z1205" s="11"/>
    </row>
    <row r="1206">
      <c r="A1206" s="8"/>
      <c r="B1206" s="56" t="str">
        <f t="shared" si="2"/>
        <v/>
      </c>
      <c r="C1206" s="57"/>
      <c r="D1206" s="10" t="str">
        <f>IFERROR(__xludf.DUMMYFUNCTION("IF(COUNTA(C1206:C1350)=0,"""",IF(ISBLANK(C1206),FALSE,IF(NOT(COUNTIF($AA$24:$AA$34,SUBSTITUTE(C1206,""Sell_"",""""))),1,IF(REGEXMATCH(C1206,""Sell_""),IF(COUNTIF(C$4:C1206,SUBSTITUTE(C1206,""Sell_"",""""))-COUNTIF(C$4:C1205,C1206)&lt;1,1),FALSE))))"),"")</f>
        <v/>
      </c>
      <c r="E1206" s="59" t="str">
        <f t="array" ref="E1206">IF(COUNTA(C1206:C1350)=0,"",SUM((COUNTIF(C$4:C1206,Upgrades!$B$3:$B$13)-COUNTIF(C$4:C1206,"Sell_"&amp;Upgrades!$B$3:$B$13))*Upgrades!$D$3:$D$13))</f>
        <v/>
      </c>
      <c r="F1206" s="66" t="str">
        <f>IFERROR(__xludf.DUMMYFUNCTION("IF(COUNTA(C1206:C1350)=0,"""",IF(REGEXMATCH(INDEX(FILTER(C$4:C1206,C$4:C1206&lt;&gt;""""),ROWS(FILTER(C$4:C1206,C$4:C1206&lt;&gt;""""))),""^Sell_""),INDEX(FILTER(F$4:F1205,C$4:C1205&lt;&gt;""""),ROWS(FILTER(C$4:C1205,C$4:C1205&lt;&gt;""""))),$AC$5+E1206))"),"")</f>
        <v/>
      </c>
      <c r="G1206" s="10" t="str">
        <f>IFERROR(__xludf.DUMMYFUNCTION("IF(COUNTA(C1206:C1350)=0,"""",IF(C1206="""",0,IF(REGEXMATCH(C1206,""^Sell_""),-ROUNDDOWN(ROUNDUP(INDEX(Upgrades!$C$3:$C$13,MATCH(SUBSTITUTE(C1206,""Sell_"",""""),Upgrades!$B$3:$B$13,0))*1.15^(COUNTIF(C$4:C1205,SUBSTITUTE(C1206,""Sell_"",""""))-COUNTIF(C$4"&amp;":C1205,""Sell_""&amp;SUBSTITUTE(C1206,""Sell_"",""""))))/2),ROUNDUP(INDEX(Upgrades!$C$3:$C$13,MATCH(C1206,Upgrades!$B$3:$B$13,0))*1.15^(COUNTIF(C$4:C1205,C1206)-COUNTIF(C$4:C1205,""Sell_""&amp;C1206))))))"),"")</f>
        <v/>
      </c>
      <c r="H1206" s="10" t="str">
        <f t="shared" si="3"/>
        <v/>
      </c>
      <c r="I1206" s="68" t="str">
        <f t="shared" si="4"/>
        <v/>
      </c>
      <c r="J1206" s="59" t="str">
        <f t="shared" si="5"/>
        <v/>
      </c>
      <c r="K1206" s="69" t="str">
        <f t="shared" si="6"/>
        <v/>
      </c>
      <c r="L1206" s="60" t="str">
        <f t="shared" si="7"/>
        <v/>
      </c>
      <c r="M1206" s="61" t="str">
        <f>IFERROR(__xludf.DUMMYFUNCTION("IFS(AND(COUNTA(C1206:C1350)=0,COUNTA(Q1206:Q1350)=0),"""",OR(AND(K1206&gt;=1000000000,OR(Y1206&gt;=1000000000,COUNTA(Q1206:Q1350)=0)),OR(Y1206&gt;=1000000000,AND(COUNTA(C1206:C1350)=0,P$3=TRUE))),
ROUNDDOWN((AB$1-AC$1)*MAX(INDEX(T$4:T1350,MATCH(LARGE(FILTER(Y$4:Y1"&amp;"350,Y$4:Y1350&lt;1000000000),1),Y$4:Y1350)),INDEX(F$4:F1350,MATCH(LARGE(FILTER(K$4:K1350,K$4:K1350&lt;1000000000),1),K$4:K1350)))),AND(K1206&lt;1000000000,COUNTA(C1206:C1350)&gt;0,P$3=FALSE),
ROUNDDOWN(INDEX(Y$4:Y1350,MATCH(LARGE(FILTER(W$4:W1350,W$4:W1350&lt;=I1206),1)"&amp;",W$4:W1350))+(I1206-LARGE(FILTER(W$4:W1350,W$4:W1350&lt;=I1206),1))*INDEX(T$4:T1350,MATCH(LARGE(FILTER(W$4:W1350,W$4:W1350&lt;=I1206),1),W$4:W1350))-K1206),1,
ROUNDDOWN(Y1206-INDEX(K$4:K1350,MATCH(LARGE(FILTER(I$4:I1350,I$4:I1350&lt;=W1206),1),I$4:I1350))-(W1206-L"&amp;"ARGE(FILTER(I$4:I1350,I$4:I1350&lt;=W1206),1))*INDEX(F$4:F1350,MATCH(LARGE(FILTER(I$4:I1350,I$4:I1350&lt;=W1206),1),I$4:I1350))))"),"")</f>
        <v/>
      </c>
      <c r="N1206" s="60" t="str">
        <f t="shared" si="8"/>
        <v/>
      </c>
      <c r="O1206" s="61" t="str">
        <f t="shared" si="9"/>
        <v/>
      </c>
      <c r="P1206" s="56" t="str">
        <f t="shared" si="10"/>
        <v/>
      </c>
      <c r="Q1206" s="62"/>
      <c r="R1206" s="10" t="str">
        <f>IFERROR(__xludf.DUMMYFUNCTION("IF(COUNTA(Q1206:Q1350)=0,"""",IF(ISBLANK(Q1206),FALSE,IF(NOT(COUNTIF($AA$24:$AA$34,SUBSTITUTE(Q1206,""Sell_"",""""))),1,IF(REGEXMATCH(Q1206,""Sell_""),IF(COUNTIF(Q$4:Q1206,SUBSTITUTE(Q1206,""Sell_"",""""))-COUNTIF(Q$4:Q1205,Q1206)&lt;1,1),FALSE))))"),"")</f>
        <v/>
      </c>
      <c r="S1206" s="59" t="str">
        <f t="array" ref="S1206">IF(COUNTA(Q1206:Q1350)=0,"",SUM((COUNTIF(Q$4:Q1206,Upgrades!$B$3:$B$13)-COUNTIF(Q$4:Q1206,"Sell_"&amp;Upgrades!$B$3:$B$13))*Upgrades!$D$3:$D$13))</f>
        <v/>
      </c>
      <c r="T1206" s="66" t="str">
        <f>IFERROR(__xludf.DUMMYFUNCTION("IF(COUNTA(Q1206:Q1350)=0,"""",IF(REGEXMATCH(INDEX(FILTER(Q$4:Q1206,Q$4:Q1206&lt;&gt;""""),ROWS(FILTER(Q$4:Q1206,Q$4:Q1206&lt;&gt;""""))),""^Sell_""),INDEX(FILTER(T$4:T1205,Q$4:Q1205&lt;&gt;""""),ROWS(FILTER(Q$4:Q1205,Q$4:Q1205&lt;&gt;""""))),$AD$5+S1206))"),"")</f>
        <v/>
      </c>
      <c r="U1206" s="10" t="str">
        <f>IFERROR(__xludf.DUMMYFUNCTION("IF(COUNTA(Q1206:Q1350)=0,"""",IF(Q1206="""",0,IF(REGEXMATCH(Q1206,""^Sell_""),-ROUNDDOWN(ROUNDUP(INDEX(Upgrades!$C$3:$C$13,MATCH(SUBSTITUTE(Q1206,""Sell_"",""""),Upgrades!$B$3:$B$13,0))*1.15^(COUNTIF(Q$4:Q1205,SUBSTITUTE(Q1206,""Sell_"",""""))-COUNTIF(Q$4"&amp;":Q1205,""Sell_""&amp;SUBSTITUTE(Q1206,""Sell_"",""""))))/2),ROUNDUP(INDEX(Upgrades!$C$3:$C$13,MATCH(Q1206,Upgrades!$B$3:$B$13,0))*1.15^(COUNTIF(Q$4:Q1205,Q1206)-COUNTIF(Q$4:Q1205,""Sell_""&amp;Q1206))))))"),"")</f>
        <v/>
      </c>
      <c r="V1206" s="10" t="str">
        <f t="shared" si="11"/>
        <v/>
      </c>
      <c r="W1206" s="68" t="str">
        <f t="shared" si="12"/>
        <v/>
      </c>
      <c r="X1206" s="59" t="str">
        <f t="shared" si="13"/>
        <v/>
      </c>
      <c r="Y1206" s="69" t="str">
        <f t="shared" si="14"/>
        <v/>
      </c>
      <c r="Z1206" s="11"/>
    </row>
    <row r="1207">
      <c r="A1207" s="8"/>
      <c r="B1207" s="56" t="str">
        <f t="shared" si="2"/>
        <v/>
      </c>
      <c r="C1207" s="57"/>
      <c r="D1207" s="10" t="str">
        <f>IFERROR(__xludf.DUMMYFUNCTION("IF(COUNTA(C1207:C1350)=0,"""",IF(ISBLANK(C1207),FALSE,IF(NOT(COUNTIF($AA$24:$AA$34,SUBSTITUTE(C1207,""Sell_"",""""))),1,IF(REGEXMATCH(C1207,""Sell_""),IF(COUNTIF(C$4:C1207,SUBSTITUTE(C1207,""Sell_"",""""))-COUNTIF(C$4:C1206,C1207)&lt;1,1),FALSE))))"),"")</f>
        <v/>
      </c>
      <c r="E1207" s="59" t="str">
        <f t="array" ref="E1207">IF(COUNTA(C1207:C1350)=0,"",SUM((COUNTIF(C$4:C1207,Upgrades!$B$3:$B$13)-COUNTIF(C$4:C1207,"Sell_"&amp;Upgrades!$B$3:$B$13))*Upgrades!$D$3:$D$13))</f>
        <v/>
      </c>
      <c r="F1207" s="66" t="str">
        <f>IFERROR(__xludf.DUMMYFUNCTION("IF(COUNTA(C1207:C1350)=0,"""",IF(REGEXMATCH(INDEX(FILTER(C$4:C1207,C$4:C1207&lt;&gt;""""),ROWS(FILTER(C$4:C1207,C$4:C1207&lt;&gt;""""))),""^Sell_""),INDEX(FILTER(F$4:F1206,C$4:C1206&lt;&gt;""""),ROWS(FILTER(C$4:C1206,C$4:C1206&lt;&gt;""""))),$AC$5+E1207))"),"")</f>
        <v/>
      </c>
      <c r="G1207" s="10" t="str">
        <f>IFERROR(__xludf.DUMMYFUNCTION("IF(COUNTA(C1207:C1350)=0,"""",IF(C1207="""",0,IF(REGEXMATCH(C1207,""^Sell_""),-ROUNDDOWN(ROUNDUP(INDEX(Upgrades!$C$3:$C$13,MATCH(SUBSTITUTE(C1207,""Sell_"",""""),Upgrades!$B$3:$B$13,0))*1.15^(COUNTIF(C$4:C1206,SUBSTITUTE(C1207,""Sell_"",""""))-COUNTIF(C$4"&amp;":C1206,""Sell_""&amp;SUBSTITUTE(C1207,""Sell_"",""""))))/2),ROUNDUP(INDEX(Upgrades!$C$3:$C$13,MATCH(C1207,Upgrades!$B$3:$B$13,0))*1.15^(COUNTIF(C$4:C1206,C1207)-COUNTIF(C$4:C1206,""Sell_""&amp;C1207))))))"),"")</f>
        <v/>
      </c>
      <c r="H1207" s="10" t="str">
        <f t="shared" si="3"/>
        <v/>
      </c>
      <c r="I1207" s="68" t="str">
        <f t="shared" si="4"/>
        <v/>
      </c>
      <c r="J1207" s="59" t="str">
        <f t="shared" si="5"/>
        <v/>
      </c>
      <c r="K1207" s="69" t="str">
        <f t="shared" si="6"/>
        <v/>
      </c>
      <c r="L1207" s="60" t="str">
        <f t="shared" si="7"/>
        <v/>
      </c>
      <c r="M1207" s="61" t="str">
        <f>IFERROR(__xludf.DUMMYFUNCTION("IFS(AND(COUNTA(C1207:C1350)=0,COUNTA(Q1207:Q1350)=0),"""",OR(AND(K1207&gt;=1000000000,OR(Y1207&gt;=1000000000,COUNTA(Q1207:Q1350)=0)),OR(Y1207&gt;=1000000000,AND(COUNTA(C1207:C1350)=0,P$3=TRUE))),
ROUNDDOWN((AB$1-AC$1)*MAX(INDEX(T$4:T1350,MATCH(LARGE(FILTER(Y$4:Y1"&amp;"350,Y$4:Y1350&lt;1000000000),1),Y$4:Y1350)),INDEX(F$4:F1350,MATCH(LARGE(FILTER(K$4:K1350,K$4:K1350&lt;1000000000),1),K$4:K1350)))),AND(K1207&lt;1000000000,COUNTA(C1207:C1350)&gt;0,P$3=FALSE),
ROUNDDOWN(INDEX(Y$4:Y1350,MATCH(LARGE(FILTER(W$4:W1350,W$4:W1350&lt;=I1207),1)"&amp;",W$4:W1350))+(I1207-LARGE(FILTER(W$4:W1350,W$4:W1350&lt;=I1207),1))*INDEX(T$4:T1350,MATCH(LARGE(FILTER(W$4:W1350,W$4:W1350&lt;=I1207),1),W$4:W1350))-K1207),1,
ROUNDDOWN(Y1207-INDEX(K$4:K1350,MATCH(LARGE(FILTER(I$4:I1350,I$4:I1350&lt;=W1207),1),I$4:I1350))-(W1207-L"&amp;"ARGE(FILTER(I$4:I1350,I$4:I1350&lt;=W1207),1))*INDEX(F$4:F1350,MATCH(LARGE(FILTER(I$4:I1350,I$4:I1350&lt;=W1207),1),I$4:I1350))))"),"")</f>
        <v/>
      </c>
      <c r="N1207" s="60" t="str">
        <f t="shared" si="8"/>
        <v/>
      </c>
      <c r="O1207" s="61" t="str">
        <f t="shared" si="9"/>
        <v/>
      </c>
      <c r="P1207" s="56" t="str">
        <f t="shared" si="10"/>
        <v/>
      </c>
      <c r="Q1207" s="62"/>
      <c r="R1207" s="10" t="str">
        <f>IFERROR(__xludf.DUMMYFUNCTION("IF(COUNTA(Q1207:Q1350)=0,"""",IF(ISBLANK(Q1207),FALSE,IF(NOT(COUNTIF($AA$24:$AA$34,SUBSTITUTE(Q1207,""Sell_"",""""))),1,IF(REGEXMATCH(Q1207,""Sell_""),IF(COUNTIF(Q$4:Q1207,SUBSTITUTE(Q1207,""Sell_"",""""))-COUNTIF(Q$4:Q1206,Q1207)&lt;1,1),FALSE))))"),"")</f>
        <v/>
      </c>
      <c r="S1207" s="59" t="str">
        <f t="array" ref="S1207">IF(COUNTA(Q1207:Q1350)=0,"",SUM((COUNTIF(Q$4:Q1207,Upgrades!$B$3:$B$13)-COUNTIF(Q$4:Q1207,"Sell_"&amp;Upgrades!$B$3:$B$13))*Upgrades!$D$3:$D$13))</f>
        <v/>
      </c>
      <c r="T1207" s="66" t="str">
        <f>IFERROR(__xludf.DUMMYFUNCTION("IF(COUNTA(Q1207:Q1350)=0,"""",IF(REGEXMATCH(INDEX(FILTER(Q$4:Q1207,Q$4:Q1207&lt;&gt;""""),ROWS(FILTER(Q$4:Q1207,Q$4:Q1207&lt;&gt;""""))),""^Sell_""),INDEX(FILTER(T$4:T1206,Q$4:Q1206&lt;&gt;""""),ROWS(FILTER(Q$4:Q1206,Q$4:Q1206&lt;&gt;""""))),$AD$5+S1207))"),"")</f>
        <v/>
      </c>
      <c r="U1207" s="10" t="str">
        <f>IFERROR(__xludf.DUMMYFUNCTION("IF(COUNTA(Q1207:Q1350)=0,"""",IF(Q1207="""",0,IF(REGEXMATCH(Q1207,""^Sell_""),-ROUNDDOWN(ROUNDUP(INDEX(Upgrades!$C$3:$C$13,MATCH(SUBSTITUTE(Q1207,""Sell_"",""""),Upgrades!$B$3:$B$13,0))*1.15^(COUNTIF(Q$4:Q1206,SUBSTITUTE(Q1207,""Sell_"",""""))-COUNTIF(Q$4"&amp;":Q1206,""Sell_""&amp;SUBSTITUTE(Q1207,""Sell_"",""""))))/2),ROUNDUP(INDEX(Upgrades!$C$3:$C$13,MATCH(Q1207,Upgrades!$B$3:$B$13,0))*1.15^(COUNTIF(Q$4:Q1206,Q1207)-COUNTIF(Q$4:Q1206,""Sell_""&amp;Q1207))))))"),"")</f>
        <v/>
      </c>
      <c r="V1207" s="10" t="str">
        <f t="shared" si="11"/>
        <v/>
      </c>
      <c r="W1207" s="68" t="str">
        <f t="shared" si="12"/>
        <v/>
      </c>
      <c r="X1207" s="59" t="str">
        <f t="shared" si="13"/>
        <v/>
      </c>
      <c r="Y1207" s="69" t="str">
        <f t="shared" si="14"/>
        <v/>
      </c>
      <c r="Z1207" s="11"/>
    </row>
    <row r="1208">
      <c r="A1208" s="8"/>
      <c r="B1208" s="56" t="str">
        <f t="shared" si="2"/>
        <v/>
      </c>
      <c r="C1208" s="57"/>
      <c r="D1208" s="10" t="str">
        <f>IFERROR(__xludf.DUMMYFUNCTION("IF(COUNTA(C1208:C1350)=0,"""",IF(ISBLANK(C1208),FALSE,IF(NOT(COUNTIF($AA$24:$AA$34,SUBSTITUTE(C1208,""Sell_"",""""))),1,IF(REGEXMATCH(C1208,""Sell_""),IF(COUNTIF(C$4:C1208,SUBSTITUTE(C1208,""Sell_"",""""))-COUNTIF(C$4:C1207,C1208)&lt;1,1),FALSE))))"),"")</f>
        <v/>
      </c>
      <c r="E1208" s="59" t="str">
        <f t="array" ref="E1208">IF(COUNTA(C1208:C1350)=0,"",SUM((COUNTIF(C$4:C1208,Upgrades!$B$3:$B$13)-COUNTIF(C$4:C1208,"Sell_"&amp;Upgrades!$B$3:$B$13))*Upgrades!$D$3:$D$13))</f>
        <v/>
      </c>
      <c r="F1208" s="66" t="str">
        <f>IFERROR(__xludf.DUMMYFUNCTION("IF(COUNTA(C1208:C1350)=0,"""",IF(REGEXMATCH(INDEX(FILTER(C$4:C1208,C$4:C1208&lt;&gt;""""),ROWS(FILTER(C$4:C1208,C$4:C1208&lt;&gt;""""))),""^Sell_""),INDEX(FILTER(F$4:F1207,C$4:C1207&lt;&gt;""""),ROWS(FILTER(C$4:C1207,C$4:C1207&lt;&gt;""""))),$AC$5+E1208))"),"")</f>
        <v/>
      </c>
      <c r="G1208" s="10" t="str">
        <f>IFERROR(__xludf.DUMMYFUNCTION("IF(COUNTA(C1208:C1350)=0,"""",IF(C1208="""",0,IF(REGEXMATCH(C1208,""^Sell_""),-ROUNDDOWN(ROUNDUP(INDEX(Upgrades!$C$3:$C$13,MATCH(SUBSTITUTE(C1208,""Sell_"",""""),Upgrades!$B$3:$B$13,0))*1.15^(COUNTIF(C$4:C1207,SUBSTITUTE(C1208,""Sell_"",""""))-COUNTIF(C$4"&amp;":C1207,""Sell_""&amp;SUBSTITUTE(C1208,""Sell_"",""""))))/2),ROUNDUP(INDEX(Upgrades!$C$3:$C$13,MATCH(C1208,Upgrades!$B$3:$B$13,0))*1.15^(COUNTIF(C$4:C1207,C1208)-COUNTIF(C$4:C1207,""Sell_""&amp;C1208))))))"),"")</f>
        <v/>
      </c>
      <c r="H1208" s="10" t="str">
        <f t="shared" si="3"/>
        <v/>
      </c>
      <c r="I1208" s="68" t="str">
        <f t="shared" si="4"/>
        <v/>
      </c>
      <c r="J1208" s="59" t="str">
        <f t="shared" si="5"/>
        <v/>
      </c>
      <c r="K1208" s="69" t="str">
        <f t="shared" si="6"/>
        <v/>
      </c>
      <c r="L1208" s="60" t="str">
        <f t="shared" si="7"/>
        <v/>
      </c>
      <c r="M1208" s="61" t="str">
        <f>IFERROR(__xludf.DUMMYFUNCTION("IFS(AND(COUNTA(C1208:C1350)=0,COUNTA(Q1208:Q1350)=0),"""",OR(AND(K1208&gt;=1000000000,OR(Y1208&gt;=1000000000,COUNTA(Q1208:Q1350)=0)),OR(Y1208&gt;=1000000000,AND(COUNTA(C1208:C1350)=0,P$3=TRUE))),
ROUNDDOWN((AB$1-AC$1)*MAX(INDEX(T$4:T1350,MATCH(LARGE(FILTER(Y$4:Y1"&amp;"350,Y$4:Y1350&lt;1000000000),1),Y$4:Y1350)),INDEX(F$4:F1350,MATCH(LARGE(FILTER(K$4:K1350,K$4:K1350&lt;1000000000),1),K$4:K1350)))),AND(K1208&lt;1000000000,COUNTA(C1208:C1350)&gt;0,P$3=FALSE),
ROUNDDOWN(INDEX(Y$4:Y1350,MATCH(LARGE(FILTER(W$4:W1350,W$4:W1350&lt;=I1208),1)"&amp;",W$4:W1350))+(I1208-LARGE(FILTER(W$4:W1350,W$4:W1350&lt;=I1208),1))*INDEX(T$4:T1350,MATCH(LARGE(FILTER(W$4:W1350,W$4:W1350&lt;=I1208),1),W$4:W1350))-K1208),1,
ROUNDDOWN(Y1208-INDEX(K$4:K1350,MATCH(LARGE(FILTER(I$4:I1350,I$4:I1350&lt;=W1208),1),I$4:I1350))-(W1208-L"&amp;"ARGE(FILTER(I$4:I1350,I$4:I1350&lt;=W1208),1))*INDEX(F$4:F1350,MATCH(LARGE(FILTER(I$4:I1350,I$4:I1350&lt;=W1208),1),I$4:I1350))))"),"")</f>
        <v/>
      </c>
      <c r="N1208" s="60" t="str">
        <f t="shared" si="8"/>
        <v/>
      </c>
      <c r="O1208" s="61" t="str">
        <f t="shared" si="9"/>
        <v/>
      </c>
      <c r="P1208" s="56" t="str">
        <f t="shared" si="10"/>
        <v/>
      </c>
      <c r="Q1208" s="62"/>
      <c r="R1208" s="10" t="str">
        <f>IFERROR(__xludf.DUMMYFUNCTION("IF(COUNTA(Q1208:Q1350)=0,"""",IF(ISBLANK(Q1208),FALSE,IF(NOT(COUNTIF($AA$24:$AA$34,SUBSTITUTE(Q1208,""Sell_"",""""))),1,IF(REGEXMATCH(Q1208,""Sell_""),IF(COUNTIF(Q$4:Q1208,SUBSTITUTE(Q1208,""Sell_"",""""))-COUNTIF(Q$4:Q1207,Q1208)&lt;1,1),FALSE))))"),"")</f>
        <v/>
      </c>
      <c r="S1208" s="59" t="str">
        <f t="array" ref="S1208">IF(COUNTA(Q1208:Q1350)=0,"",SUM((COUNTIF(Q$4:Q1208,Upgrades!$B$3:$B$13)-COUNTIF(Q$4:Q1208,"Sell_"&amp;Upgrades!$B$3:$B$13))*Upgrades!$D$3:$D$13))</f>
        <v/>
      </c>
      <c r="T1208" s="66" t="str">
        <f>IFERROR(__xludf.DUMMYFUNCTION("IF(COUNTA(Q1208:Q1350)=0,"""",IF(REGEXMATCH(INDEX(FILTER(Q$4:Q1208,Q$4:Q1208&lt;&gt;""""),ROWS(FILTER(Q$4:Q1208,Q$4:Q1208&lt;&gt;""""))),""^Sell_""),INDEX(FILTER(T$4:T1207,Q$4:Q1207&lt;&gt;""""),ROWS(FILTER(Q$4:Q1207,Q$4:Q1207&lt;&gt;""""))),$AD$5+S1208))"),"")</f>
        <v/>
      </c>
      <c r="U1208" s="10" t="str">
        <f>IFERROR(__xludf.DUMMYFUNCTION("IF(COUNTA(Q1208:Q1350)=0,"""",IF(Q1208="""",0,IF(REGEXMATCH(Q1208,""^Sell_""),-ROUNDDOWN(ROUNDUP(INDEX(Upgrades!$C$3:$C$13,MATCH(SUBSTITUTE(Q1208,""Sell_"",""""),Upgrades!$B$3:$B$13,0))*1.15^(COUNTIF(Q$4:Q1207,SUBSTITUTE(Q1208,""Sell_"",""""))-COUNTIF(Q$4"&amp;":Q1207,""Sell_""&amp;SUBSTITUTE(Q1208,""Sell_"",""""))))/2),ROUNDUP(INDEX(Upgrades!$C$3:$C$13,MATCH(Q1208,Upgrades!$B$3:$B$13,0))*1.15^(COUNTIF(Q$4:Q1207,Q1208)-COUNTIF(Q$4:Q1207,""Sell_""&amp;Q1208))))))"),"")</f>
        <v/>
      </c>
      <c r="V1208" s="10" t="str">
        <f t="shared" si="11"/>
        <v/>
      </c>
      <c r="W1208" s="68" t="str">
        <f t="shared" si="12"/>
        <v/>
      </c>
      <c r="X1208" s="59" t="str">
        <f t="shared" si="13"/>
        <v/>
      </c>
      <c r="Y1208" s="69" t="str">
        <f t="shared" si="14"/>
        <v/>
      </c>
      <c r="Z1208" s="11"/>
    </row>
    <row r="1209">
      <c r="A1209" s="8"/>
      <c r="B1209" s="56" t="str">
        <f t="shared" si="2"/>
        <v/>
      </c>
      <c r="C1209" s="57"/>
      <c r="D1209" s="10" t="str">
        <f>IFERROR(__xludf.DUMMYFUNCTION("IF(COUNTA(C1209:C1350)=0,"""",IF(ISBLANK(C1209),FALSE,IF(NOT(COUNTIF($AA$24:$AA$34,SUBSTITUTE(C1209,""Sell_"",""""))),1,IF(REGEXMATCH(C1209,""Sell_""),IF(COUNTIF(C$4:C1209,SUBSTITUTE(C1209,""Sell_"",""""))-COUNTIF(C$4:C1208,C1209)&lt;1,1),FALSE))))"),"")</f>
        <v/>
      </c>
      <c r="E1209" s="59" t="str">
        <f t="array" ref="E1209">IF(COUNTA(C1209:C1350)=0,"",SUM((COUNTIF(C$4:C1209,Upgrades!$B$3:$B$13)-COUNTIF(C$4:C1209,"Sell_"&amp;Upgrades!$B$3:$B$13))*Upgrades!$D$3:$D$13))</f>
        <v/>
      </c>
      <c r="F1209" s="66" t="str">
        <f>IFERROR(__xludf.DUMMYFUNCTION("IF(COUNTA(C1209:C1350)=0,"""",IF(REGEXMATCH(INDEX(FILTER(C$4:C1209,C$4:C1209&lt;&gt;""""),ROWS(FILTER(C$4:C1209,C$4:C1209&lt;&gt;""""))),""^Sell_""),INDEX(FILTER(F$4:F1208,C$4:C1208&lt;&gt;""""),ROWS(FILTER(C$4:C1208,C$4:C1208&lt;&gt;""""))),$AC$5+E1209))"),"")</f>
        <v/>
      </c>
      <c r="G1209" s="10" t="str">
        <f>IFERROR(__xludf.DUMMYFUNCTION("IF(COUNTA(C1209:C1350)=0,"""",IF(C1209="""",0,IF(REGEXMATCH(C1209,""^Sell_""),-ROUNDDOWN(ROUNDUP(INDEX(Upgrades!$C$3:$C$13,MATCH(SUBSTITUTE(C1209,""Sell_"",""""),Upgrades!$B$3:$B$13,0))*1.15^(COUNTIF(C$4:C1208,SUBSTITUTE(C1209,""Sell_"",""""))-COUNTIF(C$4"&amp;":C1208,""Sell_""&amp;SUBSTITUTE(C1209,""Sell_"",""""))))/2),ROUNDUP(INDEX(Upgrades!$C$3:$C$13,MATCH(C1209,Upgrades!$B$3:$B$13,0))*1.15^(COUNTIF(C$4:C1208,C1209)-COUNTIF(C$4:C1208,""Sell_""&amp;C1209))))))"),"")</f>
        <v/>
      </c>
      <c r="H1209" s="10" t="str">
        <f t="shared" si="3"/>
        <v/>
      </c>
      <c r="I1209" s="68" t="str">
        <f t="shared" si="4"/>
        <v/>
      </c>
      <c r="J1209" s="59" t="str">
        <f t="shared" si="5"/>
        <v/>
      </c>
      <c r="K1209" s="69" t="str">
        <f t="shared" si="6"/>
        <v/>
      </c>
      <c r="L1209" s="60" t="str">
        <f t="shared" si="7"/>
        <v/>
      </c>
      <c r="M1209" s="61" t="str">
        <f>IFERROR(__xludf.DUMMYFUNCTION("IFS(AND(COUNTA(C1209:C1350)=0,COUNTA(Q1209:Q1350)=0),"""",OR(AND(K1209&gt;=1000000000,OR(Y1209&gt;=1000000000,COUNTA(Q1209:Q1350)=0)),OR(Y1209&gt;=1000000000,AND(COUNTA(C1209:C1350)=0,P$3=TRUE))),
ROUNDDOWN((AB$1-AC$1)*MAX(INDEX(T$4:T1350,MATCH(LARGE(FILTER(Y$4:Y1"&amp;"350,Y$4:Y1350&lt;1000000000),1),Y$4:Y1350)),INDEX(F$4:F1350,MATCH(LARGE(FILTER(K$4:K1350,K$4:K1350&lt;1000000000),1),K$4:K1350)))),AND(K1209&lt;1000000000,COUNTA(C1209:C1350)&gt;0,P$3=FALSE),
ROUNDDOWN(INDEX(Y$4:Y1350,MATCH(LARGE(FILTER(W$4:W1350,W$4:W1350&lt;=I1209),1)"&amp;",W$4:W1350))+(I1209-LARGE(FILTER(W$4:W1350,W$4:W1350&lt;=I1209),1))*INDEX(T$4:T1350,MATCH(LARGE(FILTER(W$4:W1350,W$4:W1350&lt;=I1209),1),W$4:W1350))-K1209),1,
ROUNDDOWN(Y1209-INDEX(K$4:K1350,MATCH(LARGE(FILTER(I$4:I1350,I$4:I1350&lt;=W1209),1),I$4:I1350))-(W1209-L"&amp;"ARGE(FILTER(I$4:I1350,I$4:I1350&lt;=W1209),1))*INDEX(F$4:F1350,MATCH(LARGE(FILTER(I$4:I1350,I$4:I1350&lt;=W1209),1),I$4:I1350))))"),"")</f>
        <v/>
      </c>
      <c r="N1209" s="60" t="str">
        <f t="shared" si="8"/>
        <v/>
      </c>
      <c r="O1209" s="61" t="str">
        <f t="shared" si="9"/>
        <v/>
      </c>
      <c r="P1209" s="56" t="str">
        <f t="shared" si="10"/>
        <v/>
      </c>
      <c r="Q1209" s="62"/>
      <c r="R1209" s="10" t="str">
        <f>IFERROR(__xludf.DUMMYFUNCTION("IF(COUNTA(Q1209:Q1350)=0,"""",IF(ISBLANK(Q1209),FALSE,IF(NOT(COUNTIF($AA$24:$AA$34,SUBSTITUTE(Q1209,""Sell_"",""""))),1,IF(REGEXMATCH(Q1209,""Sell_""),IF(COUNTIF(Q$4:Q1209,SUBSTITUTE(Q1209,""Sell_"",""""))-COUNTIF(Q$4:Q1208,Q1209)&lt;1,1),FALSE))))"),"")</f>
        <v/>
      </c>
      <c r="S1209" s="59" t="str">
        <f t="array" ref="S1209">IF(COUNTA(Q1209:Q1350)=0,"",SUM((COUNTIF(Q$4:Q1209,Upgrades!$B$3:$B$13)-COUNTIF(Q$4:Q1209,"Sell_"&amp;Upgrades!$B$3:$B$13))*Upgrades!$D$3:$D$13))</f>
        <v/>
      </c>
      <c r="T1209" s="66" t="str">
        <f>IFERROR(__xludf.DUMMYFUNCTION("IF(COUNTA(Q1209:Q1350)=0,"""",IF(REGEXMATCH(INDEX(FILTER(Q$4:Q1209,Q$4:Q1209&lt;&gt;""""),ROWS(FILTER(Q$4:Q1209,Q$4:Q1209&lt;&gt;""""))),""^Sell_""),INDEX(FILTER(T$4:T1208,Q$4:Q1208&lt;&gt;""""),ROWS(FILTER(Q$4:Q1208,Q$4:Q1208&lt;&gt;""""))),$AD$5+S1209))"),"")</f>
        <v/>
      </c>
      <c r="U1209" s="10" t="str">
        <f>IFERROR(__xludf.DUMMYFUNCTION("IF(COUNTA(Q1209:Q1350)=0,"""",IF(Q1209="""",0,IF(REGEXMATCH(Q1209,""^Sell_""),-ROUNDDOWN(ROUNDUP(INDEX(Upgrades!$C$3:$C$13,MATCH(SUBSTITUTE(Q1209,""Sell_"",""""),Upgrades!$B$3:$B$13,0))*1.15^(COUNTIF(Q$4:Q1208,SUBSTITUTE(Q1209,""Sell_"",""""))-COUNTIF(Q$4"&amp;":Q1208,""Sell_""&amp;SUBSTITUTE(Q1209,""Sell_"",""""))))/2),ROUNDUP(INDEX(Upgrades!$C$3:$C$13,MATCH(Q1209,Upgrades!$B$3:$B$13,0))*1.15^(COUNTIF(Q$4:Q1208,Q1209)-COUNTIF(Q$4:Q1208,""Sell_""&amp;Q1209))))))"),"")</f>
        <v/>
      </c>
      <c r="V1209" s="10" t="str">
        <f t="shared" si="11"/>
        <v/>
      </c>
      <c r="W1209" s="68" t="str">
        <f t="shared" si="12"/>
        <v/>
      </c>
      <c r="X1209" s="59" t="str">
        <f t="shared" si="13"/>
        <v/>
      </c>
      <c r="Y1209" s="69" t="str">
        <f t="shared" si="14"/>
        <v/>
      </c>
      <c r="Z1209" s="11"/>
    </row>
    <row r="1210">
      <c r="A1210" s="8"/>
      <c r="B1210" s="56" t="str">
        <f t="shared" si="2"/>
        <v/>
      </c>
      <c r="C1210" s="57"/>
      <c r="D1210" s="10" t="str">
        <f>IFERROR(__xludf.DUMMYFUNCTION("IF(COUNTA(C1210:C1350)=0,"""",IF(ISBLANK(C1210),FALSE,IF(NOT(COUNTIF($AA$24:$AA$34,SUBSTITUTE(C1210,""Sell_"",""""))),1,IF(REGEXMATCH(C1210,""Sell_""),IF(COUNTIF(C$4:C1210,SUBSTITUTE(C1210,""Sell_"",""""))-COUNTIF(C$4:C1209,C1210)&lt;1,1),FALSE))))"),"")</f>
        <v/>
      </c>
      <c r="E1210" s="59" t="str">
        <f t="array" ref="E1210">IF(COUNTA(C1210:C1350)=0,"",SUM((COUNTIF(C$4:C1210,Upgrades!$B$3:$B$13)-COUNTIF(C$4:C1210,"Sell_"&amp;Upgrades!$B$3:$B$13))*Upgrades!$D$3:$D$13))</f>
        <v/>
      </c>
      <c r="F1210" s="66" t="str">
        <f>IFERROR(__xludf.DUMMYFUNCTION("IF(COUNTA(C1210:C1350)=0,"""",IF(REGEXMATCH(INDEX(FILTER(C$4:C1210,C$4:C1210&lt;&gt;""""),ROWS(FILTER(C$4:C1210,C$4:C1210&lt;&gt;""""))),""^Sell_""),INDEX(FILTER(F$4:F1209,C$4:C1209&lt;&gt;""""),ROWS(FILTER(C$4:C1209,C$4:C1209&lt;&gt;""""))),$AC$5+E1210))"),"")</f>
        <v/>
      </c>
      <c r="G1210" s="10" t="str">
        <f>IFERROR(__xludf.DUMMYFUNCTION("IF(COUNTA(C1210:C1350)=0,"""",IF(C1210="""",0,IF(REGEXMATCH(C1210,""^Sell_""),-ROUNDDOWN(ROUNDUP(INDEX(Upgrades!$C$3:$C$13,MATCH(SUBSTITUTE(C1210,""Sell_"",""""),Upgrades!$B$3:$B$13,0))*1.15^(COUNTIF(C$4:C1209,SUBSTITUTE(C1210,""Sell_"",""""))-COUNTIF(C$4"&amp;":C1209,""Sell_""&amp;SUBSTITUTE(C1210,""Sell_"",""""))))/2),ROUNDUP(INDEX(Upgrades!$C$3:$C$13,MATCH(C1210,Upgrades!$B$3:$B$13,0))*1.15^(COUNTIF(C$4:C1209,C1210)-COUNTIF(C$4:C1209,""Sell_""&amp;C1210))))))"),"")</f>
        <v/>
      </c>
      <c r="H1210" s="10" t="str">
        <f t="shared" si="3"/>
        <v/>
      </c>
      <c r="I1210" s="68" t="str">
        <f t="shared" si="4"/>
        <v/>
      </c>
      <c r="J1210" s="59" t="str">
        <f t="shared" si="5"/>
        <v/>
      </c>
      <c r="K1210" s="69" t="str">
        <f t="shared" si="6"/>
        <v/>
      </c>
      <c r="L1210" s="60" t="str">
        <f t="shared" si="7"/>
        <v/>
      </c>
      <c r="M1210" s="61" t="str">
        <f>IFERROR(__xludf.DUMMYFUNCTION("IFS(AND(COUNTA(C1210:C1350)=0,COUNTA(Q1210:Q1350)=0),"""",OR(AND(K1210&gt;=1000000000,OR(Y1210&gt;=1000000000,COUNTA(Q1210:Q1350)=0)),OR(Y1210&gt;=1000000000,AND(COUNTA(C1210:C1350)=0,P$3=TRUE))),
ROUNDDOWN((AB$1-AC$1)*MAX(INDEX(T$4:T1350,MATCH(LARGE(FILTER(Y$4:Y1"&amp;"350,Y$4:Y1350&lt;1000000000),1),Y$4:Y1350)),INDEX(F$4:F1350,MATCH(LARGE(FILTER(K$4:K1350,K$4:K1350&lt;1000000000),1),K$4:K1350)))),AND(K1210&lt;1000000000,COUNTA(C1210:C1350)&gt;0,P$3=FALSE),
ROUNDDOWN(INDEX(Y$4:Y1350,MATCH(LARGE(FILTER(W$4:W1350,W$4:W1350&lt;=I1210),1)"&amp;",W$4:W1350))+(I1210-LARGE(FILTER(W$4:W1350,W$4:W1350&lt;=I1210),1))*INDEX(T$4:T1350,MATCH(LARGE(FILTER(W$4:W1350,W$4:W1350&lt;=I1210),1),W$4:W1350))-K1210),1,
ROUNDDOWN(Y1210-INDEX(K$4:K1350,MATCH(LARGE(FILTER(I$4:I1350,I$4:I1350&lt;=W1210),1),I$4:I1350))-(W1210-L"&amp;"ARGE(FILTER(I$4:I1350,I$4:I1350&lt;=W1210),1))*INDEX(F$4:F1350,MATCH(LARGE(FILTER(I$4:I1350,I$4:I1350&lt;=W1210),1),I$4:I1350))))"),"")</f>
        <v/>
      </c>
      <c r="N1210" s="60" t="str">
        <f t="shared" si="8"/>
        <v/>
      </c>
      <c r="O1210" s="61" t="str">
        <f t="shared" si="9"/>
        <v/>
      </c>
      <c r="P1210" s="56" t="str">
        <f t="shared" si="10"/>
        <v/>
      </c>
      <c r="Q1210" s="62"/>
      <c r="R1210" s="10" t="str">
        <f>IFERROR(__xludf.DUMMYFUNCTION("IF(COUNTA(Q1210:Q1350)=0,"""",IF(ISBLANK(Q1210),FALSE,IF(NOT(COUNTIF($AA$24:$AA$34,SUBSTITUTE(Q1210,""Sell_"",""""))),1,IF(REGEXMATCH(Q1210,""Sell_""),IF(COUNTIF(Q$4:Q1210,SUBSTITUTE(Q1210,""Sell_"",""""))-COUNTIF(Q$4:Q1209,Q1210)&lt;1,1),FALSE))))"),"")</f>
        <v/>
      </c>
      <c r="S1210" s="59" t="str">
        <f t="array" ref="S1210">IF(COUNTA(Q1210:Q1350)=0,"",SUM((COUNTIF(Q$4:Q1210,Upgrades!$B$3:$B$13)-COUNTIF(Q$4:Q1210,"Sell_"&amp;Upgrades!$B$3:$B$13))*Upgrades!$D$3:$D$13))</f>
        <v/>
      </c>
      <c r="T1210" s="66" t="str">
        <f>IFERROR(__xludf.DUMMYFUNCTION("IF(COUNTA(Q1210:Q1350)=0,"""",IF(REGEXMATCH(INDEX(FILTER(Q$4:Q1210,Q$4:Q1210&lt;&gt;""""),ROWS(FILTER(Q$4:Q1210,Q$4:Q1210&lt;&gt;""""))),""^Sell_""),INDEX(FILTER(T$4:T1209,Q$4:Q1209&lt;&gt;""""),ROWS(FILTER(Q$4:Q1209,Q$4:Q1209&lt;&gt;""""))),$AD$5+S1210))"),"")</f>
        <v/>
      </c>
      <c r="U1210" s="10" t="str">
        <f>IFERROR(__xludf.DUMMYFUNCTION("IF(COUNTA(Q1210:Q1350)=0,"""",IF(Q1210="""",0,IF(REGEXMATCH(Q1210,""^Sell_""),-ROUNDDOWN(ROUNDUP(INDEX(Upgrades!$C$3:$C$13,MATCH(SUBSTITUTE(Q1210,""Sell_"",""""),Upgrades!$B$3:$B$13,0))*1.15^(COUNTIF(Q$4:Q1209,SUBSTITUTE(Q1210,""Sell_"",""""))-COUNTIF(Q$4"&amp;":Q1209,""Sell_""&amp;SUBSTITUTE(Q1210,""Sell_"",""""))))/2),ROUNDUP(INDEX(Upgrades!$C$3:$C$13,MATCH(Q1210,Upgrades!$B$3:$B$13,0))*1.15^(COUNTIF(Q$4:Q1209,Q1210)-COUNTIF(Q$4:Q1209,""Sell_""&amp;Q1210))))))"),"")</f>
        <v/>
      </c>
      <c r="V1210" s="10" t="str">
        <f t="shared" si="11"/>
        <v/>
      </c>
      <c r="W1210" s="68" t="str">
        <f t="shared" si="12"/>
        <v/>
      </c>
      <c r="X1210" s="59" t="str">
        <f t="shared" si="13"/>
        <v/>
      </c>
      <c r="Y1210" s="69" t="str">
        <f t="shared" si="14"/>
        <v/>
      </c>
      <c r="Z1210" s="11"/>
    </row>
    <row r="1211">
      <c r="A1211" s="8"/>
      <c r="B1211" s="56" t="str">
        <f t="shared" si="2"/>
        <v/>
      </c>
      <c r="C1211" s="57"/>
      <c r="D1211" s="10" t="str">
        <f>IFERROR(__xludf.DUMMYFUNCTION("IF(COUNTA(C1211:C1350)=0,"""",IF(ISBLANK(C1211),FALSE,IF(NOT(COUNTIF($AA$24:$AA$34,SUBSTITUTE(C1211,""Sell_"",""""))),1,IF(REGEXMATCH(C1211,""Sell_""),IF(COUNTIF(C$4:C1211,SUBSTITUTE(C1211,""Sell_"",""""))-COUNTIF(C$4:C1210,C1211)&lt;1,1),FALSE))))"),"")</f>
        <v/>
      </c>
      <c r="E1211" s="59" t="str">
        <f t="array" ref="E1211">IF(COUNTA(C1211:C1350)=0,"",SUM((COUNTIF(C$4:C1211,Upgrades!$B$3:$B$13)-COUNTIF(C$4:C1211,"Sell_"&amp;Upgrades!$B$3:$B$13))*Upgrades!$D$3:$D$13))</f>
        <v/>
      </c>
      <c r="F1211" s="66" t="str">
        <f>IFERROR(__xludf.DUMMYFUNCTION("IF(COUNTA(C1211:C1350)=0,"""",IF(REGEXMATCH(INDEX(FILTER(C$4:C1211,C$4:C1211&lt;&gt;""""),ROWS(FILTER(C$4:C1211,C$4:C1211&lt;&gt;""""))),""^Sell_""),INDEX(FILTER(F$4:F1210,C$4:C1210&lt;&gt;""""),ROWS(FILTER(C$4:C1210,C$4:C1210&lt;&gt;""""))),$AC$5+E1211))"),"")</f>
        <v/>
      </c>
      <c r="G1211" s="10" t="str">
        <f>IFERROR(__xludf.DUMMYFUNCTION("IF(COUNTA(C1211:C1350)=0,"""",IF(C1211="""",0,IF(REGEXMATCH(C1211,""^Sell_""),-ROUNDDOWN(ROUNDUP(INDEX(Upgrades!$C$3:$C$13,MATCH(SUBSTITUTE(C1211,""Sell_"",""""),Upgrades!$B$3:$B$13,0))*1.15^(COUNTIF(C$4:C1210,SUBSTITUTE(C1211,""Sell_"",""""))-COUNTIF(C$4"&amp;":C1210,""Sell_""&amp;SUBSTITUTE(C1211,""Sell_"",""""))))/2),ROUNDUP(INDEX(Upgrades!$C$3:$C$13,MATCH(C1211,Upgrades!$B$3:$B$13,0))*1.15^(COUNTIF(C$4:C1210,C1211)-COUNTIF(C$4:C1210,""Sell_""&amp;C1211))))))"),"")</f>
        <v/>
      </c>
      <c r="H1211" s="10" t="str">
        <f t="shared" si="3"/>
        <v/>
      </c>
      <c r="I1211" s="68" t="str">
        <f t="shared" si="4"/>
        <v/>
      </c>
      <c r="J1211" s="59" t="str">
        <f t="shared" si="5"/>
        <v/>
      </c>
      <c r="K1211" s="69" t="str">
        <f t="shared" si="6"/>
        <v/>
      </c>
      <c r="L1211" s="60" t="str">
        <f t="shared" si="7"/>
        <v/>
      </c>
      <c r="M1211" s="61" t="str">
        <f>IFERROR(__xludf.DUMMYFUNCTION("IFS(AND(COUNTA(C1211:C1350)=0,COUNTA(Q1211:Q1350)=0),"""",OR(AND(K1211&gt;=1000000000,OR(Y1211&gt;=1000000000,COUNTA(Q1211:Q1350)=0)),OR(Y1211&gt;=1000000000,AND(COUNTA(C1211:C1350)=0,P$3=TRUE))),
ROUNDDOWN((AB$1-AC$1)*MAX(INDEX(T$4:T1350,MATCH(LARGE(FILTER(Y$4:Y1"&amp;"350,Y$4:Y1350&lt;1000000000),1),Y$4:Y1350)),INDEX(F$4:F1350,MATCH(LARGE(FILTER(K$4:K1350,K$4:K1350&lt;1000000000),1),K$4:K1350)))),AND(K1211&lt;1000000000,COUNTA(C1211:C1350)&gt;0,P$3=FALSE),
ROUNDDOWN(INDEX(Y$4:Y1350,MATCH(LARGE(FILTER(W$4:W1350,W$4:W1350&lt;=I1211),1)"&amp;",W$4:W1350))+(I1211-LARGE(FILTER(W$4:W1350,W$4:W1350&lt;=I1211),1))*INDEX(T$4:T1350,MATCH(LARGE(FILTER(W$4:W1350,W$4:W1350&lt;=I1211),1),W$4:W1350))-K1211),1,
ROUNDDOWN(Y1211-INDEX(K$4:K1350,MATCH(LARGE(FILTER(I$4:I1350,I$4:I1350&lt;=W1211),1),I$4:I1350))-(W1211-L"&amp;"ARGE(FILTER(I$4:I1350,I$4:I1350&lt;=W1211),1))*INDEX(F$4:F1350,MATCH(LARGE(FILTER(I$4:I1350,I$4:I1350&lt;=W1211),1),I$4:I1350))))"),"")</f>
        <v/>
      </c>
      <c r="N1211" s="60" t="str">
        <f t="shared" si="8"/>
        <v/>
      </c>
      <c r="O1211" s="61" t="str">
        <f t="shared" si="9"/>
        <v/>
      </c>
      <c r="P1211" s="56" t="str">
        <f t="shared" si="10"/>
        <v/>
      </c>
      <c r="Q1211" s="62"/>
      <c r="R1211" s="10" t="str">
        <f>IFERROR(__xludf.DUMMYFUNCTION("IF(COUNTA(Q1211:Q1350)=0,"""",IF(ISBLANK(Q1211),FALSE,IF(NOT(COUNTIF($AA$24:$AA$34,SUBSTITUTE(Q1211,""Sell_"",""""))),1,IF(REGEXMATCH(Q1211,""Sell_""),IF(COUNTIF(Q$4:Q1211,SUBSTITUTE(Q1211,""Sell_"",""""))-COUNTIF(Q$4:Q1210,Q1211)&lt;1,1),FALSE))))"),"")</f>
        <v/>
      </c>
      <c r="S1211" s="59" t="str">
        <f t="array" ref="S1211">IF(COUNTA(Q1211:Q1350)=0,"",SUM((COUNTIF(Q$4:Q1211,Upgrades!$B$3:$B$13)-COUNTIF(Q$4:Q1211,"Sell_"&amp;Upgrades!$B$3:$B$13))*Upgrades!$D$3:$D$13))</f>
        <v/>
      </c>
      <c r="T1211" s="66" t="str">
        <f>IFERROR(__xludf.DUMMYFUNCTION("IF(COUNTA(Q1211:Q1350)=0,"""",IF(REGEXMATCH(INDEX(FILTER(Q$4:Q1211,Q$4:Q1211&lt;&gt;""""),ROWS(FILTER(Q$4:Q1211,Q$4:Q1211&lt;&gt;""""))),""^Sell_""),INDEX(FILTER(T$4:T1210,Q$4:Q1210&lt;&gt;""""),ROWS(FILTER(Q$4:Q1210,Q$4:Q1210&lt;&gt;""""))),$AD$5+S1211))"),"")</f>
        <v/>
      </c>
      <c r="U1211" s="10" t="str">
        <f>IFERROR(__xludf.DUMMYFUNCTION("IF(COUNTA(Q1211:Q1350)=0,"""",IF(Q1211="""",0,IF(REGEXMATCH(Q1211,""^Sell_""),-ROUNDDOWN(ROUNDUP(INDEX(Upgrades!$C$3:$C$13,MATCH(SUBSTITUTE(Q1211,""Sell_"",""""),Upgrades!$B$3:$B$13,0))*1.15^(COUNTIF(Q$4:Q1210,SUBSTITUTE(Q1211,""Sell_"",""""))-COUNTIF(Q$4"&amp;":Q1210,""Sell_""&amp;SUBSTITUTE(Q1211,""Sell_"",""""))))/2),ROUNDUP(INDEX(Upgrades!$C$3:$C$13,MATCH(Q1211,Upgrades!$B$3:$B$13,0))*1.15^(COUNTIF(Q$4:Q1210,Q1211)-COUNTIF(Q$4:Q1210,""Sell_""&amp;Q1211))))))"),"")</f>
        <v/>
      </c>
      <c r="V1211" s="10" t="str">
        <f t="shared" si="11"/>
        <v/>
      </c>
      <c r="W1211" s="68" t="str">
        <f t="shared" si="12"/>
        <v/>
      </c>
      <c r="X1211" s="59" t="str">
        <f t="shared" si="13"/>
        <v/>
      </c>
      <c r="Y1211" s="69" t="str">
        <f t="shared" si="14"/>
        <v/>
      </c>
      <c r="Z1211" s="11"/>
    </row>
    <row r="1212">
      <c r="A1212" s="8"/>
      <c r="B1212" s="56" t="str">
        <f t="shared" si="2"/>
        <v/>
      </c>
      <c r="C1212" s="57"/>
      <c r="D1212" s="10" t="str">
        <f>IFERROR(__xludf.DUMMYFUNCTION("IF(COUNTA(C1212:C1350)=0,"""",IF(ISBLANK(C1212),FALSE,IF(NOT(COUNTIF($AA$24:$AA$34,SUBSTITUTE(C1212,""Sell_"",""""))),1,IF(REGEXMATCH(C1212,""Sell_""),IF(COUNTIF(C$4:C1212,SUBSTITUTE(C1212,""Sell_"",""""))-COUNTIF(C$4:C1211,C1212)&lt;1,1),FALSE))))"),"")</f>
        <v/>
      </c>
      <c r="E1212" s="59" t="str">
        <f t="array" ref="E1212">IF(COUNTA(C1212:C1350)=0,"",SUM((COUNTIF(C$4:C1212,Upgrades!$B$3:$B$13)-COUNTIF(C$4:C1212,"Sell_"&amp;Upgrades!$B$3:$B$13))*Upgrades!$D$3:$D$13))</f>
        <v/>
      </c>
      <c r="F1212" s="66" t="str">
        <f>IFERROR(__xludf.DUMMYFUNCTION("IF(COUNTA(C1212:C1350)=0,"""",IF(REGEXMATCH(INDEX(FILTER(C$4:C1212,C$4:C1212&lt;&gt;""""),ROWS(FILTER(C$4:C1212,C$4:C1212&lt;&gt;""""))),""^Sell_""),INDEX(FILTER(F$4:F1211,C$4:C1211&lt;&gt;""""),ROWS(FILTER(C$4:C1211,C$4:C1211&lt;&gt;""""))),$AC$5+E1212))"),"")</f>
        <v/>
      </c>
      <c r="G1212" s="10" t="str">
        <f>IFERROR(__xludf.DUMMYFUNCTION("IF(COUNTA(C1212:C1350)=0,"""",IF(C1212="""",0,IF(REGEXMATCH(C1212,""^Sell_""),-ROUNDDOWN(ROUNDUP(INDEX(Upgrades!$C$3:$C$13,MATCH(SUBSTITUTE(C1212,""Sell_"",""""),Upgrades!$B$3:$B$13,0))*1.15^(COUNTIF(C$4:C1211,SUBSTITUTE(C1212,""Sell_"",""""))-COUNTIF(C$4"&amp;":C1211,""Sell_""&amp;SUBSTITUTE(C1212,""Sell_"",""""))))/2),ROUNDUP(INDEX(Upgrades!$C$3:$C$13,MATCH(C1212,Upgrades!$B$3:$B$13,0))*1.15^(COUNTIF(C$4:C1211,C1212)-COUNTIF(C$4:C1211,""Sell_""&amp;C1212))))))"),"")</f>
        <v/>
      </c>
      <c r="H1212" s="10" t="str">
        <f t="shared" si="3"/>
        <v/>
      </c>
      <c r="I1212" s="68" t="str">
        <f t="shared" si="4"/>
        <v/>
      </c>
      <c r="J1212" s="59" t="str">
        <f t="shared" si="5"/>
        <v/>
      </c>
      <c r="K1212" s="69" t="str">
        <f t="shared" si="6"/>
        <v/>
      </c>
      <c r="L1212" s="60" t="str">
        <f t="shared" si="7"/>
        <v/>
      </c>
      <c r="M1212" s="61" t="str">
        <f>IFERROR(__xludf.DUMMYFUNCTION("IFS(AND(COUNTA(C1212:C1350)=0,COUNTA(Q1212:Q1350)=0),"""",OR(AND(K1212&gt;=1000000000,OR(Y1212&gt;=1000000000,COUNTA(Q1212:Q1350)=0)),OR(Y1212&gt;=1000000000,AND(COUNTA(C1212:C1350)=0,P$3=TRUE))),
ROUNDDOWN((AB$1-AC$1)*MAX(INDEX(T$4:T1350,MATCH(LARGE(FILTER(Y$4:Y1"&amp;"350,Y$4:Y1350&lt;1000000000),1),Y$4:Y1350)),INDEX(F$4:F1350,MATCH(LARGE(FILTER(K$4:K1350,K$4:K1350&lt;1000000000),1),K$4:K1350)))),AND(K1212&lt;1000000000,COUNTA(C1212:C1350)&gt;0,P$3=FALSE),
ROUNDDOWN(INDEX(Y$4:Y1350,MATCH(LARGE(FILTER(W$4:W1350,W$4:W1350&lt;=I1212),1)"&amp;",W$4:W1350))+(I1212-LARGE(FILTER(W$4:W1350,W$4:W1350&lt;=I1212),1))*INDEX(T$4:T1350,MATCH(LARGE(FILTER(W$4:W1350,W$4:W1350&lt;=I1212),1),W$4:W1350))-K1212),1,
ROUNDDOWN(Y1212-INDEX(K$4:K1350,MATCH(LARGE(FILTER(I$4:I1350,I$4:I1350&lt;=W1212),1),I$4:I1350))-(W1212-L"&amp;"ARGE(FILTER(I$4:I1350,I$4:I1350&lt;=W1212),1))*INDEX(F$4:F1350,MATCH(LARGE(FILTER(I$4:I1350,I$4:I1350&lt;=W1212),1),I$4:I1350))))"),"")</f>
        <v/>
      </c>
      <c r="N1212" s="60" t="str">
        <f t="shared" si="8"/>
        <v/>
      </c>
      <c r="O1212" s="61" t="str">
        <f t="shared" si="9"/>
        <v/>
      </c>
      <c r="P1212" s="56" t="str">
        <f t="shared" si="10"/>
        <v/>
      </c>
      <c r="Q1212" s="62"/>
      <c r="R1212" s="10" t="str">
        <f>IFERROR(__xludf.DUMMYFUNCTION("IF(COUNTA(Q1212:Q1350)=0,"""",IF(ISBLANK(Q1212),FALSE,IF(NOT(COUNTIF($AA$24:$AA$34,SUBSTITUTE(Q1212,""Sell_"",""""))),1,IF(REGEXMATCH(Q1212,""Sell_""),IF(COUNTIF(Q$4:Q1212,SUBSTITUTE(Q1212,""Sell_"",""""))-COUNTIF(Q$4:Q1211,Q1212)&lt;1,1),FALSE))))"),"")</f>
        <v/>
      </c>
      <c r="S1212" s="59" t="str">
        <f t="array" ref="S1212">IF(COUNTA(Q1212:Q1350)=0,"",SUM((COUNTIF(Q$4:Q1212,Upgrades!$B$3:$B$13)-COUNTIF(Q$4:Q1212,"Sell_"&amp;Upgrades!$B$3:$B$13))*Upgrades!$D$3:$D$13))</f>
        <v/>
      </c>
      <c r="T1212" s="66" t="str">
        <f>IFERROR(__xludf.DUMMYFUNCTION("IF(COUNTA(Q1212:Q1350)=0,"""",IF(REGEXMATCH(INDEX(FILTER(Q$4:Q1212,Q$4:Q1212&lt;&gt;""""),ROWS(FILTER(Q$4:Q1212,Q$4:Q1212&lt;&gt;""""))),""^Sell_""),INDEX(FILTER(T$4:T1211,Q$4:Q1211&lt;&gt;""""),ROWS(FILTER(Q$4:Q1211,Q$4:Q1211&lt;&gt;""""))),$AD$5+S1212))"),"")</f>
        <v/>
      </c>
      <c r="U1212" s="10" t="str">
        <f>IFERROR(__xludf.DUMMYFUNCTION("IF(COUNTA(Q1212:Q1350)=0,"""",IF(Q1212="""",0,IF(REGEXMATCH(Q1212,""^Sell_""),-ROUNDDOWN(ROUNDUP(INDEX(Upgrades!$C$3:$C$13,MATCH(SUBSTITUTE(Q1212,""Sell_"",""""),Upgrades!$B$3:$B$13,0))*1.15^(COUNTIF(Q$4:Q1211,SUBSTITUTE(Q1212,""Sell_"",""""))-COUNTIF(Q$4"&amp;":Q1211,""Sell_""&amp;SUBSTITUTE(Q1212,""Sell_"",""""))))/2),ROUNDUP(INDEX(Upgrades!$C$3:$C$13,MATCH(Q1212,Upgrades!$B$3:$B$13,0))*1.15^(COUNTIF(Q$4:Q1211,Q1212)-COUNTIF(Q$4:Q1211,""Sell_""&amp;Q1212))))))"),"")</f>
        <v/>
      </c>
      <c r="V1212" s="10" t="str">
        <f t="shared" si="11"/>
        <v/>
      </c>
      <c r="W1212" s="68" t="str">
        <f t="shared" si="12"/>
        <v/>
      </c>
      <c r="X1212" s="59" t="str">
        <f t="shared" si="13"/>
        <v/>
      </c>
      <c r="Y1212" s="69" t="str">
        <f t="shared" si="14"/>
        <v/>
      </c>
      <c r="Z1212" s="11"/>
    </row>
    <row r="1213">
      <c r="A1213" s="8"/>
      <c r="B1213" s="56" t="str">
        <f t="shared" si="2"/>
        <v/>
      </c>
      <c r="C1213" s="57"/>
      <c r="D1213" s="10" t="str">
        <f>IFERROR(__xludf.DUMMYFUNCTION("IF(COUNTA(C1213:C1350)=0,"""",IF(ISBLANK(C1213),FALSE,IF(NOT(COUNTIF($AA$24:$AA$34,SUBSTITUTE(C1213,""Sell_"",""""))),1,IF(REGEXMATCH(C1213,""Sell_""),IF(COUNTIF(C$4:C1213,SUBSTITUTE(C1213,""Sell_"",""""))-COUNTIF(C$4:C1212,C1213)&lt;1,1),FALSE))))"),"")</f>
        <v/>
      </c>
      <c r="E1213" s="59" t="str">
        <f t="array" ref="E1213">IF(COUNTA(C1213:C1350)=0,"",SUM((COUNTIF(C$4:C1213,Upgrades!$B$3:$B$13)-COUNTIF(C$4:C1213,"Sell_"&amp;Upgrades!$B$3:$B$13))*Upgrades!$D$3:$D$13))</f>
        <v/>
      </c>
      <c r="F1213" s="66" t="str">
        <f>IFERROR(__xludf.DUMMYFUNCTION("IF(COUNTA(C1213:C1350)=0,"""",IF(REGEXMATCH(INDEX(FILTER(C$4:C1213,C$4:C1213&lt;&gt;""""),ROWS(FILTER(C$4:C1213,C$4:C1213&lt;&gt;""""))),""^Sell_""),INDEX(FILTER(F$4:F1212,C$4:C1212&lt;&gt;""""),ROWS(FILTER(C$4:C1212,C$4:C1212&lt;&gt;""""))),$AC$5+E1213))"),"")</f>
        <v/>
      </c>
      <c r="G1213" s="10" t="str">
        <f>IFERROR(__xludf.DUMMYFUNCTION("IF(COUNTA(C1213:C1350)=0,"""",IF(C1213="""",0,IF(REGEXMATCH(C1213,""^Sell_""),-ROUNDDOWN(ROUNDUP(INDEX(Upgrades!$C$3:$C$13,MATCH(SUBSTITUTE(C1213,""Sell_"",""""),Upgrades!$B$3:$B$13,0))*1.15^(COUNTIF(C$4:C1212,SUBSTITUTE(C1213,""Sell_"",""""))-COUNTIF(C$4"&amp;":C1212,""Sell_""&amp;SUBSTITUTE(C1213,""Sell_"",""""))))/2),ROUNDUP(INDEX(Upgrades!$C$3:$C$13,MATCH(C1213,Upgrades!$B$3:$B$13,0))*1.15^(COUNTIF(C$4:C1212,C1213)-COUNTIF(C$4:C1212,""Sell_""&amp;C1213))))))"),"")</f>
        <v/>
      </c>
      <c r="H1213" s="10" t="str">
        <f t="shared" si="3"/>
        <v/>
      </c>
      <c r="I1213" s="68" t="str">
        <f t="shared" si="4"/>
        <v/>
      </c>
      <c r="J1213" s="59" t="str">
        <f t="shared" si="5"/>
        <v/>
      </c>
      <c r="K1213" s="69" t="str">
        <f t="shared" si="6"/>
        <v/>
      </c>
      <c r="L1213" s="60" t="str">
        <f t="shared" si="7"/>
        <v/>
      </c>
      <c r="M1213" s="61" t="str">
        <f>IFERROR(__xludf.DUMMYFUNCTION("IFS(AND(COUNTA(C1213:C1350)=0,COUNTA(Q1213:Q1350)=0),"""",OR(AND(K1213&gt;=1000000000,OR(Y1213&gt;=1000000000,COUNTA(Q1213:Q1350)=0)),OR(Y1213&gt;=1000000000,AND(COUNTA(C1213:C1350)=0,P$3=TRUE))),
ROUNDDOWN((AB$1-AC$1)*MAX(INDEX(T$4:T1350,MATCH(LARGE(FILTER(Y$4:Y1"&amp;"350,Y$4:Y1350&lt;1000000000),1),Y$4:Y1350)),INDEX(F$4:F1350,MATCH(LARGE(FILTER(K$4:K1350,K$4:K1350&lt;1000000000),1),K$4:K1350)))),AND(K1213&lt;1000000000,COUNTA(C1213:C1350)&gt;0,P$3=FALSE),
ROUNDDOWN(INDEX(Y$4:Y1350,MATCH(LARGE(FILTER(W$4:W1350,W$4:W1350&lt;=I1213),1)"&amp;",W$4:W1350))+(I1213-LARGE(FILTER(W$4:W1350,W$4:W1350&lt;=I1213),1))*INDEX(T$4:T1350,MATCH(LARGE(FILTER(W$4:W1350,W$4:W1350&lt;=I1213),1),W$4:W1350))-K1213),1,
ROUNDDOWN(Y1213-INDEX(K$4:K1350,MATCH(LARGE(FILTER(I$4:I1350,I$4:I1350&lt;=W1213),1),I$4:I1350))-(W1213-L"&amp;"ARGE(FILTER(I$4:I1350,I$4:I1350&lt;=W1213),1))*INDEX(F$4:F1350,MATCH(LARGE(FILTER(I$4:I1350,I$4:I1350&lt;=W1213),1),I$4:I1350))))"),"")</f>
        <v/>
      </c>
      <c r="N1213" s="60" t="str">
        <f t="shared" si="8"/>
        <v/>
      </c>
      <c r="O1213" s="61" t="str">
        <f t="shared" si="9"/>
        <v/>
      </c>
      <c r="P1213" s="56" t="str">
        <f t="shared" si="10"/>
        <v/>
      </c>
      <c r="Q1213" s="62"/>
      <c r="R1213" s="10" t="str">
        <f>IFERROR(__xludf.DUMMYFUNCTION("IF(COUNTA(Q1213:Q1350)=0,"""",IF(ISBLANK(Q1213),FALSE,IF(NOT(COUNTIF($AA$24:$AA$34,SUBSTITUTE(Q1213,""Sell_"",""""))),1,IF(REGEXMATCH(Q1213,""Sell_""),IF(COUNTIF(Q$4:Q1213,SUBSTITUTE(Q1213,""Sell_"",""""))-COUNTIF(Q$4:Q1212,Q1213)&lt;1,1),FALSE))))"),"")</f>
        <v/>
      </c>
      <c r="S1213" s="59" t="str">
        <f t="array" ref="S1213">IF(COUNTA(Q1213:Q1350)=0,"",SUM((COUNTIF(Q$4:Q1213,Upgrades!$B$3:$B$13)-COUNTIF(Q$4:Q1213,"Sell_"&amp;Upgrades!$B$3:$B$13))*Upgrades!$D$3:$D$13))</f>
        <v/>
      </c>
      <c r="T1213" s="66" t="str">
        <f>IFERROR(__xludf.DUMMYFUNCTION("IF(COUNTA(Q1213:Q1350)=0,"""",IF(REGEXMATCH(INDEX(FILTER(Q$4:Q1213,Q$4:Q1213&lt;&gt;""""),ROWS(FILTER(Q$4:Q1213,Q$4:Q1213&lt;&gt;""""))),""^Sell_""),INDEX(FILTER(T$4:T1212,Q$4:Q1212&lt;&gt;""""),ROWS(FILTER(Q$4:Q1212,Q$4:Q1212&lt;&gt;""""))),$AD$5+S1213))"),"")</f>
        <v/>
      </c>
      <c r="U1213" s="10" t="str">
        <f>IFERROR(__xludf.DUMMYFUNCTION("IF(COUNTA(Q1213:Q1350)=0,"""",IF(Q1213="""",0,IF(REGEXMATCH(Q1213,""^Sell_""),-ROUNDDOWN(ROUNDUP(INDEX(Upgrades!$C$3:$C$13,MATCH(SUBSTITUTE(Q1213,""Sell_"",""""),Upgrades!$B$3:$B$13,0))*1.15^(COUNTIF(Q$4:Q1212,SUBSTITUTE(Q1213,""Sell_"",""""))-COUNTIF(Q$4"&amp;":Q1212,""Sell_""&amp;SUBSTITUTE(Q1213,""Sell_"",""""))))/2),ROUNDUP(INDEX(Upgrades!$C$3:$C$13,MATCH(Q1213,Upgrades!$B$3:$B$13,0))*1.15^(COUNTIF(Q$4:Q1212,Q1213)-COUNTIF(Q$4:Q1212,""Sell_""&amp;Q1213))))))"),"")</f>
        <v/>
      </c>
      <c r="V1213" s="10" t="str">
        <f t="shared" si="11"/>
        <v/>
      </c>
      <c r="W1213" s="68" t="str">
        <f t="shared" si="12"/>
        <v/>
      </c>
      <c r="X1213" s="59" t="str">
        <f t="shared" si="13"/>
        <v/>
      </c>
      <c r="Y1213" s="69" t="str">
        <f t="shared" si="14"/>
        <v/>
      </c>
      <c r="Z1213" s="11"/>
    </row>
    <row r="1214">
      <c r="A1214" s="8"/>
      <c r="B1214" s="56" t="str">
        <f t="shared" si="2"/>
        <v/>
      </c>
      <c r="C1214" s="57"/>
      <c r="D1214" s="10" t="str">
        <f>IFERROR(__xludf.DUMMYFUNCTION("IF(COUNTA(C1214:C1350)=0,"""",IF(ISBLANK(C1214),FALSE,IF(NOT(COUNTIF($AA$24:$AA$34,SUBSTITUTE(C1214,""Sell_"",""""))),1,IF(REGEXMATCH(C1214,""Sell_""),IF(COUNTIF(C$4:C1214,SUBSTITUTE(C1214,""Sell_"",""""))-COUNTIF(C$4:C1213,C1214)&lt;1,1),FALSE))))"),"")</f>
        <v/>
      </c>
      <c r="E1214" s="59" t="str">
        <f t="array" ref="E1214">IF(COUNTA(C1214:C1350)=0,"",SUM((COUNTIF(C$4:C1214,Upgrades!$B$3:$B$13)-COUNTIF(C$4:C1214,"Sell_"&amp;Upgrades!$B$3:$B$13))*Upgrades!$D$3:$D$13))</f>
        <v/>
      </c>
      <c r="F1214" s="66" t="str">
        <f>IFERROR(__xludf.DUMMYFUNCTION("IF(COUNTA(C1214:C1350)=0,"""",IF(REGEXMATCH(INDEX(FILTER(C$4:C1214,C$4:C1214&lt;&gt;""""),ROWS(FILTER(C$4:C1214,C$4:C1214&lt;&gt;""""))),""^Sell_""),INDEX(FILTER(F$4:F1213,C$4:C1213&lt;&gt;""""),ROWS(FILTER(C$4:C1213,C$4:C1213&lt;&gt;""""))),$AC$5+E1214))"),"")</f>
        <v/>
      </c>
      <c r="G1214" s="10" t="str">
        <f>IFERROR(__xludf.DUMMYFUNCTION("IF(COUNTA(C1214:C1350)=0,"""",IF(C1214="""",0,IF(REGEXMATCH(C1214,""^Sell_""),-ROUNDDOWN(ROUNDUP(INDEX(Upgrades!$C$3:$C$13,MATCH(SUBSTITUTE(C1214,""Sell_"",""""),Upgrades!$B$3:$B$13,0))*1.15^(COUNTIF(C$4:C1213,SUBSTITUTE(C1214,""Sell_"",""""))-COUNTIF(C$4"&amp;":C1213,""Sell_""&amp;SUBSTITUTE(C1214,""Sell_"",""""))))/2),ROUNDUP(INDEX(Upgrades!$C$3:$C$13,MATCH(C1214,Upgrades!$B$3:$B$13,0))*1.15^(COUNTIF(C$4:C1213,C1214)-COUNTIF(C$4:C1213,""Sell_""&amp;C1214))))))"),"")</f>
        <v/>
      </c>
      <c r="H1214" s="10" t="str">
        <f t="shared" si="3"/>
        <v/>
      </c>
      <c r="I1214" s="68" t="str">
        <f t="shared" si="4"/>
        <v/>
      </c>
      <c r="J1214" s="59" t="str">
        <f t="shared" si="5"/>
        <v/>
      </c>
      <c r="K1214" s="69" t="str">
        <f t="shared" si="6"/>
        <v/>
      </c>
      <c r="L1214" s="60" t="str">
        <f t="shared" si="7"/>
        <v/>
      </c>
      <c r="M1214" s="61" t="str">
        <f>IFERROR(__xludf.DUMMYFUNCTION("IFS(AND(COUNTA(C1214:C1350)=0,COUNTA(Q1214:Q1350)=0),"""",OR(AND(K1214&gt;=1000000000,OR(Y1214&gt;=1000000000,COUNTA(Q1214:Q1350)=0)),OR(Y1214&gt;=1000000000,AND(COUNTA(C1214:C1350)=0,P$3=TRUE))),
ROUNDDOWN((AB$1-AC$1)*MAX(INDEX(T$4:T1350,MATCH(LARGE(FILTER(Y$4:Y1"&amp;"350,Y$4:Y1350&lt;1000000000),1),Y$4:Y1350)),INDEX(F$4:F1350,MATCH(LARGE(FILTER(K$4:K1350,K$4:K1350&lt;1000000000),1),K$4:K1350)))),AND(K1214&lt;1000000000,COUNTA(C1214:C1350)&gt;0,P$3=FALSE),
ROUNDDOWN(INDEX(Y$4:Y1350,MATCH(LARGE(FILTER(W$4:W1350,W$4:W1350&lt;=I1214),1)"&amp;",W$4:W1350))+(I1214-LARGE(FILTER(W$4:W1350,W$4:W1350&lt;=I1214),1))*INDEX(T$4:T1350,MATCH(LARGE(FILTER(W$4:W1350,W$4:W1350&lt;=I1214),1),W$4:W1350))-K1214),1,
ROUNDDOWN(Y1214-INDEX(K$4:K1350,MATCH(LARGE(FILTER(I$4:I1350,I$4:I1350&lt;=W1214),1),I$4:I1350))-(W1214-L"&amp;"ARGE(FILTER(I$4:I1350,I$4:I1350&lt;=W1214),1))*INDEX(F$4:F1350,MATCH(LARGE(FILTER(I$4:I1350,I$4:I1350&lt;=W1214),1),I$4:I1350))))"),"")</f>
        <v/>
      </c>
      <c r="N1214" s="60" t="str">
        <f t="shared" si="8"/>
        <v/>
      </c>
      <c r="O1214" s="61" t="str">
        <f t="shared" si="9"/>
        <v/>
      </c>
      <c r="P1214" s="56" t="str">
        <f t="shared" si="10"/>
        <v/>
      </c>
      <c r="Q1214" s="62"/>
      <c r="R1214" s="10" t="str">
        <f>IFERROR(__xludf.DUMMYFUNCTION("IF(COUNTA(Q1214:Q1350)=0,"""",IF(ISBLANK(Q1214),FALSE,IF(NOT(COUNTIF($AA$24:$AA$34,SUBSTITUTE(Q1214,""Sell_"",""""))),1,IF(REGEXMATCH(Q1214,""Sell_""),IF(COUNTIF(Q$4:Q1214,SUBSTITUTE(Q1214,""Sell_"",""""))-COUNTIF(Q$4:Q1213,Q1214)&lt;1,1),FALSE))))"),"")</f>
        <v/>
      </c>
      <c r="S1214" s="59" t="str">
        <f t="array" ref="S1214">IF(COUNTA(Q1214:Q1350)=0,"",SUM((COUNTIF(Q$4:Q1214,Upgrades!$B$3:$B$13)-COUNTIF(Q$4:Q1214,"Sell_"&amp;Upgrades!$B$3:$B$13))*Upgrades!$D$3:$D$13))</f>
        <v/>
      </c>
      <c r="T1214" s="66" t="str">
        <f>IFERROR(__xludf.DUMMYFUNCTION("IF(COUNTA(Q1214:Q1350)=0,"""",IF(REGEXMATCH(INDEX(FILTER(Q$4:Q1214,Q$4:Q1214&lt;&gt;""""),ROWS(FILTER(Q$4:Q1214,Q$4:Q1214&lt;&gt;""""))),""^Sell_""),INDEX(FILTER(T$4:T1213,Q$4:Q1213&lt;&gt;""""),ROWS(FILTER(Q$4:Q1213,Q$4:Q1213&lt;&gt;""""))),$AD$5+S1214))"),"")</f>
        <v/>
      </c>
      <c r="U1214" s="10" t="str">
        <f>IFERROR(__xludf.DUMMYFUNCTION("IF(COUNTA(Q1214:Q1350)=0,"""",IF(Q1214="""",0,IF(REGEXMATCH(Q1214,""^Sell_""),-ROUNDDOWN(ROUNDUP(INDEX(Upgrades!$C$3:$C$13,MATCH(SUBSTITUTE(Q1214,""Sell_"",""""),Upgrades!$B$3:$B$13,0))*1.15^(COUNTIF(Q$4:Q1213,SUBSTITUTE(Q1214,""Sell_"",""""))-COUNTIF(Q$4"&amp;":Q1213,""Sell_""&amp;SUBSTITUTE(Q1214,""Sell_"",""""))))/2),ROUNDUP(INDEX(Upgrades!$C$3:$C$13,MATCH(Q1214,Upgrades!$B$3:$B$13,0))*1.15^(COUNTIF(Q$4:Q1213,Q1214)-COUNTIF(Q$4:Q1213,""Sell_""&amp;Q1214))))))"),"")</f>
        <v/>
      </c>
      <c r="V1214" s="10" t="str">
        <f t="shared" si="11"/>
        <v/>
      </c>
      <c r="W1214" s="68" t="str">
        <f t="shared" si="12"/>
        <v/>
      </c>
      <c r="X1214" s="59" t="str">
        <f t="shared" si="13"/>
        <v/>
      </c>
      <c r="Y1214" s="69" t="str">
        <f t="shared" si="14"/>
        <v/>
      </c>
      <c r="Z1214" s="11"/>
    </row>
    <row r="1215">
      <c r="A1215" s="8"/>
      <c r="B1215" s="56" t="str">
        <f t="shared" si="2"/>
        <v/>
      </c>
      <c r="C1215" s="57"/>
      <c r="D1215" s="10" t="str">
        <f>IFERROR(__xludf.DUMMYFUNCTION("IF(COUNTA(C1215:C1350)=0,"""",IF(ISBLANK(C1215),FALSE,IF(NOT(COUNTIF($AA$24:$AA$34,SUBSTITUTE(C1215,""Sell_"",""""))),1,IF(REGEXMATCH(C1215,""Sell_""),IF(COUNTIF(C$4:C1215,SUBSTITUTE(C1215,""Sell_"",""""))-COUNTIF(C$4:C1214,C1215)&lt;1,1),FALSE))))"),"")</f>
        <v/>
      </c>
      <c r="E1215" s="59" t="str">
        <f t="array" ref="E1215">IF(COUNTA(C1215:C1350)=0,"",SUM((COUNTIF(C$4:C1215,Upgrades!$B$3:$B$13)-COUNTIF(C$4:C1215,"Sell_"&amp;Upgrades!$B$3:$B$13))*Upgrades!$D$3:$D$13))</f>
        <v/>
      </c>
      <c r="F1215" s="66" t="str">
        <f>IFERROR(__xludf.DUMMYFUNCTION("IF(COUNTA(C1215:C1350)=0,"""",IF(REGEXMATCH(INDEX(FILTER(C$4:C1215,C$4:C1215&lt;&gt;""""),ROWS(FILTER(C$4:C1215,C$4:C1215&lt;&gt;""""))),""^Sell_""),INDEX(FILTER(F$4:F1214,C$4:C1214&lt;&gt;""""),ROWS(FILTER(C$4:C1214,C$4:C1214&lt;&gt;""""))),$AC$5+E1215))"),"")</f>
        <v/>
      </c>
      <c r="G1215" s="10" t="str">
        <f>IFERROR(__xludf.DUMMYFUNCTION("IF(COUNTA(C1215:C1350)=0,"""",IF(C1215="""",0,IF(REGEXMATCH(C1215,""^Sell_""),-ROUNDDOWN(ROUNDUP(INDEX(Upgrades!$C$3:$C$13,MATCH(SUBSTITUTE(C1215,""Sell_"",""""),Upgrades!$B$3:$B$13,0))*1.15^(COUNTIF(C$4:C1214,SUBSTITUTE(C1215,""Sell_"",""""))-COUNTIF(C$4"&amp;":C1214,""Sell_""&amp;SUBSTITUTE(C1215,""Sell_"",""""))))/2),ROUNDUP(INDEX(Upgrades!$C$3:$C$13,MATCH(C1215,Upgrades!$B$3:$B$13,0))*1.15^(COUNTIF(C$4:C1214,C1215)-COUNTIF(C$4:C1214,""Sell_""&amp;C1215))))))"),"")</f>
        <v/>
      </c>
      <c r="H1215" s="10" t="str">
        <f t="shared" si="3"/>
        <v/>
      </c>
      <c r="I1215" s="68" t="str">
        <f t="shared" si="4"/>
        <v/>
      </c>
      <c r="J1215" s="59" t="str">
        <f t="shared" si="5"/>
        <v/>
      </c>
      <c r="K1215" s="69" t="str">
        <f t="shared" si="6"/>
        <v/>
      </c>
      <c r="L1215" s="60" t="str">
        <f t="shared" si="7"/>
        <v/>
      </c>
      <c r="M1215" s="61" t="str">
        <f>IFERROR(__xludf.DUMMYFUNCTION("IFS(AND(COUNTA(C1215:C1350)=0,COUNTA(Q1215:Q1350)=0),"""",OR(AND(K1215&gt;=1000000000,OR(Y1215&gt;=1000000000,COUNTA(Q1215:Q1350)=0)),OR(Y1215&gt;=1000000000,AND(COUNTA(C1215:C1350)=0,P$3=TRUE))),
ROUNDDOWN((AB$1-AC$1)*MAX(INDEX(T$4:T1350,MATCH(LARGE(FILTER(Y$4:Y1"&amp;"350,Y$4:Y1350&lt;1000000000),1),Y$4:Y1350)),INDEX(F$4:F1350,MATCH(LARGE(FILTER(K$4:K1350,K$4:K1350&lt;1000000000),1),K$4:K1350)))),AND(K1215&lt;1000000000,COUNTA(C1215:C1350)&gt;0,P$3=FALSE),
ROUNDDOWN(INDEX(Y$4:Y1350,MATCH(LARGE(FILTER(W$4:W1350,W$4:W1350&lt;=I1215),1)"&amp;",W$4:W1350))+(I1215-LARGE(FILTER(W$4:W1350,W$4:W1350&lt;=I1215),1))*INDEX(T$4:T1350,MATCH(LARGE(FILTER(W$4:W1350,W$4:W1350&lt;=I1215),1),W$4:W1350))-K1215),1,
ROUNDDOWN(Y1215-INDEX(K$4:K1350,MATCH(LARGE(FILTER(I$4:I1350,I$4:I1350&lt;=W1215),1),I$4:I1350))-(W1215-L"&amp;"ARGE(FILTER(I$4:I1350,I$4:I1350&lt;=W1215),1))*INDEX(F$4:F1350,MATCH(LARGE(FILTER(I$4:I1350,I$4:I1350&lt;=W1215),1),I$4:I1350))))"),"")</f>
        <v/>
      </c>
      <c r="N1215" s="60" t="str">
        <f t="shared" si="8"/>
        <v/>
      </c>
      <c r="O1215" s="61" t="str">
        <f t="shared" si="9"/>
        <v/>
      </c>
      <c r="P1215" s="56" t="str">
        <f t="shared" si="10"/>
        <v/>
      </c>
      <c r="Q1215" s="62"/>
      <c r="R1215" s="10" t="str">
        <f>IFERROR(__xludf.DUMMYFUNCTION("IF(COUNTA(Q1215:Q1350)=0,"""",IF(ISBLANK(Q1215),FALSE,IF(NOT(COUNTIF($AA$24:$AA$34,SUBSTITUTE(Q1215,""Sell_"",""""))),1,IF(REGEXMATCH(Q1215,""Sell_""),IF(COUNTIF(Q$4:Q1215,SUBSTITUTE(Q1215,""Sell_"",""""))-COUNTIF(Q$4:Q1214,Q1215)&lt;1,1),FALSE))))"),"")</f>
        <v/>
      </c>
      <c r="S1215" s="59" t="str">
        <f t="array" ref="S1215">IF(COUNTA(Q1215:Q1350)=0,"",SUM((COUNTIF(Q$4:Q1215,Upgrades!$B$3:$B$13)-COUNTIF(Q$4:Q1215,"Sell_"&amp;Upgrades!$B$3:$B$13))*Upgrades!$D$3:$D$13))</f>
        <v/>
      </c>
      <c r="T1215" s="66" t="str">
        <f>IFERROR(__xludf.DUMMYFUNCTION("IF(COUNTA(Q1215:Q1350)=0,"""",IF(REGEXMATCH(INDEX(FILTER(Q$4:Q1215,Q$4:Q1215&lt;&gt;""""),ROWS(FILTER(Q$4:Q1215,Q$4:Q1215&lt;&gt;""""))),""^Sell_""),INDEX(FILTER(T$4:T1214,Q$4:Q1214&lt;&gt;""""),ROWS(FILTER(Q$4:Q1214,Q$4:Q1214&lt;&gt;""""))),$AD$5+S1215))"),"")</f>
        <v/>
      </c>
      <c r="U1215" s="10" t="str">
        <f>IFERROR(__xludf.DUMMYFUNCTION("IF(COUNTA(Q1215:Q1350)=0,"""",IF(Q1215="""",0,IF(REGEXMATCH(Q1215,""^Sell_""),-ROUNDDOWN(ROUNDUP(INDEX(Upgrades!$C$3:$C$13,MATCH(SUBSTITUTE(Q1215,""Sell_"",""""),Upgrades!$B$3:$B$13,0))*1.15^(COUNTIF(Q$4:Q1214,SUBSTITUTE(Q1215,""Sell_"",""""))-COUNTIF(Q$4"&amp;":Q1214,""Sell_""&amp;SUBSTITUTE(Q1215,""Sell_"",""""))))/2),ROUNDUP(INDEX(Upgrades!$C$3:$C$13,MATCH(Q1215,Upgrades!$B$3:$B$13,0))*1.15^(COUNTIF(Q$4:Q1214,Q1215)-COUNTIF(Q$4:Q1214,""Sell_""&amp;Q1215))))))"),"")</f>
        <v/>
      </c>
      <c r="V1215" s="10" t="str">
        <f t="shared" si="11"/>
        <v/>
      </c>
      <c r="W1215" s="68" t="str">
        <f t="shared" si="12"/>
        <v/>
      </c>
      <c r="X1215" s="59" t="str">
        <f t="shared" si="13"/>
        <v/>
      </c>
      <c r="Y1215" s="69" t="str">
        <f t="shared" si="14"/>
        <v/>
      </c>
      <c r="Z1215" s="11"/>
    </row>
    <row r="1216">
      <c r="A1216" s="8"/>
      <c r="B1216" s="56" t="str">
        <f t="shared" si="2"/>
        <v/>
      </c>
      <c r="C1216" s="57"/>
      <c r="D1216" s="10" t="str">
        <f>IFERROR(__xludf.DUMMYFUNCTION("IF(COUNTA(C1216:C1350)=0,"""",IF(ISBLANK(C1216),FALSE,IF(NOT(COUNTIF($AA$24:$AA$34,SUBSTITUTE(C1216,""Sell_"",""""))),1,IF(REGEXMATCH(C1216,""Sell_""),IF(COUNTIF(C$4:C1216,SUBSTITUTE(C1216,""Sell_"",""""))-COUNTIF(C$4:C1215,C1216)&lt;1,1),FALSE))))"),"")</f>
        <v/>
      </c>
      <c r="E1216" s="59" t="str">
        <f t="array" ref="E1216">IF(COUNTA(C1216:C1350)=0,"",SUM((COUNTIF(C$4:C1216,Upgrades!$B$3:$B$13)-COUNTIF(C$4:C1216,"Sell_"&amp;Upgrades!$B$3:$B$13))*Upgrades!$D$3:$D$13))</f>
        <v/>
      </c>
      <c r="F1216" s="66" t="str">
        <f>IFERROR(__xludf.DUMMYFUNCTION("IF(COUNTA(C1216:C1350)=0,"""",IF(REGEXMATCH(INDEX(FILTER(C$4:C1216,C$4:C1216&lt;&gt;""""),ROWS(FILTER(C$4:C1216,C$4:C1216&lt;&gt;""""))),""^Sell_""),INDEX(FILTER(F$4:F1215,C$4:C1215&lt;&gt;""""),ROWS(FILTER(C$4:C1215,C$4:C1215&lt;&gt;""""))),$AC$5+E1216))"),"")</f>
        <v/>
      </c>
      <c r="G1216" s="10" t="str">
        <f>IFERROR(__xludf.DUMMYFUNCTION("IF(COUNTA(C1216:C1350)=0,"""",IF(C1216="""",0,IF(REGEXMATCH(C1216,""^Sell_""),-ROUNDDOWN(ROUNDUP(INDEX(Upgrades!$C$3:$C$13,MATCH(SUBSTITUTE(C1216,""Sell_"",""""),Upgrades!$B$3:$B$13,0))*1.15^(COUNTIF(C$4:C1215,SUBSTITUTE(C1216,""Sell_"",""""))-COUNTIF(C$4"&amp;":C1215,""Sell_""&amp;SUBSTITUTE(C1216,""Sell_"",""""))))/2),ROUNDUP(INDEX(Upgrades!$C$3:$C$13,MATCH(C1216,Upgrades!$B$3:$B$13,0))*1.15^(COUNTIF(C$4:C1215,C1216)-COUNTIF(C$4:C1215,""Sell_""&amp;C1216))))))"),"")</f>
        <v/>
      </c>
      <c r="H1216" s="10" t="str">
        <f t="shared" si="3"/>
        <v/>
      </c>
      <c r="I1216" s="68" t="str">
        <f t="shared" si="4"/>
        <v/>
      </c>
      <c r="J1216" s="59" t="str">
        <f t="shared" si="5"/>
        <v/>
      </c>
      <c r="K1216" s="69" t="str">
        <f t="shared" si="6"/>
        <v/>
      </c>
      <c r="L1216" s="60" t="str">
        <f t="shared" si="7"/>
        <v/>
      </c>
      <c r="M1216" s="61" t="str">
        <f>IFERROR(__xludf.DUMMYFUNCTION("IFS(AND(COUNTA(C1216:C1350)=0,COUNTA(Q1216:Q1350)=0),"""",OR(AND(K1216&gt;=1000000000,OR(Y1216&gt;=1000000000,COUNTA(Q1216:Q1350)=0)),OR(Y1216&gt;=1000000000,AND(COUNTA(C1216:C1350)=0,P$3=TRUE))),
ROUNDDOWN((AB$1-AC$1)*MAX(INDEX(T$4:T1350,MATCH(LARGE(FILTER(Y$4:Y1"&amp;"350,Y$4:Y1350&lt;1000000000),1),Y$4:Y1350)),INDEX(F$4:F1350,MATCH(LARGE(FILTER(K$4:K1350,K$4:K1350&lt;1000000000),1),K$4:K1350)))),AND(K1216&lt;1000000000,COUNTA(C1216:C1350)&gt;0,P$3=FALSE),
ROUNDDOWN(INDEX(Y$4:Y1350,MATCH(LARGE(FILTER(W$4:W1350,W$4:W1350&lt;=I1216),1)"&amp;",W$4:W1350))+(I1216-LARGE(FILTER(W$4:W1350,W$4:W1350&lt;=I1216),1))*INDEX(T$4:T1350,MATCH(LARGE(FILTER(W$4:W1350,W$4:W1350&lt;=I1216),1),W$4:W1350))-K1216),1,
ROUNDDOWN(Y1216-INDEX(K$4:K1350,MATCH(LARGE(FILTER(I$4:I1350,I$4:I1350&lt;=W1216),1),I$4:I1350))-(W1216-L"&amp;"ARGE(FILTER(I$4:I1350,I$4:I1350&lt;=W1216),1))*INDEX(F$4:F1350,MATCH(LARGE(FILTER(I$4:I1350,I$4:I1350&lt;=W1216),1),I$4:I1350))))"),"")</f>
        <v/>
      </c>
      <c r="N1216" s="60" t="str">
        <f t="shared" si="8"/>
        <v/>
      </c>
      <c r="O1216" s="61" t="str">
        <f t="shared" si="9"/>
        <v/>
      </c>
      <c r="P1216" s="56" t="str">
        <f t="shared" si="10"/>
        <v/>
      </c>
      <c r="Q1216" s="62"/>
      <c r="R1216" s="10" t="str">
        <f>IFERROR(__xludf.DUMMYFUNCTION("IF(COUNTA(Q1216:Q1350)=0,"""",IF(ISBLANK(Q1216),FALSE,IF(NOT(COUNTIF($AA$24:$AA$34,SUBSTITUTE(Q1216,""Sell_"",""""))),1,IF(REGEXMATCH(Q1216,""Sell_""),IF(COUNTIF(Q$4:Q1216,SUBSTITUTE(Q1216,""Sell_"",""""))-COUNTIF(Q$4:Q1215,Q1216)&lt;1,1),FALSE))))"),"")</f>
        <v/>
      </c>
      <c r="S1216" s="59" t="str">
        <f t="array" ref="S1216">IF(COUNTA(Q1216:Q1350)=0,"",SUM((COUNTIF(Q$4:Q1216,Upgrades!$B$3:$B$13)-COUNTIF(Q$4:Q1216,"Sell_"&amp;Upgrades!$B$3:$B$13))*Upgrades!$D$3:$D$13))</f>
        <v/>
      </c>
      <c r="T1216" s="66" t="str">
        <f>IFERROR(__xludf.DUMMYFUNCTION("IF(COUNTA(Q1216:Q1350)=0,"""",IF(REGEXMATCH(INDEX(FILTER(Q$4:Q1216,Q$4:Q1216&lt;&gt;""""),ROWS(FILTER(Q$4:Q1216,Q$4:Q1216&lt;&gt;""""))),""^Sell_""),INDEX(FILTER(T$4:T1215,Q$4:Q1215&lt;&gt;""""),ROWS(FILTER(Q$4:Q1215,Q$4:Q1215&lt;&gt;""""))),$AD$5+S1216))"),"")</f>
        <v/>
      </c>
      <c r="U1216" s="10" t="str">
        <f>IFERROR(__xludf.DUMMYFUNCTION("IF(COUNTA(Q1216:Q1350)=0,"""",IF(Q1216="""",0,IF(REGEXMATCH(Q1216,""^Sell_""),-ROUNDDOWN(ROUNDUP(INDEX(Upgrades!$C$3:$C$13,MATCH(SUBSTITUTE(Q1216,""Sell_"",""""),Upgrades!$B$3:$B$13,0))*1.15^(COUNTIF(Q$4:Q1215,SUBSTITUTE(Q1216,""Sell_"",""""))-COUNTIF(Q$4"&amp;":Q1215,""Sell_""&amp;SUBSTITUTE(Q1216,""Sell_"",""""))))/2),ROUNDUP(INDEX(Upgrades!$C$3:$C$13,MATCH(Q1216,Upgrades!$B$3:$B$13,0))*1.15^(COUNTIF(Q$4:Q1215,Q1216)-COUNTIF(Q$4:Q1215,""Sell_""&amp;Q1216))))))"),"")</f>
        <v/>
      </c>
      <c r="V1216" s="10" t="str">
        <f t="shared" si="11"/>
        <v/>
      </c>
      <c r="W1216" s="68" t="str">
        <f t="shared" si="12"/>
        <v/>
      </c>
      <c r="X1216" s="59" t="str">
        <f t="shared" si="13"/>
        <v/>
      </c>
      <c r="Y1216" s="69" t="str">
        <f t="shared" si="14"/>
        <v/>
      </c>
      <c r="Z1216" s="11"/>
    </row>
    <row r="1217">
      <c r="A1217" s="8"/>
      <c r="B1217" s="56" t="str">
        <f t="shared" si="2"/>
        <v/>
      </c>
      <c r="C1217" s="57"/>
      <c r="D1217" s="10" t="str">
        <f>IFERROR(__xludf.DUMMYFUNCTION("IF(COUNTA(C1217:C1350)=0,"""",IF(ISBLANK(C1217),FALSE,IF(NOT(COUNTIF($AA$24:$AA$34,SUBSTITUTE(C1217,""Sell_"",""""))),1,IF(REGEXMATCH(C1217,""Sell_""),IF(COUNTIF(C$4:C1217,SUBSTITUTE(C1217,""Sell_"",""""))-COUNTIF(C$4:C1216,C1217)&lt;1,1),FALSE))))"),"")</f>
        <v/>
      </c>
      <c r="E1217" s="59" t="str">
        <f t="array" ref="E1217">IF(COUNTA(C1217:C1350)=0,"",SUM((COUNTIF(C$4:C1217,Upgrades!$B$3:$B$13)-COUNTIF(C$4:C1217,"Sell_"&amp;Upgrades!$B$3:$B$13))*Upgrades!$D$3:$D$13))</f>
        <v/>
      </c>
      <c r="F1217" s="66" t="str">
        <f>IFERROR(__xludf.DUMMYFUNCTION("IF(COUNTA(C1217:C1350)=0,"""",IF(REGEXMATCH(INDEX(FILTER(C$4:C1217,C$4:C1217&lt;&gt;""""),ROWS(FILTER(C$4:C1217,C$4:C1217&lt;&gt;""""))),""^Sell_""),INDEX(FILTER(F$4:F1216,C$4:C1216&lt;&gt;""""),ROWS(FILTER(C$4:C1216,C$4:C1216&lt;&gt;""""))),$AC$5+E1217))"),"")</f>
        <v/>
      </c>
      <c r="G1217" s="10" t="str">
        <f>IFERROR(__xludf.DUMMYFUNCTION("IF(COUNTA(C1217:C1350)=0,"""",IF(C1217="""",0,IF(REGEXMATCH(C1217,""^Sell_""),-ROUNDDOWN(ROUNDUP(INDEX(Upgrades!$C$3:$C$13,MATCH(SUBSTITUTE(C1217,""Sell_"",""""),Upgrades!$B$3:$B$13,0))*1.15^(COUNTIF(C$4:C1216,SUBSTITUTE(C1217,""Sell_"",""""))-COUNTIF(C$4"&amp;":C1216,""Sell_""&amp;SUBSTITUTE(C1217,""Sell_"",""""))))/2),ROUNDUP(INDEX(Upgrades!$C$3:$C$13,MATCH(C1217,Upgrades!$B$3:$B$13,0))*1.15^(COUNTIF(C$4:C1216,C1217)-COUNTIF(C$4:C1216,""Sell_""&amp;C1217))))))"),"")</f>
        <v/>
      </c>
      <c r="H1217" s="10" t="str">
        <f t="shared" si="3"/>
        <v/>
      </c>
      <c r="I1217" s="68" t="str">
        <f t="shared" si="4"/>
        <v/>
      </c>
      <c r="J1217" s="59" t="str">
        <f t="shared" si="5"/>
        <v/>
      </c>
      <c r="K1217" s="69" t="str">
        <f t="shared" si="6"/>
        <v/>
      </c>
      <c r="L1217" s="60" t="str">
        <f t="shared" si="7"/>
        <v/>
      </c>
      <c r="M1217" s="61" t="str">
        <f>IFERROR(__xludf.DUMMYFUNCTION("IFS(AND(COUNTA(C1217:C1350)=0,COUNTA(Q1217:Q1350)=0),"""",OR(AND(K1217&gt;=1000000000,OR(Y1217&gt;=1000000000,COUNTA(Q1217:Q1350)=0)),OR(Y1217&gt;=1000000000,AND(COUNTA(C1217:C1350)=0,P$3=TRUE))),
ROUNDDOWN((AB$1-AC$1)*MAX(INDEX(T$4:T1350,MATCH(LARGE(FILTER(Y$4:Y1"&amp;"350,Y$4:Y1350&lt;1000000000),1),Y$4:Y1350)),INDEX(F$4:F1350,MATCH(LARGE(FILTER(K$4:K1350,K$4:K1350&lt;1000000000),1),K$4:K1350)))),AND(K1217&lt;1000000000,COUNTA(C1217:C1350)&gt;0,P$3=FALSE),
ROUNDDOWN(INDEX(Y$4:Y1350,MATCH(LARGE(FILTER(W$4:W1350,W$4:W1350&lt;=I1217),1)"&amp;",W$4:W1350))+(I1217-LARGE(FILTER(W$4:W1350,W$4:W1350&lt;=I1217),1))*INDEX(T$4:T1350,MATCH(LARGE(FILTER(W$4:W1350,W$4:W1350&lt;=I1217),1),W$4:W1350))-K1217),1,
ROUNDDOWN(Y1217-INDEX(K$4:K1350,MATCH(LARGE(FILTER(I$4:I1350,I$4:I1350&lt;=W1217),1),I$4:I1350))-(W1217-L"&amp;"ARGE(FILTER(I$4:I1350,I$4:I1350&lt;=W1217),1))*INDEX(F$4:F1350,MATCH(LARGE(FILTER(I$4:I1350,I$4:I1350&lt;=W1217),1),I$4:I1350))))"),"")</f>
        <v/>
      </c>
      <c r="N1217" s="60" t="str">
        <f t="shared" si="8"/>
        <v/>
      </c>
      <c r="O1217" s="61" t="str">
        <f t="shared" si="9"/>
        <v/>
      </c>
      <c r="P1217" s="56" t="str">
        <f t="shared" si="10"/>
        <v/>
      </c>
      <c r="Q1217" s="62"/>
      <c r="R1217" s="10" t="str">
        <f>IFERROR(__xludf.DUMMYFUNCTION("IF(COUNTA(Q1217:Q1350)=0,"""",IF(ISBLANK(Q1217),FALSE,IF(NOT(COUNTIF($AA$24:$AA$34,SUBSTITUTE(Q1217,""Sell_"",""""))),1,IF(REGEXMATCH(Q1217,""Sell_""),IF(COUNTIF(Q$4:Q1217,SUBSTITUTE(Q1217,""Sell_"",""""))-COUNTIF(Q$4:Q1216,Q1217)&lt;1,1),FALSE))))"),"")</f>
        <v/>
      </c>
      <c r="S1217" s="59" t="str">
        <f t="array" ref="S1217">IF(COUNTA(Q1217:Q1350)=0,"",SUM((COUNTIF(Q$4:Q1217,Upgrades!$B$3:$B$13)-COUNTIF(Q$4:Q1217,"Sell_"&amp;Upgrades!$B$3:$B$13))*Upgrades!$D$3:$D$13))</f>
        <v/>
      </c>
      <c r="T1217" s="66" t="str">
        <f>IFERROR(__xludf.DUMMYFUNCTION("IF(COUNTA(Q1217:Q1350)=0,"""",IF(REGEXMATCH(INDEX(FILTER(Q$4:Q1217,Q$4:Q1217&lt;&gt;""""),ROWS(FILTER(Q$4:Q1217,Q$4:Q1217&lt;&gt;""""))),""^Sell_""),INDEX(FILTER(T$4:T1216,Q$4:Q1216&lt;&gt;""""),ROWS(FILTER(Q$4:Q1216,Q$4:Q1216&lt;&gt;""""))),$AD$5+S1217))"),"")</f>
        <v/>
      </c>
      <c r="U1217" s="10" t="str">
        <f>IFERROR(__xludf.DUMMYFUNCTION("IF(COUNTA(Q1217:Q1350)=0,"""",IF(Q1217="""",0,IF(REGEXMATCH(Q1217,""^Sell_""),-ROUNDDOWN(ROUNDUP(INDEX(Upgrades!$C$3:$C$13,MATCH(SUBSTITUTE(Q1217,""Sell_"",""""),Upgrades!$B$3:$B$13,0))*1.15^(COUNTIF(Q$4:Q1216,SUBSTITUTE(Q1217,""Sell_"",""""))-COUNTIF(Q$4"&amp;":Q1216,""Sell_""&amp;SUBSTITUTE(Q1217,""Sell_"",""""))))/2),ROUNDUP(INDEX(Upgrades!$C$3:$C$13,MATCH(Q1217,Upgrades!$B$3:$B$13,0))*1.15^(COUNTIF(Q$4:Q1216,Q1217)-COUNTIF(Q$4:Q1216,""Sell_""&amp;Q1217))))))"),"")</f>
        <v/>
      </c>
      <c r="V1217" s="10" t="str">
        <f t="shared" si="11"/>
        <v/>
      </c>
      <c r="W1217" s="68" t="str">
        <f t="shared" si="12"/>
        <v/>
      </c>
      <c r="X1217" s="59" t="str">
        <f t="shared" si="13"/>
        <v/>
      </c>
      <c r="Y1217" s="69" t="str">
        <f t="shared" si="14"/>
        <v/>
      </c>
      <c r="Z1217" s="11"/>
    </row>
    <row r="1218">
      <c r="A1218" s="8"/>
      <c r="B1218" s="56" t="str">
        <f t="shared" si="2"/>
        <v/>
      </c>
      <c r="C1218" s="57"/>
      <c r="D1218" s="10" t="str">
        <f>IFERROR(__xludf.DUMMYFUNCTION("IF(COUNTA(C1218:C1350)=0,"""",IF(ISBLANK(C1218),FALSE,IF(NOT(COUNTIF($AA$24:$AA$34,SUBSTITUTE(C1218,""Sell_"",""""))),1,IF(REGEXMATCH(C1218,""Sell_""),IF(COUNTIF(C$4:C1218,SUBSTITUTE(C1218,""Sell_"",""""))-COUNTIF(C$4:C1217,C1218)&lt;1,1),FALSE))))"),"")</f>
        <v/>
      </c>
      <c r="E1218" s="59" t="str">
        <f t="array" ref="E1218">IF(COUNTA(C1218:C1350)=0,"",SUM((COUNTIF(C$4:C1218,Upgrades!$B$3:$B$13)-COUNTIF(C$4:C1218,"Sell_"&amp;Upgrades!$B$3:$B$13))*Upgrades!$D$3:$D$13))</f>
        <v/>
      </c>
      <c r="F1218" s="66" t="str">
        <f>IFERROR(__xludf.DUMMYFUNCTION("IF(COUNTA(C1218:C1350)=0,"""",IF(REGEXMATCH(INDEX(FILTER(C$4:C1218,C$4:C1218&lt;&gt;""""),ROWS(FILTER(C$4:C1218,C$4:C1218&lt;&gt;""""))),""^Sell_""),INDEX(FILTER(F$4:F1217,C$4:C1217&lt;&gt;""""),ROWS(FILTER(C$4:C1217,C$4:C1217&lt;&gt;""""))),$AC$5+E1218))"),"")</f>
        <v/>
      </c>
      <c r="G1218" s="10" t="str">
        <f>IFERROR(__xludf.DUMMYFUNCTION("IF(COUNTA(C1218:C1350)=0,"""",IF(C1218="""",0,IF(REGEXMATCH(C1218,""^Sell_""),-ROUNDDOWN(ROUNDUP(INDEX(Upgrades!$C$3:$C$13,MATCH(SUBSTITUTE(C1218,""Sell_"",""""),Upgrades!$B$3:$B$13,0))*1.15^(COUNTIF(C$4:C1217,SUBSTITUTE(C1218,""Sell_"",""""))-COUNTIF(C$4"&amp;":C1217,""Sell_""&amp;SUBSTITUTE(C1218,""Sell_"",""""))))/2),ROUNDUP(INDEX(Upgrades!$C$3:$C$13,MATCH(C1218,Upgrades!$B$3:$B$13,0))*1.15^(COUNTIF(C$4:C1217,C1218)-COUNTIF(C$4:C1217,""Sell_""&amp;C1218))))))"),"")</f>
        <v/>
      </c>
      <c r="H1218" s="10" t="str">
        <f t="shared" si="3"/>
        <v/>
      </c>
      <c r="I1218" s="68" t="str">
        <f t="shared" si="4"/>
        <v/>
      </c>
      <c r="J1218" s="59" t="str">
        <f t="shared" si="5"/>
        <v/>
      </c>
      <c r="K1218" s="69" t="str">
        <f t="shared" si="6"/>
        <v/>
      </c>
      <c r="L1218" s="60" t="str">
        <f t="shared" si="7"/>
        <v/>
      </c>
      <c r="M1218" s="61" t="str">
        <f>IFERROR(__xludf.DUMMYFUNCTION("IFS(AND(COUNTA(C1218:C1350)=0,COUNTA(Q1218:Q1350)=0),"""",OR(AND(K1218&gt;=1000000000,OR(Y1218&gt;=1000000000,COUNTA(Q1218:Q1350)=0)),OR(Y1218&gt;=1000000000,AND(COUNTA(C1218:C1350)=0,P$3=TRUE))),
ROUNDDOWN((AB$1-AC$1)*MAX(INDEX(T$4:T1350,MATCH(LARGE(FILTER(Y$4:Y1"&amp;"350,Y$4:Y1350&lt;1000000000),1),Y$4:Y1350)),INDEX(F$4:F1350,MATCH(LARGE(FILTER(K$4:K1350,K$4:K1350&lt;1000000000),1),K$4:K1350)))),AND(K1218&lt;1000000000,COUNTA(C1218:C1350)&gt;0,P$3=FALSE),
ROUNDDOWN(INDEX(Y$4:Y1350,MATCH(LARGE(FILTER(W$4:W1350,W$4:W1350&lt;=I1218),1)"&amp;",W$4:W1350))+(I1218-LARGE(FILTER(W$4:W1350,W$4:W1350&lt;=I1218),1))*INDEX(T$4:T1350,MATCH(LARGE(FILTER(W$4:W1350,W$4:W1350&lt;=I1218),1),W$4:W1350))-K1218),1,
ROUNDDOWN(Y1218-INDEX(K$4:K1350,MATCH(LARGE(FILTER(I$4:I1350,I$4:I1350&lt;=W1218),1),I$4:I1350))-(W1218-L"&amp;"ARGE(FILTER(I$4:I1350,I$4:I1350&lt;=W1218),1))*INDEX(F$4:F1350,MATCH(LARGE(FILTER(I$4:I1350,I$4:I1350&lt;=W1218),1),I$4:I1350))))"),"")</f>
        <v/>
      </c>
      <c r="N1218" s="60" t="str">
        <f t="shared" si="8"/>
        <v/>
      </c>
      <c r="O1218" s="61" t="str">
        <f t="shared" si="9"/>
        <v/>
      </c>
      <c r="P1218" s="56" t="str">
        <f t="shared" si="10"/>
        <v/>
      </c>
      <c r="Q1218" s="62"/>
      <c r="R1218" s="10" t="str">
        <f>IFERROR(__xludf.DUMMYFUNCTION("IF(COUNTA(Q1218:Q1350)=0,"""",IF(ISBLANK(Q1218),FALSE,IF(NOT(COUNTIF($AA$24:$AA$34,SUBSTITUTE(Q1218,""Sell_"",""""))),1,IF(REGEXMATCH(Q1218,""Sell_""),IF(COUNTIF(Q$4:Q1218,SUBSTITUTE(Q1218,""Sell_"",""""))-COUNTIF(Q$4:Q1217,Q1218)&lt;1,1),FALSE))))"),"")</f>
        <v/>
      </c>
      <c r="S1218" s="59" t="str">
        <f t="array" ref="S1218">IF(COUNTA(Q1218:Q1350)=0,"",SUM((COUNTIF(Q$4:Q1218,Upgrades!$B$3:$B$13)-COUNTIF(Q$4:Q1218,"Sell_"&amp;Upgrades!$B$3:$B$13))*Upgrades!$D$3:$D$13))</f>
        <v/>
      </c>
      <c r="T1218" s="66" t="str">
        <f>IFERROR(__xludf.DUMMYFUNCTION("IF(COUNTA(Q1218:Q1350)=0,"""",IF(REGEXMATCH(INDEX(FILTER(Q$4:Q1218,Q$4:Q1218&lt;&gt;""""),ROWS(FILTER(Q$4:Q1218,Q$4:Q1218&lt;&gt;""""))),""^Sell_""),INDEX(FILTER(T$4:T1217,Q$4:Q1217&lt;&gt;""""),ROWS(FILTER(Q$4:Q1217,Q$4:Q1217&lt;&gt;""""))),$AD$5+S1218))"),"")</f>
        <v/>
      </c>
      <c r="U1218" s="10" t="str">
        <f>IFERROR(__xludf.DUMMYFUNCTION("IF(COUNTA(Q1218:Q1350)=0,"""",IF(Q1218="""",0,IF(REGEXMATCH(Q1218,""^Sell_""),-ROUNDDOWN(ROUNDUP(INDEX(Upgrades!$C$3:$C$13,MATCH(SUBSTITUTE(Q1218,""Sell_"",""""),Upgrades!$B$3:$B$13,0))*1.15^(COUNTIF(Q$4:Q1217,SUBSTITUTE(Q1218,""Sell_"",""""))-COUNTIF(Q$4"&amp;":Q1217,""Sell_""&amp;SUBSTITUTE(Q1218,""Sell_"",""""))))/2),ROUNDUP(INDEX(Upgrades!$C$3:$C$13,MATCH(Q1218,Upgrades!$B$3:$B$13,0))*1.15^(COUNTIF(Q$4:Q1217,Q1218)-COUNTIF(Q$4:Q1217,""Sell_""&amp;Q1218))))))"),"")</f>
        <v/>
      </c>
      <c r="V1218" s="10" t="str">
        <f t="shared" si="11"/>
        <v/>
      </c>
      <c r="W1218" s="68" t="str">
        <f t="shared" si="12"/>
        <v/>
      </c>
      <c r="X1218" s="59" t="str">
        <f t="shared" si="13"/>
        <v/>
      </c>
      <c r="Y1218" s="69" t="str">
        <f t="shared" si="14"/>
        <v/>
      </c>
      <c r="Z1218" s="11"/>
    </row>
    <row r="1219">
      <c r="A1219" s="8"/>
      <c r="B1219" s="56" t="str">
        <f t="shared" si="2"/>
        <v/>
      </c>
      <c r="C1219" s="57"/>
      <c r="D1219" s="10" t="str">
        <f>IFERROR(__xludf.DUMMYFUNCTION("IF(COUNTA(C1219:C1350)=0,"""",IF(ISBLANK(C1219),FALSE,IF(NOT(COUNTIF($AA$24:$AA$34,SUBSTITUTE(C1219,""Sell_"",""""))),1,IF(REGEXMATCH(C1219,""Sell_""),IF(COUNTIF(C$4:C1219,SUBSTITUTE(C1219,""Sell_"",""""))-COUNTIF(C$4:C1218,C1219)&lt;1,1),FALSE))))"),"")</f>
        <v/>
      </c>
      <c r="E1219" s="59" t="str">
        <f t="array" ref="E1219">IF(COUNTA(C1219:C1350)=0,"",SUM((COUNTIF(C$4:C1219,Upgrades!$B$3:$B$13)-COUNTIF(C$4:C1219,"Sell_"&amp;Upgrades!$B$3:$B$13))*Upgrades!$D$3:$D$13))</f>
        <v/>
      </c>
      <c r="F1219" s="66" t="str">
        <f>IFERROR(__xludf.DUMMYFUNCTION("IF(COUNTA(C1219:C1350)=0,"""",IF(REGEXMATCH(INDEX(FILTER(C$4:C1219,C$4:C1219&lt;&gt;""""),ROWS(FILTER(C$4:C1219,C$4:C1219&lt;&gt;""""))),""^Sell_""),INDEX(FILTER(F$4:F1218,C$4:C1218&lt;&gt;""""),ROWS(FILTER(C$4:C1218,C$4:C1218&lt;&gt;""""))),$AC$5+E1219))"),"")</f>
        <v/>
      </c>
      <c r="G1219" s="10" t="str">
        <f>IFERROR(__xludf.DUMMYFUNCTION("IF(COUNTA(C1219:C1350)=0,"""",IF(C1219="""",0,IF(REGEXMATCH(C1219,""^Sell_""),-ROUNDDOWN(ROUNDUP(INDEX(Upgrades!$C$3:$C$13,MATCH(SUBSTITUTE(C1219,""Sell_"",""""),Upgrades!$B$3:$B$13,0))*1.15^(COUNTIF(C$4:C1218,SUBSTITUTE(C1219,""Sell_"",""""))-COUNTIF(C$4"&amp;":C1218,""Sell_""&amp;SUBSTITUTE(C1219,""Sell_"",""""))))/2),ROUNDUP(INDEX(Upgrades!$C$3:$C$13,MATCH(C1219,Upgrades!$B$3:$B$13,0))*1.15^(COUNTIF(C$4:C1218,C1219)-COUNTIF(C$4:C1218,""Sell_""&amp;C1219))))))"),"")</f>
        <v/>
      </c>
      <c r="H1219" s="10" t="str">
        <f t="shared" si="3"/>
        <v/>
      </c>
      <c r="I1219" s="68" t="str">
        <f t="shared" si="4"/>
        <v/>
      </c>
      <c r="J1219" s="59" t="str">
        <f t="shared" si="5"/>
        <v/>
      </c>
      <c r="K1219" s="69" t="str">
        <f t="shared" si="6"/>
        <v/>
      </c>
      <c r="L1219" s="60" t="str">
        <f t="shared" si="7"/>
        <v/>
      </c>
      <c r="M1219" s="61" t="str">
        <f>IFERROR(__xludf.DUMMYFUNCTION("IFS(AND(COUNTA(C1219:C1350)=0,COUNTA(Q1219:Q1350)=0),"""",OR(AND(K1219&gt;=1000000000,OR(Y1219&gt;=1000000000,COUNTA(Q1219:Q1350)=0)),OR(Y1219&gt;=1000000000,AND(COUNTA(C1219:C1350)=0,P$3=TRUE))),
ROUNDDOWN((AB$1-AC$1)*MAX(INDEX(T$4:T1350,MATCH(LARGE(FILTER(Y$4:Y1"&amp;"350,Y$4:Y1350&lt;1000000000),1),Y$4:Y1350)),INDEX(F$4:F1350,MATCH(LARGE(FILTER(K$4:K1350,K$4:K1350&lt;1000000000),1),K$4:K1350)))),AND(K1219&lt;1000000000,COUNTA(C1219:C1350)&gt;0,P$3=FALSE),
ROUNDDOWN(INDEX(Y$4:Y1350,MATCH(LARGE(FILTER(W$4:W1350,W$4:W1350&lt;=I1219),1)"&amp;",W$4:W1350))+(I1219-LARGE(FILTER(W$4:W1350,W$4:W1350&lt;=I1219),1))*INDEX(T$4:T1350,MATCH(LARGE(FILTER(W$4:W1350,W$4:W1350&lt;=I1219),1),W$4:W1350))-K1219),1,
ROUNDDOWN(Y1219-INDEX(K$4:K1350,MATCH(LARGE(FILTER(I$4:I1350,I$4:I1350&lt;=W1219),1),I$4:I1350))-(W1219-L"&amp;"ARGE(FILTER(I$4:I1350,I$4:I1350&lt;=W1219),1))*INDEX(F$4:F1350,MATCH(LARGE(FILTER(I$4:I1350,I$4:I1350&lt;=W1219),1),I$4:I1350))))"),"")</f>
        <v/>
      </c>
      <c r="N1219" s="60" t="str">
        <f t="shared" si="8"/>
        <v/>
      </c>
      <c r="O1219" s="61" t="str">
        <f t="shared" si="9"/>
        <v/>
      </c>
      <c r="P1219" s="56" t="str">
        <f t="shared" si="10"/>
        <v/>
      </c>
      <c r="Q1219" s="62"/>
      <c r="R1219" s="10" t="str">
        <f>IFERROR(__xludf.DUMMYFUNCTION("IF(COUNTA(Q1219:Q1350)=0,"""",IF(ISBLANK(Q1219),FALSE,IF(NOT(COUNTIF($AA$24:$AA$34,SUBSTITUTE(Q1219,""Sell_"",""""))),1,IF(REGEXMATCH(Q1219,""Sell_""),IF(COUNTIF(Q$4:Q1219,SUBSTITUTE(Q1219,""Sell_"",""""))-COUNTIF(Q$4:Q1218,Q1219)&lt;1,1),FALSE))))"),"")</f>
        <v/>
      </c>
      <c r="S1219" s="59" t="str">
        <f t="array" ref="S1219">IF(COUNTA(Q1219:Q1350)=0,"",SUM((COUNTIF(Q$4:Q1219,Upgrades!$B$3:$B$13)-COUNTIF(Q$4:Q1219,"Sell_"&amp;Upgrades!$B$3:$B$13))*Upgrades!$D$3:$D$13))</f>
        <v/>
      </c>
      <c r="T1219" s="66" t="str">
        <f>IFERROR(__xludf.DUMMYFUNCTION("IF(COUNTA(Q1219:Q1350)=0,"""",IF(REGEXMATCH(INDEX(FILTER(Q$4:Q1219,Q$4:Q1219&lt;&gt;""""),ROWS(FILTER(Q$4:Q1219,Q$4:Q1219&lt;&gt;""""))),""^Sell_""),INDEX(FILTER(T$4:T1218,Q$4:Q1218&lt;&gt;""""),ROWS(FILTER(Q$4:Q1218,Q$4:Q1218&lt;&gt;""""))),$AD$5+S1219))"),"")</f>
        <v/>
      </c>
      <c r="U1219" s="10" t="str">
        <f>IFERROR(__xludf.DUMMYFUNCTION("IF(COUNTA(Q1219:Q1350)=0,"""",IF(Q1219="""",0,IF(REGEXMATCH(Q1219,""^Sell_""),-ROUNDDOWN(ROUNDUP(INDEX(Upgrades!$C$3:$C$13,MATCH(SUBSTITUTE(Q1219,""Sell_"",""""),Upgrades!$B$3:$B$13,0))*1.15^(COUNTIF(Q$4:Q1218,SUBSTITUTE(Q1219,""Sell_"",""""))-COUNTIF(Q$4"&amp;":Q1218,""Sell_""&amp;SUBSTITUTE(Q1219,""Sell_"",""""))))/2),ROUNDUP(INDEX(Upgrades!$C$3:$C$13,MATCH(Q1219,Upgrades!$B$3:$B$13,0))*1.15^(COUNTIF(Q$4:Q1218,Q1219)-COUNTIF(Q$4:Q1218,""Sell_""&amp;Q1219))))))"),"")</f>
        <v/>
      </c>
      <c r="V1219" s="10" t="str">
        <f t="shared" si="11"/>
        <v/>
      </c>
      <c r="W1219" s="68" t="str">
        <f t="shared" si="12"/>
        <v/>
      </c>
      <c r="X1219" s="59" t="str">
        <f t="shared" si="13"/>
        <v/>
      </c>
      <c r="Y1219" s="69" t="str">
        <f t="shared" si="14"/>
        <v/>
      </c>
      <c r="Z1219" s="11"/>
    </row>
    <row r="1220">
      <c r="A1220" s="8"/>
      <c r="B1220" s="56" t="str">
        <f t="shared" si="2"/>
        <v/>
      </c>
      <c r="C1220" s="57"/>
      <c r="D1220" s="10" t="str">
        <f>IFERROR(__xludf.DUMMYFUNCTION("IF(COUNTA(C1220:C1350)=0,"""",IF(ISBLANK(C1220),FALSE,IF(NOT(COUNTIF($AA$24:$AA$34,SUBSTITUTE(C1220,""Sell_"",""""))),1,IF(REGEXMATCH(C1220,""Sell_""),IF(COUNTIF(C$4:C1220,SUBSTITUTE(C1220,""Sell_"",""""))-COUNTIF(C$4:C1219,C1220)&lt;1,1),FALSE))))"),"")</f>
        <v/>
      </c>
      <c r="E1220" s="59" t="str">
        <f t="array" ref="E1220">IF(COUNTA(C1220:C1350)=0,"",SUM((COUNTIF(C$4:C1220,Upgrades!$B$3:$B$13)-COUNTIF(C$4:C1220,"Sell_"&amp;Upgrades!$B$3:$B$13))*Upgrades!$D$3:$D$13))</f>
        <v/>
      </c>
      <c r="F1220" s="66" t="str">
        <f>IFERROR(__xludf.DUMMYFUNCTION("IF(COUNTA(C1220:C1350)=0,"""",IF(REGEXMATCH(INDEX(FILTER(C$4:C1220,C$4:C1220&lt;&gt;""""),ROWS(FILTER(C$4:C1220,C$4:C1220&lt;&gt;""""))),""^Sell_""),INDEX(FILTER(F$4:F1219,C$4:C1219&lt;&gt;""""),ROWS(FILTER(C$4:C1219,C$4:C1219&lt;&gt;""""))),$AC$5+E1220))"),"")</f>
        <v/>
      </c>
      <c r="G1220" s="10" t="str">
        <f>IFERROR(__xludf.DUMMYFUNCTION("IF(COUNTA(C1220:C1350)=0,"""",IF(C1220="""",0,IF(REGEXMATCH(C1220,""^Sell_""),-ROUNDDOWN(ROUNDUP(INDEX(Upgrades!$C$3:$C$13,MATCH(SUBSTITUTE(C1220,""Sell_"",""""),Upgrades!$B$3:$B$13,0))*1.15^(COUNTIF(C$4:C1219,SUBSTITUTE(C1220,""Sell_"",""""))-COUNTIF(C$4"&amp;":C1219,""Sell_""&amp;SUBSTITUTE(C1220,""Sell_"",""""))))/2),ROUNDUP(INDEX(Upgrades!$C$3:$C$13,MATCH(C1220,Upgrades!$B$3:$B$13,0))*1.15^(COUNTIF(C$4:C1219,C1220)-COUNTIF(C$4:C1219,""Sell_""&amp;C1220))))))"),"")</f>
        <v/>
      </c>
      <c r="H1220" s="10" t="str">
        <f t="shared" si="3"/>
        <v/>
      </c>
      <c r="I1220" s="68" t="str">
        <f t="shared" si="4"/>
        <v/>
      </c>
      <c r="J1220" s="59" t="str">
        <f t="shared" si="5"/>
        <v/>
      </c>
      <c r="K1220" s="69" t="str">
        <f t="shared" si="6"/>
        <v/>
      </c>
      <c r="L1220" s="60" t="str">
        <f t="shared" si="7"/>
        <v/>
      </c>
      <c r="M1220" s="61" t="str">
        <f>IFERROR(__xludf.DUMMYFUNCTION("IFS(AND(COUNTA(C1220:C1350)=0,COUNTA(Q1220:Q1350)=0),"""",OR(AND(K1220&gt;=1000000000,OR(Y1220&gt;=1000000000,COUNTA(Q1220:Q1350)=0)),OR(Y1220&gt;=1000000000,AND(COUNTA(C1220:C1350)=0,P$3=TRUE))),
ROUNDDOWN((AB$1-AC$1)*MAX(INDEX(T$4:T1350,MATCH(LARGE(FILTER(Y$4:Y1"&amp;"350,Y$4:Y1350&lt;1000000000),1),Y$4:Y1350)),INDEX(F$4:F1350,MATCH(LARGE(FILTER(K$4:K1350,K$4:K1350&lt;1000000000),1),K$4:K1350)))),AND(K1220&lt;1000000000,COUNTA(C1220:C1350)&gt;0,P$3=FALSE),
ROUNDDOWN(INDEX(Y$4:Y1350,MATCH(LARGE(FILTER(W$4:W1350,W$4:W1350&lt;=I1220),1)"&amp;",W$4:W1350))+(I1220-LARGE(FILTER(W$4:W1350,W$4:W1350&lt;=I1220),1))*INDEX(T$4:T1350,MATCH(LARGE(FILTER(W$4:W1350,W$4:W1350&lt;=I1220),1),W$4:W1350))-K1220),1,
ROUNDDOWN(Y1220-INDEX(K$4:K1350,MATCH(LARGE(FILTER(I$4:I1350,I$4:I1350&lt;=W1220),1),I$4:I1350))-(W1220-L"&amp;"ARGE(FILTER(I$4:I1350,I$4:I1350&lt;=W1220),1))*INDEX(F$4:F1350,MATCH(LARGE(FILTER(I$4:I1350,I$4:I1350&lt;=W1220),1),I$4:I1350))))"),"")</f>
        <v/>
      </c>
      <c r="N1220" s="60" t="str">
        <f t="shared" si="8"/>
        <v/>
      </c>
      <c r="O1220" s="61" t="str">
        <f t="shared" si="9"/>
        <v/>
      </c>
      <c r="P1220" s="56" t="str">
        <f t="shared" si="10"/>
        <v/>
      </c>
      <c r="Q1220" s="62"/>
      <c r="R1220" s="10" t="str">
        <f>IFERROR(__xludf.DUMMYFUNCTION("IF(COUNTA(Q1220:Q1350)=0,"""",IF(ISBLANK(Q1220),FALSE,IF(NOT(COUNTIF($AA$24:$AA$34,SUBSTITUTE(Q1220,""Sell_"",""""))),1,IF(REGEXMATCH(Q1220,""Sell_""),IF(COUNTIF(Q$4:Q1220,SUBSTITUTE(Q1220,""Sell_"",""""))-COUNTIF(Q$4:Q1219,Q1220)&lt;1,1),FALSE))))"),"")</f>
        <v/>
      </c>
      <c r="S1220" s="59" t="str">
        <f t="array" ref="S1220">IF(COUNTA(Q1220:Q1350)=0,"",SUM((COUNTIF(Q$4:Q1220,Upgrades!$B$3:$B$13)-COUNTIF(Q$4:Q1220,"Sell_"&amp;Upgrades!$B$3:$B$13))*Upgrades!$D$3:$D$13))</f>
        <v/>
      </c>
      <c r="T1220" s="66" t="str">
        <f>IFERROR(__xludf.DUMMYFUNCTION("IF(COUNTA(Q1220:Q1350)=0,"""",IF(REGEXMATCH(INDEX(FILTER(Q$4:Q1220,Q$4:Q1220&lt;&gt;""""),ROWS(FILTER(Q$4:Q1220,Q$4:Q1220&lt;&gt;""""))),""^Sell_""),INDEX(FILTER(T$4:T1219,Q$4:Q1219&lt;&gt;""""),ROWS(FILTER(Q$4:Q1219,Q$4:Q1219&lt;&gt;""""))),$AD$5+S1220))"),"")</f>
        <v/>
      </c>
      <c r="U1220" s="10" t="str">
        <f>IFERROR(__xludf.DUMMYFUNCTION("IF(COUNTA(Q1220:Q1350)=0,"""",IF(Q1220="""",0,IF(REGEXMATCH(Q1220,""^Sell_""),-ROUNDDOWN(ROUNDUP(INDEX(Upgrades!$C$3:$C$13,MATCH(SUBSTITUTE(Q1220,""Sell_"",""""),Upgrades!$B$3:$B$13,0))*1.15^(COUNTIF(Q$4:Q1219,SUBSTITUTE(Q1220,""Sell_"",""""))-COUNTIF(Q$4"&amp;":Q1219,""Sell_""&amp;SUBSTITUTE(Q1220,""Sell_"",""""))))/2),ROUNDUP(INDEX(Upgrades!$C$3:$C$13,MATCH(Q1220,Upgrades!$B$3:$B$13,0))*1.15^(COUNTIF(Q$4:Q1219,Q1220)-COUNTIF(Q$4:Q1219,""Sell_""&amp;Q1220))))))"),"")</f>
        <v/>
      </c>
      <c r="V1220" s="10" t="str">
        <f t="shared" si="11"/>
        <v/>
      </c>
      <c r="W1220" s="68" t="str">
        <f t="shared" si="12"/>
        <v/>
      </c>
      <c r="X1220" s="59" t="str">
        <f t="shared" si="13"/>
        <v/>
      </c>
      <c r="Y1220" s="69" t="str">
        <f t="shared" si="14"/>
        <v/>
      </c>
      <c r="Z1220" s="11"/>
    </row>
    <row r="1221">
      <c r="A1221" s="8"/>
      <c r="B1221" s="56" t="str">
        <f t="shared" si="2"/>
        <v/>
      </c>
      <c r="C1221" s="57"/>
      <c r="D1221" s="10" t="str">
        <f>IFERROR(__xludf.DUMMYFUNCTION("IF(COUNTA(C1221:C1350)=0,"""",IF(ISBLANK(C1221),FALSE,IF(NOT(COUNTIF($AA$24:$AA$34,SUBSTITUTE(C1221,""Sell_"",""""))),1,IF(REGEXMATCH(C1221,""Sell_""),IF(COUNTIF(C$4:C1221,SUBSTITUTE(C1221,""Sell_"",""""))-COUNTIF(C$4:C1220,C1221)&lt;1,1),FALSE))))"),"")</f>
        <v/>
      </c>
      <c r="E1221" s="59" t="str">
        <f t="array" ref="E1221">IF(COUNTA(C1221:C1350)=0,"",SUM((COUNTIF(C$4:C1221,Upgrades!$B$3:$B$13)-COUNTIF(C$4:C1221,"Sell_"&amp;Upgrades!$B$3:$B$13))*Upgrades!$D$3:$D$13))</f>
        <v/>
      </c>
      <c r="F1221" s="66" t="str">
        <f>IFERROR(__xludf.DUMMYFUNCTION("IF(COUNTA(C1221:C1350)=0,"""",IF(REGEXMATCH(INDEX(FILTER(C$4:C1221,C$4:C1221&lt;&gt;""""),ROWS(FILTER(C$4:C1221,C$4:C1221&lt;&gt;""""))),""^Sell_""),INDEX(FILTER(F$4:F1220,C$4:C1220&lt;&gt;""""),ROWS(FILTER(C$4:C1220,C$4:C1220&lt;&gt;""""))),$AC$5+E1221))"),"")</f>
        <v/>
      </c>
      <c r="G1221" s="10" t="str">
        <f>IFERROR(__xludf.DUMMYFUNCTION("IF(COUNTA(C1221:C1350)=0,"""",IF(C1221="""",0,IF(REGEXMATCH(C1221,""^Sell_""),-ROUNDDOWN(ROUNDUP(INDEX(Upgrades!$C$3:$C$13,MATCH(SUBSTITUTE(C1221,""Sell_"",""""),Upgrades!$B$3:$B$13,0))*1.15^(COUNTIF(C$4:C1220,SUBSTITUTE(C1221,""Sell_"",""""))-COUNTIF(C$4"&amp;":C1220,""Sell_""&amp;SUBSTITUTE(C1221,""Sell_"",""""))))/2),ROUNDUP(INDEX(Upgrades!$C$3:$C$13,MATCH(C1221,Upgrades!$B$3:$B$13,0))*1.15^(COUNTIF(C$4:C1220,C1221)-COUNTIF(C$4:C1220,""Sell_""&amp;C1221))))))"),"")</f>
        <v/>
      </c>
      <c r="H1221" s="10" t="str">
        <f t="shared" si="3"/>
        <v/>
      </c>
      <c r="I1221" s="68" t="str">
        <f t="shared" si="4"/>
        <v/>
      </c>
      <c r="J1221" s="59" t="str">
        <f t="shared" si="5"/>
        <v/>
      </c>
      <c r="K1221" s="69" t="str">
        <f t="shared" si="6"/>
        <v/>
      </c>
      <c r="L1221" s="60" t="str">
        <f t="shared" si="7"/>
        <v/>
      </c>
      <c r="M1221" s="61" t="str">
        <f>IFERROR(__xludf.DUMMYFUNCTION("IFS(AND(COUNTA(C1221:C1350)=0,COUNTA(Q1221:Q1350)=0),"""",OR(AND(K1221&gt;=1000000000,OR(Y1221&gt;=1000000000,COUNTA(Q1221:Q1350)=0)),OR(Y1221&gt;=1000000000,AND(COUNTA(C1221:C1350)=0,P$3=TRUE))),
ROUNDDOWN((AB$1-AC$1)*MAX(INDEX(T$4:T1350,MATCH(LARGE(FILTER(Y$4:Y1"&amp;"350,Y$4:Y1350&lt;1000000000),1),Y$4:Y1350)),INDEX(F$4:F1350,MATCH(LARGE(FILTER(K$4:K1350,K$4:K1350&lt;1000000000),1),K$4:K1350)))),AND(K1221&lt;1000000000,COUNTA(C1221:C1350)&gt;0,P$3=FALSE),
ROUNDDOWN(INDEX(Y$4:Y1350,MATCH(LARGE(FILTER(W$4:W1350,W$4:W1350&lt;=I1221),1)"&amp;",W$4:W1350))+(I1221-LARGE(FILTER(W$4:W1350,W$4:W1350&lt;=I1221),1))*INDEX(T$4:T1350,MATCH(LARGE(FILTER(W$4:W1350,W$4:W1350&lt;=I1221),1),W$4:W1350))-K1221),1,
ROUNDDOWN(Y1221-INDEX(K$4:K1350,MATCH(LARGE(FILTER(I$4:I1350,I$4:I1350&lt;=W1221),1),I$4:I1350))-(W1221-L"&amp;"ARGE(FILTER(I$4:I1350,I$4:I1350&lt;=W1221),1))*INDEX(F$4:F1350,MATCH(LARGE(FILTER(I$4:I1350,I$4:I1350&lt;=W1221),1),I$4:I1350))))"),"")</f>
        <v/>
      </c>
      <c r="N1221" s="60" t="str">
        <f t="shared" si="8"/>
        <v/>
      </c>
      <c r="O1221" s="61" t="str">
        <f t="shared" si="9"/>
        <v/>
      </c>
      <c r="P1221" s="56" t="str">
        <f t="shared" si="10"/>
        <v/>
      </c>
      <c r="Q1221" s="62"/>
      <c r="R1221" s="10" t="str">
        <f>IFERROR(__xludf.DUMMYFUNCTION("IF(COUNTA(Q1221:Q1350)=0,"""",IF(ISBLANK(Q1221),FALSE,IF(NOT(COUNTIF($AA$24:$AA$34,SUBSTITUTE(Q1221,""Sell_"",""""))),1,IF(REGEXMATCH(Q1221,""Sell_""),IF(COUNTIF(Q$4:Q1221,SUBSTITUTE(Q1221,""Sell_"",""""))-COUNTIF(Q$4:Q1220,Q1221)&lt;1,1),FALSE))))"),"")</f>
        <v/>
      </c>
      <c r="S1221" s="59" t="str">
        <f t="array" ref="S1221">IF(COUNTA(Q1221:Q1350)=0,"",SUM((COUNTIF(Q$4:Q1221,Upgrades!$B$3:$B$13)-COUNTIF(Q$4:Q1221,"Sell_"&amp;Upgrades!$B$3:$B$13))*Upgrades!$D$3:$D$13))</f>
        <v/>
      </c>
      <c r="T1221" s="66" t="str">
        <f>IFERROR(__xludf.DUMMYFUNCTION("IF(COUNTA(Q1221:Q1350)=0,"""",IF(REGEXMATCH(INDEX(FILTER(Q$4:Q1221,Q$4:Q1221&lt;&gt;""""),ROWS(FILTER(Q$4:Q1221,Q$4:Q1221&lt;&gt;""""))),""^Sell_""),INDEX(FILTER(T$4:T1220,Q$4:Q1220&lt;&gt;""""),ROWS(FILTER(Q$4:Q1220,Q$4:Q1220&lt;&gt;""""))),$AD$5+S1221))"),"")</f>
        <v/>
      </c>
      <c r="U1221" s="10" t="str">
        <f>IFERROR(__xludf.DUMMYFUNCTION("IF(COUNTA(Q1221:Q1350)=0,"""",IF(Q1221="""",0,IF(REGEXMATCH(Q1221,""^Sell_""),-ROUNDDOWN(ROUNDUP(INDEX(Upgrades!$C$3:$C$13,MATCH(SUBSTITUTE(Q1221,""Sell_"",""""),Upgrades!$B$3:$B$13,0))*1.15^(COUNTIF(Q$4:Q1220,SUBSTITUTE(Q1221,""Sell_"",""""))-COUNTIF(Q$4"&amp;":Q1220,""Sell_""&amp;SUBSTITUTE(Q1221,""Sell_"",""""))))/2),ROUNDUP(INDEX(Upgrades!$C$3:$C$13,MATCH(Q1221,Upgrades!$B$3:$B$13,0))*1.15^(COUNTIF(Q$4:Q1220,Q1221)-COUNTIF(Q$4:Q1220,""Sell_""&amp;Q1221))))))"),"")</f>
        <v/>
      </c>
      <c r="V1221" s="10" t="str">
        <f t="shared" si="11"/>
        <v/>
      </c>
      <c r="W1221" s="68" t="str">
        <f t="shared" si="12"/>
        <v/>
      </c>
      <c r="X1221" s="59" t="str">
        <f t="shared" si="13"/>
        <v/>
      </c>
      <c r="Y1221" s="69" t="str">
        <f t="shared" si="14"/>
        <v/>
      </c>
      <c r="Z1221" s="11"/>
    </row>
    <row r="1222">
      <c r="A1222" s="8"/>
      <c r="B1222" s="56" t="str">
        <f t="shared" si="2"/>
        <v/>
      </c>
      <c r="C1222" s="57"/>
      <c r="D1222" s="10" t="str">
        <f>IFERROR(__xludf.DUMMYFUNCTION("IF(COUNTA(C1222:C1350)=0,"""",IF(ISBLANK(C1222),FALSE,IF(NOT(COUNTIF($AA$24:$AA$34,SUBSTITUTE(C1222,""Sell_"",""""))),1,IF(REGEXMATCH(C1222,""Sell_""),IF(COUNTIF(C$4:C1222,SUBSTITUTE(C1222,""Sell_"",""""))-COUNTIF(C$4:C1221,C1222)&lt;1,1),FALSE))))"),"")</f>
        <v/>
      </c>
      <c r="E1222" s="59" t="str">
        <f t="array" ref="E1222">IF(COUNTA(C1222:C1350)=0,"",SUM((COUNTIF(C$4:C1222,Upgrades!$B$3:$B$13)-COUNTIF(C$4:C1222,"Sell_"&amp;Upgrades!$B$3:$B$13))*Upgrades!$D$3:$D$13))</f>
        <v/>
      </c>
      <c r="F1222" s="66" t="str">
        <f>IFERROR(__xludf.DUMMYFUNCTION("IF(COUNTA(C1222:C1350)=0,"""",IF(REGEXMATCH(INDEX(FILTER(C$4:C1222,C$4:C1222&lt;&gt;""""),ROWS(FILTER(C$4:C1222,C$4:C1222&lt;&gt;""""))),""^Sell_""),INDEX(FILTER(F$4:F1221,C$4:C1221&lt;&gt;""""),ROWS(FILTER(C$4:C1221,C$4:C1221&lt;&gt;""""))),$AC$5+E1222))"),"")</f>
        <v/>
      </c>
      <c r="G1222" s="10" t="str">
        <f>IFERROR(__xludf.DUMMYFUNCTION("IF(COUNTA(C1222:C1350)=0,"""",IF(C1222="""",0,IF(REGEXMATCH(C1222,""^Sell_""),-ROUNDDOWN(ROUNDUP(INDEX(Upgrades!$C$3:$C$13,MATCH(SUBSTITUTE(C1222,""Sell_"",""""),Upgrades!$B$3:$B$13,0))*1.15^(COUNTIF(C$4:C1221,SUBSTITUTE(C1222,""Sell_"",""""))-COUNTIF(C$4"&amp;":C1221,""Sell_""&amp;SUBSTITUTE(C1222,""Sell_"",""""))))/2),ROUNDUP(INDEX(Upgrades!$C$3:$C$13,MATCH(C1222,Upgrades!$B$3:$B$13,0))*1.15^(COUNTIF(C$4:C1221,C1222)-COUNTIF(C$4:C1221,""Sell_""&amp;C1222))))))"),"")</f>
        <v/>
      </c>
      <c r="H1222" s="10" t="str">
        <f t="shared" si="3"/>
        <v/>
      </c>
      <c r="I1222" s="68" t="str">
        <f t="shared" si="4"/>
        <v/>
      </c>
      <c r="J1222" s="59" t="str">
        <f t="shared" si="5"/>
        <v/>
      </c>
      <c r="K1222" s="69" t="str">
        <f t="shared" si="6"/>
        <v/>
      </c>
      <c r="L1222" s="60" t="str">
        <f t="shared" si="7"/>
        <v/>
      </c>
      <c r="M1222" s="61" t="str">
        <f>IFERROR(__xludf.DUMMYFUNCTION("IFS(AND(COUNTA(C1222:C1350)=0,COUNTA(Q1222:Q1350)=0),"""",OR(AND(K1222&gt;=1000000000,OR(Y1222&gt;=1000000000,COUNTA(Q1222:Q1350)=0)),OR(Y1222&gt;=1000000000,AND(COUNTA(C1222:C1350)=0,P$3=TRUE))),
ROUNDDOWN((AB$1-AC$1)*MAX(INDEX(T$4:T1350,MATCH(LARGE(FILTER(Y$4:Y1"&amp;"350,Y$4:Y1350&lt;1000000000),1),Y$4:Y1350)),INDEX(F$4:F1350,MATCH(LARGE(FILTER(K$4:K1350,K$4:K1350&lt;1000000000),1),K$4:K1350)))),AND(K1222&lt;1000000000,COUNTA(C1222:C1350)&gt;0,P$3=FALSE),
ROUNDDOWN(INDEX(Y$4:Y1350,MATCH(LARGE(FILTER(W$4:W1350,W$4:W1350&lt;=I1222),1)"&amp;",W$4:W1350))+(I1222-LARGE(FILTER(W$4:W1350,W$4:W1350&lt;=I1222),1))*INDEX(T$4:T1350,MATCH(LARGE(FILTER(W$4:W1350,W$4:W1350&lt;=I1222),1),W$4:W1350))-K1222),1,
ROUNDDOWN(Y1222-INDEX(K$4:K1350,MATCH(LARGE(FILTER(I$4:I1350,I$4:I1350&lt;=W1222),1),I$4:I1350))-(W1222-L"&amp;"ARGE(FILTER(I$4:I1350,I$4:I1350&lt;=W1222),1))*INDEX(F$4:F1350,MATCH(LARGE(FILTER(I$4:I1350,I$4:I1350&lt;=W1222),1),I$4:I1350))))"),"")</f>
        <v/>
      </c>
      <c r="N1222" s="60" t="str">
        <f t="shared" si="8"/>
        <v/>
      </c>
      <c r="O1222" s="61" t="str">
        <f t="shared" si="9"/>
        <v/>
      </c>
      <c r="P1222" s="56" t="str">
        <f t="shared" si="10"/>
        <v/>
      </c>
      <c r="Q1222" s="62"/>
      <c r="R1222" s="10" t="str">
        <f>IFERROR(__xludf.DUMMYFUNCTION("IF(COUNTA(Q1222:Q1350)=0,"""",IF(ISBLANK(Q1222),FALSE,IF(NOT(COUNTIF($AA$24:$AA$34,SUBSTITUTE(Q1222,""Sell_"",""""))),1,IF(REGEXMATCH(Q1222,""Sell_""),IF(COUNTIF(Q$4:Q1222,SUBSTITUTE(Q1222,""Sell_"",""""))-COUNTIF(Q$4:Q1221,Q1222)&lt;1,1),FALSE))))"),"")</f>
        <v/>
      </c>
      <c r="S1222" s="59" t="str">
        <f t="array" ref="S1222">IF(COUNTA(Q1222:Q1350)=0,"",SUM((COUNTIF(Q$4:Q1222,Upgrades!$B$3:$B$13)-COUNTIF(Q$4:Q1222,"Sell_"&amp;Upgrades!$B$3:$B$13))*Upgrades!$D$3:$D$13))</f>
        <v/>
      </c>
      <c r="T1222" s="66" t="str">
        <f>IFERROR(__xludf.DUMMYFUNCTION("IF(COUNTA(Q1222:Q1350)=0,"""",IF(REGEXMATCH(INDEX(FILTER(Q$4:Q1222,Q$4:Q1222&lt;&gt;""""),ROWS(FILTER(Q$4:Q1222,Q$4:Q1222&lt;&gt;""""))),""^Sell_""),INDEX(FILTER(T$4:T1221,Q$4:Q1221&lt;&gt;""""),ROWS(FILTER(Q$4:Q1221,Q$4:Q1221&lt;&gt;""""))),$AD$5+S1222))"),"")</f>
        <v/>
      </c>
      <c r="U1222" s="10" t="str">
        <f>IFERROR(__xludf.DUMMYFUNCTION("IF(COUNTA(Q1222:Q1350)=0,"""",IF(Q1222="""",0,IF(REGEXMATCH(Q1222,""^Sell_""),-ROUNDDOWN(ROUNDUP(INDEX(Upgrades!$C$3:$C$13,MATCH(SUBSTITUTE(Q1222,""Sell_"",""""),Upgrades!$B$3:$B$13,0))*1.15^(COUNTIF(Q$4:Q1221,SUBSTITUTE(Q1222,""Sell_"",""""))-COUNTIF(Q$4"&amp;":Q1221,""Sell_""&amp;SUBSTITUTE(Q1222,""Sell_"",""""))))/2),ROUNDUP(INDEX(Upgrades!$C$3:$C$13,MATCH(Q1222,Upgrades!$B$3:$B$13,0))*1.15^(COUNTIF(Q$4:Q1221,Q1222)-COUNTIF(Q$4:Q1221,""Sell_""&amp;Q1222))))))"),"")</f>
        <v/>
      </c>
      <c r="V1222" s="10" t="str">
        <f t="shared" si="11"/>
        <v/>
      </c>
      <c r="W1222" s="68" t="str">
        <f t="shared" si="12"/>
        <v/>
      </c>
      <c r="X1222" s="59" t="str">
        <f t="shared" si="13"/>
        <v/>
      </c>
      <c r="Y1222" s="69" t="str">
        <f t="shared" si="14"/>
        <v/>
      </c>
      <c r="Z1222" s="11"/>
    </row>
    <row r="1223">
      <c r="A1223" s="8"/>
      <c r="B1223" s="56" t="str">
        <f t="shared" si="2"/>
        <v/>
      </c>
      <c r="C1223" s="57"/>
      <c r="D1223" s="10" t="str">
        <f>IFERROR(__xludf.DUMMYFUNCTION("IF(COUNTA(C1223:C1350)=0,"""",IF(ISBLANK(C1223),FALSE,IF(NOT(COUNTIF($AA$24:$AA$34,SUBSTITUTE(C1223,""Sell_"",""""))),1,IF(REGEXMATCH(C1223,""Sell_""),IF(COUNTIF(C$4:C1223,SUBSTITUTE(C1223,""Sell_"",""""))-COUNTIF(C$4:C1222,C1223)&lt;1,1),FALSE))))"),"")</f>
        <v/>
      </c>
      <c r="E1223" s="59" t="str">
        <f t="array" ref="E1223">IF(COUNTA(C1223:C1350)=0,"",SUM((COUNTIF(C$4:C1223,Upgrades!$B$3:$B$13)-COUNTIF(C$4:C1223,"Sell_"&amp;Upgrades!$B$3:$B$13))*Upgrades!$D$3:$D$13))</f>
        <v/>
      </c>
      <c r="F1223" s="66" t="str">
        <f>IFERROR(__xludf.DUMMYFUNCTION("IF(COUNTA(C1223:C1350)=0,"""",IF(REGEXMATCH(INDEX(FILTER(C$4:C1223,C$4:C1223&lt;&gt;""""),ROWS(FILTER(C$4:C1223,C$4:C1223&lt;&gt;""""))),""^Sell_""),INDEX(FILTER(F$4:F1222,C$4:C1222&lt;&gt;""""),ROWS(FILTER(C$4:C1222,C$4:C1222&lt;&gt;""""))),$AC$5+E1223))"),"")</f>
        <v/>
      </c>
      <c r="G1223" s="10" t="str">
        <f>IFERROR(__xludf.DUMMYFUNCTION("IF(COUNTA(C1223:C1350)=0,"""",IF(C1223="""",0,IF(REGEXMATCH(C1223,""^Sell_""),-ROUNDDOWN(ROUNDUP(INDEX(Upgrades!$C$3:$C$13,MATCH(SUBSTITUTE(C1223,""Sell_"",""""),Upgrades!$B$3:$B$13,0))*1.15^(COUNTIF(C$4:C1222,SUBSTITUTE(C1223,""Sell_"",""""))-COUNTIF(C$4"&amp;":C1222,""Sell_""&amp;SUBSTITUTE(C1223,""Sell_"",""""))))/2),ROUNDUP(INDEX(Upgrades!$C$3:$C$13,MATCH(C1223,Upgrades!$B$3:$B$13,0))*1.15^(COUNTIF(C$4:C1222,C1223)-COUNTIF(C$4:C1222,""Sell_""&amp;C1223))))))"),"")</f>
        <v/>
      </c>
      <c r="H1223" s="10" t="str">
        <f t="shared" si="3"/>
        <v/>
      </c>
      <c r="I1223" s="68" t="str">
        <f t="shared" si="4"/>
        <v/>
      </c>
      <c r="J1223" s="59" t="str">
        <f t="shared" si="5"/>
        <v/>
      </c>
      <c r="K1223" s="69" t="str">
        <f t="shared" si="6"/>
        <v/>
      </c>
      <c r="L1223" s="60" t="str">
        <f t="shared" si="7"/>
        <v/>
      </c>
      <c r="M1223" s="61" t="str">
        <f>IFERROR(__xludf.DUMMYFUNCTION("IFS(AND(COUNTA(C1223:C1350)=0,COUNTA(Q1223:Q1350)=0),"""",OR(AND(K1223&gt;=1000000000,OR(Y1223&gt;=1000000000,COUNTA(Q1223:Q1350)=0)),OR(Y1223&gt;=1000000000,AND(COUNTA(C1223:C1350)=0,P$3=TRUE))),
ROUNDDOWN((AB$1-AC$1)*MAX(INDEX(T$4:T1350,MATCH(LARGE(FILTER(Y$4:Y1"&amp;"350,Y$4:Y1350&lt;1000000000),1),Y$4:Y1350)),INDEX(F$4:F1350,MATCH(LARGE(FILTER(K$4:K1350,K$4:K1350&lt;1000000000),1),K$4:K1350)))),AND(K1223&lt;1000000000,COUNTA(C1223:C1350)&gt;0,P$3=FALSE),
ROUNDDOWN(INDEX(Y$4:Y1350,MATCH(LARGE(FILTER(W$4:W1350,W$4:W1350&lt;=I1223),1)"&amp;",W$4:W1350))+(I1223-LARGE(FILTER(W$4:W1350,W$4:W1350&lt;=I1223),1))*INDEX(T$4:T1350,MATCH(LARGE(FILTER(W$4:W1350,W$4:W1350&lt;=I1223),1),W$4:W1350))-K1223),1,
ROUNDDOWN(Y1223-INDEX(K$4:K1350,MATCH(LARGE(FILTER(I$4:I1350,I$4:I1350&lt;=W1223),1),I$4:I1350))-(W1223-L"&amp;"ARGE(FILTER(I$4:I1350,I$4:I1350&lt;=W1223),1))*INDEX(F$4:F1350,MATCH(LARGE(FILTER(I$4:I1350,I$4:I1350&lt;=W1223),1),I$4:I1350))))"),"")</f>
        <v/>
      </c>
      <c r="N1223" s="60" t="str">
        <f t="shared" si="8"/>
        <v/>
      </c>
      <c r="O1223" s="61" t="str">
        <f t="shared" si="9"/>
        <v/>
      </c>
      <c r="P1223" s="56" t="str">
        <f t="shared" si="10"/>
        <v/>
      </c>
      <c r="Q1223" s="62"/>
      <c r="R1223" s="10" t="str">
        <f>IFERROR(__xludf.DUMMYFUNCTION("IF(COUNTA(Q1223:Q1350)=0,"""",IF(ISBLANK(Q1223),FALSE,IF(NOT(COUNTIF($AA$24:$AA$34,SUBSTITUTE(Q1223,""Sell_"",""""))),1,IF(REGEXMATCH(Q1223,""Sell_""),IF(COUNTIF(Q$4:Q1223,SUBSTITUTE(Q1223,""Sell_"",""""))-COUNTIF(Q$4:Q1222,Q1223)&lt;1,1),FALSE))))"),"")</f>
        <v/>
      </c>
      <c r="S1223" s="59" t="str">
        <f t="array" ref="S1223">IF(COUNTA(Q1223:Q1350)=0,"",SUM((COUNTIF(Q$4:Q1223,Upgrades!$B$3:$B$13)-COUNTIF(Q$4:Q1223,"Sell_"&amp;Upgrades!$B$3:$B$13))*Upgrades!$D$3:$D$13))</f>
        <v/>
      </c>
      <c r="T1223" s="66" t="str">
        <f>IFERROR(__xludf.DUMMYFUNCTION("IF(COUNTA(Q1223:Q1350)=0,"""",IF(REGEXMATCH(INDEX(FILTER(Q$4:Q1223,Q$4:Q1223&lt;&gt;""""),ROWS(FILTER(Q$4:Q1223,Q$4:Q1223&lt;&gt;""""))),""^Sell_""),INDEX(FILTER(T$4:T1222,Q$4:Q1222&lt;&gt;""""),ROWS(FILTER(Q$4:Q1222,Q$4:Q1222&lt;&gt;""""))),$AD$5+S1223))"),"")</f>
        <v/>
      </c>
      <c r="U1223" s="10" t="str">
        <f>IFERROR(__xludf.DUMMYFUNCTION("IF(COUNTA(Q1223:Q1350)=0,"""",IF(Q1223="""",0,IF(REGEXMATCH(Q1223,""^Sell_""),-ROUNDDOWN(ROUNDUP(INDEX(Upgrades!$C$3:$C$13,MATCH(SUBSTITUTE(Q1223,""Sell_"",""""),Upgrades!$B$3:$B$13,0))*1.15^(COUNTIF(Q$4:Q1222,SUBSTITUTE(Q1223,""Sell_"",""""))-COUNTIF(Q$4"&amp;":Q1222,""Sell_""&amp;SUBSTITUTE(Q1223,""Sell_"",""""))))/2),ROUNDUP(INDEX(Upgrades!$C$3:$C$13,MATCH(Q1223,Upgrades!$B$3:$B$13,0))*1.15^(COUNTIF(Q$4:Q1222,Q1223)-COUNTIF(Q$4:Q1222,""Sell_""&amp;Q1223))))))"),"")</f>
        <v/>
      </c>
      <c r="V1223" s="10" t="str">
        <f t="shared" si="11"/>
        <v/>
      </c>
      <c r="W1223" s="68" t="str">
        <f t="shared" si="12"/>
        <v/>
      </c>
      <c r="X1223" s="59" t="str">
        <f t="shared" si="13"/>
        <v/>
      </c>
      <c r="Y1223" s="69" t="str">
        <f t="shared" si="14"/>
        <v/>
      </c>
      <c r="Z1223" s="11"/>
    </row>
    <row r="1224">
      <c r="A1224" s="8"/>
      <c r="B1224" s="56" t="str">
        <f t="shared" si="2"/>
        <v/>
      </c>
      <c r="C1224" s="57"/>
      <c r="D1224" s="10" t="str">
        <f>IFERROR(__xludf.DUMMYFUNCTION("IF(COUNTA(C1224:C1350)=0,"""",IF(ISBLANK(C1224),FALSE,IF(NOT(COUNTIF($AA$24:$AA$34,SUBSTITUTE(C1224,""Sell_"",""""))),1,IF(REGEXMATCH(C1224,""Sell_""),IF(COUNTIF(C$4:C1224,SUBSTITUTE(C1224,""Sell_"",""""))-COUNTIF(C$4:C1223,C1224)&lt;1,1),FALSE))))"),"")</f>
        <v/>
      </c>
      <c r="E1224" s="59" t="str">
        <f t="array" ref="E1224">IF(COUNTA(C1224:C1350)=0,"",SUM((COUNTIF(C$4:C1224,Upgrades!$B$3:$B$13)-COUNTIF(C$4:C1224,"Sell_"&amp;Upgrades!$B$3:$B$13))*Upgrades!$D$3:$D$13))</f>
        <v/>
      </c>
      <c r="F1224" s="66" t="str">
        <f>IFERROR(__xludf.DUMMYFUNCTION("IF(COUNTA(C1224:C1350)=0,"""",IF(REGEXMATCH(INDEX(FILTER(C$4:C1224,C$4:C1224&lt;&gt;""""),ROWS(FILTER(C$4:C1224,C$4:C1224&lt;&gt;""""))),""^Sell_""),INDEX(FILTER(F$4:F1223,C$4:C1223&lt;&gt;""""),ROWS(FILTER(C$4:C1223,C$4:C1223&lt;&gt;""""))),$AC$5+E1224))"),"")</f>
        <v/>
      </c>
      <c r="G1224" s="10" t="str">
        <f>IFERROR(__xludf.DUMMYFUNCTION("IF(COUNTA(C1224:C1350)=0,"""",IF(C1224="""",0,IF(REGEXMATCH(C1224,""^Sell_""),-ROUNDDOWN(ROUNDUP(INDEX(Upgrades!$C$3:$C$13,MATCH(SUBSTITUTE(C1224,""Sell_"",""""),Upgrades!$B$3:$B$13,0))*1.15^(COUNTIF(C$4:C1223,SUBSTITUTE(C1224,""Sell_"",""""))-COUNTIF(C$4"&amp;":C1223,""Sell_""&amp;SUBSTITUTE(C1224,""Sell_"",""""))))/2),ROUNDUP(INDEX(Upgrades!$C$3:$C$13,MATCH(C1224,Upgrades!$B$3:$B$13,0))*1.15^(COUNTIF(C$4:C1223,C1224)-COUNTIF(C$4:C1223,""Sell_""&amp;C1224))))))"),"")</f>
        <v/>
      </c>
      <c r="H1224" s="10" t="str">
        <f t="shared" si="3"/>
        <v/>
      </c>
      <c r="I1224" s="68" t="str">
        <f t="shared" si="4"/>
        <v/>
      </c>
      <c r="J1224" s="59" t="str">
        <f t="shared" si="5"/>
        <v/>
      </c>
      <c r="K1224" s="69" t="str">
        <f t="shared" si="6"/>
        <v/>
      </c>
      <c r="L1224" s="60" t="str">
        <f t="shared" si="7"/>
        <v/>
      </c>
      <c r="M1224" s="61" t="str">
        <f>IFERROR(__xludf.DUMMYFUNCTION("IFS(AND(COUNTA(C1224:C1350)=0,COUNTA(Q1224:Q1350)=0),"""",OR(AND(K1224&gt;=1000000000,OR(Y1224&gt;=1000000000,COUNTA(Q1224:Q1350)=0)),OR(Y1224&gt;=1000000000,AND(COUNTA(C1224:C1350)=0,P$3=TRUE))),
ROUNDDOWN((AB$1-AC$1)*MAX(INDEX(T$4:T1350,MATCH(LARGE(FILTER(Y$4:Y1"&amp;"350,Y$4:Y1350&lt;1000000000),1),Y$4:Y1350)),INDEX(F$4:F1350,MATCH(LARGE(FILTER(K$4:K1350,K$4:K1350&lt;1000000000),1),K$4:K1350)))),AND(K1224&lt;1000000000,COUNTA(C1224:C1350)&gt;0,P$3=FALSE),
ROUNDDOWN(INDEX(Y$4:Y1350,MATCH(LARGE(FILTER(W$4:W1350,W$4:W1350&lt;=I1224),1)"&amp;",W$4:W1350))+(I1224-LARGE(FILTER(W$4:W1350,W$4:W1350&lt;=I1224),1))*INDEX(T$4:T1350,MATCH(LARGE(FILTER(W$4:W1350,W$4:W1350&lt;=I1224),1),W$4:W1350))-K1224),1,
ROUNDDOWN(Y1224-INDEX(K$4:K1350,MATCH(LARGE(FILTER(I$4:I1350,I$4:I1350&lt;=W1224),1),I$4:I1350))-(W1224-L"&amp;"ARGE(FILTER(I$4:I1350,I$4:I1350&lt;=W1224),1))*INDEX(F$4:F1350,MATCH(LARGE(FILTER(I$4:I1350,I$4:I1350&lt;=W1224),1),I$4:I1350))))"),"")</f>
        <v/>
      </c>
      <c r="N1224" s="60" t="str">
        <f t="shared" si="8"/>
        <v/>
      </c>
      <c r="O1224" s="61" t="str">
        <f t="shared" si="9"/>
        <v/>
      </c>
      <c r="P1224" s="56" t="str">
        <f t="shared" si="10"/>
        <v/>
      </c>
      <c r="Q1224" s="62"/>
      <c r="R1224" s="10" t="str">
        <f>IFERROR(__xludf.DUMMYFUNCTION("IF(COUNTA(Q1224:Q1350)=0,"""",IF(ISBLANK(Q1224),FALSE,IF(NOT(COUNTIF($AA$24:$AA$34,SUBSTITUTE(Q1224,""Sell_"",""""))),1,IF(REGEXMATCH(Q1224,""Sell_""),IF(COUNTIF(Q$4:Q1224,SUBSTITUTE(Q1224,""Sell_"",""""))-COUNTIF(Q$4:Q1223,Q1224)&lt;1,1),FALSE))))"),"")</f>
        <v/>
      </c>
      <c r="S1224" s="59" t="str">
        <f t="array" ref="S1224">IF(COUNTA(Q1224:Q1350)=0,"",SUM((COUNTIF(Q$4:Q1224,Upgrades!$B$3:$B$13)-COUNTIF(Q$4:Q1224,"Sell_"&amp;Upgrades!$B$3:$B$13))*Upgrades!$D$3:$D$13))</f>
        <v/>
      </c>
      <c r="T1224" s="66" t="str">
        <f>IFERROR(__xludf.DUMMYFUNCTION("IF(COUNTA(Q1224:Q1350)=0,"""",IF(REGEXMATCH(INDEX(FILTER(Q$4:Q1224,Q$4:Q1224&lt;&gt;""""),ROWS(FILTER(Q$4:Q1224,Q$4:Q1224&lt;&gt;""""))),""^Sell_""),INDEX(FILTER(T$4:T1223,Q$4:Q1223&lt;&gt;""""),ROWS(FILTER(Q$4:Q1223,Q$4:Q1223&lt;&gt;""""))),$AD$5+S1224))"),"")</f>
        <v/>
      </c>
      <c r="U1224" s="10" t="str">
        <f>IFERROR(__xludf.DUMMYFUNCTION("IF(COUNTA(Q1224:Q1350)=0,"""",IF(Q1224="""",0,IF(REGEXMATCH(Q1224,""^Sell_""),-ROUNDDOWN(ROUNDUP(INDEX(Upgrades!$C$3:$C$13,MATCH(SUBSTITUTE(Q1224,""Sell_"",""""),Upgrades!$B$3:$B$13,0))*1.15^(COUNTIF(Q$4:Q1223,SUBSTITUTE(Q1224,""Sell_"",""""))-COUNTIF(Q$4"&amp;":Q1223,""Sell_""&amp;SUBSTITUTE(Q1224,""Sell_"",""""))))/2),ROUNDUP(INDEX(Upgrades!$C$3:$C$13,MATCH(Q1224,Upgrades!$B$3:$B$13,0))*1.15^(COUNTIF(Q$4:Q1223,Q1224)-COUNTIF(Q$4:Q1223,""Sell_""&amp;Q1224))))))"),"")</f>
        <v/>
      </c>
      <c r="V1224" s="10" t="str">
        <f t="shared" si="11"/>
        <v/>
      </c>
      <c r="W1224" s="68" t="str">
        <f t="shared" si="12"/>
        <v/>
      </c>
      <c r="X1224" s="59" t="str">
        <f t="shared" si="13"/>
        <v/>
      </c>
      <c r="Y1224" s="69" t="str">
        <f t="shared" si="14"/>
        <v/>
      </c>
      <c r="Z1224" s="11"/>
    </row>
    <row r="1225">
      <c r="A1225" s="8"/>
      <c r="B1225" s="56" t="str">
        <f t="shared" si="2"/>
        <v/>
      </c>
      <c r="C1225" s="57"/>
      <c r="D1225" s="10" t="str">
        <f>IFERROR(__xludf.DUMMYFUNCTION("IF(COUNTA(C1225:C1350)=0,"""",IF(ISBLANK(C1225),FALSE,IF(NOT(COUNTIF($AA$24:$AA$34,SUBSTITUTE(C1225,""Sell_"",""""))),1,IF(REGEXMATCH(C1225,""Sell_""),IF(COUNTIF(C$4:C1225,SUBSTITUTE(C1225,""Sell_"",""""))-COUNTIF(C$4:C1224,C1225)&lt;1,1),FALSE))))"),"")</f>
        <v/>
      </c>
      <c r="E1225" s="59" t="str">
        <f t="array" ref="E1225">IF(COUNTA(C1225:C1350)=0,"",SUM((COUNTIF(C$4:C1225,Upgrades!$B$3:$B$13)-COUNTIF(C$4:C1225,"Sell_"&amp;Upgrades!$B$3:$B$13))*Upgrades!$D$3:$D$13))</f>
        <v/>
      </c>
      <c r="F1225" s="66" t="str">
        <f>IFERROR(__xludf.DUMMYFUNCTION("IF(COUNTA(C1225:C1350)=0,"""",IF(REGEXMATCH(INDEX(FILTER(C$4:C1225,C$4:C1225&lt;&gt;""""),ROWS(FILTER(C$4:C1225,C$4:C1225&lt;&gt;""""))),""^Sell_""),INDEX(FILTER(F$4:F1224,C$4:C1224&lt;&gt;""""),ROWS(FILTER(C$4:C1224,C$4:C1224&lt;&gt;""""))),$AC$5+E1225))"),"")</f>
        <v/>
      </c>
      <c r="G1225" s="10" t="str">
        <f>IFERROR(__xludf.DUMMYFUNCTION("IF(COUNTA(C1225:C1350)=0,"""",IF(C1225="""",0,IF(REGEXMATCH(C1225,""^Sell_""),-ROUNDDOWN(ROUNDUP(INDEX(Upgrades!$C$3:$C$13,MATCH(SUBSTITUTE(C1225,""Sell_"",""""),Upgrades!$B$3:$B$13,0))*1.15^(COUNTIF(C$4:C1224,SUBSTITUTE(C1225,""Sell_"",""""))-COUNTIF(C$4"&amp;":C1224,""Sell_""&amp;SUBSTITUTE(C1225,""Sell_"",""""))))/2),ROUNDUP(INDEX(Upgrades!$C$3:$C$13,MATCH(C1225,Upgrades!$B$3:$B$13,0))*1.15^(COUNTIF(C$4:C1224,C1225)-COUNTIF(C$4:C1224,""Sell_""&amp;C1225))))))"),"")</f>
        <v/>
      </c>
      <c r="H1225" s="10" t="str">
        <f t="shared" si="3"/>
        <v/>
      </c>
      <c r="I1225" s="68" t="str">
        <f t="shared" si="4"/>
        <v/>
      </c>
      <c r="J1225" s="59" t="str">
        <f t="shared" si="5"/>
        <v/>
      </c>
      <c r="K1225" s="69" t="str">
        <f t="shared" si="6"/>
        <v/>
      </c>
      <c r="L1225" s="60" t="str">
        <f t="shared" si="7"/>
        <v/>
      </c>
      <c r="M1225" s="61" t="str">
        <f>IFERROR(__xludf.DUMMYFUNCTION("IFS(AND(COUNTA(C1225:C1350)=0,COUNTA(Q1225:Q1350)=0),"""",OR(AND(K1225&gt;=1000000000,OR(Y1225&gt;=1000000000,COUNTA(Q1225:Q1350)=0)),OR(Y1225&gt;=1000000000,AND(COUNTA(C1225:C1350)=0,P$3=TRUE))),
ROUNDDOWN((AB$1-AC$1)*MAX(INDEX(T$4:T1350,MATCH(LARGE(FILTER(Y$4:Y1"&amp;"350,Y$4:Y1350&lt;1000000000),1),Y$4:Y1350)),INDEX(F$4:F1350,MATCH(LARGE(FILTER(K$4:K1350,K$4:K1350&lt;1000000000),1),K$4:K1350)))),AND(K1225&lt;1000000000,COUNTA(C1225:C1350)&gt;0,P$3=FALSE),
ROUNDDOWN(INDEX(Y$4:Y1350,MATCH(LARGE(FILTER(W$4:W1350,W$4:W1350&lt;=I1225),1)"&amp;",W$4:W1350))+(I1225-LARGE(FILTER(W$4:W1350,W$4:W1350&lt;=I1225),1))*INDEX(T$4:T1350,MATCH(LARGE(FILTER(W$4:W1350,W$4:W1350&lt;=I1225),1),W$4:W1350))-K1225),1,
ROUNDDOWN(Y1225-INDEX(K$4:K1350,MATCH(LARGE(FILTER(I$4:I1350,I$4:I1350&lt;=W1225),1),I$4:I1350))-(W1225-L"&amp;"ARGE(FILTER(I$4:I1350,I$4:I1350&lt;=W1225),1))*INDEX(F$4:F1350,MATCH(LARGE(FILTER(I$4:I1350,I$4:I1350&lt;=W1225),1),I$4:I1350))))"),"")</f>
        <v/>
      </c>
      <c r="N1225" s="60" t="str">
        <f t="shared" si="8"/>
        <v/>
      </c>
      <c r="O1225" s="61" t="str">
        <f t="shared" si="9"/>
        <v/>
      </c>
      <c r="P1225" s="56" t="str">
        <f t="shared" si="10"/>
        <v/>
      </c>
      <c r="Q1225" s="62"/>
      <c r="R1225" s="10" t="str">
        <f>IFERROR(__xludf.DUMMYFUNCTION("IF(COUNTA(Q1225:Q1350)=0,"""",IF(ISBLANK(Q1225),FALSE,IF(NOT(COUNTIF($AA$24:$AA$34,SUBSTITUTE(Q1225,""Sell_"",""""))),1,IF(REGEXMATCH(Q1225,""Sell_""),IF(COUNTIF(Q$4:Q1225,SUBSTITUTE(Q1225,""Sell_"",""""))-COUNTIF(Q$4:Q1224,Q1225)&lt;1,1),FALSE))))"),"")</f>
        <v/>
      </c>
      <c r="S1225" s="59" t="str">
        <f t="array" ref="S1225">IF(COUNTA(Q1225:Q1350)=0,"",SUM((COUNTIF(Q$4:Q1225,Upgrades!$B$3:$B$13)-COUNTIF(Q$4:Q1225,"Sell_"&amp;Upgrades!$B$3:$B$13))*Upgrades!$D$3:$D$13))</f>
        <v/>
      </c>
      <c r="T1225" s="66" t="str">
        <f>IFERROR(__xludf.DUMMYFUNCTION("IF(COUNTA(Q1225:Q1350)=0,"""",IF(REGEXMATCH(INDEX(FILTER(Q$4:Q1225,Q$4:Q1225&lt;&gt;""""),ROWS(FILTER(Q$4:Q1225,Q$4:Q1225&lt;&gt;""""))),""^Sell_""),INDEX(FILTER(T$4:T1224,Q$4:Q1224&lt;&gt;""""),ROWS(FILTER(Q$4:Q1224,Q$4:Q1224&lt;&gt;""""))),$AD$5+S1225))"),"")</f>
        <v/>
      </c>
      <c r="U1225" s="10" t="str">
        <f>IFERROR(__xludf.DUMMYFUNCTION("IF(COUNTA(Q1225:Q1350)=0,"""",IF(Q1225="""",0,IF(REGEXMATCH(Q1225,""^Sell_""),-ROUNDDOWN(ROUNDUP(INDEX(Upgrades!$C$3:$C$13,MATCH(SUBSTITUTE(Q1225,""Sell_"",""""),Upgrades!$B$3:$B$13,0))*1.15^(COUNTIF(Q$4:Q1224,SUBSTITUTE(Q1225,""Sell_"",""""))-COUNTIF(Q$4"&amp;":Q1224,""Sell_""&amp;SUBSTITUTE(Q1225,""Sell_"",""""))))/2),ROUNDUP(INDEX(Upgrades!$C$3:$C$13,MATCH(Q1225,Upgrades!$B$3:$B$13,0))*1.15^(COUNTIF(Q$4:Q1224,Q1225)-COUNTIF(Q$4:Q1224,""Sell_""&amp;Q1225))))))"),"")</f>
        <v/>
      </c>
      <c r="V1225" s="10" t="str">
        <f t="shared" si="11"/>
        <v/>
      </c>
      <c r="W1225" s="68" t="str">
        <f t="shared" si="12"/>
        <v/>
      </c>
      <c r="X1225" s="59" t="str">
        <f t="shared" si="13"/>
        <v/>
      </c>
      <c r="Y1225" s="69" t="str">
        <f t="shared" si="14"/>
        <v/>
      </c>
      <c r="Z1225" s="11"/>
    </row>
    <row r="1226">
      <c r="A1226" s="8"/>
      <c r="B1226" s="56" t="str">
        <f t="shared" si="2"/>
        <v/>
      </c>
      <c r="C1226" s="57"/>
      <c r="D1226" s="10" t="str">
        <f>IFERROR(__xludf.DUMMYFUNCTION("IF(COUNTA(C1226:C1350)=0,"""",IF(ISBLANK(C1226),FALSE,IF(NOT(COUNTIF($AA$24:$AA$34,SUBSTITUTE(C1226,""Sell_"",""""))),1,IF(REGEXMATCH(C1226,""Sell_""),IF(COUNTIF(C$4:C1226,SUBSTITUTE(C1226,""Sell_"",""""))-COUNTIF(C$4:C1225,C1226)&lt;1,1),FALSE))))"),"")</f>
        <v/>
      </c>
      <c r="E1226" s="59" t="str">
        <f t="array" ref="E1226">IF(COUNTA(C1226:C1350)=0,"",SUM((COUNTIF(C$4:C1226,Upgrades!$B$3:$B$13)-COUNTIF(C$4:C1226,"Sell_"&amp;Upgrades!$B$3:$B$13))*Upgrades!$D$3:$D$13))</f>
        <v/>
      </c>
      <c r="F1226" s="66" t="str">
        <f>IFERROR(__xludf.DUMMYFUNCTION("IF(COUNTA(C1226:C1350)=0,"""",IF(REGEXMATCH(INDEX(FILTER(C$4:C1226,C$4:C1226&lt;&gt;""""),ROWS(FILTER(C$4:C1226,C$4:C1226&lt;&gt;""""))),""^Sell_""),INDEX(FILTER(F$4:F1225,C$4:C1225&lt;&gt;""""),ROWS(FILTER(C$4:C1225,C$4:C1225&lt;&gt;""""))),$AC$5+E1226))"),"")</f>
        <v/>
      </c>
      <c r="G1226" s="10" t="str">
        <f>IFERROR(__xludf.DUMMYFUNCTION("IF(COUNTA(C1226:C1350)=0,"""",IF(C1226="""",0,IF(REGEXMATCH(C1226,""^Sell_""),-ROUNDDOWN(ROUNDUP(INDEX(Upgrades!$C$3:$C$13,MATCH(SUBSTITUTE(C1226,""Sell_"",""""),Upgrades!$B$3:$B$13,0))*1.15^(COUNTIF(C$4:C1225,SUBSTITUTE(C1226,""Sell_"",""""))-COUNTIF(C$4"&amp;":C1225,""Sell_""&amp;SUBSTITUTE(C1226,""Sell_"",""""))))/2),ROUNDUP(INDEX(Upgrades!$C$3:$C$13,MATCH(C1226,Upgrades!$B$3:$B$13,0))*1.15^(COUNTIF(C$4:C1225,C1226)-COUNTIF(C$4:C1225,""Sell_""&amp;C1226))))))"),"")</f>
        <v/>
      </c>
      <c r="H1226" s="10" t="str">
        <f t="shared" si="3"/>
        <v/>
      </c>
      <c r="I1226" s="68" t="str">
        <f t="shared" si="4"/>
        <v/>
      </c>
      <c r="J1226" s="59" t="str">
        <f t="shared" si="5"/>
        <v/>
      </c>
      <c r="K1226" s="69" t="str">
        <f t="shared" si="6"/>
        <v/>
      </c>
      <c r="L1226" s="60" t="str">
        <f t="shared" si="7"/>
        <v/>
      </c>
      <c r="M1226" s="61" t="str">
        <f>IFERROR(__xludf.DUMMYFUNCTION("IFS(AND(COUNTA(C1226:C1350)=0,COUNTA(Q1226:Q1350)=0),"""",OR(AND(K1226&gt;=1000000000,OR(Y1226&gt;=1000000000,COUNTA(Q1226:Q1350)=0)),OR(Y1226&gt;=1000000000,AND(COUNTA(C1226:C1350)=0,P$3=TRUE))),
ROUNDDOWN((AB$1-AC$1)*MAX(INDEX(T$4:T1350,MATCH(LARGE(FILTER(Y$4:Y1"&amp;"350,Y$4:Y1350&lt;1000000000),1),Y$4:Y1350)),INDEX(F$4:F1350,MATCH(LARGE(FILTER(K$4:K1350,K$4:K1350&lt;1000000000),1),K$4:K1350)))),AND(K1226&lt;1000000000,COUNTA(C1226:C1350)&gt;0,P$3=FALSE),
ROUNDDOWN(INDEX(Y$4:Y1350,MATCH(LARGE(FILTER(W$4:W1350,W$4:W1350&lt;=I1226),1)"&amp;",W$4:W1350))+(I1226-LARGE(FILTER(W$4:W1350,W$4:W1350&lt;=I1226),1))*INDEX(T$4:T1350,MATCH(LARGE(FILTER(W$4:W1350,W$4:W1350&lt;=I1226),1),W$4:W1350))-K1226),1,
ROUNDDOWN(Y1226-INDEX(K$4:K1350,MATCH(LARGE(FILTER(I$4:I1350,I$4:I1350&lt;=W1226),1),I$4:I1350))-(W1226-L"&amp;"ARGE(FILTER(I$4:I1350,I$4:I1350&lt;=W1226),1))*INDEX(F$4:F1350,MATCH(LARGE(FILTER(I$4:I1350,I$4:I1350&lt;=W1226),1),I$4:I1350))))"),"")</f>
        <v/>
      </c>
      <c r="N1226" s="60" t="str">
        <f t="shared" si="8"/>
        <v/>
      </c>
      <c r="O1226" s="61" t="str">
        <f t="shared" si="9"/>
        <v/>
      </c>
      <c r="P1226" s="56" t="str">
        <f t="shared" si="10"/>
        <v/>
      </c>
      <c r="Q1226" s="62"/>
      <c r="R1226" s="10" t="str">
        <f>IFERROR(__xludf.DUMMYFUNCTION("IF(COUNTA(Q1226:Q1350)=0,"""",IF(ISBLANK(Q1226),FALSE,IF(NOT(COUNTIF($AA$24:$AA$34,SUBSTITUTE(Q1226,""Sell_"",""""))),1,IF(REGEXMATCH(Q1226,""Sell_""),IF(COUNTIF(Q$4:Q1226,SUBSTITUTE(Q1226,""Sell_"",""""))-COUNTIF(Q$4:Q1225,Q1226)&lt;1,1),FALSE))))"),"")</f>
        <v/>
      </c>
      <c r="S1226" s="59" t="str">
        <f t="array" ref="S1226">IF(COUNTA(Q1226:Q1350)=0,"",SUM((COUNTIF(Q$4:Q1226,Upgrades!$B$3:$B$13)-COUNTIF(Q$4:Q1226,"Sell_"&amp;Upgrades!$B$3:$B$13))*Upgrades!$D$3:$D$13))</f>
        <v/>
      </c>
      <c r="T1226" s="66" t="str">
        <f>IFERROR(__xludf.DUMMYFUNCTION("IF(COUNTA(Q1226:Q1350)=0,"""",IF(REGEXMATCH(INDEX(FILTER(Q$4:Q1226,Q$4:Q1226&lt;&gt;""""),ROWS(FILTER(Q$4:Q1226,Q$4:Q1226&lt;&gt;""""))),""^Sell_""),INDEX(FILTER(T$4:T1225,Q$4:Q1225&lt;&gt;""""),ROWS(FILTER(Q$4:Q1225,Q$4:Q1225&lt;&gt;""""))),$AD$5+S1226))"),"")</f>
        <v/>
      </c>
      <c r="U1226" s="10" t="str">
        <f>IFERROR(__xludf.DUMMYFUNCTION("IF(COUNTA(Q1226:Q1350)=0,"""",IF(Q1226="""",0,IF(REGEXMATCH(Q1226,""^Sell_""),-ROUNDDOWN(ROUNDUP(INDEX(Upgrades!$C$3:$C$13,MATCH(SUBSTITUTE(Q1226,""Sell_"",""""),Upgrades!$B$3:$B$13,0))*1.15^(COUNTIF(Q$4:Q1225,SUBSTITUTE(Q1226,""Sell_"",""""))-COUNTIF(Q$4"&amp;":Q1225,""Sell_""&amp;SUBSTITUTE(Q1226,""Sell_"",""""))))/2),ROUNDUP(INDEX(Upgrades!$C$3:$C$13,MATCH(Q1226,Upgrades!$B$3:$B$13,0))*1.15^(COUNTIF(Q$4:Q1225,Q1226)-COUNTIF(Q$4:Q1225,""Sell_""&amp;Q1226))))))"),"")</f>
        <v/>
      </c>
      <c r="V1226" s="10" t="str">
        <f t="shared" si="11"/>
        <v/>
      </c>
      <c r="W1226" s="68" t="str">
        <f t="shared" si="12"/>
        <v/>
      </c>
      <c r="X1226" s="59" t="str">
        <f t="shared" si="13"/>
        <v/>
      </c>
      <c r="Y1226" s="69" t="str">
        <f t="shared" si="14"/>
        <v/>
      </c>
      <c r="Z1226" s="11"/>
    </row>
    <row r="1227">
      <c r="A1227" s="8"/>
      <c r="B1227" s="56" t="str">
        <f t="shared" si="2"/>
        <v/>
      </c>
      <c r="C1227" s="57"/>
      <c r="D1227" s="10" t="str">
        <f>IFERROR(__xludf.DUMMYFUNCTION("IF(COUNTA(C1227:C1350)=0,"""",IF(ISBLANK(C1227),FALSE,IF(NOT(COUNTIF($AA$24:$AA$34,SUBSTITUTE(C1227,""Sell_"",""""))),1,IF(REGEXMATCH(C1227,""Sell_""),IF(COUNTIF(C$4:C1227,SUBSTITUTE(C1227,""Sell_"",""""))-COUNTIF(C$4:C1226,C1227)&lt;1,1),FALSE))))"),"")</f>
        <v/>
      </c>
      <c r="E1227" s="59" t="str">
        <f t="array" ref="E1227">IF(COUNTA(C1227:C1350)=0,"",SUM((COUNTIF(C$4:C1227,Upgrades!$B$3:$B$13)-COUNTIF(C$4:C1227,"Sell_"&amp;Upgrades!$B$3:$B$13))*Upgrades!$D$3:$D$13))</f>
        <v/>
      </c>
      <c r="F1227" s="66" t="str">
        <f>IFERROR(__xludf.DUMMYFUNCTION("IF(COUNTA(C1227:C1350)=0,"""",IF(REGEXMATCH(INDEX(FILTER(C$4:C1227,C$4:C1227&lt;&gt;""""),ROWS(FILTER(C$4:C1227,C$4:C1227&lt;&gt;""""))),""^Sell_""),INDEX(FILTER(F$4:F1226,C$4:C1226&lt;&gt;""""),ROWS(FILTER(C$4:C1226,C$4:C1226&lt;&gt;""""))),$AC$5+E1227))"),"")</f>
        <v/>
      </c>
      <c r="G1227" s="10" t="str">
        <f>IFERROR(__xludf.DUMMYFUNCTION("IF(COUNTA(C1227:C1350)=0,"""",IF(C1227="""",0,IF(REGEXMATCH(C1227,""^Sell_""),-ROUNDDOWN(ROUNDUP(INDEX(Upgrades!$C$3:$C$13,MATCH(SUBSTITUTE(C1227,""Sell_"",""""),Upgrades!$B$3:$B$13,0))*1.15^(COUNTIF(C$4:C1226,SUBSTITUTE(C1227,""Sell_"",""""))-COUNTIF(C$4"&amp;":C1226,""Sell_""&amp;SUBSTITUTE(C1227,""Sell_"",""""))))/2),ROUNDUP(INDEX(Upgrades!$C$3:$C$13,MATCH(C1227,Upgrades!$B$3:$B$13,0))*1.15^(COUNTIF(C$4:C1226,C1227)-COUNTIF(C$4:C1226,""Sell_""&amp;C1227))))))"),"")</f>
        <v/>
      </c>
      <c r="H1227" s="10" t="str">
        <f t="shared" si="3"/>
        <v/>
      </c>
      <c r="I1227" s="68" t="str">
        <f t="shared" si="4"/>
        <v/>
      </c>
      <c r="J1227" s="59" t="str">
        <f t="shared" si="5"/>
        <v/>
      </c>
      <c r="K1227" s="69" t="str">
        <f t="shared" si="6"/>
        <v/>
      </c>
      <c r="L1227" s="60" t="str">
        <f t="shared" si="7"/>
        <v/>
      </c>
      <c r="M1227" s="61" t="str">
        <f>IFERROR(__xludf.DUMMYFUNCTION("IFS(AND(COUNTA(C1227:C1350)=0,COUNTA(Q1227:Q1350)=0),"""",OR(AND(K1227&gt;=1000000000,OR(Y1227&gt;=1000000000,COUNTA(Q1227:Q1350)=0)),OR(Y1227&gt;=1000000000,AND(COUNTA(C1227:C1350)=0,P$3=TRUE))),
ROUNDDOWN((AB$1-AC$1)*MAX(INDEX(T$4:T1350,MATCH(LARGE(FILTER(Y$4:Y1"&amp;"350,Y$4:Y1350&lt;1000000000),1),Y$4:Y1350)),INDEX(F$4:F1350,MATCH(LARGE(FILTER(K$4:K1350,K$4:K1350&lt;1000000000),1),K$4:K1350)))),AND(K1227&lt;1000000000,COUNTA(C1227:C1350)&gt;0,P$3=FALSE),
ROUNDDOWN(INDEX(Y$4:Y1350,MATCH(LARGE(FILTER(W$4:W1350,W$4:W1350&lt;=I1227),1)"&amp;",W$4:W1350))+(I1227-LARGE(FILTER(W$4:W1350,W$4:W1350&lt;=I1227),1))*INDEX(T$4:T1350,MATCH(LARGE(FILTER(W$4:W1350,W$4:W1350&lt;=I1227),1),W$4:W1350))-K1227),1,
ROUNDDOWN(Y1227-INDEX(K$4:K1350,MATCH(LARGE(FILTER(I$4:I1350,I$4:I1350&lt;=W1227),1),I$4:I1350))-(W1227-L"&amp;"ARGE(FILTER(I$4:I1350,I$4:I1350&lt;=W1227),1))*INDEX(F$4:F1350,MATCH(LARGE(FILTER(I$4:I1350,I$4:I1350&lt;=W1227),1),I$4:I1350))))"),"")</f>
        <v/>
      </c>
      <c r="N1227" s="60" t="str">
        <f t="shared" si="8"/>
        <v/>
      </c>
      <c r="O1227" s="61" t="str">
        <f t="shared" si="9"/>
        <v/>
      </c>
      <c r="P1227" s="56" t="str">
        <f t="shared" si="10"/>
        <v/>
      </c>
      <c r="Q1227" s="62"/>
      <c r="R1227" s="10" t="str">
        <f>IFERROR(__xludf.DUMMYFUNCTION("IF(COUNTA(Q1227:Q1350)=0,"""",IF(ISBLANK(Q1227),FALSE,IF(NOT(COUNTIF($AA$24:$AA$34,SUBSTITUTE(Q1227,""Sell_"",""""))),1,IF(REGEXMATCH(Q1227,""Sell_""),IF(COUNTIF(Q$4:Q1227,SUBSTITUTE(Q1227,""Sell_"",""""))-COUNTIF(Q$4:Q1226,Q1227)&lt;1,1),FALSE))))"),"")</f>
        <v/>
      </c>
      <c r="S1227" s="59" t="str">
        <f t="array" ref="S1227">IF(COUNTA(Q1227:Q1350)=0,"",SUM((COUNTIF(Q$4:Q1227,Upgrades!$B$3:$B$13)-COUNTIF(Q$4:Q1227,"Sell_"&amp;Upgrades!$B$3:$B$13))*Upgrades!$D$3:$D$13))</f>
        <v/>
      </c>
      <c r="T1227" s="66" t="str">
        <f>IFERROR(__xludf.DUMMYFUNCTION("IF(COUNTA(Q1227:Q1350)=0,"""",IF(REGEXMATCH(INDEX(FILTER(Q$4:Q1227,Q$4:Q1227&lt;&gt;""""),ROWS(FILTER(Q$4:Q1227,Q$4:Q1227&lt;&gt;""""))),""^Sell_""),INDEX(FILTER(T$4:T1226,Q$4:Q1226&lt;&gt;""""),ROWS(FILTER(Q$4:Q1226,Q$4:Q1226&lt;&gt;""""))),$AD$5+S1227))"),"")</f>
        <v/>
      </c>
      <c r="U1227" s="10" t="str">
        <f>IFERROR(__xludf.DUMMYFUNCTION("IF(COUNTA(Q1227:Q1350)=0,"""",IF(Q1227="""",0,IF(REGEXMATCH(Q1227,""^Sell_""),-ROUNDDOWN(ROUNDUP(INDEX(Upgrades!$C$3:$C$13,MATCH(SUBSTITUTE(Q1227,""Sell_"",""""),Upgrades!$B$3:$B$13,0))*1.15^(COUNTIF(Q$4:Q1226,SUBSTITUTE(Q1227,""Sell_"",""""))-COUNTIF(Q$4"&amp;":Q1226,""Sell_""&amp;SUBSTITUTE(Q1227,""Sell_"",""""))))/2),ROUNDUP(INDEX(Upgrades!$C$3:$C$13,MATCH(Q1227,Upgrades!$B$3:$B$13,0))*1.15^(COUNTIF(Q$4:Q1226,Q1227)-COUNTIF(Q$4:Q1226,""Sell_""&amp;Q1227))))))"),"")</f>
        <v/>
      </c>
      <c r="V1227" s="10" t="str">
        <f t="shared" si="11"/>
        <v/>
      </c>
      <c r="W1227" s="68" t="str">
        <f t="shared" si="12"/>
        <v/>
      </c>
      <c r="X1227" s="59" t="str">
        <f t="shared" si="13"/>
        <v/>
      </c>
      <c r="Y1227" s="69" t="str">
        <f t="shared" si="14"/>
        <v/>
      </c>
      <c r="Z1227" s="11"/>
    </row>
    <row r="1228">
      <c r="A1228" s="8"/>
      <c r="B1228" s="56" t="str">
        <f t="shared" si="2"/>
        <v/>
      </c>
      <c r="C1228" s="57"/>
      <c r="D1228" s="10" t="str">
        <f>IFERROR(__xludf.DUMMYFUNCTION("IF(COUNTA(C1228:C1350)=0,"""",IF(ISBLANK(C1228),FALSE,IF(NOT(COUNTIF($AA$24:$AA$34,SUBSTITUTE(C1228,""Sell_"",""""))),1,IF(REGEXMATCH(C1228,""Sell_""),IF(COUNTIF(C$4:C1228,SUBSTITUTE(C1228,""Sell_"",""""))-COUNTIF(C$4:C1227,C1228)&lt;1,1),FALSE))))"),"")</f>
        <v/>
      </c>
      <c r="E1228" s="59" t="str">
        <f t="array" ref="E1228">IF(COUNTA(C1228:C1350)=0,"",SUM((COUNTIF(C$4:C1228,Upgrades!$B$3:$B$13)-COUNTIF(C$4:C1228,"Sell_"&amp;Upgrades!$B$3:$B$13))*Upgrades!$D$3:$D$13))</f>
        <v/>
      </c>
      <c r="F1228" s="66" t="str">
        <f>IFERROR(__xludf.DUMMYFUNCTION("IF(COUNTA(C1228:C1350)=0,"""",IF(REGEXMATCH(INDEX(FILTER(C$4:C1228,C$4:C1228&lt;&gt;""""),ROWS(FILTER(C$4:C1228,C$4:C1228&lt;&gt;""""))),""^Sell_""),INDEX(FILTER(F$4:F1227,C$4:C1227&lt;&gt;""""),ROWS(FILTER(C$4:C1227,C$4:C1227&lt;&gt;""""))),$AC$5+E1228))"),"")</f>
        <v/>
      </c>
      <c r="G1228" s="10" t="str">
        <f>IFERROR(__xludf.DUMMYFUNCTION("IF(COUNTA(C1228:C1350)=0,"""",IF(C1228="""",0,IF(REGEXMATCH(C1228,""^Sell_""),-ROUNDDOWN(ROUNDUP(INDEX(Upgrades!$C$3:$C$13,MATCH(SUBSTITUTE(C1228,""Sell_"",""""),Upgrades!$B$3:$B$13,0))*1.15^(COUNTIF(C$4:C1227,SUBSTITUTE(C1228,""Sell_"",""""))-COUNTIF(C$4"&amp;":C1227,""Sell_""&amp;SUBSTITUTE(C1228,""Sell_"",""""))))/2),ROUNDUP(INDEX(Upgrades!$C$3:$C$13,MATCH(C1228,Upgrades!$B$3:$B$13,0))*1.15^(COUNTIF(C$4:C1227,C1228)-COUNTIF(C$4:C1227,""Sell_""&amp;C1228))))))"),"")</f>
        <v/>
      </c>
      <c r="H1228" s="10" t="str">
        <f t="shared" si="3"/>
        <v/>
      </c>
      <c r="I1228" s="68" t="str">
        <f t="shared" si="4"/>
        <v/>
      </c>
      <c r="J1228" s="59" t="str">
        <f t="shared" si="5"/>
        <v/>
      </c>
      <c r="K1228" s="69" t="str">
        <f t="shared" si="6"/>
        <v/>
      </c>
      <c r="L1228" s="60" t="str">
        <f t="shared" si="7"/>
        <v/>
      </c>
      <c r="M1228" s="61" t="str">
        <f>IFERROR(__xludf.DUMMYFUNCTION("IFS(AND(COUNTA(C1228:C1350)=0,COUNTA(Q1228:Q1350)=0),"""",OR(AND(K1228&gt;=1000000000,OR(Y1228&gt;=1000000000,COUNTA(Q1228:Q1350)=0)),OR(Y1228&gt;=1000000000,AND(COUNTA(C1228:C1350)=0,P$3=TRUE))),
ROUNDDOWN((AB$1-AC$1)*MAX(INDEX(T$4:T1350,MATCH(LARGE(FILTER(Y$4:Y1"&amp;"350,Y$4:Y1350&lt;1000000000),1),Y$4:Y1350)),INDEX(F$4:F1350,MATCH(LARGE(FILTER(K$4:K1350,K$4:K1350&lt;1000000000),1),K$4:K1350)))),AND(K1228&lt;1000000000,COUNTA(C1228:C1350)&gt;0,P$3=FALSE),
ROUNDDOWN(INDEX(Y$4:Y1350,MATCH(LARGE(FILTER(W$4:W1350,W$4:W1350&lt;=I1228),1)"&amp;",W$4:W1350))+(I1228-LARGE(FILTER(W$4:W1350,W$4:W1350&lt;=I1228),1))*INDEX(T$4:T1350,MATCH(LARGE(FILTER(W$4:W1350,W$4:W1350&lt;=I1228),1),W$4:W1350))-K1228),1,
ROUNDDOWN(Y1228-INDEX(K$4:K1350,MATCH(LARGE(FILTER(I$4:I1350,I$4:I1350&lt;=W1228),1),I$4:I1350))-(W1228-L"&amp;"ARGE(FILTER(I$4:I1350,I$4:I1350&lt;=W1228),1))*INDEX(F$4:F1350,MATCH(LARGE(FILTER(I$4:I1350,I$4:I1350&lt;=W1228),1),I$4:I1350))))"),"")</f>
        <v/>
      </c>
      <c r="N1228" s="60" t="str">
        <f t="shared" si="8"/>
        <v/>
      </c>
      <c r="O1228" s="61" t="str">
        <f t="shared" si="9"/>
        <v/>
      </c>
      <c r="P1228" s="56" t="str">
        <f t="shared" si="10"/>
        <v/>
      </c>
      <c r="Q1228" s="62"/>
      <c r="R1228" s="10" t="str">
        <f>IFERROR(__xludf.DUMMYFUNCTION("IF(COUNTA(Q1228:Q1350)=0,"""",IF(ISBLANK(Q1228),FALSE,IF(NOT(COUNTIF($AA$24:$AA$34,SUBSTITUTE(Q1228,""Sell_"",""""))),1,IF(REGEXMATCH(Q1228,""Sell_""),IF(COUNTIF(Q$4:Q1228,SUBSTITUTE(Q1228,""Sell_"",""""))-COUNTIF(Q$4:Q1227,Q1228)&lt;1,1),FALSE))))"),"")</f>
        <v/>
      </c>
      <c r="S1228" s="59" t="str">
        <f t="array" ref="S1228">IF(COUNTA(Q1228:Q1350)=0,"",SUM((COUNTIF(Q$4:Q1228,Upgrades!$B$3:$B$13)-COUNTIF(Q$4:Q1228,"Sell_"&amp;Upgrades!$B$3:$B$13))*Upgrades!$D$3:$D$13))</f>
        <v/>
      </c>
      <c r="T1228" s="66" t="str">
        <f>IFERROR(__xludf.DUMMYFUNCTION("IF(COUNTA(Q1228:Q1350)=0,"""",IF(REGEXMATCH(INDEX(FILTER(Q$4:Q1228,Q$4:Q1228&lt;&gt;""""),ROWS(FILTER(Q$4:Q1228,Q$4:Q1228&lt;&gt;""""))),""^Sell_""),INDEX(FILTER(T$4:T1227,Q$4:Q1227&lt;&gt;""""),ROWS(FILTER(Q$4:Q1227,Q$4:Q1227&lt;&gt;""""))),$AD$5+S1228))"),"")</f>
        <v/>
      </c>
      <c r="U1228" s="10" t="str">
        <f>IFERROR(__xludf.DUMMYFUNCTION("IF(COUNTA(Q1228:Q1350)=0,"""",IF(Q1228="""",0,IF(REGEXMATCH(Q1228,""^Sell_""),-ROUNDDOWN(ROUNDUP(INDEX(Upgrades!$C$3:$C$13,MATCH(SUBSTITUTE(Q1228,""Sell_"",""""),Upgrades!$B$3:$B$13,0))*1.15^(COUNTIF(Q$4:Q1227,SUBSTITUTE(Q1228,""Sell_"",""""))-COUNTIF(Q$4"&amp;":Q1227,""Sell_""&amp;SUBSTITUTE(Q1228,""Sell_"",""""))))/2),ROUNDUP(INDEX(Upgrades!$C$3:$C$13,MATCH(Q1228,Upgrades!$B$3:$B$13,0))*1.15^(COUNTIF(Q$4:Q1227,Q1228)-COUNTIF(Q$4:Q1227,""Sell_""&amp;Q1228))))))"),"")</f>
        <v/>
      </c>
      <c r="V1228" s="10" t="str">
        <f t="shared" si="11"/>
        <v/>
      </c>
      <c r="W1228" s="68" t="str">
        <f t="shared" si="12"/>
        <v/>
      </c>
      <c r="X1228" s="59" t="str">
        <f t="shared" si="13"/>
        <v/>
      </c>
      <c r="Y1228" s="69" t="str">
        <f t="shared" si="14"/>
        <v/>
      </c>
      <c r="Z1228" s="11"/>
    </row>
    <row r="1229">
      <c r="A1229" s="8"/>
      <c r="B1229" s="56" t="str">
        <f t="shared" si="2"/>
        <v/>
      </c>
      <c r="C1229" s="57"/>
      <c r="D1229" s="10" t="str">
        <f>IFERROR(__xludf.DUMMYFUNCTION("IF(COUNTA(C1229:C1350)=0,"""",IF(ISBLANK(C1229),FALSE,IF(NOT(COUNTIF($AA$24:$AA$34,SUBSTITUTE(C1229,""Sell_"",""""))),1,IF(REGEXMATCH(C1229,""Sell_""),IF(COUNTIF(C$4:C1229,SUBSTITUTE(C1229,""Sell_"",""""))-COUNTIF(C$4:C1228,C1229)&lt;1,1),FALSE))))"),"")</f>
        <v/>
      </c>
      <c r="E1229" s="59" t="str">
        <f t="array" ref="E1229">IF(COUNTA(C1229:C1350)=0,"",SUM((COUNTIF(C$4:C1229,Upgrades!$B$3:$B$13)-COUNTIF(C$4:C1229,"Sell_"&amp;Upgrades!$B$3:$B$13))*Upgrades!$D$3:$D$13))</f>
        <v/>
      </c>
      <c r="F1229" s="66" t="str">
        <f>IFERROR(__xludf.DUMMYFUNCTION("IF(COUNTA(C1229:C1350)=0,"""",IF(REGEXMATCH(INDEX(FILTER(C$4:C1229,C$4:C1229&lt;&gt;""""),ROWS(FILTER(C$4:C1229,C$4:C1229&lt;&gt;""""))),""^Sell_""),INDEX(FILTER(F$4:F1228,C$4:C1228&lt;&gt;""""),ROWS(FILTER(C$4:C1228,C$4:C1228&lt;&gt;""""))),$AC$5+E1229))"),"")</f>
        <v/>
      </c>
      <c r="G1229" s="10" t="str">
        <f>IFERROR(__xludf.DUMMYFUNCTION("IF(COUNTA(C1229:C1350)=0,"""",IF(C1229="""",0,IF(REGEXMATCH(C1229,""^Sell_""),-ROUNDDOWN(ROUNDUP(INDEX(Upgrades!$C$3:$C$13,MATCH(SUBSTITUTE(C1229,""Sell_"",""""),Upgrades!$B$3:$B$13,0))*1.15^(COUNTIF(C$4:C1228,SUBSTITUTE(C1229,""Sell_"",""""))-COUNTIF(C$4"&amp;":C1228,""Sell_""&amp;SUBSTITUTE(C1229,""Sell_"",""""))))/2),ROUNDUP(INDEX(Upgrades!$C$3:$C$13,MATCH(C1229,Upgrades!$B$3:$B$13,0))*1.15^(COUNTIF(C$4:C1228,C1229)-COUNTIF(C$4:C1228,""Sell_""&amp;C1229))))))"),"")</f>
        <v/>
      </c>
      <c r="H1229" s="10" t="str">
        <f t="shared" si="3"/>
        <v/>
      </c>
      <c r="I1229" s="68" t="str">
        <f t="shared" si="4"/>
        <v/>
      </c>
      <c r="J1229" s="59" t="str">
        <f t="shared" si="5"/>
        <v/>
      </c>
      <c r="K1229" s="69" t="str">
        <f t="shared" si="6"/>
        <v/>
      </c>
      <c r="L1229" s="60" t="str">
        <f t="shared" si="7"/>
        <v/>
      </c>
      <c r="M1229" s="61" t="str">
        <f>IFERROR(__xludf.DUMMYFUNCTION("IFS(AND(COUNTA(C1229:C1350)=0,COUNTA(Q1229:Q1350)=0),"""",OR(AND(K1229&gt;=1000000000,OR(Y1229&gt;=1000000000,COUNTA(Q1229:Q1350)=0)),OR(Y1229&gt;=1000000000,AND(COUNTA(C1229:C1350)=0,P$3=TRUE))),
ROUNDDOWN((AB$1-AC$1)*MAX(INDEX(T$4:T1350,MATCH(LARGE(FILTER(Y$4:Y1"&amp;"350,Y$4:Y1350&lt;1000000000),1),Y$4:Y1350)),INDEX(F$4:F1350,MATCH(LARGE(FILTER(K$4:K1350,K$4:K1350&lt;1000000000),1),K$4:K1350)))),AND(K1229&lt;1000000000,COUNTA(C1229:C1350)&gt;0,P$3=FALSE),
ROUNDDOWN(INDEX(Y$4:Y1350,MATCH(LARGE(FILTER(W$4:W1350,W$4:W1350&lt;=I1229),1)"&amp;",W$4:W1350))+(I1229-LARGE(FILTER(W$4:W1350,W$4:W1350&lt;=I1229),1))*INDEX(T$4:T1350,MATCH(LARGE(FILTER(W$4:W1350,W$4:W1350&lt;=I1229),1),W$4:W1350))-K1229),1,
ROUNDDOWN(Y1229-INDEX(K$4:K1350,MATCH(LARGE(FILTER(I$4:I1350,I$4:I1350&lt;=W1229),1),I$4:I1350))-(W1229-L"&amp;"ARGE(FILTER(I$4:I1350,I$4:I1350&lt;=W1229),1))*INDEX(F$4:F1350,MATCH(LARGE(FILTER(I$4:I1350,I$4:I1350&lt;=W1229),1),I$4:I1350))))"),"")</f>
        <v/>
      </c>
      <c r="N1229" s="60" t="str">
        <f t="shared" si="8"/>
        <v/>
      </c>
      <c r="O1229" s="61" t="str">
        <f t="shared" si="9"/>
        <v/>
      </c>
      <c r="P1229" s="56" t="str">
        <f t="shared" si="10"/>
        <v/>
      </c>
      <c r="Q1229" s="62"/>
      <c r="R1229" s="10" t="str">
        <f>IFERROR(__xludf.DUMMYFUNCTION("IF(COUNTA(Q1229:Q1350)=0,"""",IF(ISBLANK(Q1229),FALSE,IF(NOT(COUNTIF($AA$24:$AA$34,SUBSTITUTE(Q1229,""Sell_"",""""))),1,IF(REGEXMATCH(Q1229,""Sell_""),IF(COUNTIF(Q$4:Q1229,SUBSTITUTE(Q1229,""Sell_"",""""))-COUNTIF(Q$4:Q1228,Q1229)&lt;1,1),FALSE))))"),"")</f>
        <v/>
      </c>
      <c r="S1229" s="59" t="str">
        <f t="array" ref="S1229">IF(COUNTA(Q1229:Q1350)=0,"",SUM((COUNTIF(Q$4:Q1229,Upgrades!$B$3:$B$13)-COUNTIF(Q$4:Q1229,"Sell_"&amp;Upgrades!$B$3:$B$13))*Upgrades!$D$3:$D$13))</f>
        <v/>
      </c>
      <c r="T1229" s="66" t="str">
        <f>IFERROR(__xludf.DUMMYFUNCTION("IF(COUNTA(Q1229:Q1350)=0,"""",IF(REGEXMATCH(INDEX(FILTER(Q$4:Q1229,Q$4:Q1229&lt;&gt;""""),ROWS(FILTER(Q$4:Q1229,Q$4:Q1229&lt;&gt;""""))),""^Sell_""),INDEX(FILTER(T$4:T1228,Q$4:Q1228&lt;&gt;""""),ROWS(FILTER(Q$4:Q1228,Q$4:Q1228&lt;&gt;""""))),$AD$5+S1229))"),"")</f>
        <v/>
      </c>
      <c r="U1229" s="10" t="str">
        <f>IFERROR(__xludf.DUMMYFUNCTION("IF(COUNTA(Q1229:Q1350)=0,"""",IF(Q1229="""",0,IF(REGEXMATCH(Q1229,""^Sell_""),-ROUNDDOWN(ROUNDUP(INDEX(Upgrades!$C$3:$C$13,MATCH(SUBSTITUTE(Q1229,""Sell_"",""""),Upgrades!$B$3:$B$13,0))*1.15^(COUNTIF(Q$4:Q1228,SUBSTITUTE(Q1229,""Sell_"",""""))-COUNTIF(Q$4"&amp;":Q1228,""Sell_""&amp;SUBSTITUTE(Q1229,""Sell_"",""""))))/2),ROUNDUP(INDEX(Upgrades!$C$3:$C$13,MATCH(Q1229,Upgrades!$B$3:$B$13,0))*1.15^(COUNTIF(Q$4:Q1228,Q1229)-COUNTIF(Q$4:Q1228,""Sell_""&amp;Q1229))))))"),"")</f>
        <v/>
      </c>
      <c r="V1229" s="10" t="str">
        <f t="shared" si="11"/>
        <v/>
      </c>
      <c r="W1229" s="68" t="str">
        <f t="shared" si="12"/>
        <v/>
      </c>
      <c r="X1229" s="59" t="str">
        <f t="shared" si="13"/>
        <v/>
      </c>
      <c r="Y1229" s="69" t="str">
        <f t="shared" si="14"/>
        <v/>
      </c>
      <c r="Z1229" s="11"/>
    </row>
    <row r="1230">
      <c r="A1230" s="8"/>
      <c r="B1230" s="56" t="str">
        <f t="shared" si="2"/>
        <v/>
      </c>
      <c r="C1230" s="57"/>
      <c r="D1230" s="10" t="str">
        <f>IFERROR(__xludf.DUMMYFUNCTION("IF(COUNTA(C1230:C1350)=0,"""",IF(ISBLANK(C1230),FALSE,IF(NOT(COUNTIF($AA$24:$AA$34,SUBSTITUTE(C1230,""Sell_"",""""))),1,IF(REGEXMATCH(C1230,""Sell_""),IF(COUNTIF(C$4:C1230,SUBSTITUTE(C1230,""Sell_"",""""))-COUNTIF(C$4:C1229,C1230)&lt;1,1),FALSE))))"),"")</f>
        <v/>
      </c>
      <c r="E1230" s="59" t="str">
        <f t="array" ref="E1230">IF(COUNTA(C1230:C1350)=0,"",SUM((COUNTIF(C$4:C1230,Upgrades!$B$3:$B$13)-COUNTIF(C$4:C1230,"Sell_"&amp;Upgrades!$B$3:$B$13))*Upgrades!$D$3:$D$13))</f>
        <v/>
      </c>
      <c r="F1230" s="66" t="str">
        <f>IFERROR(__xludf.DUMMYFUNCTION("IF(COUNTA(C1230:C1350)=0,"""",IF(REGEXMATCH(INDEX(FILTER(C$4:C1230,C$4:C1230&lt;&gt;""""),ROWS(FILTER(C$4:C1230,C$4:C1230&lt;&gt;""""))),""^Sell_""),INDEX(FILTER(F$4:F1229,C$4:C1229&lt;&gt;""""),ROWS(FILTER(C$4:C1229,C$4:C1229&lt;&gt;""""))),$AC$5+E1230))"),"")</f>
        <v/>
      </c>
      <c r="G1230" s="10" t="str">
        <f>IFERROR(__xludf.DUMMYFUNCTION("IF(COUNTA(C1230:C1350)=0,"""",IF(C1230="""",0,IF(REGEXMATCH(C1230,""^Sell_""),-ROUNDDOWN(ROUNDUP(INDEX(Upgrades!$C$3:$C$13,MATCH(SUBSTITUTE(C1230,""Sell_"",""""),Upgrades!$B$3:$B$13,0))*1.15^(COUNTIF(C$4:C1229,SUBSTITUTE(C1230,""Sell_"",""""))-COUNTIF(C$4"&amp;":C1229,""Sell_""&amp;SUBSTITUTE(C1230,""Sell_"",""""))))/2),ROUNDUP(INDEX(Upgrades!$C$3:$C$13,MATCH(C1230,Upgrades!$B$3:$B$13,0))*1.15^(COUNTIF(C$4:C1229,C1230)-COUNTIF(C$4:C1229,""Sell_""&amp;C1230))))))"),"")</f>
        <v/>
      </c>
      <c r="H1230" s="10" t="str">
        <f t="shared" si="3"/>
        <v/>
      </c>
      <c r="I1230" s="68" t="str">
        <f t="shared" si="4"/>
        <v/>
      </c>
      <c r="J1230" s="59" t="str">
        <f t="shared" si="5"/>
        <v/>
      </c>
      <c r="K1230" s="69" t="str">
        <f t="shared" si="6"/>
        <v/>
      </c>
      <c r="L1230" s="60" t="str">
        <f t="shared" si="7"/>
        <v/>
      </c>
      <c r="M1230" s="61" t="str">
        <f>IFERROR(__xludf.DUMMYFUNCTION("IFS(AND(COUNTA(C1230:C1350)=0,COUNTA(Q1230:Q1350)=0),"""",OR(AND(K1230&gt;=1000000000,OR(Y1230&gt;=1000000000,COUNTA(Q1230:Q1350)=0)),OR(Y1230&gt;=1000000000,AND(COUNTA(C1230:C1350)=0,P$3=TRUE))),
ROUNDDOWN((AB$1-AC$1)*MAX(INDEX(T$4:T1350,MATCH(LARGE(FILTER(Y$4:Y1"&amp;"350,Y$4:Y1350&lt;1000000000),1),Y$4:Y1350)),INDEX(F$4:F1350,MATCH(LARGE(FILTER(K$4:K1350,K$4:K1350&lt;1000000000),1),K$4:K1350)))),AND(K1230&lt;1000000000,COUNTA(C1230:C1350)&gt;0,P$3=FALSE),
ROUNDDOWN(INDEX(Y$4:Y1350,MATCH(LARGE(FILTER(W$4:W1350,W$4:W1350&lt;=I1230),1)"&amp;",W$4:W1350))+(I1230-LARGE(FILTER(W$4:W1350,W$4:W1350&lt;=I1230),1))*INDEX(T$4:T1350,MATCH(LARGE(FILTER(W$4:W1350,W$4:W1350&lt;=I1230),1),W$4:W1350))-K1230),1,
ROUNDDOWN(Y1230-INDEX(K$4:K1350,MATCH(LARGE(FILTER(I$4:I1350,I$4:I1350&lt;=W1230),1),I$4:I1350))-(W1230-L"&amp;"ARGE(FILTER(I$4:I1350,I$4:I1350&lt;=W1230),1))*INDEX(F$4:F1350,MATCH(LARGE(FILTER(I$4:I1350,I$4:I1350&lt;=W1230),1),I$4:I1350))))"),"")</f>
        <v/>
      </c>
      <c r="N1230" s="60" t="str">
        <f t="shared" si="8"/>
        <v/>
      </c>
      <c r="O1230" s="61" t="str">
        <f t="shared" si="9"/>
        <v/>
      </c>
      <c r="P1230" s="56" t="str">
        <f t="shared" si="10"/>
        <v/>
      </c>
      <c r="Q1230" s="62"/>
      <c r="R1230" s="10" t="str">
        <f>IFERROR(__xludf.DUMMYFUNCTION("IF(COUNTA(Q1230:Q1350)=0,"""",IF(ISBLANK(Q1230),FALSE,IF(NOT(COUNTIF($AA$24:$AA$34,SUBSTITUTE(Q1230,""Sell_"",""""))),1,IF(REGEXMATCH(Q1230,""Sell_""),IF(COUNTIF(Q$4:Q1230,SUBSTITUTE(Q1230,""Sell_"",""""))-COUNTIF(Q$4:Q1229,Q1230)&lt;1,1),FALSE))))"),"")</f>
        <v/>
      </c>
      <c r="S1230" s="59" t="str">
        <f t="array" ref="S1230">IF(COUNTA(Q1230:Q1350)=0,"",SUM((COUNTIF(Q$4:Q1230,Upgrades!$B$3:$B$13)-COUNTIF(Q$4:Q1230,"Sell_"&amp;Upgrades!$B$3:$B$13))*Upgrades!$D$3:$D$13))</f>
        <v/>
      </c>
      <c r="T1230" s="66" t="str">
        <f>IFERROR(__xludf.DUMMYFUNCTION("IF(COUNTA(Q1230:Q1350)=0,"""",IF(REGEXMATCH(INDEX(FILTER(Q$4:Q1230,Q$4:Q1230&lt;&gt;""""),ROWS(FILTER(Q$4:Q1230,Q$4:Q1230&lt;&gt;""""))),""^Sell_""),INDEX(FILTER(T$4:T1229,Q$4:Q1229&lt;&gt;""""),ROWS(FILTER(Q$4:Q1229,Q$4:Q1229&lt;&gt;""""))),$AD$5+S1230))"),"")</f>
        <v/>
      </c>
      <c r="U1230" s="10" t="str">
        <f>IFERROR(__xludf.DUMMYFUNCTION("IF(COUNTA(Q1230:Q1350)=0,"""",IF(Q1230="""",0,IF(REGEXMATCH(Q1230,""^Sell_""),-ROUNDDOWN(ROUNDUP(INDEX(Upgrades!$C$3:$C$13,MATCH(SUBSTITUTE(Q1230,""Sell_"",""""),Upgrades!$B$3:$B$13,0))*1.15^(COUNTIF(Q$4:Q1229,SUBSTITUTE(Q1230,""Sell_"",""""))-COUNTIF(Q$4"&amp;":Q1229,""Sell_""&amp;SUBSTITUTE(Q1230,""Sell_"",""""))))/2),ROUNDUP(INDEX(Upgrades!$C$3:$C$13,MATCH(Q1230,Upgrades!$B$3:$B$13,0))*1.15^(COUNTIF(Q$4:Q1229,Q1230)-COUNTIF(Q$4:Q1229,""Sell_""&amp;Q1230))))))"),"")</f>
        <v/>
      </c>
      <c r="V1230" s="10" t="str">
        <f t="shared" si="11"/>
        <v/>
      </c>
      <c r="W1230" s="68" t="str">
        <f t="shared" si="12"/>
        <v/>
      </c>
      <c r="X1230" s="59" t="str">
        <f t="shared" si="13"/>
        <v/>
      </c>
      <c r="Y1230" s="69" t="str">
        <f t="shared" si="14"/>
        <v/>
      </c>
      <c r="Z1230" s="11"/>
    </row>
    <row r="1231">
      <c r="A1231" s="8"/>
      <c r="B1231" s="56" t="str">
        <f t="shared" si="2"/>
        <v/>
      </c>
      <c r="C1231" s="57"/>
      <c r="D1231" s="10" t="str">
        <f>IFERROR(__xludf.DUMMYFUNCTION("IF(COUNTA(C1231:C1350)=0,"""",IF(ISBLANK(C1231),FALSE,IF(NOT(COUNTIF($AA$24:$AA$34,SUBSTITUTE(C1231,""Sell_"",""""))),1,IF(REGEXMATCH(C1231,""Sell_""),IF(COUNTIF(C$4:C1231,SUBSTITUTE(C1231,""Sell_"",""""))-COUNTIF(C$4:C1230,C1231)&lt;1,1),FALSE))))"),"")</f>
        <v/>
      </c>
      <c r="E1231" s="59" t="str">
        <f t="array" ref="E1231">IF(COUNTA(C1231:C1350)=0,"",SUM((COUNTIF(C$4:C1231,Upgrades!$B$3:$B$13)-COUNTIF(C$4:C1231,"Sell_"&amp;Upgrades!$B$3:$B$13))*Upgrades!$D$3:$D$13))</f>
        <v/>
      </c>
      <c r="F1231" s="66" t="str">
        <f>IFERROR(__xludf.DUMMYFUNCTION("IF(COUNTA(C1231:C1350)=0,"""",IF(REGEXMATCH(INDEX(FILTER(C$4:C1231,C$4:C1231&lt;&gt;""""),ROWS(FILTER(C$4:C1231,C$4:C1231&lt;&gt;""""))),""^Sell_""),INDEX(FILTER(F$4:F1230,C$4:C1230&lt;&gt;""""),ROWS(FILTER(C$4:C1230,C$4:C1230&lt;&gt;""""))),$AC$5+E1231))"),"")</f>
        <v/>
      </c>
      <c r="G1231" s="10" t="str">
        <f>IFERROR(__xludf.DUMMYFUNCTION("IF(COUNTA(C1231:C1350)=0,"""",IF(C1231="""",0,IF(REGEXMATCH(C1231,""^Sell_""),-ROUNDDOWN(ROUNDUP(INDEX(Upgrades!$C$3:$C$13,MATCH(SUBSTITUTE(C1231,""Sell_"",""""),Upgrades!$B$3:$B$13,0))*1.15^(COUNTIF(C$4:C1230,SUBSTITUTE(C1231,""Sell_"",""""))-COUNTIF(C$4"&amp;":C1230,""Sell_""&amp;SUBSTITUTE(C1231,""Sell_"",""""))))/2),ROUNDUP(INDEX(Upgrades!$C$3:$C$13,MATCH(C1231,Upgrades!$B$3:$B$13,0))*1.15^(COUNTIF(C$4:C1230,C1231)-COUNTIF(C$4:C1230,""Sell_""&amp;C1231))))))"),"")</f>
        <v/>
      </c>
      <c r="H1231" s="10" t="str">
        <f t="shared" si="3"/>
        <v/>
      </c>
      <c r="I1231" s="68" t="str">
        <f t="shared" si="4"/>
        <v/>
      </c>
      <c r="J1231" s="59" t="str">
        <f t="shared" si="5"/>
        <v/>
      </c>
      <c r="K1231" s="69" t="str">
        <f t="shared" si="6"/>
        <v/>
      </c>
      <c r="L1231" s="60" t="str">
        <f t="shared" si="7"/>
        <v/>
      </c>
      <c r="M1231" s="61" t="str">
        <f>IFERROR(__xludf.DUMMYFUNCTION("IFS(AND(COUNTA(C1231:C1350)=0,COUNTA(Q1231:Q1350)=0),"""",OR(AND(K1231&gt;=1000000000,OR(Y1231&gt;=1000000000,COUNTA(Q1231:Q1350)=0)),OR(Y1231&gt;=1000000000,AND(COUNTA(C1231:C1350)=0,P$3=TRUE))),
ROUNDDOWN((AB$1-AC$1)*MAX(INDEX(T$4:T1350,MATCH(LARGE(FILTER(Y$4:Y1"&amp;"350,Y$4:Y1350&lt;1000000000),1),Y$4:Y1350)),INDEX(F$4:F1350,MATCH(LARGE(FILTER(K$4:K1350,K$4:K1350&lt;1000000000),1),K$4:K1350)))),AND(K1231&lt;1000000000,COUNTA(C1231:C1350)&gt;0,P$3=FALSE),
ROUNDDOWN(INDEX(Y$4:Y1350,MATCH(LARGE(FILTER(W$4:W1350,W$4:W1350&lt;=I1231),1)"&amp;",W$4:W1350))+(I1231-LARGE(FILTER(W$4:W1350,W$4:W1350&lt;=I1231),1))*INDEX(T$4:T1350,MATCH(LARGE(FILTER(W$4:W1350,W$4:W1350&lt;=I1231),1),W$4:W1350))-K1231),1,
ROUNDDOWN(Y1231-INDEX(K$4:K1350,MATCH(LARGE(FILTER(I$4:I1350,I$4:I1350&lt;=W1231),1),I$4:I1350))-(W1231-L"&amp;"ARGE(FILTER(I$4:I1350,I$4:I1350&lt;=W1231),1))*INDEX(F$4:F1350,MATCH(LARGE(FILTER(I$4:I1350,I$4:I1350&lt;=W1231),1),I$4:I1350))))"),"")</f>
        <v/>
      </c>
      <c r="N1231" s="60" t="str">
        <f t="shared" si="8"/>
        <v/>
      </c>
      <c r="O1231" s="61" t="str">
        <f t="shared" si="9"/>
        <v/>
      </c>
      <c r="P1231" s="56" t="str">
        <f t="shared" si="10"/>
        <v/>
      </c>
      <c r="Q1231" s="62"/>
      <c r="R1231" s="10" t="str">
        <f>IFERROR(__xludf.DUMMYFUNCTION("IF(COUNTA(Q1231:Q1350)=0,"""",IF(ISBLANK(Q1231),FALSE,IF(NOT(COUNTIF($AA$24:$AA$34,SUBSTITUTE(Q1231,""Sell_"",""""))),1,IF(REGEXMATCH(Q1231,""Sell_""),IF(COUNTIF(Q$4:Q1231,SUBSTITUTE(Q1231,""Sell_"",""""))-COUNTIF(Q$4:Q1230,Q1231)&lt;1,1),FALSE))))"),"")</f>
        <v/>
      </c>
      <c r="S1231" s="59" t="str">
        <f t="array" ref="S1231">IF(COUNTA(Q1231:Q1350)=0,"",SUM((COUNTIF(Q$4:Q1231,Upgrades!$B$3:$B$13)-COUNTIF(Q$4:Q1231,"Sell_"&amp;Upgrades!$B$3:$B$13))*Upgrades!$D$3:$D$13))</f>
        <v/>
      </c>
      <c r="T1231" s="66" t="str">
        <f>IFERROR(__xludf.DUMMYFUNCTION("IF(COUNTA(Q1231:Q1350)=0,"""",IF(REGEXMATCH(INDEX(FILTER(Q$4:Q1231,Q$4:Q1231&lt;&gt;""""),ROWS(FILTER(Q$4:Q1231,Q$4:Q1231&lt;&gt;""""))),""^Sell_""),INDEX(FILTER(T$4:T1230,Q$4:Q1230&lt;&gt;""""),ROWS(FILTER(Q$4:Q1230,Q$4:Q1230&lt;&gt;""""))),$AD$5+S1231))"),"")</f>
        <v/>
      </c>
      <c r="U1231" s="10" t="str">
        <f>IFERROR(__xludf.DUMMYFUNCTION("IF(COUNTA(Q1231:Q1350)=0,"""",IF(Q1231="""",0,IF(REGEXMATCH(Q1231,""^Sell_""),-ROUNDDOWN(ROUNDUP(INDEX(Upgrades!$C$3:$C$13,MATCH(SUBSTITUTE(Q1231,""Sell_"",""""),Upgrades!$B$3:$B$13,0))*1.15^(COUNTIF(Q$4:Q1230,SUBSTITUTE(Q1231,""Sell_"",""""))-COUNTIF(Q$4"&amp;":Q1230,""Sell_""&amp;SUBSTITUTE(Q1231,""Sell_"",""""))))/2),ROUNDUP(INDEX(Upgrades!$C$3:$C$13,MATCH(Q1231,Upgrades!$B$3:$B$13,0))*1.15^(COUNTIF(Q$4:Q1230,Q1231)-COUNTIF(Q$4:Q1230,""Sell_""&amp;Q1231))))))"),"")</f>
        <v/>
      </c>
      <c r="V1231" s="10" t="str">
        <f t="shared" si="11"/>
        <v/>
      </c>
      <c r="W1231" s="68" t="str">
        <f t="shared" si="12"/>
        <v/>
      </c>
      <c r="X1231" s="59" t="str">
        <f t="shared" si="13"/>
        <v/>
      </c>
      <c r="Y1231" s="69" t="str">
        <f t="shared" si="14"/>
        <v/>
      </c>
      <c r="Z1231" s="11"/>
    </row>
    <row r="1232">
      <c r="A1232" s="8"/>
      <c r="B1232" s="56" t="str">
        <f t="shared" si="2"/>
        <v/>
      </c>
      <c r="C1232" s="57"/>
      <c r="D1232" s="10" t="str">
        <f>IFERROR(__xludf.DUMMYFUNCTION("IF(COUNTA(C1232:C1350)=0,"""",IF(ISBLANK(C1232),FALSE,IF(NOT(COUNTIF($AA$24:$AA$34,SUBSTITUTE(C1232,""Sell_"",""""))),1,IF(REGEXMATCH(C1232,""Sell_""),IF(COUNTIF(C$4:C1232,SUBSTITUTE(C1232,""Sell_"",""""))-COUNTIF(C$4:C1231,C1232)&lt;1,1),FALSE))))"),"")</f>
        <v/>
      </c>
      <c r="E1232" s="59" t="str">
        <f t="array" ref="E1232">IF(COUNTA(C1232:C1350)=0,"",SUM((COUNTIF(C$4:C1232,Upgrades!$B$3:$B$13)-COUNTIF(C$4:C1232,"Sell_"&amp;Upgrades!$B$3:$B$13))*Upgrades!$D$3:$D$13))</f>
        <v/>
      </c>
      <c r="F1232" s="66" t="str">
        <f>IFERROR(__xludf.DUMMYFUNCTION("IF(COUNTA(C1232:C1350)=0,"""",IF(REGEXMATCH(INDEX(FILTER(C$4:C1232,C$4:C1232&lt;&gt;""""),ROWS(FILTER(C$4:C1232,C$4:C1232&lt;&gt;""""))),""^Sell_""),INDEX(FILTER(F$4:F1231,C$4:C1231&lt;&gt;""""),ROWS(FILTER(C$4:C1231,C$4:C1231&lt;&gt;""""))),$AC$5+E1232))"),"")</f>
        <v/>
      </c>
      <c r="G1232" s="10" t="str">
        <f>IFERROR(__xludf.DUMMYFUNCTION("IF(COUNTA(C1232:C1350)=0,"""",IF(C1232="""",0,IF(REGEXMATCH(C1232,""^Sell_""),-ROUNDDOWN(ROUNDUP(INDEX(Upgrades!$C$3:$C$13,MATCH(SUBSTITUTE(C1232,""Sell_"",""""),Upgrades!$B$3:$B$13,0))*1.15^(COUNTIF(C$4:C1231,SUBSTITUTE(C1232,""Sell_"",""""))-COUNTIF(C$4"&amp;":C1231,""Sell_""&amp;SUBSTITUTE(C1232,""Sell_"",""""))))/2),ROUNDUP(INDEX(Upgrades!$C$3:$C$13,MATCH(C1232,Upgrades!$B$3:$B$13,0))*1.15^(COUNTIF(C$4:C1231,C1232)-COUNTIF(C$4:C1231,""Sell_""&amp;C1232))))))"),"")</f>
        <v/>
      </c>
      <c r="H1232" s="10" t="str">
        <f t="shared" si="3"/>
        <v/>
      </c>
      <c r="I1232" s="68" t="str">
        <f t="shared" si="4"/>
        <v/>
      </c>
      <c r="J1232" s="59" t="str">
        <f t="shared" si="5"/>
        <v/>
      </c>
      <c r="K1232" s="69" t="str">
        <f t="shared" si="6"/>
        <v/>
      </c>
      <c r="L1232" s="60" t="str">
        <f t="shared" si="7"/>
        <v/>
      </c>
      <c r="M1232" s="61" t="str">
        <f>IFERROR(__xludf.DUMMYFUNCTION("IFS(AND(COUNTA(C1232:C1350)=0,COUNTA(Q1232:Q1350)=0),"""",OR(AND(K1232&gt;=1000000000,OR(Y1232&gt;=1000000000,COUNTA(Q1232:Q1350)=0)),OR(Y1232&gt;=1000000000,AND(COUNTA(C1232:C1350)=0,P$3=TRUE))),
ROUNDDOWN((AB$1-AC$1)*MAX(INDEX(T$4:T1350,MATCH(LARGE(FILTER(Y$4:Y1"&amp;"350,Y$4:Y1350&lt;1000000000),1),Y$4:Y1350)),INDEX(F$4:F1350,MATCH(LARGE(FILTER(K$4:K1350,K$4:K1350&lt;1000000000),1),K$4:K1350)))),AND(K1232&lt;1000000000,COUNTA(C1232:C1350)&gt;0,P$3=FALSE),
ROUNDDOWN(INDEX(Y$4:Y1350,MATCH(LARGE(FILTER(W$4:W1350,W$4:W1350&lt;=I1232),1)"&amp;",W$4:W1350))+(I1232-LARGE(FILTER(W$4:W1350,W$4:W1350&lt;=I1232),1))*INDEX(T$4:T1350,MATCH(LARGE(FILTER(W$4:W1350,W$4:W1350&lt;=I1232),1),W$4:W1350))-K1232),1,
ROUNDDOWN(Y1232-INDEX(K$4:K1350,MATCH(LARGE(FILTER(I$4:I1350,I$4:I1350&lt;=W1232),1),I$4:I1350))-(W1232-L"&amp;"ARGE(FILTER(I$4:I1350,I$4:I1350&lt;=W1232),1))*INDEX(F$4:F1350,MATCH(LARGE(FILTER(I$4:I1350,I$4:I1350&lt;=W1232),1),I$4:I1350))))"),"")</f>
        <v/>
      </c>
      <c r="N1232" s="60" t="str">
        <f t="shared" si="8"/>
        <v/>
      </c>
      <c r="O1232" s="61" t="str">
        <f t="shared" si="9"/>
        <v/>
      </c>
      <c r="P1232" s="56" t="str">
        <f t="shared" si="10"/>
        <v/>
      </c>
      <c r="Q1232" s="62"/>
      <c r="R1232" s="10" t="str">
        <f>IFERROR(__xludf.DUMMYFUNCTION("IF(COUNTA(Q1232:Q1350)=0,"""",IF(ISBLANK(Q1232),FALSE,IF(NOT(COUNTIF($AA$24:$AA$34,SUBSTITUTE(Q1232,""Sell_"",""""))),1,IF(REGEXMATCH(Q1232,""Sell_""),IF(COUNTIF(Q$4:Q1232,SUBSTITUTE(Q1232,""Sell_"",""""))-COUNTIF(Q$4:Q1231,Q1232)&lt;1,1),FALSE))))"),"")</f>
        <v/>
      </c>
      <c r="S1232" s="59" t="str">
        <f t="array" ref="S1232">IF(COUNTA(Q1232:Q1350)=0,"",SUM((COUNTIF(Q$4:Q1232,Upgrades!$B$3:$B$13)-COUNTIF(Q$4:Q1232,"Sell_"&amp;Upgrades!$B$3:$B$13))*Upgrades!$D$3:$D$13))</f>
        <v/>
      </c>
      <c r="T1232" s="66" t="str">
        <f>IFERROR(__xludf.DUMMYFUNCTION("IF(COUNTA(Q1232:Q1350)=0,"""",IF(REGEXMATCH(INDEX(FILTER(Q$4:Q1232,Q$4:Q1232&lt;&gt;""""),ROWS(FILTER(Q$4:Q1232,Q$4:Q1232&lt;&gt;""""))),""^Sell_""),INDEX(FILTER(T$4:T1231,Q$4:Q1231&lt;&gt;""""),ROWS(FILTER(Q$4:Q1231,Q$4:Q1231&lt;&gt;""""))),$AD$5+S1232))"),"")</f>
        <v/>
      </c>
      <c r="U1232" s="10" t="str">
        <f>IFERROR(__xludf.DUMMYFUNCTION("IF(COUNTA(Q1232:Q1350)=0,"""",IF(Q1232="""",0,IF(REGEXMATCH(Q1232,""^Sell_""),-ROUNDDOWN(ROUNDUP(INDEX(Upgrades!$C$3:$C$13,MATCH(SUBSTITUTE(Q1232,""Sell_"",""""),Upgrades!$B$3:$B$13,0))*1.15^(COUNTIF(Q$4:Q1231,SUBSTITUTE(Q1232,""Sell_"",""""))-COUNTIF(Q$4"&amp;":Q1231,""Sell_""&amp;SUBSTITUTE(Q1232,""Sell_"",""""))))/2),ROUNDUP(INDEX(Upgrades!$C$3:$C$13,MATCH(Q1232,Upgrades!$B$3:$B$13,0))*1.15^(COUNTIF(Q$4:Q1231,Q1232)-COUNTIF(Q$4:Q1231,""Sell_""&amp;Q1232))))))"),"")</f>
        <v/>
      </c>
      <c r="V1232" s="10" t="str">
        <f t="shared" si="11"/>
        <v/>
      </c>
      <c r="W1232" s="68" t="str">
        <f t="shared" si="12"/>
        <v/>
      </c>
      <c r="X1232" s="59" t="str">
        <f t="shared" si="13"/>
        <v/>
      </c>
      <c r="Y1232" s="69" t="str">
        <f t="shared" si="14"/>
        <v/>
      </c>
      <c r="Z1232" s="11"/>
    </row>
    <row r="1233">
      <c r="A1233" s="8"/>
      <c r="B1233" s="56" t="str">
        <f t="shared" si="2"/>
        <v/>
      </c>
      <c r="C1233" s="57"/>
      <c r="D1233" s="10" t="str">
        <f>IFERROR(__xludf.DUMMYFUNCTION("IF(COUNTA(C1233:C1350)=0,"""",IF(ISBLANK(C1233),FALSE,IF(NOT(COUNTIF($AA$24:$AA$34,SUBSTITUTE(C1233,""Sell_"",""""))),1,IF(REGEXMATCH(C1233,""Sell_""),IF(COUNTIF(C$4:C1233,SUBSTITUTE(C1233,""Sell_"",""""))-COUNTIF(C$4:C1232,C1233)&lt;1,1),FALSE))))"),"")</f>
        <v/>
      </c>
      <c r="E1233" s="59" t="str">
        <f t="array" ref="E1233">IF(COUNTA(C1233:C1350)=0,"",SUM((COUNTIF(C$4:C1233,Upgrades!$B$3:$B$13)-COUNTIF(C$4:C1233,"Sell_"&amp;Upgrades!$B$3:$B$13))*Upgrades!$D$3:$D$13))</f>
        <v/>
      </c>
      <c r="F1233" s="66" t="str">
        <f>IFERROR(__xludf.DUMMYFUNCTION("IF(COUNTA(C1233:C1350)=0,"""",IF(REGEXMATCH(INDEX(FILTER(C$4:C1233,C$4:C1233&lt;&gt;""""),ROWS(FILTER(C$4:C1233,C$4:C1233&lt;&gt;""""))),""^Sell_""),INDEX(FILTER(F$4:F1232,C$4:C1232&lt;&gt;""""),ROWS(FILTER(C$4:C1232,C$4:C1232&lt;&gt;""""))),$AC$5+E1233))"),"")</f>
        <v/>
      </c>
      <c r="G1233" s="10" t="str">
        <f>IFERROR(__xludf.DUMMYFUNCTION("IF(COUNTA(C1233:C1350)=0,"""",IF(C1233="""",0,IF(REGEXMATCH(C1233,""^Sell_""),-ROUNDDOWN(ROUNDUP(INDEX(Upgrades!$C$3:$C$13,MATCH(SUBSTITUTE(C1233,""Sell_"",""""),Upgrades!$B$3:$B$13,0))*1.15^(COUNTIF(C$4:C1232,SUBSTITUTE(C1233,""Sell_"",""""))-COUNTIF(C$4"&amp;":C1232,""Sell_""&amp;SUBSTITUTE(C1233,""Sell_"",""""))))/2),ROUNDUP(INDEX(Upgrades!$C$3:$C$13,MATCH(C1233,Upgrades!$B$3:$B$13,0))*1.15^(COUNTIF(C$4:C1232,C1233)-COUNTIF(C$4:C1232,""Sell_""&amp;C1233))))))"),"")</f>
        <v/>
      </c>
      <c r="H1233" s="10" t="str">
        <f t="shared" si="3"/>
        <v/>
      </c>
      <c r="I1233" s="68" t="str">
        <f t="shared" si="4"/>
        <v/>
      </c>
      <c r="J1233" s="59" t="str">
        <f t="shared" si="5"/>
        <v/>
      </c>
      <c r="K1233" s="69" t="str">
        <f t="shared" si="6"/>
        <v/>
      </c>
      <c r="L1233" s="60" t="str">
        <f t="shared" si="7"/>
        <v/>
      </c>
      <c r="M1233" s="61" t="str">
        <f>IFERROR(__xludf.DUMMYFUNCTION("IFS(AND(COUNTA(C1233:C1350)=0,COUNTA(Q1233:Q1350)=0),"""",OR(AND(K1233&gt;=1000000000,OR(Y1233&gt;=1000000000,COUNTA(Q1233:Q1350)=0)),OR(Y1233&gt;=1000000000,AND(COUNTA(C1233:C1350)=0,P$3=TRUE))),
ROUNDDOWN((AB$1-AC$1)*MAX(INDEX(T$4:T1350,MATCH(LARGE(FILTER(Y$4:Y1"&amp;"350,Y$4:Y1350&lt;1000000000),1),Y$4:Y1350)),INDEX(F$4:F1350,MATCH(LARGE(FILTER(K$4:K1350,K$4:K1350&lt;1000000000),1),K$4:K1350)))),AND(K1233&lt;1000000000,COUNTA(C1233:C1350)&gt;0,P$3=FALSE),
ROUNDDOWN(INDEX(Y$4:Y1350,MATCH(LARGE(FILTER(W$4:W1350,W$4:W1350&lt;=I1233),1)"&amp;",W$4:W1350))+(I1233-LARGE(FILTER(W$4:W1350,W$4:W1350&lt;=I1233),1))*INDEX(T$4:T1350,MATCH(LARGE(FILTER(W$4:W1350,W$4:W1350&lt;=I1233),1),W$4:W1350))-K1233),1,
ROUNDDOWN(Y1233-INDEX(K$4:K1350,MATCH(LARGE(FILTER(I$4:I1350,I$4:I1350&lt;=W1233),1),I$4:I1350))-(W1233-L"&amp;"ARGE(FILTER(I$4:I1350,I$4:I1350&lt;=W1233),1))*INDEX(F$4:F1350,MATCH(LARGE(FILTER(I$4:I1350,I$4:I1350&lt;=W1233),1),I$4:I1350))))"),"")</f>
        <v/>
      </c>
      <c r="N1233" s="60" t="str">
        <f t="shared" si="8"/>
        <v/>
      </c>
      <c r="O1233" s="61" t="str">
        <f t="shared" si="9"/>
        <v/>
      </c>
      <c r="P1233" s="56" t="str">
        <f t="shared" si="10"/>
        <v/>
      </c>
      <c r="Q1233" s="62"/>
      <c r="R1233" s="10" t="str">
        <f>IFERROR(__xludf.DUMMYFUNCTION("IF(COUNTA(Q1233:Q1350)=0,"""",IF(ISBLANK(Q1233),FALSE,IF(NOT(COUNTIF($AA$24:$AA$34,SUBSTITUTE(Q1233,""Sell_"",""""))),1,IF(REGEXMATCH(Q1233,""Sell_""),IF(COUNTIF(Q$4:Q1233,SUBSTITUTE(Q1233,""Sell_"",""""))-COUNTIF(Q$4:Q1232,Q1233)&lt;1,1),FALSE))))"),"")</f>
        <v/>
      </c>
      <c r="S1233" s="59" t="str">
        <f t="array" ref="S1233">IF(COUNTA(Q1233:Q1350)=0,"",SUM((COUNTIF(Q$4:Q1233,Upgrades!$B$3:$B$13)-COUNTIF(Q$4:Q1233,"Sell_"&amp;Upgrades!$B$3:$B$13))*Upgrades!$D$3:$D$13))</f>
        <v/>
      </c>
      <c r="T1233" s="66" t="str">
        <f>IFERROR(__xludf.DUMMYFUNCTION("IF(COUNTA(Q1233:Q1350)=0,"""",IF(REGEXMATCH(INDEX(FILTER(Q$4:Q1233,Q$4:Q1233&lt;&gt;""""),ROWS(FILTER(Q$4:Q1233,Q$4:Q1233&lt;&gt;""""))),""^Sell_""),INDEX(FILTER(T$4:T1232,Q$4:Q1232&lt;&gt;""""),ROWS(FILTER(Q$4:Q1232,Q$4:Q1232&lt;&gt;""""))),$AD$5+S1233))"),"")</f>
        <v/>
      </c>
      <c r="U1233" s="10" t="str">
        <f>IFERROR(__xludf.DUMMYFUNCTION("IF(COUNTA(Q1233:Q1350)=0,"""",IF(Q1233="""",0,IF(REGEXMATCH(Q1233,""^Sell_""),-ROUNDDOWN(ROUNDUP(INDEX(Upgrades!$C$3:$C$13,MATCH(SUBSTITUTE(Q1233,""Sell_"",""""),Upgrades!$B$3:$B$13,0))*1.15^(COUNTIF(Q$4:Q1232,SUBSTITUTE(Q1233,""Sell_"",""""))-COUNTIF(Q$4"&amp;":Q1232,""Sell_""&amp;SUBSTITUTE(Q1233,""Sell_"",""""))))/2),ROUNDUP(INDEX(Upgrades!$C$3:$C$13,MATCH(Q1233,Upgrades!$B$3:$B$13,0))*1.15^(COUNTIF(Q$4:Q1232,Q1233)-COUNTIF(Q$4:Q1232,""Sell_""&amp;Q1233))))))"),"")</f>
        <v/>
      </c>
      <c r="V1233" s="10" t="str">
        <f t="shared" si="11"/>
        <v/>
      </c>
      <c r="W1233" s="68" t="str">
        <f t="shared" si="12"/>
        <v/>
      </c>
      <c r="X1233" s="59" t="str">
        <f t="shared" si="13"/>
        <v/>
      </c>
      <c r="Y1233" s="69" t="str">
        <f t="shared" si="14"/>
        <v/>
      </c>
      <c r="Z1233" s="11"/>
    </row>
    <row r="1234">
      <c r="A1234" s="8"/>
      <c r="B1234" s="56" t="str">
        <f t="shared" si="2"/>
        <v/>
      </c>
      <c r="C1234" s="57"/>
      <c r="D1234" s="10" t="str">
        <f>IFERROR(__xludf.DUMMYFUNCTION("IF(COUNTA(C1234:C1350)=0,"""",IF(ISBLANK(C1234),FALSE,IF(NOT(COUNTIF($AA$24:$AA$34,SUBSTITUTE(C1234,""Sell_"",""""))),1,IF(REGEXMATCH(C1234,""Sell_""),IF(COUNTIF(C$4:C1234,SUBSTITUTE(C1234,""Sell_"",""""))-COUNTIF(C$4:C1233,C1234)&lt;1,1),FALSE))))"),"")</f>
        <v/>
      </c>
      <c r="E1234" s="59" t="str">
        <f t="array" ref="E1234">IF(COUNTA(C1234:C1350)=0,"",SUM((COUNTIF(C$4:C1234,Upgrades!$B$3:$B$13)-COUNTIF(C$4:C1234,"Sell_"&amp;Upgrades!$B$3:$B$13))*Upgrades!$D$3:$D$13))</f>
        <v/>
      </c>
      <c r="F1234" s="66" t="str">
        <f>IFERROR(__xludf.DUMMYFUNCTION("IF(COUNTA(C1234:C1350)=0,"""",IF(REGEXMATCH(INDEX(FILTER(C$4:C1234,C$4:C1234&lt;&gt;""""),ROWS(FILTER(C$4:C1234,C$4:C1234&lt;&gt;""""))),""^Sell_""),INDEX(FILTER(F$4:F1233,C$4:C1233&lt;&gt;""""),ROWS(FILTER(C$4:C1233,C$4:C1233&lt;&gt;""""))),$AC$5+E1234))"),"")</f>
        <v/>
      </c>
      <c r="G1234" s="10" t="str">
        <f>IFERROR(__xludf.DUMMYFUNCTION("IF(COUNTA(C1234:C1350)=0,"""",IF(C1234="""",0,IF(REGEXMATCH(C1234,""^Sell_""),-ROUNDDOWN(ROUNDUP(INDEX(Upgrades!$C$3:$C$13,MATCH(SUBSTITUTE(C1234,""Sell_"",""""),Upgrades!$B$3:$B$13,0))*1.15^(COUNTIF(C$4:C1233,SUBSTITUTE(C1234,""Sell_"",""""))-COUNTIF(C$4"&amp;":C1233,""Sell_""&amp;SUBSTITUTE(C1234,""Sell_"",""""))))/2),ROUNDUP(INDEX(Upgrades!$C$3:$C$13,MATCH(C1234,Upgrades!$B$3:$B$13,0))*1.15^(COUNTIF(C$4:C1233,C1234)-COUNTIF(C$4:C1233,""Sell_""&amp;C1234))))))"),"")</f>
        <v/>
      </c>
      <c r="H1234" s="10" t="str">
        <f t="shared" si="3"/>
        <v/>
      </c>
      <c r="I1234" s="68" t="str">
        <f t="shared" si="4"/>
        <v/>
      </c>
      <c r="J1234" s="59" t="str">
        <f t="shared" si="5"/>
        <v/>
      </c>
      <c r="K1234" s="69" t="str">
        <f t="shared" si="6"/>
        <v/>
      </c>
      <c r="L1234" s="60" t="str">
        <f t="shared" si="7"/>
        <v/>
      </c>
      <c r="M1234" s="61" t="str">
        <f>IFERROR(__xludf.DUMMYFUNCTION("IFS(AND(COUNTA(C1234:C1350)=0,COUNTA(Q1234:Q1350)=0),"""",OR(AND(K1234&gt;=1000000000,OR(Y1234&gt;=1000000000,COUNTA(Q1234:Q1350)=0)),OR(Y1234&gt;=1000000000,AND(COUNTA(C1234:C1350)=0,P$3=TRUE))),
ROUNDDOWN((AB$1-AC$1)*MAX(INDEX(T$4:T1350,MATCH(LARGE(FILTER(Y$4:Y1"&amp;"350,Y$4:Y1350&lt;1000000000),1),Y$4:Y1350)),INDEX(F$4:F1350,MATCH(LARGE(FILTER(K$4:K1350,K$4:K1350&lt;1000000000),1),K$4:K1350)))),AND(K1234&lt;1000000000,COUNTA(C1234:C1350)&gt;0,P$3=FALSE),
ROUNDDOWN(INDEX(Y$4:Y1350,MATCH(LARGE(FILTER(W$4:W1350,W$4:W1350&lt;=I1234),1)"&amp;",W$4:W1350))+(I1234-LARGE(FILTER(W$4:W1350,W$4:W1350&lt;=I1234),1))*INDEX(T$4:T1350,MATCH(LARGE(FILTER(W$4:W1350,W$4:W1350&lt;=I1234),1),W$4:W1350))-K1234),1,
ROUNDDOWN(Y1234-INDEX(K$4:K1350,MATCH(LARGE(FILTER(I$4:I1350,I$4:I1350&lt;=W1234),1),I$4:I1350))-(W1234-L"&amp;"ARGE(FILTER(I$4:I1350,I$4:I1350&lt;=W1234),1))*INDEX(F$4:F1350,MATCH(LARGE(FILTER(I$4:I1350,I$4:I1350&lt;=W1234),1),I$4:I1350))))"),"")</f>
        <v/>
      </c>
      <c r="N1234" s="60" t="str">
        <f t="shared" si="8"/>
        <v/>
      </c>
      <c r="O1234" s="61" t="str">
        <f t="shared" si="9"/>
        <v/>
      </c>
      <c r="P1234" s="56" t="str">
        <f t="shared" si="10"/>
        <v/>
      </c>
      <c r="Q1234" s="62"/>
      <c r="R1234" s="10" t="str">
        <f>IFERROR(__xludf.DUMMYFUNCTION("IF(COUNTA(Q1234:Q1350)=0,"""",IF(ISBLANK(Q1234),FALSE,IF(NOT(COUNTIF($AA$24:$AA$34,SUBSTITUTE(Q1234,""Sell_"",""""))),1,IF(REGEXMATCH(Q1234,""Sell_""),IF(COUNTIF(Q$4:Q1234,SUBSTITUTE(Q1234,""Sell_"",""""))-COUNTIF(Q$4:Q1233,Q1234)&lt;1,1),FALSE))))"),"")</f>
        <v/>
      </c>
      <c r="S1234" s="59" t="str">
        <f t="array" ref="S1234">IF(COUNTA(Q1234:Q1350)=0,"",SUM((COUNTIF(Q$4:Q1234,Upgrades!$B$3:$B$13)-COUNTIF(Q$4:Q1234,"Sell_"&amp;Upgrades!$B$3:$B$13))*Upgrades!$D$3:$D$13))</f>
        <v/>
      </c>
      <c r="T1234" s="66" t="str">
        <f>IFERROR(__xludf.DUMMYFUNCTION("IF(COUNTA(Q1234:Q1350)=0,"""",IF(REGEXMATCH(INDEX(FILTER(Q$4:Q1234,Q$4:Q1234&lt;&gt;""""),ROWS(FILTER(Q$4:Q1234,Q$4:Q1234&lt;&gt;""""))),""^Sell_""),INDEX(FILTER(T$4:T1233,Q$4:Q1233&lt;&gt;""""),ROWS(FILTER(Q$4:Q1233,Q$4:Q1233&lt;&gt;""""))),$AD$5+S1234))"),"")</f>
        <v/>
      </c>
      <c r="U1234" s="10" t="str">
        <f>IFERROR(__xludf.DUMMYFUNCTION("IF(COUNTA(Q1234:Q1350)=0,"""",IF(Q1234="""",0,IF(REGEXMATCH(Q1234,""^Sell_""),-ROUNDDOWN(ROUNDUP(INDEX(Upgrades!$C$3:$C$13,MATCH(SUBSTITUTE(Q1234,""Sell_"",""""),Upgrades!$B$3:$B$13,0))*1.15^(COUNTIF(Q$4:Q1233,SUBSTITUTE(Q1234,""Sell_"",""""))-COUNTIF(Q$4"&amp;":Q1233,""Sell_""&amp;SUBSTITUTE(Q1234,""Sell_"",""""))))/2),ROUNDUP(INDEX(Upgrades!$C$3:$C$13,MATCH(Q1234,Upgrades!$B$3:$B$13,0))*1.15^(COUNTIF(Q$4:Q1233,Q1234)-COUNTIF(Q$4:Q1233,""Sell_""&amp;Q1234))))))"),"")</f>
        <v/>
      </c>
      <c r="V1234" s="10" t="str">
        <f t="shared" si="11"/>
        <v/>
      </c>
      <c r="W1234" s="68" t="str">
        <f t="shared" si="12"/>
        <v/>
      </c>
      <c r="X1234" s="59" t="str">
        <f t="shared" si="13"/>
        <v/>
      </c>
      <c r="Y1234" s="69" t="str">
        <f t="shared" si="14"/>
        <v/>
      </c>
      <c r="Z1234" s="11"/>
    </row>
    <row r="1235">
      <c r="A1235" s="8"/>
      <c r="B1235" s="56" t="str">
        <f t="shared" si="2"/>
        <v/>
      </c>
      <c r="C1235" s="57"/>
      <c r="D1235" s="10" t="str">
        <f>IFERROR(__xludf.DUMMYFUNCTION("IF(COUNTA(C1235:C1350)=0,"""",IF(ISBLANK(C1235),FALSE,IF(NOT(COUNTIF($AA$24:$AA$34,SUBSTITUTE(C1235,""Sell_"",""""))),1,IF(REGEXMATCH(C1235,""Sell_""),IF(COUNTIF(C$4:C1235,SUBSTITUTE(C1235,""Sell_"",""""))-COUNTIF(C$4:C1234,C1235)&lt;1,1),FALSE))))"),"")</f>
        <v/>
      </c>
      <c r="E1235" s="59" t="str">
        <f t="array" ref="E1235">IF(COUNTA(C1235:C1350)=0,"",SUM((COUNTIF(C$4:C1235,Upgrades!$B$3:$B$13)-COUNTIF(C$4:C1235,"Sell_"&amp;Upgrades!$B$3:$B$13))*Upgrades!$D$3:$D$13))</f>
        <v/>
      </c>
      <c r="F1235" s="66" t="str">
        <f>IFERROR(__xludf.DUMMYFUNCTION("IF(COUNTA(C1235:C1350)=0,"""",IF(REGEXMATCH(INDEX(FILTER(C$4:C1235,C$4:C1235&lt;&gt;""""),ROWS(FILTER(C$4:C1235,C$4:C1235&lt;&gt;""""))),""^Sell_""),INDEX(FILTER(F$4:F1234,C$4:C1234&lt;&gt;""""),ROWS(FILTER(C$4:C1234,C$4:C1234&lt;&gt;""""))),$AC$5+E1235))"),"")</f>
        <v/>
      </c>
      <c r="G1235" s="10" t="str">
        <f>IFERROR(__xludf.DUMMYFUNCTION("IF(COUNTA(C1235:C1350)=0,"""",IF(C1235="""",0,IF(REGEXMATCH(C1235,""^Sell_""),-ROUNDDOWN(ROUNDUP(INDEX(Upgrades!$C$3:$C$13,MATCH(SUBSTITUTE(C1235,""Sell_"",""""),Upgrades!$B$3:$B$13,0))*1.15^(COUNTIF(C$4:C1234,SUBSTITUTE(C1235,""Sell_"",""""))-COUNTIF(C$4"&amp;":C1234,""Sell_""&amp;SUBSTITUTE(C1235,""Sell_"",""""))))/2),ROUNDUP(INDEX(Upgrades!$C$3:$C$13,MATCH(C1235,Upgrades!$B$3:$B$13,0))*1.15^(COUNTIF(C$4:C1234,C1235)-COUNTIF(C$4:C1234,""Sell_""&amp;C1235))))))"),"")</f>
        <v/>
      </c>
      <c r="H1235" s="10" t="str">
        <f t="shared" si="3"/>
        <v/>
      </c>
      <c r="I1235" s="68" t="str">
        <f t="shared" si="4"/>
        <v/>
      </c>
      <c r="J1235" s="59" t="str">
        <f t="shared" si="5"/>
        <v/>
      </c>
      <c r="K1235" s="69" t="str">
        <f t="shared" si="6"/>
        <v/>
      </c>
      <c r="L1235" s="60" t="str">
        <f t="shared" si="7"/>
        <v/>
      </c>
      <c r="M1235" s="61" t="str">
        <f>IFERROR(__xludf.DUMMYFUNCTION("IFS(AND(COUNTA(C1235:C1350)=0,COUNTA(Q1235:Q1350)=0),"""",OR(AND(K1235&gt;=1000000000,OR(Y1235&gt;=1000000000,COUNTA(Q1235:Q1350)=0)),OR(Y1235&gt;=1000000000,AND(COUNTA(C1235:C1350)=0,P$3=TRUE))),
ROUNDDOWN((AB$1-AC$1)*MAX(INDEX(T$4:T1350,MATCH(LARGE(FILTER(Y$4:Y1"&amp;"350,Y$4:Y1350&lt;1000000000),1),Y$4:Y1350)),INDEX(F$4:F1350,MATCH(LARGE(FILTER(K$4:K1350,K$4:K1350&lt;1000000000),1),K$4:K1350)))),AND(K1235&lt;1000000000,COUNTA(C1235:C1350)&gt;0,P$3=FALSE),
ROUNDDOWN(INDEX(Y$4:Y1350,MATCH(LARGE(FILTER(W$4:W1350,W$4:W1350&lt;=I1235),1)"&amp;",W$4:W1350))+(I1235-LARGE(FILTER(W$4:W1350,W$4:W1350&lt;=I1235),1))*INDEX(T$4:T1350,MATCH(LARGE(FILTER(W$4:W1350,W$4:W1350&lt;=I1235),1),W$4:W1350))-K1235),1,
ROUNDDOWN(Y1235-INDEX(K$4:K1350,MATCH(LARGE(FILTER(I$4:I1350,I$4:I1350&lt;=W1235),1),I$4:I1350))-(W1235-L"&amp;"ARGE(FILTER(I$4:I1350,I$4:I1350&lt;=W1235),1))*INDEX(F$4:F1350,MATCH(LARGE(FILTER(I$4:I1350,I$4:I1350&lt;=W1235),1),I$4:I1350))))"),"")</f>
        <v/>
      </c>
      <c r="N1235" s="60" t="str">
        <f t="shared" si="8"/>
        <v/>
      </c>
      <c r="O1235" s="61" t="str">
        <f t="shared" si="9"/>
        <v/>
      </c>
      <c r="P1235" s="56" t="str">
        <f t="shared" si="10"/>
        <v/>
      </c>
      <c r="Q1235" s="62"/>
      <c r="R1235" s="10" t="str">
        <f>IFERROR(__xludf.DUMMYFUNCTION("IF(COUNTA(Q1235:Q1350)=0,"""",IF(ISBLANK(Q1235),FALSE,IF(NOT(COUNTIF($AA$24:$AA$34,SUBSTITUTE(Q1235,""Sell_"",""""))),1,IF(REGEXMATCH(Q1235,""Sell_""),IF(COUNTIF(Q$4:Q1235,SUBSTITUTE(Q1235,""Sell_"",""""))-COUNTIF(Q$4:Q1234,Q1235)&lt;1,1),FALSE))))"),"")</f>
        <v/>
      </c>
      <c r="S1235" s="59" t="str">
        <f t="array" ref="S1235">IF(COUNTA(Q1235:Q1350)=0,"",SUM((COUNTIF(Q$4:Q1235,Upgrades!$B$3:$B$13)-COUNTIF(Q$4:Q1235,"Sell_"&amp;Upgrades!$B$3:$B$13))*Upgrades!$D$3:$D$13))</f>
        <v/>
      </c>
      <c r="T1235" s="66" t="str">
        <f>IFERROR(__xludf.DUMMYFUNCTION("IF(COUNTA(Q1235:Q1350)=0,"""",IF(REGEXMATCH(INDEX(FILTER(Q$4:Q1235,Q$4:Q1235&lt;&gt;""""),ROWS(FILTER(Q$4:Q1235,Q$4:Q1235&lt;&gt;""""))),""^Sell_""),INDEX(FILTER(T$4:T1234,Q$4:Q1234&lt;&gt;""""),ROWS(FILTER(Q$4:Q1234,Q$4:Q1234&lt;&gt;""""))),$AD$5+S1235))"),"")</f>
        <v/>
      </c>
      <c r="U1235" s="10" t="str">
        <f>IFERROR(__xludf.DUMMYFUNCTION("IF(COUNTA(Q1235:Q1350)=0,"""",IF(Q1235="""",0,IF(REGEXMATCH(Q1235,""^Sell_""),-ROUNDDOWN(ROUNDUP(INDEX(Upgrades!$C$3:$C$13,MATCH(SUBSTITUTE(Q1235,""Sell_"",""""),Upgrades!$B$3:$B$13,0))*1.15^(COUNTIF(Q$4:Q1234,SUBSTITUTE(Q1235,""Sell_"",""""))-COUNTIF(Q$4"&amp;":Q1234,""Sell_""&amp;SUBSTITUTE(Q1235,""Sell_"",""""))))/2),ROUNDUP(INDEX(Upgrades!$C$3:$C$13,MATCH(Q1235,Upgrades!$B$3:$B$13,0))*1.15^(COUNTIF(Q$4:Q1234,Q1235)-COUNTIF(Q$4:Q1234,""Sell_""&amp;Q1235))))))"),"")</f>
        <v/>
      </c>
      <c r="V1235" s="10" t="str">
        <f t="shared" si="11"/>
        <v/>
      </c>
      <c r="W1235" s="68" t="str">
        <f t="shared" si="12"/>
        <v/>
      </c>
      <c r="X1235" s="59" t="str">
        <f t="shared" si="13"/>
        <v/>
      </c>
      <c r="Y1235" s="69" t="str">
        <f t="shared" si="14"/>
        <v/>
      </c>
      <c r="Z1235" s="11"/>
    </row>
    <row r="1236">
      <c r="A1236" s="8"/>
      <c r="B1236" s="56" t="str">
        <f t="shared" si="2"/>
        <v/>
      </c>
      <c r="C1236" s="57"/>
      <c r="D1236" s="10" t="str">
        <f>IFERROR(__xludf.DUMMYFUNCTION("IF(COUNTA(C1236:C1350)=0,"""",IF(ISBLANK(C1236),FALSE,IF(NOT(COUNTIF($AA$24:$AA$34,SUBSTITUTE(C1236,""Sell_"",""""))),1,IF(REGEXMATCH(C1236,""Sell_""),IF(COUNTIF(C$4:C1236,SUBSTITUTE(C1236,""Sell_"",""""))-COUNTIF(C$4:C1235,C1236)&lt;1,1),FALSE))))"),"")</f>
        <v/>
      </c>
      <c r="E1236" s="59" t="str">
        <f t="array" ref="E1236">IF(COUNTA(C1236:C1350)=0,"",SUM((COUNTIF(C$4:C1236,Upgrades!$B$3:$B$13)-COUNTIF(C$4:C1236,"Sell_"&amp;Upgrades!$B$3:$B$13))*Upgrades!$D$3:$D$13))</f>
        <v/>
      </c>
      <c r="F1236" s="66" t="str">
        <f>IFERROR(__xludf.DUMMYFUNCTION("IF(COUNTA(C1236:C1350)=0,"""",IF(REGEXMATCH(INDEX(FILTER(C$4:C1236,C$4:C1236&lt;&gt;""""),ROWS(FILTER(C$4:C1236,C$4:C1236&lt;&gt;""""))),""^Sell_""),INDEX(FILTER(F$4:F1235,C$4:C1235&lt;&gt;""""),ROWS(FILTER(C$4:C1235,C$4:C1235&lt;&gt;""""))),$AC$5+E1236))"),"")</f>
        <v/>
      </c>
      <c r="G1236" s="10" t="str">
        <f>IFERROR(__xludf.DUMMYFUNCTION("IF(COUNTA(C1236:C1350)=0,"""",IF(C1236="""",0,IF(REGEXMATCH(C1236,""^Sell_""),-ROUNDDOWN(ROUNDUP(INDEX(Upgrades!$C$3:$C$13,MATCH(SUBSTITUTE(C1236,""Sell_"",""""),Upgrades!$B$3:$B$13,0))*1.15^(COUNTIF(C$4:C1235,SUBSTITUTE(C1236,""Sell_"",""""))-COUNTIF(C$4"&amp;":C1235,""Sell_""&amp;SUBSTITUTE(C1236,""Sell_"",""""))))/2),ROUNDUP(INDEX(Upgrades!$C$3:$C$13,MATCH(C1236,Upgrades!$B$3:$B$13,0))*1.15^(COUNTIF(C$4:C1235,C1236)-COUNTIF(C$4:C1235,""Sell_""&amp;C1236))))))"),"")</f>
        <v/>
      </c>
      <c r="H1236" s="10" t="str">
        <f t="shared" si="3"/>
        <v/>
      </c>
      <c r="I1236" s="68" t="str">
        <f t="shared" si="4"/>
        <v/>
      </c>
      <c r="J1236" s="59" t="str">
        <f t="shared" si="5"/>
        <v/>
      </c>
      <c r="K1236" s="69" t="str">
        <f t="shared" si="6"/>
        <v/>
      </c>
      <c r="L1236" s="60" t="str">
        <f t="shared" si="7"/>
        <v/>
      </c>
      <c r="M1236" s="61" t="str">
        <f>IFERROR(__xludf.DUMMYFUNCTION("IFS(AND(COUNTA(C1236:C1350)=0,COUNTA(Q1236:Q1350)=0),"""",OR(AND(K1236&gt;=1000000000,OR(Y1236&gt;=1000000000,COUNTA(Q1236:Q1350)=0)),OR(Y1236&gt;=1000000000,AND(COUNTA(C1236:C1350)=0,P$3=TRUE))),
ROUNDDOWN((AB$1-AC$1)*MAX(INDEX(T$4:T1350,MATCH(LARGE(FILTER(Y$4:Y1"&amp;"350,Y$4:Y1350&lt;1000000000),1),Y$4:Y1350)),INDEX(F$4:F1350,MATCH(LARGE(FILTER(K$4:K1350,K$4:K1350&lt;1000000000),1),K$4:K1350)))),AND(K1236&lt;1000000000,COUNTA(C1236:C1350)&gt;0,P$3=FALSE),
ROUNDDOWN(INDEX(Y$4:Y1350,MATCH(LARGE(FILTER(W$4:W1350,W$4:W1350&lt;=I1236),1)"&amp;",W$4:W1350))+(I1236-LARGE(FILTER(W$4:W1350,W$4:W1350&lt;=I1236),1))*INDEX(T$4:T1350,MATCH(LARGE(FILTER(W$4:W1350,W$4:W1350&lt;=I1236),1),W$4:W1350))-K1236),1,
ROUNDDOWN(Y1236-INDEX(K$4:K1350,MATCH(LARGE(FILTER(I$4:I1350,I$4:I1350&lt;=W1236),1),I$4:I1350))-(W1236-L"&amp;"ARGE(FILTER(I$4:I1350,I$4:I1350&lt;=W1236),1))*INDEX(F$4:F1350,MATCH(LARGE(FILTER(I$4:I1350,I$4:I1350&lt;=W1236),1),I$4:I1350))))"),"")</f>
        <v/>
      </c>
      <c r="N1236" s="60" t="str">
        <f t="shared" si="8"/>
        <v/>
      </c>
      <c r="O1236" s="61" t="str">
        <f t="shared" si="9"/>
        <v/>
      </c>
      <c r="P1236" s="56" t="str">
        <f t="shared" si="10"/>
        <v/>
      </c>
      <c r="Q1236" s="62"/>
      <c r="R1236" s="10" t="str">
        <f>IFERROR(__xludf.DUMMYFUNCTION("IF(COUNTA(Q1236:Q1350)=0,"""",IF(ISBLANK(Q1236),FALSE,IF(NOT(COUNTIF($AA$24:$AA$34,SUBSTITUTE(Q1236,""Sell_"",""""))),1,IF(REGEXMATCH(Q1236,""Sell_""),IF(COUNTIF(Q$4:Q1236,SUBSTITUTE(Q1236,""Sell_"",""""))-COUNTIF(Q$4:Q1235,Q1236)&lt;1,1),FALSE))))"),"")</f>
        <v/>
      </c>
      <c r="S1236" s="59" t="str">
        <f t="array" ref="S1236">IF(COUNTA(Q1236:Q1350)=0,"",SUM((COUNTIF(Q$4:Q1236,Upgrades!$B$3:$B$13)-COUNTIF(Q$4:Q1236,"Sell_"&amp;Upgrades!$B$3:$B$13))*Upgrades!$D$3:$D$13))</f>
        <v/>
      </c>
      <c r="T1236" s="66" t="str">
        <f>IFERROR(__xludf.DUMMYFUNCTION("IF(COUNTA(Q1236:Q1350)=0,"""",IF(REGEXMATCH(INDEX(FILTER(Q$4:Q1236,Q$4:Q1236&lt;&gt;""""),ROWS(FILTER(Q$4:Q1236,Q$4:Q1236&lt;&gt;""""))),""^Sell_""),INDEX(FILTER(T$4:T1235,Q$4:Q1235&lt;&gt;""""),ROWS(FILTER(Q$4:Q1235,Q$4:Q1235&lt;&gt;""""))),$AD$5+S1236))"),"")</f>
        <v/>
      </c>
      <c r="U1236" s="10" t="str">
        <f>IFERROR(__xludf.DUMMYFUNCTION("IF(COUNTA(Q1236:Q1350)=0,"""",IF(Q1236="""",0,IF(REGEXMATCH(Q1236,""^Sell_""),-ROUNDDOWN(ROUNDUP(INDEX(Upgrades!$C$3:$C$13,MATCH(SUBSTITUTE(Q1236,""Sell_"",""""),Upgrades!$B$3:$B$13,0))*1.15^(COUNTIF(Q$4:Q1235,SUBSTITUTE(Q1236,""Sell_"",""""))-COUNTIF(Q$4"&amp;":Q1235,""Sell_""&amp;SUBSTITUTE(Q1236,""Sell_"",""""))))/2),ROUNDUP(INDEX(Upgrades!$C$3:$C$13,MATCH(Q1236,Upgrades!$B$3:$B$13,0))*1.15^(COUNTIF(Q$4:Q1235,Q1236)-COUNTIF(Q$4:Q1235,""Sell_""&amp;Q1236))))))"),"")</f>
        <v/>
      </c>
      <c r="V1236" s="10" t="str">
        <f t="shared" si="11"/>
        <v/>
      </c>
      <c r="W1236" s="68" t="str">
        <f t="shared" si="12"/>
        <v/>
      </c>
      <c r="X1236" s="59" t="str">
        <f t="shared" si="13"/>
        <v/>
      </c>
      <c r="Y1236" s="69" t="str">
        <f t="shared" si="14"/>
        <v/>
      </c>
      <c r="Z1236" s="11"/>
    </row>
    <row r="1237">
      <c r="A1237" s="8"/>
      <c r="B1237" s="56" t="str">
        <f t="shared" si="2"/>
        <v/>
      </c>
      <c r="C1237" s="57"/>
      <c r="D1237" s="10" t="str">
        <f>IFERROR(__xludf.DUMMYFUNCTION("IF(COUNTA(C1237:C1350)=0,"""",IF(ISBLANK(C1237),FALSE,IF(NOT(COUNTIF($AA$24:$AA$34,SUBSTITUTE(C1237,""Sell_"",""""))),1,IF(REGEXMATCH(C1237,""Sell_""),IF(COUNTIF(C$4:C1237,SUBSTITUTE(C1237,""Sell_"",""""))-COUNTIF(C$4:C1236,C1237)&lt;1,1),FALSE))))"),"")</f>
        <v/>
      </c>
      <c r="E1237" s="59" t="str">
        <f t="array" ref="E1237">IF(COUNTA(C1237:C1350)=0,"",SUM((COUNTIF(C$4:C1237,Upgrades!$B$3:$B$13)-COUNTIF(C$4:C1237,"Sell_"&amp;Upgrades!$B$3:$B$13))*Upgrades!$D$3:$D$13))</f>
        <v/>
      </c>
      <c r="F1237" s="66" t="str">
        <f>IFERROR(__xludf.DUMMYFUNCTION("IF(COUNTA(C1237:C1350)=0,"""",IF(REGEXMATCH(INDEX(FILTER(C$4:C1237,C$4:C1237&lt;&gt;""""),ROWS(FILTER(C$4:C1237,C$4:C1237&lt;&gt;""""))),""^Sell_""),INDEX(FILTER(F$4:F1236,C$4:C1236&lt;&gt;""""),ROWS(FILTER(C$4:C1236,C$4:C1236&lt;&gt;""""))),$AC$5+E1237))"),"")</f>
        <v/>
      </c>
      <c r="G1237" s="10" t="str">
        <f>IFERROR(__xludf.DUMMYFUNCTION("IF(COUNTA(C1237:C1350)=0,"""",IF(C1237="""",0,IF(REGEXMATCH(C1237,""^Sell_""),-ROUNDDOWN(ROUNDUP(INDEX(Upgrades!$C$3:$C$13,MATCH(SUBSTITUTE(C1237,""Sell_"",""""),Upgrades!$B$3:$B$13,0))*1.15^(COUNTIF(C$4:C1236,SUBSTITUTE(C1237,""Sell_"",""""))-COUNTIF(C$4"&amp;":C1236,""Sell_""&amp;SUBSTITUTE(C1237,""Sell_"",""""))))/2),ROUNDUP(INDEX(Upgrades!$C$3:$C$13,MATCH(C1237,Upgrades!$B$3:$B$13,0))*1.15^(COUNTIF(C$4:C1236,C1237)-COUNTIF(C$4:C1236,""Sell_""&amp;C1237))))))"),"")</f>
        <v/>
      </c>
      <c r="H1237" s="10" t="str">
        <f t="shared" si="3"/>
        <v/>
      </c>
      <c r="I1237" s="68" t="str">
        <f t="shared" si="4"/>
        <v/>
      </c>
      <c r="J1237" s="59" t="str">
        <f t="shared" si="5"/>
        <v/>
      </c>
      <c r="K1237" s="69" t="str">
        <f t="shared" si="6"/>
        <v/>
      </c>
      <c r="L1237" s="60" t="str">
        <f t="shared" si="7"/>
        <v/>
      </c>
      <c r="M1237" s="61" t="str">
        <f>IFERROR(__xludf.DUMMYFUNCTION("IFS(AND(COUNTA(C1237:C1350)=0,COUNTA(Q1237:Q1350)=0),"""",OR(AND(K1237&gt;=1000000000,OR(Y1237&gt;=1000000000,COUNTA(Q1237:Q1350)=0)),OR(Y1237&gt;=1000000000,AND(COUNTA(C1237:C1350)=0,P$3=TRUE))),
ROUNDDOWN((AB$1-AC$1)*MAX(INDEX(T$4:T1350,MATCH(LARGE(FILTER(Y$4:Y1"&amp;"350,Y$4:Y1350&lt;1000000000),1),Y$4:Y1350)),INDEX(F$4:F1350,MATCH(LARGE(FILTER(K$4:K1350,K$4:K1350&lt;1000000000),1),K$4:K1350)))),AND(K1237&lt;1000000000,COUNTA(C1237:C1350)&gt;0,P$3=FALSE),
ROUNDDOWN(INDEX(Y$4:Y1350,MATCH(LARGE(FILTER(W$4:W1350,W$4:W1350&lt;=I1237),1)"&amp;",W$4:W1350))+(I1237-LARGE(FILTER(W$4:W1350,W$4:W1350&lt;=I1237),1))*INDEX(T$4:T1350,MATCH(LARGE(FILTER(W$4:W1350,W$4:W1350&lt;=I1237),1),W$4:W1350))-K1237),1,
ROUNDDOWN(Y1237-INDEX(K$4:K1350,MATCH(LARGE(FILTER(I$4:I1350,I$4:I1350&lt;=W1237),1),I$4:I1350))-(W1237-L"&amp;"ARGE(FILTER(I$4:I1350,I$4:I1350&lt;=W1237),1))*INDEX(F$4:F1350,MATCH(LARGE(FILTER(I$4:I1350,I$4:I1350&lt;=W1237),1),I$4:I1350))))"),"")</f>
        <v/>
      </c>
      <c r="N1237" s="60" t="str">
        <f t="shared" si="8"/>
        <v/>
      </c>
      <c r="O1237" s="61" t="str">
        <f t="shared" si="9"/>
        <v/>
      </c>
      <c r="P1237" s="56" t="str">
        <f t="shared" si="10"/>
        <v/>
      </c>
      <c r="Q1237" s="62"/>
      <c r="R1237" s="10" t="str">
        <f>IFERROR(__xludf.DUMMYFUNCTION("IF(COUNTA(Q1237:Q1350)=0,"""",IF(ISBLANK(Q1237),FALSE,IF(NOT(COUNTIF($AA$24:$AA$34,SUBSTITUTE(Q1237,""Sell_"",""""))),1,IF(REGEXMATCH(Q1237,""Sell_""),IF(COUNTIF(Q$4:Q1237,SUBSTITUTE(Q1237,""Sell_"",""""))-COUNTIF(Q$4:Q1236,Q1237)&lt;1,1),FALSE))))"),"")</f>
        <v/>
      </c>
      <c r="S1237" s="59" t="str">
        <f t="array" ref="S1237">IF(COUNTA(Q1237:Q1350)=0,"",SUM((COUNTIF(Q$4:Q1237,Upgrades!$B$3:$B$13)-COUNTIF(Q$4:Q1237,"Sell_"&amp;Upgrades!$B$3:$B$13))*Upgrades!$D$3:$D$13))</f>
        <v/>
      </c>
      <c r="T1237" s="66" t="str">
        <f>IFERROR(__xludf.DUMMYFUNCTION("IF(COUNTA(Q1237:Q1350)=0,"""",IF(REGEXMATCH(INDEX(FILTER(Q$4:Q1237,Q$4:Q1237&lt;&gt;""""),ROWS(FILTER(Q$4:Q1237,Q$4:Q1237&lt;&gt;""""))),""^Sell_""),INDEX(FILTER(T$4:T1236,Q$4:Q1236&lt;&gt;""""),ROWS(FILTER(Q$4:Q1236,Q$4:Q1236&lt;&gt;""""))),$AD$5+S1237))"),"")</f>
        <v/>
      </c>
      <c r="U1237" s="10" t="str">
        <f>IFERROR(__xludf.DUMMYFUNCTION("IF(COUNTA(Q1237:Q1350)=0,"""",IF(Q1237="""",0,IF(REGEXMATCH(Q1237,""^Sell_""),-ROUNDDOWN(ROUNDUP(INDEX(Upgrades!$C$3:$C$13,MATCH(SUBSTITUTE(Q1237,""Sell_"",""""),Upgrades!$B$3:$B$13,0))*1.15^(COUNTIF(Q$4:Q1236,SUBSTITUTE(Q1237,""Sell_"",""""))-COUNTIF(Q$4"&amp;":Q1236,""Sell_""&amp;SUBSTITUTE(Q1237,""Sell_"",""""))))/2),ROUNDUP(INDEX(Upgrades!$C$3:$C$13,MATCH(Q1237,Upgrades!$B$3:$B$13,0))*1.15^(COUNTIF(Q$4:Q1236,Q1237)-COUNTIF(Q$4:Q1236,""Sell_""&amp;Q1237))))))"),"")</f>
        <v/>
      </c>
      <c r="V1237" s="10" t="str">
        <f t="shared" si="11"/>
        <v/>
      </c>
      <c r="W1237" s="68" t="str">
        <f t="shared" si="12"/>
        <v/>
      </c>
      <c r="X1237" s="59" t="str">
        <f t="shared" si="13"/>
        <v/>
      </c>
      <c r="Y1237" s="69" t="str">
        <f t="shared" si="14"/>
        <v/>
      </c>
      <c r="Z1237" s="11"/>
    </row>
    <row r="1238">
      <c r="A1238" s="8"/>
      <c r="B1238" s="56" t="str">
        <f t="shared" si="2"/>
        <v/>
      </c>
      <c r="C1238" s="57"/>
      <c r="D1238" s="10" t="str">
        <f>IFERROR(__xludf.DUMMYFUNCTION("IF(COUNTA(C1238:C1350)=0,"""",IF(ISBLANK(C1238),FALSE,IF(NOT(COUNTIF($AA$24:$AA$34,SUBSTITUTE(C1238,""Sell_"",""""))),1,IF(REGEXMATCH(C1238,""Sell_""),IF(COUNTIF(C$4:C1238,SUBSTITUTE(C1238,""Sell_"",""""))-COUNTIF(C$4:C1237,C1238)&lt;1,1),FALSE))))"),"")</f>
        <v/>
      </c>
      <c r="E1238" s="59" t="str">
        <f t="array" ref="E1238">IF(COUNTA(C1238:C1350)=0,"",SUM((COUNTIF(C$4:C1238,Upgrades!$B$3:$B$13)-COUNTIF(C$4:C1238,"Sell_"&amp;Upgrades!$B$3:$B$13))*Upgrades!$D$3:$D$13))</f>
        <v/>
      </c>
      <c r="F1238" s="66" t="str">
        <f>IFERROR(__xludf.DUMMYFUNCTION("IF(COUNTA(C1238:C1350)=0,"""",IF(REGEXMATCH(INDEX(FILTER(C$4:C1238,C$4:C1238&lt;&gt;""""),ROWS(FILTER(C$4:C1238,C$4:C1238&lt;&gt;""""))),""^Sell_""),INDEX(FILTER(F$4:F1237,C$4:C1237&lt;&gt;""""),ROWS(FILTER(C$4:C1237,C$4:C1237&lt;&gt;""""))),$AC$5+E1238))"),"")</f>
        <v/>
      </c>
      <c r="G1238" s="10" t="str">
        <f>IFERROR(__xludf.DUMMYFUNCTION("IF(COUNTA(C1238:C1350)=0,"""",IF(C1238="""",0,IF(REGEXMATCH(C1238,""^Sell_""),-ROUNDDOWN(ROUNDUP(INDEX(Upgrades!$C$3:$C$13,MATCH(SUBSTITUTE(C1238,""Sell_"",""""),Upgrades!$B$3:$B$13,0))*1.15^(COUNTIF(C$4:C1237,SUBSTITUTE(C1238,""Sell_"",""""))-COUNTIF(C$4"&amp;":C1237,""Sell_""&amp;SUBSTITUTE(C1238,""Sell_"",""""))))/2),ROUNDUP(INDEX(Upgrades!$C$3:$C$13,MATCH(C1238,Upgrades!$B$3:$B$13,0))*1.15^(COUNTIF(C$4:C1237,C1238)-COUNTIF(C$4:C1237,""Sell_""&amp;C1238))))))"),"")</f>
        <v/>
      </c>
      <c r="H1238" s="10" t="str">
        <f t="shared" si="3"/>
        <v/>
      </c>
      <c r="I1238" s="68" t="str">
        <f t="shared" si="4"/>
        <v/>
      </c>
      <c r="J1238" s="59" t="str">
        <f t="shared" si="5"/>
        <v/>
      </c>
      <c r="K1238" s="69" t="str">
        <f t="shared" si="6"/>
        <v/>
      </c>
      <c r="L1238" s="60" t="str">
        <f t="shared" si="7"/>
        <v/>
      </c>
      <c r="M1238" s="61" t="str">
        <f>IFERROR(__xludf.DUMMYFUNCTION("IFS(AND(COUNTA(C1238:C1350)=0,COUNTA(Q1238:Q1350)=0),"""",OR(AND(K1238&gt;=1000000000,OR(Y1238&gt;=1000000000,COUNTA(Q1238:Q1350)=0)),OR(Y1238&gt;=1000000000,AND(COUNTA(C1238:C1350)=0,P$3=TRUE))),
ROUNDDOWN((AB$1-AC$1)*MAX(INDEX(T$4:T1350,MATCH(LARGE(FILTER(Y$4:Y1"&amp;"350,Y$4:Y1350&lt;1000000000),1),Y$4:Y1350)),INDEX(F$4:F1350,MATCH(LARGE(FILTER(K$4:K1350,K$4:K1350&lt;1000000000),1),K$4:K1350)))),AND(K1238&lt;1000000000,COUNTA(C1238:C1350)&gt;0,P$3=FALSE),
ROUNDDOWN(INDEX(Y$4:Y1350,MATCH(LARGE(FILTER(W$4:W1350,W$4:W1350&lt;=I1238),1)"&amp;",W$4:W1350))+(I1238-LARGE(FILTER(W$4:W1350,W$4:W1350&lt;=I1238),1))*INDEX(T$4:T1350,MATCH(LARGE(FILTER(W$4:W1350,W$4:W1350&lt;=I1238),1),W$4:W1350))-K1238),1,
ROUNDDOWN(Y1238-INDEX(K$4:K1350,MATCH(LARGE(FILTER(I$4:I1350,I$4:I1350&lt;=W1238),1),I$4:I1350))-(W1238-L"&amp;"ARGE(FILTER(I$4:I1350,I$4:I1350&lt;=W1238),1))*INDEX(F$4:F1350,MATCH(LARGE(FILTER(I$4:I1350,I$4:I1350&lt;=W1238),1),I$4:I1350))))"),"")</f>
        <v/>
      </c>
      <c r="N1238" s="60" t="str">
        <f t="shared" si="8"/>
        <v/>
      </c>
      <c r="O1238" s="61" t="str">
        <f t="shared" si="9"/>
        <v/>
      </c>
      <c r="P1238" s="56" t="str">
        <f t="shared" si="10"/>
        <v/>
      </c>
      <c r="Q1238" s="62"/>
      <c r="R1238" s="10" t="str">
        <f>IFERROR(__xludf.DUMMYFUNCTION("IF(COUNTA(Q1238:Q1350)=0,"""",IF(ISBLANK(Q1238),FALSE,IF(NOT(COUNTIF($AA$24:$AA$34,SUBSTITUTE(Q1238,""Sell_"",""""))),1,IF(REGEXMATCH(Q1238,""Sell_""),IF(COUNTIF(Q$4:Q1238,SUBSTITUTE(Q1238,""Sell_"",""""))-COUNTIF(Q$4:Q1237,Q1238)&lt;1,1),FALSE))))"),"")</f>
        <v/>
      </c>
      <c r="S1238" s="59" t="str">
        <f t="array" ref="S1238">IF(COUNTA(Q1238:Q1350)=0,"",SUM((COUNTIF(Q$4:Q1238,Upgrades!$B$3:$B$13)-COUNTIF(Q$4:Q1238,"Sell_"&amp;Upgrades!$B$3:$B$13))*Upgrades!$D$3:$D$13))</f>
        <v/>
      </c>
      <c r="T1238" s="66" t="str">
        <f>IFERROR(__xludf.DUMMYFUNCTION("IF(COUNTA(Q1238:Q1350)=0,"""",IF(REGEXMATCH(INDEX(FILTER(Q$4:Q1238,Q$4:Q1238&lt;&gt;""""),ROWS(FILTER(Q$4:Q1238,Q$4:Q1238&lt;&gt;""""))),""^Sell_""),INDEX(FILTER(T$4:T1237,Q$4:Q1237&lt;&gt;""""),ROWS(FILTER(Q$4:Q1237,Q$4:Q1237&lt;&gt;""""))),$AD$5+S1238))"),"")</f>
        <v/>
      </c>
      <c r="U1238" s="10" t="str">
        <f>IFERROR(__xludf.DUMMYFUNCTION("IF(COUNTA(Q1238:Q1350)=0,"""",IF(Q1238="""",0,IF(REGEXMATCH(Q1238,""^Sell_""),-ROUNDDOWN(ROUNDUP(INDEX(Upgrades!$C$3:$C$13,MATCH(SUBSTITUTE(Q1238,""Sell_"",""""),Upgrades!$B$3:$B$13,0))*1.15^(COUNTIF(Q$4:Q1237,SUBSTITUTE(Q1238,""Sell_"",""""))-COUNTIF(Q$4"&amp;":Q1237,""Sell_""&amp;SUBSTITUTE(Q1238,""Sell_"",""""))))/2),ROUNDUP(INDEX(Upgrades!$C$3:$C$13,MATCH(Q1238,Upgrades!$B$3:$B$13,0))*1.15^(COUNTIF(Q$4:Q1237,Q1238)-COUNTIF(Q$4:Q1237,""Sell_""&amp;Q1238))))))"),"")</f>
        <v/>
      </c>
      <c r="V1238" s="10" t="str">
        <f t="shared" si="11"/>
        <v/>
      </c>
      <c r="W1238" s="68" t="str">
        <f t="shared" si="12"/>
        <v/>
      </c>
      <c r="X1238" s="59" t="str">
        <f t="shared" si="13"/>
        <v/>
      </c>
      <c r="Y1238" s="69" t="str">
        <f t="shared" si="14"/>
        <v/>
      </c>
      <c r="Z1238" s="11"/>
    </row>
    <row r="1239">
      <c r="A1239" s="8"/>
      <c r="B1239" s="56" t="str">
        <f t="shared" si="2"/>
        <v/>
      </c>
      <c r="C1239" s="57"/>
      <c r="D1239" s="10" t="str">
        <f>IFERROR(__xludf.DUMMYFUNCTION("IF(COUNTA(C1239:C1350)=0,"""",IF(ISBLANK(C1239),FALSE,IF(NOT(COUNTIF($AA$24:$AA$34,SUBSTITUTE(C1239,""Sell_"",""""))),1,IF(REGEXMATCH(C1239,""Sell_""),IF(COUNTIF(C$4:C1239,SUBSTITUTE(C1239,""Sell_"",""""))-COUNTIF(C$4:C1238,C1239)&lt;1,1),FALSE))))"),"")</f>
        <v/>
      </c>
      <c r="E1239" s="59" t="str">
        <f t="array" ref="E1239">IF(COUNTA(C1239:C1350)=0,"",SUM((COUNTIF(C$4:C1239,Upgrades!$B$3:$B$13)-COUNTIF(C$4:C1239,"Sell_"&amp;Upgrades!$B$3:$B$13))*Upgrades!$D$3:$D$13))</f>
        <v/>
      </c>
      <c r="F1239" s="66" t="str">
        <f>IFERROR(__xludf.DUMMYFUNCTION("IF(COUNTA(C1239:C1350)=0,"""",IF(REGEXMATCH(INDEX(FILTER(C$4:C1239,C$4:C1239&lt;&gt;""""),ROWS(FILTER(C$4:C1239,C$4:C1239&lt;&gt;""""))),""^Sell_""),INDEX(FILTER(F$4:F1238,C$4:C1238&lt;&gt;""""),ROWS(FILTER(C$4:C1238,C$4:C1238&lt;&gt;""""))),$AC$5+E1239))"),"")</f>
        <v/>
      </c>
      <c r="G1239" s="10" t="str">
        <f>IFERROR(__xludf.DUMMYFUNCTION("IF(COUNTA(C1239:C1350)=0,"""",IF(C1239="""",0,IF(REGEXMATCH(C1239,""^Sell_""),-ROUNDDOWN(ROUNDUP(INDEX(Upgrades!$C$3:$C$13,MATCH(SUBSTITUTE(C1239,""Sell_"",""""),Upgrades!$B$3:$B$13,0))*1.15^(COUNTIF(C$4:C1238,SUBSTITUTE(C1239,""Sell_"",""""))-COUNTIF(C$4"&amp;":C1238,""Sell_""&amp;SUBSTITUTE(C1239,""Sell_"",""""))))/2),ROUNDUP(INDEX(Upgrades!$C$3:$C$13,MATCH(C1239,Upgrades!$B$3:$B$13,0))*1.15^(COUNTIF(C$4:C1238,C1239)-COUNTIF(C$4:C1238,""Sell_""&amp;C1239))))))"),"")</f>
        <v/>
      </c>
      <c r="H1239" s="10" t="str">
        <f t="shared" si="3"/>
        <v/>
      </c>
      <c r="I1239" s="68" t="str">
        <f t="shared" si="4"/>
        <v/>
      </c>
      <c r="J1239" s="59" t="str">
        <f t="shared" si="5"/>
        <v/>
      </c>
      <c r="K1239" s="69" t="str">
        <f t="shared" si="6"/>
        <v/>
      </c>
      <c r="L1239" s="60" t="str">
        <f t="shared" si="7"/>
        <v/>
      </c>
      <c r="M1239" s="61" t="str">
        <f>IFERROR(__xludf.DUMMYFUNCTION("IFS(AND(COUNTA(C1239:C1350)=0,COUNTA(Q1239:Q1350)=0),"""",OR(AND(K1239&gt;=1000000000,OR(Y1239&gt;=1000000000,COUNTA(Q1239:Q1350)=0)),OR(Y1239&gt;=1000000000,AND(COUNTA(C1239:C1350)=0,P$3=TRUE))),
ROUNDDOWN((AB$1-AC$1)*MAX(INDEX(T$4:T1350,MATCH(LARGE(FILTER(Y$4:Y1"&amp;"350,Y$4:Y1350&lt;1000000000),1),Y$4:Y1350)),INDEX(F$4:F1350,MATCH(LARGE(FILTER(K$4:K1350,K$4:K1350&lt;1000000000),1),K$4:K1350)))),AND(K1239&lt;1000000000,COUNTA(C1239:C1350)&gt;0,P$3=FALSE),
ROUNDDOWN(INDEX(Y$4:Y1350,MATCH(LARGE(FILTER(W$4:W1350,W$4:W1350&lt;=I1239),1)"&amp;",W$4:W1350))+(I1239-LARGE(FILTER(W$4:W1350,W$4:W1350&lt;=I1239),1))*INDEX(T$4:T1350,MATCH(LARGE(FILTER(W$4:W1350,W$4:W1350&lt;=I1239),1),W$4:W1350))-K1239),1,
ROUNDDOWN(Y1239-INDEX(K$4:K1350,MATCH(LARGE(FILTER(I$4:I1350,I$4:I1350&lt;=W1239),1),I$4:I1350))-(W1239-L"&amp;"ARGE(FILTER(I$4:I1350,I$4:I1350&lt;=W1239),1))*INDEX(F$4:F1350,MATCH(LARGE(FILTER(I$4:I1350,I$4:I1350&lt;=W1239),1),I$4:I1350))))"),"")</f>
        <v/>
      </c>
      <c r="N1239" s="60" t="str">
        <f t="shared" si="8"/>
        <v/>
      </c>
      <c r="O1239" s="61" t="str">
        <f t="shared" si="9"/>
        <v/>
      </c>
      <c r="P1239" s="56" t="str">
        <f t="shared" si="10"/>
        <v/>
      </c>
      <c r="Q1239" s="62"/>
      <c r="R1239" s="10" t="str">
        <f>IFERROR(__xludf.DUMMYFUNCTION("IF(COUNTA(Q1239:Q1350)=0,"""",IF(ISBLANK(Q1239),FALSE,IF(NOT(COUNTIF($AA$24:$AA$34,SUBSTITUTE(Q1239,""Sell_"",""""))),1,IF(REGEXMATCH(Q1239,""Sell_""),IF(COUNTIF(Q$4:Q1239,SUBSTITUTE(Q1239,""Sell_"",""""))-COUNTIF(Q$4:Q1238,Q1239)&lt;1,1),FALSE))))"),"")</f>
        <v/>
      </c>
      <c r="S1239" s="59" t="str">
        <f t="array" ref="S1239">IF(COUNTA(Q1239:Q1350)=0,"",SUM((COUNTIF(Q$4:Q1239,Upgrades!$B$3:$B$13)-COUNTIF(Q$4:Q1239,"Sell_"&amp;Upgrades!$B$3:$B$13))*Upgrades!$D$3:$D$13))</f>
        <v/>
      </c>
      <c r="T1239" s="66" t="str">
        <f>IFERROR(__xludf.DUMMYFUNCTION("IF(COUNTA(Q1239:Q1350)=0,"""",IF(REGEXMATCH(INDEX(FILTER(Q$4:Q1239,Q$4:Q1239&lt;&gt;""""),ROWS(FILTER(Q$4:Q1239,Q$4:Q1239&lt;&gt;""""))),""^Sell_""),INDEX(FILTER(T$4:T1238,Q$4:Q1238&lt;&gt;""""),ROWS(FILTER(Q$4:Q1238,Q$4:Q1238&lt;&gt;""""))),$AD$5+S1239))"),"")</f>
        <v/>
      </c>
      <c r="U1239" s="10" t="str">
        <f>IFERROR(__xludf.DUMMYFUNCTION("IF(COUNTA(Q1239:Q1350)=0,"""",IF(Q1239="""",0,IF(REGEXMATCH(Q1239,""^Sell_""),-ROUNDDOWN(ROUNDUP(INDEX(Upgrades!$C$3:$C$13,MATCH(SUBSTITUTE(Q1239,""Sell_"",""""),Upgrades!$B$3:$B$13,0))*1.15^(COUNTIF(Q$4:Q1238,SUBSTITUTE(Q1239,""Sell_"",""""))-COUNTIF(Q$4"&amp;":Q1238,""Sell_""&amp;SUBSTITUTE(Q1239,""Sell_"",""""))))/2),ROUNDUP(INDEX(Upgrades!$C$3:$C$13,MATCH(Q1239,Upgrades!$B$3:$B$13,0))*1.15^(COUNTIF(Q$4:Q1238,Q1239)-COUNTIF(Q$4:Q1238,""Sell_""&amp;Q1239))))))"),"")</f>
        <v/>
      </c>
      <c r="V1239" s="10" t="str">
        <f t="shared" si="11"/>
        <v/>
      </c>
      <c r="W1239" s="68" t="str">
        <f t="shared" si="12"/>
        <v/>
      </c>
      <c r="X1239" s="59" t="str">
        <f t="shared" si="13"/>
        <v/>
      </c>
      <c r="Y1239" s="69" t="str">
        <f t="shared" si="14"/>
        <v/>
      </c>
      <c r="Z1239" s="11"/>
    </row>
    <row r="1240">
      <c r="A1240" s="8"/>
      <c r="B1240" s="56" t="str">
        <f t="shared" si="2"/>
        <v/>
      </c>
      <c r="C1240" s="57"/>
      <c r="D1240" s="10" t="str">
        <f>IFERROR(__xludf.DUMMYFUNCTION("IF(COUNTA(C1240:C1350)=0,"""",IF(ISBLANK(C1240),FALSE,IF(NOT(COUNTIF($AA$24:$AA$34,SUBSTITUTE(C1240,""Sell_"",""""))),1,IF(REGEXMATCH(C1240,""Sell_""),IF(COUNTIF(C$4:C1240,SUBSTITUTE(C1240,""Sell_"",""""))-COUNTIF(C$4:C1239,C1240)&lt;1,1),FALSE))))"),"")</f>
        <v/>
      </c>
      <c r="E1240" s="59" t="str">
        <f t="array" ref="E1240">IF(COUNTA(C1240:C1350)=0,"",SUM((COUNTIF(C$4:C1240,Upgrades!$B$3:$B$13)-COUNTIF(C$4:C1240,"Sell_"&amp;Upgrades!$B$3:$B$13))*Upgrades!$D$3:$D$13))</f>
        <v/>
      </c>
      <c r="F1240" s="66" t="str">
        <f>IFERROR(__xludf.DUMMYFUNCTION("IF(COUNTA(C1240:C1350)=0,"""",IF(REGEXMATCH(INDEX(FILTER(C$4:C1240,C$4:C1240&lt;&gt;""""),ROWS(FILTER(C$4:C1240,C$4:C1240&lt;&gt;""""))),""^Sell_""),INDEX(FILTER(F$4:F1239,C$4:C1239&lt;&gt;""""),ROWS(FILTER(C$4:C1239,C$4:C1239&lt;&gt;""""))),$AC$5+E1240))"),"")</f>
        <v/>
      </c>
      <c r="G1240" s="10" t="str">
        <f>IFERROR(__xludf.DUMMYFUNCTION("IF(COUNTA(C1240:C1350)=0,"""",IF(C1240="""",0,IF(REGEXMATCH(C1240,""^Sell_""),-ROUNDDOWN(ROUNDUP(INDEX(Upgrades!$C$3:$C$13,MATCH(SUBSTITUTE(C1240,""Sell_"",""""),Upgrades!$B$3:$B$13,0))*1.15^(COUNTIF(C$4:C1239,SUBSTITUTE(C1240,""Sell_"",""""))-COUNTIF(C$4"&amp;":C1239,""Sell_""&amp;SUBSTITUTE(C1240,""Sell_"",""""))))/2),ROUNDUP(INDEX(Upgrades!$C$3:$C$13,MATCH(C1240,Upgrades!$B$3:$B$13,0))*1.15^(COUNTIF(C$4:C1239,C1240)-COUNTIF(C$4:C1239,""Sell_""&amp;C1240))))))"),"")</f>
        <v/>
      </c>
      <c r="H1240" s="10" t="str">
        <f t="shared" si="3"/>
        <v/>
      </c>
      <c r="I1240" s="68" t="str">
        <f t="shared" si="4"/>
        <v/>
      </c>
      <c r="J1240" s="59" t="str">
        <f t="shared" si="5"/>
        <v/>
      </c>
      <c r="K1240" s="69" t="str">
        <f t="shared" si="6"/>
        <v/>
      </c>
      <c r="L1240" s="60" t="str">
        <f t="shared" si="7"/>
        <v/>
      </c>
      <c r="M1240" s="61" t="str">
        <f>IFERROR(__xludf.DUMMYFUNCTION("IFS(AND(COUNTA(C1240:C1350)=0,COUNTA(Q1240:Q1350)=0),"""",OR(AND(K1240&gt;=1000000000,OR(Y1240&gt;=1000000000,COUNTA(Q1240:Q1350)=0)),OR(Y1240&gt;=1000000000,AND(COUNTA(C1240:C1350)=0,P$3=TRUE))),
ROUNDDOWN((AB$1-AC$1)*MAX(INDEX(T$4:T1350,MATCH(LARGE(FILTER(Y$4:Y1"&amp;"350,Y$4:Y1350&lt;1000000000),1),Y$4:Y1350)),INDEX(F$4:F1350,MATCH(LARGE(FILTER(K$4:K1350,K$4:K1350&lt;1000000000),1),K$4:K1350)))),AND(K1240&lt;1000000000,COUNTA(C1240:C1350)&gt;0,P$3=FALSE),
ROUNDDOWN(INDEX(Y$4:Y1350,MATCH(LARGE(FILTER(W$4:W1350,W$4:W1350&lt;=I1240),1)"&amp;",W$4:W1350))+(I1240-LARGE(FILTER(W$4:W1350,W$4:W1350&lt;=I1240),1))*INDEX(T$4:T1350,MATCH(LARGE(FILTER(W$4:W1350,W$4:W1350&lt;=I1240),1),W$4:W1350))-K1240),1,
ROUNDDOWN(Y1240-INDEX(K$4:K1350,MATCH(LARGE(FILTER(I$4:I1350,I$4:I1350&lt;=W1240),1),I$4:I1350))-(W1240-L"&amp;"ARGE(FILTER(I$4:I1350,I$4:I1350&lt;=W1240),1))*INDEX(F$4:F1350,MATCH(LARGE(FILTER(I$4:I1350,I$4:I1350&lt;=W1240),1),I$4:I1350))))"),"")</f>
        <v/>
      </c>
      <c r="N1240" s="60" t="str">
        <f t="shared" si="8"/>
        <v/>
      </c>
      <c r="O1240" s="61" t="str">
        <f t="shared" si="9"/>
        <v/>
      </c>
      <c r="P1240" s="56" t="str">
        <f t="shared" si="10"/>
        <v/>
      </c>
      <c r="Q1240" s="62"/>
      <c r="R1240" s="10" t="str">
        <f>IFERROR(__xludf.DUMMYFUNCTION("IF(COUNTA(Q1240:Q1350)=0,"""",IF(ISBLANK(Q1240),FALSE,IF(NOT(COUNTIF($AA$24:$AA$34,SUBSTITUTE(Q1240,""Sell_"",""""))),1,IF(REGEXMATCH(Q1240,""Sell_""),IF(COUNTIF(Q$4:Q1240,SUBSTITUTE(Q1240,""Sell_"",""""))-COUNTIF(Q$4:Q1239,Q1240)&lt;1,1),FALSE))))"),"")</f>
        <v/>
      </c>
      <c r="S1240" s="59" t="str">
        <f t="array" ref="S1240">IF(COUNTA(Q1240:Q1350)=0,"",SUM((COUNTIF(Q$4:Q1240,Upgrades!$B$3:$B$13)-COUNTIF(Q$4:Q1240,"Sell_"&amp;Upgrades!$B$3:$B$13))*Upgrades!$D$3:$D$13))</f>
        <v/>
      </c>
      <c r="T1240" s="66" t="str">
        <f>IFERROR(__xludf.DUMMYFUNCTION("IF(COUNTA(Q1240:Q1350)=0,"""",IF(REGEXMATCH(INDEX(FILTER(Q$4:Q1240,Q$4:Q1240&lt;&gt;""""),ROWS(FILTER(Q$4:Q1240,Q$4:Q1240&lt;&gt;""""))),""^Sell_""),INDEX(FILTER(T$4:T1239,Q$4:Q1239&lt;&gt;""""),ROWS(FILTER(Q$4:Q1239,Q$4:Q1239&lt;&gt;""""))),$AD$5+S1240))"),"")</f>
        <v/>
      </c>
      <c r="U1240" s="10" t="str">
        <f>IFERROR(__xludf.DUMMYFUNCTION("IF(COUNTA(Q1240:Q1350)=0,"""",IF(Q1240="""",0,IF(REGEXMATCH(Q1240,""^Sell_""),-ROUNDDOWN(ROUNDUP(INDEX(Upgrades!$C$3:$C$13,MATCH(SUBSTITUTE(Q1240,""Sell_"",""""),Upgrades!$B$3:$B$13,0))*1.15^(COUNTIF(Q$4:Q1239,SUBSTITUTE(Q1240,""Sell_"",""""))-COUNTIF(Q$4"&amp;":Q1239,""Sell_""&amp;SUBSTITUTE(Q1240,""Sell_"",""""))))/2),ROUNDUP(INDEX(Upgrades!$C$3:$C$13,MATCH(Q1240,Upgrades!$B$3:$B$13,0))*1.15^(COUNTIF(Q$4:Q1239,Q1240)-COUNTIF(Q$4:Q1239,""Sell_""&amp;Q1240))))))"),"")</f>
        <v/>
      </c>
      <c r="V1240" s="10" t="str">
        <f t="shared" si="11"/>
        <v/>
      </c>
      <c r="W1240" s="68" t="str">
        <f t="shared" si="12"/>
        <v/>
      </c>
      <c r="X1240" s="59" t="str">
        <f t="shared" si="13"/>
        <v/>
      </c>
      <c r="Y1240" s="69" t="str">
        <f t="shared" si="14"/>
        <v/>
      </c>
      <c r="Z1240" s="11"/>
    </row>
    <row r="1241">
      <c r="A1241" s="8"/>
      <c r="B1241" s="56" t="str">
        <f t="shared" si="2"/>
        <v/>
      </c>
      <c r="C1241" s="57"/>
      <c r="D1241" s="10" t="str">
        <f>IFERROR(__xludf.DUMMYFUNCTION("IF(COUNTA(C1241:C1350)=0,"""",IF(ISBLANK(C1241),FALSE,IF(NOT(COUNTIF($AA$24:$AA$34,SUBSTITUTE(C1241,""Sell_"",""""))),1,IF(REGEXMATCH(C1241,""Sell_""),IF(COUNTIF(C$4:C1241,SUBSTITUTE(C1241,""Sell_"",""""))-COUNTIF(C$4:C1240,C1241)&lt;1,1),FALSE))))"),"")</f>
        <v/>
      </c>
      <c r="E1241" s="59" t="str">
        <f t="array" ref="E1241">IF(COUNTA(C1241:C1350)=0,"",SUM((COUNTIF(C$4:C1241,Upgrades!$B$3:$B$13)-COUNTIF(C$4:C1241,"Sell_"&amp;Upgrades!$B$3:$B$13))*Upgrades!$D$3:$D$13))</f>
        <v/>
      </c>
      <c r="F1241" s="66" t="str">
        <f>IFERROR(__xludf.DUMMYFUNCTION("IF(COUNTA(C1241:C1350)=0,"""",IF(REGEXMATCH(INDEX(FILTER(C$4:C1241,C$4:C1241&lt;&gt;""""),ROWS(FILTER(C$4:C1241,C$4:C1241&lt;&gt;""""))),""^Sell_""),INDEX(FILTER(F$4:F1240,C$4:C1240&lt;&gt;""""),ROWS(FILTER(C$4:C1240,C$4:C1240&lt;&gt;""""))),$AC$5+E1241))"),"")</f>
        <v/>
      </c>
      <c r="G1241" s="10" t="str">
        <f>IFERROR(__xludf.DUMMYFUNCTION("IF(COUNTA(C1241:C1350)=0,"""",IF(C1241="""",0,IF(REGEXMATCH(C1241,""^Sell_""),-ROUNDDOWN(ROUNDUP(INDEX(Upgrades!$C$3:$C$13,MATCH(SUBSTITUTE(C1241,""Sell_"",""""),Upgrades!$B$3:$B$13,0))*1.15^(COUNTIF(C$4:C1240,SUBSTITUTE(C1241,""Sell_"",""""))-COUNTIF(C$4"&amp;":C1240,""Sell_""&amp;SUBSTITUTE(C1241,""Sell_"",""""))))/2),ROUNDUP(INDEX(Upgrades!$C$3:$C$13,MATCH(C1241,Upgrades!$B$3:$B$13,0))*1.15^(COUNTIF(C$4:C1240,C1241)-COUNTIF(C$4:C1240,""Sell_""&amp;C1241))))))"),"")</f>
        <v/>
      </c>
      <c r="H1241" s="10" t="str">
        <f t="shared" si="3"/>
        <v/>
      </c>
      <c r="I1241" s="68" t="str">
        <f t="shared" si="4"/>
        <v/>
      </c>
      <c r="J1241" s="59" t="str">
        <f t="shared" si="5"/>
        <v/>
      </c>
      <c r="K1241" s="69" t="str">
        <f t="shared" si="6"/>
        <v/>
      </c>
      <c r="L1241" s="60" t="str">
        <f t="shared" si="7"/>
        <v/>
      </c>
      <c r="M1241" s="61" t="str">
        <f>IFERROR(__xludf.DUMMYFUNCTION("IFS(AND(COUNTA(C1241:C1350)=0,COUNTA(Q1241:Q1350)=0),"""",OR(AND(K1241&gt;=1000000000,OR(Y1241&gt;=1000000000,COUNTA(Q1241:Q1350)=0)),OR(Y1241&gt;=1000000000,AND(COUNTA(C1241:C1350)=0,P$3=TRUE))),
ROUNDDOWN((AB$1-AC$1)*MAX(INDEX(T$4:T1350,MATCH(LARGE(FILTER(Y$4:Y1"&amp;"350,Y$4:Y1350&lt;1000000000),1),Y$4:Y1350)),INDEX(F$4:F1350,MATCH(LARGE(FILTER(K$4:K1350,K$4:K1350&lt;1000000000),1),K$4:K1350)))),AND(K1241&lt;1000000000,COUNTA(C1241:C1350)&gt;0,P$3=FALSE),
ROUNDDOWN(INDEX(Y$4:Y1350,MATCH(LARGE(FILTER(W$4:W1350,W$4:W1350&lt;=I1241),1)"&amp;",W$4:W1350))+(I1241-LARGE(FILTER(W$4:W1350,W$4:W1350&lt;=I1241),1))*INDEX(T$4:T1350,MATCH(LARGE(FILTER(W$4:W1350,W$4:W1350&lt;=I1241),1),W$4:W1350))-K1241),1,
ROUNDDOWN(Y1241-INDEX(K$4:K1350,MATCH(LARGE(FILTER(I$4:I1350,I$4:I1350&lt;=W1241),1),I$4:I1350))-(W1241-L"&amp;"ARGE(FILTER(I$4:I1350,I$4:I1350&lt;=W1241),1))*INDEX(F$4:F1350,MATCH(LARGE(FILTER(I$4:I1350,I$4:I1350&lt;=W1241),1),I$4:I1350))))"),"")</f>
        <v/>
      </c>
      <c r="N1241" s="60" t="str">
        <f t="shared" si="8"/>
        <v/>
      </c>
      <c r="O1241" s="61" t="str">
        <f t="shared" si="9"/>
        <v/>
      </c>
      <c r="P1241" s="56" t="str">
        <f t="shared" si="10"/>
        <v/>
      </c>
      <c r="Q1241" s="62"/>
      <c r="R1241" s="10" t="str">
        <f>IFERROR(__xludf.DUMMYFUNCTION("IF(COUNTA(Q1241:Q1350)=0,"""",IF(ISBLANK(Q1241),FALSE,IF(NOT(COUNTIF($AA$24:$AA$34,SUBSTITUTE(Q1241,""Sell_"",""""))),1,IF(REGEXMATCH(Q1241,""Sell_""),IF(COUNTIF(Q$4:Q1241,SUBSTITUTE(Q1241,""Sell_"",""""))-COUNTIF(Q$4:Q1240,Q1241)&lt;1,1),FALSE))))"),"")</f>
        <v/>
      </c>
      <c r="S1241" s="59" t="str">
        <f t="array" ref="S1241">IF(COUNTA(Q1241:Q1350)=0,"",SUM((COUNTIF(Q$4:Q1241,Upgrades!$B$3:$B$13)-COUNTIF(Q$4:Q1241,"Sell_"&amp;Upgrades!$B$3:$B$13))*Upgrades!$D$3:$D$13))</f>
        <v/>
      </c>
      <c r="T1241" s="66" t="str">
        <f>IFERROR(__xludf.DUMMYFUNCTION("IF(COUNTA(Q1241:Q1350)=0,"""",IF(REGEXMATCH(INDEX(FILTER(Q$4:Q1241,Q$4:Q1241&lt;&gt;""""),ROWS(FILTER(Q$4:Q1241,Q$4:Q1241&lt;&gt;""""))),""^Sell_""),INDEX(FILTER(T$4:T1240,Q$4:Q1240&lt;&gt;""""),ROWS(FILTER(Q$4:Q1240,Q$4:Q1240&lt;&gt;""""))),$AD$5+S1241))"),"")</f>
        <v/>
      </c>
      <c r="U1241" s="10" t="str">
        <f>IFERROR(__xludf.DUMMYFUNCTION("IF(COUNTA(Q1241:Q1350)=0,"""",IF(Q1241="""",0,IF(REGEXMATCH(Q1241,""^Sell_""),-ROUNDDOWN(ROUNDUP(INDEX(Upgrades!$C$3:$C$13,MATCH(SUBSTITUTE(Q1241,""Sell_"",""""),Upgrades!$B$3:$B$13,0))*1.15^(COUNTIF(Q$4:Q1240,SUBSTITUTE(Q1241,""Sell_"",""""))-COUNTIF(Q$4"&amp;":Q1240,""Sell_""&amp;SUBSTITUTE(Q1241,""Sell_"",""""))))/2),ROUNDUP(INDEX(Upgrades!$C$3:$C$13,MATCH(Q1241,Upgrades!$B$3:$B$13,0))*1.15^(COUNTIF(Q$4:Q1240,Q1241)-COUNTIF(Q$4:Q1240,""Sell_""&amp;Q1241))))))"),"")</f>
        <v/>
      </c>
      <c r="V1241" s="10" t="str">
        <f t="shared" si="11"/>
        <v/>
      </c>
      <c r="W1241" s="68" t="str">
        <f t="shared" si="12"/>
        <v/>
      </c>
      <c r="X1241" s="59" t="str">
        <f t="shared" si="13"/>
        <v/>
      </c>
      <c r="Y1241" s="69" t="str">
        <f t="shared" si="14"/>
        <v/>
      </c>
      <c r="Z1241" s="11"/>
    </row>
    <row r="1242">
      <c r="A1242" s="8"/>
      <c r="B1242" s="56" t="str">
        <f t="shared" si="2"/>
        <v/>
      </c>
      <c r="C1242" s="57"/>
      <c r="D1242" s="10" t="str">
        <f>IFERROR(__xludf.DUMMYFUNCTION("IF(COUNTA(C1242:C1350)=0,"""",IF(ISBLANK(C1242),FALSE,IF(NOT(COUNTIF($AA$24:$AA$34,SUBSTITUTE(C1242,""Sell_"",""""))),1,IF(REGEXMATCH(C1242,""Sell_""),IF(COUNTIF(C$4:C1242,SUBSTITUTE(C1242,""Sell_"",""""))-COUNTIF(C$4:C1241,C1242)&lt;1,1),FALSE))))"),"")</f>
        <v/>
      </c>
      <c r="E1242" s="59" t="str">
        <f t="array" ref="E1242">IF(COUNTA(C1242:C1350)=0,"",SUM((COUNTIF(C$4:C1242,Upgrades!$B$3:$B$13)-COUNTIF(C$4:C1242,"Sell_"&amp;Upgrades!$B$3:$B$13))*Upgrades!$D$3:$D$13))</f>
        <v/>
      </c>
      <c r="F1242" s="66" t="str">
        <f>IFERROR(__xludf.DUMMYFUNCTION("IF(COUNTA(C1242:C1350)=0,"""",IF(REGEXMATCH(INDEX(FILTER(C$4:C1242,C$4:C1242&lt;&gt;""""),ROWS(FILTER(C$4:C1242,C$4:C1242&lt;&gt;""""))),""^Sell_""),INDEX(FILTER(F$4:F1241,C$4:C1241&lt;&gt;""""),ROWS(FILTER(C$4:C1241,C$4:C1241&lt;&gt;""""))),$AC$5+E1242))"),"")</f>
        <v/>
      </c>
      <c r="G1242" s="10" t="str">
        <f>IFERROR(__xludf.DUMMYFUNCTION("IF(COUNTA(C1242:C1350)=0,"""",IF(C1242="""",0,IF(REGEXMATCH(C1242,""^Sell_""),-ROUNDDOWN(ROUNDUP(INDEX(Upgrades!$C$3:$C$13,MATCH(SUBSTITUTE(C1242,""Sell_"",""""),Upgrades!$B$3:$B$13,0))*1.15^(COUNTIF(C$4:C1241,SUBSTITUTE(C1242,""Sell_"",""""))-COUNTIF(C$4"&amp;":C1241,""Sell_""&amp;SUBSTITUTE(C1242,""Sell_"",""""))))/2),ROUNDUP(INDEX(Upgrades!$C$3:$C$13,MATCH(C1242,Upgrades!$B$3:$B$13,0))*1.15^(COUNTIF(C$4:C1241,C1242)-COUNTIF(C$4:C1241,""Sell_""&amp;C1242))))))"),"")</f>
        <v/>
      </c>
      <c r="H1242" s="10" t="str">
        <f t="shared" si="3"/>
        <v/>
      </c>
      <c r="I1242" s="68" t="str">
        <f t="shared" si="4"/>
        <v/>
      </c>
      <c r="J1242" s="59" t="str">
        <f t="shared" si="5"/>
        <v/>
      </c>
      <c r="K1242" s="69" t="str">
        <f t="shared" si="6"/>
        <v/>
      </c>
      <c r="L1242" s="60" t="str">
        <f t="shared" si="7"/>
        <v/>
      </c>
      <c r="M1242" s="61" t="str">
        <f>IFERROR(__xludf.DUMMYFUNCTION("IFS(AND(COUNTA(C1242:C1350)=0,COUNTA(Q1242:Q1350)=0),"""",OR(AND(K1242&gt;=1000000000,OR(Y1242&gt;=1000000000,COUNTA(Q1242:Q1350)=0)),OR(Y1242&gt;=1000000000,AND(COUNTA(C1242:C1350)=0,P$3=TRUE))),
ROUNDDOWN((AB$1-AC$1)*MAX(INDEX(T$4:T1350,MATCH(LARGE(FILTER(Y$4:Y1"&amp;"350,Y$4:Y1350&lt;1000000000),1),Y$4:Y1350)),INDEX(F$4:F1350,MATCH(LARGE(FILTER(K$4:K1350,K$4:K1350&lt;1000000000),1),K$4:K1350)))),AND(K1242&lt;1000000000,COUNTA(C1242:C1350)&gt;0,P$3=FALSE),
ROUNDDOWN(INDEX(Y$4:Y1350,MATCH(LARGE(FILTER(W$4:W1350,W$4:W1350&lt;=I1242),1)"&amp;",W$4:W1350))+(I1242-LARGE(FILTER(W$4:W1350,W$4:W1350&lt;=I1242),1))*INDEX(T$4:T1350,MATCH(LARGE(FILTER(W$4:W1350,W$4:W1350&lt;=I1242),1),W$4:W1350))-K1242),1,
ROUNDDOWN(Y1242-INDEX(K$4:K1350,MATCH(LARGE(FILTER(I$4:I1350,I$4:I1350&lt;=W1242),1),I$4:I1350))-(W1242-L"&amp;"ARGE(FILTER(I$4:I1350,I$4:I1350&lt;=W1242),1))*INDEX(F$4:F1350,MATCH(LARGE(FILTER(I$4:I1350,I$4:I1350&lt;=W1242),1),I$4:I1350))))"),"")</f>
        <v/>
      </c>
      <c r="N1242" s="60" t="str">
        <f t="shared" si="8"/>
        <v/>
      </c>
      <c r="O1242" s="61" t="str">
        <f t="shared" si="9"/>
        <v/>
      </c>
      <c r="P1242" s="56" t="str">
        <f t="shared" si="10"/>
        <v/>
      </c>
      <c r="Q1242" s="62"/>
      <c r="R1242" s="10" t="str">
        <f>IFERROR(__xludf.DUMMYFUNCTION("IF(COUNTA(Q1242:Q1350)=0,"""",IF(ISBLANK(Q1242),FALSE,IF(NOT(COUNTIF($AA$24:$AA$34,SUBSTITUTE(Q1242,""Sell_"",""""))),1,IF(REGEXMATCH(Q1242,""Sell_""),IF(COUNTIF(Q$4:Q1242,SUBSTITUTE(Q1242,""Sell_"",""""))-COUNTIF(Q$4:Q1241,Q1242)&lt;1,1),FALSE))))"),"")</f>
        <v/>
      </c>
      <c r="S1242" s="59" t="str">
        <f t="array" ref="S1242">IF(COUNTA(Q1242:Q1350)=0,"",SUM((COUNTIF(Q$4:Q1242,Upgrades!$B$3:$B$13)-COUNTIF(Q$4:Q1242,"Sell_"&amp;Upgrades!$B$3:$B$13))*Upgrades!$D$3:$D$13))</f>
        <v/>
      </c>
      <c r="T1242" s="66" t="str">
        <f>IFERROR(__xludf.DUMMYFUNCTION("IF(COUNTA(Q1242:Q1350)=0,"""",IF(REGEXMATCH(INDEX(FILTER(Q$4:Q1242,Q$4:Q1242&lt;&gt;""""),ROWS(FILTER(Q$4:Q1242,Q$4:Q1242&lt;&gt;""""))),""^Sell_""),INDEX(FILTER(T$4:T1241,Q$4:Q1241&lt;&gt;""""),ROWS(FILTER(Q$4:Q1241,Q$4:Q1241&lt;&gt;""""))),$AD$5+S1242))"),"")</f>
        <v/>
      </c>
      <c r="U1242" s="10" t="str">
        <f>IFERROR(__xludf.DUMMYFUNCTION("IF(COUNTA(Q1242:Q1350)=0,"""",IF(Q1242="""",0,IF(REGEXMATCH(Q1242,""^Sell_""),-ROUNDDOWN(ROUNDUP(INDEX(Upgrades!$C$3:$C$13,MATCH(SUBSTITUTE(Q1242,""Sell_"",""""),Upgrades!$B$3:$B$13,0))*1.15^(COUNTIF(Q$4:Q1241,SUBSTITUTE(Q1242,""Sell_"",""""))-COUNTIF(Q$4"&amp;":Q1241,""Sell_""&amp;SUBSTITUTE(Q1242,""Sell_"",""""))))/2),ROUNDUP(INDEX(Upgrades!$C$3:$C$13,MATCH(Q1242,Upgrades!$B$3:$B$13,0))*1.15^(COUNTIF(Q$4:Q1241,Q1242)-COUNTIF(Q$4:Q1241,""Sell_""&amp;Q1242))))))"),"")</f>
        <v/>
      </c>
      <c r="V1242" s="10" t="str">
        <f t="shared" si="11"/>
        <v/>
      </c>
      <c r="W1242" s="68" t="str">
        <f t="shared" si="12"/>
        <v/>
      </c>
      <c r="X1242" s="59" t="str">
        <f t="shared" si="13"/>
        <v/>
      </c>
      <c r="Y1242" s="69" t="str">
        <f t="shared" si="14"/>
        <v/>
      </c>
      <c r="Z1242" s="11"/>
    </row>
    <row r="1243">
      <c r="A1243" s="8"/>
      <c r="B1243" s="56" t="str">
        <f t="shared" si="2"/>
        <v/>
      </c>
      <c r="C1243" s="57"/>
      <c r="D1243" s="10" t="str">
        <f>IFERROR(__xludf.DUMMYFUNCTION("IF(COUNTA(C1243:C1350)=0,"""",IF(ISBLANK(C1243),FALSE,IF(NOT(COUNTIF($AA$24:$AA$34,SUBSTITUTE(C1243,""Sell_"",""""))),1,IF(REGEXMATCH(C1243,""Sell_""),IF(COUNTIF(C$4:C1243,SUBSTITUTE(C1243,""Sell_"",""""))-COUNTIF(C$4:C1242,C1243)&lt;1,1),FALSE))))"),"")</f>
        <v/>
      </c>
      <c r="E1243" s="59" t="str">
        <f t="array" ref="E1243">IF(COUNTA(C1243:C1350)=0,"",SUM((COUNTIF(C$4:C1243,Upgrades!$B$3:$B$13)-COUNTIF(C$4:C1243,"Sell_"&amp;Upgrades!$B$3:$B$13))*Upgrades!$D$3:$D$13))</f>
        <v/>
      </c>
      <c r="F1243" s="66" t="str">
        <f>IFERROR(__xludf.DUMMYFUNCTION("IF(COUNTA(C1243:C1350)=0,"""",IF(REGEXMATCH(INDEX(FILTER(C$4:C1243,C$4:C1243&lt;&gt;""""),ROWS(FILTER(C$4:C1243,C$4:C1243&lt;&gt;""""))),""^Sell_""),INDEX(FILTER(F$4:F1242,C$4:C1242&lt;&gt;""""),ROWS(FILTER(C$4:C1242,C$4:C1242&lt;&gt;""""))),$AC$5+E1243))"),"")</f>
        <v/>
      </c>
      <c r="G1243" s="10" t="str">
        <f>IFERROR(__xludf.DUMMYFUNCTION("IF(COUNTA(C1243:C1350)=0,"""",IF(C1243="""",0,IF(REGEXMATCH(C1243,""^Sell_""),-ROUNDDOWN(ROUNDUP(INDEX(Upgrades!$C$3:$C$13,MATCH(SUBSTITUTE(C1243,""Sell_"",""""),Upgrades!$B$3:$B$13,0))*1.15^(COUNTIF(C$4:C1242,SUBSTITUTE(C1243,""Sell_"",""""))-COUNTIF(C$4"&amp;":C1242,""Sell_""&amp;SUBSTITUTE(C1243,""Sell_"",""""))))/2),ROUNDUP(INDEX(Upgrades!$C$3:$C$13,MATCH(C1243,Upgrades!$B$3:$B$13,0))*1.15^(COUNTIF(C$4:C1242,C1243)-COUNTIF(C$4:C1242,""Sell_""&amp;C1243))))))"),"")</f>
        <v/>
      </c>
      <c r="H1243" s="10" t="str">
        <f t="shared" si="3"/>
        <v/>
      </c>
      <c r="I1243" s="68" t="str">
        <f t="shared" si="4"/>
        <v/>
      </c>
      <c r="J1243" s="59" t="str">
        <f t="shared" si="5"/>
        <v/>
      </c>
      <c r="K1243" s="69" t="str">
        <f t="shared" si="6"/>
        <v/>
      </c>
      <c r="L1243" s="60" t="str">
        <f t="shared" si="7"/>
        <v/>
      </c>
      <c r="M1243" s="61" t="str">
        <f>IFERROR(__xludf.DUMMYFUNCTION("IFS(AND(COUNTA(C1243:C1350)=0,COUNTA(Q1243:Q1350)=0),"""",OR(AND(K1243&gt;=1000000000,OR(Y1243&gt;=1000000000,COUNTA(Q1243:Q1350)=0)),OR(Y1243&gt;=1000000000,AND(COUNTA(C1243:C1350)=0,P$3=TRUE))),
ROUNDDOWN((AB$1-AC$1)*MAX(INDEX(T$4:T1350,MATCH(LARGE(FILTER(Y$4:Y1"&amp;"350,Y$4:Y1350&lt;1000000000),1),Y$4:Y1350)),INDEX(F$4:F1350,MATCH(LARGE(FILTER(K$4:K1350,K$4:K1350&lt;1000000000),1),K$4:K1350)))),AND(K1243&lt;1000000000,COUNTA(C1243:C1350)&gt;0,P$3=FALSE),
ROUNDDOWN(INDEX(Y$4:Y1350,MATCH(LARGE(FILTER(W$4:W1350,W$4:W1350&lt;=I1243),1)"&amp;",W$4:W1350))+(I1243-LARGE(FILTER(W$4:W1350,W$4:W1350&lt;=I1243),1))*INDEX(T$4:T1350,MATCH(LARGE(FILTER(W$4:W1350,W$4:W1350&lt;=I1243),1),W$4:W1350))-K1243),1,
ROUNDDOWN(Y1243-INDEX(K$4:K1350,MATCH(LARGE(FILTER(I$4:I1350,I$4:I1350&lt;=W1243),1),I$4:I1350))-(W1243-L"&amp;"ARGE(FILTER(I$4:I1350,I$4:I1350&lt;=W1243),1))*INDEX(F$4:F1350,MATCH(LARGE(FILTER(I$4:I1350,I$4:I1350&lt;=W1243),1),I$4:I1350))))"),"")</f>
        <v/>
      </c>
      <c r="N1243" s="60" t="str">
        <f t="shared" si="8"/>
        <v/>
      </c>
      <c r="O1243" s="61" t="str">
        <f t="shared" si="9"/>
        <v/>
      </c>
      <c r="P1243" s="56" t="str">
        <f t="shared" si="10"/>
        <v/>
      </c>
      <c r="Q1243" s="62"/>
      <c r="R1243" s="10" t="str">
        <f>IFERROR(__xludf.DUMMYFUNCTION("IF(COUNTA(Q1243:Q1350)=0,"""",IF(ISBLANK(Q1243),FALSE,IF(NOT(COUNTIF($AA$24:$AA$34,SUBSTITUTE(Q1243,""Sell_"",""""))),1,IF(REGEXMATCH(Q1243,""Sell_""),IF(COUNTIF(Q$4:Q1243,SUBSTITUTE(Q1243,""Sell_"",""""))-COUNTIF(Q$4:Q1242,Q1243)&lt;1,1),FALSE))))"),"")</f>
        <v/>
      </c>
      <c r="S1243" s="59" t="str">
        <f t="array" ref="S1243">IF(COUNTA(Q1243:Q1350)=0,"",SUM((COUNTIF(Q$4:Q1243,Upgrades!$B$3:$B$13)-COUNTIF(Q$4:Q1243,"Sell_"&amp;Upgrades!$B$3:$B$13))*Upgrades!$D$3:$D$13))</f>
        <v/>
      </c>
      <c r="T1243" s="66" t="str">
        <f>IFERROR(__xludf.DUMMYFUNCTION("IF(COUNTA(Q1243:Q1350)=0,"""",IF(REGEXMATCH(INDEX(FILTER(Q$4:Q1243,Q$4:Q1243&lt;&gt;""""),ROWS(FILTER(Q$4:Q1243,Q$4:Q1243&lt;&gt;""""))),""^Sell_""),INDEX(FILTER(T$4:T1242,Q$4:Q1242&lt;&gt;""""),ROWS(FILTER(Q$4:Q1242,Q$4:Q1242&lt;&gt;""""))),$AD$5+S1243))"),"")</f>
        <v/>
      </c>
      <c r="U1243" s="10" t="str">
        <f>IFERROR(__xludf.DUMMYFUNCTION("IF(COUNTA(Q1243:Q1350)=0,"""",IF(Q1243="""",0,IF(REGEXMATCH(Q1243,""^Sell_""),-ROUNDDOWN(ROUNDUP(INDEX(Upgrades!$C$3:$C$13,MATCH(SUBSTITUTE(Q1243,""Sell_"",""""),Upgrades!$B$3:$B$13,0))*1.15^(COUNTIF(Q$4:Q1242,SUBSTITUTE(Q1243,""Sell_"",""""))-COUNTIF(Q$4"&amp;":Q1242,""Sell_""&amp;SUBSTITUTE(Q1243,""Sell_"",""""))))/2),ROUNDUP(INDEX(Upgrades!$C$3:$C$13,MATCH(Q1243,Upgrades!$B$3:$B$13,0))*1.15^(COUNTIF(Q$4:Q1242,Q1243)-COUNTIF(Q$4:Q1242,""Sell_""&amp;Q1243))))))"),"")</f>
        <v/>
      </c>
      <c r="V1243" s="10" t="str">
        <f t="shared" si="11"/>
        <v/>
      </c>
      <c r="W1243" s="68" t="str">
        <f t="shared" si="12"/>
        <v/>
      </c>
      <c r="X1243" s="59" t="str">
        <f t="shared" si="13"/>
        <v/>
      </c>
      <c r="Y1243" s="69" t="str">
        <f t="shared" si="14"/>
        <v/>
      </c>
      <c r="Z1243" s="11"/>
    </row>
    <row r="1244">
      <c r="A1244" s="8"/>
      <c r="B1244" s="56" t="str">
        <f t="shared" si="2"/>
        <v/>
      </c>
      <c r="C1244" s="57"/>
      <c r="D1244" s="10" t="str">
        <f>IFERROR(__xludf.DUMMYFUNCTION("IF(COUNTA(C1244:C1350)=0,"""",IF(ISBLANK(C1244),FALSE,IF(NOT(COUNTIF($AA$24:$AA$34,SUBSTITUTE(C1244,""Sell_"",""""))),1,IF(REGEXMATCH(C1244,""Sell_""),IF(COUNTIF(C$4:C1244,SUBSTITUTE(C1244,""Sell_"",""""))-COUNTIF(C$4:C1243,C1244)&lt;1,1),FALSE))))"),"")</f>
        <v/>
      </c>
      <c r="E1244" s="59" t="str">
        <f t="array" ref="E1244">IF(COUNTA(C1244:C1350)=0,"",SUM((COUNTIF(C$4:C1244,Upgrades!$B$3:$B$13)-COUNTIF(C$4:C1244,"Sell_"&amp;Upgrades!$B$3:$B$13))*Upgrades!$D$3:$D$13))</f>
        <v/>
      </c>
      <c r="F1244" s="66" t="str">
        <f>IFERROR(__xludf.DUMMYFUNCTION("IF(COUNTA(C1244:C1350)=0,"""",IF(REGEXMATCH(INDEX(FILTER(C$4:C1244,C$4:C1244&lt;&gt;""""),ROWS(FILTER(C$4:C1244,C$4:C1244&lt;&gt;""""))),""^Sell_""),INDEX(FILTER(F$4:F1243,C$4:C1243&lt;&gt;""""),ROWS(FILTER(C$4:C1243,C$4:C1243&lt;&gt;""""))),$AC$5+E1244))"),"")</f>
        <v/>
      </c>
      <c r="G1244" s="10" t="str">
        <f>IFERROR(__xludf.DUMMYFUNCTION("IF(COUNTA(C1244:C1350)=0,"""",IF(C1244="""",0,IF(REGEXMATCH(C1244,""^Sell_""),-ROUNDDOWN(ROUNDUP(INDEX(Upgrades!$C$3:$C$13,MATCH(SUBSTITUTE(C1244,""Sell_"",""""),Upgrades!$B$3:$B$13,0))*1.15^(COUNTIF(C$4:C1243,SUBSTITUTE(C1244,""Sell_"",""""))-COUNTIF(C$4"&amp;":C1243,""Sell_""&amp;SUBSTITUTE(C1244,""Sell_"",""""))))/2),ROUNDUP(INDEX(Upgrades!$C$3:$C$13,MATCH(C1244,Upgrades!$B$3:$B$13,0))*1.15^(COUNTIF(C$4:C1243,C1244)-COUNTIF(C$4:C1243,""Sell_""&amp;C1244))))))"),"")</f>
        <v/>
      </c>
      <c r="H1244" s="10" t="str">
        <f t="shared" si="3"/>
        <v/>
      </c>
      <c r="I1244" s="68" t="str">
        <f t="shared" si="4"/>
        <v/>
      </c>
      <c r="J1244" s="59" t="str">
        <f t="shared" si="5"/>
        <v/>
      </c>
      <c r="K1244" s="69" t="str">
        <f t="shared" si="6"/>
        <v/>
      </c>
      <c r="L1244" s="60" t="str">
        <f t="shared" si="7"/>
        <v/>
      </c>
      <c r="M1244" s="61" t="str">
        <f>IFERROR(__xludf.DUMMYFUNCTION("IFS(AND(COUNTA(C1244:C1350)=0,COUNTA(Q1244:Q1350)=0),"""",OR(AND(K1244&gt;=1000000000,OR(Y1244&gt;=1000000000,COUNTA(Q1244:Q1350)=0)),OR(Y1244&gt;=1000000000,AND(COUNTA(C1244:C1350)=0,P$3=TRUE))),
ROUNDDOWN((AB$1-AC$1)*MAX(INDEX(T$4:T1350,MATCH(LARGE(FILTER(Y$4:Y1"&amp;"350,Y$4:Y1350&lt;1000000000),1),Y$4:Y1350)),INDEX(F$4:F1350,MATCH(LARGE(FILTER(K$4:K1350,K$4:K1350&lt;1000000000),1),K$4:K1350)))),AND(K1244&lt;1000000000,COUNTA(C1244:C1350)&gt;0,P$3=FALSE),
ROUNDDOWN(INDEX(Y$4:Y1350,MATCH(LARGE(FILTER(W$4:W1350,W$4:W1350&lt;=I1244),1)"&amp;",W$4:W1350))+(I1244-LARGE(FILTER(W$4:W1350,W$4:W1350&lt;=I1244),1))*INDEX(T$4:T1350,MATCH(LARGE(FILTER(W$4:W1350,W$4:W1350&lt;=I1244),1),W$4:W1350))-K1244),1,
ROUNDDOWN(Y1244-INDEX(K$4:K1350,MATCH(LARGE(FILTER(I$4:I1350,I$4:I1350&lt;=W1244),1),I$4:I1350))-(W1244-L"&amp;"ARGE(FILTER(I$4:I1350,I$4:I1350&lt;=W1244),1))*INDEX(F$4:F1350,MATCH(LARGE(FILTER(I$4:I1350,I$4:I1350&lt;=W1244),1),I$4:I1350))))"),"")</f>
        <v/>
      </c>
      <c r="N1244" s="60" t="str">
        <f t="shared" si="8"/>
        <v/>
      </c>
      <c r="O1244" s="61" t="str">
        <f t="shared" si="9"/>
        <v/>
      </c>
      <c r="P1244" s="56" t="str">
        <f t="shared" si="10"/>
        <v/>
      </c>
      <c r="Q1244" s="62"/>
      <c r="R1244" s="10" t="str">
        <f>IFERROR(__xludf.DUMMYFUNCTION("IF(COUNTA(Q1244:Q1350)=0,"""",IF(ISBLANK(Q1244),FALSE,IF(NOT(COUNTIF($AA$24:$AA$34,SUBSTITUTE(Q1244,""Sell_"",""""))),1,IF(REGEXMATCH(Q1244,""Sell_""),IF(COUNTIF(Q$4:Q1244,SUBSTITUTE(Q1244,""Sell_"",""""))-COUNTIF(Q$4:Q1243,Q1244)&lt;1,1),FALSE))))"),"")</f>
        <v/>
      </c>
      <c r="S1244" s="59" t="str">
        <f t="array" ref="S1244">IF(COUNTA(Q1244:Q1350)=0,"",SUM((COUNTIF(Q$4:Q1244,Upgrades!$B$3:$B$13)-COUNTIF(Q$4:Q1244,"Sell_"&amp;Upgrades!$B$3:$B$13))*Upgrades!$D$3:$D$13))</f>
        <v/>
      </c>
      <c r="T1244" s="66" t="str">
        <f>IFERROR(__xludf.DUMMYFUNCTION("IF(COUNTA(Q1244:Q1350)=0,"""",IF(REGEXMATCH(INDEX(FILTER(Q$4:Q1244,Q$4:Q1244&lt;&gt;""""),ROWS(FILTER(Q$4:Q1244,Q$4:Q1244&lt;&gt;""""))),""^Sell_""),INDEX(FILTER(T$4:T1243,Q$4:Q1243&lt;&gt;""""),ROWS(FILTER(Q$4:Q1243,Q$4:Q1243&lt;&gt;""""))),$AD$5+S1244))"),"")</f>
        <v/>
      </c>
      <c r="U1244" s="10" t="str">
        <f>IFERROR(__xludf.DUMMYFUNCTION("IF(COUNTA(Q1244:Q1350)=0,"""",IF(Q1244="""",0,IF(REGEXMATCH(Q1244,""^Sell_""),-ROUNDDOWN(ROUNDUP(INDEX(Upgrades!$C$3:$C$13,MATCH(SUBSTITUTE(Q1244,""Sell_"",""""),Upgrades!$B$3:$B$13,0))*1.15^(COUNTIF(Q$4:Q1243,SUBSTITUTE(Q1244,""Sell_"",""""))-COUNTIF(Q$4"&amp;":Q1243,""Sell_""&amp;SUBSTITUTE(Q1244,""Sell_"",""""))))/2),ROUNDUP(INDEX(Upgrades!$C$3:$C$13,MATCH(Q1244,Upgrades!$B$3:$B$13,0))*1.15^(COUNTIF(Q$4:Q1243,Q1244)-COUNTIF(Q$4:Q1243,""Sell_""&amp;Q1244))))))"),"")</f>
        <v/>
      </c>
      <c r="V1244" s="10" t="str">
        <f t="shared" si="11"/>
        <v/>
      </c>
      <c r="W1244" s="68" t="str">
        <f t="shared" si="12"/>
        <v/>
      </c>
      <c r="X1244" s="59" t="str">
        <f t="shared" si="13"/>
        <v/>
      </c>
      <c r="Y1244" s="69" t="str">
        <f t="shared" si="14"/>
        <v/>
      </c>
      <c r="Z1244" s="11"/>
    </row>
    <row r="1245">
      <c r="A1245" s="8"/>
      <c r="B1245" s="56" t="str">
        <f t="shared" si="2"/>
        <v/>
      </c>
      <c r="C1245" s="57"/>
      <c r="D1245" s="10" t="str">
        <f>IFERROR(__xludf.DUMMYFUNCTION("IF(COUNTA(C1245:C1350)=0,"""",IF(ISBLANK(C1245),FALSE,IF(NOT(COUNTIF($AA$24:$AA$34,SUBSTITUTE(C1245,""Sell_"",""""))),1,IF(REGEXMATCH(C1245,""Sell_""),IF(COUNTIF(C$4:C1245,SUBSTITUTE(C1245,""Sell_"",""""))-COUNTIF(C$4:C1244,C1245)&lt;1,1),FALSE))))"),"")</f>
        <v/>
      </c>
      <c r="E1245" s="59" t="str">
        <f t="array" ref="E1245">IF(COUNTA(C1245:C1350)=0,"",SUM((COUNTIF(C$4:C1245,Upgrades!$B$3:$B$13)-COUNTIF(C$4:C1245,"Sell_"&amp;Upgrades!$B$3:$B$13))*Upgrades!$D$3:$D$13))</f>
        <v/>
      </c>
      <c r="F1245" s="66" t="str">
        <f>IFERROR(__xludf.DUMMYFUNCTION("IF(COUNTA(C1245:C1350)=0,"""",IF(REGEXMATCH(INDEX(FILTER(C$4:C1245,C$4:C1245&lt;&gt;""""),ROWS(FILTER(C$4:C1245,C$4:C1245&lt;&gt;""""))),""^Sell_""),INDEX(FILTER(F$4:F1244,C$4:C1244&lt;&gt;""""),ROWS(FILTER(C$4:C1244,C$4:C1244&lt;&gt;""""))),$AC$5+E1245))"),"")</f>
        <v/>
      </c>
      <c r="G1245" s="10" t="str">
        <f>IFERROR(__xludf.DUMMYFUNCTION("IF(COUNTA(C1245:C1350)=0,"""",IF(C1245="""",0,IF(REGEXMATCH(C1245,""^Sell_""),-ROUNDDOWN(ROUNDUP(INDEX(Upgrades!$C$3:$C$13,MATCH(SUBSTITUTE(C1245,""Sell_"",""""),Upgrades!$B$3:$B$13,0))*1.15^(COUNTIF(C$4:C1244,SUBSTITUTE(C1245,""Sell_"",""""))-COUNTIF(C$4"&amp;":C1244,""Sell_""&amp;SUBSTITUTE(C1245,""Sell_"",""""))))/2),ROUNDUP(INDEX(Upgrades!$C$3:$C$13,MATCH(C1245,Upgrades!$B$3:$B$13,0))*1.15^(COUNTIF(C$4:C1244,C1245)-COUNTIF(C$4:C1244,""Sell_""&amp;C1245))))))"),"")</f>
        <v/>
      </c>
      <c r="H1245" s="10" t="str">
        <f t="shared" si="3"/>
        <v/>
      </c>
      <c r="I1245" s="68" t="str">
        <f t="shared" si="4"/>
        <v/>
      </c>
      <c r="J1245" s="59" t="str">
        <f t="shared" si="5"/>
        <v/>
      </c>
      <c r="K1245" s="69" t="str">
        <f t="shared" si="6"/>
        <v/>
      </c>
      <c r="L1245" s="60" t="str">
        <f t="shared" si="7"/>
        <v/>
      </c>
      <c r="M1245" s="61" t="str">
        <f>IFERROR(__xludf.DUMMYFUNCTION("IFS(AND(COUNTA(C1245:C1350)=0,COUNTA(Q1245:Q1350)=0),"""",OR(AND(K1245&gt;=1000000000,OR(Y1245&gt;=1000000000,COUNTA(Q1245:Q1350)=0)),OR(Y1245&gt;=1000000000,AND(COUNTA(C1245:C1350)=0,P$3=TRUE))),
ROUNDDOWN((AB$1-AC$1)*MAX(INDEX(T$4:T1350,MATCH(LARGE(FILTER(Y$4:Y1"&amp;"350,Y$4:Y1350&lt;1000000000),1),Y$4:Y1350)),INDEX(F$4:F1350,MATCH(LARGE(FILTER(K$4:K1350,K$4:K1350&lt;1000000000),1),K$4:K1350)))),AND(K1245&lt;1000000000,COUNTA(C1245:C1350)&gt;0,P$3=FALSE),
ROUNDDOWN(INDEX(Y$4:Y1350,MATCH(LARGE(FILTER(W$4:W1350,W$4:W1350&lt;=I1245),1)"&amp;",W$4:W1350))+(I1245-LARGE(FILTER(W$4:W1350,W$4:W1350&lt;=I1245),1))*INDEX(T$4:T1350,MATCH(LARGE(FILTER(W$4:W1350,W$4:W1350&lt;=I1245),1),W$4:W1350))-K1245),1,
ROUNDDOWN(Y1245-INDEX(K$4:K1350,MATCH(LARGE(FILTER(I$4:I1350,I$4:I1350&lt;=W1245),1),I$4:I1350))-(W1245-L"&amp;"ARGE(FILTER(I$4:I1350,I$4:I1350&lt;=W1245),1))*INDEX(F$4:F1350,MATCH(LARGE(FILTER(I$4:I1350,I$4:I1350&lt;=W1245),1),I$4:I1350))))"),"")</f>
        <v/>
      </c>
      <c r="N1245" s="60" t="str">
        <f t="shared" si="8"/>
        <v/>
      </c>
      <c r="O1245" s="61" t="str">
        <f t="shared" si="9"/>
        <v/>
      </c>
      <c r="P1245" s="56" t="str">
        <f t="shared" si="10"/>
        <v/>
      </c>
      <c r="Q1245" s="62"/>
      <c r="R1245" s="10" t="str">
        <f>IFERROR(__xludf.DUMMYFUNCTION("IF(COUNTA(Q1245:Q1350)=0,"""",IF(ISBLANK(Q1245),FALSE,IF(NOT(COUNTIF($AA$24:$AA$34,SUBSTITUTE(Q1245,""Sell_"",""""))),1,IF(REGEXMATCH(Q1245,""Sell_""),IF(COUNTIF(Q$4:Q1245,SUBSTITUTE(Q1245,""Sell_"",""""))-COUNTIF(Q$4:Q1244,Q1245)&lt;1,1),FALSE))))"),"")</f>
        <v/>
      </c>
      <c r="S1245" s="59" t="str">
        <f t="array" ref="S1245">IF(COUNTA(Q1245:Q1350)=0,"",SUM((COUNTIF(Q$4:Q1245,Upgrades!$B$3:$B$13)-COUNTIF(Q$4:Q1245,"Sell_"&amp;Upgrades!$B$3:$B$13))*Upgrades!$D$3:$D$13))</f>
        <v/>
      </c>
      <c r="T1245" s="66" t="str">
        <f>IFERROR(__xludf.DUMMYFUNCTION("IF(COUNTA(Q1245:Q1350)=0,"""",IF(REGEXMATCH(INDEX(FILTER(Q$4:Q1245,Q$4:Q1245&lt;&gt;""""),ROWS(FILTER(Q$4:Q1245,Q$4:Q1245&lt;&gt;""""))),""^Sell_""),INDEX(FILTER(T$4:T1244,Q$4:Q1244&lt;&gt;""""),ROWS(FILTER(Q$4:Q1244,Q$4:Q1244&lt;&gt;""""))),$AD$5+S1245))"),"")</f>
        <v/>
      </c>
      <c r="U1245" s="10" t="str">
        <f>IFERROR(__xludf.DUMMYFUNCTION("IF(COUNTA(Q1245:Q1350)=0,"""",IF(Q1245="""",0,IF(REGEXMATCH(Q1245,""^Sell_""),-ROUNDDOWN(ROUNDUP(INDEX(Upgrades!$C$3:$C$13,MATCH(SUBSTITUTE(Q1245,""Sell_"",""""),Upgrades!$B$3:$B$13,0))*1.15^(COUNTIF(Q$4:Q1244,SUBSTITUTE(Q1245,""Sell_"",""""))-COUNTIF(Q$4"&amp;":Q1244,""Sell_""&amp;SUBSTITUTE(Q1245,""Sell_"",""""))))/2),ROUNDUP(INDEX(Upgrades!$C$3:$C$13,MATCH(Q1245,Upgrades!$B$3:$B$13,0))*1.15^(COUNTIF(Q$4:Q1244,Q1245)-COUNTIF(Q$4:Q1244,""Sell_""&amp;Q1245))))))"),"")</f>
        <v/>
      </c>
      <c r="V1245" s="10" t="str">
        <f t="shared" si="11"/>
        <v/>
      </c>
      <c r="W1245" s="68" t="str">
        <f t="shared" si="12"/>
        <v/>
      </c>
      <c r="X1245" s="59" t="str">
        <f t="shared" si="13"/>
        <v/>
      </c>
      <c r="Y1245" s="69" t="str">
        <f t="shared" si="14"/>
        <v/>
      </c>
      <c r="Z1245" s="11"/>
    </row>
    <row r="1246">
      <c r="A1246" s="8"/>
      <c r="B1246" s="56" t="str">
        <f t="shared" si="2"/>
        <v/>
      </c>
      <c r="C1246" s="57"/>
      <c r="D1246" s="10" t="str">
        <f>IFERROR(__xludf.DUMMYFUNCTION("IF(COUNTA(C1246:C1350)=0,"""",IF(ISBLANK(C1246),FALSE,IF(NOT(COUNTIF($AA$24:$AA$34,SUBSTITUTE(C1246,""Sell_"",""""))),1,IF(REGEXMATCH(C1246,""Sell_""),IF(COUNTIF(C$4:C1246,SUBSTITUTE(C1246,""Sell_"",""""))-COUNTIF(C$4:C1245,C1246)&lt;1,1),FALSE))))"),"")</f>
        <v/>
      </c>
      <c r="E1246" s="59" t="str">
        <f t="array" ref="E1246">IF(COUNTA(C1246:C1350)=0,"",SUM((COUNTIF(C$4:C1246,Upgrades!$B$3:$B$13)-COUNTIF(C$4:C1246,"Sell_"&amp;Upgrades!$B$3:$B$13))*Upgrades!$D$3:$D$13))</f>
        <v/>
      </c>
      <c r="F1246" s="66" t="str">
        <f>IFERROR(__xludf.DUMMYFUNCTION("IF(COUNTA(C1246:C1350)=0,"""",IF(REGEXMATCH(INDEX(FILTER(C$4:C1246,C$4:C1246&lt;&gt;""""),ROWS(FILTER(C$4:C1246,C$4:C1246&lt;&gt;""""))),""^Sell_""),INDEX(FILTER(F$4:F1245,C$4:C1245&lt;&gt;""""),ROWS(FILTER(C$4:C1245,C$4:C1245&lt;&gt;""""))),$AC$5+E1246))"),"")</f>
        <v/>
      </c>
      <c r="G1246" s="10" t="str">
        <f>IFERROR(__xludf.DUMMYFUNCTION("IF(COUNTA(C1246:C1350)=0,"""",IF(C1246="""",0,IF(REGEXMATCH(C1246,""^Sell_""),-ROUNDDOWN(ROUNDUP(INDEX(Upgrades!$C$3:$C$13,MATCH(SUBSTITUTE(C1246,""Sell_"",""""),Upgrades!$B$3:$B$13,0))*1.15^(COUNTIF(C$4:C1245,SUBSTITUTE(C1246,""Sell_"",""""))-COUNTIF(C$4"&amp;":C1245,""Sell_""&amp;SUBSTITUTE(C1246,""Sell_"",""""))))/2),ROUNDUP(INDEX(Upgrades!$C$3:$C$13,MATCH(C1246,Upgrades!$B$3:$B$13,0))*1.15^(COUNTIF(C$4:C1245,C1246)-COUNTIF(C$4:C1245,""Sell_""&amp;C1246))))))"),"")</f>
        <v/>
      </c>
      <c r="H1246" s="10" t="str">
        <f t="shared" si="3"/>
        <v/>
      </c>
      <c r="I1246" s="68" t="str">
        <f t="shared" si="4"/>
        <v/>
      </c>
      <c r="J1246" s="59" t="str">
        <f t="shared" si="5"/>
        <v/>
      </c>
      <c r="K1246" s="69" t="str">
        <f t="shared" si="6"/>
        <v/>
      </c>
      <c r="L1246" s="60" t="str">
        <f t="shared" si="7"/>
        <v/>
      </c>
      <c r="M1246" s="61" t="str">
        <f>IFERROR(__xludf.DUMMYFUNCTION("IFS(AND(COUNTA(C1246:C1350)=0,COUNTA(Q1246:Q1350)=0),"""",OR(AND(K1246&gt;=1000000000,OR(Y1246&gt;=1000000000,COUNTA(Q1246:Q1350)=0)),OR(Y1246&gt;=1000000000,AND(COUNTA(C1246:C1350)=0,P$3=TRUE))),
ROUNDDOWN((AB$1-AC$1)*MAX(INDEX(T$4:T1350,MATCH(LARGE(FILTER(Y$4:Y1"&amp;"350,Y$4:Y1350&lt;1000000000),1),Y$4:Y1350)),INDEX(F$4:F1350,MATCH(LARGE(FILTER(K$4:K1350,K$4:K1350&lt;1000000000),1),K$4:K1350)))),AND(K1246&lt;1000000000,COUNTA(C1246:C1350)&gt;0,P$3=FALSE),
ROUNDDOWN(INDEX(Y$4:Y1350,MATCH(LARGE(FILTER(W$4:W1350,W$4:W1350&lt;=I1246),1)"&amp;",W$4:W1350))+(I1246-LARGE(FILTER(W$4:W1350,W$4:W1350&lt;=I1246),1))*INDEX(T$4:T1350,MATCH(LARGE(FILTER(W$4:W1350,W$4:W1350&lt;=I1246),1),W$4:W1350))-K1246),1,
ROUNDDOWN(Y1246-INDEX(K$4:K1350,MATCH(LARGE(FILTER(I$4:I1350,I$4:I1350&lt;=W1246),1),I$4:I1350))-(W1246-L"&amp;"ARGE(FILTER(I$4:I1350,I$4:I1350&lt;=W1246),1))*INDEX(F$4:F1350,MATCH(LARGE(FILTER(I$4:I1350,I$4:I1350&lt;=W1246),1),I$4:I1350))))"),"")</f>
        <v/>
      </c>
      <c r="N1246" s="60" t="str">
        <f t="shared" si="8"/>
        <v/>
      </c>
      <c r="O1246" s="61" t="str">
        <f t="shared" si="9"/>
        <v/>
      </c>
      <c r="P1246" s="56" t="str">
        <f t="shared" si="10"/>
        <v/>
      </c>
      <c r="Q1246" s="62"/>
      <c r="R1246" s="10" t="str">
        <f>IFERROR(__xludf.DUMMYFUNCTION("IF(COUNTA(Q1246:Q1350)=0,"""",IF(ISBLANK(Q1246),FALSE,IF(NOT(COUNTIF($AA$24:$AA$34,SUBSTITUTE(Q1246,""Sell_"",""""))),1,IF(REGEXMATCH(Q1246,""Sell_""),IF(COUNTIF(Q$4:Q1246,SUBSTITUTE(Q1246,""Sell_"",""""))-COUNTIF(Q$4:Q1245,Q1246)&lt;1,1),FALSE))))"),"")</f>
        <v/>
      </c>
      <c r="S1246" s="59" t="str">
        <f t="array" ref="S1246">IF(COUNTA(Q1246:Q1350)=0,"",SUM((COUNTIF(Q$4:Q1246,Upgrades!$B$3:$B$13)-COUNTIF(Q$4:Q1246,"Sell_"&amp;Upgrades!$B$3:$B$13))*Upgrades!$D$3:$D$13))</f>
        <v/>
      </c>
      <c r="T1246" s="66" t="str">
        <f>IFERROR(__xludf.DUMMYFUNCTION("IF(COUNTA(Q1246:Q1350)=0,"""",IF(REGEXMATCH(INDEX(FILTER(Q$4:Q1246,Q$4:Q1246&lt;&gt;""""),ROWS(FILTER(Q$4:Q1246,Q$4:Q1246&lt;&gt;""""))),""^Sell_""),INDEX(FILTER(T$4:T1245,Q$4:Q1245&lt;&gt;""""),ROWS(FILTER(Q$4:Q1245,Q$4:Q1245&lt;&gt;""""))),$AD$5+S1246))"),"")</f>
        <v/>
      </c>
      <c r="U1246" s="10" t="str">
        <f>IFERROR(__xludf.DUMMYFUNCTION("IF(COUNTA(Q1246:Q1350)=0,"""",IF(Q1246="""",0,IF(REGEXMATCH(Q1246,""^Sell_""),-ROUNDDOWN(ROUNDUP(INDEX(Upgrades!$C$3:$C$13,MATCH(SUBSTITUTE(Q1246,""Sell_"",""""),Upgrades!$B$3:$B$13,0))*1.15^(COUNTIF(Q$4:Q1245,SUBSTITUTE(Q1246,""Sell_"",""""))-COUNTIF(Q$4"&amp;":Q1245,""Sell_""&amp;SUBSTITUTE(Q1246,""Sell_"",""""))))/2),ROUNDUP(INDEX(Upgrades!$C$3:$C$13,MATCH(Q1246,Upgrades!$B$3:$B$13,0))*1.15^(COUNTIF(Q$4:Q1245,Q1246)-COUNTIF(Q$4:Q1245,""Sell_""&amp;Q1246))))))"),"")</f>
        <v/>
      </c>
      <c r="V1246" s="10" t="str">
        <f t="shared" si="11"/>
        <v/>
      </c>
      <c r="W1246" s="68" t="str">
        <f t="shared" si="12"/>
        <v/>
      </c>
      <c r="X1246" s="59" t="str">
        <f t="shared" si="13"/>
        <v/>
      </c>
      <c r="Y1246" s="69" t="str">
        <f t="shared" si="14"/>
        <v/>
      </c>
      <c r="Z1246" s="11"/>
    </row>
    <row r="1247">
      <c r="A1247" s="8"/>
      <c r="B1247" s="56" t="str">
        <f t="shared" si="2"/>
        <v/>
      </c>
      <c r="C1247" s="57"/>
      <c r="D1247" s="10" t="str">
        <f>IFERROR(__xludf.DUMMYFUNCTION("IF(COUNTA(C1247:C1350)=0,"""",IF(ISBLANK(C1247),FALSE,IF(NOT(COUNTIF($AA$24:$AA$34,SUBSTITUTE(C1247,""Sell_"",""""))),1,IF(REGEXMATCH(C1247,""Sell_""),IF(COUNTIF(C$4:C1247,SUBSTITUTE(C1247,""Sell_"",""""))-COUNTIF(C$4:C1246,C1247)&lt;1,1),FALSE))))"),"")</f>
        <v/>
      </c>
      <c r="E1247" s="59" t="str">
        <f t="array" ref="E1247">IF(COUNTA(C1247:C1350)=0,"",SUM((COUNTIF(C$4:C1247,Upgrades!$B$3:$B$13)-COUNTIF(C$4:C1247,"Sell_"&amp;Upgrades!$B$3:$B$13))*Upgrades!$D$3:$D$13))</f>
        <v/>
      </c>
      <c r="F1247" s="66" t="str">
        <f>IFERROR(__xludf.DUMMYFUNCTION("IF(COUNTA(C1247:C1350)=0,"""",IF(REGEXMATCH(INDEX(FILTER(C$4:C1247,C$4:C1247&lt;&gt;""""),ROWS(FILTER(C$4:C1247,C$4:C1247&lt;&gt;""""))),""^Sell_""),INDEX(FILTER(F$4:F1246,C$4:C1246&lt;&gt;""""),ROWS(FILTER(C$4:C1246,C$4:C1246&lt;&gt;""""))),$AC$5+E1247))"),"")</f>
        <v/>
      </c>
      <c r="G1247" s="10" t="str">
        <f>IFERROR(__xludf.DUMMYFUNCTION("IF(COUNTA(C1247:C1350)=0,"""",IF(C1247="""",0,IF(REGEXMATCH(C1247,""^Sell_""),-ROUNDDOWN(ROUNDUP(INDEX(Upgrades!$C$3:$C$13,MATCH(SUBSTITUTE(C1247,""Sell_"",""""),Upgrades!$B$3:$B$13,0))*1.15^(COUNTIF(C$4:C1246,SUBSTITUTE(C1247,""Sell_"",""""))-COUNTIF(C$4"&amp;":C1246,""Sell_""&amp;SUBSTITUTE(C1247,""Sell_"",""""))))/2),ROUNDUP(INDEX(Upgrades!$C$3:$C$13,MATCH(C1247,Upgrades!$B$3:$B$13,0))*1.15^(COUNTIF(C$4:C1246,C1247)-COUNTIF(C$4:C1246,""Sell_""&amp;C1247))))))"),"")</f>
        <v/>
      </c>
      <c r="H1247" s="10" t="str">
        <f t="shared" si="3"/>
        <v/>
      </c>
      <c r="I1247" s="68" t="str">
        <f t="shared" si="4"/>
        <v/>
      </c>
      <c r="J1247" s="59" t="str">
        <f t="shared" si="5"/>
        <v/>
      </c>
      <c r="K1247" s="69" t="str">
        <f t="shared" si="6"/>
        <v/>
      </c>
      <c r="L1247" s="60" t="str">
        <f t="shared" si="7"/>
        <v/>
      </c>
      <c r="M1247" s="61" t="str">
        <f>IFERROR(__xludf.DUMMYFUNCTION("IFS(AND(COUNTA(C1247:C1350)=0,COUNTA(Q1247:Q1350)=0),"""",OR(AND(K1247&gt;=1000000000,OR(Y1247&gt;=1000000000,COUNTA(Q1247:Q1350)=0)),OR(Y1247&gt;=1000000000,AND(COUNTA(C1247:C1350)=0,P$3=TRUE))),
ROUNDDOWN((AB$1-AC$1)*MAX(INDEX(T$4:T1350,MATCH(LARGE(FILTER(Y$4:Y1"&amp;"350,Y$4:Y1350&lt;1000000000),1),Y$4:Y1350)),INDEX(F$4:F1350,MATCH(LARGE(FILTER(K$4:K1350,K$4:K1350&lt;1000000000),1),K$4:K1350)))),AND(K1247&lt;1000000000,COUNTA(C1247:C1350)&gt;0,P$3=FALSE),
ROUNDDOWN(INDEX(Y$4:Y1350,MATCH(LARGE(FILTER(W$4:W1350,W$4:W1350&lt;=I1247),1)"&amp;",W$4:W1350))+(I1247-LARGE(FILTER(W$4:W1350,W$4:W1350&lt;=I1247),1))*INDEX(T$4:T1350,MATCH(LARGE(FILTER(W$4:W1350,W$4:W1350&lt;=I1247),1),W$4:W1350))-K1247),1,
ROUNDDOWN(Y1247-INDEX(K$4:K1350,MATCH(LARGE(FILTER(I$4:I1350,I$4:I1350&lt;=W1247),1),I$4:I1350))-(W1247-L"&amp;"ARGE(FILTER(I$4:I1350,I$4:I1350&lt;=W1247),1))*INDEX(F$4:F1350,MATCH(LARGE(FILTER(I$4:I1350,I$4:I1350&lt;=W1247),1),I$4:I1350))))"),"")</f>
        <v/>
      </c>
      <c r="N1247" s="60" t="str">
        <f t="shared" si="8"/>
        <v/>
      </c>
      <c r="O1247" s="61" t="str">
        <f t="shared" si="9"/>
        <v/>
      </c>
      <c r="P1247" s="56" t="str">
        <f t="shared" si="10"/>
        <v/>
      </c>
      <c r="Q1247" s="62"/>
      <c r="R1247" s="10" t="str">
        <f>IFERROR(__xludf.DUMMYFUNCTION("IF(COUNTA(Q1247:Q1350)=0,"""",IF(ISBLANK(Q1247),FALSE,IF(NOT(COUNTIF($AA$24:$AA$34,SUBSTITUTE(Q1247,""Sell_"",""""))),1,IF(REGEXMATCH(Q1247,""Sell_""),IF(COUNTIF(Q$4:Q1247,SUBSTITUTE(Q1247,""Sell_"",""""))-COUNTIF(Q$4:Q1246,Q1247)&lt;1,1),FALSE))))"),"")</f>
        <v/>
      </c>
      <c r="S1247" s="59" t="str">
        <f t="array" ref="S1247">IF(COUNTA(Q1247:Q1350)=0,"",SUM((COUNTIF(Q$4:Q1247,Upgrades!$B$3:$B$13)-COUNTIF(Q$4:Q1247,"Sell_"&amp;Upgrades!$B$3:$B$13))*Upgrades!$D$3:$D$13))</f>
        <v/>
      </c>
      <c r="T1247" s="66" t="str">
        <f>IFERROR(__xludf.DUMMYFUNCTION("IF(COUNTA(Q1247:Q1350)=0,"""",IF(REGEXMATCH(INDEX(FILTER(Q$4:Q1247,Q$4:Q1247&lt;&gt;""""),ROWS(FILTER(Q$4:Q1247,Q$4:Q1247&lt;&gt;""""))),""^Sell_""),INDEX(FILTER(T$4:T1246,Q$4:Q1246&lt;&gt;""""),ROWS(FILTER(Q$4:Q1246,Q$4:Q1246&lt;&gt;""""))),$AD$5+S1247))"),"")</f>
        <v/>
      </c>
      <c r="U1247" s="10" t="str">
        <f>IFERROR(__xludf.DUMMYFUNCTION("IF(COUNTA(Q1247:Q1350)=0,"""",IF(Q1247="""",0,IF(REGEXMATCH(Q1247,""^Sell_""),-ROUNDDOWN(ROUNDUP(INDEX(Upgrades!$C$3:$C$13,MATCH(SUBSTITUTE(Q1247,""Sell_"",""""),Upgrades!$B$3:$B$13,0))*1.15^(COUNTIF(Q$4:Q1246,SUBSTITUTE(Q1247,""Sell_"",""""))-COUNTIF(Q$4"&amp;":Q1246,""Sell_""&amp;SUBSTITUTE(Q1247,""Sell_"",""""))))/2),ROUNDUP(INDEX(Upgrades!$C$3:$C$13,MATCH(Q1247,Upgrades!$B$3:$B$13,0))*1.15^(COUNTIF(Q$4:Q1246,Q1247)-COUNTIF(Q$4:Q1246,""Sell_""&amp;Q1247))))))"),"")</f>
        <v/>
      </c>
      <c r="V1247" s="10" t="str">
        <f t="shared" si="11"/>
        <v/>
      </c>
      <c r="W1247" s="68" t="str">
        <f t="shared" si="12"/>
        <v/>
      </c>
      <c r="X1247" s="59" t="str">
        <f t="shared" si="13"/>
        <v/>
      </c>
      <c r="Y1247" s="69" t="str">
        <f t="shared" si="14"/>
        <v/>
      </c>
      <c r="Z1247" s="11"/>
    </row>
    <row r="1248">
      <c r="A1248" s="8"/>
      <c r="B1248" s="56" t="str">
        <f t="shared" si="2"/>
        <v/>
      </c>
      <c r="C1248" s="57"/>
      <c r="D1248" s="10" t="str">
        <f>IFERROR(__xludf.DUMMYFUNCTION("IF(COUNTA(C1248:C1350)=0,"""",IF(ISBLANK(C1248),FALSE,IF(NOT(COUNTIF($AA$24:$AA$34,SUBSTITUTE(C1248,""Sell_"",""""))),1,IF(REGEXMATCH(C1248,""Sell_""),IF(COUNTIF(C$4:C1248,SUBSTITUTE(C1248,""Sell_"",""""))-COUNTIF(C$4:C1247,C1248)&lt;1,1),FALSE))))"),"")</f>
        <v/>
      </c>
      <c r="E1248" s="59" t="str">
        <f t="array" ref="E1248">IF(COUNTA(C1248:C1350)=0,"",SUM((COUNTIF(C$4:C1248,Upgrades!$B$3:$B$13)-COUNTIF(C$4:C1248,"Sell_"&amp;Upgrades!$B$3:$B$13))*Upgrades!$D$3:$D$13))</f>
        <v/>
      </c>
      <c r="F1248" s="66" t="str">
        <f>IFERROR(__xludf.DUMMYFUNCTION("IF(COUNTA(C1248:C1350)=0,"""",IF(REGEXMATCH(INDEX(FILTER(C$4:C1248,C$4:C1248&lt;&gt;""""),ROWS(FILTER(C$4:C1248,C$4:C1248&lt;&gt;""""))),""^Sell_""),INDEX(FILTER(F$4:F1247,C$4:C1247&lt;&gt;""""),ROWS(FILTER(C$4:C1247,C$4:C1247&lt;&gt;""""))),$AC$5+E1248))"),"")</f>
        <v/>
      </c>
      <c r="G1248" s="10" t="str">
        <f>IFERROR(__xludf.DUMMYFUNCTION("IF(COUNTA(C1248:C1350)=0,"""",IF(C1248="""",0,IF(REGEXMATCH(C1248,""^Sell_""),-ROUNDDOWN(ROUNDUP(INDEX(Upgrades!$C$3:$C$13,MATCH(SUBSTITUTE(C1248,""Sell_"",""""),Upgrades!$B$3:$B$13,0))*1.15^(COUNTIF(C$4:C1247,SUBSTITUTE(C1248,""Sell_"",""""))-COUNTIF(C$4"&amp;":C1247,""Sell_""&amp;SUBSTITUTE(C1248,""Sell_"",""""))))/2),ROUNDUP(INDEX(Upgrades!$C$3:$C$13,MATCH(C1248,Upgrades!$B$3:$B$13,0))*1.15^(COUNTIF(C$4:C1247,C1248)-COUNTIF(C$4:C1247,""Sell_""&amp;C1248))))))"),"")</f>
        <v/>
      </c>
      <c r="H1248" s="10" t="str">
        <f t="shared" si="3"/>
        <v/>
      </c>
      <c r="I1248" s="68" t="str">
        <f t="shared" si="4"/>
        <v/>
      </c>
      <c r="J1248" s="59" t="str">
        <f t="shared" si="5"/>
        <v/>
      </c>
      <c r="K1248" s="69" t="str">
        <f t="shared" si="6"/>
        <v/>
      </c>
      <c r="L1248" s="60" t="str">
        <f t="shared" si="7"/>
        <v/>
      </c>
      <c r="M1248" s="61" t="str">
        <f>IFERROR(__xludf.DUMMYFUNCTION("IFS(AND(COUNTA(C1248:C1350)=0,COUNTA(Q1248:Q1350)=0),"""",OR(AND(K1248&gt;=1000000000,OR(Y1248&gt;=1000000000,COUNTA(Q1248:Q1350)=0)),OR(Y1248&gt;=1000000000,AND(COUNTA(C1248:C1350)=0,P$3=TRUE))),
ROUNDDOWN((AB$1-AC$1)*MAX(INDEX(T$4:T1350,MATCH(LARGE(FILTER(Y$4:Y1"&amp;"350,Y$4:Y1350&lt;1000000000),1),Y$4:Y1350)),INDEX(F$4:F1350,MATCH(LARGE(FILTER(K$4:K1350,K$4:K1350&lt;1000000000),1),K$4:K1350)))),AND(K1248&lt;1000000000,COUNTA(C1248:C1350)&gt;0,P$3=FALSE),
ROUNDDOWN(INDEX(Y$4:Y1350,MATCH(LARGE(FILTER(W$4:W1350,W$4:W1350&lt;=I1248),1)"&amp;",W$4:W1350))+(I1248-LARGE(FILTER(W$4:W1350,W$4:W1350&lt;=I1248),1))*INDEX(T$4:T1350,MATCH(LARGE(FILTER(W$4:W1350,W$4:W1350&lt;=I1248),1),W$4:W1350))-K1248),1,
ROUNDDOWN(Y1248-INDEX(K$4:K1350,MATCH(LARGE(FILTER(I$4:I1350,I$4:I1350&lt;=W1248),1),I$4:I1350))-(W1248-L"&amp;"ARGE(FILTER(I$4:I1350,I$4:I1350&lt;=W1248),1))*INDEX(F$4:F1350,MATCH(LARGE(FILTER(I$4:I1350,I$4:I1350&lt;=W1248),1),I$4:I1350))))"),"")</f>
        <v/>
      </c>
      <c r="N1248" s="60" t="str">
        <f t="shared" si="8"/>
        <v/>
      </c>
      <c r="O1248" s="61" t="str">
        <f t="shared" si="9"/>
        <v/>
      </c>
      <c r="P1248" s="56" t="str">
        <f t="shared" si="10"/>
        <v/>
      </c>
      <c r="Q1248" s="62"/>
      <c r="R1248" s="10" t="str">
        <f>IFERROR(__xludf.DUMMYFUNCTION("IF(COUNTA(Q1248:Q1350)=0,"""",IF(ISBLANK(Q1248),FALSE,IF(NOT(COUNTIF($AA$24:$AA$34,SUBSTITUTE(Q1248,""Sell_"",""""))),1,IF(REGEXMATCH(Q1248,""Sell_""),IF(COUNTIF(Q$4:Q1248,SUBSTITUTE(Q1248,""Sell_"",""""))-COUNTIF(Q$4:Q1247,Q1248)&lt;1,1),FALSE))))"),"")</f>
        <v/>
      </c>
      <c r="S1248" s="59" t="str">
        <f t="array" ref="S1248">IF(COUNTA(Q1248:Q1350)=0,"",SUM((COUNTIF(Q$4:Q1248,Upgrades!$B$3:$B$13)-COUNTIF(Q$4:Q1248,"Sell_"&amp;Upgrades!$B$3:$B$13))*Upgrades!$D$3:$D$13))</f>
        <v/>
      </c>
      <c r="T1248" s="66" t="str">
        <f>IFERROR(__xludf.DUMMYFUNCTION("IF(COUNTA(Q1248:Q1350)=0,"""",IF(REGEXMATCH(INDEX(FILTER(Q$4:Q1248,Q$4:Q1248&lt;&gt;""""),ROWS(FILTER(Q$4:Q1248,Q$4:Q1248&lt;&gt;""""))),""^Sell_""),INDEX(FILTER(T$4:T1247,Q$4:Q1247&lt;&gt;""""),ROWS(FILTER(Q$4:Q1247,Q$4:Q1247&lt;&gt;""""))),$AD$5+S1248))"),"")</f>
        <v/>
      </c>
      <c r="U1248" s="10" t="str">
        <f>IFERROR(__xludf.DUMMYFUNCTION("IF(COUNTA(Q1248:Q1350)=0,"""",IF(Q1248="""",0,IF(REGEXMATCH(Q1248,""^Sell_""),-ROUNDDOWN(ROUNDUP(INDEX(Upgrades!$C$3:$C$13,MATCH(SUBSTITUTE(Q1248,""Sell_"",""""),Upgrades!$B$3:$B$13,0))*1.15^(COUNTIF(Q$4:Q1247,SUBSTITUTE(Q1248,""Sell_"",""""))-COUNTIF(Q$4"&amp;":Q1247,""Sell_""&amp;SUBSTITUTE(Q1248,""Sell_"",""""))))/2),ROUNDUP(INDEX(Upgrades!$C$3:$C$13,MATCH(Q1248,Upgrades!$B$3:$B$13,0))*1.15^(COUNTIF(Q$4:Q1247,Q1248)-COUNTIF(Q$4:Q1247,""Sell_""&amp;Q1248))))))"),"")</f>
        <v/>
      </c>
      <c r="V1248" s="10" t="str">
        <f t="shared" si="11"/>
        <v/>
      </c>
      <c r="W1248" s="68" t="str">
        <f t="shared" si="12"/>
        <v/>
      </c>
      <c r="X1248" s="59" t="str">
        <f t="shared" si="13"/>
        <v/>
      </c>
      <c r="Y1248" s="69" t="str">
        <f t="shared" si="14"/>
        <v/>
      </c>
      <c r="Z1248" s="11"/>
    </row>
    <row r="1249">
      <c r="A1249" s="8"/>
      <c r="B1249" s="56" t="str">
        <f t="shared" si="2"/>
        <v/>
      </c>
      <c r="C1249" s="57"/>
      <c r="D1249" s="10" t="str">
        <f>IFERROR(__xludf.DUMMYFUNCTION("IF(COUNTA(C1249:C1350)=0,"""",IF(ISBLANK(C1249),FALSE,IF(NOT(COUNTIF($AA$24:$AA$34,SUBSTITUTE(C1249,""Sell_"",""""))),1,IF(REGEXMATCH(C1249,""Sell_""),IF(COUNTIF(C$4:C1249,SUBSTITUTE(C1249,""Sell_"",""""))-COUNTIF(C$4:C1248,C1249)&lt;1,1),FALSE))))"),"")</f>
        <v/>
      </c>
      <c r="E1249" s="59" t="str">
        <f t="array" ref="E1249">IF(COUNTA(C1249:C1350)=0,"",SUM((COUNTIF(C$4:C1249,Upgrades!$B$3:$B$13)-COUNTIF(C$4:C1249,"Sell_"&amp;Upgrades!$B$3:$B$13))*Upgrades!$D$3:$D$13))</f>
        <v/>
      </c>
      <c r="F1249" s="66" t="str">
        <f>IFERROR(__xludf.DUMMYFUNCTION("IF(COUNTA(C1249:C1350)=0,"""",IF(REGEXMATCH(INDEX(FILTER(C$4:C1249,C$4:C1249&lt;&gt;""""),ROWS(FILTER(C$4:C1249,C$4:C1249&lt;&gt;""""))),""^Sell_""),INDEX(FILTER(F$4:F1248,C$4:C1248&lt;&gt;""""),ROWS(FILTER(C$4:C1248,C$4:C1248&lt;&gt;""""))),$AC$5+E1249))"),"")</f>
        <v/>
      </c>
      <c r="G1249" s="10" t="str">
        <f>IFERROR(__xludf.DUMMYFUNCTION("IF(COUNTA(C1249:C1350)=0,"""",IF(C1249="""",0,IF(REGEXMATCH(C1249,""^Sell_""),-ROUNDDOWN(ROUNDUP(INDEX(Upgrades!$C$3:$C$13,MATCH(SUBSTITUTE(C1249,""Sell_"",""""),Upgrades!$B$3:$B$13,0))*1.15^(COUNTIF(C$4:C1248,SUBSTITUTE(C1249,""Sell_"",""""))-COUNTIF(C$4"&amp;":C1248,""Sell_""&amp;SUBSTITUTE(C1249,""Sell_"",""""))))/2),ROUNDUP(INDEX(Upgrades!$C$3:$C$13,MATCH(C1249,Upgrades!$B$3:$B$13,0))*1.15^(COUNTIF(C$4:C1248,C1249)-COUNTIF(C$4:C1248,""Sell_""&amp;C1249))))))"),"")</f>
        <v/>
      </c>
      <c r="H1249" s="10" t="str">
        <f t="shared" si="3"/>
        <v/>
      </c>
      <c r="I1249" s="68" t="str">
        <f t="shared" si="4"/>
        <v/>
      </c>
      <c r="J1249" s="59" t="str">
        <f t="shared" si="5"/>
        <v/>
      </c>
      <c r="K1249" s="69" t="str">
        <f t="shared" si="6"/>
        <v/>
      </c>
      <c r="L1249" s="60" t="str">
        <f t="shared" si="7"/>
        <v/>
      </c>
      <c r="M1249" s="61" t="str">
        <f>IFERROR(__xludf.DUMMYFUNCTION("IFS(AND(COUNTA(C1249:C1350)=0,COUNTA(Q1249:Q1350)=0),"""",OR(AND(K1249&gt;=1000000000,OR(Y1249&gt;=1000000000,COUNTA(Q1249:Q1350)=0)),OR(Y1249&gt;=1000000000,AND(COUNTA(C1249:C1350)=0,P$3=TRUE))),
ROUNDDOWN((AB$1-AC$1)*MAX(INDEX(T$4:T1350,MATCH(LARGE(FILTER(Y$4:Y1"&amp;"350,Y$4:Y1350&lt;1000000000),1),Y$4:Y1350)),INDEX(F$4:F1350,MATCH(LARGE(FILTER(K$4:K1350,K$4:K1350&lt;1000000000),1),K$4:K1350)))),AND(K1249&lt;1000000000,COUNTA(C1249:C1350)&gt;0,P$3=FALSE),
ROUNDDOWN(INDEX(Y$4:Y1350,MATCH(LARGE(FILTER(W$4:W1350,W$4:W1350&lt;=I1249),1)"&amp;",W$4:W1350))+(I1249-LARGE(FILTER(W$4:W1350,W$4:W1350&lt;=I1249),1))*INDEX(T$4:T1350,MATCH(LARGE(FILTER(W$4:W1350,W$4:W1350&lt;=I1249),1),W$4:W1350))-K1249),1,
ROUNDDOWN(Y1249-INDEX(K$4:K1350,MATCH(LARGE(FILTER(I$4:I1350,I$4:I1350&lt;=W1249),1),I$4:I1350))-(W1249-L"&amp;"ARGE(FILTER(I$4:I1350,I$4:I1350&lt;=W1249),1))*INDEX(F$4:F1350,MATCH(LARGE(FILTER(I$4:I1350,I$4:I1350&lt;=W1249),1),I$4:I1350))))"),"")</f>
        <v/>
      </c>
      <c r="N1249" s="60" t="str">
        <f t="shared" si="8"/>
        <v/>
      </c>
      <c r="O1249" s="61" t="str">
        <f t="shared" si="9"/>
        <v/>
      </c>
      <c r="P1249" s="56" t="str">
        <f t="shared" si="10"/>
        <v/>
      </c>
      <c r="Q1249" s="62"/>
      <c r="R1249" s="10" t="str">
        <f>IFERROR(__xludf.DUMMYFUNCTION("IF(COUNTA(Q1249:Q1350)=0,"""",IF(ISBLANK(Q1249),FALSE,IF(NOT(COUNTIF($AA$24:$AA$34,SUBSTITUTE(Q1249,""Sell_"",""""))),1,IF(REGEXMATCH(Q1249,""Sell_""),IF(COUNTIF(Q$4:Q1249,SUBSTITUTE(Q1249,""Sell_"",""""))-COUNTIF(Q$4:Q1248,Q1249)&lt;1,1),FALSE))))"),"")</f>
        <v/>
      </c>
      <c r="S1249" s="59" t="str">
        <f t="array" ref="S1249">IF(COUNTA(Q1249:Q1350)=0,"",SUM((COUNTIF(Q$4:Q1249,Upgrades!$B$3:$B$13)-COUNTIF(Q$4:Q1249,"Sell_"&amp;Upgrades!$B$3:$B$13))*Upgrades!$D$3:$D$13))</f>
        <v/>
      </c>
      <c r="T1249" s="66" t="str">
        <f>IFERROR(__xludf.DUMMYFUNCTION("IF(COUNTA(Q1249:Q1350)=0,"""",IF(REGEXMATCH(INDEX(FILTER(Q$4:Q1249,Q$4:Q1249&lt;&gt;""""),ROWS(FILTER(Q$4:Q1249,Q$4:Q1249&lt;&gt;""""))),""^Sell_""),INDEX(FILTER(T$4:T1248,Q$4:Q1248&lt;&gt;""""),ROWS(FILTER(Q$4:Q1248,Q$4:Q1248&lt;&gt;""""))),$AD$5+S1249))"),"")</f>
        <v/>
      </c>
      <c r="U1249" s="10" t="str">
        <f>IFERROR(__xludf.DUMMYFUNCTION("IF(COUNTA(Q1249:Q1350)=0,"""",IF(Q1249="""",0,IF(REGEXMATCH(Q1249,""^Sell_""),-ROUNDDOWN(ROUNDUP(INDEX(Upgrades!$C$3:$C$13,MATCH(SUBSTITUTE(Q1249,""Sell_"",""""),Upgrades!$B$3:$B$13,0))*1.15^(COUNTIF(Q$4:Q1248,SUBSTITUTE(Q1249,""Sell_"",""""))-COUNTIF(Q$4"&amp;":Q1248,""Sell_""&amp;SUBSTITUTE(Q1249,""Sell_"",""""))))/2),ROUNDUP(INDEX(Upgrades!$C$3:$C$13,MATCH(Q1249,Upgrades!$B$3:$B$13,0))*1.15^(COUNTIF(Q$4:Q1248,Q1249)-COUNTIF(Q$4:Q1248,""Sell_""&amp;Q1249))))))"),"")</f>
        <v/>
      </c>
      <c r="V1249" s="10" t="str">
        <f t="shared" si="11"/>
        <v/>
      </c>
      <c r="W1249" s="68" t="str">
        <f t="shared" si="12"/>
        <v/>
      </c>
      <c r="X1249" s="59" t="str">
        <f t="shared" si="13"/>
        <v/>
      </c>
      <c r="Y1249" s="69" t="str">
        <f t="shared" si="14"/>
        <v/>
      </c>
      <c r="Z1249" s="11"/>
    </row>
    <row r="1250">
      <c r="A1250" s="8"/>
      <c r="B1250" s="56" t="str">
        <f t="shared" si="2"/>
        <v/>
      </c>
      <c r="C1250" s="57"/>
      <c r="D1250" s="10" t="str">
        <f>IFERROR(__xludf.DUMMYFUNCTION("IF(COUNTA(C1250:C1350)=0,"""",IF(ISBLANK(C1250),FALSE,IF(NOT(COUNTIF($AA$24:$AA$34,SUBSTITUTE(C1250,""Sell_"",""""))),1,IF(REGEXMATCH(C1250,""Sell_""),IF(COUNTIF(C$4:C1250,SUBSTITUTE(C1250,""Sell_"",""""))-COUNTIF(C$4:C1249,C1250)&lt;1,1),FALSE))))"),"")</f>
        <v/>
      </c>
      <c r="E1250" s="59" t="str">
        <f t="array" ref="E1250">IF(COUNTA(C1250:C1350)=0,"",SUM((COUNTIF(C$4:C1250,Upgrades!$B$3:$B$13)-COUNTIF(C$4:C1250,"Sell_"&amp;Upgrades!$B$3:$B$13))*Upgrades!$D$3:$D$13))</f>
        <v/>
      </c>
      <c r="F1250" s="66" t="str">
        <f>IFERROR(__xludf.DUMMYFUNCTION("IF(COUNTA(C1250:C1350)=0,"""",IF(REGEXMATCH(INDEX(FILTER(C$4:C1250,C$4:C1250&lt;&gt;""""),ROWS(FILTER(C$4:C1250,C$4:C1250&lt;&gt;""""))),""^Sell_""),INDEX(FILTER(F$4:F1249,C$4:C1249&lt;&gt;""""),ROWS(FILTER(C$4:C1249,C$4:C1249&lt;&gt;""""))),$AC$5+E1250))"),"")</f>
        <v/>
      </c>
      <c r="G1250" s="10" t="str">
        <f>IFERROR(__xludf.DUMMYFUNCTION("IF(COUNTA(C1250:C1350)=0,"""",IF(C1250="""",0,IF(REGEXMATCH(C1250,""^Sell_""),-ROUNDDOWN(ROUNDUP(INDEX(Upgrades!$C$3:$C$13,MATCH(SUBSTITUTE(C1250,""Sell_"",""""),Upgrades!$B$3:$B$13,0))*1.15^(COUNTIF(C$4:C1249,SUBSTITUTE(C1250,""Sell_"",""""))-COUNTIF(C$4"&amp;":C1249,""Sell_""&amp;SUBSTITUTE(C1250,""Sell_"",""""))))/2),ROUNDUP(INDEX(Upgrades!$C$3:$C$13,MATCH(C1250,Upgrades!$B$3:$B$13,0))*1.15^(COUNTIF(C$4:C1249,C1250)-COUNTIF(C$4:C1249,""Sell_""&amp;C1250))))))"),"")</f>
        <v/>
      </c>
      <c r="H1250" s="10" t="str">
        <f t="shared" si="3"/>
        <v/>
      </c>
      <c r="I1250" s="68" t="str">
        <f t="shared" si="4"/>
        <v/>
      </c>
      <c r="J1250" s="59" t="str">
        <f t="shared" si="5"/>
        <v/>
      </c>
      <c r="K1250" s="69" t="str">
        <f t="shared" si="6"/>
        <v/>
      </c>
      <c r="L1250" s="60" t="str">
        <f t="shared" si="7"/>
        <v/>
      </c>
      <c r="M1250" s="61" t="str">
        <f>IFERROR(__xludf.DUMMYFUNCTION("IFS(AND(COUNTA(C1250:C1350)=0,COUNTA(Q1250:Q1350)=0),"""",OR(AND(K1250&gt;=1000000000,OR(Y1250&gt;=1000000000,COUNTA(Q1250:Q1350)=0)),OR(Y1250&gt;=1000000000,AND(COUNTA(C1250:C1350)=0,P$3=TRUE))),
ROUNDDOWN((AB$1-AC$1)*MAX(INDEX(T$4:T1350,MATCH(LARGE(FILTER(Y$4:Y1"&amp;"350,Y$4:Y1350&lt;1000000000),1),Y$4:Y1350)),INDEX(F$4:F1350,MATCH(LARGE(FILTER(K$4:K1350,K$4:K1350&lt;1000000000),1),K$4:K1350)))),AND(K1250&lt;1000000000,COUNTA(C1250:C1350)&gt;0,P$3=FALSE),
ROUNDDOWN(INDEX(Y$4:Y1350,MATCH(LARGE(FILTER(W$4:W1350,W$4:W1350&lt;=I1250),1)"&amp;",W$4:W1350))+(I1250-LARGE(FILTER(W$4:W1350,W$4:W1350&lt;=I1250),1))*INDEX(T$4:T1350,MATCH(LARGE(FILTER(W$4:W1350,W$4:W1350&lt;=I1250),1),W$4:W1350))-K1250),1,
ROUNDDOWN(Y1250-INDEX(K$4:K1350,MATCH(LARGE(FILTER(I$4:I1350,I$4:I1350&lt;=W1250),1),I$4:I1350))-(W1250-L"&amp;"ARGE(FILTER(I$4:I1350,I$4:I1350&lt;=W1250),1))*INDEX(F$4:F1350,MATCH(LARGE(FILTER(I$4:I1350,I$4:I1350&lt;=W1250),1),I$4:I1350))))"),"")</f>
        <v/>
      </c>
      <c r="N1250" s="60" t="str">
        <f t="shared" si="8"/>
        <v/>
      </c>
      <c r="O1250" s="61" t="str">
        <f t="shared" si="9"/>
        <v/>
      </c>
      <c r="P1250" s="56" t="str">
        <f t="shared" si="10"/>
        <v/>
      </c>
      <c r="Q1250" s="62"/>
      <c r="R1250" s="10" t="str">
        <f>IFERROR(__xludf.DUMMYFUNCTION("IF(COUNTA(Q1250:Q1350)=0,"""",IF(ISBLANK(Q1250),FALSE,IF(NOT(COUNTIF($AA$24:$AA$34,SUBSTITUTE(Q1250,""Sell_"",""""))),1,IF(REGEXMATCH(Q1250,""Sell_""),IF(COUNTIF(Q$4:Q1250,SUBSTITUTE(Q1250,""Sell_"",""""))-COUNTIF(Q$4:Q1249,Q1250)&lt;1,1),FALSE))))"),"")</f>
        <v/>
      </c>
      <c r="S1250" s="59" t="str">
        <f t="array" ref="S1250">IF(COUNTA(Q1250:Q1350)=0,"",SUM((COUNTIF(Q$4:Q1250,Upgrades!$B$3:$B$13)-COUNTIF(Q$4:Q1250,"Sell_"&amp;Upgrades!$B$3:$B$13))*Upgrades!$D$3:$D$13))</f>
        <v/>
      </c>
      <c r="T1250" s="66" t="str">
        <f>IFERROR(__xludf.DUMMYFUNCTION("IF(COUNTA(Q1250:Q1350)=0,"""",IF(REGEXMATCH(INDEX(FILTER(Q$4:Q1250,Q$4:Q1250&lt;&gt;""""),ROWS(FILTER(Q$4:Q1250,Q$4:Q1250&lt;&gt;""""))),""^Sell_""),INDEX(FILTER(T$4:T1249,Q$4:Q1249&lt;&gt;""""),ROWS(FILTER(Q$4:Q1249,Q$4:Q1249&lt;&gt;""""))),$AD$5+S1250))"),"")</f>
        <v/>
      </c>
      <c r="U1250" s="10" t="str">
        <f>IFERROR(__xludf.DUMMYFUNCTION("IF(COUNTA(Q1250:Q1350)=0,"""",IF(Q1250="""",0,IF(REGEXMATCH(Q1250,""^Sell_""),-ROUNDDOWN(ROUNDUP(INDEX(Upgrades!$C$3:$C$13,MATCH(SUBSTITUTE(Q1250,""Sell_"",""""),Upgrades!$B$3:$B$13,0))*1.15^(COUNTIF(Q$4:Q1249,SUBSTITUTE(Q1250,""Sell_"",""""))-COUNTIF(Q$4"&amp;":Q1249,""Sell_""&amp;SUBSTITUTE(Q1250,""Sell_"",""""))))/2),ROUNDUP(INDEX(Upgrades!$C$3:$C$13,MATCH(Q1250,Upgrades!$B$3:$B$13,0))*1.15^(COUNTIF(Q$4:Q1249,Q1250)-COUNTIF(Q$4:Q1249,""Sell_""&amp;Q1250))))))"),"")</f>
        <v/>
      </c>
      <c r="V1250" s="10" t="str">
        <f t="shared" si="11"/>
        <v/>
      </c>
      <c r="W1250" s="68" t="str">
        <f t="shared" si="12"/>
        <v/>
      </c>
      <c r="X1250" s="59" t="str">
        <f t="shared" si="13"/>
        <v/>
      </c>
      <c r="Y1250" s="69" t="str">
        <f t="shared" si="14"/>
        <v/>
      </c>
      <c r="Z1250" s="11"/>
    </row>
    <row r="1251">
      <c r="A1251" s="8"/>
      <c r="B1251" s="56" t="str">
        <f t="shared" si="2"/>
        <v/>
      </c>
      <c r="C1251" s="57"/>
      <c r="D1251" s="10" t="str">
        <f>IFERROR(__xludf.DUMMYFUNCTION("IF(COUNTA(C1251:C1350)=0,"""",IF(ISBLANK(C1251),FALSE,IF(NOT(COUNTIF($AA$24:$AA$34,SUBSTITUTE(C1251,""Sell_"",""""))),1,IF(REGEXMATCH(C1251,""Sell_""),IF(COUNTIF(C$4:C1251,SUBSTITUTE(C1251,""Sell_"",""""))-COUNTIF(C$4:C1250,C1251)&lt;1,1),FALSE))))"),"")</f>
        <v/>
      </c>
      <c r="E1251" s="59" t="str">
        <f t="array" ref="E1251">IF(COUNTA(C1251:C1350)=0,"",SUM((COUNTIF(C$4:C1251,Upgrades!$B$3:$B$13)-COUNTIF(C$4:C1251,"Sell_"&amp;Upgrades!$B$3:$B$13))*Upgrades!$D$3:$D$13))</f>
        <v/>
      </c>
      <c r="F1251" s="66" t="str">
        <f>IFERROR(__xludf.DUMMYFUNCTION("IF(COUNTA(C1251:C1350)=0,"""",IF(REGEXMATCH(INDEX(FILTER(C$4:C1251,C$4:C1251&lt;&gt;""""),ROWS(FILTER(C$4:C1251,C$4:C1251&lt;&gt;""""))),""^Sell_""),INDEX(FILTER(F$4:F1250,C$4:C1250&lt;&gt;""""),ROWS(FILTER(C$4:C1250,C$4:C1250&lt;&gt;""""))),$AC$5+E1251))"),"")</f>
        <v/>
      </c>
      <c r="G1251" s="10" t="str">
        <f>IFERROR(__xludf.DUMMYFUNCTION("IF(COUNTA(C1251:C1350)=0,"""",IF(C1251="""",0,IF(REGEXMATCH(C1251,""^Sell_""),-ROUNDDOWN(ROUNDUP(INDEX(Upgrades!$C$3:$C$13,MATCH(SUBSTITUTE(C1251,""Sell_"",""""),Upgrades!$B$3:$B$13,0))*1.15^(COUNTIF(C$4:C1250,SUBSTITUTE(C1251,""Sell_"",""""))-COUNTIF(C$4"&amp;":C1250,""Sell_""&amp;SUBSTITUTE(C1251,""Sell_"",""""))))/2),ROUNDUP(INDEX(Upgrades!$C$3:$C$13,MATCH(C1251,Upgrades!$B$3:$B$13,0))*1.15^(COUNTIF(C$4:C1250,C1251)-COUNTIF(C$4:C1250,""Sell_""&amp;C1251))))))"),"")</f>
        <v/>
      </c>
      <c r="H1251" s="10" t="str">
        <f t="shared" si="3"/>
        <v/>
      </c>
      <c r="I1251" s="68" t="str">
        <f t="shared" si="4"/>
        <v/>
      </c>
      <c r="J1251" s="59" t="str">
        <f t="shared" si="5"/>
        <v/>
      </c>
      <c r="K1251" s="69" t="str">
        <f t="shared" si="6"/>
        <v/>
      </c>
      <c r="L1251" s="60" t="str">
        <f t="shared" si="7"/>
        <v/>
      </c>
      <c r="M1251" s="61" t="str">
        <f>IFERROR(__xludf.DUMMYFUNCTION("IFS(AND(COUNTA(C1251:C1350)=0,COUNTA(Q1251:Q1350)=0),"""",OR(AND(K1251&gt;=1000000000,OR(Y1251&gt;=1000000000,COUNTA(Q1251:Q1350)=0)),OR(Y1251&gt;=1000000000,AND(COUNTA(C1251:C1350)=0,P$3=TRUE))),
ROUNDDOWN((AB$1-AC$1)*MAX(INDEX(T$4:T1350,MATCH(LARGE(FILTER(Y$4:Y1"&amp;"350,Y$4:Y1350&lt;1000000000),1),Y$4:Y1350)),INDEX(F$4:F1350,MATCH(LARGE(FILTER(K$4:K1350,K$4:K1350&lt;1000000000),1),K$4:K1350)))),AND(K1251&lt;1000000000,COUNTA(C1251:C1350)&gt;0,P$3=FALSE),
ROUNDDOWN(INDEX(Y$4:Y1350,MATCH(LARGE(FILTER(W$4:W1350,W$4:W1350&lt;=I1251),1)"&amp;",W$4:W1350))+(I1251-LARGE(FILTER(W$4:W1350,W$4:W1350&lt;=I1251),1))*INDEX(T$4:T1350,MATCH(LARGE(FILTER(W$4:W1350,W$4:W1350&lt;=I1251),1),W$4:W1350))-K1251),1,
ROUNDDOWN(Y1251-INDEX(K$4:K1350,MATCH(LARGE(FILTER(I$4:I1350,I$4:I1350&lt;=W1251),1),I$4:I1350))-(W1251-L"&amp;"ARGE(FILTER(I$4:I1350,I$4:I1350&lt;=W1251),1))*INDEX(F$4:F1350,MATCH(LARGE(FILTER(I$4:I1350,I$4:I1350&lt;=W1251),1),I$4:I1350))))"),"")</f>
        <v/>
      </c>
      <c r="N1251" s="60" t="str">
        <f t="shared" si="8"/>
        <v/>
      </c>
      <c r="O1251" s="61" t="str">
        <f t="shared" si="9"/>
        <v/>
      </c>
      <c r="P1251" s="56" t="str">
        <f t="shared" si="10"/>
        <v/>
      </c>
      <c r="Q1251" s="62"/>
      <c r="R1251" s="10" t="str">
        <f>IFERROR(__xludf.DUMMYFUNCTION("IF(COUNTA(Q1251:Q1350)=0,"""",IF(ISBLANK(Q1251),FALSE,IF(NOT(COUNTIF($AA$24:$AA$34,SUBSTITUTE(Q1251,""Sell_"",""""))),1,IF(REGEXMATCH(Q1251,""Sell_""),IF(COUNTIF(Q$4:Q1251,SUBSTITUTE(Q1251,""Sell_"",""""))-COUNTIF(Q$4:Q1250,Q1251)&lt;1,1),FALSE))))"),"")</f>
        <v/>
      </c>
      <c r="S1251" s="59" t="str">
        <f t="array" ref="S1251">IF(COUNTA(Q1251:Q1350)=0,"",SUM((COUNTIF(Q$4:Q1251,Upgrades!$B$3:$B$13)-COUNTIF(Q$4:Q1251,"Sell_"&amp;Upgrades!$B$3:$B$13))*Upgrades!$D$3:$D$13))</f>
        <v/>
      </c>
      <c r="T1251" s="66" t="str">
        <f>IFERROR(__xludf.DUMMYFUNCTION("IF(COUNTA(Q1251:Q1350)=0,"""",IF(REGEXMATCH(INDEX(FILTER(Q$4:Q1251,Q$4:Q1251&lt;&gt;""""),ROWS(FILTER(Q$4:Q1251,Q$4:Q1251&lt;&gt;""""))),""^Sell_""),INDEX(FILTER(T$4:T1250,Q$4:Q1250&lt;&gt;""""),ROWS(FILTER(Q$4:Q1250,Q$4:Q1250&lt;&gt;""""))),$AD$5+S1251))"),"")</f>
        <v/>
      </c>
      <c r="U1251" s="10" t="str">
        <f>IFERROR(__xludf.DUMMYFUNCTION("IF(COUNTA(Q1251:Q1350)=0,"""",IF(Q1251="""",0,IF(REGEXMATCH(Q1251,""^Sell_""),-ROUNDDOWN(ROUNDUP(INDEX(Upgrades!$C$3:$C$13,MATCH(SUBSTITUTE(Q1251,""Sell_"",""""),Upgrades!$B$3:$B$13,0))*1.15^(COUNTIF(Q$4:Q1250,SUBSTITUTE(Q1251,""Sell_"",""""))-COUNTIF(Q$4"&amp;":Q1250,""Sell_""&amp;SUBSTITUTE(Q1251,""Sell_"",""""))))/2),ROUNDUP(INDEX(Upgrades!$C$3:$C$13,MATCH(Q1251,Upgrades!$B$3:$B$13,0))*1.15^(COUNTIF(Q$4:Q1250,Q1251)-COUNTIF(Q$4:Q1250,""Sell_""&amp;Q1251))))))"),"")</f>
        <v/>
      </c>
      <c r="V1251" s="10" t="str">
        <f t="shared" si="11"/>
        <v/>
      </c>
      <c r="W1251" s="68" t="str">
        <f t="shared" si="12"/>
        <v/>
      </c>
      <c r="X1251" s="59" t="str">
        <f t="shared" si="13"/>
        <v/>
      </c>
      <c r="Y1251" s="69" t="str">
        <f t="shared" si="14"/>
        <v/>
      </c>
      <c r="Z1251" s="11"/>
    </row>
    <row r="1252">
      <c r="A1252" s="8"/>
      <c r="B1252" s="56" t="str">
        <f t="shared" si="2"/>
        <v/>
      </c>
      <c r="C1252" s="57"/>
      <c r="D1252" s="10" t="str">
        <f>IFERROR(__xludf.DUMMYFUNCTION("IF(COUNTA(C1252:C1350)=0,"""",IF(ISBLANK(C1252),FALSE,IF(NOT(COUNTIF($AA$24:$AA$34,SUBSTITUTE(C1252,""Sell_"",""""))),1,IF(REGEXMATCH(C1252,""Sell_""),IF(COUNTIF(C$4:C1252,SUBSTITUTE(C1252,""Sell_"",""""))-COUNTIF(C$4:C1251,C1252)&lt;1,1),FALSE))))"),"")</f>
        <v/>
      </c>
      <c r="E1252" s="59" t="str">
        <f t="array" ref="E1252">IF(COUNTA(C1252:C1350)=0,"",SUM((COUNTIF(C$4:C1252,Upgrades!$B$3:$B$13)-COUNTIF(C$4:C1252,"Sell_"&amp;Upgrades!$B$3:$B$13))*Upgrades!$D$3:$D$13))</f>
        <v/>
      </c>
      <c r="F1252" s="66" t="str">
        <f>IFERROR(__xludf.DUMMYFUNCTION("IF(COUNTA(C1252:C1350)=0,"""",IF(REGEXMATCH(INDEX(FILTER(C$4:C1252,C$4:C1252&lt;&gt;""""),ROWS(FILTER(C$4:C1252,C$4:C1252&lt;&gt;""""))),""^Sell_""),INDEX(FILTER(F$4:F1251,C$4:C1251&lt;&gt;""""),ROWS(FILTER(C$4:C1251,C$4:C1251&lt;&gt;""""))),$AC$5+E1252))"),"")</f>
        <v/>
      </c>
      <c r="G1252" s="10" t="str">
        <f>IFERROR(__xludf.DUMMYFUNCTION("IF(COUNTA(C1252:C1350)=0,"""",IF(C1252="""",0,IF(REGEXMATCH(C1252,""^Sell_""),-ROUNDDOWN(ROUNDUP(INDEX(Upgrades!$C$3:$C$13,MATCH(SUBSTITUTE(C1252,""Sell_"",""""),Upgrades!$B$3:$B$13,0))*1.15^(COUNTIF(C$4:C1251,SUBSTITUTE(C1252,""Sell_"",""""))-COUNTIF(C$4"&amp;":C1251,""Sell_""&amp;SUBSTITUTE(C1252,""Sell_"",""""))))/2),ROUNDUP(INDEX(Upgrades!$C$3:$C$13,MATCH(C1252,Upgrades!$B$3:$B$13,0))*1.15^(COUNTIF(C$4:C1251,C1252)-COUNTIF(C$4:C1251,""Sell_""&amp;C1252))))))"),"")</f>
        <v/>
      </c>
      <c r="H1252" s="10" t="str">
        <f t="shared" si="3"/>
        <v/>
      </c>
      <c r="I1252" s="68" t="str">
        <f t="shared" si="4"/>
        <v/>
      </c>
      <c r="J1252" s="59" t="str">
        <f t="shared" si="5"/>
        <v/>
      </c>
      <c r="K1252" s="69" t="str">
        <f t="shared" si="6"/>
        <v/>
      </c>
      <c r="L1252" s="60" t="str">
        <f t="shared" si="7"/>
        <v/>
      </c>
      <c r="M1252" s="61" t="str">
        <f>IFERROR(__xludf.DUMMYFUNCTION("IFS(AND(COUNTA(C1252:C1350)=0,COUNTA(Q1252:Q1350)=0),"""",OR(AND(K1252&gt;=1000000000,OR(Y1252&gt;=1000000000,COUNTA(Q1252:Q1350)=0)),OR(Y1252&gt;=1000000000,AND(COUNTA(C1252:C1350)=0,P$3=TRUE))),
ROUNDDOWN((AB$1-AC$1)*MAX(INDEX(T$4:T1350,MATCH(LARGE(FILTER(Y$4:Y1"&amp;"350,Y$4:Y1350&lt;1000000000),1),Y$4:Y1350)),INDEX(F$4:F1350,MATCH(LARGE(FILTER(K$4:K1350,K$4:K1350&lt;1000000000),1),K$4:K1350)))),AND(K1252&lt;1000000000,COUNTA(C1252:C1350)&gt;0,P$3=FALSE),
ROUNDDOWN(INDEX(Y$4:Y1350,MATCH(LARGE(FILTER(W$4:W1350,W$4:W1350&lt;=I1252),1)"&amp;",W$4:W1350))+(I1252-LARGE(FILTER(W$4:W1350,W$4:W1350&lt;=I1252),1))*INDEX(T$4:T1350,MATCH(LARGE(FILTER(W$4:W1350,W$4:W1350&lt;=I1252),1),W$4:W1350))-K1252),1,
ROUNDDOWN(Y1252-INDEX(K$4:K1350,MATCH(LARGE(FILTER(I$4:I1350,I$4:I1350&lt;=W1252),1),I$4:I1350))-(W1252-L"&amp;"ARGE(FILTER(I$4:I1350,I$4:I1350&lt;=W1252),1))*INDEX(F$4:F1350,MATCH(LARGE(FILTER(I$4:I1350,I$4:I1350&lt;=W1252),1),I$4:I1350))))"),"")</f>
        <v/>
      </c>
      <c r="N1252" s="60" t="str">
        <f t="shared" si="8"/>
        <v/>
      </c>
      <c r="O1252" s="61" t="str">
        <f t="shared" si="9"/>
        <v/>
      </c>
      <c r="P1252" s="56" t="str">
        <f t="shared" si="10"/>
        <v/>
      </c>
      <c r="Q1252" s="62"/>
      <c r="R1252" s="10" t="str">
        <f>IFERROR(__xludf.DUMMYFUNCTION("IF(COUNTA(Q1252:Q1350)=0,"""",IF(ISBLANK(Q1252),FALSE,IF(NOT(COUNTIF($AA$24:$AA$34,SUBSTITUTE(Q1252,""Sell_"",""""))),1,IF(REGEXMATCH(Q1252,""Sell_""),IF(COUNTIF(Q$4:Q1252,SUBSTITUTE(Q1252,""Sell_"",""""))-COUNTIF(Q$4:Q1251,Q1252)&lt;1,1),FALSE))))"),"")</f>
        <v/>
      </c>
      <c r="S1252" s="59" t="str">
        <f t="array" ref="S1252">IF(COUNTA(Q1252:Q1350)=0,"",SUM((COUNTIF(Q$4:Q1252,Upgrades!$B$3:$B$13)-COUNTIF(Q$4:Q1252,"Sell_"&amp;Upgrades!$B$3:$B$13))*Upgrades!$D$3:$D$13))</f>
        <v/>
      </c>
      <c r="T1252" s="66" t="str">
        <f>IFERROR(__xludf.DUMMYFUNCTION("IF(COUNTA(Q1252:Q1350)=0,"""",IF(REGEXMATCH(INDEX(FILTER(Q$4:Q1252,Q$4:Q1252&lt;&gt;""""),ROWS(FILTER(Q$4:Q1252,Q$4:Q1252&lt;&gt;""""))),""^Sell_""),INDEX(FILTER(T$4:T1251,Q$4:Q1251&lt;&gt;""""),ROWS(FILTER(Q$4:Q1251,Q$4:Q1251&lt;&gt;""""))),$AD$5+S1252))"),"")</f>
        <v/>
      </c>
      <c r="U1252" s="10" t="str">
        <f>IFERROR(__xludf.DUMMYFUNCTION("IF(COUNTA(Q1252:Q1350)=0,"""",IF(Q1252="""",0,IF(REGEXMATCH(Q1252,""^Sell_""),-ROUNDDOWN(ROUNDUP(INDEX(Upgrades!$C$3:$C$13,MATCH(SUBSTITUTE(Q1252,""Sell_"",""""),Upgrades!$B$3:$B$13,0))*1.15^(COUNTIF(Q$4:Q1251,SUBSTITUTE(Q1252,""Sell_"",""""))-COUNTIF(Q$4"&amp;":Q1251,""Sell_""&amp;SUBSTITUTE(Q1252,""Sell_"",""""))))/2),ROUNDUP(INDEX(Upgrades!$C$3:$C$13,MATCH(Q1252,Upgrades!$B$3:$B$13,0))*1.15^(COUNTIF(Q$4:Q1251,Q1252)-COUNTIF(Q$4:Q1251,""Sell_""&amp;Q1252))))))"),"")</f>
        <v/>
      </c>
      <c r="V1252" s="10" t="str">
        <f t="shared" si="11"/>
        <v/>
      </c>
      <c r="W1252" s="68" t="str">
        <f t="shared" si="12"/>
        <v/>
      </c>
      <c r="X1252" s="59" t="str">
        <f t="shared" si="13"/>
        <v/>
      </c>
      <c r="Y1252" s="69" t="str">
        <f t="shared" si="14"/>
        <v/>
      </c>
      <c r="Z1252" s="11"/>
    </row>
    <row r="1253">
      <c r="A1253" s="8"/>
      <c r="B1253" s="56" t="str">
        <f t="shared" si="2"/>
        <v/>
      </c>
      <c r="C1253" s="57"/>
      <c r="D1253" s="10" t="str">
        <f>IFERROR(__xludf.DUMMYFUNCTION("IF(COUNTA(C1253:C1350)=0,"""",IF(ISBLANK(C1253),FALSE,IF(NOT(COUNTIF($AA$24:$AA$34,SUBSTITUTE(C1253,""Sell_"",""""))),1,IF(REGEXMATCH(C1253,""Sell_""),IF(COUNTIF(C$4:C1253,SUBSTITUTE(C1253,""Sell_"",""""))-COUNTIF(C$4:C1252,C1253)&lt;1,1),FALSE))))"),"")</f>
        <v/>
      </c>
      <c r="E1253" s="59" t="str">
        <f t="array" ref="E1253">IF(COUNTA(C1253:C1350)=0,"",SUM((COUNTIF(C$4:C1253,Upgrades!$B$3:$B$13)-COUNTIF(C$4:C1253,"Sell_"&amp;Upgrades!$B$3:$B$13))*Upgrades!$D$3:$D$13))</f>
        <v/>
      </c>
      <c r="F1253" s="66" t="str">
        <f>IFERROR(__xludf.DUMMYFUNCTION("IF(COUNTA(C1253:C1350)=0,"""",IF(REGEXMATCH(INDEX(FILTER(C$4:C1253,C$4:C1253&lt;&gt;""""),ROWS(FILTER(C$4:C1253,C$4:C1253&lt;&gt;""""))),""^Sell_""),INDEX(FILTER(F$4:F1252,C$4:C1252&lt;&gt;""""),ROWS(FILTER(C$4:C1252,C$4:C1252&lt;&gt;""""))),$AC$5+E1253))"),"")</f>
        <v/>
      </c>
      <c r="G1253" s="10" t="str">
        <f>IFERROR(__xludf.DUMMYFUNCTION("IF(COUNTA(C1253:C1350)=0,"""",IF(C1253="""",0,IF(REGEXMATCH(C1253,""^Sell_""),-ROUNDDOWN(ROUNDUP(INDEX(Upgrades!$C$3:$C$13,MATCH(SUBSTITUTE(C1253,""Sell_"",""""),Upgrades!$B$3:$B$13,0))*1.15^(COUNTIF(C$4:C1252,SUBSTITUTE(C1253,""Sell_"",""""))-COUNTIF(C$4"&amp;":C1252,""Sell_""&amp;SUBSTITUTE(C1253,""Sell_"",""""))))/2),ROUNDUP(INDEX(Upgrades!$C$3:$C$13,MATCH(C1253,Upgrades!$B$3:$B$13,0))*1.15^(COUNTIF(C$4:C1252,C1253)-COUNTIF(C$4:C1252,""Sell_""&amp;C1253))))))"),"")</f>
        <v/>
      </c>
      <c r="H1253" s="10" t="str">
        <f t="shared" si="3"/>
        <v/>
      </c>
      <c r="I1253" s="68" t="str">
        <f t="shared" si="4"/>
        <v/>
      </c>
      <c r="J1253" s="59" t="str">
        <f t="shared" si="5"/>
        <v/>
      </c>
      <c r="K1253" s="69" t="str">
        <f t="shared" si="6"/>
        <v/>
      </c>
      <c r="L1253" s="60" t="str">
        <f t="shared" si="7"/>
        <v/>
      </c>
      <c r="M1253" s="61" t="str">
        <f>IFERROR(__xludf.DUMMYFUNCTION("IFS(AND(COUNTA(C1253:C1350)=0,COUNTA(Q1253:Q1350)=0),"""",OR(AND(K1253&gt;=1000000000,OR(Y1253&gt;=1000000000,COUNTA(Q1253:Q1350)=0)),OR(Y1253&gt;=1000000000,AND(COUNTA(C1253:C1350)=0,P$3=TRUE))),
ROUNDDOWN((AB$1-AC$1)*MAX(INDEX(T$4:T1350,MATCH(LARGE(FILTER(Y$4:Y1"&amp;"350,Y$4:Y1350&lt;1000000000),1),Y$4:Y1350)),INDEX(F$4:F1350,MATCH(LARGE(FILTER(K$4:K1350,K$4:K1350&lt;1000000000),1),K$4:K1350)))),AND(K1253&lt;1000000000,COUNTA(C1253:C1350)&gt;0,P$3=FALSE),
ROUNDDOWN(INDEX(Y$4:Y1350,MATCH(LARGE(FILTER(W$4:W1350,W$4:W1350&lt;=I1253),1)"&amp;",W$4:W1350))+(I1253-LARGE(FILTER(W$4:W1350,W$4:W1350&lt;=I1253),1))*INDEX(T$4:T1350,MATCH(LARGE(FILTER(W$4:W1350,W$4:W1350&lt;=I1253),1),W$4:W1350))-K1253),1,
ROUNDDOWN(Y1253-INDEX(K$4:K1350,MATCH(LARGE(FILTER(I$4:I1350,I$4:I1350&lt;=W1253),1),I$4:I1350))-(W1253-L"&amp;"ARGE(FILTER(I$4:I1350,I$4:I1350&lt;=W1253),1))*INDEX(F$4:F1350,MATCH(LARGE(FILTER(I$4:I1350,I$4:I1350&lt;=W1253),1),I$4:I1350))))"),"")</f>
        <v/>
      </c>
      <c r="N1253" s="60" t="str">
        <f t="shared" si="8"/>
        <v/>
      </c>
      <c r="O1253" s="61" t="str">
        <f t="shared" si="9"/>
        <v/>
      </c>
      <c r="P1253" s="56" t="str">
        <f t="shared" si="10"/>
        <v/>
      </c>
      <c r="Q1253" s="62"/>
      <c r="R1253" s="10" t="str">
        <f>IFERROR(__xludf.DUMMYFUNCTION("IF(COUNTA(Q1253:Q1350)=0,"""",IF(ISBLANK(Q1253),FALSE,IF(NOT(COUNTIF($AA$24:$AA$34,SUBSTITUTE(Q1253,""Sell_"",""""))),1,IF(REGEXMATCH(Q1253,""Sell_""),IF(COUNTIF(Q$4:Q1253,SUBSTITUTE(Q1253,""Sell_"",""""))-COUNTIF(Q$4:Q1252,Q1253)&lt;1,1),FALSE))))"),"")</f>
        <v/>
      </c>
      <c r="S1253" s="59" t="str">
        <f t="array" ref="S1253">IF(COUNTA(Q1253:Q1350)=0,"",SUM((COUNTIF(Q$4:Q1253,Upgrades!$B$3:$B$13)-COUNTIF(Q$4:Q1253,"Sell_"&amp;Upgrades!$B$3:$B$13))*Upgrades!$D$3:$D$13))</f>
        <v/>
      </c>
      <c r="T1253" s="66" t="str">
        <f>IFERROR(__xludf.DUMMYFUNCTION("IF(COUNTA(Q1253:Q1350)=0,"""",IF(REGEXMATCH(INDEX(FILTER(Q$4:Q1253,Q$4:Q1253&lt;&gt;""""),ROWS(FILTER(Q$4:Q1253,Q$4:Q1253&lt;&gt;""""))),""^Sell_""),INDEX(FILTER(T$4:T1252,Q$4:Q1252&lt;&gt;""""),ROWS(FILTER(Q$4:Q1252,Q$4:Q1252&lt;&gt;""""))),$AD$5+S1253))"),"")</f>
        <v/>
      </c>
      <c r="U1253" s="10" t="str">
        <f>IFERROR(__xludf.DUMMYFUNCTION("IF(COUNTA(Q1253:Q1350)=0,"""",IF(Q1253="""",0,IF(REGEXMATCH(Q1253,""^Sell_""),-ROUNDDOWN(ROUNDUP(INDEX(Upgrades!$C$3:$C$13,MATCH(SUBSTITUTE(Q1253,""Sell_"",""""),Upgrades!$B$3:$B$13,0))*1.15^(COUNTIF(Q$4:Q1252,SUBSTITUTE(Q1253,""Sell_"",""""))-COUNTIF(Q$4"&amp;":Q1252,""Sell_""&amp;SUBSTITUTE(Q1253,""Sell_"",""""))))/2),ROUNDUP(INDEX(Upgrades!$C$3:$C$13,MATCH(Q1253,Upgrades!$B$3:$B$13,0))*1.15^(COUNTIF(Q$4:Q1252,Q1253)-COUNTIF(Q$4:Q1252,""Sell_""&amp;Q1253))))))"),"")</f>
        <v/>
      </c>
      <c r="V1253" s="10" t="str">
        <f t="shared" si="11"/>
        <v/>
      </c>
      <c r="W1253" s="68" t="str">
        <f t="shared" si="12"/>
        <v/>
      </c>
      <c r="X1253" s="59" t="str">
        <f t="shared" si="13"/>
        <v/>
      </c>
      <c r="Y1253" s="69" t="str">
        <f t="shared" si="14"/>
        <v/>
      </c>
      <c r="Z1253" s="11"/>
    </row>
    <row r="1254">
      <c r="A1254" s="8"/>
      <c r="B1254" s="56" t="str">
        <f t="shared" si="2"/>
        <v/>
      </c>
      <c r="C1254" s="57"/>
      <c r="D1254" s="10" t="str">
        <f>IFERROR(__xludf.DUMMYFUNCTION("IF(COUNTA(C1254:C1350)=0,"""",IF(ISBLANK(C1254),FALSE,IF(NOT(COUNTIF($AA$24:$AA$34,SUBSTITUTE(C1254,""Sell_"",""""))),1,IF(REGEXMATCH(C1254,""Sell_""),IF(COUNTIF(C$4:C1254,SUBSTITUTE(C1254,""Sell_"",""""))-COUNTIF(C$4:C1253,C1254)&lt;1,1),FALSE))))"),"")</f>
        <v/>
      </c>
      <c r="E1254" s="59" t="str">
        <f t="array" ref="E1254">IF(COUNTA(C1254:C1350)=0,"",SUM((COUNTIF(C$4:C1254,Upgrades!$B$3:$B$13)-COUNTIF(C$4:C1254,"Sell_"&amp;Upgrades!$B$3:$B$13))*Upgrades!$D$3:$D$13))</f>
        <v/>
      </c>
      <c r="F1254" s="66" t="str">
        <f>IFERROR(__xludf.DUMMYFUNCTION("IF(COUNTA(C1254:C1350)=0,"""",IF(REGEXMATCH(INDEX(FILTER(C$4:C1254,C$4:C1254&lt;&gt;""""),ROWS(FILTER(C$4:C1254,C$4:C1254&lt;&gt;""""))),""^Sell_""),INDEX(FILTER(F$4:F1253,C$4:C1253&lt;&gt;""""),ROWS(FILTER(C$4:C1253,C$4:C1253&lt;&gt;""""))),$AC$5+E1254))"),"")</f>
        <v/>
      </c>
      <c r="G1254" s="10" t="str">
        <f>IFERROR(__xludf.DUMMYFUNCTION("IF(COUNTA(C1254:C1350)=0,"""",IF(C1254="""",0,IF(REGEXMATCH(C1254,""^Sell_""),-ROUNDDOWN(ROUNDUP(INDEX(Upgrades!$C$3:$C$13,MATCH(SUBSTITUTE(C1254,""Sell_"",""""),Upgrades!$B$3:$B$13,0))*1.15^(COUNTIF(C$4:C1253,SUBSTITUTE(C1254,""Sell_"",""""))-COUNTIF(C$4"&amp;":C1253,""Sell_""&amp;SUBSTITUTE(C1254,""Sell_"",""""))))/2),ROUNDUP(INDEX(Upgrades!$C$3:$C$13,MATCH(C1254,Upgrades!$B$3:$B$13,0))*1.15^(COUNTIF(C$4:C1253,C1254)-COUNTIF(C$4:C1253,""Sell_""&amp;C1254))))))"),"")</f>
        <v/>
      </c>
      <c r="H1254" s="10" t="str">
        <f t="shared" si="3"/>
        <v/>
      </c>
      <c r="I1254" s="68" t="str">
        <f t="shared" si="4"/>
        <v/>
      </c>
      <c r="J1254" s="59" t="str">
        <f t="shared" si="5"/>
        <v/>
      </c>
      <c r="K1254" s="69" t="str">
        <f t="shared" si="6"/>
        <v/>
      </c>
      <c r="L1254" s="60" t="str">
        <f t="shared" si="7"/>
        <v/>
      </c>
      <c r="M1254" s="61" t="str">
        <f>IFERROR(__xludf.DUMMYFUNCTION("IFS(AND(COUNTA(C1254:C1350)=0,COUNTA(Q1254:Q1350)=0),"""",OR(AND(K1254&gt;=1000000000,OR(Y1254&gt;=1000000000,COUNTA(Q1254:Q1350)=0)),OR(Y1254&gt;=1000000000,AND(COUNTA(C1254:C1350)=0,P$3=TRUE))),
ROUNDDOWN((AB$1-AC$1)*MAX(INDEX(T$4:T1350,MATCH(LARGE(FILTER(Y$4:Y1"&amp;"350,Y$4:Y1350&lt;1000000000),1),Y$4:Y1350)),INDEX(F$4:F1350,MATCH(LARGE(FILTER(K$4:K1350,K$4:K1350&lt;1000000000),1),K$4:K1350)))),AND(K1254&lt;1000000000,COUNTA(C1254:C1350)&gt;0,P$3=FALSE),
ROUNDDOWN(INDEX(Y$4:Y1350,MATCH(LARGE(FILTER(W$4:W1350,W$4:W1350&lt;=I1254),1)"&amp;",W$4:W1350))+(I1254-LARGE(FILTER(W$4:W1350,W$4:W1350&lt;=I1254),1))*INDEX(T$4:T1350,MATCH(LARGE(FILTER(W$4:W1350,W$4:W1350&lt;=I1254),1),W$4:W1350))-K1254),1,
ROUNDDOWN(Y1254-INDEX(K$4:K1350,MATCH(LARGE(FILTER(I$4:I1350,I$4:I1350&lt;=W1254),1),I$4:I1350))-(W1254-L"&amp;"ARGE(FILTER(I$4:I1350,I$4:I1350&lt;=W1254),1))*INDEX(F$4:F1350,MATCH(LARGE(FILTER(I$4:I1350,I$4:I1350&lt;=W1254),1),I$4:I1350))))"),"")</f>
        <v/>
      </c>
      <c r="N1254" s="60" t="str">
        <f t="shared" si="8"/>
        <v/>
      </c>
      <c r="O1254" s="61" t="str">
        <f t="shared" si="9"/>
        <v/>
      </c>
      <c r="P1254" s="56" t="str">
        <f t="shared" si="10"/>
        <v/>
      </c>
      <c r="Q1254" s="62"/>
      <c r="R1254" s="10" t="str">
        <f>IFERROR(__xludf.DUMMYFUNCTION("IF(COUNTA(Q1254:Q1350)=0,"""",IF(ISBLANK(Q1254),FALSE,IF(NOT(COUNTIF($AA$24:$AA$34,SUBSTITUTE(Q1254,""Sell_"",""""))),1,IF(REGEXMATCH(Q1254,""Sell_""),IF(COUNTIF(Q$4:Q1254,SUBSTITUTE(Q1254,""Sell_"",""""))-COUNTIF(Q$4:Q1253,Q1254)&lt;1,1),FALSE))))"),"")</f>
        <v/>
      </c>
      <c r="S1254" s="59" t="str">
        <f t="array" ref="S1254">IF(COUNTA(Q1254:Q1350)=0,"",SUM((COUNTIF(Q$4:Q1254,Upgrades!$B$3:$B$13)-COUNTIF(Q$4:Q1254,"Sell_"&amp;Upgrades!$B$3:$B$13))*Upgrades!$D$3:$D$13))</f>
        <v/>
      </c>
      <c r="T1254" s="66" t="str">
        <f>IFERROR(__xludf.DUMMYFUNCTION("IF(COUNTA(Q1254:Q1350)=0,"""",IF(REGEXMATCH(INDEX(FILTER(Q$4:Q1254,Q$4:Q1254&lt;&gt;""""),ROWS(FILTER(Q$4:Q1254,Q$4:Q1254&lt;&gt;""""))),""^Sell_""),INDEX(FILTER(T$4:T1253,Q$4:Q1253&lt;&gt;""""),ROWS(FILTER(Q$4:Q1253,Q$4:Q1253&lt;&gt;""""))),$AD$5+S1254))"),"")</f>
        <v/>
      </c>
      <c r="U1254" s="10" t="str">
        <f>IFERROR(__xludf.DUMMYFUNCTION("IF(COUNTA(Q1254:Q1350)=0,"""",IF(Q1254="""",0,IF(REGEXMATCH(Q1254,""^Sell_""),-ROUNDDOWN(ROUNDUP(INDEX(Upgrades!$C$3:$C$13,MATCH(SUBSTITUTE(Q1254,""Sell_"",""""),Upgrades!$B$3:$B$13,0))*1.15^(COUNTIF(Q$4:Q1253,SUBSTITUTE(Q1254,""Sell_"",""""))-COUNTIF(Q$4"&amp;":Q1253,""Sell_""&amp;SUBSTITUTE(Q1254,""Sell_"",""""))))/2),ROUNDUP(INDEX(Upgrades!$C$3:$C$13,MATCH(Q1254,Upgrades!$B$3:$B$13,0))*1.15^(COUNTIF(Q$4:Q1253,Q1254)-COUNTIF(Q$4:Q1253,""Sell_""&amp;Q1254))))))"),"")</f>
        <v/>
      </c>
      <c r="V1254" s="10" t="str">
        <f t="shared" si="11"/>
        <v/>
      </c>
      <c r="W1254" s="68" t="str">
        <f t="shared" si="12"/>
        <v/>
      </c>
      <c r="X1254" s="59" t="str">
        <f t="shared" si="13"/>
        <v/>
      </c>
      <c r="Y1254" s="69" t="str">
        <f t="shared" si="14"/>
        <v/>
      </c>
      <c r="Z1254" s="11"/>
    </row>
    <row r="1255">
      <c r="A1255" s="8"/>
      <c r="B1255" s="56" t="str">
        <f t="shared" si="2"/>
        <v/>
      </c>
      <c r="C1255" s="57"/>
      <c r="D1255" s="10" t="str">
        <f>IFERROR(__xludf.DUMMYFUNCTION("IF(COUNTA(C1255:C1350)=0,"""",IF(ISBLANK(C1255),FALSE,IF(NOT(COUNTIF($AA$24:$AA$34,SUBSTITUTE(C1255,""Sell_"",""""))),1,IF(REGEXMATCH(C1255,""Sell_""),IF(COUNTIF(C$4:C1255,SUBSTITUTE(C1255,""Sell_"",""""))-COUNTIF(C$4:C1254,C1255)&lt;1,1),FALSE))))"),"")</f>
        <v/>
      </c>
      <c r="E1255" s="59" t="str">
        <f t="array" ref="E1255">IF(COUNTA(C1255:C1350)=0,"",SUM((COUNTIF(C$4:C1255,Upgrades!$B$3:$B$13)-COUNTIF(C$4:C1255,"Sell_"&amp;Upgrades!$B$3:$B$13))*Upgrades!$D$3:$D$13))</f>
        <v/>
      </c>
      <c r="F1255" s="66" t="str">
        <f>IFERROR(__xludf.DUMMYFUNCTION("IF(COUNTA(C1255:C1350)=0,"""",IF(REGEXMATCH(INDEX(FILTER(C$4:C1255,C$4:C1255&lt;&gt;""""),ROWS(FILTER(C$4:C1255,C$4:C1255&lt;&gt;""""))),""^Sell_""),INDEX(FILTER(F$4:F1254,C$4:C1254&lt;&gt;""""),ROWS(FILTER(C$4:C1254,C$4:C1254&lt;&gt;""""))),$AC$5+E1255))"),"")</f>
        <v/>
      </c>
      <c r="G1255" s="10" t="str">
        <f>IFERROR(__xludf.DUMMYFUNCTION("IF(COUNTA(C1255:C1350)=0,"""",IF(C1255="""",0,IF(REGEXMATCH(C1255,""^Sell_""),-ROUNDDOWN(ROUNDUP(INDEX(Upgrades!$C$3:$C$13,MATCH(SUBSTITUTE(C1255,""Sell_"",""""),Upgrades!$B$3:$B$13,0))*1.15^(COUNTIF(C$4:C1254,SUBSTITUTE(C1255,""Sell_"",""""))-COUNTIF(C$4"&amp;":C1254,""Sell_""&amp;SUBSTITUTE(C1255,""Sell_"",""""))))/2),ROUNDUP(INDEX(Upgrades!$C$3:$C$13,MATCH(C1255,Upgrades!$B$3:$B$13,0))*1.15^(COUNTIF(C$4:C1254,C1255)-COUNTIF(C$4:C1254,""Sell_""&amp;C1255))))))"),"")</f>
        <v/>
      </c>
      <c r="H1255" s="10" t="str">
        <f t="shared" si="3"/>
        <v/>
      </c>
      <c r="I1255" s="68" t="str">
        <f t="shared" si="4"/>
        <v/>
      </c>
      <c r="J1255" s="59" t="str">
        <f t="shared" si="5"/>
        <v/>
      </c>
      <c r="K1255" s="69" t="str">
        <f t="shared" si="6"/>
        <v/>
      </c>
      <c r="L1255" s="60" t="str">
        <f t="shared" si="7"/>
        <v/>
      </c>
      <c r="M1255" s="61" t="str">
        <f>IFERROR(__xludf.DUMMYFUNCTION("IFS(AND(COUNTA(C1255:C1350)=0,COUNTA(Q1255:Q1350)=0),"""",OR(AND(K1255&gt;=1000000000,OR(Y1255&gt;=1000000000,COUNTA(Q1255:Q1350)=0)),OR(Y1255&gt;=1000000000,AND(COUNTA(C1255:C1350)=0,P$3=TRUE))),
ROUNDDOWN((AB$1-AC$1)*MAX(INDEX(T$4:T1350,MATCH(LARGE(FILTER(Y$4:Y1"&amp;"350,Y$4:Y1350&lt;1000000000),1),Y$4:Y1350)),INDEX(F$4:F1350,MATCH(LARGE(FILTER(K$4:K1350,K$4:K1350&lt;1000000000),1),K$4:K1350)))),AND(K1255&lt;1000000000,COUNTA(C1255:C1350)&gt;0,P$3=FALSE),
ROUNDDOWN(INDEX(Y$4:Y1350,MATCH(LARGE(FILTER(W$4:W1350,W$4:W1350&lt;=I1255),1)"&amp;",W$4:W1350))+(I1255-LARGE(FILTER(W$4:W1350,W$4:W1350&lt;=I1255),1))*INDEX(T$4:T1350,MATCH(LARGE(FILTER(W$4:W1350,W$4:W1350&lt;=I1255),1),W$4:W1350))-K1255),1,
ROUNDDOWN(Y1255-INDEX(K$4:K1350,MATCH(LARGE(FILTER(I$4:I1350,I$4:I1350&lt;=W1255),1),I$4:I1350))-(W1255-L"&amp;"ARGE(FILTER(I$4:I1350,I$4:I1350&lt;=W1255),1))*INDEX(F$4:F1350,MATCH(LARGE(FILTER(I$4:I1350,I$4:I1350&lt;=W1255),1),I$4:I1350))))"),"")</f>
        <v/>
      </c>
      <c r="N1255" s="60" t="str">
        <f t="shared" si="8"/>
        <v/>
      </c>
      <c r="O1255" s="61" t="str">
        <f t="shared" si="9"/>
        <v/>
      </c>
      <c r="P1255" s="56" t="str">
        <f t="shared" si="10"/>
        <v/>
      </c>
      <c r="Q1255" s="62"/>
      <c r="R1255" s="10" t="str">
        <f>IFERROR(__xludf.DUMMYFUNCTION("IF(COUNTA(Q1255:Q1350)=0,"""",IF(ISBLANK(Q1255),FALSE,IF(NOT(COUNTIF($AA$24:$AA$34,SUBSTITUTE(Q1255,""Sell_"",""""))),1,IF(REGEXMATCH(Q1255,""Sell_""),IF(COUNTIF(Q$4:Q1255,SUBSTITUTE(Q1255,""Sell_"",""""))-COUNTIF(Q$4:Q1254,Q1255)&lt;1,1),FALSE))))"),"")</f>
        <v/>
      </c>
      <c r="S1255" s="59" t="str">
        <f t="array" ref="S1255">IF(COUNTA(Q1255:Q1350)=0,"",SUM((COUNTIF(Q$4:Q1255,Upgrades!$B$3:$B$13)-COUNTIF(Q$4:Q1255,"Sell_"&amp;Upgrades!$B$3:$B$13))*Upgrades!$D$3:$D$13))</f>
        <v/>
      </c>
      <c r="T1255" s="66" t="str">
        <f>IFERROR(__xludf.DUMMYFUNCTION("IF(COUNTA(Q1255:Q1350)=0,"""",IF(REGEXMATCH(INDEX(FILTER(Q$4:Q1255,Q$4:Q1255&lt;&gt;""""),ROWS(FILTER(Q$4:Q1255,Q$4:Q1255&lt;&gt;""""))),""^Sell_""),INDEX(FILTER(T$4:T1254,Q$4:Q1254&lt;&gt;""""),ROWS(FILTER(Q$4:Q1254,Q$4:Q1254&lt;&gt;""""))),$AD$5+S1255))"),"")</f>
        <v/>
      </c>
      <c r="U1255" s="10" t="str">
        <f>IFERROR(__xludf.DUMMYFUNCTION("IF(COUNTA(Q1255:Q1350)=0,"""",IF(Q1255="""",0,IF(REGEXMATCH(Q1255,""^Sell_""),-ROUNDDOWN(ROUNDUP(INDEX(Upgrades!$C$3:$C$13,MATCH(SUBSTITUTE(Q1255,""Sell_"",""""),Upgrades!$B$3:$B$13,0))*1.15^(COUNTIF(Q$4:Q1254,SUBSTITUTE(Q1255,""Sell_"",""""))-COUNTIF(Q$4"&amp;":Q1254,""Sell_""&amp;SUBSTITUTE(Q1255,""Sell_"",""""))))/2),ROUNDUP(INDEX(Upgrades!$C$3:$C$13,MATCH(Q1255,Upgrades!$B$3:$B$13,0))*1.15^(COUNTIF(Q$4:Q1254,Q1255)-COUNTIF(Q$4:Q1254,""Sell_""&amp;Q1255))))))"),"")</f>
        <v/>
      </c>
      <c r="V1255" s="10" t="str">
        <f t="shared" si="11"/>
        <v/>
      </c>
      <c r="W1255" s="68" t="str">
        <f t="shared" si="12"/>
        <v/>
      </c>
      <c r="X1255" s="59" t="str">
        <f t="shared" si="13"/>
        <v/>
      </c>
      <c r="Y1255" s="69" t="str">
        <f t="shared" si="14"/>
        <v/>
      </c>
      <c r="Z1255" s="11"/>
    </row>
    <row r="1256">
      <c r="A1256" s="8"/>
      <c r="B1256" s="56" t="str">
        <f t="shared" si="2"/>
        <v/>
      </c>
      <c r="C1256" s="57"/>
      <c r="D1256" s="10" t="str">
        <f>IFERROR(__xludf.DUMMYFUNCTION("IF(COUNTA(C1256:C1350)=0,"""",IF(ISBLANK(C1256),FALSE,IF(NOT(COUNTIF($AA$24:$AA$34,SUBSTITUTE(C1256,""Sell_"",""""))),1,IF(REGEXMATCH(C1256,""Sell_""),IF(COUNTIF(C$4:C1256,SUBSTITUTE(C1256,""Sell_"",""""))-COUNTIF(C$4:C1255,C1256)&lt;1,1),FALSE))))"),"")</f>
        <v/>
      </c>
      <c r="E1256" s="59" t="str">
        <f t="array" ref="E1256">IF(COUNTA(C1256:C1350)=0,"",SUM((COUNTIF(C$4:C1256,Upgrades!$B$3:$B$13)-COUNTIF(C$4:C1256,"Sell_"&amp;Upgrades!$B$3:$B$13))*Upgrades!$D$3:$D$13))</f>
        <v/>
      </c>
      <c r="F1256" s="66" t="str">
        <f>IFERROR(__xludf.DUMMYFUNCTION("IF(COUNTA(C1256:C1350)=0,"""",IF(REGEXMATCH(INDEX(FILTER(C$4:C1256,C$4:C1256&lt;&gt;""""),ROWS(FILTER(C$4:C1256,C$4:C1256&lt;&gt;""""))),""^Sell_""),INDEX(FILTER(F$4:F1255,C$4:C1255&lt;&gt;""""),ROWS(FILTER(C$4:C1255,C$4:C1255&lt;&gt;""""))),$AC$5+E1256))"),"")</f>
        <v/>
      </c>
      <c r="G1256" s="10" t="str">
        <f>IFERROR(__xludf.DUMMYFUNCTION("IF(COUNTA(C1256:C1350)=0,"""",IF(C1256="""",0,IF(REGEXMATCH(C1256,""^Sell_""),-ROUNDDOWN(ROUNDUP(INDEX(Upgrades!$C$3:$C$13,MATCH(SUBSTITUTE(C1256,""Sell_"",""""),Upgrades!$B$3:$B$13,0))*1.15^(COUNTIF(C$4:C1255,SUBSTITUTE(C1256,""Sell_"",""""))-COUNTIF(C$4"&amp;":C1255,""Sell_""&amp;SUBSTITUTE(C1256,""Sell_"",""""))))/2),ROUNDUP(INDEX(Upgrades!$C$3:$C$13,MATCH(C1256,Upgrades!$B$3:$B$13,0))*1.15^(COUNTIF(C$4:C1255,C1256)-COUNTIF(C$4:C1255,""Sell_""&amp;C1256))))))"),"")</f>
        <v/>
      </c>
      <c r="H1256" s="10" t="str">
        <f t="shared" si="3"/>
        <v/>
      </c>
      <c r="I1256" s="68" t="str">
        <f t="shared" si="4"/>
        <v/>
      </c>
      <c r="J1256" s="59" t="str">
        <f t="shared" si="5"/>
        <v/>
      </c>
      <c r="K1256" s="69" t="str">
        <f t="shared" si="6"/>
        <v/>
      </c>
      <c r="L1256" s="60" t="str">
        <f t="shared" si="7"/>
        <v/>
      </c>
      <c r="M1256" s="61" t="str">
        <f>IFERROR(__xludf.DUMMYFUNCTION("IFS(AND(COUNTA(C1256:C1350)=0,COUNTA(Q1256:Q1350)=0),"""",OR(AND(K1256&gt;=1000000000,OR(Y1256&gt;=1000000000,COUNTA(Q1256:Q1350)=0)),OR(Y1256&gt;=1000000000,AND(COUNTA(C1256:C1350)=0,P$3=TRUE))),
ROUNDDOWN((AB$1-AC$1)*MAX(INDEX(T$4:T1350,MATCH(LARGE(FILTER(Y$4:Y1"&amp;"350,Y$4:Y1350&lt;1000000000),1),Y$4:Y1350)),INDEX(F$4:F1350,MATCH(LARGE(FILTER(K$4:K1350,K$4:K1350&lt;1000000000),1),K$4:K1350)))),AND(K1256&lt;1000000000,COUNTA(C1256:C1350)&gt;0,P$3=FALSE),
ROUNDDOWN(INDEX(Y$4:Y1350,MATCH(LARGE(FILTER(W$4:W1350,W$4:W1350&lt;=I1256),1)"&amp;",W$4:W1350))+(I1256-LARGE(FILTER(W$4:W1350,W$4:W1350&lt;=I1256),1))*INDEX(T$4:T1350,MATCH(LARGE(FILTER(W$4:W1350,W$4:W1350&lt;=I1256),1),W$4:W1350))-K1256),1,
ROUNDDOWN(Y1256-INDEX(K$4:K1350,MATCH(LARGE(FILTER(I$4:I1350,I$4:I1350&lt;=W1256),1),I$4:I1350))-(W1256-L"&amp;"ARGE(FILTER(I$4:I1350,I$4:I1350&lt;=W1256),1))*INDEX(F$4:F1350,MATCH(LARGE(FILTER(I$4:I1350,I$4:I1350&lt;=W1256),1),I$4:I1350))))"),"")</f>
        <v/>
      </c>
      <c r="N1256" s="60" t="str">
        <f t="shared" si="8"/>
        <v/>
      </c>
      <c r="O1256" s="61" t="str">
        <f t="shared" si="9"/>
        <v/>
      </c>
      <c r="P1256" s="56" t="str">
        <f t="shared" si="10"/>
        <v/>
      </c>
      <c r="Q1256" s="62"/>
      <c r="R1256" s="10" t="str">
        <f>IFERROR(__xludf.DUMMYFUNCTION("IF(COUNTA(Q1256:Q1350)=0,"""",IF(ISBLANK(Q1256),FALSE,IF(NOT(COUNTIF($AA$24:$AA$34,SUBSTITUTE(Q1256,""Sell_"",""""))),1,IF(REGEXMATCH(Q1256,""Sell_""),IF(COUNTIF(Q$4:Q1256,SUBSTITUTE(Q1256,""Sell_"",""""))-COUNTIF(Q$4:Q1255,Q1256)&lt;1,1),FALSE))))"),"")</f>
        <v/>
      </c>
      <c r="S1256" s="59" t="str">
        <f t="array" ref="S1256">IF(COUNTA(Q1256:Q1350)=0,"",SUM((COUNTIF(Q$4:Q1256,Upgrades!$B$3:$B$13)-COUNTIF(Q$4:Q1256,"Sell_"&amp;Upgrades!$B$3:$B$13))*Upgrades!$D$3:$D$13))</f>
        <v/>
      </c>
      <c r="T1256" s="66" t="str">
        <f>IFERROR(__xludf.DUMMYFUNCTION("IF(COUNTA(Q1256:Q1350)=0,"""",IF(REGEXMATCH(INDEX(FILTER(Q$4:Q1256,Q$4:Q1256&lt;&gt;""""),ROWS(FILTER(Q$4:Q1256,Q$4:Q1256&lt;&gt;""""))),""^Sell_""),INDEX(FILTER(T$4:T1255,Q$4:Q1255&lt;&gt;""""),ROWS(FILTER(Q$4:Q1255,Q$4:Q1255&lt;&gt;""""))),$AD$5+S1256))"),"")</f>
        <v/>
      </c>
      <c r="U1256" s="10" t="str">
        <f>IFERROR(__xludf.DUMMYFUNCTION("IF(COUNTA(Q1256:Q1350)=0,"""",IF(Q1256="""",0,IF(REGEXMATCH(Q1256,""^Sell_""),-ROUNDDOWN(ROUNDUP(INDEX(Upgrades!$C$3:$C$13,MATCH(SUBSTITUTE(Q1256,""Sell_"",""""),Upgrades!$B$3:$B$13,0))*1.15^(COUNTIF(Q$4:Q1255,SUBSTITUTE(Q1256,""Sell_"",""""))-COUNTIF(Q$4"&amp;":Q1255,""Sell_""&amp;SUBSTITUTE(Q1256,""Sell_"",""""))))/2),ROUNDUP(INDEX(Upgrades!$C$3:$C$13,MATCH(Q1256,Upgrades!$B$3:$B$13,0))*1.15^(COUNTIF(Q$4:Q1255,Q1256)-COUNTIF(Q$4:Q1255,""Sell_""&amp;Q1256))))))"),"")</f>
        <v/>
      </c>
      <c r="V1256" s="10" t="str">
        <f t="shared" si="11"/>
        <v/>
      </c>
      <c r="W1256" s="68" t="str">
        <f t="shared" si="12"/>
        <v/>
      </c>
      <c r="X1256" s="59" t="str">
        <f t="shared" si="13"/>
        <v/>
      </c>
      <c r="Y1256" s="69" t="str">
        <f t="shared" si="14"/>
        <v/>
      </c>
      <c r="Z1256" s="11"/>
    </row>
    <row r="1257">
      <c r="A1257" s="8"/>
      <c r="B1257" s="56" t="str">
        <f t="shared" si="2"/>
        <v/>
      </c>
      <c r="C1257" s="57"/>
      <c r="D1257" s="10" t="str">
        <f>IFERROR(__xludf.DUMMYFUNCTION("IF(COUNTA(C1257:C1350)=0,"""",IF(ISBLANK(C1257),FALSE,IF(NOT(COUNTIF($AA$24:$AA$34,SUBSTITUTE(C1257,""Sell_"",""""))),1,IF(REGEXMATCH(C1257,""Sell_""),IF(COUNTIF(C$4:C1257,SUBSTITUTE(C1257,""Sell_"",""""))-COUNTIF(C$4:C1256,C1257)&lt;1,1),FALSE))))"),"")</f>
        <v/>
      </c>
      <c r="E1257" s="59" t="str">
        <f t="array" ref="E1257">IF(COUNTA(C1257:C1350)=0,"",SUM((COUNTIF(C$4:C1257,Upgrades!$B$3:$B$13)-COUNTIF(C$4:C1257,"Sell_"&amp;Upgrades!$B$3:$B$13))*Upgrades!$D$3:$D$13))</f>
        <v/>
      </c>
      <c r="F1257" s="66" t="str">
        <f>IFERROR(__xludf.DUMMYFUNCTION("IF(COUNTA(C1257:C1350)=0,"""",IF(REGEXMATCH(INDEX(FILTER(C$4:C1257,C$4:C1257&lt;&gt;""""),ROWS(FILTER(C$4:C1257,C$4:C1257&lt;&gt;""""))),""^Sell_""),INDEX(FILTER(F$4:F1256,C$4:C1256&lt;&gt;""""),ROWS(FILTER(C$4:C1256,C$4:C1256&lt;&gt;""""))),$AC$5+E1257))"),"")</f>
        <v/>
      </c>
      <c r="G1257" s="10" t="str">
        <f>IFERROR(__xludf.DUMMYFUNCTION("IF(COUNTA(C1257:C1350)=0,"""",IF(C1257="""",0,IF(REGEXMATCH(C1257,""^Sell_""),-ROUNDDOWN(ROUNDUP(INDEX(Upgrades!$C$3:$C$13,MATCH(SUBSTITUTE(C1257,""Sell_"",""""),Upgrades!$B$3:$B$13,0))*1.15^(COUNTIF(C$4:C1256,SUBSTITUTE(C1257,""Sell_"",""""))-COUNTIF(C$4"&amp;":C1256,""Sell_""&amp;SUBSTITUTE(C1257,""Sell_"",""""))))/2),ROUNDUP(INDEX(Upgrades!$C$3:$C$13,MATCH(C1257,Upgrades!$B$3:$B$13,0))*1.15^(COUNTIF(C$4:C1256,C1257)-COUNTIF(C$4:C1256,""Sell_""&amp;C1257))))))"),"")</f>
        <v/>
      </c>
      <c r="H1257" s="10" t="str">
        <f t="shared" si="3"/>
        <v/>
      </c>
      <c r="I1257" s="68" t="str">
        <f t="shared" si="4"/>
        <v/>
      </c>
      <c r="J1257" s="59" t="str">
        <f t="shared" si="5"/>
        <v/>
      </c>
      <c r="K1257" s="69" t="str">
        <f t="shared" si="6"/>
        <v/>
      </c>
      <c r="L1257" s="60" t="str">
        <f t="shared" si="7"/>
        <v/>
      </c>
      <c r="M1257" s="61" t="str">
        <f>IFERROR(__xludf.DUMMYFUNCTION("IFS(AND(COUNTA(C1257:C1350)=0,COUNTA(Q1257:Q1350)=0),"""",OR(AND(K1257&gt;=1000000000,OR(Y1257&gt;=1000000000,COUNTA(Q1257:Q1350)=0)),OR(Y1257&gt;=1000000000,AND(COUNTA(C1257:C1350)=0,P$3=TRUE))),
ROUNDDOWN((AB$1-AC$1)*MAX(INDEX(T$4:T1350,MATCH(LARGE(FILTER(Y$4:Y1"&amp;"350,Y$4:Y1350&lt;1000000000),1),Y$4:Y1350)),INDEX(F$4:F1350,MATCH(LARGE(FILTER(K$4:K1350,K$4:K1350&lt;1000000000),1),K$4:K1350)))),AND(K1257&lt;1000000000,COUNTA(C1257:C1350)&gt;0,P$3=FALSE),
ROUNDDOWN(INDEX(Y$4:Y1350,MATCH(LARGE(FILTER(W$4:W1350,W$4:W1350&lt;=I1257),1)"&amp;",W$4:W1350))+(I1257-LARGE(FILTER(W$4:W1350,W$4:W1350&lt;=I1257),1))*INDEX(T$4:T1350,MATCH(LARGE(FILTER(W$4:W1350,W$4:W1350&lt;=I1257),1),W$4:W1350))-K1257),1,
ROUNDDOWN(Y1257-INDEX(K$4:K1350,MATCH(LARGE(FILTER(I$4:I1350,I$4:I1350&lt;=W1257),1),I$4:I1350))-(W1257-L"&amp;"ARGE(FILTER(I$4:I1350,I$4:I1350&lt;=W1257),1))*INDEX(F$4:F1350,MATCH(LARGE(FILTER(I$4:I1350,I$4:I1350&lt;=W1257),1),I$4:I1350))))"),"")</f>
        <v/>
      </c>
      <c r="N1257" s="60" t="str">
        <f t="shared" si="8"/>
        <v/>
      </c>
      <c r="O1257" s="61" t="str">
        <f t="shared" si="9"/>
        <v/>
      </c>
      <c r="P1257" s="56" t="str">
        <f t="shared" si="10"/>
        <v/>
      </c>
      <c r="Q1257" s="62"/>
      <c r="R1257" s="10" t="str">
        <f>IFERROR(__xludf.DUMMYFUNCTION("IF(COUNTA(Q1257:Q1350)=0,"""",IF(ISBLANK(Q1257),FALSE,IF(NOT(COUNTIF($AA$24:$AA$34,SUBSTITUTE(Q1257,""Sell_"",""""))),1,IF(REGEXMATCH(Q1257,""Sell_""),IF(COUNTIF(Q$4:Q1257,SUBSTITUTE(Q1257,""Sell_"",""""))-COUNTIF(Q$4:Q1256,Q1257)&lt;1,1),FALSE))))"),"")</f>
        <v/>
      </c>
      <c r="S1257" s="59" t="str">
        <f t="array" ref="S1257">IF(COUNTA(Q1257:Q1350)=0,"",SUM((COUNTIF(Q$4:Q1257,Upgrades!$B$3:$B$13)-COUNTIF(Q$4:Q1257,"Sell_"&amp;Upgrades!$B$3:$B$13))*Upgrades!$D$3:$D$13))</f>
        <v/>
      </c>
      <c r="T1257" s="66" t="str">
        <f>IFERROR(__xludf.DUMMYFUNCTION("IF(COUNTA(Q1257:Q1350)=0,"""",IF(REGEXMATCH(INDEX(FILTER(Q$4:Q1257,Q$4:Q1257&lt;&gt;""""),ROWS(FILTER(Q$4:Q1257,Q$4:Q1257&lt;&gt;""""))),""^Sell_""),INDEX(FILTER(T$4:T1256,Q$4:Q1256&lt;&gt;""""),ROWS(FILTER(Q$4:Q1256,Q$4:Q1256&lt;&gt;""""))),$AD$5+S1257))"),"")</f>
        <v/>
      </c>
      <c r="U1257" s="10" t="str">
        <f>IFERROR(__xludf.DUMMYFUNCTION("IF(COUNTA(Q1257:Q1350)=0,"""",IF(Q1257="""",0,IF(REGEXMATCH(Q1257,""^Sell_""),-ROUNDDOWN(ROUNDUP(INDEX(Upgrades!$C$3:$C$13,MATCH(SUBSTITUTE(Q1257,""Sell_"",""""),Upgrades!$B$3:$B$13,0))*1.15^(COUNTIF(Q$4:Q1256,SUBSTITUTE(Q1257,""Sell_"",""""))-COUNTIF(Q$4"&amp;":Q1256,""Sell_""&amp;SUBSTITUTE(Q1257,""Sell_"",""""))))/2),ROUNDUP(INDEX(Upgrades!$C$3:$C$13,MATCH(Q1257,Upgrades!$B$3:$B$13,0))*1.15^(COUNTIF(Q$4:Q1256,Q1257)-COUNTIF(Q$4:Q1256,""Sell_""&amp;Q1257))))))"),"")</f>
        <v/>
      </c>
      <c r="V1257" s="10" t="str">
        <f t="shared" si="11"/>
        <v/>
      </c>
      <c r="W1257" s="68" t="str">
        <f t="shared" si="12"/>
        <v/>
      </c>
      <c r="X1257" s="59" t="str">
        <f t="shared" si="13"/>
        <v/>
      </c>
      <c r="Y1257" s="69" t="str">
        <f t="shared" si="14"/>
        <v/>
      </c>
      <c r="Z1257" s="11"/>
    </row>
    <row r="1258">
      <c r="A1258" s="8"/>
      <c r="B1258" s="56" t="str">
        <f t="shared" si="2"/>
        <v/>
      </c>
      <c r="C1258" s="57"/>
      <c r="D1258" s="10" t="str">
        <f>IFERROR(__xludf.DUMMYFUNCTION("IF(COUNTA(C1258:C1350)=0,"""",IF(ISBLANK(C1258),FALSE,IF(NOT(COUNTIF($AA$24:$AA$34,SUBSTITUTE(C1258,""Sell_"",""""))),1,IF(REGEXMATCH(C1258,""Sell_""),IF(COUNTIF(C$4:C1258,SUBSTITUTE(C1258,""Sell_"",""""))-COUNTIF(C$4:C1257,C1258)&lt;1,1),FALSE))))"),"")</f>
        <v/>
      </c>
      <c r="E1258" s="59" t="str">
        <f t="array" ref="E1258">IF(COUNTA(C1258:C1350)=0,"",SUM((COUNTIF(C$4:C1258,Upgrades!$B$3:$B$13)-COUNTIF(C$4:C1258,"Sell_"&amp;Upgrades!$B$3:$B$13))*Upgrades!$D$3:$D$13))</f>
        <v/>
      </c>
      <c r="F1258" s="66" t="str">
        <f>IFERROR(__xludf.DUMMYFUNCTION("IF(COUNTA(C1258:C1350)=0,"""",IF(REGEXMATCH(INDEX(FILTER(C$4:C1258,C$4:C1258&lt;&gt;""""),ROWS(FILTER(C$4:C1258,C$4:C1258&lt;&gt;""""))),""^Sell_""),INDEX(FILTER(F$4:F1257,C$4:C1257&lt;&gt;""""),ROWS(FILTER(C$4:C1257,C$4:C1257&lt;&gt;""""))),$AC$5+E1258))"),"")</f>
        <v/>
      </c>
      <c r="G1258" s="10" t="str">
        <f>IFERROR(__xludf.DUMMYFUNCTION("IF(COUNTA(C1258:C1350)=0,"""",IF(C1258="""",0,IF(REGEXMATCH(C1258,""^Sell_""),-ROUNDDOWN(ROUNDUP(INDEX(Upgrades!$C$3:$C$13,MATCH(SUBSTITUTE(C1258,""Sell_"",""""),Upgrades!$B$3:$B$13,0))*1.15^(COUNTIF(C$4:C1257,SUBSTITUTE(C1258,""Sell_"",""""))-COUNTIF(C$4"&amp;":C1257,""Sell_""&amp;SUBSTITUTE(C1258,""Sell_"",""""))))/2),ROUNDUP(INDEX(Upgrades!$C$3:$C$13,MATCH(C1258,Upgrades!$B$3:$B$13,0))*1.15^(COUNTIF(C$4:C1257,C1258)-COUNTIF(C$4:C1257,""Sell_""&amp;C1258))))))"),"")</f>
        <v/>
      </c>
      <c r="H1258" s="10" t="str">
        <f t="shared" si="3"/>
        <v/>
      </c>
      <c r="I1258" s="68" t="str">
        <f t="shared" si="4"/>
        <v/>
      </c>
      <c r="J1258" s="59" t="str">
        <f t="shared" si="5"/>
        <v/>
      </c>
      <c r="K1258" s="69" t="str">
        <f t="shared" si="6"/>
        <v/>
      </c>
      <c r="L1258" s="60" t="str">
        <f t="shared" si="7"/>
        <v/>
      </c>
      <c r="M1258" s="61" t="str">
        <f>IFERROR(__xludf.DUMMYFUNCTION("IFS(AND(COUNTA(C1258:C1350)=0,COUNTA(Q1258:Q1350)=0),"""",OR(AND(K1258&gt;=1000000000,OR(Y1258&gt;=1000000000,COUNTA(Q1258:Q1350)=0)),OR(Y1258&gt;=1000000000,AND(COUNTA(C1258:C1350)=0,P$3=TRUE))),
ROUNDDOWN((AB$1-AC$1)*MAX(INDEX(T$4:T1350,MATCH(LARGE(FILTER(Y$4:Y1"&amp;"350,Y$4:Y1350&lt;1000000000),1),Y$4:Y1350)),INDEX(F$4:F1350,MATCH(LARGE(FILTER(K$4:K1350,K$4:K1350&lt;1000000000),1),K$4:K1350)))),AND(K1258&lt;1000000000,COUNTA(C1258:C1350)&gt;0,P$3=FALSE),
ROUNDDOWN(INDEX(Y$4:Y1350,MATCH(LARGE(FILTER(W$4:W1350,W$4:W1350&lt;=I1258),1)"&amp;",W$4:W1350))+(I1258-LARGE(FILTER(W$4:W1350,W$4:W1350&lt;=I1258),1))*INDEX(T$4:T1350,MATCH(LARGE(FILTER(W$4:W1350,W$4:W1350&lt;=I1258),1),W$4:W1350))-K1258),1,
ROUNDDOWN(Y1258-INDEX(K$4:K1350,MATCH(LARGE(FILTER(I$4:I1350,I$4:I1350&lt;=W1258),1),I$4:I1350))-(W1258-L"&amp;"ARGE(FILTER(I$4:I1350,I$4:I1350&lt;=W1258),1))*INDEX(F$4:F1350,MATCH(LARGE(FILTER(I$4:I1350,I$4:I1350&lt;=W1258),1),I$4:I1350))))"),"")</f>
        <v/>
      </c>
      <c r="N1258" s="60" t="str">
        <f t="shared" si="8"/>
        <v/>
      </c>
      <c r="O1258" s="61" t="str">
        <f t="shared" si="9"/>
        <v/>
      </c>
      <c r="P1258" s="56" t="str">
        <f t="shared" si="10"/>
        <v/>
      </c>
      <c r="Q1258" s="62"/>
      <c r="R1258" s="10" t="str">
        <f>IFERROR(__xludf.DUMMYFUNCTION("IF(COUNTA(Q1258:Q1350)=0,"""",IF(ISBLANK(Q1258),FALSE,IF(NOT(COUNTIF($AA$24:$AA$34,SUBSTITUTE(Q1258,""Sell_"",""""))),1,IF(REGEXMATCH(Q1258,""Sell_""),IF(COUNTIF(Q$4:Q1258,SUBSTITUTE(Q1258,""Sell_"",""""))-COUNTIF(Q$4:Q1257,Q1258)&lt;1,1),FALSE))))"),"")</f>
        <v/>
      </c>
      <c r="S1258" s="59" t="str">
        <f t="array" ref="S1258">IF(COUNTA(Q1258:Q1350)=0,"",SUM((COUNTIF(Q$4:Q1258,Upgrades!$B$3:$B$13)-COUNTIF(Q$4:Q1258,"Sell_"&amp;Upgrades!$B$3:$B$13))*Upgrades!$D$3:$D$13))</f>
        <v/>
      </c>
      <c r="T1258" s="66" t="str">
        <f>IFERROR(__xludf.DUMMYFUNCTION("IF(COUNTA(Q1258:Q1350)=0,"""",IF(REGEXMATCH(INDEX(FILTER(Q$4:Q1258,Q$4:Q1258&lt;&gt;""""),ROWS(FILTER(Q$4:Q1258,Q$4:Q1258&lt;&gt;""""))),""^Sell_""),INDEX(FILTER(T$4:T1257,Q$4:Q1257&lt;&gt;""""),ROWS(FILTER(Q$4:Q1257,Q$4:Q1257&lt;&gt;""""))),$AD$5+S1258))"),"")</f>
        <v/>
      </c>
      <c r="U1258" s="10" t="str">
        <f>IFERROR(__xludf.DUMMYFUNCTION("IF(COUNTA(Q1258:Q1350)=0,"""",IF(Q1258="""",0,IF(REGEXMATCH(Q1258,""^Sell_""),-ROUNDDOWN(ROUNDUP(INDEX(Upgrades!$C$3:$C$13,MATCH(SUBSTITUTE(Q1258,""Sell_"",""""),Upgrades!$B$3:$B$13,0))*1.15^(COUNTIF(Q$4:Q1257,SUBSTITUTE(Q1258,""Sell_"",""""))-COUNTIF(Q$4"&amp;":Q1257,""Sell_""&amp;SUBSTITUTE(Q1258,""Sell_"",""""))))/2),ROUNDUP(INDEX(Upgrades!$C$3:$C$13,MATCH(Q1258,Upgrades!$B$3:$B$13,0))*1.15^(COUNTIF(Q$4:Q1257,Q1258)-COUNTIF(Q$4:Q1257,""Sell_""&amp;Q1258))))))"),"")</f>
        <v/>
      </c>
      <c r="V1258" s="10" t="str">
        <f t="shared" si="11"/>
        <v/>
      </c>
      <c r="W1258" s="68" t="str">
        <f t="shared" si="12"/>
        <v/>
      </c>
      <c r="X1258" s="59" t="str">
        <f t="shared" si="13"/>
        <v/>
      </c>
      <c r="Y1258" s="69" t="str">
        <f t="shared" si="14"/>
        <v/>
      </c>
      <c r="Z1258" s="11"/>
    </row>
    <row r="1259">
      <c r="A1259" s="8"/>
      <c r="B1259" s="56" t="str">
        <f t="shared" si="2"/>
        <v/>
      </c>
      <c r="C1259" s="57"/>
      <c r="D1259" s="10" t="str">
        <f>IFERROR(__xludf.DUMMYFUNCTION("IF(COUNTA(C1259:C1350)=0,"""",IF(ISBLANK(C1259),FALSE,IF(NOT(COUNTIF($AA$24:$AA$34,SUBSTITUTE(C1259,""Sell_"",""""))),1,IF(REGEXMATCH(C1259,""Sell_""),IF(COUNTIF(C$4:C1259,SUBSTITUTE(C1259,""Sell_"",""""))-COUNTIF(C$4:C1258,C1259)&lt;1,1),FALSE))))"),"")</f>
        <v/>
      </c>
      <c r="E1259" s="59" t="str">
        <f t="array" ref="E1259">IF(COUNTA(C1259:C1350)=0,"",SUM((COUNTIF(C$4:C1259,Upgrades!$B$3:$B$13)-COUNTIF(C$4:C1259,"Sell_"&amp;Upgrades!$B$3:$B$13))*Upgrades!$D$3:$D$13))</f>
        <v/>
      </c>
      <c r="F1259" s="66" t="str">
        <f>IFERROR(__xludf.DUMMYFUNCTION("IF(COUNTA(C1259:C1350)=0,"""",IF(REGEXMATCH(INDEX(FILTER(C$4:C1259,C$4:C1259&lt;&gt;""""),ROWS(FILTER(C$4:C1259,C$4:C1259&lt;&gt;""""))),""^Sell_""),INDEX(FILTER(F$4:F1258,C$4:C1258&lt;&gt;""""),ROWS(FILTER(C$4:C1258,C$4:C1258&lt;&gt;""""))),$AC$5+E1259))"),"")</f>
        <v/>
      </c>
      <c r="G1259" s="10" t="str">
        <f>IFERROR(__xludf.DUMMYFUNCTION("IF(COUNTA(C1259:C1350)=0,"""",IF(C1259="""",0,IF(REGEXMATCH(C1259,""^Sell_""),-ROUNDDOWN(ROUNDUP(INDEX(Upgrades!$C$3:$C$13,MATCH(SUBSTITUTE(C1259,""Sell_"",""""),Upgrades!$B$3:$B$13,0))*1.15^(COUNTIF(C$4:C1258,SUBSTITUTE(C1259,""Sell_"",""""))-COUNTIF(C$4"&amp;":C1258,""Sell_""&amp;SUBSTITUTE(C1259,""Sell_"",""""))))/2),ROUNDUP(INDEX(Upgrades!$C$3:$C$13,MATCH(C1259,Upgrades!$B$3:$B$13,0))*1.15^(COUNTIF(C$4:C1258,C1259)-COUNTIF(C$4:C1258,""Sell_""&amp;C1259))))))"),"")</f>
        <v/>
      </c>
      <c r="H1259" s="10" t="str">
        <f t="shared" si="3"/>
        <v/>
      </c>
      <c r="I1259" s="68" t="str">
        <f t="shared" si="4"/>
        <v/>
      </c>
      <c r="J1259" s="59" t="str">
        <f t="shared" si="5"/>
        <v/>
      </c>
      <c r="K1259" s="69" t="str">
        <f t="shared" si="6"/>
        <v/>
      </c>
      <c r="L1259" s="60" t="str">
        <f t="shared" si="7"/>
        <v/>
      </c>
      <c r="M1259" s="61" t="str">
        <f>IFERROR(__xludf.DUMMYFUNCTION("IFS(AND(COUNTA(C1259:C1350)=0,COUNTA(Q1259:Q1350)=0),"""",OR(AND(K1259&gt;=1000000000,OR(Y1259&gt;=1000000000,COUNTA(Q1259:Q1350)=0)),OR(Y1259&gt;=1000000000,AND(COUNTA(C1259:C1350)=0,P$3=TRUE))),
ROUNDDOWN((AB$1-AC$1)*MAX(INDEX(T$4:T1350,MATCH(LARGE(FILTER(Y$4:Y1"&amp;"350,Y$4:Y1350&lt;1000000000),1),Y$4:Y1350)),INDEX(F$4:F1350,MATCH(LARGE(FILTER(K$4:K1350,K$4:K1350&lt;1000000000),1),K$4:K1350)))),AND(K1259&lt;1000000000,COUNTA(C1259:C1350)&gt;0,P$3=FALSE),
ROUNDDOWN(INDEX(Y$4:Y1350,MATCH(LARGE(FILTER(W$4:W1350,W$4:W1350&lt;=I1259),1)"&amp;",W$4:W1350))+(I1259-LARGE(FILTER(W$4:W1350,W$4:W1350&lt;=I1259),1))*INDEX(T$4:T1350,MATCH(LARGE(FILTER(W$4:W1350,W$4:W1350&lt;=I1259),1),W$4:W1350))-K1259),1,
ROUNDDOWN(Y1259-INDEX(K$4:K1350,MATCH(LARGE(FILTER(I$4:I1350,I$4:I1350&lt;=W1259),1),I$4:I1350))-(W1259-L"&amp;"ARGE(FILTER(I$4:I1350,I$4:I1350&lt;=W1259),1))*INDEX(F$4:F1350,MATCH(LARGE(FILTER(I$4:I1350,I$4:I1350&lt;=W1259),1),I$4:I1350))))"),"")</f>
        <v/>
      </c>
      <c r="N1259" s="60" t="str">
        <f t="shared" si="8"/>
        <v/>
      </c>
      <c r="O1259" s="61" t="str">
        <f t="shared" si="9"/>
        <v/>
      </c>
      <c r="P1259" s="56" t="str">
        <f t="shared" si="10"/>
        <v/>
      </c>
      <c r="Q1259" s="62"/>
      <c r="R1259" s="10" t="str">
        <f>IFERROR(__xludf.DUMMYFUNCTION("IF(COUNTA(Q1259:Q1350)=0,"""",IF(ISBLANK(Q1259),FALSE,IF(NOT(COUNTIF($AA$24:$AA$34,SUBSTITUTE(Q1259,""Sell_"",""""))),1,IF(REGEXMATCH(Q1259,""Sell_""),IF(COUNTIF(Q$4:Q1259,SUBSTITUTE(Q1259,""Sell_"",""""))-COUNTIF(Q$4:Q1258,Q1259)&lt;1,1),FALSE))))"),"")</f>
        <v/>
      </c>
      <c r="S1259" s="59" t="str">
        <f t="array" ref="S1259">IF(COUNTA(Q1259:Q1350)=0,"",SUM((COUNTIF(Q$4:Q1259,Upgrades!$B$3:$B$13)-COUNTIF(Q$4:Q1259,"Sell_"&amp;Upgrades!$B$3:$B$13))*Upgrades!$D$3:$D$13))</f>
        <v/>
      </c>
      <c r="T1259" s="66" t="str">
        <f>IFERROR(__xludf.DUMMYFUNCTION("IF(COUNTA(Q1259:Q1350)=0,"""",IF(REGEXMATCH(INDEX(FILTER(Q$4:Q1259,Q$4:Q1259&lt;&gt;""""),ROWS(FILTER(Q$4:Q1259,Q$4:Q1259&lt;&gt;""""))),""^Sell_""),INDEX(FILTER(T$4:T1258,Q$4:Q1258&lt;&gt;""""),ROWS(FILTER(Q$4:Q1258,Q$4:Q1258&lt;&gt;""""))),$AD$5+S1259))"),"")</f>
        <v/>
      </c>
      <c r="U1259" s="10" t="str">
        <f>IFERROR(__xludf.DUMMYFUNCTION("IF(COUNTA(Q1259:Q1350)=0,"""",IF(Q1259="""",0,IF(REGEXMATCH(Q1259,""^Sell_""),-ROUNDDOWN(ROUNDUP(INDEX(Upgrades!$C$3:$C$13,MATCH(SUBSTITUTE(Q1259,""Sell_"",""""),Upgrades!$B$3:$B$13,0))*1.15^(COUNTIF(Q$4:Q1258,SUBSTITUTE(Q1259,""Sell_"",""""))-COUNTIF(Q$4"&amp;":Q1258,""Sell_""&amp;SUBSTITUTE(Q1259,""Sell_"",""""))))/2),ROUNDUP(INDEX(Upgrades!$C$3:$C$13,MATCH(Q1259,Upgrades!$B$3:$B$13,0))*1.15^(COUNTIF(Q$4:Q1258,Q1259)-COUNTIF(Q$4:Q1258,""Sell_""&amp;Q1259))))))"),"")</f>
        <v/>
      </c>
      <c r="V1259" s="10" t="str">
        <f t="shared" si="11"/>
        <v/>
      </c>
      <c r="W1259" s="68" t="str">
        <f t="shared" si="12"/>
        <v/>
      </c>
      <c r="X1259" s="59" t="str">
        <f t="shared" si="13"/>
        <v/>
      </c>
      <c r="Y1259" s="69" t="str">
        <f t="shared" si="14"/>
        <v/>
      </c>
      <c r="Z1259" s="11"/>
    </row>
    <row r="1260">
      <c r="A1260" s="8"/>
      <c r="B1260" s="56" t="str">
        <f t="shared" si="2"/>
        <v/>
      </c>
      <c r="C1260" s="57"/>
      <c r="D1260" s="10" t="str">
        <f>IFERROR(__xludf.DUMMYFUNCTION("IF(COUNTA(C1260:C1350)=0,"""",IF(ISBLANK(C1260),FALSE,IF(NOT(COUNTIF($AA$24:$AA$34,SUBSTITUTE(C1260,""Sell_"",""""))),1,IF(REGEXMATCH(C1260,""Sell_""),IF(COUNTIF(C$4:C1260,SUBSTITUTE(C1260,""Sell_"",""""))-COUNTIF(C$4:C1259,C1260)&lt;1,1),FALSE))))"),"")</f>
        <v/>
      </c>
      <c r="E1260" s="59" t="str">
        <f t="array" ref="E1260">IF(COUNTA(C1260:C1350)=0,"",SUM((COUNTIF(C$4:C1260,Upgrades!$B$3:$B$13)-COUNTIF(C$4:C1260,"Sell_"&amp;Upgrades!$B$3:$B$13))*Upgrades!$D$3:$D$13))</f>
        <v/>
      </c>
      <c r="F1260" s="66" t="str">
        <f>IFERROR(__xludf.DUMMYFUNCTION("IF(COUNTA(C1260:C1350)=0,"""",IF(REGEXMATCH(INDEX(FILTER(C$4:C1260,C$4:C1260&lt;&gt;""""),ROWS(FILTER(C$4:C1260,C$4:C1260&lt;&gt;""""))),""^Sell_""),INDEX(FILTER(F$4:F1259,C$4:C1259&lt;&gt;""""),ROWS(FILTER(C$4:C1259,C$4:C1259&lt;&gt;""""))),$AC$5+E1260))"),"")</f>
        <v/>
      </c>
      <c r="G1260" s="10" t="str">
        <f>IFERROR(__xludf.DUMMYFUNCTION("IF(COUNTA(C1260:C1350)=0,"""",IF(C1260="""",0,IF(REGEXMATCH(C1260,""^Sell_""),-ROUNDDOWN(ROUNDUP(INDEX(Upgrades!$C$3:$C$13,MATCH(SUBSTITUTE(C1260,""Sell_"",""""),Upgrades!$B$3:$B$13,0))*1.15^(COUNTIF(C$4:C1259,SUBSTITUTE(C1260,""Sell_"",""""))-COUNTIF(C$4"&amp;":C1259,""Sell_""&amp;SUBSTITUTE(C1260,""Sell_"",""""))))/2),ROUNDUP(INDEX(Upgrades!$C$3:$C$13,MATCH(C1260,Upgrades!$B$3:$B$13,0))*1.15^(COUNTIF(C$4:C1259,C1260)-COUNTIF(C$4:C1259,""Sell_""&amp;C1260))))))"),"")</f>
        <v/>
      </c>
      <c r="H1260" s="10" t="str">
        <f t="shared" si="3"/>
        <v/>
      </c>
      <c r="I1260" s="68" t="str">
        <f t="shared" si="4"/>
        <v/>
      </c>
      <c r="J1260" s="59" t="str">
        <f t="shared" si="5"/>
        <v/>
      </c>
      <c r="K1260" s="69" t="str">
        <f t="shared" si="6"/>
        <v/>
      </c>
      <c r="L1260" s="60" t="str">
        <f t="shared" si="7"/>
        <v/>
      </c>
      <c r="M1260" s="61" t="str">
        <f>IFERROR(__xludf.DUMMYFUNCTION("IFS(AND(COUNTA(C1260:C1350)=0,COUNTA(Q1260:Q1350)=0),"""",OR(AND(K1260&gt;=1000000000,OR(Y1260&gt;=1000000000,COUNTA(Q1260:Q1350)=0)),OR(Y1260&gt;=1000000000,AND(COUNTA(C1260:C1350)=0,P$3=TRUE))),
ROUNDDOWN((AB$1-AC$1)*MAX(INDEX(T$4:T1350,MATCH(LARGE(FILTER(Y$4:Y1"&amp;"350,Y$4:Y1350&lt;1000000000),1),Y$4:Y1350)),INDEX(F$4:F1350,MATCH(LARGE(FILTER(K$4:K1350,K$4:K1350&lt;1000000000),1),K$4:K1350)))),AND(K1260&lt;1000000000,COUNTA(C1260:C1350)&gt;0,P$3=FALSE),
ROUNDDOWN(INDEX(Y$4:Y1350,MATCH(LARGE(FILTER(W$4:W1350,W$4:W1350&lt;=I1260),1)"&amp;",W$4:W1350))+(I1260-LARGE(FILTER(W$4:W1350,W$4:W1350&lt;=I1260),1))*INDEX(T$4:T1350,MATCH(LARGE(FILTER(W$4:W1350,W$4:W1350&lt;=I1260),1),W$4:W1350))-K1260),1,
ROUNDDOWN(Y1260-INDEX(K$4:K1350,MATCH(LARGE(FILTER(I$4:I1350,I$4:I1350&lt;=W1260),1),I$4:I1350))-(W1260-L"&amp;"ARGE(FILTER(I$4:I1350,I$4:I1350&lt;=W1260),1))*INDEX(F$4:F1350,MATCH(LARGE(FILTER(I$4:I1350,I$4:I1350&lt;=W1260),1),I$4:I1350))))"),"")</f>
        <v/>
      </c>
      <c r="N1260" s="60" t="str">
        <f t="shared" si="8"/>
        <v/>
      </c>
      <c r="O1260" s="61" t="str">
        <f t="shared" si="9"/>
        <v/>
      </c>
      <c r="P1260" s="56" t="str">
        <f t="shared" si="10"/>
        <v/>
      </c>
      <c r="Q1260" s="62"/>
      <c r="R1260" s="10" t="str">
        <f>IFERROR(__xludf.DUMMYFUNCTION("IF(COUNTA(Q1260:Q1350)=0,"""",IF(ISBLANK(Q1260),FALSE,IF(NOT(COUNTIF($AA$24:$AA$34,SUBSTITUTE(Q1260,""Sell_"",""""))),1,IF(REGEXMATCH(Q1260,""Sell_""),IF(COUNTIF(Q$4:Q1260,SUBSTITUTE(Q1260,""Sell_"",""""))-COUNTIF(Q$4:Q1259,Q1260)&lt;1,1),FALSE))))"),"")</f>
        <v/>
      </c>
      <c r="S1260" s="59" t="str">
        <f t="array" ref="S1260">IF(COUNTA(Q1260:Q1350)=0,"",SUM((COUNTIF(Q$4:Q1260,Upgrades!$B$3:$B$13)-COUNTIF(Q$4:Q1260,"Sell_"&amp;Upgrades!$B$3:$B$13))*Upgrades!$D$3:$D$13))</f>
        <v/>
      </c>
      <c r="T1260" s="66" t="str">
        <f>IFERROR(__xludf.DUMMYFUNCTION("IF(COUNTA(Q1260:Q1350)=0,"""",IF(REGEXMATCH(INDEX(FILTER(Q$4:Q1260,Q$4:Q1260&lt;&gt;""""),ROWS(FILTER(Q$4:Q1260,Q$4:Q1260&lt;&gt;""""))),""^Sell_""),INDEX(FILTER(T$4:T1259,Q$4:Q1259&lt;&gt;""""),ROWS(FILTER(Q$4:Q1259,Q$4:Q1259&lt;&gt;""""))),$AD$5+S1260))"),"")</f>
        <v/>
      </c>
      <c r="U1260" s="10" t="str">
        <f>IFERROR(__xludf.DUMMYFUNCTION("IF(COUNTA(Q1260:Q1350)=0,"""",IF(Q1260="""",0,IF(REGEXMATCH(Q1260,""^Sell_""),-ROUNDDOWN(ROUNDUP(INDEX(Upgrades!$C$3:$C$13,MATCH(SUBSTITUTE(Q1260,""Sell_"",""""),Upgrades!$B$3:$B$13,0))*1.15^(COUNTIF(Q$4:Q1259,SUBSTITUTE(Q1260,""Sell_"",""""))-COUNTIF(Q$4"&amp;":Q1259,""Sell_""&amp;SUBSTITUTE(Q1260,""Sell_"",""""))))/2),ROUNDUP(INDEX(Upgrades!$C$3:$C$13,MATCH(Q1260,Upgrades!$B$3:$B$13,0))*1.15^(COUNTIF(Q$4:Q1259,Q1260)-COUNTIF(Q$4:Q1259,""Sell_""&amp;Q1260))))))"),"")</f>
        <v/>
      </c>
      <c r="V1260" s="10" t="str">
        <f t="shared" si="11"/>
        <v/>
      </c>
      <c r="W1260" s="68" t="str">
        <f t="shared" si="12"/>
        <v/>
      </c>
      <c r="X1260" s="59" t="str">
        <f t="shared" si="13"/>
        <v/>
      </c>
      <c r="Y1260" s="69" t="str">
        <f t="shared" si="14"/>
        <v/>
      </c>
      <c r="Z1260" s="11"/>
    </row>
    <row r="1261">
      <c r="A1261" s="8"/>
      <c r="B1261" s="56" t="str">
        <f t="shared" si="2"/>
        <v/>
      </c>
      <c r="C1261" s="57"/>
      <c r="D1261" s="10" t="str">
        <f>IFERROR(__xludf.DUMMYFUNCTION("IF(COUNTA(C1261:C1350)=0,"""",IF(ISBLANK(C1261),FALSE,IF(NOT(COUNTIF($AA$24:$AA$34,SUBSTITUTE(C1261,""Sell_"",""""))),1,IF(REGEXMATCH(C1261,""Sell_""),IF(COUNTIF(C$4:C1261,SUBSTITUTE(C1261,""Sell_"",""""))-COUNTIF(C$4:C1260,C1261)&lt;1,1),FALSE))))"),"")</f>
        <v/>
      </c>
      <c r="E1261" s="59" t="str">
        <f t="array" ref="E1261">IF(COUNTA(C1261:C1350)=0,"",SUM((COUNTIF(C$4:C1261,Upgrades!$B$3:$B$13)-COUNTIF(C$4:C1261,"Sell_"&amp;Upgrades!$B$3:$B$13))*Upgrades!$D$3:$D$13))</f>
        <v/>
      </c>
      <c r="F1261" s="66" t="str">
        <f>IFERROR(__xludf.DUMMYFUNCTION("IF(COUNTA(C1261:C1350)=0,"""",IF(REGEXMATCH(INDEX(FILTER(C$4:C1261,C$4:C1261&lt;&gt;""""),ROWS(FILTER(C$4:C1261,C$4:C1261&lt;&gt;""""))),""^Sell_""),INDEX(FILTER(F$4:F1260,C$4:C1260&lt;&gt;""""),ROWS(FILTER(C$4:C1260,C$4:C1260&lt;&gt;""""))),$AC$5+E1261))"),"")</f>
        <v/>
      </c>
      <c r="G1261" s="10" t="str">
        <f>IFERROR(__xludf.DUMMYFUNCTION("IF(COUNTA(C1261:C1350)=0,"""",IF(C1261="""",0,IF(REGEXMATCH(C1261,""^Sell_""),-ROUNDDOWN(ROUNDUP(INDEX(Upgrades!$C$3:$C$13,MATCH(SUBSTITUTE(C1261,""Sell_"",""""),Upgrades!$B$3:$B$13,0))*1.15^(COUNTIF(C$4:C1260,SUBSTITUTE(C1261,""Sell_"",""""))-COUNTIF(C$4"&amp;":C1260,""Sell_""&amp;SUBSTITUTE(C1261,""Sell_"",""""))))/2),ROUNDUP(INDEX(Upgrades!$C$3:$C$13,MATCH(C1261,Upgrades!$B$3:$B$13,0))*1.15^(COUNTIF(C$4:C1260,C1261)-COUNTIF(C$4:C1260,""Sell_""&amp;C1261))))))"),"")</f>
        <v/>
      </c>
      <c r="H1261" s="10" t="str">
        <f t="shared" si="3"/>
        <v/>
      </c>
      <c r="I1261" s="68" t="str">
        <f t="shared" si="4"/>
        <v/>
      </c>
      <c r="J1261" s="59" t="str">
        <f t="shared" si="5"/>
        <v/>
      </c>
      <c r="K1261" s="69" t="str">
        <f t="shared" si="6"/>
        <v/>
      </c>
      <c r="L1261" s="60" t="str">
        <f t="shared" si="7"/>
        <v/>
      </c>
      <c r="M1261" s="61" t="str">
        <f>IFERROR(__xludf.DUMMYFUNCTION("IFS(AND(COUNTA(C1261:C1350)=0,COUNTA(Q1261:Q1350)=0),"""",OR(AND(K1261&gt;=1000000000,OR(Y1261&gt;=1000000000,COUNTA(Q1261:Q1350)=0)),OR(Y1261&gt;=1000000000,AND(COUNTA(C1261:C1350)=0,P$3=TRUE))),
ROUNDDOWN((AB$1-AC$1)*MAX(INDEX(T$4:T1350,MATCH(LARGE(FILTER(Y$4:Y1"&amp;"350,Y$4:Y1350&lt;1000000000),1),Y$4:Y1350)),INDEX(F$4:F1350,MATCH(LARGE(FILTER(K$4:K1350,K$4:K1350&lt;1000000000),1),K$4:K1350)))),AND(K1261&lt;1000000000,COUNTA(C1261:C1350)&gt;0,P$3=FALSE),
ROUNDDOWN(INDEX(Y$4:Y1350,MATCH(LARGE(FILTER(W$4:W1350,W$4:W1350&lt;=I1261),1)"&amp;",W$4:W1350))+(I1261-LARGE(FILTER(W$4:W1350,W$4:W1350&lt;=I1261),1))*INDEX(T$4:T1350,MATCH(LARGE(FILTER(W$4:W1350,W$4:W1350&lt;=I1261),1),W$4:W1350))-K1261),1,
ROUNDDOWN(Y1261-INDEX(K$4:K1350,MATCH(LARGE(FILTER(I$4:I1350,I$4:I1350&lt;=W1261),1),I$4:I1350))-(W1261-L"&amp;"ARGE(FILTER(I$4:I1350,I$4:I1350&lt;=W1261),1))*INDEX(F$4:F1350,MATCH(LARGE(FILTER(I$4:I1350,I$4:I1350&lt;=W1261),1),I$4:I1350))))"),"")</f>
        <v/>
      </c>
      <c r="N1261" s="60" t="str">
        <f t="shared" si="8"/>
        <v/>
      </c>
      <c r="O1261" s="61" t="str">
        <f t="shared" si="9"/>
        <v/>
      </c>
      <c r="P1261" s="56" t="str">
        <f t="shared" si="10"/>
        <v/>
      </c>
      <c r="Q1261" s="62"/>
      <c r="R1261" s="10" t="str">
        <f>IFERROR(__xludf.DUMMYFUNCTION("IF(COUNTA(Q1261:Q1350)=0,"""",IF(ISBLANK(Q1261),FALSE,IF(NOT(COUNTIF($AA$24:$AA$34,SUBSTITUTE(Q1261,""Sell_"",""""))),1,IF(REGEXMATCH(Q1261,""Sell_""),IF(COUNTIF(Q$4:Q1261,SUBSTITUTE(Q1261,""Sell_"",""""))-COUNTIF(Q$4:Q1260,Q1261)&lt;1,1),FALSE))))"),"")</f>
        <v/>
      </c>
      <c r="S1261" s="59" t="str">
        <f t="array" ref="S1261">IF(COUNTA(Q1261:Q1350)=0,"",SUM((COUNTIF(Q$4:Q1261,Upgrades!$B$3:$B$13)-COUNTIF(Q$4:Q1261,"Sell_"&amp;Upgrades!$B$3:$B$13))*Upgrades!$D$3:$D$13))</f>
        <v/>
      </c>
      <c r="T1261" s="66" t="str">
        <f>IFERROR(__xludf.DUMMYFUNCTION("IF(COUNTA(Q1261:Q1350)=0,"""",IF(REGEXMATCH(INDEX(FILTER(Q$4:Q1261,Q$4:Q1261&lt;&gt;""""),ROWS(FILTER(Q$4:Q1261,Q$4:Q1261&lt;&gt;""""))),""^Sell_""),INDEX(FILTER(T$4:T1260,Q$4:Q1260&lt;&gt;""""),ROWS(FILTER(Q$4:Q1260,Q$4:Q1260&lt;&gt;""""))),$AD$5+S1261))"),"")</f>
        <v/>
      </c>
      <c r="U1261" s="10" t="str">
        <f>IFERROR(__xludf.DUMMYFUNCTION("IF(COUNTA(Q1261:Q1350)=0,"""",IF(Q1261="""",0,IF(REGEXMATCH(Q1261,""^Sell_""),-ROUNDDOWN(ROUNDUP(INDEX(Upgrades!$C$3:$C$13,MATCH(SUBSTITUTE(Q1261,""Sell_"",""""),Upgrades!$B$3:$B$13,0))*1.15^(COUNTIF(Q$4:Q1260,SUBSTITUTE(Q1261,""Sell_"",""""))-COUNTIF(Q$4"&amp;":Q1260,""Sell_""&amp;SUBSTITUTE(Q1261,""Sell_"",""""))))/2),ROUNDUP(INDEX(Upgrades!$C$3:$C$13,MATCH(Q1261,Upgrades!$B$3:$B$13,0))*1.15^(COUNTIF(Q$4:Q1260,Q1261)-COUNTIF(Q$4:Q1260,""Sell_""&amp;Q1261))))))"),"")</f>
        <v/>
      </c>
      <c r="V1261" s="10" t="str">
        <f t="shared" si="11"/>
        <v/>
      </c>
      <c r="W1261" s="68" t="str">
        <f t="shared" si="12"/>
        <v/>
      </c>
      <c r="X1261" s="59" t="str">
        <f t="shared" si="13"/>
        <v/>
      </c>
      <c r="Y1261" s="69" t="str">
        <f t="shared" si="14"/>
        <v/>
      </c>
      <c r="Z1261" s="11"/>
    </row>
    <row r="1262">
      <c r="A1262" s="8"/>
      <c r="B1262" s="56" t="str">
        <f t="shared" si="2"/>
        <v/>
      </c>
      <c r="C1262" s="57"/>
      <c r="D1262" s="10" t="str">
        <f>IFERROR(__xludf.DUMMYFUNCTION("IF(COUNTA(C1262:C1350)=0,"""",IF(ISBLANK(C1262),FALSE,IF(NOT(COUNTIF($AA$24:$AA$34,SUBSTITUTE(C1262,""Sell_"",""""))),1,IF(REGEXMATCH(C1262,""Sell_""),IF(COUNTIF(C$4:C1262,SUBSTITUTE(C1262,""Sell_"",""""))-COUNTIF(C$4:C1261,C1262)&lt;1,1),FALSE))))"),"")</f>
        <v/>
      </c>
      <c r="E1262" s="59" t="str">
        <f t="array" ref="E1262">IF(COUNTA(C1262:C1350)=0,"",SUM((COUNTIF(C$4:C1262,Upgrades!$B$3:$B$13)-COUNTIF(C$4:C1262,"Sell_"&amp;Upgrades!$B$3:$B$13))*Upgrades!$D$3:$D$13))</f>
        <v/>
      </c>
      <c r="F1262" s="66" t="str">
        <f>IFERROR(__xludf.DUMMYFUNCTION("IF(COUNTA(C1262:C1350)=0,"""",IF(REGEXMATCH(INDEX(FILTER(C$4:C1262,C$4:C1262&lt;&gt;""""),ROWS(FILTER(C$4:C1262,C$4:C1262&lt;&gt;""""))),""^Sell_""),INDEX(FILTER(F$4:F1261,C$4:C1261&lt;&gt;""""),ROWS(FILTER(C$4:C1261,C$4:C1261&lt;&gt;""""))),$AC$5+E1262))"),"")</f>
        <v/>
      </c>
      <c r="G1262" s="10" t="str">
        <f>IFERROR(__xludf.DUMMYFUNCTION("IF(COUNTA(C1262:C1350)=0,"""",IF(C1262="""",0,IF(REGEXMATCH(C1262,""^Sell_""),-ROUNDDOWN(ROUNDUP(INDEX(Upgrades!$C$3:$C$13,MATCH(SUBSTITUTE(C1262,""Sell_"",""""),Upgrades!$B$3:$B$13,0))*1.15^(COUNTIF(C$4:C1261,SUBSTITUTE(C1262,""Sell_"",""""))-COUNTIF(C$4"&amp;":C1261,""Sell_""&amp;SUBSTITUTE(C1262,""Sell_"",""""))))/2),ROUNDUP(INDEX(Upgrades!$C$3:$C$13,MATCH(C1262,Upgrades!$B$3:$B$13,0))*1.15^(COUNTIF(C$4:C1261,C1262)-COUNTIF(C$4:C1261,""Sell_""&amp;C1262))))))"),"")</f>
        <v/>
      </c>
      <c r="H1262" s="10" t="str">
        <f t="shared" si="3"/>
        <v/>
      </c>
      <c r="I1262" s="68" t="str">
        <f t="shared" si="4"/>
        <v/>
      </c>
      <c r="J1262" s="59" t="str">
        <f t="shared" si="5"/>
        <v/>
      </c>
      <c r="K1262" s="69" t="str">
        <f t="shared" si="6"/>
        <v/>
      </c>
      <c r="L1262" s="60" t="str">
        <f t="shared" si="7"/>
        <v/>
      </c>
      <c r="M1262" s="61" t="str">
        <f>IFERROR(__xludf.DUMMYFUNCTION("IFS(AND(COUNTA(C1262:C1350)=0,COUNTA(Q1262:Q1350)=0),"""",OR(AND(K1262&gt;=1000000000,OR(Y1262&gt;=1000000000,COUNTA(Q1262:Q1350)=0)),OR(Y1262&gt;=1000000000,AND(COUNTA(C1262:C1350)=0,P$3=TRUE))),
ROUNDDOWN((AB$1-AC$1)*MAX(INDEX(T$4:T1350,MATCH(LARGE(FILTER(Y$4:Y1"&amp;"350,Y$4:Y1350&lt;1000000000),1),Y$4:Y1350)),INDEX(F$4:F1350,MATCH(LARGE(FILTER(K$4:K1350,K$4:K1350&lt;1000000000),1),K$4:K1350)))),AND(K1262&lt;1000000000,COUNTA(C1262:C1350)&gt;0,P$3=FALSE),
ROUNDDOWN(INDEX(Y$4:Y1350,MATCH(LARGE(FILTER(W$4:W1350,W$4:W1350&lt;=I1262),1)"&amp;",W$4:W1350))+(I1262-LARGE(FILTER(W$4:W1350,W$4:W1350&lt;=I1262),1))*INDEX(T$4:T1350,MATCH(LARGE(FILTER(W$4:W1350,W$4:W1350&lt;=I1262),1),W$4:W1350))-K1262),1,
ROUNDDOWN(Y1262-INDEX(K$4:K1350,MATCH(LARGE(FILTER(I$4:I1350,I$4:I1350&lt;=W1262),1),I$4:I1350))-(W1262-L"&amp;"ARGE(FILTER(I$4:I1350,I$4:I1350&lt;=W1262),1))*INDEX(F$4:F1350,MATCH(LARGE(FILTER(I$4:I1350,I$4:I1350&lt;=W1262),1),I$4:I1350))))"),"")</f>
        <v/>
      </c>
      <c r="N1262" s="60" t="str">
        <f t="shared" si="8"/>
        <v/>
      </c>
      <c r="O1262" s="61" t="str">
        <f t="shared" si="9"/>
        <v/>
      </c>
      <c r="P1262" s="56" t="str">
        <f t="shared" si="10"/>
        <v/>
      </c>
      <c r="Q1262" s="62"/>
      <c r="R1262" s="10" t="str">
        <f>IFERROR(__xludf.DUMMYFUNCTION("IF(COUNTA(Q1262:Q1350)=0,"""",IF(ISBLANK(Q1262),FALSE,IF(NOT(COUNTIF($AA$24:$AA$34,SUBSTITUTE(Q1262,""Sell_"",""""))),1,IF(REGEXMATCH(Q1262,""Sell_""),IF(COUNTIF(Q$4:Q1262,SUBSTITUTE(Q1262,""Sell_"",""""))-COUNTIF(Q$4:Q1261,Q1262)&lt;1,1),FALSE))))"),"")</f>
        <v/>
      </c>
      <c r="S1262" s="59" t="str">
        <f t="array" ref="S1262">IF(COUNTA(Q1262:Q1350)=0,"",SUM((COUNTIF(Q$4:Q1262,Upgrades!$B$3:$B$13)-COUNTIF(Q$4:Q1262,"Sell_"&amp;Upgrades!$B$3:$B$13))*Upgrades!$D$3:$D$13))</f>
        <v/>
      </c>
      <c r="T1262" s="66" t="str">
        <f>IFERROR(__xludf.DUMMYFUNCTION("IF(COUNTA(Q1262:Q1350)=0,"""",IF(REGEXMATCH(INDEX(FILTER(Q$4:Q1262,Q$4:Q1262&lt;&gt;""""),ROWS(FILTER(Q$4:Q1262,Q$4:Q1262&lt;&gt;""""))),""^Sell_""),INDEX(FILTER(T$4:T1261,Q$4:Q1261&lt;&gt;""""),ROWS(FILTER(Q$4:Q1261,Q$4:Q1261&lt;&gt;""""))),$AD$5+S1262))"),"")</f>
        <v/>
      </c>
      <c r="U1262" s="10" t="str">
        <f>IFERROR(__xludf.DUMMYFUNCTION("IF(COUNTA(Q1262:Q1350)=0,"""",IF(Q1262="""",0,IF(REGEXMATCH(Q1262,""^Sell_""),-ROUNDDOWN(ROUNDUP(INDEX(Upgrades!$C$3:$C$13,MATCH(SUBSTITUTE(Q1262,""Sell_"",""""),Upgrades!$B$3:$B$13,0))*1.15^(COUNTIF(Q$4:Q1261,SUBSTITUTE(Q1262,""Sell_"",""""))-COUNTIF(Q$4"&amp;":Q1261,""Sell_""&amp;SUBSTITUTE(Q1262,""Sell_"",""""))))/2),ROUNDUP(INDEX(Upgrades!$C$3:$C$13,MATCH(Q1262,Upgrades!$B$3:$B$13,0))*1.15^(COUNTIF(Q$4:Q1261,Q1262)-COUNTIF(Q$4:Q1261,""Sell_""&amp;Q1262))))))"),"")</f>
        <v/>
      </c>
      <c r="V1262" s="10" t="str">
        <f t="shared" si="11"/>
        <v/>
      </c>
      <c r="W1262" s="68" t="str">
        <f t="shared" si="12"/>
        <v/>
      </c>
      <c r="X1262" s="59" t="str">
        <f t="shared" si="13"/>
        <v/>
      </c>
      <c r="Y1262" s="69" t="str">
        <f t="shared" si="14"/>
        <v/>
      </c>
      <c r="Z1262" s="11"/>
    </row>
    <row r="1263">
      <c r="A1263" s="8"/>
      <c r="B1263" s="56" t="str">
        <f t="shared" si="2"/>
        <v/>
      </c>
      <c r="C1263" s="57"/>
      <c r="D1263" s="10" t="str">
        <f>IFERROR(__xludf.DUMMYFUNCTION("IF(COUNTA(C1263:C1350)=0,"""",IF(ISBLANK(C1263),FALSE,IF(NOT(COUNTIF($AA$24:$AA$34,SUBSTITUTE(C1263,""Sell_"",""""))),1,IF(REGEXMATCH(C1263,""Sell_""),IF(COUNTIF(C$4:C1263,SUBSTITUTE(C1263,""Sell_"",""""))-COUNTIF(C$4:C1262,C1263)&lt;1,1),FALSE))))"),"")</f>
        <v/>
      </c>
      <c r="E1263" s="59" t="str">
        <f t="array" ref="E1263">IF(COUNTA(C1263:C1350)=0,"",SUM((COUNTIF(C$4:C1263,Upgrades!$B$3:$B$13)-COUNTIF(C$4:C1263,"Sell_"&amp;Upgrades!$B$3:$B$13))*Upgrades!$D$3:$D$13))</f>
        <v/>
      </c>
      <c r="F1263" s="66" t="str">
        <f>IFERROR(__xludf.DUMMYFUNCTION("IF(COUNTA(C1263:C1350)=0,"""",IF(REGEXMATCH(INDEX(FILTER(C$4:C1263,C$4:C1263&lt;&gt;""""),ROWS(FILTER(C$4:C1263,C$4:C1263&lt;&gt;""""))),""^Sell_""),INDEX(FILTER(F$4:F1262,C$4:C1262&lt;&gt;""""),ROWS(FILTER(C$4:C1262,C$4:C1262&lt;&gt;""""))),$AC$5+E1263))"),"")</f>
        <v/>
      </c>
      <c r="G1263" s="10" t="str">
        <f>IFERROR(__xludf.DUMMYFUNCTION("IF(COUNTA(C1263:C1350)=0,"""",IF(C1263="""",0,IF(REGEXMATCH(C1263,""^Sell_""),-ROUNDDOWN(ROUNDUP(INDEX(Upgrades!$C$3:$C$13,MATCH(SUBSTITUTE(C1263,""Sell_"",""""),Upgrades!$B$3:$B$13,0))*1.15^(COUNTIF(C$4:C1262,SUBSTITUTE(C1263,""Sell_"",""""))-COUNTIF(C$4"&amp;":C1262,""Sell_""&amp;SUBSTITUTE(C1263,""Sell_"",""""))))/2),ROUNDUP(INDEX(Upgrades!$C$3:$C$13,MATCH(C1263,Upgrades!$B$3:$B$13,0))*1.15^(COUNTIF(C$4:C1262,C1263)-COUNTIF(C$4:C1262,""Sell_""&amp;C1263))))))"),"")</f>
        <v/>
      </c>
      <c r="H1263" s="10" t="str">
        <f t="shared" si="3"/>
        <v/>
      </c>
      <c r="I1263" s="68" t="str">
        <f t="shared" si="4"/>
        <v/>
      </c>
      <c r="J1263" s="59" t="str">
        <f t="shared" si="5"/>
        <v/>
      </c>
      <c r="K1263" s="69" t="str">
        <f t="shared" si="6"/>
        <v/>
      </c>
      <c r="L1263" s="60" t="str">
        <f t="shared" si="7"/>
        <v/>
      </c>
      <c r="M1263" s="61" t="str">
        <f>IFERROR(__xludf.DUMMYFUNCTION("IFS(AND(COUNTA(C1263:C1350)=0,COUNTA(Q1263:Q1350)=0),"""",OR(AND(K1263&gt;=1000000000,OR(Y1263&gt;=1000000000,COUNTA(Q1263:Q1350)=0)),OR(Y1263&gt;=1000000000,AND(COUNTA(C1263:C1350)=0,P$3=TRUE))),
ROUNDDOWN((AB$1-AC$1)*MAX(INDEX(T$4:T1350,MATCH(LARGE(FILTER(Y$4:Y1"&amp;"350,Y$4:Y1350&lt;1000000000),1),Y$4:Y1350)),INDEX(F$4:F1350,MATCH(LARGE(FILTER(K$4:K1350,K$4:K1350&lt;1000000000),1),K$4:K1350)))),AND(K1263&lt;1000000000,COUNTA(C1263:C1350)&gt;0,P$3=FALSE),
ROUNDDOWN(INDEX(Y$4:Y1350,MATCH(LARGE(FILTER(W$4:W1350,W$4:W1350&lt;=I1263),1)"&amp;",W$4:W1350))+(I1263-LARGE(FILTER(W$4:W1350,W$4:W1350&lt;=I1263),1))*INDEX(T$4:T1350,MATCH(LARGE(FILTER(W$4:W1350,W$4:W1350&lt;=I1263),1),W$4:W1350))-K1263),1,
ROUNDDOWN(Y1263-INDEX(K$4:K1350,MATCH(LARGE(FILTER(I$4:I1350,I$4:I1350&lt;=W1263),1),I$4:I1350))-(W1263-L"&amp;"ARGE(FILTER(I$4:I1350,I$4:I1350&lt;=W1263),1))*INDEX(F$4:F1350,MATCH(LARGE(FILTER(I$4:I1350,I$4:I1350&lt;=W1263),1),I$4:I1350))))"),"")</f>
        <v/>
      </c>
      <c r="N1263" s="60" t="str">
        <f t="shared" si="8"/>
        <v/>
      </c>
      <c r="O1263" s="61" t="str">
        <f t="shared" si="9"/>
        <v/>
      </c>
      <c r="P1263" s="56" t="str">
        <f t="shared" si="10"/>
        <v/>
      </c>
      <c r="Q1263" s="62"/>
      <c r="R1263" s="10" t="str">
        <f>IFERROR(__xludf.DUMMYFUNCTION("IF(COUNTA(Q1263:Q1350)=0,"""",IF(ISBLANK(Q1263),FALSE,IF(NOT(COUNTIF($AA$24:$AA$34,SUBSTITUTE(Q1263,""Sell_"",""""))),1,IF(REGEXMATCH(Q1263,""Sell_""),IF(COUNTIF(Q$4:Q1263,SUBSTITUTE(Q1263,""Sell_"",""""))-COUNTIF(Q$4:Q1262,Q1263)&lt;1,1),FALSE))))"),"")</f>
        <v/>
      </c>
      <c r="S1263" s="59" t="str">
        <f t="array" ref="S1263">IF(COUNTA(Q1263:Q1350)=0,"",SUM((COUNTIF(Q$4:Q1263,Upgrades!$B$3:$B$13)-COUNTIF(Q$4:Q1263,"Sell_"&amp;Upgrades!$B$3:$B$13))*Upgrades!$D$3:$D$13))</f>
        <v/>
      </c>
      <c r="T1263" s="66" t="str">
        <f>IFERROR(__xludf.DUMMYFUNCTION("IF(COUNTA(Q1263:Q1350)=0,"""",IF(REGEXMATCH(INDEX(FILTER(Q$4:Q1263,Q$4:Q1263&lt;&gt;""""),ROWS(FILTER(Q$4:Q1263,Q$4:Q1263&lt;&gt;""""))),""^Sell_""),INDEX(FILTER(T$4:T1262,Q$4:Q1262&lt;&gt;""""),ROWS(FILTER(Q$4:Q1262,Q$4:Q1262&lt;&gt;""""))),$AD$5+S1263))"),"")</f>
        <v/>
      </c>
      <c r="U1263" s="10" t="str">
        <f>IFERROR(__xludf.DUMMYFUNCTION("IF(COUNTA(Q1263:Q1350)=0,"""",IF(Q1263="""",0,IF(REGEXMATCH(Q1263,""^Sell_""),-ROUNDDOWN(ROUNDUP(INDEX(Upgrades!$C$3:$C$13,MATCH(SUBSTITUTE(Q1263,""Sell_"",""""),Upgrades!$B$3:$B$13,0))*1.15^(COUNTIF(Q$4:Q1262,SUBSTITUTE(Q1263,""Sell_"",""""))-COUNTIF(Q$4"&amp;":Q1262,""Sell_""&amp;SUBSTITUTE(Q1263,""Sell_"",""""))))/2),ROUNDUP(INDEX(Upgrades!$C$3:$C$13,MATCH(Q1263,Upgrades!$B$3:$B$13,0))*1.15^(COUNTIF(Q$4:Q1262,Q1263)-COUNTIF(Q$4:Q1262,""Sell_""&amp;Q1263))))))"),"")</f>
        <v/>
      </c>
      <c r="V1263" s="10" t="str">
        <f t="shared" si="11"/>
        <v/>
      </c>
      <c r="W1263" s="68" t="str">
        <f t="shared" si="12"/>
        <v/>
      </c>
      <c r="X1263" s="59" t="str">
        <f t="shared" si="13"/>
        <v/>
      </c>
      <c r="Y1263" s="69" t="str">
        <f t="shared" si="14"/>
        <v/>
      </c>
      <c r="Z1263" s="11"/>
    </row>
    <row r="1264">
      <c r="A1264" s="8"/>
      <c r="B1264" s="56" t="str">
        <f t="shared" si="2"/>
        <v/>
      </c>
      <c r="C1264" s="57"/>
      <c r="D1264" s="10" t="str">
        <f>IFERROR(__xludf.DUMMYFUNCTION("IF(COUNTA(C1264:C1350)=0,"""",IF(ISBLANK(C1264),FALSE,IF(NOT(COUNTIF($AA$24:$AA$34,SUBSTITUTE(C1264,""Sell_"",""""))),1,IF(REGEXMATCH(C1264,""Sell_""),IF(COUNTIF(C$4:C1264,SUBSTITUTE(C1264,""Sell_"",""""))-COUNTIF(C$4:C1263,C1264)&lt;1,1),FALSE))))"),"")</f>
        <v/>
      </c>
      <c r="E1264" s="59" t="str">
        <f t="array" ref="E1264">IF(COUNTA(C1264:C1350)=0,"",SUM((COUNTIF(C$4:C1264,Upgrades!$B$3:$B$13)-COUNTIF(C$4:C1264,"Sell_"&amp;Upgrades!$B$3:$B$13))*Upgrades!$D$3:$D$13))</f>
        <v/>
      </c>
      <c r="F1264" s="66" t="str">
        <f>IFERROR(__xludf.DUMMYFUNCTION("IF(COUNTA(C1264:C1350)=0,"""",IF(REGEXMATCH(INDEX(FILTER(C$4:C1264,C$4:C1264&lt;&gt;""""),ROWS(FILTER(C$4:C1264,C$4:C1264&lt;&gt;""""))),""^Sell_""),INDEX(FILTER(F$4:F1263,C$4:C1263&lt;&gt;""""),ROWS(FILTER(C$4:C1263,C$4:C1263&lt;&gt;""""))),$AC$5+E1264))"),"")</f>
        <v/>
      </c>
      <c r="G1264" s="10" t="str">
        <f>IFERROR(__xludf.DUMMYFUNCTION("IF(COUNTA(C1264:C1350)=0,"""",IF(C1264="""",0,IF(REGEXMATCH(C1264,""^Sell_""),-ROUNDDOWN(ROUNDUP(INDEX(Upgrades!$C$3:$C$13,MATCH(SUBSTITUTE(C1264,""Sell_"",""""),Upgrades!$B$3:$B$13,0))*1.15^(COUNTIF(C$4:C1263,SUBSTITUTE(C1264,""Sell_"",""""))-COUNTIF(C$4"&amp;":C1263,""Sell_""&amp;SUBSTITUTE(C1264,""Sell_"",""""))))/2),ROUNDUP(INDEX(Upgrades!$C$3:$C$13,MATCH(C1264,Upgrades!$B$3:$B$13,0))*1.15^(COUNTIF(C$4:C1263,C1264)-COUNTIF(C$4:C1263,""Sell_""&amp;C1264))))))"),"")</f>
        <v/>
      </c>
      <c r="H1264" s="10" t="str">
        <f t="shared" si="3"/>
        <v/>
      </c>
      <c r="I1264" s="68" t="str">
        <f t="shared" si="4"/>
        <v/>
      </c>
      <c r="J1264" s="59" t="str">
        <f t="shared" si="5"/>
        <v/>
      </c>
      <c r="K1264" s="69" t="str">
        <f t="shared" si="6"/>
        <v/>
      </c>
      <c r="L1264" s="60" t="str">
        <f t="shared" si="7"/>
        <v/>
      </c>
      <c r="M1264" s="61" t="str">
        <f>IFERROR(__xludf.DUMMYFUNCTION("IFS(AND(COUNTA(C1264:C1350)=0,COUNTA(Q1264:Q1350)=0),"""",OR(AND(K1264&gt;=1000000000,OR(Y1264&gt;=1000000000,COUNTA(Q1264:Q1350)=0)),OR(Y1264&gt;=1000000000,AND(COUNTA(C1264:C1350)=0,P$3=TRUE))),
ROUNDDOWN((AB$1-AC$1)*MAX(INDEX(T$4:T1350,MATCH(LARGE(FILTER(Y$4:Y1"&amp;"350,Y$4:Y1350&lt;1000000000),1),Y$4:Y1350)),INDEX(F$4:F1350,MATCH(LARGE(FILTER(K$4:K1350,K$4:K1350&lt;1000000000),1),K$4:K1350)))),AND(K1264&lt;1000000000,COUNTA(C1264:C1350)&gt;0,P$3=FALSE),
ROUNDDOWN(INDEX(Y$4:Y1350,MATCH(LARGE(FILTER(W$4:W1350,W$4:W1350&lt;=I1264),1)"&amp;",W$4:W1350))+(I1264-LARGE(FILTER(W$4:W1350,W$4:W1350&lt;=I1264),1))*INDEX(T$4:T1350,MATCH(LARGE(FILTER(W$4:W1350,W$4:W1350&lt;=I1264),1),W$4:W1350))-K1264),1,
ROUNDDOWN(Y1264-INDEX(K$4:K1350,MATCH(LARGE(FILTER(I$4:I1350,I$4:I1350&lt;=W1264),1),I$4:I1350))-(W1264-L"&amp;"ARGE(FILTER(I$4:I1350,I$4:I1350&lt;=W1264),1))*INDEX(F$4:F1350,MATCH(LARGE(FILTER(I$4:I1350,I$4:I1350&lt;=W1264),1),I$4:I1350))))"),"")</f>
        <v/>
      </c>
      <c r="N1264" s="60" t="str">
        <f t="shared" si="8"/>
        <v/>
      </c>
      <c r="O1264" s="61" t="str">
        <f t="shared" si="9"/>
        <v/>
      </c>
      <c r="P1264" s="56" t="str">
        <f t="shared" si="10"/>
        <v/>
      </c>
      <c r="Q1264" s="62"/>
      <c r="R1264" s="10" t="str">
        <f>IFERROR(__xludf.DUMMYFUNCTION("IF(COUNTA(Q1264:Q1350)=0,"""",IF(ISBLANK(Q1264),FALSE,IF(NOT(COUNTIF($AA$24:$AA$34,SUBSTITUTE(Q1264,""Sell_"",""""))),1,IF(REGEXMATCH(Q1264,""Sell_""),IF(COUNTIF(Q$4:Q1264,SUBSTITUTE(Q1264,""Sell_"",""""))-COUNTIF(Q$4:Q1263,Q1264)&lt;1,1),FALSE))))"),"")</f>
        <v/>
      </c>
      <c r="S1264" s="59" t="str">
        <f t="array" ref="S1264">IF(COUNTA(Q1264:Q1350)=0,"",SUM((COUNTIF(Q$4:Q1264,Upgrades!$B$3:$B$13)-COUNTIF(Q$4:Q1264,"Sell_"&amp;Upgrades!$B$3:$B$13))*Upgrades!$D$3:$D$13))</f>
        <v/>
      </c>
      <c r="T1264" s="66" t="str">
        <f>IFERROR(__xludf.DUMMYFUNCTION("IF(COUNTA(Q1264:Q1350)=0,"""",IF(REGEXMATCH(INDEX(FILTER(Q$4:Q1264,Q$4:Q1264&lt;&gt;""""),ROWS(FILTER(Q$4:Q1264,Q$4:Q1264&lt;&gt;""""))),""^Sell_""),INDEX(FILTER(T$4:T1263,Q$4:Q1263&lt;&gt;""""),ROWS(FILTER(Q$4:Q1263,Q$4:Q1263&lt;&gt;""""))),$AD$5+S1264))"),"")</f>
        <v/>
      </c>
      <c r="U1264" s="10" t="str">
        <f>IFERROR(__xludf.DUMMYFUNCTION("IF(COUNTA(Q1264:Q1350)=0,"""",IF(Q1264="""",0,IF(REGEXMATCH(Q1264,""^Sell_""),-ROUNDDOWN(ROUNDUP(INDEX(Upgrades!$C$3:$C$13,MATCH(SUBSTITUTE(Q1264,""Sell_"",""""),Upgrades!$B$3:$B$13,0))*1.15^(COUNTIF(Q$4:Q1263,SUBSTITUTE(Q1264,""Sell_"",""""))-COUNTIF(Q$4"&amp;":Q1263,""Sell_""&amp;SUBSTITUTE(Q1264,""Sell_"",""""))))/2),ROUNDUP(INDEX(Upgrades!$C$3:$C$13,MATCH(Q1264,Upgrades!$B$3:$B$13,0))*1.15^(COUNTIF(Q$4:Q1263,Q1264)-COUNTIF(Q$4:Q1263,""Sell_""&amp;Q1264))))))"),"")</f>
        <v/>
      </c>
      <c r="V1264" s="10" t="str">
        <f t="shared" si="11"/>
        <v/>
      </c>
      <c r="W1264" s="68" t="str">
        <f t="shared" si="12"/>
        <v/>
      </c>
      <c r="X1264" s="59" t="str">
        <f t="shared" si="13"/>
        <v/>
      </c>
      <c r="Y1264" s="69" t="str">
        <f t="shared" si="14"/>
        <v/>
      </c>
      <c r="Z1264" s="11"/>
    </row>
    <row r="1265">
      <c r="A1265" s="8"/>
      <c r="B1265" s="56" t="str">
        <f t="shared" si="2"/>
        <v/>
      </c>
      <c r="C1265" s="57"/>
      <c r="D1265" s="10" t="str">
        <f>IFERROR(__xludf.DUMMYFUNCTION("IF(COUNTA(C1265:C1350)=0,"""",IF(ISBLANK(C1265),FALSE,IF(NOT(COUNTIF($AA$24:$AA$34,SUBSTITUTE(C1265,""Sell_"",""""))),1,IF(REGEXMATCH(C1265,""Sell_""),IF(COUNTIF(C$4:C1265,SUBSTITUTE(C1265,""Sell_"",""""))-COUNTIF(C$4:C1264,C1265)&lt;1,1),FALSE))))"),"")</f>
        <v/>
      </c>
      <c r="E1265" s="59" t="str">
        <f t="array" ref="E1265">IF(COUNTA(C1265:C1350)=0,"",SUM((COUNTIF(C$4:C1265,Upgrades!$B$3:$B$13)-COUNTIF(C$4:C1265,"Sell_"&amp;Upgrades!$B$3:$B$13))*Upgrades!$D$3:$D$13))</f>
        <v/>
      </c>
      <c r="F1265" s="66" t="str">
        <f>IFERROR(__xludf.DUMMYFUNCTION("IF(COUNTA(C1265:C1350)=0,"""",IF(REGEXMATCH(INDEX(FILTER(C$4:C1265,C$4:C1265&lt;&gt;""""),ROWS(FILTER(C$4:C1265,C$4:C1265&lt;&gt;""""))),""^Sell_""),INDEX(FILTER(F$4:F1264,C$4:C1264&lt;&gt;""""),ROWS(FILTER(C$4:C1264,C$4:C1264&lt;&gt;""""))),$AC$5+E1265))"),"")</f>
        <v/>
      </c>
      <c r="G1265" s="10" t="str">
        <f>IFERROR(__xludf.DUMMYFUNCTION("IF(COUNTA(C1265:C1350)=0,"""",IF(C1265="""",0,IF(REGEXMATCH(C1265,""^Sell_""),-ROUNDDOWN(ROUNDUP(INDEX(Upgrades!$C$3:$C$13,MATCH(SUBSTITUTE(C1265,""Sell_"",""""),Upgrades!$B$3:$B$13,0))*1.15^(COUNTIF(C$4:C1264,SUBSTITUTE(C1265,""Sell_"",""""))-COUNTIF(C$4"&amp;":C1264,""Sell_""&amp;SUBSTITUTE(C1265,""Sell_"",""""))))/2),ROUNDUP(INDEX(Upgrades!$C$3:$C$13,MATCH(C1265,Upgrades!$B$3:$B$13,0))*1.15^(COUNTIF(C$4:C1264,C1265)-COUNTIF(C$4:C1264,""Sell_""&amp;C1265))))))"),"")</f>
        <v/>
      </c>
      <c r="H1265" s="10" t="str">
        <f t="shared" si="3"/>
        <v/>
      </c>
      <c r="I1265" s="68" t="str">
        <f t="shared" si="4"/>
        <v/>
      </c>
      <c r="J1265" s="59" t="str">
        <f t="shared" si="5"/>
        <v/>
      </c>
      <c r="K1265" s="69" t="str">
        <f t="shared" si="6"/>
        <v/>
      </c>
      <c r="L1265" s="60" t="str">
        <f t="shared" si="7"/>
        <v/>
      </c>
      <c r="M1265" s="61" t="str">
        <f>IFERROR(__xludf.DUMMYFUNCTION("IFS(AND(COUNTA(C1265:C1350)=0,COUNTA(Q1265:Q1350)=0),"""",OR(AND(K1265&gt;=1000000000,OR(Y1265&gt;=1000000000,COUNTA(Q1265:Q1350)=0)),OR(Y1265&gt;=1000000000,AND(COUNTA(C1265:C1350)=0,P$3=TRUE))),
ROUNDDOWN((AB$1-AC$1)*MAX(INDEX(T$4:T1350,MATCH(LARGE(FILTER(Y$4:Y1"&amp;"350,Y$4:Y1350&lt;1000000000),1),Y$4:Y1350)),INDEX(F$4:F1350,MATCH(LARGE(FILTER(K$4:K1350,K$4:K1350&lt;1000000000),1),K$4:K1350)))),AND(K1265&lt;1000000000,COUNTA(C1265:C1350)&gt;0,P$3=FALSE),
ROUNDDOWN(INDEX(Y$4:Y1350,MATCH(LARGE(FILTER(W$4:W1350,W$4:W1350&lt;=I1265),1)"&amp;",W$4:W1350))+(I1265-LARGE(FILTER(W$4:W1350,W$4:W1350&lt;=I1265),1))*INDEX(T$4:T1350,MATCH(LARGE(FILTER(W$4:W1350,W$4:W1350&lt;=I1265),1),W$4:W1350))-K1265),1,
ROUNDDOWN(Y1265-INDEX(K$4:K1350,MATCH(LARGE(FILTER(I$4:I1350,I$4:I1350&lt;=W1265),1),I$4:I1350))-(W1265-L"&amp;"ARGE(FILTER(I$4:I1350,I$4:I1350&lt;=W1265),1))*INDEX(F$4:F1350,MATCH(LARGE(FILTER(I$4:I1350,I$4:I1350&lt;=W1265),1),I$4:I1350))))"),"")</f>
        <v/>
      </c>
      <c r="N1265" s="60" t="str">
        <f t="shared" si="8"/>
        <v/>
      </c>
      <c r="O1265" s="61" t="str">
        <f t="shared" si="9"/>
        <v/>
      </c>
      <c r="P1265" s="56" t="str">
        <f t="shared" si="10"/>
        <v/>
      </c>
      <c r="Q1265" s="62"/>
      <c r="R1265" s="10" t="str">
        <f>IFERROR(__xludf.DUMMYFUNCTION("IF(COUNTA(Q1265:Q1350)=0,"""",IF(ISBLANK(Q1265),FALSE,IF(NOT(COUNTIF($AA$24:$AA$34,SUBSTITUTE(Q1265,""Sell_"",""""))),1,IF(REGEXMATCH(Q1265,""Sell_""),IF(COUNTIF(Q$4:Q1265,SUBSTITUTE(Q1265,""Sell_"",""""))-COUNTIF(Q$4:Q1264,Q1265)&lt;1,1),FALSE))))"),"")</f>
        <v/>
      </c>
      <c r="S1265" s="59" t="str">
        <f t="array" ref="S1265">IF(COUNTA(Q1265:Q1350)=0,"",SUM((COUNTIF(Q$4:Q1265,Upgrades!$B$3:$B$13)-COUNTIF(Q$4:Q1265,"Sell_"&amp;Upgrades!$B$3:$B$13))*Upgrades!$D$3:$D$13))</f>
        <v/>
      </c>
      <c r="T1265" s="66" t="str">
        <f>IFERROR(__xludf.DUMMYFUNCTION("IF(COUNTA(Q1265:Q1350)=0,"""",IF(REGEXMATCH(INDEX(FILTER(Q$4:Q1265,Q$4:Q1265&lt;&gt;""""),ROWS(FILTER(Q$4:Q1265,Q$4:Q1265&lt;&gt;""""))),""^Sell_""),INDEX(FILTER(T$4:T1264,Q$4:Q1264&lt;&gt;""""),ROWS(FILTER(Q$4:Q1264,Q$4:Q1264&lt;&gt;""""))),$AD$5+S1265))"),"")</f>
        <v/>
      </c>
      <c r="U1265" s="10" t="str">
        <f>IFERROR(__xludf.DUMMYFUNCTION("IF(COUNTA(Q1265:Q1350)=0,"""",IF(Q1265="""",0,IF(REGEXMATCH(Q1265,""^Sell_""),-ROUNDDOWN(ROUNDUP(INDEX(Upgrades!$C$3:$C$13,MATCH(SUBSTITUTE(Q1265,""Sell_"",""""),Upgrades!$B$3:$B$13,0))*1.15^(COUNTIF(Q$4:Q1264,SUBSTITUTE(Q1265,""Sell_"",""""))-COUNTIF(Q$4"&amp;":Q1264,""Sell_""&amp;SUBSTITUTE(Q1265,""Sell_"",""""))))/2),ROUNDUP(INDEX(Upgrades!$C$3:$C$13,MATCH(Q1265,Upgrades!$B$3:$B$13,0))*1.15^(COUNTIF(Q$4:Q1264,Q1265)-COUNTIF(Q$4:Q1264,""Sell_""&amp;Q1265))))))"),"")</f>
        <v/>
      </c>
      <c r="V1265" s="10" t="str">
        <f t="shared" si="11"/>
        <v/>
      </c>
      <c r="W1265" s="68" t="str">
        <f t="shared" si="12"/>
        <v/>
      </c>
      <c r="X1265" s="59" t="str">
        <f t="shared" si="13"/>
        <v/>
      </c>
      <c r="Y1265" s="69" t="str">
        <f t="shared" si="14"/>
        <v/>
      </c>
      <c r="Z1265" s="11"/>
    </row>
    <row r="1266">
      <c r="A1266" s="8"/>
      <c r="B1266" s="56" t="str">
        <f t="shared" si="2"/>
        <v/>
      </c>
      <c r="C1266" s="57"/>
      <c r="D1266" s="10" t="str">
        <f>IFERROR(__xludf.DUMMYFUNCTION("IF(COUNTA(C1266:C1350)=0,"""",IF(ISBLANK(C1266),FALSE,IF(NOT(COUNTIF($AA$24:$AA$34,SUBSTITUTE(C1266,""Sell_"",""""))),1,IF(REGEXMATCH(C1266,""Sell_""),IF(COUNTIF(C$4:C1266,SUBSTITUTE(C1266,""Sell_"",""""))-COUNTIF(C$4:C1265,C1266)&lt;1,1),FALSE))))"),"")</f>
        <v/>
      </c>
      <c r="E1266" s="59" t="str">
        <f t="array" ref="E1266">IF(COUNTA(C1266:C1350)=0,"",SUM((COUNTIF(C$4:C1266,Upgrades!$B$3:$B$13)-COUNTIF(C$4:C1266,"Sell_"&amp;Upgrades!$B$3:$B$13))*Upgrades!$D$3:$D$13))</f>
        <v/>
      </c>
      <c r="F1266" s="66" t="str">
        <f>IFERROR(__xludf.DUMMYFUNCTION("IF(COUNTA(C1266:C1350)=0,"""",IF(REGEXMATCH(INDEX(FILTER(C$4:C1266,C$4:C1266&lt;&gt;""""),ROWS(FILTER(C$4:C1266,C$4:C1266&lt;&gt;""""))),""^Sell_""),INDEX(FILTER(F$4:F1265,C$4:C1265&lt;&gt;""""),ROWS(FILTER(C$4:C1265,C$4:C1265&lt;&gt;""""))),$AC$5+E1266))"),"")</f>
        <v/>
      </c>
      <c r="G1266" s="10" t="str">
        <f>IFERROR(__xludf.DUMMYFUNCTION("IF(COUNTA(C1266:C1350)=0,"""",IF(C1266="""",0,IF(REGEXMATCH(C1266,""^Sell_""),-ROUNDDOWN(ROUNDUP(INDEX(Upgrades!$C$3:$C$13,MATCH(SUBSTITUTE(C1266,""Sell_"",""""),Upgrades!$B$3:$B$13,0))*1.15^(COUNTIF(C$4:C1265,SUBSTITUTE(C1266,""Sell_"",""""))-COUNTIF(C$4"&amp;":C1265,""Sell_""&amp;SUBSTITUTE(C1266,""Sell_"",""""))))/2),ROUNDUP(INDEX(Upgrades!$C$3:$C$13,MATCH(C1266,Upgrades!$B$3:$B$13,0))*1.15^(COUNTIF(C$4:C1265,C1266)-COUNTIF(C$4:C1265,""Sell_""&amp;C1266))))))"),"")</f>
        <v/>
      </c>
      <c r="H1266" s="10" t="str">
        <f t="shared" si="3"/>
        <v/>
      </c>
      <c r="I1266" s="68" t="str">
        <f t="shared" si="4"/>
        <v/>
      </c>
      <c r="J1266" s="59" t="str">
        <f t="shared" si="5"/>
        <v/>
      </c>
      <c r="K1266" s="69" t="str">
        <f t="shared" si="6"/>
        <v/>
      </c>
      <c r="L1266" s="60" t="str">
        <f t="shared" si="7"/>
        <v/>
      </c>
      <c r="M1266" s="61" t="str">
        <f>IFERROR(__xludf.DUMMYFUNCTION("IFS(AND(COUNTA(C1266:C1350)=0,COUNTA(Q1266:Q1350)=0),"""",OR(AND(K1266&gt;=1000000000,OR(Y1266&gt;=1000000000,COUNTA(Q1266:Q1350)=0)),OR(Y1266&gt;=1000000000,AND(COUNTA(C1266:C1350)=0,P$3=TRUE))),
ROUNDDOWN((AB$1-AC$1)*MAX(INDEX(T$4:T1350,MATCH(LARGE(FILTER(Y$4:Y1"&amp;"350,Y$4:Y1350&lt;1000000000),1),Y$4:Y1350)),INDEX(F$4:F1350,MATCH(LARGE(FILTER(K$4:K1350,K$4:K1350&lt;1000000000),1),K$4:K1350)))),AND(K1266&lt;1000000000,COUNTA(C1266:C1350)&gt;0,P$3=FALSE),
ROUNDDOWN(INDEX(Y$4:Y1350,MATCH(LARGE(FILTER(W$4:W1350,W$4:W1350&lt;=I1266),1)"&amp;",W$4:W1350))+(I1266-LARGE(FILTER(W$4:W1350,W$4:W1350&lt;=I1266),1))*INDEX(T$4:T1350,MATCH(LARGE(FILTER(W$4:W1350,W$4:W1350&lt;=I1266),1),W$4:W1350))-K1266),1,
ROUNDDOWN(Y1266-INDEX(K$4:K1350,MATCH(LARGE(FILTER(I$4:I1350,I$4:I1350&lt;=W1266),1),I$4:I1350))-(W1266-L"&amp;"ARGE(FILTER(I$4:I1350,I$4:I1350&lt;=W1266),1))*INDEX(F$4:F1350,MATCH(LARGE(FILTER(I$4:I1350,I$4:I1350&lt;=W1266),1),I$4:I1350))))"),"")</f>
        <v/>
      </c>
      <c r="N1266" s="60" t="str">
        <f t="shared" si="8"/>
        <v/>
      </c>
      <c r="O1266" s="61" t="str">
        <f t="shared" si="9"/>
        <v/>
      </c>
      <c r="P1266" s="56" t="str">
        <f t="shared" si="10"/>
        <v/>
      </c>
      <c r="Q1266" s="62"/>
      <c r="R1266" s="10" t="str">
        <f>IFERROR(__xludf.DUMMYFUNCTION("IF(COUNTA(Q1266:Q1350)=0,"""",IF(ISBLANK(Q1266),FALSE,IF(NOT(COUNTIF($AA$24:$AA$34,SUBSTITUTE(Q1266,""Sell_"",""""))),1,IF(REGEXMATCH(Q1266,""Sell_""),IF(COUNTIF(Q$4:Q1266,SUBSTITUTE(Q1266,""Sell_"",""""))-COUNTIF(Q$4:Q1265,Q1266)&lt;1,1),FALSE))))"),"")</f>
        <v/>
      </c>
      <c r="S1266" s="59" t="str">
        <f t="array" ref="S1266">IF(COUNTA(Q1266:Q1350)=0,"",SUM((COUNTIF(Q$4:Q1266,Upgrades!$B$3:$B$13)-COUNTIF(Q$4:Q1266,"Sell_"&amp;Upgrades!$B$3:$B$13))*Upgrades!$D$3:$D$13))</f>
        <v/>
      </c>
      <c r="T1266" s="66" t="str">
        <f>IFERROR(__xludf.DUMMYFUNCTION("IF(COUNTA(Q1266:Q1350)=0,"""",IF(REGEXMATCH(INDEX(FILTER(Q$4:Q1266,Q$4:Q1266&lt;&gt;""""),ROWS(FILTER(Q$4:Q1266,Q$4:Q1266&lt;&gt;""""))),""^Sell_""),INDEX(FILTER(T$4:T1265,Q$4:Q1265&lt;&gt;""""),ROWS(FILTER(Q$4:Q1265,Q$4:Q1265&lt;&gt;""""))),$AD$5+S1266))"),"")</f>
        <v/>
      </c>
      <c r="U1266" s="10" t="str">
        <f>IFERROR(__xludf.DUMMYFUNCTION("IF(COUNTA(Q1266:Q1350)=0,"""",IF(Q1266="""",0,IF(REGEXMATCH(Q1266,""^Sell_""),-ROUNDDOWN(ROUNDUP(INDEX(Upgrades!$C$3:$C$13,MATCH(SUBSTITUTE(Q1266,""Sell_"",""""),Upgrades!$B$3:$B$13,0))*1.15^(COUNTIF(Q$4:Q1265,SUBSTITUTE(Q1266,""Sell_"",""""))-COUNTIF(Q$4"&amp;":Q1265,""Sell_""&amp;SUBSTITUTE(Q1266,""Sell_"",""""))))/2),ROUNDUP(INDEX(Upgrades!$C$3:$C$13,MATCH(Q1266,Upgrades!$B$3:$B$13,0))*1.15^(COUNTIF(Q$4:Q1265,Q1266)-COUNTIF(Q$4:Q1265,""Sell_""&amp;Q1266))))))"),"")</f>
        <v/>
      </c>
      <c r="V1266" s="10" t="str">
        <f t="shared" si="11"/>
        <v/>
      </c>
      <c r="W1266" s="68" t="str">
        <f t="shared" si="12"/>
        <v/>
      </c>
      <c r="X1266" s="59" t="str">
        <f t="shared" si="13"/>
        <v/>
      </c>
      <c r="Y1266" s="69" t="str">
        <f t="shared" si="14"/>
        <v/>
      </c>
      <c r="Z1266" s="11"/>
    </row>
    <row r="1267">
      <c r="A1267" s="8"/>
      <c r="B1267" s="56" t="str">
        <f t="shared" si="2"/>
        <v/>
      </c>
      <c r="C1267" s="57"/>
      <c r="D1267" s="10" t="str">
        <f>IFERROR(__xludf.DUMMYFUNCTION("IF(COUNTA(C1267:C1350)=0,"""",IF(ISBLANK(C1267),FALSE,IF(NOT(COUNTIF($AA$24:$AA$34,SUBSTITUTE(C1267,""Sell_"",""""))),1,IF(REGEXMATCH(C1267,""Sell_""),IF(COUNTIF(C$4:C1267,SUBSTITUTE(C1267,""Sell_"",""""))-COUNTIF(C$4:C1266,C1267)&lt;1,1),FALSE))))"),"")</f>
        <v/>
      </c>
      <c r="E1267" s="59" t="str">
        <f t="array" ref="E1267">IF(COUNTA(C1267:C1350)=0,"",SUM((COUNTIF(C$4:C1267,Upgrades!$B$3:$B$13)-COUNTIF(C$4:C1267,"Sell_"&amp;Upgrades!$B$3:$B$13))*Upgrades!$D$3:$D$13))</f>
        <v/>
      </c>
      <c r="F1267" s="66" t="str">
        <f>IFERROR(__xludf.DUMMYFUNCTION("IF(COUNTA(C1267:C1350)=0,"""",IF(REGEXMATCH(INDEX(FILTER(C$4:C1267,C$4:C1267&lt;&gt;""""),ROWS(FILTER(C$4:C1267,C$4:C1267&lt;&gt;""""))),""^Sell_""),INDEX(FILTER(F$4:F1266,C$4:C1266&lt;&gt;""""),ROWS(FILTER(C$4:C1266,C$4:C1266&lt;&gt;""""))),$AC$5+E1267))"),"")</f>
        <v/>
      </c>
      <c r="G1267" s="10" t="str">
        <f>IFERROR(__xludf.DUMMYFUNCTION("IF(COUNTA(C1267:C1350)=0,"""",IF(C1267="""",0,IF(REGEXMATCH(C1267,""^Sell_""),-ROUNDDOWN(ROUNDUP(INDEX(Upgrades!$C$3:$C$13,MATCH(SUBSTITUTE(C1267,""Sell_"",""""),Upgrades!$B$3:$B$13,0))*1.15^(COUNTIF(C$4:C1266,SUBSTITUTE(C1267,""Sell_"",""""))-COUNTIF(C$4"&amp;":C1266,""Sell_""&amp;SUBSTITUTE(C1267,""Sell_"",""""))))/2),ROUNDUP(INDEX(Upgrades!$C$3:$C$13,MATCH(C1267,Upgrades!$B$3:$B$13,0))*1.15^(COUNTIF(C$4:C1266,C1267)-COUNTIF(C$4:C1266,""Sell_""&amp;C1267))))))"),"")</f>
        <v/>
      </c>
      <c r="H1267" s="10" t="str">
        <f t="shared" si="3"/>
        <v/>
      </c>
      <c r="I1267" s="68" t="str">
        <f t="shared" si="4"/>
        <v/>
      </c>
      <c r="J1267" s="59" t="str">
        <f t="shared" si="5"/>
        <v/>
      </c>
      <c r="K1267" s="69" t="str">
        <f t="shared" si="6"/>
        <v/>
      </c>
      <c r="L1267" s="60" t="str">
        <f t="shared" si="7"/>
        <v/>
      </c>
      <c r="M1267" s="61" t="str">
        <f>IFERROR(__xludf.DUMMYFUNCTION("IFS(AND(COUNTA(C1267:C1350)=0,COUNTA(Q1267:Q1350)=0),"""",OR(AND(K1267&gt;=1000000000,OR(Y1267&gt;=1000000000,COUNTA(Q1267:Q1350)=0)),OR(Y1267&gt;=1000000000,AND(COUNTA(C1267:C1350)=0,P$3=TRUE))),
ROUNDDOWN((AB$1-AC$1)*MAX(INDEX(T$4:T1350,MATCH(LARGE(FILTER(Y$4:Y1"&amp;"350,Y$4:Y1350&lt;1000000000),1),Y$4:Y1350)),INDEX(F$4:F1350,MATCH(LARGE(FILTER(K$4:K1350,K$4:K1350&lt;1000000000),1),K$4:K1350)))),AND(K1267&lt;1000000000,COUNTA(C1267:C1350)&gt;0,P$3=FALSE),
ROUNDDOWN(INDEX(Y$4:Y1350,MATCH(LARGE(FILTER(W$4:W1350,W$4:W1350&lt;=I1267),1)"&amp;",W$4:W1350))+(I1267-LARGE(FILTER(W$4:W1350,W$4:W1350&lt;=I1267),1))*INDEX(T$4:T1350,MATCH(LARGE(FILTER(W$4:W1350,W$4:W1350&lt;=I1267),1),W$4:W1350))-K1267),1,
ROUNDDOWN(Y1267-INDEX(K$4:K1350,MATCH(LARGE(FILTER(I$4:I1350,I$4:I1350&lt;=W1267),1),I$4:I1350))-(W1267-L"&amp;"ARGE(FILTER(I$4:I1350,I$4:I1350&lt;=W1267),1))*INDEX(F$4:F1350,MATCH(LARGE(FILTER(I$4:I1350,I$4:I1350&lt;=W1267),1),I$4:I1350))))"),"")</f>
        <v/>
      </c>
      <c r="N1267" s="60" t="str">
        <f t="shared" si="8"/>
        <v/>
      </c>
      <c r="O1267" s="61" t="str">
        <f t="shared" si="9"/>
        <v/>
      </c>
      <c r="P1267" s="56" t="str">
        <f t="shared" si="10"/>
        <v/>
      </c>
      <c r="Q1267" s="62"/>
      <c r="R1267" s="10" t="str">
        <f>IFERROR(__xludf.DUMMYFUNCTION("IF(COUNTA(Q1267:Q1350)=0,"""",IF(ISBLANK(Q1267),FALSE,IF(NOT(COUNTIF($AA$24:$AA$34,SUBSTITUTE(Q1267,""Sell_"",""""))),1,IF(REGEXMATCH(Q1267,""Sell_""),IF(COUNTIF(Q$4:Q1267,SUBSTITUTE(Q1267,""Sell_"",""""))-COUNTIF(Q$4:Q1266,Q1267)&lt;1,1),FALSE))))"),"")</f>
        <v/>
      </c>
      <c r="S1267" s="59" t="str">
        <f t="array" ref="S1267">IF(COUNTA(Q1267:Q1350)=0,"",SUM((COUNTIF(Q$4:Q1267,Upgrades!$B$3:$B$13)-COUNTIF(Q$4:Q1267,"Sell_"&amp;Upgrades!$B$3:$B$13))*Upgrades!$D$3:$D$13))</f>
        <v/>
      </c>
      <c r="T1267" s="66" t="str">
        <f>IFERROR(__xludf.DUMMYFUNCTION("IF(COUNTA(Q1267:Q1350)=0,"""",IF(REGEXMATCH(INDEX(FILTER(Q$4:Q1267,Q$4:Q1267&lt;&gt;""""),ROWS(FILTER(Q$4:Q1267,Q$4:Q1267&lt;&gt;""""))),""^Sell_""),INDEX(FILTER(T$4:T1266,Q$4:Q1266&lt;&gt;""""),ROWS(FILTER(Q$4:Q1266,Q$4:Q1266&lt;&gt;""""))),$AD$5+S1267))"),"")</f>
        <v/>
      </c>
      <c r="U1267" s="10" t="str">
        <f>IFERROR(__xludf.DUMMYFUNCTION("IF(COUNTA(Q1267:Q1350)=0,"""",IF(Q1267="""",0,IF(REGEXMATCH(Q1267,""^Sell_""),-ROUNDDOWN(ROUNDUP(INDEX(Upgrades!$C$3:$C$13,MATCH(SUBSTITUTE(Q1267,""Sell_"",""""),Upgrades!$B$3:$B$13,0))*1.15^(COUNTIF(Q$4:Q1266,SUBSTITUTE(Q1267,""Sell_"",""""))-COUNTIF(Q$4"&amp;":Q1266,""Sell_""&amp;SUBSTITUTE(Q1267,""Sell_"",""""))))/2),ROUNDUP(INDEX(Upgrades!$C$3:$C$13,MATCH(Q1267,Upgrades!$B$3:$B$13,0))*1.15^(COUNTIF(Q$4:Q1266,Q1267)-COUNTIF(Q$4:Q1266,""Sell_""&amp;Q1267))))))"),"")</f>
        <v/>
      </c>
      <c r="V1267" s="10" t="str">
        <f t="shared" si="11"/>
        <v/>
      </c>
      <c r="W1267" s="68" t="str">
        <f t="shared" si="12"/>
        <v/>
      </c>
      <c r="X1267" s="59" t="str">
        <f t="shared" si="13"/>
        <v/>
      </c>
      <c r="Y1267" s="69" t="str">
        <f t="shared" si="14"/>
        <v/>
      </c>
      <c r="Z1267" s="11"/>
    </row>
    <row r="1268">
      <c r="A1268" s="8"/>
      <c r="B1268" s="56" t="str">
        <f t="shared" si="2"/>
        <v/>
      </c>
      <c r="C1268" s="57"/>
      <c r="D1268" s="10" t="str">
        <f>IFERROR(__xludf.DUMMYFUNCTION("IF(COUNTA(C1268:C1350)=0,"""",IF(ISBLANK(C1268),FALSE,IF(NOT(COUNTIF($AA$24:$AA$34,SUBSTITUTE(C1268,""Sell_"",""""))),1,IF(REGEXMATCH(C1268,""Sell_""),IF(COUNTIF(C$4:C1268,SUBSTITUTE(C1268,""Sell_"",""""))-COUNTIF(C$4:C1267,C1268)&lt;1,1),FALSE))))"),"")</f>
        <v/>
      </c>
      <c r="E1268" s="59" t="str">
        <f t="array" ref="E1268">IF(COUNTA(C1268:C1350)=0,"",SUM((COUNTIF(C$4:C1268,Upgrades!$B$3:$B$13)-COUNTIF(C$4:C1268,"Sell_"&amp;Upgrades!$B$3:$B$13))*Upgrades!$D$3:$D$13))</f>
        <v/>
      </c>
      <c r="F1268" s="66" t="str">
        <f>IFERROR(__xludf.DUMMYFUNCTION("IF(COUNTA(C1268:C1350)=0,"""",IF(REGEXMATCH(INDEX(FILTER(C$4:C1268,C$4:C1268&lt;&gt;""""),ROWS(FILTER(C$4:C1268,C$4:C1268&lt;&gt;""""))),""^Sell_""),INDEX(FILTER(F$4:F1267,C$4:C1267&lt;&gt;""""),ROWS(FILTER(C$4:C1267,C$4:C1267&lt;&gt;""""))),$AC$5+E1268))"),"")</f>
        <v/>
      </c>
      <c r="G1268" s="10" t="str">
        <f>IFERROR(__xludf.DUMMYFUNCTION("IF(COUNTA(C1268:C1350)=0,"""",IF(C1268="""",0,IF(REGEXMATCH(C1268,""^Sell_""),-ROUNDDOWN(ROUNDUP(INDEX(Upgrades!$C$3:$C$13,MATCH(SUBSTITUTE(C1268,""Sell_"",""""),Upgrades!$B$3:$B$13,0))*1.15^(COUNTIF(C$4:C1267,SUBSTITUTE(C1268,""Sell_"",""""))-COUNTIF(C$4"&amp;":C1267,""Sell_""&amp;SUBSTITUTE(C1268,""Sell_"",""""))))/2),ROUNDUP(INDEX(Upgrades!$C$3:$C$13,MATCH(C1268,Upgrades!$B$3:$B$13,0))*1.15^(COUNTIF(C$4:C1267,C1268)-COUNTIF(C$4:C1267,""Sell_""&amp;C1268))))))"),"")</f>
        <v/>
      </c>
      <c r="H1268" s="10" t="str">
        <f t="shared" si="3"/>
        <v/>
      </c>
      <c r="I1268" s="68" t="str">
        <f t="shared" si="4"/>
        <v/>
      </c>
      <c r="J1268" s="59" t="str">
        <f t="shared" si="5"/>
        <v/>
      </c>
      <c r="K1268" s="69" t="str">
        <f t="shared" si="6"/>
        <v/>
      </c>
      <c r="L1268" s="60" t="str">
        <f t="shared" si="7"/>
        <v/>
      </c>
      <c r="M1268" s="61" t="str">
        <f>IFERROR(__xludf.DUMMYFUNCTION("IFS(AND(COUNTA(C1268:C1350)=0,COUNTA(Q1268:Q1350)=0),"""",OR(AND(K1268&gt;=1000000000,OR(Y1268&gt;=1000000000,COUNTA(Q1268:Q1350)=0)),OR(Y1268&gt;=1000000000,AND(COUNTA(C1268:C1350)=0,P$3=TRUE))),
ROUNDDOWN((AB$1-AC$1)*MAX(INDEX(T$4:T1350,MATCH(LARGE(FILTER(Y$4:Y1"&amp;"350,Y$4:Y1350&lt;1000000000),1),Y$4:Y1350)),INDEX(F$4:F1350,MATCH(LARGE(FILTER(K$4:K1350,K$4:K1350&lt;1000000000),1),K$4:K1350)))),AND(K1268&lt;1000000000,COUNTA(C1268:C1350)&gt;0,P$3=FALSE),
ROUNDDOWN(INDEX(Y$4:Y1350,MATCH(LARGE(FILTER(W$4:W1350,W$4:W1350&lt;=I1268),1)"&amp;",W$4:W1350))+(I1268-LARGE(FILTER(W$4:W1350,W$4:W1350&lt;=I1268),1))*INDEX(T$4:T1350,MATCH(LARGE(FILTER(W$4:W1350,W$4:W1350&lt;=I1268),1),W$4:W1350))-K1268),1,
ROUNDDOWN(Y1268-INDEX(K$4:K1350,MATCH(LARGE(FILTER(I$4:I1350,I$4:I1350&lt;=W1268),1),I$4:I1350))-(W1268-L"&amp;"ARGE(FILTER(I$4:I1350,I$4:I1350&lt;=W1268),1))*INDEX(F$4:F1350,MATCH(LARGE(FILTER(I$4:I1350,I$4:I1350&lt;=W1268),1),I$4:I1350))))"),"")</f>
        <v/>
      </c>
      <c r="N1268" s="60" t="str">
        <f t="shared" si="8"/>
        <v/>
      </c>
      <c r="O1268" s="61" t="str">
        <f t="shared" si="9"/>
        <v/>
      </c>
      <c r="P1268" s="56" t="str">
        <f t="shared" si="10"/>
        <v/>
      </c>
      <c r="Q1268" s="62"/>
      <c r="R1268" s="10" t="str">
        <f>IFERROR(__xludf.DUMMYFUNCTION("IF(COUNTA(Q1268:Q1350)=0,"""",IF(ISBLANK(Q1268),FALSE,IF(NOT(COUNTIF($AA$24:$AA$34,SUBSTITUTE(Q1268,""Sell_"",""""))),1,IF(REGEXMATCH(Q1268,""Sell_""),IF(COUNTIF(Q$4:Q1268,SUBSTITUTE(Q1268,""Sell_"",""""))-COUNTIF(Q$4:Q1267,Q1268)&lt;1,1),FALSE))))"),"")</f>
        <v/>
      </c>
      <c r="S1268" s="59" t="str">
        <f t="array" ref="S1268">IF(COUNTA(Q1268:Q1350)=0,"",SUM((COUNTIF(Q$4:Q1268,Upgrades!$B$3:$B$13)-COUNTIF(Q$4:Q1268,"Sell_"&amp;Upgrades!$B$3:$B$13))*Upgrades!$D$3:$D$13))</f>
        <v/>
      </c>
      <c r="T1268" s="66" t="str">
        <f>IFERROR(__xludf.DUMMYFUNCTION("IF(COUNTA(Q1268:Q1350)=0,"""",IF(REGEXMATCH(INDEX(FILTER(Q$4:Q1268,Q$4:Q1268&lt;&gt;""""),ROWS(FILTER(Q$4:Q1268,Q$4:Q1268&lt;&gt;""""))),""^Sell_""),INDEX(FILTER(T$4:T1267,Q$4:Q1267&lt;&gt;""""),ROWS(FILTER(Q$4:Q1267,Q$4:Q1267&lt;&gt;""""))),$AD$5+S1268))"),"")</f>
        <v/>
      </c>
      <c r="U1268" s="10" t="str">
        <f>IFERROR(__xludf.DUMMYFUNCTION("IF(COUNTA(Q1268:Q1350)=0,"""",IF(Q1268="""",0,IF(REGEXMATCH(Q1268,""^Sell_""),-ROUNDDOWN(ROUNDUP(INDEX(Upgrades!$C$3:$C$13,MATCH(SUBSTITUTE(Q1268,""Sell_"",""""),Upgrades!$B$3:$B$13,0))*1.15^(COUNTIF(Q$4:Q1267,SUBSTITUTE(Q1268,""Sell_"",""""))-COUNTIF(Q$4"&amp;":Q1267,""Sell_""&amp;SUBSTITUTE(Q1268,""Sell_"",""""))))/2),ROUNDUP(INDEX(Upgrades!$C$3:$C$13,MATCH(Q1268,Upgrades!$B$3:$B$13,0))*1.15^(COUNTIF(Q$4:Q1267,Q1268)-COUNTIF(Q$4:Q1267,""Sell_""&amp;Q1268))))))"),"")</f>
        <v/>
      </c>
      <c r="V1268" s="10" t="str">
        <f t="shared" si="11"/>
        <v/>
      </c>
      <c r="W1268" s="68" t="str">
        <f t="shared" si="12"/>
        <v/>
      </c>
      <c r="X1268" s="59" t="str">
        <f t="shared" si="13"/>
        <v/>
      </c>
      <c r="Y1268" s="69" t="str">
        <f t="shared" si="14"/>
        <v/>
      </c>
      <c r="Z1268" s="11"/>
    </row>
    <row r="1269">
      <c r="A1269" s="8"/>
      <c r="B1269" s="56" t="str">
        <f t="shared" si="2"/>
        <v/>
      </c>
      <c r="C1269" s="57"/>
      <c r="D1269" s="10" t="str">
        <f>IFERROR(__xludf.DUMMYFUNCTION("IF(COUNTA(C1269:C1350)=0,"""",IF(ISBLANK(C1269),FALSE,IF(NOT(COUNTIF($AA$24:$AA$34,SUBSTITUTE(C1269,""Sell_"",""""))),1,IF(REGEXMATCH(C1269,""Sell_""),IF(COUNTIF(C$4:C1269,SUBSTITUTE(C1269,""Sell_"",""""))-COUNTIF(C$4:C1268,C1269)&lt;1,1),FALSE))))"),"")</f>
        <v/>
      </c>
      <c r="E1269" s="59" t="str">
        <f t="array" ref="E1269">IF(COUNTA(C1269:C1350)=0,"",SUM((COUNTIF(C$4:C1269,Upgrades!$B$3:$B$13)-COUNTIF(C$4:C1269,"Sell_"&amp;Upgrades!$B$3:$B$13))*Upgrades!$D$3:$D$13))</f>
        <v/>
      </c>
      <c r="F1269" s="66" t="str">
        <f>IFERROR(__xludf.DUMMYFUNCTION("IF(COUNTA(C1269:C1350)=0,"""",IF(REGEXMATCH(INDEX(FILTER(C$4:C1269,C$4:C1269&lt;&gt;""""),ROWS(FILTER(C$4:C1269,C$4:C1269&lt;&gt;""""))),""^Sell_""),INDEX(FILTER(F$4:F1268,C$4:C1268&lt;&gt;""""),ROWS(FILTER(C$4:C1268,C$4:C1268&lt;&gt;""""))),$AC$5+E1269))"),"")</f>
        <v/>
      </c>
      <c r="G1269" s="10" t="str">
        <f>IFERROR(__xludf.DUMMYFUNCTION("IF(COUNTA(C1269:C1350)=0,"""",IF(C1269="""",0,IF(REGEXMATCH(C1269,""^Sell_""),-ROUNDDOWN(ROUNDUP(INDEX(Upgrades!$C$3:$C$13,MATCH(SUBSTITUTE(C1269,""Sell_"",""""),Upgrades!$B$3:$B$13,0))*1.15^(COUNTIF(C$4:C1268,SUBSTITUTE(C1269,""Sell_"",""""))-COUNTIF(C$4"&amp;":C1268,""Sell_""&amp;SUBSTITUTE(C1269,""Sell_"",""""))))/2),ROUNDUP(INDEX(Upgrades!$C$3:$C$13,MATCH(C1269,Upgrades!$B$3:$B$13,0))*1.15^(COUNTIF(C$4:C1268,C1269)-COUNTIF(C$4:C1268,""Sell_""&amp;C1269))))))"),"")</f>
        <v/>
      </c>
      <c r="H1269" s="10" t="str">
        <f t="shared" si="3"/>
        <v/>
      </c>
      <c r="I1269" s="68" t="str">
        <f t="shared" si="4"/>
        <v/>
      </c>
      <c r="J1269" s="59" t="str">
        <f t="shared" si="5"/>
        <v/>
      </c>
      <c r="K1269" s="69" t="str">
        <f t="shared" si="6"/>
        <v/>
      </c>
      <c r="L1269" s="60" t="str">
        <f t="shared" si="7"/>
        <v/>
      </c>
      <c r="M1269" s="61" t="str">
        <f>IFERROR(__xludf.DUMMYFUNCTION("IFS(AND(COUNTA(C1269:C1350)=0,COUNTA(Q1269:Q1350)=0),"""",OR(AND(K1269&gt;=1000000000,OR(Y1269&gt;=1000000000,COUNTA(Q1269:Q1350)=0)),OR(Y1269&gt;=1000000000,AND(COUNTA(C1269:C1350)=0,P$3=TRUE))),
ROUNDDOWN((AB$1-AC$1)*MAX(INDEX(T$4:T1350,MATCH(LARGE(FILTER(Y$4:Y1"&amp;"350,Y$4:Y1350&lt;1000000000),1),Y$4:Y1350)),INDEX(F$4:F1350,MATCH(LARGE(FILTER(K$4:K1350,K$4:K1350&lt;1000000000),1),K$4:K1350)))),AND(K1269&lt;1000000000,COUNTA(C1269:C1350)&gt;0,P$3=FALSE),
ROUNDDOWN(INDEX(Y$4:Y1350,MATCH(LARGE(FILTER(W$4:W1350,W$4:W1350&lt;=I1269),1)"&amp;",W$4:W1350))+(I1269-LARGE(FILTER(W$4:W1350,W$4:W1350&lt;=I1269),1))*INDEX(T$4:T1350,MATCH(LARGE(FILTER(W$4:W1350,W$4:W1350&lt;=I1269),1),W$4:W1350))-K1269),1,
ROUNDDOWN(Y1269-INDEX(K$4:K1350,MATCH(LARGE(FILTER(I$4:I1350,I$4:I1350&lt;=W1269),1),I$4:I1350))-(W1269-L"&amp;"ARGE(FILTER(I$4:I1350,I$4:I1350&lt;=W1269),1))*INDEX(F$4:F1350,MATCH(LARGE(FILTER(I$4:I1350,I$4:I1350&lt;=W1269),1),I$4:I1350))))"),"")</f>
        <v/>
      </c>
      <c r="N1269" s="60" t="str">
        <f t="shared" si="8"/>
        <v/>
      </c>
      <c r="O1269" s="61" t="str">
        <f t="shared" si="9"/>
        <v/>
      </c>
      <c r="P1269" s="56" t="str">
        <f t="shared" si="10"/>
        <v/>
      </c>
      <c r="Q1269" s="62"/>
      <c r="R1269" s="10" t="str">
        <f>IFERROR(__xludf.DUMMYFUNCTION("IF(COUNTA(Q1269:Q1350)=0,"""",IF(ISBLANK(Q1269),FALSE,IF(NOT(COUNTIF($AA$24:$AA$34,SUBSTITUTE(Q1269,""Sell_"",""""))),1,IF(REGEXMATCH(Q1269,""Sell_""),IF(COUNTIF(Q$4:Q1269,SUBSTITUTE(Q1269,""Sell_"",""""))-COUNTIF(Q$4:Q1268,Q1269)&lt;1,1),FALSE))))"),"")</f>
        <v/>
      </c>
      <c r="S1269" s="59" t="str">
        <f t="array" ref="S1269">IF(COUNTA(Q1269:Q1350)=0,"",SUM((COUNTIF(Q$4:Q1269,Upgrades!$B$3:$B$13)-COUNTIF(Q$4:Q1269,"Sell_"&amp;Upgrades!$B$3:$B$13))*Upgrades!$D$3:$D$13))</f>
        <v/>
      </c>
      <c r="T1269" s="66" t="str">
        <f>IFERROR(__xludf.DUMMYFUNCTION("IF(COUNTA(Q1269:Q1350)=0,"""",IF(REGEXMATCH(INDEX(FILTER(Q$4:Q1269,Q$4:Q1269&lt;&gt;""""),ROWS(FILTER(Q$4:Q1269,Q$4:Q1269&lt;&gt;""""))),""^Sell_""),INDEX(FILTER(T$4:T1268,Q$4:Q1268&lt;&gt;""""),ROWS(FILTER(Q$4:Q1268,Q$4:Q1268&lt;&gt;""""))),$AD$5+S1269))"),"")</f>
        <v/>
      </c>
      <c r="U1269" s="10" t="str">
        <f>IFERROR(__xludf.DUMMYFUNCTION("IF(COUNTA(Q1269:Q1350)=0,"""",IF(Q1269="""",0,IF(REGEXMATCH(Q1269,""^Sell_""),-ROUNDDOWN(ROUNDUP(INDEX(Upgrades!$C$3:$C$13,MATCH(SUBSTITUTE(Q1269,""Sell_"",""""),Upgrades!$B$3:$B$13,0))*1.15^(COUNTIF(Q$4:Q1268,SUBSTITUTE(Q1269,""Sell_"",""""))-COUNTIF(Q$4"&amp;":Q1268,""Sell_""&amp;SUBSTITUTE(Q1269,""Sell_"",""""))))/2),ROUNDUP(INDEX(Upgrades!$C$3:$C$13,MATCH(Q1269,Upgrades!$B$3:$B$13,0))*1.15^(COUNTIF(Q$4:Q1268,Q1269)-COUNTIF(Q$4:Q1268,""Sell_""&amp;Q1269))))))"),"")</f>
        <v/>
      </c>
      <c r="V1269" s="10" t="str">
        <f t="shared" si="11"/>
        <v/>
      </c>
      <c r="W1269" s="68" t="str">
        <f t="shared" si="12"/>
        <v/>
      </c>
      <c r="X1269" s="59" t="str">
        <f t="shared" si="13"/>
        <v/>
      </c>
      <c r="Y1269" s="69" t="str">
        <f t="shared" si="14"/>
        <v/>
      </c>
      <c r="Z1269" s="11"/>
    </row>
    <row r="1270">
      <c r="A1270" s="8"/>
      <c r="B1270" s="56" t="str">
        <f t="shared" si="2"/>
        <v/>
      </c>
      <c r="C1270" s="57"/>
      <c r="D1270" s="10" t="str">
        <f>IFERROR(__xludf.DUMMYFUNCTION("IF(COUNTA(C1270:C1350)=0,"""",IF(ISBLANK(C1270),FALSE,IF(NOT(COUNTIF($AA$24:$AA$34,SUBSTITUTE(C1270,""Sell_"",""""))),1,IF(REGEXMATCH(C1270,""Sell_""),IF(COUNTIF(C$4:C1270,SUBSTITUTE(C1270,""Sell_"",""""))-COUNTIF(C$4:C1269,C1270)&lt;1,1),FALSE))))"),"")</f>
        <v/>
      </c>
      <c r="E1270" s="59" t="str">
        <f t="array" ref="E1270">IF(COUNTA(C1270:C1350)=0,"",SUM((COUNTIF(C$4:C1270,Upgrades!$B$3:$B$13)-COUNTIF(C$4:C1270,"Sell_"&amp;Upgrades!$B$3:$B$13))*Upgrades!$D$3:$D$13))</f>
        <v/>
      </c>
      <c r="F1270" s="66" t="str">
        <f>IFERROR(__xludf.DUMMYFUNCTION("IF(COUNTA(C1270:C1350)=0,"""",IF(REGEXMATCH(INDEX(FILTER(C$4:C1270,C$4:C1270&lt;&gt;""""),ROWS(FILTER(C$4:C1270,C$4:C1270&lt;&gt;""""))),""^Sell_""),INDEX(FILTER(F$4:F1269,C$4:C1269&lt;&gt;""""),ROWS(FILTER(C$4:C1269,C$4:C1269&lt;&gt;""""))),$AC$5+E1270))"),"")</f>
        <v/>
      </c>
      <c r="G1270" s="10" t="str">
        <f>IFERROR(__xludf.DUMMYFUNCTION("IF(COUNTA(C1270:C1350)=0,"""",IF(C1270="""",0,IF(REGEXMATCH(C1270,""^Sell_""),-ROUNDDOWN(ROUNDUP(INDEX(Upgrades!$C$3:$C$13,MATCH(SUBSTITUTE(C1270,""Sell_"",""""),Upgrades!$B$3:$B$13,0))*1.15^(COUNTIF(C$4:C1269,SUBSTITUTE(C1270,""Sell_"",""""))-COUNTIF(C$4"&amp;":C1269,""Sell_""&amp;SUBSTITUTE(C1270,""Sell_"",""""))))/2),ROUNDUP(INDEX(Upgrades!$C$3:$C$13,MATCH(C1270,Upgrades!$B$3:$B$13,0))*1.15^(COUNTIF(C$4:C1269,C1270)-COUNTIF(C$4:C1269,""Sell_""&amp;C1270))))))"),"")</f>
        <v/>
      </c>
      <c r="H1270" s="10" t="str">
        <f t="shared" si="3"/>
        <v/>
      </c>
      <c r="I1270" s="68" t="str">
        <f t="shared" si="4"/>
        <v/>
      </c>
      <c r="J1270" s="59" t="str">
        <f t="shared" si="5"/>
        <v/>
      </c>
      <c r="K1270" s="69" t="str">
        <f t="shared" si="6"/>
        <v/>
      </c>
      <c r="L1270" s="60" t="str">
        <f t="shared" si="7"/>
        <v/>
      </c>
      <c r="M1270" s="61" t="str">
        <f>IFERROR(__xludf.DUMMYFUNCTION("IFS(AND(COUNTA(C1270:C1350)=0,COUNTA(Q1270:Q1350)=0),"""",OR(AND(K1270&gt;=1000000000,OR(Y1270&gt;=1000000000,COUNTA(Q1270:Q1350)=0)),OR(Y1270&gt;=1000000000,AND(COUNTA(C1270:C1350)=0,P$3=TRUE))),
ROUNDDOWN((AB$1-AC$1)*MAX(INDEX(T$4:T1350,MATCH(LARGE(FILTER(Y$4:Y1"&amp;"350,Y$4:Y1350&lt;1000000000),1),Y$4:Y1350)),INDEX(F$4:F1350,MATCH(LARGE(FILTER(K$4:K1350,K$4:K1350&lt;1000000000),1),K$4:K1350)))),AND(K1270&lt;1000000000,COUNTA(C1270:C1350)&gt;0,P$3=FALSE),
ROUNDDOWN(INDEX(Y$4:Y1350,MATCH(LARGE(FILTER(W$4:W1350,W$4:W1350&lt;=I1270),1)"&amp;",W$4:W1350))+(I1270-LARGE(FILTER(W$4:W1350,W$4:W1350&lt;=I1270),1))*INDEX(T$4:T1350,MATCH(LARGE(FILTER(W$4:W1350,W$4:W1350&lt;=I1270),1),W$4:W1350))-K1270),1,
ROUNDDOWN(Y1270-INDEX(K$4:K1350,MATCH(LARGE(FILTER(I$4:I1350,I$4:I1350&lt;=W1270),1),I$4:I1350))-(W1270-L"&amp;"ARGE(FILTER(I$4:I1350,I$4:I1350&lt;=W1270),1))*INDEX(F$4:F1350,MATCH(LARGE(FILTER(I$4:I1350,I$4:I1350&lt;=W1270),1),I$4:I1350))))"),"")</f>
        <v/>
      </c>
      <c r="N1270" s="60" t="str">
        <f t="shared" si="8"/>
        <v/>
      </c>
      <c r="O1270" s="61" t="str">
        <f t="shared" si="9"/>
        <v/>
      </c>
      <c r="P1270" s="56" t="str">
        <f t="shared" si="10"/>
        <v/>
      </c>
      <c r="Q1270" s="62"/>
      <c r="R1270" s="10" t="str">
        <f>IFERROR(__xludf.DUMMYFUNCTION("IF(COUNTA(Q1270:Q1350)=0,"""",IF(ISBLANK(Q1270),FALSE,IF(NOT(COUNTIF($AA$24:$AA$34,SUBSTITUTE(Q1270,""Sell_"",""""))),1,IF(REGEXMATCH(Q1270,""Sell_""),IF(COUNTIF(Q$4:Q1270,SUBSTITUTE(Q1270,""Sell_"",""""))-COUNTIF(Q$4:Q1269,Q1270)&lt;1,1),FALSE))))"),"")</f>
        <v/>
      </c>
      <c r="S1270" s="59" t="str">
        <f t="array" ref="S1270">IF(COUNTA(Q1270:Q1350)=0,"",SUM((COUNTIF(Q$4:Q1270,Upgrades!$B$3:$B$13)-COUNTIF(Q$4:Q1270,"Sell_"&amp;Upgrades!$B$3:$B$13))*Upgrades!$D$3:$D$13))</f>
        <v/>
      </c>
      <c r="T1270" s="66" t="str">
        <f>IFERROR(__xludf.DUMMYFUNCTION("IF(COUNTA(Q1270:Q1350)=0,"""",IF(REGEXMATCH(INDEX(FILTER(Q$4:Q1270,Q$4:Q1270&lt;&gt;""""),ROWS(FILTER(Q$4:Q1270,Q$4:Q1270&lt;&gt;""""))),""^Sell_""),INDEX(FILTER(T$4:T1269,Q$4:Q1269&lt;&gt;""""),ROWS(FILTER(Q$4:Q1269,Q$4:Q1269&lt;&gt;""""))),$AD$5+S1270))"),"")</f>
        <v/>
      </c>
      <c r="U1270" s="10" t="str">
        <f>IFERROR(__xludf.DUMMYFUNCTION("IF(COUNTA(Q1270:Q1350)=0,"""",IF(Q1270="""",0,IF(REGEXMATCH(Q1270,""^Sell_""),-ROUNDDOWN(ROUNDUP(INDEX(Upgrades!$C$3:$C$13,MATCH(SUBSTITUTE(Q1270,""Sell_"",""""),Upgrades!$B$3:$B$13,0))*1.15^(COUNTIF(Q$4:Q1269,SUBSTITUTE(Q1270,""Sell_"",""""))-COUNTIF(Q$4"&amp;":Q1269,""Sell_""&amp;SUBSTITUTE(Q1270,""Sell_"",""""))))/2),ROUNDUP(INDEX(Upgrades!$C$3:$C$13,MATCH(Q1270,Upgrades!$B$3:$B$13,0))*1.15^(COUNTIF(Q$4:Q1269,Q1270)-COUNTIF(Q$4:Q1269,""Sell_""&amp;Q1270))))))"),"")</f>
        <v/>
      </c>
      <c r="V1270" s="10" t="str">
        <f t="shared" si="11"/>
        <v/>
      </c>
      <c r="W1270" s="68" t="str">
        <f t="shared" si="12"/>
        <v/>
      </c>
      <c r="X1270" s="59" t="str">
        <f t="shared" si="13"/>
        <v/>
      </c>
      <c r="Y1270" s="69" t="str">
        <f t="shared" si="14"/>
        <v/>
      </c>
      <c r="Z1270" s="11"/>
    </row>
    <row r="1271">
      <c r="A1271" s="8"/>
      <c r="B1271" s="56" t="str">
        <f t="shared" si="2"/>
        <v/>
      </c>
      <c r="C1271" s="57"/>
      <c r="D1271" s="10" t="str">
        <f>IFERROR(__xludf.DUMMYFUNCTION("IF(COUNTA(C1271:C1350)=0,"""",IF(ISBLANK(C1271),FALSE,IF(NOT(COUNTIF($AA$24:$AA$34,SUBSTITUTE(C1271,""Sell_"",""""))),1,IF(REGEXMATCH(C1271,""Sell_""),IF(COUNTIF(C$4:C1271,SUBSTITUTE(C1271,""Sell_"",""""))-COUNTIF(C$4:C1270,C1271)&lt;1,1),FALSE))))"),"")</f>
        <v/>
      </c>
      <c r="E1271" s="59" t="str">
        <f t="array" ref="E1271">IF(COUNTA(C1271:C1350)=0,"",SUM((COUNTIF(C$4:C1271,Upgrades!$B$3:$B$13)-COUNTIF(C$4:C1271,"Sell_"&amp;Upgrades!$B$3:$B$13))*Upgrades!$D$3:$D$13))</f>
        <v/>
      </c>
      <c r="F1271" s="66" t="str">
        <f>IFERROR(__xludf.DUMMYFUNCTION("IF(COUNTA(C1271:C1350)=0,"""",IF(REGEXMATCH(INDEX(FILTER(C$4:C1271,C$4:C1271&lt;&gt;""""),ROWS(FILTER(C$4:C1271,C$4:C1271&lt;&gt;""""))),""^Sell_""),INDEX(FILTER(F$4:F1270,C$4:C1270&lt;&gt;""""),ROWS(FILTER(C$4:C1270,C$4:C1270&lt;&gt;""""))),$AC$5+E1271))"),"")</f>
        <v/>
      </c>
      <c r="G1271" s="10" t="str">
        <f>IFERROR(__xludf.DUMMYFUNCTION("IF(COUNTA(C1271:C1350)=0,"""",IF(C1271="""",0,IF(REGEXMATCH(C1271,""^Sell_""),-ROUNDDOWN(ROUNDUP(INDEX(Upgrades!$C$3:$C$13,MATCH(SUBSTITUTE(C1271,""Sell_"",""""),Upgrades!$B$3:$B$13,0))*1.15^(COUNTIF(C$4:C1270,SUBSTITUTE(C1271,""Sell_"",""""))-COUNTIF(C$4"&amp;":C1270,""Sell_""&amp;SUBSTITUTE(C1271,""Sell_"",""""))))/2),ROUNDUP(INDEX(Upgrades!$C$3:$C$13,MATCH(C1271,Upgrades!$B$3:$B$13,0))*1.15^(COUNTIF(C$4:C1270,C1271)-COUNTIF(C$4:C1270,""Sell_""&amp;C1271))))))"),"")</f>
        <v/>
      </c>
      <c r="H1271" s="10" t="str">
        <f t="shared" si="3"/>
        <v/>
      </c>
      <c r="I1271" s="68" t="str">
        <f t="shared" si="4"/>
        <v/>
      </c>
      <c r="J1271" s="59" t="str">
        <f t="shared" si="5"/>
        <v/>
      </c>
      <c r="K1271" s="69" t="str">
        <f t="shared" si="6"/>
        <v/>
      </c>
      <c r="L1271" s="60" t="str">
        <f t="shared" si="7"/>
        <v/>
      </c>
      <c r="M1271" s="61" t="str">
        <f>IFERROR(__xludf.DUMMYFUNCTION("IFS(AND(COUNTA(C1271:C1350)=0,COUNTA(Q1271:Q1350)=0),"""",OR(AND(K1271&gt;=1000000000,OR(Y1271&gt;=1000000000,COUNTA(Q1271:Q1350)=0)),OR(Y1271&gt;=1000000000,AND(COUNTA(C1271:C1350)=0,P$3=TRUE))),
ROUNDDOWN((AB$1-AC$1)*MAX(INDEX(T$4:T1350,MATCH(LARGE(FILTER(Y$4:Y1"&amp;"350,Y$4:Y1350&lt;1000000000),1),Y$4:Y1350)),INDEX(F$4:F1350,MATCH(LARGE(FILTER(K$4:K1350,K$4:K1350&lt;1000000000),1),K$4:K1350)))),AND(K1271&lt;1000000000,COUNTA(C1271:C1350)&gt;0,P$3=FALSE),
ROUNDDOWN(INDEX(Y$4:Y1350,MATCH(LARGE(FILTER(W$4:W1350,W$4:W1350&lt;=I1271),1)"&amp;",W$4:W1350))+(I1271-LARGE(FILTER(W$4:W1350,W$4:W1350&lt;=I1271),1))*INDEX(T$4:T1350,MATCH(LARGE(FILTER(W$4:W1350,W$4:W1350&lt;=I1271),1),W$4:W1350))-K1271),1,
ROUNDDOWN(Y1271-INDEX(K$4:K1350,MATCH(LARGE(FILTER(I$4:I1350,I$4:I1350&lt;=W1271),1),I$4:I1350))-(W1271-L"&amp;"ARGE(FILTER(I$4:I1350,I$4:I1350&lt;=W1271),1))*INDEX(F$4:F1350,MATCH(LARGE(FILTER(I$4:I1350,I$4:I1350&lt;=W1271),1),I$4:I1350))))"),"")</f>
        <v/>
      </c>
      <c r="N1271" s="60" t="str">
        <f t="shared" si="8"/>
        <v/>
      </c>
      <c r="O1271" s="61" t="str">
        <f t="shared" si="9"/>
        <v/>
      </c>
      <c r="P1271" s="56" t="str">
        <f t="shared" si="10"/>
        <v/>
      </c>
      <c r="Q1271" s="62"/>
      <c r="R1271" s="10" t="str">
        <f>IFERROR(__xludf.DUMMYFUNCTION("IF(COUNTA(Q1271:Q1350)=0,"""",IF(ISBLANK(Q1271),FALSE,IF(NOT(COUNTIF($AA$24:$AA$34,SUBSTITUTE(Q1271,""Sell_"",""""))),1,IF(REGEXMATCH(Q1271,""Sell_""),IF(COUNTIF(Q$4:Q1271,SUBSTITUTE(Q1271,""Sell_"",""""))-COUNTIF(Q$4:Q1270,Q1271)&lt;1,1),FALSE))))"),"")</f>
        <v/>
      </c>
      <c r="S1271" s="59" t="str">
        <f t="array" ref="S1271">IF(COUNTA(Q1271:Q1350)=0,"",SUM((COUNTIF(Q$4:Q1271,Upgrades!$B$3:$B$13)-COUNTIF(Q$4:Q1271,"Sell_"&amp;Upgrades!$B$3:$B$13))*Upgrades!$D$3:$D$13))</f>
        <v/>
      </c>
      <c r="T1271" s="66" t="str">
        <f>IFERROR(__xludf.DUMMYFUNCTION("IF(COUNTA(Q1271:Q1350)=0,"""",IF(REGEXMATCH(INDEX(FILTER(Q$4:Q1271,Q$4:Q1271&lt;&gt;""""),ROWS(FILTER(Q$4:Q1271,Q$4:Q1271&lt;&gt;""""))),""^Sell_""),INDEX(FILTER(T$4:T1270,Q$4:Q1270&lt;&gt;""""),ROWS(FILTER(Q$4:Q1270,Q$4:Q1270&lt;&gt;""""))),$AD$5+S1271))"),"")</f>
        <v/>
      </c>
      <c r="U1271" s="10" t="str">
        <f>IFERROR(__xludf.DUMMYFUNCTION("IF(COUNTA(Q1271:Q1350)=0,"""",IF(Q1271="""",0,IF(REGEXMATCH(Q1271,""^Sell_""),-ROUNDDOWN(ROUNDUP(INDEX(Upgrades!$C$3:$C$13,MATCH(SUBSTITUTE(Q1271,""Sell_"",""""),Upgrades!$B$3:$B$13,0))*1.15^(COUNTIF(Q$4:Q1270,SUBSTITUTE(Q1271,""Sell_"",""""))-COUNTIF(Q$4"&amp;":Q1270,""Sell_""&amp;SUBSTITUTE(Q1271,""Sell_"",""""))))/2),ROUNDUP(INDEX(Upgrades!$C$3:$C$13,MATCH(Q1271,Upgrades!$B$3:$B$13,0))*1.15^(COUNTIF(Q$4:Q1270,Q1271)-COUNTIF(Q$4:Q1270,""Sell_""&amp;Q1271))))))"),"")</f>
        <v/>
      </c>
      <c r="V1271" s="10" t="str">
        <f t="shared" si="11"/>
        <v/>
      </c>
      <c r="W1271" s="68" t="str">
        <f t="shared" si="12"/>
        <v/>
      </c>
      <c r="X1271" s="59" t="str">
        <f t="shared" si="13"/>
        <v/>
      </c>
      <c r="Y1271" s="69" t="str">
        <f t="shared" si="14"/>
        <v/>
      </c>
      <c r="Z1271" s="11"/>
    </row>
    <row r="1272">
      <c r="A1272" s="8"/>
      <c r="B1272" s="56" t="str">
        <f t="shared" si="2"/>
        <v/>
      </c>
      <c r="C1272" s="57"/>
      <c r="D1272" s="10" t="str">
        <f>IFERROR(__xludf.DUMMYFUNCTION("IF(COUNTA(C1272:C1350)=0,"""",IF(ISBLANK(C1272),FALSE,IF(NOT(COUNTIF($AA$24:$AA$34,SUBSTITUTE(C1272,""Sell_"",""""))),1,IF(REGEXMATCH(C1272,""Sell_""),IF(COUNTIF(C$4:C1272,SUBSTITUTE(C1272,""Sell_"",""""))-COUNTIF(C$4:C1271,C1272)&lt;1,1),FALSE))))"),"")</f>
        <v/>
      </c>
      <c r="E1272" s="59" t="str">
        <f t="array" ref="E1272">IF(COUNTA(C1272:C1350)=0,"",SUM((COUNTIF(C$4:C1272,Upgrades!$B$3:$B$13)-COUNTIF(C$4:C1272,"Sell_"&amp;Upgrades!$B$3:$B$13))*Upgrades!$D$3:$D$13))</f>
        <v/>
      </c>
      <c r="F1272" s="66" t="str">
        <f>IFERROR(__xludf.DUMMYFUNCTION("IF(COUNTA(C1272:C1350)=0,"""",IF(REGEXMATCH(INDEX(FILTER(C$4:C1272,C$4:C1272&lt;&gt;""""),ROWS(FILTER(C$4:C1272,C$4:C1272&lt;&gt;""""))),""^Sell_""),INDEX(FILTER(F$4:F1271,C$4:C1271&lt;&gt;""""),ROWS(FILTER(C$4:C1271,C$4:C1271&lt;&gt;""""))),$AC$5+E1272))"),"")</f>
        <v/>
      </c>
      <c r="G1272" s="10" t="str">
        <f>IFERROR(__xludf.DUMMYFUNCTION("IF(COUNTA(C1272:C1350)=0,"""",IF(C1272="""",0,IF(REGEXMATCH(C1272,""^Sell_""),-ROUNDDOWN(ROUNDUP(INDEX(Upgrades!$C$3:$C$13,MATCH(SUBSTITUTE(C1272,""Sell_"",""""),Upgrades!$B$3:$B$13,0))*1.15^(COUNTIF(C$4:C1271,SUBSTITUTE(C1272,""Sell_"",""""))-COUNTIF(C$4"&amp;":C1271,""Sell_""&amp;SUBSTITUTE(C1272,""Sell_"",""""))))/2),ROUNDUP(INDEX(Upgrades!$C$3:$C$13,MATCH(C1272,Upgrades!$B$3:$B$13,0))*1.15^(COUNTIF(C$4:C1271,C1272)-COUNTIF(C$4:C1271,""Sell_""&amp;C1272))))))"),"")</f>
        <v/>
      </c>
      <c r="H1272" s="10" t="str">
        <f t="shared" si="3"/>
        <v/>
      </c>
      <c r="I1272" s="68" t="str">
        <f t="shared" si="4"/>
        <v/>
      </c>
      <c r="J1272" s="59" t="str">
        <f t="shared" si="5"/>
        <v/>
      </c>
      <c r="K1272" s="69" t="str">
        <f t="shared" si="6"/>
        <v/>
      </c>
      <c r="L1272" s="60" t="str">
        <f t="shared" si="7"/>
        <v/>
      </c>
      <c r="M1272" s="61" t="str">
        <f>IFERROR(__xludf.DUMMYFUNCTION("IFS(AND(COUNTA(C1272:C1350)=0,COUNTA(Q1272:Q1350)=0),"""",OR(AND(K1272&gt;=1000000000,OR(Y1272&gt;=1000000000,COUNTA(Q1272:Q1350)=0)),OR(Y1272&gt;=1000000000,AND(COUNTA(C1272:C1350)=0,P$3=TRUE))),
ROUNDDOWN((AB$1-AC$1)*MAX(INDEX(T$4:T1350,MATCH(LARGE(FILTER(Y$4:Y1"&amp;"350,Y$4:Y1350&lt;1000000000),1),Y$4:Y1350)),INDEX(F$4:F1350,MATCH(LARGE(FILTER(K$4:K1350,K$4:K1350&lt;1000000000),1),K$4:K1350)))),AND(K1272&lt;1000000000,COUNTA(C1272:C1350)&gt;0,P$3=FALSE),
ROUNDDOWN(INDEX(Y$4:Y1350,MATCH(LARGE(FILTER(W$4:W1350,W$4:W1350&lt;=I1272),1)"&amp;",W$4:W1350))+(I1272-LARGE(FILTER(W$4:W1350,W$4:W1350&lt;=I1272),1))*INDEX(T$4:T1350,MATCH(LARGE(FILTER(W$4:W1350,W$4:W1350&lt;=I1272),1),W$4:W1350))-K1272),1,
ROUNDDOWN(Y1272-INDEX(K$4:K1350,MATCH(LARGE(FILTER(I$4:I1350,I$4:I1350&lt;=W1272),1),I$4:I1350))-(W1272-L"&amp;"ARGE(FILTER(I$4:I1350,I$4:I1350&lt;=W1272),1))*INDEX(F$4:F1350,MATCH(LARGE(FILTER(I$4:I1350,I$4:I1350&lt;=W1272),1),I$4:I1350))))"),"")</f>
        <v/>
      </c>
      <c r="N1272" s="60" t="str">
        <f t="shared" si="8"/>
        <v/>
      </c>
      <c r="O1272" s="61" t="str">
        <f t="shared" si="9"/>
        <v/>
      </c>
      <c r="P1272" s="56" t="str">
        <f t="shared" si="10"/>
        <v/>
      </c>
      <c r="Q1272" s="62"/>
      <c r="R1272" s="10" t="str">
        <f>IFERROR(__xludf.DUMMYFUNCTION("IF(COUNTA(Q1272:Q1350)=0,"""",IF(ISBLANK(Q1272),FALSE,IF(NOT(COUNTIF($AA$24:$AA$34,SUBSTITUTE(Q1272,""Sell_"",""""))),1,IF(REGEXMATCH(Q1272,""Sell_""),IF(COUNTIF(Q$4:Q1272,SUBSTITUTE(Q1272,""Sell_"",""""))-COUNTIF(Q$4:Q1271,Q1272)&lt;1,1),FALSE))))"),"")</f>
        <v/>
      </c>
      <c r="S1272" s="59" t="str">
        <f t="array" ref="S1272">IF(COUNTA(Q1272:Q1350)=0,"",SUM((COUNTIF(Q$4:Q1272,Upgrades!$B$3:$B$13)-COUNTIF(Q$4:Q1272,"Sell_"&amp;Upgrades!$B$3:$B$13))*Upgrades!$D$3:$D$13))</f>
        <v/>
      </c>
      <c r="T1272" s="66" t="str">
        <f>IFERROR(__xludf.DUMMYFUNCTION("IF(COUNTA(Q1272:Q1350)=0,"""",IF(REGEXMATCH(INDEX(FILTER(Q$4:Q1272,Q$4:Q1272&lt;&gt;""""),ROWS(FILTER(Q$4:Q1272,Q$4:Q1272&lt;&gt;""""))),""^Sell_""),INDEX(FILTER(T$4:T1271,Q$4:Q1271&lt;&gt;""""),ROWS(FILTER(Q$4:Q1271,Q$4:Q1271&lt;&gt;""""))),$AD$5+S1272))"),"")</f>
        <v/>
      </c>
      <c r="U1272" s="10" t="str">
        <f>IFERROR(__xludf.DUMMYFUNCTION("IF(COUNTA(Q1272:Q1350)=0,"""",IF(Q1272="""",0,IF(REGEXMATCH(Q1272,""^Sell_""),-ROUNDDOWN(ROUNDUP(INDEX(Upgrades!$C$3:$C$13,MATCH(SUBSTITUTE(Q1272,""Sell_"",""""),Upgrades!$B$3:$B$13,0))*1.15^(COUNTIF(Q$4:Q1271,SUBSTITUTE(Q1272,""Sell_"",""""))-COUNTIF(Q$4"&amp;":Q1271,""Sell_""&amp;SUBSTITUTE(Q1272,""Sell_"",""""))))/2),ROUNDUP(INDEX(Upgrades!$C$3:$C$13,MATCH(Q1272,Upgrades!$B$3:$B$13,0))*1.15^(COUNTIF(Q$4:Q1271,Q1272)-COUNTIF(Q$4:Q1271,""Sell_""&amp;Q1272))))))"),"")</f>
        <v/>
      </c>
      <c r="V1272" s="10" t="str">
        <f t="shared" si="11"/>
        <v/>
      </c>
      <c r="W1272" s="68" t="str">
        <f t="shared" si="12"/>
        <v/>
      </c>
      <c r="X1272" s="59" t="str">
        <f t="shared" si="13"/>
        <v/>
      </c>
      <c r="Y1272" s="69" t="str">
        <f t="shared" si="14"/>
        <v/>
      </c>
      <c r="Z1272" s="11"/>
    </row>
    <row r="1273">
      <c r="A1273" s="8"/>
      <c r="B1273" s="56" t="str">
        <f t="shared" si="2"/>
        <v/>
      </c>
      <c r="C1273" s="57"/>
      <c r="D1273" s="10" t="str">
        <f>IFERROR(__xludf.DUMMYFUNCTION("IF(COUNTA(C1273:C1350)=0,"""",IF(ISBLANK(C1273),FALSE,IF(NOT(COUNTIF($AA$24:$AA$34,SUBSTITUTE(C1273,""Sell_"",""""))),1,IF(REGEXMATCH(C1273,""Sell_""),IF(COUNTIF(C$4:C1273,SUBSTITUTE(C1273,""Sell_"",""""))-COUNTIF(C$4:C1272,C1273)&lt;1,1),FALSE))))"),"")</f>
        <v/>
      </c>
      <c r="E1273" s="59" t="str">
        <f t="array" ref="E1273">IF(COUNTA(C1273:C1350)=0,"",SUM((COUNTIF(C$4:C1273,Upgrades!$B$3:$B$13)-COUNTIF(C$4:C1273,"Sell_"&amp;Upgrades!$B$3:$B$13))*Upgrades!$D$3:$D$13))</f>
        <v/>
      </c>
      <c r="F1273" s="66" t="str">
        <f>IFERROR(__xludf.DUMMYFUNCTION("IF(COUNTA(C1273:C1350)=0,"""",IF(REGEXMATCH(INDEX(FILTER(C$4:C1273,C$4:C1273&lt;&gt;""""),ROWS(FILTER(C$4:C1273,C$4:C1273&lt;&gt;""""))),""^Sell_""),INDEX(FILTER(F$4:F1272,C$4:C1272&lt;&gt;""""),ROWS(FILTER(C$4:C1272,C$4:C1272&lt;&gt;""""))),$AC$5+E1273))"),"")</f>
        <v/>
      </c>
      <c r="G1273" s="10" t="str">
        <f>IFERROR(__xludf.DUMMYFUNCTION("IF(COUNTA(C1273:C1350)=0,"""",IF(C1273="""",0,IF(REGEXMATCH(C1273,""^Sell_""),-ROUNDDOWN(ROUNDUP(INDEX(Upgrades!$C$3:$C$13,MATCH(SUBSTITUTE(C1273,""Sell_"",""""),Upgrades!$B$3:$B$13,0))*1.15^(COUNTIF(C$4:C1272,SUBSTITUTE(C1273,""Sell_"",""""))-COUNTIF(C$4"&amp;":C1272,""Sell_""&amp;SUBSTITUTE(C1273,""Sell_"",""""))))/2),ROUNDUP(INDEX(Upgrades!$C$3:$C$13,MATCH(C1273,Upgrades!$B$3:$B$13,0))*1.15^(COUNTIF(C$4:C1272,C1273)-COUNTIF(C$4:C1272,""Sell_""&amp;C1273))))))"),"")</f>
        <v/>
      </c>
      <c r="H1273" s="10" t="str">
        <f t="shared" si="3"/>
        <v/>
      </c>
      <c r="I1273" s="68" t="str">
        <f t="shared" si="4"/>
        <v/>
      </c>
      <c r="J1273" s="59" t="str">
        <f t="shared" si="5"/>
        <v/>
      </c>
      <c r="K1273" s="69" t="str">
        <f t="shared" si="6"/>
        <v/>
      </c>
      <c r="L1273" s="60" t="str">
        <f t="shared" si="7"/>
        <v/>
      </c>
      <c r="M1273" s="61" t="str">
        <f>IFERROR(__xludf.DUMMYFUNCTION("IFS(AND(COUNTA(C1273:C1350)=0,COUNTA(Q1273:Q1350)=0),"""",OR(AND(K1273&gt;=1000000000,OR(Y1273&gt;=1000000000,COUNTA(Q1273:Q1350)=0)),OR(Y1273&gt;=1000000000,AND(COUNTA(C1273:C1350)=0,P$3=TRUE))),
ROUNDDOWN((AB$1-AC$1)*MAX(INDEX(T$4:T1350,MATCH(LARGE(FILTER(Y$4:Y1"&amp;"350,Y$4:Y1350&lt;1000000000),1),Y$4:Y1350)),INDEX(F$4:F1350,MATCH(LARGE(FILTER(K$4:K1350,K$4:K1350&lt;1000000000),1),K$4:K1350)))),AND(K1273&lt;1000000000,COUNTA(C1273:C1350)&gt;0,P$3=FALSE),
ROUNDDOWN(INDEX(Y$4:Y1350,MATCH(LARGE(FILTER(W$4:W1350,W$4:W1350&lt;=I1273),1)"&amp;",W$4:W1350))+(I1273-LARGE(FILTER(W$4:W1350,W$4:W1350&lt;=I1273),1))*INDEX(T$4:T1350,MATCH(LARGE(FILTER(W$4:W1350,W$4:W1350&lt;=I1273),1),W$4:W1350))-K1273),1,
ROUNDDOWN(Y1273-INDEX(K$4:K1350,MATCH(LARGE(FILTER(I$4:I1350,I$4:I1350&lt;=W1273),1),I$4:I1350))-(W1273-L"&amp;"ARGE(FILTER(I$4:I1350,I$4:I1350&lt;=W1273),1))*INDEX(F$4:F1350,MATCH(LARGE(FILTER(I$4:I1350,I$4:I1350&lt;=W1273),1),I$4:I1350))))"),"")</f>
        <v/>
      </c>
      <c r="N1273" s="60" t="str">
        <f t="shared" si="8"/>
        <v/>
      </c>
      <c r="O1273" s="61" t="str">
        <f t="shared" si="9"/>
        <v/>
      </c>
      <c r="P1273" s="56" t="str">
        <f t="shared" si="10"/>
        <v/>
      </c>
      <c r="Q1273" s="62"/>
      <c r="R1273" s="10" t="str">
        <f>IFERROR(__xludf.DUMMYFUNCTION("IF(COUNTA(Q1273:Q1350)=0,"""",IF(ISBLANK(Q1273),FALSE,IF(NOT(COUNTIF($AA$24:$AA$34,SUBSTITUTE(Q1273,""Sell_"",""""))),1,IF(REGEXMATCH(Q1273,""Sell_""),IF(COUNTIF(Q$4:Q1273,SUBSTITUTE(Q1273,""Sell_"",""""))-COUNTIF(Q$4:Q1272,Q1273)&lt;1,1),FALSE))))"),"")</f>
        <v/>
      </c>
      <c r="S1273" s="59" t="str">
        <f t="array" ref="S1273">IF(COUNTA(Q1273:Q1350)=0,"",SUM((COUNTIF(Q$4:Q1273,Upgrades!$B$3:$B$13)-COUNTIF(Q$4:Q1273,"Sell_"&amp;Upgrades!$B$3:$B$13))*Upgrades!$D$3:$D$13))</f>
        <v/>
      </c>
      <c r="T1273" s="66" t="str">
        <f>IFERROR(__xludf.DUMMYFUNCTION("IF(COUNTA(Q1273:Q1350)=0,"""",IF(REGEXMATCH(INDEX(FILTER(Q$4:Q1273,Q$4:Q1273&lt;&gt;""""),ROWS(FILTER(Q$4:Q1273,Q$4:Q1273&lt;&gt;""""))),""^Sell_""),INDEX(FILTER(T$4:T1272,Q$4:Q1272&lt;&gt;""""),ROWS(FILTER(Q$4:Q1272,Q$4:Q1272&lt;&gt;""""))),$AD$5+S1273))"),"")</f>
        <v/>
      </c>
      <c r="U1273" s="10" t="str">
        <f>IFERROR(__xludf.DUMMYFUNCTION("IF(COUNTA(Q1273:Q1350)=0,"""",IF(Q1273="""",0,IF(REGEXMATCH(Q1273,""^Sell_""),-ROUNDDOWN(ROUNDUP(INDEX(Upgrades!$C$3:$C$13,MATCH(SUBSTITUTE(Q1273,""Sell_"",""""),Upgrades!$B$3:$B$13,0))*1.15^(COUNTIF(Q$4:Q1272,SUBSTITUTE(Q1273,""Sell_"",""""))-COUNTIF(Q$4"&amp;":Q1272,""Sell_""&amp;SUBSTITUTE(Q1273,""Sell_"",""""))))/2),ROUNDUP(INDEX(Upgrades!$C$3:$C$13,MATCH(Q1273,Upgrades!$B$3:$B$13,0))*1.15^(COUNTIF(Q$4:Q1272,Q1273)-COUNTIF(Q$4:Q1272,""Sell_""&amp;Q1273))))))"),"")</f>
        <v/>
      </c>
      <c r="V1273" s="10" t="str">
        <f t="shared" si="11"/>
        <v/>
      </c>
      <c r="W1273" s="68" t="str">
        <f t="shared" si="12"/>
        <v/>
      </c>
      <c r="X1273" s="59" t="str">
        <f t="shared" si="13"/>
        <v/>
      </c>
      <c r="Y1273" s="69" t="str">
        <f t="shared" si="14"/>
        <v/>
      </c>
      <c r="Z1273" s="11"/>
    </row>
    <row r="1274">
      <c r="A1274" s="8"/>
      <c r="B1274" s="56" t="str">
        <f t="shared" si="2"/>
        <v/>
      </c>
      <c r="C1274" s="57"/>
      <c r="D1274" s="10" t="str">
        <f>IFERROR(__xludf.DUMMYFUNCTION("IF(COUNTA(C1274:C1350)=0,"""",IF(ISBLANK(C1274),FALSE,IF(NOT(COUNTIF($AA$24:$AA$34,SUBSTITUTE(C1274,""Sell_"",""""))),1,IF(REGEXMATCH(C1274,""Sell_""),IF(COUNTIF(C$4:C1274,SUBSTITUTE(C1274,""Sell_"",""""))-COUNTIF(C$4:C1273,C1274)&lt;1,1),FALSE))))"),"")</f>
        <v/>
      </c>
      <c r="E1274" s="59" t="str">
        <f t="array" ref="E1274">IF(COUNTA(C1274:C1350)=0,"",SUM((COUNTIF(C$4:C1274,Upgrades!$B$3:$B$13)-COUNTIF(C$4:C1274,"Sell_"&amp;Upgrades!$B$3:$B$13))*Upgrades!$D$3:$D$13))</f>
        <v/>
      </c>
      <c r="F1274" s="66" t="str">
        <f>IFERROR(__xludf.DUMMYFUNCTION("IF(COUNTA(C1274:C1350)=0,"""",IF(REGEXMATCH(INDEX(FILTER(C$4:C1274,C$4:C1274&lt;&gt;""""),ROWS(FILTER(C$4:C1274,C$4:C1274&lt;&gt;""""))),""^Sell_""),INDEX(FILTER(F$4:F1273,C$4:C1273&lt;&gt;""""),ROWS(FILTER(C$4:C1273,C$4:C1273&lt;&gt;""""))),$AC$5+E1274))"),"")</f>
        <v/>
      </c>
      <c r="G1274" s="10" t="str">
        <f>IFERROR(__xludf.DUMMYFUNCTION("IF(COUNTA(C1274:C1350)=0,"""",IF(C1274="""",0,IF(REGEXMATCH(C1274,""^Sell_""),-ROUNDDOWN(ROUNDUP(INDEX(Upgrades!$C$3:$C$13,MATCH(SUBSTITUTE(C1274,""Sell_"",""""),Upgrades!$B$3:$B$13,0))*1.15^(COUNTIF(C$4:C1273,SUBSTITUTE(C1274,""Sell_"",""""))-COUNTIF(C$4"&amp;":C1273,""Sell_""&amp;SUBSTITUTE(C1274,""Sell_"",""""))))/2),ROUNDUP(INDEX(Upgrades!$C$3:$C$13,MATCH(C1274,Upgrades!$B$3:$B$13,0))*1.15^(COUNTIF(C$4:C1273,C1274)-COUNTIF(C$4:C1273,""Sell_""&amp;C1274))))))"),"")</f>
        <v/>
      </c>
      <c r="H1274" s="10" t="str">
        <f t="shared" si="3"/>
        <v/>
      </c>
      <c r="I1274" s="68" t="str">
        <f t="shared" si="4"/>
        <v/>
      </c>
      <c r="J1274" s="59" t="str">
        <f t="shared" si="5"/>
        <v/>
      </c>
      <c r="K1274" s="69" t="str">
        <f t="shared" si="6"/>
        <v/>
      </c>
      <c r="L1274" s="60" t="str">
        <f t="shared" si="7"/>
        <v/>
      </c>
      <c r="M1274" s="61" t="str">
        <f>IFERROR(__xludf.DUMMYFUNCTION("IFS(AND(COUNTA(C1274:C1350)=0,COUNTA(Q1274:Q1350)=0),"""",OR(AND(K1274&gt;=1000000000,OR(Y1274&gt;=1000000000,COUNTA(Q1274:Q1350)=0)),OR(Y1274&gt;=1000000000,AND(COUNTA(C1274:C1350)=0,P$3=TRUE))),
ROUNDDOWN((AB$1-AC$1)*MAX(INDEX(T$4:T1350,MATCH(LARGE(FILTER(Y$4:Y1"&amp;"350,Y$4:Y1350&lt;1000000000),1),Y$4:Y1350)),INDEX(F$4:F1350,MATCH(LARGE(FILTER(K$4:K1350,K$4:K1350&lt;1000000000),1),K$4:K1350)))),AND(K1274&lt;1000000000,COUNTA(C1274:C1350)&gt;0,P$3=FALSE),
ROUNDDOWN(INDEX(Y$4:Y1350,MATCH(LARGE(FILTER(W$4:W1350,W$4:W1350&lt;=I1274),1)"&amp;",W$4:W1350))+(I1274-LARGE(FILTER(W$4:W1350,W$4:W1350&lt;=I1274),1))*INDEX(T$4:T1350,MATCH(LARGE(FILTER(W$4:W1350,W$4:W1350&lt;=I1274),1),W$4:W1350))-K1274),1,
ROUNDDOWN(Y1274-INDEX(K$4:K1350,MATCH(LARGE(FILTER(I$4:I1350,I$4:I1350&lt;=W1274),1),I$4:I1350))-(W1274-L"&amp;"ARGE(FILTER(I$4:I1350,I$4:I1350&lt;=W1274),1))*INDEX(F$4:F1350,MATCH(LARGE(FILTER(I$4:I1350,I$4:I1350&lt;=W1274),1),I$4:I1350))))"),"")</f>
        <v/>
      </c>
      <c r="N1274" s="60" t="str">
        <f t="shared" si="8"/>
        <v/>
      </c>
      <c r="O1274" s="61" t="str">
        <f t="shared" si="9"/>
        <v/>
      </c>
      <c r="P1274" s="56" t="str">
        <f t="shared" si="10"/>
        <v/>
      </c>
      <c r="Q1274" s="62"/>
      <c r="R1274" s="10" t="str">
        <f>IFERROR(__xludf.DUMMYFUNCTION("IF(COUNTA(Q1274:Q1350)=0,"""",IF(ISBLANK(Q1274),FALSE,IF(NOT(COUNTIF($AA$24:$AA$34,SUBSTITUTE(Q1274,""Sell_"",""""))),1,IF(REGEXMATCH(Q1274,""Sell_""),IF(COUNTIF(Q$4:Q1274,SUBSTITUTE(Q1274,""Sell_"",""""))-COUNTIF(Q$4:Q1273,Q1274)&lt;1,1),FALSE))))"),"")</f>
        <v/>
      </c>
      <c r="S1274" s="59" t="str">
        <f t="array" ref="S1274">IF(COUNTA(Q1274:Q1350)=0,"",SUM((COUNTIF(Q$4:Q1274,Upgrades!$B$3:$B$13)-COUNTIF(Q$4:Q1274,"Sell_"&amp;Upgrades!$B$3:$B$13))*Upgrades!$D$3:$D$13))</f>
        <v/>
      </c>
      <c r="T1274" s="66" t="str">
        <f>IFERROR(__xludf.DUMMYFUNCTION("IF(COUNTA(Q1274:Q1350)=0,"""",IF(REGEXMATCH(INDEX(FILTER(Q$4:Q1274,Q$4:Q1274&lt;&gt;""""),ROWS(FILTER(Q$4:Q1274,Q$4:Q1274&lt;&gt;""""))),""^Sell_""),INDEX(FILTER(T$4:T1273,Q$4:Q1273&lt;&gt;""""),ROWS(FILTER(Q$4:Q1273,Q$4:Q1273&lt;&gt;""""))),$AD$5+S1274))"),"")</f>
        <v/>
      </c>
      <c r="U1274" s="10" t="str">
        <f>IFERROR(__xludf.DUMMYFUNCTION("IF(COUNTA(Q1274:Q1350)=0,"""",IF(Q1274="""",0,IF(REGEXMATCH(Q1274,""^Sell_""),-ROUNDDOWN(ROUNDUP(INDEX(Upgrades!$C$3:$C$13,MATCH(SUBSTITUTE(Q1274,""Sell_"",""""),Upgrades!$B$3:$B$13,0))*1.15^(COUNTIF(Q$4:Q1273,SUBSTITUTE(Q1274,""Sell_"",""""))-COUNTIF(Q$4"&amp;":Q1273,""Sell_""&amp;SUBSTITUTE(Q1274,""Sell_"",""""))))/2),ROUNDUP(INDEX(Upgrades!$C$3:$C$13,MATCH(Q1274,Upgrades!$B$3:$B$13,0))*1.15^(COUNTIF(Q$4:Q1273,Q1274)-COUNTIF(Q$4:Q1273,""Sell_""&amp;Q1274))))))"),"")</f>
        <v/>
      </c>
      <c r="V1274" s="10" t="str">
        <f t="shared" si="11"/>
        <v/>
      </c>
      <c r="W1274" s="68" t="str">
        <f t="shared" si="12"/>
        <v/>
      </c>
      <c r="X1274" s="59" t="str">
        <f t="shared" si="13"/>
        <v/>
      </c>
      <c r="Y1274" s="69" t="str">
        <f t="shared" si="14"/>
        <v/>
      </c>
      <c r="Z1274" s="11"/>
    </row>
    <row r="1275">
      <c r="A1275" s="8"/>
      <c r="B1275" s="56" t="str">
        <f t="shared" si="2"/>
        <v/>
      </c>
      <c r="C1275" s="57"/>
      <c r="D1275" s="10" t="str">
        <f>IFERROR(__xludf.DUMMYFUNCTION("IF(COUNTA(C1275:C1350)=0,"""",IF(ISBLANK(C1275),FALSE,IF(NOT(COUNTIF($AA$24:$AA$34,SUBSTITUTE(C1275,""Sell_"",""""))),1,IF(REGEXMATCH(C1275,""Sell_""),IF(COUNTIF(C$4:C1275,SUBSTITUTE(C1275,""Sell_"",""""))-COUNTIF(C$4:C1274,C1275)&lt;1,1),FALSE))))"),"")</f>
        <v/>
      </c>
      <c r="E1275" s="59" t="str">
        <f t="array" ref="E1275">IF(COUNTA(C1275:C1350)=0,"",SUM((COUNTIF(C$4:C1275,Upgrades!$B$3:$B$13)-COUNTIF(C$4:C1275,"Sell_"&amp;Upgrades!$B$3:$B$13))*Upgrades!$D$3:$D$13))</f>
        <v/>
      </c>
      <c r="F1275" s="66" t="str">
        <f>IFERROR(__xludf.DUMMYFUNCTION("IF(COUNTA(C1275:C1350)=0,"""",IF(REGEXMATCH(INDEX(FILTER(C$4:C1275,C$4:C1275&lt;&gt;""""),ROWS(FILTER(C$4:C1275,C$4:C1275&lt;&gt;""""))),""^Sell_""),INDEX(FILTER(F$4:F1274,C$4:C1274&lt;&gt;""""),ROWS(FILTER(C$4:C1274,C$4:C1274&lt;&gt;""""))),$AC$5+E1275))"),"")</f>
        <v/>
      </c>
      <c r="G1275" s="10" t="str">
        <f>IFERROR(__xludf.DUMMYFUNCTION("IF(COUNTA(C1275:C1350)=0,"""",IF(C1275="""",0,IF(REGEXMATCH(C1275,""^Sell_""),-ROUNDDOWN(ROUNDUP(INDEX(Upgrades!$C$3:$C$13,MATCH(SUBSTITUTE(C1275,""Sell_"",""""),Upgrades!$B$3:$B$13,0))*1.15^(COUNTIF(C$4:C1274,SUBSTITUTE(C1275,""Sell_"",""""))-COUNTIF(C$4"&amp;":C1274,""Sell_""&amp;SUBSTITUTE(C1275,""Sell_"",""""))))/2),ROUNDUP(INDEX(Upgrades!$C$3:$C$13,MATCH(C1275,Upgrades!$B$3:$B$13,0))*1.15^(COUNTIF(C$4:C1274,C1275)-COUNTIF(C$4:C1274,""Sell_""&amp;C1275))))))"),"")</f>
        <v/>
      </c>
      <c r="H1275" s="10" t="str">
        <f t="shared" si="3"/>
        <v/>
      </c>
      <c r="I1275" s="68" t="str">
        <f t="shared" si="4"/>
        <v/>
      </c>
      <c r="J1275" s="59" t="str">
        <f t="shared" si="5"/>
        <v/>
      </c>
      <c r="K1275" s="69" t="str">
        <f t="shared" si="6"/>
        <v/>
      </c>
      <c r="L1275" s="60" t="str">
        <f t="shared" si="7"/>
        <v/>
      </c>
      <c r="M1275" s="61" t="str">
        <f>IFERROR(__xludf.DUMMYFUNCTION("IFS(AND(COUNTA(C1275:C1350)=0,COUNTA(Q1275:Q1350)=0),"""",OR(AND(K1275&gt;=1000000000,OR(Y1275&gt;=1000000000,COUNTA(Q1275:Q1350)=0)),OR(Y1275&gt;=1000000000,AND(COUNTA(C1275:C1350)=0,P$3=TRUE))),
ROUNDDOWN((AB$1-AC$1)*MAX(INDEX(T$4:T1350,MATCH(LARGE(FILTER(Y$4:Y1"&amp;"350,Y$4:Y1350&lt;1000000000),1),Y$4:Y1350)),INDEX(F$4:F1350,MATCH(LARGE(FILTER(K$4:K1350,K$4:K1350&lt;1000000000),1),K$4:K1350)))),AND(K1275&lt;1000000000,COUNTA(C1275:C1350)&gt;0,P$3=FALSE),
ROUNDDOWN(INDEX(Y$4:Y1350,MATCH(LARGE(FILTER(W$4:W1350,W$4:W1350&lt;=I1275),1)"&amp;",W$4:W1350))+(I1275-LARGE(FILTER(W$4:W1350,W$4:W1350&lt;=I1275),1))*INDEX(T$4:T1350,MATCH(LARGE(FILTER(W$4:W1350,W$4:W1350&lt;=I1275),1),W$4:W1350))-K1275),1,
ROUNDDOWN(Y1275-INDEX(K$4:K1350,MATCH(LARGE(FILTER(I$4:I1350,I$4:I1350&lt;=W1275),1),I$4:I1350))-(W1275-L"&amp;"ARGE(FILTER(I$4:I1350,I$4:I1350&lt;=W1275),1))*INDEX(F$4:F1350,MATCH(LARGE(FILTER(I$4:I1350,I$4:I1350&lt;=W1275),1),I$4:I1350))))"),"")</f>
        <v/>
      </c>
      <c r="N1275" s="60" t="str">
        <f t="shared" si="8"/>
        <v/>
      </c>
      <c r="O1275" s="61" t="str">
        <f t="shared" si="9"/>
        <v/>
      </c>
      <c r="P1275" s="56" t="str">
        <f t="shared" si="10"/>
        <v/>
      </c>
      <c r="Q1275" s="62"/>
      <c r="R1275" s="10" t="str">
        <f>IFERROR(__xludf.DUMMYFUNCTION("IF(COUNTA(Q1275:Q1350)=0,"""",IF(ISBLANK(Q1275),FALSE,IF(NOT(COUNTIF($AA$24:$AA$34,SUBSTITUTE(Q1275,""Sell_"",""""))),1,IF(REGEXMATCH(Q1275,""Sell_""),IF(COUNTIF(Q$4:Q1275,SUBSTITUTE(Q1275,""Sell_"",""""))-COUNTIF(Q$4:Q1274,Q1275)&lt;1,1),FALSE))))"),"")</f>
        <v/>
      </c>
      <c r="S1275" s="59" t="str">
        <f t="array" ref="S1275">IF(COUNTA(Q1275:Q1350)=0,"",SUM((COUNTIF(Q$4:Q1275,Upgrades!$B$3:$B$13)-COUNTIF(Q$4:Q1275,"Sell_"&amp;Upgrades!$B$3:$B$13))*Upgrades!$D$3:$D$13))</f>
        <v/>
      </c>
      <c r="T1275" s="66" t="str">
        <f>IFERROR(__xludf.DUMMYFUNCTION("IF(COUNTA(Q1275:Q1350)=0,"""",IF(REGEXMATCH(INDEX(FILTER(Q$4:Q1275,Q$4:Q1275&lt;&gt;""""),ROWS(FILTER(Q$4:Q1275,Q$4:Q1275&lt;&gt;""""))),""^Sell_""),INDEX(FILTER(T$4:T1274,Q$4:Q1274&lt;&gt;""""),ROWS(FILTER(Q$4:Q1274,Q$4:Q1274&lt;&gt;""""))),$AD$5+S1275))"),"")</f>
        <v/>
      </c>
      <c r="U1275" s="10" t="str">
        <f>IFERROR(__xludf.DUMMYFUNCTION("IF(COUNTA(Q1275:Q1350)=0,"""",IF(Q1275="""",0,IF(REGEXMATCH(Q1275,""^Sell_""),-ROUNDDOWN(ROUNDUP(INDEX(Upgrades!$C$3:$C$13,MATCH(SUBSTITUTE(Q1275,""Sell_"",""""),Upgrades!$B$3:$B$13,0))*1.15^(COUNTIF(Q$4:Q1274,SUBSTITUTE(Q1275,""Sell_"",""""))-COUNTIF(Q$4"&amp;":Q1274,""Sell_""&amp;SUBSTITUTE(Q1275,""Sell_"",""""))))/2),ROUNDUP(INDEX(Upgrades!$C$3:$C$13,MATCH(Q1275,Upgrades!$B$3:$B$13,0))*1.15^(COUNTIF(Q$4:Q1274,Q1275)-COUNTIF(Q$4:Q1274,""Sell_""&amp;Q1275))))))"),"")</f>
        <v/>
      </c>
      <c r="V1275" s="10" t="str">
        <f t="shared" si="11"/>
        <v/>
      </c>
      <c r="W1275" s="68" t="str">
        <f t="shared" si="12"/>
        <v/>
      </c>
      <c r="X1275" s="59" t="str">
        <f t="shared" si="13"/>
        <v/>
      </c>
      <c r="Y1275" s="69" t="str">
        <f t="shared" si="14"/>
        <v/>
      </c>
      <c r="Z1275" s="11"/>
    </row>
    <row r="1276">
      <c r="A1276" s="8"/>
      <c r="B1276" s="56" t="str">
        <f t="shared" si="2"/>
        <v/>
      </c>
      <c r="C1276" s="57"/>
      <c r="D1276" s="10" t="str">
        <f>IFERROR(__xludf.DUMMYFUNCTION("IF(COUNTA(C1276:C1350)=0,"""",IF(ISBLANK(C1276),FALSE,IF(NOT(COUNTIF($AA$24:$AA$34,SUBSTITUTE(C1276,""Sell_"",""""))),1,IF(REGEXMATCH(C1276,""Sell_""),IF(COUNTIF(C$4:C1276,SUBSTITUTE(C1276,""Sell_"",""""))-COUNTIF(C$4:C1275,C1276)&lt;1,1),FALSE))))"),"")</f>
        <v/>
      </c>
      <c r="E1276" s="59" t="str">
        <f t="array" ref="E1276">IF(COUNTA(C1276:C1350)=0,"",SUM((COUNTIF(C$4:C1276,Upgrades!$B$3:$B$13)-COUNTIF(C$4:C1276,"Sell_"&amp;Upgrades!$B$3:$B$13))*Upgrades!$D$3:$D$13))</f>
        <v/>
      </c>
      <c r="F1276" s="66" t="str">
        <f>IFERROR(__xludf.DUMMYFUNCTION("IF(COUNTA(C1276:C1350)=0,"""",IF(REGEXMATCH(INDEX(FILTER(C$4:C1276,C$4:C1276&lt;&gt;""""),ROWS(FILTER(C$4:C1276,C$4:C1276&lt;&gt;""""))),""^Sell_""),INDEX(FILTER(F$4:F1275,C$4:C1275&lt;&gt;""""),ROWS(FILTER(C$4:C1275,C$4:C1275&lt;&gt;""""))),$AC$5+E1276))"),"")</f>
        <v/>
      </c>
      <c r="G1276" s="10" t="str">
        <f>IFERROR(__xludf.DUMMYFUNCTION("IF(COUNTA(C1276:C1350)=0,"""",IF(C1276="""",0,IF(REGEXMATCH(C1276,""^Sell_""),-ROUNDDOWN(ROUNDUP(INDEX(Upgrades!$C$3:$C$13,MATCH(SUBSTITUTE(C1276,""Sell_"",""""),Upgrades!$B$3:$B$13,0))*1.15^(COUNTIF(C$4:C1275,SUBSTITUTE(C1276,""Sell_"",""""))-COUNTIF(C$4"&amp;":C1275,""Sell_""&amp;SUBSTITUTE(C1276,""Sell_"",""""))))/2),ROUNDUP(INDEX(Upgrades!$C$3:$C$13,MATCH(C1276,Upgrades!$B$3:$B$13,0))*1.15^(COUNTIF(C$4:C1275,C1276)-COUNTIF(C$4:C1275,""Sell_""&amp;C1276))))))"),"")</f>
        <v/>
      </c>
      <c r="H1276" s="10" t="str">
        <f t="shared" si="3"/>
        <v/>
      </c>
      <c r="I1276" s="68" t="str">
        <f t="shared" si="4"/>
        <v/>
      </c>
      <c r="J1276" s="59" t="str">
        <f t="shared" si="5"/>
        <v/>
      </c>
      <c r="K1276" s="69" t="str">
        <f t="shared" si="6"/>
        <v/>
      </c>
      <c r="L1276" s="60" t="str">
        <f t="shared" si="7"/>
        <v/>
      </c>
      <c r="M1276" s="61" t="str">
        <f>IFERROR(__xludf.DUMMYFUNCTION("IFS(AND(COUNTA(C1276:C1350)=0,COUNTA(Q1276:Q1350)=0),"""",OR(AND(K1276&gt;=1000000000,OR(Y1276&gt;=1000000000,COUNTA(Q1276:Q1350)=0)),OR(Y1276&gt;=1000000000,AND(COUNTA(C1276:C1350)=0,P$3=TRUE))),
ROUNDDOWN((AB$1-AC$1)*MAX(INDEX(T$4:T1350,MATCH(LARGE(FILTER(Y$4:Y1"&amp;"350,Y$4:Y1350&lt;1000000000),1),Y$4:Y1350)),INDEX(F$4:F1350,MATCH(LARGE(FILTER(K$4:K1350,K$4:K1350&lt;1000000000),1),K$4:K1350)))),AND(K1276&lt;1000000000,COUNTA(C1276:C1350)&gt;0,P$3=FALSE),
ROUNDDOWN(INDEX(Y$4:Y1350,MATCH(LARGE(FILTER(W$4:W1350,W$4:W1350&lt;=I1276),1)"&amp;",W$4:W1350))+(I1276-LARGE(FILTER(W$4:W1350,W$4:W1350&lt;=I1276),1))*INDEX(T$4:T1350,MATCH(LARGE(FILTER(W$4:W1350,W$4:W1350&lt;=I1276),1),W$4:W1350))-K1276),1,
ROUNDDOWN(Y1276-INDEX(K$4:K1350,MATCH(LARGE(FILTER(I$4:I1350,I$4:I1350&lt;=W1276),1),I$4:I1350))-(W1276-L"&amp;"ARGE(FILTER(I$4:I1350,I$4:I1350&lt;=W1276),1))*INDEX(F$4:F1350,MATCH(LARGE(FILTER(I$4:I1350,I$4:I1350&lt;=W1276),1),I$4:I1350))))"),"")</f>
        <v/>
      </c>
      <c r="N1276" s="60" t="str">
        <f t="shared" si="8"/>
        <v/>
      </c>
      <c r="O1276" s="61" t="str">
        <f t="shared" si="9"/>
        <v/>
      </c>
      <c r="P1276" s="56" t="str">
        <f t="shared" si="10"/>
        <v/>
      </c>
      <c r="Q1276" s="62"/>
      <c r="R1276" s="10" t="str">
        <f>IFERROR(__xludf.DUMMYFUNCTION("IF(COUNTA(Q1276:Q1350)=0,"""",IF(ISBLANK(Q1276),FALSE,IF(NOT(COUNTIF($AA$24:$AA$34,SUBSTITUTE(Q1276,""Sell_"",""""))),1,IF(REGEXMATCH(Q1276,""Sell_""),IF(COUNTIF(Q$4:Q1276,SUBSTITUTE(Q1276,""Sell_"",""""))-COUNTIF(Q$4:Q1275,Q1276)&lt;1,1),FALSE))))"),"")</f>
        <v/>
      </c>
      <c r="S1276" s="59" t="str">
        <f t="array" ref="S1276">IF(COUNTA(Q1276:Q1350)=0,"",SUM((COUNTIF(Q$4:Q1276,Upgrades!$B$3:$B$13)-COUNTIF(Q$4:Q1276,"Sell_"&amp;Upgrades!$B$3:$B$13))*Upgrades!$D$3:$D$13))</f>
        <v/>
      </c>
      <c r="T1276" s="66" t="str">
        <f>IFERROR(__xludf.DUMMYFUNCTION("IF(COUNTA(Q1276:Q1350)=0,"""",IF(REGEXMATCH(INDEX(FILTER(Q$4:Q1276,Q$4:Q1276&lt;&gt;""""),ROWS(FILTER(Q$4:Q1276,Q$4:Q1276&lt;&gt;""""))),""^Sell_""),INDEX(FILTER(T$4:T1275,Q$4:Q1275&lt;&gt;""""),ROWS(FILTER(Q$4:Q1275,Q$4:Q1275&lt;&gt;""""))),$AD$5+S1276))"),"")</f>
        <v/>
      </c>
      <c r="U1276" s="10" t="str">
        <f>IFERROR(__xludf.DUMMYFUNCTION("IF(COUNTA(Q1276:Q1350)=0,"""",IF(Q1276="""",0,IF(REGEXMATCH(Q1276,""^Sell_""),-ROUNDDOWN(ROUNDUP(INDEX(Upgrades!$C$3:$C$13,MATCH(SUBSTITUTE(Q1276,""Sell_"",""""),Upgrades!$B$3:$B$13,0))*1.15^(COUNTIF(Q$4:Q1275,SUBSTITUTE(Q1276,""Sell_"",""""))-COUNTIF(Q$4"&amp;":Q1275,""Sell_""&amp;SUBSTITUTE(Q1276,""Sell_"",""""))))/2),ROUNDUP(INDEX(Upgrades!$C$3:$C$13,MATCH(Q1276,Upgrades!$B$3:$B$13,0))*1.15^(COUNTIF(Q$4:Q1275,Q1276)-COUNTIF(Q$4:Q1275,""Sell_""&amp;Q1276))))))"),"")</f>
        <v/>
      </c>
      <c r="V1276" s="10" t="str">
        <f t="shared" si="11"/>
        <v/>
      </c>
      <c r="W1276" s="68" t="str">
        <f t="shared" si="12"/>
        <v/>
      </c>
      <c r="X1276" s="59" t="str">
        <f t="shared" si="13"/>
        <v/>
      </c>
      <c r="Y1276" s="69" t="str">
        <f t="shared" si="14"/>
        <v/>
      </c>
      <c r="Z1276" s="11"/>
    </row>
    <row r="1277">
      <c r="A1277" s="8"/>
      <c r="B1277" s="56" t="str">
        <f t="shared" si="2"/>
        <v/>
      </c>
      <c r="C1277" s="57"/>
      <c r="D1277" s="10" t="str">
        <f>IFERROR(__xludf.DUMMYFUNCTION("IF(COUNTA(C1277:C1350)=0,"""",IF(ISBLANK(C1277),FALSE,IF(NOT(COUNTIF($AA$24:$AA$34,SUBSTITUTE(C1277,""Sell_"",""""))),1,IF(REGEXMATCH(C1277,""Sell_""),IF(COUNTIF(C$4:C1277,SUBSTITUTE(C1277,""Sell_"",""""))-COUNTIF(C$4:C1276,C1277)&lt;1,1),FALSE))))"),"")</f>
        <v/>
      </c>
      <c r="E1277" s="59" t="str">
        <f t="array" ref="E1277">IF(COUNTA(C1277:C1350)=0,"",SUM((COUNTIF(C$4:C1277,Upgrades!$B$3:$B$13)-COUNTIF(C$4:C1277,"Sell_"&amp;Upgrades!$B$3:$B$13))*Upgrades!$D$3:$D$13))</f>
        <v/>
      </c>
      <c r="F1277" s="66" t="str">
        <f>IFERROR(__xludf.DUMMYFUNCTION("IF(COUNTA(C1277:C1350)=0,"""",IF(REGEXMATCH(INDEX(FILTER(C$4:C1277,C$4:C1277&lt;&gt;""""),ROWS(FILTER(C$4:C1277,C$4:C1277&lt;&gt;""""))),""^Sell_""),INDEX(FILTER(F$4:F1276,C$4:C1276&lt;&gt;""""),ROWS(FILTER(C$4:C1276,C$4:C1276&lt;&gt;""""))),$AC$5+E1277))"),"")</f>
        <v/>
      </c>
      <c r="G1277" s="10" t="str">
        <f>IFERROR(__xludf.DUMMYFUNCTION("IF(COUNTA(C1277:C1350)=0,"""",IF(C1277="""",0,IF(REGEXMATCH(C1277,""^Sell_""),-ROUNDDOWN(ROUNDUP(INDEX(Upgrades!$C$3:$C$13,MATCH(SUBSTITUTE(C1277,""Sell_"",""""),Upgrades!$B$3:$B$13,0))*1.15^(COUNTIF(C$4:C1276,SUBSTITUTE(C1277,""Sell_"",""""))-COUNTIF(C$4"&amp;":C1276,""Sell_""&amp;SUBSTITUTE(C1277,""Sell_"",""""))))/2),ROUNDUP(INDEX(Upgrades!$C$3:$C$13,MATCH(C1277,Upgrades!$B$3:$B$13,0))*1.15^(COUNTIF(C$4:C1276,C1277)-COUNTIF(C$4:C1276,""Sell_""&amp;C1277))))))"),"")</f>
        <v/>
      </c>
      <c r="H1277" s="10" t="str">
        <f t="shared" si="3"/>
        <v/>
      </c>
      <c r="I1277" s="68" t="str">
        <f t="shared" si="4"/>
        <v/>
      </c>
      <c r="J1277" s="59" t="str">
        <f t="shared" si="5"/>
        <v/>
      </c>
      <c r="K1277" s="69" t="str">
        <f t="shared" si="6"/>
        <v/>
      </c>
      <c r="L1277" s="60" t="str">
        <f t="shared" si="7"/>
        <v/>
      </c>
      <c r="M1277" s="61" t="str">
        <f>IFERROR(__xludf.DUMMYFUNCTION("IFS(AND(COUNTA(C1277:C1350)=0,COUNTA(Q1277:Q1350)=0),"""",OR(AND(K1277&gt;=1000000000,OR(Y1277&gt;=1000000000,COUNTA(Q1277:Q1350)=0)),OR(Y1277&gt;=1000000000,AND(COUNTA(C1277:C1350)=0,P$3=TRUE))),
ROUNDDOWN((AB$1-AC$1)*MAX(INDEX(T$4:T1350,MATCH(LARGE(FILTER(Y$4:Y1"&amp;"350,Y$4:Y1350&lt;1000000000),1),Y$4:Y1350)),INDEX(F$4:F1350,MATCH(LARGE(FILTER(K$4:K1350,K$4:K1350&lt;1000000000),1),K$4:K1350)))),AND(K1277&lt;1000000000,COUNTA(C1277:C1350)&gt;0,P$3=FALSE),
ROUNDDOWN(INDEX(Y$4:Y1350,MATCH(LARGE(FILTER(W$4:W1350,W$4:W1350&lt;=I1277),1)"&amp;",W$4:W1350))+(I1277-LARGE(FILTER(W$4:W1350,W$4:W1350&lt;=I1277),1))*INDEX(T$4:T1350,MATCH(LARGE(FILTER(W$4:W1350,W$4:W1350&lt;=I1277),1),W$4:W1350))-K1277),1,
ROUNDDOWN(Y1277-INDEX(K$4:K1350,MATCH(LARGE(FILTER(I$4:I1350,I$4:I1350&lt;=W1277),1),I$4:I1350))-(W1277-L"&amp;"ARGE(FILTER(I$4:I1350,I$4:I1350&lt;=W1277),1))*INDEX(F$4:F1350,MATCH(LARGE(FILTER(I$4:I1350,I$4:I1350&lt;=W1277),1),I$4:I1350))))"),"")</f>
        <v/>
      </c>
      <c r="N1277" s="60" t="str">
        <f t="shared" si="8"/>
        <v/>
      </c>
      <c r="O1277" s="61" t="str">
        <f t="shared" si="9"/>
        <v/>
      </c>
      <c r="P1277" s="56" t="str">
        <f t="shared" si="10"/>
        <v/>
      </c>
      <c r="Q1277" s="62"/>
      <c r="R1277" s="10" t="str">
        <f>IFERROR(__xludf.DUMMYFUNCTION("IF(COUNTA(Q1277:Q1350)=0,"""",IF(ISBLANK(Q1277),FALSE,IF(NOT(COUNTIF($AA$24:$AA$34,SUBSTITUTE(Q1277,""Sell_"",""""))),1,IF(REGEXMATCH(Q1277,""Sell_""),IF(COUNTIF(Q$4:Q1277,SUBSTITUTE(Q1277,""Sell_"",""""))-COUNTIF(Q$4:Q1276,Q1277)&lt;1,1),FALSE))))"),"")</f>
        <v/>
      </c>
      <c r="S1277" s="59" t="str">
        <f t="array" ref="S1277">IF(COUNTA(Q1277:Q1350)=0,"",SUM((COUNTIF(Q$4:Q1277,Upgrades!$B$3:$B$13)-COUNTIF(Q$4:Q1277,"Sell_"&amp;Upgrades!$B$3:$B$13))*Upgrades!$D$3:$D$13))</f>
        <v/>
      </c>
      <c r="T1277" s="66" t="str">
        <f>IFERROR(__xludf.DUMMYFUNCTION("IF(COUNTA(Q1277:Q1350)=0,"""",IF(REGEXMATCH(INDEX(FILTER(Q$4:Q1277,Q$4:Q1277&lt;&gt;""""),ROWS(FILTER(Q$4:Q1277,Q$4:Q1277&lt;&gt;""""))),""^Sell_""),INDEX(FILTER(T$4:T1276,Q$4:Q1276&lt;&gt;""""),ROWS(FILTER(Q$4:Q1276,Q$4:Q1276&lt;&gt;""""))),$AD$5+S1277))"),"")</f>
        <v/>
      </c>
      <c r="U1277" s="10" t="str">
        <f>IFERROR(__xludf.DUMMYFUNCTION("IF(COUNTA(Q1277:Q1350)=0,"""",IF(Q1277="""",0,IF(REGEXMATCH(Q1277,""^Sell_""),-ROUNDDOWN(ROUNDUP(INDEX(Upgrades!$C$3:$C$13,MATCH(SUBSTITUTE(Q1277,""Sell_"",""""),Upgrades!$B$3:$B$13,0))*1.15^(COUNTIF(Q$4:Q1276,SUBSTITUTE(Q1277,""Sell_"",""""))-COUNTIF(Q$4"&amp;":Q1276,""Sell_""&amp;SUBSTITUTE(Q1277,""Sell_"",""""))))/2),ROUNDUP(INDEX(Upgrades!$C$3:$C$13,MATCH(Q1277,Upgrades!$B$3:$B$13,0))*1.15^(COUNTIF(Q$4:Q1276,Q1277)-COUNTIF(Q$4:Q1276,""Sell_""&amp;Q1277))))))"),"")</f>
        <v/>
      </c>
      <c r="V1277" s="10" t="str">
        <f t="shared" si="11"/>
        <v/>
      </c>
      <c r="W1277" s="68" t="str">
        <f t="shared" si="12"/>
        <v/>
      </c>
      <c r="X1277" s="59" t="str">
        <f t="shared" si="13"/>
        <v/>
      </c>
      <c r="Y1277" s="69" t="str">
        <f t="shared" si="14"/>
        <v/>
      </c>
      <c r="Z1277" s="11"/>
    </row>
    <row r="1278">
      <c r="A1278" s="8"/>
      <c r="B1278" s="56" t="str">
        <f t="shared" si="2"/>
        <v/>
      </c>
      <c r="C1278" s="57"/>
      <c r="D1278" s="10" t="str">
        <f>IFERROR(__xludf.DUMMYFUNCTION("IF(COUNTA(C1278:C1350)=0,"""",IF(ISBLANK(C1278),FALSE,IF(NOT(COUNTIF($AA$24:$AA$34,SUBSTITUTE(C1278,""Sell_"",""""))),1,IF(REGEXMATCH(C1278,""Sell_""),IF(COUNTIF(C$4:C1278,SUBSTITUTE(C1278,""Sell_"",""""))-COUNTIF(C$4:C1277,C1278)&lt;1,1),FALSE))))"),"")</f>
        <v/>
      </c>
      <c r="E1278" s="59" t="str">
        <f t="array" ref="E1278">IF(COUNTA(C1278:C1350)=0,"",SUM((COUNTIF(C$4:C1278,Upgrades!$B$3:$B$13)-COUNTIF(C$4:C1278,"Sell_"&amp;Upgrades!$B$3:$B$13))*Upgrades!$D$3:$D$13))</f>
        <v/>
      </c>
      <c r="F1278" s="66" t="str">
        <f>IFERROR(__xludf.DUMMYFUNCTION("IF(COUNTA(C1278:C1350)=0,"""",IF(REGEXMATCH(INDEX(FILTER(C$4:C1278,C$4:C1278&lt;&gt;""""),ROWS(FILTER(C$4:C1278,C$4:C1278&lt;&gt;""""))),""^Sell_""),INDEX(FILTER(F$4:F1277,C$4:C1277&lt;&gt;""""),ROWS(FILTER(C$4:C1277,C$4:C1277&lt;&gt;""""))),$AC$5+E1278))"),"")</f>
        <v/>
      </c>
      <c r="G1278" s="10" t="str">
        <f>IFERROR(__xludf.DUMMYFUNCTION("IF(COUNTA(C1278:C1350)=0,"""",IF(C1278="""",0,IF(REGEXMATCH(C1278,""^Sell_""),-ROUNDDOWN(ROUNDUP(INDEX(Upgrades!$C$3:$C$13,MATCH(SUBSTITUTE(C1278,""Sell_"",""""),Upgrades!$B$3:$B$13,0))*1.15^(COUNTIF(C$4:C1277,SUBSTITUTE(C1278,""Sell_"",""""))-COUNTIF(C$4"&amp;":C1277,""Sell_""&amp;SUBSTITUTE(C1278,""Sell_"",""""))))/2),ROUNDUP(INDEX(Upgrades!$C$3:$C$13,MATCH(C1278,Upgrades!$B$3:$B$13,0))*1.15^(COUNTIF(C$4:C1277,C1278)-COUNTIF(C$4:C1277,""Sell_""&amp;C1278))))))"),"")</f>
        <v/>
      </c>
      <c r="H1278" s="10" t="str">
        <f t="shared" si="3"/>
        <v/>
      </c>
      <c r="I1278" s="68" t="str">
        <f t="shared" si="4"/>
        <v/>
      </c>
      <c r="J1278" s="59" t="str">
        <f t="shared" si="5"/>
        <v/>
      </c>
      <c r="K1278" s="69" t="str">
        <f t="shared" si="6"/>
        <v/>
      </c>
      <c r="L1278" s="60" t="str">
        <f t="shared" si="7"/>
        <v/>
      </c>
      <c r="M1278" s="61" t="str">
        <f>IFERROR(__xludf.DUMMYFUNCTION("IFS(AND(COUNTA(C1278:C1350)=0,COUNTA(Q1278:Q1350)=0),"""",OR(AND(K1278&gt;=1000000000,OR(Y1278&gt;=1000000000,COUNTA(Q1278:Q1350)=0)),OR(Y1278&gt;=1000000000,AND(COUNTA(C1278:C1350)=0,P$3=TRUE))),
ROUNDDOWN((AB$1-AC$1)*MAX(INDEX(T$4:T1350,MATCH(LARGE(FILTER(Y$4:Y1"&amp;"350,Y$4:Y1350&lt;1000000000),1),Y$4:Y1350)),INDEX(F$4:F1350,MATCH(LARGE(FILTER(K$4:K1350,K$4:K1350&lt;1000000000),1),K$4:K1350)))),AND(K1278&lt;1000000000,COUNTA(C1278:C1350)&gt;0,P$3=FALSE),
ROUNDDOWN(INDEX(Y$4:Y1350,MATCH(LARGE(FILTER(W$4:W1350,W$4:W1350&lt;=I1278),1)"&amp;",W$4:W1350))+(I1278-LARGE(FILTER(W$4:W1350,W$4:W1350&lt;=I1278),1))*INDEX(T$4:T1350,MATCH(LARGE(FILTER(W$4:W1350,W$4:W1350&lt;=I1278),1),W$4:W1350))-K1278),1,
ROUNDDOWN(Y1278-INDEX(K$4:K1350,MATCH(LARGE(FILTER(I$4:I1350,I$4:I1350&lt;=W1278),1),I$4:I1350))-(W1278-L"&amp;"ARGE(FILTER(I$4:I1350,I$4:I1350&lt;=W1278),1))*INDEX(F$4:F1350,MATCH(LARGE(FILTER(I$4:I1350,I$4:I1350&lt;=W1278),1),I$4:I1350))))"),"")</f>
        <v/>
      </c>
      <c r="N1278" s="60" t="str">
        <f t="shared" si="8"/>
        <v/>
      </c>
      <c r="O1278" s="61" t="str">
        <f t="shared" si="9"/>
        <v/>
      </c>
      <c r="P1278" s="56" t="str">
        <f t="shared" si="10"/>
        <v/>
      </c>
      <c r="Q1278" s="62"/>
      <c r="R1278" s="10" t="str">
        <f>IFERROR(__xludf.DUMMYFUNCTION("IF(COUNTA(Q1278:Q1350)=0,"""",IF(ISBLANK(Q1278),FALSE,IF(NOT(COUNTIF($AA$24:$AA$34,SUBSTITUTE(Q1278,""Sell_"",""""))),1,IF(REGEXMATCH(Q1278,""Sell_""),IF(COUNTIF(Q$4:Q1278,SUBSTITUTE(Q1278,""Sell_"",""""))-COUNTIF(Q$4:Q1277,Q1278)&lt;1,1),FALSE))))"),"")</f>
        <v/>
      </c>
      <c r="S1278" s="59" t="str">
        <f t="array" ref="S1278">IF(COUNTA(Q1278:Q1350)=0,"",SUM((COUNTIF(Q$4:Q1278,Upgrades!$B$3:$B$13)-COUNTIF(Q$4:Q1278,"Sell_"&amp;Upgrades!$B$3:$B$13))*Upgrades!$D$3:$D$13))</f>
        <v/>
      </c>
      <c r="T1278" s="66" t="str">
        <f>IFERROR(__xludf.DUMMYFUNCTION("IF(COUNTA(Q1278:Q1350)=0,"""",IF(REGEXMATCH(INDEX(FILTER(Q$4:Q1278,Q$4:Q1278&lt;&gt;""""),ROWS(FILTER(Q$4:Q1278,Q$4:Q1278&lt;&gt;""""))),""^Sell_""),INDEX(FILTER(T$4:T1277,Q$4:Q1277&lt;&gt;""""),ROWS(FILTER(Q$4:Q1277,Q$4:Q1277&lt;&gt;""""))),$AD$5+S1278))"),"")</f>
        <v/>
      </c>
      <c r="U1278" s="10" t="str">
        <f>IFERROR(__xludf.DUMMYFUNCTION("IF(COUNTA(Q1278:Q1350)=0,"""",IF(Q1278="""",0,IF(REGEXMATCH(Q1278,""^Sell_""),-ROUNDDOWN(ROUNDUP(INDEX(Upgrades!$C$3:$C$13,MATCH(SUBSTITUTE(Q1278,""Sell_"",""""),Upgrades!$B$3:$B$13,0))*1.15^(COUNTIF(Q$4:Q1277,SUBSTITUTE(Q1278,""Sell_"",""""))-COUNTIF(Q$4"&amp;":Q1277,""Sell_""&amp;SUBSTITUTE(Q1278,""Sell_"",""""))))/2),ROUNDUP(INDEX(Upgrades!$C$3:$C$13,MATCH(Q1278,Upgrades!$B$3:$B$13,0))*1.15^(COUNTIF(Q$4:Q1277,Q1278)-COUNTIF(Q$4:Q1277,""Sell_""&amp;Q1278))))))"),"")</f>
        <v/>
      </c>
      <c r="V1278" s="10" t="str">
        <f t="shared" si="11"/>
        <v/>
      </c>
      <c r="W1278" s="68" t="str">
        <f t="shared" si="12"/>
        <v/>
      </c>
      <c r="X1278" s="59" t="str">
        <f t="shared" si="13"/>
        <v/>
      </c>
      <c r="Y1278" s="69" t="str">
        <f t="shared" si="14"/>
        <v/>
      </c>
      <c r="Z1278" s="11"/>
    </row>
    <row r="1279">
      <c r="A1279" s="8"/>
      <c r="B1279" s="56" t="str">
        <f t="shared" si="2"/>
        <v/>
      </c>
      <c r="C1279" s="57"/>
      <c r="D1279" s="10" t="str">
        <f>IFERROR(__xludf.DUMMYFUNCTION("IF(COUNTA(C1279:C1350)=0,"""",IF(ISBLANK(C1279),FALSE,IF(NOT(COUNTIF($AA$24:$AA$34,SUBSTITUTE(C1279,""Sell_"",""""))),1,IF(REGEXMATCH(C1279,""Sell_""),IF(COUNTIF(C$4:C1279,SUBSTITUTE(C1279,""Sell_"",""""))-COUNTIF(C$4:C1278,C1279)&lt;1,1),FALSE))))"),"")</f>
        <v/>
      </c>
      <c r="E1279" s="59" t="str">
        <f t="array" ref="E1279">IF(COUNTA(C1279:C1350)=0,"",SUM((COUNTIF(C$4:C1279,Upgrades!$B$3:$B$13)-COUNTIF(C$4:C1279,"Sell_"&amp;Upgrades!$B$3:$B$13))*Upgrades!$D$3:$D$13))</f>
        <v/>
      </c>
      <c r="F1279" s="66" t="str">
        <f>IFERROR(__xludf.DUMMYFUNCTION("IF(COUNTA(C1279:C1350)=0,"""",IF(REGEXMATCH(INDEX(FILTER(C$4:C1279,C$4:C1279&lt;&gt;""""),ROWS(FILTER(C$4:C1279,C$4:C1279&lt;&gt;""""))),""^Sell_""),INDEX(FILTER(F$4:F1278,C$4:C1278&lt;&gt;""""),ROWS(FILTER(C$4:C1278,C$4:C1278&lt;&gt;""""))),$AC$5+E1279))"),"")</f>
        <v/>
      </c>
      <c r="G1279" s="10" t="str">
        <f>IFERROR(__xludf.DUMMYFUNCTION("IF(COUNTA(C1279:C1350)=0,"""",IF(C1279="""",0,IF(REGEXMATCH(C1279,""^Sell_""),-ROUNDDOWN(ROUNDUP(INDEX(Upgrades!$C$3:$C$13,MATCH(SUBSTITUTE(C1279,""Sell_"",""""),Upgrades!$B$3:$B$13,0))*1.15^(COUNTIF(C$4:C1278,SUBSTITUTE(C1279,""Sell_"",""""))-COUNTIF(C$4"&amp;":C1278,""Sell_""&amp;SUBSTITUTE(C1279,""Sell_"",""""))))/2),ROUNDUP(INDEX(Upgrades!$C$3:$C$13,MATCH(C1279,Upgrades!$B$3:$B$13,0))*1.15^(COUNTIF(C$4:C1278,C1279)-COUNTIF(C$4:C1278,""Sell_""&amp;C1279))))))"),"")</f>
        <v/>
      </c>
      <c r="H1279" s="10" t="str">
        <f t="shared" si="3"/>
        <v/>
      </c>
      <c r="I1279" s="68" t="str">
        <f t="shared" si="4"/>
        <v/>
      </c>
      <c r="J1279" s="59" t="str">
        <f t="shared" si="5"/>
        <v/>
      </c>
      <c r="K1279" s="69" t="str">
        <f t="shared" si="6"/>
        <v/>
      </c>
      <c r="L1279" s="60" t="str">
        <f t="shared" si="7"/>
        <v/>
      </c>
      <c r="M1279" s="61" t="str">
        <f>IFERROR(__xludf.DUMMYFUNCTION("IFS(AND(COUNTA(C1279:C1350)=0,COUNTA(Q1279:Q1350)=0),"""",OR(AND(K1279&gt;=1000000000,OR(Y1279&gt;=1000000000,COUNTA(Q1279:Q1350)=0)),OR(Y1279&gt;=1000000000,AND(COUNTA(C1279:C1350)=0,P$3=TRUE))),
ROUNDDOWN((AB$1-AC$1)*MAX(INDEX(T$4:T1350,MATCH(LARGE(FILTER(Y$4:Y1"&amp;"350,Y$4:Y1350&lt;1000000000),1),Y$4:Y1350)),INDEX(F$4:F1350,MATCH(LARGE(FILTER(K$4:K1350,K$4:K1350&lt;1000000000),1),K$4:K1350)))),AND(K1279&lt;1000000000,COUNTA(C1279:C1350)&gt;0,P$3=FALSE),
ROUNDDOWN(INDEX(Y$4:Y1350,MATCH(LARGE(FILTER(W$4:W1350,W$4:W1350&lt;=I1279),1)"&amp;",W$4:W1350))+(I1279-LARGE(FILTER(W$4:W1350,W$4:W1350&lt;=I1279),1))*INDEX(T$4:T1350,MATCH(LARGE(FILTER(W$4:W1350,W$4:W1350&lt;=I1279),1),W$4:W1350))-K1279),1,
ROUNDDOWN(Y1279-INDEX(K$4:K1350,MATCH(LARGE(FILTER(I$4:I1350,I$4:I1350&lt;=W1279),1),I$4:I1350))-(W1279-L"&amp;"ARGE(FILTER(I$4:I1350,I$4:I1350&lt;=W1279),1))*INDEX(F$4:F1350,MATCH(LARGE(FILTER(I$4:I1350,I$4:I1350&lt;=W1279),1),I$4:I1350))))"),"")</f>
        <v/>
      </c>
      <c r="N1279" s="60" t="str">
        <f t="shared" si="8"/>
        <v/>
      </c>
      <c r="O1279" s="61" t="str">
        <f t="shared" si="9"/>
        <v/>
      </c>
      <c r="P1279" s="56" t="str">
        <f t="shared" si="10"/>
        <v/>
      </c>
      <c r="Q1279" s="62"/>
      <c r="R1279" s="10" t="str">
        <f>IFERROR(__xludf.DUMMYFUNCTION("IF(COUNTA(Q1279:Q1350)=0,"""",IF(ISBLANK(Q1279),FALSE,IF(NOT(COUNTIF($AA$24:$AA$34,SUBSTITUTE(Q1279,""Sell_"",""""))),1,IF(REGEXMATCH(Q1279,""Sell_""),IF(COUNTIF(Q$4:Q1279,SUBSTITUTE(Q1279,""Sell_"",""""))-COUNTIF(Q$4:Q1278,Q1279)&lt;1,1),FALSE))))"),"")</f>
        <v/>
      </c>
      <c r="S1279" s="59" t="str">
        <f t="array" ref="S1279">IF(COUNTA(Q1279:Q1350)=0,"",SUM((COUNTIF(Q$4:Q1279,Upgrades!$B$3:$B$13)-COUNTIF(Q$4:Q1279,"Sell_"&amp;Upgrades!$B$3:$B$13))*Upgrades!$D$3:$D$13))</f>
        <v/>
      </c>
      <c r="T1279" s="66" t="str">
        <f>IFERROR(__xludf.DUMMYFUNCTION("IF(COUNTA(Q1279:Q1350)=0,"""",IF(REGEXMATCH(INDEX(FILTER(Q$4:Q1279,Q$4:Q1279&lt;&gt;""""),ROWS(FILTER(Q$4:Q1279,Q$4:Q1279&lt;&gt;""""))),""^Sell_""),INDEX(FILTER(T$4:T1278,Q$4:Q1278&lt;&gt;""""),ROWS(FILTER(Q$4:Q1278,Q$4:Q1278&lt;&gt;""""))),$AD$5+S1279))"),"")</f>
        <v/>
      </c>
      <c r="U1279" s="10" t="str">
        <f>IFERROR(__xludf.DUMMYFUNCTION("IF(COUNTA(Q1279:Q1350)=0,"""",IF(Q1279="""",0,IF(REGEXMATCH(Q1279,""^Sell_""),-ROUNDDOWN(ROUNDUP(INDEX(Upgrades!$C$3:$C$13,MATCH(SUBSTITUTE(Q1279,""Sell_"",""""),Upgrades!$B$3:$B$13,0))*1.15^(COUNTIF(Q$4:Q1278,SUBSTITUTE(Q1279,""Sell_"",""""))-COUNTIF(Q$4"&amp;":Q1278,""Sell_""&amp;SUBSTITUTE(Q1279,""Sell_"",""""))))/2),ROUNDUP(INDEX(Upgrades!$C$3:$C$13,MATCH(Q1279,Upgrades!$B$3:$B$13,0))*1.15^(COUNTIF(Q$4:Q1278,Q1279)-COUNTIF(Q$4:Q1278,""Sell_""&amp;Q1279))))))"),"")</f>
        <v/>
      </c>
      <c r="V1279" s="10" t="str">
        <f t="shared" si="11"/>
        <v/>
      </c>
      <c r="W1279" s="68" t="str">
        <f t="shared" si="12"/>
        <v/>
      </c>
      <c r="X1279" s="59" t="str">
        <f t="shared" si="13"/>
        <v/>
      </c>
      <c r="Y1279" s="69" t="str">
        <f t="shared" si="14"/>
        <v/>
      </c>
      <c r="Z1279" s="11"/>
    </row>
    <row r="1280">
      <c r="A1280" s="8"/>
      <c r="B1280" s="56" t="str">
        <f t="shared" si="2"/>
        <v/>
      </c>
      <c r="C1280" s="57"/>
      <c r="D1280" s="10" t="str">
        <f>IFERROR(__xludf.DUMMYFUNCTION("IF(COUNTA(C1280:C1350)=0,"""",IF(ISBLANK(C1280),FALSE,IF(NOT(COUNTIF($AA$24:$AA$34,SUBSTITUTE(C1280,""Sell_"",""""))),1,IF(REGEXMATCH(C1280,""Sell_""),IF(COUNTIF(C$4:C1280,SUBSTITUTE(C1280,""Sell_"",""""))-COUNTIF(C$4:C1279,C1280)&lt;1,1),FALSE))))"),"")</f>
        <v/>
      </c>
      <c r="E1280" s="59" t="str">
        <f t="array" ref="E1280">IF(COUNTA(C1280:C1350)=0,"",SUM((COUNTIF(C$4:C1280,Upgrades!$B$3:$B$13)-COUNTIF(C$4:C1280,"Sell_"&amp;Upgrades!$B$3:$B$13))*Upgrades!$D$3:$D$13))</f>
        <v/>
      </c>
      <c r="F1280" s="66" t="str">
        <f>IFERROR(__xludf.DUMMYFUNCTION("IF(COUNTA(C1280:C1350)=0,"""",IF(REGEXMATCH(INDEX(FILTER(C$4:C1280,C$4:C1280&lt;&gt;""""),ROWS(FILTER(C$4:C1280,C$4:C1280&lt;&gt;""""))),""^Sell_""),INDEX(FILTER(F$4:F1279,C$4:C1279&lt;&gt;""""),ROWS(FILTER(C$4:C1279,C$4:C1279&lt;&gt;""""))),$AC$5+E1280))"),"")</f>
        <v/>
      </c>
      <c r="G1280" s="10" t="str">
        <f>IFERROR(__xludf.DUMMYFUNCTION("IF(COUNTA(C1280:C1350)=0,"""",IF(C1280="""",0,IF(REGEXMATCH(C1280,""^Sell_""),-ROUNDDOWN(ROUNDUP(INDEX(Upgrades!$C$3:$C$13,MATCH(SUBSTITUTE(C1280,""Sell_"",""""),Upgrades!$B$3:$B$13,0))*1.15^(COUNTIF(C$4:C1279,SUBSTITUTE(C1280,""Sell_"",""""))-COUNTIF(C$4"&amp;":C1279,""Sell_""&amp;SUBSTITUTE(C1280,""Sell_"",""""))))/2),ROUNDUP(INDEX(Upgrades!$C$3:$C$13,MATCH(C1280,Upgrades!$B$3:$B$13,0))*1.15^(COUNTIF(C$4:C1279,C1280)-COUNTIF(C$4:C1279,""Sell_""&amp;C1280))))))"),"")</f>
        <v/>
      </c>
      <c r="H1280" s="10" t="str">
        <f t="shared" si="3"/>
        <v/>
      </c>
      <c r="I1280" s="68" t="str">
        <f t="shared" si="4"/>
        <v/>
      </c>
      <c r="J1280" s="59" t="str">
        <f t="shared" si="5"/>
        <v/>
      </c>
      <c r="K1280" s="69" t="str">
        <f t="shared" si="6"/>
        <v/>
      </c>
      <c r="L1280" s="60" t="str">
        <f t="shared" si="7"/>
        <v/>
      </c>
      <c r="M1280" s="61" t="str">
        <f>IFERROR(__xludf.DUMMYFUNCTION("IFS(AND(COUNTA(C1280:C1350)=0,COUNTA(Q1280:Q1350)=0),"""",OR(AND(K1280&gt;=1000000000,OR(Y1280&gt;=1000000000,COUNTA(Q1280:Q1350)=0)),OR(Y1280&gt;=1000000000,AND(COUNTA(C1280:C1350)=0,P$3=TRUE))),
ROUNDDOWN((AB$1-AC$1)*MAX(INDEX(T$4:T1350,MATCH(LARGE(FILTER(Y$4:Y1"&amp;"350,Y$4:Y1350&lt;1000000000),1),Y$4:Y1350)),INDEX(F$4:F1350,MATCH(LARGE(FILTER(K$4:K1350,K$4:K1350&lt;1000000000),1),K$4:K1350)))),AND(K1280&lt;1000000000,COUNTA(C1280:C1350)&gt;0,P$3=FALSE),
ROUNDDOWN(INDEX(Y$4:Y1350,MATCH(LARGE(FILTER(W$4:W1350,W$4:W1350&lt;=I1280),1)"&amp;",W$4:W1350))+(I1280-LARGE(FILTER(W$4:W1350,W$4:W1350&lt;=I1280),1))*INDEX(T$4:T1350,MATCH(LARGE(FILTER(W$4:W1350,W$4:W1350&lt;=I1280),1),W$4:W1350))-K1280),1,
ROUNDDOWN(Y1280-INDEX(K$4:K1350,MATCH(LARGE(FILTER(I$4:I1350,I$4:I1350&lt;=W1280),1),I$4:I1350))-(W1280-L"&amp;"ARGE(FILTER(I$4:I1350,I$4:I1350&lt;=W1280),1))*INDEX(F$4:F1350,MATCH(LARGE(FILTER(I$4:I1350,I$4:I1350&lt;=W1280),1),I$4:I1350))))"),"")</f>
        <v/>
      </c>
      <c r="N1280" s="60" t="str">
        <f t="shared" si="8"/>
        <v/>
      </c>
      <c r="O1280" s="61" t="str">
        <f t="shared" si="9"/>
        <v/>
      </c>
      <c r="P1280" s="56" t="str">
        <f t="shared" si="10"/>
        <v/>
      </c>
      <c r="Q1280" s="62"/>
      <c r="R1280" s="10" t="str">
        <f>IFERROR(__xludf.DUMMYFUNCTION("IF(COUNTA(Q1280:Q1350)=0,"""",IF(ISBLANK(Q1280),FALSE,IF(NOT(COUNTIF($AA$24:$AA$34,SUBSTITUTE(Q1280,""Sell_"",""""))),1,IF(REGEXMATCH(Q1280,""Sell_""),IF(COUNTIF(Q$4:Q1280,SUBSTITUTE(Q1280,""Sell_"",""""))-COUNTIF(Q$4:Q1279,Q1280)&lt;1,1),FALSE))))"),"")</f>
        <v/>
      </c>
      <c r="S1280" s="59" t="str">
        <f t="array" ref="S1280">IF(COUNTA(Q1280:Q1350)=0,"",SUM((COUNTIF(Q$4:Q1280,Upgrades!$B$3:$B$13)-COUNTIF(Q$4:Q1280,"Sell_"&amp;Upgrades!$B$3:$B$13))*Upgrades!$D$3:$D$13))</f>
        <v/>
      </c>
      <c r="T1280" s="66" t="str">
        <f>IFERROR(__xludf.DUMMYFUNCTION("IF(COUNTA(Q1280:Q1350)=0,"""",IF(REGEXMATCH(INDEX(FILTER(Q$4:Q1280,Q$4:Q1280&lt;&gt;""""),ROWS(FILTER(Q$4:Q1280,Q$4:Q1280&lt;&gt;""""))),""^Sell_""),INDEX(FILTER(T$4:T1279,Q$4:Q1279&lt;&gt;""""),ROWS(FILTER(Q$4:Q1279,Q$4:Q1279&lt;&gt;""""))),$AD$5+S1280))"),"")</f>
        <v/>
      </c>
      <c r="U1280" s="10" t="str">
        <f>IFERROR(__xludf.DUMMYFUNCTION("IF(COUNTA(Q1280:Q1350)=0,"""",IF(Q1280="""",0,IF(REGEXMATCH(Q1280,""^Sell_""),-ROUNDDOWN(ROUNDUP(INDEX(Upgrades!$C$3:$C$13,MATCH(SUBSTITUTE(Q1280,""Sell_"",""""),Upgrades!$B$3:$B$13,0))*1.15^(COUNTIF(Q$4:Q1279,SUBSTITUTE(Q1280,""Sell_"",""""))-COUNTIF(Q$4"&amp;":Q1279,""Sell_""&amp;SUBSTITUTE(Q1280,""Sell_"",""""))))/2),ROUNDUP(INDEX(Upgrades!$C$3:$C$13,MATCH(Q1280,Upgrades!$B$3:$B$13,0))*1.15^(COUNTIF(Q$4:Q1279,Q1280)-COUNTIF(Q$4:Q1279,""Sell_""&amp;Q1280))))))"),"")</f>
        <v/>
      </c>
      <c r="V1280" s="10" t="str">
        <f t="shared" si="11"/>
        <v/>
      </c>
      <c r="W1280" s="68" t="str">
        <f t="shared" si="12"/>
        <v/>
      </c>
      <c r="X1280" s="59" t="str">
        <f t="shared" si="13"/>
        <v/>
      </c>
      <c r="Y1280" s="69" t="str">
        <f t="shared" si="14"/>
        <v/>
      </c>
      <c r="Z1280" s="11"/>
    </row>
    <row r="1281">
      <c r="A1281" s="8"/>
      <c r="B1281" s="56" t="str">
        <f t="shared" si="2"/>
        <v/>
      </c>
      <c r="C1281" s="57"/>
      <c r="D1281" s="10" t="str">
        <f>IFERROR(__xludf.DUMMYFUNCTION("IF(COUNTA(C1281:C1350)=0,"""",IF(ISBLANK(C1281),FALSE,IF(NOT(COUNTIF($AA$24:$AA$34,SUBSTITUTE(C1281,""Sell_"",""""))),1,IF(REGEXMATCH(C1281,""Sell_""),IF(COUNTIF(C$4:C1281,SUBSTITUTE(C1281,""Sell_"",""""))-COUNTIF(C$4:C1280,C1281)&lt;1,1),FALSE))))"),"")</f>
        <v/>
      </c>
      <c r="E1281" s="59" t="str">
        <f t="array" ref="E1281">IF(COUNTA(C1281:C1350)=0,"",SUM((COUNTIF(C$4:C1281,Upgrades!$B$3:$B$13)-COUNTIF(C$4:C1281,"Sell_"&amp;Upgrades!$B$3:$B$13))*Upgrades!$D$3:$D$13))</f>
        <v/>
      </c>
      <c r="F1281" s="66" t="str">
        <f>IFERROR(__xludf.DUMMYFUNCTION("IF(COUNTA(C1281:C1350)=0,"""",IF(REGEXMATCH(INDEX(FILTER(C$4:C1281,C$4:C1281&lt;&gt;""""),ROWS(FILTER(C$4:C1281,C$4:C1281&lt;&gt;""""))),""^Sell_""),INDEX(FILTER(F$4:F1280,C$4:C1280&lt;&gt;""""),ROWS(FILTER(C$4:C1280,C$4:C1280&lt;&gt;""""))),$AC$5+E1281))"),"")</f>
        <v/>
      </c>
      <c r="G1281" s="10" t="str">
        <f>IFERROR(__xludf.DUMMYFUNCTION("IF(COUNTA(C1281:C1350)=0,"""",IF(C1281="""",0,IF(REGEXMATCH(C1281,""^Sell_""),-ROUNDDOWN(ROUNDUP(INDEX(Upgrades!$C$3:$C$13,MATCH(SUBSTITUTE(C1281,""Sell_"",""""),Upgrades!$B$3:$B$13,0))*1.15^(COUNTIF(C$4:C1280,SUBSTITUTE(C1281,""Sell_"",""""))-COUNTIF(C$4"&amp;":C1280,""Sell_""&amp;SUBSTITUTE(C1281,""Sell_"",""""))))/2),ROUNDUP(INDEX(Upgrades!$C$3:$C$13,MATCH(C1281,Upgrades!$B$3:$B$13,0))*1.15^(COUNTIF(C$4:C1280,C1281)-COUNTIF(C$4:C1280,""Sell_""&amp;C1281))))))"),"")</f>
        <v/>
      </c>
      <c r="H1281" s="10" t="str">
        <f t="shared" si="3"/>
        <v/>
      </c>
      <c r="I1281" s="68" t="str">
        <f t="shared" si="4"/>
        <v/>
      </c>
      <c r="J1281" s="59" t="str">
        <f t="shared" si="5"/>
        <v/>
      </c>
      <c r="K1281" s="69" t="str">
        <f t="shared" si="6"/>
        <v/>
      </c>
      <c r="L1281" s="60" t="str">
        <f t="shared" si="7"/>
        <v/>
      </c>
      <c r="M1281" s="61" t="str">
        <f>IFERROR(__xludf.DUMMYFUNCTION("IFS(AND(COUNTA(C1281:C1350)=0,COUNTA(Q1281:Q1350)=0),"""",OR(AND(K1281&gt;=1000000000,OR(Y1281&gt;=1000000000,COUNTA(Q1281:Q1350)=0)),OR(Y1281&gt;=1000000000,AND(COUNTA(C1281:C1350)=0,P$3=TRUE))),
ROUNDDOWN((AB$1-AC$1)*MAX(INDEX(T$4:T1350,MATCH(LARGE(FILTER(Y$4:Y1"&amp;"350,Y$4:Y1350&lt;1000000000),1),Y$4:Y1350)),INDEX(F$4:F1350,MATCH(LARGE(FILTER(K$4:K1350,K$4:K1350&lt;1000000000),1),K$4:K1350)))),AND(K1281&lt;1000000000,COUNTA(C1281:C1350)&gt;0,P$3=FALSE),
ROUNDDOWN(INDEX(Y$4:Y1350,MATCH(LARGE(FILTER(W$4:W1350,W$4:W1350&lt;=I1281),1)"&amp;",W$4:W1350))+(I1281-LARGE(FILTER(W$4:W1350,W$4:W1350&lt;=I1281),1))*INDEX(T$4:T1350,MATCH(LARGE(FILTER(W$4:W1350,W$4:W1350&lt;=I1281),1),W$4:W1350))-K1281),1,
ROUNDDOWN(Y1281-INDEX(K$4:K1350,MATCH(LARGE(FILTER(I$4:I1350,I$4:I1350&lt;=W1281),1),I$4:I1350))-(W1281-L"&amp;"ARGE(FILTER(I$4:I1350,I$4:I1350&lt;=W1281),1))*INDEX(F$4:F1350,MATCH(LARGE(FILTER(I$4:I1350,I$4:I1350&lt;=W1281),1),I$4:I1350))))"),"")</f>
        <v/>
      </c>
      <c r="N1281" s="60" t="str">
        <f t="shared" si="8"/>
        <v/>
      </c>
      <c r="O1281" s="61" t="str">
        <f t="shared" si="9"/>
        <v/>
      </c>
      <c r="P1281" s="56" t="str">
        <f t="shared" si="10"/>
        <v/>
      </c>
      <c r="Q1281" s="62"/>
      <c r="R1281" s="10" t="str">
        <f>IFERROR(__xludf.DUMMYFUNCTION("IF(COUNTA(Q1281:Q1350)=0,"""",IF(ISBLANK(Q1281),FALSE,IF(NOT(COUNTIF($AA$24:$AA$34,SUBSTITUTE(Q1281,""Sell_"",""""))),1,IF(REGEXMATCH(Q1281,""Sell_""),IF(COUNTIF(Q$4:Q1281,SUBSTITUTE(Q1281,""Sell_"",""""))-COUNTIF(Q$4:Q1280,Q1281)&lt;1,1),FALSE))))"),"")</f>
        <v/>
      </c>
      <c r="S1281" s="59" t="str">
        <f t="array" ref="S1281">IF(COUNTA(Q1281:Q1350)=0,"",SUM((COUNTIF(Q$4:Q1281,Upgrades!$B$3:$B$13)-COUNTIF(Q$4:Q1281,"Sell_"&amp;Upgrades!$B$3:$B$13))*Upgrades!$D$3:$D$13))</f>
        <v/>
      </c>
      <c r="T1281" s="66" t="str">
        <f>IFERROR(__xludf.DUMMYFUNCTION("IF(COUNTA(Q1281:Q1350)=0,"""",IF(REGEXMATCH(INDEX(FILTER(Q$4:Q1281,Q$4:Q1281&lt;&gt;""""),ROWS(FILTER(Q$4:Q1281,Q$4:Q1281&lt;&gt;""""))),""^Sell_""),INDEX(FILTER(T$4:T1280,Q$4:Q1280&lt;&gt;""""),ROWS(FILTER(Q$4:Q1280,Q$4:Q1280&lt;&gt;""""))),$AD$5+S1281))"),"")</f>
        <v/>
      </c>
      <c r="U1281" s="10" t="str">
        <f>IFERROR(__xludf.DUMMYFUNCTION("IF(COUNTA(Q1281:Q1350)=0,"""",IF(Q1281="""",0,IF(REGEXMATCH(Q1281,""^Sell_""),-ROUNDDOWN(ROUNDUP(INDEX(Upgrades!$C$3:$C$13,MATCH(SUBSTITUTE(Q1281,""Sell_"",""""),Upgrades!$B$3:$B$13,0))*1.15^(COUNTIF(Q$4:Q1280,SUBSTITUTE(Q1281,""Sell_"",""""))-COUNTIF(Q$4"&amp;":Q1280,""Sell_""&amp;SUBSTITUTE(Q1281,""Sell_"",""""))))/2),ROUNDUP(INDEX(Upgrades!$C$3:$C$13,MATCH(Q1281,Upgrades!$B$3:$B$13,0))*1.15^(COUNTIF(Q$4:Q1280,Q1281)-COUNTIF(Q$4:Q1280,""Sell_""&amp;Q1281))))))"),"")</f>
        <v/>
      </c>
      <c r="V1281" s="10" t="str">
        <f t="shared" si="11"/>
        <v/>
      </c>
      <c r="W1281" s="68" t="str">
        <f t="shared" si="12"/>
        <v/>
      </c>
      <c r="X1281" s="59" t="str">
        <f t="shared" si="13"/>
        <v/>
      </c>
      <c r="Y1281" s="69" t="str">
        <f t="shared" si="14"/>
        <v/>
      </c>
      <c r="Z1281" s="11"/>
    </row>
    <row r="1282">
      <c r="A1282" s="8"/>
      <c r="B1282" s="56" t="str">
        <f t="shared" si="2"/>
        <v/>
      </c>
      <c r="C1282" s="57"/>
      <c r="D1282" s="10" t="str">
        <f>IFERROR(__xludf.DUMMYFUNCTION("IF(COUNTA(C1282:C1350)=0,"""",IF(ISBLANK(C1282),FALSE,IF(NOT(COUNTIF($AA$24:$AA$34,SUBSTITUTE(C1282,""Sell_"",""""))),1,IF(REGEXMATCH(C1282,""Sell_""),IF(COUNTIF(C$4:C1282,SUBSTITUTE(C1282,""Sell_"",""""))-COUNTIF(C$4:C1281,C1282)&lt;1,1),FALSE))))"),"")</f>
        <v/>
      </c>
      <c r="E1282" s="59" t="str">
        <f t="array" ref="E1282">IF(COUNTA(C1282:C1350)=0,"",SUM((COUNTIF(C$4:C1282,Upgrades!$B$3:$B$13)-COUNTIF(C$4:C1282,"Sell_"&amp;Upgrades!$B$3:$B$13))*Upgrades!$D$3:$D$13))</f>
        <v/>
      </c>
      <c r="F1282" s="66" t="str">
        <f>IFERROR(__xludf.DUMMYFUNCTION("IF(COUNTA(C1282:C1350)=0,"""",IF(REGEXMATCH(INDEX(FILTER(C$4:C1282,C$4:C1282&lt;&gt;""""),ROWS(FILTER(C$4:C1282,C$4:C1282&lt;&gt;""""))),""^Sell_""),INDEX(FILTER(F$4:F1281,C$4:C1281&lt;&gt;""""),ROWS(FILTER(C$4:C1281,C$4:C1281&lt;&gt;""""))),$AC$5+E1282))"),"")</f>
        <v/>
      </c>
      <c r="G1282" s="10" t="str">
        <f>IFERROR(__xludf.DUMMYFUNCTION("IF(COUNTA(C1282:C1350)=0,"""",IF(C1282="""",0,IF(REGEXMATCH(C1282,""^Sell_""),-ROUNDDOWN(ROUNDUP(INDEX(Upgrades!$C$3:$C$13,MATCH(SUBSTITUTE(C1282,""Sell_"",""""),Upgrades!$B$3:$B$13,0))*1.15^(COUNTIF(C$4:C1281,SUBSTITUTE(C1282,""Sell_"",""""))-COUNTIF(C$4"&amp;":C1281,""Sell_""&amp;SUBSTITUTE(C1282,""Sell_"",""""))))/2),ROUNDUP(INDEX(Upgrades!$C$3:$C$13,MATCH(C1282,Upgrades!$B$3:$B$13,0))*1.15^(COUNTIF(C$4:C1281,C1282)-COUNTIF(C$4:C1281,""Sell_""&amp;C1282))))))"),"")</f>
        <v/>
      </c>
      <c r="H1282" s="10" t="str">
        <f t="shared" si="3"/>
        <v/>
      </c>
      <c r="I1282" s="68" t="str">
        <f t="shared" si="4"/>
        <v/>
      </c>
      <c r="J1282" s="59" t="str">
        <f t="shared" si="5"/>
        <v/>
      </c>
      <c r="K1282" s="69" t="str">
        <f t="shared" si="6"/>
        <v/>
      </c>
      <c r="L1282" s="60" t="str">
        <f t="shared" si="7"/>
        <v/>
      </c>
      <c r="M1282" s="61" t="str">
        <f>IFERROR(__xludf.DUMMYFUNCTION("IFS(AND(COUNTA(C1282:C1350)=0,COUNTA(Q1282:Q1350)=0),"""",OR(AND(K1282&gt;=1000000000,OR(Y1282&gt;=1000000000,COUNTA(Q1282:Q1350)=0)),OR(Y1282&gt;=1000000000,AND(COUNTA(C1282:C1350)=0,P$3=TRUE))),
ROUNDDOWN((AB$1-AC$1)*MAX(INDEX(T$4:T1350,MATCH(LARGE(FILTER(Y$4:Y1"&amp;"350,Y$4:Y1350&lt;1000000000),1),Y$4:Y1350)),INDEX(F$4:F1350,MATCH(LARGE(FILTER(K$4:K1350,K$4:K1350&lt;1000000000),1),K$4:K1350)))),AND(K1282&lt;1000000000,COUNTA(C1282:C1350)&gt;0,P$3=FALSE),
ROUNDDOWN(INDEX(Y$4:Y1350,MATCH(LARGE(FILTER(W$4:W1350,W$4:W1350&lt;=I1282),1)"&amp;",W$4:W1350))+(I1282-LARGE(FILTER(W$4:W1350,W$4:W1350&lt;=I1282),1))*INDEX(T$4:T1350,MATCH(LARGE(FILTER(W$4:W1350,W$4:W1350&lt;=I1282),1),W$4:W1350))-K1282),1,
ROUNDDOWN(Y1282-INDEX(K$4:K1350,MATCH(LARGE(FILTER(I$4:I1350,I$4:I1350&lt;=W1282),1),I$4:I1350))-(W1282-L"&amp;"ARGE(FILTER(I$4:I1350,I$4:I1350&lt;=W1282),1))*INDEX(F$4:F1350,MATCH(LARGE(FILTER(I$4:I1350,I$4:I1350&lt;=W1282),1),I$4:I1350))))"),"")</f>
        <v/>
      </c>
      <c r="N1282" s="60" t="str">
        <f t="shared" si="8"/>
        <v/>
      </c>
      <c r="O1282" s="61" t="str">
        <f t="shared" si="9"/>
        <v/>
      </c>
      <c r="P1282" s="56" t="str">
        <f t="shared" si="10"/>
        <v/>
      </c>
      <c r="Q1282" s="62"/>
      <c r="R1282" s="10" t="str">
        <f>IFERROR(__xludf.DUMMYFUNCTION("IF(COUNTA(Q1282:Q1350)=0,"""",IF(ISBLANK(Q1282),FALSE,IF(NOT(COUNTIF($AA$24:$AA$34,SUBSTITUTE(Q1282,""Sell_"",""""))),1,IF(REGEXMATCH(Q1282,""Sell_""),IF(COUNTIF(Q$4:Q1282,SUBSTITUTE(Q1282,""Sell_"",""""))-COUNTIF(Q$4:Q1281,Q1282)&lt;1,1),FALSE))))"),"")</f>
        <v/>
      </c>
      <c r="S1282" s="59" t="str">
        <f t="array" ref="S1282">IF(COUNTA(Q1282:Q1350)=0,"",SUM((COUNTIF(Q$4:Q1282,Upgrades!$B$3:$B$13)-COUNTIF(Q$4:Q1282,"Sell_"&amp;Upgrades!$B$3:$B$13))*Upgrades!$D$3:$D$13))</f>
        <v/>
      </c>
      <c r="T1282" s="66" t="str">
        <f>IFERROR(__xludf.DUMMYFUNCTION("IF(COUNTA(Q1282:Q1350)=0,"""",IF(REGEXMATCH(INDEX(FILTER(Q$4:Q1282,Q$4:Q1282&lt;&gt;""""),ROWS(FILTER(Q$4:Q1282,Q$4:Q1282&lt;&gt;""""))),""^Sell_""),INDEX(FILTER(T$4:T1281,Q$4:Q1281&lt;&gt;""""),ROWS(FILTER(Q$4:Q1281,Q$4:Q1281&lt;&gt;""""))),$AD$5+S1282))"),"")</f>
        <v/>
      </c>
      <c r="U1282" s="10" t="str">
        <f>IFERROR(__xludf.DUMMYFUNCTION("IF(COUNTA(Q1282:Q1350)=0,"""",IF(Q1282="""",0,IF(REGEXMATCH(Q1282,""^Sell_""),-ROUNDDOWN(ROUNDUP(INDEX(Upgrades!$C$3:$C$13,MATCH(SUBSTITUTE(Q1282,""Sell_"",""""),Upgrades!$B$3:$B$13,0))*1.15^(COUNTIF(Q$4:Q1281,SUBSTITUTE(Q1282,""Sell_"",""""))-COUNTIF(Q$4"&amp;":Q1281,""Sell_""&amp;SUBSTITUTE(Q1282,""Sell_"",""""))))/2),ROUNDUP(INDEX(Upgrades!$C$3:$C$13,MATCH(Q1282,Upgrades!$B$3:$B$13,0))*1.15^(COUNTIF(Q$4:Q1281,Q1282)-COUNTIF(Q$4:Q1281,""Sell_""&amp;Q1282))))))"),"")</f>
        <v/>
      </c>
      <c r="V1282" s="10" t="str">
        <f t="shared" si="11"/>
        <v/>
      </c>
      <c r="W1282" s="68" t="str">
        <f t="shared" si="12"/>
        <v/>
      </c>
      <c r="X1282" s="59" t="str">
        <f t="shared" si="13"/>
        <v/>
      </c>
      <c r="Y1282" s="69" t="str">
        <f t="shared" si="14"/>
        <v/>
      </c>
      <c r="Z1282" s="11"/>
    </row>
    <row r="1283">
      <c r="A1283" s="8"/>
      <c r="B1283" s="56" t="str">
        <f t="shared" si="2"/>
        <v/>
      </c>
      <c r="C1283" s="57"/>
      <c r="D1283" s="10" t="str">
        <f>IFERROR(__xludf.DUMMYFUNCTION("IF(COUNTA(C1283:C1350)=0,"""",IF(ISBLANK(C1283),FALSE,IF(NOT(COUNTIF($AA$24:$AA$34,SUBSTITUTE(C1283,""Sell_"",""""))),1,IF(REGEXMATCH(C1283,""Sell_""),IF(COUNTIF(C$4:C1283,SUBSTITUTE(C1283,""Sell_"",""""))-COUNTIF(C$4:C1282,C1283)&lt;1,1),FALSE))))"),"")</f>
        <v/>
      </c>
      <c r="E1283" s="59" t="str">
        <f t="array" ref="E1283">IF(COUNTA(C1283:C1350)=0,"",SUM((COUNTIF(C$4:C1283,Upgrades!$B$3:$B$13)-COUNTIF(C$4:C1283,"Sell_"&amp;Upgrades!$B$3:$B$13))*Upgrades!$D$3:$D$13))</f>
        <v/>
      </c>
      <c r="F1283" s="66" t="str">
        <f>IFERROR(__xludf.DUMMYFUNCTION("IF(COUNTA(C1283:C1350)=0,"""",IF(REGEXMATCH(INDEX(FILTER(C$4:C1283,C$4:C1283&lt;&gt;""""),ROWS(FILTER(C$4:C1283,C$4:C1283&lt;&gt;""""))),""^Sell_""),INDEX(FILTER(F$4:F1282,C$4:C1282&lt;&gt;""""),ROWS(FILTER(C$4:C1282,C$4:C1282&lt;&gt;""""))),$AC$5+E1283))"),"")</f>
        <v/>
      </c>
      <c r="G1283" s="10" t="str">
        <f>IFERROR(__xludf.DUMMYFUNCTION("IF(COUNTA(C1283:C1350)=0,"""",IF(C1283="""",0,IF(REGEXMATCH(C1283,""^Sell_""),-ROUNDDOWN(ROUNDUP(INDEX(Upgrades!$C$3:$C$13,MATCH(SUBSTITUTE(C1283,""Sell_"",""""),Upgrades!$B$3:$B$13,0))*1.15^(COUNTIF(C$4:C1282,SUBSTITUTE(C1283,""Sell_"",""""))-COUNTIF(C$4"&amp;":C1282,""Sell_""&amp;SUBSTITUTE(C1283,""Sell_"",""""))))/2),ROUNDUP(INDEX(Upgrades!$C$3:$C$13,MATCH(C1283,Upgrades!$B$3:$B$13,0))*1.15^(COUNTIF(C$4:C1282,C1283)-COUNTIF(C$4:C1282,""Sell_""&amp;C1283))))))"),"")</f>
        <v/>
      </c>
      <c r="H1283" s="10" t="str">
        <f t="shared" si="3"/>
        <v/>
      </c>
      <c r="I1283" s="68" t="str">
        <f t="shared" si="4"/>
        <v/>
      </c>
      <c r="J1283" s="59" t="str">
        <f t="shared" si="5"/>
        <v/>
      </c>
      <c r="K1283" s="69" t="str">
        <f t="shared" si="6"/>
        <v/>
      </c>
      <c r="L1283" s="60" t="str">
        <f t="shared" si="7"/>
        <v/>
      </c>
      <c r="M1283" s="61" t="str">
        <f>IFERROR(__xludf.DUMMYFUNCTION("IFS(AND(COUNTA(C1283:C1350)=0,COUNTA(Q1283:Q1350)=0),"""",OR(AND(K1283&gt;=1000000000,OR(Y1283&gt;=1000000000,COUNTA(Q1283:Q1350)=0)),OR(Y1283&gt;=1000000000,AND(COUNTA(C1283:C1350)=0,P$3=TRUE))),
ROUNDDOWN((AB$1-AC$1)*MAX(INDEX(T$4:T1350,MATCH(LARGE(FILTER(Y$4:Y1"&amp;"350,Y$4:Y1350&lt;1000000000),1),Y$4:Y1350)),INDEX(F$4:F1350,MATCH(LARGE(FILTER(K$4:K1350,K$4:K1350&lt;1000000000),1),K$4:K1350)))),AND(K1283&lt;1000000000,COUNTA(C1283:C1350)&gt;0,P$3=FALSE),
ROUNDDOWN(INDEX(Y$4:Y1350,MATCH(LARGE(FILTER(W$4:W1350,W$4:W1350&lt;=I1283),1)"&amp;",W$4:W1350))+(I1283-LARGE(FILTER(W$4:W1350,W$4:W1350&lt;=I1283),1))*INDEX(T$4:T1350,MATCH(LARGE(FILTER(W$4:W1350,W$4:W1350&lt;=I1283),1),W$4:W1350))-K1283),1,
ROUNDDOWN(Y1283-INDEX(K$4:K1350,MATCH(LARGE(FILTER(I$4:I1350,I$4:I1350&lt;=W1283),1),I$4:I1350))-(W1283-L"&amp;"ARGE(FILTER(I$4:I1350,I$4:I1350&lt;=W1283),1))*INDEX(F$4:F1350,MATCH(LARGE(FILTER(I$4:I1350,I$4:I1350&lt;=W1283),1),I$4:I1350))))"),"")</f>
        <v/>
      </c>
      <c r="N1283" s="60" t="str">
        <f t="shared" si="8"/>
        <v/>
      </c>
      <c r="O1283" s="61" t="str">
        <f t="shared" si="9"/>
        <v/>
      </c>
      <c r="P1283" s="56" t="str">
        <f t="shared" si="10"/>
        <v/>
      </c>
      <c r="Q1283" s="62"/>
      <c r="R1283" s="10" t="str">
        <f>IFERROR(__xludf.DUMMYFUNCTION("IF(COUNTA(Q1283:Q1350)=0,"""",IF(ISBLANK(Q1283),FALSE,IF(NOT(COUNTIF($AA$24:$AA$34,SUBSTITUTE(Q1283,""Sell_"",""""))),1,IF(REGEXMATCH(Q1283,""Sell_""),IF(COUNTIF(Q$4:Q1283,SUBSTITUTE(Q1283,""Sell_"",""""))-COUNTIF(Q$4:Q1282,Q1283)&lt;1,1),FALSE))))"),"")</f>
        <v/>
      </c>
      <c r="S1283" s="59" t="str">
        <f t="array" ref="S1283">IF(COUNTA(Q1283:Q1350)=0,"",SUM((COUNTIF(Q$4:Q1283,Upgrades!$B$3:$B$13)-COUNTIF(Q$4:Q1283,"Sell_"&amp;Upgrades!$B$3:$B$13))*Upgrades!$D$3:$D$13))</f>
        <v/>
      </c>
      <c r="T1283" s="66" t="str">
        <f>IFERROR(__xludf.DUMMYFUNCTION("IF(COUNTA(Q1283:Q1350)=0,"""",IF(REGEXMATCH(INDEX(FILTER(Q$4:Q1283,Q$4:Q1283&lt;&gt;""""),ROWS(FILTER(Q$4:Q1283,Q$4:Q1283&lt;&gt;""""))),""^Sell_""),INDEX(FILTER(T$4:T1282,Q$4:Q1282&lt;&gt;""""),ROWS(FILTER(Q$4:Q1282,Q$4:Q1282&lt;&gt;""""))),$AD$5+S1283))"),"")</f>
        <v/>
      </c>
      <c r="U1283" s="10" t="str">
        <f>IFERROR(__xludf.DUMMYFUNCTION("IF(COUNTA(Q1283:Q1350)=0,"""",IF(Q1283="""",0,IF(REGEXMATCH(Q1283,""^Sell_""),-ROUNDDOWN(ROUNDUP(INDEX(Upgrades!$C$3:$C$13,MATCH(SUBSTITUTE(Q1283,""Sell_"",""""),Upgrades!$B$3:$B$13,0))*1.15^(COUNTIF(Q$4:Q1282,SUBSTITUTE(Q1283,""Sell_"",""""))-COUNTIF(Q$4"&amp;":Q1282,""Sell_""&amp;SUBSTITUTE(Q1283,""Sell_"",""""))))/2),ROUNDUP(INDEX(Upgrades!$C$3:$C$13,MATCH(Q1283,Upgrades!$B$3:$B$13,0))*1.15^(COUNTIF(Q$4:Q1282,Q1283)-COUNTIF(Q$4:Q1282,""Sell_""&amp;Q1283))))))"),"")</f>
        <v/>
      </c>
      <c r="V1283" s="10" t="str">
        <f t="shared" si="11"/>
        <v/>
      </c>
      <c r="W1283" s="68" t="str">
        <f t="shared" si="12"/>
        <v/>
      </c>
      <c r="X1283" s="59" t="str">
        <f t="shared" si="13"/>
        <v/>
      </c>
      <c r="Y1283" s="69" t="str">
        <f t="shared" si="14"/>
        <v/>
      </c>
      <c r="Z1283" s="11"/>
    </row>
    <row r="1284">
      <c r="A1284" s="8"/>
      <c r="B1284" s="56" t="str">
        <f t="shared" si="2"/>
        <v/>
      </c>
      <c r="C1284" s="57"/>
      <c r="D1284" s="10" t="str">
        <f>IFERROR(__xludf.DUMMYFUNCTION("IF(COUNTA(C1284:C1350)=0,"""",IF(ISBLANK(C1284),FALSE,IF(NOT(COUNTIF($AA$24:$AA$34,SUBSTITUTE(C1284,""Sell_"",""""))),1,IF(REGEXMATCH(C1284,""Sell_""),IF(COUNTIF(C$4:C1284,SUBSTITUTE(C1284,""Sell_"",""""))-COUNTIF(C$4:C1283,C1284)&lt;1,1),FALSE))))"),"")</f>
        <v/>
      </c>
      <c r="E1284" s="59" t="str">
        <f t="array" ref="E1284">IF(COUNTA(C1284:C1350)=0,"",SUM((COUNTIF(C$4:C1284,Upgrades!$B$3:$B$13)-COUNTIF(C$4:C1284,"Sell_"&amp;Upgrades!$B$3:$B$13))*Upgrades!$D$3:$D$13))</f>
        <v/>
      </c>
      <c r="F1284" s="66" t="str">
        <f>IFERROR(__xludf.DUMMYFUNCTION("IF(COUNTA(C1284:C1350)=0,"""",IF(REGEXMATCH(INDEX(FILTER(C$4:C1284,C$4:C1284&lt;&gt;""""),ROWS(FILTER(C$4:C1284,C$4:C1284&lt;&gt;""""))),""^Sell_""),INDEX(FILTER(F$4:F1283,C$4:C1283&lt;&gt;""""),ROWS(FILTER(C$4:C1283,C$4:C1283&lt;&gt;""""))),$AC$5+E1284))"),"")</f>
        <v/>
      </c>
      <c r="G1284" s="10" t="str">
        <f>IFERROR(__xludf.DUMMYFUNCTION("IF(COUNTA(C1284:C1350)=0,"""",IF(C1284="""",0,IF(REGEXMATCH(C1284,""^Sell_""),-ROUNDDOWN(ROUNDUP(INDEX(Upgrades!$C$3:$C$13,MATCH(SUBSTITUTE(C1284,""Sell_"",""""),Upgrades!$B$3:$B$13,0))*1.15^(COUNTIF(C$4:C1283,SUBSTITUTE(C1284,""Sell_"",""""))-COUNTIF(C$4"&amp;":C1283,""Sell_""&amp;SUBSTITUTE(C1284,""Sell_"",""""))))/2),ROUNDUP(INDEX(Upgrades!$C$3:$C$13,MATCH(C1284,Upgrades!$B$3:$B$13,0))*1.15^(COUNTIF(C$4:C1283,C1284)-COUNTIF(C$4:C1283,""Sell_""&amp;C1284))))))"),"")</f>
        <v/>
      </c>
      <c r="H1284" s="10" t="str">
        <f t="shared" si="3"/>
        <v/>
      </c>
      <c r="I1284" s="68" t="str">
        <f t="shared" si="4"/>
        <v/>
      </c>
      <c r="J1284" s="59" t="str">
        <f t="shared" si="5"/>
        <v/>
      </c>
      <c r="K1284" s="69" t="str">
        <f t="shared" si="6"/>
        <v/>
      </c>
      <c r="L1284" s="60" t="str">
        <f t="shared" si="7"/>
        <v/>
      </c>
      <c r="M1284" s="61" t="str">
        <f>IFERROR(__xludf.DUMMYFUNCTION("IFS(AND(COUNTA(C1284:C1350)=0,COUNTA(Q1284:Q1350)=0),"""",OR(AND(K1284&gt;=1000000000,OR(Y1284&gt;=1000000000,COUNTA(Q1284:Q1350)=0)),OR(Y1284&gt;=1000000000,AND(COUNTA(C1284:C1350)=0,P$3=TRUE))),
ROUNDDOWN((AB$1-AC$1)*MAX(INDEX(T$4:T1350,MATCH(LARGE(FILTER(Y$4:Y1"&amp;"350,Y$4:Y1350&lt;1000000000),1),Y$4:Y1350)),INDEX(F$4:F1350,MATCH(LARGE(FILTER(K$4:K1350,K$4:K1350&lt;1000000000),1),K$4:K1350)))),AND(K1284&lt;1000000000,COUNTA(C1284:C1350)&gt;0,P$3=FALSE),
ROUNDDOWN(INDEX(Y$4:Y1350,MATCH(LARGE(FILTER(W$4:W1350,W$4:W1350&lt;=I1284),1)"&amp;",W$4:W1350))+(I1284-LARGE(FILTER(W$4:W1350,W$4:W1350&lt;=I1284),1))*INDEX(T$4:T1350,MATCH(LARGE(FILTER(W$4:W1350,W$4:W1350&lt;=I1284),1),W$4:W1350))-K1284),1,
ROUNDDOWN(Y1284-INDEX(K$4:K1350,MATCH(LARGE(FILTER(I$4:I1350,I$4:I1350&lt;=W1284),1),I$4:I1350))-(W1284-L"&amp;"ARGE(FILTER(I$4:I1350,I$4:I1350&lt;=W1284),1))*INDEX(F$4:F1350,MATCH(LARGE(FILTER(I$4:I1350,I$4:I1350&lt;=W1284),1),I$4:I1350))))"),"")</f>
        <v/>
      </c>
      <c r="N1284" s="60" t="str">
        <f t="shared" si="8"/>
        <v/>
      </c>
      <c r="O1284" s="61" t="str">
        <f t="shared" si="9"/>
        <v/>
      </c>
      <c r="P1284" s="56" t="str">
        <f t="shared" si="10"/>
        <v/>
      </c>
      <c r="Q1284" s="62"/>
      <c r="R1284" s="10" t="str">
        <f>IFERROR(__xludf.DUMMYFUNCTION("IF(COUNTA(Q1284:Q1350)=0,"""",IF(ISBLANK(Q1284),FALSE,IF(NOT(COUNTIF($AA$24:$AA$34,SUBSTITUTE(Q1284,""Sell_"",""""))),1,IF(REGEXMATCH(Q1284,""Sell_""),IF(COUNTIF(Q$4:Q1284,SUBSTITUTE(Q1284,""Sell_"",""""))-COUNTIF(Q$4:Q1283,Q1284)&lt;1,1),FALSE))))"),"")</f>
        <v/>
      </c>
      <c r="S1284" s="59" t="str">
        <f t="array" ref="S1284">IF(COUNTA(Q1284:Q1350)=0,"",SUM((COUNTIF(Q$4:Q1284,Upgrades!$B$3:$B$13)-COUNTIF(Q$4:Q1284,"Sell_"&amp;Upgrades!$B$3:$B$13))*Upgrades!$D$3:$D$13))</f>
        <v/>
      </c>
      <c r="T1284" s="66" t="str">
        <f>IFERROR(__xludf.DUMMYFUNCTION("IF(COUNTA(Q1284:Q1350)=0,"""",IF(REGEXMATCH(INDEX(FILTER(Q$4:Q1284,Q$4:Q1284&lt;&gt;""""),ROWS(FILTER(Q$4:Q1284,Q$4:Q1284&lt;&gt;""""))),""^Sell_""),INDEX(FILTER(T$4:T1283,Q$4:Q1283&lt;&gt;""""),ROWS(FILTER(Q$4:Q1283,Q$4:Q1283&lt;&gt;""""))),$AD$5+S1284))"),"")</f>
        <v/>
      </c>
      <c r="U1284" s="10" t="str">
        <f>IFERROR(__xludf.DUMMYFUNCTION("IF(COUNTA(Q1284:Q1350)=0,"""",IF(Q1284="""",0,IF(REGEXMATCH(Q1284,""^Sell_""),-ROUNDDOWN(ROUNDUP(INDEX(Upgrades!$C$3:$C$13,MATCH(SUBSTITUTE(Q1284,""Sell_"",""""),Upgrades!$B$3:$B$13,0))*1.15^(COUNTIF(Q$4:Q1283,SUBSTITUTE(Q1284,""Sell_"",""""))-COUNTIF(Q$4"&amp;":Q1283,""Sell_""&amp;SUBSTITUTE(Q1284,""Sell_"",""""))))/2),ROUNDUP(INDEX(Upgrades!$C$3:$C$13,MATCH(Q1284,Upgrades!$B$3:$B$13,0))*1.15^(COUNTIF(Q$4:Q1283,Q1284)-COUNTIF(Q$4:Q1283,""Sell_""&amp;Q1284))))))"),"")</f>
        <v/>
      </c>
      <c r="V1284" s="10" t="str">
        <f t="shared" si="11"/>
        <v/>
      </c>
      <c r="W1284" s="68" t="str">
        <f t="shared" si="12"/>
        <v/>
      </c>
      <c r="X1284" s="59" t="str">
        <f t="shared" si="13"/>
        <v/>
      </c>
      <c r="Y1284" s="69" t="str">
        <f t="shared" si="14"/>
        <v/>
      </c>
      <c r="Z1284" s="11"/>
    </row>
    <row r="1285">
      <c r="A1285" s="8"/>
      <c r="B1285" s="56" t="str">
        <f t="shared" si="2"/>
        <v/>
      </c>
      <c r="C1285" s="57"/>
      <c r="D1285" s="10" t="str">
        <f>IFERROR(__xludf.DUMMYFUNCTION("IF(COUNTA(C1285:C1350)=0,"""",IF(ISBLANK(C1285),FALSE,IF(NOT(COUNTIF($AA$24:$AA$34,SUBSTITUTE(C1285,""Sell_"",""""))),1,IF(REGEXMATCH(C1285,""Sell_""),IF(COUNTIF(C$4:C1285,SUBSTITUTE(C1285,""Sell_"",""""))-COUNTIF(C$4:C1284,C1285)&lt;1,1),FALSE))))"),"")</f>
        <v/>
      </c>
      <c r="E1285" s="59" t="str">
        <f t="array" ref="E1285">IF(COUNTA(C1285:C1350)=0,"",SUM((COUNTIF(C$4:C1285,Upgrades!$B$3:$B$13)-COUNTIF(C$4:C1285,"Sell_"&amp;Upgrades!$B$3:$B$13))*Upgrades!$D$3:$D$13))</f>
        <v/>
      </c>
      <c r="F1285" s="66" t="str">
        <f>IFERROR(__xludf.DUMMYFUNCTION("IF(COUNTA(C1285:C1350)=0,"""",IF(REGEXMATCH(INDEX(FILTER(C$4:C1285,C$4:C1285&lt;&gt;""""),ROWS(FILTER(C$4:C1285,C$4:C1285&lt;&gt;""""))),""^Sell_""),INDEX(FILTER(F$4:F1284,C$4:C1284&lt;&gt;""""),ROWS(FILTER(C$4:C1284,C$4:C1284&lt;&gt;""""))),$AC$5+E1285))"),"")</f>
        <v/>
      </c>
      <c r="G1285" s="10" t="str">
        <f>IFERROR(__xludf.DUMMYFUNCTION("IF(COUNTA(C1285:C1350)=0,"""",IF(C1285="""",0,IF(REGEXMATCH(C1285,""^Sell_""),-ROUNDDOWN(ROUNDUP(INDEX(Upgrades!$C$3:$C$13,MATCH(SUBSTITUTE(C1285,""Sell_"",""""),Upgrades!$B$3:$B$13,0))*1.15^(COUNTIF(C$4:C1284,SUBSTITUTE(C1285,""Sell_"",""""))-COUNTIF(C$4"&amp;":C1284,""Sell_""&amp;SUBSTITUTE(C1285,""Sell_"",""""))))/2),ROUNDUP(INDEX(Upgrades!$C$3:$C$13,MATCH(C1285,Upgrades!$B$3:$B$13,0))*1.15^(COUNTIF(C$4:C1284,C1285)-COUNTIF(C$4:C1284,""Sell_""&amp;C1285))))))"),"")</f>
        <v/>
      </c>
      <c r="H1285" s="10" t="str">
        <f t="shared" si="3"/>
        <v/>
      </c>
      <c r="I1285" s="68" t="str">
        <f t="shared" si="4"/>
        <v/>
      </c>
      <c r="J1285" s="59" t="str">
        <f t="shared" si="5"/>
        <v/>
      </c>
      <c r="K1285" s="69" t="str">
        <f t="shared" si="6"/>
        <v/>
      </c>
      <c r="L1285" s="60" t="str">
        <f t="shared" si="7"/>
        <v/>
      </c>
      <c r="M1285" s="61" t="str">
        <f>IFERROR(__xludf.DUMMYFUNCTION("IFS(AND(COUNTA(C1285:C1350)=0,COUNTA(Q1285:Q1350)=0),"""",OR(AND(K1285&gt;=1000000000,OR(Y1285&gt;=1000000000,COUNTA(Q1285:Q1350)=0)),OR(Y1285&gt;=1000000000,AND(COUNTA(C1285:C1350)=0,P$3=TRUE))),
ROUNDDOWN((AB$1-AC$1)*MAX(INDEX(T$4:T1350,MATCH(LARGE(FILTER(Y$4:Y1"&amp;"350,Y$4:Y1350&lt;1000000000),1),Y$4:Y1350)),INDEX(F$4:F1350,MATCH(LARGE(FILTER(K$4:K1350,K$4:K1350&lt;1000000000),1),K$4:K1350)))),AND(K1285&lt;1000000000,COUNTA(C1285:C1350)&gt;0,P$3=FALSE),
ROUNDDOWN(INDEX(Y$4:Y1350,MATCH(LARGE(FILTER(W$4:W1350,W$4:W1350&lt;=I1285),1)"&amp;",W$4:W1350))+(I1285-LARGE(FILTER(W$4:W1350,W$4:W1350&lt;=I1285),1))*INDEX(T$4:T1350,MATCH(LARGE(FILTER(W$4:W1350,W$4:W1350&lt;=I1285),1),W$4:W1350))-K1285),1,
ROUNDDOWN(Y1285-INDEX(K$4:K1350,MATCH(LARGE(FILTER(I$4:I1350,I$4:I1350&lt;=W1285),1),I$4:I1350))-(W1285-L"&amp;"ARGE(FILTER(I$4:I1350,I$4:I1350&lt;=W1285),1))*INDEX(F$4:F1350,MATCH(LARGE(FILTER(I$4:I1350,I$4:I1350&lt;=W1285),1),I$4:I1350))))"),"")</f>
        <v/>
      </c>
      <c r="N1285" s="60" t="str">
        <f t="shared" si="8"/>
        <v/>
      </c>
      <c r="O1285" s="61" t="str">
        <f t="shared" si="9"/>
        <v/>
      </c>
      <c r="P1285" s="56" t="str">
        <f t="shared" si="10"/>
        <v/>
      </c>
      <c r="Q1285" s="62"/>
      <c r="R1285" s="10" t="str">
        <f>IFERROR(__xludf.DUMMYFUNCTION("IF(COUNTA(Q1285:Q1350)=0,"""",IF(ISBLANK(Q1285),FALSE,IF(NOT(COUNTIF($AA$24:$AA$34,SUBSTITUTE(Q1285,""Sell_"",""""))),1,IF(REGEXMATCH(Q1285,""Sell_""),IF(COUNTIF(Q$4:Q1285,SUBSTITUTE(Q1285,""Sell_"",""""))-COUNTIF(Q$4:Q1284,Q1285)&lt;1,1),FALSE))))"),"")</f>
        <v/>
      </c>
      <c r="S1285" s="59" t="str">
        <f t="array" ref="S1285">IF(COUNTA(Q1285:Q1350)=0,"",SUM((COUNTIF(Q$4:Q1285,Upgrades!$B$3:$B$13)-COUNTIF(Q$4:Q1285,"Sell_"&amp;Upgrades!$B$3:$B$13))*Upgrades!$D$3:$D$13))</f>
        <v/>
      </c>
      <c r="T1285" s="66" t="str">
        <f>IFERROR(__xludf.DUMMYFUNCTION("IF(COUNTA(Q1285:Q1350)=0,"""",IF(REGEXMATCH(INDEX(FILTER(Q$4:Q1285,Q$4:Q1285&lt;&gt;""""),ROWS(FILTER(Q$4:Q1285,Q$4:Q1285&lt;&gt;""""))),""^Sell_""),INDEX(FILTER(T$4:T1284,Q$4:Q1284&lt;&gt;""""),ROWS(FILTER(Q$4:Q1284,Q$4:Q1284&lt;&gt;""""))),$AD$5+S1285))"),"")</f>
        <v/>
      </c>
      <c r="U1285" s="10" t="str">
        <f>IFERROR(__xludf.DUMMYFUNCTION("IF(COUNTA(Q1285:Q1350)=0,"""",IF(Q1285="""",0,IF(REGEXMATCH(Q1285,""^Sell_""),-ROUNDDOWN(ROUNDUP(INDEX(Upgrades!$C$3:$C$13,MATCH(SUBSTITUTE(Q1285,""Sell_"",""""),Upgrades!$B$3:$B$13,0))*1.15^(COUNTIF(Q$4:Q1284,SUBSTITUTE(Q1285,""Sell_"",""""))-COUNTIF(Q$4"&amp;":Q1284,""Sell_""&amp;SUBSTITUTE(Q1285,""Sell_"",""""))))/2),ROUNDUP(INDEX(Upgrades!$C$3:$C$13,MATCH(Q1285,Upgrades!$B$3:$B$13,0))*1.15^(COUNTIF(Q$4:Q1284,Q1285)-COUNTIF(Q$4:Q1284,""Sell_""&amp;Q1285))))))"),"")</f>
        <v/>
      </c>
      <c r="V1285" s="10" t="str">
        <f t="shared" si="11"/>
        <v/>
      </c>
      <c r="W1285" s="68" t="str">
        <f t="shared" si="12"/>
        <v/>
      </c>
      <c r="X1285" s="59" t="str">
        <f t="shared" si="13"/>
        <v/>
      </c>
      <c r="Y1285" s="69" t="str">
        <f t="shared" si="14"/>
        <v/>
      </c>
      <c r="Z1285" s="11"/>
    </row>
    <row r="1286">
      <c r="A1286" s="8"/>
      <c r="B1286" s="56" t="str">
        <f t="shared" si="2"/>
        <v/>
      </c>
      <c r="C1286" s="57"/>
      <c r="D1286" s="10" t="str">
        <f>IFERROR(__xludf.DUMMYFUNCTION("IF(COUNTA(C1286:C1350)=0,"""",IF(ISBLANK(C1286),FALSE,IF(NOT(COUNTIF($AA$24:$AA$34,SUBSTITUTE(C1286,""Sell_"",""""))),1,IF(REGEXMATCH(C1286,""Sell_""),IF(COUNTIF(C$4:C1286,SUBSTITUTE(C1286,""Sell_"",""""))-COUNTIF(C$4:C1285,C1286)&lt;1,1),FALSE))))"),"")</f>
        <v/>
      </c>
      <c r="E1286" s="59" t="str">
        <f t="array" ref="E1286">IF(COUNTA(C1286:C1350)=0,"",SUM((COUNTIF(C$4:C1286,Upgrades!$B$3:$B$13)-COUNTIF(C$4:C1286,"Sell_"&amp;Upgrades!$B$3:$B$13))*Upgrades!$D$3:$D$13))</f>
        <v/>
      </c>
      <c r="F1286" s="66" t="str">
        <f>IFERROR(__xludf.DUMMYFUNCTION("IF(COUNTA(C1286:C1350)=0,"""",IF(REGEXMATCH(INDEX(FILTER(C$4:C1286,C$4:C1286&lt;&gt;""""),ROWS(FILTER(C$4:C1286,C$4:C1286&lt;&gt;""""))),""^Sell_""),INDEX(FILTER(F$4:F1285,C$4:C1285&lt;&gt;""""),ROWS(FILTER(C$4:C1285,C$4:C1285&lt;&gt;""""))),$AC$5+E1286))"),"")</f>
        <v/>
      </c>
      <c r="G1286" s="10" t="str">
        <f>IFERROR(__xludf.DUMMYFUNCTION("IF(COUNTA(C1286:C1350)=0,"""",IF(C1286="""",0,IF(REGEXMATCH(C1286,""^Sell_""),-ROUNDDOWN(ROUNDUP(INDEX(Upgrades!$C$3:$C$13,MATCH(SUBSTITUTE(C1286,""Sell_"",""""),Upgrades!$B$3:$B$13,0))*1.15^(COUNTIF(C$4:C1285,SUBSTITUTE(C1286,""Sell_"",""""))-COUNTIF(C$4"&amp;":C1285,""Sell_""&amp;SUBSTITUTE(C1286,""Sell_"",""""))))/2),ROUNDUP(INDEX(Upgrades!$C$3:$C$13,MATCH(C1286,Upgrades!$B$3:$B$13,0))*1.15^(COUNTIF(C$4:C1285,C1286)-COUNTIF(C$4:C1285,""Sell_""&amp;C1286))))))"),"")</f>
        <v/>
      </c>
      <c r="H1286" s="10" t="str">
        <f t="shared" si="3"/>
        <v/>
      </c>
      <c r="I1286" s="68" t="str">
        <f t="shared" si="4"/>
        <v/>
      </c>
      <c r="J1286" s="59" t="str">
        <f t="shared" si="5"/>
        <v/>
      </c>
      <c r="K1286" s="69" t="str">
        <f t="shared" si="6"/>
        <v/>
      </c>
      <c r="L1286" s="60" t="str">
        <f t="shared" si="7"/>
        <v/>
      </c>
      <c r="M1286" s="61" t="str">
        <f>IFERROR(__xludf.DUMMYFUNCTION("IFS(AND(COUNTA(C1286:C1350)=0,COUNTA(Q1286:Q1350)=0),"""",OR(AND(K1286&gt;=1000000000,OR(Y1286&gt;=1000000000,COUNTA(Q1286:Q1350)=0)),OR(Y1286&gt;=1000000000,AND(COUNTA(C1286:C1350)=0,P$3=TRUE))),
ROUNDDOWN((AB$1-AC$1)*MAX(INDEX(T$4:T1350,MATCH(LARGE(FILTER(Y$4:Y1"&amp;"350,Y$4:Y1350&lt;1000000000),1),Y$4:Y1350)),INDEX(F$4:F1350,MATCH(LARGE(FILTER(K$4:K1350,K$4:K1350&lt;1000000000),1),K$4:K1350)))),AND(K1286&lt;1000000000,COUNTA(C1286:C1350)&gt;0,P$3=FALSE),
ROUNDDOWN(INDEX(Y$4:Y1350,MATCH(LARGE(FILTER(W$4:W1350,W$4:W1350&lt;=I1286),1)"&amp;",W$4:W1350))+(I1286-LARGE(FILTER(W$4:W1350,W$4:W1350&lt;=I1286),1))*INDEX(T$4:T1350,MATCH(LARGE(FILTER(W$4:W1350,W$4:W1350&lt;=I1286),1),W$4:W1350))-K1286),1,
ROUNDDOWN(Y1286-INDEX(K$4:K1350,MATCH(LARGE(FILTER(I$4:I1350,I$4:I1350&lt;=W1286),1),I$4:I1350))-(W1286-L"&amp;"ARGE(FILTER(I$4:I1350,I$4:I1350&lt;=W1286),1))*INDEX(F$4:F1350,MATCH(LARGE(FILTER(I$4:I1350,I$4:I1350&lt;=W1286),1),I$4:I1350))))"),"")</f>
        <v/>
      </c>
      <c r="N1286" s="60" t="str">
        <f t="shared" si="8"/>
        <v/>
      </c>
      <c r="O1286" s="61" t="str">
        <f t="shared" si="9"/>
        <v/>
      </c>
      <c r="P1286" s="56" t="str">
        <f t="shared" si="10"/>
        <v/>
      </c>
      <c r="Q1286" s="62"/>
      <c r="R1286" s="10" t="str">
        <f>IFERROR(__xludf.DUMMYFUNCTION("IF(COUNTA(Q1286:Q1350)=0,"""",IF(ISBLANK(Q1286),FALSE,IF(NOT(COUNTIF($AA$24:$AA$34,SUBSTITUTE(Q1286,""Sell_"",""""))),1,IF(REGEXMATCH(Q1286,""Sell_""),IF(COUNTIF(Q$4:Q1286,SUBSTITUTE(Q1286,""Sell_"",""""))-COUNTIF(Q$4:Q1285,Q1286)&lt;1,1),FALSE))))"),"")</f>
        <v/>
      </c>
      <c r="S1286" s="59" t="str">
        <f t="array" ref="S1286">IF(COUNTA(Q1286:Q1350)=0,"",SUM((COUNTIF(Q$4:Q1286,Upgrades!$B$3:$B$13)-COUNTIF(Q$4:Q1286,"Sell_"&amp;Upgrades!$B$3:$B$13))*Upgrades!$D$3:$D$13))</f>
        <v/>
      </c>
      <c r="T1286" s="66" t="str">
        <f>IFERROR(__xludf.DUMMYFUNCTION("IF(COUNTA(Q1286:Q1350)=0,"""",IF(REGEXMATCH(INDEX(FILTER(Q$4:Q1286,Q$4:Q1286&lt;&gt;""""),ROWS(FILTER(Q$4:Q1286,Q$4:Q1286&lt;&gt;""""))),""^Sell_""),INDEX(FILTER(T$4:T1285,Q$4:Q1285&lt;&gt;""""),ROWS(FILTER(Q$4:Q1285,Q$4:Q1285&lt;&gt;""""))),$AD$5+S1286))"),"")</f>
        <v/>
      </c>
      <c r="U1286" s="10" t="str">
        <f>IFERROR(__xludf.DUMMYFUNCTION("IF(COUNTA(Q1286:Q1350)=0,"""",IF(Q1286="""",0,IF(REGEXMATCH(Q1286,""^Sell_""),-ROUNDDOWN(ROUNDUP(INDEX(Upgrades!$C$3:$C$13,MATCH(SUBSTITUTE(Q1286,""Sell_"",""""),Upgrades!$B$3:$B$13,0))*1.15^(COUNTIF(Q$4:Q1285,SUBSTITUTE(Q1286,""Sell_"",""""))-COUNTIF(Q$4"&amp;":Q1285,""Sell_""&amp;SUBSTITUTE(Q1286,""Sell_"",""""))))/2),ROUNDUP(INDEX(Upgrades!$C$3:$C$13,MATCH(Q1286,Upgrades!$B$3:$B$13,0))*1.15^(COUNTIF(Q$4:Q1285,Q1286)-COUNTIF(Q$4:Q1285,""Sell_""&amp;Q1286))))))"),"")</f>
        <v/>
      </c>
      <c r="V1286" s="10" t="str">
        <f t="shared" si="11"/>
        <v/>
      </c>
      <c r="W1286" s="68" t="str">
        <f t="shared" si="12"/>
        <v/>
      </c>
      <c r="X1286" s="59" t="str">
        <f t="shared" si="13"/>
        <v/>
      </c>
      <c r="Y1286" s="69" t="str">
        <f t="shared" si="14"/>
        <v/>
      </c>
      <c r="Z1286" s="11"/>
    </row>
    <row r="1287">
      <c r="A1287" s="8"/>
      <c r="B1287" s="56" t="str">
        <f t="shared" si="2"/>
        <v/>
      </c>
      <c r="C1287" s="57"/>
      <c r="D1287" s="10" t="str">
        <f>IFERROR(__xludf.DUMMYFUNCTION("IF(COUNTA(C1287:C1350)=0,"""",IF(ISBLANK(C1287),FALSE,IF(NOT(COUNTIF($AA$24:$AA$34,SUBSTITUTE(C1287,""Sell_"",""""))),1,IF(REGEXMATCH(C1287,""Sell_""),IF(COUNTIF(C$4:C1287,SUBSTITUTE(C1287,""Sell_"",""""))-COUNTIF(C$4:C1286,C1287)&lt;1,1),FALSE))))"),"")</f>
        <v/>
      </c>
      <c r="E1287" s="59" t="str">
        <f t="array" ref="E1287">IF(COUNTA(C1287:C1350)=0,"",SUM((COUNTIF(C$4:C1287,Upgrades!$B$3:$B$13)-COUNTIF(C$4:C1287,"Sell_"&amp;Upgrades!$B$3:$B$13))*Upgrades!$D$3:$D$13))</f>
        <v/>
      </c>
      <c r="F1287" s="66" t="str">
        <f>IFERROR(__xludf.DUMMYFUNCTION("IF(COUNTA(C1287:C1350)=0,"""",IF(REGEXMATCH(INDEX(FILTER(C$4:C1287,C$4:C1287&lt;&gt;""""),ROWS(FILTER(C$4:C1287,C$4:C1287&lt;&gt;""""))),""^Sell_""),INDEX(FILTER(F$4:F1286,C$4:C1286&lt;&gt;""""),ROWS(FILTER(C$4:C1286,C$4:C1286&lt;&gt;""""))),$AC$5+E1287))"),"")</f>
        <v/>
      </c>
      <c r="G1287" s="10" t="str">
        <f>IFERROR(__xludf.DUMMYFUNCTION("IF(COUNTA(C1287:C1350)=0,"""",IF(C1287="""",0,IF(REGEXMATCH(C1287,""^Sell_""),-ROUNDDOWN(ROUNDUP(INDEX(Upgrades!$C$3:$C$13,MATCH(SUBSTITUTE(C1287,""Sell_"",""""),Upgrades!$B$3:$B$13,0))*1.15^(COUNTIF(C$4:C1286,SUBSTITUTE(C1287,""Sell_"",""""))-COUNTIF(C$4"&amp;":C1286,""Sell_""&amp;SUBSTITUTE(C1287,""Sell_"",""""))))/2),ROUNDUP(INDEX(Upgrades!$C$3:$C$13,MATCH(C1287,Upgrades!$B$3:$B$13,0))*1.15^(COUNTIF(C$4:C1286,C1287)-COUNTIF(C$4:C1286,""Sell_""&amp;C1287))))))"),"")</f>
        <v/>
      </c>
      <c r="H1287" s="10" t="str">
        <f t="shared" si="3"/>
        <v/>
      </c>
      <c r="I1287" s="68" t="str">
        <f t="shared" si="4"/>
        <v/>
      </c>
      <c r="J1287" s="59" t="str">
        <f t="shared" si="5"/>
        <v/>
      </c>
      <c r="K1287" s="69" t="str">
        <f t="shared" si="6"/>
        <v/>
      </c>
      <c r="L1287" s="60" t="str">
        <f t="shared" si="7"/>
        <v/>
      </c>
      <c r="M1287" s="61" t="str">
        <f>IFERROR(__xludf.DUMMYFUNCTION("IFS(AND(COUNTA(C1287:C1350)=0,COUNTA(Q1287:Q1350)=0),"""",OR(AND(K1287&gt;=1000000000,OR(Y1287&gt;=1000000000,COUNTA(Q1287:Q1350)=0)),OR(Y1287&gt;=1000000000,AND(COUNTA(C1287:C1350)=0,P$3=TRUE))),
ROUNDDOWN((AB$1-AC$1)*MAX(INDEX(T$4:T1350,MATCH(LARGE(FILTER(Y$4:Y1"&amp;"350,Y$4:Y1350&lt;1000000000),1),Y$4:Y1350)),INDEX(F$4:F1350,MATCH(LARGE(FILTER(K$4:K1350,K$4:K1350&lt;1000000000),1),K$4:K1350)))),AND(K1287&lt;1000000000,COUNTA(C1287:C1350)&gt;0,P$3=FALSE),
ROUNDDOWN(INDEX(Y$4:Y1350,MATCH(LARGE(FILTER(W$4:W1350,W$4:W1350&lt;=I1287),1)"&amp;",W$4:W1350))+(I1287-LARGE(FILTER(W$4:W1350,W$4:W1350&lt;=I1287),1))*INDEX(T$4:T1350,MATCH(LARGE(FILTER(W$4:W1350,W$4:W1350&lt;=I1287),1),W$4:W1350))-K1287),1,
ROUNDDOWN(Y1287-INDEX(K$4:K1350,MATCH(LARGE(FILTER(I$4:I1350,I$4:I1350&lt;=W1287),1),I$4:I1350))-(W1287-L"&amp;"ARGE(FILTER(I$4:I1350,I$4:I1350&lt;=W1287),1))*INDEX(F$4:F1350,MATCH(LARGE(FILTER(I$4:I1350,I$4:I1350&lt;=W1287),1),I$4:I1350))))"),"")</f>
        <v/>
      </c>
      <c r="N1287" s="60" t="str">
        <f t="shared" si="8"/>
        <v/>
      </c>
      <c r="O1287" s="61" t="str">
        <f t="shared" si="9"/>
        <v/>
      </c>
      <c r="P1287" s="56" t="str">
        <f t="shared" si="10"/>
        <v/>
      </c>
      <c r="Q1287" s="62"/>
      <c r="R1287" s="10" t="str">
        <f>IFERROR(__xludf.DUMMYFUNCTION("IF(COUNTA(Q1287:Q1350)=0,"""",IF(ISBLANK(Q1287),FALSE,IF(NOT(COUNTIF($AA$24:$AA$34,SUBSTITUTE(Q1287,""Sell_"",""""))),1,IF(REGEXMATCH(Q1287,""Sell_""),IF(COUNTIF(Q$4:Q1287,SUBSTITUTE(Q1287,""Sell_"",""""))-COUNTIF(Q$4:Q1286,Q1287)&lt;1,1),FALSE))))"),"")</f>
        <v/>
      </c>
      <c r="S1287" s="59" t="str">
        <f t="array" ref="S1287">IF(COUNTA(Q1287:Q1350)=0,"",SUM((COUNTIF(Q$4:Q1287,Upgrades!$B$3:$B$13)-COUNTIF(Q$4:Q1287,"Sell_"&amp;Upgrades!$B$3:$B$13))*Upgrades!$D$3:$D$13))</f>
        <v/>
      </c>
      <c r="T1287" s="66" t="str">
        <f>IFERROR(__xludf.DUMMYFUNCTION("IF(COUNTA(Q1287:Q1350)=0,"""",IF(REGEXMATCH(INDEX(FILTER(Q$4:Q1287,Q$4:Q1287&lt;&gt;""""),ROWS(FILTER(Q$4:Q1287,Q$4:Q1287&lt;&gt;""""))),""^Sell_""),INDEX(FILTER(T$4:T1286,Q$4:Q1286&lt;&gt;""""),ROWS(FILTER(Q$4:Q1286,Q$4:Q1286&lt;&gt;""""))),$AD$5+S1287))"),"")</f>
        <v/>
      </c>
      <c r="U1287" s="10" t="str">
        <f>IFERROR(__xludf.DUMMYFUNCTION("IF(COUNTA(Q1287:Q1350)=0,"""",IF(Q1287="""",0,IF(REGEXMATCH(Q1287,""^Sell_""),-ROUNDDOWN(ROUNDUP(INDEX(Upgrades!$C$3:$C$13,MATCH(SUBSTITUTE(Q1287,""Sell_"",""""),Upgrades!$B$3:$B$13,0))*1.15^(COUNTIF(Q$4:Q1286,SUBSTITUTE(Q1287,""Sell_"",""""))-COUNTIF(Q$4"&amp;":Q1286,""Sell_""&amp;SUBSTITUTE(Q1287,""Sell_"",""""))))/2),ROUNDUP(INDEX(Upgrades!$C$3:$C$13,MATCH(Q1287,Upgrades!$B$3:$B$13,0))*1.15^(COUNTIF(Q$4:Q1286,Q1287)-COUNTIF(Q$4:Q1286,""Sell_""&amp;Q1287))))))"),"")</f>
        <v/>
      </c>
      <c r="V1287" s="10" t="str">
        <f t="shared" si="11"/>
        <v/>
      </c>
      <c r="W1287" s="68" t="str">
        <f t="shared" si="12"/>
        <v/>
      </c>
      <c r="X1287" s="59" t="str">
        <f t="shared" si="13"/>
        <v/>
      </c>
      <c r="Y1287" s="69" t="str">
        <f t="shared" si="14"/>
        <v/>
      </c>
      <c r="Z1287" s="11"/>
    </row>
    <row r="1288">
      <c r="A1288" s="8"/>
      <c r="B1288" s="56" t="str">
        <f t="shared" si="2"/>
        <v/>
      </c>
      <c r="C1288" s="57"/>
      <c r="D1288" s="10" t="str">
        <f>IFERROR(__xludf.DUMMYFUNCTION("IF(COUNTA(C1288:C1350)=0,"""",IF(ISBLANK(C1288),FALSE,IF(NOT(COUNTIF($AA$24:$AA$34,SUBSTITUTE(C1288,""Sell_"",""""))),1,IF(REGEXMATCH(C1288,""Sell_""),IF(COUNTIF(C$4:C1288,SUBSTITUTE(C1288,""Sell_"",""""))-COUNTIF(C$4:C1287,C1288)&lt;1,1),FALSE))))"),"")</f>
        <v/>
      </c>
      <c r="E1288" s="59" t="str">
        <f t="array" ref="E1288">IF(COUNTA(C1288:C1350)=0,"",SUM((COUNTIF(C$4:C1288,Upgrades!$B$3:$B$13)-COUNTIF(C$4:C1288,"Sell_"&amp;Upgrades!$B$3:$B$13))*Upgrades!$D$3:$D$13))</f>
        <v/>
      </c>
      <c r="F1288" s="66" t="str">
        <f>IFERROR(__xludf.DUMMYFUNCTION("IF(COUNTA(C1288:C1350)=0,"""",IF(REGEXMATCH(INDEX(FILTER(C$4:C1288,C$4:C1288&lt;&gt;""""),ROWS(FILTER(C$4:C1288,C$4:C1288&lt;&gt;""""))),""^Sell_""),INDEX(FILTER(F$4:F1287,C$4:C1287&lt;&gt;""""),ROWS(FILTER(C$4:C1287,C$4:C1287&lt;&gt;""""))),$AC$5+E1288))"),"")</f>
        <v/>
      </c>
      <c r="G1288" s="10" t="str">
        <f>IFERROR(__xludf.DUMMYFUNCTION("IF(COUNTA(C1288:C1350)=0,"""",IF(C1288="""",0,IF(REGEXMATCH(C1288,""^Sell_""),-ROUNDDOWN(ROUNDUP(INDEX(Upgrades!$C$3:$C$13,MATCH(SUBSTITUTE(C1288,""Sell_"",""""),Upgrades!$B$3:$B$13,0))*1.15^(COUNTIF(C$4:C1287,SUBSTITUTE(C1288,""Sell_"",""""))-COUNTIF(C$4"&amp;":C1287,""Sell_""&amp;SUBSTITUTE(C1288,""Sell_"",""""))))/2),ROUNDUP(INDEX(Upgrades!$C$3:$C$13,MATCH(C1288,Upgrades!$B$3:$B$13,0))*1.15^(COUNTIF(C$4:C1287,C1288)-COUNTIF(C$4:C1287,""Sell_""&amp;C1288))))))"),"")</f>
        <v/>
      </c>
      <c r="H1288" s="10" t="str">
        <f t="shared" si="3"/>
        <v/>
      </c>
      <c r="I1288" s="68" t="str">
        <f t="shared" si="4"/>
        <v/>
      </c>
      <c r="J1288" s="59" t="str">
        <f t="shared" si="5"/>
        <v/>
      </c>
      <c r="K1288" s="69" t="str">
        <f t="shared" si="6"/>
        <v/>
      </c>
      <c r="L1288" s="60" t="str">
        <f t="shared" si="7"/>
        <v/>
      </c>
      <c r="M1288" s="61" t="str">
        <f>IFERROR(__xludf.DUMMYFUNCTION("IFS(AND(COUNTA(C1288:C1350)=0,COUNTA(Q1288:Q1350)=0),"""",OR(AND(K1288&gt;=1000000000,OR(Y1288&gt;=1000000000,COUNTA(Q1288:Q1350)=0)),OR(Y1288&gt;=1000000000,AND(COUNTA(C1288:C1350)=0,P$3=TRUE))),
ROUNDDOWN((AB$1-AC$1)*MAX(INDEX(T$4:T1350,MATCH(LARGE(FILTER(Y$4:Y1"&amp;"350,Y$4:Y1350&lt;1000000000),1),Y$4:Y1350)),INDEX(F$4:F1350,MATCH(LARGE(FILTER(K$4:K1350,K$4:K1350&lt;1000000000),1),K$4:K1350)))),AND(K1288&lt;1000000000,COUNTA(C1288:C1350)&gt;0,P$3=FALSE),
ROUNDDOWN(INDEX(Y$4:Y1350,MATCH(LARGE(FILTER(W$4:W1350,W$4:W1350&lt;=I1288),1)"&amp;",W$4:W1350))+(I1288-LARGE(FILTER(W$4:W1350,W$4:W1350&lt;=I1288),1))*INDEX(T$4:T1350,MATCH(LARGE(FILTER(W$4:W1350,W$4:W1350&lt;=I1288),1),W$4:W1350))-K1288),1,
ROUNDDOWN(Y1288-INDEX(K$4:K1350,MATCH(LARGE(FILTER(I$4:I1350,I$4:I1350&lt;=W1288),1),I$4:I1350))-(W1288-L"&amp;"ARGE(FILTER(I$4:I1350,I$4:I1350&lt;=W1288),1))*INDEX(F$4:F1350,MATCH(LARGE(FILTER(I$4:I1350,I$4:I1350&lt;=W1288),1),I$4:I1350))))"),"")</f>
        <v/>
      </c>
      <c r="N1288" s="60" t="str">
        <f t="shared" si="8"/>
        <v/>
      </c>
      <c r="O1288" s="61" t="str">
        <f t="shared" si="9"/>
        <v/>
      </c>
      <c r="P1288" s="56" t="str">
        <f t="shared" si="10"/>
        <v/>
      </c>
      <c r="Q1288" s="62"/>
      <c r="R1288" s="10" t="str">
        <f>IFERROR(__xludf.DUMMYFUNCTION("IF(COUNTA(Q1288:Q1350)=0,"""",IF(ISBLANK(Q1288),FALSE,IF(NOT(COUNTIF($AA$24:$AA$34,SUBSTITUTE(Q1288,""Sell_"",""""))),1,IF(REGEXMATCH(Q1288,""Sell_""),IF(COUNTIF(Q$4:Q1288,SUBSTITUTE(Q1288,""Sell_"",""""))-COUNTIF(Q$4:Q1287,Q1288)&lt;1,1),FALSE))))"),"")</f>
        <v/>
      </c>
      <c r="S1288" s="59" t="str">
        <f t="array" ref="S1288">IF(COUNTA(Q1288:Q1350)=0,"",SUM((COUNTIF(Q$4:Q1288,Upgrades!$B$3:$B$13)-COUNTIF(Q$4:Q1288,"Sell_"&amp;Upgrades!$B$3:$B$13))*Upgrades!$D$3:$D$13))</f>
        <v/>
      </c>
      <c r="T1288" s="66" t="str">
        <f>IFERROR(__xludf.DUMMYFUNCTION("IF(COUNTA(Q1288:Q1350)=0,"""",IF(REGEXMATCH(INDEX(FILTER(Q$4:Q1288,Q$4:Q1288&lt;&gt;""""),ROWS(FILTER(Q$4:Q1288,Q$4:Q1288&lt;&gt;""""))),""^Sell_""),INDEX(FILTER(T$4:T1287,Q$4:Q1287&lt;&gt;""""),ROWS(FILTER(Q$4:Q1287,Q$4:Q1287&lt;&gt;""""))),$AD$5+S1288))"),"")</f>
        <v/>
      </c>
      <c r="U1288" s="10" t="str">
        <f>IFERROR(__xludf.DUMMYFUNCTION("IF(COUNTA(Q1288:Q1350)=0,"""",IF(Q1288="""",0,IF(REGEXMATCH(Q1288,""^Sell_""),-ROUNDDOWN(ROUNDUP(INDEX(Upgrades!$C$3:$C$13,MATCH(SUBSTITUTE(Q1288,""Sell_"",""""),Upgrades!$B$3:$B$13,0))*1.15^(COUNTIF(Q$4:Q1287,SUBSTITUTE(Q1288,""Sell_"",""""))-COUNTIF(Q$4"&amp;":Q1287,""Sell_""&amp;SUBSTITUTE(Q1288,""Sell_"",""""))))/2),ROUNDUP(INDEX(Upgrades!$C$3:$C$13,MATCH(Q1288,Upgrades!$B$3:$B$13,0))*1.15^(COUNTIF(Q$4:Q1287,Q1288)-COUNTIF(Q$4:Q1287,""Sell_""&amp;Q1288))))))"),"")</f>
        <v/>
      </c>
      <c r="V1288" s="10" t="str">
        <f t="shared" si="11"/>
        <v/>
      </c>
      <c r="W1288" s="68" t="str">
        <f t="shared" si="12"/>
        <v/>
      </c>
      <c r="X1288" s="59" t="str">
        <f t="shared" si="13"/>
        <v/>
      </c>
      <c r="Y1288" s="69" t="str">
        <f t="shared" si="14"/>
        <v/>
      </c>
      <c r="Z1288" s="11"/>
    </row>
    <row r="1289">
      <c r="A1289" s="8"/>
      <c r="B1289" s="56" t="str">
        <f t="shared" si="2"/>
        <v/>
      </c>
      <c r="C1289" s="57"/>
      <c r="D1289" s="10" t="str">
        <f>IFERROR(__xludf.DUMMYFUNCTION("IF(COUNTA(C1289:C1350)=0,"""",IF(ISBLANK(C1289),FALSE,IF(NOT(COUNTIF($AA$24:$AA$34,SUBSTITUTE(C1289,""Sell_"",""""))),1,IF(REGEXMATCH(C1289,""Sell_""),IF(COUNTIF(C$4:C1289,SUBSTITUTE(C1289,""Sell_"",""""))-COUNTIF(C$4:C1288,C1289)&lt;1,1),FALSE))))"),"")</f>
        <v/>
      </c>
      <c r="E1289" s="59" t="str">
        <f t="array" ref="E1289">IF(COUNTA(C1289:C1350)=0,"",SUM((COUNTIF(C$4:C1289,Upgrades!$B$3:$B$13)-COUNTIF(C$4:C1289,"Sell_"&amp;Upgrades!$B$3:$B$13))*Upgrades!$D$3:$D$13))</f>
        <v/>
      </c>
      <c r="F1289" s="66" t="str">
        <f>IFERROR(__xludf.DUMMYFUNCTION("IF(COUNTA(C1289:C1350)=0,"""",IF(REGEXMATCH(INDEX(FILTER(C$4:C1289,C$4:C1289&lt;&gt;""""),ROWS(FILTER(C$4:C1289,C$4:C1289&lt;&gt;""""))),""^Sell_""),INDEX(FILTER(F$4:F1288,C$4:C1288&lt;&gt;""""),ROWS(FILTER(C$4:C1288,C$4:C1288&lt;&gt;""""))),$AC$5+E1289))"),"")</f>
        <v/>
      </c>
      <c r="G1289" s="10" t="str">
        <f>IFERROR(__xludf.DUMMYFUNCTION("IF(COUNTA(C1289:C1350)=0,"""",IF(C1289="""",0,IF(REGEXMATCH(C1289,""^Sell_""),-ROUNDDOWN(ROUNDUP(INDEX(Upgrades!$C$3:$C$13,MATCH(SUBSTITUTE(C1289,""Sell_"",""""),Upgrades!$B$3:$B$13,0))*1.15^(COUNTIF(C$4:C1288,SUBSTITUTE(C1289,""Sell_"",""""))-COUNTIF(C$4"&amp;":C1288,""Sell_""&amp;SUBSTITUTE(C1289,""Sell_"",""""))))/2),ROUNDUP(INDEX(Upgrades!$C$3:$C$13,MATCH(C1289,Upgrades!$B$3:$B$13,0))*1.15^(COUNTIF(C$4:C1288,C1289)-COUNTIF(C$4:C1288,""Sell_""&amp;C1289))))))"),"")</f>
        <v/>
      </c>
      <c r="H1289" s="10" t="str">
        <f t="shared" si="3"/>
        <v/>
      </c>
      <c r="I1289" s="68" t="str">
        <f t="shared" si="4"/>
        <v/>
      </c>
      <c r="J1289" s="59" t="str">
        <f t="shared" si="5"/>
        <v/>
      </c>
      <c r="K1289" s="69" t="str">
        <f t="shared" si="6"/>
        <v/>
      </c>
      <c r="L1289" s="60" t="str">
        <f t="shared" si="7"/>
        <v/>
      </c>
      <c r="M1289" s="61" t="str">
        <f>IFERROR(__xludf.DUMMYFUNCTION("IFS(AND(COUNTA(C1289:C1350)=0,COUNTA(Q1289:Q1350)=0),"""",OR(AND(K1289&gt;=1000000000,OR(Y1289&gt;=1000000000,COUNTA(Q1289:Q1350)=0)),OR(Y1289&gt;=1000000000,AND(COUNTA(C1289:C1350)=0,P$3=TRUE))),
ROUNDDOWN((AB$1-AC$1)*MAX(INDEX(T$4:T1350,MATCH(LARGE(FILTER(Y$4:Y1"&amp;"350,Y$4:Y1350&lt;1000000000),1),Y$4:Y1350)),INDEX(F$4:F1350,MATCH(LARGE(FILTER(K$4:K1350,K$4:K1350&lt;1000000000),1),K$4:K1350)))),AND(K1289&lt;1000000000,COUNTA(C1289:C1350)&gt;0,P$3=FALSE),
ROUNDDOWN(INDEX(Y$4:Y1350,MATCH(LARGE(FILTER(W$4:W1350,W$4:W1350&lt;=I1289),1)"&amp;",W$4:W1350))+(I1289-LARGE(FILTER(W$4:W1350,W$4:W1350&lt;=I1289),1))*INDEX(T$4:T1350,MATCH(LARGE(FILTER(W$4:W1350,W$4:W1350&lt;=I1289),1),W$4:W1350))-K1289),1,
ROUNDDOWN(Y1289-INDEX(K$4:K1350,MATCH(LARGE(FILTER(I$4:I1350,I$4:I1350&lt;=W1289),1),I$4:I1350))-(W1289-L"&amp;"ARGE(FILTER(I$4:I1350,I$4:I1350&lt;=W1289),1))*INDEX(F$4:F1350,MATCH(LARGE(FILTER(I$4:I1350,I$4:I1350&lt;=W1289),1),I$4:I1350))))"),"")</f>
        <v/>
      </c>
      <c r="N1289" s="60" t="str">
        <f t="shared" si="8"/>
        <v/>
      </c>
      <c r="O1289" s="61" t="str">
        <f t="shared" si="9"/>
        <v/>
      </c>
      <c r="P1289" s="56" t="str">
        <f t="shared" si="10"/>
        <v/>
      </c>
      <c r="Q1289" s="62"/>
      <c r="R1289" s="10" t="str">
        <f>IFERROR(__xludf.DUMMYFUNCTION("IF(COUNTA(Q1289:Q1350)=0,"""",IF(ISBLANK(Q1289),FALSE,IF(NOT(COUNTIF($AA$24:$AA$34,SUBSTITUTE(Q1289,""Sell_"",""""))),1,IF(REGEXMATCH(Q1289,""Sell_""),IF(COUNTIF(Q$4:Q1289,SUBSTITUTE(Q1289,""Sell_"",""""))-COUNTIF(Q$4:Q1288,Q1289)&lt;1,1),FALSE))))"),"")</f>
        <v/>
      </c>
      <c r="S1289" s="59" t="str">
        <f t="array" ref="S1289">IF(COUNTA(Q1289:Q1350)=0,"",SUM((COUNTIF(Q$4:Q1289,Upgrades!$B$3:$B$13)-COUNTIF(Q$4:Q1289,"Sell_"&amp;Upgrades!$B$3:$B$13))*Upgrades!$D$3:$D$13))</f>
        <v/>
      </c>
      <c r="T1289" s="66" t="str">
        <f>IFERROR(__xludf.DUMMYFUNCTION("IF(COUNTA(Q1289:Q1350)=0,"""",IF(REGEXMATCH(INDEX(FILTER(Q$4:Q1289,Q$4:Q1289&lt;&gt;""""),ROWS(FILTER(Q$4:Q1289,Q$4:Q1289&lt;&gt;""""))),""^Sell_""),INDEX(FILTER(T$4:T1288,Q$4:Q1288&lt;&gt;""""),ROWS(FILTER(Q$4:Q1288,Q$4:Q1288&lt;&gt;""""))),$AD$5+S1289))"),"")</f>
        <v/>
      </c>
      <c r="U1289" s="10" t="str">
        <f>IFERROR(__xludf.DUMMYFUNCTION("IF(COUNTA(Q1289:Q1350)=0,"""",IF(Q1289="""",0,IF(REGEXMATCH(Q1289,""^Sell_""),-ROUNDDOWN(ROUNDUP(INDEX(Upgrades!$C$3:$C$13,MATCH(SUBSTITUTE(Q1289,""Sell_"",""""),Upgrades!$B$3:$B$13,0))*1.15^(COUNTIF(Q$4:Q1288,SUBSTITUTE(Q1289,""Sell_"",""""))-COUNTIF(Q$4"&amp;":Q1288,""Sell_""&amp;SUBSTITUTE(Q1289,""Sell_"",""""))))/2),ROUNDUP(INDEX(Upgrades!$C$3:$C$13,MATCH(Q1289,Upgrades!$B$3:$B$13,0))*1.15^(COUNTIF(Q$4:Q1288,Q1289)-COUNTIF(Q$4:Q1288,""Sell_""&amp;Q1289))))))"),"")</f>
        <v/>
      </c>
      <c r="V1289" s="10" t="str">
        <f t="shared" si="11"/>
        <v/>
      </c>
      <c r="W1289" s="68" t="str">
        <f t="shared" si="12"/>
        <v/>
      </c>
      <c r="X1289" s="59" t="str">
        <f t="shared" si="13"/>
        <v/>
      </c>
      <c r="Y1289" s="69" t="str">
        <f t="shared" si="14"/>
        <v/>
      </c>
      <c r="Z1289" s="11"/>
    </row>
    <row r="1290">
      <c r="A1290" s="8"/>
      <c r="B1290" s="56" t="str">
        <f t="shared" si="2"/>
        <v/>
      </c>
      <c r="C1290" s="57"/>
      <c r="D1290" s="10" t="str">
        <f>IFERROR(__xludf.DUMMYFUNCTION("IF(COUNTA(C1290:C1350)=0,"""",IF(ISBLANK(C1290),FALSE,IF(NOT(COUNTIF($AA$24:$AA$34,SUBSTITUTE(C1290,""Sell_"",""""))),1,IF(REGEXMATCH(C1290,""Sell_""),IF(COUNTIF(C$4:C1290,SUBSTITUTE(C1290,""Sell_"",""""))-COUNTIF(C$4:C1289,C1290)&lt;1,1),FALSE))))"),"")</f>
        <v/>
      </c>
      <c r="E1290" s="59" t="str">
        <f t="array" ref="E1290">IF(COUNTA(C1290:C1350)=0,"",SUM((COUNTIF(C$4:C1290,Upgrades!$B$3:$B$13)-COUNTIF(C$4:C1290,"Sell_"&amp;Upgrades!$B$3:$B$13))*Upgrades!$D$3:$D$13))</f>
        <v/>
      </c>
      <c r="F1290" s="66" t="str">
        <f>IFERROR(__xludf.DUMMYFUNCTION("IF(COUNTA(C1290:C1350)=0,"""",IF(REGEXMATCH(INDEX(FILTER(C$4:C1290,C$4:C1290&lt;&gt;""""),ROWS(FILTER(C$4:C1290,C$4:C1290&lt;&gt;""""))),""^Sell_""),INDEX(FILTER(F$4:F1289,C$4:C1289&lt;&gt;""""),ROWS(FILTER(C$4:C1289,C$4:C1289&lt;&gt;""""))),$AC$5+E1290))"),"")</f>
        <v/>
      </c>
      <c r="G1290" s="10" t="str">
        <f>IFERROR(__xludf.DUMMYFUNCTION("IF(COUNTA(C1290:C1350)=0,"""",IF(C1290="""",0,IF(REGEXMATCH(C1290,""^Sell_""),-ROUNDDOWN(ROUNDUP(INDEX(Upgrades!$C$3:$C$13,MATCH(SUBSTITUTE(C1290,""Sell_"",""""),Upgrades!$B$3:$B$13,0))*1.15^(COUNTIF(C$4:C1289,SUBSTITUTE(C1290,""Sell_"",""""))-COUNTIF(C$4"&amp;":C1289,""Sell_""&amp;SUBSTITUTE(C1290,""Sell_"",""""))))/2),ROUNDUP(INDEX(Upgrades!$C$3:$C$13,MATCH(C1290,Upgrades!$B$3:$B$13,0))*1.15^(COUNTIF(C$4:C1289,C1290)-COUNTIF(C$4:C1289,""Sell_""&amp;C1290))))))"),"")</f>
        <v/>
      </c>
      <c r="H1290" s="10" t="str">
        <f t="shared" si="3"/>
        <v/>
      </c>
      <c r="I1290" s="68" t="str">
        <f t="shared" si="4"/>
        <v/>
      </c>
      <c r="J1290" s="59" t="str">
        <f t="shared" si="5"/>
        <v/>
      </c>
      <c r="K1290" s="69" t="str">
        <f t="shared" si="6"/>
        <v/>
      </c>
      <c r="L1290" s="60" t="str">
        <f t="shared" si="7"/>
        <v/>
      </c>
      <c r="M1290" s="61" t="str">
        <f>IFERROR(__xludf.DUMMYFUNCTION("IFS(AND(COUNTA(C1290:C1350)=0,COUNTA(Q1290:Q1350)=0),"""",OR(AND(K1290&gt;=1000000000,OR(Y1290&gt;=1000000000,COUNTA(Q1290:Q1350)=0)),OR(Y1290&gt;=1000000000,AND(COUNTA(C1290:C1350)=0,P$3=TRUE))),
ROUNDDOWN((AB$1-AC$1)*MAX(INDEX(T$4:T1350,MATCH(LARGE(FILTER(Y$4:Y1"&amp;"350,Y$4:Y1350&lt;1000000000),1),Y$4:Y1350)),INDEX(F$4:F1350,MATCH(LARGE(FILTER(K$4:K1350,K$4:K1350&lt;1000000000),1),K$4:K1350)))),AND(K1290&lt;1000000000,COUNTA(C1290:C1350)&gt;0,P$3=FALSE),
ROUNDDOWN(INDEX(Y$4:Y1350,MATCH(LARGE(FILTER(W$4:W1350,W$4:W1350&lt;=I1290),1)"&amp;",W$4:W1350))+(I1290-LARGE(FILTER(W$4:W1350,W$4:W1350&lt;=I1290),1))*INDEX(T$4:T1350,MATCH(LARGE(FILTER(W$4:W1350,W$4:W1350&lt;=I1290),1),W$4:W1350))-K1290),1,
ROUNDDOWN(Y1290-INDEX(K$4:K1350,MATCH(LARGE(FILTER(I$4:I1350,I$4:I1350&lt;=W1290),1),I$4:I1350))-(W1290-L"&amp;"ARGE(FILTER(I$4:I1350,I$4:I1350&lt;=W1290),1))*INDEX(F$4:F1350,MATCH(LARGE(FILTER(I$4:I1350,I$4:I1350&lt;=W1290),1),I$4:I1350))))"),"")</f>
        <v/>
      </c>
      <c r="N1290" s="60" t="str">
        <f t="shared" si="8"/>
        <v/>
      </c>
      <c r="O1290" s="61" t="str">
        <f t="shared" si="9"/>
        <v/>
      </c>
      <c r="P1290" s="56" t="str">
        <f t="shared" si="10"/>
        <v/>
      </c>
      <c r="Q1290" s="62"/>
      <c r="R1290" s="10" t="str">
        <f>IFERROR(__xludf.DUMMYFUNCTION("IF(COUNTA(Q1290:Q1350)=0,"""",IF(ISBLANK(Q1290),FALSE,IF(NOT(COUNTIF($AA$24:$AA$34,SUBSTITUTE(Q1290,""Sell_"",""""))),1,IF(REGEXMATCH(Q1290,""Sell_""),IF(COUNTIF(Q$4:Q1290,SUBSTITUTE(Q1290,""Sell_"",""""))-COUNTIF(Q$4:Q1289,Q1290)&lt;1,1),FALSE))))"),"")</f>
        <v/>
      </c>
      <c r="S1290" s="59" t="str">
        <f t="array" ref="S1290">IF(COUNTA(Q1290:Q1350)=0,"",SUM((COUNTIF(Q$4:Q1290,Upgrades!$B$3:$B$13)-COUNTIF(Q$4:Q1290,"Sell_"&amp;Upgrades!$B$3:$B$13))*Upgrades!$D$3:$D$13))</f>
        <v/>
      </c>
      <c r="T1290" s="66" t="str">
        <f>IFERROR(__xludf.DUMMYFUNCTION("IF(COUNTA(Q1290:Q1350)=0,"""",IF(REGEXMATCH(INDEX(FILTER(Q$4:Q1290,Q$4:Q1290&lt;&gt;""""),ROWS(FILTER(Q$4:Q1290,Q$4:Q1290&lt;&gt;""""))),""^Sell_""),INDEX(FILTER(T$4:T1289,Q$4:Q1289&lt;&gt;""""),ROWS(FILTER(Q$4:Q1289,Q$4:Q1289&lt;&gt;""""))),$AD$5+S1290))"),"")</f>
        <v/>
      </c>
      <c r="U1290" s="10" t="str">
        <f>IFERROR(__xludf.DUMMYFUNCTION("IF(COUNTA(Q1290:Q1350)=0,"""",IF(Q1290="""",0,IF(REGEXMATCH(Q1290,""^Sell_""),-ROUNDDOWN(ROUNDUP(INDEX(Upgrades!$C$3:$C$13,MATCH(SUBSTITUTE(Q1290,""Sell_"",""""),Upgrades!$B$3:$B$13,0))*1.15^(COUNTIF(Q$4:Q1289,SUBSTITUTE(Q1290,""Sell_"",""""))-COUNTIF(Q$4"&amp;":Q1289,""Sell_""&amp;SUBSTITUTE(Q1290,""Sell_"",""""))))/2),ROUNDUP(INDEX(Upgrades!$C$3:$C$13,MATCH(Q1290,Upgrades!$B$3:$B$13,0))*1.15^(COUNTIF(Q$4:Q1289,Q1290)-COUNTIF(Q$4:Q1289,""Sell_""&amp;Q1290))))))"),"")</f>
        <v/>
      </c>
      <c r="V1290" s="10" t="str">
        <f t="shared" si="11"/>
        <v/>
      </c>
      <c r="W1290" s="68" t="str">
        <f t="shared" si="12"/>
        <v/>
      </c>
      <c r="X1290" s="59" t="str">
        <f t="shared" si="13"/>
        <v/>
      </c>
      <c r="Y1290" s="69" t="str">
        <f t="shared" si="14"/>
        <v/>
      </c>
      <c r="Z1290" s="11"/>
    </row>
    <row r="1291">
      <c r="A1291" s="8"/>
      <c r="B1291" s="56" t="str">
        <f t="shared" si="2"/>
        <v/>
      </c>
      <c r="C1291" s="57"/>
      <c r="D1291" s="10" t="str">
        <f>IFERROR(__xludf.DUMMYFUNCTION("IF(COUNTA(C1291:C1350)=0,"""",IF(ISBLANK(C1291),FALSE,IF(NOT(COUNTIF($AA$24:$AA$34,SUBSTITUTE(C1291,""Sell_"",""""))),1,IF(REGEXMATCH(C1291,""Sell_""),IF(COUNTIF(C$4:C1291,SUBSTITUTE(C1291,""Sell_"",""""))-COUNTIF(C$4:C1290,C1291)&lt;1,1),FALSE))))"),"")</f>
        <v/>
      </c>
      <c r="E1291" s="59" t="str">
        <f t="array" ref="E1291">IF(COUNTA(C1291:C1350)=0,"",SUM((COUNTIF(C$4:C1291,Upgrades!$B$3:$B$13)-COUNTIF(C$4:C1291,"Sell_"&amp;Upgrades!$B$3:$B$13))*Upgrades!$D$3:$D$13))</f>
        <v/>
      </c>
      <c r="F1291" s="66" t="str">
        <f>IFERROR(__xludf.DUMMYFUNCTION("IF(COUNTA(C1291:C1350)=0,"""",IF(REGEXMATCH(INDEX(FILTER(C$4:C1291,C$4:C1291&lt;&gt;""""),ROWS(FILTER(C$4:C1291,C$4:C1291&lt;&gt;""""))),""^Sell_""),INDEX(FILTER(F$4:F1290,C$4:C1290&lt;&gt;""""),ROWS(FILTER(C$4:C1290,C$4:C1290&lt;&gt;""""))),$AC$5+E1291))"),"")</f>
        <v/>
      </c>
      <c r="G1291" s="10" t="str">
        <f>IFERROR(__xludf.DUMMYFUNCTION("IF(COUNTA(C1291:C1350)=0,"""",IF(C1291="""",0,IF(REGEXMATCH(C1291,""^Sell_""),-ROUNDDOWN(ROUNDUP(INDEX(Upgrades!$C$3:$C$13,MATCH(SUBSTITUTE(C1291,""Sell_"",""""),Upgrades!$B$3:$B$13,0))*1.15^(COUNTIF(C$4:C1290,SUBSTITUTE(C1291,""Sell_"",""""))-COUNTIF(C$4"&amp;":C1290,""Sell_""&amp;SUBSTITUTE(C1291,""Sell_"",""""))))/2),ROUNDUP(INDEX(Upgrades!$C$3:$C$13,MATCH(C1291,Upgrades!$B$3:$B$13,0))*1.15^(COUNTIF(C$4:C1290,C1291)-COUNTIF(C$4:C1290,""Sell_""&amp;C1291))))))"),"")</f>
        <v/>
      </c>
      <c r="H1291" s="10" t="str">
        <f t="shared" si="3"/>
        <v/>
      </c>
      <c r="I1291" s="68" t="str">
        <f t="shared" si="4"/>
        <v/>
      </c>
      <c r="J1291" s="59" t="str">
        <f t="shared" si="5"/>
        <v/>
      </c>
      <c r="K1291" s="69" t="str">
        <f t="shared" si="6"/>
        <v/>
      </c>
      <c r="L1291" s="60" t="str">
        <f t="shared" si="7"/>
        <v/>
      </c>
      <c r="M1291" s="61" t="str">
        <f>IFERROR(__xludf.DUMMYFUNCTION("IFS(AND(COUNTA(C1291:C1350)=0,COUNTA(Q1291:Q1350)=0),"""",OR(AND(K1291&gt;=1000000000,OR(Y1291&gt;=1000000000,COUNTA(Q1291:Q1350)=0)),OR(Y1291&gt;=1000000000,AND(COUNTA(C1291:C1350)=0,P$3=TRUE))),
ROUNDDOWN((AB$1-AC$1)*MAX(INDEX(T$4:T1350,MATCH(LARGE(FILTER(Y$4:Y1"&amp;"350,Y$4:Y1350&lt;1000000000),1),Y$4:Y1350)),INDEX(F$4:F1350,MATCH(LARGE(FILTER(K$4:K1350,K$4:K1350&lt;1000000000),1),K$4:K1350)))),AND(K1291&lt;1000000000,COUNTA(C1291:C1350)&gt;0,P$3=FALSE),
ROUNDDOWN(INDEX(Y$4:Y1350,MATCH(LARGE(FILTER(W$4:W1350,W$4:W1350&lt;=I1291),1)"&amp;",W$4:W1350))+(I1291-LARGE(FILTER(W$4:W1350,W$4:W1350&lt;=I1291),1))*INDEX(T$4:T1350,MATCH(LARGE(FILTER(W$4:W1350,W$4:W1350&lt;=I1291),1),W$4:W1350))-K1291),1,
ROUNDDOWN(Y1291-INDEX(K$4:K1350,MATCH(LARGE(FILTER(I$4:I1350,I$4:I1350&lt;=W1291),1),I$4:I1350))-(W1291-L"&amp;"ARGE(FILTER(I$4:I1350,I$4:I1350&lt;=W1291),1))*INDEX(F$4:F1350,MATCH(LARGE(FILTER(I$4:I1350,I$4:I1350&lt;=W1291),1),I$4:I1350))))"),"")</f>
        <v/>
      </c>
      <c r="N1291" s="60" t="str">
        <f t="shared" si="8"/>
        <v/>
      </c>
      <c r="O1291" s="61" t="str">
        <f t="shared" si="9"/>
        <v/>
      </c>
      <c r="P1291" s="56" t="str">
        <f t="shared" si="10"/>
        <v/>
      </c>
      <c r="Q1291" s="62"/>
      <c r="R1291" s="10" t="str">
        <f>IFERROR(__xludf.DUMMYFUNCTION("IF(COUNTA(Q1291:Q1350)=0,"""",IF(ISBLANK(Q1291),FALSE,IF(NOT(COUNTIF($AA$24:$AA$34,SUBSTITUTE(Q1291,""Sell_"",""""))),1,IF(REGEXMATCH(Q1291,""Sell_""),IF(COUNTIF(Q$4:Q1291,SUBSTITUTE(Q1291,""Sell_"",""""))-COUNTIF(Q$4:Q1290,Q1291)&lt;1,1),FALSE))))"),"")</f>
        <v/>
      </c>
      <c r="S1291" s="59" t="str">
        <f t="array" ref="S1291">IF(COUNTA(Q1291:Q1350)=0,"",SUM((COUNTIF(Q$4:Q1291,Upgrades!$B$3:$B$13)-COUNTIF(Q$4:Q1291,"Sell_"&amp;Upgrades!$B$3:$B$13))*Upgrades!$D$3:$D$13))</f>
        <v/>
      </c>
      <c r="T1291" s="66" t="str">
        <f>IFERROR(__xludf.DUMMYFUNCTION("IF(COUNTA(Q1291:Q1350)=0,"""",IF(REGEXMATCH(INDEX(FILTER(Q$4:Q1291,Q$4:Q1291&lt;&gt;""""),ROWS(FILTER(Q$4:Q1291,Q$4:Q1291&lt;&gt;""""))),""^Sell_""),INDEX(FILTER(T$4:T1290,Q$4:Q1290&lt;&gt;""""),ROWS(FILTER(Q$4:Q1290,Q$4:Q1290&lt;&gt;""""))),$AD$5+S1291))"),"")</f>
        <v/>
      </c>
      <c r="U1291" s="10" t="str">
        <f>IFERROR(__xludf.DUMMYFUNCTION("IF(COUNTA(Q1291:Q1350)=0,"""",IF(Q1291="""",0,IF(REGEXMATCH(Q1291,""^Sell_""),-ROUNDDOWN(ROUNDUP(INDEX(Upgrades!$C$3:$C$13,MATCH(SUBSTITUTE(Q1291,""Sell_"",""""),Upgrades!$B$3:$B$13,0))*1.15^(COUNTIF(Q$4:Q1290,SUBSTITUTE(Q1291,""Sell_"",""""))-COUNTIF(Q$4"&amp;":Q1290,""Sell_""&amp;SUBSTITUTE(Q1291,""Sell_"",""""))))/2),ROUNDUP(INDEX(Upgrades!$C$3:$C$13,MATCH(Q1291,Upgrades!$B$3:$B$13,0))*1.15^(COUNTIF(Q$4:Q1290,Q1291)-COUNTIF(Q$4:Q1290,""Sell_""&amp;Q1291))))))"),"")</f>
        <v/>
      </c>
      <c r="V1291" s="10" t="str">
        <f t="shared" si="11"/>
        <v/>
      </c>
      <c r="W1291" s="68" t="str">
        <f t="shared" si="12"/>
        <v/>
      </c>
      <c r="X1291" s="59" t="str">
        <f t="shared" si="13"/>
        <v/>
      </c>
      <c r="Y1291" s="69" t="str">
        <f t="shared" si="14"/>
        <v/>
      </c>
      <c r="Z1291" s="11"/>
    </row>
    <row r="1292">
      <c r="A1292" s="8"/>
      <c r="B1292" s="56" t="str">
        <f t="shared" si="2"/>
        <v/>
      </c>
      <c r="C1292" s="57"/>
      <c r="D1292" s="10" t="str">
        <f>IFERROR(__xludf.DUMMYFUNCTION("IF(COUNTA(C1292:C1350)=0,"""",IF(ISBLANK(C1292),FALSE,IF(NOT(COUNTIF($AA$24:$AA$34,SUBSTITUTE(C1292,""Sell_"",""""))),1,IF(REGEXMATCH(C1292,""Sell_""),IF(COUNTIF(C$4:C1292,SUBSTITUTE(C1292,""Sell_"",""""))-COUNTIF(C$4:C1291,C1292)&lt;1,1),FALSE))))"),"")</f>
        <v/>
      </c>
      <c r="E1292" s="59" t="str">
        <f t="array" ref="E1292">IF(COUNTA(C1292:C1350)=0,"",SUM((COUNTIF(C$4:C1292,Upgrades!$B$3:$B$13)-COUNTIF(C$4:C1292,"Sell_"&amp;Upgrades!$B$3:$B$13))*Upgrades!$D$3:$D$13))</f>
        <v/>
      </c>
      <c r="F1292" s="66" t="str">
        <f>IFERROR(__xludf.DUMMYFUNCTION("IF(COUNTA(C1292:C1350)=0,"""",IF(REGEXMATCH(INDEX(FILTER(C$4:C1292,C$4:C1292&lt;&gt;""""),ROWS(FILTER(C$4:C1292,C$4:C1292&lt;&gt;""""))),""^Sell_""),INDEX(FILTER(F$4:F1291,C$4:C1291&lt;&gt;""""),ROWS(FILTER(C$4:C1291,C$4:C1291&lt;&gt;""""))),$AC$5+E1292))"),"")</f>
        <v/>
      </c>
      <c r="G1292" s="10" t="str">
        <f>IFERROR(__xludf.DUMMYFUNCTION("IF(COUNTA(C1292:C1350)=0,"""",IF(C1292="""",0,IF(REGEXMATCH(C1292,""^Sell_""),-ROUNDDOWN(ROUNDUP(INDEX(Upgrades!$C$3:$C$13,MATCH(SUBSTITUTE(C1292,""Sell_"",""""),Upgrades!$B$3:$B$13,0))*1.15^(COUNTIF(C$4:C1291,SUBSTITUTE(C1292,""Sell_"",""""))-COUNTIF(C$4"&amp;":C1291,""Sell_""&amp;SUBSTITUTE(C1292,""Sell_"",""""))))/2),ROUNDUP(INDEX(Upgrades!$C$3:$C$13,MATCH(C1292,Upgrades!$B$3:$B$13,0))*1.15^(COUNTIF(C$4:C1291,C1292)-COUNTIF(C$4:C1291,""Sell_""&amp;C1292))))))"),"")</f>
        <v/>
      </c>
      <c r="H1292" s="10" t="str">
        <f t="shared" si="3"/>
        <v/>
      </c>
      <c r="I1292" s="68" t="str">
        <f t="shared" si="4"/>
        <v/>
      </c>
      <c r="J1292" s="59" t="str">
        <f t="shared" si="5"/>
        <v/>
      </c>
      <c r="K1292" s="69" t="str">
        <f t="shared" si="6"/>
        <v/>
      </c>
      <c r="L1292" s="60" t="str">
        <f t="shared" si="7"/>
        <v/>
      </c>
      <c r="M1292" s="61" t="str">
        <f>IFERROR(__xludf.DUMMYFUNCTION("IFS(AND(COUNTA(C1292:C1350)=0,COUNTA(Q1292:Q1350)=0),"""",OR(AND(K1292&gt;=1000000000,OR(Y1292&gt;=1000000000,COUNTA(Q1292:Q1350)=0)),OR(Y1292&gt;=1000000000,AND(COUNTA(C1292:C1350)=0,P$3=TRUE))),
ROUNDDOWN((AB$1-AC$1)*MAX(INDEX(T$4:T1350,MATCH(LARGE(FILTER(Y$4:Y1"&amp;"350,Y$4:Y1350&lt;1000000000),1),Y$4:Y1350)),INDEX(F$4:F1350,MATCH(LARGE(FILTER(K$4:K1350,K$4:K1350&lt;1000000000),1),K$4:K1350)))),AND(K1292&lt;1000000000,COUNTA(C1292:C1350)&gt;0,P$3=FALSE),
ROUNDDOWN(INDEX(Y$4:Y1350,MATCH(LARGE(FILTER(W$4:W1350,W$4:W1350&lt;=I1292),1)"&amp;",W$4:W1350))+(I1292-LARGE(FILTER(W$4:W1350,W$4:W1350&lt;=I1292),1))*INDEX(T$4:T1350,MATCH(LARGE(FILTER(W$4:W1350,W$4:W1350&lt;=I1292),1),W$4:W1350))-K1292),1,
ROUNDDOWN(Y1292-INDEX(K$4:K1350,MATCH(LARGE(FILTER(I$4:I1350,I$4:I1350&lt;=W1292),1),I$4:I1350))-(W1292-L"&amp;"ARGE(FILTER(I$4:I1350,I$4:I1350&lt;=W1292),1))*INDEX(F$4:F1350,MATCH(LARGE(FILTER(I$4:I1350,I$4:I1350&lt;=W1292),1),I$4:I1350))))"),"")</f>
        <v/>
      </c>
      <c r="N1292" s="60" t="str">
        <f t="shared" si="8"/>
        <v/>
      </c>
      <c r="O1292" s="61" t="str">
        <f t="shared" si="9"/>
        <v/>
      </c>
      <c r="P1292" s="56" t="str">
        <f t="shared" si="10"/>
        <v/>
      </c>
      <c r="Q1292" s="62"/>
      <c r="R1292" s="10" t="str">
        <f>IFERROR(__xludf.DUMMYFUNCTION("IF(COUNTA(Q1292:Q1350)=0,"""",IF(ISBLANK(Q1292),FALSE,IF(NOT(COUNTIF($AA$24:$AA$34,SUBSTITUTE(Q1292,""Sell_"",""""))),1,IF(REGEXMATCH(Q1292,""Sell_""),IF(COUNTIF(Q$4:Q1292,SUBSTITUTE(Q1292,""Sell_"",""""))-COUNTIF(Q$4:Q1291,Q1292)&lt;1,1),FALSE))))"),"")</f>
        <v/>
      </c>
      <c r="S1292" s="59" t="str">
        <f t="array" ref="S1292">IF(COUNTA(Q1292:Q1350)=0,"",SUM((COUNTIF(Q$4:Q1292,Upgrades!$B$3:$B$13)-COUNTIF(Q$4:Q1292,"Sell_"&amp;Upgrades!$B$3:$B$13))*Upgrades!$D$3:$D$13))</f>
        <v/>
      </c>
      <c r="T1292" s="66" t="str">
        <f>IFERROR(__xludf.DUMMYFUNCTION("IF(COUNTA(Q1292:Q1350)=0,"""",IF(REGEXMATCH(INDEX(FILTER(Q$4:Q1292,Q$4:Q1292&lt;&gt;""""),ROWS(FILTER(Q$4:Q1292,Q$4:Q1292&lt;&gt;""""))),""^Sell_""),INDEX(FILTER(T$4:T1291,Q$4:Q1291&lt;&gt;""""),ROWS(FILTER(Q$4:Q1291,Q$4:Q1291&lt;&gt;""""))),$AD$5+S1292))"),"")</f>
        <v/>
      </c>
      <c r="U1292" s="10" t="str">
        <f>IFERROR(__xludf.DUMMYFUNCTION("IF(COUNTA(Q1292:Q1350)=0,"""",IF(Q1292="""",0,IF(REGEXMATCH(Q1292,""^Sell_""),-ROUNDDOWN(ROUNDUP(INDEX(Upgrades!$C$3:$C$13,MATCH(SUBSTITUTE(Q1292,""Sell_"",""""),Upgrades!$B$3:$B$13,0))*1.15^(COUNTIF(Q$4:Q1291,SUBSTITUTE(Q1292,""Sell_"",""""))-COUNTIF(Q$4"&amp;":Q1291,""Sell_""&amp;SUBSTITUTE(Q1292,""Sell_"",""""))))/2),ROUNDUP(INDEX(Upgrades!$C$3:$C$13,MATCH(Q1292,Upgrades!$B$3:$B$13,0))*1.15^(COUNTIF(Q$4:Q1291,Q1292)-COUNTIF(Q$4:Q1291,""Sell_""&amp;Q1292))))))"),"")</f>
        <v/>
      </c>
      <c r="V1292" s="10" t="str">
        <f t="shared" si="11"/>
        <v/>
      </c>
      <c r="W1292" s="68" t="str">
        <f t="shared" si="12"/>
        <v/>
      </c>
      <c r="X1292" s="59" t="str">
        <f t="shared" si="13"/>
        <v/>
      </c>
      <c r="Y1292" s="69" t="str">
        <f t="shared" si="14"/>
        <v/>
      </c>
      <c r="Z1292" s="11"/>
    </row>
    <row r="1293">
      <c r="A1293" s="8"/>
      <c r="B1293" s="56" t="str">
        <f t="shared" si="2"/>
        <v/>
      </c>
      <c r="C1293" s="57"/>
      <c r="D1293" s="10" t="str">
        <f>IFERROR(__xludf.DUMMYFUNCTION("IF(COUNTA(C1293:C1350)=0,"""",IF(ISBLANK(C1293),FALSE,IF(NOT(COUNTIF($AA$24:$AA$34,SUBSTITUTE(C1293,""Sell_"",""""))),1,IF(REGEXMATCH(C1293,""Sell_""),IF(COUNTIF(C$4:C1293,SUBSTITUTE(C1293,""Sell_"",""""))-COUNTIF(C$4:C1292,C1293)&lt;1,1),FALSE))))"),"")</f>
        <v/>
      </c>
      <c r="E1293" s="59" t="str">
        <f t="array" ref="E1293">IF(COUNTA(C1293:C1350)=0,"",SUM((COUNTIF(C$4:C1293,Upgrades!$B$3:$B$13)-COUNTIF(C$4:C1293,"Sell_"&amp;Upgrades!$B$3:$B$13))*Upgrades!$D$3:$D$13))</f>
        <v/>
      </c>
      <c r="F1293" s="66" t="str">
        <f>IFERROR(__xludf.DUMMYFUNCTION("IF(COUNTA(C1293:C1350)=0,"""",IF(REGEXMATCH(INDEX(FILTER(C$4:C1293,C$4:C1293&lt;&gt;""""),ROWS(FILTER(C$4:C1293,C$4:C1293&lt;&gt;""""))),""^Sell_""),INDEX(FILTER(F$4:F1292,C$4:C1292&lt;&gt;""""),ROWS(FILTER(C$4:C1292,C$4:C1292&lt;&gt;""""))),$AC$5+E1293))"),"")</f>
        <v/>
      </c>
      <c r="G1293" s="10" t="str">
        <f>IFERROR(__xludf.DUMMYFUNCTION("IF(COUNTA(C1293:C1350)=0,"""",IF(C1293="""",0,IF(REGEXMATCH(C1293,""^Sell_""),-ROUNDDOWN(ROUNDUP(INDEX(Upgrades!$C$3:$C$13,MATCH(SUBSTITUTE(C1293,""Sell_"",""""),Upgrades!$B$3:$B$13,0))*1.15^(COUNTIF(C$4:C1292,SUBSTITUTE(C1293,""Sell_"",""""))-COUNTIF(C$4"&amp;":C1292,""Sell_""&amp;SUBSTITUTE(C1293,""Sell_"",""""))))/2),ROUNDUP(INDEX(Upgrades!$C$3:$C$13,MATCH(C1293,Upgrades!$B$3:$B$13,0))*1.15^(COUNTIF(C$4:C1292,C1293)-COUNTIF(C$4:C1292,""Sell_""&amp;C1293))))))"),"")</f>
        <v/>
      </c>
      <c r="H1293" s="10" t="str">
        <f t="shared" si="3"/>
        <v/>
      </c>
      <c r="I1293" s="68" t="str">
        <f t="shared" si="4"/>
        <v/>
      </c>
      <c r="J1293" s="59" t="str">
        <f t="shared" si="5"/>
        <v/>
      </c>
      <c r="K1293" s="69" t="str">
        <f t="shared" si="6"/>
        <v/>
      </c>
      <c r="L1293" s="60" t="str">
        <f t="shared" si="7"/>
        <v/>
      </c>
      <c r="M1293" s="61" t="str">
        <f>IFERROR(__xludf.DUMMYFUNCTION("IFS(AND(COUNTA(C1293:C1350)=0,COUNTA(Q1293:Q1350)=0),"""",OR(AND(K1293&gt;=1000000000,OR(Y1293&gt;=1000000000,COUNTA(Q1293:Q1350)=0)),OR(Y1293&gt;=1000000000,AND(COUNTA(C1293:C1350)=0,P$3=TRUE))),
ROUNDDOWN((AB$1-AC$1)*MAX(INDEX(T$4:T1350,MATCH(LARGE(FILTER(Y$4:Y1"&amp;"350,Y$4:Y1350&lt;1000000000),1),Y$4:Y1350)),INDEX(F$4:F1350,MATCH(LARGE(FILTER(K$4:K1350,K$4:K1350&lt;1000000000),1),K$4:K1350)))),AND(K1293&lt;1000000000,COUNTA(C1293:C1350)&gt;0,P$3=FALSE),
ROUNDDOWN(INDEX(Y$4:Y1350,MATCH(LARGE(FILTER(W$4:W1350,W$4:W1350&lt;=I1293),1)"&amp;",W$4:W1350))+(I1293-LARGE(FILTER(W$4:W1350,W$4:W1350&lt;=I1293),1))*INDEX(T$4:T1350,MATCH(LARGE(FILTER(W$4:W1350,W$4:W1350&lt;=I1293),1),W$4:W1350))-K1293),1,
ROUNDDOWN(Y1293-INDEX(K$4:K1350,MATCH(LARGE(FILTER(I$4:I1350,I$4:I1350&lt;=W1293),1),I$4:I1350))-(W1293-L"&amp;"ARGE(FILTER(I$4:I1350,I$4:I1350&lt;=W1293),1))*INDEX(F$4:F1350,MATCH(LARGE(FILTER(I$4:I1350,I$4:I1350&lt;=W1293),1),I$4:I1350))))"),"")</f>
        <v/>
      </c>
      <c r="N1293" s="60" t="str">
        <f t="shared" si="8"/>
        <v/>
      </c>
      <c r="O1293" s="61" t="str">
        <f t="shared" si="9"/>
        <v/>
      </c>
      <c r="P1293" s="56" t="str">
        <f t="shared" si="10"/>
        <v/>
      </c>
      <c r="Q1293" s="62"/>
      <c r="R1293" s="10" t="str">
        <f>IFERROR(__xludf.DUMMYFUNCTION("IF(COUNTA(Q1293:Q1350)=0,"""",IF(ISBLANK(Q1293),FALSE,IF(NOT(COUNTIF($AA$24:$AA$34,SUBSTITUTE(Q1293,""Sell_"",""""))),1,IF(REGEXMATCH(Q1293,""Sell_""),IF(COUNTIF(Q$4:Q1293,SUBSTITUTE(Q1293,""Sell_"",""""))-COUNTIF(Q$4:Q1292,Q1293)&lt;1,1),FALSE))))"),"")</f>
        <v/>
      </c>
      <c r="S1293" s="59" t="str">
        <f t="array" ref="S1293">IF(COUNTA(Q1293:Q1350)=0,"",SUM((COUNTIF(Q$4:Q1293,Upgrades!$B$3:$B$13)-COUNTIF(Q$4:Q1293,"Sell_"&amp;Upgrades!$B$3:$B$13))*Upgrades!$D$3:$D$13))</f>
        <v/>
      </c>
      <c r="T1293" s="66" t="str">
        <f>IFERROR(__xludf.DUMMYFUNCTION("IF(COUNTA(Q1293:Q1350)=0,"""",IF(REGEXMATCH(INDEX(FILTER(Q$4:Q1293,Q$4:Q1293&lt;&gt;""""),ROWS(FILTER(Q$4:Q1293,Q$4:Q1293&lt;&gt;""""))),""^Sell_""),INDEX(FILTER(T$4:T1292,Q$4:Q1292&lt;&gt;""""),ROWS(FILTER(Q$4:Q1292,Q$4:Q1292&lt;&gt;""""))),$AD$5+S1293))"),"")</f>
        <v/>
      </c>
      <c r="U1293" s="10" t="str">
        <f>IFERROR(__xludf.DUMMYFUNCTION("IF(COUNTA(Q1293:Q1350)=0,"""",IF(Q1293="""",0,IF(REGEXMATCH(Q1293,""^Sell_""),-ROUNDDOWN(ROUNDUP(INDEX(Upgrades!$C$3:$C$13,MATCH(SUBSTITUTE(Q1293,""Sell_"",""""),Upgrades!$B$3:$B$13,0))*1.15^(COUNTIF(Q$4:Q1292,SUBSTITUTE(Q1293,""Sell_"",""""))-COUNTIF(Q$4"&amp;":Q1292,""Sell_""&amp;SUBSTITUTE(Q1293,""Sell_"",""""))))/2),ROUNDUP(INDEX(Upgrades!$C$3:$C$13,MATCH(Q1293,Upgrades!$B$3:$B$13,0))*1.15^(COUNTIF(Q$4:Q1292,Q1293)-COUNTIF(Q$4:Q1292,""Sell_""&amp;Q1293))))))"),"")</f>
        <v/>
      </c>
      <c r="V1293" s="10" t="str">
        <f t="shared" si="11"/>
        <v/>
      </c>
      <c r="W1293" s="68" t="str">
        <f t="shared" si="12"/>
        <v/>
      </c>
      <c r="X1293" s="59" t="str">
        <f t="shared" si="13"/>
        <v/>
      </c>
      <c r="Y1293" s="69" t="str">
        <f t="shared" si="14"/>
        <v/>
      </c>
      <c r="Z1293" s="11"/>
    </row>
    <row r="1294">
      <c r="A1294" s="8"/>
      <c r="B1294" s="56" t="str">
        <f t="shared" si="2"/>
        <v/>
      </c>
      <c r="C1294" s="57"/>
      <c r="D1294" s="10" t="str">
        <f>IFERROR(__xludf.DUMMYFUNCTION("IF(COUNTA(C1294:C1350)=0,"""",IF(ISBLANK(C1294),FALSE,IF(NOT(COUNTIF($AA$24:$AA$34,SUBSTITUTE(C1294,""Sell_"",""""))),1,IF(REGEXMATCH(C1294,""Sell_""),IF(COUNTIF(C$4:C1294,SUBSTITUTE(C1294,""Sell_"",""""))-COUNTIF(C$4:C1293,C1294)&lt;1,1),FALSE))))"),"")</f>
        <v/>
      </c>
      <c r="E1294" s="59" t="str">
        <f t="array" ref="E1294">IF(COUNTA(C1294:C1350)=0,"",SUM((COUNTIF(C$4:C1294,Upgrades!$B$3:$B$13)-COUNTIF(C$4:C1294,"Sell_"&amp;Upgrades!$B$3:$B$13))*Upgrades!$D$3:$D$13))</f>
        <v/>
      </c>
      <c r="F1294" s="66" t="str">
        <f>IFERROR(__xludf.DUMMYFUNCTION("IF(COUNTA(C1294:C1350)=0,"""",IF(REGEXMATCH(INDEX(FILTER(C$4:C1294,C$4:C1294&lt;&gt;""""),ROWS(FILTER(C$4:C1294,C$4:C1294&lt;&gt;""""))),""^Sell_""),INDEX(FILTER(F$4:F1293,C$4:C1293&lt;&gt;""""),ROWS(FILTER(C$4:C1293,C$4:C1293&lt;&gt;""""))),$AC$5+E1294))"),"")</f>
        <v/>
      </c>
      <c r="G1294" s="10" t="str">
        <f>IFERROR(__xludf.DUMMYFUNCTION("IF(COUNTA(C1294:C1350)=0,"""",IF(C1294="""",0,IF(REGEXMATCH(C1294,""^Sell_""),-ROUNDDOWN(ROUNDUP(INDEX(Upgrades!$C$3:$C$13,MATCH(SUBSTITUTE(C1294,""Sell_"",""""),Upgrades!$B$3:$B$13,0))*1.15^(COUNTIF(C$4:C1293,SUBSTITUTE(C1294,""Sell_"",""""))-COUNTIF(C$4"&amp;":C1293,""Sell_""&amp;SUBSTITUTE(C1294,""Sell_"",""""))))/2),ROUNDUP(INDEX(Upgrades!$C$3:$C$13,MATCH(C1294,Upgrades!$B$3:$B$13,0))*1.15^(COUNTIF(C$4:C1293,C1294)-COUNTIF(C$4:C1293,""Sell_""&amp;C1294))))))"),"")</f>
        <v/>
      </c>
      <c r="H1294" s="10" t="str">
        <f t="shared" si="3"/>
        <v/>
      </c>
      <c r="I1294" s="68" t="str">
        <f t="shared" si="4"/>
        <v/>
      </c>
      <c r="J1294" s="59" t="str">
        <f t="shared" si="5"/>
        <v/>
      </c>
      <c r="K1294" s="69" t="str">
        <f t="shared" si="6"/>
        <v/>
      </c>
      <c r="L1294" s="60" t="str">
        <f t="shared" si="7"/>
        <v/>
      </c>
      <c r="M1294" s="61" t="str">
        <f>IFERROR(__xludf.DUMMYFUNCTION("IFS(AND(COUNTA(C1294:C1350)=0,COUNTA(Q1294:Q1350)=0),"""",OR(AND(K1294&gt;=1000000000,OR(Y1294&gt;=1000000000,COUNTA(Q1294:Q1350)=0)),OR(Y1294&gt;=1000000000,AND(COUNTA(C1294:C1350)=0,P$3=TRUE))),
ROUNDDOWN((AB$1-AC$1)*MAX(INDEX(T$4:T1350,MATCH(LARGE(FILTER(Y$4:Y1"&amp;"350,Y$4:Y1350&lt;1000000000),1),Y$4:Y1350)),INDEX(F$4:F1350,MATCH(LARGE(FILTER(K$4:K1350,K$4:K1350&lt;1000000000),1),K$4:K1350)))),AND(K1294&lt;1000000000,COUNTA(C1294:C1350)&gt;0,P$3=FALSE),
ROUNDDOWN(INDEX(Y$4:Y1350,MATCH(LARGE(FILTER(W$4:W1350,W$4:W1350&lt;=I1294),1)"&amp;",W$4:W1350))+(I1294-LARGE(FILTER(W$4:W1350,W$4:W1350&lt;=I1294),1))*INDEX(T$4:T1350,MATCH(LARGE(FILTER(W$4:W1350,W$4:W1350&lt;=I1294),1),W$4:W1350))-K1294),1,
ROUNDDOWN(Y1294-INDEX(K$4:K1350,MATCH(LARGE(FILTER(I$4:I1350,I$4:I1350&lt;=W1294),1),I$4:I1350))-(W1294-L"&amp;"ARGE(FILTER(I$4:I1350,I$4:I1350&lt;=W1294),1))*INDEX(F$4:F1350,MATCH(LARGE(FILTER(I$4:I1350,I$4:I1350&lt;=W1294),1),I$4:I1350))))"),"")</f>
        <v/>
      </c>
      <c r="N1294" s="60" t="str">
        <f t="shared" si="8"/>
        <v/>
      </c>
      <c r="O1294" s="61" t="str">
        <f t="shared" si="9"/>
        <v/>
      </c>
      <c r="P1294" s="56" t="str">
        <f t="shared" si="10"/>
        <v/>
      </c>
      <c r="Q1294" s="62"/>
      <c r="R1294" s="10" t="str">
        <f>IFERROR(__xludf.DUMMYFUNCTION("IF(COUNTA(Q1294:Q1350)=0,"""",IF(ISBLANK(Q1294),FALSE,IF(NOT(COUNTIF($AA$24:$AA$34,SUBSTITUTE(Q1294,""Sell_"",""""))),1,IF(REGEXMATCH(Q1294,""Sell_""),IF(COUNTIF(Q$4:Q1294,SUBSTITUTE(Q1294,""Sell_"",""""))-COUNTIF(Q$4:Q1293,Q1294)&lt;1,1),FALSE))))"),"")</f>
        <v/>
      </c>
      <c r="S1294" s="59" t="str">
        <f t="array" ref="S1294">IF(COUNTA(Q1294:Q1350)=0,"",SUM((COUNTIF(Q$4:Q1294,Upgrades!$B$3:$B$13)-COUNTIF(Q$4:Q1294,"Sell_"&amp;Upgrades!$B$3:$B$13))*Upgrades!$D$3:$D$13))</f>
        <v/>
      </c>
      <c r="T1294" s="66" t="str">
        <f>IFERROR(__xludf.DUMMYFUNCTION("IF(COUNTA(Q1294:Q1350)=0,"""",IF(REGEXMATCH(INDEX(FILTER(Q$4:Q1294,Q$4:Q1294&lt;&gt;""""),ROWS(FILTER(Q$4:Q1294,Q$4:Q1294&lt;&gt;""""))),""^Sell_""),INDEX(FILTER(T$4:T1293,Q$4:Q1293&lt;&gt;""""),ROWS(FILTER(Q$4:Q1293,Q$4:Q1293&lt;&gt;""""))),$AD$5+S1294))"),"")</f>
        <v/>
      </c>
      <c r="U1294" s="10" t="str">
        <f>IFERROR(__xludf.DUMMYFUNCTION("IF(COUNTA(Q1294:Q1350)=0,"""",IF(Q1294="""",0,IF(REGEXMATCH(Q1294,""^Sell_""),-ROUNDDOWN(ROUNDUP(INDEX(Upgrades!$C$3:$C$13,MATCH(SUBSTITUTE(Q1294,""Sell_"",""""),Upgrades!$B$3:$B$13,0))*1.15^(COUNTIF(Q$4:Q1293,SUBSTITUTE(Q1294,""Sell_"",""""))-COUNTIF(Q$4"&amp;":Q1293,""Sell_""&amp;SUBSTITUTE(Q1294,""Sell_"",""""))))/2),ROUNDUP(INDEX(Upgrades!$C$3:$C$13,MATCH(Q1294,Upgrades!$B$3:$B$13,0))*1.15^(COUNTIF(Q$4:Q1293,Q1294)-COUNTIF(Q$4:Q1293,""Sell_""&amp;Q1294))))))"),"")</f>
        <v/>
      </c>
      <c r="V1294" s="10" t="str">
        <f t="shared" si="11"/>
        <v/>
      </c>
      <c r="W1294" s="68" t="str">
        <f t="shared" si="12"/>
        <v/>
      </c>
      <c r="X1294" s="59" t="str">
        <f t="shared" si="13"/>
        <v/>
      </c>
      <c r="Y1294" s="69" t="str">
        <f t="shared" si="14"/>
        <v/>
      </c>
      <c r="Z1294" s="11"/>
    </row>
    <row r="1295">
      <c r="A1295" s="8"/>
      <c r="B1295" s="56" t="str">
        <f t="shared" si="2"/>
        <v/>
      </c>
      <c r="C1295" s="57"/>
      <c r="D1295" s="10" t="str">
        <f>IFERROR(__xludf.DUMMYFUNCTION("IF(COUNTA(C1295:C1350)=0,"""",IF(ISBLANK(C1295),FALSE,IF(NOT(COUNTIF($AA$24:$AA$34,SUBSTITUTE(C1295,""Sell_"",""""))),1,IF(REGEXMATCH(C1295,""Sell_""),IF(COUNTIF(C$4:C1295,SUBSTITUTE(C1295,""Sell_"",""""))-COUNTIF(C$4:C1294,C1295)&lt;1,1),FALSE))))"),"")</f>
        <v/>
      </c>
      <c r="E1295" s="59" t="str">
        <f t="array" ref="E1295">IF(COUNTA(C1295:C1350)=0,"",SUM((COUNTIF(C$4:C1295,Upgrades!$B$3:$B$13)-COUNTIF(C$4:C1295,"Sell_"&amp;Upgrades!$B$3:$B$13))*Upgrades!$D$3:$D$13))</f>
        <v/>
      </c>
      <c r="F1295" s="66" t="str">
        <f>IFERROR(__xludf.DUMMYFUNCTION("IF(COUNTA(C1295:C1350)=0,"""",IF(REGEXMATCH(INDEX(FILTER(C$4:C1295,C$4:C1295&lt;&gt;""""),ROWS(FILTER(C$4:C1295,C$4:C1295&lt;&gt;""""))),""^Sell_""),INDEX(FILTER(F$4:F1294,C$4:C1294&lt;&gt;""""),ROWS(FILTER(C$4:C1294,C$4:C1294&lt;&gt;""""))),$AC$5+E1295))"),"")</f>
        <v/>
      </c>
      <c r="G1295" s="10" t="str">
        <f>IFERROR(__xludf.DUMMYFUNCTION("IF(COUNTA(C1295:C1350)=0,"""",IF(C1295="""",0,IF(REGEXMATCH(C1295,""^Sell_""),-ROUNDDOWN(ROUNDUP(INDEX(Upgrades!$C$3:$C$13,MATCH(SUBSTITUTE(C1295,""Sell_"",""""),Upgrades!$B$3:$B$13,0))*1.15^(COUNTIF(C$4:C1294,SUBSTITUTE(C1295,""Sell_"",""""))-COUNTIF(C$4"&amp;":C1294,""Sell_""&amp;SUBSTITUTE(C1295,""Sell_"",""""))))/2),ROUNDUP(INDEX(Upgrades!$C$3:$C$13,MATCH(C1295,Upgrades!$B$3:$B$13,0))*1.15^(COUNTIF(C$4:C1294,C1295)-COUNTIF(C$4:C1294,""Sell_""&amp;C1295))))))"),"")</f>
        <v/>
      </c>
      <c r="H1295" s="10" t="str">
        <f t="shared" si="3"/>
        <v/>
      </c>
      <c r="I1295" s="68" t="str">
        <f t="shared" si="4"/>
        <v/>
      </c>
      <c r="J1295" s="59" t="str">
        <f t="shared" si="5"/>
        <v/>
      </c>
      <c r="K1295" s="69" t="str">
        <f t="shared" si="6"/>
        <v/>
      </c>
      <c r="L1295" s="60" t="str">
        <f t="shared" si="7"/>
        <v/>
      </c>
      <c r="M1295" s="61" t="str">
        <f>IFERROR(__xludf.DUMMYFUNCTION("IFS(AND(COUNTA(C1295:C1350)=0,COUNTA(Q1295:Q1350)=0),"""",OR(AND(K1295&gt;=1000000000,OR(Y1295&gt;=1000000000,COUNTA(Q1295:Q1350)=0)),OR(Y1295&gt;=1000000000,AND(COUNTA(C1295:C1350)=0,P$3=TRUE))),
ROUNDDOWN((AB$1-AC$1)*MAX(INDEX(T$4:T1350,MATCH(LARGE(FILTER(Y$4:Y1"&amp;"350,Y$4:Y1350&lt;1000000000),1),Y$4:Y1350)),INDEX(F$4:F1350,MATCH(LARGE(FILTER(K$4:K1350,K$4:K1350&lt;1000000000),1),K$4:K1350)))),AND(K1295&lt;1000000000,COUNTA(C1295:C1350)&gt;0,P$3=FALSE),
ROUNDDOWN(INDEX(Y$4:Y1350,MATCH(LARGE(FILTER(W$4:W1350,W$4:W1350&lt;=I1295),1)"&amp;",W$4:W1350))+(I1295-LARGE(FILTER(W$4:W1350,W$4:W1350&lt;=I1295),1))*INDEX(T$4:T1350,MATCH(LARGE(FILTER(W$4:W1350,W$4:W1350&lt;=I1295),1),W$4:W1350))-K1295),1,
ROUNDDOWN(Y1295-INDEX(K$4:K1350,MATCH(LARGE(FILTER(I$4:I1350,I$4:I1350&lt;=W1295),1),I$4:I1350))-(W1295-L"&amp;"ARGE(FILTER(I$4:I1350,I$4:I1350&lt;=W1295),1))*INDEX(F$4:F1350,MATCH(LARGE(FILTER(I$4:I1350,I$4:I1350&lt;=W1295),1),I$4:I1350))))"),"")</f>
        <v/>
      </c>
      <c r="N1295" s="60" t="str">
        <f t="shared" si="8"/>
        <v/>
      </c>
      <c r="O1295" s="61" t="str">
        <f t="shared" si="9"/>
        <v/>
      </c>
      <c r="P1295" s="56" t="str">
        <f t="shared" si="10"/>
        <v/>
      </c>
      <c r="Q1295" s="62"/>
      <c r="R1295" s="10" t="str">
        <f>IFERROR(__xludf.DUMMYFUNCTION("IF(COUNTA(Q1295:Q1350)=0,"""",IF(ISBLANK(Q1295),FALSE,IF(NOT(COUNTIF($AA$24:$AA$34,SUBSTITUTE(Q1295,""Sell_"",""""))),1,IF(REGEXMATCH(Q1295,""Sell_""),IF(COUNTIF(Q$4:Q1295,SUBSTITUTE(Q1295,""Sell_"",""""))-COUNTIF(Q$4:Q1294,Q1295)&lt;1,1),FALSE))))"),"")</f>
        <v/>
      </c>
      <c r="S1295" s="59" t="str">
        <f t="array" ref="S1295">IF(COUNTA(Q1295:Q1350)=0,"",SUM((COUNTIF(Q$4:Q1295,Upgrades!$B$3:$B$13)-COUNTIF(Q$4:Q1295,"Sell_"&amp;Upgrades!$B$3:$B$13))*Upgrades!$D$3:$D$13))</f>
        <v/>
      </c>
      <c r="T1295" s="66" t="str">
        <f>IFERROR(__xludf.DUMMYFUNCTION("IF(COUNTA(Q1295:Q1350)=0,"""",IF(REGEXMATCH(INDEX(FILTER(Q$4:Q1295,Q$4:Q1295&lt;&gt;""""),ROWS(FILTER(Q$4:Q1295,Q$4:Q1295&lt;&gt;""""))),""^Sell_""),INDEX(FILTER(T$4:T1294,Q$4:Q1294&lt;&gt;""""),ROWS(FILTER(Q$4:Q1294,Q$4:Q1294&lt;&gt;""""))),$AD$5+S1295))"),"")</f>
        <v/>
      </c>
      <c r="U1295" s="10" t="str">
        <f>IFERROR(__xludf.DUMMYFUNCTION("IF(COUNTA(Q1295:Q1350)=0,"""",IF(Q1295="""",0,IF(REGEXMATCH(Q1295,""^Sell_""),-ROUNDDOWN(ROUNDUP(INDEX(Upgrades!$C$3:$C$13,MATCH(SUBSTITUTE(Q1295,""Sell_"",""""),Upgrades!$B$3:$B$13,0))*1.15^(COUNTIF(Q$4:Q1294,SUBSTITUTE(Q1295,""Sell_"",""""))-COUNTIF(Q$4"&amp;":Q1294,""Sell_""&amp;SUBSTITUTE(Q1295,""Sell_"",""""))))/2),ROUNDUP(INDEX(Upgrades!$C$3:$C$13,MATCH(Q1295,Upgrades!$B$3:$B$13,0))*1.15^(COUNTIF(Q$4:Q1294,Q1295)-COUNTIF(Q$4:Q1294,""Sell_""&amp;Q1295))))))"),"")</f>
        <v/>
      </c>
      <c r="V1295" s="10" t="str">
        <f t="shared" si="11"/>
        <v/>
      </c>
      <c r="W1295" s="68" t="str">
        <f t="shared" si="12"/>
        <v/>
      </c>
      <c r="X1295" s="59" t="str">
        <f t="shared" si="13"/>
        <v/>
      </c>
      <c r="Y1295" s="69" t="str">
        <f t="shared" si="14"/>
        <v/>
      </c>
      <c r="Z1295" s="11"/>
    </row>
    <row r="1296">
      <c r="A1296" s="8"/>
      <c r="B1296" s="56" t="str">
        <f t="shared" si="2"/>
        <v/>
      </c>
      <c r="C1296" s="57"/>
      <c r="D1296" s="10" t="str">
        <f>IFERROR(__xludf.DUMMYFUNCTION("IF(COUNTA(C1296:C1350)=0,"""",IF(ISBLANK(C1296),FALSE,IF(NOT(COUNTIF($AA$24:$AA$34,SUBSTITUTE(C1296,""Sell_"",""""))),1,IF(REGEXMATCH(C1296,""Sell_""),IF(COUNTIF(C$4:C1296,SUBSTITUTE(C1296,""Sell_"",""""))-COUNTIF(C$4:C1295,C1296)&lt;1,1),FALSE))))"),"")</f>
        <v/>
      </c>
      <c r="E1296" s="59" t="str">
        <f t="array" ref="E1296">IF(COUNTA(C1296:C1350)=0,"",SUM((COUNTIF(C$4:C1296,Upgrades!$B$3:$B$13)-COUNTIF(C$4:C1296,"Sell_"&amp;Upgrades!$B$3:$B$13))*Upgrades!$D$3:$D$13))</f>
        <v/>
      </c>
      <c r="F1296" s="66" t="str">
        <f>IFERROR(__xludf.DUMMYFUNCTION("IF(COUNTA(C1296:C1350)=0,"""",IF(REGEXMATCH(INDEX(FILTER(C$4:C1296,C$4:C1296&lt;&gt;""""),ROWS(FILTER(C$4:C1296,C$4:C1296&lt;&gt;""""))),""^Sell_""),INDEX(FILTER(F$4:F1295,C$4:C1295&lt;&gt;""""),ROWS(FILTER(C$4:C1295,C$4:C1295&lt;&gt;""""))),$AC$5+E1296))"),"")</f>
        <v/>
      </c>
      <c r="G1296" s="10" t="str">
        <f>IFERROR(__xludf.DUMMYFUNCTION("IF(COUNTA(C1296:C1350)=0,"""",IF(C1296="""",0,IF(REGEXMATCH(C1296,""^Sell_""),-ROUNDDOWN(ROUNDUP(INDEX(Upgrades!$C$3:$C$13,MATCH(SUBSTITUTE(C1296,""Sell_"",""""),Upgrades!$B$3:$B$13,0))*1.15^(COUNTIF(C$4:C1295,SUBSTITUTE(C1296,""Sell_"",""""))-COUNTIF(C$4"&amp;":C1295,""Sell_""&amp;SUBSTITUTE(C1296,""Sell_"",""""))))/2),ROUNDUP(INDEX(Upgrades!$C$3:$C$13,MATCH(C1296,Upgrades!$B$3:$B$13,0))*1.15^(COUNTIF(C$4:C1295,C1296)-COUNTIF(C$4:C1295,""Sell_""&amp;C1296))))))"),"")</f>
        <v/>
      </c>
      <c r="H1296" s="10" t="str">
        <f t="shared" si="3"/>
        <v/>
      </c>
      <c r="I1296" s="68" t="str">
        <f t="shared" si="4"/>
        <v/>
      </c>
      <c r="J1296" s="59" t="str">
        <f t="shared" si="5"/>
        <v/>
      </c>
      <c r="K1296" s="69" t="str">
        <f t="shared" si="6"/>
        <v/>
      </c>
      <c r="L1296" s="60" t="str">
        <f t="shared" si="7"/>
        <v/>
      </c>
      <c r="M1296" s="61" t="str">
        <f>IFERROR(__xludf.DUMMYFUNCTION("IFS(AND(COUNTA(C1296:C1350)=0,COUNTA(Q1296:Q1350)=0),"""",OR(AND(K1296&gt;=1000000000,OR(Y1296&gt;=1000000000,COUNTA(Q1296:Q1350)=0)),OR(Y1296&gt;=1000000000,AND(COUNTA(C1296:C1350)=0,P$3=TRUE))),
ROUNDDOWN((AB$1-AC$1)*MAX(INDEX(T$4:T1350,MATCH(LARGE(FILTER(Y$4:Y1"&amp;"350,Y$4:Y1350&lt;1000000000),1),Y$4:Y1350)),INDEX(F$4:F1350,MATCH(LARGE(FILTER(K$4:K1350,K$4:K1350&lt;1000000000),1),K$4:K1350)))),AND(K1296&lt;1000000000,COUNTA(C1296:C1350)&gt;0,P$3=FALSE),
ROUNDDOWN(INDEX(Y$4:Y1350,MATCH(LARGE(FILTER(W$4:W1350,W$4:W1350&lt;=I1296),1)"&amp;",W$4:W1350))+(I1296-LARGE(FILTER(W$4:W1350,W$4:W1350&lt;=I1296),1))*INDEX(T$4:T1350,MATCH(LARGE(FILTER(W$4:W1350,W$4:W1350&lt;=I1296),1),W$4:W1350))-K1296),1,
ROUNDDOWN(Y1296-INDEX(K$4:K1350,MATCH(LARGE(FILTER(I$4:I1350,I$4:I1350&lt;=W1296),1),I$4:I1350))-(W1296-L"&amp;"ARGE(FILTER(I$4:I1350,I$4:I1350&lt;=W1296),1))*INDEX(F$4:F1350,MATCH(LARGE(FILTER(I$4:I1350,I$4:I1350&lt;=W1296),1),I$4:I1350))))"),"")</f>
        <v/>
      </c>
      <c r="N1296" s="60" t="str">
        <f t="shared" si="8"/>
        <v/>
      </c>
      <c r="O1296" s="61" t="str">
        <f t="shared" si="9"/>
        <v/>
      </c>
      <c r="P1296" s="56" t="str">
        <f t="shared" si="10"/>
        <v/>
      </c>
      <c r="Q1296" s="62"/>
      <c r="R1296" s="10" t="str">
        <f>IFERROR(__xludf.DUMMYFUNCTION("IF(COUNTA(Q1296:Q1350)=0,"""",IF(ISBLANK(Q1296),FALSE,IF(NOT(COUNTIF($AA$24:$AA$34,SUBSTITUTE(Q1296,""Sell_"",""""))),1,IF(REGEXMATCH(Q1296,""Sell_""),IF(COUNTIF(Q$4:Q1296,SUBSTITUTE(Q1296,""Sell_"",""""))-COUNTIF(Q$4:Q1295,Q1296)&lt;1,1),FALSE))))"),"")</f>
        <v/>
      </c>
      <c r="S1296" s="59" t="str">
        <f t="array" ref="S1296">IF(COUNTA(Q1296:Q1350)=0,"",SUM((COUNTIF(Q$4:Q1296,Upgrades!$B$3:$B$13)-COUNTIF(Q$4:Q1296,"Sell_"&amp;Upgrades!$B$3:$B$13))*Upgrades!$D$3:$D$13))</f>
        <v/>
      </c>
      <c r="T1296" s="66" t="str">
        <f>IFERROR(__xludf.DUMMYFUNCTION("IF(COUNTA(Q1296:Q1350)=0,"""",IF(REGEXMATCH(INDEX(FILTER(Q$4:Q1296,Q$4:Q1296&lt;&gt;""""),ROWS(FILTER(Q$4:Q1296,Q$4:Q1296&lt;&gt;""""))),""^Sell_""),INDEX(FILTER(T$4:T1295,Q$4:Q1295&lt;&gt;""""),ROWS(FILTER(Q$4:Q1295,Q$4:Q1295&lt;&gt;""""))),$AD$5+S1296))"),"")</f>
        <v/>
      </c>
      <c r="U1296" s="10" t="str">
        <f>IFERROR(__xludf.DUMMYFUNCTION("IF(COUNTA(Q1296:Q1350)=0,"""",IF(Q1296="""",0,IF(REGEXMATCH(Q1296,""^Sell_""),-ROUNDDOWN(ROUNDUP(INDEX(Upgrades!$C$3:$C$13,MATCH(SUBSTITUTE(Q1296,""Sell_"",""""),Upgrades!$B$3:$B$13,0))*1.15^(COUNTIF(Q$4:Q1295,SUBSTITUTE(Q1296,""Sell_"",""""))-COUNTIF(Q$4"&amp;":Q1295,""Sell_""&amp;SUBSTITUTE(Q1296,""Sell_"",""""))))/2),ROUNDUP(INDEX(Upgrades!$C$3:$C$13,MATCH(Q1296,Upgrades!$B$3:$B$13,0))*1.15^(COUNTIF(Q$4:Q1295,Q1296)-COUNTIF(Q$4:Q1295,""Sell_""&amp;Q1296))))))"),"")</f>
        <v/>
      </c>
      <c r="V1296" s="10" t="str">
        <f t="shared" si="11"/>
        <v/>
      </c>
      <c r="W1296" s="68" t="str">
        <f t="shared" si="12"/>
        <v/>
      </c>
      <c r="X1296" s="59" t="str">
        <f t="shared" si="13"/>
        <v/>
      </c>
      <c r="Y1296" s="69" t="str">
        <f t="shared" si="14"/>
        <v/>
      </c>
      <c r="Z1296" s="11"/>
    </row>
    <row r="1297">
      <c r="A1297" s="8"/>
      <c r="B1297" s="56" t="str">
        <f t="shared" si="2"/>
        <v/>
      </c>
      <c r="C1297" s="57"/>
      <c r="D1297" s="10" t="str">
        <f>IFERROR(__xludf.DUMMYFUNCTION("IF(COUNTA(C1297:C1350)=0,"""",IF(ISBLANK(C1297),FALSE,IF(NOT(COUNTIF($AA$24:$AA$34,SUBSTITUTE(C1297,""Sell_"",""""))),1,IF(REGEXMATCH(C1297,""Sell_""),IF(COUNTIF(C$4:C1297,SUBSTITUTE(C1297,""Sell_"",""""))-COUNTIF(C$4:C1296,C1297)&lt;1,1),FALSE))))"),"")</f>
        <v/>
      </c>
      <c r="E1297" s="59" t="str">
        <f t="array" ref="E1297">IF(COUNTA(C1297:C1350)=0,"",SUM((COUNTIF(C$4:C1297,Upgrades!$B$3:$B$13)-COUNTIF(C$4:C1297,"Sell_"&amp;Upgrades!$B$3:$B$13))*Upgrades!$D$3:$D$13))</f>
        <v/>
      </c>
      <c r="F1297" s="66" t="str">
        <f>IFERROR(__xludf.DUMMYFUNCTION("IF(COUNTA(C1297:C1350)=0,"""",IF(REGEXMATCH(INDEX(FILTER(C$4:C1297,C$4:C1297&lt;&gt;""""),ROWS(FILTER(C$4:C1297,C$4:C1297&lt;&gt;""""))),""^Sell_""),INDEX(FILTER(F$4:F1296,C$4:C1296&lt;&gt;""""),ROWS(FILTER(C$4:C1296,C$4:C1296&lt;&gt;""""))),$AC$5+E1297))"),"")</f>
        <v/>
      </c>
      <c r="G1297" s="10" t="str">
        <f>IFERROR(__xludf.DUMMYFUNCTION("IF(COUNTA(C1297:C1350)=0,"""",IF(C1297="""",0,IF(REGEXMATCH(C1297,""^Sell_""),-ROUNDDOWN(ROUNDUP(INDEX(Upgrades!$C$3:$C$13,MATCH(SUBSTITUTE(C1297,""Sell_"",""""),Upgrades!$B$3:$B$13,0))*1.15^(COUNTIF(C$4:C1296,SUBSTITUTE(C1297,""Sell_"",""""))-COUNTIF(C$4"&amp;":C1296,""Sell_""&amp;SUBSTITUTE(C1297,""Sell_"",""""))))/2),ROUNDUP(INDEX(Upgrades!$C$3:$C$13,MATCH(C1297,Upgrades!$B$3:$B$13,0))*1.15^(COUNTIF(C$4:C1296,C1297)-COUNTIF(C$4:C1296,""Sell_""&amp;C1297))))))"),"")</f>
        <v/>
      </c>
      <c r="H1297" s="10" t="str">
        <f t="shared" si="3"/>
        <v/>
      </c>
      <c r="I1297" s="68" t="str">
        <f t="shared" si="4"/>
        <v/>
      </c>
      <c r="J1297" s="59" t="str">
        <f t="shared" si="5"/>
        <v/>
      </c>
      <c r="K1297" s="69" t="str">
        <f t="shared" si="6"/>
        <v/>
      </c>
      <c r="L1297" s="60" t="str">
        <f t="shared" si="7"/>
        <v/>
      </c>
      <c r="M1297" s="61" t="str">
        <f>IFERROR(__xludf.DUMMYFUNCTION("IFS(AND(COUNTA(C1297:C1350)=0,COUNTA(Q1297:Q1350)=0),"""",OR(AND(K1297&gt;=1000000000,OR(Y1297&gt;=1000000000,COUNTA(Q1297:Q1350)=0)),OR(Y1297&gt;=1000000000,AND(COUNTA(C1297:C1350)=0,P$3=TRUE))),
ROUNDDOWN((AB$1-AC$1)*MAX(INDEX(T$4:T1350,MATCH(LARGE(FILTER(Y$4:Y1"&amp;"350,Y$4:Y1350&lt;1000000000),1),Y$4:Y1350)),INDEX(F$4:F1350,MATCH(LARGE(FILTER(K$4:K1350,K$4:K1350&lt;1000000000),1),K$4:K1350)))),AND(K1297&lt;1000000000,COUNTA(C1297:C1350)&gt;0,P$3=FALSE),
ROUNDDOWN(INDEX(Y$4:Y1350,MATCH(LARGE(FILTER(W$4:W1350,W$4:W1350&lt;=I1297),1)"&amp;",W$4:W1350))+(I1297-LARGE(FILTER(W$4:W1350,W$4:W1350&lt;=I1297),1))*INDEX(T$4:T1350,MATCH(LARGE(FILTER(W$4:W1350,W$4:W1350&lt;=I1297),1),W$4:W1350))-K1297),1,
ROUNDDOWN(Y1297-INDEX(K$4:K1350,MATCH(LARGE(FILTER(I$4:I1350,I$4:I1350&lt;=W1297),1),I$4:I1350))-(W1297-L"&amp;"ARGE(FILTER(I$4:I1350,I$4:I1350&lt;=W1297),1))*INDEX(F$4:F1350,MATCH(LARGE(FILTER(I$4:I1350,I$4:I1350&lt;=W1297),1),I$4:I1350))))"),"")</f>
        <v/>
      </c>
      <c r="N1297" s="60" t="str">
        <f t="shared" si="8"/>
        <v/>
      </c>
      <c r="O1297" s="61" t="str">
        <f t="shared" si="9"/>
        <v/>
      </c>
      <c r="P1297" s="56" t="str">
        <f t="shared" si="10"/>
        <v/>
      </c>
      <c r="Q1297" s="62"/>
      <c r="R1297" s="10" t="str">
        <f>IFERROR(__xludf.DUMMYFUNCTION("IF(COUNTA(Q1297:Q1350)=0,"""",IF(ISBLANK(Q1297),FALSE,IF(NOT(COUNTIF($AA$24:$AA$34,SUBSTITUTE(Q1297,""Sell_"",""""))),1,IF(REGEXMATCH(Q1297,""Sell_""),IF(COUNTIF(Q$4:Q1297,SUBSTITUTE(Q1297,""Sell_"",""""))-COUNTIF(Q$4:Q1296,Q1297)&lt;1,1),FALSE))))"),"")</f>
        <v/>
      </c>
      <c r="S1297" s="59" t="str">
        <f t="array" ref="S1297">IF(COUNTA(Q1297:Q1350)=0,"",SUM((COUNTIF(Q$4:Q1297,Upgrades!$B$3:$B$13)-COUNTIF(Q$4:Q1297,"Sell_"&amp;Upgrades!$B$3:$B$13))*Upgrades!$D$3:$D$13))</f>
        <v/>
      </c>
      <c r="T1297" s="66" t="str">
        <f>IFERROR(__xludf.DUMMYFUNCTION("IF(COUNTA(Q1297:Q1350)=0,"""",IF(REGEXMATCH(INDEX(FILTER(Q$4:Q1297,Q$4:Q1297&lt;&gt;""""),ROWS(FILTER(Q$4:Q1297,Q$4:Q1297&lt;&gt;""""))),""^Sell_""),INDEX(FILTER(T$4:T1296,Q$4:Q1296&lt;&gt;""""),ROWS(FILTER(Q$4:Q1296,Q$4:Q1296&lt;&gt;""""))),$AD$5+S1297))"),"")</f>
        <v/>
      </c>
      <c r="U1297" s="10" t="str">
        <f>IFERROR(__xludf.DUMMYFUNCTION("IF(COUNTA(Q1297:Q1350)=0,"""",IF(Q1297="""",0,IF(REGEXMATCH(Q1297,""^Sell_""),-ROUNDDOWN(ROUNDUP(INDEX(Upgrades!$C$3:$C$13,MATCH(SUBSTITUTE(Q1297,""Sell_"",""""),Upgrades!$B$3:$B$13,0))*1.15^(COUNTIF(Q$4:Q1296,SUBSTITUTE(Q1297,""Sell_"",""""))-COUNTIF(Q$4"&amp;":Q1296,""Sell_""&amp;SUBSTITUTE(Q1297,""Sell_"",""""))))/2),ROUNDUP(INDEX(Upgrades!$C$3:$C$13,MATCH(Q1297,Upgrades!$B$3:$B$13,0))*1.15^(COUNTIF(Q$4:Q1296,Q1297)-COUNTIF(Q$4:Q1296,""Sell_""&amp;Q1297))))))"),"")</f>
        <v/>
      </c>
      <c r="V1297" s="10" t="str">
        <f t="shared" si="11"/>
        <v/>
      </c>
      <c r="W1297" s="68" t="str">
        <f t="shared" si="12"/>
        <v/>
      </c>
      <c r="X1297" s="59" t="str">
        <f t="shared" si="13"/>
        <v/>
      </c>
      <c r="Y1297" s="69" t="str">
        <f t="shared" si="14"/>
        <v/>
      </c>
      <c r="Z1297" s="11"/>
    </row>
    <row r="1298">
      <c r="A1298" s="8"/>
      <c r="B1298" s="56" t="str">
        <f t="shared" si="2"/>
        <v/>
      </c>
      <c r="C1298" s="57"/>
      <c r="D1298" s="10" t="str">
        <f>IFERROR(__xludf.DUMMYFUNCTION("IF(COUNTA(C1298:C1350)=0,"""",IF(ISBLANK(C1298),FALSE,IF(NOT(COUNTIF($AA$24:$AA$34,SUBSTITUTE(C1298,""Sell_"",""""))),1,IF(REGEXMATCH(C1298,""Sell_""),IF(COUNTIF(C$4:C1298,SUBSTITUTE(C1298,""Sell_"",""""))-COUNTIF(C$4:C1297,C1298)&lt;1,1),FALSE))))"),"")</f>
        <v/>
      </c>
      <c r="E1298" s="59" t="str">
        <f t="array" ref="E1298">IF(COUNTA(C1298:C1350)=0,"",SUM((COUNTIF(C$4:C1298,Upgrades!$B$3:$B$13)-COUNTIF(C$4:C1298,"Sell_"&amp;Upgrades!$B$3:$B$13))*Upgrades!$D$3:$D$13))</f>
        <v/>
      </c>
      <c r="F1298" s="66" t="str">
        <f>IFERROR(__xludf.DUMMYFUNCTION("IF(COUNTA(C1298:C1350)=0,"""",IF(REGEXMATCH(INDEX(FILTER(C$4:C1298,C$4:C1298&lt;&gt;""""),ROWS(FILTER(C$4:C1298,C$4:C1298&lt;&gt;""""))),""^Sell_""),INDEX(FILTER(F$4:F1297,C$4:C1297&lt;&gt;""""),ROWS(FILTER(C$4:C1297,C$4:C1297&lt;&gt;""""))),$AC$5+E1298))"),"")</f>
        <v/>
      </c>
      <c r="G1298" s="10" t="str">
        <f>IFERROR(__xludf.DUMMYFUNCTION("IF(COUNTA(C1298:C1350)=0,"""",IF(C1298="""",0,IF(REGEXMATCH(C1298,""^Sell_""),-ROUNDDOWN(ROUNDUP(INDEX(Upgrades!$C$3:$C$13,MATCH(SUBSTITUTE(C1298,""Sell_"",""""),Upgrades!$B$3:$B$13,0))*1.15^(COUNTIF(C$4:C1297,SUBSTITUTE(C1298,""Sell_"",""""))-COUNTIF(C$4"&amp;":C1297,""Sell_""&amp;SUBSTITUTE(C1298,""Sell_"",""""))))/2),ROUNDUP(INDEX(Upgrades!$C$3:$C$13,MATCH(C1298,Upgrades!$B$3:$B$13,0))*1.15^(COUNTIF(C$4:C1297,C1298)-COUNTIF(C$4:C1297,""Sell_""&amp;C1298))))))"),"")</f>
        <v/>
      </c>
      <c r="H1298" s="10" t="str">
        <f t="shared" si="3"/>
        <v/>
      </c>
      <c r="I1298" s="68" t="str">
        <f t="shared" si="4"/>
        <v/>
      </c>
      <c r="J1298" s="59" t="str">
        <f t="shared" si="5"/>
        <v/>
      </c>
      <c r="K1298" s="69" t="str">
        <f t="shared" si="6"/>
        <v/>
      </c>
      <c r="L1298" s="60" t="str">
        <f t="shared" si="7"/>
        <v/>
      </c>
      <c r="M1298" s="61" t="str">
        <f>IFERROR(__xludf.DUMMYFUNCTION("IFS(AND(COUNTA(C1298:C1350)=0,COUNTA(Q1298:Q1350)=0),"""",OR(AND(K1298&gt;=1000000000,OR(Y1298&gt;=1000000000,COUNTA(Q1298:Q1350)=0)),OR(Y1298&gt;=1000000000,AND(COUNTA(C1298:C1350)=0,P$3=TRUE))),
ROUNDDOWN((AB$1-AC$1)*MAX(INDEX(T$4:T1350,MATCH(LARGE(FILTER(Y$4:Y1"&amp;"350,Y$4:Y1350&lt;1000000000),1),Y$4:Y1350)),INDEX(F$4:F1350,MATCH(LARGE(FILTER(K$4:K1350,K$4:K1350&lt;1000000000),1),K$4:K1350)))),AND(K1298&lt;1000000000,COUNTA(C1298:C1350)&gt;0,P$3=FALSE),
ROUNDDOWN(INDEX(Y$4:Y1350,MATCH(LARGE(FILTER(W$4:W1350,W$4:W1350&lt;=I1298),1)"&amp;",W$4:W1350))+(I1298-LARGE(FILTER(W$4:W1350,W$4:W1350&lt;=I1298),1))*INDEX(T$4:T1350,MATCH(LARGE(FILTER(W$4:W1350,W$4:W1350&lt;=I1298),1),W$4:W1350))-K1298),1,
ROUNDDOWN(Y1298-INDEX(K$4:K1350,MATCH(LARGE(FILTER(I$4:I1350,I$4:I1350&lt;=W1298),1),I$4:I1350))-(W1298-L"&amp;"ARGE(FILTER(I$4:I1350,I$4:I1350&lt;=W1298),1))*INDEX(F$4:F1350,MATCH(LARGE(FILTER(I$4:I1350,I$4:I1350&lt;=W1298),1),I$4:I1350))))"),"")</f>
        <v/>
      </c>
      <c r="N1298" s="60" t="str">
        <f t="shared" si="8"/>
        <v/>
      </c>
      <c r="O1298" s="61" t="str">
        <f t="shared" si="9"/>
        <v/>
      </c>
      <c r="P1298" s="56" t="str">
        <f t="shared" si="10"/>
        <v/>
      </c>
      <c r="Q1298" s="62"/>
      <c r="R1298" s="10" t="str">
        <f>IFERROR(__xludf.DUMMYFUNCTION("IF(COUNTA(Q1298:Q1350)=0,"""",IF(ISBLANK(Q1298),FALSE,IF(NOT(COUNTIF($AA$24:$AA$34,SUBSTITUTE(Q1298,""Sell_"",""""))),1,IF(REGEXMATCH(Q1298,""Sell_""),IF(COUNTIF(Q$4:Q1298,SUBSTITUTE(Q1298,""Sell_"",""""))-COUNTIF(Q$4:Q1297,Q1298)&lt;1,1),FALSE))))"),"")</f>
        <v/>
      </c>
      <c r="S1298" s="59" t="str">
        <f t="array" ref="S1298">IF(COUNTA(Q1298:Q1350)=0,"",SUM((COUNTIF(Q$4:Q1298,Upgrades!$B$3:$B$13)-COUNTIF(Q$4:Q1298,"Sell_"&amp;Upgrades!$B$3:$B$13))*Upgrades!$D$3:$D$13))</f>
        <v/>
      </c>
      <c r="T1298" s="66" t="str">
        <f>IFERROR(__xludf.DUMMYFUNCTION("IF(COUNTA(Q1298:Q1350)=0,"""",IF(REGEXMATCH(INDEX(FILTER(Q$4:Q1298,Q$4:Q1298&lt;&gt;""""),ROWS(FILTER(Q$4:Q1298,Q$4:Q1298&lt;&gt;""""))),""^Sell_""),INDEX(FILTER(T$4:T1297,Q$4:Q1297&lt;&gt;""""),ROWS(FILTER(Q$4:Q1297,Q$4:Q1297&lt;&gt;""""))),$AD$5+S1298))"),"")</f>
        <v/>
      </c>
      <c r="U1298" s="10" t="str">
        <f>IFERROR(__xludf.DUMMYFUNCTION("IF(COUNTA(Q1298:Q1350)=0,"""",IF(Q1298="""",0,IF(REGEXMATCH(Q1298,""^Sell_""),-ROUNDDOWN(ROUNDUP(INDEX(Upgrades!$C$3:$C$13,MATCH(SUBSTITUTE(Q1298,""Sell_"",""""),Upgrades!$B$3:$B$13,0))*1.15^(COUNTIF(Q$4:Q1297,SUBSTITUTE(Q1298,""Sell_"",""""))-COUNTIF(Q$4"&amp;":Q1297,""Sell_""&amp;SUBSTITUTE(Q1298,""Sell_"",""""))))/2),ROUNDUP(INDEX(Upgrades!$C$3:$C$13,MATCH(Q1298,Upgrades!$B$3:$B$13,0))*1.15^(COUNTIF(Q$4:Q1297,Q1298)-COUNTIF(Q$4:Q1297,""Sell_""&amp;Q1298))))))"),"")</f>
        <v/>
      </c>
      <c r="V1298" s="10" t="str">
        <f t="shared" si="11"/>
        <v/>
      </c>
      <c r="W1298" s="68" t="str">
        <f t="shared" si="12"/>
        <v/>
      </c>
      <c r="X1298" s="59" t="str">
        <f t="shared" si="13"/>
        <v/>
      </c>
      <c r="Y1298" s="69" t="str">
        <f t="shared" si="14"/>
        <v/>
      </c>
      <c r="Z1298" s="11"/>
    </row>
    <row r="1299">
      <c r="A1299" s="8"/>
      <c r="B1299" s="56" t="str">
        <f t="shared" si="2"/>
        <v/>
      </c>
      <c r="C1299" s="57"/>
      <c r="D1299" s="10" t="str">
        <f>IFERROR(__xludf.DUMMYFUNCTION("IF(COUNTA(C1299:C1350)=0,"""",IF(ISBLANK(C1299),FALSE,IF(NOT(COUNTIF($AA$24:$AA$34,SUBSTITUTE(C1299,""Sell_"",""""))),1,IF(REGEXMATCH(C1299,""Sell_""),IF(COUNTIF(C$4:C1299,SUBSTITUTE(C1299,""Sell_"",""""))-COUNTIF(C$4:C1298,C1299)&lt;1,1),FALSE))))"),"")</f>
        <v/>
      </c>
      <c r="E1299" s="59" t="str">
        <f t="array" ref="E1299">IF(COUNTA(C1299:C1350)=0,"",SUM((COUNTIF(C$4:C1299,Upgrades!$B$3:$B$13)-COUNTIF(C$4:C1299,"Sell_"&amp;Upgrades!$B$3:$B$13))*Upgrades!$D$3:$D$13))</f>
        <v/>
      </c>
      <c r="F1299" s="66" t="str">
        <f>IFERROR(__xludf.DUMMYFUNCTION("IF(COUNTA(C1299:C1350)=0,"""",IF(REGEXMATCH(INDEX(FILTER(C$4:C1299,C$4:C1299&lt;&gt;""""),ROWS(FILTER(C$4:C1299,C$4:C1299&lt;&gt;""""))),""^Sell_""),INDEX(FILTER(F$4:F1298,C$4:C1298&lt;&gt;""""),ROWS(FILTER(C$4:C1298,C$4:C1298&lt;&gt;""""))),$AC$5+E1299))"),"")</f>
        <v/>
      </c>
      <c r="G1299" s="10" t="str">
        <f>IFERROR(__xludf.DUMMYFUNCTION("IF(COUNTA(C1299:C1350)=0,"""",IF(C1299="""",0,IF(REGEXMATCH(C1299,""^Sell_""),-ROUNDDOWN(ROUNDUP(INDEX(Upgrades!$C$3:$C$13,MATCH(SUBSTITUTE(C1299,""Sell_"",""""),Upgrades!$B$3:$B$13,0))*1.15^(COUNTIF(C$4:C1298,SUBSTITUTE(C1299,""Sell_"",""""))-COUNTIF(C$4"&amp;":C1298,""Sell_""&amp;SUBSTITUTE(C1299,""Sell_"",""""))))/2),ROUNDUP(INDEX(Upgrades!$C$3:$C$13,MATCH(C1299,Upgrades!$B$3:$B$13,0))*1.15^(COUNTIF(C$4:C1298,C1299)-COUNTIF(C$4:C1298,""Sell_""&amp;C1299))))))"),"")</f>
        <v/>
      </c>
      <c r="H1299" s="10" t="str">
        <f t="shared" si="3"/>
        <v/>
      </c>
      <c r="I1299" s="68" t="str">
        <f t="shared" si="4"/>
        <v/>
      </c>
      <c r="J1299" s="59" t="str">
        <f t="shared" si="5"/>
        <v/>
      </c>
      <c r="K1299" s="69" t="str">
        <f t="shared" si="6"/>
        <v/>
      </c>
      <c r="L1299" s="60" t="str">
        <f t="shared" si="7"/>
        <v/>
      </c>
      <c r="M1299" s="61" t="str">
        <f>IFERROR(__xludf.DUMMYFUNCTION("IFS(AND(COUNTA(C1299:C1350)=0,COUNTA(Q1299:Q1350)=0),"""",OR(AND(K1299&gt;=1000000000,OR(Y1299&gt;=1000000000,COUNTA(Q1299:Q1350)=0)),OR(Y1299&gt;=1000000000,AND(COUNTA(C1299:C1350)=0,P$3=TRUE))),
ROUNDDOWN((AB$1-AC$1)*MAX(INDEX(T$4:T1350,MATCH(LARGE(FILTER(Y$4:Y1"&amp;"350,Y$4:Y1350&lt;1000000000),1),Y$4:Y1350)),INDEX(F$4:F1350,MATCH(LARGE(FILTER(K$4:K1350,K$4:K1350&lt;1000000000),1),K$4:K1350)))),AND(K1299&lt;1000000000,COUNTA(C1299:C1350)&gt;0,P$3=FALSE),
ROUNDDOWN(INDEX(Y$4:Y1350,MATCH(LARGE(FILTER(W$4:W1350,W$4:W1350&lt;=I1299),1)"&amp;",W$4:W1350))+(I1299-LARGE(FILTER(W$4:W1350,W$4:W1350&lt;=I1299),1))*INDEX(T$4:T1350,MATCH(LARGE(FILTER(W$4:W1350,W$4:W1350&lt;=I1299),1),W$4:W1350))-K1299),1,
ROUNDDOWN(Y1299-INDEX(K$4:K1350,MATCH(LARGE(FILTER(I$4:I1350,I$4:I1350&lt;=W1299),1),I$4:I1350))-(W1299-L"&amp;"ARGE(FILTER(I$4:I1350,I$4:I1350&lt;=W1299),1))*INDEX(F$4:F1350,MATCH(LARGE(FILTER(I$4:I1350,I$4:I1350&lt;=W1299),1),I$4:I1350))))"),"")</f>
        <v/>
      </c>
      <c r="N1299" s="60" t="str">
        <f t="shared" si="8"/>
        <v/>
      </c>
      <c r="O1299" s="61" t="str">
        <f t="shared" si="9"/>
        <v/>
      </c>
      <c r="P1299" s="56" t="str">
        <f t="shared" si="10"/>
        <v/>
      </c>
      <c r="Q1299" s="62"/>
      <c r="R1299" s="10" t="str">
        <f>IFERROR(__xludf.DUMMYFUNCTION("IF(COUNTA(Q1299:Q1350)=0,"""",IF(ISBLANK(Q1299),FALSE,IF(NOT(COUNTIF($AA$24:$AA$34,SUBSTITUTE(Q1299,""Sell_"",""""))),1,IF(REGEXMATCH(Q1299,""Sell_""),IF(COUNTIF(Q$4:Q1299,SUBSTITUTE(Q1299,""Sell_"",""""))-COUNTIF(Q$4:Q1298,Q1299)&lt;1,1),FALSE))))"),"")</f>
        <v/>
      </c>
      <c r="S1299" s="59" t="str">
        <f t="array" ref="S1299">IF(COUNTA(Q1299:Q1350)=0,"",SUM((COUNTIF(Q$4:Q1299,Upgrades!$B$3:$B$13)-COUNTIF(Q$4:Q1299,"Sell_"&amp;Upgrades!$B$3:$B$13))*Upgrades!$D$3:$D$13))</f>
        <v/>
      </c>
      <c r="T1299" s="66" t="str">
        <f>IFERROR(__xludf.DUMMYFUNCTION("IF(COUNTA(Q1299:Q1350)=0,"""",IF(REGEXMATCH(INDEX(FILTER(Q$4:Q1299,Q$4:Q1299&lt;&gt;""""),ROWS(FILTER(Q$4:Q1299,Q$4:Q1299&lt;&gt;""""))),""^Sell_""),INDEX(FILTER(T$4:T1298,Q$4:Q1298&lt;&gt;""""),ROWS(FILTER(Q$4:Q1298,Q$4:Q1298&lt;&gt;""""))),$AD$5+S1299))"),"")</f>
        <v/>
      </c>
      <c r="U1299" s="10" t="str">
        <f>IFERROR(__xludf.DUMMYFUNCTION("IF(COUNTA(Q1299:Q1350)=0,"""",IF(Q1299="""",0,IF(REGEXMATCH(Q1299,""^Sell_""),-ROUNDDOWN(ROUNDUP(INDEX(Upgrades!$C$3:$C$13,MATCH(SUBSTITUTE(Q1299,""Sell_"",""""),Upgrades!$B$3:$B$13,0))*1.15^(COUNTIF(Q$4:Q1298,SUBSTITUTE(Q1299,""Sell_"",""""))-COUNTIF(Q$4"&amp;":Q1298,""Sell_""&amp;SUBSTITUTE(Q1299,""Sell_"",""""))))/2),ROUNDUP(INDEX(Upgrades!$C$3:$C$13,MATCH(Q1299,Upgrades!$B$3:$B$13,0))*1.15^(COUNTIF(Q$4:Q1298,Q1299)-COUNTIF(Q$4:Q1298,""Sell_""&amp;Q1299))))))"),"")</f>
        <v/>
      </c>
      <c r="V1299" s="10" t="str">
        <f t="shared" si="11"/>
        <v/>
      </c>
      <c r="W1299" s="68" t="str">
        <f t="shared" si="12"/>
        <v/>
      </c>
      <c r="X1299" s="59" t="str">
        <f t="shared" si="13"/>
        <v/>
      </c>
      <c r="Y1299" s="69" t="str">
        <f t="shared" si="14"/>
        <v/>
      </c>
      <c r="Z1299" s="11"/>
    </row>
    <row r="1300">
      <c r="A1300" s="8"/>
      <c r="B1300" s="56" t="str">
        <f t="shared" si="2"/>
        <v/>
      </c>
      <c r="C1300" s="57"/>
      <c r="D1300" s="10" t="str">
        <f>IFERROR(__xludf.DUMMYFUNCTION("IF(COUNTA(C1300:C1350)=0,"""",IF(ISBLANK(C1300),FALSE,IF(NOT(COUNTIF($AA$24:$AA$34,SUBSTITUTE(C1300,""Sell_"",""""))),1,IF(REGEXMATCH(C1300,""Sell_""),IF(COUNTIF(C$4:C1300,SUBSTITUTE(C1300,""Sell_"",""""))-COUNTIF(C$4:C1299,C1300)&lt;1,1),FALSE))))"),"")</f>
        <v/>
      </c>
      <c r="E1300" s="59" t="str">
        <f t="array" ref="E1300">IF(COUNTA(C1300:C1350)=0,"",SUM((COUNTIF(C$4:C1300,Upgrades!$B$3:$B$13)-COUNTIF(C$4:C1300,"Sell_"&amp;Upgrades!$B$3:$B$13))*Upgrades!$D$3:$D$13))</f>
        <v/>
      </c>
      <c r="F1300" s="66" t="str">
        <f>IFERROR(__xludf.DUMMYFUNCTION("IF(COUNTA(C1300:C1350)=0,"""",IF(REGEXMATCH(INDEX(FILTER(C$4:C1300,C$4:C1300&lt;&gt;""""),ROWS(FILTER(C$4:C1300,C$4:C1300&lt;&gt;""""))),""^Sell_""),INDEX(FILTER(F$4:F1299,C$4:C1299&lt;&gt;""""),ROWS(FILTER(C$4:C1299,C$4:C1299&lt;&gt;""""))),$AC$5+E1300))"),"")</f>
        <v/>
      </c>
      <c r="G1300" s="10" t="str">
        <f>IFERROR(__xludf.DUMMYFUNCTION("IF(COUNTA(C1300:C1350)=0,"""",IF(C1300="""",0,IF(REGEXMATCH(C1300,""^Sell_""),-ROUNDDOWN(ROUNDUP(INDEX(Upgrades!$C$3:$C$13,MATCH(SUBSTITUTE(C1300,""Sell_"",""""),Upgrades!$B$3:$B$13,0))*1.15^(COUNTIF(C$4:C1299,SUBSTITUTE(C1300,""Sell_"",""""))-COUNTIF(C$4"&amp;":C1299,""Sell_""&amp;SUBSTITUTE(C1300,""Sell_"",""""))))/2),ROUNDUP(INDEX(Upgrades!$C$3:$C$13,MATCH(C1300,Upgrades!$B$3:$B$13,0))*1.15^(COUNTIF(C$4:C1299,C1300)-COUNTIF(C$4:C1299,""Sell_""&amp;C1300))))))"),"")</f>
        <v/>
      </c>
      <c r="H1300" s="10" t="str">
        <f t="shared" si="3"/>
        <v/>
      </c>
      <c r="I1300" s="68" t="str">
        <f t="shared" si="4"/>
        <v/>
      </c>
      <c r="J1300" s="59" t="str">
        <f t="shared" si="5"/>
        <v/>
      </c>
      <c r="K1300" s="69" t="str">
        <f t="shared" si="6"/>
        <v/>
      </c>
      <c r="L1300" s="60" t="str">
        <f t="shared" si="7"/>
        <v/>
      </c>
      <c r="M1300" s="61" t="str">
        <f>IFERROR(__xludf.DUMMYFUNCTION("IFS(AND(COUNTA(C1300:C1350)=0,COUNTA(Q1300:Q1350)=0),"""",OR(AND(K1300&gt;=1000000000,OR(Y1300&gt;=1000000000,COUNTA(Q1300:Q1350)=0)),OR(Y1300&gt;=1000000000,AND(COUNTA(C1300:C1350)=0,P$3=TRUE))),
ROUNDDOWN((AB$1-AC$1)*MAX(INDEX(T$4:T1350,MATCH(LARGE(FILTER(Y$4:Y1"&amp;"350,Y$4:Y1350&lt;1000000000),1),Y$4:Y1350)),INDEX(F$4:F1350,MATCH(LARGE(FILTER(K$4:K1350,K$4:K1350&lt;1000000000),1),K$4:K1350)))),AND(K1300&lt;1000000000,COUNTA(C1300:C1350)&gt;0,P$3=FALSE),
ROUNDDOWN(INDEX(Y$4:Y1350,MATCH(LARGE(FILTER(W$4:W1350,W$4:W1350&lt;=I1300),1)"&amp;",W$4:W1350))+(I1300-LARGE(FILTER(W$4:W1350,W$4:W1350&lt;=I1300),1))*INDEX(T$4:T1350,MATCH(LARGE(FILTER(W$4:W1350,W$4:W1350&lt;=I1300),1),W$4:W1350))-K1300),1,
ROUNDDOWN(Y1300-INDEX(K$4:K1350,MATCH(LARGE(FILTER(I$4:I1350,I$4:I1350&lt;=W1300),1),I$4:I1350))-(W1300-L"&amp;"ARGE(FILTER(I$4:I1350,I$4:I1350&lt;=W1300),1))*INDEX(F$4:F1350,MATCH(LARGE(FILTER(I$4:I1350,I$4:I1350&lt;=W1300),1),I$4:I1350))))"),"")</f>
        <v/>
      </c>
      <c r="N1300" s="60" t="str">
        <f t="shared" si="8"/>
        <v/>
      </c>
      <c r="O1300" s="61" t="str">
        <f t="shared" si="9"/>
        <v/>
      </c>
      <c r="P1300" s="56" t="str">
        <f t="shared" si="10"/>
        <v/>
      </c>
      <c r="Q1300" s="62"/>
      <c r="R1300" s="10" t="str">
        <f>IFERROR(__xludf.DUMMYFUNCTION("IF(COUNTA(Q1300:Q1350)=0,"""",IF(ISBLANK(Q1300),FALSE,IF(NOT(COUNTIF($AA$24:$AA$34,SUBSTITUTE(Q1300,""Sell_"",""""))),1,IF(REGEXMATCH(Q1300,""Sell_""),IF(COUNTIF(Q$4:Q1300,SUBSTITUTE(Q1300,""Sell_"",""""))-COUNTIF(Q$4:Q1299,Q1300)&lt;1,1),FALSE))))"),"")</f>
        <v/>
      </c>
      <c r="S1300" s="59" t="str">
        <f t="array" ref="S1300">IF(COUNTA(Q1300:Q1350)=0,"",SUM((COUNTIF(Q$4:Q1300,Upgrades!$B$3:$B$13)-COUNTIF(Q$4:Q1300,"Sell_"&amp;Upgrades!$B$3:$B$13))*Upgrades!$D$3:$D$13))</f>
        <v/>
      </c>
      <c r="T1300" s="66" t="str">
        <f>IFERROR(__xludf.DUMMYFUNCTION("IF(COUNTA(Q1300:Q1350)=0,"""",IF(REGEXMATCH(INDEX(FILTER(Q$4:Q1300,Q$4:Q1300&lt;&gt;""""),ROWS(FILTER(Q$4:Q1300,Q$4:Q1300&lt;&gt;""""))),""^Sell_""),INDEX(FILTER(T$4:T1299,Q$4:Q1299&lt;&gt;""""),ROWS(FILTER(Q$4:Q1299,Q$4:Q1299&lt;&gt;""""))),$AD$5+S1300))"),"")</f>
        <v/>
      </c>
      <c r="U1300" s="10" t="str">
        <f>IFERROR(__xludf.DUMMYFUNCTION("IF(COUNTA(Q1300:Q1350)=0,"""",IF(Q1300="""",0,IF(REGEXMATCH(Q1300,""^Sell_""),-ROUNDDOWN(ROUNDUP(INDEX(Upgrades!$C$3:$C$13,MATCH(SUBSTITUTE(Q1300,""Sell_"",""""),Upgrades!$B$3:$B$13,0))*1.15^(COUNTIF(Q$4:Q1299,SUBSTITUTE(Q1300,""Sell_"",""""))-COUNTIF(Q$4"&amp;":Q1299,""Sell_""&amp;SUBSTITUTE(Q1300,""Sell_"",""""))))/2),ROUNDUP(INDEX(Upgrades!$C$3:$C$13,MATCH(Q1300,Upgrades!$B$3:$B$13,0))*1.15^(COUNTIF(Q$4:Q1299,Q1300)-COUNTIF(Q$4:Q1299,""Sell_""&amp;Q1300))))))"),"")</f>
        <v/>
      </c>
      <c r="V1300" s="10" t="str">
        <f t="shared" si="11"/>
        <v/>
      </c>
      <c r="W1300" s="68" t="str">
        <f t="shared" si="12"/>
        <v/>
      </c>
      <c r="X1300" s="59" t="str">
        <f t="shared" si="13"/>
        <v/>
      </c>
      <c r="Y1300" s="69" t="str">
        <f t="shared" si="14"/>
        <v/>
      </c>
      <c r="Z1300" s="11"/>
    </row>
    <row r="1301">
      <c r="A1301" s="8"/>
      <c r="B1301" s="56" t="str">
        <f t="shared" si="2"/>
        <v/>
      </c>
      <c r="C1301" s="57"/>
      <c r="D1301" s="10" t="str">
        <f>IFERROR(__xludf.DUMMYFUNCTION("IF(COUNTA(C1301:C1350)=0,"""",IF(ISBLANK(C1301),FALSE,IF(NOT(COUNTIF($AA$24:$AA$34,SUBSTITUTE(C1301,""Sell_"",""""))),1,IF(REGEXMATCH(C1301,""Sell_""),IF(COUNTIF(C$4:C1301,SUBSTITUTE(C1301,""Sell_"",""""))-COUNTIF(C$4:C1300,C1301)&lt;1,1),FALSE))))"),"")</f>
        <v/>
      </c>
      <c r="E1301" s="59" t="str">
        <f t="array" ref="E1301">IF(COUNTA(C1301:C1350)=0,"",SUM((COUNTIF(C$4:C1301,Upgrades!$B$3:$B$13)-COUNTIF(C$4:C1301,"Sell_"&amp;Upgrades!$B$3:$B$13))*Upgrades!$D$3:$D$13))</f>
        <v/>
      </c>
      <c r="F1301" s="66" t="str">
        <f>IFERROR(__xludf.DUMMYFUNCTION("IF(COUNTA(C1301:C1350)=0,"""",IF(REGEXMATCH(INDEX(FILTER(C$4:C1301,C$4:C1301&lt;&gt;""""),ROWS(FILTER(C$4:C1301,C$4:C1301&lt;&gt;""""))),""^Sell_""),INDEX(FILTER(F$4:F1300,C$4:C1300&lt;&gt;""""),ROWS(FILTER(C$4:C1300,C$4:C1300&lt;&gt;""""))),$AC$5+E1301))"),"")</f>
        <v/>
      </c>
      <c r="G1301" s="10" t="str">
        <f>IFERROR(__xludf.DUMMYFUNCTION("IF(COUNTA(C1301:C1350)=0,"""",IF(C1301="""",0,IF(REGEXMATCH(C1301,""^Sell_""),-ROUNDDOWN(ROUNDUP(INDEX(Upgrades!$C$3:$C$13,MATCH(SUBSTITUTE(C1301,""Sell_"",""""),Upgrades!$B$3:$B$13,0))*1.15^(COUNTIF(C$4:C1300,SUBSTITUTE(C1301,""Sell_"",""""))-COUNTIF(C$4"&amp;":C1300,""Sell_""&amp;SUBSTITUTE(C1301,""Sell_"",""""))))/2),ROUNDUP(INDEX(Upgrades!$C$3:$C$13,MATCH(C1301,Upgrades!$B$3:$B$13,0))*1.15^(COUNTIF(C$4:C1300,C1301)-COUNTIF(C$4:C1300,""Sell_""&amp;C1301))))))"),"")</f>
        <v/>
      </c>
      <c r="H1301" s="10" t="str">
        <f t="shared" si="3"/>
        <v/>
      </c>
      <c r="I1301" s="68" t="str">
        <f t="shared" si="4"/>
        <v/>
      </c>
      <c r="J1301" s="59" t="str">
        <f t="shared" si="5"/>
        <v/>
      </c>
      <c r="K1301" s="69" t="str">
        <f t="shared" si="6"/>
        <v/>
      </c>
      <c r="L1301" s="60" t="str">
        <f t="shared" si="7"/>
        <v/>
      </c>
      <c r="M1301" s="61" t="str">
        <f>IFERROR(__xludf.DUMMYFUNCTION("IFS(AND(COUNTA(C1301:C1350)=0,COUNTA(Q1301:Q1350)=0),"""",OR(AND(K1301&gt;=1000000000,OR(Y1301&gt;=1000000000,COUNTA(Q1301:Q1350)=0)),OR(Y1301&gt;=1000000000,AND(COUNTA(C1301:C1350)=0,P$3=TRUE))),
ROUNDDOWN((AB$1-AC$1)*MAX(INDEX(T$4:T1350,MATCH(LARGE(FILTER(Y$4:Y1"&amp;"350,Y$4:Y1350&lt;1000000000),1),Y$4:Y1350)),INDEX(F$4:F1350,MATCH(LARGE(FILTER(K$4:K1350,K$4:K1350&lt;1000000000),1),K$4:K1350)))),AND(K1301&lt;1000000000,COUNTA(C1301:C1350)&gt;0,P$3=FALSE),
ROUNDDOWN(INDEX(Y$4:Y1350,MATCH(LARGE(FILTER(W$4:W1350,W$4:W1350&lt;=I1301),1)"&amp;",W$4:W1350))+(I1301-LARGE(FILTER(W$4:W1350,W$4:W1350&lt;=I1301),1))*INDEX(T$4:T1350,MATCH(LARGE(FILTER(W$4:W1350,W$4:W1350&lt;=I1301),1),W$4:W1350))-K1301),1,
ROUNDDOWN(Y1301-INDEX(K$4:K1350,MATCH(LARGE(FILTER(I$4:I1350,I$4:I1350&lt;=W1301),1),I$4:I1350))-(W1301-L"&amp;"ARGE(FILTER(I$4:I1350,I$4:I1350&lt;=W1301),1))*INDEX(F$4:F1350,MATCH(LARGE(FILTER(I$4:I1350,I$4:I1350&lt;=W1301),1),I$4:I1350))))"),"")</f>
        <v/>
      </c>
      <c r="N1301" s="60" t="str">
        <f t="shared" si="8"/>
        <v/>
      </c>
      <c r="O1301" s="61" t="str">
        <f t="shared" si="9"/>
        <v/>
      </c>
      <c r="P1301" s="56" t="str">
        <f t="shared" si="10"/>
        <v/>
      </c>
      <c r="Q1301" s="62"/>
      <c r="R1301" s="10" t="str">
        <f>IFERROR(__xludf.DUMMYFUNCTION("IF(COUNTA(Q1301:Q1350)=0,"""",IF(ISBLANK(Q1301),FALSE,IF(NOT(COUNTIF($AA$24:$AA$34,SUBSTITUTE(Q1301,""Sell_"",""""))),1,IF(REGEXMATCH(Q1301,""Sell_""),IF(COUNTIF(Q$4:Q1301,SUBSTITUTE(Q1301,""Sell_"",""""))-COUNTIF(Q$4:Q1300,Q1301)&lt;1,1),FALSE))))"),"")</f>
        <v/>
      </c>
      <c r="S1301" s="59" t="str">
        <f t="array" ref="S1301">IF(COUNTA(Q1301:Q1350)=0,"",SUM((COUNTIF(Q$4:Q1301,Upgrades!$B$3:$B$13)-COUNTIF(Q$4:Q1301,"Sell_"&amp;Upgrades!$B$3:$B$13))*Upgrades!$D$3:$D$13))</f>
        <v/>
      </c>
      <c r="T1301" s="66" t="str">
        <f>IFERROR(__xludf.DUMMYFUNCTION("IF(COUNTA(Q1301:Q1350)=0,"""",IF(REGEXMATCH(INDEX(FILTER(Q$4:Q1301,Q$4:Q1301&lt;&gt;""""),ROWS(FILTER(Q$4:Q1301,Q$4:Q1301&lt;&gt;""""))),""^Sell_""),INDEX(FILTER(T$4:T1300,Q$4:Q1300&lt;&gt;""""),ROWS(FILTER(Q$4:Q1300,Q$4:Q1300&lt;&gt;""""))),$AD$5+S1301))"),"")</f>
        <v/>
      </c>
      <c r="U1301" s="10" t="str">
        <f>IFERROR(__xludf.DUMMYFUNCTION("IF(COUNTA(Q1301:Q1350)=0,"""",IF(Q1301="""",0,IF(REGEXMATCH(Q1301,""^Sell_""),-ROUNDDOWN(ROUNDUP(INDEX(Upgrades!$C$3:$C$13,MATCH(SUBSTITUTE(Q1301,""Sell_"",""""),Upgrades!$B$3:$B$13,0))*1.15^(COUNTIF(Q$4:Q1300,SUBSTITUTE(Q1301,""Sell_"",""""))-COUNTIF(Q$4"&amp;":Q1300,""Sell_""&amp;SUBSTITUTE(Q1301,""Sell_"",""""))))/2),ROUNDUP(INDEX(Upgrades!$C$3:$C$13,MATCH(Q1301,Upgrades!$B$3:$B$13,0))*1.15^(COUNTIF(Q$4:Q1300,Q1301)-COUNTIF(Q$4:Q1300,""Sell_""&amp;Q1301))))))"),"")</f>
        <v/>
      </c>
      <c r="V1301" s="10" t="str">
        <f t="shared" si="11"/>
        <v/>
      </c>
      <c r="W1301" s="68" t="str">
        <f t="shared" si="12"/>
        <v/>
      </c>
      <c r="X1301" s="59" t="str">
        <f t="shared" si="13"/>
        <v/>
      </c>
      <c r="Y1301" s="69" t="str">
        <f t="shared" si="14"/>
        <v/>
      </c>
      <c r="Z1301" s="11"/>
    </row>
    <row r="1302">
      <c r="A1302" s="8"/>
      <c r="B1302" s="56" t="str">
        <f t="shared" si="2"/>
        <v/>
      </c>
      <c r="C1302" s="57"/>
      <c r="D1302" s="10" t="str">
        <f>IFERROR(__xludf.DUMMYFUNCTION("IF(COUNTA(C1302:C1350)=0,"""",IF(ISBLANK(C1302),FALSE,IF(NOT(COUNTIF($AA$24:$AA$34,SUBSTITUTE(C1302,""Sell_"",""""))),1,IF(REGEXMATCH(C1302,""Sell_""),IF(COUNTIF(C$4:C1302,SUBSTITUTE(C1302,""Sell_"",""""))-COUNTIF(C$4:C1301,C1302)&lt;1,1),FALSE))))"),"")</f>
        <v/>
      </c>
      <c r="E1302" s="59" t="str">
        <f t="array" ref="E1302">IF(COUNTA(C1302:C1350)=0,"",SUM((COUNTIF(C$4:C1302,Upgrades!$B$3:$B$13)-COUNTIF(C$4:C1302,"Sell_"&amp;Upgrades!$B$3:$B$13))*Upgrades!$D$3:$D$13))</f>
        <v/>
      </c>
      <c r="F1302" s="66" t="str">
        <f>IFERROR(__xludf.DUMMYFUNCTION("IF(COUNTA(C1302:C1350)=0,"""",IF(REGEXMATCH(INDEX(FILTER(C$4:C1302,C$4:C1302&lt;&gt;""""),ROWS(FILTER(C$4:C1302,C$4:C1302&lt;&gt;""""))),""^Sell_""),INDEX(FILTER(F$4:F1301,C$4:C1301&lt;&gt;""""),ROWS(FILTER(C$4:C1301,C$4:C1301&lt;&gt;""""))),$AC$5+E1302))"),"")</f>
        <v/>
      </c>
      <c r="G1302" s="10" t="str">
        <f>IFERROR(__xludf.DUMMYFUNCTION("IF(COUNTA(C1302:C1350)=0,"""",IF(C1302="""",0,IF(REGEXMATCH(C1302,""^Sell_""),-ROUNDDOWN(ROUNDUP(INDEX(Upgrades!$C$3:$C$13,MATCH(SUBSTITUTE(C1302,""Sell_"",""""),Upgrades!$B$3:$B$13,0))*1.15^(COUNTIF(C$4:C1301,SUBSTITUTE(C1302,""Sell_"",""""))-COUNTIF(C$4"&amp;":C1301,""Sell_""&amp;SUBSTITUTE(C1302,""Sell_"",""""))))/2),ROUNDUP(INDEX(Upgrades!$C$3:$C$13,MATCH(C1302,Upgrades!$B$3:$B$13,0))*1.15^(COUNTIF(C$4:C1301,C1302)-COUNTIF(C$4:C1301,""Sell_""&amp;C1302))))))"),"")</f>
        <v/>
      </c>
      <c r="H1302" s="10" t="str">
        <f t="shared" si="3"/>
        <v/>
      </c>
      <c r="I1302" s="68" t="str">
        <f t="shared" si="4"/>
        <v/>
      </c>
      <c r="J1302" s="59" t="str">
        <f t="shared" si="5"/>
        <v/>
      </c>
      <c r="K1302" s="69" t="str">
        <f t="shared" si="6"/>
        <v/>
      </c>
      <c r="L1302" s="60" t="str">
        <f t="shared" si="7"/>
        <v/>
      </c>
      <c r="M1302" s="61" t="str">
        <f>IFERROR(__xludf.DUMMYFUNCTION("IFS(AND(COUNTA(C1302:C1350)=0,COUNTA(Q1302:Q1350)=0),"""",OR(AND(K1302&gt;=1000000000,OR(Y1302&gt;=1000000000,COUNTA(Q1302:Q1350)=0)),OR(Y1302&gt;=1000000000,AND(COUNTA(C1302:C1350)=0,P$3=TRUE))),
ROUNDDOWN((AB$1-AC$1)*MAX(INDEX(T$4:T1350,MATCH(LARGE(FILTER(Y$4:Y1"&amp;"350,Y$4:Y1350&lt;1000000000),1),Y$4:Y1350)),INDEX(F$4:F1350,MATCH(LARGE(FILTER(K$4:K1350,K$4:K1350&lt;1000000000),1),K$4:K1350)))),AND(K1302&lt;1000000000,COUNTA(C1302:C1350)&gt;0,P$3=FALSE),
ROUNDDOWN(INDEX(Y$4:Y1350,MATCH(LARGE(FILTER(W$4:W1350,W$4:W1350&lt;=I1302),1)"&amp;",W$4:W1350))+(I1302-LARGE(FILTER(W$4:W1350,W$4:W1350&lt;=I1302),1))*INDEX(T$4:T1350,MATCH(LARGE(FILTER(W$4:W1350,W$4:W1350&lt;=I1302),1),W$4:W1350))-K1302),1,
ROUNDDOWN(Y1302-INDEX(K$4:K1350,MATCH(LARGE(FILTER(I$4:I1350,I$4:I1350&lt;=W1302),1),I$4:I1350))-(W1302-L"&amp;"ARGE(FILTER(I$4:I1350,I$4:I1350&lt;=W1302),1))*INDEX(F$4:F1350,MATCH(LARGE(FILTER(I$4:I1350,I$4:I1350&lt;=W1302),1),I$4:I1350))))"),"")</f>
        <v/>
      </c>
      <c r="N1302" s="60" t="str">
        <f t="shared" si="8"/>
        <v/>
      </c>
      <c r="O1302" s="61" t="str">
        <f t="shared" si="9"/>
        <v/>
      </c>
      <c r="P1302" s="56" t="str">
        <f t="shared" si="10"/>
        <v/>
      </c>
      <c r="Q1302" s="62"/>
      <c r="R1302" s="10" t="str">
        <f>IFERROR(__xludf.DUMMYFUNCTION("IF(COUNTA(Q1302:Q1350)=0,"""",IF(ISBLANK(Q1302),FALSE,IF(NOT(COUNTIF($AA$24:$AA$34,SUBSTITUTE(Q1302,""Sell_"",""""))),1,IF(REGEXMATCH(Q1302,""Sell_""),IF(COUNTIF(Q$4:Q1302,SUBSTITUTE(Q1302,""Sell_"",""""))-COUNTIF(Q$4:Q1301,Q1302)&lt;1,1),FALSE))))"),"")</f>
        <v/>
      </c>
      <c r="S1302" s="59" t="str">
        <f t="array" ref="S1302">IF(COUNTA(Q1302:Q1350)=0,"",SUM((COUNTIF(Q$4:Q1302,Upgrades!$B$3:$B$13)-COUNTIF(Q$4:Q1302,"Sell_"&amp;Upgrades!$B$3:$B$13))*Upgrades!$D$3:$D$13))</f>
        <v/>
      </c>
      <c r="T1302" s="66" t="str">
        <f>IFERROR(__xludf.DUMMYFUNCTION("IF(COUNTA(Q1302:Q1350)=0,"""",IF(REGEXMATCH(INDEX(FILTER(Q$4:Q1302,Q$4:Q1302&lt;&gt;""""),ROWS(FILTER(Q$4:Q1302,Q$4:Q1302&lt;&gt;""""))),""^Sell_""),INDEX(FILTER(T$4:T1301,Q$4:Q1301&lt;&gt;""""),ROWS(FILTER(Q$4:Q1301,Q$4:Q1301&lt;&gt;""""))),$AD$5+S1302))"),"")</f>
        <v/>
      </c>
      <c r="U1302" s="10" t="str">
        <f>IFERROR(__xludf.DUMMYFUNCTION("IF(COUNTA(Q1302:Q1350)=0,"""",IF(Q1302="""",0,IF(REGEXMATCH(Q1302,""^Sell_""),-ROUNDDOWN(ROUNDUP(INDEX(Upgrades!$C$3:$C$13,MATCH(SUBSTITUTE(Q1302,""Sell_"",""""),Upgrades!$B$3:$B$13,0))*1.15^(COUNTIF(Q$4:Q1301,SUBSTITUTE(Q1302,""Sell_"",""""))-COUNTIF(Q$4"&amp;":Q1301,""Sell_""&amp;SUBSTITUTE(Q1302,""Sell_"",""""))))/2),ROUNDUP(INDEX(Upgrades!$C$3:$C$13,MATCH(Q1302,Upgrades!$B$3:$B$13,0))*1.15^(COUNTIF(Q$4:Q1301,Q1302)-COUNTIF(Q$4:Q1301,""Sell_""&amp;Q1302))))))"),"")</f>
        <v/>
      </c>
      <c r="V1302" s="10" t="str">
        <f t="shared" si="11"/>
        <v/>
      </c>
      <c r="W1302" s="68" t="str">
        <f t="shared" si="12"/>
        <v/>
      </c>
      <c r="X1302" s="59" t="str">
        <f t="shared" si="13"/>
        <v/>
      </c>
      <c r="Y1302" s="69" t="str">
        <f t="shared" si="14"/>
        <v/>
      </c>
      <c r="Z1302" s="11"/>
    </row>
    <row r="1303">
      <c r="A1303" s="8"/>
      <c r="B1303" s="56" t="str">
        <f t="shared" si="2"/>
        <v/>
      </c>
      <c r="C1303" s="57"/>
      <c r="D1303" s="10" t="str">
        <f>IFERROR(__xludf.DUMMYFUNCTION("IF(COUNTA(C1303:C1350)=0,"""",IF(ISBLANK(C1303),FALSE,IF(NOT(COUNTIF($AA$24:$AA$34,SUBSTITUTE(C1303,""Sell_"",""""))),1,IF(REGEXMATCH(C1303,""Sell_""),IF(COUNTIF(C$4:C1303,SUBSTITUTE(C1303,""Sell_"",""""))-COUNTIF(C$4:C1302,C1303)&lt;1,1),FALSE))))"),"")</f>
        <v/>
      </c>
      <c r="E1303" s="59" t="str">
        <f t="array" ref="E1303">IF(COUNTA(C1303:C1350)=0,"",SUM((COUNTIF(C$4:C1303,Upgrades!$B$3:$B$13)-COUNTIF(C$4:C1303,"Sell_"&amp;Upgrades!$B$3:$B$13))*Upgrades!$D$3:$D$13))</f>
        <v/>
      </c>
      <c r="F1303" s="66" t="str">
        <f>IFERROR(__xludf.DUMMYFUNCTION("IF(COUNTA(C1303:C1350)=0,"""",IF(REGEXMATCH(INDEX(FILTER(C$4:C1303,C$4:C1303&lt;&gt;""""),ROWS(FILTER(C$4:C1303,C$4:C1303&lt;&gt;""""))),""^Sell_""),INDEX(FILTER(F$4:F1302,C$4:C1302&lt;&gt;""""),ROWS(FILTER(C$4:C1302,C$4:C1302&lt;&gt;""""))),$AC$5+E1303))"),"")</f>
        <v/>
      </c>
      <c r="G1303" s="10" t="str">
        <f>IFERROR(__xludf.DUMMYFUNCTION("IF(COUNTA(C1303:C1350)=0,"""",IF(C1303="""",0,IF(REGEXMATCH(C1303,""^Sell_""),-ROUNDDOWN(ROUNDUP(INDEX(Upgrades!$C$3:$C$13,MATCH(SUBSTITUTE(C1303,""Sell_"",""""),Upgrades!$B$3:$B$13,0))*1.15^(COUNTIF(C$4:C1302,SUBSTITUTE(C1303,""Sell_"",""""))-COUNTIF(C$4"&amp;":C1302,""Sell_""&amp;SUBSTITUTE(C1303,""Sell_"",""""))))/2),ROUNDUP(INDEX(Upgrades!$C$3:$C$13,MATCH(C1303,Upgrades!$B$3:$B$13,0))*1.15^(COUNTIF(C$4:C1302,C1303)-COUNTIF(C$4:C1302,""Sell_""&amp;C1303))))))"),"")</f>
        <v/>
      </c>
      <c r="H1303" s="10" t="str">
        <f t="shared" si="3"/>
        <v/>
      </c>
      <c r="I1303" s="68" t="str">
        <f t="shared" si="4"/>
        <v/>
      </c>
      <c r="J1303" s="59" t="str">
        <f t="shared" si="5"/>
        <v/>
      </c>
      <c r="K1303" s="69" t="str">
        <f t="shared" si="6"/>
        <v/>
      </c>
      <c r="L1303" s="60" t="str">
        <f t="shared" si="7"/>
        <v/>
      </c>
      <c r="M1303" s="61" t="str">
        <f>IFERROR(__xludf.DUMMYFUNCTION("IFS(AND(COUNTA(C1303:C1350)=0,COUNTA(Q1303:Q1350)=0),"""",OR(AND(K1303&gt;=1000000000,OR(Y1303&gt;=1000000000,COUNTA(Q1303:Q1350)=0)),OR(Y1303&gt;=1000000000,AND(COUNTA(C1303:C1350)=0,P$3=TRUE))),
ROUNDDOWN((AB$1-AC$1)*MAX(INDEX(T$4:T1350,MATCH(LARGE(FILTER(Y$4:Y1"&amp;"350,Y$4:Y1350&lt;1000000000),1),Y$4:Y1350)),INDEX(F$4:F1350,MATCH(LARGE(FILTER(K$4:K1350,K$4:K1350&lt;1000000000),1),K$4:K1350)))),AND(K1303&lt;1000000000,COUNTA(C1303:C1350)&gt;0,P$3=FALSE),
ROUNDDOWN(INDEX(Y$4:Y1350,MATCH(LARGE(FILTER(W$4:W1350,W$4:W1350&lt;=I1303),1)"&amp;",W$4:W1350))+(I1303-LARGE(FILTER(W$4:W1350,W$4:W1350&lt;=I1303),1))*INDEX(T$4:T1350,MATCH(LARGE(FILTER(W$4:W1350,W$4:W1350&lt;=I1303),1),W$4:W1350))-K1303),1,
ROUNDDOWN(Y1303-INDEX(K$4:K1350,MATCH(LARGE(FILTER(I$4:I1350,I$4:I1350&lt;=W1303),1),I$4:I1350))-(W1303-L"&amp;"ARGE(FILTER(I$4:I1350,I$4:I1350&lt;=W1303),1))*INDEX(F$4:F1350,MATCH(LARGE(FILTER(I$4:I1350,I$4:I1350&lt;=W1303),1),I$4:I1350))))"),"")</f>
        <v/>
      </c>
      <c r="N1303" s="60" t="str">
        <f t="shared" si="8"/>
        <v/>
      </c>
      <c r="O1303" s="61" t="str">
        <f t="shared" si="9"/>
        <v/>
      </c>
      <c r="P1303" s="56" t="str">
        <f t="shared" si="10"/>
        <v/>
      </c>
      <c r="Q1303" s="62"/>
      <c r="R1303" s="10" t="str">
        <f>IFERROR(__xludf.DUMMYFUNCTION("IF(COUNTA(Q1303:Q1350)=0,"""",IF(ISBLANK(Q1303),FALSE,IF(NOT(COUNTIF($AA$24:$AA$34,SUBSTITUTE(Q1303,""Sell_"",""""))),1,IF(REGEXMATCH(Q1303,""Sell_""),IF(COUNTIF(Q$4:Q1303,SUBSTITUTE(Q1303,""Sell_"",""""))-COUNTIF(Q$4:Q1302,Q1303)&lt;1,1),FALSE))))"),"")</f>
        <v/>
      </c>
      <c r="S1303" s="59" t="str">
        <f t="array" ref="S1303">IF(COUNTA(Q1303:Q1350)=0,"",SUM((COUNTIF(Q$4:Q1303,Upgrades!$B$3:$B$13)-COUNTIF(Q$4:Q1303,"Sell_"&amp;Upgrades!$B$3:$B$13))*Upgrades!$D$3:$D$13))</f>
        <v/>
      </c>
      <c r="T1303" s="66" t="str">
        <f>IFERROR(__xludf.DUMMYFUNCTION("IF(COUNTA(Q1303:Q1350)=0,"""",IF(REGEXMATCH(INDEX(FILTER(Q$4:Q1303,Q$4:Q1303&lt;&gt;""""),ROWS(FILTER(Q$4:Q1303,Q$4:Q1303&lt;&gt;""""))),""^Sell_""),INDEX(FILTER(T$4:T1302,Q$4:Q1302&lt;&gt;""""),ROWS(FILTER(Q$4:Q1302,Q$4:Q1302&lt;&gt;""""))),$AD$5+S1303))"),"")</f>
        <v/>
      </c>
      <c r="U1303" s="10" t="str">
        <f>IFERROR(__xludf.DUMMYFUNCTION("IF(COUNTA(Q1303:Q1350)=0,"""",IF(Q1303="""",0,IF(REGEXMATCH(Q1303,""^Sell_""),-ROUNDDOWN(ROUNDUP(INDEX(Upgrades!$C$3:$C$13,MATCH(SUBSTITUTE(Q1303,""Sell_"",""""),Upgrades!$B$3:$B$13,0))*1.15^(COUNTIF(Q$4:Q1302,SUBSTITUTE(Q1303,""Sell_"",""""))-COUNTIF(Q$4"&amp;":Q1302,""Sell_""&amp;SUBSTITUTE(Q1303,""Sell_"",""""))))/2),ROUNDUP(INDEX(Upgrades!$C$3:$C$13,MATCH(Q1303,Upgrades!$B$3:$B$13,0))*1.15^(COUNTIF(Q$4:Q1302,Q1303)-COUNTIF(Q$4:Q1302,""Sell_""&amp;Q1303))))))"),"")</f>
        <v/>
      </c>
      <c r="V1303" s="10" t="str">
        <f t="shared" si="11"/>
        <v/>
      </c>
      <c r="W1303" s="68" t="str">
        <f t="shared" si="12"/>
        <v/>
      </c>
      <c r="X1303" s="59" t="str">
        <f t="shared" si="13"/>
        <v/>
      </c>
      <c r="Y1303" s="69" t="str">
        <f t="shared" si="14"/>
        <v/>
      </c>
      <c r="Z1303" s="11"/>
    </row>
    <row r="1304">
      <c r="A1304" s="8"/>
      <c r="B1304" s="56" t="str">
        <f t="shared" si="2"/>
        <v/>
      </c>
      <c r="C1304" s="57"/>
      <c r="D1304" s="10" t="str">
        <f>IFERROR(__xludf.DUMMYFUNCTION("IF(COUNTA(C1304:C1350)=0,"""",IF(ISBLANK(C1304),FALSE,IF(NOT(COUNTIF($AA$24:$AA$34,SUBSTITUTE(C1304,""Sell_"",""""))),1,IF(REGEXMATCH(C1304,""Sell_""),IF(COUNTIF(C$4:C1304,SUBSTITUTE(C1304,""Sell_"",""""))-COUNTIF(C$4:C1303,C1304)&lt;1,1),FALSE))))"),"")</f>
        <v/>
      </c>
      <c r="E1304" s="59" t="str">
        <f t="array" ref="E1304">IF(COUNTA(C1304:C1350)=0,"",SUM((COUNTIF(C$4:C1304,Upgrades!$B$3:$B$13)-COUNTIF(C$4:C1304,"Sell_"&amp;Upgrades!$B$3:$B$13))*Upgrades!$D$3:$D$13))</f>
        <v/>
      </c>
      <c r="F1304" s="66" t="str">
        <f>IFERROR(__xludf.DUMMYFUNCTION("IF(COUNTA(C1304:C1350)=0,"""",IF(REGEXMATCH(INDEX(FILTER(C$4:C1304,C$4:C1304&lt;&gt;""""),ROWS(FILTER(C$4:C1304,C$4:C1304&lt;&gt;""""))),""^Sell_""),INDEX(FILTER(F$4:F1303,C$4:C1303&lt;&gt;""""),ROWS(FILTER(C$4:C1303,C$4:C1303&lt;&gt;""""))),$AC$5+E1304))"),"")</f>
        <v/>
      </c>
      <c r="G1304" s="10" t="str">
        <f>IFERROR(__xludf.DUMMYFUNCTION("IF(COUNTA(C1304:C1350)=0,"""",IF(C1304="""",0,IF(REGEXMATCH(C1304,""^Sell_""),-ROUNDDOWN(ROUNDUP(INDEX(Upgrades!$C$3:$C$13,MATCH(SUBSTITUTE(C1304,""Sell_"",""""),Upgrades!$B$3:$B$13,0))*1.15^(COUNTIF(C$4:C1303,SUBSTITUTE(C1304,""Sell_"",""""))-COUNTIF(C$4"&amp;":C1303,""Sell_""&amp;SUBSTITUTE(C1304,""Sell_"",""""))))/2),ROUNDUP(INDEX(Upgrades!$C$3:$C$13,MATCH(C1304,Upgrades!$B$3:$B$13,0))*1.15^(COUNTIF(C$4:C1303,C1304)-COUNTIF(C$4:C1303,""Sell_""&amp;C1304))))))"),"")</f>
        <v/>
      </c>
      <c r="H1304" s="10" t="str">
        <f t="shared" si="3"/>
        <v/>
      </c>
      <c r="I1304" s="68" t="str">
        <f t="shared" si="4"/>
        <v/>
      </c>
      <c r="J1304" s="59" t="str">
        <f t="shared" si="5"/>
        <v/>
      </c>
      <c r="K1304" s="69" t="str">
        <f t="shared" si="6"/>
        <v/>
      </c>
      <c r="L1304" s="60" t="str">
        <f t="shared" si="7"/>
        <v/>
      </c>
      <c r="M1304" s="61" t="str">
        <f>IFERROR(__xludf.DUMMYFUNCTION("IFS(AND(COUNTA(C1304:C1350)=0,COUNTA(Q1304:Q1350)=0),"""",OR(AND(K1304&gt;=1000000000,OR(Y1304&gt;=1000000000,COUNTA(Q1304:Q1350)=0)),OR(Y1304&gt;=1000000000,AND(COUNTA(C1304:C1350)=0,P$3=TRUE))),
ROUNDDOWN((AB$1-AC$1)*MAX(INDEX(T$4:T1350,MATCH(LARGE(FILTER(Y$4:Y1"&amp;"350,Y$4:Y1350&lt;1000000000),1),Y$4:Y1350)),INDEX(F$4:F1350,MATCH(LARGE(FILTER(K$4:K1350,K$4:K1350&lt;1000000000),1),K$4:K1350)))),AND(K1304&lt;1000000000,COUNTA(C1304:C1350)&gt;0,P$3=FALSE),
ROUNDDOWN(INDEX(Y$4:Y1350,MATCH(LARGE(FILTER(W$4:W1350,W$4:W1350&lt;=I1304),1)"&amp;",W$4:W1350))+(I1304-LARGE(FILTER(W$4:W1350,W$4:W1350&lt;=I1304),1))*INDEX(T$4:T1350,MATCH(LARGE(FILTER(W$4:W1350,W$4:W1350&lt;=I1304),1),W$4:W1350))-K1304),1,
ROUNDDOWN(Y1304-INDEX(K$4:K1350,MATCH(LARGE(FILTER(I$4:I1350,I$4:I1350&lt;=W1304),1),I$4:I1350))-(W1304-L"&amp;"ARGE(FILTER(I$4:I1350,I$4:I1350&lt;=W1304),1))*INDEX(F$4:F1350,MATCH(LARGE(FILTER(I$4:I1350,I$4:I1350&lt;=W1304),1),I$4:I1350))))"),"")</f>
        <v/>
      </c>
      <c r="N1304" s="60" t="str">
        <f t="shared" si="8"/>
        <v/>
      </c>
      <c r="O1304" s="61" t="str">
        <f t="shared" si="9"/>
        <v/>
      </c>
      <c r="P1304" s="56" t="str">
        <f t="shared" si="10"/>
        <v/>
      </c>
      <c r="Q1304" s="62"/>
      <c r="R1304" s="10" t="str">
        <f>IFERROR(__xludf.DUMMYFUNCTION("IF(COUNTA(Q1304:Q1350)=0,"""",IF(ISBLANK(Q1304),FALSE,IF(NOT(COUNTIF($AA$24:$AA$34,SUBSTITUTE(Q1304,""Sell_"",""""))),1,IF(REGEXMATCH(Q1304,""Sell_""),IF(COUNTIF(Q$4:Q1304,SUBSTITUTE(Q1304,""Sell_"",""""))-COUNTIF(Q$4:Q1303,Q1304)&lt;1,1),FALSE))))"),"")</f>
        <v/>
      </c>
      <c r="S1304" s="59" t="str">
        <f t="array" ref="S1304">IF(COUNTA(Q1304:Q1350)=0,"",SUM((COUNTIF(Q$4:Q1304,Upgrades!$B$3:$B$13)-COUNTIF(Q$4:Q1304,"Sell_"&amp;Upgrades!$B$3:$B$13))*Upgrades!$D$3:$D$13))</f>
        <v/>
      </c>
      <c r="T1304" s="66" t="str">
        <f>IFERROR(__xludf.DUMMYFUNCTION("IF(COUNTA(Q1304:Q1350)=0,"""",IF(REGEXMATCH(INDEX(FILTER(Q$4:Q1304,Q$4:Q1304&lt;&gt;""""),ROWS(FILTER(Q$4:Q1304,Q$4:Q1304&lt;&gt;""""))),""^Sell_""),INDEX(FILTER(T$4:T1303,Q$4:Q1303&lt;&gt;""""),ROWS(FILTER(Q$4:Q1303,Q$4:Q1303&lt;&gt;""""))),$AD$5+S1304))"),"")</f>
        <v/>
      </c>
      <c r="U1304" s="10" t="str">
        <f>IFERROR(__xludf.DUMMYFUNCTION("IF(COUNTA(Q1304:Q1350)=0,"""",IF(Q1304="""",0,IF(REGEXMATCH(Q1304,""^Sell_""),-ROUNDDOWN(ROUNDUP(INDEX(Upgrades!$C$3:$C$13,MATCH(SUBSTITUTE(Q1304,""Sell_"",""""),Upgrades!$B$3:$B$13,0))*1.15^(COUNTIF(Q$4:Q1303,SUBSTITUTE(Q1304,""Sell_"",""""))-COUNTIF(Q$4"&amp;":Q1303,""Sell_""&amp;SUBSTITUTE(Q1304,""Sell_"",""""))))/2),ROUNDUP(INDEX(Upgrades!$C$3:$C$13,MATCH(Q1304,Upgrades!$B$3:$B$13,0))*1.15^(COUNTIF(Q$4:Q1303,Q1304)-COUNTIF(Q$4:Q1303,""Sell_""&amp;Q1304))))))"),"")</f>
        <v/>
      </c>
      <c r="V1304" s="10" t="str">
        <f t="shared" si="11"/>
        <v/>
      </c>
      <c r="W1304" s="68" t="str">
        <f t="shared" si="12"/>
        <v/>
      </c>
      <c r="X1304" s="59" t="str">
        <f t="shared" si="13"/>
        <v/>
      </c>
      <c r="Y1304" s="69" t="str">
        <f t="shared" si="14"/>
        <v/>
      </c>
      <c r="Z1304" s="11"/>
    </row>
    <row r="1305">
      <c r="A1305" s="8"/>
      <c r="B1305" s="56" t="str">
        <f t="shared" si="2"/>
        <v/>
      </c>
      <c r="C1305" s="57"/>
      <c r="D1305" s="10" t="str">
        <f>IFERROR(__xludf.DUMMYFUNCTION("IF(COUNTA(C1305:C1350)=0,"""",IF(ISBLANK(C1305),FALSE,IF(NOT(COUNTIF($AA$24:$AA$34,SUBSTITUTE(C1305,""Sell_"",""""))),1,IF(REGEXMATCH(C1305,""Sell_""),IF(COUNTIF(C$4:C1305,SUBSTITUTE(C1305,""Sell_"",""""))-COUNTIF(C$4:C1304,C1305)&lt;1,1),FALSE))))"),"")</f>
        <v/>
      </c>
      <c r="E1305" s="59" t="str">
        <f t="array" ref="E1305">IF(COUNTA(C1305:C1350)=0,"",SUM((COUNTIF(C$4:C1305,Upgrades!$B$3:$B$13)-COUNTIF(C$4:C1305,"Sell_"&amp;Upgrades!$B$3:$B$13))*Upgrades!$D$3:$D$13))</f>
        <v/>
      </c>
      <c r="F1305" s="66" t="str">
        <f>IFERROR(__xludf.DUMMYFUNCTION("IF(COUNTA(C1305:C1350)=0,"""",IF(REGEXMATCH(INDEX(FILTER(C$4:C1305,C$4:C1305&lt;&gt;""""),ROWS(FILTER(C$4:C1305,C$4:C1305&lt;&gt;""""))),""^Sell_""),INDEX(FILTER(F$4:F1304,C$4:C1304&lt;&gt;""""),ROWS(FILTER(C$4:C1304,C$4:C1304&lt;&gt;""""))),$AC$5+E1305))"),"")</f>
        <v/>
      </c>
      <c r="G1305" s="10" t="str">
        <f>IFERROR(__xludf.DUMMYFUNCTION("IF(COUNTA(C1305:C1350)=0,"""",IF(C1305="""",0,IF(REGEXMATCH(C1305,""^Sell_""),-ROUNDDOWN(ROUNDUP(INDEX(Upgrades!$C$3:$C$13,MATCH(SUBSTITUTE(C1305,""Sell_"",""""),Upgrades!$B$3:$B$13,0))*1.15^(COUNTIF(C$4:C1304,SUBSTITUTE(C1305,""Sell_"",""""))-COUNTIF(C$4"&amp;":C1304,""Sell_""&amp;SUBSTITUTE(C1305,""Sell_"",""""))))/2),ROUNDUP(INDEX(Upgrades!$C$3:$C$13,MATCH(C1305,Upgrades!$B$3:$B$13,0))*1.15^(COUNTIF(C$4:C1304,C1305)-COUNTIF(C$4:C1304,""Sell_""&amp;C1305))))))"),"")</f>
        <v/>
      </c>
      <c r="H1305" s="10" t="str">
        <f t="shared" si="3"/>
        <v/>
      </c>
      <c r="I1305" s="68" t="str">
        <f t="shared" si="4"/>
        <v/>
      </c>
      <c r="J1305" s="59" t="str">
        <f t="shared" si="5"/>
        <v/>
      </c>
      <c r="K1305" s="69" t="str">
        <f t="shared" si="6"/>
        <v/>
      </c>
      <c r="L1305" s="60" t="str">
        <f t="shared" si="7"/>
        <v/>
      </c>
      <c r="M1305" s="61" t="str">
        <f>IFERROR(__xludf.DUMMYFUNCTION("IFS(AND(COUNTA(C1305:C1350)=0,COUNTA(Q1305:Q1350)=0),"""",OR(AND(K1305&gt;=1000000000,OR(Y1305&gt;=1000000000,COUNTA(Q1305:Q1350)=0)),OR(Y1305&gt;=1000000000,AND(COUNTA(C1305:C1350)=0,P$3=TRUE))),
ROUNDDOWN((AB$1-AC$1)*MAX(INDEX(T$4:T1350,MATCH(LARGE(FILTER(Y$4:Y1"&amp;"350,Y$4:Y1350&lt;1000000000),1),Y$4:Y1350)),INDEX(F$4:F1350,MATCH(LARGE(FILTER(K$4:K1350,K$4:K1350&lt;1000000000),1),K$4:K1350)))),AND(K1305&lt;1000000000,COUNTA(C1305:C1350)&gt;0,P$3=FALSE),
ROUNDDOWN(INDEX(Y$4:Y1350,MATCH(LARGE(FILTER(W$4:W1350,W$4:W1350&lt;=I1305),1)"&amp;",W$4:W1350))+(I1305-LARGE(FILTER(W$4:W1350,W$4:W1350&lt;=I1305),1))*INDEX(T$4:T1350,MATCH(LARGE(FILTER(W$4:W1350,W$4:W1350&lt;=I1305),1),W$4:W1350))-K1305),1,
ROUNDDOWN(Y1305-INDEX(K$4:K1350,MATCH(LARGE(FILTER(I$4:I1350,I$4:I1350&lt;=W1305),1),I$4:I1350))-(W1305-L"&amp;"ARGE(FILTER(I$4:I1350,I$4:I1350&lt;=W1305),1))*INDEX(F$4:F1350,MATCH(LARGE(FILTER(I$4:I1350,I$4:I1350&lt;=W1305),1),I$4:I1350))))"),"")</f>
        <v/>
      </c>
      <c r="N1305" s="60" t="str">
        <f t="shared" si="8"/>
        <v/>
      </c>
      <c r="O1305" s="61" t="str">
        <f t="shared" si="9"/>
        <v/>
      </c>
      <c r="P1305" s="56" t="str">
        <f t="shared" si="10"/>
        <v/>
      </c>
      <c r="Q1305" s="62"/>
      <c r="R1305" s="10" t="str">
        <f>IFERROR(__xludf.DUMMYFUNCTION("IF(COUNTA(Q1305:Q1350)=0,"""",IF(ISBLANK(Q1305),FALSE,IF(NOT(COUNTIF($AA$24:$AA$34,SUBSTITUTE(Q1305,""Sell_"",""""))),1,IF(REGEXMATCH(Q1305,""Sell_""),IF(COUNTIF(Q$4:Q1305,SUBSTITUTE(Q1305,""Sell_"",""""))-COUNTIF(Q$4:Q1304,Q1305)&lt;1,1),FALSE))))"),"")</f>
        <v/>
      </c>
      <c r="S1305" s="59" t="str">
        <f t="array" ref="S1305">IF(COUNTA(Q1305:Q1350)=0,"",SUM((COUNTIF(Q$4:Q1305,Upgrades!$B$3:$B$13)-COUNTIF(Q$4:Q1305,"Sell_"&amp;Upgrades!$B$3:$B$13))*Upgrades!$D$3:$D$13))</f>
        <v/>
      </c>
      <c r="T1305" s="66" t="str">
        <f>IFERROR(__xludf.DUMMYFUNCTION("IF(COUNTA(Q1305:Q1350)=0,"""",IF(REGEXMATCH(INDEX(FILTER(Q$4:Q1305,Q$4:Q1305&lt;&gt;""""),ROWS(FILTER(Q$4:Q1305,Q$4:Q1305&lt;&gt;""""))),""^Sell_""),INDEX(FILTER(T$4:T1304,Q$4:Q1304&lt;&gt;""""),ROWS(FILTER(Q$4:Q1304,Q$4:Q1304&lt;&gt;""""))),$AD$5+S1305))"),"")</f>
        <v/>
      </c>
      <c r="U1305" s="10" t="str">
        <f>IFERROR(__xludf.DUMMYFUNCTION("IF(COUNTA(Q1305:Q1350)=0,"""",IF(Q1305="""",0,IF(REGEXMATCH(Q1305,""^Sell_""),-ROUNDDOWN(ROUNDUP(INDEX(Upgrades!$C$3:$C$13,MATCH(SUBSTITUTE(Q1305,""Sell_"",""""),Upgrades!$B$3:$B$13,0))*1.15^(COUNTIF(Q$4:Q1304,SUBSTITUTE(Q1305,""Sell_"",""""))-COUNTIF(Q$4"&amp;":Q1304,""Sell_""&amp;SUBSTITUTE(Q1305,""Sell_"",""""))))/2),ROUNDUP(INDEX(Upgrades!$C$3:$C$13,MATCH(Q1305,Upgrades!$B$3:$B$13,0))*1.15^(COUNTIF(Q$4:Q1304,Q1305)-COUNTIF(Q$4:Q1304,""Sell_""&amp;Q1305))))))"),"")</f>
        <v/>
      </c>
      <c r="V1305" s="10" t="str">
        <f t="shared" si="11"/>
        <v/>
      </c>
      <c r="W1305" s="68" t="str">
        <f t="shared" si="12"/>
        <v/>
      </c>
      <c r="X1305" s="59" t="str">
        <f t="shared" si="13"/>
        <v/>
      </c>
      <c r="Y1305" s="69" t="str">
        <f t="shared" si="14"/>
        <v/>
      </c>
      <c r="Z1305" s="11"/>
    </row>
    <row r="1306">
      <c r="A1306" s="8"/>
      <c r="B1306" s="56" t="str">
        <f t="shared" si="2"/>
        <v/>
      </c>
      <c r="C1306" s="57"/>
      <c r="D1306" s="10" t="str">
        <f>IFERROR(__xludf.DUMMYFUNCTION("IF(COUNTA(C1306:C1350)=0,"""",IF(ISBLANK(C1306),FALSE,IF(NOT(COUNTIF($AA$24:$AA$34,SUBSTITUTE(C1306,""Sell_"",""""))),1,IF(REGEXMATCH(C1306,""Sell_""),IF(COUNTIF(C$4:C1306,SUBSTITUTE(C1306,""Sell_"",""""))-COUNTIF(C$4:C1305,C1306)&lt;1,1),FALSE))))"),"")</f>
        <v/>
      </c>
      <c r="E1306" s="59" t="str">
        <f t="array" ref="E1306">IF(COUNTA(C1306:C1350)=0,"",SUM((COUNTIF(C$4:C1306,Upgrades!$B$3:$B$13)-COUNTIF(C$4:C1306,"Sell_"&amp;Upgrades!$B$3:$B$13))*Upgrades!$D$3:$D$13))</f>
        <v/>
      </c>
      <c r="F1306" s="66" t="str">
        <f>IFERROR(__xludf.DUMMYFUNCTION("IF(COUNTA(C1306:C1350)=0,"""",IF(REGEXMATCH(INDEX(FILTER(C$4:C1306,C$4:C1306&lt;&gt;""""),ROWS(FILTER(C$4:C1306,C$4:C1306&lt;&gt;""""))),""^Sell_""),INDEX(FILTER(F$4:F1305,C$4:C1305&lt;&gt;""""),ROWS(FILTER(C$4:C1305,C$4:C1305&lt;&gt;""""))),$AC$5+E1306))"),"")</f>
        <v/>
      </c>
      <c r="G1306" s="10" t="str">
        <f>IFERROR(__xludf.DUMMYFUNCTION("IF(COUNTA(C1306:C1350)=0,"""",IF(C1306="""",0,IF(REGEXMATCH(C1306,""^Sell_""),-ROUNDDOWN(ROUNDUP(INDEX(Upgrades!$C$3:$C$13,MATCH(SUBSTITUTE(C1306,""Sell_"",""""),Upgrades!$B$3:$B$13,0))*1.15^(COUNTIF(C$4:C1305,SUBSTITUTE(C1306,""Sell_"",""""))-COUNTIF(C$4"&amp;":C1305,""Sell_""&amp;SUBSTITUTE(C1306,""Sell_"",""""))))/2),ROUNDUP(INDEX(Upgrades!$C$3:$C$13,MATCH(C1306,Upgrades!$B$3:$B$13,0))*1.15^(COUNTIF(C$4:C1305,C1306)-COUNTIF(C$4:C1305,""Sell_""&amp;C1306))))))"),"")</f>
        <v/>
      </c>
      <c r="H1306" s="10" t="str">
        <f t="shared" si="3"/>
        <v/>
      </c>
      <c r="I1306" s="68" t="str">
        <f t="shared" si="4"/>
        <v/>
      </c>
      <c r="J1306" s="59" t="str">
        <f t="shared" si="5"/>
        <v/>
      </c>
      <c r="K1306" s="69" t="str">
        <f t="shared" si="6"/>
        <v/>
      </c>
      <c r="L1306" s="60" t="str">
        <f t="shared" si="7"/>
        <v/>
      </c>
      <c r="M1306" s="61" t="str">
        <f>IFERROR(__xludf.DUMMYFUNCTION("IFS(AND(COUNTA(C1306:C1350)=0,COUNTA(Q1306:Q1350)=0),"""",OR(AND(K1306&gt;=1000000000,OR(Y1306&gt;=1000000000,COUNTA(Q1306:Q1350)=0)),OR(Y1306&gt;=1000000000,AND(COUNTA(C1306:C1350)=0,P$3=TRUE))),
ROUNDDOWN((AB$1-AC$1)*MAX(INDEX(T$4:T1350,MATCH(LARGE(FILTER(Y$4:Y1"&amp;"350,Y$4:Y1350&lt;1000000000),1),Y$4:Y1350)),INDEX(F$4:F1350,MATCH(LARGE(FILTER(K$4:K1350,K$4:K1350&lt;1000000000),1),K$4:K1350)))),AND(K1306&lt;1000000000,COUNTA(C1306:C1350)&gt;0,P$3=FALSE),
ROUNDDOWN(INDEX(Y$4:Y1350,MATCH(LARGE(FILTER(W$4:W1350,W$4:W1350&lt;=I1306),1)"&amp;",W$4:W1350))+(I1306-LARGE(FILTER(W$4:W1350,W$4:W1350&lt;=I1306),1))*INDEX(T$4:T1350,MATCH(LARGE(FILTER(W$4:W1350,W$4:W1350&lt;=I1306),1),W$4:W1350))-K1306),1,
ROUNDDOWN(Y1306-INDEX(K$4:K1350,MATCH(LARGE(FILTER(I$4:I1350,I$4:I1350&lt;=W1306),1),I$4:I1350))-(W1306-L"&amp;"ARGE(FILTER(I$4:I1350,I$4:I1350&lt;=W1306),1))*INDEX(F$4:F1350,MATCH(LARGE(FILTER(I$4:I1350,I$4:I1350&lt;=W1306),1),I$4:I1350))))"),"")</f>
        <v/>
      </c>
      <c r="N1306" s="60" t="str">
        <f t="shared" si="8"/>
        <v/>
      </c>
      <c r="O1306" s="61" t="str">
        <f t="shared" si="9"/>
        <v/>
      </c>
      <c r="P1306" s="56" t="str">
        <f t="shared" si="10"/>
        <v/>
      </c>
      <c r="Q1306" s="62"/>
      <c r="R1306" s="10" t="str">
        <f>IFERROR(__xludf.DUMMYFUNCTION("IF(COUNTA(Q1306:Q1350)=0,"""",IF(ISBLANK(Q1306),FALSE,IF(NOT(COUNTIF($AA$24:$AA$34,SUBSTITUTE(Q1306,""Sell_"",""""))),1,IF(REGEXMATCH(Q1306,""Sell_""),IF(COUNTIF(Q$4:Q1306,SUBSTITUTE(Q1306,""Sell_"",""""))-COUNTIF(Q$4:Q1305,Q1306)&lt;1,1),FALSE))))"),"")</f>
        <v/>
      </c>
      <c r="S1306" s="59" t="str">
        <f t="array" ref="S1306">IF(COUNTA(Q1306:Q1350)=0,"",SUM((COUNTIF(Q$4:Q1306,Upgrades!$B$3:$B$13)-COUNTIF(Q$4:Q1306,"Sell_"&amp;Upgrades!$B$3:$B$13))*Upgrades!$D$3:$D$13))</f>
        <v/>
      </c>
      <c r="T1306" s="66" t="str">
        <f>IFERROR(__xludf.DUMMYFUNCTION("IF(COUNTA(Q1306:Q1350)=0,"""",IF(REGEXMATCH(INDEX(FILTER(Q$4:Q1306,Q$4:Q1306&lt;&gt;""""),ROWS(FILTER(Q$4:Q1306,Q$4:Q1306&lt;&gt;""""))),""^Sell_""),INDEX(FILTER(T$4:T1305,Q$4:Q1305&lt;&gt;""""),ROWS(FILTER(Q$4:Q1305,Q$4:Q1305&lt;&gt;""""))),$AD$5+S1306))"),"")</f>
        <v/>
      </c>
      <c r="U1306" s="10" t="str">
        <f>IFERROR(__xludf.DUMMYFUNCTION("IF(COUNTA(Q1306:Q1350)=0,"""",IF(Q1306="""",0,IF(REGEXMATCH(Q1306,""^Sell_""),-ROUNDDOWN(ROUNDUP(INDEX(Upgrades!$C$3:$C$13,MATCH(SUBSTITUTE(Q1306,""Sell_"",""""),Upgrades!$B$3:$B$13,0))*1.15^(COUNTIF(Q$4:Q1305,SUBSTITUTE(Q1306,""Sell_"",""""))-COUNTIF(Q$4"&amp;":Q1305,""Sell_""&amp;SUBSTITUTE(Q1306,""Sell_"",""""))))/2),ROUNDUP(INDEX(Upgrades!$C$3:$C$13,MATCH(Q1306,Upgrades!$B$3:$B$13,0))*1.15^(COUNTIF(Q$4:Q1305,Q1306)-COUNTIF(Q$4:Q1305,""Sell_""&amp;Q1306))))))"),"")</f>
        <v/>
      </c>
      <c r="V1306" s="10" t="str">
        <f t="shared" si="11"/>
        <v/>
      </c>
      <c r="W1306" s="68" t="str">
        <f t="shared" si="12"/>
        <v/>
      </c>
      <c r="X1306" s="59" t="str">
        <f t="shared" si="13"/>
        <v/>
      </c>
      <c r="Y1306" s="69" t="str">
        <f t="shared" si="14"/>
        <v/>
      </c>
      <c r="Z1306" s="11"/>
    </row>
    <row r="1307">
      <c r="A1307" s="8"/>
      <c r="B1307" s="56" t="str">
        <f t="shared" si="2"/>
        <v/>
      </c>
      <c r="C1307" s="57"/>
      <c r="D1307" s="10" t="str">
        <f>IFERROR(__xludf.DUMMYFUNCTION("IF(COUNTA(C1307:C1350)=0,"""",IF(ISBLANK(C1307),FALSE,IF(NOT(COUNTIF($AA$24:$AA$34,SUBSTITUTE(C1307,""Sell_"",""""))),1,IF(REGEXMATCH(C1307,""Sell_""),IF(COUNTIF(C$4:C1307,SUBSTITUTE(C1307,""Sell_"",""""))-COUNTIF(C$4:C1306,C1307)&lt;1,1),FALSE))))"),"")</f>
        <v/>
      </c>
      <c r="E1307" s="59" t="str">
        <f t="array" ref="E1307">IF(COUNTA(C1307:C1350)=0,"",SUM((COUNTIF(C$4:C1307,Upgrades!$B$3:$B$13)-COUNTIF(C$4:C1307,"Sell_"&amp;Upgrades!$B$3:$B$13))*Upgrades!$D$3:$D$13))</f>
        <v/>
      </c>
      <c r="F1307" s="66" t="str">
        <f>IFERROR(__xludf.DUMMYFUNCTION("IF(COUNTA(C1307:C1350)=0,"""",IF(REGEXMATCH(INDEX(FILTER(C$4:C1307,C$4:C1307&lt;&gt;""""),ROWS(FILTER(C$4:C1307,C$4:C1307&lt;&gt;""""))),""^Sell_""),INDEX(FILTER(F$4:F1306,C$4:C1306&lt;&gt;""""),ROWS(FILTER(C$4:C1306,C$4:C1306&lt;&gt;""""))),$AC$5+E1307))"),"")</f>
        <v/>
      </c>
      <c r="G1307" s="10" t="str">
        <f>IFERROR(__xludf.DUMMYFUNCTION("IF(COUNTA(C1307:C1350)=0,"""",IF(C1307="""",0,IF(REGEXMATCH(C1307,""^Sell_""),-ROUNDDOWN(ROUNDUP(INDEX(Upgrades!$C$3:$C$13,MATCH(SUBSTITUTE(C1307,""Sell_"",""""),Upgrades!$B$3:$B$13,0))*1.15^(COUNTIF(C$4:C1306,SUBSTITUTE(C1307,""Sell_"",""""))-COUNTIF(C$4"&amp;":C1306,""Sell_""&amp;SUBSTITUTE(C1307,""Sell_"",""""))))/2),ROUNDUP(INDEX(Upgrades!$C$3:$C$13,MATCH(C1307,Upgrades!$B$3:$B$13,0))*1.15^(COUNTIF(C$4:C1306,C1307)-COUNTIF(C$4:C1306,""Sell_""&amp;C1307))))))"),"")</f>
        <v/>
      </c>
      <c r="H1307" s="10" t="str">
        <f t="shared" si="3"/>
        <v/>
      </c>
      <c r="I1307" s="68" t="str">
        <f t="shared" si="4"/>
        <v/>
      </c>
      <c r="J1307" s="59" t="str">
        <f t="shared" si="5"/>
        <v/>
      </c>
      <c r="K1307" s="69" t="str">
        <f t="shared" si="6"/>
        <v/>
      </c>
      <c r="L1307" s="60" t="str">
        <f t="shared" si="7"/>
        <v/>
      </c>
      <c r="M1307" s="61" t="str">
        <f>IFERROR(__xludf.DUMMYFUNCTION("IFS(AND(COUNTA(C1307:C1350)=0,COUNTA(Q1307:Q1350)=0),"""",OR(AND(K1307&gt;=1000000000,OR(Y1307&gt;=1000000000,COUNTA(Q1307:Q1350)=0)),OR(Y1307&gt;=1000000000,AND(COUNTA(C1307:C1350)=0,P$3=TRUE))),
ROUNDDOWN((AB$1-AC$1)*MAX(INDEX(T$4:T1350,MATCH(LARGE(FILTER(Y$4:Y1"&amp;"350,Y$4:Y1350&lt;1000000000),1),Y$4:Y1350)),INDEX(F$4:F1350,MATCH(LARGE(FILTER(K$4:K1350,K$4:K1350&lt;1000000000),1),K$4:K1350)))),AND(K1307&lt;1000000000,COUNTA(C1307:C1350)&gt;0,P$3=FALSE),
ROUNDDOWN(INDEX(Y$4:Y1350,MATCH(LARGE(FILTER(W$4:W1350,W$4:W1350&lt;=I1307),1)"&amp;",W$4:W1350))+(I1307-LARGE(FILTER(W$4:W1350,W$4:W1350&lt;=I1307),1))*INDEX(T$4:T1350,MATCH(LARGE(FILTER(W$4:W1350,W$4:W1350&lt;=I1307),1),W$4:W1350))-K1307),1,
ROUNDDOWN(Y1307-INDEX(K$4:K1350,MATCH(LARGE(FILTER(I$4:I1350,I$4:I1350&lt;=W1307),1),I$4:I1350))-(W1307-L"&amp;"ARGE(FILTER(I$4:I1350,I$4:I1350&lt;=W1307),1))*INDEX(F$4:F1350,MATCH(LARGE(FILTER(I$4:I1350,I$4:I1350&lt;=W1307),1),I$4:I1350))))"),"")</f>
        <v/>
      </c>
      <c r="N1307" s="60" t="str">
        <f t="shared" si="8"/>
        <v/>
      </c>
      <c r="O1307" s="61" t="str">
        <f t="shared" si="9"/>
        <v/>
      </c>
      <c r="P1307" s="56" t="str">
        <f t="shared" si="10"/>
        <v/>
      </c>
      <c r="Q1307" s="62"/>
      <c r="R1307" s="10" t="str">
        <f>IFERROR(__xludf.DUMMYFUNCTION("IF(COUNTA(Q1307:Q1350)=0,"""",IF(ISBLANK(Q1307),FALSE,IF(NOT(COUNTIF($AA$24:$AA$34,SUBSTITUTE(Q1307,""Sell_"",""""))),1,IF(REGEXMATCH(Q1307,""Sell_""),IF(COUNTIF(Q$4:Q1307,SUBSTITUTE(Q1307,""Sell_"",""""))-COUNTIF(Q$4:Q1306,Q1307)&lt;1,1),FALSE))))"),"")</f>
        <v/>
      </c>
      <c r="S1307" s="59" t="str">
        <f t="array" ref="S1307">IF(COUNTA(Q1307:Q1350)=0,"",SUM((COUNTIF(Q$4:Q1307,Upgrades!$B$3:$B$13)-COUNTIF(Q$4:Q1307,"Sell_"&amp;Upgrades!$B$3:$B$13))*Upgrades!$D$3:$D$13))</f>
        <v/>
      </c>
      <c r="T1307" s="66" t="str">
        <f>IFERROR(__xludf.DUMMYFUNCTION("IF(COUNTA(Q1307:Q1350)=0,"""",IF(REGEXMATCH(INDEX(FILTER(Q$4:Q1307,Q$4:Q1307&lt;&gt;""""),ROWS(FILTER(Q$4:Q1307,Q$4:Q1307&lt;&gt;""""))),""^Sell_""),INDEX(FILTER(T$4:T1306,Q$4:Q1306&lt;&gt;""""),ROWS(FILTER(Q$4:Q1306,Q$4:Q1306&lt;&gt;""""))),$AD$5+S1307))"),"")</f>
        <v/>
      </c>
      <c r="U1307" s="10" t="str">
        <f>IFERROR(__xludf.DUMMYFUNCTION("IF(COUNTA(Q1307:Q1350)=0,"""",IF(Q1307="""",0,IF(REGEXMATCH(Q1307,""^Sell_""),-ROUNDDOWN(ROUNDUP(INDEX(Upgrades!$C$3:$C$13,MATCH(SUBSTITUTE(Q1307,""Sell_"",""""),Upgrades!$B$3:$B$13,0))*1.15^(COUNTIF(Q$4:Q1306,SUBSTITUTE(Q1307,""Sell_"",""""))-COUNTIF(Q$4"&amp;":Q1306,""Sell_""&amp;SUBSTITUTE(Q1307,""Sell_"",""""))))/2),ROUNDUP(INDEX(Upgrades!$C$3:$C$13,MATCH(Q1307,Upgrades!$B$3:$B$13,0))*1.15^(COUNTIF(Q$4:Q1306,Q1307)-COUNTIF(Q$4:Q1306,""Sell_""&amp;Q1307))))))"),"")</f>
        <v/>
      </c>
      <c r="V1307" s="10" t="str">
        <f t="shared" si="11"/>
        <v/>
      </c>
      <c r="W1307" s="68" t="str">
        <f t="shared" si="12"/>
        <v/>
      </c>
      <c r="X1307" s="59" t="str">
        <f t="shared" si="13"/>
        <v/>
      </c>
      <c r="Y1307" s="69" t="str">
        <f t="shared" si="14"/>
        <v/>
      </c>
      <c r="Z1307" s="11"/>
    </row>
    <row r="1308">
      <c r="A1308" s="8"/>
      <c r="B1308" s="56" t="str">
        <f t="shared" si="2"/>
        <v/>
      </c>
      <c r="C1308" s="57"/>
      <c r="D1308" s="10" t="str">
        <f>IFERROR(__xludf.DUMMYFUNCTION("IF(COUNTA(C1308:C1350)=0,"""",IF(ISBLANK(C1308),FALSE,IF(NOT(COUNTIF($AA$24:$AA$34,SUBSTITUTE(C1308,""Sell_"",""""))),1,IF(REGEXMATCH(C1308,""Sell_""),IF(COUNTIF(C$4:C1308,SUBSTITUTE(C1308,""Sell_"",""""))-COUNTIF(C$4:C1307,C1308)&lt;1,1),FALSE))))"),"")</f>
        <v/>
      </c>
      <c r="E1308" s="59" t="str">
        <f t="array" ref="E1308">IF(COUNTA(C1308:C1350)=0,"",SUM((COUNTIF(C$4:C1308,Upgrades!$B$3:$B$13)-COUNTIF(C$4:C1308,"Sell_"&amp;Upgrades!$B$3:$B$13))*Upgrades!$D$3:$D$13))</f>
        <v/>
      </c>
      <c r="F1308" s="66" t="str">
        <f>IFERROR(__xludf.DUMMYFUNCTION("IF(COUNTA(C1308:C1350)=0,"""",IF(REGEXMATCH(INDEX(FILTER(C$4:C1308,C$4:C1308&lt;&gt;""""),ROWS(FILTER(C$4:C1308,C$4:C1308&lt;&gt;""""))),""^Sell_""),INDEX(FILTER(F$4:F1307,C$4:C1307&lt;&gt;""""),ROWS(FILTER(C$4:C1307,C$4:C1307&lt;&gt;""""))),$AC$5+E1308))"),"")</f>
        <v/>
      </c>
      <c r="G1308" s="10" t="str">
        <f>IFERROR(__xludf.DUMMYFUNCTION("IF(COUNTA(C1308:C1350)=0,"""",IF(C1308="""",0,IF(REGEXMATCH(C1308,""^Sell_""),-ROUNDDOWN(ROUNDUP(INDEX(Upgrades!$C$3:$C$13,MATCH(SUBSTITUTE(C1308,""Sell_"",""""),Upgrades!$B$3:$B$13,0))*1.15^(COUNTIF(C$4:C1307,SUBSTITUTE(C1308,""Sell_"",""""))-COUNTIF(C$4"&amp;":C1307,""Sell_""&amp;SUBSTITUTE(C1308,""Sell_"",""""))))/2),ROUNDUP(INDEX(Upgrades!$C$3:$C$13,MATCH(C1308,Upgrades!$B$3:$B$13,0))*1.15^(COUNTIF(C$4:C1307,C1308)-COUNTIF(C$4:C1307,""Sell_""&amp;C1308))))))"),"")</f>
        <v/>
      </c>
      <c r="H1308" s="10" t="str">
        <f t="shared" si="3"/>
        <v/>
      </c>
      <c r="I1308" s="68" t="str">
        <f t="shared" si="4"/>
        <v/>
      </c>
      <c r="J1308" s="59" t="str">
        <f t="shared" si="5"/>
        <v/>
      </c>
      <c r="K1308" s="69" t="str">
        <f t="shared" si="6"/>
        <v/>
      </c>
      <c r="L1308" s="60" t="str">
        <f t="shared" si="7"/>
        <v/>
      </c>
      <c r="M1308" s="61" t="str">
        <f>IFERROR(__xludf.DUMMYFUNCTION("IFS(AND(COUNTA(C1308:C1350)=0,COUNTA(Q1308:Q1350)=0),"""",OR(AND(K1308&gt;=1000000000,OR(Y1308&gt;=1000000000,COUNTA(Q1308:Q1350)=0)),OR(Y1308&gt;=1000000000,AND(COUNTA(C1308:C1350)=0,P$3=TRUE))),
ROUNDDOWN((AB$1-AC$1)*MAX(INDEX(T$4:T1350,MATCH(LARGE(FILTER(Y$4:Y1"&amp;"350,Y$4:Y1350&lt;1000000000),1),Y$4:Y1350)),INDEX(F$4:F1350,MATCH(LARGE(FILTER(K$4:K1350,K$4:K1350&lt;1000000000),1),K$4:K1350)))),AND(K1308&lt;1000000000,COUNTA(C1308:C1350)&gt;0,P$3=FALSE),
ROUNDDOWN(INDEX(Y$4:Y1350,MATCH(LARGE(FILTER(W$4:W1350,W$4:W1350&lt;=I1308),1)"&amp;",W$4:W1350))+(I1308-LARGE(FILTER(W$4:W1350,W$4:W1350&lt;=I1308),1))*INDEX(T$4:T1350,MATCH(LARGE(FILTER(W$4:W1350,W$4:W1350&lt;=I1308),1),W$4:W1350))-K1308),1,
ROUNDDOWN(Y1308-INDEX(K$4:K1350,MATCH(LARGE(FILTER(I$4:I1350,I$4:I1350&lt;=W1308),1),I$4:I1350))-(W1308-L"&amp;"ARGE(FILTER(I$4:I1350,I$4:I1350&lt;=W1308),1))*INDEX(F$4:F1350,MATCH(LARGE(FILTER(I$4:I1350,I$4:I1350&lt;=W1308),1),I$4:I1350))))"),"")</f>
        <v/>
      </c>
      <c r="N1308" s="60" t="str">
        <f t="shared" si="8"/>
        <v/>
      </c>
      <c r="O1308" s="61" t="str">
        <f t="shared" si="9"/>
        <v/>
      </c>
      <c r="P1308" s="56" t="str">
        <f t="shared" si="10"/>
        <v/>
      </c>
      <c r="Q1308" s="62"/>
      <c r="R1308" s="10" t="str">
        <f>IFERROR(__xludf.DUMMYFUNCTION("IF(COUNTA(Q1308:Q1350)=0,"""",IF(ISBLANK(Q1308),FALSE,IF(NOT(COUNTIF($AA$24:$AA$34,SUBSTITUTE(Q1308,""Sell_"",""""))),1,IF(REGEXMATCH(Q1308,""Sell_""),IF(COUNTIF(Q$4:Q1308,SUBSTITUTE(Q1308,""Sell_"",""""))-COUNTIF(Q$4:Q1307,Q1308)&lt;1,1),FALSE))))"),"")</f>
        <v/>
      </c>
      <c r="S1308" s="59" t="str">
        <f t="array" ref="S1308">IF(COUNTA(Q1308:Q1350)=0,"",SUM((COUNTIF(Q$4:Q1308,Upgrades!$B$3:$B$13)-COUNTIF(Q$4:Q1308,"Sell_"&amp;Upgrades!$B$3:$B$13))*Upgrades!$D$3:$D$13))</f>
        <v/>
      </c>
      <c r="T1308" s="66" t="str">
        <f>IFERROR(__xludf.DUMMYFUNCTION("IF(COUNTA(Q1308:Q1350)=0,"""",IF(REGEXMATCH(INDEX(FILTER(Q$4:Q1308,Q$4:Q1308&lt;&gt;""""),ROWS(FILTER(Q$4:Q1308,Q$4:Q1308&lt;&gt;""""))),""^Sell_""),INDEX(FILTER(T$4:T1307,Q$4:Q1307&lt;&gt;""""),ROWS(FILTER(Q$4:Q1307,Q$4:Q1307&lt;&gt;""""))),$AD$5+S1308))"),"")</f>
        <v/>
      </c>
      <c r="U1308" s="10" t="str">
        <f>IFERROR(__xludf.DUMMYFUNCTION("IF(COUNTA(Q1308:Q1350)=0,"""",IF(Q1308="""",0,IF(REGEXMATCH(Q1308,""^Sell_""),-ROUNDDOWN(ROUNDUP(INDEX(Upgrades!$C$3:$C$13,MATCH(SUBSTITUTE(Q1308,""Sell_"",""""),Upgrades!$B$3:$B$13,0))*1.15^(COUNTIF(Q$4:Q1307,SUBSTITUTE(Q1308,""Sell_"",""""))-COUNTIF(Q$4"&amp;":Q1307,""Sell_""&amp;SUBSTITUTE(Q1308,""Sell_"",""""))))/2),ROUNDUP(INDEX(Upgrades!$C$3:$C$13,MATCH(Q1308,Upgrades!$B$3:$B$13,0))*1.15^(COUNTIF(Q$4:Q1307,Q1308)-COUNTIF(Q$4:Q1307,""Sell_""&amp;Q1308))))))"),"")</f>
        <v/>
      </c>
      <c r="V1308" s="10" t="str">
        <f t="shared" si="11"/>
        <v/>
      </c>
      <c r="W1308" s="68" t="str">
        <f t="shared" si="12"/>
        <v/>
      </c>
      <c r="X1308" s="59" t="str">
        <f t="shared" si="13"/>
        <v/>
      </c>
      <c r="Y1308" s="69" t="str">
        <f t="shared" si="14"/>
        <v/>
      </c>
      <c r="Z1308" s="11"/>
    </row>
    <row r="1309">
      <c r="A1309" s="8"/>
      <c r="B1309" s="56" t="str">
        <f t="shared" si="2"/>
        <v/>
      </c>
      <c r="C1309" s="57"/>
      <c r="D1309" s="10" t="str">
        <f>IFERROR(__xludf.DUMMYFUNCTION("IF(COUNTA(C1309:C1350)=0,"""",IF(ISBLANK(C1309),FALSE,IF(NOT(COUNTIF($AA$24:$AA$34,SUBSTITUTE(C1309,""Sell_"",""""))),1,IF(REGEXMATCH(C1309,""Sell_""),IF(COUNTIF(C$4:C1309,SUBSTITUTE(C1309,""Sell_"",""""))-COUNTIF(C$4:C1308,C1309)&lt;1,1),FALSE))))"),"")</f>
        <v/>
      </c>
      <c r="E1309" s="59" t="str">
        <f t="array" ref="E1309">IF(COUNTA(C1309:C1350)=0,"",SUM((COUNTIF(C$4:C1309,Upgrades!$B$3:$B$13)-COUNTIF(C$4:C1309,"Sell_"&amp;Upgrades!$B$3:$B$13))*Upgrades!$D$3:$D$13))</f>
        <v/>
      </c>
      <c r="F1309" s="66" t="str">
        <f>IFERROR(__xludf.DUMMYFUNCTION("IF(COUNTA(C1309:C1350)=0,"""",IF(REGEXMATCH(INDEX(FILTER(C$4:C1309,C$4:C1309&lt;&gt;""""),ROWS(FILTER(C$4:C1309,C$4:C1309&lt;&gt;""""))),""^Sell_""),INDEX(FILTER(F$4:F1308,C$4:C1308&lt;&gt;""""),ROWS(FILTER(C$4:C1308,C$4:C1308&lt;&gt;""""))),$AC$5+E1309))"),"")</f>
        <v/>
      </c>
      <c r="G1309" s="10" t="str">
        <f>IFERROR(__xludf.DUMMYFUNCTION("IF(COUNTA(C1309:C1350)=0,"""",IF(C1309="""",0,IF(REGEXMATCH(C1309,""^Sell_""),-ROUNDDOWN(ROUNDUP(INDEX(Upgrades!$C$3:$C$13,MATCH(SUBSTITUTE(C1309,""Sell_"",""""),Upgrades!$B$3:$B$13,0))*1.15^(COUNTIF(C$4:C1308,SUBSTITUTE(C1309,""Sell_"",""""))-COUNTIF(C$4"&amp;":C1308,""Sell_""&amp;SUBSTITUTE(C1309,""Sell_"",""""))))/2),ROUNDUP(INDEX(Upgrades!$C$3:$C$13,MATCH(C1309,Upgrades!$B$3:$B$13,0))*1.15^(COUNTIF(C$4:C1308,C1309)-COUNTIF(C$4:C1308,""Sell_""&amp;C1309))))))"),"")</f>
        <v/>
      </c>
      <c r="H1309" s="10" t="str">
        <f t="shared" si="3"/>
        <v/>
      </c>
      <c r="I1309" s="68" t="str">
        <f t="shared" si="4"/>
        <v/>
      </c>
      <c r="J1309" s="59" t="str">
        <f t="shared" si="5"/>
        <v/>
      </c>
      <c r="K1309" s="69" t="str">
        <f t="shared" si="6"/>
        <v/>
      </c>
      <c r="L1309" s="60" t="str">
        <f t="shared" si="7"/>
        <v/>
      </c>
      <c r="M1309" s="61" t="str">
        <f>IFERROR(__xludf.DUMMYFUNCTION("IFS(AND(COUNTA(C1309:C1350)=0,COUNTA(Q1309:Q1350)=0),"""",OR(AND(K1309&gt;=1000000000,OR(Y1309&gt;=1000000000,COUNTA(Q1309:Q1350)=0)),OR(Y1309&gt;=1000000000,AND(COUNTA(C1309:C1350)=0,P$3=TRUE))),
ROUNDDOWN((AB$1-AC$1)*MAX(INDEX(T$4:T1350,MATCH(LARGE(FILTER(Y$4:Y1"&amp;"350,Y$4:Y1350&lt;1000000000),1),Y$4:Y1350)),INDEX(F$4:F1350,MATCH(LARGE(FILTER(K$4:K1350,K$4:K1350&lt;1000000000),1),K$4:K1350)))),AND(K1309&lt;1000000000,COUNTA(C1309:C1350)&gt;0,P$3=FALSE),
ROUNDDOWN(INDEX(Y$4:Y1350,MATCH(LARGE(FILTER(W$4:W1350,W$4:W1350&lt;=I1309),1)"&amp;",W$4:W1350))+(I1309-LARGE(FILTER(W$4:W1350,W$4:W1350&lt;=I1309),1))*INDEX(T$4:T1350,MATCH(LARGE(FILTER(W$4:W1350,W$4:W1350&lt;=I1309),1),W$4:W1350))-K1309),1,
ROUNDDOWN(Y1309-INDEX(K$4:K1350,MATCH(LARGE(FILTER(I$4:I1350,I$4:I1350&lt;=W1309),1),I$4:I1350))-(W1309-L"&amp;"ARGE(FILTER(I$4:I1350,I$4:I1350&lt;=W1309),1))*INDEX(F$4:F1350,MATCH(LARGE(FILTER(I$4:I1350,I$4:I1350&lt;=W1309),1),I$4:I1350))))"),"")</f>
        <v/>
      </c>
      <c r="N1309" s="60" t="str">
        <f t="shared" si="8"/>
        <v/>
      </c>
      <c r="O1309" s="61" t="str">
        <f t="shared" si="9"/>
        <v/>
      </c>
      <c r="P1309" s="56" t="str">
        <f t="shared" si="10"/>
        <v/>
      </c>
      <c r="Q1309" s="62"/>
      <c r="R1309" s="10" t="str">
        <f>IFERROR(__xludf.DUMMYFUNCTION("IF(COUNTA(Q1309:Q1350)=0,"""",IF(ISBLANK(Q1309),FALSE,IF(NOT(COUNTIF($AA$24:$AA$34,SUBSTITUTE(Q1309,""Sell_"",""""))),1,IF(REGEXMATCH(Q1309,""Sell_""),IF(COUNTIF(Q$4:Q1309,SUBSTITUTE(Q1309,""Sell_"",""""))-COUNTIF(Q$4:Q1308,Q1309)&lt;1,1),FALSE))))"),"")</f>
        <v/>
      </c>
      <c r="S1309" s="59" t="str">
        <f t="array" ref="S1309">IF(COUNTA(Q1309:Q1350)=0,"",SUM((COUNTIF(Q$4:Q1309,Upgrades!$B$3:$B$13)-COUNTIF(Q$4:Q1309,"Sell_"&amp;Upgrades!$B$3:$B$13))*Upgrades!$D$3:$D$13))</f>
        <v/>
      </c>
      <c r="T1309" s="66" t="str">
        <f>IFERROR(__xludf.DUMMYFUNCTION("IF(COUNTA(Q1309:Q1350)=0,"""",IF(REGEXMATCH(INDEX(FILTER(Q$4:Q1309,Q$4:Q1309&lt;&gt;""""),ROWS(FILTER(Q$4:Q1309,Q$4:Q1309&lt;&gt;""""))),""^Sell_""),INDEX(FILTER(T$4:T1308,Q$4:Q1308&lt;&gt;""""),ROWS(FILTER(Q$4:Q1308,Q$4:Q1308&lt;&gt;""""))),$AD$5+S1309))"),"")</f>
        <v/>
      </c>
      <c r="U1309" s="10" t="str">
        <f>IFERROR(__xludf.DUMMYFUNCTION("IF(COUNTA(Q1309:Q1350)=0,"""",IF(Q1309="""",0,IF(REGEXMATCH(Q1309,""^Sell_""),-ROUNDDOWN(ROUNDUP(INDEX(Upgrades!$C$3:$C$13,MATCH(SUBSTITUTE(Q1309,""Sell_"",""""),Upgrades!$B$3:$B$13,0))*1.15^(COUNTIF(Q$4:Q1308,SUBSTITUTE(Q1309,""Sell_"",""""))-COUNTIF(Q$4"&amp;":Q1308,""Sell_""&amp;SUBSTITUTE(Q1309,""Sell_"",""""))))/2),ROUNDUP(INDEX(Upgrades!$C$3:$C$13,MATCH(Q1309,Upgrades!$B$3:$B$13,0))*1.15^(COUNTIF(Q$4:Q1308,Q1309)-COUNTIF(Q$4:Q1308,""Sell_""&amp;Q1309))))))"),"")</f>
        <v/>
      </c>
      <c r="V1309" s="10" t="str">
        <f t="shared" si="11"/>
        <v/>
      </c>
      <c r="W1309" s="68" t="str">
        <f t="shared" si="12"/>
        <v/>
      </c>
      <c r="X1309" s="59" t="str">
        <f t="shared" si="13"/>
        <v/>
      </c>
      <c r="Y1309" s="69" t="str">
        <f t="shared" si="14"/>
        <v/>
      </c>
      <c r="Z1309" s="11"/>
    </row>
    <row r="1310">
      <c r="A1310" s="8"/>
      <c r="B1310" s="56" t="str">
        <f t="shared" si="2"/>
        <v/>
      </c>
      <c r="C1310" s="57"/>
      <c r="D1310" s="10" t="str">
        <f>IFERROR(__xludf.DUMMYFUNCTION("IF(COUNTA(C1310:C1350)=0,"""",IF(ISBLANK(C1310),FALSE,IF(NOT(COUNTIF($AA$24:$AA$34,SUBSTITUTE(C1310,""Sell_"",""""))),1,IF(REGEXMATCH(C1310,""Sell_""),IF(COUNTIF(C$4:C1310,SUBSTITUTE(C1310,""Sell_"",""""))-COUNTIF(C$4:C1309,C1310)&lt;1,1),FALSE))))"),"")</f>
        <v/>
      </c>
      <c r="E1310" s="59" t="str">
        <f t="array" ref="E1310">IF(COUNTA(C1310:C1350)=0,"",SUM((COUNTIF(C$4:C1310,Upgrades!$B$3:$B$13)-COUNTIF(C$4:C1310,"Sell_"&amp;Upgrades!$B$3:$B$13))*Upgrades!$D$3:$D$13))</f>
        <v/>
      </c>
      <c r="F1310" s="66" t="str">
        <f>IFERROR(__xludf.DUMMYFUNCTION("IF(COUNTA(C1310:C1350)=0,"""",IF(REGEXMATCH(INDEX(FILTER(C$4:C1310,C$4:C1310&lt;&gt;""""),ROWS(FILTER(C$4:C1310,C$4:C1310&lt;&gt;""""))),""^Sell_""),INDEX(FILTER(F$4:F1309,C$4:C1309&lt;&gt;""""),ROWS(FILTER(C$4:C1309,C$4:C1309&lt;&gt;""""))),$AC$5+E1310))"),"")</f>
        <v/>
      </c>
      <c r="G1310" s="10" t="str">
        <f>IFERROR(__xludf.DUMMYFUNCTION("IF(COUNTA(C1310:C1350)=0,"""",IF(C1310="""",0,IF(REGEXMATCH(C1310,""^Sell_""),-ROUNDDOWN(ROUNDUP(INDEX(Upgrades!$C$3:$C$13,MATCH(SUBSTITUTE(C1310,""Sell_"",""""),Upgrades!$B$3:$B$13,0))*1.15^(COUNTIF(C$4:C1309,SUBSTITUTE(C1310,""Sell_"",""""))-COUNTIF(C$4"&amp;":C1309,""Sell_""&amp;SUBSTITUTE(C1310,""Sell_"",""""))))/2),ROUNDUP(INDEX(Upgrades!$C$3:$C$13,MATCH(C1310,Upgrades!$B$3:$B$13,0))*1.15^(COUNTIF(C$4:C1309,C1310)-COUNTIF(C$4:C1309,""Sell_""&amp;C1310))))))"),"")</f>
        <v/>
      </c>
      <c r="H1310" s="10" t="str">
        <f t="shared" si="3"/>
        <v/>
      </c>
      <c r="I1310" s="68" t="str">
        <f t="shared" si="4"/>
        <v/>
      </c>
      <c r="J1310" s="59" t="str">
        <f t="shared" si="5"/>
        <v/>
      </c>
      <c r="K1310" s="69" t="str">
        <f t="shared" si="6"/>
        <v/>
      </c>
      <c r="L1310" s="60" t="str">
        <f t="shared" si="7"/>
        <v/>
      </c>
      <c r="M1310" s="61" t="str">
        <f>IFERROR(__xludf.DUMMYFUNCTION("IFS(AND(COUNTA(C1310:C1350)=0,COUNTA(Q1310:Q1350)=0),"""",OR(AND(K1310&gt;=1000000000,OR(Y1310&gt;=1000000000,COUNTA(Q1310:Q1350)=0)),OR(Y1310&gt;=1000000000,AND(COUNTA(C1310:C1350)=0,P$3=TRUE))),
ROUNDDOWN((AB$1-AC$1)*MAX(INDEX(T$4:T1350,MATCH(LARGE(FILTER(Y$4:Y1"&amp;"350,Y$4:Y1350&lt;1000000000),1),Y$4:Y1350)),INDEX(F$4:F1350,MATCH(LARGE(FILTER(K$4:K1350,K$4:K1350&lt;1000000000),1),K$4:K1350)))),AND(K1310&lt;1000000000,COUNTA(C1310:C1350)&gt;0,P$3=FALSE),
ROUNDDOWN(INDEX(Y$4:Y1350,MATCH(LARGE(FILTER(W$4:W1350,W$4:W1350&lt;=I1310),1)"&amp;",W$4:W1350))+(I1310-LARGE(FILTER(W$4:W1350,W$4:W1350&lt;=I1310),1))*INDEX(T$4:T1350,MATCH(LARGE(FILTER(W$4:W1350,W$4:W1350&lt;=I1310),1),W$4:W1350))-K1310),1,
ROUNDDOWN(Y1310-INDEX(K$4:K1350,MATCH(LARGE(FILTER(I$4:I1350,I$4:I1350&lt;=W1310),1),I$4:I1350))-(W1310-L"&amp;"ARGE(FILTER(I$4:I1350,I$4:I1350&lt;=W1310),1))*INDEX(F$4:F1350,MATCH(LARGE(FILTER(I$4:I1350,I$4:I1350&lt;=W1310),1),I$4:I1350))))"),"")</f>
        <v/>
      </c>
      <c r="N1310" s="60" t="str">
        <f t="shared" si="8"/>
        <v/>
      </c>
      <c r="O1310" s="61" t="str">
        <f t="shared" si="9"/>
        <v/>
      </c>
      <c r="P1310" s="56" t="str">
        <f t="shared" si="10"/>
        <v/>
      </c>
      <c r="Q1310" s="62"/>
      <c r="R1310" s="10" t="str">
        <f>IFERROR(__xludf.DUMMYFUNCTION("IF(COUNTA(Q1310:Q1350)=0,"""",IF(ISBLANK(Q1310),FALSE,IF(NOT(COUNTIF($AA$24:$AA$34,SUBSTITUTE(Q1310,""Sell_"",""""))),1,IF(REGEXMATCH(Q1310,""Sell_""),IF(COUNTIF(Q$4:Q1310,SUBSTITUTE(Q1310,""Sell_"",""""))-COUNTIF(Q$4:Q1309,Q1310)&lt;1,1),FALSE))))"),"")</f>
        <v/>
      </c>
      <c r="S1310" s="59" t="str">
        <f t="array" ref="S1310">IF(COUNTA(Q1310:Q1350)=0,"",SUM((COUNTIF(Q$4:Q1310,Upgrades!$B$3:$B$13)-COUNTIF(Q$4:Q1310,"Sell_"&amp;Upgrades!$B$3:$B$13))*Upgrades!$D$3:$D$13))</f>
        <v/>
      </c>
      <c r="T1310" s="66" t="str">
        <f>IFERROR(__xludf.DUMMYFUNCTION("IF(COUNTA(Q1310:Q1350)=0,"""",IF(REGEXMATCH(INDEX(FILTER(Q$4:Q1310,Q$4:Q1310&lt;&gt;""""),ROWS(FILTER(Q$4:Q1310,Q$4:Q1310&lt;&gt;""""))),""^Sell_""),INDEX(FILTER(T$4:T1309,Q$4:Q1309&lt;&gt;""""),ROWS(FILTER(Q$4:Q1309,Q$4:Q1309&lt;&gt;""""))),$AD$5+S1310))"),"")</f>
        <v/>
      </c>
      <c r="U1310" s="10" t="str">
        <f>IFERROR(__xludf.DUMMYFUNCTION("IF(COUNTA(Q1310:Q1350)=0,"""",IF(Q1310="""",0,IF(REGEXMATCH(Q1310,""^Sell_""),-ROUNDDOWN(ROUNDUP(INDEX(Upgrades!$C$3:$C$13,MATCH(SUBSTITUTE(Q1310,""Sell_"",""""),Upgrades!$B$3:$B$13,0))*1.15^(COUNTIF(Q$4:Q1309,SUBSTITUTE(Q1310,""Sell_"",""""))-COUNTIF(Q$4"&amp;":Q1309,""Sell_""&amp;SUBSTITUTE(Q1310,""Sell_"",""""))))/2),ROUNDUP(INDEX(Upgrades!$C$3:$C$13,MATCH(Q1310,Upgrades!$B$3:$B$13,0))*1.15^(COUNTIF(Q$4:Q1309,Q1310)-COUNTIF(Q$4:Q1309,""Sell_""&amp;Q1310))))))"),"")</f>
        <v/>
      </c>
      <c r="V1310" s="10" t="str">
        <f t="shared" si="11"/>
        <v/>
      </c>
      <c r="W1310" s="68" t="str">
        <f t="shared" si="12"/>
        <v/>
      </c>
      <c r="X1310" s="59" t="str">
        <f t="shared" si="13"/>
        <v/>
      </c>
      <c r="Y1310" s="69" t="str">
        <f t="shared" si="14"/>
        <v/>
      </c>
      <c r="Z1310" s="11"/>
    </row>
    <row r="1311">
      <c r="A1311" s="8"/>
      <c r="B1311" s="56" t="str">
        <f t="shared" si="2"/>
        <v/>
      </c>
      <c r="C1311" s="57"/>
      <c r="D1311" s="10" t="str">
        <f>IFERROR(__xludf.DUMMYFUNCTION("IF(COUNTA(C1311:C1350)=0,"""",IF(ISBLANK(C1311),FALSE,IF(NOT(COUNTIF($AA$24:$AA$34,SUBSTITUTE(C1311,""Sell_"",""""))),1,IF(REGEXMATCH(C1311,""Sell_""),IF(COUNTIF(C$4:C1311,SUBSTITUTE(C1311,""Sell_"",""""))-COUNTIF(C$4:C1310,C1311)&lt;1,1),FALSE))))"),"")</f>
        <v/>
      </c>
      <c r="E1311" s="59" t="str">
        <f t="array" ref="E1311">IF(COUNTA(C1311:C1350)=0,"",SUM((COUNTIF(C$4:C1311,Upgrades!$B$3:$B$13)-COUNTIF(C$4:C1311,"Sell_"&amp;Upgrades!$B$3:$B$13))*Upgrades!$D$3:$D$13))</f>
        <v/>
      </c>
      <c r="F1311" s="66" t="str">
        <f>IFERROR(__xludf.DUMMYFUNCTION("IF(COUNTA(C1311:C1350)=0,"""",IF(REGEXMATCH(INDEX(FILTER(C$4:C1311,C$4:C1311&lt;&gt;""""),ROWS(FILTER(C$4:C1311,C$4:C1311&lt;&gt;""""))),""^Sell_""),INDEX(FILTER(F$4:F1310,C$4:C1310&lt;&gt;""""),ROWS(FILTER(C$4:C1310,C$4:C1310&lt;&gt;""""))),$AC$5+E1311))"),"")</f>
        <v/>
      </c>
      <c r="G1311" s="10" t="str">
        <f>IFERROR(__xludf.DUMMYFUNCTION("IF(COUNTA(C1311:C1350)=0,"""",IF(C1311="""",0,IF(REGEXMATCH(C1311,""^Sell_""),-ROUNDDOWN(ROUNDUP(INDEX(Upgrades!$C$3:$C$13,MATCH(SUBSTITUTE(C1311,""Sell_"",""""),Upgrades!$B$3:$B$13,0))*1.15^(COUNTIF(C$4:C1310,SUBSTITUTE(C1311,""Sell_"",""""))-COUNTIF(C$4"&amp;":C1310,""Sell_""&amp;SUBSTITUTE(C1311,""Sell_"",""""))))/2),ROUNDUP(INDEX(Upgrades!$C$3:$C$13,MATCH(C1311,Upgrades!$B$3:$B$13,0))*1.15^(COUNTIF(C$4:C1310,C1311)-COUNTIF(C$4:C1310,""Sell_""&amp;C1311))))))"),"")</f>
        <v/>
      </c>
      <c r="H1311" s="10" t="str">
        <f t="shared" si="3"/>
        <v/>
      </c>
      <c r="I1311" s="68" t="str">
        <f t="shared" si="4"/>
        <v/>
      </c>
      <c r="J1311" s="59" t="str">
        <f t="shared" si="5"/>
        <v/>
      </c>
      <c r="K1311" s="69" t="str">
        <f t="shared" si="6"/>
        <v/>
      </c>
      <c r="L1311" s="60" t="str">
        <f t="shared" si="7"/>
        <v/>
      </c>
      <c r="M1311" s="61" t="str">
        <f>IFERROR(__xludf.DUMMYFUNCTION("IFS(AND(COUNTA(C1311:C1350)=0,COUNTA(Q1311:Q1350)=0),"""",OR(AND(K1311&gt;=1000000000,OR(Y1311&gt;=1000000000,COUNTA(Q1311:Q1350)=0)),OR(Y1311&gt;=1000000000,AND(COUNTA(C1311:C1350)=0,P$3=TRUE))),
ROUNDDOWN((AB$1-AC$1)*MAX(INDEX(T$4:T1350,MATCH(LARGE(FILTER(Y$4:Y1"&amp;"350,Y$4:Y1350&lt;1000000000),1),Y$4:Y1350)),INDEX(F$4:F1350,MATCH(LARGE(FILTER(K$4:K1350,K$4:K1350&lt;1000000000),1),K$4:K1350)))),AND(K1311&lt;1000000000,COUNTA(C1311:C1350)&gt;0,P$3=FALSE),
ROUNDDOWN(INDEX(Y$4:Y1350,MATCH(LARGE(FILTER(W$4:W1350,W$4:W1350&lt;=I1311),1)"&amp;",W$4:W1350))+(I1311-LARGE(FILTER(W$4:W1350,W$4:W1350&lt;=I1311),1))*INDEX(T$4:T1350,MATCH(LARGE(FILTER(W$4:W1350,W$4:W1350&lt;=I1311),1),W$4:W1350))-K1311),1,
ROUNDDOWN(Y1311-INDEX(K$4:K1350,MATCH(LARGE(FILTER(I$4:I1350,I$4:I1350&lt;=W1311),1),I$4:I1350))-(W1311-L"&amp;"ARGE(FILTER(I$4:I1350,I$4:I1350&lt;=W1311),1))*INDEX(F$4:F1350,MATCH(LARGE(FILTER(I$4:I1350,I$4:I1350&lt;=W1311),1),I$4:I1350))))"),"")</f>
        <v/>
      </c>
      <c r="N1311" s="60" t="str">
        <f t="shared" si="8"/>
        <v/>
      </c>
      <c r="O1311" s="61" t="str">
        <f t="shared" si="9"/>
        <v/>
      </c>
      <c r="P1311" s="56" t="str">
        <f t="shared" si="10"/>
        <v/>
      </c>
      <c r="Q1311" s="62"/>
      <c r="R1311" s="10" t="str">
        <f>IFERROR(__xludf.DUMMYFUNCTION("IF(COUNTA(Q1311:Q1350)=0,"""",IF(ISBLANK(Q1311),FALSE,IF(NOT(COUNTIF($AA$24:$AA$34,SUBSTITUTE(Q1311,""Sell_"",""""))),1,IF(REGEXMATCH(Q1311,""Sell_""),IF(COUNTIF(Q$4:Q1311,SUBSTITUTE(Q1311,""Sell_"",""""))-COUNTIF(Q$4:Q1310,Q1311)&lt;1,1),FALSE))))"),"")</f>
        <v/>
      </c>
      <c r="S1311" s="59" t="str">
        <f t="array" ref="S1311">IF(COUNTA(Q1311:Q1350)=0,"",SUM((COUNTIF(Q$4:Q1311,Upgrades!$B$3:$B$13)-COUNTIF(Q$4:Q1311,"Sell_"&amp;Upgrades!$B$3:$B$13))*Upgrades!$D$3:$D$13))</f>
        <v/>
      </c>
      <c r="T1311" s="66" t="str">
        <f>IFERROR(__xludf.DUMMYFUNCTION("IF(COUNTA(Q1311:Q1350)=0,"""",IF(REGEXMATCH(INDEX(FILTER(Q$4:Q1311,Q$4:Q1311&lt;&gt;""""),ROWS(FILTER(Q$4:Q1311,Q$4:Q1311&lt;&gt;""""))),""^Sell_""),INDEX(FILTER(T$4:T1310,Q$4:Q1310&lt;&gt;""""),ROWS(FILTER(Q$4:Q1310,Q$4:Q1310&lt;&gt;""""))),$AD$5+S1311))"),"")</f>
        <v/>
      </c>
      <c r="U1311" s="10" t="str">
        <f>IFERROR(__xludf.DUMMYFUNCTION("IF(COUNTA(Q1311:Q1350)=0,"""",IF(Q1311="""",0,IF(REGEXMATCH(Q1311,""^Sell_""),-ROUNDDOWN(ROUNDUP(INDEX(Upgrades!$C$3:$C$13,MATCH(SUBSTITUTE(Q1311,""Sell_"",""""),Upgrades!$B$3:$B$13,0))*1.15^(COUNTIF(Q$4:Q1310,SUBSTITUTE(Q1311,""Sell_"",""""))-COUNTIF(Q$4"&amp;":Q1310,""Sell_""&amp;SUBSTITUTE(Q1311,""Sell_"",""""))))/2),ROUNDUP(INDEX(Upgrades!$C$3:$C$13,MATCH(Q1311,Upgrades!$B$3:$B$13,0))*1.15^(COUNTIF(Q$4:Q1310,Q1311)-COUNTIF(Q$4:Q1310,""Sell_""&amp;Q1311))))))"),"")</f>
        <v/>
      </c>
      <c r="V1311" s="10" t="str">
        <f t="shared" si="11"/>
        <v/>
      </c>
      <c r="W1311" s="68" t="str">
        <f t="shared" si="12"/>
        <v/>
      </c>
      <c r="X1311" s="59" t="str">
        <f t="shared" si="13"/>
        <v/>
      </c>
      <c r="Y1311" s="69" t="str">
        <f t="shared" si="14"/>
        <v/>
      </c>
      <c r="Z1311" s="11"/>
    </row>
    <row r="1312">
      <c r="A1312" s="8"/>
      <c r="B1312" s="56" t="str">
        <f t="shared" si="2"/>
        <v/>
      </c>
      <c r="C1312" s="57"/>
      <c r="D1312" s="10" t="str">
        <f>IFERROR(__xludf.DUMMYFUNCTION("IF(COUNTA(C1312:C1350)=0,"""",IF(ISBLANK(C1312),FALSE,IF(NOT(COUNTIF($AA$24:$AA$34,SUBSTITUTE(C1312,""Sell_"",""""))),1,IF(REGEXMATCH(C1312,""Sell_""),IF(COUNTIF(C$4:C1312,SUBSTITUTE(C1312,""Sell_"",""""))-COUNTIF(C$4:C1311,C1312)&lt;1,1),FALSE))))"),"")</f>
        <v/>
      </c>
      <c r="E1312" s="59" t="str">
        <f t="array" ref="E1312">IF(COUNTA(C1312:C1350)=0,"",SUM((COUNTIF(C$4:C1312,Upgrades!$B$3:$B$13)-COUNTIF(C$4:C1312,"Sell_"&amp;Upgrades!$B$3:$B$13))*Upgrades!$D$3:$D$13))</f>
        <v/>
      </c>
      <c r="F1312" s="66" t="str">
        <f>IFERROR(__xludf.DUMMYFUNCTION("IF(COUNTA(C1312:C1350)=0,"""",IF(REGEXMATCH(INDEX(FILTER(C$4:C1312,C$4:C1312&lt;&gt;""""),ROWS(FILTER(C$4:C1312,C$4:C1312&lt;&gt;""""))),""^Sell_""),INDEX(FILTER(F$4:F1311,C$4:C1311&lt;&gt;""""),ROWS(FILTER(C$4:C1311,C$4:C1311&lt;&gt;""""))),$AC$5+E1312))"),"")</f>
        <v/>
      </c>
      <c r="G1312" s="10" t="str">
        <f>IFERROR(__xludf.DUMMYFUNCTION("IF(COUNTA(C1312:C1350)=0,"""",IF(C1312="""",0,IF(REGEXMATCH(C1312,""^Sell_""),-ROUNDDOWN(ROUNDUP(INDEX(Upgrades!$C$3:$C$13,MATCH(SUBSTITUTE(C1312,""Sell_"",""""),Upgrades!$B$3:$B$13,0))*1.15^(COUNTIF(C$4:C1311,SUBSTITUTE(C1312,""Sell_"",""""))-COUNTIF(C$4"&amp;":C1311,""Sell_""&amp;SUBSTITUTE(C1312,""Sell_"",""""))))/2),ROUNDUP(INDEX(Upgrades!$C$3:$C$13,MATCH(C1312,Upgrades!$B$3:$B$13,0))*1.15^(COUNTIF(C$4:C1311,C1312)-COUNTIF(C$4:C1311,""Sell_""&amp;C1312))))))"),"")</f>
        <v/>
      </c>
      <c r="H1312" s="10" t="str">
        <f t="shared" si="3"/>
        <v/>
      </c>
      <c r="I1312" s="68" t="str">
        <f t="shared" si="4"/>
        <v/>
      </c>
      <c r="J1312" s="59" t="str">
        <f t="shared" si="5"/>
        <v/>
      </c>
      <c r="K1312" s="69" t="str">
        <f t="shared" si="6"/>
        <v/>
      </c>
      <c r="L1312" s="60" t="str">
        <f t="shared" si="7"/>
        <v/>
      </c>
      <c r="M1312" s="61" t="str">
        <f>IFERROR(__xludf.DUMMYFUNCTION("IFS(AND(COUNTA(C1312:C1350)=0,COUNTA(Q1312:Q1350)=0),"""",OR(AND(K1312&gt;=1000000000,OR(Y1312&gt;=1000000000,COUNTA(Q1312:Q1350)=0)),OR(Y1312&gt;=1000000000,AND(COUNTA(C1312:C1350)=0,P$3=TRUE))),
ROUNDDOWN((AB$1-AC$1)*MAX(INDEX(T$4:T1350,MATCH(LARGE(FILTER(Y$4:Y1"&amp;"350,Y$4:Y1350&lt;1000000000),1),Y$4:Y1350)),INDEX(F$4:F1350,MATCH(LARGE(FILTER(K$4:K1350,K$4:K1350&lt;1000000000),1),K$4:K1350)))),AND(K1312&lt;1000000000,COUNTA(C1312:C1350)&gt;0,P$3=FALSE),
ROUNDDOWN(INDEX(Y$4:Y1350,MATCH(LARGE(FILTER(W$4:W1350,W$4:W1350&lt;=I1312),1)"&amp;",W$4:W1350))+(I1312-LARGE(FILTER(W$4:W1350,W$4:W1350&lt;=I1312),1))*INDEX(T$4:T1350,MATCH(LARGE(FILTER(W$4:W1350,W$4:W1350&lt;=I1312),1),W$4:W1350))-K1312),1,
ROUNDDOWN(Y1312-INDEX(K$4:K1350,MATCH(LARGE(FILTER(I$4:I1350,I$4:I1350&lt;=W1312),1),I$4:I1350))-(W1312-L"&amp;"ARGE(FILTER(I$4:I1350,I$4:I1350&lt;=W1312),1))*INDEX(F$4:F1350,MATCH(LARGE(FILTER(I$4:I1350,I$4:I1350&lt;=W1312),1),I$4:I1350))))"),"")</f>
        <v/>
      </c>
      <c r="N1312" s="60" t="str">
        <f t="shared" si="8"/>
        <v/>
      </c>
      <c r="O1312" s="61" t="str">
        <f t="shared" si="9"/>
        <v/>
      </c>
      <c r="P1312" s="56" t="str">
        <f t="shared" si="10"/>
        <v/>
      </c>
      <c r="Q1312" s="62"/>
      <c r="R1312" s="10" t="str">
        <f>IFERROR(__xludf.DUMMYFUNCTION("IF(COUNTA(Q1312:Q1350)=0,"""",IF(ISBLANK(Q1312),FALSE,IF(NOT(COUNTIF($AA$24:$AA$34,SUBSTITUTE(Q1312,""Sell_"",""""))),1,IF(REGEXMATCH(Q1312,""Sell_""),IF(COUNTIF(Q$4:Q1312,SUBSTITUTE(Q1312,""Sell_"",""""))-COUNTIF(Q$4:Q1311,Q1312)&lt;1,1),FALSE))))"),"")</f>
        <v/>
      </c>
      <c r="S1312" s="59" t="str">
        <f t="array" ref="S1312">IF(COUNTA(Q1312:Q1350)=0,"",SUM((COUNTIF(Q$4:Q1312,Upgrades!$B$3:$B$13)-COUNTIF(Q$4:Q1312,"Sell_"&amp;Upgrades!$B$3:$B$13))*Upgrades!$D$3:$D$13))</f>
        <v/>
      </c>
      <c r="T1312" s="66" t="str">
        <f>IFERROR(__xludf.DUMMYFUNCTION("IF(COUNTA(Q1312:Q1350)=0,"""",IF(REGEXMATCH(INDEX(FILTER(Q$4:Q1312,Q$4:Q1312&lt;&gt;""""),ROWS(FILTER(Q$4:Q1312,Q$4:Q1312&lt;&gt;""""))),""^Sell_""),INDEX(FILTER(T$4:T1311,Q$4:Q1311&lt;&gt;""""),ROWS(FILTER(Q$4:Q1311,Q$4:Q1311&lt;&gt;""""))),$AD$5+S1312))"),"")</f>
        <v/>
      </c>
      <c r="U1312" s="10" t="str">
        <f>IFERROR(__xludf.DUMMYFUNCTION("IF(COUNTA(Q1312:Q1350)=0,"""",IF(Q1312="""",0,IF(REGEXMATCH(Q1312,""^Sell_""),-ROUNDDOWN(ROUNDUP(INDEX(Upgrades!$C$3:$C$13,MATCH(SUBSTITUTE(Q1312,""Sell_"",""""),Upgrades!$B$3:$B$13,0))*1.15^(COUNTIF(Q$4:Q1311,SUBSTITUTE(Q1312,""Sell_"",""""))-COUNTIF(Q$4"&amp;":Q1311,""Sell_""&amp;SUBSTITUTE(Q1312,""Sell_"",""""))))/2),ROUNDUP(INDEX(Upgrades!$C$3:$C$13,MATCH(Q1312,Upgrades!$B$3:$B$13,0))*1.15^(COUNTIF(Q$4:Q1311,Q1312)-COUNTIF(Q$4:Q1311,""Sell_""&amp;Q1312))))))"),"")</f>
        <v/>
      </c>
      <c r="V1312" s="10" t="str">
        <f t="shared" si="11"/>
        <v/>
      </c>
      <c r="W1312" s="68" t="str">
        <f t="shared" si="12"/>
        <v/>
      </c>
      <c r="X1312" s="59" t="str">
        <f t="shared" si="13"/>
        <v/>
      </c>
      <c r="Y1312" s="69" t="str">
        <f t="shared" si="14"/>
        <v/>
      </c>
      <c r="Z1312" s="11"/>
    </row>
    <row r="1313">
      <c r="A1313" s="8"/>
      <c r="B1313" s="56" t="str">
        <f t="shared" si="2"/>
        <v/>
      </c>
      <c r="C1313" s="57"/>
      <c r="D1313" s="10" t="str">
        <f>IFERROR(__xludf.DUMMYFUNCTION("IF(COUNTA(C1313:C1350)=0,"""",IF(ISBLANK(C1313),FALSE,IF(NOT(COUNTIF($AA$24:$AA$34,SUBSTITUTE(C1313,""Sell_"",""""))),1,IF(REGEXMATCH(C1313,""Sell_""),IF(COUNTIF(C$4:C1313,SUBSTITUTE(C1313,""Sell_"",""""))-COUNTIF(C$4:C1312,C1313)&lt;1,1),FALSE))))"),"")</f>
        <v/>
      </c>
      <c r="E1313" s="59" t="str">
        <f t="array" ref="E1313">IF(COUNTA(C1313:C1350)=0,"",SUM((COUNTIF(C$4:C1313,Upgrades!$B$3:$B$13)-COUNTIF(C$4:C1313,"Sell_"&amp;Upgrades!$B$3:$B$13))*Upgrades!$D$3:$D$13))</f>
        <v/>
      </c>
      <c r="F1313" s="66" t="str">
        <f>IFERROR(__xludf.DUMMYFUNCTION("IF(COUNTA(C1313:C1350)=0,"""",IF(REGEXMATCH(INDEX(FILTER(C$4:C1313,C$4:C1313&lt;&gt;""""),ROWS(FILTER(C$4:C1313,C$4:C1313&lt;&gt;""""))),""^Sell_""),INDEX(FILTER(F$4:F1312,C$4:C1312&lt;&gt;""""),ROWS(FILTER(C$4:C1312,C$4:C1312&lt;&gt;""""))),$AC$5+E1313))"),"")</f>
        <v/>
      </c>
      <c r="G1313" s="10" t="str">
        <f>IFERROR(__xludf.DUMMYFUNCTION("IF(COUNTA(C1313:C1350)=0,"""",IF(C1313="""",0,IF(REGEXMATCH(C1313,""^Sell_""),-ROUNDDOWN(ROUNDUP(INDEX(Upgrades!$C$3:$C$13,MATCH(SUBSTITUTE(C1313,""Sell_"",""""),Upgrades!$B$3:$B$13,0))*1.15^(COUNTIF(C$4:C1312,SUBSTITUTE(C1313,""Sell_"",""""))-COUNTIF(C$4"&amp;":C1312,""Sell_""&amp;SUBSTITUTE(C1313,""Sell_"",""""))))/2),ROUNDUP(INDEX(Upgrades!$C$3:$C$13,MATCH(C1313,Upgrades!$B$3:$B$13,0))*1.15^(COUNTIF(C$4:C1312,C1313)-COUNTIF(C$4:C1312,""Sell_""&amp;C1313))))))"),"")</f>
        <v/>
      </c>
      <c r="H1313" s="10" t="str">
        <f t="shared" si="3"/>
        <v/>
      </c>
      <c r="I1313" s="68" t="str">
        <f t="shared" si="4"/>
        <v/>
      </c>
      <c r="J1313" s="59" t="str">
        <f t="shared" si="5"/>
        <v/>
      </c>
      <c r="K1313" s="69" t="str">
        <f t="shared" si="6"/>
        <v/>
      </c>
      <c r="L1313" s="60" t="str">
        <f t="shared" si="7"/>
        <v/>
      </c>
      <c r="M1313" s="61" t="str">
        <f>IFERROR(__xludf.DUMMYFUNCTION("IFS(AND(COUNTA(C1313:C1350)=0,COUNTA(Q1313:Q1350)=0),"""",OR(AND(K1313&gt;=1000000000,OR(Y1313&gt;=1000000000,COUNTA(Q1313:Q1350)=0)),OR(Y1313&gt;=1000000000,AND(COUNTA(C1313:C1350)=0,P$3=TRUE))),
ROUNDDOWN((AB$1-AC$1)*MAX(INDEX(T$4:T1350,MATCH(LARGE(FILTER(Y$4:Y1"&amp;"350,Y$4:Y1350&lt;1000000000),1),Y$4:Y1350)),INDEX(F$4:F1350,MATCH(LARGE(FILTER(K$4:K1350,K$4:K1350&lt;1000000000),1),K$4:K1350)))),AND(K1313&lt;1000000000,COUNTA(C1313:C1350)&gt;0,P$3=FALSE),
ROUNDDOWN(INDEX(Y$4:Y1350,MATCH(LARGE(FILTER(W$4:W1350,W$4:W1350&lt;=I1313),1)"&amp;",W$4:W1350))+(I1313-LARGE(FILTER(W$4:W1350,W$4:W1350&lt;=I1313),1))*INDEX(T$4:T1350,MATCH(LARGE(FILTER(W$4:W1350,W$4:W1350&lt;=I1313),1),W$4:W1350))-K1313),1,
ROUNDDOWN(Y1313-INDEX(K$4:K1350,MATCH(LARGE(FILTER(I$4:I1350,I$4:I1350&lt;=W1313),1),I$4:I1350))-(W1313-L"&amp;"ARGE(FILTER(I$4:I1350,I$4:I1350&lt;=W1313),1))*INDEX(F$4:F1350,MATCH(LARGE(FILTER(I$4:I1350,I$4:I1350&lt;=W1313),1),I$4:I1350))))"),"")</f>
        <v/>
      </c>
      <c r="N1313" s="60" t="str">
        <f t="shared" si="8"/>
        <v/>
      </c>
      <c r="O1313" s="61" t="str">
        <f t="shared" si="9"/>
        <v/>
      </c>
      <c r="P1313" s="56" t="str">
        <f t="shared" si="10"/>
        <v/>
      </c>
      <c r="Q1313" s="62"/>
      <c r="R1313" s="10" t="str">
        <f>IFERROR(__xludf.DUMMYFUNCTION("IF(COUNTA(Q1313:Q1350)=0,"""",IF(ISBLANK(Q1313),FALSE,IF(NOT(COUNTIF($AA$24:$AA$34,SUBSTITUTE(Q1313,""Sell_"",""""))),1,IF(REGEXMATCH(Q1313,""Sell_""),IF(COUNTIF(Q$4:Q1313,SUBSTITUTE(Q1313,""Sell_"",""""))-COUNTIF(Q$4:Q1312,Q1313)&lt;1,1),FALSE))))"),"")</f>
        <v/>
      </c>
      <c r="S1313" s="59" t="str">
        <f t="array" ref="S1313">IF(COUNTA(Q1313:Q1350)=0,"",SUM((COUNTIF(Q$4:Q1313,Upgrades!$B$3:$B$13)-COUNTIF(Q$4:Q1313,"Sell_"&amp;Upgrades!$B$3:$B$13))*Upgrades!$D$3:$D$13))</f>
        <v/>
      </c>
      <c r="T1313" s="66" t="str">
        <f>IFERROR(__xludf.DUMMYFUNCTION("IF(COUNTA(Q1313:Q1350)=0,"""",IF(REGEXMATCH(INDEX(FILTER(Q$4:Q1313,Q$4:Q1313&lt;&gt;""""),ROWS(FILTER(Q$4:Q1313,Q$4:Q1313&lt;&gt;""""))),""^Sell_""),INDEX(FILTER(T$4:T1312,Q$4:Q1312&lt;&gt;""""),ROWS(FILTER(Q$4:Q1312,Q$4:Q1312&lt;&gt;""""))),$AD$5+S1313))"),"")</f>
        <v/>
      </c>
      <c r="U1313" s="10" t="str">
        <f>IFERROR(__xludf.DUMMYFUNCTION("IF(COUNTA(Q1313:Q1350)=0,"""",IF(Q1313="""",0,IF(REGEXMATCH(Q1313,""^Sell_""),-ROUNDDOWN(ROUNDUP(INDEX(Upgrades!$C$3:$C$13,MATCH(SUBSTITUTE(Q1313,""Sell_"",""""),Upgrades!$B$3:$B$13,0))*1.15^(COUNTIF(Q$4:Q1312,SUBSTITUTE(Q1313,""Sell_"",""""))-COUNTIF(Q$4"&amp;":Q1312,""Sell_""&amp;SUBSTITUTE(Q1313,""Sell_"",""""))))/2),ROUNDUP(INDEX(Upgrades!$C$3:$C$13,MATCH(Q1313,Upgrades!$B$3:$B$13,0))*1.15^(COUNTIF(Q$4:Q1312,Q1313)-COUNTIF(Q$4:Q1312,""Sell_""&amp;Q1313))))))"),"")</f>
        <v/>
      </c>
      <c r="V1313" s="10" t="str">
        <f t="shared" si="11"/>
        <v/>
      </c>
      <c r="W1313" s="68" t="str">
        <f t="shared" si="12"/>
        <v/>
      </c>
      <c r="X1313" s="59" t="str">
        <f t="shared" si="13"/>
        <v/>
      </c>
      <c r="Y1313" s="69" t="str">
        <f t="shared" si="14"/>
        <v/>
      </c>
      <c r="Z1313" s="11"/>
    </row>
    <row r="1314">
      <c r="A1314" s="8"/>
      <c r="B1314" s="56" t="str">
        <f t="shared" si="2"/>
        <v/>
      </c>
      <c r="C1314" s="57"/>
      <c r="D1314" s="10" t="str">
        <f>IFERROR(__xludf.DUMMYFUNCTION("IF(COUNTA(C1314:C1350)=0,"""",IF(ISBLANK(C1314),FALSE,IF(NOT(COUNTIF($AA$24:$AA$34,SUBSTITUTE(C1314,""Sell_"",""""))),1,IF(REGEXMATCH(C1314,""Sell_""),IF(COUNTIF(C$4:C1314,SUBSTITUTE(C1314,""Sell_"",""""))-COUNTIF(C$4:C1313,C1314)&lt;1,1),FALSE))))"),"")</f>
        <v/>
      </c>
      <c r="E1314" s="59" t="str">
        <f t="array" ref="E1314">IF(COUNTA(C1314:C1350)=0,"",SUM((COUNTIF(C$4:C1314,Upgrades!$B$3:$B$13)-COUNTIF(C$4:C1314,"Sell_"&amp;Upgrades!$B$3:$B$13))*Upgrades!$D$3:$D$13))</f>
        <v/>
      </c>
      <c r="F1314" s="66" t="str">
        <f>IFERROR(__xludf.DUMMYFUNCTION("IF(COUNTA(C1314:C1350)=0,"""",IF(REGEXMATCH(INDEX(FILTER(C$4:C1314,C$4:C1314&lt;&gt;""""),ROWS(FILTER(C$4:C1314,C$4:C1314&lt;&gt;""""))),""^Sell_""),INDEX(FILTER(F$4:F1313,C$4:C1313&lt;&gt;""""),ROWS(FILTER(C$4:C1313,C$4:C1313&lt;&gt;""""))),$AC$5+E1314))"),"")</f>
        <v/>
      </c>
      <c r="G1314" s="10" t="str">
        <f>IFERROR(__xludf.DUMMYFUNCTION("IF(COUNTA(C1314:C1350)=0,"""",IF(C1314="""",0,IF(REGEXMATCH(C1314,""^Sell_""),-ROUNDDOWN(ROUNDUP(INDEX(Upgrades!$C$3:$C$13,MATCH(SUBSTITUTE(C1314,""Sell_"",""""),Upgrades!$B$3:$B$13,0))*1.15^(COUNTIF(C$4:C1313,SUBSTITUTE(C1314,""Sell_"",""""))-COUNTIF(C$4"&amp;":C1313,""Sell_""&amp;SUBSTITUTE(C1314,""Sell_"",""""))))/2),ROUNDUP(INDEX(Upgrades!$C$3:$C$13,MATCH(C1314,Upgrades!$B$3:$B$13,0))*1.15^(COUNTIF(C$4:C1313,C1314)-COUNTIF(C$4:C1313,""Sell_""&amp;C1314))))))"),"")</f>
        <v/>
      </c>
      <c r="H1314" s="10" t="str">
        <f t="shared" si="3"/>
        <v/>
      </c>
      <c r="I1314" s="68" t="str">
        <f t="shared" si="4"/>
        <v/>
      </c>
      <c r="J1314" s="59" t="str">
        <f t="shared" si="5"/>
        <v/>
      </c>
      <c r="K1314" s="69" t="str">
        <f t="shared" si="6"/>
        <v/>
      </c>
      <c r="L1314" s="60" t="str">
        <f t="shared" si="7"/>
        <v/>
      </c>
      <c r="M1314" s="61" t="str">
        <f>IFERROR(__xludf.DUMMYFUNCTION("IFS(AND(COUNTA(C1314:C1350)=0,COUNTA(Q1314:Q1350)=0),"""",OR(AND(K1314&gt;=1000000000,OR(Y1314&gt;=1000000000,COUNTA(Q1314:Q1350)=0)),OR(Y1314&gt;=1000000000,AND(COUNTA(C1314:C1350)=0,P$3=TRUE))),
ROUNDDOWN((AB$1-AC$1)*MAX(INDEX(T$4:T1350,MATCH(LARGE(FILTER(Y$4:Y1"&amp;"350,Y$4:Y1350&lt;1000000000),1),Y$4:Y1350)),INDEX(F$4:F1350,MATCH(LARGE(FILTER(K$4:K1350,K$4:K1350&lt;1000000000),1),K$4:K1350)))),AND(K1314&lt;1000000000,COUNTA(C1314:C1350)&gt;0,P$3=FALSE),
ROUNDDOWN(INDEX(Y$4:Y1350,MATCH(LARGE(FILTER(W$4:W1350,W$4:W1350&lt;=I1314),1)"&amp;",W$4:W1350))+(I1314-LARGE(FILTER(W$4:W1350,W$4:W1350&lt;=I1314),1))*INDEX(T$4:T1350,MATCH(LARGE(FILTER(W$4:W1350,W$4:W1350&lt;=I1314),1),W$4:W1350))-K1314),1,
ROUNDDOWN(Y1314-INDEX(K$4:K1350,MATCH(LARGE(FILTER(I$4:I1350,I$4:I1350&lt;=W1314),1),I$4:I1350))-(W1314-L"&amp;"ARGE(FILTER(I$4:I1350,I$4:I1350&lt;=W1314),1))*INDEX(F$4:F1350,MATCH(LARGE(FILTER(I$4:I1350,I$4:I1350&lt;=W1314),1),I$4:I1350))))"),"")</f>
        <v/>
      </c>
      <c r="N1314" s="60" t="str">
        <f t="shared" si="8"/>
        <v/>
      </c>
      <c r="O1314" s="61" t="str">
        <f t="shared" si="9"/>
        <v/>
      </c>
      <c r="P1314" s="56" t="str">
        <f t="shared" si="10"/>
        <v/>
      </c>
      <c r="Q1314" s="62"/>
      <c r="R1314" s="10" t="str">
        <f>IFERROR(__xludf.DUMMYFUNCTION("IF(COUNTA(Q1314:Q1350)=0,"""",IF(ISBLANK(Q1314),FALSE,IF(NOT(COUNTIF($AA$24:$AA$34,SUBSTITUTE(Q1314,""Sell_"",""""))),1,IF(REGEXMATCH(Q1314,""Sell_""),IF(COUNTIF(Q$4:Q1314,SUBSTITUTE(Q1314,""Sell_"",""""))-COUNTIF(Q$4:Q1313,Q1314)&lt;1,1),FALSE))))"),"")</f>
        <v/>
      </c>
      <c r="S1314" s="59" t="str">
        <f t="array" ref="S1314">IF(COUNTA(Q1314:Q1350)=0,"",SUM((COUNTIF(Q$4:Q1314,Upgrades!$B$3:$B$13)-COUNTIF(Q$4:Q1314,"Sell_"&amp;Upgrades!$B$3:$B$13))*Upgrades!$D$3:$D$13))</f>
        <v/>
      </c>
      <c r="T1314" s="66" t="str">
        <f>IFERROR(__xludf.DUMMYFUNCTION("IF(COUNTA(Q1314:Q1350)=0,"""",IF(REGEXMATCH(INDEX(FILTER(Q$4:Q1314,Q$4:Q1314&lt;&gt;""""),ROWS(FILTER(Q$4:Q1314,Q$4:Q1314&lt;&gt;""""))),""^Sell_""),INDEX(FILTER(T$4:T1313,Q$4:Q1313&lt;&gt;""""),ROWS(FILTER(Q$4:Q1313,Q$4:Q1313&lt;&gt;""""))),$AD$5+S1314))"),"")</f>
        <v/>
      </c>
      <c r="U1314" s="10" t="str">
        <f>IFERROR(__xludf.DUMMYFUNCTION("IF(COUNTA(Q1314:Q1350)=0,"""",IF(Q1314="""",0,IF(REGEXMATCH(Q1314,""^Sell_""),-ROUNDDOWN(ROUNDUP(INDEX(Upgrades!$C$3:$C$13,MATCH(SUBSTITUTE(Q1314,""Sell_"",""""),Upgrades!$B$3:$B$13,0))*1.15^(COUNTIF(Q$4:Q1313,SUBSTITUTE(Q1314,""Sell_"",""""))-COUNTIF(Q$4"&amp;":Q1313,""Sell_""&amp;SUBSTITUTE(Q1314,""Sell_"",""""))))/2),ROUNDUP(INDEX(Upgrades!$C$3:$C$13,MATCH(Q1314,Upgrades!$B$3:$B$13,0))*1.15^(COUNTIF(Q$4:Q1313,Q1314)-COUNTIF(Q$4:Q1313,""Sell_""&amp;Q1314))))))"),"")</f>
        <v/>
      </c>
      <c r="V1314" s="10" t="str">
        <f t="shared" si="11"/>
        <v/>
      </c>
      <c r="W1314" s="68" t="str">
        <f t="shared" si="12"/>
        <v/>
      </c>
      <c r="X1314" s="59" t="str">
        <f t="shared" si="13"/>
        <v/>
      </c>
      <c r="Y1314" s="69" t="str">
        <f t="shared" si="14"/>
        <v/>
      </c>
      <c r="Z1314" s="11"/>
    </row>
    <row r="1315">
      <c r="A1315" s="8"/>
      <c r="B1315" s="56" t="str">
        <f t="shared" si="2"/>
        <v/>
      </c>
      <c r="C1315" s="57"/>
      <c r="D1315" s="10" t="str">
        <f>IFERROR(__xludf.DUMMYFUNCTION("IF(COUNTA(C1315:C1350)=0,"""",IF(ISBLANK(C1315),FALSE,IF(NOT(COUNTIF($AA$24:$AA$34,SUBSTITUTE(C1315,""Sell_"",""""))),1,IF(REGEXMATCH(C1315,""Sell_""),IF(COUNTIF(C$4:C1315,SUBSTITUTE(C1315,""Sell_"",""""))-COUNTIF(C$4:C1314,C1315)&lt;1,1),FALSE))))"),"")</f>
        <v/>
      </c>
      <c r="E1315" s="59" t="str">
        <f t="array" ref="E1315">IF(COUNTA(C1315:C1350)=0,"",SUM((COUNTIF(C$4:C1315,Upgrades!$B$3:$B$13)-COUNTIF(C$4:C1315,"Sell_"&amp;Upgrades!$B$3:$B$13))*Upgrades!$D$3:$D$13))</f>
        <v/>
      </c>
      <c r="F1315" s="66" t="str">
        <f>IFERROR(__xludf.DUMMYFUNCTION("IF(COUNTA(C1315:C1350)=0,"""",IF(REGEXMATCH(INDEX(FILTER(C$4:C1315,C$4:C1315&lt;&gt;""""),ROWS(FILTER(C$4:C1315,C$4:C1315&lt;&gt;""""))),""^Sell_""),INDEX(FILTER(F$4:F1314,C$4:C1314&lt;&gt;""""),ROWS(FILTER(C$4:C1314,C$4:C1314&lt;&gt;""""))),$AC$5+E1315))"),"")</f>
        <v/>
      </c>
      <c r="G1315" s="10" t="str">
        <f>IFERROR(__xludf.DUMMYFUNCTION("IF(COUNTA(C1315:C1350)=0,"""",IF(C1315="""",0,IF(REGEXMATCH(C1315,""^Sell_""),-ROUNDDOWN(ROUNDUP(INDEX(Upgrades!$C$3:$C$13,MATCH(SUBSTITUTE(C1315,""Sell_"",""""),Upgrades!$B$3:$B$13,0))*1.15^(COUNTIF(C$4:C1314,SUBSTITUTE(C1315,""Sell_"",""""))-COUNTIF(C$4"&amp;":C1314,""Sell_""&amp;SUBSTITUTE(C1315,""Sell_"",""""))))/2),ROUNDUP(INDEX(Upgrades!$C$3:$C$13,MATCH(C1315,Upgrades!$B$3:$B$13,0))*1.15^(COUNTIF(C$4:C1314,C1315)-COUNTIF(C$4:C1314,""Sell_""&amp;C1315))))))"),"")</f>
        <v/>
      </c>
      <c r="H1315" s="10" t="str">
        <f t="shared" si="3"/>
        <v/>
      </c>
      <c r="I1315" s="68" t="str">
        <f t="shared" si="4"/>
        <v/>
      </c>
      <c r="J1315" s="59" t="str">
        <f t="shared" si="5"/>
        <v/>
      </c>
      <c r="K1315" s="69" t="str">
        <f t="shared" si="6"/>
        <v/>
      </c>
      <c r="L1315" s="60" t="str">
        <f t="shared" si="7"/>
        <v/>
      </c>
      <c r="M1315" s="61" t="str">
        <f>IFERROR(__xludf.DUMMYFUNCTION("IFS(AND(COUNTA(C1315:C1350)=0,COUNTA(Q1315:Q1350)=0),"""",OR(AND(K1315&gt;=1000000000,OR(Y1315&gt;=1000000000,COUNTA(Q1315:Q1350)=0)),OR(Y1315&gt;=1000000000,AND(COUNTA(C1315:C1350)=0,P$3=TRUE))),
ROUNDDOWN((AB$1-AC$1)*MAX(INDEX(T$4:T1350,MATCH(LARGE(FILTER(Y$4:Y1"&amp;"350,Y$4:Y1350&lt;1000000000),1),Y$4:Y1350)),INDEX(F$4:F1350,MATCH(LARGE(FILTER(K$4:K1350,K$4:K1350&lt;1000000000),1),K$4:K1350)))),AND(K1315&lt;1000000000,COUNTA(C1315:C1350)&gt;0,P$3=FALSE),
ROUNDDOWN(INDEX(Y$4:Y1350,MATCH(LARGE(FILTER(W$4:W1350,W$4:W1350&lt;=I1315),1)"&amp;",W$4:W1350))+(I1315-LARGE(FILTER(W$4:W1350,W$4:W1350&lt;=I1315),1))*INDEX(T$4:T1350,MATCH(LARGE(FILTER(W$4:W1350,W$4:W1350&lt;=I1315),1),W$4:W1350))-K1315),1,
ROUNDDOWN(Y1315-INDEX(K$4:K1350,MATCH(LARGE(FILTER(I$4:I1350,I$4:I1350&lt;=W1315),1),I$4:I1350))-(W1315-L"&amp;"ARGE(FILTER(I$4:I1350,I$4:I1350&lt;=W1315),1))*INDEX(F$4:F1350,MATCH(LARGE(FILTER(I$4:I1350,I$4:I1350&lt;=W1315),1),I$4:I1350))))"),"")</f>
        <v/>
      </c>
      <c r="N1315" s="60" t="str">
        <f t="shared" si="8"/>
        <v/>
      </c>
      <c r="O1315" s="61" t="str">
        <f t="shared" si="9"/>
        <v/>
      </c>
      <c r="P1315" s="56" t="str">
        <f t="shared" si="10"/>
        <v/>
      </c>
      <c r="Q1315" s="62"/>
      <c r="R1315" s="10" t="str">
        <f>IFERROR(__xludf.DUMMYFUNCTION("IF(COUNTA(Q1315:Q1350)=0,"""",IF(ISBLANK(Q1315),FALSE,IF(NOT(COUNTIF($AA$24:$AA$34,SUBSTITUTE(Q1315,""Sell_"",""""))),1,IF(REGEXMATCH(Q1315,""Sell_""),IF(COUNTIF(Q$4:Q1315,SUBSTITUTE(Q1315,""Sell_"",""""))-COUNTIF(Q$4:Q1314,Q1315)&lt;1,1),FALSE))))"),"")</f>
        <v/>
      </c>
      <c r="S1315" s="59" t="str">
        <f t="array" ref="S1315">IF(COUNTA(Q1315:Q1350)=0,"",SUM((COUNTIF(Q$4:Q1315,Upgrades!$B$3:$B$13)-COUNTIF(Q$4:Q1315,"Sell_"&amp;Upgrades!$B$3:$B$13))*Upgrades!$D$3:$D$13))</f>
        <v/>
      </c>
      <c r="T1315" s="66" t="str">
        <f>IFERROR(__xludf.DUMMYFUNCTION("IF(COUNTA(Q1315:Q1350)=0,"""",IF(REGEXMATCH(INDEX(FILTER(Q$4:Q1315,Q$4:Q1315&lt;&gt;""""),ROWS(FILTER(Q$4:Q1315,Q$4:Q1315&lt;&gt;""""))),""^Sell_""),INDEX(FILTER(T$4:T1314,Q$4:Q1314&lt;&gt;""""),ROWS(FILTER(Q$4:Q1314,Q$4:Q1314&lt;&gt;""""))),$AD$5+S1315))"),"")</f>
        <v/>
      </c>
      <c r="U1315" s="10" t="str">
        <f>IFERROR(__xludf.DUMMYFUNCTION("IF(COUNTA(Q1315:Q1350)=0,"""",IF(Q1315="""",0,IF(REGEXMATCH(Q1315,""^Sell_""),-ROUNDDOWN(ROUNDUP(INDEX(Upgrades!$C$3:$C$13,MATCH(SUBSTITUTE(Q1315,""Sell_"",""""),Upgrades!$B$3:$B$13,0))*1.15^(COUNTIF(Q$4:Q1314,SUBSTITUTE(Q1315,""Sell_"",""""))-COUNTIF(Q$4"&amp;":Q1314,""Sell_""&amp;SUBSTITUTE(Q1315,""Sell_"",""""))))/2),ROUNDUP(INDEX(Upgrades!$C$3:$C$13,MATCH(Q1315,Upgrades!$B$3:$B$13,0))*1.15^(COUNTIF(Q$4:Q1314,Q1315)-COUNTIF(Q$4:Q1314,""Sell_""&amp;Q1315))))))"),"")</f>
        <v/>
      </c>
      <c r="V1315" s="10" t="str">
        <f t="shared" si="11"/>
        <v/>
      </c>
      <c r="W1315" s="68" t="str">
        <f t="shared" si="12"/>
        <v/>
      </c>
      <c r="X1315" s="59" t="str">
        <f t="shared" si="13"/>
        <v/>
      </c>
      <c r="Y1315" s="69" t="str">
        <f t="shared" si="14"/>
        <v/>
      </c>
      <c r="Z1315" s="11"/>
    </row>
    <row r="1316">
      <c r="A1316" s="8"/>
      <c r="B1316" s="56" t="str">
        <f t="shared" si="2"/>
        <v/>
      </c>
      <c r="C1316" s="57"/>
      <c r="D1316" s="10" t="str">
        <f>IFERROR(__xludf.DUMMYFUNCTION("IF(COUNTA(C1316:C1350)=0,"""",IF(ISBLANK(C1316),FALSE,IF(NOT(COUNTIF($AA$24:$AA$34,SUBSTITUTE(C1316,""Sell_"",""""))),1,IF(REGEXMATCH(C1316,""Sell_""),IF(COUNTIF(C$4:C1316,SUBSTITUTE(C1316,""Sell_"",""""))-COUNTIF(C$4:C1315,C1316)&lt;1,1),FALSE))))"),"")</f>
        <v/>
      </c>
      <c r="E1316" s="59" t="str">
        <f t="array" ref="E1316">IF(COUNTA(C1316:C1350)=0,"",SUM((COUNTIF(C$4:C1316,Upgrades!$B$3:$B$13)-COUNTIF(C$4:C1316,"Sell_"&amp;Upgrades!$B$3:$B$13))*Upgrades!$D$3:$D$13))</f>
        <v/>
      </c>
      <c r="F1316" s="66" t="str">
        <f>IFERROR(__xludf.DUMMYFUNCTION("IF(COUNTA(C1316:C1350)=0,"""",IF(REGEXMATCH(INDEX(FILTER(C$4:C1316,C$4:C1316&lt;&gt;""""),ROWS(FILTER(C$4:C1316,C$4:C1316&lt;&gt;""""))),""^Sell_""),INDEX(FILTER(F$4:F1315,C$4:C1315&lt;&gt;""""),ROWS(FILTER(C$4:C1315,C$4:C1315&lt;&gt;""""))),$AC$5+E1316))"),"")</f>
        <v/>
      </c>
      <c r="G1316" s="10" t="str">
        <f>IFERROR(__xludf.DUMMYFUNCTION("IF(COUNTA(C1316:C1350)=0,"""",IF(C1316="""",0,IF(REGEXMATCH(C1316,""^Sell_""),-ROUNDDOWN(ROUNDUP(INDEX(Upgrades!$C$3:$C$13,MATCH(SUBSTITUTE(C1316,""Sell_"",""""),Upgrades!$B$3:$B$13,0))*1.15^(COUNTIF(C$4:C1315,SUBSTITUTE(C1316,""Sell_"",""""))-COUNTIF(C$4"&amp;":C1315,""Sell_""&amp;SUBSTITUTE(C1316,""Sell_"",""""))))/2),ROUNDUP(INDEX(Upgrades!$C$3:$C$13,MATCH(C1316,Upgrades!$B$3:$B$13,0))*1.15^(COUNTIF(C$4:C1315,C1316)-COUNTIF(C$4:C1315,""Sell_""&amp;C1316))))))"),"")</f>
        <v/>
      </c>
      <c r="H1316" s="10" t="str">
        <f t="shared" si="3"/>
        <v/>
      </c>
      <c r="I1316" s="68" t="str">
        <f t="shared" si="4"/>
        <v/>
      </c>
      <c r="J1316" s="59" t="str">
        <f t="shared" si="5"/>
        <v/>
      </c>
      <c r="K1316" s="69" t="str">
        <f t="shared" si="6"/>
        <v/>
      </c>
      <c r="L1316" s="60" t="str">
        <f t="shared" si="7"/>
        <v/>
      </c>
      <c r="M1316" s="61" t="str">
        <f>IFERROR(__xludf.DUMMYFUNCTION("IFS(AND(COUNTA(C1316:C1350)=0,COUNTA(Q1316:Q1350)=0),"""",OR(AND(K1316&gt;=1000000000,OR(Y1316&gt;=1000000000,COUNTA(Q1316:Q1350)=0)),OR(Y1316&gt;=1000000000,AND(COUNTA(C1316:C1350)=0,P$3=TRUE))),
ROUNDDOWN((AB$1-AC$1)*MAX(INDEX(T$4:T1350,MATCH(LARGE(FILTER(Y$4:Y1"&amp;"350,Y$4:Y1350&lt;1000000000),1),Y$4:Y1350)),INDEX(F$4:F1350,MATCH(LARGE(FILTER(K$4:K1350,K$4:K1350&lt;1000000000),1),K$4:K1350)))),AND(K1316&lt;1000000000,COUNTA(C1316:C1350)&gt;0,P$3=FALSE),
ROUNDDOWN(INDEX(Y$4:Y1350,MATCH(LARGE(FILTER(W$4:W1350,W$4:W1350&lt;=I1316),1)"&amp;",W$4:W1350))+(I1316-LARGE(FILTER(W$4:W1350,W$4:W1350&lt;=I1316),1))*INDEX(T$4:T1350,MATCH(LARGE(FILTER(W$4:W1350,W$4:W1350&lt;=I1316),1),W$4:W1350))-K1316),1,
ROUNDDOWN(Y1316-INDEX(K$4:K1350,MATCH(LARGE(FILTER(I$4:I1350,I$4:I1350&lt;=W1316),1),I$4:I1350))-(W1316-L"&amp;"ARGE(FILTER(I$4:I1350,I$4:I1350&lt;=W1316),1))*INDEX(F$4:F1350,MATCH(LARGE(FILTER(I$4:I1350,I$4:I1350&lt;=W1316),1),I$4:I1350))))"),"")</f>
        <v/>
      </c>
      <c r="N1316" s="60" t="str">
        <f t="shared" si="8"/>
        <v/>
      </c>
      <c r="O1316" s="61" t="str">
        <f t="shared" si="9"/>
        <v/>
      </c>
      <c r="P1316" s="56" t="str">
        <f t="shared" si="10"/>
        <v/>
      </c>
      <c r="Q1316" s="62"/>
      <c r="R1316" s="10" t="str">
        <f>IFERROR(__xludf.DUMMYFUNCTION("IF(COUNTA(Q1316:Q1350)=0,"""",IF(ISBLANK(Q1316),FALSE,IF(NOT(COUNTIF($AA$24:$AA$34,SUBSTITUTE(Q1316,""Sell_"",""""))),1,IF(REGEXMATCH(Q1316,""Sell_""),IF(COUNTIF(Q$4:Q1316,SUBSTITUTE(Q1316,""Sell_"",""""))-COUNTIF(Q$4:Q1315,Q1316)&lt;1,1),FALSE))))"),"")</f>
        <v/>
      </c>
      <c r="S1316" s="59" t="str">
        <f t="array" ref="S1316">IF(COUNTA(Q1316:Q1350)=0,"",SUM((COUNTIF(Q$4:Q1316,Upgrades!$B$3:$B$13)-COUNTIF(Q$4:Q1316,"Sell_"&amp;Upgrades!$B$3:$B$13))*Upgrades!$D$3:$D$13))</f>
        <v/>
      </c>
      <c r="T1316" s="66" t="str">
        <f>IFERROR(__xludf.DUMMYFUNCTION("IF(COUNTA(Q1316:Q1350)=0,"""",IF(REGEXMATCH(INDEX(FILTER(Q$4:Q1316,Q$4:Q1316&lt;&gt;""""),ROWS(FILTER(Q$4:Q1316,Q$4:Q1316&lt;&gt;""""))),""^Sell_""),INDEX(FILTER(T$4:T1315,Q$4:Q1315&lt;&gt;""""),ROWS(FILTER(Q$4:Q1315,Q$4:Q1315&lt;&gt;""""))),$AD$5+S1316))"),"")</f>
        <v/>
      </c>
      <c r="U1316" s="10" t="str">
        <f>IFERROR(__xludf.DUMMYFUNCTION("IF(COUNTA(Q1316:Q1350)=0,"""",IF(Q1316="""",0,IF(REGEXMATCH(Q1316,""^Sell_""),-ROUNDDOWN(ROUNDUP(INDEX(Upgrades!$C$3:$C$13,MATCH(SUBSTITUTE(Q1316,""Sell_"",""""),Upgrades!$B$3:$B$13,0))*1.15^(COUNTIF(Q$4:Q1315,SUBSTITUTE(Q1316,""Sell_"",""""))-COUNTIF(Q$4"&amp;":Q1315,""Sell_""&amp;SUBSTITUTE(Q1316,""Sell_"",""""))))/2),ROUNDUP(INDEX(Upgrades!$C$3:$C$13,MATCH(Q1316,Upgrades!$B$3:$B$13,0))*1.15^(COUNTIF(Q$4:Q1315,Q1316)-COUNTIF(Q$4:Q1315,""Sell_""&amp;Q1316))))))"),"")</f>
        <v/>
      </c>
      <c r="V1316" s="10" t="str">
        <f t="shared" si="11"/>
        <v/>
      </c>
      <c r="W1316" s="68" t="str">
        <f t="shared" si="12"/>
        <v/>
      </c>
      <c r="X1316" s="59" t="str">
        <f t="shared" si="13"/>
        <v/>
      </c>
      <c r="Y1316" s="69" t="str">
        <f t="shared" si="14"/>
        <v/>
      </c>
      <c r="Z1316" s="11"/>
    </row>
    <row r="1317">
      <c r="A1317" s="8"/>
      <c r="B1317" s="56" t="str">
        <f t="shared" si="2"/>
        <v/>
      </c>
      <c r="C1317" s="57"/>
      <c r="D1317" s="10" t="str">
        <f>IFERROR(__xludf.DUMMYFUNCTION("IF(COUNTA(C1317:C1350)=0,"""",IF(ISBLANK(C1317),FALSE,IF(NOT(COUNTIF($AA$24:$AA$34,SUBSTITUTE(C1317,""Sell_"",""""))),1,IF(REGEXMATCH(C1317,""Sell_""),IF(COUNTIF(C$4:C1317,SUBSTITUTE(C1317,""Sell_"",""""))-COUNTIF(C$4:C1316,C1317)&lt;1,1),FALSE))))"),"")</f>
        <v/>
      </c>
      <c r="E1317" s="59" t="str">
        <f t="array" ref="E1317">IF(COUNTA(C1317:C1350)=0,"",SUM((COUNTIF(C$4:C1317,Upgrades!$B$3:$B$13)-COUNTIF(C$4:C1317,"Sell_"&amp;Upgrades!$B$3:$B$13))*Upgrades!$D$3:$D$13))</f>
        <v/>
      </c>
      <c r="F1317" s="66" t="str">
        <f>IFERROR(__xludf.DUMMYFUNCTION("IF(COUNTA(C1317:C1350)=0,"""",IF(REGEXMATCH(INDEX(FILTER(C$4:C1317,C$4:C1317&lt;&gt;""""),ROWS(FILTER(C$4:C1317,C$4:C1317&lt;&gt;""""))),""^Sell_""),INDEX(FILTER(F$4:F1316,C$4:C1316&lt;&gt;""""),ROWS(FILTER(C$4:C1316,C$4:C1316&lt;&gt;""""))),$AC$5+E1317))"),"")</f>
        <v/>
      </c>
      <c r="G1317" s="10" t="str">
        <f>IFERROR(__xludf.DUMMYFUNCTION("IF(COUNTA(C1317:C1350)=0,"""",IF(C1317="""",0,IF(REGEXMATCH(C1317,""^Sell_""),-ROUNDDOWN(ROUNDUP(INDEX(Upgrades!$C$3:$C$13,MATCH(SUBSTITUTE(C1317,""Sell_"",""""),Upgrades!$B$3:$B$13,0))*1.15^(COUNTIF(C$4:C1316,SUBSTITUTE(C1317,""Sell_"",""""))-COUNTIF(C$4"&amp;":C1316,""Sell_""&amp;SUBSTITUTE(C1317,""Sell_"",""""))))/2),ROUNDUP(INDEX(Upgrades!$C$3:$C$13,MATCH(C1317,Upgrades!$B$3:$B$13,0))*1.15^(COUNTIF(C$4:C1316,C1317)-COUNTIF(C$4:C1316,""Sell_""&amp;C1317))))))"),"")</f>
        <v/>
      </c>
      <c r="H1317" s="10" t="str">
        <f t="shared" si="3"/>
        <v/>
      </c>
      <c r="I1317" s="68" t="str">
        <f t="shared" si="4"/>
        <v/>
      </c>
      <c r="J1317" s="59" t="str">
        <f t="shared" si="5"/>
        <v/>
      </c>
      <c r="K1317" s="69" t="str">
        <f t="shared" si="6"/>
        <v/>
      </c>
      <c r="L1317" s="60" t="str">
        <f t="shared" si="7"/>
        <v/>
      </c>
      <c r="M1317" s="61" t="str">
        <f>IFERROR(__xludf.DUMMYFUNCTION("IFS(AND(COUNTA(C1317:C1350)=0,COUNTA(Q1317:Q1350)=0),"""",OR(AND(K1317&gt;=1000000000,OR(Y1317&gt;=1000000000,COUNTA(Q1317:Q1350)=0)),OR(Y1317&gt;=1000000000,AND(COUNTA(C1317:C1350)=0,P$3=TRUE))),
ROUNDDOWN((AB$1-AC$1)*MAX(INDEX(T$4:T1350,MATCH(LARGE(FILTER(Y$4:Y1"&amp;"350,Y$4:Y1350&lt;1000000000),1),Y$4:Y1350)),INDEX(F$4:F1350,MATCH(LARGE(FILTER(K$4:K1350,K$4:K1350&lt;1000000000),1),K$4:K1350)))),AND(K1317&lt;1000000000,COUNTA(C1317:C1350)&gt;0,P$3=FALSE),
ROUNDDOWN(INDEX(Y$4:Y1350,MATCH(LARGE(FILTER(W$4:W1350,W$4:W1350&lt;=I1317),1)"&amp;",W$4:W1350))+(I1317-LARGE(FILTER(W$4:W1350,W$4:W1350&lt;=I1317),1))*INDEX(T$4:T1350,MATCH(LARGE(FILTER(W$4:W1350,W$4:W1350&lt;=I1317),1),W$4:W1350))-K1317),1,
ROUNDDOWN(Y1317-INDEX(K$4:K1350,MATCH(LARGE(FILTER(I$4:I1350,I$4:I1350&lt;=W1317),1),I$4:I1350))-(W1317-L"&amp;"ARGE(FILTER(I$4:I1350,I$4:I1350&lt;=W1317),1))*INDEX(F$4:F1350,MATCH(LARGE(FILTER(I$4:I1350,I$4:I1350&lt;=W1317),1),I$4:I1350))))"),"")</f>
        <v/>
      </c>
      <c r="N1317" s="60" t="str">
        <f t="shared" si="8"/>
        <v/>
      </c>
      <c r="O1317" s="61" t="str">
        <f t="shared" si="9"/>
        <v/>
      </c>
      <c r="P1317" s="56" t="str">
        <f t="shared" si="10"/>
        <v/>
      </c>
      <c r="Q1317" s="62"/>
      <c r="R1317" s="10" t="str">
        <f>IFERROR(__xludf.DUMMYFUNCTION("IF(COUNTA(Q1317:Q1350)=0,"""",IF(ISBLANK(Q1317),FALSE,IF(NOT(COUNTIF($AA$24:$AA$34,SUBSTITUTE(Q1317,""Sell_"",""""))),1,IF(REGEXMATCH(Q1317,""Sell_""),IF(COUNTIF(Q$4:Q1317,SUBSTITUTE(Q1317,""Sell_"",""""))-COUNTIF(Q$4:Q1316,Q1317)&lt;1,1),FALSE))))"),"")</f>
        <v/>
      </c>
      <c r="S1317" s="59" t="str">
        <f t="array" ref="S1317">IF(COUNTA(Q1317:Q1350)=0,"",SUM((COUNTIF(Q$4:Q1317,Upgrades!$B$3:$B$13)-COUNTIF(Q$4:Q1317,"Sell_"&amp;Upgrades!$B$3:$B$13))*Upgrades!$D$3:$D$13))</f>
        <v/>
      </c>
      <c r="T1317" s="66" t="str">
        <f>IFERROR(__xludf.DUMMYFUNCTION("IF(COUNTA(Q1317:Q1350)=0,"""",IF(REGEXMATCH(INDEX(FILTER(Q$4:Q1317,Q$4:Q1317&lt;&gt;""""),ROWS(FILTER(Q$4:Q1317,Q$4:Q1317&lt;&gt;""""))),""^Sell_""),INDEX(FILTER(T$4:T1316,Q$4:Q1316&lt;&gt;""""),ROWS(FILTER(Q$4:Q1316,Q$4:Q1316&lt;&gt;""""))),$AD$5+S1317))"),"")</f>
        <v/>
      </c>
      <c r="U1317" s="10" t="str">
        <f>IFERROR(__xludf.DUMMYFUNCTION("IF(COUNTA(Q1317:Q1350)=0,"""",IF(Q1317="""",0,IF(REGEXMATCH(Q1317,""^Sell_""),-ROUNDDOWN(ROUNDUP(INDEX(Upgrades!$C$3:$C$13,MATCH(SUBSTITUTE(Q1317,""Sell_"",""""),Upgrades!$B$3:$B$13,0))*1.15^(COUNTIF(Q$4:Q1316,SUBSTITUTE(Q1317,""Sell_"",""""))-COUNTIF(Q$4"&amp;":Q1316,""Sell_""&amp;SUBSTITUTE(Q1317,""Sell_"",""""))))/2),ROUNDUP(INDEX(Upgrades!$C$3:$C$13,MATCH(Q1317,Upgrades!$B$3:$B$13,0))*1.15^(COUNTIF(Q$4:Q1316,Q1317)-COUNTIF(Q$4:Q1316,""Sell_""&amp;Q1317))))))"),"")</f>
        <v/>
      </c>
      <c r="V1317" s="10" t="str">
        <f t="shared" si="11"/>
        <v/>
      </c>
      <c r="W1317" s="68" t="str">
        <f t="shared" si="12"/>
        <v/>
      </c>
      <c r="X1317" s="59" t="str">
        <f t="shared" si="13"/>
        <v/>
      </c>
      <c r="Y1317" s="69" t="str">
        <f t="shared" si="14"/>
        <v/>
      </c>
      <c r="Z1317" s="11"/>
    </row>
    <row r="1318">
      <c r="A1318" s="8"/>
      <c r="B1318" s="56" t="str">
        <f t="shared" si="2"/>
        <v/>
      </c>
      <c r="C1318" s="57"/>
      <c r="D1318" s="10" t="str">
        <f>IFERROR(__xludf.DUMMYFUNCTION("IF(COUNTA(C1318:C1350)=0,"""",IF(ISBLANK(C1318),FALSE,IF(NOT(COUNTIF($AA$24:$AA$34,SUBSTITUTE(C1318,""Sell_"",""""))),1,IF(REGEXMATCH(C1318,""Sell_""),IF(COUNTIF(C$4:C1318,SUBSTITUTE(C1318,""Sell_"",""""))-COUNTIF(C$4:C1317,C1318)&lt;1,1),FALSE))))"),"")</f>
        <v/>
      </c>
      <c r="E1318" s="59" t="str">
        <f t="array" ref="E1318">IF(COUNTA(C1318:C1350)=0,"",SUM((COUNTIF(C$4:C1318,Upgrades!$B$3:$B$13)-COUNTIF(C$4:C1318,"Sell_"&amp;Upgrades!$B$3:$B$13))*Upgrades!$D$3:$D$13))</f>
        <v/>
      </c>
      <c r="F1318" s="66" t="str">
        <f>IFERROR(__xludf.DUMMYFUNCTION("IF(COUNTA(C1318:C1350)=0,"""",IF(REGEXMATCH(INDEX(FILTER(C$4:C1318,C$4:C1318&lt;&gt;""""),ROWS(FILTER(C$4:C1318,C$4:C1318&lt;&gt;""""))),""^Sell_""),INDEX(FILTER(F$4:F1317,C$4:C1317&lt;&gt;""""),ROWS(FILTER(C$4:C1317,C$4:C1317&lt;&gt;""""))),$AC$5+E1318))"),"")</f>
        <v/>
      </c>
      <c r="G1318" s="10" t="str">
        <f>IFERROR(__xludf.DUMMYFUNCTION("IF(COUNTA(C1318:C1350)=0,"""",IF(C1318="""",0,IF(REGEXMATCH(C1318,""^Sell_""),-ROUNDDOWN(ROUNDUP(INDEX(Upgrades!$C$3:$C$13,MATCH(SUBSTITUTE(C1318,""Sell_"",""""),Upgrades!$B$3:$B$13,0))*1.15^(COUNTIF(C$4:C1317,SUBSTITUTE(C1318,""Sell_"",""""))-COUNTIF(C$4"&amp;":C1317,""Sell_""&amp;SUBSTITUTE(C1318,""Sell_"",""""))))/2),ROUNDUP(INDEX(Upgrades!$C$3:$C$13,MATCH(C1318,Upgrades!$B$3:$B$13,0))*1.15^(COUNTIF(C$4:C1317,C1318)-COUNTIF(C$4:C1317,""Sell_""&amp;C1318))))))"),"")</f>
        <v/>
      </c>
      <c r="H1318" s="10" t="str">
        <f t="shared" si="3"/>
        <v/>
      </c>
      <c r="I1318" s="68" t="str">
        <f t="shared" si="4"/>
        <v/>
      </c>
      <c r="J1318" s="59" t="str">
        <f t="shared" si="5"/>
        <v/>
      </c>
      <c r="K1318" s="69" t="str">
        <f t="shared" si="6"/>
        <v/>
      </c>
      <c r="L1318" s="60" t="str">
        <f t="shared" si="7"/>
        <v/>
      </c>
      <c r="M1318" s="61" t="str">
        <f>IFERROR(__xludf.DUMMYFUNCTION("IFS(AND(COUNTA(C1318:C1350)=0,COUNTA(Q1318:Q1350)=0),"""",OR(AND(K1318&gt;=1000000000,OR(Y1318&gt;=1000000000,COUNTA(Q1318:Q1350)=0)),OR(Y1318&gt;=1000000000,AND(COUNTA(C1318:C1350)=0,P$3=TRUE))),
ROUNDDOWN((AB$1-AC$1)*MAX(INDEX(T$4:T1350,MATCH(LARGE(FILTER(Y$4:Y1"&amp;"350,Y$4:Y1350&lt;1000000000),1),Y$4:Y1350)),INDEX(F$4:F1350,MATCH(LARGE(FILTER(K$4:K1350,K$4:K1350&lt;1000000000),1),K$4:K1350)))),AND(K1318&lt;1000000000,COUNTA(C1318:C1350)&gt;0,P$3=FALSE),
ROUNDDOWN(INDEX(Y$4:Y1350,MATCH(LARGE(FILTER(W$4:W1350,W$4:W1350&lt;=I1318),1)"&amp;",W$4:W1350))+(I1318-LARGE(FILTER(W$4:W1350,W$4:W1350&lt;=I1318),1))*INDEX(T$4:T1350,MATCH(LARGE(FILTER(W$4:W1350,W$4:W1350&lt;=I1318),1),W$4:W1350))-K1318),1,
ROUNDDOWN(Y1318-INDEX(K$4:K1350,MATCH(LARGE(FILTER(I$4:I1350,I$4:I1350&lt;=W1318),1),I$4:I1350))-(W1318-L"&amp;"ARGE(FILTER(I$4:I1350,I$4:I1350&lt;=W1318),1))*INDEX(F$4:F1350,MATCH(LARGE(FILTER(I$4:I1350,I$4:I1350&lt;=W1318),1),I$4:I1350))))"),"")</f>
        <v/>
      </c>
      <c r="N1318" s="60" t="str">
        <f t="shared" si="8"/>
        <v/>
      </c>
      <c r="O1318" s="61" t="str">
        <f t="shared" si="9"/>
        <v/>
      </c>
      <c r="P1318" s="56" t="str">
        <f t="shared" si="10"/>
        <v/>
      </c>
      <c r="Q1318" s="62"/>
      <c r="R1318" s="10" t="str">
        <f>IFERROR(__xludf.DUMMYFUNCTION("IF(COUNTA(Q1318:Q1350)=0,"""",IF(ISBLANK(Q1318),FALSE,IF(NOT(COUNTIF($AA$24:$AA$34,SUBSTITUTE(Q1318,""Sell_"",""""))),1,IF(REGEXMATCH(Q1318,""Sell_""),IF(COUNTIF(Q$4:Q1318,SUBSTITUTE(Q1318,""Sell_"",""""))-COUNTIF(Q$4:Q1317,Q1318)&lt;1,1),FALSE))))"),"")</f>
        <v/>
      </c>
      <c r="S1318" s="59" t="str">
        <f t="array" ref="S1318">IF(COUNTA(Q1318:Q1350)=0,"",SUM((COUNTIF(Q$4:Q1318,Upgrades!$B$3:$B$13)-COUNTIF(Q$4:Q1318,"Sell_"&amp;Upgrades!$B$3:$B$13))*Upgrades!$D$3:$D$13))</f>
        <v/>
      </c>
      <c r="T1318" s="66" t="str">
        <f>IFERROR(__xludf.DUMMYFUNCTION("IF(COUNTA(Q1318:Q1350)=0,"""",IF(REGEXMATCH(INDEX(FILTER(Q$4:Q1318,Q$4:Q1318&lt;&gt;""""),ROWS(FILTER(Q$4:Q1318,Q$4:Q1318&lt;&gt;""""))),""^Sell_""),INDEX(FILTER(T$4:T1317,Q$4:Q1317&lt;&gt;""""),ROWS(FILTER(Q$4:Q1317,Q$4:Q1317&lt;&gt;""""))),$AD$5+S1318))"),"")</f>
        <v/>
      </c>
      <c r="U1318" s="10" t="str">
        <f>IFERROR(__xludf.DUMMYFUNCTION("IF(COUNTA(Q1318:Q1350)=0,"""",IF(Q1318="""",0,IF(REGEXMATCH(Q1318,""^Sell_""),-ROUNDDOWN(ROUNDUP(INDEX(Upgrades!$C$3:$C$13,MATCH(SUBSTITUTE(Q1318,""Sell_"",""""),Upgrades!$B$3:$B$13,0))*1.15^(COUNTIF(Q$4:Q1317,SUBSTITUTE(Q1318,""Sell_"",""""))-COUNTIF(Q$4"&amp;":Q1317,""Sell_""&amp;SUBSTITUTE(Q1318,""Sell_"",""""))))/2),ROUNDUP(INDEX(Upgrades!$C$3:$C$13,MATCH(Q1318,Upgrades!$B$3:$B$13,0))*1.15^(COUNTIF(Q$4:Q1317,Q1318)-COUNTIF(Q$4:Q1317,""Sell_""&amp;Q1318))))))"),"")</f>
        <v/>
      </c>
      <c r="V1318" s="10" t="str">
        <f t="shared" si="11"/>
        <v/>
      </c>
      <c r="W1318" s="68" t="str">
        <f t="shared" si="12"/>
        <v/>
      </c>
      <c r="X1318" s="59" t="str">
        <f t="shared" si="13"/>
        <v/>
      </c>
      <c r="Y1318" s="69" t="str">
        <f t="shared" si="14"/>
        <v/>
      </c>
      <c r="Z1318" s="11"/>
    </row>
    <row r="1319">
      <c r="A1319" s="8"/>
      <c r="B1319" s="56" t="str">
        <f t="shared" si="2"/>
        <v/>
      </c>
      <c r="C1319" s="57"/>
      <c r="D1319" s="10" t="str">
        <f>IFERROR(__xludf.DUMMYFUNCTION("IF(COUNTA(C1319:C1350)=0,"""",IF(ISBLANK(C1319),FALSE,IF(NOT(COUNTIF($AA$24:$AA$34,SUBSTITUTE(C1319,""Sell_"",""""))),1,IF(REGEXMATCH(C1319,""Sell_""),IF(COUNTIF(C$4:C1319,SUBSTITUTE(C1319,""Sell_"",""""))-COUNTIF(C$4:C1318,C1319)&lt;1,1),FALSE))))"),"")</f>
        <v/>
      </c>
      <c r="E1319" s="59" t="str">
        <f t="array" ref="E1319">IF(COUNTA(C1319:C1350)=0,"",SUM((COUNTIF(C$4:C1319,Upgrades!$B$3:$B$13)-COUNTIF(C$4:C1319,"Sell_"&amp;Upgrades!$B$3:$B$13))*Upgrades!$D$3:$D$13))</f>
        <v/>
      </c>
      <c r="F1319" s="66" t="str">
        <f>IFERROR(__xludf.DUMMYFUNCTION("IF(COUNTA(C1319:C1350)=0,"""",IF(REGEXMATCH(INDEX(FILTER(C$4:C1319,C$4:C1319&lt;&gt;""""),ROWS(FILTER(C$4:C1319,C$4:C1319&lt;&gt;""""))),""^Sell_""),INDEX(FILTER(F$4:F1318,C$4:C1318&lt;&gt;""""),ROWS(FILTER(C$4:C1318,C$4:C1318&lt;&gt;""""))),$AC$5+E1319))"),"")</f>
        <v/>
      </c>
      <c r="G1319" s="10" t="str">
        <f>IFERROR(__xludf.DUMMYFUNCTION("IF(COUNTA(C1319:C1350)=0,"""",IF(C1319="""",0,IF(REGEXMATCH(C1319,""^Sell_""),-ROUNDDOWN(ROUNDUP(INDEX(Upgrades!$C$3:$C$13,MATCH(SUBSTITUTE(C1319,""Sell_"",""""),Upgrades!$B$3:$B$13,0))*1.15^(COUNTIF(C$4:C1318,SUBSTITUTE(C1319,""Sell_"",""""))-COUNTIF(C$4"&amp;":C1318,""Sell_""&amp;SUBSTITUTE(C1319,""Sell_"",""""))))/2),ROUNDUP(INDEX(Upgrades!$C$3:$C$13,MATCH(C1319,Upgrades!$B$3:$B$13,0))*1.15^(COUNTIF(C$4:C1318,C1319)-COUNTIF(C$4:C1318,""Sell_""&amp;C1319))))))"),"")</f>
        <v/>
      </c>
      <c r="H1319" s="10" t="str">
        <f t="shared" si="3"/>
        <v/>
      </c>
      <c r="I1319" s="68" t="str">
        <f t="shared" si="4"/>
        <v/>
      </c>
      <c r="J1319" s="59" t="str">
        <f t="shared" si="5"/>
        <v/>
      </c>
      <c r="K1319" s="69" t="str">
        <f t="shared" si="6"/>
        <v/>
      </c>
      <c r="L1319" s="60" t="str">
        <f t="shared" si="7"/>
        <v/>
      </c>
      <c r="M1319" s="61" t="str">
        <f>IFERROR(__xludf.DUMMYFUNCTION("IFS(AND(COUNTA(C1319:C1350)=0,COUNTA(Q1319:Q1350)=0),"""",OR(AND(K1319&gt;=1000000000,OR(Y1319&gt;=1000000000,COUNTA(Q1319:Q1350)=0)),OR(Y1319&gt;=1000000000,AND(COUNTA(C1319:C1350)=0,P$3=TRUE))),
ROUNDDOWN((AB$1-AC$1)*MAX(INDEX(T$4:T1350,MATCH(LARGE(FILTER(Y$4:Y1"&amp;"350,Y$4:Y1350&lt;1000000000),1),Y$4:Y1350)),INDEX(F$4:F1350,MATCH(LARGE(FILTER(K$4:K1350,K$4:K1350&lt;1000000000),1),K$4:K1350)))),AND(K1319&lt;1000000000,COUNTA(C1319:C1350)&gt;0,P$3=FALSE),
ROUNDDOWN(INDEX(Y$4:Y1350,MATCH(LARGE(FILTER(W$4:W1350,W$4:W1350&lt;=I1319),1)"&amp;",W$4:W1350))+(I1319-LARGE(FILTER(W$4:W1350,W$4:W1350&lt;=I1319),1))*INDEX(T$4:T1350,MATCH(LARGE(FILTER(W$4:W1350,W$4:W1350&lt;=I1319),1),W$4:W1350))-K1319),1,
ROUNDDOWN(Y1319-INDEX(K$4:K1350,MATCH(LARGE(FILTER(I$4:I1350,I$4:I1350&lt;=W1319),1),I$4:I1350))-(W1319-L"&amp;"ARGE(FILTER(I$4:I1350,I$4:I1350&lt;=W1319),1))*INDEX(F$4:F1350,MATCH(LARGE(FILTER(I$4:I1350,I$4:I1350&lt;=W1319),1),I$4:I1350))))"),"")</f>
        <v/>
      </c>
      <c r="N1319" s="60" t="str">
        <f t="shared" si="8"/>
        <v/>
      </c>
      <c r="O1319" s="61" t="str">
        <f t="shared" si="9"/>
        <v/>
      </c>
      <c r="P1319" s="56" t="str">
        <f t="shared" si="10"/>
        <v/>
      </c>
      <c r="Q1319" s="62"/>
      <c r="R1319" s="10" t="str">
        <f>IFERROR(__xludf.DUMMYFUNCTION("IF(COUNTA(Q1319:Q1350)=0,"""",IF(ISBLANK(Q1319),FALSE,IF(NOT(COUNTIF($AA$24:$AA$34,SUBSTITUTE(Q1319,""Sell_"",""""))),1,IF(REGEXMATCH(Q1319,""Sell_""),IF(COUNTIF(Q$4:Q1319,SUBSTITUTE(Q1319,""Sell_"",""""))-COUNTIF(Q$4:Q1318,Q1319)&lt;1,1),FALSE))))"),"")</f>
        <v/>
      </c>
      <c r="S1319" s="59" t="str">
        <f t="array" ref="S1319">IF(COUNTA(Q1319:Q1350)=0,"",SUM((COUNTIF(Q$4:Q1319,Upgrades!$B$3:$B$13)-COUNTIF(Q$4:Q1319,"Sell_"&amp;Upgrades!$B$3:$B$13))*Upgrades!$D$3:$D$13))</f>
        <v/>
      </c>
      <c r="T1319" s="66" t="str">
        <f>IFERROR(__xludf.DUMMYFUNCTION("IF(COUNTA(Q1319:Q1350)=0,"""",IF(REGEXMATCH(INDEX(FILTER(Q$4:Q1319,Q$4:Q1319&lt;&gt;""""),ROWS(FILTER(Q$4:Q1319,Q$4:Q1319&lt;&gt;""""))),""^Sell_""),INDEX(FILTER(T$4:T1318,Q$4:Q1318&lt;&gt;""""),ROWS(FILTER(Q$4:Q1318,Q$4:Q1318&lt;&gt;""""))),$AD$5+S1319))"),"")</f>
        <v/>
      </c>
      <c r="U1319" s="10" t="str">
        <f>IFERROR(__xludf.DUMMYFUNCTION("IF(COUNTA(Q1319:Q1350)=0,"""",IF(Q1319="""",0,IF(REGEXMATCH(Q1319,""^Sell_""),-ROUNDDOWN(ROUNDUP(INDEX(Upgrades!$C$3:$C$13,MATCH(SUBSTITUTE(Q1319,""Sell_"",""""),Upgrades!$B$3:$B$13,0))*1.15^(COUNTIF(Q$4:Q1318,SUBSTITUTE(Q1319,""Sell_"",""""))-COUNTIF(Q$4"&amp;":Q1318,""Sell_""&amp;SUBSTITUTE(Q1319,""Sell_"",""""))))/2),ROUNDUP(INDEX(Upgrades!$C$3:$C$13,MATCH(Q1319,Upgrades!$B$3:$B$13,0))*1.15^(COUNTIF(Q$4:Q1318,Q1319)-COUNTIF(Q$4:Q1318,""Sell_""&amp;Q1319))))))"),"")</f>
        <v/>
      </c>
      <c r="V1319" s="10" t="str">
        <f t="shared" si="11"/>
        <v/>
      </c>
      <c r="W1319" s="68" t="str">
        <f t="shared" si="12"/>
        <v/>
      </c>
      <c r="X1319" s="59" t="str">
        <f t="shared" si="13"/>
        <v/>
      </c>
      <c r="Y1319" s="69" t="str">
        <f t="shared" si="14"/>
        <v/>
      </c>
      <c r="Z1319" s="11"/>
    </row>
    <row r="1320">
      <c r="A1320" s="8"/>
      <c r="B1320" s="56" t="str">
        <f t="shared" si="2"/>
        <v/>
      </c>
      <c r="C1320" s="57"/>
      <c r="D1320" s="10" t="str">
        <f>IFERROR(__xludf.DUMMYFUNCTION("IF(COUNTA(C1320:C1350)=0,"""",IF(ISBLANK(C1320),FALSE,IF(NOT(COUNTIF($AA$24:$AA$34,SUBSTITUTE(C1320,""Sell_"",""""))),1,IF(REGEXMATCH(C1320,""Sell_""),IF(COUNTIF(C$4:C1320,SUBSTITUTE(C1320,""Sell_"",""""))-COUNTIF(C$4:C1319,C1320)&lt;1,1),FALSE))))"),"")</f>
        <v/>
      </c>
      <c r="E1320" s="59" t="str">
        <f t="array" ref="E1320">IF(COUNTA(C1320:C1350)=0,"",SUM((COUNTIF(C$4:C1320,Upgrades!$B$3:$B$13)-COUNTIF(C$4:C1320,"Sell_"&amp;Upgrades!$B$3:$B$13))*Upgrades!$D$3:$D$13))</f>
        <v/>
      </c>
      <c r="F1320" s="66" t="str">
        <f>IFERROR(__xludf.DUMMYFUNCTION("IF(COUNTA(C1320:C1350)=0,"""",IF(REGEXMATCH(INDEX(FILTER(C$4:C1320,C$4:C1320&lt;&gt;""""),ROWS(FILTER(C$4:C1320,C$4:C1320&lt;&gt;""""))),""^Sell_""),INDEX(FILTER(F$4:F1319,C$4:C1319&lt;&gt;""""),ROWS(FILTER(C$4:C1319,C$4:C1319&lt;&gt;""""))),$AC$5+E1320))"),"")</f>
        <v/>
      </c>
      <c r="G1320" s="10" t="str">
        <f>IFERROR(__xludf.DUMMYFUNCTION("IF(COUNTA(C1320:C1350)=0,"""",IF(C1320="""",0,IF(REGEXMATCH(C1320,""^Sell_""),-ROUNDDOWN(ROUNDUP(INDEX(Upgrades!$C$3:$C$13,MATCH(SUBSTITUTE(C1320,""Sell_"",""""),Upgrades!$B$3:$B$13,0))*1.15^(COUNTIF(C$4:C1319,SUBSTITUTE(C1320,""Sell_"",""""))-COUNTIF(C$4"&amp;":C1319,""Sell_""&amp;SUBSTITUTE(C1320,""Sell_"",""""))))/2),ROUNDUP(INDEX(Upgrades!$C$3:$C$13,MATCH(C1320,Upgrades!$B$3:$B$13,0))*1.15^(COUNTIF(C$4:C1319,C1320)-COUNTIF(C$4:C1319,""Sell_""&amp;C1320))))))"),"")</f>
        <v/>
      </c>
      <c r="H1320" s="10" t="str">
        <f t="shared" si="3"/>
        <v/>
      </c>
      <c r="I1320" s="68" t="str">
        <f t="shared" si="4"/>
        <v/>
      </c>
      <c r="J1320" s="59" t="str">
        <f t="shared" si="5"/>
        <v/>
      </c>
      <c r="K1320" s="69" t="str">
        <f t="shared" si="6"/>
        <v/>
      </c>
      <c r="L1320" s="60" t="str">
        <f t="shared" si="7"/>
        <v/>
      </c>
      <c r="M1320" s="61" t="str">
        <f>IFERROR(__xludf.DUMMYFUNCTION("IFS(AND(COUNTA(C1320:C1350)=0,COUNTA(Q1320:Q1350)=0),"""",OR(AND(K1320&gt;=1000000000,OR(Y1320&gt;=1000000000,COUNTA(Q1320:Q1350)=0)),OR(Y1320&gt;=1000000000,AND(COUNTA(C1320:C1350)=0,P$3=TRUE))),
ROUNDDOWN((AB$1-AC$1)*MAX(INDEX(T$4:T1350,MATCH(LARGE(FILTER(Y$4:Y1"&amp;"350,Y$4:Y1350&lt;1000000000),1),Y$4:Y1350)),INDEX(F$4:F1350,MATCH(LARGE(FILTER(K$4:K1350,K$4:K1350&lt;1000000000),1),K$4:K1350)))),AND(K1320&lt;1000000000,COUNTA(C1320:C1350)&gt;0,P$3=FALSE),
ROUNDDOWN(INDEX(Y$4:Y1350,MATCH(LARGE(FILTER(W$4:W1350,W$4:W1350&lt;=I1320),1)"&amp;",W$4:W1350))+(I1320-LARGE(FILTER(W$4:W1350,W$4:W1350&lt;=I1320),1))*INDEX(T$4:T1350,MATCH(LARGE(FILTER(W$4:W1350,W$4:W1350&lt;=I1320),1),W$4:W1350))-K1320),1,
ROUNDDOWN(Y1320-INDEX(K$4:K1350,MATCH(LARGE(FILTER(I$4:I1350,I$4:I1350&lt;=W1320),1),I$4:I1350))-(W1320-L"&amp;"ARGE(FILTER(I$4:I1350,I$4:I1350&lt;=W1320),1))*INDEX(F$4:F1350,MATCH(LARGE(FILTER(I$4:I1350,I$4:I1350&lt;=W1320),1),I$4:I1350))))"),"")</f>
        <v/>
      </c>
      <c r="N1320" s="60" t="str">
        <f t="shared" si="8"/>
        <v/>
      </c>
      <c r="O1320" s="61" t="str">
        <f t="shared" si="9"/>
        <v/>
      </c>
      <c r="P1320" s="56" t="str">
        <f t="shared" si="10"/>
        <v/>
      </c>
      <c r="Q1320" s="62"/>
      <c r="R1320" s="10" t="str">
        <f>IFERROR(__xludf.DUMMYFUNCTION("IF(COUNTA(Q1320:Q1350)=0,"""",IF(ISBLANK(Q1320),FALSE,IF(NOT(COUNTIF($AA$24:$AA$34,SUBSTITUTE(Q1320,""Sell_"",""""))),1,IF(REGEXMATCH(Q1320,""Sell_""),IF(COUNTIF(Q$4:Q1320,SUBSTITUTE(Q1320,""Sell_"",""""))-COUNTIF(Q$4:Q1319,Q1320)&lt;1,1),FALSE))))"),"")</f>
        <v/>
      </c>
      <c r="S1320" s="59" t="str">
        <f t="array" ref="S1320">IF(COUNTA(Q1320:Q1350)=0,"",SUM((COUNTIF(Q$4:Q1320,Upgrades!$B$3:$B$13)-COUNTIF(Q$4:Q1320,"Sell_"&amp;Upgrades!$B$3:$B$13))*Upgrades!$D$3:$D$13))</f>
        <v/>
      </c>
      <c r="T1320" s="66" t="str">
        <f>IFERROR(__xludf.DUMMYFUNCTION("IF(COUNTA(Q1320:Q1350)=0,"""",IF(REGEXMATCH(INDEX(FILTER(Q$4:Q1320,Q$4:Q1320&lt;&gt;""""),ROWS(FILTER(Q$4:Q1320,Q$4:Q1320&lt;&gt;""""))),""^Sell_""),INDEX(FILTER(T$4:T1319,Q$4:Q1319&lt;&gt;""""),ROWS(FILTER(Q$4:Q1319,Q$4:Q1319&lt;&gt;""""))),$AD$5+S1320))"),"")</f>
        <v/>
      </c>
      <c r="U1320" s="10" t="str">
        <f>IFERROR(__xludf.DUMMYFUNCTION("IF(COUNTA(Q1320:Q1350)=0,"""",IF(Q1320="""",0,IF(REGEXMATCH(Q1320,""^Sell_""),-ROUNDDOWN(ROUNDUP(INDEX(Upgrades!$C$3:$C$13,MATCH(SUBSTITUTE(Q1320,""Sell_"",""""),Upgrades!$B$3:$B$13,0))*1.15^(COUNTIF(Q$4:Q1319,SUBSTITUTE(Q1320,""Sell_"",""""))-COUNTIF(Q$4"&amp;":Q1319,""Sell_""&amp;SUBSTITUTE(Q1320,""Sell_"",""""))))/2),ROUNDUP(INDEX(Upgrades!$C$3:$C$13,MATCH(Q1320,Upgrades!$B$3:$B$13,0))*1.15^(COUNTIF(Q$4:Q1319,Q1320)-COUNTIF(Q$4:Q1319,""Sell_""&amp;Q1320))))))"),"")</f>
        <v/>
      </c>
      <c r="V1320" s="10" t="str">
        <f t="shared" si="11"/>
        <v/>
      </c>
      <c r="W1320" s="68" t="str">
        <f t="shared" si="12"/>
        <v/>
      </c>
      <c r="X1320" s="59" t="str">
        <f t="shared" si="13"/>
        <v/>
      </c>
      <c r="Y1320" s="69" t="str">
        <f t="shared" si="14"/>
        <v/>
      </c>
      <c r="Z1320" s="11"/>
    </row>
    <row r="1321">
      <c r="A1321" s="8"/>
      <c r="B1321" s="56" t="str">
        <f t="shared" si="2"/>
        <v/>
      </c>
      <c r="C1321" s="57"/>
      <c r="D1321" s="10" t="str">
        <f>IFERROR(__xludf.DUMMYFUNCTION("IF(COUNTA(C1321:C1350)=0,"""",IF(ISBLANK(C1321),FALSE,IF(NOT(COUNTIF($AA$24:$AA$34,SUBSTITUTE(C1321,""Sell_"",""""))),1,IF(REGEXMATCH(C1321,""Sell_""),IF(COUNTIF(C$4:C1321,SUBSTITUTE(C1321,""Sell_"",""""))-COUNTIF(C$4:C1320,C1321)&lt;1,1),FALSE))))"),"")</f>
        <v/>
      </c>
      <c r="E1321" s="59" t="str">
        <f t="array" ref="E1321">IF(COUNTA(C1321:C1350)=0,"",SUM((COUNTIF(C$4:C1321,Upgrades!$B$3:$B$13)-COUNTIF(C$4:C1321,"Sell_"&amp;Upgrades!$B$3:$B$13))*Upgrades!$D$3:$D$13))</f>
        <v/>
      </c>
      <c r="F1321" s="66" t="str">
        <f>IFERROR(__xludf.DUMMYFUNCTION("IF(COUNTA(C1321:C1350)=0,"""",IF(REGEXMATCH(INDEX(FILTER(C$4:C1321,C$4:C1321&lt;&gt;""""),ROWS(FILTER(C$4:C1321,C$4:C1321&lt;&gt;""""))),""^Sell_""),INDEX(FILTER(F$4:F1320,C$4:C1320&lt;&gt;""""),ROWS(FILTER(C$4:C1320,C$4:C1320&lt;&gt;""""))),$AC$5+E1321))"),"")</f>
        <v/>
      </c>
      <c r="G1321" s="10" t="str">
        <f>IFERROR(__xludf.DUMMYFUNCTION("IF(COUNTA(C1321:C1350)=0,"""",IF(C1321="""",0,IF(REGEXMATCH(C1321,""^Sell_""),-ROUNDDOWN(ROUNDUP(INDEX(Upgrades!$C$3:$C$13,MATCH(SUBSTITUTE(C1321,""Sell_"",""""),Upgrades!$B$3:$B$13,0))*1.15^(COUNTIF(C$4:C1320,SUBSTITUTE(C1321,""Sell_"",""""))-COUNTIF(C$4"&amp;":C1320,""Sell_""&amp;SUBSTITUTE(C1321,""Sell_"",""""))))/2),ROUNDUP(INDEX(Upgrades!$C$3:$C$13,MATCH(C1321,Upgrades!$B$3:$B$13,0))*1.15^(COUNTIF(C$4:C1320,C1321)-COUNTIF(C$4:C1320,""Sell_""&amp;C1321))))))"),"")</f>
        <v/>
      </c>
      <c r="H1321" s="10" t="str">
        <f t="shared" si="3"/>
        <v/>
      </c>
      <c r="I1321" s="68" t="str">
        <f t="shared" si="4"/>
        <v/>
      </c>
      <c r="J1321" s="59" t="str">
        <f t="shared" si="5"/>
        <v/>
      </c>
      <c r="K1321" s="69" t="str">
        <f t="shared" si="6"/>
        <v/>
      </c>
      <c r="L1321" s="60" t="str">
        <f t="shared" si="7"/>
        <v/>
      </c>
      <c r="M1321" s="61" t="str">
        <f>IFERROR(__xludf.DUMMYFUNCTION("IFS(AND(COUNTA(C1321:C1350)=0,COUNTA(Q1321:Q1350)=0),"""",OR(AND(K1321&gt;=1000000000,OR(Y1321&gt;=1000000000,COUNTA(Q1321:Q1350)=0)),OR(Y1321&gt;=1000000000,AND(COUNTA(C1321:C1350)=0,P$3=TRUE))),
ROUNDDOWN((AB$1-AC$1)*MAX(INDEX(T$4:T1350,MATCH(LARGE(FILTER(Y$4:Y1"&amp;"350,Y$4:Y1350&lt;1000000000),1),Y$4:Y1350)),INDEX(F$4:F1350,MATCH(LARGE(FILTER(K$4:K1350,K$4:K1350&lt;1000000000),1),K$4:K1350)))),AND(K1321&lt;1000000000,COUNTA(C1321:C1350)&gt;0,P$3=FALSE),
ROUNDDOWN(INDEX(Y$4:Y1350,MATCH(LARGE(FILTER(W$4:W1350,W$4:W1350&lt;=I1321),1)"&amp;",W$4:W1350))+(I1321-LARGE(FILTER(W$4:W1350,W$4:W1350&lt;=I1321),1))*INDEX(T$4:T1350,MATCH(LARGE(FILTER(W$4:W1350,W$4:W1350&lt;=I1321),1),W$4:W1350))-K1321),1,
ROUNDDOWN(Y1321-INDEX(K$4:K1350,MATCH(LARGE(FILTER(I$4:I1350,I$4:I1350&lt;=W1321),1),I$4:I1350))-(W1321-L"&amp;"ARGE(FILTER(I$4:I1350,I$4:I1350&lt;=W1321),1))*INDEX(F$4:F1350,MATCH(LARGE(FILTER(I$4:I1350,I$4:I1350&lt;=W1321),1),I$4:I1350))))"),"")</f>
        <v/>
      </c>
      <c r="N1321" s="60" t="str">
        <f t="shared" si="8"/>
        <v/>
      </c>
      <c r="O1321" s="61" t="str">
        <f t="shared" si="9"/>
        <v/>
      </c>
      <c r="P1321" s="56" t="str">
        <f t="shared" si="10"/>
        <v/>
      </c>
      <c r="Q1321" s="62"/>
      <c r="R1321" s="10" t="str">
        <f>IFERROR(__xludf.DUMMYFUNCTION("IF(COUNTA(Q1321:Q1350)=0,"""",IF(ISBLANK(Q1321),FALSE,IF(NOT(COUNTIF($AA$24:$AA$34,SUBSTITUTE(Q1321,""Sell_"",""""))),1,IF(REGEXMATCH(Q1321,""Sell_""),IF(COUNTIF(Q$4:Q1321,SUBSTITUTE(Q1321,""Sell_"",""""))-COUNTIF(Q$4:Q1320,Q1321)&lt;1,1),FALSE))))"),"")</f>
        <v/>
      </c>
      <c r="S1321" s="59" t="str">
        <f t="array" ref="S1321">IF(COUNTA(Q1321:Q1350)=0,"",SUM((COUNTIF(Q$4:Q1321,Upgrades!$B$3:$B$13)-COUNTIF(Q$4:Q1321,"Sell_"&amp;Upgrades!$B$3:$B$13))*Upgrades!$D$3:$D$13))</f>
        <v/>
      </c>
      <c r="T1321" s="66" t="str">
        <f>IFERROR(__xludf.DUMMYFUNCTION("IF(COUNTA(Q1321:Q1350)=0,"""",IF(REGEXMATCH(INDEX(FILTER(Q$4:Q1321,Q$4:Q1321&lt;&gt;""""),ROWS(FILTER(Q$4:Q1321,Q$4:Q1321&lt;&gt;""""))),""^Sell_""),INDEX(FILTER(T$4:T1320,Q$4:Q1320&lt;&gt;""""),ROWS(FILTER(Q$4:Q1320,Q$4:Q1320&lt;&gt;""""))),$AD$5+S1321))"),"")</f>
        <v/>
      </c>
      <c r="U1321" s="10" t="str">
        <f>IFERROR(__xludf.DUMMYFUNCTION("IF(COUNTA(Q1321:Q1350)=0,"""",IF(Q1321="""",0,IF(REGEXMATCH(Q1321,""^Sell_""),-ROUNDDOWN(ROUNDUP(INDEX(Upgrades!$C$3:$C$13,MATCH(SUBSTITUTE(Q1321,""Sell_"",""""),Upgrades!$B$3:$B$13,0))*1.15^(COUNTIF(Q$4:Q1320,SUBSTITUTE(Q1321,""Sell_"",""""))-COUNTIF(Q$4"&amp;":Q1320,""Sell_""&amp;SUBSTITUTE(Q1321,""Sell_"",""""))))/2),ROUNDUP(INDEX(Upgrades!$C$3:$C$13,MATCH(Q1321,Upgrades!$B$3:$B$13,0))*1.15^(COUNTIF(Q$4:Q1320,Q1321)-COUNTIF(Q$4:Q1320,""Sell_""&amp;Q1321))))))"),"")</f>
        <v/>
      </c>
      <c r="V1321" s="10" t="str">
        <f t="shared" si="11"/>
        <v/>
      </c>
      <c r="W1321" s="68" t="str">
        <f t="shared" si="12"/>
        <v/>
      </c>
      <c r="X1321" s="59" t="str">
        <f t="shared" si="13"/>
        <v/>
      </c>
      <c r="Y1321" s="69" t="str">
        <f t="shared" si="14"/>
        <v/>
      </c>
      <c r="Z1321" s="11"/>
    </row>
    <row r="1322">
      <c r="A1322" s="8"/>
      <c r="B1322" s="56" t="str">
        <f t="shared" si="2"/>
        <v/>
      </c>
      <c r="C1322" s="57"/>
      <c r="D1322" s="10" t="str">
        <f>IFERROR(__xludf.DUMMYFUNCTION("IF(COUNTA(C1322:C1350)=0,"""",IF(ISBLANK(C1322),FALSE,IF(NOT(COUNTIF($AA$24:$AA$34,SUBSTITUTE(C1322,""Sell_"",""""))),1,IF(REGEXMATCH(C1322,""Sell_""),IF(COUNTIF(C$4:C1322,SUBSTITUTE(C1322,""Sell_"",""""))-COUNTIF(C$4:C1321,C1322)&lt;1,1),FALSE))))"),"")</f>
        <v/>
      </c>
      <c r="E1322" s="59" t="str">
        <f t="array" ref="E1322">IF(COUNTA(C1322:C1350)=0,"",SUM((COUNTIF(C$4:C1322,Upgrades!$B$3:$B$13)-COUNTIF(C$4:C1322,"Sell_"&amp;Upgrades!$B$3:$B$13))*Upgrades!$D$3:$D$13))</f>
        <v/>
      </c>
      <c r="F1322" s="66" t="str">
        <f>IFERROR(__xludf.DUMMYFUNCTION("IF(COUNTA(C1322:C1350)=0,"""",IF(REGEXMATCH(INDEX(FILTER(C$4:C1322,C$4:C1322&lt;&gt;""""),ROWS(FILTER(C$4:C1322,C$4:C1322&lt;&gt;""""))),""^Sell_""),INDEX(FILTER(F$4:F1321,C$4:C1321&lt;&gt;""""),ROWS(FILTER(C$4:C1321,C$4:C1321&lt;&gt;""""))),$AC$5+E1322))"),"")</f>
        <v/>
      </c>
      <c r="G1322" s="10" t="str">
        <f>IFERROR(__xludf.DUMMYFUNCTION("IF(COUNTA(C1322:C1350)=0,"""",IF(C1322="""",0,IF(REGEXMATCH(C1322,""^Sell_""),-ROUNDDOWN(ROUNDUP(INDEX(Upgrades!$C$3:$C$13,MATCH(SUBSTITUTE(C1322,""Sell_"",""""),Upgrades!$B$3:$B$13,0))*1.15^(COUNTIF(C$4:C1321,SUBSTITUTE(C1322,""Sell_"",""""))-COUNTIF(C$4"&amp;":C1321,""Sell_""&amp;SUBSTITUTE(C1322,""Sell_"",""""))))/2),ROUNDUP(INDEX(Upgrades!$C$3:$C$13,MATCH(C1322,Upgrades!$B$3:$B$13,0))*1.15^(COUNTIF(C$4:C1321,C1322)-COUNTIF(C$4:C1321,""Sell_""&amp;C1322))))))"),"")</f>
        <v/>
      </c>
      <c r="H1322" s="10" t="str">
        <f t="shared" si="3"/>
        <v/>
      </c>
      <c r="I1322" s="68" t="str">
        <f t="shared" si="4"/>
        <v/>
      </c>
      <c r="J1322" s="59" t="str">
        <f t="shared" si="5"/>
        <v/>
      </c>
      <c r="K1322" s="69" t="str">
        <f t="shared" si="6"/>
        <v/>
      </c>
      <c r="L1322" s="60" t="str">
        <f t="shared" si="7"/>
        <v/>
      </c>
      <c r="M1322" s="61" t="str">
        <f>IFERROR(__xludf.DUMMYFUNCTION("IFS(AND(COUNTA(C1322:C1350)=0,COUNTA(Q1322:Q1350)=0),"""",OR(AND(K1322&gt;=1000000000,OR(Y1322&gt;=1000000000,COUNTA(Q1322:Q1350)=0)),OR(Y1322&gt;=1000000000,AND(COUNTA(C1322:C1350)=0,P$3=TRUE))),
ROUNDDOWN((AB$1-AC$1)*MAX(INDEX(T$4:T1350,MATCH(LARGE(FILTER(Y$4:Y1"&amp;"350,Y$4:Y1350&lt;1000000000),1),Y$4:Y1350)),INDEX(F$4:F1350,MATCH(LARGE(FILTER(K$4:K1350,K$4:K1350&lt;1000000000),1),K$4:K1350)))),AND(K1322&lt;1000000000,COUNTA(C1322:C1350)&gt;0,P$3=FALSE),
ROUNDDOWN(INDEX(Y$4:Y1350,MATCH(LARGE(FILTER(W$4:W1350,W$4:W1350&lt;=I1322),1)"&amp;",W$4:W1350))+(I1322-LARGE(FILTER(W$4:W1350,W$4:W1350&lt;=I1322),1))*INDEX(T$4:T1350,MATCH(LARGE(FILTER(W$4:W1350,W$4:W1350&lt;=I1322),1),W$4:W1350))-K1322),1,
ROUNDDOWN(Y1322-INDEX(K$4:K1350,MATCH(LARGE(FILTER(I$4:I1350,I$4:I1350&lt;=W1322),1),I$4:I1350))-(W1322-L"&amp;"ARGE(FILTER(I$4:I1350,I$4:I1350&lt;=W1322),1))*INDEX(F$4:F1350,MATCH(LARGE(FILTER(I$4:I1350,I$4:I1350&lt;=W1322),1),I$4:I1350))))"),"")</f>
        <v/>
      </c>
      <c r="N1322" s="60" t="str">
        <f t="shared" si="8"/>
        <v/>
      </c>
      <c r="O1322" s="61" t="str">
        <f t="shared" si="9"/>
        <v/>
      </c>
      <c r="P1322" s="56" t="str">
        <f t="shared" si="10"/>
        <v/>
      </c>
      <c r="Q1322" s="62"/>
      <c r="R1322" s="10" t="str">
        <f>IFERROR(__xludf.DUMMYFUNCTION("IF(COUNTA(Q1322:Q1350)=0,"""",IF(ISBLANK(Q1322),FALSE,IF(NOT(COUNTIF($AA$24:$AA$34,SUBSTITUTE(Q1322,""Sell_"",""""))),1,IF(REGEXMATCH(Q1322,""Sell_""),IF(COUNTIF(Q$4:Q1322,SUBSTITUTE(Q1322,""Sell_"",""""))-COUNTIF(Q$4:Q1321,Q1322)&lt;1,1),FALSE))))"),"")</f>
        <v/>
      </c>
      <c r="S1322" s="59" t="str">
        <f t="array" ref="S1322">IF(COUNTA(Q1322:Q1350)=0,"",SUM((COUNTIF(Q$4:Q1322,Upgrades!$B$3:$B$13)-COUNTIF(Q$4:Q1322,"Sell_"&amp;Upgrades!$B$3:$B$13))*Upgrades!$D$3:$D$13))</f>
        <v/>
      </c>
      <c r="T1322" s="66" t="str">
        <f>IFERROR(__xludf.DUMMYFUNCTION("IF(COUNTA(Q1322:Q1350)=0,"""",IF(REGEXMATCH(INDEX(FILTER(Q$4:Q1322,Q$4:Q1322&lt;&gt;""""),ROWS(FILTER(Q$4:Q1322,Q$4:Q1322&lt;&gt;""""))),""^Sell_""),INDEX(FILTER(T$4:T1321,Q$4:Q1321&lt;&gt;""""),ROWS(FILTER(Q$4:Q1321,Q$4:Q1321&lt;&gt;""""))),$AD$5+S1322))"),"")</f>
        <v/>
      </c>
      <c r="U1322" s="10" t="str">
        <f>IFERROR(__xludf.DUMMYFUNCTION("IF(COUNTA(Q1322:Q1350)=0,"""",IF(Q1322="""",0,IF(REGEXMATCH(Q1322,""^Sell_""),-ROUNDDOWN(ROUNDUP(INDEX(Upgrades!$C$3:$C$13,MATCH(SUBSTITUTE(Q1322,""Sell_"",""""),Upgrades!$B$3:$B$13,0))*1.15^(COUNTIF(Q$4:Q1321,SUBSTITUTE(Q1322,""Sell_"",""""))-COUNTIF(Q$4"&amp;":Q1321,""Sell_""&amp;SUBSTITUTE(Q1322,""Sell_"",""""))))/2),ROUNDUP(INDEX(Upgrades!$C$3:$C$13,MATCH(Q1322,Upgrades!$B$3:$B$13,0))*1.15^(COUNTIF(Q$4:Q1321,Q1322)-COUNTIF(Q$4:Q1321,""Sell_""&amp;Q1322))))))"),"")</f>
        <v/>
      </c>
      <c r="V1322" s="10" t="str">
        <f t="shared" si="11"/>
        <v/>
      </c>
      <c r="W1322" s="68" t="str">
        <f t="shared" si="12"/>
        <v/>
      </c>
      <c r="X1322" s="59" t="str">
        <f t="shared" si="13"/>
        <v/>
      </c>
      <c r="Y1322" s="69" t="str">
        <f t="shared" si="14"/>
        <v/>
      </c>
      <c r="Z1322" s="11"/>
    </row>
    <row r="1323">
      <c r="A1323" s="8"/>
      <c r="B1323" s="56" t="str">
        <f t="shared" si="2"/>
        <v/>
      </c>
      <c r="C1323" s="57"/>
      <c r="D1323" s="10" t="str">
        <f>IFERROR(__xludf.DUMMYFUNCTION("IF(COUNTA(C1323:C1350)=0,"""",IF(ISBLANK(C1323),FALSE,IF(NOT(COUNTIF($AA$24:$AA$34,SUBSTITUTE(C1323,""Sell_"",""""))),1,IF(REGEXMATCH(C1323,""Sell_""),IF(COUNTIF(C$4:C1323,SUBSTITUTE(C1323,""Sell_"",""""))-COUNTIF(C$4:C1322,C1323)&lt;1,1),FALSE))))"),"")</f>
        <v/>
      </c>
      <c r="E1323" s="59" t="str">
        <f t="array" ref="E1323">IF(COUNTA(C1323:C1350)=0,"",SUM((COUNTIF(C$4:C1323,Upgrades!$B$3:$B$13)-COUNTIF(C$4:C1323,"Sell_"&amp;Upgrades!$B$3:$B$13))*Upgrades!$D$3:$D$13))</f>
        <v/>
      </c>
      <c r="F1323" s="66" t="str">
        <f>IFERROR(__xludf.DUMMYFUNCTION("IF(COUNTA(C1323:C1350)=0,"""",IF(REGEXMATCH(INDEX(FILTER(C$4:C1323,C$4:C1323&lt;&gt;""""),ROWS(FILTER(C$4:C1323,C$4:C1323&lt;&gt;""""))),""^Sell_""),INDEX(FILTER(F$4:F1322,C$4:C1322&lt;&gt;""""),ROWS(FILTER(C$4:C1322,C$4:C1322&lt;&gt;""""))),$AC$5+E1323))"),"")</f>
        <v/>
      </c>
      <c r="G1323" s="10" t="str">
        <f>IFERROR(__xludf.DUMMYFUNCTION("IF(COUNTA(C1323:C1350)=0,"""",IF(C1323="""",0,IF(REGEXMATCH(C1323,""^Sell_""),-ROUNDDOWN(ROUNDUP(INDEX(Upgrades!$C$3:$C$13,MATCH(SUBSTITUTE(C1323,""Sell_"",""""),Upgrades!$B$3:$B$13,0))*1.15^(COUNTIF(C$4:C1322,SUBSTITUTE(C1323,""Sell_"",""""))-COUNTIF(C$4"&amp;":C1322,""Sell_""&amp;SUBSTITUTE(C1323,""Sell_"",""""))))/2),ROUNDUP(INDEX(Upgrades!$C$3:$C$13,MATCH(C1323,Upgrades!$B$3:$B$13,0))*1.15^(COUNTIF(C$4:C1322,C1323)-COUNTIF(C$4:C1322,""Sell_""&amp;C1323))))))"),"")</f>
        <v/>
      </c>
      <c r="H1323" s="10" t="str">
        <f t="shared" si="3"/>
        <v/>
      </c>
      <c r="I1323" s="68" t="str">
        <f t="shared" si="4"/>
        <v/>
      </c>
      <c r="J1323" s="59" t="str">
        <f t="shared" si="5"/>
        <v/>
      </c>
      <c r="K1323" s="69" t="str">
        <f t="shared" si="6"/>
        <v/>
      </c>
      <c r="L1323" s="60" t="str">
        <f t="shared" si="7"/>
        <v/>
      </c>
      <c r="M1323" s="61" t="str">
        <f>IFERROR(__xludf.DUMMYFUNCTION("IFS(AND(COUNTA(C1323:C1350)=0,COUNTA(Q1323:Q1350)=0),"""",OR(AND(K1323&gt;=1000000000,OR(Y1323&gt;=1000000000,COUNTA(Q1323:Q1350)=0)),OR(Y1323&gt;=1000000000,AND(COUNTA(C1323:C1350)=0,P$3=TRUE))),
ROUNDDOWN((AB$1-AC$1)*MAX(INDEX(T$4:T1350,MATCH(LARGE(FILTER(Y$4:Y1"&amp;"350,Y$4:Y1350&lt;1000000000),1),Y$4:Y1350)),INDEX(F$4:F1350,MATCH(LARGE(FILTER(K$4:K1350,K$4:K1350&lt;1000000000),1),K$4:K1350)))),AND(K1323&lt;1000000000,COUNTA(C1323:C1350)&gt;0,P$3=FALSE),
ROUNDDOWN(INDEX(Y$4:Y1350,MATCH(LARGE(FILTER(W$4:W1350,W$4:W1350&lt;=I1323),1)"&amp;",W$4:W1350))+(I1323-LARGE(FILTER(W$4:W1350,W$4:W1350&lt;=I1323),1))*INDEX(T$4:T1350,MATCH(LARGE(FILTER(W$4:W1350,W$4:W1350&lt;=I1323),1),W$4:W1350))-K1323),1,
ROUNDDOWN(Y1323-INDEX(K$4:K1350,MATCH(LARGE(FILTER(I$4:I1350,I$4:I1350&lt;=W1323),1),I$4:I1350))-(W1323-L"&amp;"ARGE(FILTER(I$4:I1350,I$4:I1350&lt;=W1323),1))*INDEX(F$4:F1350,MATCH(LARGE(FILTER(I$4:I1350,I$4:I1350&lt;=W1323),1),I$4:I1350))))"),"")</f>
        <v/>
      </c>
      <c r="N1323" s="60" t="str">
        <f t="shared" si="8"/>
        <v/>
      </c>
      <c r="O1323" s="61" t="str">
        <f t="shared" si="9"/>
        <v/>
      </c>
      <c r="P1323" s="56" t="str">
        <f t="shared" si="10"/>
        <v/>
      </c>
      <c r="Q1323" s="62"/>
      <c r="R1323" s="10" t="str">
        <f>IFERROR(__xludf.DUMMYFUNCTION("IF(COUNTA(Q1323:Q1350)=0,"""",IF(ISBLANK(Q1323),FALSE,IF(NOT(COUNTIF($AA$24:$AA$34,SUBSTITUTE(Q1323,""Sell_"",""""))),1,IF(REGEXMATCH(Q1323,""Sell_""),IF(COUNTIF(Q$4:Q1323,SUBSTITUTE(Q1323,""Sell_"",""""))-COUNTIF(Q$4:Q1322,Q1323)&lt;1,1),FALSE))))"),"")</f>
        <v/>
      </c>
      <c r="S1323" s="59" t="str">
        <f t="array" ref="S1323">IF(COUNTA(Q1323:Q1350)=0,"",SUM((COUNTIF(Q$4:Q1323,Upgrades!$B$3:$B$13)-COUNTIF(Q$4:Q1323,"Sell_"&amp;Upgrades!$B$3:$B$13))*Upgrades!$D$3:$D$13))</f>
        <v/>
      </c>
      <c r="T1323" s="66" t="str">
        <f>IFERROR(__xludf.DUMMYFUNCTION("IF(COUNTA(Q1323:Q1350)=0,"""",IF(REGEXMATCH(INDEX(FILTER(Q$4:Q1323,Q$4:Q1323&lt;&gt;""""),ROWS(FILTER(Q$4:Q1323,Q$4:Q1323&lt;&gt;""""))),""^Sell_""),INDEX(FILTER(T$4:T1322,Q$4:Q1322&lt;&gt;""""),ROWS(FILTER(Q$4:Q1322,Q$4:Q1322&lt;&gt;""""))),$AD$5+S1323))"),"")</f>
        <v/>
      </c>
      <c r="U1323" s="10" t="str">
        <f>IFERROR(__xludf.DUMMYFUNCTION("IF(COUNTA(Q1323:Q1350)=0,"""",IF(Q1323="""",0,IF(REGEXMATCH(Q1323,""^Sell_""),-ROUNDDOWN(ROUNDUP(INDEX(Upgrades!$C$3:$C$13,MATCH(SUBSTITUTE(Q1323,""Sell_"",""""),Upgrades!$B$3:$B$13,0))*1.15^(COUNTIF(Q$4:Q1322,SUBSTITUTE(Q1323,""Sell_"",""""))-COUNTIF(Q$4"&amp;":Q1322,""Sell_""&amp;SUBSTITUTE(Q1323,""Sell_"",""""))))/2),ROUNDUP(INDEX(Upgrades!$C$3:$C$13,MATCH(Q1323,Upgrades!$B$3:$B$13,0))*1.15^(COUNTIF(Q$4:Q1322,Q1323)-COUNTIF(Q$4:Q1322,""Sell_""&amp;Q1323))))))"),"")</f>
        <v/>
      </c>
      <c r="V1323" s="10" t="str">
        <f t="shared" si="11"/>
        <v/>
      </c>
      <c r="W1323" s="68" t="str">
        <f t="shared" si="12"/>
        <v/>
      </c>
      <c r="X1323" s="59" t="str">
        <f t="shared" si="13"/>
        <v/>
      </c>
      <c r="Y1323" s="69" t="str">
        <f t="shared" si="14"/>
        <v/>
      </c>
      <c r="Z1323" s="11"/>
    </row>
    <row r="1324">
      <c r="A1324" s="8"/>
      <c r="B1324" s="56" t="str">
        <f t="shared" si="2"/>
        <v/>
      </c>
      <c r="C1324" s="57"/>
      <c r="D1324" s="10" t="str">
        <f>IFERROR(__xludf.DUMMYFUNCTION("IF(COUNTA(C1324:C1350)=0,"""",IF(ISBLANK(C1324),FALSE,IF(NOT(COUNTIF($AA$24:$AA$34,SUBSTITUTE(C1324,""Sell_"",""""))),1,IF(REGEXMATCH(C1324,""Sell_""),IF(COUNTIF(C$4:C1324,SUBSTITUTE(C1324,""Sell_"",""""))-COUNTIF(C$4:C1323,C1324)&lt;1,1),FALSE))))"),"")</f>
        <v/>
      </c>
      <c r="E1324" s="59" t="str">
        <f t="array" ref="E1324">IF(COUNTA(C1324:C1350)=0,"",SUM((COUNTIF(C$4:C1324,Upgrades!$B$3:$B$13)-COUNTIF(C$4:C1324,"Sell_"&amp;Upgrades!$B$3:$B$13))*Upgrades!$D$3:$D$13))</f>
        <v/>
      </c>
      <c r="F1324" s="66" t="str">
        <f>IFERROR(__xludf.DUMMYFUNCTION("IF(COUNTA(C1324:C1350)=0,"""",IF(REGEXMATCH(INDEX(FILTER(C$4:C1324,C$4:C1324&lt;&gt;""""),ROWS(FILTER(C$4:C1324,C$4:C1324&lt;&gt;""""))),""^Sell_""),INDEX(FILTER(F$4:F1323,C$4:C1323&lt;&gt;""""),ROWS(FILTER(C$4:C1323,C$4:C1323&lt;&gt;""""))),$AC$5+E1324))"),"")</f>
        <v/>
      </c>
      <c r="G1324" s="10" t="str">
        <f>IFERROR(__xludf.DUMMYFUNCTION("IF(COUNTA(C1324:C1350)=0,"""",IF(C1324="""",0,IF(REGEXMATCH(C1324,""^Sell_""),-ROUNDDOWN(ROUNDUP(INDEX(Upgrades!$C$3:$C$13,MATCH(SUBSTITUTE(C1324,""Sell_"",""""),Upgrades!$B$3:$B$13,0))*1.15^(COUNTIF(C$4:C1323,SUBSTITUTE(C1324,""Sell_"",""""))-COUNTIF(C$4"&amp;":C1323,""Sell_""&amp;SUBSTITUTE(C1324,""Sell_"",""""))))/2),ROUNDUP(INDEX(Upgrades!$C$3:$C$13,MATCH(C1324,Upgrades!$B$3:$B$13,0))*1.15^(COUNTIF(C$4:C1323,C1324)-COUNTIF(C$4:C1323,""Sell_""&amp;C1324))))))"),"")</f>
        <v/>
      </c>
      <c r="H1324" s="10" t="str">
        <f t="shared" si="3"/>
        <v/>
      </c>
      <c r="I1324" s="68" t="str">
        <f t="shared" si="4"/>
        <v/>
      </c>
      <c r="J1324" s="59" t="str">
        <f t="shared" si="5"/>
        <v/>
      </c>
      <c r="K1324" s="69" t="str">
        <f t="shared" si="6"/>
        <v/>
      </c>
      <c r="L1324" s="60" t="str">
        <f t="shared" si="7"/>
        <v/>
      </c>
      <c r="M1324" s="61" t="str">
        <f>IFERROR(__xludf.DUMMYFUNCTION("IFS(AND(COUNTA(C1324:C1350)=0,COUNTA(Q1324:Q1350)=0),"""",OR(AND(K1324&gt;=1000000000,OR(Y1324&gt;=1000000000,COUNTA(Q1324:Q1350)=0)),OR(Y1324&gt;=1000000000,AND(COUNTA(C1324:C1350)=0,P$3=TRUE))),
ROUNDDOWN((AB$1-AC$1)*MAX(INDEX(T$4:T1350,MATCH(LARGE(FILTER(Y$4:Y1"&amp;"350,Y$4:Y1350&lt;1000000000),1),Y$4:Y1350)),INDEX(F$4:F1350,MATCH(LARGE(FILTER(K$4:K1350,K$4:K1350&lt;1000000000),1),K$4:K1350)))),AND(K1324&lt;1000000000,COUNTA(C1324:C1350)&gt;0,P$3=FALSE),
ROUNDDOWN(INDEX(Y$4:Y1350,MATCH(LARGE(FILTER(W$4:W1350,W$4:W1350&lt;=I1324),1)"&amp;",W$4:W1350))+(I1324-LARGE(FILTER(W$4:W1350,W$4:W1350&lt;=I1324),1))*INDEX(T$4:T1350,MATCH(LARGE(FILTER(W$4:W1350,W$4:W1350&lt;=I1324),1),W$4:W1350))-K1324),1,
ROUNDDOWN(Y1324-INDEX(K$4:K1350,MATCH(LARGE(FILTER(I$4:I1350,I$4:I1350&lt;=W1324),1),I$4:I1350))-(W1324-L"&amp;"ARGE(FILTER(I$4:I1350,I$4:I1350&lt;=W1324),1))*INDEX(F$4:F1350,MATCH(LARGE(FILTER(I$4:I1350,I$4:I1350&lt;=W1324),1),I$4:I1350))))"),"")</f>
        <v/>
      </c>
      <c r="N1324" s="60" t="str">
        <f t="shared" si="8"/>
        <v/>
      </c>
      <c r="O1324" s="61" t="str">
        <f t="shared" si="9"/>
        <v/>
      </c>
      <c r="P1324" s="56" t="str">
        <f t="shared" si="10"/>
        <v/>
      </c>
      <c r="Q1324" s="62"/>
      <c r="R1324" s="10" t="str">
        <f>IFERROR(__xludf.DUMMYFUNCTION("IF(COUNTA(Q1324:Q1350)=0,"""",IF(ISBLANK(Q1324),FALSE,IF(NOT(COUNTIF($AA$24:$AA$34,SUBSTITUTE(Q1324,""Sell_"",""""))),1,IF(REGEXMATCH(Q1324,""Sell_""),IF(COUNTIF(Q$4:Q1324,SUBSTITUTE(Q1324,""Sell_"",""""))-COUNTIF(Q$4:Q1323,Q1324)&lt;1,1),FALSE))))"),"")</f>
        <v/>
      </c>
      <c r="S1324" s="59" t="str">
        <f t="array" ref="S1324">IF(COUNTA(Q1324:Q1350)=0,"",SUM((COUNTIF(Q$4:Q1324,Upgrades!$B$3:$B$13)-COUNTIF(Q$4:Q1324,"Sell_"&amp;Upgrades!$B$3:$B$13))*Upgrades!$D$3:$D$13))</f>
        <v/>
      </c>
      <c r="T1324" s="66" t="str">
        <f>IFERROR(__xludf.DUMMYFUNCTION("IF(COUNTA(Q1324:Q1350)=0,"""",IF(REGEXMATCH(INDEX(FILTER(Q$4:Q1324,Q$4:Q1324&lt;&gt;""""),ROWS(FILTER(Q$4:Q1324,Q$4:Q1324&lt;&gt;""""))),""^Sell_""),INDEX(FILTER(T$4:T1323,Q$4:Q1323&lt;&gt;""""),ROWS(FILTER(Q$4:Q1323,Q$4:Q1323&lt;&gt;""""))),$AD$5+S1324))"),"")</f>
        <v/>
      </c>
      <c r="U1324" s="10" t="str">
        <f>IFERROR(__xludf.DUMMYFUNCTION("IF(COUNTA(Q1324:Q1350)=0,"""",IF(Q1324="""",0,IF(REGEXMATCH(Q1324,""^Sell_""),-ROUNDDOWN(ROUNDUP(INDEX(Upgrades!$C$3:$C$13,MATCH(SUBSTITUTE(Q1324,""Sell_"",""""),Upgrades!$B$3:$B$13,0))*1.15^(COUNTIF(Q$4:Q1323,SUBSTITUTE(Q1324,""Sell_"",""""))-COUNTIF(Q$4"&amp;":Q1323,""Sell_""&amp;SUBSTITUTE(Q1324,""Sell_"",""""))))/2),ROUNDUP(INDEX(Upgrades!$C$3:$C$13,MATCH(Q1324,Upgrades!$B$3:$B$13,0))*1.15^(COUNTIF(Q$4:Q1323,Q1324)-COUNTIF(Q$4:Q1323,""Sell_""&amp;Q1324))))))"),"")</f>
        <v/>
      </c>
      <c r="V1324" s="10" t="str">
        <f t="shared" si="11"/>
        <v/>
      </c>
      <c r="W1324" s="68" t="str">
        <f t="shared" si="12"/>
        <v/>
      </c>
      <c r="X1324" s="59" t="str">
        <f t="shared" si="13"/>
        <v/>
      </c>
      <c r="Y1324" s="69" t="str">
        <f t="shared" si="14"/>
        <v/>
      </c>
      <c r="Z1324" s="11"/>
    </row>
    <row r="1325">
      <c r="A1325" s="8"/>
      <c r="B1325" s="56" t="str">
        <f t="shared" si="2"/>
        <v/>
      </c>
      <c r="C1325" s="57"/>
      <c r="D1325" s="10" t="str">
        <f>IFERROR(__xludf.DUMMYFUNCTION("IF(COUNTA(C1325:C1350)=0,"""",IF(ISBLANK(C1325),FALSE,IF(NOT(COUNTIF($AA$24:$AA$34,SUBSTITUTE(C1325,""Sell_"",""""))),1,IF(REGEXMATCH(C1325,""Sell_""),IF(COUNTIF(C$4:C1325,SUBSTITUTE(C1325,""Sell_"",""""))-COUNTIF(C$4:C1324,C1325)&lt;1,1),FALSE))))"),"")</f>
        <v/>
      </c>
      <c r="E1325" s="59" t="str">
        <f t="array" ref="E1325">IF(COUNTA(C1325:C1350)=0,"",SUM((COUNTIF(C$4:C1325,Upgrades!$B$3:$B$13)-COUNTIF(C$4:C1325,"Sell_"&amp;Upgrades!$B$3:$B$13))*Upgrades!$D$3:$D$13))</f>
        <v/>
      </c>
      <c r="F1325" s="66" t="str">
        <f>IFERROR(__xludf.DUMMYFUNCTION("IF(COUNTA(C1325:C1350)=0,"""",IF(REGEXMATCH(INDEX(FILTER(C$4:C1325,C$4:C1325&lt;&gt;""""),ROWS(FILTER(C$4:C1325,C$4:C1325&lt;&gt;""""))),""^Sell_""),INDEX(FILTER(F$4:F1324,C$4:C1324&lt;&gt;""""),ROWS(FILTER(C$4:C1324,C$4:C1324&lt;&gt;""""))),$AC$5+E1325))"),"")</f>
        <v/>
      </c>
      <c r="G1325" s="10" t="str">
        <f>IFERROR(__xludf.DUMMYFUNCTION("IF(COUNTA(C1325:C1350)=0,"""",IF(C1325="""",0,IF(REGEXMATCH(C1325,""^Sell_""),-ROUNDDOWN(ROUNDUP(INDEX(Upgrades!$C$3:$C$13,MATCH(SUBSTITUTE(C1325,""Sell_"",""""),Upgrades!$B$3:$B$13,0))*1.15^(COUNTIF(C$4:C1324,SUBSTITUTE(C1325,""Sell_"",""""))-COUNTIF(C$4"&amp;":C1324,""Sell_""&amp;SUBSTITUTE(C1325,""Sell_"",""""))))/2),ROUNDUP(INDEX(Upgrades!$C$3:$C$13,MATCH(C1325,Upgrades!$B$3:$B$13,0))*1.15^(COUNTIF(C$4:C1324,C1325)-COUNTIF(C$4:C1324,""Sell_""&amp;C1325))))))"),"")</f>
        <v/>
      </c>
      <c r="H1325" s="10" t="str">
        <f t="shared" si="3"/>
        <v/>
      </c>
      <c r="I1325" s="68" t="str">
        <f t="shared" si="4"/>
        <v/>
      </c>
      <c r="J1325" s="59" t="str">
        <f t="shared" si="5"/>
        <v/>
      </c>
      <c r="K1325" s="69" t="str">
        <f t="shared" si="6"/>
        <v/>
      </c>
      <c r="L1325" s="60" t="str">
        <f t="shared" si="7"/>
        <v/>
      </c>
      <c r="M1325" s="61" t="str">
        <f>IFERROR(__xludf.DUMMYFUNCTION("IFS(AND(COUNTA(C1325:C1350)=0,COUNTA(Q1325:Q1350)=0),"""",OR(AND(K1325&gt;=1000000000,OR(Y1325&gt;=1000000000,COUNTA(Q1325:Q1350)=0)),OR(Y1325&gt;=1000000000,AND(COUNTA(C1325:C1350)=0,P$3=TRUE))),
ROUNDDOWN((AB$1-AC$1)*MAX(INDEX(T$4:T1350,MATCH(LARGE(FILTER(Y$4:Y1"&amp;"350,Y$4:Y1350&lt;1000000000),1),Y$4:Y1350)),INDEX(F$4:F1350,MATCH(LARGE(FILTER(K$4:K1350,K$4:K1350&lt;1000000000),1),K$4:K1350)))),AND(K1325&lt;1000000000,COUNTA(C1325:C1350)&gt;0,P$3=FALSE),
ROUNDDOWN(INDEX(Y$4:Y1350,MATCH(LARGE(FILTER(W$4:W1350,W$4:W1350&lt;=I1325),1)"&amp;",W$4:W1350))+(I1325-LARGE(FILTER(W$4:W1350,W$4:W1350&lt;=I1325),1))*INDEX(T$4:T1350,MATCH(LARGE(FILTER(W$4:W1350,W$4:W1350&lt;=I1325),1),W$4:W1350))-K1325),1,
ROUNDDOWN(Y1325-INDEX(K$4:K1350,MATCH(LARGE(FILTER(I$4:I1350,I$4:I1350&lt;=W1325),1),I$4:I1350))-(W1325-L"&amp;"ARGE(FILTER(I$4:I1350,I$4:I1350&lt;=W1325),1))*INDEX(F$4:F1350,MATCH(LARGE(FILTER(I$4:I1350,I$4:I1350&lt;=W1325),1),I$4:I1350))))"),"")</f>
        <v/>
      </c>
      <c r="N1325" s="60" t="str">
        <f t="shared" si="8"/>
        <v/>
      </c>
      <c r="O1325" s="61" t="str">
        <f t="shared" si="9"/>
        <v/>
      </c>
      <c r="P1325" s="56" t="str">
        <f t="shared" si="10"/>
        <v/>
      </c>
      <c r="Q1325" s="62"/>
      <c r="R1325" s="10" t="str">
        <f>IFERROR(__xludf.DUMMYFUNCTION("IF(COUNTA(Q1325:Q1350)=0,"""",IF(ISBLANK(Q1325),FALSE,IF(NOT(COUNTIF($AA$24:$AA$34,SUBSTITUTE(Q1325,""Sell_"",""""))),1,IF(REGEXMATCH(Q1325,""Sell_""),IF(COUNTIF(Q$4:Q1325,SUBSTITUTE(Q1325,""Sell_"",""""))-COUNTIF(Q$4:Q1324,Q1325)&lt;1,1),FALSE))))"),"")</f>
        <v/>
      </c>
      <c r="S1325" s="59" t="str">
        <f t="array" ref="S1325">IF(COUNTA(Q1325:Q1350)=0,"",SUM((COUNTIF(Q$4:Q1325,Upgrades!$B$3:$B$13)-COUNTIF(Q$4:Q1325,"Sell_"&amp;Upgrades!$B$3:$B$13))*Upgrades!$D$3:$D$13))</f>
        <v/>
      </c>
      <c r="T1325" s="66" t="str">
        <f>IFERROR(__xludf.DUMMYFUNCTION("IF(COUNTA(Q1325:Q1350)=0,"""",IF(REGEXMATCH(INDEX(FILTER(Q$4:Q1325,Q$4:Q1325&lt;&gt;""""),ROWS(FILTER(Q$4:Q1325,Q$4:Q1325&lt;&gt;""""))),""^Sell_""),INDEX(FILTER(T$4:T1324,Q$4:Q1324&lt;&gt;""""),ROWS(FILTER(Q$4:Q1324,Q$4:Q1324&lt;&gt;""""))),$AD$5+S1325))"),"")</f>
        <v/>
      </c>
      <c r="U1325" s="10" t="str">
        <f>IFERROR(__xludf.DUMMYFUNCTION("IF(COUNTA(Q1325:Q1350)=0,"""",IF(Q1325="""",0,IF(REGEXMATCH(Q1325,""^Sell_""),-ROUNDDOWN(ROUNDUP(INDEX(Upgrades!$C$3:$C$13,MATCH(SUBSTITUTE(Q1325,""Sell_"",""""),Upgrades!$B$3:$B$13,0))*1.15^(COUNTIF(Q$4:Q1324,SUBSTITUTE(Q1325,""Sell_"",""""))-COUNTIF(Q$4"&amp;":Q1324,""Sell_""&amp;SUBSTITUTE(Q1325,""Sell_"",""""))))/2),ROUNDUP(INDEX(Upgrades!$C$3:$C$13,MATCH(Q1325,Upgrades!$B$3:$B$13,0))*1.15^(COUNTIF(Q$4:Q1324,Q1325)-COUNTIF(Q$4:Q1324,""Sell_""&amp;Q1325))))))"),"")</f>
        <v/>
      </c>
      <c r="V1325" s="10" t="str">
        <f t="shared" si="11"/>
        <v/>
      </c>
      <c r="W1325" s="68" t="str">
        <f t="shared" si="12"/>
        <v/>
      </c>
      <c r="X1325" s="59" t="str">
        <f t="shared" si="13"/>
        <v/>
      </c>
      <c r="Y1325" s="69" t="str">
        <f t="shared" si="14"/>
        <v/>
      </c>
      <c r="Z1325" s="11"/>
    </row>
    <row r="1326">
      <c r="A1326" s="8"/>
      <c r="B1326" s="56" t="str">
        <f t="shared" si="2"/>
        <v/>
      </c>
      <c r="C1326" s="57"/>
      <c r="D1326" s="10" t="str">
        <f>IFERROR(__xludf.DUMMYFUNCTION("IF(COUNTA(C1326:C1350)=0,"""",IF(ISBLANK(C1326),FALSE,IF(NOT(COUNTIF($AA$24:$AA$34,SUBSTITUTE(C1326,""Sell_"",""""))),1,IF(REGEXMATCH(C1326,""Sell_""),IF(COUNTIF(C$4:C1326,SUBSTITUTE(C1326,""Sell_"",""""))-COUNTIF(C$4:C1325,C1326)&lt;1,1),FALSE))))"),"")</f>
        <v/>
      </c>
      <c r="E1326" s="59" t="str">
        <f t="array" ref="E1326">IF(COUNTA(C1326:C1350)=0,"",SUM((COUNTIF(C$4:C1326,Upgrades!$B$3:$B$13)-COUNTIF(C$4:C1326,"Sell_"&amp;Upgrades!$B$3:$B$13))*Upgrades!$D$3:$D$13))</f>
        <v/>
      </c>
      <c r="F1326" s="66" t="str">
        <f>IFERROR(__xludf.DUMMYFUNCTION("IF(COUNTA(C1326:C1350)=0,"""",IF(REGEXMATCH(INDEX(FILTER(C$4:C1326,C$4:C1326&lt;&gt;""""),ROWS(FILTER(C$4:C1326,C$4:C1326&lt;&gt;""""))),""^Sell_""),INDEX(FILTER(F$4:F1325,C$4:C1325&lt;&gt;""""),ROWS(FILTER(C$4:C1325,C$4:C1325&lt;&gt;""""))),$AC$5+E1326))"),"")</f>
        <v/>
      </c>
      <c r="G1326" s="10" t="str">
        <f>IFERROR(__xludf.DUMMYFUNCTION("IF(COUNTA(C1326:C1350)=0,"""",IF(C1326="""",0,IF(REGEXMATCH(C1326,""^Sell_""),-ROUNDDOWN(ROUNDUP(INDEX(Upgrades!$C$3:$C$13,MATCH(SUBSTITUTE(C1326,""Sell_"",""""),Upgrades!$B$3:$B$13,0))*1.15^(COUNTIF(C$4:C1325,SUBSTITUTE(C1326,""Sell_"",""""))-COUNTIF(C$4"&amp;":C1325,""Sell_""&amp;SUBSTITUTE(C1326,""Sell_"",""""))))/2),ROUNDUP(INDEX(Upgrades!$C$3:$C$13,MATCH(C1326,Upgrades!$B$3:$B$13,0))*1.15^(COUNTIF(C$4:C1325,C1326)-COUNTIF(C$4:C1325,""Sell_""&amp;C1326))))))"),"")</f>
        <v/>
      </c>
      <c r="H1326" s="10" t="str">
        <f t="shared" si="3"/>
        <v/>
      </c>
      <c r="I1326" s="68" t="str">
        <f t="shared" si="4"/>
        <v/>
      </c>
      <c r="J1326" s="59" t="str">
        <f t="shared" si="5"/>
        <v/>
      </c>
      <c r="K1326" s="69" t="str">
        <f t="shared" si="6"/>
        <v/>
      </c>
      <c r="L1326" s="60" t="str">
        <f t="shared" si="7"/>
        <v/>
      </c>
      <c r="M1326" s="61" t="str">
        <f>IFERROR(__xludf.DUMMYFUNCTION("IFS(AND(COUNTA(C1326:C1350)=0,COUNTA(Q1326:Q1350)=0),"""",OR(AND(K1326&gt;=1000000000,OR(Y1326&gt;=1000000000,COUNTA(Q1326:Q1350)=0)),OR(Y1326&gt;=1000000000,AND(COUNTA(C1326:C1350)=0,P$3=TRUE))),
ROUNDDOWN((AB$1-AC$1)*MAX(INDEX(T$4:T1350,MATCH(LARGE(FILTER(Y$4:Y1"&amp;"350,Y$4:Y1350&lt;1000000000),1),Y$4:Y1350)),INDEX(F$4:F1350,MATCH(LARGE(FILTER(K$4:K1350,K$4:K1350&lt;1000000000),1),K$4:K1350)))),AND(K1326&lt;1000000000,COUNTA(C1326:C1350)&gt;0,P$3=FALSE),
ROUNDDOWN(INDEX(Y$4:Y1350,MATCH(LARGE(FILTER(W$4:W1350,W$4:W1350&lt;=I1326),1)"&amp;",W$4:W1350))+(I1326-LARGE(FILTER(W$4:W1350,W$4:W1350&lt;=I1326),1))*INDEX(T$4:T1350,MATCH(LARGE(FILTER(W$4:W1350,W$4:W1350&lt;=I1326),1),W$4:W1350))-K1326),1,
ROUNDDOWN(Y1326-INDEX(K$4:K1350,MATCH(LARGE(FILTER(I$4:I1350,I$4:I1350&lt;=W1326),1),I$4:I1350))-(W1326-L"&amp;"ARGE(FILTER(I$4:I1350,I$4:I1350&lt;=W1326),1))*INDEX(F$4:F1350,MATCH(LARGE(FILTER(I$4:I1350,I$4:I1350&lt;=W1326),1),I$4:I1350))))"),"")</f>
        <v/>
      </c>
      <c r="N1326" s="60" t="str">
        <f t="shared" si="8"/>
        <v/>
      </c>
      <c r="O1326" s="61" t="str">
        <f t="shared" si="9"/>
        <v/>
      </c>
      <c r="P1326" s="56" t="str">
        <f t="shared" si="10"/>
        <v/>
      </c>
      <c r="Q1326" s="62"/>
      <c r="R1326" s="10" t="str">
        <f>IFERROR(__xludf.DUMMYFUNCTION("IF(COUNTA(Q1326:Q1350)=0,"""",IF(ISBLANK(Q1326),FALSE,IF(NOT(COUNTIF($AA$24:$AA$34,SUBSTITUTE(Q1326,""Sell_"",""""))),1,IF(REGEXMATCH(Q1326,""Sell_""),IF(COUNTIF(Q$4:Q1326,SUBSTITUTE(Q1326,""Sell_"",""""))-COUNTIF(Q$4:Q1325,Q1326)&lt;1,1),FALSE))))"),"")</f>
        <v/>
      </c>
      <c r="S1326" s="59" t="str">
        <f t="array" ref="S1326">IF(COUNTA(Q1326:Q1350)=0,"",SUM((COUNTIF(Q$4:Q1326,Upgrades!$B$3:$B$13)-COUNTIF(Q$4:Q1326,"Sell_"&amp;Upgrades!$B$3:$B$13))*Upgrades!$D$3:$D$13))</f>
        <v/>
      </c>
      <c r="T1326" s="66" t="str">
        <f>IFERROR(__xludf.DUMMYFUNCTION("IF(COUNTA(Q1326:Q1350)=0,"""",IF(REGEXMATCH(INDEX(FILTER(Q$4:Q1326,Q$4:Q1326&lt;&gt;""""),ROWS(FILTER(Q$4:Q1326,Q$4:Q1326&lt;&gt;""""))),""^Sell_""),INDEX(FILTER(T$4:T1325,Q$4:Q1325&lt;&gt;""""),ROWS(FILTER(Q$4:Q1325,Q$4:Q1325&lt;&gt;""""))),$AD$5+S1326))"),"")</f>
        <v/>
      </c>
      <c r="U1326" s="10" t="str">
        <f>IFERROR(__xludf.DUMMYFUNCTION("IF(COUNTA(Q1326:Q1350)=0,"""",IF(Q1326="""",0,IF(REGEXMATCH(Q1326,""^Sell_""),-ROUNDDOWN(ROUNDUP(INDEX(Upgrades!$C$3:$C$13,MATCH(SUBSTITUTE(Q1326,""Sell_"",""""),Upgrades!$B$3:$B$13,0))*1.15^(COUNTIF(Q$4:Q1325,SUBSTITUTE(Q1326,""Sell_"",""""))-COUNTIF(Q$4"&amp;":Q1325,""Sell_""&amp;SUBSTITUTE(Q1326,""Sell_"",""""))))/2),ROUNDUP(INDEX(Upgrades!$C$3:$C$13,MATCH(Q1326,Upgrades!$B$3:$B$13,0))*1.15^(COUNTIF(Q$4:Q1325,Q1326)-COUNTIF(Q$4:Q1325,""Sell_""&amp;Q1326))))))"),"")</f>
        <v/>
      </c>
      <c r="V1326" s="10" t="str">
        <f t="shared" si="11"/>
        <v/>
      </c>
      <c r="W1326" s="68" t="str">
        <f t="shared" si="12"/>
        <v/>
      </c>
      <c r="X1326" s="59" t="str">
        <f t="shared" si="13"/>
        <v/>
      </c>
      <c r="Y1326" s="69" t="str">
        <f t="shared" si="14"/>
        <v/>
      </c>
      <c r="Z1326" s="11"/>
    </row>
    <row r="1327">
      <c r="A1327" s="8"/>
      <c r="B1327" s="56" t="str">
        <f t="shared" si="2"/>
        <v/>
      </c>
      <c r="C1327" s="57"/>
      <c r="D1327" s="10" t="str">
        <f>IFERROR(__xludf.DUMMYFUNCTION("IF(COUNTA(C1327:C1350)=0,"""",IF(ISBLANK(C1327),FALSE,IF(NOT(COUNTIF($AA$24:$AA$34,SUBSTITUTE(C1327,""Sell_"",""""))),1,IF(REGEXMATCH(C1327,""Sell_""),IF(COUNTIF(C$4:C1327,SUBSTITUTE(C1327,""Sell_"",""""))-COUNTIF(C$4:C1326,C1327)&lt;1,1),FALSE))))"),"")</f>
        <v/>
      </c>
      <c r="E1327" s="59" t="str">
        <f t="array" ref="E1327">IF(COUNTA(C1327:C1350)=0,"",SUM((COUNTIF(C$4:C1327,Upgrades!$B$3:$B$13)-COUNTIF(C$4:C1327,"Sell_"&amp;Upgrades!$B$3:$B$13))*Upgrades!$D$3:$D$13))</f>
        <v/>
      </c>
      <c r="F1327" s="66" t="str">
        <f>IFERROR(__xludf.DUMMYFUNCTION("IF(COUNTA(C1327:C1350)=0,"""",IF(REGEXMATCH(INDEX(FILTER(C$4:C1327,C$4:C1327&lt;&gt;""""),ROWS(FILTER(C$4:C1327,C$4:C1327&lt;&gt;""""))),""^Sell_""),INDEX(FILTER(F$4:F1326,C$4:C1326&lt;&gt;""""),ROWS(FILTER(C$4:C1326,C$4:C1326&lt;&gt;""""))),$AC$5+E1327))"),"")</f>
        <v/>
      </c>
      <c r="G1327" s="10" t="str">
        <f>IFERROR(__xludf.DUMMYFUNCTION("IF(COUNTA(C1327:C1350)=0,"""",IF(C1327="""",0,IF(REGEXMATCH(C1327,""^Sell_""),-ROUNDDOWN(ROUNDUP(INDEX(Upgrades!$C$3:$C$13,MATCH(SUBSTITUTE(C1327,""Sell_"",""""),Upgrades!$B$3:$B$13,0))*1.15^(COUNTIF(C$4:C1326,SUBSTITUTE(C1327,""Sell_"",""""))-COUNTIF(C$4"&amp;":C1326,""Sell_""&amp;SUBSTITUTE(C1327,""Sell_"",""""))))/2),ROUNDUP(INDEX(Upgrades!$C$3:$C$13,MATCH(C1327,Upgrades!$B$3:$B$13,0))*1.15^(COUNTIF(C$4:C1326,C1327)-COUNTIF(C$4:C1326,""Sell_""&amp;C1327))))))"),"")</f>
        <v/>
      </c>
      <c r="H1327" s="10" t="str">
        <f t="shared" si="3"/>
        <v/>
      </c>
      <c r="I1327" s="68" t="str">
        <f t="shared" si="4"/>
        <v/>
      </c>
      <c r="J1327" s="59" t="str">
        <f t="shared" si="5"/>
        <v/>
      </c>
      <c r="K1327" s="69" t="str">
        <f t="shared" si="6"/>
        <v/>
      </c>
      <c r="L1327" s="60" t="str">
        <f t="shared" si="7"/>
        <v/>
      </c>
      <c r="M1327" s="61" t="str">
        <f>IFERROR(__xludf.DUMMYFUNCTION("IFS(AND(COUNTA(C1327:C1350)=0,COUNTA(Q1327:Q1350)=0),"""",OR(AND(K1327&gt;=1000000000,OR(Y1327&gt;=1000000000,COUNTA(Q1327:Q1350)=0)),OR(Y1327&gt;=1000000000,AND(COUNTA(C1327:C1350)=0,P$3=TRUE))),
ROUNDDOWN((AB$1-AC$1)*MAX(INDEX(T$4:T1350,MATCH(LARGE(FILTER(Y$4:Y1"&amp;"350,Y$4:Y1350&lt;1000000000),1),Y$4:Y1350)),INDEX(F$4:F1350,MATCH(LARGE(FILTER(K$4:K1350,K$4:K1350&lt;1000000000),1),K$4:K1350)))),AND(K1327&lt;1000000000,COUNTA(C1327:C1350)&gt;0,P$3=FALSE),
ROUNDDOWN(INDEX(Y$4:Y1350,MATCH(LARGE(FILTER(W$4:W1350,W$4:W1350&lt;=I1327),1)"&amp;",W$4:W1350))+(I1327-LARGE(FILTER(W$4:W1350,W$4:W1350&lt;=I1327),1))*INDEX(T$4:T1350,MATCH(LARGE(FILTER(W$4:W1350,W$4:W1350&lt;=I1327),1),W$4:W1350))-K1327),1,
ROUNDDOWN(Y1327-INDEX(K$4:K1350,MATCH(LARGE(FILTER(I$4:I1350,I$4:I1350&lt;=W1327),1),I$4:I1350))-(W1327-L"&amp;"ARGE(FILTER(I$4:I1350,I$4:I1350&lt;=W1327),1))*INDEX(F$4:F1350,MATCH(LARGE(FILTER(I$4:I1350,I$4:I1350&lt;=W1327),1),I$4:I1350))))"),"")</f>
        <v/>
      </c>
      <c r="N1327" s="60" t="str">
        <f t="shared" si="8"/>
        <v/>
      </c>
      <c r="O1327" s="61" t="str">
        <f t="shared" si="9"/>
        <v/>
      </c>
      <c r="P1327" s="56" t="str">
        <f t="shared" si="10"/>
        <v/>
      </c>
      <c r="Q1327" s="62"/>
      <c r="R1327" s="10" t="str">
        <f>IFERROR(__xludf.DUMMYFUNCTION("IF(COUNTA(Q1327:Q1350)=0,"""",IF(ISBLANK(Q1327),FALSE,IF(NOT(COUNTIF($AA$24:$AA$34,SUBSTITUTE(Q1327,""Sell_"",""""))),1,IF(REGEXMATCH(Q1327,""Sell_""),IF(COUNTIF(Q$4:Q1327,SUBSTITUTE(Q1327,""Sell_"",""""))-COUNTIF(Q$4:Q1326,Q1327)&lt;1,1),FALSE))))"),"")</f>
        <v/>
      </c>
      <c r="S1327" s="59" t="str">
        <f t="array" ref="S1327">IF(COUNTA(Q1327:Q1350)=0,"",SUM((COUNTIF(Q$4:Q1327,Upgrades!$B$3:$B$13)-COUNTIF(Q$4:Q1327,"Sell_"&amp;Upgrades!$B$3:$B$13))*Upgrades!$D$3:$D$13))</f>
        <v/>
      </c>
      <c r="T1327" s="66" t="str">
        <f>IFERROR(__xludf.DUMMYFUNCTION("IF(COUNTA(Q1327:Q1350)=0,"""",IF(REGEXMATCH(INDEX(FILTER(Q$4:Q1327,Q$4:Q1327&lt;&gt;""""),ROWS(FILTER(Q$4:Q1327,Q$4:Q1327&lt;&gt;""""))),""^Sell_""),INDEX(FILTER(T$4:T1326,Q$4:Q1326&lt;&gt;""""),ROWS(FILTER(Q$4:Q1326,Q$4:Q1326&lt;&gt;""""))),$AD$5+S1327))"),"")</f>
        <v/>
      </c>
      <c r="U1327" s="10" t="str">
        <f>IFERROR(__xludf.DUMMYFUNCTION("IF(COUNTA(Q1327:Q1350)=0,"""",IF(Q1327="""",0,IF(REGEXMATCH(Q1327,""^Sell_""),-ROUNDDOWN(ROUNDUP(INDEX(Upgrades!$C$3:$C$13,MATCH(SUBSTITUTE(Q1327,""Sell_"",""""),Upgrades!$B$3:$B$13,0))*1.15^(COUNTIF(Q$4:Q1326,SUBSTITUTE(Q1327,""Sell_"",""""))-COUNTIF(Q$4"&amp;":Q1326,""Sell_""&amp;SUBSTITUTE(Q1327,""Sell_"",""""))))/2),ROUNDUP(INDEX(Upgrades!$C$3:$C$13,MATCH(Q1327,Upgrades!$B$3:$B$13,0))*1.15^(COUNTIF(Q$4:Q1326,Q1327)-COUNTIF(Q$4:Q1326,""Sell_""&amp;Q1327))))))"),"")</f>
        <v/>
      </c>
      <c r="V1327" s="10" t="str">
        <f t="shared" si="11"/>
        <v/>
      </c>
      <c r="W1327" s="68" t="str">
        <f t="shared" si="12"/>
        <v/>
      </c>
      <c r="X1327" s="59" t="str">
        <f t="shared" si="13"/>
        <v/>
      </c>
      <c r="Y1327" s="69" t="str">
        <f t="shared" si="14"/>
        <v/>
      </c>
      <c r="Z1327" s="11"/>
    </row>
    <row r="1328">
      <c r="A1328" s="8"/>
      <c r="B1328" s="56" t="str">
        <f t="shared" si="2"/>
        <v/>
      </c>
      <c r="C1328" s="57"/>
      <c r="D1328" s="10" t="str">
        <f>IFERROR(__xludf.DUMMYFUNCTION("IF(COUNTA(C1328:C1350)=0,"""",IF(ISBLANK(C1328),FALSE,IF(NOT(COUNTIF($AA$24:$AA$34,SUBSTITUTE(C1328,""Sell_"",""""))),1,IF(REGEXMATCH(C1328,""Sell_""),IF(COUNTIF(C$4:C1328,SUBSTITUTE(C1328,""Sell_"",""""))-COUNTIF(C$4:C1327,C1328)&lt;1,1),FALSE))))"),"")</f>
        <v/>
      </c>
      <c r="E1328" s="59" t="str">
        <f t="array" ref="E1328">IF(COUNTA(C1328:C1350)=0,"",SUM((COUNTIF(C$4:C1328,Upgrades!$B$3:$B$13)-COUNTIF(C$4:C1328,"Sell_"&amp;Upgrades!$B$3:$B$13))*Upgrades!$D$3:$D$13))</f>
        <v/>
      </c>
      <c r="F1328" s="66" t="str">
        <f>IFERROR(__xludf.DUMMYFUNCTION("IF(COUNTA(C1328:C1350)=0,"""",IF(REGEXMATCH(INDEX(FILTER(C$4:C1328,C$4:C1328&lt;&gt;""""),ROWS(FILTER(C$4:C1328,C$4:C1328&lt;&gt;""""))),""^Sell_""),INDEX(FILTER(F$4:F1327,C$4:C1327&lt;&gt;""""),ROWS(FILTER(C$4:C1327,C$4:C1327&lt;&gt;""""))),$AC$5+E1328))"),"")</f>
        <v/>
      </c>
      <c r="G1328" s="10" t="str">
        <f>IFERROR(__xludf.DUMMYFUNCTION("IF(COUNTA(C1328:C1350)=0,"""",IF(C1328="""",0,IF(REGEXMATCH(C1328,""^Sell_""),-ROUNDDOWN(ROUNDUP(INDEX(Upgrades!$C$3:$C$13,MATCH(SUBSTITUTE(C1328,""Sell_"",""""),Upgrades!$B$3:$B$13,0))*1.15^(COUNTIF(C$4:C1327,SUBSTITUTE(C1328,""Sell_"",""""))-COUNTIF(C$4"&amp;":C1327,""Sell_""&amp;SUBSTITUTE(C1328,""Sell_"",""""))))/2),ROUNDUP(INDEX(Upgrades!$C$3:$C$13,MATCH(C1328,Upgrades!$B$3:$B$13,0))*1.15^(COUNTIF(C$4:C1327,C1328)-COUNTIF(C$4:C1327,""Sell_""&amp;C1328))))))"),"")</f>
        <v/>
      </c>
      <c r="H1328" s="10" t="str">
        <f t="shared" si="3"/>
        <v/>
      </c>
      <c r="I1328" s="68" t="str">
        <f t="shared" si="4"/>
        <v/>
      </c>
      <c r="J1328" s="59" t="str">
        <f t="shared" si="5"/>
        <v/>
      </c>
      <c r="K1328" s="69" t="str">
        <f t="shared" si="6"/>
        <v/>
      </c>
      <c r="L1328" s="60" t="str">
        <f t="shared" si="7"/>
        <v/>
      </c>
      <c r="M1328" s="61" t="str">
        <f>IFERROR(__xludf.DUMMYFUNCTION("IFS(AND(COUNTA(C1328:C1350)=0,COUNTA(Q1328:Q1350)=0),"""",OR(AND(K1328&gt;=1000000000,OR(Y1328&gt;=1000000000,COUNTA(Q1328:Q1350)=0)),OR(Y1328&gt;=1000000000,AND(COUNTA(C1328:C1350)=0,P$3=TRUE))),
ROUNDDOWN((AB$1-AC$1)*MAX(INDEX(T$4:T1350,MATCH(LARGE(FILTER(Y$4:Y1"&amp;"350,Y$4:Y1350&lt;1000000000),1),Y$4:Y1350)),INDEX(F$4:F1350,MATCH(LARGE(FILTER(K$4:K1350,K$4:K1350&lt;1000000000),1),K$4:K1350)))),AND(K1328&lt;1000000000,COUNTA(C1328:C1350)&gt;0,P$3=FALSE),
ROUNDDOWN(INDEX(Y$4:Y1350,MATCH(LARGE(FILTER(W$4:W1350,W$4:W1350&lt;=I1328),1)"&amp;",W$4:W1350))+(I1328-LARGE(FILTER(W$4:W1350,W$4:W1350&lt;=I1328),1))*INDEX(T$4:T1350,MATCH(LARGE(FILTER(W$4:W1350,W$4:W1350&lt;=I1328),1),W$4:W1350))-K1328),1,
ROUNDDOWN(Y1328-INDEX(K$4:K1350,MATCH(LARGE(FILTER(I$4:I1350,I$4:I1350&lt;=W1328),1),I$4:I1350))-(W1328-L"&amp;"ARGE(FILTER(I$4:I1350,I$4:I1350&lt;=W1328),1))*INDEX(F$4:F1350,MATCH(LARGE(FILTER(I$4:I1350,I$4:I1350&lt;=W1328),1),I$4:I1350))))"),"")</f>
        <v/>
      </c>
      <c r="N1328" s="60" t="str">
        <f t="shared" si="8"/>
        <v/>
      </c>
      <c r="O1328" s="61" t="str">
        <f t="shared" si="9"/>
        <v/>
      </c>
      <c r="P1328" s="56" t="str">
        <f t="shared" si="10"/>
        <v/>
      </c>
      <c r="Q1328" s="62"/>
      <c r="R1328" s="10" t="str">
        <f>IFERROR(__xludf.DUMMYFUNCTION("IF(COUNTA(Q1328:Q1350)=0,"""",IF(ISBLANK(Q1328),FALSE,IF(NOT(COUNTIF($AA$24:$AA$34,SUBSTITUTE(Q1328,""Sell_"",""""))),1,IF(REGEXMATCH(Q1328,""Sell_""),IF(COUNTIF(Q$4:Q1328,SUBSTITUTE(Q1328,""Sell_"",""""))-COUNTIF(Q$4:Q1327,Q1328)&lt;1,1),FALSE))))"),"")</f>
        <v/>
      </c>
      <c r="S1328" s="59" t="str">
        <f t="array" ref="S1328">IF(COUNTA(Q1328:Q1350)=0,"",SUM((COUNTIF(Q$4:Q1328,Upgrades!$B$3:$B$13)-COUNTIF(Q$4:Q1328,"Sell_"&amp;Upgrades!$B$3:$B$13))*Upgrades!$D$3:$D$13))</f>
        <v/>
      </c>
      <c r="T1328" s="66" t="str">
        <f>IFERROR(__xludf.DUMMYFUNCTION("IF(COUNTA(Q1328:Q1350)=0,"""",IF(REGEXMATCH(INDEX(FILTER(Q$4:Q1328,Q$4:Q1328&lt;&gt;""""),ROWS(FILTER(Q$4:Q1328,Q$4:Q1328&lt;&gt;""""))),""^Sell_""),INDEX(FILTER(T$4:T1327,Q$4:Q1327&lt;&gt;""""),ROWS(FILTER(Q$4:Q1327,Q$4:Q1327&lt;&gt;""""))),$AD$5+S1328))"),"")</f>
        <v/>
      </c>
      <c r="U1328" s="10" t="str">
        <f>IFERROR(__xludf.DUMMYFUNCTION("IF(COUNTA(Q1328:Q1350)=0,"""",IF(Q1328="""",0,IF(REGEXMATCH(Q1328,""^Sell_""),-ROUNDDOWN(ROUNDUP(INDEX(Upgrades!$C$3:$C$13,MATCH(SUBSTITUTE(Q1328,""Sell_"",""""),Upgrades!$B$3:$B$13,0))*1.15^(COUNTIF(Q$4:Q1327,SUBSTITUTE(Q1328,""Sell_"",""""))-COUNTIF(Q$4"&amp;":Q1327,""Sell_""&amp;SUBSTITUTE(Q1328,""Sell_"",""""))))/2),ROUNDUP(INDEX(Upgrades!$C$3:$C$13,MATCH(Q1328,Upgrades!$B$3:$B$13,0))*1.15^(COUNTIF(Q$4:Q1327,Q1328)-COUNTIF(Q$4:Q1327,""Sell_""&amp;Q1328))))))"),"")</f>
        <v/>
      </c>
      <c r="V1328" s="10" t="str">
        <f t="shared" si="11"/>
        <v/>
      </c>
      <c r="W1328" s="68" t="str">
        <f t="shared" si="12"/>
        <v/>
      </c>
      <c r="X1328" s="59" t="str">
        <f t="shared" si="13"/>
        <v/>
      </c>
      <c r="Y1328" s="69" t="str">
        <f t="shared" si="14"/>
        <v/>
      </c>
      <c r="Z1328" s="11"/>
    </row>
    <row r="1329">
      <c r="A1329" s="8"/>
      <c r="B1329" s="56" t="str">
        <f t="shared" si="2"/>
        <v/>
      </c>
      <c r="C1329" s="57"/>
      <c r="D1329" s="10" t="str">
        <f>IFERROR(__xludf.DUMMYFUNCTION("IF(COUNTA(C1329:C1350)=0,"""",IF(ISBLANK(C1329),FALSE,IF(NOT(COUNTIF($AA$24:$AA$34,SUBSTITUTE(C1329,""Sell_"",""""))),1,IF(REGEXMATCH(C1329,""Sell_""),IF(COUNTIF(C$4:C1329,SUBSTITUTE(C1329,""Sell_"",""""))-COUNTIF(C$4:C1328,C1329)&lt;1,1),FALSE))))"),"")</f>
        <v/>
      </c>
      <c r="E1329" s="59" t="str">
        <f t="array" ref="E1329">IF(COUNTA(C1329:C1350)=0,"",SUM((COUNTIF(C$4:C1329,Upgrades!$B$3:$B$13)-COUNTIF(C$4:C1329,"Sell_"&amp;Upgrades!$B$3:$B$13))*Upgrades!$D$3:$D$13))</f>
        <v/>
      </c>
      <c r="F1329" s="66" t="str">
        <f>IFERROR(__xludf.DUMMYFUNCTION("IF(COUNTA(C1329:C1350)=0,"""",IF(REGEXMATCH(INDEX(FILTER(C$4:C1329,C$4:C1329&lt;&gt;""""),ROWS(FILTER(C$4:C1329,C$4:C1329&lt;&gt;""""))),""^Sell_""),INDEX(FILTER(F$4:F1328,C$4:C1328&lt;&gt;""""),ROWS(FILTER(C$4:C1328,C$4:C1328&lt;&gt;""""))),$AC$5+E1329))"),"")</f>
        <v/>
      </c>
      <c r="G1329" s="10" t="str">
        <f>IFERROR(__xludf.DUMMYFUNCTION("IF(COUNTA(C1329:C1350)=0,"""",IF(C1329="""",0,IF(REGEXMATCH(C1329,""^Sell_""),-ROUNDDOWN(ROUNDUP(INDEX(Upgrades!$C$3:$C$13,MATCH(SUBSTITUTE(C1329,""Sell_"",""""),Upgrades!$B$3:$B$13,0))*1.15^(COUNTIF(C$4:C1328,SUBSTITUTE(C1329,""Sell_"",""""))-COUNTIF(C$4"&amp;":C1328,""Sell_""&amp;SUBSTITUTE(C1329,""Sell_"",""""))))/2),ROUNDUP(INDEX(Upgrades!$C$3:$C$13,MATCH(C1329,Upgrades!$B$3:$B$13,0))*1.15^(COUNTIF(C$4:C1328,C1329)-COUNTIF(C$4:C1328,""Sell_""&amp;C1329))))))"),"")</f>
        <v/>
      </c>
      <c r="H1329" s="10" t="str">
        <f t="shared" si="3"/>
        <v/>
      </c>
      <c r="I1329" s="68" t="str">
        <f t="shared" si="4"/>
        <v/>
      </c>
      <c r="J1329" s="59" t="str">
        <f t="shared" si="5"/>
        <v/>
      </c>
      <c r="K1329" s="69" t="str">
        <f t="shared" si="6"/>
        <v/>
      </c>
      <c r="L1329" s="60" t="str">
        <f t="shared" si="7"/>
        <v/>
      </c>
      <c r="M1329" s="61" t="str">
        <f>IFERROR(__xludf.DUMMYFUNCTION("IFS(AND(COUNTA(C1329:C1350)=0,COUNTA(Q1329:Q1350)=0),"""",OR(AND(K1329&gt;=1000000000,OR(Y1329&gt;=1000000000,COUNTA(Q1329:Q1350)=0)),OR(Y1329&gt;=1000000000,AND(COUNTA(C1329:C1350)=0,P$3=TRUE))),
ROUNDDOWN((AB$1-AC$1)*MAX(INDEX(T$4:T1350,MATCH(LARGE(FILTER(Y$4:Y1"&amp;"350,Y$4:Y1350&lt;1000000000),1),Y$4:Y1350)),INDEX(F$4:F1350,MATCH(LARGE(FILTER(K$4:K1350,K$4:K1350&lt;1000000000),1),K$4:K1350)))),AND(K1329&lt;1000000000,COUNTA(C1329:C1350)&gt;0,P$3=FALSE),
ROUNDDOWN(INDEX(Y$4:Y1350,MATCH(LARGE(FILTER(W$4:W1350,W$4:W1350&lt;=I1329),1)"&amp;",W$4:W1350))+(I1329-LARGE(FILTER(W$4:W1350,W$4:W1350&lt;=I1329),1))*INDEX(T$4:T1350,MATCH(LARGE(FILTER(W$4:W1350,W$4:W1350&lt;=I1329),1),W$4:W1350))-K1329),1,
ROUNDDOWN(Y1329-INDEX(K$4:K1350,MATCH(LARGE(FILTER(I$4:I1350,I$4:I1350&lt;=W1329),1),I$4:I1350))-(W1329-L"&amp;"ARGE(FILTER(I$4:I1350,I$4:I1350&lt;=W1329),1))*INDEX(F$4:F1350,MATCH(LARGE(FILTER(I$4:I1350,I$4:I1350&lt;=W1329),1),I$4:I1350))))"),"")</f>
        <v/>
      </c>
      <c r="N1329" s="60" t="str">
        <f t="shared" si="8"/>
        <v/>
      </c>
      <c r="O1329" s="61" t="str">
        <f t="shared" si="9"/>
        <v/>
      </c>
      <c r="P1329" s="56" t="str">
        <f t="shared" si="10"/>
        <v/>
      </c>
      <c r="Q1329" s="62"/>
      <c r="R1329" s="10" t="str">
        <f>IFERROR(__xludf.DUMMYFUNCTION("IF(COUNTA(Q1329:Q1350)=0,"""",IF(ISBLANK(Q1329),FALSE,IF(NOT(COUNTIF($AA$24:$AA$34,SUBSTITUTE(Q1329,""Sell_"",""""))),1,IF(REGEXMATCH(Q1329,""Sell_""),IF(COUNTIF(Q$4:Q1329,SUBSTITUTE(Q1329,""Sell_"",""""))-COUNTIF(Q$4:Q1328,Q1329)&lt;1,1),FALSE))))"),"")</f>
        <v/>
      </c>
      <c r="S1329" s="59" t="str">
        <f t="array" ref="S1329">IF(COUNTA(Q1329:Q1350)=0,"",SUM((COUNTIF(Q$4:Q1329,Upgrades!$B$3:$B$13)-COUNTIF(Q$4:Q1329,"Sell_"&amp;Upgrades!$B$3:$B$13))*Upgrades!$D$3:$D$13))</f>
        <v/>
      </c>
      <c r="T1329" s="66" t="str">
        <f>IFERROR(__xludf.DUMMYFUNCTION("IF(COUNTA(Q1329:Q1350)=0,"""",IF(REGEXMATCH(INDEX(FILTER(Q$4:Q1329,Q$4:Q1329&lt;&gt;""""),ROWS(FILTER(Q$4:Q1329,Q$4:Q1329&lt;&gt;""""))),""^Sell_""),INDEX(FILTER(T$4:T1328,Q$4:Q1328&lt;&gt;""""),ROWS(FILTER(Q$4:Q1328,Q$4:Q1328&lt;&gt;""""))),$AD$5+S1329))"),"")</f>
        <v/>
      </c>
      <c r="U1329" s="10" t="str">
        <f>IFERROR(__xludf.DUMMYFUNCTION("IF(COUNTA(Q1329:Q1350)=0,"""",IF(Q1329="""",0,IF(REGEXMATCH(Q1329,""^Sell_""),-ROUNDDOWN(ROUNDUP(INDEX(Upgrades!$C$3:$C$13,MATCH(SUBSTITUTE(Q1329,""Sell_"",""""),Upgrades!$B$3:$B$13,0))*1.15^(COUNTIF(Q$4:Q1328,SUBSTITUTE(Q1329,""Sell_"",""""))-COUNTIF(Q$4"&amp;":Q1328,""Sell_""&amp;SUBSTITUTE(Q1329,""Sell_"",""""))))/2),ROUNDUP(INDEX(Upgrades!$C$3:$C$13,MATCH(Q1329,Upgrades!$B$3:$B$13,0))*1.15^(COUNTIF(Q$4:Q1328,Q1329)-COUNTIF(Q$4:Q1328,""Sell_""&amp;Q1329))))))"),"")</f>
        <v/>
      </c>
      <c r="V1329" s="10" t="str">
        <f t="shared" si="11"/>
        <v/>
      </c>
      <c r="W1329" s="68" t="str">
        <f t="shared" si="12"/>
        <v/>
      </c>
      <c r="X1329" s="59" t="str">
        <f t="shared" si="13"/>
        <v/>
      </c>
      <c r="Y1329" s="69" t="str">
        <f t="shared" si="14"/>
        <v/>
      </c>
      <c r="Z1329" s="11"/>
    </row>
    <row r="1330">
      <c r="A1330" s="8"/>
      <c r="B1330" s="56" t="str">
        <f t="shared" si="2"/>
        <v/>
      </c>
      <c r="C1330" s="57"/>
      <c r="D1330" s="10" t="str">
        <f>IFERROR(__xludf.DUMMYFUNCTION("IF(COUNTA(C1330:C1350)=0,"""",IF(ISBLANK(C1330),FALSE,IF(NOT(COUNTIF($AA$24:$AA$34,SUBSTITUTE(C1330,""Sell_"",""""))),1,IF(REGEXMATCH(C1330,""Sell_""),IF(COUNTIF(C$4:C1330,SUBSTITUTE(C1330,""Sell_"",""""))-COUNTIF(C$4:C1329,C1330)&lt;1,1),FALSE))))"),"")</f>
        <v/>
      </c>
      <c r="E1330" s="59" t="str">
        <f t="array" ref="E1330">IF(COUNTA(C1330:C1350)=0,"",SUM((COUNTIF(C$4:C1330,Upgrades!$B$3:$B$13)-COUNTIF(C$4:C1330,"Sell_"&amp;Upgrades!$B$3:$B$13))*Upgrades!$D$3:$D$13))</f>
        <v/>
      </c>
      <c r="F1330" s="66" t="str">
        <f>IFERROR(__xludf.DUMMYFUNCTION("IF(COUNTA(C1330:C1350)=0,"""",IF(REGEXMATCH(INDEX(FILTER(C$4:C1330,C$4:C1330&lt;&gt;""""),ROWS(FILTER(C$4:C1330,C$4:C1330&lt;&gt;""""))),""^Sell_""),INDEX(FILTER(F$4:F1329,C$4:C1329&lt;&gt;""""),ROWS(FILTER(C$4:C1329,C$4:C1329&lt;&gt;""""))),$AC$5+E1330))"),"")</f>
        <v/>
      </c>
      <c r="G1330" s="10" t="str">
        <f>IFERROR(__xludf.DUMMYFUNCTION("IF(COUNTA(C1330:C1350)=0,"""",IF(C1330="""",0,IF(REGEXMATCH(C1330,""^Sell_""),-ROUNDDOWN(ROUNDUP(INDEX(Upgrades!$C$3:$C$13,MATCH(SUBSTITUTE(C1330,""Sell_"",""""),Upgrades!$B$3:$B$13,0))*1.15^(COUNTIF(C$4:C1329,SUBSTITUTE(C1330,""Sell_"",""""))-COUNTIF(C$4"&amp;":C1329,""Sell_""&amp;SUBSTITUTE(C1330,""Sell_"",""""))))/2),ROUNDUP(INDEX(Upgrades!$C$3:$C$13,MATCH(C1330,Upgrades!$B$3:$B$13,0))*1.15^(COUNTIF(C$4:C1329,C1330)-COUNTIF(C$4:C1329,""Sell_""&amp;C1330))))))"),"")</f>
        <v/>
      </c>
      <c r="H1330" s="10" t="str">
        <f t="shared" si="3"/>
        <v/>
      </c>
      <c r="I1330" s="68" t="str">
        <f t="shared" si="4"/>
        <v/>
      </c>
      <c r="J1330" s="59" t="str">
        <f t="shared" si="5"/>
        <v/>
      </c>
      <c r="K1330" s="69" t="str">
        <f t="shared" si="6"/>
        <v/>
      </c>
      <c r="L1330" s="60" t="str">
        <f t="shared" si="7"/>
        <v/>
      </c>
      <c r="M1330" s="61" t="str">
        <f>IFERROR(__xludf.DUMMYFUNCTION("IFS(AND(COUNTA(C1330:C1350)=0,COUNTA(Q1330:Q1350)=0),"""",OR(AND(K1330&gt;=1000000000,OR(Y1330&gt;=1000000000,COUNTA(Q1330:Q1350)=0)),OR(Y1330&gt;=1000000000,AND(COUNTA(C1330:C1350)=0,P$3=TRUE))),
ROUNDDOWN((AB$1-AC$1)*MAX(INDEX(T$4:T1350,MATCH(LARGE(FILTER(Y$4:Y1"&amp;"350,Y$4:Y1350&lt;1000000000),1),Y$4:Y1350)),INDEX(F$4:F1350,MATCH(LARGE(FILTER(K$4:K1350,K$4:K1350&lt;1000000000),1),K$4:K1350)))),AND(K1330&lt;1000000000,COUNTA(C1330:C1350)&gt;0,P$3=FALSE),
ROUNDDOWN(INDEX(Y$4:Y1350,MATCH(LARGE(FILTER(W$4:W1350,W$4:W1350&lt;=I1330),1)"&amp;",W$4:W1350))+(I1330-LARGE(FILTER(W$4:W1350,W$4:W1350&lt;=I1330),1))*INDEX(T$4:T1350,MATCH(LARGE(FILTER(W$4:W1350,W$4:W1350&lt;=I1330),1),W$4:W1350))-K1330),1,
ROUNDDOWN(Y1330-INDEX(K$4:K1350,MATCH(LARGE(FILTER(I$4:I1350,I$4:I1350&lt;=W1330),1),I$4:I1350))-(W1330-L"&amp;"ARGE(FILTER(I$4:I1350,I$4:I1350&lt;=W1330),1))*INDEX(F$4:F1350,MATCH(LARGE(FILTER(I$4:I1350,I$4:I1350&lt;=W1330),1),I$4:I1350))))"),"")</f>
        <v/>
      </c>
      <c r="N1330" s="60" t="str">
        <f t="shared" si="8"/>
        <v/>
      </c>
      <c r="O1330" s="61" t="str">
        <f t="shared" si="9"/>
        <v/>
      </c>
      <c r="P1330" s="56" t="str">
        <f t="shared" si="10"/>
        <v/>
      </c>
      <c r="Q1330" s="62"/>
      <c r="R1330" s="10" t="str">
        <f>IFERROR(__xludf.DUMMYFUNCTION("IF(COUNTA(Q1330:Q1350)=0,"""",IF(ISBLANK(Q1330),FALSE,IF(NOT(COUNTIF($AA$24:$AA$34,SUBSTITUTE(Q1330,""Sell_"",""""))),1,IF(REGEXMATCH(Q1330,""Sell_""),IF(COUNTIF(Q$4:Q1330,SUBSTITUTE(Q1330,""Sell_"",""""))-COUNTIF(Q$4:Q1329,Q1330)&lt;1,1),FALSE))))"),"")</f>
        <v/>
      </c>
      <c r="S1330" s="59" t="str">
        <f t="array" ref="S1330">IF(COUNTA(Q1330:Q1350)=0,"",SUM((COUNTIF(Q$4:Q1330,Upgrades!$B$3:$B$13)-COUNTIF(Q$4:Q1330,"Sell_"&amp;Upgrades!$B$3:$B$13))*Upgrades!$D$3:$D$13))</f>
        <v/>
      </c>
      <c r="T1330" s="66" t="str">
        <f>IFERROR(__xludf.DUMMYFUNCTION("IF(COUNTA(Q1330:Q1350)=0,"""",IF(REGEXMATCH(INDEX(FILTER(Q$4:Q1330,Q$4:Q1330&lt;&gt;""""),ROWS(FILTER(Q$4:Q1330,Q$4:Q1330&lt;&gt;""""))),""^Sell_""),INDEX(FILTER(T$4:T1329,Q$4:Q1329&lt;&gt;""""),ROWS(FILTER(Q$4:Q1329,Q$4:Q1329&lt;&gt;""""))),$AD$5+S1330))"),"")</f>
        <v/>
      </c>
      <c r="U1330" s="10" t="str">
        <f>IFERROR(__xludf.DUMMYFUNCTION("IF(COUNTA(Q1330:Q1350)=0,"""",IF(Q1330="""",0,IF(REGEXMATCH(Q1330,""^Sell_""),-ROUNDDOWN(ROUNDUP(INDEX(Upgrades!$C$3:$C$13,MATCH(SUBSTITUTE(Q1330,""Sell_"",""""),Upgrades!$B$3:$B$13,0))*1.15^(COUNTIF(Q$4:Q1329,SUBSTITUTE(Q1330,""Sell_"",""""))-COUNTIF(Q$4"&amp;":Q1329,""Sell_""&amp;SUBSTITUTE(Q1330,""Sell_"",""""))))/2),ROUNDUP(INDEX(Upgrades!$C$3:$C$13,MATCH(Q1330,Upgrades!$B$3:$B$13,0))*1.15^(COUNTIF(Q$4:Q1329,Q1330)-COUNTIF(Q$4:Q1329,""Sell_""&amp;Q1330))))))"),"")</f>
        <v/>
      </c>
      <c r="V1330" s="10" t="str">
        <f t="shared" si="11"/>
        <v/>
      </c>
      <c r="W1330" s="68" t="str">
        <f t="shared" si="12"/>
        <v/>
      </c>
      <c r="X1330" s="59" t="str">
        <f t="shared" si="13"/>
        <v/>
      </c>
      <c r="Y1330" s="69" t="str">
        <f t="shared" si="14"/>
        <v/>
      </c>
      <c r="Z1330" s="11"/>
    </row>
    <row r="1331">
      <c r="A1331" s="8"/>
      <c r="B1331" s="56" t="str">
        <f t="shared" si="2"/>
        <v/>
      </c>
      <c r="C1331" s="57"/>
      <c r="D1331" s="10" t="str">
        <f>IFERROR(__xludf.DUMMYFUNCTION("IF(COUNTA(C1331:C1350)=0,"""",IF(ISBLANK(C1331),FALSE,IF(NOT(COUNTIF($AA$24:$AA$34,SUBSTITUTE(C1331,""Sell_"",""""))),1,IF(REGEXMATCH(C1331,""Sell_""),IF(COUNTIF(C$4:C1331,SUBSTITUTE(C1331,""Sell_"",""""))-COUNTIF(C$4:C1330,C1331)&lt;1,1),FALSE))))"),"")</f>
        <v/>
      </c>
      <c r="E1331" s="59" t="str">
        <f t="array" ref="E1331">IF(COUNTA(C1331:C1350)=0,"",SUM((COUNTIF(C$4:C1331,Upgrades!$B$3:$B$13)-COUNTIF(C$4:C1331,"Sell_"&amp;Upgrades!$B$3:$B$13))*Upgrades!$D$3:$D$13))</f>
        <v/>
      </c>
      <c r="F1331" s="66" t="str">
        <f>IFERROR(__xludf.DUMMYFUNCTION("IF(COUNTA(C1331:C1350)=0,"""",IF(REGEXMATCH(INDEX(FILTER(C$4:C1331,C$4:C1331&lt;&gt;""""),ROWS(FILTER(C$4:C1331,C$4:C1331&lt;&gt;""""))),""^Sell_""),INDEX(FILTER(F$4:F1330,C$4:C1330&lt;&gt;""""),ROWS(FILTER(C$4:C1330,C$4:C1330&lt;&gt;""""))),$AC$5+E1331))"),"")</f>
        <v/>
      </c>
      <c r="G1331" s="10" t="str">
        <f>IFERROR(__xludf.DUMMYFUNCTION("IF(COUNTA(C1331:C1350)=0,"""",IF(C1331="""",0,IF(REGEXMATCH(C1331,""^Sell_""),-ROUNDDOWN(ROUNDUP(INDEX(Upgrades!$C$3:$C$13,MATCH(SUBSTITUTE(C1331,""Sell_"",""""),Upgrades!$B$3:$B$13,0))*1.15^(COUNTIF(C$4:C1330,SUBSTITUTE(C1331,""Sell_"",""""))-COUNTIF(C$4"&amp;":C1330,""Sell_""&amp;SUBSTITUTE(C1331,""Sell_"",""""))))/2),ROUNDUP(INDEX(Upgrades!$C$3:$C$13,MATCH(C1331,Upgrades!$B$3:$B$13,0))*1.15^(COUNTIF(C$4:C1330,C1331)-COUNTIF(C$4:C1330,""Sell_""&amp;C1331))))))"),"")</f>
        <v/>
      </c>
      <c r="H1331" s="10" t="str">
        <f t="shared" si="3"/>
        <v/>
      </c>
      <c r="I1331" s="68" t="str">
        <f t="shared" si="4"/>
        <v/>
      </c>
      <c r="J1331" s="59" t="str">
        <f t="shared" si="5"/>
        <v/>
      </c>
      <c r="K1331" s="69" t="str">
        <f t="shared" si="6"/>
        <v/>
      </c>
      <c r="L1331" s="60" t="str">
        <f t="shared" si="7"/>
        <v/>
      </c>
      <c r="M1331" s="61" t="str">
        <f>IFERROR(__xludf.DUMMYFUNCTION("IFS(AND(COUNTA(C1331:C1350)=0,COUNTA(Q1331:Q1350)=0),"""",OR(AND(K1331&gt;=1000000000,OR(Y1331&gt;=1000000000,COUNTA(Q1331:Q1350)=0)),OR(Y1331&gt;=1000000000,AND(COUNTA(C1331:C1350)=0,P$3=TRUE))),
ROUNDDOWN((AB$1-AC$1)*MAX(INDEX(T$4:T1350,MATCH(LARGE(FILTER(Y$4:Y1"&amp;"350,Y$4:Y1350&lt;1000000000),1),Y$4:Y1350)),INDEX(F$4:F1350,MATCH(LARGE(FILTER(K$4:K1350,K$4:K1350&lt;1000000000),1),K$4:K1350)))),AND(K1331&lt;1000000000,COUNTA(C1331:C1350)&gt;0,P$3=FALSE),
ROUNDDOWN(INDEX(Y$4:Y1350,MATCH(LARGE(FILTER(W$4:W1350,W$4:W1350&lt;=I1331),1)"&amp;",W$4:W1350))+(I1331-LARGE(FILTER(W$4:W1350,W$4:W1350&lt;=I1331),1))*INDEX(T$4:T1350,MATCH(LARGE(FILTER(W$4:W1350,W$4:W1350&lt;=I1331),1),W$4:W1350))-K1331),1,
ROUNDDOWN(Y1331-INDEX(K$4:K1350,MATCH(LARGE(FILTER(I$4:I1350,I$4:I1350&lt;=W1331),1),I$4:I1350))-(W1331-L"&amp;"ARGE(FILTER(I$4:I1350,I$4:I1350&lt;=W1331),1))*INDEX(F$4:F1350,MATCH(LARGE(FILTER(I$4:I1350,I$4:I1350&lt;=W1331),1),I$4:I1350))))"),"")</f>
        <v/>
      </c>
      <c r="N1331" s="60" t="str">
        <f t="shared" si="8"/>
        <v/>
      </c>
      <c r="O1331" s="61" t="str">
        <f t="shared" si="9"/>
        <v/>
      </c>
      <c r="P1331" s="56" t="str">
        <f t="shared" si="10"/>
        <v/>
      </c>
      <c r="Q1331" s="62"/>
      <c r="R1331" s="10" t="str">
        <f>IFERROR(__xludf.DUMMYFUNCTION("IF(COUNTA(Q1331:Q1350)=0,"""",IF(ISBLANK(Q1331),FALSE,IF(NOT(COUNTIF($AA$24:$AA$34,SUBSTITUTE(Q1331,""Sell_"",""""))),1,IF(REGEXMATCH(Q1331,""Sell_""),IF(COUNTIF(Q$4:Q1331,SUBSTITUTE(Q1331,""Sell_"",""""))-COUNTIF(Q$4:Q1330,Q1331)&lt;1,1),FALSE))))"),"")</f>
        <v/>
      </c>
      <c r="S1331" s="59" t="str">
        <f t="array" ref="S1331">IF(COUNTA(Q1331:Q1350)=0,"",SUM((COUNTIF(Q$4:Q1331,Upgrades!$B$3:$B$13)-COUNTIF(Q$4:Q1331,"Sell_"&amp;Upgrades!$B$3:$B$13))*Upgrades!$D$3:$D$13))</f>
        <v/>
      </c>
      <c r="T1331" s="66" t="str">
        <f>IFERROR(__xludf.DUMMYFUNCTION("IF(COUNTA(Q1331:Q1350)=0,"""",IF(REGEXMATCH(INDEX(FILTER(Q$4:Q1331,Q$4:Q1331&lt;&gt;""""),ROWS(FILTER(Q$4:Q1331,Q$4:Q1331&lt;&gt;""""))),""^Sell_""),INDEX(FILTER(T$4:T1330,Q$4:Q1330&lt;&gt;""""),ROWS(FILTER(Q$4:Q1330,Q$4:Q1330&lt;&gt;""""))),$AD$5+S1331))"),"")</f>
        <v/>
      </c>
      <c r="U1331" s="10" t="str">
        <f>IFERROR(__xludf.DUMMYFUNCTION("IF(COUNTA(Q1331:Q1350)=0,"""",IF(Q1331="""",0,IF(REGEXMATCH(Q1331,""^Sell_""),-ROUNDDOWN(ROUNDUP(INDEX(Upgrades!$C$3:$C$13,MATCH(SUBSTITUTE(Q1331,""Sell_"",""""),Upgrades!$B$3:$B$13,0))*1.15^(COUNTIF(Q$4:Q1330,SUBSTITUTE(Q1331,""Sell_"",""""))-COUNTIF(Q$4"&amp;":Q1330,""Sell_""&amp;SUBSTITUTE(Q1331,""Sell_"",""""))))/2),ROUNDUP(INDEX(Upgrades!$C$3:$C$13,MATCH(Q1331,Upgrades!$B$3:$B$13,0))*1.15^(COUNTIF(Q$4:Q1330,Q1331)-COUNTIF(Q$4:Q1330,""Sell_""&amp;Q1331))))))"),"")</f>
        <v/>
      </c>
      <c r="V1331" s="10" t="str">
        <f t="shared" si="11"/>
        <v/>
      </c>
      <c r="W1331" s="68" t="str">
        <f t="shared" si="12"/>
        <v/>
      </c>
      <c r="X1331" s="59" t="str">
        <f t="shared" si="13"/>
        <v/>
      </c>
      <c r="Y1331" s="69" t="str">
        <f t="shared" si="14"/>
        <v/>
      </c>
      <c r="Z1331" s="11"/>
    </row>
    <row r="1332">
      <c r="A1332" s="8"/>
      <c r="B1332" s="56" t="str">
        <f t="shared" si="2"/>
        <v/>
      </c>
      <c r="C1332" s="57"/>
      <c r="D1332" s="10" t="str">
        <f>IFERROR(__xludf.DUMMYFUNCTION("IF(COUNTA(C1332:C1350)=0,"""",IF(ISBLANK(C1332),FALSE,IF(NOT(COUNTIF($AA$24:$AA$34,SUBSTITUTE(C1332,""Sell_"",""""))),1,IF(REGEXMATCH(C1332,""Sell_""),IF(COUNTIF(C$4:C1332,SUBSTITUTE(C1332,""Sell_"",""""))-COUNTIF(C$4:C1331,C1332)&lt;1,1),FALSE))))"),"")</f>
        <v/>
      </c>
      <c r="E1332" s="59" t="str">
        <f t="array" ref="E1332">IF(COUNTA(C1332:C1350)=0,"",SUM((COUNTIF(C$4:C1332,Upgrades!$B$3:$B$13)-COUNTIF(C$4:C1332,"Sell_"&amp;Upgrades!$B$3:$B$13))*Upgrades!$D$3:$D$13))</f>
        <v/>
      </c>
      <c r="F1332" s="66" t="str">
        <f>IFERROR(__xludf.DUMMYFUNCTION("IF(COUNTA(C1332:C1350)=0,"""",IF(REGEXMATCH(INDEX(FILTER(C$4:C1332,C$4:C1332&lt;&gt;""""),ROWS(FILTER(C$4:C1332,C$4:C1332&lt;&gt;""""))),""^Sell_""),INDEX(FILTER(F$4:F1331,C$4:C1331&lt;&gt;""""),ROWS(FILTER(C$4:C1331,C$4:C1331&lt;&gt;""""))),$AC$5+E1332))"),"")</f>
        <v/>
      </c>
      <c r="G1332" s="10" t="str">
        <f>IFERROR(__xludf.DUMMYFUNCTION("IF(COUNTA(C1332:C1350)=0,"""",IF(C1332="""",0,IF(REGEXMATCH(C1332,""^Sell_""),-ROUNDDOWN(ROUNDUP(INDEX(Upgrades!$C$3:$C$13,MATCH(SUBSTITUTE(C1332,""Sell_"",""""),Upgrades!$B$3:$B$13,0))*1.15^(COUNTIF(C$4:C1331,SUBSTITUTE(C1332,""Sell_"",""""))-COUNTIF(C$4"&amp;":C1331,""Sell_""&amp;SUBSTITUTE(C1332,""Sell_"",""""))))/2),ROUNDUP(INDEX(Upgrades!$C$3:$C$13,MATCH(C1332,Upgrades!$B$3:$B$13,0))*1.15^(COUNTIF(C$4:C1331,C1332)-COUNTIF(C$4:C1331,""Sell_""&amp;C1332))))))"),"")</f>
        <v/>
      </c>
      <c r="H1332" s="10" t="str">
        <f t="shared" si="3"/>
        <v/>
      </c>
      <c r="I1332" s="68" t="str">
        <f t="shared" si="4"/>
        <v/>
      </c>
      <c r="J1332" s="59" t="str">
        <f t="shared" si="5"/>
        <v/>
      </c>
      <c r="K1332" s="69" t="str">
        <f t="shared" si="6"/>
        <v/>
      </c>
      <c r="L1332" s="60" t="str">
        <f t="shared" si="7"/>
        <v/>
      </c>
      <c r="M1332" s="61" t="str">
        <f>IFERROR(__xludf.DUMMYFUNCTION("IFS(AND(COUNTA(C1332:C1350)=0,COUNTA(Q1332:Q1350)=0),"""",OR(AND(K1332&gt;=1000000000,OR(Y1332&gt;=1000000000,COUNTA(Q1332:Q1350)=0)),OR(Y1332&gt;=1000000000,AND(COUNTA(C1332:C1350)=0,P$3=TRUE))),
ROUNDDOWN((AB$1-AC$1)*MAX(INDEX(T$4:T1350,MATCH(LARGE(FILTER(Y$4:Y1"&amp;"350,Y$4:Y1350&lt;1000000000),1),Y$4:Y1350)),INDEX(F$4:F1350,MATCH(LARGE(FILTER(K$4:K1350,K$4:K1350&lt;1000000000),1),K$4:K1350)))),AND(K1332&lt;1000000000,COUNTA(C1332:C1350)&gt;0,P$3=FALSE),
ROUNDDOWN(INDEX(Y$4:Y1350,MATCH(LARGE(FILTER(W$4:W1350,W$4:W1350&lt;=I1332),1)"&amp;",W$4:W1350))+(I1332-LARGE(FILTER(W$4:W1350,W$4:W1350&lt;=I1332),1))*INDEX(T$4:T1350,MATCH(LARGE(FILTER(W$4:W1350,W$4:W1350&lt;=I1332),1),W$4:W1350))-K1332),1,
ROUNDDOWN(Y1332-INDEX(K$4:K1350,MATCH(LARGE(FILTER(I$4:I1350,I$4:I1350&lt;=W1332),1),I$4:I1350))-(W1332-L"&amp;"ARGE(FILTER(I$4:I1350,I$4:I1350&lt;=W1332),1))*INDEX(F$4:F1350,MATCH(LARGE(FILTER(I$4:I1350,I$4:I1350&lt;=W1332),1),I$4:I1350))))"),"")</f>
        <v/>
      </c>
      <c r="N1332" s="60" t="str">
        <f t="shared" si="8"/>
        <v/>
      </c>
      <c r="O1332" s="61" t="str">
        <f t="shared" si="9"/>
        <v/>
      </c>
      <c r="P1332" s="56" t="str">
        <f t="shared" si="10"/>
        <v/>
      </c>
      <c r="Q1332" s="62"/>
      <c r="R1332" s="10" t="str">
        <f>IFERROR(__xludf.DUMMYFUNCTION("IF(COUNTA(Q1332:Q1350)=0,"""",IF(ISBLANK(Q1332),FALSE,IF(NOT(COUNTIF($AA$24:$AA$34,SUBSTITUTE(Q1332,""Sell_"",""""))),1,IF(REGEXMATCH(Q1332,""Sell_""),IF(COUNTIF(Q$4:Q1332,SUBSTITUTE(Q1332,""Sell_"",""""))-COUNTIF(Q$4:Q1331,Q1332)&lt;1,1),FALSE))))"),"")</f>
        <v/>
      </c>
      <c r="S1332" s="59" t="str">
        <f t="array" ref="S1332">IF(COUNTA(Q1332:Q1350)=0,"",SUM((COUNTIF(Q$4:Q1332,Upgrades!$B$3:$B$13)-COUNTIF(Q$4:Q1332,"Sell_"&amp;Upgrades!$B$3:$B$13))*Upgrades!$D$3:$D$13))</f>
        <v/>
      </c>
      <c r="T1332" s="66" t="str">
        <f>IFERROR(__xludf.DUMMYFUNCTION("IF(COUNTA(Q1332:Q1350)=0,"""",IF(REGEXMATCH(INDEX(FILTER(Q$4:Q1332,Q$4:Q1332&lt;&gt;""""),ROWS(FILTER(Q$4:Q1332,Q$4:Q1332&lt;&gt;""""))),""^Sell_""),INDEX(FILTER(T$4:T1331,Q$4:Q1331&lt;&gt;""""),ROWS(FILTER(Q$4:Q1331,Q$4:Q1331&lt;&gt;""""))),$AD$5+S1332))"),"")</f>
        <v/>
      </c>
      <c r="U1332" s="10" t="str">
        <f>IFERROR(__xludf.DUMMYFUNCTION("IF(COUNTA(Q1332:Q1350)=0,"""",IF(Q1332="""",0,IF(REGEXMATCH(Q1332,""^Sell_""),-ROUNDDOWN(ROUNDUP(INDEX(Upgrades!$C$3:$C$13,MATCH(SUBSTITUTE(Q1332,""Sell_"",""""),Upgrades!$B$3:$B$13,0))*1.15^(COUNTIF(Q$4:Q1331,SUBSTITUTE(Q1332,""Sell_"",""""))-COUNTIF(Q$4"&amp;":Q1331,""Sell_""&amp;SUBSTITUTE(Q1332,""Sell_"",""""))))/2),ROUNDUP(INDEX(Upgrades!$C$3:$C$13,MATCH(Q1332,Upgrades!$B$3:$B$13,0))*1.15^(COUNTIF(Q$4:Q1331,Q1332)-COUNTIF(Q$4:Q1331,""Sell_""&amp;Q1332))))))"),"")</f>
        <v/>
      </c>
      <c r="V1332" s="10" t="str">
        <f t="shared" si="11"/>
        <v/>
      </c>
      <c r="W1332" s="68" t="str">
        <f t="shared" si="12"/>
        <v/>
      </c>
      <c r="X1332" s="59" t="str">
        <f t="shared" si="13"/>
        <v/>
      </c>
      <c r="Y1332" s="69" t="str">
        <f t="shared" si="14"/>
        <v/>
      </c>
      <c r="Z1332" s="11"/>
    </row>
    <row r="1333">
      <c r="A1333" s="8"/>
      <c r="B1333" s="56" t="str">
        <f t="shared" si="2"/>
        <v/>
      </c>
      <c r="C1333" s="57"/>
      <c r="D1333" s="10" t="str">
        <f>IFERROR(__xludf.DUMMYFUNCTION("IF(COUNTA(C1333:C1350)=0,"""",IF(ISBLANK(C1333),FALSE,IF(NOT(COUNTIF($AA$24:$AA$34,SUBSTITUTE(C1333,""Sell_"",""""))),1,IF(REGEXMATCH(C1333,""Sell_""),IF(COUNTIF(C$4:C1333,SUBSTITUTE(C1333,""Sell_"",""""))-COUNTIF(C$4:C1332,C1333)&lt;1,1),FALSE))))"),"")</f>
        <v/>
      </c>
      <c r="E1333" s="59" t="str">
        <f t="array" ref="E1333">IF(COUNTA(C1333:C1350)=0,"",SUM((COUNTIF(C$4:C1333,Upgrades!$B$3:$B$13)-COUNTIF(C$4:C1333,"Sell_"&amp;Upgrades!$B$3:$B$13))*Upgrades!$D$3:$D$13))</f>
        <v/>
      </c>
      <c r="F1333" s="66" t="str">
        <f>IFERROR(__xludf.DUMMYFUNCTION("IF(COUNTA(C1333:C1350)=0,"""",IF(REGEXMATCH(INDEX(FILTER(C$4:C1333,C$4:C1333&lt;&gt;""""),ROWS(FILTER(C$4:C1333,C$4:C1333&lt;&gt;""""))),""^Sell_""),INDEX(FILTER(F$4:F1332,C$4:C1332&lt;&gt;""""),ROWS(FILTER(C$4:C1332,C$4:C1332&lt;&gt;""""))),$AC$5+E1333))"),"")</f>
        <v/>
      </c>
      <c r="G1333" s="10" t="str">
        <f>IFERROR(__xludf.DUMMYFUNCTION("IF(COUNTA(C1333:C1350)=0,"""",IF(C1333="""",0,IF(REGEXMATCH(C1333,""^Sell_""),-ROUNDDOWN(ROUNDUP(INDEX(Upgrades!$C$3:$C$13,MATCH(SUBSTITUTE(C1333,""Sell_"",""""),Upgrades!$B$3:$B$13,0))*1.15^(COUNTIF(C$4:C1332,SUBSTITUTE(C1333,""Sell_"",""""))-COUNTIF(C$4"&amp;":C1332,""Sell_""&amp;SUBSTITUTE(C1333,""Sell_"",""""))))/2),ROUNDUP(INDEX(Upgrades!$C$3:$C$13,MATCH(C1333,Upgrades!$B$3:$B$13,0))*1.15^(COUNTIF(C$4:C1332,C1333)-COUNTIF(C$4:C1332,""Sell_""&amp;C1333))))))"),"")</f>
        <v/>
      </c>
      <c r="H1333" s="10" t="str">
        <f t="shared" si="3"/>
        <v/>
      </c>
      <c r="I1333" s="68" t="str">
        <f t="shared" si="4"/>
        <v/>
      </c>
      <c r="J1333" s="59" t="str">
        <f t="shared" si="5"/>
        <v/>
      </c>
      <c r="K1333" s="69" t="str">
        <f t="shared" si="6"/>
        <v/>
      </c>
      <c r="L1333" s="60" t="str">
        <f t="shared" si="7"/>
        <v/>
      </c>
      <c r="M1333" s="61" t="str">
        <f>IFERROR(__xludf.DUMMYFUNCTION("IFS(AND(COUNTA(C1333:C1350)=0,COUNTA(Q1333:Q1350)=0),"""",OR(AND(K1333&gt;=1000000000,OR(Y1333&gt;=1000000000,COUNTA(Q1333:Q1350)=0)),OR(Y1333&gt;=1000000000,AND(COUNTA(C1333:C1350)=0,P$3=TRUE))),
ROUNDDOWN((AB$1-AC$1)*MAX(INDEX(T$4:T1350,MATCH(LARGE(FILTER(Y$4:Y1"&amp;"350,Y$4:Y1350&lt;1000000000),1),Y$4:Y1350)),INDEX(F$4:F1350,MATCH(LARGE(FILTER(K$4:K1350,K$4:K1350&lt;1000000000),1),K$4:K1350)))),AND(K1333&lt;1000000000,COUNTA(C1333:C1350)&gt;0,P$3=FALSE),
ROUNDDOWN(INDEX(Y$4:Y1350,MATCH(LARGE(FILTER(W$4:W1350,W$4:W1350&lt;=I1333),1)"&amp;",W$4:W1350))+(I1333-LARGE(FILTER(W$4:W1350,W$4:W1350&lt;=I1333),1))*INDEX(T$4:T1350,MATCH(LARGE(FILTER(W$4:W1350,W$4:W1350&lt;=I1333),1),W$4:W1350))-K1333),1,
ROUNDDOWN(Y1333-INDEX(K$4:K1350,MATCH(LARGE(FILTER(I$4:I1350,I$4:I1350&lt;=W1333),1),I$4:I1350))-(W1333-L"&amp;"ARGE(FILTER(I$4:I1350,I$4:I1350&lt;=W1333),1))*INDEX(F$4:F1350,MATCH(LARGE(FILTER(I$4:I1350,I$4:I1350&lt;=W1333),1),I$4:I1350))))"),"")</f>
        <v/>
      </c>
      <c r="N1333" s="60" t="str">
        <f t="shared" si="8"/>
        <v/>
      </c>
      <c r="O1333" s="61" t="str">
        <f t="shared" si="9"/>
        <v/>
      </c>
      <c r="P1333" s="56" t="str">
        <f t="shared" si="10"/>
        <v/>
      </c>
      <c r="Q1333" s="62"/>
      <c r="R1333" s="10" t="str">
        <f>IFERROR(__xludf.DUMMYFUNCTION("IF(COUNTA(Q1333:Q1350)=0,"""",IF(ISBLANK(Q1333),FALSE,IF(NOT(COUNTIF($AA$24:$AA$34,SUBSTITUTE(Q1333,""Sell_"",""""))),1,IF(REGEXMATCH(Q1333,""Sell_""),IF(COUNTIF(Q$4:Q1333,SUBSTITUTE(Q1333,""Sell_"",""""))-COUNTIF(Q$4:Q1332,Q1333)&lt;1,1),FALSE))))"),"")</f>
        <v/>
      </c>
      <c r="S1333" s="59" t="str">
        <f t="array" ref="S1333">IF(COUNTA(Q1333:Q1350)=0,"",SUM((COUNTIF(Q$4:Q1333,Upgrades!$B$3:$B$13)-COUNTIF(Q$4:Q1333,"Sell_"&amp;Upgrades!$B$3:$B$13))*Upgrades!$D$3:$D$13))</f>
        <v/>
      </c>
      <c r="T1333" s="66" t="str">
        <f>IFERROR(__xludf.DUMMYFUNCTION("IF(COUNTA(Q1333:Q1350)=0,"""",IF(REGEXMATCH(INDEX(FILTER(Q$4:Q1333,Q$4:Q1333&lt;&gt;""""),ROWS(FILTER(Q$4:Q1333,Q$4:Q1333&lt;&gt;""""))),""^Sell_""),INDEX(FILTER(T$4:T1332,Q$4:Q1332&lt;&gt;""""),ROWS(FILTER(Q$4:Q1332,Q$4:Q1332&lt;&gt;""""))),$AD$5+S1333))"),"")</f>
        <v/>
      </c>
      <c r="U1333" s="10" t="str">
        <f>IFERROR(__xludf.DUMMYFUNCTION("IF(COUNTA(Q1333:Q1350)=0,"""",IF(Q1333="""",0,IF(REGEXMATCH(Q1333,""^Sell_""),-ROUNDDOWN(ROUNDUP(INDEX(Upgrades!$C$3:$C$13,MATCH(SUBSTITUTE(Q1333,""Sell_"",""""),Upgrades!$B$3:$B$13,0))*1.15^(COUNTIF(Q$4:Q1332,SUBSTITUTE(Q1333,""Sell_"",""""))-COUNTIF(Q$4"&amp;":Q1332,""Sell_""&amp;SUBSTITUTE(Q1333,""Sell_"",""""))))/2),ROUNDUP(INDEX(Upgrades!$C$3:$C$13,MATCH(Q1333,Upgrades!$B$3:$B$13,0))*1.15^(COUNTIF(Q$4:Q1332,Q1333)-COUNTIF(Q$4:Q1332,""Sell_""&amp;Q1333))))))"),"")</f>
        <v/>
      </c>
      <c r="V1333" s="10" t="str">
        <f t="shared" si="11"/>
        <v/>
      </c>
      <c r="W1333" s="68" t="str">
        <f t="shared" si="12"/>
        <v/>
      </c>
      <c r="X1333" s="59" t="str">
        <f t="shared" si="13"/>
        <v/>
      </c>
      <c r="Y1333" s="69" t="str">
        <f t="shared" si="14"/>
        <v/>
      </c>
      <c r="Z1333" s="11"/>
    </row>
    <row r="1334">
      <c r="A1334" s="8"/>
      <c r="B1334" s="56" t="str">
        <f t="shared" si="2"/>
        <v/>
      </c>
      <c r="C1334" s="57"/>
      <c r="D1334" s="10" t="str">
        <f>IFERROR(__xludf.DUMMYFUNCTION("IF(COUNTA(C1334:C1350)=0,"""",IF(ISBLANK(C1334),FALSE,IF(NOT(COUNTIF($AA$24:$AA$34,SUBSTITUTE(C1334,""Sell_"",""""))),1,IF(REGEXMATCH(C1334,""Sell_""),IF(COUNTIF(C$4:C1334,SUBSTITUTE(C1334,""Sell_"",""""))-COUNTIF(C$4:C1333,C1334)&lt;1,1),FALSE))))"),"")</f>
        <v/>
      </c>
      <c r="E1334" s="59" t="str">
        <f t="array" ref="E1334">IF(COUNTA(C1334:C1350)=0,"",SUM((COUNTIF(C$4:C1334,Upgrades!$B$3:$B$13)-COUNTIF(C$4:C1334,"Sell_"&amp;Upgrades!$B$3:$B$13))*Upgrades!$D$3:$D$13))</f>
        <v/>
      </c>
      <c r="F1334" s="66" t="str">
        <f>IFERROR(__xludf.DUMMYFUNCTION("IF(COUNTA(C1334:C1350)=0,"""",IF(REGEXMATCH(INDEX(FILTER(C$4:C1334,C$4:C1334&lt;&gt;""""),ROWS(FILTER(C$4:C1334,C$4:C1334&lt;&gt;""""))),""^Sell_""),INDEX(FILTER(F$4:F1333,C$4:C1333&lt;&gt;""""),ROWS(FILTER(C$4:C1333,C$4:C1333&lt;&gt;""""))),$AC$5+E1334))"),"")</f>
        <v/>
      </c>
      <c r="G1334" s="10" t="str">
        <f>IFERROR(__xludf.DUMMYFUNCTION("IF(COUNTA(C1334:C1350)=0,"""",IF(C1334="""",0,IF(REGEXMATCH(C1334,""^Sell_""),-ROUNDDOWN(ROUNDUP(INDEX(Upgrades!$C$3:$C$13,MATCH(SUBSTITUTE(C1334,""Sell_"",""""),Upgrades!$B$3:$B$13,0))*1.15^(COUNTIF(C$4:C1333,SUBSTITUTE(C1334,""Sell_"",""""))-COUNTIF(C$4"&amp;":C1333,""Sell_""&amp;SUBSTITUTE(C1334,""Sell_"",""""))))/2),ROUNDUP(INDEX(Upgrades!$C$3:$C$13,MATCH(C1334,Upgrades!$B$3:$B$13,0))*1.15^(COUNTIF(C$4:C1333,C1334)-COUNTIF(C$4:C1333,""Sell_""&amp;C1334))))))"),"")</f>
        <v/>
      </c>
      <c r="H1334" s="10" t="str">
        <f t="shared" si="3"/>
        <v/>
      </c>
      <c r="I1334" s="68" t="str">
        <f t="shared" si="4"/>
        <v/>
      </c>
      <c r="J1334" s="59" t="str">
        <f t="shared" si="5"/>
        <v/>
      </c>
      <c r="K1334" s="69" t="str">
        <f t="shared" si="6"/>
        <v/>
      </c>
      <c r="L1334" s="60" t="str">
        <f t="shared" si="7"/>
        <v/>
      </c>
      <c r="M1334" s="61" t="str">
        <f>IFERROR(__xludf.DUMMYFUNCTION("IFS(AND(COUNTA(C1334:C1350)=0,COUNTA(Q1334:Q1350)=0),"""",OR(AND(K1334&gt;=1000000000,OR(Y1334&gt;=1000000000,COUNTA(Q1334:Q1350)=0)),OR(Y1334&gt;=1000000000,AND(COUNTA(C1334:C1350)=0,P$3=TRUE))),
ROUNDDOWN((AB$1-AC$1)*MAX(INDEX(T$4:T1350,MATCH(LARGE(FILTER(Y$4:Y1"&amp;"350,Y$4:Y1350&lt;1000000000),1),Y$4:Y1350)),INDEX(F$4:F1350,MATCH(LARGE(FILTER(K$4:K1350,K$4:K1350&lt;1000000000),1),K$4:K1350)))),AND(K1334&lt;1000000000,COUNTA(C1334:C1350)&gt;0,P$3=FALSE),
ROUNDDOWN(INDEX(Y$4:Y1350,MATCH(LARGE(FILTER(W$4:W1350,W$4:W1350&lt;=I1334),1)"&amp;",W$4:W1350))+(I1334-LARGE(FILTER(W$4:W1350,W$4:W1350&lt;=I1334),1))*INDEX(T$4:T1350,MATCH(LARGE(FILTER(W$4:W1350,W$4:W1350&lt;=I1334),1),W$4:W1350))-K1334),1,
ROUNDDOWN(Y1334-INDEX(K$4:K1350,MATCH(LARGE(FILTER(I$4:I1350,I$4:I1350&lt;=W1334),1),I$4:I1350))-(W1334-L"&amp;"ARGE(FILTER(I$4:I1350,I$4:I1350&lt;=W1334),1))*INDEX(F$4:F1350,MATCH(LARGE(FILTER(I$4:I1350,I$4:I1350&lt;=W1334),1),I$4:I1350))))"),"")</f>
        <v/>
      </c>
      <c r="N1334" s="60" t="str">
        <f t="shared" si="8"/>
        <v/>
      </c>
      <c r="O1334" s="61" t="str">
        <f t="shared" si="9"/>
        <v/>
      </c>
      <c r="P1334" s="56" t="str">
        <f t="shared" si="10"/>
        <v/>
      </c>
      <c r="Q1334" s="62"/>
      <c r="R1334" s="10" t="str">
        <f>IFERROR(__xludf.DUMMYFUNCTION("IF(COUNTA(Q1334:Q1350)=0,"""",IF(ISBLANK(Q1334),FALSE,IF(NOT(COUNTIF($AA$24:$AA$34,SUBSTITUTE(Q1334,""Sell_"",""""))),1,IF(REGEXMATCH(Q1334,""Sell_""),IF(COUNTIF(Q$4:Q1334,SUBSTITUTE(Q1334,""Sell_"",""""))-COUNTIF(Q$4:Q1333,Q1334)&lt;1,1),FALSE))))"),"")</f>
        <v/>
      </c>
      <c r="S1334" s="59" t="str">
        <f t="array" ref="S1334">IF(COUNTA(Q1334:Q1350)=0,"",SUM((COUNTIF(Q$4:Q1334,Upgrades!$B$3:$B$13)-COUNTIF(Q$4:Q1334,"Sell_"&amp;Upgrades!$B$3:$B$13))*Upgrades!$D$3:$D$13))</f>
        <v/>
      </c>
      <c r="T1334" s="66" t="str">
        <f>IFERROR(__xludf.DUMMYFUNCTION("IF(COUNTA(Q1334:Q1350)=0,"""",IF(REGEXMATCH(INDEX(FILTER(Q$4:Q1334,Q$4:Q1334&lt;&gt;""""),ROWS(FILTER(Q$4:Q1334,Q$4:Q1334&lt;&gt;""""))),""^Sell_""),INDEX(FILTER(T$4:T1333,Q$4:Q1333&lt;&gt;""""),ROWS(FILTER(Q$4:Q1333,Q$4:Q1333&lt;&gt;""""))),$AD$5+S1334))"),"")</f>
        <v/>
      </c>
      <c r="U1334" s="10" t="str">
        <f>IFERROR(__xludf.DUMMYFUNCTION("IF(COUNTA(Q1334:Q1350)=0,"""",IF(Q1334="""",0,IF(REGEXMATCH(Q1334,""^Sell_""),-ROUNDDOWN(ROUNDUP(INDEX(Upgrades!$C$3:$C$13,MATCH(SUBSTITUTE(Q1334,""Sell_"",""""),Upgrades!$B$3:$B$13,0))*1.15^(COUNTIF(Q$4:Q1333,SUBSTITUTE(Q1334,""Sell_"",""""))-COUNTIF(Q$4"&amp;":Q1333,""Sell_""&amp;SUBSTITUTE(Q1334,""Sell_"",""""))))/2),ROUNDUP(INDEX(Upgrades!$C$3:$C$13,MATCH(Q1334,Upgrades!$B$3:$B$13,0))*1.15^(COUNTIF(Q$4:Q1333,Q1334)-COUNTIF(Q$4:Q1333,""Sell_""&amp;Q1334))))))"),"")</f>
        <v/>
      </c>
      <c r="V1334" s="10" t="str">
        <f t="shared" si="11"/>
        <v/>
      </c>
      <c r="W1334" s="68" t="str">
        <f t="shared" si="12"/>
        <v/>
      </c>
      <c r="X1334" s="59" t="str">
        <f t="shared" si="13"/>
        <v/>
      </c>
      <c r="Y1334" s="69" t="str">
        <f t="shared" si="14"/>
        <v/>
      </c>
      <c r="Z1334" s="11"/>
    </row>
    <row r="1335">
      <c r="A1335" s="8"/>
      <c r="B1335" s="56" t="str">
        <f t="shared" si="2"/>
        <v/>
      </c>
      <c r="C1335" s="57"/>
      <c r="D1335" s="10" t="str">
        <f>IFERROR(__xludf.DUMMYFUNCTION("IF(COUNTA(C1335:C1350)=0,"""",IF(ISBLANK(C1335),FALSE,IF(NOT(COUNTIF($AA$24:$AA$34,SUBSTITUTE(C1335,""Sell_"",""""))),1,IF(REGEXMATCH(C1335,""Sell_""),IF(COUNTIF(C$4:C1335,SUBSTITUTE(C1335,""Sell_"",""""))-COUNTIF(C$4:C1334,C1335)&lt;1,1),FALSE))))"),"")</f>
        <v/>
      </c>
      <c r="E1335" s="59" t="str">
        <f t="array" ref="E1335">IF(COUNTA(C1335:C1350)=0,"",SUM((COUNTIF(C$4:C1335,Upgrades!$B$3:$B$13)-COUNTIF(C$4:C1335,"Sell_"&amp;Upgrades!$B$3:$B$13))*Upgrades!$D$3:$D$13))</f>
        <v/>
      </c>
      <c r="F1335" s="66" t="str">
        <f>IFERROR(__xludf.DUMMYFUNCTION("IF(COUNTA(C1335:C1350)=0,"""",IF(REGEXMATCH(INDEX(FILTER(C$4:C1335,C$4:C1335&lt;&gt;""""),ROWS(FILTER(C$4:C1335,C$4:C1335&lt;&gt;""""))),""^Sell_""),INDEX(FILTER(F$4:F1334,C$4:C1334&lt;&gt;""""),ROWS(FILTER(C$4:C1334,C$4:C1334&lt;&gt;""""))),$AC$5+E1335))"),"")</f>
        <v/>
      </c>
      <c r="G1335" s="10" t="str">
        <f>IFERROR(__xludf.DUMMYFUNCTION("IF(COUNTA(C1335:C1350)=0,"""",IF(C1335="""",0,IF(REGEXMATCH(C1335,""^Sell_""),-ROUNDDOWN(ROUNDUP(INDEX(Upgrades!$C$3:$C$13,MATCH(SUBSTITUTE(C1335,""Sell_"",""""),Upgrades!$B$3:$B$13,0))*1.15^(COUNTIF(C$4:C1334,SUBSTITUTE(C1335,""Sell_"",""""))-COUNTIF(C$4"&amp;":C1334,""Sell_""&amp;SUBSTITUTE(C1335,""Sell_"",""""))))/2),ROUNDUP(INDEX(Upgrades!$C$3:$C$13,MATCH(C1335,Upgrades!$B$3:$B$13,0))*1.15^(COUNTIF(C$4:C1334,C1335)-COUNTIF(C$4:C1334,""Sell_""&amp;C1335))))))"),"")</f>
        <v/>
      </c>
      <c r="H1335" s="10" t="str">
        <f t="shared" si="3"/>
        <v/>
      </c>
      <c r="I1335" s="68" t="str">
        <f t="shared" si="4"/>
        <v/>
      </c>
      <c r="J1335" s="59" t="str">
        <f t="shared" si="5"/>
        <v/>
      </c>
      <c r="K1335" s="69" t="str">
        <f t="shared" si="6"/>
        <v/>
      </c>
      <c r="L1335" s="60" t="str">
        <f t="shared" si="7"/>
        <v/>
      </c>
      <c r="M1335" s="61" t="str">
        <f>IFERROR(__xludf.DUMMYFUNCTION("IFS(AND(COUNTA(C1335:C1350)=0,COUNTA(Q1335:Q1350)=0),"""",OR(AND(K1335&gt;=1000000000,OR(Y1335&gt;=1000000000,COUNTA(Q1335:Q1350)=0)),OR(Y1335&gt;=1000000000,AND(COUNTA(C1335:C1350)=0,P$3=TRUE))),
ROUNDDOWN((AB$1-AC$1)*MAX(INDEX(T$4:T1350,MATCH(LARGE(FILTER(Y$4:Y1"&amp;"350,Y$4:Y1350&lt;1000000000),1),Y$4:Y1350)),INDEX(F$4:F1350,MATCH(LARGE(FILTER(K$4:K1350,K$4:K1350&lt;1000000000),1),K$4:K1350)))),AND(K1335&lt;1000000000,COUNTA(C1335:C1350)&gt;0,P$3=FALSE),
ROUNDDOWN(INDEX(Y$4:Y1350,MATCH(LARGE(FILTER(W$4:W1350,W$4:W1350&lt;=I1335),1)"&amp;",W$4:W1350))+(I1335-LARGE(FILTER(W$4:W1350,W$4:W1350&lt;=I1335),1))*INDEX(T$4:T1350,MATCH(LARGE(FILTER(W$4:W1350,W$4:W1350&lt;=I1335),1),W$4:W1350))-K1335),1,
ROUNDDOWN(Y1335-INDEX(K$4:K1350,MATCH(LARGE(FILTER(I$4:I1350,I$4:I1350&lt;=W1335),1),I$4:I1350))-(W1335-L"&amp;"ARGE(FILTER(I$4:I1350,I$4:I1350&lt;=W1335),1))*INDEX(F$4:F1350,MATCH(LARGE(FILTER(I$4:I1350,I$4:I1350&lt;=W1335),1),I$4:I1350))))"),"")</f>
        <v/>
      </c>
      <c r="N1335" s="60" t="str">
        <f t="shared" si="8"/>
        <v/>
      </c>
      <c r="O1335" s="61" t="str">
        <f t="shared" si="9"/>
        <v/>
      </c>
      <c r="P1335" s="56" t="str">
        <f t="shared" si="10"/>
        <v/>
      </c>
      <c r="Q1335" s="62"/>
      <c r="R1335" s="10" t="str">
        <f>IFERROR(__xludf.DUMMYFUNCTION("IF(COUNTA(Q1335:Q1350)=0,"""",IF(ISBLANK(Q1335),FALSE,IF(NOT(COUNTIF($AA$24:$AA$34,SUBSTITUTE(Q1335,""Sell_"",""""))),1,IF(REGEXMATCH(Q1335,""Sell_""),IF(COUNTIF(Q$4:Q1335,SUBSTITUTE(Q1335,""Sell_"",""""))-COUNTIF(Q$4:Q1334,Q1335)&lt;1,1),FALSE))))"),"")</f>
        <v/>
      </c>
      <c r="S1335" s="59" t="str">
        <f t="array" ref="S1335">IF(COUNTA(Q1335:Q1350)=0,"",SUM((COUNTIF(Q$4:Q1335,Upgrades!$B$3:$B$13)-COUNTIF(Q$4:Q1335,"Sell_"&amp;Upgrades!$B$3:$B$13))*Upgrades!$D$3:$D$13))</f>
        <v/>
      </c>
      <c r="T1335" s="66" t="str">
        <f>IFERROR(__xludf.DUMMYFUNCTION("IF(COUNTA(Q1335:Q1350)=0,"""",IF(REGEXMATCH(INDEX(FILTER(Q$4:Q1335,Q$4:Q1335&lt;&gt;""""),ROWS(FILTER(Q$4:Q1335,Q$4:Q1335&lt;&gt;""""))),""^Sell_""),INDEX(FILTER(T$4:T1334,Q$4:Q1334&lt;&gt;""""),ROWS(FILTER(Q$4:Q1334,Q$4:Q1334&lt;&gt;""""))),$AD$5+S1335))"),"")</f>
        <v/>
      </c>
      <c r="U1335" s="10" t="str">
        <f>IFERROR(__xludf.DUMMYFUNCTION("IF(COUNTA(Q1335:Q1350)=0,"""",IF(Q1335="""",0,IF(REGEXMATCH(Q1335,""^Sell_""),-ROUNDDOWN(ROUNDUP(INDEX(Upgrades!$C$3:$C$13,MATCH(SUBSTITUTE(Q1335,""Sell_"",""""),Upgrades!$B$3:$B$13,0))*1.15^(COUNTIF(Q$4:Q1334,SUBSTITUTE(Q1335,""Sell_"",""""))-COUNTIF(Q$4"&amp;":Q1334,""Sell_""&amp;SUBSTITUTE(Q1335,""Sell_"",""""))))/2),ROUNDUP(INDEX(Upgrades!$C$3:$C$13,MATCH(Q1335,Upgrades!$B$3:$B$13,0))*1.15^(COUNTIF(Q$4:Q1334,Q1335)-COUNTIF(Q$4:Q1334,""Sell_""&amp;Q1335))))))"),"")</f>
        <v/>
      </c>
      <c r="V1335" s="10" t="str">
        <f t="shared" si="11"/>
        <v/>
      </c>
      <c r="W1335" s="68" t="str">
        <f t="shared" si="12"/>
        <v/>
      </c>
      <c r="X1335" s="59" t="str">
        <f t="shared" si="13"/>
        <v/>
      </c>
      <c r="Y1335" s="69" t="str">
        <f t="shared" si="14"/>
        <v/>
      </c>
      <c r="Z1335" s="11"/>
    </row>
    <row r="1336">
      <c r="A1336" s="8"/>
      <c r="B1336" s="56" t="str">
        <f t="shared" si="2"/>
        <v/>
      </c>
      <c r="C1336" s="57"/>
      <c r="D1336" s="10" t="str">
        <f>IFERROR(__xludf.DUMMYFUNCTION("IF(COUNTA(C1336:C1350)=0,"""",IF(ISBLANK(C1336),FALSE,IF(NOT(COUNTIF($AA$24:$AA$34,SUBSTITUTE(C1336,""Sell_"",""""))),1,IF(REGEXMATCH(C1336,""Sell_""),IF(COUNTIF(C$4:C1336,SUBSTITUTE(C1336,""Sell_"",""""))-COUNTIF(C$4:C1335,C1336)&lt;1,1),FALSE))))"),"")</f>
        <v/>
      </c>
      <c r="E1336" s="59" t="str">
        <f t="array" ref="E1336">IF(COUNTA(C1336:C1350)=0,"",SUM((COUNTIF(C$4:C1336,Upgrades!$B$3:$B$13)-COUNTIF(C$4:C1336,"Sell_"&amp;Upgrades!$B$3:$B$13))*Upgrades!$D$3:$D$13))</f>
        <v/>
      </c>
      <c r="F1336" s="66" t="str">
        <f>IFERROR(__xludf.DUMMYFUNCTION("IF(COUNTA(C1336:C1350)=0,"""",IF(REGEXMATCH(INDEX(FILTER(C$4:C1336,C$4:C1336&lt;&gt;""""),ROWS(FILTER(C$4:C1336,C$4:C1336&lt;&gt;""""))),""^Sell_""),INDEX(FILTER(F$4:F1335,C$4:C1335&lt;&gt;""""),ROWS(FILTER(C$4:C1335,C$4:C1335&lt;&gt;""""))),$AC$5+E1336))"),"")</f>
        <v/>
      </c>
      <c r="G1336" s="10" t="str">
        <f>IFERROR(__xludf.DUMMYFUNCTION("IF(COUNTA(C1336:C1350)=0,"""",IF(C1336="""",0,IF(REGEXMATCH(C1336,""^Sell_""),-ROUNDDOWN(ROUNDUP(INDEX(Upgrades!$C$3:$C$13,MATCH(SUBSTITUTE(C1336,""Sell_"",""""),Upgrades!$B$3:$B$13,0))*1.15^(COUNTIF(C$4:C1335,SUBSTITUTE(C1336,""Sell_"",""""))-COUNTIF(C$4"&amp;":C1335,""Sell_""&amp;SUBSTITUTE(C1336,""Sell_"",""""))))/2),ROUNDUP(INDEX(Upgrades!$C$3:$C$13,MATCH(C1336,Upgrades!$B$3:$B$13,0))*1.15^(COUNTIF(C$4:C1335,C1336)-COUNTIF(C$4:C1335,""Sell_""&amp;C1336))))))"),"")</f>
        <v/>
      </c>
      <c r="H1336" s="10" t="str">
        <f t="shared" si="3"/>
        <v/>
      </c>
      <c r="I1336" s="68" t="str">
        <f t="shared" si="4"/>
        <v/>
      </c>
      <c r="J1336" s="59" t="str">
        <f t="shared" si="5"/>
        <v/>
      </c>
      <c r="K1336" s="69" t="str">
        <f t="shared" si="6"/>
        <v/>
      </c>
      <c r="L1336" s="60" t="str">
        <f t="shared" si="7"/>
        <v/>
      </c>
      <c r="M1336" s="61" t="str">
        <f>IFERROR(__xludf.DUMMYFUNCTION("IFS(AND(COUNTA(C1336:C1350)=0,COUNTA(Q1336:Q1350)=0),"""",OR(AND(K1336&gt;=1000000000,OR(Y1336&gt;=1000000000,COUNTA(Q1336:Q1350)=0)),OR(Y1336&gt;=1000000000,AND(COUNTA(C1336:C1350)=0,P$3=TRUE))),
ROUNDDOWN((AB$1-AC$1)*MAX(INDEX(T$4:T1350,MATCH(LARGE(FILTER(Y$4:Y1"&amp;"350,Y$4:Y1350&lt;1000000000),1),Y$4:Y1350)),INDEX(F$4:F1350,MATCH(LARGE(FILTER(K$4:K1350,K$4:K1350&lt;1000000000),1),K$4:K1350)))),AND(K1336&lt;1000000000,COUNTA(C1336:C1350)&gt;0,P$3=FALSE),
ROUNDDOWN(INDEX(Y$4:Y1350,MATCH(LARGE(FILTER(W$4:W1350,W$4:W1350&lt;=I1336),1)"&amp;",W$4:W1350))+(I1336-LARGE(FILTER(W$4:W1350,W$4:W1350&lt;=I1336),1))*INDEX(T$4:T1350,MATCH(LARGE(FILTER(W$4:W1350,W$4:W1350&lt;=I1336),1),W$4:W1350))-K1336),1,
ROUNDDOWN(Y1336-INDEX(K$4:K1350,MATCH(LARGE(FILTER(I$4:I1350,I$4:I1350&lt;=W1336),1),I$4:I1350))-(W1336-L"&amp;"ARGE(FILTER(I$4:I1350,I$4:I1350&lt;=W1336),1))*INDEX(F$4:F1350,MATCH(LARGE(FILTER(I$4:I1350,I$4:I1350&lt;=W1336),1),I$4:I1350))))"),"")</f>
        <v/>
      </c>
      <c r="N1336" s="60" t="str">
        <f t="shared" si="8"/>
        <v/>
      </c>
      <c r="O1336" s="61" t="str">
        <f t="shared" si="9"/>
        <v/>
      </c>
      <c r="P1336" s="56" t="str">
        <f t="shared" si="10"/>
        <v/>
      </c>
      <c r="Q1336" s="62"/>
      <c r="R1336" s="10" t="str">
        <f>IFERROR(__xludf.DUMMYFUNCTION("IF(COUNTA(Q1336:Q1350)=0,"""",IF(ISBLANK(Q1336),FALSE,IF(NOT(COUNTIF($AA$24:$AA$34,SUBSTITUTE(Q1336,""Sell_"",""""))),1,IF(REGEXMATCH(Q1336,""Sell_""),IF(COUNTIF(Q$4:Q1336,SUBSTITUTE(Q1336,""Sell_"",""""))-COUNTIF(Q$4:Q1335,Q1336)&lt;1,1),FALSE))))"),"")</f>
        <v/>
      </c>
      <c r="S1336" s="59" t="str">
        <f t="array" ref="S1336">IF(COUNTA(Q1336:Q1350)=0,"",SUM((COUNTIF(Q$4:Q1336,Upgrades!$B$3:$B$13)-COUNTIF(Q$4:Q1336,"Sell_"&amp;Upgrades!$B$3:$B$13))*Upgrades!$D$3:$D$13))</f>
        <v/>
      </c>
      <c r="T1336" s="66" t="str">
        <f>IFERROR(__xludf.DUMMYFUNCTION("IF(COUNTA(Q1336:Q1350)=0,"""",IF(REGEXMATCH(INDEX(FILTER(Q$4:Q1336,Q$4:Q1336&lt;&gt;""""),ROWS(FILTER(Q$4:Q1336,Q$4:Q1336&lt;&gt;""""))),""^Sell_""),INDEX(FILTER(T$4:T1335,Q$4:Q1335&lt;&gt;""""),ROWS(FILTER(Q$4:Q1335,Q$4:Q1335&lt;&gt;""""))),$AD$5+S1336))"),"")</f>
        <v/>
      </c>
      <c r="U1336" s="10" t="str">
        <f>IFERROR(__xludf.DUMMYFUNCTION("IF(COUNTA(Q1336:Q1350)=0,"""",IF(Q1336="""",0,IF(REGEXMATCH(Q1336,""^Sell_""),-ROUNDDOWN(ROUNDUP(INDEX(Upgrades!$C$3:$C$13,MATCH(SUBSTITUTE(Q1336,""Sell_"",""""),Upgrades!$B$3:$B$13,0))*1.15^(COUNTIF(Q$4:Q1335,SUBSTITUTE(Q1336,""Sell_"",""""))-COUNTIF(Q$4"&amp;":Q1335,""Sell_""&amp;SUBSTITUTE(Q1336,""Sell_"",""""))))/2),ROUNDUP(INDEX(Upgrades!$C$3:$C$13,MATCH(Q1336,Upgrades!$B$3:$B$13,0))*1.15^(COUNTIF(Q$4:Q1335,Q1336)-COUNTIF(Q$4:Q1335,""Sell_""&amp;Q1336))))))"),"")</f>
        <v/>
      </c>
      <c r="V1336" s="10" t="str">
        <f t="shared" si="11"/>
        <v/>
      </c>
      <c r="W1336" s="68" t="str">
        <f t="shared" si="12"/>
        <v/>
      </c>
      <c r="X1336" s="59" t="str">
        <f t="shared" si="13"/>
        <v/>
      </c>
      <c r="Y1336" s="69" t="str">
        <f t="shared" si="14"/>
        <v/>
      </c>
      <c r="Z1336" s="11"/>
    </row>
    <row r="1337">
      <c r="A1337" s="8"/>
      <c r="B1337" s="56" t="str">
        <f t="shared" si="2"/>
        <v/>
      </c>
      <c r="C1337" s="57"/>
      <c r="D1337" s="10" t="str">
        <f>IFERROR(__xludf.DUMMYFUNCTION("IF(COUNTA(C1337:C1350)=0,"""",IF(ISBLANK(C1337),FALSE,IF(NOT(COUNTIF($AA$24:$AA$34,SUBSTITUTE(C1337,""Sell_"",""""))),1,IF(REGEXMATCH(C1337,""Sell_""),IF(COUNTIF(C$4:C1337,SUBSTITUTE(C1337,""Sell_"",""""))-COUNTIF(C$4:C1336,C1337)&lt;1,1),FALSE))))"),"")</f>
        <v/>
      </c>
      <c r="E1337" s="59" t="str">
        <f t="array" ref="E1337">IF(COUNTA(C1337:C1350)=0,"",SUM((COUNTIF(C$4:C1337,Upgrades!$B$3:$B$13)-COUNTIF(C$4:C1337,"Sell_"&amp;Upgrades!$B$3:$B$13))*Upgrades!$D$3:$D$13))</f>
        <v/>
      </c>
      <c r="F1337" s="66" t="str">
        <f>IFERROR(__xludf.DUMMYFUNCTION("IF(COUNTA(C1337:C1350)=0,"""",IF(REGEXMATCH(INDEX(FILTER(C$4:C1337,C$4:C1337&lt;&gt;""""),ROWS(FILTER(C$4:C1337,C$4:C1337&lt;&gt;""""))),""^Sell_""),INDEX(FILTER(F$4:F1336,C$4:C1336&lt;&gt;""""),ROWS(FILTER(C$4:C1336,C$4:C1336&lt;&gt;""""))),$AC$5+E1337))"),"")</f>
        <v/>
      </c>
      <c r="G1337" s="10" t="str">
        <f>IFERROR(__xludf.DUMMYFUNCTION("IF(COUNTA(C1337:C1350)=0,"""",IF(C1337="""",0,IF(REGEXMATCH(C1337,""^Sell_""),-ROUNDDOWN(ROUNDUP(INDEX(Upgrades!$C$3:$C$13,MATCH(SUBSTITUTE(C1337,""Sell_"",""""),Upgrades!$B$3:$B$13,0))*1.15^(COUNTIF(C$4:C1336,SUBSTITUTE(C1337,""Sell_"",""""))-COUNTIF(C$4"&amp;":C1336,""Sell_""&amp;SUBSTITUTE(C1337,""Sell_"",""""))))/2),ROUNDUP(INDEX(Upgrades!$C$3:$C$13,MATCH(C1337,Upgrades!$B$3:$B$13,0))*1.15^(COUNTIF(C$4:C1336,C1337)-COUNTIF(C$4:C1336,""Sell_""&amp;C1337))))))"),"")</f>
        <v/>
      </c>
      <c r="H1337" s="10" t="str">
        <f t="shared" si="3"/>
        <v/>
      </c>
      <c r="I1337" s="68" t="str">
        <f t="shared" si="4"/>
        <v/>
      </c>
      <c r="J1337" s="59" t="str">
        <f t="shared" si="5"/>
        <v/>
      </c>
      <c r="K1337" s="69" t="str">
        <f t="shared" si="6"/>
        <v/>
      </c>
      <c r="L1337" s="60" t="str">
        <f t="shared" si="7"/>
        <v/>
      </c>
      <c r="M1337" s="61" t="str">
        <f>IFERROR(__xludf.DUMMYFUNCTION("IFS(AND(COUNTA(C1337:C1350)=0,COUNTA(Q1337:Q1350)=0),"""",OR(AND(K1337&gt;=1000000000,OR(Y1337&gt;=1000000000,COUNTA(Q1337:Q1350)=0)),OR(Y1337&gt;=1000000000,AND(COUNTA(C1337:C1350)=0,P$3=TRUE))),
ROUNDDOWN((AB$1-AC$1)*MAX(INDEX(T$4:T1350,MATCH(LARGE(FILTER(Y$4:Y1"&amp;"350,Y$4:Y1350&lt;1000000000),1),Y$4:Y1350)),INDEX(F$4:F1350,MATCH(LARGE(FILTER(K$4:K1350,K$4:K1350&lt;1000000000),1),K$4:K1350)))),AND(K1337&lt;1000000000,COUNTA(C1337:C1350)&gt;0,P$3=FALSE),
ROUNDDOWN(INDEX(Y$4:Y1350,MATCH(LARGE(FILTER(W$4:W1350,W$4:W1350&lt;=I1337),1)"&amp;",W$4:W1350))+(I1337-LARGE(FILTER(W$4:W1350,W$4:W1350&lt;=I1337),1))*INDEX(T$4:T1350,MATCH(LARGE(FILTER(W$4:W1350,W$4:W1350&lt;=I1337),1),W$4:W1350))-K1337),1,
ROUNDDOWN(Y1337-INDEX(K$4:K1350,MATCH(LARGE(FILTER(I$4:I1350,I$4:I1350&lt;=W1337),1),I$4:I1350))-(W1337-L"&amp;"ARGE(FILTER(I$4:I1350,I$4:I1350&lt;=W1337),1))*INDEX(F$4:F1350,MATCH(LARGE(FILTER(I$4:I1350,I$4:I1350&lt;=W1337),1),I$4:I1350))))"),"")</f>
        <v/>
      </c>
      <c r="N1337" s="60" t="str">
        <f t="shared" si="8"/>
        <v/>
      </c>
      <c r="O1337" s="61" t="str">
        <f t="shared" si="9"/>
        <v/>
      </c>
      <c r="P1337" s="56" t="str">
        <f t="shared" si="10"/>
        <v/>
      </c>
      <c r="Q1337" s="62"/>
      <c r="R1337" s="10" t="str">
        <f>IFERROR(__xludf.DUMMYFUNCTION("IF(COUNTA(Q1337:Q1350)=0,"""",IF(ISBLANK(Q1337),FALSE,IF(NOT(COUNTIF($AA$24:$AA$34,SUBSTITUTE(Q1337,""Sell_"",""""))),1,IF(REGEXMATCH(Q1337,""Sell_""),IF(COUNTIF(Q$4:Q1337,SUBSTITUTE(Q1337,""Sell_"",""""))-COUNTIF(Q$4:Q1336,Q1337)&lt;1,1),FALSE))))"),"")</f>
        <v/>
      </c>
      <c r="S1337" s="59" t="str">
        <f t="array" ref="S1337">IF(COUNTA(Q1337:Q1350)=0,"",SUM((COUNTIF(Q$4:Q1337,Upgrades!$B$3:$B$13)-COUNTIF(Q$4:Q1337,"Sell_"&amp;Upgrades!$B$3:$B$13))*Upgrades!$D$3:$D$13))</f>
        <v/>
      </c>
      <c r="T1337" s="66" t="str">
        <f>IFERROR(__xludf.DUMMYFUNCTION("IF(COUNTA(Q1337:Q1350)=0,"""",IF(REGEXMATCH(INDEX(FILTER(Q$4:Q1337,Q$4:Q1337&lt;&gt;""""),ROWS(FILTER(Q$4:Q1337,Q$4:Q1337&lt;&gt;""""))),""^Sell_""),INDEX(FILTER(T$4:T1336,Q$4:Q1336&lt;&gt;""""),ROWS(FILTER(Q$4:Q1336,Q$4:Q1336&lt;&gt;""""))),$AD$5+S1337))"),"")</f>
        <v/>
      </c>
      <c r="U1337" s="10" t="str">
        <f>IFERROR(__xludf.DUMMYFUNCTION("IF(COUNTA(Q1337:Q1350)=0,"""",IF(Q1337="""",0,IF(REGEXMATCH(Q1337,""^Sell_""),-ROUNDDOWN(ROUNDUP(INDEX(Upgrades!$C$3:$C$13,MATCH(SUBSTITUTE(Q1337,""Sell_"",""""),Upgrades!$B$3:$B$13,0))*1.15^(COUNTIF(Q$4:Q1336,SUBSTITUTE(Q1337,""Sell_"",""""))-COUNTIF(Q$4"&amp;":Q1336,""Sell_""&amp;SUBSTITUTE(Q1337,""Sell_"",""""))))/2),ROUNDUP(INDEX(Upgrades!$C$3:$C$13,MATCH(Q1337,Upgrades!$B$3:$B$13,0))*1.15^(COUNTIF(Q$4:Q1336,Q1337)-COUNTIF(Q$4:Q1336,""Sell_""&amp;Q1337))))))"),"")</f>
        <v/>
      </c>
      <c r="V1337" s="10" t="str">
        <f t="shared" si="11"/>
        <v/>
      </c>
      <c r="W1337" s="68" t="str">
        <f t="shared" si="12"/>
        <v/>
      </c>
      <c r="X1337" s="59" t="str">
        <f t="shared" si="13"/>
        <v/>
      </c>
      <c r="Y1337" s="69" t="str">
        <f t="shared" si="14"/>
        <v/>
      </c>
      <c r="Z1337" s="11"/>
    </row>
    <row r="1338">
      <c r="A1338" s="8"/>
      <c r="B1338" s="56" t="str">
        <f t="shared" si="2"/>
        <v/>
      </c>
      <c r="C1338" s="57"/>
      <c r="D1338" s="10" t="str">
        <f>IFERROR(__xludf.DUMMYFUNCTION("IF(COUNTA(C1338:C1350)=0,"""",IF(ISBLANK(C1338),FALSE,IF(NOT(COUNTIF($AA$24:$AA$34,SUBSTITUTE(C1338,""Sell_"",""""))),1,IF(REGEXMATCH(C1338,""Sell_""),IF(COUNTIF(C$4:C1338,SUBSTITUTE(C1338,""Sell_"",""""))-COUNTIF(C$4:C1337,C1338)&lt;1,1),FALSE))))"),"")</f>
        <v/>
      </c>
      <c r="E1338" s="59" t="str">
        <f t="array" ref="E1338">IF(COUNTA(C1338:C1350)=0,"",SUM((COUNTIF(C$4:C1338,Upgrades!$B$3:$B$13)-COUNTIF(C$4:C1338,"Sell_"&amp;Upgrades!$B$3:$B$13))*Upgrades!$D$3:$D$13))</f>
        <v/>
      </c>
      <c r="F1338" s="66" t="str">
        <f>IFERROR(__xludf.DUMMYFUNCTION("IF(COUNTA(C1338:C1350)=0,"""",IF(REGEXMATCH(INDEX(FILTER(C$4:C1338,C$4:C1338&lt;&gt;""""),ROWS(FILTER(C$4:C1338,C$4:C1338&lt;&gt;""""))),""^Sell_""),INDEX(FILTER(F$4:F1337,C$4:C1337&lt;&gt;""""),ROWS(FILTER(C$4:C1337,C$4:C1337&lt;&gt;""""))),$AC$5+E1338))"),"")</f>
        <v/>
      </c>
      <c r="G1338" s="10" t="str">
        <f>IFERROR(__xludf.DUMMYFUNCTION("IF(COUNTA(C1338:C1350)=0,"""",IF(C1338="""",0,IF(REGEXMATCH(C1338,""^Sell_""),-ROUNDDOWN(ROUNDUP(INDEX(Upgrades!$C$3:$C$13,MATCH(SUBSTITUTE(C1338,""Sell_"",""""),Upgrades!$B$3:$B$13,0))*1.15^(COUNTIF(C$4:C1337,SUBSTITUTE(C1338,""Sell_"",""""))-COUNTIF(C$4"&amp;":C1337,""Sell_""&amp;SUBSTITUTE(C1338,""Sell_"",""""))))/2),ROUNDUP(INDEX(Upgrades!$C$3:$C$13,MATCH(C1338,Upgrades!$B$3:$B$13,0))*1.15^(COUNTIF(C$4:C1337,C1338)-COUNTIF(C$4:C1337,""Sell_""&amp;C1338))))))"),"")</f>
        <v/>
      </c>
      <c r="H1338" s="10" t="str">
        <f t="shared" si="3"/>
        <v/>
      </c>
      <c r="I1338" s="68" t="str">
        <f t="shared" si="4"/>
        <v/>
      </c>
      <c r="J1338" s="59" t="str">
        <f t="shared" si="5"/>
        <v/>
      </c>
      <c r="K1338" s="69" t="str">
        <f t="shared" si="6"/>
        <v/>
      </c>
      <c r="L1338" s="60" t="str">
        <f t="shared" si="7"/>
        <v/>
      </c>
      <c r="M1338" s="61" t="str">
        <f>IFERROR(__xludf.DUMMYFUNCTION("IFS(AND(COUNTA(C1338:C1350)=0,COUNTA(Q1338:Q1350)=0),"""",OR(AND(K1338&gt;=1000000000,OR(Y1338&gt;=1000000000,COUNTA(Q1338:Q1350)=0)),OR(Y1338&gt;=1000000000,AND(COUNTA(C1338:C1350)=0,P$3=TRUE))),
ROUNDDOWN((AB$1-AC$1)*MAX(INDEX(T$4:T1350,MATCH(LARGE(FILTER(Y$4:Y1"&amp;"350,Y$4:Y1350&lt;1000000000),1),Y$4:Y1350)),INDEX(F$4:F1350,MATCH(LARGE(FILTER(K$4:K1350,K$4:K1350&lt;1000000000),1),K$4:K1350)))),AND(K1338&lt;1000000000,COUNTA(C1338:C1350)&gt;0,P$3=FALSE),
ROUNDDOWN(INDEX(Y$4:Y1350,MATCH(LARGE(FILTER(W$4:W1350,W$4:W1350&lt;=I1338),1)"&amp;",W$4:W1350))+(I1338-LARGE(FILTER(W$4:W1350,W$4:W1350&lt;=I1338),1))*INDEX(T$4:T1350,MATCH(LARGE(FILTER(W$4:W1350,W$4:W1350&lt;=I1338),1),W$4:W1350))-K1338),1,
ROUNDDOWN(Y1338-INDEX(K$4:K1350,MATCH(LARGE(FILTER(I$4:I1350,I$4:I1350&lt;=W1338),1),I$4:I1350))-(W1338-L"&amp;"ARGE(FILTER(I$4:I1350,I$4:I1350&lt;=W1338),1))*INDEX(F$4:F1350,MATCH(LARGE(FILTER(I$4:I1350,I$4:I1350&lt;=W1338),1),I$4:I1350))))"),"")</f>
        <v/>
      </c>
      <c r="N1338" s="60" t="str">
        <f t="shared" si="8"/>
        <v/>
      </c>
      <c r="O1338" s="61" t="str">
        <f t="shared" si="9"/>
        <v/>
      </c>
      <c r="P1338" s="56" t="str">
        <f t="shared" si="10"/>
        <v/>
      </c>
      <c r="Q1338" s="62"/>
      <c r="R1338" s="10" t="str">
        <f>IFERROR(__xludf.DUMMYFUNCTION("IF(COUNTA(Q1338:Q1350)=0,"""",IF(ISBLANK(Q1338),FALSE,IF(NOT(COUNTIF($AA$24:$AA$34,SUBSTITUTE(Q1338,""Sell_"",""""))),1,IF(REGEXMATCH(Q1338,""Sell_""),IF(COUNTIF(Q$4:Q1338,SUBSTITUTE(Q1338,""Sell_"",""""))-COUNTIF(Q$4:Q1337,Q1338)&lt;1,1),FALSE))))"),"")</f>
        <v/>
      </c>
      <c r="S1338" s="59" t="str">
        <f t="array" ref="S1338">IF(COUNTA(Q1338:Q1350)=0,"",SUM((COUNTIF(Q$4:Q1338,Upgrades!$B$3:$B$13)-COUNTIF(Q$4:Q1338,"Sell_"&amp;Upgrades!$B$3:$B$13))*Upgrades!$D$3:$D$13))</f>
        <v/>
      </c>
      <c r="T1338" s="66" t="str">
        <f>IFERROR(__xludf.DUMMYFUNCTION("IF(COUNTA(Q1338:Q1350)=0,"""",IF(REGEXMATCH(INDEX(FILTER(Q$4:Q1338,Q$4:Q1338&lt;&gt;""""),ROWS(FILTER(Q$4:Q1338,Q$4:Q1338&lt;&gt;""""))),""^Sell_""),INDEX(FILTER(T$4:T1337,Q$4:Q1337&lt;&gt;""""),ROWS(FILTER(Q$4:Q1337,Q$4:Q1337&lt;&gt;""""))),$AD$5+S1338))"),"")</f>
        <v/>
      </c>
      <c r="U1338" s="10" t="str">
        <f>IFERROR(__xludf.DUMMYFUNCTION("IF(COUNTA(Q1338:Q1350)=0,"""",IF(Q1338="""",0,IF(REGEXMATCH(Q1338,""^Sell_""),-ROUNDDOWN(ROUNDUP(INDEX(Upgrades!$C$3:$C$13,MATCH(SUBSTITUTE(Q1338,""Sell_"",""""),Upgrades!$B$3:$B$13,0))*1.15^(COUNTIF(Q$4:Q1337,SUBSTITUTE(Q1338,""Sell_"",""""))-COUNTIF(Q$4"&amp;":Q1337,""Sell_""&amp;SUBSTITUTE(Q1338,""Sell_"",""""))))/2),ROUNDUP(INDEX(Upgrades!$C$3:$C$13,MATCH(Q1338,Upgrades!$B$3:$B$13,0))*1.15^(COUNTIF(Q$4:Q1337,Q1338)-COUNTIF(Q$4:Q1337,""Sell_""&amp;Q1338))))))"),"")</f>
        <v/>
      </c>
      <c r="V1338" s="10" t="str">
        <f t="shared" si="11"/>
        <v/>
      </c>
      <c r="W1338" s="68" t="str">
        <f t="shared" si="12"/>
        <v/>
      </c>
      <c r="X1338" s="59" t="str">
        <f t="shared" si="13"/>
        <v/>
      </c>
      <c r="Y1338" s="69" t="str">
        <f t="shared" si="14"/>
        <v/>
      </c>
      <c r="Z1338" s="11"/>
    </row>
    <row r="1339">
      <c r="A1339" s="8"/>
      <c r="B1339" s="56" t="str">
        <f t="shared" si="2"/>
        <v/>
      </c>
      <c r="C1339" s="57"/>
      <c r="D1339" s="10" t="str">
        <f>IFERROR(__xludf.DUMMYFUNCTION("IF(COUNTA(C1339:C1350)=0,"""",IF(ISBLANK(C1339),FALSE,IF(NOT(COUNTIF($AA$24:$AA$34,SUBSTITUTE(C1339,""Sell_"",""""))),1,IF(REGEXMATCH(C1339,""Sell_""),IF(COUNTIF(C$4:C1339,SUBSTITUTE(C1339,""Sell_"",""""))-COUNTIF(C$4:C1338,C1339)&lt;1,1),FALSE))))"),"")</f>
        <v/>
      </c>
      <c r="E1339" s="59" t="str">
        <f t="array" ref="E1339">IF(COUNTA(C1339:C1350)=0,"",SUM((COUNTIF(C$4:C1339,Upgrades!$B$3:$B$13)-COUNTIF(C$4:C1339,"Sell_"&amp;Upgrades!$B$3:$B$13))*Upgrades!$D$3:$D$13))</f>
        <v/>
      </c>
      <c r="F1339" s="66" t="str">
        <f>IFERROR(__xludf.DUMMYFUNCTION("IF(COUNTA(C1339:C1350)=0,"""",IF(REGEXMATCH(INDEX(FILTER(C$4:C1339,C$4:C1339&lt;&gt;""""),ROWS(FILTER(C$4:C1339,C$4:C1339&lt;&gt;""""))),""^Sell_""),INDEX(FILTER(F$4:F1338,C$4:C1338&lt;&gt;""""),ROWS(FILTER(C$4:C1338,C$4:C1338&lt;&gt;""""))),$AC$5+E1339))"),"")</f>
        <v/>
      </c>
      <c r="G1339" s="10" t="str">
        <f>IFERROR(__xludf.DUMMYFUNCTION("IF(COUNTA(C1339:C1350)=0,"""",IF(C1339="""",0,IF(REGEXMATCH(C1339,""^Sell_""),-ROUNDDOWN(ROUNDUP(INDEX(Upgrades!$C$3:$C$13,MATCH(SUBSTITUTE(C1339,""Sell_"",""""),Upgrades!$B$3:$B$13,0))*1.15^(COUNTIF(C$4:C1338,SUBSTITUTE(C1339,""Sell_"",""""))-COUNTIF(C$4"&amp;":C1338,""Sell_""&amp;SUBSTITUTE(C1339,""Sell_"",""""))))/2),ROUNDUP(INDEX(Upgrades!$C$3:$C$13,MATCH(C1339,Upgrades!$B$3:$B$13,0))*1.15^(COUNTIF(C$4:C1338,C1339)-COUNTIF(C$4:C1338,""Sell_""&amp;C1339))))))"),"")</f>
        <v/>
      </c>
      <c r="H1339" s="10" t="str">
        <f t="shared" si="3"/>
        <v/>
      </c>
      <c r="I1339" s="68" t="str">
        <f t="shared" si="4"/>
        <v/>
      </c>
      <c r="J1339" s="59" t="str">
        <f t="shared" si="5"/>
        <v/>
      </c>
      <c r="K1339" s="69" t="str">
        <f t="shared" si="6"/>
        <v/>
      </c>
      <c r="L1339" s="60" t="str">
        <f t="shared" si="7"/>
        <v/>
      </c>
      <c r="M1339" s="61" t="str">
        <f>IFERROR(__xludf.DUMMYFUNCTION("IFS(AND(COUNTA(C1339:C1350)=0,COUNTA(Q1339:Q1350)=0),"""",OR(AND(K1339&gt;=1000000000,OR(Y1339&gt;=1000000000,COUNTA(Q1339:Q1350)=0)),OR(Y1339&gt;=1000000000,AND(COUNTA(C1339:C1350)=0,P$3=TRUE))),
ROUNDDOWN((AB$1-AC$1)*MAX(INDEX(T$4:T1350,MATCH(LARGE(FILTER(Y$4:Y1"&amp;"350,Y$4:Y1350&lt;1000000000),1),Y$4:Y1350)),INDEX(F$4:F1350,MATCH(LARGE(FILTER(K$4:K1350,K$4:K1350&lt;1000000000),1),K$4:K1350)))),AND(K1339&lt;1000000000,COUNTA(C1339:C1350)&gt;0,P$3=FALSE),
ROUNDDOWN(INDEX(Y$4:Y1350,MATCH(LARGE(FILTER(W$4:W1350,W$4:W1350&lt;=I1339),1)"&amp;",W$4:W1350))+(I1339-LARGE(FILTER(W$4:W1350,W$4:W1350&lt;=I1339),1))*INDEX(T$4:T1350,MATCH(LARGE(FILTER(W$4:W1350,W$4:W1350&lt;=I1339),1),W$4:W1350))-K1339),1,
ROUNDDOWN(Y1339-INDEX(K$4:K1350,MATCH(LARGE(FILTER(I$4:I1350,I$4:I1350&lt;=W1339),1),I$4:I1350))-(W1339-L"&amp;"ARGE(FILTER(I$4:I1350,I$4:I1350&lt;=W1339),1))*INDEX(F$4:F1350,MATCH(LARGE(FILTER(I$4:I1350,I$4:I1350&lt;=W1339),1),I$4:I1350))))"),"")</f>
        <v/>
      </c>
      <c r="N1339" s="60" t="str">
        <f t="shared" si="8"/>
        <v/>
      </c>
      <c r="O1339" s="61" t="str">
        <f t="shared" si="9"/>
        <v/>
      </c>
      <c r="P1339" s="56" t="str">
        <f t="shared" si="10"/>
        <v/>
      </c>
      <c r="Q1339" s="62"/>
      <c r="R1339" s="10" t="str">
        <f>IFERROR(__xludf.DUMMYFUNCTION("IF(COUNTA(Q1339:Q1350)=0,"""",IF(ISBLANK(Q1339),FALSE,IF(NOT(COUNTIF($AA$24:$AA$34,SUBSTITUTE(Q1339,""Sell_"",""""))),1,IF(REGEXMATCH(Q1339,""Sell_""),IF(COUNTIF(Q$4:Q1339,SUBSTITUTE(Q1339,""Sell_"",""""))-COUNTIF(Q$4:Q1338,Q1339)&lt;1,1),FALSE))))"),"")</f>
        <v/>
      </c>
      <c r="S1339" s="59" t="str">
        <f t="array" ref="S1339">IF(COUNTA(Q1339:Q1350)=0,"",SUM((COUNTIF(Q$4:Q1339,Upgrades!$B$3:$B$13)-COUNTIF(Q$4:Q1339,"Sell_"&amp;Upgrades!$B$3:$B$13))*Upgrades!$D$3:$D$13))</f>
        <v/>
      </c>
      <c r="T1339" s="66" t="str">
        <f>IFERROR(__xludf.DUMMYFUNCTION("IF(COUNTA(Q1339:Q1350)=0,"""",IF(REGEXMATCH(INDEX(FILTER(Q$4:Q1339,Q$4:Q1339&lt;&gt;""""),ROWS(FILTER(Q$4:Q1339,Q$4:Q1339&lt;&gt;""""))),""^Sell_""),INDEX(FILTER(T$4:T1338,Q$4:Q1338&lt;&gt;""""),ROWS(FILTER(Q$4:Q1338,Q$4:Q1338&lt;&gt;""""))),$AD$5+S1339))"),"")</f>
        <v/>
      </c>
      <c r="U1339" s="10" t="str">
        <f>IFERROR(__xludf.DUMMYFUNCTION("IF(COUNTA(Q1339:Q1350)=0,"""",IF(Q1339="""",0,IF(REGEXMATCH(Q1339,""^Sell_""),-ROUNDDOWN(ROUNDUP(INDEX(Upgrades!$C$3:$C$13,MATCH(SUBSTITUTE(Q1339,""Sell_"",""""),Upgrades!$B$3:$B$13,0))*1.15^(COUNTIF(Q$4:Q1338,SUBSTITUTE(Q1339,""Sell_"",""""))-COUNTIF(Q$4"&amp;":Q1338,""Sell_""&amp;SUBSTITUTE(Q1339,""Sell_"",""""))))/2),ROUNDUP(INDEX(Upgrades!$C$3:$C$13,MATCH(Q1339,Upgrades!$B$3:$B$13,0))*1.15^(COUNTIF(Q$4:Q1338,Q1339)-COUNTIF(Q$4:Q1338,""Sell_""&amp;Q1339))))))"),"")</f>
        <v/>
      </c>
      <c r="V1339" s="10" t="str">
        <f t="shared" si="11"/>
        <v/>
      </c>
      <c r="W1339" s="68" t="str">
        <f t="shared" si="12"/>
        <v/>
      </c>
      <c r="X1339" s="59" t="str">
        <f t="shared" si="13"/>
        <v/>
      </c>
      <c r="Y1339" s="69" t="str">
        <f t="shared" si="14"/>
        <v/>
      </c>
      <c r="Z1339" s="11"/>
    </row>
    <row r="1340">
      <c r="A1340" s="8"/>
      <c r="B1340" s="56" t="str">
        <f t="shared" si="2"/>
        <v/>
      </c>
      <c r="C1340" s="57"/>
      <c r="D1340" s="10" t="str">
        <f>IFERROR(__xludf.DUMMYFUNCTION("IF(COUNTA(C1340:C1350)=0,"""",IF(ISBLANK(C1340),FALSE,IF(NOT(COUNTIF($AA$24:$AA$34,SUBSTITUTE(C1340,""Sell_"",""""))),1,IF(REGEXMATCH(C1340,""Sell_""),IF(COUNTIF(C$4:C1340,SUBSTITUTE(C1340,""Sell_"",""""))-COUNTIF(C$4:C1339,C1340)&lt;1,1),FALSE))))"),"")</f>
        <v/>
      </c>
      <c r="E1340" s="59" t="str">
        <f t="array" ref="E1340">IF(COUNTA(C1340:C1350)=0,"",SUM((COUNTIF(C$4:C1340,Upgrades!$B$3:$B$13)-COUNTIF(C$4:C1340,"Sell_"&amp;Upgrades!$B$3:$B$13))*Upgrades!$D$3:$D$13))</f>
        <v/>
      </c>
      <c r="F1340" s="66" t="str">
        <f>IFERROR(__xludf.DUMMYFUNCTION("IF(COUNTA(C1340:C1350)=0,"""",IF(REGEXMATCH(INDEX(FILTER(C$4:C1340,C$4:C1340&lt;&gt;""""),ROWS(FILTER(C$4:C1340,C$4:C1340&lt;&gt;""""))),""^Sell_""),INDEX(FILTER(F$4:F1339,C$4:C1339&lt;&gt;""""),ROWS(FILTER(C$4:C1339,C$4:C1339&lt;&gt;""""))),$AC$5+E1340))"),"")</f>
        <v/>
      </c>
      <c r="G1340" s="10" t="str">
        <f>IFERROR(__xludf.DUMMYFUNCTION("IF(COUNTA(C1340:C1350)=0,"""",IF(C1340="""",0,IF(REGEXMATCH(C1340,""^Sell_""),-ROUNDDOWN(ROUNDUP(INDEX(Upgrades!$C$3:$C$13,MATCH(SUBSTITUTE(C1340,""Sell_"",""""),Upgrades!$B$3:$B$13,0))*1.15^(COUNTIF(C$4:C1339,SUBSTITUTE(C1340,""Sell_"",""""))-COUNTIF(C$4"&amp;":C1339,""Sell_""&amp;SUBSTITUTE(C1340,""Sell_"",""""))))/2),ROUNDUP(INDEX(Upgrades!$C$3:$C$13,MATCH(C1340,Upgrades!$B$3:$B$13,0))*1.15^(COUNTIF(C$4:C1339,C1340)-COUNTIF(C$4:C1339,""Sell_""&amp;C1340))))))"),"")</f>
        <v/>
      </c>
      <c r="H1340" s="10" t="str">
        <f t="shared" si="3"/>
        <v/>
      </c>
      <c r="I1340" s="68" t="str">
        <f t="shared" si="4"/>
        <v/>
      </c>
      <c r="J1340" s="59" t="str">
        <f t="shared" si="5"/>
        <v/>
      </c>
      <c r="K1340" s="69" t="str">
        <f t="shared" si="6"/>
        <v/>
      </c>
      <c r="L1340" s="60" t="str">
        <f t="shared" si="7"/>
        <v/>
      </c>
      <c r="M1340" s="61" t="str">
        <f>IFERROR(__xludf.DUMMYFUNCTION("IFS(AND(COUNTA(C1340:C1350)=0,COUNTA(Q1340:Q1350)=0),"""",OR(AND(K1340&gt;=1000000000,OR(Y1340&gt;=1000000000,COUNTA(Q1340:Q1350)=0)),OR(Y1340&gt;=1000000000,AND(COUNTA(C1340:C1350)=0,P$3=TRUE))),
ROUNDDOWN((AB$1-AC$1)*MAX(INDEX(T$4:T1350,MATCH(LARGE(FILTER(Y$4:Y1"&amp;"350,Y$4:Y1350&lt;1000000000),1),Y$4:Y1350)),INDEX(F$4:F1350,MATCH(LARGE(FILTER(K$4:K1350,K$4:K1350&lt;1000000000),1),K$4:K1350)))),AND(K1340&lt;1000000000,COUNTA(C1340:C1350)&gt;0,P$3=FALSE),
ROUNDDOWN(INDEX(Y$4:Y1350,MATCH(LARGE(FILTER(W$4:W1350,W$4:W1350&lt;=I1340),1)"&amp;",W$4:W1350))+(I1340-LARGE(FILTER(W$4:W1350,W$4:W1350&lt;=I1340),1))*INDEX(T$4:T1350,MATCH(LARGE(FILTER(W$4:W1350,W$4:W1350&lt;=I1340),1),W$4:W1350))-K1340),1,
ROUNDDOWN(Y1340-INDEX(K$4:K1350,MATCH(LARGE(FILTER(I$4:I1350,I$4:I1350&lt;=W1340),1),I$4:I1350))-(W1340-L"&amp;"ARGE(FILTER(I$4:I1350,I$4:I1350&lt;=W1340),1))*INDEX(F$4:F1350,MATCH(LARGE(FILTER(I$4:I1350,I$4:I1350&lt;=W1340),1),I$4:I1350))))"),"")</f>
        <v/>
      </c>
      <c r="N1340" s="60" t="str">
        <f t="shared" si="8"/>
        <v/>
      </c>
      <c r="O1340" s="61" t="str">
        <f t="shared" si="9"/>
        <v/>
      </c>
      <c r="P1340" s="56" t="str">
        <f t="shared" si="10"/>
        <v/>
      </c>
      <c r="Q1340" s="62"/>
      <c r="R1340" s="10" t="str">
        <f>IFERROR(__xludf.DUMMYFUNCTION("IF(COUNTA(Q1340:Q1350)=0,"""",IF(ISBLANK(Q1340),FALSE,IF(NOT(COUNTIF($AA$24:$AA$34,SUBSTITUTE(Q1340,""Sell_"",""""))),1,IF(REGEXMATCH(Q1340,""Sell_""),IF(COUNTIF(Q$4:Q1340,SUBSTITUTE(Q1340,""Sell_"",""""))-COUNTIF(Q$4:Q1339,Q1340)&lt;1,1),FALSE))))"),"")</f>
        <v/>
      </c>
      <c r="S1340" s="59" t="str">
        <f t="array" ref="S1340">IF(COUNTA(Q1340:Q1350)=0,"",SUM((COUNTIF(Q$4:Q1340,Upgrades!$B$3:$B$13)-COUNTIF(Q$4:Q1340,"Sell_"&amp;Upgrades!$B$3:$B$13))*Upgrades!$D$3:$D$13))</f>
        <v/>
      </c>
      <c r="T1340" s="66" t="str">
        <f>IFERROR(__xludf.DUMMYFUNCTION("IF(COUNTA(Q1340:Q1350)=0,"""",IF(REGEXMATCH(INDEX(FILTER(Q$4:Q1340,Q$4:Q1340&lt;&gt;""""),ROWS(FILTER(Q$4:Q1340,Q$4:Q1340&lt;&gt;""""))),""^Sell_""),INDEX(FILTER(T$4:T1339,Q$4:Q1339&lt;&gt;""""),ROWS(FILTER(Q$4:Q1339,Q$4:Q1339&lt;&gt;""""))),$AD$5+S1340))"),"")</f>
        <v/>
      </c>
      <c r="U1340" s="10" t="str">
        <f>IFERROR(__xludf.DUMMYFUNCTION("IF(COUNTA(Q1340:Q1350)=0,"""",IF(Q1340="""",0,IF(REGEXMATCH(Q1340,""^Sell_""),-ROUNDDOWN(ROUNDUP(INDEX(Upgrades!$C$3:$C$13,MATCH(SUBSTITUTE(Q1340,""Sell_"",""""),Upgrades!$B$3:$B$13,0))*1.15^(COUNTIF(Q$4:Q1339,SUBSTITUTE(Q1340,""Sell_"",""""))-COUNTIF(Q$4"&amp;":Q1339,""Sell_""&amp;SUBSTITUTE(Q1340,""Sell_"",""""))))/2),ROUNDUP(INDEX(Upgrades!$C$3:$C$13,MATCH(Q1340,Upgrades!$B$3:$B$13,0))*1.15^(COUNTIF(Q$4:Q1339,Q1340)-COUNTIF(Q$4:Q1339,""Sell_""&amp;Q1340))))))"),"")</f>
        <v/>
      </c>
      <c r="V1340" s="10" t="str">
        <f t="shared" si="11"/>
        <v/>
      </c>
      <c r="W1340" s="68" t="str">
        <f t="shared" si="12"/>
        <v/>
      </c>
      <c r="X1340" s="59" t="str">
        <f t="shared" si="13"/>
        <v/>
      </c>
      <c r="Y1340" s="69" t="str">
        <f t="shared" si="14"/>
        <v/>
      </c>
      <c r="Z1340" s="11"/>
    </row>
    <row r="1341">
      <c r="A1341" s="8"/>
      <c r="B1341" s="56" t="str">
        <f t="shared" si="2"/>
        <v/>
      </c>
      <c r="C1341" s="57"/>
      <c r="D1341" s="10" t="str">
        <f>IFERROR(__xludf.DUMMYFUNCTION("IF(COUNTA(C1341:C1350)=0,"""",IF(ISBLANK(C1341),FALSE,IF(NOT(COUNTIF($AA$24:$AA$34,SUBSTITUTE(C1341,""Sell_"",""""))),1,IF(REGEXMATCH(C1341,""Sell_""),IF(COUNTIF(C$4:C1341,SUBSTITUTE(C1341,""Sell_"",""""))-COUNTIF(C$4:C1340,C1341)&lt;1,1),FALSE))))"),"")</f>
        <v/>
      </c>
      <c r="E1341" s="59" t="str">
        <f t="array" ref="E1341">IF(COUNTA(C1341:C1350)=0,"",SUM((COUNTIF(C$4:C1341,Upgrades!$B$3:$B$13)-COUNTIF(C$4:C1341,"Sell_"&amp;Upgrades!$B$3:$B$13))*Upgrades!$D$3:$D$13))</f>
        <v/>
      </c>
      <c r="F1341" s="66" t="str">
        <f>IFERROR(__xludf.DUMMYFUNCTION("IF(COUNTA(C1341:C1350)=0,"""",IF(REGEXMATCH(INDEX(FILTER(C$4:C1341,C$4:C1341&lt;&gt;""""),ROWS(FILTER(C$4:C1341,C$4:C1341&lt;&gt;""""))),""^Sell_""),INDEX(FILTER(F$4:F1340,C$4:C1340&lt;&gt;""""),ROWS(FILTER(C$4:C1340,C$4:C1340&lt;&gt;""""))),$AC$5+E1341))"),"")</f>
        <v/>
      </c>
      <c r="G1341" s="10" t="str">
        <f>IFERROR(__xludf.DUMMYFUNCTION("IF(COUNTA(C1341:C1350)=0,"""",IF(C1341="""",0,IF(REGEXMATCH(C1341,""^Sell_""),-ROUNDDOWN(ROUNDUP(INDEX(Upgrades!$C$3:$C$13,MATCH(SUBSTITUTE(C1341,""Sell_"",""""),Upgrades!$B$3:$B$13,0))*1.15^(COUNTIF(C$4:C1340,SUBSTITUTE(C1341,""Sell_"",""""))-COUNTIF(C$4"&amp;":C1340,""Sell_""&amp;SUBSTITUTE(C1341,""Sell_"",""""))))/2),ROUNDUP(INDEX(Upgrades!$C$3:$C$13,MATCH(C1341,Upgrades!$B$3:$B$13,0))*1.15^(COUNTIF(C$4:C1340,C1341)-COUNTIF(C$4:C1340,""Sell_""&amp;C1341))))))"),"")</f>
        <v/>
      </c>
      <c r="H1341" s="10" t="str">
        <f t="shared" si="3"/>
        <v/>
      </c>
      <c r="I1341" s="68" t="str">
        <f t="shared" si="4"/>
        <v/>
      </c>
      <c r="J1341" s="59" t="str">
        <f t="shared" si="5"/>
        <v/>
      </c>
      <c r="K1341" s="69" t="str">
        <f t="shared" si="6"/>
        <v/>
      </c>
      <c r="L1341" s="60" t="str">
        <f t="shared" si="7"/>
        <v/>
      </c>
      <c r="M1341" s="61" t="str">
        <f>IFERROR(__xludf.DUMMYFUNCTION("IFS(AND(COUNTA(C1341:C1350)=0,COUNTA(Q1341:Q1350)=0),"""",OR(AND(K1341&gt;=1000000000,OR(Y1341&gt;=1000000000,COUNTA(Q1341:Q1350)=0)),OR(Y1341&gt;=1000000000,AND(COUNTA(C1341:C1350)=0,P$3=TRUE))),
ROUNDDOWN((AB$1-AC$1)*MAX(INDEX(T$4:T1350,MATCH(LARGE(FILTER(Y$4:Y1"&amp;"350,Y$4:Y1350&lt;1000000000),1),Y$4:Y1350)),INDEX(F$4:F1350,MATCH(LARGE(FILTER(K$4:K1350,K$4:K1350&lt;1000000000),1),K$4:K1350)))),AND(K1341&lt;1000000000,COUNTA(C1341:C1350)&gt;0,P$3=FALSE),
ROUNDDOWN(INDEX(Y$4:Y1350,MATCH(LARGE(FILTER(W$4:W1350,W$4:W1350&lt;=I1341),1)"&amp;",W$4:W1350))+(I1341-LARGE(FILTER(W$4:W1350,W$4:W1350&lt;=I1341),1))*INDEX(T$4:T1350,MATCH(LARGE(FILTER(W$4:W1350,W$4:W1350&lt;=I1341),1),W$4:W1350))-K1341),1,
ROUNDDOWN(Y1341-INDEX(K$4:K1350,MATCH(LARGE(FILTER(I$4:I1350,I$4:I1350&lt;=W1341),1),I$4:I1350))-(W1341-L"&amp;"ARGE(FILTER(I$4:I1350,I$4:I1350&lt;=W1341),1))*INDEX(F$4:F1350,MATCH(LARGE(FILTER(I$4:I1350,I$4:I1350&lt;=W1341),1),I$4:I1350))))"),"")</f>
        <v/>
      </c>
      <c r="N1341" s="60" t="str">
        <f t="shared" si="8"/>
        <v/>
      </c>
      <c r="O1341" s="61" t="str">
        <f t="shared" si="9"/>
        <v/>
      </c>
      <c r="P1341" s="56" t="str">
        <f t="shared" si="10"/>
        <v/>
      </c>
      <c r="Q1341" s="62"/>
      <c r="R1341" s="10" t="str">
        <f>IFERROR(__xludf.DUMMYFUNCTION("IF(COUNTA(Q1341:Q1350)=0,"""",IF(ISBLANK(Q1341),FALSE,IF(NOT(COUNTIF($AA$24:$AA$34,SUBSTITUTE(Q1341,""Sell_"",""""))),1,IF(REGEXMATCH(Q1341,""Sell_""),IF(COUNTIF(Q$4:Q1341,SUBSTITUTE(Q1341,""Sell_"",""""))-COUNTIF(Q$4:Q1340,Q1341)&lt;1,1),FALSE))))"),"")</f>
        <v/>
      </c>
      <c r="S1341" s="59" t="str">
        <f t="array" ref="S1341">IF(COUNTA(Q1341:Q1350)=0,"",SUM((COUNTIF(Q$4:Q1341,Upgrades!$B$3:$B$13)-COUNTIF(Q$4:Q1341,"Sell_"&amp;Upgrades!$B$3:$B$13))*Upgrades!$D$3:$D$13))</f>
        <v/>
      </c>
      <c r="T1341" s="66" t="str">
        <f>IFERROR(__xludf.DUMMYFUNCTION("IF(COUNTA(Q1341:Q1350)=0,"""",IF(REGEXMATCH(INDEX(FILTER(Q$4:Q1341,Q$4:Q1341&lt;&gt;""""),ROWS(FILTER(Q$4:Q1341,Q$4:Q1341&lt;&gt;""""))),""^Sell_""),INDEX(FILTER(T$4:T1340,Q$4:Q1340&lt;&gt;""""),ROWS(FILTER(Q$4:Q1340,Q$4:Q1340&lt;&gt;""""))),$AD$5+S1341))"),"")</f>
        <v/>
      </c>
      <c r="U1341" s="10" t="str">
        <f>IFERROR(__xludf.DUMMYFUNCTION("IF(COUNTA(Q1341:Q1350)=0,"""",IF(Q1341="""",0,IF(REGEXMATCH(Q1341,""^Sell_""),-ROUNDDOWN(ROUNDUP(INDEX(Upgrades!$C$3:$C$13,MATCH(SUBSTITUTE(Q1341,""Sell_"",""""),Upgrades!$B$3:$B$13,0))*1.15^(COUNTIF(Q$4:Q1340,SUBSTITUTE(Q1341,""Sell_"",""""))-COUNTIF(Q$4"&amp;":Q1340,""Sell_""&amp;SUBSTITUTE(Q1341,""Sell_"",""""))))/2),ROUNDUP(INDEX(Upgrades!$C$3:$C$13,MATCH(Q1341,Upgrades!$B$3:$B$13,0))*1.15^(COUNTIF(Q$4:Q1340,Q1341)-COUNTIF(Q$4:Q1340,""Sell_""&amp;Q1341))))))"),"")</f>
        <v/>
      </c>
      <c r="V1341" s="10" t="str">
        <f t="shared" si="11"/>
        <v/>
      </c>
      <c r="W1341" s="68" t="str">
        <f t="shared" si="12"/>
        <v/>
      </c>
      <c r="X1341" s="59" t="str">
        <f t="shared" si="13"/>
        <v/>
      </c>
      <c r="Y1341" s="69" t="str">
        <f t="shared" si="14"/>
        <v/>
      </c>
      <c r="Z1341" s="11"/>
    </row>
    <row r="1342">
      <c r="A1342" s="8"/>
      <c r="B1342" s="56" t="str">
        <f t="shared" si="2"/>
        <v/>
      </c>
      <c r="C1342" s="57"/>
      <c r="D1342" s="10" t="str">
        <f>IFERROR(__xludf.DUMMYFUNCTION("IF(COUNTA(C1342:C1350)=0,"""",IF(ISBLANK(C1342),FALSE,IF(NOT(COUNTIF($AA$24:$AA$34,SUBSTITUTE(C1342,""Sell_"",""""))),1,IF(REGEXMATCH(C1342,""Sell_""),IF(COUNTIF(C$4:C1342,SUBSTITUTE(C1342,""Sell_"",""""))-COUNTIF(C$4:C1341,C1342)&lt;1,1),FALSE))))"),"")</f>
        <v/>
      </c>
      <c r="E1342" s="59" t="str">
        <f t="array" ref="E1342">IF(COUNTA(C1342:C1350)=0,"",SUM((COUNTIF(C$4:C1342,Upgrades!$B$3:$B$13)-COUNTIF(C$4:C1342,"Sell_"&amp;Upgrades!$B$3:$B$13))*Upgrades!$D$3:$D$13))</f>
        <v/>
      </c>
      <c r="F1342" s="66" t="str">
        <f>IFERROR(__xludf.DUMMYFUNCTION("IF(COUNTA(C1342:C1350)=0,"""",IF(REGEXMATCH(INDEX(FILTER(C$4:C1342,C$4:C1342&lt;&gt;""""),ROWS(FILTER(C$4:C1342,C$4:C1342&lt;&gt;""""))),""^Sell_""),INDEX(FILTER(F$4:F1341,C$4:C1341&lt;&gt;""""),ROWS(FILTER(C$4:C1341,C$4:C1341&lt;&gt;""""))),$AC$5+E1342))"),"")</f>
        <v/>
      </c>
      <c r="G1342" s="10" t="str">
        <f>IFERROR(__xludf.DUMMYFUNCTION("IF(COUNTA(C1342:C1350)=0,"""",IF(C1342="""",0,IF(REGEXMATCH(C1342,""^Sell_""),-ROUNDDOWN(ROUNDUP(INDEX(Upgrades!$C$3:$C$13,MATCH(SUBSTITUTE(C1342,""Sell_"",""""),Upgrades!$B$3:$B$13,0))*1.15^(COUNTIF(C$4:C1341,SUBSTITUTE(C1342,""Sell_"",""""))-COUNTIF(C$4"&amp;":C1341,""Sell_""&amp;SUBSTITUTE(C1342,""Sell_"",""""))))/2),ROUNDUP(INDEX(Upgrades!$C$3:$C$13,MATCH(C1342,Upgrades!$B$3:$B$13,0))*1.15^(COUNTIF(C$4:C1341,C1342)-COUNTIF(C$4:C1341,""Sell_""&amp;C1342))))))"),"")</f>
        <v/>
      </c>
      <c r="H1342" s="10" t="str">
        <f t="shared" si="3"/>
        <v/>
      </c>
      <c r="I1342" s="68" t="str">
        <f t="shared" si="4"/>
        <v/>
      </c>
      <c r="J1342" s="59" t="str">
        <f t="shared" si="5"/>
        <v/>
      </c>
      <c r="K1342" s="69" t="str">
        <f t="shared" si="6"/>
        <v/>
      </c>
      <c r="L1342" s="60" t="str">
        <f t="shared" si="7"/>
        <v/>
      </c>
      <c r="M1342" s="61" t="str">
        <f>IFERROR(__xludf.DUMMYFUNCTION("IFS(AND(COUNTA(C1342:C1350)=0,COUNTA(Q1342:Q1350)=0),"""",OR(AND(K1342&gt;=1000000000,OR(Y1342&gt;=1000000000,COUNTA(Q1342:Q1350)=0)),OR(Y1342&gt;=1000000000,AND(COUNTA(C1342:C1350)=0,P$3=TRUE))),
ROUNDDOWN((AB$1-AC$1)*MAX(INDEX(T$4:T1350,MATCH(LARGE(FILTER(Y$4:Y1"&amp;"350,Y$4:Y1350&lt;1000000000),1),Y$4:Y1350)),INDEX(F$4:F1350,MATCH(LARGE(FILTER(K$4:K1350,K$4:K1350&lt;1000000000),1),K$4:K1350)))),AND(K1342&lt;1000000000,COUNTA(C1342:C1350)&gt;0,P$3=FALSE),
ROUNDDOWN(INDEX(Y$4:Y1350,MATCH(LARGE(FILTER(W$4:W1350,W$4:W1350&lt;=I1342),1)"&amp;",W$4:W1350))+(I1342-LARGE(FILTER(W$4:W1350,W$4:W1350&lt;=I1342),1))*INDEX(T$4:T1350,MATCH(LARGE(FILTER(W$4:W1350,W$4:W1350&lt;=I1342),1),W$4:W1350))-K1342),1,
ROUNDDOWN(Y1342-INDEX(K$4:K1350,MATCH(LARGE(FILTER(I$4:I1350,I$4:I1350&lt;=W1342),1),I$4:I1350))-(W1342-L"&amp;"ARGE(FILTER(I$4:I1350,I$4:I1350&lt;=W1342),1))*INDEX(F$4:F1350,MATCH(LARGE(FILTER(I$4:I1350,I$4:I1350&lt;=W1342),1),I$4:I1350))))"),"")</f>
        <v/>
      </c>
      <c r="N1342" s="60" t="str">
        <f t="shared" si="8"/>
        <v/>
      </c>
      <c r="O1342" s="61" t="str">
        <f t="shared" si="9"/>
        <v/>
      </c>
      <c r="P1342" s="56" t="str">
        <f t="shared" si="10"/>
        <v/>
      </c>
      <c r="Q1342" s="62"/>
      <c r="R1342" s="10" t="str">
        <f>IFERROR(__xludf.DUMMYFUNCTION("IF(COUNTA(Q1342:Q1350)=0,"""",IF(ISBLANK(Q1342),FALSE,IF(NOT(COUNTIF($AA$24:$AA$34,SUBSTITUTE(Q1342,""Sell_"",""""))),1,IF(REGEXMATCH(Q1342,""Sell_""),IF(COUNTIF(Q$4:Q1342,SUBSTITUTE(Q1342,""Sell_"",""""))-COUNTIF(Q$4:Q1341,Q1342)&lt;1,1),FALSE))))"),"")</f>
        <v/>
      </c>
      <c r="S1342" s="59" t="str">
        <f t="array" ref="S1342">IF(COUNTA(Q1342:Q1350)=0,"",SUM((COUNTIF(Q$4:Q1342,Upgrades!$B$3:$B$13)-COUNTIF(Q$4:Q1342,"Sell_"&amp;Upgrades!$B$3:$B$13))*Upgrades!$D$3:$D$13))</f>
        <v/>
      </c>
      <c r="T1342" s="66" t="str">
        <f>IFERROR(__xludf.DUMMYFUNCTION("IF(COUNTA(Q1342:Q1350)=0,"""",IF(REGEXMATCH(INDEX(FILTER(Q$4:Q1342,Q$4:Q1342&lt;&gt;""""),ROWS(FILTER(Q$4:Q1342,Q$4:Q1342&lt;&gt;""""))),""^Sell_""),INDEX(FILTER(T$4:T1341,Q$4:Q1341&lt;&gt;""""),ROWS(FILTER(Q$4:Q1341,Q$4:Q1341&lt;&gt;""""))),$AD$5+S1342))"),"")</f>
        <v/>
      </c>
      <c r="U1342" s="10" t="str">
        <f>IFERROR(__xludf.DUMMYFUNCTION("IF(COUNTA(Q1342:Q1350)=0,"""",IF(Q1342="""",0,IF(REGEXMATCH(Q1342,""^Sell_""),-ROUNDDOWN(ROUNDUP(INDEX(Upgrades!$C$3:$C$13,MATCH(SUBSTITUTE(Q1342,""Sell_"",""""),Upgrades!$B$3:$B$13,0))*1.15^(COUNTIF(Q$4:Q1341,SUBSTITUTE(Q1342,""Sell_"",""""))-COUNTIF(Q$4"&amp;":Q1341,""Sell_""&amp;SUBSTITUTE(Q1342,""Sell_"",""""))))/2),ROUNDUP(INDEX(Upgrades!$C$3:$C$13,MATCH(Q1342,Upgrades!$B$3:$B$13,0))*1.15^(COUNTIF(Q$4:Q1341,Q1342)-COUNTIF(Q$4:Q1341,""Sell_""&amp;Q1342))))))"),"")</f>
        <v/>
      </c>
      <c r="V1342" s="10" t="str">
        <f t="shared" si="11"/>
        <v/>
      </c>
      <c r="W1342" s="68" t="str">
        <f t="shared" si="12"/>
        <v/>
      </c>
      <c r="X1342" s="59" t="str">
        <f t="shared" si="13"/>
        <v/>
      </c>
      <c r="Y1342" s="69" t="str">
        <f t="shared" si="14"/>
        <v/>
      </c>
      <c r="Z1342" s="11"/>
    </row>
    <row r="1343">
      <c r="A1343" s="8"/>
      <c r="B1343" s="56" t="str">
        <f t="shared" si="2"/>
        <v/>
      </c>
      <c r="C1343" s="57"/>
      <c r="D1343" s="10" t="str">
        <f>IFERROR(__xludf.DUMMYFUNCTION("IF(COUNTA(C1343:C1350)=0,"""",IF(ISBLANK(C1343),FALSE,IF(NOT(COUNTIF($AA$24:$AA$34,SUBSTITUTE(C1343,""Sell_"",""""))),1,IF(REGEXMATCH(C1343,""Sell_""),IF(COUNTIF(C$4:C1343,SUBSTITUTE(C1343,""Sell_"",""""))-COUNTIF(C$4:C1342,C1343)&lt;1,1),FALSE))))"),"")</f>
        <v/>
      </c>
      <c r="E1343" s="59" t="str">
        <f t="array" ref="E1343">IF(COUNTA(C1343:C1350)=0,"",SUM((COUNTIF(C$4:C1343,Upgrades!$B$3:$B$13)-COUNTIF(C$4:C1343,"Sell_"&amp;Upgrades!$B$3:$B$13))*Upgrades!$D$3:$D$13))</f>
        <v/>
      </c>
      <c r="F1343" s="66" t="str">
        <f>IFERROR(__xludf.DUMMYFUNCTION("IF(COUNTA(C1343:C1350)=0,"""",IF(REGEXMATCH(INDEX(FILTER(C$4:C1343,C$4:C1343&lt;&gt;""""),ROWS(FILTER(C$4:C1343,C$4:C1343&lt;&gt;""""))),""^Sell_""),INDEX(FILTER(F$4:F1342,C$4:C1342&lt;&gt;""""),ROWS(FILTER(C$4:C1342,C$4:C1342&lt;&gt;""""))),$AC$5+E1343))"),"")</f>
        <v/>
      </c>
      <c r="G1343" s="10" t="str">
        <f>IFERROR(__xludf.DUMMYFUNCTION("IF(COUNTA(C1343:C1350)=0,"""",IF(C1343="""",0,IF(REGEXMATCH(C1343,""^Sell_""),-ROUNDDOWN(ROUNDUP(INDEX(Upgrades!$C$3:$C$13,MATCH(SUBSTITUTE(C1343,""Sell_"",""""),Upgrades!$B$3:$B$13,0))*1.15^(COUNTIF(C$4:C1342,SUBSTITUTE(C1343,""Sell_"",""""))-COUNTIF(C$4"&amp;":C1342,""Sell_""&amp;SUBSTITUTE(C1343,""Sell_"",""""))))/2),ROUNDUP(INDEX(Upgrades!$C$3:$C$13,MATCH(C1343,Upgrades!$B$3:$B$13,0))*1.15^(COUNTIF(C$4:C1342,C1343)-COUNTIF(C$4:C1342,""Sell_""&amp;C1343))))))"),"")</f>
        <v/>
      </c>
      <c r="H1343" s="10" t="str">
        <f t="shared" si="3"/>
        <v/>
      </c>
      <c r="I1343" s="68" t="str">
        <f t="shared" si="4"/>
        <v/>
      </c>
      <c r="J1343" s="59" t="str">
        <f t="shared" si="5"/>
        <v/>
      </c>
      <c r="K1343" s="69" t="str">
        <f t="shared" si="6"/>
        <v/>
      </c>
      <c r="L1343" s="60" t="str">
        <f t="shared" si="7"/>
        <v/>
      </c>
      <c r="M1343" s="61" t="str">
        <f>IFERROR(__xludf.DUMMYFUNCTION("IFS(AND(COUNTA(C1343:C1350)=0,COUNTA(Q1343:Q1350)=0),"""",OR(AND(K1343&gt;=1000000000,OR(Y1343&gt;=1000000000,COUNTA(Q1343:Q1350)=0)),OR(Y1343&gt;=1000000000,AND(COUNTA(C1343:C1350)=0,P$3=TRUE))),
ROUNDDOWN((AB$1-AC$1)*MAX(INDEX(T$4:T1350,MATCH(LARGE(FILTER(Y$4:Y1"&amp;"350,Y$4:Y1350&lt;1000000000),1),Y$4:Y1350)),INDEX(F$4:F1350,MATCH(LARGE(FILTER(K$4:K1350,K$4:K1350&lt;1000000000),1),K$4:K1350)))),AND(K1343&lt;1000000000,COUNTA(C1343:C1350)&gt;0,P$3=FALSE),
ROUNDDOWN(INDEX(Y$4:Y1350,MATCH(LARGE(FILTER(W$4:W1350,W$4:W1350&lt;=I1343),1)"&amp;",W$4:W1350))+(I1343-LARGE(FILTER(W$4:W1350,W$4:W1350&lt;=I1343),1))*INDEX(T$4:T1350,MATCH(LARGE(FILTER(W$4:W1350,W$4:W1350&lt;=I1343),1),W$4:W1350))-K1343),1,
ROUNDDOWN(Y1343-INDEX(K$4:K1350,MATCH(LARGE(FILTER(I$4:I1350,I$4:I1350&lt;=W1343),1),I$4:I1350))-(W1343-L"&amp;"ARGE(FILTER(I$4:I1350,I$4:I1350&lt;=W1343),1))*INDEX(F$4:F1350,MATCH(LARGE(FILTER(I$4:I1350,I$4:I1350&lt;=W1343),1),I$4:I1350))))"),"")</f>
        <v/>
      </c>
      <c r="N1343" s="60" t="str">
        <f t="shared" si="8"/>
        <v/>
      </c>
      <c r="O1343" s="61" t="str">
        <f t="shared" si="9"/>
        <v/>
      </c>
      <c r="P1343" s="56" t="str">
        <f t="shared" si="10"/>
        <v/>
      </c>
      <c r="Q1343" s="62"/>
      <c r="R1343" s="10" t="str">
        <f>IFERROR(__xludf.DUMMYFUNCTION("IF(COUNTA(Q1343:Q1350)=0,"""",IF(ISBLANK(Q1343),FALSE,IF(NOT(COUNTIF($AA$24:$AA$34,SUBSTITUTE(Q1343,""Sell_"",""""))),1,IF(REGEXMATCH(Q1343,""Sell_""),IF(COUNTIF(Q$4:Q1343,SUBSTITUTE(Q1343,""Sell_"",""""))-COUNTIF(Q$4:Q1342,Q1343)&lt;1,1),FALSE))))"),"")</f>
        <v/>
      </c>
      <c r="S1343" s="59" t="str">
        <f t="array" ref="S1343">IF(COUNTA(Q1343:Q1350)=0,"",SUM((COUNTIF(Q$4:Q1343,Upgrades!$B$3:$B$13)-COUNTIF(Q$4:Q1343,"Sell_"&amp;Upgrades!$B$3:$B$13))*Upgrades!$D$3:$D$13))</f>
        <v/>
      </c>
      <c r="T1343" s="66" t="str">
        <f>IFERROR(__xludf.DUMMYFUNCTION("IF(COUNTA(Q1343:Q1350)=0,"""",IF(REGEXMATCH(INDEX(FILTER(Q$4:Q1343,Q$4:Q1343&lt;&gt;""""),ROWS(FILTER(Q$4:Q1343,Q$4:Q1343&lt;&gt;""""))),""^Sell_""),INDEX(FILTER(T$4:T1342,Q$4:Q1342&lt;&gt;""""),ROWS(FILTER(Q$4:Q1342,Q$4:Q1342&lt;&gt;""""))),$AD$5+S1343))"),"")</f>
        <v/>
      </c>
      <c r="U1343" s="10" t="str">
        <f>IFERROR(__xludf.DUMMYFUNCTION("IF(COUNTA(Q1343:Q1350)=0,"""",IF(Q1343="""",0,IF(REGEXMATCH(Q1343,""^Sell_""),-ROUNDDOWN(ROUNDUP(INDEX(Upgrades!$C$3:$C$13,MATCH(SUBSTITUTE(Q1343,""Sell_"",""""),Upgrades!$B$3:$B$13,0))*1.15^(COUNTIF(Q$4:Q1342,SUBSTITUTE(Q1343,""Sell_"",""""))-COUNTIF(Q$4"&amp;":Q1342,""Sell_""&amp;SUBSTITUTE(Q1343,""Sell_"",""""))))/2),ROUNDUP(INDEX(Upgrades!$C$3:$C$13,MATCH(Q1343,Upgrades!$B$3:$B$13,0))*1.15^(COUNTIF(Q$4:Q1342,Q1343)-COUNTIF(Q$4:Q1342,""Sell_""&amp;Q1343))))))"),"")</f>
        <v/>
      </c>
      <c r="V1343" s="10" t="str">
        <f t="shared" si="11"/>
        <v/>
      </c>
      <c r="W1343" s="68" t="str">
        <f t="shared" si="12"/>
        <v/>
      </c>
      <c r="X1343" s="59" t="str">
        <f t="shared" si="13"/>
        <v/>
      </c>
      <c r="Y1343" s="69" t="str">
        <f t="shared" si="14"/>
        <v/>
      </c>
      <c r="Z1343" s="11"/>
    </row>
    <row r="1344">
      <c r="A1344" s="8"/>
      <c r="B1344" s="56" t="str">
        <f t="shared" si="2"/>
        <v/>
      </c>
      <c r="C1344" s="57"/>
      <c r="D1344" s="10" t="str">
        <f>IFERROR(__xludf.DUMMYFUNCTION("IF(COUNTA(C1344:C1350)=0,"""",IF(ISBLANK(C1344),FALSE,IF(NOT(COUNTIF($AA$24:$AA$34,SUBSTITUTE(C1344,""Sell_"",""""))),1,IF(REGEXMATCH(C1344,""Sell_""),IF(COUNTIF(C$4:C1344,SUBSTITUTE(C1344,""Sell_"",""""))-COUNTIF(C$4:C1343,C1344)&lt;1,1),FALSE))))"),"")</f>
        <v/>
      </c>
      <c r="E1344" s="59" t="str">
        <f t="array" ref="E1344">IF(COUNTA(C1344:C1350)=0,"",SUM((COUNTIF(C$4:C1344,Upgrades!$B$3:$B$13)-COUNTIF(C$4:C1344,"Sell_"&amp;Upgrades!$B$3:$B$13))*Upgrades!$D$3:$D$13))</f>
        <v/>
      </c>
      <c r="F1344" s="66" t="str">
        <f>IFERROR(__xludf.DUMMYFUNCTION("IF(COUNTA(C1344:C1350)=0,"""",IF(REGEXMATCH(INDEX(FILTER(C$4:C1344,C$4:C1344&lt;&gt;""""),ROWS(FILTER(C$4:C1344,C$4:C1344&lt;&gt;""""))),""^Sell_""),INDEX(FILTER(F$4:F1343,C$4:C1343&lt;&gt;""""),ROWS(FILTER(C$4:C1343,C$4:C1343&lt;&gt;""""))),$AC$5+E1344))"),"")</f>
        <v/>
      </c>
      <c r="G1344" s="10" t="str">
        <f>IFERROR(__xludf.DUMMYFUNCTION("IF(COUNTA(C1344:C1350)=0,"""",IF(C1344="""",0,IF(REGEXMATCH(C1344,""^Sell_""),-ROUNDDOWN(ROUNDUP(INDEX(Upgrades!$C$3:$C$13,MATCH(SUBSTITUTE(C1344,""Sell_"",""""),Upgrades!$B$3:$B$13,0))*1.15^(COUNTIF(C$4:C1343,SUBSTITUTE(C1344,""Sell_"",""""))-COUNTIF(C$4"&amp;":C1343,""Sell_""&amp;SUBSTITUTE(C1344,""Sell_"",""""))))/2),ROUNDUP(INDEX(Upgrades!$C$3:$C$13,MATCH(C1344,Upgrades!$B$3:$B$13,0))*1.15^(COUNTIF(C$4:C1343,C1344)-COUNTIF(C$4:C1343,""Sell_""&amp;C1344))))))"),"")</f>
        <v/>
      </c>
      <c r="H1344" s="10" t="str">
        <f t="shared" si="3"/>
        <v/>
      </c>
      <c r="I1344" s="68" t="str">
        <f t="shared" si="4"/>
        <v/>
      </c>
      <c r="J1344" s="59" t="str">
        <f t="shared" si="5"/>
        <v/>
      </c>
      <c r="K1344" s="69" t="str">
        <f t="shared" si="6"/>
        <v/>
      </c>
      <c r="L1344" s="60" t="str">
        <f t="shared" si="7"/>
        <v/>
      </c>
      <c r="M1344" s="61" t="str">
        <f>IFERROR(__xludf.DUMMYFUNCTION("IFS(AND(COUNTA(C1344:C1350)=0,COUNTA(Q1344:Q1350)=0),"""",OR(AND(K1344&gt;=1000000000,OR(Y1344&gt;=1000000000,COUNTA(Q1344:Q1350)=0)),OR(Y1344&gt;=1000000000,AND(COUNTA(C1344:C1350)=0,P$3=TRUE))),
ROUNDDOWN((AB$1-AC$1)*MAX(INDEX(T$4:T1350,MATCH(LARGE(FILTER(Y$4:Y1"&amp;"350,Y$4:Y1350&lt;1000000000),1),Y$4:Y1350)),INDEX(F$4:F1350,MATCH(LARGE(FILTER(K$4:K1350,K$4:K1350&lt;1000000000),1),K$4:K1350)))),AND(K1344&lt;1000000000,COUNTA(C1344:C1350)&gt;0,P$3=FALSE),
ROUNDDOWN(INDEX(Y$4:Y1350,MATCH(LARGE(FILTER(W$4:W1350,W$4:W1350&lt;=I1344),1)"&amp;",W$4:W1350))+(I1344-LARGE(FILTER(W$4:W1350,W$4:W1350&lt;=I1344),1))*INDEX(T$4:T1350,MATCH(LARGE(FILTER(W$4:W1350,W$4:W1350&lt;=I1344),1),W$4:W1350))-K1344),1,
ROUNDDOWN(Y1344-INDEX(K$4:K1350,MATCH(LARGE(FILTER(I$4:I1350,I$4:I1350&lt;=W1344),1),I$4:I1350))-(W1344-L"&amp;"ARGE(FILTER(I$4:I1350,I$4:I1350&lt;=W1344),1))*INDEX(F$4:F1350,MATCH(LARGE(FILTER(I$4:I1350,I$4:I1350&lt;=W1344),1),I$4:I1350))))"),"")</f>
        <v/>
      </c>
      <c r="N1344" s="60" t="str">
        <f t="shared" si="8"/>
        <v/>
      </c>
      <c r="O1344" s="61" t="str">
        <f t="shared" si="9"/>
        <v/>
      </c>
      <c r="P1344" s="56" t="str">
        <f t="shared" si="10"/>
        <v/>
      </c>
      <c r="Q1344" s="62"/>
      <c r="R1344" s="10" t="str">
        <f>IFERROR(__xludf.DUMMYFUNCTION("IF(COUNTA(Q1344:Q1350)=0,"""",IF(ISBLANK(Q1344),FALSE,IF(NOT(COUNTIF($AA$24:$AA$34,SUBSTITUTE(Q1344,""Sell_"",""""))),1,IF(REGEXMATCH(Q1344,""Sell_""),IF(COUNTIF(Q$4:Q1344,SUBSTITUTE(Q1344,""Sell_"",""""))-COUNTIF(Q$4:Q1343,Q1344)&lt;1,1),FALSE))))"),"")</f>
        <v/>
      </c>
      <c r="S1344" s="59" t="str">
        <f t="array" ref="S1344">IF(COUNTA(Q1344:Q1350)=0,"",SUM((COUNTIF(Q$4:Q1344,Upgrades!$B$3:$B$13)-COUNTIF(Q$4:Q1344,"Sell_"&amp;Upgrades!$B$3:$B$13))*Upgrades!$D$3:$D$13))</f>
        <v/>
      </c>
      <c r="T1344" s="66" t="str">
        <f>IFERROR(__xludf.DUMMYFUNCTION("IF(COUNTA(Q1344:Q1350)=0,"""",IF(REGEXMATCH(INDEX(FILTER(Q$4:Q1344,Q$4:Q1344&lt;&gt;""""),ROWS(FILTER(Q$4:Q1344,Q$4:Q1344&lt;&gt;""""))),""^Sell_""),INDEX(FILTER(T$4:T1343,Q$4:Q1343&lt;&gt;""""),ROWS(FILTER(Q$4:Q1343,Q$4:Q1343&lt;&gt;""""))),$AD$5+S1344))"),"")</f>
        <v/>
      </c>
      <c r="U1344" s="10" t="str">
        <f>IFERROR(__xludf.DUMMYFUNCTION("IF(COUNTA(Q1344:Q1350)=0,"""",IF(Q1344="""",0,IF(REGEXMATCH(Q1344,""^Sell_""),-ROUNDDOWN(ROUNDUP(INDEX(Upgrades!$C$3:$C$13,MATCH(SUBSTITUTE(Q1344,""Sell_"",""""),Upgrades!$B$3:$B$13,0))*1.15^(COUNTIF(Q$4:Q1343,SUBSTITUTE(Q1344,""Sell_"",""""))-COUNTIF(Q$4"&amp;":Q1343,""Sell_""&amp;SUBSTITUTE(Q1344,""Sell_"",""""))))/2),ROUNDUP(INDEX(Upgrades!$C$3:$C$13,MATCH(Q1344,Upgrades!$B$3:$B$13,0))*1.15^(COUNTIF(Q$4:Q1343,Q1344)-COUNTIF(Q$4:Q1343,""Sell_""&amp;Q1344))))))"),"")</f>
        <v/>
      </c>
      <c r="V1344" s="10" t="str">
        <f t="shared" si="11"/>
        <v/>
      </c>
      <c r="W1344" s="68" t="str">
        <f t="shared" si="12"/>
        <v/>
      </c>
      <c r="X1344" s="59" t="str">
        <f t="shared" si="13"/>
        <v/>
      </c>
      <c r="Y1344" s="69" t="str">
        <f t="shared" si="14"/>
        <v/>
      </c>
      <c r="Z1344" s="11"/>
    </row>
    <row r="1345">
      <c r="A1345" s="8"/>
      <c r="B1345" s="56" t="str">
        <f t="shared" si="2"/>
        <v/>
      </c>
      <c r="C1345" s="57"/>
      <c r="D1345" s="10" t="str">
        <f>IFERROR(__xludf.DUMMYFUNCTION("IF(COUNTA(C1345:C1350)=0,"""",IF(ISBLANK(C1345),FALSE,IF(NOT(COUNTIF($AA$24:$AA$34,SUBSTITUTE(C1345,""Sell_"",""""))),1,IF(REGEXMATCH(C1345,""Sell_""),IF(COUNTIF(C$4:C1345,SUBSTITUTE(C1345,""Sell_"",""""))-COUNTIF(C$4:C1344,C1345)&lt;1,1),FALSE))))"),"")</f>
        <v/>
      </c>
      <c r="E1345" s="59" t="str">
        <f t="array" ref="E1345">IF(COUNTA(C1345:C1350)=0,"",SUM((COUNTIF(C$4:C1345,Upgrades!$B$3:$B$13)-COUNTIF(C$4:C1345,"Sell_"&amp;Upgrades!$B$3:$B$13))*Upgrades!$D$3:$D$13))</f>
        <v/>
      </c>
      <c r="F1345" s="66" t="str">
        <f>IFERROR(__xludf.DUMMYFUNCTION("IF(COUNTA(C1345:C1350)=0,"""",IF(REGEXMATCH(INDEX(FILTER(C$4:C1345,C$4:C1345&lt;&gt;""""),ROWS(FILTER(C$4:C1345,C$4:C1345&lt;&gt;""""))),""^Sell_""),INDEX(FILTER(F$4:F1344,C$4:C1344&lt;&gt;""""),ROWS(FILTER(C$4:C1344,C$4:C1344&lt;&gt;""""))),$AC$5+E1345))"),"")</f>
        <v/>
      </c>
      <c r="G1345" s="10" t="str">
        <f>IFERROR(__xludf.DUMMYFUNCTION("IF(COUNTA(C1345:C1350)=0,"""",IF(C1345="""",0,IF(REGEXMATCH(C1345,""^Sell_""),-ROUNDDOWN(ROUNDUP(INDEX(Upgrades!$C$3:$C$13,MATCH(SUBSTITUTE(C1345,""Sell_"",""""),Upgrades!$B$3:$B$13,0))*1.15^(COUNTIF(C$4:C1344,SUBSTITUTE(C1345,""Sell_"",""""))-COUNTIF(C$4"&amp;":C1344,""Sell_""&amp;SUBSTITUTE(C1345,""Sell_"",""""))))/2),ROUNDUP(INDEX(Upgrades!$C$3:$C$13,MATCH(C1345,Upgrades!$B$3:$B$13,0))*1.15^(COUNTIF(C$4:C1344,C1345)-COUNTIF(C$4:C1344,""Sell_""&amp;C1345))))))"),"")</f>
        <v/>
      </c>
      <c r="H1345" s="10" t="str">
        <f t="shared" si="3"/>
        <v/>
      </c>
      <c r="I1345" s="68" t="str">
        <f t="shared" si="4"/>
        <v/>
      </c>
      <c r="J1345" s="59" t="str">
        <f t="shared" si="5"/>
        <v/>
      </c>
      <c r="K1345" s="69" t="str">
        <f t="shared" si="6"/>
        <v/>
      </c>
      <c r="L1345" s="60" t="str">
        <f t="shared" si="7"/>
        <v/>
      </c>
      <c r="M1345" s="61" t="str">
        <f>IFERROR(__xludf.DUMMYFUNCTION("IFS(AND(COUNTA(C1345:C1350)=0,COUNTA(Q1345:Q1350)=0),"""",OR(AND(K1345&gt;=1000000000,OR(Y1345&gt;=1000000000,COUNTA(Q1345:Q1350)=0)),OR(Y1345&gt;=1000000000,AND(COUNTA(C1345:C1350)=0,P$3=TRUE))),
ROUNDDOWN((AB$1-AC$1)*MAX(INDEX(T$4:T1350,MATCH(LARGE(FILTER(Y$4:Y1"&amp;"350,Y$4:Y1350&lt;1000000000),1),Y$4:Y1350)),INDEX(F$4:F1350,MATCH(LARGE(FILTER(K$4:K1350,K$4:K1350&lt;1000000000),1),K$4:K1350)))),AND(K1345&lt;1000000000,COUNTA(C1345:C1350)&gt;0,P$3=FALSE),
ROUNDDOWN(INDEX(Y$4:Y1350,MATCH(LARGE(FILTER(W$4:W1350,W$4:W1350&lt;=I1345),1)"&amp;",W$4:W1350))+(I1345-LARGE(FILTER(W$4:W1350,W$4:W1350&lt;=I1345),1))*INDEX(T$4:T1350,MATCH(LARGE(FILTER(W$4:W1350,W$4:W1350&lt;=I1345),1),W$4:W1350))-K1345),1,
ROUNDDOWN(Y1345-INDEX(K$4:K1350,MATCH(LARGE(FILTER(I$4:I1350,I$4:I1350&lt;=W1345),1),I$4:I1350))-(W1345-L"&amp;"ARGE(FILTER(I$4:I1350,I$4:I1350&lt;=W1345),1))*INDEX(F$4:F1350,MATCH(LARGE(FILTER(I$4:I1350,I$4:I1350&lt;=W1345),1),I$4:I1350))))"),"")</f>
        <v/>
      </c>
      <c r="N1345" s="60" t="str">
        <f t="shared" si="8"/>
        <v/>
      </c>
      <c r="O1345" s="61" t="str">
        <f t="shared" si="9"/>
        <v/>
      </c>
      <c r="P1345" s="56" t="str">
        <f t="shared" si="10"/>
        <v/>
      </c>
      <c r="Q1345" s="62"/>
      <c r="R1345" s="10" t="str">
        <f>IFERROR(__xludf.DUMMYFUNCTION("IF(COUNTA(Q1345:Q1350)=0,"""",IF(ISBLANK(Q1345),FALSE,IF(NOT(COUNTIF($AA$24:$AA$34,SUBSTITUTE(Q1345,""Sell_"",""""))),1,IF(REGEXMATCH(Q1345,""Sell_""),IF(COUNTIF(Q$4:Q1345,SUBSTITUTE(Q1345,""Sell_"",""""))-COUNTIF(Q$4:Q1344,Q1345)&lt;1,1),FALSE))))"),"")</f>
        <v/>
      </c>
      <c r="S1345" s="59" t="str">
        <f t="array" ref="S1345">IF(COUNTA(Q1345:Q1350)=0,"",SUM((COUNTIF(Q$4:Q1345,Upgrades!$B$3:$B$13)-COUNTIF(Q$4:Q1345,"Sell_"&amp;Upgrades!$B$3:$B$13))*Upgrades!$D$3:$D$13))</f>
        <v/>
      </c>
      <c r="T1345" s="66" t="str">
        <f>IFERROR(__xludf.DUMMYFUNCTION("IF(COUNTA(Q1345:Q1350)=0,"""",IF(REGEXMATCH(INDEX(FILTER(Q$4:Q1345,Q$4:Q1345&lt;&gt;""""),ROWS(FILTER(Q$4:Q1345,Q$4:Q1345&lt;&gt;""""))),""^Sell_""),INDEX(FILTER(T$4:T1344,Q$4:Q1344&lt;&gt;""""),ROWS(FILTER(Q$4:Q1344,Q$4:Q1344&lt;&gt;""""))),$AD$5+S1345))"),"")</f>
        <v/>
      </c>
      <c r="U1345" s="10" t="str">
        <f>IFERROR(__xludf.DUMMYFUNCTION("IF(COUNTA(Q1345:Q1350)=0,"""",IF(Q1345="""",0,IF(REGEXMATCH(Q1345,""^Sell_""),-ROUNDDOWN(ROUNDUP(INDEX(Upgrades!$C$3:$C$13,MATCH(SUBSTITUTE(Q1345,""Sell_"",""""),Upgrades!$B$3:$B$13,0))*1.15^(COUNTIF(Q$4:Q1344,SUBSTITUTE(Q1345,""Sell_"",""""))-COUNTIF(Q$4"&amp;":Q1344,""Sell_""&amp;SUBSTITUTE(Q1345,""Sell_"",""""))))/2),ROUNDUP(INDEX(Upgrades!$C$3:$C$13,MATCH(Q1345,Upgrades!$B$3:$B$13,0))*1.15^(COUNTIF(Q$4:Q1344,Q1345)-COUNTIF(Q$4:Q1344,""Sell_""&amp;Q1345))))))"),"")</f>
        <v/>
      </c>
      <c r="V1345" s="10" t="str">
        <f t="shared" si="11"/>
        <v/>
      </c>
      <c r="W1345" s="68" t="str">
        <f t="shared" si="12"/>
        <v/>
      </c>
      <c r="X1345" s="59" t="str">
        <f t="shared" si="13"/>
        <v/>
      </c>
      <c r="Y1345" s="69" t="str">
        <f t="shared" si="14"/>
        <v/>
      </c>
      <c r="Z1345" s="11"/>
    </row>
    <row r="1346">
      <c r="A1346" s="8"/>
      <c r="B1346" s="56" t="str">
        <f t="shared" si="2"/>
        <v/>
      </c>
      <c r="C1346" s="57"/>
      <c r="D1346" s="10" t="str">
        <f>IFERROR(__xludf.DUMMYFUNCTION("IF(COUNTA(C1346:C1350)=0,"""",IF(ISBLANK(C1346),FALSE,IF(NOT(COUNTIF($AA$24:$AA$34,SUBSTITUTE(C1346,""Sell_"",""""))),1,IF(REGEXMATCH(C1346,""Sell_""),IF(COUNTIF(C$4:C1346,SUBSTITUTE(C1346,""Sell_"",""""))-COUNTIF(C$4:C1345,C1346)&lt;1,1),FALSE))))"),"")</f>
        <v/>
      </c>
      <c r="E1346" s="59" t="str">
        <f t="array" ref="E1346">IF(COUNTA(C1346:C1350)=0,"",SUM((COUNTIF(C$4:C1346,Upgrades!$B$3:$B$13)-COUNTIF(C$4:C1346,"Sell_"&amp;Upgrades!$B$3:$B$13))*Upgrades!$D$3:$D$13))</f>
        <v/>
      </c>
      <c r="F1346" s="66" t="str">
        <f>IFERROR(__xludf.DUMMYFUNCTION("IF(COUNTA(C1346:C1350)=0,"""",IF(REGEXMATCH(INDEX(FILTER(C$4:C1346,C$4:C1346&lt;&gt;""""),ROWS(FILTER(C$4:C1346,C$4:C1346&lt;&gt;""""))),""^Sell_""),INDEX(FILTER(F$4:F1345,C$4:C1345&lt;&gt;""""),ROWS(FILTER(C$4:C1345,C$4:C1345&lt;&gt;""""))),$AC$5+E1346))"),"")</f>
        <v/>
      </c>
      <c r="G1346" s="10" t="str">
        <f>IFERROR(__xludf.DUMMYFUNCTION("IF(COUNTA(C1346:C1350)=0,"""",IF(C1346="""",0,IF(REGEXMATCH(C1346,""^Sell_""),-ROUNDDOWN(ROUNDUP(INDEX(Upgrades!$C$3:$C$13,MATCH(SUBSTITUTE(C1346,""Sell_"",""""),Upgrades!$B$3:$B$13,0))*1.15^(COUNTIF(C$4:C1345,SUBSTITUTE(C1346,""Sell_"",""""))-COUNTIF(C$4"&amp;":C1345,""Sell_""&amp;SUBSTITUTE(C1346,""Sell_"",""""))))/2),ROUNDUP(INDEX(Upgrades!$C$3:$C$13,MATCH(C1346,Upgrades!$B$3:$B$13,0))*1.15^(COUNTIF(C$4:C1345,C1346)-COUNTIF(C$4:C1345,""Sell_""&amp;C1346))))))"),"")</f>
        <v/>
      </c>
      <c r="H1346" s="10" t="str">
        <f t="shared" si="3"/>
        <v/>
      </c>
      <c r="I1346" s="68" t="str">
        <f t="shared" si="4"/>
        <v/>
      </c>
      <c r="J1346" s="59" t="str">
        <f t="shared" si="5"/>
        <v/>
      </c>
      <c r="K1346" s="69" t="str">
        <f t="shared" si="6"/>
        <v/>
      </c>
      <c r="L1346" s="60" t="str">
        <f t="shared" si="7"/>
        <v/>
      </c>
      <c r="M1346" s="61" t="str">
        <f>IFERROR(__xludf.DUMMYFUNCTION("IFS(AND(COUNTA(C1346:C1350)=0,COUNTA(Q1346:Q1350)=0),"""",OR(AND(K1346&gt;=1000000000,OR(Y1346&gt;=1000000000,COUNTA(Q1346:Q1350)=0)),OR(Y1346&gt;=1000000000,AND(COUNTA(C1346:C1350)=0,P$3=TRUE))),
ROUNDDOWN((AB$1-AC$1)*MAX(INDEX(T$4:T1350,MATCH(LARGE(FILTER(Y$4:Y1"&amp;"350,Y$4:Y1350&lt;1000000000),1),Y$4:Y1350)),INDEX(F$4:F1350,MATCH(LARGE(FILTER(K$4:K1350,K$4:K1350&lt;1000000000),1),K$4:K1350)))),AND(K1346&lt;1000000000,COUNTA(C1346:C1350)&gt;0,P$3=FALSE),
ROUNDDOWN(INDEX(Y$4:Y1350,MATCH(LARGE(FILTER(W$4:W1350,W$4:W1350&lt;=I1346),1)"&amp;",W$4:W1350))+(I1346-LARGE(FILTER(W$4:W1350,W$4:W1350&lt;=I1346),1))*INDEX(T$4:T1350,MATCH(LARGE(FILTER(W$4:W1350,W$4:W1350&lt;=I1346),1),W$4:W1350))-K1346),1,
ROUNDDOWN(Y1346-INDEX(K$4:K1350,MATCH(LARGE(FILTER(I$4:I1350,I$4:I1350&lt;=W1346),1),I$4:I1350))-(W1346-L"&amp;"ARGE(FILTER(I$4:I1350,I$4:I1350&lt;=W1346),1))*INDEX(F$4:F1350,MATCH(LARGE(FILTER(I$4:I1350,I$4:I1350&lt;=W1346),1),I$4:I1350))))"),"")</f>
        <v/>
      </c>
      <c r="N1346" s="60" t="str">
        <f t="shared" si="8"/>
        <v/>
      </c>
      <c r="O1346" s="61" t="str">
        <f t="shared" si="9"/>
        <v/>
      </c>
      <c r="P1346" s="56" t="str">
        <f t="shared" si="10"/>
        <v/>
      </c>
      <c r="Q1346" s="62"/>
      <c r="R1346" s="10" t="str">
        <f>IFERROR(__xludf.DUMMYFUNCTION("IF(COUNTA(Q1346:Q1350)=0,"""",IF(ISBLANK(Q1346),FALSE,IF(NOT(COUNTIF($AA$24:$AA$34,SUBSTITUTE(Q1346,""Sell_"",""""))),1,IF(REGEXMATCH(Q1346,""Sell_""),IF(COUNTIF(Q$4:Q1346,SUBSTITUTE(Q1346,""Sell_"",""""))-COUNTIF(Q$4:Q1345,Q1346)&lt;1,1),FALSE))))"),"")</f>
        <v/>
      </c>
      <c r="S1346" s="59" t="str">
        <f t="array" ref="S1346">IF(COUNTA(Q1346:Q1350)=0,"",SUM((COUNTIF(Q$4:Q1346,Upgrades!$B$3:$B$13)-COUNTIF(Q$4:Q1346,"Sell_"&amp;Upgrades!$B$3:$B$13))*Upgrades!$D$3:$D$13))</f>
        <v/>
      </c>
      <c r="T1346" s="66" t="str">
        <f>IFERROR(__xludf.DUMMYFUNCTION("IF(COUNTA(Q1346:Q1350)=0,"""",IF(REGEXMATCH(INDEX(FILTER(Q$4:Q1346,Q$4:Q1346&lt;&gt;""""),ROWS(FILTER(Q$4:Q1346,Q$4:Q1346&lt;&gt;""""))),""^Sell_""),INDEX(FILTER(T$4:T1345,Q$4:Q1345&lt;&gt;""""),ROWS(FILTER(Q$4:Q1345,Q$4:Q1345&lt;&gt;""""))),$AD$5+S1346))"),"")</f>
        <v/>
      </c>
      <c r="U1346" s="10" t="str">
        <f>IFERROR(__xludf.DUMMYFUNCTION("IF(COUNTA(Q1346:Q1350)=0,"""",IF(Q1346="""",0,IF(REGEXMATCH(Q1346,""^Sell_""),-ROUNDDOWN(ROUNDUP(INDEX(Upgrades!$C$3:$C$13,MATCH(SUBSTITUTE(Q1346,""Sell_"",""""),Upgrades!$B$3:$B$13,0))*1.15^(COUNTIF(Q$4:Q1345,SUBSTITUTE(Q1346,""Sell_"",""""))-COUNTIF(Q$4"&amp;":Q1345,""Sell_""&amp;SUBSTITUTE(Q1346,""Sell_"",""""))))/2),ROUNDUP(INDEX(Upgrades!$C$3:$C$13,MATCH(Q1346,Upgrades!$B$3:$B$13,0))*1.15^(COUNTIF(Q$4:Q1345,Q1346)-COUNTIF(Q$4:Q1345,""Sell_""&amp;Q1346))))))"),"")</f>
        <v/>
      </c>
      <c r="V1346" s="10" t="str">
        <f t="shared" si="11"/>
        <v/>
      </c>
      <c r="W1346" s="68" t="str">
        <f t="shared" si="12"/>
        <v/>
      </c>
      <c r="X1346" s="59" t="str">
        <f t="shared" si="13"/>
        <v/>
      </c>
      <c r="Y1346" s="69" t="str">
        <f t="shared" si="14"/>
        <v/>
      </c>
      <c r="Z1346" s="11"/>
    </row>
    <row r="1347">
      <c r="A1347" s="8"/>
      <c r="B1347" s="56" t="str">
        <f t="shared" si="2"/>
        <v/>
      </c>
      <c r="C1347" s="57"/>
      <c r="D1347" s="10" t="str">
        <f>IFERROR(__xludf.DUMMYFUNCTION("IF(COUNTA(C1347:C1350)=0,"""",IF(ISBLANK(C1347),FALSE,IF(NOT(COUNTIF($AA$24:$AA$34,SUBSTITUTE(C1347,""Sell_"",""""))),1,IF(REGEXMATCH(C1347,""Sell_""),IF(COUNTIF(C$4:C1347,SUBSTITUTE(C1347,""Sell_"",""""))-COUNTIF(C$4:C1346,C1347)&lt;1,1),FALSE))))"),"")</f>
        <v/>
      </c>
      <c r="E1347" s="59" t="str">
        <f t="array" ref="E1347">IF(COUNTA(C1347:C1350)=0,"",SUM((COUNTIF(C$4:C1347,Upgrades!$B$3:$B$13)-COUNTIF(C$4:C1347,"Sell_"&amp;Upgrades!$B$3:$B$13))*Upgrades!$D$3:$D$13))</f>
        <v/>
      </c>
      <c r="F1347" s="66" t="str">
        <f>IFERROR(__xludf.DUMMYFUNCTION("IF(COUNTA(C1347:C1350)=0,"""",IF(REGEXMATCH(INDEX(FILTER(C$4:C1347,C$4:C1347&lt;&gt;""""),ROWS(FILTER(C$4:C1347,C$4:C1347&lt;&gt;""""))),""^Sell_""),INDEX(FILTER(F$4:F1346,C$4:C1346&lt;&gt;""""),ROWS(FILTER(C$4:C1346,C$4:C1346&lt;&gt;""""))),$AC$5+E1347))"),"")</f>
        <v/>
      </c>
      <c r="G1347" s="10" t="str">
        <f>IFERROR(__xludf.DUMMYFUNCTION("IF(COUNTA(C1347:C1350)=0,"""",IF(C1347="""",0,IF(REGEXMATCH(C1347,""^Sell_""),-ROUNDDOWN(ROUNDUP(INDEX(Upgrades!$C$3:$C$13,MATCH(SUBSTITUTE(C1347,""Sell_"",""""),Upgrades!$B$3:$B$13,0))*1.15^(COUNTIF(C$4:C1346,SUBSTITUTE(C1347,""Sell_"",""""))-COUNTIF(C$4"&amp;":C1346,""Sell_""&amp;SUBSTITUTE(C1347,""Sell_"",""""))))/2),ROUNDUP(INDEX(Upgrades!$C$3:$C$13,MATCH(C1347,Upgrades!$B$3:$B$13,0))*1.15^(COUNTIF(C$4:C1346,C1347)-COUNTIF(C$4:C1346,""Sell_""&amp;C1347))))))"),"")</f>
        <v/>
      </c>
      <c r="H1347" s="10" t="str">
        <f t="shared" si="3"/>
        <v/>
      </c>
      <c r="I1347" s="68" t="str">
        <f t="shared" si="4"/>
        <v/>
      </c>
      <c r="J1347" s="59" t="str">
        <f t="shared" si="5"/>
        <v/>
      </c>
      <c r="K1347" s="69" t="str">
        <f t="shared" si="6"/>
        <v/>
      </c>
      <c r="L1347" s="60" t="str">
        <f t="shared" si="7"/>
        <v/>
      </c>
      <c r="M1347" s="61" t="str">
        <f>IFERROR(__xludf.DUMMYFUNCTION("IFS(AND(COUNTA(C1347:C1350)=0,COUNTA(Q1347:Q1350)=0),"""",OR(AND(K1347&gt;=1000000000,OR(Y1347&gt;=1000000000,COUNTA(Q1347:Q1350)=0)),OR(Y1347&gt;=1000000000,AND(COUNTA(C1347:C1350)=0,P$3=TRUE))),
ROUNDDOWN((AB$1-AC$1)*MAX(INDEX(T$4:T1350,MATCH(LARGE(FILTER(Y$4:Y1"&amp;"350,Y$4:Y1350&lt;1000000000),1),Y$4:Y1350)),INDEX(F$4:F1350,MATCH(LARGE(FILTER(K$4:K1350,K$4:K1350&lt;1000000000),1),K$4:K1350)))),AND(K1347&lt;1000000000,COUNTA(C1347:C1350)&gt;0,P$3=FALSE),
ROUNDDOWN(INDEX(Y$4:Y1350,MATCH(LARGE(FILTER(W$4:W1350,W$4:W1350&lt;=I1347),1)"&amp;",W$4:W1350))+(I1347-LARGE(FILTER(W$4:W1350,W$4:W1350&lt;=I1347),1))*INDEX(T$4:T1350,MATCH(LARGE(FILTER(W$4:W1350,W$4:W1350&lt;=I1347),1),W$4:W1350))-K1347),1,
ROUNDDOWN(Y1347-INDEX(K$4:K1350,MATCH(LARGE(FILTER(I$4:I1350,I$4:I1350&lt;=W1347),1),I$4:I1350))-(W1347-L"&amp;"ARGE(FILTER(I$4:I1350,I$4:I1350&lt;=W1347),1))*INDEX(F$4:F1350,MATCH(LARGE(FILTER(I$4:I1350,I$4:I1350&lt;=W1347),1),I$4:I1350))))"),"")</f>
        <v/>
      </c>
      <c r="N1347" s="60" t="str">
        <f t="shared" si="8"/>
        <v/>
      </c>
      <c r="O1347" s="61" t="str">
        <f t="shared" si="9"/>
        <v/>
      </c>
      <c r="P1347" s="56" t="str">
        <f t="shared" si="10"/>
        <v/>
      </c>
      <c r="Q1347" s="62"/>
      <c r="R1347" s="10" t="str">
        <f>IFERROR(__xludf.DUMMYFUNCTION("IF(COUNTA(Q1347:Q1350)=0,"""",IF(ISBLANK(Q1347),FALSE,IF(NOT(COUNTIF($AA$24:$AA$34,SUBSTITUTE(Q1347,""Sell_"",""""))),1,IF(REGEXMATCH(Q1347,""Sell_""),IF(COUNTIF(Q$4:Q1347,SUBSTITUTE(Q1347,""Sell_"",""""))-COUNTIF(Q$4:Q1346,Q1347)&lt;1,1),FALSE))))"),"")</f>
        <v/>
      </c>
      <c r="S1347" s="59" t="str">
        <f t="array" ref="S1347">IF(COUNTA(Q1347:Q1350)=0,"",SUM((COUNTIF(Q$4:Q1347,Upgrades!$B$3:$B$13)-COUNTIF(Q$4:Q1347,"Sell_"&amp;Upgrades!$B$3:$B$13))*Upgrades!$D$3:$D$13))</f>
        <v/>
      </c>
      <c r="T1347" s="66" t="str">
        <f>IFERROR(__xludf.DUMMYFUNCTION("IF(COUNTA(Q1347:Q1350)=0,"""",IF(REGEXMATCH(INDEX(FILTER(Q$4:Q1347,Q$4:Q1347&lt;&gt;""""),ROWS(FILTER(Q$4:Q1347,Q$4:Q1347&lt;&gt;""""))),""^Sell_""),INDEX(FILTER(T$4:T1346,Q$4:Q1346&lt;&gt;""""),ROWS(FILTER(Q$4:Q1346,Q$4:Q1346&lt;&gt;""""))),$AD$5+S1347))"),"")</f>
        <v/>
      </c>
      <c r="U1347" s="10" t="str">
        <f>IFERROR(__xludf.DUMMYFUNCTION("IF(COUNTA(Q1347:Q1350)=0,"""",IF(Q1347="""",0,IF(REGEXMATCH(Q1347,""^Sell_""),-ROUNDDOWN(ROUNDUP(INDEX(Upgrades!$C$3:$C$13,MATCH(SUBSTITUTE(Q1347,""Sell_"",""""),Upgrades!$B$3:$B$13,0))*1.15^(COUNTIF(Q$4:Q1346,SUBSTITUTE(Q1347,""Sell_"",""""))-COUNTIF(Q$4"&amp;":Q1346,""Sell_""&amp;SUBSTITUTE(Q1347,""Sell_"",""""))))/2),ROUNDUP(INDEX(Upgrades!$C$3:$C$13,MATCH(Q1347,Upgrades!$B$3:$B$13,0))*1.15^(COUNTIF(Q$4:Q1346,Q1347)-COUNTIF(Q$4:Q1346,""Sell_""&amp;Q1347))))))"),"")</f>
        <v/>
      </c>
      <c r="V1347" s="10" t="str">
        <f t="shared" si="11"/>
        <v/>
      </c>
      <c r="W1347" s="68" t="str">
        <f t="shared" si="12"/>
        <v/>
      </c>
      <c r="X1347" s="59" t="str">
        <f t="shared" si="13"/>
        <v/>
      </c>
      <c r="Y1347" s="69" t="str">
        <f t="shared" si="14"/>
        <v/>
      </c>
      <c r="Z1347" s="11"/>
    </row>
    <row r="1348">
      <c r="A1348" s="8"/>
      <c r="B1348" s="56" t="str">
        <f t="shared" si="2"/>
        <v/>
      </c>
      <c r="C1348" s="57"/>
      <c r="D1348" s="10" t="str">
        <f>IFERROR(__xludf.DUMMYFUNCTION("IF(COUNTA(C1348:C1350)=0,"""",IF(ISBLANK(C1348),FALSE,IF(NOT(COUNTIF($AA$24:$AA$34,SUBSTITUTE(C1348,""Sell_"",""""))),1,IF(REGEXMATCH(C1348,""Sell_""),IF(COUNTIF(C$4:C1348,SUBSTITUTE(C1348,""Sell_"",""""))-COUNTIF(C$4:C1347,C1348)&lt;1,1),FALSE))))"),"")</f>
        <v/>
      </c>
      <c r="E1348" s="59" t="str">
        <f t="array" ref="E1348">IF(COUNTA(C1348:C1350)=0,"",SUM((COUNTIF(C$4:C1348,Upgrades!$B$3:$B$13)-COUNTIF(C$4:C1348,"Sell_"&amp;Upgrades!$B$3:$B$13))*Upgrades!$D$3:$D$13))</f>
        <v/>
      </c>
      <c r="F1348" s="66" t="str">
        <f>IFERROR(__xludf.DUMMYFUNCTION("IF(COUNTA(C1348:C1350)=0,"""",IF(REGEXMATCH(INDEX(FILTER(C$4:C1348,C$4:C1348&lt;&gt;""""),ROWS(FILTER(C$4:C1348,C$4:C1348&lt;&gt;""""))),""^Sell_""),INDEX(FILTER(F$4:F1347,C$4:C1347&lt;&gt;""""),ROWS(FILTER(C$4:C1347,C$4:C1347&lt;&gt;""""))),$AC$5+E1348))"),"")</f>
        <v/>
      </c>
      <c r="G1348" s="10" t="str">
        <f>IFERROR(__xludf.DUMMYFUNCTION("IF(COUNTA(C1348:C1350)=0,"""",IF(C1348="""",0,IF(REGEXMATCH(C1348,""^Sell_""),-ROUNDDOWN(ROUNDUP(INDEX(Upgrades!$C$3:$C$13,MATCH(SUBSTITUTE(C1348,""Sell_"",""""),Upgrades!$B$3:$B$13,0))*1.15^(COUNTIF(C$4:C1347,SUBSTITUTE(C1348,""Sell_"",""""))-COUNTIF(C$4"&amp;":C1347,""Sell_""&amp;SUBSTITUTE(C1348,""Sell_"",""""))))/2),ROUNDUP(INDEX(Upgrades!$C$3:$C$13,MATCH(C1348,Upgrades!$B$3:$B$13,0))*1.15^(COUNTIF(C$4:C1347,C1348)-COUNTIF(C$4:C1347,""Sell_""&amp;C1348))))))"),"")</f>
        <v/>
      </c>
      <c r="H1348" s="10" t="str">
        <f t="shared" si="3"/>
        <v/>
      </c>
      <c r="I1348" s="68" t="str">
        <f t="shared" si="4"/>
        <v/>
      </c>
      <c r="J1348" s="59" t="str">
        <f t="shared" si="5"/>
        <v/>
      </c>
      <c r="K1348" s="69" t="str">
        <f t="shared" si="6"/>
        <v/>
      </c>
      <c r="L1348" s="60" t="str">
        <f t="shared" si="7"/>
        <v/>
      </c>
      <c r="M1348" s="61" t="str">
        <f>IFERROR(__xludf.DUMMYFUNCTION("IFS(AND(COUNTA(C1348:C1350)=0,COUNTA(Q1348:Q1350)=0),"""",OR(AND(K1348&gt;=1000000000,OR(Y1348&gt;=1000000000,COUNTA(Q1348:Q1350)=0)),OR(Y1348&gt;=1000000000,AND(COUNTA(C1348:C1350)=0,P$3=TRUE))),
ROUNDDOWN((AB$1-AC$1)*MAX(INDEX(T$4:T1350,MATCH(LARGE(FILTER(Y$4:Y1"&amp;"350,Y$4:Y1350&lt;1000000000),1),Y$4:Y1350)),INDEX(F$4:F1350,MATCH(LARGE(FILTER(K$4:K1350,K$4:K1350&lt;1000000000),1),K$4:K1350)))),AND(K1348&lt;1000000000,COUNTA(C1348:C1350)&gt;0,P$3=FALSE),
ROUNDDOWN(INDEX(Y$4:Y1350,MATCH(LARGE(FILTER(W$4:W1350,W$4:W1350&lt;=I1348),1)"&amp;",W$4:W1350))+(I1348-LARGE(FILTER(W$4:W1350,W$4:W1350&lt;=I1348),1))*INDEX(T$4:T1350,MATCH(LARGE(FILTER(W$4:W1350,W$4:W1350&lt;=I1348),1),W$4:W1350))-K1348),1,
ROUNDDOWN(Y1348-INDEX(K$4:K1350,MATCH(LARGE(FILTER(I$4:I1350,I$4:I1350&lt;=W1348),1),I$4:I1350))-(W1348-L"&amp;"ARGE(FILTER(I$4:I1350,I$4:I1350&lt;=W1348),1))*INDEX(F$4:F1350,MATCH(LARGE(FILTER(I$4:I1350,I$4:I1350&lt;=W1348),1),I$4:I1350))))"),"")</f>
        <v/>
      </c>
      <c r="N1348" s="60" t="str">
        <f t="shared" si="8"/>
        <v/>
      </c>
      <c r="O1348" s="61" t="str">
        <f t="shared" si="9"/>
        <v/>
      </c>
      <c r="P1348" s="56" t="str">
        <f t="shared" si="10"/>
        <v/>
      </c>
      <c r="Q1348" s="62"/>
      <c r="R1348" s="10" t="str">
        <f>IFERROR(__xludf.DUMMYFUNCTION("IF(COUNTA(Q1348:Q1350)=0,"""",IF(ISBLANK(Q1348),FALSE,IF(NOT(COUNTIF($AA$24:$AA$34,SUBSTITUTE(Q1348,""Sell_"",""""))),1,IF(REGEXMATCH(Q1348,""Sell_""),IF(COUNTIF(Q$4:Q1348,SUBSTITUTE(Q1348,""Sell_"",""""))-COUNTIF(Q$4:Q1347,Q1348)&lt;1,1),FALSE))))"),"")</f>
        <v/>
      </c>
      <c r="S1348" s="59" t="str">
        <f t="array" ref="S1348">IF(COUNTA(Q1348:Q1350)=0,"",SUM((COUNTIF(Q$4:Q1348,Upgrades!$B$3:$B$13)-COUNTIF(Q$4:Q1348,"Sell_"&amp;Upgrades!$B$3:$B$13))*Upgrades!$D$3:$D$13))</f>
        <v/>
      </c>
      <c r="T1348" s="66" t="str">
        <f>IFERROR(__xludf.DUMMYFUNCTION("IF(COUNTA(Q1348:Q1350)=0,"""",IF(REGEXMATCH(INDEX(FILTER(Q$4:Q1348,Q$4:Q1348&lt;&gt;""""),ROWS(FILTER(Q$4:Q1348,Q$4:Q1348&lt;&gt;""""))),""^Sell_""),INDEX(FILTER(T$4:T1347,Q$4:Q1347&lt;&gt;""""),ROWS(FILTER(Q$4:Q1347,Q$4:Q1347&lt;&gt;""""))),$AD$5+S1348))"),"")</f>
        <v/>
      </c>
      <c r="U1348" s="10" t="str">
        <f>IFERROR(__xludf.DUMMYFUNCTION("IF(COUNTA(Q1348:Q1350)=0,"""",IF(Q1348="""",0,IF(REGEXMATCH(Q1348,""^Sell_""),-ROUNDDOWN(ROUNDUP(INDEX(Upgrades!$C$3:$C$13,MATCH(SUBSTITUTE(Q1348,""Sell_"",""""),Upgrades!$B$3:$B$13,0))*1.15^(COUNTIF(Q$4:Q1347,SUBSTITUTE(Q1348,""Sell_"",""""))-COUNTIF(Q$4"&amp;":Q1347,""Sell_""&amp;SUBSTITUTE(Q1348,""Sell_"",""""))))/2),ROUNDUP(INDEX(Upgrades!$C$3:$C$13,MATCH(Q1348,Upgrades!$B$3:$B$13,0))*1.15^(COUNTIF(Q$4:Q1347,Q1348)-COUNTIF(Q$4:Q1347,""Sell_""&amp;Q1348))))))"),"")</f>
        <v/>
      </c>
      <c r="V1348" s="10" t="str">
        <f t="shared" si="11"/>
        <v/>
      </c>
      <c r="W1348" s="68" t="str">
        <f t="shared" si="12"/>
        <v/>
      </c>
      <c r="X1348" s="59" t="str">
        <f t="shared" si="13"/>
        <v/>
      </c>
      <c r="Y1348" s="69" t="str">
        <f t="shared" si="14"/>
        <v/>
      </c>
      <c r="Z1348" s="11"/>
    </row>
    <row r="1349">
      <c r="A1349" s="8"/>
      <c r="B1349" s="56" t="str">
        <f t="shared" si="2"/>
        <v/>
      </c>
      <c r="C1349" s="57"/>
      <c r="D1349" s="10" t="str">
        <f>IFERROR(__xludf.DUMMYFUNCTION("IF(COUNTA(C1349:C1350)=0,"""",IF(ISBLANK(C1349),FALSE,IF(NOT(COUNTIF($AA$24:$AA$34,SUBSTITUTE(C1349,""Sell_"",""""))),1,IF(REGEXMATCH(C1349,""Sell_""),IF(COUNTIF(C$4:C1349,SUBSTITUTE(C1349,""Sell_"",""""))-COUNTIF(C$4:C1348,C1349)&lt;1,1),FALSE))))"),"")</f>
        <v/>
      </c>
      <c r="E1349" s="59" t="str">
        <f t="array" ref="E1349">IF(COUNTA(C1349:C1350)=0,"",SUM((COUNTIF(C$4:C1349,Upgrades!$B$3:$B$13)-COUNTIF(C$4:C1349,"Sell_"&amp;Upgrades!$B$3:$B$13))*Upgrades!$D$3:$D$13))</f>
        <v/>
      </c>
      <c r="F1349" s="66" t="str">
        <f>IFERROR(__xludf.DUMMYFUNCTION("IF(COUNTA(C1349:C1350)=0,"""",IF(REGEXMATCH(INDEX(FILTER(C$4:C1349,C$4:C1349&lt;&gt;""""),ROWS(FILTER(C$4:C1349,C$4:C1349&lt;&gt;""""))),""^Sell_""),INDEX(FILTER(F$4:F1348,C$4:C1348&lt;&gt;""""),ROWS(FILTER(C$4:C1348,C$4:C1348&lt;&gt;""""))),$AC$5+E1349))"),"")</f>
        <v/>
      </c>
      <c r="G1349" s="10" t="str">
        <f>IFERROR(__xludf.DUMMYFUNCTION("IF(COUNTA(C1349:C1350)=0,"""",IF(C1349="""",0,IF(REGEXMATCH(C1349,""^Sell_""),-ROUNDDOWN(ROUNDUP(INDEX(Upgrades!$C$3:$C$13,MATCH(SUBSTITUTE(C1349,""Sell_"",""""),Upgrades!$B$3:$B$13,0))*1.15^(COUNTIF(C$4:C1348,SUBSTITUTE(C1349,""Sell_"",""""))-COUNTIF(C$4"&amp;":C1348,""Sell_""&amp;SUBSTITUTE(C1349,""Sell_"",""""))))/2),ROUNDUP(INDEX(Upgrades!$C$3:$C$13,MATCH(C1349,Upgrades!$B$3:$B$13,0))*1.15^(COUNTIF(C$4:C1348,C1349)-COUNTIF(C$4:C1348,""Sell_""&amp;C1349))))))"),"")</f>
        <v/>
      </c>
      <c r="H1349" s="10" t="str">
        <f t="shared" si="3"/>
        <v/>
      </c>
      <c r="I1349" s="68" t="str">
        <f t="shared" si="4"/>
        <v/>
      </c>
      <c r="J1349" s="59" t="str">
        <f t="shared" si="5"/>
        <v/>
      </c>
      <c r="K1349" s="69" t="str">
        <f t="shared" si="6"/>
        <v/>
      </c>
      <c r="L1349" s="60" t="str">
        <f t="shared" si="7"/>
        <v/>
      </c>
      <c r="M1349" s="61" t="str">
        <f>IFERROR(__xludf.DUMMYFUNCTION("IFS(AND(COUNTA(C1349:C1350)=0,COUNTA(Q1349:Q1350)=0),"""",OR(AND(K1349&gt;=1000000000,OR(Y1349&gt;=1000000000,COUNTA(Q1349:Q1350)=0)),OR(Y1349&gt;=1000000000,AND(COUNTA(C1349:C1350)=0,P$3=TRUE))),
ROUNDDOWN((AB$1-AC$1)*MAX(INDEX(T$4:T1350,MATCH(LARGE(FILTER(Y$4:Y1"&amp;"350,Y$4:Y1350&lt;1000000000),1),Y$4:Y1350)),INDEX(F$4:F1350,MATCH(LARGE(FILTER(K$4:K1350,K$4:K1350&lt;1000000000),1),K$4:K1350)))),AND(K1349&lt;1000000000,COUNTA(C1349:C1350)&gt;0,P$3=FALSE),
ROUNDDOWN(INDEX(Y$4:Y1350,MATCH(LARGE(FILTER(W$4:W1350,W$4:W1350&lt;=I1349),1)"&amp;",W$4:W1350))+(I1349-LARGE(FILTER(W$4:W1350,W$4:W1350&lt;=I1349),1))*INDEX(T$4:T1350,MATCH(LARGE(FILTER(W$4:W1350,W$4:W1350&lt;=I1349),1),W$4:W1350))-K1349),1,
ROUNDDOWN(Y1349-INDEX(K$4:K1350,MATCH(LARGE(FILTER(I$4:I1350,I$4:I1350&lt;=W1349),1),I$4:I1350))-(W1349-L"&amp;"ARGE(FILTER(I$4:I1350,I$4:I1350&lt;=W1349),1))*INDEX(F$4:F1350,MATCH(LARGE(FILTER(I$4:I1350,I$4:I1350&lt;=W1349),1),I$4:I1350))))"),"")</f>
        <v/>
      </c>
      <c r="N1349" s="60" t="str">
        <f t="shared" si="8"/>
        <v/>
      </c>
      <c r="O1349" s="61" t="str">
        <f t="shared" si="9"/>
        <v/>
      </c>
      <c r="P1349" s="56" t="str">
        <f t="shared" si="10"/>
        <v/>
      </c>
      <c r="Q1349" s="62"/>
      <c r="R1349" s="10" t="str">
        <f>IFERROR(__xludf.DUMMYFUNCTION("IF(COUNTA(Q1349:Q1350)=0,"""",IF(ISBLANK(Q1349),FALSE,IF(NOT(COUNTIF($AA$24:$AA$34,SUBSTITUTE(Q1349,""Sell_"",""""))),1,IF(REGEXMATCH(Q1349,""Sell_""),IF(COUNTIF(Q$4:Q1349,SUBSTITUTE(Q1349,""Sell_"",""""))-COUNTIF(Q$4:Q1348,Q1349)&lt;1,1),FALSE))))"),"")</f>
        <v/>
      </c>
      <c r="S1349" s="59" t="str">
        <f t="array" ref="S1349">IF(COUNTA(Q1349:Q1350)=0,"",SUM((COUNTIF(Q$4:Q1349,Upgrades!$B$3:$B$13)-COUNTIF(Q$4:Q1349,"Sell_"&amp;Upgrades!$B$3:$B$13))*Upgrades!$D$3:$D$13))</f>
        <v/>
      </c>
      <c r="T1349" s="66" t="str">
        <f>IFERROR(__xludf.DUMMYFUNCTION("IF(COUNTA(Q1349:Q1350)=0,"""",IF(REGEXMATCH(INDEX(FILTER(Q$4:Q1349,Q$4:Q1349&lt;&gt;""""),ROWS(FILTER(Q$4:Q1349,Q$4:Q1349&lt;&gt;""""))),""^Sell_""),INDEX(FILTER(T$4:T1348,Q$4:Q1348&lt;&gt;""""),ROWS(FILTER(Q$4:Q1348,Q$4:Q1348&lt;&gt;""""))),$AD$5+S1349))"),"")</f>
        <v/>
      </c>
      <c r="U1349" s="10" t="str">
        <f>IFERROR(__xludf.DUMMYFUNCTION("IF(COUNTA(Q1349:Q1350)=0,"""",IF(Q1349="""",0,IF(REGEXMATCH(Q1349,""^Sell_""),-ROUNDDOWN(ROUNDUP(INDEX(Upgrades!$C$3:$C$13,MATCH(SUBSTITUTE(Q1349,""Sell_"",""""),Upgrades!$B$3:$B$13,0))*1.15^(COUNTIF(Q$4:Q1348,SUBSTITUTE(Q1349,""Sell_"",""""))-COUNTIF(Q$4"&amp;":Q1348,""Sell_""&amp;SUBSTITUTE(Q1349,""Sell_"",""""))))/2),ROUNDUP(INDEX(Upgrades!$C$3:$C$13,MATCH(Q1349,Upgrades!$B$3:$B$13,0))*1.15^(COUNTIF(Q$4:Q1348,Q1349)-COUNTIF(Q$4:Q1348,""Sell_""&amp;Q1349))))))"),"")</f>
        <v/>
      </c>
      <c r="V1349" s="10" t="str">
        <f t="shared" si="11"/>
        <v/>
      </c>
      <c r="W1349" s="68" t="str">
        <f t="shared" si="12"/>
        <v/>
      </c>
      <c r="X1349" s="59" t="str">
        <f t="shared" si="13"/>
        <v/>
      </c>
      <c r="Y1349" s="69" t="str">
        <f t="shared" si="14"/>
        <v/>
      </c>
      <c r="Z1349" s="11"/>
    </row>
    <row r="1350">
      <c r="A1350" s="8"/>
      <c r="B1350" s="56" t="str">
        <f t="shared" si="2"/>
        <v/>
      </c>
      <c r="C1350" s="57"/>
      <c r="D1350" s="10" t="str">
        <f>IFERROR(__xludf.DUMMYFUNCTION("IF(COUNTA(C1350)=0,"""",IF(ISBLANK(C1350),FALSE,IF(NOT(COUNTIF($AA$24:$AA$34,SUBSTITUTE(C1350,""Sell_"",""""))),1,IF(REGEXMATCH(C1350,""Sell_""),IF(COUNTIF(C$4:C1350,SUBSTITUTE(C1350,""Sell_"",""""))-COUNTIF(C$4:C1349,C1350)&lt;1,1),FALSE))))"),"")</f>
        <v/>
      </c>
      <c r="E1350" s="59" t="str">
        <f t="array" ref="E1350">IF(COUNTA(C1350)=0,"",SUM((COUNTIF(C$4:C1350,Upgrades!$B$3:$B$13)-COUNTIF(C$4:C1350,"Sell_"&amp;Upgrades!$B$3:$B$13))*Upgrades!$D$3:$D$13))</f>
        <v/>
      </c>
      <c r="F1350" s="66" t="str">
        <f>IFERROR(__xludf.DUMMYFUNCTION("IF(COUNTA(C1350)=0,"""",IF(REGEXMATCH(INDEX(FILTER(C$4:C1350,C$4:C1350&lt;&gt;""""),ROWS(FILTER(C$4:C1350,C$4:C1350&lt;&gt;""""))),""^Sell_""),INDEX(FILTER(F$4:F1349,C$4:C1349&lt;&gt;""""),ROWS(FILTER(C$4:C1349,C$4:C1349&lt;&gt;""""))),$AC$5+E1350))"),"")</f>
        <v/>
      </c>
      <c r="G1350" s="10" t="str">
        <f>IFERROR(__xludf.DUMMYFUNCTION("IF(COUNTA(C1350)=0,"""",IF(C1350="""",0,IF(REGEXMATCH(C1350,""^Sell_""),-ROUNDDOWN(ROUNDUP(INDEX(Upgrades!$C$3:$C$13,MATCH(SUBSTITUTE(C1350,""Sell_"",""""),Upgrades!$B$3:$B$13,0))*1.15^(COUNTIF(C$4:C1349,SUBSTITUTE(C1350,""Sell_"",""""))-COUNTIF(C$4:C1349"&amp;",""Sell_""&amp;SUBSTITUTE(C1350,""Sell_"",""""))))/2),ROUNDUP(INDEX(Upgrades!$C$3:$C$13,MATCH(C1350,Upgrades!$B$3:$B$13,0))*1.15^(COUNTIF(C$4:C1349,C1350)-COUNTIF(C$4:C1349,""Sell_""&amp;C1350))))))"),"")</f>
        <v/>
      </c>
      <c r="H1350" s="10" t="str">
        <f t="shared" si="3"/>
        <v/>
      </c>
      <c r="I1350" s="68" t="str">
        <f t="shared" si="4"/>
        <v/>
      </c>
      <c r="J1350" s="59" t="str">
        <f t="shared" si="5"/>
        <v/>
      </c>
      <c r="K1350" s="69" t="str">
        <f t="shared" si="6"/>
        <v/>
      </c>
      <c r="L1350" s="60" t="str">
        <f t="shared" si="7"/>
        <v/>
      </c>
      <c r="M1350" s="61" t="str">
        <f>IFERROR(__xludf.DUMMYFUNCTION("IFS(AND(COUNTA(C1350)=0,COUNTA(Q1350)=0),"""",OR(AND(K1350&gt;=1000000000,OR(Y1350&gt;=1000000000,COUNTA(Q1350)=0)),OR(Y1350&gt;=1000000000,AND(COUNTA(C1350)=0,P$3=TRUE))),
ROUNDDOWN((AB$1-AC$1)*MAX(INDEX(T$4:T1350,MATCH(LARGE(FILTER(Y$4:Y1350,Y$4:Y1350&lt;1000000000"&amp;"),1),Y$4:Y1350)),INDEX(F$4:F1350,MATCH(LARGE(FILTER(K$4:K1350,K$4:K1350&lt;1000000000),1),K$4:K1350)))),AND(K1350&lt;1000000000,COUNTA(C1350)&gt;0,P$3=FALSE),
ROUNDDOWN(INDEX(Y$4:Y1350,MATCH(LARGE(FILTER(W$4:W1350,W$4:W1350&lt;=I1350),1),W$4:W1350))+(I1350-LARGE(FILT"&amp;"ER(W$4:W1350,W$4:W1350&lt;=I1350),1))*INDEX(T$4:T1350,MATCH(LARGE(FILTER(W$4:W1350,W$4:W1350&lt;=I1350),1),W$4:W1350))-K1350),1,
ROUNDDOWN(Y1350-INDEX(K$4:K1350,MATCH(LARGE(FILTER(I$4:I1350,I$4:I1350&lt;=W1350),1),I$4:I1350))-(W1350-LARGE(FILTER(I$4:I1350,I$4:I135"&amp;"0&lt;=W1350),1))*INDEX(F$4:F1350,MATCH(LARGE(FILTER(I$4:I1350,I$4:I1350&lt;=W1350),1),I$4:I1350))))"),"")</f>
        <v/>
      </c>
      <c r="N1350" s="60" t="str">
        <f t="shared" si="8"/>
        <v/>
      </c>
      <c r="O1350" s="61" t="str">
        <f t="shared" si="9"/>
        <v/>
      </c>
      <c r="P1350" s="56" t="str">
        <f t="shared" si="10"/>
        <v/>
      </c>
      <c r="Q1350" s="62"/>
      <c r="R1350" s="10" t="str">
        <f>IFERROR(__xludf.DUMMYFUNCTION("IF(COUNTA(Q1350)=0,"""",IF(ISBLANK(Q1350),FALSE,IF(NOT(COUNTIF($AA$24:$AA$34,SUBSTITUTE(Q1350,""Sell_"",""""))),1,IF(REGEXMATCH(Q1350,""Sell_""),IF(COUNTIF(Q$4:Q1350,SUBSTITUTE(Q1350,""Sell_"",""""))-COUNTIF(Q$4:Q1349,Q1350)&lt;1,1),FALSE))))"),"")</f>
        <v/>
      </c>
      <c r="S1350" s="59" t="str">
        <f t="array" ref="S1350">IF(COUNTA(Q1350)=0,"",SUM((COUNTIF(Q$4:Q1350,Upgrades!$B$3:$B$13)-COUNTIF(Q$4:Q1350,"Sell_"&amp;Upgrades!$B$3:$B$13))*Upgrades!$D$3:$D$13))</f>
        <v/>
      </c>
      <c r="T1350" s="66" t="str">
        <f>IFERROR(__xludf.DUMMYFUNCTION("IF(COUNTA(Q1350)=0,"""",IF(REGEXMATCH(INDEX(FILTER(Q$4:Q1350,Q$4:Q1350&lt;&gt;""""),ROWS(FILTER(Q$4:Q1350,Q$4:Q1350&lt;&gt;""""))),""^Sell_""),INDEX(FILTER(T$4:T1349,Q$4:Q1349&lt;&gt;""""),ROWS(FILTER(Q$4:Q1349,Q$4:Q1349&lt;&gt;""""))),$AD$5+S1350))"),"")</f>
        <v/>
      </c>
      <c r="U1350" s="10" t="str">
        <f>IFERROR(__xludf.DUMMYFUNCTION("IF(COUNTA(Q1350)=0,"""",IF(Q1350="""",0,IF(REGEXMATCH(Q1350,""^Sell_""),-ROUNDDOWN(ROUNDUP(INDEX(Upgrades!$C$3:$C$13,MATCH(SUBSTITUTE(Q1350,""Sell_"",""""),Upgrades!$B$3:$B$13,0))*1.15^(COUNTIF(Q$4:Q1349,SUBSTITUTE(Q1350,""Sell_"",""""))-COUNTIF(Q$4:Q1349"&amp;",""Sell_""&amp;SUBSTITUTE(Q1350,""Sell_"",""""))))/2),ROUNDUP(INDEX(Upgrades!$C$3:$C$13,MATCH(Q1350,Upgrades!$B$3:$B$13,0))*1.15^(COUNTIF(Q$4:Q1349,Q1350)-COUNTIF(Q$4:Q1349,""Sell_""&amp;Q1350))))))"),"")</f>
        <v/>
      </c>
      <c r="V1350" s="10" t="str">
        <f t="shared" si="11"/>
        <v/>
      </c>
      <c r="W1350" s="68" t="str">
        <f t="shared" si="12"/>
        <v/>
      </c>
      <c r="X1350" s="59" t="str">
        <f t="shared" si="13"/>
        <v/>
      </c>
      <c r="Y1350" s="69" t="str">
        <f t="shared" si="14"/>
        <v/>
      </c>
      <c r="Z1350" s="11"/>
    </row>
  </sheetData>
  <mergeCells count="10">
    <mergeCell ref="AA7:AB7"/>
    <mergeCell ref="AA39:AB39"/>
    <mergeCell ref="AD39:AE39"/>
    <mergeCell ref="AC1:AD1"/>
    <mergeCell ref="AA2:AA3"/>
    <mergeCell ref="AB2:AB3"/>
    <mergeCell ref="AC2:AD3"/>
    <mergeCell ref="AE2:AE3"/>
    <mergeCell ref="AF2:AF3"/>
    <mergeCell ref="AA5:AB5"/>
  </mergeCells>
  <conditionalFormatting sqref="L4:L1350 N4:N1350">
    <cfRule type="containsText" dxfId="0" priority="1" operator="containsText" text="-">
      <formula>NOT(ISERROR(SEARCH(("-"),(L4))))</formula>
    </cfRule>
  </conditionalFormatting>
  <conditionalFormatting sqref="L4:L1350 N4:N1350">
    <cfRule type="cellIs" dxfId="1" priority="2" operator="greaterThan">
      <formula>0</formula>
    </cfRule>
  </conditionalFormatting>
  <conditionalFormatting sqref="L4:M1350">
    <cfRule type="cellIs" dxfId="0" priority="3" operator="greaterThan">
      <formula>0</formula>
    </cfRule>
  </conditionalFormatting>
  <conditionalFormatting sqref="L4:M1350">
    <cfRule type="containsText" dxfId="1" priority="4" operator="containsText" text="-">
      <formula>NOT(ISERROR(SEARCH(("-"),(L4))))</formula>
    </cfRule>
  </conditionalFormatting>
  <conditionalFormatting sqref="AC2 AC5:AD5 AC7:AD7 AC39">
    <cfRule type="cellIs" dxfId="1" priority="5" operator="equal">
      <formula>"NO"</formula>
    </cfRule>
  </conditionalFormatting>
  <conditionalFormatting sqref="AC2 AC5:AD5 AC7:AD7 AC39">
    <cfRule type="cellIs" dxfId="0" priority="6" operator="equal">
      <formula>"YES"</formula>
    </cfRule>
  </conditionalFormatting>
  <conditionalFormatting sqref="C4:C1350 Q5:Q1350">
    <cfRule type="expression" dxfId="2" priority="7">
      <formula>D4=1</formula>
    </cfRule>
  </conditionalFormatting>
  <conditionalFormatting sqref="AC2 AC5:AD5 AC7:AD7 AC39">
    <cfRule type="cellIs" dxfId="2" priority="8" operator="lessThan">
      <formula>0</formula>
    </cfRule>
  </conditionalFormatting>
  <conditionalFormatting sqref="AF2 AD7:AE7">
    <cfRule type="containsText" dxfId="3" priority="9" operator="containsText" text="-">
      <formula>NOT(ISERROR(SEARCH(("-"),(AF2))))</formula>
    </cfRule>
  </conditionalFormatting>
  <conditionalFormatting sqref="AF2 AD7:AE7">
    <cfRule type="containsText" dxfId="4" priority="10" operator="containsText" text="+">
      <formula>NOT(ISERROR(SEARCH(("+"),(AF2))))</formula>
    </cfRule>
  </conditionalFormatting>
  <conditionalFormatting sqref="Q4:Q1350 C5:C1350">
    <cfRule type="expression" dxfId="2" priority="11">
      <formula>R4=1</formula>
    </cfRule>
  </conditionalFormatting>
  <conditionalFormatting sqref="O4:O1350">
    <cfRule type="containsText" dxfId="4" priority="12" operator="containsText" text="-">
      <formula>NOT(ISERROR(SEARCH(("-"),(O4))))</formula>
    </cfRule>
  </conditionalFormatting>
  <conditionalFormatting sqref="O4:O1350">
    <cfRule type="cellIs" dxfId="3" priority="13" operator="notEqual">
      <formula>0</formula>
    </cfRule>
  </conditionalFormatting>
  <conditionalFormatting sqref="N4:N1350">
    <cfRule type="expression" dxfId="4" priority="14">
      <formula>VALUE(N4)&gt;10000</formula>
    </cfRule>
  </conditionalFormatting>
  <conditionalFormatting sqref="AC7 AC39">
    <cfRule type="cellIs" dxfId="3" priority="15" operator="equal">
      <formula>"YES"</formula>
    </cfRule>
  </conditionalFormatting>
  <conditionalFormatting sqref="K1:K1350 Y1:Y1350">
    <cfRule type="cellIs" dxfId="1" priority="16" operator="greaterThanOrEqual">
      <formula>1000000000</formula>
    </cfRule>
  </conditionalFormatting>
  <hyperlinks>
    <hyperlink r:id="rId1" ref="AD39"/>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3" max="3" width="11.38"/>
    <col customWidth="1" min="4" max="4" width="13.13"/>
    <col customWidth="1" min="5" max="5" width="2.0"/>
  </cols>
  <sheetData>
    <row r="1" ht="11.25" customHeight="1">
      <c r="A1" s="3"/>
      <c r="B1" s="3"/>
      <c r="C1" s="4"/>
      <c r="D1" s="4"/>
      <c r="E1" s="5"/>
    </row>
    <row r="2">
      <c r="A2" s="3"/>
      <c r="B2" s="6" t="s">
        <v>0</v>
      </c>
      <c r="C2" s="7" t="s">
        <v>1</v>
      </c>
      <c r="D2" s="7" t="s">
        <v>2</v>
      </c>
      <c r="E2" s="5"/>
    </row>
    <row r="3">
      <c r="A3" s="8"/>
      <c r="B3" s="9" t="s">
        <v>3</v>
      </c>
      <c r="C3" s="10">
        <v>15.0</v>
      </c>
      <c r="D3" s="10">
        <v>0.1</v>
      </c>
      <c r="E3" s="11"/>
    </row>
    <row r="4">
      <c r="A4" s="8"/>
      <c r="B4" s="9" t="s">
        <v>4</v>
      </c>
      <c r="C4" s="10">
        <v>100.0</v>
      </c>
      <c r="D4" s="10">
        <v>0.5</v>
      </c>
      <c r="E4" s="11"/>
    </row>
    <row r="5">
      <c r="A5" s="8"/>
      <c r="B5" s="9" t="s">
        <v>5</v>
      </c>
      <c r="C5" s="10">
        <v>500.0</v>
      </c>
      <c r="D5" s="10">
        <v>4.0</v>
      </c>
      <c r="E5" s="11"/>
    </row>
    <row r="6">
      <c r="A6" s="8"/>
      <c r="B6" s="9" t="s">
        <v>6</v>
      </c>
      <c r="C6" s="10">
        <v>3000.0</v>
      </c>
      <c r="D6" s="10">
        <v>10.0</v>
      </c>
      <c r="E6" s="11"/>
    </row>
    <row r="7">
      <c r="A7" s="8"/>
      <c r="B7" s="9" t="s">
        <v>7</v>
      </c>
      <c r="C7" s="10">
        <v>10000.0</v>
      </c>
      <c r="D7" s="10">
        <v>40.0</v>
      </c>
      <c r="E7" s="11"/>
    </row>
    <row r="8">
      <c r="A8" s="8"/>
      <c r="B8" s="9" t="s">
        <v>8</v>
      </c>
      <c r="C8" s="10">
        <v>40000.0</v>
      </c>
      <c r="D8" s="10">
        <v>100.0</v>
      </c>
      <c r="E8" s="11"/>
    </row>
    <row r="9">
      <c r="A9" s="8"/>
      <c r="B9" s="9" t="s">
        <v>9</v>
      </c>
      <c r="C9" s="10">
        <v>200000.0</v>
      </c>
      <c r="D9" s="10">
        <v>400.0</v>
      </c>
      <c r="E9" s="11"/>
    </row>
    <row r="10">
      <c r="A10" s="13"/>
      <c r="B10" s="14" t="s">
        <v>10</v>
      </c>
      <c r="C10" s="10">
        <v>1666666.0</v>
      </c>
      <c r="D10" s="10">
        <v>6666.0</v>
      </c>
      <c r="E10" s="11"/>
    </row>
    <row r="11">
      <c r="A11" s="13"/>
      <c r="B11" s="14" t="s">
        <v>11</v>
      </c>
      <c r="C11" s="10">
        <v>1.23456789E8</v>
      </c>
      <c r="D11" s="10">
        <v>98765.0</v>
      </c>
      <c r="E11" s="11"/>
    </row>
    <row r="12">
      <c r="A12" s="15"/>
      <c r="B12" s="16" t="s">
        <v>12</v>
      </c>
      <c r="C12" s="16">
        <v>3.999999999E9</v>
      </c>
      <c r="D12" s="16">
        <v>999999.0</v>
      </c>
      <c r="E12" s="11"/>
    </row>
    <row r="13">
      <c r="A13" s="13"/>
      <c r="B13" s="14" t="s">
        <v>13</v>
      </c>
      <c r="C13" s="16">
        <v>7.5E10</v>
      </c>
      <c r="D13" s="16">
        <v>1.0E7</v>
      </c>
      <c r="E13" s="11"/>
    </row>
    <row r="14" ht="11.25" customHeight="1">
      <c r="A14" s="11"/>
      <c r="B14" s="11"/>
      <c r="C14" s="11"/>
      <c r="D14" s="15"/>
      <c r="E14"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0"/>
    <col customWidth="1" min="14" max="14" width="2.0"/>
  </cols>
  <sheetData>
    <row r="1" ht="11.25" customHeight="1">
      <c r="A1" s="3"/>
      <c r="B1" s="21"/>
      <c r="C1" s="21"/>
      <c r="D1" s="23"/>
      <c r="E1" s="23"/>
      <c r="F1" s="23"/>
      <c r="G1" s="23"/>
      <c r="H1" s="23"/>
      <c r="I1" s="23"/>
      <c r="J1" s="23"/>
      <c r="K1" s="23"/>
      <c r="L1" s="23"/>
      <c r="M1" s="23"/>
      <c r="N1" s="3"/>
    </row>
    <row r="2">
      <c r="A2" s="24"/>
      <c r="B2" s="29" t="str">
        <f t="array" ref="B2:ALM2">TRANSPOSE(Routes!C3:C201)</f>
        <v>dha</v>
      </c>
      <c r="C2" s="30"/>
      <c r="D2" s="31"/>
      <c r="E2" s="31"/>
      <c r="F2" s="31"/>
      <c r="G2" s="31"/>
      <c r="H2" s="31"/>
      <c r="I2" s="31"/>
      <c r="J2" s="31"/>
      <c r="K2" s="31"/>
      <c r="L2" s="31"/>
      <c r="M2" s="31"/>
      <c r="N2" s="32"/>
    </row>
    <row r="3">
      <c r="A3" s="8"/>
      <c r="B3" s="38" t="str">
        <f>IFERROR(__xludf.DUMMYFUNCTION("IFERROR(ARRAYFORMULA(TRANSPOSE(REGEXREPLACE(FILTER(Routes!D3:D201,Routes!D3:D201&lt;&gt;""""),""\D+"","""")&amp;"" Cps"")),"""")"),"10 Cps")</f>
        <v>10 Cps</v>
      </c>
      <c r="C3" s="38"/>
      <c r="D3" s="39"/>
      <c r="E3" s="39"/>
      <c r="F3" s="39"/>
      <c r="G3" s="39"/>
      <c r="H3" s="39"/>
      <c r="I3" s="39"/>
      <c r="J3" s="39"/>
      <c r="K3" s="39"/>
      <c r="L3" s="39"/>
      <c r="M3" s="39"/>
      <c r="N3" s="8"/>
    </row>
    <row r="4">
      <c r="A4" s="8"/>
      <c r="B4" s="45" t="str">
        <f>IFERROR(__xludf.DUMMYFUNCTION("ARRAYFORMULA(TRANSPOSE(TO_DATE(Routes!A3:A201)))"),"Alternative")</f>
        <v>Alternative</v>
      </c>
      <c r="C4" s="47"/>
      <c r="D4" s="49"/>
      <c r="E4" s="49"/>
      <c r="F4" s="49"/>
      <c r="G4" s="49"/>
      <c r="H4" s="49"/>
      <c r="I4" s="49"/>
      <c r="J4" s="49"/>
      <c r="K4" s="49"/>
      <c r="L4" s="49"/>
      <c r="M4" s="49"/>
      <c r="N4" s="52"/>
    </row>
    <row r="5">
      <c r="A5" s="8"/>
      <c r="B5" s="55" t="str">
        <f>IFERROR(__xludf.DUMMYFUNCTION("IFERROR(ARRAYFORMULA(TRANSPOSE(SPLIT(FILTER(Routes!B3:B201,Routes!B3:B201&lt;&gt;""""),CHAR(10)))),"""")"),"Farm")</f>
        <v>Farm</v>
      </c>
      <c r="N5" s="8"/>
    </row>
    <row r="6">
      <c r="A6" s="8"/>
      <c r="B6" s="55" t="str">
        <f>IFERROR(__xludf.DUMMYFUNCTION("""COMPUTED_VALUE"""),"Farm")</f>
        <v>Farm</v>
      </c>
      <c r="N6" s="8"/>
    </row>
    <row r="7">
      <c r="A7" s="8"/>
      <c r="B7" s="55" t="str">
        <f>IFERROR(__xludf.DUMMYFUNCTION("""COMPUTED_VALUE"""),"Farm")</f>
        <v>Farm</v>
      </c>
      <c r="N7" s="8"/>
    </row>
    <row r="8">
      <c r="A8" s="8"/>
      <c r="B8" s="55" t="str">
        <f>IFERROR(__xludf.DUMMYFUNCTION("""COMPUTED_VALUE"""),"Grandma")</f>
        <v>Grandma</v>
      </c>
      <c r="N8" s="8"/>
    </row>
    <row r="9">
      <c r="A9" s="13"/>
      <c r="B9" s="55" t="str">
        <f>IFERROR(__xludf.DUMMYFUNCTION("""COMPUTED_VALUE"""),"Cursor")</f>
        <v>Cursor</v>
      </c>
      <c r="N9" s="13"/>
    </row>
    <row r="10">
      <c r="A10" s="13"/>
      <c r="B10" s="55" t="str">
        <f>IFERROR(__xludf.DUMMYFUNCTION("""COMPUTED_VALUE"""),"Cursor")</f>
        <v>Cursor</v>
      </c>
      <c r="N10" s="13"/>
    </row>
    <row r="11">
      <c r="A11" s="15"/>
      <c r="B11" s="55" t="str">
        <f>IFERROR(__xludf.DUMMYFUNCTION("""COMPUTED_VALUE"""),"Cursor")</f>
        <v>Cursor</v>
      </c>
      <c r="N11" s="15"/>
    </row>
    <row r="12">
      <c r="A12" s="13"/>
      <c r="B12" s="55" t="str">
        <f>IFERROR(__xludf.DUMMYFUNCTION("""COMPUTED_VALUE"""),"Farm")</f>
        <v>Farm</v>
      </c>
      <c r="N12" s="13"/>
    </row>
    <row r="13">
      <c r="A13" s="11"/>
      <c r="B13" s="55" t="str">
        <f>IFERROR(__xludf.DUMMYFUNCTION("""COMPUTED_VALUE"""),"Grandma")</f>
        <v>Grandma</v>
      </c>
      <c r="N13" s="11"/>
    </row>
    <row r="14">
      <c r="A14" s="11"/>
      <c r="B14" s="55" t="str">
        <f>IFERROR(__xludf.DUMMYFUNCTION("""COMPUTED_VALUE"""),"Cursor")</f>
        <v>Cursor</v>
      </c>
      <c r="N14" s="11"/>
    </row>
    <row r="15">
      <c r="A15" s="11"/>
      <c r="B15" s="55" t="str">
        <f>IFERROR(__xludf.DUMMYFUNCTION("""COMPUTED_VALUE"""),"Farm")</f>
        <v>Farm</v>
      </c>
      <c r="N15" s="11"/>
    </row>
    <row r="16">
      <c r="A16" s="11"/>
      <c r="B16" s="55" t="str">
        <f>IFERROR(__xludf.DUMMYFUNCTION("""COMPUTED_VALUE"""),"Grandma")</f>
        <v>Grandma</v>
      </c>
      <c r="N16" s="11"/>
    </row>
    <row r="17">
      <c r="A17" s="11"/>
      <c r="B17" s="55" t="str">
        <f>IFERROR(__xludf.DUMMYFUNCTION("""COMPUTED_VALUE"""),"Cursor")</f>
        <v>Cursor</v>
      </c>
      <c r="N17" s="11"/>
    </row>
    <row r="18">
      <c r="A18" s="11"/>
      <c r="B18" s="55" t="str">
        <f>IFERROR(__xludf.DUMMYFUNCTION("""COMPUTED_VALUE"""),"Farm")</f>
        <v>Farm</v>
      </c>
      <c r="N18" s="11"/>
    </row>
    <row r="19">
      <c r="A19" s="63"/>
      <c r="B19" s="55" t="str">
        <f>IFERROR(__xludf.DUMMYFUNCTION("""COMPUTED_VALUE"""),"Grandma")</f>
        <v>Grandma</v>
      </c>
      <c r="N19" s="63"/>
    </row>
    <row r="20">
      <c r="A20" s="64"/>
      <c r="B20" s="55" t="str">
        <f>IFERROR(__xludf.DUMMYFUNCTION("""COMPUTED_VALUE"""),"Cursor")</f>
        <v>Cursor</v>
      </c>
      <c r="N20" s="64"/>
    </row>
    <row r="21">
      <c r="A21" s="15"/>
      <c r="B21" s="55" t="str">
        <f>IFERROR(__xludf.DUMMYFUNCTION("""COMPUTED_VALUE"""),"Farm")</f>
        <v>Farm</v>
      </c>
      <c r="N21" s="15"/>
    </row>
    <row r="22">
      <c r="A22" s="15"/>
      <c r="B22" s="55" t="str">
        <f>IFERROR(__xludf.DUMMYFUNCTION("""COMPUTED_VALUE"""),"Grandma")</f>
        <v>Grandma</v>
      </c>
      <c r="N22" s="15"/>
    </row>
    <row r="23">
      <c r="A23" s="15"/>
      <c r="B23" s="55" t="str">
        <f>IFERROR(__xludf.DUMMYFUNCTION("""COMPUTED_VALUE"""),"Cursor")</f>
        <v>Cursor</v>
      </c>
      <c r="N23" s="15"/>
    </row>
    <row r="24">
      <c r="A24" s="15"/>
      <c r="B24" s="55" t="str">
        <f>IFERROR(__xludf.DUMMYFUNCTION("""COMPUTED_VALUE"""),"Farm")</f>
        <v>Farm</v>
      </c>
      <c r="N24" s="15"/>
    </row>
    <row r="25">
      <c r="A25" s="15"/>
      <c r="B25" s="55" t="str">
        <f>IFERROR(__xludf.DUMMYFUNCTION("""COMPUTED_VALUE"""),"Factory")</f>
        <v>Factory</v>
      </c>
      <c r="N25" s="15"/>
    </row>
    <row r="26">
      <c r="A26" s="15"/>
      <c r="B26" s="55" t="str">
        <f>IFERROR(__xludf.DUMMYFUNCTION("""COMPUTED_VALUE"""),"Factory")</f>
        <v>Factory</v>
      </c>
      <c r="N26" s="15"/>
    </row>
    <row r="27">
      <c r="A27" s="15"/>
      <c r="B27" s="55" t="str">
        <f>IFERROR(__xludf.DUMMYFUNCTION("""COMPUTED_VALUE"""),"Mine")</f>
        <v>Mine</v>
      </c>
      <c r="N27" s="15"/>
    </row>
    <row r="28">
      <c r="A28" s="15"/>
      <c r="B28" s="55" t="str">
        <f>IFERROR(__xludf.DUMMYFUNCTION("""COMPUTED_VALUE"""),"Mine")</f>
        <v>Mine</v>
      </c>
      <c r="N28" s="15"/>
    </row>
    <row r="29">
      <c r="A29" s="15"/>
      <c r="B29" s="55" t="str">
        <f>IFERROR(__xludf.DUMMYFUNCTION("""COMPUTED_VALUE"""),"Mine")</f>
        <v>Mine</v>
      </c>
      <c r="N29" s="15"/>
    </row>
    <row r="30">
      <c r="A30" s="15"/>
      <c r="B30" s="55" t="str">
        <f>IFERROR(__xludf.DUMMYFUNCTION("""COMPUTED_VALUE"""),"Factory")</f>
        <v>Factory</v>
      </c>
      <c r="N30" s="15"/>
    </row>
    <row r="31">
      <c r="A31" s="15"/>
      <c r="B31" s="55" t="str">
        <f>IFERROR(__xludf.DUMMYFUNCTION("""COMPUTED_VALUE"""),"Farm")</f>
        <v>Farm</v>
      </c>
      <c r="N31" s="15"/>
    </row>
    <row r="32">
      <c r="A32" s="15"/>
      <c r="B32" s="55" t="str">
        <f>IFERROR(__xludf.DUMMYFUNCTION("""COMPUTED_VALUE"""),"Grandma")</f>
        <v>Grandma</v>
      </c>
      <c r="N32" s="15"/>
    </row>
    <row r="33">
      <c r="A33" s="65"/>
      <c r="B33" s="55" t="str">
        <f>IFERROR(__xludf.DUMMYFUNCTION("""COMPUTED_VALUE"""),"Cursor")</f>
        <v>Cursor</v>
      </c>
      <c r="N33" s="65"/>
    </row>
    <row r="34">
      <c r="A34" s="13"/>
      <c r="B34" s="55" t="str">
        <f>IFERROR(__xludf.DUMMYFUNCTION("""COMPUTED_VALUE"""),"Cursor")</f>
        <v>Cursor</v>
      </c>
      <c r="N34" s="13"/>
    </row>
    <row r="35">
      <c r="A35" s="13"/>
      <c r="B35" s="55" t="str">
        <f>IFERROR(__xludf.DUMMYFUNCTION("""COMPUTED_VALUE"""),"Mine")</f>
        <v>Mine</v>
      </c>
      <c r="N35" s="13"/>
    </row>
    <row r="36">
      <c r="A36" s="11"/>
      <c r="B36" s="55" t="str">
        <f>IFERROR(__xludf.DUMMYFUNCTION("""COMPUTED_VALUE"""),"Factory")</f>
        <v>Factory</v>
      </c>
      <c r="N36" s="11"/>
    </row>
    <row r="37">
      <c r="A37" s="3"/>
      <c r="B37" s="55" t="str">
        <f>IFERROR(__xludf.DUMMYFUNCTION("""COMPUTED_VALUE"""),"Farm")</f>
        <v>Farm</v>
      </c>
      <c r="N37" s="3"/>
    </row>
    <row r="38">
      <c r="A38" s="3"/>
      <c r="B38" s="55" t="str">
        <f>IFERROR(__xludf.DUMMYFUNCTION("""COMPUTED_VALUE"""),"Grandma")</f>
        <v>Grandma</v>
      </c>
      <c r="N38" s="3"/>
    </row>
    <row r="39">
      <c r="A39" s="8"/>
      <c r="B39" s="55" t="str">
        <f>IFERROR(__xludf.DUMMYFUNCTION("""COMPUTED_VALUE"""),"Cursor")</f>
        <v>Cursor</v>
      </c>
      <c r="N39" s="8"/>
    </row>
    <row r="40">
      <c r="A40" s="8"/>
      <c r="B40" s="55" t="str">
        <f>IFERROR(__xludf.DUMMYFUNCTION("""COMPUTED_VALUE"""),"Mine")</f>
        <v>Mine</v>
      </c>
      <c r="N40" s="8"/>
    </row>
    <row r="41">
      <c r="A41" s="8"/>
      <c r="B41" s="55" t="str">
        <f>IFERROR(__xludf.DUMMYFUNCTION("""COMPUTED_VALUE"""),"Shipment")</f>
        <v>Shipment</v>
      </c>
      <c r="N41" s="8"/>
    </row>
    <row r="42">
      <c r="A42" s="8"/>
      <c r="B42" s="55" t="str">
        <f>IFERROR(__xludf.DUMMYFUNCTION("""COMPUTED_VALUE"""),"Factory")</f>
        <v>Factory</v>
      </c>
      <c r="N42" s="8"/>
    </row>
    <row r="43">
      <c r="A43" s="8"/>
      <c r="B43" s="55" t="str">
        <f>IFERROR(__xludf.DUMMYFUNCTION("""COMPUTED_VALUE"""),"Mine")</f>
        <v>Mine</v>
      </c>
      <c r="N43" s="8"/>
    </row>
    <row r="44">
      <c r="A44" s="8"/>
      <c r="B44" s="55" t="str">
        <f>IFERROR(__xludf.DUMMYFUNCTION("""COMPUTED_VALUE"""),"Farm")</f>
        <v>Farm</v>
      </c>
      <c r="N44" s="8"/>
    </row>
    <row r="45">
      <c r="A45" s="8"/>
      <c r="B45" s="55" t="str">
        <f>IFERROR(__xludf.DUMMYFUNCTION("""COMPUTED_VALUE"""),"Grandma")</f>
        <v>Grandma</v>
      </c>
      <c r="N45" s="8"/>
    </row>
    <row r="46">
      <c r="A46" s="13"/>
      <c r="B46" s="55" t="str">
        <f>IFERROR(__xludf.DUMMYFUNCTION("""COMPUTED_VALUE"""),"Shipment")</f>
        <v>Shipment</v>
      </c>
      <c r="N46" s="13"/>
    </row>
    <row r="47">
      <c r="A47" s="13"/>
      <c r="B47" s="55" t="str">
        <f>IFERROR(__xludf.DUMMYFUNCTION("""COMPUTED_VALUE"""),"Factory")</f>
        <v>Factory</v>
      </c>
      <c r="N47" s="13"/>
    </row>
    <row r="48">
      <c r="A48" s="15"/>
      <c r="B48" s="55" t="str">
        <f>IFERROR(__xludf.DUMMYFUNCTION("""COMPUTED_VALUE"""),"Mine")</f>
        <v>Mine</v>
      </c>
      <c r="N48" s="15"/>
    </row>
    <row r="49">
      <c r="A49" s="13"/>
      <c r="B49" s="55" t="str">
        <f>IFERROR(__xludf.DUMMYFUNCTION("""COMPUTED_VALUE"""),"Farm")</f>
        <v>Farm</v>
      </c>
      <c r="N49" s="13"/>
    </row>
    <row r="50">
      <c r="A50" s="11"/>
      <c r="B50" s="55" t="str">
        <f>IFERROR(__xludf.DUMMYFUNCTION("""COMPUTED_VALUE"""),"Grandma")</f>
        <v>Grandma</v>
      </c>
      <c r="N50" s="11"/>
    </row>
    <row r="51">
      <c r="A51" s="11"/>
      <c r="B51" s="55" t="str">
        <f>IFERROR(__xludf.DUMMYFUNCTION("""COMPUTED_VALUE"""),"Shipment")</f>
        <v>Shipment</v>
      </c>
      <c r="N51" s="11"/>
    </row>
    <row r="52">
      <c r="A52" s="11"/>
      <c r="B52" s="55" t="str">
        <f>IFERROR(__xludf.DUMMYFUNCTION("""COMPUTED_VALUE"""),"Factory")</f>
        <v>Factory</v>
      </c>
      <c r="N52" s="11"/>
    </row>
    <row r="53">
      <c r="A53" s="11"/>
      <c r="B53" s="55" t="str">
        <f>IFERROR(__xludf.DUMMYFUNCTION("""COMPUTED_VALUE"""),"Shipment")</f>
        <v>Shipment</v>
      </c>
      <c r="N53" s="11"/>
    </row>
    <row r="54">
      <c r="A54" s="11"/>
      <c r="B54" s="55" t="str">
        <f>IFERROR(__xludf.DUMMYFUNCTION("""COMPUTED_VALUE"""),"Mine")</f>
        <v>Mine</v>
      </c>
      <c r="N54" s="11"/>
    </row>
    <row r="55">
      <c r="A55" s="11"/>
      <c r="B55" s="55" t="str">
        <f>IFERROR(__xludf.DUMMYFUNCTION("""COMPUTED_VALUE"""),"Farm")</f>
        <v>Farm</v>
      </c>
      <c r="N55" s="11"/>
    </row>
    <row r="56">
      <c r="A56" s="63"/>
      <c r="B56" s="55" t="str">
        <f>IFERROR(__xludf.DUMMYFUNCTION("""COMPUTED_VALUE"""),"Alchemy")</f>
        <v>Alchemy</v>
      </c>
      <c r="N56" s="63"/>
    </row>
    <row r="57">
      <c r="A57" s="64"/>
      <c r="B57" s="55" t="str">
        <f>IFERROR(__xludf.DUMMYFUNCTION("""COMPUTED_VALUE"""),"Shipment")</f>
        <v>Shipment</v>
      </c>
      <c r="N57" s="64"/>
    </row>
    <row r="58">
      <c r="A58" s="15"/>
      <c r="B58" s="55" t="str">
        <f>IFERROR(__xludf.DUMMYFUNCTION("""COMPUTED_VALUE"""),"Alchemy")</f>
        <v>Alchemy</v>
      </c>
      <c r="N58" s="15"/>
    </row>
    <row r="59">
      <c r="A59" s="15"/>
      <c r="B59" s="55" t="str">
        <f>IFERROR(__xludf.DUMMYFUNCTION("""COMPUTED_VALUE"""),"Alchemy")</f>
        <v>Alchemy</v>
      </c>
      <c r="N59" s="15"/>
    </row>
    <row r="60">
      <c r="A60" s="15"/>
      <c r="B60" s="55" t="str">
        <f>IFERROR(__xludf.DUMMYFUNCTION("""COMPUTED_VALUE"""),"Factory")</f>
        <v>Factory</v>
      </c>
      <c r="N60" s="15"/>
    </row>
    <row r="61">
      <c r="A61" s="15"/>
      <c r="B61" s="55" t="str">
        <f>IFERROR(__xludf.DUMMYFUNCTION("""COMPUTED_VALUE"""),"Mine")</f>
        <v>Mine</v>
      </c>
      <c r="N61" s="15"/>
    </row>
    <row r="62">
      <c r="A62" s="15"/>
      <c r="B62" s="55" t="str">
        <f>IFERROR(__xludf.DUMMYFUNCTION("""COMPUTED_VALUE"""),"Farm")</f>
        <v>Farm</v>
      </c>
      <c r="N62" s="15"/>
    </row>
    <row r="63">
      <c r="A63" s="15"/>
      <c r="B63" s="55" t="str">
        <f>IFERROR(__xludf.DUMMYFUNCTION("""COMPUTED_VALUE"""),"Alchemy")</f>
        <v>Alchemy</v>
      </c>
      <c r="N63" s="15"/>
    </row>
    <row r="64">
      <c r="A64" s="15"/>
      <c r="B64" s="55" t="str">
        <f>IFERROR(__xludf.DUMMYFUNCTION("""COMPUTED_VALUE"""),"Portal")</f>
        <v>Portal</v>
      </c>
      <c r="N64" s="15"/>
    </row>
    <row r="65">
      <c r="A65" s="15"/>
      <c r="B65" s="55" t="str">
        <f>IFERROR(__xludf.DUMMYFUNCTION("""COMPUTED_VALUE"""),"Portal")</f>
        <v>Portal</v>
      </c>
      <c r="N65" s="15"/>
    </row>
    <row r="66">
      <c r="A66" s="15"/>
      <c r="B66" s="55" t="str">
        <f>IFERROR(__xludf.DUMMYFUNCTION("""COMPUTED_VALUE"""),"Portal")</f>
        <v>Portal</v>
      </c>
      <c r="N66" s="15"/>
    </row>
    <row r="67">
      <c r="A67" s="15"/>
      <c r="B67" s="55" t="str">
        <f>IFERROR(__xludf.DUMMYFUNCTION("""COMPUTED_VALUE"""),"Portal")</f>
        <v>Portal</v>
      </c>
      <c r="N67" s="15"/>
    </row>
    <row r="68">
      <c r="A68" s="15"/>
      <c r="B68" s="55" t="str">
        <f>IFERROR(__xludf.DUMMYFUNCTION("""COMPUTED_VALUE"""),"Portal")</f>
        <v>Portal</v>
      </c>
      <c r="N68" s="15"/>
    </row>
    <row r="69">
      <c r="A69" s="15"/>
      <c r="B69" s="55" t="str">
        <f>IFERROR(__xludf.DUMMYFUNCTION("""COMPUTED_VALUE"""),"Portal")</f>
        <v>Portal</v>
      </c>
      <c r="N69" s="15"/>
    </row>
    <row r="70">
      <c r="A70" s="65"/>
      <c r="B70" s="55" t="str">
        <f>IFERROR(__xludf.DUMMYFUNCTION("""COMPUTED_VALUE"""),"Portal")</f>
        <v>Portal</v>
      </c>
      <c r="N70" s="65"/>
    </row>
    <row r="71">
      <c r="A71" s="13"/>
      <c r="B71" s="55" t="str">
        <f>IFERROR(__xludf.DUMMYFUNCTION("""COMPUTED_VALUE"""),"Portal")</f>
        <v>Portal</v>
      </c>
      <c r="N71" s="13"/>
    </row>
    <row r="72">
      <c r="A72" s="13"/>
      <c r="B72" s="55" t="str">
        <f>IFERROR(__xludf.DUMMYFUNCTION("""COMPUTED_VALUE"""),"Alchemy")</f>
        <v>Alchemy</v>
      </c>
      <c r="N72" s="13"/>
    </row>
    <row r="73">
      <c r="A73" s="11"/>
      <c r="B73" s="55" t="str">
        <f>IFERROR(__xludf.DUMMYFUNCTION("""COMPUTED_VALUE"""),"Shipment")</f>
        <v>Shipment</v>
      </c>
      <c r="N73" s="11"/>
    </row>
    <row r="74">
      <c r="A74" s="3"/>
      <c r="B74" s="55" t="str">
        <f>IFERROR(__xludf.DUMMYFUNCTION("""COMPUTED_VALUE"""),"Portal")</f>
        <v>Portal</v>
      </c>
      <c r="N74" s="3"/>
    </row>
    <row r="75">
      <c r="A75" s="3"/>
      <c r="B75" s="55" t="str">
        <f>IFERROR(__xludf.DUMMYFUNCTION("""COMPUTED_VALUE"""),"Alchemy")</f>
        <v>Alchemy</v>
      </c>
      <c r="N75" s="3"/>
    </row>
    <row r="76">
      <c r="A76" s="8"/>
      <c r="B76" s="55" t="str">
        <f>IFERROR(__xludf.DUMMYFUNCTION("""COMPUTED_VALUE"""),"Shipment")</f>
        <v>Shipment</v>
      </c>
      <c r="N76" s="8"/>
    </row>
    <row r="77">
      <c r="A77" s="8"/>
      <c r="B77" s="55" t="str">
        <f>IFERROR(__xludf.DUMMYFUNCTION("""COMPUTED_VALUE"""),"Mine")</f>
        <v>Mine</v>
      </c>
      <c r="N77" s="8"/>
    </row>
    <row r="78">
      <c r="A78" s="8"/>
      <c r="B78" s="55" t="str">
        <f>IFERROR(__xludf.DUMMYFUNCTION("""COMPUTED_VALUE"""),"Factory")</f>
        <v>Factory</v>
      </c>
      <c r="N78" s="8"/>
    </row>
    <row r="79">
      <c r="A79" s="8"/>
      <c r="B79" s="55" t="str">
        <f>IFERROR(__xludf.DUMMYFUNCTION("""COMPUTED_VALUE"""),"Farm")</f>
        <v>Farm</v>
      </c>
      <c r="N79" s="8"/>
    </row>
    <row r="80">
      <c r="A80" s="8"/>
      <c r="B80" s="55" t="str">
        <f>IFERROR(__xludf.DUMMYFUNCTION("""COMPUTED_VALUE"""),"Portal")</f>
        <v>Portal</v>
      </c>
      <c r="N80" s="8"/>
    </row>
    <row r="81">
      <c r="A81" s="8"/>
      <c r="B81" s="55" t="str">
        <f>IFERROR(__xludf.DUMMYFUNCTION("""COMPUTED_VALUE"""),"Alchemy")</f>
        <v>Alchemy</v>
      </c>
      <c r="N81" s="8"/>
    </row>
    <row r="82">
      <c r="A82" s="8"/>
      <c r="B82" s="55" t="str">
        <f>IFERROR(__xludf.DUMMYFUNCTION("""COMPUTED_VALUE"""),"Shipment")</f>
        <v>Shipment</v>
      </c>
      <c r="N82" s="8"/>
    </row>
    <row r="83">
      <c r="A83" s="13"/>
      <c r="B83" s="55" t="str">
        <f>IFERROR(__xludf.DUMMYFUNCTION("""COMPUTED_VALUE"""),"Mine")</f>
        <v>Mine</v>
      </c>
      <c r="N83" s="13"/>
    </row>
    <row r="84">
      <c r="A84" s="13"/>
      <c r="B84" s="55" t="str">
        <f>IFERROR(__xludf.DUMMYFUNCTION("""COMPUTED_VALUE"""),"Factory")</f>
        <v>Factory</v>
      </c>
      <c r="N84" s="13"/>
    </row>
    <row r="85">
      <c r="A85" s="15"/>
      <c r="B85" s="55" t="str">
        <f>IFERROR(__xludf.DUMMYFUNCTION("""COMPUTED_VALUE"""),"Farm")</f>
        <v>Farm</v>
      </c>
      <c r="N85" s="15"/>
    </row>
    <row r="86">
      <c r="A86" s="13"/>
      <c r="B86" s="55" t="str">
        <f>IFERROR(__xludf.DUMMYFUNCTION("""COMPUTED_VALUE"""),"Portal")</f>
        <v>Portal</v>
      </c>
      <c r="N86" s="13"/>
    </row>
    <row r="87">
      <c r="A87" s="11"/>
      <c r="B87" s="55" t="str">
        <f>IFERROR(__xludf.DUMMYFUNCTION("""COMPUTED_VALUE"""),"Alchemy")</f>
        <v>Alchemy</v>
      </c>
      <c r="N87" s="11"/>
    </row>
    <row r="88">
      <c r="A88" s="11"/>
      <c r="B88" s="55" t="str">
        <f>IFERROR(__xludf.DUMMYFUNCTION("""COMPUTED_VALUE"""),"Shipment")</f>
        <v>Shipment</v>
      </c>
      <c r="N88" s="11"/>
    </row>
    <row r="89">
      <c r="A89" s="11"/>
      <c r="B89" s="55" t="str">
        <f>IFERROR(__xludf.DUMMYFUNCTION("""COMPUTED_VALUE"""),"Mine")</f>
        <v>Mine</v>
      </c>
      <c r="N89" s="11"/>
    </row>
    <row r="90">
      <c r="A90" s="11"/>
      <c r="B90" s="55" t="str">
        <f>IFERROR(__xludf.DUMMYFUNCTION("""COMPUTED_VALUE"""),"Factory")</f>
        <v>Factory</v>
      </c>
      <c r="N90" s="11"/>
    </row>
    <row r="91">
      <c r="A91" s="11"/>
      <c r="B91" s="55" t="str">
        <f>IFERROR(__xludf.DUMMYFUNCTION("""COMPUTED_VALUE"""),"Farm")</f>
        <v>Farm</v>
      </c>
      <c r="N91" s="11"/>
    </row>
    <row r="92">
      <c r="A92" s="11"/>
      <c r="B92" s="55" t="str">
        <f>IFERROR(__xludf.DUMMYFUNCTION("""COMPUTED_VALUE"""),"Portal")</f>
        <v>Portal</v>
      </c>
      <c r="N92" s="11"/>
    </row>
    <row r="93">
      <c r="A93" s="63"/>
      <c r="B93" s="55" t="str">
        <f>IFERROR(__xludf.DUMMYFUNCTION("""COMPUTED_VALUE"""),"Alchemy")</f>
        <v>Alchemy</v>
      </c>
      <c r="N93" s="63"/>
    </row>
    <row r="94">
      <c r="A94" s="64"/>
      <c r="B94" s="55" t="str">
        <f>IFERROR(__xludf.DUMMYFUNCTION("""COMPUTED_VALUE"""),"Shipment")</f>
        <v>Shipment</v>
      </c>
      <c r="N94" s="64"/>
    </row>
    <row r="95">
      <c r="A95" s="15"/>
      <c r="B95" s="55" t="str">
        <f>IFERROR(__xludf.DUMMYFUNCTION("""COMPUTED_VALUE"""),"Mine")</f>
        <v>Mine</v>
      </c>
      <c r="N95" s="15"/>
    </row>
    <row r="96">
      <c r="A96" s="15"/>
      <c r="B96" s="55" t="str">
        <f>IFERROR(__xludf.DUMMYFUNCTION("""COMPUTED_VALUE"""),"Factory")</f>
        <v>Factory</v>
      </c>
      <c r="N96" s="15"/>
    </row>
    <row r="97">
      <c r="A97" s="15"/>
      <c r="B97" s="55" t="str">
        <f>IFERROR(__xludf.DUMMYFUNCTION("""COMPUTED_VALUE"""),"Farm")</f>
        <v>Farm</v>
      </c>
      <c r="N97" s="15"/>
    </row>
    <row r="98">
      <c r="A98" s="15"/>
      <c r="B98" s="55" t="str">
        <f>IFERROR(__xludf.DUMMYFUNCTION("""COMPUTED_VALUE"""),"Portal")</f>
        <v>Portal</v>
      </c>
      <c r="N98" s="15"/>
    </row>
    <row r="99">
      <c r="A99" s="15"/>
      <c r="B99" s="55" t="str">
        <f>IFERROR(__xludf.DUMMYFUNCTION("""COMPUTED_VALUE"""),"Alchemy")</f>
        <v>Alchemy</v>
      </c>
      <c r="N99" s="15"/>
    </row>
    <row r="100">
      <c r="A100" s="15"/>
      <c r="B100" s="55" t="str">
        <f>IFERROR(__xludf.DUMMYFUNCTION("""COMPUTED_VALUE"""),"Shipment")</f>
        <v>Shipment</v>
      </c>
      <c r="N100" s="15"/>
    </row>
    <row r="101">
      <c r="A101" s="15"/>
      <c r="B101" s="55" t="str">
        <f>IFERROR(__xludf.DUMMYFUNCTION("""COMPUTED_VALUE"""),"Mine")</f>
        <v>Mine</v>
      </c>
      <c r="N101" s="15"/>
    </row>
    <row r="102">
      <c r="A102" s="15"/>
      <c r="B102" s="55" t="str">
        <f>IFERROR(__xludf.DUMMYFUNCTION("""COMPUTED_VALUE"""),"Factory")</f>
        <v>Factory</v>
      </c>
      <c r="N102" s="15"/>
    </row>
    <row r="103">
      <c r="A103" s="15"/>
      <c r="B103" s="55" t="str">
        <f>IFERROR(__xludf.DUMMYFUNCTION("""COMPUTED_VALUE"""),"Farm")</f>
        <v>Farm</v>
      </c>
      <c r="N103" s="15"/>
    </row>
    <row r="104">
      <c r="A104" s="15"/>
      <c r="B104" s="55" t="str">
        <f>IFERROR(__xludf.DUMMYFUNCTION("""COMPUTED_VALUE"""),"Portal")</f>
        <v>Portal</v>
      </c>
      <c r="N104" s="15"/>
    </row>
    <row r="105">
      <c r="A105" s="15"/>
      <c r="B105" s="55" t="str">
        <f>IFERROR(__xludf.DUMMYFUNCTION("""COMPUTED_VALUE"""),"Alchemy")</f>
        <v>Alchemy</v>
      </c>
      <c r="N105" s="15"/>
    </row>
    <row r="106">
      <c r="A106" s="15"/>
      <c r="B106" s="55" t="str">
        <f>IFERROR(__xludf.DUMMYFUNCTION("""COMPUTED_VALUE"""),"Shipment")</f>
        <v>Shipment</v>
      </c>
      <c r="N106" s="15"/>
    </row>
    <row r="107">
      <c r="A107" s="65"/>
      <c r="B107" s="55" t="str">
        <f>IFERROR(__xludf.DUMMYFUNCTION("""COMPUTED_VALUE"""),"Mine")</f>
        <v>Mine</v>
      </c>
      <c r="N107" s="65"/>
    </row>
    <row r="108">
      <c r="A108" s="13"/>
      <c r="B108" s="55" t="str">
        <f>IFERROR(__xludf.DUMMYFUNCTION("""COMPUTED_VALUE"""),"Factory")</f>
        <v>Factory</v>
      </c>
      <c r="N108" s="13"/>
    </row>
    <row r="109">
      <c r="A109" s="13"/>
      <c r="B109" s="55" t="str">
        <f>IFERROR(__xludf.DUMMYFUNCTION("""COMPUTED_VALUE"""),"Farm")</f>
        <v>Farm</v>
      </c>
      <c r="N109" s="13"/>
    </row>
    <row r="110">
      <c r="A110" s="11"/>
      <c r="B110" s="55" t="str">
        <f>IFERROR(__xludf.DUMMYFUNCTION("""COMPUTED_VALUE"""),"Portal")</f>
        <v>Portal</v>
      </c>
      <c r="N110" s="11"/>
    </row>
    <row r="111">
      <c r="A111" s="3"/>
      <c r="B111" s="55" t="str">
        <f>IFERROR(__xludf.DUMMYFUNCTION("""COMPUTED_VALUE"""),"Alchemy")</f>
        <v>Alchemy</v>
      </c>
      <c r="N111" s="3"/>
    </row>
    <row r="112">
      <c r="A112" s="3"/>
      <c r="B112" s="55" t="str">
        <f>IFERROR(__xludf.DUMMYFUNCTION("""COMPUTED_VALUE"""),"Shipment")</f>
        <v>Shipment</v>
      </c>
      <c r="N112" s="3"/>
    </row>
    <row r="113">
      <c r="A113" s="8"/>
      <c r="B113" s="55" t="str">
        <f>IFERROR(__xludf.DUMMYFUNCTION("""COMPUTED_VALUE"""),"Mine")</f>
        <v>Mine</v>
      </c>
      <c r="N113" s="8"/>
    </row>
    <row r="114">
      <c r="A114" s="8"/>
      <c r="B114" s="55" t="str">
        <f>IFERROR(__xludf.DUMMYFUNCTION("""COMPUTED_VALUE"""),"Factory")</f>
        <v>Factory</v>
      </c>
      <c r="N114" s="8"/>
    </row>
    <row r="115">
      <c r="A115" s="8"/>
      <c r="B115" s="55" t="str">
        <f>IFERROR(__xludf.DUMMYFUNCTION("""COMPUTED_VALUE"""),"Farm")</f>
        <v>Farm</v>
      </c>
      <c r="N115" s="8"/>
    </row>
    <row r="116">
      <c r="A116" s="8"/>
      <c r="B116" s="55" t="str">
        <f>IFERROR(__xludf.DUMMYFUNCTION("""COMPUTED_VALUE"""),"Portal")</f>
        <v>Portal</v>
      </c>
      <c r="N116" s="8"/>
    </row>
    <row r="117">
      <c r="A117" s="8"/>
      <c r="B117" s="55" t="str">
        <f>IFERROR(__xludf.DUMMYFUNCTION("""COMPUTED_VALUE"""),"Time_Machine")</f>
        <v>Time_Machine</v>
      </c>
      <c r="N117" s="8"/>
    </row>
    <row r="118">
      <c r="A118" s="8"/>
      <c r="B118" s="55" t="str">
        <f>IFERROR(__xludf.DUMMYFUNCTION("""COMPUTED_VALUE"""),"Time_Machine")</f>
        <v>Time_Machine</v>
      </c>
      <c r="N118" s="8"/>
    </row>
    <row r="119">
      <c r="A119" s="8"/>
      <c r="B119" s="55" t="str">
        <f>IFERROR(__xludf.DUMMYFUNCTION("""COMPUTED_VALUE"""),"Time_Machine")</f>
        <v>Time_Machine</v>
      </c>
      <c r="N119" s="8"/>
    </row>
    <row r="120">
      <c r="A120" s="13"/>
      <c r="B120" s="55" t="str">
        <f>IFERROR(__xludf.DUMMYFUNCTION("""COMPUTED_VALUE"""),"Alchemy")</f>
        <v>Alchemy</v>
      </c>
      <c r="N120" s="13"/>
    </row>
    <row r="121">
      <c r="A121" s="13"/>
      <c r="B121" s="55" t="str">
        <f>IFERROR(__xludf.DUMMYFUNCTION("""COMPUTED_VALUE"""),"Time_Machine")</f>
        <v>Time_Machine</v>
      </c>
      <c r="N121" s="13"/>
    </row>
    <row r="122">
      <c r="A122" s="15"/>
      <c r="B122" s="55" t="str">
        <f>IFERROR(__xludf.DUMMYFUNCTION("""COMPUTED_VALUE"""),"Portal")</f>
        <v>Portal</v>
      </c>
      <c r="N122" s="15"/>
    </row>
    <row r="123">
      <c r="A123" s="13"/>
      <c r="B123" s="55" t="str">
        <f>IFERROR(__xludf.DUMMYFUNCTION("""COMPUTED_VALUE"""),"Shipment")</f>
        <v>Shipment</v>
      </c>
      <c r="N123" s="13"/>
    </row>
    <row r="124">
      <c r="A124" s="11"/>
      <c r="B124" s="55" t="str">
        <f>IFERROR(__xludf.DUMMYFUNCTION("""COMPUTED_VALUE"""),"Alchemy")</f>
        <v>Alchemy</v>
      </c>
      <c r="N124" s="11"/>
    </row>
    <row r="125">
      <c r="A125" s="11"/>
      <c r="B125" s="55" t="str">
        <f>IFERROR(__xludf.DUMMYFUNCTION("""COMPUTED_VALUE"""),"Portal")</f>
        <v>Portal</v>
      </c>
      <c r="N125" s="11"/>
    </row>
    <row r="126">
      <c r="A126" s="11"/>
      <c r="B126" s="55" t="str">
        <f>IFERROR(__xludf.DUMMYFUNCTION("""COMPUTED_VALUE"""),"Shipment")</f>
        <v>Shipment</v>
      </c>
      <c r="N126" s="11"/>
    </row>
    <row r="127">
      <c r="A127" s="11"/>
      <c r="B127" s="55" t="str">
        <f>IFERROR(__xludf.DUMMYFUNCTION("""COMPUTED_VALUE"""),"Alchemy")</f>
        <v>Alchemy</v>
      </c>
      <c r="N127" s="11"/>
    </row>
    <row r="128">
      <c r="A128" s="11"/>
      <c r="B128" s="55" t="str">
        <f>IFERROR(__xludf.DUMMYFUNCTION("""COMPUTED_VALUE"""),"Portal")</f>
        <v>Portal</v>
      </c>
      <c r="N128" s="11"/>
    </row>
    <row r="129">
      <c r="A129" s="11"/>
      <c r="B129" s="55" t="str">
        <f>IFERROR(__xludf.DUMMYFUNCTION("""COMPUTED_VALUE"""),"Shipment")</f>
        <v>Shipment</v>
      </c>
      <c r="N129" s="11"/>
    </row>
    <row r="130">
      <c r="A130" s="63"/>
      <c r="B130" s="55" t="str">
        <f>IFERROR(__xludf.DUMMYFUNCTION("""COMPUTED_VALUE"""),"Alchemy")</f>
        <v>Alchemy</v>
      </c>
      <c r="N130" s="63"/>
    </row>
    <row r="131">
      <c r="A131" s="64"/>
      <c r="B131" s="55" t="str">
        <f>IFERROR(__xludf.DUMMYFUNCTION("""COMPUTED_VALUE"""),"Portal")</f>
        <v>Portal</v>
      </c>
      <c r="N131" s="64"/>
    </row>
    <row r="132">
      <c r="A132" s="15"/>
      <c r="B132" s="55" t="str">
        <f>IFERROR(__xludf.DUMMYFUNCTION("""COMPUTED_VALUE"""),"Shipment")</f>
        <v>Shipment</v>
      </c>
      <c r="N132" s="15"/>
    </row>
    <row r="133">
      <c r="A133" s="15"/>
      <c r="B133" s="55" t="str">
        <f>IFERROR(__xludf.DUMMYFUNCTION("""COMPUTED_VALUE"""),"Alchemy")</f>
        <v>Alchemy</v>
      </c>
      <c r="N133" s="15"/>
    </row>
    <row r="134">
      <c r="A134" s="15"/>
      <c r="B134" s="55" t="str">
        <f>IFERROR(__xludf.DUMMYFUNCTION("""COMPUTED_VALUE"""),"Portal")</f>
        <v>Portal</v>
      </c>
      <c r="N134" s="15"/>
    </row>
    <row r="135">
      <c r="A135" s="15"/>
      <c r="B135" s="55" t="str">
        <f>IFERROR(__xludf.DUMMYFUNCTION("""COMPUTED_VALUE"""),"Shipment")</f>
        <v>Shipment</v>
      </c>
      <c r="N135" s="15"/>
    </row>
    <row r="136">
      <c r="A136" s="15"/>
      <c r="B136" s="55" t="str">
        <f>IFERROR(__xludf.DUMMYFUNCTION("""COMPUTED_VALUE"""),"Alchemy")</f>
        <v>Alchemy</v>
      </c>
      <c r="N136" s="15"/>
    </row>
    <row r="137">
      <c r="A137" s="15"/>
      <c r="B137" s="55" t="str">
        <f>IFERROR(__xludf.DUMMYFUNCTION("""COMPUTED_VALUE"""),"Portal")</f>
        <v>Portal</v>
      </c>
      <c r="N137" s="15"/>
    </row>
    <row r="138">
      <c r="A138" s="15"/>
      <c r="B138" s="55" t="str">
        <f>IFERROR(__xludf.DUMMYFUNCTION("""COMPUTED_VALUE"""),"Shipment")</f>
        <v>Shipment</v>
      </c>
      <c r="N138" s="15"/>
    </row>
    <row r="139">
      <c r="A139" s="15"/>
      <c r="B139" s="55" t="str">
        <f>IFERROR(__xludf.DUMMYFUNCTION("""COMPUTED_VALUE"""),"Alchemy")</f>
        <v>Alchemy</v>
      </c>
      <c r="N139" s="15"/>
    </row>
    <row r="140">
      <c r="A140" s="15"/>
      <c r="B140" s="55" t="str">
        <f>IFERROR(__xludf.DUMMYFUNCTION("""COMPUTED_VALUE"""),"Portal")</f>
        <v>Portal</v>
      </c>
      <c r="N140" s="15"/>
    </row>
    <row r="141">
      <c r="A141" s="15"/>
      <c r="B141" s="55" t="str">
        <f>IFERROR(__xludf.DUMMYFUNCTION("""COMPUTED_VALUE"""),"Shipment")</f>
        <v>Shipment</v>
      </c>
      <c r="N141" s="15"/>
    </row>
    <row r="142">
      <c r="A142" s="15"/>
      <c r="B142" s="55" t="str">
        <f>IFERROR(__xludf.DUMMYFUNCTION("""COMPUTED_VALUE"""),"Alchemy")</f>
        <v>Alchemy</v>
      </c>
      <c r="N142" s="15"/>
    </row>
    <row r="143">
      <c r="A143" s="15"/>
      <c r="B143" s="55" t="str">
        <f>IFERROR(__xludf.DUMMYFUNCTION("""COMPUTED_VALUE"""),"Portal")</f>
        <v>Portal</v>
      </c>
      <c r="N143" s="15"/>
    </row>
    <row r="144">
      <c r="A144" s="65"/>
      <c r="B144" s="55" t="str">
        <f>IFERROR(__xludf.DUMMYFUNCTION("""COMPUTED_VALUE"""),"Shipment")</f>
        <v>Shipment</v>
      </c>
      <c r="N144" s="65"/>
    </row>
    <row r="145">
      <c r="A145" s="13"/>
      <c r="B145" s="55" t="str">
        <f>IFERROR(__xludf.DUMMYFUNCTION("""COMPUTED_VALUE"""),"Alchemy")</f>
        <v>Alchemy</v>
      </c>
      <c r="N145" s="13"/>
    </row>
    <row r="146">
      <c r="A146" s="13"/>
      <c r="B146" s="55" t="str">
        <f>IFERROR(__xludf.DUMMYFUNCTION("""COMPUTED_VALUE"""),"Shipment")</f>
        <v>Shipment</v>
      </c>
      <c r="N146" s="13"/>
    </row>
    <row r="147">
      <c r="A147" s="11"/>
      <c r="B147" s="55" t="str">
        <f>IFERROR(__xludf.DUMMYFUNCTION("""COMPUTED_VALUE"""),"Alchemy")</f>
        <v>Alchemy</v>
      </c>
      <c r="N147" s="11"/>
    </row>
    <row r="148">
      <c r="A148" s="3"/>
      <c r="B148" s="55" t="str">
        <f>IFERROR(__xludf.DUMMYFUNCTION("""COMPUTED_VALUE"""),"Shipment")</f>
        <v>Shipment</v>
      </c>
      <c r="N148" s="3"/>
    </row>
    <row r="149">
      <c r="A149" s="3"/>
      <c r="B149" s="55" t="str">
        <f>IFERROR(__xludf.DUMMYFUNCTION("""COMPUTED_VALUE"""),"Alchemy")</f>
        <v>Alchemy</v>
      </c>
      <c r="N149" s="3"/>
    </row>
    <row r="150">
      <c r="A150" s="8"/>
      <c r="B150" s="55" t="str">
        <f>IFERROR(__xludf.DUMMYFUNCTION("""COMPUTED_VALUE"""),"Shipment")</f>
        <v>Shipment</v>
      </c>
      <c r="N150" s="8"/>
    </row>
    <row r="151">
      <c r="A151" s="8"/>
      <c r="B151" s="55" t="str">
        <f>IFERROR(__xludf.DUMMYFUNCTION("""COMPUTED_VALUE"""),"Alchemy")</f>
        <v>Alchemy</v>
      </c>
      <c r="N151" s="8"/>
    </row>
    <row r="152">
      <c r="A152" s="8"/>
      <c r="B152" s="55" t="str">
        <f>IFERROR(__xludf.DUMMYFUNCTION("""COMPUTED_VALUE"""),"Shipment")</f>
        <v>Shipment</v>
      </c>
      <c r="N152" s="8"/>
    </row>
    <row r="153">
      <c r="A153" s="8"/>
      <c r="B153" s="55" t="str">
        <f>IFERROR(__xludf.DUMMYFUNCTION("""COMPUTED_VALUE"""),"Alchemy")</f>
        <v>Alchemy</v>
      </c>
      <c r="N153" s="8"/>
    </row>
    <row r="154">
      <c r="A154" s="8"/>
      <c r="B154" s="55" t="str">
        <f>IFERROR(__xludf.DUMMYFUNCTION("""COMPUTED_VALUE"""),"Shipment")</f>
        <v>Shipment</v>
      </c>
      <c r="N154" s="8"/>
    </row>
    <row r="155">
      <c r="A155" s="8"/>
      <c r="B155" s="55" t="str">
        <f>IFERROR(__xludf.DUMMYFUNCTION("""COMPUTED_VALUE"""),"Alchemy")</f>
        <v>Alchemy</v>
      </c>
      <c r="N155" s="8"/>
    </row>
    <row r="156">
      <c r="A156" s="8"/>
      <c r="B156" s="55" t="str">
        <f>IFERROR(__xludf.DUMMYFUNCTION("""COMPUTED_VALUE"""),"Shipment")</f>
        <v>Shipment</v>
      </c>
      <c r="N156" s="8"/>
    </row>
    <row r="157">
      <c r="A157" s="13"/>
      <c r="B157" s="55" t="str">
        <f>IFERROR(__xludf.DUMMYFUNCTION("""COMPUTED_VALUE"""),"Alchemy")</f>
        <v>Alchemy</v>
      </c>
      <c r="N157" s="13"/>
    </row>
    <row r="158">
      <c r="A158" s="13"/>
      <c r="B158" s="55" t="str">
        <f>IFERROR(__xludf.DUMMYFUNCTION("""COMPUTED_VALUE"""),"Shipment")</f>
        <v>Shipment</v>
      </c>
      <c r="N158" s="13"/>
    </row>
    <row r="159">
      <c r="A159" s="15"/>
      <c r="B159" s="55" t="str">
        <f>IFERROR(__xludf.DUMMYFUNCTION("""COMPUTED_VALUE"""),"Shipment")</f>
        <v>Shipment</v>
      </c>
      <c r="N159" s="15"/>
    </row>
    <row r="160">
      <c r="A160" s="13"/>
      <c r="B160" s="55" t="str">
        <f>IFERROR(__xludf.DUMMYFUNCTION("""COMPUTED_VALUE"""),"Shipment")</f>
        <v>Shipment</v>
      </c>
      <c r="N160" s="13"/>
    </row>
    <row r="161">
      <c r="A161" s="11"/>
      <c r="B161" s="55" t="str">
        <f>IFERROR(__xludf.DUMMYFUNCTION("""COMPUTED_VALUE"""),"Shipment")</f>
        <v>Shipment</v>
      </c>
      <c r="N161" s="11"/>
    </row>
    <row r="162">
      <c r="A162" s="11"/>
      <c r="N162" s="11"/>
    </row>
    <row r="163">
      <c r="A163" s="11"/>
      <c r="N163" s="11"/>
    </row>
    <row r="164">
      <c r="A164" s="11"/>
      <c r="N164" s="11"/>
    </row>
    <row r="165">
      <c r="A165" s="11"/>
      <c r="N165" s="11"/>
    </row>
    <row r="166">
      <c r="A166" s="11"/>
      <c r="N166" s="11"/>
    </row>
    <row r="167">
      <c r="A167" s="63"/>
      <c r="N167" s="63"/>
    </row>
    <row r="168">
      <c r="A168" s="64"/>
      <c r="N168" s="64"/>
    </row>
    <row r="169">
      <c r="A169" s="15"/>
      <c r="N169" s="15"/>
    </row>
    <row r="170">
      <c r="A170" s="15"/>
      <c r="N170" s="15"/>
    </row>
    <row r="171">
      <c r="A171" s="15"/>
      <c r="N171" s="15"/>
    </row>
    <row r="172">
      <c r="A172" s="15"/>
      <c r="N172" s="15"/>
    </row>
    <row r="173">
      <c r="A173" s="15"/>
      <c r="N173" s="15"/>
    </row>
    <row r="174">
      <c r="A174" s="15"/>
      <c r="N174" s="15"/>
    </row>
    <row r="175">
      <c r="A175" s="15"/>
      <c r="N175" s="15"/>
    </row>
    <row r="176">
      <c r="A176" s="15"/>
      <c r="N176" s="15"/>
    </row>
    <row r="177">
      <c r="A177" s="15"/>
      <c r="N177" s="15"/>
    </row>
    <row r="178">
      <c r="A178" s="15"/>
      <c r="N178" s="15"/>
    </row>
    <row r="179">
      <c r="A179" s="15"/>
      <c r="N179" s="15"/>
    </row>
    <row r="180">
      <c r="A180" s="15"/>
      <c r="N180" s="15"/>
    </row>
    <row r="181">
      <c r="A181" s="65"/>
      <c r="N181" s="65"/>
    </row>
    <row r="182">
      <c r="A182" s="13"/>
      <c r="N182" s="13"/>
    </row>
    <row r="183">
      <c r="A183" s="13"/>
      <c r="N183" s="13"/>
    </row>
    <row r="184">
      <c r="A184" s="11"/>
      <c r="N184" s="11"/>
    </row>
    <row r="185">
      <c r="A185" s="3"/>
      <c r="N185" s="3"/>
    </row>
    <row r="186">
      <c r="A186" s="3"/>
      <c r="N186" s="3"/>
    </row>
    <row r="187">
      <c r="A187" s="8"/>
      <c r="N187" s="8"/>
    </row>
    <row r="188">
      <c r="A188" s="8"/>
      <c r="N188" s="8"/>
    </row>
    <row r="189">
      <c r="A189" s="8"/>
      <c r="N189" s="8"/>
    </row>
    <row r="190">
      <c r="A190" s="8"/>
      <c r="N190" s="8"/>
    </row>
    <row r="191">
      <c r="A191" s="8"/>
      <c r="N191" s="8"/>
    </row>
    <row r="192">
      <c r="A192" s="8"/>
      <c r="N192" s="8"/>
    </row>
    <row r="193">
      <c r="A193" s="8"/>
      <c r="N193" s="8"/>
    </row>
    <row r="194">
      <c r="A194" s="13"/>
      <c r="N194" s="13"/>
    </row>
    <row r="195">
      <c r="A195" s="13"/>
      <c r="N195" s="13"/>
    </row>
    <row r="196">
      <c r="A196" s="15"/>
      <c r="N196" s="15"/>
    </row>
    <row r="197">
      <c r="A197" s="13"/>
      <c r="N197" s="13"/>
    </row>
    <row r="198">
      <c r="A198" s="11"/>
      <c r="N198" s="11"/>
    </row>
    <row r="199">
      <c r="A199" s="11"/>
      <c r="N199" s="11"/>
    </row>
    <row r="200">
      <c r="A200" s="11"/>
      <c r="N200" s="11"/>
    </row>
    <row r="201" ht="11.25" customHeight="1">
      <c r="A201" s="3"/>
      <c r="B201" s="21"/>
      <c r="C201" s="21"/>
      <c r="D201" s="23"/>
      <c r="E201" s="23"/>
      <c r="F201" s="23"/>
      <c r="G201" s="23"/>
      <c r="H201" s="23"/>
      <c r="I201" s="23"/>
      <c r="J201" s="23"/>
      <c r="K201" s="23"/>
      <c r="L201" s="23"/>
      <c r="M201" s="23"/>
      <c r="N201"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2" max="2" width="17.63"/>
    <col customWidth="1" min="3" max="9" width="18.88"/>
  </cols>
  <sheetData>
    <row r="1">
      <c r="A1" s="70" t="s">
        <v>31</v>
      </c>
      <c r="B1" s="71" t="s">
        <v>32</v>
      </c>
      <c r="C1" s="71" t="s">
        <v>33</v>
      </c>
      <c r="D1" s="71" t="s">
        <v>34</v>
      </c>
    </row>
    <row r="2">
      <c r="A2" s="72">
        <v>44989.756329780095</v>
      </c>
      <c r="B2" s="14" t="s">
        <v>36</v>
      </c>
      <c r="C2" s="14" t="s">
        <v>37</v>
      </c>
      <c r="D2" s="14" t="s">
        <v>38</v>
      </c>
    </row>
    <row r="3">
      <c r="A3" s="75" t="s">
        <v>39</v>
      </c>
      <c r="B3" s="67" t="s">
        <v>40</v>
      </c>
      <c r="C3" s="76" t="s">
        <v>41</v>
      </c>
      <c r="D3" s="14" t="s">
        <v>42</v>
      </c>
    </row>
    <row r="4">
      <c r="A4" s="78"/>
      <c r="B4" s="9"/>
      <c r="C4" s="79"/>
      <c r="D4" s="79"/>
    </row>
    <row r="5">
      <c r="A5" s="78"/>
      <c r="B5" s="9"/>
      <c r="C5" s="79"/>
      <c r="D5" s="79"/>
    </row>
    <row r="6">
      <c r="A6" s="78"/>
      <c r="B6" s="9"/>
      <c r="C6" s="79"/>
      <c r="D6" s="79"/>
    </row>
    <row r="7">
      <c r="A7" s="78"/>
      <c r="B7" s="9"/>
      <c r="C7" s="79"/>
      <c r="D7" s="79"/>
    </row>
    <row r="8">
      <c r="A8" s="78"/>
      <c r="B8" s="9"/>
      <c r="C8" s="79"/>
      <c r="D8" s="79"/>
    </row>
    <row r="9">
      <c r="A9" s="78"/>
      <c r="B9" s="9"/>
      <c r="C9" s="79"/>
      <c r="D9" s="79"/>
    </row>
    <row r="10">
      <c r="A10" s="78"/>
      <c r="B10" s="9"/>
      <c r="C10" s="79"/>
      <c r="D10" s="79"/>
    </row>
    <row r="11">
      <c r="A11" s="78"/>
      <c r="B11" s="9"/>
      <c r="C11" s="79"/>
      <c r="D11" s="79"/>
    </row>
    <row r="12">
      <c r="A12" s="78"/>
      <c r="B12" s="9"/>
      <c r="C12" s="79"/>
      <c r="D12" s="79"/>
    </row>
    <row r="13">
      <c r="A13" s="78"/>
      <c r="B13" s="9"/>
      <c r="C13" s="79"/>
      <c r="D13" s="79"/>
    </row>
    <row r="14">
      <c r="A14" s="78"/>
      <c r="B14" s="9"/>
      <c r="C14" s="79"/>
      <c r="D14" s="79"/>
    </row>
    <row r="15">
      <c r="A15" s="78"/>
      <c r="B15" s="9"/>
      <c r="C15" s="79"/>
      <c r="D15" s="79"/>
    </row>
    <row r="16">
      <c r="A16" s="78"/>
      <c r="B16" s="9"/>
      <c r="C16" s="79"/>
      <c r="D16" s="79"/>
    </row>
    <row r="17">
      <c r="A17" s="78"/>
      <c r="B17" s="9"/>
      <c r="C17" s="79"/>
      <c r="D17" s="79"/>
    </row>
    <row r="18">
      <c r="A18" s="78"/>
      <c r="B18" s="9"/>
      <c r="C18" s="79"/>
      <c r="D18" s="79"/>
    </row>
    <row r="19">
      <c r="A19" s="78"/>
      <c r="B19" s="9"/>
      <c r="C19" s="79"/>
      <c r="D19" s="79"/>
    </row>
    <row r="20">
      <c r="A20" s="78"/>
      <c r="B20" s="9"/>
      <c r="C20" s="79"/>
      <c r="D20" s="79"/>
    </row>
    <row r="21">
      <c r="A21" s="78"/>
      <c r="B21" s="9"/>
      <c r="C21" s="79"/>
      <c r="D21" s="79"/>
    </row>
    <row r="22">
      <c r="A22" s="78"/>
      <c r="B22" s="9"/>
      <c r="C22" s="79"/>
      <c r="D22" s="79"/>
    </row>
    <row r="23">
      <c r="A23" s="78"/>
      <c r="B23" s="9"/>
      <c r="C23" s="79"/>
      <c r="D23" s="79"/>
    </row>
    <row r="24">
      <c r="A24" s="78"/>
      <c r="B24" s="9"/>
      <c r="C24" s="79"/>
      <c r="D24" s="79"/>
    </row>
    <row r="25">
      <c r="A25" s="78"/>
      <c r="B25" s="9"/>
      <c r="C25" s="79"/>
      <c r="D25" s="79"/>
    </row>
    <row r="26">
      <c r="A26" s="78"/>
      <c r="B26" s="9"/>
      <c r="C26" s="79"/>
      <c r="D26" s="79"/>
    </row>
    <row r="27">
      <c r="A27" s="78"/>
      <c r="B27" s="9"/>
      <c r="C27" s="79"/>
      <c r="D27" s="79"/>
    </row>
    <row r="28">
      <c r="A28" s="78"/>
      <c r="B28" s="9"/>
      <c r="C28" s="79"/>
      <c r="D28" s="79"/>
    </row>
    <row r="29">
      <c r="A29" s="78"/>
      <c r="B29" s="9"/>
      <c r="C29" s="79"/>
      <c r="D29" s="79"/>
    </row>
    <row r="30">
      <c r="A30" s="78"/>
      <c r="B30" s="9"/>
      <c r="C30" s="79"/>
      <c r="D30" s="79"/>
    </row>
    <row r="31">
      <c r="A31" s="78"/>
      <c r="B31" s="9"/>
      <c r="C31" s="79"/>
      <c r="D31" s="79"/>
    </row>
    <row r="32">
      <c r="A32" s="78"/>
      <c r="B32" s="9"/>
      <c r="C32" s="79"/>
      <c r="D32" s="79"/>
    </row>
    <row r="33">
      <c r="A33" s="78"/>
      <c r="B33" s="9"/>
      <c r="C33" s="79"/>
      <c r="D33" s="79"/>
    </row>
    <row r="34">
      <c r="A34" s="78"/>
      <c r="B34" s="9"/>
      <c r="C34" s="79"/>
      <c r="D34" s="79"/>
    </row>
    <row r="35">
      <c r="A35" s="78"/>
      <c r="B35" s="9"/>
      <c r="C35" s="79"/>
      <c r="D35" s="79"/>
    </row>
    <row r="36">
      <c r="A36" s="78"/>
      <c r="B36" s="9"/>
      <c r="C36" s="79"/>
      <c r="D36" s="79"/>
    </row>
    <row r="37">
      <c r="A37" s="78"/>
      <c r="B37" s="9"/>
      <c r="C37" s="79"/>
      <c r="D37" s="79"/>
    </row>
    <row r="38">
      <c r="A38" s="78"/>
      <c r="B38" s="9"/>
      <c r="C38" s="79"/>
      <c r="D38" s="79"/>
    </row>
    <row r="39">
      <c r="A39" s="78"/>
      <c r="B39" s="9"/>
      <c r="C39" s="79"/>
      <c r="D39" s="79"/>
    </row>
    <row r="40">
      <c r="A40" s="78"/>
      <c r="B40" s="9"/>
      <c r="C40" s="79"/>
      <c r="D40" s="79"/>
    </row>
    <row r="41">
      <c r="A41" s="78"/>
      <c r="B41" s="9"/>
      <c r="C41" s="79"/>
      <c r="D41" s="79"/>
    </row>
    <row r="42">
      <c r="A42" s="78"/>
      <c r="B42" s="9"/>
      <c r="C42" s="79"/>
      <c r="D42" s="79"/>
    </row>
    <row r="43">
      <c r="A43" s="78"/>
      <c r="B43" s="9"/>
      <c r="C43" s="79"/>
      <c r="D43" s="79"/>
    </row>
    <row r="44">
      <c r="A44" s="78"/>
      <c r="B44" s="9"/>
      <c r="C44" s="79"/>
      <c r="D44" s="79"/>
    </row>
    <row r="45">
      <c r="A45" s="78"/>
      <c r="B45" s="9"/>
      <c r="C45" s="79"/>
      <c r="D45" s="79"/>
    </row>
    <row r="46">
      <c r="A46" s="78"/>
      <c r="B46" s="9"/>
      <c r="C46" s="79"/>
      <c r="D46" s="79"/>
    </row>
    <row r="47">
      <c r="A47" s="78"/>
      <c r="B47" s="9"/>
      <c r="C47" s="79"/>
      <c r="D47" s="79"/>
    </row>
    <row r="48">
      <c r="A48" s="78"/>
      <c r="B48" s="9"/>
      <c r="C48" s="79"/>
      <c r="D48" s="79"/>
    </row>
    <row r="49">
      <c r="A49" s="78"/>
      <c r="B49" s="9"/>
      <c r="C49" s="79"/>
      <c r="D49" s="79"/>
    </row>
    <row r="50">
      <c r="A50" s="78"/>
      <c r="B50" s="9"/>
      <c r="C50" s="79"/>
      <c r="D50" s="79"/>
    </row>
    <row r="51">
      <c r="A51" s="78"/>
      <c r="B51" s="9"/>
      <c r="C51" s="79"/>
      <c r="D51" s="79"/>
    </row>
    <row r="52">
      <c r="A52" s="78"/>
      <c r="B52" s="9"/>
      <c r="C52" s="79"/>
      <c r="D52" s="79"/>
    </row>
    <row r="53">
      <c r="A53" s="78"/>
      <c r="B53" s="9"/>
      <c r="C53" s="79"/>
      <c r="D53" s="79"/>
    </row>
    <row r="54">
      <c r="A54" s="78"/>
      <c r="B54" s="9"/>
      <c r="C54" s="79"/>
      <c r="D54" s="79"/>
    </row>
    <row r="55">
      <c r="A55" s="78"/>
      <c r="B55" s="9"/>
      <c r="C55" s="79"/>
      <c r="D55" s="79"/>
    </row>
    <row r="56">
      <c r="A56" s="78"/>
      <c r="B56" s="9"/>
      <c r="C56" s="79"/>
      <c r="D56" s="79"/>
    </row>
    <row r="57">
      <c r="A57" s="78"/>
      <c r="B57" s="9"/>
      <c r="C57" s="79"/>
      <c r="D57" s="79"/>
    </row>
    <row r="58">
      <c r="A58" s="78"/>
      <c r="B58" s="9"/>
      <c r="C58" s="79"/>
      <c r="D58" s="79"/>
    </row>
    <row r="59">
      <c r="A59" s="78"/>
      <c r="B59" s="9"/>
      <c r="C59" s="79"/>
      <c r="D59" s="79"/>
    </row>
    <row r="60">
      <c r="A60" s="78"/>
      <c r="B60" s="9"/>
      <c r="C60" s="79"/>
      <c r="D60" s="79"/>
    </row>
    <row r="61">
      <c r="A61" s="78"/>
      <c r="B61" s="9"/>
      <c r="C61" s="79"/>
      <c r="D61" s="79"/>
    </row>
    <row r="62">
      <c r="A62" s="78"/>
      <c r="B62" s="9"/>
      <c r="C62" s="79"/>
      <c r="D62" s="79"/>
    </row>
    <row r="63">
      <c r="A63" s="78"/>
      <c r="B63" s="9"/>
      <c r="C63" s="79"/>
      <c r="D63" s="79"/>
    </row>
    <row r="64">
      <c r="A64" s="78"/>
      <c r="B64" s="9"/>
      <c r="C64" s="79"/>
      <c r="D64" s="79"/>
    </row>
    <row r="65">
      <c r="A65" s="78"/>
      <c r="B65" s="9"/>
      <c r="C65" s="79"/>
      <c r="D65" s="79"/>
    </row>
    <row r="66">
      <c r="A66" s="78"/>
      <c r="B66" s="9"/>
      <c r="C66" s="79"/>
      <c r="D66" s="79"/>
    </row>
    <row r="67">
      <c r="A67" s="78"/>
      <c r="B67" s="9"/>
      <c r="C67" s="79"/>
      <c r="D67" s="79"/>
    </row>
    <row r="68">
      <c r="A68" s="78"/>
      <c r="B68" s="9"/>
      <c r="C68" s="79"/>
      <c r="D68" s="79"/>
    </row>
    <row r="69">
      <c r="A69" s="78"/>
      <c r="B69" s="9"/>
      <c r="C69" s="79"/>
      <c r="D69" s="79"/>
    </row>
    <row r="70">
      <c r="A70" s="78"/>
      <c r="B70" s="9"/>
      <c r="C70" s="79"/>
      <c r="D70" s="79"/>
    </row>
    <row r="71">
      <c r="A71" s="78"/>
      <c r="B71" s="9"/>
      <c r="C71" s="79"/>
      <c r="D71" s="79"/>
    </row>
    <row r="72">
      <c r="A72" s="78"/>
      <c r="B72" s="9"/>
      <c r="C72" s="79"/>
      <c r="D72" s="79"/>
    </row>
    <row r="73">
      <c r="A73" s="78"/>
      <c r="B73" s="9"/>
      <c r="C73" s="79"/>
      <c r="D73" s="79"/>
    </row>
    <row r="74">
      <c r="A74" s="78"/>
      <c r="B74" s="9"/>
      <c r="C74" s="79"/>
      <c r="D74" s="79"/>
    </row>
    <row r="75">
      <c r="A75" s="78"/>
      <c r="B75" s="9"/>
      <c r="C75" s="79"/>
      <c r="D75" s="79"/>
    </row>
    <row r="76">
      <c r="A76" s="78"/>
      <c r="B76" s="9"/>
      <c r="C76" s="79"/>
      <c r="D76" s="79"/>
    </row>
    <row r="77">
      <c r="A77" s="78"/>
      <c r="B77" s="9"/>
      <c r="C77" s="79"/>
      <c r="D77" s="79"/>
    </row>
    <row r="78">
      <c r="A78" s="78"/>
      <c r="B78" s="9"/>
      <c r="C78" s="79"/>
      <c r="D78" s="79"/>
    </row>
    <row r="79">
      <c r="A79" s="78"/>
      <c r="B79" s="9"/>
      <c r="C79" s="79"/>
      <c r="D79" s="79"/>
    </row>
    <row r="80">
      <c r="A80" s="78"/>
      <c r="B80" s="9"/>
      <c r="C80" s="79"/>
      <c r="D80" s="79"/>
    </row>
    <row r="81">
      <c r="A81" s="78"/>
      <c r="B81" s="9"/>
      <c r="C81" s="79"/>
      <c r="D81" s="79"/>
    </row>
    <row r="82">
      <c r="A82" s="78"/>
      <c r="B82" s="9"/>
      <c r="C82" s="79"/>
      <c r="D82" s="79"/>
    </row>
    <row r="83">
      <c r="A83" s="78"/>
      <c r="B83" s="9"/>
      <c r="C83" s="79"/>
      <c r="D83" s="79"/>
    </row>
    <row r="84">
      <c r="A84" s="78"/>
      <c r="B84" s="9"/>
      <c r="C84" s="79"/>
      <c r="D84" s="79"/>
    </row>
    <row r="85">
      <c r="A85" s="78"/>
      <c r="B85" s="9"/>
      <c r="C85" s="79"/>
      <c r="D85" s="79"/>
    </row>
    <row r="86">
      <c r="A86" s="78"/>
      <c r="B86" s="9"/>
      <c r="C86" s="79"/>
      <c r="D86" s="79"/>
    </row>
    <row r="87">
      <c r="A87" s="78"/>
      <c r="B87" s="9"/>
      <c r="C87" s="79"/>
      <c r="D87" s="79"/>
    </row>
    <row r="88">
      <c r="A88" s="78"/>
      <c r="B88" s="9"/>
      <c r="C88" s="79"/>
      <c r="D88" s="79"/>
    </row>
    <row r="89">
      <c r="A89" s="78"/>
      <c r="B89" s="9"/>
      <c r="C89" s="79"/>
      <c r="D89" s="79"/>
    </row>
    <row r="90">
      <c r="A90" s="78"/>
      <c r="B90" s="9"/>
      <c r="C90" s="79"/>
      <c r="D90" s="79"/>
    </row>
    <row r="91">
      <c r="A91" s="78"/>
      <c r="B91" s="9"/>
      <c r="C91" s="79"/>
      <c r="D91" s="79"/>
    </row>
    <row r="92">
      <c r="A92" s="78"/>
      <c r="B92" s="9"/>
      <c r="C92" s="79"/>
      <c r="D92" s="79"/>
    </row>
    <row r="93">
      <c r="A93" s="78"/>
      <c r="B93" s="9"/>
      <c r="C93" s="79"/>
      <c r="D93" s="79"/>
    </row>
    <row r="94">
      <c r="A94" s="78"/>
      <c r="B94" s="9"/>
      <c r="C94" s="79"/>
      <c r="D94" s="79"/>
    </row>
    <row r="95">
      <c r="A95" s="78"/>
      <c r="B95" s="9"/>
      <c r="C95" s="79"/>
      <c r="D95" s="79"/>
    </row>
    <row r="96">
      <c r="A96" s="78"/>
      <c r="B96" s="9"/>
      <c r="C96" s="79"/>
      <c r="D96" s="79"/>
    </row>
    <row r="97">
      <c r="A97" s="78"/>
      <c r="B97" s="9"/>
      <c r="C97" s="79"/>
      <c r="D97" s="79"/>
    </row>
    <row r="98">
      <c r="A98" s="78"/>
      <c r="B98" s="9"/>
      <c r="C98" s="79"/>
      <c r="D98" s="79"/>
    </row>
    <row r="99">
      <c r="A99" s="78"/>
      <c r="B99" s="9"/>
      <c r="C99" s="79"/>
      <c r="D99" s="79"/>
    </row>
    <row r="100">
      <c r="A100" s="78"/>
      <c r="B100" s="9"/>
      <c r="C100" s="79"/>
      <c r="D100" s="79"/>
    </row>
    <row r="101">
      <c r="A101" s="78"/>
      <c r="B101" s="9"/>
      <c r="C101" s="79"/>
      <c r="D101" s="79"/>
    </row>
    <row r="102">
      <c r="A102" s="78"/>
      <c r="B102" s="9"/>
      <c r="C102" s="79"/>
      <c r="D102" s="79"/>
    </row>
    <row r="103">
      <c r="A103" s="78"/>
      <c r="B103" s="9"/>
      <c r="C103" s="79"/>
      <c r="D103" s="79"/>
    </row>
    <row r="104">
      <c r="A104" s="78"/>
      <c r="B104" s="9"/>
      <c r="C104" s="79"/>
      <c r="D104" s="79"/>
    </row>
    <row r="105">
      <c r="A105" s="78"/>
      <c r="B105" s="9"/>
      <c r="C105" s="79"/>
      <c r="D105" s="79"/>
    </row>
    <row r="106">
      <c r="A106" s="78"/>
      <c r="B106" s="9"/>
      <c r="C106" s="79"/>
      <c r="D106" s="79"/>
    </row>
    <row r="107">
      <c r="A107" s="78"/>
      <c r="B107" s="9"/>
      <c r="C107" s="79"/>
      <c r="D107" s="79"/>
    </row>
    <row r="108">
      <c r="A108" s="78"/>
      <c r="B108" s="9"/>
      <c r="C108" s="79"/>
      <c r="D108" s="79"/>
    </row>
    <row r="109">
      <c r="A109" s="78"/>
      <c r="B109" s="9"/>
      <c r="C109" s="79"/>
      <c r="D109" s="79"/>
    </row>
    <row r="110">
      <c r="A110" s="78"/>
      <c r="B110" s="9"/>
      <c r="C110" s="79"/>
      <c r="D110" s="79"/>
    </row>
    <row r="111">
      <c r="A111" s="78"/>
      <c r="B111" s="9"/>
      <c r="C111" s="79"/>
      <c r="D111" s="79"/>
    </row>
    <row r="112">
      <c r="A112" s="78"/>
      <c r="B112" s="9"/>
      <c r="C112" s="79"/>
      <c r="D112" s="79"/>
    </row>
    <row r="113">
      <c r="A113" s="78"/>
      <c r="B113" s="9"/>
      <c r="C113" s="79"/>
      <c r="D113" s="79"/>
    </row>
    <row r="114">
      <c r="A114" s="78"/>
      <c r="B114" s="9"/>
      <c r="C114" s="79"/>
      <c r="D114" s="79"/>
    </row>
    <row r="115">
      <c r="A115" s="78"/>
      <c r="B115" s="9"/>
      <c r="C115" s="79"/>
      <c r="D115" s="79"/>
    </row>
    <row r="116">
      <c r="A116" s="78"/>
      <c r="B116" s="9"/>
      <c r="C116" s="79"/>
      <c r="D116" s="79"/>
    </row>
    <row r="117">
      <c r="A117" s="78"/>
      <c r="B117" s="9"/>
      <c r="C117" s="79"/>
      <c r="D117" s="79"/>
    </row>
    <row r="118">
      <c r="A118" s="78"/>
      <c r="B118" s="9"/>
      <c r="C118" s="79"/>
      <c r="D118" s="79"/>
    </row>
    <row r="119">
      <c r="A119" s="78"/>
      <c r="B119" s="9"/>
      <c r="C119" s="79"/>
      <c r="D119" s="79"/>
    </row>
    <row r="120">
      <c r="A120" s="78"/>
      <c r="B120" s="9"/>
      <c r="C120" s="79"/>
      <c r="D120" s="79"/>
    </row>
    <row r="121">
      <c r="A121" s="78"/>
      <c r="B121" s="9"/>
      <c r="C121" s="79"/>
      <c r="D121" s="79"/>
    </row>
    <row r="122">
      <c r="A122" s="78"/>
      <c r="B122" s="9"/>
      <c r="C122" s="79"/>
      <c r="D122" s="79"/>
    </row>
    <row r="123">
      <c r="A123" s="78"/>
      <c r="B123" s="9"/>
      <c r="C123" s="79"/>
      <c r="D123" s="79"/>
    </row>
    <row r="124">
      <c r="A124" s="78"/>
      <c r="B124" s="9"/>
      <c r="C124" s="79"/>
      <c r="D124" s="79"/>
    </row>
    <row r="125">
      <c r="A125" s="78"/>
      <c r="B125" s="9"/>
      <c r="C125" s="79"/>
      <c r="D125" s="79"/>
    </row>
    <row r="126">
      <c r="A126" s="78"/>
      <c r="B126" s="9"/>
      <c r="C126" s="79"/>
      <c r="D126" s="79"/>
    </row>
    <row r="127">
      <c r="A127" s="78"/>
      <c r="B127" s="9"/>
      <c r="C127" s="79"/>
      <c r="D127" s="79"/>
    </row>
    <row r="128">
      <c r="A128" s="78"/>
      <c r="B128" s="9"/>
      <c r="C128" s="79"/>
      <c r="D128" s="79"/>
    </row>
    <row r="129">
      <c r="A129" s="78"/>
      <c r="B129" s="9"/>
      <c r="C129" s="79"/>
      <c r="D129" s="79"/>
    </row>
    <row r="130">
      <c r="A130" s="78"/>
      <c r="B130" s="9"/>
      <c r="C130" s="79"/>
      <c r="D130" s="79"/>
    </row>
    <row r="131">
      <c r="A131" s="78"/>
      <c r="B131" s="9"/>
      <c r="C131" s="79"/>
      <c r="D131" s="79"/>
    </row>
    <row r="132">
      <c r="A132" s="78"/>
      <c r="B132" s="9"/>
      <c r="C132" s="79"/>
      <c r="D132" s="79"/>
    </row>
    <row r="133">
      <c r="A133" s="78"/>
      <c r="B133" s="9"/>
      <c r="C133" s="79"/>
      <c r="D133" s="79"/>
    </row>
    <row r="134">
      <c r="A134" s="78"/>
      <c r="B134" s="9"/>
      <c r="C134" s="79"/>
      <c r="D134" s="79"/>
    </row>
    <row r="135">
      <c r="A135" s="78"/>
      <c r="B135" s="9"/>
      <c r="C135" s="79"/>
      <c r="D135" s="79"/>
    </row>
    <row r="136">
      <c r="A136" s="78"/>
      <c r="B136" s="9"/>
      <c r="C136" s="79"/>
      <c r="D136" s="79"/>
    </row>
    <row r="137">
      <c r="A137" s="78"/>
      <c r="B137" s="9"/>
      <c r="C137" s="79"/>
      <c r="D137" s="79"/>
    </row>
    <row r="138">
      <c r="A138" s="78"/>
      <c r="B138" s="9"/>
      <c r="C138" s="79"/>
      <c r="D138" s="79"/>
    </row>
    <row r="139">
      <c r="A139" s="78"/>
      <c r="B139" s="9"/>
      <c r="C139" s="79"/>
      <c r="D139" s="79"/>
    </row>
    <row r="140">
      <c r="A140" s="78"/>
      <c r="B140" s="9"/>
      <c r="C140" s="79"/>
      <c r="D140" s="79"/>
    </row>
    <row r="141">
      <c r="A141" s="78"/>
      <c r="B141" s="9"/>
      <c r="C141" s="79"/>
      <c r="D141" s="79"/>
    </row>
    <row r="142">
      <c r="A142" s="78"/>
      <c r="B142" s="9"/>
      <c r="C142" s="79"/>
      <c r="D142" s="79"/>
    </row>
    <row r="143">
      <c r="A143" s="78"/>
      <c r="B143" s="9"/>
      <c r="C143" s="79"/>
      <c r="D143" s="79"/>
    </row>
    <row r="144">
      <c r="A144" s="78"/>
      <c r="B144" s="9"/>
      <c r="C144" s="79"/>
      <c r="D144" s="79"/>
    </row>
    <row r="145">
      <c r="A145" s="78"/>
      <c r="B145" s="9"/>
      <c r="C145" s="79"/>
      <c r="D145" s="79"/>
    </row>
    <row r="146">
      <c r="A146" s="78"/>
      <c r="B146" s="9"/>
      <c r="C146" s="79"/>
      <c r="D146" s="79"/>
    </row>
    <row r="147">
      <c r="A147" s="78"/>
      <c r="B147" s="9"/>
      <c r="C147" s="79"/>
      <c r="D147" s="79"/>
    </row>
    <row r="148">
      <c r="A148" s="78"/>
      <c r="B148" s="9"/>
      <c r="C148" s="79"/>
      <c r="D148" s="79"/>
    </row>
    <row r="149">
      <c r="A149" s="78"/>
      <c r="B149" s="9"/>
      <c r="C149" s="79"/>
      <c r="D149" s="79"/>
    </row>
    <row r="150">
      <c r="A150" s="78"/>
      <c r="B150" s="9"/>
      <c r="C150" s="79"/>
      <c r="D150" s="79"/>
    </row>
    <row r="151">
      <c r="A151" s="78"/>
      <c r="B151" s="9"/>
      <c r="C151" s="79"/>
      <c r="D151" s="79"/>
    </row>
    <row r="152">
      <c r="A152" s="78"/>
      <c r="B152" s="9"/>
      <c r="C152" s="79"/>
      <c r="D152" s="79"/>
    </row>
    <row r="153">
      <c r="A153" s="78"/>
      <c r="B153" s="9"/>
      <c r="C153" s="79"/>
      <c r="D153" s="79"/>
    </row>
    <row r="154">
      <c r="A154" s="78"/>
      <c r="B154" s="9"/>
      <c r="C154" s="79"/>
      <c r="D154" s="79"/>
    </row>
    <row r="155">
      <c r="A155" s="78"/>
      <c r="B155" s="9"/>
      <c r="C155" s="79"/>
      <c r="D155" s="79"/>
    </row>
    <row r="156">
      <c r="A156" s="78"/>
      <c r="B156" s="9"/>
      <c r="C156" s="79"/>
      <c r="D156" s="79"/>
    </row>
    <row r="157">
      <c r="A157" s="78"/>
      <c r="B157" s="9"/>
      <c r="C157" s="79"/>
      <c r="D157" s="79"/>
    </row>
    <row r="158">
      <c r="A158" s="78"/>
      <c r="B158" s="9"/>
      <c r="C158" s="79"/>
      <c r="D158" s="79"/>
    </row>
    <row r="159">
      <c r="A159" s="78"/>
      <c r="B159" s="9"/>
      <c r="C159" s="79"/>
      <c r="D159" s="79"/>
    </row>
    <row r="160">
      <c r="A160" s="78"/>
      <c r="B160" s="79"/>
      <c r="C160" s="79"/>
      <c r="D160" s="79"/>
    </row>
    <row r="161">
      <c r="A161" s="78"/>
      <c r="B161" s="79"/>
      <c r="C161" s="79"/>
      <c r="D161" s="79"/>
    </row>
    <row r="162">
      <c r="A162" s="78"/>
      <c r="B162" s="79"/>
      <c r="C162" s="79"/>
      <c r="D162" s="79"/>
    </row>
    <row r="163">
      <c r="A163" s="78"/>
      <c r="B163" s="79"/>
      <c r="C163" s="79"/>
      <c r="D163" s="79"/>
    </row>
    <row r="164">
      <c r="A164" s="78"/>
      <c r="B164" s="79"/>
      <c r="C164" s="79"/>
      <c r="D164" s="79"/>
    </row>
    <row r="165">
      <c r="A165" s="78"/>
      <c r="B165" s="79"/>
      <c r="C165" s="79"/>
      <c r="D165" s="79"/>
    </row>
    <row r="166">
      <c r="A166" s="78"/>
      <c r="B166" s="79"/>
      <c r="C166" s="79"/>
      <c r="D166" s="79"/>
    </row>
    <row r="167">
      <c r="A167" s="78"/>
      <c r="B167" s="79"/>
      <c r="C167" s="79"/>
      <c r="D167" s="79"/>
    </row>
    <row r="168">
      <c r="A168" s="78"/>
      <c r="B168" s="79"/>
      <c r="C168" s="79"/>
      <c r="D168" s="79"/>
    </row>
    <row r="169">
      <c r="A169" s="78"/>
      <c r="B169" s="79"/>
      <c r="C169" s="79"/>
      <c r="D169" s="79"/>
    </row>
    <row r="170">
      <c r="A170" s="78"/>
      <c r="B170" s="79"/>
      <c r="C170" s="79"/>
      <c r="D170" s="79"/>
    </row>
    <row r="171">
      <c r="A171" s="78"/>
      <c r="B171" s="79"/>
      <c r="C171" s="79"/>
      <c r="D171" s="79"/>
    </row>
    <row r="172">
      <c r="A172" s="78"/>
      <c r="B172" s="79"/>
      <c r="C172" s="79"/>
      <c r="D172" s="79"/>
    </row>
    <row r="173">
      <c r="A173" s="78"/>
      <c r="B173" s="79"/>
      <c r="C173" s="79"/>
      <c r="D173" s="79"/>
    </row>
    <row r="174">
      <c r="A174" s="78"/>
      <c r="B174" s="79"/>
      <c r="C174" s="79"/>
      <c r="D174" s="79"/>
    </row>
    <row r="175">
      <c r="A175" s="78"/>
      <c r="B175" s="79"/>
      <c r="C175" s="79"/>
      <c r="D175" s="79"/>
    </row>
    <row r="176">
      <c r="A176" s="78"/>
      <c r="B176" s="79"/>
      <c r="C176" s="79"/>
      <c r="D176" s="79"/>
    </row>
    <row r="177">
      <c r="A177" s="78"/>
      <c r="B177" s="79"/>
      <c r="C177" s="79"/>
      <c r="D177" s="79"/>
    </row>
    <row r="178">
      <c r="A178" s="78"/>
      <c r="B178" s="79"/>
      <c r="C178" s="79"/>
      <c r="D178" s="79"/>
    </row>
    <row r="179">
      <c r="A179" s="78"/>
      <c r="B179" s="79"/>
      <c r="C179" s="79"/>
      <c r="D179" s="79"/>
    </row>
    <row r="180">
      <c r="A180" s="78"/>
      <c r="B180" s="79"/>
      <c r="C180" s="79"/>
      <c r="D180" s="79"/>
    </row>
    <row r="181">
      <c r="A181" s="78"/>
      <c r="B181" s="79"/>
      <c r="C181" s="79"/>
      <c r="D181" s="79"/>
    </row>
    <row r="182">
      <c r="A182" s="78"/>
      <c r="B182" s="79"/>
      <c r="C182" s="79"/>
      <c r="D182" s="79"/>
    </row>
    <row r="183">
      <c r="A183" s="78"/>
      <c r="B183" s="79"/>
      <c r="C183" s="79"/>
      <c r="D183" s="79"/>
    </row>
    <row r="184">
      <c r="A184" s="78"/>
      <c r="B184" s="79"/>
      <c r="C184" s="79"/>
      <c r="D184" s="79"/>
    </row>
    <row r="185">
      <c r="A185" s="78"/>
      <c r="B185" s="79"/>
      <c r="C185" s="79"/>
      <c r="D185" s="79"/>
    </row>
    <row r="186">
      <c r="A186" s="78"/>
      <c r="B186" s="79"/>
      <c r="C186" s="79"/>
      <c r="D186" s="79"/>
    </row>
    <row r="187">
      <c r="A187" s="78"/>
      <c r="B187" s="79"/>
      <c r="C187" s="79"/>
      <c r="D187" s="79"/>
    </row>
    <row r="188">
      <c r="A188" s="78"/>
      <c r="B188" s="79"/>
      <c r="C188" s="79"/>
      <c r="D188" s="79"/>
    </row>
    <row r="189">
      <c r="A189" s="78"/>
      <c r="B189" s="79"/>
      <c r="C189" s="79"/>
      <c r="D189" s="79"/>
    </row>
    <row r="190">
      <c r="A190" s="78"/>
      <c r="B190" s="79"/>
      <c r="C190" s="79"/>
      <c r="D190" s="79"/>
    </row>
    <row r="191">
      <c r="A191" s="78"/>
      <c r="B191" s="79"/>
      <c r="C191" s="79"/>
      <c r="D191" s="79"/>
    </row>
    <row r="192">
      <c r="A192" s="78"/>
      <c r="B192" s="79"/>
      <c r="C192" s="79"/>
      <c r="D192" s="79"/>
    </row>
    <row r="193">
      <c r="A193" s="78"/>
      <c r="B193" s="79"/>
      <c r="C193" s="79"/>
      <c r="D193" s="79"/>
    </row>
    <row r="194">
      <c r="A194" s="78"/>
      <c r="B194" s="79"/>
      <c r="C194" s="79"/>
      <c r="D194" s="79"/>
    </row>
    <row r="195">
      <c r="A195" s="78"/>
      <c r="B195" s="79"/>
      <c r="C195" s="79"/>
      <c r="D195" s="79"/>
    </row>
    <row r="196">
      <c r="A196" s="78"/>
      <c r="B196" s="79"/>
      <c r="C196" s="79"/>
      <c r="D196" s="79"/>
    </row>
    <row r="197">
      <c r="A197" s="78"/>
      <c r="B197" s="79"/>
      <c r="C197" s="79"/>
      <c r="D197" s="79"/>
    </row>
    <row r="198">
      <c r="A198" s="78"/>
      <c r="B198" s="79"/>
      <c r="C198" s="79"/>
      <c r="D198" s="79"/>
    </row>
    <row r="199">
      <c r="A199" s="78"/>
      <c r="B199" s="79"/>
      <c r="C199" s="79"/>
      <c r="D199" s="79"/>
    </row>
    <row r="200">
      <c r="A200" s="78"/>
      <c r="B200" s="79"/>
      <c r="C200" s="79"/>
      <c r="D200" s="79"/>
    </row>
    <row r="201">
      <c r="A201" s="78"/>
      <c r="B201" s="79"/>
      <c r="C201" s="79"/>
      <c r="D201" s="79"/>
    </row>
    <row r="202">
      <c r="A202" s="78"/>
      <c r="B202" s="79"/>
      <c r="C202" s="79"/>
      <c r="D202" s="79"/>
    </row>
    <row r="203">
      <c r="A203" s="78"/>
      <c r="B203" s="79"/>
      <c r="C203" s="79"/>
      <c r="D203" s="79"/>
    </row>
    <row r="204">
      <c r="A204" s="78"/>
      <c r="B204" s="79"/>
      <c r="C204" s="79"/>
      <c r="D204" s="79"/>
    </row>
    <row r="205">
      <c r="A205" s="78"/>
      <c r="B205" s="79"/>
      <c r="C205" s="79"/>
      <c r="D205" s="79"/>
    </row>
    <row r="206">
      <c r="A206" s="78"/>
      <c r="B206" s="79"/>
      <c r="C206" s="79"/>
      <c r="D206" s="79"/>
    </row>
    <row r="207">
      <c r="A207" s="78"/>
      <c r="B207" s="79"/>
      <c r="C207" s="79"/>
      <c r="D207" s="79"/>
    </row>
    <row r="208">
      <c r="A208" s="78"/>
      <c r="B208" s="79"/>
      <c r="C208" s="79"/>
      <c r="D208" s="79"/>
    </row>
    <row r="209">
      <c r="A209" s="78"/>
      <c r="B209" s="79"/>
      <c r="C209" s="79"/>
      <c r="D209" s="79"/>
    </row>
    <row r="210">
      <c r="A210" s="78"/>
      <c r="B210" s="79"/>
      <c r="C210" s="79"/>
      <c r="D210" s="79"/>
    </row>
    <row r="211">
      <c r="A211" s="78"/>
      <c r="B211" s="79"/>
      <c r="C211" s="79"/>
      <c r="D211" s="79"/>
    </row>
    <row r="212">
      <c r="A212" s="78"/>
      <c r="B212" s="79"/>
      <c r="C212" s="79"/>
      <c r="D212" s="79"/>
    </row>
    <row r="213">
      <c r="A213" s="78"/>
      <c r="B213" s="79"/>
      <c r="C213" s="79"/>
      <c r="D213" s="79"/>
    </row>
    <row r="214">
      <c r="A214" s="78"/>
      <c r="B214" s="79"/>
      <c r="C214" s="79"/>
      <c r="D214" s="79"/>
    </row>
    <row r="215">
      <c r="A215" s="78"/>
      <c r="B215" s="79"/>
      <c r="C215" s="79"/>
      <c r="D215" s="79"/>
    </row>
    <row r="216">
      <c r="A216" s="78"/>
      <c r="B216" s="79"/>
      <c r="C216" s="79"/>
      <c r="D216" s="79"/>
    </row>
    <row r="217">
      <c r="A217" s="78"/>
      <c r="B217" s="79"/>
      <c r="C217" s="79"/>
      <c r="D217" s="79"/>
    </row>
    <row r="218">
      <c r="A218" s="78"/>
      <c r="B218" s="79"/>
      <c r="C218" s="79"/>
      <c r="D218" s="79"/>
    </row>
    <row r="219">
      <c r="A219" s="78"/>
      <c r="B219" s="79"/>
      <c r="C219" s="79"/>
      <c r="D219" s="79"/>
    </row>
    <row r="220">
      <c r="A220" s="78"/>
      <c r="B220" s="79"/>
      <c r="C220" s="79"/>
      <c r="D220" s="79"/>
    </row>
    <row r="221">
      <c r="A221" s="78"/>
      <c r="B221" s="79"/>
      <c r="C221" s="79"/>
      <c r="D221" s="79"/>
    </row>
    <row r="222">
      <c r="A222" s="78"/>
      <c r="B222" s="79"/>
      <c r="C222" s="79"/>
      <c r="D222" s="79"/>
    </row>
    <row r="223">
      <c r="A223" s="78"/>
      <c r="B223" s="79"/>
      <c r="C223" s="79"/>
      <c r="D223" s="79"/>
    </row>
    <row r="224">
      <c r="A224" s="78"/>
      <c r="B224" s="79"/>
      <c r="C224" s="79"/>
      <c r="D224" s="79"/>
    </row>
    <row r="225">
      <c r="A225" s="78"/>
      <c r="B225" s="79"/>
      <c r="C225" s="79"/>
      <c r="D225" s="79"/>
    </row>
    <row r="226">
      <c r="A226" s="78"/>
      <c r="B226" s="79"/>
      <c r="C226" s="79"/>
      <c r="D226" s="79"/>
    </row>
    <row r="227">
      <c r="A227" s="78"/>
      <c r="B227" s="79"/>
      <c r="C227" s="79"/>
      <c r="D227" s="79"/>
    </row>
    <row r="228">
      <c r="A228" s="78"/>
      <c r="B228" s="79"/>
      <c r="C228" s="79"/>
      <c r="D228" s="79"/>
    </row>
    <row r="229">
      <c r="A229" s="78"/>
      <c r="B229" s="79"/>
      <c r="C229" s="79"/>
      <c r="D229" s="79"/>
    </row>
    <row r="230">
      <c r="A230" s="78"/>
      <c r="B230" s="79"/>
      <c r="C230" s="79"/>
      <c r="D230" s="79"/>
    </row>
    <row r="231">
      <c r="A231" s="78"/>
      <c r="B231" s="79"/>
      <c r="C231" s="79"/>
      <c r="D231" s="79"/>
    </row>
    <row r="232">
      <c r="A232" s="78"/>
      <c r="B232" s="79"/>
      <c r="C232" s="79"/>
      <c r="D232" s="79"/>
    </row>
    <row r="233">
      <c r="A233" s="78"/>
      <c r="B233" s="79"/>
      <c r="C233" s="79"/>
      <c r="D233" s="79"/>
    </row>
    <row r="234">
      <c r="A234" s="78"/>
      <c r="B234" s="79"/>
      <c r="C234" s="79"/>
      <c r="D234" s="79"/>
    </row>
    <row r="235">
      <c r="A235" s="78"/>
      <c r="B235" s="79"/>
      <c r="C235" s="79"/>
      <c r="D235" s="79"/>
    </row>
    <row r="236">
      <c r="A236" s="78"/>
      <c r="B236" s="79"/>
      <c r="C236" s="79"/>
      <c r="D236" s="79"/>
    </row>
    <row r="237">
      <c r="A237" s="78"/>
      <c r="B237" s="79"/>
      <c r="C237" s="79"/>
      <c r="D237" s="79"/>
    </row>
    <row r="238">
      <c r="A238" s="78"/>
      <c r="B238" s="79"/>
      <c r="C238" s="79"/>
      <c r="D238" s="79"/>
    </row>
    <row r="239">
      <c r="A239" s="78"/>
      <c r="B239" s="79"/>
      <c r="C239" s="79"/>
      <c r="D239" s="79"/>
    </row>
    <row r="240">
      <c r="A240" s="78"/>
      <c r="B240" s="79"/>
      <c r="C240" s="79"/>
      <c r="D240" s="79"/>
    </row>
    <row r="241">
      <c r="A241" s="78"/>
      <c r="B241" s="79"/>
      <c r="C241" s="79"/>
      <c r="D241" s="79"/>
    </row>
    <row r="242">
      <c r="A242" s="78"/>
      <c r="B242" s="79"/>
      <c r="C242" s="79"/>
      <c r="D242" s="79"/>
    </row>
    <row r="243">
      <c r="A243" s="78"/>
      <c r="B243" s="79"/>
      <c r="C243" s="79"/>
      <c r="D243" s="79"/>
    </row>
    <row r="244">
      <c r="A244" s="78"/>
      <c r="B244" s="79"/>
      <c r="C244" s="79"/>
      <c r="D244" s="79"/>
    </row>
    <row r="245">
      <c r="A245" s="78"/>
      <c r="B245" s="79"/>
      <c r="C245" s="79"/>
      <c r="D245" s="79"/>
    </row>
    <row r="246">
      <c r="A246" s="78"/>
      <c r="B246" s="79"/>
      <c r="C246" s="79"/>
      <c r="D246" s="79"/>
    </row>
    <row r="247">
      <c r="A247" s="78"/>
      <c r="B247" s="79"/>
      <c r="C247" s="79"/>
      <c r="D247" s="79"/>
    </row>
    <row r="248">
      <c r="A248" s="78"/>
      <c r="B248" s="79"/>
      <c r="C248" s="79"/>
      <c r="D248" s="79"/>
    </row>
    <row r="249">
      <c r="A249" s="78"/>
      <c r="B249" s="79"/>
      <c r="C249" s="79"/>
      <c r="D249" s="79"/>
    </row>
    <row r="250">
      <c r="A250" s="78"/>
      <c r="B250" s="79"/>
      <c r="C250" s="79"/>
      <c r="D250" s="79"/>
    </row>
    <row r="251">
      <c r="A251" s="78"/>
      <c r="B251" s="79"/>
      <c r="C251" s="79"/>
      <c r="D251" s="79"/>
    </row>
    <row r="252">
      <c r="A252" s="78"/>
      <c r="B252" s="79"/>
      <c r="C252" s="79"/>
      <c r="D252" s="79"/>
    </row>
    <row r="253">
      <c r="A253" s="78"/>
      <c r="B253" s="79"/>
      <c r="C253" s="79"/>
      <c r="D253" s="79"/>
    </row>
    <row r="254">
      <c r="A254" s="78"/>
      <c r="B254" s="79"/>
      <c r="C254" s="79"/>
      <c r="D254" s="79"/>
    </row>
    <row r="255">
      <c r="A255" s="78"/>
      <c r="B255" s="79"/>
      <c r="C255" s="79"/>
      <c r="D255" s="79"/>
    </row>
    <row r="256">
      <c r="A256" s="78"/>
      <c r="B256" s="79"/>
      <c r="C256" s="79"/>
      <c r="D256" s="79"/>
    </row>
    <row r="257">
      <c r="A257" s="78"/>
      <c r="B257" s="79"/>
      <c r="C257" s="79"/>
      <c r="D257" s="79"/>
    </row>
    <row r="258">
      <c r="A258" s="78"/>
      <c r="B258" s="79"/>
      <c r="C258" s="79"/>
      <c r="D258" s="79"/>
    </row>
    <row r="259">
      <c r="A259" s="78"/>
      <c r="B259" s="79"/>
      <c r="C259" s="79"/>
      <c r="D259" s="79"/>
    </row>
    <row r="260">
      <c r="A260" s="78"/>
      <c r="B260" s="79"/>
      <c r="C260" s="79"/>
      <c r="D260" s="79"/>
    </row>
    <row r="261">
      <c r="A261" s="78"/>
      <c r="B261" s="79"/>
      <c r="C261" s="79"/>
      <c r="D261" s="79"/>
    </row>
    <row r="262">
      <c r="A262" s="78"/>
      <c r="B262" s="79"/>
      <c r="C262" s="79"/>
      <c r="D262" s="79"/>
    </row>
    <row r="263">
      <c r="A263" s="78"/>
      <c r="B263" s="79"/>
      <c r="C263" s="79"/>
      <c r="D263" s="79"/>
    </row>
    <row r="264">
      <c r="A264" s="78"/>
      <c r="B264" s="79"/>
      <c r="C264" s="79"/>
      <c r="D264" s="79"/>
    </row>
    <row r="265">
      <c r="A265" s="78"/>
      <c r="B265" s="79"/>
      <c r="C265" s="79"/>
      <c r="D265" s="79"/>
    </row>
    <row r="266">
      <c r="A266" s="78"/>
      <c r="B266" s="79"/>
      <c r="C266" s="79"/>
      <c r="D266" s="79"/>
    </row>
    <row r="267">
      <c r="A267" s="78"/>
      <c r="B267" s="79"/>
      <c r="C267" s="79"/>
      <c r="D267" s="79"/>
    </row>
    <row r="268">
      <c r="A268" s="78"/>
      <c r="B268" s="79"/>
      <c r="C268" s="79"/>
      <c r="D268" s="79"/>
    </row>
    <row r="269">
      <c r="A269" s="78"/>
      <c r="B269" s="79"/>
      <c r="C269" s="79"/>
      <c r="D269" s="79"/>
    </row>
    <row r="270">
      <c r="A270" s="78"/>
      <c r="B270" s="79"/>
      <c r="C270" s="79"/>
      <c r="D270" s="79"/>
    </row>
    <row r="271">
      <c r="A271" s="78"/>
      <c r="B271" s="79"/>
      <c r="C271" s="79"/>
      <c r="D271" s="79"/>
    </row>
    <row r="272">
      <c r="A272" s="78"/>
      <c r="B272" s="79"/>
      <c r="C272" s="79"/>
      <c r="D272" s="79"/>
    </row>
    <row r="273">
      <c r="A273" s="78"/>
      <c r="B273" s="79"/>
      <c r="C273" s="79"/>
      <c r="D273" s="79"/>
    </row>
    <row r="274">
      <c r="A274" s="78"/>
      <c r="B274" s="79"/>
      <c r="C274" s="79"/>
      <c r="D274" s="79"/>
    </row>
    <row r="275">
      <c r="A275" s="78"/>
      <c r="B275" s="79"/>
      <c r="C275" s="79"/>
      <c r="D275" s="79"/>
    </row>
    <row r="276">
      <c r="A276" s="78"/>
      <c r="B276" s="79"/>
      <c r="C276" s="79"/>
      <c r="D276" s="79"/>
    </row>
    <row r="277">
      <c r="A277" s="78"/>
      <c r="B277" s="79"/>
      <c r="C277" s="79"/>
      <c r="D277" s="79"/>
    </row>
    <row r="278">
      <c r="A278" s="78"/>
      <c r="B278" s="79"/>
      <c r="C278" s="79"/>
      <c r="D278" s="79"/>
    </row>
    <row r="279">
      <c r="A279" s="78"/>
      <c r="B279" s="79"/>
      <c r="C279" s="79"/>
      <c r="D279" s="79"/>
    </row>
    <row r="280">
      <c r="A280" s="78"/>
      <c r="B280" s="79"/>
      <c r="C280" s="79"/>
      <c r="D280" s="79"/>
    </row>
    <row r="281">
      <c r="A281" s="78"/>
      <c r="B281" s="79"/>
      <c r="C281" s="79"/>
      <c r="D281" s="79"/>
    </row>
    <row r="282">
      <c r="A282" s="78"/>
      <c r="B282" s="79"/>
      <c r="C282" s="79"/>
      <c r="D282" s="79"/>
    </row>
    <row r="283">
      <c r="A283" s="78"/>
      <c r="B283" s="79"/>
      <c r="C283" s="79"/>
      <c r="D283" s="79"/>
    </row>
    <row r="284">
      <c r="A284" s="78"/>
      <c r="B284" s="79"/>
      <c r="C284" s="79"/>
      <c r="D284" s="79"/>
    </row>
    <row r="285">
      <c r="A285" s="78"/>
      <c r="B285" s="79"/>
      <c r="C285" s="79"/>
      <c r="D285" s="79"/>
    </row>
    <row r="286">
      <c r="A286" s="78"/>
      <c r="B286" s="79"/>
      <c r="C286" s="79"/>
      <c r="D286" s="79"/>
    </row>
    <row r="287">
      <c r="A287" s="78"/>
      <c r="B287" s="79"/>
      <c r="C287" s="79"/>
      <c r="D287" s="79"/>
    </row>
    <row r="288">
      <c r="A288" s="78"/>
      <c r="B288" s="79"/>
      <c r="C288" s="79"/>
      <c r="D288" s="79"/>
    </row>
    <row r="289">
      <c r="A289" s="78"/>
      <c r="B289" s="79"/>
      <c r="C289" s="79"/>
      <c r="D289" s="79"/>
    </row>
    <row r="290">
      <c r="A290" s="78"/>
      <c r="B290" s="79"/>
      <c r="C290" s="79"/>
      <c r="D290" s="79"/>
    </row>
    <row r="291">
      <c r="A291" s="78"/>
      <c r="B291" s="79"/>
      <c r="C291" s="79"/>
      <c r="D291" s="79"/>
    </row>
    <row r="292">
      <c r="A292" s="78"/>
      <c r="B292" s="79"/>
      <c r="C292" s="79"/>
      <c r="D292" s="79"/>
    </row>
    <row r="293">
      <c r="A293" s="78"/>
      <c r="B293" s="79"/>
      <c r="C293" s="79"/>
      <c r="D293" s="79"/>
    </row>
    <row r="294">
      <c r="A294" s="78"/>
      <c r="B294" s="79"/>
      <c r="C294" s="79"/>
      <c r="D294" s="79"/>
    </row>
    <row r="295">
      <c r="A295" s="78"/>
      <c r="B295" s="79"/>
      <c r="C295" s="79"/>
      <c r="D295" s="79"/>
    </row>
    <row r="296">
      <c r="A296" s="78"/>
      <c r="B296" s="79"/>
      <c r="C296" s="79"/>
      <c r="D296" s="79"/>
    </row>
    <row r="297">
      <c r="A297" s="78"/>
      <c r="B297" s="79"/>
      <c r="C297" s="79"/>
      <c r="D297" s="79"/>
    </row>
    <row r="298">
      <c r="A298" s="78"/>
      <c r="B298" s="79"/>
      <c r="C298" s="79"/>
      <c r="D298" s="79"/>
    </row>
    <row r="299">
      <c r="A299" s="78"/>
      <c r="B299" s="79"/>
      <c r="C299" s="79"/>
      <c r="D299" s="79"/>
    </row>
    <row r="300">
      <c r="A300" s="78"/>
      <c r="B300" s="79"/>
      <c r="C300" s="79"/>
      <c r="D300" s="79"/>
    </row>
    <row r="301">
      <c r="A301" s="78"/>
      <c r="B301" s="79"/>
      <c r="C301" s="79"/>
      <c r="D301" s="79"/>
    </row>
    <row r="302">
      <c r="A302" s="78"/>
      <c r="B302" s="79"/>
      <c r="C302" s="79"/>
      <c r="D302" s="79"/>
    </row>
    <row r="303">
      <c r="A303" s="78"/>
      <c r="B303" s="79"/>
      <c r="C303" s="79"/>
      <c r="D303" s="79"/>
    </row>
    <row r="304">
      <c r="A304" s="78"/>
      <c r="B304" s="79"/>
      <c r="C304" s="79"/>
      <c r="D304" s="79"/>
    </row>
    <row r="305">
      <c r="A305" s="78"/>
      <c r="B305" s="79"/>
      <c r="C305" s="79"/>
      <c r="D305" s="79"/>
    </row>
    <row r="306">
      <c r="A306" s="78"/>
      <c r="B306" s="79"/>
      <c r="C306" s="79"/>
      <c r="D306" s="79"/>
    </row>
    <row r="307">
      <c r="A307" s="78"/>
      <c r="B307" s="79"/>
      <c r="C307" s="79"/>
      <c r="D307" s="79"/>
    </row>
    <row r="308">
      <c r="A308" s="78"/>
      <c r="B308" s="79"/>
      <c r="C308" s="79"/>
      <c r="D308" s="79"/>
    </row>
    <row r="309">
      <c r="A309" s="78"/>
      <c r="B309" s="79"/>
      <c r="C309" s="79"/>
      <c r="D309" s="79"/>
    </row>
    <row r="310">
      <c r="A310" s="78"/>
      <c r="B310" s="79"/>
      <c r="C310" s="79"/>
      <c r="D310" s="79"/>
    </row>
    <row r="311">
      <c r="A311" s="78"/>
      <c r="B311" s="79"/>
      <c r="C311" s="79"/>
      <c r="D311" s="79"/>
    </row>
    <row r="312">
      <c r="A312" s="78"/>
      <c r="B312" s="79"/>
      <c r="C312" s="79"/>
      <c r="D312" s="79"/>
    </row>
    <row r="313">
      <c r="A313" s="78"/>
      <c r="B313" s="79"/>
      <c r="C313" s="79"/>
      <c r="D313" s="79"/>
    </row>
    <row r="314">
      <c r="A314" s="78"/>
      <c r="B314" s="79"/>
      <c r="C314" s="79"/>
      <c r="D314" s="79"/>
    </row>
    <row r="315">
      <c r="A315" s="78"/>
      <c r="B315" s="79"/>
      <c r="C315" s="79"/>
      <c r="D315" s="79"/>
    </row>
    <row r="316">
      <c r="A316" s="78"/>
      <c r="B316" s="79"/>
      <c r="C316" s="79"/>
      <c r="D316" s="79"/>
    </row>
    <row r="317">
      <c r="A317" s="78"/>
      <c r="B317" s="79"/>
      <c r="C317" s="79"/>
      <c r="D317" s="79"/>
    </row>
    <row r="318">
      <c r="A318" s="78"/>
      <c r="B318" s="79"/>
      <c r="C318" s="79"/>
      <c r="D318" s="79"/>
    </row>
    <row r="319">
      <c r="A319" s="78"/>
      <c r="B319" s="79"/>
      <c r="C319" s="79"/>
      <c r="D319" s="79"/>
    </row>
    <row r="320">
      <c r="A320" s="78"/>
      <c r="B320" s="79"/>
      <c r="C320" s="79"/>
      <c r="D320" s="79"/>
    </row>
    <row r="321">
      <c r="A321" s="78"/>
      <c r="B321" s="79"/>
      <c r="C321" s="79"/>
      <c r="D321" s="79"/>
    </row>
    <row r="322">
      <c r="A322" s="78"/>
      <c r="B322" s="79"/>
      <c r="C322" s="79"/>
      <c r="D322" s="79"/>
    </row>
    <row r="323">
      <c r="A323" s="78"/>
      <c r="B323" s="79"/>
      <c r="C323" s="79"/>
      <c r="D323" s="79"/>
    </row>
    <row r="324">
      <c r="A324" s="78"/>
      <c r="B324" s="79"/>
      <c r="C324" s="79"/>
      <c r="D324" s="79"/>
    </row>
    <row r="325">
      <c r="A325" s="78"/>
      <c r="B325" s="79"/>
      <c r="C325" s="79"/>
      <c r="D325" s="79"/>
    </row>
    <row r="326">
      <c r="A326" s="78"/>
      <c r="B326" s="79"/>
      <c r="C326" s="79"/>
      <c r="D326" s="79"/>
    </row>
    <row r="327">
      <c r="A327" s="78"/>
      <c r="B327" s="79"/>
      <c r="C327" s="79"/>
      <c r="D327" s="79"/>
    </row>
    <row r="328">
      <c r="A328" s="78"/>
      <c r="B328" s="79"/>
      <c r="C328" s="79"/>
      <c r="D328" s="79"/>
    </row>
    <row r="329">
      <c r="A329" s="78"/>
      <c r="B329" s="79"/>
      <c r="C329" s="79"/>
      <c r="D329" s="79"/>
    </row>
    <row r="330">
      <c r="A330" s="78"/>
      <c r="B330" s="79"/>
      <c r="C330" s="79"/>
      <c r="D330" s="79"/>
    </row>
    <row r="331">
      <c r="A331" s="78"/>
      <c r="B331" s="79"/>
      <c r="C331" s="79"/>
      <c r="D331" s="79"/>
    </row>
    <row r="332">
      <c r="A332" s="78"/>
      <c r="B332" s="79"/>
      <c r="C332" s="79"/>
      <c r="D332" s="79"/>
    </row>
    <row r="333">
      <c r="A333" s="78"/>
      <c r="B333" s="79"/>
      <c r="C333" s="79"/>
      <c r="D333" s="79"/>
    </row>
    <row r="334">
      <c r="A334" s="78"/>
      <c r="B334" s="79"/>
      <c r="C334" s="79"/>
      <c r="D334" s="79"/>
    </row>
    <row r="335">
      <c r="A335" s="78"/>
      <c r="B335" s="79"/>
      <c r="C335" s="79"/>
      <c r="D335" s="79"/>
    </row>
    <row r="336">
      <c r="A336" s="78"/>
      <c r="B336" s="79"/>
      <c r="C336" s="79"/>
      <c r="D336" s="79"/>
    </row>
    <row r="337">
      <c r="A337" s="78"/>
      <c r="B337" s="79"/>
      <c r="C337" s="79"/>
      <c r="D337" s="79"/>
    </row>
    <row r="338">
      <c r="A338" s="78"/>
      <c r="B338" s="79"/>
      <c r="C338" s="79"/>
      <c r="D338" s="79"/>
    </row>
    <row r="339">
      <c r="A339" s="78"/>
      <c r="B339" s="79"/>
      <c r="C339" s="79"/>
      <c r="D339" s="79"/>
    </row>
    <row r="340">
      <c r="A340" s="78"/>
      <c r="B340" s="79"/>
      <c r="C340" s="79"/>
      <c r="D340" s="79"/>
    </row>
    <row r="341">
      <c r="A341" s="78"/>
      <c r="B341" s="79"/>
      <c r="C341" s="79"/>
      <c r="D341" s="79"/>
    </row>
    <row r="342">
      <c r="A342" s="78"/>
      <c r="B342" s="79"/>
      <c r="C342" s="79"/>
      <c r="D342" s="79"/>
    </row>
    <row r="343">
      <c r="A343" s="78"/>
      <c r="B343" s="79"/>
      <c r="C343" s="79"/>
      <c r="D343" s="79"/>
    </row>
    <row r="344">
      <c r="A344" s="78"/>
      <c r="B344" s="79"/>
      <c r="C344" s="79"/>
      <c r="D344" s="79"/>
    </row>
    <row r="345">
      <c r="A345" s="78"/>
      <c r="B345" s="79"/>
      <c r="C345" s="79"/>
      <c r="D345" s="79"/>
    </row>
    <row r="346">
      <c r="A346" s="78"/>
      <c r="B346" s="79"/>
      <c r="C346" s="79"/>
      <c r="D346" s="79"/>
    </row>
    <row r="347">
      <c r="A347" s="78"/>
      <c r="B347" s="79"/>
      <c r="C347" s="79"/>
      <c r="D347" s="79"/>
    </row>
    <row r="348">
      <c r="A348" s="78"/>
      <c r="B348" s="79"/>
      <c r="C348" s="79"/>
      <c r="D348" s="79"/>
    </row>
    <row r="349">
      <c r="A349" s="78"/>
      <c r="B349" s="79"/>
      <c r="C349" s="79"/>
      <c r="D349" s="79"/>
    </row>
    <row r="350">
      <c r="A350" s="78"/>
      <c r="B350" s="79"/>
      <c r="C350" s="79"/>
      <c r="D350" s="79"/>
    </row>
    <row r="351">
      <c r="A351" s="78"/>
      <c r="B351" s="79"/>
      <c r="C351" s="79"/>
      <c r="D351" s="79"/>
    </row>
    <row r="352">
      <c r="A352" s="78"/>
      <c r="B352" s="79"/>
      <c r="C352" s="79"/>
      <c r="D352" s="79"/>
    </row>
    <row r="353">
      <c r="A353" s="78"/>
      <c r="B353" s="79"/>
      <c r="C353" s="79"/>
      <c r="D353" s="79"/>
    </row>
    <row r="354">
      <c r="A354" s="78"/>
      <c r="B354" s="79"/>
      <c r="C354" s="79"/>
      <c r="D354" s="79"/>
    </row>
    <row r="355">
      <c r="A355" s="78"/>
      <c r="B355" s="79"/>
      <c r="C355" s="79"/>
      <c r="D355" s="79"/>
    </row>
    <row r="356">
      <c r="A356" s="78"/>
      <c r="B356" s="79"/>
      <c r="C356" s="79"/>
      <c r="D356" s="79"/>
    </row>
    <row r="357">
      <c r="A357" s="78"/>
      <c r="B357" s="79"/>
      <c r="C357" s="79"/>
      <c r="D357" s="79"/>
    </row>
    <row r="358">
      <c r="A358" s="78"/>
      <c r="B358" s="79"/>
      <c r="C358" s="79"/>
      <c r="D358" s="79"/>
    </row>
    <row r="359">
      <c r="A359" s="78"/>
      <c r="B359" s="79"/>
      <c r="C359" s="79"/>
      <c r="D359" s="79"/>
    </row>
    <row r="360">
      <c r="A360" s="78"/>
      <c r="B360" s="79"/>
      <c r="C360" s="79"/>
      <c r="D360" s="79"/>
    </row>
    <row r="361">
      <c r="A361" s="78"/>
      <c r="B361" s="79"/>
      <c r="C361" s="79"/>
      <c r="D361" s="79"/>
    </row>
    <row r="362">
      <c r="A362" s="78"/>
      <c r="B362" s="79"/>
      <c r="C362" s="79"/>
      <c r="D362" s="79"/>
    </row>
    <row r="363">
      <c r="A363" s="78"/>
      <c r="B363" s="79"/>
      <c r="C363" s="79"/>
      <c r="D363" s="79"/>
    </row>
    <row r="364">
      <c r="A364" s="78"/>
      <c r="B364" s="79"/>
      <c r="C364" s="79"/>
      <c r="D364" s="79"/>
    </row>
    <row r="365">
      <c r="A365" s="78"/>
      <c r="B365" s="79"/>
      <c r="C365" s="79"/>
      <c r="D365" s="79"/>
    </row>
    <row r="366">
      <c r="A366" s="78"/>
      <c r="B366" s="79"/>
      <c r="C366" s="79"/>
      <c r="D366" s="79"/>
    </row>
    <row r="367">
      <c r="A367" s="78"/>
      <c r="B367" s="79"/>
      <c r="C367" s="79"/>
      <c r="D367" s="79"/>
    </row>
    <row r="368">
      <c r="A368" s="78"/>
      <c r="B368" s="79"/>
      <c r="C368" s="79"/>
      <c r="D368" s="79"/>
    </row>
    <row r="369">
      <c r="A369" s="78"/>
      <c r="B369" s="79"/>
      <c r="C369" s="79"/>
      <c r="D369" s="79"/>
    </row>
    <row r="370">
      <c r="A370" s="78"/>
      <c r="B370" s="79"/>
      <c r="C370" s="79"/>
      <c r="D370" s="79"/>
    </row>
    <row r="371">
      <c r="A371" s="78"/>
      <c r="B371" s="79"/>
      <c r="C371" s="79"/>
      <c r="D371" s="79"/>
    </row>
    <row r="372">
      <c r="A372" s="78"/>
      <c r="B372" s="79"/>
      <c r="C372" s="79"/>
      <c r="D372" s="79"/>
    </row>
    <row r="373">
      <c r="A373" s="78"/>
      <c r="B373" s="79"/>
      <c r="C373" s="79"/>
      <c r="D373" s="79"/>
    </row>
    <row r="374">
      <c r="A374" s="78"/>
      <c r="B374" s="79"/>
      <c r="C374" s="79"/>
      <c r="D374" s="79"/>
    </row>
    <row r="375">
      <c r="A375" s="78"/>
      <c r="B375" s="79"/>
      <c r="C375" s="79"/>
      <c r="D375" s="79"/>
    </row>
    <row r="376">
      <c r="A376" s="78"/>
      <c r="B376" s="79"/>
      <c r="C376" s="79"/>
      <c r="D376" s="79"/>
    </row>
    <row r="377">
      <c r="A377" s="78"/>
      <c r="B377" s="79"/>
      <c r="C377" s="79"/>
      <c r="D377" s="79"/>
    </row>
    <row r="378">
      <c r="A378" s="78"/>
      <c r="B378" s="79"/>
      <c r="C378" s="79"/>
      <c r="D378" s="79"/>
    </row>
    <row r="379">
      <c r="A379" s="78"/>
      <c r="B379" s="79"/>
      <c r="C379" s="79"/>
      <c r="D379" s="79"/>
    </row>
    <row r="380">
      <c r="A380" s="78"/>
      <c r="B380" s="79"/>
      <c r="C380" s="79"/>
      <c r="D380" s="79"/>
    </row>
    <row r="381">
      <c r="A381" s="78"/>
      <c r="B381" s="79"/>
      <c r="C381" s="79"/>
      <c r="D381" s="79"/>
    </row>
    <row r="382">
      <c r="A382" s="78"/>
      <c r="B382" s="79"/>
      <c r="C382" s="79"/>
      <c r="D382" s="79"/>
    </row>
    <row r="383">
      <c r="A383" s="78"/>
      <c r="B383" s="79"/>
      <c r="C383" s="79"/>
      <c r="D383" s="79"/>
    </row>
    <row r="384">
      <c r="A384" s="78"/>
      <c r="B384" s="79"/>
      <c r="C384" s="79"/>
      <c r="D384" s="79"/>
    </row>
    <row r="385">
      <c r="A385" s="78"/>
      <c r="B385" s="79"/>
      <c r="C385" s="79"/>
      <c r="D385" s="79"/>
    </row>
    <row r="386">
      <c r="A386" s="78"/>
      <c r="B386" s="79"/>
      <c r="C386" s="79"/>
      <c r="D386" s="79"/>
    </row>
    <row r="387">
      <c r="A387" s="78"/>
      <c r="B387" s="79"/>
      <c r="C387" s="79"/>
      <c r="D387" s="79"/>
    </row>
    <row r="388">
      <c r="A388" s="78"/>
      <c r="B388" s="79"/>
      <c r="C388" s="79"/>
      <c r="D388" s="79"/>
    </row>
    <row r="389">
      <c r="A389" s="78"/>
      <c r="B389" s="79"/>
      <c r="C389" s="79"/>
      <c r="D389" s="79"/>
    </row>
    <row r="390">
      <c r="A390" s="78"/>
      <c r="B390" s="79"/>
      <c r="C390" s="79"/>
      <c r="D390" s="79"/>
    </row>
    <row r="391">
      <c r="A391" s="78"/>
      <c r="B391" s="79"/>
      <c r="C391" s="79"/>
      <c r="D391" s="79"/>
    </row>
    <row r="392">
      <c r="A392" s="78"/>
      <c r="B392" s="79"/>
      <c r="C392" s="79"/>
      <c r="D392" s="79"/>
    </row>
    <row r="393">
      <c r="A393" s="78"/>
      <c r="B393" s="79"/>
      <c r="C393" s="79"/>
      <c r="D393" s="79"/>
    </row>
    <row r="394">
      <c r="A394" s="78"/>
      <c r="B394" s="79"/>
      <c r="C394" s="79"/>
      <c r="D394" s="79"/>
    </row>
    <row r="395">
      <c r="A395" s="78"/>
      <c r="B395" s="79"/>
      <c r="C395" s="79"/>
      <c r="D395" s="79"/>
    </row>
    <row r="396">
      <c r="A396" s="78"/>
      <c r="B396" s="79"/>
      <c r="C396" s="79"/>
      <c r="D396" s="79"/>
    </row>
    <row r="397">
      <c r="A397" s="78"/>
      <c r="B397" s="79"/>
      <c r="C397" s="79"/>
      <c r="D397" s="79"/>
    </row>
    <row r="398">
      <c r="A398" s="78"/>
      <c r="B398" s="79"/>
      <c r="C398" s="79"/>
      <c r="D398" s="79"/>
    </row>
    <row r="399">
      <c r="A399" s="78"/>
      <c r="B399" s="79"/>
      <c r="C399" s="79"/>
      <c r="D399" s="79"/>
    </row>
    <row r="400">
      <c r="A400" s="78"/>
      <c r="B400" s="79"/>
      <c r="C400" s="79"/>
      <c r="D400" s="79"/>
    </row>
    <row r="401">
      <c r="A401" s="78"/>
      <c r="B401" s="79"/>
      <c r="C401" s="79"/>
      <c r="D401" s="79"/>
    </row>
    <row r="402">
      <c r="A402" s="78"/>
      <c r="B402" s="79"/>
      <c r="C402" s="79"/>
      <c r="D402" s="79"/>
    </row>
    <row r="403">
      <c r="A403" s="78"/>
      <c r="B403" s="79"/>
      <c r="C403" s="79"/>
      <c r="D403" s="79"/>
    </row>
    <row r="404">
      <c r="A404" s="78"/>
      <c r="B404" s="79"/>
      <c r="C404" s="79"/>
      <c r="D404" s="79"/>
    </row>
    <row r="405">
      <c r="A405" s="78"/>
      <c r="B405" s="79"/>
      <c r="C405" s="79"/>
      <c r="D405" s="79"/>
    </row>
    <row r="406">
      <c r="A406" s="78"/>
      <c r="B406" s="79"/>
      <c r="C406" s="79"/>
      <c r="D406" s="79"/>
    </row>
    <row r="407">
      <c r="A407" s="78"/>
      <c r="B407" s="79"/>
      <c r="C407" s="79"/>
      <c r="D407" s="79"/>
    </row>
    <row r="408">
      <c r="A408" s="78"/>
      <c r="B408" s="79"/>
      <c r="C408" s="79"/>
      <c r="D408" s="79"/>
    </row>
    <row r="409">
      <c r="A409" s="78"/>
      <c r="B409" s="79"/>
      <c r="C409" s="79"/>
      <c r="D409" s="79"/>
    </row>
    <row r="410">
      <c r="A410" s="78"/>
      <c r="B410" s="79"/>
      <c r="C410" s="79"/>
      <c r="D410" s="79"/>
    </row>
    <row r="411">
      <c r="A411" s="78"/>
      <c r="B411" s="79"/>
      <c r="C411" s="79"/>
      <c r="D411" s="79"/>
    </row>
    <row r="412">
      <c r="A412" s="78"/>
      <c r="B412" s="79"/>
      <c r="C412" s="79"/>
      <c r="D412" s="79"/>
    </row>
    <row r="413">
      <c r="A413" s="78"/>
      <c r="B413" s="79"/>
      <c r="C413" s="79"/>
      <c r="D413" s="79"/>
    </row>
    <row r="414">
      <c r="A414" s="78"/>
      <c r="B414" s="79"/>
      <c r="C414" s="79"/>
      <c r="D414" s="79"/>
    </row>
    <row r="415">
      <c r="A415" s="78"/>
      <c r="B415" s="79"/>
      <c r="C415" s="79"/>
      <c r="D415" s="79"/>
    </row>
    <row r="416">
      <c r="A416" s="78"/>
      <c r="B416" s="79"/>
      <c r="C416" s="79"/>
      <c r="D416" s="79"/>
    </row>
    <row r="417">
      <c r="A417" s="78"/>
      <c r="B417" s="79"/>
      <c r="C417" s="79"/>
      <c r="D417" s="79"/>
    </row>
    <row r="418">
      <c r="A418" s="78"/>
      <c r="B418" s="79"/>
      <c r="C418" s="79"/>
      <c r="D418" s="79"/>
    </row>
    <row r="419">
      <c r="A419" s="78"/>
      <c r="B419" s="79"/>
      <c r="C419" s="79"/>
      <c r="D419" s="79"/>
    </row>
    <row r="420">
      <c r="A420" s="78"/>
      <c r="B420" s="79"/>
      <c r="C420" s="79"/>
      <c r="D420" s="79"/>
    </row>
    <row r="421">
      <c r="A421" s="78"/>
      <c r="B421" s="79"/>
      <c r="C421" s="79"/>
      <c r="D421" s="79"/>
    </row>
    <row r="422">
      <c r="A422" s="78"/>
      <c r="B422" s="79"/>
      <c r="C422" s="79"/>
      <c r="D422" s="79"/>
    </row>
    <row r="423">
      <c r="A423" s="78"/>
      <c r="B423" s="79"/>
      <c r="C423" s="79"/>
      <c r="D423" s="79"/>
    </row>
    <row r="424">
      <c r="A424" s="78"/>
      <c r="B424" s="79"/>
      <c r="C424" s="79"/>
      <c r="D424" s="79"/>
    </row>
    <row r="425">
      <c r="A425" s="78"/>
      <c r="B425" s="79"/>
      <c r="C425" s="79"/>
      <c r="D425" s="79"/>
    </row>
    <row r="426">
      <c r="A426" s="78"/>
      <c r="B426" s="79"/>
      <c r="C426" s="79"/>
      <c r="D426" s="79"/>
    </row>
    <row r="427">
      <c r="A427" s="78"/>
      <c r="B427" s="79"/>
      <c r="C427" s="79"/>
      <c r="D427" s="79"/>
    </row>
    <row r="428">
      <c r="A428" s="78"/>
      <c r="B428" s="79"/>
      <c r="C428" s="79"/>
      <c r="D428" s="79"/>
    </row>
    <row r="429">
      <c r="A429" s="78"/>
      <c r="B429" s="79"/>
      <c r="C429" s="79"/>
      <c r="D429" s="79"/>
    </row>
    <row r="430">
      <c r="A430" s="78"/>
      <c r="B430" s="79"/>
      <c r="C430" s="79"/>
      <c r="D430" s="79"/>
    </row>
    <row r="431">
      <c r="A431" s="78"/>
      <c r="B431" s="79"/>
      <c r="C431" s="79"/>
      <c r="D431" s="79"/>
    </row>
    <row r="432">
      <c r="A432" s="78"/>
      <c r="B432" s="79"/>
      <c r="C432" s="79"/>
      <c r="D432" s="79"/>
    </row>
    <row r="433">
      <c r="A433" s="78"/>
      <c r="B433" s="79"/>
      <c r="C433" s="79"/>
      <c r="D433" s="79"/>
    </row>
    <row r="434">
      <c r="A434" s="78"/>
      <c r="B434" s="79"/>
      <c r="C434" s="79"/>
      <c r="D434" s="79"/>
    </row>
    <row r="435">
      <c r="A435" s="78"/>
      <c r="B435" s="79"/>
      <c r="C435" s="79"/>
      <c r="D435" s="79"/>
    </row>
    <row r="436">
      <c r="A436" s="78"/>
      <c r="B436" s="79"/>
      <c r="C436" s="79"/>
      <c r="D436" s="79"/>
    </row>
    <row r="437">
      <c r="A437" s="78"/>
      <c r="B437" s="79"/>
      <c r="C437" s="79"/>
      <c r="D437" s="79"/>
    </row>
    <row r="438">
      <c r="A438" s="78"/>
      <c r="B438" s="79"/>
      <c r="C438" s="79"/>
      <c r="D438" s="79"/>
    </row>
    <row r="439">
      <c r="A439" s="78"/>
      <c r="B439" s="79"/>
      <c r="C439" s="79"/>
      <c r="D439" s="79"/>
    </row>
    <row r="440">
      <c r="A440" s="78"/>
      <c r="B440" s="79"/>
      <c r="C440" s="79"/>
      <c r="D440" s="79"/>
    </row>
    <row r="441">
      <c r="A441" s="78"/>
      <c r="B441" s="79"/>
      <c r="C441" s="79"/>
      <c r="D441" s="79"/>
    </row>
    <row r="442">
      <c r="A442" s="78"/>
      <c r="B442" s="79"/>
      <c r="C442" s="79"/>
      <c r="D442" s="79"/>
    </row>
    <row r="443">
      <c r="A443" s="78"/>
      <c r="B443" s="79"/>
      <c r="C443" s="79"/>
      <c r="D443" s="79"/>
    </row>
    <row r="444">
      <c r="A444" s="78"/>
      <c r="B444" s="79"/>
      <c r="C444" s="79"/>
      <c r="D444" s="79"/>
    </row>
    <row r="445">
      <c r="A445" s="78"/>
      <c r="B445" s="79"/>
      <c r="C445" s="79"/>
      <c r="D445" s="79"/>
    </row>
    <row r="446">
      <c r="A446" s="78"/>
      <c r="B446" s="79"/>
      <c r="C446" s="79"/>
      <c r="D446" s="79"/>
    </row>
    <row r="447">
      <c r="A447" s="78"/>
      <c r="B447" s="79"/>
      <c r="C447" s="79"/>
      <c r="D447" s="79"/>
    </row>
    <row r="448">
      <c r="A448" s="78"/>
      <c r="B448" s="79"/>
      <c r="C448" s="79"/>
      <c r="D448" s="79"/>
    </row>
    <row r="449">
      <c r="A449" s="78"/>
      <c r="B449" s="79"/>
      <c r="C449" s="79"/>
      <c r="D449" s="79"/>
    </row>
    <row r="450">
      <c r="A450" s="78"/>
      <c r="B450" s="79"/>
      <c r="C450" s="79"/>
      <c r="D450" s="79"/>
    </row>
    <row r="451">
      <c r="A451" s="78"/>
      <c r="B451" s="79"/>
      <c r="C451" s="79"/>
      <c r="D451" s="79"/>
    </row>
    <row r="452">
      <c r="A452" s="78"/>
      <c r="B452" s="79"/>
      <c r="C452" s="79"/>
      <c r="D452" s="79"/>
    </row>
    <row r="453">
      <c r="A453" s="78"/>
      <c r="B453" s="79"/>
      <c r="C453" s="79"/>
      <c r="D453" s="79"/>
    </row>
    <row r="454">
      <c r="A454" s="78"/>
      <c r="B454" s="79"/>
      <c r="C454" s="79"/>
      <c r="D454" s="79"/>
    </row>
    <row r="455">
      <c r="A455" s="78"/>
      <c r="B455" s="79"/>
      <c r="C455" s="79"/>
      <c r="D455" s="79"/>
    </row>
    <row r="456">
      <c r="A456" s="78"/>
      <c r="B456" s="79"/>
      <c r="C456" s="79"/>
      <c r="D456" s="79"/>
    </row>
    <row r="457">
      <c r="A457" s="78"/>
      <c r="B457" s="79"/>
      <c r="C457" s="79"/>
      <c r="D457" s="79"/>
    </row>
    <row r="458">
      <c r="A458" s="78"/>
      <c r="B458" s="79"/>
      <c r="C458" s="79"/>
      <c r="D458" s="79"/>
    </row>
    <row r="459">
      <c r="A459" s="78"/>
      <c r="B459" s="79"/>
      <c r="C459" s="79"/>
      <c r="D459" s="79"/>
    </row>
    <row r="460">
      <c r="A460" s="78"/>
      <c r="B460" s="79"/>
      <c r="C460" s="79"/>
      <c r="D460" s="79"/>
    </row>
    <row r="461">
      <c r="A461" s="78"/>
      <c r="B461" s="79"/>
      <c r="C461" s="79"/>
      <c r="D461" s="79"/>
    </row>
    <row r="462">
      <c r="A462" s="78"/>
      <c r="B462" s="79"/>
      <c r="C462" s="79"/>
      <c r="D462" s="79"/>
    </row>
    <row r="463">
      <c r="A463" s="78"/>
      <c r="B463" s="79"/>
      <c r="C463" s="79"/>
      <c r="D463" s="79"/>
    </row>
    <row r="464">
      <c r="A464" s="78"/>
      <c r="B464" s="79"/>
      <c r="C464" s="79"/>
      <c r="D464" s="79"/>
    </row>
    <row r="465">
      <c r="A465" s="78"/>
      <c r="B465" s="79"/>
      <c r="C465" s="79"/>
      <c r="D465" s="79"/>
    </row>
    <row r="466">
      <c r="A466" s="78"/>
      <c r="B466" s="79"/>
      <c r="C466" s="79"/>
      <c r="D466" s="79"/>
    </row>
    <row r="467">
      <c r="A467" s="78"/>
      <c r="B467" s="79"/>
      <c r="C467" s="79"/>
      <c r="D467" s="79"/>
    </row>
    <row r="468">
      <c r="A468" s="78"/>
      <c r="B468" s="79"/>
      <c r="C468" s="79"/>
      <c r="D468" s="79"/>
    </row>
    <row r="469">
      <c r="A469" s="78"/>
      <c r="B469" s="79"/>
      <c r="C469" s="79"/>
      <c r="D469" s="79"/>
    </row>
    <row r="470">
      <c r="A470" s="78"/>
      <c r="B470" s="79"/>
      <c r="C470" s="79"/>
      <c r="D470" s="79"/>
    </row>
    <row r="471">
      <c r="A471" s="78"/>
      <c r="B471" s="79"/>
      <c r="C471" s="79"/>
      <c r="D471" s="79"/>
    </row>
    <row r="472">
      <c r="A472" s="78"/>
      <c r="B472" s="79"/>
      <c r="C472" s="79"/>
      <c r="D472" s="79"/>
    </row>
    <row r="473">
      <c r="A473" s="78"/>
      <c r="B473" s="79"/>
      <c r="C473" s="79"/>
      <c r="D473" s="79"/>
    </row>
    <row r="474">
      <c r="A474" s="78"/>
      <c r="B474" s="79"/>
      <c r="C474" s="79"/>
      <c r="D474" s="79"/>
    </row>
    <row r="475">
      <c r="A475" s="78"/>
      <c r="B475" s="79"/>
      <c r="C475" s="79"/>
      <c r="D475" s="79"/>
    </row>
    <row r="476">
      <c r="A476" s="78"/>
      <c r="B476" s="79"/>
      <c r="C476" s="79"/>
      <c r="D476" s="79"/>
    </row>
    <row r="477">
      <c r="A477" s="78"/>
      <c r="B477" s="79"/>
      <c r="C477" s="79"/>
      <c r="D477" s="79"/>
    </row>
    <row r="478">
      <c r="A478" s="78"/>
      <c r="B478" s="79"/>
      <c r="C478" s="79"/>
      <c r="D478" s="79"/>
    </row>
    <row r="479">
      <c r="A479" s="78"/>
      <c r="B479" s="79"/>
      <c r="C479" s="79"/>
      <c r="D479" s="79"/>
    </row>
    <row r="480">
      <c r="A480" s="78"/>
      <c r="B480" s="79"/>
      <c r="C480" s="79"/>
      <c r="D480" s="79"/>
    </row>
    <row r="481">
      <c r="A481" s="78"/>
      <c r="B481" s="79"/>
      <c r="C481" s="79"/>
      <c r="D481" s="79"/>
    </row>
    <row r="482">
      <c r="A482" s="78"/>
      <c r="B482" s="79"/>
      <c r="C482" s="79"/>
      <c r="D482" s="79"/>
    </row>
    <row r="483">
      <c r="A483" s="78"/>
      <c r="B483" s="79"/>
      <c r="C483" s="79"/>
      <c r="D483" s="79"/>
    </row>
    <row r="484">
      <c r="A484" s="78"/>
      <c r="B484" s="79"/>
      <c r="C484" s="79"/>
      <c r="D484" s="79"/>
    </row>
    <row r="485">
      <c r="A485" s="78"/>
      <c r="B485" s="79"/>
      <c r="C485" s="79"/>
      <c r="D485" s="79"/>
    </row>
    <row r="486">
      <c r="A486" s="78"/>
      <c r="B486" s="79"/>
      <c r="C486" s="79"/>
      <c r="D486" s="79"/>
    </row>
    <row r="487">
      <c r="A487" s="78"/>
      <c r="B487" s="79"/>
      <c r="C487" s="79"/>
      <c r="D487" s="79"/>
    </row>
    <row r="488">
      <c r="A488" s="78"/>
      <c r="B488" s="79"/>
      <c r="C488" s="79"/>
      <c r="D488" s="79"/>
    </row>
    <row r="489">
      <c r="A489" s="78"/>
      <c r="B489" s="79"/>
      <c r="C489" s="79"/>
      <c r="D489" s="79"/>
    </row>
    <row r="490">
      <c r="A490" s="78"/>
      <c r="B490" s="79"/>
      <c r="C490" s="79"/>
      <c r="D490" s="79"/>
    </row>
    <row r="491">
      <c r="A491" s="78"/>
      <c r="B491" s="79"/>
      <c r="C491" s="79"/>
      <c r="D491" s="79"/>
    </row>
    <row r="492">
      <c r="A492" s="78"/>
      <c r="B492" s="79"/>
      <c r="C492" s="79"/>
      <c r="D492" s="79"/>
    </row>
    <row r="493">
      <c r="A493" s="78"/>
      <c r="B493" s="79"/>
      <c r="C493" s="79"/>
      <c r="D493" s="79"/>
    </row>
    <row r="494">
      <c r="A494" s="78"/>
      <c r="B494" s="79"/>
      <c r="C494" s="79"/>
      <c r="D494" s="79"/>
    </row>
    <row r="495">
      <c r="A495" s="78"/>
      <c r="B495" s="79"/>
      <c r="C495" s="79"/>
      <c r="D495" s="79"/>
    </row>
    <row r="496">
      <c r="A496" s="78"/>
      <c r="B496" s="79"/>
      <c r="C496" s="79"/>
      <c r="D496" s="79"/>
    </row>
    <row r="497">
      <c r="A497" s="78"/>
      <c r="B497" s="79"/>
      <c r="C497" s="79"/>
      <c r="D497" s="79"/>
    </row>
    <row r="498">
      <c r="A498" s="78"/>
      <c r="B498" s="79"/>
      <c r="C498" s="79"/>
      <c r="D498" s="79"/>
    </row>
    <row r="499">
      <c r="A499" s="78"/>
      <c r="B499" s="79"/>
      <c r="C499" s="79"/>
      <c r="D499" s="79"/>
    </row>
    <row r="500">
      <c r="A500" s="78"/>
      <c r="B500" s="79"/>
      <c r="C500" s="79"/>
      <c r="D500" s="79"/>
    </row>
    <row r="501">
      <c r="A501" s="78"/>
      <c r="B501" s="79"/>
      <c r="C501" s="79"/>
      <c r="D501" s="79"/>
    </row>
    <row r="502">
      <c r="A502" s="78"/>
      <c r="B502" s="79"/>
      <c r="C502" s="79"/>
      <c r="D502" s="79"/>
    </row>
    <row r="503">
      <c r="A503" s="78"/>
      <c r="B503" s="79"/>
      <c r="C503" s="79"/>
      <c r="D503" s="79"/>
    </row>
    <row r="504">
      <c r="A504" s="78"/>
      <c r="B504" s="79"/>
      <c r="C504" s="79"/>
      <c r="D504" s="79"/>
    </row>
    <row r="505">
      <c r="A505" s="78"/>
      <c r="B505" s="79"/>
      <c r="C505" s="79"/>
      <c r="D505" s="79"/>
    </row>
    <row r="506">
      <c r="A506" s="78"/>
      <c r="B506" s="79"/>
      <c r="C506" s="79"/>
      <c r="D506" s="79"/>
    </row>
    <row r="507">
      <c r="A507" s="78"/>
      <c r="B507" s="79"/>
      <c r="C507" s="79"/>
      <c r="D507" s="79"/>
    </row>
    <row r="508">
      <c r="A508" s="78"/>
      <c r="B508" s="79"/>
      <c r="C508" s="79"/>
      <c r="D508" s="79"/>
    </row>
    <row r="509">
      <c r="A509" s="78"/>
      <c r="B509" s="79"/>
      <c r="C509" s="79"/>
      <c r="D509" s="79"/>
    </row>
    <row r="510">
      <c r="A510" s="78"/>
      <c r="B510" s="79"/>
      <c r="C510" s="79"/>
      <c r="D510" s="79"/>
    </row>
    <row r="511">
      <c r="A511" s="78"/>
      <c r="B511" s="79"/>
      <c r="C511" s="79"/>
      <c r="D511" s="79"/>
    </row>
    <row r="512">
      <c r="A512" s="78"/>
      <c r="B512" s="79"/>
      <c r="C512" s="79"/>
      <c r="D512" s="79"/>
    </row>
    <row r="513">
      <c r="A513" s="78"/>
      <c r="B513" s="79"/>
      <c r="C513" s="79"/>
      <c r="D513" s="79"/>
    </row>
    <row r="514">
      <c r="A514" s="78"/>
      <c r="B514" s="79"/>
      <c r="C514" s="79"/>
      <c r="D514" s="79"/>
    </row>
    <row r="515">
      <c r="A515" s="78"/>
      <c r="B515" s="79"/>
      <c r="C515" s="79"/>
      <c r="D515" s="79"/>
    </row>
    <row r="516">
      <c r="A516" s="78"/>
      <c r="B516" s="79"/>
      <c r="C516" s="79"/>
      <c r="D516" s="79"/>
    </row>
    <row r="517">
      <c r="A517" s="78"/>
      <c r="B517" s="79"/>
      <c r="C517" s="79"/>
      <c r="D517" s="79"/>
    </row>
    <row r="518">
      <c r="A518" s="78"/>
      <c r="B518" s="79"/>
      <c r="C518" s="79"/>
      <c r="D518" s="79"/>
    </row>
    <row r="519">
      <c r="A519" s="78"/>
      <c r="B519" s="79"/>
      <c r="C519" s="79"/>
      <c r="D519" s="79"/>
    </row>
    <row r="520">
      <c r="A520" s="78"/>
      <c r="B520" s="79"/>
      <c r="C520" s="79"/>
      <c r="D520" s="79"/>
    </row>
    <row r="521">
      <c r="A521" s="78"/>
      <c r="B521" s="79"/>
      <c r="C521" s="79"/>
      <c r="D521" s="79"/>
    </row>
    <row r="522">
      <c r="A522" s="78"/>
      <c r="B522" s="79"/>
      <c r="C522" s="79"/>
      <c r="D522" s="79"/>
    </row>
    <row r="523">
      <c r="A523" s="78"/>
      <c r="B523" s="79"/>
      <c r="C523" s="79"/>
      <c r="D523" s="79"/>
    </row>
    <row r="524">
      <c r="A524" s="78"/>
      <c r="B524" s="79"/>
      <c r="C524" s="79"/>
      <c r="D524" s="79"/>
    </row>
    <row r="525">
      <c r="A525" s="78"/>
      <c r="B525" s="79"/>
      <c r="C525" s="79"/>
      <c r="D525" s="79"/>
    </row>
    <row r="526">
      <c r="A526" s="78"/>
      <c r="B526" s="79"/>
      <c r="C526" s="79"/>
      <c r="D526" s="79"/>
    </row>
    <row r="527">
      <c r="A527" s="78"/>
      <c r="B527" s="79"/>
      <c r="C527" s="79"/>
      <c r="D527" s="79"/>
    </row>
    <row r="528">
      <c r="A528" s="78"/>
      <c r="B528" s="79"/>
      <c r="C528" s="79"/>
      <c r="D528" s="79"/>
    </row>
    <row r="529">
      <c r="A529" s="78"/>
      <c r="B529" s="79"/>
      <c r="C529" s="79"/>
      <c r="D529" s="79"/>
    </row>
    <row r="530">
      <c r="A530" s="78"/>
      <c r="B530" s="79"/>
      <c r="C530" s="79"/>
      <c r="D530" s="79"/>
    </row>
    <row r="531">
      <c r="A531" s="78"/>
      <c r="B531" s="79"/>
      <c r="C531" s="79"/>
      <c r="D531" s="79"/>
    </row>
    <row r="532">
      <c r="A532" s="78"/>
      <c r="B532" s="79"/>
      <c r="C532" s="79"/>
      <c r="D532" s="79"/>
    </row>
    <row r="533">
      <c r="A533" s="78"/>
      <c r="B533" s="79"/>
      <c r="C533" s="79"/>
      <c r="D533" s="79"/>
    </row>
    <row r="534">
      <c r="A534" s="78"/>
      <c r="B534" s="79"/>
      <c r="C534" s="79"/>
      <c r="D534" s="79"/>
    </row>
    <row r="535">
      <c r="A535" s="78"/>
      <c r="B535" s="79"/>
      <c r="C535" s="79"/>
      <c r="D535" s="79"/>
    </row>
    <row r="536">
      <c r="A536" s="78"/>
      <c r="B536" s="79"/>
      <c r="C536" s="79"/>
      <c r="D536" s="79"/>
    </row>
    <row r="537">
      <c r="A537" s="78"/>
      <c r="B537" s="79"/>
      <c r="C537" s="79"/>
      <c r="D537" s="79"/>
    </row>
    <row r="538">
      <c r="A538" s="78"/>
      <c r="B538" s="79"/>
      <c r="C538" s="79"/>
      <c r="D538" s="79"/>
    </row>
    <row r="539">
      <c r="A539" s="78"/>
      <c r="B539" s="79"/>
      <c r="C539" s="79"/>
      <c r="D539" s="79"/>
    </row>
    <row r="540">
      <c r="A540" s="78"/>
      <c r="B540" s="79"/>
      <c r="C540" s="79"/>
      <c r="D540" s="79"/>
    </row>
    <row r="541">
      <c r="A541" s="78"/>
      <c r="B541" s="79"/>
      <c r="C541" s="79"/>
      <c r="D541" s="79"/>
    </row>
    <row r="542">
      <c r="A542" s="78"/>
      <c r="B542" s="79"/>
      <c r="C542" s="79"/>
      <c r="D542" s="79"/>
    </row>
    <row r="543">
      <c r="A543" s="78"/>
      <c r="B543" s="79"/>
      <c r="C543" s="79"/>
      <c r="D543" s="79"/>
    </row>
    <row r="544">
      <c r="A544" s="78"/>
      <c r="B544" s="79"/>
      <c r="C544" s="79"/>
      <c r="D544" s="79"/>
    </row>
    <row r="545">
      <c r="A545" s="78"/>
      <c r="B545" s="79"/>
      <c r="C545" s="79"/>
      <c r="D545" s="79"/>
    </row>
    <row r="546">
      <c r="A546" s="78"/>
      <c r="B546" s="79"/>
      <c r="C546" s="79"/>
      <c r="D546" s="79"/>
    </row>
    <row r="547">
      <c r="A547" s="78"/>
      <c r="B547" s="79"/>
      <c r="C547" s="79"/>
      <c r="D547" s="79"/>
    </row>
    <row r="548">
      <c r="A548" s="78"/>
      <c r="B548" s="79"/>
      <c r="C548" s="79"/>
      <c r="D548" s="79"/>
    </row>
    <row r="549">
      <c r="A549" s="78"/>
      <c r="B549" s="79"/>
      <c r="C549" s="79"/>
      <c r="D549" s="79"/>
    </row>
    <row r="550">
      <c r="A550" s="78"/>
      <c r="B550" s="79"/>
      <c r="C550" s="79"/>
      <c r="D550" s="79"/>
    </row>
    <row r="551">
      <c r="A551" s="78"/>
      <c r="B551" s="79"/>
      <c r="C551" s="79"/>
      <c r="D551" s="79"/>
    </row>
    <row r="552">
      <c r="A552" s="78"/>
      <c r="B552" s="79"/>
      <c r="C552" s="79"/>
      <c r="D552" s="79"/>
    </row>
    <row r="553">
      <c r="A553" s="78"/>
      <c r="B553" s="79"/>
      <c r="C553" s="79"/>
      <c r="D553" s="79"/>
    </row>
    <row r="554">
      <c r="A554" s="78"/>
      <c r="B554" s="79"/>
      <c r="C554" s="79"/>
      <c r="D554" s="79"/>
    </row>
    <row r="555">
      <c r="A555" s="78"/>
      <c r="B555" s="79"/>
      <c r="C555" s="79"/>
      <c r="D555" s="79"/>
    </row>
    <row r="556">
      <c r="A556" s="78"/>
      <c r="B556" s="79"/>
      <c r="C556" s="79"/>
      <c r="D556" s="79"/>
    </row>
    <row r="557">
      <c r="A557" s="78"/>
      <c r="B557" s="79"/>
      <c r="C557" s="79"/>
      <c r="D557" s="79"/>
    </row>
    <row r="558">
      <c r="A558" s="78"/>
      <c r="B558" s="79"/>
      <c r="C558" s="79"/>
      <c r="D558" s="79"/>
    </row>
    <row r="559">
      <c r="A559" s="78"/>
      <c r="B559" s="79"/>
      <c r="C559" s="79"/>
      <c r="D559" s="79"/>
    </row>
    <row r="560">
      <c r="A560" s="78"/>
      <c r="B560" s="79"/>
      <c r="C560" s="79"/>
      <c r="D560" s="79"/>
    </row>
    <row r="561">
      <c r="A561" s="78"/>
      <c r="B561" s="79"/>
      <c r="C561" s="79"/>
      <c r="D561" s="79"/>
    </row>
    <row r="562">
      <c r="A562" s="78"/>
      <c r="B562" s="79"/>
      <c r="C562" s="79"/>
      <c r="D562" s="79"/>
    </row>
    <row r="563">
      <c r="A563" s="78"/>
      <c r="B563" s="79"/>
      <c r="C563" s="79"/>
      <c r="D563" s="79"/>
    </row>
    <row r="564">
      <c r="A564" s="78"/>
      <c r="B564" s="79"/>
      <c r="C564" s="79"/>
      <c r="D564" s="79"/>
    </row>
    <row r="565">
      <c r="A565" s="78"/>
      <c r="B565" s="79"/>
      <c r="C565" s="79"/>
      <c r="D565" s="79"/>
    </row>
    <row r="566">
      <c r="A566" s="78"/>
      <c r="B566" s="79"/>
      <c r="C566" s="79"/>
      <c r="D566" s="79"/>
    </row>
    <row r="567">
      <c r="A567" s="78"/>
      <c r="B567" s="79"/>
      <c r="C567" s="79"/>
      <c r="D567" s="79"/>
    </row>
    <row r="568">
      <c r="A568" s="78"/>
      <c r="B568" s="79"/>
      <c r="C568" s="79"/>
      <c r="D568" s="79"/>
    </row>
    <row r="569">
      <c r="A569" s="78"/>
      <c r="B569" s="79"/>
      <c r="C569" s="79"/>
      <c r="D569" s="79"/>
    </row>
    <row r="570">
      <c r="A570" s="78"/>
      <c r="B570" s="79"/>
      <c r="C570" s="79"/>
      <c r="D570" s="79"/>
    </row>
    <row r="571">
      <c r="A571" s="78"/>
      <c r="B571" s="79"/>
      <c r="C571" s="79"/>
      <c r="D571" s="79"/>
    </row>
    <row r="572">
      <c r="A572" s="78"/>
      <c r="B572" s="79"/>
      <c r="C572" s="79"/>
      <c r="D572" s="79"/>
    </row>
    <row r="573">
      <c r="A573" s="78"/>
      <c r="B573" s="79"/>
      <c r="C573" s="79"/>
      <c r="D573" s="79"/>
    </row>
    <row r="574">
      <c r="A574" s="78"/>
      <c r="B574" s="79"/>
      <c r="C574" s="79"/>
      <c r="D574" s="79"/>
    </row>
    <row r="575">
      <c r="A575" s="78"/>
      <c r="B575" s="79"/>
      <c r="C575" s="79"/>
      <c r="D575" s="79"/>
    </row>
    <row r="576">
      <c r="A576" s="78"/>
      <c r="B576" s="79"/>
      <c r="C576" s="79"/>
      <c r="D576" s="79"/>
    </row>
    <row r="577">
      <c r="A577" s="78"/>
      <c r="B577" s="79"/>
      <c r="C577" s="79"/>
      <c r="D577" s="79"/>
    </row>
    <row r="578">
      <c r="A578" s="78"/>
      <c r="B578" s="79"/>
      <c r="C578" s="79"/>
      <c r="D578" s="79"/>
    </row>
    <row r="579">
      <c r="A579" s="78"/>
      <c r="B579" s="79"/>
      <c r="C579" s="79"/>
      <c r="D579" s="79"/>
    </row>
    <row r="580">
      <c r="A580" s="78"/>
      <c r="B580" s="79"/>
      <c r="C580" s="79"/>
      <c r="D580" s="79"/>
    </row>
    <row r="581">
      <c r="A581" s="78"/>
      <c r="B581" s="79"/>
      <c r="C581" s="79"/>
      <c r="D581" s="79"/>
    </row>
    <row r="582">
      <c r="A582" s="78"/>
      <c r="B582" s="79"/>
      <c r="C582" s="79"/>
      <c r="D582" s="79"/>
    </row>
    <row r="583">
      <c r="A583" s="78"/>
      <c r="B583" s="79"/>
      <c r="C583" s="79"/>
      <c r="D583" s="79"/>
    </row>
    <row r="584">
      <c r="A584" s="78"/>
      <c r="B584" s="79"/>
      <c r="C584" s="79"/>
      <c r="D584" s="79"/>
    </row>
    <row r="585">
      <c r="A585" s="78"/>
      <c r="B585" s="79"/>
      <c r="C585" s="79"/>
      <c r="D585" s="79"/>
    </row>
    <row r="586">
      <c r="A586" s="78"/>
      <c r="B586" s="79"/>
      <c r="C586" s="79"/>
      <c r="D586" s="79"/>
    </row>
    <row r="587">
      <c r="A587" s="78"/>
      <c r="B587" s="79"/>
      <c r="C587" s="79"/>
      <c r="D587" s="79"/>
    </row>
    <row r="588">
      <c r="A588" s="78"/>
      <c r="B588" s="79"/>
      <c r="C588" s="79"/>
      <c r="D588" s="79"/>
    </row>
    <row r="589">
      <c r="A589" s="78"/>
      <c r="B589" s="79"/>
      <c r="C589" s="79"/>
      <c r="D589" s="79"/>
    </row>
    <row r="590">
      <c r="A590" s="78"/>
      <c r="B590" s="79"/>
      <c r="C590" s="79"/>
      <c r="D590" s="79"/>
    </row>
    <row r="591">
      <c r="A591" s="78"/>
      <c r="B591" s="79"/>
      <c r="C591" s="79"/>
      <c r="D591" s="79"/>
    </row>
    <row r="592">
      <c r="A592" s="78"/>
      <c r="B592" s="79"/>
      <c r="C592" s="79"/>
      <c r="D592" s="79"/>
    </row>
    <row r="593">
      <c r="A593" s="78"/>
      <c r="B593" s="79"/>
      <c r="C593" s="79"/>
      <c r="D593" s="79"/>
    </row>
    <row r="594">
      <c r="A594" s="78"/>
      <c r="B594" s="79"/>
      <c r="C594" s="79"/>
      <c r="D594" s="79"/>
    </row>
    <row r="595">
      <c r="A595" s="78"/>
      <c r="B595" s="79"/>
      <c r="C595" s="79"/>
      <c r="D595" s="79"/>
    </row>
    <row r="596">
      <c r="A596" s="78"/>
      <c r="B596" s="79"/>
      <c r="C596" s="79"/>
      <c r="D596" s="79"/>
    </row>
    <row r="597">
      <c r="A597" s="78"/>
      <c r="B597" s="79"/>
      <c r="C597" s="79"/>
      <c r="D597" s="79"/>
    </row>
    <row r="598">
      <c r="A598" s="78"/>
      <c r="B598" s="79"/>
      <c r="C598" s="79"/>
      <c r="D598" s="79"/>
    </row>
    <row r="599">
      <c r="A599" s="78"/>
      <c r="B599" s="79"/>
      <c r="C599" s="79"/>
      <c r="D599" s="79"/>
    </row>
    <row r="600">
      <c r="A600" s="78"/>
      <c r="B600" s="79"/>
      <c r="C600" s="79"/>
      <c r="D600" s="79"/>
    </row>
    <row r="601">
      <c r="A601" s="78"/>
      <c r="B601" s="79"/>
      <c r="C601" s="79"/>
      <c r="D601" s="79"/>
    </row>
    <row r="602">
      <c r="A602" s="78"/>
      <c r="B602" s="79"/>
      <c r="C602" s="79"/>
      <c r="D602" s="79"/>
    </row>
    <row r="603">
      <c r="A603" s="78"/>
      <c r="B603" s="79"/>
      <c r="C603" s="79"/>
      <c r="D603" s="79"/>
    </row>
    <row r="604">
      <c r="A604" s="78"/>
      <c r="B604" s="79"/>
      <c r="C604" s="79"/>
      <c r="D604" s="79"/>
    </row>
    <row r="605">
      <c r="A605" s="78"/>
      <c r="B605" s="79"/>
      <c r="C605" s="79"/>
      <c r="D605" s="79"/>
    </row>
    <row r="606">
      <c r="A606" s="78"/>
      <c r="B606" s="79"/>
      <c r="C606" s="79"/>
      <c r="D606" s="79"/>
    </row>
    <row r="607">
      <c r="A607" s="78"/>
      <c r="B607" s="79"/>
      <c r="C607" s="79"/>
      <c r="D607" s="79"/>
    </row>
    <row r="608">
      <c r="A608" s="78"/>
      <c r="B608" s="79"/>
      <c r="C608" s="79"/>
      <c r="D608" s="79"/>
    </row>
    <row r="609">
      <c r="A609" s="78"/>
      <c r="B609" s="79"/>
      <c r="C609" s="79"/>
      <c r="D609" s="79"/>
    </row>
    <row r="610">
      <c r="A610" s="78"/>
      <c r="B610" s="79"/>
      <c r="C610" s="79"/>
      <c r="D610" s="79"/>
    </row>
    <row r="611">
      <c r="A611" s="78"/>
      <c r="B611" s="79"/>
      <c r="C611" s="79"/>
      <c r="D611" s="79"/>
    </row>
    <row r="612">
      <c r="A612" s="78"/>
      <c r="B612" s="79"/>
      <c r="C612" s="79"/>
      <c r="D612" s="79"/>
    </row>
    <row r="613">
      <c r="A613" s="78"/>
      <c r="B613" s="79"/>
      <c r="C613" s="79"/>
      <c r="D613" s="79"/>
    </row>
    <row r="614">
      <c r="A614" s="78"/>
      <c r="B614" s="79"/>
      <c r="C614" s="79"/>
      <c r="D614" s="79"/>
    </row>
    <row r="615">
      <c r="A615" s="78"/>
      <c r="B615" s="79"/>
      <c r="C615" s="79"/>
      <c r="D615" s="79"/>
    </row>
    <row r="616">
      <c r="A616" s="78"/>
      <c r="B616" s="79"/>
      <c r="C616" s="79"/>
      <c r="D616" s="79"/>
    </row>
    <row r="617">
      <c r="A617" s="78"/>
      <c r="B617" s="79"/>
      <c r="C617" s="79"/>
      <c r="D617" s="79"/>
    </row>
    <row r="618">
      <c r="A618" s="78"/>
      <c r="B618" s="79"/>
      <c r="C618" s="79"/>
      <c r="D618" s="79"/>
    </row>
    <row r="619">
      <c r="A619" s="78"/>
      <c r="B619" s="79"/>
      <c r="C619" s="79"/>
      <c r="D619" s="79"/>
    </row>
    <row r="620">
      <c r="A620" s="78"/>
      <c r="B620" s="79"/>
      <c r="C620" s="79"/>
      <c r="D620" s="79"/>
    </row>
    <row r="621">
      <c r="A621" s="78"/>
      <c r="B621" s="79"/>
      <c r="C621" s="79"/>
      <c r="D621" s="79"/>
    </row>
    <row r="622">
      <c r="A622" s="78"/>
      <c r="B622" s="79"/>
      <c r="C622" s="79"/>
      <c r="D622" s="79"/>
    </row>
    <row r="623">
      <c r="A623" s="78"/>
      <c r="B623" s="79"/>
      <c r="C623" s="79"/>
      <c r="D623" s="79"/>
    </row>
    <row r="624">
      <c r="A624" s="78"/>
      <c r="B624" s="79"/>
      <c r="C624" s="79"/>
      <c r="D624" s="79"/>
    </row>
    <row r="625">
      <c r="A625" s="78"/>
      <c r="B625" s="79"/>
      <c r="C625" s="79"/>
      <c r="D625" s="79"/>
    </row>
    <row r="626">
      <c r="A626" s="78"/>
      <c r="B626" s="79"/>
      <c r="C626" s="79"/>
      <c r="D626" s="79"/>
    </row>
    <row r="627">
      <c r="A627" s="78"/>
      <c r="B627" s="79"/>
      <c r="C627" s="79"/>
      <c r="D627" s="79"/>
    </row>
    <row r="628">
      <c r="A628" s="78"/>
      <c r="B628" s="79"/>
      <c r="C628" s="79"/>
      <c r="D628" s="79"/>
    </row>
    <row r="629">
      <c r="A629" s="78"/>
      <c r="B629" s="79"/>
      <c r="C629" s="79"/>
      <c r="D629" s="79"/>
    </row>
    <row r="630">
      <c r="A630" s="78"/>
      <c r="B630" s="79"/>
      <c r="C630" s="79"/>
      <c r="D630" s="79"/>
    </row>
    <row r="631">
      <c r="A631" s="78"/>
      <c r="B631" s="79"/>
      <c r="C631" s="79"/>
      <c r="D631" s="79"/>
    </row>
    <row r="632">
      <c r="A632" s="78"/>
      <c r="B632" s="79"/>
      <c r="C632" s="79"/>
      <c r="D632" s="79"/>
    </row>
    <row r="633">
      <c r="A633" s="78"/>
      <c r="B633" s="79"/>
      <c r="C633" s="79"/>
      <c r="D633" s="79"/>
    </row>
    <row r="634">
      <c r="A634" s="78"/>
      <c r="B634" s="79"/>
      <c r="C634" s="79"/>
      <c r="D634" s="79"/>
    </row>
    <row r="635">
      <c r="A635" s="78"/>
      <c r="B635" s="79"/>
      <c r="C635" s="79"/>
      <c r="D635" s="79"/>
    </row>
    <row r="636">
      <c r="A636" s="78"/>
      <c r="B636" s="79"/>
      <c r="C636" s="79"/>
      <c r="D636" s="79"/>
    </row>
    <row r="637">
      <c r="A637" s="78"/>
      <c r="B637" s="79"/>
      <c r="C637" s="79"/>
      <c r="D637" s="79"/>
    </row>
    <row r="638">
      <c r="A638" s="78"/>
      <c r="B638" s="79"/>
      <c r="C638" s="79"/>
      <c r="D638" s="79"/>
    </row>
    <row r="639">
      <c r="A639" s="78"/>
      <c r="B639" s="79"/>
      <c r="C639" s="79"/>
      <c r="D639" s="79"/>
    </row>
    <row r="640">
      <c r="A640" s="78"/>
      <c r="B640" s="79"/>
      <c r="C640" s="79"/>
      <c r="D640" s="79"/>
    </row>
    <row r="641">
      <c r="A641" s="78"/>
      <c r="B641" s="79"/>
      <c r="C641" s="79"/>
      <c r="D641" s="79"/>
    </row>
    <row r="642">
      <c r="A642" s="78"/>
      <c r="B642" s="79"/>
      <c r="C642" s="79"/>
      <c r="D642" s="79"/>
    </row>
    <row r="643">
      <c r="A643" s="78"/>
      <c r="B643" s="79"/>
      <c r="C643" s="79"/>
      <c r="D643" s="79"/>
    </row>
    <row r="644">
      <c r="A644" s="78"/>
      <c r="B644" s="79"/>
      <c r="C644" s="79"/>
      <c r="D644" s="79"/>
    </row>
    <row r="645">
      <c r="A645" s="78"/>
      <c r="B645" s="79"/>
      <c r="C645" s="79"/>
      <c r="D645" s="79"/>
    </row>
    <row r="646">
      <c r="A646" s="78"/>
      <c r="B646" s="79"/>
      <c r="C646" s="79"/>
      <c r="D646" s="79"/>
    </row>
    <row r="647">
      <c r="A647" s="78"/>
      <c r="B647" s="79"/>
      <c r="C647" s="79"/>
      <c r="D647" s="79"/>
    </row>
    <row r="648">
      <c r="A648" s="78"/>
      <c r="B648" s="79"/>
      <c r="C648" s="79"/>
      <c r="D648" s="79"/>
    </row>
    <row r="649">
      <c r="A649" s="78"/>
      <c r="B649" s="79"/>
      <c r="C649" s="79"/>
      <c r="D649" s="79"/>
    </row>
    <row r="650">
      <c r="A650" s="78"/>
      <c r="B650" s="79"/>
      <c r="C650" s="79"/>
      <c r="D650" s="79"/>
    </row>
    <row r="651">
      <c r="A651" s="78"/>
      <c r="B651" s="79"/>
      <c r="C651" s="79"/>
      <c r="D651" s="79"/>
    </row>
    <row r="652">
      <c r="A652" s="78"/>
      <c r="B652" s="79"/>
      <c r="C652" s="79"/>
      <c r="D652" s="79"/>
    </row>
    <row r="653">
      <c r="A653" s="78"/>
      <c r="B653" s="79"/>
      <c r="C653" s="79"/>
      <c r="D653" s="79"/>
    </row>
    <row r="654">
      <c r="A654" s="78"/>
      <c r="B654" s="79"/>
      <c r="C654" s="79"/>
      <c r="D654" s="79"/>
    </row>
    <row r="655">
      <c r="A655" s="78"/>
      <c r="B655" s="79"/>
      <c r="C655" s="79"/>
      <c r="D655" s="79"/>
    </row>
    <row r="656">
      <c r="A656" s="78"/>
      <c r="B656" s="79"/>
      <c r="C656" s="79"/>
      <c r="D656" s="79"/>
    </row>
    <row r="657">
      <c r="A657" s="78"/>
      <c r="B657" s="79"/>
      <c r="C657" s="79"/>
      <c r="D657" s="79"/>
    </row>
    <row r="658">
      <c r="A658" s="78"/>
      <c r="B658" s="79"/>
      <c r="C658" s="79"/>
      <c r="D658" s="79"/>
    </row>
    <row r="659">
      <c r="A659" s="78"/>
      <c r="B659" s="79"/>
      <c r="C659" s="79"/>
      <c r="D659" s="79"/>
    </row>
    <row r="660">
      <c r="A660" s="78"/>
      <c r="B660" s="79"/>
      <c r="C660" s="79"/>
      <c r="D660" s="79"/>
    </row>
    <row r="661">
      <c r="A661" s="78"/>
      <c r="B661" s="79"/>
      <c r="C661" s="79"/>
      <c r="D661" s="79"/>
    </row>
    <row r="662">
      <c r="A662" s="78"/>
      <c r="B662" s="79"/>
      <c r="C662" s="79"/>
      <c r="D662" s="79"/>
    </row>
    <row r="663">
      <c r="A663" s="78"/>
      <c r="B663" s="79"/>
      <c r="C663" s="79"/>
      <c r="D663" s="79"/>
    </row>
    <row r="664">
      <c r="A664" s="78"/>
      <c r="B664" s="79"/>
      <c r="C664" s="79"/>
      <c r="D664" s="79"/>
    </row>
    <row r="665">
      <c r="A665" s="78"/>
      <c r="B665" s="79"/>
      <c r="C665" s="79"/>
      <c r="D665" s="79"/>
    </row>
    <row r="666">
      <c r="A666" s="78"/>
      <c r="B666" s="79"/>
      <c r="C666" s="79"/>
      <c r="D666" s="79"/>
    </row>
    <row r="667">
      <c r="A667" s="78"/>
      <c r="B667" s="79"/>
      <c r="C667" s="79"/>
      <c r="D667" s="79"/>
    </row>
    <row r="668">
      <c r="A668" s="78"/>
      <c r="B668" s="79"/>
      <c r="C668" s="79"/>
      <c r="D668" s="79"/>
    </row>
    <row r="669">
      <c r="A669" s="78"/>
      <c r="B669" s="79"/>
      <c r="C669" s="79"/>
      <c r="D669" s="79"/>
    </row>
    <row r="670">
      <c r="A670" s="78"/>
      <c r="B670" s="79"/>
      <c r="C670" s="79"/>
      <c r="D670" s="79"/>
    </row>
    <row r="671">
      <c r="A671" s="78"/>
      <c r="B671" s="79"/>
      <c r="C671" s="79"/>
      <c r="D671" s="79"/>
    </row>
    <row r="672">
      <c r="A672" s="78"/>
      <c r="B672" s="79"/>
      <c r="C672" s="79"/>
      <c r="D672" s="79"/>
    </row>
    <row r="673">
      <c r="A673" s="78"/>
      <c r="B673" s="79"/>
      <c r="C673" s="79"/>
      <c r="D673" s="79"/>
    </row>
    <row r="674">
      <c r="A674" s="78"/>
      <c r="B674" s="79"/>
      <c r="C674" s="79"/>
      <c r="D674" s="79"/>
    </row>
    <row r="675">
      <c r="A675" s="78"/>
      <c r="B675" s="79"/>
      <c r="C675" s="79"/>
      <c r="D675" s="79"/>
    </row>
    <row r="676">
      <c r="A676" s="78"/>
      <c r="B676" s="79"/>
      <c r="C676" s="79"/>
      <c r="D676" s="79"/>
    </row>
    <row r="677">
      <c r="A677" s="78"/>
      <c r="B677" s="79"/>
      <c r="C677" s="79"/>
      <c r="D677" s="79"/>
    </row>
    <row r="678">
      <c r="A678" s="78"/>
      <c r="B678" s="79"/>
      <c r="C678" s="79"/>
      <c r="D678" s="79"/>
    </row>
    <row r="679">
      <c r="A679" s="78"/>
      <c r="B679" s="79"/>
      <c r="C679" s="79"/>
      <c r="D679" s="79"/>
    </row>
    <row r="680">
      <c r="A680" s="78"/>
      <c r="B680" s="79"/>
      <c r="C680" s="79"/>
      <c r="D680" s="79"/>
    </row>
    <row r="681">
      <c r="A681" s="78"/>
      <c r="B681" s="79"/>
      <c r="C681" s="79"/>
      <c r="D681" s="79"/>
    </row>
    <row r="682">
      <c r="A682" s="78"/>
      <c r="B682" s="79"/>
      <c r="C682" s="79"/>
      <c r="D682" s="79"/>
    </row>
    <row r="683">
      <c r="A683" s="78"/>
      <c r="B683" s="79"/>
      <c r="C683" s="79"/>
      <c r="D683" s="79"/>
    </row>
    <row r="684">
      <c r="A684" s="78"/>
      <c r="B684" s="79"/>
      <c r="C684" s="79"/>
      <c r="D684" s="79"/>
    </row>
    <row r="685">
      <c r="A685" s="78"/>
      <c r="B685" s="79"/>
      <c r="C685" s="79"/>
      <c r="D685" s="79"/>
    </row>
    <row r="686">
      <c r="A686" s="78"/>
      <c r="B686" s="79"/>
      <c r="C686" s="79"/>
      <c r="D686" s="79"/>
    </row>
    <row r="687">
      <c r="A687" s="78"/>
      <c r="B687" s="79"/>
      <c r="C687" s="79"/>
      <c r="D687" s="79"/>
    </row>
    <row r="688">
      <c r="A688" s="78"/>
      <c r="B688" s="79"/>
      <c r="C688" s="79"/>
      <c r="D688" s="79"/>
    </row>
    <row r="689">
      <c r="A689" s="78"/>
      <c r="B689" s="79"/>
      <c r="C689" s="79"/>
      <c r="D689" s="79"/>
    </row>
    <row r="690">
      <c r="A690" s="78"/>
      <c r="B690" s="79"/>
      <c r="C690" s="79"/>
      <c r="D690" s="79"/>
    </row>
    <row r="691">
      <c r="A691" s="78"/>
      <c r="B691" s="79"/>
      <c r="C691" s="79"/>
      <c r="D691" s="79"/>
    </row>
    <row r="692">
      <c r="A692" s="78"/>
      <c r="B692" s="79"/>
      <c r="C692" s="79"/>
      <c r="D692" s="79"/>
    </row>
    <row r="693">
      <c r="A693" s="78"/>
      <c r="B693" s="79"/>
      <c r="C693" s="79"/>
      <c r="D693" s="79"/>
    </row>
    <row r="694">
      <c r="A694" s="78"/>
      <c r="B694" s="79"/>
      <c r="C694" s="79"/>
      <c r="D694" s="79"/>
    </row>
    <row r="695">
      <c r="A695" s="78"/>
      <c r="B695" s="79"/>
      <c r="C695" s="79"/>
      <c r="D695" s="79"/>
    </row>
    <row r="696">
      <c r="A696" s="78"/>
      <c r="B696" s="79"/>
      <c r="C696" s="79"/>
      <c r="D696" s="79"/>
    </row>
    <row r="697">
      <c r="A697" s="78"/>
      <c r="B697" s="79"/>
      <c r="C697" s="79"/>
      <c r="D697" s="79"/>
    </row>
    <row r="698">
      <c r="A698" s="78"/>
      <c r="B698" s="79"/>
      <c r="C698" s="79"/>
      <c r="D698" s="79"/>
    </row>
    <row r="699">
      <c r="A699" s="78"/>
      <c r="B699" s="79"/>
      <c r="C699" s="79"/>
      <c r="D699" s="79"/>
    </row>
    <row r="700">
      <c r="A700" s="78"/>
      <c r="B700" s="79"/>
      <c r="C700" s="79"/>
      <c r="D700" s="79"/>
    </row>
    <row r="701">
      <c r="A701" s="78"/>
      <c r="B701" s="79"/>
      <c r="C701" s="79"/>
      <c r="D701" s="79"/>
    </row>
    <row r="702">
      <c r="A702" s="78"/>
      <c r="B702" s="79"/>
      <c r="C702" s="79"/>
      <c r="D702" s="79"/>
    </row>
    <row r="703">
      <c r="A703" s="78"/>
      <c r="B703" s="79"/>
      <c r="C703" s="79"/>
      <c r="D703" s="79"/>
    </row>
    <row r="704">
      <c r="A704" s="78"/>
      <c r="B704" s="79"/>
      <c r="C704" s="79"/>
      <c r="D704" s="79"/>
    </row>
    <row r="705">
      <c r="A705" s="78"/>
      <c r="B705" s="79"/>
      <c r="C705" s="79"/>
      <c r="D705" s="79"/>
    </row>
    <row r="706">
      <c r="A706" s="78"/>
      <c r="B706" s="79"/>
      <c r="C706" s="79"/>
      <c r="D706" s="79"/>
    </row>
    <row r="707">
      <c r="A707" s="78"/>
      <c r="B707" s="79"/>
      <c r="C707" s="79"/>
      <c r="D707" s="79"/>
    </row>
    <row r="708">
      <c r="A708" s="78"/>
      <c r="B708" s="79"/>
      <c r="C708" s="79"/>
      <c r="D708" s="79"/>
    </row>
    <row r="709">
      <c r="A709" s="78"/>
      <c r="B709" s="79"/>
      <c r="C709" s="79"/>
      <c r="D709" s="79"/>
    </row>
    <row r="710">
      <c r="A710" s="78"/>
      <c r="B710" s="79"/>
      <c r="C710" s="79"/>
      <c r="D710" s="79"/>
    </row>
    <row r="711">
      <c r="A711" s="78"/>
      <c r="B711" s="79"/>
      <c r="C711" s="79"/>
      <c r="D711" s="79"/>
    </row>
    <row r="712">
      <c r="A712" s="78"/>
      <c r="B712" s="79"/>
      <c r="C712" s="79"/>
      <c r="D712" s="79"/>
    </row>
    <row r="713">
      <c r="A713" s="78"/>
      <c r="B713" s="79"/>
      <c r="C713" s="79"/>
      <c r="D713" s="79"/>
    </row>
    <row r="714">
      <c r="A714" s="78"/>
      <c r="B714" s="79"/>
      <c r="C714" s="79"/>
      <c r="D714" s="79"/>
    </row>
    <row r="715">
      <c r="A715" s="78"/>
      <c r="B715" s="79"/>
      <c r="C715" s="79"/>
      <c r="D715" s="79"/>
    </row>
    <row r="716">
      <c r="A716" s="78"/>
      <c r="B716" s="79"/>
      <c r="C716" s="79"/>
      <c r="D716" s="79"/>
    </row>
    <row r="717">
      <c r="A717" s="78"/>
      <c r="B717" s="79"/>
      <c r="C717" s="79"/>
      <c r="D717" s="79"/>
    </row>
    <row r="718">
      <c r="A718" s="78"/>
      <c r="B718" s="79"/>
      <c r="C718" s="79"/>
      <c r="D718" s="79"/>
    </row>
    <row r="719">
      <c r="A719" s="78"/>
      <c r="B719" s="79"/>
      <c r="C719" s="79"/>
      <c r="D719" s="79"/>
    </row>
    <row r="720">
      <c r="A720" s="78"/>
      <c r="B720" s="79"/>
      <c r="C720" s="79"/>
      <c r="D720" s="79"/>
    </row>
    <row r="721">
      <c r="A721" s="78"/>
      <c r="B721" s="79"/>
      <c r="C721" s="79"/>
      <c r="D721" s="79"/>
    </row>
    <row r="722">
      <c r="A722" s="78"/>
      <c r="B722" s="79"/>
      <c r="C722" s="79"/>
      <c r="D722" s="79"/>
    </row>
    <row r="723">
      <c r="A723" s="78"/>
      <c r="B723" s="79"/>
      <c r="C723" s="79"/>
      <c r="D723" s="79"/>
    </row>
    <row r="724">
      <c r="A724" s="78"/>
      <c r="B724" s="79"/>
      <c r="C724" s="79"/>
      <c r="D724" s="79"/>
    </row>
    <row r="725">
      <c r="A725" s="78"/>
      <c r="B725" s="79"/>
      <c r="C725" s="79"/>
      <c r="D725" s="79"/>
    </row>
    <row r="726">
      <c r="A726" s="78"/>
      <c r="B726" s="79"/>
      <c r="C726" s="79"/>
      <c r="D726" s="79"/>
    </row>
    <row r="727">
      <c r="A727" s="78"/>
      <c r="B727" s="79"/>
      <c r="C727" s="79"/>
      <c r="D727" s="79"/>
    </row>
    <row r="728">
      <c r="A728" s="78"/>
      <c r="B728" s="79"/>
      <c r="C728" s="79"/>
      <c r="D728" s="79"/>
    </row>
    <row r="729">
      <c r="A729" s="78"/>
      <c r="B729" s="79"/>
      <c r="C729" s="79"/>
      <c r="D729" s="79"/>
    </row>
    <row r="730">
      <c r="A730" s="78"/>
      <c r="B730" s="79"/>
      <c r="C730" s="79"/>
      <c r="D730" s="79"/>
    </row>
    <row r="731">
      <c r="A731" s="78"/>
      <c r="B731" s="79"/>
      <c r="C731" s="79"/>
      <c r="D731" s="79"/>
    </row>
    <row r="732">
      <c r="A732" s="78"/>
      <c r="B732" s="79"/>
      <c r="C732" s="79"/>
      <c r="D732" s="79"/>
    </row>
    <row r="733">
      <c r="A733" s="78"/>
      <c r="B733" s="79"/>
      <c r="C733" s="79"/>
      <c r="D733" s="79"/>
    </row>
    <row r="734">
      <c r="A734" s="78"/>
      <c r="B734" s="79"/>
      <c r="C734" s="79"/>
      <c r="D734" s="79"/>
    </row>
    <row r="735">
      <c r="A735" s="78"/>
      <c r="B735" s="79"/>
      <c r="C735" s="79"/>
      <c r="D735" s="79"/>
    </row>
    <row r="736">
      <c r="A736" s="78"/>
      <c r="B736" s="79"/>
      <c r="C736" s="79"/>
      <c r="D736" s="79"/>
    </row>
    <row r="737">
      <c r="A737" s="78"/>
      <c r="B737" s="79"/>
      <c r="C737" s="79"/>
      <c r="D737" s="79"/>
    </row>
    <row r="738">
      <c r="A738" s="78"/>
      <c r="B738" s="79"/>
      <c r="C738" s="79"/>
      <c r="D738" s="79"/>
    </row>
    <row r="739">
      <c r="A739" s="78"/>
      <c r="B739" s="79"/>
      <c r="C739" s="79"/>
      <c r="D739" s="79"/>
    </row>
    <row r="740">
      <c r="A740" s="78"/>
      <c r="B740" s="79"/>
      <c r="C740" s="79"/>
      <c r="D740" s="79"/>
    </row>
    <row r="741">
      <c r="A741" s="78"/>
      <c r="B741" s="79"/>
      <c r="C741" s="79"/>
      <c r="D741" s="79"/>
    </row>
    <row r="742">
      <c r="A742" s="78"/>
      <c r="B742" s="79"/>
      <c r="C742" s="79"/>
      <c r="D742" s="79"/>
    </row>
    <row r="743">
      <c r="A743" s="78"/>
      <c r="B743" s="79"/>
      <c r="C743" s="79"/>
      <c r="D743" s="79"/>
    </row>
    <row r="744">
      <c r="A744" s="78"/>
      <c r="B744" s="79"/>
      <c r="C744" s="79"/>
      <c r="D744" s="79"/>
    </row>
    <row r="745">
      <c r="A745" s="78"/>
      <c r="B745" s="79"/>
      <c r="C745" s="79"/>
      <c r="D745" s="79"/>
    </row>
    <row r="746">
      <c r="A746" s="78"/>
      <c r="B746" s="79"/>
      <c r="C746" s="79"/>
      <c r="D746" s="79"/>
    </row>
    <row r="747">
      <c r="A747" s="78"/>
      <c r="B747" s="79"/>
      <c r="C747" s="79"/>
      <c r="D747" s="79"/>
    </row>
    <row r="748">
      <c r="A748" s="78"/>
      <c r="B748" s="79"/>
      <c r="C748" s="79"/>
      <c r="D748" s="79"/>
    </row>
    <row r="749">
      <c r="A749" s="78"/>
      <c r="B749" s="79"/>
      <c r="C749" s="79"/>
      <c r="D749" s="79"/>
    </row>
    <row r="750">
      <c r="A750" s="78"/>
      <c r="B750" s="79"/>
      <c r="C750" s="79"/>
      <c r="D750" s="79"/>
    </row>
    <row r="751">
      <c r="A751" s="78"/>
      <c r="B751" s="79"/>
      <c r="C751" s="79"/>
      <c r="D751" s="79"/>
    </row>
    <row r="752">
      <c r="A752" s="78"/>
      <c r="B752" s="79"/>
      <c r="C752" s="79"/>
      <c r="D752" s="79"/>
    </row>
    <row r="753">
      <c r="A753" s="78"/>
      <c r="B753" s="79"/>
      <c r="C753" s="79"/>
      <c r="D753" s="79"/>
    </row>
    <row r="754">
      <c r="A754" s="78"/>
      <c r="B754" s="79"/>
      <c r="C754" s="79"/>
      <c r="D754" s="79"/>
    </row>
    <row r="755">
      <c r="A755" s="78"/>
      <c r="B755" s="79"/>
      <c r="C755" s="79"/>
      <c r="D755" s="79"/>
    </row>
    <row r="756">
      <c r="A756" s="78"/>
      <c r="B756" s="79"/>
      <c r="C756" s="79"/>
      <c r="D756" s="79"/>
    </row>
    <row r="757">
      <c r="A757" s="78"/>
      <c r="B757" s="79"/>
      <c r="C757" s="79"/>
      <c r="D757" s="79"/>
    </row>
    <row r="758">
      <c r="A758" s="78"/>
      <c r="B758" s="79"/>
      <c r="C758" s="79"/>
      <c r="D758" s="79"/>
    </row>
    <row r="759">
      <c r="A759" s="78"/>
      <c r="B759" s="79"/>
      <c r="C759" s="79"/>
      <c r="D759" s="79"/>
    </row>
    <row r="760">
      <c r="A760" s="78"/>
      <c r="B760" s="79"/>
      <c r="C760" s="79"/>
      <c r="D760" s="79"/>
    </row>
    <row r="761">
      <c r="A761" s="78"/>
      <c r="B761" s="79"/>
      <c r="C761" s="79"/>
      <c r="D761" s="79"/>
    </row>
    <row r="762">
      <c r="A762" s="78"/>
      <c r="B762" s="79"/>
      <c r="C762" s="79"/>
      <c r="D762" s="79"/>
    </row>
    <row r="763">
      <c r="A763" s="78"/>
      <c r="B763" s="79"/>
      <c r="C763" s="79"/>
      <c r="D763" s="79"/>
    </row>
    <row r="764">
      <c r="A764" s="78"/>
      <c r="B764" s="79"/>
      <c r="C764" s="79"/>
      <c r="D764" s="79"/>
    </row>
    <row r="765">
      <c r="A765" s="78"/>
      <c r="B765" s="79"/>
      <c r="C765" s="79"/>
      <c r="D765" s="79"/>
    </row>
    <row r="766">
      <c r="A766" s="78"/>
      <c r="B766" s="79"/>
      <c r="C766" s="79"/>
      <c r="D766" s="79"/>
    </row>
    <row r="767">
      <c r="A767" s="78"/>
      <c r="B767" s="79"/>
      <c r="C767" s="79"/>
      <c r="D767" s="79"/>
    </row>
    <row r="768">
      <c r="A768" s="78"/>
      <c r="B768" s="79"/>
      <c r="C768" s="79"/>
      <c r="D768" s="79"/>
    </row>
    <row r="769">
      <c r="A769" s="78"/>
      <c r="B769" s="79"/>
      <c r="C769" s="79"/>
      <c r="D769" s="79"/>
    </row>
    <row r="770">
      <c r="A770" s="78"/>
      <c r="B770" s="79"/>
      <c r="C770" s="79"/>
      <c r="D770" s="79"/>
    </row>
    <row r="771">
      <c r="A771" s="78"/>
      <c r="B771" s="79"/>
      <c r="C771" s="79"/>
      <c r="D771" s="79"/>
    </row>
    <row r="772">
      <c r="A772" s="78"/>
      <c r="B772" s="79"/>
      <c r="C772" s="79"/>
      <c r="D772" s="79"/>
    </row>
    <row r="773">
      <c r="A773" s="78"/>
      <c r="B773" s="79"/>
      <c r="C773" s="79"/>
      <c r="D773" s="79"/>
    </row>
    <row r="774">
      <c r="A774" s="78"/>
      <c r="B774" s="79"/>
      <c r="C774" s="79"/>
      <c r="D774" s="79"/>
    </row>
    <row r="775">
      <c r="A775" s="78"/>
      <c r="B775" s="79"/>
      <c r="C775" s="79"/>
      <c r="D775" s="79"/>
    </row>
    <row r="776">
      <c r="A776" s="78"/>
      <c r="B776" s="79"/>
      <c r="C776" s="79"/>
      <c r="D776" s="79"/>
    </row>
    <row r="777">
      <c r="A777" s="78"/>
      <c r="B777" s="79"/>
      <c r="C777" s="79"/>
      <c r="D777" s="79"/>
    </row>
    <row r="778">
      <c r="A778" s="78"/>
      <c r="B778" s="79"/>
      <c r="C778" s="79"/>
      <c r="D778" s="79"/>
    </row>
    <row r="779">
      <c r="A779" s="78"/>
      <c r="B779" s="79"/>
      <c r="C779" s="79"/>
      <c r="D779" s="79"/>
    </row>
    <row r="780">
      <c r="A780" s="78"/>
      <c r="B780" s="79"/>
      <c r="C780" s="79"/>
      <c r="D780" s="79"/>
    </row>
    <row r="781">
      <c r="A781" s="78"/>
      <c r="B781" s="79"/>
      <c r="C781" s="79"/>
      <c r="D781" s="79"/>
    </row>
    <row r="782">
      <c r="A782" s="78"/>
      <c r="B782" s="79"/>
      <c r="C782" s="79"/>
      <c r="D782" s="79"/>
    </row>
    <row r="783">
      <c r="A783" s="78"/>
      <c r="B783" s="79"/>
      <c r="C783" s="79"/>
      <c r="D783" s="79"/>
    </row>
    <row r="784">
      <c r="A784" s="78"/>
      <c r="B784" s="79"/>
      <c r="C784" s="79"/>
      <c r="D784" s="79"/>
    </row>
    <row r="785">
      <c r="A785" s="78"/>
      <c r="B785" s="79"/>
      <c r="C785" s="79"/>
      <c r="D785" s="79"/>
    </row>
    <row r="786">
      <c r="A786" s="78"/>
      <c r="B786" s="79"/>
      <c r="C786" s="79"/>
      <c r="D786" s="79"/>
    </row>
    <row r="787">
      <c r="A787" s="78"/>
      <c r="B787" s="79"/>
      <c r="C787" s="79"/>
      <c r="D787" s="79"/>
    </row>
    <row r="788">
      <c r="A788" s="78"/>
      <c r="B788" s="79"/>
      <c r="C788" s="79"/>
      <c r="D788" s="79"/>
    </row>
    <row r="789">
      <c r="A789" s="78"/>
      <c r="B789" s="79"/>
      <c r="C789" s="79"/>
      <c r="D789" s="79"/>
    </row>
    <row r="790">
      <c r="A790" s="78"/>
      <c r="B790" s="79"/>
      <c r="C790" s="79"/>
      <c r="D790" s="79"/>
    </row>
    <row r="791">
      <c r="A791" s="78"/>
      <c r="B791" s="79"/>
      <c r="C791" s="79"/>
      <c r="D791" s="79"/>
    </row>
    <row r="792">
      <c r="A792" s="78"/>
      <c r="B792" s="79"/>
      <c r="C792" s="79"/>
      <c r="D792" s="79"/>
    </row>
    <row r="793">
      <c r="A793" s="78"/>
      <c r="B793" s="79"/>
      <c r="C793" s="79"/>
      <c r="D793" s="79"/>
    </row>
    <row r="794">
      <c r="A794" s="78"/>
      <c r="B794" s="79"/>
      <c r="C794" s="79"/>
      <c r="D794" s="79"/>
    </row>
    <row r="795">
      <c r="A795" s="78"/>
      <c r="B795" s="79"/>
      <c r="C795" s="79"/>
      <c r="D795" s="79"/>
    </row>
    <row r="796">
      <c r="A796" s="78"/>
      <c r="B796" s="79"/>
      <c r="C796" s="79"/>
      <c r="D796" s="79"/>
    </row>
    <row r="797">
      <c r="A797" s="78"/>
      <c r="B797" s="79"/>
      <c r="C797" s="79"/>
      <c r="D797" s="79"/>
    </row>
    <row r="798">
      <c r="A798" s="78"/>
      <c r="B798" s="79"/>
      <c r="C798" s="79"/>
      <c r="D798" s="79"/>
    </row>
    <row r="799">
      <c r="A799" s="78"/>
      <c r="B799" s="79"/>
      <c r="C799" s="79"/>
      <c r="D799" s="79"/>
    </row>
    <row r="800">
      <c r="A800" s="78"/>
      <c r="B800" s="79"/>
      <c r="C800" s="79"/>
      <c r="D800" s="79"/>
    </row>
    <row r="801">
      <c r="A801" s="78"/>
      <c r="B801" s="79"/>
      <c r="C801" s="79"/>
      <c r="D801" s="79"/>
    </row>
    <row r="802">
      <c r="A802" s="78"/>
      <c r="B802" s="79"/>
      <c r="C802" s="79"/>
      <c r="D802" s="79"/>
    </row>
    <row r="803">
      <c r="A803" s="78"/>
      <c r="B803" s="79"/>
      <c r="C803" s="79"/>
      <c r="D803" s="79"/>
    </row>
    <row r="804">
      <c r="A804" s="78"/>
      <c r="B804" s="79"/>
      <c r="C804" s="79"/>
      <c r="D804" s="79"/>
    </row>
    <row r="805">
      <c r="A805" s="78"/>
      <c r="B805" s="79"/>
      <c r="C805" s="79"/>
      <c r="D805" s="79"/>
    </row>
    <row r="806">
      <c r="A806" s="78"/>
      <c r="B806" s="79"/>
      <c r="C806" s="79"/>
      <c r="D806" s="79"/>
    </row>
    <row r="807">
      <c r="A807" s="78"/>
      <c r="B807" s="79"/>
      <c r="C807" s="79"/>
      <c r="D807" s="79"/>
    </row>
    <row r="808">
      <c r="A808" s="78"/>
      <c r="B808" s="79"/>
      <c r="C808" s="79"/>
      <c r="D808" s="79"/>
    </row>
    <row r="809">
      <c r="A809" s="78"/>
      <c r="B809" s="79"/>
      <c r="C809" s="79"/>
      <c r="D809" s="79"/>
    </row>
    <row r="810">
      <c r="A810" s="78"/>
      <c r="B810" s="79"/>
      <c r="C810" s="79"/>
      <c r="D810" s="79"/>
    </row>
    <row r="811">
      <c r="A811" s="78"/>
      <c r="B811" s="79"/>
      <c r="C811" s="79"/>
      <c r="D811" s="79"/>
    </row>
    <row r="812">
      <c r="A812" s="78"/>
      <c r="B812" s="79"/>
      <c r="C812" s="79"/>
      <c r="D812" s="79"/>
    </row>
    <row r="813">
      <c r="A813" s="78"/>
      <c r="B813" s="79"/>
      <c r="C813" s="79"/>
      <c r="D813" s="79"/>
    </row>
    <row r="814">
      <c r="A814" s="78"/>
      <c r="B814" s="79"/>
      <c r="C814" s="79"/>
      <c r="D814" s="79"/>
    </row>
    <row r="815">
      <c r="A815" s="78"/>
      <c r="B815" s="79"/>
      <c r="C815" s="79"/>
      <c r="D815" s="79"/>
    </row>
    <row r="816">
      <c r="A816" s="78"/>
      <c r="B816" s="79"/>
      <c r="C816" s="79"/>
      <c r="D816" s="79"/>
    </row>
    <row r="817">
      <c r="A817" s="78"/>
      <c r="B817" s="79"/>
      <c r="C817" s="79"/>
      <c r="D817" s="79"/>
    </row>
    <row r="818">
      <c r="A818" s="78"/>
      <c r="B818" s="79"/>
      <c r="C818" s="79"/>
      <c r="D818" s="79"/>
    </row>
    <row r="819">
      <c r="A819" s="78"/>
      <c r="B819" s="79"/>
      <c r="C819" s="79"/>
      <c r="D819" s="79"/>
    </row>
    <row r="820">
      <c r="A820" s="78"/>
      <c r="B820" s="79"/>
      <c r="C820" s="79"/>
      <c r="D820" s="79"/>
    </row>
    <row r="821">
      <c r="A821" s="78"/>
      <c r="B821" s="79"/>
      <c r="C821" s="79"/>
      <c r="D821" s="79"/>
    </row>
    <row r="822">
      <c r="A822" s="78"/>
      <c r="B822" s="79"/>
      <c r="C822" s="79"/>
      <c r="D822" s="79"/>
    </row>
    <row r="823">
      <c r="A823" s="78"/>
      <c r="B823" s="79"/>
      <c r="C823" s="79"/>
      <c r="D823" s="79"/>
    </row>
    <row r="824">
      <c r="A824" s="78"/>
      <c r="B824" s="79"/>
      <c r="C824" s="79"/>
      <c r="D824" s="79"/>
    </row>
    <row r="825">
      <c r="A825" s="78"/>
      <c r="B825" s="79"/>
      <c r="C825" s="79"/>
      <c r="D825" s="79"/>
    </row>
    <row r="826">
      <c r="A826" s="78"/>
      <c r="B826" s="79"/>
      <c r="C826" s="79"/>
      <c r="D826" s="79"/>
    </row>
    <row r="827">
      <c r="A827" s="78"/>
      <c r="B827" s="79"/>
      <c r="C827" s="79"/>
      <c r="D827" s="79"/>
    </row>
    <row r="828">
      <c r="A828" s="78"/>
      <c r="B828" s="79"/>
      <c r="C828" s="79"/>
      <c r="D828" s="79"/>
    </row>
    <row r="829">
      <c r="A829" s="78"/>
      <c r="B829" s="79"/>
      <c r="C829" s="79"/>
      <c r="D829" s="79"/>
    </row>
    <row r="830">
      <c r="A830" s="78"/>
      <c r="B830" s="79"/>
      <c r="C830" s="79"/>
      <c r="D830" s="79"/>
    </row>
    <row r="831">
      <c r="A831" s="78"/>
      <c r="B831" s="79"/>
      <c r="C831" s="79"/>
      <c r="D831" s="79"/>
    </row>
    <row r="832">
      <c r="A832" s="78"/>
      <c r="B832" s="79"/>
      <c r="C832" s="79"/>
      <c r="D832" s="79"/>
    </row>
    <row r="833">
      <c r="A833" s="78"/>
      <c r="B833" s="79"/>
      <c r="C833" s="79"/>
      <c r="D833" s="79"/>
    </row>
    <row r="834">
      <c r="A834" s="78"/>
      <c r="B834" s="79"/>
      <c r="C834" s="79"/>
      <c r="D834" s="79"/>
    </row>
    <row r="835">
      <c r="A835" s="78"/>
      <c r="B835" s="79"/>
      <c r="C835" s="79"/>
      <c r="D835" s="79"/>
    </row>
    <row r="836">
      <c r="A836" s="78"/>
      <c r="B836" s="79"/>
      <c r="C836" s="79"/>
      <c r="D836" s="79"/>
    </row>
    <row r="837">
      <c r="A837" s="78"/>
      <c r="B837" s="79"/>
      <c r="C837" s="79"/>
      <c r="D837" s="79"/>
    </row>
    <row r="838">
      <c r="A838" s="78"/>
      <c r="B838" s="79"/>
      <c r="C838" s="79"/>
      <c r="D838" s="79"/>
    </row>
    <row r="839">
      <c r="A839" s="78"/>
      <c r="B839" s="79"/>
      <c r="C839" s="79"/>
      <c r="D839" s="79"/>
    </row>
    <row r="840">
      <c r="A840" s="78"/>
      <c r="B840" s="79"/>
      <c r="C840" s="79"/>
      <c r="D840" s="79"/>
    </row>
    <row r="841">
      <c r="A841" s="78"/>
      <c r="B841" s="79"/>
      <c r="C841" s="79"/>
      <c r="D841" s="79"/>
    </row>
    <row r="842">
      <c r="A842" s="78"/>
      <c r="B842" s="79"/>
      <c r="C842" s="79"/>
      <c r="D842" s="79"/>
    </row>
    <row r="843">
      <c r="A843" s="78"/>
      <c r="B843" s="79"/>
      <c r="C843" s="79"/>
      <c r="D843" s="79"/>
    </row>
    <row r="844">
      <c r="A844" s="78"/>
      <c r="B844" s="79"/>
      <c r="C844" s="79"/>
      <c r="D844" s="79"/>
    </row>
    <row r="845">
      <c r="A845" s="78"/>
      <c r="B845" s="79"/>
      <c r="C845" s="79"/>
      <c r="D845" s="79"/>
    </row>
    <row r="846">
      <c r="A846" s="78"/>
      <c r="B846" s="79"/>
      <c r="C846" s="79"/>
      <c r="D846" s="79"/>
    </row>
    <row r="847">
      <c r="A847" s="78"/>
      <c r="B847" s="79"/>
      <c r="C847" s="79"/>
      <c r="D847" s="79"/>
    </row>
    <row r="848">
      <c r="A848" s="78"/>
      <c r="B848" s="79"/>
      <c r="C848" s="79"/>
      <c r="D848" s="79"/>
    </row>
    <row r="849">
      <c r="A849" s="78"/>
      <c r="B849" s="79"/>
      <c r="C849" s="79"/>
      <c r="D849" s="79"/>
    </row>
    <row r="850">
      <c r="A850" s="78"/>
      <c r="B850" s="79"/>
      <c r="C850" s="79"/>
      <c r="D850" s="79"/>
    </row>
    <row r="851">
      <c r="A851" s="78"/>
      <c r="B851" s="79"/>
      <c r="C851" s="79"/>
      <c r="D851" s="79"/>
    </row>
    <row r="852">
      <c r="A852" s="78"/>
      <c r="B852" s="79"/>
      <c r="C852" s="79"/>
      <c r="D852" s="79"/>
    </row>
    <row r="853">
      <c r="A853" s="78"/>
      <c r="B853" s="79"/>
      <c r="C853" s="79"/>
      <c r="D853" s="79"/>
    </row>
    <row r="854">
      <c r="A854" s="78"/>
      <c r="B854" s="79"/>
      <c r="C854" s="79"/>
      <c r="D854" s="79"/>
    </row>
    <row r="855">
      <c r="A855" s="78"/>
      <c r="B855" s="79"/>
      <c r="C855" s="79"/>
      <c r="D855" s="79"/>
    </row>
    <row r="856">
      <c r="A856" s="78"/>
      <c r="B856" s="79"/>
      <c r="C856" s="79"/>
      <c r="D856" s="79"/>
    </row>
    <row r="857">
      <c r="A857" s="78"/>
      <c r="B857" s="79"/>
      <c r="C857" s="79"/>
      <c r="D857" s="79"/>
    </row>
    <row r="858">
      <c r="A858" s="78"/>
      <c r="B858" s="79"/>
      <c r="C858" s="79"/>
      <c r="D858" s="79"/>
    </row>
    <row r="859">
      <c r="A859" s="78"/>
      <c r="B859" s="79"/>
      <c r="C859" s="79"/>
      <c r="D859" s="79"/>
    </row>
    <row r="860">
      <c r="A860" s="78"/>
      <c r="B860" s="79"/>
      <c r="C860" s="79"/>
      <c r="D860" s="79"/>
    </row>
    <row r="861">
      <c r="A861" s="78"/>
      <c r="B861" s="79"/>
      <c r="C861" s="79"/>
      <c r="D861" s="79"/>
    </row>
    <row r="862">
      <c r="A862" s="78"/>
      <c r="B862" s="79"/>
      <c r="C862" s="79"/>
      <c r="D862" s="79"/>
    </row>
    <row r="863">
      <c r="A863" s="78"/>
      <c r="B863" s="79"/>
      <c r="C863" s="79"/>
      <c r="D863" s="79"/>
    </row>
    <row r="864">
      <c r="A864" s="78"/>
      <c r="B864" s="79"/>
      <c r="C864" s="79"/>
      <c r="D864" s="79"/>
    </row>
    <row r="865">
      <c r="A865" s="78"/>
      <c r="B865" s="79"/>
      <c r="C865" s="79"/>
      <c r="D865" s="79"/>
    </row>
    <row r="866">
      <c r="A866" s="78"/>
      <c r="B866" s="79"/>
      <c r="C866" s="79"/>
      <c r="D866" s="79"/>
    </row>
    <row r="867">
      <c r="A867" s="78"/>
      <c r="B867" s="79"/>
      <c r="C867" s="79"/>
      <c r="D867" s="79"/>
    </row>
    <row r="868">
      <c r="A868" s="78"/>
      <c r="B868" s="79"/>
      <c r="C868" s="79"/>
      <c r="D868" s="79"/>
    </row>
    <row r="869">
      <c r="A869" s="78"/>
      <c r="B869" s="79"/>
      <c r="C869" s="79"/>
      <c r="D869" s="79"/>
    </row>
    <row r="870">
      <c r="A870" s="78"/>
      <c r="B870" s="79"/>
      <c r="C870" s="79"/>
      <c r="D870" s="79"/>
    </row>
    <row r="871">
      <c r="A871" s="78"/>
      <c r="B871" s="79"/>
      <c r="C871" s="79"/>
      <c r="D871" s="79"/>
    </row>
    <row r="872">
      <c r="A872" s="78"/>
      <c r="B872" s="79"/>
      <c r="C872" s="79"/>
      <c r="D872" s="79"/>
    </row>
    <row r="873">
      <c r="A873" s="78"/>
      <c r="B873" s="79"/>
      <c r="C873" s="79"/>
      <c r="D873" s="79"/>
    </row>
    <row r="874">
      <c r="A874" s="78"/>
      <c r="B874" s="79"/>
      <c r="C874" s="79"/>
      <c r="D874" s="79"/>
    </row>
    <row r="875">
      <c r="A875" s="78"/>
      <c r="B875" s="79"/>
      <c r="C875" s="79"/>
      <c r="D875" s="79"/>
    </row>
    <row r="876">
      <c r="A876" s="78"/>
      <c r="B876" s="79"/>
      <c r="C876" s="79"/>
      <c r="D876" s="79"/>
    </row>
    <row r="877">
      <c r="A877" s="78"/>
      <c r="B877" s="79"/>
      <c r="C877" s="79"/>
      <c r="D877" s="79"/>
    </row>
    <row r="878">
      <c r="A878" s="78"/>
      <c r="B878" s="79"/>
      <c r="C878" s="79"/>
      <c r="D878" s="79"/>
    </row>
    <row r="879">
      <c r="A879" s="78"/>
      <c r="B879" s="79"/>
      <c r="C879" s="79"/>
      <c r="D879" s="79"/>
    </row>
    <row r="880">
      <c r="A880" s="78"/>
      <c r="B880" s="79"/>
      <c r="C880" s="79"/>
      <c r="D880" s="79"/>
    </row>
    <row r="881">
      <c r="A881" s="78"/>
      <c r="B881" s="79"/>
      <c r="C881" s="79"/>
      <c r="D881" s="79"/>
    </row>
    <row r="882">
      <c r="A882" s="78"/>
      <c r="B882" s="79"/>
      <c r="C882" s="79"/>
      <c r="D882" s="79"/>
    </row>
    <row r="883">
      <c r="A883" s="78"/>
      <c r="B883" s="79"/>
      <c r="C883" s="79"/>
      <c r="D883" s="79"/>
    </row>
    <row r="884">
      <c r="A884" s="78"/>
      <c r="B884" s="79"/>
      <c r="C884" s="79"/>
      <c r="D884" s="79"/>
    </row>
    <row r="885">
      <c r="A885" s="78"/>
      <c r="B885" s="79"/>
      <c r="C885" s="79"/>
      <c r="D885" s="79"/>
    </row>
    <row r="886">
      <c r="A886" s="78"/>
      <c r="B886" s="79"/>
      <c r="C886" s="79"/>
      <c r="D886" s="79"/>
    </row>
    <row r="887">
      <c r="A887" s="78"/>
      <c r="B887" s="79"/>
      <c r="C887" s="79"/>
      <c r="D887" s="79"/>
    </row>
    <row r="888">
      <c r="A888" s="78"/>
      <c r="B888" s="79"/>
      <c r="C888" s="79"/>
      <c r="D888" s="79"/>
    </row>
    <row r="889">
      <c r="A889" s="78"/>
      <c r="B889" s="79"/>
      <c r="C889" s="79"/>
      <c r="D889" s="79"/>
    </row>
    <row r="890">
      <c r="A890" s="78"/>
      <c r="B890" s="79"/>
      <c r="C890" s="79"/>
      <c r="D890" s="79"/>
    </row>
    <row r="891">
      <c r="A891" s="78"/>
      <c r="B891" s="79"/>
      <c r="C891" s="79"/>
      <c r="D891" s="79"/>
    </row>
    <row r="892">
      <c r="A892" s="78"/>
      <c r="B892" s="79"/>
      <c r="C892" s="79"/>
      <c r="D892" s="79"/>
    </row>
    <row r="893">
      <c r="A893" s="78"/>
      <c r="B893" s="79"/>
      <c r="C893" s="79"/>
      <c r="D893" s="79"/>
    </row>
    <row r="894">
      <c r="A894" s="78"/>
      <c r="B894" s="79"/>
      <c r="C894" s="79"/>
      <c r="D894" s="79"/>
    </row>
    <row r="895">
      <c r="A895" s="78"/>
      <c r="B895" s="79"/>
      <c r="C895" s="79"/>
      <c r="D895" s="79"/>
    </row>
    <row r="896">
      <c r="A896" s="78"/>
      <c r="B896" s="79"/>
      <c r="C896" s="79"/>
      <c r="D896" s="79"/>
    </row>
    <row r="897">
      <c r="A897" s="78"/>
      <c r="B897" s="79"/>
      <c r="C897" s="79"/>
      <c r="D897" s="79"/>
    </row>
    <row r="898">
      <c r="A898" s="78"/>
      <c r="B898" s="79"/>
      <c r="C898" s="79"/>
      <c r="D898" s="79"/>
    </row>
    <row r="899">
      <c r="A899" s="78"/>
      <c r="B899" s="79"/>
      <c r="C899" s="79"/>
      <c r="D899" s="79"/>
    </row>
    <row r="900">
      <c r="A900" s="78"/>
      <c r="B900" s="79"/>
      <c r="C900" s="79"/>
      <c r="D900" s="79"/>
    </row>
    <row r="901">
      <c r="A901" s="78"/>
      <c r="B901" s="79"/>
      <c r="C901" s="79"/>
      <c r="D901" s="79"/>
    </row>
    <row r="902">
      <c r="A902" s="78"/>
      <c r="B902" s="79"/>
      <c r="C902" s="79"/>
      <c r="D902" s="79"/>
    </row>
    <row r="903">
      <c r="A903" s="78"/>
      <c r="B903" s="79"/>
      <c r="C903" s="79"/>
      <c r="D903" s="79"/>
    </row>
    <row r="904">
      <c r="A904" s="78"/>
      <c r="B904" s="79"/>
      <c r="C904" s="79"/>
      <c r="D904" s="79"/>
    </row>
    <row r="905">
      <c r="A905" s="78"/>
      <c r="B905" s="79"/>
      <c r="C905" s="79"/>
      <c r="D905" s="79"/>
    </row>
    <row r="906">
      <c r="A906" s="78"/>
      <c r="B906" s="79"/>
      <c r="C906" s="79"/>
      <c r="D906" s="79"/>
    </row>
    <row r="907">
      <c r="A907" s="78"/>
      <c r="B907" s="79"/>
      <c r="C907" s="79"/>
      <c r="D907" s="79"/>
    </row>
    <row r="908">
      <c r="A908" s="78"/>
      <c r="B908" s="79"/>
      <c r="C908" s="79"/>
      <c r="D908" s="79"/>
    </row>
    <row r="909">
      <c r="A909" s="78"/>
      <c r="B909" s="79"/>
      <c r="C909" s="79"/>
      <c r="D909" s="79"/>
    </row>
    <row r="910">
      <c r="A910" s="78"/>
      <c r="B910" s="79"/>
      <c r="C910" s="79"/>
      <c r="D910" s="79"/>
    </row>
    <row r="911">
      <c r="A911" s="78"/>
      <c r="B911" s="79"/>
      <c r="C911" s="79"/>
      <c r="D911" s="79"/>
    </row>
    <row r="912">
      <c r="A912" s="78"/>
      <c r="B912" s="79"/>
      <c r="C912" s="79"/>
      <c r="D912" s="79"/>
    </row>
    <row r="913">
      <c r="A913" s="78"/>
      <c r="B913" s="79"/>
      <c r="C913" s="79"/>
      <c r="D913" s="79"/>
    </row>
    <row r="914">
      <c r="A914" s="78"/>
      <c r="B914" s="79"/>
      <c r="C914" s="79"/>
      <c r="D914" s="79"/>
    </row>
    <row r="915">
      <c r="A915" s="78"/>
      <c r="B915" s="79"/>
      <c r="C915" s="79"/>
      <c r="D915" s="79"/>
    </row>
    <row r="916">
      <c r="A916" s="78"/>
      <c r="B916" s="79"/>
      <c r="C916" s="79"/>
      <c r="D916" s="79"/>
    </row>
    <row r="917">
      <c r="A917" s="78"/>
      <c r="B917" s="79"/>
      <c r="C917" s="79"/>
      <c r="D917" s="79"/>
    </row>
    <row r="918">
      <c r="A918" s="78"/>
      <c r="B918" s="79"/>
      <c r="C918" s="79"/>
      <c r="D918" s="79"/>
    </row>
    <row r="919">
      <c r="A919" s="78"/>
      <c r="B919" s="79"/>
      <c r="C919" s="79"/>
      <c r="D919" s="79"/>
    </row>
    <row r="920">
      <c r="A920" s="78"/>
      <c r="B920" s="79"/>
      <c r="C920" s="79"/>
      <c r="D920" s="79"/>
    </row>
    <row r="921">
      <c r="A921" s="78"/>
      <c r="B921" s="79"/>
      <c r="C921" s="79"/>
      <c r="D921" s="79"/>
    </row>
    <row r="922">
      <c r="A922" s="78"/>
      <c r="B922" s="79"/>
      <c r="C922" s="79"/>
      <c r="D922" s="79"/>
    </row>
    <row r="923">
      <c r="A923" s="78"/>
      <c r="B923" s="79"/>
      <c r="C923" s="79"/>
      <c r="D923" s="79"/>
    </row>
    <row r="924">
      <c r="A924" s="78"/>
      <c r="B924" s="79"/>
      <c r="C924" s="79"/>
      <c r="D924" s="79"/>
    </row>
    <row r="925">
      <c r="A925" s="78"/>
      <c r="B925" s="79"/>
      <c r="C925" s="79"/>
      <c r="D925" s="79"/>
    </row>
    <row r="926">
      <c r="A926" s="78"/>
      <c r="B926" s="79"/>
      <c r="C926" s="79"/>
      <c r="D926" s="79"/>
    </row>
    <row r="927">
      <c r="A927" s="78"/>
      <c r="B927" s="79"/>
      <c r="C927" s="79"/>
      <c r="D927" s="79"/>
    </row>
    <row r="928">
      <c r="A928" s="78"/>
      <c r="B928" s="79"/>
      <c r="C928" s="79"/>
      <c r="D928" s="79"/>
    </row>
    <row r="929">
      <c r="A929" s="78"/>
      <c r="B929" s="79"/>
      <c r="C929" s="79"/>
      <c r="D929" s="79"/>
    </row>
    <row r="930">
      <c r="A930" s="78"/>
      <c r="B930" s="79"/>
      <c r="C930" s="79"/>
      <c r="D930" s="79"/>
    </row>
    <row r="931">
      <c r="A931" s="78"/>
      <c r="B931" s="79"/>
      <c r="C931" s="79"/>
      <c r="D931" s="79"/>
    </row>
    <row r="932">
      <c r="A932" s="78"/>
      <c r="B932" s="79"/>
      <c r="C932" s="79"/>
      <c r="D932" s="79"/>
    </row>
    <row r="933">
      <c r="A933" s="78"/>
      <c r="B933" s="79"/>
      <c r="C933" s="79"/>
      <c r="D933" s="79"/>
    </row>
    <row r="934">
      <c r="A934" s="78"/>
      <c r="B934" s="79"/>
      <c r="C934" s="79"/>
      <c r="D934" s="79"/>
    </row>
    <row r="935">
      <c r="A935" s="78"/>
      <c r="B935" s="79"/>
      <c r="C935" s="79"/>
      <c r="D935" s="79"/>
    </row>
    <row r="936">
      <c r="A936" s="78"/>
      <c r="B936" s="79"/>
      <c r="C936" s="79"/>
      <c r="D936" s="79"/>
    </row>
    <row r="937">
      <c r="A937" s="78"/>
      <c r="B937" s="79"/>
      <c r="C937" s="79"/>
      <c r="D937" s="79"/>
    </row>
    <row r="938">
      <c r="A938" s="78"/>
      <c r="B938" s="79"/>
      <c r="C938" s="79"/>
      <c r="D938" s="79"/>
    </row>
    <row r="939">
      <c r="A939" s="78"/>
      <c r="B939" s="79"/>
      <c r="C939" s="79"/>
      <c r="D939" s="79"/>
    </row>
    <row r="940">
      <c r="A940" s="78"/>
      <c r="B940" s="79"/>
      <c r="C940" s="79"/>
      <c r="D940" s="79"/>
    </row>
    <row r="941">
      <c r="A941" s="78"/>
      <c r="B941" s="79"/>
      <c r="C941" s="79"/>
      <c r="D941" s="79"/>
    </row>
    <row r="942">
      <c r="A942" s="78"/>
      <c r="B942" s="79"/>
      <c r="C942" s="79"/>
      <c r="D942" s="79"/>
    </row>
    <row r="943">
      <c r="A943" s="78"/>
      <c r="B943" s="79"/>
      <c r="C943" s="79"/>
      <c r="D943" s="79"/>
    </row>
    <row r="944">
      <c r="A944" s="78"/>
      <c r="B944" s="79"/>
      <c r="C944" s="79"/>
      <c r="D944" s="79"/>
    </row>
    <row r="945">
      <c r="A945" s="78"/>
      <c r="B945" s="79"/>
      <c r="C945" s="79"/>
      <c r="D945" s="79"/>
    </row>
    <row r="946">
      <c r="A946" s="78"/>
      <c r="B946" s="79"/>
      <c r="C946" s="79"/>
      <c r="D946" s="79"/>
    </row>
    <row r="947">
      <c r="A947" s="78"/>
      <c r="B947" s="79"/>
      <c r="C947" s="79"/>
      <c r="D947" s="79"/>
    </row>
    <row r="948">
      <c r="A948" s="78"/>
      <c r="B948" s="79"/>
      <c r="C948" s="79"/>
      <c r="D948" s="79"/>
    </row>
    <row r="949">
      <c r="A949" s="78"/>
      <c r="B949" s="79"/>
      <c r="C949" s="79"/>
      <c r="D949" s="79"/>
    </row>
    <row r="950">
      <c r="A950" s="78"/>
      <c r="B950" s="79"/>
      <c r="C950" s="79"/>
      <c r="D950" s="79"/>
    </row>
    <row r="951">
      <c r="A951" s="78"/>
      <c r="B951" s="79"/>
      <c r="C951" s="79"/>
      <c r="D951" s="79"/>
    </row>
    <row r="952">
      <c r="A952" s="78"/>
      <c r="B952" s="79"/>
      <c r="C952" s="79"/>
      <c r="D952" s="79"/>
    </row>
    <row r="953">
      <c r="A953" s="78"/>
      <c r="B953" s="79"/>
      <c r="C953" s="79"/>
      <c r="D953" s="79"/>
    </row>
    <row r="954">
      <c r="A954" s="78"/>
      <c r="B954" s="79"/>
      <c r="C954" s="79"/>
      <c r="D954" s="79"/>
    </row>
    <row r="955">
      <c r="A955" s="78"/>
      <c r="B955" s="79"/>
      <c r="C955" s="79"/>
      <c r="D955" s="79"/>
    </row>
    <row r="956">
      <c r="A956" s="78"/>
      <c r="B956" s="79"/>
      <c r="C956" s="79"/>
      <c r="D956" s="79"/>
    </row>
    <row r="957">
      <c r="A957" s="78"/>
      <c r="B957" s="79"/>
      <c r="C957" s="79"/>
      <c r="D957" s="79"/>
    </row>
    <row r="958">
      <c r="A958" s="78"/>
      <c r="B958" s="79"/>
      <c r="C958" s="79"/>
      <c r="D958" s="79"/>
    </row>
    <row r="959">
      <c r="A959" s="78"/>
      <c r="B959" s="79"/>
      <c r="C959" s="79"/>
      <c r="D959" s="79"/>
    </row>
    <row r="960">
      <c r="A960" s="78"/>
      <c r="B960" s="79"/>
      <c r="C960" s="79"/>
      <c r="D960" s="79"/>
    </row>
    <row r="961">
      <c r="A961" s="78"/>
      <c r="B961" s="79"/>
      <c r="C961" s="79"/>
      <c r="D961" s="79"/>
    </row>
    <row r="962">
      <c r="A962" s="78"/>
      <c r="B962" s="79"/>
      <c r="C962" s="79"/>
      <c r="D962" s="79"/>
    </row>
    <row r="963">
      <c r="A963" s="78"/>
      <c r="B963" s="79"/>
      <c r="C963" s="79"/>
      <c r="D963" s="79"/>
    </row>
    <row r="964">
      <c r="A964" s="78"/>
      <c r="B964" s="79"/>
      <c r="C964" s="79"/>
      <c r="D964" s="79"/>
    </row>
    <row r="965">
      <c r="A965" s="78"/>
      <c r="B965" s="79"/>
      <c r="C965" s="79"/>
      <c r="D965" s="79"/>
    </row>
    <row r="966">
      <c r="A966" s="78"/>
      <c r="B966" s="79"/>
      <c r="C966" s="79"/>
      <c r="D966" s="79"/>
    </row>
    <row r="967">
      <c r="A967" s="78"/>
      <c r="B967" s="79"/>
      <c r="C967" s="79"/>
      <c r="D967" s="79"/>
    </row>
    <row r="968">
      <c r="A968" s="78"/>
      <c r="B968" s="79"/>
      <c r="C968" s="79"/>
      <c r="D968" s="79"/>
    </row>
    <row r="969">
      <c r="A969" s="78"/>
      <c r="B969" s="79"/>
      <c r="C969" s="79"/>
      <c r="D969" s="79"/>
    </row>
    <row r="970">
      <c r="A970" s="78"/>
      <c r="B970" s="79"/>
      <c r="C970" s="79"/>
      <c r="D970" s="79"/>
    </row>
    <row r="971">
      <c r="A971" s="78"/>
      <c r="B971" s="79"/>
      <c r="C971" s="79"/>
      <c r="D971" s="79"/>
    </row>
    <row r="972">
      <c r="A972" s="78"/>
      <c r="B972" s="79"/>
      <c r="C972" s="79"/>
      <c r="D972" s="79"/>
    </row>
    <row r="973">
      <c r="A973" s="78"/>
      <c r="B973" s="79"/>
      <c r="C973" s="79"/>
      <c r="D973" s="79"/>
    </row>
    <row r="974">
      <c r="A974" s="78"/>
      <c r="B974" s="79"/>
      <c r="C974" s="79"/>
      <c r="D974" s="79"/>
    </row>
    <row r="975">
      <c r="A975" s="78"/>
      <c r="B975" s="79"/>
      <c r="C975" s="79"/>
      <c r="D975" s="79"/>
    </row>
    <row r="976">
      <c r="A976" s="78"/>
      <c r="B976" s="79"/>
      <c r="C976" s="79"/>
      <c r="D976" s="79"/>
    </row>
    <row r="977">
      <c r="A977" s="78"/>
      <c r="B977" s="79"/>
      <c r="C977" s="79"/>
      <c r="D977" s="79"/>
    </row>
    <row r="978">
      <c r="A978" s="78"/>
      <c r="B978" s="79"/>
      <c r="C978" s="79"/>
      <c r="D978" s="79"/>
    </row>
    <row r="979">
      <c r="A979" s="78"/>
      <c r="B979" s="79"/>
      <c r="C979" s="79"/>
      <c r="D979" s="79"/>
    </row>
    <row r="980">
      <c r="A980" s="78"/>
      <c r="B980" s="79"/>
      <c r="C980" s="79"/>
      <c r="D980" s="79"/>
    </row>
    <row r="981">
      <c r="A981" s="78"/>
      <c r="B981" s="79"/>
      <c r="C981" s="79"/>
      <c r="D981" s="79"/>
    </row>
    <row r="982">
      <c r="A982" s="78"/>
      <c r="B982" s="79"/>
      <c r="C982" s="79"/>
      <c r="D982" s="79"/>
    </row>
    <row r="983">
      <c r="A983" s="78"/>
      <c r="B983" s="79"/>
      <c r="C983" s="79"/>
      <c r="D983" s="79"/>
    </row>
    <row r="984">
      <c r="A984" s="78"/>
      <c r="B984" s="79"/>
      <c r="C984" s="79"/>
      <c r="D984" s="79"/>
    </row>
    <row r="985">
      <c r="A985" s="78"/>
      <c r="B985" s="79"/>
      <c r="C985" s="79"/>
      <c r="D985" s="79"/>
    </row>
    <row r="986">
      <c r="A986" s="78"/>
      <c r="B986" s="79"/>
      <c r="C986" s="79"/>
      <c r="D986" s="79"/>
    </row>
    <row r="987">
      <c r="A987" s="78"/>
      <c r="B987" s="79"/>
      <c r="C987" s="79"/>
      <c r="D987" s="79"/>
    </row>
    <row r="988">
      <c r="A988" s="78"/>
      <c r="B988" s="79"/>
      <c r="C988" s="79"/>
      <c r="D988" s="79"/>
    </row>
    <row r="989">
      <c r="A989" s="78"/>
      <c r="B989" s="79"/>
      <c r="C989" s="79"/>
      <c r="D989" s="79"/>
    </row>
    <row r="990">
      <c r="A990" s="78"/>
      <c r="B990" s="79"/>
      <c r="C990" s="79"/>
      <c r="D990" s="79"/>
    </row>
    <row r="991">
      <c r="A991" s="78"/>
      <c r="B991" s="79"/>
      <c r="C991" s="79"/>
      <c r="D991" s="79"/>
    </row>
    <row r="992">
      <c r="A992" s="78"/>
      <c r="B992" s="79"/>
      <c r="C992" s="79"/>
      <c r="D992" s="79"/>
    </row>
    <row r="993">
      <c r="A993" s="78"/>
      <c r="B993" s="79"/>
      <c r="C993" s="79"/>
      <c r="D993" s="79"/>
    </row>
    <row r="994">
      <c r="A994" s="78"/>
      <c r="B994" s="79"/>
      <c r="C994" s="79"/>
      <c r="D994" s="79"/>
    </row>
    <row r="995">
      <c r="A995" s="78"/>
      <c r="B995" s="79"/>
      <c r="C995" s="79"/>
      <c r="D995" s="79"/>
    </row>
    <row r="996">
      <c r="A996" s="78"/>
      <c r="B996" s="79"/>
      <c r="C996" s="79"/>
      <c r="D996" s="79"/>
    </row>
    <row r="997">
      <c r="A997" s="78"/>
      <c r="B997" s="79"/>
      <c r="C997" s="79"/>
      <c r="D997" s="79"/>
    </row>
    <row r="998">
      <c r="A998" s="78"/>
      <c r="B998" s="79"/>
      <c r="C998" s="79"/>
      <c r="D998" s="79"/>
    </row>
    <row r="999">
      <c r="A999" s="78"/>
      <c r="B999" s="79"/>
      <c r="C999" s="79"/>
      <c r="D999" s="79"/>
    </row>
    <row r="1000">
      <c r="A1000" s="78"/>
      <c r="B1000" s="79"/>
      <c r="C1000" s="79"/>
      <c r="D1000" s="79"/>
    </row>
    <row r="1001">
      <c r="A1001" s="78"/>
      <c r="B1001" s="79"/>
      <c r="C1001" s="79"/>
      <c r="D1001" s="79"/>
    </row>
    <row r="1002">
      <c r="A1002" s="78"/>
      <c r="B1002" s="79"/>
      <c r="C1002" s="79"/>
      <c r="D1002" s="79"/>
    </row>
  </sheetData>
  <drawing r:id="rId1"/>
</worksheet>
</file>